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4"/>
    <sheet state="hidden" name="master5" sheetId="2" r:id="rId5"/>
    <sheet state="visible" name="Dashboard" sheetId="3" r:id="rId6"/>
    <sheet state="visible" name="VO_PRE-AUTOMATION" sheetId="4" r:id="rId7"/>
    <sheet state="visible" name="Channel 1-4" sheetId="5" r:id="rId8"/>
    <sheet state="visible" name="Channel 5" sheetId="6" r:id="rId9"/>
    <sheet state="visible" name="Channel 5_surplus" sheetId="7" r:id="rId10"/>
    <sheet state="visible" name="Startup Spotlights" sheetId="8" r:id="rId11"/>
    <sheet state="visible" name="Video Inserts" sheetId="9" r:id="rId12"/>
    <sheet state="visible" name="INDEX_RO" sheetId="10" r:id="rId13"/>
    <sheet state="visible" name="Meet the Speakers_vox pops" sheetId="11" r:id="rId14"/>
    <sheet state="visible" name="Ch.1 Teasers track" sheetId="12" r:id="rId15"/>
    <sheet state="hidden" name="Ch.1 Collision Radio _Teasers " sheetId="13" r:id="rId16"/>
    <sheet state="visible" name="PITCH" sheetId="14" r:id="rId17"/>
    <sheet state="visible" name="Startup Masterclasses" sheetId="15" r:id="rId18"/>
    <sheet state="visible" name="Partner Ads Tracker" sheetId="16" r:id="rId19"/>
    <sheet state="hidden" name="muster" sheetId="17" r:id="rId20"/>
    <sheet state="hidden" name="SS_source" sheetId="18" r:id="rId21"/>
    <sheet state="visible" name="Partner Workshops" sheetId="19" r:id="rId22"/>
    <sheet state="visible" name="Channel 5 Edits" sheetId="20" r:id="rId23"/>
    <sheet state="visible" name="Highlight Tracker" sheetId="21" r:id="rId24"/>
    <sheet state="visible" name="Bespoke Speaker Intros" sheetId="22" r:id="rId25"/>
    <sheet state="hidden" name="Speaker Intros - OLD" sheetId="23" r:id="rId26"/>
    <sheet state="visible" name="Pivot BSI" sheetId="24" r:id="rId27"/>
    <sheet state="hidden" name="Asset Count (Apr Estimate)" sheetId="25" r:id="rId28"/>
    <sheet state="visible" name="Timings" sheetId="26" r:id="rId29"/>
    <sheet state="hidden" name="Lists" sheetId="27" r:id="rId30"/>
    <sheet state="visible" name="Templater_CH4" sheetId="28" r:id="rId31"/>
  </sheets>
  <definedNames>
    <definedName name="email_address_1593638791">'Pivot BSI'!$U$1</definedName>
    <definedName name="merge_status_1593638791">'Pivot BSI'!$AA$1</definedName>
    <definedName hidden="1" localSheetId="2" name="_xlnm._FilterDatabase">Dashboard!$A$1:$J$11</definedName>
    <definedName hidden="1" localSheetId="3" name="_xlnm._FilterDatabase">'VO_PRE-AUTOMATION'!$A$1:$T$3244</definedName>
    <definedName hidden="1" localSheetId="10" name="_xlnm._FilterDatabase">'Meet the Speakers_vox pops'!$A$1:$J$206</definedName>
    <definedName hidden="1" localSheetId="11" name="_xlnm._FilterDatabase">'Ch.1 Teasers track'!$A$1:$I$34</definedName>
    <definedName hidden="1" localSheetId="27" name="_xlnm._FilterDatabase">Templater_CH4!$A$1:$AF$168</definedName>
    <definedName hidden="1" localSheetId="4" name="Z_E1575F8B_C55B_4DB4_A102_91F324DCFFA9_.wvu.FilterData">'Channel 1-4'!$A$1:$AD$3000</definedName>
    <definedName hidden="1" localSheetId="4" name="Z_EA17C26E_7FC0_4EFB_9F72_6F232109B78B_.wvu.FilterData">'Channel 1-4'!$A$1:$AD$3000</definedName>
    <definedName hidden="1" localSheetId="21" name="Z_5A1DE5EF_9297_495C_947D_2CFDE4752B68_.wvu.FilterData">'Bespoke Speaker Intros'!$A$1:$I$299</definedName>
    <definedName hidden="1" localSheetId="4" name="Z_7DA726F6_C9AA_4579_9297_E4B01A767CCA_.wvu.FilterData">'Channel 1-4'!$A$1:$AD$3000</definedName>
    <definedName hidden="1" localSheetId="4" name="Z_05539ECA_90DA_48A9_BAF2_E901A2908131_.wvu.FilterData">'Channel 1-4'!$A$1:$AD$3000</definedName>
    <definedName hidden="1" localSheetId="21" name="Z_CE109CCC_FA72_4D8D_99BF_0A6EBA2347E0_.wvu.FilterData">'Bespoke Speaker Intros'!$A$1:$I$299</definedName>
    <definedName hidden="1" localSheetId="4" name="Z_1BF2B22A_B430_400C_834F_C2917535FD7C_.wvu.FilterData">'Channel 1-4'!$A$1:$AD$3000</definedName>
    <definedName hidden="1" localSheetId="5" name="Z_940BF112_A5DE_4284_991A_7915B8375AFD_.wvu.FilterData">'Channel 5'!$A$1:$Z$3000</definedName>
    <definedName hidden="1" localSheetId="4" name="Z_940BF112_A5DE_4284_991A_7915B8375AFD_.wvu.FilterData">'Channel 1-4'!$A$1:$AF$3000</definedName>
    <definedName hidden="1" localSheetId="4" name="Z_D667A3AA_9C65_4CEE_8E54_474DA2A876CC_.wvu.FilterData">'Channel 1-4'!$A$1:$AD$3000</definedName>
    <definedName hidden="1" localSheetId="4" name="Z_ADD87C10_C7D9_472A_9B8B_B40B65C10346_.wvu.FilterData">'Channel 1-4'!$A$1:$AF$3000</definedName>
    <definedName hidden="1" localSheetId="4" name="Z_B612F50C_42B6_4F9E_A2E0_F46CF125DEBB_.wvu.FilterData">'Channel 1-4'!$A$1:$AF$3000</definedName>
    <definedName hidden="1" localSheetId="4" name="Z_E30DB641_45A3_41F6_BF10_2DE7C30449B2_.wvu.FilterData">'Channel 1-4'!$A$1:$AD$3000</definedName>
    <definedName hidden="1" localSheetId="4" name="Z_EFC0C68C_9B6E_4632_BCCE_146373730137_.wvu.FilterData">'Channel 1-4'!$A$1:$AD$3000</definedName>
    <definedName hidden="1" localSheetId="21" name="Z_D746B264_1817_4354_B104_F41798F5003A_.wvu.FilterData">'Bespoke Speaker Intros'!$A$1:$I$299</definedName>
    <definedName hidden="1" localSheetId="21" name="Z_8D113797_9D77_4A3D_B4D1_5DF7B4876B1F_.wvu.FilterData">'Bespoke Speaker Intros'!$A$1:$I$299</definedName>
    <definedName hidden="1" localSheetId="4" name="Z_A26F8A33_DAB5_4BA8_AD01_022017FE203A_.wvu.FilterData">'Channel 1-4'!$A$1:$AE$3000</definedName>
    <definedName hidden="1" localSheetId="4" name="Z_DAFA1AF3_8A7A_4B98_B722_CF12A7475CAE_.wvu.FilterData">'Channel 1-4'!$A$1:$AD$3000</definedName>
    <definedName hidden="1" localSheetId="5" name="Z_4E0D2802_0D3F_439F_AEC0_43A07DE44C48_.wvu.FilterData">'Channel 5'!$A$1:$Z$3000</definedName>
    <definedName hidden="1" localSheetId="21" name="Z_EF058250_EC1E_4E2C_9C98_31BD536D00B5_.wvu.FilterData">'Bespoke Speaker Intros'!$A$1:$I$299</definedName>
    <definedName hidden="1" localSheetId="4" name="Z_074EF89A_4C7D_4E0D_84C5_35EDFC29F4D2_.wvu.FilterData">'Channel 1-4'!$A$1:$AD$3000</definedName>
    <definedName hidden="1" localSheetId="4" name="Z_8352F947_3DED_419B_B418_1071BCD2EE65_.wvu.FilterData">'Channel 1-4'!$A$1:$AE$3000</definedName>
    <definedName hidden="1" localSheetId="21" name="Z_19145F1F_8DCB_46CA_838E_FDC21771F5C1_.wvu.FilterData">'Bespoke Speaker Intros'!$A$1:$I$299</definedName>
    <definedName hidden="1" localSheetId="4" name="Z_84BC6C31_419C_455F_890B_2FF179511301_.wvu.FilterData">'Channel 1-4'!$A$1:$AD$3000</definedName>
    <definedName hidden="1" localSheetId="4" name="Z_F2E41F77_448B_4B89_B8CF_872AAEDBF0C3_.wvu.FilterData">'Channel 1-4'!$A$1:$AD$3000</definedName>
    <definedName hidden="1" localSheetId="21" name="Z_A2E9C1FB_CDE0_4DE5_9212_4A024891FC0C_.wvu.FilterData">'Bespoke Speaker Intros'!$A$1:$I$299</definedName>
    <definedName hidden="1" localSheetId="4" name="Z_A445D47B_8F7D_4EA9_8A0A_AB62BB991408_.wvu.FilterData">'Channel 1-4'!$A$1:$AD$3000</definedName>
    <definedName hidden="1" localSheetId="4" name="Z_FAA69650_BFF8_4CC8_8C78_FAA496E9165C_.wvu.FilterData">'Channel 1-4'!$A$1:$AD$3000</definedName>
    <definedName hidden="1" localSheetId="4" name="Z_C0E9B29E_B0DA_4E90_B7B6_17F06DAEED13_.wvu.FilterData">'Channel 1-4'!$A$1:$AD$3000</definedName>
    <definedName hidden="1" localSheetId="0" name="Z_9AF6FD7E_DBE3_4ECB_B8A3_87FEC89D2D91_.wvu.FilterData">Master!$A$1:$Y$80</definedName>
    <definedName hidden="1" localSheetId="5" name="Z_9AF6FD7E_DBE3_4ECB_B8A3_87FEC89D2D91_.wvu.FilterData">'Channel 5'!$A$281:$Z$3000</definedName>
    <definedName hidden="1" localSheetId="4" name="Z_A2785417_6D25_4FC8_BB50_49F9EA8B7E2F_.wvu.FilterData">'Channel 1-4'!$A$1:$AD$3000</definedName>
    <definedName hidden="1" localSheetId="4" name="Z_073C060A_6C36_4B6F_B52D_14C5B2FC2F76_.wvu.FilterData">'Channel 1-4'!$A$1:$AD$3000</definedName>
    <definedName hidden="1" localSheetId="5" name="Z_81E749D2_06E9_4D05_81A8_ABE67CD77405_.wvu.FilterData">'Channel 5'!$A$1:$Z$281</definedName>
    <definedName hidden="1" localSheetId="4" name="Z_46A218BA_3811_403F_88D6_9669160C39FF_.wvu.FilterData">'Channel 1-4'!$A$1:$AD$3000</definedName>
    <definedName hidden="1" localSheetId="4" name="Z_1D23006B_B210_4A0C_8CD2_6D9F5529FA79_.wvu.FilterData">'Channel 1-4'!$A$1:$AF$3000</definedName>
    <definedName hidden="1" localSheetId="5" name="Z_80A1A570_643A_42D6_8848_5877EAD39373_.wvu.FilterData">'Channel 5'!$A$1:$Z$3000</definedName>
    <definedName hidden="1" localSheetId="21" name="Z_DC12FB68_6651_4DDD_AFD5_F942E315AD72_.wvu.FilterData">'Bespoke Speaker Intros'!$A$1:$I$299</definedName>
    <definedName hidden="1" localSheetId="4" name="Z_747D3991_BD5F_496D_A42D_DF9974B8F070_.wvu.FilterData">'Channel 1-4'!$A$1:$AD$3000</definedName>
    <definedName hidden="1" localSheetId="10" name="Z_72C50BA2_F192_4542_8284_5B36BE79410D_.wvu.FilterData">'Meet the Speakers_vox pops'!$A$2:$J$206</definedName>
    <definedName hidden="1" localSheetId="21" name="Z_0990F4BF_948F_4C42_B5A0_8562A7A0D3B3_.wvu.FilterData">'Bespoke Speaker Intros'!$A$1:$L$299</definedName>
    <definedName hidden="1" localSheetId="4" name="Z_9A1421EC_7CB2_47C5_99B2_FD3ED4ED0EB7_.wvu.FilterData">'Channel 1-4'!$A$1:$AD$3000</definedName>
    <definedName hidden="1" localSheetId="4" name="Z_8BF00533_E28D_4DC3_8F95_BD5C6569268C_.wvu.FilterData">'Channel 1-4'!$A$1:$AD$3000</definedName>
    <definedName hidden="1" localSheetId="4" name="Z_3F71C3D0_C41F_4924_B662_0840699C537C_.wvu.FilterData">'Channel 1-4'!$A$1:$AD$3000</definedName>
    <definedName hidden="1" localSheetId="4" name="Z_47D026A7_CC2F_40E3_A20D_DD1DEB1C326B_.wvu.FilterData">'Channel 1-4'!$A$1:$AD$3000</definedName>
    <definedName hidden="1" localSheetId="4" name="Z_EA2AB65D_9BC5_4500_9A57_314323CD4A17_.wvu.FilterData">'Channel 1-4'!$A$1:$AD$3000</definedName>
    <definedName hidden="1" localSheetId="4" name="Z_8FFC5C3A_E8BA_4920_B36D_7853DBE6AFA1_.wvu.FilterData">'Channel 1-4'!$A$1:$AD$3000</definedName>
    <definedName hidden="1" localSheetId="4" name="Z_BC84EB14_58BC_4409_85B4_A4F0B0FF40CF_.wvu.FilterData">'Channel 1-4'!$A$1:$AD$3000</definedName>
  </definedNames>
  <calcPr/>
  <customWorkbookViews>
    <customWorkbookView activeSheetId="0" maximized="1" tabRatio="600" windowHeight="0" windowWidth="0" guid="{DAFA1AF3-8A7A-4B98-B722-CF12A7475CAE}" name="Finn"/>
    <customWorkbookView activeSheetId="0" maximized="1" tabRatio="600" windowHeight="0" windowWidth="0" guid="{747D3991-BD5F-496D-A42D-DF9974B8F070}" name="Grace"/>
    <customWorkbookView activeSheetId="0" maximized="1" tabRatio="600" windowHeight="0" windowWidth="0" guid="{EA17C26E-7FC0-4EFB-9F72-6F232109B78B}" name="Rebecca"/>
    <customWorkbookView activeSheetId="0" maximized="1" tabRatio="600" windowHeight="0" windowWidth="0" guid="{EF058250-EC1E-4E2C-9C98-31BD536D00B5}" name="Dan Doctoroff"/>
    <customWorkbookView activeSheetId="0" maximized="1" tabRatio="600" windowHeight="0" windowWidth="0" guid="{72C50BA2-F192-4542-8284-5B36BE79410D}" name="MTS"/>
    <customWorkbookView activeSheetId="0" maximized="1" tabRatio="600" windowHeight="0" windowWidth="0" guid="{D667A3AA-9C65-4CEE-8E54-474DA2A876CC}" name="Wez"/>
    <customWorkbookView activeSheetId="0" maximized="1" tabRatio="600" windowHeight="0" windowWidth="0" guid="{E30DB641-45A3-41F6-BF10-2DE7C30449B2}" name="- Recorded"/>
    <customWorkbookView activeSheetId="0" maximized="1" tabRatio="600" windowHeight="0" windowWidth="0" guid="{8BF00533-E28D-4DC3-8F95-BD5C6569268C}" name="Eoin"/>
    <customWorkbookView activeSheetId="0" maximized="1" tabRatio="600" windowHeight="0" windowWidth="0" guid="{5A1DE5EF-9297-495C-947D-2CFDE4752B68}" name="David Eun"/>
    <customWorkbookView activeSheetId="0" maximized="1" tabRatio="600" windowHeight="0" windowWidth="0" guid="{A2785417-6D25-4FC8-BB50-49F9EA8B7E2F}" name="Lisa"/>
    <customWorkbookView activeSheetId="0" maximized="1" tabRatio="600" windowHeight="0" windowWidth="0" guid="{46A218BA-3811-403F-88D6-9669160C39FF}" name="- In progress"/>
    <customWorkbookView activeSheetId="0" maximized="1" tabRatio="600" windowHeight="0" windowWidth="0" guid="{DC12FB68-6651-4DDD-AFD5-F942E315AD72}" name="Greg Peters"/>
    <customWorkbookView activeSheetId="0" maximized="1" tabRatio="600" windowHeight="0" windowWidth="0" guid="{4E0D2802-0D3F-439F-AEC0-43A07DE44C48}" name="Talks Only (May14)"/>
    <customWorkbookView activeSheetId="0" maximized="1" tabRatio="600" windowHeight="0" windowWidth="0" guid="{EFC0C68C-9B6E-4632-BCCE-146373730137}" name="- Waiting for assignment"/>
    <customWorkbookView activeSheetId="0" maximized="1" tabRatio="600" windowHeight="0" windowWidth="0" guid="{F2E41F77-448B-4B89-B8CF-872AAEDBF0C3}" name="Channel X: Surplus"/>
    <customWorkbookView activeSheetId="0" maximized="1" tabRatio="600" windowHeight="0" windowWidth="0" guid="{CE109CCC-FA72-4D8D-99BF-0A6EBA2347E0}" name="David Fischer"/>
    <customWorkbookView activeSheetId="0" maximized="1" tabRatio="600" windowHeight="0" windowWidth="0" guid="{1BF2B22A-B430-400C-834F-C2917535FD7C}" name="Jack"/>
    <customWorkbookView activeSheetId="0" maximized="1" tabRatio="600" windowHeight="0" windowWidth="0" guid="{05539ECA-90DA-48A9-BAF2-E901A2908131}" name="Jonas"/>
    <customWorkbookView activeSheetId="0" maximized="1" tabRatio="600" windowHeight="0" windowWidth="0" guid="{3F71C3D0-C41F-4924-B662-0840699C537C}" name="- Index Offset"/>
    <customWorkbookView activeSheetId="0" maximized="1" tabRatio="600" windowHeight="0" windowWidth="0" guid="{19145F1F-8DCB-46CA-838E-FDC21771F5C1}" name="Brad Smith"/>
    <customWorkbookView activeSheetId="0" maximized="1" tabRatio="600" windowHeight="0" windowWidth="0" guid="{0990F4BF-948F-4C42-B5A0-8562A7A0D3B3}" name="Jenns filter"/>
    <customWorkbookView activeSheetId="0" maximized="1" tabRatio="600" windowHeight="0" windowWidth="0" guid="{1D23006B-B210-4A0C-8CD2-6D9F5529FA79}" name="40 Words"/>
    <customWorkbookView activeSheetId="0" maximized="1" tabRatio="600" windowHeight="0" windowWidth="0" guid="{8352F947-3DED-419B-B418-1071BCD2EE65}" name="Delivered"/>
    <customWorkbookView activeSheetId="0" maximized="1" tabRatio="600" windowHeight="0" windowWidth="0" guid="{8FFC5C3A-E8BA-4920-B36D-7853DBE6AFA1}" name="Channel 3"/>
    <customWorkbookView activeSheetId="0" maximized="1" tabRatio="600" windowHeight="0" windowWidth="0" guid="{ADD87C10-C7D9-472A-9B8B-B40B65C10346}" name="Channel 4"/>
    <customWorkbookView activeSheetId="0" maximized="1" tabRatio="600" windowHeight="0" windowWidth="0" guid="{84BC6C31-419C-455F-890B-2FF179511301}" name="Channel 1"/>
    <customWorkbookView activeSheetId="0" maximized="1" tabRatio="600" windowHeight="0" windowWidth="0" guid="{47D026A7-CC2F-40E3-A20D-DD1DEB1C326B}" name="Luke"/>
    <customWorkbookView activeSheetId="0" maximized="1" tabRatio="600" windowHeight="0" windowWidth="0" guid="{E1575F8B-C55B-4DB4-A102-91F324DCFFA9}" name="Channel 2"/>
    <customWorkbookView activeSheetId="0" maximized="1" tabRatio="600" windowHeight="0" windowWidth="0" guid="{A26F8A33-DAB5-4BA8-AD01-022017FE203A}" name="- RERECORD"/>
    <customWorkbookView activeSheetId="0" maximized="1" tabRatio="600" windowHeight="0" windowWidth="0" guid="{A445D47B-8F7D-4EA9-8A0A-AB62BB991408}" name="Ronan"/>
    <customWorkbookView activeSheetId="0" maximized="1" tabRatio="600" windowHeight="0" windowWidth="0" guid="{BC84EB14-58BC-4409-85B4-A4F0B0FF40CF}" name="Audio rip required"/>
    <customWorkbookView activeSheetId="0" maximized="1" tabRatio="600" windowHeight="0" windowWidth="0" guid="{D746B264-1817-4354-B104-F41798F5003A}" name="Christopher Wylie"/>
    <customWorkbookView activeSheetId="0" maximized="1" tabRatio="600" windowHeight="0" windowWidth="0" guid="{B612F50C-42B6-4F9E-A2E0-F46CF125DEBB}" name="- Waiting for review (CH1-3)"/>
    <customWorkbookView activeSheetId="0" maximized="1" tabRatio="600" windowHeight="0" windowWidth="0" guid="{074EF89A-4C7D-4E0D-84C5-35EDFC29F4D2}" name="- Talks Only (CH1-3)"/>
    <customWorkbookView activeSheetId="0" maximized="1" tabRatio="600" windowHeight="0" windowWidth="0" guid="{FAA69650-BFF8-4CC8-8C78-FAA496E9165C}" name="Teasers"/>
    <customWorkbookView activeSheetId="0" maximized="1" tabRatio="600" windowHeight="0" windowWidth="0" guid="{8D113797-9D77-4A3D-B4D1-5DF7B4876B1F}" name="David Wallerstein"/>
    <customWorkbookView activeSheetId="0" maximized="1" tabRatio="600" windowHeight="0" windowWidth="0" guid="{C0E9B29E-B0DA-4E90-B7B6-17F06DAEED13}" name="Assigned with No REC"/>
    <customWorkbookView activeSheetId="0" maximized="1" tabRatio="600" windowHeight="0" windowWidth="0" guid="{80A1A570-643A-42D6-8848-5877EAD39373}" name="Filter 2"/>
    <customWorkbookView activeSheetId="0" maximized="1" tabRatio="600" windowHeight="0" windowWidth="0" guid="{9A1421EC-7CB2-47C5-99B2-FD3ED4ED0EB7}" name="- Quality Controlled"/>
    <customWorkbookView activeSheetId="0" maximized="1" tabRatio="600" windowHeight="0" windowWidth="0" guid="{9AF6FD7E-DBE3-4ECB-B8A3-87FEC89D2D91}" name="Filter 1"/>
    <customWorkbookView activeSheetId="0" maximized="1" tabRatio="600" windowHeight="0" windowWidth="0" guid="{7DA726F6-C9AA-4579-9297-E4B01A767CCA}" name="David"/>
    <customWorkbookView activeSheetId="0" maximized="1" tabRatio="600" windowHeight="0" windowWidth="0" guid="{940BF112-A5DE-4284-991A-7915B8375AFD}" name="VO"/>
    <customWorkbookView activeSheetId="0" maximized="1" tabRatio="600" windowHeight="0" windowWidth="0" guid="{81E749D2-06E9-4D05-81A8-ABE67CD77405}" name="Recorded, Not Edited"/>
    <customWorkbookView activeSheetId="0" maximized="1" tabRatio="600" windowHeight="0" windowWidth="0" guid="{A2E9C1FB-CDE0-4DE5-9212-4A024891FC0C}" name="Margaret Atwood"/>
    <customWorkbookView activeSheetId="0" maximized="1" tabRatio="600" windowHeight="0" windowWidth="0" guid="{EA2AB65D-9BC5-4500-9A57-314323CD4A17}" name="- Radio Collision Teasers"/>
    <customWorkbookView activeSheetId="0" maximized="1" tabRatio="600" windowHeight="0" windowWidth="0" guid="{073C060A-6C36-4B6F-B52D-14C5B2FC2F76}" name="Intro+Outro"/>
  </customWorkbookViews>
  <pivotCaches>
    <pivotCache cacheId="0" r:id="rId32"/>
  </pivotCaches>
</workbook>
</file>

<file path=xl/comments1.xml><?xml version="1.0" encoding="utf-8"?>
<comments xmlns:r="http://schemas.openxmlformats.org/officeDocument/2006/relationships" xmlns="http://schemas.openxmlformats.org/spreadsheetml/2006/main">
  <authors>
    <author/>
  </authors>
  <commentList>
    <comment authorId="0" ref="AB302">
      <text>
        <t xml:space="preserve">should not be a teaser - its a full talk **
</t>
      </text>
    </comment>
    <comment authorId="0" ref="S1470">
      <text>
        <t xml:space="preserve">glitch on this cell - its counting it as filled in a tally but its not **
</t>
      </text>
    </comment>
  </commentList>
</comments>
</file>

<file path=xl/comments2.xml><?xml version="1.0" encoding="utf-8"?>
<comments xmlns:r="http://schemas.openxmlformats.org/officeDocument/2006/relationships" xmlns="http://schemas.openxmlformats.org/spreadsheetml/2006/main">
  <authors>
    <author/>
  </authors>
  <commentList>
    <comment authorId="0" ref="U2">
      <text>
        <t xml:space="preserve">YAMMID-00524824/1722d74be41080ea</t>
      </text>
    </comment>
    <comment authorId="0" ref="AA2">
      <text>
        <t xml:space="preserve">05/19/2020 - 04:02 PM</t>
      </text>
    </comment>
    <comment authorId="0" ref="U3">
      <text>
        <t xml:space="preserve">YAMMID-00524824/1722d74be41080ea</t>
      </text>
    </comment>
    <comment authorId="0" ref="AA3">
      <text>
        <t xml:space="preserve">Opened: 05/20/2020 - 01:50 PM</t>
      </text>
    </comment>
    <comment authorId="0" ref="U4">
      <text>
        <t xml:space="preserve">YAMMID-00524824/1722d74be41080ea</t>
      </text>
    </comment>
    <comment authorId="0" ref="AA4">
      <text>
        <t xml:space="preserve">Clicked: 05/19/2020 - 04:40 PM</t>
      </text>
    </comment>
    <comment authorId="0" ref="U5">
      <text>
        <t xml:space="preserve">YAMMID-00524824/1722d74be41080ea</t>
      </text>
    </comment>
    <comment authorId="0" ref="AA5">
      <text>
        <t xml:space="preserve">Opened: 05/19/2020 - 04:02 PM</t>
      </text>
    </comment>
    <comment authorId="0" ref="U6">
      <text>
        <t xml:space="preserve">YAMMID-00524824/1722d74be41080ea</t>
      </text>
    </comment>
    <comment authorId="0" ref="AA6">
      <text>
        <t xml:space="preserve">Address not found</t>
      </text>
    </comment>
    <comment authorId="0" ref="U7">
      <text>
        <t xml:space="preserve">YAMMID-00524824/1722d74be41080ea</t>
      </text>
    </comment>
    <comment authorId="0" ref="AA7">
      <text>
        <t xml:space="preserve">Opened: 05/19/2020 - 04:02 PM</t>
      </text>
    </comment>
    <comment authorId="0" ref="U8">
      <text>
        <t xml:space="preserve">YAMMID-00524824/1722d74be41080ea</t>
      </text>
    </comment>
    <comment authorId="0" ref="AA8">
      <text>
        <t xml:space="preserve">05/19/2020 - 04:02 PM</t>
      </text>
    </comment>
    <comment authorId="0" ref="U9">
      <text>
        <t xml:space="preserve">YAMMID-00524824/1722d74be41080ea</t>
      </text>
    </comment>
    <comment authorId="0" ref="AA9">
      <text>
        <t xml:space="preserve">Opened: 05/19/2020 - 04:02 PM</t>
      </text>
    </comment>
    <comment authorId="0" ref="U10">
      <text>
        <t xml:space="preserve">YAMMID-00524824/1722d74be41080ea</t>
      </text>
    </comment>
    <comment authorId="0" ref="AA10">
      <text>
        <t xml:space="preserve">05/19/2020 - 04:02 PM</t>
      </text>
    </comment>
    <comment authorId="0" ref="U11">
      <text>
        <t xml:space="preserve">YAMMID-00524824/1722d74be41080ea</t>
      </text>
    </comment>
    <comment authorId="0" ref="AA11">
      <text>
        <t xml:space="preserve">Clicked: 05/19/2020 - 04:12 PM</t>
      </text>
    </comment>
    <comment authorId="0" ref="U12">
      <text>
        <t xml:space="preserve">YAMMID-00524824/1722d74be41080ea</t>
      </text>
    </comment>
    <comment authorId="0" ref="AA12">
      <text>
        <t xml:space="preserve">Opened: 05/19/2020 - 04:21 PM</t>
      </text>
    </comment>
    <comment authorId="0" ref="U13">
      <text>
        <t xml:space="preserve">YAMMID-00524824/1722d74be41080ea</t>
      </text>
    </comment>
    <comment authorId="0" ref="AA13">
      <text>
        <t xml:space="preserve">Clicked: 05/19/2020 - 04:56 PM</t>
      </text>
    </comment>
    <comment authorId="0" ref="F14">
      <text>
        <t xml:space="preserve">Not required
</t>
      </text>
    </comment>
    <comment authorId="0" ref="U14">
      <text>
        <t xml:space="preserve">YAMMID-00524824/1722d74be41080ea</t>
      </text>
    </comment>
    <comment authorId="0" ref="AA14">
      <text>
        <t xml:space="preserve">Clicked: 05/19/2020 - 04:31 PM</t>
      </text>
    </comment>
    <comment authorId="0" ref="U15">
      <text>
        <t xml:space="preserve">YAMMID-00524824/1722d74be41080ea</t>
      </text>
    </comment>
    <comment authorId="0" ref="AA15">
      <text>
        <t xml:space="preserve">Clicked: 05/19/2020 - 04:50 PM</t>
      </text>
    </comment>
    <comment authorId="0" ref="U16">
      <text>
        <t xml:space="preserve">YAMMID-00524824/1722d74be41080ea</t>
      </text>
    </comment>
    <comment authorId="0" ref="AA16">
      <text>
        <t xml:space="preserve">Clicked: 05/19/2020 - 07:34 PM</t>
      </text>
    </comment>
    <comment authorId="0" ref="U17">
      <text>
        <t xml:space="preserve">YAMMID-00524824/1722d74be41080ea</t>
      </text>
    </comment>
    <comment authorId="0" ref="AA17">
      <text>
        <t xml:space="preserve">05/19/2020 - 04:02 PM</t>
      </text>
    </comment>
    <comment authorId="0" ref="U18">
      <text>
        <t xml:space="preserve">YAMMID-00524824/1722d74be41080ea</t>
      </text>
    </comment>
    <comment authorId="0" ref="AA18">
      <text>
        <t xml:space="preserve">05/19/2020 - 04:02 PM</t>
      </text>
    </comment>
    <comment authorId="0" ref="U19">
      <text>
        <t xml:space="preserve">YAMMID-00524824/1722d74be41080ea</t>
      </text>
    </comment>
    <comment authorId="0" ref="AA19">
      <text>
        <t xml:space="preserve">Opened: 05/19/2020 - 04:08 PM</t>
      </text>
    </comment>
    <comment authorId="0" ref="U20">
      <text>
        <t xml:space="preserve">YAMMID-00524824/1722d74be41080ea</t>
      </text>
    </comment>
    <comment authorId="0" ref="AA20">
      <text>
        <t xml:space="preserve">Opened: 05/19/2020 - 04:02 PM</t>
      </text>
    </comment>
    <comment authorId="0" ref="U21">
      <text>
        <t xml:space="preserve">YAMMID-00524824/1722d74be41080ea</t>
      </text>
    </comment>
    <comment authorId="0" ref="AA21">
      <text>
        <t xml:space="preserve">05/19/2020 - 04:02 PM</t>
      </text>
    </comment>
    <comment authorId="0" ref="U22">
      <text>
        <t xml:space="preserve">YAMMID-00524824/1722d74be41080ea</t>
      </text>
    </comment>
    <comment authorId="0" ref="AA22">
      <text>
        <t xml:space="preserve">Clicked: 05/19/2020 - 04:54 PM</t>
      </text>
    </comment>
    <comment authorId="0" ref="U23">
      <text>
        <t xml:space="preserve">YAMMID-00524824/1722d74be41080ea</t>
      </text>
    </comment>
    <comment authorId="0" ref="AA23">
      <text>
        <t xml:space="preserve">05/19/2020 - 05:31 PM</t>
      </text>
    </comment>
    <comment authorId="0" ref="U24">
      <text>
        <t xml:space="preserve">YAMMID-00524824/1722d74be41080ea</t>
      </text>
    </comment>
    <comment authorId="0" ref="AA24">
      <text>
        <t xml:space="preserve">Opened: 05/19/2020 - 09:17 PM</t>
      </text>
    </comment>
    <comment authorId="0" ref="U25">
      <text>
        <t xml:space="preserve">YAMMID-00524824/1722d74be41080ea</t>
      </text>
    </comment>
    <comment authorId="0" ref="AA25">
      <text>
        <t xml:space="preserve">Opened: 05/19/2020 - 05:44 PM</t>
      </text>
    </comment>
    <comment authorId="0" ref="U26">
      <text>
        <t xml:space="preserve">YAMMID-00524824/1722d74be41080ea</t>
      </text>
    </comment>
    <comment authorId="0" ref="AA26">
      <text>
        <t xml:space="preserve">05/19/2020 - 05:49 PM</t>
      </text>
    </comment>
    <comment authorId="0" ref="U27">
      <text>
        <t xml:space="preserve">YAMMID-00524824/1722d74be41080ea</t>
      </text>
    </comment>
    <comment authorId="0" ref="AA27">
      <text>
        <t xml:space="preserve">05/19/2020 - 05:49 PM</t>
      </text>
    </comment>
    <comment authorId="0" ref="U28">
      <text>
        <t xml:space="preserve">YAMMID-00524824/1722d74be41080ea</t>
      </text>
    </comment>
    <comment authorId="0" ref="AA28">
      <text>
        <t xml:space="preserve">Clicked: 05/19/2020 - 05:51 PM</t>
      </text>
    </comment>
    <comment authorId="0" ref="U29">
      <text>
        <t xml:space="preserve">YAMMID-00524824/1722d74be41080ea</t>
      </text>
    </comment>
    <comment authorId="0" ref="AA29">
      <text>
        <t xml:space="preserve">05/19/2020 - 05:49 PM</t>
      </text>
    </comment>
    <comment authorId="0" ref="U30">
      <text>
        <t xml:space="preserve">YAMMID-00524824/1722d74be41080ea</t>
      </text>
    </comment>
    <comment authorId="0" ref="AA30">
      <text>
        <t xml:space="preserve">05/19/2020 - 05:49 PM</t>
      </text>
    </comment>
    <comment authorId="0" ref="U31">
      <text>
        <t xml:space="preserve">YAMMID-00524824/1722d74be41080ea</t>
      </text>
    </comment>
    <comment authorId="0" ref="AA31">
      <text>
        <t xml:space="preserve">05/19/2020 - 05:49 PM</t>
      </text>
    </comment>
    <comment authorId="0" ref="U32">
      <text>
        <t xml:space="preserve">YAMMID-00524824/1722d74be41080ea</t>
      </text>
    </comment>
    <comment authorId="0" ref="AA32">
      <text>
        <t xml:space="preserve">05/19/2020 - 05:49 PM</t>
      </text>
    </comment>
    <comment authorId="0" ref="U33">
      <text>
        <t xml:space="preserve">YAMMID-00524824/1722d74be41080ea</t>
      </text>
    </comment>
    <comment authorId="0" ref="AA33">
      <text>
        <t xml:space="preserve">05/19/2020 - 05:49 PM</t>
      </text>
    </comment>
    <comment authorId="0" ref="U34">
      <text>
        <t xml:space="preserve">YAMMID-00524824/1722d74be41080ea</t>
      </text>
    </comment>
    <comment authorId="0" ref="AA34">
      <text>
        <t xml:space="preserve">05/19/2020 - 05:49 PM</t>
      </text>
    </comment>
    <comment authorId="0" ref="AA35">
      <text>
        <t xml:space="preserve">Invalid email address</t>
      </text>
    </comment>
    <comment authorId="0" ref="U36">
      <text>
        <t xml:space="preserve">YAMMID-82975592/not_found</t>
      </text>
    </comment>
    <comment authorId="0" ref="AA36">
      <text>
        <t xml:space="preserve">Clicked: 05/28/2020 - 04:27 PM</t>
      </text>
    </comment>
    <comment authorId="0" ref="AA41">
      <text>
        <t xml:space="preserve">Invalid email address</t>
      </text>
    </comment>
    <comment authorId="0" ref="AA43">
      <text>
        <t xml:space="preserve">Invalid email address</t>
      </text>
    </comment>
    <comment authorId="0" ref="AA46">
      <text>
        <t xml:space="preserve">Invalid email address</t>
      </text>
    </comment>
    <comment authorId="0" ref="AA49">
      <text>
        <t xml:space="preserve">Invalid email address</t>
      </text>
    </comment>
    <comment authorId="0" ref="AA50">
      <text>
        <t xml:space="preserve">Invalid email address</t>
      </text>
    </comment>
    <comment authorId="0" ref="U51">
      <text>
        <t xml:space="preserve">YAMMID-27209071/1724cd94d626d062</t>
      </text>
    </comment>
    <comment authorId="0" ref="AA51">
      <text>
        <t xml:space="preserve">Opened: 05/26/2020 - 03:44 PM</t>
      </text>
    </comment>
    <comment authorId="0" ref="U52">
      <text>
        <t xml:space="preserve">YAMMID-27209300/1724cd94e91c70a6</t>
      </text>
    </comment>
    <comment authorId="0" ref="AA52">
      <text>
        <t xml:space="preserve">05/25/2020 - 06:20 PM</t>
      </text>
    </comment>
    <comment authorId="0" ref="U53">
      <text>
        <t xml:space="preserve">YAMMID-27209538/1724cd94ef7423f4</t>
      </text>
    </comment>
    <comment authorId="0" ref="AA53">
      <text>
        <t xml:space="preserve">Opened: 05/25/2020 - 05:20 PM</t>
      </text>
    </comment>
    <comment authorId="0" ref="U54">
      <text>
        <t xml:space="preserve">YAMMID-27209741/1724cd951bada85f</t>
      </text>
    </comment>
    <comment authorId="0" ref="AA54">
      <text>
        <t xml:space="preserve">05/25/2020 - 06:20 PM</t>
      </text>
    </comment>
    <comment authorId="0" ref="AA55">
      <text>
        <t xml:space="preserve">Invalid email address</t>
      </text>
    </comment>
    <comment authorId="0" ref="AA56">
      <text>
        <t xml:space="preserve">Invalid email address</t>
      </text>
    </comment>
    <comment authorId="0" ref="AA57">
      <text>
        <t xml:space="preserve">Invalid email address</t>
      </text>
    </comment>
    <comment authorId="0" ref="AA58">
      <text>
        <t xml:space="preserve">Invalid email address</t>
      </text>
    </comment>
    <comment authorId="0" ref="U59">
      <text>
        <t xml:space="preserve">YAMMID-90655076/1727464b1c0c88e5</t>
      </text>
    </comment>
    <comment authorId="0" ref="AA59">
      <text>
        <t xml:space="preserve">Clicked: 06/02/2020 - 12:28 PM</t>
      </text>
    </comment>
    <comment authorId="0" ref="F60">
      <text>
        <t xml:space="preserve">Not required
</t>
      </text>
    </comment>
    <comment authorId="0" ref="U60">
      <text>
        <t xml:space="preserve">YAMMID-90655662/1727464b217e3d82</t>
      </text>
    </comment>
    <comment authorId="0" ref="AA60">
      <text>
        <t xml:space="preserve">Clicked: 06/02/2020 - 12:49 PM</t>
      </text>
    </comment>
    <comment authorId="0" ref="U61">
      <text>
        <t xml:space="preserve">YAMMID-90656553/1727464b5741b98f</t>
      </text>
    </comment>
    <comment authorId="0" ref="AA61">
      <text>
        <t xml:space="preserve">Clicked: 06/04/2020 - 04:52 PM</t>
      </text>
    </comment>
    <comment authorId="0" ref="U62">
      <text>
        <t xml:space="preserve">YAMMID-90657091/1727464b6faa13c7</t>
      </text>
    </comment>
    <comment authorId="0" ref="AA62">
      <text>
        <t xml:space="preserve">Opened: 06/02/2020 - 12:20 PM</t>
      </text>
    </comment>
    <comment authorId="0" ref="F63">
      <text>
        <t xml:space="preserve">Not required
</t>
      </text>
    </comment>
    <comment authorId="0" ref="U63">
      <text>
        <t xml:space="preserve">YAMMID-90657962/1727464c32c653c8</t>
      </text>
    </comment>
    <comment authorId="0" ref="AA63">
      <text>
        <t xml:space="preserve">Opened: 06/02/2020 - 10:37 AM</t>
      </text>
    </comment>
    <comment authorId="0" ref="U64">
      <text>
        <t xml:space="preserve">YAMMID-90661113/1727464c71d6ffbc</t>
      </text>
    </comment>
    <comment authorId="0" ref="AA64">
      <text>
        <t xml:space="preserve">Opened: 06/02/2020 - 10:37 AM</t>
      </text>
    </comment>
    <comment authorId="0" ref="U65">
      <text>
        <t xml:space="preserve">YAMMID-90661502/1727464c8c546593</t>
      </text>
    </comment>
    <comment authorId="0" ref="AA65">
      <text>
        <t xml:space="preserve">06/02/2020 - 10:37 AM</t>
      </text>
    </comment>
    <comment authorId="0" ref="U66">
      <text>
        <t xml:space="preserve">YAMMID-90661875/1727464ca29df4c8</t>
      </text>
    </comment>
    <comment authorId="0" ref="AA66">
      <text>
        <t xml:space="preserve">Address not found</t>
      </text>
    </comment>
    <comment authorId="0" ref="U67">
      <text>
        <t xml:space="preserve">YAMMID-90662206/1727464ddf59fa7a</t>
      </text>
    </comment>
    <comment authorId="0" ref="AA67">
      <text>
        <t xml:space="preserve">Clicked: 06/02/2020 - 04:52 PM</t>
      </text>
    </comment>
    <comment authorId="0" ref="U68">
      <text>
        <t xml:space="preserve">YAMMID-90666905/1727464de2248f5b</t>
      </text>
    </comment>
    <comment authorId="0" ref="AA68">
      <text>
        <t xml:space="preserve">Clicked: 06/02/2020 - 10:37 AM</t>
      </text>
    </comment>
    <comment authorId="0" ref="U69">
      <text>
        <t xml:space="preserve">YAMMID-90667388/1727464e1e94b555</t>
      </text>
    </comment>
    <comment authorId="0" ref="AA69">
      <text>
        <t xml:space="preserve">Clicked: 06/02/2020 - 10:37 AM</t>
      </text>
    </comment>
    <comment authorId="0" ref="U70">
      <text>
        <t xml:space="preserve">YAMMID-90668088/1727464e3759c793</t>
      </text>
    </comment>
    <comment authorId="0" ref="AA70">
      <text>
        <t xml:space="preserve">Opened: 06/04/2020 - 04:22 PM</t>
      </text>
    </comment>
    <comment authorId="0" ref="U71">
      <text>
        <t xml:space="preserve">YAMMID-83116515/1725c1a2438a51e2</t>
      </text>
    </comment>
    <comment authorId="0" ref="AA71">
      <text>
        <t xml:space="preserve">Opened: 05/28/2020 - 05:25 PM</t>
      </text>
    </comment>
    <comment authorId="0" ref="U89">
      <text>
        <t xml:space="preserve">YAMMID-14190510/17275cbcf6447c47</t>
      </text>
    </comment>
    <comment authorId="0" ref="AA89">
      <text>
        <t xml:space="preserve">Opened: 06/02/2020 - 05:09 PM</t>
      </text>
    </comment>
    <comment authorId="0" ref="U90">
      <text>
        <t xml:space="preserve">YAMMID-14190878/17275cbd0dd6e47b</t>
      </text>
    </comment>
    <comment authorId="0" ref="AA90">
      <text>
        <t xml:space="preserve">06/02/2020 - 05:09 PM</t>
      </text>
    </comment>
    <comment authorId="0" ref="U91">
      <text>
        <t xml:space="preserve">YAMMID-14191139/17275cbd0e4d2abd</t>
      </text>
    </comment>
    <comment authorId="0" ref="AA91">
      <text>
        <t xml:space="preserve">Opened: 06/04/2020 - 04:39 PM</t>
      </text>
    </comment>
    <comment authorId="0" ref="U93">
      <text>
        <t xml:space="preserve">YAMMID-14191397/17275cbd34279037</t>
      </text>
    </comment>
    <comment authorId="0" ref="AA93">
      <text>
        <t xml:space="preserve">06/02/2020 - 05:09 PM</t>
      </text>
    </comment>
    <comment authorId="0" ref="AA94">
      <text>
        <t xml:space="preserve">Invalid email address</t>
      </text>
    </comment>
    <comment authorId="0" ref="U95">
      <text>
        <t xml:space="preserve">YAMMID-14191699/17275cbe2cdbc94e</t>
      </text>
    </comment>
    <comment authorId="0" ref="AA95">
      <text>
        <t xml:space="preserve">Opened: 06/02/2020 - 05:09 PM</t>
      </text>
    </comment>
    <comment authorId="0" ref="U97">
      <text>
        <t xml:space="preserve">YAMMID-14196124/17275cbe4b733db9</t>
      </text>
    </comment>
    <comment authorId="0" ref="AA97">
      <text>
        <t xml:space="preserve">Clicked: 06/02/2020 - 04:14 PM</t>
      </text>
    </comment>
    <comment authorId="0" ref="U99">
      <text>
        <t xml:space="preserve">YAMMID-14196384/17275cbe7f7f965b</t>
      </text>
    </comment>
    <comment authorId="0" ref="AA99">
      <text>
        <t xml:space="preserve">Clicked: 06/02/2020 - 04:12 PM</t>
      </text>
    </comment>
    <comment authorId="0" ref="U100">
      <text>
        <t xml:space="preserve">YAMMID-14196698/17275cbe7e7628d8</t>
      </text>
    </comment>
    <comment authorId="0" ref="AA100">
      <text>
        <t xml:space="preserve">Opened: 06/02/2020 - 05:10 PM</t>
      </text>
    </comment>
    <comment authorId="0" ref="AA101">
      <text>
        <t xml:space="preserve">Invalid email address</t>
      </text>
    </comment>
    <comment authorId="0" ref="U102">
      <text>
        <t xml:space="preserve">YAMMID-14197164/17275cbf898cb84f</t>
      </text>
    </comment>
    <comment authorId="0" ref="AA102">
      <text>
        <t xml:space="preserve">Opened: 06/04/2020 - 04:52 PM</t>
      </text>
    </comment>
    <comment authorId="0" ref="U103">
      <text>
        <t xml:space="preserve">YAMMID-14201444/17275cbf8ff20153</t>
      </text>
    </comment>
    <comment authorId="0" ref="AA103">
      <text>
        <t xml:space="preserve">Opened: 06/04/2020 - 10:56 AM</t>
      </text>
    </comment>
    <comment authorId="0" ref="U104">
      <text>
        <t xml:space="preserve">YAMMID-14201716/17275cbfa67d82df</t>
      </text>
    </comment>
    <comment authorId="0" ref="AA104">
      <text>
        <t xml:space="preserve">Opened: 06/02/2020 - 05:12 PM</t>
      </text>
    </comment>
    <comment authorId="0" ref="U105">
      <text>
        <t xml:space="preserve">YAMMID-14202032/17275cbfd086741f</t>
      </text>
    </comment>
    <comment authorId="0" ref="AA105">
      <text>
        <t xml:space="preserve">Opened: 06/02/2020 - 04:45 PM</t>
      </text>
    </comment>
    <comment authorId="0" ref="U106">
      <text>
        <t xml:space="preserve">YAMMID-14202291/17275cc0d79075ec</t>
      </text>
    </comment>
    <comment authorId="0" ref="AA106">
      <text>
        <t xml:space="preserve">06/02/2020 - 05:10 PM</t>
      </text>
    </comment>
    <comment authorId="0" ref="U107">
      <text>
        <t xml:space="preserve">YAMMID-14206618/17275cc0fed8f631</t>
      </text>
    </comment>
    <comment authorId="0" ref="AA107">
      <text>
        <t xml:space="preserve">Opened: 06/03/2020 - 10:54 AM</t>
      </text>
    </comment>
    <comment authorId="0" ref="U108">
      <text>
        <t xml:space="preserve">YAMMID-14207036/17275cc0e77b3a68</t>
      </text>
    </comment>
    <comment authorId="0" ref="AA108">
      <text>
        <t xml:space="preserve">Soft bounce</t>
      </text>
    </comment>
    <comment authorId="0" ref="U109">
      <text>
        <t xml:space="preserve">YAMMID-14311183/17275cda6de41622</t>
      </text>
    </comment>
    <comment authorId="0" ref="AA109">
      <text>
        <t xml:space="preserve">Opened: 06/04/2020 - 09:30 AM</t>
      </text>
    </comment>
    <comment authorId="0" ref="AA110">
      <text>
        <t xml:space="preserve">Invalid email address</t>
      </text>
    </comment>
    <comment authorId="0" ref="AA111">
      <text>
        <t xml:space="preserve">Invalid email address</t>
      </text>
    </comment>
    <comment authorId="0" ref="AA112">
      <text>
        <t xml:space="preserve">Invalid email address</t>
      </text>
    </comment>
    <comment authorId="0" ref="AA113">
      <text>
        <t xml:space="preserve">Invalid email address</t>
      </text>
    </comment>
    <comment authorId="0" ref="U115">
      <text>
        <t xml:space="preserve">YAMMID-88721190/1727a3d0e423ed2b</t>
      </text>
    </comment>
    <comment authorId="0" ref="AA115">
      <text>
        <t xml:space="preserve">Opened: 06/04/2020 - 04:27 PM</t>
      </text>
    </comment>
    <comment authorId="0" ref="U117">
      <text>
        <t xml:space="preserve">YAMMID-90167879/1727a5321848c99f</t>
      </text>
    </comment>
    <comment authorId="0" ref="AA117">
      <text>
        <t xml:space="preserve">06/03/2020 - 02:16 PM</t>
      </text>
    </comment>
    <comment authorId="0" ref="U119">
      <text>
        <t xml:space="preserve">YAMMID-67151374/1727ee9cffc775a4</t>
      </text>
    </comment>
    <comment authorId="0" ref="AA119">
      <text>
        <t xml:space="preserve">Opened: 06/04/2020 - 11:48 AM</t>
      </text>
    </comment>
    <comment authorId="0" ref="AA122">
      <text>
        <t xml:space="preserve">Invalid email address</t>
      </text>
    </comment>
    <comment authorId="0" ref="U124">
      <text>
        <t xml:space="preserve">YAMMID-67152001/1727ee9d109fcadb</t>
      </text>
    </comment>
    <comment authorId="0" ref="AA124">
      <text>
        <t xml:space="preserve">Opened: 06/04/2020 - 03:35 PM</t>
      </text>
    </comment>
    <comment authorId="0" ref="AA167">
      <text>
        <t xml:space="preserve">Invalid email address</t>
      </text>
    </comment>
    <comment authorId="0" ref="AA181">
      <text>
        <t xml:space="preserve">Invalid email address</t>
      </text>
    </comment>
    <comment authorId="0" ref="U314">
      <text>
        <t xml:space="preserve">YAMMID-67152525/1727ee9d6463a06f</t>
      </text>
    </comment>
    <comment authorId="0" ref="AA314">
      <text>
        <t xml:space="preserve">06/04/2020 - 11:39 AM</t>
      </text>
    </comment>
    <comment authorId="0" ref="AA315">
      <text>
        <t xml:space="preserve">Invalid email address</t>
      </text>
    </comment>
  </commentList>
</comments>
</file>

<file path=xl/sharedStrings.xml><?xml version="1.0" encoding="utf-8"?>
<sst xmlns="http://schemas.openxmlformats.org/spreadsheetml/2006/main" count="122839" uniqueCount="10216">
  <si>
    <t>Total Asset Snapshot</t>
  </si>
  <si>
    <t>Assignment Tracker</t>
  </si>
  <si>
    <t>Total Assets</t>
  </si>
  <si>
    <t>Total Assets Recorded</t>
  </si>
  <si>
    <t>Total Assets Edited</t>
  </si>
  <si>
    <t>Editing Progress/Total</t>
  </si>
  <si>
    <t>Editing Progress/Recorded</t>
  </si>
  <si>
    <t>Quality Check Final</t>
  </si>
  <si>
    <t>% QC / Edited</t>
  </si>
  <si>
    <t>Delivered</t>
  </si>
  <si>
    <t>% Completed</t>
  </si>
  <si>
    <t>Editor</t>
  </si>
  <si>
    <t>Project</t>
  </si>
  <si>
    <t>Talk Amount</t>
  </si>
  <si>
    <t>Channel 1</t>
  </si>
  <si>
    <t>Jack</t>
  </si>
  <si>
    <t>Channel 2</t>
  </si>
  <si>
    <t>Lisa</t>
  </si>
  <si>
    <t>MTS/Talks</t>
  </si>
  <si>
    <t>Channel 3</t>
  </si>
  <si>
    <t>Eoin</t>
  </si>
  <si>
    <t>Talks</t>
  </si>
  <si>
    <t>Channel 4</t>
  </si>
  <si>
    <t>David</t>
  </si>
  <si>
    <t>Channel 1-4 Surplus</t>
  </si>
  <si>
    <t>Rebecca</t>
  </si>
  <si>
    <t>MTS/Highlights</t>
  </si>
  <si>
    <t>Channel 5</t>
  </si>
  <si>
    <t>Grace</t>
  </si>
  <si>
    <t>Channel 5_Surplus</t>
  </si>
  <si>
    <t>Jonas</t>
  </si>
  <si>
    <t>Total</t>
  </si>
  <si>
    <t>Finn</t>
  </si>
  <si>
    <t>Total Excl. Surplus</t>
  </si>
  <si>
    <t>Speaker Intros = Background</t>
  </si>
  <si>
    <t>Speakers recorded (import from master schedule)</t>
  </si>
  <si>
    <t>Talks to add to asset sheet (minus re-records)</t>
  </si>
  <si>
    <t>Recorded in asset sheet</t>
  </si>
  <si>
    <t>Edited</t>
  </si>
  <si>
    <t>Timeline</t>
  </si>
  <si>
    <t>Projected recordings by week</t>
  </si>
  <si>
    <t>Actual recordings by week</t>
  </si>
  <si>
    <t>Actual vs Projected</t>
  </si>
  <si>
    <t>Projected total recordings as of week</t>
  </si>
  <si>
    <t>Talks Only Excl. CH5</t>
  </si>
  <si>
    <t>Index</t>
  </si>
  <si>
    <t>Date</t>
  </si>
  <si>
    <t>Start</t>
  </si>
  <si>
    <t>Duration</t>
  </si>
  <si>
    <t>End</t>
  </si>
  <si>
    <t>Track</t>
  </si>
  <si>
    <t>Format</t>
  </si>
  <si>
    <t>Title (55 Characters)</t>
  </si>
  <si>
    <t>Speaker 1</t>
  </si>
  <si>
    <t>Speaker 2</t>
  </si>
  <si>
    <t>Speaker 3</t>
  </si>
  <si>
    <t>Speaker 4</t>
  </si>
  <si>
    <t>Moderator</t>
  </si>
  <si>
    <t>QC Raw</t>
  </si>
  <si>
    <t>Indexed in folder</t>
  </si>
  <si>
    <t>Primed for Templater</t>
  </si>
  <si>
    <t>Added to main sheet</t>
  </si>
  <si>
    <t>Re-record</t>
  </si>
  <si>
    <t>Issues</t>
  </si>
  <si>
    <t>CHANNEL 1</t>
  </si>
  <si>
    <t>DAY 1 - Tuesday, 23 June</t>
  </si>
  <si>
    <t>Day 1 - 23/06</t>
  </si>
  <si>
    <t>Collision From Home Day Intro</t>
  </si>
  <si>
    <t xml:space="preserve">CFH Intro Video </t>
  </si>
  <si>
    <t>Content pending</t>
  </si>
  <si>
    <t/>
  </si>
  <si>
    <t>Anchor piece</t>
  </si>
  <si>
    <t xml:space="preserve">Welcome to Collision from Home </t>
  </si>
  <si>
    <t>Paddy Cosgrave, Web Summit</t>
  </si>
  <si>
    <t>Panel</t>
  </si>
  <si>
    <t xml:space="preserve">The road to opening Toronto </t>
  </si>
  <si>
    <t>John Tory, Government of Canada</t>
  </si>
  <si>
    <t>Partner ad</t>
  </si>
  <si>
    <t xml:space="preserve">City of Toronto </t>
  </si>
  <si>
    <t>Web Summit Trailer - full</t>
  </si>
  <si>
    <t>Web Summit promo</t>
  </si>
  <si>
    <t>Talk Intro</t>
  </si>
  <si>
    <t>Teaser: Box_Intro</t>
  </si>
  <si>
    <t>Teaser</t>
  </si>
  <si>
    <t>Teaser: Box</t>
  </si>
  <si>
    <t>Talk Outro</t>
  </si>
  <si>
    <t>Call to action</t>
  </si>
  <si>
    <t>RISE Trailer</t>
  </si>
  <si>
    <t>RISE promo</t>
  </si>
  <si>
    <t>Web Summit Trailer - short</t>
  </si>
  <si>
    <t>Content complete</t>
  </si>
  <si>
    <t xml:space="preserve">Talk intro </t>
  </si>
  <si>
    <t>Casey Lau, Web Summit</t>
  </si>
  <si>
    <t>News</t>
  </si>
  <si>
    <t>Fireside</t>
  </si>
  <si>
    <t>Who holds tech to account?</t>
  </si>
  <si>
    <t>Jessica Lessin, The Information</t>
  </si>
  <si>
    <t>Brian McCullough, Techmeme</t>
  </si>
  <si>
    <t>Teaser: Netflix_Intro</t>
  </si>
  <si>
    <t>Teaser: Netflix</t>
  </si>
  <si>
    <t>Uber Eats: What happens post-lockdown?</t>
  </si>
  <si>
    <t>Pierre-Dimitri Gore-Coty, Uber</t>
  </si>
  <si>
    <t>Steven Levy, Wired</t>
  </si>
  <si>
    <t>Laundry List/Lookaround</t>
  </si>
  <si>
    <t>Laundry Day1_11AM</t>
  </si>
  <si>
    <t>Sunil Sharma, Web Summit</t>
  </si>
  <si>
    <t>Media</t>
  </si>
  <si>
    <t>Super Fireside</t>
  </si>
  <si>
    <t>Betting on storytelling</t>
  </si>
  <si>
    <t>Anthony Wood, Roku</t>
  </si>
  <si>
    <t>Peter Kafka, Recode</t>
  </si>
  <si>
    <t>Teaser: Spotify_Intro</t>
  </si>
  <si>
    <t>Teaser: Spotify</t>
  </si>
  <si>
    <t xml:space="preserve">The role of the CMO in a crisis </t>
  </si>
  <si>
    <t>Miki Toliver King, The Washington Post</t>
  </si>
  <si>
    <t>Jamie Moldafsky, Wells Fargo</t>
  </si>
  <si>
    <t>Michelle Castillo, Cheddar</t>
  </si>
  <si>
    <t>Teaser: PepsiCo_Intro</t>
  </si>
  <si>
    <t>Teaser: PepsiCo</t>
  </si>
  <si>
    <t xml:space="preserve">talk intro </t>
  </si>
  <si>
    <t>Remote working</t>
  </si>
  <si>
    <t>Is it possible to unite a remote team?</t>
  </si>
  <si>
    <t>Susan Bowen, Aptum</t>
  </si>
  <si>
    <t>Michael Litt, Vidyard</t>
  </si>
  <si>
    <t>Janet Bannister, Real Ventures</t>
  </si>
  <si>
    <t>Rob Pegoraro, USA Today</t>
  </si>
  <si>
    <t>Voxpop</t>
  </si>
  <si>
    <t>Laundry Day1_12pm</t>
  </si>
  <si>
    <t>Yvonne Redmond, Web Summit</t>
  </si>
  <si>
    <t>Sales</t>
  </si>
  <si>
    <t>The ethics of sales during Covid-19</t>
  </si>
  <si>
    <t>Pete Thompson, eBay</t>
  </si>
  <si>
    <t>Don Clark, The New York Times</t>
  </si>
  <si>
    <t>Teaser: Facebook CRO _Intro</t>
  </si>
  <si>
    <t xml:space="preserve">Teaser: Facebook CRO </t>
  </si>
  <si>
    <t>Travel in a time of no travel</t>
  </si>
  <si>
    <t>Gillian Tans, Booking.com</t>
  </si>
  <si>
    <t>Alyssa Newcomb, NBC News</t>
  </si>
  <si>
    <t>Teaser: Huda Beauty_Intro</t>
  </si>
  <si>
    <t>Teaser: Huda Beauty</t>
  </si>
  <si>
    <t>Health</t>
  </si>
  <si>
    <t>Here to health: Fighting an infodemic</t>
  </si>
  <si>
    <t>David Kopp, Healthline Media</t>
  </si>
  <si>
    <t>Patrice Harris, American Medical Association</t>
  </si>
  <si>
    <t>Curtis Brainard, Scientific American</t>
  </si>
  <si>
    <t>Laundry Day1_1PM</t>
  </si>
  <si>
    <t>5G</t>
  </si>
  <si>
    <t>How can startups survive a pandemic?</t>
  </si>
  <si>
    <t>John Chambers, JC2 Ventures</t>
  </si>
  <si>
    <t>Andy Serwer, Yahoo Finance</t>
  </si>
  <si>
    <t>Teaser: Shaq_Intro</t>
  </si>
  <si>
    <t>Leadership</t>
  </si>
  <si>
    <t>Teaser: Shaq</t>
  </si>
  <si>
    <t>web Summit promo</t>
  </si>
  <si>
    <t>Anxiety in a time of isolation</t>
  </si>
  <si>
    <t>Richard Friedman, Weill Cornell</t>
  </si>
  <si>
    <t>Justin McLeod, Hinge</t>
  </si>
  <si>
    <t>Shannon Palus, Slate</t>
  </si>
  <si>
    <t>Teaser: UA_Intro</t>
  </si>
  <si>
    <t>Teaser: Under Armour</t>
  </si>
  <si>
    <t>Content from Home: TikTok's greatest challenge</t>
  </si>
  <si>
    <t>Josh Sadowski, Josh Sadowski</t>
  </si>
  <si>
    <t>Hope Schwing, Hope Schwing</t>
  </si>
  <si>
    <t>Jacob Pace, Flighthouse</t>
  </si>
  <si>
    <t>Design</t>
  </si>
  <si>
    <t>Keynote</t>
  </si>
  <si>
    <t xml:space="preserve">Design as a multiplayer game </t>
  </si>
  <si>
    <t>Andrew Anagnost, Autodesk</t>
  </si>
  <si>
    <t>Laundry Day1_2PM</t>
  </si>
  <si>
    <t>Does journalism need a tech rescue?</t>
  </si>
  <si>
    <t>Robyn Peterson, CNN Worldwide</t>
  </si>
  <si>
    <t>Harry McCracken, Fast Company</t>
  </si>
  <si>
    <t>Teaser: Kate Brandt_Intro</t>
  </si>
  <si>
    <t xml:space="preserve">Teaser: Kate Brandt </t>
  </si>
  <si>
    <t xml:space="preserve">UI and the customer experience post Covid-19 </t>
  </si>
  <si>
    <t>Jaclyn Tsui, Altitude Labs</t>
  </si>
  <si>
    <t>Tim Ho, Constant</t>
  </si>
  <si>
    <t>Richard Lai, Engadget</t>
  </si>
  <si>
    <t>Teaser:Slack_Intro</t>
  </si>
  <si>
    <t>Teaser:Slack</t>
  </si>
  <si>
    <t>Why you should start a company in a recession</t>
  </si>
  <si>
    <t>Renata Quintini, Renegade Partners</t>
  </si>
  <si>
    <t>Mark Fernandes, Sierra Ventures</t>
  </si>
  <si>
    <t>Ravi Viswanathan, NewView Capital</t>
  </si>
  <si>
    <t>Kimberly Weisul, Inc. Magazine</t>
  </si>
  <si>
    <t>The jam jar and the hamburger: Connecting east and west design</t>
  </si>
  <si>
    <t>Jacob Benbunan, Saffron Consultants</t>
  </si>
  <si>
    <t>RISE trailer</t>
  </si>
  <si>
    <t>Laundry Day1_3PM</t>
  </si>
  <si>
    <t>Branding</t>
  </si>
  <si>
    <t>What makes a good logo?</t>
  </si>
  <si>
    <t>Amy Choyne, US Tennis Association</t>
  </si>
  <si>
    <t>Sagi Haviv, Chermayeff &amp; Geismar &amp; Haviv</t>
  </si>
  <si>
    <t>Martin Swant, Forbes</t>
  </si>
  <si>
    <t>Teaser: Samsung_Intro</t>
  </si>
  <si>
    <t>AI</t>
  </si>
  <si>
    <t>Teaser: Samsung</t>
  </si>
  <si>
    <t xml:space="preserve">Fundraising during a global pandemic </t>
  </si>
  <si>
    <t>Anthemos Georgiades, Zumper</t>
  </si>
  <si>
    <t>Dennis Steele, Podium</t>
  </si>
  <si>
    <t>Sophie Forest, Brightspark Ventures</t>
  </si>
  <si>
    <t>Stephanie Mehta, Fast Company</t>
  </si>
  <si>
    <t xml:space="preserve">Title tbc </t>
  </si>
  <si>
    <t>Siyabulela Mandela, Journalists for Human Rights</t>
  </si>
  <si>
    <t>Michael Harriot, The Root</t>
  </si>
  <si>
    <t>Laundry Day1_4PM</t>
  </si>
  <si>
    <t xml:space="preserve">Speaking truth to power </t>
  </si>
  <si>
    <t>Megan Twohey, The New York Times</t>
  </si>
  <si>
    <t>Jodi Kantor, The New York Times</t>
  </si>
  <si>
    <t>Teaser: Vinod Khosla_Intro</t>
  </si>
  <si>
    <t>Investment</t>
  </si>
  <si>
    <t>Teaser: Vinod Khosla</t>
  </si>
  <si>
    <t>By Taraji: A brand on your own terms</t>
  </si>
  <si>
    <t>Taraji P Henson, TPH by Taraji</t>
  </si>
  <si>
    <t>Jemele Hill, The Atlantic</t>
  </si>
  <si>
    <t>Teaser: AriannaHuff_Intro</t>
  </si>
  <si>
    <t>Teaser: AriannaHuff</t>
  </si>
  <si>
    <t>A message  from the World Health Organization</t>
  </si>
  <si>
    <t>Tedros Adhanom Ghebreyesus, World Health Organization</t>
  </si>
  <si>
    <t>Closing remarks_DAY 1</t>
  </si>
  <si>
    <t>DAY 2 - Wednesday, 24 June</t>
  </si>
  <si>
    <t>Day 2 - 24/06</t>
  </si>
  <si>
    <t>Laundry Day2_10AM</t>
  </si>
  <si>
    <t>Covid-19: Accelerating the future of healthcare</t>
  </si>
  <si>
    <t>Vas Narasimhan, Novartis</t>
  </si>
  <si>
    <t>Teaser: YouTube_Intro</t>
  </si>
  <si>
    <t>Teaser: YouTube</t>
  </si>
  <si>
    <t>The art of exploration</t>
  </si>
  <si>
    <t>Alyssa Carson, NASABlueberry, LLC</t>
  </si>
  <si>
    <t>Jean Case, The Case Foundation</t>
  </si>
  <si>
    <t>Jon Bowermaster, Ocean 8 Films</t>
  </si>
  <si>
    <t>Modern toolkit for remote teams</t>
  </si>
  <si>
    <t>Andrey Vinitsky, Graphy</t>
  </si>
  <si>
    <t>Teaser: Paris Hilton_Intro</t>
  </si>
  <si>
    <t>Teaser: Paris Hilton</t>
  </si>
  <si>
    <t>GitLab: Building an all-remote enterprise</t>
  </si>
  <si>
    <t>Sid Sijbrandij, GitLab</t>
  </si>
  <si>
    <t>Villi Iltchev, Two Sigma Ventures</t>
  </si>
  <si>
    <t>Laundry Day2_11AM</t>
  </si>
  <si>
    <t>Spending in 2020</t>
  </si>
  <si>
    <t>Cyan Banister, Founders Fund</t>
  </si>
  <si>
    <t>Selcuk Atli, Bunch</t>
  </si>
  <si>
    <t>Ben Howard, CBS Interactive</t>
  </si>
  <si>
    <t>Teaser: Brad Smith _Intro</t>
  </si>
  <si>
    <t xml:space="preserve">Teaser: Brad Smith </t>
  </si>
  <si>
    <t>Climate</t>
  </si>
  <si>
    <t>How can we save lives with seaweed?</t>
  </si>
  <si>
    <t>Sea Fawn Briganti, LOLIWARE</t>
  </si>
  <si>
    <t>Pitch reel</t>
  </si>
  <si>
    <t xml:space="preserve">Pitch Semi-Final group 1 of 3 </t>
  </si>
  <si>
    <t>How to trump the Trump economy</t>
  </si>
  <si>
    <t>John Negroponte, McLarty Associates</t>
  </si>
  <si>
    <t>Cameron Kerry, Brookings Institution</t>
  </si>
  <si>
    <t>Martina Fuchs, CGTN</t>
  </si>
  <si>
    <t>Optimism is a choice</t>
  </si>
  <si>
    <t>Lily Cole, Impossible</t>
  </si>
  <si>
    <t xml:space="preserve">LaundryDay2_12pm </t>
  </si>
  <si>
    <t xml:space="preserve"> Can data save the world?</t>
  </si>
  <si>
    <t>Jeannie Annan, International Rescue Committee</t>
  </si>
  <si>
    <t>Bettina Stix, Amazon</t>
  </si>
  <si>
    <t>Simon Robinson, Reuters</t>
  </si>
  <si>
    <t>Teaser: Sidewalk Labs_Intro</t>
  </si>
  <si>
    <t>Teaser: Sidewalk Labs</t>
  </si>
  <si>
    <t>Advertising in 2021</t>
  </si>
  <si>
    <t>Carolina Abenante, NYIAX</t>
  </si>
  <si>
    <t>Dave Pickles, The Trade Desk</t>
  </si>
  <si>
    <t>Cheryl Contee, Do Big Things</t>
  </si>
  <si>
    <t>How Canada can restart its startup ecosystem</t>
  </si>
  <si>
    <t>Jean-François Gagné, Element AI</t>
  </si>
  <si>
    <t>Martin Basiri, ApplyBoard</t>
  </si>
  <si>
    <t>Amber Mac, CTV</t>
  </si>
  <si>
    <t>Laundry Day2_1PM</t>
  </si>
  <si>
    <t xml:space="preserve">Inside the New York Times </t>
  </si>
  <si>
    <t>Sameen Amin, The New York Times</t>
  </si>
  <si>
    <t>Teaser: Call of Duty_Intro</t>
  </si>
  <si>
    <t>Gaming</t>
  </si>
  <si>
    <t>Teaser: Call of Duty</t>
  </si>
  <si>
    <t>Leadership amid uncertainty</t>
  </si>
  <si>
    <t>Jeremy Zimmer, United Talent Agency</t>
  </si>
  <si>
    <t>Dylan Byers, NBCUniversal</t>
  </si>
  <si>
    <t>Sport</t>
  </si>
  <si>
    <t>Business builders: Life off the court</t>
  </si>
  <si>
    <t>Al Harrington, NBA</t>
  </si>
  <si>
    <t>Langston Galloway, Detroit Pistons</t>
  </si>
  <si>
    <t>Rondae Hollis Jefferson, Toronto Raptors</t>
  </si>
  <si>
    <t>Randy Osei, Rozaay Management</t>
  </si>
  <si>
    <t>Teaser: Laurent Duvernay-Tardif_Intro</t>
  </si>
  <si>
    <t>Teaser: Laurent Duvernay-Tardif</t>
  </si>
  <si>
    <t xml:space="preserve">Pitch Semi-Final group 2 of 3 </t>
  </si>
  <si>
    <t>Day 3 - 25/06</t>
  </si>
  <si>
    <t>Facetune: Is AI making us more creative?</t>
  </si>
  <si>
    <t>Zeev Farbman, Lightricks</t>
  </si>
  <si>
    <t>MTS_3_Lockdown</t>
  </si>
  <si>
    <t>Laundry Day2_2PM</t>
  </si>
  <si>
    <t>What would you do? The ethics of fighting COVID</t>
  </si>
  <si>
    <t>Michael Dowling, Northwell Health</t>
  </si>
  <si>
    <t>Jonathan LaMantia, Crain's New York Business</t>
  </si>
  <si>
    <t>Teaser: LinkedIn_Intro</t>
  </si>
  <si>
    <t xml:space="preserve">Teaser: LinkedIn </t>
  </si>
  <si>
    <t>Social Media</t>
  </si>
  <si>
    <t>Customer care will never be the same again</t>
  </si>
  <si>
    <t>Ragy Thomas, Sprinklr</t>
  </si>
  <si>
    <t>François-Xavier Pierrel, JCDecaux</t>
  </si>
  <si>
    <t>Will sports ever be the same?</t>
  </si>
  <si>
    <t>Lee Trink, FazeClan</t>
  </si>
  <si>
    <t>Adam Goodman, Invisible Narratives</t>
  </si>
  <si>
    <t>John Koetsier, Forbes, Freelance</t>
  </si>
  <si>
    <t>MTS_10_Advice</t>
  </si>
  <si>
    <t>The internet of wild things</t>
  </si>
  <si>
    <t>Topher White, Rainforest Connection</t>
  </si>
  <si>
    <t>Laundry Day2_3PM</t>
  </si>
  <si>
    <t xml:space="preserve">Telling your story in challenging times </t>
  </si>
  <si>
    <t>Rosemarie Ryan, co:collective</t>
  </si>
  <si>
    <t>Cynthia Johnson, Entrepreneur Magazine/Bell and Ivy</t>
  </si>
  <si>
    <t>N/A</t>
  </si>
  <si>
    <t>Teaser: Shay Mitchell_Intro</t>
  </si>
  <si>
    <t>Teaser: Shay Mitchell</t>
  </si>
  <si>
    <t>High fashion in recession</t>
  </si>
  <si>
    <t>Imran Amed, Business of Fashion</t>
  </si>
  <si>
    <t>The importance of mindfulness in light of Covid-19</t>
  </si>
  <si>
    <t>Rich Pierson, Headspace</t>
  </si>
  <si>
    <t>Laurie Segall, Dot Dot Dot Media</t>
  </si>
  <si>
    <t>Teaser: Alexa_Intro</t>
  </si>
  <si>
    <t>Teaser: Alexa</t>
  </si>
  <si>
    <t>PITCH semi-final round 3 of 3</t>
  </si>
  <si>
    <t>Laundry Day2_4PM</t>
  </si>
  <si>
    <t>Separating hype from true change</t>
  </si>
  <si>
    <t>Nicholas Negroponte, MIT Media Lab</t>
  </si>
  <si>
    <t>Nick Grossman, Union Square Ventures</t>
  </si>
  <si>
    <t>Scott Omelianuk, INC. Magazine</t>
  </si>
  <si>
    <t>Teaser: Paypal_Intro</t>
  </si>
  <si>
    <t>Payments</t>
  </si>
  <si>
    <t>Teaser: Paypal</t>
  </si>
  <si>
    <t>Small business in a pandemic economy</t>
  </si>
  <si>
    <t>Rob Frohwein, Kabbage</t>
  </si>
  <si>
    <t>Joshua Gans, Rotman School of Management, University of Toronto</t>
  </si>
  <si>
    <t>Andrea Johnson, Dentons Venture Technology Group</t>
  </si>
  <si>
    <t>Past pitch winner 1:  Torch.io</t>
  </si>
  <si>
    <t>Pitch Finalists announced</t>
  </si>
  <si>
    <t>Startups everywhere navigating the future of work</t>
  </si>
  <si>
    <t>Steve Case, Revolution</t>
  </si>
  <si>
    <t>Ryan Simonetti, Convene</t>
  </si>
  <si>
    <t>Nicholas Thompson, Wired</t>
  </si>
  <si>
    <t>Closing remarks_DAY 2</t>
  </si>
  <si>
    <t>DAY 3 - Thursday, 25 June</t>
  </si>
  <si>
    <t>Laundry Day3_10AM</t>
  </si>
  <si>
    <t>Inside SoftBank: Changing customer behaviour</t>
  </si>
  <si>
    <t>Jeff Housenbold, SoftBank Vision Fund</t>
  </si>
  <si>
    <t>Gina Chon, Reuters Breakingviews</t>
  </si>
  <si>
    <t>Teaser: Sony Pictures Animation_Intro</t>
  </si>
  <si>
    <t>Teaser: Sony Pictures Animation</t>
  </si>
  <si>
    <t>MTS_4_Lockdown</t>
  </si>
  <si>
    <t>From surviving to thriving: Brands chart a new path forward</t>
  </si>
  <si>
    <t>Elizabeth Rutledge, American Express</t>
  </si>
  <si>
    <t>Saneel Radia, R/GA</t>
  </si>
  <si>
    <t>MTS_8_Lockdown</t>
  </si>
  <si>
    <t>This was tomorrow. What's next for your brand?</t>
  </si>
  <si>
    <t>Fabian Birgfeld, W12 Studios</t>
  </si>
  <si>
    <t>Society</t>
  </si>
  <si>
    <t>Racial and climate justice in the post-Covid economy</t>
  </si>
  <si>
    <t>Tom Steyer, California's Task Force for Jobs and Re-Opening</t>
  </si>
  <si>
    <t>Speaker pending</t>
  </si>
  <si>
    <t>Laundry Day3_11AM</t>
  </si>
  <si>
    <t>How is tech taking Covid-19 to task?</t>
  </si>
  <si>
    <t>Eric Hobbs, Berkeley Lights</t>
  </si>
  <si>
    <t>Mark Stibich, Xenex</t>
  </si>
  <si>
    <t>Paul Nuki, The Daily Telegraph</t>
  </si>
  <si>
    <t xml:space="preserve">Teaser: Boston Dynamics_Intro </t>
  </si>
  <si>
    <t>Robotics</t>
  </si>
  <si>
    <t>Teaser: Boston Dynamics</t>
  </si>
  <si>
    <t xml:space="preserve">Web Summit promo </t>
  </si>
  <si>
    <t>Scaling</t>
  </si>
  <si>
    <t>New startup wisdom: Goodbye vitamins, hello cocktails</t>
  </si>
  <si>
    <t>Bob Moore, Crossbeam</t>
  </si>
  <si>
    <t>Time to ditch the Silicon Valley way?</t>
  </si>
  <si>
    <t>Alex Lazarow, Cathay Innovation</t>
  </si>
  <si>
    <t>Taso Du Val, Toptal</t>
  </si>
  <si>
    <t>Michele Romanow, Clearbanc</t>
  </si>
  <si>
    <t>Jason Abbruzzese, NBC News</t>
  </si>
  <si>
    <t xml:space="preserve">Recruiting in a recession </t>
  </si>
  <si>
    <t>Frida Polli, Pymetrics</t>
  </si>
  <si>
    <t>Polina Montano, JobToday</t>
  </si>
  <si>
    <t>Emma Hinchliffe, Fortune</t>
  </si>
  <si>
    <t>Laundry Day3_12PM</t>
  </si>
  <si>
    <t>meet the past pitch winner: Torch.io</t>
  </si>
  <si>
    <t xml:space="preserve">PITCH final </t>
  </si>
  <si>
    <t>Teaser: Margaret Atwood_Intro</t>
  </si>
  <si>
    <t>Teaser: Margaret Atwood</t>
  </si>
  <si>
    <t>Web summit promo</t>
  </si>
  <si>
    <t>Love and dating during lockdown</t>
  </si>
  <si>
    <t>Hesam Hosseini, Match Group</t>
  </si>
  <si>
    <t>Malgosia Green, Plenty of Fish</t>
  </si>
  <si>
    <t>Teaser: Buzzfeed_Intro</t>
  </si>
  <si>
    <t>Teaser: Buzzfeed</t>
  </si>
  <si>
    <t>Politics</t>
  </si>
  <si>
    <t>Safeguarding the 2020 elections</t>
  </si>
  <si>
    <t>Ellen Weintraub, US Federal Election Commission</t>
  </si>
  <si>
    <t>Donie O'Sullivan, CNN</t>
  </si>
  <si>
    <t>Retail</t>
  </si>
  <si>
    <t>Retail is dead. Long live retail!</t>
  </si>
  <si>
    <t>Winston Fisher, Area 15</t>
  </si>
  <si>
    <t>Ron Johnson, Enjoy</t>
  </si>
  <si>
    <t>Ko Im, Adweek</t>
  </si>
  <si>
    <t>Laundry Day3_1PM</t>
  </si>
  <si>
    <t xml:space="preserve">Do we really need offices? A workplace story </t>
  </si>
  <si>
    <t>Anne Marie Squeo, Xerox</t>
  </si>
  <si>
    <t>Maud Meister, Code and Theory</t>
  </si>
  <si>
    <t>Jared Lindzon, The Globe and Mail</t>
  </si>
  <si>
    <t>Teaser: Max Levchin _Intro</t>
  </si>
  <si>
    <t>Finance</t>
  </si>
  <si>
    <t xml:space="preserve">Teaser: Max Levchin </t>
  </si>
  <si>
    <t>MTS_9_Advice</t>
  </si>
  <si>
    <t>Long live the kings of sports and media</t>
  </si>
  <si>
    <t>Matt Kalish, DraftKings</t>
  </si>
  <si>
    <t>Zack Weiner, Overtime</t>
  </si>
  <si>
    <t>George Slefo, Ad Age</t>
  </si>
  <si>
    <t>Teaser: Gronk_Intro</t>
  </si>
  <si>
    <t>Teaser: Gronk</t>
  </si>
  <si>
    <t>Canada in 2021</t>
  </si>
  <si>
    <t>Navdeep Bains, Government of Canada</t>
  </si>
  <si>
    <t>How I turned my passion into a billion-dollar business</t>
  </si>
  <si>
    <t>Josh Luber, StockX</t>
  </si>
  <si>
    <t>Laundry Day3_2PM</t>
  </si>
  <si>
    <t>Hope Solo: Building a better America</t>
  </si>
  <si>
    <t>Hope Solo, USWNT</t>
  </si>
  <si>
    <t>Ger Gilroy, Off The Ball</t>
  </si>
  <si>
    <t>MTS_1_InfluentialPerson</t>
  </si>
  <si>
    <t>Teaser:  Nikolaj Coster Waldau_Intro</t>
  </si>
  <si>
    <t>Teaser:  Nikolaj Coster Waldau</t>
  </si>
  <si>
    <t>Blowing the whistle the right way</t>
  </si>
  <si>
    <t>John Tye, Whistleblower Aid</t>
  </si>
  <si>
    <t>Mark Zaid, Whistleblower Aid</t>
  </si>
  <si>
    <t>Simone Grimes, Federal Housing Finance Agency</t>
  </si>
  <si>
    <t>Steve Clemons, The Hill</t>
  </si>
  <si>
    <t>Teaser: Arm_Intro</t>
  </si>
  <si>
    <t>Teaser: Arm</t>
  </si>
  <si>
    <t>What to do when you're in the spotlight</t>
  </si>
  <si>
    <t>Terrell Owens, Terrell Owens</t>
  </si>
  <si>
    <t>Joe La Puma, Complex Networks</t>
  </si>
  <si>
    <t>Jade Scipioni, NBCUniversal</t>
  </si>
  <si>
    <t>Laundry Day3_3PM</t>
  </si>
  <si>
    <t>Marketing</t>
  </si>
  <si>
    <t xml:space="preserve"> It's an app-eat-app world </t>
  </si>
  <si>
    <t>Mada Seghete, Branch</t>
  </si>
  <si>
    <t>Deirdre McGlashan, MediaCom</t>
  </si>
  <si>
    <t>Teaser: Tencent &amp;. Ailish Campbell_Intro</t>
  </si>
  <si>
    <t>Trade</t>
  </si>
  <si>
    <t>Teaser: Tencent &amp;. Ailish Campbell</t>
  </si>
  <si>
    <t>The big picture: What's next for Canada?</t>
  </si>
  <si>
    <t>Armughan Ahmad, KPMG</t>
  </si>
  <si>
    <t xml:space="preserve">Canada post-pandemic </t>
  </si>
  <si>
    <t>David McKay, RBC (Royal Bank of Canada)</t>
  </si>
  <si>
    <t>Joe Natale, Rogers Communications Inc.</t>
  </si>
  <si>
    <t>Goldy Hyder, The Business Council of Canada</t>
  </si>
  <si>
    <t>How to cover big tech</t>
  </si>
  <si>
    <t>Olivia Solon, NBC News</t>
  </si>
  <si>
    <t>Laundry Day3_4PM</t>
  </si>
  <si>
    <t xml:space="preserve"> </t>
  </si>
  <si>
    <t>An investment model for the 'crisis climate'</t>
  </si>
  <si>
    <t>David Chao, DCM</t>
  </si>
  <si>
    <t>SC Moatti, Mighty Capital</t>
  </si>
  <si>
    <t>Maureen Farrell, The Wall Street Journal</t>
  </si>
  <si>
    <t>The world works from home</t>
  </si>
  <si>
    <t>David Henshall, Citrix</t>
  </si>
  <si>
    <t>Dave Smith, Business Insider</t>
  </si>
  <si>
    <t>Meet a past PITCH winner: Chelsea Briganti</t>
  </si>
  <si>
    <t>Announcing PITCH winner</t>
  </si>
  <si>
    <t>Parag Agrawal, Twitter</t>
  </si>
  <si>
    <t>Closing remarks_DAY 3</t>
  </si>
  <si>
    <t>CHANNEL 2</t>
  </si>
  <si>
    <t>Collision From Home Day Intro Video</t>
  </si>
  <si>
    <t>Holding graphic</t>
  </si>
  <si>
    <t>Channel 2 Day 1 Top of the day intro VO holding graphic</t>
  </si>
  <si>
    <t>Emerging AI applications and innovations</t>
  </si>
  <si>
    <t>Tian Wu, Baidu</t>
  </si>
  <si>
    <t>Partner ad roll #2_STARTUP PORTUGAL</t>
  </si>
  <si>
    <t>The untapped potential of AI</t>
  </si>
  <si>
    <t>Foteini Agrafioti, RBC</t>
  </si>
  <si>
    <t>Husayn Kassai, Onfido</t>
  </si>
  <si>
    <t>Daniela Braga, DefinedCrowd</t>
  </si>
  <si>
    <t>Xin Liu, CGTN</t>
  </si>
  <si>
    <t>Education</t>
  </si>
  <si>
    <t xml:space="preserve">How tech can help us think critically </t>
  </si>
  <si>
    <t>Grant Ingersoll, Wikimedia Foundation</t>
  </si>
  <si>
    <t>Talk Outro - Q&amp;A Mention</t>
  </si>
  <si>
    <t>High-quality experiences in times of high demand</t>
  </si>
  <si>
    <t>Greg Peters, Netflix</t>
  </si>
  <si>
    <t>Chip Paucek, 2U</t>
  </si>
  <si>
    <t>NO MOD REQUIRED</t>
  </si>
  <si>
    <t>Documentaries for change</t>
  </si>
  <si>
    <t>Mariana van Zeller, National Geographic</t>
  </si>
  <si>
    <t>Kathryn Everett, XTR</t>
  </si>
  <si>
    <t>Camille Dundas, byblacks.com</t>
  </si>
  <si>
    <t>Spotify's battle to win hearts, minds and ears</t>
  </si>
  <si>
    <t>Dawn Ostroff, Spotify</t>
  </si>
  <si>
    <t>Dylan Byers, NBC News</t>
  </si>
  <si>
    <t xml:space="preserve">Building a new (design) culture </t>
  </si>
  <si>
    <t>Mauro Porcini, PepsiCo</t>
  </si>
  <si>
    <t>Humans and AI: How to work well together</t>
  </si>
  <si>
    <t>Karen Myers, SRI International</t>
  </si>
  <si>
    <t xml:space="preserve">Talk outro </t>
  </si>
  <si>
    <t>Time to spare in this track</t>
  </si>
  <si>
    <t>Covid-19: Overcoming the CX Challenge</t>
  </si>
  <si>
    <t>Ganesh Srivats, Moda Operandi</t>
  </si>
  <si>
    <t>Katia Beauchamp, Birchbox</t>
  </si>
  <si>
    <t>Sapna Maheshwari, The New York Times</t>
  </si>
  <si>
    <t>40 Words</t>
  </si>
  <si>
    <t>40 Words #3_Sym</t>
  </si>
  <si>
    <t>RISE trailer - short</t>
  </si>
  <si>
    <t>Partner logo reel #1</t>
  </si>
  <si>
    <t>Partner logo reel #2</t>
  </si>
  <si>
    <t>Speaker Intro Video</t>
  </si>
  <si>
    <t>Where Facebook is putting its money</t>
  </si>
  <si>
    <t>David Fischer, Facebook</t>
  </si>
  <si>
    <t>Kurt Wagner, Bloomberg</t>
  </si>
  <si>
    <t>Actually – not artificially – intelligent drones</t>
  </si>
  <si>
    <t>Bobby Healy, Manna</t>
  </si>
  <si>
    <t>Building a community-first business empire</t>
  </si>
  <si>
    <t>Huda Kattan, Huda Beauty</t>
  </si>
  <si>
    <t>Mona Kattan, Huda Beauty</t>
  </si>
  <si>
    <t>Samantha Barry, Glamour</t>
  </si>
  <si>
    <t xml:space="preserve">Talk Outro </t>
  </si>
  <si>
    <t>Keep calm and educate: Covid, kids and learning</t>
  </si>
  <si>
    <t>Henrietta Fore, UNICEF</t>
  </si>
  <si>
    <t>Tracy McVeigh, The Guardian</t>
  </si>
  <si>
    <t>RISE Trailer - short</t>
  </si>
  <si>
    <t>Partner ad #1- The Corporation of the City of Brampton</t>
  </si>
  <si>
    <t>Shaquille O'Neal: Changing the game for workers</t>
  </si>
  <si>
    <t>Shaquille O'Neal, Steady App</t>
  </si>
  <si>
    <t>Adam Roseman, Steady App</t>
  </si>
  <si>
    <t>40 Words #5_HourOne</t>
  </si>
  <si>
    <t>Partner logoreel #3 TBC</t>
  </si>
  <si>
    <t>How will gen Z shape the future of legacy businesses?</t>
  </si>
  <si>
    <t>Vanessa Colella, Citi bank</t>
  </si>
  <si>
    <t>Nadja Swarovski, Swarovski</t>
  </si>
  <si>
    <t>Vinay Solanki, Channel 4 Ventures</t>
  </si>
  <si>
    <t>Template</t>
  </si>
  <si>
    <t>Footage Source</t>
  </si>
  <si>
    <t>Backup Title</t>
  </si>
  <si>
    <t>Audio rip</t>
  </si>
  <si>
    <t>Audio Done (if applicable)</t>
  </si>
  <si>
    <t>QC Final</t>
  </si>
  <si>
    <t>Re-do Edit</t>
  </si>
  <si>
    <t>Re-do Recording</t>
  </si>
  <si>
    <t>Edit Duration</t>
  </si>
  <si>
    <t>40 Words #7_Crux OCM</t>
  </si>
  <si>
    <t>Editor Notes</t>
  </si>
  <si>
    <t>Finished Link</t>
  </si>
  <si>
    <t>40 Words #9_Cuckoo</t>
  </si>
  <si>
    <t>Look, listen – then lead</t>
  </si>
  <si>
    <t>David Yovanno, Impact</t>
  </si>
  <si>
    <t>Partner Adroll #3 TBC</t>
  </si>
  <si>
    <t>40 Words #17_Grandpal</t>
  </si>
  <si>
    <t>Misinformation in the time of coronavirus</t>
  </si>
  <si>
    <t>Justin Smith, Bloomberg Media</t>
  </si>
  <si>
    <t>Ben Smith, The New York Times</t>
  </si>
  <si>
    <t>Sally Buzbee, Associated Press</t>
  </si>
  <si>
    <t>Larry Madowo, BBC</t>
  </si>
  <si>
    <t>Paid-for content: Unavoidable or elitist?</t>
  </si>
  <si>
    <t>John Ridding, Financial Times</t>
  </si>
  <si>
    <t>Michelle Manafy, Digital Content Next</t>
  </si>
  <si>
    <t>Politics and papers: What do Americans want?</t>
  </si>
  <si>
    <t>Lauren Williams, Vox</t>
  </si>
  <si>
    <t>Emily Ragobeer, Freelance</t>
  </si>
  <si>
    <t>Can newsrooms survive a Covid-caused recession?</t>
  </si>
  <si>
    <t>Catherine Tait, CBC</t>
  </si>
  <si>
    <t>Ben de Pear, Channel 4 News</t>
  </si>
  <si>
    <t>Eleanor Mills, Women in Journalism</t>
  </si>
  <si>
    <t>Is education on the cusp of a revolution?</t>
  </si>
  <si>
    <t>Rhonda Lenton, York University</t>
  </si>
  <si>
    <t>Arne Schepker, Babbel</t>
  </si>
  <si>
    <t>Matt Hulett, Rosetta Stone</t>
  </si>
  <si>
    <t>Takara Small, CBC Radio</t>
  </si>
  <si>
    <t>Partner Adroll #4 TBC</t>
  </si>
  <si>
    <t>The future of consumer and brand loyalty</t>
  </si>
  <si>
    <t>David Eun, Samsung</t>
  </si>
  <si>
    <t>Steven Wolfe Pereira, Encantos</t>
  </si>
  <si>
    <t>Michelle Ebanks, Essence</t>
  </si>
  <si>
    <t>Building human connection with emotion AI</t>
  </si>
  <si>
    <t>Rana el Kaliouby, Affectiva</t>
  </si>
  <si>
    <t>Talk Outro - Q&amp;A MENTION</t>
  </si>
  <si>
    <t>Partner Adroll # 5 - CITY OF LISBON</t>
  </si>
  <si>
    <t>Web Summit Trailer - short - HAS TO STAY AS A WS TRAILER</t>
  </si>
  <si>
    <t>Educating designers for pandemic response</t>
  </si>
  <si>
    <t>Rachel Schreiber, Parsons School of Design</t>
  </si>
  <si>
    <t>Going viral: How far will Covid-19 go?</t>
  </si>
  <si>
    <t>Leana Wen, George Washington University</t>
  </si>
  <si>
    <t>Dorry Segev, Johns Hopkins School of Medicine</t>
  </si>
  <si>
    <t>Anjalee Khemlani, Yahoo Finance</t>
  </si>
  <si>
    <t>Covid-19 : Digital Healthcare’s time to shine</t>
  </si>
  <si>
    <t>Ali Parsa, Babylon Health</t>
  </si>
  <si>
    <t>David Rowan, Wired</t>
  </si>
  <si>
    <t>1 - Channel</t>
  </si>
  <si>
    <t>Fighting Covid by hacking the human OS</t>
  </si>
  <si>
    <t>Ali Rezai, Rockfeller Neuroscience Institute</t>
  </si>
  <si>
    <t>How to Thrive in the next normal</t>
  </si>
  <si>
    <t>Arianna Huffington, Thrive Global</t>
  </si>
  <si>
    <t>2 - Channel</t>
  </si>
  <si>
    <t>Collision From Home Day Outro</t>
  </si>
  <si>
    <t>3 - Channel</t>
  </si>
  <si>
    <t>Video</t>
  </si>
  <si>
    <t>4 - Channel</t>
  </si>
  <si>
    <t>How to win the US presidency</t>
  </si>
  <si>
    <t>Joe Pounder, Bullpen Strategy Group</t>
  </si>
  <si>
    <t>Brian Tyler Cohen, Brian Tyler Cohen</t>
  </si>
  <si>
    <t>Sabrina Siddiqui, The Wall Street Journal</t>
  </si>
  <si>
    <t>5 - Channel</t>
  </si>
  <si>
    <t>ID null</t>
  </si>
  <si>
    <t>Partner Adroll - #1 ASSIGNED TO YEXT</t>
  </si>
  <si>
    <t>6 - Channel</t>
  </si>
  <si>
    <t>KEYNOTE 6 - Video to be recorded</t>
  </si>
  <si>
    <t>Hugh</t>
  </si>
  <si>
    <t>7 - Channel</t>
  </si>
  <si>
    <t>Hacking policy: Tech as a force for good</t>
  </si>
  <si>
    <t>Ro Khanna, US House of Representatives</t>
  </si>
  <si>
    <t>Robin Kelly, House of Representatives</t>
  </si>
  <si>
    <t>Deirdre Bosa, CNBC</t>
  </si>
  <si>
    <t>8 - Channel</t>
  </si>
  <si>
    <t>2 CAM</t>
  </si>
  <si>
    <t>https://drive.google.com/drive/folders/1tIR_uXFm09nimDEPyy4cKvNdpoxF2tGW</t>
  </si>
  <si>
    <t>Elections in a post-Covid world</t>
  </si>
  <si>
    <t>Sheila Nix, Tusk Holdings</t>
  </si>
  <si>
    <t>Lea Endres, Nationbuilder</t>
  </si>
  <si>
    <t>Making it real. (Fast.)</t>
  </si>
  <si>
    <t>Emily Oberman, Pentagram</t>
  </si>
  <si>
    <t>Duration: 13.42</t>
  </si>
  <si>
    <t>https://drive.google.com/open?id=1iY8ZSeFkqY1lBg5GFNY6Lks6-zg-Dt6l</t>
  </si>
  <si>
    <t>Designing for the voice-enabled future</t>
  </si>
  <si>
    <t>Nithya Thadani, RAIN agency</t>
  </si>
  <si>
    <t>NON-KEYNOTE 9 - COMPLETE</t>
  </si>
  <si>
    <t>Dan</t>
  </si>
  <si>
    <t>9 - Channel</t>
  </si>
  <si>
    <t>40 words #1 _Forecast</t>
  </si>
  <si>
    <t>10 - Channel</t>
  </si>
  <si>
    <t>The future of Lime</t>
  </si>
  <si>
    <t>Li Fan, Lime</t>
  </si>
  <si>
    <t>11 - Channel</t>
  </si>
  <si>
    <t>Leisha Santorelli, BBC/British Broadcasting Corporation</t>
  </si>
  <si>
    <t>Partner Adroll #2_Ontario Government</t>
  </si>
  <si>
    <t>12 - Channel</t>
  </si>
  <si>
    <t>13 - Channel</t>
  </si>
  <si>
    <t>Ambient intelligence: The next frontier for AI</t>
  </si>
  <si>
    <t>Bharath Kadaba, Intuit</t>
  </si>
  <si>
    <t>https://drive.google.com/drive/folders/1qvJvOXvSWA6TwzWg2tEglNiZBqaGUim5</t>
  </si>
  <si>
    <t>Tech transforming sports</t>
  </si>
  <si>
    <t xml:space="preserve">@00:01:02 &amp; 00:01:06 I have made cuts to remove a crying baby. Small trims to pauses after questions throughout for better flow. </t>
  </si>
  <si>
    <t>John Levy, theScore</t>
  </si>
  <si>
    <t>Alberto Horihuela, fuboTV</t>
  </si>
  <si>
    <t>Asaf Peled, Minute Media</t>
  </si>
  <si>
    <t>Emil Protalinski, VentureBeat</t>
  </si>
  <si>
    <t>https://drive.google.com/open?id=1hbbbTmBxPpAxQvcDKvDOsgbIPwgPu-YY</t>
  </si>
  <si>
    <t>40 Words #11_Recroot</t>
  </si>
  <si>
    <t>Recording MISSED/NEEDS TO BE RERECORDED/RESCHEDULED</t>
  </si>
  <si>
    <t>Lobna</t>
  </si>
  <si>
    <t>14 - Channel</t>
  </si>
  <si>
    <t>Pragmatism beats privacy</t>
  </si>
  <si>
    <t>Shane Curran, Evervault</t>
  </si>
  <si>
    <t>15 - Channel</t>
  </si>
  <si>
    <t>Smart Cities</t>
  </si>
  <si>
    <t>16 - Channel</t>
  </si>
  <si>
    <t>The new age of urban mobility</t>
  </si>
  <si>
    <t>Jay Walder, Virgin Hyperloop One</t>
  </si>
  <si>
    <t>Andrew J. Hawkins, The Verge</t>
  </si>
  <si>
    <t>17 - Channel</t>
  </si>
  <si>
    <t>Are smart cities safer?</t>
  </si>
  <si>
    <t>Dan Doctoroff, Sidewalk Labs</t>
  </si>
  <si>
    <t>18 - Channel</t>
  </si>
  <si>
    <t>40 Words #13_London Trade Art</t>
  </si>
  <si>
    <t>19 - Channel</t>
  </si>
  <si>
    <t>Green cities: Driving sustainable environments</t>
  </si>
  <si>
    <t>Fernando Medina, City of Lisbon</t>
  </si>
  <si>
    <t>Stuart Lombard, ecobee</t>
  </si>
  <si>
    <t>Emma Nehrenheim, Northvolt</t>
  </si>
  <si>
    <t>Nicole Systrom, Sutro Energy Group</t>
  </si>
  <si>
    <t>https://drive.google.com/drive/folders/1wEDdSckf5cRMW94q4Tat_3cjVTQes0vY</t>
  </si>
  <si>
    <t>Waste is a design flaw</t>
  </si>
  <si>
    <t>Emma Rose Cohen, Final</t>
  </si>
  <si>
    <t>Duration: 09:00:00</t>
  </si>
  <si>
    <t>https://drive.google.com/open?id=1Z3QpqkVL_7mrevCFEe3Xt0oPEI0aCj6d</t>
  </si>
  <si>
    <t>40 words #15_Pawlytics</t>
  </si>
  <si>
    <t>20 - Channel</t>
  </si>
  <si>
    <t>Laundry list/look around</t>
  </si>
  <si>
    <t>Partner Adroll #3</t>
  </si>
  <si>
    <t>21 - Channel</t>
  </si>
  <si>
    <t>Partner Adroll #4</t>
  </si>
  <si>
    <t>22 - Channel</t>
  </si>
  <si>
    <t>Self-care in a pandemic</t>
  </si>
  <si>
    <t>Neda Gould, Johns Hopkins School of Medicine</t>
  </si>
  <si>
    <t>Ariel Garten, InteraXon</t>
  </si>
  <si>
    <t>Ruth Reader, Fast Company</t>
  </si>
  <si>
    <t>23 - Channel</t>
  </si>
  <si>
    <t>How to beat diabetes</t>
  </si>
  <si>
    <t>24 - Channel</t>
  </si>
  <si>
    <t>Max Domi, Montreal Canadiens</t>
  </si>
  <si>
    <t>Laura Endres, Dexcom</t>
  </si>
  <si>
    <t>https://drive.google.com/drive/folders/1wmrOYdNyEvigaHNigHBIUWgp67x6dQkD</t>
  </si>
  <si>
    <t>Duration: 12.42, the producer has acknowledged that the talk runs over in his notes</t>
  </si>
  <si>
    <t>https://drive.google.com/open?id=1fwB5uUe8L6OyublzbsenYcTc_vsNIkws</t>
  </si>
  <si>
    <t>The death of disease?</t>
  </si>
  <si>
    <t>Sami Inkinen, Virta Health</t>
  </si>
  <si>
    <t>Mickey Kertesz, Karius</t>
  </si>
  <si>
    <t>Elizabeth O'Day, Olaris</t>
  </si>
  <si>
    <t>25 - Channel</t>
  </si>
  <si>
    <t>26 - Channel</t>
  </si>
  <si>
    <t xml:space="preserve">The Super Bowl champion fighting COVID-19
</t>
  </si>
  <si>
    <t>Laurent Duvernay-Tardif, Kansas City Chiefs</t>
  </si>
  <si>
    <t>Sheinelle Jones, NBC News</t>
  </si>
  <si>
    <t>27 - Channel</t>
  </si>
  <si>
    <t>28 - Channel</t>
  </si>
  <si>
    <t>Seek the hidden dragon</t>
  </si>
  <si>
    <t>Brian Collins, Collins</t>
  </si>
  <si>
    <t>29 - Channel</t>
  </si>
  <si>
    <t>30 - Channel</t>
  </si>
  <si>
    <t>How brands connect in a virtual world</t>
  </si>
  <si>
    <t>Melissa Selcher, LinkedIn</t>
  </si>
  <si>
    <t>Neil Parker, co:collective</t>
  </si>
  <si>
    <t>31 - Channel</t>
  </si>
  <si>
    <t>Partner Adroll #5_AWS</t>
  </si>
  <si>
    <t>https://drive.google.com/drive/folders/10lSFtGfU_wqJOgTnLdOfGqP6YdR0U9S_</t>
  </si>
  <si>
    <t xml:space="preserve">No hype: Deploying real-world machine learning </t>
  </si>
  <si>
    <t>Swami Sivasubramanian, Amazon Web Services</t>
  </si>
  <si>
    <t>00:07:24 - Had to remove iphone notification so slight speech cut was needed, but it seems to flow normally</t>
  </si>
  <si>
    <t>Connection isn't great due to NYC wifi issue. Still passable. Jump cut at 20:08 will switch to 1CAM to fix</t>
  </si>
  <si>
    <t>https://drive.google.com/open?id=1U5HEATjTQYV6jMWsuLZyxWP5bTKa1QlN</t>
  </si>
  <si>
    <t>From Olympic hopeful to high-stakes poker</t>
  </si>
  <si>
    <t>Molly Bloom, Molly's Game</t>
  </si>
  <si>
    <t>Brian</t>
  </si>
  <si>
    <t>32 - Channel</t>
  </si>
  <si>
    <t>33 - Channel</t>
  </si>
  <si>
    <t>Is big tech killing the economy?</t>
  </si>
  <si>
    <t>Matt Stoller, American Economic Liberties Project</t>
  </si>
  <si>
    <t>34 - Channel</t>
  </si>
  <si>
    <t>35 - Channel</t>
  </si>
  <si>
    <t>Ryan Heath, POLITICO</t>
  </si>
  <si>
    <t>3 CAM</t>
  </si>
  <si>
    <t>https://drive.google.com/drive/folders/1RpMz22EJVhb1QWqG-jX3BafiT9K-Iemv</t>
  </si>
  <si>
    <t>Love and dating post lockdown</t>
  </si>
  <si>
    <t>Fundraising</t>
  </si>
  <si>
    <t>Seeing opportunity in crisis</t>
  </si>
  <si>
    <t>00:15:02:06 - No Welcome to Clips</t>
  </si>
  <si>
    <t>Mike Volpi, Index Ventures</t>
  </si>
  <si>
    <t>https://drive.google.com/open?id=1ojkIasKIQy1a5aMMRpqpcD4QGXarGbEq</t>
  </si>
  <si>
    <t>Zachary Karabell, Wired</t>
  </si>
  <si>
    <t>KEYNOTE 8 - COMPLETE</t>
  </si>
  <si>
    <t>36 - Channel</t>
  </si>
  <si>
    <t>The power of AI and voice post-pandemic</t>
  </si>
  <si>
    <t>Tom Taylor, Amazon</t>
  </si>
  <si>
    <t>37 - Channel</t>
  </si>
  <si>
    <t>The void of ethical leadership</t>
  </si>
  <si>
    <t>Harris Diamond, McCann Worldgroup</t>
  </si>
  <si>
    <t>38 - Channel</t>
  </si>
  <si>
    <t>Diego Scotti, Verizon</t>
  </si>
  <si>
    <t>Nicole Carroll, USA Today</t>
  </si>
  <si>
    <t>39 - Channel</t>
  </si>
  <si>
    <t>Privacy &amp; Security</t>
  </si>
  <si>
    <t>40 Words #</t>
  </si>
  <si>
    <t>40 - Channel</t>
  </si>
  <si>
    <t>https://drive.google.com/drive/folders/1jdpu82KO4p7wLL4juSqHlAiO2EvaDcup</t>
  </si>
  <si>
    <t>From the frontlines of cybersecurity</t>
  </si>
  <si>
    <t>John Gilligan, Center for Internet Security</t>
  </si>
  <si>
    <t>Steve Grobman, McAfee</t>
  </si>
  <si>
    <t>Dave Gordon, Edge Leaders</t>
  </si>
  <si>
    <t>https://drive.google.com/open?id=1EGlvy6F5JvdzipGYBGt7PAgkVqm18llI</t>
  </si>
  <si>
    <t>Hack from Home</t>
  </si>
  <si>
    <t>Alex Stamos, Stanford University</t>
  </si>
  <si>
    <t>Nicholas Carlson, Insider</t>
  </si>
  <si>
    <t>41 - Channel</t>
  </si>
  <si>
    <t>The privacy spectrum</t>
  </si>
  <si>
    <t>Ondrej Vlcek, Avast</t>
  </si>
  <si>
    <t>Steven Rosenbush, The Wall Street Journal</t>
  </si>
  <si>
    <t>42 - Channel</t>
  </si>
  <si>
    <t>Data protection post-Covid</t>
  </si>
  <si>
    <t>Andrew Sullivan, Internet Society</t>
  </si>
  <si>
    <t>Lee Rainie, Pew Research Center</t>
  </si>
  <si>
    <t>43 - Channel</t>
  </si>
  <si>
    <t>44 - Channel</t>
  </si>
  <si>
    <t>45 - Channel</t>
  </si>
  <si>
    <t>46 - Channel</t>
  </si>
  <si>
    <t>47 - Channel</t>
  </si>
  <si>
    <t>Post Covid-19: Can work ever be the same?</t>
  </si>
  <si>
    <t>Dominique Malenfant, Wabtec</t>
  </si>
  <si>
    <t>Marco Greenberg, Thunder 11</t>
  </si>
  <si>
    <t>Akiko Naka, Wantedly</t>
  </si>
  <si>
    <t>Bari Weiss, The New York Times</t>
  </si>
  <si>
    <t>48 - Channel</t>
  </si>
  <si>
    <t>Surplus ch.</t>
  </si>
  <si>
    <t>ch -1 Grit city: How tough is New York's startup scene?</t>
  </si>
  <si>
    <t>John Elton, Greycroft</t>
  </si>
  <si>
    <t>Jenny Fielding, Techstars</t>
  </si>
  <si>
    <t>Sean O'Sullivan, SOSV</t>
  </si>
  <si>
    <t>Alex Wilhelm, TechCrunch</t>
  </si>
  <si>
    <t>4 CAM</t>
  </si>
  <si>
    <t>Feature film in a post-Covid world</t>
  </si>
  <si>
    <t>https://drive.google.com/drive/folders/12FuSibBT8CW-hkW5exaaOTrBLftRt5k2</t>
  </si>
  <si>
    <t>Kristine Belson, Sony Pictures Animation</t>
  </si>
  <si>
    <t>Monica Drake, The New York Times</t>
  </si>
  <si>
    <t>Talk Outro (Duration increased to balance out the hour)</t>
  </si>
  <si>
    <t>Grit city: How tough is New York's startup scene?</t>
  </si>
  <si>
    <t>Partner Adroll #1</t>
  </si>
  <si>
    <t>Duration: 18.04</t>
  </si>
  <si>
    <t>https://drive.google.com/open?id=1rWQHYA3f9xREwjr0bE0ekXjtv_Yc5ecd</t>
  </si>
  <si>
    <t>3 things that break during hyper-growth</t>
  </si>
  <si>
    <t>Christine Spang, Nylas</t>
  </si>
  <si>
    <t>Carol</t>
  </si>
  <si>
    <t>49 - Channel</t>
  </si>
  <si>
    <t>Winning at remote working</t>
  </si>
  <si>
    <t>Prashanth Chandrasekar, Stack Overflow</t>
  </si>
  <si>
    <t>Jeff Shiner, 1password</t>
  </si>
  <si>
    <t>John Wall, Trust Insights</t>
  </si>
  <si>
    <t>50 - Channel</t>
  </si>
  <si>
    <t>Partner Adroll #2</t>
  </si>
  <si>
    <t>51 - Channel</t>
  </si>
  <si>
    <t>Scaling a company 10-fold in four weeks</t>
  </si>
  <si>
    <t>Anna Chif, Dialogue</t>
  </si>
  <si>
    <t>52 - Channel</t>
  </si>
  <si>
    <t>Talk Outro (Length increased to balance out the hour)</t>
  </si>
  <si>
    <t>53 - Channel</t>
  </si>
  <si>
    <t>LL Cool J rocks the bells</t>
  </si>
  <si>
    <t xml:space="preserve"> LL COOL J, Rock The Bells</t>
  </si>
  <si>
    <t>Geoff Yang, Redpoint Ventures</t>
  </si>
  <si>
    <t>54 - Channel</t>
  </si>
  <si>
    <t>55 - Channel</t>
  </si>
  <si>
    <t>The democratisation of AI</t>
  </si>
  <si>
    <t>Jai Das, Sapphire Ventures</t>
  </si>
  <si>
    <t>Lan Xuezhao, Basis Set Ventures</t>
  </si>
  <si>
    <t>Sudheesh Nair, ThoughtSpot</t>
  </si>
  <si>
    <t>Kevin Roose, The New York Times</t>
  </si>
  <si>
    <t>56 - Channel</t>
  </si>
  <si>
    <t>How not to be tone deaf</t>
  </si>
  <si>
    <t>Margaret Molloy, Siegel+Gale</t>
  </si>
  <si>
    <t>Rich Antoniello, Complex Networks</t>
  </si>
  <si>
    <t>Martin Swant Forbes</t>
  </si>
  <si>
    <t>57 - Channel</t>
  </si>
  <si>
    <t>58 - Channel</t>
  </si>
  <si>
    <t>Privacy in a time of crisis</t>
  </si>
  <si>
    <t>Garry Kasparov, Garry Kasparov</t>
  </si>
  <si>
    <t>59 - Channel</t>
  </si>
  <si>
    <t>https://drive.google.com/drive/folders/1vUpZRl_cS7HO1gabF9uSL_v_CJf5cqKG</t>
  </si>
  <si>
    <t>Leadership in the time of Covid-19</t>
  </si>
  <si>
    <t>John Blood, Anheuser-Busch InBev</t>
  </si>
  <si>
    <t>Sairah Ashman, Wolff Olins</t>
  </si>
  <si>
    <t>Paul Michelman, MIT Sloan Management Review</t>
  </si>
  <si>
    <t>Duration: 11.47</t>
  </si>
  <si>
    <t>https://drive.google.com/open?id=1RnUJ8RW9MyW7x-CYAsFYwDAqe0X8KReF</t>
  </si>
  <si>
    <t>In conversation with Margaret Atwood</t>
  </si>
  <si>
    <t>Margaret Atwood, Margaret Atwood</t>
  </si>
  <si>
    <t>David Remnick, The New Yorker</t>
  </si>
  <si>
    <t>Gavin</t>
  </si>
  <si>
    <t>60 - Channel</t>
  </si>
  <si>
    <t>61 - Channel</t>
  </si>
  <si>
    <t>Building the health brand of the future</t>
  </si>
  <si>
    <t>Alexandra Zatarain, Eight Sleep</t>
  </si>
  <si>
    <t>62 - Channel</t>
  </si>
  <si>
    <t>Partner Adroll #4 - ASSIGNED TO PITCHBOOK</t>
  </si>
  <si>
    <t>https://drive.google.com/drive/folders/1rJdsxXJ0EuXb7DnbkJrj6C5o1xyKfZ74</t>
  </si>
  <si>
    <t>Shifting from growth times to endurance times</t>
  </si>
  <si>
    <t>Asheem Chandna, Greylock Partners</t>
  </si>
  <si>
    <t>Chetan Puttagunta, Benchmark Capital</t>
  </si>
  <si>
    <t>Nicole Quinn, Lightspeed Venture Partners</t>
  </si>
  <si>
    <t>Minda Zetlin, Inc.</t>
  </si>
  <si>
    <t>Darren</t>
  </si>
  <si>
    <t>63 - Channel</t>
  </si>
  <si>
    <t>64 - Channel</t>
  </si>
  <si>
    <t>65 - Channel</t>
  </si>
  <si>
    <t>Surviving hibernation through innovation</t>
  </si>
  <si>
    <t>Hannah Qiu, OneConnect</t>
  </si>
  <si>
    <t>Wayne Shiong, China Growth Capital</t>
  </si>
  <si>
    <t>66 - Channel</t>
  </si>
  <si>
    <t>Arjun Kharpal, CNBC</t>
  </si>
  <si>
    <t>https://drive.google.com/drive/folders/1VLXmw6nyPGMkVgVoSbefrsXMjiIQaGr2</t>
  </si>
  <si>
    <t>Partner Adroll #5_TD Bank</t>
  </si>
  <si>
    <t>16:51 in duration</t>
  </si>
  <si>
    <t>https://drive.google.com/open?id=1UUANG5pALYISoY_tj1d89rTSOOTs6qwq</t>
  </si>
  <si>
    <t>Kat</t>
  </si>
  <si>
    <t>67 - Channel</t>
  </si>
  <si>
    <t>Consumer data post-Covid</t>
  </si>
  <si>
    <t>Max Levchin, Affirm</t>
  </si>
  <si>
    <t>Vicky Nguyen, NBC News</t>
  </si>
  <si>
    <t>68 - Channel</t>
  </si>
  <si>
    <t>Talk Intro - decreased to allow for the overun in talk duration</t>
  </si>
  <si>
    <t>69 - Channel</t>
  </si>
  <si>
    <t>Can startups survive 2020?</t>
  </si>
  <si>
    <t>Laura Hale, Ladder</t>
  </si>
  <si>
    <t>70 - Channel</t>
  </si>
  <si>
    <t>Slides + 1 CAM</t>
  </si>
  <si>
    <t>https://drive.google.com/drive/folders/1tctYGsfOcff2KmoQ9nWw4pJx3pmsLIiu</t>
  </si>
  <si>
    <t>Rethinking digital finance with Plaid</t>
  </si>
  <si>
    <t>Zach Perret, Plaid</t>
  </si>
  <si>
    <t>Robert Hackett, Fortune</t>
  </si>
  <si>
    <t>10 secs over - could cut from opening if required
Leaving PITCH section to David</t>
  </si>
  <si>
    <t>https://drive.google.com/open?id=1Irm1QfzuJNX4Q65Ly8vaQ9g_dvxT2GZy</t>
  </si>
  <si>
    <t>71 - Channel</t>
  </si>
  <si>
    <t>Talk Intro (Decreased in order to allow for overrun in talk duration)</t>
  </si>
  <si>
    <t>The first million users</t>
  </si>
  <si>
    <t>Andrew Graham, Borrowell</t>
  </si>
  <si>
    <t>72 - Channel</t>
  </si>
  <si>
    <t>https://drive.google.com/drive/folders/19zPdJf-KuC2dzhycjIzn1deyJTgBO_Yh</t>
  </si>
  <si>
    <t>73 - Channel</t>
  </si>
  <si>
    <t>Cancelled</t>
  </si>
  <si>
    <t>74 - Channel</t>
  </si>
  <si>
    <t>Can designers save the world?</t>
  </si>
  <si>
    <t>Karin Hibma, CRONAN</t>
  </si>
  <si>
    <t>Karen Hofmann, ArtCenter College of Design</t>
  </si>
  <si>
    <t>Elizabeth Heider, Skanska USA Inc.</t>
  </si>
  <si>
    <t>Mark Russell, British Vogue</t>
  </si>
  <si>
    <t>75 - Channel</t>
  </si>
  <si>
    <t>76 - Channel</t>
  </si>
  <si>
    <t>The Lion's Share: Protecting our endangered species</t>
  </si>
  <si>
    <t>Nikolaj Coster-Waldau, Nikolaj Coster-Waldau</t>
  </si>
  <si>
    <t>Achim Steiner, UNDP</t>
  </si>
  <si>
    <t>Ana Kasparian, The Young Turks</t>
  </si>
  <si>
    <t>77 - Channel</t>
  </si>
  <si>
    <t>78 - Channel</t>
  </si>
  <si>
    <t>79 - Channel</t>
  </si>
  <si>
    <t>https://drive.google.com/drive/folders/1hCMRvw9XyYDzSzQb4W8w1-_WFF13gqeY</t>
  </si>
  <si>
    <t>Entrepreneurs can save our planet</t>
  </si>
  <si>
    <t>Rick Ridgeway, Patagonia</t>
  </si>
  <si>
    <t>00:07:26 - Background car beep, not possible to cut out since its in the middle of a sentance | 00:10:31 had to cover up cut with lag as no other angle would work | 00:10:43 had to cut to single cam to hide a big jump cut as I had to cut out alarms</t>
  </si>
  <si>
    <t>https://drive.google.com/open?id=1toFAcXgZ9hVWTv4lIXrrMmKpQ1Sv-F7r</t>
  </si>
  <si>
    <t>80 - Channel</t>
  </si>
  <si>
    <t>81 - Channel</t>
  </si>
  <si>
    <t>Carbon, pollution and the current pandemic</t>
  </si>
  <si>
    <t>Davida Herzl, Aclima</t>
  </si>
  <si>
    <t>82 - Channel</t>
  </si>
  <si>
    <t>Cars</t>
  </si>
  <si>
    <t>https://drive.google.com/drive/folders/1Gba7xTorZfxAsZq9IXzvfqQLWVy_Wh1_</t>
  </si>
  <si>
    <t>Why 'metalbashers' will become software giants</t>
  </si>
  <si>
    <t>Christopher Heiser, Renovo Auto</t>
  </si>
  <si>
    <t>Mod's audio buzzes, can be fixed in post. Sound is also 4 frames late - WE</t>
  </si>
  <si>
    <t>83 - Channel</t>
  </si>
  <si>
    <t>Partner Adroll #6 - CITY OF LISBON</t>
  </si>
  <si>
    <t>84 - Channel</t>
  </si>
  <si>
    <t>Partner Adroll #7 - Hyundai</t>
  </si>
  <si>
    <t>85 - Channel</t>
  </si>
  <si>
    <t>Humanizing mobility and innovation</t>
  </si>
  <si>
    <t>Youngcho Chi, Hyundai</t>
  </si>
  <si>
    <t>86 - Channel</t>
  </si>
  <si>
    <t>Partner Logo reel - 30 seconds - #1</t>
  </si>
  <si>
    <t>https://drive.google.com/drive/folders/1pRVPGoP4G9_mL-yRVuczKs23GPw-QfT8</t>
  </si>
  <si>
    <t>Smart mobility: Lessons from Covid-19</t>
  </si>
  <si>
    <t>Paul Asel, NGP Capital</t>
  </si>
  <si>
    <t>Santosh Sankar, Dynamo</t>
  </si>
  <si>
    <t>Corinne Vigreux, Tom Tom</t>
  </si>
  <si>
    <t>Jim Motavalli, The New York Times</t>
  </si>
  <si>
    <t>Duration: 11.52</t>
  </si>
  <si>
    <t>https://drive.google.com/open?id=1oNq_xJdK8fYp9zhB6SjDHMJdVb0tPJXk</t>
  </si>
  <si>
    <t>Lucia G.</t>
  </si>
  <si>
    <t>87 - Channel</t>
  </si>
  <si>
    <t>Economic uncertainty or opportunity? The story of Shift</t>
  </si>
  <si>
    <t>George Arison, Shift</t>
  </si>
  <si>
    <t>88 - Channel</t>
  </si>
  <si>
    <t>89 - Channel</t>
  </si>
  <si>
    <t>Make car ownership cool again</t>
  </si>
  <si>
    <t>Cindy Wang, WM MOTOR</t>
  </si>
  <si>
    <t>90 - Channel</t>
  </si>
  <si>
    <t>Slides + 3 CAM</t>
  </si>
  <si>
    <t>https://drive.google.com/drive/folders/1xYZq-d4TF6LzoJw0r-3ycpoxSmi7AQ5r</t>
  </si>
  <si>
    <t>Talk runs 35 secs over. Had to cut to 1 Cam view to edit around computer noise a couple of times</t>
  </si>
  <si>
    <t>https://drive.google.com/open?id=1UoI_z5M2mOVU3dwQB5Ghoi3o2GpaHmGu</t>
  </si>
  <si>
    <t>Can psychedelics rebuild your brain?</t>
  </si>
  <si>
    <t>Robin Carhart-Harris, Imperial College London</t>
  </si>
  <si>
    <t>91 - Channel</t>
  </si>
  <si>
    <t>92 - Channel</t>
  </si>
  <si>
    <t>Digital health privacy in a pandemic</t>
  </si>
  <si>
    <t>Morgan Reed, The App Association</t>
  </si>
  <si>
    <t>93 - Channel</t>
  </si>
  <si>
    <t>https://drive.google.com/drive/folders/1jiGi5DPOjQ7NqthhOrwWhjKW3QCm6jCN</t>
  </si>
  <si>
    <t>Partner Logo Reel #2</t>
  </si>
  <si>
    <t>The health game changer: Democratizing lab testing</t>
  </si>
  <si>
    <t>Julia Taylor Cheek, EverlyWell</t>
  </si>
  <si>
    <t>1 min 19 secs short</t>
  </si>
  <si>
    <t>https://drive.google.com/open?id=1lq_QZCxJPt2NGCgQs6jp01zKiyDrVFNa</t>
  </si>
  <si>
    <t>Yvonne</t>
  </si>
  <si>
    <t>94 - Channel</t>
  </si>
  <si>
    <t xml:space="preserve">talk outro </t>
  </si>
  <si>
    <t>How COVID-19 will change healthcare forever</t>
  </si>
  <si>
    <t>Mario Schlosser, Oscar</t>
  </si>
  <si>
    <t>Lydia Ramsey, Business Insider</t>
  </si>
  <si>
    <t>95 - Channel</t>
  </si>
  <si>
    <t>Rise Trailer - short</t>
  </si>
  <si>
    <t>96 - Channel</t>
  </si>
  <si>
    <t xml:space="preserve">Get younger as you age </t>
  </si>
  <si>
    <t>Steven Gundry, The Plant Paradox</t>
  </si>
  <si>
    <t>97 - Channel</t>
  </si>
  <si>
    <t xml:space="preserve">Reshaping healthcare delivery </t>
  </si>
  <si>
    <t>Kate Rosenbluth, Cala Health</t>
  </si>
  <si>
    <t>98 - Channel</t>
  </si>
  <si>
    <t>https://drive.google.com/drive/folders/1zR8iBc_Q7gZ5ndcuGrsXMmVuh2-Xx3SO</t>
  </si>
  <si>
    <t>00:11:49:04</t>
  </si>
  <si>
    <t>https://drive.google.com/open?id=1wPrA7J4F8KGEf0D64iPNI6nKaG9arRHH</t>
  </si>
  <si>
    <t>CHANNEL 3</t>
  </si>
  <si>
    <t>99 - Channel</t>
  </si>
  <si>
    <t>100 - Channel</t>
  </si>
  <si>
    <t>Partner ad - York Region</t>
  </si>
  <si>
    <t>101 - Channel</t>
  </si>
  <si>
    <t>https://drive.google.com/drive/folders/1nJzaG9zj2B_ok6TMIjwfeem4pCyGBcTd</t>
  </si>
  <si>
    <t>The future of tech in a post Covid-19 world</t>
  </si>
  <si>
    <t>Anuj Kapur, Cisco Systems, Inc.</t>
  </si>
  <si>
    <t>Alex Kantrowitz, Freelance</t>
  </si>
  <si>
    <t>How to navigate the world's largest WfH experiment</t>
  </si>
  <si>
    <t>Aaron Levie, Box</t>
  </si>
  <si>
    <t>https://drive.google.com/open?id=1H5JYCe33ew2zbsfp8-L6yQwdme0N6ajd</t>
  </si>
  <si>
    <t>Alex Konrad, Forbes</t>
  </si>
  <si>
    <t>102 - Channel</t>
  </si>
  <si>
    <t>Talk Outro - KEEP</t>
  </si>
  <si>
    <t>103 - Channel</t>
  </si>
  <si>
    <t>3 customer engagement strategies post-pandemic</t>
  </si>
  <si>
    <t>Sandi Lin, Skilljar</t>
  </si>
  <si>
    <t>104 - Channel</t>
  </si>
  <si>
    <t>Partner logos</t>
  </si>
  <si>
    <t>105 - Channel</t>
  </si>
  <si>
    <t>Every cloud has a silver lining</t>
  </si>
  <si>
    <t>Matt Garratt, Salesforce Ventures</t>
  </si>
  <si>
    <t>Rashmi Gopinath, B Capital Group</t>
  </si>
  <si>
    <t>106 - Channel</t>
  </si>
  <si>
    <t>40 Words #8 _Orai</t>
  </si>
  <si>
    <t>107 - Channel</t>
  </si>
  <si>
    <t>SaaS</t>
  </si>
  <si>
    <t>Get radically personal</t>
  </si>
  <si>
    <t>Joseph Ansanelli, Gladly</t>
  </si>
  <si>
    <t>108 - Channel</t>
  </si>
  <si>
    <t>109 - Channel</t>
  </si>
  <si>
    <t>Keeping communities healthy and happy</t>
  </si>
  <si>
    <t>Prakash Janakiraman, Nextdoor</t>
  </si>
  <si>
    <t>Hilary Coles, Hers</t>
  </si>
  <si>
    <t>NON-KEYNOTE 6 - Send Zoom calendar invite</t>
  </si>
  <si>
    <t>110 - Channel</t>
  </si>
  <si>
    <t>Digitally transforming a brand empire</t>
  </si>
  <si>
    <t>Sandeep Dadlani, Mars, Incorporated</t>
  </si>
  <si>
    <t>111 - Channel</t>
  </si>
  <si>
    <t>RE-RECORD</t>
  </si>
  <si>
    <t>Technology’s subservience to culture</t>
  </si>
  <si>
    <t>Eshan Ponnadurai, WhatsApp</t>
  </si>
  <si>
    <t>Alain Sylvain, Sylvain Labs</t>
  </si>
  <si>
    <t>RE- RECORD</t>
  </si>
  <si>
    <t>112 - Channel</t>
  </si>
  <si>
    <t>113 - Channel</t>
  </si>
  <si>
    <t>A smart energy grid in the lockdown era</t>
  </si>
  <si>
    <t>Stephen Fitzpatrick, OVO Energy</t>
  </si>
  <si>
    <t>Sarah McFarlane, The Wall Street Journal</t>
  </si>
  <si>
    <t>Data</t>
  </si>
  <si>
    <t>40 Words #4 _Northflank</t>
  </si>
  <si>
    <t>114 - Channel</t>
  </si>
  <si>
    <t>115 - Channel</t>
  </si>
  <si>
    <t>An abnormal beauty industry</t>
  </si>
  <si>
    <t>Nicola Kilner, DECIEM</t>
  </si>
  <si>
    <t>116 - Channel</t>
  </si>
  <si>
    <t>https://drive.google.com/drive/folders/1vf97UoZxQp_dBBc3iz-WwjPALD-JF2GA</t>
  </si>
  <si>
    <t>AI and the death of empathy in design</t>
  </si>
  <si>
    <t>Lizzy Sonenfeld, Two things</t>
  </si>
  <si>
    <t>Pamela Pavliscak, Change Sciences</t>
  </si>
  <si>
    <t>Duration: 10:12 - 12 seconds over</t>
  </si>
  <si>
    <t>https://drive.google.com/open?id=1QeF0j5WeUb8QlqHgdNCcmziCc_DPtknO</t>
  </si>
  <si>
    <t>Design your reinvention</t>
  </si>
  <si>
    <t>Bracken Darrell, Logitech</t>
  </si>
  <si>
    <t>Laura</t>
  </si>
  <si>
    <t>117 - Channel</t>
  </si>
  <si>
    <t>118 - Channel</t>
  </si>
  <si>
    <t>Can a crisis fuel creativity?</t>
  </si>
  <si>
    <t>Andrew Zimmerman, Frog Design</t>
  </si>
  <si>
    <t>Sean Carney, Philips</t>
  </si>
  <si>
    <t>119 - Channel</t>
  </si>
  <si>
    <t>Recession proofing your company with UI and UX</t>
  </si>
  <si>
    <t>Ilan Twig, TripActions</t>
  </si>
  <si>
    <t>Zack Onisko, Dribbble</t>
  </si>
  <si>
    <t>Carey Jenkins, Substantial</t>
  </si>
  <si>
    <t>120 - Channel</t>
  </si>
  <si>
    <t>Katie Deighton, The Wall Street Journal</t>
  </si>
  <si>
    <t>https://drive.google.com/drive/folders/1bdxOeY0MQMyEDB4UoeupbEDu7Cl0VptI</t>
  </si>
  <si>
    <t>The societal impact of 5G</t>
  </si>
  <si>
    <t>Rose Stuckey Kirk, Verizon</t>
  </si>
  <si>
    <t>Jeremy Kaplan, Digital Trends</t>
  </si>
  <si>
    <t>https://drive.google.com/open?id=1GiLZ9os-OrLjxlMc6KBeC7GEAJOuIKW_</t>
  </si>
  <si>
    <t>5G and accelerating the fourth industrial revolution</t>
  </si>
  <si>
    <t>Marcus Weldon, Nokia</t>
  </si>
  <si>
    <t>Michael Hainsworth, @Futurithmic</t>
  </si>
  <si>
    <t>Stephanie</t>
  </si>
  <si>
    <t>121 - Channel</t>
  </si>
  <si>
    <t>Leading through Covid-19 and beyond</t>
  </si>
  <si>
    <t>Patrik Frisk, Under Armour</t>
  </si>
  <si>
    <t>122 - Channel</t>
  </si>
  <si>
    <t>Ty Montague, co:collective</t>
  </si>
  <si>
    <t>Talk outro - KEEP</t>
  </si>
  <si>
    <t>123 - Channel</t>
  </si>
  <si>
    <t>124 - Channel</t>
  </si>
  <si>
    <t>5G to usher in brighter future</t>
  </si>
  <si>
    <t>Alex Rogers, Qualcomm</t>
  </si>
  <si>
    <t>Patrick Moorhead, MOOR INSIGHTS &amp; STRATEGY</t>
  </si>
  <si>
    <t xml:space="preserve">CH - 1Reinventing news: Reporting from home </t>
  </si>
  <si>
    <t>Carlos Watson, ozy</t>
  </si>
  <si>
    <t>Connie Guglielmo, CNET</t>
  </si>
  <si>
    <t>Justin Hendrix, NYC Media Lab</t>
  </si>
  <si>
    <t>https://drive.google.com/drive/folders/1840la6RuMEJ_DN9htvDWRzUEts4bcJsV</t>
  </si>
  <si>
    <t>40 Words #6 _Query Layer</t>
  </si>
  <si>
    <t xml:space="preserve">Reinventing news: Reporting from home </t>
  </si>
  <si>
    <t xml:space="preserve">couldnt get sign off all glitch </t>
  </si>
  <si>
    <t>no channel header as it is surplus LP</t>
  </si>
  <si>
    <t>https://drive.google.com/open?id=1h3e4blwzHDDZlRWyXEE4XhZSKUcoPeHD</t>
  </si>
  <si>
    <t>Partner ad - TD Bank</t>
  </si>
  <si>
    <t>What will a return to normality look like?</t>
  </si>
  <si>
    <t>Alicia Tillman, SAP</t>
  </si>
  <si>
    <t>125 - Channel</t>
  </si>
  <si>
    <t>126 - Channel</t>
  </si>
  <si>
    <t>127 - Channel</t>
  </si>
  <si>
    <t>Combatting climate change post-Covid</t>
  </si>
  <si>
    <t>CH 1-Edge AI will be key in the post-Covid world</t>
  </si>
  <si>
    <t>Kate Brandt, Google</t>
  </si>
  <si>
    <t>Albert Liu, Kneron</t>
  </si>
  <si>
    <t>Emily Holden, The Guardian</t>
  </si>
  <si>
    <t>https://drive.google.com/drive/folders/1izARwTcODsR65GBSPO6cwWc-2ZFh4WHr</t>
  </si>
  <si>
    <t>Edge AI will be key in the post-Covid world</t>
  </si>
  <si>
    <t>https://drive.google.com/open?id=1dFW5nQ51VLOKFSfKZpz83V9KZrFhZMqj</t>
  </si>
  <si>
    <t>40 words  #2_Webiny</t>
  </si>
  <si>
    <t>128 - Channel</t>
  </si>
  <si>
    <t>Future of work after crisis</t>
  </si>
  <si>
    <t>Cal Henderson, Slack Technologies, Inc.</t>
  </si>
  <si>
    <t>Lauren Goode, Wired</t>
  </si>
  <si>
    <t>129 - Channel</t>
  </si>
  <si>
    <t>https://drive.google.com/drive/folders/1D7f1rmt68F5qxypDFFkEXAtUvuMmOOUw</t>
  </si>
  <si>
    <t xml:space="preserve">It's an app-eat-app world </t>
  </si>
  <si>
    <t>15:20 in duration</t>
  </si>
  <si>
    <t>https://drive.google.com/file/d/1u0ZTHzl6SDwSAnMMeGAa0WLdLxodr5jI/view</t>
  </si>
  <si>
    <t>Trends in the data: Cannabis</t>
  </si>
  <si>
    <t>Jeffrey Harris, springbig</t>
  </si>
  <si>
    <t>Cy Scott, Headset</t>
  </si>
  <si>
    <t>Luan</t>
  </si>
  <si>
    <t>130 - Channel</t>
  </si>
  <si>
    <t>talk intro</t>
  </si>
  <si>
    <t>Counting sleep</t>
  </si>
  <si>
    <t>Sarah McCollum Dorsett, Nanit</t>
  </si>
  <si>
    <t>131 - Channel</t>
  </si>
  <si>
    <t>Partner ad - UK DIT</t>
  </si>
  <si>
    <t>132 - Channel</t>
  </si>
  <si>
    <t>Building a better internet in the shadow of a pandemic</t>
  </si>
  <si>
    <t>Mitchell Baker, Mozilla</t>
  </si>
  <si>
    <t>133 - Channel</t>
  </si>
  <si>
    <t>NON-KEYNOTE 5 - Intro the moderator to panelists</t>
  </si>
  <si>
    <t>134 - Channel</t>
  </si>
  <si>
    <t xml:space="preserve">Data-centric culture </t>
  </si>
  <si>
    <t>Stijn Christiaens, Collibra</t>
  </si>
  <si>
    <t>135 - Channel</t>
  </si>
  <si>
    <t>40 words #</t>
  </si>
  <si>
    <t>136 - Channel</t>
  </si>
  <si>
    <t>Exploring the Covid-19 narrative in global news</t>
  </si>
  <si>
    <t>Kalev Leetaru, GDELT</t>
  </si>
  <si>
    <t>Azeem Azhar, Exponential View</t>
  </si>
  <si>
    <t>40 Words #10_Brightlobe</t>
  </si>
  <si>
    <t>137 - Channel</t>
  </si>
  <si>
    <t>https://drive.google.com/drive/folders/1GEBBPxPzwodnTFkCYTM0k6yshdeZFoxC</t>
  </si>
  <si>
    <t>Partner ad - Pitchbook</t>
  </si>
  <si>
    <t>Duration: 13.15, audio was slightly out of sync</t>
  </si>
  <si>
    <t>https://drive.google.com/open?id=1zmHoy2LzcOwV7ZZLjL-99KVE9S5kwgFz</t>
  </si>
  <si>
    <t>State of the VC nation</t>
  </si>
  <si>
    <t>Jeff Clavier, Uncork Capital</t>
  </si>
  <si>
    <t>Wesley Chan, Felicis Ventures</t>
  </si>
  <si>
    <t>Caleb Silver, Investopedia</t>
  </si>
  <si>
    <t xml:space="preserve"> Partner ad - The Corporation of the City of Brampton</t>
  </si>
  <si>
    <t>138 - Channel</t>
  </si>
  <si>
    <t>139 - Channel</t>
  </si>
  <si>
    <t>The power of entrepreneurship</t>
  </si>
  <si>
    <t>Vinod Khosla, Khosla Ventures</t>
  </si>
  <si>
    <t>140 - Channel</t>
  </si>
  <si>
    <t>The new rules of VC fundraising</t>
  </si>
  <si>
    <t>141 - Channel</t>
  </si>
  <si>
    <t>Russ Heddleston, DocSend</t>
  </si>
  <si>
    <t>142 - Channel</t>
  </si>
  <si>
    <t>Tech, governance and the fate of society as we know it</t>
  </si>
  <si>
    <t>Andrew Yang, Yang 2020</t>
  </si>
  <si>
    <t>Tristan Harris, The Center for Humane Technology</t>
  </si>
  <si>
    <t>Alexander Schultz, Complete Labs</t>
  </si>
  <si>
    <t>143 - Channel</t>
  </si>
  <si>
    <t>CLOSE</t>
  </si>
  <si>
    <t>https://drive.google.com/drive/folders/1SV9wTtnf20gS0K13wInef3bKi3MyTHXn</t>
  </si>
  <si>
    <t>Duration: 16:07 - 1 min 7 seconds under</t>
  </si>
  <si>
    <t>https://drive.google.com/open?id=1OlRZfg0LWQSU4Jl8spxX7QCjiIQa4KId</t>
  </si>
  <si>
    <t>144 - Channel</t>
  </si>
  <si>
    <t>145 - Channel</t>
  </si>
  <si>
    <t>https://drive.google.com/drive/folders/1UsuAUek2x4HDJiVi5-oO52rX3GyGG5oD</t>
  </si>
  <si>
    <t xml:space="preserve">Music tech that makes you move </t>
  </si>
  <si>
    <t>Oscar Höglund, Epidemic Sound</t>
  </si>
  <si>
    <t>Susan Paley, DropLabs</t>
  </si>
  <si>
    <t>01:11 duration. Darragh mentioned 90 seconds but I cut it to a natural feeling time</t>
  </si>
  <si>
    <t>https://drive.google.com/open?id=1rWK1GfhWsNGTnxj9eHeJvHqFw1xev5Kp</t>
  </si>
  <si>
    <t>Jennifer Crichton, Restless Magazine</t>
  </si>
  <si>
    <t>Partner ad - Yext</t>
  </si>
  <si>
    <t>Darragh</t>
  </si>
  <si>
    <t>146 - Channel</t>
  </si>
  <si>
    <t>Accuracy in the new age of information</t>
  </si>
  <si>
    <t>Neal Mohan, YouTube</t>
  </si>
  <si>
    <t>147 - Channel</t>
  </si>
  <si>
    <t>40 Words #16_Sizle</t>
  </si>
  <si>
    <t>Speaker intro</t>
  </si>
  <si>
    <t>148 - Channel</t>
  </si>
  <si>
    <t>Mobility</t>
  </si>
  <si>
    <t>https://drive.google.com/drive/folders/1lOgjXiCahXVZYynpmWc8KcIfEXCPwBks</t>
  </si>
  <si>
    <t>Life in the Paris lane</t>
  </si>
  <si>
    <t>Paris Hilton, Paris Hilton</t>
  </si>
  <si>
    <t>Zack O'Malley Greenburg, Forbes</t>
  </si>
  <si>
    <t>The original audio was unusable due to over-riding reverb from the Moderator's mic.  I laid down the three audio recordings separately but the Moderator's is still pretty ropey</t>
  </si>
  <si>
    <t>https://drive.google.com/open?id=1wI3KXw_hvVD72sshewojjnhuz2k1Lcqj</t>
  </si>
  <si>
    <t>149 - Channel</t>
  </si>
  <si>
    <t>Decode empathy education</t>
  </si>
  <si>
    <t>Mary Gordon, Roots of Empathy</t>
  </si>
  <si>
    <t>Tracey Welson-Rossman, TechGirlz</t>
  </si>
  <si>
    <t>150 - Channel</t>
  </si>
  <si>
    <t>Rachelle Akuffo, China Central Television</t>
  </si>
  <si>
    <t>151 - Channel</t>
  </si>
  <si>
    <t>152 - Channel</t>
  </si>
  <si>
    <t>Tech's role during the crisis</t>
  </si>
  <si>
    <t>Brad Smith, Microsoft</t>
  </si>
  <si>
    <t>Steve Adler, Thomson Reuters</t>
  </si>
  <si>
    <t>153 - Channel</t>
  </si>
  <si>
    <t>Is your head A-oki?</t>
  </si>
  <si>
    <t>Steve Aoki, Steve Aoki</t>
  </si>
  <si>
    <t>154 - Channel</t>
  </si>
  <si>
    <t>Startups</t>
  </si>
  <si>
    <t>155 - Channel</t>
  </si>
  <si>
    <t>156 - Channel</t>
  </si>
  <si>
    <t>Leading a legacy brand</t>
  </si>
  <si>
    <t>Brad Hiranaga, General Mills</t>
  </si>
  <si>
    <t>Jessica Spence, Beam Suntory</t>
  </si>
  <si>
    <t>157 - Channel</t>
  </si>
  <si>
    <t>Sustainable business beyond greenwashing</t>
  </si>
  <si>
    <t>Anna Gedda, H&amp;M Group</t>
  </si>
  <si>
    <t>Jennifer Crichton, The Flock</t>
  </si>
  <si>
    <t>158 - Channel</t>
  </si>
  <si>
    <t>Beyond the bombshell</t>
  </si>
  <si>
    <t>Gretchen Carlson, Gretchen Carlson</t>
  </si>
  <si>
    <t>159 - Channel</t>
  </si>
  <si>
    <t>Brand new, brand you</t>
  </si>
  <si>
    <t>160 - Channel</t>
  </si>
  <si>
    <t>161 - Channel</t>
  </si>
  <si>
    <t>Responsible messaging during a pandemic</t>
  </si>
  <si>
    <t>John Saunders, Fleishman Hillard</t>
  </si>
  <si>
    <t>https://drive.google.com/drive/folders/11Kp3GXQA_QgHKXrwDa2q7dFzm-Q1Kx7x</t>
  </si>
  <si>
    <t>Closing a sale when your customer is closed</t>
  </si>
  <si>
    <t>Bryan O'Connell, Huckleberry</t>
  </si>
  <si>
    <t>00:03:37 - had to cut a portion of this off to hide alot of lag, seems seamless though - JP. Bot right speaker was cropped out on the call - WE</t>
  </si>
  <si>
    <t>https://drive.google.com/open?id=1y2kdGbcz8xo8j3al9hbN5oP3RLHU6OtE</t>
  </si>
  <si>
    <t>162 - Channel</t>
  </si>
  <si>
    <t>Answering the Call of Duty</t>
  </si>
  <si>
    <t>Johanna Faries, Activision Blizzard</t>
  </si>
  <si>
    <t>163 - Channel</t>
  </si>
  <si>
    <t>One-size-fits-none: Why CRM is no longer enough</t>
  </si>
  <si>
    <t>Peter Reinhardt, Segment.io</t>
  </si>
  <si>
    <t>164 - Channel</t>
  </si>
  <si>
    <t>CH 1 - Streaming wars: The new world order</t>
  </si>
  <si>
    <t>Ashkan Karbasfrooshan, WatchMojo</t>
  </si>
  <si>
    <t>Nurturing a legend: 40 years of Pac-Man</t>
  </si>
  <si>
    <t>Yasuo Miyakawa, Bandai Namco Entertainment</t>
  </si>
  <si>
    <t>08:15 in duration</t>
  </si>
  <si>
    <t>Re-record- ZMG</t>
  </si>
  <si>
    <t>https://drive.google.com/open?id=1fyhmCfvzXhZos5zMqfS4I31R1mXZhES-</t>
  </si>
  <si>
    <t>Colm</t>
  </si>
  <si>
    <t>165 - Channel</t>
  </si>
  <si>
    <t>Inside a news powerhouse</t>
  </si>
  <si>
    <t>166 - Channel</t>
  </si>
  <si>
    <t xml:space="preserve">Brand responsibility </t>
  </si>
  <si>
    <t>Frank Cooper, BlackRock</t>
  </si>
  <si>
    <t>Claire Atkinson, NBC News</t>
  </si>
  <si>
    <t>167 - Channel</t>
  </si>
  <si>
    <t>CH 1- How to win the digital news war</t>
  </si>
  <si>
    <t>News and tech: The ultimate frenemies?</t>
  </si>
  <si>
    <t>Jay Yarow, CNBC</t>
  </si>
  <si>
    <t>Eric Schurenberg, Inc. &amp; Fast Company</t>
  </si>
  <si>
    <t>https://drive.google.com/drive/folders/1FJFSnaWJYbTZqoKzQFJAyejXRi1aD9DJ</t>
  </si>
  <si>
    <t>Post-Panama: The future of data journalism</t>
  </si>
  <si>
    <t>Frederik Obermaier, Suddeutschland Zeitung</t>
  </si>
  <si>
    <t>How to win the digital news war</t>
  </si>
  <si>
    <t>James Ball, The Bureau of Investigative Journalism</t>
  </si>
  <si>
    <t>Talk time: 13:14
Talk was 55 seconds over, cut about 40 seconds</t>
  </si>
  <si>
    <t>https://drive.google.com/open?id=1FOvEJM5wqUvn3izWxLwe3ghXEKOtCV08</t>
  </si>
  <si>
    <t>Who owns what, and what we're free to say</t>
  </si>
  <si>
    <t>Stephen Engelberg, ProPublica</t>
  </si>
  <si>
    <t>Mathew Ingram, Columbia Journalism Review</t>
  </si>
  <si>
    <t>168 - Channel</t>
  </si>
  <si>
    <t xml:space="preserve">Finance will never be the same again </t>
  </si>
  <si>
    <t>Rishi Khosla, OakNorth</t>
  </si>
  <si>
    <t>John Detrixhe, Quartz</t>
  </si>
  <si>
    <t>169 - Channel</t>
  </si>
  <si>
    <t>From around the world to home BÉIS</t>
  </si>
  <si>
    <t>Shay Mitchell, BÉIS</t>
  </si>
  <si>
    <t>170 - Channel</t>
  </si>
  <si>
    <t>Growing an ecommerce giant</t>
  </si>
  <si>
    <t>Barbara Martin Coppola, IKEA</t>
  </si>
  <si>
    <t>171 - Channel</t>
  </si>
  <si>
    <t>Brian Sozzi, Yahoo Finance</t>
  </si>
  <si>
    <t>172 - Channel</t>
  </si>
  <si>
    <t>https://drive.google.com/drive/folders/1A2yyiqAnKw0B5VoGJ3vh-V8NF3ZFUuRj</t>
  </si>
  <si>
    <t>How to manage growth</t>
  </si>
  <si>
    <t>Peter Colis, Ethos</t>
  </si>
  <si>
    <t>Total: 00:15:31:09 - Talks slightly out of sync so extra edits were done, dog barking in background so I cut it out too</t>
  </si>
  <si>
    <t>https://drive.google.com/open?id=1DOqpLwL9mcVAu2CQABrE49CrklgGOp64</t>
  </si>
  <si>
    <t>173 - Channel</t>
  </si>
  <si>
    <t>The future of photography</t>
  </si>
  <si>
    <t>Dave Grannan, Light</t>
  </si>
  <si>
    <t>174 - Channel</t>
  </si>
  <si>
    <t>175 - Channel</t>
  </si>
  <si>
    <t>50 shades of tech</t>
  </si>
  <si>
    <t>Lora Haddock, Lora DiCarlo</t>
  </si>
  <si>
    <t>Marianne Brandon, Massachusetts Psychological Association</t>
  </si>
  <si>
    <t>176 - Channel</t>
  </si>
  <si>
    <t>Data, digitisation and the death of the card</t>
  </si>
  <si>
    <t>https://drive.google.com/drive/folders/1zk8f-65Et3x2832zH9WE91rK-Ms1EFBY</t>
  </si>
  <si>
    <t>Sri Shivananda, PayPal</t>
  </si>
  <si>
    <t>Felix Salmon, Axios</t>
  </si>
  <si>
    <t>Has Covid-19 revealed the limits of bricks and mortar?</t>
  </si>
  <si>
    <t>Scott Cutler, StockX</t>
  </si>
  <si>
    <t>Tim Kobe, Eight Inc</t>
  </si>
  <si>
    <t>Phil Wahba, Fortune Magazine</t>
  </si>
  <si>
    <t>https://drive.google.com/open?id=19J7sDMmPtnXyD0lAJoivH2iKKDBjlf7F</t>
  </si>
  <si>
    <t>Cross-border payments: Tackling a moving target</t>
  </si>
  <si>
    <t>Lucy Liu, Airwallex</t>
  </si>
  <si>
    <t>Henny Sender, Financial Times</t>
  </si>
  <si>
    <t>177 - Channel</t>
  </si>
  <si>
    <t>178 - Channel</t>
  </si>
  <si>
    <t>Partner ad - City of Toronto</t>
  </si>
  <si>
    <t>179 - Channel</t>
  </si>
  <si>
    <t>180 - Channel</t>
  </si>
  <si>
    <t>What makes TikTok different</t>
  </si>
  <si>
    <t>https://drive.google.com/drive/folders/12c5_ndEKICu6R16p41NI2znvB9xm6A6K</t>
  </si>
  <si>
    <t>Talk outro KEEP</t>
  </si>
  <si>
    <t>Nailing social media in the lockdown</t>
  </si>
  <si>
    <t>David Schneider, That Lot</t>
  </si>
  <si>
    <t xml:space="preserve">A lot of problems with Steve in this one. He is out of sync constantly and in a way that can't be fixed. I've used b-roll throughout to cover him but I still had to establish him when he began and finished speaking and so that is still included, laggy as it is. </t>
  </si>
  <si>
    <t>BROLL used very well to hide sync issues. Just about passable. LP. Will see if re-record is possible, bot speaker is laughably laggy, b-roll used almost the entire time he's speaking and it's pretty obvious we're covering him up - WE</t>
  </si>
  <si>
    <t>https://drive.google.com/open?id=1U8lbGeh5biOsUz4i6Z3TGbYY13SLTlK5</t>
  </si>
  <si>
    <t>Talk outro -KEEP</t>
  </si>
  <si>
    <t>181 - Channel</t>
  </si>
  <si>
    <t>An exit strategy for social media</t>
  </si>
  <si>
    <t>182 - Channel</t>
  </si>
  <si>
    <t>Anthony Scaramucci, Sky Bridge Capital</t>
  </si>
  <si>
    <t>Brittany Kaiser, Own Your Data</t>
  </si>
  <si>
    <t>183 - Channel</t>
  </si>
  <si>
    <t>Tech and transparency in the branding era</t>
  </si>
  <si>
    <t>Christopher Wylie, H&amp;M Group</t>
  </si>
  <si>
    <t>184 - Channel</t>
  </si>
  <si>
    <t>Overcoming operational challenges during a pandemic</t>
  </si>
  <si>
    <t>David Yang, ABBYY</t>
  </si>
  <si>
    <t>185 - Channel</t>
  </si>
  <si>
    <t>186 - Channel</t>
  </si>
  <si>
    <t>Do robots understand pandemics?</t>
  </si>
  <si>
    <t>David Hanson, Hanson Robotics</t>
  </si>
  <si>
    <t>Sophia The Robot, Hanson Robotics</t>
  </si>
  <si>
    <t>187 - Channel</t>
  </si>
  <si>
    <t>Developers</t>
  </si>
  <si>
    <t>188 - Channel</t>
  </si>
  <si>
    <t>189 - Channel</t>
  </si>
  <si>
    <t>Working from home? Not for robots!</t>
  </si>
  <si>
    <t>Marc Raibert, Boston Dynamics</t>
  </si>
  <si>
    <t>190 - Channel</t>
  </si>
  <si>
    <t>CH 1- The fate of retail lies with the consumer</t>
  </si>
  <si>
    <t>Sebastian Siemiatkowski, Klarna</t>
  </si>
  <si>
    <t>https://drive.google.com/drive/folders/1bI0osWic68D9m5LhrNKYzWuoAM_Eq5Lb</t>
  </si>
  <si>
    <t>Developing robotics from your room</t>
  </si>
  <si>
    <t>Ian Bernstein, Misty Robotics</t>
  </si>
  <si>
    <t>Parmy Olson, The Wall Street Journal</t>
  </si>
  <si>
    <t>The fate of retail lies with the consumer</t>
  </si>
  <si>
    <t>https://drive.google.com/open?id=1d6bg5xsZKKyon_tK6uvWY_tpa6ZrOp1H</t>
  </si>
  <si>
    <t>Safeguard a healthier future with AI and robots</t>
  </si>
  <si>
    <t>Michael Tam, UBTECH</t>
  </si>
  <si>
    <t>40 Words #12_Demodesk</t>
  </si>
  <si>
    <t>Helen</t>
  </si>
  <si>
    <t>191 - Channel</t>
  </si>
  <si>
    <t>Partner ad - Startup Portugal</t>
  </si>
  <si>
    <t>192 - Channel</t>
  </si>
  <si>
    <t>To scale or not to scale, and how?</t>
  </si>
  <si>
    <t>Yancey Spruill, DigitalOcean</t>
  </si>
  <si>
    <t>Leela Srinivasan, SurveyMonkey</t>
  </si>
  <si>
    <t>Ben Gilbert, Acquired Podcast</t>
  </si>
  <si>
    <t>193 - Channel</t>
  </si>
  <si>
    <t>194 - Channel</t>
  </si>
  <si>
    <t>Into the clouds</t>
  </si>
  <si>
    <t>https://drive.google.com/drive/folders/1zYvUHikZ8dQb1o_iO9SWBvw6-3RVwzBz</t>
  </si>
  <si>
    <t>Daniel Saks, AppDirect</t>
  </si>
  <si>
    <t>SaaS &amp; remote-centric culture</t>
  </si>
  <si>
    <t>Eugenio Pace, Auth0</t>
  </si>
  <si>
    <t>195 - Channel</t>
  </si>
  <si>
    <t>Leading BuzzFeed through Covid-19</t>
  </si>
  <si>
    <t>Jonah Peretti, BuzzFeed</t>
  </si>
  <si>
    <t>Eric Hippeau, Lerer Hippeau</t>
  </si>
  <si>
    <t>196 - Channel</t>
  </si>
  <si>
    <t>197 - Channel</t>
  </si>
  <si>
    <t>198 - Channel</t>
  </si>
  <si>
    <t>https://drive.google.com/drive/folders/1XfyYcteCLOCDYTctiBg3KOVNiM-mNTDT</t>
  </si>
  <si>
    <t>A champion's guide to conquering the world</t>
  </si>
  <si>
    <t>Gilberto Silva, Brazil</t>
  </si>
  <si>
    <t>Tim Chase, TruChallenge</t>
  </si>
  <si>
    <t>00:14:59:19</t>
  </si>
  <si>
    <t>The Gronkowski's guide to building a business empire</t>
  </si>
  <si>
    <t>Rob Gronkowski, The Gronk</t>
  </si>
  <si>
    <t>Gordie Gronkowski, Gronk Fitness</t>
  </si>
  <si>
    <t>Dan Gronkowski, InSite Media</t>
  </si>
  <si>
    <t>Glenn Gronkowski, Complex SE</t>
  </si>
  <si>
    <t>https://drive.google.com/open?id=13JBhP0Mhvb-C8MFkIaFy-JBek16lnAl0</t>
  </si>
  <si>
    <t>199 - Channel</t>
  </si>
  <si>
    <t>The science of elite performance</t>
  </si>
  <si>
    <t>Steve Gera, Gains Group</t>
  </si>
  <si>
    <t>Steve Lacroix, Minnesota Vikings</t>
  </si>
  <si>
    <t>Aaron Korolnek, TSN Sports</t>
  </si>
  <si>
    <t>200 - Channel</t>
  </si>
  <si>
    <t>Bouncing back: The new normal for sport</t>
  </si>
  <si>
    <t>Angela Ruggiero, Sports Innovation Lab</t>
  </si>
  <si>
    <t>Kayla Alexander, WNBA</t>
  </si>
  <si>
    <t>201 - Channel</t>
  </si>
  <si>
    <t>https://drive.google.com/drive/folders/1sCYZYkq1oc6Db41BuQtSWx_yTxvuVhWU</t>
  </si>
  <si>
    <t>00:05:48 - video being played is very laggy and music keeps cutting out, not sure if its worth keeping any of that segment...</t>
  </si>
  <si>
    <t>The end of the talk shows a video where sync is quite nessesary otherwise it looks crap. Asking Carol for source footage to add in manually to a 1CAM. LP</t>
  </si>
  <si>
    <t>Innovative materials</t>
  </si>
  <si>
    <t>https://drive.google.com/open?id=1ovwcHmnGhVPqdc9jQpPbG-poBpmJLJ_l</t>
  </si>
  <si>
    <t>Mike Thaman, UBQ Materials</t>
  </si>
  <si>
    <t>Daphna Nissenbaum, Tipa</t>
  </si>
  <si>
    <t>202 - Channel</t>
  </si>
  <si>
    <t>Accelerating digital transformation</t>
  </si>
  <si>
    <t>Duncan Greatwood, Xage Security</t>
  </si>
  <si>
    <t>203 - Channel</t>
  </si>
  <si>
    <t>Unlocking the black box of machine learning</t>
  </si>
  <si>
    <t>204 - Channel</t>
  </si>
  <si>
    <t>Rebecca Parsons, ThoughtWorks</t>
  </si>
  <si>
    <t>https://drive.google.com/drive/folders/1ws2K4nqShPkCa1bEzsJojpwbe8tHR9S5</t>
  </si>
  <si>
    <t>re-record complete - WE</t>
  </si>
  <si>
    <t>Ambient technology</t>
  </si>
  <si>
    <t>https://drive.google.com/open?id=1lI4zFJUSIUDlxBVidSJgGFgJqShUyawk</t>
  </si>
  <si>
    <t>Linden Tibbets, IFTTT</t>
  </si>
  <si>
    <t>Matthew Calkins, Appian</t>
  </si>
  <si>
    <t>Adrian Weckler, Irish  Independent</t>
  </si>
  <si>
    <t>205 - Channel</t>
  </si>
  <si>
    <t>The role of tech in a post-Covid world</t>
  </si>
  <si>
    <t>Simon Segars, ARM</t>
  </si>
  <si>
    <t>206 - Channel</t>
  </si>
  <si>
    <t>207 - Channel</t>
  </si>
  <si>
    <t>Progressive delivery</t>
  </si>
  <si>
    <t>Edith Harbaugh, LaunchDarkly</t>
  </si>
  <si>
    <t>Scott Raney, Redpoint Ventures</t>
  </si>
  <si>
    <t>208 - Channel</t>
  </si>
  <si>
    <t>209 - Channel</t>
  </si>
  <si>
    <t>ch 1 - To pay or not to pay: What content should be free</t>
  </si>
  <si>
    <t>Do we need a new global economic system?</t>
  </si>
  <si>
    <t>Tom Ryan, Pluto Tv</t>
  </si>
  <si>
    <t>Pascal Saint-Amans, OECD</t>
  </si>
  <si>
    <t>Lisa Bragg, MediaFace</t>
  </si>
  <si>
    <t>Gillian Tett, Financial Times</t>
  </si>
  <si>
    <t>https://drive.google.com/drive/folders/1cryKeXDnrGUz4V6VinunUZFGAbWohM4O</t>
  </si>
  <si>
    <t>Partner ad Invest in Canada</t>
  </si>
  <si>
    <t>To pay or not to pay: What content should be free</t>
  </si>
  <si>
    <t>00:10:16:07</t>
  </si>
  <si>
    <t>https://drive.google.com/open?id=1e7fOYgwlT0X_ZGIHvLbS9GdzpZLEpL3X</t>
  </si>
  <si>
    <t>Government and business: Addressing global challenges</t>
  </si>
  <si>
    <t>Ailish Campbell, Global Affairs Canada</t>
  </si>
  <si>
    <t>David Wallerstein, Tencent Holdings</t>
  </si>
  <si>
    <t>210 - Channel</t>
  </si>
  <si>
    <t>211 - Channel</t>
  </si>
  <si>
    <t>Revolutionizing employee healthcare</t>
  </si>
  <si>
    <t>Michael Serbinis, League Inc</t>
  </si>
  <si>
    <t>Partner ad - It is for the partner - Invest in Canada</t>
  </si>
  <si>
    <t>212 - Channel</t>
  </si>
  <si>
    <t>213 - Channel</t>
  </si>
  <si>
    <t>How to bust the post-Covid recession</t>
  </si>
  <si>
    <t>Mary NG, Government of Canada</t>
  </si>
  <si>
    <t>Pedro Siza Vieira, Government of Portugal</t>
  </si>
  <si>
    <t>Brian O'Donovan, RTÉ</t>
  </si>
  <si>
    <t>40 words #14 _Cheapskate</t>
  </si>
  <si>
    <t>214 - Channel</t>
  </si>
  <si>
    <t>215 - Channel</t>
  </si>
  <si>
    <t>Connecting the DoTs</t>
  </si>
  <si>
    <t>Aba Schubert, Dorae</t>
  </si>
  <si>
    <t>https://drive.google.com/drive/folders/1_Fn8SJxDiNnJyknagUbNpGs35s-ZZUua</t>
  </si>
  <si>
    <t>Duration: 13.34</t>
  </si>
  <si>
    <t>https://drive.google.com/open?id=1pBBHxhT8pHZAHiArE7oZKWvlHtYGD7AW</t>
  </si>
  <si>
    <t>The future of urban mobility</t>
  </si>
  <si>
    <t>Markus Villig, Bolt</t>
  </si>
  <si>
    <t>Tim Stevens, CNET</t>
  </si>
  <si>
    <t>216 - Channel</t>
  </si>
  <si>
    <t>217 - Channel</t>
  </si>
  <si>
    <t>218 - Channel</t>
  </si>
  <si>
    <t>The future we choose</t>
  </si>
  <si>
    <t>Christiana Figueres, Mission2020</t>
  </si>
  <si>
    <t>Philip Crowther, Associated Press</t>
  </si>
  <si>
    <t>219 - Channel</t>
  </si>
  <si>
    <t>220 - Channel</t>
  </si>
  <si>
    <t>The science of tomorrow</t>
  </si>
  <si>
    <t>Sofia Qureshi, The Knowledge Society</t>
  </si>
  <si>
    <t>Adam Omarali, The Knowledge Society</t>
  </si>
  <si>
    <t>Hana Ahmad, The Knowledge Society</t>
  </si>
  <si>
    <t>Manjula Selvarajah, CBC Radio</t>
  </si>
  <si>
    <t>221 - Channel</t>
  </si>
  <si>
    <t>https://drive.google.com/drive/folders/1S-esJ8uDgxV015C2rYpEb5ljvc2ej5Zz</t>
  </si>
  <si>
    <t>AI-way or the highway</t>
  </si>
  <si>
    <t>Jon Foster, Zoox</t>
  </si>
  <si>
    <t>20 secs under</t>
  </si>
  <si>
    <t>https://drive.google.com/open?id=1u112a162eDt22jnDyXxH6Uj1QdviD76f</t>
  </si>
  <si>
    <t>222 - Channel</t>
  </si>
  <si>
    <t>223 - Channel</t>
  </si>
  <si>
    <t>224 - Channel</t>
  </si>
  <si>
    <t>CHANNEL 4</t>
  </si>
  <si>
    <t>225 - Channel</t>
  </si>
  <si>
    <t>226 - Channel</t>
  </si>
  <si>
    <t>Collision From Home Promo</t>
  </si>
  <si>
    <t>MC Intro</t>
  </si>
  <si>
    <t>NON-KEYNOTE 7 - Video to be recorded</t>
  </si>
  <si>
    <t>227 - Channel</t>
  </si>
  <si>
    <t>Podcast</t>
  </si>
  <si>
    <t xml:space="preserve">In depth: John Chambers </t>
  </si>
  <si>
    <t>228 - Channel</t>
  </si>
  <si>
    <t>In depth: Gary Liu</t>
  </si>
  <si>
    <t>Gary Liu, South China Morning Post</t>
  </si>
  <si>
    <t>229 - Channel</t>
  </si>
  <si>
    <t>230 - Channel</t>
  </si>
  <si>
    <t xml:space="preserve">In depth: Brittany Kaiser </t>
  </si>
  <si>
    <t>231 - Channel</t>
  </si>
  <si>
    <t>232 - Channel</t>
  </si>
  <si>
    <t>In depth: Nicola Kilner</t>
  </si>
  <si>
    <t>Elizabeth Paton, The New York Times</t>
  </si>
  <si>
    <t>233 - Channel</t>
  </si>
  <si>
    <t>https://drive.google.com/drive/folders/13xKMykNyi-0pClROpz_d_iYixDhhaM9D</t>
  </si>
  <si>
    <t>In depth: Gilberto Silva</t>
  </si>
  <si>
    <t>Duration: 14.50</t>
  </si>
  <si>
    <t>https://drive.google.com/open?id=1TtmN7D3kr5y79eX4hrWVR3i4FMSj27CJ</t>
  </si>
  <si>
    <t>234 - Channel</t>
  </si>
  <si>
    <t>In depth: The Future of Sport</t>
  </si>
  <si>
    <t>Rob Knesaurek, NHL</t>
  </si>
  <si>
    <t>Jesse Lovejoy, San Francisco 49ers</t>
  </si>
  <si>
    <t>Mark Parkman, IOC</t>
  </si>
  <si>
    <t>Alexandra Chalat, Beyond Sport</t>
  </si>
  <si>
    <t>235 - Channel</t>
  </si>
  <si>
    <t>In depth: Editors' roundtable</t>
  </si>
  <si>
    <t>Betsy Reed, The Intercept</t>
  </si>
  <si>
    <t>236 - Channel</t>
  </si>
  <si>
    <t>237 - Channel</t>
  </si>
  <si>
    <t>In depth: Rana el Kaliouby</t>
  </si>
  <si>
    <t>Khari Johnson, VentureBeat</t>
  </si>
  <si>
    <t>238 - Channel</t>
  </si>
  <si>
    <t>Hoop Dreams: Meet the NBA stars turned entrepreneurs</t>
  </si>
  <si>
    <t>239 - Channel</t>
  </si>
  <si>
    <t>Zoom with a difference: Ben Goertzel and Philip K Dick</t>
  </si>
  <si>
    <t>Ben Goertzel, SingularityNET</t>
  </si>
  <si>
    <t>Philip K. Dick, University of Louisville</t>
  </si>
  <si>
    <t>240 - Channel</t>
  </si>
  <si>
    <t>MC Outro</t>
  </si>
  <si>
    <t>241 - Channel</t>
  </si>
  <si>
    <t>242 - Channel</t>
  </si>
  <si>
    <t>243 - Channel</t>
  </si>
  <si>
    <t>244 - Channel</t>
  </si>
  <si>
    <t>https://drive.google.com/drive/folders/1eUL6SYq5fi_pAFtnx3vXrEbq6ipTt73E</t>
  </si>
  <si>
    <t>00:13:44:11</t>
  </si>
  <si>
    <t>https://drive.google.com/open?id=1TbOHQVlw4OP-qmd7aoHqD_ilB9LJIZTK</t>
  </si>
  <si>
    <t>245 - Channel</t>
  </si>
  <si>
    <t>246 - Channel</t>
  </si>
  <si>
    <t>247 - Channel</t>
  </si>
  <si>
    <t>https://drive.google.com/drive/folders/1S23SSsNEkRtidcIWW-W2DYgW-yYWqErM</t>
  </si>
  <si>
    <t>https://drive.google.com/open?id=1775YIjq9A4OqWRtcXPB8v1Ln7E5CFJ7G</t>
  </si>
  <si>
    <t>248 - Channel</t>
  </si>
  <si>
    <t>249 - Channel</t>
  </si>
  <si>
    <t>250 - Channel</t>
  </si>
  <si>
    <t>https://drive.google.com/drive/folders/1PLMhaTY0t4rsgTkReO5F_FgiWnH_kiAL</t>
  </si>
  <si>
    <r>
      <rPr>
        <b/>
      </rPr>
      <t>Updated Video goes over time --- Many Issues with Lag</t>
    </r>
    <r>
      <t xml:space="preserve"> - lots of lag for bottom speaker - 00:00:19:01 had to use fake lag to make the transition more seamless as speaker cam is completely frozen - producer told them the talk was 15 mins so it is nearly 4 minutes over the given duration - 00:06:36 bottom speaker camera essentialy freezes - top right speaker lighting keeps changing - 00:12:30 notification ding in the middle of a sentance</t>
    </r>
  </si>
  <si>
    <t>Kobe's section will get re-recorded Friday</t>
  </si>
  <si>
    <t>https://drive.google.com/open?id=12LiFuv0ARRe8WyULAQ898asLerlha_0v</t>
  </si>
  <si>
    <t>MC intro</t>
  </si>
  <si>
    <t xml:space="preserve">In depth: Vinod Khosla </t>
  </si>
  <si>
    <t>251 - Channel</t>
  </si>
  <si>
    <t>252 - Channel</t>
  </si>
  <si>
    <t xml:space="preserve">In depth: Anthony Scaramucci </t>
  </si>
  <si>
    <t>253 - Channel</t>
  </si>
  <si>
    <t>254 - Channel</t>
  </si>
  <si>
    <t>https://drive.google.com/drive/folders/1d6jpUxzOuCyc-_ED3zNbCLk1HJRkOujo</t>
  </si>
  <si>
    <t>255 - Channel</t>
  </si>
  <si>
    <t>In depth: Emily Oberman</t>
  </si>
  <si>
    <t>256 - Channel</t>
  </si>
  <si>
    <t xml:space="preserve">In depth: Ali Rezai </t>
  </si>
  <si>
    <t>Ali Rezai, Rockefeller Neuroscience Institute</t>
  </si>
  <si>
    <t>https://drive.google.com/drive/folders/1kZBG4GxIa3HlGdiFFQYf5T4WqliwxRRp</t>
  </si>
  <si>
    <t>Matthew Hutson, Scientific American</t>
  </si>
  <si>
    <t>In depth: Sid Sijbrandij</t>
  </si>
  <si>
    <t>Ron Miller, TechCrunch</t>
  </si>
  <si>
    <t xml:space="preserve">Main issues: Any time Alex speaks he lags quite badly - video more than audio. Taso also lags at times when he speaks. From 0:30 to approx 1:44 is probably the worst portion for lagging. I cut the skype call and used 1 cam view regularly throughout. </t>
  </si>
  <si>
    <t>https://drive.google.com/open?id=1Myr3hmsUF7L0b0tPdHx4cl2lwEFa2Bss</t>
  </si>
  <si>
    <t>Collision From Home</t>
  </si>
  <si>
    <t>257 - Channel</t>
  </si>
  <si>
    <t>In depth: Mitchell Baker</t>
  </si>
  <si>
    <t>258 - Channel</t>
  </si>
  <si>
    <t>259 - Channel</t>
  </si>
  <si>
    <t>In depth: Alissa White-Gluz</t>
  </si>
  <si>
    <t>Alissa White-Gluz, Patreon</t>
  </si>
  <si>
    <t>Kerri Pollard, Patreon</t>
  </si>
  <si>
    <t>260 - Channel</t>
  </si>
  <si>
    <t>261 - Channel</t>
  </si>
  <si>
    <t>In depth: Jeremy Zimmer</t>
  </si>
  <si>
    <t>262 - Channel</t>
  </si>
  <si>
    <t>In depth: Gretchen Carlson</t>
  </si>
  <si>
    <t>263 - Channel</t>
  </si>
  <si>
    <t>264 - Channel</t>
  </si>
  <si>
    <t>https://drive.google.com/drive/folders/1fMYnhsbGMY1NR4--__54ebfJ_XqcLk6H</t>
  </si>
  <si>
    <t>Inside Softbank: Changing customer behaviour</t>
  </si>
  <si>
    <t>https://drive.google.com/open?id=1FfGPNlrxt_RvahzcRaZSsavRQTxtDT2F</t>
  </si>
  <si>
    <t>265 - Channel</t>
  </si>
  <si>
    <t>266 - Channel</t>
  </si>
  <si>
    <t>267 - Channel</t>
  </si>
  <si>
    <t>https://drive.google.com/drive/folders/1YHAYXKxTocpVYfQ_wn8AZog-dBbMXTNI</t>
  </si>
  <si>
    <t>It's all about the story</t>
  </si>
  <si>
    <t>Jake Brennan, Disgraceland</t>
  </si>
  <si>
    <t>Donald Albright, Tenderfoot TV</t>
  </si>
  <si>
    <t>Payne Lindsey, Tenderfoot TV</t>
  </si>
  <si>
    <t>Lara O'Reilly, Digiday</t>
  </si>
  <si>
    <t>268 - Channel</t>
  </si>
  <si>
    <t>In depth: Lily Cole</t>
  </si>
  <si>
    <t>269 - Channel</t>
  </si>
  <si>
    <t>https://drive.google.com/file/d/1wHGxNZiIcAtRQ3FAt0lG0RxKiUT9OQQc/view</t>
  </si>
  <si>
    <t xml:space="preserve">In depth: Rick Ridgeway </t>
  </si>
  <si>
    <t>Rebecca's initial edit has some speakers whose footage scaled up doesn't look great (Nicholas Necroponte), final speaker also has their audio dipped a bit too early so the "diapers" punchline is missed. Will need to get the .proj and reassign to a new editor to clean it up. LP</t>
  </si>
  <si>
    <t>https://drive.google.com/file/d/1mEW6ycsJdXU2pgFA7F-yF7-A0JTogc0I/view</t>
  </si>
  <si>
    <t xml:space="preserve">In depth: Brian Collins </t>
  </si>
  <si>
    <t>Debbie Millman, Design Matters</t>
  </si>
  <si>
    <t>270 - Channel</t>
  </si>
  <si>
    <t>In depth: Josh Luber</t>
  </si>
  <si>
    <t>Reggie Wade, Yahoo Finance</t>
  </si>
  <si>
    <t>271 - Channel</t>
  </si>
  <si>
    <t>272 - Channel</t>
  </si>
  <si>
    <t>CH 1 - Are circular cities safer?</t>
  </si>
  <si>
    <t>Greg Morrisett, Cornell Tech</t>
  </si>
  <si>
    <t>Stefaan Verhulst, The GovLab</t>
  </si>
  <si>
    <t>Tara Pham, Numina</t>
  </si>
  <si>
    <t>Shaun Stewart, New Lab</t>
  </si>
  <si>
    <t>Daniel Oberhaus, Wired</t>
  </si>
  <si>
    <t>5 CAM</t>
  </si>
  <si>
    <t>In depth: Molly Bloom</t>
  </si>
  <si>
    <t>https://drive.google.com/drive/folders/1hOFUKOSvw3ETOIlRHZbHRwjeP-Hst0hH</t>
  </si>
  <si>
    <t>Are circular cities safer?</t>
  </si>
  <si>
    <t>20:23 in duration</t>
  </si>
  <si>
    <t>https://drive.google.com/file/d/1bTyQy4M_JuM08NRSnNz2Yejc5Is5zO2J/view</t>
  </si>
  <si>
    <t xml:space="preserve">Margaret Atwood on Radio Collision </t>
  </si>
  <si>
    <t>Ahmed</t>
  </si>
  <si>
    <t>273 - Channel</t>
  </si>
  <si>
    <t>274 - Channel</t>
  </si>
  <si>
    <t>In depth: Nikolaj Coster-Waldau</t>
  </si>
  <si>
    <t>https://drive.google.com/file/d/1LIkcL7cud_2sFj7LnftmeC3TTcfJPFJ3/view</t>
  </si>
  <si>
    <t>0:43 massive pause between the transition and when Jessica starts to talk. Cut the pause prior to "I've learned that.." to fix this. Reassigning. LP</t>
  </si>
  <si>
    <t>275 - Channel</t>
  </si>
  <si>
    <t>Autonomy during a pandemic</t>
  </si>
  <si>
    <t>Chuck Price, TuSimple</t>
  </si>
  <si>
    <t>Kirsten Korosec, TechCrunch</t>
  </si>
  <si>
    <t>276 - Channel</t>
  </si>
  <si>
    <t>https://drive.google.com/drive/folders/1-lfMc-n2JjJXqplTohHkX_fstoxMPvxD</t>
  </si>
  <si>
    <t>Investing through the chaos</t>
  </si>
  <si>
    <t>Dmitry Grishin, Grishin Robotics</t>
  </si>
  <si>
    <t>2 seconds under @14:58</t>
  </si>
  <si>
    <t>Impact investing for resilient communities</t>
  </si>
  <si>
    <t>Michael Schlein, Accion</t>
  </si>
  <si>
    <t>Brian Rich, Catalyst Investors</t>
  </si>
  <si>
    <t>Aaron Fu, Catalyst Fund</t>
  </si>
  <si>
    <t>https://drive.google.com/open?id=1EILx4l0OPJPUmbBRTPuszMxJMbb5c5gV</t>
  </si>
  <si>
    <t>277 - Channel</t>
  </si>
  <si>
    <t>Sowing the seeds of recovery</t>
  </si>
  <si>
    <t>Carlos Eduardo Espinal, Seedcamp</t>
  </si>
  <si>
    <t>Eamonn Carey, Techstars</t>
  </si>
  <si>
    <t>Rohit Puri, EY</t>
  </si>
  <si>
    <t>Teaser Outro</t>
  </si>
  <si>
    <t>278 - Channel</t>
  </si>
  <si>
    <t>279 - Channel</t>
  </si>
  <si>
    <t>280 - Channel</t>
  </si>
  <si>
    <t>281 - Channel</t>
  </si>
  <si>
    <t>CH 1-What can data do in a crisis?</t>
  </si>
  <si>
    <t>Sarah Gerweck, AtScale</t>
  </si>
  <si>
    <t>Carolina Bessega, Stradigi AI</t>
  </si>
  <si>
    <t>Marc Saltzman, USA Today</t>
  </si>
  <si>
    <t>https://drive.google.com/drive/folders/1tXvWBfsJ9Sd2XhhGodvEmKtMeJUb3Mm6</t>
  </si>
  <si>
    <t>What can data do in a crisis?</t>
  </si>
  <si>
    <t>SURPLUS TALKS</t>
  </si>
  <si>
    <t>00:11:36:16</t>
  </si>
  <si>
    <t>https://drive.google.com/open?id=1Q2gHsd1disvawzWD2JKgY-HgUitM2QRE</t>
  </si>
  <si>
    <t>282 - Channel</t>
  </si>
  <si>
    <t>CH 3 - The cost of health: Insurtech in a pandemic</t>
  </si>
  <si>
    <t>Yashish Dahiya, PolicyBazaar</t>
  </si>
  <si>
    <t>Grace Park, DocDoc</t>
  </si>
  <si>
    <t>John Armstrong, KPMG</t>
  </si>
  <si>
    <t>CH2 - It's all about the story</t>
  </si>
  <si>
    <t>283 - Channel</t>
  </si>
  <si>
    <t>CH1 - Inside the hospitals of tomorrow</t>
  </si>
  <si>
    <t>Riya Mehta, The Knowledge Society</t>
  </si>
  <si>
    <t>Jordan Nof, Tusk Ventures Partners</t>
  </si>
  <si>
    <t>Harold Paz, The Ohio State University Wexner Medical Center</t>
  </si>
  <si>
    <t>CH 2 - Digital literacy for the community</t>
  </si>
  <si>
    <t>Dinanath Kholkar, Tata Consultancy Services</t>
  </si>
  <si>
    <t>284 - Channel</t>
  </si>
  <si>
    <t>Ganesh Iyer, dotin.us</t>
  </si>
  <si>
    <t>CH4: The marketing plays you need to know about</t>
  </si>
  <si>
    <t>David Meltzer, Sports1Marketing</t>
  </si>
  <si>
    <t>285 - Channel</t>
  </si>
  <si>
    <t xml:space="preserve">CH. 3 Reducing your environmental impact
</t>
  </si>
  <si>
    <t>Ethan Song, Frank And Oak</t>
  </si>
  <si>
    <t>Brian Bushell, By Humankind</t>
  </si>
  <si>
    <t>Britta Muzyk-Tikovsky, Capscovil.Com</t>
  </si>
  <si>
    <t>286 - Channel</t>
  </si>
  <si>
    <t>CH2: Plates and the planet: How to eco-feed the world</t>
  </si>
  <si>
    <t>Vandana Tilak, Akshaya Patra</t>
  </si>
  <si>
    <t>Vince Lu, ZhenMeat</t>
  </si>
  <si>
    <t>Andrew Freedman, Washington Post</t>
  </si>
  <si>
    <t>CH2: Building a paradigm of trust</t>
  </si>
  <si>
    <t>Mani Sundaram, Akamai</t>
  </si>
  <si>
    <t>George Gerchow, Sumo Logic</t>
  </si>
  <si>
    <t>Sheila Jordan, Honeywell International</t>
  </si>
  <si>
    <t>287 - Channel</t>
  </si>
  <si>
    <t>CH 2: Pushing the retail boundaries</t>
  </si>
  <si>
    <t>Fernando Madeira, IPSY</t>
  </si>
  <si>
    <t>Ashvin Kumar, Tophatter</t>
  </si>
  <si>
    <t>Cale Guthrie Weissman, Modern Retail</t>
  </si>
  <si>
    <t>CH 3 Sowing the seeds of recovery</t>
  </si>
  <si>
    <t>CH2: Investing in Europe post-pandemic</t>
  </si>
  <si>
    <t>Christian Nagel, Earlybird Venture Capital</t>
  </si>
  <si>
    <t>Stephan Morais, Indico Capital Partners</t>
  </si>
  <si>
    <t>Daniel Keiper-Knorr, Speedinvest</t>
  </si>
  <si>
    <t>Jordan French, Gritdaily</t>
  </si>
  <si>
    <t>288 - Channel</t>
  </si>
  <si>
    <t>CH4: Rebuilding the retail sector</t>
  </si>
  <si>
    <t>Doug Stephens, Retail Prophet</t>
  </si>
  <si>
    <t>Jacqueline Leung, Daily Hive</t>
  </si>
  <si>
    <t>https://drive.google.com/drive/folders/1O1GXP9s-bQUxOT16YzKQBuxwv115twtc</t>
  </si>
  <si>
    <t>CH 1 - Autonomy during a pandemic</t>
  </si>
  <si>
    <t>Kristen Korosec, TechCrunch</t>
  </si>
  <si>
    <t xml:space="preserve"> CH3 - Has 2020 redefined leadership?
</t>
  </si>
  <si>
    <t>Emmanuel Lagarrigue, Schneider Electric</t>
  </si>
  <si>
    <t>Magnus Grimeland, Antler</t>
  </si>
  <si>
    <t>Mathilde Collin, Front</t>
  </si>
  <si>
    <t>Wang Guan, CGTN</t>
  </si>
  <si>
    <t xml:space="preserve"> CH 3 - Smart investments in a pandemic</t>
  </si>
  <si>
    <t>Lu Zhang, Fusion Fund</t>
  </si>
  <si>
    <t>Total: 00:12:41:16 - Notes asked for large sections to be removed due to lag - Audio is not great throughout - Bottom speaker lags a lot</t>
  </si>
  <si>
    <t>Chris Howard, Fuel Capital</t>
  </si>
  <si>
    <t>Nicholas Chirls, Notation Capital</t>
  </si>
  <si>
    <t>Scott Rozansky, Dentons Venture Technology Group</t>
  </si>
  <si>
    <t>https://drive.google.com/open?id=1R1KTkd5RtcD9wBuy8LnQwORGGVPT6muH</t>
  </si>
  <si>
    <t>CH 1- Does a recession breed innovation?</t>
  </si>
  <si>
    <t>Erin Bradner, Autodesk</t>
  </si>
  <si>
    <t>Jamie Paik, EPFL</t>
  </si>
  <si>
    <t>Reza Malekzadeh, Partech Ventures</t>
  </si>
  <si>
    <t>Lei Cheng CGTN</t>
  </si>
  <si>
    <t xml:space="preserve">CH2: Conservation, science and climate </t>
  </si>
  <si>
    <t>Shyla Raghav, Conservational International</t>
  </si>
  <si>
    <t>Peter Li, Humane Society International, University of Houston-Downtown</t>
  </si>
  <si>
    <t>289 - Channel</t>
  </si>
  <si>
    <t>CH2 - Leading outside the box</t>
  </si>
  <si>
    <t>Mark Vernooij, THNK School of Creative Leadership</t>
  </si>
  <si>
    <t>Jessica Nordlander, Thoughtexchange</t>
  </si>
  <si>
    <t>Jared Lindzon, The Globe And Mail</t>
  </si>
  <si>
    <t>290 - Channel</t>
  </si>
  <si>
    <t>CH 3- Reinventing the VC model</t>
  </si>
  <si>
    <t>Chris Farmer, SignalFire</t>
  </si>
  <si>
    <t>Dror Berman, Innovation Endeavors</t>
  </si>
  <si>
    <t>Alireza Masrour, Plug and Play Tech Center</t>
  </si>
  <si>
    <t>Sarah McBride, Bloomberg</t>
  </si>
  <si>
    <t>CH3: Loyalty in our new reality</t>
  </si>
  <si>
    <t>Jonathan Legge, &amp;Open</t>
  </si>
  <si>
    <t>291 - Channel</t>
  </si>
  <si>
    <t>292 - Channel</t>
  </si>
  <si>
    <t>293 - Channel</t>
  </si>
  <si>
    <t>ch 2 - Sustaining a viral hit</t>
  </si>
  <si>
    <t>Ryan Lee, Pinkfong</t>
  </si>
  <si>
    <t>294 - Channel</t>
  </si>
  <si>
    <t>CH 1 - Investing through the chaos</t>
  </si>
  <si>
    <t>Dmitry Grishin, Mail.ru</t>
  </si>
  <si>
    <t>295 - Channel</t>
  </si>
  <si>
    <t>296 - Channel</t>
  </si>
  <si>
    <t>https://drive.google.com/drive/folders/19sDJNX5Huus2mj8Rd8FGJxXs8sDMDcb8</t>
  </si>
  <si>
    <t>CH2: Impact investing for resilient communities</t>
  </si>
  <si>
    <t>LT needs to be updated - WE</t>
  </si>
  <si>
    <t>https://drive.google.com/open?id=1I6-Fu97E8ffcznI-fsQjqk_TTzDy4lXz</t>
  </si>
  <si>
    <t>297 - Channel</t>
  </si>
  <si>
    <t>298 - Channel</t>
  </si>
  <si>
    <t>Guilt-free binge watching</t>
  </si>
  <si>
    <t>Clint Stinchcomb, CuriosityStream</t>
  </si>
  <si>
    <t>299 - Channel</t>
  </si>
  <si>
    <t>CH 1-The state of cannabusiness</t>
  </si>
  <si>
    <t>Narbe Alexandrian, Canopy Rivers</t>
  </si>
  <si>
    <t>Tahira Rehmatullah, T3 Ventures</t>
  </si>
  <si>
    <t>Adam Miron, HEXO Corp</t>
  </si>
  <si>
    <t>Anne Gaviola, VICE Canada</t>
  </si>
  <si>
    <t>300 - Channel</t>
  </si>
  <si>
    <t>301 - Channel</t>
  </si>
  <si>
    <t>https://drive.google.com/drive/folders/1_N3R_gaA19fkjykwn81Hs6F1yibMKSYl</t>
  </si>
  <si>
    <t>https://drive.google.com/open?id=13f0NqlVdpllJwxOFHyRfD9VMu0Q9MPv7</t>
  </si>
  <si>
    <t>302 - Channel</t>
  </si>
  <si>
    <t>ch. 1 Journalism in the age of pandemic</t>
  </si>
  <si>
    <t>Dinara Toktosunova, Ruptly</t>
  </si>
  <si>
    <t>303 - Channel</t>
  </si>
  <si>
    <t>304 - Channel</t>
  </si>
  <si>
    <t>cH. 1- China's edtech revolution: AI teachers in lockdown</t>
  </si>
  <si>
    <t>Derek Haoyang Li, Squirrel AI</t>
  </si>
  <si>
    <t>https://drive.google.com/drive/folders/1XDTByq6mSx9uk12sCi6hurjPrlYWSppq</t>
  </si>
  <si>
    <t>https://drive.google.com/open?id=19aMjcEgg_GraO168ahZTfqRjl6oWYhr_</t>
  </si>
  <si>
    <t>Ch 3 Is inclusive finance in the US a pipe dream?</t>
  </si>
  <si>
    <t>Brandon Krieg, Stash</t>
  </si>
  <si>
    <t>Katica Roy, Pipeline Equity</t>
  </si>
  <si>
    <t>305 - Channel</t>
  </si>
  <si>
    <t>306 - Channel</t>
  </si>
  <si>
    <t>ch 3 Kubernetes: Seed to a universal control plane</t>
  </si>
  <si>
    <t>Joe Beda, VMware</t>
  </si>
  <si>
    <t>307 - Channel</t>
  </si>
  <si>
    <t>Microprocessing: The race is on</t>
  </si>
  <si>
    <t>Mark Papermaster, Advanced Micro Devices</t>
  </si>
  <si>
    <t>308 - Channel</t>
  </si>
  <si>
    <t>Health for all, hunger for none – how AI can help</t>
  </si>
  <si>
    <t>Saskia Steinacker, Bayer Group</t>
  </si>
  <si>
    <t>309 - Channel</t>
  </si>
  <si>
    <t>310 - Channel</t>
  </si>
  <si>
    <t>CH2: Let ‘em run with AI</t>
  </si>
  <si>
    <t>Oleg Rogynskyy, People.ai</t>
  </si>
  <si>
    <t>311 - Channel</t>
  </si>
  <si>
    <t>Talk Outro - LENGTH INCREASED TO BALANCE OUT THE HOUR</t>
  </si>
  <si>
    <t>312 - Channel</t>
  </si>
  <si>
    <t>https://drive.google.com/drive/folders/1yKTcm8NWgCug8OU7MqQXmeZwf7P5DAkL</t>
  </si>
  <si>
    <t xml:space="preserve">Arianna Huffington on Radio Collision </t>
  </si>
  <si>
    <t>Content From Home: TikTok's greatest challenge</t>
  </si>
  <si>
    <t>Speaker Clips were recorded and uploaded separately. 00:19:40:06</t>
  </si>
  <si>
    <t>https://drive.google.com/open?id=1X3wVypvAbic1TsVkV78K_EZCIYVr_kOX</t>
  </si>
  <si>
    <t>313 - Channel</t>
  </si>
  <si>
    <t xml:space="preserve">Paris Hilton on Radio Collision </t>
  </si>
  <si>
    <t>314 - Channel</t>
  </si>
  <si>
    <t xml:space="preserve">Dawn Ostroff on Radio Collision </t>
  </si>
  <si>
    <t>315 - Channel</t>
  </si>
  <si>
    <t>316 - Channel</t>
  </si>
  <si>
    <t>317 - Channel</t>
  </si>
  <si>
    <t xml:space="preserve">Shaquille O'Neal on Radio Collision  </t>
  </si>
  <si>
    <t>https://drive.google.com/drive/folders/1Ls4jRV2IdIvt_3YWRzSENiQ63jlsHCto</t>
  </si>
  <si>
    <t>The jam jar and the hamburger: Connecting east and west</t>
  </si>
  <si>
    <t>https://drive.google.com/file/d/10aJiVhwHPT3idxjH2DvJDHqkB10A88bk/view</t>
  </si>
  <si>
    <t xml:space="preserve">Tedros Adhanom Ghebreyesus on Radio Collision </t>
  </si>
  <si>
    <t>318 - Channel</t>
  </si>
  <si>
    <t>319 - Channel</t>
  </si>
  <si>
    <t>320 - Channel</t>
  </si>
  <si>
    <t>Will the money dry up post Covid-19?</t>
  </si>
  <si>
    <t>Lisa Edgar, Top Tier Capital Partners</t>
  </si>
  <si>
    <t>Mindy Isenstein, TrueBridge Capital Partners</t>
  </si>
  <si>
    <t>Ertan Can, Multiple Capital</t>
  </si>
  <si>
    <t>321 - Channel</t>
  </si>
  <si>
    <t>322 - Channel</t>
  </si>
  <si>
    <t>https://drive.google.com/file/d/1QsNioJx290z1N0LlGa9WsnedRprj9cWD/view</t>
  </si>
  <si>
    <t>waiting to confirm ending - WE</t>
  </si>
  <si>
    <t>https://drive.google.com/open?id=1tmIFKV3Sh2tdsxEGjkfkUeHFYOpUdLGj</t>
  </si>
  <si>
    <t>323 - Channel</t>
  </si>
  <si>
    <t>324 - Channel</t>
  </si>
  <si>
    <t>325 - Channel</t>
  </si>
  <si>
    <t>326 - Channel</t>
  </si>
  <si>
    <t>327 - Channel</t>
  </si>
  <si>
    <t>328 - Channel</t>
  </si>
  <si>
    <t>https://drive.google.com/drive/folders/1SR_HOWC04psOsp3gNzCwBiiZ18XsDiKd</t>
  </si>
  <si>
    <t>https://drive.google.com/open?id=1U62qUM5mr1j_zf2iISuDkUC9nXOdtwuT</t>
  </si>
  <si>
    <t>329 - Channel</t>
  </si>
  <si>
    <t>330 - Channel</t>
  </si>
  <si>
    <t>331 - Channel</t>
  </si>
  <si>
    <t>332 - Channel</t>
  </si>
  <si>
    <t>333 - Channel</t>
  </si>
  <si>
    <t>334 - Channel</t>
  </si>
  <si>
    <t>335 - Channel</t>
  </si>
  <si>
    <t>336 - Channel</t>
  </si>
  <si>
    <t>337 - Channel</t>
  </si>
  <si>
    <t>https://drive.google.com/drive/folders/1WfQ-BAXMq7YsZVAuQQug3wDSfaLu1TYZ</t>
  </si>
  <si>
    <t>https://drive.google.com/open?id=1-CKjRjtALK0QO4L7qUCOr6CaU-6DV8Fn</t>
  </si>
  <si>
    <t>338 - Channel</t>
  </si>
  <si>
    <t>339 - Channel</t>
  </si>
  <si>
    <t>340 - Channel</t>
  </si>
  <si>
    <t>https://drive.google.com/drive/folders/1aQmSuNd0AK9kgaJWfMioYlMqRkdo1SWp</t>
  </si>
  <si>
    <t>341 - Channel</t>
  </si>
  <si>
    <t>342 - Channel</t>
  </si>
  <si>
    <t>343 - Channel</t>
  </si>
  <si>
    <t>https://drive.google.com/drive/u/0/folders/1D1u9Pd_pk8erBxOnvDIGMs1Ka7kRwheR</t>
  </si>
  <si>
    <t>Lobna looking into time- ZMG</t>
  </si>
  <si>
    <t>https://drive.google.com/open?id=1opdT_onyGPYCZl28ddW5mp45p0A8GrkV</t>
  </si>
  <si>
    <t>344 - Channel</t>
  </si>
  <si>
    <t>345 - Channel</t>
  </si>
  <si>
    <t>346 - Channel</t>
  </si>
  <si>
    <t>347 - Channel</t>
  </si>
  <si>
    <t>348 - Channel</t>
  </si>
  <si>
    <t>https://drive.google.com/drive/folders/1lGKq_UIddESclnNQtlEkR82BdLD5YUJi</t>
  </si>
  <si>
    <t xml:space="preserve">Talk time: 19:18
</t>
  </si>
  <si>
    <t>https://drive.google.com/open?id=1AzSkqHBcaJbyaJbpP0mgD-i8rqlEAAlU</t>
  </si>
  <si>
    <t>349 - Channel</t>
  </si>
  <si>
    <t>350 - Channel</t>
  </si>
  <si>
    <t>351 - Channel</t>
  </si>
  <si>
    <t>352 - Channel</t>
  </si>
  <si>
    <t>353 - Channel</t>
  </si>
  <si>
    <t>354 - Channel</t>
  </si>
  <si>
    <t>https://drive.google.com/drive/folders/14Y0D4OKS0h62kbUP4UIkD66SgAMzMrpP</t>
  </si>
  <si>
    <t>China's edtech revolution: AI teachers in lockdown</t>
  </si>
  <si>
    <t>https://drive.google.com/open?id=1OhkzbxTcEDnZSZy6jx9dUOLInIGMRUym</t>
  </si>
  <si>
    <t>355 - Channel</t>
  </si>
  <si>
    <t>356 - Channel</t>
  </si>
  <si>
    <t>357 - Channel</t>
  </si>
  <si>
    <t>https://drive.google.com/drive/folders/1SkmrOUDBpURhUY_0ivaw2iu4Tk97Crfo</t>
  </si>
  <si>
    <t>https://drive.google.com/open?id=13Zh-1nkJqAZnm1BttuyB-CGv1HAJWOyH</t>
  </si>
  <si>
    <t>358 - Channel</t>
  </si>
  <si>
    <t>359 - Channel</t>
  </si>
  <si>
    <t>360 - Channel</t>
  </si>
  <si>
    <t>https://drive.google.com/drive/folders/19WQkZCOHjmGKEZcp2KkGtwCofx_FL0vo</t>
  </si>
  <si>
    <t>CH 1- Guilt-free binge watching</t>
  </si>
  <si>
    <t>Moves to 1 Cam View from 0:00:28 to 0:02:03 for video presentation</t>
  </si>
  <si>
    <t>https://drive.google.com/open?id=1Ti3MBK9SVsaJudbIJ1zwYfAH9S14gRDq</t>
  </si>
  <si>
    <t>361 - Channel</t>
  </si>
  <si>
    <t>362 - Channel</t>
  </si>
  <si>
    <t>363 - Channel</t>
  </si>
  <si>
    <t>https://drive.google.com/drive/folders/17X7-2-Gjv3DogH-CdCBpTz7iu1OkwXm-</t>
  </si>
  <si>
    <t>00:10:06:16</t>
  </si>
  <si>
    <t>https://drive.google.com/open?id=1qULPTyZsydT1hgk0kRnTtdjtxtoEzi8h</t>
  </si>
  <si>
    <t>364 - Channel</t>
  </si>
  <si>
    <t>365 - Channel</t>
  </si>
  <si>
    <t>366 - Channel</t>
  </si>
  <si>
    <t>367 - Channel</t>
  </si>
  <si>
    <t>https://drive.google.com/drive/folders/13djFIvDrS9chTKngfdxc41i1fdygA5Ka</t>
  </si>
  <si>
    <t>The state of cannabusiness</t>
  </si>
  <si>
    <t>https://drive.google.com/open?id=1RXUebCxgGR7KMSDmnlQbwARCmbRm2qtl</t>
  </si>
  <si>
    <t>368 - Channel</t>
  </si>
  <si>
    <t>369 - Channel</t>
  </si>
  <si>
    <t>370 - Channel</t>
  </si>
  <si>
    <t>371 - Channel</t>
  </si>
  <si>
    <t>372 - Channel</t>
  </si>
  <si>
    <t>373 - Channel</t>
  </si>
  <si>
    <t>374 - Channel</t>
  </si>
  <si>
    <t>375 - Channel</t>
  </si>
  <si>
    <t>376 - Channel</t>
  </si>
  <si>
    <t>377 - Channel</t>
  </si>
  <si>
    <t>378 - Channel</t>
  </si>
  <si>
    <t>https://drive.google.com/drive/folders/1SNfeIaMz3mPI_zhd_x-Do4rRbW4hIgaw</t>
  </si>
  <si>
    <t>https://drive.google.com/open?id=1IpoJjxCjFuzUqF5YGIrdidcKNt53i0q7</t>
  </si>
  <si>
    <t>379 - Channel</t>
  </si>
  <si>
    <t>380 - Channel</t>
  </si>
  <si>
    <t>381 - Channel</t>
  </si>
  <si>
    <t>382 - Channel</t>
  </si>
  <si>
    <t>1 CAM</t>
  </si>
  <si>
    <t>https://drive.google.com/drive/folders/1ZLJ6DK7UituGJC66eP-6SlF6nMfvTvpd</t>
  </si>
  <si>
    <t>How I turned my passion into a billion $ business</t>
  </si>
  <si>
    <t>The white balance was all ove the place and colour corrected the skin to remove the yellow tint</t>
  </si>
  <si>
    <t>speaker's face is a bit yellow, try push a little blue into the mids/highlights if you can - WE</t>
  </si>
  <si>
    <t>https://drive.google.com/open?id=16uh6GXhAMrLaigmlkRA5X0ONm--MWBwA</t>
  </si>
  <si>
    <t>383 - Channel</t>
  </si>
  <si>
    <t>384 - Channel</t>
  </si>
  <si>
    <t>385 - Channel</t>
  </si>
  <si>
    <t>https://drive.google.com/drive/folders/1mOC32ljJfT0Ohxi-GplS-jK_U2LPble6</t>
  </si>
  <si>
    <t>00:07:01:03</t>
  </si>
  <si>
    <t>https://drive.google.com/open?id=1_mjNoKKbvArdizuJnvSeLLMvtxOeRJrr</t>
  </si>
  <si>
    <t>386 - Channel</t>
  </si>
  <si>
    <t>387 - Channel</t>
  </si>
  <si>
    <t>388 - Channel</t>
  </si>
  <si>
    <t>389 - Channel</t>
  </si>
  <si>
    <t>390 - Channel</t>
  </si>
  <si>
    <t>391 - Channel</t>
  </si>
  <si>
    <t>Graphics</t>
  </si>
  <si>
    <t>392 - Channel</t>
  </si>
  <si>
    <t>393 - Channel</t>
  </si>
  <si>
    <t>394 - Channel</t>
  </si>
  <si>
    <t>395 - Channel</t>
  </si>
  <si>
    <t>396 - Channel</t>
  </si>
  <si>
    <t>https://drive.google.com/drive/folders/1TN7DNvVjm9IodNd7zGxMgJv452hS5sgs</t>
  </si>
  <si>
    <t>The moderator's audio was very poor throughout</t>
  </si>
  <si>
    <t>https://drive.google.com/open?id=1b_BCrz9zY_3dlAK1COsd73vMTRHkEwRp</t>
  </si>
  <si>
    <t>397 - Channel</t>
  </si>
  <si>
    <t>398 - Channel</t>
  </si>
  <si>
    <t>399 - Channel</t>
  </si>
  <si>
    <t>400 - Channel</t>
  </si>
  <si>
    <t>https://drive.google.com/drive/folders/1LtQbUDMFiZOLXIh2ZnbCsDqNqq0rrjdg</t>
  </si>
  <si>
    <t>https://drive.google.com/file/d/1j2fNuDNLwKrnQb9l0tjYsHIs9APRroxf/view</t>
  </si>
  <si>
    <t>401 - Channel</t>
  </si>
  <si>
    <t>402 - Channel</t>
  </si>
  <si>
    <t>403 - Channel</t>
  </si>
  <si>
    <t>NON-KEYNOTE 8 - Add video to Google Drive folder</t>
  </si>
  <si>
    <t>404 - Channel</t>
  </si>
  <si>
    <t>405 - Channel</t>
  </si>
  <si>
    <t>406 - Channel</t>
  </si>
  <si>
    <t>407 - Channel</t>
  </si>
  <si>
    <t>408 - Channel</t>
  </si>
  <si>
    <t>https://drive.google.com/drive/folders/1oSZ0y2NO0v8x0zBUBInQOXtXwNfn-Iqb</t>
  </si>
  <si>
    <t>https://drive.google.com/file/d/1IMUUNFhgYgXMhi_2BGR2n7mzNp1OfdTY/view</t>
  </si>
  <si>
    <t>409 - Channel</t>
  </si>
  <si>
    <t>410 - Channel</t>
  </si>
  <si>
    <t>411 - Channel</t>
  </si>
  <si>
    <t>412 - Channel</t>
  </si>
  <si>
    <t>https://drive.google.com/drive/folders/1NPFtFwqbjJ0jihWqmPClLKWxgRT-uh_4</t>
  </si>
  <si>
    <t>First minute is Spotify Promo Video. Had to cut to 1 Cam at 05.20 to cover up edit after speaker lost connection. At 11.03 the speakers computer notification went off, had to drop the sound to try and cover it up</t>
  </si>
  <si>
    <t>413 - Channel</t>
  </si>
  <si>
    <t>414 - Channel</t>
  </si>
  <si>
    <t>415 - Channel</t>
  </si>
  <si>
    <t>416 - Channel</t>
  </si>
  <si>
    <t>417 - Channel</t>
  </si>
  <si>
    <t>https://drive.google.com/drive/folders/19XWtf87BJgJAQHpDJVqEYwKlI4by-Cx1</t>
  </si>
  <si>
    <t>00:10:59:01 - Sound at 8:55 Can’t be removed this is the recommended take from producer, I can switch to alternative take if needed.</t>
  </si>
  <si>
    <t>https://drive.google.com/open?id=14eUB6i4tWhM4sYDaBJfCXJ5Qy3j21KTc</t>
  </si>
  <si>
    <t>418 - Channel</t>
  </si>
  <si>
    <t>419 - Channel</t>
  </si>
  <si>
    <t>420 - Channel</t>
  </si>
  <si>
    <t>https://drive.google.com/drive/folders/1hzaCAmg1Kb12agcywirpw_QEJA8dwtPF</t>
  </si>
  <si>
    <t>https://drive.google.com/open?id=1CF7iwgmXp4Ds1LHNvea__N8VxzrW6g0R</t>
  </si>
  <si>
    <t>421 - Channel</t>
  </si>
  <si>
    <t>422 - Channel</t>
  </si>
  <si>
    <t>423 - Channel</t>
  </si>
  <si>
    <t>424 - Channel</t>
  </si>
  <si>
    <t>425 - Channel</t>
  </si>
  <si>
    <t>426 - Channel</t>
  </si>
  <si>
    <t>https://drive.google.com/drive/folders/1KJeZ3e6FcLAw3t75daP6cP7Igh1aSCAI</t>
  </si>
  <si>
    <t>Had to cut out some parts from producer notes so angle changes were needed</t>
  </si>
  <si>
    <t>https://drive.google.com/open?id=1pMaGr6LpocvNjUEK9sfm3FfaID1KnHUS</t>
  </si>
  <si>
    <t>427 - Channel</t>
  </si>
  <si>
    <t>428 - Channel</t>
  </si>
  <si>
    <t>https://drive.google.com/open?id=1LnHlNBmi1X9TzkgkbnWATpUo6ShFizDA</t>
  </si>
  <si>
    <t>https://drive.google.com/open?id=18OvenLJ5OUmCTLYeGWF9t_BHoX-QChUu</t>
  </si>
  <si>
    <t>429 - Channel</t>
  </si>
  <si>
    <t>430 - Channel</t>
  </si>
  <si>
    <t>P&amp;E</t>
  </si>
  <si>
    <t>431 - Channel</t>
  </si>
  <si>
    <t>432 - Channel</t>
  </si>
  <si>
    <t>433 - Channel</t>
  </si>
  <si>
    <t>434 - Channel</t>
  </si>
  <si>
    <t>435 - Channel</t>
  </si>
  <si>
    <t>436 - Channel</t>
  </si>
  <si>
    <t>437 - Channel</t>
  </si>
  <si>
    <t>https://drive.google.com/drive/folders/1G5cMaP8HG3XlYUHfr1Efdf7iSmWg5WNa</t>
  </si>
  <si>
    <t>https://drive.google.com/file/d/1jX8POAxPBo9P-Ynw7Mmvu8BQejeN-TzW/view</t>
  </si>
  <si>
    <t>438 - Channel</t>
  </si>
  <si>
    <t>439 - Channel</t>
  </si>
  <si>
    <t>440 - Channel</t>
  </si>
  <si>
    <t>441 - Channel</t>
  </si>
  <si>
    <t>https://drive.google.com/drive/folders/1CKpXVyIZbeYdOVbZcV9xv0F5Wc50I5qP</t>
  </si>
  <si>
    <t>442 - Channel</t>
  </si>
  <si>
    <t>443 - Channel</t>
  </si>
  <si>
    <t>444 - Channel</t>
  </si>
  <si>
    <t>445 - Channel</t>
  </si>
  <si>
    <t>446 - Channel</t>
  </si>
  <si>
    <t>https://drive.google.com/drive/folders/1PlIZnlEyHzjk518gfmS__2WzgMjERS4r</t>
  </si>
  <si>
    <t>Duration: 14.26</t>
  </si>
  <si>
    <t xml:space="preserve">
</t>
  </si>
  <si>
    <t>https://drive.google.com/open?id=19T_PCHTHxJE2iGg8y6AUc_gzNEFfILKH</t>
  </si>
  <si>
    <t>447 - Channel</t>
  </si>
  <si>
    <t>448 - Channel</t>
  </si>
  <si>
    <t>449 - Channel</t>
  </si>
  <si>
    <t>450 - Channel</t>
  </si>
  <si>
    <t>2mins 8 seconds over -lw</t>
  </si>
  <si>
    <t>https://drive.google.com/open?id=1O64q5xvZhLi-H6ds1GsYHD8Fr6676LpM</t>
  </si>
  <si>
    <t>451 - Channel</t>
  </si>
  <si>
    <t>452 - Channel</t>
  </si>
  <si>
    <t>https://drive.google.com/drive/folders/1h-2GyZUn32YnNEmrXqJMTWg8-6FeutxW</t>
  </si>
  <si>
    <t>https://drive.google.com/open?id=11rLJlEsMtYFsocKl3c3Zv9mS5_-IZOAL</t>
  </si>
  <si>
    <t>453 - Channel</t>
  </si>
  <si>
    <t>454 - Channel</t>
  </si>
  <si>
    <t>455 - Channel</t>
  </si>
  <si>
    <t>456 - Channel</t>
  </si>
  <si>
    <t>https://drive.google.com/drive/folders/1WufHF1TF4Xq0UDn77YOHQA72DO-2HY3p</t>
  </si>
  <si>
    <t>https://drive.google.com/open?id=1dXgUJC5YUgkWOmaS59p8eE0T8B-b4y3I</t>
  </si>
  <si>
    <t>457 - Channel</t>
  </si>
  <si>
    <t>458 - Channel</t>
  </si>
  <si>
    <t>459 - Channel</t>
  </si>
  <si>
    <t>https://drive.google.com/open?id=1Js5H3z59qQHO-W67jJd_57G_NnX-Mssn</t>
  </si>
  <si>
    <t>https://drive.google.com/open?id=1Uw_n7iroKp2T30L8v-IxoN0J8IFnhMgm</t>
  </si>
  <si>
    <t>460 - Channel</t>
  </si>
  <si>
    <t>461 - Channel</t>
  </si>
  <si>
    <t>462 - Channel</t>
  </si>
  <si>
    <t>https://drive.google.com/drive/folders/1iavbDA1SrLg6yTkDwqRtE1U8sBflFyV4</t>
  </si>
  <si>
    <t>Duration: 3.05</t>
  </si>
  <si>
    <t>https://drive.google.com/open?id=13wS4S4qJ3vcV4oi8sJLIaAUs93Effk3O</t>
  </si>
  <si>
    <t>463 - Channel</t>
  </si>
  <si>
    <t>464 - Channel</t>
  </si>
  <si>
    <t>465 - Channel</t>
  </si>
  <si>
    <t>466 - Channel</t>
  </si>
  <si>
    <t>467 - Channel</t>
  </si>
  <si>
    <t>468 - Channel</t>
  </si>
  <si>
    <t>469 - Channel</t>
  </si>
  <si>
    <t>https://drive.google.com/drive/folders/1fz1Y5NGSSUL-qVMVDoP9kM2pwTJf1MNL</t>
  </si>
  <si>
    <t xml:space="preserve">A few slack message sounds to cut out but overall not much. </t>
  </si>
  <si>
    <t>https://drive.google.com/open?id=1-d7JTPLHTRYU843yZW7AV0xwadVHaC8n</t>
  </si>
  <si>
    <t>470 - Channel</t>
  </si>
  <si>
    <t>471 - Channel</t>
  </si>
  <si>
    <t>472 - Channel</t>
  </si>
  <si>
    <t>473 - Channel</t>
  </si>
  <si>
    <t>474 - Channel</t>
  </si>
  <si>
    <t>https://drive.google.com/drive/folders/1EqQQZk9iC1IXyBrTuWspd6UuaGd7joMv</t>
  </si>
  <si>
    <t>https://drive.google.com/open?id=1DD4wkqhDsv0PMn_pfMPDLah_3HGiHyVH</t>
  </si>
  <si>
    <t>475 - Channel</t>
  </si>
  <si>
    <t>476 - Channel</t>
  </si>
  <si>
    <t>477 - Channel</t>
  </si>
  <si>
    <t>478 - Channel</t>
  </si>
  <si>
    <t>https://drive.google.com/drive/folders/1w3bLaDbSrsK04MW1-b_KdTmU-F193r5a</t>
  </si>
  <si>
    <t>https://drive.google.com/open?id=1AUe_Kx4EpMD52RuFh6DIxruOws-ml_zY</t>
  </si>
  <si>
    <t>479 - Channel</t>
  </si>
  <si>
    <t>Collision from Home Day Intro</t>
  </si>
  <si>
    <t>480 - Channel</t>
  </si>
  <si>
    <t>481 - Channel</t>
  </si>
  <si>
    <t>No</t>
  </si>
  <si>
    <t>Gary Vaynerchuk is not afraid to fail</t>
  </si>
  <si>
    <t>Gary Vaynerchuk has been a wine critic, a digital ad guru, and a social media marketing leader. At Web Summit 2016, he shared some of his wisdom on how to avoid failure and, more importantly, how to succeed.</t>
  </si>
  <si>
    <t>https://drive.google.com/drive/folders/15IUBXF2VOAoiAFSWHGsQu5SGJGaW5QzL</t>
  </si>
  <si>
    <t>Total: 00:10:58:10 - Lots of lagging within talk</t>
  </si>
  <si>
    <t>https://drive.google.com/open?id=1b62Q-pgbsamw3V1wBDvvUHlIkEkl1Lw7</t>
  </si>
  <si>
    <t>Seth Rogen and Evan Goldberg talk Hollywood and Houseplant</t>
  </si>
  <si>
    <t>Evan Goldberg, Houseplant</t>
  </si>
  <si>
    <t>As cannabis legalisation becomes more widespread, cannabusiness has become a growth industry. If two celebrities were ever associated with cannabis they'd be Seth Rogen and Evan Goldberg. At Collision 2019 they told us all about their new company, Houseplant, and the state of cannabusiness in Canada.</t>
  </si>
  <si>
    <t>482 - Channel</t>
  </si>
  <si>
    <t>483 - Channel</t>
  </si>
  <si>
    <t>Top 5 fashion talks</t>
  </si>
  <si>
    <t>Daniel Grieder, Tommy Hilfiger</t>
  </si>
  <si>
    <t>Sara Sampaio, Victoria's Secret</t>
  </si>
  <si>
    <t>Featuring Alexander Wang, Nadja Swarovski, Daniel Grieder, Lily Cole and Sara Sampaio. Want to go from being a fashion zero to a fashion hero? Then tune in now to hear from five of the most fashionable people of all time!</t>
  </si>
  <si>
    <t>484 - Channel</t>
  </si>
  <si>
    <t>485 - Channel</t>
  </si>
  <si>
    <t>Al Gore believes innovation can help solve the climate crisis</t>
  </si>
  <si>
    <t>Solving the climate crisis is as important today as it was in 2017. In this talk we hear from Al Gore about the innovation community's role in solving this crisis.</t>
  </si>
  <si>
    <t>486 - Channel</t>
  </si>
  <si>
    <t>Holding Graphic</t>
  </si>
  <si>
    <t>https://drive.google.com/drive/folders/1bl9t334-vgpfP3KM5DyB-4eFy-s_Mk7L</t>
  </si>
  <si>
    <t>Lisa Jackson explains how Apple does well by doing good</t>
  </si>
  <si>
    <t>It is often claimed that a business can either do good or make money, but not both. At Web Summit 2018, Lisa Jackson explained to us why this is not true, saying businesses can do well by doing good.</t>
  </si>
  <si>
    <t>Talk is about 2 minutes over time</t>
  </si>
  <si>
    <t>https://drive.google.com/open?id=1c3eRcKf4vOBVKMrbwP1nunZHrz1XKzSL</t>
  </si>
  <si>
    <t>487 - Channel</t>
  </si>
  <si>
    <t>488 - Channel</t>
  </si>
  <si>
    <t>Top 5 investors</t>
  </si>
  <si>
    <t>Steve Anderson, Baseline Ventures</t>
  </si>
  <si>
    <t>Jenny Lee, GGV Capital</t>
  </si>
  <si>
    <t>Dana Settle, Greycroft</t>
  </si>
  <si>
    <t>Jim Breyer, Breyer Capital</t>
  </si>
  <si>
    <t>Featuring Neil Shen, Steve Anderson, Jenny Lee, Dana Settle and Jim Breyer. Becoming a great investor is no easy feat. These five are some of the world's best – tune in to hear how they did it.</t>
  </si>
  <si>
    <t>489 - Channel</t>
  </si>
  <si>
    <t>490 - Channel</t>
  </si>
  <si>
    <t>The next level of civilisation with Peter Thiel</t>
  </si>
  <si>
    <t>Peter Thiel is known for lots of titles: co-founder of PayPal, investor in LinkedIn, board member at Facebook and, above all, provocative thinker. Join Peter on this fireside where he reveals the justifications and dangers of creative monopolies.</t>
  </si>
  <si>
    <t>Pixar and creativity with Ed Catmull</t>
  </si>
  <si>
    <t>Ed Catmull is the creative genius behind some of the most beloved animated movies of all time. He is a 2020 Turing award recipient, an Oscar winner and, in 2015, was a Web Summit speaker. Tune in to learn from this creative genius.</t>
  </si>
  <si>
    <t>https://drive.google.com/open?id=1bcyETriVu9oA8SkhmdCl-djqUDenJT3x</t>
  </si>
  <si>
    <t>491 - Channel</t>
  </si>
  <si>
    <t>492 - Channel</t>
  </si>
  <si>
    <t>Top 5 AI talks</t>
  </si>
  <si>
    <t>Cassie Kozyrkov, Google</t>
  </si>
  <si>
    <t>Rohit Prasad, Amazon</t>
  </si>
  <si>
    <t>Thomas Reardon, CTRL-Labs</t>
  </si>
  <si>
    <t xml:space="preserve">Featuring Nick Bostrom, Cassie Kozrykov, Rohit Prasad, Rana el Kaliouby and Thomas Reardon. AI has transformed how we perform a lot of tasks. It is often touted as the technology that will have the biggest impact on how we live our lives in the future. These five speakers certainly know a thing or two about that. </t>
  </si>
  <si>
    <t>493 - Channel</t>
  </si>
  <si>
    <t>494 - Channel</t>
  </si>
  <si>
    <t>Tim Berners-Lee describes a contract for the web</t>
  </si>
  <si>
    <t>https://drive.google.com/drive/folders/1vPhs8aKQG6qnQrG5jg0axGQG_qyXQph9</t>
  </si>
  <si>
    <t>In 1989, Tim Berners-Lee invented the world wide web. In 2018 he joined us at Web Summit to tell us about the future of the web and his work to ensure it is safe and accessible to all.</t>
  </si>
  <si>
    <t>Used slides to cover any audio lag issues @00:48:30</t>
  </si>
  <si>
    <t>https://drive.google.com/open?id=1ypW6sdpRGUKwU23YQVO8kjUHRwHEwtqW</t>
  </si>
  <si>
    <t>Caitlyn Jenner defines gender</t>
  </si>
  <si>
    <t xml:space="preserve">Our gender is a huge part of who we are. Defining it is vital in order to define ourselves. Caitlyn Jenner, who knows what it is like to live a life as the wrong gender, shared some of her story and journey with us at Web Summit 2017. </t>
  </si>
  <si>
    <t>495 - Channel</t>
  </si>
  <si>
    <t>Web Summit Trailer - Full</t>
  </si>
  <si>
    <t>496 - Channel</t>
  </si>
  <si>
    <t>Top 5 PITCH winners</t>
  </si>
  <si>
    <t>Maria Hahn, Nutrix</t>
  </si>
  <si>
    <t>Alex Kendall, Wayve AI</t>
  </si>
  <si>
    <t>Jaime Jorge, Codacy</t>
  </si>
  <si>
    <t>Linh Pham, Logivan</t>
  </si>
  <si>
    <t>Featuring Loliware, Nutrix, Wayve AI, Codacy and Logivan. The annual Web Summit PITCH competition showcases the best startups in the world. This compilation brings you the best of the best – our top winners from the last 10 years.</t>
  </si>
  <si>
    <t>497 - Channel</t>
  </si>
  <si>
    <t>Wez</t>
  </si>
  <si>
    <t>https://drive.google.com/drive/folders/1u6c0gL0-a2IggkwmvkVWN6Eoux6u_i3u</t>
  </si>
  <si>
    <t>Connecting the dots with Padmasree Warrior</t>
  </si>
  <si>
    <t xml:space="preserve">Padma Warrior is a titan of the tech industry. In this talk from Web Summit 2014, she discusses topics as wide ranging as the internet of things, connectivity, and diversity in the workforce. </t>
  </si>
  <si>
    <t>498 - Channel</t>
  </si>
  <si>
    <t>499 - Channel</t>
  </si>
  <si>
    <t>WWE women's revolution with Stephanie McMahon</t>
  </si>
  <si>
    <t>Wrestling was seen, for so long, as a man's game. All that has changed. In 2018, Stephanie McMahon joined us to tell us all about how women took over the WWE, which they continue to dominate today.</t>
  </si>
  <si>
    <t>500 - Channel</t>
  </si>
  <si>
    <t>501 - Channel</t>
  </si>
  <si>
    <t>Top 5 sports stars</t>
  </si>
  <si>
    <t>Brett Favre, sqor.com</t>
  </si>
  <si>
    <t>Chris Froome, Team Sky</t>
  </si>
  <si>
    <t>Jessica Ennis-Hill, Jennis Fitness</t>
  </si>
  <si>
    <t>Featuring Paige VanZant, Brett Favre, Terrell Owens, Chris Froome and Jessica Ennis-Hill. The skills needed to be a great sports star are very similar to those needed to lead a company. Tune in to hear from five of the world's leading sports stars about how to apply the lessons of the sports field in the boardroom.</t>
  </si>
  <si>
    <t>502 - Channel</t>
  </si>
  <si>
    <t>503 - Channel</t>
  </si>
  <si>
    <t>Saving the media industry from itself with Ev Williams</t>
  </si>
  <si>
    <t>The media industry has undergone rapid change in the last 15 years. The rise of social media platforms has radically transformed how the media functions. In this session Ev Williams discusses how he thinks the media industry can save itself.</t>
  </si>
  <si>
    <t>504 - Channel</t>
  </si>
  <si>
    <t>505 - Channel</t>
  </si>
  <si>
    <t>A message from Sheryl Sandberg</t>
  </si>
  <si>
    <t>Facebook is one of the largest tech companies on the planet, reaching into 2 billion lives. Sheryl Sandberg has helped to guide the company through the storms of recent years. At Web Summit 2017, she told us about her hopes for the future of the platform.</t>
  </si>
  <si>
    <t>https://drive.google.com/drive/folders/12eEj_FQpdkrNRLfDc50lgkIOCyFKLnMg</t>
  </si>
  <si>
    <t>https://drive.google.com/file/d/16i9myi8d9eG4p2vMlPzV-WM0Ran59NgO/view</t>
  </si>
  <si>
    <t>Top 5 UnBoxed</t>
  </si>
  <si>
    <t>Tom Honeyands, The Tech Chap</t>
  </si>
  <si>
    <t>Kris Carlon, Android Authority</t>
  </si>
  <si>
    <t>Eli Etherton, Eli The Computer Guy Llc</t>
  </si>
  <si>
    <t>Jacklyn Dallas, NothingButTech</t>
  </si>
  <si>
    <t>Featuring Keaton Keller, Tom Honeyands, Kris Carlon, Eli Etherton and Jacklyn Dallas. We all love a shiny new thing. In this session, we see five of the shiniest new things being unboxed.</t>
  </si>
  <si>
    <t>506 - Channel</t>
  </si>
  <si>
    <t>507 - Channel</t>
  </si>
  <si>
    <t>Grab a ride with Tan Hooi Ling</t>
  </si>
  <si>
    <t>Getting from A to B is a problem as old as humanity itself. Grab is helping us to find new and innovative ways to solve this problem. Co-founder and CEO Tan Hooi Ling joined us at RISE 2018 to tell us about how the ride-hailing company has risen to the challenge, and how they have built a successful company doing it.</t>
  </si>
  <si>
    <t>508 - Channel</t>
  </si>
  <si>
    <t>https://drive.google.com/drive/folders/1OYhYXIKzPH7DnNhIXc2ORuf61b26Fvw5</t>
  </si>
  <si>
    <t>Taking risks with Michael Dell</t>
  </si>
  <si>
    <t>In 1984, Michael Dell founded Dell Technologies with $1000 when he was just 19 years old. In this fireside, he shares how market disruptions are reserved for forward-thinking risk-takers, and unveils the story behind Dell's merger with EMC.</t>
  </si>
  <si>
    <t>Talk time: 10:51</t>
  </si>
  <si>
    <t>https://drive.google.com/open?id=1o3gXGm4MHBUN_FCDcIDLcJQHsm86MqZE</t>
  </si>
  <si>
    <t>509 - Channel</t>
  </si>
  <si>
    <t>Rosario Dawson and Sara Sampaio discuss the rise of the celebrity activist</t>
  </si>
  <si>
    <t>Celebrities are often criticised for doing more harm than good. In 2018, Rosario Dawson and Sara Sampaio joined us at Web Summit to tell us about how they use their platforms to make a positive difference in the world – something that many could take a lesson from.</t>
  </si>
  <si>
    <t>510 - Channel</t>
  </si>
  <si>
    <t>511 - Channel</t>
  </si>
  <si>
    <t>https://drive.google.com/drive/folders/1QAdu8yvOkaBKrmJS_0nS7UDrNT1-47bT</t>
  </si>
  <si>
    <t>Top 5 entertainers</t>
  </si>
  <si>
    <t>Sophia Bush, Brilliant Anatomy</t>
  </si>
  <si>
    <t>Wyclef Jean, Wyclef Jean</t>
  </si>
  <si>
    <t>Shailene Woodley, Shailene Woodley</t>
  </si>
  <si>
    <t>Featuring Hannibal Buress, David Schneider, Sophia Bush, Wyclef Jean and Shailene Woodley. Making people laugh and cry is a talent that many entertainers strive for. These five are all able to draw out our emotions with their performances, comedic or otherwise. Strap in and prepare to be entertained!</t>
  </si>
  <si>
    <t>Duration: 20.21</t>
  </si>
  <si>
    <t>https://drive.google.com/open?id=1Wiw49XR_xIS150NZlmsIxjgINuxLnqux</t>
  </si>
  <si>
    <t>512 - Channel</t>
  </si>
  <si>
    <t>Building a billion dollar company with Drew Houston</t>
  </si>
  <si>
    <t>513 - Channel</t>
  </si>
  <si>
    <t>Drew Houston went from eating hot pockets to leading Dropbox to a valuation of $1 billion. How did he get there and what did he learn along the way? Tune in to find out!</t>
  </si>
  <si>
    <t>Web Summit Trailer - Short</t>
  </si>
  <si>
    <t>514 - Channel</t>
  </si>
  <si>
    <t>515 - Channel</t>
  </si>
  <si>
    <t>Edward Snowden muses on morality in the age of surveillance</t>
  </si>
  <si>
    <t xml:space="preserve">Almost no-one understands the nature of surveillance society better than Edward Snowden. At Web Summit 2019, he joined us – via video uplink – to discuss the morality of this modern, technological age. </t>
  </si>
  <si>
    <t>516 - Channel</t>
  </si>
  <si>
    <t>Top 5 world leaders</t>
  </si>
  <si>
    <t>François Hollande, Government of France</t>
  </si>
  <si>
    <t>Ana Brnabić, Government of Serbia</t>
  </si>
  <si>
    <t>Justin Trudeau, Government of Canada</t>
  </si>
  <si>
    <t>António Guterres, United Nations</t>
  </si>
  <si>
    <t>Featuring Tony Blair, Francois Hollande, Ana Brnabić, Justin Trudeau and António Guterres. Leading a country is a unique challenge. All five of these speakers have done it. Tune in to hear from some of the world's leading politicians of the last 10 years.</t>
  </si>
  <si>
    <t>517 - Channel</t>
  </si>
  <si>
    <t>518 - Channel</t>
  </si>
  <si>
    <t>https://drive.google.com/drive/folders/1GUMQTka_XsFVV0ez2BoAyy5dptzTThWv</t>
  </si>
  <si>
    <t>Joe Tsai transforms a news company with Alibaba</t>
  </si>
  <si>
    <t>https://drive.google.com/open?id=17x4-rAfs0YJGknSKrQGoaY7wI-hOozMa</t>
  </si>
  <si>
    <t>Alibaba is one of the most influential tech companies in the world. One of the areas in which it has more recently expanded its reach is in the news media, acquiring the South China Morning Post in 2015. In 2017, Joe Tsai joined us at RISE to tell us about how he was transforming a news company.</t>
  </si>
  <si>
    <t>519 - Channel</t>
  </si>
  <si>
    <t>520 - Channel</t>
  </si>
  <si>
    <t>Justin Trudeau leading Canada into a tech revolution</t>
  </si>
  <si>
    <t>Canada, under Justin Trudeau's leadership, has become known as an open and inviting country. In this session from Collision 2019, Prime Minister Trudeau discusses why it's so important for Canada to continue to look outwards to the world, and to promote economic growth at home.</t>
  </si>
  <si>
    <t>521 - Channel</t>
  </si>
  <si>
    <t>https://drive.google.com/drive/folders/1akQv0RCpEZ1_6qWswVSY9eZrBVB7obcG</t>
  </si>
  <si>
    <t>New 3 Cam template. 2:50 to 2:53 speaker camera cuts out so I went to 1 cam of mod, but slight lag at end. Moderator lags sporadically throughout</t>
  </si>
  <si>
    <t>https://drive.google.com/open?id=1ZIEWm9_ZmunQsXrAfzR6nR2cf3wNqkgu</t>
  </si>
  <si>
    <t>522 - Channel</t>
  </si>
  <si>
    <t>Top 5 CMOs</t>
  </si>
  <si>
    <t>Jessica Spence, Carlsberg</t>
  </si>
  <si>
    <t>Meredith Verdone, Bank of America - North America &amp; Michael Sneed, Johnson &amp; Johnson</t>
  </si>
  <si>
    <t>Fernando Machado, Burger King</t>
  </si>
  <si>
    <t>Featuring CMOs from Hilton, Carlsberg, Bank of America, BlackRock, Burger King and Johnson &amp; Johnson. A great CMO can make an average company a great one. These five CMOs are true masters of the craft. Tune in to hear how to become a great marketer.</t>
  </si>
  <si>
    <t>523 - Channel</t>
  </si>
  <si>
    <t>524 - Channel</t>
  </si>
  <si>
    <t>Mike Krieger keeps Instagram in focus</t>
  </si>
  <si>
    <t>https://drive.google.com/drive/folders/1M2-LKY6fJbnKcjqIy_aXphRvd_fFz4Qy</t>
  </si>
  <si>
    <t>In 2010 Mike Krieger and Kevin Systrom founded Instagram. In 2015, Mike joined us at Web Summit to put Instagram in the spotlight. He explained how Instagram had been so successful, and his vision for its future – a vision that is no less relevant today, despite his departure from Instagram in 2018.</t>
  </si>
  <si>
    <t>00:11:59:09</t>
  </si>
  <si>
    <t>https://drive.google.com/open?id=1PZKCExciKjKYgU0rWPZm13hh5ra1i0K3</t>
  </si>
  <si>
    <t>Ben Silbermann believes the future of search is visual with Pinterest</t>
  </si>
  <si>
    <t>A picture can paint a thousand words. Join us for this talk from Web Summit 2018 where Ben Silbermann, the CEO of Pinterest, makes this old saying make sense in a modern world.</t>
  </si>
  <si>
    <t>525 - Channel</t>
  </si>
  <si>
    <t>526 - Channel</t>
  </si>
  <si>
    <t>Top 5 musicians</t>
  </si>
  <si>
    <t>Timbaland ., Timbaland</t>
  </si>
  <si>
    <t>Jessie Reyez, Jessie Reyez</t>
  </si>
  <si>
    <t>Bono ., U2</t>
  </si>
  <si>
    <t>Mike Shinoda, Linkin Park</t>
  </si>
  <si>
    <t>Featuring Martin Garrix, Timbaland, Jessie Reyez, Bono and Mike Shinoda. Making music is an increasingly technological endeavour. Tune in to hear from five of the most innovative musicians blending tech and creativity.</t>
  </si>
  <si>
    <t>527 - Channel</t>
  </si>
  <si>
    <t>Michelle Zatlyn and Jessie Reyez discuss a new era of entrepreneurship</t>
  </si>
  <si>
    <t>What do Michelle Zatlyn and Jessie Reyez have in common? They both know what it means to work to achieve success. At Collision 2019, they joined us on stage to tell the story of how they climbed the ladder and created something new.</t>
  </si>
  <si>
    <t>528 - Channel</t>
  </si>
  <si>
    <t>529 - Channel</t>
  </si>
  <si>
    <t>Twitter and the early years with Jack Dorsey</t>
  </si>
  <si>
    <t>If you have ever wondered what Jack Dorsey was like before Twitter was as big as it is today, then you have come to the right place. Tune in to see Jack discussing Twitter and his vision for the future from way back in 2010 – it seems like a lifetime ago!</t>
  </si>
  <si>
    <t>530 - Channel</t>
  </si>
  <si>
    <t>531 - Channel</t>
  </si>
  <si>
    <t>532 - Channel</t>
  </si>
  <si>
    <t>Top 5 designers</t>
  </si>
  <si>
    <t>Robert Brunner, Ammunition Group</t>
  </si>
  <si>
    <t>Melanie Perkins, Canva</t>
  </si>
  <si>
    <t>Julie Zhuo, Facebook</t>
  </si>
  <si>
    <t>Featuring Debbie Millman, Robert Brunner, Melanie Perkins, Julie Zhuo and Brian Collins. The challenge of effective design is seamlessly blending creativity and practicality. Walking this difficult line is what these five speakers specialise in. Tune in to learn how they do it.</t>
  </si>
  <si>
    <t>533 - Channel</t>
  </si>
  <si>
    <t>Margrethe Vestager is making the competition fair</t>
  </si>
  <si>
    <t>https://drive.google.com/drive/folders/13AliuzNaRtT3nzvB8lWh00R3P2ucv9il</t>
  </si>
  <si>
    <t>Being fairer is a good thing – few could argue with that. Many will argue about what it means to make an economy fairer. Margrethe Vestager is at the forefront of the fight to make our European (and global) economy fairer. Join us to hear how she is doing it.</t>
  </si>
  <si>
    <t>Talk time: 09:40</t>
  </si>
  <si>
    <t>https://drive.google.com/open?id=1nO6XRsCddUwdDJQ3jgFQES8wQ--_DTYt</t>
  </si>
  <si>
    <t>Kara Swisher explains the disconnect between tech and governance</t>
  </si>
  <si>
    <t>How will tech be regulated? It was true in 2018 that tech, as a sector, was massively under-regulated, and it is just as true today. Kara Swisher flags up numerous areas where regulation lags behind the abilities of tech, and behind the need for better (and more) regulation.</t>
  </si>
  <si>
    <t>534 - Channel</t>
  </si>
  <si>
    <t>Top 5 climate talks</t>
  </si>
  <si>
    <t>Steve Oldham, Carbon Engineering</t>
  </si>
  <si>
    <t>Featuring Al Gore, Christiana Figueres, Rick Ridgeway, Kate Brandt and Steve Oldham. Climate change, even more so than Covid-19, presents a truly existential threat to our planet. Tune in to hear from five of the world's leading experts about how to combat that threat.</t>
  </si>
  <si>
    <t>535 - Channel</t>
  </si>
  <si>
    <t>https://drive.google.com/drive/folders/1B8vmQkemclK8ZJssfBkre3lChe3ExRGi</t>
  </si>
  <si>
    <t>https://drive.google.com/open?id=1I9Fe_uwYh7yAkSBgzB-ccfy234jQnrYa</t>
  </si>
  <si>
    <t>UN Secretary-General António Guterres on the state of the world</t>
  </si>
  <si>
    <t>Few individuals are better placed to discuss the challenges and opportunities facing the world than the secretary-general of the United Nations. Tune in to hear from António Guterres as he tells us about the biggest obstacles, and greatest opportunities, we face today.</t>
  </si>
  <si>
    <t>536 - Channel</t>
  </si>
  <si>
    <t>537 - Channel</t>
  </si>
  <si>
    <t>Mike Schroepfer sees Facebook 10 years from now</t>
  </si>
  <si>
    <t>Four years ago, Mike Schroepfer joined us at Web Summit to explore where Facebook was planning to go in the next 10 years. We're nearly halfway through that period – tune in to find out how they are doing!</t>
  </si>
  <si>
    <t>538 - Channel</t>
  </si>
  <si>
    <t>https://drive.google.com/drive/folders/1g-tnLqeXoFOpYKe4RwnGMIdNySVlq8_G</t>
  </si>
  <si>
    <t>Top 5 CTOs</t>
  </si>
  <si>
    <t>Chris Slowe, Reddit</t>
  </si>
  <si>
    <t>Werner Vogels, Amazon</t>
  </si>
  <si>
    <t>Featuring CTOs from Facebook, Reddit, Amazon, ThoughtWorks and Slack. The CTO is often the most important person in a burgeoning tech company. Without good tech, you will not have a good product and you will not make money. These five CTOs have built some of the best technology out there. Tune in to find out more.</t>
  </si>
  <si>
    <t>Change LT to "BBC" throught all 3. LP</t>
  </si>
  <si>
    <t>https://drive.google.com/open?id=1cccrSu5Q2vuOabM3bKr3F0lPiQLSVudZ</t>
  </si>
  <si>
    <t>539 - Channel</t>
  </si>
  <si>
    <t>Werner Vogels says Amazon wants to talk to you</t>
  </si>
  <si>
    <t>Alexa has become synonymous with smart speakers. As the technology develops, Alexa becomes more and more able to talk back. Join us to hear from Werner Vogels about how and why Amazon wants to talk to you.</t>
  </si>
  <si>
    <t>540 - Channel</t>
  </si>
  <si>
    <t>541 - Channel</t>
  </si>
  <si>
    <t>542 - Channel</t>
  </si>
  <si>
    <t>Marie Kondo is organising the world</t>
  </si>
  <si>
    <t>Have you ever wanted to tidy your house but just didn't know where to start? Well, you've come to the right place. Tune in to hear from Marie Kondo on how to spark joy and declutter your life.</t>
  </si>
  <si>
    <t>https://drive.google.com/drive/folders/1a6_xg2wsEBlVdXeiLrtD0C41LacrPU0C</t>
  </si>
  <si>
    <t>https://drive.google.com/open?id=1xTGgdD46BrMDbs6ZzurTXr3SsOnsv9Sj</t>
  </si>
  <si>
    <t>Superstar Becky Lynch dominates WWE as 'The Man'</t>
  </si>
  <si>
    <t>Becky Lynch went from being an Aer Lingus flight attendant to being 'The Man' in WWE. She joined us at Web Summit 2019 to tell us how she conquered the world of wrestling.</t>
  </si>
  <si>
    <t>543 - Channel</t>
  </si>
  <si>
    <t>Top 5 influencers</t>
  </si>
  <si>
    <t>Jenna Marbles, Jenna Marbles</t>
  </si>
  <si>
    <t>Tyler Oakley, Tyler Oakley</t>
  </si>
  <si>
    <t>King Bach and Josh Peck</t>
  </si>
  <si>
    <t>Prilly Latuconsina, Prilly Latuconsina</t>
  </si>
  <si>
    <t>Featuring Marie Kondo, Jenna Marbles, Tyler Oakley, King Bach, Josh Peck and Prilly Latuconsina. Social media influencers have changed our idea of celebrity. These six are some of the most influential of all the influencers, reaching millions of people. Tune in to hear how they did it.</t>
  </si>
  <si>
    <t>544 - Channel</t>
  </si>
  <si>
    <t>545 - Channel</t>
  </si>
  <si>
    <t>Disrupting payments with John Collison</t>
  </si>
  <si>
    <t>The online payments market is deemed “really immature” by Stripe’s John Collison, who in his 20s led the Ireland-originated company to unicorn status, disrupting the payments industry worldwide. Partnering with Apple, Facebook, Twitter, Alibaba and the likes, Stripe shows no sign of slowing down this transformation.</t>
  </si>
  <si>
    <t>546 - Channel</t>
  </si>
  <si>
    <t>https://drive.google.com/drive/folders/1uDNm0N3FqUjblhtLWylMZMNMEZR4jL9P</t>
  </si>
  <si>
    <t>Talk is meant to be 15mins, recording was 20mins, currently trimmed to 00:18:50:16</t>
  </si>
  <si>
    <t>https://drive.google.com/open?id=1663P9L6SL4IXqrLuGDh-g0pkXmdS8Ehw</t>
  </si>
  <si>
    <t>Stephen Hawking on the future promise of AI</t>
  </si>
  <si>
    <t>Stephen Hawking was one of the greatest minds to ever live. He joined us at Web Summit 2017 and, in what was one of his last ever public speeches, warned us about the possible dangers of AI while also exhorting us to take advantage of its opportunities. Tune in to heed his call to arms.</t>
  </si>
  <si>
    <t>547 - Channel</t>
  </si>
  <si>
    <t>Adi Tatarko transformed a trillion dollar industry with Houzz</t>
  </si>
  <si>
    <t>With more than 40 million users and a reported $4 billion valuation, Houzz took the home renovation industry by storm. At Collision 2019, the company's founder revealed how Houzz plans to continue disrupting this trillion-dollar industry.</t>
  </si>
  <si>
    <t>548 - Channel</t>
  </si>
  <si>
    <t>https://drive.google.com/drive/folders/1Rba3un6w02r53Ov-73FxsM89xj6bR1AI</t>
  </si>
  <si>
    <t>Top 5 AR/VR talks</t>
  </si>
  <si>
    <t>Laura Miele, Electronic Arts</t>
  </si>
  <si>
    <t>Phil Keslin, Niantic, Inc</t>
  </si>
  <si>
    <t>Amit Singh, Google</t>
  </si>
  <si>
    <t>Brenda Freeman, Magic Leap</t>
  </si>
  <si>
    <t xml:space="preserve">Featuring Oculus, Electronic Arts, Niantic, Google and Magic Leap. AR and VR are some of the most exciting pieces of technology out there. These five speakers all discussed how to transport us from the mundane world of the everyday to the fantastical worlds of our imagination. </t>
  </si>
  <si>
    <t>https://drive.google.com/open?id=1AaoFrqEFKw7FXJ79zSdybV5mOf_3A03p</t>
  </si>
  <si>
    <t>Tony Blair and Ro Khanna discuss making tech work for the many</t>
  </si>
  <si>
    <t>Making tech inclusive for all is a challenge that Ro Khanna and Tony Blair have pursued on either side of the Atlantic. At Web Summit 2019, they told us how they use policy to break tech out of its bubble and bring it to the masses.</t>
  </si>
  <si>
    <t>549 - Channel</t>
  </si>
  <si>
    <t>Eva Longoria faces the 'isms'</t>
  </si>
  <si>
    <t>You know Eva Longoria as a glamorous Hollywood star. Yet the politically active philanthropist took to the stage to shed light on how we can use tech to help the less privileged.</t>
  </si>
  <si>
    <t>550 - Channel</t>
  </si>
  <si>
    <t>https://drive.google.com/drive/folders/1WzIuKv8UHAhfwZKuewh5tMG3apuYySh1</t>
  </si>
  <si>
    <t>Top 5 actors</t>
  </si>
  <si>
    <t>Eva Longoria, Eva Longoria</t>
  </si>
  <si>
    <t>Joseph Gordon-Levitt, HITRECORD</t>
  </si>
  <si>
    <t>Rosario Dawson, Studio 189</t>
  </si>
  <si>
    <t>Ian Somerhalder, Ian Somerhalder</t>
  </si>
  <si>
    <t>Let ‘em run with AI</t>
  </si>
  <si>
    <t>Featuring Seth Rogen, Eva Longoria, Joseph Gordon-Levitt, Rosario Dawson and Ian Somerhalder. These next five speakers have been in some of the best movies and TV shows around. From Desperate Housewives to Superbad, from Inception to the Vampire Diaries – these five have done it all!</t>
  </si>
  <si>
    <t>No Intro PTC - 5 seconds under @ 02:55</t>
  </si>
  <si>
    <t>https://drive.google.com/open?id=1GdIJipM8n39GbDK_mg0yflG64wyv13P8</t>
  </si>
  <si>
    <t>551 - Channel</t>
  </si>
  <si>
    <t>Steve Huffman redesigns Reddit</t>
  </si>
  <si>
    <t>Reddit is known as the front page of the internet. In 2017, Steve Huffman joined us at Web Summit to tell us all about how they redesigned that front page. Tune in now to relive the new design.</t>
  </si>
  <si>
    <t>552 - Channel</t>
  </si>
  <si>
    <t>Huawei's Guo Ping believes 5G is a golden opportunity</t>
  </si>
  <si>
    <t>5G technology: A political hoax or an inevitable social advancement? Huawei’s Guo Ping outlines the applications of the cellular data upgrade and paints a picture of future global connectivity.</t>
  </si>
  <si>
    <t>553 - Channel</t>
  </si>
  <si>
    <t>Top 5 robots</t>
  </si>
  <si>
    <t>Sophia The Robot, SingularityNET</t>
  </si>
  <si>
    <t>New Robot, Furhat Robotics</t>
  </si>
  <si>
    <t>Pepper, Softbank Robotics</t>
  </si>
  <si>
    <t>Misty Robot, Misty Robotics</t>
  </si>
  <si>
    <t>Featuring Spot, Sophia the robot, Furhat Robotics, Pepper from SoftBank Robotics, and Misty Robot. When we think of robots, we often think of science fiction. At our events, science fiction has become science fact. Tune in to see some of the most innovative and exciting robots ever created.</t>
  </si>
  <si>
    <t>554 - Channel</t>
  </si>
  <si>
    <t>Boston Dynamics and Marc Raibert see the future of mobile robots</t>
  </si>
  <si>
    <t>Boston Dynamics' Marc Raibert – perhaps the biggest robot fan in the world – took to the stage during Web Summit 2019 to address the boundaries limiting what robots are currently capable of doing. And, of course, he was accompanied by his buddy: the extraordinary machine Spot.</t>
  </si>
  <si>
    <t>555 - Channel</t>
  </si>
  <si>
    <t>https://drive.google.com/drive/folders/1hxSBEet3ljw08X_k9lSNixO-iyv_Wowp</t>
  </si>
  <si>
    <t>Jenny Lee deciphers investing in China</t>
  </si>
  <si>
    <t>Join this fireside to find out why GGV Capital’s Jenny Lee – one of the world’s leading female investors – sees Asia as the next innovation hub, how she deciphers the Chinese markets, and what her own checklist is when creating a good product.</t>
  </si>
  <si>
    <t>https://drive.google.com/file/d/164z_6wLWFZK9ITsj62OUwth2w8m9qmNh/view</t>
  </si>
  <si>
    <t>556 - Channel</t>
  </si>
  <si>
    <t>Top 5 marketing talks</t>
  </si>
  <si>
    <t>Brad Parscale, Donald J. Trump Presidential Campaign</t>
  </si>
  <si>
    <t>Brian Halligan, HubSpot</t>
  </si>
  <si>
    <t>Zander Lurie, SurveyMonkey</t>
  </si>
  <si>
    <t xml:space="preserve">If you want to learn how to be a great marketer then you need to tune in now. These five are some of the best in the business! </t>
  </si>
  <si>
    <t>557 - Channel</t>
  </si>
  <si>
    <t>What the world needs now, according to Alexis Ohanian</t>
  </si>
  <si>
    <t>Alexis Ohanian joined us at Collision 2017 to talk about what the world needs: community and conversation. In today's world of isolation and quarantine, online platforms that can bring us a sense of community and belonging are far more important than they were even in 2017.</t>
  </si>
  <si>
    <t>558 - Channel</t>
  </si>
  <si>
    <t>Wladimir Klitschko and Dustin Moskovitz create a successful culture by living it</t>
  </si>
  <si>
    <t>Dustin Moskovitz, Asana</t>
  </si>
  <si>
    <t>Wladimir Klitschko is one of the most successful boxers of all time. Dustin Moskovitz was a founder of Facebook, one of the most successful companies of all time. At Web Summit 2017, they came together to share some of their secrets to success.</t>
  </si>
  <si>
    <t>559 - Channel</t>
  </si>
  <si>
    <t>Top 5 gaming talks</t>
  </si>
  <si>
    <t>Shawn Layden, Sony Interactive Entertainment (PlayStation)</t>
  </si>
  <si>
    <t>Helen Chiang, Minecraft</t>
  </si>
  <si>
    <t>Kati Levoranta, Rovio Entertainment Corp. / Angry Birds</t>
  </si>
  <si>
    <t>Andy Dinh, Team SoloMid</t>
  </si>
  <si>
    <t>Featuring Machine Zone, Sony, Minecraft, Rovio and Team SoloMid. The global video games market is, in terms of revenue, larger than the film industry. It is one of the most profitable and popular sectors of the economy. These five speakers shared with us their experiences from years of making amazing games.</t>
  </si>
  <si>
    <t>https://drive.google.com/open?id=1NUAYl8bzO0wAJaSFRCHO2AxNfY3Rp6OT</t>
  </si>
  <si>
    <t>560 - Channel</t>
  </si>
  <si>
    <t>Bono's thoughts on music and movies</t>
  </si>
  <si>
    <t>How do the constant changes to these mediums – through the disruptions of tech and the transformation of the business model – impact the work of the artist? Join U2’s lead singer Bono as he explores this question.</t>
  </si>
  <si>
    <t>561 - Channel</t>
  </si>
  <si>
    <t>Bill Clay Ford on changing the way the world moves – again</t>
  </si>
  <si>
    <t>https://drive.google.com/drive/folders/1Djh6MOQwOkMTHHSgCfzDbdfvbGdrT-iZ</t>
  </si>
  <si>
    <t>Ford has been working to improve freedom of mobility to make people's lives better. Bill Ford wants everyone from startups to tech giants to help bring about the next revolution in transport.</t>
  </si>
  <si>
    <t>https://drive.google.com/open?id=1SFJfJY13w0rfSuQVDUzabRlt1rCaiwHV</t>
  </si>
  <si>
    <t>Top 5 cars</t>
  </si>
  <si>
    <t>Aston Martin</t>
  </si>
  <si>
    <t>Porsche</t>
  </si>
  <si>
    <t>Daimler</t>
  </si>
  <si>
    <t>Volkswagen</t>
  </si>
  <si>
    <t>Featuring Lamborghini, Aston Martin, Porsche, Daimler and Volkswagen. There's just something exciting about a new car. You know a good one when you see it, and these are five of the best. Tune in to see some amazing cars unveiled on stage.</t>
  </si>
  <si>
    <t>562 - Channel</t>
  </si>
  <si>
    <t>Jean Liu reveals the secrets behind ride-sharing with Didi Chuxing</t>
  </si>
  <si>
    <t>Didi Chuxing has long been sitting on the top of the global unicorn list with its staggering rounds of financing. Didi’s president Jean Liu joined our conference in Asia five years ago to share the secrets behind the ride-sharing economy in her neck of the woods.</t>
  </si>
  <si>
    <t>563 - Channel</t>
  </si>
  <si>
    <t>https://drive.google.com/drive/folders/1GV-tl4uBAun-_G5yDU6ZRq6uZjthAXIF</t>
  </si>
  <si>
    <t>https://drive.google.com/open?id=1mLskk8inLA5BpRSd1LPm5YOgqVvUHvwE</t>
  </si>
  <si>
    <t>Gaming with Twitch and Machine Zone</t>
  </si>
  <si>
    <t>Kristen Garcia Dumont, Machine Zone</t>
  </si>
  <si>
    <t>Who doesn’t like games?! The CEOs of Twitch and Machine Zone shared their personal favourites, and their dreams of the future of games, with Web Summit audiences.</t>
  </si>
  <si>
    <t>564 - Channel</t>
  </si>
  <si>
    <t>565 - Channel</t>
  </si>
  <si>
    <t>566 - Channel</t>
  </si>
  <si>
    <t xml:space="preserve">Sustainability in big business with Booking.com, Salesforce and Mission2020 </t>
  </si>
  <si>
    <t>Suzanne DiBianca, Salesforce</t>
  </si>
  <si>
    <t>Philip Crowther, France 24</t>
  </si>
  <si>
    <t>Featuring Gillian Tans, Suzanne DiBianca and Christiana Figueres. Of course you’ve heard people talking on the news about sustainability. But just how serious are global business leaders when it comes to operating trades in a sustainable manner? Let’s hear what companies such as Booking.com and Salesforce have to say…</t>
  </si>
  <si>
    <t>567 - Channel</t>
  </si>
  <si>
    <t>Top 5 soccer players</t>
  </si>
  <si>
    <t>Meghan Klingenberg, Re-Inc</t>
  </si>
  <si>
    <t>. Ronaldo, Real Valladolid</t>
  </si>
  <si>
    <t>Ronaldinho ., Teqball</t>
  </si>
  <si>
    <t>https://drive.google.com/drive/folders/1HxQflYQmkDxwzYyWzvwz7SwLgCQnHret</t>
  </si>
  <si>
    <t>Featuring Eric Cantona, Meghan Kingenberg, Hope Solo, Ronaldo and Ronaldinho. Eric Cantona, Ronaldinho, Hope Solo... Just some of the great footballers to have graced our stages. Tune in to hear about life after football, and what it's like to be a world beater.</t>
  </si>
  <si>
    <t>Talk time: 3:01</t>
  </si>
  <si>
    <t>https://drive.google.com/open?id=1DQhQVEX-uN70vg0M7M3jFak1YFYA3WhK</t>
  </si>
  <si>
    <t>568 - Channel</t>
  </si>
  <si>
    <t>569 - Channel</t>
  </si>
  <si>
    <t>https://drive.google.com/drive/folders/19QIrwqQvEru45qhy7Zjdx5Gf8Tz32HCR</t>
  </si>
  <si>
    <t>Top 5 musicians : Martin Garrix, Timbaland, Jessie Reyez, Bono, Mike Shinoda</t>
  </si>
  <si>
    <t>https://drive.google.com/open?id=1-dVmv1F8oEMtXfF7rzRGeZrwQDl9_dfw</t>
  </si>
  <si>
    <t>Top 5 mobile gaming and/or gaming</t>
  </si>
  <si>
    <t>570 - Channel</t>
  </si>
  <si>
    <t>Top 5 mobile devices / unboxed.</t>
  </si>
  <si>
    <t>Top 5 jokes.</t>
  </si>
  <si>
    <t>571 - Channel</t>
  </si>
  <si>
    <t>572 - Channel</t>
  </si>
  <si>
    <t>Top 5 CMOs, CTOs,</t>
  </si>
  <si>
    <t>573 - Channel</t>
  </si>
  <si>
    <t>Top 5 cars @ Web Summit</t>
  </si>
  <si>
    <t>Top 5 authors : Marie Kondo, Dan Brown, Andrew McAfee, John Skully, X?</t>
  </si>
  <si>
    <t>574 - Channel</t>
  </si>
  <si>
    <t>Top 5 arguments /debates —</t>
  </si>
  <si>
    <t>575 - Channel</t>
  </si>
  <si>
    <t>Top 5 activists : Wylie, Figuerres</t>
  </si>
  <si>
    <t>https://drive.google.com/drive/folders/13fzogQ0srlsloJJFfP1oS8ikUbaMAi26</t>
  </si>
  <si>
    <t>Top 5 Academics</t>
  </si>
  <si>
    <t>Re-record complete</t>
  </si>
  <si>
    <t>https://drive.google.com/open?id=1try_6cG_wc33Lz_bMnact1dHQhcIUfSI</t>
  </si>
  <si>
    <t>576 - Channel</t>
  </si>
  <si>
    <t>577 - Channel</t>
  </si>
  <si>
    <t>578 - Channel</t>
  </si>
  <si>
    <t>https://drive.google.com/drive/folders/1DWjY7qaPmvIHzAbGvHuUewFevugaM8mu</t>
  </si>
  <si>
    <t>https://drive.google.com/open?id=17g8fYSQKaJEOtzEBpSXrXmvCfp119LhW</t>
  </si>
  <si>
    <t>579 - Channel</t>
  </si>
  <si>
    <t>580 - Channel</t>
  </si>
  <si>
    <t>581 - Channel</t>
  </si>
  <si>
    <t>582 - Channel</t>
  </si>
  <si>
    <t>https://drive.google.com/drive/folders/14TkMotm1LHxXP8TheOwTJWzMyEQFL9_I</t>
  </si>
  <si>
    <t xml:space="preserve">Elizabeth O’Day's Intro trimmed due to presenter being visaible on a simngle cam angle while she talks. A few small video freezes throughout but due to recording oin a single cam it was not possible to remove them. </t>
  </si>
  <si>
    <t>https://drive.google.com/open?id=1ZCWONONR2gzKKaChu_mmaQORHiIuLHW8</t>
  </si>
  <si>
    <t>583 - Channel</t>
  </si>
  <si>
    <t>584 - Channel</t>
  </si>
  <si>
    <t>585 - Channel</t>
  </si>
  <si>
    <t>Moderator Vox Pop is unusable to a ridiculous ammount of lag</t>
  </si>
  <si>
    <t>586 - Channel</t>
  </si>
  <si>
    <t>587 - Channel</t>
  </si>
  <si>
    <t>588 - Channel</t>
  </si>
  <si>
    <t>589 - Channel</t>
  </si>
  <si>
    <t>https://drive.google.com/drive/folders/1-N_lTQVftC30zdLPeLsWw7-UVUfMFRJX</t>
  </si>
  <si>
    <t>re-record added to folder - WE</t>
  </si>
  <si>
    <t>https://drive.google.com/open?id=1n-0qK3WhE_mYsHn7W0MIrg4_ec_imaTo</t>
  </si>
  <si>
    <t>590 - Channel</t>
  </si>
  <si>
    <t>591 - Channel</t>
  </si>
  <si>
    <t>592 - Channel</t>
  </si>
  <si>
    <t>593 - Channel</t>
  </si>
  <si>
    <t>594 - Channel</t>
  </si>
  <si>
    <t>595 - Channel</t>
  </si>
  <si>
    <t>596 - Channel</t>
  </si>
  <si>
    <t>597 - Channel</t>
  </si>
  <si>
    <t>https://drive.google.com/drive/folders/1mNUvGN_KXaVYIE4mlzLQs0lRvArlqDKQ</t>
  </si>
  <si>
    <t>https://drive.google.com/open?id=1yjD5V1Uah_kIPORzwEjhQNJoo52UPMtq</t>
  </si>
  <si>
    <t>598 - Channel</t>
  </si>
  <si>
    <t>599 - Channel</t>
  </si>
  <si>
    <t>600 - Channel</t>
  </si>
  <si>
    <t>601 - Channel</t>
  </si>
  <si>
    <t>602 - Channel</t>
  </si>
  <si>
    <t>603 - Channel</t>
  </si>
  <si>
    <t>604 - Channel</t>
  </si>
  <si>
    <t>https://drive.google.com/drive/folders/1Ud_vcx2mXW_j4e47qllgnTlBNPt-wvgx</t>
  </si>
  <si>
    <t>hold off</t>
  </si>
  <si>
    <t>This talk is riddled with connection errors. Even after Grace''s edits to fix sync the audio and video cut out quite frequently. If it was any worse I would suggest canning it entirely.</t>
  </si>
  <si>
    <t>https://drive.google.com/open?id=1B3Ly2-pgZMvjl2OZdWynBZRlKy_tW_A2</t>
  </si>
  <si>
    <t>605 - Channel</t>
  </si>
  <si>
    <t>606 - Channel</t>
  </si>
  <si>
    <t>607 - Channel</t>
  </si>
  <si>
    <t>https://drive.google.com/drive/folders/1MtfDXyooI0nVbWvqXrcdX3OFlN1WJAoe</t>
  </si>
  <si>
    <t>Talk time: 15:05 Waiting for CH assign.</t>
  </si>
  <si>
    <t>https://drive.google.com/open?id=1Gi0f-9XHRRXyhsCvIuXSfwTascOsiDSu</t>
  </si>
  <si>
    <t>608 - Channel</t>
  </si>
  <si>
    <t>609 - Channel</t>
  </si>
  <si>
    <t>610 - Channel</t>
  </si>
  <si>
    <t>https://drive.google.com/drive/folders/1W8lZGst7iOVc6Ujs6ksvfqPXNZ55L_Wg</t>
  </si>
  <si>
    <t>https://drive.google.com/open?id=1mYVg2ZobtnC2xCHoe5YeA8FrlVonEXJE</t>
  </si>
  <si>
    <t>611 - Channel</t>
  </si>
  <si>
    <t>612 - Channel</t>
  </si>
  <si>
    <t>613 - Channel</t>
  </si>
  <si>
    <t>https://drive.google.com/drive/folders/1kiv8Dp-WrB4wfrlPo960_DldbwE-72cA</t>
  </si>
  <si>
    <t>Total: 00:14:36:03 - Lighting Changes a lot for speaker in top right</t>
  </si>
  <si>
    <t>https://drive.google.com/open?id=1KameuvNIqrQVpr8Ultdmp-GsTKd1ZrE4</t>
  </si>
  <si>
    <t>614 - Channel</t>
  </si>
  <si>
    <t>615 - Channel</t>
  </si>
  <si>
    <t>616 - Channel</t>
  </si>
  <si>
    <t>617 - Channel</t>
  </si>
  <si>
    <t>618 - Channel</t>
  </si>
  <si>
    <t>https://drive.google.com/drive/folders/1mluUWS2mgTB3s0kukVhnMN5UruB1lplh</t>
  </si>
  <si>
    <t>619 - Channel</t>
  </si>
  <si>
    <t>620 - Channel</t>
  </si>
  <si>
    <t>621 - Channel</t>
  </si>
  <si>
    <t>622 - Channel</t>
  </si>
  <si>
    <t>623 - Channel</t>
  </si>
  <si>
    <t>624 - Channel</t>
  </si>
  <si>
    <t>625 - Channel</t>
  </si>
  <si>
    <t>https://drive.google.com/drive/folders/1WqurW8vEqoA2Drg9rKh27W9meJrcxl_L</t>
  </si>
  <si>
    <t>00:11:29:11</t>
  </si>
  <si>
    <t>https://drive.google.com/open?id=1mb581TPbqxaDD7IC3F-lL_zZDAaK2DZh</t>
  </si>
  <si>
    <t>626 - Channel</t>
  </si>
  <si>
    <t>627 - Channel</t>
  </si>
  <si>
    <t>628 - Channel</t>
  </si>
  <si>
    <t>https://drive.google.com/drive/folders/1UX1Mbq8v-NOAL29khLK13tQkW0igM5BC</t>
  </si>
  <si>
    <t>https://drive.google.com/open?id=1AEW1n1FlTHkwpiYSAsrKtedFXdJVXctL</t>
  </si>
  <si>
    <t>629 - Channel</t>
  </si>
  <si>
    <t>630 - Channel</t>
  </si>
  <si>
    <t>631 - Channel</t>
  </si>
  <si>
    <t>632 - Channel</t>
  </si>
  <si>
    <t>633 - Channel</t>
  </si>
  <si>
    <t>634 - Channel</t>
  </si>
  <si>
    <t>635 - Channel</t>
  </si>
  <si>
    <t>636 - Channel</t>
  </si>
  <si>
    <t>637 - Channel</t>
  </si>
  <si>
    <t>https://drive.google.com/drive/folders/1fu_sqI6fCUZpcyVMsRE-Y2OUZ8nlL-MW</t>
  </si>
  <si>
    <t>https://drive.google.com/open?id=10MTuHAvyT-cyHJzuLXZ5GAigLeokr3Iy</t>
  </si>
  <si>
    <t>638 - Channel</t>
  </si>
  <si>
    <t>639 - Channel</t>
  </si>
  <si>
    <t>640 - Channel</t>
  </si>
  <si>
    <t>19:38 - To cut lags I had to trim away sections and smooth parts over</t>
  </si>
  <si>
    <t>https://drive.google.com/open?id=1fTV9ic2BmxizQyf45X40iUGWRqxSdAwe</t>
  </si>
  <si>
    <t>641 - Channel</t>
  </si>
  <si>
    <t>642 - Channel</t>
  </si>
  <si>
    <t>643 - Channel</t>
  </si>
  <si>
    <t>644 - Channel</t>
  </si>
  <si>
    <t>645 - Channel</t>
  </si>
  <si>
    <t>https://drive.google.com/drive/u/1/folders/1GeCO3wRbFjHOR1NHW19jsG2VFVh-MOHX</t>
  </si>
  <si>
    <t>https://drive.google.com/open?id=1O5fSRAIPZ9zYVCavUjyntLgL9b07kL7v</t>
  </si>
  <si>
    <t>646 - Channel</t>
  </si>
  <si>
    <t>647 - Channel</t>
  </si>
  <si>
    <t>648 - Channel</t>
  </si>
  <si>
    <t>649 - Channel</t>
  </si>
  <si>
    <t>https://drive.google.com/open?id=1El-0B5Tl-Kpf6baGoX3sNo49pKEvYqmH</t>
  </si>
  <si>
    <t>Duration: 10:54 - 1 min 6 seconds under</t>
  </si>
  <si>
    <t>https://drive.google.com/open?id=1SvKamkCxmE884bJLsZ1dQ4sXQH8AJPUZ</t>
  </si>
  <si>
    <t>650 - Channel</t>
  </si>
  <si>
    <t>651 - Channel</t>
  </si>
  <si>
    <t>652 - Channel</t>
  </si>
  <si>
    <t>653 - Channel</t>
  </si>
  <si>
    <t>654 - Channel</t>
  </si>
  <si>
    <t>https://drive.google.com/drive/folders/1xs1NJyMwXvMC4fjxhz0YbLSWQG60qxZc</t>
  </si>
  <si>
    <t>Talk time: 03:02
Talk was 45 seconds too long - had to make two cuts</t>
  </si>
  <si>
    <t>Pretty obvious jump cut at 2:08 but might get away with it as a connection error</t>
  </si>
  <si>
    <t>https://drive.google.com/open?id=1DE3aag3LmFPL6KDA3nOGSg6atTXWKkFl</t>
  </si>
  <si>
    <t>655 - Channel</t>
  </si>
  <si>
    <t>656 - Channel</t>
  </si>
  <si>
    <t>657 - Channel</t>
  </si>
  <si>
    <t>658 - Channel</t>
  </si>
  <si>
    <t>659 - Channel</t>
  </si>
  <si>
    <t>660 - Channel</t>
  </si>
  <si>
    <t>https://drive.google.com/drive/folders/1GBNRD0mm0McTIhcBFOXHxc9T95Kgsn89</t>
  </si>
  <si>
    <t>https://drive.google.com/open?id=1J4VxVTb7DWf5qGVQBIkGWweooyi-VFoC</t>
  </si>
  <si>
    <t>661 - Channel</t>
  </si>
  <si>
    <t>662 - Channel</t>
  </si>
  <si>
    <t>663 - Channel</t>
  </si>
  <si>
    <t>https://drive.google.com/drive/folders/1pKmmC0X1WmGSMqI1WVssy1sDmCNI93-E</t>
  </si>
  <si>
    <t>https://drive.google.com/open?id=1nCVPziCZRFrujfEUxzP6a5vZPXLzwGmn</t>
  </si>
  <si>
    <t>664 - Channel</t>
  </si>
  <si>
    <t>665 - Channel</t>
  </si>
  <si>
    <t>666 - Channel</t>
  </si>
  <si>
    <t>https://drive.google.com/drive/folders/1Y8MEg5G9UfErc_AnTdBcPQkTmRwTirjO</t>
  </si>
  <si>
    <t>Duration: 9.48</t>
  </si>
  <si>
    <t>Channel change from speakers</t>
  </si>
  <si>
    <t>https://drive.google.com/open?id=1a71YDp1fl7L9H8No497lAIcKhAWyQFd2</t>
  </si>
  <si>
    <t>667 - Channel</t>
  </si>
  <si>
    <t>668 - Channel</t>
  </si>
  <si>
    <t>669 - Channel</t>
  </si>
  <si>
    <t>https://drive.google.com/drive/folders/1pHj2EJYRtYSSzn4ucBt2apgEpxqpoD2x</t>
  </si>
  <si>
    <t>00:10:27:05</t>
  </si>
  <si>
    <t>https://drive.google.com/open?id=1BP7DuJB1PBkralcVAQVwMaVLzIyYi-bR</t>
  </si>
  <si>
    <t>670 - Channel</t>
  </si>
  <si>
    <t>671 - Channel</t>
  </si>
  <si>
    <t>672 - Channel</t>
  </si>
  <si>
    <t>673 - Channel</t>
  </si>
  <si>
    <t>https://drive.google.com/drive/folders/1TMZuxfn7YWI5wJGcQ_xdp1kDMCq8x2ii</t>
  </si>
  <si>
    <t>no edit notes</t>
  </si>
  <si>
    <t>https://drive.google.com/open?id=1tM8jWDIwiJhiU_MLWno6Xs_DSz_WgcXk</t>
  </si>
  <si>
    <t>674 - Channel</t>
  </si>
  <si>
    <t>675 - Channel</t>
  </si>
  <si>
    <t>676 - Channel</t>
  </si>
  <si>
    <t>677 - Channel</t>
  </si>
  <si>
    <t>Nearly 4 mins over. Cut to 1 cams to hide cuts.</t>
  </si>
  <si>
    <t>https://drive.google.com/open?id=1MgEYXZJV9jrkRSzYJfO_J31MV_eMLkqp</t>
  </si>
  <si>
    <t>678 - Channel</t>
  </si>
  <si>
    <t>679 - Channel</t>
  </si>
  <si>
    <t>680 - Channel</t>
  </si>
  <si>
    <t>681 - Channel</t>
  </si>
  <si>
    <t>682 - Channel</t>
  </si>
  <si>
    <t>https://drive.google.com/drive/folders/1BZBQhsInUQyANy_rrUinXh-IxUdL266E</t>
  </si>
  <si>
    <t>https://drive.google.com/open?id=1tQTiMgmHKvDi7MAgkfUH_zplv7Nq5aaq</t>
  </si>
  <si>
    <t>683 - Channel</t>
  </si>
  <si>
    <t>684 - Channel</t>
  </si>
  <si>
    <t>685 - Channel</t>
  </si>
  <si>
    <t>686 - Channel</t>
  </si>
  <si>
    <t>687 - Channel</t>
  </si>
  <si>
    <t>https://drive.google.com/drive/folders/1x5MlKV-KOK5tOSSaCrgoD35zvzD2a41M</t>
  </si>
  <si>
    <t>688 - Channel</t>
  </si>
  <si>
    <t>689 - Channel</t>
  </si>
  <si>
    <t>690 - Channel</t>
  </si>
  <si>
    <t>691 - Channel</t>
  </si>
  <si>
    <t>692 - Channel</t>
  </si>
  <si>
    <t>693 - Channel</t>
  </si>
  <si>
    <t>https://drive.google.com/drive/folders/1XMsFdptYgSNH6Xyulmylf7pdG9VRdpyR</t>
  </si>
  <si>
    <t>Talk time: 14:45</t>
  </si>
  <si>
    <t>https://drive.google.com/open?id=1-yI_ne_B-haqSamxHPCSGe7QLp4myNVC</t>
  </si>
  <si>
    <t>694 - Channel</t>
  </si>
  <si>
    <t>695 - Channel</t>
  </si>
  <si>
    <t>696 - Channel</t>
  </si>
  <si>
    <t>697 - Channel</t>
  </si>
  <si>
    <t>698 - Channel</t>
  </si>
  <si>
    <t>699 - Channel</t>
  </si>
  <si>
    <t>700 - Channel</t>
  </si>
  <si>
    <t>701 - Channel</t>
  </si>
  <si>
    <t>https://drive.google.com/drive/folders/1x_x-kVu3Ihf654vWUpHx9FFy7xb-Gci1</t>
  </si>
  <si>
    <t>Duration: 3.01</t>
  </si>
  <si>
    <t>https://drive.google.com/open?id=1nJeu3oQH3BrYGZ9xfGXbIO3wwm3z7gZh</t>
  </si>
  <si>
    <t>702 - Channel</t>
  </si>
  <si>
    <t>703 - Channel</t>
  </si>
  <si>
    <t>704 - Channel</t>
  </si>
  <si>
    <t>https://drive.google.com/drive/folders/1sKwJk3Rnv_Zt2K1_VEnBaYtNGCPeeWp6</t>
  </si>
  <si>
    <t>Total Length - 00:14:51:16</t>
  </si>
  <si>
    <t>https://drive.google.com/open?id=1tturyJvaU1kv2UGYf5okweRlLIzHtDRv</t>
  </si>
  <si>
    <t>705 - Channel</t>
  </si>
  <si>
    <t>706 - Channel</t>
  </si>
  <si>
    <t>707 - Channel</t>
  </si>
  <si>
    <t>708 - Channel</t>
  </si>
  <si>
    <t>https://drive.google.com/drive/folders/1UWUrc62wst2Ccjrj6r0EPzKgrbuA9bom</t>
  </si>
  <si>
    <t>31 seconds over @ 03:31</t>
  </si>
  <si>
    <t>https://drive.google.com/open?id=1hje7rUcUNpqaPzPRWs2AhaGrmjgtbVw9</t>
  </si>
  <si>
    <t>709 - Channel</t>
  </si>
  <si>
    <t>710 - Channel</t>
  </si>
  <si>
    <t>711 - Channel</t>
  </si>
  <si>
    <t>712 - Channel</t>
  </si>
  <si>
    <t>713 - Channel</t>
  </si>
  <si>
    <t>https://drive.google.com/drive/folders/1GGOY8ZPEtV0S87EV3qJcPcvQTxEE_EPI</t>
  </si>
  <si>
    <t>Duration: 13:57</t>
  </si>
  <si>
    <t>https://drive.google.com/open?id=1R1ufg2Xj4j2g22Nmy6gBKlqzhKGdpdNv</t>
  </si>
  <si>
    <t>714 - Channel</t>
  </si>
  <si>
    <t>715 - Channel</t>
  </si>
  <si>
    <t>716 - Channel</t>
  </si>
  <si>
    <t>No questions asked to Achim Steiner. 17 seconds over @ 20:17</t>
  </si>
  <si>
    <t>https://drive.google.com/open?id=1FOdxjHXiNF6TKaCopSqBGjREB2pizCI1</t>
  </si>
  <si>
    <t>717 - Channel</t>
  </si>
  <si>
    <t>718 - Channel</t>
  </si>
  <si>
    <t>719 - Channel</t>
  </si>
  <si>
    <t>720 - Channel</t>
  </si>
  <si>
    <t>https://drive.google.com/drive/folders/1zhGRYKRkrqB5K3_-4g5HNkxhdIOaS-9r</t>
  </si>
  <si>
    <t>edit notes incoming, needs title updated - WE</t>
  </si>
  <si>
    <t>721 - Channel</t>
  </si>
  <si>
    <t>722 - Channel</t>
  </si>
  <si>
    <t>723 - Channel</t>
  </si>
  <si>
    <t>724 - Channel</t>
  </si>
  <si>
    <t>725 - Channel</t>
  </si>
  <si>
    <t>726 - Channel</t>
  </si>
  <si>
    <t>727 - Channel</t>
  </si>
  <si>
    <t>728 - Channel</t>
  </si>
  <si>
    <t>729 - Channel</t>
  </si>
  <si>
    <t>730 - Channel</t>
  </si>
  <si>
    <t>731 - Channel</t>
  </si>
  <si>
    <t>732 - Channel</t>
  </si>
  <si>
    <t>733 - Channel</t>
  </si>
  <si>
    <t>734 - Channel</t>
  </si>
  <si>
    <t>https://drive.google.com/drive/folders/1Erp8WAmovG4p2v2E46Ph4pwufYvyCWlC</t>
  </si>
  <si>
    <t>No Intro PTC on notes. 12:37 duration</t>
  </si>
  <si>
    <t>https://drive.google.com/open?id=1GO5_G9VnAw2_fUMTldLNmq1Z7WGcjEIi</t>
  </si>
  <si>
    <t>735 - Channel</t>
  </si>
  <si>
    <t>736 - Channel</t>
  </si>
  <si>
    <t>737 - Channel</t>
  </si>
  <si>
    <t>738 - Channel</t>
  </si>
  <si>
    <t>739 - Channel</t>
  </si>
  <si>
    <t>740 - Channel</t>
  </si>
  <si>
    <t>741 - Channel</t>
  </si>
  <si>
    <t>742 - Channel</t>
  </si>
  <si>
    <t>https://drive.google.com/drive/folders/1OKBEWjXFPhf42y1De4ELVd6k1iPHa3LY</t>
  </si>
  <si>
    <t>no edit notes - VERY bad audio</t>
  </si>
  <si>
    <t>743 - Channel</t>
  </si>
  <si>
    <t>744 - Channel</t>
  </si>
  <si>
    <t>745 - Channel</t>
  </si>
  <si>
    <t>746 - Channel</t>
  </si>
  <si>
    <t>https://drive.google.com/drive/folders/1g6XLRxK1qC1LNdTQMix6mkK4WOIkVGKS</t>
  </si>
  <si>
    <t>Total Length - 00:08:00:03</t>
  </si>
  <si>
    <t>https://drive.google.com/open?id=1YkqHgISWFLPPosHw-dIHeGGJAuDgnvy5</t>
  </si>
  <si>
    <t>747 - Channel</t>
  </si>
  <si>
    <t>748 - Channel</t>
  </si>
  <si>
    <t>749 - Channel</t>
  </si>
  <si>
    <t>750 - Channel</t>
  </si>
  <si>
    <t>https://drive.google.com/drive/folders/12WAK_k8fAXiOwhWC345N34xoKOIoksnf</t>
  </si>
  <si>
    <t>Total Length - 00:02:56:19</t>
  </si>
  <si>
    <t>https://drive.google.com/open?id=1x9JUfqrEHjIiJx3GZJtQrPsaGXnjQvZB</t>
  </si>
  <si>
    <t>751 - Channel</t>
  </si>
  <si>
    <t>752 - Channel</t>
  </si>
  <si>
    <t>753 - Channel</t>
  </si>
  <si>
    <t>754 - Channel</t>
  </si>
  <si>
    <t>755 - Channel</t>
  </si>
  <si>
    <t>https://drive.google.com/drive/u/0/folders/1ti4RekkGHfxgT64FuCQAKz2VIgWBA1wy</t>
  </si>
  <si>
    <t>@00:10:35 - Cut video lag for a smoother edit. Colour correction applied throughout.</t>
  </si>
  <si>
    <t>https://drive.google.com/open?id=1sbUm16-4Gg3_bZm6iV523O_PhUF5cy5l</t>
  </si>
  <si>
    <t>756 - Channel</t>
  </si>
  <si>
    <t>757 - Channel</t>
  </si>
  <si>
    <t>758 - Channel</t>
  </si>
  <si>
    <t>759 - Channel</t>
  </si>
  <si>
    <t>760 - Channel</t>
  </si>
  <si>
    <t>761 - Channel</t>
  </si>
  <si>
    <t>762 - Channel</t>
  </si>
  <si>
    <t>763 - Channel</t>
  </si>
  <si>
    <t>764 - Channel</t>
  </si>
  <si>
    <t>https://drive.google.com/drive/folders/1aII2S8aT7rHUTANbq9xIV4s6f84pSTwz</t>
  </si>
  <si>
    <t>Lynn did a re-record for McCauley and sent it to LP as she didn't know where to put it.</t>
  </si>
  <si>
    <t>https://drive.google.com/open?id=1rt78sVj5plqp-5iLhFAreLkTx-5dNmry</t>
  </si>
  <si>
    <t>765 - Channel</t>
  </si>
  <si>
    <t>766 - Channel</t>
  </si>
  <si>
    <t>767 - Channel</t>
  </si>
  <si>
    <t>768 - Channel</t>
  </si>
  <si>
    <t>https://drive.google.com/drive/folders/16bc7lDa31A9of-Y92cNbF0i662kY4-Br</t>
  </si>
  <si>
    <t>Sporadic lag on the speaker throughout</t>
  </si>
  <si>
    <t>Sporadic lag and audio affected at times but is still passable</t>
  </si>
  <si>
    <t>https://drive.google.com/open?id=1YYzG2miLE5Mza60TlgZuHUpM9gutaUGy</t>
  </si>
  <si>
    <t>769 - Channel</t>
  </si>
  <si>
    <t>770 - Channel</t>
  </si>
  <si>
    <t>https://drive.google.com/drive/folders/1qeDlp5Rnd5p1RhUn4jARWZYjqBQR2wgI</t>
  </si>
  <si>
    <t>00:08:08 - Lots of lag present, not sure whether to cut to another angle or not</t>
  </si>
  <si>
    <t>https://drive.google.com/open?id=1JnjWmZBsHpiietxyLCKjesp0v1A0RHZU</t>
  </si>
  <si>
    <t>771 - Channel</t>
  </si>
  <si>
    <t>772 - Channel</t>
  </si>
  <si>
    <t>773 - Channel</t>
  </si>
  <si>
    <t>774 - Channel</t>
  </si>
  <si>
    <t>775 - Channel</t>
  </si>
  <si>
    <t>776 - Channel</t>
  </si>
  <si>
    <t>777 - Channel</t>
  </si>
  <si>
    <t>778 - Channel</t>
  </si>
  <si>
    <t>779 - Channel</t>
  </si>
  <si>
    <t>780 - Channel</t>
  </si>
  <si>
    <t>https://drive.google.com/drive/u/0/folders/10fHLG4UqPsBCm8b-WoOBLCePTN-FMrQW</t>
  </si>
  <si>
    <t>Used the 3 seperate audio channles to remove mic reverb on main audio. As per producer's notes</t>
  </si>
  <si>
    <t>https://drive.google.com/open?id=1j-U6qi83iBI1Wp4eda1K5vV-o_rgCjDP</t>
  </si>
  <si>
    <t>781 - Channel</t>
  </si>
  <si>
    <t>782 - Channel</t>
  </si>
  <si>
    <t>783 - Channel</t>
  </si>
  <si>
    <t>https://drive.google.com/drive/u/0/folders/1WuCjbtd5Sd7QhKOoV97gvMgrCjyQ9rAS</t>
  </si>
  <si>
    <t>784 - Channel</t>
  </si>
  <si>
    <t>785 - Channel</t>
  </si>
  <si>
    <t>786 - Channel</t>
  </si>
  <si>
    <t>https://drive.google.com/drive/u/0/folders/1w_pS4aBT95yr0XFkhL9zSCkskkTMZVpX</t>
  </si>
  <si>
    <t>https://drive.google.com/file/d/13DvdcQ5P_DH3Nj3WO98dhfjtYzCZ_r6N/view</t>
  </si>
  <si>
    <t>787 - Channel</t>
  </si>
  <si>
    <t>788 - Channel</t>
  </si>
  <si>
    <t>789 - Channel</t>
  </si>
  <si>
    <t>790 - Channel</t>
  </si>
  <si>
    <t>https://drive.google.com/drive/folders/1_5C1G7tkT7GbmHQuEW63E2aNu7s5ux4C</t>
  </si>
  <si>
    <t>@00:01:05 a canopy begins to come into frame and the speaker reajusts it. I have had to remove a section to remove this entirly as it looks very bad. @00:05:09 removed a small section due to a big camera shake on speakers side. His head goes in and out of frame for a few seconds. @00:08:40 removed a freeze on video.@00:11:21 a lot of video freezing so I had to remive a small section. @00:11:48 removed another small section due to bad video freezing. @00:12:07 they speak over one another and i have removed this small section. *Overall the connection was quite bad in parts and over 60 seconds of interview had to be lost becuas of it.*</t>
  </si>
  <si>
    <t>https://drive.google.com/open?id=1I8x4PMlcFHrfLXO2Oj-Ew0Oot6Wk8D_l</t>
  </si>
  <si>
    <t>791 - Channel</t>
  </si>
  <si>
    <t>792 - Channel</t>
  </si>
  <si>
    <t>793 - Channel</t>
  </si>
  <si>
    <t>794 - Channel</t>
  </si>
  <si>
    <t>795 - Channel</t>
  </si>
  <si>
    <t>796 - Channel</t>
  </si>
  <si>
    <t>https://drive.google.com/drive/u/0/folders/1ohfUBOwV2NuhFQTvrH65NE2V01vTvPuk</t>
  </si>
  <si>
    <t>https://drive.google.com/file/d/1TmBgV7ANwQN0PoiiIgc4nroeb6FhbhWU/view</t>
  </si>
  <si>
    <t>797 - Channel</t>
  </si>
  <si>
    <t>798 - Channel</t>
  </si>
  <si>
    <t>799 - Channel</t>
  </si>
  <si>
    <t>https://drive.google.com/drive/u/0/folders/1TD4wvT9gYjovTq9lKwgUrPlF6SKuIwz6</t>
  </si>
  <si>
    <t>https://drive.google.com/file/d/1TGGz5SjmswfsKYOaTs7As2ng-nV_mHgq/view</t>
  </si>
  <si>
    <t>800 - Channel</t>
  </si>
  <si>
    <t>801 - Channel</t>
  </si>
  <si>
    <t>802 - Channel</t>
  </si>
  <si>
    <t>803 - Channel</t>
  </si>
  <si>
    <t>804 - Channel</t>
  </si>
  <si>
    <t>805 - Channel</t>
  </si>
  <si>
    <t>https://drive.google.com/drive/u/0/folders/1yXwQ5yF33ijGhCzNm0WHzaUXEM3X-RRX</t>
  </si>
  <si>
    <t>https://drive.google.com/open?id=1_5aHN1fOC3hrZW3dR1zbWQg1EDFo-mqX</t>
  </si>
  <si>
    <t>806 - Channel</t>
  </si>
  <si>
    <t>807 - Channel</t>
  </si>
  <si>
    <t>808 - Channel</t>
  </si>
  <si>
    <t>809 - Channel</t>
  </si>
  <si>
    <t>https://drive.google.com/drive/u/0/folders/1MDYK1pMWo6LMr2QKeioqejoar37q9O86</t>
  </si>
  <si>
    <t>@00:10:25 removed small section due to webcam settings malfunctioning</t>
  </si>
  <si>
    <t>https://drive.google.com/open?id=1J5MIgRDmMW6jA9hoJ4algvBkvq7TiIKW</t>
  </si>
  <si>
    <t>810 - Channel</t>
  </si>
  <si>
    <t>811 - Channel</t>
  </si>
  <si>
    <t>812 - Channel</t>
  </si>
  <si>
    <t>https://drive.google.com/drive/u/0/folders/1ZombyD7USVyjBzsiP_yX0iQ_LZwNpugS</t>
  </si>
  <si>
    <t xml:space="preserve">@00:01:26 cut out small video and audio lag. @00:05:50 cut small section due to video lag  @00:06:00 there was an audio and video lag I couldn't cut due to its placement in the answer. @00:06:50 cut tail of answer due to lag. (ADDED BACK IN V3) </t>
  </si>
  <si>
    <t>https://drive.google.com/open?id=1GhT16xjvyod3E_irnYLGW0MICDt8rpCu</t>
  </si>
  <si>
    <t>813 - Channel</t>
  </si>
  <si>
    <t>814 - Channel</t>
  </si>
  <si>
    <t>815 - Channel</t>
  </si>
  <si>
    <t>816 - Channel</t>
  </si>
  <si>
    <t>https://drive.google.com/drive/u/0/folders/1cTwVlyhfH3XyqFsa4CfFAYHYaUfHXBFB</t>
  </si>
  <si>
    <t>Had to cut to presentation a good few times throughout as the audio kept dropping</t>
  </si>
  <si>
    <t>https://drive.google.com/file/d/1XceaiNMSFf1w1bsMCTv0OLwVqvFzfQ3M/view</t>
  </si>
  <si>
    <t>817 - Channel</t>
  </si>
  <si>
    <t>818 - Channel</t>
  </si>
  <si>
    <t>819 - Channel</t>
  </si>
  <si>
    <t>https://drive.google.com/drive/u/0/folders/1rSgySWSMKK5hAnC8iHZMFe_AXmCE_KqK</t>
  </si>
  <si>
    <t>https://drive.google.com/open?id=1n-QOsnZMA-GaBHEWj81xgSdYHHjIqFc2</t>
  </si>
  <si>
    <t>820 - Channel</t>
  </si>
  <si>
    <t>821 - Channel</t>
  </si>
  <si>
    <t>822 - Channel</t>
  </si>
  <si>
    <t>823 - Channel</t>
  </si>
  <si>
    <t>https://drive.google.com/drive/u/0/folders/1XTI9LVhuOSVk7yWdXV-Tqve87svXcxC2</t>
  </si>
  <si>
    <t>1m16s under</t>
  </si>
  <si>
    <t>RE-EDIT @9:05 go full screen on Jade, the moderator, to fix this jump cut with a 1 CAM template</t>
  </si>
  <si>
    <t>https://drive.google.com/file/d/1Wiy1NG1ACKY3uMRwrtn2xQIHYO3QGD3C/view</t>
  </si>
  <si>
    <t>824 - Channel</t>
  </si>
  <si>
    <t>825 - Channel</t>
  </si>
  <si>
    <t>826 - Channel</t>
  </si>
  <si>
    <t>https://drive.google.com/drive/folders/1ifC7brU4keQIJVjdd7ghfKzbHF7GAgoF</t>
  </si>
  <si>
    <t>https://drive.google.com/file/d/1aAlSle-MwAM_sDZ_FuUAcf1FmA79lquc/view</t>
  </si>
  <si>
    <t>827 - Channel</t>
  </si>
  <si>
    <t>828 - Channel</t>
  </si>
  <si>
    <t>https://drive.google.com/drive/folders/1Cl8xWVAdbPfbXQ_nuLYm2jjuOgC0Gj6z</t>
  </si>
  <si>
    <t>https://drive.google.com/open?id=1c0-v9r8uStgygGP-qDNSQB2tI1PiLXa4</t>
  </si>
  <si>
    <t>829 - Channel</t>
  </si>
  <si>
    <t>830 - Channel</t>
  </si>
  <si>
    <t>https://drive.google.com/drive/folders/1_fOeZVVWNtrZbJGfHX6yeZg_c1asABQA</t>
  </si>
  <si>
    <t>Duration: 15.44, it was 16.50</t>
  </si>
  <si>
    <t>https://drive.google.com/open?id=1vMAjBGy5JhcFGiql9C0LJqhQ5Y8wey9H</t>
  </si>
  <si>
    <t>831 - Channel</t>
  </si>
  <si>
    <t>832 - Channel</t>
  </si>
  <si>
    <t>833 - Channel</t>
  </si>
  <si>
    <t>834 - Channel</t>
  </si>
  <si>
    <t>835 - Channel</t>
  </si>
  <si>
    <t>836 - Channel</t>
  </si>
  <si>
    <t>837 - Channel</t>
  </si>
  <si>
    <t>https://drive.google.com/drive/folders/18Xhxmykj_yBLA2JA4nARMKW71CIkJQL2</t>
  </si>
  <si>
    <t>https://drive.google.com/open?id=1HZvvH--sAxo7SvZDlT20z0ivUOHNyAR8</t>
  </si>
  <si>
    <t>838 - Channel</t>
  </si>
  <si>
    <t>839 - Channel</t>
  </si>
  <si>
    <t>840 - Channel</t>
  </si>
  <si>
    <t>https://drive.google.com/drive/u/0/folders/1puNGNF84WkV1lRc56eH2MgWFXlEMv5YJ</t>
  </si>
  <si>
    <t>https://drive.google.com/open?id=1H42lVIvEisqL3_FUpRoXF7DRObULL8ph</t>
  </si>
  <si>
    <t>841 - Channel</t>
  </si>
  <si>
    <t>842 - Channel</t>
  </si>
  <si>
    <t>843 - Channel</t>
  </si>
  <si>
    <t>https://drive.google.com/drive/folders/15TfbQlDkDAdiZM5T8UXVKiIWNCCpCmuJ</t>
  </si>
  <si>
    <t>https://drive.google.com/open?id=1UX7wBHASAMYgNfJKHvueUFG9KK5clioR</t>
  </si>
  <si>
    <t>844 - Channel</t>
  </si>
  <si>
    <t>845 - Channel</t>
  </si>
  <si>
    <t>https://drive.google.com/drive/u/0/folders/15g4g-KFnkLhQhi-0Ovc3BC8yc3tdH7A9</t>
  </si>
  <si>
    <t>Audio on the moderator isn't great</t>
  </si>
  <si>
    <t>https://drive.google.com/open?id=16fdAycKFZHks1nyQ6NxiH9hUu3RNwZKt</t>
  </si>
  <si>
    <t>846 - Channel</t>
  </si>
  <si>
    <t>847 - Channel</t>
  </si>
  <si>
    <t>848 - Channel</t>
  </si>
  <si>
    <t>849 - Channel</t>
  </si>
  <si>
    <t>https://drive.google.com/drive/u/0/folders/1Gba7xTorZfxAsZq9IXzvfqQLWVy_Wh1_</t>
  </si>
  <si>
    <t>@00:01:51 a crying baby can be heard faintly. @00:06:35 cut a small section to remove small video lag.@000:11:03 removed short question and answer to reduce overall time and is an odd question and moment in the edit considering the topic is climate change.</t>
  </si>
  <si>
    <t>https://drive.google.com/open?id=1-UKslCcoTEhyO57xo3iIX2UZcgKi-FvI</t>
  </si>
  <si>
    <t>850 - Channel</t>
  </si>
  <si>
    <t>851 - Channel</t>
  </si>
  <si>
    <t>852 - Channel</t>
  </si>
  <si>
    <t>853 - Channel</t>
  </si>
  <si>
    <t>https://drive.google.com/drive/u/0/folders/19Ea31UxT2bPLaXMt9lqM-CeH48JX1jFo</t>
  </si>
  <si>
    <t>00:21:28:22 - had to cut out portion of the ending due to lag"</t>
  </si>
  <si>
    <t>https://drive.google.com/open?id=1SGE4OMt_ase15iyP2lk8L0__j4RkDW-P</t>
  </si>
  <si>
    <t>854 - Channel</t>
  </si>
  <si>
    <t>855 - Channel</t>
  </si>
  <si>
    <t>856 - Channel</t>
  </si>
  <si>
    <t>https://drive.google.com/drive/folders/12GQUtEWRLu9vieEp-yYlq8fxi-2enGjY</t>
  </si>
  <si>
    <t>https://drive.google.com/open?id=1bsd24UkH9Qjyg5v9W_AkleI1B5AfJyC5</t>
  </si>
  <si>
    <t>857 - Channel</t>
  </si>
  <si>
    <t>858 - Channel</t>
  </si>
  <si>
    <t>859 - Channel</t>
  </si>
  <si>
    <t>https://drive.google.com/drive/folders/1qYbXi5vl24SvlxFVrg-ev5pOZYF8N4wT</t>
  </si>
  <si>
    <t>Total Talk: 00:14:20:23 | Cut down to: 00:14:06:08 | Must Be: 13 Mins</t>
  </si>
  <si>
    <t>https://drive.google.com/open?id=1UJEuOlqIdwbJZ6DDTOzEHOm0O07HDbc8</t>
  </si>
  <si>
    <t>860 - Channel</t>
  </si>
  <si>
    <t>861 - Channel</t>
  </si>
  <si>
    <t>862 - Channel</t>
  </si>
  <si>
    <t>https://drive.google.com/drive/u/0/folders/1N1h4a0p8cFNaa7gHRzMjlXwS5rNB7W98</t>
  </si>
  <si>
    <t>No welcome to CFH Clip - 00:03:06:06</t>
  </si>
  <si>
    <t>https://drive.google.com/open?id=17PAPr6XlG6HdxZDTuNxiHSitvd6UG5YK</t>
  </si>
  <si>
    <t>863 - Channel</t>
  </si>
  <si>
    <t>864 - Channel</t>
  </si>
  <si>
    <t>https://drive.google.com/drive/folders/1He_cNW-53C69clU5Zw3fbUrTPnjEaT1M</t>
  </si>
  <si>
    <t>40 words #2_Webiny</t>
  </si>
  <si>
    <t>https://drive.google.com/open?id=1TRJWB2e2J-mVFtSXzVjsm0FU0YZFkgiY</t>
  </si>
  <si>
    <t>865 - Channel</t>
  </si>
  <si>
    <t>866 - Channel</t>
  </si>
  <si>
    <t>https://drive.google.com/drive/u/0/folders/1YTOWwFaBKz6hGTXKpSzAj7KixRwUwaKu</t>
  </si>
  <si>
    <t>https://drive.google.com/file/d/15rGVMAWJdZl3VCFMBuiXcaiqFuAAdCrv/view</t>
  </si>
  <si>
    <t>867 - Channel</t>
  </si>
  <si>
    <t>868 - Channel</t>
  </si>
  <si>
    <t>869 - Channel</t>
  </si>
  <si>
    <t>https://drive.google.com/drive/u/0/folders/1PYeUYByANYuOWEQmiSqbMH-fEbUg3hQV</t>
  </si>
  <si>
    <t>00:11:22:07 - Sirens appear in the background at 00:11:11:15, not sure whether to cut short or its okay</t>
  </si>
  <si>
    <t>https://drive.google.com/open?id=1aRnyO3JskbzQqwJ7ZoCX5kGntXmlAEfn</t>
  </si>
  <si>
    <t>870 - Channel</t>
  </si>
  <si>
    <t>871 - Channel</t>
  </si>
  <si>
    <t>872 - Channel</t>
  </si>
  <si>
    <t>https://drive.google.com/drive/folders/1BqkVklha0kH9wIp8IfyEgiWHaK3juq5z</t>
  </si>
  <si>
    <t>Mixed the outro between take 2 and stand alone exit line recorded after the talk ended for a more natural exit point</t>
  </si>
  <si>
    <t>https://drive.google.com/open?id=1T7iG47LpU1uqqrOMyU4vEtAtLSPLc4t_</t>
  </si>
  <si>
    <t>873 - Channel</t>
  </si>
  <si>
    <t>874 - Channel</t>
  </si>
  <si>
    <t>875 - Channel</t>
  </si>
  <si>
    <t>https://drive.google.com/drive/folders/19Qp-ngGZ4HHemH21JyaVjGwXIqI0xUzL</t>
  </si>
  <si>
    <t>Had to cut to 1 Cam three times between 2:50 and 4:30 due to break up on the moderator and to accommodate a question that was retaken</t>
  </si>
  <si>
    <t>Re-record complete, no notes</t>
  </si>
  <si>
    <t>https://drive.google.com/open?id=1H7W-Hrcv0Lt-B9PXhBtc_7JxB_Yaov5Y</t>
  </si>
  <si>
    <t>876 - Channel</t>
  </si>
  <si>
    <t>877 - Channel</t>
  </si>
  <si>
    <t>878 - Channel</t>
  </si>
  <si>
    <t>https://drive.google.com/drive/u/0/folders/1bdxOeY0MQMyEDB4UoeupbEDu7Cl0VptI</t>
  </si>
  <si>
    <t>https://drive.google.com/open?id=1iD8bdUa1ecbMXWawAlDb4MDBg0_B87F2</t>
  </si>
  <si>
    <t>879 - Channel</t>
  </si>
  <si>
    <t>880 - Channel</t>
  </si>
  <si>
    <t>https://drive.google.com/drive/folders/1H3RQMawr4RDqgb97WfdG1m2aLXkZaZg4</t>
  </si>
  <si>
    <t>https://drive.google.com/open?id=13KfXgWOp_bgGO0GQkfxkdUFOoe2IczH6</t>
  </si>
  <si>
    <t>881 - Channel</t>
  </si>
  <si>
    <t>882 - Channel</t>
  </si>
  <si>
    <t>https://drive.google.com/drive/folders/1iUUlR1mBzerqhr7nHmQrMKvqs4ky3wK8</t>
  </si>
  <si>
    <t>https://drive.google.com/file/d/1noLhyg_qhpk2xmAvpEISAtWXIEhrCMO_/view</t>
  </si>
  <si>
    <t>883 - Channel</t>
  </si>
  <si>
    <t>884 - Channel</t>
  </si>
  <si>
    <t>885 - Channel</t>
  </si>
  <si>
    <t>886 - Channel</t>
  </si>
  <si>
    <t>https://drive.google.com/drive/folders/1sibEOr7dkLqogsbU5WPtqvuhD4X7wzfg</t>
  </si>
  <si>
    <t>Reinventing the VC model</t>
  </si>
  <si>
    <t>https://drive.google.com/file/d/1hAs19-PnuwqMX59hD2B4NksyEydioklD/view</t>
  </si>
  <si>
    <t>887 - Channel</t>
  </si>
  <si>
    <t>888 - Channel</t>
  </si>
  <si>
    <t>889 - Channel</t>
  </si>
  <si>
    <t>890 - Channel</t>
  </si>
  <si>
    <t>891 - Channel</t>
  </si>
  <si>
    <t>892 - Channel</t>
  </si>
  <si>
    <t>893 - Channel</t>
  </si>
  <si>
    <t>894 - Channel</t>
  </si>
  <si>
    <t>895 - Channel</t>
  </si>
  <si>
    <t>896 - Channel</t>
  </si>
  <si>
    <t>897 - Channel</t>
  </si>
  <si>
    <t>898 - Channel</t>
  </si>
  <si>
    <t>899 - Channel</t>
  </si>
  <si>
    <t>900 - Channel</t>
  </si>
  <si>
    <t>901 - Channel</t>
  </si>
  <si>
    <t>902 - Channel</t>
  </si>
  <si>
    <t>903 - Channel</t>
  </si>
  <si>
    <t>904 - Channel</t>
  </si>
  <si>
    <t>https://drive.google.com/drive/u/0/folders/1os17jCor7gWeZWhOOoiNb5aOkReLi_F2</t>
  </si>
  <si>
    <t xml:space="preserve">Whatsapp ping when the speaker is talking - can't be removed. Removed other pings when Jonah was speaking </t>
  </si>
  <si>
    <t>https://drive.google.com/open?id=1AC_N9cUbYH2tv_fMI5avdzCAR6L0LfoI</t>
  </si>
  <si>
    <t>905 - Channel</t>
  </si>
  <si>
    <t>906 - Channel</t>
  </si>
  <si>
    <t>907 - Channel</t>
  </si>
  <si>
    <t>908 - Channel</t>
  </si>
  <si>
    <t>909 - Channel</t>
  </si>
  <si>
    <t>910 - Channel</t>
  </si>
  <si>
    <t>911 - Channel</t>
  </si>
  <si>
    <t>912 - Channel</t>
  </si>
  <si>
    <t>913 - Channel</t>
  </si>
  <si>
    <t>914 - Channel</t>
  </si>
  <si>
    <t>915 - Channel</t>
  </si>
  <si>
    <t>916 - Channel</t>
  </si>
  <si>
    <t>917 - Channel</t>
  </si>
  <si>
    <t>https://drive.google.com/drive/u/0/folders/1iyKHTdkO816utNTe7jUBEgU5mEmJ7QYp</t>
  </si>
  <si>
    <t>00:20:38:18</t>
  </si>
  <si>
    <t>https://drive.google.com/open?id=1kkGndewmodY30wir60L8_l3H2a-VRli7</t>
  </si>
  <si>
    <t>918 - Channel</t>
  </si>
  <si>
    <t>919 - Channel</t>
  </si>
  <si>
    <t>920 - Channel</t>
  </si>
  <si>
    <t>921 - Channel</t>
  </si>
  <si>
    <t>https://drive.google.com/drive/u/3/folders/1ZOcv6ailXwPhNkINfxWpTs-PtRksqZQC</t>
  </si>
  <si>
    <t>https://drive.google.com/open?id=1EVtZiCIXmSYs72II4_NFGsF5sM4jiNEd</t>
  </si>
  <si>
    <t>922 - Channel</t>
  </si>
  <si>
    <t>923 - Channel</t>
  </si>
  <si>
    <t>924 - Channel</t>
  </si>
  <si>
    <t>925 - Channel</t>
  </si>
  <si>
    <t>926 - Channel</t>
  </si>
  <si>
    <t>https://drive.google.com/drive/u/0/folders/1cbArxMenmlgdix4Q4Bl0OYlP4YEzmXhJ</t>
  </si>
  <si>
    <t xml:space="preserve">Speakers audio crackels throughout </t>
  </si>
  <si>
    <t>https://drive.google.com/file/d/1_Sqicrt54NN_gY_tvI-QlGnzVxQeIynG/view</t>
  </si>
  <si>
    <t>927 - Channel</t>
  </si>
  <si>
    <t>928 - Channel</t>
  </si>
  <si>
    <t>929 - Channel</t>
  </si>
  <si>
    <t>https://drive.google.com/drive/u/0/folders/1CAKMErFHlfoS_gs733qaCagbJD5lltxW</t>
  </si>
  <si>
    <t>11:02 - Had to cut out a small section @5:37 due to a lot of internet lag on one end</t>
  </si>
  <si>
    <t>https://drive.google.com/open?id=1AHf82-vpXqLSG7KidPEHjkYSrklFhYdM</t>
  </si>
  <si>
    <t>930 - Channel</t>
  </si>
  <si>
    <t>931 - Channel</t>
  </si>
  <si>
    <t>932 - Channel</t>
  </si>
  <si>
    <t>https://drive.google.com/drive/u/0/folders/1O_PzFy_uNyFAc8L4eZyGZNqCKYpuEVjd</t>
  </si>
  <si>
    <t>https://drive.google.com/open?id=1pP-6qG1Q35QUctTVXheEXctS0Sa5427P</t>
  </si>
  <si>
    <t>933 - Channel</t>
  </si>
  <si>
    <t>934 - Channel</t>
  </si>
  <si>
    <t>935 - Channel</t>
  </si>
  <si>
    <t>936 - Channel</t>
  </si>
  <si>
    <t>https://drive.google.com/drive/folders/18a6_MBMtivSMv4ez4dk1mhNsuxn0L3-h</t>
  </si>
  <si>
    <t>re-record updated
30 secs over</t>
  </si>
  <si>
    <t>https://drive.google.com/open?id=1ooM6UCz91OLD-jeG8CHp8TXagnhJW4dY</t>
  </si>
  <si>
    <t>937 - Channel</t>
  </si>
  <si>
    <t>938 - Channel</t>
  </si>
  <si>
    <t>939 - Channel</t>
  </si>
  <si>
    <t>940 - Channel</t>
  </si>
  <si>
    <t>941 - Channel</t>
  </si>
  <si>
    <t>942 - Channel</t>
  </si>
  <si>
    <t>943 - Channel</t>
  </si>
  <si>
    <t>19:58 - Small trims throughout to hide video lag. One large edit @19:36 due to massive lag in answers and audio dostrotion. The section had to be removed for the narrative to remian coherant.</t>
  </si>
  <si>
    <t>https://drive.google.com/open?id=1mWGP1-TeQ0SA1QKGOk6DiDBzE9AQxVPk</t>
  </si>
  <si>
    <t>944 - Channel</t>
  </si>
  <si>
    <t>945 - Channel</t>
  </si>
  <si>
    <t>946 - Channel</t>
  </si>
  <si>
    <t>947 - Channel</t>
  </si>
  <si>
    <t>948 - Channel</t>
  </si>
  <si>
    <t>949 - Channel</t>
  </si>
  <si>
    <t>950 - Channel</t>
  </si>
  <si>
    <t>https://drive.google.com/drive/u/0/folders/12-Qr1-reGo9XBmY2VdtH7dT8W-0YvO2n</t>
  </si>
  <si>
    <t>https://drive.google.com/open?id=1ZFc02vNBnMlozdk5Le9PFXZv515UKlwy</t>
  </si>
  <si>
    <t>951 - Channel</t>
  </si>
  <si>
    <t>952 - Channel</t>
  </si>
  <si>
    <t>953 - Channel</t>
  </si>
  <si>
    <t>954 - Channel</t>
  </si>
  <si>
    <t>https://drive.google.com/drive/u/0/folders/1TpmFFiZY8TjyeNNQLZRXWshMt6bp_rjH</t>
  </si>
  <si>
    <t>Some out of sync audio for Stephen at the beginning. Mostly fixed. 
Cut to 1 cams when I needed to cut sections</t>
  </si>
  <si>
    <t>https://drive.google.com/open?id=1iwzMSXfGgN6E_m55C_QBphadV5SZPmwO</t>
  </si>
  <si>
    <t>955 - Channel</t>
  </si>
  <si>
    <t>956 - Channel</t>
  </si>
  <si>
    <t>957 - Channel</t>
  </si>
  <si>
    <t>https://drive.google.com/drive/u/0/folders/1tJC0oPgouiNXHifG_8mnpmfjQ27eh6S6</t>
  </si>
  <si>
    <t xml:space="preserve">Small cuts due to video lag @00:01:56, @00:03:15, @00:04:12, @00:05:18, @00:09:56 and also to reduce running time. </t>
  </si>
  <si>
    <t>https://drive.google.com/open?id=1-VFmXTWU2OcnL_WkLDc8dATyNS60V1Yy</t>
  </si>
  <si>
    <t>958 - Channel</t>
  </si>
  <si>
    <t>959 - Channel</t>
  </si>
  <si>
    <t>960 - Channel</t>
  </si>
  <si>
    <t>https://drive.google.com/drive/u/0/folders/19tCxe3_oEojQXg_EQUtW0r47vRjdS3h8</t>
  </si>
  <si>
    <t xml:space="preserve">Channel updated. Ther is no feather used on her. its her camera in general  </t>
  </si>
  <si>
    <t>Wrong colour lower thirds, old header and masking issue from 1:01 on the left hand speaker. Remove feather to fix.</t>
  </si>
  <si>
    <t>https://drive.google.com/open?id=1yZ5rCu3Cek1cz_B2jMcDSK-lqTBlhrke</t>
  </si>
  <si>
    <t>Event</t>
  </si>
  <si>
    <t>961 - Channel</t>
  </si>
  <si>
    <t>Description</t>
  </si>
  <si>
    <t>962 - Channel</t>
  </si>
  <si>
    <t>Notes</t>
  </si>
  <si>
    <t>1 - Channel 5</t>
  </si>
  <si>
    <t>963 - Channel</t>
  </si>
  <si>
    <t>964 - Channel</t>
  </si>
  <si>
    <t>2 - Channel 5</t>
  </si>
  <si>
    <t>https://drive.google.com/drive/u/0/folders/1uGx78doQJQEjY6VYsSjqWaTZ2InlgATT</t>
  </si>
  <si>
    <t>3 - Channel 5</t>
  </si>
  <si>
    <t>https://drive.google.com/file/d/1X3S4qiVmy1_MUR5C4eyqd1js_k9BLak3/view</t>
  </si>
  <si>
    <t>4 - Channel 5</t>
  </si>
  <si>
    <t>Web Summit 2016</t>
  </si>
  <si>
    <t>Gary Vaynerchuk, VaynerMedia</t>
  </si>
  <si>
    <t>965 - Channel</t>
  </si>
  <si>
    <t>https://drive.google.com/open?id=19Viqr_MhIDHIriuVYvBcKNpxyfQiOUp-</t>
  </si>
  <si>
    <t>966 - Channel</t>
  </si>
  <si>
    <t>5 - Channel 5</t>
  </si>
  <si>
    <t>967 - Channel</t>
  </si>
  <si>
    <t>6 - Channel 5</t>
  </si>
  <si>
    <t>https://drive.google.com/drive/u/0/folders/16Lq7KremRblAU77SHMWTiH_kLAspFbcZ</t>
  </si>
  <si>
    <t>7 - Channel 5</t>
  </si>
  <si>
    <t>Collision 2019</t>
  </si>
  <si>
    <t>Seth Rogen, Houseplant</t>
  </si>
  <si>
    <t>Had to cut out 2 mins because footage was lagging. Also cut to 1 cam view to cover a jump cut</t>
  </si>
  <si>
    <t>https://drive.google.com/file/d/1gOZKMmkg2U0BldyzzMnYfqDEeBeJb2Li/view</t>
  </si>
  <si>
    <t>https://drive.google.com/open?id=1P007xrGWEokHm8pZ4fXwf3MzX9EmAiuB</t>
  </si>
  <si>
    <t>968 - Channel</t>
  </si>
  <si>
    <t>8 - Channel 5</t>
  </si>
  <si>
    <t>969 - Channel</t>
  </si>
  <si>
    <t>9 - Channel 5</t>
  </si>
  <si>
    <t>970 - Channel</t>
  </si>
  <si>
    <t>10 - Channel 5</t>
  </si>
  <si>
    <t>Alexander Wang, Alexander Wang</t>
  </si>
  <si>
    <t>971 - Channel</t>
  </si>
  <si>
    <t>https://drive.google.com/open?id=1xzOgPuRTRZ847Bqf3DDBZhyJB8Z9T7ob</t>
  </si>
  <si>
    <t>972 - Channel</t>
  </si>
  <si>
    <t>11 - Channel 5</t>
  </si>
  <si>
    <t>973 - Channel</t>
  </si>
  <si>
    <t>12 - Channel 5</t>
  </si>
  <si>
    <t>974 - Channel</t>
  </si>
  <si>
    <t>13 - Channel 5</t>
  </si>
  <si>
    <t>14 - Channel 5</t>
  </si>
  <si>
    <t>975 - Channel</t>
  </si>
  <si>
    <t>Web Summit 2017</t>
  </si>
  <si>
    <t>Al Gore, Generation Investment Management</t>
  </si>
  <si>
    <t>https://drive.google.com/open?id=17w0w0T9hDDdpnIalIjTqk74yPicVGGll</t>
  </si>
  <si>
    <t>976 - Channel</t>
  </si>
  <si>
    <t>15 - Channel 5</t>
  </si>
  <si>
    <t>16 - Channel 5</t>
  </si>
  <si>
    <t>977 - Channel</t>
  </si>
  <si>
    <t>17 - Channel 5</t>
  </si>
  <si>
    <t>978 - Channel</t>
  </si>
  <si>
    <t>18 - Channel 5</t>
  </si>
  <si>
    <t>Web Summit 2018</t>
  </si>
  <si>
    <t>Lisa Jackson, Apple</t>
  </si>
  <si>
    <t>https://drive.google.com/open?id=1SsxBCuK2Kg3W2ltulsEDfu6QDgb-EgRk</t>
  </si>
  <si>
    <t>979 - Channel</t>
  </si>
  <si>
    <t>19 - Channel 5</t>
  </si>
  <si>
    <t>https://drive.google.com/drive/u/0/folders/1dNicnbBrrwOhLanaxpEkGdEYv6w0UmZI</t>
  </si>
  <si>
    <t>20 - Channel 5</t>
  </si>
  <si>
    <t>21 - Channel 5</t>
  </si>
  <si>
    <t>15:02 lenght. Trimmed a lot of akward talk at the start and end of the video</t>
  </si>
  <si>
    <t>https://drive.google.com/open?id=1vKUjhZ__mvHU5QdITyxKkiR26PqIsH37</t>
  </si>
  <si>
    <t>22 - Channel 5</t>
  </si>
  <si>
    <t>Neil Shen, Sequoia Capital</t>
  </si>
  <si>
    <t>980 - Channel</t>
  </si>
  <si>
    <t>https://drive.google.com/open?id=1NlrEjr6L2b6Z6LyS_OIWzNrYDhIMmtwi</t>
  </si>
  <si>
    <t>981 - Channel</t>
  </si>
  <si>
    <t>23 - Channel 5</t>
  </si>
  <si>
    <t>24 - Channel 5</t>
  </si>
  <si>
    <t>982 - Channel</t>
  </si>
  <si>
    <t>25 - Channel 5</t>
  </si>
  <si>
    <t>https://drive.google.com/drive/u/0/folders/1ZYDSl_4yiiSkaaUG8JVkJx0xons--ucq</t>
  </si>
  <si>
    <t>26 - Channel 5</t>
  </si>
  <si>
    <t>Web Summit 2014</t>
  </si>
  <si>
    <t>Peter Thiel, Founders Fund</t>
  </si>
  <si>
    <t>https://drive.google.com/open?id=1NrAQp4Ot4pvqf1vUvjcoDz4VW1JuUsXK</t>
  </si>
  <si>
    <t>Title</t>
  </si>
  <si>
    <t>Speaker</t>
  </si>
  <si>
    <t>https://drive.google.com/open?id=1kAgkdBSLYJth8f6JX8IdbTqpcZ-SQKOg</t>
  </si>
  <si>
    <t>A better world with AI</t>
  </si>
  <si>
    <t>Young Sohn</t>
  </si>
  <si>
    <t>27 - Channel 5</t>
  </si>
  <si>
    <t>983 - Channel</t>
  </si>
  <si>
    <t>28 - Channel 5</t>
  </si>
  <si>
    <t>https://drive.google.com/open?id=1IgiDs6GwiAGSRupabCreK5rCtSTOzoN-</t>
  </si>
  <si>
    <t>984 - Channel</t>
  </si>
  <si>
    <t>29 - Channel 5</t>
  </si>
  <si>
    <t>A new way forward for self-driving cars</t>
  </si>
  <si>
    <t>https://drive.google.com/drive/u/0/folders/1ZG6KzRFinSwNifh25WRbwspu69sss3bJ</t>
  </si>
  <si>
    <t>John Krafcik</t>
  </si>
  <si>
    <t>30 - Channel 5</t>
  </si>
  <si>
    <t>Web Summit 2015</t>
  </si>
  <si>
    <t>https://drive.google.com/open?id=1pSsLyceTWfAfSyUzwaOCnwc5DjQy8zBX</t>
  </si>
  <si>
    <t>Ed Catmull, Pixar</t>
  </si>
  <si>
    <t>https://drive.google.com/open?id=1HKOz0uHrtC9oTngzM4oBdxzoSgJg9eKA</t>
  </si>
  <si>
    <t>How to pitch</t>
  </si>
  <si>
    <t>Bradley Howitz</t>
  </si>
  <si>
    <t>https://drive.google.com/open?id=1_swBBp_dUIImlKZNplhEnE7jQL9sGH_w</t>
  </si>
  <si>
    <t>https://drive.google.com/open?id=1jbNIenMl5jzfM4sM-CONRVVplHED_KUp</t>
  </si>
  <si>
    <t>31 - Channel 5</t>
  </si>
  <si>
    <t>985 - Channel</t>
  </si>
  <si>
    <t>32 - Channel 5</t>
  </si>
  <si>
    <t>Brendan Iribe in conversation with Peter Rubin.</t>
  </si>
  <si>
    <t>Brendan Iribe</t>
  </si>
  <si>
    <t>33 - Channel 5</t>
  </si>
  <si>
    <t>986 - Channel</t>
  </si>
  <si>
    <t>https://drive.google.com/open?id=17zxKZjt4as5WLP0SGalBoID599IPN1J6</t>
  </si>
  <si>
    <t>34 - Channel 5</t>
  </si>
  <si>
    <t>Change is coming</t>
  </si>
  <si>
    <t>Mark Hurd</t>
  </si>
  <si>
    <t>987 - Channel</t>
  </si>
  <si>
    <t>35 - Channel 5</t>
  </si>
  <si>
    <t>https://drive.google.com/open?id=1cPrEeH2vUGDXOYm6MNNPKVRe4HnslS2u</t>
  </si>
  <si>
    <t>Nick Bostrom, Future of Humanity Institute, Oxford</t>
  </si>
  <si>
    <t>https://drive.google.com/drive/u/0/folders/1GevhjU7M5DzWaatEaMUPlcPf_OZkksW3</t>
  </si>
  <si>
    <t>https://drive.google.com/open?id=1Z2-kG4zf9mkktsw9VgoS0T2mwkKcZm87</t>
  </si>
  <si>
    <t>Collision 2015 - Marketing Stage - Gary Briggs, Facebook &amp; Alex Kantrowitz, AdAge</t>
  </si>
  <si>
    <t>Gary Briggs, Facebook &amp; Alex Kantrowitz, AdAge</t>
  </si>
  <si>
    <t>36 - Channel 5</t>
  </si>
  <si>
    <t>https://drive.google.com/open?id=1UhxayMlL8VOiIMwNZWWSVUXm9RnmBNXM</t>
  </si>
  <si>
    <t>Main issues are that Rishi has a generally poor quality feed 
As he is standing he moves left and right regularly throughout the talk. 
Audio and video were slightly out of sync but I’ve mostly fixed that.
Rishi has a lot of lag for his first answer but it progressively gets better
Too long?</t>
  </si>
  <si>
    <t>First 2m lag, the mod says the old title</t>
  </si>
  <si>
    <t>https://drive.google.com/open?id=1PCY9eRl-2PnDPhHqZPFDZtVY4EiP5rp6</t>
  </si>
  <si>
    <t>37 - Channel 5</t>
  </si>
  <si>
    <t>Connecting the world</t>
  </si>
  <si>
    <t>988 - Channel</t>
  </si>
  <si>
    <t>Mike Schroepfer</t>
  </si>
  <si>
    <t>38 - Channel 5</t>
  </si>
  <si>
    <t>https://drive.google.com/open?id=1NLKxP3JLMSR4UQNNRZDjHtQIyUGFHuiF</t>
  </si>
  <si>
    <t>989 - Channel</t>
  </si>
  <si>
    <t>39 - Channel 5</t>
  </si>
  <si>
    <t>Tim Berners-Lee, W3</t>
  </si>
  <si>
    <t>Continuing to ignite a cultural revolution</t>
  </si>
  <si>
    <t>Elie Seidman, JP Mangalindan</t>
  </si>
  <si>
    <t>990 - Channel</t>
  </si>
  <si>
    <t>https://drive.google.com/file/d/1b9bC-CWd7WCg0UiYJbWq8i-rz_MDhZf7/view</t>
  </si>
  <si>
    <t>https://drive.google.com/open?id=1kyhmsbFcIRjFOSaKqGxel7bOTENMnD4I</t>
  </si>
  <si>
    <t>991 - Channel</t>
  </si>
  <si>
    <t>40 - Channel 5</t>
  </si>
  <si>
    <t>Creativity and technology</t>
  </si>
  <si>
    <t>https://drive.google.com/drive/u/3/folders/0APQYI2bgcQveUk9PVA</t>
  </si>
  <si>
    <t>Joseph Gordon-Levitt</t>
  </si>
  <si>
    <t>41 - Channel 5</t>
  </si>
  <si>
    <t>https://drive.google.com/open?id=1_SOYa2b0vgCRg6ySbP6y2ZY8HmDJF--E</t>
  </si>
  <si>
    <t>https://drive.google.com/open?id=1SdJYdFHaE66Vt_6AXXbjSYf_wriQcY0v</t>
  </si>
  <si>
    <t>Designing security and safety for billions</t>
  </si>
  <si>
    <t>Alex Stamos</t>
  </si>
  <si>
    <t>992 - Channel</t>
  </si>
  <si>
    <t>42 - Channel 5</t>
  </si>
  <si>
    <t>https://drive.google.com/open?id=1wgNK-_yVS8tGdk4ZgYIXjCG8jkAaqh_h</t>
  </si>
  <si>
    <t>993 - Channel</t>
  </si>
  <si>
    <t>43 - Channel 5</t>
  </si>
  <si>
    <t>Disrupting defense- How tech can, and should, support national security</t>
  </si>
  <si>
    <t>Caitlyn Jenner, Caitlyn Jenner</t>
  </si>
  <si>
    <t>Palmer Luckey</t>
  </si>
  <si>
    <t>994 - Channel</t>
  </si>
  <si>
    <t>https://drive.google.com/open?id=1PZ998--DeqW1oBXBlQkgNrAVF9AtKG9y</t>
  </si>
  <si>
    <t>995 - Channel</t>
  </si>
  <si>
    <t>Fashion - a user experience</t>
  </si>
  <si>
    <t>https://drive.google.com/open?id=1NYyXB2KxVdsXRNWfMG2GDi_FkqiP7y8t</t>
  </si>
  <si>
    <t>Alexander Wang</t>
  </si>
  <si>
    <t>https://drive.google.com/drive/u/0/folders/1S23SSsNEkRtidcIWW-W2DYgW-yYWqErM</t>
  </si>
  <si>
    <t>https://drive.google.com/open?id=11qRSC6JPBKbyejTAN6np5DHY0oabDJ0A</t>
  </si>
  <si>
    <t>44 - Channel 5</t>
  </si>
  <si>
    <t>Finding your beat</t>
  </si>
  <si>
    <t>Had to switch to solo cams for ending to hide lag</t>
  </si>
  <si>
    <t>Timbaland</t>
  </si>
  <si>
    <t>https://drive.google.com/open?id=1sW8aVcveBsSh3WPyo3hba46uH7xwGh10</t>
  </si>
  <si>
    <t>45 - Channel 5</t>
  </si>
  <si>
    <t>https://drive.google.com/open?id=1ih3Ojw2EhcGsKhII48dbNbao12Vfxlc3</t>
  </si>
  <si>
    <t>46 - Channel 5</t>
  </si>
  <si>
    <t>996 - Channel</t>
  </si>
  <si>
    <t>From the ring to the boardroom</t>
  </si>
  <si>
    <t>Paul Levesque</t>
  </si>
  <si>
    <t>47 - Channel 5</t>
  </si>
  <si>
    <t>https://drive.google.com/open?id=112rx3yIper6eaOSQoP4tsdxclq1QXnvi</t>
  </si>
  <si>
    <t>997 - Channel</t>
  </si>
  <si>
    <t>How innovation facilitates</t>
  </si>
  <si>
    <t>https://drive.google.com/open?id=1a9y4vwOukJrz67WsEQztO3n_J-v4T40H</t>
  </si>
  <si>
    <t>998 - Channel</t>
  </si>
  <si>
    <t>In french, no 'enjoying the show' lower thirds and has a few old promo lower thirds. Also don't know who the guy is!</t>
  </si>
  <si>
    <t>https://drive.google.com/drive/folders/1W6bCaXBPH2vXvKkLviVVPXXEtVEKWTXe</t>
  </si>
  <si>
    <t>48 - Channel 5</t>
  </si>
  <si>
    <t>https://drive.google.com/open?id=1NE0Rji7CuXnxy0Q-dRr_e8po4KMN3ZSW</t>
  </si>
  <si>
    <t>49 - Channel 5</t>
  </si>
  <si>
    <t>How tech has us hooked</t>
  </si>
  <si>
    <t>Tristan Harris, Jim Steyer, Alyssa Newcombe</t>
  </si>
  <si>
    <t>50 - Channel 5</t>
  </si>
  <si>
    <t>https://drive.google.com/open?id=1WKuUMK5_mS_VWLFbpEhCb8p9Jf0DL-Bm</t>
  </si>
  <si>
    <t>Padmasree Warrior, NIO</t>
  </si>
  <si>
    <t>https://drive.google.com/file/d/15N-YK_TOClsfwLxaLUK_zC-DKmnC0ZhW/view</t>
  </si>
  <si>
    <t>https://drive.google.com/open?id=1CKHNEEMJU56MXYMCCwYtVXebwzebtLyv</t>
  </si>
  <si>
    <t>999 - Channel</t>
  </si>
  <si>
    <t>How to create awe</t>
  </si>
  <si>
    <t>Mike McGee</t>
  </si>
  <si>
    <t>https://drive.google.com/open?id=1mh4n5SXui2hxYuynEQ4ow4kmyro-eQt9</t>
  </si>
  <si>
    <t>51 - Channel 5</t>
  </si>
  <si>
    <t>How to create the next big thing</t>
  </si>
  <si>
    <t>Tom Cortese</t>
  </si>
  <si>
    <t>1000 - Channel</t>
  </si>
  <si>
    <t>52 - Channel 5</t>
  </si>
  <si>
    <t>https://drive.google.com/open?id=1RQZAX9455sMXHMgPPL8Mst9plOXPoJPh</t>
  </si>
  <si>
    <t>53 - Channel 5</t>
  </si>
  <si>
    <t>1001 - Channel</t>
  </si>
  <si>
    <t>How to prevent a cyberwar</t>
  </si>
  <si>
    <t>Jared Cohen</t>
  </si>
  <si>
    <t>https://drive.google.com/drive/folders/12UlNct7OyPsyp2uoRmFwBKthPWej14JJ</t>
  </si>
  <si>
    <t>https://drive.google.com/open?id=1pPzm_IbA3Sc2VuKUaO9cabablSMWiPrL</t>
  </si>
  <si>
    <t>54 - Channel 5</t>
  </si>
  <si>
    <t>Moderator slouches back during half the talk, looks very unprofessional - lots of lag from both moderator and speaker, tried to hide and cut as much of it</t>
  </si>
  <si>
    <t>55 - Channel 5</t>
  </si>
  <si>
    <t>How to win your own grand prix</t>
  </si>
  <si>
    <t>Franz Heukamp, Mariana Porley, Nico Rosberg, Matt Gooderick</t>
  </si>
  <si>
    <t>https://drive.google.com/open?id=1RKQREOavUhl1qvf-2jfs3xzo5X2_K7VG</t>
  </si>
  <si>
    <t>https://drive.google.com/open?id=1qFjbyu3qmdjYUBfX0VfR8z6lP3HSA65G</t>
  </si>
  <si>
    <t>56 - Channel 5</t>
  </si>
  <si>
    <t>Stephanie McMahon, WWE</t>
  </si>
  <si>
    <t>1002 - Channel</t>
  </si>
  <si>
    <t>Innovating at scale</t>
  </si>
  <si>
    <t>https://drive.google.com/open?id=1py7Ou_e0WDkbQwJvUzPnp86NafZgRidF</t>
  </si>
  <si>
    <t>Gillian Tans</t>
  </si>
  <si>
    <t>1003 - Channel</t>
  </si>
  <si>
    <t>https://drive.google.com/open?id=1KZCutb3qBhviEcN4QI-q_OVxbH8wlPuH</t>
  </si>
  <si>
    <t>57 - Channel 5</t>
  </si>
  <si>
    <t>1004 - Channel</t>
  </si>
  <si>
    <t>Inside lyft's rising share of the ridesharing market</t>
  </si>
  <si>
    <t>Jon Zimmer</t>
  </si>
  <si>
    <t>58 - Channel 5</t>
  </si>
  <si>
    <t>https://drive.google.com/open?id=10UF59S_HP1AhkH8ziWS1nzU9Qoa6fpbP</t>
  </si>
  <si>
    <t>1005 - Channel</t>
  </si>
  <si>
    <t>59 - Channel 5</t>
  </si>
  <si>
    <t>Is big tech the new big oil</t>
  </si>
  <si>
    <t>Ben van Beurden</t>
  </si>
  <si>
    <t>1006 - Channel</t>
  </si>
  <si>
    <t>https://drive.google.com/open?id=1wmlmNeZFJxqpncRk44Lyrv00EcDt_xPP</t>
  </si>
  <si>
    <t>60 - Channel 5</t>
  </si>
  <si>
    <t>Paige VanZant, UFC</t>
  </si>
  <si>
    <t>https://drive.google.com/drive/u/0/folders/1RxTatyV5hRKtJaFsKu-1eydCNLSE00HJ</t>
  </si>
  <si>
    <t>Is entrepeneurship in crisis?</t>
  </si>
  <si>
    <t>Tobias Lutke</t>
  </si>
  <si>
    <t>https://drive.google.com/open?id=1-BfHCK5qfb5__UBKVQ7thY8UUIhX6-co</t>
  </si>
  <si>
    <t>https://drive.google.com/open?id=1JWWVyGGP84vfJfEKHJVhCdzShtw_6Bcr</t>
  </si>
  <si>
    <t>Cut out Red Bull plug @00:00:44. Smoothed out an odd cut @00:06:27</t>
  </si>
  <si>
    <t>https://drive.google.com/open?id=1lEMoQJDe2Ss2NHJ9qXXvFo3c35nEYvZr</t>
  </si>
  <si>
    <t>61 - Channel 5</t>
  </si>
  <si>
    <t>1007 - Channel</t>
  </si>
  <si>
    <t>Life after Twitter</t>
  </si>
  <si>
    <t>Ev Williams</t>
  </si>
  <si>
    <t>62 - Channel 5</t>
  </si>
  <si>
    <t>https://drive.google.com/open?id=1aRZez1J0hIcDa3KuRdHq5FkXwxaOaSQi</t>
  </si>
  <si>
    <t>1008 - Channel</t>
  </si>
  <si>
    <t>Marketing mid disruption</t>
  </si>
  <si>
    <t>Linda Boff</t>
  </si>
  <si>
    <t>63 - Channel 5</t>
  </si>
  <si>
    <t>https://drive.google.com/open?id=1z24kEAgZ8Rgz_fQPb7K-XKJJ7BZGvKYy</t>
  </si>
  <si>
    <t>1009 - Channel</t>
  </si>
  <si>
    <t>Automatic</t>
  </si>
  <si>
    <t>64 - Channel 5</t>
  </si>
  <si>
    <t>Matt Mullenweg</t>
  </si>
  <si>
    <t>https://drive.google.com/open?id=1_TNmXMbp7Z3E2ockr5bEOdCSIkzfZT6d</t>
  </si>
  <si>
    <t>https://drive.google.com/open?id=1MZNo7KP6PCwINossPnA1ur4zEgZJtNN6</t>
  </si>
  <si>
    <t>Ev Williams, Medium</t>
  </si>
  <si>
    <t>Meet the virtual human</t>
  </si>
  <si>
    <t>Daniel Seah</t>
  </si>
  <si>
    <t>clearly edited, grainy footage - WE</t>
  </si>
  <si>
    <t>https://drive.google.com/open?id=12q7_YThds14mCKzgjDbGpkTDUsR_IIrp</t>
  </si>
  <si>
    <t>https://drive.google.com/open?id=19AMfrSLJMoRUqTZq1hbkjkAeeN27pH-w</t>
  </si>
  <si>
    <t>1010 - Channel</t>
  </si>
  <si>
    <t>Mobiles next evolution</t>
  </si>
  <si>
    <t>Carl Pei</t>
  </si>
  <si>
    <t>65 - Channel 5</t>
  </si>
  <si>
    <t>https://drive.google.com/open?id=1cPq0DHKflf6AbkepgqzLz2hrLRe52byy</t>
  </si>
  <si>
    <t>1011 - Channel</t>
  </si>
  <si>
    <t>66 - Channel 5</t>
  </si>
  <si>
    <t>1012 - Channel</t>
  </si>
  <si>
    <t>Capital China</t>
  </si>
  <si>
    <t>Neil Shen Sequoia</t>
  </si>
  <si>
    <t>67 - Channel 5</t>
  </si>
  <si>
    <t>Sheryl Sandberg, Facebook</t>
  </si>
  <si>
    <t>https://drive.google.com/open?id=1-FsPpYt1WWmUoBg2ia9lv_r-iTU6kQqM</t>
  </si>
  <si>
    <t>https://drive.google.com/open?id=1kYGQmFytvzBo_joBIyEHAM5_KyxHBk1w</t>
  </si>
  <si>
    <t>1013 - Channel</t>
  </si>
  <si>
    <t>New realities</t>
  </si>
  <si>
    <t>Mogens Lykketoft, Roberto Azevêdo, José Manuel Durão Barroso, Tom Nuttall.mp4</t>
  </si>
  <si>
    <t>https://drive.google.com/drive/u/0/folders/1n4NsXQ56eh6LChvHbdZB7hLdK1YWPyDC</t>
  </si>
  <si>
    <t>https://drive.google.com/open?id=1y_y8N4VsptkGfL-NBJDOj--AEF9JOwgb</t>
  </si>
  <si>
    <t>68 - Channel 5</t>
  </si>
  <si>
    <t>Anthony Scaramucci's connection is quite poor and also reduced in resolution. It would be extremly difficult and might make it worse to remove all of the freezes in his video. @00:04:48 Brittany's connection is bad but cannot be avoided as the audio distorts very badly. This also happens @00:05:45, @ 00:13:02 @00:14:28@00:14:47. Lastly @00:15:16 there was a lot of distortion and speakers talking over one another so I cut out that few seconds to clean up the end.</t>
  </si>
  <si>
    <t>https://drive.google.com/open?id=11noOhlJxdr4SGn5ntIPH4h8-G18EVtZr</t>
  </si>
  <si>
    <t>Nikesh Arora</t>
  </si>
  <si>
    <t>69 - Channel 5</t>
  </si>
  <si>
    <t>https://drive.google.com/open?id=1oJp5MgelsCfTezvembMoNfj_MAzY_Zf_</t>
  </si>
  <si>
    <t>1014 - Channel</t>
  </si>
  <si>
    <t>70 - Channel 5</t>
  </si>
  <si>
    <t>Partner, thrive or die</t>
  </si>
  <si>
    <t>Peggy Johnson, Kirt McMaster</t>
  </si>
  <si>
    <t>71 - Channel 5</t>
  </si>
  <si>
    <t>https://drive.google.com/open?id=1wcjhOVHk29Z7qQhYwNyyYdjWpY8hu6mB</t>
  </si>
  <si>
    <t>1015 - Channel</t>
  </si>
  <si>
    <t>Keaton Keller, Gas Media Group</t>
  </si>
  <si>
    <t>Razer focused on mobile gaming</t>
  </si>
  <si>
    <t>Min-Liang Tan</t>
  </si>
  <si>
    <t>https://drive.google.com/open?id=1_REzCOWCN7-SB08nsLV5Lsu3Hr6J_BaX</t>
  </si>
  <si>
    <t>https://drive.google.com/open?id=16odj2X4BqRaUL7iWSZhNN2Cnyo3DhO6l</t>
  </si>
  <si>
    <t>1016 - Channel</t>
  </si>
  <si>
    <t>72 - Channel 5</t>
  </si>
  <si>
    <t>The art of tidiness at work</t>
  </si>
  <si>
    <t>Marie Kondo</t>
  </si>
  <si>
    <t>73 - Channel 5</t>
  </si>
  <si>
    <t>1017 - Channel</t>
  </si>
  <si>
    <t>https://drive.google.com/open?id=1iNrJZHX7ViSyOwgWPHG4hkGFICm79Io9</t>
  </si>
  <si>
    <t>74 - Channel 5</t>
  </si>
  <si>
    <t>The Eu after Brexit</t>
  </si>
  <si>
    <t>Michel Barnier</t>
  </si>
  <si>
    <t>1018 - Channel</t>
  </si>
  <si>
    <t>https://drive.google.com/open?id=1OP7weDO5Z7HeCJASf3K9kKtIH2ZKu8Be</t>
  </si>
  <si>
    <t>75 - Channel 5</t>
  </si>
  <si>
    <t>RISE 2018</t>
  </si>
  <si>
    <t>Tan Hooi Ling, Grab</t>
  </si>
  <si>
    <t>https://drive.google.com/drive/u/0/folders/1mC0-syD_7fDVM829Labe3H04iAHtJGcr</t>
  </si>
  <si>
    <t>The evolution of conversation</t>
  </si>
  <si>
    <t>Stan Chudnovsky</t>
  </si>
  <si>
    <t>https://drive.google.com/open?id=1vMou-fv-HqCt5O5ZE_8crtATZ7CWVhRO</t>
  </si>
  <si>
    <t>https://drive.google.com/open?id=1p5YcTn_OYyQuvRpBfgtcvPW9pEsWNARZ</t>
  </si>
  <si>
    <t>The future for America: Tech, politics, and civil rights</t>
  </si>
  <si>
    <t>76 - Channel 5</t>
  </si>
  <si>
    <t>Susan Herman, Andrew Yang, Cenk Uygur</t>
  </si>
  <si>
    <t>There is simultaneious lag on both speakers from 07:50 to 8:25. The ending is quite abrupt</t>
  </si>
  <si>
    <t>https://drive.google.com/open?id=1zASwVdXeIvYXV2tdbuDWmdiW1kjarK3g</t>
  </si>
  <si>
    <t>https://drive.google.com/open?id=1pDwxEJJv3WM47InqQ7vKZTfxg1CDWCwv</t>
  </si>
  <si>
    <t>77 - Channel 5</t>
  </si>
  <si>
    <t>1019 - Channel</t>
  </si>
  <si>
    <t>The future of the worker</t>
  </si>
  <si>
    <t>Andrew McAfee</t>
  </si>
  <si>
    <t>78 - Channel 5</t>
  </si>
  <si>
    <t>https://drive.google.com/open?id=1lukE5muQ63PdF5qG8xtqwgG5BaQ7PZ5g</t>
  </si>
  <si>
    <t>79 - Channel 5</t>
  </si>
  <si>
    <t>The King of capital</t>
  </si>
  <si>
    <t>Stephen Schwarzman</t>
  </si>
  <si>
    <t>1020 - Channel</t>
  </si>
  <si>
    <t>Michael Dell, Dell Technologies</t>
  </si>
  <si>
    <t>https://drive.google.com/open?id=18GSftaFYfke3LZXNiQLToQljll1My75o</t>
  </si>
  <si>
    <t>https://drive.google.com/open?id=1_bCEdNsHQ660qFjHzT6idnYj9-q4ev-0</t>
  </si>
  <si>
    <t>https://drive.google.com/drive/folders/1fnL5dSZANbr3Opxhu5gDoY4YpzgMnbGr</t>
  </si>
  <si>
    <t>From Tinder to investor: The Story of Seasn Rad</t>
  </si>
  <si>
    <t>Sean Rad</t>
  </si>
  <si>
    <t>https://drive.google.com/open?id=1tAFtFuEpztCYZ6JtiWSmryFSmFBPuPYq</t>
  </si>
  <si>
    <t>80 - Channel 5</t>
  </si>
  <si>
    <t>https://drive.google.com/open?id=1XOEp9hPo8r7D-tRp-uzYgfPds-MbRABD</t>
  </si>
  <si>
    <t>The technology of storytelling</t>
  </si>
  <si>
    <t>81 - Channel 5</t>
  </si>
  <si>
    <t>Darren Aronofsky</t>
  </si>
  <si>
    <t>1021 - Channel</t>
  </si>
  <si>
    <t>https://drive.google.com/open?id=1nqZPRimMZ0bVI_Z0-EyX87G-GKblUIyF</t>
  </si>
  <si>
    <t>82 - Channel 5</t>
  </si>
  <si>
    <t>1022 - Channel</t>
  </si>
  <si>
    <t>The third wave of technology</t>
  </si>
  <si>
    <t>Steve Case</t>
  </si>
  <si>
    <t>https://drive.google.com/drive/folders/12WYsgt5jSbHzvXqKptQ4RdW2TvkDSboB</t>
  </si>
  <si>
    <t>https://drive.google.com/open?id=1QfP_sJNISJwI5C9j0M5KUEmehGf2-FtO</t>
  </si>
  <si>
    <t>83 - Channel 5</t>
  </si>
  <si>
    <t>Thinking outside the box</t>
  </si>
  <si>
    <t>Wladimir Klitschko &amp; Kristen Dumont</t>
  </si>
  <si>
    <t>https://drive.google.com/open?id=1btRz_5pUA1TXfI_zfr8THAIBHNSQvn6f</t>
  </si>
  <si>
    <t>00:12:23:18</t>
  </si>
  <si>
    <t>https://drive.google.com/open?id=1pgyQA4yQkGRecXbR9fh1fQGw98Pxqm6y</t>
  </si>
  <si>
    <t>https://drive.google.com/open?id=1ISiirsN8SoEbCvZ-f6paTOF1g6q1h2Iz</t>
  </si>
  <si>
    <t>84 - Channel 5</t>
  </si>
  <si>
    <t>Top five mobile gaming and/or Gaming.mp4</t>
  </si>
  <si>
    <t>Kristen Garcia Dunmount, Shawn Layden, Helen Chiang, Kati Levoranta, Andy Dinh</t>
  </si>
  <si>
    <t>https://drive.google.com/open?id=1FYmvK4xFhjBduaivYg3y10uVjncABNbV</t>
  </si>
  <si>
    <t>1023 - Channel</t>
  </si>
  <si>
    <t>85 - Channel 5</t>
  </si>
  <si>
    <t>Top mobile devices</t>
  </si>
  <si>
    <t>Keaton Keller, Tom Honeyands, Kris Carlon, Eli Etherton, Jacklyn Dallas</t>
  </si>
  <si>
    <t>1024 - Channel</t>
  </si>
  <si>
    <t>86 - Channel 5</t>
  </si>
  <si>
    <t>1025 - Channel</t>
  </si>
  <si>
    <t>87 - Channel 5</t>
  </si>
  <si>
    <t>Urs Holzle of Google with Bruce Upbin of Forbes</t>
  </si>
  <si>
    <t>Urs Holzle, Bruce Upbin</t>
  </si>
  <si>
    <t>https://drive.google.com/open?id=1cgqnxkR8vYh_sCvf4YD8h6YvrKLDCIlu</t>
  </si>
  <si>
    <t>1026 - Channel</t>
  </si>
  <si>
    <t>88 - Channel 5</t>
  </si>
  <si>
    <t>Hannibal Buress, Hannibal Buress</t>
  </si>
  <si>
    <t>1027 - Channel</t>
  </si>
  <si>
    <t>Where am I putting my money in 2018?</t>
  </si>
  <si>
    <t>Jim Breyer</t>
  </si>
  <si>
    <t>https://drive.google.com/open?id=1uf7535oFANI-n3u7hSbBzjPVRx5-3Psq</t>
  </si>
  <si>
    <t>https://drive.google.com/open?id=1xqF0w7W4VYEYa0WT_5e6a0Ikromi0hvu</t>
  </si>
  <si>
    <t>KEYNOTE 3 - Slides to be submitted</t>
  </si>
  <si>
    <t>1028 - Channel</t>
  </si>
  <si>
    <t>89 - Channel 5</t>
  </si>
  <si>
    <t>Will everything you know about advertising soon be irrelevant</t>
  </si>
  <si>
    <t>Maurice Levy, Gary Briggs, Tom Davis, Tom Dotan</t>
  </si>
  <si>
    <t>1029 - Channel</t>
  </si>
  <si>
    <t>https://drive.google.com/open?id=1C69jl0UiGQmYOxfX3S541Dt-mhhSYD1C</t>
  </si>
  <si>
    <t>90 - Channel 5</t>
  </si>
  <si>
    <t>1030 - Channel</t>
  </si>
  <si>
    <t>91 - Channel 5</t>
  </si>
  <si>
    <t>Will science kill god?</t>
  </si>
  <si>
    <t>Dan Brown</t>
  </si>
  <si>
    <t>https://drive.google.com/drive/folders/1chXxL63dH6olZ--wMXvvNLT7dR9wZ62H</t>
  </si>
  <si>
    <t>https://drive.google.com/open?id=1Wg_lYH7ILV8-R5MBjI8qmD2y1r4N9IM7</t>
  </si>
  <si>
    <t>92 - Channel 5</t>
  </si>
  <si>
    <t>Y Combinator - calling on founders</t>
  </si>
  <si>
    <t>Michael Seibel. Adora Cheung</t>
  </si>
  <si>
    <t>Updated Edit: Audio is fixed, two camera cuts were added t mask bad audio glitches and speaker looking at phone, total video 00:13:05:22 --- Audio is terrible, missing producer notes too.</t>
  </si>
  <si>
    <t>93 - Channel 5</t>
  </si>
  <si>
    <t>https://drive.google.com/open?id=1brgMKuKA8N0FWGpUH3o7TO2Yeq4_Mhr1</t>
  </si>
  <si>
    <t>https://drive.google.com/open?id=1VfUR82rPMwXHXYVTKWgzqacv3zd4CN7T</t>
  </si>
  <si>
    <t>Drew Houston, Dropbox</t>
  </si>
  <si>
    <t>1031 - Channel</t>
  </si>
  <si>
    <t>https://drive.google.com/open?id=1Fsv5CDNsXn7Lp7SaWFK8oBw1fsDBL41N</t>
  </si>
  <si>
    <t>1032 - Channel</t>
  </si>
  <si>
    <t>94 - Channel 5</t>
  </si>
  <si>
    <t>1033 - Channel</t>
  </si>
  <si>
    <t>95 - Channel 5</t>
  </si>
  <si>
    <t>96 - Channel 5</t>
  </si>
  <si>
    <t>1034 - Channel</t>
  </si>
  <si>
    <t>https://drive.google.com/drive/u/0/folders/1XJZiWF2aKS4yo4J1xsQA6mTUQS-RYo9-</t>
  </si>
  <si>
    <t>97 - Channel 5</t>
  </si>
  <si>
    <t>98 - Channel 5</t>
  </si>
  <si>
    <t>https://drive.google.com/open?id=1K2PHHFcKX0QDgE0AswBGNyE_en_bxtcz</t>
  </si>
  <si>
    <t>Web Summit 2019</t>
  </si>
  <si>
    <t>Edward Snowden, Freedom of the Press Foundation</t>
  </si>
  <si>
    <t>1035 - Channel</t>
  </si>
  <si>
    <t>https://drive.google.com/open?id=1Um5X-86jmWWuuQX_-cCkUYUxnHl1nSHG</t>
  </si>
  <si>
    <t>1036 - Channel</t>
  </si>
  <si>
    <t>99 - Channel 5</t>
  </si>
  <si>
    <t>1037 - Channel</t>
  </si>
  <si>
    <t>100 - Channel 5</t>
  </si>
  <si>
    <t>https://drive.google.com/drive/folders/1efYhJoG8VOFxrIzE_7tH8jwHZPqglSs8</t>
  </si>
  <si>
    <t>101 - Channel 5</t>
  </si>
  <si>
    <t>Tony Blair, Tony Blair Global Institute</t>
  </si>
  <si>
    <t>00:02:37 - Speaker Cam freezes for a split second</t>
  </si>
  <si>
    <t>https://drive.google.com/open?id=14fZkF7px5otxf25GAa0PbFZrh48qcoDy</t>
  </si>
  <si>
    <t>https://drive.google.com/open?id=1ruCAgZUXz6dYhG98TUTng4gCGP-JF4q8</t>
  </si>
  <si>
    <t>1038 - Channel</t>
  </si>
  <si>
    <t>102 - Channel 5</t>
  </si>
  <si>
    <t>1039 - Channel</t>
  </si>
  <si>
    <r>
      <rPr>
        <sz val="14.0"/>
      </rPr>
      <t>FORMAT:</t>
    </r>
    <r>
      <t xml:space="preserve"> Startup Spotlight - Ident &gt; Talk (with the Startup Spotlight graphic overlayed)</t>
    </r>
  </si>
  <si>
    <t>103 - Channel 5</t>
  </si>
  <si>
    <t>1040 - Channel</t>
  </si>
  <si>
    <t>https://drive.google.com/drive/folders/1WA_MQf2HU84CgsiX9zk1Cj-InYGwDjVI</t>
  </si>
  <si>
    <t>104 - Channel 5</t>
  </si>
  <si>
    <t>105 - Channel 5</t>
  </si>
  <si>
    <t>Duration: 2.49</t>
  </si>
  <si>
    <t>https://drive.google.com/open?id=1W42OmjszcmdW4lugdXlaoYqaDbFcUAMx</t>
  </si>
  <si>
    <t>RISE 2017</t>
  </si>
  <si>
    <t>Joe Tsai, Alibaba</t>
  </si>
  <si>
    <t>https://drive.google.com/open?id=1S5d17PXTE0znlEsJ5T3eHr55Dh-C8qem</t>
  </si>
  <si>
    <t>1041 - Channel</t>
  </si>
  <si>
    <t>106 - Channel 5</t>
  </si>
  <si>
    <t>1042 - Channel</t>
  </si>
  <si>
    <t>107 - Channel 5</t>
  </si>
  <si>
    <t>1043 - Channel</t>
  </si>
  <si>
    <t>1044 - Channel</t>
  </si>
  <si>
    <t>1045 - Channel</t>
  </si>
  <si>
    <t>108 - Channel 5</t>
  </si>
  <si>
    <t>1046 - Channel</t>
  </si>
  <si>
    <t>109 - Channel 5</t>
  </si>
  <si>
    <t>https://drive.google.com/drive/u/0/folders/11GJeAyZSrp1JnBc4vhom7mKZhF1V4fZi</t>
  </si>
  <si>
    <t>https://drive.google.com/open?id=1OpZNUC1XZVcFPKjvwiolJpsn9G0TZ-mr</t>
  </si>
  <si>
    <t>Various audio and picture freezes due to connection. I removed them by switching from 2 cam to 1 cam view for a more fluid edit.</t>
  </si>
  <si>
    <t>https://drive.google.com/open?id=1XfBoMclNOhKiAG-AN9Veye2Mt6gp5Fwu</t>
  </si>
  <si>
    <t>1047 - Channel</t>
  </si>
  <si>
    <t>110 - Channel 5</t>
  </si>
  <si>
    <t>Templates:</t>
  </si>
  <si>
    <t>1048 - Channel</t>
  </si>
  <si>
    <t>https://drive.google.com/open?id=1opmWhET5IZ5e5C9qRMIInHi8Ftg5CX1s</t>
  </si>
  <si>
    <t>111 - Channel 5</t>
  </si>
  <si>
    <t>1049 - Channel</t>
  </si>
  <si>
    <t>112 - Channel 5</t>
  </si>
  <si>
    <t>https://drive.google.com/drive/folders/1vnII9hp2XGwEumpb-m_A3swkLAPQNOce</t>
  </si>
  <si>
    <t>113 - Channel 5</t>
  </si>
  <si>
    <t>Geraldine Calpin, Hilton Worldwide</t>
  </si>
  <si>
    <t>Talk time: 11:08
Talk 52 seconds over - will cut a chunk</t>
  </si>
  <si>
    <t>https://drive.google.com/open?id=13-UdYSaaW_TjXzmYEyHYW46AtqVGZriT</t>
  </si>
  <si>
    <t>https://drive.google.com/file/d/1eCtOFhXil5N287ffL9Mz9pvVMoAFYIf9/view</t>
  </si>
  <si>
    <t>1050 - Channel</t>
  </si>
  <si>
    <t>114 - Channel 5</t>
  </si>
  <si>
    <t>1051 - Channel</t>
  </si>
  <si>
    <t>115 - Channel 5</t>
  </si>
  <si>
    <t>https://drive.google.com/drive/u/0/folders/1l7cc4tX_Rh4cxQzx88gGEsAwN2lB0DqG</t>
  </si>
  <si>
    <t>1052 - Channel</t>
  </si>
  <si>
    <t>116 - Channel 5</t>
  </si>
  <si>
    <t>https://drive.google.com/drive/u/0/folders/1AZKjPI79gQ3avYG72zIdIWxeYCM3IbNZ</t>
  </si>
  <si>
    <t>117 - Channel 5</t>
  </si>
  <si>
    <t>https://drive.google.com/open?id=1xDwaKbWfgFZQILY7DnyuRkZlFOZJ51s6</t>
  </si>
  <si>
    <t>Generation Connect Pte Ltd</t>
  </si>
  <si>
    <t>Mike Krieger, Instagram</t>
  </si>
  <si>
    <t>https://drive.google.com/open?id=13OiImw_lBZVMagEWyA7Gequj5vvRKK7B</t>
  </si>
  <si>
    <t>1053 - Channel</t>
  </si>
  <si>
    <t>1054 - Channel</t>
  </si>
  <si>
    <t>118 - Channel 5</t>
  </si>
  <si>
    <t>https://drive.google.com/open?id=19zSwgBZDGra1PjLOl9tGkdoU1lGMJa03</t>
  </si>
  <si>
    <t>1055 - Channel</t>
  </si>
  <si>
    <t>119 - Channel 5</t>
  </si>
  <si>
    <t>120 - Channel 5</t>
  </si>
  <si>
    <t>1056 - Channel</t>
  </si>
  <si>
    <t>121 - Channel 5</t>
  </si>
  <si>
    <t>https://drive.google.com/drive/folders/1mdpZ70MVRJ3v8NU7WC2RnRhWUiF0vpaX</t>
  </si>
  <si>
    <t>122 - Channel 5</t>
  </si>
  <si>
    <t>Ben Silbermann, Pinterest</t>
  </si>
  <si>
    <t>https://drive.google.com/drive/u/0/folders/1sdhVY_l-WsijlDfnwJeQG5dD_Yn6mLUR</t>
  </si>
  <si>
    <t>https://drive.google.com/open?id=1KYAB4Ydsfr6iMJnWhDRWFGSfaHhT61dN</t>
  </si>
  <si>
    <t>https://drive.google.com/open?id=1ENX5sBCA-D8_zUFe6eQDcFhjSQSG8jKt</t>
  </si>
  <si>
    <t>1057 - Channel</t>
  </si>
  <si>
    <t>123 - Channel 5</t>
  </si>
  <si>
    <t>ActualConversion Inc.</t>
  </si>
  <si>
    <t>1058 - Channel</t>
  </si>
  <si>
    <t>124 - Channel 5</t>
  </si>
  <si>
    <t>1059 - Channel</t>
  </si>
  <si>
    <t>125 - Channel 5</t>
  </si>
  <si>
    <t>Martin Garrix, Martin Garrix</t>
  </si>
  <si>
    <t>1060 - Channel</t>
  </si>
  <si>
    <t>https://drive.google.com/drive/u/0/folders/1htdFuF4DffWjUSQlLCdYpwVqfZhRIeH0</t>
  </si>
  <si>
    <t>https://drive.google.com/file/d/16hY2vStIi1nFUuQ98a9WrQHgq-LxCeDw/view</t>
  </si>
  <si>
    <t>1061 - Channel</t>
  </si>
  <si>
    <t>Zendelity</t>
  </si>
  <si>
    <t>https://drive.google.com/open?id=1d93yM-MsLFddbNaloKioDjARBAt_MCAY</t>
  </si>
  <si>
    <t>1062 - Channel</t>
  </si>
  <si>
    <t>https://drive.google.com/drive/u/0/folders/1v10fEWbvxqlOKUkHgs71dn_jGiZCa-XA</t>
  </si>
  <si>
    <t>126 - Channel 5</t>
  </si>
  <si>
    <t>127 - Channel 5</t>
  </si>
  <si>
    <t>Duration: 11:38</t>
  </si>
  <si>
    <t>https://drive.google.com/open?id=1uIEQtmtq0A1ULBnxPwLVh4oVZlSW-ef4</t>
  </si>
  <si>
    <t>1063 - Channel</t>
  </si>
  <si>
    <t>https://drive.google.com/drive/u/0/folders/1Ys2OljXCM4kZpDJgxoQ38H7X68LFV5YT</t>
  </si>
  <si>
    <t>128 - Channel 5</t>
  </si>
  <si>
    <t>1064 - Channel</t>
  </si>
  <si>
    <t>Matidor.com</t>
  </si>
  <si>
    <t>129 - Channel 5</t>
  </si>
  <si>
    <t>Michelle Zatlyn, Cloudflare</t>
  </si>
  <si>
    <t>1065 - Channel</t>
  </si>
  <si>
    <t>https://drive.google.com/drive/folders/1aN8A3HpsnuRg9GnuEIdMj4_bf_uKC1Zl</t>
  </si>
  <si>
    <t>https://drive.google.com/open?id=1mARvwg2SmUTw5MDm_KQzez6hn2NikM9X</t>
  </si>
  <si>
    <t>https://drive.google.com/open?id=1dahurwOqKfoywAZWO5HxYrTYNM6UlW8G</t>
  </si>
  <si>
    <t>Kubernetes: Seed to a universal control plane</t>
  </si>
  <si>
    <t>https://drive.google.com/open?id=1Xl1bBAWVIgV7c2g_u3wMgoUz9MBbGXS8</t>
  </si>
  <si>
    <t>130 - Channel 5</t>
  </si>
  <si>
    <t>1066 - Channel</t>
  </si>
  <si>
    <t>https://drive.google.com/drive/u/0/folders/1nGmIG0SkkjyNfuVnyndhmC8Griz7LkjP</t>
  </si>
  <si>
    <t>131 - Channel 5</t>
  </si>
  <si>
    <t>1067 - Channel</t>
  </si>
  <si>
    <t>YData</t>
  </si>
  <si>
    <t>132 - Channel 5</t>
  </si>
  <si>
    <t>https://drive.google.com/open?id=169uyWjJxUv3M1Qa16Zaav2jxECsLOh8p</t>
  </si>
  <si>
    <t>1068 - Channel</t>
  </si>
  <si>
    <t>133 - Channel 5</t>
  </si>
  <si>
    <t>https://drive.google.com/drive/u/0/folders/1Wh32k7RrFdjGtmBQ71day3j31sJgEm6Q</t>
  </si>
  <si>
    <t>Web Summit 2010</t>
  </si>
  <si>
    <t>Jack Dorsey, Twitter</t>
  </si>
  <si>
    <t>https://drive.google.com/open?id=1qJdIZwOwz8kDtrFQRPsyp19xhmvoGuTM</t>
  </si>
  <si>
    <t>No intro PTC. 2 seconds over @03:02</t>
  </si>
  <si>
    <t>https://drive.google.com/drive/u/0/folders/1EwXQphtVBI23qHxa35IaD1V00FK5O6Wt</t>
  </si>
  <si>
    <t>https://drive.google.com/open?id=19QwFzgo28-4RsAlaJIsftM8Mikl76Cp-</t>
  </si>
  <si>
    <t>134 - Channel 5</t>
  </si>
  <si>
    <t>1069 - Channel</t>
  </si>
  <si>
    <t>CityGuyd</t>
  </si>
  <si>
    <t>https://drive.google.com/open?id=1gP32w9uNigNO0BkhRkOCDMuUg50xpWis</t>
  </si>
  <si>
    <t>135 - Channel 5</t>
  </si>
  <si>
    <t>1070 - Channel</t>
  </si>
  <si>
    <t>136 - Channel 5</t>
  </si>
  <si>
    <t>1071 - Channel</t>
  </si>
  <si>
    <t>137 - Channel 5</t>
  </si>
  <si>
    <t>1072 - Channel</t>
  </si>
  <si>
    <t>https://drive.google.com/drive/u/0/folders/1dmfEJvp6GK4jTlzQbDU02RQ-H8rXCGPD</t>
  </si>
  <si>
    <t>https://drive.google.com/drive/folders/1cqQsBrrJKxX-sIvg6rOp9ZAg6YaW9mvN</t>
  </si>
  <si>
    <t>138 - Channel 5</t>
  </si>
  <si>
    <t>Debbie Millman, Design Matter</t>
  </si>
  <si>
    <t>HumanKind Homes</t>
  </si>
  <si>
    <t>https://drive.google.com/open?id=10W7s0iA3DrreqEjaOsk9zaVA8iLC-DTj</t>
  </si>
  <si>
    <t>https://drive.google.com/open?id=1EKJCrrI37xr1BN-Sp88wQxYyPfXJwrVR</t>
  </si>
  <si>
    <t>https://drive.google.com/open?id=1n9aDo7nfqVwc66lgpANhQCsU7_xSRo4R</t>
  </si>
  <si>
    <t>139 - Channel 5</t>
  </si>
  <si>
    <t>1073 - Channel</t>
  </si>
  <si>
    <t>https://drive.google.com/drive/u/0/folders/1GzuPrd87-DjVv1MuRa6LxkMHIxPdcuHU</t>
  </si>
  <si>
    <t>140 - Channel 5</t>
  </si>
  <si>
    <t>1074 - Channel</t>
  </si>
  <si>
    <t>141 - Channel 5</t>
  </si>
  <si>
    <t>Sellbit</t>
  </si>
  <si>
    <t>1075 - Channel</t>
  </si>
  <si>
    <t>https://drive.google.com/open?id=1EVDgjy6EqFqptaSLoPwt-S4_lKYvPnhM</t>
  </si>
  <si>
    <t>142 - Channel 5</t>
  </si>
  <si>
    <t>Margrethe Vestager, European Commission</t>
  </si>
  <si>
    <t>https://drive.google.com/drive/u/0/folders/16duXqCh5RySYlRn5JBwSzbX8OfU6G3LE</t>
  </si>
  <si>
    <t>https://drive.google.com/open?id=1hYzMSHaOiFi7aBzzBunlGnh6lFW70OZX</t>
  </si>
  <si>
    <t>https://drive.google.com/drive/u/0/folders/11FZbEfpSLz71avxUIagzwkb08S0TMav0</t>
  </si>
  <si>
    <t xml:space="preserve"> changes made </t>
  </si>
  <si>
    <t>https://drive.google.com/open?id=1lJ26qCz3hrlkyQgRQYN1AyZuUYhcxgpi</t>
  </si>
  <si>
    <t>143 - Channel 5</t>
  </si>
  <si>
    <t>1076 - Channel</t>
  </si>
  <si>
    <t>Kinzoo</t>
  </si>
  <si>
    <t>144 - Channel 5</t>
  </si>
  <si>
    <t>https://drive.google.com/open?id=1_YXA0SlOkGmYX5Ng9LyUu_BwgG9m39Or</t>
  </si>
  <si>
    <t>1077 - Channel</t>
  </si>
  <si>
    <t>145 - Channel 5</t>
  </si>
  <si>
    <t>146 - Channel 5</t>
  </si>
  <si>
    <t>1078 - Channel</t>
  </si>
  <si>
    <t>Kara Swisher, Recode</t>
  </si>
  <si>
    <t>https://drive.google.com/drive/u/0/folders/1CLaUNKpbxfYh3uBReeojYlX92VQd6k60</t>
  </si>
  <si>
    <t>147 - Channel 5</t>
  </si>
  <si>
    <t>1079 - Channel</t>
  </si>
  <si>
    <t>renaizant</t>
  </si>
  <si>
    <t>148 - Channel 5</t>
  </si>
  <si>
    <t>https://drive.google.com/file/d/1eTnWn3jOylOATM0eMEac425oRGp4UwDi/view</t>
  </si>
  <si>
    <t>1080 - Channel</t>
  </si>
  <si>
    <t>149 - Channel 5</t>
  </si>
  <si>
    <t>1081 - Channel</t>
  </si>
  <si>
    <t>https://drive.google.com/open?id=1ucn1Pvt-rvy1GbBPJI-0D2KRTGm90JEI</t>
  </si>
  <si>
    <t>https://drive.google.com/drive/u/0/folders/15JciFzNVoB0Ee4PeW5L5Sje52a1bqLbW</t>
  </si>
  <si>
    <t>https://drive.google.com/drive/folders/1LObWhZld8rVNIHms7wlweaceTNVQAUuq</t>
  </si>
  <si>
    <t>150 - Channel 5</t>
  </si>
  <si>
    <t>Omnivor</t>
  </si>
  <si>
    <t>https://drive.google.com/file/d/1TZolc64qISIROsqbIv7E1eWI33id-ea0/view</t>
  </si>
  <si>
    <t>00:10:48:19</t>
  </si>
  <si>
    <t>151 - Channel 5</t>
  </si>
  <si>
    <t>https://drive.google.com/open?id=1_92eIUSaRPSCVu-8qSgYPFpQRV8vC1mG</t>
  </si>
  <si>
    <t>1082 - Channel</t>
  </si>
  <si>
    <t>152 - Channel 5</t>
  </si>
  <si>
    <t>https://drive.google.com/drive/u/0/folders/1XkIYjkuhvfcG8_SvkL1xgpefRotoPeHT</t>
  </si>
  <si>
    <t>1083 - Channel</t>
  </si>
  <si>
    <t>153 - Channel 5</t>
  </si>
  <si>
    <t>AI Music</t>
  </si>
  <si>
    <t>154 - Channel 5</t>
  </si>
  <si>
    <t>1084 - Channel</t>
  </si>
  <si>
    <t>https://drive.google.com/file/d/1Mi7Vptwl0g3PNOLoUc2QvEg_W2XH3u8A/view</t>
  </si>
  <si>
    <t>https://drive.google.com/drive/folders/1H8yLdaNfMuBQz2uBIn4Yq1k6WSIsVHr3</t>
  </si>
  <si>
    <t>https://drive.google.com/open?id=1XsCu3oUMHu1l7tJKxoVkTTlbB1kDoR5f</t>
  </si>
  <si>
    <t>speaker needs to be scaled up - WE</t>
  </si>
  <si>
    <t>155 - Channel 5</t>
  </si>
  <si>
    <t>https://drive.google.com/open?id=1CkPKCcFVCRZU6XfEjKtu-OYIYQR9VJvh</t>
  </si>
  <si>
    <t>https://drive.google.com/drive/u/0/folders/1e_PhaJrOup1pBn7gEI1VULl2EmHISEmG</t>
  </si>
  <si>
    <t>1085 - Channel</t>
  </si>
  <si>
    <t>156 - Channel 5</t>
  </si>
  <si>
    <t>Pillow</t>
  </si>
  <si>
    <t>157 - Channel 5</t>
  </si>
  <si>
    <t>1086 - Channel</t>
  </si>
  <si>
    <t>158 - Channel 5</t>
  </si>
  <si>
    <t>Mike Schroepfer, Facebook</t>
  </si>
  <si>
    <t>1087 - Channel</t>
  </si>
  <si>
    <t>https://drive.google.com/open?id=1zZkJQRnVMuypGK8r_3oQCnzL4Chk6WzU</t>
  </si>
  <si>
    <t>https://drive.google.com/drive/u/0/folders/1O2l07vCj7NrJR2fYr2bKdcfyr2I8GPIy</t>
  </si>
  <si>
    <t>159 - Channel 5</t>
  </si>
  <si>
    <t>160 - Channel 5</t>
  </si>
  <si>
    <t>1088 - Channel</t>
  </si>
  <si>
    <t>161 - Channel 5</t>
  </si>
  <si>
    <t>https://drive.google.com/drive/u/0/folders/1VvSZNTiGBrdFVbpUBx3_U11Av5xjEaTb</t>
  </si>
  <si>
    <t>https://drive.google.com/open?id=1-7UYZMLa3ZW7ZgmKjU1NQEF4ebEjhEL4</t>
  </si>
  <si>
    <t>Crashtest Security GmbH</t>
  </si>
  <si>
    <t>1089 - Channel</t>
  </si>
  <si>
    <t>https://drive.google.com/open?id=1wtIpJNBQAuXZK2zJM-A0XKaXIJuLVUKJ</t>
  </si>
  <si>
    <t>162 - Channel 5</t>
  </si>
  <si>
    <t>1090 - Channel</t>
  </si>
  <si>
    <t>163 - Channel 5</t>
  </si>
  <si>
    <t>https://drive.google.com/drive/u/0/folders/1SkmrOUDBpURhUY_0ivaw2iu4Tk97Crfo</t>
  </si>
  <si>
    <t>https://drive.google.com/drive/u/0/folders/1w6rDwB2m8MNH4-LE_hWLcONR84nisSDn</t>
  </si>
  <si>
    <t>164 - Channel 5</t>
  </si>
  <si>
    <t>Viageur</t>
  </si>
  <si>
    <t>165 - Channel 5</t>
  </si>
  <si>
    <t>https://drive.google.com/open?id=1d2JIivGVBglFEum-aaKVh3Q5tbJ3Dxc1</t>
  </si>
  <si>
    <t>Used 1 cam a bit to hide cuts - cut down slightly to get to 20 mins alloted time
David doesn't look at the camera, looks as though he may be on his phone for some of this, particularly the first part, may be a bit distracting. Used 1 cam a bit to reduce this.</t>
  </si>
  <si>
    <t>https://drive.google.com/open?id=1C0OBYUuK7051Gjldl6bx1vvPECxADj1o</t>
  </si>
  <si>
    <t>166 - Channel 5</t>
  </si>
  <si>
    <t>1091 - Channel</t>
  </si>
  <si>
    <t>https://drive.google.com/open?id=1Z5nFdst9B4B0OS1GnfUylMNBkdU44p4G</t>
  </si>
  <si>
    <t>https://drive.google.com/drive/u/0/folders/1taFVc8tJCv2U7TaqAA--VxZGJDbMuyCE</t>
  </si>
  <si>
    <t>167 - Channel 5</t>
  </si>
  <si>
    <t>1092 - Channel</t>
  </si>
  <si>
    <t>Paqt</t>
  </si>
  <si>
    <t>1093 - Channel</t>
  </si>
  <si>
    <t>https://drive.google.com/open?id=1xu4lEv-isAGjpJsXtTneIVT77-yl1yqo</t>
  </si>
  <si>
    <t>168 - Channel 5</t>
  </si>
  <si>
    <t>https://drive.google.com/drive/folders/1l847Hm7rsJwcebEvPRjTrWv3JYrWiAcY</t>
  </si>
  <si>
    <t>Loyalty in our new reality</t>
  </si>
  <si>
    <t>00:03:13:07</t>
  </si>
  <si>
    <t>169 - Channel 5</t>
  </si>
  <si>
    <t>https://drive.google.com/open?id=1IPonFubpzBZm7fX5AIu5q9UEzBISCAu0</t>
  </si>
  <si>
    <t>https://drive.google.com/drive/u/0/folders/1qXNR9QFqSDFDwT09uOGQmgxmi2Y0foyd</t>
  </si>
  <si>
    <t>1094 - Channel</t>
  </si>
  <si>
    <t>170 - Channel 5</t>
  </si>
  <si>
    <t>Shoppy LLC</t>
  </si>
  <si>
    <t>1095 - Channel</t>
  </si>
  <si>
    <t>171 - Channel 5</t>
  </si>
  <si>
    <t>https://drive.google.com/open?id=1hp5EMnu1UjJcwFFxRIs902dOMRCU8MGh</t>
  </si>
  <si>
    <t>RISE 2016</t>
  </si>
  <si>
    <t>Marie Kondo, Konmari</t>
  </si>
  <si>
    <t>1096 - Channel</t>
  </si>
  <si>
    <t>https://drive.google.com/open?id=12jFBCSgWM2_xu28BBD2aR7xR3Kl7DOpb</t>
  </si>
  <si>
    <t>1097 - Channel</t>
  </si>
  <si>
    <t>https://drive.google.com/drive/u/0/folders/1okOZmz-VrGNuMb_QC-yIIsUSSFFQqunN</t>
  </si>
  <si>
    <t>1098 - Channel</t>
  </si>
  <si>
    <t>Toscale</t>
  </si>
  <si>
    <t>172 - Channel 5</t>
  </si>
  <si>
    <t>https://drive.google.com/open?id=1moawh52byP8UJYffpGyDCwSw9052VUps</t>
  </si>
  <si>
    <t>1099 - Channel</t>
  </si>
  <si>
    <t>173 - Channel 5</t>
  </si>
  <si>
    <t>https://drive.google.com/drive/u/0/folders/1SCXM4mY60kFXHD2jwZwlZE_b6InCLf-m</t>
  </si>
  <si>
    <t>174 - Channel 5</t>
  </si>
  <si>
    <t>https://drive.google.com/drive/u/0/folders/13gnHL1iJ4C1bXgpKQcHz0h03utl7hW8E</t>
  </si>
  <si>
    <t>175 - Channel 5</t>
  </si>
  <si>
    <t>Videolinq</t>
  </si>
  <si>
    <t>176 - Channel 5</t>
  </si>
  <si>
    <t>https://drive.google.com/open?id=1hymKK1WFxKvRhYsvcKL1ow9kX73vdrx5</t>
  </si>
  <si>
    <t>https://drive.google.com/open?id=15yz3X-c7DNFk--zTwvjsDDFT9cmjGyTs</t>
  </si>
  <si>
    <t>Becky Lynch, WWE</t>
  </si>
  <si>
    <t>https://drive.google.com/open?id=1PBu2kffCBKvWh-yMAaMjQLOCuwaV3qm7</t>
  </si>
  <si>
    <t>1100 - Channel</t>
  </si>
  <si>
    <t>https://drive.google.com/drive/u/0/folders/1Misj7lSZbuRIGtVdiqOUT7-7um1qkvDO</t>
  </si>
  <si>
    <t>177 - Channel 5</t>
  </si>
  <si>
    <t>1101 - Channel</t>
  </si>
  <si>
    <t>QUERY LAYER</t>
  </si>
  <si>
    <t>178 - Channel 5</t>
  </si>
  <si>
    <t>https://drive.google.com/drive/folders/1ImXRFXE-z4ngbaO3QOCIraaXgpAchNPp</t>
  </si>
  <si>
    <t>https://drive.google.com/open?id=1WFTz8kpUeWIfU-E7vlVzV_X35ThqSxlL</t>
  </si>
  <si>
    <t>179 - Channel 5</t>
  </si>
  <si>
    <t>https://drive.google.com/open?id=1TaYetz8aW8BBAFfe4taP1xOklv97hP4H</t>
  </si>
  <si>
    <t>https://drive.google.com/drive/u/0/folders/1qNatgOx06Y581UVGRzm4bcRTjmKZaGD6</t>
  </si>
  <si>
    <t>https://drive.google.com/open?id=1GRNcsZ-4Yp-TKOG2m9ouFqkE5QRzLZ9R</t>
  </si>
  <si>
    <t>1102 - Channel</t>
  </si>
  <si>
    <t>Cuckoo</t>
  </si>
  <si>
    <t>180 - Channel 5</t>
  </si>
  <si>
    <t>https://drive.google.com/open?id=1FpUv-Ttxs-nZx5roeTKnpZEZlPqXz-A_</t>
  </si>
  <si>
    <t>1103 - Channel</t>
  </si>
  <si>
    <t>https://drive.google.com/drive/folders/1aZMO2n9569MQjZ87oVRYgRbSYRCrIWtg</t>
  </si>
  <si>
    <t>181 - Channel 5</t>
  </si>
  <si>
    <t>https://drive.google.com/drive/u/0/folders/1vkbTyESHOwBFXJffJ2rSa3bZMbw2VU1_</t>
  </si>
  <si>
    <t>Total Length - 00:11:50:04</t>
  </si>
  <si>
    <t>https://drive.google.com/open?id=1sKH4sxhOAfo7c7Zdz1NEQgrgBKbACEnu</t>
  </si>
  <si>
    <t>182 - Channel 5</t>
  </si>
  <si>
    <t>1104 - Channel</t>
  </si>
  <si>
    <t>London Trade Art</t>
  </si>
  <si>
    <t>183 - Channel 5</t>
  </si>
  <si>
    <t>https://drive.google.com/open?id=1e8FMjXvfSucTLCBpiRIoo7nx5UrKHeKw</t>
  </si>
  <si>
    <t>John Collison, Stripe</t>
  </si>
  <si>
    <t>1105 - Channel</t>
  </si>
  <si>
    <t>https://drive.google.com/open?id=1MUxiga0sjJmZL2TBT1Rhcs0KSx69aVPD</t>
  </si>
  <si>
    <t>1106 - Channel</t>
  </si>
  <si>
    <t>184 - Channel 5</t>
  </si>
  <si>
    <t>1107 - Channel</t>
  </si>
  <si>
    <t>185 - Channel 5</t>
  </si>
  <si>
    <t>https://drive.google.com/open?id=1DeNWkTvAs32AF8HviqOCPEgpxGvh7O1O</t>
  </si>
  <si>
    <t>1108 - Channel</t>
  </si>
  <si>
    <t>186 - Channel 5</t>
  </si>
  <si>
    <t>1109 - Channel</t>
  </si>
  <si>
    <t>https://drive.google.com/drive/u/0/folders/1kD-ZbbsunDGJOZ2eiOWyd6M9cpgj2gc5</t>
  </si>
  <si>
    <t>187 - Channel 5</t>
  </si>
  <si>
    <t>1110 - Channel</t>
  </si>
  <si>
    <t>Webiny</t>
  </si>
  <si>
    <t>188 - Channel 5</t>
  </si>
  <si>
    <t>https://drive.google.com/open?id=1RTo7v8TEXP7V0bS_Jc9hFk-QANm8Tlqa</t>
  </si>
  <si>
    <t>1111 - Channel</t>
  </si>
  <si>
    <t>189 - Channel 5</t>
  </si>
  <si>
    <t>1112 - Channel</t>
  </si>
  <si>
    <t>190 - Channel 5</t>
  </si>
  <si>
    <t>1113 - Channel</t>
  </si>
  <si>
    <t>191 - Channel 5</t>
  </si>
  <si>
    <t>1114 - Channel</t>
  </si>
  <si>
    <t>https://drive.google.com/open?id=14f_n8xWoc16UbfsX__bXmH7DfeuqCH60</t>
  </si>
  <si>
    <t>192 - Channel 5</t>
  </si>
  <si>
    <t>1115 - Channel</t>
  </si>
  <si>
    <t>193 - Channel 5</t>
  </si>
  <si>
    <t>https://drive.google.com/drive/folders/15s-LbOntXoML4i_In4RgAQTiAtL82fyA</t>
  </si>
  <si>
    <t>https://drive.google.com/drive/u/0/folders/1kRt-35Qid-YJx7OuXvx9EDjlZP0xO4_y</t>
  </si>
  <si>
    <t>194 - Channel 5</t>
  </si>
  <si>
    <t>Waiting on ending clip to be uploaded</t>
  </si>
  <si>
    <t>1116 - Channel</t>
  </si>
  <si>
    <t>Goodlawyer</t>
  </si>
  <si>
    <t>195 - Channel 5</t>
  </si>
  <si>
    <t>https://drive.google.com/open?id=1sdXkYsSJPnjgjV7GZmCtrrkHnmVfyvGs</t>
  </si>
  <si>
    <t>1117 - Channel</t>
  </si>
  <si>
    <t>196 - Channel 5</t>
  </si>
  <si>
    <t>197 - Channel 5</t>
  </si>
  <si>
    <t>1118 - Channel</t>
  </si>
  <si>
    <t>https://drive.google.com/drive/u/0/folders/1eVhnt87c5X58quhldMY7J70E1zWPjU-Z</t>
  </si>
  <si>
    <t>198 - Channel 5</t>
  </si>
  <si>
    <t>Hour One</t>
  </si>
  <si>
    <t>1119 - Channel</t>
  </si>
  <si>
    <t>199 - Channel 5</t>
  </si>
  <si>
    <t>https://drive.google.com/open?id=1-rJJU6kgMwSrEmslOoS1MWjvWj5uFVwN</t>
  </si>
  <si>
    <t>1120 - Channel</t>
  </si>
  <si>
    <t>200 - Channel 5</t>
  </si>
  <si>
    <t>1121 - Channel</t>
  </si>
  <si>
    <t>https://drive.google.com/drive/u/0/folders/1PaEiBBKIQrAfMr-b6lP6wt2GstnRbNSf</t>
  </si>
  <si>
    <t>201 - Channel 5</t>
  </si>
  <si>
    <t>Stephen Hawking, Cambridge University</t>
  </si>
  <si>
    <t>1122 - Channel</t>
  </si>
  <si>
    <t>https://drive.google.com/open?id=1-pOZGnPxfKRP9pzZuYE7CwPjrXyTVbnl</t>
  </si>
  <si>
    <t>Fractal Mind</t>
  </si>
  <si>
    <t>https://drive.google.com/open?id=1H4Hy9hsQTqz0SFw3f1mMAtDAqo_-tkWr</t>
  </si>
  <si>
    <t>1123 - Channel</t>
  </si>
  <si>
    <t>202 - Channel 5</t>
  </si>
  <si>
    <t>203 - Channel 5</t>
  </si>
  <si>
    <t>1124 - Channel</t>
  </si>
  <si>
    <t>https://drive.google.com/drive/u/0/folders/1JtP3l5bUkT3WfuCueSOu-K9v0FpOWEky</t>
  </si>
  <si>
    <t>204 - Channel 5</t>
  </si>
  <si>
    <t>1125 - Channel</t>
  </si>
  <si>
    <t>Forecast</t>
  </si>
  <si>
    <t>https://drive.google.com/open?id=1VLQeWD4OYkw0PbQD505yzE9fpOWvfvx8</t>
  </si>
  <si>
    <t>Ronan</t>
  </si>
  <si>
    <t>https://drive.google.com/open?id=1INRDbIVHzGy0bZoGVSgoZkYfczhAmdGt</t>
  </si>
  <si>
    <t>205 - Channel 5</t>
  </si>
  <si>
    <t>Adi Tatarko, Houzz</t>
  </si>
  <si>
    <t>https://drive.google.com/open?id=1oGaGl3Ac2Ll-tglGgl_yaueMN5SDRxaB</t>
  </si>
  <si>
    <t xml:space="preserve">Colm giving an edited version to cut down on time </t>
  </si>
  <si>
    <t>1126 - Channel</t>
  </si>
  <si>
    <t>https://drive.google.com/drive/u/0/folders/1iYu-G-9D6FiRn77tbKemTAZbGZRY6Olx</t>
  </si>
  <si>
    <t>206 - Channel 5</t>
  </si>
  <si>
    <t>Chatspace</t>
  </si>
  <si>
    <t>1127 - Channel</t>
  </si>
  <si>
    <t>207 - Channel 5</t>
  </si>
  <si>
    <t>https://drive.google.com/open?id=1Bp4aoFGAa8ogVe0vaUkS-FLYd5nyBlfy</t>
  </si>
  <si>
    <t>208 - Channel 5</t>
  </si>
  <si>
    <t>1128 - Channel</t>
  </si>
  <si>
    <t>Palmer Luckey, Oculus VR</t>
  </si>
  <si>
    <t>https://drive.google.com/drive/u/0/folders/1OXG3xl9Y3ma8BvBZcXEX5GshPP0zx89g</t>
  </si>
  <si>
    <t>https://drive.google.com/open?id=1KQ0Nrq_UE7yb04wyISG9YKyNORW4UulQ</t>
  </si>
  <si>
    <t>https://drive.google.com/open?id=11L3shaG9SIT4IB7eJNCWtLeP90nsYtPx</t>
  </si>
  <si>
    <t>Betmarkets</t>
  </si>
  <si>
    <t>209 - Channel 5</t>
  </si>
  <si>
    <t>https://drive.google.com/open?id=1QVMr5zOsXJuWVC8x2xivsd7gxUVsNZup</t>
  </si>
  <si>
    <t>210 - Channel 5</t>
  </si>
  <si>
    <t>1129 - Channel</t>
  </si>
  <si>
    <t>https://drive.google.com/drive/u/0/folders/1hjLV9mVB-DYJ6LVwU88lGi4IXrWGPtNn</t>
  </si>
  <si>
    <t>211 - Channel 5</t>
  </si>
  <si>
    <t>1130 - Channel</t>
  </si>
  <si>
    <t>212 - Channel 5</t>
  </si>
  <si>
    <t>Si &amp; Oui</t>
  </si>
  <si>
    <t>https://drive.google.com/open?id=1bj6OB1_ekBmHwpeKLu9xZ7Uxo5GSAsir</t>
  </si>
  <si>
    <t>1131 - Channel</t>
  </si>
  <si>
    <t>213 - Channel 5</t>
  </si>
  <si>
    <t>https://drive.google.com/drive/folders/10ihU_nTm1vU8dd89A8EHLr2rhu_ZTU6D</t>
  </si>
  <si>
    <t>214 - Channel 5</t>
  </si>
  <si>
    <t>https://drive.google.com/drive/u/0/folders/1A5gqX7b73-RY8PilIvJMsjvL9QrEQEQx</t>
  </si>
  <si>
    <t>Yes</t>
  </si>
  <si>
    <t>https://drive.google.com/open?id=1rqLrKYngiiFTWu-v1jC8wcY57k_qLGEt</t>
  </si>
  <si>
    <t>215 - Channel 5</t>
  </si>
  <si>
    <t>https://drive.google.com/open?id=16gMna1uxJ-f5dvQKbzSlo-1wPqnJWa0T</t>
  </si>
  <si>
    <t>EventPlace</t>
  </si>
  <si>
    <t>216 - Channel 5</t>
  </si>
  <si>
    <t>https://drive.google.com/open?id=1jYlFBoScSDhx_uVXq5OFHjId0PEhKGfR</t>
  </si>
  <si>
    <t>1132 - Channel</t>
  </si>
  <si>
    <t>217 - Channel 5</t>
  </si>
  <si>
    <t>218 - Channel 5</t>
  </si>
  <si>
    <t>1133 - Channel</t>
  </si>
  <si>
    <t>https://drive.google.com/drive/u/0/folders/1aUwn3cs_38hFk_GG4HT7fxObZhyIYyq8</t>
  </si>
  <si>
    <t>https://drive.google.com/open?id=1zmBHvusFuBKP535KMVnuVIQD9W5b-Yrv</t>
  </si>
  <si>
    <t>TechLink Health</t>
  </si>
  <si>
    <t>1134 - Channel</t>
  </si>
  <si>
    <t>219 - Channel 5</t>
  </si>
  <si>
    <t>https://drive.google.com/open?id=13VDEo_-n6pH-OY70bUOcIV2Q7UMc_AyV</t>
  </si>
  <si>
    <t>220 - Channel 5</t>
  </si>
  <si>
    <t>1135 - Channel</t>
  </si>
  <si>
    <t>221 - Channel 5</t>
  </si>
  <si>
    <t>https://drive.google.com/drive/u/0/folders/1yMYUCweM7KcnLNQ65nfuZTOSTY5TFmHV</t>
  </si>
  <si>
    <t>222 - Channel 5</t>
  </si>
  <si>
    <t>1136 - Channel</t>
  </si>
  <si>
    <t>Sym</t>
  </si>
  <si>
    <t>https://drive.google.com/open?id=1BQhnKPYSz9EJ9HrAFVJ6mY08FwDVkfig</t>
  </si>
  <si>
    <t>https://drive.google.com/open?id=1bER9Im0yok56d03EqTwZtKNcR722Nh4w</t>
  </si>
  <si>
    <t>1137 - Channel</t>
  </si>
  <si>
    <t>223 - Channel 5</t>
  </si>
  <si>
    <t>https://drive.google.com/open?id=13K0NtCyP1lDpQzG1QMuSAuOxBAWDVONn</t>
  </si>
  <si>
    <t>https://drive.google.com/drive/u/0/folders/1U_PYH4-vSGIXCTn3Aiu_DeK9NGQPjyX-</t>
  </si>
  <si>
    <t>224 - Channel 5</t>
  </si>
  <si>
    <t>https://drive.google.com/open?id=1xjI2x5LnftFR12hC-dKHSse5bVW0yykr</t>
  </si>
  <si>
    <t>225 - Channel 5</t>
  </si>
  <si>
    <t>Brightlobe</t>
  </si>
  <si>
    <t>https://drive.google.com/open?id=16kneEPodfv6dfOJeBXbKFxKlO4fXdIWg</t>
  </si>
  <si>
    <t>226 - Channel 5</t>
  </si>
  <si>
    <t>1138 - Channel</t>
  </si>
  <si>
    <t>227 - Channel 5</t>
  </si>
  <si>
    <t>1139 - Channel</t>
  </si>
  <si>
    <t>Steve Huffman, Reddit</t>
  </si>
  <si>
    <t>https://drive.google.com/drive/u/0/folders/1jdRJqbbQ3xb8FAh4adsrGJ9BTFjeznsi</t>
  </si>
  <si>
    <t>1140 - Channel</t>
  </si>
  <si>
    <t>https://drive.google.com/open?id=1rzAsdxB6Jk4N9JAiU-UIsw6HZvmyH3Hz</t>
  </si>
  <si>
    <t>https://drive.google.com/open?id=1eyffG8lNqD12lIREN2L7dsPHWx4ICLD3</t>
  </si>
  <si>
    <t>nmodes</t>
  </si>
  <si>
    <t>https://drive.google.com/open?id=17wiGxuoWjQzRKcbBYpVvNLxoYNR-G4Xg</t>
  </si>
  <si>
    <t>228 - Channel 5</t>
  </si>
  <si>
    <t>1141 - Channel</t>
  </si>
  <si>
    <t>229 - Channel 5</t>
  </si>
  <si>
    <t>1142 - Channel</t>
  </si>
  <si>
    <t>230 - Channel 5</t>
  </si>
  <si>
    <t>1143 - Channel</t>
  </si>
  <si>
    <t>Guo Ping, Huawei</t>
  </si>
  <si>
    <t>https://drive.google.com/open?id=1IlG2HEK-OWvDz7nofURGJrurdcdzG7Xq</t>
  </si>
  <si>
    <t>https://drive.google.com/open?id=1ez4EGtmG0q8JlmYF8n2vF6PlZcB5mZZv</t>
  </si>
  <si>
    <t>https://drive.google.com/drive/u/0/folders/1LRs7DamCIlJZgjKOvtv8Huhwwg62SnvI</t>
  </si>
  <si>
    <t>1144 - Channel</t>
  </si>
  <si>
    <t>231 - Channel 5</t>
  </si>
  <si>
    <t>Central de Materiais</t>
  </si>
  <si>
    <t>https://drive.google.com/open?id=1v9oEhnUeFiukVCSy8F10D0BZdEwHTI0-</t>
  </si>
  <si>
    <t>232 - Channel 5</t>
  </si>
  <si>
    <t>1145 - Channel</t>
  </si>
  <si>
    <t>https://drive.google.com/drive/u/0/folders/1e6yHDV06QGKwnVccOSByOU6k13R7QrLM</t>
  </si>
  <si>
    <t>233 - Channel 5</t>
  </si>
  <si>
    <t>1146 - Channel</t>
  </si>
  <si>
    <t>Spot, Boston Dynamics</t>
  </si>
  <si>
    <t>HILOS</t>
  </si>
  <si>
    <t>https://drive.google.com/open?id=1vvDsLsRyKX8map4Lfy6RbW9fHlMoxk15</t>
  </si>
  <si>
    <t>https://drive.google.com/open?id=142HoBkQx1gJRQyTTlPl4dP7WQOLa9_Uc</t>
  </si>
  <si>
    <t>https://drive.google.com/open?id=16yFrJphXXBAhM4hOUqOal8nccIuS2Xho</t>
  </si>
  <si>
    <t>1147 - Channel</t>
  </si>
  <si>
    <t>https://drive.google.com/drive/u/0/folders/1GH835h5M5ovyDx9_bWzjCiWXCgQZHbYh</t>
  </si>
  <si>
    <t>234 - Channel 5</t>
  </si>
  <si>
    <t>Cyberworks Robotics</t>
  </si>
  <si>
    <t>https://drive.google.com/open?id=1WCGS_zTIpLQRvAkrxGDcAMG7H574sJ2E</t>
  </si>
  <si>
    <t>1148 - Channel</t>
  </si>
  <si>
    <t>235 - Channel 5</t>
  </si>
  <si>
    <t>1149 - Channel</t>
  </si>
  <si>
    <t>1150 - Channel</t>
  </si>
  <si>
    <t>236 - Channel 5</t>
  </si>
  <si>
    <t>1151 - Channel</t>
  </si>
  <si>
    <t>https://drive.google.com/open?id=1vBvhidCXcPP4erO3KFPIOwA7EGAnCBlW</t>
  </si>
  <si>
    <t>237 - Channel 5</t>
  </si>
  <si>
    <t>1152 - Channel</t>
  </si>
  <si>
    <t>238 - Channel 5</t>
  </si>
  <si>
    <t>1153 - Channel</t>
  </si>
  <si>
    <t>239 - Channel 5</t>
  </si>
  <si>
    <t>1154 - Channel</t>
  </si>
  <si>
    <t>240 - Channel 5</t>
  </si>
  <si>
    <t>RISE 2015</t>
  </si>
  <si>
    <t>1155 - Channel</t>
  </si>
  <si>
    <t>https://drive.google.com/open?id=1aiZbuGrFJ6fyzvzo0xTaSzTei0A4yOgt</t>
  </si>
  <si>
    <t>1156 - Channel</t>
  </si>
  <si>
    <t>241 - Channel 5</t>
  </si>
  <si>
    <t>1157 - Channel</t>
  </si>
  <si>
    <t>242 - Channel 5</t>
  </si>
  <si>
    <t>1158 - Channel</t>
  </si>
  <si>
    <t>1159 - Channel</t>
  </si>
  <si>
    <t>243 - Channel 5</t>
  </si>
  <si>
    <t>1160 - Channel</t>
  </si>
  <si>
    <t>244 - Channel 5</t>
  </si>
  <si>
    <t>Gail Heimann, Weber Shandwick</t>
  </si>
  <si>
    <t>https://drive.google.com/open?id=1-E7G8PksWKlapqwQZJnrG1mmVzYV3f9o</t>
  </si>
  <si>
    <t>1161 - Channel</t>
  </si>
  <si>
    <t>245 - Channel 5</t>
  </si>
  <si>
    <t>1162 - Channel</t>
  </si>
  <si>
    <t>246 - Channel 5</t>
  </si>
  <si>
    <t>1163 - Channel</t>
  </si>
  <si>
    <t>247 - Channel 5</t>
  </si>
  <si>
    <t>1164 - Channel</t>
  </si>
  <si>
    <t>248 - Channel 5</t>
  </si>
  <si>
    <t>Collision 2017</t>
  </si>
  <si>
    <t>Alexis Ohanian, Initialized Capital</t>
  </si>
  <si>
    <t>1165 - Channel</t>
  </si>
  <si>
    <t>249 - Channel 5</t>
  </si>
  <si>
    <t>1166 - Channel</t>
  </si>
  <si>
    <t>250 - Channel 5</t>
  </si>
  <si>
    <t>1167 - Channel</t>
  </si>
  <si>
    <t>251 - Channel 5</t>
  </si>
  <si>
    <t>Wladimir Klitschko, Klitschko Ventures</t>
  </si>
  <si>
    <t>1168 - Channel</t>
  </si>
  <si>
    <t>https://drive.google.com/open?id=1OXdUO_iXf32DY89Jf_DnlqNIU1_HzGBn</t>
  </si>
  <si>
    <t>1169 - Channel</t>
  </si>
  <si>
    <t>252 - Channel 5</t>
  </si>
  <si>
    <t>1170 - Channel</t>
  </si>
  <si>
    <t>Filename</t>
  </si>
  <si>
    <t>1171 - Channel</t>
  </si>
  <si>
    <t>253 - Channel 5</t>
  </si>
  <si>
    <t>Length</t>
  </si>
  <si>
    <t>Brief</t>
  </si>
  <si>
    <t>VO Included?</t>
  </si>
  <si>
    <t>Asset Sheet</t>
  </si>
  <si>
    <t>MTS 1</t>
  </si>
  <si>
    <t>CFH_MTS_1</t>
  </si>
  <si>
    <t>Meet the Speakers</t>
  </si>
  <si>
    <t>https://docs.google.com/document/d/1Qhq2EMe67vZGKzE3w4C55jOUthbxU2Sg8-K50ye_mck/edit#</t>
  </si>
  <si>
    <t>254 - Channel 5</t>
  </si>
  <si>
    <t>1172 - Channel</t>
  </si>
  <si>
    <t>255 - Channel 5</t>
  </si>
  <si>
    <t>1173 - Channel</t>
  </si>
  <si>
    <t>256 - Channel 5</t>
  </si>
  <si>
    <t>https://drive.google.com/open?id=1huL-GfeSJRY5Mo_am3dYlja1eTxr4gy3</t>
  </si>
  <si>
    <t>1174 - Channel</t>
  </si>
  <si>
    <t>https://drive.google.com/open?id=1kIcQdnfBZBXu4mamTBY7HEcJdad-hX4h</t>
  </si>
  <si>
    <t>MTS 2</t>
  </si>
  <si>
    <t>1175 - Channel</t>
  </si>
  <si>
    <t>CFH_MTS_2</t>
  </si>
  <si>
    <t>1176 - Channel</t>
  </si>
  <si>
    <t>257 - Channel 5</t>
  </si>
  <si>
    <t>https://drive.google.com/open?id=1Zxmq3mFs2X0h4FTzwj2t5Tri8KWFQ_QP</t>
  </si>
  <si>
    <t>https://drive.google.com/open?id=1lwXOlwbj3fjJ-rDG6z1Jf_5N5Z1KzFPW</t>
  </si>
  <si>
    <t>258 - Channel 5</t>
  </si>
  <si>
    <t>MTS 3</t>
  </si>
  <si>
    <t>CFH_MTS_3</t>
  </si>
  <si>
    <t>https://drive.google.com/open?id=13nKzNNVp7f7F98eOkbXJQn_bWQ0Q5Wo5</t>
  </si>
  <si>
    <t>259 - Channel 5</t>
  </si>
  <si>
    <t>https://drive.google.com/file/d/1A09G5bGQWvemydeXsKcvMRI2CItrUr7b/view</t>
  </si>
  <si>
    <t>1177 - Channel</t>
  </si>
  <si>
    <t>260 - Channel 5</t>
  </si>
  <si>
    <t>MTS 4</t>
  </si>
  <si>
    <t>CFH_MTS_4</t>
  </si>
  <si>
    <t>1178 - Channel</t>
  </si>
  <si>
    <t>https://drive.google.com/open?id=1tKA8dAeD2LkQteyh5U4wcBc041g4oq4Q</t>
  </si>
  <si>
    <t>1179 - Channel</t>
  </si>
  <si>
    <t>MTS 5</t>
  </si>
  <si>
    <t>CFH_MTS_5</t>
  </si>
  <si>
    <t>261 - Channel 5</t>
  </si>
  <si>
    <t>https://drive.google.com/open?id=1yoOTLw1PDuaz1o6KR3dvabz3nL286wVO</t>
  </si>
  <si>
    <t>262 - Channel 5</t>
  </si>
  <si>
    <t>1180 - Channel</t>
  </si>
  <si>
    <t>https://drive.google.com/open?id=1jEReIe-dBHqcqUyQiqm4lZB_DS-SX7Br</t>
  </si>
  <si>
    <t>263 - Channel 5</t>
  </si>
  <si>
    <t>Bill Clay Ford, Ford</t>
  </si>
  <si>
    <t>1181 - Channel</t>
  </si>
  <si>
    <t>MTS 6</t>
  </si>
  <si>
    <t>CFH_MTS_6</t>
  </si>
  <si>
    <t>https://drive.google.com/open?id=1jBFwjAmrs0QlmDvvvMGb9f9BQyq49xOW</t>
  </si>
  <si>
    <t>1182 - Channel</t>
  </si>
  <si>
    <t>https://drive.google.com/open?id=1wpofpLwmt_uMQE0qll2i02L1Kv5BTDsf</t>
  </si>
  <si>
    <t>264 - Channel 5</t>
  </si>
  <si>
    <t>https://drive.google.com/open?id=1xM9EQWb-q7dGBtI_d_PwduDPVBdTpjPD</t>
  </si>
  <si>
    <t>MTS 7</t>
  </si>
  <si>
    <t>CFH_MTS_7</t>
  </si>
  <si>
    <t>265 - Channel 5</t>
  </si>
  <si>
    <t>https://drive.google.com/open?id=1h2nEjoYSxM61OEH2M-9OZGMBh4IEwD3Q</t>
  </si>
  <si>
    <t>https://drive.google.com/open?id=11Nqp-lotY3RBPqtOC4pDOQyzxH5rht24</t>
  </si>
  <si>
    <t>266 - Channel 5</t>
  </si>
  <si>
    <t>Lamborghini</t>
  </si>
  <si>
    <t>1183 - Channel</t>
  </si>
  <si>
    <t>MTS 8</t>
  </si>
  <si>
    <t>CFH_MTS_8</t>
  </si>
  <si>
    <t>https://drive.google.com/file/d/1tdRbin-edsEyLSUk_2Wu4Ss3l0lUVDEk/view</t>
  </si>
  <si>
    <t>1184 - Channel</t>
  </si>
  <si>
    <t>267 - Channel 5</t>
  </si>
  <si>
    <t>MTS 9</t>
  </si>
  <si>
    <t>CFH_MTS_9</t>
  </si>
  <si>
    <t>1185 - Channel</t>
  </si>
  <si>
    <t>268 - Channel 5</t>
  </si>
  <si>
    <t>https://drive.google.com/open?id=1PTH71kW2NN9jJAx0cer7qFN1GJKdco9-</t>
  </si>
  <si>
    <t>https://drive.google.com/open?id=1QsNioJx290z1N0LlGa9WsnedRprj9cWD</t>
  </si>
  <si>
    <t>269 - Channel 5</t>
  </si>
  <si>
    <t>MTS 10</t>
  </si>
  <si>
    <t>CFH_MTS_10</t>
  </si>
  <si>
    <t>https://drive.google.com/open?id=1eMhzV20V5kDswejBSkLIJrEfcRooHRai</t>
  </si>
  <si>
    <t>270 - Channel 5</t>
  </si>
  <si>
    <t>https://drive.google.com/open?id=1-E2uvTen0Lb7nLueOau1lAsISMfZCH7y</t>
  </si>
  <si>
    <t>Jean Liu, Didi Chuxing</t>
  </si>
  <si>
    <t>1186 - Channel</t>
  </si>
  <si>
    <t>MTS 11</t>
  </si>
  <si>
    <t>CFH_MTS_11</t>
  </si>
  <si>
    <t>https://drive.google.com/open?id=1HSyxZDsEwM7ZMzgMrnhmHJZ8nfS3Dhu9</t>
  </si>
  <si>
    <t>1187 - Channel</t>
  </si>
  <si>
    <t>271 - Channel 5</t>
  </si>
  <si>
    <t>https://drive.google.com/open?id=1ttoqhavs_kjqB1Cgn93N2eOOgRKCWAO7</t>
  </si>
  <si>
    <t>272 - Channel 5</t>
  </si>
  <si>
    <t>MTS 12</t>
  </si>
  <si>
    <t>CFH_MTS_12</t>
  </si>
  <si>
    <t>1188 - Channel</t>
  </si>
  <si>
    <t>273 - Channel 5</t>
  </si>
  <si>
    <t>Emmett Shear, Twitch</t>
  </si>
  <si>
    <t>https://drive.google.com/open?id=1TjgT1Wi23pTHazrx3HjrA4SaapYXpMEQ</t>
  </si>
  <si>
    <t>1189 - Channel</t>
  </si>
  <si>
    <t>https://drive.google.com/open?id=1LHZNKkjPkDeO5wUR2DkNoNOLLYKkjwHQ</t>
  </si>
  <si>
    <t>274 - Channel 5</t>
  </si>
  <si>
    <t>MTS 13</t>
  </si>
  <si>
    <t>CFH_MTS_13</t>
  </si>
  <si>
    <t>1190 - Channel</t>
  </si>
  <si>
    <t>275 - Channel 5</t>
  </si>
  <si>
    <t>1191 - Channel</t>
  </si>
  <si>
    <t>276 - Channel 5</t>
  </si>
  <si>
    <t>https://drive.google.com/open?id=1cpIeuhWUXBqtxSf3KEeTK4TUo_7jFSYc</t>
  </si>
  <si>
    <t>https://drive.google.com/open?id=1U-O0j9pbpvJHQGFAuXa3PpMqxuxpuwt4</t>
  </si>
  <si>
    <t>277 - Channel 5</t>
  </si>
  <si>
    <t>278 - Channel 5</t>
  </si>
  <si>
    <t>MTS 14</t>
  </si>
  <si>
    <t>CFH_MTS_14</t>
  </si>
  <si>
    <t>Stephen</t>
  </si>
  <si>
    <t>1192 - Channel</t>
  </si>
  <si>
    <t>279 - Channel 5</t>
  </si>
  <si>
    <t>280 - Channel 5</t>
  </si>
  <si>
    <t>1193 - Channel</t>
  </si>
  <si>
    <t>Eric Cantona, Common Goal</t>
  </si>
  <si>
    <t>https://drive.google.com/open?id=1FBtCFUE4vXOn_s_5DbvkkU-HObDZ-5pH</t>
  </si>
  <si>
    <t>https://drive.google.com/open?id=1tOOoAobS6bJXJjAz5-T2biCrQdhei5QS</t>
  </si>
  <si>
    <t>1194 - Channel</t>
  </si>
  <si>
    <t>281 - Channel 5</t>
  </si>
  <si>
    <t>https://drive.google.com/open?id=1ZwvS-zbtKTOMM_voZRErd3Oo7t2hKvos</t>
  </si>
  <si>
    <t>282 - Channel 5</t>
  </si>
  <si>
    <t>Media Package Day 1</t>
  </si>
  <si>
    <t>CFH_MediaPackage_Day1</t>
  </si>
  <si>
    <t>Media Package</t>
  </si>
  <si>
    <t>283 - Channel 5</t>
  </si>
  <si>
    <r>
      <t xml:space="preserve">Go through the existing edit notes for the days, and pull out clips for marketing that were missed. Organise by day, and collect in a drive folder here: </t>
    </r>
    <r>
      <rPr>
        <color rgb="FF1155CC"/>
        <u/>
      </rPr>
      <t>https://drive.google.com/drive/u/0/folders/16oi407m11fqmIvhrBPkkAKjDn6lmyMMR</t>
    </r>
  </si>
  <si>
    <t>284 - Channel 5</t>
  </si>
  <si>
    <t>285 - Channel 5</t>
  </si>
  <si>
    <t>https://drive.google.com/open?id=1MMmzjRFEJpuR5YobR9mQjcGAALHAQXcd</t>
  </si>
  <si>
    <t>286 - Channel 5</t>
  </si>
  <si>
    <t>https://drive.google.com/drive/u/0/folders/1eSU7vkKjqE5AJyzj-qQSoNF-CAY54vW6</t>
  </si>
  <si>
    <t>287 - Channel 5</t>
  </si>
  <si>
    <t>1195 - Channel</t>
  </si>
  <si>
    <t>288 - Channel 5</t>
  </si>
  <si>
    <t>Media Package Day 2</t>
  </si>
  <si>
    <t>CFH_MediaPackage_Day2</t>
  </si>
  <si>
    <t>https://drive.google.com/drive/u/0/folders/1qFVEyLQy20UGH0gcO3CcOq68tSurp-ys</t>
  </si>
  <si>
    <t>289 - Channel 5</t>
  </si>
  <si>
    <t>1196 - Channel</t>
  </si>
  <si>
    <t>290 - Channel 5</t>
  </si>
  <si>
    <t>Media Package Day 3</t>
  </si>
  <si>
    <t>CFH_MediaPackage_Day3</t>
  </si>
  <si>
    <t>291 - Channel 5</t>
  </si>
  <si>
    <t>https://drive.google.com/drive/u/0/folders/14X8j1gQ6Aj3AUOeagPahjl3p0ngXDT9b</t>
  </si>
  <si>
    <t>292 - Channel 5</t>
  </si>
  <si>
    <t>1197 - Channel</t>
  </si>
  <si>
    <t>293 - Channel 5</t>
  </si>
  <si>
    <t>RISE Trailer 60s</t>
  </si>
  <si>
    <t>294 - Channel 5</t>
  </si>
  <si>
    <t>RISE 2020 TRAILER 60 SEC.mp4</t>
  </si>
  <si>
    <t>Internal ad</t>
  </si>
  <si>
    <t>https://drive.google.com/open?id=1M6ZqvAaf0Y3t58EPKRiHJH-xE7bajGwr</t>
  </si>
  <si>
    <t>Cut a RISE trailer using previous RISE trailers, removing Hong Kong shots.</t>
  </si>
  <si>
    <t>https://drive.google.com/open?id=1cJQjeN4022HqJAiL8zQF7r_JssQ0hM_I</t>
  </si>
  <si>
    <t>295 - Channel 5</t>
  </si>
  <si>
    <t>296 - Channel 5</t>
  </si>
  <si>
    <t>RISE Trailer 30s</t>
  </si>
  <si>
    <t>RISE 2020 TRAILER 30 sec.mp4</t>
  </si>
  <si>
    <t>297 - Channel 5</t>
  </si>
  <si>
    <t>https://drive.google.com/open?id=1fAQUsdNtFOkzzsctYLZ70N5Ht7W0gUy2</t>
  </si>
  <si>
    <t>https://drive.google.com/open?id=1V3_OkjvSGtKTQR7GTbHGR9MZuQB5xCzV</t>
  </si>
  <si>
    <t>298 - Channel 5</t>
  </si>
  <si>
    <t>1198 - Channel</t>
  </si>
  <si>
    <t>299 - Channel 5</t>
  </si>
  <si>
    <t>300 - Channel 5</t>
  </si>
  <si>
    <t>Past Pitch Winners</t>
  </si>
  <si>
    <t>Chelsea Briganti - Loliware</t>
  </si>
  <si>
    <t>301 - Channel 5</t>
  </si>
  <si>
    <t>1199 - Channel</t>
  </si>
  <si>
    <t>https://drive.google.com/open?id=1jA5OdQ4CLbh33pVAUpDk5Go0DTm9jN9m</t>
  </si>
  <si>
    <t>302 - Channel 5</t>
  </si>
  <si>
    <t>1200 - Channel</t>
  </si>
  <si>
    <t>303 - Channel 5</t>
  </si>
  <si>
    <t>https://drive.google.com/drive/folders/1ik-_9-vQN-YoXTA19KNqXjzK70AyMJ8V</t>
  </si>
  <si>
    <t>304 - Channel 5</t>
  </si>
  <si>
    <t>305 - Channel 5</t>
  </si>
  <si>
    <t>In Depth: Jeremy Zimmer</t>
  </si>
  <si>
    <t>1201 - Channel</t>
  </si>
  <si>
    <t>306 - Channel 5</t>
  </si>
  <si>
    <t>1202 - Channel</t>
  </si>
  <si>
    <t>307 - Channel 5</t>
  </si>
  <si>
    <t>308 - Channel 5</t>
  </si>
  <si>
    <t>1203 - Channel</t>
  </si>
  <si>
    <t>309 - Channel 5</t>
  </si>
  <si>
    <t>310 - Channel 5</t>
  </si>
  <si>
    <t>1204 - Channel</t>
  </si>
  <si>
    <t>311 - Channel 5</t>
  </si>
  <si>
    <t>312 - Channel 5</t>
  </si>
  <si>
    <t>1205 - Channel</t>
  </si>
  <si>
    <t>313 - Channel 5</t>
  </si>
  <si>
    <t>314 - Channel 5</t>
  </si>
  <si>
    <t>1206 - Channel</t>
  </si>
  <si>
    <t>315 - Channel 5</t>
  </si>
  <si>
    <t>1207 - Channel</t>
  </si>
  <si>
    <t>316 - Channel 5</t>
  </si>
  <si>
    <t>317 - Channel 5</t>
  </si>
  <si>
    <t>1208 - Channel</t>
  </si>
  <si>
    <t>318 - Channel 5</t>
  </si>
  <si>
    <t>319 - Channel 5</t>
  </si>
  <si>
    <t>1209 - Channel</t>
  </si>
  <si>
    <t>320 - Channel 5</t>
  </si>
  <si>
    <t>321 - Channel 5</t>
  </si>
  <si>
    <t>1210 - Channel</t>
  </si>
  <si>
    <t>322 - Channel 5</t>
  </si>
  <si>
    <t>1211 - Channel</t>
  </si>
  <si>
    <t>323 - Channel 5</t>
  </si>
  <si>
    <t>https://drive.google.com/open?id=1ho0d0wqoVl2ZfmUqm-5xL6GQ7HBU5_Bs</t>
  </si>
  <si>
    <t>324 - Channel 5</t>
  </si>
  <si>
    <t>325 - Channel 5</t>
  </si>
  <si>
    <t>we need to replace this one with a manual edit to fix mikolaj's title. LP</t>
  </si>
  <si>
    <t>https://drive.google.com/open?id=1yQVWoyZftfyD7FY7KHzaGlHxhTVpiiXW</t>
  </si>
  <si>
    <t>326 - Channel 5</t>
  </si>
  <si>
    <t>1212 - Channel</t>
  </si>
  <si>
    <t>327 - Channel 5</t>
  </si>
  <si>
    <t>328 - Channel 5</t>
  </si>
  <si>
    <t>1213 - Channel</t>
  </si>
  <si>
    <t>329 - Channel 5</t>
  </si>
  <si>
    <t>330 - Channel 5</t>
  </si>
  <si>
    <t>1214 - Channel</t>
  </si>
  <si>
    <t>331 - Channel 5</t>
  </si>
  <si>
    <t>https://drive.google.com/open?id=1a-zJHq9YzB0fbSkvjo2sMFPDm_MF-P3v</t>
  </si>
  <si>
    <t>332 - Channel 5</t>
  </si>
  <si>
    <t>333 - Channel 5</t>
  </si>
  <si>
    <t>https://drive.google.com/open?id=14CuC9h6yKareo8eat1a-eqiL0c4uMZni</t>
  </si>
  <si>
    <t>334 - Channel 5</t>
  </si>
  <si>
    <t>1215 - Channel</t>
  </si>
  <si>
    <t>335 - Channel 5</t>
  </si>
  <si>
    <t>336 - Channel 5</t>
  </si>
  <si>
    <t>1216 - Channel</t>
  </si>
  <si>
    <t>337 - Channel 5</t>
  </si>
  <si>
    <t>1217 - Channel</t>
  </si>
  <si>
    <t>338 - Channel 5</t>
  </si>
  <si>
    <t>339 - Channel 5</t>
  </si>
  <si>
    <t>1218 - Channel</t>
  </si>
  <si>
    <t>340 - Channel 5</t>
  </si>
  <si>
    <t>341 - Channel 5</t>
  </si>
  <si>
    <t>1219 - Channel</t>
  </si>
  <si>
    <t>342 - Channel 5</t>
  </si>
  <si>
    <t>1220 - Channel</t>
  </si>
  <si>
    <t>343 - Channel 5</t>
  </si>
  <si>
    <t>https://drive.google.com/open?id=1fP3LVDlhGaM3-O0RR3bJHDYClMVtPWlo</t>
  </si>
  <si>
    <t>344 - Channel 5</t>
  </si>
  <si>
    <t>345 - Channel 5</t>
  </si>
  <si>
    <t>https://drive.google.com/open?id=1ZUJEyjYfqouXFxrjMaS3qNHcYchALKww</t>
  </si>
  <si>
    <t>346 - Channel 5</t>
  </si>
  <si>
    <t>1221 - Channel</t>
  </si>
  <si>
    <t>347 - Channel 5</t>
  </si>
  <si>
    <t>348 - Channel 5</t>
  </si>
  <si>
    <t>1222 - Channel</t>
  </si>
  <si>
    <t>349 - Channel 5</t>
  </si>
  <si>
    <t>1223 - Channel</t>
  </si>
  <si>
    <t>350 - Channel 5</t>
  </si>
  <si>
    <t>https://drive.google.com/open?id=10gFU8Ix5tpUyDyEBngjfcgCZT2aoKIPU</t>
  </si>
  <si>
    <t>351 - Channel 5</t>
  </si>
  <si>
    <t>352 - Channel 5</t>
  </si>
  <si>
    <t>https://drive.google.com/open?id=1yZhAqoR7Qa8EtuEMGk_O-JRrOU4_-jmO</t>
  </si>
  <si>
    <t>353 - Channel 5</t>
  </si>
  <si>
    <t>1224 - Channel</t>
  </si>
  <si>
    <t>354 - Channel 5</t>
  </si>
  <si>
    <t>1225 - Channel</t>
  </si>
  <si>
    <t>355 - Channel 5</t>
  </si>
  <si>
    <t>356 - Channel 5</t>
  </si>
  <si>
    <t>1226 - Channel</t>
  </si>
  <si>
    <t>357 - Channel 5</t>
  </si>
  <si>
    <t>https://drive.google.com/open?id=1ugYNe_DHVgcslwlhS5IxTf7b7RXQ6-sY</t>
  </si>
  <si>
    <t>358 - Channel 5</t>
  </si>
  <si>
    <t>359 - Channel 5</t>
  </si>
  <si>
    <t>https://drive.google.com/open?id=19UnL3OIA1ddmg0urpQbKEJjKBKiRWRnt</t>
  </si>
  <si>
    <t>360 - Channel 5</t>
  </si>
  <si>
    <t>361 - Channel 5</t>
  </si>
  <si>
    <t>1227 - Channel</t>
  </si>
  <si>
    <t>362 - Channel 5</t>
  </si>
  <si>
    <t>363 - Channel 5</t>
  </si>
  <si>
    <t>364 - Channel 5</t>
  </si>
  <si>
    <t>1228 - Channel</t>
  </si>
  <si>
    <t>365 - Channel 5</t>
  </si>
  <si>
    <t>366 - Channel 5</t>
  </si>
  <si>
    <t>1229 - Channel</t>
  </si>
  <si>
    <t>367 - Channel 5</t>
  </si>
  <si>
    <t>368 - Channel 5</t>
  </si>
  <si>
    <t>369 - Channel 5</t>
  </si>
  <si>
    <t>1230 - Channel</t>
  </si>
  <si>
    <t>370 - Channel 5</t>
  </si>
  <si>
    <t>371 - Channel 5</t>
  </si>
  <si>
    <t>1231 - Channel</t>
  </si>
  <si>
    <t>https://drive.google.com/open?id=12ahNzawGIvYGnGW3-kffHRAnKDWnkFLF</t>
  </si>
  <si>
    <t>372 - Channel 5</t>
  </si>
  <si>
    <t>373 - Channel 5</t>
  </si>
  <si>
    <t>374 - Channel 5</t>
  </si>
  <si>
    <t>1232 - Channel</t>
  </si>
  <si>
    <t>375 - Channel 5</t>
  </si>
  <si>
    <t>https://drive.google.com/open?id=1t_6aziyyrUfo5i4YKtYmV8DMNAVcnNJY</t>
  </si>
  <si>
    <t>376 - Channel 5</t>
  </si>
  <si>
    <t>377 - Channel 5</t>
  </si>
  <si>
    <t>378 - Channel 5</t>
  </si>
  <si>
    <t>379 - Channel 5</t>
  </si>
  <si>
    <t>1233 - Channel</t>
  </si>
  <si>
    <t>380 - Channel 5</t>
  </si>
  <si>
    <t>381 - Channel 5</t>
  </si>
  <si>
    <t>382 - Channel 5</t>
  </si>
  <si>
    <t>1234 - Channel</t>
  </si>
  <si>
    <t>383 - Channel 5</t>
  </si>
  <si>
    <t>384 - Channel 5</t>
  </si>
  <si>
    <t>385 - Channel 5</t>
  </si>
  <si>
    <t>1235 - Channel</t>
  </si>
  <si>
    <t>386 - Channel 5</t>
  </si>
  <si>
    <t>https://drive.google.com/open?id=1CRgjkGu2gvd4_E7piq8MLBJgk2HvINOK</t>
  </si>
  <si>
    <t>387 - Channel 5</t>
  </si>
  <si>
    <t>388 - Channel 5</t>
  </si>
  <si>
    <t>389 - Channel 5</t>
  </si>
  <si>
    <t>390 - Channel 5</t>
  </si>
  <si>
    <t>391 - Channel 5</t>
  </si>
  <si>
    <t>TBC</t>
  </si>
  <si>
    <t>1236 - Channel</t>
  </si>
  <si>
    <t>392 - Channel 5</t>
  </si>
  <si>
    <t>393 - Channel 5</t>
  </si>
  <si>
    <t>394 - Channel 5</t>
  </si>
  <si>
    <t>1237 - Channel</t>
  </si>
  <si>
    <t>395 - Channel 5</t>
  </si>
  <si>
    <t>396 - Channel 5</t>
  </si>
  <si>
    <t>1238 - Channel</t>
  </si>
  <si>
    <t>397 - Channel 5</t>
  </si>
  <si>
    <t>398 - Channel 5</t>
  </si>
  <si>
    <t>399 - Channel 5</t>
  </si>
  <si>
    <t>1239 - Channel</t>
  </si>
  <si>
    <t>400 - Channel 5</t>
  </si>
  <si>
    <t>401 - Channel 5</t>
  </si>
  <si>
    <t>402 - Channel 5</t>
  </si>
  <si>
    <t>1240 - Channel</t>
  </si>
  <si>
    <t>403 - Channel 5</t>
  </si>
  <si>
    <t>404 - Channel 5</t>
  </si>
  <si>
    <t>1241 - Channel</t>
  </si>
  <si>
    <t>405 - Channel 5</t>
  </si>
  <si>
    <t>406 - Channel 5</t>
  </si>
  <si>
    <t>407 - Channel 5</t>
  </si>
  <si>
    <t>1242 - Channel</t>
  </si>
  <si>
    <t>408 - Channel 5</t>
  </si>
  <si>
    <t>409 - Channel 5</t>
  </si>
  <si>
    <t>410 - Channel 5</t>
  </si>
  <si>
    <t>1243 - Channel</t>
  </si>
  <si>
    <t>https://drive.google.com/open?id=1E_IMpJA0U1lANpwbe8efxgOw72mms52z</t>
  </si>
  <si>
    <t>411 - Channel 5</t>
  </si>
  <si>
    <t>412 - Channel 5</t>
  </si>
  <si>
    <t>1244 - Channel</t>
  </si>
  <si>
    <t>413 - Channel 5</t>
  </si>
  <si>
    <t>414 - Channel 5</t>
  </si>
  <si>
    <t>1245 - Channel</t>
  </si>
  <si>
    <t>415 - Channel 5</t>
  </si>
  <si>
    <t>416 - Channel 5</t>
  </si>
  <si>
    <t>1246 - Channel</t>
  </si>
  <si>
    <t>417 - Channel 5</t>
  </si>
  <si>
    <t>418 - Channel 5</t>
  </si>
  <si>
    <t>419 - Channel 5</t>
  </si>
  <si>
    <t>1247 - Channel</t>
  </si>
  <si>
    <t>420 - Channel 5</t>
  </si>
  <si>
    <t>421 - Channel 5</t>
  </si>
  <si>
    <t>1248 - Channel</t>
  </si>
  <si>
    <t>422 - Channel 5</t>
  </si>
  <si>
    <t>423 - Channel 5</t>
  </si>
  <si>
    <t>424 - Channel 5</t>
  </si>
  <si>
    <t>1249 - Channel</t>
  </si>
  <si>
    <t>425 - Channel 5</t>
  </si>
  <si>
    <t>426 - Channel 5</t>
  </si>
  <si>
    <t>427 - Channel 5</t>
  </si>
  <si>
    <t>1250 - Channel</t>
  </si>
  <si>
    <t>428 - Channel 5</t>
  </si>
  <si>
    <t>429 - Channel 5</t>
  </si>
  <si>
    <t>1251 - Channel</t>
  </si>
  <si>
    <t>430 - Channel 5</t>
  </si>
  <si>
    <t>431 - Channel 5</t>
  </si>
  <si>
    <t>432 - Channel 5</t>
  </si>
  <si>
    <t>1252 - Channel</t>
  </si>
  <si>
    <t>433 - Channel 5</t>
  </si>
  <si>
    <t>434 - Channel 5</t>
  </si>
  <si>
    <t>1253 - Channel</t>
  </si>
  <si>
    <t>435 - Channel 5</t>
  </si>
  <si>
    <t>436 - Channel 5</t>
  </si>
  <si>
    <t>1254 - Channel</t>
  </si>
  <si>
    <t>437 - Channel 5</t>
  </si>
  <si>
    <t>438 - Channel 5</t>
  </si>
  <si>
    <t>439 - Channel 5</t>
  </si>
  <si>
    <t>1255 - Channel</t>
  </si>
  <si>
    <t>440 - Channel 5</t>
  </si>
  <si>
    <t>441 - Channel 5</t>
  </si>
  <si>
    <t>1256 - Channel</t>
  </si>
  <si>
    <t>442 - Channel 5</t>
  </si>
  <si>
    <t>443 - Channel 5</t>
  </si>
  <si>
    <t>https://drive.google.com/drive/folders/1k43WD7UiyZceJhy8a9TLr0jZDF99bJot</t>
  </si>
  <si>
    <t>444 - Channel 5</t>
  </si>
  <si>
    <t>445 - Channel 5</t>
  </si>
  <si>
    <t>The cost of health: Insurtech in a pandemic</t>
  </si>
  <si>
    <t>446 - Channel 5</t>
  </si>
  <si>
    <t>https://drive.google.com/open?id=100YLh-o1PV0PvEA5Qu0ZwYxOW9hxRB6y</t>
  </si>
  <si>
    <t>447 - Channel 5</t>
  </si>
  <si>
    <t>448 - Channel 5</t>
  </si>
  <si>
    <t>1257 - Channel</t>
  </si>
  <si>
    <t>449 - Channel 5</t>
  </si>
  <si>
    <t>450 - Channel 5</t>
  </si>
  <si>
    <t>1258 - Channel</t>
  </si>
  <si>
    <t>https://drive.google.com/drive/folders/1XsSTB2rBOOUgMfpCuJddf7f89lpvs2Xd</t>
  </si>
  <si>
    <t>https://drive.google.com/open?id=1GcnfomRQsFEQQhIgjD415zocm_FDiCKK</t>
  </si>
  <si>
    <t>https://drive.google.com/open?id=1645kPdFo3Fzz31y7PKceZfCSafvYOqZc</t>
  </si>
  <si>
    <t>1259 - Channel</t>
  </si>
  <si>
    <t>1260 - Channel</t>
  </si>
  <si>
    <t>https://drive.google.com/open?id=1bI3OhnMHPX_zEAewOIYAPhSYLtrBbQHm</t>
  </si>
  <si>
    <t>https://drive.google.com/drive/folders/1u7XVmy2HlVh2BtFIqf9C1lEBY_sb5x--</t>
  </si>
  <si>
    <t>Inside the hospitals of tomorrow</t>
  </si>
  <si>
    <t>https://drive.google.com/open?id=1hZ0B20p5OZU0hweUYLkp-fVV5l-hPikz</t>
  </si>
  <si>
    <t>1261 - Channel</t>
  </si>
  <si>
    <t>https://drive.google.com/drive/u/0/folders/1uW1AsP--W2bY2Sh014mW4OXD25LW31mY</t>
  </si>
  <si>
    <t>CH3 - Innovative materials</t>
  </si>
  <si>
    <t>https://drive.google.com/file/d/1a4rrP05QIVJKhUylsL6HpV3nB7aLiSRv/view</t>
  </si>
  <si>
    <t>https://drive.google.com/open?id=1MWSVHcaJbP135CbMOce1-SPfCr4F_aEn</t>
  </si>
  <si>
    <t>https://drive.google.com/open?id=1zHXg6Qq5tt-ZhwOKyYrqIiFCHVrHKsW9</t>
  </si>
  <si>
    <t>1262 - Channel</t>
  </si>
  <si>
    <t>https://drive.google.com/drive/u/0/folders/1xbRV6fTfka_qCDDfGQVovKj1qBqMKhdY</t>
  </si>
  <si>
    <t>CH3 - Decode empathy education</t>
  </si>
  <si>
    <t>00:09:18:15</t>
  </si>
  <si>
    <t>https://drive.google.com/open?id=1JX6lUEvXOkovp_ykf4BUwz9EgkqG5z4G</t>
  </si>
  <si>
    <t>1263 - Channel</t>
  </si>
  <si>
    <t>https://drive.google.com/open?id=1j8HM91d_xtyw2F-4dK350qZ7Oc3AMLh2</t>
  </si>
  <si>
    <t>Digital literacy for the community</t>
  </si>
  <si>
    <t>https://drive.google.com/open?id=1DfeayLQO550ImV74ofYACejEHJgF9wxB</t>
  </si>
  <si>
    <t>1264 - Channel</t>
  </si>
  <si>
    <t>https://drive.google.com/drive/u/0/folders/1JeX0vqkcb9fMu1QCZqU2g2PLOQWetvkr</t>
  </si>
  <si>
    <t xml:space="preserve">the sound on Martina Fuchs is quite tinny. I tried to bring it down. </t>
  </si>
  <si>
    <t>https://drive.google.com/open?id=13IThSbPB_u8B_smtt8GqtYOH8LNH-IRb</t>
  </si>
  <si>
    <t>1265 - Channel</t>
  </si>
  <si>
    <t>CANCELLED</t>
  </si>
  <si>
    <t xml:space="preserve">Closing the Gap: New Approaches to Asia	</t>
  </si>
  <si>
    <t>1266 - Channel</t>
  </si>
  <si>
    <t>Unassigned</t>
  </si>
  <si>
    <t>Major lagging issues - multiple words missed and so some sentences unsalvigable - will likely affect comprehension of the presentation</t>
  </si>
  <si>
    <t>https://drive.google.com/open?id=1iL0n4NiJ5xTA8Res_r_vvm7YMuCNA3_k</t>
  </si>
  <si>
    <t>1267 - Channel</t>
  </si>
  <si>
    <t>https://drive.google.com/open?id=12wygzbzjVLfgktZQK_d3jIOgrk2RpE41</t>
  </si>
  <si>
    <t>https://drive.google.com/drive/folders/1ABic8Df7oHp2FkyZxnvd1WWBN2-ZGSx-</t>
  </si>
  <si>
    <t>The marketing plays you need to know about</t>
  </si>
  <si>
    <t>1268 - Channel</t>
  </si>
  <si>
    <t>https://drive.google.com/drive/folders/1g-n_3rr4qs7WE7sVvkKWLPd1bVdvgaDM</t>
  </si>
  <si>
    <t xml:space="preserve">Reducing your environmental impact
</t>
  </si>
  <si>
    <t>https://drive.google.com/open?id=1SVT6Imqmb1LASYYzOTGcLjp5jko_nOry</t>
  </si>
  <si>
    <t>No channel header as it's surplus</t>
  </si>
  <si>
    <t>Awaiting CH header</t>
  </si>
  <si>
    <t>https://drive.google.com/file/d/1fXavqh9GtZyG3BJqM4IfAnGHy7R8IM3X/view</t>
  </si>
  <si>
    <t>1269 - Channel</t>
  </si>
  <si>
    <t>https://drive.google.com/drive/folders/1XyRorIqfSB74cOV6t4NRipx6CMPUnifS</t>
  </si>
  <si>
    <r>
      <t xml:space="preserve">No Producer notes - </t>
    </r>
    <r>
      <rPr/>
      <t>00:15:26:07</t>
    </r>
  </si>
  <si>
    <t>https://drive.google.com/open?id=164PKbDcrUomZztwkWR6-g5q6d2UAwT6L</t>
  </si>
  <si>
    <t>1270 - Channel</t>
  </si>
  <si>
    <t>https://drive.google.com/drive/folders/1FpkRI9UezWNSWQo_g0oxEXKHXx5AMH_T</t>
  </si>
  <si>
    <t>Building a paradigm of trust</t>
  </si>
  <si>
    <t>Runs 1 min over. Audio was out of sync. Slight lag on moderator during opening</t>
  </si>
  <si>
    <t>https://drive.google.com/open?id=1bDX99wtkYrk1ZI32gQT9UxDwE9xG9Jlk</t>
  </si>
  <si>
    <t>1271 - Channel</t>
  </si>
  <si>
    <t>https://drive.google.com/drive/folders/1P5FTARyi548foqTMC_neRe-EISJgWN6x</t>
  </si>
  <si>
    <t>Pushing the retail boundaries</t>
  </si>
  <si>
    <t>https://drive.google.com/open?id=154odg3gCZSO2tGmGXoCt18R5cwLZmtP-</t>
  </si>
  <si>
    <t>1272 - Channel</t>
  </si>
  <si>
    <t>1273 - Channel</t>
  </si>
  <si>
    <t>https://drive.google.com/drive/folders/1EPt6aX1_McbwpFjgdMlaQKbNqUsvuR-C</t>
  </si>
  <si>
    <t>https://drive.google.com/open?id=1bZ6fV5r4MnWliJ-W9Soi4apt70cqGSg0</t>
  </si>
  <si>
    <t>1274 - Channel</t>
  </si>
  <si>
    <t>https://drive.google.com/drive/folders/12VlrMobJhZ6CTTLaFSQh8bQKT_JdOBqO</t>
  </si>
  <si>
    <t>Was originally coming in at 13:24 so had to go to 1 Cam a couple of times towards the end to hide the edits</t>
  </si>
  <si>
    <t>https://drive.google.com/open?id=169qFYDB45-1PM39v0pPS-V-sNbCp7zS1</t>
  </si>
  <si>
    <t>1275 - Channel</t>
  </si>
  <si>
    <t>1276 - Channel</t>
  </si>
  <si>
    <t>1277 - Channel</t>
  </si>
  <si>
    <t>1278 - Channel</t>
  </si>
  <si>
    <t>https://drive.google.com/drive/folders/1dtGmiCaIjRwNwBwYHXSgD5W0JSmHYCMy</t>
  </si>
  <si>
    <t>Investing in Europe post-pandemic</t>
  </si>
  <si>
    <t>Duration: 15.11</t>
  </si>
  <si>
    <t>re-record not happening - WE</t>
  </si>
  <si>
    <t>https://drive.google.com/open?id=1D0kVsyt_fjfizlslvuKvsmdZfERikDMc</t>
  </si>
  <si>
    <t>1279 - Channel</t>
  </si>
  <si>
    <t>https://drive.google.com/drive/folders/1xcukzNsSpK0ZmG74B7GcV8LqDvzhnVIE</t>
  </si>
  <si>
    <t>https://drive.google.com/open?id=1ISd2WPd_qQW6JnlxbXlzK9cJK0-JVeKo</t>
  </si>
  <si>
    <t>1280 - Channel</t>
  </si>
  <si>
    <t>Mobile gaming and chilling</t>
  </si>
  <si>
    <t>1281 - Channel</t>
  </si>
  <si>
    <t>https://drive.google.com/drive/folders/194jPRJtygqA0JDrJOqg_U91xXXF0cfnV</t>
  </si>
  <si>
    <t>Duration: 12.17</t>
  </si>
  <si>
    <t>https://drive.google.com/open?id=1w1X13sr3uCJBFsDxVwRlfOUGv0PSQGgg</t>
  </si>
  <si>
    <t>1282 - Channel</t>
  </si>
  <si>
    <t>https://drive.google.com/drive/folders/10zs0MB4aXAsln3e3-CdZOeC-NNBJ68Cj</t>
  </si>
  <si>
    <t>Rebuilding the retail sector</t>
  </si>
  <si>
    <t>waiting on channel info - lw</t>
  </si>
  <si>
    <t>1283 - Channel</t>
  </si>
  <si>
    <t>https://drive.google.com/drive/folders/11wDqUplE4W5-25xB_slq5hWtmaKEeMa_</t>
  </si>
  <si>
    <t>https://drive.google.com/open?id=15Lb4_XhX8kXqvX0FrR3kF2bxvMlLjV_N</t>
  </si>
  <si>
    <t>https://drive.google.com/open?id=1cXXF0KlYePMrigEa4ZRffB2vcMAfqLE2</t>
  </si>
  <si>
    <t>1284 - Channel</t>
  </si>
  <si>
    <t>1285 - Channel</t>
  </si>
  <si>
    <t>1286 - Channel</t>
  </si>
  <si>
    <t>https://drive.google.com/drive/folders/1sG3VS00YxfQa6lUI5tmVqd2rgBvUAiWV</t>
  </si>
  <si>
    <t xml:space="preserve"> Smart investments in a pandemic</t>
  </si>
  <si>
    <t>Audio on Lu Zhang isn't great</t>
  </si>
  <si>
    <t>Cut at 5:50~, passable but a lag</t>
  </si>
  <si>
    <t>https://drive.google.com/open?id=1FSLplaiU842ulzVl2vBBP6L4A9a_myBy</t>
  </si>
  <si>
    <t>1287 - Channel</t>
  </si>
  <si>
    <t>1288 - Channel</t>
  </si>
  <si>
    <t>https://drive.google.com/drive/folders/1JEIwHRXP4jeZbqVDgN-5EgA95Ijnf5pu</t>
  </si>
  <si>
    <t>Audio and Footage is terrible and lags - I believe Wez said it is being rerecorded</t>
  </si>
  <si>
    <t>1289 - Channel</t>
  </si>
  <si>
    <t>https://drive.google.com/open?id=1U5tUJOIc_h2hpTbPDY6LnoyHdzWHr6xQ</t>
  </si>
  <si>
    <t>1290 - Channel</t>
  </si>
  <si>
    <t>https://drive.google.com/drive/folders/1ElcmahmvKsCGJ3pUMlG77iWXE_kX_31T</t>
  </si>
  <si>
    <t>https://drive.google.com/open?id=1w6eGwWlUDQ9EbMmKUKzJSCI5GvaZOtGV</t>
  </si>
  <si>
    <t>1291 - Channel</t>
  </si>
  <si>
    <t>https://drive.google.com/drive/folders/17FbhkqnUd9dITrrnI4hyatXw8KTDDtsD</t>
  </si>
  <si>
    <t>https://drive.google.com/open?id=1OA5GHR1QNCslBqy2_af2_ACpO9Vxaqd9</t>
  </si>
  <si>
    <t>Leading outside the box</t>
  </si>
  <si>
    <t>Total Length - 00:15:44:10</t>
  </si>
  <si>
    <t>Shorten to 15:35</t>
  </si>
  <si>
    <t>https://drive.google.com/open?id=1t9ud8JM8ChWhwEECIyfRanPxGrX6mArM</t>
  </si>
  <si>
    <t>1292 - Channel</t>
  </si>
  <si>
    <t>1293 - Channel</t>
  </si>
  <si>
    <t>https://drive.google.com/drive/folders/1A-N_PlCuKz8gvw3Rj3BHCey2CIHchynF</t>
  </si>
  <si>
    <t>https://drive.google.com/open?id=1CbVw35VI-ZYdgKyoNGmbCMMwyMWdOTC3</t>
  </si>
  <si>
    <t>1294 - Channel</t>
  </si>
  <si>
    <t>https://drive.google.com/drive/folders/1YKhFi13j48D7uijNO4j8F42z587tnYcm</t>
  </si>
  <si>
    <t>https://drive.google.com/open?id=1EHAmV8EeeP9XViKOPdc4R61GxENegfFz</t>
  </si>
  <si>
    <t>1295 - Channel</t>
  </si>
  <si>
    <t>1296 - Channel</t>
  </si>
  <si>
    <t>1297 - Channel</t>
  </si>
  <si>
    <t>https://drive.google.com/drive/folders/1eCEJ5GTd2CGYAbt5WSy2lTgEugNlp-jX</t>
  </si>
  <si>
    <t>00:02:58:15</t>
  </si>
  <si>
    <t>1298 - Channel</t>
  </si>
  <si>
    <t>https://drive.google.com/drive/u/0/folders/1H9OMUzLjvyo7o3kZ_a56GwQTCMJlo9GS</t>
  </si>
  <si>
    <t>Lots of out of sync sections, I think I fixed everything but let me know if anything was mixed - Speaker in top left is very laggy - 00:07:20:09 Speaker in top left lags out</t>
  </si>
  <si>
    <t>Pending with Video Team</t>
  </si>
  <si>
    <t>https://drive.google.com/open?id=1apztxuK8VWiNiX2KFbLp8jA8mULgoFSy</t>
  </si>
  <si>
    <t>1299 - Channel</t>
  </si>
  <si>
    <t>1300 - Channel</t>
  </si>
  <si>
    <t>1301 - Channel</t>
  </si>
  <si>
    <t>1302 - Channel</t>
  </si>
  <si>
    <t>1303 - Channel</t>
  </si>
  <si>
    <t>1304 - Channel</t>
  </si>
  <si>
    <t>1305 - Channel</t>
  </si>
  <si>
    <t>1306 - Channel</t>
  </si>
  <si>
    <t>1307 - Channel</t>
  </si>
  <si>
    <t>1308 - Channel</t>
  </si>
  <si>
    <t>1309 - Channel</t>
  </si>
  <si>
    <t>1310 - Channel</t>
  </si>
  <si>
    <t>1311 - Channel</t>
  </si>
  <si>
    <t>1312 - Channel</t>
  </si>
  <si>
    <t>1313 - Channel</t>
  </si>
  <si>
    <t>1314 - Channel</t>
  </si>
  <si>
    <t>1315 - Channel</t>
  </si>
  <si>
    <t>1316 - Channel</t>
  </si>
  <si>
    <t>1317 - Channel</t>
  </si>
  <si>
    <t>1318 - Channel</t>
  </si>
  <si>
    <t>1319 - Channel</t>
  </si>
  <si>
    <t>1320 - Channel</t>
  </si>
  <si>
    <t>1321 - Channel</t>
  </si>
  <si>
    <t>1322 - Channel</t>
  </si>
  <si>
    <t>1323 - Channel</t>
  </si>
  <si>
    <t>1324 - Channel</t>
  </si>
  <si>
    <t>1325 - Channel</t>
  </si>
  <si>
    <t>1326 - Channel</t>
  </si>
  <si>
    <t>1327 - Channel</t>
  </si>
  <si>
    <t>1328 - Channel</t>
  </si>
  <si>
    <t>1329 - Channel</t>
  </si>
  <si>
    <t>1330 - Channel</t>
  </si>
  <si>
    <t>1331 - Channel</t>
  </si>
  <si>
    <t>1332 - Channel</t>
  </si>
  <si>
    <t>1333 - Channel</t>
  </si>
  <si>
    <t>1334 - Channel</t>
  </si>
  <si>
    <t>1335 - Channel</t>
  </si>
  <si>
    <t>1336 - Channel</t>
  </si>
  <si>
    <t>1337 - Channel</t>
  </si>
  <si>
    <t>https://drive.google.com/drive/u/0/folders/1V3ILONswDF9Y2fBEoeW_uXwETG6B5fov</t>
  </si>
  <si>
    <t>Duration: 17.50, had to cut 1.49 and the moderator's audio was poor quality</t>
  </si>
  <si>
    <t>https://drive.google.com/open?id=1mB3IcaJtJkPtYXQnceRVOONWctDlP6LB</t>
  </si>
  <si>
    <t>1338 - Channel</t>
  </si>
  <si>
    <t>1339 - Channel</t>
  </si>
  <si>
    <t>1340 - Channel</t>
  </si>
  <si>
    <t>1341 - Channel</t>
  </si>
  <si>
    <t>1342 - Channel</t>
  </si>
  <si>
    <t>1343 - Channel</t>
  </si>
  <si>
    <t>1344 - Channel</t>
  </si>
  <si>
    <t>1345 - Channel</t>
  </si>
  <si>
    <t>1346 - Channel</t>
  </si>
  <si>
    <t>1347 - Channel</t>
  </si>
  <si>
    <t>1348 - Channel</t>
  </si>
  <si>
    <t>1349 - Channel</t>
  </si>
  <si>
    <t>1350 - Channel</t>
  </si>
  <si>
    <t>1351 - Channel</t>
  </si>
  <si>
    <t>1352 - Channel</t>
  </si>
  <si>
    <t>1353 - Channel</t>
  </si>
  <si>
    <t>1354 - Channel</t>
  </si>
  <si>
    <t>1355 - Channel</t>
  </si>
  <si>
    <t>1356 - Channel</t>
  </si>
  <si>
    <t>1357 - Channel</t>
  </si>
  <si>
    <t>1358 - Channel</t>
  </si>
  <si>
    <t>1359 - Channel</t>
  </si>
  <si>
    <t>1360 - Channel</t>
  </si>
  <si>
    <t>1361 - Channel</t>
  </si>
  <si>
    <t>https://drive.google.com/drive/u/0/folders/1d6jpUxzOuCyc-_ED3zNbCLk1HJRkOujo</t>
  </si>
  <si>
    <t>Video stream on some angles is poor and audio lags shortly in some areas due to recording lag and not sync issue</t>
  </si>
  <si>
    <t>https://drive.google.com/open?id=1Oa6cpMOWiG68IwyDel35UV-Ch1n4pwU1</t>
  </si>
  <si>
    <t>1362 - Channel</t>
  </si>
  <si>
    <t>1363 - Channel</t>
  </si>
  <si>
    <t>1364 - Channel</t>
  </si>
  <si>
    <t>1365 - Channel</t>
  </si>
  <si>
    <t>https://drive.google.com/drive/folders/1pQJeTjmg88ID5GV13D1CCs_oRpp8ZpUm</t>
  </si>
  <si>
    <t>1366 - Channel</t>
  </si>
  <si>
    <t>1367 - Channel</t>
  </si>
  <si>
    <t>1368 - Channel</t>
  </si>
  <si>
    <t>1369 - Channel</t>
  </si>
  <si>
    <t>https://drive.google.com/open?id=1_PUFFHGC0gtY9AOOHBWDY-yPL8XRPeq-</t>
  </si>
  <si>
    <t>1370 - Channel</t>
  </si>
  <si>
    <t>https://drive.google.com/file/d/1-E2uvTen0Lb7nLueOau1lAsISMfZCH7y/view</t>
  </si>
  <si>
    <t>1371 - Channel</t>
  </si>
  <si>
    <t>1372 - Channel</t>
  </si>
  <si>
    <t>1373 - Channel</t>
  </si>
  <si>
    <t>1374 - Channel</t>
  </si>
  <si>
    <t>1375 - Channel</t>
  </si>
  <si>
    <t>1376 - Channel</t>
  </si>
  <si>
    <t>https://drive.google.com/drive/u/0/folders/1CUmGWCI6F8LQB7eQr9kiESArVblWuVXx</t>
  </si>
  <si>
    <t xml:space="preserve">I cut the opening question down to remove the video lag that couldn’t be synced. I have played the audio over a 2 cam view of the two speakers to hide the unusable moderator.
@00:00:49 - I have cut out moderator’s section.  @00:01:57 cut down moderator’s question. @00:02:07 cut pack of speakers answer due to video lag. Cut section for narrative to make sense and flow. @03:12:05 - moderator’s question us unusable, so I have just cut to the next speaker on a 3 cam. @00:05:00 cut unusable moderator question and added 2 cam cover for end of question that can’t be synced. @00:06:23 moderators’ question is completely unusable. Covered with 2 cam. @00:07:28 Removed some of speakers answer due to video lag. Cannot be fixed so edited so answer would still make sense. @00:07:48 - used first half of moderators question but second half is unusable so covered with 2 cam. @00:08:49 removed section of speakers answer due to video lag. @00:09:37 - Trimmed question due to video lag. 
</t>
  </si>
  <si>
    <t>Mentions protests/BLM, WF has since released a statement a day after this talk (which is a copy of an internal email sent BEFORE this talk)</t>
  </si>
  <si>
    <t>1377 - Channel</t>
  </si>
  <si>
    <t>1378 - Channel</t>
  </si>
  <si>
    <t>1379 - Channel</t>
  </si>
  <si>
    <t>1380 - Channel</t>
  </si>
  <si>
    <t>1381 - Channel</t>
  </si>
  <si>
    <t>1382 - Channel</t>
  </si>
  <si>
    <t>1383 - Channel</t>
  </si>
  <si>
    <t>https://drive.google.com/drive/u/0/folders/13IScvlEnUU-MUZq0WdNYWCQN-K8f-RB2</t>
  </si>
  <si>
    <t>https://drive.google.com/open?id=1tHDHgjttxg7feAJ2NTlL9wSyj9y7tZl-</t>
  </si>
  <si>
    <t>1384 - Channel</t>
  </si>
  <si>
    <t>1385 - Channel</t>
  </si>
  <si>
    <t>1386 - Channel</t>
  </si>
  <si>
    <t>1387 - Channel</t>
  </si>
  <si>
    <t>1388 - Channel</t>
  </si>
  <si>
    <t>1389 - Channel</t>
  </si>
  <si>
    <t>1390 - Channel</t>
  </si>
  <si>
    <t>1391 - Channel</t>
  </si>
  <si>
    <t>1392 - Channel</t>
  </si>
  <si>
    <t>1393 - Channel</t>
  </si>
  <si>
    <t>1394 - Channel</t>
  </si>
  <si>
    <t>1395 - Channel</t>
  </si>
  <si>
    <t>1396 - Channel</t>
  </si>
  <si>
    <t>1397 - Channel</t>
  </si>
  <si>
    <t>1398 - Channel</t>
  </si>
  <si>
    <t>1399 - Channel</t>
  </si>
  <si>
    <t>https://drive.google.com/drive/folders/13IScvlEnUU-MUZq0WdNYWCQN-K8f-RB2</t>
  </si>
  <si>
    <t>1400 - Channel</t>
  </si>
  <si>
    <t>1401 - Channel</t>
  </si>
  <si>
    <t>1402 - Channel</t>
  </si>
  <si>
    <t>1403 - Channel</t>
  </si>
  <si>
    <t>1404 - Channel</t>
  </si>
  <si>
    <t>1405 - Channel</t>
  </si>
  <si>
    <t>1406 - Channel</t>
  </si>
  <si>
    <t>1407 - Channel</t>
  </si>
  <si>
    <t>1408 - Channel</t>
  </si>
  <si>
    <t>1409 - Channel</t>
  </si>
  <si>
    <t>1410 - Channel</t>
  </si>
  <si>
    <t>1411 - Channel</t>
  </si>
  <si>
    <t>1412 - Channel</t>
  </si>
  <si>
    <t>1413 - Channel</t>
  </si>
  <si>
    <t>1414 - Channel</t>
  </si>
  <si>
    <t>1415 - Channel</t>
  </si>
  <si>
    <t>https://drive.google.com/open?id=1QaSTOUsW5SXzAptcdn7Ouxptq7-coPEg</t>
  </si>
  <si>
    <t>1416 - Channel</t>
  </si>
  <si>
    <t>1417 - Channel</t>
  </si>
  <si>
    <t>1418 - Channel</t>
  </si>
  <si>
    <t>1419 - Channel</t>
  </si>
  <si>
    <t>1420 - Channel</t>
  </si>
  <si>
    <t>1421 - Channel</t>
  </si>
  <si>
    <t>1422 - Channel</t>
  </si>
  <si>
    <t>1423 - Channel</t>
  </si>
  <si>
    <t>1424 - Channel</t>
  </si>
  <si>
    <t>1425 - Channel</t>
  </si>
  <si>
    <t>1426 - Channel</t>
  </si>
  <si>
    <t>1427 - Channel</t>
  </si>
  <si>
    <t>1428 - Channel</t>
  </si>
  <si>
    <t>1429 - Channel</t>
  </si>
  <si>
    <t>1430 - Channel</t>
  </si>
  <si>
    <t>1431 - Channel</t>
  </si>
  <si>
    <t>1432 - Channel</t>
  </si>
  <si>
    <t>1433 - Channel</t>
  </si>
  <si>
    <t>1434 - Channel</t>
  </si>
  <si>
    <t>1435 - Channel</t>
  </si>
  <si>
    <t>1436 - Channel</t>
  </si>
  <si>
    <t>https://drive.google.com/drive/folders/1SYH6Jr4_A6LNcUlCSuCc_WS-m4HZkU4r</t>
  </si>
  <si>
    <t>1437 - Channel</t>
  </si>
  <si>
    <t>1438 - Channel</t>
  </si>
  <si>
    <t>1439 - Channel</t>
  </si>
  <si>
    <t>1440 - Channel</t>
  </si>
  <si>
    <t>1441 - Channel</t>
  </si>
  <si>
    <t>1442 - Channel</t>
  </si>
  <si>
    <t>1443 - Channel</t>
  </si>
  <si>
    <t>1444 - Channel</t>
  </si>
  <si>
    <t>1445 - Channel</t>
  </si>
  <si>
    <t>1446 - Channel</t>
  </si>
  <si>
    <t>https://drive.google.com/drive/folders/12VNymFvmYEX23TyoqlB0eihdxmB1poov</t>
  </si>
  <si>
    <t>1447 - Channel</t>
  </si>
  <si>
    <t>1448 - Channel</t>
  </si>
  <si>
    <t>1449 - Channel</t>
  </si>
  <si>
    <t>1450 - Channel</t>
  </si>
  <si>
    <t>1451 - Channel</t>
  </si>
  <si>
    <t>1452 - Channel</t>
  </si>
  <si>
    <t>1453 - Channel</t>
  </si>
  <si>
    <t>1454 - Channel</t>
  </si>
  <si>
    <t>1455 - Channel</t>
  </si>
  <si>
    <t>1456 - Channel</t>
  </si>
  <si>
    <t>1457 - Channel</t>
  </si>
  <si>
    <t>https://drive.google.com/drive/folders/1gdooiPpuXRquyOW2WMKSJSCdJoiIqcVW</t>
  </si>
  <si>
    <t>sporadic lag on both speakers throughout</t>
  </si>
  <si>
    <t>1458 - Channel</t>
  </si>
  <si>
    <t>1459 - Channel</t>
  </si>
  <si>
    <t>1460 - Channel</t>
  </si>
  <si>
    <t>1461 - Channel</t>
  </si>
  <si>
    <t>1462 - Channel</t>
  </si>
  <si>
    <t>1463 - Channel</t>
  </si>
  <si>
    <t>1464 - Channel</t>
  </si>
  <si>
    <t>1465 - Channel</t>
  </si>
  <si>
    <t>1466 - Channel</t>
  </si>
  <si>
    <t>1467 - Channel</t>
  </si>
  <si>
    <t>1468 - Channel</t>
  </si>
  <si>
    <t>1469 - Channel</t>
  </si>
  <si>
    <t>1470 - Channel</t>
  </si>
  <si>
    <t>1471 - Channel</t>
  </si>
  <si>
    <t>1472 - Channel</t>
  </si>
  <si>
    <t>1473 - Channel</t>
  </si>
  <si>
    <t>1474 - Channel</t>
  </si>
  <si>
    <t>1475 - Channel</t>
  </si>
  <si>
    <t>1476 - Channel</t>
  </si>
  <si>
    <t>1477 - Channel</t>
  </si>
  <si>
    <t>1478 - Channel</t>
  </si>
  <si>
    <t>1479 - Channel</t>
  </si>
  <si>
    <t>1480 - Channel</t>
  </si>
  <si>
    <t>1481 - Channel</t>
  </si>
  <si>
    <t>1482 - Channel</t>
  </si>
  <si>
    <t>1483 - Channel</t>
  </si>
  <si>
    <t>1484 - Channel</t>
  </si>
  <si>
    <t>1485 - Channel</t>
  </si>
  <si>
    <t>Ran 6 mins over, cut a question to make time | speaker audio keeps cutting out, happens pretty often througout | causes footage to go out of sync even after manual sync | Had to cut out a few questiosn to fit the time, flow seems to stay okay though</t>
  </si>
  <si>
    <t>1486 - Channel</t>
  </si>
  <si>
    <t>1487 - Channel</t>
  </si>
  <si>
    <t>1488 - Channel</t>
  </si>
  <si>
    <t>1489 - Channel</t>
  </si>
  <si>
    <t>1490 - Channel</t>
  </si>
  <si>
    <t>1491 - Channel</t>
  </si>
  <si>
    <t>1492 - Channel</t>
  </si>
  <si>
    <t>1493 - Channel</t>
  </si>
  <si>
    <t>https://drive.google.com/open?id=1s5Jseg2d3827NXK0cPIpI883CSYfKlwa</t>
  </si>
  <si>
    <t>1494 - Channel</t>
  </si>
  <si>
    <t>1495 - Channel</t>
  </si>
  <si>
    <t>1496 - Channel</t>
  </si>
  <si>
    <t>1497 - Channel</t>
  </si>
  <si>
    <t>1498 - Channel</t>
  </si>
  <si>
    <t>1499 - Channel</t>
  </si>
  <si>
    <t>1500 - Channel</t>
  </si>
  <si>
    <t>1501 - Channel</t>
  </si>
  <si>
    <t>1502 - Channel</t>
  </si>
  <si>
    <t>1503 - Channel</t>
  </si>
  <si>
    <t>1504 - Channel</t>
  </si>
  <si>
    <t>1505 - Channel</t>
  </si>
  <si>
    <t>1506 - Channel</t>
  </si>
  <si>
    <t>1507 - Channel</t>
  </si>
  <si>
    <t>1508 - Channel</t>
  </si>
  <si>
    <t>1509 - Channel</t>
  </si>
  <si>
    <t>1510 - Channel</t>
  </si>
  <si>
    <t>1511 - Channel</t>
  </si>
  <si>
    <t>1512 - Channel</t>
  </si>
  <si>
    <t>1513 - Channel</t>
  </si>
  <si>
    <t>1514 - Channel</t>
  </si>
  <si>
    <t>1515 - Channel</t>
  </si>
  <si>
    <t>1516 - Channel</t>
  </si>
  <si>
    <t>1517 - Channel</t>
  </si>
  <si>
    <t>1518 - Channel</t>
  </si>
  <si>
    <t>1519 - Channel</t>
  </si>
  <si>
    <t>1520 - Channel</t>
  </si>
  <si>
    <t>1521 - Channel</t>
  </si>
  <si>
    <t>1522 - Channel</t>
  </si>
  <si>
    <t>1523 - Channel</t>
  </si>
  <si>
    <t>1524 - Channel</t>
  </si>
  <si>
    <t>1525 - Channel</t>
  </si>
  <si>
    <t>1526 - Channel</t>
  </si>
  <si>
    <t>1527 - Channel</t>
  </si>
  <si>
    <t>1528 - Channel</t>
  </si>
  <si>
    <t>1529 - Channel</t>
  </si>
  <si>
    <t>1530 - Channel</t>
  </si>
  <si>
    <t>1531 - Channel</t>
  </si>
  <si>
    <t>1532 - Channel</t>
  </si>
  <si>
    <t>1533 - Channel</t>
  </si>
  <si>
    <t>1534 - Channel</t>
  </si>
  <si>
    <t>1535 - Channel</t>
  </si>
  <si>
    <t>1536 - Channel</t>
  </si>
  <si>
    <t>1537 - Channel</t>
  </si>
  <si>
    <t>1538 - Channel</t>
  </si>
  <si>
    <t>1539 - Channel</t>
  </si>
  <si>
    <t>1540 - Channel</t>
  </si>
  <si>
    <t>https://drive.google.com/drive/folders/1os17jCor7gWeZWhOOoiNb5aOkReLi_F2</t>
  </si>
  <si>
    <t>1541 - Channel</t>
  </si>
  <si>
    <t>1542 - Channel</t>
  </si>
  <si>
    <t>1543 - Channel</t>
  </si>
  <si>
    <t>1544 - Channel</t>
  </si>
  <si>
    <t>1545 - Channel</t>
  </si>
  <si>
    <t>1546 - Channel</t>
  </si>
  <si>
    <t>1547 - Channel</t>
  </si>
  <si>
    <t>1548 - Channel</t>
  </si>
  <si>
    <t>1549 - Channel</t>
  </si>
  <si>
    <t>1550 - Channel</t>
  </si>
  <si>
    <t>1551 - Channel</t>
  </si>
  <si>
    <t>1552 - Channel</t>
  </si>
  <si>
    <t>1553 - Channel</t>
  </si>
  <si>
    <t>1554 - Channel</t>
  </si>
  <si>
    <t>1555 - Channel</t>
  </si>
  <si>
    <t>1556 - Channel</t>
  </si>
  <si>
    <t>1557 - Channel</t>
  </si>
  <si>
    <t>1558 - Channel</t>
  </si>
  <si>
    <t>1559 - Channel</t>
  </si>
  <si>
    <t>1560 - Channel</t>
  </si>
  <si>
    <t>1561 - Channel</t>
  </si>
  <si>
    <t>1562 - Channel</t>
  </si>
  <si>
    <t>1563 - Channel</t>
  </si>
  <si>
    <t>1564 - Channel</t>
  </si>
  <si>
    <t>1565 - Channel</t>
  </si>
  <si>
    <t>1566 - Channel</t>
  </si>
  <si>
    <t>1567 - Channel</t>
  </si>
  <si>
    <t>1568 - Channel</t>
  </si>
  <si>
    <t>1569 - Channel</t>
  </si>
  <si>
    <t>1570 - Channel</t>
  </si>
  <si>
    <t>1571 - Channel</t>
  </si>
  <si>
    <t>1572 - Channel</t>
  </si>
  <si>
    <t>1573 - Channel</t>
  </si>
  <si>
    <t>1574 - Channel</t>
  </si>
  <si>
    <t>1575 - Channel</t>
  </si>
  <si>
    <t>1576 - Channel</t>
  </si>
  <si>
    <t>1577 - Channel</t>
  </si>
  <si>
    <t>1578 - Channel</t>
  </si>
  <si>
    <t>1579 - Channel</t>
  </si>
  <si>
    <t>1580 - Channel</t>
  </si>
  <si>
    <t>1581 - Channel</t>
  </si>
  <si>
    <t>1582 - Channel</t>
  </si>
  <si>
    <t>1583 - Channel</t>
  </si>
  <si>
    <t>1584 - Channel</t>
  </si>
  <si>
    <t>1585 - Channel</t>
  </si>
  <si>
    <t>1586 - Channel</t>
  </si>
  <si>
    <t>1587 - Channel</t>
  </si>
  <si>
    <t>1588 - Channel</t>
  </si>
  <si>
    <t>1589 - Channel</t>
  </si>
  <si>
    <t>1590 - Channel</t>
  </si>
  <si>
    <t>1591 - Channel</t>
  </si>
  <si>
    <t>1592 - Channel</t>
  </si>
  <si>
    <t>1593 - Channel</t>
  </si>
  <si>
    <t>1594 - Channel</t>
  </si>
  <si>
    <t>1595 - Channel</t>
  </si>
  <si>
    <t>1596 - Channel</t>
  </si>
  <si>
    <t>1597 - Channel</t>
  </si>
  <si>
    <t>1598 - Channel</t>
  </si>
  <si>
    <t>1599 - Channel</t>
  </si>
  <si>
    <t>1600 - Channel</t>
  </si>
  <si>
    <t>1601 - Channel</t>
  </si>
  <si>
    <t>1602 - Channel</t>
  </si>
  <si>
    <t>https://drive.google.com/drive/folders/1kFhq4jmrz7sVMrwSJ0pvOsdKICO0BxOZ</t>
  </si>
  <si>
    <t>Runs 1 min over. Audio was slightly out of sync</t>
  </si>
  <si>
    <t>1603 - Channel</t>
  </si>
  <si>
    <t>1604 - Channel</t>
  </si>
  <si>
    <t>1605 - Channel</t>
  </si>
  <si>
    <t>1606 - Channel</t>
  </si>
  <si>
    <t>1607 - Channel</t>
  </si>
  <si>
    <t>1608 - Channel</t>
  </si>
  <si>
    <t>1609 - Channel</t>
  </si>
  <si>
    <t>1610 - Channel</t>
  </si>
  <si>
    <t>1611 - Channel</t>
  </si>
  <si>
    <t>1612 - Channel</t>
  </si>
  <si>
    <t>1613 - Channel</t>
  </si>
  <si>
    <t>1614 - Channel</t>
  </si>
  <si>
    <t>1615 - Channel</t>
  </si>
  <si>
    <t>1616 - Channel</t>
  </si>
  <si>
    <t>1617 - Channel</t>
  </si>
  <si>
    <t>1618 - Channel</t>
  </si>
  <si>
    <t>1619 - Channel</t>
  </si>
  <si>
    <t>1620 - Channel</t>
  </si>
  <si>
    <t>1621 - Channel</t>
  </si>
  <si>
    <t>1622 - Channel</t>
  </si>
  <si>
    <t>1623 - Channel</t>
  </si>
  <si>
    <t>1624 - Channel</t>
  </si>
  <si>
    <t>1625 - Channel</t>
  </si>
  <si>
    <t>1626 - Channel</t>
  </si>
  <si>
    <t>1627 - Channel</t>
  </si>
  <si>
    <t>1628 - Channel</t>
  </si>
  <si>
    <t>1629 - Channel</t>
  </si>
  <si>
    <t>1630 - Channel</t>
  </si>
  <si>
    <t>1631 - Channel</t>
  </si>
  <si>
    <t>1632 - Channel</t>
  </si>
  <si>
    <t>1633 - Channel</t>
  </si>
  <si>
    <t>1634 - Channel</t>
  </si>
  <si>
    <t>1635 - Channel</t>
  </si>
  <si>
    <t>1636 - Channel</t>
  </si>
  <si>
    <t>1637 - Channel</t>
  </si>
  <si>
    <t>1638 - Channel</t>
  </si>
  <si>
    <t>1639 - Channel</t>
  </si>
  <si>
    <t>https://drive.google.com/drive/folders/1NW4MoQtFR2q4nqSDkgtm82gYNDzXrN0M</t>
  </si>
  <si>
    <t>1640 - Channel</t>
  </si>
  <si>
    <t>1641 - Channel</t>
  </si>
  <si>
    <t>1642 - Channel</t>
  </si>
  <si>
    <t>1643 - Channel</t>
  </si>
  <si>
    <t>1644 - Channel</t>
  </si>
  <si>
    <t>1645 - Channel</t>
  </si>
  <si>
    <t>1646 - Channel</t>
  </si>
  <si>
    <t>1647 - Channel</t>
  </si>
  <si>
    <t>1648 - Channel</t>
  </si>
  <si>
    <t>1649 - Channel</t>
  </si>
  <si>
    <t>1650 - Channel</t>
  </si>
  <si>
    <t>1651 - Channel</t>
  </si>
  <si>
    <t>1652 - Channel</t>
  </si>
  <si>
    <t>1653 - Channel</t>
  </si>
  <si>
    <t>1654 - Channel</t>
  </si>
  <si>
    <t>1655 - Channel</t>
  </si>
  <si>
    <t>1656 - Channel</t>
  </si>
  <si>
    <t>1657 - Channel</t>
  </si>
  <si>
    <t>1658 - Channel</t>
  </si>
  <si>
    <t>1659 - Channel</t>
  </si>
  <si>
    <t>1660 - Channel</t>
  </si>
  <si>
    <t>1661 - Channel</t>
  </si>
  <si>
    <t>1662 - Channel</t>
  </si>
  <si>
    <t>1663 - Channel</t>
  </si>
  <si>
    <t>1664 - Channel</t>
  </si>
  <si>
    <t>1665 - Channel</t>
  </si>
  <si>
    <t>1666 - Channel</t>
  </si>
  <si>
    <t>1667 - Channel</t>
  </si>
  <si>
    <t>1668 - Channel</t>
  </si>
  <si>
    <t>1669 - Channel</t>
  </si>
  <si>
    <t>1670 - Channel</t>
  </si>
  <si>
    <t>1671 - Channel</t>
  </si>
  <si>
    <t>1672 - Channel</t>
  </si>
  <si>
    <t>1673 - Channel</t>
  </si>
  <si>
    <t>1674 - Channel</t>
  </si>
  <si>
    <t>1675 - Channel</t>
  </si>
  <si>
    <t>1676 - Channel</t>
  </si>
  <si>
    <t>1677 - Channel</t>
  </si>
  <si>
    <t>1678 - Channel</t>
  </si>
  <si>
    <t>1679 - Channel</t>
  </si>
  <si>
    <t>1680 - Channel</t>
  </si>
  <si>
    <t>1681 - Channel</t>
  </si>
  <si>
    <t>1682 - Channel</t>
  </si>
  <si>
    <t>1683 - Channel</t>
  </si>
  <si>
    <t>1684 - Channel</t>
  </si>
  <si>
    <t>1685 - Channel</t>
  </si>
  <si>
    <t>1686 - Channel</t>
  </si>
  <si>
    <t>1687 - Channel</t>
  </si>
  <si>
    <t>1688 - Channel</t>
  </si>
  <si>
    <t>1689 - Channel</t>
  </si>
  <si>
    <t>1690 - Channel</t>
  </si>
  <si>
    <t>1691 - Channel</t>
  </si>
  <si>
    <t>1692 - Channel</t>
  </si>
  <si>
    <t>1693 - Channel</t>
  </si>
  <si>
    <t>1694 - Channel</t>
  </si>
  <si>
    <t>1695 - Channel</t>
  </si>
  <si>
    <t>1696 - Channel</t>
  </si>
  <si>
    <t>1697 - Channel</t>
  </si>
  <si>
    <t>1698 - Channel</t>
  </si>
  <si>
    <t>1699 - Channel</t>
  </si>
  <si>
    <t>1700 - Channel</t>
  </si>
  <si>
    <t>1701 - Channel</t>
  </si>
  <si>
    <t>1702 - Channel</t>
  </si>
  <si>
    <t>1703 - Channel</t>
  </si>
  <si>
    <t>1704 - Channel</t>
  </si>
  <si>
    <t>1705 - Channel</t>
  </si>
  <si>
    <t>1706 - Channel</t>
  </si>
  <si>
    <t>1707 - Channel</t>
  </si>
  <si>
    <t>1708 - Channel</t>
  </si>
  <si>
    <t>1709 - Channel</t>
  </si>
  <si>
    <t>1710 - Channel</t>
  </si>
  <si>
    <t>1711 - Channel</t>
  </si>
  <si>
    <t>1712 - Channel</t>
  </si>
  <si>
    <t>https://drive.google.com/file/d/1iuF48m3Mvjd3nGdAEU3eoTd6Vlf57ZD0/view</t>
  </si>
  <si>
    <t>1713 - Channel</t>
  </si>
  <si>
    <t>1714 - Channel</t>
  </si>
  <si>
    <t>1715 - Channel</t>
  </si>
  <si>
    <t>1716 - Channel</t>
  </si>
  <si>
    <t>NON-KEYNOTE 2 - Book moderator</t>
  </si>
  <si>
    <t>1717 - Channel</t>
  </si>
  <si>
    <t>1718 - Channel</t>
  </si>
  <si>
    <t>1719 - Channel</t>
  </si>
  <si>
    <t>1720 - Channel</t>
  </si>
  <si>
    <t>1721 - Channel</t>
  </si>
  <si>
    <t>1722 - Channel</t>
  </si>
  <si>
    <t>1723 - Channel</t>
  </si>
  <si>
    <t>1724 - Channel</t>
  </si>
  <si>
    <t>1725 - Channel</t>
  </si>
  <si>
    <t>1726 - Channel</t>
  </si>
  <si>
    <t>1727 - Channel</t>
  </si>
  <si>
    <t>1728 - Channel</t>
  </si>
  <si>
    <t>1729 - Channel</t>
  </si>
  <si>
    <t>1730 - Channel</t>
  </si>
  <si>
    <t>1731 - Channel</t>
  </si>
  <si>
    <t>1732 - Channel</t>
  </si>
  <si>
    <t>1733 - Channel</t>
  </si>
  <si>
    <t>1734 - Channel</t>
  </si>
  <si>
    <t>1735 - Channel</t>
  </si>
  <si>
    <t>1736 - Channel</t>
  </si>
  <si>
    <t>1737 - Channel</t>
  </si>
  <si>
    <t>1738 - Channel</t>
  </si>
  <si>
    <t>1739 - Channel</t>
  </si>
  <si>
    <t>1740 - Channel</t>
  </si>
  <si>
    <t>1741 - Channel</t>
  </si>
  <si>
    <t>1742 - Channel</t>
  </si>
  <si>
    <t>1743 - Channel</t>
  </si>
  <si>
    <t>1744 - Channel</t>
  </si>
  <si>
    <t>1745 - Channel</t>
  </si>
  <si>
    <t>1746 - Channel</t>
  </si>
  <si>
    <t>1747 - Channel</t>
  </si>
  <si>
    <t>1748 - Channel</t>
  </si>
  <si>
    <t>1749 - Channel</t>
  </si>
  <si>
    <t>1750 - Channel</t>
  </si>
  <si>
    <t>1751 - Channel</t>
  </si>
  <si>
    <t>1752 - Channel</t>
  </si>
  <si>
    <t>1753 - Channel</t>
  </si>
  <si>
    <t>1754 - Channel</t>
  </si>
  <si>
    <t>1755 - Channel</t>
  </si>
  <si>
    <t>1756 - Channel</t>
  </si>
  <si>
    <t>1757 - Channel</t>
  </si>
  <si>
    <t>1758 - Channel</t>
  </si>
  <si>
    <t>1759 - Channel</t>
  </si>
  <si>
    <t>1760 - Channel</t>
  </si>
  <si>
    <t>1761 - Channel</t>
  </si>
  <si>
    <t>1762 - Channel</t>
  </si>
  <si>
    <t>1763 - Channel</t>
  </si>
  <si>
    <t>1764 - Channel</t>
  </si>
  <si>
    <t>1765 - Channel</t>
  </si>
  <si>
    <t>1766 - Channel</t>
  </si>
  <si>
    <t>1767 - Channel</t>
  </si>
  <si>
    <t>1768 - Channel</t>
  </si>
  <si>
    <t>1769 - Channel</t>
  </si>
  <si>
    <t>1770 - Channel</t>
  </si>
  <si>
    <t>1771 - Channel</t>
  </si>
  <si>
    <t>1772 - Channel</t>
  </si>
  <si>
    <t>1773 - Channel</t>
  </si>
  <si>
    <t>1774 - Channel</t>
  </si>
  <si>
    <t>1775 - Channel</t>
  </si>
  <si>
    <t>1776 - Channel</t>
  </si>
  <si>
    <t>1777 - Channel</t>
  </si>
  <si>
    <t>1778 - Channel</t>
  </si>
  <si>
    <t>1779 - Channel</t>
  </si>
  <si>
    <t>1780 - Channel</t>
  </si>
  <si>
    <t>1781 - Channel</t>
  </si>
  <si>
    <t>1782 - Channel</t>
  </si>
  <si>
    <t>1783 - Channel</t>
  </si>
  <si>
    <t>1784 - Channel</t>
  </si>
  <si>
    <t>1785 - Channel</t>
  </si>
  <si>
    <t>1786 - Channel</t>
  </si>
  <si>
    <t>1787 - Channel</t>
  </si>
  <si>
    <t>1788 - Channel</t>
  </si>
  <si>
    <t>1789 - Channel</t>
  </si>
  <si>
    <t>1790 - Channel</t>
  </si>
  <si>
    <t>1791 - Channel</t>
  </si>
  <si>
    <t>1792 - Channel</t>
  </si>
  <si>
    <t>1793 - Channel</t>
  </si>
  <si>
    <t>1794 - Channel</t>
  </si>
  <si>
    <t>1795 - Channel</t>
  </si>
  <si>
    <t>1796 - Channel</t>
  </si>
  <si>
    <t>1797 - Channel</t>
  </si>
  <si>
    <t>1798 - Channel</t>
  </si>
  <si>
    <t>1799 - Channel</t>
  </si>
  <si>
    <t>1800 - Channel</t>
  </si>
  <si>
    <t>1801 - Channel</t>
  </si>
  <si>
    <t>1802 - Channel</t>
  </si>
  <si>
    <t>1803 - Channel</t>
  </si>
  <si>
    <t>1804 - Channel</t>
  </si>
  <si>
    <t>1805 - Channel</t>
  </si>
  <si>
    <t>1806 - Channel</t>
  </si>
  <si>
    <t>1807 - Channel</t>
  </si>
  <si>
    <t>1808 - Channel</t>
  </si>
  <si>
    <t>1809 - Channel</t>
  </si>
  <si>
    <t>1810 - Channel</t>
  </si>
  <si>
    <t>1811 - Channel</t>
  </si>
  <si>
    <t>1812 - Channel</t>
  </si>
  <si>
    <t>1813 - Channel</t>
  </si>
  <si>
    <t>1814 - Channel</t>
  </si>
  <si>
    <t>1815 - Channel</t>
  </si>
  <si>
    <t>1816 - Channel</t>
  </si>
  <si>
    <t>1817 - Channel</t>
  </si>
  <si>
    <t>1818 - Channel</t>
  </si>
  <si>
    <t>1819 - Channel</t>
  </si>
  <si>
    <t>1820 - Channel</t>
  </si>
  <si>
    <t>1821 - Channel</t>
  </si>
  <si>
    <t>1822 - Channel</t>
  </si>
  <si>
    <t>1823 - Channel</t>
  </si>
  <si>
    <t>1824 - Channel</t>
  </si>
  <si>
    <t>1825 - Channel</t>
  </si>
  <si>
    <t>1826 - Channel</t>
  </si>
  <si>
    <t>1827 - Channel</t>
  </si>
  <si>
    <t>1828 - Channel</t>
  </si>
  <si>
    <t>1829 - Channel</t>
  </si>
  <si>
    <t>1830 - Channel</t>
  </si>
  <si>
    <t>1831 - Channel</t>
  </si>
  <si>
    <t>1832 - Channel</t>
  </si>
  <si>
    <t>1833 - Channel</t>
  </si>
  <si>
    <t>1834 - Channel</t>
  </si>
  <si>
    <t>1835 - Channel</t>
  </si>
  <si>
    <t>1836 - Channel</t>
  </si>
  <si>
    <t>1837 - Channel</t>
  </si>
  <si>
    <t>1838 - Channel</t>
  </si>
  <si>
    <t>1839 - Channel</t>
  </si>
  <si>
    <t>1840 - Channel</t>
  </si>
  <si>
    <t>1841 - Channel</t>
  </si>
  <si>
    <t>1842 - Channel</t>
  </si>
  <si>
    <t>1843 - Channel</t>
  </si>
  <si>
    <t>1844 - Channel</t>
  </si>
  <si>
    <t>1845 - Channel</t>
  </si>
  <si>
    <t>1846 - Channel</t>
  </si>
  <si>
    <t>1847 - Channel</t>
  </si>
  <si>
    <t>1848 - Channel</t>
  </si>
  <si>
    <t>1849 - Channel</t>
  </si>
  <si>
    <t>1850 - Channel</t>
  </si>
  <si>
    <t>1851 - Channel</t>
  </si>
  <si>
    <t>1852 - Channel</t>
  </si>
  <si>
    <t>1853 - Channel</t>
  </si>
  <si>
    <t>1854 - Channel</t>
  </si>
  <si>
    <t>1855 - Channel</t>
  </si>
  <si>
    <t>1856 - Channel</t>
  </si>
  <si>
    <t>1857 - Channel</t>
  </si>
  <si>
    <t>1858 - Channel</t>
  </si>
  <si>
    <t>1859 - Channel</t>
  </si>
  <si>
    <t>1860 - Channel</t>
  </si>
  <si>
    <t>1861 - Channel</t>
  </si>
  <si>
    <t>1862 - Channel</t>
  </si>
  <si>
    <t>1863 - Channel</t>
  </si>
  <si>
    <t>1864 - Channel</t>
  </si>
  <si>
    <t>1865 - Channel</t>
  </si>
  <si>
    <t>1866 - Channel</t>
  </si>
  <si>
    <t>1867 - Channel</t>
  </si>
  <si>
    <t>1868 - Channel</t>
  </si>
  <si>
    <t>1869 - Channel</t>
  </si>
  <si>
    <t>1870 - Channel</t>
  </si>
  <si>
    <t>1871 - Channel</t>
  </si>
  <si>
    <t>1872 - Channel</t>
  </si>
  <si>
    <t>1873 - Channel</t>
  </si>
  <si>
    <t>1874 - Channel</t>
  </si>
  <si>
    <t>1875 - Channel</t>
  </si>
  <si>
    <t>1876 - Channel</t>
  </si>
  <si>
    <t>1877 - Channel</t>
  </si>
  <si>
    <t>1878 - Channel</t>
  </si>
  <si>
    <t>1879 - Channel</t>
  </si>
  <si>
    <t>1880 - Channel</t>
  </si>
  <si>
    <t>1881 - Channel</t>
  </si>
  <si>
    <t>1882 - Channel</t>
  </si>
  <si>
    <t>1883 - Channel</t>
  </si>
  <si>
    <t>1884 - Channel</t>
  </si>
  <si>
    <t>1885 - Channel</t>
  </si>
  <si>
    <t>1886 - Channel</t>
  </si>
  <si>
    <t>1887 - Channel</t>
  </si>
  <si>
    <t>1888 - Channel</t>
  </si>
  <si>
    <t>1889 - Channel</t>
  </si>
  <si>
    <t>1890 - Channel</t>
  </si>
  <si>
    <t>1891 - Channel</t>
  </si>
  <si>
    <t>1892 - Channel</t>
  </si>
  <si>
    <t>1893 - Channel</t>
  </si>
  <si>
    <t>1894 - Channel</t>
  </si>
  <si>
    <t>1895 - Channel</t>
  </si>
  <si>
    <t>1896 - Channel</t>
  </si>
  <si>
    <t>1897 - Channel</t>
  </si>
  <si>
    <t>1898 - Channel</t>
  </si>
  <si>
    <t>1899 - Channel</t>
  </si>
  <si>
    <t>1900 - Channel</t>
  </si>
  <si>
    <t>1901 - Channel</t>
  </si>
  <si>
    <t>1902 - Channel</t>
  </si>
  <si>
    <t>1903 - Channel</t>
  </si>
  <si>
    <t>1904 - Channel</t>
  </si>
  <si>
    <t>1905 - Channel</t>
  </si>
  <si>
    <t>1906 - Channel</t>
  </si>
  <si>
    <t>1907 - Channel</t>
  </si>
  <si>
    <t>1908 - Channel</t>
  </si>
  <si>
    <t>1909 - Channel</t>
  </si>
  <si>
    <t>1910 - Channel</t>
  </si>
  <si>
    <t>1911 - Channel</t>
  </si>
  <si>
    <t>1912 - Channel</t>
  </si>
  <si>
    <t>1913 - Channel</t>
  </si>
  <si>
    <t>1914 - Channel</t>
  </si>
  <si>
    <t>1915 - Channel</t>
  </si>
  <si>
    <t>1916 - Channel</t>
  </si>
  <si>
    <t>1917 - Channel</t>
  </si>
  <si>
    <t>1918 - Channel</t>
  </si>
  <si>
    <t>1919 - Channel</t>
  </si>
  <si>
    <t>1920 - Channel</t>
  </si>
  <si>
    <t>1921 - Channel</t>
  </si>
  <si>
    <t>1922 - Channel</t>
  </si>
  <si>
    <t>1923 - Channel</t>
  </si>
  <si>
    <t>1924 - Channel</t>
  </si>
  <si>
    <t>1925 - Channel</t>
  </si>
  <si>
    <t>1926 - Channel</t>
  </si>
  <si>
    <t>1927 - Channel</t>
  </si>
  <si>
    <t>1928 - Channel</t>
  </si>
  <si>
    <t>1929 - Channel</t>
  </si>
  <si>
    <t>1930 - Channel</t>
  </si>
  <si>
    <t>1931 - Channel</t>
  </si>
  <si>
    <t>1932 - Channel</t>
  </si>
  <si>
    <t>1933 - Channel</t>
  </si>
  <si>
    <t>1934 - Channel</t>
  </si>
  <si>
    <t>1935 - Channel</t>
  </si>
  <si>
    <t>1936 - Channel</t>
  </si>
  <si>
    <t>1937 - Channel</t>
  </si>
  <si>
    <t>1938 - Channel</t>
  </si>
  <si>
    <t>1939 - Channel</t>
  </si>
  <si>
    <t>1940 - Channel</t>
  </si>
  <si>
    <t>1941 - Channel</t>
  </si>
  <si>
    <t>1942 - Channel</t>
  </si>
  <si>
    <t>1943 - Channel</t>
  </si>
  <si>
    <t>1944 - Channel</t>
  </si>
  <si>
    <t>1945 - Channel</t>
  </si>
  <si>
    <t>1946 - Channel</t>
  </si>
  <si>
    <t>1947 - Channel</t>
  </si>
  <si>
    <t>1948 - Channel</t>
  </si>
  <si>
    <t>1949 - Channel</t>
  </si>
  <si>
    <t>1950 - Channel</t>
  </si>
  <si>
    <t>1951 - Channel</t>
  </si>
  <si>
    <t>1952 - Channel</t>
  </si>
  <si>
    <t>1953 - Channel</t>
  </si>
  <si>
    <t>1954 - Channel</t>
  </si>
  <si>
    <t>1955 - Channel</t>
  </si>
  <si>
    <t>1956 - Channel</t>
  </si>
  <si>
    <t>1957 - Channel</t>
  </si>
  <si>
    <t>1958 - Channel</t>
  </si>
  <si>
    <t>1959 - Channel</t>
  </si>
  <si>
    <t>1960 - Channel</t>
  </si>
  <si>
    <t>1961 - Channel</t>
  </si>
  <si>
    <t>1962 - Channel</t>
  </si>
  <si>
    <t>1963 - Channel</t>
  </si>
  <si>
    <t>1964 - Channel</t>
  </si>
  <si>
    <t>1965 - Channel</t>
  </si>
  <si>
    <t>1966 - Channel</t>
  </si>
  <si>
    <t>1967 - Channel</t>
  </si>
  <si>
    <t>1968 - Channel</t>
  </si>
  <si>
    <t>1969 - Channel</t>
  </si>
  <si>
    <t>1970 - Channel</t>
  </si>
  <si>
    <t>1971 - Channel</t>
  </si>
  <si>
    <t>1972 - Channel</t>
  </si>
  <si>
    <t>1973 - Channel</t>
  </si>
  <si>
    <t>1974 - Channel</t>
  </si>
  <si>
    <t>1975 - Channel</t>
  </si>
  <si>
    <t>1976 - Channel</t>
  </si>
  <si>
    <t>1977 - Channel</t>
  </si>
  <si>
    <t>1978 - Channel</t>
  </si>
  <si>
    <t>1979 - Channel</t>
  </si>
  <si>
    <t>1980 - Channel</t>
  </si>
  <si>
    <t>1981 - Channel</t>
  </si>
  <si>
    <t>1982 - Channel</t>
  </si>
  <si>
    <t>1983 - Channel</t>
  </si>
  <si>
    <t>1984 - Channel</t>
  </si>
  <si>
    <t>1985 - Channel</t>
  </si>
  <si>
    <t>1986 - Channel</t>
  </si>
  <si>
    <t>1987 - Channel</t>
  </si>
  <si>
    <t>1988 - Channel</t>
  </si>
  <si>
    <t>1989 - Channel</t>
  </si>
  <si>
    <t>1990 - Channel</t>
  </si>
  <si>
    <t>1991 - Channel</t>
  </si>
  <si>
    <t>1992 - Channel</t>
  </si>
  <si>
    <t>1993 - Channel</t>
  </si>
  <si>
    <t>1994 - Channel</t>
  </si>
  <si>
    <t>1995 - Channel</t>
  </si>
  <si>
    <t>1996 - Channel</t>
  </si>
  <si>
    <t>1997 - Channel</t>
  </si>
  <si>
    <t>1998 - Channel</t>
  </si>
  <si>
    <t>1999 - Channel</t>
  </si>
  <si>
    <t>2000 - Channel</t>
  </si>
  <si>
    <t>2001 - Channel</t>
  </si>
  <si>
    <t>2002 - Channel</t>
  </si>
  <si>
    <t>2003 - Channel</t>
  </si>
  <si>
    <t>2004 - Channel</t>
  </si>
  <si>
    <t>2005 - Channel</t>
  </si>
  <si>
    <t>2006 - Channel</t>
  </si>
  <si>
    <t>2007 - Channel</t>
  </si>
  <si>
    <t>2008 - Channel</t>
  </si>
  <si>
    <t>2009 - Channel</t>
  </si>
  <si>
    <t>2010 - Channel</t>
  </si>
  <si>
    <t>2011 - Channel</t>
  </si>
  <si>
    <t>2012 - Channel</t>
  </si>
  <si>
    <t>2013 - Channel</t>
  </si>
  <si>
    <t>2014 - Channel</t>
  </si>
  <si>
    <t>2015 - Channel</t>
  </si>
  <si>
    <t>2016 - Channel</t>
  </si>
  <si>
    <t>2017 - Channel</t>
  </si>
  <si>
    <t>2018 - Channel</t>
  </si>
  <si>
    <t>2019 - Channel</t>
  </si>
  <si>
    <t>2020 - Channel</t>
  </si>
  <si>
    <t>2021 - Channel</t>
  </si>
  <si>
    <t>2022 - Channel</t>
  </si>
  <si>
    <t>2023 - Channel</t>
  </si>
  <si>
    <t>2024 - Channel</t>
  </si>
  <si>
    <t>2025 - Channel</t>
  </si>
  <si>
    <t>2026 - Channel</t>
  </si>
  <si>
    <t>2027 - Channel</t>
  </si>
  <si>
    <t>2028 - Channel</t>
  </si>
  <si>
    <t>2029 - Channel</t>
  </si>
  <si>
    <t>2030 - Channel</t>
  </si>
  <si>
    <t>2031 - Channel</t>
  </si>
  <si>
    <t>2032 - Channel</t>
  </si>
  <si>
    <t>2033 - Channel</t>
  </si>
  <si>
    <t>2034 - Channel</t>
  </si>
  <si>
    <t>2035 - Channel</t>
  </si>
  <si>
    <t>2036 - Channel</t>
  </si>
  <si>
    <t>2037 - Channel</t>
  </si>
  <si>
    <t>2038 - Channel</t>
  </si>
  <si>
    <t>2039 - Channel</t>
  </si>
  <si>
    <t>2040 - Channel</t>
  </si>
  <si>
    <t>2041 - Channel</t>
  </si>
  <si>
    <t>2042 - Channel</t>
  </si>
  <si>
    <t>2043 - Channel</t>
  </si>
  <si>
    <t>2044 - Channel</t>
  </si>
  <si>
    <t>2045 - Channel</t>
  </si>
  <si>
    <t>2046 - Channel</t>
  </si>
  <si>
    <t>2047 - Channel</t>
  </si>
  <si>
    <t>2048 - Channel</t>
  </si>
  <si>
    <t>2049 - Channel</t>
  </si>
  <si>
    <t>2050 - Channel</t>
  </si>
  <si>
    <t>2051 - Channel</t>
  </si>
  <si>
    <t>2052 - Channel</t>
  </si>
  <si>
    <t>2053 - Channel</t>
  </si>
  <si>
    <t>2054 - Channel</t>
  </si>
  <si>
    <t>2055 - Channel</t>
  </si>
  <si>
    <t>2056 - Channel</t>
  </si>
  <si>
    <t>2057 - Channel</t>
  </si>
  <si>
    <t>2058 - Channel</t>
  </si>
  <si>
    <t>2059 - Channel</t>
  </si>
  <si>
    <t>2060 - Channel</t>
  </si>
  <si>
    <t>2061 - Channel</t>
  </si>
  <si>
    <t>2062 - Channel</t>
  </si>
  <si>
    <t>2063 - Channel</t>
  </si>
  <si>
    <t>2064 - Channel</t>
  </si>
  <si>
    <t>2065 - Channel</t>
  </si>
  <si>
    <t>2066 - Channel</t>
  </si>
  <si>
    <t>2067 - Channel</t>
  </si>
  <si>
    <t>2068 - Channel</t>
  </si>
  <si>
    <t>2069 - Channel</t>
  </si>
  <si>
    <t>2070 - Channel</t>
  </si>
  <si>
    <t>2071 - Channel</t>
  </si>
  <si>
    <t>2072 - Channel</t>
  </si>
  <si>
    <t>2073 - Channel</t>
  </si>
  <si>
    <t>2074 - Channel</t>
  </si>
  <si>
    <t>2075 - Channel</t>
  </si>
  <si>
    <t>2076 - Channel</t>
  </si>
  <si>
    <t>2077 - Channel</t>
  </si>
  <si>
    <t>2078 - Channel</t>
  </si>
  <si>
    <t>2079 - Channel</t>
  </si>
  <si>
    <t>2080 - Channel</t>
  </si>
  <si>
    <t>2081 - Channel</t>
  </si>
  <si>
    <t>2082 - Channel</t>
  </si>
  <si>
    <t>2083 - Channel</t>
  </si>
  <si>
    <t>2084 - Channel</t>
  </si>
  <si>
    <t>2085 - Channel</t>
  </si>
  <si>
    <t>2086 - Channel</t>
  </si>
  <si>
    <t>2087 - Channel</t>
  </si>
  <si>
    <t>2088 - Channel</t>
  </si>
  <si>
    <t>2089 - Channel</t>
  </si>
  <si>
    <t>2090 - Channel</t>
  </si>
  <si>
    <t>2091 - Channel</t>
  </si>
  <si>
    <t>2092 - Channel</t>
  </si>
  <si>
    <t>2093 - Channel</t>
  </si>
  <si>
    <t>2094 - Channel</t>
  </si>
  <si>
    <t>2095 - Channel</t>
  </si>
  <si>
    <t>2096 - Channel</t>
  </si>
  <si>
    <t>2097 - Channel</t>
  </si>
  <si>
    <t>2098 - Channel</t>
  </si>
  <si>
    <t>2099 - Channel</t>
  </si>
  <si>
    <t>2100 - Channel</t>
  </si>
  <si>
    <t>2101 - Channel</t>
  </si>
  <si>
    <t>2102 - Channel</t>
  </si>
  <si>
    <t>2103 - Channel</t>
  </si>
  <si>
    <t>2104 - Channel</t>
  </si>
  <si>
    <t>2105 - Channel</t>
  </si>
  <si>
    <t>2106 - Channel</t>
  </si>
  <si>
    <t>2107 - Channel</t>
  </si>
  <si>
    <t>2108 - Channel</t>
  </si>
  <si>
    <t>2109 - Channel</t>
  </si>
  <si>
    <t>2110 - Channel</t>
  </si>
  <si>
    <t>2111 - Channel</t>
  </si>
  <si>
    <t>2112 - Channel</t>
  </si>
  <si>
    <t>2113 - Channel</t>
  </si>
  <si>
    <t>2114 - Channel</t>
  </si>
  <si>
    <t>2115 - Channel</t>
  </si>
  <si>
    <t>2116 - Channel</t>
  </si>
  <si>
    <t>2117 - Channel</t>
  </si>
  <si>
    <t>2118 - Channel</t>
  </si>
  <si>
    <t>2119 - Channel</t>
  </si>
  <si>
    <t>2120 - Channel</t>
  </si>
  <si>
    <t>2121 - Channel</t>
  </si>
  <si>
    <t>2122 - Channel</t>
  </si>
  <si>
    <t>2123 - Channel</t>
  </si>
  <si>
    <t>2124 - Channel</t>
  </si>
  <si>
    <t>2125 - Channel</t>
  </si>
  <si>
    <t>2126 - Channel</t>
  </si>
  <si>
    <t>2127 - Channel</t>
  </si>
  <si>
    <t>2128 - Channel</t>
  </si>
  <si>
    <t>2129 - Channel</t>
  </si>
  <si>
    <t>2130 - Channel</t>
  </si>
  <si>
    <t>2131 - Channel</t>
  </si>
  <si>
    <t>2132 - Channel</t>
  </si>
  <si>
    <t>2133 - Channel</t>
  </si>
  <si>
    <t>2134 - Channel</t>
  </si>
  <si>
    <t>2135 - Channel</t>
  </si>
  <si>
    <t>2136 - Channel</t>
  </si>
  <si>
    <t>2137 - Channel</t>
  </si>
  <si>
    <t>2138 - Channel</t>
  </si>
  <si>
    <t>2139 - Channel</t>
  </si>
  <si>
    <t>2140 - Channel</t>
  </si>
  <si>
    <t>2141 - Channel</t>
  </si>
  <si>
    <t>2142 - Channel</t>
  </si>
  <si>
    <t>2143 - Channel</t>
  </si>
  <si>
    <t>2144 - Channel</t>
  </si>
  <si>
    <t>2145 - Channel</t>
  </si>
  <si>
    <t>2146 - Channel</t>
  </si>
  <si>
    <t>2147 - Channel</t>
  </si>
  <si>
    <t>2148 - Channel</t>
  </si>
  <si>
    <t>2149 - Channel</t>
  </si>
  <si>
    <t>2150 - Channel</t>
  </si>
  <si>
    <t>2151 - Channel</t>
  </si>
  <si>
    <t>2152 - Channel</t>
  </si>
  <si>
    <t>2153 - Channel</t>
  </si>
  <si>
    <t>2154 - Channel</t>
  </si>
  <si>
    <t>2155 - Channel</t>
  </si>
  <si>
    <t>2156 - Channel</t>
  </si>
  <si>
    <t>2157 - Channel</t>
  </si>
  <si>
    <t>2158 - Channel</t>
  </si>
  <si>
    <t>2159 - Channel</t>
  </si>
  <si>
    <t>2160 - Channel</t>
  </si>
  <si>
    <t>2161 - Channel</t>
  </si>
  <si>
    <t>2162 - Channel</t>
  </si>
  <si>
    <t>2163 - Channel</t>
  </si>
  <si>
    <t>2164 - Channel</t>
  </si>
  <si>
    <t>2165 - Channel</t>
  </si>
  <si>
    <t>2166 - Channel</t>
  </si>
  <si>
    <t>2167 - Channel</t>
  </si>
  <si>
    <t>2168 - Channel</t>
  </si>
  <si>
    <t>2169 - Channel</t>
  </si>
  <si>
    <t>2170 - Channel</t>
  </si>
  <si>
    <t>2171 - Channel</t>
  </si>
  <si>
    <t>2172 - Channel</t>
  </si>
  <si>
    <t>2173 - Channel</t>
  </si>
  <si>
    <t>2174 - Channel</t>
  </si>
  <si>
    <t>2175 - Channel</t>
  </si>
  <si>
    <t>2176 - Channel</t>
  </si>
  <si>
    <t>2177 - Channel</t>
  </si>
  <si>
    <t>2178 - Channel</t>
  </si>
  <si>
    <t>2179 - Channel</t>
  </si>
  <si>
    <t>2180 - Channel</t>
  </si>
  <si>
    <t>2181 - Channel</t>
  </si>
  <si>
    <t>2182 - Channel</t>
  </si>
  <si>
    <t>2183 - Channel</t>
  </si>
  <si>
    <t>2184 - Channel</t>
  </si>
  <si>
    <t>2185 - Channel</t>
  </si>
  <si>
    <t>2186 - Channel</t>
  </si>
  <si>
    <t>2187 - Channel</t>
  </si>
  <si>
    <t>2188 - Channel</t>
  </si>
  <si>
    <t>2189 - Channel</t>
  </si>
  <si>
    <t>2190 - Channel</t>
  </si>
  <si>
    <t>2191 - Channel</t>
  </si>
  <si>
    <t>2192 - Channel</t>
  </si>
  <si>
    <t>2193 - Channel</t>
  </si>
  <si>
    <t>2194 - Channel</t>
  </si>
  <si>
    <t>2195 - Channel</t>
  </si>
  <si>
    <t>2196 - Channel</t>
  </si>
  <si>
    <t>2197 - Channel</t>
  </si>
  <si>
    <t>2198 - Channel</t>
  </si>
  <si>
    <t>2199 - Channel</t>
  </si>
  <si>
    <t>2200 - Channel</t>
  </si>
  <si>
    <t>2201 - Channel</t>
  </si>
  <si>
    <t>2202 - Channel</t>
  </si>
  <si>
    <t>2203 - Channel</t>
  </si>
  <si>
    <t>2204 - Channel</t>
  </si>
  <si>
    <t>2205 - Channel</t>
  </si>
  <si>
    <t>2206 - Channel</t>
  </si>
  <si>
    <t>2207 - Channel</t>
  </si>
  <si>
    <t>2208 - Channel</t>
  </si>
  <si>
    <t>2209 - Channel</t>
  </si>
  <si>
    <t>2210 - Channel</t>
  </si>
  <si>
    <t>2211 - Channel</t>
  </si>
  <si>
    <t>2212 - Channel</t>
  </si>
  <si>
    <t>2213 - Channel</t>
  </si>
  <si>
    <t>2214 - Channel</t>
  </si>
  <si>
    <t>2215 - Channel</t>
  </si>
  <si>
    <t>2216 - Channel</t>
  </si>
  <si>
    <t>2217 - Channel</t>
  </si>
  <si>
    <t>2218 - Channel</t>
  </si>
  <si>
    <t>2219 - Channel</t>
  </si>
  <si>
    <t>2220 - Channel</t>
  </si>
  <si>
    <t>2221 - Channel</t>
  </si>
  <si>
    <t>2222 - Channel</t>
  </si>
  <si>
    <t>2223 - Channel</t>
  </si>
  <si>
    <t>2224 - Channel</t>
  </si>
  <si>
    <t>2225 - Channel</t>
  </si>
  <si>
    <t>2226 - Channel</t>
  </si>
  <si>
    <t>2227 - Channel</t>
  </si>
  <si>
    <t>2228 - Channel</t>
  </si>
  <si>
    <t>2229 - Channel</t>
  </si>
  <si>
    <t>2230 - Channel</t>
  </si>
  <si>
    <t>2231 - Channel</t>
  </si>
  <si>
    <t>2232 - Channel</t>
  </si>
  <si>
    <t>2233 - Channel</t>
  </si>
  <si>
    <t>2234 - Channel</t>
  </si>
  <si>
    <t>2235 - Channel</t>
  </si>
  <si>
    <t>2236 - Channel</t>
  </si>
  <si>
    <t>2237 - Channel</t>
  </si>
  <si>
    <t>2238 - Channel</t>
  </si>
  <si>
    <t>2239 - Channel</t>
  </si>
  <si>
    <t>2240 - Channel</t>
  </si>
  <si>
    <t>2241 - Channel</t>
  </si>
  <si>
    <t>2242 - Channel</t>
  </si>
  <si>
    <t>2243 - Channel</t>
  </si>
  <si>
    <t>2244 - Channel</t>
  </si>
  <si>
    <t>2245 - Channel</t>
  </si>
  <si>
    <t>2246 - Channel</t>
  </si>
  <si>
    <t>2247 - Channel</t>
  </si>
  <si>
    <t>2248 - Channel</t>
  </si>
  <si>
    <t>2249 - Channel</t>
  </si>
  <si>
    <t>2250 - Channel</t>
  </si>
  <si>
    <t>2251 - Channel</t>
  </si>
  <si>
    <t>2252 - Channel</t>
  </si>
  <si>
    <t>2253 - Channel</t>
  </si>
  <si>
    <t>2254 - Channel</t>
  </si>
  <si>
    <t>2255 - Channel</t>
  </si>
  <si>
    <t>2256 - Channel</t>
  </si>
  <si>
    <t>2257 - Channel</t>
  </si>
  <si>
    <t>2258 - Channel</t>
  </si>
  <si>
    <t>2259 - Channel</t>
  </si>
  <si>
    <t>2260 - Channel</t>
  </si>
  <si>
    <t>2261 - Channel</t>
  </si>
  <si>
    <t>2262 - Channel</t>
  </si>
  <si>
    <t>2263 - Channel</t>
  </si>
  <si>
    <t>2264 - Channel</t>
  </si>
  <si>
    <t>2265 - Channel</t>
  </si>
  <si>
    <t>2266 - Channel</t>
  </si>
  <si>
    <t>2267 - Channel</t>
  </si>
  <si>
    <t>2268 - Channel</t>
  </si>
  <si>
    <t>2269 - Channel</t>
  </si>
  <si>
    <t>2270 - Channel</t>
  </si>
  <si>
    <t>2271 - Channel</t>
  </si>
  <si>
    <t>2272 - Channel</t>
  </si>
  <si>
    <t>2273 - Channel</t>
  </si>
  <si>
    <t>2274 - Channel</t>
  </si>
  <si>
    <t>2275 - Channel</t>
  </si>
  <si>
    <t>2276 - Channel</t>
  </si>
  <si>
    <t>2277 - Channel</t>
  </si>
  <si>
    <t>2278 - Channel</t>
  </si>
  <si>
    <t>2279 - Channel</t>
  </si>
  <si>
    <t>2280 - Channel</t>
  </si>
  <si>
    <t>2281 - Channel</t>
  </si>
  <si>
    <t>2282 - Channel</t>
  </si>
  <si>
    <t>2283 - Channel</t>
  </si>
  <si>
    <t>2284 - Channel</t>
  </si>
  <si>
    <t>2285 - Channel</t>
  </si>
  <si>
    <t>2286 - Channel</t>
  </si>
  <si>
    <t>2287 - Channel</t>
  </si>
  <si>
    <t>2288 - Channel</t>
  </si>
  <si>
    <t>2289 - Channel</t>
  </si>
  <si>
    <t>2290 - Channel</t>
  </si>
  <si>
    <t>2291 - Channel</t>
  </si>
  <si>
    <t>2292 - Channel</t>
  </si>
  <si>
    <t>2293 - Channel</t>
  </si>
  <si>
    <t>2294 - Channel</t>
  </si>
  <si>
    <t>2295 - Channel</t>
  </si>
  <si>
    <t>2296 - Channel</t>
  </si>
  <si>
    <t>2297 - Channel</t>
  </si>
  <si>
    <t>2298 - Channel</t>
  </si>
  <si>
    <t>2299 - Channel</t>
  </si>
  <si>
    <t>2300 - Channel</t>
  </si>
  <si>
    <t>2301 - Channel</t>
  </si>
  <si>
    <t>2302 - Channel</t>
  </si>
  <si>
    <t>2303 - Channel</t>
  </si>
  <si>
    <t>2304 - Channel</t>
  </si>
  <si>
    <t>2305 - Channel</t>
  </si>
  <si>
    <t>2306 - Channel</t>
  </si>
  <si>
    <t>2307 - Channel</t>
  </si>
  <si>
    <t>2308 - Channel</t>
  </si>
  <si>
    <t>2309 - Channel</t>
  </si>
  <si>
    <t>2310 - Channel</t>
  </si>
  <si>
    <t>2311 - Channel</t>
  </si>
  <si>
    <t>2312 - Channel</t>
  </si>
  <si>
    <t>2313 - Channel</t>
  </si>
  <si>
    <t>2314 - Channel</t>
  </si>
  <si>
    <t>2315 - Channel</t>
  </si>
  <si>
    <t>2316 - Channel</t>
  </si>
  <si>
    <t>2317 - Channel</t>
  </si>
  <si>
    <t>2318 - Channel</t>
  </si>
  <si>
    <t>2319 - Channel</t>
  </si>
  <si>
    <t>2320 - Channel</t>
  </si>
  <si>
    <t>2321 - Channel</t>
  </si>
  <si>
    <t>2322 - Channel</t>
  </si>
  <si>
    <t>2323 - Channel</t>
  </si>
  <si>
    <t>2324 - Channel</t>
  </si>
  <si>
    <t>2325 - Channel</t>
  </si>
  <si>
    <t>2326 - Channel</t>
  </si>
  <si>
    <t>2327 - Channel</t>
  </si>
  <si>
    <t>2328 - Channel</t>
  </si>
  <si>
    <t>2329 - Channel</t>
  </si>
  <si>
    <t>2330 - Channel</t>
  </si>
  <si>
    <t>2331 - Channel</t>
  </si>
  <si>
    <t>2332 - Channel</t>
  </si>
  <si>
    <t>2333 - Channel</t>
  </si>
  <si>
    <t>2334 - Channel</t>
  </si>
  <si>
    <t>2335 - Channel</t>
  </si>
  <si>
    <t>2336 - Channel</t>
  </si>
  <si>
    <t>2337 - Channel</t>
  </si>
  <si>
    <t>2338 - Channel</t>
  </si>
  <si>
    <t>2339 - Channel</t>
  </si>
  <si>
    <t>2340 - Channel</t>
  </si>
  <si>
    <t>2341 - Channel</t>
  </si>
  <si>
    <t>2342 - Channel</t>
  </si>
  <si>
    <t>2343 - Channel</t>
  </si>
  <si>
    <t>2344 - Channel</t>
  </si>
  <si>
    <t>2345 - Channel</t>
  </si>
  <si>
    <t>2346 - Channel</t>
  </si>
  <si>
    <t>2347 - Channel</t>
  </si>
  <si>
    <t>2348 - Channel</t>
  </si>
  <si>
    <t>2349 - Channel</t>
  </si>
  <si>
    <t>2350 - Channel</t>
  </si>
  <si>
    <t>2351 - Channel</t>
  </si>
  <si>
    <t>2352 - Channel</t>
  </si>
  <si>
    <t>2353 - Channel</t>
  </si>
  <si>
    <t>2354 - Channel</t>
  </si>
  <si>
    <t>2355 - Channel</t>
  </si>
  <si>
    <t>2356 - Channel</t>
  </si>
  <si>
    <t>2357 - Channel</t>
  </si>
  <si>
    <t>2358 - Channel</t>
  </si>
  <si>
    <t>2359 - Channel</t>
  </si>
  <si>
    <t>2360 - Channel</t>
  </si>
  <si>
    <t>2361 - Channel</t>
  </si>
  <si>
    <t>2362 - Channel</t>
  </si>
  <si>
    <t>2363 - Channel</t>
  </si>
  <si>
    <t>2364 - Channel</t>
  </si>
  <si>
    <t>2365 - Channel</t>
  </si>
  <si>
    <t>2366 - Channel</t>
  </si>
  <si>
    <t>2367 - Channel</t>
  </si>
  <si>
    <t>2368 - Channel</t>
  </si>
  <si>
    <t>2369 - Channel</t>
  </si>
  <si>
    <t>2370 - Channel</t>
  </si>
  <si>
    <t>2371 - Channel</t>
  </si>
  <si>
    <t>2372 - Channel</t>
  </si>
  <si>
    <t>2373 - Channel</t>
  </si>
  <si>
    <t>2374 - Channel</t>
  </si>
  <si>
    <t>2375 - Channel</t>
  </si>
  <si>
    <t>2376 - Channel</t>
  </si>
  <si>
    <t>2377 - Channel</t>
  </si>
  <si>
    <t>2378 - Channel</t>
  </si>
  <si>
    <t>2379 - Channel</t>
  </si>
  <si>
    <t>2380 - Channel</t>
  </si>
  <si>
    <t>2381 - Channel</t>
  </si>
  <si>
    <t>2382 - Channel</t>
  </si>
  <si>
    <t>2383 - Channel</t>
  </si>
  <si>
    <t>2384 - Channel</t>
  </si>
  <si>
    <t>2385 - Channel</t>
  </si>
  <si>
    <t>2386 - Channel</t>
  </si>
  <si>
    <t>2387 - Channel</t>
  </si>
  <si>
    <t>2388 - Channel</t>
  </si>
  <si>
    <t>2389 - Channel</t>
  </si>
  <si>
    <t>FORMAT:  Luke VO &amp; title card with Q  &gt;&gt;&gt; clip 3 answers back to back</t>
  </si>
  <si>
    <t>2390 - Channel</t>
  </si>
  <si>
    <t>2391 - Channel</t>
  </si>
  <si>
    <t>2392 - Channel</t>
  </si>
  <si>
    <t>Question</t>
  </si>
  <si>
    <t>2393 - Channel</t>
  </si>
  <si>
    <t>Most influential person</t>
  </si>
  <si>
    <t>2394 - Channel</t>
  </si>
  <si>
    <t>Link to cut out clips</t>
  </si>
  <si>
    <t>2395 - Channel</t>
  </si>
  <si>
    <t>FEATURE PACKAGE _NAME</t>
  </si>
  <si>
    <t>fin link on NAS</t>
  </si>
  <si>
    <t>LENGTH</t>
  </si>
  <si>
    <t>2396 - Channel</t>
  </si>
  <si>
    <t>Talk</t>
  </si>
  <si>
    <t>Channel</t>
  </si>
  <si>
    <t>2397 - Channel</t>
  </si>
  <si>
    <t xml:space="preserve">Drive link to video file </t>
  </si>
  <si>
    <t xml:space="preserve">Time stamp start </t>
  </si>
  <si>
    <t xml:space="preserve">Time stamps fin </t>
  </si>
  <si>
    <t>2398 - Channel</t>
  </si>
  <si>
    <t>https://drive.google.com/drive/folders/1sR_rZaxrAutAmCJRsXqQjgcQUPyu-8OY</t>
  </si>
  <si>
    <t>2399 - Channel</t>
  </si>
  <si>
    <t>2400 - Channel</t>
  </si>
  <si>
    <t>2401 - Channel</t>
  </si>
  <si>
    <t>2402 - Channel</t>
  </si>
  <si>
    <t>2403 - Channel</t>
  </si>
  <si>
    <t>MTS_1</t>
  </si>
  <si>
    <t>2404 - Channel</t>
  </si>
  <si>
    <t>2405 - Channel</t>
  </si>
  <si>
    <t>2406 - Channel</t>
  </si>
  <si>
    <t>2407 - Channel</t>
  </si>
  <si>
    <t>Nikolaj Coster-Waldau</t>
  </si>
  <si>
    <t>2408 - Channel</t>
  </si>
  <si>
    <t>https://drive.google.com/drive/folders/1MqOsM7UtcTYBtIODHD6uSmGwmx1a7C0V</t>
  </si>
  <si>
    <t>2409 - Channel</t>
  </si>
  <si>
    <t>2410 - Channel</t>
  </si>
  <si>
    <t>01.20</t>
  </si>
  <si>
    <t>2411 - Channel</t>
  </si>
  <si>
    <t>01,47</t>
  </si>
  <si>
    <t xml:space="preserve">** </t>
  </si>
  <si>
    <t>2412 - Channel</t>
  </si>
  <si>
    <t>2413 - Channel</t>
  </si>
  <si>
    <t>2414 - Channel</t>
  </si>
  <si>
    <t>2415 - Channel</t>
  </si>
  <si>
    <t>2416 - Channel</t>
  </si>
  <si>
    <t>28:31</t>
  </si>
  <si>
    <t>28:49</t>
  </si>
  <si>
    <t xml:space="preserve">Mother is her inspiration as another sucessful woman </t>
  </si>
  <si>
    <t>2417 - Channel</t>
  </si>
  <si>
    <t>2418 - Channel</t>
  </si>
  <si>
    <t>Jeff Clavier</t>
  </si>
  <si>
    <t>State of the VC Nation</t>
  </si>
  <si>
    <t>https://drive.google.com/drive/u/0/folders/1GmNlWb5VtfT9O8p4U-Y613VZeMv8Juyt</t>
  </si>
  <si>
    <t>2419 - Channel</t>
  </si>
  <si>
    <t>2420 - Channel</t>
  </si>
  <si>
    <t>05:02</t>
  </si>
  <si>
    <t>06:03</t>
  </si>
  <si>
    <t>MTS_5</t>
  </si>
  <si>
    <t>2421 - Channel</t>
  </si>
  <si>
    <t>https://drive.google.com/open?id=1EmUgqxwBY1Bwp9IXaavc7D7XMSlspGut</t>
  </si>
  <si>
    <t>2422 - Channel</t>
  </si>
  <si>
    <t>2423 - Channel</t>
  </si>
  <si>
    <t>https://drive.google.com/drive/folders/1NLVhAXpAztIZyWRe7AIbD34NrqXquxnv</t>
  </si>
  <si>
    <t>2424 - Channel</t>
  </si>
  <si>
    <t>2425 - Channel</t>
  </si>
  <si>
    <t>22:22</t>
  </si>
  <si>
    <t>22:38</t>
  </si>
  <si>
    <t xml:space="preserve">Family - "skills to make the world a better place" - A lot of "uhm"ing </t>
  </si>
  <si>
    <t>2426 - Channel</t>
  </si>
  <si>
    <t>2427 - Channel</t>
  </si>
  <si>
    <t>Wesley Chan</t>
  </si>
  <si>
    <t>2428 - Channel</t>
  </si>
  <si>
    <t>2429 - Channel</t>
  </si>
  <si>
    <t>00:31</t>
  </si>
  <si>
    <t>01:20</t>
  </si>
  <si>
    <t>Larry Page</t>
  </si>
  <si>
    <t>2430 - Channel</t>
  </si>
  <si>
    <t>2431 - Channel</t>
  </si>
  <si>
    <t>https://drive.google.com/drive/folders/1Gx0t-nS6lpAH-8KJaHLpdt9dEfJm5bSm</t>
  </si>
  <si>
    <t>2432 - Channel</t>
  </si>
  <si>
    <t>2433 - Channel</t>
  </si>
  <si>
    <t>8.39</t>
  </si>
  <si>
    <t>9.13</t>
  </si>
  <si>
    <t xml:space="preserve">* make me believe software can really change the world " </t>
  </si>
  <si>
    <t>MTS_7</t>
  </si>
  <si>
    <t>https://drive.google.com/open?id=1wNBDyxwSIwH-vUneoSjsuRVDWgsWSK7l</t>
  </si>
  <si>
    <t>2434 - Channel</t>
  </si>
  <si>
    <t>2435 - Channel</t>
  </si>
  <si>
    <t xml:space="preserve">The next normal </t>
  </si>
  <si>
    <t>2436 - Channel</t>
  </si>
  <si>
    <t>2437 - Channel</t>
  </si>
  <si>
    <t>Duration: 3.00</t>
  </si>
  <si>
    <t>2438 - Channel</t>
  </si>
  <si>
    <t>49.39</t>
  </si>
  <si>
    <t>50.34</t>
  </si>
  <si>
    <t>2439 - Channel</t>
  </si>
  <si>
    <t>2440 - Channel</t>
  </si>
  <si>
    <t>2441 - Channel</t>
  </si>
  <si>
    <t>2442 - Channel</t>
  </si>
  <si>
    <t>15.24</t>
  </si>
  <si>
    <t>2443 - Channel</t>
  </si>
  <si>
    <t>16.26</t>
  </si>
  <si>
    <t>Don't necessarily need all of this clip - its a gooden though</t>
  </si>
  <si>
    <t>2444 - Channel</t>
  </si>
  <si>
    <t>2445 - Channel</t>
  </si>
  <si>
    <t>2446 - Channel</t>
  </si>
  <si>
    <t>https://drive.google.com/drive/u/0/folders/19QjPPpxSspLbVfq0iubpdxmg4p45E-9U</t>
  </si>
  <si>
    <t>2447 - Channel</t>
  </si>
  <si>
    <t>2448 - Channel</t>
  </si>
  <si>
    <t>34.29</t>
  </si>
  <si>
    <t>2449 - Channel</t>
  </si>
  <si>
    <t xml:space="preserve">35.04 </t>
  </si>
  <si>
    <t xml:space="preserve">lovely answer </t>
  </si>
  <si>
    <t>2450 - Channel</t>
  </si>
  <si>
    <t>MTS_15</t>
  </si>
  <si>
    <t xml:space="preserve">Amy Choyne </t>
  </si>
  <si>
    <t>2451 - Channel</t>
  </si>
  <si>
    <t>2452 - Channel</t>
  </si>
  <si>
    <t>35.22</t>
  </si>
  <si>
    <t>35.44</t>
  </si>
  <si>
    <t xml:space="preserve">Armani  - bit of an audio glitch </t>
  </si>
  <si>
    <t>2453 - Channel</t>
  </si>
  <si>
    <t>2454 - Channel</t>
  </si>
  <si>
    <t>https://drive.google.com/drive/folders/18BerSST9OOyqVy6gCG9olMV8_RYokhkD</t>
  </si>
  <si>
    <t>2455 - Channel</t>
  </si>
  <si>
    <t>12.47</t>
  </si>
  <si>
    <t>13.21</t>
  </si>
  <si>
    <t xml:space="preserve">His step father </t>
  </si>
  <si>
    <t>2456 - Channel</t>
  </si>
  <si>
    <t>2457 - Channel</t>
  </si>
  <si>
    <t>2458 - Channel</t>
  </si>
  <si>
    <t>2459 - Channel</t>
  </si>
  <si>
    <t>MTS_16</t>
  </si>
  <si>
    <t>Ro Khanna</t>
  </si>
  <si>
    <t>2460 - Channel</t>
  </si>
  <si>
    <t>2461 - Channel</t>
  </si>
  <si>
    <t>2462 - Channel</t>
  </si>
  <si>
    <t>2463 - Channel</t>
  </si>
  <si>
    <t>2464 - Channel</t>
  </si>
  <si>
    <t>2465 - Channel</t>
  </si>
  <si>
    <t>2466 - Channel</t>
  </si>
  <si>
    <t>MTS_18</t>
  </si>
  <si>
    <t xml:space="preserve">LL Cool J </t>
  </si>
  <si>
    <t>2467 - Channel</t>
  </si>
  <si>
    <t>2468 - Channel</t>
  </si>
  <si>
    <t>2469 - Channel</t>
  </si>
  <si>
    <t xml:space="preserve">Granny </t>
  </si>
  <si>
    <t>2470 - Channel</t>
  </si>
  <si>
    <t>https://drive.google.com/drive/folders/1dNicnbBrrwOhLanaxpEkGdEYv6w0UmZI</t>
  </si>
  <si>
    <t>2471 - Channel</t>
  </si>
  <si>
    <t>2472 - Channel</t>
  </si>
  <si>
    <t xml:space="preserve">Recession proofing your company </t>
  </si>
  <si>
    <t>2473 - Channel</t>
  </si>
  <si>
    <t>2474 - Channel</t>
  </si>
  <si>
    <t>36.50</t>
  </si>
  <si>
    <t>37.10</t>
  </si>
  <si>
    <t>2475 - Channel</t>
  </si>
  <si>
    <t>2476 - Channel</t>
  </si>
  <si>
    <t xml:space="preserve">37.28 </t>
  </si>
  <si>
    <t>37.50</t>
  </si>
  <si>
    <t>2477 - Channel</t>
  </si>
  <si>
    <t>Nithya Thadani</t>
  </si>
  <si>
    <t>2478 - Channel</t>
  </si>
  <si>
    <t>19:00</t>
  </si>
  <si>
    <t>19:48</t>
  </si>
  <si>
    <t>2479 - Channel</t>
  </si>
  <si>
    <t>2480 - Channel</t>
  </si>
  <si>
    <t>2481 - Channel</t>
  </si>
  <si>
    <t>2482 - Channel</t>
  </si>
  <si>
    <t>21:35</t>
  </si>
  <si>
    <t>21:57</t>
  </si>
  <si>
    <t xml:space="preserve">Arist- very descriptive "Paint these massive paintings on a blank canvass", "Magic out of nothing" </t>
  </si>
  <si>
    <t>Mark Gainey, Strava</t>
  </si>
  <si>
    <t>2483 - Channel</t>
  </si>
  <si>
    <t>2484 - Channel</t>
  </si>
  <si>
    <t>22:03</t>
  </si>
  <si>
    <t>22:16</t>
  </si>
  <si>
    <t>Best friend &amp; co-founder- Thanks for taking the risk &amp; sharing the load</t>
  </si>
  <si>
    <t>Connie Loisez</t>
  </si>
  <si>
    <t>2485 - Channel</t>
  </si>
  <si>
    <t>2486 - Channel</t>
  </si>
  <si>
    <t>2487 - Channel</t>
  </si>
  <si>
    <t>03:14</t>
  </si>
  <si>
    <t>03:56</t>
  </si>
  <si>
    <t>2488 - Channel</t>
  </si>
  <si>
    <t>Kurt Wagner</t>
  </si>
  <si>
    <t>2489 - Channel</t>
  </si>
  <si>
    <t>2490 - Channel</t>
  </si>
  <si>
    <t>02:10</t>
  </si>
  <si>
    <t>?</t>
  </si>
  <si>
    <t>Hilary Coles</t>
  </si>
  <si>
    <t>2491 - Channel</t>
  </si>
  <si>
    <t>2492 - Channel</t>
  </si>
  <si>
    <t>03:35</t>
  </si>
  <si>
    <t>2493 - Channel</t>
  </si>
  <si>
    <t>Danica Marinac-Dabic, Food &amp; Drug Administration</t>
  </si>
  <si>
    <t>Do your own health data</t>
  </si>
  <si>
    <t>2494 - Channel</t>
  </si>
  <si>
    <t>2495 - Channel</t>
  </si>
  <si>
    <t>26:00:00</t>
  </si>
  <si>
    <t>27:35:00</t>
  </si>
  <si>
    <t>Question phrased is different- Different answer</t>
  </si>
  <si>
    <t>2496 - Channel</t>
  </si>
  <si>
    <t>2497 - Channel</t>
  </si>
  <si>
    <t>29:27:00</t>
  </si>
  <si>
    <t>31:18:00</t>
  </si>
  <si>
    <t>2498 - Channel</t>
  </si>
  <si>
    <t xml:space="preserve">Doctor Rosia? </t>
  </si>
  <si>
    <t>2499 - Channel</t>
  </si>
  <si>
    <t>27:37:00</t>
  </si>
  <si>
    <t>29:08:00</t>
  </si>
  <si>
    <t>2500 - Channel</t>
  </si>
  <si>
    <t>2501 - Channel</t>
  </si>
  <si>
    <t>2502 - Channel</t>
  </si>
  <si>
    <t>2503 - Channel</t>
  </si>
  <si>
    <t>11.48</t>
  </si>
  <si>
    <t>12.06</t>
  </si>
  <si>
    <t xml:space="preserve">His mother, single mom </t>
  </si>
  <si>
    <t xml:space="preserve">Content from home: Tiktoks greatest challenge </t>
  </si>
  <si>
    <t>https://drive.google.com/open?id=1RiAoxmdXhEfRBTS_ckNgehFZqMBBslI0</t>
  </si>
  <si>
    <t>2504 - Channel</t>
  </si>
  <si>
    <t>2505 - Channel</t>
  </si>
  <si>
    <t xml:space="preserve">Full clip </t>
  </si>
  <si>
    <t>Full clip</t>
  </si>
  <si>
    <t>Nicholas Negroponte</t>
  </si>
  <si>
    <t>2506 - Channel</t>
  </si>
  <si>
    <t>2507 - Channel</t>
  </si>
  <si>
    <t>2.50</t>
  </si>
  <si>
    <t>3.22</t>
  </si>
  <si>
    <t>Jerome - I hope you think i did a good job</t>
  </si>
  <si>
    <t>2508 - Channel</t>
  </si>
  <si>
    <t>Jessica Lessin</t>
  </si>
  <si>
    <t>https://drive.google.com/drive/folders/19tCxe3_oEojQXg_EQUtW0r47vRjdS3h8</t>
  </si>
  <si>
    <t>2509 - Channel</t>
  </si>
  <si>
    <t>2510 - Channel</t>
  </si>
  <si>
    <t>18.08</t>
  </si>
  <si>
    <t>18.20</t>
  </si>
  <si>
    <t>big thank you</t>
  </si>
  <si>
    <t>2511 - Channel</t>
  </si>
  <si>
    <t>2512 - Channel</t>
  </si>
  <si>
    <t>2513 - Channel</t>
  </si>
  <si>
    <t>47.32</t>
  </si>
  <si>
    <t>48.33</t>
  </si>
  <si>
    <t>Got emotional - sweet</t>
  </si>
  <si>
    <t>2514 - Channel</t>
  </si>
  <si>
    <t>2515 - Channel</t>
  </si>
  <si>
    <t>2516 - Channel</t>
  </si>
  <si>
    <t>2517 - Channel</t>
  </si>
  <si>
    <t>2518 - Channel</t>
  </si>
  <si>
    <t>2519 - Channel</t>
  </si>
  <si>
    <t>2520 - Channel</t>
  </si>
  <si>
    <t>2521 - Channel</t>
  </si>
  <si>
    <t>42.30</t>
  </si>
  <si>
    <t xml:space="preserve">43.46 </t>
  </si>
  <si>
    <t xml:space="preserve">3 parts - all very good and impactful </t>
  </si>
  <si>
    <t>2522 - Channel</t>
  </si>
  <si>
    <t>2523 - Channel</t>
  </si>
  <si>
    <t>2524 - Channel</t>
  </si>
  <si>
    <t>2525 - Channel</t>
  </si>
  <si>
    <t>2526 - Channel</t>
  </si>
  <si>
    <t>2527 - Channel</t>
  </si>
  <si>
    <t>2528 - Channel</t>
  </si>
  <si>
    <t>2529 - Channel</t>
  </si>
  <si>
    <t>2530 - Channel</t>
  </si>
  <si>
    <t>2531 - Channel</t>
  </si>
  <si>
    <t>2532 - Channel</t>
  </si>
  <si>
    <t>2533 - Channel</t>
  </si>
  <si>
    <t>2534 - Channel</t>
  </si>
  <si>
    <t xml:space="preserve">What have your learnt during lockdown? </t>
  </si>
  <si>
    <t>2535 - Channel</t>
  </si>
  <si>
    <t>2536 - Channel</t>
  </si>
  <si>
    <t>2537 - Channel</t>
  </si>
  <si>
    <t>2538 - Channel</t>
  </si>
  <si>
    <t>MTS_3</t>
  </si>
  <si>
    <t>https://drive.google.com/open?id=1iuF48m3Mvjd3nGdAEU3eoTd6Vlf57ZD0</t>
  </si>
  <si>
    <t>2539 - Channel</t>
  </si>
  <si>
    <t>2540 - Channel</t>
  </si>
  <si>
    <t>Surplus</t>
  </si>
  <si>
    <t>2541 - Channel</t>
  </si>
  <si>
    <t>2542 - Channel</t>
  </si>
  <si>
    <t>00.07</t>
  </si>
  <si>
    <t>2543 - Channel</t>
  </si>
  <si>
    <t>00.22</t>
  </si>
  <si>
    <t>Funny - go to the gas station for fun now</t>
  </si>
  <si>
    <t>2544 - Channel</t>
  </si>
  <si>
    <t>2545 - Channel</t>
  </si>
  <si>
    <t>Michele Romanow</t>
  </si>
  <si>
    <t>Time to ditch the Silicon Valley way</t>
  </si>
  <si>
    <t>2546 - Channel</t>
  </si>
  <si>
    <t>2547 - Channel</t>
  </si>
  <si>
    <t>1.05</t>
  </si>
  <si>
    <t>1.16</t>
  </si>
  <si>
    <t>compulsive cleaner</t>
  </si>
  <si>
    <t>2548 - Channel</t>
  </si>
  <si>
    <t>2549 - Channel</t>
  </si>
  <si>
    <t>2550 - Channel</t>
  </si>
  <si>
    <t>2551 - Channel</t>
  </si>
  <si>
    <t>https://drive.google.com/open?id=1bfDQlxKYOKKXq5j5dkYfjElRtY6v-uvH</t>
  </si>
  <si>
    <t>2552 - Channel</t>
  </si>
  <si>
    <t>2553 - Channel</t>
  </si>
  <si>
    <t>2554 - Channel</t>
  </si>
  <si>
    <t>MTS_4</t>
  </si>
  <si>
    <t>https://drive.google.com/open?id=1wHGxNZiIcAtRQ3FAt0lG0RxKiUT9OQQc</t>
  </si>
  <si>
    <t>2555 - Channel</t>
  </si>
  <si>
    <t>2556 - Channel</t>
  </si>
  <si>
    <t>2557 - Channel</t>
  </si>
  <si>
    <t>2558 - Channel</t>
  </si>
  <si>
    <t>2559 - Channel</t>
  </si>
  <si>
    <t>2560 - Channel</t>
  </si>
  <si>
    <t>2561 - Channel</t>
  </si>
  <si>
    <t>01.15</t>
  </si>
  <si>
    <t>2562 - Channel</t>
  </si>
  <si>
    <t>01.22</t>
  </si>
  <si>
    <t>I actually like people</t>
  </si>
  <si>
    <t>2563 - Channel</t>
  </si>
  <si>
    <t>2564 - Channel</t>
  </si>
  <si>
    <t>2565 - Channel</t>
  </si>
  <si>
    <t>2566 - Channel</t>
  </si>
  <si>
    <t>2567 - Channel</t>
  </si>
  <si>
    <t xml:space="preserve">Alex Lazarow </t>
  </si>
  <si>
    <t>2568 - Channel</t>
  </si>
  <si>
    <t>2569 - Channel</t>
  </si>
  <si>
    <t>2570 - Channel</t>
  </si>
  <si>
    <t>2571 - Channel</t>
  </si>
  <si>
    <t xml:space="preserve">6.23 </t>
  </si>
  <si>
    <t>6.33</t>
  </si>
  <si>
    <t>*bit glitchy - good at avoiding changing poopy diapers</t>
  </si>
  <si>
    <t>2572 - Channel</t>
  </si>
  <si>
    <t>2573 - Channel</t>
  </si>
  <si>
    <t>2574 - Channel</t>
  </si>
  <si>
    <t>2575 - Channel</t>
  </si>
  <si>
    <t>2576 - Channel</t>
  </si>
  <si>
    <t>2577 - Channel</t>
  </si>
  <si>
    <t>3.48</t>
  </si>
  <si>
    <t>4.12</t>
  </si>
  <si>
    <t>surprised how similar it is to his life before lockdown</t>
  </si>
  <si>
    <t>MTS_8</t>
  </si>
  <si>
    <t>2578 - Channel</t>
  </si>
  <si>
    <t>2579 - Channel</t>
  </si>
  <si>
    <t>2580 - Channel</t>
  </si>
  <si>
    <t>2581 - Channel</t>
  </si>
  <si>
    <t>2582 - Channel</t>
  </si>
  <si>
    <t>47.57</t>
  </si>
  <si>
    <t>48.30</t>
  </si>
  <si>
    <t>more of an introvert that I realised - QUEEN</t>
  </si>
  <si>
    <t>2583 - Channel</t>
  </si>
  <si>
    <t>2584 - Channel</t>
  </si>
  <si>
    <t>2585 - Channel</t>
  </si>
  <si>
    <t>2586 - Channel</t>
  </si>
  <si>
    <t>2587 - Channel</t>
  </si>
  <si>
    <t>19.21</t>
  </si>
  <si>
    <t>19.36</t>
  </si>
  <si>
    <t>easily distracted</t>
  </si>
  <si>
    <t>2588 - Channel</t>
  </si>
  <si>
    <t>2589 - Channel</t>
  </si>
  <si>
    <t>2590 - Channel</t>
  </si>
  <si>
    <t>2591 - Channel</t>
  </si>
  <si>
    <t>2592 - Channel</t>
  </si>
  <si>
    <t>2593 - Channel</t>
  </si>
  <si>
    <t>38.34</t>
  </si>
  <si>
    <t xml:space="preserve">39.04 </t>
  </si>
  <si>
    <t>slow down, think, add value to your life and others</t>
  </si>
  <si>
    <t>2594 - Channel</t>
  </si>
  <si>
    <t>MTS_17</t>
  </si>
  <si>
    <t>2595 - Channel</t>
  </si>
  <si>
    <t>2596 - Channel</t>
  </si>
  <si>
    <t>2597 - Channel</t>
  </si>
  <si>
    <t>2598 - Channel</t>
  </si>
  <si>
    <t>2599 - Channel</t>
  </si>
  <si>
    <t>2600 - Channel</t>
  </si>
  <si>
    <t>2601 - Channel</t>
  </si>
  <si>
    <t>14.22</t>
  </si>
  <si>
    <t>2602 - Channel</t>
  </si>
  <si>
    <r>
      <rPr>
        <color rgb="FFFF0000"/>
      </rPr>
      <t xml:space="preserve">No need to use all of the clip </t>
    </r>
    <r>
      <t xml:space="preserve"> - can cut around  14.12 or start later</t>
    </r>
  </si>
  <si>
    <t>2603 - Channel</t>
  </si>
  <si>
    <t>Marianne Brandon</t>
  </si>
  <si>
    <t xml:space="preserve">50 Shades of Tech </t>
  </si>
  <si>
    <t>2604 - Channel</t>
  </si>
  <si>
    <t>2605 - Channel</t>
  </si>
  <si>
    <t>2606 - Channel</t>
  </si>
  <si>
    <t>2607 - Channel</t>
  </si>
  <si>
    <t>37.37</t>
  </si>
  <si>
    <t xml:space="preserve">38.03 </t>
  </si>
  <si>
    <t>Grey hair, technology - but audio glitches *</t>
  </si>
  <si>
    <t>2608 - Channel</t>
  </si>
  <si>
    <t>2609 - Channel</t>
  </si>
  <si>
    <t>12.11</t>
  </si>
  <si>
    <t>12.40</t>
  </si>
  <si>
    <t xml:space="preserve">reinforcing the imp of family </t>
  </si>
  <si>
    <t>2610 - Channel</t>
  </si>
  <si>
    <t>2611 - Channel</t>
  </si>
  <si>
    <t>2612 - Channel</t>
  </si>
  <si>
    <t>39.05</t>
  </si>
  <si>
    <t>39.32</t>
  </si>
  <si>
    <t>2613 - Channel</t>
  </si>
  <si>
    <t>2614 - Channel</t>
  </si>
  <si>
    <t>42.48</t>
  </si>
  <si>
    <t>43.27</t>
  </si>
  <si>
    <t>2615 - Channel</t>
  </si>
  <si>
    <t>2616 - Channel</t>
  </si>
  <si>
    <t>2617 - Channel</t>
  </si>
  <si>
    <t>2618 - Channel</t>
  </si>
  <si>
    <t>43.48</t>
  </si>
  <si>
    <t xml:space="preserve">44.15 </t>
  </si>
  <si>
    <t>2619 - Channel</t>
  </si>
  <si>
    <t>respect for gummy bears and teachers *</t>
  </si>
  <si>
    <t>What can data do in a crisis</t>
  </si>
  <si>
    <t>2620 - Channel</t>
  </si>
  <si>
    <t>2621 - Channel</t>
  </si>
  <si>
    <t>10.55</t>
  </si>
  <si>
    <t>11.17</t>
  </si>
  <si>
    <t>learnt what I need and what I don't</t>
  </si>
  <si>
    <t>2622 - Channel</t>
  </si>
  <si>
    <t>2623 - Channel</t>
  </si>
  <si>
    <t>12.18</t>
  </si>
  <si>
    <t>2624 - Channel</t>
  </si>
  <si>
    <t>12.48</t>
  </si>
  <si>
    <t>stay focused</t>
  </si>
  <si>
    <t>2625 - Channel</t>
  </si>
  <si>
    <t>2626 - Channel</t>
  </si>
  <si>
    <t>09.56</t>
  </si>
  <si>
    <t xml:space="preserve">10.05 </t>
  </si>
  <si>
    <t>reading</t>
  </si>
  <si>
    <t>2627 - Channel</t>
  </si>
  <si>
    <t>Reinventing the VC Model</t>
  </si>
  <si>
    <t>Here</t>
  </si>
  <si>
    <t>2628 - Channel</t>
  </si>
  <si>
    <t>2629 - Channel</t>
  </si>
  <si>
    <t>7:12</t>
  </si>
  <si>
    <t>7:18</t>
  </si>
  <si>
    <t>can work without breakfats and lunch for 12 hours</t>
  </si>
  <si>
    <t>2630 - Channel</t>
  </si>
  <si>
    <t>2631 - Channel</t>
  </si>
  <si>
    <t>2632 - Channel</t>
  </si>
  <si>
    <t>8:36</t>
  </si>
  <si>
    <t>8:47</t>
  </si>
  <si>
    <t>more time to spend with kids</t>
  </si>
  <si>
    <t>2633 - Channel</t>
  </si>
  <si>
    <t>2634 - Channel</t>
  </si>
  <si>
    <t>9:52</t>
  </si>
  <si>
    <t>10:04</t>
  </si>
  <si>
    <t>not prepared for it</t>
  </si>
  <si>
    <t>2635 - Channel</t>
  </si>
  <si>
    <t>2636 - Channel</t>
  </si>
  <si>
    <t>2637 - Channel</t>
  </si>
  <si>
    <t>11:45</t>
  </si>
  <si>
    <t>2638 - Channel</t>
  </si>
  <si>
    <t>11:50</t>
  </si>
  <si>
    <t>great reminder of how important the health &amp; safety of your family is</t>
  </si>
  <si>
    <t>2639 - Channel</t>
  </si>
  <si>
    <t>2640 - Channel</t>
  </si>
  <si>
    <t>2641 - Channel</t>
  </si>
  <si>
    <t>02.20</t>
  </si>
  <si>
    <t>2642 - Channel</t>
  </si>
  <si>
    <t>02.38</t>
  </si>
  <si>
    <t>nice not to have to travel - see kids etc</t>
  </si>
  <si>
    <t>2643 - Channel</t>
  </si>
  <si>
    <t>2644 - Channel</t>
  </si>
  <si>
    <t>2645 - Channel</t>
  </si>
  <si>
    <t xml:space="preserve">00.23 </t>
  </si>
  <si>
    <t xml:space="preserve">0.29 </t>
  </si>
  <si>
    <t>wife dropped off compost - that was exciting</t>
  </si>
  <si>
    <t>2646 - Channel</t>
  </si>
  <si>
    <t>2647 - Channel</t>
  </si>
  <si>
    <t>2648 - Channel</t>
  </si>
  <si>
    <t>05.01</t>
  </si>
  <si>
    <t>05.19</t>
  </si>
  <si>
    <t>terrible at baking</t>
  </si>
  <si>
    <t>2649 - Channel</t>
  </si>
  <si>
    <t>2650 - Channel</t>
  </si>
  <si>
    <t>2651 - Channel</t>
  </si>
  <si>
    <t>07.54</t>
  </si>
  <si>
    <t>2652 - Channel</t>
  </si>
  <si>
    <t>08.33</t>
  </si>
  <si>
    <t>low tech painting rocks (CUTE)</t>
  </si>
  <si>
    <t>2653 - Channel</t>
  </si>
  <si>
    <t>2654 - Channel</t>
  </si>
  <si>
    <t>10.06</t>
  </si>
  <si>
    <t>11.13</t>
  </si>
  <si>
    <t>gives 2 answers with pause in between **</t>
  </si>
  <si>
    <t>2655 - Channel</t>
  </si>
  <si>
    <t>2656 - Channel</t>
  </si>
  <si>
    <t>2657 - Channel</t>
  </si>
  <si>
    <t>2658 - Channel</t>
  </si>
  <si>
    <t>22.11</t>
  </si>
  <si>
    <t>22.52</t>
  </si>
  <si>
    <t>She could be a teacher because she is doing it for her kids</t>
  </si>
  <si>
    <t>2659 - Channel</t>
  </si>
  <si>
    <t>2660 - Channel</t>
  </si>
  <si>
    <t>2661 - Channel</t>
  </si>
  <si>
    <t>2662 - Channel</t>
  </si>
  <si>
    <t>27:37</t>
  </si>
  <si>
    <t>27:53</t>
  </si>
  <si>
    <t>Funny- now able to wear yoga pants to work</t>
  </si>
  <si>
    <t>2663 - Channel</t>
  </si>
  <si>
    <t>2664 - Channel</t>
  </si>
  <si>
    <t>2665 - Channel</t>
  </si>
  <si>
    <t>24:18</t>
  </si>
  <si>
    <t>24:32</t>
  </si>
  <si>
    <t>2666 - Channel</t>
  </si>
  <si>
    <t>2667 - Channel</t>
  </si>
  <si>
    <t>2668 - Channel</t>
  </si>
  <si>
    <t>24:40</t>
  </si>
  <si>
    <t>24:52</t>
  </si>
  <si>
    <t>"Doesnt cook - surprizingly creative in the kitchen" - video cuts between him and NEda</t>
  </si>
  <si>
    <t>2669 - Channel</t>
  </si>
  <si>
    <t>2670 - Channel</t>
  </si>
  <si>
    <t>2671 - Channel</t>
  </si>
  <si>
    <t>2672 - Channel</t>
  </si>
  <si>
    <t>25:02</t>
  </si>
  <si>
    <t>25:19</t>
  </si>
  <si>
    <t xml:space="preserve">Doesnt look direct to camera - </t>
  </si>
  <si>
    <t>2673 - Channel</t>
  </si>
  <si>
    <t>2674 - Channel</t>
  </si>
  <si>
    <t>2675 - Channel</t>
  </si>
  <si>
    <t>01:56</t>
  </si>
  <si>
    <t>02:38</t>
  </si>
  <si>
    <t>2676 - Channel</t>
  </si>
  <si>
    <t>2677 - Channel</t>
  </si>
  <si>
    <t>2678 - Channel</t>
  </si>
  <si>
    <t>2679 - Channel</t>
  </si>
  <si>
    <t>04:38</t>
  </si>
  <si>
    <t>04:50</t>
  </si>
  <si>
    <t>2680 - Channel</t>
  </si>
  <si>
    <t>2681 - Channel</t>
  </si>
  <si>
    <t>2682 - Channel</t>
  </si>
  <si>
    <t>2683 - Channel</t>
  </si>
  <si>
    <t>06:53</t>
  </si>
  <si>
    <t>07:20</t>
  </si>
  <si>
    <t>2684 - Channel</t>
  </si>
  <si>
    <t>2685 - Channel</t>
  </si>
  <si>
    <t>3:08</t>
  </si>
  <si>
    <t>2686 - Channel</t>
  </si>
  <si>
    <t>2687 - Channel</t>
  </si>
  <si>
    <t>2688 - Channel</t>
  </si>
  <si>
    <t>17.18</t>
  </si>
  <si>
    <t xml:space="preserve">18.05 </t>
  </si>
  <si>
    <t>leadership really matters</t>
  </si>
  <si>
    <t>2689 - Channel</t>
  </si>
  <si>
    <t>2690 - Channel</t>
  </si>
  <si>
    <t>2691 - Channel</t>
  </si>
  <si>
    <t>32.20</t>
  </si>
  <si>
    <t>32.34</t>
  </si>
  <si>
    <t xml:space="preserve">more balance without travel </t>
  </si>
  <si>
    <t>2692 - Channel</t>
  </si>
  <si>
    <t>2693 - Channel</t>
  </si>
  <si>
    <t>2694 - Channel</t>
  </si>
  <si>
    <t>2695 - Channel</t>
  </si>
  <si>
    <t>50.50</t>
  </si>
  <si>
    <t>51. 54</t>
  </si>
  <si>
    <t>2 answers - one introspective and one about cooking !</t>
  </si>
  <si>
    <t>2696 - Channel</t>
  </si>
  <si>
    <t>2697 - Channel</t>
  </si>
  <si>
    <t>2698 - Channel</t>
  </si>
  <si>
    <t>2699 - Channel</t>
  </si>
  <si>
    <t>2700 - Channel</t>
  </si>
  <si>
    <t>2701 - Channel</t>
  </si>
  <si>
    <t>2702 - Channel</t>
  </si>
  <si>
    <t>2703 - Channel</t>
  </si>
  <si>
    <t>2704 - Channel</t>
  </si>
  <si>
    <t>Advice for your teenage self</t>
  </si>
  <si>
    <t>2705 - Channel</t>
  </si>
  <si>
    <t>2706 - Channel</t>
  </si>
  <si>
    <t>FIN LINK</t>
  </si>
  <si>
    <t>2707 - Channel</t>
  </si>
  <si>
    <t>2708 - Channel</t>
  </si>
  <si>
    <t>MTS_10</t>
  </si>
  <si>
    <t>2709 - Channel</t>
  </si>
  <si>
    <t>2710 - Channel</t>
  </si>
  <si>
    <t>2711 - Channel</t>
  </si>
  <si>
    <t>2712 - Channel</t>
  </si>
  <si>
    <t>2713 - Channel</t>
  </si>
  <si>
    <t>2714 - Channel</t>
  </si>
  <si>
    <t>2715 - Channel</t>
  </si>
  <si>
    <t>17.09</t>
  </si>
  <si>
    <t>17.21</t>
  </si>
  <si>
    <t>have more fun</t>
  </si>
  <si>
    <t>2716 - Channel</t>
  </si>
  <si>
    <t>2717 - Channel</t>
  </si>
  <si>
    <t>2718 - Channel</t>
  </si>
  <si>
    <t>2719 - Channel</t>
  </si>
  <si>
    <t>2720 - Channel</t>
  </si>
  <si>
    <t>2721 - Channel</t>
  </si>
  <si>
    <t>16.40</t>
  </si>
  <si>
    <t>17.07</t>
  </si>
  <si>
    <t>2722 - Channel</t>
  </si>
  <si>
    <t xml:space="preserve">still telling herself the same advise today - working on it </t>
  </si>
  <si>
    <t>2723 - Channel</t>
  </si>
  <si>
    <t>2724 - Channel</t>
  </si>
  <si>
    <t>2725 - Channel</t>
  </si>
  <si>
    <t>2726 - Channel</t>
  </si>
  <si>
    <t>2727 - Channel</t>
  </si>
  <si>
    <t>2728 - Channel</t>
  </si>
  <si>
    <t>48.57</t>
  </si>
  <si>
    <t>49.30</t>
  </si>
  <si>
    <t>never ever give up</t>
  </si>
  <si>
    <t>2729 - Channel</t>
  </si>
  <si>
    <t>MTS_11</t>
  </si>
  <si>
    <t>2730 - Channel</t>
  </si>
  <si>
    <t>2731 - Channel</t>
  </si>
  <si>
    <t>2732 - Channel</t>
  </si>
  <si>
    <t>2733 - Channel</t>
  </si>
  <si>
    <t>Mgt Atwood</t>
  </si>
  <si>
    <t>In conversation</t>
  </si>
  <si>
    <t>2734 - Channel</t>
  </si>
  <si>
    <t>2735 - Channel</t>
  </si>
  <si>
    <t>2736 - Channel</t>
  </si>
  <si>
    <t>04.08</t>
  </si>
  <si>
    <t>04.16</t>
  </si>
  <si>
    <t>Gets better after 40  - trust me</t>
  </si>
  <si>
    <t>2737 - Channel</t>
  </si>
  <si>
    <t>2738 - Channel</t>
  </si>
  <si>
    <t>2739 - Channel</t>
  </si>
  <si>
    <t>Miki tolvier king</t>
  </si>
  <si>
    <t>Role of the CMO in a crisis</t>
  </si>
  <si>
    <t>2740 - Channel</t>
  </si>
  <si>
    <t>https://drive.google.com/drive/folders/1VAt3658CxVWKEfzFL5VtU_yH5FZ4LUwq</t>
  </si>
  <si>
    <t>2741 - Channel</t>
  </si>
  <si>
    <t>2742 - Channel</t>
  </si>
  <si>
    <t>2743 - Channel</t>
  </si>
  <si>
    <t>10.11</t>
  </si>
  <si>
    <t>2744 - Channel</t>
  </si>
  <si>
    <t>10.37</t>
  </si>
  <si>
    <t>have more fun - youth is wasted on the young</t>
  </si>
  <si>
    <t>2745 - Channel</t>
  </si>
  <si>
    <t>2746 - Channel</t>
  </si>
  <si>
    <t>2747 - Channel</t>
  </si>
  <si>
    <t xml:space="preserve">Jeremy Zimmer </t>
  </si>
  <si>
    <t>Leadership amid uncertainity</t>
  </si>
  <si>
    <t>https://drive.google.com/drive/folders/1sK13MMr2QAMk7YzpM8Flhaossj8cLVz9</t>
  </si>
  <si>
    <t>2748 - Channel</t>
  </si>
  <si>
    <t>2749 - Channel</t>
  </si>
  <si>
    <t>01.13.12</t>
  </si>
  <si>
    <t>01.14.12</t>
  </si>
  <si>
    <t xml:space="preserve">**using just the time coded part **please </t>
  </si>
  <si>
    <t>2750 - Channel</t>
  </si>
  <si>
    <t>MTS_2</t>
  </si>
  <si>
    <t>https://drive.google.com/open?id=14z1IZoAJDVyfy0YjQK7oJu8Vx5n4yP7Q</t>
  </si>
  <si>
    <t>2751 - Channel</t>
  </si>
  <si>
    <t>2752 - Channel</t>
  </si>
  <si>
    <t>2753 - Channel</t>
  </si>
  <si>
    <t>2754 - Channel</t>
  </si>
  <si>
    <t>2755 - Channel</t>
  </si>
  <si>
    <t>2756 - Channel</t>
  </si>
  <si>
    <t>41.57</t>
  </si>
  <si>
    <t>2757 - Channel</t>
  </si>
  <si>
    <t>42.27</t>
  </si>
  <si>
    <t>CUTE</t>
  </si>
  <si>
    <t>2758 - Channel</t>
  </si>
  <si>
    <t>2759 - Channel</t>
  </si>
  <si>
    <t>2760 - Channel</t>
  </si>
  <si>
    <t>2761 - Channel</t>
  </si>
  <si>
    <t>2762 - Channel</t>
  </si>
  <si>
    <t>2763 - Channel</t>
  </si>
  <si>
    <t>06.52</t>
  </si>
  <si>
    <t>07.21</t>
  </si>
  <si>
    <t xml:space="preserve">roll with the punches </t>
  </si>
  <si>
    <t>2764 - Channel</t>
  </si>
  <si>
    <t>2765 - Channel</t>
  </si>
  <si>
    <t>2766 - Channel</t>
  </si>
  <si>
    <t>2767 - Channel</t>
  </si>
  <si>
    <t>01:49</t>
  </si>
  <si>
    <t>2768 - Channel</t>
  </si>
  <si>
    <t>02:00</t>
  </si>
  <si>
    <t>Enjoy it</t>
  </si>
  <si>
    <t>MTS_6</t>
  </si>
  <si>
    <t>https://drive.google.com/file/d/1wpofpLwmt_uMQE0qll2i02L1Kv5BTDsf/view</t>
  </si>
  <si>
    <t>2769 - Channel</t>
  </si>
  <si>
    <t>2770 - Channel</t>
  </si>
  <si>
    <t>2771 - Channel</t>
  </si>
  <si>
    <t>2772 - Channel</t>
  </si>
  <si>
    <t>2773 - Channel</t>
  </si>
  <si>
    <t>2774 - Channel</t>
  </si>
  <si>
    <t>23:52</t>
  </si>
  <si>
    <t>24:06:00</t>
  </si>
  <si>
    <t>Mark Twain quote  - Live in the moment</t>
  </si>
  <si>
    <t>2775 - Channel</t>
  </si>
  <si>
    <t>2776 - Channel</t>
  </si>
  <si>
    <t>2777 - Channel</t>
  </si>
  <si>
    <t>2778 - Channel</t>
  </si>
  <si>
    <t>2779 - Channel</t>
  </si>
  <si>
    <t>6:09</t>
  </si>
  <si>
    <t>6:44</t>
  </si>
  <si>
    <t>2780 - Channel</t>
  </si>
  <si>
    <t>2781 - Channel</t>
  </si>
  <si>
    <t>2782 - Channel</t>
  </si>
  <si>
    <t>Jay Yarow</t>
  </si>
  <si>
    <t>2783 - Channel</t>
  </si>
  <si>
    <t>2784 - Channel</t>
  </si>
  <si>
    <t>2785 - Channel</t>
  </si>
  <si>
    <t>26.04</t>
  </si>
  <si>
    <t>26.30</t>
  </si>
  <si>
    <t>MTS_9</t>
  </si>
  <si>
    <t>2786 - Channel</t>
  </si>
  <si>
    <t>2787 - Channel</t>
  </si>
  <si>
    <t>2788 - Channel</t>
  </si>
  <si>
    <t>2789 - Channel</t>
  </si>
  <si>
    <t>2790 - Channel</t>
  </si>
  <si>
    <t>2791 - Channel</t>
  </si>
  <si>
    <t>3.23</t>
  </si>
  <si>
    <t>3.41</t>
  </si>
  <si>
    <t>not to listen to advice its often times very bad !</t>
  </si>
  <si>
    <t>2792 - Channel</t>
  </si>
  <si>
    <t>2793 - Channel</t>
  </si>
  <si>
    <t>2794 - Channel</t>
  </si>
  <si>
    <t>2795 - Channel</t>
  </si>
  <si>
    <t>2796 - Channel</t>
  </si>
  <si>
    <t>2797 - Channel</t>
  </si>
  <si>
    <t>2798 - Channel</t>
  </si>
  <si>
    <t>2799 - Channel</t>
  </si>
  <si>
    <t>2800 - Channel</t>
  </si>
  <si>
    <t>48.36</t>
  </si>
  <si>
    <t>49.03</t>
  </si>
  <si>
    <t xml:space="preserve">LIFE IS A DANCE </t>
  </si>
  <si>
    <t>2801 - Channel</t>
  </si>
  <si>
    <t>2802 - Channel</t>
  </si>
  <si>
    <t>2803 - Channel</t>
  </si>
  <si>
    <t>49.38</t>
  </si>
  <si>
    <t>50.17</t>
  </si>
  <si>
    <t xml:space="preserve">few natural pauses so can use any part of this clip </t>
  </si>
  <si>
    <t>MTS_14</t>
  </si>
  <si>
    <t>2804 - Channel</t>
  </si>
  <si>
    <t>2805 - Channel</t>
  </si>
  <si>
    <t>2806 - Channel</t>
  </si>
  <si>
    <t>https://drive.google.com/drive/folders/1rSgySWSMKK5hAnC8iHZMFe_AXmCE_KqK</t>
  </si>
  <si>
    <t>2807 - Channel</t>
  </si>
  <si>
    <t>12.54</t>
  </si>
  <si>
    <t>13.23</t>
  </si>
  <si>
    <t xml:space="preserve">be a learning machine </t>
  </si>
  <si>
    <t>2808 - Channel</t>
  </si>
  <si>
    <t>2809 - Channel</t>
  </si>
  <si>
    <t>2810 - Channel</t>
  </si>
  <si>
    <t>09.03</t>
  </si>
  <si>
    <t>2811 - Channel</t>
  </si>
  <si>
    <t>09.26</t>
  </si>
  <si>
    <t xml:space="preserve">Be tougher (references his too nice parents) </t>
  </si>
  <si>
    <t>2812 - Channel</t>
  </si>
  <si>
    <t>2813 - Channel</t>
  </si>
  <si>
    <t>2814 - Channel</t>
  </si>
  <si>
    <t xml:space="preserve">Rob Gronk </t>
  </si>
  <si>
    <t>2815 - Channel</t>
  </si>
  <si>
    <t>Under armour</t>
  </si>
  <si>
    <t>2816 - Channel</t>
  </si>
  <si>
    <t>2817 - Channel</t>
  </si>
  <si>
    <t>2818 - Channel</t>
  </si>
  <si>
    <t>39.57</t>
  </si>
  <si>
    <t>40.10</t>
  </si>
  <si>
    <t>2819 - Channel</t>
  </si>
  <si>
    <t>2820 - Channel</t>
  </si>
  <si>
    <t>40.39</t>
  </si>
  <si>
    <t xml:space="preserve">41.18 </t>
  </si>
  <si>
    <t>not looking into camera</t>
  </si>
  <si>
    <t>2821 - Channel</t>
  </si>
  <si>
    <t>10.47</t>
  </si>
  <si>
    <t>2822 - Channel</t>
  </si>
  <si>
    <t>2823 - Channel</t>
  </si>
  <si>
    <t>2824 - Channel</t>
  </si>
  <si>
    <t>11.38</t>
  </si>
  <si>
    <t>11.53</t>
  </si>
  <si>
    <t>never give up</t>
  </si>
  <si>
    <t>09.27</t>
  </si>
  <si>
    <t xml:space="preserve">09.40 </t>
  </si>
  <si>
    <t xml:space="preserve">don't waste your time with hard rock </t>
  </si>
  <si>
    <t>2825 - Channel</t>
  </si>
  <si>
    <t>David Hanson</t>
  </si>
  <si>
    <t>Do robots understand pandemics</t>
  </si>
  <si>
    <t>2826 - Channel</t>
  </si>
  <si>
    <t>20:02</t>
  </si>
  <si>
    <t>21:30</t>
  </si>
  <si>
    <t>2827 - Channel</t>
  </si>
  <si>
    <t>2828 - Channel</t>
  </si>
  <si>
    <t>6:49</t>
  </si>
  <si>
    <t>6:55</t>
  </si>
  <si>
    <t>you can work less</t>
  </si>
  <si>
    <t>2829 - Channel</t>
  </si>
  <si>
    <t>2830 - Channel</t>
  </si>
  <si>
    <t>8:10</t>
  </si>
  <si>
    <t>8:17</t>
  </si>
  <si>
    <t>keep exploring</t>
  </si>
  <si>
    <t>2831 - Channel</t>
  </si>
  <si>
    <t>9:28</t>
  </si>
  <si>
    <t>9:34</t>
  </si>
  <si>
    <t>dont think so much about what other people think of you</t>
  </si>
  <si>
    <t>2832 - Channel</t>
  </si>
  <si>
    <t>2833 - Channel</t>
  </si>
  <si>
    <t>11:20</t>
  </si>
  <si>
    <t>11:28</t>
  </si>
  <si>
    <t>dont be afraid to take calculated risks</t>
  </si>
  <si>
    <t>2834 - Channel</t>
  </si>
  <si>
    <t>2835 - Channel</t>
  </si>
  <si>
    <t xml:space="preserve">00.50 </t>
  </si>
  <si>
    <t>00.55</t>
  </si>
  <si>
    <t xml:space="preserve">dont sweat the small stuff </t>
  </si>
  <si>
    <t>2836 - Channel</t>
  </si>
  <si>
    <t>01.50</t>
  </si>
  <si>
    <t>02.00</t>
  </si>
  <si>
    <t>2837 - Channel</t>
  </si>
  <si>
    <t>finish what you start</t>
  </si>
  <si>
    <t>2838 - Channel</t>
  </si>
  <si>
    <t>05.25</t>
  </si>
  <si>
    <t>05.45</t>
  </si>
  <si>
    <t>take it slower</t>
  </si>
  <si>
    <t>2839 - Channel</t>
  </si>
  <si>
    <t>20.06</t>
  </si>
  <si>
    <t>20.39</t>
  </si>
  <si>
    <t>Stop planning so much, go with the flow, enjoy it</t>
  </si>
  <si>
    <t>Rick Ridgeway</t>
  </si>
  <si>
    <t>2840 - Channel</t>
  </si>
  <si>
    <t>Save our home planet</t>
  </si>
  <si>
    <t>2841 - Channel</t>
  </si>
  <si>
    <t>15:57</t>
  </si>
  <si>
    <t>17:42</t>
  </si>
  <si>
    <t>Focus less on the sports and more on the places he travelled to</t>
  </si>
  <si>
    <t>V long clip</t>
  </si>
  <si>
    <t>29:03:00</t>
  </si>
  <si>
    <t>29:15:00</t>
  </si>
  <si>
    <t>dont sweat the small things</t>
  </si>
  <si>
    <t>2842 - Channel</t>
  </si>
  <si>
    <t>2843 - Channel</t>
  </si>
  <si>
    <t>22:48</t>
  </si>
  <si>
    <t>23:31</t>
  </si>
  <si>
    <t>"can do anything you want" - Reinforce over and over and over Part 2 : Leadership not just about telling people what to do but inspiring people to do their best</t>
  </si>
  <si>
    <t>2844 - Channel</t>
  </si>
  <si>
    <t>2845 - Channel</t>
  </si>
  <si>
    <t>2846 - Channel</t>
  </si>
  <si>
    <t>23:40</t>
  </si>
  <si>
    <t>23:46</t>
  </si>
  <si>
    <t>Need to go slow in order to go fast - cuts to next q very quick</t>
  </si>
  <si>
    <t>2847 - Channel</t>
  </si>
  <si>
    <t>2848 - Channel</t>
  </si>
  <si>
    <t>01:28</t>
  </si>
  <si>
    <t>01:50</t>
  </si>
  <si>
    <t>2849 - Channel</t>
  </si>
  <si>
    <t>2850 - Channel</t>
  </si>
  <si>
    <t>04:03</t>
  </si>
  <si>
    <t>04:30</t>
  </si>
  <si>
    <t>2851 - Channel</t>
  </si>
  <si>
    <t>2852 - Channel</t>
  </si>
  <si>
    <t>03:03</t>
  </si>
  <si>
    <t>Tom Ryan</t>
  </si>
  <si>
    <t>https://drive.google.com/drive/folders/1oQXAWHg04_ByzY2i837FI8HGlaZHPg6m</t>
  </si>
  <si>
    <t>2853 - Channel</t>
  </si>
  <si>
    <t>04.57</t>
  </si>
  <si>
    <t>5.15</t>
  </si>
  <si>
    <t xml:space="preserve">lighten up on the beer </t>
  </si>
  <si>
    <t>2854 - Channel</t>
  </si>
  <si>
    <t>https://drive.google.com/open?id=1sy9Q3-EKZCUlfSLZ2GPzdEdGTz64N99X</t>
  </si>
  <si>
    <t>2855 - Channel</t>
  </si>
  <si>
    <t>Full Clip</t>
  </si>
  <si>
    <t>2856 - Channel</t>
  </si>
  <si>
    <t>2857 - Channel</t>
  </si>
  <si>
    <t>2858 - Channel</t>
  </si>
  <si>
    <t>2859 - Channel</t>
  </si>
  <si>
    <t>31.22</t>
  </si>
  <si>
    <t>31.33</t>
  </si>
  <si>
    <t>2860 - Channel</t>
  </si>
  <si>
    <t>2861 - Channel</t>
  </si>
  <si>
    <t xml:space="preserve">38.07 </t>
  </si>
  <si>
    <t xml:space="preserve">Passionate </t>
  </si>
  <si>
    <t>2862 - Channel</t>
  </si>
  <si>
    <t>2863 - Channel</t>
  </si>
  <si>
    <t>2864 - Channel</t>
  </si>
  <si>
    <t>Name of your autobiography</t>
  </si>
  <si>
    <t>2865 - Channel</t>
  </si>
  <si>
    <t>2866 - Channel</t>
  </si>
  <si>
    <t>MTS_12</t>
  </si>
  <si>
    <t>2867 - Channel</t>
  </si>
  <si>
    <t>2868 - Channel</t>
  </si>
  <si>
    <t>2869 - Channel</t>
  </si>
  <si>
    <t>2870 - Channel</t>
  </si>
  <si>
    <t>2871 - Channel</t>
  </si>
  <si>
    <t>2872 - Channel</t>
  </si>
  <si>
    <t xml:space="preserve">" Work in Progress" </t>
  </si>
  <si>
    <t>2873 - Channel</t>
  </si>
  <si>
    <t>2874 - Channel</t>
  </si>
  <si>
    <t>02.05</t>
  </si>
  <si>
    <t>02.12</t>
  </si>
  <si>
    <t>"near death experiences ..."</t>
  </si>
  <si>
    <t>2875 - Channel</t>
  </si>
  <si>
    <t>2876 - Channel</t>
  </si>
  <si>
    <t>2877 - Channel</t>
  </si>
  <si>
    <t>09.30</t>
  </si>
  <si>
    <t>10.01</t>
  </si>
  <si>
    <t>"the good stuff"</t>
  </si>
  <si>
    <t>2878 - Channel</t>
  </si>
  <si>
    <t>MTS_13</t>
  </si>
  <si>
    <t>2879 - Channel</t>
  </si>
  <si>
    <t>2880 - Channel</t>
  </si>
  <si>
    <t xml:space="preserve">In conversation </t>
  </si>
  <si>
    <t>2881 - Channel</t>
  </si>
  <si>
    <t>05.07</t>
  </si>
  <si>
    <t>05.24</t>
  </si>
  <si>
    <t xml:space="preserve">** all 3 answers  becomes one stand alone vox </t>
  </si>
  <si>
    <t>2882 - Channel</t>
  </si>
  <si>
    <t>2883 - Channel</t>
  </si>
  <si>
    <t xml:space="preserve">9.40 </t>
  </si>
  <si>
    <t>9.56</t>
  </si>
  <si>
    <t>" Do The Hustle "</t>
  </si>
  <si>
    <t>2884 - Channel</t>
  </si>
  <si>
    <t>12.04</t>
  </si>
  <si>
    <t xml:space="preserve">"story of a changing world" </t>
  </si>
  <si>
    <t>2885 - Channel</t>
  </si>
  <si>
    <t>2886 - Channel</t>
  </si>
  <si>
    <t>7:01</t>
  </si>
  <si>
    <t xml:space="preserve"> 7:10</t>
  </si>
  <si>
    <t>"On mission"</t>
  </si>
  <si>
    <t>8:28</t>
  </si>
  <si>
    <t>8:32</t>
  </si>
  <si>
    <t>2887 - Channel</t>
  </si>
  <si>
    <t>2888 - Channel</t>
  </si>
  <si>
    <t>9:37</t>
  </si>
  <si>
    <t>9:44</t>
  </si>
  <si>
    <t>2889 - Channel</t>
  </si>
  <si>
    <t>2890 - Channel</t>
  </si>
  <si>
    <t>11:31</t>
  </si>
  <si>
    <t>11:37</t>
  </si>
  <si>
    <t>Embracing risk &amp; betting on yourself</t>
  </si>
  <si>
    <t>2891 - Channel</t>
  </si>
  <si>
    <t>2892 - Channel</t>
  </si>
  <si>
    <t>01.01</t>
  </si>
  <si>
    <t>01.09</t>
  </si>
  <si>
    <t>"keep on reinventing yourself"</t>
  </si>
  <si>
    <t>07.22</t>
  </si>
  <si>
    <t>2893 - Channel</t>
  </si>
  <si>
    <t>"Everyday an adventure"</t>
  </si>
  <si>
    <t>2894 - Channel</t>
  </si>
  <si>
    <t>2895 - Channel</t>
  </si>
  <si>
    <t>30:44</t>
  </si>
  <si>
    <t>2896 - Channel</t>
  </si>
  <si>
    <t>32:25</t>
  </si>
  <si>
    <t>"Follow your bliss" - cute and inspiring answer</t>
  </si>
  <si>
    <t>2897 - Channel</t>
  </si>
  <si>
    <t>2898 - Channel</t>
  </si>
  <si>
    <t>2899 - Channel</t>
  </si>
  <si>
    <t>2900 - Channel</t>
  </si>
  <si>
    <t>2901 - Channel</t>
  </si>
  <si>
    <t>2902 - Channel</t>
  </si>
  <si>
    <t>David Hanson, Sophia the robot</t>
  </si>
  <si>
    <t>2903 - Channel</t>
  </si>
  <si>
    <t>2904 - Channel</t>
  </si>
  <si>
    <t>17:26</t>
  </si>
  <si>
    <t>19:01</t>
  </si>
  <si>
    <t>2905 - Channel</t>
  </si>
  <si>
    <t>2906 - Channel</t>
  </si>
  <si>
    <t>14:18</t>
  </si>
  <si>
    <t>2907 - Channel</t>
  </si>
  <si>
    <t>2908 - Channel</t>
  </si>
  <si>
    <t>2909 - Channel</t>
  </si>
  <si>
    <t>2910 - Channel</t>
  </si>
  <si>
    <t>2911 - Channel</t>
  </si>
  <si>
    <t>What do you hope will happen in 2021</t>
  </si>
  <si>
    <t>2912 - Channel</t>
  </si>
  <si>
    <t>2913 - Channel</t>
  </si>
  <si>
    <t>23:01</t>
  </si>
  <si>
    <t>2914 - Channel</t>
  </si>
  <si>
    <t>2915 - Channel</t>
  </si>
  <si>
    <t>17:55</t>
  </si>
  <si>
    <t>19:18</t>
  </si>
  <si>
    <t>That we lighten our footprint on earth</t>
  </si>
  <si>
    <t>2916 - Channel</t>
  </si>
  <si>
    <t>2917 - Channel</t>
  </si>
  <si>
    <t>2918 - Channel</t>
  </si>
  <si>
    <t>2919 - Channel</t>
  </si>
  <si>
    <t>2920 - Channel</t>
  </si>
  <si>
    <t>2921 - Channel</t>
  </si>
  <si>
    <t>2922 - Channel</t>
  </si>
  <si>
    <t>2923 - Channel</t>
  </si>
  <si>
    <t>2924 - Channel</t>
  </si>
  <si>
    <t>2925 - Channel</t>
  </si>
  <si>
    <t>2926 - Channel</t>
  </si>
  <si>
    <t>2927 - Channel</t>
  </si>
  <si>
    <t>2928 - Channel</t>
  </si>
  <si>
    <t>2929 - Channel</t>
  </si>
  <si>
    <t>2930 - Channel</t>
  </si>
  <si>
    <t>2931 - Channel</t>
  </si>
  <si>
    <t>2932 - Channel</t>
  </si>
  <si>
    <t>2933 - Channel</t>
  </si>
  <si>
    <t>2934 - Channel</t>
  </si>
  <si>
    <t>2935 - Channel</t>
  </si>
  <si>
    <t>2936 - Channel</t>
  </si>
  <si>
    <t>2937 - Channel</t>
  </si>
  <si>
    <t>2938 - Channel</t>
  </si>
  <si>
    <t>2939 - Channel</t>
  </si>
  <si>
    <t>2940 - Channel</t>
  </si>
  <si>
    <t>2941 - Channel</t>
  </si>
  <si>
    <t>2942 - Channel</t>
  </si>
  <si>
    <t xml:space="preserve">week due </t>
  </si>
  <si>
    <t>2943 - Channel</t>
  </si>
  <si>
    <t>2944 - Channel</t>
  </si>
  <si>
    <t xml:space="preserve">talk </t>
  </si>
  <si>
    <t>2945 - Channel</t>
  </si>
  <si>
    <t>Talk Title</t>
  </si>
  <si>
    <t xml:space="preserve">channel </t>
  </si>
  <si>
    <t>Talk Status</t>
  </si>
  <si>
    <t>recording date</t>
  </si>
  <si>
    <t>drive link</t>
  </si>
  <si>
    <t>2946 - Channel</t>
  </si>
  <si>
    <t>Status</t>
  </si>
  <si>
    <t>2947 - Channel</t>
  </si>
  <si>
    <t>FINISHED LINK NAS</t>
  </si>
  <si>
    <t>2948 - Channel</t>
  </si>
  <si>
    <t>2949 - Channel</t>
  </si>
  <si>
    <t>2950 - Channel</t>
  </si>
  <si>
    <t>T- 3 - 01/06/2020</t>
  </si>
  <si>
    <t>2951 - Channel</t>
  </si>
  <si>
    <t>2952 - Channel</t>
  </si>
  <si>
    <t>2953 - Channel</t>
  </si>
  <si>
    <t>2954 - Channel</t>
  </si>
  <si>
    <t>2955 - Channel</t>
  </si>
  <si>
    <t>2956 - Channel</t>
  </si>
  <si>
    <t>2957 - Channel</t>
  </si>
  <si>
    <t>2958 - Channel</t>
  </si>
  <si>
    <t>2959 - Channel</t>
  </si>
  <si>
    <t>2960 - Channel</t>
  </si>
  <si>
    <t>2961 - Channel</t>
  </si>
  <si>
    <t>2962 - Channel</t>
  </si>
  <si>
    <t>T- 2 - 08/06/2020</t>
  </si>
  <si>
    <t>2963 - Channel</t>
  </si>
  <si>
    <t>2964 - Channel</t>
  </si>
  <si>
    <t>2965 - Channel</t>
  </si>
  <si>
    <t>2966 - Channel</t>
  </si>
  <si>
    <t>2967 - Channel</t>
  </si>
  <si>
    <t>2968 - Channel</t>
  </si>
  <si>
    <t>2969 - Channel</t>
  </si>
  <si>
    <t>Changing the game for workers</t>
  </si>
  <si>
    <t>Recorded &amp; uploaded</t>
  </si>
  <si>
    <t>2970 - Channel</t>
  </si>
  <si>
    <t>2971 - Channel</t>
  </si>
  <si>
    <t>2972 - Channel</t>
  </si>
  <si>
    <t>2973 - Channel</t>
  </si>
  <si>
    <t>To do</t>
  </si>
  <si>
    <t>2974 - Channel</t>
  </si>
  <si>
    <t>2975 - Channel</t>
  </si>
  <si>
    <t>2976 - Channel</t>
  </si>
  <si>
    <t>T- 7 - 04/05/2020</t>
  </si>
  <si>
    <t>2977 - Channel</t>
  </si>
  <si>
    <t>2978 - Channel</t>
  </si>
  <si>
    <t>High quality experiences in times of high demand</t>
  </si>
  <si>
    <t>2979 - Channel</t>
  </si>
  <si>
    <t>2980 - Channel</t>
  </si>
  <si>
    <t>2981 - Channel</t>
  </si>
  <si>
    <t>2982 - Channel</t>
  </si>
  <si>
    <t>2983 - Channel</t>
  </si>
  <si>
    <t>2984 - Channel</t>
  </si>
  <si>
    <t>2985 - Channel</t>
  </si>
  <si>
    <t>Done</t>
  </si>
  <si>
    <t>2986 - Channel</t>
  </si>
  <si>
    <t>https://drive.google.com/open?id=1-eaakb7z9SrKBjVv3a-fhj7WWSLMUfzG</t>
  </si>
  <si>
    <t>2987 - Channel</t>
  </si>
  <si>
    <t>2988 - Channel</t>
  </si>
  <si>
    <t>2989 - Channel</t>
  </si>
  <si>
    <t>2990 - Channel</t>
  </si>
  <si>
    <t>2991 - Channel</t>
  </si>
  <si>
    <t>2992 - Channel</t>
  </si>
  <si>
    <t>2993 - Channel</t>
  </si>
  <si>
    <t>2994 - Channel</t>
  </si>
  <si>
    <t>2995 - Channel</t>
  </si>
  <si>
    <t>2996 - Channel</t>
  </si>
  <si>
    <t>https://drive.google.com/open?id=1Ac8oFBWlO0G_amOCoohfTIwJFSsptWf0</t>
  </si>
  <si>
    <t>2997 - Channel</t>
  </si>
  <si>
    <t>2998 - Channel</t>
  </si>
  <si>
    <t>2999 - Channel</t>
  </si>
  <si>
    <t>Teaser: LinkedIn</t>
  </si>
  <si>
    <t>T- 5 - 18/05/2020</t>
  </si>
  <si>
    <t>Teaser: Arianna Huffington</t>
  </si>
  <si>
    <t>20 / 05</t>
  </si>
  <si>
    <t>https://drive.google.com/open?id=1Li0iroRsuX4vrMpIoaoDOW4FpggSOWvq</t>
  </si>
  <si>
    <t xml:space="preserve">21 / 05 </t>
  </si>
  <si>
    <t>https://drive.google.com/open?id=16_JXHmv62Vfc_8EaLDT-rvMnaitO3xxm</t>
  </si>
  <si>
    <t>T- 4 - 25/05/2020</t>
  </si>
  <si>
    <t>28 / 05</t>
  </si>
  <si>
    <t>https://drive.google.com/open?id=19zXMcfCCqazmg_XR0s8KDPicoI-QnHP_</t>
  </si>
  <si>
    <t xml:space="preserve">Channel 2 </t>
  </si>
  <si>
    <t>The Super Bowl champion fighting COVID-19</t>
  </si>
  <si>
    <t>https://drive.google.com/open?id=10jG7tkFCJm18Op-g4A_X-PSE1wPHwI60</t>
  </si>
  <si>
    <t xml:space="preserve">Teaser: Alexa </t>
  </si>
  <si>
    <t>25 / 05</t>
  </si>
  <si>
    <t>Teaser: Kate Brandt</t>
  </si>
  <si>
    <t>If we can beat Covid-19 then we can beat climate change</t>
  </si>
  <si>
    <t>https://drive.google.com/open?id=1tSu7uc9HexF5_UEa5gkluVnPt_aN32BL</t>
  </si>
  <si>
    <t>True tests of leadership</t>
  </si>
  <si>
    <t>https://drive.google.com/open?id=1_liGQv3QA_CR6ucnsH7SUp7uNcV6RPvJ</t>
  </si>
  <si>
    <t>26 / 05</t>
  </si>
  <si>
    <t>https://drive.google.com/drive/folders/1FcnWiD6k3-KeGquMl6InAYCroKqmszYd</t>
  </si>
  <si>
    <t>How BuzzFeed covered Covid-19</t>
  </si>
  <si>
    <t>Leading through COVID-19 and beyond</t>
  </si>
  <si>
    <t>Teaser: Slack</t>
  </si>
  <si>
    <t xml:space="preserve">Teaser: Arm </t>
  </si>
  <si>
    <t xml:space="preserve">FORMAT:  cold intro &gt;&gt;&gt; clip  (including speaker pic, name, related talk on screen) &gt;&gt;&gt; generic outro CTA (Colm / Darren ?) </t>
  </si>
  <si>
    <t xml:space="preserve">no. </t>
  </si>
  <si>
    <t>Teaser name</t>
  </si>
  <si>
    <t xml:space="preserve">Channel 4 feature name ? </t>
  </si>
  <si>
    <t xml:space="preserve">Teaser clip cut? </t>
  </si>
  <si>
    <t>Teaser clip drive link</t>
  </si>
  <si>
    <t xml:space="preserve">EDITOR? </t>
  </si>
  <si>
    <t xml:space="preserve">Package status? </t>
  </si>
  <si>
    <t xml:space="preserve">as per schedule </t>
  </si>
  <si>
    <t xml:space="preserve">Darren </t>
  </si>
  <si>
    <t>1</t>
  </si>
  <si>
    <t>Radio Collision _Ridge Ridgeway</t>
  </si>
  <si>
    <t>https://drive.google.com/open?id=1IWCWqx2HLgvh-2n8mjaZ-7NfdaiJCbVE</t>
  </si>
  <si>
    <t>2</t>
  </si>
  <si>
    <t>RadioCollision_ Mitchell Baker</t>
  </si>
  <si>
    <t>3</t>
  </si>
  <si>
    <t xml:space="preserve">Radio Collision _ Nikolaj </t>
  </si>
  <si>
    <t>4</t>
  </si>
  <si>
    <t>Radio Collision teaser - Vinod Khosla</t>
  </si>
  <si>
    <t>5</t>
  </si>
  <si>
    <t>Radio Collision_John Chambers</t>
  </si>
  <si>
    <t>6</t>
  </si>
  <si>
    <t>RadioCollision_Editors RT</t>
  </si>
  <si>
    <t>7</t>
  </si>
  <si>
    <t>Radio Collision_ Scarramuci</t>
  </si>
  <si>
    <t>8</t>
  </si>
  <si>
    <t>RadioCollision_AliRezai</t>
  </si>
  <si>
    <t>9</t>
  </si>
  <si>
    <t>RadioCollision_FutureOfSport</t>
  </si>
  <si>
    <t>10</t>
  </si>
  <si>
    <t>RadioCollision_TBC</t>
  </si>
  <si>
    <t>11</t>
  </si>
  <si>
    <t>12</t>
  </si>
  <si>
    <t>13</t>
  </si>
  <si>
    <t>14</t>
  </si>
  <si>
    <t>15</t>
  </si>
  <si>
    <t>16</t>
  </si>
  <si>
    <t>17</t>
  </si>
  <si>
    <t>18</t>
  </si>
  <si>
    <t>19</t>
  </si>
  <si>
    <t>20</t>
  </si>
  <si>
    <t>21</t>
  </si>
  <si>
    <t>22</t>
  </si>
  <si>
    <t>Batch</t>
  </si>
  <si>
    <t>Company</t>
  </si>
  <si>
    <t>https://drive.google.com/drive/folders/12-nQP-T5WKYu2XFKGVk8vBdKUTh_CBgP</t>
  </si>
  <si>
    <t>https://drive.google.com/drive/folders/1WtSD-kt6DSyOyQaQ4ESWdRbbBszuc0CK</t>
  </si>
  <si>
    <t>Duration is 20:46 instead of original 15:00. 05:27 to 05:41 cuts to 1 Cam to edit around kids entering the room</t>
  </si>
  <si>
    <t>Moved to main sheet</t>
  </si>
  <si>
    <t>Day</t>
  </si>
  <si>
    <t xml:space="preserve">Producer </t>
  </si>
  <si>
    <t>Media owner</t>
  </si>
  <si>
    <t>Fulfilment owner</t>
  </si>
  <si>
    <t>Location</t>
  </si>
  <si>
    <t>Video due</t>
  </si>
  <si>
    <t>Pax</t>
  </si>
  <si>
    <t>Partners Team Owner</t>
  </si>
  <si>
    <t>Steps</t>
  </si>
  <si>
    <t>Call time / date / time zone 
Format dd-mm - hh:mm</t>
  </si>
  <si>
    <t>Source Duration</t>
  </si>
  <si>
    <t>Zoom link</t>
  </si>
  <si>
    <t>Call producer</t>
  </si>
  <si>
    <t>Back-up producer</t>
  </si>
  <si>
    <t>1 - Channel 1</t>
  </si>
  <si>
    <t>Day 1</t>
  </si>
  <si>
    <t>Edited required?</t>
  </si>
  <si>
    <t>Collision from home day intro</t>
  </si>
  <si>
    <t>2 - Channel 1</t>
  </si>
  <si>
    <t>York Region</t>
  </si>
  <si>
    <t>3 - Channel 1</t>
  </si>
  <si>
    <t>Elaine</t>
  </si>
  <si>
    <t>15 secs</t>
  </si>
  <si>
    <t>https://drive.google.com/open?id=1RUu_HwESdjEgyURXzG6dkzoQZ_jb1i-Z</t>
  </si>
  <si>
    <t xml:space="preserve">Welcome to collision from home </t>
  </si>
  <si>
    <t>Welcome to Collision From Home! We take you  on a tour of the event, what to expect, and how to make your way around.</t>
  </si>
  <si>
    <t>4 - Channel 1</t>
  </si>
  <si>
    <t>Box Preview Aaron Levie</t>
  </si>
  <si>
    <t xml:space="preserve">Enjoy 5 minutes of Box CEO Aaron Levie talk  "How to navigate the world's largest WfH experiment" Full talk resumes on Channel 3. </t>
  </si>
  <si>
    <t>5 - Channel 1</t>
  </si>
  <si>
    <t>Naomi</t>
  </si>
  <si>
    <t xml:space="preserve"> Mayor Tory's vision for the road ahead for the city.</t>
  </si>
  <si>
    <t>NON-KEYNOTE - 4 - Moderator to intro to the panelists and to agree on recording date</t>
  </si>
  <si>
    <t>6 - Channel 1</t>
  </si>
  <si>
    <t>7 - Channel 1</t>
  </si>
  <si>
    <t>T- 6 - 11/05/2020</t>
  </si>
  <si>
    <t xml:space="preserve">Co-founder and CEO of Headspace, Rich Pierson, will discuss the importance of mindfulness and taking care of our mental health in light of the global health crisis.
</t>
  </si>
  <si>
    <t>NON-KEYNOTE - 7 - Calendar invite with zoom link to speaker to send to all panelists (week prior to recording)</t>
  </si>
  <si>
    <t>https://us02web.zoom.us/j/86843750147?pwd=TDlzZnpNOGdNM1lCaUpCRnZLbm5Tdz09</t>
  </si>
  <si>
    <t>8 - Channel 1</t>
  </si>
  <si>
    <t>Invest in Canada</t>
  </si>
  <si>
    <t>9 - Channel 1</t>
  </si>
  <si>
    <t>https://drive.google.com/open?id=1tAnysJKjLt0Qx5EaQDTdZhWl3Pm5PxvY</t>
  </si>
  <si>
    <t>10 - Channel 1</t>
  </si>
  <si>
    <t>Anchor lookaround</t>
  </si>
  <si>
    <t>11 - Channel 1</t>
  </si>
  <si>
    <t>12 - Channel 1</t>
  </si>
  <si>
    <t>Manon</t>
  </si>
  <si>
    <t>Life in the public eye, in any industry, comes with its own unique challenges. We asked those who know the spotlight best how they cope in its glare.</t>
  </si>
  <si>
    <t>NON-KEYNOTE - 3 - Moderator to book, to be approved by speaker (for firesides) and to turn green (week prior to recording)</t>
  </si>
  <si>
    <t>13 - Channel 1</t>
  </si>
  <si>
    <t>City of Brampton</t>
  </si>
  <si>
    <t>Allison</t>
  </si>
  <si>
    <t>https://drive.google.com/open?id=1wkJC1VKlCrXFtzAAnTWkYQfK8NtWoHWL</t>
  </si>
  <si>
    <t>14 - Channel 1</t>
  </si>
  <si>
    <t>Talk intro</t>
  </si>
  <si>
    <t>15 - Channel 1</t>
  </si>
  <si>
    <t xml:space="preserve">Samsung preview </t>
  </si>
  <si>
    <t>16 - Channel 1</t>
  </si>
  <si>
    <t>17 - Channel 1</t>
  </si>
  <si>
    <t>18 - Channel 1</t>
  </si>
  <si>
    <t>19 - Channel 1</t>
  </si>
  <si>
    <t>T-6</t>
  </si>
  <si>
    <t>20 - Channel 1</t>
  </si>
  <si>
    <t>21 - Channel 1</t>
  </si>
  <si>
    <t>22 - Channel 1</t>
  </si>
  <si>
    <t>During this challenging time for humanity and our planet, the Loliware team has been hard at work trying to answer this one simple question.</t>
  </si>
  <si>
    <t>KEYNOTE - 3 - Slides to submit</t>
  </si>
  <si>
    <t>23 - Channel 1</t>
  </si>
  <si>
    <t xml:space="preserve">Laundry list and lookaround </t>
  </si>
  <si>
    <t>24 - Channel 1</t>
  </si>
  <si>
    <t>26 - Channel 1</t>
  </si>
  <si>
    <t>27 - Channel 1</t>
  </si>
  <si>
    <t>28 - Channel 1</t>
  </si>
  <si>
    <t xml:space="preserve">Preview: Spotify's battle for hearts and minds </t>
  </si>
  <si>
    <t>Enjoy 5 minutes of Spotify's  Dawn Ostroff talk. Catch the full talk on Channel 3.</t>
  </si>
  <si>
    <t>29 - Channel 1</t>
  </si>
  <si>
    <t>30 - Channel 1</t>
  </si>
  <si>
    <t>31 - Channel 1</t>
  </si>
  <si>
    <t>32 - Channel 1</t>
  </si>
  <si>
    <t>Hannah</t>
  </si>
  <si>
    <t>Travel in a world with no travel</t>
  </si>
  <si>
    <t>Few industries have been harder hit by the current pandemic than travel. Here, the CEO of one of the world's leading travel platforms talks about a way back from the steep decline that marked the start of the global travel year.</t>
  </si>
  <si>
    <t>33 - Channel 1</t>
  </si>
  <si>
    <t>40 - Channel 1</t>
  </si>
  <si>
    <t>41 - Channel 1</t>
  </si>
  <si>
    <t>Love and sex post-lockdown</t>
  </si>
  <si>
    <t xml:space="preserve">Will people feel comfortable even shaking hands post-lockdown, let alone diving into romance with their former enthusiasm? These matchmakers shed light on how Covid-19 transformed the world of dating, looking at which changes will be lasting and which will fade away with the memories. </t>
  </si>
  <si>
    <t>KEYNOTE - 6 - Video to be recorded</t>
  </si>
  <si>
    <t>42 - Channel 1</t>
  </si>
  <si>
    <t>43 - Channel 1</t>
  </si>
  <si>
    <t>44 - Channel 1</t>
  </si>
  <si>
    <t>Laundry list and menu</t>
  </si>
  <si>
    <t>45 - Channel 1</t>
  </si>
  <si>
    <t>46 - Channel 1</t>
  </si>
  <si>
    <t>Remote</t>
  </si>
  <si>
    <t>There's nothing quite like a global emergency to throw the ethics of sales into disarray. The chief product officer of one of the biggest ecommerce platforms on the planet talks mark ups, morality and the bottom line.</t>
  </si>
  <si>
    <t>NON-KEYNOTE - 5 - Brief to write and to send (week prior to recording)</t>
  </si>
  <si>
    <t>47 - Channel 1</t>
  </si>
  <si>
    <t>48 - Channel 1</t>
  </si>
  <si>
    <t>Toronto Studio</t>
  </si>
  <si>
    <t>49 - Channel 1</t>
  </si>
  <si>
    <t xml:space="preserve">Preview: Facebook CRO </t>
  </si>
  <si>
    <t xml:space="preserve">Enjoy 5 minutes of Vinod Khosla and The Information's Jessica Lessin's talk "The Power of Entrepreneurship"  Catch the full talk on Channel 3. </t>
  </si>
  <si>
    <t>50 - Channel 1</t>
  </si>
  <si>
    <t>51 - Channel 1</t>
  </si>
  <si>
    <t xml:space="preserve">Web Summit trailer  </t>
  </si>
  <si>
    <t>52 - Channel 1</t>
  </si>
  <si>
    <t>53 - Channel 1</t>
  </si>
  <si>
    <t>54 - Channel 1</t>
  </si>
  <si>
    <t>Haziq</t>
  </si>
  <si>
    <t xml:space="preserve">New York City is one of the areas in the US hardest hit by Covid-19. How will the tech startup and VC scenes recover as New York's resilience is put to the test? A top VC and two of the most active accelerators in New York discuss. </t>
  </si>
  <si>
    <t>https://zoom.us/j/98335138104?pwd=MUV6NmFkWWM0Z1hrVmNtTjBranR1QT09</t>
  </si>
  <si>
    <t>55 - Channel 1</t>
  </si>
  <si>
    <t>56 - Channel 1</t>
  </si>
  <si>
    <t>Lucia H.</t>
  </si>
  <si>
    <t>Dublin Studio</t>
  </si>
  <si>
    <t>57 - Channel 1</t>
  </si>
  <si>
    <t xml:space="preserve">Teaser B </t>
  </si>
  <si>
    <t>58 - Channel 1</t>
  </si>
  <si>
    <t>59 - Channel 1</t>
  </si>
  <si>
    <t>60 - Channel 1</t>
  </si>
  <si>
    <t>61 - Channel 1</t>
  </si>
  <si>
    <t>62 - Channel 1</t>
  </si>
  <si>
    <t>Eoghan</t>
  </si>
  <si>
    <t>Lynn</t>
  </si>
  <si>
    <t xml:space="preserve">Anxiety in a time of isolation </t>
  </si>
  <si>
    <t>Combatting anxiety is a challenge even in 'normal' times. Finding solace in the time of Covid-19 is even harder. This session will explore how we can stay sane in spite of all the craziness around us.</t>
  </si>
  <si>
    <t>63 - Channel 1</t>
  </si>
  <si>
    <t>64 - Channel 1</t>
  </si>
  <si>
    <t>65 - Channel 1</t>
  </si>
  <si>
    <t>Shaq Preview: Changing the game for workers</t>
  </si>
  <si>
    <t>Enjoy 5 minutes of Shaquille O'Neals "Changing the game for workers". Catch the full talk on Channel 2.</t>
  </si>
  <si>
    <t>66 - Channel 1</t>
  </si>
  <si>
    <t>67 - Channel 1</t>
  </si>
  <si>
    <t>68 - Channel 1</t>
  </si>
  <si>
    <t>69 - Channel 1</t>
  </si>
  <si>
    <t>Lingyu</t>
  </si>
  <si>
    <t>Hear recruitment experts talk about how a global recession will impact employment, and listen in as they share survival stories as food for thought.</t>
  </si>
  <si>
    <t>NON-KEYNOTE - 8 - Video to be recorded</t>
  </si>
  <si>
    <t>11/05/2020 at 16.00</t>
  </si>
  <si>
    <t>https://zoom.us/j/98000229733?pwd=N1NNcUgxaVI1SlRHS1I1WjU0TWZSQT09</t>
  </si>
  <si>
    <t>70 - Channel 1</t>
  </si>
  <si>
    <t>71 - Channel 1</t>
  </si>
  <si>
    <t>72 - Channel 1</t>
  </si>
  <si>
    <t>73 - Channel 1</t>
  </si>
  <si>
    <t>74 - Channel 1</t>
  </si>
  <si>
    <t>75 - Channel 1</t>
  </si>
  <si>
    <t>76 - Channel 1</t>
  </si>
  <si>
    <t>77 - Channel 1</t>
  </si>
  <si>
    <t xml:space="preserve">Will we ever see unicorns again?
</t>
  </si>
  <si>
    <t>Robert Reffkin, Compass</t>
  </si>
  <si>
    <t>Karin Klein, Bloomberg Beta</t>
  </si>
  <si>
    <t xml:space="preserve">What do unicorns have in common? A customer-centric product, a human-friendly startup culture, or cash abundance? In the current climate, will investors continue to channel their funds so generously? Perhaps you'll get some ideas from those who have witnessed, tried and tested. </t>
  </si>
  <si>
    <t>https://zoom.us/j/92733277524?pwd=MmM3UUlPSERnOGpTcFFtdTBIT2srUT09</t>
  </si>
  <si>
    <t>78 - Channel 1</t>
  </si>
  <si>
    <t>79 - Channel 1</t>
  </si>
  <si>
    <t>80 - Channel 1</t>
  </si>
  <si>
    <t>81 - Channel 1</t>
  </si>
  <si>
    <t>82 - Channel 1</t>
  </si>
  <si>
    <t>Inside a Pulitzer winning newsroom</t>
  </si>
  <si>
    <t>See the inner workings of the New York Times' Emmy-award winning visual investigation and storytelling arm.</t>
  </si>
  <si>
    <t>83 - Channel 1</t>
  </si>
  <si>
    <t>84 - Channel 1</t>
  </si>
  <si>
    <t>85 - Channel 1</t>
  </si>
  <si>
    <t xml:space="preserve">Kate Brandt Preview </t>
  </si>
  <si>
    <t>86 - Channel 1</t>
  </si>
  <si>
    <t>87 - Channel 1</t>
  </si>
  <si>
    <t>88 - Channel 1</t>
  </si>
  <si>
    <t>89 - Channel 1</t>
  </si>
  <si>
    <t>Shauna</t>
  </si>
  <si>
    <t xml:space="preserve">What are the new rules for UI and UX in a post Covid-19 world, as brands fight to retain customers?  </t>
  </si>
  <si>
    <t>90 - Channel 1</t>
  </si>
  <si>
    <t>91 - Channel 1</t>
  </si>
  <si>
    <t>holding graphic</t>
  </si>
  <si>
    <t>92 - Channel 1</t>
  </si>
  <si>
    <t>93 - Channel 1</t>
  </si>
  <si>
    <t>What makes a logo good?</t>
  </si>
  <si>
    <t xml:space="preserve">A trademark is the core of any company’s identity and communications program. To be successful, a design must strike a difficult balance between simplicity and distinction. Sagi will discuss the basic principles of identity design through his company’s famous logos – which include National Geographic and NBC – and share how to achieve a logo that will be successful for your brand. </t>
  </si>
  <si>
    <t>https://zoom.us/j/94646680604?pwd=cGEwdFVoWmdGbkx0TWJvZzZhcTBXdz09</t>
  </si>
  <si>
    <t>94 - Channel 1</t>
  </si>
  <si>
    <t>95 - Channel 1</t>
  </si>
  <si>
    <t>96 - Channel 1</t>
  </si>
  <si>
    <t>The future of 'design and make' is a massive multiplayer game. Thanks to automation and cloud technology, we can reimagine the design and make processes in a brand new, transformative way. Industries including architecture, engineering, construction and manufacturing are being reimagined (if not overhauled) as this automation powers their collective ability to make better, more informed decisions quickly.</t>
  </si>
  <si>
    <t>22-05-2020 - 16:00</t>
  </si>
  <si>
    <t>https://us02web.zoom.us/j/84671904744?pwd=U2hybUtwU3h3R0ZsS0NiNnBCMzhyZz09</t>
  </si>
  <si>
    <t>97 - Channel 1</t>
  </si>
  <si>
    <t>98 - Channel 1</t>
  </si>
  <si>
    <t>99 - Channel 1</t>
  </si>
  <si>
    <t>100 - Channel 1</t>
  </si>
  <si>
    <t>al</t>
  </si>
  <si>
    <t>101 - Channel 1</t>
  </si>
  <si>
    <t xml:space="preserve">Big tech is a big deal. And covering it is a big responsibility. Let the experts outline how tech reportage done right is a thing of beauty, and of power. </t>
  </si>
  <si>
    <t>102 - Channel 1</t>
  </si>
  <si>
    <t>103 - Channel 1</t>
  </si>
  <si>
    <t>104 - Channel 1</t>
  </si>
  <si>
    <t>Preview: Netflix</t>
  </si>
  <si>
    <t>105 - Channel 1</t>
  </si>
  <si>
    <t>106 - Channel 1</t>
  </si>
  <si>
    <t>107 - Channel 1</t>
  </si>
  <si>
    <t>How do Canadian business perspectives differ from the rest of the world's, and what can we learn from them?</t>
  </si>
  <si>
    <t>108 - Channel 1</t>
  </si>
  <si>
    <t>109 - Channel 1</t>
  </si>
  <si>
    <t>110 - Channel 1</t>
  </si>
  <si>
    <t>111 - Channel 1</t>
  </si>
  <si>
    <t>112 - Channel 1</t>
  </si>
  <si>
    <t>113 - Channel 1</t>
  </si>
  <si>
    <t>114 - Channel 1</t>
  </si>
  <si>
    <t>Rahul Bhardwaj, Institute of Corporate Directors</t>
  </si>
  <si>
    <t>Josh O'Kane, The Globe And Mail</t>
  </si>
  <si>
    <t>Join this panel to learn more about the massively growing tech landscape in Canada and its resilience in the wake of a turbulent global economy.</t>
  </si>
  <si>
    <t>May 7th, 5-630</t>
  </si>
  <si>
    <t>https://us02web.zoom.us/j/81381547512?pwd=MEp3b1lUQjdWczlEK2RzZlVnWXpXQT09</t>
  </si>
  <si>
    <t>115 - Channel 1</t>
  </si>
  <si>
    <t>116 - Channel 1</t>
  </si>
  <si>
    <t>117 - Channel 1</t>
  </si>
  <si>
    <t>118 - Channel 1</t>
  </si>
  <si>
    <t>119 - Channel 1</t>
  </si>
  <si>
    <t>AI automates a broad range of data-intensive tasks, but usually still requires significant human-AI interaction. Karen explores the requirements for enabling effective man-machine collaboration, and shares recent results from the AI research community.</t>
  </si>
  <si>
    <t>May 14th 5-5:30pm (9am PT)</t>
  </si>
  <si>
    <t>https://us04web.zoom.us/j/79937621360?pwd=RVV4Rk0vajhjWDFqUm9nNXNMZjVodz09</t>
  </si>
  <si>
    <t>120 - Channel 1</t>
  </si>
  <si>
    <t>121 - Channel 1</t>
  </si>
  <si>
    <t>122 - Channel 1</t>
  </si>
  <si>
    <t>123 - Channel 1</t>
  </si>
  <si>
    <t>Preview: Vinod Khosla</t>
  </si>
  <si>
    <t>124 - Channel 1</t>
  </si>
  <si>
    <t>125 - Channel 1</t>
  </si>
  <si>
    <t>126 - Channel 1</t>
  </si>
  <si>
    <t>127 - Channel 1</t>
  </si>
  <si>
    <t>News hasn't been immune to the working from home revolution brought about by this global pandemic. But it's been a tough transition, highlighting the strengths, weaknesses and resilience of the industry.</t>
  </si>
  <si>
    <t>128 - Channel 1</t>
  </si>
  <si>
    <t>129 - Channel 1</t>
  </si>
  <si>
    <t>130 - Channel 1</t>
  </si>
  <si>
    <t>131 - Channel 1</t>
  </si>
  <si>
    <t>132 - Channel 1</t>
  </si>
  <si>
    <t>Francisca</t>
  </si>
  <si>
    <t xml:space="preserve">Standing out in an overcrowded app market is a bit like trying to be the best pebble on a beach. At a time where ad-spending is at a low, but consumption is at a high- what does it take to get, and stay, at the top? </t>
  </si>
  <si>
    <t>08/05/2020, 5 pm</t>
  </si>
  <si>
    <t>https://zoom.us/j/99685006755?pwd=STh6SVRLSlgzaGdSVFVDVUsyMXNOQT09</t>
  </si>
  <si>
    <t>133 - Channel 1</t>
  </si>
  <si>
    <t>134 - Channel 1</t>
  </si>
  <si>
    <t>Closing remarks</t>
  </si>
  <si>
    <t>135 - Channel 1</t>
  </si>
  <si>
    <t>136 - Channel 1</t>
  </si>
  <si>
    <t>Setting a date/time</t>
  </si>
  <si>
    <t>137 - Channel 1</t>
  </si>
  <si>
    <t>Day 2</t>
  </si>
  <si>
    <t>138 - Channel 1</t>
  </si>
  <si>
    <t>139 - Channel 1</t>
  </si>
  <si>
    <t>set up talk 1</t>
  </si>
  <si>
    <t>140 - Channel 1</t>
  </si>
  <si>
    <t>At a time when societies are relying on big tech more than ever, the conversation has shifted from the perils to the benefits of being ever-connected. But what has really changed? The Information's Jessica Lessin continues to investigate.</t>
  </si>
  <si>
    <t>141 - Channel 1</t>
  </si>
  <si>
    <t>talk outro</t>
  </si>
  <si>
    <t>142 - Channel 1</t>
  </si>
  <si>
    <t>set up teaser</t>
  </si>
  <si>
    <t>143 - Channel 1</t>
  </si>
  <si>
    <t>Preview: YouTube</t>
  </si>
  <si>
    <t>144 - Channel 1</t>
  </si>
  <si>
    <t xml:space="preserve">teaser outro graphic </t>
  </si>
  <si>
    <t>145 - Channel 1</t>
  </si>
  <si>
    <t>146 - Channel 1</t>
  </si>
  <si>
    <t>Geoff</t>
  </si>
  <si>
    <t>In 2000, and again in 2008, we saw economic downturns that transformed the markets and the ways businesses operate to meet new demands. What lessons did we learn, and what can we predict as we enter this new and unknown economic climate? Top VCs discuss past investing trends and forecast future trends.</t>
  </si>
  <si>
    <t>KEYNOTE - 5 - Calendar invite with zoom link to speaker to send</t>
  </si>
  <si>
    <t>12/05 20:30 (IST)</t>
  </si>
  <si>
    <t>https://zoom.us/j/93869721599?pwd=eW5lb09UYTNnTVJiVEUzVWZWUHl5Zz09</t>
  </si>
  <si>
    <t>147 - Channel 1</t>
  </si>
  <si>
    <t>148 - Channel 1</t>
  </si>
  <si>
    <t>149 - Channel 1</t>
  </si>
  <si>
    <t xml:space="preserve">Anchor lookaround </t>
  </si>
  <si>
    <t>150 - Channel 1</t>
  </si>
  <si>
    <t>151 - Channel 1</t>
  </si>
  <si>
    <t>Joshua Fielding, Slate</t>
  </si>
  <si>
    <t>The world of international trade, national security and international relations is a complicated one. Never more so than today. These two speakers have been navigating those murky waters for decades. Join us to learn about the world of international affairs from two of its most expert proponents.</t>
  </si>
  <si>
    <t>152 - Channel 1</t>
  </si>
  <si>
    <t>153 - Channel 1</t>
  </si>
  <si>
    <t>154 - Channel 1</t>
  </si>
  <si>
    <t>155 - Channel 1</t>
  </si>
  <si>
    <t>156 - Channel 1</t>
  </si>
  <si>
    <t>157 - Channel 1</t>
  </si>
  <si>
    <t>158 - Channel 1</t>
  </si>
  <si>
    <t>159 - Channel 1</t>
  </si>
  <si>
    <t>160 - Channel 1</t>
  </si>
  <si>
    <t xml:space="preserve">Preview Brad Smith </t>
  </si>
  <si>
    <t>161 - Channel 1</t>
  </si>
  <si>
    <t>162 - Channel 1</t>
  </si>
  <si>
    <t>163 - Channel 1</t>
  </si>
  <si>
    <t>164 - Channel 1</t>
  </si>
  <si>
    <t>Falon Fatemi, Node</t>
  </si>
  <si>
    <t>Entrepreneurs hardly have it easy, but pitching VCs during the Covid pandemic, with markets in turmoil, is – hopefully – a once-in-a-lifetime challenge. Two founders who, at the height of the lockdown, sold VCs on backing them share their experiences.</t>
  </si>
  <si>
    <t>NON-KEYNOTE - 1 - Tentative schedule  + recording timeslot to send</t>
  </si>
  <si>
    <t>165 - Channel 1</t>
  </si>
  <si>
    <t>166 - Channel 1</t>
  </si>
  <si>
    <t>167 - Channel 1</t>
  </si>
  <si>
    <t>Montreal</t>
  </si>
  <si>
    <t>Streaming wars: The new world order</t>
  </si>
  <si>
    <t>Learn how the 'new world order' in the media landscape is creating new opportunities for entrepreneurs, executives, incumbents and challengers.</t>
  </si>
  <si>
    <t>Speaker recording themselves</t>
  </si>
  <si>
    <t>168 - Channel 1</t>
  </si>
  <si>
    <t>169 - Channel 1</t>
  </si>
  <si>
    <t>170 - Channel 1</t>
  </si>
  <si>
    <t>New York</t>
  </si>
  <si>
    <t xml:space="preserve">In the face of continuously shrinking attention spans, how do you keep your views and clicks high while not compromising your content? </t>
  </si>
  <si>
    <t>11-05-20 - 18:30</t>
  </si>
  <si>
    <t>171 - Channel 1</t>
  </si>
  <si>
    <t>172 - Channel 1</t>
  </si>
  <si>
    <t>173 - Channel 1</t>
  </si>
  <si>
    <t>174 - Channel 1</t>
  </si>
  <si>
    <t>175 - Channel 1</t>
  </si>
  <si>
    <t>John Koetsier, VentureBeat</t>
  </si>
  <si>
    <t>Two key figures in the world of sports and entertainment come together to discuss how they changed their respective games. Lee Trink is the man leading the global phenomenon FaZe Clan.</t>
  </si>
  <si>
    <t>NON-KEYNOTE - 2 - Schedule sheet to turn green</t>
  </si>
  <si>
    <t>176 - Channel 1</t>
  </si>
  <si>
    <t>177 - Channel 1</t>
  </si>
  <si>
    <t>178 - Channel 1</t>
  </si>
  <si>
    <t>179 - Channel 1</t>
  </si>
  <si>
    <t>Preview: Sidewalk Labs</t>
  </si>
  <si>
    <t>180 - Channel 1</t>
  </si>
  <si>
    <t>181 - Channel 1</t>
  </si>
  <si>
    <t>182 - Channel 1</t>
  </si>
  <si>
    <t>183 - Channel 1</t>
  </si>
  <si>
    <t>How companies can fight back</t>
  </si>
  <si>
    <t xml:space="preserve">We can only sit on our hands for so long before the economic fightback begins, but will business ever be the same? And how can we adapt to the new normal? </t>
  </si>
  <si>
    <t>Week of June 1</t>
  </si>
  <si>
    <t>184 - Channel 1</t>
  </si>
  <si>
    <t>185 - Channel 1</t>
  </si>
  <si>
    <t>186 - Channel 1</t>
  </si>
  <si>
    <t>187 - Channel 1</t>
  </si>
  <si>
    <t>188 - Channel 1</t>
  </si>
  <si>
    <t>Promo</t>
  </si>
  <si>
    <t>KPMG</t>
  </si>
  <si>
    <t>189 - Channel 1</t>
  </si>
  <si>
    <t>190 - Channel 1</t>
  </si>
  <si>
    <t>191 - Channel 1</t>
  </si>
  <si>
    <t>192 - Channel 1</t>
  </si>
  <si>
    <t>193 - Channel 1</t>
  </si>
  <si>
    <t>Payments in a world with no spending</t>
  </si>
  <si>
    <t>Consumer spending is shrinking. Join the CEO of payments unicorn Klarna – hailing from the cashless city of Stockholm – as he discusses the fate of online payments and ecommerce.</t>
  </si>
  <si>
    <t>n/a</t>
  </si>
  <si>
    <t>194 - Channel 1</t>
  </si>
  <si>
    <t>195 - Channel 1</t>
  </si>
  <si>
    <t>196 - Channel 1</t>
  </si>
  <si>
    <t>197 - Channel 1</t>
  </si>
  <si>
    <t>Preview: Call of Duty</t>
  </si>
  <si>
    <t>198 - Channel 1</t>
  </si>
  <si>
    <t>199 - Channel 1</t>
  </si>
  <si>
    <t xml:space="preserve">Anchor Lookaround </t>
  </si>
  <si>
    <t>200 - Channel 1</t>
  </si>
  <si>
    <t>201 - Channel 1</t>
  </si>
  <si>
    <t>David Kopp, Healthline</t>
  </si>
  <si>
    <t>John Burn-Murdoch, Financial Times</t>
  </si>
  <si>
    <t>Accurate health information has never been more important. As we tackle a pandemic, and the fake news ecosystem thriving around it, Healthline and the American Medical Association unite for a session on consumers and Covid-19.</t>
  </si>
  <si>
    <t>20/05/2020 at 18.30</t>
  </si>
  <si>
    <t>https://us02web.zoom.us/j/81309880326?pwd=SGdTeHF0OG9uaEZrV2FDcUlnYXVjdz09</t>
  </si>
  <si>
    <t>202 - Channel 1</t>
  </si>
  <si>
    <t>203 - Channel 1</t>
  </si>
  <si>
    <t>204 - Channel 1</t>
  </si>
  <si>
    <t>205 - Channel 1</t>
  </si>
  <si>
    <t>206 - Channel 1</t>
  </si>
  <si>
    <t>207 - Channel 1</t>
  </si>
  <si>
    <t>208 - Channel 1</t>
  </si>
  <si>
    <t>209 - Channel 1</t>
  </si>
  <si>
    <t>Too many sick people, too few resources to go round. The head of New York's biggest healthcare provider reflects on how hospitals and their teams navigate tough calls and ethical quagmires while maintaining the highest standards of care.</t>
  </si>
  <si>
    <t>06-05-20 - 19:00</t>
  </si>
  <si>
    <t>https://us02web.zoom.us/j/89408463174?pwd=VTFGQlNKWE1aV0NlU0Y1ZW9PdXFZUT09</t>
  </si>
  <si>
    <t>210 - Channel 1</t>
  </si>
  <si>
    <t>211 - Channel 1</t>
  </si>
  <si>
    <t>212 - Channel 1</t>
  </si>
  <si>
    <t>213 - Channel 1</t>
  </si>
  <si>
    <t>214 - Channel 1</t>
  </si>
  <si>
    <t>T- 8 - 27/04/2020</t>
  </si>
  <si>
    <t>Will the future of TV be defined by the ubiquitous paid subscription service or the free advertising-based linear model? Can they co-exist, or will one format dominate? With a $340 million sale to Viacom and more than 22 million monthly users, Pluto TV is an OTT streaming service which is betting big on a future of being free.</t>
  </si>
  <si>
    <t>KEYNOTE - 7 - Video to send to editing team</t>
  </si>
  <si>
    <t>30-04-20 - 18:00</t>
  </si>
  <si>
    <t>COMPLETE</t>
  </si>
  <si>
    <t>215 - Channel 1</t>
  </si>
  <si>
    <t>216 - Channel 1</t>
  </si>
  <si>
    <t>217 - Channel 1</t>
  </si>
  <si>
    <t>LinkedIn Preview</t>
  </si>
  <si>
    <t>218 - Channel 1</t>
  </si>
  <si>
    <t>219 - Channel 1</t>
  </si>
  <si>
    <t>Ancor lookaround</t>
  </si>
  <si>
    <t>220 - Channel 1</t>
  </si>
  <si>
    <t>221 - Channel 1</t>
  </si>
  <si>
    <t xml:space="preserve">Customer care has gone into overdrive since the Covid-19 hit. How can businesses adequately take care of their valued clients? Does the answer maybe lie in social media, chat bots or digitisation? </t>
  </si>
  <si>
    <t>222 - Channel 1</t>
  </si>
  <si>
    <t>223 - Channel 1</t>
  </si>
  <si>
    <t>PITCH Semi-Final round 3 of 3</t>
  </si>
  <si>
    <t>224 - Channel 1</t>
  </si>
  <si>
    <t>225 - Channel 1</t>
  </si>
  <si>
    <t>226 - Channel 1</t>
  </si>
  <si>
    <t>227 - Channel 1</t>
  </si>
  <si>
    <t xml:space="preserve">Is foreign and digital interference an inevitable part of elections, or can regulators still safeguard the democratic process from the perils of the social web?  </t>
  </si>
  <si>
    <t>228 - Channel 1</t>
  </si>
  <si>
    <t>229 - Channel 1</t>
  </si>
  <si>
    <t>230 - Channel 1</t>
  </si>
  <si>
    <t>231 - Channel 1</t>
  </si>
  <si>
    <t>232 - Channel 1</t>
  </si>
  <si>
    <t>How hard has high fashion been hit? The CEO of fashion's leading authority on digital business lays out the road ahead for luxury retail.</t>
  </si>
  <si>
    <t>233 - Channel 1</t>
  </si>
  <si>
    <t>234 - Channel 1</t>
  </si>
  <si>
    <t>235 - Channel 1</t>
  </si>
  <si>
    <t>236 - Channel 1</t>
  </si>
  <si>
    <t>Preview: Shay Mitchell</t>
  </si>
  <si>
    <t>237 - Channel 1</t>
  </si>
  <si>
    <t>238 - Channel 1</t>
  </si>
  <si>
    <t>239 - Channel 1</t>
  </si>
  <si>
    <t>The worldwide working from home experiment has revealed the pros and cons of remote work. Cutting on commute times and slashing office space have their upsides, but can teams ever be as strong?</t>
  </si>
  <si>
    <t>240 - Channel 1</t>
  </si>
  <si>
    <t>241 - Channel 1</t>
  </si>
  <si>
    <t>242 - Channel 1</t>
  </si>
  <si>
    <t>243 - Channel 1</t>
  </si>
  <si>
    <t>244 - Channel 1</t>
  </si>
  <si>
    <t>245 - Channel 1</t>
  </si>
  <si>
    <t>In this one-of-a-kind Zoom interview, Ben Goertzel will be talking to one of literature's most renowned writers: Mr Philip K Dick.</t>
  </si>
  <si>
    <t>246 - Channel 1</t>
  </si>
  <si>
    <t>Talk outro</t>
  </si>
  <si>
    <t>247 - Channel 1</t>
  </si>
  <si>
    <t>248 - Channel 1</t>
  </si>
  <si>
    <t>249 - Channel 1</t>
  </si>
  <si>
    <t>250 - Channel 1</t>
  </si>
  <si>
    <t>Separating a truly transformative technology from hype is a difficult task. These two speakers know how to do it. Between them, they have founded and led one of the most prestigious institutes in the world, and invested in some of the most exciting companies around. Join us to find out how to spot the real deal.</t>
  </si>
  <si>
    <t>Waiting to confirm moderato - likely delay</t>
  </si>
  <si>
    <t>251 - Channel 1</t>
  </si>
  <si>
    <t>252 - Channel 1</t>
  </si>
  <si>
    <t>253 - Channel 1</t>
  </si>
  <si>
    <t>Preview: Paypal</t>
  </si>
  <si>
    <t>254 - Channel 1</t>
  </si>
  <si>
    <t>255 - Channel 1</t>
  </si>
  <si>
    <t>set up talk 2</t>
  </si>
  <si>
    <t>256 - Channel 1</t>
  </si>
  <si>
    <t>Two visionaries in the retail space discuss the next frontier in the ever-evolving industry. Tim Kobe crafted the Apple store aesthetic, while Scott Cutler is reshaping the online marketplace with Stock X.</t>
  </si>
  <si>
    <t>257 - Channel 1</t>
  </si>
  <si>
    <t>258 - Channel 1</t>
  </si>
  <si>
    <t>259 - Channel 1</t>
  </si>
  <si>
    <t>Anchor Lookaround</t>
  </si>
  <si>
    <t>260 - Channel 1</t>
  </si>
  <si>
    <t>261 - Channel 1</t>
  </si>
  <si>
    <t>262 - Channel 1</t>
  </si>
  <si>
    <t>263 - Channel 1</t>
  </si>
  <si>
    <t>closing remarks</t>
  </si>
  <si>
    <t>264 - Channel 1</t>
  </si>
  <si>
    <t>265 - Channel 1</t>
  </si>
  <si>
    <t>266 - Channel 1</t>
  </si>
  <si>
    <t>Day 3</t>
  </si>
  <si>
    <t>267 - Channel 1</t>
  </si>
  <si>
    <t>268 - Channel 1</t>
  </si>
  <si>
    <t>269 - Channel 1</t>
  </si>
  <si>
    <t xml:space="preserve">Deirdre Bosa CNBC </t>
  </si>
  <si>
    <t>270 - Channel 1</t>
  </si>
  <si>
    <t>271 - Channel 1</t>
  </si>
  <si>
    <t>272 - Channel 1</t>
  </si>
  <si>
    <t>Preview Sony Pictures Animation</t>
  </si>
  <si>
    <t>273 - Channel 1</t>
  </si>
  <si>
    <t>274 - Channel 1</t>
  </si>
  <si>
    <t>275 - Channel 1</t>
  </si>
  <si>
    <t>276 - Channel 1</t>
  </si>
  <si>
    <t>277 - Channel 1</t>
  </si>
  <si>
    <t xml:space="preserve">The reality is that, through technology, we can transition to a fully circular economy; a closed-loop system in which pollution is eliminated and resources are kept in circulation through reuse, regeneration and recycling. Academic researchers, policy experts and city stakeholders come together in this session to address the increasingly urgent and complex challenges facing cities. 
</t>
  </si>
  <si>
    <t>NON-KEYNOTE - 9 - Video to send to editing team</t>
  </si>
  <si>
    <t>01/05/2020, 9 pm</t>
  </si>
  <si>
    <t>278 - Channel 1</t>
  </si>
  <si>
    <t>279 - Channel 1</t>
  </si>
  <si>
    <t>280 - Channel 1</t>
  </si>
  <si>
    <t>281 - Channel 1</t>
  </si>
  <si>
    <t>James</t>
  </si>
  <si>
    <t xml:space="preserve">With an 'everyone can contribute' mindset, GitLab’s all-remote team works from more than 65 countries and regions to build the leading collaboration tool for DevOps. Join Two Sigma Ventures partner Villi Iltchev and GitLab CEO Sid Sijbrandij for a discussion around GitLab’s path to becoming one of the largest remote companies in the world. </t>
  </si>
  <si>
    <t>08/05 17:30 (IST)</t>
  </si>
  <si>
    <t>https://zoom.us/j/91945992672?pwd=dmt1OG1oTlNlUHdGVG8xOXAwQVBtdz09</t>
  </si>
  <si>
    <t>282 - Channel 1</t>
  </si>
  <si>
    <t>283 - Channel 1</t>
  </si>
  <si>
    <t>284 - Channel 1</t>
  </si>
  <si>
    <t>285 - Channel 1</t>
  </si>
  <si>
    <t>286 - Channel 1</t>
  </si>
  <si>
    <t>Our experts discuss how data can – and cannot – improve a company's resilience in turbulent times.</t>
  </si>
  <si>
    <t>https://zoom.us/j/92581609842?pwd=ZFJFSkJsRkJvNURPUGdxVWhwM2JDUT09</t>
  </si>
  <si>
    <t>287 - Channel 1</t>
  </si>
  <si>
    <t>288 - Channel 1</t>
  </si>
  <si>
    <t>289 - Channel 1</t>
  </si>
  <si>
    <t>Preview Boston Dynamics</t>
  </si>
  <si>
    <t>290 - Channel 1</t>
  </si>
  <si>
    <t>291 - Channel 1</t>
  </si>
  <si>
    <t>292 - Channel 1</t>
  </si>
  <si>
    <t>293 - Channel 1</t>
  </si>
  <si>
    <t xml:space="preserve">Telemedicine testing and disinfecting robots. Hear about two of the ways tech is stepping up in this time of crisis to join the global effort against Covid-19.  </t>
  </si>
  <si>
    <t>294 - Channel 1</t>
  </si>
  <si>
    <t>295 - Channel 1</t>
  </si>
  <si>
    <t>296 - Channel 1</t>
  </si>
  <si>
    <t>297 - Channel 1</t>
  </si>
  <si>
    <t>298 - Channel 1</t>
  </si>
  <si>
    <t>299 - Channel 1</t>
  </si>
  <si>
    <t>300 - Channel 1</t>
  </si>
  <si>
    <t>301 - Channel 1</t>
  </si>
  <si>
    <t xml:space="preserve">A guide to the pandemic economy </t>
  </si>
  <si>
    <t xml:space="preserve">While there is no great switch to turn the economy back on after a crisis, we do have technology, creativity and ideas. This talk will bring together a professor of economics and the co-founder of a fintech unicorn working with SMB's, to share their predictions for how the pandemic will effect the economy. </t>
  </si>
  <si>
    <t>KEYNOTE - 2 - Schedule sheet to turn green</t>
  </si>
  <si>
    <t>302 - Channel 1</t>
  </si>
  <si>
    <t>303 - Channel 1</t>
  </si>
  <si>
    <t>304 - Channel 1</t>
  </si>
  <si>
    <t>305 - Channel 1</t>
  </si>
  <si>
    <t>306 - Channel 1</t>
  </si>
  <si>
    <t>With supply chains broken and consumer behaviours changing globally, some investment firms are rearranging the structures to stay ahead of the game- and the global crisis. In. this fireside chat, founder of Grishin Robotics, Dmitry Grishin will discuss his plan for investing through the global epidemic.</t>
  </si>
  <si>
    <t>307 - Channel 1</t>
  </si>
  <si>
    <t>308 - Channel 1</t>
  </si>
  <si>
    <t>309 - Channel 1</t>
  </si>
  <si>
    <t>Preview: Margaret Atwood</t>
  </si>
  <si>
    <t>310 - Channel 1</t>
  </si>
  <si>
    <t>311 - Channel 1</t>
  </si>
  <si>
    <t>312 - Channel 1</t>
  </si>
  <si>
    <t>313 - Channel 1</t>
  </si>
  <si>
    <t>314 - Channel 1</t>
  </si>
  <si>
    <t>315 - Channel 1</t>
  </si>
  <si>
    <t>316 - Channel 1</t>
  </si>
  <si>
    <t>317 - Channel 1</t>
  </si>
  <si>
    <t>Eabha</t>
  </si>
  <si>
    <t>TikTok's greatest challenge</t>
  </si>
  <si>
    <t xml:space="preserve">With millions of views and plenty of #ads under their belts, TikTok extraordinaires Josh, Hope and Jacob will myth-bust, inspire and explain the magic of the world's fastest-growing social app. </t>
  </si>
  <si>
    <t>May 8th 8pm</t>
  </si>
  <si>
    <t>318 - Channel 1</t>
  </si>
  <si>
    <t>319 - Channel 1</t>
  </si>
  <si>
    <t>320 - Channel 1</t>
  </si>
  <si>
    <t>321 - Channel 1</t>
  </si>
  <si>
    <t>322 - Channel 1</t>
  </si>
  <si>
    <t>CEO of Saffron Jacob Benbunan discusses the idea that a good product relies on familiarity for success. But, with familiarity becoming universal, local adaptation is potentially seen as an unnecessary nuance. Are "boots on the ground" essential any longer, or will a good product simply sell anywhere?</t>
  </si>
  <si>
    <t>https://zoom.us/j/94640787103?pwd=SFkySitrWWk5MXFlRCsyVWtxdGtxZz09</t>
  </si>
  <si>
    <t>323 - Channel 1</t>
  </si>
  <si>
    <t>324 - Channel 1</t>
  </si>
  <si>
    <t>325 - Channel 1</t>
  </si>
  <si>
    <t xml:space="preserve">Preview: Max Levchin </t>
  </si>
  <si>
    <t>326 - Channel 1</t>
  </si>
  <si>
    <t>327 - Channel 1</t>
  </si>
  <si>
    <t>328 - Channel 1</t>
  </si>
  <si>
    <t>329 - Channel 1</t>
  </si>
  <si>
    <t>330 - Channel 1</t>
  </si>
  <si>
    <t>Journalism in the age of pandemic</t>
  </si>
  <si>
    <t>In a time of global pandemic, the demand for accurate information is greater than ever, but so is the challenge of delivering it. In this keynote presentation, the Ruptly CEO assesses the impact Covid-19 has already had on how news is gathered and distributed, the economic fallout of the current situation, and the threats and opportunities the news industry will face in the post Covid-19 landscape.</t>
  </si>
  <si>
    <t>331 - Channel 1</t>
  </si>
  <si>
    <t>332 - Channel 1</t>
  </si>
  <si>
    <t>333 - Channel 1</t>
  </si>
  <si>
    <t>Can data save the world?</t>
  </si>
  <si>
    <t>Belinda Goldsmith, Thomson Reuters Foundation</t>
  </si>
  <si>
    <t xml:space="preserve">Reacting to humanitarian crises is incredibly difficult. There is no doubt that more – and better – use of data can help. In this session, we will hear from world leaders on the use of data to better respond to crises, and save lives. </t>
  </si>
  <si>
    <t>334 - Channel 1</t>
  </si>
  <si>
    <t>335 - Channel 1</t>
  </si>
  <si>
    <t>336 - Channel 1</t>
  </si>
  <si>
    <t>337 - Channel 1</t>
  </si>
  <si>
    <t>Designing the workplace of the future</t>
  </si>
  <si>
    <t>338 - Channel 1</t>
  </si>
  <si>
    <t>339 - Channel 1</t>
  </si>
  <si>
    <t>340 - Channel 1</t>
  </si>
  <si>
    <t>341 - Channel 1</t>
  </si>
  <si>
    <t>342 - Channel 1</t>
  </si>
  <si>
    <t>343 - Channel 1</t>
  </si>
  <si>
    <t>344 - Channel 1</t>
  </si>
  <si>
    <t>345 - Channel 1</t>
  </si>
  <si>
    <t>Preview :  Nikolaj Coster Waldau</t>
  </si>
  <si>
    <t>346 - Channel 1</t>
  </si>
  <si>
    <t>347 - Channel 1</t>
  </si>
  <si>
    <t>348 - Channel 1</t>
  </si>
  <si>
    <t>In this talk, we will hear about how two companies are changing the way people consume sport. Overtime is providing a platform for the sports superstars of tomorrow. Its co-founder Zack joins DraftKings co-founder Matt Kalish, DraftKings, who'll tell us how the sports daily fantasy and betting website managed to go public in a pandemic despite a near-complete shutdown of athletic competition across the globe. </t>
  </si>
  <si>
    <t>349 - Channel 1</t>
  </si>
  <si>
    <t>350 - Channel 1</t>
  </si>
  <si>
    <t>351 - Channel 1</t>
  </si>
  <si>
    <t>352 - Channel 1</t>
  </si>
  <si>
    <t>353 - Channel 1</t>
  </si>
  <si>
    <t>Is the end near for programmatic ads?</t>
  </si>
  <si>
    <t>At a time when customer care has never been more crucial, and spending is slowing down, two advertising experts talk about how programmatic ads must evolve to survive.</t>
  </si>
  <si>
    <t>354 - Channel 1</t>
  </si>
  <si>
    <t>355 - Channel 1</t>
  </si>
  <si>
    <t>356 - Channel 1</t>
  </si>
  <si>
    <t>357 - Channel 1</t>
  </si>
  <si>
    <t>358 - Channel 1</t>
  </si>
  <si>
    <t>359 - Channel 1</t>
  </si>
  <si>
    <t>Can I enable a new generation of teachers to educate students – especially in the current climate – more effectively? Join Derek to find out more.</t>
  </si>
  <si>
    <t>delivered by May 8th</t>
  </si>
  <si>
    <t>Self filling in a studio</t>
  </si>
  <si>
    <t>360 - Channel 1</t>
  </si>
  <si>
    <t>361 - Channel 1</t>
  </si>
  <si>
    <t>362 - Channel 1</t>
  </si>
  <si>
    <t>Preview: Tencent &amp;. Ailish Campbell</t>
  </si>
  <si>
    <t>363 - Channel 1</t>
  </si>
  <si>
    <t>364 - Channel 1</t>
  </si>
  <si>
    <t>365 - Channel 1</t>
  </si>
  <si>
    <t>Having seen an uptick during the worldwide Covid-19 pandemic, video-on-demand service Curiosity Stream is on a shopping spree for more content, signalling a boom for non-fiction, education and documentary-style programming. In this keynote, hear from CEO Clint Stinchcomb on how to deliver intellectually stimulating output without dumbing down.</t>
  </si>
  <si>
    <t>366 - Channel 1</t>
  </si>
  <si>
    <t>367 - Channel 1</t>
  </si>
  <si>
    <t>368 - Channel 1</t>
  </si>
  <si>
    <t>Topher will talk about how tech can help us battle against biodiversity loss and climate change.</t>
  </si>
  <si>
    <t>12/05/2020 at 18.00</t>
  </si>
  <si>
    <t>https://us02web.zoom.us/j/88542524720?pwd=MFhMbmVaQTZiRlU2ZjJRNDFsdmY2dz09</t>
  </si>
  <si>
    <t>369 - Channel 1</t>
  </si>
  <si>
    <t>370 - Channel 1</t>
  </si>
  <si>
    <t>teaser B</t>
  </si>
  <si>
    <t>371 - Channel 1</t>
  </si>
  <si>
    <t>372 - Channel 1</t>
  </si>
  <si>
    <t>It's gone from budding to booming. What next for an industry emerging as a flower among the weeds?</t>
  </si>
  <si>
    <t>NON-KEYNOTE - 6 - Release form to sign</t>
  </si>
  <si>
    <t xml:space="preserve">May 5, 5pm GMT </t>
  </si>
  <si>
    <t>https://www.google.com/url?q=https://us04web.zoom.us/j/78105080968?pwd%3DRHFoNnRQOG00NHRvYVo5WWJvdGxlUT09&amp;sa=D&amp;ust=1588777829325000&amp;usg=AOvVaw3LiY8GI4t3o1LoUnhhFpYk</t>
  </si>
  <si>
    <t>373 - Channel 1</t>
  </si>
  <si>
    <t>374 - Channel 1</t>
  </si>
  <si>
    <t>375 - Channel 1</t>
  </si>
  <si>
    <t>376 - Channel 1</t>
  </si>
  <si>
    <t>377 - Channel 1</t>
  </si>
  <si>
    <t>378 - Channel 1</t>
  </si>
  <si>
    <t>379 - Channel 1</t>
  </si>
  <si>
    <t>380 - Channel 1</t>
  </si>
  <si>
    <t>Preview: TBC</t>
  </si>
  <si>
    <t>381 - Channel 1</t>
  </si>
  <si>
    <t>382 - Channel 1</t>
  </si>
  <si>
    <t>383 - Channel 1</t>
  </si>
  <si>
    <t>Digital transformation and new workstyles are forcing businesses to rethink how and where tech is deployed. Companies utilising technology to enable flexible work models can not only attract hard-to-find talent, but increase employee engagement and boost their productivity. David explains how to strategically create a world-class business model to offer and enable remote work, make employees happier and more productive, and attract and retain the talent you need to move your business forward.</t>
  </si>
  <si>
    <t>01/06/2020 at 19.00</t>
  </si>
  <si>
    <t>https://us02web.zoom.us/j/82925904442?pwd=V3UycmR6UHJiTWluK2hhY3JOOVZkQT09</t>
  </si>
  <si>
    <t>384 - Channel 1</t>
  </si>
  <si>
    <t>385 - Channel 1</t>
  </si>
  <si>
    <t>PITCH content reel</t>
  </si>
  <si>
    <t>386 - Channel 1</t>
  </si>
  <si>
    <t>387 - Channel 1</t>
  </si>
  <si>
    <t>388 - Channel 1</t>
  </si>
  <si>
    <t>389 - Channel 1</t>
  </si>
  <si>
    <t>London</t>
  </si>
  <si>
    <t>How we engage with each other physically and virtually is changing rapidly. W12 Studios CEO Fabian will discuss why brands have the unique opportunity to enable real connections that can make a difference.</t>
  </si>
  <si>
    <t>390 - Channel 1</t>
  </si>
  <si>
    <t>391 - Channel 1</t>
  </si>
  <si>
    <t>392 - Channel 1</t>
  </si>
  <si>
    <t>393 - Channel 1</t>
  </si>
  <si>
    <t>394 - Channel 1</t>
  </si>
  <si>
    <t>395 - Channel 1</t>
  </si>
  <si>
    <t>396 - Channel 1</t>
  </si>
  <si>
    <t>397 - Channel 1</t>
  </si>
  <si>
    <t>Beijing</t>
  </si>
  <si>
    <t>Baidu AI applications and innovations</t>
  </si>
  <si>
    <t>Chinese tech giant Baidu outlines how its AI boosts industrial innovations and intelligent transformation in all walks of life.</t>
  </si>
  <si>
    <t>398 - Channel 1</t>
  </si>
  <si>
    <t>399 - Channel 1</t>
  </si>
  <si>
    <t>400 - Channel 1</t>
  </si>
  <si>
    <t>Multi-city</t>
  </si>
  <si>
    <t>Lui Xin CCTV / CGTN</t>
  </si>
  <si>
    <t>All hype aside, where is AI tech today relative to where we envisioned it would be? How can we embrace all its possibilities while steering clear of the red flags? Join this discussion with industry leaders to find out.</t>
  </si>
  <si>
    <t>401 - Channel 1</t>
  </si>
  <si>
    <t>402 - Channel 1</t>
  </si>
  <si>
    <t>403 - Channel 1</t>
  </si>
  <si>
    <t>404 - Channel 1</t>
  </si>
  <si>
    <t xml:space="preserve">Demographic shifts are fundamentally changing the composition of current and future consumer bases. As powerful, underserved groups emerge – impacting consumer attitudes, behaviours and expectations – we will see a shift from the homogeneous consumer to the niche consumer. This future consumer will shift expectations of how experiences come to life, and of the companies that deliver them. </t>
  </si>
  <si>
    <t>Self record</t>
  </si>
  <si>
    <t>405 - Channel 1</t>
  </si>
  <si>
    <t>406 - Channel 1</t>
  </si>
  <si>
    <t>407 - Channel 1</t>
  </si>
  <si>
    <t>Boston</t>
  </si>
  <si>
    <t>T- 9 - 20/04/2020</t>
  </si>
  <si>
    <t>Does AI know how I feel? Can we put emotional intelligence into AI? Can it develop emotions on its own? Egyptian American computer scientist Rana el Kaliouby decodes how she humanizes tech.</t>
  </si>
  <si>
    <t>COMPELTE</t>
  </si>
  <si>
    <t>408 - Channel 1</t>
  </si>
  <si>
    <t>409 - Channel 1</t>
  </si>
  <si>
    <t>410 - Channel 1</t>
  </si>
  <si>
    <t>411 - Channel 1</t>
  </si>
  <si>
    <t>Los Angeles</t>
  </si>
  <si>
    <t>Kathryn Everett, Kathryn Everett</t>
  </si>
  <si>
    <t xml:space="preserve">In this talk, hear from two speakers who are passionate about making documentaries that change our thinking, impact our society and challenge our world view. </t>
  </si>
  <si>
    <t>13/05/20 - 12:30 EST</t>
  </si>
  <si>
    <t>412 - Channel 1</t>
  </si>
  <si>
    <t>413 - Channel 1</t>
  </si>
  <si>
    <t>414 - Channel 1</t>
  </si>
  <si>
    <t>415 - Channel 1</t>
  </si>
  <si>
    <t>A creative renaissance is sweeping podcasting, and the industry it has spawned has attracted content creators, marketers and distributors of all shapes and sizes. Now the most popular global audio streaming platform is adding fuel to the rocket. In this fireside chat, hear from Spotify's chief content and advertising business officer, Dawn Ostroff, on why the company has entered the podcast market, what their teams are planning for the audio industry, and why they believe your ears are as important – and lucrative – as your eyes.</t>
  </si>
  <si>
    <t>05-06 - 16:00EST/21:00 (Dublin Time)</t>
  </si>
  <si>
    <t>416 - Channel 1</t>
  </si>
  <si>
    <t>417 - Channel 1</t>
  </si>
  <si>
    <t>418 - Channel 1</t>
  </si>
  <si>
    <t>40 Words #1</t>
  </si>
  <si>
    <t>419 - Channel 1</t>
  </si>
  <si>
    <t>420 - Channel 1</t>
  </si>
  <si>
    <t>Seoul</t>
  </si>
  <si>
    <t>Sustaining a viral hit</t>
  </si>
  <si>
    <t>Baby Shark has more than 5 billion plays across all streaming platforms, making it the most-viewed educational video of all time. Find out from the creators how to make a viral hit and capitalise on it.</t>
  </si>
  <si>
    <t>421 - Channel 1</t>
  </si>
  <si>
    <t>422 - Channel 1</t>
  </si>
  <si>
    <t>423 - Channel 1</t>
  </si>
  <si>
    <t>424 - Channel 1</t>
  </si>
  <si>
    <t>San Francisco</t>
  </si>
  <si>
    <t>Visual storytelling: What's changed?</t>
  </si>
  <si>
    <t>Greg Lutze, VSCO</t>
  </si>
  <si>
    <t xml:space="preserve">The last decade has seen a revolution in visual storytelling. In this talk, hear from VSCO co-founder Greg Lutze and one of New York-based design firm Pentagram's partners, Emily Oberman, on how to create visual communication across language and cultural divides. </t>
  </si>
  <si>
    <t>425 - Channel 1</t>
  </si>
  <si>
    <t>426 - Channel 1</t>
  </si>
  <si>
    <t>427 - Channel 1</t>
  </si>
  <si>
    <t>428 - Channel 1</t>
  </si>
  <si>
    <t>429 - Channel 1</t>
  </si>
  <si>
    <t>Covid-19: Overcoming the CX challenge</t>
  </si>
  <si>
    <t>Birchbox</t>
  </si>
  <si>
    <t>Sapna Maheshwari, NYT</t>
  </si>
  <si>
    <t xml:space="preserve">Businesses are now finding themselves serving customers who have been financially impacted by Covid-19, and whose mindsets and habits have changed dramatically as tactile experiences have been traded for a digital experience. With 'normal' now a distant memory, find out how these industry leaders are tailoring the customer experience to reflect the changed world we live in. </t>
  </si>
  <si>
    <t>430 - Channel 1</t>
  </si>
  <si>
    <t>444 - Channel 1</t>
  </si>
  <si>
    <t>40 Words #2</t>
  </si>
  <si>
    <t>435 - Channel 1</t>
  </si>
  <si>
    <t>436 - Channel 1</t>
  </si>
  <si>
    <t>Partner Adroll # 3</t>
  </si>
  <si>
    <t>440 - Channel 1</t>
  </si>
  <si>
    <t>431 - Channel 1</t>
  </si>
  <si>
    <t>432 - Channel 1</t>
  </si>
  <si>
    <t>433 - Channel 1</t>
  </si>
  <si>
    <t>In these turbulent times, money matters. Find out how and where Facebook is spending its money in this talk from the social media platform's chief revenue officer.</t>
  </si>
  <si>
    <t>03-06 - between 10am – 11:30am PT OR
05-06 -  between 12:30 – 4pm PT</t>
  </si>
  <si>
    <t>434 - Channel 1</t>
  </si>
  <si>
    <t>441 - Channel 1</t>
  </si>
  <si>
    <t>442 - Channel 1</t>
  </si>
  <si>
    <t>Designing the future of insurance</t>
  </si>
  <si>
    <t>Natalie Gray, Cover</t>
  </si>
  <si>
    <t>Cover co-founder and head of design Natalie Gray will discuss how the mobile tech company allows users to insure anything simply by taking a picture.</t>
  </si>
  <si>
    <t>443 - Channel 1</t>
  </si>
  <si>
    <t>Partner Adroll #4 (Repeat)</t>
  </si>
  <si>
    <t>438 - Channel 1</t>
  </si>
  <si>
    <t>Dallas</t>
  </si>
  <si>
    <t>Building a billion $ beauty business</t>
  </si>
  <si>
    <t xml:space="preserve">Huda Kattan swapped her life in finance recruitment to build her own billion-dollar business empire. Huda and her sister Mona formed Huda Beauty, which together they have grown a company that has become the recognized global leader in beauty products. 
</t>
  </si>
  <si>
    <t>439 - Channel 1</t>
  </si>
  <si>
    <t>445 - Channel 1</t>
  </si>
  <si>
    <t>446 - Channel 1</t>
  </si>
  <si>
    <t>447 - Channel 1</t>
  </si>
  <si>
    <t>448 - Channel 1</t>
  </si>
  <si>
    <t>An economic downturn can offer many advantages for startups. With a recession on the horizon, this could be the perfect time to start your business. Three of Silicon Valley's leading VCs tell us why.</t>
  </si>
  <si>
    <t>12/05 17:00 (IST)</t>
  </si>
  <si>
    <t>https://zoom.us/j/93557541124?pwd=LzRYQjRaZ29kc3c1VkJjY3BCSytQQT09</t>
  </si>
  <si>
    <t>449 - Channel 1</t>
  </si>
  <si>
    <t>450 - Channel 1</t>
  </si>
  <si>
    <t>Partner Adroll # 5</t>
  </si>
  <si>
    <t>451 - Channel 1</t>
  </si>
  <si>
    <t>452 - Channel 1</t>
  </si>
  <si>
    <t xml:space="preserve">Shaquille O'Neal: Changing the game for workers
</t>
  </si>
  <si>
    <t xml:space="preserve">In 2020, work is evolving on a daily basis and Steady is helping people navigate this new normal. Company CEO Adam Roseman is joined by NBA legend Shaquille O'Neal (an investor in and advocate of the platform) to discuss how the app can help to ease the crisis facing millions of gig and hourly workers. </t>
  </si>
  <si>
    <t>453 - Channel 1</t>
  </si>
  <si>
    <t>454 - Channel 1</t>
  </si>
  <si>
    <t>40 Words #3</t>
  </si>
  <si>
    <t>455 - Channel 1</t>
  </si>
  <si>
    <t>456 - Channel 1</t>
  </si>
  <si>
    <t>Partner Adroll #6</t>
  </si>
  <si>
    <t>457 - Channel 1</t>
  </si>
  <si>
    <t>458 - Channel 1</t>
  </si>
  <si>
    <t>Andy Serwer, Yahoo! Finance</t>
  </si>
  <si>
    <t xml:space="preserve">Gen Z controls $45 billion in annual spending, with the oldest members of the generation turning just 24 this year. During the pandemic, reports have shown a significant change in gen Z's brand alignment behaviour as a result of availability and cost savings. Is it impossible for a brand to secure the loyalty of a gen Zer? </t>
  </si>
  <si>
    <t>459 - Channel 1</t>
  </si>
  <si>
    <t>460 - Channel 1</t>
  </si>
  <si>
    <t>40 Words #4</t>
  </si>
  <si>
    <t>462 - Channel 1</t>
  </si>
  <si>
    <t>40 Words #5</t>
  </si>
  <si>
    <t>463 - Channel 1</t>
  </si>
  <si>
    <t>464 - Channel 1</t>
  </si>
  <si>
    <t>Santa Barbara</t>
  </si>
  <si>
    <t>Join Impact CEO David A Yovanno as he shares his secrets of success and his learnings around creating a new category for enterprise growth.</t>
  </si>
  <si>
    <t>30-4 - 18:00</t>
  </si>
  <si>
    <t>465 - Channel 1</t>
  </si>
  <si>
    <t>466 - Channel 1</t>
  </si>
  <si>
    <t>Partner Adroll #Repeat</t>
  </si>
  <si>
    <t>467 - Channel 1</t>
  </si>
  <si>
    <t>40 Words #Repeat</t>
  </si>
  <si>
    <t>468 - Channel 1</t>
  </si>
  <si>
    <t>469 - Channel 1</t>
  </si>
  <si>
    <t>470 - Channel 1</t>
  </si>
  <si>
    <t>471 - Channel 1</t>
  </si>
  <si>
    <t>In the last few months, news has stepped into the sun as a global force for good, communicating the message on how we can stop spreading Covid-19. The fight against fake news has taken on fresh significance in these trying times, but are we winning it?</t>
  </si>
  <si>
    <t>472 - Channel 1</t>
  </si>
  <si>
    <t>473 - Channel 1</t>
  </si>
  <si>
    <t>474 - Channel 1</t>
  </si>
  <si>
    <t>475 - Channel 1</t>
  </si>
  <si>
    <t>Premium content: Unavoidable or elitist?</t>
  </si>
  <si>
    <t>You get what you pay for. For many, paywalls are a natural new normal. For others, they commodify a precious resource that everyone needs: information. Where's the line? And where to next for news revenue?</t>
  </si>
  <si>
    <t>27-05-2020 - 14:30</t>
  </si>
  <si>
    <t>https://us02web.zoom.us/j/82940034007?pwd=OW8rRmdBSVVXNDNVeUtPdzM0VnA1QT09</t>
  </si>
  <si>
    <t>476 - Channel 1</t>
  </si>
  <si>
    <t>477 - Channel 1</t>
  </si>
  <si>
    <t>478 - Channel 1</t>
  </si>
  <si>
    <t>Washington DC</t>
  </si>
  <si>
    <t>Emily Ragobeer, TRT World</t>
  </si>
  <si>
    <t>They got it so wrong in 2016, but can the US media call it in 2020 as Trump bids for re-election? And what kind of coverage does the average American want from its media, as politics and the pandemic battle it out for column space and airtime?</t>
  </si>
  <si>
    <t>479 - Channel 1</t>
  </si>
  <si>
    <t>480 - Channel 1</t>
  </si>
  <si>
    <t>481 - Channel 1</t>
  </si>
  <si>
    <t>As the world battles Covid-19, pay cuts and layoffs are becoming as prolific as the virus itself. News is no exception – it's been hit hard at a time when we need it most. Can quality journalism weather the storm? And will public service broadcasters be disproportionately affected?</t>
  </si>
  <si>
    <t>482 - Channel 1</t>
  </si>
  <si>
    <t>483 - Channel 1</t>
  </si>
  <si>
    <t>484 - Channel 1</t>
  </si>
  <si>
    <t>485 - Channel 1</t>
  </si>
  <si>
    <t>486 - Channel 1</t>
  </si>
  <si>
    <t>Toronto</t>
  </si>
  <si>
    <t>The widespread ownership of networked devices has led to an increased interest in ubiquitous learning. This has led to new challenges in integrating formal and informal learning opportunities for an increasingly diverse group of learners and employers. In this talk, we look at how complex learning may be enhanced by technology, and whether the pandemic has catalysed the evolution of education.  </t>
  </si>
  <si>
    <t>487 - Channel 1</t>
  </si>
  <si>
    <t>488 - Channel 1</t>
  </si>
  <si>
    <t>Partner Adroll #7</t>
  </si>
  <si>
    <t>489 - Channel 1</t>
  </si>
  <si>
    <t>490 - Channel 1</t>
  </si>
  <si>
    <t>Netflix has more than 160 million subscribers worldwide, and is transforming how films and television are produced in Hollywood. The streaming platform embraced the future, and its resulting story is one that paves the way to success for other industries, including graduate education. In this session, we will learn what the catalysts were for this innovation, and how this bodes well for the future of education.</t>
  </si>
  <si>
    <t>05/05/2020 - 20:00</t>
  </si>
  <si>
    <t xml:space="preserve">Zoom </t>
  </si>
  <si>
    <t>491 - Channel 1</t>
  </si>
  <si>
    <t>492 - Channel 1</t>
  </si>
  <si>
    <t>Partner Adroll # 8</t>
  </si>
  <si>
    <t>493 - Channel 1</t>
  </si>
  <si>
    <t>494 - Channel 1</t>
  </si>
  <si>
    <t>Grant Ingersoll, Wikipedia</t>
  </si>
  <si>
    <t>Wikipedia is known as a world-leading repository of knowledge. In this talk, CTO Grant Ingersoll will explain how tech can go beyond simply imparting knowledge and actually improve our ability to think critically.</t>
  </si>
  <si>
    <t>22-05 - 18:00</t>
  </si>
  <si>
    <t>495 - Channel 1</t>
  </si>
  <si>
    <t>496 - Channel 1</t>
  </si>
  <si>
    <t>497 - Channel 1</t>
  </si>
  <si>
    <t>The dean of the world's most famous design school will discuss the myriad ways in which designers need to have a seat at the table in developing solutions to the current global crisis, and how Parsons School of Design is preparing students to design an equitable, sustainable and healthy post Covid-19 society.</t>
  </si>
  <si>
    <t>498 - Channel 1</t>
  </si>
  <si>
    <t>499 - Channel 1</t>
  </si>
  <si>
    <t>500 - Channel 1</t>
  </si>
  <si>
    <t>Partner Adroll #repeat</t>
  </si>
  <si>
    <t>501 - Channel 1</t>
  </si>
  <si>
    <t>502 - Channel 1</t>
  </si>
  <si>
    <t>It's already been a year like no other. Amid lockdowns, quarantines, travel restrictions and vaccine efforts, two public health experts debate the rising death tolls, infection rates and political fallout, and examine how we can keep curves flattened and transmission rates low.</t>
  </si>
  <si>
    <t>503 - Channel 1</t>
  </si>
  <si>
    <t>504 - Channel 1</t>
  </si>
  <si>
    <t>505 - Channel 1</t>
  </si>
  <si>
    <t>Max Domi, National Team of Canada</t>
  </si>
  <si>
    <t>Diabetes used to be a debilitating disease. It still is, for some. But it doesn't have to be. Canadian sports star Max Domi and Dexcom's Laura Endres come together for this revealing insight into disease management.</t>
  </si>
  <si>
    <t>506 - Channel 1</t>
  </si>
  <si>
    <t>507 - Channel 1</t>
  </si>
  <si>
    <t>40 Words #repeat</t>
  </si>
  <si>
    <t>508 - Channel 1</t>
  </si>
  <si>
    <t>509 - Channel 1</t>
  </si>
  <si>
    <t>Isolation anxiety, grief, loss, and a lack of general routine... Covid-19 is affecting us all in ways we're not even aware of. We've gathered world experts on mental health, fitness and self-care to advise on how best to protect your mind and body as you adjust to the new normal.</t>
  </si>
  <si>
    <t>08-05-20 - 17:00</t>
  </si>
  <si>
    <t>https://us02web.zoom.us/j/85736259915?pwd=dVYwdzJzRDI5cnFsTis1UnlTMFZHZz09</t>
  </si>
  <si>
    <t>510 - Channel 1</t>
  </si>
  <si>
    <t>511 - Channel 1</t>
  </si>
  <si>
    <t>512 - Channel 1</t>
  </si>
  <si>
    <t>513 - Channel 1</t>
  </si>
  <si>
    <t>How digital PPE is slowing down Covid-19</t>
  </si>
  <si>
    <t>Using wearables and AI, US scientists are on the cusp of being able to identify infected frontline healthcare professionals up to three days before they become symptomatic. The executive director of the Rockefeller Neuroscience Institute, Ali Rezai, outlines the significance of a major breakthrough of this kind in limiting the spread of Covid-19.</t>
  </si>
  <si>
    <t>514 - Channel 1</t>
  </si>
  <si>
    <t>515 - Channel 1</t>
  </si>
  <si>
    <t>516 - Channel 1</t>
  </si>
  <si>
    <t>Austin</t>
  </si>
  <si>
    <t>Hear from EverlyWell founder Julia Taylor Cheek on how she built EverlyWell, a company with a product that allows you to run your own lab tests from home.</t>
  </si>
  <si>
    <t>20-04 - 20:00</t>
  </si>
  <si>
    <t>517 - Channel 1</t>
  </si>
  <si>
    <t>518 - Channel 1</t>
  </si>
  <si>
    <t>519 - Channel 1</t>
  </si>
  <si>
    <t>520 - Channel 1</t>
  </si>
  <si>
    <t>521 - Channel 1</t>
  </si>
  <si>
    <t>522 - Channel 1</t>
  </si>
  <si>
    <t>523 - Channel 1</t>
  </si>
  <si>
    <t>The upcoming 2020 US election will be arguably the most important election in a generation. Winning it is not going to be easy. This panel brings together some of the leading experts – from across the political spectrum – who'll be discussing how to win. Hear how they plan to defeat their opposition and change the direction of US politics.</t>
  </si>
  <si>
    <t>524 - Channel 1</t>
  </si>
  <si>
    <t>525 - Channel 1</t>
  </si>
  <si>
    <t>526 - Channel 1</t>
  </si>
  <si>
    <t xml:space="preserve">How politics can help more people </t>
  </si>
  <si>
    <t>Robin Kelly, US House of Representatives</t>
  </si>
  <si>
    <t>Joshua Keating, Slate</t>
  </si>
  <si>
    <t>Politics can help and it can hinder. In this session, we will hear from world-leading policymakers about how politics can work for the many, and not just the few.</t>
  </si>
  <si>
    <t>527 - Channel 1</t>
  </si>
  <si>
    <t>528 - Channel 1</t>
  </si>
  <si>
    <t>529 - Channel 1</t>
  </si>
  <si>
    <t>Voting is the lifeblood of modern democracy. Finding new ways to vote – and to run elections – is vital in ensuring as many people as possible participate in our democracies. This session will explore how tech can help.</t>
  </si>
  <si>
    <t>15/05/2020 19:00 GMT</t>
  </si>
  <si>
    <t>530 - Channel 1</t>
  </si>
  <si>
    <t>531 - Channel 1</t>
  </si>
  <si>
    <t>532 - Channel 1</t>
  </si>
  <si>
    <t xml:space="preserve">Is the growth of big tech companies killing the American dream? Has the increase in monopoly power of companies such as Amazon, Google and Microsoft made radical inequality the new normal? What can we do to stop this and put money back in the hands of the people? </t>
  </si>
  <si>
    <t>533 - Channel 1</t>
  </si>
  <si>
    <t>534 - Channel 1</t>
  </si>
  <si>
    <t>535 - Channel 1</t>
  </si>
  <si>
    <t>536 - Channel 1</t>
  </si>
  <si>
    <t>Partner Adroll - #1</t>
  </si>
  <si>
    <t>537 - Channel 1</t>
  </si>
  <si>
    <t>538 - Channel 1</t>
  </si>
  <si>
    <t>Voice tech is now firmly embedded in our lives, transforming our homes, automobiles and even the workplace. Our relationship with voice assistants will soon evolve from command-driven to emotionally intelligent and anticipatory. Brands need to understand how voice is influencing our everyday behaviors, shifting our relationships with other technologies, and re-shaping the playing field for brand marketing and commerce. Nithya Thadani, CEO of RAIN, will offer an in-depth look at how the future of voice is being shaped today, and how brands can design for voice with future generations in mind.</t>
  </si>
  <si>
    <t>https://zoom.us/j/91229350641?pwd=QmI1NE9pdFNaYVQyQ29SRFViVnNRQT09</t>
  </si>
  <si>
    <t>539 - Channel 1</t>
  </si>
  <si>
    <t>540 - Channel 1</t>
  </si>
  <si>
    <t>40 words #1</t>
  </si>
  <si>
    <t>541 - Channel 1</t>
  </si>
  <si>
    <t>542 - Channel 1</t>
  </si>
  <si>
    <t>543 - Channel 1</t>
  </si>
  <si>
    <t>Lime operates globally in more than 30 countries, yet manages to be a hyper local company on the ground in each city. Looking at the tech behind the wheels, CTO Li Fan brings us through life with Lime.</t>
  </si>
  <si>
    <t>27/5/2020 27 19:00 (11am PT)</t>
  </si>
  <si>
    <t>544 - Channel 1</t>
  </si>
  <si>
    <t>545 - Channel 1</t>
  </si>
  <si>
    <t>Partner Adroll - #2</t>
  </si>
  <si>
    <t>546 - Channel 1</t>
  </si>
  <si>
    <t>547 - Channel 1</t>
  </si>
  <si>
    <t xml:space="preserve">It is said that the most profound technologies, such as internet of things appliances and self-driving cars, are those that disappear. They weave themselves into the fabric of everyday life until they are indistinguishable from it. In this talk, Intuit CIO Bharath Kadaba will delve deeper into how AI is expanding in this new ambient world. </t>
  </si>
  <si>
    <t>24/4/2020 - 3pm</t>
  </si>
  <si>
    <t>https://zoom.us/j/94463441330?pwd=Yk9uYXVQWk1sSzVINmovbENBckIyQT09</t>
  </si>
  <si>
    <t>548 - Channel 1</t>
  </si>
  <si>
    <t>549 - Channel 1</t>
  </si>
  <si>
    <t>550 - Channel 1</t>
  </si>
  <si>
    <t>551 - Channel 1</t>
  </si>
  <si>
    <t xml:space="preserve">Tech is driving sports organizations' search for unlocking that one percent. Hear how AI, cloud-based technology on and off the field, and amassing and analyzing massive data sets, looks likely to change the game forever. </t>
  </si>
  <si>
    <t>552 - Channel 1</t>
  </si>
  <si>
    <t>553 - Channel 1</t>
  </si>
  <si>
    <t>40 words #2</t>
  </si>
  <si>
    <t>554 - Channel 1</t>
  </si>
  <si>
    <t>555 - Channel 1</t>
  </si>
  <si>
    <t xml:space="preserve">People.ai founder and CEO Oleg Rogynskyy talks about how AI will help unleash human potential by improving the way we work and, more importantly, by improving how we manage and run teams. </t>
  </si>
  <si>
    <t>556 - Channel 1</t>
  </si>
  <si>
    <t>557 - Channel 1</t>
  </si>
  <si>
    <t>558 - Channel 1</t>
  </si>
  <si>
    <t>561 - Channel 1</t>
  </si>
  <si>
    <t>562 - Channel 1</t>
  </si>
  <si>
    <t>Mayor of Lisbon</t>
  </si>
  <si>
    <t>The world is changing. The unprecedented disruption of Covid-19 restrictions has given us a snapshot of what a lower-carbon, less resource intensive city lifestyle could look like. This has highlighted the benefits in minimizing waste, renewable energy, local sourcing, adaptation of transport patterns &amp; sustainability in our homes. Has the pandemic broken our norms? Can this be a breakthrough moment for our environmental evolution?</t>
  </si>
  <si>
    <t>563 - Channel 1</t>
  </si>
  <si>
    <t>565 - Channel 1</t>
  </si>
  <si>
    <t>566 - Channel 1</t>
  </si>
  <si>
    <t>567 - Channel 1</t>
  </si>
  <si>
    <t>Reimagining the cities of the future has never been more important. Alphabet's pioneering smart cities could solve many urban problems, from traffic jams to public health crises, but major technological and social milestones still need to be overcome. Sidewalk Labs' CEO shares his thoughts on the challenges and triumphs ahead.</t>
  </si>
  <si>
    <t>568 - Channel 1</t>
  </si>
  <si>
    <t>559 - Channel 1</t>
  </si>
  <si>
    <t>569 - Channel 1</t>
  </si>
  <si>
    <t>40 words #3</t>
  </si>
  <si>
    <t>570 - Channel 1</t>
  </si>
  <si>
    <t>571 - Channel 1</t>
  </si>
  <si>
    <t xml:space="preserve">With the face of urban mobility constantly shifting, one of the most exciting transport companies of recent times – Virgin Hyperloop – will fill us in on on how we'll be getting around in the future. </t>
  </si>
  <si>
    <t>572 - Channel 1</t>
  </si>
  <si>
    <t>573 - Channel 1</t>
  </si>
  <si>
    <t>574 - Channel 1</t>
  </si>
  <si>
    <t>575 - Channel 1</t>
  </si>
  <si>
    <t>576 - Channel 1</t>
  </si>
  <si>
    <t>The final straw</t>
  </si>
  <si>
    <t>Emma Rose Cohen, FinalStraw</t>
  </si>
  <si>
    <t>Hear from FinalStraw founder Emma Rose Cohen on her mission to create reusable, responsibly made products that reduce the need for plastics, empower individuals to change their buying habits, and raise awareness of the impacts of their everyday decisions.</t>
  </si>
  <si>
    <t>577 - Channel 1</t>
  </si>
  <si>
    <t>564 - Channel 1</t>
  </si>
  <si>
    <t>40 words #4</t>
  </si>
  <si>
    <t>578 - Channel 1</t>
  </si>
  <si>
    <t>560 - Channel 1</t>
  </si>
  <si>
    <t>580 - Channel 1</t>
  </si>
  <si>
    <t>581 - Channel 1</t>
  </si>
  <si>
    <t>582 - Channel 1</t>
  </si>
  <si>
    <t>As the world faces an unprecedented health crisis, we ask the experts how today's hospitals are holding up and what primary care centers of the future will do differently and/or better.</t>
  </si>
  <si>
    <t>https://zoom.us/j/92692802772?pwd=VWpJcXliV1dLdFdaNmVPRnQvZnczQT09</t>
  </si>
  <si>
    <t>583 - Channel 1</t>
  </si>
  <si>
    <t>584 - Channel 1</t>
  </si>
  <si>
    <t>Partner Adroll #5</t>
  </si>
  <si>
    <t>585 - Channel 1</t>
  </si>
  <si>
    <t>586 - Channel 1</t>
  </si>
  <si>
    <t>Palm Springs</t>
  </si>
  <si>
    <t>Age is just a number. We've all heard the phrase, but have we seen it in action? Health and nutrition expert Steven Gundry guides us through what it means to age well – so well, in fact, that you'll feel younger than you did when you were... well, young!</t>
  </si>
  <si>
    <t>Recorded by speaker</t>
  </si>
  <si>
    <t>587 - Channel 1</t>
  </si>
  <si>
    <t>588 - Channel 1</t>
  </si>
  <si>
    <t>589 - Channel 1</t>
  </si>
  <si>
    <t>Do you own your health data?</t>
  </si>
  <si>
    <t>Behind closed doors, in a white-paper forum led by the Rockefeller Neuroscience Institute, America's top healthcare experts converged to discuss the future of healthcare data governance and security. In a world exclusive, and for the first time, participants reveal the forum's findings and insights on everything from ethics and AI to social media and regulation.</t>
  </si>
  <si>
    <t>https://us02web.zoom.us/j/87462274017?pwd=N3o3ZzZIVGprMG03aktPZzZzUW53Zz09</t>
  </si>
  <si>
    <t>590 - Channel 1</t>
  </si>
  <si>
    <t>591 - Channel 1</t>
  </si>
  <si>
    <t>592 - Channel 1</t>
  </si>
  <si>
    <t>593 - Channel 1</t>
  </si>
  <si>
    <t>Hear from Dialogue's co-founder Anna Chif on how the healthcare organization became the largest and fastest-growing telemedicine company in Canada.</t>
  </si>
  <si>
    <t>23/04 - 17:30</t>
  </si>
  <si>
    <t>594 - Channel 1</t>
  </si>
  <si>
    <t>595 - Channel 1</t>
  </si>
  <si>
    <t>596 - Channel 1</t>
  </si>
  <si>
    <t>597 - Channel 1</t>
  </si>
  <si>
    <t xml:space="preserve">We're the most dynamic species on the planet. But for all our tech, innovation and science, we can't dodge disease. Or can we? Two of the world's most eminent disease experts discuss the prospects of a disease-free world. </t>
  </si>
  <si>
    <t>15-05-20 - 6pm</t>
  </si>
  <si>
    <t>598 - Channel 1</t>
  </si>
  <si>
    <t>599 - Channel 1</t>
  </si>
  <si>
    <t>Partner Adroll - SPARE/ REPEAT</t>
  </si>
  <si>
    <t>600 - Channel 1</t>
  </si>
  <si>
    <t>601 - Channel 1</t>
  </si>
  <si>
    <t>602 - Channel 1</t>
  </si>
  <si>
    <t>Brands occasionally miss the mark when delivering creative work. These days, advertisers are grappling with how to sell and promote without coming across as gauche or opportunistic. Our panel will provide a list of dos and don'ts on how to strike the right tone in these unprecedented times.</t>
  </si>
  <si>
    <t>603 - Channel 1</t>
  </si>
  <si>
    <t>604 - Channel 1</t>
  </si>
  <si>
    <t>605 - Channel 1</t>
  </si>
  <si>
    <t>LinkedIn, advertising and Covid-19</t>
  </si>
  <si>
    <t>Neil Parker, Co:Collective</t>
  </si>
  <si>
    <t>With layoffs happening at an unprecedented rate, how can jobseekers stand out on the world's biggest recruitment platform, and what is LinkedIn doing to help?</t>
  </si>
  <si>
    <t>606 - Channel 1</t>
  </si>
  <si>
    <t>607 - Channel 1</t>
  </si>
  <si>
    <t>40 Words # 5</t>
  </si>
  <si>
    <t>608 - Channel 1</t>
  </si>
  <si>
    <t>609 - Channel 1</t>
  </si>
  <si>
    <t>There is always another dragon. The recent crisis is a dragon that we've never faced before. When you look at the history of change, dragons take the form of disruptive technologies, unforeseen products, and competitors with unique advantages. In this new world, Brian explores what the role of the designer is. In other words, what can designers learn from Beowulf?</t>
  </si>
  <si>
    <t>https://zoom.us/j/92001544255?pwd=bVQ4QnViN1FTRUxwbVVOdTd1Y1dWdz09</t>
  </si>
  <si>
    <t>610 - Channel 1</t>
  </si>
  <si>
    <t>611 - Channel 1</t>
  </si>
  <si>
    <t>612 - Channel 1</t>
  </si>
  <si>
    <t>Former Olympic hopeful Molly Bloom tells the incredible story of her life, which was adapted into Academy Award-nominated film Molly's Game by Aaron Sorkin. Molly will take us behind the curtain of running nosebleed-stakes games for some of the most famous people in the world.</t>
  </si>
  <si>
    <t>613 - Channel 1</t>
  </si>
  <si>
    <t>614 - Channel 1</t>
  </si>
  <si>
    <t>615 - Channel 1</t>
  </si>
  <si>
    <t>616 - Channel 1</t>
  </si>
  <si>
    <t>617 - Channel 1</t>
  </si>
  <si>
    <t xml:space="preserve">The process of raising a VC fund is cloaked in shadow. This LP panel brings light to the all-important matter that keeps our VCs afloat, and gives insight into raising a fund during an economic downturn. </t>
  </si>
  <si>
    <t>618 - Channel 1</t>
  </si>
  <si>
    <t>619 - Channel 1</t>
  </si>
  <si>
    <t>620 - Channel 1</t>
  </si>
  <si>
    <t>Natasha Mascarenhas, TechCrunch</t>
  </si>
  <si>
    <t>Impact investing can play a key role in helping communities build resilience to future challenges, including climate change and other shocks. This panel of impact investors discusses why we must back innovators addressing these factors.</t>
  </si>
  <si>
    <t>621 - Channel 1</t>
  </si>
  <si>
    <t>622 - Channel 1</t>
  </si>
  <si>
    <t>623 - Channel 1</t>
  </si>
  <si>
    <t xml:space="preserve">Venture capital deals in the US and China tend to get the most attention, but VC dollars flowing to Europe have quietly been on the rise. This panel of European investors guides us through the risks and rewards of investing in Europe. </t>
  </si>
  <si>
    <t>30/04 - 16:00 (IST)</t>
  </si>
  <si>
    <t>624 - Channel 1</t>
  </si>
  <si>
    <t>625 - Channel 1</t>
  </si>
  <si>
    <t>626 - Channel 1</t>
  </si>
  <si>
    <t xml:space="preserve">Investors are more than just their cheque books. With an economic downturn underway, startups need their investors more than ever. Two Midas List VCs discuss how to guide your portfolio company through these turbulent times. </t>
  </si>
  <si>
    <t>21/05 - 19:00 (IST)</t>
  </si>
  <si>
    <t>https://zoom.us/j/98486580040?pwd=N2w5L0syd21STzBBLy8yVnJkV0h0QT09</t>
  </si>
  <si>
    <t>627 - Channel 1</t>
  </si>
  <si>
    <t>628 - Channel 1</t>
  </si>
  <si>
    <t>629 - Channel 1</t>
  </si>
  <si>
    <t>630 - Channel 1</t>
  </si>
  <si>
    <t>645 - Channel 1</t>
  </si>
  <si>
    <t xml:space="preserve">Cyberattacks have been become ever harder to trace as hackers use the latest industry developments to their own advantage. In addition, the pandemic has undoubtedly impacted the industry. This session brings together thought leaders to talk about the state of play and what trends companies need to look out for. </t>
  </si>
  <si>
    <t>632 - Channel 1</t>
  </si>
  <si>
    <t>633 - Channel 1</t>
  </si>
  <si>
    <t>634 - Channel 1</t>
  </si>
  <si>
    <t>635 - Channel 1</t>
  </si>
  <si>
    <t>Collecting and utilising big data can aid in protecting us against cybersecurity threats. However, at what levels do we need to draw boundaries between security and privacy?</t>
  </si>
  <si>
    <t>https://www.google.com/url?q=https://us04web.zoom.us/j/71956804299?pwd%3DTlJIcWhYaTcwYWc1b3YvMWc2eFc4UT09&amp;sa=D&amp;ust=1588774473839000&amp;usg=AOvVaw1SjgYr-P97p7vGnmDEXxlY</t>
  </si>
  <si>
    <t>636 - Channel 1</t>
  </si>
  <si>
    <t>637 - Channel 1</t>
  </si>
  <si>
    <t>638 - Channel 1</t>
  </si>
  <si>
    <t>Policy to protect privacy</t>
  </si>
  <si>
    <t>Privacy and data are two of the most important topics discussed in tech today. Protecting our data has never been more important, and is viewed as such by most people. However, legislators continue to offer up data policy that often fails to protect us. In this session, we will hear from two experts in the area about how policy should be doing more to safeguard our privacy.</t>
  </si>
  <si>
    <t>639 - Channel 1</t>
  </si>
  <si>
    <t>640 - Channel 1</t>
  </si>
  <si>
    <t>Partner Adroll #8</t>
  </si>
  <si>
    <t>647 - Channel 1</t>
  </si>
  <si>
    <t>648 - Channel 1</t>
  </si>
  <si>
    <t>649 - Channel 1</t>
  </si>
  <si>
    <t>650 - Channel 1</t>
  </si>
  <si>
    <t>651 - Channel 1</t>
  </si>
  <si>
    <t>664 - Channel 1</t>
  </si>
  <si>
    <t>665 - Channel 1</t>
  </si>
  <si>
    <t>Pittsburgh</t>
  </si>
  <si>
    <t>How will the pandemic impact organisations in shaping the future of how we work? Will it accelerate inevitable developments or should digital transformation projects pause? Our panellists look towards the workforce of the future, analyzing the trends that we can expect and examining the ways in which innovation can flourish in spite of these difficult times.</t>
  </si>
  <si>
    <t>666 - Channel 1</t>
  </si>
  <si>
    <t>659 - Channel 1</t>
  </si>
  <si>
    <t>660 - Channel 1</t>
  </si>
  <si>
    <t>Kristine Belson, president of the Academy Award-winning Sony Picture Animations, talks about how the studio's team is adapting to a distributed workflow while preparing for its next feature, Connected.</t>
  </si>
  <si>
    <t>21-05 - 19:30 (GMT+1)</t>
  </si>
  <si>
    <t>661 - Channel 1</t>
  </si>
  <si>
    <t>663 - Channel 1</t>
  </si>
  <si>
    <t>662 - Channel 1</t>
  </si>
  <si>
    <t>655 - Channel 1</t>
  </si>
  <si>
    <t>656 - Channel 1</t>
  </si>
  <si>
    <t>Hear from Nylas co-founder Christine Spang on three things that break during a hyper-growth phase, and learn how to fix them.</t>
  </si>
  <si>
    <t>27-04 - 17:30</t>
  </si>
  <si>
    <t>657 - Channel 1</t>
  </si>
  <si>
    <t>658 - Channel 1</t>
  </si>
  <si>
    <t>652 - Channel 1</t>
  </si>
  <si>
    <t>653 - Channel 1</t>
  </si>
  <si>
    <t>Stack Overflow and 1Password both have remote culture built into their company DNA. Even before 2020, Stack Overflow employees – including 80 percent of their engineering team – worked remotely across 14 countries. 1Password has managed an almost entirely remote workforce for 14 years. Learn from the CEOs about the pros and cons of working remotely, and pick up tips and tricks on how to build and maintain culture while going remote.</t>
  </si>
  <si>
    <t>654 - Channel 1</t>
  </si>
  <si>
    <t>https://us04web.zoom.us/j/74916885291?pwd=N0pGZGVVS0pEUFJrYmFMOENhbllqZz09</t>
  </si>
  <si>
    <t>667 - Channel 1</t>
  </si>
  <si>
    <t>668 - Channel 1</t>
  </si>
  <si>
    <t>669 - Channel 1</t>
  </si>
  <si>
    <t>May</t>
  </si>
  <si>
    <t>Growth Keynote - Hopin</t>
  </si>
  <si>
    <t>670 - Channel 1</t>
  </si>
  <si>
    <t>671 - Channel 1</t>
  </si>
  <si>
    <t>672 - Channel 1</t>
  </si>
  <si>
    <t>674 - Channel 1</t>
  </si>
  <si>
    <t>675 - Channel 1</t>
  </si>
  <si>
    <t>Partner adroll #3</t>
  </si>
  <si>
    <t>676 - Channel 1</t>
  </si>
  <si>
    <t>677 - Channel 1</t>
  </si>
  <si>
    <t>AI is growing exponentially, and its innovations are changing the world we live in. But how can we expect it to be part of our everyday lives? AI-championing VCs Jai Das and Lan Xuezhao talk with data analytics unicorn CEO Sudheesh Nair.</t>
  </si>
  <si>
    <t>23/04 - 18:00 (IST)</t>
  </si>
  <si>
    <t>678 - Channel 1</t>
  </si>
  <si>
    <t>679 - Channel 1</t>
  </si>
  <si>
    <t>680 - Channel 1</t>
  </si>
  <si>
    <t>Dublin</t>
  </si>
  <si>
    <t>Bobby Healy, the founder &amp; CEO of the world’s first drone delivery service, Manna, will discuss the company's plans to transform how food and medicine will be delivered in the future.</t>
  </si>
  <si>
    <t>22-04 - 14:00</t>
  </si>
  <si>
    <t>681 - Channel 1</t>
  </si>
  <si>
    <t>682 - Channel 1</t>
  </si>
  <si>
    <t>683 - Channel 1</t>
  </si>
  <si>
    <t>Seattle</t>
  </si>
  <si>
    <t>Amazon has been building and using real-world machine learning systems for decades, from personalized product recommendations to forecasting and supply chain optimization. Now, with an abundance of available data coupled with massive amounts of inexpensive compute in the cloud, hear how all developers can deploy machine learning into their applications, including some of the same tech that powers Amazon.com.</t>
  </si>
  <si>
    <t>04/05/2020  4pm (8am PT)</t>
  </si>
  <si>
    <t>https://us04web.zoom.us/j/74597433158?pwd=TDFqRVJ4Snk0NEZrYmdjWDBsTlJiZz09</t>
  </si>
  <si>
    <t>684 - Channel 1</t>
  </si>
  <si>
    <t>685 - Channel 1</t>
  </si>
  <si>
    <t>Partner adroll #4</t>
  </si>
  <si>
    <t>686 - Channel 1</t>
  </si>
  <si>
    <t>687 - Channel 1</t>
  </si>
  <si>
    <t>Margaret Molloy, Siegal+Gale</t>
  </si>
  <si>
    <t>How can we use data and empathy to create a user experience that demonstrates understanding, as well as value for our customers? Our speakers discuss the latest developments in empathetic design.</t>
  </si>
  <si>
    <t>688 - Channel 1</t>
  </si>
  <si>
    <t>689 - Channel 1</t>
  </si>
  <si>
    <t>690 - Channel 1</t>
  </si>
  <si>
    <t>There has always been fearmongering about AI and other advanced technologies, but the Covid-19 crisis is demonstrating that we don’t have time to waste on farfetched threats. If we want to stay free, safe and healthy, Kasparov claims, we have to embrace tech progress instead of fretting about it. In his opinion, we have lost years – even decades – of research in tech that could have left us better prepared for the crisis.</t>
  </si>
  <si>
    <t>13/5/2020 5pm (12pm EST)</t>
  </si>
  <si>
    <t>691 - Channel 1</t>
  </si>
  <si>
    <t>692 - Channel 1</t>
  </si>
  <si>
    <t>693 - Channel 1</t>
  </si>
  <si>
    <t>695 - Channel 1</t>
  </si>
  <si>
    <t>696 - Channel 1</t>
  </si>
  <si>
    <t>Christian Rast, KPMG</t>
  </si>
  <si>
    <t>During crises like the Covid-19 pandemic is when leadership matters most. Most leaders don’t have direct experience of leading through a crisis of this magnitude, and there is value in synthesizing what we know about the challenges and opportunities.</t>
  </si>
  <si>
    <t>697 - Channel 1</t>
  </si>
  <si>
    <t>699 - Channel 1</t>
  </si>
  <si>
    <t>700 - Channel 1</t>
  </si>
  <si>
    <t>701 - Channel 1</t>
  </si>
  <si>
    <t>An in-depth conversation with one of the leading storytellers of our time.</t>
  </si>
  <si>
    <t>702 - Channel 1</t>
  </si>
  <si>
    <t>694 - Channel 1</t>
  </si>
  <si>
    <t>704 - Channel 1</t>
  </si>
  <si>
    <t>705 - Channel 1</t>
  </si>
  <si>
    <t>706 - Channel 1</t>
  </si>
  <si>
    <t>Cultural movements power growth</t>
  </si>
  <si>
    <t>Alexandra, co-founder of Eight Sleep, will outline how the company is enabling a sleep fitness movement that is making sleep cool again and, in the process, super-powering the company’s growth.</t>
  </si>
  <si>
    <t>28-04 - 15:00</t>
  </si>
  <si>
    <t>707 - Channel 1</t>
  </si>
  <si>
    <t>703 - Channel 1</t>
  </si>
  <si>
    <t>708 - Channel 1</t>
  </si>
  <si>
    <t>709 - Channel 1</t>
  </si>
  <si>
    <t>710 - Channel 1</t>
  </si>
  <si>
    <t>Amsterdam</t>
  </si>
  <si>
    <t xml:space="preserve">Leaders who drive creativity forge environments that promote innovative thinking and mission-driven entrepreneurship. This talk looks at the components needed for disruptive leaders to address large-scale projects creatively. </t>
  </si>
  <si>
    <t>01/05/2020, 6 pm</t>
  </si>
  <si>
    <t>711 - Channel 1</t>
  </si>
  <si>
    <t>698 - Channel 1</t>
  </si>
  <si>
    <t>713 - Channel 1</t>
  </si>
  <si>
    <t>714 - Channel 1</t>
  </si>
  <si>
    <t>715 - Channel 1</t>
  </si>
  <si>
    <t>716 - Channel 1</t>
  </si>
  <si>
    <t>Financial institutions in China woke up to the daunting reality of having to bring everything online overnight. We hear from China's leading players in the sector on how tech innovations – with the help of AI – can help accelerate digital transformations.</t>
  </si>
  <si>
    <t>Searching for alternative conferencing platform</t>
  </si>
  <si>
    <t>717 - Channel 1</t>
  </si>
  <si>
    <t>718 - Channel 1</t>
  </si>
  <si>
    <t>719 - Channel 1</t>
  </si>
  <si>
    <t>From co-founding PayPal to backing Brex, fintech veteran Max Levchin shares his ethos on consumer data and startups that scale ethically.</t>
  </si>
  <si>
    <t>720 - Channel 1</t>
  </si>
  <si>
    <t>723 - Channel 1</t>
  </si>
  <si>
    <t>721 - Channel 1</t>
  </si>
  <si>
    <t>Ladder co-founder Laura Hale discusses how startups can use their superpowers to forge competitive advantage amid shifting market dynamics.</t>
  </si>
  <si>
    <t>24-4 - 18:30</t>
  </si>
  <si>
    <t>722 - Channel 1</t>
  </si>
  <si>
    <t>724 - Channel 1</t>
  </si>
  <si>
    <t>725 - Channel 1</t>
  </si>
  <si>
    <t>With an abundance of acquisitions, a wealth of enterprise companies exploring fintech strategies, and a host of digital banking shakeups at the hands of Covid-19, 2020 is proving to be an eventful year for fintech. Join Zach Perret, the co-founder and CEO of Plaid, as he discusses the global ecosystem's shift from open banking towards open finance, and how the new state of the world is forcing banks to rethink age-old strategies.</t>
  </si>
  <si>
    <t>04-05-20 - 20:00</t>
  </si>
  <si>
    <t>https://zoom.us/j/92134413922?pwd=YUFvOGhJQ21iM1dLZ2ZtZEJsbnB2QT09</t>
  </si>
  <si>
    <t>726 - Channel 1</t>
  </si>
  <si>
    <t>727 - Channel 1</t>
  </si>
  <si>
    <t>728 - Channel 1</t>
  </si>
  <si>
    <t>Hear Borrowell CEO Andrew Graham discuss the fintech's response to not getting enough traction on its paid product: creating a free one. Demand exploded. These are key lessons learned from that pivot.</t>
  </si>
  <si>
    <t>29-4 - 14:00</t>
  </si>
  <si>
    <t>729 - Channel 1</t>
  </si>
  <si>
    <t>730 - Channel 1</t>
  </si>
  <si>
    <t>731 - Channel 1</t>
  </si>
  <si>
    <t>40 words #5</t>
  </si>
  <si>
    <t>732 - Channel 1</t>
  </si>
  <si>
    <t>733 - Channel 1</t>
  </si>
  <si>
    <t>Climate crisis, Covid-19, an ageing population...The world is facing an ever-growing list of problems that designers can play a critical role in solving. Meet thought leaders from three different industries who will offer their unique perspectives on where we can go from here.</t>
  </si>
  <si>
    <t>734 - Channel 1</t>
  </si>
  <si>
    <t>736 - Channel 1</t>
  </si>
  <si>
    <t>737 - Channel 1</t>
  </si>
  <si>
    <t xml:space="preserve">The king slayer is here to tell us how to protect the world's endangered species. The UN is joining forces with some of the biggest brands in the world to make sure humankind pays its debts. </t>
  </si>
  <si>
    <t>06-05 - 17:00 IST / 9:00 PT</t>
  </si>
  <si>
    <t>https://us02web.zoom.us/j/87008710856?pwd=RjR1RE1rSVJOMVBXNE9tcXVDb1UwQT09</t>
  </si>
  <si>
    <t>738 - Channel 1</t>
  </si>
  <si>
    <t>739 - Channel 1</t>
  </si>
  <si>
    <t>740 - Channel 1</t>
  </si>
  <si>
    <t>741 - Channel 1</t>
  </si>
  <si>
    <t>What does responsible entrepreneurship look like? In this keynote, Rick Ridgeway explains that it's not just about business – it's about all of us.</t>
  </si>
  <si>
    <t>KEYNOTE - 4 - Slides to pass content and tech check</t>
  </si>
  <si>
    <t>742 - Channel 1</t>
  </si>
  <si>
    <t>743 - Channel 1</t>
  </si>
  <si>
    <t>744 - Channel 1</t>
  </si>
  <si>
    <t>745 - Channel 1</t>
  </si>
  <si>
    <t>In her keynote, Davida shows how the Covid-19 restrictions are impacting levels of pollution across the globe.</t>
  </si>
  <si>
    <t>KEYNOTE - 1 - Tentative schedule to send</t>
  </si>
  <si>
    <t>May 11th</t>
  </si>
  <si>
    <t>Self filming in a studio</t>
  </si>
  <si>
    <t>746 - Channel 1</t>
  </si>
  <si>
    <t>40 words #5/ Repeat</t>
  </si>
  <si>
    <t>747 - Channel 1</t>
  </si>
  <si>
    <t>748 - Channel 1</t>
  </si>
  <si>
    <t>749 - Channel 1</t>
  </si>
  <si>
    <t>What would happen if the parts of our brain that function separately could work in a more integrated way? What cognitive doors would open that have so far remained closed? We meet a man renowned for his research on using psychedelics to find out just that.</t>
  </si>
  <si>
    <t>750 - Channel 1</t>
  </si>
  <si>
    <t>751 - Channel 1</t>
  </si>
  <si>
    <t>752 - Channel 1</t>
  </si>
  <si>
    <t>It's a busy time for Babylon Health. Fresh from unveiling a new Covid care assistant section of the health service provider's app, the AI unicorn's founder talks us through how they're training their AI to spot the symptoms in record time.</t>
  </si>
  <si>
    <t>https://zoom.us/j/92437434599?pwd=YXg0eHpBVk9PK3JVYzIwK01TdDh6dz09</t>
  </si>
  <si>
    <t>753 - Channel 1</t>
  </si>
  <si>
    <t>754 - Channel 1</t>
  </si>
  <si>
    <t>755 - Channel 1</t>
  </si>
  <si>
    <t>756 - Channel 1</t>
  </si>
  <si>
    <t>Michael Serbinis, the CEO of health benefits platform League, outlines how the company is revolutionizing employee healthcare.</t>
  </si>
  <si>
    <t>01-01 - 17:00</t>
  </si>
  <si>
    <t>757 - Channel 1</t>
  </si>
  <si>
    <t>758 - Channel 1</t>
  </si>
  <si>
    <t>759 - Channel 1</t>
  </si>
  <si>
    <t>Munich</t>
  </si>
  <si>
    <t xml:space="preserve">As the world's population grows and ages, we need better, more sustainable solutions for health and food supply. Bayer's AI expert explains why life sciences holds the key. </t>
  </si>
  <si>
    <t>14-05-20 - 15:30</t>
  </si>
  <si>
    <t>760 - Channel 1</t>
  </si>
  <si>
    <t>761 - Channel 1</t>
  </si>
  <si>
    <t>762 - Channel 1</t>
  </si>
  <si>
    <t>763 - Channel 1</t>
  </si>
  <si>
    <t>Terez A. Paylor, Yahoo Sports</t>
  </si>
  <si>
    <t>On February 2, 2020, Laurent Duvernay-Tardif helped the Kansas City Chiefs win the Super Bowl. Fast forward to today, and he's facing a far more difficult challenge: Covid-19. The NFL's only qualified doctor is currently working at a long-term care centre. He'll tell us what life is like on the frontlines, and the challenges of restarting sports without a vaccine.</t>
  </si>
  <si>
    <t>764 - Channel 1</t>
  </si>
  <si>
    <t>765 - Channel 1</t>
  </si>
  <si>
    <t>Partner Adroll #Spare</t>
  </si>
  <si>
    <t>766 - Channel 1</t>
  </si>
  <si>
    <t>767 - Channel 1</t>
  </si>
  <si>
    <t>Hear first-hand how Cala Health is reshaping delivery of prescription therapies and bringing relief to patients sheltering in place.</t>
  </si>
  <si>
    <t>768 - Channel 1</t>
  </si>
  <si>
    <t>769 - Channel 1</t>
  </si>
  <si>
    <t>770 - Channel 1</t>
  </si>
  <si>
    <t>771 - Channel 1</t>
  </si>
  <si>
    <t>Automobiles will be part of modern society for a long time, and consumers will continue to look to trusted companies for their cars. But early movers (such as Tesla) that are embracing advanced software, data and edge computing are beating their traditional rivals. The CEO of Renovo explains why automakers must use their current position to pivot into becoming software companies and embrace new technologies, or risk being destroyed by faster-moving competition.</t>
  </si>
  <si>
    <t>772 - Channel 1</t>
  </si>
  <si>
    <t>773 - Channel 1</t>
  </si>
  <si>
    <t>774 - Channel 1</t>
  </si>
  <si>
    <t>775 - Channel 1</t>
  </si>
  <si>
    <t>776 - Channel 1</t>
  </si>
  <si>
    <t>A LISTER</t>
  </si>
  <si>
    <t>777 - Channel 1</t>
  </si>
  <si>
    <t>778 - Channel 1</t>
  </si>
  <si>
    <t>40 Words - repeat</t>
  </si>
  <si>
    <t>779 - Channel 1</t>
  </si>
  <si>
    <t>780 - Channel 1</t>
  </si>
  <si>
    <t>Think we've reached a place of complete hegemony in the map world? Think again...</t>
  </si>
  <si>
    <t>781 - Channel 1</t>
  </si>
  <si>
    <t>782 - Channel 1</t>
  </si>
  <si>
    <t>783 - Channel 1</t>
  </si>
  <si>
    <t>784 - Channel 1</t>
  </si>
  <si>
    <t>When George Arrison set up Shift during the 2007 financial crisis, naturally the move was met with skepticism. Yet 13 years later, the company is thriving. Are times of economic uncertainty actually the best time to set up a business?</t>
  </si>
  <si>
    <t>785 - Channel 1</t>
  </si>
  <si>
    <t>786 - Channel 1</t>
  </si>
  <si>
    <t>As gen Z and generation alpha re-shuffle their consumption priorities, car ownership isn’t being talked about in the same way as the shared economy is. But WM Motor’s Cindy Wang is here to tell you how this young smart auto brand is changing the discussion.</t>
  </si>
  <si>
    <t>787 - Channel 1</t>
  </si>
  <si>
    <t>788 - Channel 1</t>
  </si>
  <si>
    <t>789 - Channel 1</t>
  </si>
  <si>
    <t>790 - Channel 1</t>
  </si>
  <si>
    <t>791 - Channel 1</t>
  </si>
  <si>
    <t>792 - Channel 1</t>
  </si>
  <si>
    <t>793 - Channel 1</t>
  </si>
  <si>
    <t>794 - Channel 1</t>
  </si>
  <si>
    <t>795 - Channel 1</t>
  </si>
  <si>
    <t>796 - Channel 1</t>
  </si>
  <si>
    <t>797 - Channel 1</t>
  </si>
  <si>
    <t>All clouds have a silver lining</t>
  </si>
  <si>
    <t xml:space="preserve">Top investors in the SaaS and cloud computing industry share their predictions for 2020 and beyond. </t>
  </si>
  <si>
    <t>798 - Channel 1</t>
  </si>
  <si>
    <t>799 - Channel 1</t>
  </si>
  <si>
    <t>800 - Channel 1</t>
  </si>
  <si>
    <t xml:space="preserve">In conversation with Forbes' Alex Konrad, Box CEO Aaron Levie touches on the impact of Covid-19 on business; how enterprises can and should respond to the world's largest working-from-home experiment; the business of the future in a post-Covid world; and, of course, the importance of security when your workforce becomes fully dispersed </t>
  </si>
  <si>
    <t>25/05/2020 at 18.00</t>
  </si>
  <si>
    <t>https://us02web.zoom.us/j/86988484126?pwd=NlhGRk4vWkgyWWNhUjV0UmNEY0Zodz09</t>
  </si>
  <si>
    <t>801 - Channel 1</t>
  </si>
  <si>
    <t>802 - Channel 1</t>
  </si>
  <si>
    <t>803 - Channel 1</t>
  </si>
  <si>
    <t>3 customer engagement strategies after a global pandemic</t>
  </si>
  <si>
    <t>In the age of COVID-19, engaging and retaining your existing customers is more important than ever before. What does that mean in practice - beyond risk assessments and health scores? Hear from Skilljar CEO, Sandi Lin on three immediate and practical tactics that Skilljar has implemented to get even closer to our customers.</t>
  </si>
  <si>
    <t>804 - Channel 1</t>
  </si>
  <si>
    <t>805 - Channel 1</t>
  </si>
  <si>
    <t>806 - Channel 1</t>
  </si>
  <si>
    <t>807 - Channel 1</t>
  </si>
  <si>
    <t>Alex Kantrowitz, BuzzFeed</t>
  </si>
  <si>
    <t>What five critical problems did we ignore leading up to 2020 that could have helped us be more prepared for a viral outbreak such as Covid-19? What can we do now to help minimize loss from potential future outbreaks? What role can the IT Industry play? From bandwidth to the bottom-line, supply chain to security, and distance learning to direct sales, how can we re-engineer our infrastructure for faster recovery?</t>
  </si>
  <si>
    <t>29/05/2020 at 16.30</t>
  </si>
  <si>
    <t>https://us02web.zoom.us/j/88334713647?pwd=RGJsem9IV0ZNZXcvdFM3eTN1Mnc5Zz09</t>
  </si>
  <si>
    <t>808 - Channel 1</t>
  </si>
  <si>
    <t>809 - Channel 1</t>
  </si>
  <si>
    <t>810 - Channel 1</t>
  </si>
  <si>
    <t>811 - Channel 1</t>
  </si>
  <si>
    <t>812 - Channel 1</t>
  </si>
  <si>
    <t>813 - Channel 1</t>
  </si>
  <si>
    <t xml:space="preserve">How do we keep communities healthy and happy when our behaviour has had to change fundamentally? </t>
  </si>
  <si>
    <t>814 - Channel 1</t>
  </si>
  <si>
    <t>815 - Channel 1</t>
  </si>
  <si>
    <t>816 - Channel 1</t>
  </si>
  <si>
    <t>Using analytics to propel Mars to work, rest and play faster than ever. How do you digitally transform one of the most recognisable brands on the planet?</t>
  </si>
  <si>
    <t>self filming and editing</t>
  </si>
  <si>
    <t>817 - Channel 1</t>
  </si>
  <si>
    <t>818 - Channel 1</t>
  </si>
  <si>
    <t>819 - Channel 1</t>
  </si>
  <si>
    <t>820 - Channel 1</t>
  </si>
  <si>
    <t>821 - Channel 1</t>
  </si>
  <si>
    <t>822 - Channel 1</t>
  </si>
  <si>
    <t>How does culture influence creativity?</t>
  </si>
  <si>
    <t>Marketers, innovators and children of immigrants will tell us how culture influences creation. Does creativity change when our cultures are put on pause?</t>
  </si>
  <si>
    <t>823 - Channel 1</t>
  </si>
  <si>
    <t>824 - Channel 1</t>
  </si>
  <si>
    <t>825 - Channel 1</t>
  </si>
  <si>
    <t>826 - Channel 1</t>
  </si>
  <si>
    <t>The current global challenge has spurred numerous questions – including 'what does a return to normalcy look like?' – but it has also brought the demand for digital transformation front and centre. In this session, SAP’s global CMO, Alicia Tillman, will discuss how tech has become essential to business operations.</t>
  </si>
  <si>
    <t>827 - Channel 1</t>
  </si>
  <si>
    <t>828 - Channel 1</t>
  </si>
  <si>
    <t>829 - Channel 1</t>
  </si>
  <si>
    <t>Nicola Kilner, The Abnormal Beauty Company (The Ordinary)</t>
  </si>
  <si>
    <t>Cheryl Wischhover, The Business Of Fashion</t>
  </si>
  <si>
    <t>Meet Nicola Kilner, CEO of a game-changing beauty company whose brand strategy has been anything but 'ordinary'. Join her as she discusses the evolving fate of one of the most valuable online industries in the world.</t>
  </si>
  <si>
    <t>830 - Channel 1</t>
  </si>
  <si>
    <t>831 - Channel 1</t>
  </si>
  <si>
    <t>832 - Channel 1</t>
  </si>
  <si>
    <t>833 - Channel 1</t>
  </si>
  <si>
    <t>Pentagram partner Emily Oberman shares the stories of two branding projects: one for Warner Bros that took three years, and another for the UN that took three days. Both projects reveal how a brand identity can take an idea that everyone believes in and give it an emblem that everyone can rally around.</t>
  </si>
  <si>
    <t>834 - Channel 1</t>
  </si>
  <si>
    <t>835 - Channel 1</t>
  </si>
  <si>
    <t>836 - Channel 1</t>
  </si>
  <si>
    <t>Winning with strategy-led design</t>
  </si>
  <si>
    <t>Hardware company Logitech's CEO Bracken Darrell discusses why design needs to be at the centre of any growth strategy for your company.</t>
  </si>
  <si>
    <t>837 - Channel 1</t>
  </si>
  <si>
    <t>838 - Channel 1</t>
  </si>
  <si>
    <t>839 - Channel 1</t>
  </si>
  <si>
    <t>840 - Channel 1</t>
  </si>
  <si>
    <t>The art of reinvention and innovation</t>
  </si>
  <si>
    <t>Netflix, Amazon, Lego and Apple are just some of the world’s most iconic brands turning reinvention into an artform. A successful company understands the need to reinvent itself every now and then to keep up with competition and changes in the market, tech and customer interest. But when is the right time for a change?</t>
  </si>
  <si>
    <t>841 - Channel 1</t>
  </si>
  <si>
    <t>842 - Channel 1</t>
  </si>
  <si>
    <t>843 - Channel 1</t>
  </si>
  <si>
    <t>Palo Alto</t>
  </si>
  <si>
    <t>Katie Deighton, The Drum</t>
  </si>
  <si>
    <t>Three experts discuss best practices in UI and UX as we start what is already an extraordinary new decade.  How can emotion, ethics and AI co-habit to create the perfect user experience? Can a great UI help companies to navigate and survive this turbulent time?</t>
  </si>
  <si>
    <t>844 - Channel 1</t>
  </si>
  <si>
    <t>845 - Channel 1</t>
  </si>
  <si>
    <t>40 Words / 2</t>
  </si>
  <si>
    <t>846 - Channel 1</t>
  </si>
  <si>
    <t>847 - Channel 1</t>
  </si>
  <si>
    <t xml:space="preserve">What lies ahead in the digital age for future generations is guaranteed to be profound. Investing funds into young CEO’s while helping them build, scale, and lead market transitions is essential. During this time of uncertainty, providing future leaders with hard-won insights and critical tools in accelerating disruption will make all the difference. </t>
  </si>
  <si>
    <t>848 - Channel 1</t>
  </si>
  <si>
    <t>849 - Channel 1</t>
  </si>
  <si>
    <t>850 - Channel 1</t>
  </si>
  <si>
    <t>851 - Channel 1</t>
  </si>
  <si>
    <t>Rajeev Suri, Nokia</t>
  </si>
  <si>
    <t>852 - Channel 1</t>
  </si>
  <si>
    <t>853 - Channel 1</t>
  </si>
  <si>
    <t>854 - Channel 1</t>
  </si>
  <si>
    <t>5G will change the way we do business and the way we live, work and play. Where does the impact on society fit in to all of this? 5G will profoundly impact every human activity. It will accelerate innovation, connect communities and help secure our world</t>
  </si>
  <si>
    <t>855 - Channel 1</t>
  </si>
  <si>
    <t>856 - Channel 1</t>
  </si>
  <si>
    <t>857 - Channel 1</t>
  </si>
  <si>
    <t>San Diego</t>
  </si>
  <si>
    <t>Qualcomm's Alex Rogers in conversation with Patrick Moorhead discuss what is 5G going to bribng us.</t>
  </si>
  <si>
    <t>858 - Channel 1</t>
  </si>
  <si>
    <t>859 - Channel 1</t>
  </si>
  <si>
    <t>860 - Channel 1</t>
  </si>
  <si>
    <t>40 Words / 3</t>
  </si>
  <si>
    <t>861 - Channel 1</t>
  </si>
  <si>
    <t>862 - Channel 1</t>
  </si>
  <si>
    <t>Smart energy grid in the lockdown era</t>
  </si>
  <si>
    <t>In conversation with the Wall Street Journal's Sarah McFarlane, Stephen discusses how the energy grid is changing in the Covid-19 era and how this will impact the future of energy supply.</t>
  </si>
  <si>
    <t>May 25th - time tbc</t>
  </si>
  <si>
    <t>863 - Channel 1</t>
  </si>
  <si>
    <t>864 - Channel 1</t>
  </si>
  <si>
    <t>865 - Channel 1</t>
  </si>
  <si>
    <t>866 - Channel 1</t>
  </si>
  <si>
    <t xml:space="preserve">If we can come together to beat Covid-19 then we can do it for climate change. </t>
  </si>
  <si>
    <t>867 - Channel 1</t>
  </si>
  <si>
    <t>868 - Channel 1</t>
  </si>
  <si>
    <t>869 - Channel 1</t>
  </si>
  <si>
    <t>870 - Channel 1</t>
  </si>
  <si>
    <t>871 - Channel 1</t>
  </si>
  <si>
    <t>872 - Channel 1</t>
  </si>
  <si>
    <t>873 - Channel 1</t>
  </si>
  <si>
    <t>40 Words / 4</t>
  </si>
  <si>
    <t>874 - Channel 1</t>
  </si>
  <si>
    <t>875 - Channel 1</t>
  </si>
  <si>
    <t>876 - Channel 1</t>
  </si>
  <si>
    <t xml:space="preserve">What the digital age holds for future generations is almost guaranteed to be profound. Investing funds into young CEOs now, while helping them build, scale and lead market transitions, is essential. During this time of uncertainty, providing future leaders with hard-won insights and critical tools in accelerating disruption will make all the difference. </t>
  </si>
  <si>
    <t>877 - Channel 1</t>
  </si>
  <si>
    <t>878 - Channel 1</t>
  </si>
  <si>
    <t>879 - Channel 1</t>
  </si>
  <si>
    <t>Hear from Nanit CEO Sarah Dorsett on how the startup is using technology and data to create products that help improve sleep for babies and the entire family.</t>
  </si>
  <si>
    <t>24-04 - 20:00</t>
  </si>
  <si>
    <t>880 - Channel 1</t>
  </si>
  <si>
    <t>881 - Channel 1</t>
  </si>
  <si>
    <t>40 Words / 5</t>
  </si>
  <si>
    <t>882 - Channel 1</t>
  </si>
  <si>
    <t>883 - Channel 1</t>
  </si>
  <si>
    <t>Building a better internet after Covid-19</t>
  </si>
  <si>
    <t xml:space="preserve">After Covid-19 recedes, how will the internet respond? The awful toll of the pandemic has thrust the internet under a spotlight like never before. Mitchell Baker discusses how Mozilla was able to identify the path towards saving a resource that even more people now rely on for work and to connect with each other. She’ll address the challenges for technologists as they navigate new dilemmas around the types of data being collected and retained, who has access to it, and the transparency and accountability of the whole scene. </t>
  </si>
  <si>
    <t>26/05/2020 16:30:00 IST</t>
  </si>
  <si>
    <t>https://us02web.zoom.us/j/86714975258?pwd=VXM3YnY5ZEN6S2NFTm95UDRVRTZaUT09</t>
  </si>
  <si>
    <t>884 - Channel 1</t>
  </si>
  <si>
    <t>885 - Channel 1</t>
  </si>
  <si>
    <t>886 - Channel 1</t>
  </si>
  <si>
    <t>Stijn will discuss the importance of data culture, how to build culture around data, and how to create a data culture based on data transparency.</t>
  </si>
  <si>
    <t>19/05/2020 at 16:00</t>
  </si>
  <si>
    <t>https://us02web.zoom.us/j/85605533089?pwd=YWk1SUNFcmQ3SWNjRlNLcmVpYmJ6QT09</t>
  </si>
  <si>
    <t>887 - Channel 1</t>
  </si>
  <si>
    <t>888 - Channel 1</t>
  </si>
  <si>
    <t>889 - Channel 1</t>
  </si>
  <si>
    <t>A review and brief analysis of global news data on Covid-19. What can the data tell us?</t>
  </si>
  <si>
    <t>29/5/2020 2pm GMT</t>
  </si>
  <si>
    <t>890 - Channel 1</t>
  </si>
  <si>
    <t>891 - Channel 1</t>
  </si>
  <si>
    <t>892 - Channel 1</t>
  </si>
  <si>
    <t>Connie Loizos, StrictlyVC</t>
  </si>
  <si>
    <t>In the last decade, venture-backed startups raised more than $730 billion, almost doubling the $400 billion raised in the prior decade. What can the trends of the last year – and the last decade – tell us about what’s to come? Top Silicon Valley investors who have backed the likes of FitBit and Plaid give us their take. </t>
  </si>
  <si>
    <t xml:space="preserve">13/05 - 20:30pm (IST) </t>
  </si>
  <si>
    <t>https://zoom.us/j/91206789081?pwd=WG9XUEVmZENSMDJGSHBGek5icTc5Zz09</t>
  </si>
  <si>
    <t>893 - Channel 1</t>
  </si>
  <si>
    <t>894 - Channel 1</t>
  </si>
  <si>
    <t>895 - Channel 1</t>
  </si>
  <si>
    <t xml:space="preserve">Tech is reinventing society by addressing our biggest needs and making them more accessible to all. Billionaire businessman and Midas List investor Vinod Khosla discusses the power of entrepreneurship. </t>
  </si>
  <si>
    <t>28/05 - 09:00 PT or 29/05 - 13:30 PT</t>
  </si>
  <si>
    <t>896 - Channel 1</t>
  </si>
  <si>
    <t>897 - Channel 1</t>
  </si>
  <si>
    <t>40 Words / 1</t>
  </si>
  <si>
    <t>898 - Channel 1</t>
  </si>
  <si>
    <t>899 - Channel 1</t>
  </si>
  <si>
    <t>A data-based look at how VCs raised their early funds, from anchor LPs to what parts of a pitch deck have the biggest impact on potential investors.</t>
  </si>
  <si>
    <t>23-04 - 18:30</t>
  </si>
  <si>
    <t>900 - Channel 1</t>
  </si>
  <si>
    <t>901 - Channel 1</t>
  </si>
  <si>
    <t>902 - Channel 1</t>
  </si>
  <si>
    <t>903 - Channel 1</t>
  </si>
  <si>
    <t xml:space="preserve">The VC world has become increasingly saturated and competitive. Funds have to diversify and reinvent their model to stand out and succeed. This panel discusses their individual approaches. </t>
  </si>
  <si>
    <t>904 - Channel 1</t>
  </si>
  <si>
    <t>905 - Channel 1</t>
  </si>
  <si>
    <t>906 - Channel 1</t>
  </si>
  <si>
    <t>907 - Channel 1</t>
  </si>
  <si>
    <t>908 - Channel 1</t>
  </si>
  <si>
    <t>909 - Channel 1</t>
  </si>
  <si>
    <t>910 - Channel 1</t>
  </si>
  <si>
    <t>911 - Channel 1</t>
  </si>
  <si>
    <t>912 - Channel 1</t>
  </si>
  <si>
    <t>913 - Channel 1</t>
  </si>
  <si>
    <t>914 - Channel 1</t>
  </si>
  <si>
    <t>Stockholm</t>
  </si>
  <si>
    <t>Hear from two startups in the music industry who are changing the way we consume, create and interact with music. Droplabs and Epidemic Sound are pioneers in both consumer and B2B music tech. In this panel, get their take on what's hot, what's not and what's next.</t>
  </si>
  <si>
    <t>Get recording date confirmed - intro mod</t>
  </si>
  <si>
    <t>915 - Channel 1</t>
  </si>
  <si>
    <t>916 - Channel 1</t>
  </si>
  <si>
    <t>917 - Channel 1</t>
  </si>
  <si>
    <t>In a world of disinformation, YouTube is looking to combat fake news to keep people better informed.</t>
  </si>
  <si>
    <t>04-06 - 18:00 (IST)</t>
  </si>
  <si>
    <t>https://us04web.zoom.us/j/73850344224?pwd=RkROM1JEVTNIVWNQU20vZ1pFOWRhUT09</t>
  </si>
  <si>
    <t>918 - Channel 1</t>
  </si>
  <si>
    <t>919 - Channel 1</t>
  </si>
  <si>
    <t>920 - Channel 1</t>
  </si>
  <si>
    <t>921 - Channel 1</t>
  </si>
  <si>
    <t>News outlets have a responsibility to report the news to the public, but there is a fine line between information and panic. BuzzFeed CEO Jonah Peretti discusses with top NYC investor Eric Hippeau how the media organisation navigated the Covid-19 crisis in their own way.</t>
  </si>
  <si>
    <t>922 - Channel 1</t>
  </si>
  <si>
    <t>923 - Channel 1</t>
  </si>
  <si>
    <t>924 - Channel 1</t>
  </si>
  <si>
    <t>925 - Channel 1</t>
  </si>
  <si>
    <t>Inclusivity in the arts</t>
  </si>
  <si>
    <t>Stephanie Beatriz, Stephanie Beatriz</t>
  </si>
  <si>
    <t>As a queer Latina, Stephanie is known for her outspoken advocacy for LGBTQIA+ rights and queer representation in the entertainment industry. And while we are changing perspectives in media and enhancing inclusion for the community, there is still a large gap when it comes to Latinx representation within that. She helped to shape the narrative with B99 using her own experiences to bring life to a queer Latinx character on a cable network show, but there is still a lot more to be done.</t>
  </si>
  <si>
    <t>926 - Channel 1</t>
  </si>
  <si>
    <t>927 - Channel 1</t>
  </si>
  <si>
    <t>928 - Channel 1</t>
  </si>
  <si>
    <t>929 - Channel 1</t>
  </si>
  <si>
    <t>fireside chat with Microsoft President Brad Smith</t>
  </si>
  <si>
    <t>930 - Channel 1</t>
  </si>
  <si>
    <t>931 - Channel 1</t>
  </si>
  <si>
    <t>932 - Channel 1</t>
  </si>
  <si>
    <t>933 - Channel 1</t>
  </si>
  <si>
    <t>934 - Channel 1</t>
  </si>
  <si>
    <t>World-renowned DJ, producer and entrepreneur Steve Aoki sits down with Headspace co-founder and CEO Rich Pierson to discuss mindfulness, meditation, creativity, and looking after your mental health.</t>
  </si>
  <si>
    <t>20/05/2020 - 22:00 Dublin time</t>
  </si>
  <si>
    <t>935 - Channel 1</t>
  </si>
  <si>
    <t>936 - Channel 1</t>
  </si>
  <si>
    <t>937 - Channel 1</t>
  </si>
  <si>
    <t>938 - Channel 1</t>
  </si>
  <si>
    <t>Other: please specify</t>
  </si>
  <si>
    <t>How do long-standing brands stay relevant in the digital age? Some of the world's top brands combine their heritage and culture with innovation and tech.</t>
  </si>
  <si>
    <t>939 - Channel 1</t>
  </si>
  <si>
    <t>940 - Channel 1</t>
  </si>
  <si>
    <t>Laundry List/Lookaround - TO BE REMOVED</t>
  </si>
  <si>
    <t>941 - Channel 1</t>
  </si>
  <si>
    <t>942 - Channel 1</t>
  </si>
  <si>
    <t>943 - Channel 1</t>
  </si>
  <si>
    <t>As brands aim to be more socially responsible, how can you promise transparency and concious behaviour all the way down the supply chain? Join H&amp;M's chief sustainability officer in a discussion about circular business models.</t>
  </si>
  <si>
    <t>https://zoom.us/j/94674514930?pwd=dVZENXFrVHBjNW4rL3NWQnJwSWdoZz09</t>
  </si>
  <si>
    <t>944 - Channel 1</t>
  </si>
  <si>
    <t>945 - Channel 1</t>
  </si>
  <si>
    <t>946 - Channel 1</t>
  </si>
  <si>
    <t>The communication of accurate information is more important now than ever. It is saving lives. Big brands and companies have a responsibility to get their messaging in line. Let's find out how they can do that.</t>
  </si>
  <si>
    <t>947 - Channel 1</t>
  </si>
  <si>
    <t>948 - Channel 1</t>
  </si>
  <si>
    <t>949 - Channel 1</t>
  </si>
  <si>
    <t>CGTN WANG GUAN / LUI XIN / NBC CLAIRE ATKINSON</t>
  </si>
  <si>
    <t>What does purpose look like in times of crisis?</t>
  </si>
  <si>
    <t>950 - Channel 1</t>
  </si>
  <si>
    <t>951 - Channel 1</t>
  </si>
  <si>
    <t>952 - Channel 1</t>
  </si>
  <si>
    <t>953 - Channel 1</t>
  </si>
  <si>
    <t>In January, more than 200 companies came together to declare that legacy CRM is not enough for today’s digital world. Peter Reinhardt, co-founder and CEO of Segment, explains why CRM is no longer enough, why the Platform of Independents was created and how businesses should be free from the era of cloud suites, data silos and vendor lock-in.</t>
  </si>
  <si>
    <t>954 - Channel 1</t>
  </si>
  <si>
    <t>955 - Channel 1</t>
  </si>
  <si>
    <t>956 - Channel 1</t>
  </si>
  <si>
    <t>957 - Channel 1</t>
  </si>
  <si>
    <t>958 - Channel 1</t>
  </si>
  <si>
    <t>959 - Channel 1</t>
  </si>
  <si>
    <t>960 - Channel 1</t>
  </si>
  <si>
    <t xml:space="preserve">Meet the first and only female commissioner of an eSports league. Activision Blizzard's Call of Duty commissioner Johanna will discuss launching the league and pivoting to online matches, and explain what it's like providing competitive eSports during a drought of traditional live sports. </t>
  </si>
  <si>
    <t>21-05-20 - 17:00 EST</t>
  </si>
  <si>
    <t>961 - Channel 1</t>
  </si>
  <si>
    <t>962 - Channel 1</t>
  </si>
  <si>
    <t>964 - Channel 1</t>
  </si>
  <si>
    <t>Santa Clara</t>
  </si>
  <si>
    <t>Hear from AMD's CTO about the race to design, make and ship the best microprocessors on the planet.</t>
  </si>
  <si>
    <t>07/5/2020 4pm (8am PT)</t>
  </si>
  <si>
    <t>965 - Channel 1</t>
  </si>
  <si>
    <t>966 - Channel 1</t>
  </si>
  <si>
    <t>967 - Channel 1</t>
  </si>
  <si>
    <t>968 - Channel 1</t>
  </si>
  <si>
    <t>Tokyo</t>
  </si>
  <si>
    <t>The chief Pac-Man officer and CEO of Bandai Entertainment discusses modernising an iconic brand after 40 years. He'll explore lessons from the success of the Pac-Man legacy, and give insight into how Bandai is embracing technological transformations in animation and gaming.</t>
  </si>
  <si>
    <t>Self filming and editing</t>
  </si>
  <si>
    <t>969 - Channel 1</t>
  </si>
  <si>
    <t>970 - Channel 1</t>
  </si>
  <si>
    <t>971 - Channel 1</t>
  </si>
  <si>
    <t>972 - Channel 1</t>
  </si>
  <si>
    <t>There's no denying the impact Thomson Reuters has had on the world's news. What does it take to run a powerhouse like it, with revenue pushing $6 billion and a staff of almost 26,000 people? Let's find out.</t>
  </si>
  <si>
    <t>973 - Channel 1</t>
  </si>
  <si>
    <t>emil</t>
  </si>
  <si>
    <t>974 - Channel 1</t>
  </si>
  <si>
    <t>975 - Channel 1</t>
  </si>
  <si>
    <t>Social media can power your journalistic brand and build affinity and trust with your audience. If you use it the right way. But what's the right way? We asked the hack racking up followers with apparent ease.</t>
  </si>
  <si>
    <t>976 - Channel 1</t>
  </si>
  <si>
    <t>977 - Channel 1</t>
  </si>
  <si>
    <t>978 - Channel 1</t>
  </si>
  <si>
    <t>As big tech grows ever more powerful, the term 'techlash' has become ever more popular. Is the media out to get big tech and its leading lights, or does critical reporting just reveal inconvenient truths for many of the tech elite?</t>
  </si>
  <si>
    <t>979 - Channel 1</t>
  </si>
  <si>
    <t>980 - Channel 1</t>
  </si>
  <si>
    <t>981 - Channel 1</t>
  </si>
  <si>
    <t>982 - Channel 1</t>
  </si>
  <si>
    <t>It was the biggest leak in the history of data journalism. And its legacy lives on. One of the journalists behind the revelations explains why the Panama Papers are still affecting news coverage best practice four years on.</t>
  </si>
  <si>
    <t>15-05-2020 - 14:00</t>
  </si>
  <si>
    <t>https://us02web.zoom.us/j/88156489318?pwd=bk8vZ3J2cUlNT05FTDl2Vzh4eHlUUT09</t>
  </si>
  <si>
    <t>983 - Channel 1</t>
  </si>
  <si>
    <t>984 - Channel 1</t>
  </si>
  <si>
    <t>985 - Channel 1</t>
  </si>
  <si>
    <t>Has tech democratised media ownership? Can it take down monopolies and protect true press freedom? Or is media-muzzling endemic, online and off? In the year of Covid-19, these questions have never been more pertinent, nor has it ever been more important to know which outlets you can trust.</t>
  </si>
  <si>
    <t>21-05-2020 - 18:00</t>
  </si>
  <si>
    <t>https://us02web.zoom.us/j/89690212458?pwd=RVdsMWZXY01LZ3IzQ2hzeTUzOTk5Zz09</t>
  </si>
  <si>
    <t>986 - Channel 1</t>
  </si>
  <si>
    <t>987 - Channel 1</t>
  </si>
  <si>
    <t>988 - Channel 1</t>
  </si>
  <si>
    <t>Masterminding the marketplace</t>
  </si>
  <si>
    <t>Tracy Sun, Poshmark</t>
  </si>
  <si>
    <t>Bethany Biron, Business Insider</t>
  </si>
  <si>
    <t>This talk will bring together two marketplace masterminds, who will share their experiences and give an insight into how their respective companies have disrupted the industry.</t>
  </si>
  <si>
    <t>989 - Channel 1</t>
  </si>
  <si>
    <t>990 - Channel 1</t>
  </si>
  <si>
    <t>991 - Channel 1</t>
  </si>
  <si>
    <t>992 - Channel 1</t>
  </si>
  <si>
    <t>Live your BÉIS life</t>
  </si>
  <si>
    <t xml:space="preserve">Shay Mitchell grew to stardom after appearing in hit TV shows such as Pretty Little Liars and Netflix's You, but she's not content to work in just one industry – she's also the founder and chief brand officer of her own travel accessory line, BÉIS. Hear from Shay on her acting career, her business and what’s next. </t>
  </si>
  <si>
    <t>993 - Channel 1</t>
  </si>
  <si>
    <t>994 - Channel 1</t>
  </si>
  <si>
    <t>995 - Channel 1</t>
  </si>
  <si>
    <t>40 words / 4</t>
  </si>
  <si>
    <t>996 - Channel 1</t>
  </si>
  <si>
    <t>997 - Channel 1</t>
  </si>
  <si>
    <t>Alyssa Newcomb/Andy Serwer</t>
  </si>
  <si>
    <t>People normally wander around Ikea's warehouses; now they're buying online. How does one of the world's biggest retailers respond to this change in custom?</t>
  </si>
  <si>
    <t>998 - Channel 1</t>
  </si>
  <si>
    <t>999 - Channel 1</t>
  </si>
  <si>
    <t>1000 - Channel 1</t>
  </si>
  <si>
    <t>The founder and CEO of leading imaging unicorn Light shares the startup's plans to transform the future of photography.</t>
  </si>
  <si>
    <t>1001 - Channel 1</t>
  </si>
  <si>
    <t>1002 - Channel 1</t>
  </si>
  <si>
    <t>1003 - Channel 1</t>
  </si>
  <si>
    <t>1004 - Channel 1</t>
  </si>
  <si>
    <t>1005 - Channel 1</t>
  </si>
  <si>
    <t>As an industry that serves small businesses, how can fintech safeguard your company when disaster strikes?</t>
  </si>
  <si>
    <t xml:space="preserve">07-05-20 - 14:15 </t>
  </si>
  <si>
    <t>https://zoom.us/j/97487359645?pwd=NDk5VTY2ZGVvZHhybm10WlhycWkzZz09</t>
  </si>
  <si>
    <t>1006 - Channel 1</t>
  </si>
  <si>
    <t>1007 - Channel 1</t>
  </si>
  <si>
    <t>1008 - Channel 1</t>
  </si>
  <si>
    <t>1009 - Channel 1</t>
  </si>
  <si>
    <t>Peter will discuss how he led Ethos (a young startup) to a nearly $500 million valuation, and which elements have been key to fast and sustainable growth.</t>
  </si>
  <si>
    <t>22-4 - 18:00</t>
  </si>
  <si>
    <t>1010 - Channel 1</t>
  </si>
  <si>
    <t>1011 - Channel 1</t>
  </si>
  <si>
    <t>1012 - Channel 1</t>
  </si>
  <si>
    <t>1013 - Channel 1</t>
  </si>
  <si>
    <t xml:space="preserve">PayPal have been preparing for a completely digital financial universe. Learn from their CTO how the next era of online payments will leave brick and mortar finance in the dust. </t>
  </si>
  <si>
    <t>26-05-29 - 17:00</t>
  </si>
  <si>
    <t>https://zoom.us/j/97516312850?pwd=L0pYUUR2d0hRUGVRR25aS0FYUXRXQT09</t>
  </si>
  <si>
    <t>1014 - Channel 1</t>
  </si>
  <si>
    <t>1015 - Channel 1</t>
  </si>
  <si>
    <t>1016 - Channel 1</t>
  </si>
  <si>
    <t>Is inclusive finance in the US a pipe dream?</t>
  </si>
  <si>
    <t xml:space="preserve">As fintechs race towards a one-size-fits-all mobile wallet in a divided US market, how can you ensure your product remains inclusive? </t>
  </si>
  <si>
    <t>01-05-20 - 21:00</t>
  </si>
  <si>
    <t>https://zoom.us/j/96897579608?pwd=Qm8yWUJKRVI5M2YxTUdvMUxxdzJvQT09</t>
  </si>
  <si>
    <t>1017 - Channel 1</t>
  </si>
  <si>
    <t>1018 - Channel 1</t>
  </si>
  <si>
    <t>1019 - Channel 1</t>
  </si>
  <si>
    <t>Hong Kong City</t>
  </si>
  <si>
    <t xml:space="preserve">As borders are built and broken across the world, how can fintechs serve a global market? Australian unicorn Airwallex, with customers including Tencent and JD.com, knows a thing or two about that. Join co-founder Lucy Liu as she discusses the next frontier for cross-border payments. </t>
  </si>
  <si>
    <t>12-05-20 - 09:00</t>
  </si>
  <si>
    <t>https://zoom.us/j/95010935021?pwd=ZXNYOGxHOG5TNmVsODdFMmU2YjIzZz09</t>
  </si>
  <si>
    <t>1020 - Channel 1</t>
  </si>
  <si>
    <t>1021 - Channel 1</t>
  </si>
  <si>
    <t>1022 - Channel 1</t>
  </si>
  <si>
    <t>1023 - Channel 1</t>
  </si>
  <si>
    <t>1024 - Channel 1</t>
  </si>
  <si>
    <t>TikTok content powerhouse Flighthouse averages one billion views per month, and aims to become the premier content brand for gen Z. The company's 20-year-old CEO explains how.</t>
  </si>
  <si>
    <t>1025 - Channel 1</t>
  </si>
  <si>
    <t>1026 - Channel 1</t>
  </si>
  <si>
    <t>1027 - Channel 1</t>
  </si>
  <si>
    <t>The pandemic and subsequent lockdown have spawned some of best – and worst – of social media in the internet's history. With the help of exceptional (and a few woeful) examples from across all platforms, social creative agency That Lot will look at how brands have reacted, how broadcasters have reacted, and how humans have reacted to the biggest global event of our lifetime</t>
  </si>
  <si>
    <t>Speaker recording their own talk</t>
  </si>
  <si>
    <t>1028 - Channel 1</t>
  </si>
  <si>
    <t>1029 - Channel 1</t>
  </si>
  <si>
    <t>1030 - Channel 1</t>
  </si>
  <si>
    <t>1031 - Channel 1</t>
  </si>
  <si>
    <t>With social media polarization starker than ever, two 'insiders' share their views on how the current situation can be rectified</t>
  </si>
  <si>
    <t>1032 - Channel 1</t>
  </si>
  <si>
    <t>1033 - Channel 1</t>
  </si>
  <si>
    <t>1034 - Channel 1</t>
  </si>
  <si>
    <t>speaker Intro Video</t>
  </si>
  <si>
    <t>1035 - Channel 1</t>
  </si>
  <si>
    <t>1036 - Channel 1</t>
  </si>
  <si>
    <t xml:space="preserve">Join whistleblower turned H&amp;M tech expert Christopher Wylie as he discusses the role of data, transparency and social media in the move towards brand social responsiblity. </t>
  </si>
  <si>
    <t>1037 - Channel 1</t>
  </si>
  <si>
    <t>1038 - Channel 1</t>
  </si>
  <si>
    <t>1039 - Channel 1</t>
  </si>
  <si>
    <t>1040 - Channel 1</t>
  </si>
  <si>
    <t>As the Covid-19 virus has fundamentally changed so much of the world around us, some are saying we can't return to normal... But can AI understand a world we couldn't have anticipated?</t>
  </si>
  <si>
    <t>1041 - Channel 1</t>
  </si>
  <si>
    <t>1042 - Channel 1</t>
  </si>
  <si>
    <t>1043 - Channel 1</t>
  </si>
  <si>
    <t>1044 - Channel 1</t>
  </si>
  <si>
    <t>1045 - Channel 1</t>
  </si>
  <si>
    <t>In this talk, join Boston Dynamics' founder Marc Raibert as he explores how their newest addition Spot, can help aid in essential work that can't be done by humans.</t>
  </si>
  <si>
    <t>1046 - Channel 1</t>
  </si>
  <si>
    <t>1047 - Channel 1</t>
  </si>
  <si>
    <t>1048 - Channel 1</t>
  </si>
  <si>
    <t>How can budding roboticists continue to develop throughout an epidemic? In this fireside chat, we'll be exploring how it's possible to turn your living room into a robotics lab.</t>
  </si>
  <si>
    <t>1049 - Channel 1</t>
  </si>
  <si>
    <t>1050 - Channel 1</t>
  </si>
  <si>
    <t>1051 - Channel 1</t>
  </si>
  <si>
    <t>1052 - Channel 1</t>
  </si>
  <si>
    <t>The current pandemic is accelerating the integration timeline for AI and robots in our everyday lives. Michael Tam, chief brand officer of UBTECH, says the virus has pushed people to consider more opportunities for using robots to keep our lives healthier and safer.</t>
  </si>
  <si>
    <t>15/05/2020 Time TBD</t>
  </si>
  <si>
    <t>1053 - Channel 1</t>
  </si>
  <si>
    <t>1054 - Channel 1</t>
  </si>
  <si>
    <t>1055 - Channel 1</t>
  </si>
  <si>
    <t>The startup world is a fast-growing, responsive one. The majority of founders will, at some point, face a dilemma of whether or not to scale their business. Join this panel to find out more.</t>
  </si>
  <si>
    <t>https://zoom.us/j/91519111062?pwd=aFpqd0VXMDVIVWtwUWdFQ3JpZmVqZz09</t>
  </si>
  <si>
    <t>1056 - Channel 1</t>
  </si>
  <si>
    <t>1057 - Channel 1</t>
  </si>
  <si>
    <t>1058 - Channel 1</t>
  </si>
  <si>
    <t>1059 - Channel 1</t>
  </si>
  <si>
    <t>1060 - Channel 1</t>
  </si>
  <si>
    <t>1061 - Channel 1</t>
  </si>
  <si>
    <t>Cal Henderson, Slack</t>
  </si>
  <si>
    <t>Overnight, businesses around the world have found themselves faced with a new way of working. Organizations are trying to adjust to this unfamiliar world of remote work and find alternative ways to get things done. In this fireside chat, Cal Henderson, co-founder and CTO at Slack, will discuss key aspects of this reformed style of work and how we can emerge stronger – with better methods of collaboration – once it's safe to return to the office. He’ll also discuss the implications of this changing landscape on Slack’s business.</t>
  </si>
  <si>
    <t>1062 - Channel 1</t>
  </si>
  <si>
    <t>1063 - Channel 1</t>
  </si>
  <si>
    <t>1064 - Channel 1</t>
  </si>
  <si>
    <t>In a new era of open source, SaaS and cloud computing, technology needs to adapt to help businesses move towards the cloud.</t>
  </si>
  <si>
    <t>https://us02web.zoom.us/j/85134771938?pwd=V1BlZk1NNHpLRlpxM1dLQWhCakJPUT09</t>
  </si>
  <si>
    <t>1065 - Channel 1</t>
  </si>
  <si>
    <t>1066 - Channel 1</t>
  </si>
  <si>
    <t>1067 - Channel 1</t>
  </si>
  <si>
    <t>To scale or not to scale</t>
  </si>
  <si>
    <t>https://zoom.us/j/96928887745?pwd=cmNtYkRKcXFTamdBbEpFKy9RWjI2Zz09</t>
  </si>
  <si>
    <t>1068 - Channel 1</t>
  </si>
  <si>
    <t>1069 - Channel 1</t>
  </si>
  <si>
    <t>1070 - Channel 1</t>
  </si>
  <si>
    <t>Gilberto Silva is a football icon. A legend in the famous colours of Brazil, he had a distinguished career at home, as well as spells in England and Greece. A World Cup winner in 2002, Gilberto also has the unique honour of being called an Arsenal Invincible, part of the undefeated 2003-2004 squad. In this talk, Gilberto outlines the next chapter of his storied career.</t>
  </si>
  <si>
    <t>1071 - Channel 1</t>
  </si>
  <si>
    <t>1072 - Channel 1</t>
  </si>
  <si>
    <t>1073 - Channel 1</t>
  </si>
  <si>
    <t>1074 - Channel 1</t>
  </si>
  <si>
    <t>1075 - Channel 1</t>
  </si>
  <si>
    <t>1076 - Channel 1</t>
  </si>
  <si>
    <t>1077 - Channel 1</t>
  </si>
  <si>
    <t>Unlocking peak performance</t>
  </si>
  <si>
    <t xml:space="preserve">Olympic gold medalist Angela Ruggiero is a leader in the sports world. Outside of playing, she is an educator, administrator, advisor and board member of the International Olympic Committee. Here, she shares her insights into unlocking peak performance on an athletic and personal front.
</t>
  </si>
  <si>
    <t>1078 - Channel 1</t>
  </si>
  <si>
    <t>1079 - Channel 1</t>
  </si>
  <si>
    <t>1080 - Channel 1</t>
  </si>
  <si>
    <t>Sports science has unlocked advantages that have increased the maximum level of human performance. Have we reached the peak or will the next generation of athletes be superhuman?</t>
  </si>
  <si>
    <t>1081 - Channel 1</t>
  </si>
  <si>
    <t>1082 - Channel 1</t>
  </si>
  <si>
    <t>1083 - Channel 1</t>
  </si>
  <si>
    <t>Hold on tight while Kubernetes founder Joe Beda gives you a whirlwind tour of how the container-orchestration system works, and explains how it's set up to do so much more than just run some containers. Joe will also explore some of the company's history and and take a look at where innovation in the ecosystem is now.</t>
  </si>
  <si>
    <t>https://zoom.us/j/99339323180?pwd=TXFFcHY1dVQwN21nUENramdyU1BhZz09</t>
  </si>
  <si>
    <t>1084 - Channel 1</t>
  </si>
  <si>
    <t>1085 - Channel 1</t>
  </si>
  <si>
    <t>1086 - Channel 1</t>
  </si>
  <si>
    <t>Hear from Duncan Greatwood, the CEO of Xage Security, on what industries across the globe are doing to become more flexible and more efficient as the fate of their business depends on it.</t>
  </si>
  <si>
    <t>1087 - Channel 1</t>
  </si>
  <si>
    <t>1088 - Channel 1</t>
  </si>
  <si>
    <t>1089 - Channel 1</t>
  </si>
  <si>
    <t>1090 - Channel 1</t>
  </si>
  <si>
    <t>Unpacking the black box of machine learning</t>
  </si>
  <si>
    <t>Machine learning systems are responsible for more decisions than ever, but many of these systems’ models are opaque. This can be problematic in situations where humans have a right to know how a decision was made. Lack of transparency also introduces the potential for the introduction of prejudice, and sampling or algorithmic bias. Here, Rebecca explores increasing machine learning transparency, and why assembling a diverse team of developers is essential.</t>
  </si>
  <si>
    <t>https://us04web.zoom.us/j/75056177275?pwd=ZWczeFptQVUrT1lrbHlZV1BHRDYvdz09</t>
  </si>
  <si>
    <t>1091 - Channel 1</t>
  </si>
  <si>
    <t>1092 - Channel 1</t>
  </si>
  <si>
    <t>1093 - Channel 1</t>
  </si>
  <si>
    <t>Matthew W. Calkins, Appian</t>
  </si>
  <si>
    <t>April Glaser NBC</t>
  </si>
  <si>
    <t>Our connected – and sometimes unseen – devices are a huge part of modern life. Explore our networked environments and the weird, wonderful and helpful connections that exist within it.</t>
  </si>
  <si>
    <t>15/05/2020 - 1pm EST / 6pm GMT</t>
  </si>
  <si>
    <t>1094 - Channel 1</t>
  </si>
  <si>
    <t>1095 - Channel 1</t>
  </si>
  <si>
    <t>1096 - Channel 1</t>
  </si>
  <si>
    <t>Tech’s new role post covid</t>
  </si>
  <si>
    <t>1097 - Channel 1</t>
  </si>
  <si>
    <t>1098 - Channel 1</t>
  </si>
  <si>
    <t>1099 - Channel 1</t>
  </si>
  <si>
    <t>Scott Raney, Redpoint</t>
  </si>
  <si>
    <t>In a fast-changing world, deploying quickly has become ever more important. Learn more on progressive delivery from LaunchDarkly's Edith Harbaugh and Redpoint Venture's Scott Raney.</t>
  </si>
  <si>
    <t>29/4/2020 - 9am PT</t>
  </si>
  <si>
    <t>https://us04web.zoom.us/j/73480598856?pwd=SkNWc2RBc1J1alVGVThOVmEzSEJIQT09</t>
  </si>
  <si>
    <t>1100 - Channel 1</t>
  </si>
  <si>
    <t>1101 - Channel 1</t>
  </si>
  <si>
    <t>1102 - Channel 1</t>
  </si>
  <si>
    <t>Aba, CEO of Dorae, will talk about using technology to push boundaries and improve the world</t>
  </si>
  <si>
    <t>1103 - Channel 1</t>
  </si>
  <si>
    <t>1104 - Channel 1</t>
  </si>
  <si>
    <t>1105 - Channel 1</t>
  </si>
  <si>
    <t>The Bretton Woods conference took place in 1944, a year before WWII was over. It set out an economic order that has survived until today. Technology has wrought huge change since then. In the face of this pandemic, is now the time to reimagine the future of the global economy?</t>
  </si>
  <si>
    <t>1106 - Channel 1</t>
  </si>
  <si>
    <t>1107 - Channel 1</t>
  </si>
  <si>
    <t>1108 - Channel 1</t>
  </si>
  <si>
    <t>Driving the economy forward</t>
  </si>
  <si>
    <t>Cooperation between governments and the private sector are vital for a healthy economy. In this time of great economic difficulty, keeping these lines of cooperation open has never been more important. This discussion will explore how government and corporations can better work together to promote growth and stability.</t>
  </si>
  <si>
    <t>1109 - Channel 1</t>
  </si>
  <si>
    <t>1110 - Channel 1</t>
  </si>
  <si>
    <t>1111 - Channel 1</t>
  </si>
  <si>
    <t>As we emerge into a changed landscape, as revival begins - how do brands re-activate their customers, and what does loyalty really mean post-pandemic?</t>
  </si>
  <si>
    <t>22-04 - 15:00</t>
  </si>
  <si>
    <t>1112 - Channel 1</t>
  </si>
  <si>
    <t>1113 - Channel 1</t>
  </si>
  <si>
    <t>1114 - Channel 1</t>
  </si>
  <si>
    <t>Rethink Chinese VC priorities</t>
  </si>
  <si>
    <t>Erhai Liu, Joy Capital</t>
  </si>
  <si>
    <t>The global viral outbreak has shaken up China’s investing industry. Hear from one of China’s top VCs on how the capital market in the country is recovering, and how the opportunities have shifted.</t>
  </si>
  <si>
    <t>1115 - Channel 1</t>
  </si>
  <si>
    <t>1116 - Channel 1</t>
  </si>
  <si>
    <t>1117 - Channel 1</t>
  </si>
  <si>
    <t>Brian O'Donovan, RTE</t>
  </si>
  <si>
    <t>International cooperation has become even more important in the wake of the COVID-19 pandemic. Keeping strong connections between nations will help promote economic recovery. In this session we will explore how trade and innovation will help us to beat the pandemic induced recession.</t>
  </si>
  <si>
    <t>1118 - Channel 1</t>
  </si>
  <si>
    <t>1119 - Channel 1</t>
  </si>
  <si>
    <t>40 words</t>
  </si>
  <si>
    <t>1120 - Channel 1</t>
  </si>
  <si>
    <t>1121 - Channel 1</t>
  </si>
  <si>
    <t>In the 21st century, we like to get around. Yet with mounting problems in an industry that has proven difficult to scale sustainibly, what is the future of urban mobility?</t>
  </si>
  <si>
    <t>1122 - Channel 1</t>
  </si>
  <si>
    <t>1123 - Channel 1</t>
  </si>
  <si>
    <t>1124 - Channel 1</t>
  </si>
  <si>
    <t>1125 - Channel 1</t>
  </si>
  <si>
    <t>1126 - Channel 1</t>
  </si>
  <si>
    <t>1127 - Channel 1</t>
  </si>
  <si>
    <t>Accessing your own power in a pandemic</t>
  </si>
  <si>
    <t>Deepak Chopra, The Chopra Foundation</t>
  </si>
  <si>
    <t>Amid the impact of a global pandemic, we’ll find out why Deepak's teachings resonate now more than ever before – and how aware we are of our awareness.</t>
  </si>
  <si>
    <t>1128 - Channel 1</t>
  </si>
  <si>
    <t>1129 - Channel 1</t>
  </si>
  <si>
    <t>1130 - Channel 1</t>
  </si>
  <si>
    <t>Building a future transport hub</t>
  </si>
  <si>
    <t>Alexander Zosel, Volocopter</t>
  </si>
  <si>
    <t>In this keynote, we'll be looking to the skies, asking how feasible personal air transport is and taking a sneak peak at Asia's first flying taxi airport.</t>
  </si>
  <si>
    <t>1131 - Channel 1</t>
  </si>
  <si>
    <t>1132 - Channel 1</t>
  </si>
  <si>
    <t>1133 - Channel 1</t>
  </si>
  <si>
    <t xml:space="preserve"> AI-way or the highway</t>
  </si>
  <si>
    <t>Look where you're going! Easy to say to a human, but what about to our cars? Could future driving AI change the game?</t>
  </si>
  <si>
    <t>1134 - Channel 1</t>
  </si>
  <si>
    <t>1135 - Channel 1</t>
  </si>
  <si>
    <t>1136 - Channel 1</t>
  </si>
  <si>
    <t>1137 - Channel 1</t>
  </si>
  <si>
    <t>1138 - Channel 1</t>
  </si>
  <si>
    <t>1139 - Channel 1</t>
  </si>
  <si>
    <t>1140 - Channel 1</t>
  </si>
  <si>
    <t>1141 - Channel 1</t>
  </si>
  <si>
    <t>1142 - Channel 1</t>
  </si>
  <si>
    <t>1143 - Channel 1</t>
  </si>
  <si>
    <t>V​inod offers an in depth and revealing look into his life and career as an entrepreneur, investor and tech fan. He charts the rise of his company, Khosla Ventures, a VC focused on impactful investments in software, AI, robotics, 3D printing, healthcare and other tech-related industries​.</t>
  </si>
  <si>
    <t xml:space="preserve">28/05 - 09:00 PT </t>
  </si>
  <si>
    <t>1144 - Channel 1</t>
  </si>
  <si>
    <t>1145 - Channel 1</t>
  </si>
  <si>
    <t>1146 - Channel 1</t>
  </si>
  <si>
    <t xml:space="preserve">A pioneer in emotion-based AI, Rana is co-founder and CEO of Affectiva, and author of the book Girl Decoded. In this podcast, she will talk about her life's work to "humanise technology, before it dehumanises us." </t>
  </si>
  <si>
    <t>1147 - Channel 1</t>
  </si>
  <si>
    <t>1148 - Channel 1</t>
  </si>
  <si>
    <t>1149 - Channel 1</t>
  </si>
  <si>
    <t>Listen in for a deep dive on the Cambridge Analytica scandal from one of the whistleblowers at the centre of the story. Brittany is the founder of the Own Your Data Foundation and #OwnYourData campaign, promoting digital literacy and data rights training. She is the subject of Netflix's documentary The Great Hack, and also wrote the book Targeted.</t>
  </si>
  <si>
    <t>1150 - Channel 1</t>
  </si>
  <si>
    <t>1151 - Channel 1</t>
  </si>
  <si>
    <t>1152 - Channel 1</t>
  </si>
  <si>
    <t xml:space="preserve">In depth: Eshan Ponnadurai </t>
  </si>
  <si>
    <t xml:space="preserve">Eshan is the global head of brand and consumer marketing for WhatsApp, helping to expand the app's brand presence. He's previously held top marketing roles at YouTube, Airbnb, Uber and Google. Hear him in conversation with Bloomberg's Kurt Wagner. </t>
  </si>
  <si>
    <t>1153 - Channel 1</t>
  </si>
  <si>
    <t>1154 - Channel 1</t>
  </si>
  <si>
    <t>1155 - Channel 1</t>
  </si>
  <si>
    <t>Tim Chase, tru challenge</t>
  </si>
  <si>
    <t>Gilberto is a former footballer who had a distinguished career with teams in England, Greece and his native Brazil. He won the World Cup with Brazil in 2002, and is one of the Arsenal Invicibles, the team that went the 2003–2004 season unbeaten. Here, in conversation with Tim Chase, he talks about his life, career and what challenges lie ahead.</t>
  </si>
  <si>
    <t>1156 - Channel 1</t>
  </si>
  <si>
    <t>1157 - Channel 1</t>
  </si>
  <si>
    <t>1158 - Channel 1</t>
  </si>
  <si>
    <t>In this podcast, hear from the new CEO of Mozilla, Mitchell Baker, as she discusses her life's work and her commitment to building the internet as a global public resource, open and accessible to all.</t>
  </si>
  <si>
    <t>1159 - Channel 1</t>
  </si>
  <si>
    <t>1160 - Channel 1</t>
  </si>
  <si>
    <t>1161 - Channel 1</t>
  </si>
  <si>
    <t>1162 - Channel 1</t>
  </si>
  <si>
    <t>1163 - Channel 1</t>
  </si>
  <si>
    <t>1164 - Channel 1</t>
  </si>
  <si>
    <t>1165 - Channel 1</t>
  </si>
  <si>
    <t>1166 - Channel 1</t>
  </si>
  <si>
    <t>1167 - Channel 1</t>
  </si>
  <si>
    <t>1168 - Channel 1</t>
  </si>
  <si>
    <t>1169 - Channel 1</t>
  </si>
  <si>
    <t>1170 - Channel 1</t>
  </si>
  <si>
    <t>1171 - Channel 1</t>
  </si>
  <si>
    <t>1172 - Channel 1</t>
  </si>
  <si>
    <t>1173 - Channel 1</t>
  </si>
  <si>
    <t>1174 - Channel 1</t>
  </si>
  <si>
    <t>1175 - Channel 1</t>
  </si>
  <si>
    <t>1176 - Channel 1</t>
  </si>
  <si>
    <t>1177 - Channel 1</t>
  </si>
  <si>
    <t>1178 - Channel 1</t>
  </si>
  <si>
    <t>1179 - Channel 1</t>
  </si>
  <si>
    <t>1180 - Channel 1</t>
  </si>
  <si>
    <t>1181 - Channel 1</t>
  </si>
  <si>
    <t>1182 - Channel 1</t>
  </si>
  <si>
    <t>1183 - Channel 1</t>
  </si>
  <si>
    <t>1184 - Channel 1</t>
  </si>
  <si>
    <t>1185 - Channel 1</t>
  </si>
  <si>
    <t>1186 - Channel 1</t>
  </si>
  <si>
    <t>1187 - Channel 1</t>
  </si>
  <si>
    <t>1188 - Channel 1</t>
  </si>
  <si>
    <t>1189 - Channel 1</t>
  </si>
  <si>
    <t>1190 - Channel 1</t>
  </si>
  <si>
    <t>1191 - Channel 1</t>
  </si>
  <si>
    <t>1192 - Channel 1</t>
  </si>
  <si>
    <t>1193 - Channel 1</t>
  </si>
  <si>
    <t>1194 - Channel 1</t>
  </si>
  <si>
    <t>John is the founder and CEO of JC2 Ventures, where he focuses on helping disruptive startups worldwide to build and scale, promoting broader development of startup innovation. He was formerly executive chairman at Cisco Systems. Here he is in conversation with Collision's Casey Lau.</t>
  </si>
  <si>
    <t>18-05-10:00am PT</t>
  </si>
  <si>
    <t>1195 - Channel 1</t>
  </si>
  <si>
    <t>1196 - Channel 1</t>
  </si>
  <si>
    <t>1197 - Channel 1</t>
  </si>
  <si>
    <t>Molly is author of the bestselling memoir Molly’s Game, which was adapted into an award-winning film of the same name directed by Aaron Sorkin. In this podcast interview, Molly tells the true story behind the most exclusive, high-stakes underground poker game in the world.</t>
  </si>
  <si>
    <t>1198 - Channel 1</t>
  </si>
  <si>
    <t>1199 - Channel 1</t>
  </si>
  <si>
    <t>1200 - Channel 1</t>
  </si>
  <si>
    <t>Anthony founded investment firm Skybridge Capital in 2005, and is also the founder of Oscar Capital Management. Prior to that, he worked in Goldman Sachs' investment banking, equities and private wealth management divisions. Anthony will give the inside story of his turbulent time at the White House, where he served as director of communications for President Trump from July 21 to July 31.</t>
  </si>
  <si>
    <t>1201 - Channel 1</t>
  </si>
  <si>
    <t>1202 - Channel 1</t>
  </si>
  <si>
    <t>1203 - Channel 1</t>
  </si>
  <si>
    <t xml:space="preserve">Rick is one of Patagonia’s  key spokespeople. A keen environmentalist and explorer, he represents and promotes the company’s mission to 'Save our Home Planet'. Hear him swap stories with film-maker, adventurer and friend Jon Bowermaster of Ocean 8 Films. </t>
  </si>
  <si>
    <t>1204 - Channel 1</t>
  </si>
  <si>
    <t>1205 - Channel 1</t>
  </si>
  <si>
    <t>1206 - Channel 1</t>
  </si>
  <si>
    <t>Nicole Mortillaro, CBC</t>
  </si>
  <si>
    <t xml:space="preserve">Ali is the executive chair of the Rockefeller Neuroscience Institute at West Virginia University. In this podcast, learn about how he has inserted chip implants into the brains of addicts to combat the opioid crisis in the US, and how this research is helping in the fight against Covid-19. </t>
  </si>
  <si>
    <t>1207 - Channel 1</t>
  </si>
  <si>
    <t>1208 - Channel 1</t>
  </si>
  <si>
    <t>1209 - Channel 1</t>
  </si>
  <si>
    <t>The importance of media has come to the fore now more than ever, afflicting the comfortable, comforting the afflicted. The 4th estate is crucial to a functioning democracy and they are facing unprecedented threats from this pandemic. Hear how media are navigating these turbulent times</t>
  </si>
  <si>
    <t>1210 - Channel 1</t>
  </si>
  <si>
    <t>1211 - Channel 1</t>
  </si>
  <si>
    <t>1212 - Channel 1</t>
  </si>
  <si>
    <t>1213 - Channel 1</t>
  </si>
  <si>
    <t>1214 - Channel 1</t>
  </si>
  <si>
    <t>1215 - Channel 1</t>
  </si>
  <si>
    <t>1216 - Channel 1</t>
  </si>
  <si>
    <t>1217 - Channel 1</t>
  </si>
  <si>
    <t>1218 - Channel 1</t>
  </si>
  <si>
    <t>1219 - Channel 1</t>
  </si>
  <si>
    <t>1220 - Channel 1</t>
  </si>
  <si>
    <t>1221 - Channel 1</t>
  </si>
  <si>
    <t>1222 - Channel 1</t>
  </si>
  <si>
    <t>1223 - Channel 1</t>
  </si>
  <si>
    <t>1224 - Channel 1</t>
  </si>
  <si>
    <t>1225 - Channel 1</t>
  </si>
  <si>
    <t>1226 - Channel 1</t>
  </si>
  <si>
    <t>1227 - Channel 1</t>
  </si>
  <si>
    <t>1228 - Channel 1</t>
  </si>
  <si>
    <t>1229 - Channel 1</t>
  </si>
  <si>
    <t>Nikolaj is best known for his role as Jaime Lannister in HBO’s Game of Thrones. Outside of acting, he is a UNDP Goodwill Ambassador and a passionate advocate for climate action and gender equality.</t>
  </si>
  <si>
    <t>06-05 - 17.30 IST (right after the talk recording at 5pm)</t>
  </si>
  <si>
    <t>https://us02web.zoom.us/j/83543030674?pwd=UUo5VC9pZUNLL3VxdE1BOGdkUmFJdz09</t>
  </si>
  <si>
    <t>1230 - Channel 1</t>
  </si>
  <si>
    <t>1231 - Channel 1</t>
  </si>
  <si>
    <t>1232 - Channel 1</t>
  </si>
  <si>
    <t xml:space="preserve">In this podcast Emily will discuss life as a partner in Pentagram, the world's largest independent design consultancy. She'll describe her work with media brand behemoths like NBC Universal, DC Entertainment and Warner Bros. </t>
  </si>
  <si>
    <t>1233 - Channel 1</t>
  </si>
  <si>
    <t>1234 - Channel 1</t>
  </si>
  <si>
    <t>1235 - Channel 1</t>
  </si>
  <si>
    <t>In depth: Christopher Wylie</t>
  </si>
  <si>
    <t>Christopher is the former director of research at Cambridge Analytica. He worked with the Guardian and the New York Times as a whistleblower to expose how social media data was being weaponised to undermine elections and exploit people globally. In this talk, he reflects on how doing the right thing changed his life.</t>
  </si>
  <si>
    <t>1236 - Channel 1</t>
  </si>
  <si>
    <t>1237 - Channel 1</t>
  </si>
  <si>
    <t>1238 - Channel 1</t>
  </si>
  <si>
    <t>In this in-depth podcast, Brian reflects on his life and career, discussing his experience as the founder and chief creative officer at his New York design firm, Collins.</t>
  </si>
  <si>
    <t>12/05/2020 - 10:00am PT</t>
  </si>
  <si>
    <t>1239 - Channel 1</t>
  </si>
  <si>
    <t>1240 - Channel 1</t>
  </si>
  <si>
    <t>1241 - Channel 1</t>
  </si>
  <si>
    <t>Nicola is CEO at The Abnormal Beauty Company, which creates a host of cosmetics ranges that are currently transforming the beauty industry. In this podcast, hear about the unexpected twists and turns on her incredible journey to the top.</t>
  </si>
  <si>
    <t>21-05-14:00 GMT</t>
  </si>
  <si>
    <t>1242 - Channel 1</t>
  </si>
  <si>
    <t>1243 - Channel 1</t>
  </si>
  <si>
    <t>1244 - Channel 1</t>
  </si>
  <si>
    <t>1245 - Channel 1</t>
  </si>
  <si>
    <t>1246 - Channel 1</t>
  </si>
  <si>
    <t>1247 - Channel 1</t>
  </si>
  <si>
    <t>1248 - Channel 1</t>
  </si>
  <si>
    <t>1249 - Channel 1</t>
  </si>
  <si>
    <t>1250 - Channel 1</t>
  </si>
  <si>
    <t>1251 - Channel 1</t>
  </si>
  <si>
    <t>1252 - Channel 1</t>
  </si>
  <si>
    <t>1253 - Channel 1</t>
  </si>
  <si>
    <t>1254 - Channel 1</t>
  </si>
  <si>
    <t>1255 - Channel 1</t>
  </si>
  <si>
    <t>1256 - Channel 1</t>
  </si>
  <si>
    <t>1257 - Channel 1</t>
  </si>
  <si>
    <t>1258 - Channel 1</t>
  </si>
  <si>
    <t>1259 - Channel 1</t>
  </si>
  <si>
    <t>1260 - Channel 1</t>
  </si>
  <si>
    <t>1261 - Channel 1</t>
  </si>
  <si>
    <t>1262 - Channel 1</t>
  </si>
  <si>
    <t>1263 - Channel 1</t>
  </si>
  <si>
    <t>1264 - Channel 1</t>
  </si>
  <si>
    <t>1265 - Channel 1</t>
  </si>
  <si>
    <t>1266 - Channel 1</t>
  </si>
  <si>
    <t>1267 - Channel 1</t>
  </si>
  <si>
    <t>1268 - Channel 1</t>
  </si>
  <si>
    <t>1269 - Channel 1</t>
  </si>
  <si>
    <t>1270 - Channel 1</t>
  </si>
  <si>
    <t>1271 - Channel 1</t>
  </si>
  <si>
    <t>1272 - Channel 1</t>
  </si>
  <si>
    <t>1273 - Channel 1</t>
  </si>
  <si>
    <t>1293 - Channel 1</t>
  </si>
  <si>
    <t>In a pandemic can insurtech help</t>
  </si>
  <si>
    <t>Insurance, a notoriously backwards industry, has had to adapt fast to save lives. Join an insurtech unicorn and Asia's leading patient empowerment company in conversation about the future of life insurance and policy-making following a global pandemic.</t>
  </si>
  <si>
    <t>1274 - Channel 1</t>
  </si>
  <si>
    <t>The scientific discoveries of the future will transform how we live our lives in ways that we cannot predict. In this session we will hear from three of the young scientists who will be striving to make those discoveries in fields such as bioengineering, green tech, and AI.</t>
  </si>
  <si>
    <t>24-04 - 23:45</t>
  </si>
  <si>
    <t>https://zoom.us/j/97807164238?pwd=czl6eHpPbTJ1QnVRd2NTWmt4UWorUT09</t>
  </si>
  <si>
    <t>1294 - Channel 1</t>
  </si>
  <si>
    <t xml:space="preserve">Jason Abbruzzese Tech Editor NBC </t>
  </si>
  <si>
    <t>Silicon Valley's style of fundraising and scaling has long been deemed the global startup gospel. But how does it react to global crises like the one we're currently experiencing? Is it high time to change the course?</t>
  </si>
  <si>
    <t>completed</t>
  </si>
  <si>
    <t>1303 - Channel 1</t>
  </si>
  <si>
    <t>EVs 2.0</t>
  </si>
  <si>
    <t>Daniel Kirchert, Byton</t>
  </si>
  <si>
    <t>1306 - Channel 1</t>
  </si>
  <si>
    <t>Neil Strauss, Neil Strauss</t>
  </si>
  <si>
    <t>From the inception of the creative idea, to the nuts and bolts of making content, podcast company Tenderfoot TV strive to accomplish one goal, to make something impactful,.</t>
  </si>
  <si>
    <t>1296 - Channel 1</t>
  </si>
  <si>
    <t>Leadership and corporate responsibility</t>
  </si>
  <si>
    <t>1285 - Channel 1</t>
  </si>
  <si>
    <t>1276 - Channel 1</t>
  </si>
  <si>
    <t>Jade Scipioni, CNBC</t>
  </si>
  <si>
    <t>27/04/ 2020 at 16.00</t>
  </si>
  <si>
    <t>COMPLETED</t>
  </si>
  <si>
    <t>1277 - Channel 1</t>
  </si>
  <si>
    <t>There's not much gen Z and generation alpha can't find a tutorial for online – except for empathy. That's an entirely human intelligence. So how can educators teach empathy to digital natives? Tune in to this super-fireside to find out.</t>
  </si>
  <si>
    <t>https://zoom.us/j/98156948165?pwd=ZFJMT21rMlo1TklMRXBVdWU1eFJJUT09</t>
  </si>
  <si>
    <t>1278 - Channel 1</t>
  </si>
  <si>
    <t>1279 - Channel 1</t>
  </si>
  <si>
    <t>CBC</t>
  </si>
  <si>
    <t>The latest discoveries in anatomy, neuroscience, psychology and AI might just be able to decipher our deepest sexual desires. In this super-fireside, the sex-tech experts are here to send a clear message that everyone – including astronauts, of course – deserves pleasure and sexual wellbeing.</t>
  </si>
  <si>
    <t>1280 - Channel 1</t>
  </si>
  <si>
    <t xml:space="preserve">Closing the gap: New approaches to Asia        </t>
  </si>
  <si>
    <t>Hsien-Hui Tong, SGInnovate</t>
  </si>
  <si>
    <t>Tiang Lim Foo, Seedplus</t>
  </si>
  <si>
    <t xml:space="preserve">Given the systematic under-allocation to Asia, a reasonable question to ask is how to bridge the gap? Once investors begin to look beyond the widely used benchmark allocations and toward a more nuanced approach to investing, there are a number of ways to improve their process of allocating their investment to Asia. 
</t>
  </si>
  <si>
    <t>1281 - Channel 1</t>
  </si>
  <si>
    <t>Honeypot: Fake company, real threats</t>
  </si>
  <si>
    <t>Eduardo Cabrera, Trend Micro</t>
  </si>
  <si>
    <t>To determine threat actors' degree of knowledge in compromising a smart factory, Trend Micro’s research team deployed an elaborate honeypot, creating an environment that could lure cybercriminals into carrying out attacks and, at the same time, provide an all but unimpeded look at those cybercriminals' actions. The CEO of Trend Micro will share the incredible results of their actions.</t>
  </si>
  <si>
    <t>https://zoom.us/j/92953803206?pwd=ckV1WUI4SUZFakJjT2pBWkFJcXVZUT09</t>
  </si>
  <si>
    <t>1282 - Channel 1</t>
  </si>
  <si>
    <t>a look inside how agencies are innovating in unusual times</t>
  </si>
  <si>
    <t>SELF RECORD</t>
  </si>
  <si>
    <t>1283 - Channel 1</t>
  </si>
  <si>
    <t>Hear from CEO Shane Curran on how he founded data privacy company Evervault aged just 19, and on why the company is going from strength to strength.</t>
  </si>
  <si>
    <t>27-04 - 14:00</t>
  </si>
  <si>
    <t>1287 - Channel 1</t>
  </si>
  <si>
    <t>1289 - Channel 1</t>
  </si>
  <si>
    <t>Reducing your environmental impact</t>
  </si>
  <si>
    <t>Ethan Song, Frank &amp; Oak</t>
  </si>
  <si>
    <t>ByHumanKind believes a single routine change can shape our planet’s future, join their CEO Brian Bushell and Patagonia's Rick Ridgeway for a talk that will tackle the need for companies and individuals to take personal responsibility in tackling the crisis while learning how small changes to habits can make a real difference.</t>
  </si>
  <si>
    <t>1290 - Channel 1</t>
  </si>
  <si>
    <t>Mul</t>
  </si>
  <si>
    <t>Ed Malyon, The Athletic UK</t>
  </si>
  <si>
    <t>OTT platforms have offered a new way for sports teams, media and athletes to engage with their fan base. This session will roadmap the next phase in the evolution of mass media consumption</t>
  </si>
  <si>
    <t>1291 - Channel 1</t>
  </si>
  <si>
    <t>Plates and the planet: How to eco-feed the world</t>
  </si>
  <si>
    <t>A growing population means more mouths to feed. And there are a shrinking number of solutions, especially sustainable ones. Where to next for those who fight world hunger? And can tech step in to stop the spread?</t>
  </si>
  <si>
    <t>https://zoom.us/j/93052212865?pwd=WEdzaFNOMnFOVk9uUXZxb2hxTVpuUT09</t>
  </si>
  <si>
    <t>1292 - Channel 1</t>
  </si>
  <si>
    <t>Sheila Jordan, CTO, Honeywell</t>
  </si>
  <si>
    <t xml:space="preserve">Companies are increasingly investing in cybersecurity experts to keep their data safe. But as the tech world evolves at a rapid rate, the security measures we rely on today may become obsolete tomorrow. How will 5G impact cybersecurity? We'll discus how companies can get ahead of the game instead of perpetually playing catch up. </t>
  </si>
  <si>
    <t>1297 - Channel 1</t>
  </si>
  <si>
    <t>1298 - Channel 1</t>
  </si>
  <si>
    <t>Since the birth of modern retail, merchants have decided what products consumers need in their life. Now, the power is shifting from the curators to the community. In this talk, find out how two industry leaders are pushing the retail boundaries, and how active listening and inclusion are critical to success in an ever-changing landscape.</t>
  </si>
  <si>
    <t>1299 - Channel 1</t>
  </si>
  <si>
    <t xml:space="preserve"> ch 1 - social app unicorn/ content/ innovation/ design</t>
  </si>
  <si>
    <t>1300 - Channel 1</t>
  </si>
  <si>
    <t>How will robots process true automation?</t>
  </si>
  <si>
    <t>Braincorp</t>
  </si>
  <si>
    <t>1301 - Channel 1</t>
  </si>
  <si>
    <t>Leadership / startups/ future of work</t>
  </si>
  <si>
    <t>1302 - Channel 1</t>
  </si>
  <si>
    <t>Get Radically Personal</t>
  </si>
  <si>
    <t xml:space="preserve">As we all know, the world has changed. We’re living in a world where we talk about social distancing and flattening the curve. And now, more than ever, people want to feel connected – to each other, to where they work, and to the companies they love. </t>
  </si>
  <si>
    <t>Speaker(s)</t>
  </si>
  <si>
    <t>Germany Trade &amp; Invest</t>
  </si>
  <si>
    <t>Gary</t>
  </si>
  <si>
    <t>Claus Habermeier, Daniel Stephens</t>
  </si>
  <si>
    <t>Partner Workshop</t>
  </si>
  <si>
    <t>https://drive.google.com/drive/folders/1nOUHggsU3lEEUtFcSJFReIz4cgSIgnA1</t>
  </si>
  <si>
    <t>Gitlab</t>
  </si>
  <si>
    <t>Michael Friedrich</t>
  </si>
  <si>
    <t>https://drive.google.com/drive/folders/1gBBldGRrT25LVq0GfdhExNTM1A_BWe6M</t>
  </si>
  <si>
    <t>recorded in wrong layout - WE</t>
  </si>
  <si>
    <t>https://drive.google.com/open?id=1MaFXYTENt944XqF1Te6N1rPb5rDjreTj</t>
  </si>
  <si>
    <t>Lean In</t>
  </si>
  <si>
    <t>Nicolle White</t>
  </si>
  <si>
    <t>https://drive.google.com/drive/folders/1BZVtPR4ZtZTSN3yRebEojdvQknIixMwB</t>
  </si>
  <si>
    <t>recorded in wrong layout, audio was out of sync - WE</t>
  </si>
  <si>
    <t>https://drive.google.com/open?id=1vwQRSP4RIhJKu-5oWG71PXgDuq9u65GT</t>
  </si>
  <si>
    <t>RBC</t>
  </si>
  <si>
    <t>Bob Blainey</t>
  </si>
  <si>
    <t>https://drive.google.com/drive/folders/1ocZv9tVDKqTxngpsfT3sU6IgWMFs-mXW</t>
  </si>
  <si>
    <t>https://drive.google.com/open?id=1fkyHqssokeTArwE3gfc6Io7CufiC68pN</t>
  </si>
  <si>
    <t>Toptal</t>
  </si>
  <si>
    <t>Clip desc.</t>
  </si>
  <si>
    <t>In Folder?</t>
  </si>
  <si>
    <t>Justin shares some interesting stats (under embargo until the event)</t>
  </si>
  <si>
    <t>Richards marketing clips from that talk lag/freeze so I've left them out</t>
  </si>
  <si>
    <t>Frida - how can tech help in recruitment
Polina - what is essential and what is vital
Virtual conferences are much more inclusive</t>
  </si>
  <si>
    <t>It's an app-eat-app world</t>
  </si>
  <si>
    <t>Good soundbite from Mada about the future of app development</t>
  </si>
  <si>
    <t>High quality experience in a time of high demand</t>
  </si>
  <si>
    <t>No desc. given in notes just a seprate video labled 'marketing clips'</t>
  </si>
  <si>
    <t>How to win the digital new wars</t>
  </si>
  <si>
    <t>This is a great discussion about the intertwining of business, politics, and healthcare in covering Covid and the need for newsrooms to trust their expertise and to actually engage in making sound editorial decisions instead of just panicking and publishing as much content as possible</t>
  </si>
  <si>
    <t xml:space="preserve">Good line from Patrice Harris - She had to spend 2 weeks of pandemic telling black Americans they were NOT immune to it!!
</t>
  </si>
  <si>
    <t xml:space="preserve">Nicholas N - interesting comments about the market and innovation
Nick G - mentions some big name USV portfolio companies, and how their focus is on unleashing innovation
</t>
  </si>
  <si>
    <t>Jeff: “The biggest thing we took away from there was… you have to make sure you have the right kind of corporate governance… When entrepreneurs are asking for super majority or super voting controls, we get to point to WeWork as an example of why thats probably not the best thing for the organisation and the rest of the investors”
“Even with WeWork, we certainly learnt our lesson around governance, but the business yesterday they announced (proceeds to give big numbers about we WeWork revenue)</t>
  </si>
  <si>
    <t>From Dmitry - “I think a lot of robots…” to “you need roombas”
Dmitry from “People start to call something…” to “when it becomes useful”</t>
  </si>
  <si>
    <t>The next normal</t>
  </si>
  <si>
    <t>Stephanie asks her advice for Collision audience who are CEOs of fast growing companies - her reply changes the mindset of collective delusion that you must be always on.</t>
  </si>
  <si>
    <t>Elections in a post covid world</t>
  </si>
  <si>
    <t>“I do think it is really important to draw the distinction…” to “It’s not something that’s going to be forced on people before they’re ready”</t>
  </si>
  <si>
    <t xml:space="preserve">Robert asks Zach about their VISA acquisition for 5billion. This is currently a pending acquisition, will be usable material by the time Collision goes live but do not use anything from here in a promotional clip.
Good soundbite about open banking - begins “open banking is great ..” and ends with “broader open finance”
</t>
  </si>
  <si>
    <t>Get younger as you age</t>
  </si>
  <si>
    <t xml:space="preserve">
Nice little segment on the importance of pets and exercise - just cute and light</t>
  </si>
  <si>
    <t xml:space="preserve">From “Public agency partners” to “Be there to support local businesses during this time”
This is a great chat, name dropping, their work with big Mayors (including Mayor Tory) etc
From “We launched last month” to “take care of ourselves and our family”
Hilary discusses their health initiatives, including a home saliva Covid test that doesn’t require contact with others. VERY TOPICAL.
</t>
  </si>
  <si>
    <t xml:space="preserve">
‘First of all there needs to be an intersection, a Collision, between your brand and reputation.’
John Saunders
How do you communicate returning to workplace with employees?
George Slefo
‘Is it going to be the question, not only for this interview, it is going to be the question throughout 2020.’
John Saunders
‘We’re not going back to normal!’
John Saunders</t>
  </si>
  <si>
    <t>Tech, Governance and the fate of society</t>
  </si>
  <si>
    <t xml:space="preserve">
From “Look at the business model of social media” to “it really does come from the business model”
From “Up until recently…” to “I really like this metaphor Tristan, no we’re fracking for attention”
From”This is a very big question” to “Also excluding people’s ability to vote in various ways”
From “The main way tech is impacting our democracy” to “this pandemic in this kind of environment”
From “Tristan I’ve found a new term” to “You and me both, we can be round earthers”
From “If you can imagine 16 million” to “not a whole heck of a lot”
</t>
  </si>
  <si>
    <t>Bracken Darrell - fired myself</t>
  </si>
  <si>
    <t xml:space="preserve">
Mitchell discusses the state of the tech industry during the pandemic
Mitchell discusses what is necessary to make the internet better. Really the crux of her contribution is here.</t>
  </si>
  <si>
    <t>For Edel on Marketing, specially requested on
what makes Lime stand out.</t>
  </si>
  <si>
    <t xml:space="preserve">Ellen talking about Facebook and Russian election meddling and how Facebook could do a better job of combating it
Discussion of microtargeting of political ads on FB and the banning of political ads on Twitter. Also discusses sources - very topical in light of twitter fact checking Donald Trump.
Discussion about the problems and challenges of running a federal election during the Covid pandemic.
</t>
  </si>
  <si>
    <t xml:space="preserve">Chris Howard speaking about consumer behaviour and investments changing
Nicholas talking about COVID “I have not seen any meaningful change”...
</t>
  </si>
  <si>
    <t>Christiana - Global emissions have reduced because of the pandemic, but we’re far from out of the woods. How can we work towards a “new normal” for climate action during the pandemic?
Philip - What is one change you’re expecting to see past Covid-19?</t>
  </si>
  <si>
    <t xml:space="preserve">Reducing your environmental impact </t>
  </si>
  <si>
    <t>"I dont subscribe to a zero waste lifestyle..."</t>
  </si>
  <si>
    <t>AI and sustainable fashion
Is there room for sustainability in big fashion</t>
  </si>
  <si>
    <t>Source</t>
  </si>
  <si>
    <t>Link</t>
  </si>
  <si>
    <t>Footage Used</t>
  </si>
  <si>
    <t>Total Seconds used per video</t>
  </si>
  <si>
    <t>Footage folder</t>
  </si>
  <si>
    <t>Clearance status</t>
  </si>
  <si>
    <t>Mail Merge status</t>
  </si>
  <si>
    <t>Follow up</t>
  </si>
  <si>
    <t>For Research:</t>
  </si>
  <si>
    <t>Other Speaker Intro Options</t>
  </si>
  <si>
    <t>Margaret Atwood</t>
  </si>
  <si>
    <t>VICE</t>
  </si>
  <si>
    <t>https://www.youtube.com/watch?v=PPPxR3PcXkQ</t>
  </si>
  <si>
    <t>00:00:20:00 - 00:00:22:13,</t>
  </si>
  <si>
    <t>https://drive.google.com/drive/folders/1ogvUmyEAJb9_J4cwghcF_Z4DVluD8THz</t>
  </si>
  <si>
    <t>Y</t>
  </si>
  <si>
    <t>If you have a set of YouTube links you want to download, please put them in a google doc, with each link on its own line inside the 'Content' folder.
Ping Ronan and he can mass download and upload using CLI tool.</t>
  </si>
  <si>
    <t>https://drive.google.com/drive/folders/1iJxA3bZ6MRSO2HZp1Ist_CDhi6bkvMWK</t>
  </si>
  <si>
    <t>The evolution of marketing/new ways people interact with ads on social media</t>
  </si>
  <si>
    <t>FRANCE 24 English</t>
  </si>
  <si>
    <t>https://www.youtube.com/watch?v=oiAFAYE_HLo</t>
  </si>
  <si>
    <t>00:01:56:04 - 00:01:59:03, 
00:00:17:11 - 00:00:19:02, 
00:00:14:10 - 00:00:18:09,</t>
  </si>
  <si>
    <t>ONLINE FORM SENT</t>
  </si>
  <si>
    <t>Online form</t>
  </si>
  <si>
    <t>CBC News</t>
  </si>
  <si>
    <t>https://www.youtube.com/watch?v=hyU64nXUrU8</t>
  </si>
  <si>
    <t>00:00:18:22 - 00:00:25:19, 
00:00:36:20 - 00:00:39:14, 
00:01:07:16 - 00:01:08:22, 
00:00:58:14 - 00:00:59:19, 
00:00:29:03 - 00:00:31:12</t>
  </si>
  <si>
    <t>ASK LISA</t>
  </si>
  <si>
    <t>Requesting from Speakers/Media</t>
  </si>
  <si>
    <t>ABC</t>
  </si>
  <si>
    <t>https://www.youtube.com/watch?v=jyYLVeZIrO0</t>
  </si>
  <si>
    <t xml:space="preserve">00:00:01:12 - 00:00:02:21, </t>
  </si>
  <si>
    <t>MasterClass</t>
  </si>
  <si>
    <t>https://www.youtube.com/watch?v=lbMPDk7CF6g</t>
  </si>
  <si>
    <t>00:00:26:04 - 00:00:28:04, 
00:01:12:21 - 00:01:18:01, 
00:00:33:05 - 00:00:34:07,</t>
  </si>
  <si>
    <t>Approved</t>
  </si>
  <si>
    <t>National Centre for Writing</t>
  </si>
  <si>
    <t>https://www.youtube.com/watch?v=fDkbyyPRKFY</t>
  </si>
  <si>
    <t>00:12:28:15 - 00:12:29:11, 
00:01:09:18 - 00:01:21:14</t>
  </si>
  <si>
    <t>https://www.youtube.com/watch?v=BvIpWyWVTdE</t>
  </si>
  <si>
    <t>Not required</t>
  </si>
  <si>
    <t>CBS</t>
  </si>
  <si>
    <t>https://www.youtube.com/watch?v=_rDoROcHbpI</t>
  </si>
  <si>
    <t xml:space="preserve">00:01:50:21 - 00:01:53:16, 
00:04:42:14 - 00:04:43:05, 
00:04:45:21 - 00:04:47:00, 
00:04:47:12 - 00:04:48:08, 
00:00:26:16 - 00:00:32:02, 
00:00:06:15 - 00:00:09:00, 
00:00:47:04 - 00:00:48:17, </t>
  </si>
  <si>
    <t>Johanna Faries, Call of Duty</t>
  </si>
  <si>
    <t>Writer's Relief</t>
  </si>
  <si>
    <t>https://www.youtube.com/watch?v=bT47Is0czhA</t>
  </si>
  <si>
    <t>00:00:15:07 - 00:00:18:12,</t>
  </si>
  <si>
    <t>Max Levchin - Affirm</t>
  </si>
  <si>
    <t>wpsu</t>
  </si>
  <si>
    <t>https://www.youtube.com/watch?v=D5Wj_JQ6NhY</t>
  </si>
  <si>
    <t>00:00:14:08 - 00:00:20:01</t>
  </si>
  <si>
    <t>Kate Brandt, Goolge</t>
  </si>
  <si>
    <t>NBC</t>
  </si>
  <si>
    <t>https://www.youtube.com/watch?v=BLoPV26aimE</t>
  </si>
  <si>
    <t>00:02:18:17 - 00:02:21:19</t>
  </si>
  <si>
    <t>Melissa Shchelper, LinkedIn</t>
  </si>
  <si>
    <t>Margaret Atwood: A Word after a Word after a Word Is Power - Trailer (Official) • A Hulu Original</t>
  </si>
  <si>
    <t>https://www.youtube.com/watch?v=Qj8P8yvvLNs</t>
  </si>
  <si>
    <t>00:01:40:14 - 00:01:50:19</t>
  </si>
  <si>
    <t>Requesting from speakers</t>
  </si>
  <si>
    <t>Nikolaj coster-waldau</t>
  </si>
  <si>
    <t>United Nations Development Programme (UNDP)</t>
  </si>
  <si>
    <t>https://www.youtube.com/watch?v=6laUW5j_YZw</t>
  </si>
  <si>
    <t>00:00:57:23 - 00:01:01:00, 
00:00:33:16 - 00:00:39:02, 
00:01:06:12 - 00:01:16:18</t>
  </si>
  <si>
    <t xml:space="preserve">https://drive.google.com/drive/folders/1_0Kl-P35DZGIbHBC83AwIPsOE2MJCRSV		</t>
  </si>
  <si>
    <t>David Wallerstein, Tencent, C</t>
  </si>
  <si>
    <t>CNS News</t>
  </si>
  <si>
    <t>https://www.youtube.com/watch?v=-OtAu9190HE</t>
  </si>
  <si>
    <t>Vinod Khosla</t>
  </si>
  <si>
    <t>CNBC</t>
  </si>
  <si>
    <t>https://www.cnbc.com/2018/06/22/game-of-thrones-nikolaj-coster-waldau-talks-about-his-humanitarian-work-including-lions-share-fund.html</t>
  </si>
  <si>
    <t>Licensing fee required</t>
  </si>
  <si>
    <t>Sri Shivasram, PayPal</t>
  </si>
  <si>
    <t>https://www.youtube.com/watch?v=s20uxPAQ-Jk&amp;amp=&amp;t=1s</t>
  </si>
  <si>
    <t>00:00:03:11 - 00:00:13:21</t>
  </si>
  <si>
    <t>Paris Hilton</t>
  </si>
  <si>
    <t>One News PH</t>
  </si>
  <si>
    <t>https://www.youtube.com/watch?v=azanUYJQQaE</t>
  </si>
  <si>
    <t>Mashable Experimental</t>
  </si>
  <si>
    <t>https://www.youtube.com/watch?v=adCIIAENck0&amp;t=432s</t>
  </si>
  <si>
    <t>https://www.youtube.com/watch?v=fkNb1dedlkw</t>
  </si>
  <si>
    <t>MSNBC</t>
  </si>
  <si>
    <t>https://www.youtube.com/watch?v=N5O5DESGekE</t>
  </si>
  <si>
    <t>https://www.youtube.com/watch?v=V4H_37qbx1E</t>
  </si>
  <si>
    <t>00:07:08:00 - 00:07:12:08, 00:07:03:06 - 00:07:12:09</t>
  </si>
  <si>
    <t>Google</t>
  </si>
  <si>
    <t>https://www.youtube.com/watch?v=fp3L7Sy9Sp0</t>
  </si>
  <si>
    <t>00:00:19:12 - 00:00:25:11</t>
  </si>
  <si>
    <t>ONLINE FORM</t>
  </si>
  <si>
    <t>https://www.youtube.com/watch?v=jCd93ZWVXAE</t>
  </si>
  <si>
    <t>Arctic imagination</t>
  </si>
  <si>
    <t>https://www.youtube.com/watch?v=HwgvlzBb6II</t>
  </si>
  <si>
    <t>Udenrigsministeriet</t>
  </si>
  <si>
    <t>https://www.youtube.com/watch?v=dyuLfmT49XE</t>
  </si>
  <si>
    <t>00:00:21:33 - 00:00:27:20</t>
  </si>
  <si>
    <t>Mars</t>
  </si>
  <si>
    <t>https://www.youtube.com/watch?v=r0pPKs9zdNY</t>
  </si>
  <si>
    <t>00:00:40:03 - 00:00:41:18</t>
  </si>
  <si>
    <t>Rejected</t>
  </si>
  <si>
    <t>Shaq O'Neal</t>
  </si>
  <si>
    <t>NBA</t>
  </si>
  <si>
    <t>https://www.youtube.com/watch?v=M9PAMJiuOao</t>
  </si>
  <si>
    <t>00:46:03-00:46:18, 
00:04:19-00:06:19, 
00:34:09-00:35:13, 
04:14:03-04:15:14, 
03:44:09-03:45:23, 
00:47:03-00:48:04, 
02:41:16-02:42:05, 
00:26:07-00:27:05, 
03:18:21-03:20:18</t>
  </si>
  <si>
    <t xml:space="preserve">https://drive.google.com/drive/folders/1TGFXywM4C_3PYioHAB1WhbXES996SrB8                </t>
  </si>
  <si>
    <t>NY Nick</t>
  </si>
  <si>
    <t>https://www.youtube.com/watch?v=SKMDrVeAhNg</t>
  </si>
  <si>
    <t>00:02:02-00:03:02, 01:39:23-00:03:27:20, 02:49:01-02:50:05, 00:34:06-00:35:09, 04:14:03, 00:04:13-00:05:12, 01:04:14-01:06:12, 03:44:19-03:45:23, 01:24:17-01:25:20, 01:55:13-01:56:11, 01:36:06-01:37:02, 00:32:22-00:33:18, 00:38:05-00:38:21, 00:47:03-00:48:04, 01:41:23-01:42:13, 00:59:11-01:00:06, 02:41:16-02:42:05, 00:26:07-00:27:05, 03:18:21-03:20:18</t>
  </si>
  <si>
    <t>Un-reachable</t>
  </si>
  <si>
    <t>https://www.youtube.com/watch?v=zBOGapw8SCA</t>
  </si>
  <si>
    <t xml:space="preserve">00:00:00-00:00:20, 
04:05:00-04:05:20, </t>
  </si>
  <si>
    <t>https://www.youtube.com/watch?v=eF4Y1cy_Suw</t>
  </si>
  <si>
    <t>03:54:18-03:58:17</t>
  </si>
  <si>
    <t>Graham Bensinger/GB Entertainment</t>
  </si>
  <si>
    <t>https://www.youtube.com/watch?v=RCEdz_poAAM</t>
  </si>
  <si>
    <t>04:33:16-04:39:03</t>
  </si>
  <si>
    <t>IN TALKS</t>
  </si>
  <si>
    <t>https://www.youtube.com/watch?v=tOi5Y11MFT8</t>
  </si>
  <si>
    <t>https://www.youtube.com/watch?v=RlfFeYp4zm0</t>
  </si>
  <si>
    <t>Wall Street Journal</t>
  </si>
  <si>
    <t>https://www.youtube.com/watch?v=w9eiTmNLvRk</t>
  </si>
  <si>
    <t>00:08:11-00:14:02, 
03:14:13-03:16:01</t>
  </si>
  <si>
    <t>https://www.youtube.com/watch?v=li7E48NmPwA</t>
  </si>
  <si>
    <t>JC Penny</t>
  </si>
  <si>
    <t>https://www.youtube.com/watch?v=PsYo1hoAQvE</t>
  </si>
  <si>
    <t>00:02:03-00:03:21</t>
  </si>
  <si>
    <t>https://www.youtube.com/watch?v=AIKeln-xbfk</t>
  </si>
  <si>
    <t>02:54:18-02:55:07</t>
  </si>
  <si>
    <t>https://www.youtube.com/watch?v=8S36xS-jFSM</t>
  </si>
  <si>
    <t>00:09:07-00:09:21</t>
  </si>
  <si>
    <t>Marc Raibert</t>
  </si>
  <si>
    <t>TED</t>
  </si>
  <si>
    <t>https://www.youtube.com/watch?v=AO4In7d6X-c</t>
  </si>
  <si>
    <t>00:00:45:10-00:00:47:21, 
00:00:50:22-00:00:54:00, 
00:04:53:08-00:04:59:09, 
00:13:57:18-00:14:06:18</t>
  </si>
  <si>
    <t>https://drive.google.com/drive/folders/1nA_p0-fF5Gv-ZrGQcuwkPimcXpLMIpXS</t>
  </si>
  <si>
    <t>https://www.youtube.com/watch?v=RbYGahuY45k</t>
  </si>
  <si>
    <t>00:00:53:24-00:00:56:03</t>
  </si>
  <si>
    <t>Amazon News</t>
  </si>
  <si>
    <t>https://www.youtube.com/watch?v=xy_XrAxS3ro</t>
  </si>
  <si>
    <t>00:00:04:13-00:00:12:13</t>
  </si>
  <si>
    <t>Conde Nast/WIRED</t>
  </si>
  <si>
    <t>https://www.youtube.com/watch?v=hMtABzjslXA</t>
  </si>
  <si>
    <t>00:00:35:14-00:00:39:11</t>
  </si>
  <si>
    <t>Licensing fee of $3000</t>
  </si>
  <si>
    <t>Boston Dynamics</t>
  </si>
  <si>
    <t>https://www.youtube.com/watch?v=_sBBaNYex3E</t>
  </si>
  <si>
    <t>00:00:18:06-00:00:20:15</t>
  </si>
  <si>
    <t>1. Leave our company name, “Boston Dynamics” visible in the lower right corner of the screen as burned into the videos
2. Not edit the videos, except for in length as you've noted</t>
  </si>
  <si>
    <t>Requesting from Speakers</t>
  </si>
  <si>
    <t>https://www.youtube.com/watch?v=wlkCQXHEgjA</t>
  </si>
  <si>
    <t>00:00:12:03-00:00:14:15, 
00:00:41:05-00:00:43:23, 
00:00:52:00-00:00:55:19</t>
  </si>
  <si>
    <t>TechCrunch</t>
  </si>
  <si>
    <t>https://www.youtube.com/watch?v=tAhxi8WldCU</t>
  </si>
  <si>
    <t>https://www.youtube.com/watch?v=fUyU3lKzoio</t>
  </si>
  <si>
    <t>00:00:05:20-00:00:09:01, 
00:00:36:06-00:00:39:13</t>
  </si>
  <si>
    <t>https://www.youtube.com/watch?v=wE3fmFTtP9g</t>
  </si>
  <si>
    <t>00:00:11:13-00:00:17:18, 
00:01:00:01-00:01:02:20</t>
  </si>
  <si>
    <t>https://www.youtube.com/watch?v=LikxFZZO2sk</t>
  </si>
  <si>
    <t>00:00:05:03-00:00:08:16</t>
  </si>
  <si>
    <t>https://www.youtube.com/watch?v=OnWolLQSZic</t>
  </si>
  <si>
    <t>00:00:18:09-00:00:20:12</t>
  </si>
  <si>
    <t>David Eun</t>
  </si>
  <si>
    <t>Samsung</t>
  </si>
  <si>
    <t>https://www.youtube.com/watch?v=WkIOaS3HFQo</t>
  </si>
  <si>
    <t>00:00:16:14-00:00:19:17, 
00:00:39:05-00:00:41:24</t>
  </si>
  <si>
    <t>Christopher Wylie</t>
  </si>
  <si>
    <t>Sony Pictures Entertainment</t>
  </si>
  <si>
    <t>https://www.youtube.com/watch?v=lB95KLmpLR4</t>
  </si>
  <si>
    <t>00:15:00 - 00:45:00</t>
  </si>
  <si>
    <t>https://drive.google.com/drive/folders/1PxhHutyrhx-ZunpHMhffKAWe8_GnMn4L</t>
  </si>
  <si>
    <t>The Biggy Smith</t>
  </si>
  <si>
    <t>https://www.youtube.com/watch?v=kqUR3KtWbTk</t>
  </si>
  <si>
    <t>00:02:00 - 00:12:00</t>
  </si>
  <si>
    <t>No Copyright Motion Graphics</t>
  </si>
  <si>
    <t>https://www.youtube.com/watch?v=CjBoK8f47EI</t>
  </si>
  <si>
    <t>Christoper Wylie, H&amp;M</t>
  </si>
  <si>
    <t>Owner</t>
  </si>
  <si>
    <t>00:01:00 - 00:08:00</t>
  </si>
  <si>
    <t>Tanuri X</t>
  </si>
  <si>
    <t>https://www.youtube.com/watch?v=3hqRsIix5CQ</t>
  </si>
  <si>
    <t>00:01:00 - 00:10:00</t>
  </si>
  <si>
    <t>Creative Commons Footage</t>
  </si>
  <si>
    <t>https://www.youtube.com/watch?v=zg4LOcvdawI</t>
  </si>
  <si>
    <t>Christopher Wylie is a whistleblower who has drawn our attention to the notion of brand social responsibility: why is he considered a whistleblower, and importance of Transparency</t>
  </si>
  <si>
    <t>00:01:00 - 00:07:00</t>
  </si>
  <si>
    <t xml:space="preserve">Free for use channel </t>
  </si>
  <si>
    <t xml:space="preserve">Links </t>
  </si>
  <si>
    <t>Time</t>
  </si>
  <si>
    <t>Quote</t>
  </si>
  <si>
    <t>Cool Motion</t>
  </si>
  <si>
    <t>https://www.youtube.com/watch?v=RR2EI8EEOOw</t>
  </si>
  <si>
    <t>https://www.youtube.com/watch?v=mpbeOCKZFfQ</t>
  </si>
  <si>
    <t>From beginning</t>
  </si>
  <si>
    <t>00:10:00 - 02:30:00</t>
  </si>
  <si>
    <t>In the battle for power, democracy has a new frontline. Elections around the world are being fought less and less on doorsteps and hustings and more and more on screens and social media'</t>
  </si>
  <si>
    <t xml:space="preserve">$29 to buy the video - in discussion </t>
  </si>
  <si>
    <t>https://www.youtube.com/watch?v=zb6-xz-geH4</t>
  </si>
  <si>
    <t>Free Stock Footgae 4k</t>
  </si>
  <si>
    <t>https://www.youtube.com/watch?v=RzkZ_YElryQ</t>
  </si>
  <si>
    <t>I played a pivitol role in setting in setting up a company that I think has done a lot of harm to the democratic process.'</t>
  </si>
  <si>
    <t>00:15:00 - 00:23:00</t>
  </si>
  <si>
    <t>https://vimeo.com/261098685</t>
  </si>
  <si>
    <t>The New York Times</t>
  </si>
  <si>
    <t>https://www.youtube.com/watch?v=mrnXv-g4yKU</t>
  </si>
  <si>
    <t>00:54 sec</t>
  </si>
  <si>
    <t>you are playing with the psychology of an entire nation in the context of the democratic process'</t>
  </si>
  <si>
    <t>00:10:00 - 00:16:00, 
00:48:00 - 00:51:00</t>
  </si>
  <si>
    <t>Licencing fee $750 per clip</t>
  </si>
  <si>
    <t>Cambridge Analytica</t>
  </si>
  <si>
    <t>https://www.youtube.com/watch?v=zjvy9fFQsEw</t>
  </si>
  <si>
    <t>It's no good fighting an election campaign on the facts, because actually it's all about emotion.'</t>
  </si>
  <si>
    <t>00:00:00 - 00:03:00</t>
  </si>
  <si>
    <t>It is a full service propogand a machine'</t>
  </si>
  <si>
    <t>Undercover footage 1:40</t>
  </si>
  <si>
    <t>we just put informaiton into the bloodstream of the internet and then we watch it grow'</t>
  </si>
  <si>
    <t>https://www.youtube.com/watch?v=7Jjc_7BWq84</t>
  </si>
  <si>
    <t>David Fischer</t>
  </si>
  <si>
    <t>The Drum</t>
  </si>
  <si>
    <t>https://www.youtube.com/watch?v=MyKWGeoK-E0</t>
  </si>
  <si>
    <t>your face and your claims have been splashed all over the world, you have been attacked, your accredability has been attacked'</t>
  </si>
  <si>
    <t>technology is not a niche issue, Technology affects everybody and that we need to take it seriously, because as society evolves with technology, this is only goiong to grow and further integrate with our lives'</t>
  </si>
  <si>
    <t>https://www.youtube.com/watch?v=o_MzwDO0FB8</t>
  </si>
  <si>
    <t>Surely, us as a profession, people who work in tech, we are touching people's lives so intimatelt that we should have rules to make sure that we at least give due consideraton to the impact of the things that we build, otherwise we're playing with fire and people get hurt'</t>
  </si>
  <si>
    <t>IAB - Interactive Advertising Bureau</t>
  </si>
  <si>
    <t>B-roll</t>
  </si>
  <si>
    <t>https://www.youtube.com/watch?v=DkY9p09XwuE</t>
  </si>
  <si>
    <t>00:00:58:22-00:01:07:13, 
00:02:24:23-00:02:29:00</t>
  </si>
  <si>
    <t>https://www.youtube.com/watch?v=PCpDi57x4uc</t>
  </si>
  <si>
    <t>https://www.youtube.com/watch?v=-F-cHLMkrXM</t>
  </si>
  <si>
    <t>Wylie before congress</t>
  </si>
  <si>
    <t>00:00:06:21-00:00:10:07, 
00:00:44:15-00:00:48:23, 
00:03:26:21-00:03:30:20</t>
  </si>
  <si>
    <t>https://www.youtube.com/watch?v=CkonLJ2bUQk</t>
  </si>
  <si>
    <t>Brexit footage</t>
  </si>
  <si>
    <t>https://www.youtube.com/watch?v=zKk9to7Zcdg</t>
  </si>
  <si>
    <t>https://www.youtube.com/watch?v=Qsvy10D5rtc</t>
  </si>
  <si>
    <t>Trump supporters</t>
  </si>
  <si>
    <t>00:00:00:22-00:00:06:08, 
00:00:14:05-00:00:18:19, 
00:02:11:08-00:02:13:06, 
00:03:31:15-00:03:33:12</t>
  </si>
  <si>
    <t>https://www.youtube.com/watch?v=X5g6IJm7YJQ&amp;t=3594s</t>
  </si>
  <si>
    <t>Newsy</t>
  </si>
  <si>
    <t>Wylie before MPs</t>
  </si>
  <si>
    <t>https://www.youtube.com/watch?v=hh-BuTqy7bQ</t>
  </si>
  <si>
    <t>https://www.youtube.com/watch?v=8KFQx-mc2Ao</t>
  </si>
  <si>
    <t xml:space="preserve">Zuckerberg testifying </t>
  </si>
  <si>
    <t>00:01:44:07-00:01:49:23, 
00:01:15:16-00:01:17:18</t>
  </si>
  <si>
    <t>https://www.youtube.com/watch?v=cUNX3azkZyk</t>
  </si>
  <si>
    <t>https://drive.google.com/drive/folders/1Lr35dhop6AeYVadrP9fDEPT6x4gFTYOY</t>
  </si>
  <si>
    <t>00:01:52:00-00:01:56:04, 00:02:02:05-00:02:04:04</t>
  </si>
  <si>
    <t xml:space="preserve">Introducing the concept of 'Smart Neighbourhoods' which leads into issues around data, how it can be achieved and what it means for the future. </t>
  </si>
  <si>
    <t>Cheddar</t>
  </si>
  <si>
    <t>https://www.facebook.com/cheddar/videos/2009446092709452</t>
  </si>
  <si>
    <t>https://www.youtube.com/watch?v=oEyBjYNgaMY</t>
  </si>
  <si>
    <t>From beginning to 10 seconds</t>
  </si>
  <si>
    <t>00:01:21:13-00:01:23:18, 
00:00:25:11-00:00:28:18, 
00:01:38:12-00:01:41:05</t>
  </si>
  <si>
    <t>News anchor introducing the concept of Smart Neighbourhood</t>
  </si>
  <si>
    <t>https://www.youtube.com/watch?v=3vbOyLnJSjI</t>
  </si>
  <si>
    <t>Pixabay</t>
  </si>
  <si>
    <t>https://pixabay.com/videos/seoul-traffic-cars-city-speed-21118/</t>
  </si>
  <si>
    <t>48 seconds in describes the new development in Toronto</t>
  </si>
  <si>
    <t>reporter: 'They want to build it from the Internet up. They want wifi everywhere, cameras, data collection, tracking every move, heated sidewalks...'</t>
  </si>
  <si>
    <t>00:00:00:00-00:00:03:02</t>
  </si>
  <si>
    <t>Commentator 'this is a testing ground, this is an experiment'</t>
  </si>
  <si>
    <t>https://www.youtube.com/watch?v=4Kf9fH3myyI</t>
  </si>
  <si>
    <t>https://pixabay.com/videos/social-media-smart-phone-mobile-1360/</t>
  </si>
  <si>
    <t>2:17 Dan elaboratin gon the 'testing ground'</t>
  </si>
  <si>
    <t>That would be a labratory for urban innovation across all of these different dimensions'</t>
  </si>
  <si>
    <t>00:00:01:18-00:00:03:17</t>
  </si>
  <si>
    <t>https://www.youtube.com/watch?v=3ILCiSVDfng</t>
  </si>
  <si>
    <t>06:55:00 Dan asks the questions about how they'll create the city</t>
  </si>
  <si>
    <t>Dan 'can you find a way to make housing more affordable?'</t>
  </si>
  <si>
    <t>Facebook App</t>
  </si>
  <si>
    <t>https://www.youtube.com/watch?v=Tbds365RQvE</t>
  </si>
  <si>
    <t>00:00:26:14-00:00:31:19, 
00:00:54:06-00:00:56:16</t>
  </si>
  <si>
    <t>17:51 talking about how the data will be used</t>
  </si>
  <si>
    <t>Dan 'public data is a public asset'</t>
  </si>
  <si>
    <t>https://pixabay.com/videos/finance-numbers-calculate-maths-5438/</t>
  </si>
  <si>
    <t>2:55 Dan talking about the goals for the future</t>
  </si>
  <si>
    <t>00:00:01:00-00:00:02:13</t>
  </si>
  <si>
    <t>leverage techonolgy and innovation to fundamentally improve quality of life across every single dimension'</t>
  </si>
  <si>
    <t>https://www.youtube.com/watch?v=iIJGQdCCSKo</t>
  </si>
  <si>
    <t>Videezy</t>
  </si>
  <si>
    <t>https://www.videezy.com/technology/249-free-facebook-url-address-stock-video-in-hd</t>
  </si>
  <si>
    <t>B-roll animation of the smart city being developed</t>
  </si>
  <si>
    <t>https://www.youtube.com/watch?v=2_Ttk6nw0T0</t>
  </si>
  <si>
    <t>00:00-10:00</t>
  </si>
  <si>
    <t xml:space="preserve">BY </t>
  </si>
  <si>
    <t>More illustrations of the development</t>
  </si>
  <si>
    <t>https://www.videezy.com/technology/5903-free-4k-scrolling-on-social-media-stock-video</t>
  </si>
  <si>
    <t>https://drive.google.com/drive/folders/1zEW4zdA89elIK9IP0bXYb5C7hU4_5Ckr</t>
  </si>
  <si>
    <t>00:00:49:10-00:00:51:18</t>
  </si>
  <si>
    <t>Dan Doctoroff</t>
  </si>
  <si>
    <t>Adapting and innovating amid uncertainty</t>
  </si>
  <si>
    <t>https://www.youtube.com/watch?v=b0R7Y-mzsR4</t>
  </si>
  <si>
    <t>Samsung:History of Innovation</t>
  </si>
  <si>
    <t>https://www.youtube.com/watch?v=EYt8vHzLyz8</t>
  </si>
  <si>
    <t>“At Samsung, you can’t be afraid of failing. Sometimes you’ll win, sometimes you’ll lose but there’s always more challenges you have to solve and you have to be will to get up and just push every day”</t>
  </si>
  <si>
    <t>"At Samsung, innovation is at the heart of everything that we do and with that comes changes but it's well worth it every time"</t>
  </si>
  <si>
    <t>https://www.youtube.com/watch?v=9NVbC9P0ldw</t>
  </si>
  <si>
    <t>"A lot of people are talking about automation and the assumption is that it's scary or theres a lot of downside but in every part of our history where we've had technalogical innovation there's also been an actual displacemt, sometimes it's of previous technology, sometimes it's people who have worked on that technology"</t>
  </si>
  <si>
    <t xml:space="preserve">"We're going to see applications of AI in fields that we didn't think possible. Fields where human creativity was really driving it but the kind of outputs will be startling. We're beginning to see that now" </t>
  </si>
  <si>
    <t>https://www.youtube.com/watch?v=TgQEA1vQx8Y</t>
  </si>
  <si>
    <t>0.01-0.23</t>
  </si>
  <si>
    <t>https://www.youtube.com/watch?v=zTP_ZORVIa4</t>
  </si>
  <si>
    <t>"Innovation can be found everywhere</t>
  </si>
  <si>
    <t>“The evolution of technology will continue. There will be ups and downs.</t>
  </si>
  <si>
    <t>https://www.youtube.com/watch?v=fYguMITGsb0</t>
  </si>
  <si>
    <t xml:space="preserve">Johanna Faries </t>
  </si>
  <si>
    <t>WTD Productions</t>
  </si>
  <si>
    <t>“In the future, a lot more data will be needed.Streaming health information, with 5G networks, you will need more computing power all around you. It will be embedded everywhere you go”</t>
  </si>
  <si>
    <t>https://www.youtube.com/watch?v=o7W7OvETO40</t>
  </si>
  <si>
    <t>https://www.youtube.com/watch?v=zTP_ZORVIa4&amp;t=637s</t>
  </si>
  <si>
    <t xml:space="preserve">02:38 - 02:40, 
02:28 - 02:29, 
03:05 - 03:06, 
05:05 - 05:06,
15:36 - 15:37,  
16:08 - 16:09,  </t>
  </si>
  <si>
    <t>Cannot tell where source footage is from</t>
  </si>
  <si>
    <t>Scarramuci and Brittany Kaiser</t>
  </si>
  <si>
    <t>LeBreton</t>
  </si>
  <si>
    <t>https://drive.google.com/drive/folders/1GHbZtW9LTeYEuTVNSDNlEXc8FB_3z-On</t>
  </si>
  <si>
    <t>https://www.youtube.com/watch?v=kE7D7qFayVg</t>
  </si>
  <si>
    <t>08:36 - 08:37, 
09:35 - 09:36</t>
  </si>
  <si>
    <t>No direction set yet</t>
  </si>
  <si>
    <t>Johanna Faries</t>
  </si>
  <si>
    <t>Brittany Kaiser</t>
  </si>
  <si>
    <t>EA SPORTS</t>
  </si>
  <si>
    <t>https://www.youtube.com/watch?v=Js04hvdVUA8</t>
  </si>
  <si>
    <t xml:space="preserve">00:17 - 00:18, 
00:27 - 00:28, </t>
  </si>
  <si>
    <t>https://www.youtube.com/watch?v=J2tMMb4rh1c</t>
  </si>
  <si>
    <t>TIme</t>
  </si>
  <si>
    <t>Quote:</t>
  </si>
  <si>
    <t>00:27 - 00:28</t>
  </si>
  <si>
    <t>https://www.youtube.com/watch?v=_4sLMwdpF9U</t>
  </si>
  <si>
    <t>“Every political campaign wants to get inside your head. The more they know about you, the more they can influence you.'</t>
  </si>
  <si>
    <t>Call of Duty</t>
  </si>
  <si>
    <t>https://www.youtube.com/watch?v=bH1lHCirCGI</t>
  </si>
  <si>
    <t>BREXIT clip:</t>
  </si>
  <si>
    <t>01:22 - 01:24</t>
  </si>
  <si>
    <t>https://www.youtube.com/watch?v=zu3wZ-_IKrM</t>
  </si>
  <si>
    <t xml:space="preserve">00:40 - 00:42, 
00:46 - 00:47, 
00:54 - 00:55, </t>
  </si>
  <si>
    <t>iRacing</t>
  </si>
  <si>
    <t>https://www.youtube.com/watch?v=ecfJGNauAwY</t>
  </si>
  <si>
    <t>https://www.youtube.com/watch?v=LIgmfpHBiDw-</t>
  </si>
  <si>
    <t>00:10 - 00:11</t>
  </si>
  <si>
    <t>3.53-</t>
  </si>
  <si>
    <t>Global News Toronto</t>
  </si>
  <si>
    <t>“I know you’re going to miss us, I know you want to ban our national flags but we’re gonna wave you goodbye”</t>
  </si>
  <si>
    <t>https://www.youtube.com/watch?v=FR_VCGmKalM</t>
  </si>
  <si>
    <t>https://www.youtube.com/watch?v=gK6Z5X7D3Fo</t>
  </si>
  <si>
    <t>00:00 - 00:04</t>
  </si>
  <si>
    <t>0.01-0.48</t>
  </si>
  <si>
    <t>“The people have beaten the establishment”</t>
  </si>
  <si>
    <t>https://www.youtube.com/watch?v=jwClyd2lHWo</t>
  </si>
  <si>
    <t>Trump Election</t>
  </si>
  <si>
    <t>01:04 - 01:05, 
02:53 - 02:54</t>
  </si>
  <si>
    <t>https://www.youtube.com/watch?v=nbj5KHypsLE</t>
  </si>
  <si>
    <t>ART GRID</t>
  </si>
  <si>
    <t>https://www.youtube.com/watch?v=sYc7mRdFbSk</t>
  </si>
  <si>
    <t>0.24-</t>
  </si>
  <si>
    <t>They said he couldn’t do it, they said he wasn’t qualified, even the polls seemed to give him no chance. But early this morning,..”</t>
  </si>
  <si>
    <t>https://www.youtube.com/watch?v=ZsHGDVC6Jw4</t>
  </si>
  <si>
    <t xml:space="preserve">00:00 - 00:10, 
</t>
  </si>
  <si>
    <t>MUST PURCHASE MONTHLY LISCENCE</t>
  </si>
  <si>
    <t>0.01-0.16</t>
  </si>
  <si>
    <t>News announcement: Presidential election 2020. Will social media influence it again?</t>
  </si>
  <si>
    <t>Introduction to Brittany Kaiser</t>
  </si>
  <si>
    <t>https://www.youtube.com/watch?v=krY8DW3V2NU</t>
  </si>
  <si>
    <t>Neo</t>
  </si>
  <si>
    <t xml:space="preserve">
01:01 - 01:04, 
</t>
  </si>
  <si>
    <t>MUST ADD CORNER TEXT 
"YouTube: Neo"</t>
  </si>
  <si>
    <t>0.10-</t>
  </si>
  <si>
    <t>"There's a much wider story that I think needs to be told about how people can protect themselves and their own data"</t>
  </si>
  <si>
    <t>RESPONDED</t>
  </si>
  <si>
    <t>"My name is Brittany Kaiser and I had been the director of business development for Cambridge Analytica for the past few years..."</t>
  </si>
  <si>
    <t>Planet Labs</t>
  </si>
  <si>
    <t>2.25-</t>
  </si>
  <si>
    <t>Do you know anything about Cambridge Analyticas involvement in the Trump Campaign?</t>
  </si>
  <si>
    <t>BK: “Yes, I do know about Cambridge Analyticas involvement in the Trump Campaign”</t>
  </si>
  <si>
    <t>The Great Hack</t>
  </si>
  <si>
    <t xml:space="preserve">
01:35 - 01:37</t>
  </si>
  <si>
    <t>https://www.youtube.com/watch?v=iX8GxLP1FHo</t>
  </si>
  <si>
    <t>https://www.youtube.com/watch?v=xpIs8Y9vgSs</t>
  </si>
  <si>
    <t>0.55-1.13</t>
  </si>
  <si>
    <t>“Brittany Kaiser, once a key player inside Cambridge Analytica, casting herself as a whistle blower"</t>
  </si>
  <si>
    <t>Own Your Data</t>
  </si>
  <si>
    <t>01:59 - 02:00, 
02:12 - 02:13</t>
  </si>
  <si>
    <t>https://twitter.com/CBSNews/status/1187063907376140289</t>
  </si>
  <si>
    <t>https://drive.google.com/open?id=1w83zIEDcfr7buZH-ReUWRG9nT_jFg0N9</t>
  </si>
  <si>
    <t>0.50-</t>
  </si>
  <si>
    <t>“They can use that information to manipulate you.”</t>
  </si>
  <si>
    <t>https://www.youtube.com/watch?v=D6FvWxaus0M</t>
  </si>
  <si>
    <t>57.12-57.50</t>
  </si>
  <si>
    <t>https://www.youtube.com/watch?v=fP05z9volqM</t>
  </si>
  <si>
    <t>“We have a population that is incredibly digitally illiterate. We do not understand what our data rights are or how to protect them. We don’t understand basic cyber security protocols and how to keep our data private if we wanted it that way. We don’t understand media literacy, you know how to spot disinformation or fake news. Kids don’t know how to understand cyberbullying and how to stop it. We don’t know how to be ethical to each other online, especially when we’re anonymous”</t>
  </si>
  <si>
    <t>https://www.youtube.com/watch?v=5AjUUXnU03M</t>
  </si>
  <si>
    <t>00:00 - 00:05</t>
  </si>
  <si>
    <t>“you would click “agree”, you would “opt in” and so yes of course, they would get access to your data but somehow this tool also allowed them to scrap the data of all of your friends. Everybody in your network, your mom, your grandmother, your kids, and that’s where the problem really began.</t>
  </si>
  <si>
    <t>https://www.youtube.com/watch?v=6Z3s2iA9Cn8</t>
  </si>
  <si>
    <t>CNA</t>
  </si>
  <si>
    <t>https://www.youtube.com/watch?v=BcNePdXT5Xo</t>
  </si>
  <si>
    <t>“Nobody tells us how much is collected about us. America is the only developed country that has a by default opt-in structure where everybody's data can be collected unless you opt out and most people don’t even know there is an opt out”</t>
  </si>
  <si>
    <t>“Our legal system says it’s informed consent because you’ve ticked a box”</t>
  </si>
  <si>
    <t>https://www.youtube.com/watch?v=2sdWykpKSE4</t>
  </si>
  <si>
    <t>00:00 - 00:07</t>
  </si>
  <si>
    <t>“ I want everyone to know that everybodys vulnerable to be persuaded, everybody can be targeted”</t>
  </si>
  <si>
    <t>https://www.youtube.com/watch?v=7MsmYleQMlg</t>
  </si>
  <si>
    <t>KTNV Channel 13 Las Vegas</t>
  </si>
  <si>
    <t>https://www.youtube.com/watch?v=6syVFkqkO38</t>
  </si>
  <si>
    <t>“If you are interacting with anything on your phone or on your computer, it is specifically designed to collect as much data about you as possible”</t>
  </si>
  <si>
    <t>https://www.youtube.com/watch?v=xYjDvx6PgyI&amp;t=20s</t>
  </si>
  <si>
    <t>“I’m sorry to break it to everybody, but if you were on Facebook before April 2015, you’re never getting your privacy back. That data has been copied and proliferated around the world so many times without any due diligence, without any tracking or traceability on a technology level...”</t>
  </si>
  <si>
    <t>https://www.youtube.com/watch?v=hecptCIksuU</t>
  </si>
  <si>
    <t>Sky News</t>
  </si>
  <si>
    <t>https://www.youtube.com/watch?v=Rrbj2lHf70M</t>
  </si>
  <si>
    <t>"We don't have enough change in order for voters to be protected..2020 election"</t>
  </si>
  <si>
    <t>Anthony Scaramucci</t>
  </si>
  <si>
    <t>00:00 - 00:06</t>
  </si>
  <si>
    <t>Hired as communications director  at White House</t>
  </si>
  <si>
    <t>High Impact</t>
  </si>
  <si>
    <t>https://www.youtube.com/watch?v=78jLBNSqc3g</t>
  </si>
  <si>
    <t>https://www.youtube.com/watch?v=IexBX1Xh9Ig</t>
  </si>
  <si>
    <t>01:38 - 01:43</t>
  </si>
  <si>
    <t>Introduction as “The new white house Communications director, Anthony Scaramucci”</t>
  </si>
  <si>
    <t xml:space="preserve">BBC News
</t>
  </si>
  <si>
    <t>https://www.youtube.com/watch?v=_69sOxWU0jo</t>
  </si>
  <si>
    <t>Fired as communications director at White House</t>
  </si>
  <si>
    <t>00:25 - 00:28</t>
  </si>
  <si>
    <t>https://www.youtube.com/watch?v=w--cec0503c</t>
  </si>
  <si>
    <t>0.01-0.20</t>
  </si>
  <si>
    <t>Web Summit</t>
  </si>
  <si>
    <t>https://www.youtube.com/watch?v=rqk_8-CB5m0</t>
  </si>
  <si>
    <t>https://www.youtube.com/watch?v=g5IKFS3oTVE</t>
  </si>
  <si>
    <t>02:20 - 02:26, 
02:55 - 03:05</t>
  </si>
  <si>
    <t>0.10-0.26</t>
  </si>
  <si>
    <t>“news just in, anthony Scaramucci has been fired..”</t>
  </si>
  <si>
    <t>https://www.youtube.com/watch?v=UkCkFK_H5Ms</t>
  </si>
  <si>
    <t>https://www.youtube.com/watch?v=_UNKr7ot5J8</t>
  </si>
  <si>
    <t>“The president just started his morning by tweeting “There's no chaos in my white house” and here we are yet again, another chaotic day in the Donald Trump administration”</t>
  </si>
  <si>
    <t>05:30 - 05:33</t>
  </si>
  <si>
    <t>https://www.youtube.com/watch?v=pwRH_XWSG90</t>
  </si>
  <si>
    <t>https://www.youtube.com/watch?v=9XrE41Wu3U0</t>
  </si>
  <si>
    <t>Scaramucci has been in this role for just a little over a week and it's been quite a wild ride in just that short period of time"</t>
  </si>
  <si>
    <t>https://www.youtube.com/watch?v=i5hdCJwcG1g</t>
  </si>
  <si>
    <t xml:space="preserve">00:00 - 00:02, 
00:13 - 00:15, 
00:18 - 00:20, 
01:17 - 01:19, 
08:42 - 08:44, 
21:50 - 21:56 </t>
  </si>
  <si>
    <t>Donald Trump- reelection campaign 2020 announcement</t>
  </si>
  <si>
    <t>Scaramucci Vs Trump</t>
  </si>
  <si>
    <t xml:space="preserve">Riot Games </t>
  </si>
  <si>
    <t>https://www.youtube.com/watch?v=qv5iv5yzyLk</t>
  </si>
  <si>
    <t>https://twitter.com/Channel4News/status/1220798153982664714</t>
  </si>
  <si>
    <t>01:17 - 01:20</t>
  </si>
  <si>
    <t>0.02-0.10</t>
  </si>
  <si>
    <t>“If you look through patches of history, when you have full blown demagoguery and you have full blown bullying from someone like this from someone in power, people get frightened, they get scared”</t>
  </si>
  <si>
    <t>https://twitter.com/CNN/status/1191546517976432641</t>
  </si>
  <si>
    <t>"He broken the law systematically and is using the forces of his communications skills and his manipulation to discredit people like you and me,"</t>
  </si>
  <si>
    <t>https://twitter.com/thehill/status/1191737027290681347</t>
  </si>
  <si>
    <t>Brad Smith</t>
  </si>
  <si>
    <t>https://www.youtube.com/watch?v=DTgbljjd2bA</t>
  </si>
  <si>
    <t>0.54-</t>
  </si>
  <si>
    <t>The repetitive lying is out of control. The level of illegality is completely out of control.</t>
  </si>
  <si>
    <t>https://www.youtube.com/watch?v=cpXh9mwvgcE</t>
  </si>
  <si>
    <t>https://drive.google.com/drive/u/2/folders/1ttW8a-1O40iPdiwc5lzDNpUCPxb5510r</t>
  </si>
  <si>
    <t>My 11 days in the White House</t>
  </si>
  <si>
    <t>Shaquille O'Neal</t>
  </si>
  <si>
    <t>https://drive.google.com/drive/folders/1TGFXywM4C_3PYioHAB1WhbXES996SrB8</t>
  </si>
  <si>
    <t>Bloomberg</t>
  </si>
  <si>
    <t>https://www.youtube.com/watch?v=h_7cAmC4nTw</t>
  </si>
  <si>
    <t>00:23:18:17-00:23:28:09,</t>
  </si>
  <si>
    <t>How to Academy</t>
  </si>
  <si>
    <t>https://www.youtube.com/watch?v=wzVoToSe9A0</t>
  </si>
  <si>
    <t>https://www.youtube.com/watch?v=sHYY9RVRJF0</t>
  </si>
  <si>
    <t xml:space="preserve">00:02:36:03-00:02:39:07, 
00:02:45:24-00:02:50:19, </t>
  </si>
  <si>
    <t>The Daily Show with Trevor Noah</t>
  </si>
  <si>
    <t>https://www.youtube.com/watch?v=NVFcbo6h_vE</t>
  </si>
  <si>
    <t>00:00:38:16-00:00:42:14</t>
  </si>
  <si>
    <t>Microsoft</t>
  </si>
  <si>
    <t>https://www.youtube.com/watch?v=cW4L7EaR0a4</t>
  </si>
  <si>
    <t>00:00:25:07-00:00:29:08, 
00:18:04:19-00:18:19:11</t>
  </si>
  <si>
    <t>Carnegie Europe</t>
  </si>
  <si>
    <t>https://www.youtube.com/watch?v=EMnHIHx_oqs</t>
  </si>
  <si>
    <t>https://drive.google.com/drive/folders/1_0Kl-P35DZGIbHBC83AwIPsOE2MJCRSV</t>
  </si>
  <si>
    <t>ColdFusion</t>
  </si>
  <si>
    <t>https://www.youtube.com/watch?v=jyxS2bvQGxc</t>
  </si>
  <si>
    <t>00:00:29:03-00:00:33:05,
 00:03:00:07-00:03:06:15, 
00:02:51:13-00:02:56:24, 
00:00:30:00-00:00:41:00</t>
  </si>
  <si>
    <t>https://www.youtube.com/watch?v=7OaXU_xFkhw</t>
  </si>
  <si>
    <t>00:00:29:24-00:00:35:12</t>
  </si>
  <si>
    <t>PBS News Hour</t>
  </si>
  <si>
    <t>https://www.youtube.com/watch?v=k-jGs5kyuXo</t>
  </si>
  <si>
    <t>https://www.youtube.com/watch?v=Nr5WmsXJAm0</t>
  </si>
  <si>
    <t>00:00:18:15-00:00:20:10</t>
  </si>
  <si>
    <t>https://www.youtube.com/watch?v=o3IQ1JrXnV8</t>
  </si>
  <si>
    <t>00:00:57:13-00:00:59:20</t>
  </si>
  <si>
    <t>https://www.youtube.com/watch?v=hMk7wnybXLM</t>
  </si>
  <si>
    <t>00:00:05:19-00:00:09:04</t>
  </si>
  <si>
    <t>https://www.youtube.com/watch?v=3mf58BsFvzI</t>
  </si>
  <si>
    <t>00:00:00:00-00:00:04:14,</t>
  </si>
  <si>
    <t>https://www.youtube.com/watch?v=eqFqtAJMtYE</t>
  </si>
  <si>
    <t>00:00:38:20-00:00:56:21, 
00:01:02:10-00:01:07:11, 
00:01:13:09-00:01:23:11</t>
  </si>
  <si>
    <t>https://pixabay.com/videos/glitch-code-programming-hacker-27706/</t>
  </si>
  <si>
    <t>00:00:00:00-00:00:09:23</t>
  </si>
  <si>
    <t>https://www.youtube.com/watch?v=NhFeIew8bU8</t>
  </si>
  <si>
    <t>David Wallerstein</t>
  </si>
  <si>
    <t>https://www.youtube.com/watch?v=m5yFhJFqw5w</t>
  </si>
  <si>
    <t>00:00:46:04-00:01:03:14, 
00:03:27:16-00:03:36:24</t>
  </si>
  <si>
    <t>https://drive.google.com/drive/u/2/folders/1_aU8Vfq5Tu6JtUrlT95rC2oxdT8RZO1I</t>
  </si>
  <si>
    <t>Y Combinator</t>
  </si>
  <si>
    <t>https://www.youtube.com/watch?v=s3kqRU9XVZY&amp;t=67s</t>
  </si>
  <si>
    <t xml:space="preserve">Leana Wen and Dorry Segev </t>
  </si>
  <si>
    <t>https://drive.google.com/drive/folders/1DL9SHVPSqGd6k3W_egx8pJgx3A-L3gT_</t>
  </si>
  <si>
    <t>Digital Festival</t>
  </si>
  <si>
    <t>https://www.youtube.com/watch?v=_VPi_PIVs5U</t>
  </si>
  <si>
    <t>Coronavirus</t>
  </si>
  <si>
    <t>00:06:01:12-00:06:05:06, 
00:14:33:00-00:14:42:08, 
00:16:13:13-00:16:15:17</t>
  </si>
  <si>
    <t>https://www.youtube.com/watch?v=Zl0V-OhZYk4</t>
  </si>
  <si>
    <t>https://www.youtube.com/watch?v=h8Ql0tXWlu8</t>
  </si>
  <si>
    <t>Hundereds dead, thousands infected over multiple continents, millions quarantined with whole cities in lockdown'</t>
  </si>
  <si>
    <t>https://www.youtube.com/watch?v=6Af6b_wyiwI</t>
  </si>
  <si>
    <t>00:05:22:07-00:05:27:09</t>
  </si>
  <si>
    <t>Today the greatest risk of global catastrophe doesn't look like this. Instead, it looks like this.</t>
  </si>
  <si>
    <t>https://www.youtube.com/watch?v=Huju5McKgIU</t>
  </si>
  <si>
    <t>We're not ready for the next epidemic'</t>
  </si>
  <si>
    <t>https://www.youtube.com/watch?v=OhxoVNKXlSw</t>
  </si>
  <si>
    <t>https://www.youtube.com/watch?v=9uwuMSUn4Os</t>
  </si>
  <si>
    <t>Around the world, aireline fleets are grounded, public transport reduced, and traffic has all but disappeared from roads'</t>
  </si>
  <si>
    <t>https://www.youtube.com/watch?v=4cx-F45oOnM</t>
  </si>
  <si>
    <t>Gameranx</t>
  </si>
  <si>
    <t>https://www.youtube.com/watch?v=mnM3YLcIJLg</t>
  </si>
  <si>
    <t>footage of empty plane</t>
  </si>
  <si>
    <t>https://www.youtube.com/watch?v=3AZBLfh6vwo</t>
  </si>
  <si>
    <t>footage of empty supermarket shelves</t>
  </si>
  <si>
    <t>Tiedekulma</t>
  </si>
  <si>
    <t>https://www.youtube.com/watch?v=9x6Fqgu5y0Y</t>
  </si>
  <si>
    <t>https://www.youtube.com/watch?v=2gWPIqrCQ3I</t>
  </si>
  <si>
    <t>footage of clapping for frontline staff</t>
  </si>
  <si>
    <t>Tencent WE Summit</t>
  </si>
  <si>
    <t>https://www.youtube.com/watch?v=UFpI87eWcfo</t>
  </si>
  <si>
    <t>footage of empty cities</t>
  </si>
  <si>
    <t>https://www.youtube.com/watch?v=ltvrbUOuQzE</t>
  </si>
  <si>
    <t>00:00:45:05-00:00:50:10, 
00:16:05:05-00:16:09:06, 
00:16:38:20-00:17:06:16</t>
  </si>
  <si>
    <t>Footage of Americans who are protesting social distancing</t>
  </si>
  <si>
    <t>https://pixabay.com/videos/keyboard-hands-writing-computer-1046/</t>
  </si>
  <si>
    <t>https://www.youtube.com/watch?v=kIL5m5XznNY</t>
  </si>
  <si>
    <t>animations of the virus</t>
  </si>
  <si>
    <t>https://pixabay.com/videos/welcome-hologram-business-woman-24829/</t>
  </si>
  <si>
    <t>00:00:01:20-00:00:08:05</t>
  </si>
  <si>
    <t xml:space="preserve">Margaret Atwood </t>
  </si>
  <si>
    <t>https://pixabay.com/videos/milky-way-sky-starry-sky-night-10339/</t>
  </si>
  <si>
    <t>00:00:01:06-00:00:13:22</t>
  </si>
  <si>
    <t>https://pixabay.com/videos/nebula-star-constellation-cosmos-25168/</t>
  </si>
  <si>
    <t>https://pixabay.com/videos/rocket-launch-cape-caneveral-nasa-228/</t>
  </si>
  <si>
    <t>https://www.youtube.com/watch?v=fmI_Ndrxy14</t>
  </si>
  <si>
    <t>00:00:18:12-00:00:24:24</t>
  </si>
  <si>
    <t>Universal Music</t>
  </si>
  <si>
    <r>
      <rPr>
        <u/>
      </rPr>
      <t>https://www.youtube.com/watch?v=K1JMjwJG2UM</t>
    </r>
    <r>
      <t xml:space="preserve"> </t>
    </r>
  </si>
  <si>
    <t>https://drive.google.com/drive/folders/1nV-KLdwJ_5pPa4m5NGGuNu9sw7Cancyc</t>
  </si>
  <si>
    <t>Paris Hilton YT channel</t>
  </si>
  <si>
    <t>https://www.youtube.com/watch?v=49sgSZDn76A</t>
  </si>
  <si>
    <t>https://www.youtube.com/watch?v=Yk7LRdqwrm8</t>
  </si>
  <si>
    <t>https://www.youtube.com/watch?v=j3OS6Hp4f9s</t>
  </si>
  <si>
    <t>https://www.youtube.com/watch?v=KqXjM2ZnObc</t>
  </si>
  <si>
    <t>00:00:07- 00:00:08, 
00:00:16 - 00:00:18</t>
  </si>
  <si>
    <t>https://www.youtube.com/watch?v=0tZhOF2kgDw</t>
  </si>
  <si>
    <t>https://www.youtube.com/watch?v=pA7ibu2J4Ws</t>
  </si>
  <si>
    <t>00:00:05 - 00:00:07</t>
  </si>
  <si>
    <t>https://www.youtube.com/watch?v=3qE9D2Vkg8g</t>
  </si>
  <si>
    <t>00:00:00 - 00:00:03, 
00:00:08 - 00:00:10, 
00:00:11 - 00:00:14</t>
  </si>
  <si>
    <t>Female First</t>
  </si>
  <si>
    <t>https://youtu.be/HA2PFGyCoes</t>
  </si>
  <si>
    <t>Shay Mitchell</t>
  </si>
  <si>
    <t>https://www.youtube.com/watch?v=x8G-yD3_jTM</t>
  </si>
  <si>
    <t>00:00:17 - 00:00:20</t>
  </si>
  <si>
    <t>Women's Wear Daily</t>
  </si>
  <si>
    <t>https://youtu.be/5_qFZwKDfTA</t>
  </si>
  <si>
    <t>00:00:03 - 00:00:10 (Audio only), 00:00:14 - 00:00:16</t>
  </si>
  <si>
    <t>https://www.youtube.com/watch?v=qzEqtt2f3-A</t>
  </si>
  <si>
    <t>00:00:10 - 00:00:16 (Audio only)</t>
  </si>
  <si>
    <t>Paris' Instagram</t>
  </si>
  <si>
    <t>https://www.instagram.com/p/B_x12VRpf_c/</t>
  </si>
  <si>
    <t>00:00:20 - 00:00:25</t>
  </si>
  <si>
    <t>https://www.instagram.com/p/B_xnmilJ13d/</t>
  </si>
  <si>
    <t>00:00:20 - 00:00:23 (Audio only)</t>
  </si>
  <si>
    <t>Neal Mohan</t>
  </si>
  <si>
    <t>FT</t>
  </si>
  <si>
    <t>https://www.youtube.com/watch?v=DUJwyzW4HNI</t>
  </si>
  <si>
    <t xml:space="preserve">00:00:00:00 - 00:00:07:10, 
00:00:13:12 - 00:00:24:29, 
00:01:38:18 - 00:01:54:06, </t>
  </si>
  <si>
    <t>https://drive.google.com/drive/folders/1Xru5oOJDAbPffqoosyzVQjUdV7ITxAVu</t>
  </si>
  <si>
    <t>Cyberwise</t>
  </si>
  <si>
    <t>https://www.youtube.com/watch?v=V4o0B6IDo50</t>
  </si>
  <si>
    <t xml:space="preserve">00:00:07:21 - 00:00:11:12, 
00:00:28:14 - 00:00:36:07, 
00:01:23:15 - 00:01:45:28, 
00:02:15:27 - 00:02:18:28, </t>
  </si>
  <si>
    <t>https://www.youtube.com/watch?v=irHP3znqwq8</t>
  </si>
  <si>
    <t xml:space="preserve">00:00:11:12 - 00:00:16:00, </t>
  </si>
  <si>
    <t>https://www.youtube.com/watch?v=4Aa05KW4Q9g</t>
  </si>
  <si>
    <t>00:00:00:00 - 00:00:13:25,</t>
  </si>
  <si>
    <t>https://www.youtube.com/watch?v=Is2uwdNpX50</t>
  </si>
  <si>
    <t>00:00:00:00 - 00:00:29:17, 
00:00:37:00 - 00:00:51:21,</t>
  </si>
  <si>
    <t>https://www.youtube.com/watch?v=0xiza_x_IeY&amp;t=746s</t>
  </si>
  <si>
    <t>00:12:00:22 - 00:12:11:10, 
00:17:09:29 - 00:17:37:16,</t>
  </si>
  <si>
    <t>Greg Peters</t>
  </si>
  <si>
    <t>https://www.youtube.com/watch?v=bq1ykBxKPLU</t>
  </si>
  <si>
    <t>00:02 - 00:06</t>
  </si>
  <si>
    <t>https://drive.google.com/drive/folders/1g5oBmAjukuO_z19RGixB3T4zEfFksI1e</t>
  </si>
  <si>
    <t>https://www.facebook.com/WebSummitHQ/videos/greg-peters-chief-product-officer-at-netflix-live-at-web-summit/295193107992534/</t>
  </si>
  <si>
    <t>N/a</t>
  </si>
  <si>
    <t>NDTV</t>
  </si>
  <si>
    <t>https://www.youtube.com/watch?v=xW9wAPT96A8</t>
  </si>
  <si>
    <t>CNN</t>
  </si>
  <si>
    <t>https://edition.cnn.com/2020/04/08/media/netflix-tiger-king-ratings/index.html</t>
  </si>
  <si>
    <t>1:28 - 1:35</t>
  </si>
  <si>
    <t>Netflix</t>
  </si>
  <si>
    <t>https://www.youtube.com/watch?time_continue=122&amp;v=acTdxsoa428&amp;feature=emb_title</t>
  </si>
  <si>
    <t>https://www.youtube.com/watch?v=XcnHOQ-cHa0</t>
  </si>
  <si>
    <t>https://www.youtube.com/watch?v=sjzFnEDbDo4</t>
  </si>
  <si>
    <t xml:space="preserve">2:17 - 2:21, 
5:11 - 5:13, 
6:49 - 6:50, 
6:55 - 6:58, 
7:05 - 7:08, 
7:23 -7:25, 
7:31 -7:35, </t>
  </si>
  <si>
    <t>Netflix possibly own the Netflix footage?</t>
  </si>
  <si>
    <t>https://www.youtube.com/watch?v=vY0qzXi5oJg</t>
  </si>
  <si>
    <t>https://edition.cnn.com/videos/media/2018/12/23/netflix-is-growing-but-so-is-the-box-office-rs.cnn</t>
  </si>
  <si>
    <t>00:00 - 00:02, 
4:42 - 4:47</t>
  </si>
  <si>
    <t>https://www.youtube.com/watch?v=Gu-yvYuACcM</t>
  </si>
  <si>
    <t>https://www.youtube.com/watch?v=Xb7N3wu-_jA</t>
  </si>
  <si>
    <t xml:space="preserve">0:26 - 0:27, 
2:54 - 2:59, </t>
  </si>
  <si>
    <t>https://www.youtube.com/watch?v=9hFn-dwWC9s</t>
  </si>
  <si>
    <t>https://www.youtube.com/watch?v=D6lT6olaqh0</t>
  </si>
  <si>
    <t>0:32 - 0:49</t>
  </si>
  <si>
    <t>https://www.youtube.com/watch?v=7V6FFeZdFz4</t>
  </si>
  <si>
    <t>0:02 - 0:05</t>
  </si>
  <si>
    <t>Fox Business</t>
  </si>
  <si>
    <t>https://www.youtube.com/watch?v=KeQFTe6WpHs</t>
  </si>
  <si>
    <t>0:20 - 0:26</t>
  </si>
  <si>
    <t>https://www.youtube.com/watch?v=YpIGejJiaBo</t>
  </si>
  <si>
    <t>0:00 - 0:03</t>
  </si>
  <si>
    <t>https://www.youtube.com/watch?v=GFvV7fTmd5c</t>
  </si>
  <si>
    <t>https://www.youtube.com/watch?v=GRRj9UjFI0U</t>
  </si>
  <si>
    <t>https://www.youtube.com/watch?v=PAwREs7snJk</t>
  </si>
  <si>
    <t>0:00 - 0:12, 
1:30 - 1:34, 
1:55 - 1:58, 
2:01 - 2:03, 
2:42 - 2:44</t>
  </si>
  <si>
    <t>Melissa Selcher</t>
  </si>
  <si>
    <t>LinkedIn</t>
  </si>
  <si>
    <t>https://www.youtube.com/watch?time_continue=1&amp;v=D7XBpyRufvo</t>
  </si>
  <si>
    <t>00:05-00:14
00:26-00:30
00:45-00:49</t>
  </si>
  <si>
    <t>https://www.youtube.com/watch?v=fteVQytWO-U</t>
  </si>
  <si>
    <t>00:16-00:18
00:23-00:26
00:30-00:32</t>
  </si>
  <si>
    <t>https://www.youtube.com/watch?v=oKDvbqI8vYs</t>
  </si>
  <si>
    <t xml:space="preserve">00:02-00:04
00:06-00:07
00:31-00:33
00:35-00:42
</t>
  </si>
  <si>
    <t>https://www.youtube.com/watch?v=UbE8DnquiAE&amp;feature=emb_logo</t>
  </si>
  <si>
    <t>04:46-04:50
04:51-04:54
05:26-05:30
07:48-07:55</t>
  </si>
  <si>
    <t>Marriott International Facebook</t>
  </si>
  <si>
    <t>https://www.facebook.com/marriottinternational/videos/a-message-from-arne-sorenson/623249921859006/</t>
  </si>
  <si>
    <t>03:22-03:26</t>
  </si>
  <si>
    <t xml:space="preserve">kristine Belson </t>
  </si>
  <si>
    <t>Sony Pictures Animation</t>
  </si>
  <si>
    <t>https://www.youtube.com/watch?v=N-BcOPnpH8Y</t>
  </si>
  <si>
    <t>00:00:00:00 -00:00:06:12, 
00:02:22:01- 00:02:26:05</t>
  </si>
  <si>
    <t>https://drive.google.com/drive/u/3/folders/11YqZ6uhr_qoxn9NkdB5SAhkOEZ8P0yj9</t>
  </si>
  <si>
    <t xml:space="preserve">Kristine Belson </t>
  </si>
  <si>
    <t>Variety</t>
  </si>
  <si>
    <t>https://www.youtube.com/watch?v=KaOIL74Eb8o</t>
  </si>
  <si>
    <t>00:00:00:00 -00:00:12:22</t>
  </si>
  <si>
    <t>grace</t>
  </si>
  <si>
    <t>BuzzFeed Bring Me</t>
  </si>
  <si>
    <t>https://www.youtube.com/watch?v=pZiv83s1J-M&amp;t=60s</t>
  </si>
  <si>
    <t>00:00:40:13 - 00:00:46:21</t>
  </si>
  <si>
    <t>ksby news</t>
  </si>
  <si>
    <t>https://www.youtube.com/watch?v=0l35FGR_n9k</t>
  </si>
  <si>
    <t>00:00:06:13 - 00:00:09:29</t>
  </si>
  <si>
    <t xml:space="preserve">annecy festivel </t>
  </si>
  <si>
    <t>https://www.youtube.com/watch?v=Y-0RMhD05_0&amp;t=1s</t>
  </si>
  <si>
    <t>00:00:35:23 - 00:00:44:05,
 00:02:25:18 - 00:02:48:22</t>
  </si>
  <si>
    <t>https://www.youtube.com/watch?v=q-pQjATBXjE&amp;list=PLIx2W_gDlNxcETSQKknUZXJi_ZU9fCF7r&amp;index=17&amp;t=0s</t>
  </si>
  <si>
    <t>00:02:52:08- 00:02:55:15</t>
  </si>
  <si>
    <t xml:space="preserve">grace </t>
  </si>
  <si>
    <t>LFA Les Femmes s'Animent</t>
  </si>
  <si>
    <t>https://www.youtube.com/watch?v=sWfE1q0Xrr0&amp;t=2477s</t>
  </si>
  <si>
    <t>00:31:40:19-00:31:45:11</t>
  </si>
  <si>
    <t>wochit news</t>
  </si>
  <si>
    <t>https://www.youtube.com/watch?v=-mqWXUfmDbI</t>
  </si>
  <si>
    <t>00:00:04:00 - 00:00:05:27</t>
  </si>
  <si>
    <t>https://variety.com/2019/film/features/sony-pictures-animation-kristine-belson-1203143201/</t>
  </si>
  <si>
    <t>https://www.youtube.com/watch?v=3ahvWdORJ20&amp;list=PLIx2W_gDlNxcETSQKknUZXJi_ZU9fCF7r&amp;index=19&amp;t=0s</t>
  </si>
  <si>
    <t>00:02:52:10 - 00:03:01:19,
 00:00:42:04 -00:00:48:11,
 00:00:51:14 - 00:00:53:18</t>
  </si>
  <si>
    <t>https://www.youtube.com/watch?v=BeOvKjWgIvg&amp;list=PLIx2W_gDlNxcETSQKknUZXJi_ZU9fCF7r&amp;index=6&amp;t=0s</t>
  </si>
  <si>
    <t>00:00:30:04 - 00:07:37:21</t>
  </si>
  <si>
    <t>https://www.youtube.com/watch?v=yRe7rCtKMzw</t>
  </si>
  <si>
    <t>https://drive.google.com/drive/folders/1l5_szMUkUdhIv6NaIjg1rfR_tTuZFxrr</t>
  </si>
  <si>
    <t>CleverTV</t>
  </si>
  <si>
    <t>https://www.youtube.com/watch?v=PACo1W9A99g</t>
  </si>
  <si>
    <t>Shay's YT channel</t>
  </si>
  <si>
    <t>https://www.youtube.com/watch?v=M__ayZgBUTE</t>
  </si>
  <si>
    <t>00:10:23 - 0:14:13</t>
  </si>
  <si>
    <t>https://www.youtube.com/watch?v=pCtgMNnsD10</t>
  </si>
  <si>
    <t xml:space="preserve">00:14:16 - 00:17:23
00:23:03 - 00:33:12
</t>
  </si>
  <si>
    <t>https://youtu.be/62hVw6mGl-8</t>
  </si>
  <si>
    <t>https://youtu.be/iR7MZRv3aKw</t>
  </si>
  <si>
    <t>00:00:17 - 00:06:21
00:17:23 - 00:23:03</t>
  </si>
  <si>
    <t>Shay's company's YT channel</t>
  </si>
  <si>
    <t>https://www.youtube.com/watch?v=SAK0Xm_F8Mk</t>
  </si>
  <si>
    <t>https://www.youtube.com/watch?v=rmd9OaI1L0I</t>
  </si>
  <si>
    <t>00:06:19 - 00:08:03</t>
  </si>
  <si>
    <t>Ashley Graham YT channel</t>
  </si>
  <si>
    <t>https://www.youtube.com/watch?v=YrJ192FahEg</t>
  </si>
  <si>
    <t>Audio used throughout (40 second)
Video and audio used for 3 seconds</t>
  </si>
  <si>
    <t>Note: the vast majority of footage used is from Shay's or her company's YT channels</t>
  </si>
  <si>
    <t>Vinod Kholsa</t>
  </si>
  <si>
    <t>Slush</t>
  </si>
  <si>
    <t>https://www.youtube.com/watch?v=P9RYsyeri7A</t>
  </si>
  <si>
    <t xml:space="preserve">00:06:35:18 - 00:06:44:14, 
00:07:45:07 - 00:07:48:27, </t>
  </si>
  <si>
    <t>BeetTV</t>
  </si>
  <si>
    <t>https://www.youtube.com/watch?v=0RwsnsZHVbA</t>
  </si>
  <si>
    <t>Kholsa Ventures</t>
  </si>
  <si>
    <t>https://www.youtube.com/watch?v=STtAsDCKEck</t>
  </si>
  <si>
    <t xml:space="preserve">00:02:58:03 - 00:03:08:13, 00:04:22:08 - 00:04:44:07, </t>
  </si>
  <si>
    <t>Evan Carmichael</t>
  </si>
  <si>
    <t>https://www.youtube.com/watch?v=MsGgZp_PAzM</t>
  </si>
  <si>
    <t xml:space="preserve">00:00:03:15 - 00:00:15:06,  00:00:48:26 - 00:00:56:00, 00:03:06:23 - 00:03:13:03, 00:06:20:13 - 00:06:23:10, 00:19:36:09 - 00:19:40:27, 00:20:34:01 - 00:20:41:11, </t>
  </si>
  <si>
    <t>https://www.youtube.com/watch?v=QOczdBlT2v4</t>
  </si>
  <si>
    <t>https://drive.google.com/open?id=1-KJQDOeR53ongv49AtREb-StSMo5x3R6</t>
  </si>
  <si>
    <t>https://www.youtube.com/watch?v=fTgU7THoKCw</t>
  </si>
  <si>
    <t>https://www.youtube.com/watch?v=uJboXgDoE1Y</t>
  </si>
  <si>
    <t xml:space="preserve">00:00:00:00 - 00:00:13:02, 
00:00:18:20 - 00:00:22:00, 
00:30:05:06 - 00:30:21:08, 
00:31:12:04 - 00:31:21:21, </t>
  </si>
  <si>
    <t>Apple</t>
  </si>
  <si>
    <t xml:space="preserve">https://www.youtube.com/watch?v=VtvjbmoDx-I </t>
  </si>
  <si>
    <t>00:20 - 00:22, 
00:56 - 00:58</t>
  </si>
  <si>
    <t>Coca Cola</t>
  </si>
  <si>
    <t xml:space="preserve">https://www.youtube.com/watch?v=lTev1oQntx0 </t>
  </si>
  <si>
    <t>00:52 - 00:53</t>
  </si>
  <si>
    <t>NIKE</t>
  </si>
  <si>
    <t>https://www.youtube.com/watch?v=tgrkMYFtR6s</t>
  </si>
  <si>
    <t>01:49 - 01:50, 
01:59 - 02:00</t>
  </si>
  <si>
    <t>Guinness</t>
  </si>
  <si>
    <t xml:space="preserve">https://www.youtube.com/watch?v=mVudFaYSjq0 </t>
  </si>
  <si>
    <t>00:53 - 00:57</t>
  </si>
  <si>
    <t>Rutgers University, Jersey</t>
  </si>
  <si>
    <t xml:space="preserve">https://www.youtube.com/watch?v=zZ__0kbaVzc </t>
  </si>
  <si>
    <t>00:01 - 00:06</t>
  </si>
  <si>
    <t>Follow up sent</t>
  </si>
  <si>
    <t>Newsweek</t>
  </si>
  <si>
    <t>https://www.youtube.com/watch?v=XL6zNexyt8o</t>
  </si>
  <si>
    <t>00:04 - 00:06</t>
  </si>
  <si>
    <t>APPLE</t>
  </si>
  <si>
    <t xml:space="preserve">https://www.youtube.com/watch?v=MnrJzXM7a6o </t>
  </si>
  <si>
    <t>00:12 - 00:16</t>
  </si>
  <si>
    <t>McDonald's</t>
  </si>
  <si>
    <t xml:space="preserve">https://www.youtube.com/watch?v=yEBCV0ic6Tc </t>
  </si>
  <si>
    <t>00:54 - 00:57</t>
  </si>
  <si>
    <t>https://www.youtube.com/watch?v=4ezOfTp7S0c</t>
  </si>
  <si>
    <t>00:13 - 00:14</t>
  </si>
  <si>
    <t>Hummingbird Productions</t>
  </si>
  <si>
    <t xml:space="preserve">https://www.youtube.com/watch?v=wYX-N5zrBb4 </t>
  </si>
  <si>
    <t>00:26 - 00:29</t>
  </si>
  <si>
    <t>Snickers</t>
  </si>
  <si>
    <t xml:space="preserve">https://www.youtube.com/watch?v=X7NDMCuBfsc </t>
  </si>
  <si>
    <t>01:59 - 02:00</t>
  </si>
  <si>
    <t>Gatorade</t>
  </si>
  <si>
    <t xml:space="preserve">https://www.youtube.com/watch?v=qs2BRSWzrJE </t>
  </si>
  <si>
    <t xml:space="preserve">00:31 - 00:32 </t>
  </si>
  <si>
    <t>https://drive.google.com/open?id=1SfnQp6RW9PrphBnx3urjuFwUpKMO02Z1</t>
  </si>
  <si>
    <t>Jigglypuff</t>
  </si>
  <si>
    <t xml:space="preserve">https://www.youtube.com/watch?v=CeyJAL1iOuw </t>
  </si>
  <si>
    <t>00:02 - 00:04, 
01:27 - 01:28</t>
  </si>
  <si>
    <t>BMW</t>
  </si>
  <si>
    <t>https://www.youtube.com/watch?v=JNuaQrTubeI</t>
  </si>
  <si>
    <t>00:34 - 00:36</t>
  </si>
  <si>
    <t xml:space="preserve">https://www.youtube.com/watch?v=lx8VLL6HYuU </t>
  </si>
  <si>
    <t>01:01 - 01:04</t>
  </si>
  <si>
    <t>Equalman</t>
  </si>
  <si>
    <t xml:space="preserve">https://www.youtube.com/watch?v=jottDMuLesU </t>
  </si>
  <si>
    <t>00:31 - 00:33</t>
  </si>
  <si>
    <t>Social Media College</t>
  </si>
  <si>
    <t>https://www.youtube.com/watch?v=1qpcdywb6Hw</t>
  </si>
  <si>
    <t>00:19 - 00:21</t>
  </si>
  <si>
    <t xml:space="preserve">https://www.youtube.com/watch?v=LgF3xh76Hcg </t>
  </si>
  <si>
    <t>00:02 - 00:03</t>
  </si>
  <si>
    <t>Twitter Reactions</t>
  </si>
  <si>
    <t xml:space="preserve">https://www.youtube.com/watch?v=3pBHG366EhM </t>
  </si>
  <si>
    <t>00:00 - 00:35</t>
  </si>
  <si>
    <t>Global Stats</t>
  </si>
  <si>
    <t>https://www.youtube.com/watch?v=pPj-TT8K5vA</t>
  </si>
  <si>
    <t>02:35 - 06:18</t>
  </si>
  <si>
    <t>Devschooluea</t>
  </si>
  <si>
    <t xml:space="preserve">https://www.youtube.com/watch?v=Uppg_2nGo54 </t>
  </si>
  <si>
    <t>00:01 - 00:02</t>
  </si>
  <si>
    <t>Moremotion</t>
  </si>
  <si>
    <t xml:space="preserve">https://www.youtube.com/watch?v=HSqxlbf3Z7M&amp;list=RDXMZcjdK4Vuk&amp;start_radio=1 </t>
  </si>
  <si>
    <t>00:24 - 00:29</t>
  </si>
  <si>
    <t>WackyTv</t>
  </si>
  <si>
    <t>https://www.youtube.com/watch?v=sAt4DKjig6k</t>
  </si>
  <si>
    <t>00:04 - 00:08</t>
  </si>
  <si>
    <t>STORYFUL</t>
  </si>
  <si>
    <t xml:space="preserve">https://www.youtube.com/watch?v=jAlDMYyWPis </t>
  </si>
  <si>
    <t>03:19 - 03:21</t>
  </si>
  <si>
    <t xml:space="preserve">https://www.youtube.com/watch?v=SCrkZOx5Q1M </t>
  </si>
  <si>
    <t>00:02 - 00:03, 00:21 - 00:22, 00:33 - 00:35, 00:53 - 00:54</t>
  </si>
  <si>
    <t>https://www.youtube.com/watch?v=WyXzz6PQh-c</t>
  </si>
  <si>
    <t>02:09 - 02:14, 01:49 - 01:52</t>
  </si>
  <si>
    <t xml:space="preserve">https://www.youtube.com/watch?v=gbbEXnRG9d8 </t>
  </si>
  <si>
    <t xml:space="preserve">00:23 - 00:30, 00:33 - 00:38, </t>
  </si>
  <si>
    <t>Shared News</t>
  </si>
  <si>
    <t xml:space="preserve">https://www.youtube.com/watch?v=5JsidV4OvTM </t>
  </si>
  <si>
    <t>00:26 - 00:28</t>
  </si>
  <si>
    <t>DitchtheLabel</t>
  </si>
  <si>
    <t xml:space="preserve">https://www.youtube.com/watch?v=0EFHbruKEmw </t>
  </si>
  <si>
    <t>00:18 - 00:19, 01:42 - 01:47</t>
  </si>
  <si>
    <t>Cadbury</t>
  </si>
  <si>
    <t>https://www.youtube.com/watch?v=nOsdS5irjAo&amp;feature=emb_logo</t>
  </si>
  <si>
    <t>00:14 - 00:15</t>
  </si>
  <si>
    <t xml:space="preserve">https://www.youtube.com/watch?v=rLAvkbFugEI&amp;feature=emb_logo </t>
  </si>
  <si>
    <t>00:46 - 00:47</t>
  </si>
  <si>
    <t>Kellogs Ireland</t>
  </si>
  <si>
    <t xml:space="preserve">https://www.youtube.com/watch?v=BbPGx02ZWrw </t>
  </si>
  <si>
    <t>00:26 - 00:27</t>
  </si>
  <si>
    <t>JK MAIL MERGE TEST</t>
  </si>
  <si>
    <t>https://www.youtube.com/watch?v=rEGOihjqO9w</t>
  </si>
  <si>
    <t>00:00:02:12-00:00:03:10</t>
  </si>
  <si>
    <t>NO LINK</t>
  </si>
  <si>
    <t>Column A</t>
  </si>
  <si>
    <t>Column B</t>
  </si>
  <si>
    <t>Column C</t>
  </si>
  <si>
    <t>Column D</t>
  </si>
  <si>
    <t>Column E</t>
  </si>
  <si>
    <t>Column F</t>
  </si>
  <si>
    <t>Column G</t>
  </si>
  <si>
    <t>Column H</t>
  </si>
  <si>
    <t>Column I</t>
  </si>
  <si>
    <t>Column J</t>
  </si>
  <si>
    <t>Column K</t>
  </si>
  <si>
    <t>Column L</t>
  </si>
  <si>
    <t>Column M</t>
  </si>
  <si>
    <t>Column N</t>
  </si>
  <si>
    <t>Column O</t>
  </si>
  <si>
    <t>Column P</t>
  </si>
  <si>
    <t>Column Q</t>
  </si>
  <si>
    <t>Column R</t>
  </si>
  <si>
    <t>Mail Merge</t>
  </si>
  <si>
    <t>Column T</t>
  </si>
  <si>
    <t>Email</t>
  </si>
  <si>
    <t>Name</t>
  </si>
  <si>
    <t xml:space="preserve">Time code </t>
  </si>
  <si>
    <t>Seconds count</t>
  </si>
  <si>
    <t>Co-ord name</t>
  </si>
  <si>
    <t>Merge status</t>
  </si>
  <si>
    <t>Column AB</t>
  </si>
  <si>
    <t>Column AC</t>
  </si>
  <si>
    <t>MULTIPLE LINKS FOR ONE SOURCE TEMPLATE GENERATOR</t>
  </si>
  <si>
    <t>Column AD</t>
  </si>
  <si>
    <t>Column AE</t>
  </si>
  <si>
    <t>Column AF</t>
  </si>
  <si>
    <t>Column AG</t>
  </si>
  <si>
    <t>SOURCE BREAKDOWNS</t>
  </si>
  <si>
    <t>CONTACT DETAILS</t>
  </si>
  <si>
    <t>LINK PIVOT</t>
  </si>
  <si>
    <t>LIST</t>
  </si>
  <si>
    <t>amazon-pr@amazon.com</t>
  </si>
  <si>
    <t>Jennifer Keogh</t>
  </si>
  <si>
    <t>EMAIL_SENT</t>
  </si>
  <si>
    <t>Do not edit</t>
  </si>
  <si>
    <t>Add links</t>
  </si>
  <si>
    <t>Do not edit- Copy and paste text only below 
[cmd+shift+V]</t>
  </si>
  <si>
    <t>Grand Totals (12th May)</t>
  </si>
  <si>
    <t>Grand Totals (13th May)</t>
  </si>
  <si>
    <t>Co-Ord</t>
  </si>
  <si>
    <t>Direct source / Non direct source</t>
  </si>
  <si>
    <t>Contact Name OR Alternative source name</t>
  </si>
  <si>
    <t>Email / online form</t>
  </si>
  <si>
    <t xml:space="preserve">Contact Email </t>
  </si>
  <si>
    <t>CH1</t>
  </si>
  <si>
    <t>CH2</t>
  </si>
  <si>
    <t>CH3</t>
  </si>
  <si>
    <t>CH4</t>
  </si>
  <si>
    <t>CH5</t>
  </si>
  <si>
    <t>Peripheral</t>
  </si>
  <si>
    <t>Broadcast</t>
  </si>
  <si>
    <t>Total Assets ( Our Estimate)</t>
  </si>
  <si>
    <t>Total Assets (CH1-5 Import by timeslot)</t>
  </si>
  <si>
    <t>CH1-5 + Extras (periph, broadcast)</t>
  </si>
  <si>
    <t>Content</t>
  </si>
  <si>
    <t>Items delivered</t>
  </si>
  <si>
    <t>Amount</t>
  </si>
  <si>
    <t>Edited Teasers</t>
  </si>
  <si>
    <t>Premium talk</t>
  </si>
  <si>
    <t>Podcasts</t>
  </si>
  <si>
    <t>Past Talk</t>
  </si>
  <si>
    <t>Laundry Lists</t>
  </si>
  <si>
    <t>Standard talk</t>
  </si>
  <si>
    <t>Sting</t>
  </si>
  <si>
    <t>PITCH Final</t>
  </si>
  <si>
    <t>Ticket promo</t>
  </si>
  <si>
    <t>Waveforms</t>
  </si>
  <si>
    <t>PITCH Semis</t>
  </si>
  <si>
    <t>The above number are counting time slots that have a title, to show they're actual time slots. This will grow over time.</t>
  </si>
  <si>
    <t>Audio CTA</t>
  </si>
  <si>
    <t>Morning/Afternoon remarks</t>
  </si>
  <si>
    <t>Q&amp;A</t>
  </si>
  <si>
    <t>PITCH reel</t>
  </si>
  <si>
    <t>Startup Showcase</t>
  </si>
  <si>
    <t>Slides + 2 CAM</t>
  </si>
  <si>
    <t>Vox Pop</t>
  </si>
  <si>
    <t>Daily Highlights</t>
  </si>
  <si>
    <t>Surplus Count</t>
  </si>
  <si>
    <t>Slides + 4 CAM</t>
  </si>
  <si>
    <t>PITCH template</t>
  </si>
  <si>
    <t>40 Words template</t>
  </si>
  <si>
    <t>VOG template</t>
  </si>
  <si>
    <t>Original Podcast tmp</t>
  </si>
  <si>
    <t>Intro Video</t>
  </si>
  <si>
    <t>Lower thirds</t>
  </si>
  <si>
    <t>Promo notifs</t>
  </si>
  <si>
    <t>Ad prerolls</t>
  </si>
  <si>
    <t>Partner Adroll (2x 15sec)</t>
  </si>
  <si>
    <t>Web Summit Trailer - long</t>
  </si>
  <si>
    <t>Countdown screen</t>
  </si>
  <si>
    <t>Any</t>
  </si>
  <si>
    <t>00:30-01:00</t>
  </si>
  <si>
    <t>CH1 - Major teaser A</t>
  </si>
  <si>
    <t>CH1 - Major teaser B</t>
  </si>
  <si>
    <t>COUNTA of Speaker</t>
  </si>
  <si>
    <t>COUNTA of Link</t>
  </si>
  <si>
    <t>Direct source</t>
  </si>
  <si>
    <t>info@citia.org</t>
  </si>
  <si>
    <t xml:space="preserve">Laurence </t>
  </si>
  <si>
    <t>EMAIL_OPENED</t>
  </si>
  <si>
    <t>Link no</t>
  </si>
  <si>
    <t>Youtube link (Copy &amp; paste links)</t>
  </si>
  <si>
    <t>Text generator (filled in automatically when you add links to colum AC)</t>
  </si>
  <si>
    <t>Count of individual sources</t>
  </si>
  <si>
    <t>JK</t>
  </si>
  <si>
    <t>New source (Jenny only)</t>
  </si>
  <si>
    <t xml:space="preserve">Press email </t>
  </si>
  <si>
    <t>press@coca-cola.com</t>
  </si>
  <si>
    <t xml:space="preserve"> Total</t>
  </si>
  <si>
    <t>Non direct source</t>
  </si>
  <si>
    <t>pr@buzzfeed.com</t>
  </si>
  <si>
    <t>BuzzFeed</t>
  </si>
  <si>
    <t>Count of pieces of total content from sources</t>
  </si>
  <si>
    <t>ABC News</t>
  </si>
  <si>
    <t>DISNEY</t>
  </si>
  <si>
    <t>photo.request@disney.com
lisa.a.gagliardi@abc.com</t>
  </si>
  <si>
    <t>google.ads@vice.com</t>
  </si>
  <si>
    <t>Count of pieces of total content from non assigned sources(blank)</t>
  </si>
  <si>
    <t xml:space="preserve">  Total</t>
  </si>
  <si>
    <t>Free for Use</t>
  </si>
  <si>
    <t>info@cambridgeanalytica.org</t>
  </si>
  <si>
    <t>BOUNCED</t>
  </si>
  <si>
    <t>No Link</t>
  </si>
  <si>
    <t xml:space="preserve">Total content </t>
  </si>
  <si>
    <t>Irene.Thomaidis@cbc.ca</t>
  </si>
  <si>
    <t>COUNTUNIQUE of Source</t>
  </si>
  <si>
    <t>COUNTA of Source</t>
  </si>
  <si>
    <t>info@beet.tv</t>
  </si>
  <si>
    <t>Amazon News Total</t>
  </si>
  <si>
    <t>katherine.hogan@effem.com</t>
  </si>
  <si>
    <t>Katerine</t>
  </si>
  <si>
    <t>footage@bloomberg.net</t>
  </si>
  <si>
    <t>press@masterclass.com</t>
  </si>
  <si>
    <t>LINK FOR MEDIA INQUIRY</t>
  </si>
  <si>
    <t>annecy festivel  Total</t>
  </si>
  <si>
    <t>info@nationalcentreforwriting.org.uk</t>
  </si>
  <si>
    <t>Hi there,
Hope you're keeping well.
I work in Web Summit and we're currently producing some packages for our sister event Collision from Home.
This is a three-day event that will be live streamed on our website and social channels.
Our in-house video production team are creating intro videos that will be used to introduce a speaker on screen and we're hoping to clear the footage listed below:</t>
  </si>
  <si>
    <t>tips@techcrunch.com
advertise@techcrunch.com</t>
  </si>
  <si>
    <t>EMAIL_CLICKED</t>
  </si>
  <si>
    <t>New source</t>
  </si>
  <si>
    <t>press@comedycentral.co.uk</t>
  </si>
  <si>
    <t>APPLE Total</t>
  </si>
  <si>
    <t>nytlg-sales@nytimes.com
margaret.le@nytimes.com</t>
  </si>
  <si>
    <t>brussels@ceip.org</t>
  </si>
  <si>
    <t>The Tonight Show</t>
  </si>
  <si>
    <t>LeeAnn.Platner@nbcuni.com.</t>
  </si>
  <si>
    <t>NBC Universal</t>
  </si>
  <si>
    <t>^ Add "NO LINK" to empty cells</t>
  </si>
  <si>
    <t>Total seconds clearance required</t>
  </si>
  <si>
    <t>Universal Music Publishing group</t>
  </si>
  <si>
    <t>umpg.royalty@umusic.com</t>
  </si>
  <si>
    <t>Arctic imagination Total</t>
  </si>
  <si>
    <t>the view</t>
  </si>
  <si>
    <t>ABC TV</t>
  </si>
  <si>
    <t>Today.com</t>
  </si>
  <si>
    <t>ViacomCBS</t>
  </si>
  <si>
    <t>https://www.viacbs.com/contact-us</t>
  </si>
  <si>
    <t>Ashley Graham YT channel Total</t>
  </si>
  <si>
    <t>pressevagten@um.dk</t>
  </si>
  <si>
    <t>Minister of Foreign Affairs Denmark</t>
  </si>
  <si>
    <t>distro@cheddar.com</t>
  </si>
  <si>
    <t>Newsweek@theYGSgroup.com</t>
  </si>
  <si>
    <t>Licensing@cnbc.com
Distribution@cnbc.com</t>
  </si>
  <si>
    <t>info@sharedmediallc.com</t>
  </si>
  <si>
    <t>licensing@cnn.com</t>
  </si>
  <si>
    <t>BBC News
 Total</t>
  </si>
  <si>
    <t>daniele@socialmediacollege.com</t>
  </si>
  <si>
    <t>Daniele</t>
  </si>
  <si>
    <t>https://www.cnsnews.com/contact-us</t>
  </si>
  <si>
    <t>mantchiny@gmail.com</t>
  </si>
  <si>
    <t>dagogo@coldfusioncollective.com</t>
  </si>
  <si>
    <t>BeetTV Total</t>
  </si>
  <si>
    <t>desk@ktnv.com</t>
  </si>
  <si>
    <t>https://videohive.net/user/coolmotion?ref=CoolMotion&amp;irgwc=1&amp;clickid=X0nRFnR9UxyOUk3wUx0Mo3ERUki1QjUtn2qeUg0&amp;iradid=275988&amp;irpid=27795&amp;iradtype=ONLINE_TRACKING_LINK&amp;irmptype=mediapartner&amp;mp_value1=&amp;utm_campaign=af_impact_radius_27795&amp;utm_medium=affiliate&amp;utm_source=impact_radius</t>
  </si>
  <si>
    <t>Link 1: https://www.youtube.com/watch?v=h_7cAmC4nTw        
Seconds: 00:23:18:17-00:23:28:09 
Link 2: https://www.youtube.com/watch?v=uJboXgDoE1Y
Seconds: 
00:00:00:00 - 00:00:09:06, 
00:30:05:06 - 00:30:21:08, 
00:31:12:04 - 00:31:21:21</t>
  </si>
  <si>
    <t>Free for use</t>
  </si>
  <si>
    <t>ir@activision.com</t>
  </si>
  <si>
    <t>Link 1:
https://www.youtube.com/watch?v=bH1lHCirCGI
Seconds: 
01:22 - 01:24
Link 2:
https://www.youtube.com/watch?v=zu3wZ-_IKrM
Seconds:
00:40 - 00:42, 
00:46 - 00:47, 
00:54 - 00:55</t>
  </si>
  <si>
    <t>dgraber@cyberwise.org</t>
  </si>
  <si>
    <t>rrt@we-worldwide.com</t>
  </si>
  <si>
    <t>Link 1: https://www.youtube.com/watch?v=cW4L7EaR0a4
Seconds: 00:00:25:07-00:00:29:08, 
00:18:04:19-00:18:19:11
Link 2: https://www.youtube.com/watch?v=eqFqtAJMtYE
Seconds: 00:00:38:20-00:00:56:21, 
00:01:02:10-00:01:07:11, 
00:01:13:09-00:01:23:11
Link 2: https://www.youtube.com/watch?v=eqFqtAJMtYE
Seconds: 00:00:38:20-00:00:56:21, 
00:01:02:10-00:01:07:11, 
00:01:13:09-00:01:23:11
Link 3: https://www.youtube.com/watch?v=hMk7wnybXLM
Seconds: 00:00:05:19-00:00:09:04
Link 4: https://www.youtube.com/watch?v=Nr5WmsXJAm0
Seconds: 00:00:18:15-00:00:20:10
Link 5: https://www.youtube.com/watch?v=o3IQ1JrXnV8
Seconds: 00:00:57:13-00:00:59:20</t>
  </si>
  <si>
    <t>Arctic Imagination</t>
  </si>
  <si>
    <t>lbha@kb.dk</t>
  </si>
  <si>
    <t>ukpressoffice@mdlz.com</t>
  </si>
  <si>
    <t>welcome@digitalfestival.ch</t>
  </si>
  <si>
    <t>Bloomberg Total</t>
  </si>
  <si>
    <t>EH</t>
  </si>
  <si>
    <r>
      <t>GSB</t>
    </r>
    <r>
      <rPr>
        <color rgb="FF000000"/>
      </rPr>
      <t xml:space="preserve">
</t>
    </r>
    <r>
      <rPr>
        <color rgb="FF1155CC"/>
        <u/>
      </rPr>
      <t>https://www.iit-bayarea.org/contact-us</t>
    </r>
    <r>
      <t xml:space="preserve">
corperate valley
Carnigie Mellon University
</t>
    </r>
    <r>
      <rPr>
        <color rgb="FF1155CC"/>
        <u/>
      </rPr>
      <t>https://mitpress.mit.edu/contact-us/confirmation?token=2uQAMGDr1Dy2J4z3ZHFiCkh6VQKim6abxwBaWyHZGAc</t>
    </r>
  </si>
  <si>
    <t>gsbmediarelations@stanford.edu,
corporatevalley@gmail.com,
media-relations@andrew.cmu.edu,
ford@startupgrind.com</t>
  </si>
  <si>
    <t>content_licensing@condenast.com</t>
  </si>
  <si>
    <t>E! News</t>
  </si>
  <si>
    <t>appsupport@eentertainment.com</t>
  </si>
  <si>
    <t>BMW Total</t>
  </si>
  <si>
    <t>dory.devlin@rutgers.edu</t>
  </si>
  <si>
    <t>press@fb.com</t>
  </si>
  <si>
    <t>gatoradecommunications@gatorade.com</t>
  </si>
  <si>
    <t>lucy.walton@femalefirst.co.uk</t>
  </si>
  <si>
    <t>news@sky.com</t>
  </si>
  <si>
    <t>contactus@foxbusiness.com</t>
  </si>
  <si>
    <t>Vicki.mcgrath@diageo.com</t>
  </si>
  <si>
    <t>https://www.francemediasmonde.com/en/contact?brand=f24</t>
  </si>
  <si>
    <t>support.pressclub@bmwgroup.com</t>
  </si>
  <si>
    <t>press@us.mcd.com</t>
  </si>
  <si>
    <t>help@ft.com</t>
  </si>
  <si>
    <t>Lauren O'Mahony</t>
  </si>
  <si>
    <t>ERROR</t>
  </si>
  <si>
    <t>SENT TO SPEAKERS</t>
  </si>
  <si>
    <t>Boston Dynamics Total</t>
  </si>
  <si>
    <t>adudley@grahambensinger.com</t>
  </si>
  <si>
    <t>NO_RECIPIENT</t>
  </si>
  <si>
    <t>sam.algranti@howtoacademy.com</t>
  </si>
  <si>
    <t>BuzzFeed Bring Me Total</t>
  </si>
  <si>
    <t>marketing@iab.com</t>
  </si>
  <si>
    <t>jcpnews@jcp.com</t>
  </si>
  <si>
    <t>Cadbury Total</t>
  </si>
  <si>
    <t>ASK SPEAKERS</t>
  </si>
  <si>
    <t>Online Form Sent</t>
  </si>
  <si>
    <t>https://scripps.com/contact/</t>
  </si>
  <si>
    <t>Call of Duty Total</t>
  </si>
  <si>
    <t xml:space="preserve">Netflix </t>
  </si>
  <si>
    <t>lesfemmessaniment@gmail.com</t>
  </si>
  <si>
    <t>Cambridge Analytica Total</t>
  </si>
  <si>
    <t>https://media-requests.ted.com/</t>
  </si>
  <si>
    <t>AF</t>
  </si>
  <si>
    <t>Carnegie Europe Total</t>
  </si>
  <si>
    <t>licensing@mashable.com</t>
  </si>
  <si>
    <t>CBC News Total</t>
  </si>
  <si>
    <t>https://www.tencent.com/en-us/enquiry.html</t>
  </si>
  <si>
    <t xml:space="preserve">Tencent </t>
  </si>
  <si>
    <t>https://www.djreprints.com/content-images-request-quote/</t>
  </si>
  <si>
    <t>DJRE prints</t>
  </si>
  <si>
    <t>msnbctvinfo@nbcuni.com</t>
  </si>
  <si>
    <t>Link 1: https://www.youtube.com/watch?v=4ezOfTp7S0c 
Timecode: 00:13 - 00:14 
Link 2: https://www.youtube.com/watch?v=lTev1oQntx0 Timecode: 00:52 - 00:53</t>
  </si>
  <si>
    <t>CBS Total</t>
  </si>
  <si>
    <t xml:space="preserve">Link 1:
https://www.youtube.com/watch?v=zKk9to7Zcdg
Timecode:
00:00:00:22-00:00:06:08, 
00:00:14:05-00:00:18:19, 
00:02:11:08-00:02:13:06, 
00:03:31:15-00:03:33:12
Link 2:
https://www.youtube.com/watch?v=-F-cHLMkrXM
Timecode:
00:00:06:21-00:00:10:07, 
00:00:44:15-00:00:48:23, 
00:03:26:21-00:03:30:20
Link 3:
https://www.youtube.com/watch?v=cUNX3azkZyk
Timecode:
00:01:52:00-00:01:56:04, 00:02:02:05-00:02:04:04
Link 4:
https://www.youtube.com/watch?v=LgF3xh76Hcg 
Timecode:
00:02 - 00:03
Link 5:
Timecode:
00:00:46:04-00:01:03:14, 
00:03:27:16-00:03:36:24
Link 6:
https://www.youtube.com/watch?v=s20uxPAQ-Jk&amp;amp=&amp;t=1s
Timecode:
00:00:03:11 - 00:00:13:21
Link 7:
https://www.youtube.com/watch?v=xpIs8Y9vgSs
Timecode:
01:59 - 02:00, 
02:12 - 02:13
</t>
  </si>
  <si>
    <t>Joanna Shapiro</t>
  </si>
  <si>
    <t>jshapiro@nba.com</t>
  </si>
  <si>
    <t>press.office@bbc.co.uk</t>
  </si>
  <si>
    <t>Link 1:
https://www.youtube.com/watch?v=_69sOxWU0jo
Timecode:
00:25 - 00:28
Link 2:
https://www.youtube.com/watch?v=_UNKr7ot5J8
Timecode:
05:30 - 05:33</t>
  </si>
  <si>
    <t>NBC News</t>
  </si>
  <si>
    <t xml:space="preserve">nbcnewsarchives@nbcuni.com, </t>
  </si>
  <si>
    <t>Cheddar Total</t>
  </si>
  <si>
    <t xml:space="preserve">Link 1:
https://edition.cnn.com/2020/04/08/media/netflix-tiger-king-ratings/index.html
Timecode:
1:28 - 1:35
Link 2:
https://edition.cnn.com/videos/media/2018/12/23/netflix-is-growing-but-so-is-the-box-office-rs.cnn
Timecode:
00:00 - 00:02, 
4:42 - 4:47
Link 3:
https://www.youtube.com/watch?v=D6lT6olaqh0
Timecode:
0:32 - 0:49
Link 4:
https://www.youtube.com/watch?v=PAwREs7snJk
Timecode:
0:00 - 0:12, 
1:30 - 1:34, 
1:55 - 1:58, 
2:01 - 2:03, 
2:42 - 2:44
Link 5:
https://www.youtube.com/watch?v=Xb7N3wu-_jA
Timecode:
0:26 - 0:27, 
2:54 - 2:59, </t>
  </si>
  <si>
    <t>feedback@ndtv.com</t>
  </si>
  <si>
    <t>https://media.netflix.com/en/contact-us</t>
  </si>
  <si>
    <t>CleverTV Total</t>
  </si>
  <si>
    <t>FREE FOR USE</t>
  </si>
  <si>
    <t>https://docs.google.com/forms/d/e/1FAIpQLSd_SU0PqeJHv7eBSWtJWIG74-WT78ocm1u9CnIFJqw6RhUbLQ/viewform</t>
  </si>
  <si>
    <t>https://www.gettyimages.ie/customer-support</t>
  </si>
  <si>
    <t>Getty Images</t>
  </si>
  <si>
    <t>Not needed</t>
  </si>
  <si>
    <t>CNA Total</t>
  </si>
  <si>
    <t>No contact details available</t>
  </si>
  <si>
    <t>general@neo-youtube.com</t>
  </si>
  <si>
    <t>00:00 - 00:10, 
01:01 - 01:04, 
01:35 - 01:37</t>
  </si>
  <si>
    <t>Jennifer</t>
  </si>
  <si>
    <t>onenewsph@philstarmedia.com</t>
  </si>
  <si>
    <t>Kevin.Bobbitt@iRacing.com</t>
  </si>
  <si>
    <t>management@parishiltonentertainment.com</t>
  </si>
  <si>
    <t>hello@highimpact.com</t>
  </si>
  <si>
    <t>as above</t>
  </si>
  <si>
    <t>MarsMediaRelations@effem.com</t>
  </si>
  <si>
    <t>Templates</t>
  </si>
  <si>
    <t>Editors</t>
  </si>
  <si>
    <t>Tracks</t>
  </si>
  <si>
    <t>CFH Owner</t>
  </si>
  <si>
    <t>Yes/No</t>
  </si>
  <si>
    <t>Trailers</t>
  </si>
  <si>
    <t>Luke</t>
  </si>
  <si>
    <t>Darren Cleary</t>
  </si>
  <si>
    <t>Colm Moore</t>
  </si>
  <si>
    <t>Stephen Twomey</t>
  </si>
  <si>
    <t>Luke Prendeville</t>
  </si>
  <si>
    <t>rights@pbs.org</t>
  </si>
  <si>
    <t>PITCH</t>
  </si>
  <si>
    <t xml:space="preserve">VOG </t>
  </si>
  <si>
    <t>Custom</t>
  </si>
  <si>
    <t>Original Podcast</t>
  </si>
  <si>
    <t xml:space="preserve">Repurposed Trailer </t>
  </si>
  <si>
    <t>Bed</t>
  </si>
  <si>
    <t>None</t>
  </si>
  <si>
    <t>Master Intro</t>
  </si>
  <si>
    <t>Bespoke - 1</t>
  </si>
  <si>
    <t>Partner ads</t>
  </si>
  <si>
    <t>Spotlight</t>
  </si>
  <si>
    <t>Startup Workshops</t>
  </si>
  <si>
    <t>Speaker Intro</t>
  </si>
  <si>
    <t>Add more on 'Lists' sheet</t>
  </si>
  <si>
    <t>SamsungServices@berlinrosen.com</t>
  </si>
  <si>
    <t>q on cbc</t>
  </si>
  <si>
    <t>https://cbchelp.cbc.ca/hc/en-ca/requests/new?ticket_form_id=114094002553</t>
  </si>
  <si>
    <t>headline</t>
  </si>
  <si>
    <t>TODAY</t>
  </si>
  <si>
    <t>speaker1</t>
  </si>
  <si>
    <t>mod</t>
  </si>
  <si>
    <t>speaker2</t>
  </si>
  <si>
    <t>speaker3</t>
  </si>
  <si>
    <t>NBCNewsMediaRelations@nbcuni.com</t>
  </si>
  <si>
    <t>sp-count</t>
  </si>
  <si>
    <t>flag</t>
  </si>
  <si>
    <t>File 1</t>
  </si>
  <si>
    <t>File 2</t>
  </si>
  <si>
    <t>File 3</t>
  </si>
  <si>
    <t>File 4</t>
  </si>
  <si>
    <t>sp1</t>
  </si>
  <si>
    <t>sp2</t>
  </si>
  <si>
    <t>sp3</t>
  </si>
  <si>
    <t>sp4</t>
  </si>
  <si>
    <t>audio-clean</t>
  </si>
  <si>
    <t>audio</t>
  </si>
  <si>
    <t>Output</t>
  </si>
  <si>
    <t>10:00:00:00</t>
  </si>
  <si>
    <t>Sony Pictures animation</t>
  </si>
  <si>
    <t>contact@spanimation.com</t>
  </si>
  <si>
    <t>FilmClips@spe.sony.com</t>
  </si>
  <si>
    <t>programming@channelnewsasia.com</t>
  </si>
  <si>
    <t>I am pretty sure this is royality free</t>
  </si>
  <si>
    <t>Info@wrelief.com</t>
  </si>
  <si>
    <t>Writers Relief</t>
  </si>
  <si>
    <t>mnc5000@psu.edu</t>
  </si>
  <si>
    <t>MEdia correspondent</t>
  </si>
  <si>
    <t>LOM</t>
  </si>
  <si>
    <t>CNBC Total</t>
  </si>
  <si>
    <t>Link 1: https://www.youtube.com/watch?v=_VPi_PIVs5U Timecode: 00:06:01:12-00:06:05:06, 00:14:33:00-00:14:42:08, 00:16:13:13-00:16:15:17 Link 2: https://www.youtube.com/watch?v=h8Ql0tXWlu8 Timecode: 00:05:22:07-00:05:27:09</t>
  </si>
  <si>
    <t>Lauren</t>
  </si>
  <si>
    <t xml:space="preserve">Random guy on youtube, no activity in 7 years - left a comment </t>
  </si>
  <si>
    <t>sam.bradley@thedrum.com
john.mccarthy@thedrum.com</t>
  </si>
  <si>
    <t>Netflix Media Centre</t>
  </si>
  <si>
    <t>The View</t>
  </si>
  <si>
    <t>CNN Total</t>
  </si>
  <si>
    <t>Think Corner Helsinki</t>
  </si>
  <si>
    <t>noora.happonen@helsinki.fi</t>
  </si>
  <si>
    <t>CNS News Total</t>
  </si>
  <si>
    <t>licensing@variety.com</t>
  </si>
  <si>
    <t>Mitchell Baker.png</t>
  </si>
  <si>
    <t>Steve Clemons.png</t>
  </si>
  <si>
    <t>UNDP-newsroom@undp.org</t>
  </si>
  <si>
    <t>In depth Mitchell Baker.wav</t>
  </si>
  <si>
    <t>In depth- Mitchell Baker</t>
  </si>
  <si>
    <t>Coca Cola Total</t>
  </si>
  <si>
    <t>Sid Sijbrandij.jpeg</t>
  </si>
  <si>
    <t>Ron Miller.jpg</t>
  </si>
  <si>
    <t>In Depth Sid Sijbrandij Final.wav</t>
  </si>
  <si>
    <t>In depth- Sid Sijbrandij</t>
  </si>
  <si>
    <t>Stephanie Mehta.jpg</t>
  </si>
  <si>
    <t>Nicole Carroll.jpeg</t>
  </si>
  <si>
    <t>Betsy Reed.png</t>
  </si>
  <si>
    <t>In depth_ Editors Roundtable - FINAL Edit.wav</t>
  </si>
  <si>
    <t>In depth- Editors' roundtable</t>
  </si>
  <si>
    <t>Gary Liu.jpg</t>
  </si>
  <si>
    <t>Peter Kafka.jpg</t>
  </si>
  <si>
    <t>In depth Gary Liu - Final.wav</t>
  </si>
  <si>
    <t>In depth- Gary Liu</t>
  </si>
  <si>
    <t>LeeAnn.Platner@nbcuni.com
nbcnewsarchives@nbcuni.com</t>
  </si>
  <si>
    <t>ColdFusion Total</t>
  </si>
  <si>
    <t>Molly Bloom.jpg</t>
  </si>
  <si>
    <t>Samantha Barry.jpg</t>
  </si>
  <si>
    <t>In depth Molly Bloom.wav</t>
  </si>
  <si>
    <t>In depth- Molly Bloom</t>
  </si>
  <si>
    <t>Margaret Atwood.jpg</t>
  </si>
  <si>
    <t>David Remnick.jpg</t>
  </si>
  <si>
    <t>In conversation with Margaret Atwood.wav</t>
  </si>
  <si>
    <t>Vinod Khosla.jpg</t>
  </si>
  <si>
    <t>Jessica Lessin.jpg</t>
  </si>
  <si>
    <t>In depth Vinod Khosla - Final Edit.wav</t>
  </si>
  <si>
    <t xml:space="preserve">In depth- Vinod Khosla </t>
  </si>
  <si>
    <t>Conde Nast/WIRED Total</t>
  </si>
  <si>
    <t>Jeremy Zimmer.jpg</t>
  </si>
  <si>
    <t>Dylan Byers.jpg</t>
  </si>
  <si>
    <t>In depth Jeremy Zimmer Wav.wav</t>
  </si>
  <si>
    <t>In depth- Jeremy Zimmer</t>
  </si>
  <si>
    <t>Rana el Kaliouby.jpg</t>
  </si>
  <si>
    <t>Khari Johnson.jpg</t>
  </si>
  <si>
    <t>In Depth - Rana El Kaliouby - Final.wav</t>
  </si>
  <si>
    <t>In depth- Rana el Kaliouby</t>
  </si>
  <si>
    <t xml:space="preserve">Jennifer </t>
  </si>
  <si>
    <t>WWD Online form</t>
  </si>
  <si>
    <t>https://wwd.com/contact-editorial/</t>
  </si>
  <si>
    <t>Cool Motion Total</t>
  </si>
  <si>
    <t>Creative Commons Footage Total</t>
  </si>
  <si>
    <t>press@ycombinator.com</t>
  </si>
  <si>
    <t>Cyberwise Total</t>
  </si>
  <si>
    <t>Devschooluea Total</t>
  </si>
  <si>
    <t>SMG</t>
  </si>
  <si>
    <t>Digital Festival Total</t>
  </si>
  <si>
    <t>DitchtheLabel Total</t>
  </si>
  <si>
    <t>John Schroter</t>
  </si>
  <si>
    <t>EA SPORTS Total</t>
  </si>
  <si>
    <t>George Varelas</t>
  </si>
  <si>
    <t>https://www.apple.com/legal/contact/rights-permissions.html</t>
  </si>
  <si>
    <t>Equalman Total</t>
  </si>
  <si>
    <t>Evan Carmichael Total</t>
  </si>
  <si>
    <t xml:space="preserve">Link 1:
https://www.youtube.com/watch?v=J2tMMb4rh1c
Timecode:
00:27 - 00:28
Link 2:
https://www.youtube.com/watch?v=Js04hvdVUA8
Timecode:
00:17 - 00:18, 
00:27 - 00:28, 
</t>
  </si>
  <si>
    <t>Facebook App Total</t>
  </si>
  <si>
    <t>NOT REQUIRED</t>
  </si>
  <si>
    <t>Female First Total</t>
  </si>
  <si>
    <t>Fox Business Total</t>
  </si>
  <si>
    <t>Link 1:
https://www.youtube.com/watch?v=6laUW5j_YZw
Timecode:
00:00:57:23 - 00:01:01:00, 
00:00:33:16 - 00:00:39:02, 
00:01:06:12 - 00:01:16:18
Link 2:
https://www.youtube.com/watch?v=V4H_37qbx1E
Timecode:
00:07:08:00 - 00:07:12:08, 00:07:03:06 - 00:07:12:09</t>
  </si>
  <si>
    <t>FRANCE 24 English Total</t>
  </si>
  <si>
    <t xml:space="preserve">Link 1:
https://www.youtube.com/watch?v=eF4Y1cy_Suw
Timecode:
03:54:18-03:58:17
Link 2:
https://www.youtube.com/watch?v=zBOGapw8SCA
Timecode:
00:00:00-00:00:20, 
04:05:00-04:05:20, 
Link 3:
https://www.youtube.com/watch?v=M9PAMJiuOao
Timecode:
00:46:03-00:46:18, 
00:04:19-00:06:19, 
00:34:09-00:35:13, 
04:14:03-04:15:14, 
03:44:09-03:45:23, 
00:47:03-00:48:04, 
02:41:16-02:42:05, 
00:26:07-00:27:05, 
03:18:21-03:20:18
</t>
  </si>
  <si>
    <t>Free Stock Footgae 4k Total</t>
  </si>
  <si>
    <t>FT Total</t>
  </si>
  <si>
    <t>Gameranx Total</t>
  </si>
  <si>
    <t>http://www.palomaronline.com/en/contacts</t>
  </si>
  <si>
    <t>planet labs</t>
  </si>
  <si>
    <t>Gatorade Total</t>
  </si>
  <si>
    <t>Storyful</t>
  </si>
  <si>
    <t>licensing@storyful.com</t>
  </si>
  <si>
    <t>Warner</t>
  </si>
  <si>
    <t>copyright@wmg.com</t>
  </si>
  <si>
    <t>Global Stats Total</t>
  </si>
  <si>
    <t>Kelloggs Newsroom</t>
  </si>
  <si>
    <t>info.europe@kellogg.com</t>
  </si>
  <si>
    <t>EA sports</t>
  </si>
  <si>
    <t>permissionrequests@ea.com.</t>
  </si>
  <si>
    <t>Equalman Website</t>
  </si>
  <si>
    <t>eq@equalman.com</t>
  </si>
  <si>
    <t>Google Total</t>
  </si>
  <si>
    <t>Universal</t>
  </si>
  <si>
    <t>roni.lubliner@nbcuni.com</t>
  </si>
  <si>
    <t>contact@globalstats.net</t>
  </si>
  <si>
    <t>DitchTheLabel</t>
  </si>
  <si>
    <t>Pandora@bulletpr.co.uk</t>
  </si>
  <si>
    <t>Graham Bensinger/GB Entertainment Total</t>
  </si>
  <si>
    <t>media.relations@nike.com</t>
  </si>
  <si>
    <t xml:space="preserve">Press@ClevverTV.com </t>
  </si>
  <si>
    <t>press@ashleygraham.com</t>
  </si>
  <si>
    <t>Guinness Total</t>
  </si>
  <si>
    <t>press@planet.com</t>
  </si>
  <si>
    <t>High Impact Total</t>
  </si>
  <si>
    <t>communications@uea.ac.uk</t>
  </si>
  <si>
    <t>How to Academy Total</t>
  </si>
  <si>
    <t>Grand Total</t>
  </si>
  <si>
    <t>Hummingbird Productions Total</t>
  </si>
  <si>
    <t>IAB - Interactive Advertising Bureau Total</t>
  </si>
  <si>
    <t>iRacing Total</t>
  </si>
  <si>
    <t>JC Penny Total</t>
  </si>
  <si>
    <t>Jigglypuff Total</t>
  </si>
  <si>
    <t>JK MAIL MERGE TEST Total</t>
  </si>
  <si>
    <t>Kellogs Ireland Total</t>
  </si>
  <si>
    <t>Kholsa Ventures Total</t>
  </si>
  <si>
    <t>ksby news Total</t>
  </si>
  <si>
    <t>KTNV Channel 13 Las Vegas Total</t>
  </si>
  <si>
    <t>LeBreton Total</t>
  </si>
  <si>
    <t>LFA Les Femmes s'Animent Total</t>
  </si>
  <si>
    <t>LinkedIn Total</t>
  </si>
  <si>
    <t>Margaret Atwood: A Word after a Word after a Word Is Power - Trailer (Official) • A Hulu Original Total</t>
  </si>
  <si>
    <t>Marriott International Facebook Total</t>
  </si>
  <si>
    <t>Mars Total</t>
  </si>
  <si>
    <t>Mashable Experimental Total</t>
  </si>
  <si>
    <t>MasterClass Total</t>
  </si>
  <si>
    <t>McDonald's Total</t>
  </si>
  <si>
    <t>Microsoft Total</t>
  </si>
  <si>
    <t>Moremotion Total</t>
  </si>
  <si>
    <t>MSNBC Total</t>
  </si>
  <si>
    <t>National Centre for Writing Total</t>
  </si>
  <si>
    <t>NBA Total</t>
  </si>
  <si>
    <t>NBC Total</t>
  </si>
  <si>
    <t>NDTV Total</t>
  </si>
  <si>
    <t>Neo Total</t>
  </si>
  <si>
    <t>Netflix Total</t>
  </si>
  <si>
    <t>Newsweek Total</t>
  </si>
  <si>
    <t>Newsy Total</t>
  </si>
  <si>
    <t>No Copyright Motion Graphics Total</t>
  </si>
  <si>
    <t>NY Nick Total</t>
  </si>
  <si>
    <t>One News PH Total</t>
  </si>
  <si>
    <t>Paris Hilton YT channel Total</t>
  </si>
  <si>
    <t>Paris' Instagram Total</t>
  </si>
  <si>
    <t>PBS News Hour Total</t>
  </si>
  <si>
    <t>Pixabay Total</t>
  </si>
  <si>
    <t>Rutgers University, Jersey Total</t>
  </si>
  <si>
    <t>Samsung Total</t>
  </si>
  <si>
    <t>Shared News Total</t>
  </si>
  <si>
    <t>Shay's company's YT channel Total</t>
  </si>
  <si>
    <t>Shay's YT channel Total</t>
  </si>
  <si>
    <t>Sky News Total</t>
  </si>
  <si>
    <t>Slush Total</t>
  </si>
  <si>
    <t>Snickers Total</t>
  </si>
  <si>
    <t>Social Media College Total</t>
  </si>
  <si>
    <t>Sony Pictures Animation Total</t>
  </si>
  <si>
    <t>Sony Pictures Entertainment Total</t>
  </si>
  <si>
    <t>Tanuri X Total</t>
  </si>
  <si>
    <t>TechCrunch Total</t>
  </si>
  <si>
    <t>TED Total</t>
  </si>
  <si>
    <t>Tencent WE Summit Total</t>
  </si>
  <si>
    <t>The Biggy Smith Total</t>
  </si>
  <si>
    <t>The Daily Show with Trevor Noah Total</t>
  </si>
  <si>
    <t>The Drum Total</t>
  </si>
  <si>
    <t>The New York Times Total</t>
  </si>
  <si>
    <t>Tiedekulma Total</t>
  </si>
  <si>
    <t>Twitter Reactions Total</t>
  </si>
  <si>
    <t>Udenrigsministeriet Total</t>
  </si>
  <si>
    <t>United Nations Development Programme (UNDP) Total</t>
  </si>
  <si>
    <t xml:space="preserve">https://www.youtube.com/watch?v=K1JMjwJG2UM </t>
  </si>
  <si>
    <t>Universal Music Total</t>
  </si>
  <si>
    <t>Variety Total</t>
  </si>
  <si>
    <t>VICE Total</t>
  </si>
  <si>
    <t>Videezy Total</t>
  </si>
  <si>
    <t>WackyTv Total</t>
  </si>
  <si>
    <t>Wall Street Journal Total</t>
  </si>
  <si>
    <t>Web Summit Total</t>
  </si>
  <si>
    <t>wochit news Total</t>
  </si>
  <si>
    <t>Women's Wear Daily Total</t>
  </si>
  <si>
    <t>wpsu Total</t>
  </si>
  <si>
    <t>Writer's Relief Total</t>
  </si>
  <si>
    <t>WTD Productions Total</t>
  </si>
  <si>
    <t>Y Combinator Total</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</si>
</sst>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mmmm d"/>
    <numFmt numFmtId="165" formatCode="HH:mm:ss"/>
    <numFmt numFmtId="166" formatCode="dd&quot;/&quot;mm"/>
    <numFmt numFmtId="167" formatCode="hh&quot;:&quot;mm"/>
    <numFmt numFmtId="168" formatCode="hh:mm"/>
    <numFmt numFmtId="169" formatCode="hh:mm:ss"/>
    <numFmt numFmtId="170" formatCode="dd/mm"/>
    <numFmt numFmtId="171" formatCode="mmm d, yyyy hh:mm:ss"/>
    <numFmt numFmtId="172" formatCode="0000000"/>
    <numFmt numFmtId="173" formatCode="0000"/>
    <numFmt numFmtId="174" formatCode="[hh]:mm:ss"/>
  </numFmts>
  <fonts count="208">
    <font>
      <sz val="10.0"/>
      <color rgb="FF000000"/>
      <name val="Arial"/>
    </font>
    <font>
      <b/>
      <sz val="14.0"/>
      <color theme="1"/>
      <name val="Lato"/>
    </font>
    <font>
      <color theme="1"/>
      <name val="Arial"/>
    </font>
    <font>
      <b/>
      <color theme="1"/>
      <name val="Arial"/>
    </font>
    <font>
      <b/>
      <i/>
      <sz val="14.0"/>
      <color theme="1"/>
      <name val="Lato"/>
    </font>
    <font>
      <color theme="1"/>
      <name val="Lato"/>
    </font>
    <font>
      <b/>
      <color theme="1"/>
      <name val="Lato"/>
    </font>
    <font>
      <sz val="10.0"/>
      <color theme="1"/>
      <name val="Arial"/>
    </font>
    <font>
      <u/>
      <color rgb="FF0000FF"/>
    </font>
    <font>
      <b/>
      <sz val="10.0"/>
      <color theme="1"/>
      <name val="Arial"/>
    </font>
    <font>
      <b/>
      <sz val="10.0"/>
      <color rgb="FF000000"/>
      <name val="Arial"/>
    </font>
    <font>
      <sz val="10.0"/>
      <color rgb="FF000000"/>
      <name val="Inconsolata"/>
    </font>
    <font>
      <u/>
      <color rgb="FF0000FF"/>
    </font>
    <font>
      <u/>
      <sz val="10.0"/>
      <color rgb="FF0000FF"/>
    </font>
    <font>
      <u/>
      <sz val="10.0"/>
      <color rgb="FF1155CC"/>
    </font>
    <font>
      <u/>
      <color rgb="FF1155CC"/>
    </font>
    <font>
      <u/>
      <color rgb="FF0000FF"/>
    </font>
    <font>
      <u/>
      <color rgb="FF0000FF"/>
    </font>
    <font>
      <u/>
      <sz val="10.0"/>
      <color rgb="FF0000FF"/>
    </font>
    <font>
      <b/>
      <i/>
      <sz val="10.0"/>
      <color rgb="FFFF0000"/>
      <name val="Arial"/>
    </font>
    <font>
      <u/>
      <sz val="10.0"/>
      <color rgb="FF0000FF"/>
      <name val="Arial"/>
    </font>
    <font>
      <u/>
      <sz val="10.0"/>
      <color rgb="FF1155CC"/>
      <name val="Arial"/>
    </font>
    <font>
      <sz val="12.0"/>
      <name val="Calibri"/>
    </font>
    <font>
      <sz val="12.0"/>
      <color theme="1"/>
      <name val="Arial"/>
    </font>
    <font>
      <u/>
      <sz val="10.0"/>
      <color rgb="FF1155CC"/>
    </font>
    <font>
      <u/>
      <sz val="9.0"/>
      <color rgb="FF0000FF"/>
      <name val="Lato"/>
    </font>
    <font>
      <sz val="10.0"/>
    </font>
    <font>
      <u/>
      <sz val="10.0"/>
      <color rgb="FF1155CC"/>
      <name val="Arial"/>
    </font>
    <font>
      <sz val="12.0"/>
      <color theme="1"/>
      <name val="Calibri"/>
    </font>
    <font>
      <u/>
      <color rgb="FF1155CC"/>
      <name val="Arial"/>
    </font>
    <font>
      <u/>
      <sz val="10.0"/>
      <color rgb="FF0000FF"/>
    </font>
    <font>
      <u/>
      <color rgb="FF1155CC"/>
    </font>
    <font>
      <u/>
      <color rgb="FF000000"/>
    </font>
    <font>
      <u/>
      <sz val="10.0"/>
      <color rgb="FF0000FF"/>
    </font>
    <font>
      <sz val="10.0"/>
      <color theme="1"/>
      <name val="Calibri"/>
    </font>
    <font>
      <u/>
      <color rgb="FF1155CC"/>
      <name val="Arial"/>
    </font>
    <font>
      <u/>
      <color rgb="FF0000FF"/>
    </font>
    <font>
      <sz val="12.0"/>
      <color rgb="FF000000"/>
      <name val="Arial"/>
    </font>
    <font>
      <sz val="12.0"/>
      <color rgb="FFFF0000"/>
      <name val="Arial"/>
    </font>
    <font>
      <u/>
      <sz val="10.0"/>
      <color rgb="FF0000FF"/>
    </font>
    <font>
      <u/>
      <sz val="11.0"/>
      <color rgb="FF3C4043"/>
      <name val="Roboto"/>
    </font>
    <font>
      <u/>
      <sz val="10.0"/>
      <color rgb="FF1155CC"/>
    </font>
    <font>
      <u/>
      <sz val="12.0"/>
      <color rgb="FF0563C1"/>
      <name val="Arial"/>
    </font>
    <font>
      <color rgb="FF000000"/>
      <name val="Roboto"/>
    </font>
    <font>
      <u/>
      <color rgb="FF0000FF"/>
      <name val="Arial"/>
    </font>
    <font>
      <u/>
      <sz val="10.0"/>
      <color rgb="FF000000"/>
      <name val="Arial"/>
    </font>
    <font>
      <u/>
      <sz val="10.0"/>
      <color rgb="FF1155CC"/>
      <name val="Arial"/>
    </font>
    <font>
      <u/>
      <color rgb="FF1155CC"/>
    </font>
    <font>
      <sz val="10.0"/>
      <color rgb="FF000000"/>
    </font>
    <font>
      <sz val="10.0"/>
      <color rgb="FFFF0000"/>
      <name val="Arial"/>
    </font>
    <font>
      <u/>
      <color rgb="FF1155CC"/>
    </font>
    <font>
      <u/>
      <color rgb="FF0000FF"/>
    </font>
    <font>
      <i/>
      <sz val="11.0"/>
      <color rgb="FF3C4043"/>
      <name val="Roboto"/>
    </font>
    <font>
      <u/>
      <sz val="12.0"/>
      <color rgb="FF000000"/>
      <name val="Arial"/>
    </font>
    <font>
      <b/>
      <color rgb="FF000000"/>
      <name val="Arial"/>
    </font>
    <font>
      <color rgb="FF000000"/>
      <name val="Arial"/>
    </font>
    <font>
      <u/>
      <sz val="12.0"/>
      <color rgb="FF0563C1"/>
      <name val="Calibri"/>
    </font>
    <font>
      <b/>
      <sz val="12.0"/>
      <color theme="1"/>
      <name val="Lato"/>
    </font>
    <font>
      <b/>
      <u/>
      <color rgb="FF0000FF"/>
      <name val="Lato"/>
    </font>
    <font>
      <u/>
      <sz val="10.0"/>
      <color rgb="FF1155CC"/>
    </font>
    <font>
      <u/>
      <color rgb="FF1155CC"/>
    </font>
    <font>
      <u/>
      <sz val="10.0"/>
      <color rgb="FF0000FF"/>
    </font>
    <font>
      <u/>
      <sz val="11.0"/>
      <color rgb="FF4285F4"/>
      <name val="Roboto"/>
    </font>
    <font>
      <u/>
      <color rgb="FF1155CC"/>
    </font>
    <font>
      <u/>
      <sz val="10.0"/>
      <color rgb="FF0000FF"/>
    </font>
    <font>
      <u/>
      <color rgb="FF0000FF"/>
    </font>
    <font>
      <u/>
      <color rgb="FF0000FF"/>
    </font>
    <font>
      <sz val="9.0"/>
      <color theme="1"/>
      <name val="Arial"/>
    </font>
    <font>
      <u/>
      <sz val="9.0"/>
      <color rgb="FF0000FF"/>
    </font>
    <font>
      <u/>
      <color rgb="FF1155CC"/>
    </font>
    <font>
      <i/>
      <u/>
      <sz val="11.0"/>
      <color rgb="FF3C4043"/>
      <name val="Roboto"/>
    </font>
    <font>
      <u/>
      <sz val="10.0"/>
      <color rgb="FF0000FF"/>
    </font>
    <font>
      <u/>
      <sz val="10.0"/>
      <color rgb="FF000000"/>
      <name val="Arial"/>
    </font>
    <font>
      <b/>
      <sz val="12.0"/>
      <color rgb="FF980000"/>
      <name val="Lato"/>
    </font>
    <font>
      <b/>
      <sz val="9.0"/>
      <color rgb="FFFFFFFF"/>
      <name val="Lato"/>
    </font>
    <font>
      <b/>
      <i/>
      <sz val="9.0"/>
      <color rgb="FFFFFFFF"/>
      <name val="Lato"/>
    </font>
    <font>
      <b/>
      <sz val="9.0"/>
      <color theme="1"/>
      <name val="Lato"/>
    </font>
    <font>
      <b/>
      <i/>
      <sz val="9.0"/>
      <color theme="1"/>
      <name val="Lato"/>
    </font>
    <font>
      <u/>
      <sz val="9.0"/>
      <color rgb="FF1155CC"/>
      <name val="Lato"/>
    </font>
    <font>
      <sz val="9.0"/>
      <color theme="1"/>
      <name val="Lato"/>
    </font>
    <font>
      <u/>
      <sz val="9.0"/>
      <color rgb="FF1155CC"/>
      <name val="Lato"/>
    </font>
    <font>
      <i/>
      <sz val="9.0"/>
      <color theme="1"/>
      <name val="Lato"/>
    </font>
    <font>
      <u/>
      <sz val="9.0"/>
      <color rgb="FF0000FF"/>
      <name val="Lato"/>
    </font>
    <font>
      <u/>
      <sz val="9.0"/>
      <color rgb="FF0000FF"/>
      <name val="Lato"/>
    </font>
    <font>
      <u/>
      <sz val="9.0"/>
      <color rgb="FF0000FF"/>
      <name val="Lato"/>
    </font>
    <font>
      <i/>
      <sz val="9.0"/>
      <color rgb="FF000000"/>
      <name val="Lato"/>
    </font>
    <font>
      <sz val="9.0"/>
      <name val="Lato"/>
    </font>
    <font>
      <i/>
      <sz val="9.0"/>
      <name val="Lato"/>
    </font>
    <font>
      <u/>
      <sz val="9.0"/>
      <color rgb="FF1155CC"/>
      <name val="Lato"/>
    </font>
    <font>
      <u/>
      <sz val="9.0"/>
      <color rgb="FF1155CC"/>
      <name val="Lato"/>
    </font>
    <font>
      <u/>
      <sz val="9.0"/>
      <color rgb="FF1155CC"/>
      <name val="Lato"/>
    </font>
    <font>
      <u/>
      <sz val="9.0"/>
      <color rgb="FF1155CC"/>
      <name val="Lato"/>
    </font>
    <font>
      <sz val="9.0"/>
      <color rgb="FFFF0000"/>
      <name val="Lato"/>
    </font>
    <font>
      <b/>
      <sz val="8.0"/>
      <color theme="1"/>
      <name val="Lato"/>
    </font>
    <font>
      <sz val="8.0"/>
      <color theme="1"/>
      <name val="Lato"/>
    </font>
    <font>
      <b/>
      <sz val="9.0"/>
      <color rgb="FF000000"/>
      <name val="Lato"/>
    </font>
    <font>
      <sz val="9.0"/>
      <color rgb="FF000000"/>
      <name val="Lato"/>
    </font>
    <font>
      <u/>
      <sz val="9.0"/>
      <color rgb="FF0000FF"/>
      <name val="Lato"/>
    </font>
    <font>
      <u/>
      <sz val="9.0"/>
      <color rgb="FF0000FF"/>
      <name val="Lato"/>
    </font>
    <font>
      <u/>
      <sz val="9.0"/>
      <color rgb="FF0000FF"/>
      <name val="Lato"/>
    </font>
    <font>
      <u/>
      <sz val="9.0"/>
      <color rgb="FF0000FF"/>
      <name val="Lato"/>
    </font>
    <font>
      <u/>
      <sz val="9.0"/>
      <color rgb="FF0000FF"/>
      <name val="Lato"/>
    </font>
    <font>
      <u/>
      <sz val="9.0"/>
      <color rgb="FF1155CC"/>
      <name val="Lato"/>
    </font>
    <font>
      <u/>
      <sz val="9.0"/>
      <color rgb="FF0000FF"/>
      <name val="Lato"/>
    </font>
    <font>
      <u/>
      <sz val="9.0"/>
      <color rgb="FF1155CC"/>
      <name val="Lato"/>
    </font>
    <font>
      <u/>
      <sz val="9.0"/>
      <color rgb="FF0000FF"/>
      <name val="Lato"/>
    </font>
    <font>
      <u/>
      <color rgb="FF0000FF"/>
    </font>
    <font>
      <sz val="9.0"/>
      <color rgb="FFFFFFFF"/>
      <name val="Lato"/>
    </font>
    <font>
      <u/>
      <sz val="9.0"/>
      <color rgb="FF0000FF"/>
      <name val="Lato"/>
    </font>
    <font>
      <sz val="11.0"/>
      <color rgb="FF000000"/>
      <name val="Roboto"/>
    </font>
    <font>
      <b/>
      <sz val="12.0"/>
      <color theme="1"/>
      <name val="Arial"/>
    </font>
    <font>
      <b/>
      <sz val="8.0"/>
      <color theme="1"/>
      <name val="Arial"/>
    </font>
    <font>
      <b/>
      <sz val="10.0"/>
      <color theme="1"/>
      <name val="Lato"/>
    </font>
    <font>
      <b/>
      <sz val="11.0"/>
      <color rgb="FFFFFFFF"/>
      <name val="Lato"/>
    </font>
    <font>
      <u/>
      <color rgb="FF1155CC"/>
      <name val="Arial"/>
    </font>
    <font>
      <u/>
      <color rgb="FF1155CC"/>
      <name val="Arial"/>
    </font>
    <font>
      <sz val="10.0"/>
      <color theme="1"/>
      <name val="Lato"/>
    </font>
    <font>
      <u/>
      <color rgb="FF0000FF"/>
      <name val="Lato"/>
    </font>
    <font>
      <sz val="10.0"/>
      <color rgb="FF000000"/>
      <name val="Lato"/>
    </font>
    <font>
      <u/>
      <sz val="11.0"/>
      <color rgb="FF000000"/>
      <name val="Roboto"/>
    </font>
    <font>
      <sz val="9.0"/>
      <color theme="1"/>
      <name val="Roboto"/>
    </font>
    <font>
      <u/>
      <color rgb="FFDCA10D"/>
      <name val="Arial"/>
    </font>
    <font>
      <u/>
      <color rgb="FF1155CC"/>
      <name val="Arial"/>
    </font>
    <font>
      <u/>
      <color rgb="FF000000"/>
      <name val="Arial"/>
    </font>
    <font>
      <u/>
      <color rgb="FF0000FF"/>
      <name val="Arial"/>
    </font>
    <font>
      <b/>
      <sz val="14.0"/>
      <color rgb="FFFFFFFF"/>
      <name val="Lato"/>
    </font>
    <font>
      <b/>
      <sz val="10.0"/>
      <color rgb="FFFFFFFF"/>
      <name val="Lato"/>
    </font>
    <font>
      <u/>
      <color rgb="FF0000FF"/>
      <name val="Lato"/>
    </font>
    <font>
      <b/>
      <color rgb="FFFFFFFF"/>
      <name val="Lato"/>
    </font>
    <font>
      <u/>
      <color rgb="FF1155CC"/>
      <name val="Lato"/>
    </font>
    <font>
      <u/>
      <color rgb="FF1155CC"/>
      <name val="Arial"/>
    </font>
    <font>
      <u/>
      <color rgb="FF1155CC"/>
      <name val="Arial"/>
    </font>
    <font>
      <color rgb="FFFFFFFF"/>
      <name val="Lato"/>
    </font>
    <font>
      <u/>
      <color rgb="FF1155CC"/>
      <name val="Lato"/>
    </font>
    <font>
      <sz val="11.0"/>
      <color rgb="FF000000"/>
      <name val="Lato"/>
    </font>
    <font>
      <b/>
      <u/>
      <color rgb="FF0000FF"/>
      <name val="Lato"/>
    </font>
    <font>
      <b/>
      <u/>
      <color rgb="FF0000FF"/>
      <name val="Lato"/>
    </font>
    <font>
      <u/>
      <color rgb="FF0000FF"/>
      <name val="Arial"/>
    </font>
    <font>
      <color rgb="FF000000"/>
      <name val="Lato"/>
    </font>
    <font>
      <b/>
      <u/>
      <color rgb="FF000000"/>
      <name val="Lato"/>
    </font>
    <font>
      <u/>
      <color rgb="FF1155CC"/>
      <name val="Lato"/>
    </font>
    <font>
      <u/>
      <color rgb="FF1155CC"/>
      <name val="Arial"/>
    </font>
    <font>
      <b/>
      <u/>
      <sz val="11.0"/>
      <color rgb="FF000000"/>
      <name val="Lato"/>
    </font>
    <font>
      <u/>
      <color rgb="FF1155CC"/>
      <name val="Lato"/>
    </font>
    <font>
      <color rgb="FF222222"/>
      <name val="Arial"/>
    </font>
    <font>
      <b/>
      <color rgb="FF000000"/>
      <name val="Lato"/>
    </font>
    <font>
      <b/>
      <sz val="11.0"/>
      <color rgb="FF000000"/>
      <name val="Lato"/>
    </font>
    <font>
      <u/>
      <sz val="11.0"/>
      <color rgb="FF4A86E8"/>
      <name val="Arial"/>
    </font>
    <font>
      <u/>
      <sz val="11.0"/>
      <color rgb="FF4A86E8"/>
      <name val="Arial"/>
    </font>
    <font>
      <u/>
      <sz val="10.0"/>
      <color rgb="FF1155CC"/>
      <name val="Lato"/>
    </font>
    <font>
      <u/>
      <sz val="11.0"/>
      <color rgb="FF4A86E8"/>
      <name val="Arial"/>
    </font>
    <font>
      <u/>
      <sz val="11.0"/>
      <color rgb="FF4A86E8"/>
      <name val="Arial"/>
    </font>
    <font>
      <u/>
      <sz val="12.0"/>
      <color rgb="FF0000FF"/>
      <name val="Calibri"/>
    </font>
    <font>
      <u/>
      <color rgb="FF0000FF"/>
    </font>
    <font>
      <u/>
      <color rgb="FF0000FF"/>
    </font>
    <font>
      <u/>
      <color rgb="FF1155CC"/>
      <name val="Arial"/>
    </font>
    <font>
      <u/>
      <sz val="11.0"/>
      <color rgb="FF1155CC"/>
      <name val="Roboto"/>
    </font>
    <font>
      <u/>
      <sz val="11.0"/>
      <color rgb="FF1155CC"/>
      <name val="Roboto"/>
    </font>
    <font>
      <u/>
      <color rgb="FF1155CC"/>
      <name val="Arial"/>
    </font>
    <font>
      <sz val="11.0"/>
      <color theme="1"/>
      <name val="Roboto"/>
    </font>
    <font>
      <u/>
      <sz val="12.0"/>
      <color rgb="FF0000FF"/>
      <name val="Calibri"/>
    </font>
    <font>
      <u/>
      <sz val="8.0"/>
      <color rgb="FF1155CC"/>
      <name val="Arial"/>
    </font>
    <font>
      <u/>
      <color rgb="FF0000FF"/>
    </font>
    <font>
      <b/>
      <sz val="8.0"/>
      <color rgb="FFFFFFFF"/>
      <name val="Arial"/>
    </font>
    <font>
      <sz val="8.0"/>
      <color rgb="FFFFFFFF"/>
      <name val="Arial"/>
    </font>
    <font>
      <b/>
      <color rgb="FFFFFFFF"/>
      <name val="Arial"/>
    </font>
    <font>
      <sz val="8.0"/>
      <color theme="1"/>
      <name val="Arial"/>
    </font>
    <font>
      <i/>
      <sz val="8.0"/>
      <color theme="1"/>
      <name val="Arial"/>
    </font>
    <font>
      <i/>
      <u/>
      <sz val="8.0"/>
      <color rgb="FF1155CC"/>
      <name val="Arial"/>
    </font>
    <font>
      <b/>
      <sz val="6.0"/>
      <color theme="1"/>
      <name val="Arial"/>
    </font>
    <font>
      <i/>
      <u/>
      <sz val="8.0"/>
      <color rgb="FF1155CC"/>
      <name val="Arial"/>
    </font>
    <font>
      <u/>
      <sz val="8.0"/>
      <color rgb="FF0000FF"/>
    </font>
    <font>
      <sz val="8.0"/>
      <color rgb="FF000000"/>
      <name val="Inconsolata"/>
    </font>
    <font>
      <sz val="6.0"/>
      <color theme="1"/>
      <name val="Arial"/>
    </font>
    <font>
      <sz val="8.0"/>
      <color rgb="FF000000"/>
      <name val="Arial"/>
    </font>
    <font>
      <u/>
      <sz val="8.0"/>
      <color rgb="FF0000FF"/>
    </font>
    <font>
      <u/>
      <sz val="8.0"/>
      <color rgb="FF1155CC"/>
    </font>
    <font>
      <u/>
      <sz val="8.0"/>
      <color rgb="FF0000FF"/>
    </font>
    <font>
      <i/>
      <u/>
      <sz val="8.0"/>
      <color rgb="FF0000FF"/>
      <name val="Arial"/>
    </font>
    <font>
      <u/>
      <sz val="8.0"/>
      <color rgb="FF0000FF"/>
    </font>
    <font>
      <i/>
      <u/>
      <sz val="8.0"/>
      <color rgb="FF000000"/>
      <name val="Arial"/>
    </font>
    <font>
      <u/>
      <color rgb="FF0000FF"/>
      <name val="Roboto"/>
    </font>
    <font>
      <u/>
      <sz val="8.0"/>
      <color rgb="FF0000FF"/>
    </font>
    <font>
      <u/>
      <sz val="8.0"/>
      <color rgb="FF1155CC"/>
      <name val="Arial"/>
    </font>
    <font>
      <u/>
      <sz val="8.0"/>
      <color rgb="FF1155CC"/>
      <name val="Arial"/>
    </font>
    <font>
      <u/>
      <sz val="11.0"/>
      <color rgb="FF333333"/>
      <name val="Arial"/>
    </font>
    <font>
      <u/>
      <sz val="8.0"/>
      <color rgb="FF1155CC"/>
    </font>
    <font>
      <i/>
      <sz val="8.0"/>
      <color rgb="FF000000"/>
      <name val="Arial"/>
    </font>
    <font>
      <u/>
      <sz val="8.0"/>
      <color rgb="FF0000FF"/>
    </font>
    <font>
      <sz val="8.0"/>
      <color rgb="FF111111"/>
      <name val="Arial"/>
    </font>
    <font>
      <u/>
      <sz val="8.0"/>
      <color rgb="FF1155CC"/>
      <name val="Arial"/>
    </font>
    <font>
      <u/>
      <sz val="8.0"/>
      <color rgb="FF1155CC"/>
    </font>
    <font>
      <u/>
      <sz val="8.0"/>
      <color rgb="FF1155CC"/>
    </font>
    <font>
      <u/>
      <sz val="8.0"/>
      <color rgb="FF018DD1"/>
    </font>
    <font>
      <sz val="11.0"/>
      <color rgb="FF000000"/>
      <name val="Inconsolata"/>
    </font>
    <font>
      <sz val="11.0"/>
      <color rgb="FF000000"/>
      <name val="Arial"/>
    </font>
    <font>
      <sz val="10.0"/>
      <color rgb="FFD9D9D9"/>
      <name val="Arial"/>
    </font>
    <font>
      <color rgb="FFD9D9D9"/>
      <name val="Arial"/>
    </font>
    <font>
      <i/>
      <u/>
      <sz val="8.0"/>
      <color rgb="FF0000FF"/>
    </font>
    <font>
      <u/>
      <sz val="12.0"/>
      <color rgb="FF333333"/>
      <name val="Arial"/>
    </font>
    <font>
      <u/>
      <sz val="9.0"/>
      <color rgb="FFFF5B00"/>
      <name val="Arial"/>
    </font>
    <font>
      <sz val="12.0"/>
      <color rgb="FF000000"/>
      <name val="Avenir"/>
    </font>
    <font>
      <i/>
      <u/>
      <sz val="8.0"/>
      <color rgb="FF0000FF"/>
    </font>
    <font>
      <sz val="11.0"/>
      <color rgb="FF030303"/>
      <name val="Roboto"/>
    </font>
    <font>
      <u/>
      <sz val="11.0"/>
      <color rgb="FFB21B47"/>
      <name val="Arial"/>
    </font>
    <font>
      <sz val="11.0"/>
      <color rgb="FFB21B47"/>
      <name val="Arial"/>
    </font>
    <font>
      <u/>
      <color rgb="FF0000FF"/>
      <name val="Arial"/>
    </font>
    <font>
      <u/>
      <sz val="11.0"/>
      <color rgb="FF9E4A73"/>
      <name val="Arial"/>
    </font>
  </fonts>
  <fills count="51">
    <fill>
      <patternFill patternType="none"/>
    </fill>
    <fill>
      <patternFill patternType="lightGray"/>
    </fill>
    <fill>
      <patternFill patternType="solid">
        <fgColor rgb="FFCCCCCC"/>
        <bgColor rgb="FFCCCCCC"/>
      </patternFill>
    </fill>
    <fill>
      <patternFill patternType="solid">
        <fgColor rgb="FFFFD966"/>
        <bgColor rgb="FFFFD966"/>
      </patternFill>
    </fill>
    <fill>
      <patternFill patternType="solid">
        <fgColor rgb="FFEFEFEF"/>
        <bgColor rgb="FFEFEFEF"/>
      </patternFill>
    </fill>
    <fill>
      <patternFill patternType="solid">
        <fgColor rgb="FFFFE599"/>
        <bgColor rgb="FFFFE599"/>
      </patternFill>
    </fill>
    <fill>
      <patternFill patternType="solid">
        <fgColor theme="9"/>
        <bgColor theme="9"/>
      </patternFill>
    </fill>
    <fill>
      <patternFill patternType="solid">
        <fgColor rgb="FFD0E0E3"/>
        <bgColor rgb="FFD0E0E3"/>
      </patternFill>
    </fill>
    <fill>
      <patternFill patternType="solid">
        <fgColor rgb="FF8E7CC3"/>
        <bgColor rgb="FF8E7CC3"/>
      </patternFill>
    </fill>
    <fill>
      <patternFill patternType="solid">
        <fgColor rgb="FFD9D2E9"/>
        <bgColor rgb="FFD9D2E9"/>
      </patternFill>
    </fill>
    <fill>
      <patternFill patternType="solid">
        <fgColor theme="8"/>
        <bgColor theme="8"/>
      </patternFill>
    </fill>
    <fill>
      <patternFill patternType="solid">
        <fgColor rgb="FFFCE5CD"/>
        <bgColor rgb="FFFCE5CD"/>
      </patternFill>
    </fill>
    <fill>
      <patternFill patternType="solid">
        <fgColor rgb="FFE52C8D"/>
        <bgColor rgb="FFE52C8D"/>
      </patternFill>
    </fill>
    <fill>
      <patternFill patternType="solid">
        <fgColor rgb="FFEAD1DC"/>
        <bgColor rgb="FFEAD1DC"/>
      </patternFill>
    </fill>
    <fill>
      <patternFill patternType="solid">
        <fgColor rgb="FF999999"/>
        <bgColor rgb="FF999999"/>
      </patternFill>
    </fill>
    <fill>
      <patternFill patternType="solid">
        <fgColor theme="7"/>
        <bgColor theme="7"/>
      </patternFill>
    </fill>
    <fill>
      <patternFill patternType="solid">
        <fgColor rgb="FFD9EAD3"/>
        <bgColor rgb="FFD9EAD3"/>
      </patternFill>
    </fill>
    <fill>
      <patternFill patternType="solid">
        <fgColor rgb="FFEA9999"/>
        <bgColor rgb="FFEA9999"/>
      </patternFill>
    </fill>
    <fill>
      <patternFill patternType="solid">
        <fgColor rgb="FFF6B26B"/>
        <bgColor rgb="FFF6B26B"/>
      </patternFill>
    </fill>
    <fill>
      <patternFill patternType="solid">
        <fgColor rgb="FFFFFFFF"/>
        <bgColor rgb="FFFFFFFF"/>
      </patternFill>
    </fill>
    <fill>
      <patternFill patternType="solid">
        <fgColor rgb="FF00FF00"/>
        <bgColor rgb="FF00FF00"/>
      </patternFill>
    </fill>
    <fill>
      <patternFill patternType="solid">
        <fgColor rgb="FFFFFF00"/>
        <bgColor rgb="FFFFFF00"/>
      </patternFill>
    </fill>
    <fill>
      <patternFill patternType="solid">
        <fgColor rgb="FFC9DAF8"/>
        <bgColor rgb="FFC9DAF8"/>
      </patternFill>
    </fill>
    <fill>
      <patternFill patternType="solid">
        <fgColor rgb="FFF4CCCC"/>
        <bgColor rgb="FFF4CCCC"/>
      </patternFill>
    </fill>
    <fill>
      <patternFill patternType="solid">
        <fgColor rgb="FFFF0000"/>
        <bgColor rgb="FFFF0000"/>
      </patternFill>
    </fill>
    <fill>
      <patternFill patternType="solid">
        <fgColor rgb="FFFF00FF"/>
        <bgColor rgb="FFFF00FF"/>
      </patternFill>
    </fill>
    <fill>
      <patternFill patternType="solid">
        <fgColor rgb="FFFFF2CC"/>
        <bgColor rgb="FFFFF2CC"/>
      </patternFill>
    </fill>
    <fill>
      <patternFill patternType="solid">
        <fgColor rgb="FFE06666"/>
        <bgColor rgb="FFE06666"/>
      </patternFill>
    </fill>
    <fill>
      <patternFill patternType="solid">
        <fgColor rgb="FFB6D7A8"/>
        <bgColor rgb="FFB6D7A8"/>
      </patternFill>
    </fill>
    <fill>
      <patternFill patternType="solid">
        <fgColor rgb="FFFF9900"/>
        <bgColor rgb="FFFF9900"/>
      </patternFill>
    </fill>
    <fill>
      <patternFill patternType="solid">
        <fgColor rgb="FFB7B7B7"/>
        <bgColor rgb="FFB7B7B7"/>
      </patternFill>
    </fill>
    <fill>
      <patternFill patternType="solid">
        <fgColor rgb="FFEEF7E3"/>
        <bgColor rgb="FFEEF7E3"/>
      </patternFill>
    </fill>
    <fill>
      <patternFill patternType="solid">
        <fgColor rgb="FFB7E1CD"/>
        <bgColor rgb="FFB7E1CD"/>
      </patternFill>
    </fill>
    <fill>
      <patternFill patternType="solid">
        <fgColor rgb="FF000000"/>
        <bgColor rgb="FF000000"/>
      </patternFill>
    </fill>
    <fill>
      <patternFill patternType="solid">
        <fgColor rgb="FFBDBDBD"/>
        <bgColor rgb="FFBDBDBD"/>
      </patternFill>
    </fill>
    <fill>
      <patternFill patternType="solid">
        <fgColor rgb="FFF3F3F3"/>
        <bgColor rgb="FFF3F3F3"/>
      </patternFill>
    </fill>
    <fill>
      <patternFill patternType="solid">
        <fgColor rgb="FFD9D9D9"/>
        <bgColor rgb="FFD9D9D9"/>
      </patternFill>
    </fill>
    <fill>
      <patternFill patternType="solid">
        <fgColor rgb="FF674EA7"/>
        <bgColor rgb="FF674EA7"/>
      </patternFill>
    </fill>
    <fill>
      <patternFill patternType="solid">
        <fgColor rgb="FFF9F9F9"/>
        <bgColor rgb="FFF9F9F9"/>
      </patternFill>
    </fill>
    <fill>
      <patternFill patternType="solid">
        <fgColor rgb="FF76A5AF"/>
        <bgColor rgb="FF76A5AF"/>
      </patternFill>
    </fill>
    <fill>
      <patternFill patternType="solid">
        <fgColor rgb="FFA2C4C9"/>
        <bgColor rgb="FFA2C4C9"/>
      </patternFill>
    </fill>
    <fill>
      <patternFill patternType="solid">
        <fgColor theme="5"/>
        <bgColor theme="5"/>
      </patternFill>
    </fill>
    <fill>
      <patternFill patternType="solid">
        <fgColor rgb="FF93C47D"/>
        <bgColor rgb="FF93C47D"/>
      </patternFill>
    </fill>
    <fill>
      <patternFill patternType="solid">
        <fgColor rgb="FFC27BA0"/>
        <bgColor rgb="FFC27BA0"/>
      </patternFill>
    </fill>
    <fill>
      <patternFill patternType="solid">
        <fgColor rgb="FF6AA84F"/>
        <bgColor rgb="FF6AA84F"/>
      </patternFill>
    </fill>
    <fill>
      <patternFill patternType="solid">
        <fgColor rgb="FFF1F1F1"/>
        <bgColor rgb="FFF1F1F1"/>
      </patternFill>
    </fill>
    <fill>
      <patternFill patternType="solid">
        <fgColor rgb="FFFF9800"/>
        <bgColor rgb="FFFF9800"/>
      </patternFill>
    </fill>
    <fill>
      <patternFill patternType="solid">
        <fgColor rgb="FFE5E5E5"/>
        <bgColor rgb="FFE5E5E5"/>
      </patternFill>
    </fill>
    <fill>
      <patternFill patternType="solid">
        <fgColor rgb="FFF0F0F0"/>
        <bgColor rgb="FFF0F0F0"/>
      </patternFill>
    </fill>
    <fill>
      <patternFill patternType="solid">
        <fgColor rgb="FFFFF6D7"/>
        <bgColor rgb="FFFFF6D7"/>
      </patternFill>
    </fill>
    <fill>
      <patternFill patternType="solid">
        <fgColor rgb="FFF6F6EF"/>
        <bgColor rgb="FFF6F6EF"/>
      </patternFill>
    </fill>
  </fills>
  <borders count="22">
    <border/>
    <border>
      <top style="medium">
        <color rgb="FF000000"/>
      </top>
    </border>
    <border>
      <left style="thin">
        <color rgb="FF000000"/>
      </left>
    </border>
    <border>
      <left style="thin">
        <color rgb="FF000000"/>
      </left>
      <right style="thin">
        <color rgb="FF000000"/>
      </right>
      <top style="thin">
        <color rgb="FF000000"/>
      </top>
      <bottom style="thin">
        <color rgb="FF000000"/>
      </bottom>
    </border>
    <border>
      <right/>
    </border>
    <border>
      <left style="medium">
        <color rgb="FF999999"/>
      </left>
      <top style="medium">
        <color rgb="FF999999"/>
      </top>
    </border>
    <border>
      <top style="medium">
        <color rgb="FF999999"/>
      </top>
    </border>
    <border>
      <left style="thin">
        <color rgb="FF999999"/>
      </left>
      <right style="thin">
        <color rgb="FF999999"/>
      </right>
      <top style="thin">
        <color rgb="FF999999"/>
      </top>
      <bottom style="thin">
        <color rgb="FF999999"/>
      </bottom>
    </border>
    <border>
      <left style="medium">
        <color rgb="FF000000"/>
      </left>
      <top style="medium">
        <color rgb="FF000000"/>
      </top>
    </border>
    <border>
      <right style="medium">
        <color rgb="FF000000"/>
      </right>
      <top style="medium">
        <color rgb="FF000000"/>
      </top>
    </border>
    <border>
      <left style="medium">
        <color rgb="FF000000"/>
      </left>
      <right style="medium">
        <color rgb="FF000000"/>
      </right>
      <top style="medium">
        <color rgb="FF000000"/>
      </top>
      <bottom style="medium">
        <color rgb="FF000000"/>
      </bottom>
    </border>
    <border>
      <left style="thin">
        <color rgb="FF434343"/>
      </left>
      <right style="thin">
        <color rgb="FF434343"/>
      </right>
      <top style="thin">
        <color rgb="FF434343"/>
      </top>
      <bottom style="thin">
        <color rgb="FF434343"/>
      </bottom>
    </border>
    <border>
      <right style="thin">
        <color rgb="FF434343"/>
      </right>
      <top style="thin">
        <color rgb="FF434343"/>
      </top>
      <bottom style="thin">
        <color rgb="FF434343"/>
      </bottom>
    </border>
    <border>
      <top style="thin">
        <color rgb="FF999999"/>
      </top>
      <bottom style="thin">
        <color rgb="FF999999"/>
      </bottom>
    </border>
    <border>
      <left style="thin">
        <color rgb="FF999999"/>
      </left>
      <top style="thin">
        <color rgb="FF999999"/>
      </top>
      <bottom style="thin">
        <color rgb="FF999999"/>
      </bottom>
    </border>
    <border>
      <right style="thin">
        <color rgb="FF999999"/>
      </right>
    </border>
    <border>
      <left style="medium">
        <color rgb="FF000000"/>
      </left>
    </border>
    <border>
      <right style="medium">
        <color rgb="FF000000"/>
      </right>
    </border>
    <border>
      <left style="thin">
        <color rgb="FF434343"/>
      </left>
      <top style="thin">
        <color rgb="FF434343"/>
      </top>
      <bottom style="thin">
        <color rgb="FF434343"/>
      </bottom>
    </border>
    <border>
      <left style="thin">
        <color rgb="FF434343"/>
      </left>
      <right style="thin">
        <color rgb="FF434343"/>
      </right>
      <bottom style="thin">
        <color rgb="FF434343"/>
      </bottom>
    </border>
    <border>
      <right style="thin">
        <color rgb="FF999999"/>
      </right>
      <top style="thin">
        <color rgb="FF999999"/>
      </top>
      <bottom style="thin">
        <color rgb="FF999999"/>
      </bottom>
    </border>
    <border>
      <top style="thin">
        <color rgb="FF000000"/>
      </top>
    </border>
  </borders>
  <cellStyleXfs count="1">
    <xf borderId="0" fillId="0" fontId="0" numFmtId="0" applyAlignment="1" applyFont="1"/>
  </cellStyleXfs>
  <cellXfs count="709">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3" fontId="3" numFmtId="0" xfId="0" applyFill="1" applyFont="1"/>
    <xf borderId="0" fillId="0" fontId="2" numFmtId="0" xfId="0" applyFont="1"/>
    <xf borderId="0" fillId="4" fontId="4" numFmtId="164" xfId="0" applyAlignment="1" applyFill="1" applyFont="1" applyNumberFormat="1">
      <alignment horizontal="center" readingOrder="0" vertical="center"/>
    </xf>
    <xf borderId="0" fillId="0" fontId="2" numFmtId="165" xfId="0" applyFont="1" applyNumberFormat="1"/>
    <xf borderId="0" fillId="2" fontId="5" numFmtId="0" xfId="0" applyFont="1"/>
    <xf borderId="0" fillId="0" fontId="2" numFmtId="46" xfId="0" applyFont="1" applyNumberFormat="1"/>
    <xf borderId="0" fillId="5" fontId="6" numFmtId="0" xfId="0" applyAlignment="1" applyFill="1" applyFont="1">
      <alignment horizontal="center" readingOrder="0" vertical="center"/>
    </xf>
    <xf borderId="0" fillId="3" fontId="3" numFmtId="165" xfId="0" applyFont="1" applyNumberFormat="1"/>
    <xf borderId="0" fillId="6" fontId="6" numFmtId="0" xfId="0" applyAlignment="1" applyFill="1" applyFont="1">
      <alignment readingOrder="0"/>
    </xf>
    <xf borderId="0" fillId="7" fontId="5" numFmtId="0" xfId="0" applyFill="1" applyFont="1"/>
    <xf borderId="0" fillId="3" fontId="3" numFmtId="166" xfId="0" applyFont="1" applyNumberFormat="1"/>
    <xf borderId="0" fillId="7" fontId="5" numFmtId="10" xfId="0" applyFont="1" applyNumberFormat="1"/>
    <xf borderId="0" fillId="7" fontId="5" numFmtId="0" xfId="0" applyAlignment="1" applyFont="1">
      <alignment horizontal="right" vertical="bottom"/>
    </xf>
    <xf borderId="0" fillId="0" fontId="5" numFmtId="0" xfId="0" applyAlignment="1" applyFont="1">
      <alignment horizontal="right" vertical="bottom"/>
    </xf>
    <xf borderId="0" fillId="0" fontId="7" numFmtId="0" xfId="0" applyAlignment="1" applyFont="1">
      <alignment readingOrder="0"/>
    </xf>
    <xf borderId="0" fillId="0" fontId="2" numFmtId="0" xfId="0" applyAlignment="1" applyFont="1">
      <alignment horizontal="center" readingOrder="0" vertical="center"/>
    </xf>
    <xf borderId="0" fillId="8" fontId="6" numFmtId="0" xfId="0" applyAlignment="1" applyFill="1" applyFont="1">
      <alignment readingOrder="0"/>
    </xf>
    <xf borderId="0" fillId="9" fontId="5" numFmtId="0" xfId="0" applyFill="1" applyFont="1"/>
    <xf borderId="0" fillId="0" fontId="8" numFmtId="0" xfId="0" applyFont="1"/>
    <xf borderId="0" fillId="9" fontId="5" numFmtId="10" xfId="0" applyFont="1" applyNumberFormat="1"/>
    <xf borderId="0" fillId="0" fontId="2" numFmtId="166" xfId="0" applyFont="1" applyNumberFormat="1"/>
    <xf borderId="0" fillId="0" fontId="2" numFmtId="167" xfId="0" applyFont="1" applyNumberFormat="1"/>
    <xf borderId="0" fillId="9" fontId="5" numFmtId="0" xfId="0" applyAlignment="1" applyFont="1">
      <alignment horizontal="right" vertical="bottom"/>
    </xf>
    <xf borderId="0" fillId="10" fontId="6" numFmtId="0" xfId="0" applyAlignment="1" applyFill="1" applyFont="1">
      <alignment readingOrder="0"/>
    </xf>
    <xf borderId="0" fillId="11" fontId="5" numFmtId="0" xfId="0" applyFill="1" applyFont="1"/>
    <xf borderId="0" fillId="11" fontId="5" numFmtId="10" xfId="0" applyFont="1" applyNumberFormat="1"/>
    <xf borderId="0" fillId="11" fontId="5" numFmtId="0" xfId="0" applyAlignment="1" applyFont="1">
      <alignment horizontal="right" vertical="bottom"/>
    </xf>
    <xf borderId="0" fillId="12" fontId="6" numFmtId="0" xfId="0" applyAlignment="1" applyFill="1" applyFont="1">
      <alignment readingOrder="0"/>
    </xf>
    <xf borderId="0" fillId="13" fontId="5" numFmtId="0" xfId="0" applyFill="1" applyFont="1"/>
    <xf borderId="0" fillId="13" fontId="5" numFmtId="10" xfId="0" applyFont="1" applyNumberFormat="1"/>
    <xf borderId="0" fillId="13" fontId="5" numFmtId="0" xfId="0" applyAlignment="1" applyFont="1">
      <alignment horizontal="right" vertical="bottom"/>
    </xf>
    <xf borderId="0" fillId="14" fontId="6" numFmtId="0" xfId="0" applyAlignment="1" applyFill="1" applyFont="1">
      <alignment readingOrder="0"/>
    </xf>
    <xf borderId="0" fillId="15" fontId="6" numFmtId="0" xfId="0" applyAlignment="1" applyFill="1" applyFont="1">
      <alignment readingOrder="0"/>
    </xf>
    <xf borderId="0" fillId="16" fontId="5" numFmtId="0" xfId="0" applyFill="1" applyFont="1"/>
    <xf borderId="0" fillId="16" fontId="5" numFmtId="10" xfId="0" applyFont="1" applyNumberFormat="1"/>
    <xf borderId="0" fillId="16" fontId="5" numFmtId="0" xfId="0" applyAlignment="1" applyFont="1">
      <alignment horizontal="right" vertical="bottom"/>
    </xf>
    <xf borderId="1" fillId="5" fontId="6" numFmtId="0" xfId="0" applyAlignment="1" applyBorder="1" applyFont="1">
      <alignment readingOrder="0"/>
    </xf>
    <xf borderId="1" fillId="0" fontId="2" numFmtId="0" xfId="0" applyBorder="1" applyFont="1"/>
    <xf borderId="1" fillId="0" fontId="2" numFmtId="10" xfId="0" applyBorder="1" applyFont="1" applyNumberFormat="1"/>
    <xf borderId="0" fillId="5" fontId="6" numFmtId="0" xfId="0" applyAlignment="1" applyFont="1">
      <alignment readingOrder="0"/>
    </xf>
    <xf borderId="0" fillId="0" fontId="2" numFmtId="10" xfId="0" applyFont="1" applyNumberFormat="1"/>
    <xf borderId="0" fillId="0" fontId="2" numFmtId="168" xfId="0" applyFont="1" applyNumberFormat="1"/>
    <xf borderId="0" fillId="0" fontId="2" numFmtId="0" xfId="0" applyAlignment="1" applyFont="1">
      <alignment readingOrder="0"/>
    </xf>
    <xf borderId="0" fillId="5" fontId="6" numFmtId="0" xfId="0" applyAlignment="1" applyFont="1">
      <alignment horizontal="center" readingOrder="0" shrinkToFit="0" vertical="center" wrapText="1"/>
    </xf>
    <xf borderId="0" fillId="4" fontId="2" numFmtId="0" xfId="0" applyAlignment="1" applyFont="1">
      <alignment horizontal="center" vertical="center"/>
    </xf>
    <xf borderId="0" fillId="3" fontId="9" numFmtId="0" xfId="0" applyAlignment="1" applyFont="1">
      <alignment readingOrder="0" shrinkToFit="0" wrapText="0"/>
    </xf>
    <xf borderId="0" fillId="17" fontId="9" numFmtId="0" xfId="0" applyAlignment="1" applyFill="1" applyFont="1">
      <alignment shrinkToFit="0" wrapText="0"/>
    </xf>
    <xf borderId="0" fillId="18" fontId="9" numFmtId="0" xfId="0" applyAlignment="1" applyFill="1" applyFont="1">
      <alignment readingOrder="0" shrinkToFit="0" wrapText="0"/>
    </xf>
    <xf borderId="0" fillId="0" fontId="7" numFmtId="0" xfId="0" applyAlignment="1" applyFont="1">
      <alignment readingOrder="0" shrinkToFit="0" vertical="bottom" wrapText="0"/>
    </xf>
    <xf borderId="0" fillId="0" fontId="7" numFmtId="0" xfId="0" applyAlignment="1" applyFont="1">
      <alignment shrinkToFit="0" wrapText="0"/>
    </xf>
    <xf borderId="0" fillId="0" fontId="2" numFmtId="169" xfId="0" applyFont="1" applyNumberFormat="1"/>
    <xf borderId="0" fillId="0" fontId="2" numFmtId="49" xfId="0" applyFont="1" applyNumberFormat="1"/>
    <xf borderId="0" fillId="0" fontId="2" numFmtId="170" xfId="0" applyFont="1" applyNumberFormat="1"/>
    <xf borderId="0" fillId="0" fontId="2" numFmtId="0" xfId="0" applyAlignment="1" applyFont="1">
      <alignment shrinkToFit="0" wrapText="0"/>
    </xf>
    <xf borderId="0" fillId="0" fontId="2" numFmtId="165" xfId="0" applyAlignment="1" applyFont="1" applyNumberFormat="1">
      <alignment shrinkToFit="0" wrapText="0"/>
    </xf>
    <xf borderId="0" fillId="3" fontId="9" numFmtId="0" xfId="0" applyAlignment="1" applyFont="1">
      <alignment shrinkToFit="0" wrapText="0"/>
    </xf>
    <xf borderId="0" fillId="3" fontId="9" numFmtId="165" xfId="0" applyAlignment="1" applyFont="1" applyNumberFormat="1">
      <alignment shrinkToFit="0" wrapText="0"/>
    </xf>
    <xf borderId="0" fillId="18" fontId="9" numFmtId="0" xfId="0" applyAlignment="1" applyFont="1">
      <alignment readingOrder="0" shrinkToFit="0" wrapText="0"/>
    </xf>
    <xf borderId="0" fillId="3" fontId="9" numFmtId="0" xfId="0" applyAlignment="1" applyFont="1">
      <alignment readingOrder="0" shrinkToFit="0" wrapText="1"/>
    </xf>
    <xf borderId="0" fillId="3" fontId="9" numFmtId="165" xfId="0" applyAlignment="1" applyFont="1" applyNumberFormat="1">
      <alignment readingOrder="0" shrinkToFit="0" wrapText="0"/>
    </xf>
    <xf borderId="0" fillId="3" fontId="10" numFmtId="0" xfId="0" applyAlignment="1" applyFont="1">
      <alignment readingOrder="0" shrinkToFit="0" wrapText="0"/>
    </xf>
    <xf borderId="0" fillId="19" fontId="11" numFmtId="0" xfId="0" applyAlignment="1" applyFill="1" applyFont="1">
      <alignment shrinkToFit="0" wrapText="0"/>
    </xf>
    <xf borderId="0" fillId="0" fontId="7" numFmtId="165" xfId="0" applyAlignment="1" applyFont="1" applyNumberFormat="1">
      <alignment shrinkToFit="0" wrapText="0"/>
    </xf>
    <xf borderId="0" fillId="0" fontId="7" numFmtId="0" xfId="0" applyAlignment="1" applyFont="1">
      <alignment shrinkToFit="0" wrapText="0"/>
    </xf>
    <xf borderId="0" fillId="0" fontId="7" numFmtId="0" xfId="0" applyAlignment="1" applyFont="1">
      <alignment readingOrder="0" shrinkToFit="0" wrapText="0"/>
    </xf>
    <xf borderId="0" fillId="0" fontId="7" numFmtId="46" xfId="0" applyAlignment="1" applyFont="1" applyNumberFormat="1">
      <alignment shrinkToFit="0" wrapText="0"/>
    </xf>
    <xf borderId="0" fillId="0" fontId="7" numFmtId="0" xfId="0" applyAlignment="1" applyFont="1">
      <alignment readingOrder="0" shrinkToFit="0" wrapText="0"/>
    </xf>
    <xf borderId="0" fillId="0" fontId="12" numFmtId="0" xfId="0" applyAlignment="1" applyFont="1">
      <alignment readingOrder="0" shrinkToFit="0" wrapText="0"/>
    </xf>
    <xf borderId="0" fillId="0" fontId="7" numFmtId="46" xfId="0" applyAlignment="1" applyFont="1" applyNumberFormat="1">
      <alignment readingOrder="0" shrinkToFit="0" wrapText="0"/>
    </xf>
    <xf borderId="0" fillId="20" fontId="7" numFmtId="0" xfId="0" applyAlignment="1" applyFill="1" applyFont="1">
      <alignment readingOrder="0" shrinkToFit="0" wrapText="0"/>
    </xf>
    <xf borderId="0" fillId="0" fontId="13" numFmtId="0" xfId="0" applyAlignment="1" applyFont="1">
      <alignment readingOrder="0" shrinkToFit="0" wrapText="0"/>
    </xf>
    <xf borderId="0" fillId="0" fontId="2" numFmtId="0" xfId="0" applyAlignment="1" applyFont="1">
      <alignment shrinkToFit="0" wrapText="0"/>
    </xf>
    <xf borderId="0" fillId="20" fontId="0" numFmtId="0" xfId="0" applyAlignment="1" applyFont="1">
      <alignment readingOrder="0" shrinkToFit="0" wrapText="0"/>
    </xf>
    <xf borderId="0" fillId="0" fontId="14" numFmtId="0" xfId="0" applyAlignment="1" applyFont="1">
      <alignment readingOrder="0" shrinkToFit="0" wrapText="0"/>
    </xf>
    <xf borderId="0" fillId="0" fontId="15" numFmtId="0" xfId="0" applyAlignment="1" applyFont="1">
      <alignment readingOrder="0" shrinkToFit="0" wrapText="0"/>
    </xf>
    <xf borderId="0" fillId="0" fontId="7" numFmtId="0" xfId="0" applyAlignment="1" applyFont="1">
      <alignment shrinkToFit="0" vertical="bottom" wrapText="0"/>
    </xf>
    <xf borderId="0" fillId="0" fontId="7" numFmtId="0" xfId="0" applyAlignment="1" applyFont="1">
      <alignment horizontal="center" readingOrder="0" shrinkToFit="0" wrapText="0"/>
    </xf>
    <xf borderId="0" fillId="0" fontId="16" numFmtId="0" xfId="0" applyAlignment="1" applyFont="1">
      <alignment readingOrder="0"/>
    </xf>
    <xf borderId="0" fillId="0" fontId="17" numFmtId="0" xfId="0" applyAlignment="1" applyFont="1">
      <alignment shrinkToFit="0" wrapText="0"/>
    </xf>
    <xf borderId="0" fillId="16" fontId="7" numFmtId="0" xfId="0" applyAlignment="1" applyFont="1">
      <alignment readingOrder="0" shrinkToFit="0" vertical="bottom" wrapText="0"/>
    </xf>
    <xf borderId="0" fillId="21" fontId="18" numFmtId="0" xfId="0" applyAlignment="1" applyFill="1" applyFont="1">
      <alignment readingOrder="0" shrinkToFit="0" wrapText="0"/>
    </xf>
    <xf borderId="0" fillId="22" fontId="19" numFmtId="0" xfId="0" applyAlignment="1" applyFill="1" applyFont="1">
      <alignment shrinkToFit="0" wrapText="0"/>
    </xf>
    <xf borderId="0" fillId="0" fontId="0" numFmtId="46" xfId="0" applyAlignment="1" applyFont="1" applyNumberFormat="1">
      <alignment readingOrder="0" shrinkToFit="0" wrapText="0"/>
    </xf>
    <xf borderId="0" fillId="0" fontId="0" numFmtId="0" xfId="0" applyAlignment="1" applyFont="1">
      <alignment readingOrder="0" shrinkToFit="0" wrapText="0"/>
    </xf>
    <xf borderId="0" fillId="0" fontId="20" numFmtId="0" xfId="0" applyAlignment="1" applyFont="1">
      <alignment readingOrder="0" shrinkToFit="0" wrapText="0"/>
    </xf>
    <xf borderId="0" fillId="0" fontId="7" numFmtId="169" xfId="0" applyAlignment="1" applyFont="1" applyNumberFormat="1">
      <alignment readingOrder="0" shrinkToFit="0" wrapText="0"/>
    </xf>
    <xf borderId="0" fillId="21" fontId="21" numFmtId="0" xfId="0" applyAlignment="1" applyFont="1">
      <alignment readingOrder="0" shrinkToFit="0" wrapText="0"/>
    </xf>
    <xf borderId="0" fillId="0" fontId="22" numFmtId="0" xfId="0" applyAlignment="1" applyFont="1">
      <alignment readingOrder="0" shrinkToFit="0" wrapText="0"/>
    </xf>
    <xf borderId="0" fillId="0" fontId="23" numFmtId="0" xfId="0" applyAlignment="1" applyFont="1">
      <alignment readingOrder="0" shrinkToFit="0" wrapText="0"/>
    </xf>
    <xf borderId="0" fillId="23" fontId="10" numFmtId="0" xfId="0" applyAlignment="1" applyFill="1" applyFont="1">
      <alignment readingOrder="0" shrinkToFit="0" wrapText="0"/>
    </xf>
    <xf borderId="0" fillId="23" fontId="9" numFmtId="46" xfId="0" applyAlignment="1" applyFont="1" applyNumberFormat="1">
      <alignment readingOrder="0" shrinkToFit="0" wrapText="0"/>
    </xf>
    <xf borderId="0" fillId="23" fontId="9" numFmtId="0" xfId="0" applyAlignment="1" applyFont="1">
      <alignment readingOrder="0" shrinkToFit="0" wrapText="0"/>
    </xf>
    <xf borderId="0" fillId="21" fontId="24" numFmtId="0" xfId="0" applyAlignment="1" applyFont="1">
      <alignment readingOrder="0" shrinkToFit="0" wrapText="0"/>
    </xf>
    <xf borderId="0" fillId="16" fontId="7" numFmtId="0" xfId="0" applyAlignment="1" applyFont="1">
      <alignment shrinkToFit="0" wrapText="0"/>
    </xf>
    <xf borderId="0" fillId="24" fontId="7" numFmtId="0" xfId="0" applyAlignment="1" applyFill="1" applyFont="1">
      <alignment readingOrder="0" shrinkToFit="0" wrapText="0"/>
    </xf>
    <xf borderId="0" fillId="0" fontId="7" numFmtId="0" xfId="0" applyAlignment="1" applyFont="1">
      <alignment shrinkToFit="0" wrapText="0"/>
    </xf>
    <xf borderId="0" fillId="0" fontId="7" numFmtId="46" xfId="0" applyFont="1" applyNumberFormat="1"/>
    <xf borderId="0" fillId="0" fontId="23" numFmtId="0" xfId="0" applyAlignment="1" applyFont="1">
      <alignment readingOrder="0"/>
    </xf>
    <xf borderId="0" fillId="0" fontId="25" numFmtId="0" xfId="0" applyAlignment="1" applyFont="1">
      <alignment horizontal="left" shrinkToFit="0" vertical="center" wrapText="0"/>
    </xf>
    <xf borderId="0" fillId="0" fontId="26" numFmtId="46" xfId="0" applyAlignment="1" applyFont="1" applyNumberFormat="1">
      <alignment readingOrder="0" shrinkToFit="0" wrapText="0"/>
    </xf>
    <xf borderId="0" fillId="0" fontId="27" numFmtId="0" xfId="0" applyAlignment="1" applyFont="1">
      <alignment readingOrder="0" shrinkToFit="0" wrapText="0"/>
    </xf>
    <xf borderId="0" fillId="0" fontId="28" numFmtId="0" xfId="0" applyAlignment="1" applyFont="1">
      <alignment readingOrder="0" shrinkToFit="0" wrapText="0"/>
    </xf>
    <xf borderId="0" fillId="20" fontId="23" numFmtId="0" xfId="0" applyAlignment="1" applyFont="1">
      <alignment readingOrder="0" shrinkToFit="0" wrapText="0"/>
    </xf>
    <xf borderId="0" fillId="0" fontId="29" numFmtId="0" xfId="0" applyAlignment="1" applyFont="1">
      <alignment horizontal="left" readingOrder="0"/>
    </xf>
    <xf borderId="0" fillId="19" fontId="30" numFmtId="0" xfId="0" applyAlignment="1" applyFont="1">
      <alignment readingOrder="0" shrinkToFit="0" wrapText="0"/>
    </xf>
    <xf borderId="0" fillId="19" fontId="7" numFmtId="46" xfId="0" applyAlignment="1" applyFont="1" applyNumberFormat="1">
      <alignment readingOrder="0" shrinkToFit="0" wrapText="0"/>
    </xf>
    <xf borderId="0" fillId="19" fontId="7" numFmtId="0" xfId="0" applyAlignment="1" applyFont="1">
      <alignment shrinkToFit="0" wrapText="0"/>
    </xf>
    <xf borderId="0" fillId="0" fontId="9" numFmtId="0" xfId="0" applyAlignment="1" applyFont="1">
      <alignment shrinkToFit="0" wrapText="0"/>
    </xf>
    <xf borderId="0" fillId="0" fontId="31" numFmtId="0" xfId="0" applyAlignment="1" applyFont="1">
      <alignment readingOrder="0"/>
    </xf>
    <xf borderId="0" fillId="19" fontId="9" numFmtId="0" xfId="0" applyAlignment="1" applyFont="1">
      <alignment readingOrder="0" shrinkToFit="0" wrapText="0"/>
    </xf>
    <xf borderId="0" fillId="24" fontId="9" numFmtId="0" xfId="0" applyAlignment="1" applyFont="1">
      <alignment readingOrder="0" shrinkToFit="0" wrapText="0"/>
    </xf>
    <xf borderId="0" fillId="0" fontId="7" numFmtId="46" xfId="0" applyAlignment="1" applyFont="1" applyNumberFormat="1">
      <alignment readingOrder="0"/>
    </xf>
    <xf borderId="0" fillId="19" fontId="9" numFmtId="168" xfId="0" applyAlignment="1" applyFont="1" applyNumberFormat="1">
      <alignment readingOrder="0" shrinkToFit="0" wrapText="0"/>
    </xf>
    <xf borderId="0" fillId="20" fontId="9" numFmtId="0" xfId="0" applyAlignment="1" applyFont="1">
      <alignment readingOrder="0" shrinkToFit="0" wrapText="0"/>
    </xf>
    <xf borderId="0" fillId="0" fontId="2" numFmtId="168" xfId="0" applyAlignment="1" applyFont="1" applyNumberFormat="1">
      <alignment readingOrder="0"/>
    </xf>
    <xf borderId="0" fillId="0" fontId="32" numFmtId="0" xfId="0" applyAlignment="1" applyFont="1">
      <alignment readingOrder="0" shrinkToFit="0" wrapText="0"/>
    </xf>
    <xf borderId="0" fillId="20" fontId="7" numFmtId="0" xfId="0" applyAlignment="1" applyFont="1">
      <alignment shrinkToFit="0" wrapText="0"/>
    </xf>
    <xf borderId="0" fillId="19" fontId="7" numFmtId="168" xfId="0" applyAlignment="1" applyFont="1" applyNumberFormat="1">
      <alignment readingOrder="0" shrinkToFit="0" wrapText="0"/>
    </xf>
    <xf borderId="0" fillId="11" fontId="33" numFmtId="0" xfId="0" applyAlignment="1" applyFont="1">
      <alignment readingOrder="0" shrinkToFit="0" wrapText="0"/>
    </xf>
    <xf borderId="0" fillId="25" fontId="7" numFmtId="0" xfId="0" applyAlignment="1" applyFill="1" applyFont="1">
      <alignment shrinkToFit="0" wrapText="0"/>
    </xf>
    <xf borderId="0" fillId="25" fontId="7" numFmtId="0" xfId="0" applyAlignment="1" applyFont="1">
      <alignment readingOrder="0" shrinkToFit="0" wrapText="0"/>
    </xf>
    <xf borderId="0" fillId="0" fontId="34" numFmtId="46" xfId="0" applyAlignment="1" applyFont="1" applyNumberFormat="1">
      <alignment readingOrder="0"/>
    </xf>
    <xf borderId="0" fillId="0" fontId="35" numFmtId="0" xfId="0" applyAlignment="1" applyFont="1">
      <alignment readingOrder="0"/>
    </xf>
    <xf borderId="0" fillId="21" fontId="36" numFmtId="0" xfId="0" applyAlignment="1" applyFont="1">
      <alignment readingOrder="0" shrinkToFit="0" wrapText="0"/>
    </xf>
    <xf borderId="0" fillId="0" fontId="7" numFmtId="0" xfId="0" applyAlignment="1" applyFont="1">
      <alignment readingOrder="0" shrinkToFit="0" wrapText="0"/>
    </xf>
    <xf borderId="0" fillId="0" fontId="37" numFmtId="168" xfId="0" applyAlignment="1" applyFont="1" applyNumberFormat="1">
      <alignment readingOrder="0" shrinkToFit="0" wrapText="0"/>
    </xf>
    <xf borderId="0" fillId="20" fontId="38" numFmtId="168" xfId="0" applyAlignment="1" applyFont="1" applyNumberFormat="1">
      <alignment readingOrder="0" shrinkToFit="0" wrapText="0"/>
    </xf>
    <xf borderId="0" fillId="20" fontId="28" numFmtId="0" xfId="0" applyAlignment="1" applyFont="1">
      <alignment readingOrder="0" shrinkToFit="0" wrapText="0"/>
    </xf>
    <xf borderId="0" fillId="0" fontId="39" numFmtId="0" xfId="0" applyAlignment="1" applyFont="1">
      <alignment shrinkToFit="0" wrapText="0"/>
    </xf>
    <xf borderId="0" fillId="19" fontId="40" numFmtId="0" xfId="0" applyAlignment="1" applyFont="1">
      <alignment readingOrder="0" shrinkToFit="0" wrapText="0"/>
    </xf>
    <xf borderId="0" fillId="0" fontId="7" numFmtId="0" xfId="0" applyAlignment="1" applyFont="1">
      <alignment readingOrder="0" shrinkToFit="0" wrapText="0"/>
    </xf>
    <xf borderId="0" fillId="19" fontId="7" numFmtId="0" xfId="0" applyAlignment="1" applyFont="1">
      <alignment readingOrder="0" shrinkToFit="0" wrapText="0"/>
    </xf>
    <xf borderId="0" fillId="20" fontId="7" numFmtId="0" xfId="0" applyAlignment="1" applyFont="1">
      <alignment readingOrder="0" shrinkToFit="0" vertical="bottom" wrapText="0"/>
    </xf>
    <xf borderId="0" fillId="11" fontId="41" numFmtId="0" xfId="0" applyAlignment="1" applyFont="1">
      <alignment readingOrder="0" shrinkToFit="0" wrapText="0"/>
    </xf>
    <xf borderId="0" fillId="0" fontId="37" numFmtId="0" xfId="0" applyAlignment="1" applyFont="1">
      <alignment readingOrder="0" shrinkToFit="0" wrapText="0"/>
    </xf>
    <xf borderId="0" fillId="0" fontId="42" numFmtId="0" xfId="0" applyAlignment="1" applyFont="1">
      <alignment readingOrder="0" shrinkToFit="0" wrapText="0"/>
    </xf>
    <xf borderId="0" fillId="19" fontId="43" numFmtId="0" xfId="0" applyAlignment="1" applyFont="1">
      <alignment readingOrder="0" shrinkToFit="0" wrapText="0"/>
    </xf>
    <xf borderId="0" fillId="0" fontId="7" numFmtId="168" xfId="0" applyAlignment="1" applyFont="1" applyNumberFormat="1">
      <alignment readingOrder="0" shrinkToFit="0" wrapText="0"/>
    </xf>
    <xf borderId="0" fillId="0" fontId="23" numFmtId="0" xfId="0" applyAlignment="1" applyFont="1">
      <alignment readingOrder="0" shrinkToFit="0" wrapText="0"/>
    </xf>
    <xf borderId="0" fillId="0" fontId="44" numFmtId="0" xfId="0" applyAlignment="1" applyFont="1">
      <alignment readingOrder="0"/>
    </xf>
    <xf borderId="0" fillId="0" fontId="45" numFmtId="0" xfId="0" applyAlignment="1" applyFont="1">
      <alignment readingOrder="0" shrinkToFit="0" wrapText="0"/>
    </xf>
    <xf borderId="0" fillId="0" fontId="46" numFmtId="0" xfId="0" applyAlignment="1" applyFont="1">
      <alignment shrinkToFit="0" vertical="bottom" wrapText="0"/>
    </xf>
    <xf borderId="0" fillId="26" fontId="7" numFmtId="0" xfId="0" applyAlignment="1" applyFill="1" applyFont="1">
      <alignment shrinkToFit="0" vertical="bottom" wrapText="0"/>
    </xf>
    <xf borderId="0" fillId="0" fontId="7" numFmtId="0" xfId="0" applyAlignment="1" applyFont="1">
      <alignment shrinkToFit="0" vertical="bottom" wrapText="0"/>
    </xf>
    <xf borderId="0" fillId="17" fontId="47" numFmtId="0" xfId="0" applyAlignment="1" applyFont="1">
      <alignment readingOrder="0"/>
    </xf>
    <xf borderId="0" fillId="27" fontId="7" numFmtId="0" xfId="0" applyAlignment="1" applyFill="1" applyFont="1">
      <alignment shrinkToFit="0" wrapText="0"/>
    </xf>
    <xf borderId="0" fillId="17" fontId="7" numFmtId="46" xfId="0" applyAlignment="1" applyFont="1" applyNumberFormat="1">
      <alignment shrinkToFit="0" wrapText="0"/>
    </xf>
    <xf borderId="0" fillId="17" fontId="7" numFmtId="0" xfId="0" applyAlignment="1" applyFont="1">
      <alignment readingOrder="0" shrinkToFit="0" wrapText="0"/>
    </xf>
    <xf borderId="0" fillId="17" fontId="7" numFmtId="0" xfId="0" applyAlignment="1" applyFont="1">
      <alignment shrinkToFit="0" wrapText="0"/>
    </xf>
    <xf borderId="0" fillId="0" fontId="48" numFmtId="0" xfId="0" applyAlignment="1" applyFont="1">
      <alignment readingOrder="0" shrinkToFit="0" wrapText="0"/>
    </xf>
    <xf borderId="0" fillId="0" fontId="49" numFmtId="0" xfId="0" applyAlignment="1" applyFont="1">
      <alignment readingOrder="0" shrinkToFit="0" wrapText="0"/>
    </xf>
    <xf borderId="0" fillId="11" fontId="50" numFmtId="0" xfId="0" applyAlignment="1" applyFont="1">
      <alignment readingOrder="0" shrinkToFit="0" wrapText="0"/>
    </xf>
    <xf borderId="0" fillId="16" fontId="51" numFmtId="0" xfId="0" applyAlignment="1" applyFont="1">
      <alignment readingOrder="0" shrinkToFit="0" wrapText="0"/>
    </xf>
    <xf borderId="0" fillId="0" fontId="2" numFmtId="169" xfId="0" applyAlignment="1" applyFont="1" applyNumberFormat="1">
      <alignment readingOrder="0"/>
    </xf>
    <xf borderId="0" fillId="19" fontId="52" numFmtId="0" xfId="0" applyAlignment="1" applyFont="1">
      <alignment readingOrder="0"/>
    </xf>
    <xf borderId="0" fillId="16" fontId="53" numFmtId="0" xfId="0" applyAlignment="1" applyFont="1">
      <alignment readingOrder="0" shrinkToFit="0" wrapText="0"/>
    </xf>
    <xf borderId="0" fillId="0" fontId="9" numFmtId="0" xfId="0" applyAlignment="1" applyFont="1">
      <alignment readingOrder="0" shrinkToFit="0" wrapText="0"/>
    </xf>
    <xf borderId="0" fillId="28" fontId="54" numFmtId="0" xfId="0" applyAlignment="1" applyFill="1" applyFont="1">
      <alignment readingOrder="0" shrinkToFit="0" wrapText="0"/>
    </xf>
    <xf borderId="0" fillId="29" fontId="2" numFmtId="0" xfId="0" applyFill="1" applyFont="1"/>
    <xf borderId="0" fillId="3" fontId="3" numFmtId="0" xfId="0" applyAlignment="1" applyFont="1">
      <alignment readingOrder="0"/>
    </xf>
    <xf borderId="0" fillId="17" fontId="3" numFmtId="0" xfId="0" applyFont="1"/>
    <xf borderId="0" fillId="18" fontId="3" numFmtId="0" xfId="0" applyAlignment="1" applyFont="1">
      <alignment readingOrder="0"/>
    </xf>
    <xf borderId="0" fillId="18" fontId="3"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xf>
    <xf borderId="0" fillId="19" fontId="55" numFmtId="0" xfId="0" applyAlignment="1" applyFont="1">
      <alignment horizontal="left" readingOrder="0"/>
    </xf>
    <xf borderId="0" fillId="24" fontId="2" numFmtId="0" xfId="0" applyAlignment="1" applyFont="1">
      <alignment readingOrder="0"/>
    </xf>
    <xf borderId="0" fillId="0" fontId="9" numFmtId="46" xfId="0" applyAlignment="1" applyFont="1" applyNumberFormat="1">
      <alignment readingOrder="0" shrinkToFit="0" wrapText="0"/>
    </xf>
    <xf borderId="0" fillId="16" fontId="56" numFmtId="0" xfId="0" applyAlignment="1" applyFont="1">
      <alignment readingOrder="0" shrinkToFit="0" wrapText="0"/>
    </xf>
    <xf borderId="0" fillId="0" fontId="7" numFmtId="46" xfId="0" applyAlignment="1" applyFont="1" applyNumberFormat="1">
      <alignment readingOrder="0" shrinkToFit="0" wrapText="0"/>
    </xf>
    <xf borderId="0" fillId="30" fontId="57" numFmtId="0" xfId="0" applyAlignment="1" applyFill="1" applyFont="1">
      <alignment readingOrder="0" shrinkToFit="0" vertical="center" wrapText="0"/>
    </xf>
    <xf borderId="0" fillId="30" fontId="9" numFmtId="46" xfId="0" applyAlignment="1" applyFont="1" applyNumberFormat="1">
      <alignment readingOrder="0" shrinkToFit="0" wrapText="0"/>
    </xf>
    <xf borderId="0" fillId="30" fontId="9" numFmtId="0" xfId="0" applyAlignment="1" applyFont="1">
      <alignment readingOrder="0" shrinkToFit="0" wrapText="0"/>
    </xf>
    <xf borderId="0" fillId="16" fontId="48" numFmtId="0" xfId="0" applyAlignment="1" applyFont="1">
      <alignment readingOrder="0" shrinkToFit="0" wrapText="0"/>
    </xf>
    <xf borderId="0" fillId="30" fontId="2" numFmtId="0" xfId="0" applyFont="1"/>
    <xf borderId="0" fillId="30" fontId="3" numFmtId="0" xfId="0" applyAlignment="1" applyFont="1">
      <alignment readingOrder="0"/>
    </xf>
    <xf borderId="0" fillId="30" fontId="6" numFmtId="0" xfId="0" applyAlignment="1" applyFont="1">
      <alignment readingOrder="0" shrinkToFit="0" vertical="bottom" wrapText="0"/>
    </xf>
    <xf borderId="0" fillId="30" fontId="6" numFmtId="0" xfId="0" applyAlignment="1" applyFont="1">
      <alignment shrinkToFit="0" vertical="bottom" wrapText="0"/>
    </xf>
    <xf borderId="0" fillId="30" fontId="2" numFmtId="0" xfId="0" applyAlignment="1" applyFont="1">
      <alignment shrinkToFit="0" wrapText="0"/>
    </xf>
    <xf borderId="0" fillId="3" fontId="6" numFmtId="166" xfId="0" applyAlignment="1" applyFont="1" applyNumberFormat="1">
      <alignment shrinkToFit="0" vertical="bottom" wrapText="0"/>
    </xf>
    <xf borderId="0" fillId="3" fontId="6" numFmtId="0" xfId="0" applyAlignment="1" applyFont="1">
      <alignment shrinkToFit="0" vertical="bottom" wrapText="0"/>
    </xf>
    <xf borderId="0" fillId="3" fontId="6" numFmtId="165" xfId="0" applyAlignment="1" applyFont="1" applyNumberFormat="1">
      <alignment shrinkToFit="0" vertical="bottom" wrapText="0"/>
    </xf>
    <xf borderId="0" fillId="18" fontId="3" numFmtId="0" xfId="0" applyAlignment="1" applyFont="1">
      <alignment horizontal="center" readingOrder="0"/>
    </xf>
    <xf borderId="0" fillId="3" fontId="3" numFmtId="0" xfId="0" applyAlignment="1" applyFont="1">
      <alignment horizontal="center" readingOrder="0"/>
    </xf>
    <xf borderId="0" fillId="3" fontId="9" numFmtId="46" xfId="0" applyAlignment="1" applyFont="1" applyNumberFormat="1">
      <alignment readingOrder="0" shrinkToFit="0" wrapText="0"/>
    </xf>
    <xf borderId="0" fillId="3" fontId="2" numFmtId="0" xfId="0" applyFont="1"/>
    <xf borderId="0" fillId="21" fontId="3" numFmtId="0" xfId="0" applyAlignment="1" applyFont="1">
      <alignment readingOrder="0"/>
    </xf>
    <xf borderId="0" fillId="26" fontId="58" numFmtId="0" xfId="0" applyAlignment="1" applyFont="1">
      <alignment readingOrder="0" shrinkToFit="0" vertical="bottom" wrapText="0"/>
    </xf>
    <xf borderId="0" fillId="3" fontId="6" numFmtId="0" xfId="0" applyAlignment="1" applyFont="1">
      <alignment readingOrder="0" shrinkToFit="0" vertical="bottom" wrapText="0"/>
    </xf>
    <xf borderId="0" fillId="31" fontId="5" numFmtId="0" xfId="0" applyAlignment="1" applyFill="1" applyFont="1">
      <alignment shrinkToFit="0" vertical="bottom" wrapText="0"/>
    </xf>
    <xf borderId="0" fillId="16" fontId="59" numFmtId="0" xfId="0" applyAlignment="1" applyFont="1">
      <alignment readingOrder="0" shrinkToFit="0" wrapText="0"/>
    </xf>
    <xf borderId="0" fillId="31" fontId="2" numFmtId="0" xfId="0" applyAlignment="1" applyFont="1">
      <alignment readingOrder="0" shrinkToFit="0" wrapText="0"/>
    </xf>
    <xf borderId="0" fillId="31" fontId="60" numFmtId="0" xfId="0" applyAlignment="1" applyFont="1">
      <alignment readingOrder="0"/>
    </xf>
    <xf borderId="0" fillId="31" fontId="2" numFmtId="0" xfId="0" applyAlignment="1" applyFont="1">
      <alignment readingOrder="0" vertical="bottom"/>
    </xf>
    <xf borderId="0" fillId="31" fontId="7" numFmtId="0" xfId="0" applyAlignment="1" applyFont="1">
      <alignment readingOrder="0" shrinkToFit="0" vertical="bottom" wrapText="0"/>
    </xf>
    <xf borderId="0" fillId="31" fontId="7" numFmtId="46" xfId="0" applyAlignment="1" applyFont="1" applyNumberFormat="1">
      <alignment readingOrder="0" shrinkToFit="0" wrapText="0"/>
    </xf>
    <xf borderId="0" fillId="31" fontId="7" numFmtId="0" xfId="0" applyAlignment="1" applyFont="1">
      <alignment shrinkToFit="0" wrapText="0"/>
    </xf>
    <xf borderId="0" fillId="31" fontId="61" numFmtId="0" xfId="0" applyAlignment="1" applyFont="1">
      <alignment readingOrder="0" shrinkToFit="0" wrapText="0"/>
    </xf>
    <xf borderId="0" fillId="31" fontId="6" numFmtId="0" xfId="0" applyAlignment="1" applyFont="1">
      <alignment shrinkToFit="0" vertical="bottom" wrapText="0"/>
    </xf>
    <xf borderId="0" fillId="31" fontId="6" numFmtId="0" xfId="0" applyAlignment="1" applyFont="1">
      <alignment readingOrder="0" shrinkToFit="0" vertical="bottom" wrapText="0"/>
    </xf>
    <xf borderId="0" fillId="0" fontId="2" numFmtId="0" xfId="0" applyAlignment="1" applyFont="1">
      <alignment readingOrder="0" shrinkToFit="0" wrapText="0"/>
    </xf>
    <xf borderId="0" fillId="19" fontId="62" numFmtId="0" xfId="0" applyAlignment="1" applyFont="1">
      <alignment horizontal="left" readingOrder="0"/>
    </xf>
    <xf borderId="0" fillId="19" fontId="2" numFmtId="0" xfId="0" applyFont="1"/>
    <xf borderId="0" fillId="19" fontId="2" numFmtId="0" xfId="0" applyAlignment="1" applyFont="1">
      <alignment readingOrder="0"/>
    </xf>
    <xf borderId="0" fillId="19" fontId="63" numFmtId="0" xfId="0" applyAlignment="1" applyFont="1">
      <alignment readingOrder="0"/>
    </xf>
    <xf borderId="0" fillId="16" fontId="64" numFmtId="0" xfId="0" applyAlignment="1" applyFont="1">
      <alignment readingOrder="0" shrinkToFit="0" wrapText="0"/>
    </xf>
    <xf borderId="0" fillId="0" fontId="2" numFmtId="0" xfId="0" applyAlignment="1" applyFont="1">
      <alignment readingOrder="0" shrinkToFit="0" wrapText="0"/>
    </xf>
    <xf borderId="0" fillId="32" fontId="2" numFmtId="169" xfId="0" applyAlignment="1" applyFill="1" applyFont="1" applyNumberFormat="1">
      <alignment readingOrder="0"/>
    </xf>
    <xf borderId="0" fillId="32" fontId="2" numFmtId="0" xfId="0" applyFont="1"/>
    <xf borderId="0" fillId="32" fontId="2" numFmtId="0" xfId="0" applyAlignment="1" applyFont="1">
      <alignment shrinkToFit="0" wrapText="0"/>
    </xf>
    <xf borderId="0" fillId="32" fontId="65" numFmtId="0" xfId="0" applyAlignment="1" applyFont="1">
      <alignment readingOrder="0" shrinkToFit="0" wrapText="0"/>
    </xf>
    <xf borderId="0" fillId="19" fontId="26" numFmtId="46" xfId="0" applyAlignment="1" applyFont="1" applyNumberFormat="1">
      <alignment readingOrder="0" shrinkToFit="0" wrapText="0"/>
    </xf>
    <xf borderId="0" fillId="0" fontId="26" numFmtId="0" xfId="0" applyAlignment="1" applyFont="1">
      <alignment readingOrder="0" shrinkToFit="0" wrapText="0"/>
    </xf>
    <xf borderId="0" fillId="0" fontId="7" numFmtId="165" xfId="0" applyAlignment="1" applyFont="1" applyNumberFormat="1">
      <alignment readingOrder="0" shrinkToFit="0" wrapText="0"/>
    </xf>
    <xf borderId="0" fillId="19" fontId="66" numFmtId="0" xfId="0" applyAlignment="1" applyFont="1">
      <alignment readingOrder="0"/>
    </xf>
    <xf borderId="0" fillId="3" fontId="9" numFmtId="0" xfId="0" applyFont="1"/>
    <xf borderId="0" fillId="3" fontId="9" numFmtId="0" xfId="0" applyAlignment="1" applyFont="1">
      <alignment readingOrder="0"/>
    </xf>
    <xf borderId="0" fillId="0" fontId="55" numFmtId="168" xfId="0" applyAlignment="1" applyFont="1" applyNumberFormat="1">
      <alignment readingOrder="0"/>
    </xf>
    <xf borderId="0" fillId="0" fontId="67" numFmtId="0" xfId="0" applyAlignment="1" applyFont="1">
      <alignment readingOrder="0" shrinkToFit="0" vertical="center" wrapText="1"/>
    </xf>
    <xf borderId="0" fillId="0" fontId="68" numFmtId="0" xfId="0" applyAlignment="1" applyFont="1">
      <alignment readingOrder="0" shrinkToFit="0" vertical="center" wrapText="1"/>
    </xf>
    <xf borderId="0" fillId="16" fontId="69" numFmtId="0" xfId="0" applyAlignment="1" applyFont="1">
      <alignment readingOrder="0" shrinkToFit="0" wrapText="0"/>
    </xf>
    <xf borderId="0" fillId="29" fontId="3" numFmtId="0" xfId="0" applyFont="1"/>
    <xf borderId="0" fillId="29" fontId="9" numFmtId="0" xfId="0" applyAlignment="1" applyFont="1">
      <alignment shrinkToFit="0" wrapText="0"/>
    </xf>
    <xf borderId="0" fillId="29" fontId="3" numFmtId="165" xfId="0" applyFont="1" applyNumberFormat="1"/>
    <xf borderId="0" fillId="29" fontId="3" numFmtId="0" xfId="0" applyAlignment="1" applyFont="1">
      <alignment shrinkToFit="0" wrapText="0"/>
    </xf>
    <xf borderId="0" fillId="0" fontId="9" numFmtId="169" xfId="0" applyAlignment="1" applyFont="1" applyNumberFormat="1">
      <alignment readingOrder="0" shrinkToFit="0" wrapText="0"/>
    </xf>
    <xf borderId="0" fillId="19" fontId="70" numFmtId="0" xfId="0" applyAlignment="1" applyFont="1">
      <alignment readingOrder="0"/>
    </xf>
    <xf borderId="0" fillId="17" fontId="71" numFmtId="0" xfId="0" applyAlignment="1" applyFont="1">
      <alignment readingOrder="0" shrinkToFit="0" wrapText="0"/>
    </xf>
    <xf borderId="0" fillId="0" fontId="7" numFmtId="169" xfId="0" applyAlignment="1" applyFont="1" applyNumberFormat="1">
      <alignment readingOrder="0" shrinkToFit="0" wrapText="0"/>
    </xf>
    <xf borderId="0" fillId="21" fontId="7" numFmtId="0" xfId="0" applyAlignment="1" applyFont="1">
      <alignment shrinkToFit="0" wrapText="0"/>
    </xf>
    <xf borderId="0" fillId="11" fontId="72" numFmtId="0" xfId="0" applyAlignment="1" applyFont="1">
      <alignment readingOrder="0" shrinkToFit="0" wrapText="0"/>
    </xf>
    <xf borderId="0" fillId="27" fontId="7" numFmtId="0" xfId="0" applyAlignment="1" applyFont="1">
      <alignment readingOrder="0" shrinkToFit="0" vertical="bottom" wrapText="0"/>
    </xf>
    <xf borderId="0" fillId="19" fontId="0" numFmtId="46" xfId="0" applyAlignment="1" applyFont="1" applyNumberFormat="1">
      <alignment horizontal="right" readingOrder="0"/>
    </xf>
    <xf borderId="0" fillId="16" fontId="7" numFmtId="0" xfId="0" applyAlignment="1" applyFont="1">
      <alignment shrinkToFit="0" vertical="bottom" wrapText="0"/>
    </xf>
    <xf borderId="0" fillId="20" fontId="7" numFmtId="168" xfId="0" applyAlignment="1" applyFont="1" applyNumberFormat="1">
      <alignment readingOrder="0" shrinkToFit="0" wrapText="0"/>
    </xf>
    <xf borderId="0" fillId="0" fontId="28" numFmtId="0" xfId="0" applyAlignment="1" applyFont="1">
      <alignment readingOrder="0"/>
    </xf>
    <xf borderId="0" fillId="0" fontId="0" numFmtId="0" xfId="0" applyAlignment="1" applyFont="1">
      <alignment readingOrder="0" shrinkToFit="0" vertical="bottom" wrapText="0"/>
    </xf>
    <xf borderId="0" fillId="19" fontId="43" numFmtId="0" xfId="0" applyAlignment="1" applyFont="1">
      <alignment readingOrder="0"/>
    </xf>
    <xf borderId="0" fillId="21" fontId="73" numFmtId="0" xfId="0" applyAlignment="1" applyFont="1">
      <alignment readingOrder="0" shrinkToFit="0" vertical="center" wrapText="0"/>
    </xf>
    <xf borderId="0" fillId="33" fontId="74" numFmtId="0" xfId="0" applyAlignment="1" applyFill="1" applyFont="1">
      <alignment horizontal="center" readingOrder="0" shrinkToFit="0" vertical="center" wrapText="0"/>
    </xf>
    <xf borderId="0" fillId="33" fontId="74" numFmtId="0" xfId="0" applyAlignment="1" applyFont="1">
      <alignment readingOrder="0" shrinkToFit="0" vertical="center" wrapText="0"/>
    </xf>
    <xf borderId="0" fillId="33" fontId="75" numFmtId="0" xfId="0" applyAlignment="1" applyFont="1">
      <alignment horizontal="center" readingOrder="0" shrinkToFit="0" vertical="center" wrapText="0"/>
    </xf>
    <xf borderId="0" fillId="33" fontId="74" numFmtId="49" xfId="0" applyAlignment="1" applyFont="1" applyNumberFormat="1">
      <alignment horizontal="center" readingOrder="0" shrinkToFit="0" vertical="center" wrapText="0"/>
    </xf>
    <xf borderId="0" fillId="4" fontId="76" numFmtId="0" xfId="0" applyAlignment="1" applyFont="1">
      <alignment readingOrder="0" shrinkToFit="0" wrapText="0"/>
    </xf>
    <xf borderId="0" fillId="4" fontId="77" numFmtId="0" xfId="0" applyAlignment="1" applyFont="1">
      <alignment readingOrder="0" shrinkToFit="0" wrapText="0"/>
    </xf>
    <xf borderId="0" fillId="4" fontId="76" numFmtId="0" xfId="0" applyAlignment="1" applyFont="1">
      <alignment horizontal="center" readingOrder="0" shrinkToFit="0" wrapText="0"/>
    </xf>
    <xf borderId="0" fillId="4" fontId="76" numFmtId="49" xfId="0" applyAlignment="1" applyFont="1" applyNumberFormat="1">
      <alignment horizontal="center" readingOrder="0" shrinkToFit="0" wrapText="0"/>
    </xf>
    <xf borderId="0" fillId="4" fontId="76" numFmtId="49" xfId="0" applyAlignment="1" applyFont="1" applyNumberFormat="1">
      <alignment readingOrder="0" shrinkToFit="0" wrapText="0"/>
    </xf>
    <xf borderId="0" fillId="4" fontId="78" numFmtId="49" xfId="0" applyAlignment="1" applyFont="1" applyNumberFormat="1">
      <alignment horizontal="center" readingOrder="0" shrinkToFit="0" vertical="center" wrapText="0"/>
    </xf>
    <xf borderId="0" fillId="16" fontId="79" numFmtId="0" xfId="0" applyAlignment="1" applyFont="1">
      <alignment readingOrder="0" shrinkToFit="0" wrapText="0"/>
    </xf>
    <xf borderId="0" fillId="0" fontId="80" numFmtId="0" xfId="0" applyAlignment="1" applyFont="1">
      <alignment readingOrder="0" shrinkToFit="0" wrapText="0"/>
    </xf>
    <xf borderId="0" fillId="0" fontId="79" numFmtId="0" xfId="0" applyAlignment="1" applyFont="1">
      <alignment shrinkToFit="0" wrapText="0"/>
    </xf>
    <xf borderId="0" fillId="0" fontId="79" numFmtId="0" xfId="0" applyAlignment="1" applyFont="1">
      <alignment readingOrder="0" shrinkToFit="0" wrapText="0"/>
    </xf>
    <xf borderId="0" fillId="0" fontId="81" numFmtId="0" xfId="0" applyAlignment="1" applyFont="1">
      <alignment shrinkToFit="0" vertical="bottom" wrapText="0"/>
    </xf>
    <xf borderId="0" fillId="0" fontId="79" numFmtId="0" xfId="0" applyAlignment="1" applyFont="1">
      <alignment horizontal="center" readingOrder="0" shrinkToFit="0" wrapText="0"/>
    </xf>
    <xf borderId="0" fillId="0" fontId="82" numFmtId="0" xfId="0" applyAlignment="1" applyFont="1">
      <alignment readingOrder="0" shrinkToFit="0" wrapText="0"/>
    </xf>
    <xf borderId="0" fillId="0" fontId="79" numFmtId="49" xfId="0" applyAlignment="1" applyFont="1" applyNumberFormat="1">
      <alignment horizontal="center" readingOrder="0" shrinkToFit="0" wrapText="0"/>
    </xf>
    <xf borderId="0" fillId="0" fontId="79" numFmtId="49" xfId="0" applyAlignment="1" applyFont="1" applyNumberFormat="1">
      <alignment readingOrder="0" shrinkToFit="0" wrapText="0"/>
    </xf>
    <xf borderId="0" fillId="0" fontId="79" numFmtId="0" xfId="0" applyAlignment="1" applyFont="1">
      <alignment shrinkToFit="0" wrapText="0"/>
    </xf>
    <xf borderId="0" fillId="0" fontId="83" numFmtId="0" xfId="0" applyAlignment="1" applyFont="1">
      <alignment shrinkToFit="0" wrapText="0"/>
    </xf>
    <xf borderId="0" fillId="0" fontId="84" numFmtId="0" xfId="0" applyAlignment="1" applyFont="1">
      <alignment readingOrder="0" shrinkToFit="0" wrapText="0"/>
    </xf>
    <xf borderId="0" fillId="0" fontId="81" numFmtId="0" xfId="0" applyAlignment="1" applyFont="1">
      <alignment readingOrder="0" shrinkToFit="0" wrapText="0"/>
    </xf>
    <xf borderId="0" fillId="0" fontId="85" numFmtId="0" xfId="0" applyAlignment="1" applyFont="1">
      <alignment readingOrder="0" shrinkToFit="0" vertical="bottom" wrapText="0"/>
    </xf>
    <xf borderId="0" fillId="0" fontId="85" numFmtId="0" xfId="0" applyAlignment="1" applyFont="1">
      <alignment readingOrder="0" shrinkToFit="0" wrapText="0"/>
    </xf>
    <xf borderId="0" fillId="0" fontId="86" numFmtId="49" xfId="0" applyAlignment="1" applyFont="1" applyNumberFormat="1">
      <alignment horizontal="center" readingOrder="0" shrinkToFit="0" wrapText="0"/>
    </xf>
    <xf borderId="0" fillId="0" fontId="86" numFmtId="49" xfId="0" applyAlignment="1" applyFont="1" applyNumberFormat="1">
      <alignment readingOrder="0" shrinkToFit="0" wrapText="0"/>
    </xf>
    <xf borderId="0" fillId="0" fontId="79" numFmtId="0" xfId="0" applyAlignment="1" applyFont="1">
      <alignment readingOrder="0" vertical="bottom"/>
    </xf>
    <xf borderId="0" fillId="0" fontId="2" numFmtId="0" xfId="0" applyAlignment="1" applyFont="1">
      <alignment vertical="bottom"/>
    </xf>
    <xf borderId="0" fillId="0" fontId="86" numFmtId="0" xfId="0" applyAlignment="1" applyFont="1">
      <alignment readingOrder="0" shrinkToFit="0" vertical="bottom" wrapText="0"/>
    </xf>
    <xf borderId="0" fillId="0" fontId="87" numFmtId="0" xfId="0" applyAlignment="1" applyFont="1">
      <alignment readingOrder="0" shrinkToFit="0" vertical="bottom" wrapText="0"/>
    </xf>
    <xf borderId="0" fillId="0" fontId="86" numFmtId="0" xfId="0" applyAlignment="1" applyFont="1">
      <alignment horizontal="center" readingOrder="0" shrinkToFit="0" vertical="bottom" wrapText="0"/>
    </xf>
    <xf borderId="0" fillId="0" fontId="88" numFmtId="0" xfId="0" applyAlignment="1" applyFont="1">
      <alignment readingOrder="0" shrinkToFit="0" vertical="bottom" wrapText="0"/>
    </xf>
    <xf borderId="0" fillId="0" fontId="2" numFmtId="49" xfId="0" applyAlignment="1" applyFont="1" applyNumberFormat="1">
      <alignment vertical="bottom"/>
    </xf>
    <xf borderId="0" fillId="0" fontId="79" numFmtId="0" xfId="0" applyAlignment="1" applyFont="1">
      <alignment readingOrder="0" shrinkToFit="0" vertical="bottom" wrapText="0"/>
    </xf>
    <xf borderId="0" fillId="0" fontId="81" numFmtId="0" xfId="0" applyAlignment="1" applyFont="1">
      <alignment readingOrder="0" shrinkToFit="0" vertical="bottom" wrapText="0"/>
    </xf>
    <xf borderId="0" fillId="0" fontId="89" numFmtId="0" xfId="0" applyAlignment="1" applyFont="1">
      <alignment readingOrder="0" shrinkToFit="0" vertical="bottom" wrapText="0"/>
    </xf>
    <xf borderId="0" fillId="0" fontId="86" numFmtId="0" xfId="0" applyAlignment="1" applyFont="1">
      <alignment shrinkToFit="0" vertical="bottom" wrapText="0"/>
    </xf>
    <xf borderId="0" fillId="0" fontId="79" numFmtId="0" xfId="0" applyAlignment="1" applyFont="1">
      <alignment horizontal="center" readingOrder="0" shrinkToFit="0" vertical="bottom" wrapText="0"/>
    </xf>
    <xf borderId="0" fillId="0" fontId="87" numFmtId="0" xfId="0" applyAlignment="1" applyFont="1">
      <alignment readingOrder="0" shrinkToFit="0" wrapText="0"/>
    </xf>
    <xf borderId="0" fillId="0" fontId="86" numFmtId="0" xfId="0" applyAlignment="1" applyFont="1">
      <alignment horizontal="center" readingOrder="0" shrinkToFit="0" wrapText="0"/>
    </xf>
    <xf borderId="0" fillId="0" fontId="79" numFmtId="49" xfId="0" applyAlignment="1" applyFont="1" applyNumberFormat="1">
      <alignment shrinkToFit="0" wrapText="0"/>
    </xf>
    <xf borderId="0" fillId="0" fontId="81" numFmtId="0" xfId="0" applyAlignment="1" applyFont="1">
      <alignment shrinkToFit="0" wrapText="0"/>
    </xf>
    <xf borderId="0" fillId="0" fontId="86" numFmtId="0" xfId="0" applyAlignment="1" applyFont="1">
      <alignment readingOrder="0" shrinkToFit="0" wrapText="0"/>
    </xf>
    <xf borderId="0" fillId="0" fontId="85" numFmtId="0" xfId="0" applyAlignment="1" applyFont="1">
      <alignment shrinkToFit="0" vertical="bottom" wrapText="0"/>
    </xf>
    <xf borderId="0" fillId="0" fontId="79" numFmtId="49" xfId="0" applyAlignment="1" applyFont="1" applyNumberFormat="1">
      <alignment horizontal="center" shrinkToFit="0" wrapText="0"/>
    </xf>
    <xf borderId="0" fillId="33" fontId="74" numFmtId="0" xfId="0" applyAlignment="1" applyFont="1">
      <alignment horizontal="right" readingOrder="0" shrinkToFit="0" vertical="center" wrapText="0"/>
    </xf>
    <xf borderId="0" fillId="33" fontId="74" numFmtId="0" xfId="0" applyAlignment="1" applyFont="1">
      <alignment shrinkToFit="0" vertical="center" wrapText="0"/>
    </xf>
    <xf borderId="0" fillId="33" fontId="75" numFmtId="0" xfId="0" applyAlignment="1" applyFont="1">
      <alignment shrinkToFit="0" vertical="center" wrapText="0"/>
    </xf>
    <xf borderId="0" fillId="33" fontId="74" numFmtId="0" xfId="0" applyAlignment="1" applyFont="1">
      <alignment horizontal="center" shrinkToFit="0" vertical="center" wrapText="0"/>
    </xf>
    <xf borderId="0" fillId="33" fontId="74" numFmtId="49" xfId="0" applyAlignment="1" applyFont="1" applyNumberFormat="1">
      <alignment horizontal="center" shrinkToFit="0" vertical="center" wrapText="0"/>
    </xf>
    <xf borderId="0" fillId="4" fontId="76" numFmtId="0" xfId="0" applyAlignment="1" applyFont="1">
      <alignment horizontal="right" readingOrder="0" shrinkToFit="0" wrapText="0"/>
    </xf>
    <xf borderId="0" fillId="0" fontId="79" numFmtId="49" xfId="0" applyAlignment="1" applyFont="1" applyNumberFormat="1">
      <alignment horizontal="center" shrinkToFit="0" vertical="bottom" wrapText="0"/>
    </xf>
    <xf borderId="0" fillId="0" fontId="79" numFmtId="49" xfId="0" applyAlignment="1" applyFont="1" applyNumberFormat="1">
      <alignment shrinkToFit="0" vertical="bottom" wrapText="0"/>
    </xf>
    <xf borderId="0" fillId="0" fontId="79" numFmtId="0" xfId="0" applyAlignment="1" applyFont="1">
      <alignment shrinkToFit="0" vertical="bottom" wrapText="0"/>
    </xf>
    <xf borderId="0" fillId="0" fontId="79" numFmtId="49" xfId="0" applyAlignment="1" applyFont="1" applyNumberFormat="1">
      <alignment horizontal="center" readingOrder="0" shrinkToFit="0" vertical="bottom" wrapText="0"/>
    </xf>
    <xf borderId="0" fillId="0" fontId="81" numFmtId="49" xfId="0" applyAlignment="1" applyFont="1" applyNumberFormat="1">
      <alignment readingOrder="0" shrinkToFit="0" vertical="bottom" wrapText="0"/>
    </xf>
    <xf borderId="0" fillId="0" fontId="87" numFmtId="0" xfId="0" applyAlignment="1" applyFont="1">
      <alignment shrinkToFit="0" vertical="bottom" wrapText="0"/>
    </xf>
    <xf borderId="0" fillId="0" fontId="86" numFmtId="0" xfId="0" applyAlignment="1" applyFont="1">
      <alignment horizontal="center" shrinkToFit="0" vertical="bottom" wrapText="0"/>
    </xf>
    <xf borderId="0" fillId="0" fontId="90" numFmtId="0" xfId="0" applyAlignment="1" applyFont="1">
      <alignment shrinkToFit="0" vertical="bottom" wrapText="0"/>
    </xf>
    <xf borderId="0" fillId="0" fontId="79" numFmtId="0" xfId="0" applyAlignment="1" applyFont="1">
      <alignment shrinkToFit="0" vertical="bottom" wrapText="0"/>
    </xf>
    <xf borderId="0" fillId="0" fontId="81" numFmtId="0" xfId="0" applyAlignment="1" applyFont="1">
      <alignment shrinkToFit="0" vertical="bottom" wrapText="0"/>
    </xf>
    <xf borderId="0" fillId="0" fontId="79" numFmtId="0" xfId="0" applyAlignment="1" applyFont="1">
      <alignment horizontal="center" shrinkToFit="0" vertical="bottom" wrapText="0"/>
    </xf>
    <xf borderId="0" fillId="0" fontId="79" numFmtId="49" xfId="0" applyAlignment="1" applyFont="1" applyNumberFormat="1">
      <alignment readingOrder="0" shrinkToFit="0" vertical="bottom" wrapText="0"/>
    </xf>
    <xf borderId="0" fillId="33" fontId="79" numFmtId="0" xfId="0" applyAlignment="1" applyFont="1">
      <alignment shrinkToFit="0" wrapText="0"/>
    </xf>
    <xf borderId="0" fillId="0" fontId="85" numFmtId="0" xfId="0" applyAlignment="1" applyFont="1">
      <alignment shrinkToFit="0" vertical="bottom" wrapText="0"/>
    </xf>
    <xf borderId="0" fillId="0" fontId="79" numFmtId="0" xfId="0" applyAlignment="1" applyFont="1">
      <alignment horizontal="center" shrinkToFit="0" vertical="bottom" wrapText="0"/>
    </xf>
    <xf borderId="0" fillId="0" fontId="91" numFmtId="0" xfId="0" applyAlignment="1" applyFont="1">
      <alignment shrinkToFit="0" vertical="bottom" wrapText="0"/>
    </xf>
    <xf borderId="0" fillId="0" fontId="79" numFmtId="168" xfId="0" applyAlignment="1" applyFont="1" applyNumberFormat="1">
      <alignment readingOrder="0" shrinkToFit="0" wrapText="0"/>
    </xf>
    <xf borderId="0" fillId="0" fontId="92" numFmtId="0" xfId="0" applyAlignment="1" applyFont="1">
      <alignment readingOrder="0" shrinkToFit="0" wrapText="0"/>
    </xf>
    <xf borderId="0" fillId="0" fontId="81" numFmtId="49" xfId="0" applyAlignment="1" applyFont="1" applyNumberFormat="1">
      <alignment readingOrder="0" shrinkToFit="0" wrapText="0"/>
    </xf>
    <xf borderId="0" fillId="4" fontId="93" numFmtId="0" xfId="0" applyAlignment="1" applyFont="1">
      <alignment readingOrder="0" shrinkToFit="0" wrapText="0"/>
    </xf>
    <xf borderId="0" fillId="0" fontId="94" numFmtId="0" xfId="0" applyAlignment="1" applyFont="1">
      <alignment shrinkToFit="0" wrapText="0"/>
    </xf>
    <xf borderId="0" fillId="0" fontId="94" numFmtId="0" xfId="0" applyAlignment="1" applyFont="1">
      <alignment shrinkToFit="0" vertical="bottom" wrapText="0"/>
    </xf>
    <xf borderId="0" fillId="23" fontId="79" numFmtId="0" xfId="0" applyAlignment="1" applyFont="1">
      <alignment readingOrder="0" shrinkToFit="0" wrapText="0"/>
    </xf>
    <xf borderId="0" fillId="0" fontId="94" numFmtId="0" xfId="0" applyAlignment="1" applyFont="1">
      <alignment readingOrder="0" shrinkToFit="0" wrapText="0"/>
    </xf>
    <xf borderId="0" fillId="0" fontId="94" numFmtId="0" xfId="0" applyAlignment="1" applyFont="1">
      <alignment shrinkToFit="0" wrapText="0"/>
    </xf>
    <xf borderId="0" fillId="0" fontId="79" numFmtId="0" xfId="0" applyAlignment="1" applyFont="1">
      <alignment horizontal="center" shrinkToFit="0" wrapText="0"/>
    </xf>
    <xf borderId="0" fillId="33" fontId="75" numFmtId="0" xfId="0" applyAlignment="1" applyFont="1">
      <alignment readingOrder="0" shrinkToFit="0" vertical="center" wrapText="0"/>
    </xf>
    <xf borderId="0" fillId="21" fontId="76" numFmtId="0" xfId="0" applyAlignment="1" applyFont="1">
      <alignment horizontal="left" readingOrder="0" vertical="center"/>
    </xf>
    <xf borderId="0" fillId="21" fontId="76" numFmtId="0" xfId="0" applyAlignment="1" applyFont="1">
      <alignment horizontal="left" readingOrder="0" shrinkToFit="0" vertical="center" wrapText="0"/>
    </xf>
    <xf borderId="0" fillId="21" fontId="95" numFmtId="0" xfId="0" applyAlignment="1" applyFont="1">
      <alignment horizontal="center" readingOrder="0" vertical="center"/>
    </xf>
    <xf borderId="2" fillId="33" fontId="74" numFmtId="0" xfId="0" applyAlignment="1" applyBorder="1" applyFont="1">
      <alignment horizontal="left" readingOrder="0" shrinkToFit="0" vertical="center" wrapText="0"/>
    </xf>
    <xf borderId="0" fillId="0" fontId="96" numFmtId="0" xfId="0" applyAlignment="1" applyFont="1">
      <alignment horizontal="left" vertical="center"/>
    </xf>
    <xf borderId="0" fillId="0" fontId="96" numFmtId="0" xfId="0" applyAlignment="1" applyFont="1">
      <alignment horizontal="left" readingOrder="0" vertical="center"/>
    </xf>
    <xf borderId="0" fillId="0" fontId="85" numFmtId="0" xfId="0" applyAlignment="1" applyFont="1">
      <alignment horizontal="left" readingOrder="0" vertical="center"/>
    </xf>
    <xf borderId="0" fillId="0" fontId="79" numFmtId="0" xfId="0" applyAlignment="1" applyFont="1">
      <alignment horizontal="left" readingOrder="0" vertical="center"/>
    </xf>
    <xf borderId="0" fillId="0" fontId="79" numFmtId="0" xfId="0" applyAlignment="1" applyFont="1">
      <alignment horizontal="left" vertical="center"/>
    </xf>
    <xf borderId="0" fillId="0" fontId="79" numFmtId="170" xfId="0" applyAlignment="1" applyFont="1" applyNumberFormat="1">
      <alignment horizontal="left" readingOrder="0" vertical="center"/>
    </xf>
    <xf borderId="0" fillId="0" fontId="79" numFmtId="0" xfId="0" applyAlignment="1" applyFont="1">
      <alignment horizontal="left" shrinkToFit="0" vertical="center" wrapText="0"/>
    </xf>
    <xf borderId="0" fillId="34" fontId="79" numFmtId="0" xfId="0" applyAlignment="1" applyFill="1" applyFont="1">
      <alignment horizontal="center" vertical="center"/>
    </xf>
    <xf borderId="2" fillId="34" fontId="79" numFmtId="0" xfId="0" applyAlignment="1" applyBorder="1" applyFont="1">
      <alignment horizontal="left" shrinkToFit="0" vertical="center" wrapText="0"/>
    </xf>
    <xf borderId="0" fillId="19" fontId="79" numFmtId="0" xfId="0" applyAlignment="1" applyFont="1">
      <alignment horizontal="center" vertical="center"/>
    </xf>
    <xf borderId="2" fillId="19" fontId="79" numFmtId="0" xfId="0" applyAlignment="1" applyBorder="1" applyFont="1">
      <alignment horizontal="left" shrinkToFit="0" vertical="center" wrapText="0"/>
    </xf>
    <xf borderId="0" fillId="35" fontId="79" numFmtId="0" xfId="0" applyAlignment="1" applyFill="1" applyFont="1">
      <alignment horizontal="center" vertical="center"/>
    </xf>
    <xf borderId="2" fillId="35" fontId="79" numFmtId="0" xfId="0" applyAlignment="1" applyBorder="1" applyFont="1">
      <alignment horizontal="left" shrinkToFit="0" vertical="center" wrapText="0"/>
    </xf>
    <xf borderId="0" fillId="19" fontId="79" numFmtId="0" xfId="0" applyAlignment="1" applyFont="1">
      <alignment horizontal="center" readingOrder="0" vertical="center"/>
    </xf>
    <xf borderId="0" fillId="16" fontId="96" numFmtId="0" xfId="0" applyAlignment="1" applyFont="1">
      <alignment horizontal="left" vertical="center"/>
    </xf>
    <xf borderId="0" fillId="16" fontId="96" numFmtId="0" xfId="0" applyAlignment="1" applyFont="1">
      <alignment horizontal="left" readingOrder="0" vertical="center"/>
    </xf>
    <xf borderId="0" fillId="16" fontId="85" numFmtId="0" xfId="0" applyAlignment="1" applyFont="1">
      <alignment horizontal="left" readingOrder="0" vertical="center"/>
    </xf>
    <xf borderId="0" fillId="16" fontId="79" numFmtId="0" xfId="0" applyAlignment="1" applyFont="1">
      <alignment horizontal="left" readingOrder="0" vertical="center"/>
    </xf>
    <xf borderId="0" fillId="16" fontId="79" numFmtId="0" xfId="0" applyAlignment="1" applyFont="1">
      <alignment horizontal="left" vertical="center"/>
    </xf>
    <xf borderId="0" fillId="16" fontId="97" numFmtId="0" xfId="0" applyAlignment="1" applyFont="1">
      <alignment horizontal="left" readingOrder="0" shrinkToFit="0" vertical="center" wrapText="0"/>
    </xf>
    <xf borderId="0" fillId="35" fontId="79" numFmtId="0" xfId="0" applyAlignment="1" applyFont="1">
      <alignment horizontal="center" readingOrder="0" vertical="center"/>
    </xf>
    <xf borderId="2" fillId="35" fontId="98" numFmtId="0" xfId="0" applyAlignment="1" applyBorder="1" applyFont="1">
      <alignment horizontal="left" readingOrder="0" shrinkToFit="0" vertical="center" wrapText="0"/>
    </xf>
    <xf borderId="2" fillId="19" fontId="99" numFmtId="0" xfId="0" applyAlignment="1" applyBorder="1" applyFont="1">
      <alignment horizontal="left" readingOrder="0" shrinkToFit="0" vertical="center" wrapText="0"/>
    </xf>
    <xf borderId="0" fillId="16" fontId="100" numFmtId="0" xfId="0" applyAlignment="1" applyFont="1">
      <alignment readingOrder="0" shrinkToFit="0" wrapText="0"/>
    </xf>
    <xf borderId="2" fillId="16" fontId="101" numFmtId="0" xfId="0" applyAlignment="1" applyBorder="1" applyFont="1">
      <alignment horizontal="left" readingOrder="0" shrinkToFit="0" vertical="center" wrapText="0"/>
    </xf>
    <xf borderId="0" fillId="16" fontId="102" numFmtId="0" xfId="0" applyAlignment="1" applyFont="1">
      <alignment horizontal="left" readingOrder="0" shrinkToFit="0" vertical="center" wrapText="0"/>
    </xf>
    <xf borderId="0" fillId="16" fontId="79" numFmtId="0" xfId="0" applyAlignment="1" applyFont="1">
      <alignment horizontal="left" readingOrder="0" vertical="center"/>
    </xf>
    <xf borderId="0" fillId="16" fontId="103" numFmtId="0" xfId="0" applyAlignment="1" applyFont="1">
      <alignment horizontal="left" readingOrder="0" shrinkToFit="0" vertical="center" wrapText="0"/>
    </xf>
    <xf borderId="0" fillId="16" fontId="79" numFmtId="0" xfId="0" applyAlignment="1" applyFont="1">
      <alignment horizontal="center" readingOrder="0" vertical="center"/>
    </xf>
    <xf borderId="2" fillId="16" fontId="104" numFmtId="0" xfId="0" applyAlignment="1" applyBorder="1" applyFont="1">
      <alignment horizontal="left" readingOrder="0" shrinkToFit="0" vertical="center" wrapText="0"/>
    </xf>
    <xf borderId="0" fillId="0" fontId="96" numFmtId="0" xfId="0" applyFont="1"/>
    <xf borderId="0" fillId="0" fontId="79" numFmtId="0" xfId="0" applyFont="1"/>
    <xf borderId="0" fillId="16" fontId="81" numFmtId="0" xfId="0" applyAlignment="1" applyFont="1">
      <alignment horizontal="left" readingOrder="0" vertical="center"/>
    </xf>
    <xf borderId="0" fillId="16" fontId="105" numFmtId="0" xfId="0" applyAlignment="1" applyFont="1">
      <alignment horizontal="left" shrinkToFit="0" vertical="center" wrapText="0"/>
    </xf>
    <xf borderId="0" fillId="16" fontId="106" numFmtId="0" xfId="0" applyAlignment="1" applyFont="1">
      <alignment readingOrder="0"/>
    </xf>
    <xf borderId="0" fillId="16" fontId="79" numFmtId="0" xfId="0" applyAlignment="1" applyFont="1">
      <alignment horizontal="left" readingOrder="0" shrinkToFit="0" vertical="center" wrapText="0"/>
    </xf>
    <xf borderId="0" fillId="0" fontId="81" numFmtId="0" xfId="0" applyAlignment="1" applyFont="1">
      <alignment horizontal="left" readingOrder="0" vertical="center"/>
    </xf>
    <xf borderId="0" fillId="19" fontId="85" numFmtId="0" xfId="0" applyAlignment="1" applyFont="1">
      <alignment readingOrder="0"/>
    </xf>
    <xf borderId="2" fillId="35" fontId="96" numFmtId="0" xfId="0" applyAlignment="1" applyBorder="1" applyFont="1">
      <alignment horizontal="left" shrinkToFit="0" vertical="center" wrapText="0"/>
    </xf>
    <xf borderId="0" fillId="19" fontId="85" numFmtId="0" xfId="0" applyAlignment="1" applyFont="1">
      <alignment readingOrder="0" vertical="bottom"/>
    </xf>
    <xf borderId="2" fillId="19" fontId="96" numFmtId="0" xfId="0" applyAlignment="1" applyBorder="1" applyFont="1">
      <alignment horizontal="left" shrinkToFit="0" vertical="center" wrapText="0"/>
    </xf>
    <xf borderId="0" fillId="0" fontId="85" numFmtId="0" xfId="0" applyAlignment="1" applyFont="1">
      <alignment horizontal="left" vertical="center"/>
    </xf>
    <xf borderId="0" fillId="21" fontId="73" numFmtId="0" xfId="0" applyAlignment="1" applyFont="1">
      <alignment readingOrder="0" vertical="center"/>
    </xf>
    <xf borderId="0" fillId="21" fontId="76" numFmtId="0" xfId="0" applyAlignment="1" applyFont="1">
      <alignment readingOrder="0"/>
    </xf>
    <xf borderId="0" fillId="23" fontId="76" numFmtId="0" xfId="0" applyAlignment="1" applyFont="1">
      <alignment readingOrder="0"/>
    </xf>
    <xf borderId="0" fillId="33" fontId="107" numFmtId="0" xfId="0" applyAlignment="1" applyFont="1">
      <alignment readingOrder="0"/>
    </xf>
    <xf borderId="0" fillId="33" fontId="107" numFmtId="0" xfId="0" applyFont="1"/>
    <xf borderId="0" fillId="36" fontId="77" numFmtId="49" xfId="0" applyAlignment="1" applyFill="1" applyFont="1" applyNumberFormat="1">
      <alignment horizontal="center" readingOrder="0"/>
    </xf>
    <xf borderId="0" fillId="0" fontId="79" numFmtId="0" xfId="0" applyAlignment="1" applyFont="1">
      <alignment readingOrder="0"/>
    </xf>
    <xf borderId="0" fillId="0" fontId="77" numFmtId="0" xfId="0" applyAlignment="1" applyFont="1">
      <alignment readingOrder="0"/>
    </xf>
    <xf borderId="0" fillId="0" fontId="108" numFmtId="0" xfId="0" applyAlignment="1" applyFont="1">
      <alignment readingOrder="0"/>
    </xf>
    <xf borderId="0" fillId="0" fontId="79" numFmtId="0" xfId="0" applyFont="1"/>
    <xf borderId="0" fillId="36" fontId="79" numFmtId="0" xfId="0" applyFont="1"/>
    <xf borderId="0" fillId="18" fontId="3" numFmtId="0" xfId="0" applyAlignment="1" applyFont="1">
      <alignment readingOrder="0" vertical="bottom"/>
    </xf>
    <xf borderId="0" fillId="18" fontId="3" numFmtId="0" xfId="0" applyAlignment="1" applyFont="1">
      <alignment vertical="bottom"/>
    </xf>
    <xf borderId="0" fillId="18" fontId="3" numFmtId="0" xfId="0" applyAlignment="1" applyFont="1">
      <alignment horizontal="center" vertical="bottom"/>
    </xf>
    <xf borderId="0" fillId="3" fontId="3" numFmtId="0" xfId="0" applyAlignment="1" applyFont="1">
      <alignment readingOrder="0" shrinkToFit="0" vertical="bottom" wrapText="0"/>
    </xf>
    <xf borderId="0" fillId="0" fontId="2" numFmtId="171" xfId="0" applyFont="1" applyNumberFormat="1"/>
    <xf borderId="0" fillId="0" fontId="2" numFmtId="172" xfId="0" applyFont="1" applyNumberFormat="1"/>
    <xf borderId="0" fillId="0" fontId="2" numFmtId="173" xfId="0" applyFont="1" applyNumberFormat="1"/>
    <xf borderId="0" fillId="19" fontId="109" numFmtId="0" xfId="0" applyAlignment="1" applyFont="1">
      <alignment readingOrder="0"/>
    </xf>
    <xf borderId="0" fillId="0" fontId="2" numFmtId="174" xfId="0" applyAlignment="1" applyFont="1" applyNumberFormat="1">
      <alignment readingOrder="0"/>
    </xf>
    <xf borderId="0" fillId="5" fontId="3" numFmtId="0" xfId="0" applyAlignment="1" applyFont="1">
      <alignment readingOrder="0"/>
    </xf>
    <xf borderId="0" fillId="0" fontId="7" numFmtId="0" xfId="0" applyFont="1"/>
    <xf borderId="0" fillId="0" fontId="0" numFmtId="0" xfId="0" applyAlignment="1" applyFont="1">
      <alignment readingOrder="0"/>
    </xf>
    <xf borderId="3" fillId="26" fontId="110" numFmtId="0" xfId="0" applyAlignment="1" applyBorder="1" applyFont="1">
      <alignment shrinkToFit="0" vertical="bottom" wrapText="0"/>
    </xf>
    <xf borderId="3" fillId="26" fontId="23" numFmtId="0" xfId="0" applyAlignment="1" applyBorder="1" applyFont="1">
      <alignment shrinkToFit="0" vertical="bottom" wrapText="0"/>
    </xf>
    <xf borderId="3" fillId="26" fontId="111" numFmtId="0" xfId="0" applyAlignment="1" applyBorder="1" applyFont="1">
      <alignment readingOrder="0" shrinkToFit="0" vertical="bottom" wrapText="1"/>
    </xf>
    <xf borderId="3" fillId="26" fontId="110" numFmtId="0" xfId="0" applyAlignment="1" applyBorder="1" applyFont="1">
      <alignment readingOrder="0" shrinkToFit="0" vertical="bottom" wrapText="1"/>
    </xf>
    <xf borderId="3" fillId="26" fontId="110" numFmtId="0" xfId="0" applyAlignment="1" applyBorder="1" applyFont="1">
      <alignment readingOrder="0" shrinkToFit="0" vertical="bottom" wrapText="0"/>
    </xf>
    <xf borderId="3" fillId="26" fontId="2" numFmtId="0" xfId="0" applyAlignment="1" applyBorder="1" applyFont="1">
      <alignment readingOrder="0" shrinkToFit="0" vertical="bottom" wrapText="0"/>
    </xf>
    <xf borderId="0" fillId="3" fontId="112" numFmtId="0" xfId="0" applyAlignment="1" applyFont="1">
      <alignment readingOrder="0" shrinkToFit="0" wrapText="0"/>
    </xf>
    <xf borderId="0" fillId="37" fontId="113" numFmtId="0" xfId="0" applyAlignment="1" applyFill="1" applyFont="1">
      <alignment readingOrder="0" shrinkToFit="0" vertical="center" wrapText="0"/>
    </xf>
    <xf borderId="0" fillId="0" fontId="2" numFmtId="0" xfId="0" applyAlignment="1" applyFont="1">
      <alignment shrinkToFit="0" vertical="bottom" wrapText="0"/>
    </xf>
    <xf borderId="0" fillId="0" fontId="2" numFmtId="0" xfId="0" applyAlignment="1" applyFont="1">
      <alignment readingOrder="0" shrinkToFit="0" vertical="bottom" wrapText="0"/>
    </xf>
    <xf borderId="0" fillId="0" fontId="114" numFmtId="0" xfId="0" applyAlignment="1" applyFont="1">
      <alignment shrinkToFit="0" vertical="bottom" wrapText="0"/>
    </xf>
    <xf borderId="0" fillId="0" fontId="115" numFmtId="0" xfId="0" applyAlignment="1" applyFont="1">
      <alignment shrinkToFit="0" wrapText="0"/>
    </xf>
    <xf borderId="0" fillId="26" fontId="116" numFmtId="0" xfId="0" applyAlignment="1" applyFont="1">
      <alignment readingOrder="0" shrinkToFit="0" vertical="center" wrapText="1"/>
    </xf>
    <xf borderId="0" fillId="0" fontId="116" numFmtId="0" xfId="0" applyAlignment="1" applyFont="1">
      <alignment shrinkToFit="0" wrapText="0"/>
    </xf>
    <xf borderId="0" fillId="0" fontId="117" numFmtId="0" xfId="0" applyAlignment="1" applyFont="1">
      <alignment horizontal="right" readingOrder="0" shrinkToFit="0" wrapText="0"/>
    </xf>
    <xf borderId="0" fillId="0" fontId="118" numFmtId="0" xfId="0" applyAlignment="1" applyFont="1">
      <alignment shrinkToFit="0" vertical="bottom" wrapText="0"/>
    </xf>
    <xf borderId="0" fillId="0" fontId="116" numFmtId="0" xfId="0" applyAlignment="1" applyFont="1">
      <alignment readingOrder="0" shrinkToFit="0" wrapText="0"/>
    </xf>
    <xf borderId="0" fillId="0" fontId="5" numFmtId="0" xfId="0" applyAlignment="1" applyFont="1">
      <alignment horizontal="right" readingOrder="0" shrinkToFit="0" wrapText="0"/>
    </xf>
    <xf borderId="0" fillId="0" fontId="116" numFmtId="0" xfId="0" applyAlignment="1" applyFont="1">
      <alignment shrinkToFit="0" vertical="bottom" wrapText="0"/>
    </xf>
    <xf borderId="0" fillId="0" fontId="116" numFmtId="0" xfId="0" applyAlignment="1" applyFont="1">
      <alignment shrinkToFit="0" vertical="top" wrapText="0"/>
    </xf>
    <xf borderId="0" fillId="0" fontId="119" numFmtId="0" xfId="0" applyAlignment="1" applyFont="1">
      <alignment shrinkToFit="0" vertical="bottom" wrapText="0"/>
    </xf>
    <xf borderId="0" fillId="19" fontId="55" numFmtId="0" xfId="0" applyAlignment="1" applyFont="1">
      <alignment readingOrder="0" shrinkToFit="0" vertical="bottom" wrapText="0"/>
    </xf>
    <xf borderId="0" fillId="0" fontId="2" numFmtId="0" xfId="0" applyAlignment="1" applyFont="1">
      <alignment readingOrder="0" shrinkToFit="0" wrapText="0"/>
    </xf>
    <xf borderId="0" fillId="24" fontId="2" numFmtId="0" xfId="0" applyAlignment="1" applyFont="1">
      <alignment shrinkToFit="0" vertical="bottom" wrapText="0"/>
    </xf>
    <xf borderId="0" fillId="0" fontId="116" numFmtId="0" xfId="0" applyAlignment="1" applyFont="1">
      <alignment horizontal="right" readingOrder="0" shrinkToFit="0" wrapText="0"/>
    </xf>
    <xf borderId="0" fillId="0" fontId="116" numFmtId="0" xfId="0" applyAlignment="1" applyFont="1">
      <alignment horizontal="right" shrinkToFit="0" wrapText="0"/>
    </xf>
    <xf borderId="0" fillId="38" fontId="120" numFmtId="0" xfId="0" applyAlignment="1" applyFill="1" applyFont="1">
      <alignment readingOrder="0"/>
    </xf>
    <xf borderId="0" fillId="0" fontId="121" numFmtId="0" xfId="0" applyAlignment="1" applyFont="1">
      <alignment shrinkToFit="0" vertical="bottom" wrapText="0"/>
    </xf>
    <xf borderId="3" fillId="0" fontId="122" numFmtId="0" xfId="0" applyAlignment="1" applyBorder="1" applyFont="1">
      <alignment shrinkToFit="0" vertical="bottom" wrapText="0"/>
    </xf>
    <xf borderId="0" fillId="0" fontId="123" numFmtId="0" xfId="0" applyAlignment="1" applyFont="1">
      <alignment readingOrder="0" shrinkToFit="0" vertical="bottom" wrapText="0"/>
    </xf>
    <xf borderId="0" fillId="21" fontId="2" numFmtId="0" xfId="0" applyAlignment="1" applyFont="1">
      <alignment readingOrder="0" shrinkToFit="0" vertical="bottom" wrapText="0"/>
    </xf>
    <xf borderId="0" fillId="24" fontId="2" numFmtId="0" xfId="0" applyAlignment="1" applyFont="1">
      <alignment readingOrder="0" shrinkToFit="0" vertical="bottom" wrapText="0"/>
    </xf>
    <xf borderId="0" fillId="0" fontId="124" numFmtId="0" xfId="0" applyAlignment="1" applyFont="1">
      <alignment shrinkToFit="0" vertical="bottom" wrapText="0"/>
    </xf>
    <xf borderId="0" fillId="37" fontId="125" numFmtId="0" xfId="0" applyAlignment="1" applyFont="1">
      <alignment readingOrder="0" shrinkToFit="0" vertical="center" wrapText="0"/>
    </xf>
    <xf borderId="0" fillId="37" fontId="126" numFmtId="0" xfId="0" applyAlignment="1" applyFont="1">
      <alignment readingOrder="0" shrinkToFit="0" wrapText="0"/>
    </xf>
    <xf borderId="0" fillId="0" fontId="126" numFmtId="0" xfId="0" applyAlignment="1" applyFont="1">
      <alignment readingOrder="0" shrinkToFit="0" wrapText="0"/>
    </xf>
    <xf borderId="0" fillId="0" fontId="5" numFmtId="0" xfId="0" applyAlignment="1" applyFont="1">
      <alignment shrinkToFit="0" wrapText="0"/>
    </xf>
    <xf borderId="0" fillId="9" fontId="127" numFmtId="0" xfId="0" applyAlignment="1" applyFont="1">
      <alignment readingOrder="0" shrinkToFit="0" vertical="center" wrapText="0"/>
    </xf>
    <xf borderId="0" fillId="9" fontId="5" numFmtId="0" xfId="0" applyAlignment="1" applyFont="1">
      <alignment readingOrder="0" shrinkToFit="0" vertical="center" wrapText="0"/>
    </xf>
    <xf borderId="0" fillId="8" fontId="128" numFmtId="0" xfId="0" applyAlignment="1" applyFont="1">
      <alignment shrinkToFit="0" vertical="bottom" wrapText="0"/>
    </xf>
    <xf borderId="0" fillId="8" fontId="128" numFmtId="0" xfId="0" applyAlignment="1" applyFont="1">
      <alignment horizontal="left" shrinkToFit="0" vertical="bottom" wrapText="0"/>
    </xf>
    <xf borderId="0" fillId="8" fontId="128" numFmtId="0" xfId="0" applyAlignment="1" applyFont="1">
      <alignment readingOrder="0" shrinkToFit="0" vertical="bottom" wrapText="0"/>
    </xf>
    <xf borderId="0" fillId="0" fontId="129" numFmtId="0" xfId="0" applyAlignment="1" applyFont="1">
      <alignment shrinkToFit="0" vertical="bottom" wrapText="0"/>
    </xf>
    <xf borderId="0" fillId="0" fontId="5" numFmtId="0" xfId="0" applyAlignment="1" applyFont="1">
      <alignment horizontal="right" shrinkToFit="0" vertical="bottom" wrapText="0"/>
    </xf>
    <xf quotePrefix="1" borderId="0" fillId="0" fontId="5" numFmtId="0" xfId="0" applyAlignment="1" applyFont="1">
      <alignment shrinkToFit="0" vertical="bottom" wrapText="0"/>
    </xf>
    <xf borderId="0" fillId="0" fontId="116" numFmtId="0" xfId="0" applyAlignment="1" applyFont="1">
      <alignment readingOrder="0" shrinkToFit="0" vertical="center" wrapText="0"/>
    </xf>
    <xf borderId="0" fillId="0" fontId="5" numFmtId="0" xfId="0" applyAlignment="1" applyFont="1">
      <alignment shrinkToFit="0" vertical="bottom" wrapText="0"/>
    </xf>
    <xf borderId="0" fillId="0" fontId="5" numFmtId="168" xfId="0" applyAlignment="1" applyFont="1" applyNumberFormat="1">
      <alignment horizontal="right" shrinkToFit="0" vertical="bottom" wrapText="0"/>
    </xf>
    <xf borderId="0" fillId="0" fontId="130" numFmtId="0" xfId="0" applyAlignment="1" applyFont="1">
      <alignment readingOrder="0" shrinkToFit="0" vertical="bottom" wrapText="0"/>
    </xf>
    <xf borderId="0" fillId="0" fontId="131" numFmtId="0" xfId="0" applyAlignment="1" applyFont="1">
      <alignment readingOrder="0" shrinkToFit="0" vertical="center" wrapText="0"/>
    </xf>
    <xf borderId="0" fillId="8" fontId="132" numFmtId="0" xfId="0" applyAlignment="1" applyFont="1">
      <alignment horizontal="right" shrinkToFit="0" vertical="bottom" wrapText="0"/>
    </xf>
    <xf borderId="0" fillId="8" fontId="132" numFmtId="0" xfId="0" applyAlignment="1" applyFont="1">
      <alignment shrinkToFit="0" vertical="bottom" wrapText="0"/>
    </xf>
    <xf borderId="0" fillId="0" fontId="5" numFmtId="0" xfId="0" applyAlignment="1" applyFont="1">
      <alignment horizontal="right" shrinkToFit="0" vertical="bottom" wrapText="0"/>
    </xf>
    <xf borderId="0" fillId="9" fontId="133" numFmtId="0" xfId="0" applyAlignment="1" applyFont="1">
      <alignment readingOrder="0" shrinkToFit="0" vertical="center" wrapText="0"/>
    </xf>
    <xf borderId="0" fillId="9" fontId="5" numFmtId="0" xfId="0" applyAlignment="1" applyFont="1">
      <alignment shrinkToFit="0" vertical="center" wrapText="0"/>
    </xf>
    <xf borderId="0" fillId="0" fontId="134" numFmtId="0" xfId="0" applyAlignment="1" applyFont="1">
      <alignment horizontal="right" shrinkToFit="0" vertical="bottom" wrapText="0"/>
    </xf>
    <xf borderId="0" fillId="0" fontId="134" numFmtId="168" xfId="0" applyAlignment="1" applyFont="1" applyNumberFormat="1">
      <alignment horizontal="right" shrinkToFit="0" vertical="bottom" wrapText="0"/>
    </xf>
    <xf borderId="0" fillId="0" fontId="2" numFmtId="0" xfId="0" applyAlignment="1" applyFont="1">
      <alignment shrinkToFit="0" wrapText="0"/>
    </xf>
    <xf borderId="0" fillId="8" fontId="128" numFmtId="0" xfId="0" applyAlignment="1" applyFont="1">
      <alignment horizontal="right" shrinkToFit="0" vertical="bottom" wrapText="0"/>
    </xf>
    <xf borderId="0" fillId="19" fontId="55" numFmtId="0" xfId="0" applyAlignment="1" applyFont="1">
      <alignment horizontal="left" readingOrder="0" shrinkToFit="0" wrapText="0"/>
    </xf>
    <xf borderId="0" fillId="9" fontId="135" numFmtId="0" xfId="0" applyAlignment="1" applyFont="1">
      <alignment horizontal="center" shrinkToFit="0" vertical="bottom" wrapText="0"/>
    </xf>
    <xf borderId="0" fillId="0" fontId="136" numFmtId="0" xfId="0" applyAlignment="1" applyFont="1">
      <alignment shrinkToFit="0" vertical="bottom" wrapText="0"/>
    </xf>
    <xf borderId="0" fillId="0" fontId="6" numFmtId="0" xfId="0" applyAlignment="1" applyFont="1">
      <alignment horizontal="right" shrinkToFit="0" vertical="bottom" wrapText="0"/>
    </xf>
    <xf borderId="0" fillId="0" fontId="6" numFmtId="0" xfId="0" applyAlignment="1" applyFont="1">
      <alignment shrinkToFit="0" vertical="bottom" wrapText="0"/>
    </xf>
    <xf borderId="0" fillId="0" fontId="137" numFmtId="0" xfId="0" applyAlignment="1" applyFont="1">
      <alignment readingOrder="0" shrinkToFit="0" vertical="bottom" wrapText="0"/>
    </xf>
    <xf borderId="0" fillId="19" fontId="138" numFmtId="0" xfId="0" applyAlignment="1" applyFont="1">
      <alignment shrinkToFit="0" vertical="bottom" wrapText="0"/>
    </xf>
    <xf borderId="0" fillId="19" fontId="139" numFmtId="0" xfId="0" applyAlignment="1" applyFont="1">
      <alignment shrinkToFit="0" vertical="bottom" wrapText="0"/>
    </xf>
    <xf borderId="0" fillId="19" fontId="5" numFmtId="0" xfId="0" applyAlignment="1" applyFont="1">
      <alignment shrinkToFit="0" vertical="bottom" wrapText="0"/>
    </xf>
    <xf borderId="0" fillId="19" fontId="140" numFmtId="0" xfId="0" applyAlignment="1" applyFont="1">
      <alignment shrinkToFit="0" vertical="bottom" wrapText="0"/>
    </xf>
    <xf borderId="0" fillId="19" fontId="138" numFmtId="168" xfId="0" applyAlignment="1" applyFont="1" applyNumberFormat="1">
      <alignment horizontal="right" shrinkToFit="0" vertical="bottom" wrapText="0"/>
    </xf>
    <xf borderId="0" fillId="19" fontId="138" numFmtId="0" xfId="0" applyAlignment="1" applyFont="1">
      <alignment horizontal="right" shrinkToFit="0" vertical="bottom" wrapText="0"/>
    </xf>
    <xf borderId="0" fillId="21" fontId="141" numFmtId="0" xfId="0" applyAlignment="1" applyFont="1">
      <alignment readingOrder="0" shrinkToFit="0" vertical="bottom" wrapText="0"/>
    </xf>
    <xf borderId="0" fillId="19" fontId="142" numFmtId="0" xfId="0" applyAlignment="1" applyFont="1">
      <alignment shrinkToFit="0" vertical="bottom" wrapText="0"/>
    </xf>
    <xf borderId="0" fillId="0" fontId="143" numFmtId="0" xfId="0" applyAlignment="1" applyFont="1">
      <alignment shrinkToFit="0" vertical="center" wrapText="0"/>
    </xf>
    <xf borderId="0" fillId="21" fontId="144" numFmtId="0" xfId="0" applyAlignment="1" applyFont="1">
      <alignment readingOrder="0"/>
    </xf>
    <xf borderId="0" fillId="19" fontId="138" numFmtId="0" xfId="0" applyAlignment="1" applyFont="1">
      <alignment horizontal="right" shrinkToFit="0" vertical="bottom" wrapText="0"/>
    </xf>
    <xf borderId="0" fillId="9" fontId="6" numFmtId="0" xfId="0" applyAlignment="1" applyFont="1">
      <alignment horizontal="center" shrinkToFit="0" vertical="bottom" wrapText="0"/>
    </xf>
    <xf borderId="0" fillId="19" fontId="145" numFmtId="0" xfId="0" applyAlignment="1" applyFont="1">
      <alignment shrinkToFit="0" vertical="bottom" wrapText="0"/>
    </xf>
    <xf borderId="0" fillId="0" fontId="146" numFmtId="0" xfId="0" applyAlignment="1" applyFont="1">
      <alignment shrinkToFit="0" vertical="bottom" wrapText="0"/>
    </xf>
    <xf borderId="0" fillId="0" fontId="2" numFmtId="168" xfId="0" applyAlignment="1" applyFont="1" applyNumberFormat="1">
      <alignment horizontal="right" shrinkToFit="0" vertical="bottom" wrapText="0"/>
    </xf>
    <xf quotePrefix="1" borderId="0" fillId="0" fontId="2" numFmtId="0" xfId="0" applyAlignment="1" applyFont="1">
      <alignment shrinkToFit="0" vertical="bottom" wrapText="0"/>
    </xf>
    <xf borderId="0" fillId="0" fontId="3" numFmtId="0" xfId="0" applyAlignment="1" applyFont="1">
      <alignment shrinkToFit="0" vertical="bottom" wrapText="0"/>
    </xf>
    <xf borderId="0" fillId="0" fontId="147" numFmtId="0" xfId="0" applyAlignment="1" applyFont="1">
      <alignment readingOrder="0" shrinkToFit="0" wrapText="0"/>
    </xf>
    <xf borderId="0" fillId="0" fontId="148" numFmtId="0" xfId="0" applyAlignment="1" applyFont="1">
      <alignment readingOrder="0" shrinkToFit="0" wrapText="0"/>
    </xf>
    <xf borderId="0" fillId="0" fontId="149" numFmtId="0" xfId="0" applyAlignment="1" applyFont="1">
      <alignment horizontal="right" readingOrder="0" shrinkToFit="0" wrapText="0"/>
    </xf>
    <xf borderId="0" fillId="0" fontId="2" numFmtId="0" xfId="0" applyAlignment="1" applyFont="1">
      <alignment horizontal="left" readingOrder="0" shrinkToFit="0" vertical="bottom" wrapText="0"/>
    </xf>
    <xf borderId="0" fillId="0" fontId="2" numFmtId="0" xfId="0" applyAlignment="1" applyFont="1">
      <alignment horizontal="right" readingOrder="0" shrinkToFit="0" vertical="bottom" wrapText="0"/>
    </xf>
    <xf borderId="0" fillId="0" fontId="150" numFmtId="0" xfId="0" applyAlignment="1" applyFont="1">
      <alignment shrinkToFit="0" vertical="bottom" wrapText="0"/>
    </xf>
    <xf borderId="4" fillId="0" fontId="151" numFmtId="0" xfId="0" applyAlignment="1" applyBorder="1" applyFont="1">
      <alignment shrinkToFit="0" vertical="bottom" wrapText="0"/>
    </xf>
    <xf borderId="0" fillId="0" fontId="43" numFmtId="0" xfId="0" applyAlignment="1" applyFont="1">
      <alignment readingOrder="0" shrinkToFit="0" wrapText="0"/>
    </xf>
    <xf borderId="0" fillId="0" fontId="55" numFmtId="0" xfId="0" applyAlignment="1" applyFont="1">
      <alignment readingOrder="0" shrinkToFit="0" vertical="bottom" wrapText="0"/>
    </xf>
    <xf borderId="0" fillId="19" fontId="55" numFmtId="0" xfId="0" applyAlignment="1" applyFont="1">
      <alignment horizontal="right" readingOrder="0" shrinkToFit="0" wrapText="0"/>
    </xf>
    <xf borderId="0" fillId="0" fontId="152" numFmtId="0" xfId="0" applyAlignment="1" applyFont="1">
      <alignment readingOrder="0" shrinkToFit="0" wrapText="0"/>
    </xf>
    <xf borderId="0" fillId="0" fontId="116" numFmtId="0" xfId="0" applyAlignment="1" applyFont="1">
      <alignment readingOrder="0" shrinkToFit="0" wrapText="0"/>
    </xf>
    <xf borderId="0" fillId="24" fontId="2" numFmtId="0" xfId="0" applyAlignment="1" applyFont="1">
      <alignment readingOrder="0" shrinkToFit="0" wrapText="0"/>
    </xf>
    <xf borderId="0" fillId="19" fontId="116" numFmtId="0" xfId="0" applyAlignment="1" applyFont="1">
      <alignment readingOrder="0" shrinkToFit="0" wrapText="0"/>
    </xf>
    <xf borderId="0" fillId="19" fontId="2" numFmtId="0" xfId="0" applyAlignment="1" applyFont="1">
      <alignment readingOrder="0" shrinkToFit="0" vertical="bottom" wrapText="0"/>
    </xf>
    <xf borderId="0" fillId="19" fontId="153" numFmtId="0" xfId="0" applyAlignment="1" applyFont="1">
      <alignment readingOrder="0" shrinkToFit="0" wrapText="0"/>
    </xf>
    <xf borderId="0" fillId="19" fontId="2" numFmtId="0" xfId="0" applyAlignment="1" applyFont="1">
      <alignment shrinkToFit="0" vertical="bottom" wrapText="0"/>
    </xf>
    <xf borderId="0" fillId="0" fontId="2" numFmtId="0" xfId="0" applyAlignment="1" applyFont="1">
      <alignment readingOrder="0" shrinkToFit="0" vertical="bottom" wrapText="0"/>
    </xf>
    <xf borderId="0" fillId="0" fontId="154" numFmtId="0" xfId="0" applyAlignment="1" applyFont="1">
      <alignment readingOrder="0" shrinkToFit="0" wrapText="0"/>
    </xf>
    <xf borderId="0" fillId="0" fontId="155" numFmtId="0" xfId="0" applyAlignment="1" applyFont="1">
      <alignment vertical="bottom"/>
    </xf>
    <xf borderId="0" fillId="38" fontId="156" numFmtId="0" xfId="0" applyAlignment="1" applyFont="1">
      <alignment readingOrder="0" vertical="bottom"/>
    </xf>
    <xf borderId="0" fillId="38" fontId="157" numFmtId="0" xfId="0" applyAlignment="1" applyFont="1">
      <alignment vertical="bottom"/>
    </xf>
    <xf borderId="4" fillId="0" fontId="158" numFmtId="0" xfId="0" applyAlignment="1" applyBorder="1" applyFont="1">
      <alignment shrinkToFit="0" vertical="bottom" wrapText="0"/>
    </xf>
    <xf borderId="4" fillId="24" fontId="2" numFmtId="0" xfId="0" applyAlignment="1" applyBorder="1" applyFont="1">
      <alignment shrinkToFit="0" vertical="bottom" wrapText="0"/>
    </xf>
    <xf borderId="0" fillId="24" fontId="2" numFmtId="0" xfId="0" applyAlignment="1" applyFont="1">
      <alignment horizontal="right" readingOrder="0" shrinkToFit="0" vertical="bottom" wrapText="0"/>
    </xf>
    <xf borderId="0" fillId="38" fontId="159" numFmtId="0" xfId="0" applyAlignment="1" applyFont="1">
      <alignment readingOrder="0"/>
    </xf>
    <xf borderId="0" fillId="24" fontId="2" numFmtId="0" xfId="0" applyAlignment="1" applyFont="1">
      <alignment horizontal="left" readingOrder="0" shrinkToFit="0" vertical="bottom" wrapText="0"/>
    </xf>
    <xf borderId="0" fillId="0" fontId="3" numFmtId="0" xfId="0" applyAlignment="1" applyFont="1">
      <alignment readingOrder="0"/>
    </xf>
    <xf borderId="0" fillId="0" fontId="160" numFmtId="0" xfId="0" applyAlignment="1" applyFont="1">
      <alignment readingOrder="0"/>
    </xf>
    <xf borderId="0" fillId="24" fontId="43" numFmtId="0" xfId="0" applyAlignment="1" applyFont="1">
      <alignment readingOrder="0" shrinkToFit="0" wrapText="0"/>
    </xf>
    <xf borderId="0" fillId="0" fontId="2" numFmtId="0" xfId="0" applyAlignment="1" applyFont="1">
      <alignment readingOrder="0" shrinkToFit="0" vertical="bottom" wrapText="1"/>
    </xf>
    <xf borderId="0" fillId="0" fontId="161" numFmtId="0" xfId="0" applyAlignment="1" applyFont="1">
      <alignment horizontal="left" readingOrder="0"/>
    </xf>
    <xf borderId="0" fillId="11" fontId="2" numFmtId="0" xfId="0" applyAlignment="1" applyFont="1">
      <alignment readingOrder="0" shrinkToFit="0" vertical="bottom" wrapText="0"/>
    </xf>
    <xf borderId="0" fillId="11" fontId="2" numFmtId="0" xfId="0" applyAlignment="1" applyFont="1">
      <alignment shrinkToFit="0" vertical="bottom" wrapText="0"/>
    </xf>
    <xf borderId="0" fillId="11" fontId="162" numFmtId="0" xfId="0" applyAlignment="1" applyFont="1">
      <alignment readingOrder="0"/>
    </xf>
    <xf borderId="0" fillId="11" fontId="2" numFmtId="0" xfId="0" applyAlignment="1" applyFont="1">
      <alignment readingOrder="0" shrinkToFit="0" vertical="bottom" wrapText="0"/>
    </xf>
    <xf borderId="0" fillId="11" fontId="2" numFmtId="168" xfId="0" applyAlignment="1" applyFont="1" applyNumberFormat="1">
      <alignment readingOrder="0" shrinkToFit="0" vertical="bottom" wrapText="0"/>
    </xf>
    <xf borderId="0" fillId="19" fontId="163" numFmtId="0" xfId="0" applyAlignment="1" applyFont="1">
      <alignment horizontal="center" readingOrder="0" shrinkToFit="0" wrapText="0"/>
    </xf>
    <xf borderId="0" fillId="19" fontId="163" numFmtId="0" xfId="0" applyAlignment="1" applyFont="1">
      <alignment readingOrder="0" shrinkToFit="0" wrapText="0"/>
    </xf>
    <xf borderId="0" fillId="19" fontId="164" numFmtId="0" xfId="0" applyAlignment="1" applyFont="1">
      <alignment horizontal="center" readingOrder="0" shrinkToFit="0" wrapText="0"/>
    </xf>
    <xf borderId="0" fillId="19" fontId="163" numFmtId="0" xfId="0" applyAlignment="1" applyFont="1">
      <alignment horizontal="left" readingOrder="0" shrinkToFit="0" wrapText="0"/>
    </xf>
    <xf borderId="0" fillId="19" fontId="165" numFmtId="0" xfId="0" applyAlignment="1" applyFont="1">
      <alignment readingOrder="0" shrinkToFit="0" wrapText="0"/>
    </xf>
    <xf borderId="0" fillId="22" fontId="111" numFmtId="0" xfId="0" applyAlignment="1" applyFont="1">
      <alignment horizontal="center" readingOrder="0" shrinkToFit="0" wrapText="1"/>
    </xf>
    <xf borderId="0" fillId="22" fontId="111" numFmtId="0" xfId="0" applyAlignment="1" applyFont="1">
      <alignment horizontal="center" readingOrder="0" shrinkToFit="0" wrapText="0"/>
    </xf>
    <xf borderId="0" fillId="39" fontId="3" numFmtId="0" xfId="0" applyAlignment="1" applyFill="1" applyFont="1">
      <alignment readingOrder="0" shrinkToFit="0" wrapText="0"/>
    </xf>
    <xf borderId="0" fillId="39" fontId="3" numFmtId="0" xfId="0" applyAlignment="1" applyFont="1">
      <alignment readingOrder="0" shrinkToFit="0" wrapText="1"/>
    </xf>
    <xf borderId="5" fillId="40" fontId="111" numFmtId="0" xfId="0" applyAlignment="1" applyBorder="1" applyFill="1" applyFont="1">
      <alignment horizontal="center" shrinkToFit="0" wrapText="1"/>
    </xf>
    <xf borderId="6" fillId="40" fontId="111" numFmtId="0" xfId="0" applyAlignment="1" applyBorder="1" applyFont="1">
      <alignment horizontal="center" shrinkToFit="0" wrapText="1"/>
    </xf>
    <xf borderId="0" fillId="14" fontId="111" numFmtId="0" xfId="0" applyAlignment="1" applyFont="1">
      <alignment shrinkToFit="0" wrapText="1"/>
    </xf>
    <xf borderId="0" fillId="22" fontId="111" numFmtId="0" xfId="0" applyAlignment="1" applyFont="1">
      <alignment horizontal="left" readingOrder="0" shrinkToFit="0" wrapText="0"/>
    </xf>
    <xf borderId="0" fillId="22" fontId="166" numFmtId="0" xfId="0" applyAlignment="1" applyFont="1">
      <alignment horizontal="center" readingOrder="0" shrinkToFit="0" wrapText="0"/>
    </xf>
    <xf borderId="0" fillId="14" fontId="3" numFmtId="0" xfId="0" applyAlignment="1" applyFont="1">
      <alignment shrinkToFit="0" wrapText="1"/>
    </xf>
    <xf borderId="3" fillId="0" fontId="3" numFmtId="0" xfId="0" applyAlignment="1" applyBorder="1" applyFont="1">
      <alignment readingOrder="0" shrinkToFit="0" wrapText="1"/>
    </xf>
    <xf borderId="0" fillId="0" fontId="167" numFmtId="0" xfId="0" applyAlignment="1" applyFont="1">
      <alignment readingOrder="0"/>
    </xf>
    <xf borderId="0" fillId="0" fontId="167" numFmtId="0" xfId="0" applyAlignment="1" applyFont="1">
      <alignment shrinkToFit="0" vertical="bottom" wrapText="1"/>
    </xf>
    <xf borderId="0" fillId="0" fontId="168" numFmtId="0" xfId="0" applyAlignment="1" applyFont="1">
      <alignment vertical="bottom"/>
    </xf>
    <xf borderId="0" fillId="0" fontId="167" numFmtId="0" xfId="0" applyAlignment="1" applyFont="1">
      <alignment horizontal="right" shrinkToFit="0" vertical="bottom" wrapText="1"/>
    </xf>
    <xf borderId="0" fillId="0" fontId="167" numFmtId="0" xfId="0" applyAlignment="1" applyFont="1">
      <alignment vertical="bottom"/>
    </xf>
    <xf borderId="0" fillId="0" fontId="166" numFmtId="0" xfId="0" applyAlignment="1" applyFont="1">
      <alignment vertical="bottom"/>
    </xf>
    <xf borderId="0" fillId="2" fontId="169" numFmtId="0" xfId="0" applyAlignment="1" applyFont="1">
      <alignment readingOrder="0" shrinkToFit="0" wrapText="1"/>
    </xf>
    <xf borderId="0" fillId="40" fontId="3" numFmtId="0" xfId="0" applyAlignment="1" applyFont="1">
      <alignment readingOrder="0" shrinkToFit="0" wrapText="0"/>
    </xf>
    <xf borderId="0" fillId="2" fontId="169" numFmtId="0" xfId="0" applyAlignment="1" applyFont="1">
      <alignment readingOrder="0" shrinkToFit="0" wrapText="0"/>
    </xf>
    <xf borderId="0" fillId="0" fontId="169" numFmtId="0" xfId="0" applyAlignment="1" applyFont="1">
      <alignment readingOrder="0" shrinkToFit="0" wrapText="1"/>
    </xf>
    <xf borderId="7" fillId="0" fontId="111" numFmtId="0" xfId="0" applyAlignment="1" applyBorder="1" applyFont="1">
      <alignment readingOrder="0" shrinkToFit="0" wrapText="1"/>
    </xf>
    <xf borderId="0" fillId="22" fontId="111" numFmtId="0" xfId="0" applyAlignment="1" applyFont="1">
      <alignment readingOrder="0" shrinkToFit="0" wrapText="1"/>
    </xf>
    <xf borderId="0" fillId="22" fontId="111" numFmtId="0" xfId="0" applyAlignment="1" applyFont="1">
      <alignment shrinkToFit="0" wrapText="1"/>
    </xf>
    <xf borderId="0" fillId="22" fontId="111" numFmtId="0" xfId="0" applyAlignment="1" applyFont="1">
      <alignment shrinkToFit="0" wrapText="0"/>
    </xf>
    <xf borderId="0" fillId="6" fontId="3" numFmtId="0" xfId="0" applyAlignment="1" applyFont="1">
      <alignment horizontal="center" readingOrder="0"/>
    </xf>
    <xf borderId="0" fillId="8" fontId="3" numFmtId="0" xfId="0" applyAlignment="1" applyFont="1">
      <alignment horizontal="center" readingOrder="0"/>
    </xf>
    <xf borderId="0" fillId="29" fontId="3" numFmtId="0" xfId="0" applyAlignment="1" applyFont="1">
      <alignment horizontal="center" readingOrder="0"/>
    </xf>
    <xf borderId="0" fillId="41" fontId="3" numFmtId="0" xfId="0" applyAlignment="1" applyFill="1" applyFont="1">
      <alignment horizontal="center" readingOrder="0"/>
    </xf>
    <xf borderId="0" fillId="42" fontId="3" numFmtId="0" xfId="0" applyAlignment="1" applyFill="1" applyFont="1">
      <alignment horizontal="center" readingOrder="0"/>
    </xf>
    <xf borderId="0" fillId="43" fontId="3" numFmtId="0" xfId="0" applyAlignment="1" applyFill="1" applyFont="1">
      <alignment horizontal="center" readingOrder="0"/>
    </xf>
    <xf borderId="0" fillId="21" fontId="3" numFmtId="0" xfId="0" applyAlignment="1" applyFont="1">
      <alignment horizontal="center" readingOrder="0" vertical="center"/>
    </xf>
    <xf borderId="0" fillId="21" fontId="3" numFmtId="0" xfId="0" applyAlignment="1" applyFont="1">
      <alignment horizontal="center" readingOrder="0" shrinkToFit="0" vertical="center" wrapText="1"/>
    </xf>
    <xf borderId="0" fillId="7" fontId="2" numFmtId="0" xfId="0" applyAlignment="1" applyFont="1">
      <alignment readingOrder="0"/>
    </xf>
    <xf borderId="0" fillId="9" fontId="2" numFmtId="0" xfId="0" applyAlignment="1" applyFont="1">
      <alignment readingOrder="0"/>
    </xf>
    <xf borderId="0" fillId="23" fontId="2" numFmtId="0" xfId="0" applyAlignment="1" applyFont="1">
      <alignment readingOrder="0"/>
    </xf>
    <xf borderId="0" fillId="16" fontId="2" numFmtId="0" xfId="0" applyAlignment="1" applyFont="1">
      <alignment readingOrder="0"/>
    </xf>
    <xf borderId="0" fillId="26" fontId="2" numFmtId="0" xfId="0" applyAlignment="1" applyFont="1">
      <alignment readingOrder="0"/>
    </xf>
    <xf borderId="0" fillId="13" fontId="2" numFmtId="0" xfId="0" applyAlignment="1" applyFont="1">
      <alignment readingOrder="0"/>
    </xf>
    <xf borderId="0" fillId="26" fontId="2" numFmtId="0" xfId="0" applyAlignment="1" applyFont="1">
      <alignment horizontal="center" vertical="center"/>
    </xf>
    <xf borderId="0" fillId="0" fontId="2" numFmtId="0" xfId="0" applyAlignment="1" applyFont="1">
      <alignment horizontal="center" readingOrder="0" shrinkToFit="0" vertical="center" wrapText="1"/>
    </xf>
    <xf borderId="0" fillId="0" fontId="5" numFmtId="0" xfId="0" applyFont="1"/>
    <xf borderId="0" fillId="0" fontId="5" numFmtId="0" xfId="0" applyAlignment="1" applyFont="1">
      <alignment vertical="bottom"/>
    </xf>
    <xf borderId="0" fillId="0" fontId="5" numFmtId="168" xfId="0" applyAlignment="1" applyFont="1" applyNumberFormat="1">
      <alignment horizontal="right" vertical="bottom"/>
    </xf>
    <xf borderId="0" fillId="0" fontId="5" numFmtId="0" xfId="0" applyAlignment="1" applyFont="1">
      <alignment readingOrder="0" vertical="bottom"/>
    </xf>
    <xf borderId="0" fillId="0" fontId="5" numFmtId="168" xfId="0" applyAlignment="1" applyFont="1" applyNumberFormat="1">
      <alignment horizontal="right" readingOrder="0" vertical="bottom"/>
    </xf>
    <xf borderId="0" fillId="0" fontId="5" numFmtId="0" xfId="0" applyAlignment="1" applyFont="1">
      <alignment vertical="bottom"/>
    </xf>
    <xf borderId="0" fillId="0" fontId="5" numFmtId="0" xfId="0" applyAlignment="1" applyFont="1">
      <alignment readingOrder="0"/>
    </xf>
    <xf borderId="0" fillId="0" fontId="5" numFmtId="0" xfId="0" applyAlignment="1" applyFont="1">
      <alignment horizontal="right" readingOrder="0"/>
    </xf>
    <xf borderId="0" fillId="0" fontId="5" numFmtId="168" xfId="0" applyAlignment="1" applyFont="1" applyNumberFormat="1">
      <alignment readingOrder="0"/>
    </xf>
    <xf borderId="0" fillId="0" fontId="111" numFmtId="0" xfId="0" applyAlignment="1" applyFont="1">
      <alignment shrinkToFit="0" wrapText="1"/>
    </xf>
    <xf borderId="0" fillId="0" fontId="3" numFmtId="0" xfId="0" applyAlignment="1" applyFont="1">
      <alignment shrinkToFit="0" wrapText="1"/>
    </xf>
    <xf borderId="3" fillId="0" fontId="2" numFmtId="0" xfId="0" applyAlignment="1" applyBorder="1" applyFont="1">
      <alignment readingOrder="0"/>
    </xf>
    <xf borderId="0" fillId="0" fontId="170" numFmtId="0" xfId="0" applyAlignment="1" applyFont="1">
      <alignment shrinkToFit="0" vertical="bottom" wrapText="1"/>
    </xf>
    <xf borderId="0" fillId="42" fontId="166" numFmtId="0" xfId="0" applyAlignment="1" applyFont="1">
      <alignment vertical="bottom"/>
    </xf>
    <xf borderId="8" fillId="2" fontId="111" numFmtId="0" xfId="0" applyAlignment="1" applyBorder="1" applyFont="1">
      <alignment readingOrder="0" shrinkToFit="0" wrapText="1"/>
    </xf>
    <xf borderId="1" fillId="40" fontId="111" numFmtId="0" xfId="0" applyAlignment="1" applyBorder="1" applyFont="1">
      <alignment readingOrder="0" shrinkToFit="0" wrapText="1"/>
    </xf>
    <xf borderId="1" fillId="2" fontId="111" numFmtId="0" xfId="0" applyAlignment="1" applyBorder="1" applyFont="1">
      <alignment readingOrder="0" shrinkToFit="0" wrapText="0"/>
    </xf>
    <xf borderId="9" fillId="2" fontId="111" numFmtId="0" xfId="0" applyAlignment="1" applyBorder="1" applyFont="1">
      <alignment readingOrder="0" shrinkToFit="0" wrapText="1"/>
    </xf>
    <xf borderId="10" fillId="0" fontId="3" numFmtId="0" xfId="0" applyAlignment="1" applyBorder="1" applyFont="1">
      <alignment readingOrder="0" shrinkToFit="0" wrapText="1"/>
    </xf>
    <xf borderId="7" fillId="7" fontId="111" numFmtId="0" xfId="0" applyAlignment="1" applyBorder="1" applyFont="1">
      <alignment horizontal="right" readingOrder="0" shrinkToFit="0" wrapText="1"/>
    </xf>
    <xf borderId="7" fillId="0" fontId="111" numFmtId="0" xfId="0" applyAlignment="1" applyBorder="1" applyFont="1">
      <alignment horizontal="right" readingOrder="0" shrinkToFit="0" wrapText="1"/>
    </xf>
    <xf borderId="11" fillId="0" fontId="166" numFmtId="0" xfId="0" applyAlignment="1" applyBorder="1" applyFont="1">
      <alignment readingOrder="0"/>
    </xf>
    <xf borderId="12" fillId="0" fontId="166" numFmtId="0" xfId="0" applyAlignment="1" applyBorder="1" applyFont="1">
      <alignment readingOrder="0" vertical="bottom"/>
    </xf>
    <xf borderId="12" fillId="0" fontId="166" numFmtId="0" xfId="0" applyAlignment="1" applyBorder="1" applyFont="1">
      <alignment readingOrder="0"/>
    </xf>
    <xf borderId="11" fillId="0" fontId="166" numFmtId="0" xfId="0" applyAlignment="1" applyBorder="1" applyFont="1">
      <alignment readingOrder="0" shrinkToFit="0" wrapText="0"/>
    </xf>
    <xf borderId="7" fillId="14" fontId="111" numFmtId="0" xfId="0" applyAlignment="1" applyBorder="1" applyFont="1">
      <alignment shrinkToFit="0" wrapText="1"/>
    </xf>
    <xf borderId="0" fillId="0" fontId="166" numFmtId="0" xfId="0" applyFont="1"/>
    <xf borderId="13" fillId="14" fontId="111" numFmtId="0" xfId="0" applyAlignment="1" applyBorder="1" applyFont="1">
      <alignment shrinkToFit="0" wrapText="1"/>
    </xf>
    <xf borderId="0" fillId="44" fontId="166" numFmtId="0" xfId="0" applyAlignment="1" applyFill="1" applyFont="1">
      <alignment vertical="bottom"/>
    </xf>
    <xf borderId="8" fillId="2" fontId="166" numFmtId="0" xfId="0" applyAlignment="1" applyBorder="1" applyFont="1">
      <alignment readingOrder="0" shrinkToFit="0" wrapText="1"/>
    </xf>
    <xf borderId="0" fillId="0" fontId="171" numFmtId="0" xfId="0" applyFont="1"/>
    <xf borderId="1" fillId="2" fontId="172" numFmtId="0" xfId="0" applyAlignment="1" applyBorder="1" applyFont="1">
      <alignment shrinkToFit="0" wrapText="1"/>
    </xf>
    <xf borderId="9" fillId="2" fontId="167" numFmtId="0" xfId="0" applyAlignment="1" applyBorder="1" applyFont="1">
      <alignment shrinkToFit="0" wrapText="1"/>
    </xf>
    <xf borderId="0" fillId="40" fontId="173" numFmtId="0" xfId="0" applyAlignment="1" applyFont="1">
      <alignment shrinkToFit="0" wrapText="0"/>
    </xf>
    <xf borderId="0" fillId="14" fontId="166" numFmtId="0" xfId="0" applyFont="1"/>
    <xf borderId="11" fillId="0" fontId="166" numFmtId="0" xfId="0" applyAlignment="1" applyBorder="1" applyFont="1">
      <alignment shrinkToFit="0" wrapText="0"/>
    </xf>
    <xf borderId="7" fillId="14" fontId="166" numFmtId="0" xfId="0" applyBorder="1" applyFont="1"/>
    <xf borderId="0" fillId="14" fontId="2" numFmtId="0" xfId="0" applyFont="1"/>
    <xf borderId="14" fillId="14" fontId="166" numFmtId="0" xfId="0" applyBorder="1" applyFont="1"/>
    <xf borderId="15" fillId="42" fontId="166" numFmtId="0" xfId="0" applyAlignment="1" applyBorder="1" applyFont="1">
      <alignment vertical="bottom"/>
    </xf>
    <xf borderId="16" fillId="2" fontId="166" numFmtId="0" xfId="0" applyAlignment="1" applyBorder="1" applyFont="1">
      <alignment readingOrder="0" shrinkToFit="0" wrapText="1"/>
    </xf>
    <xf borderId="0" fillId="2" fontId="172" numFmtId="0" xfId="0" applyAlignment="1" applyFont="1">
      <alignment shrinkToFit="0" wrapText="0"/>
    </xf>
    <xf borderId="17" fillId="2" fontId="167" numFmtId="0" xfId="0" applyAlignment="1" applyBorder="1" applyFont="1">
      <alignment shrinkToFit="0" wrapText="1"/>
    </xf>
    <xf borderId="12" fillId="0" fontId="166" numFmtId="0" xfId="0" applyAlignment="1" applyBorder="1" applyFont="1">
      <alignment vertical="bottom"/>
    </xf>
    <xf borderId="15" fillId="27" fontId="166" numFmtId="0" xfId="0" applyAlignment="1" applyBorder="1" applyFont="1">
      <alignment vertical="bottom"/>
    </xf>
    <xf borderId="16" fillId="2" fontId="166" numFmtId="0" xfId="0" applyAlignment="1" applyBorder="1" applyFont="1">
      <alignment readingOrder="0"/>
    </xf>
    <xf borderId="0" fillId="0" fontId="174" numFmtId="0" xfId="0" applyAlignment="1" applyFont="1">
      <alignment readingOrder="0"/>
    </xf>
    <xf borderId="0" fillId="2" fontId="172" numFmtId="168" xfId="0" applyAlignment="1" applyFont="1" applyNumberFormat="1">
      <alignment shrinkToFit="0" wrapText="0"/>
    </xf>
    <xf borderId="7" fillId="0" fontId="111" numFmtId="0" xfId="0" applyAlignment="1" applyBorder="1" applyFont="1">
      <alignment horizontal="right" shrinkToFit="0" wrapText="1"/>
    </xf>
    <xf borderId="11" fillId="0" fontId="175" numFmtId="0" xfId="0" applyAlignment="1" applyBorder="1" applyFont="1">
      <alignment readingOrder="0" shrinkToFit="0" wrapText="0"/>
    </xf>
    <xf borderId="0" fillId="0" fontId="111" numFmtId="0" xfId="0" applyAlignment="1" applyFont="1">
      <alignment horizontal="right" shrinkToFit="0" wrapText="1"/>
    </xf>
    <xf borderId="15" fillId="0" fontId="166" numFmtId="0" xfId="0" applyAlignment="1" applyBorder="1" applyFont="1">
      <alignment vertical="bottom"/>
    </xf>
    <xf borderId="0" fillId="0" fontId="166" numFmtId="0" xfId="0" applyAlignment="1" applyFont="1">
      <alignment shrinkToFit="0" wrapText="1"/>
    </xf>
    <xf borderId="0" fillId="0" fontId="166" numFmtId="0" xfId="0" applyAlignment="1" applyFont="1">
      <alignment horizontal="right"/>
    </xf>
    <xf borderId="15" fillId="44" fontId="166" numFmtId="0" xfId="0" applyAlignment="1" applyBorder="1" applyFont="1">
      <alignment vertical="bottom"/>
    </xf>
    <xf borderId="11" fillId="0" fontId="176" numFmtId="0" xfId="0" applyAlignment="1" applyBorder="1" applyFont="1">
      <alignment readingOrder="0"/>
    </xf>
    <xf borderId="0" fillId="0" fontId="2" numFmtId="0" xfId="0" applyAlignment="1" applyFont="1">
      <alignment readingOrder="0" shrinkToFit="0" vertical="top" wrapText="1"/>
    </xf>
    <xf borderId="0" fillId="0" fontId="167" numFmtId="0" xfId="0" applyAlignment="1" applyFont="1">
      <alignment readingOrder="0" shrinkToFit="0" wrapText="1"/>
    </xf>
    <xf borderId="0" fillId="0" fontId="111" numFmtId="0" xfId="0" applyAlignment="1" applyFont="1">
      <alignment readingOrder="0" shrinkToFit="0" wrapText="1"/>
    </xf>
    <xf borderId="0" fillId="0" fontId="111" numFmtId="0" xfId="0" applyFont="1"/>
    <xf borderId="0" fillId="0" fontId="167" numFmtId="0" xfId="0" applyAlignment="1" applyFont="1">
      <alignment horizontal="center" vertical="bottom"/>
    </xf>
    <xf borderId="0" fillId="0" fontId="167" numFmtId="0" xfId="0" applyAlignment="1" applyFont="1">
      <alignment horizontal="center" shrinkToFit="0" vertical="bottom" wrapText="1"/>
    </xf>
    <xf borderId="0" fillId="0" fontId="2" numFmtId="0" xfId="0" applyAlignment="1" applyFont="1">
      <alignment shrinkToFit="0" wrapText="0"/>
    </xf>
    <xf borderId="0" fillId="0" fontId="166" numFmtId="0" xfId="0" applyAlignment="1" applyFont="1">
      <alignment shrinkToFit="0" wrapText="0"/>
    </xf>
    <xf borderId="0" fillId="0" fontId="177" numFmtId="0" xfId="0" applyAlignment="1" applyFont="1">
      <alignment readingOrder="0" shrinkToFit="0" wrapText="0"/>
    </xf>
    <xf borderId="0" fillId="0" fontId="178" numFmtId="0" xfId="0" applyAlignment="1" applyFont="1">
      <alignment vertical="bottom"/>
    </xf>
    <xf borderId="0" fillId="0" fontId="166" numFmtId="0" xfId="0" applyAlignment="1" applyFont="1">
      <alignment shrinkToFit="0" wrapText="0"/>
    </xf>
    <xf borderId="11" fillId="0" fontId="166" numFmtId="0" xfId="0" applyBorder="1" applyFont="1"/>
    <xf borderId="0" fillId="0" fontId="2" numFmtId="0" xfId="0" applyAlignment="1" applyFont="1">
      <alignment shrinkToFit="0" wrapText="0"/>
    </xf>
    <xf borderId="0" fillId="0" fontId="167" numFmtId="0" xfId="0" applyAlignment="1" applyFont="1">
      <alignment readingOrder="0" vertical="bottom"/>
    </xf>
    <xf borderId="0" fillId="0" fontId="179" numFmtId="0" xfId="0" applyAlignment="1" applyFont="1">
      <alignment shrinkToFit="0" wrapText="1"/>
    </xf>
    <xf borderId="4" fillId="0" fontId="180" numFmtId="0" xfId="0" applyAlignment="1" applyBorder="1" applyFont="1">
      <alignment shrinkToFit="0" vertical="bottom" wrapText="0"/>
    </xf>
    <xf borderId="0" fillId="0" fontId="167" numFmtId="0" xfId="0" applyAlignment="1" applyFont="1">
      <alignment horizontal="right" shrinkToFit="0" vertical="bottom" wrapText="1"/>
    </xf>
    <xf borderId="0" fillId="0" fontId="167" numFmtId="0" xfId="0" applyAlignment="1" applyFont="1">
      <alignment shrinkToFit="0" vertical="bottom" wrapText="1"/>
    </xf>
    <xf borderId="4" fillId="0" fontId="167" numFmtId="0" xfId="0" applyAlignment="1" applyBorder="1" applyFont="1">
      <alignment shrinkToFit="0" vertical="bottom" wrapText="0"/>
    </xf>
    <xf borderId="0" fillId="45" fontId="181" numFmtId="0" xfId="0" applyAlignment="1" applyFill="1" applyFont="1">
      <alignment readingOrder="0"/>
    </xf>
    <xf borderId="4" fillId="0" fontId="167" numFmtId="0" xfId="0" applyAlignment="1" applyBorder="1" applyFont="1">
      <alignment shrinkToFit="0" vertical="bottom" wrapText="0"/>
    </xf>
    <xf borderId="0" fillId="0" fontId="2" numFmtId="0" xfId="0" applyAlignment="1" applyFont="1">
      <alignment readingOrder="0" shrinkToFit="0" wrapText="0"/>
    </xf>
    <xf borderId="0" fillId="0" fontId="166" numFmtId="0" xfId="0" applyFont="1"/>
    <xf borderId="11" fillId="0" fontId="182" numFmtId="0" xfId="0" applyAlignment="1" applyBorder="1" applyFont="1">
      <alignment readingOrder="0"/>
    </xf>
    <xf borderId="0" fillId="0" fontId="166" numFmtId="0" xfId="0" applyAlignment="1" applyFont="1">
      <alignment readingOrder="0" shrinkToFit="0" wrapText="0"/>
    </xf>
    <xf borderId="11" fillId="0" fontId="166" numFmtId="0" xfId="0" applyAlignment="1" applyBorder="1" applyFont="1">
      <alignment shrinkToFit="0" wrapText="0"/>
    </xf>
    <xf borderId="0" fillId="0" fontId="183" numFmtId="0" xfId="0" applyAlignment="1" applyFont="1">
      <alignment vertical="bottom"/>
    </xf>
    <xf borderId="15" fillId="27" fontId="166" numFmtId="0" xfId="0" applyAlignment="1" applyBorder="1" applyFont="1">
      <alignment readingOrder="0" vertical="bottom"/>
    </xf>
    <xf borderId="0" fillId="0" fontId="166" numFmtId="0" xfId="0" applyAlignment="1" applyFont="1">
      <alignment readingOrder="0" vertical="bottom"/>
    </xf>
    <xf borderId="12" fillId="0" fontId="166" numFmtId="0" xfId="0" applyBorder="1" applyFont="1"/>
    <xf borderId="0" fillId="0" fontId="184" numFmtId="0" xfId="0" applyAlignment="1" applyFont="1">
      <alignment readingOrder="0" vertical="bottom"/>
    </xf>
    <xf borderId="15" fillId="46" fontId="166" numFmtId="0" xfId="0" applyAlignment="1" applyBorder="1" applyFill="1" applyFont="1">
      <alignment readingOrder="0" vertical="bottom"/>
    </xf>
    <xf borderId="0" fillId="19" fontId="185" numFmtId="0" xfId="0" applyAlignment="1" applyFont="1">
      <alignment readingOrder="0"/>
    </xf>
    <xf borderId="0" fillId="0" fontId="166" numFmtId="0" xfId="0" applyAlignment="1" applyFont="1">
      <alignment readingOrder="0" shrinkToFit="0" wrapText="0"/>
    </xf>
    <xf borderId="4" fillId="19" fontId="174" numFmtId="0" xfId="0" applyAlignment="1" applyBorder="1" applyFont="1">
      <alignment shrinkToFit="0" vertical="bottom" wrapText="0"/>
    </xf>
    <xf borderId="15" fillId="42" fontId="166" numFmtId="0" xfId="0" applyAlignment="1" applyBorder="1" applyFont="1">
      <alignment readingOrder="0" vertical="bottom"/>
    </xf>
    <xf borderId="12" fillId="0" fontId="186" numFmtId="0" xfId="0" applyAlignment="1" applyBorder="1" applyFont="1">
      <alignment vertical="bottom"/>
    </xf>
    <xf borderId="4" fillId="0" fontId="187" numFmtId="0" xfId="0" applyAlignment="1" applyBorder="1" applyFont="1">
      <alignment shrinkToFit="0" vertical="bottom" wrapText="0"/>
    </xf>
    <xf borderId="12" fillId="0" fontId="188" numFmtId="0" xfId="0" applyAlignment="1" applyBorder="1" applyFont="1">
      <alignment vertical="bottom"/>
    </xf>
    <xf borderId="4" fillId="0" fontId="2" numFmtId="0" xfId="0" applyAlignment="1" applyBorder="1" applyFont="1">
      <alignment shrinkToFit="0" vertical="bottom" wrapText="0"/>
    </xf>
    <xf borderId="18" fillId="0" fontId="166" numFmtId="0" xfId="0" applyAlignment="1" applyBorder="1" applyFont="1">
      <alignment readingOrder="0"/>
    </xf>
    <xf borderId="3" fillId="19" fontId="189" numFmtId="0" xfId="0" applyAlignment="1" applyBorder="1" applyFont="1">
      <alignment readingOrder="0" shrinkToFit="0" wrapText="0"/>
    </xf>
    <xf borderId="0" fillId="0" fontId="2" numFmtId="0" xfId="0" applyAlignment="1" applyFont="1">
      <alignment vertical="bottom"/>
    </xf>
    <xf borderId="11" fillId="0" fontId="190" numFmtId="0" xfId="0" applyAlignment="1" applyBorder="1" applyFont="1">
      <alignment readingOrder="0"/>
    </xf>
    <xf borderId="19" fillId="0" fontId="191" numFmtId="0" xfId="0" applyAlignment="1" applyBorder="1" applyFont="1">
      <alignment readingOrder="0" shrinkToFit="0" wrapText="0"/>
    </xf>
    <xf borderId="11" fillId="0" fontId="192" numFmtId="0" xfId="0" applyAlignment="1" applyBorder="1" applyFont="1">
      <alignment readingOrder="0" shrinkToFit="0" wrapText="0"/>
    </xf>
    <xf borderId="0" fillId="0" fontId="167" numFmtId="0" xfId="0" applyAlignment="1" applyFont="1">
      <alignment vertical="bottom"/>
    </xf>
    <xf borderId="12" fillId="7" fontId="166" numFmtId="0" xfId="0" applyAlignment="1" applyBorder="1" applyFont="1">
      <alignment vertical="bottom"/>
    </xf>
    <xf borderId="15" fillId="0" fontId="166" numFmtId="0" xfId="0" applyAlignment="1" applyBorder="1" applyFont="1">
      <alignment readingOrder="0" vertical="bottom"/>
    </xf>
    <xf borderId="0" fillId="19" fontId="193" numFmtId="0" xfId="0" applyAlignment="1" applyFont="1">
      <alignment readingOrder="0" shrinkToFit="0" wrapText="0"/>
    </xf>
    <xf borderId="0" fillId="3" fontId="3" numFmtId="0" xfId="0" applyAlignment="1" applyFont="1">
      <alignment readingOrder="0" shrinkToFit="0" wrapText="0"/>
    </xf>
    <xf borderId="0" fillId="18" fontId="3" numFmtId="0" xfId="0" applyAlignment="1" applyFont="1">
      <alignment readingOrder="0" shrinkToFit="0" wrapText="0"/>
    </xf>
    <xf borderId="20" fillId="14" fontId="166" numFmtId="0" xfId="0" applyBorder="1" applyFont="1"/>
    <xf borderId="15" fillId="44" fontId="166" numFmtId="0" xfId="0" applyAlignment="1" applyBorder="1" applyFont="1">
      <alignment readingOrder="0" vertical="bottom"/>
    </xf>
    <xf borderId="0" fillId="0" fontId="166" numFmtId="0" xfId="0" applyAlignment="1" applyFont="1">
      <alignment readingOrder="0"/>
    </xf>
    <xf borderId="0" fillId="19" fontId="174" numFmtId="0" xfId="0" applyAlignment="1" applyFont="1">
      <alignment vertical="bottom"/>
    </xf>
    <xf borderId="0" fillId="21" fontId="167" numFmtId="0" xfId="0" applyAlignment="1" applyFont="1">
      <alignment shrinkToFit="0" wrapText="1"/>
    </xf>
    <xf borderId="0" fillId="21" fontId="167" numFmtId="0" xfId="0" applyAlignment="1" applyFont="1">
      <alignment shrinkToFit="0" wrapText="0"/>
    </xf>
    <xf borderId="0" fillId="21" fontId="167" numFmtId="0" xfId="0" applyAlignment="1" applyFont="1">
      <alignment readingOrder="0"/>
    </xf>
    <xf borderId="0" fillId="27" fontId="194" numFmtId="0" xfId="0" applyFont="1"/>
    <xf borderId="0" fillId="29" fontId="2" numFmtId="0" xfId="0" applyFont="1"/>
    <xf borderId="0" fillId="29" fontId="2" numFmtId="174" xfId="0" applyAlignment="1" applyFont="1" applyNumberFormat="1">
      <alignment readingOrder="0" shrinkToFit="0" wrapText="0"/>
    </xf>
    <xf borderId="0" fillId="29" fontId="2" numFmtId="0" xfId="0" applyAlignment="1" applyFont="1">
      <alignment shrinkToFit="0" wrapText="0"/>
    </xf>
    <xf borderId="0" fillId="29" fontId="2" numFmtId="0" xfId="0" applyAlignment="1" applyFont="1">
      <alignment readingOrder="0" shrinkToFit="0" wrapText="0"/>
    </xf>
    <xf borderId="0" fillId="0" fontId="111" numFmtId="0" xfId="0" applyAlignment="1" applyFont="1">
      <alignment readingOrder="0"/>
    </xf>
    <xf borderId="21" fillId="0" fontId="166" numFmtId="0" xfId="0" applyAlignment="1" applyBorder="1" applyFont="1">
      <alignment readingOrder="0" shrinkToFit="0" wrapText="0"/>
    </xf>
    <xf borderId="0" fillId="21" fontId="2" numFmtId="0" xfId="0" applyAlignment="1" applyFont="1">
      <alignment readingOrder="0"/>
    </xf>
    <xf borderId="0" fillId="0" fontId="7" numFmtId="174" xfId="0" applyAlignment="1" applyFont="1" applyNumberFormat="1">
      <alignment readingOrder="0" shrinkToFit="0" wrapText="0"/>
    </xf>
    <xf borderId="0" fillId="47" fontId="194" numFmtId="0" xfId="0" applyFill="1" applyFont="1"/>
    <xf borderId="0" fillId="47" fontId="195" numFmtId="0" xfId="0" applyAlignment="1" applyFont="1">
      <alignment readingOrder="0"/>
    </xf>
    <xf borderId="0" fillId="0" fontId="167" numFmtId="0" xfId="0" applyAlignment="1" applyFont="1">
      <alignment shrinkToFit="0" wrapText="1"/>
    </xf>
    <xf borderId="0" fillId="0" fontId="167" numFmtId="0" xfId="0" applyAlignment="1" applyFont="1">
      <alignment shrinkToFit="0" wrapText="0"/>
    </xf>
    <xf borderId="0" fillId="0" fontId="196" numFmtId="169" xfId="0" applyAlignment="1" applyFont="1" applyNumberFormat="1">
      <alignment readingOrder="0" shrinkToFit="0" wrapText="0"/>
    </xf>
    <xf borderId="0" fillId="0" fontId="197" numFmtId="0" xfId="0" applyAlignment="1" applyFont="1">
      <alignment shrinkToFit="0" wrapText="0"/>
    </xf>
    <xf borderId="0" fillId="0" fontId="197" numFmtId="0" xfId="0" applyAlignment="1" applyFont="1">
      <alignment readingOrder="0" shrinkToFit="0" wrapText="0"/>
    </xf>
    <xf borderId="0" fillId="0" fontId="55" numFmtId="0" xfId="0" applyAlignment="1" applyFont="1">
      <alignment readingOrder="0" shrinkToFit="0" wrapText="0"/>
    </xf>
    <xf borderId="0" fillId="0" fontId="197" numFmtId="0" xfId="0" applyFont="1"/>
    <xf borderId="0" fillId="21" fontId="2" numFmtId="0" xfId="0" applyFont="1"/>
    <xf borderId="0" fillId="29" fontId="7" numFmtId="169" xfId="0" applyAlignment="1" applyFont="1" applyNumberFormat="1">
      <alignment readingOrder="0" shrinkToFit="0" wrapText="0"/>
    </xf>
    <xf borderId="0" fillId="0" fontId="198" numFmtId="0" xfId="0" applyAlignment="1" applyFont="1">
      <alignment shrinkToFit="0" wrapText="0"/>
    </xf>
    <xf borderId="0" fillId="48" fontId="199" numFmtId="0" xfId="0" applyAlignment="1" applyFill="1" applyFont="1">
      <alignment readingOrder="0"/>
    </xf>
    <xf borderId="0" fillId="49" fontId="200" numFmtId="0" xfId="0" applyAlignment="1" applyFill="1" applyFont="1">
      <alignment horizontal="left" readingOrder="0"/>
    </xf>
    <xf borderId="0" fillId="0" fontId="167" numFmtId="0" xfId="0" applyFont="1"/>
    <xf borderId="0" fillId="50" fontId="201" numFmtId="0" xfId="0" applyAlignment="1" applyFill="1" applyFont="1">
      <alignment readingOrder="0"/>
    </xf>
    <xf borderId="0" fillId="0" fontId="202" numFmtId="0" xfId="0" applyAlignment="1" applyFont="1">
      <alignment shrinkToFit="0" wrapText="1"/>
    </xf>
    <xf borderId="0" fillId="0" fontId="167" numFmtId="0" xfId="0" applyAlignment="1" applyFont="1">
      <alignment readingOrder="0" shrinkToFit="0" wrapText="0"/>
    </xf>
    <xf borderId="0" fillId="0" fontId="167" numFmtId="0" xfId="0" applyFont="1"/>
    <xf borderId="0" fillId="0" fontId="167" numFmtId="0" xfId="0" applyAlignment="1" applyFont="1">
      <alignment readingOrder="0" shrinkToFit="0" wrapText="0"/>
    </xf>
    <xf borderId="0" fillId="0" fontId="167" numFmtId="0" xfId="0" applyAlignment="1" applyFont="1">
      <alignment readingOrder="0" shrinkToFit="0" wrapText="1"/>
    </xf>
    <xf borderId="0" fillId="0" fontId="167" numFmtId="0" xfId="0" applyAlignment="1" applyFont="1">
      <alignment readingOrder="0"/>
    </xf>
    <xf borderId="0" fillId="38" fontId="203" numFmtId="0" xfId="0" applyAlignment="1" applyFont="1">
      <alignment readingOrder="0"/>
    </xf>
    <xf borderId="12" fillId="0" fontId="166" numFmtId="0" xfId="0" applyAlignment="1" applyBorder="1" applyFont="1">
      <alignment vertical="bottom"/>
    </xf>
    <xf borderId="0" fillId="19" fontId="204" numFmtId="0" xfId="0" applyAlignment="1" applyFont="1">
      <alignment readingOrder="0"/>
    </xf>
    <xf borderId="0" fillId="19" fontId="205" numFmtId="0" xfId="0" applyAlignment="1" applyFont="1">
      <alignment readingOrder="0"/>
    </xf>
    <xf borderId="0" fillId="0" fontId="167" numFmtId="168" xfId="0" applyAlignment="1" applyFont="1" applyNumberFormat="1">
      <alignment shrinkToFit="0" wrapText="1"/>
    </xf>
    <xf borderId="0" fillId="0" fontId="206" numFmtId="0" xfId="0" applyAlignment="1" applyFont="1">
      <alignment readingOrder="0"/>
    </xf>
    <xf borderId="0" fillId="4" fontId="207" numFmtId="0" xfId="0" applyAlignment="1" applyFont="1">
      <alignment readingOrder="0"/>
    </xf>
    <xf borderId="0" fillId="0" fontId="166" numFmtId="0" xfId="0" applyAlignment="1" applyFont="1">
      <alignment shrinkToFit="0" wrapText="0"/>
    </xf>
  </cellXfs>
  <cellStyles count="1">
    <cellStyle xfId="0" name="Normal" builtinId="0"/>
  </cellStyles>
  <dxfs count="32">
    <dxf>
      <font>
        <color rgb="FFCCCCCC"/>
      </font>
      <fill>
        <patternFill patternType="none"/>
      </fill>
      <border/>
    </dxf>
    <dxf>
      <font>
        <b/>
        <i/>
      </font>
      <fill>
        <patternFill patternType="solid">
          <fgColor rgb="FFFFF2CC"/>
          <bgColor rgb="FFFFF2CC"/>
        </patternFill>
      </fill>
      <border/>
    </dxf>
    <dxf>
      <font>
        <b/>
        <i/>
      </font>
      <fill>
        <patternFill patternType="solid">
          <fgColor rgb="FFD9EAD3"/>
          <bgColor rgb="FFD9EAD3"/>
        </patternFill>
      </fill>
      <border/>
    </dxf>
    <dxf>
      <font/>
      <fill>
        <patternFill patternType="solid">
          <fgColor rgb="FFFFFF00"/>
          <bgColor rgb="FFFFFF00"/>
        </patternFill>
      </fill>
      <border/>
    </dxf>
    <dxf>
      <font/>
      <fill>
        <patternFill patternType="solid">
          <fgColor rgb="FFFF9900"/>
          <bgColor rgb="FFFF9900"/>
        </patternFill>
      </fill>
      <border/>
    </dxf>
    <dxf>
      <font/>
      <fill>
        <patternFill patternType="none"/>
      </fill>
      <border/>
    </dxf>
    <dxf>
      <font/>
      <fill>
        <patternFill patternType="solid">
          <fgColor rgb="FFCFE2F3"/>
          <bgColor rgb="FFCFE2F3"/>
        </patternFill>
      </fill>
      <border/>
    </dxf>
    <dxf>
      <font/>
      <fill>
        <patternFill patternType="solid">
          <fgColor rgb="FFEAD1DC"/>
          <bgColor rgb="FFEAD1DC"/>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solid">
          <fgColor rgb="FFA2C4C9"/>
          <bgColor rgb="FFA2C4C9"/>
        </patternFill>
      </fill>
      <border/>
    </dxf>
    <dxf>
      <font/>
      <fill>
        <patternFill patternType="solid">
          <fgColor rgb="FFF9CB9C"/>
          <bgColor rgb="FFF9CB9C"/>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EA9999"/>
          <bgColor rgb="FFEA9999"/>
        </patternFill>
      </fill>
      <border/>
    </dxf>
    <dxf>
      <font/>
      <fill>
        <patternFill patternType="solid">
          <fgColor rgb="FFD5A6BD"/>
          <bgColor rgb="FFD5A6BD"/>
        </patternFill>
      </fill>
      <border/>
    </dxf>
    <dxf>
      <font/>
      <fill>
        <patternFill patternType="solid">
          <fgColor rgb="FFDD7E6B"/>
          <bgColor rgb="FFDD7E6B"/>
        </patternFill>
      </fill>
      <border/>
    </dxf>
    <dxf>
      <font/>
      <fill>
        <patternFill patternType="solid">
          <fgColor rgb="FFD9EAD3"/>
          <bgColor rgb="FFD9EAD3"/>
        </patternFill>
      </fill>
      <border/>
    </dxf>
    <dxf>
      <font/>
      <fill>
        <patternFill patternType="solid">
          <fgColor rgb="FFE06666"/>
          <bgColor rgb="FFE06666"/>
        </patternFill>
      </fill>
      <border/>
    </dxf>
    <dxf>
      <font/>
      <fill>
        <patternFill patternType="solid">
          <fgColor rgb="FFFFD966"/>
          <bgColor rgb="FFFFD966"/>
        </patternFill>
      </fill>
      <border/>
    </dxf>
    <dxf>
      <font/>
      <fill>
        <patternFill patternType="solid">
          <fgColor rgb="FFB7E1CD"/>
          <bgColor rgb="FFB7E1CD"/>
        </patternFill>
      </fill>
      <border/>
    </dxf>
    <dxf>
      <font/>
      <fill>
        <patternFill patternType="none"/>
      </fill>
      <border/>
    </dxf>
    <dxf>
      <font/>
      <fill>
        <patternFill patternType="solid">
          <fgColor rgb="FFFFFFFF"/>
          <bgColor rgb="FFFFFFFF"/>
        </patternFill>
      </fill>
      <border/>
    </dxf>
    <dxf>
      <font/>
      <fill>
        <patternFill patternType="solid">
          <fgColor rgb="FF76A5AF"/>
          <bgColor rgb="FF76A5AF"/>
        </patternFill>
      </fill>
      <border/>
    </dxf>
    <dxf>
      <font>
        <color rgb="FF000000"/>
      </font>
      <fill>
        <patternFill patternType="solid">
          <fgColor theme="5"/>
          <bgColor theme="5"/>
        </patternFill>
      </fill>
      <border/>
    </dxf>
    <dxf>
      <font/>
      <fill>
        <patternFill patternType="solid">
          <fgColor rgb="FFFF0000"/>
          <bgColor rgb="FFFF0000"/>
        </patternFill>
      </fill>
      <border/>
    </dxf>
    <dxf>
      <font/>
      <fill>
        <patternFill patternType="solid">
          <fgColor rgb="FF6D9EEB"/>
          <bgColor rgb="FF6D9EEB"/>
        </patternFill>
      </fill>
      <border/>
    </dxf>
    <dxf>
      <font/>
      <fill>
        <patternFill patternType="solid">
          <fgColor rgb="FFB7B7B7"/>
          <bgColor rgb="FFB7B7B7"/>
        </patternFill>
      </fill>
      <border/>
    </dxf>
    <dxf>
      <font/>
      <fill>
        <patternFill patternType="solid">
          <fgColor rgb="FF93C47D"/>
          <bgColor rgb="FF93C47D"/>
        </patternFill>
      </fill>
      <border/>
    </dxf>
    <dxf>
      <font/>
      <fill>
        <patternFill patternType="solid">
          <fgColor rgb="FF6AA84F"/>
          <bgColor rgb="FF6AA84F"/>
        </patternFill>
      </fill>
      <border/>
    </dxf>
    <dxf>
      <font/>
      <fill>
        <patternFill patternType="solid">
          <fgColor rgb="FFFFA726"/>
          <bgColor rgb="FFFFA726"/>
        </patternFill>
      </fill>
      <border/>
    </dxf>
    <dxf>
      <font/>
      <fill>
        <patternFill patternType="solid">
          <fgColor rgb="FFFF9800"/>
          <bgColor rgb="FFFF98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2"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I299" sheet="Bespoke Speaker Intros"/>
  </cacheSource>
  <cacheFields>
    <cacheField name="Speaker" numFmtId="0">
      <sharedItems containsBlank="1">
        <s v="Margaret Atwood"/>
        <s v="Nikolaj coster-waldau"/>
        <s v="Shaq O'Neal"/>
        <s v="Marc Raibert"/>
        <s v="David Eun"/>
        <s v="Christopher Wylie"/>
        <m/>
        <s v="David Fischer"/>
        <s v="Dan Doctoroff"/>
        <s v="Johanna Faries "/>
        <s v="Johanna Faries"/>
        <s v="Brad Smith"/>
        <s v="David Wallerstein"/>
        <s v="Paris Hilton"/>
        <s v="Neal Mohan"/>
        <s v="Greg Peters"/>
        <s v="Melissa Selcher"/>
        <s v="kristine Belson "/>
        <s v="Shay Mitchell"/>
        <s v="Vinod Kholsa"/>
        <s v="JK MAIL MERGE TEST"/>
        <s v=" "/>
      </sharedItems>
    </cacheField>
    <cacheField name="Editor" numFmtId="0">
      <sharedItems containsBlank="1">
        <s v="Jonas"/>
        <s v="Jack"/>
        <s v="David"/>
        <m/>
        <s v="Eoin"/>
        <s v="Finn"/>
        <s v="Lisa"/>
        <s v="Rebecca"/>
        <s v="Grace"/>
        <s v="grace "/>
        <s v=" "/>
      </sharedItems>
    </cacheField>
    <cacheField name="Source" numFmtId="0">
      <sharedItems containsBlank="1">
        <s v="VICE"/>
        <s v="FRANCE 24 English"/>
        <s v="CBC News"/>
        <s v="ABC"/>
        <s v="MasterClass"/>
        <s v="National Centre for Writing"/>
        <s v="CBC"/>
        <s v="CBS"/>
        <s v="Writer's Relief"/>
        <s v="wpsu"/>
        <s v="NBC"/>
        <s v="Margaret Atwood: A Word after a Word after a Word Is Power - Trailer (Official) • A Hulu Original"/>
        <s v="United Nations Development Programme (UNDP)"/>
        <s v="CNS News"/>
        <s v="CNBC"/>
        <s v="One News PH"/>
        <s v="Mashable Experimental"/>
        <s v="MSNBC"/>
        <s v="Google"/>
        <s v="Arctic imagination"/>
        <s v="Udenrigsministeriet"/>
        <s v="Mars"/>
        <s v="NBA"/>
        <s v="NY Nick"/>
        <s v="Graham Bensinger/GB Entertainment"/>
        <s v="Wall Street Journal"/>
        <s v="JC Penny"/>
        <s v="TED"/>
        <s v="Amazon News"/>
        <s v="Conde Nast/WIRED"/>
        <s v="Boston Dynamics"/>
        <s v="TechCrunch"/>
        <s v="Samsung"/>
        <s v="Sony Pictures Entertainment"/>
        <s v="The Biggy Smith"/>
        <s v="No Copyright Motion Graphics"/>
        <s v="Tanuri X"/>
        <s v="Creative Commons Footage"/>
        <s v="Cool Motion"/>
        <s v="Free Stock Footgae 4k"/>
        <s v="The New York Times"/>
        <s v="Cambridge Analytica"/>
        <m/>
        <s v="The Drum"/>
        <s v="IAB - Interactive Advertising Bureau"/>
        <s v="Newsy"/>
        <s v="Cheddar"/>
        <s v="Pixabay"/>
        <s v="Facebook App"/>
        <s v="Videezy"/>
        <s v="WTD Productions"/>
        <s v="LeBreton"/>
        <s v="EA SPORTS"/>
        <s v="Call of Duty"/>
        <s v="iRacing"/>
        <s v="Global News Toronto"/>
        <s v="ART GRID"/>
        <s v="Neo"/>
        <s v="Planet Labs"/>
        <s v="CNA"/>
        <s v="KTNV Channel 13 Las Vegas"/>
        <s v="Sky News"/>
        <s v="High Impact"/>
        <s v="BBC News&#10;"/>
        <s v="Web Summit"/>
        <s v="Riot Games "/>
        <s v="Bloomberg"/>
        <s v="How to Academy"/>
        <s v="The Daily Show with Trevor Noah"/>
        <s v="Microsoft"/>
        <s v="Carnegie Europe"/>
        <s v="ColdFusion"/>
        <s v="PBS News Hour"/>
        <s v="Y Combinator"/>
        <s v="Digital Festival"/>
        <s v="Gameranx"/>
        <s v="Tiedekulma"/>
        <s v="Tencent WE Summit"/>
        <s v="Universal Music"/>
        <s v="Paris Hilton YT channel"/>
        <s v="Female First"/>
        <s v="Women's Wear Daily"/>
        <s v="Paris' Instagram"/>
        <s v="FT"/>
        <s v="Cyberwise"/>
        <s v="NDTV"/>
        <s v="CNN"/>
        <s v="Netflix"/>
        <s v="Fox Business"/>
        <s v="LinkedIn"/>
        <s v="Marriott International Facebook"/>
        <s v="Sony Pictures Animation"/>
        <s v="Variety"/>
        <s v="BuzzFeed Bring Me"/>
        <s v="ksby news"/>
        <s v="annecy festivel "/>
        <s v="LFA Les Femmes s'Animent"/>
        <s v="wochit news"/>
        <s v="CleverTV"/>
        <s v="Shay's YT channel"/>
        <s v="Shay's company's YT channel"/>
        <s v="Ashley Graham YT channel"/>
        <s v="Slush"/>
        <s v="BeetTV"/>
        <s v="Kholsa Ventures"/>
        <s v="Evan Carmichael"/>
        <s v="Apple"/>
        <s v="Coca Cola"/>
        <s v="NIKE"/>
        <s v="Guinness"/>
        <s v="Rutgers University, Jersey"/>
        <s v="Newsweek"/>
        <s v="McDonald's"/>
        <s v="Hummingbird Productions"/>
        <s v="Snickers"/>
        <s v="Gatorade"/>
        <s v="Jigglypuff"/>
        <s v="BMW"/>
        <s v="Equalman"/>
        <s v="Social Media College"/>
        <s v="Twitter Reactions"/>
        <s v="Global Stats"/>
        <s v="Devschooluea"/>
        <s v="Moremotion"/>
        <s v="WackyTv"/>
        <s v="STORYFUL"/>
        <s v="Shared News"/>
        <s v="DitchtheLabel"/>
        <s v="Cadbury"/>
        <s v="Kellogs Ireland"/>
        <s v="JK MAIL MERGE TEST"/>
        <s v=" "/>
      </sharedItems>
    </cacheField>
    <cacheField name="Link" numFmtId="0">
      <sharedItems containsBlank="1">
        <s v="https://www.youtube.com/watch?v=PPPxR3PcXkQ"/>
        <s v="https://www.youtube.com/watch?v=oiAFAYE_HLo"/>
        <s v="https://www.youtube.com/watch?v=hyU64nXUrU8"/>
        <s v="https://www.youtube.com/watch?v=jyYLVeZIrO0"/>
        <s v="https://www.youtube.com/watch?v=lbMPDk7CF6g"/>
        <s v="https://www.youtube.com/watch?v=fDkbyyPRKFY"/>
        <s v="https://www.youtube.com/watch?v=BvIpWyWVTdE"/>
        <s v="https://www.youtube.com/watch?v=_rDoROcHbpI"/>
        <s v="https://www.youtube.com/watch?v=bT47Is0czhA"/>
        <s v="https://www.youtube.com/watch?v=D5Wj_JQ6NhY"/>
        <s v="https://www.youtube.com/watch?v=BLoPV26aimE"/>
        <s v="https://www.youtube.com/watch?v=Qj8P8yvvLNs"/>
        <s v="https://www.youtube.com/watch?v=6laUW5j_YZw"/>
        <s v="https://www.youtube.com/watch?v=-OtAu9190HE"/>
        <s v="https://www.cnbc.com/2018/06/22/game-of-thrones-nikolaj-coster-waldau-talks-about-his-humanitarian-work-including-lions-share-fund.html"/>
        <s v="https://www.youtube.com/watch?v=s20uxPAQ-Jk&amp;amp=&amp;t=1s"/>
        <s v="https://www.youtube.com/watch?v=azanUYJQQaE"/>
        <s v="https://www.youtube.com/watch?v=adCIIAENck0&amp;t=432s"/>
        <s v="https://www.youtube.com/watch?v=fkNb1dedlkw"/>
        <s v="https://www.youtube.com/watch?v=N5O5DESGekE"/>
        <s v="https://www.youtube.com/watch?v=V4H_37qbx1E"/>
        <s v="https://www.youtube.com/watch?v=fp3L7Sy9Sp0"/>
        <s v="https://www.youtube.com/watch?v=jCd93ZWVXAE"/>
        <s v="https://www.youtube.com/watch?v=HwgvlzBb6II"/>
        <s v="https://www.youtube.com/watch?v=dyuLfmT49XE"/>
        <s v="https://www.youtube.com/watch?v=r0pPKs9zdNY"/>
        <s v="https://www.youtube.com/watch?v=M9PAMJiuOao"/>
        <s v="https://www.youtube.com/watch?v=SKMDrVeAhNg"/>
        <s v="https://www.youtube.com/watch?v=zBOGapw8SCA"/>
        <s v="https://www.youtube.com/watch?v=eF4Y1cy_Suw"/>
        <s v="https://www.youtube.com/watch?v=RCEdz_poAAM"/>
        <s v="https://www.youtube.com/watch?v=tOi5Y11MFT8"/>
        <s v="https://www.youtube.com/watch?v=RlfFeYp4zm0"/>
        <s v="https://www.youtube.com/watch?v=w9eiTmNLvRk"/>
        <s v="https://www.youtube.com/watch?v=li7E48NmPwA"/>
        <s v="https://www.youtube.com/watch?v=PsYo1hoAQvE"/>
        <s v="https://www.youtube.com/watch?v=AIKeln-xbfk"/>
        <s v="https://www.youtube.com/watch?v=8S36xS-jFSM"/>
        <s v="https://www.youtube.com/watch?v=AO4In7d6X-c"/>
        <s v="https://www.youtube.com/watch?v=RbYGahuY45k"/>
        <s v="https://www.youtube.com/watch?v=xy_XrAxS3ro"/>
        <s v="https://www.youtube.com/watch?v=hMtABzjslXA"/>
        <s v="https://www.youtube.com/watch?v=_sBBaNYex3E"/>
        <s v="https://www.youtube.com/watch?v=wlkCQXHEgjA"/>
        <s v="https://www.youtube.com/watch?v=tAhxi8WldCU"/>
        <s v="https://www.youtube.com/watch?v=fUyU3lKzoio"/>
        <s v="https://www.youtube.com/watch?v=wE3fmFTtP9g"/>
        <s v="https://www.youtube.com/watch?v=LikxFZZO2sk"/>
        <s v="https://www.youtube.com/watch?v=OnWolLQSZic"/>
        <s v="https://www.youtube.com/watch?v=WkIOaS3HFQo"/>
        <s v="https://www.youtube.com/watch?v=lB95KLmpLR4"/>
        <s v="https://www.youtube.com/watch?v=kqUR3KtWbTk"/>
        <s v="https://www.youtube.com/watch?v=CjBoK8f47EI"/>
        <s v="https://www.youtube.com/watch?v=3hqRsIix5CQ"/>
        <s v="https://www.youtube.com/watch?v=zg4LOcvdawI"/>
        <s v="https://www.youtube.com/watch?v=RR2EI8EEOOw"/>
        <s v="https://www.youtube.com/watch?v=RzkZ_YElryQ"/>
        <s v="https://www.youtube.com/watch?v=mrnXv-g4yKU"/>
        <s v="https://www.youtube.com/watch?v=zjvy9fFQsEw"/>
        <m/>
        <s v="https://www.youtube.com/watch?v=MyKWGeoK-E0"/>
        <s v="https://www.youtube.com/watch?v=DkY9p09XwuE"/>
        <s v="https://www.youtube.com/watch?v=-F-cHLMkrXM"/>
        <s v="https://www.youtube.com/watch?v=zKk9to7Zcdg"/>
        <s v="https://www.youtube.com/watch?v=hh-BuTqy7bQ"/>
        <s v="https://www.youtube.com/watch?v=cUNX3azkZyk"/>
        <s v="https://www.facebook.com/cheddar/videos/2009446092709452"/>
        <s v="https://pixabay.com/videos/seoul-traffic-cars-city-speed-21118/"/>
        <s v="https://pixabay.com/videos/social-media-smart-phone-mobile-1360/"/>
        <s v="https://www.youtube.com/watch?v=Tbds365RQvE"/>
        <s v="https://pixabay.com/videos/finance-numbers-calculate-maths-5438/"/>
        <s v="https://www.videezy.com/technology/249-free-facebook-url-address-stock-video-in-hd"/>
        <s v="https://www.videezy.com/technology/5903-free-4k-scrolling-on-social-media-stock-video"/>
        <s v="https://www.youtube.com/watch?v=o7W7OvETO40"/>
        <s v="https://www.youtube.com/watch?v=kE7D7qFayVg"/>
        <s v="https://www.youtube.com/watch?v=Js04hvdVUA8"/>
        <s v="https://www.youtube.com/watch?v=J2tMMb4rh1c"/>
        <s v="https://www.youtube.com/watch?v=bH1lHCirCGI"/>
        <s v="https://www.youtube.com/watch?v=zu3wZ-_IKrM"/>
        <s v="https://www.youtube.com/watch?v=ecfJGNauAwY"/>
        <s v="https://www.youtube.com/watch?v=FR_VCGmKalM"/>
        <s v="https://www.youtube.com/watch?v=jwClyd2lHWo"/>
        <s v="https://www.youtube.com/watch?v=sYc7mRdFbSk"/>
        <s v="https://www.youtube.com/watch?v=xpIs8Y9vgSs"/>
        <s v="https://www.youtube.com/watch?v=fP05z9volqM"/>
        <s v="https://www.youtube.com/watch?v=BcNePdXT5Xo"/>
        <s v="https://www.youtube.com/watch?v=6syVFkqkO38"/>
        <s v="https://www.youtube.com/watch?v=Rrbj2lHf70M"/>
        <s v="https://www.youtube.com/watch?v=78jLBNSqc3g"/>
        <s v="https://www.youtube.com/watch?v=_69sOxWU0jo"/>
        <s v="https://www.youtube.com/watch?v=rqk_8-CB5m0"/>
        <s v="https://www.youtube.com/watch?v=_UNKr7ot5J8"/>
        <s v="https://www.youtube.com/watch?v=9XrE41Wu3U0"/>
        <s v="https://www.youtube.com/watch?v=qv5iv5yzyLk"/>
        <s v="https://www.youtube.com/watch?v=DTgbljjd2bA"/>
        <s v="https://www.youtube.com/watch?v=h_7cAmC4nTw"/>
        <s v="https://www.youtube.com/watch?v=wzVoToSe9A0"/>
        <s v="https://www.youtube.com/watch?v=sHYY9RVRJF0"/>
        <s v="https://www.youtube.com/watch?v=NVFcbo6h_vE"/>
        <s v="https://www.youtube.com/watch?v=cW4L7EaR0a4"/>
        <s v="https://www.youtube.com/watch?v=EMnHIHx_oqs"/>
        <s v="https://www.youtube.com/watch?v=jyxS2bvQGxc"/>
        <s v="https://www.youtube.com/watch?v=7OaXU_xFkhw"/>
        <s v="https://www.youtube.com/watch?v=k-jGs5kyuXo"/>
        <s v="https://www.youtube.com/watch?v=Nr5WmsXJAm0"/>
        <s v="https://www.youtube.com/watch?v=o3IQ1JrXnV8"/>
        <s v="https://www.youtube.com/watch?v=hMk7wnybXLM"/>
        <s v="https://www.youtube.com/watch?v=3mf58BsFvzI"/>
        <s v="https://www.youtube.com/watch?v=eqFqtAJMtYE"/>
        <s v="https://pixabay.com/videos/glitch-code-programming-hacker-27706/"/>
        <s v="https://www.youtube.com/watch?v=m5yFhJFqw5w"/>
        <s v="https://www.youtube.com/watch?v=s3kqRU9XVZY&amp;t=67s"/>
        <s v="https://www.youtube.com/watch?v=_VPi_PIVs5U"/>
        <s v="https://www.youtube.com/watch?v=h8Ql0tXWlu8"/>
        <s v="https://www.youtube.com/watch?v=Huju5McKgIU"/>
        <s v="https://www.youtube.com/watch?v=OhxoVNKXlSw"/>
        <s v="https://www.youtube.com/watch?v=mnM3YLcIJLg"/>
        <s v="https://www.youtube.com/watch?v=9x6Fqgu5y0Y"/>
        <s v="https://www.youtube.com/watch?v=UFpI87eWcfo"/>
        <s v="https://pixabay.com/videos/keyboard-hands-writing-computer-1046/"/>
        <s v="https://pixabay.com/videos/welcome-hologram-business-woman-24829/"/>
        <s v="https://pixabay.com/videos/milky-way-sky-starry-sky-night-10339/"/>
        <s v="https://pixabay.com/videos/nebula-star-constellation-cosmos-25168/"/>
        <s v="https://pixabay.com/videos/rocket-launch-cape-caneveral-nasa-228/"/>
        <s v="https://www.youtube.com/watch?v=fmI_Ndrxy14"/>
        <s v="https://www.youtube.com/watch?v=K1JMjwJG2UM "/>
        <s v="https://www.youtube.com/watch?v=49sgSZDn76A"/>
        <s v="https://www.youtube.com/watch?v=Yk7LRdqwrm8"/>
        <s v="https://www.youtube.com/watch?v=j3OS6Hp4f9s"/>
        <s v="https://www.youtube.com/watch?v=KqXjM2ZnObc"/>
        <s v="https://www.youtube.com/watch?v=0tZhOF2kgDw"/>
        <s v="https://www.youtube.com/watch?v=pA7ibu2J4Ws"/>
        <s v="https://www.youtube.com/watch?v=3qE9D2Vkg8g"/>
        <s v="https://youtu.be/HA2PFGyCoes"/>
        <s v="https://www.youtube.com/watch?v=x8G-yD3_jTM"/>
        <s v="https://youtu.be/5_qFZwKDfTA"/>
        <s v="https://www.youtube.com/watch?v=qzEqtt2f3-A"/>
        <s v="https://www.instagram.com/p/B_x12VRpf_c/"/>
        <s v="https://www.instagram.com/p/B_xnmilJ13d/"/>
        <s v="https://www.youtube.com/watch?v=DUJwyzW4HNI"/>
        <s v="https://www.youtube.com/watch?v=V4o0B6IDo50"/>
        <s v="https://www.youtube.com/watch?v=irHP3znqwq8"/>
        <s v="https://www.youtube.com/watch?v=4Aa05KW4Q9g"/>
        <s v="https://www.youtube.com/watch?v=Is2uwdNpX50"/>
        <s v="https://www.youtube.com/watch?v=0xiza_x_IeY&amp;t=746s"/>
        <s v="https://www.youtube.com/watch?v=bq1ykBxKPLU"/>
        <s v="https://www.facebook.com/WebSummitHQ/videos/greg-peters-chief-product-officer-at-netflix-live-at-web-summit/295193107992534/"/>
        <s v="https://www.youtube.com/watch?v=xW9wAPT96A8"/>
        <s v="https://edition.cnn.com/2020/04/08/media/netflix-tiger-king-ratings/index.html"/>
        <s v="https://www.youtube.com/watch?time_continue=122&amp;v=acTdxsoa428&amp;feature=emb_title"/>
        <s v="https://www.youtube.com/watch?v=XcnHOQ-cHa0"/>
        <s v="https://www.youtube.com/watch?v=sjzFnEDbDo4"/>
        <s v="https://www.youtube.com/watch?v=vY0qzXi5oJg"/>
        <s v="https://edition.cnn.com/videos/media/2018/12/23/netflix-is-growing-but-so-is-the-box-office-rs.cnn"/>
        <s v="https://www.youtube.com/watch?v=Gu-yvYuACcM"/>
        <s v="https://www.youtube.com/watch?v=Xb7N3wu-_jA"/>
        <s v="https://www.youtube.com/watch?v=9hFn-dwWC9s"/>
        <s v="https://www.youtube.com/watch?v=D6lT6olaqh0"/>
        <s v="https://www.youtube.com/watch?v=7V6FFeZdFz4"/>
        <s v="https://www.youtube.com/watch?v=KeQFTe6WpHs"/>
        <s v="https://www.youtube.com/watch?v=YpIGejJiaBo"/>
        <s v="https://www.youtube.com/watch?v=GFvV7fTmd5c"/>
        <s v="https://www.youtube.com/watch?v=GRRj9UjFI0U"/>
        <s v="https://www.youtube.com/watch?v=PAwREs7snJk"/>
        <s v="https://www.youtube.com/watch?time_continue=1&amp;v=D7XBpyRufvo"/>
        <s v="https://www.youtube.com/watch?v=fteVQytWO-U"/>
        <s v="https://www.youtube.com/watch?v=oKDvbqI8vYs"/>
        <s v="https://www.youtube.com/watch?v=UbE8DnquiAE&amp;feature=emb_logo"/>
        <s v="https://www.facebook.com/marriottinternational/videos/a-message-from-arne-sorenson/623249921859006/"/>
        <s v="https://www.youtube.com/watch?v=N-BcOPnpH8Y"/>
        <s v="https://www.youtube.com/watch?v=KaOIL74Eb8o"/>
        <s v="https://www.youtube.com/watch?v=pZiv83s1J-M&amp;t=60s"/>
        <s v="https://www.youtube.com/watch?v=0l35FGR_n9k"/>
        <s v="https://www.youtube.com/watch?v=Y-0RMhD05_0&amp;t=1s"/>
        <s v="https://www.youtube.com/watch?v=q-pQjATBXjE&amp;list=PLIx2W_gDlNxcETSQKknUZXJi_ZU9fCF7r&amp;index=17&amp;t=0s"/>
        <s v="https://www.youtube.com/watch?v=sWfE1q0Xrr0&amp;t=2477s"/>
        <s v="https://www.youtube.com/watch?v=-mqWXUfmDbI"/>
        <s v="https://variety.com/2019/film/features/sony-pictures-animation-kristine-belson-1203143201/"/>
        <s v="https://www.youtube.com/watch?v=3ahvWdORJ20&amp;list=PLIx2W_gDlNxcETSQKknUZXJi_ZU9fCF7r&amp;index=19&amp;t=0s"/>
        <s v="https://www.youtube.com/watch?v=BeOvKjWgIvg&amp;list=PLIx2W_gDlNxcETSQKknUZXJi_ZU9fCF7r&amp;index=6&amp;t=0s"/>
        <s v="https://www.youtube.com/watch?v=yRe7rCtKMzw"/>
        <s v="https://www.youtube.com/watch?v=PACo1W9A99g"/>
        <s v="https://www.youtube.com/watch?v=M__ayZgBUTE"/>
        <s v="https://www.youtube.com/watch?v=pCtgMNnsD10"/>
        <s v="https://youtu.be/62hVw6mGl-8"/>
        <s v="https://youtu.be/iR7MZRv3aKw"/>
        <s v="https://www.youtube.com/watch?v=SAK0Xm_F8Mk"/>
        <s v="https://www.youtube.com/watch?v=rmd9OaI1L0I"/>
        <s v="https://www.youtube.com/watch?v=YrJ192FahEg"/>
        <s v="Note: the vast majority of footage used is from Shay's or her company's YT channels"/>
        <s v="https://www.youtube.com/watch?v=P9RYsyeri7A"/>
        <s v="https://www.youtube.com/watch?v=0RwsnsZHVbA"/>
        <s v="https://www.youtube.com/watch?v=STtAsDCKEck"/>
        <s v="https://www.youtube.com/watch?v=MsGgZp_PAzM"/>
        <s v="https://www.youtube.com/watch?v=QOczdBlT2v4"/>
        <s v="https://www.youtube.com/watch?v=fTgU7THoKCw"/>
        <s v="https://www.youtube.com/watch?v=uJboXgDoE1Y"/>
        <s v="https://www.youtube.com/watch?v=VtvjbmoDx-I "/>
        <s v="https://www.youtube.com/watch?v=lTev1oQntx0 "/>
        <s v="https://www.youtube.com/watch?v=tgrkMYFtR6s"/>
        <s v="https://www.youtube.com/watch?v=mVudFaYSjq0 "/>
        <s v="https://www.youtube.com/watch?v=zZ__0kbaVzc "/>
        <s v="https://www.youtube.com/watch?v=XL6zNexyt8o"/>
        <s v="https://www.youtube.com/watch?v=MnrJzXM7a6o "/>
        <s v="https://www.youtube.com/watch?v=yEBCV0ic6Tc "/>
        <s v="https://www.youtube.com/watch?v=4ezOfTp7S0c"/>
        <s v="https://www.youtube.com/watch?v=wYX-N5zrBb4 "/>
        <s v="https://www.youtube.com/watch?v=X7NDMCuBfsc "/>
        <s v="https://www.youtube.com/watch?v=qs2BRSWzrJE "/>
        <s v="https://www.youtube.com/watch?v=CeyJAL1iOuw "/>
        <s v="https://www.youtube.com/watch?v=JNuaQrTubeI"/>
        <s v="https://www.youtube.com/watch?v=lx8VLL6HYuU "/>
        <s v="https://www.youtube.com/watch?v=jottDMuLesU "/>
        <s v="https://www.youtube.com/watch?v=1qpcdywb6Hw"/>
        <s v="https://www.youtube.com/watch?v=LgF3xh76Hcg "/>
        <s v="https://www.youtube.com/watch?v=3pBHG366EhM "/>
        <s v="https://www.youtube.com/watch?v=pPj-TT8K5vA"/>
        <s v="https://www.youtube.com/watch?v=Uppg_2nGo54 "/>
        <s v="https://www.youtube.com/watch?v=HSqxlbf3Z7M&amp;list=RDXMZcjdK4Vuk&amp;start_radio=1 "/>
        <s v="https://www.youtube.com/watch?v=sAt4DKjig6k"/>
        <s v="https://www.youtube.com/watch?v=jAlDMYyWPis "/>
        <s v="https://www.youtube.com/watch?v=SCrkZOx5Q1M "/>
        <s v="https://www.youtube.com/watch?v=WyXzz6PQh-c"/>
        <s v="https://www.youtube.com/watch?v=gbbEXnRG9d8 "/>
        <s v="https://www.youtube.com/watch?v=5JsidV4OvTM "/>
        <s v="https://www.youtube.com/watch?v=0EFHbruKEmw "/>
        <s v="https://www.youtube.com/watch?v=nOsdS5irjAo&amp;feature=emb_logo"/>
        <s v="https://www.youtube.com/watch?v=rLAvkbFugEI&amp;feature=emb_logo "/>
        <s v="https://www.youtube.com/watch?v=BbPGx02ZWrw "/>
        <s v="https://www.youtube.com/watch?v=rEGOihjqO9w"/>
        <s v="NO LINK"/>
      </sharedItems>
    </cacheField>
    <cacheField name="Footage Used">
      <sharedItems containsDate="1" containsBlank="1" containsMixedTypes="1">
        <s v="00:00:20:00 - 00:00:22:13,"/>
        <s v="00:01:56:04 - 00:01:59:03, &#10;00:00:17:11 - 00:00:19:02, &#10;00:00:14:10 - 00:00:18:09,"/>
        <s v="00:00:18:22 - 00:00:25:19, &#10;00:00:36:20 - 00:00:39:14, &#10;00:01:07:16 - 00:01:08:22, &#10;00:00:58:14 - 00:00:59:19, &#10;00:00:29:03 - 00:00:31:12"/>
        <s v="00:00:01:12 - 00:00:02:21, "/>
        <s v="00:00:26:04 - 00:00:28:04, &#10;00:01:12:21 - 00:01:18:01, &#10;00:00:33:05 - 00:00:34:07,"/>
        <s v="00:12:28:15 - 00:12:29:11, &#10;00:01:09:18 - 00:01:21:14"/>
        <s v="N/A"/>
        <s v="00:01:50:21 - 00:01:53:16, &#10;00:04:42:14 - 00:04:43:05, &#10;00:04:45:21 - 00:04:47:00, &#10;00:04:47:12 - 00:04:48:08, &#10;00:00:26:16 - 00:00:32:02, &#10;00:00:06:15 - 00:00:09:00, &#10;00:00:47:04 - 00:00:48:17, "/>
        <s v="00:00:15:07 - 00:00:18:12,"/>
        <s v="00:00:14:08 - 00:00:20:01"/>
        <s v="00:02:18:17 - 00:02:21:19"/>
        <s v="00:01:40:14 - 00:01:50:19"/>
        <s v="00:00:57:23 - 00:01:01:00, &#10;00:00:33:16 - 00:00:39:02, &#10;00:01:06:12 - 00:01:16:18"/>
        <m/>
        <s v="00:00:03:11 - 00:00:13:21"/>
        <s v="00:07:08:00 - 00:07:12:08, 00:07:03:06 - 00:07:12:09"/>
        <s v="00:00:19:12 - 00:00:25:11"/>
        <s v="00:00:21:33 - 00:00:27:20"/>
        <s v="00:00:40:03 - 00:00:41:18"/>
        <s v="00:46:03-00:46:18, &#10;00:04:19-00:06:19, &#10;00:34:09-00:35:13, &#10;04:14:03-04:15:14, &#10;03:44:09-03:45:23, &#10;00:47:03-00:48:04, &#10;02:41:16-02:42:05, &#10;00:26:07-00:27:05, &#10;03:18:21-03:20:18"/>
        <s v="00:02:02-00:03:02, 01:39:23-00:03:27:20, 02:49:01-02:50:05, 00:34:06-00:35:09, 04:14:03, 00:04:13-00:05:12, 01:04:14-01:06:12, 03:44:19-03:45:23, 01:24:17-01:25:20, 01:55:13-01:56:11, 01:36:06-01:37:02, 00:32:22-00:33:18, 00:38:05-00:38:21, 00:47:03-00:48"/>
        <s v="00:00:00-00:00:20, &#10;04:05:00-04:05:20, "/>
        <s v="03:54:18-03:58:17"/>
        <s v="04:33:16-04:39:03"/>
        <s v="00:08:11-00:14:02, &#10;03:14:13-03:16:01"/>
        <s v="00:02:03-00:03:21"/>
        <s v="02:54:18-02:55:07"/>
        <s v="00:09:07-00:09:21"/>
        <s v="00:00:45:10-00:00:47:21, &#10;00:00:50:22-00:00:54:00, &#10;00:04:53:08-00:04:59:09, &#10;00:13:57:18-00:14:06:18"/>
        <s v="00:00:53:24-00:00:56:03"/>
        <s v="00:00:04:13-00:00:12:13"/>
        <s v="00:00:35:14-00:00:39:11"/>
        <s v="00:00:18:06-00:00:20:15"/>
        <s v="00:00:12:03-00:00:14:15, &#10;00:00:41:05-00:00:43:23, &#10;00:00:52:00-00:00:55:19"/>
        <s v="00:00:05:20-00:00:09:01, &#10;00:00:36:06-00:00:39:13"/>
        <s v="00:00:11:13-00:00:17:18, &#10;00:01:00:01-00:01:02:20"/>
        <s v="00:00:05:03-00:00:08:16"/>
        <s v="00:00:18:09-00:00:20:12"/>
        <s v="00:00:16:14-00:00:19:17, &#10;00:00:39:05-00:00:41:24"/>
        <s v="00:15:00 - 00:45:00"/>
        <s v="00:02:00 - 00:12:00"/>
        <s v="00:01:00 - 00:08:00"/>
        <s v="00:01:00 - 00:10:00"/>
        <s v="00:01:00 - 00:07:00"/>
        <s v="00:10:00 - 02:30:00"/>
        <s v="00:15:00 - 00:23:00"/>
        <s v="00:10:00 - 00:16:00, &#10;00:48:00 - 00:51:00"/>
        <s v="00:00:00 - 00:03:00"/>
        <s v="00:00:58:22-00:01:07:13, &#10;00:02:24:23-00:02:29:00"/>
        <s v="00:00:06:21-00:00:10:07, &#10;00:00:44:15-00:00:48:23, &#10;00:03:26:21-00:03:30:20"/>
        <s v="00:00:00:22-00:00:06:08, &#10;00:00:14:05-00:00:18:19, &#10;00:02:11:08-00:02:13:06, &#10;00:03:31:15-00:03:33:12"/>
        <s v="00:01:44:07-00:01:49:23, &#10;00:01:15:16-00:01:17:18"/>
        <s v="00:01:52:00-00:01:56:04, 00:02:02:05-00:02:04:04"/>
        <s v="00:01:21:13-00:01:23:18, &#10;00:00:25:11-00:00:28:18, &#10;00:01:38:12-00:01:41:05"/>
        <s v="00:00:00:00-00:00:03:02"/>
        <s v="00:00:01:18-00:00:03:17"/>
        <s v="00:00:26:14-00:00:31:19, &#10;00:00:54:06-00:00:56:16"/>
        <s v="00:00:01:00-00:00:02:13"/>
        <s v="00:00-10:00"/>
        <s v="00:00:49:10-00:00:51:18"/>
        <s v="02:38 - 02:40, &#10;02:28 - 02:29, &#10;03:05 - 03:06, &#10;05:05 - 05:06,&#10;15:36 - 15:37,  &#10;16:08 - 16:09,  "/>
        <s v="08:36 - 08:37, &#10;09:35 - 09:36"/>
        <s v="00:17 - 00:18, &#10;00:27 - 00:28, "/>
        <s v="00:27 - 00:28"/>
        <s v="01:22 - 01:24"/>
        <s v="00:40 - 00:42, &#10;00:46 - 00:47, &#10;00:54 - 00:55, "/>
        <s v="00:10 - 00:11"/>
        <s v="00:00 - 00:04"/>
        <s v="01:04 - 01:05, &#10;02:53 - 02:54"/>
        <s v="00:00 - 00:10, &#10;"/>
        <s v="&#10;01:01 - 01:04, &#10;"/>
        <s v="&#10;01:35 - 01:37"/>
        <s v="01:59 - 02:00, &#10;02:12 - 02:13"/>
        <s v="00:00 - 00:05"/>
        <s v="00:00 - 00:07"/>
        <s v="00:00 - 00:06"/>
        <s v="01:38 - 01:43"/>
        <s v="00:25 - 00:28"/>
        <s v="02:20 - 02:26, &#10;02:55 - 03:05"/>
        <s v="05:30 - 05:33"/>
        <s v="00:00 - 00:02, &#10;00:13 - 00:15, &#10;00:18 - 00:20, &#10;01:17 - 01:19, &#10;08:42 - 08:44, &#10;21:50 - 21:56 "/>
        <s v="01:17 - 01:20"/>
        <s v="00:23:18:17-00:23:28:09,"/>
        <s v="00:02:36:03-00:02:39:07, &#10;00:02:45:24-00:02:50:19, "/>
        <s v="00:00:38:16-00:00:42:14"/>
        <s v="00:00:25:07-00:00:29:08, &#10;00:18:04:19-00:18:19:11"/>
        <s v="00:00:29:03-00:00:33:05,&#10; 00:03:00:07-00:03:06:15, &#10;00:02:51:13-00:02:56:24, &#10;00:00:30:00-00:00:41:00"/>
        <s v="00:00:29:24-00:00:35:12"/>
        <s v="00:00:18:15-00:00:20:10"/>
        <s v="00:00:57:13-00:00:59:20"/>
        <s v="00:00:05:19-00:00:09:04"/>
        <s v="00:00:00:00-00:00:04:14,"/>
        <s v="00:00:38:20-00:00:56:21, &#10;00:01:02:10-00:01:07:11, &#10;00:01:13:09-00:01:23:11"/>
        <s v="00:00:00:00-00:00:09:23"/>
        <s v="00:00:46:04-00:01:03:14, &#10;00:03:27:16-00:03:36:24"/>
        <s v="00:06:01:12-00:06:05:06, &#10;00:14:33:00-00:14:42:08, &#10;00:16:13:13-00:16:15:17"/>
        <s v="00:05:22:07-00:05:27:09"/>
        <s v="00:00:45:05-00:00:50:10, &#10;00:16:05:05-00:16:09:06, &#10;00:16:38:20-00:17:06:16"/>
        <s v="00:00:01:20-00:00:08:05"/>
        <s v="00:00:01:06-00:00:13:22"/>
        <s v="00:00:18:12-00:00:24:24"/>
        <s v="00:00:07- 00:00:08, &#10;00:00:16 - 00:00:18"/>
        <s v="00:00:05 - 00:00:07"/>
        <s v="00:00:00 - 00:00:03, &#10;00:00:08 - 00:00:10, &#10;00:00:11 - 00:00:14"/>
        <s v="00:00:17 - 00:00:20"/>
        <s v="00:00:03 - 00:00:10 (Audio only), 00:00:14 - 00:00:16"/>
        <s v="00:00:10 - 00:00:16 (Audio only)"/>
        <s v="00:00:20 - 00:00:25"/>
        <s v="00:00:20 - 00:00:23 (Audio only)"/>
        <s v="00:00:00:00 - 00:00:07:10, &#10;00:00:13:12 - 00:00:24:29, &#10;00:01:38:18 - 00:01:54:06, "/>
        <s v="00:00:07:21 - 00:00:11:12, &#10;00:00:28:14 - 00:00:36:07, &#10;00:01:23:15 - 00:01:45:28, &#10;00:02:15:27 - 00:02:18:28, "/>
        <s v="00:00:11:12 - 00:00:16:00, "/>
        <s v="00:00:00:00 - 00:00:13:25,"/>
        <s v="00:00:00:00 - 00:00:29:17, &#10;00:00:37:00 - 00:00:51:21,"/>
        <s v="00:12:00:22 - 00:12:11:10, &#10;00:17:09:29 - 00:17:37:16,"/>
        <s v="00:02 - 00:06"/>
        <s v="1:28 - 1:35"/>
        <s v="2:17 - 2:21, &#10;5:11 - 5:13, &#10;6:49 - 6:50, &#10;6:55 - 6:58, &#10;7:05 - 7:08, &#10;7:23 -7:25, &#10;7:31 -7:35, "/>
        <s v="00:00 - 00:02, &#10;4:42 - 4:47"/>
        <s v="0:26 - 0:27, &#10;2:54 - 2:59, "/>
        <s v="0:32 - 0:49"/>
        <s v="0:02 - 0:05"/>
        <s v="0:20 - 0:26"/>
        <s v="0:00 - 0:03"/>
        <s v="0:00 - 0:12, &#10;1:30 - 1:34, &#10;1:55 - 1:58, &#10;2:01 - 2:03, &#10;2:42 - 2:44"/>
        <s v="00:05-00:14&#10;00:26-00:30&#10;00:45-00:49"/>
        <s v="00:16-00:18&#10;00:23-00:26&#10;00:30-00:32"/>
        <s v="00:02-00:04&#10;00:06-00:07&#10;00:31-00:33&#10;00:35-00:42&#10;"/>
        <s v="04:46-04:50&#10;04:51-04:54&#10;05:26-05:30&#10;07:48-07:55"/>
        <s v="03:22-03:26"/>
        <s v="00:00:00:00 -00:00:06:12, &#10;00:02:22:01- 00:02:26:05"/>
        <s v="00:00:00:00 -00:00:12:22"/>
        <s v="00:00:40:13 - 00:00:46:21"/>
        <s v="00:00:06:13 - 00:00:09:29"/>
        <s v="00:00:35:23 - 00:00:44:05,&#10; 00:02:25:18 - 00:02:48:22"/>
        <s v="00:02:52:08- 00:02:55:15"/>
        <s v="00:31:40:19-00:31:45:11"/>
        <s v="00:00:04:00 - 00:00:05:27"/>
        <s v="00:02:52:10 - 00:03:01:19,&#10; 00:00:42:04 -00:00:48:11,&#10; 00:00:51:14 - 00:00:53:18"/>
        <s v="00:00:30:04 - 00:07:37:21"/>
        <s v="00:10:23 - 0:14:13"/>
        <s v="00:14:16 - 00:17:23&#10;00:23:03 - 00:33:12&#10;"/>
        <s v="00:00:17 - 00:06:21&#10;00:17:23 - 00:23:03"/>
        <s v="00:06:19 - 00:08:03"/>
        <s v="Audio used throughout (40 second)&#10;Video and audio used for 3 seconds"/>
        <s v="00:06:35:18 - 00:06:44:14, &#10;00:07:45:07 - 00:07:48:27, "/>
        <s v="00:02:58:03 - 00:03:08:13, 00:04:22:08 - 00:04:44:07, "/>
        <s v="00:00:03:15 - 00:00:15:06,  00:00:48:26 - 00:00:56:00, 00:03:06:23 - 00:03:13:03, 00:06:20:13 - 00:06:23:10, 00:19:36:09 - 00:19:40:27, 00:20:34:01 - 00:20:41:11, "/>
        <s v="00:00:00:00 - 00:00:13:02, &#10;00:00:18:20 - 00:00:22:00, &#10;00:30:05:06 - 00:30:21:08, &#10;00:31:12:04 - 00:31:21:21, "/>
        <s v="00:20 - 00:22, &#10;00:56 - 00:58"/>
        <s v="00:52 - 00:53"/>
        <s v="01:49 - 01:50, &#10;01:59 - 02:00"/>
        <s v="00:53 - 00:57"/>
        <s v="00:01 - 00:06"/>
        <s v="00:04 - 00:06"/>
        <s v="00:12 - 00:16"/>
        <s v="00:54 - 00:57"/>
        <s v="00:13 - 00:14"/>
        <s v="00:26 - 00:29"/>
        <s v="01:59 - 02:00"/>
        <s v="00:31 - 00:32 "/>
        <s v="00:02 - 00:04, &#10;01:27 - 01:28"/>
        <s v="00:34 - 00:36"/>
        <s v="01:01 - 01:04"/>
        <s v="00:31 - 00:33"/>
        <s v="00:19 - 00:21"/>
        <s v="00:02 - 00:03"/>
        <s v="00:00 - 00:35"/>
        <s v="02:35 - 06:18"/>
        <s v="00:01 - 00:02"/>
        <s v="00:24 - 00:29"/>
        <s v="00:04 - 00:08"/>
        <s v="03:19 - 03:21"/>
        <s v="00:02 - 00:03, 00:21 - 00:22, 00:33 - 00:35, 00:53 - 00:54"/>
        <s v="02:09 - 02:14, 01:49 - 01:52"/>
        <s v="00:23 - 00:30, 00:33 - 00:38, "/>
        <s v="00:26 - 00:28"/>
        <s v="00:18 - 00:19, 01:42 - 01:47"/>
        <s v="00:14 - 00:15"/>
        <s v="00:46 - 00:47"/>
        <s v="00:26 - 00:27"/>
        <s v="00:00:02:12-00:00:03:10"/>
        <d v="1899-12-30T00:00:00Z"/>
      </sharedItems>
    </cacheField>
    <cacheField name="Total Seconds used per video" numFmtId="0">
      <sharedItems containsString="0" containsBlank="1" containsNumber="1" containsInteger="1">
        <n v="3.0"/>
        <n v="9.0"/>
        <n v="14.0"/>
        <n v="2.0"/>
        <n v="10.0"/>
        <n v="13.0"/>
        <m/>
        <n v="18.0"/>
        <n v="6.0"/>
        <n v="20.0"/>
        <n v="8.0"/>
        <n v="40.0"/>
        <n v="5.0"/>
        <n v="21.0"/>
        <n v="4.0"/>
        <n v="7.0"/>
        <n v="30.0"/>
        <n v="140.0"/>
        <n v="17.0"/>
        <n v="16.0"/>
        <n v="37.0"/>
        <n v="15.0"/>
        <n v="39.0"/>
        <n v="19.0"/>
        <n v="12.0"/>
        <n v="23.0"/>
        <n v="32.0"/>
        <n v="45.0"/>
        <n v="11.0"/>
        <n v="27.0"/>
        <n v="47.0"/>
        <n v="42.0"/>
        <n v="35.0"/>
        <n v="1.0"/>
        <n v="0.0"/>
      </sharedItems>
    </cacheField>
    <cacheField name="Footage folder" numFmtId="0">
      <sharedItems containsBlank="1">
        <s v="https://drive.google.com/drive/folders/1ogvUmyEAJb9_J4cwghcF_Z4DVluD8THz"/>
        <m/>
        <s v="https://drive.google.com/drive/folders/1_0Kl-P35DZGIbHBC83AwIPsOE2MJCRSV  "/>
        <s v="https://drive.google.com/drive/folders/1TGFXywM4C_3PYioHAB1WhbXES996SrB8                "/>
        <s v="https://drive.google.com/drive/folders/1nA_p0-fF5Gv-ZrGQcuwkPimcXpLMIpXS"/>
        <s v="https://drive.google.com/drive/folders/1PxhHutyrhx-ZunpHMhffKAWe8_GnMn4L"/>
        <s v="https://drive.google.com/drive/folders/1iJxA3bZ6MRSO2HZp1Ist_CDhi6bkvMWK"/>
        <s v="https://drive.google.com/open?id=1w83zIEDcfr7buZH-ReUWRG9nT_jFg0N9"/>
        <s v="https://drive.google.com/drive/u/2/folders/1ttW8a-1O40iPdiwc5lzDNpUCPxb5510r"/>
        <s v="https://drive.google.com/drive/u/2/folders/1_aU8Vfq5Tu6JtUrlT95rC2oxdT8RZO1I"/>
        <s v="https://drive.google.com/drive/folders/1nV-KLdwJ_5pPa4m5NGGuNu9sw7Cancyc"/>
        <s v="https://drive.google.com/drive/folders/1Xru5oOJDAbPffqoosyzVQjUdV7ITxAVu"/>
        <s v="https://drive.google.com/drive/folders/1g5oBmAjukuO_z19RGixB3T4zEfFksI1e"/>
        <s v="https://drive.google.com/drive/u/3/folders/11YqZ6uhr_qoxn9NkdB5SAhkOEZ8P0yj9"/>
        <s v="https://drive.google.com/drive/folders/1l5_szMUkUdhIv6NaIjg1rfR_tTuZFxrr"/>
        <s v="https://drive.google.com/open?id=1-KJQDOeR53ongv49AtREb-StSMo5x3R6"/>
        <s v="https://drive.google.com/open?id=1SfnQp6RW9PrphBnx3urjuFwUpKMO02Z1"/>
        <s v=" "/>
      </sharedItems>
    </cacheField>
    <cacheField name="Notes" numFmtId="0">
      <sharedItems containsBlank="1">
        <m/>
        <s v="ASK LISA"/>
        <s v="Licensing fee of $3000"/>
        <s v="1. Leave our company name, “Boston Dynamics” visible in the lower right corner of the screen as burned into the videos&#10;2. Not edit the videos, except for in length as you've noted"/>
        <s v="Free for use channel "/>
        <s v="$29 to buy the video - in discussion "/>
        <s v="Licencing fee $750 per clip"/>
        <s v="BY "/>
        <s v="Cannot tell where source footage is from"/>
        <s v="MUST PURCHASE MONTHLY LISCENCE"/>
        <s v="MUST ADD CORNER TEXT &#10;&quot;YouTube: Neo&quot;"/>
        <s v="https://drive.google.com/drive/folders/1Xru5oOJDAbPffqoosyzVQjUdV7ITxAVu"/>
        <s v="Netflix possibly own the Netflix footage?"/>
        <s v="Follow up sent"/>
        <s v=" "/>
      </sharedItems>
    </cacheField>
    <cacheField name="Clearance status" numFmtId="0">
      <sharedItems containsBlank="1">
        <m/>
        <s v="Requesting from Speakers/Media"/>
        <s v="Approved"/>
        <s v="Not required"/>
        <s v="Licensing fee required"/>
        <s v="Rejected"/>
        <s v="Un-reachable"/>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BSI" cacheId="0" dataCaption="" compact="0" compactData="0">
  <location ref="L3:O348" firstHeaderRow="0" firstDataRow="3" firstDataCol="0"/>
  <pivotFields>
    <pivotField name="Speaker"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Editor" compact="0" outline="0" multipleItemSelectionAllowed="1" showAll="0">
      <items>
        <item x="0"/>
        <item x="1"/>
        <item x="2"/>
        <item x="3"/>
        <item x="4"/>
        <item x="5"/>
        <item x="6"/>
        <item x="7"/>
        <item x="8"/>
        <item x="9"/>
        <item x="10"/>
        <item t="default"/>
      </items>
    </pivotField>
    <pivotField name="Source" axis="axisRow" compact="0" outline="0" multipleItemSelectionAllowed="1" showAll="0" sortType="ascending">
      <items>
        <item sd="0" x="42"/>
        <item x="131"/>
        <item h="1" x="3"/>
        <item x="28"/>
        <item x="95"/>
        <item x="106"/>
        <item x="19"/>
        <item h="1" x="56"/>
        <item x="101"/>
        <item x="63"/>
        <item x="103"/>
        <item x="66"/>
        <item x="117"/>
        <item x="30"/>
        <item x="93"/>
        <item x="128"/>
        <item x="53"/>
        <item x="41"/>
        <item x="70"/>
        <item h="1" x="6"/>
        <item x="2"/>
        <item x="7"/>
        <item x="46"/>
        <item x="98"/>
        <item x="59"/>
        <item x="14"/>
        <item x="86"/>
        <item x="13"/>
        <item x="107"/>
        <item x="71"/>
        <item x="29"/>
        <item x="38"/>
        <item x="37"/>
        <item x="84"/>
        <item x="122"/>
        <item x="74"/>
        <item x="127"/>
        <item x="52"/>
        <item x="118"/>
        <item x="105"/>
        <item x="48"/>
        <item x="80"/>
        <item x="88"/>
        <item x="1"/>
        <item x="39"/>
        <item x="83"/>
        <item x="75"/>
        <item x="115"/>
        <item h="1" x="55"/>
        <item x="121"/>
        <item x="18"/>
        <item x="24"/>
        <item x="109"/>
        <item x="62"/>
        <item x="67"/>
        <item x="113"/>
        <item x="44"/>
        <item x="54"/>
        <item x="26"/>
        <item x="116"/>
        <item x="130"/>
        <item x="129"/>
        <item x="104"/>
        <item x="94"/>
        <item x="60"/>
        <item x="51"/>
        <item x="96"/>
        <item x="89"/>
        <item x="11"/>
        <item x="90"/>
        <item x="21"/>
        <item x="16"/>
        <item x="4"/>
        <item x="112"/>
        <item x="69"/>
        <item x="123"/>
        <item x="17"/>
        <item x="5"/>
        <item x="22"/>
        <item x="10"/>
        <item x="85"/>
        <item x="57"/>
        <item x="87"/>
        <item x="111"/>
        <item x="45"/>
        <item h="1" x="108"/>
        <item x="35"/>
        <item x="23"/>
        <item x="15"/>
        <item x="79"/>
        <item x="82"/>
        <item x="72"/>
        <item x="47"/>
        <item h="1" x="58"/>
        <item h="1" x="65"/>
        <item x="110"/>
        <item x="32"/>
        <item x="126"/>
        <item x="100"/>
        <item x="99"/>
        <item x="61"/>
        <item x="102"/>
        <item x="114"/>
        <item x="119"/>
        <item x="91"/>
        <item x="33"/>
        <item h="1" x="125"/>
        <item x="36"/>
        <item x="31"/>
        <item x="27"/>
        <item x="77"/>
        <item x="34"/>
        <item x="68"/>
        <item x="43"/>
        <item x="40"/>
        <item x="76"/>
        <item x="120"/>
        <item x="20"/>
        <item x="12"/>
        <item x="78"/>
        <item x="92"/>
        <item x="0"/>
        <item x="49"/>
        <item x="124"/>
        <item x="25"/>
        <item x="64"/>
        <item x="97"/>
        <item x="81"/>
        <item x="9"/>
        <item x="8"/>
        <item x="50"/>
        <item x="73"/>
        <item t="default"/>
      </items>
    </pivotField>
    <pivotField name="Link" axis="axisRow" dataField="1" compact="0" outline="0" multipleItemSelectionAllowed="1" showAll="0" sortType="ascending">
      <items>
        <item x="59"/>
        <item x="148"/>
        <item x="153"/>
        <item x="70"/>
        <item x="109"/>
        <item x="119"/>
        <item x="121"/>
        <item x="122"/>
        <item x="123"/>
        <item x="67"/>
        <item x="68"/>
        <item x="120"/>
        <item x="177"/>
        <item x="14"/>
        <item x="66"/>
        <item x="168"/>
        <item x="146"/>
        <item x="137"/>
        <item x="138"/>
        <item x="71"/>
        <item x="72"/>
        <item x="164"/>
        <item x="149"/>
        <item x="89"/>
        <item x="7"/>
        <item x="42"/>
        <item x="91"/>
        <item x="112"/>
        <item x="62"/>
        <item x="176"/>
        <item x="13"/>
        <item x="225"/>
        <item x="172"/>
        <item x="191"/>
        <item x="130"/>
        <item x="144"/>
        <item x="213"/>
        <item x="178"/>
        <item x="53"/>
        <item x="107"/>
        <item x="215"/>
        <item x="132"/>
        <item x="126"/>
        <item x="142"/>
        <item x="205"/>
        <item x="224"/>
        <item x="12"/>
        <item x="86"/>
        <item x="88"/>
        <item x="102"/>
        <item x="158"/>
        <item x="37"/>
        <item x="156"/>
        <item x="117"/>
        <item x="92"/>
        <item x="17"/>
        <item x="36"/>
        <item x="38"/>
        <item x="16"/>
        <item x="228"/>
        <item x="85"/>
        <item x="179"/>
        <item x="77"/>
        <item x="10"/>
        <item x="145"/>
        <item x="8"/>
        <item x="6"/>
        <item x="209"/>
        <item x="52"/>
        <item x="65"/>
        <item x="99"/>
        <item x="9"/>
        <item x="157"/>
        <item x="61"/>
        <item x="94"/>
        <item x="139"/>
        <item x="24"/>
        <item x="79"/>
        <item x="29"/>
        <item x="100"/>
        <item x="108"/>
        <item x="5"/>
        <item x="18"/>
        <item x="124"/>
        <item x="84"/>
        <item x="21"/>
        <item x="80"/>
        <item x="165"/>
        <item x="195"/>
        <item x="45"/>
        <item x="223"/>
        <item x="161"/>
        <item x="162"/>
        <item x="154"/>
        <item x="95"/>
        <item x="113"/>
        <item x="64"/>
        <item x="106"/>
        <item x="41"/>
        <item x="218"/>
        <item x="114"/>
        <item x="23"/>
        <item x="2"/>
        <item x="141"/>
        <item x="143"/>
        <item x="76"/>
        <item x="128"/>
        <item x="220"/>
        <item x="22"/>
        <item x="210"/>
        <item x="212"/>
        <item x="75"/>
        <item x="81"/>
        <item x="101"/>
        <item x="3"/>
        <item x="103"/>
        <item x="125"/>
        <item x="170"/>
        <item x="74"/>
        <item x="159"/>
        <item x="51"/>
        <item x="129"/>
        <item x="50"/>
        <item x="4"/>
        <item x="214"/>
        <item x="34"/>
        <item x="47"/>
        <item x="198"/>
        <item x="211"/>
        <item x="182"/>
        <item x="110"/>
        <item x="26"/>
        <item x="116"/>
        <item x="203"/>
        <item x="57"/>
        <item x="193"/>
        <item x="200"/>
        <item x="60"/>
        <item x="169"/>
        <item x="19"/>
        <item x="226"/>
        <item x="104"/>
        <item x="98"/>
        <item x="105"/>
        <item x="73"/>
        <item x="115"/>
        <item x="1"/>
        <item x="166"/>
        <item x="48"/>
        <item x="190"/>
        <item x="131"/>
        <item x="181"/>
        <item x="163"/>
        <item x="183"/>
        <item x="216"/>
        <item x="0"/>
        <item x="35"/>
        <item x="171"/>
        <item x="174"/>
        <item x="11"/>
        <item x="194"/>
        <item x="208"/>
        <item x="93"/>
        <item x="136"/>
        <item x="25"/>
        <item x="39"/>
        <item x="30"/>
        <item x="229"/>
        <item x="227"/>
        <item x="32"/>
        <item x="187"/>
        <item x="90"/>
        <item x="55"/>
        <item x="87"/>
        <item x="56"/>
        <item x="15"/>
        <item x="111"/>
        <item x="186"/>
        <item x="219"/>
        <item x="221"/>
        <item x="97"/>
        <item x="151"/>
        <item x="27"/>
        <item x="192"/>
        <item x="175"/>
        <item x="82"/>
        <item x="44"/>
        <item x="69"/>
        <item x="199"/>
        <item x="31"/>
        <item x="167"/>
        <item x="118"/>
        <item x="196"/>
        <item x="217"/>
        <item x="20"/>
        <item x="140"/>
        <item x="197"/>
        <item x="152"/>
        <item x="33"/>
        <item x="46"/>
        <item x="49"/>
        <item x="43"/>
        <item x="206"/>
        <item x="222"/>
        <item x="96"/>
        <item x="207"/>
        <item x="134"/>
        <item x="155"/>
        <item x="150"/>
        <item x="202"/>
        <item x="83"/>
        <item x="147"/>
        <item x="40"/>
        <item x="173"/>
        <item x="204"/>
        <item x="127"/>
        <item x="160"/>
        <item x="180"/>
        <item x="188"/>
        <item x="28"/>
        <item x="54"/>
        <item x="58"/>
        <item x="63"/>
        <item x="78"/>
        <item x="201"/>
        <item x="135"/>
        <item x="184"/>
        <item x="133"/>
        <item x="185"/>
        <item x="230"/>
        <item x="189"/>
        <item t="default"/>
      </items>
    </pivotField>
    <pivotField name="Footage U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Total Seconds used per vide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Footage folder" compact="0" outline="0" multipleItemSelectionAllowed="1" showAll="0">
      <items>
        <item x="0"/>
        <item x="1"/>
        <item x="2"/>
        <item x="3"/>
        <item x="4"/>
        <item x="5"/>
        <item x="6"/>
        <item x="7"/>
        <item x="8"/>
        <item x="9"/>
        <item x="10"/>
        <item x="11"/>
        <item x="12"/>
        <item x="13"/>
        <item x="14"/>
        <item x="15"/>
        <item x="16"/>
        <item x="17"/>
        <item t="default"/>
      </items>
    </pivotField>
    <pivotField name="Notes" compact="0" outline="0" multipleItemSelectionAllowed="1" showAll="0">
      <items>
        <item x="0"/>
        <item x="1"/>
        <item x="2"/>
        <item x="3"/>
        <item x="4"/>
        <item x="5"/>
        <item x="6"/>
        <item x="7"/>
        <item x="8"/>
        <item x="9"/>
        <item x="10"/>
        <item x="11"/>
        <item x="12"/>
        <item x="13"/>
        <item x="14"/>
        <item t="default"/>
      </items>
    </pivotField>
    <pivotField name="Clearance status" compact="0" outline="0" multipleItemSelectionAllowed="1" showAll="0">
      <items>
        <item x="0"/>
        <item x="1"/>
        <item x="2"/>
        <item x="3"/>
        <item x="4"/>
        <item x="5"/>
        <item x="6"/>
        <item t="default"/>
      </items>
    </pivotField>
  </pivotFields>
  <rowFields>
    <field x="2"/>
    <field x="3"/>
  </rowFields>
  <colFields>
    <field x="-2"/>
  </colFields>
  <dataFields>
    <dataField name="COUNTA of Speaker" fld="0" subtotal="count" baseField="0"/>
    <dataField name="COUNTA of Link" fld="3"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zoom.us/j/92315679132?pwd=OG9kWCt3bGk3cWcrVEUvbUtTdG1oZz09" TargetMode="External"/><Relationship Id="rId22" Type="http://schemas.openxmlformats.org/officeDocument/2006/relationships/hyperlink" Target="https://zoom.us/j/98328829818" TargetMode="External"/><Relationship Id="rId21" Type="http://schemas.openxmlformats.org/officeDocument/2006/relationships/hyperlink" Target="https://us04web.zoom.us/j/74916885291?pwd=N0pGZGVVS0pEUFJrYmFMOENhbllqZz09" TargetMode="External"/><Relationship Id="rId24" Type="http://schemas.openxmlformats.org/officeDocument/2006/relationships/hyperlink" Target="https://us02web.zoom.us/j/84165075971?pwd=MUw5b09kUGZSdE14RjRMNUJBNEFEZz09" TargetMode="External"/><Relationship Id="rId23" Type="http://schemas.openxmlformats.org/officeDocument/2006/relationships/hyperlink" Target="https://www.google.com/url?q=https://zoom.us/j/93786883155?pwd%3DdjZiMVJPV0Mwb3FXUXRRM1oxb0hkQT09&amp;sa=D&amp;ust=1589995357619000&amp;usg=AOvVaw1KaKDoELjQ2HJkVyMLtjYD" TargetMode="External"/><Relationship Id="rId1" Type="http://schemas.openxmlformats.org/officeDocument/2006/relationships/hyperlink" Target="https://zoom.us/j/93002113227?pwd=OVpNU3VLYUw3dlM5L1RrdUtKMHFGZz09" TargetMode="External"/><Relationship Id="rId2" Type="http://schemas.openxmlformats.org/officeDocument/2006/relationships/hyperlink" Target="https://zoom.us/j/95797606915?pwd=ZkwyVEl5b0RvTWZvUVhMMjcvb1VVQT09" TargetMode="External"/><Relationship Id="rId3" Type="http://schemas.openxmlformats.org/officeDocument/2006/relationships/hyperlink" Target="https://zoom.us/j/95405957339?pwd=dEpFbCtxTmswa3JhLzExOXZ2WWhYQT09" TargetMode="External"/><Relationship Id="rId4" Type="http://schemas.openxmlformats.org/officeDocument/2006/relationships/hyperlink" Target="https://us02web.zoom.us/j/82010914206?pwd=UFFtckQ3YVpDdUZWMHNod1czOGExZz09" TargetMode="External"/><Relationship Id="rId9" Type="http://schemas.openxmlformats.org/officeDocument/2006/relationships/hyperlink" Target="https://us02web.zoom.us/j/84671904744?pwd=U2hybUtwU3h3R0ZsS0NiNnBCMzhyZz09" TargetMode="External"/><Relationship Id="rId26" Type="http://schemas.openxmlformats.org/officeDocument/2006/relationships/hyperlink" Target="https://www.google.com/url?q=https://zoom.us/j/93528014500&amp;sa=D&amp;ust=1590248701218000&amp;usg=AOvVaw3w0amwtus4CmLMiF9ebsiK" TargetMode="External"/><Relationship Id="rId25" Type="http://schemas.openxmlformats.org/officeDocument/2006/relationships/hyperlink" Target="https://us02web.zoom.us/j/86988484126?pwd=NlhGRk4vWkgyWWNhUjV0UmNEY0Zodz09" TargetMode="External"/><Relationship Id="rId28" Type="http://schemas.openxmlformats.org/officeDocument/2006/relationships/hyperlink" Target="https://us02web.zoom.us/j/81298284915?pwd=SDJvTWI2OXZBK01VT3YwMkNjaVRHQT09" TargetMode="External"/><Relationship Id="rId27" Type="http://schemas.openxmlformats.org/officeDocument/2006/relationships/hyperlink" Target="https://us02web.zoom.us/j/84266418691?pwd=V2NuNGx0ZlNDcVBOUEpKUUwvMkVsZz09" TargetMode="External"/><Relationship Id="rId5" Type="http://schemas.openxmlformats.org/officeDocument/2006/relationships/hyperlink" Target="https://zoom.us/j/96932497097?pwd=eHVuenB0Njl0Qi9meGJ5SXZQNHBEUT09" TargetMode="External"/><Relationship Id="rId6" Type="http://schemas.openxmlformats.org/officeDocument/2006/relationships/hyperlink" Target="https://zoom.us/j/6206255996?pwd=Ykxjb3VncFVOTU9TUlhGaGlVRUQ5dz09" TargetMode="External"/><Relationship Id="rId29" Type="http://schemas.openxmlformats.org/officeDocument/2006/relationships/hyperlink" Target="https://us04web.zoom.us/j/73850344224?pwd=RkROM1JEVTNIVWNQU20vZ1pFOWRhUT09" TargetMode="External"/><Relationship Id="rId7" Type="http://schemas.openxmlformats.org/officeDocument/2006/relationships/hyperlink" Target="http://torch.io/" TargetMode="External"/><Relationship Id="rId8" Type="http://schemas.openxmlformats.org/officeDocument/2006/relationships/hyperlink" Target="https://zoom.us/j/99432824075?pwd=QkMwQ2l6ckl0UWJFQVgrZHhONEhqQT09" TargetMode="External"/><Relationship Id="rId31" Type="http://schemas.openxmlformats.org/officeDocument/2006/relationships/hyperlink" Target="https://zoom.us/j/6206255996?pwd=Ykxjb3VncFVOTU9TUlhGaGlVRUQ5dz09" TargetMode="External"/><Relationship Id="rId30" Type="http://schemas.openxmlformats.org/officeDocument/2006/relationships/hyperlink" Target="https://www.google.com/url?q=https://zoom.us/j/99160157734?pwd%3DWVMwTmp5STN6U2xhMmN6K2tldklWdz09&amp;sa=D&amp;ust=1591695699013000&amp;usg=AOvVaw3ML4a5I8UEglXQk3ezt1pn" TargetMode="External"/><Relationship Id="rId11" Type="http://schemas.openxmlformats.org/officeDocument/2006/relationships/hyperlink" Target="https://us04web.zoom.us/j/75814253729?pwd=NC9HeHR1QVJZd2RraEFURGZWeHhaQT09" TargetMode="External"/><Relationship Id="rId33" Type="http://schemas.openxmlformats.org/officeDocument/2006/relationships/hyperlink" Target="https://zoom.us/j/97797083444" TargetMode="External"/><Relationship Id="rId10" Type="http://schemas.openxmlformats.org/officeDocument/2006/relationships/hyperlink" Target="https://www.google.com/url?q=https://zoom.us/j/91734004284?pwd%3DMmdma1FtVkh4blhWajBEMlBLQUNRQT09&amp;sa=D&amp;ust=1592034967581000&amp;usg=AOvVaw3gVwdH7ePi2Ph-_iLxmcT4" TargetMode="External"/><Relationship Id="rId32" Type="http://schemas.openxmlformats.org/officeDocument/2006/relationships/hyperlink" Target="https://zoom.us/j/97145144920?pwd=RGNLV0dxeVcrcEFSSFF2YmQzTWw2Zz09" TargetMode="External"/><Relationship Id="rId13" Type="http://schemas.openxmlformats.org/officeDocument/2006/relationships/hyperlink" Target="https://zoom.us/j/92812118836?pwd=bUdJVlFDWVdZSWUvUGk2MkNLMlp3UT09" TargetMode="External"/><Relationship Id="rId35" Type="http://schemas.openxmlformats.org/officeDocument/2006/relationships/hyperlink" Target="https://us02web.zoom.us/j/86798823484?pwd=WkdEbllRQzlac2MvVnkwaEVlSXlkQT09" TargetMode="External"/><Relationship Id="rId12" Type="http://schemas.openxmlformats.org/officeDocument/2006/relationships/hyperlink" Target="https://zoom.us/j/92356481205?pwd=YnQ2N0YvQm9vTGtnUGNHVmJlNTN0dz09" TargetMode="External"/><Relationship Id="rId34" Type="http://schemas.openxmlformats.org/officeDocument/2006/relationships/hyperlink" Target="https://zoom.us/j/93611382862?pwd=KzRUeTZ4elF5cVZnYklGM2JIZ0NuQT09" TargetMode="External"/><Relationship Id="rId15" Type="http://schemas.openxmlformats.org/officeDocument/2006/relationships/hyperlink" Target="https://www.google.com/url?q=https://us02web.zoom.us/j/83550928928?pwd%3DS3VmeDVZMGZzbDhXRmRQUEIyWFRxQT09&amp;sa=D&amp;ust=1591520583613000&amp;usg=AOvVaw2XG5rdZA3BD-tYBekQSZ86" TargetMode="External"/><Relationship Id="rId37" Type="http://schemas.openxmlformats.org/officeDocument/2006/relationships/hyperlink" Target="http://capscovil.com/" TargetMode="External"/><Relationship Id="rId14" Type="http://schemas.openxmlformats.org/officeDocument/2006/relationships/hyperlink" Target="https://zoom.us/j/6206255996?pwd=Ykxjb3VncFVOTU9TUlhGaGlVRUQ5dz09" TargetMode="External"/><Relationship Id="rId36" Type="http://schemas.openxmlformats.org/officeDocument/2006/relationships/hyperlink" Target="https://zoom.us/j/6206255996?pwd=Ykxjb3VncFVOTU9TUlhGaGlVRUQ5dz09" TargetMode="External"/><Relationship Id="rId17" Type="http://schemas.openxmlformats.org/officeDocument/2006/relationships/hyperlink" Target="https://zoom.us/j/91622743075?pwd=VmZRNStiTkRmSDZFUStiZE9UZVJuZz09" TargetMode="External"/><Relationship Id="rId39" Type="http://schemas.openxmlformats.org/officeDocument/2006/relationships/drawing" Target="../drawings/drawing1.xml"/><Relationship Id="rId16" Type="http://schemas.openxmlformats.org/officeDocument/2006/relationships/hyperlink" Target="https://www.google.com/url?q=https://zoom.us/j/98284520930?pwd%3DUS9DYW56Q05IMzVmMlZpcnVIWi9mQT09&amp;sa=D&amp;ust=1591717313511000&amp;usg=AOvVaw19_vKi5xA7pGZSJJfug8J2" TargetMode="External"/><Relationship Id="rId38" Type="http://schemas.openxmlformats.org/officeDocument/2006/relationships/hyperlink" Target="https://zoom.us/j/96395328343?pwd=RVZubDJ4eXo0Ti82RC8wTUUwQlhVZz09" TargetMode="External"/><Relationship Id="rId19" Type="http://schemas.openxmlformats.org/officeDocument/2006/relationships/hyperlink" Target="https://zoom.us/j/92745832289?pwd=UlNxdnlObFordjdjQ2ZvdDA4M2cwUT09" TargetMode="External"/><Relationship Id="rId18" Type="http://schemas.openxmlformats.org/officeDocument/2006/relationships/hyperlink" Target="http://byblacks.com/"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youtube.com/watch?v=Jg-T2tE58wI" TargetMode="External"/><Relationship Id="rId20" Type="http://schemas.openxmlformats.org/officeDocument/2006/relationships/hyperlink" Target="https://www.youtube.com/watch?v=jnw6_o8cAM4" TargetMode="External"/><Relationship Id="rId42" Type="http://schemas.openxmlformats.org/officeDocument/2006/relationships/hyperlink" Target="https://www.youtube.com/watch?v=YpvkdC0f9Rk&amp;t=17s" TargetMode="External"/><Relationship Id="rId41" Type="http://schemas.openxmlformats.org/officeDocument/2006/relationships/hyperlink" Target="https://www.youtube.com/watch?v=NFbrnaj6OYI" TargetMode="External"/><Relationship Id="rId22" Type="http://schemas.openxmlformats.org/officeDocument/2006/relationships/hyperlink" Target="https://vimeo.com/showcase/6061850/video/342951654" TargetMode="External"/><Relationship Id="rId44" Type="http://schemas.openxmlformats.org/officeDocument/2006/relationships/hyperlink" Target="https://www.youtube.com/watch?v=IuH3k5v-cEs" TargetMode="External"/><Relationship Id="rId21" Type="http://schemas.openxmlformats.org/officeDocument/2006/relationships/hyperlink" Target="https://www.youtube.com/watch?v=2LT_sDkHYRc" TargetMode="External"/><Relationship Id="rId43" Type="http://schemas.openxmlformats.org/officeDocument/2006/relationships/hyperlink" Target="https://www.youtube.com/watch?v=N3rZ_dH8780" TargetMode="External"/><Relationship Id="rId24" Type="http://schemas.openxmlformats.org/officeDocument/2006/relationships/hyperlink" Target="https://www.youtube.com/watch?v=1gN8mUty_Ig" TargetMode="External"/><Relationship Id="rId46" Type="http://schemas.openxmlformats.org/officeDocument/2006/relationships/hyperlink" Target="https://www.youtube.com/watch?v=e6b2Mjrr4MU" TargetMode="External"/><Relationship Id="rId23" Type="http://schemas.openxmlformats.org/officeDocument/2006/relationships/hyperlink" Target="https://vimeo.com/16547682" TargetMode="External"/><Relationship Id="rId45" Type="http://schemas.openxmlformats.org/officeDocument/2006/relationships/hyperlink" Target="https://www.youtube.com/watch?v=JZ-omtv0vOQ" TargetMode="External"/><Relationship Id="rId1" Type="http://schemas.openxmlformats.org/officeDocument/2006/relationships/hyperlink" Target="https://www.youtube.com/watch?v=pJNdn9-SKZI&amp;list=PLxptNs2MLOjkVIxSu5hCTjqNwMuNJOhsy&amp;index=39" TargetMode="External"/><Relationship Id="rId2" Type="http://schemas.openxmlformats.org/officeDocument/2006/relationships/hyperlink" Target="https://www.youtube.com/watch?v=fKu3uvZCZmI" TargetMode="External"/><Relationship Id="rId3" Type="http://schemas.openxmlformats.org/officeDocument/2006/relationships/hyperlink" Target="https://vimeo.com/257759152" TargetMode="External"/><Relationship Id="rId4" Type="http://schemas.openxmlformats.org/officeDocument/2006/relationships/hyperlink" Target="https://www.youtube.com/watch?v=lkzNZKCxMKc&amp;list=PLxptNs2MLOjncuOhiHrdjl4VebNfdStqF&amp;index=8" TargetMode="External"/><Relationship Id="rId9" Type="http://schemas.openxmlformats.org/officeDocument/2006/relationships/hyperlink" Target="https://www.youtube.com/watch?v=vxmhCWcaFe4" TargetMode="External"/><Relationship Id="rId26" Type="http://schemas.openxmlformats.org/officeDocument/2006/relationships/hyperlink" Target="https://www.youtube.com/watch?v=5kJynnKNYLI&amp;list=PLxptNs2MLOjkTwMhAAgBIisGUstSaL-ul&amp;index=19" TargetMode="External"/><Relationship Id="rId25" Type="http://schemas.openxmlformats.org/officeDocument/2006/relationships/hyperlink" Target="https://www.youtube.com/watch?v=s-WqmC3Aoa4" TargetMode="External"/><Relationship Id="rId47" Type="http://schemas.openxmlformats.org/officeDocument/2006/relationships/drawing" Target="../drawings/drawing2.xml"/><Relationship Id="rId28" Type="http://schemas.openxmlformats.org/officeDocument/2006/relationships/hyperlink" Target="https://www.youtube.com/watch?v=jCHh80YIsB8" TargetMode="External"/><Relationship Id="rId27" Type="http://schemas.openxmlformats.org/officeDocument/2006/relationships/hyperlink" Target="https://www.youtube.com/watch?v=9avdHu40Enw&amp;list=PLxptNs2MLOjkVIxSu5hCTjqNwMuNJOhsy&amp;index=10" TargetMode="External"/><Relationship Id="rId5" Type="http://schemas.openxmlformats.org/officeDocument/2006/relationships/hyperlink" Target="https://www.youtube.com/watch?v=Bqsdh-6y-d8&amp;list=PLxptNs2MLOjnmKh9GQbjGOfg3BMxHXASb&amp;index=28" TargetMode="External"/><Relationship Id="rId6" Type="http://schemas.openxmlformats.org/officeDocument/2006/relationships/hyperlink" Target="https://www.youtube.com/watch?v=mLcRwWODJvY" TargetMode="External"/><Relationship Id="rId29" Type="http://schemas.openxmlformats.org/officeDocument/2006/relationships/hyperlink" Target="https://www.youtube.com/watch?v=ft1KKV57yWE" TargetMode="External"/><Relationship Id="rId7" Type="http://schemas.openxmlformats.org/officeDocument/2006/relationships/hyperlink" Target="https://www.youtube.com/watch?v=_Ns78mUiBcM" TargetMode="External"/><Relationship Id="rId8" Type="http://schemas.openxmlformats.org/officeDocument/2006/relationships/hyperlink" Target="https://www.youtube.com/watch?v=JaA36HDq848" TargetMode="External"/><Relationship Id="rId31" Type="http://schemas.openxmlformats.org/officeDocument/2006/relationships/hyperlink" Target="https://www.youtube.com/watch?v=hpoiGg-NFR8" TargetMode="External"/><Relationship Id="rId30" Type="http://schemas.openxmlformats.org/officeDocument/2006/relationships/hyperlink" Target="https://vimeo.com/372581211" TargetMode="External"/><Relationship Id="rId11" Type="http://schemas.openxmlformats.org/officeDocument/2006/relationships/hyperlink" Target="https://www.youtube.com/watch?v=aMDLMXdIYbY" TargetMode="External"/><Relationship Id="rId33" Type="http://schemas.openxmlformats.org/officeDocument/2006/relationships/hyperlink" Target="https://vimeo.com/343099082" TargetMode="External"/><Relationship Id="rId10" Type="http://schemas.openxmlformats.org/officeDocument/2006/relationships/hyperlink" Target="https://www.youtube.com/watch?v=wwuYk4M06dc" TargetMode="External"/><Relationship Id="rId32" Type="http://schemas.openxmlformats.org/officeDocument/2006/relationships/hyperlink" Target="https://www.youtube.com/watch?v=H41Zk1GrdRg&amp;t=2s" TargetMode="External"/><Relationship Id="rId13" Type="http://schemas.openxmlformats.org/officeDocument/2006/relationships/hyperlink" Target="https://www.youtube.com/watch?v=FpfmlMkQxFM&amp;t=17s" TargetMode="External"/><Relationship Id="rId35" Type="http://schemas.openxmlformats.org/officeDocument/2006/relationships/hyperlink" Target="https://www.youtube.com/watch?v=YzOsxCPL4q8" TargetMode="External"/><Relationship Id="rId12" Type="http://schemas.openxmlformats.org/officeDocument/2006/relationships/hyperlink" Target="https://www.facebook.com/watch/?v=1597195527013152" TargetMode="External"/><Relationship Id="rId34" Type="http://schemas.openxmlformats.org/officeDocument/2006/relationships/hyperlink" Target="https://vimeo.com/showcase/6551539/video/371443930" TargetMode="External"/><Relationship Id="rId15" Type="http://schemas.openxmlformats.org/officeDocument/2006/relationships/hyperlink" Target="https://www.youtube.com/watch?v=5B8swYuHFGE" TargetMode="External"/><Relationship Id="rId37" Type="http://schemas.openxmlformats.org/officeDocument/2006/relationships/hyperlink" Target="https://vimeo.com/showcase/6551539/video/370976186" TargetMode="External"/><Relationship Id="rId14" Type="http://schemas.openxmlformats.org/officeDocument/2006/relationships/hyperlink" Target="https://www.youtube.com/watch?v=M3A9SNadRcY" TargetMode="External"/><Relationship Id="rId36" Type="http://schemas.openxmlformats.org/officeDocument/2006/relationships/hyperlink" Target="https://www.youtube.com/watch?v=AfuudF9C6L8" TargetMode="External"/><Relationship Id="rId17" Type="http://schemas.openxmlformats.org/officeDocument/2006/relationships/hyperlink" Target="https://vimeo.com/showcase/6551539/video/370970563" TargetMode="External"/><Relationship Id="rId39" Type="http://schemas.openxmlformats.org/officeDocument/2006/relationships/hyperlink" Target="https://www.youtube.com/watch?v=k25nALbTcDs" TargetMode="External"/><Relationship Id="rId16" Type="http://schemas.openxmlformats.org/officeDocument/2006/relationships/hyperlink" Target="https://www.youtube.com/watch?v=Hak7KCoUqTg" TargetMode="External"/><Relationship Id="rId38" Type="http://schemas.openxmlformats.org/officeDocument/2006/relationships/hyperlink" Target="https://vimeo.com/showcase/6551539/video/371653938" TargetMode="External"/><Relationship Id="rId19" Type="http://schemas.openxmlformats.org/officeDocument/2006/relationships/hyperlink" Target="https://vimeo.com/showcase/6061850/video/343327343" TargetMode="External"/><Relationship Id="rId18" Type="http://schemas.openxmlformats.org/officeDocument/2006/relationships/hyperlink" Target="https://www.youtube.com/watch?v=-0LuUAMJcW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torch.io/" TargetMode="External"/><Relationship Id="rId2" Type="http://schemas.openxmlformats.org/officeDocument/2006/relationships/hyperlink" Target="http://byblacks.com/" TargetMode="External"/><Relationship Id="rId3" Type="http://schemas.openxmlformats.org/officeDocument/2006/relationships/hyperlink" Target="http://capscovil.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90" Type="http://schemas.openxmlformats.org/officeDocument/2006/relationships/hyperlink" Target="https://drive.google.com/drive/folders/1u6c0gL0-a2IggkwmvkVWN6Eoux6u_i3u" TargetMode="External"/><Relationship Id="rId194" Type="http://schemas.openxmlformats.org/officeDocument/2006/relationships/hyperlink" Target="https://drive.google.com/open?id=1o3gXGm4MHBUN_FCDcIDLcJQHsm86MqZE" TargetMode="External"/><Relationship Id="rId193" Type="http://schemas.openxmlformats.org/officeDocument/2006/relationships/hyperlink" Target="https://drive.google.com/drive/folders/1OYhYXIKzPH7DnNhIXc2ORuf61b26Fvw5" TargetMode="External"/><Relationship Id="rId192" Type="http://schemas.openxmlformats.org/officeDocument/2006/relationships/hyperlink" Target="https://drive.google.com/file/d/16i9myi8d9eG4p2vMlPzV-WM0Ran59NgO/view" TargetMode="External"/><Relationship Id="rId191" Type="http://schemas.openxmlformats.org/officeDocument/2006/relationships/hyperlink" Target="https://drive.google.com/drive/folders/12eEj_FQpdkrNRLfDc50lgkIOCyFKLnMg" TargetMode="External"/><Relationship Id="rId187" Type="http://schemas.openxmlformats.org/officeDocument/2006/relationships/hyperlink" Target="https://drive.google.com/open?id=1bcyETriVu9oA8SkhmdCl-djqUDenJT3x" TargetMode="External"/><Relationship Id="rId186" Type="http://schemas.openxmlformats.org/officeDocument/2006/relationships/hyperlink" Target="https://drive.google.com/drive/folders/1nJzaG9zj2B_ok6TMIjwfeem4pCyGBcTd" TargetMode="External"/><Relationship Id="rId185" Type="http://schemas.openxmlformats.org/officeDocument/2006/relationships/hyperlink" Target="https://drive.google.com/open?id=1c3eRcKf4vOBVKMrbwP1nunZHrz1XKzSL" TargetMode="External"/><Relationship Id="rId184" Type="http://schemas.openxmlformats.org/officeDocument/2006/relationships/hyperlink" Target="https://drive.google.com/drive/folders/1bl9t334-vgpfP3KM5DyB-4eFy-s_Mk7L" TargetMode="External"/><Relationship Id="rId189" Type="http://schemas.openxmlformats.org/officeDocument/2006/relationships/hyperlink" Target="https://drive.google.com/open?id=1ypW6sdpRGUKwU23YQVO8kjUHRwHEwtqW" TargetMode="External"/><Relationship Id="rId188" Type="http://schemas.openxmlformats.org/officeDocument/2006/relationships/hyperlink" Target="https://drive.google.com/drive/folders/1vPhs8aKQG6qnQrG5jg0axGQG_qyXQph9" TargetMode="External"/><Relationship Id="rId183" Type="http://schemas.openxmlformats.org/officeDocument/2006/relationships/hyperlink" Target="https://drive.google.com/open?id=1b62Q-pgbsamw3V1wBDvvUHlIkEkl1Lw7" TargetMode="External"/><Relationship Id="rId182" Type="http://schemas.openxmlformats.org/officeDocument/2006/relationships/hyperlink" Target="https://drive.google.com/drive/folders/15IUBXF2VOAoiAFSWHGsQu5SGJGaW5QzL" TargetMode="External"/><Relationship Id="rId181" Type="http://schemas.openxmlformats.org/officeDocument/2006/relationships/hyperlink" Target="https://drive.google.com/open?id=1AUe_Kx4EpMD52RuFh6DIxruOws-ml_zY" TargetMode="External"/><Relationship Id="rId180" Type="http://schemas.openxmlformats.org/officeDocument/2006/relationships/hyperlink" Target="https://drive.google.com/drive/folders/1w3bLaDbSrsK04MW1-b_KdTmU-F193r5a" TargetMode="External"/><Relationship Id="rId176" Type="http://schemas.openxmlformats.org/officeDocument/2006/relationships/hyperlink" Target="https://drive.google.com/drive/folders/1fz1Y5NGSSUL-qVMVDoP9kM2pwTJf1MNL" TargetMode="External"/><Relationship Id="rId297" Type="http://schemas.openxmlformats.org/officeDocument/2006/relationships/hyperlink" Target="https://drive.google.com/drive/folders/12WAK_k8fAXiOwhWC345N34xoKOIoksnf" TargetMode="External"/><Relationship Id="rId175" Type="http://schemas.openxmlformats.org/officeDocument/2006/relationships/hyperlink" Target="https://drive.google.com/open?id=13wS4S4qJ3vcV4oi8sJLIaAUs93Effk3O" TargetMode="External"/><Relationship Id="rId296" Type="http://schemas.openxmlformats.org/officeDocument/2006/relationships/hyperlink" Target="https://drive.google.com/open?id=1YkqHgISWFLPPosHw-dIHeGGJAuDgnvy5" TargetMode="External"/><Relationship Id="rId174" Type="http://schemas.openxmlformats.org/officeDocument/2006/relationships/hyperlink" Target="https://drive.google.com/drive/folders/1iavbDA1SrLg6yTkDwqRtE1U8sBflFyV4" TargetMode="External"/><Relationship Id="rId295" Type="http://schemas.openxmlformats.org/officeDocument/2006/relationships/hyperlink" Target="https://drive.google.com/drive/folders/1g6XLRxK1qC1LNdTQMix6mkK4WOIkVGKS" TargetMode="External"/><Relationship Id="rId173" Type="http://schemas.openxmlformats.org/officeDocument/2006/relationships/hyperlink" Target="https://drive.google.com/open?id=1Uw_n7iroKp2T30L8v-IxoN0J8IFnhMgm" TargetMode="External"/><Relationship Id="rId294" Type="http://schemas.openxmlformats.org/officeDocument/2006/relationships/hyperlink" Target="https://drive.google.com/drive/folders/1OKBEWjXFPhf42y1De4ELVd6k1iPHa3LY" TargetMode="External"/><Relationship Id="rId179" Type="http://schemas.openxmlformats.org/officeDocument/2006/relationships/hyperlink" Target="https://drive.google.com/open?id=1DD4wkqhDsv0PMn_pfMPDLah_3HGiHyVH" TargetMode="External"/><Relationship Id="rId178" Type="http://schemas.openxmlformats.org/officeDocument/2006/relationships/hyperlink" Target="https://drive.google.com/drive/folders/1EqQQZk9iC1IXyBrTuWspd6UuaGd7joMv" TargetMode="External"/><Relationship Id="rId299" Type="http://schemas.openxmlformats.org/officeDocument/2006/relationships/hyperlink" Target="https://drive.google.com/drive/u/0/folders/1ti4RekkGHfxgT64FuCQAKz2VIgWBA1wy" TargetMode="External"/><Relationship Id="rId177" Type="http://schemas.openxmlformats.org/officeDocument/2006/relationships/hyperlink" Target="https://drive.google.com/open?id=1-d7JTPLHTRYU843yZW7AV0xwadVHaC8n" TargetMode="External"/><Relationship Id="rId298" Type="http://schemas.openxmlformats.org/officeDocument/2006/relationships/hyperlink" Target="https://drive.google.com/open?id=1x9JUfqrEHjIiJx3GZJtQrPsaGXnjQvZB" TargetMode="External"/><Relationship Id="rId198" Type="http://schemas.openxmlformats.org/officeDocument/2006/relationships/hyperlink" Target="https://drive.google.com/open?id=17x4-rAfs0YJGknSKrQGoaY7wI-hOozMa" TargetMode="External"/><Relationship Id="rId197" Type="http://schemas.openxmlformats.org/officeDocument/2006/relationships/hyperlink" Target="https://drive.google.com/drive/folders/1GUMQTka_XsFVV0ez2BoAyy5dptzTThWv" TargetMode="External"/><Relationship Id="rId196" Type="http://schemas.openxmlformats.org/officeDocument/2006/relationships/hyperlink" Target="https://drive.google.com/open?id=1Wiw49XR_xIS150NZlmsIxjgINuxLnqux" TargetMode="External"/><Relationship Id="rId195" Type="http://schemas.openxmlformats.org/officeDocument/2006/relationships/hyperlink" Target="https://drive.google.com/drive/folders/1QAdu8yvOkaBKrmJS_0nS7UDrNT1-47bT" TargetMode="External"/><Relationship Id="rId199" Type="http://schemas.openxmlformats.org/officeDocument/2006/relationships/hyperlink" Target="https://drive.google.com/drive/folders/1akQv0RCpEZ1_6qWswVSY9eZrBVB7obcG" TargetMode="External"/><Relationship Id="rId150" Type="http://schemas.openxmlformats.org/officeDocument/2006/relationships/hyperlink" Target="https://drive.google.com/drive/folders/1oSZ0y2NO0v8x0zBUBInQOXtXwNfn-Iqb" TargetMode="External"/><Relationship Id="rId271" Type="http://schemas.openxmlformats.org/officeDocument/2006/relationships/hyperlink" Target="https://drive.google.com/open?id=1BP7DuJB1PBkralcVAQVwMaVLzIyYi-bR" TargetMode="External"/><Relationship Id="rId392" Type="http://schemas.openxmlformats.org/officeDocument/2006/relationships/hyperlink" Target="https://drive.google.com/drive/u/0/folders/1tJC0oPgouiNXHifG_8mnpmfjQ27eh6S6" TargetMode="External"/><Relationship Id="rId270" Type="http://schemas.openxmlformats.org/officeDocument/2006/relationships/hyperlink" Target="https://drive.google.com/drive/folders/1pHj2EJYRtYSSzn4ucBt2apgEpxqpoD2x" TargetMode="External"/><Relationship Id="rId391" Type="http://schemas.openxmlformats.org/officeDocument/2006/relationships/hyperlink" Target="https://drive.google.com/open?id=1iwzMSXfGgN6E_m55C_QBphadV5SZPmwO" TargetMode="External"/><Relationship Id="rId390" Type="http://schemas.openxmlformats.org/officeDocument/2006/relationships/hyperlink" Target="https://drive.google.com/drive/u/0/folders/1TpmFFiZY8TjyeNNQLZRXWshMt6bp_rjH" TargetMode="External"/><Relationship Id="rId1" Type="http://schemas.openxmlformats.org/officeDocument/2006/relationships/comments" Target="../comments1.xml"/><Relationship Id="rId2" Type="http://schemas.openxmlformats.org/officeDocument/2006/relationships/hyperlink" Target="https://drive.google.com/drive/folders/1tIR_uXFm09nimDEPyy4cKvNdpoxF2tGW" TargetMode="External"/><Relationship Id="rId3" Type="http://schemas.openxmlformats.org/officeDocument/2006/relationships/hyperlink" Target="https://drive.google.com/open?id=1iY8ZSeFkqY1lBg5GFNY6Lks6-zg-Dt6l" TargetMode="External"/><Relationship Id="rId149" Type="http://schemas.openxmlformats.org/officeDocument/2006/relationships/hyperlink" Target="https://drive.google.com/file/d/1j2fNuDNLwKrnQb9l0tjYsHIs9APRroxf/view" TargetMode="External"/><Relationship Id="rId4" Type="http://schemas.openxmlformats.org/officeDocument/2006/relationships/hyperlink" Target="https://drive.google.com/drive/folders/1qvJvOXvSWA6TwzWg2tEglNiZBqaGUim5" TargetMode="External"/><Relationship Id="rId148" Type="http://schemas.openxmlformats.org/officeDocument/2006/relationships/hyperlink" Target="https://drive.google.com/drive/folders/1LtQbUDMFiZOLXIh2ZnbCsDqNqq0rrjdg" TargetMode="External"/><Relationship Id="rId269" Type="http://schemas.openxmlformats.org/officeDocument/2006/relationships/hyperlink" Target="https://drive.google.com/open?id=1a71YDp1fl7L9H8No497lAIcKhAWyQFd2" TargetMode="External"/><Relationship Id="rId9" Type="http://schemas.openxmlformats.org/officeDocument/2006/relationships/hyperlink" Target="https://drive.google.com/open?id=1fwB5uUe8L6OyublzbsenYcTc_vsNIkws" TargetMode="External"/><Relationship Id="rId143" Type="http://schemas.openxmlformats.org/officeDocument/2006/relationships/hyperlink" Target="https://drive.google.com/open?id=16uh6GXhAMrLaigmlkRA5X0ONm--MWBwA" TargetMode="External"/><Relationship Id="rId264" Type="http://schemas.openxmlformats.org/officeDocument/2006/relationships/hyperlink" Target="https://drive.google.com/drive/folders/1GBNRD0mm0McTIhcBFOXHxc9T95Kgsn89" TargetMode="External"/><Relationship Id="rId385" Type="http://schemas.openxmlformats.org/officeDocument/2006/relationships/hyperlink" Target="https://drive.google.com/open?id=1ooM6UCz91OLD-jeG8CHp8TXagnhJW4dY" TargetMode="External"/><Relationship Id="rId142" Type="http://schemas.openxmlformats.org/officeDocument/2006/relationships/hyperlink" Target="https://drive.google.com/drive/folders/1ZLJ6DK7UituGJC66eP-6SlF6nMfvTvpd" TargetMode="External"/><Relationship Id="rId263" Type="http://schemas.openxmlformats.org/officeDocument/2006/relationships/hyperlink" Target="https://drive.google.com/open?id=1DE3aag3LmFPL6KDA3nOGSg6atTXWKkFl" TargetMode="External"/><Relationship Id="rId384" Type="http://schemas.openxmlformats.org/officeDocument/2006/relationships/hyperlink" Target="https://drive.google.com/drive/folders/18a6_MBMtivSMv4ez4dk1mhNsuxn0L3-h" TargetMode="External"/><Relationship Id="rId141" Type="http://schemas.openxmlformats.org/officeDocument/2006/relationships/hyperlink" Target="https://drive.google.com/open?id=1IpoJjxCjFuzUqF5YGIrdidcKNt53i0q7" TargetMode="External"/><Relationship Id="rId262" Type="http://schemas.openxmlformats.org/officeDocument/2006/relationships/hyperlink" Target="https://drive.google.com/drive/folders/1xs1NJyMwXvMC4fjxhz0YbLSWQG60qxZc" TargetMode="External"/><Relationship Id="rId383" Type="http://schemas.openxmlformats.org/officeDocument/2006/relationships/hyperlink" Target="https://drive.google.com/open?id=1pP-6qG1Q35QUctTVXheEXctS0Sa5427P" TargetMode="External"/><Relationship Id="rId140" Type="http://schemas.openxmlformats.org/officeDocument/2006/relationships/hyperlink" Target="https://drive.google.com/drive/folders/1SNfeIaMz3mPI_zhd_x-Do4rRbW4hIgaw" TargetMode="External"/><Relationship Id="rId261" Type="http://schemas.openxmlformats.org/officeDocument/2006/relationships/hyperlink" Target="https://drive.google.com/open?id=1SvKamkCxmE884bJLsZ1dQ4sXQH8AJPUZ" TargetMode="External"/><Relationship Id="rId382" Type="http://schemas.openxmlformats.org/officeDocument/2006/relationships/hyperlink" Target="https://drive.google.com/drive/u/0/folders/1O_PzFy_uNyFAc8L4eZyGZNqCKYpuEVjd" TargetMode="External"/><Relationship Id="rId5" Type="http://schemas.openxmlformats.org/officeDocument/2006/relationships/hyperlink" Target="https://drive.google.com/open?id=1hbbbTmBxPpAxQvcDKvDOsgbIPwgPu-YY" TargetMode="External"/><Relationship Id="rId147" Type="http://schemas.openxmlformats.org/officeDocument/2006/relationships/hyperlink" Target="https://drive.google.com/open?id=1b_BCrz9zY_3dlAK1COsd73vMTRHkEwRp" TargetMode="External"/><Relationship Id="rId268" Type="http://schemas.openxmlformats.org/officeDocument/2006/relationships/hyperlink" Target="https://drive.google.com/drive/folders/1Y8MEg5G9UfErc_AnTdBcPQkTmRwTirjO" TargetMode="External"/><Relationship Id="rId389" Type="http://schemas.openxmlformats.org/officeDocument/2006/relationships/hyperlink" Target="https://drive.google.com/open?id=1ZFc02vNBnMlozdk5Le9PFXZv515UKlwy" TargetMode="External"/><Relationship Id="rId6" Type="http://schemas.openxmlformats.org/officeDocument/2006/relationships/hyperlink" Target="https://drive.google.com/drive/folders/1wEDdSckf5cRMW94q4Tat_3cjVTQes0vY" TargetMode="External"/><Relationship Id="rId146" Type="http://schemas.openxmlformats.org/officeDocument/2006/relationships/hyperlink" Target="https://drive.google.com/drive/folders/1TN7DNvVjm9IodNd7zGxMgJv452hS5sgs" TargetMode="External"/><Relationship Id="rId267" Type="http://schemas.openxmlformats.org/officeDocument/2006/relationships/hyperlink" Target="https://drive.google.com/open?id=1nCVPziCZRFrujfEUxzP6a5vZPXLzwGmn" TargetMode="External"/><Relationship Id="rId388" Type="http://schemas.openxmlformats.org/officeDocument/2006/relationships/hyperlink" Target="https://drive.google.com/drive/u/0/folders/12-Qr1-reGo9XBmY2VdtH7dT8W-0YvO2n" TargetMode="External"/><Relationship Id="rId7" Type="http://schemas.openxmlformats.org/officeDocument/2006/relationships/hyperlink" Target="https://drive.google.com/open?id=1Z3QpqkVL_7mrevCFEe3Xt0oPEI0aCj6d" TargetMode="External"/><Relationship Id="rId145" Type="http://schemas.openxmlformats.org/officeDocument/2006/relationships/hyperlink" Target="https://drive.google.com/open?id=1_mjNoKKbvArdizuJnvSeLLMvtxOeRJrr" TargetMode="External"/><Relationship Id="rId266" Type="http://schemas.openxmlformats.org/officeDocument/2006/relationships/hyperlink" Target="https://drive.google.com/drive/folders/1pKmmC0X1WmGSMqI1WVssy1sDmCNI93-E" TargetMode="External"/><Relationship Id="rId387" Type="http://schemas.openxmlformats.org/officeDocument/2006/relationships/hyperlink" Target="https://drive.google.com/open?id=1mWGP1-TeQ0SA1QKGOk6DiDBzE9AQxVPk" TargetMode="External"/><Relationship Id="rId8" Type="http://schemas.openxmlformats.org/officeDocument/2006/relationships/hyperlink" Target="https://drive.google.com/drive/folders/1wmrOYdNyEvigaHNigHBIUWgp67x6dQkD" TargetMode="External"/><Relationship Id="rId144" Type="http://schemas.openxmlformats.org/officeDocument/2006/relationships/hyperlink" Target="https://drive.google.com/drive/folders/1mOC32ljJfT0Ohxi-GplS-jK_U2LPble6" TargetMode="External"/><Relationship Id="rId265" Type="http://schemas.openxmlformats.org/officeDocument/2006/relationships/hyperlink" Target="https://drive.google.com/open?id=1J4VxVTb7DWf5qGVQBIkGWweooyi-VFoC" TargetMode="External"/><Relationship Id="rId386" Type="http://schemas.openxmlformats.org/officeDocument/2006/relationships/hyperlink" Target="https://drive.google.com/drive/folders/1zYvUHikZ8dQb1o_iO9SWBvw6-3RVwzBz" TargetMode="External"/><Relationship Id="rId260" Type="http://schemas.openxmlformats.org/officeDocument/2006/relationships/hyperlink" Target="https://drive.google.com/open?id=1El-0B5Tl-Kpf6baGoX3sNo49pKEvYqmH" TargetMode="External"/><Relationship Id="rId381" Type="http://schemas.openxmlformats.org/officeDocument/2006/relationships/hyperlink" Target="https://drive.google.com/open?id=1AHf82-vpXqLSG7KidPEHjkYSrklFhYdM" TargetMode="External"/><Relationship Id="rId380" Type="http://schemas.openxmlformats.org/officeDocument/2006/relationships/hyperlink" Target="https://drive.google.com/drive/u/0/folders/1CAKMErFHlfoS_gs733qaCagbJD5lltxW" TargetMode="External"/><Relationship Id="rId139" Type="http://schemas.openxmlformats.org/officeDocument/2006/relationships/hyperlink" Target="https://drive.google.com/open?id=1RXUebCxgGR7KMSDmnlQbwARCmbRm2qtl" TargetMode="External"/><Relationship Id="rId138" Type="http://schemas.openxmlformats.org/officeDocument/2006/relationships/hyperlink" Target="https://drive.google.com/drive/folders/13djFIvDrS9chTKngfdxc41i1fdygA5Ka" TargetMode="External"/><Relationship Id="rId259" Type="http://schemas.openxmlformats.org/officeDocument/2006/relationships/hyperlink" Target="https://drive.google.com/open?id=1O5fSRAIPZ9zYVCavUjyntLgL9b07kL7v" TargetMode="External"/><Relationship Id="rId137" Type="http://schemas.openxmlformats.org/officeDocument/2006/relationships/hyperlink" Target="https://drive.google.com/open?id=1qULPTyZsydT1hgk0kRnTtdjtxtoEzi8h" TargetMode="External"/><Relationship Id="rId258" Type="http://schemas.openxmlformats.org/officeDocument/2006/relationships/hyperlink" Target="https://drive.google.com/drive/u/1/folders/1GeCO3wRbFjHOR1NHW19jsG2VFVh-MOHX" TargetMode="External"/><Relationship Id="rId379" Type="http://schemas.openxmlformats.org/officeDocument/2006/relationships/hyperlink" Target="https://drive.google.com/file/d/1_Sqicrt54NN_gY_tvI-QlGnzVxQeIynG/view" TargetMode="External"/><Relationship Id="rId132" Type="http://schemas.openxmlformats.org/officeDocument/2006/relationships/hyperlink" Target="https://drive.google.com/drive/folders/1SkmrOUDBpURhUY_0ivaw2iu4Tk97Crfo" TargetMode="External"/><Relationship Id="rId253" Type="http://schemas.openxmlformats.org/officeDocument/2006/relationships/hyperlink" Target="https://drive.google.com/open?id=1AEW1n1FlTHkwpiYSAsrKtedFXdJVXctL" TargetMode="External"/><Relationship Id="rId374" Type="http://schemas.openxmlformats.org/officeDocument/2006/relationships/hyperlink" Target="https://drive.google.com/drive/u/0/folders/1iyKHTdkO816utNTe7jUBEgU5mEmJ7QYp" TargetMode="External"/><Relationship Id="rId495" Type="http://schemas.openxmlformats.org/officeDocument/2006/relationships/hyperlink" Target="https://drive.google.com/open?id=1fP3LVDlhGaM3-O0RR3bJHDYClMVtPWlo" TargetMode="External"/><Relationship Id="rId131" Type="http://schemas.openxmlformats.org/officeDocument/2006/relationships/hyperlink" Target="https://drive.google.com/open?id=1OhkzbxTcEDnZSZy6jx9dUOLInIGMRUym" TargetMode="External"/><Relationship Id="rId252" Type="http://schemas.openxmlformats.org/officeDocument/2006/relationships/hyperlink" Target="https://drive.google.com/drive/folders/1UX1Mbq8v-NOAL29khLK13tQkW0igM5BC" TargetMode="External"/><Relationship Id="rId373" Type="http://schemas.openxmlformats.org/officeDocument/2006/relationships/hyperlink" Target="https://drive.google.com/open?id=1AC_N9cUbYH2tv_fMI5avdzCAR6L0LfoI" TargetMode="External"/><Relationship Id="rId494" Type="http://schemas.openxmlformats.org/officeDocument/2006/relationships/hyperlink" Target="https://drive.google.com/open?id=14CuC9h6yKareo8eat1a-eqiL0c4uMZni" TargetMode="External"/><Relationship Id="rId130" Type="http://schemas.openxmlformats.org/officeDocument/2006/relationships/hyperlink" Target="https://drive.google.com/drive/folders/14Y0D4OKS0h62kbUP4UIkD66SgAMzMrpP" TargetMode="External"/><Relationship Id="rId251" Type="http://schemas.openxmlformats.org/officeDocument/2006/relationships/hyperlink" Target="https://drive.google.com/open?id=1mb581TPbqxaDD7IC3F-lL_zZDAaK2DZh" TargetMode="External"/><Relationship Id="rId372" Type="http://schemas.openxmlformats.org/officeDocument/2006/relationships/hyperlink" Target="https://drive.google.com/drive/u/0/folders/1os17jCor7gWeZWhOOoiNb5aOkReLi_F2" TargetMode="External"/><Relationship Id="rId493" Type="http://schemas.openxmlformats.org/officeDocument/2006/relationships/hyperlink" Target="https://drive.google.com/open?id=1a-zJHq9YzB0fbSkvjo2sMFPDm_MF-P3v" TargetMode="External"/><Relationship Id="rId250" Type="http://schemas.openxmlformats.org/officeDocument/2006/relationships/hyperlink" Target="https://drive.google.com/drive/folders/1WqurW8vEqoA2Drg9rKh27W9meJrcxl_L" TargetMode="External"/><Relationship Id="rId371" Type="http://schemas.openxmlformats.org/officeDocument/2006/relationships/hyperlink" Target="https://drive.google.com/file/d/1hAs19-PnuwqMX59hD2B4NksyEydioklD/view" TargetMode="External"/><Relationship Id="rId492" Type="http://schemas.openxmlformats.org/officeDocument/2006/relationships/hyperlink" Target="https://drive.google.com/open?id=1yQVWoyZftfyD7FY7KHzaGlHxhTVpiiXW" TargetMode="External"/><Relationship Id="rId136" Type="http://schemas.openxmlformats.org/officeDocument/2006/relationships/hyperlink" Target="https://drive.google.com/drive/folders/17X7-2-Gjv3DogH-CdCBpTz7iu1OkwXm-" TargetMode="External"/><Relationship Id="rId257" Type="http://schemas.openxmlformats.org/officeDocument/2006/relationships/hyperlink" Target="https://drive.google.com/open?id=1fTV9ic2BmxizQyf45X40iUGWRqxSdAwe" TargetMode="External"/><Relationship Id="rId378" Type="http://schemas.openxmlformats.org/officeDocument/2006/relationships/hyperlink" Target="https://drive.google.com/drive/u/0/folders/1cbArxMenmlgdix4Q4Bl0OYlP4YEzmXhJ" TargetMode="External"/><Relationship Id="rId499" Type="http://schemas.openxmlformats.org/officeDocument/2006/relationships/hyperlink" Target="https://drive.google.com/open?id=1ugYNe_DHVgcslwlhS5IxTf7b7RXQ6-sY" TargetMode="External"/><Relationship Id="rId135" Type="http://schemas.openxmlformats.org/officeDocument/2006/relationships/hyperlink" Target="https://drive.google.com/open?id=1Ti3MBK9SVsaJudbIJ1zwYfAH9S14gRDq" TargetMode="External"/><Relationship Id="rId256" Type="http://schemas.openxmlformats.org/officeDocument/2006/relationships/hyperlink" Target="https://drive.google.com/drive/folders/1YHAYXKxTocpVYfQ_wn8AZog-dBbMXTNI" TargetMode="External"/><Relationship Id="rId377" Type="http://schemas.openxmlformats.org/officeDocument/2006/relationships/hyperlink" Target="https://drive.google.com/open?id=1EVtZiCIXmSYs72II4_NFGsF5sM4jiNEd" TargetMode="External"/><Relationship Id="rId498" Type="http://schemas.openxmlformats.org/officeDocument/2006/relationships/hyperlink" Target="https://drive.google.com/open?id=1yZhAqoR7Qa8EtuEMGk_O-JRrOU4_-jmO" TargetMode="External"/><Relationship Id="rId134" Type="http://schemas.openxmlformats.org/officeDocument/2006/relationships/hyperlink" Target="https://drive.google.com/drive/folders/19WQkZCOHjmGKEZcp2KkGtwCofx_FL0vo" TargetMode="External"/><Relationship Id="rId255" Type="http://schemas.openxmlformats.org/officeDocument/2006/relationships/hyperlink" Target="https://drive.google.com/open?id=10MTuHAvyT-cyHJzuLXZ5GAigLeokr3Iy" TargetMode="External"/><Relationship Id="rId376" Type="http://schemas.openxmlformats.org/officeDocument/2006/relationships/hyperlink" Target="https://drive.google.com/drive/u/3/folders/1ZOcv6ailXwPhNkINfxWpTs-PtRksqZQC" TargetMode="External"/><Relationship Id="rId497" Type="http://schemas.openxmlformats.org/officeDocument/2006/relationships/hyperlink" Target="https://drive.google.com/open?id=10gFU8Ix5tpUyDyEBngjfcgCZT2aoKIPU" TargetMode="External"/><Relationship Id="rId133" Type="http://schemas.openxmlformats.org/officeDocument/2006/relationships/hyperlink" Target="https://drive.google.com/open?id=13Zh-1nkJqAZnm1BttuyB-CGv1HAJWOyH" TargetMode="External"/><Relationship Id="rId254" Type="http://schemas.openxmlformats.org/officeDocument/2006/relationships/hyperlink" Target="https://drive.google.com/drive/folders/1fu_sqI6fCUZpcyVMsRE-Y2OUZ8nlL-MW" TargetMode="External"/><Relationship Id="rId375" Type="http://schemas.openxmlformats.org/officeDocument/2006/relationships/hyperlink" Target="https://drive.google.com/open?id=1kkGndewmodY30wir60L8_l3H2a-VRli7" TargetMode="External"/><Relationship Id="rId496" Type="http://schemas.openxmlformats.org/officeDocument/2006/relationships/hyperlink" Target="https://drive.google.com/open?id=1ZUJEyjYfqouXFxrjMaS3qNHcYchALKww" TargetMode="External"/><Relationship Id="rId172" Type="http://schemas.openxmlformats.org/officeDocument/2006/relationships/hyperlink" Target="https://drive.google.com/open?id=1Js5H3z59qQHO-W67jJd_57G_NnX-Mssn" TargetMode="External"/><Relationship Id="rId293" Type="http://schemas.openxmlformats.org/officeDocument/2006/relationships/hyperlink" Target="https://drive.google.com/open?id=1GO5_G9VnAw2_fUMTldLNmq1Z7WGcjEIi" TargetMode="External"/><Relationship Id="rId171" Type="http://schemas.openxmlformats.org/officeDocument/2006/relationships/hyperlink" Target="https://drive.google.com/open?id=1dXgUJC5YUgkWOmaS59p8eE0T8B-b4y3I" TargetMode="External"/><Relationship Id="rId292" Type="http://schemas.openxmlformats.org/officeDocument/2006/relationships/hyperlink" Target="https://drive.google.com/drive/folders/1Erp8WAmovG4p2v2E46Ph4pwufYvyCWlC" TargetMode="External"/><Relationship Id="rId170" Type="http://schemas.openxmlformats.org/officeDocument/2006/relationships/hyperlink" Target="https://drive.google.com/drive/folders/1WufHF1TF4Xq0UDn77YOHQA72DO-2HY3p" TargetMode="External"/><Relationship Id="rId291" Type="http://schemas.openxmlformats.org/officeDocument/2006/relationships/hyperlink" Target="https://drive.google.com/drive/folders/1zhGRYKRkrqB5K3_-4g5HNkxhdIOaS-9r" TargetMode="External"/><Relationship Id="rId290" Type="http://schemas.openxmlformats.org/officeDocument/2006/relationships/hyperlink" Target="https://drive.google.com/open?id=1FOdxjHXiNF6TKaCopSqBGjREB2pizCI1" TargetMode="External"/><Relationship Id="rId165" Type="http://schemas.openxmlformats.org/officeDocument/2006/relationships/hyperlink" Target="https://drive.google.com/open?id=19T_PCHTHxJE2iGg8y6AUc_gzNEFfILKH" TargetMode="External"/><Relationship Id="rId286" Type="http://schemas.openxmlformats.org/officeDocument/2006/relationships/hyperlink" Target="https://drive.google.com/open?id=1hje7rUcUNpqaPzPRWs2AhaGrmjgtbVw9" TargetMode="External"/><Relationship Id="rId164" Type="http://schemas.openxmlformats.org/officeDocument/2006/relationships/hyperlink" Target="https://drive.google.com/drive/folders/1PlIZnlEyHzjk518gfmS__2WzgMjERS4r" TargetMode="External"/><Relationship Id="rId285" Type="http://schemas.openxmlformats.org/officeDocument/2006/relationships/hyperlink" Target="https://drive.google.com/drive/folders/1UWUrc62wst2Ccjrj6r0EPzKgrbuA9bom" TargetMode="External"/><Relationship Id="rId163" Type="http://schemas.openxmlformats.org/officeDocument/2006/relationships/hyperlink" Target="https://drive.google.com/drive/folders/1CKpXVyIZbeYdOVbZcV9xv0F5Wc50I5qP" TargetMode="External"/><Relationship Id="rId284" Type="http://schemas.openxmlformats.org/officeDocument/2006/relationships/hyperlink" Target="https://drive.google.com/open?id=1tturyJvaU1kv2UGYf5okweRlLIzHtDRv" TargetMode="External"/><Relationship Id="rId162" Type="http://schemas.openxmlformats.org/officeDocument/2006/relationships/hyperlink" Target="https://drive.google.com/file/d/1jX8POAxPBo9P-Ynw7Mmvu8BQejeN-TzW/view" TargetMode="External"/><Relationship Id="rId283" Type="http://schemas.openxmlformats.org/officeDocument/2006/relationships/hyperlink" Target="https://drive.google.com/drive/folders/1sKwJk3Rnv_Zt2K1_VEnBaYtNGCPeeWp6" TargetMode="External"/><Relationship Id="rId169" Type="http://schemas.openxmlformats.org/officeDocument/2006/relationships/hyperlink" Target="https://drive.google.com/open?id=11rLJlEsMtYFsocKl3c3Zv9mS5_-IZOAL" TargetMode="External"/><Relationship Id="rId168" Type="http://schemas.openxmlformats.org/officeDocument/2006/relationships/hyperlink" Target="https://drive.google.com/drive/folders/1h-2GyZUn32YnNEmrXqJMTWg8-6FeutxW" TargetMode="External"/><Relationship Id="rId289" Type="http://schemas.openxmlformats.org/officeDocument/2006/relationships/hyperlink" Target="https://drive.google.com/drive/folders/1aQmSuNd0AK9kgaJWfMioYlMqRkdo1SWp" TargetMode="External"/><Relationship Id="rId167" Type="http://schemas.openxmlformats.org/officeDocument/2006/relationships/hyperlink" Target="https://drive.google.com/open?id=1O64q5xvZhLi-H6ds1GsYHD8Fr6676LpM" TargetMode="External"/><Relationship Id="rId288" Type="http://schemas.openxmlformats.org/officeDocument/2006/relationships/hyperlink" Target="https://drive.google.com/open?id=1R1ufg2Xj4j2g22Nmy6gBKlqzhKGdpdNv" TargetMode="External"/><Relationship Id="rId166" Type="http://schemas.openxmlformats.org/officeDocument/2006/relationships/hyperlink" Target="https://drive.google.com/drive/folders/1rJdsxXJ0EuXb7DnbkJrj6C5o1xyKfZ74" TargetMode="External"/><Relationship Id="rId287" Type="http://schemas.openxmlformats.org/officeDocument/2006/relationships/hyperlink" Target="https://drive.google.com/drive/folders/1GGOY8ZPEtV0S87EV3qJcPcvQTxEE_EPI" TargetMode="External"/><Relationship Id="rId161" Type="http://schemas.openxmlformats.org/officeDocument/2006/relationships/hyperlink" Target="https://drive.google.com/drive/folders/1G5cMaP8HG3XlYUHfr1Efdf7iSmWg5WNa" TargetMode="External"/><Relationship Id="rId282" Type="http://schemas.openxmlformats.org/officeDocument/2006/relationships/hyperlink" Target="https://drive.google.com/open?id=1nJeu3oQH3BrYGZ9xfGXbIO3wwm3z7gZh" TargetMode="External"/><Relationship Id="rId160" Type="http://schemas.openxmlformats.org/officeDocument/2006/relationships/hyperlink" Target="https://drive.google.com/open?id=18OvenLJ5OUmCTLYeGWF9t_BHoX-QChUu" TargetMode="External"/><Relationship Id="rId281" Type="http://schemas.openxmlformats.org/officeDocument/2006/relationships/hyperlink" Target="https://drive.google.com/drive/folders/1x_x-kVu3Ihf654vWUpHx9FFy7xb-Gci1" TargetMode="External"/><Relationship Id="rId280" Type="http://schemas.openxmlformats.org/officeDocument/2006/relationships/hyperlink" Target="https://drive.google.com/open?id=1-yI_ne_B-haqSamxHPCSGe7QLp4myNVC" TargetMode="External"/><Relationship Id="rId159" Type="http://schemas.openxmlformats.org/officeDocument/2006/relationships/hyperlink" Target="https://drive.google.com/open?id=1LnHlNBmi1X9TzkgkbnWATpUo6ShFizDA" TargetMode="External"/><Relationship Id="rId154" Type="http://schemas.openxmlformats.org/officeDocument/2006/relationships/hyperlink" Target="https://drive.google.com/open?id=14eUB6i4tWhM4sYDaBJfCXJ5Qy3j21KTc" TargetMode="External"/><Relationship Id="rId275" Type="http://schemas.openxmlformats.org/officeDocument/2006/relationships/hyperlink" Target="https://drive.google.com/open?id=1MgEYXZJV9jrkRSzYJfO_J31MV_eMLkqp" TargetMode="External"/><Relationship Id="rId396" Type="http://schemas.openxmlformats.org/officeDocument/2006/relationships/hyperlink" Target="https://drive.google.com/drive/u/0/folders/1uGx78doQJQEjY6VYsSjqWaTZ2InlgATT" TargetMode="External"/><Relationship Id="rId153" Type="http://schemas.openxmlformats.org/officeDocument/2006/relationships/hyperlink" Target="https://drive.google.com/drive/folders/19XWtf87BJgJAQHpDJVqEYwKlI4by-Cx1" TargetMode="External"/><Relationship Id="rId274" Type="http://schemas.openxmlformats.org/officeDocument/2006/relationships/hyperlink" Target="https://drive.google.com/drive/folders/1XDTByq6mSx9uk12sCi6hurjPrlYWSppq" TargetMode="External"/><Relationship Id="rId395" Type="http://schemas.openxmlformats.org/officeDocument/2006/relationships/hyperlink" Target="https://drive.google.com/open?id=1yZ5rCu3Cek1cz_B2jMcDSK-lqTBlhrke" TargetMode="External"/><Relationship Id="rId152" Type="http://schemas.openxmlformats.org/officeDocument/2006/relationships/hyperlink" Target="https://drive.google.com/drive/folders/1NPFtFwqbjJ0jihWqmPClLKWxgRT-uh_4" TargetMode="External"/><Relationship Id="rId273" Type="http://schemas.openxmlformats.org/officeDocument/2006/relationships/hyperlink" Target="https://drive.google.com/open?id=1tM8jWDIwiJhiU_MLWno6Xs_DSz_WgcXk" TargetMode="External"/><Relationship Id="rId394" Type="http://schemas.openxmlformats.org/officeDocument/2006/relationships/hyperlink" Target="https://drive.google.com/drive/u/0/folders/19tCxe3_oEojQXg_EQUtW0r47vRjdS3h8" TargetMode="External"/><Relationship Id="rId151" Type="http://schemas.openxmlformats.org/officeDocument/2006/relationships/hyperlink" Target="https://drive.google.com/file/d/1IMUUNFhgYgXMhi_2BGR2n7mzNp1OfdTY/view" TargetMode="External"/><Relationship Id="rId272" Type="http://schemas.openxmlformats.org/officeDocument/2006/relationships/hyperlink" Target="https://drive.google.com/drive/folders/1TMZuxfn7YWI5wJGcQ_xdp1kDMCq8x2ii" TargetMode="External"/><Relationship Id="rId393" Type="http://schemas.openxmlformats.org/officeDocument/2006/relationships/hyperlink" Target="https://drive.google.com/open?id=1-VFmXTWU2OcnL_WkLDc8dATyNS60V1Yy" TargetMode="External"/><Relationship Id="rId158" Type="http://schemas.openxmlformats.org/officeDocument/2006/relationships/hyperlink" Target="https://drive.google.com/open?id=1pMaGr6LpocvNjUEK9sfm3FfaID1KnHUS" TargetMode="External"/><Relationship Id="rId279" Type="http://schemas.openxmlformats.org/officeDocument/2006/relationships/hyperlink" Target="https://drive.google.com/drive/folders/1XMsFdptYgSNH6Xyulmylf7pdG9VRdpyR" TargetMode="External"/><Relationship Id="rId157" Type="http://schemas.openxmlformats.org/officeDocument/2006/relationships/hyperlink" Target="https://drive.google.com/drive/folders/1KJeZ3e6FcLAw3t75daP6cP7Igh1aSCAI" TargetMode="External"/><Relationship Id="rId278" Type="http://schemas.openxmlformats.org/officeDocument/2006/relationships/hyperlink" Target="https://drive.google.com/drive/folders/1x5MlKV-KOK5tOSSaCrgoD35zvzD2a41M" TargetMode="External"/><Relationship Id="rId399" Type="http://schemas.openxmlformats.org/officeDocument/2006/relationships/hyperlink" Target="https://drive.google.com/file/d/1gOZKMmkg2U0BldyzzMnYfqDEeBeJb2Li/view" TargetMode="External"/><Relationship Id="rId156" Type="http://schemas.openxmlformats.org/officeDocument/2006/relationships/hyperlink" Target="https://drive.google.com/open?id=1CF7iwgmXp4Ds1LHNvea__N8VxzrW6g0R" TargetMode="External"/><Relationship Id="rId277" Type="http://schemas.openxmlformats.org/officeDocument/2006/relationships/hyperlink" Target="https://drive.google.com/open?id=1tQTiMgmHKvDi7MAgkfUH_zplv7Nq5aaq" TargetMode="External"/><Relationship Id="rId398" Type="http://schemas.openxmlformats.org/officeDocument/2006/relationships/hyperlink" Target="https://drive.google.com/drive/u/0/folders/16Lq7KremRblAU77SHMWTiH_kLAspFbcZ" TargetMode="External"/><Relationship Id="rId155" Type="http://schemas.openxmlformats.org/officeDocument/2006/relationships/hyperlink" Target="https://drive.google.com/drive/folders/1hzaCAmg1Kb12agcywirpw_QEJA8dwtPF" TargetMode="External"/><Relationship Id="rId276" Type="http://schemas.openxmlformats.org/officeDocument/2006/relationships/hyperlink" Target="https://drive.google.com/drive/folders/1BZBQhsInUQyANy_rrUinXh-IxUdL266E" TargetMode="External"/><Relationship Id="rId397" Type="http://schemas.openxmlformats.org/officeDocument/2006/relationships/hyperlink" Target="https://drive.google.com/file/d/1X3S4qiVmy1_MUR5C4eyqd1js_k9BLak3/view" TargetMode="External"/><Relationship Id="rId40" Type="http://schemas.openxmlformats.org/officeDocument/2006/relationships/hyperlink" Target="https://drive.google.com/open?id=1QeF0j5WeUb8QlqHgdNCcmziCc_DPtknO" TargetMode="External"/><Relationship Id="rId42" Type="http://schemas.openxmlformats.org/officeDocument/2006/relationships/hyperlink" Target="https://drive.google.com/open?id=1GiLZ9os-OrLjxlMc6KBeC7GEAJOuIKW_" TargetMode="External"/><Relationship Id="rId41" Type="http://schemas.openxmlformats.org/officeDocument/2006/relationships/hyperlink" Target="https://drive.google.com/drive/folders/1bdxOeY0MQMyEDB4UoeupbEDu7Cl0VptI" TargetMode="External"/><Relationship Id="rId44" Type="http://schemas.openxmlformats.org/officeDocument/2006/relationships/hyperlink" Target="https://drive.google.com/open?id=1h3e4blwzHDDZlRWyXEE4XhZSKUcoPeHD" TargetMode="External"/><Relationship Id="rId43" Type="http://schemas.openxmlformats.org/officeDocument/2006/relationships/hyperlink" Target="https://drive.google.com/drive/folders/1840la6RuMEJ_DN9htvDWRzUEts4bcJsV" TargetMode="External"/><Relationship Id="rId46" Type="http://schemas.openxmlformats.org/officeDocument/2006/relationships/hyperlink" Target="https://drive.google.com/open?id=1dFW5nQ51VLOKFSfKZpz83V9KZrFhZMqj" TargetMode="External"/><Relationship Id="rId45" Type="http://schemas.openxmlformats.org/officeDocument/2006/relationships/hyperlink" Target="https://drive.google.com/drive/folders/1izARwTcODsR65GBSPO6cwWc-2ZFh4WHr" TargetMode="External"/><Relationship Id="rId509" Type="http://schemas.openxmlformats.org/officeDocument/2006/relationships/hyperlink" Target="https://drive.google.com/open?id=1hZ0B20p5OZU0hweUYLkp-fVV5l-hPikz" TargetMode="External"/><Relationship Id="rId508" Type="http://schemas.openxmlformats.org/officeDocument/2006/relationships/hyperlink" Target="https://drive.google.com/drive/folders/1u7XVmy2HlVh2BtFIqf9C1lEBY_sb5x--" TargetMode="External"/><Relationship Id="rId503" Type="http://schemas.openxmlformats.org/officeDocument/2006/relationships/hyperlink" Target="https://drive.google.com/open?id=1CRgjkGu2gvd4_E7piq8MLBJgk2HvINOK" TargetMode="External"/><Relationship Id="rId502" Type="http://schemas.openxmlformats.org/officeDocument/2006/relationships/hyperlink" Target="https://drive.google.com/open?id=1CRgjkGu2gvd4_E7piq8MLBJgk2HvINOK" TargetMode="External"/><Relationship Id="rId501" Type="http://schemas.openxmlformats.org/officeDocument/2006/relationships/hyperlink" Target="https://drive.google.com/drive/folders/10ihU_nTm1vU8dd89A8EHLr2rhu_ZTU6D" TargetMode="External"/><Relationship Id="rId500" Type="http://schemas.openxmlformats.org/officeDocument/2006/relationships/hyperlink" Target="https://drive.google.com/open?id=19UnL3OIA1ddmg0urpQbKEJjKBKiRWRnt" TargetMode="External"/><Relationship Id="rId507" Type="http://schemas.openxmlformats.org/officeDocument/2006/relationships/hyperlink" Target="https://drive.google.com/open?id=1645kPdFo3Fzz31y7PKceZfCSafvYOqZc" TargetMode="External"/><Relationship Id="rId506" Type="http://schemas.openxmlformats.org/officeDocument/2006/relationships/hyperlink" Target="https://drive.google.com/drive/folders/1XsSTB2rBOOUgMfpCuJddf7f89lpvs2Xd" TargetMode="External"/><Relationship Id="rId505" Type="http://schemas.openxmlformats.org/officeDocument/2006/relationships/hyperlink" Target="https://drive.google.com/open?id=100YLh-o1PV0PvEA5Qu0ZwYxOW9hxRB6y" TargetMode="External"/><Relationship Id="rId504" Type="http://schemas.openxmlformats.org/officeDocument/2006/relationships/hyperlink" Target="https://drive.google.com/drive/folders/1k43WD7UiyZceJhy8a9TLr0jZDF99bJot" TargetMode="External"/><Relationship Id="rId48" Type="http://schemas.openxmlformats.org/officeDocument/2006/relationships/hyperlink" Target="https://drive.google.com/file/d/1u0ZTHzl6SDwSAnMMeGAa0WLdLxodr5jI/view" TargetMode="External"/><Relationship Id="rId47" Type="http://schemas.openxmlformats.org/officeDocument/2006/relationships/hyperlink" Target="https://drive.google.com/drive/folders/1D7f1rmt68F5qxypDFFkEXAtUvuMmOOUw" TargetMode="External"/><Relationship Id="rId49" Type="http://schemas.openxmlformats.org/officeDocument/2006/relationships/hyperlink" Target="https://drive.google.com/drive/folders/1GEBBPxPzwodnTFkCYTM0k6yshdeZFoxC" TargetMode="External"/><Relationship Id="rId31" Type="http://schemas.openxmlformats.org/officeDocument/2006/relationships/hyperlink" Target="https://drive.google.com/drive/folders/1xYZq-d4TF6LzoJw0r-3ycpoxSmi7AQ5r" TargetMode="External"/><Relationship Id="rId30" Type="http://schemas.openxmlformats.org/officeDocument/2006/relationships/hyperlink" Target="https://drive.google.com/open?id=1oNq_xJdK8fYp9zhB6SjDHMJdVb0tPJXk" TargetMode="External"/><Relationship Id="rId33" Type="http://schemas.openxmlformats.org/officeDocument/2006/relationships/hyperlink" Target="https://drive.google.com/drive/folders/1jiGi5DPOjQ7NqthhOrwWhjKW3QCm6jCN" TargetMode="External"/><Relationship Id="rId32" Type="http://schemas.openxmlformats.org/officeDocument/2006/relationships/hyperlink" Target="https://drive.google.com/open?id=1UoI_z5M2mOVU3dwQB5Ghoi3o2GpaHmGu" TargetMode="External"/><Relationship Id="rId35" Type="http://schemas.openxmlformats.org/officeDocument/2006/relationships/hyperlink" Target="https://drive.google.com/drive/folders/1zR8iBc_Q7gZ5ndcuGrsXMmVuh2-Xx3SO" TargetMode="External"/><Relationship Id="rId34" Type="http://schemas.openxmlformats.org/officeDocument/2006/relationships/hyperlink" Target="https://drive.google.com/open?id=1lq_QZCxJPt2NGCgQs6jp01zKiyDrVFNa" TargetMode="External"/><Relationship Id="rId37" Type="http://schemas.openxmlformats.org/officeDocument/2006/relationships/hyperlink" Target="https://drive.google.com/drive/folders/1nJzaG9zj2B_ok6TMIjwfeem4pCyGBcTd" TargetMode="External"/><Relationship Id="rId36" Type="http://schemas.openxmlformats.org/officeDocument/2006/relationships/hyperlink" Target="https://drive.google.com/open?id=1wPrA7J4F8KGEf0D64iPNI6nKaG9arRHH" TargetMode="External"/><Relationship Id="rId39" Type="http://schemas.openxmlformats.org/officeDocument/2006/relationships/hyperlink" Target="https://drive.google.com/drive/folders/1vf97UoZxQp_dBBc3iz-WwjPALD-JF2GA" TargetMode="External"/><Relationship Id="rId38" Type="http://schemas.openxmlformats.org/officeDocument/2006/relationships/hyperlink" Target="https://drive.google.com/open?id=1H5JYCe33ew2zbsfp8-L6yQwdme0N6ajd" TargetMode="External"/><Relationship Id="rId20" Type="http://schemas.openxmlformats.org/officeDocument/2006/relationships/hyperlink" Target="https://drive.google.com/drive/folders/1rJdsxXJ0EuXb7DnbkJrj6C5o1xyKfZ74" TargetMode="External"/><Relationship Id="rId22" Type="http://schemas.openxmlformats.org/officeDocument/2006/relationships/hyperlink" Target="https://drive.google.com/open?id=1UUANG5pALYISoY_tj1d89rTSOOTs6qwq" TargetMode="External"/><Relationship Id="rId21" Type="http://schemas.openxmlformats.org/officeDocument/2006/relationships/hyperlink" Target="https://drive.google.com/drive/folders/1VLXmw6nyPGMkVgVoSbefrsXMjiIQaGr2" TargetMode="External"/><Relationship Id="rId24" Type="http://schemas.openxmlformats.org/officeDocument/2006/relationships/hyperlink" Target="https://drive.google.com/open?id=1Irm1QfzuJNX4Q65Ly8vaQ9g_dvxT2GZy" TargetMode="External"/><Relationship Id="rId23" Type="http://schemas.openxmlformats.org/officeDocument/2006/relationships/hyperlink" Target="https://drive.google.com/drive/folders/1tctYGsfOcff2KmoQ9nWw4pJx3pmsLIiu" TargetMode="External"/><Relationship Id="rId409" Type="http://schemas.openxmlformats.org/officeDocument/2006/relationships/hyperlink" Target="https://drive.google.com/open?id=1SdJYdFHaE66Vt_6AXXbjSYf_wriQcY0v" TargetMode="External"/><Relationship Id="rId404" Type="http://schemas.openxmlformats.org/officeDocument/2006/relationships/hyperlink" Target="https://drive.google.com/drive/u/0/folders/1ZG6KzRFinSwNifh25WRbwspu69sss3bJ" TargetMode="External"/><Relationship Id="rId525" Type="http://schemas.openxmlformats.org/officeDocument/2006/relationships/hyperlink" Target="https://drive.google.com/drive/folders/1FpkRI9UezWNSWQo_g0oxEXKHXx5AMH_T" TargetMode="External"/><Relationship Id="rId403" Type="http://schemas.openxmlformats.org/officeDocument/2006/relationships/hyperlink" Target="https://drive.google.com/open?id=1kAgkdBSLYJth8f6JX8IdbTqpcZ-SQKOg" TargetMode="External"/><Relationship Id="rId524" Type="http://schemas.openxmlformats.org/officeDocument/2006/relationships/hyperlink" Target="https://drive.google.com/open?id=164PKbDcrUomZztwkWR6-g5q6d2UAwT6L" TargetMode="External"/><Relationship Id="rId402" Type="http://schemas.openxmlformats.org/officeDocument/2006/relationships/hyperlink" Target="https://drive.google.com/drive/u/0/folders/1ZYDSl_4yiiSkaaUG8JVkJx0xons--ucq" TargetMode="External"/><Relationship Id="rId523" Type="http://schemas.openxmlformats.org/officeDocument/2006/relationships/hyperlink" Target="https://drive.google.com/drive/folders/1XyRorIqfSB74cOV6t4NRipx6CMPUnifS" TargetMode="External"/><Relationship Id="rId401" Type="http://schemas.openxmlformats.org/officeDocument/2006/relationships/hyperlink" Target="https://drive.google.com/open?id=1vKUjhZ__mvHU5QdITyxKkiR26PqIsH37" TargetMode="External"/><Relationship Id="rId522" Type="http://schemas.openxmlformats.org/officeDocument/2006/relationships/hyperlink" Target="https://drive.google.com/file/d/1fXavqh9GtZyG3BJqM4IfAnGHy7R8IM3X/view" TargetMode="External"/><Relationship Id="rId408" Type="http://schemas.openxmlformats.org/officeDocument/2006/relationships/hyperlink" Target="https://drive.google.com/drive/u/3/folders/0APQYI2bgcQveUk9PVA" TargetMode="External"/><Relationship Id="rId529" Type="http://schemas.openxmlformats.org/officeDocument/2006/relationships/hyperlink" Target="https://drive.google.com/drive/folders/1EPt6aX1_McbwpFjgdMlaQKbNqUsvuR-C" TargetMode="External"/><Relationship Id="rId407" Type="http://schemas.openxmlformats.org/officeDocument/2006/relationships/hyperlink" Target="https://drive.google.com/open?id=1PCY9eRl-2PnDPhHqZPFDZtVY4EiP5rp6" TargetMode="External"/><Relationship Id="rId528" Type="http://schemas.openxmlformats.org/officeDocument/2006/relationships/hyperlink" Target="https://drive.google.com/open?id=154odg3gCZSO2tGmGXoCt18R5cwLZmtP-" TargetMode="External"/><Relationship Id="rId406" Type="http://schemas.openxmlformats.org/officeDocument/2006/relationships/hyperlink" Target="https://drive.google.com/drive/u/0/folders/1GevhjU7M5DzWaatEaMUPlcPf_OZkksW3" TargetMode="External"/><Relationship Id="rId527" Type="http://schemas.openxmlformats.org/officeDocument/2006/relationships/hyperlink" Target="https://drive.google.com/drive/folders/1P5FTARyi548foqTMC_neRe-EISJgWN6x" TargetMode="External"/><Relationship Id="rId405" Type="http://schemas.openxmlformats.org/officeDocument/2006/relationships/hyperlink" Target="https://drive.google.com/open?id=1_swBBp_dUIImlKZNplhEnE7jQL9sGH_w" TargetMode="External"/><Relationship Id="rId526" Type="http://schemas.openxmlformats.org/officeDocument/2006/relationships/hyperlink" Target="https://drive.google.com/open?id=1bDX99wtkYrk1ZI32gQT9UxDwE9xG9Jlk" TargetMode="External"/><Relationship Id="rId26" Type="http://schemas.openxmlformats.org/officeDocument/2006/relationships/hyperlink" Target="https://drive.google.com/drive/folders/1hCMRvw9XyYDzSzQb4W8w1-_WFF13gqeY" TargetMode="External"/><Relationship Id="rId25" Type="http://schemas.openxmlformats.org/officeDocument/2006/relationships/hyperlink" Target="https://drive.google.com/drive/folders/19zPdJf-KuC2dzhycjIzn1deyJTgBO_Yh" TargetMode="External"/><Relationship Id="rId28" Type="http://schemas.openxmlformats.org/officeDocument/2006/relationships/hyperlink" Target="https://drive.google.com/drive/folders/1Gba7xTorZfxAsZq9IXzvfqQLWVy_Wh1_" TargetMode="External"/><Relationship Id="rId27" Type="http://schemas.openxmlformats.org/officeDocument/2006/relationships/hyperlink" Target="https://drive.google.com/open?id=1toFAcXgZ9hVWTv4lIXrrMmKpQ1Sv-F7r" TargetMode="External"/><Relationship Id="rId400" Type="http://schemas.openxmlformats.org/officeDocument/2006/relationships/hyperlink" Target="https://drive.google.com/drive/u/0/folders/1dNicnbBrrwOhLanaxpEkGdEYv6w0UmZI" TargetMode="External"/><Relationship Id="rId521" Type="http://schemas.openxmlformats.org/officeDocument/2006/relationships/hyperlink" Target="https://drive.google.com/drive/folders/1g-n_3rr4qs7WE7sVvkKWLPd1bVdvgaDM" TargetMode="External"/><Relationship Id="rId29" Type="http://schemas.openxmlformats.org/officeDocument/2006/relationships/hyperlink" Target="https://drive.google.com/drive/folders/1pRVPGoP4G9_mL-yRVuczKs23GPw-QfT8" TargetMode="External"/><Relationship Id="rId520" Type="http://schemas.openxmlformats.org/officeDocument/2006/relationships/hyperlink" Target="http://capscovil.com/" TargetMode="External"/><Relationship Id="rId11" Type="http://schemas.openxmlformats.org/officeDocument/2006/relationships/hyperlink" Target="https://drive.google.com/open?id=1U5HEATjTQYV6jMWsuLZyxWP5bTKa1QlN" TargetMode="External"/><Relationship Id="rId10" Type="http://schemas.openxmlformats.org/officeDocument/2006/relationships/hyperlink" Target="https://drive.google.com/drive/folders/10lSFtGfU_wqJOgTnLdOfGqP6YdR0U9S_" TargetMode="External"/><Relationship Id="rId13" Type="http://schemas.openxmlformats.org/officeDocument/2006/relationships/hyperlink" Target="https://drive.google.com/open?id=1ojkIasKIQy1a5aMMRpqpcD4QGXarGbEq" TargetMode="External"/><Relationship Id="rId12" Type="http://schemas.openxmlformats.org/officeDocument/2006/relationships/hyperlink" Target="https://drive.google.com/drive/folders/1RpMz22EJVhb1QWqG-jX3BafiT9K-Iemv" TargetMode="External"/><Relationship Id="rId519" Type="http://schemas.openxmlformats.org/officeDocument/2006/relationships/hyperlink" Target="https://drive.google.com/drive/folders/1ABic8Df7oHp2FkyZxnvd1WWBN2-ZGSx-" TargetMode="External"/><Relationship Id="rId514" Type="http://schemas.openxmlformats.org/officeDocument/2006/relationships/hyperlink" Target="https://drive.google.com/open?id=1j8HM91d_xtyw2F-4dK350qZ7Oc3AMLh2" TargetMode="External"/><Relationship Id="rId513" Type="http://schemas.openxmlformats.org/officeDocument/2006/relationships/hyperlink" Target="https://drive.google.com/open?id=1JX6lUEvXOkovp_ykf4BUwz9EgkqG5z4G" TargetMode="External"/><Relationship Id="rId512" Type="http://schemas.openxmlformats.org/officeDocument/2006/relationships/hyperlink" Target="https://drive.google.com/drive/u/0/folders/1xbRV6fTfka_qCDDfGQVovKj1qBqMKhdY" TargetMode="External"/><Relationship Id="rId511" Type="http://schemas.openxmlformats.org/officeDocument/2006/relationships/hyperlink" Target="https://drive.google.com/open?id=1MWSVHcaJbP135CbMOce1-SPfCr4F_aEn" TargetMode="External"/><Relationship Id="rId518" Type="http://schemas.openxmlformats.org/officeDocument/2006/relationships/hyperlink" Target="https://drive.google.com/open?id=1iL0n4NiJ5xTA8Res_r_vvm7YMuCNA3_k" TargetMode="External"/><Relationship Id="rId517" Type="http://schemas.openxmlformats.org/officeDocument/2006/relationships/hyperlink" Target="https://drive.google.com/open?id=13IThSbPB_u8B_smtt8GqtYOH8LNH-IRb" TargetMode="External"/><Relationship Id="rId516" Type="http://schemas.openxmlformats.org/officeDocument/2006/relationships/hyperlink" Target="https://drive.google.com/drive/u/0/folders/1JeX0vqkcb9fMu1QCZqU2g2PLOQWetvkr" TargetMode="External"/><Relationship Id="rId515" Type="http://schemas.openxmlformats.org/officeDocument/2006/relationships/hyperlink" Target="https://drive.google.com/open?id=1DfeayLQO550ImV74ofYACejEHJgF9wxB" TargetMode="External"/><Relationship Id="rId15" Type="http://schemas.openxmlformats.org/officeDocument/2006/relationships/hyperlink" Target="https://drive.google.com/open?id=1EGlvy6F5JvdzipGYBGt7PAgkVqm18llI" TargetMode="External"/><Relationship Id="rId14" Type="http://schemas.openxmlformats.org/officeDocument/2006/relationships/hyperlink" Target="https://drive.google.com/drive/folders/1jdpu82KO4p7wLL4juSqHlAiO2EvaDcup" TargetMode="External"/><Relationship Id="rId17" Type="http://schemas.openxmlformats.org/officeDocument/2006/relationships/hyperlink" Target="https://drive.google.com/open?id=1rWQHYA3f9xREwjr0bE0ekXjtv_Yc5ecd" TargetMode="External"/><Relationship Id="rId16" Type="http://schemas.openxmlformats.org/officeDocument/2006/relationships/hyperlink" Target="https://drive.google.com/drive/folders/12FuSibBT8CW-hkW5exaaOTrBLftRt5k2" TargetMode="External"/><Relationship Id="rId19" Type="http://schemas.openxmlformats.org/officeDocument/2006/relationships/hyperlink" Target="https://drive.google.com/open?id=1RnUJ8RW9MyW7x-CYAsFYwDAqe0X8KReF" TargetMode="External"/><Relationship Id="rId510" Type="http://schemas.openxmlformats.org/officeDocument/2006/relationships/hyperlink" Target="https://drive.google.com/drive/u/0/folders/1uW1AsP--W2bY2Sh014mW4OXD25LW31mY" TargetMode="External"/><Relationship Id="rId18" Type="http://schemas.openxmlformats.org/officeDocument/2006/relationships/hyperlink" Target="https://drive.google.com/drive/folders/1vUpZRl_cS7HO1gabF9uSL_v_CJf5cqKG" TargetMode="External"/><Relationship Id="rId84" Type="http://schemas.openxmlformats.org/officeDocument/2006/relationships/hyperlink" Target="https://drive.google.com/open?id=1TtmN7D3kr5y79eX4hrWVR3i4FMSj27CJ" TargetMode="External"/><Relationship Id="rId83" Type="http://schemas.openxmlformats.org/officeDocument/2006/relationships/hyperlink" Target="https://drive.google.com/drive/folders/13xKMykNyi-0pClROpz_d_iYixDhhaM9D" TargetMode="External"/><Relationship Id="rId86" Type="http://schemas.openxmlformats.org/officeDocument/2006/relationships/hyperlink" Target="https://drive.google.com/open?id=1TbOHQVlw4OP-qmd7aoHqD_ilB9LJIZTK" TargetMode="External"/><Relationship Id="rId85" Type="http://schemas.openxmlformats.org/officeDocument/2006/relationships/hyperlink" Target="https://drive.google.com/drive/folders/1eUL6SYq5fi_pAFtnx3vXrEbq6ipTt73E" TargetMode="External"/><Relationship Id="rId88" Type="http://schemas.openxmlformats.org/officeDocument/2006/relationships/hyperlink" Target="https://drive.google.com/open?id=1775YIjq9A4OqWRtcXPB8v1Ln7E5CFJ7G" TargetMode="External"/><Relationship Id="rId87" Type="http://schemas.openxmlformats.org/officeDocument/2006/relationships/hyperlink" Target="https://drive.google.com/drive/folders/1S23SSsNEkRtidcIWW-W2DYgW-yYWqErM" TargetMode="External"/><Relationship Id="rId89" Type="http://schemas.openxmlformats.org/officeDocument/2006/relationships/hyperlink" Target="https://drive.google.com/drive/folders/1PLMhaTY0t4rsgTkReO5F_FgiWnH_kiAL" TargetMode="External"/><Relationship Id="rId80" Type="http://schemas.openxmlformats.org/officeDocument/2006/relationships/hyperlink" Target="https://drive.google.com/open?id=1pBBHxhT8pHZAHiArE7oZKWvlHtYGD7AW" TargetMode="External"/><Relationship Id="rId82" Type="http://schemas.openxmlformats.org/officeDocument/2006/relationships/hyperlink" Target="https://drive.google.com/open?id=1u112a162eDt22jnDyXxH6Uj1QdviD76f" TargetMode="External"/><Relationship Id="rId81" Type="http://schemas.openxmlformats.org/officeDocument/2006/relationships/hyperlink" Target="https://drive.google.com/drive/folders/1S-esJ8uDgxV015C2rYpEb5ljvc2ej5Zz" TargetMode="External"/><Relationship Id="rId73" Type="http://schemas.openxmlformats.org/officeDocument/2006/relationships/hyperlink" Target="https://drive.google.com/drive/folders/1sCYZYkq1oc6Db41BuQtSWx_yTxvuVhWU" TargetMode="External"/><Relationship Id="rId72" Type="http://schemas.openxmlformats.org/officeDocument/2006/relationships/hyperlink" Target="https://drive.google.com/open?id=13JBhP0Mhvb-C8MFkIaFy-JBek16lnAl0" TargetMode="External"/><Relationship Id="rId75" Type="http://schemas.openxmlformats.org/officeDocument/2006/relationships/hyperlink" Target="https://drive.google.com/drive/folders/1ws2K4nqShPkCa1bEzsJojpwbe8tHR9S5" TargetMode="External"/><Relationship Id="rId74" Type="http://schemas.openxmlformats.org/officeDocument/2006/relationships/hyperlink" Target="https://drive.google.com/open?id=1ovwcHmnGhVPqdc9jQpPbG-poBpmJLJ_l" TargetMode="External"/><Relationship Id="rId77" Type="http://schemas.openxmlformats.org/officeDocument/2006/relationships/hyperlink" Target="https://drive.google.com/drive/folders/1cryKeXDnrGUz4V6VinunUZFGAbWohM4O" TargetMode="External"/><Relationship Id="rId76" Type="http://schemas.openxmlformats.org/officeDocument/2006/relationships/hyperlink" Target="https://drive.google.com/open?id=1lI4zFJUSIUDlxBVidSJgGFgJqShUyawk" TargetMode="External"/><Relationship Id="rId79" Type="http://schemas.openxmlformats.org/officeDocument/2006/relationships/hyperlink" Target="https://drive.google.com/drive/folders/1_Fn8SJxDiNnJyknagUbNpGs35s-ZZUua" TargetMode="External"/><Relationship Id="rId78" Type="http://schemas.openxmlformats.org/officeDocument/2006/relationships/hyperlink" Target="https://drive.google.com/open?id=1e7fOYgwlT0X_ZGIHvLbS9GdzpZLEpL3X" TargetMode="External"/><Relationship Id="rId71" Type="http://schemas.openxmlformats.org/officeDocument/2006/relationships/hyperlink" Target="https://drive.google.com/drive/folders/1XfyYcteCLOCDYTctiBg3KOVNiM-mNTDT" TargetMode="External"/><Relationship Id="rId70" Type="http://schemas.openxmlformats.org/officeDocument/2006/relationships/hyperlink" Target="https://drive.google.com/drive/folders/1zYvUHikZ8dQb1o_iO9SWBvw6-3RVwzBz" TargetMode="External"/><Relationship Id="rId62" Type="http://schemas.openxmlformats.org/officeDocument/2006/relationships/hyperlink" Target="https://drive.google.com/drive/folders/1A2yyiqAnKw0B5VoGJ3vh-V8NF3ZFUuRj" TargetMode="External"/><Relationship Id="rId61" Type="http://schemas.openxmlformats.org/officeDocument/2006/relationships/hyperlink" Target="https://drive.google.com/open?id=1FOvEJM5wqUvn3izWxLwe3ghXEKOtCV08" TargetMode="External"/><Relationship Id="rId64" Type="http://schemas.openxmlformats.org/officeDocument/2006/relationships/hyperlink" Target="https://drive.google.com/drive/folders/1zk8f-65Et3x2832zH9WE91rK-Ms1EFBY" TargetMode="External"/><Relationship Id="rId63" Type="http://schemas.openxmlformats.org/officeDocument/2006/relationships/hyperlink" Target="https://drive.google.com/open?id=1DOqpLwL9mcVAu2CQABrE49CrklgGOp64" TargetMode="External"/><Relationship Id="rId66" Type="http://schemas.openxmlformats.org/officeDocument/2006/relationships/hyperlink" Target="https://drive.google.com/drive/folders/12c5_ndEKICu6R16p41NI2znvB9xm6A6K" TargetMode="External"/><Relationship Id="rId65" Type="http://schemas.openxmlformats.org/officeDocument/2006/relationships/hyperlink" Target="https://drive.google.com/open?id=19J7sDMmPtnXyD0lAJoivH2iKKDBjlf7F" TargetMode="External"/><Relationship Id="rId68" Type="http://schemas.openxmlformats.org/officeDocument/2006/relationships/hyperlink" Target="https://drive.google.com/drive/folders/1bI0osWic68D9m5LhrNKYzWuoAM_Eq5Lb" TargetMode="External"/><Relationship Id="rId67" Type="http://schemas.openxmlformats.org/officeDocument/2006/relationships/hyperlink" Target="https://drive.google.com/open?id=1U8lbGeh5biOsUz4i6Z3TGbYY13SLTlK5" TargetMode="External"/><Relationship Id="rId60" Type="http://schemas.openxmlformats.org/officeDocument/2006/relationships/hyperlink" Target="https://drive.google.com/drive/folders/1FJFSnaWJYbTZqoKzQFJAyejXRi1aD9DJ" TargetMode="External"/><Relationship Id="rId69" Type="http://schemas.openxmlformats.org/officeDocument/2006/relationships/hyperlink" Target="https://drive.google.com/open?id=1d6bg5xsZKKyon_tK6uvWY_tpa6ZrOp1H" TargetMode="External"/><Relationship Id="rId51" Type="http://schemas.openxmlformats.org/officeDocument/2006/relationships/hyperlink" Target="https://drive.google.com/drive/folders/1SV9wTtnf20gS0K13wInef3bKi3MyTHXn" TargetMode="External"/><Relationship Id="rId50" Type="http://schemas.openxmlformats.org/officeDocument/2006/relationships/hyperlink" Target="https://drive.google.com/open?id=1zmHoy2LzcOwV7ZZLjL-99KVE9S5kwgFz" TargetMode="External"/><Relationship Id="rId53" Type="http://schemas.openxmlformats.org/officeDocument/2006/relationships/hyperlink" Target="https://drive.google.com/drive/folders/1UsuAUek2x4HDJiVi5-oO52rX3GyGG5oD" TargetMode="External"/><Relationship Id="rId52" Type="http://schemas.openxmlformats.org/officeDocument/2006/relationships/hyperlink" Target="https://drive.google.com/open?id=1OlRZfg0LWQSU4Jl8spxX7QCjiIQa4KId" TargetMode="External"/><Relationship Id="rId55" Type="http://schemas.openxmlformats.org/officeDocument/2006/relationships/hyperlink" Target="https://drive.google.com/drive/folders/1lOgjXiCahXVZYynpmWc8KcIfEXCPwBks" TargetMode="External"/><Relationship Id="rId54" Type="http://schemas.openxmlformats.org/officeDocument/2006/relationships/hyperlink" Target="https://drive.google.com/open?id=1rWK1GfhWsNGTnxj9eHeJvHqFw1xev5Kp" TargetMode="External"/><Relationship Id="rId57" Type="http://schemas.openxmlformats.org/officeDocument/2006/relationships/hyperlink" Target="https://drive.google.com/drive/folders/11Kp3GXQA_QgHKXrwDa2q7dFzm-Q1Kx7x" TargetMode="External"/><Relationship Id="rId56" Type="http://schemas.openxmlformats.org/officeDocument/2006/relationships/hyperlink" Target="https://drive.google.com/open?id=1wI3KXw_hvVD72sshewojjnhuz2k1Lcqj" TargetMode="External"/><Relationship Id="rId59" Type="http://schemas.openxmlformats.org/officeDocument/2006/relationships/hyperlink" Target="https://drive.google.com/open?id=1fyhmCfvzXhZos5zMqfS4I31R1mXZhES-" TargetMode="External"/><Relationship Id="rId58" Type="http://schemas.openxmlformats.org/officeDocument/2006/relationships/hyperlink" Target="https://drive.google.com/open?id=1y2kdGbcz8xo8j3al9hbN5oP3RLHU6OtE" TargetMode="External"/><Relationship Id="rId590" Type="http://schemas.openxmlformats.org/officeDocument/2006/relationships/hyperlink" Target="https://drive.google.com/file/d/1iuF48m3Mvjd3nGdAEU3eoTd6Vlf57ZD0/view" TargetMode="External"/><Relationship Id="rId107" Type="http://schemas.openxmlformats.org/officeDocument/2006/relationships/hyperlink" Target="https://drive.google.com/drive/folders/1O1GXP9s-bQUxOT16YzKQBuxwv115twtc" TargetMode="External"/><Relationship Id="rId228" Type="http://schemas.openxmlformats.org/officeDocument/2006/relationships/hyperlink" Target="https://drive.google.com/drive/folders/19QIrwqQvEru45qhy7Zjdx5Gf8Tz32HCR" TargetMode="External"/><Relationship Id="rId349" Type="http://schemas.openxmlformats.org/officeDocument/2006/relationships/hyperlink" Target="https://drive.google.com/open?id=1bsd24UkH9Qjyg5v9W_AkleI1B5AfJyC5" TargetMode="External"/><Relationship Id="rId106" Type="http://schemas.openxmlformats.org/officeDocument/2006/relationships/hyperlink" Target="https://drive.google.com/open?id=1Q2gHsd1disvawzWD2JKgY-HgUitM2QRE" TargetMode="External"/><Relationship Id="rId227" Type="http://schemas.openxmlformats.org/officeDocument/2006/relationships/hyperlink" Target="https://drive.google.com/open?id=1DQhQVEX-uN70vg0M7M3jFak1YFYA3WhK" TargetMode="External"/><Relationship Id="rId348" Type="http://schemas.openxmlformats.org/officeDocument/2006/relationships/hyperlink" Target="https://drive.google.com/drive/folders/12GQUtEWRLu9vieEp-yYlq8fxi-2enGjY" TargetMode="External"/><Relationship Id="rId469" Type="http://schemas.openxmlformats.org/officeDocument/2006/relationships/hyperlink" Target="https://drive.google.com/open?id=1INRDbIVHzGy0bZoGVSgoZkYfczhAmdGt" TargetMode="External"/><Relationship Id="rId105" Type="http://schemas.openxmlformats.org/officeDocument/2006/relationships/hyperlink" Target="https://drive.google.com/drive/folders/1tXvWBfsJ9Sd2XhhGodvEmKtMeJUb3Mm6" TargetMode="External"/><Relationship Id="rId226" Type="http://schemas.openxmlformats.org/officeDocument/2006/relationships/hyperlink" Target="https://drive.google.com/drive/folders/1HxQflYQmkDxwzYyWzvwz7SwLgCQnHret" TargetMode="External"/><Relationship Id="rId347" Type="http://schemas.openxmlformats.org/officeDocument/2006/relationships/hyperlink" Target="https://drive.google.com/open?id=1SGE4OMt_ase15iyP2lk8L0__j4RkDW-P" TargetMode="External"/><Relationship Id="rId468" Type="http://schemas.openxmlformats.org/officeDocument/2006/relationships/hyperlink" Target="https://drive.google.com/drive/folders/15s-LbOntXoML4i_In4RgAQTiAtL82fyA" TargetMode="External"/><Relationship Id="rId589" Type="http://schemas.openxmlformats.org/officeDocument/2006/relationships/hyperlink" Target="https://drive.google.com/open?id=1s5Jseg2d3827NXK0cPIpI883CSYfKlwa" TargetMode="External"/><Relationship Id="rId104" Type="http://schemas.openxmlformats.org/officeDocument/2006/relationships/hyperlink" Target="https://drive.google.com/open?id=1EILx4l0OPJPUmbBRTPuszMxJMbb5c5gV" TargetMode="External"/><Relationship Id="rId225" Type="http://schemas.openxmlformats.org/officeDocument/2006/relationships/hyperlink" Target="https://drive.google.com/open?id=1mLskk8inLA5BpRSd1LPm5YOgqVvUHvwE" TargetMode="External"/><Relationship Id="rId346" Type="http://schemas.openxmlformats.org/officeDocument/2006/relationships/hyperlink" Target="https://drive.google.com/drive/u/0/folders/19Ea31UxT2bPLaXMt9lqM-CeH48JX1jFo" TargetMode="External"/><Relationship Id="rId467" Type="http://schemas.openxmlformats.org/officeDocument/2006/relationships/hyperlink" Target="https://drive.google.com/open?id=1sKH4sxhOAfo7c7Zdz1NEQgrgBKbACEnu" TargetMode="External"/><Relationship Id="rId588" Type="http://schemas.openxmlformats.org/officeDocument/2006/relationships/hyperlink" Target="https://drive.google.com/drive/folders/1NW4MoQtFR2q4nqSDkgtm82gYNDzXrN0M" TargetMode="External"/><Relationship Id="rId109" Type="http://schemas.openxmlformats.org/officeDocument/2006/relationships/hyperlink" Target="https://drive.google.com/drive/folders/19sDJNX5Huus2mj8Rd8FGJxXs8sDMDcb8" TargetMode="External"/><Relationship Id="rId108" Type="http://schemas.openxmlformats.org/officeDocument/2006/relationships/hyperlink" Target="https://drive.google.com/open?id=1R1KTkd5RtcD9wBuy8LnQwORGGVPT6muH" TargetMode="External"/><Relationship Id="rId229" Type="http://schemas.openxmlformats.org/officeDocument/2006/relationships/hyperlink" Target="https://drive.google.com/open?id=1-dVmv1F8oEMtXfF7rzRGeZrwQDl9_dfw" TargetMode="External"/><Relationship Id="rId220" Type="http://schemas.openxmlformats.org/officeDocument/2006/relationships/hyperlink" Target="https://drive.google.com/drive/folders/1zk8f-65Et3x2832zH9WE91rK-Ms1EFBY" TargetMode="External"/><Relationship Id="rId341" Type="http://schemas.openxmlformats.org/officeDocument/2006/relationships/hyperlink" Target="https://drive.google.com/open?id=1UX7wBHASAMYgNfJKHvueUFG9KK5clioR" TargetMode="External"/><Relationship Id="rId462" Type="http://schemas.openxmlformats.org/officeDocument/2006/relationships/hyperlink" Target="https://drive.google.com/drive/u/0/folders/1SCXM4mY60kFXHD2jwZwlZE_b6InCLf-m" TargetMode="External"/><Relationship Id="rId583" Type="http://schemas.openxmlformats.org/officeDocument/2006/relationships/hyperlink" Target="https://drive.google.com/open?id=1SVT6Imqmb1LASYYzOTGcLjp5jko_nOry" TargetMode="External"/><Relationship Id="rId340" Type="http://schemas.openxmlformats.org/officeDocument/2006/relationships/hyperlink" Target="https://drive.google.com/drive/folders/15TfbQlDkDAdiZM5T8UXVKiIWNCCpCmuJ" TargetMode="External"/><Relationship Id="rId461" Type="http://schemas.openxmlformats.org/officeDocument/2006/relationships/hyperlink" Target="https://drive.google.com/open?id=1IPonFubpzBZm7fX5AIu5q9UEzBISCAu0" TargetMode="External"/><Relationship Id="rId582" Type="http://schemas.openxmlformats.org/officeDocument/2006/relationships/hyperlink" Target="https://drive.google.com/drive/folders/1ik-_9-vQN-YoXTA19KNqXjzK70AyMJ8V" TargetMode="External"/><Relationship Id="rId460" Type="http://schemas.openxmlformats.org/officeDocument/2006/relationships/hyperlink" Target="https://drive.google.com/drive/folders/1l847Hm7rsJwcebEvPRjTrWv3JYrWiAcY" TargetMode="External"/><Relationship Id="rId581" Type="http://schemas.openxmlformats.org/officeDocument/2006/relationships/hyperlink" Target="https://drive.google.com/open?id=1_PUFFHGC0gtY9AOOHBWDY-yPL8XRPeq-" TargetMode="External"/><Relationship Id="rId580" Type="http://schemas.openxmlformats.org/officeDocument/2006/relationships/hyperlink" Target="https://drive.google.com/drive/folders/1gdooiPpuXRquyOW2WMKSJSCdJoiIqcVW" TargetMode="External"/><Relationship Id="rId103" Type="http://schemas.openxmlformats.org/officeDocument/2006/relationships/hyperlink" Target="https://drive.google.com/drive/folders/1-lfMc-n2JjJXqplTohHkX_fstoxMPvxD" TargetMode="External"/><Relationship Id="rId224" Type="http://schemas.openxmlformats.org/officeDocument/2006/relationships/hyperlink" Target="https://drive.google.com/drive/folders/1GV-tl4uBAun-_G5yDU6ZRq6uZjthAXIF" TargetMode="External"/><Relationship Id="rId345" Type="http://schemas.openxmlformats.org/officeDocument/2006/relationships/hyperlink" Target="https://drive.google.com/open?id=1-UKslCcoTEhyO57xo3iIX2UZcgKi-FvI" TargetMode="External"/><Relationship Id="rId466" Type="http://schemas.openxmlformats.org/officeDocument/2006/relationships/hyperlink" Target="https://drive.google.com/drive/folders/1aZMO2n9569MQjZ87oVRYgRbSYRCrIWtg" TargetMode="External"/><Relationship Id="rId587" Type="http://schemas.openxmlformats.org/officeDocument/2006/relationships/hyperlink" Target="https://drive.google.com/open?id=12wygzbzjVLfgktZQK_d3jIOgrk2RpE41" TargetMode="External"/><Relationship Id="rId102" Type="http://schemas.openxmlformats.org/officeDocument/2006/relationships/hyperlink" Target="https://drive.google.com/file/d/1LIkcL7cud_2sFj7LnftmeC3TTcfJPFJ3/view" TargetMode="External"/><Relationship Id="rId223" Type="http://schemas.openxmlformats.org/officeDocument/2006/relationships/hyperlink" Target="https://drive.google.com/open?id=1SFJfJY13w0rfSuQVDUzabRlt1rCaiwHV" TargetMode="External"/><Relationship Id="rId344" Type="http://schemas.openxmlformats.org/officeDocument/2006/relationships/hyperlink" Target="https://drive.google.com/drive/u/0/folders/1Gba7xTorZfxAsZq9IXzvfqQLWVy_Wh1_" TargetMode="External"/><Relationship Id="rId465" Type="http://schemas.openxmlformats.org/officeDocument/2006/relationships/hyperlink" Target="https://drive.google.com/open?id=1TaYetz8aW8BBAFfe4taP1xOklv97hP4H" TargetMode="External"/><Relationship Id="rId586" Type="http://schemas.openxmlformats.org/officeDocument/2006/relationships/hyperlink" Target="https://drive.google.com/drive/folders/1kFhq4jmrz7sVMrwSJ0pvOsdKICO0BxOZ" TargetMode="External"/><Relationship Id="rId101" Type="http://schemas.openxmlformats.org/officeDocument/2006/relationships/hyperlink" Target="https://drive.google.com/file/d/1LIkcL7cud_2sFj7LnftmeC3TTcfJPFJ3/view" TargetMode="External"/><Relationship Id="rId222" Type="http://schemas.openxmlformats.org/officeDocument/2006/relationships/hyperlink" Target="https://drive.google.com/drive/folders/1Djh6MOQwOkMTHHSgCfzDbdfvbGdrT-iZ" TargetMode="External"/><Relationship Id="rId343" Type="http://schemas.openxmlformats.org/officeDocument/2006/relationships/hyperlink" Target="https://drive.google.com/open?id=16fdAycKFZHks1nyQ6NxiH9hUu3RNwZKt" TargetMode="External"/><Relationship Id="rId464" Type="http://schemas.openxmlformats.org/officeDocument/2006/relationships/hyperlink" Target="https://drive.google.com/drive/folders/1ImXRFXE-z4ngbaO3QOCIraaXgpAchNPp" TargetMode="External"/><Relationship Id="rId585" Type="http://schemas.openxmlformats.org/officeDocument/2006/relationships/hyperlink" Target="https://drive.google.com/open?id=1U5tUJOIc_h2hpTbPDY6LnoyHdzWHr6xQ" TargetMode="External"/><Relationship Id="rId100" Type="http://schemas.openxmlformats.org/officeDocument/2006/relationships/hyperlink" Target="https://drive.google.com/file/d/1bTyQy4M_JuM08NRSnNz2Yejc5Is5zO2J/view" TargetMode="External"/><Relationship Id="rId221" Type="http://schemas.openxmlformats.org/officeDocument/2006/relationships/hyperlink" Target="https://drive.google.com/open?id=1NUAYl8bzO0wAJaSFRCHO2AxNfY3Rp6OT" TargetMode="External"/><Relationship Id="rId342" Type="http://schemas.openxmlformats.org/officeDocument/2006/relationships/hyperlink" Target="https://drive.google.com/drive/u/0/folders/15g4g-KFnkLhQhi-0Ovc3BC8yc3tdH7A9" TargetMode="External"/><Relationship Id="rId463" Type="http://schemas.openxmlformats.org/officeDocument/2006/relationships/hyperlink" Target="https://drive.google.com/open?id=1hymKK1WFxKvRhYsvcKL1ow9kX73vdrx5" TargetMode="External"/><Relationship Id="rId584" Type="http://schemas.openxmlformats.org/officeDocument/2006/relationships/hyperlink" Target="https://drive.google.com/drive/folders/1os17jCor7gWeZWhOOoiNb5aOkReLi_F2" TargetMode="External"/><Relationship Id="rId217" Type="http://schemas.openxmlformats.org/officeDocument/2006/relationships/hyperlink" Target="https://drive.google.com/open?id=1GdIJipM8n39GbDK_mg0yflG64wyv13P8" TargetMode="External"/><Relationship Id="rId338" Type="http://schemas.openxmlformats.org/officeDocument/2006/relationships/hyperlink" Target="https://drive.google.com/drive/u/0/folders/1puNGNF84WkV1lRc56eH2MgWFXlEMv5YJ" TargetMode="External"/><Relationship Id="rId459" Type="http://schemas.openxmlformats.org/officeDocument/2006/relationships/hyperlink" Target="https://drive.google.com/open?id=1C0OBYUuK7051Gjldl6bx1vvPECxADj1o" TargetMode="External"/><Relationship Id="rId216" Type="http://schemas.openxmlformats.org/officeDocument/2006/relationships/hyperlink" Target="https://drive.google.com/drive/folders/1WzIuKv8UHAhfwZKuewh5tMG3apuYySh1" TargetMode="External"/><Relationship Id="rId337" Type="http://schemas.openxmlformats.org/officeDocument/2006/relationships/hyperlink" Target="https://drive.google.com/open?id=1HZvvH--sAxo7SvZDlT20z0ivUOHNyAR8" TargetMode="External"/><Relationship Id="rId458" Type="http://schemas.openxmlformats.org/officeDocument/2006/relationships/hyperlink" Target="https://drive.google.com/drive/u/0/folders/1SkmrOUDBpURhUY_0ivaw2iu4Tk97Crfo" TargetMode="External"/><Relationship Id="rId579" Type="http://schemas.openxmlformats.org/officeDocument/2006/relationships/hyperlink" Target="https://drive.google.com/open?id=1QaSTOUsW5SXzAptcdn7Ouxptq7-coPEg" TargetMode="External"/><Relationship Id="rId215" Type="http://schemas.openxmlformats.org/officeDocument/2006/relationships/hyperlink" Target="https://drive.google.com/open?id=1AaoFrqEFKw7FXJ79zSdybV5mOf_3A03p" TargetMode="External"/><Relationship Id="rId336" Type="http://schemas.openxmlformats.org/officeDocument/2006/relationships/hyperlink" Target="https://drive.google.com/drive/folders/18Xhxmykj_yBLA2JA4nARMKW71CIkJQL2" TargetMode="External"/><Relationship Id="rId457" Type="http://schemas.openxmlformats.org/officeDocument/2006/relationships/hyperlink" Target="https://drive.google.com/drive/u/0/folders/1O2l07vCj7NrJR2fYr2bKdcfyr2I8GPIy" TargetMode="External"/><Relationship Id="rId578" Type="http://schemas.openxmlformats.org/officeDocument/2006/relationships/hyperlink" Target="https://drive.google.com/drive/folders/12VNymFvmYEX23TyoqlB0eihdxmB1poov" TargetMode="External"/><Relationship Id="rId214" Type="http://schemas.openxmlformats.org/officeDocument/2006/relationships/hyperlink" Target="https://drive.google.com/drive/folders/1Rba3un6w02r53Ov-73FxsM89xj6bR1AI" TargetMode="External"/><Relationship Id="rId335" Type="http://schemas.openxmlformats.org/officeDocument/2006/relationships/hyperlink" Target="https://drive.google.com/open?id=1vMAjBGy5JhcFGiql9C0LJqhQ5Y8wey9H" TargetMode="External"/><Relationship Id="rId456" Type="http://schemas.openxmlformats.org/officeDocument/2006/relationships/hyperlink" Target="https://drive.google.com/open?id=1CkPKCcFVCRZU6XfEjKtu-OYIYQR9VJvh" TargetMode="External"/><Relationship Id="rId577" Type="http://schemas.openxmlformats.org/officeDocument/2006/relationships/hyperlink" Target="https://drive.google.com/file/d/1a4rrP05QIVJKhUylsL6HpV3nB7aLiSRv/view" TargetMode="External"/><Relationship Id="rId219" Type="http://schemas.openxmlformats.org/officeDocument/2006/relationships/hyperlink" Target="https://drive.google.com/file/d/164z_6wLWFZK9ITsj62OUwth2w8m9qmNh/view" TargetMode="External"/><Relationship Id="rId218" Type="http://schemas.openxmlformats.org/officeDocument/2006/relationships/hyperlink" Target="https://drive.google.com/drive/folders/1hxSBEet3ljw08X_k9lSNixO-iyv_Wowp" TargetMode="External"/><Relationship Id="rId339" Type="http://schemas.openxmlformats.org/officeDocument/2006/relationships/hyperlink" Target="https://drive.google.com/open?id=1H42lVIvEisqL3_FUpRoXF7DRObULL8ph" TargetMode="External"/><Relationship Id="rId330" Type="http://schemas.openxmlformats.org/officeDocument/2006/relationships/hyperlink" Target="https://drive.google.com/drive/folders/1ifC7brU4keQIJVjdd7ghfKzbHF7GAgoF" TargetMode="External"/><Relationship Id="rId451" Type="http://schemas.openxmlformats.org/officeDocument/2006/relationships/hyperlink" Target="https://drive.google.com/drive/u/0/folders/16duXqCh5RySYlRn5JBwSzbX8OfU6G3LE" TargetMode="External"/><Relationship Id="rId572" Type="http://schemas.openxmlformats.org/officeDocument/2006/relationships/hyperlink" Target="https://drive.google.com/open?id=1E_IMpJA0U1lANpwbe8efxgOw72mms52z" TargetMode="External"/><Relationship Id="rId450" Type="http://schemas.openxmlformats.org/officeDocument/2006/relationships/hyperlink" Target="https://drive.google.com/open?id=1EKJCrrI37xr1BN-Sp88wQxYyPfXJwrVR" TargetMode="External"/><Relationship Id="rId571" Type="http://schemas.openxmlformats.org/officeDocument/2006/relationships/hyperlink" Target="https://drive.google.com/drive/folders/13IScvlEnUU-MUZq0WdNYWCQN-K8f-RB2" TargetMode="External"/><Relationship Id="rId570" Type="http://schemas.openxmlformats.org/officeDocument/2006/relationships/hyperlink" Target="https://drive.google.com/open?id=1tHDHgjttxg7feAJ2NTlL9wSyj9y7tZl-" TargetMode="External"/><Relationship Id="rId213" Type="http://schemas.openxmlformats.org/officeDocument/2006/relationships/hyperlink" Target="https://drive.google.com/open?id=1663P9L6SL4IXqrLuGDh-g0pkXmdS8Ehw" TargetMode="External"/><Relationship Id="rId334" Type="http://schemas.openxmlformats.org/officeDocument/2006/relationships/hyperlink" Target="https://drive.google.com/drive/folders/1_fOeZVVWNtrZbJGfHX6yeZg_c1asABQA" TargetMode="External"/><Relationship Id="rId455" Type="http://schemas.openxmlformats.org/officeDocument/2006/relationships/hyperlink" Target="https://drive.google.com/drive/folders/1H8yLdaNfMuBQz2uBIn4Yq1k6WSIsVHr3" TargetMode="External"/><Relationship Id="rId576" Type="http://schemas.openxmlformats.org/officeDocument/2006/relationships/hyperlink" Target="https://drive.google.com/drive/folders/1SYH6Jr4_A6LNcUlCSuCc_WS-m4HZkU4r" TargetMode="External"/><Relationship Id="rId212" Type="http://schemas.openxmlformats.org/officeDocument/2006/relationships/hyperlink" Target="https://drive.google.com/drive/folders/1uDNm0N3FqUjblhtLWylMZMNMEZR4jL9P" TargetMode="External"/><Relationship Id="rId333" Type="http://schemas.openxmlformats.org/officeDocument/2006/relationships/hyperlink" Target="https://drive.google.com/open?id=1c0-v9r8uStgygGP-qDNSQB2tI1PiLXa4" TargetMode="External"/><Relationship Id="rId454" Type="http://schemas.openxmlformats.org/officeDocument/2006/relationships/hyperlink" Target="https://drive.google.com/open?id=1_92eIUSaRPSCVu-8qSgYPFpQRV8vC1mG" TargetMode="External"/><Relationship Id="rId575" Type="http://schemas.openxmlformats.org/officeDocument/2006/relationships/hyperlink" Target="https://drive.google.com/open?id=1huL-GfeSJRY5Mo_am3dYlja1eTxr4gy3" TargetMode="External"/><Relationship Id="rId211" Type="http://schemas.openxmlformats.org/officeDocument/2006/relationships/hyperlink" Target="https://drive.google.com/open?id=1xTGgdD46BrMDbs6ZzurTXr3SsOnsv9Sj" TargetMode="External"/><Relationship Id="rId332" Type="http://schemas.openxmlformats.org/officeDocument/2006/relationships/hyperlink" Target="https://drive.google.com/drive/folders/1Cl8xWVAdbPfbXQ_nuLYm2jjuOgC0Gj6z" TargetMode="External"/><Relationship Id="rId453" Type="http://schemas.openxmlformats.org/officeDocument/2006/relationships/hyperlink" Target="https://drive.google.com/drive/folders/1LObWhZld8rVNIHms7wlweaceTNVQAUuq" TargetMode="External"/><Relationship Id="rId574" Type="http://schemas.openxmlformats.org/officeDocument/2006/relationships/hyperlink" Target="https://drive.google.com/open?id=1huL-GfeSJRY5Mo_am3dYlja1eTxr4gy3" TargetMode="External"/><Relationship Id="rId210" Type="http://schemas.openxmlformats.org/officeDocument/2006/relationships/hyperlink" Target="https://drive.google.com/drive/folders/1a6_xg2wsEBlVdXeiLrtD0C41LacrPU0C" TargetMode="External"/><Relationship Id="rId331" Type="http://schemas.openxmlformats.org/officeDocument/2006/relationships/hyperlink" Target="https://drive.google.com/file/d/1aAlSle-MwAM_sDZ_FuUAcf1FmA79lquc/view" TargetMode="External"/><Relationship Id="rId452" Type="http://schemas.openxmlformats.org/officeDocument/2006/relationships/hyperlink" Target="https://drive.google.com/open?id=1lJ26qCz3hrlkyQgRQYN1AyZuUYhcxgpi" TargetMode="External"/><Relationship Id="rId573" Type="http://schemas.openxmlformats.org/officeDocument/2006/relationships/hyperlink" Target="http://torch.io/" TargetMode="External"/><Relationship Id="rId370" Type="http://schemas.openxmlformats.org/officeDocument/2006/relationships/hyperlink" Target="https://drive.google.com/drive/folders/1sibEOr7dkLqogsbU5WPtqvuhD4X7wzfg" TargetMode="External"/><Relationship Id="rId491" Type="http://schemas.openxmlformats.org/officeDocument/2006/relationships/hyperlink" Target="https://drive.google.com/open?id=1ho0d0wqoVl2ZfmUqm-5xL6GQ7HBU5_Bs" TargetMode="External"/><Relationship Id="rId490" Type="http://schemas.openxmlformats.org/officeDocument/2006/relationships/hyperlink" Target="https://drive.google.com/drive/folders/1ik-_9-vQN-YoXTA19KNqXjzK70AyMJ8V" TargetMode="External"/><Relationship Id="rId129" Type="http://schemas.openxmlformats.org/officeDocument/2006/relationships/hyperlink" Target="https://drive.google.com/open?id=1AzSkqHBcaJbyaJbpP0mgD-i8rqlEAAlU" TargetMode="External"/><Relationship Id="rId128" Type="http://schemas.openxmlformats.org/officeDocument/2006/relationships/hyperlink" Target="https://drive.google.com/drive/folders/1lGKq_UIddESclnNQtlEkR82BdLD5YUJi" TargetMode="External"/><Relationship Id="rId249" Type="http://schemas.openxmlformats.org/officeDocument/2006/relationships/hyperlink" Target="https://drive.google.com/drive/folders/1mluUWS2mgTB3s0kukVhnMN5UruB1lplh" TargetMode="External"/><Relationship Id="rId127" Type="http://schemas.openxmlformats.org/officeDocument/2006/relationships/hyperlink" Target="https://drive.google.com/open?id=1opdT_onyGPYCZl28ddW5mp45p0A8GrkV" TargetMode="External"/><Relationship Id="rId248" Type="http://schemas.openxmlformats.org/officeDocument/2006/relationships/hyperlink" Target="https://drive.google.com/open?id=1KameuvNIqrQVpr8Ultdmp-GsTKd1ZrE4" TargetMode="External"/><Relationship Id="rId369" Type="http://schemas.openxmlformats.org/officeDocument/2006/relationships/hyperlink" Target="https://drive.google.com/file/d/1noLhyg_qhpk2xmAvpEISAtWXIEhrCMO_/view" TargetMode="External"/><Relationship Id="rId126" Type="http://schemas.openxmlformats.org/officeDocument/2006/relationships/hyperlink" Target="https://drive.google.com/drive/u/0/folders/1D1u9Pd_pk8erBxOnvDIGMs1Ka7kRwheR" TargetMode="External"/><Relationship Id="rId247" Type="http://schemas.openxmlformats.org/officeDocument/2006/relationships/hyperlink" Target="https://drive.google.com/drive/folders/1kiv8Dp-WrB4wfrlPo960_DldbwE-72cA" TargetMode="External"/><Relationship Id="rId368" Type="http://schemas.openxmlformats.org/officeDocument/2006/relationships/hyperlink" Target="https://drive.google.com/drive/folders/1iUUlR1mBzerqhr7nHmQrMKvqs4ky3wK8" TargetMode="External"/><Relationship Id="rId489" Type="http://schemas.openxmlformats.org/officeDocument/2006/relationships/hyperlink" Target="https://drive.google.com/open?id=1fAQUsdNtFOkzzsctYLZ70N5Ht7W0gUy2" TargetMode="External"/><Relationship Id="rId121" Type="http://schemas.openxmlformats.org/officeDocument/2006/relationships/hyperlink" Target="https://drive.google.com/drive/folders/1SR_HOWC04psOsp3gNzCwBiiZ18XsDiKd" TargetMode="External"/><Relationship Id="rId242" Type="http://schemas.openxmlformats.org/officeDocument/2006/relationships/hyperlink" Target="https://drive.google.com/open?id=1B3Ly2-pgZMvjl2OZdWynBZRlKy_tW_A2" TargetMode="External"/><Relationship Id="rId363" Type="http://schemas.openxmlformats.org/officeDocument/2006/relationships/hyperlink" Target="https://drive.google.com/open?id=1H7W-Hrcv0Lt-B9PXhBtc_7JxB_Yaov5Y" TargetMode="External"/><Relationship Id="rId484" Type="http://schemas.openxmlformats.org/officeDocument/2006/relationships/hyperlink" Target="https://drive.google.com/open?id=1eMhzV20V5kDswejBSkLIJrEfcRooHRai" TargetMode="External"/><Relationship Id="rId120" Type="http://schemas.openxmlformats.org/officeDocument/2006/relationships/hyperlink" Target="https://drive.google.com/open?id=1tmIFKV3Sh2tdsxEGjkfkUeHFYOpUdLGj" TargetMode="External"/><Relationship Id="rId241" Type="http://schemas.openxmlformats.org/officeDocument/2006/relationships/hyperlink" Target="https://drive.google.com/drive/folders/1Ud_vcx2mXW_j4e47qllgnTlBNPt-wvgx" TargetMode="External"/><Relationship Id="rId362" Type="http://schemas.openxmlformats.org/officeDocument/2006/relationships/hyperlink" Target="https://drive.google.com/drive/folders/19Qp-ngGZ4HHemH21JyaVjGwXIqI0xUzL" TargetMode="External"/><Relationship Id="rId483" Type="http://schemas.openxmlformats.org/officeDocument/2006/relationships/hyperlink" Target="https://drive.google.com/open?id=1PTH71kW2NN9jJAx0cer7qFN1GJKdco9-" TargetMode="External"/><Relationship Id="rId240" Type="http://schemas.openxmlformats.org/officeDocument/2006/relationships/hyperlink" Target="https://drive.google.com/open?id=1yjD5V1Uah_kIPORzwEjhQNJoo52UPMtq" TargetMode="External"/><Relationship Id="rId361" Type="http://schemas.openxmlformats.org/officeDocument/2006/relationships/hyperlink" Target="https://drive.google.com/open?id=1T7iG47LpU1uqqrOMyU4vEtAtLSPLc4t_" TargetMode="External"/><Relationship Id="rId482" Type="http://schemas.openxmlformats.org/officeDocument/2006/relationships/hyperlink" Target="https://drive.google.com/open?id=1h2nEjoYSxM61OEH2M-9OZGMBh4IEwD3Q" TargetMode="External"/><Relationship Id="rId360" Type="http://schemas.openxmlformats.org/officeDocument/2006/relationships/hyperlink" Target="https://drive.google.com/drive/folders/1BqkVklha0kH9wIp8IfyEgiWHaK3juq5z" TargetMode="External"/><Relationship Id="rId481" Type="http://schemas.openxmlformats.org/officeDocument/2006/relationships/hyperlink" Target="https://drive.google.com/open?id=1xM9EQWb-q7dGBtI_d_PwduDPVBdTpjPD" TargetMode="External"/><Relationship Id="rId125" Type="http://schemas.openxmlformats.org/officeDocument/2006/relationships/hyperlink" Target="https://drive.google.com/drive/folders/1aQmSuNd0AK9kgaJWfMioYlMqRkdo1SWp" TargetMode="External"/><Relationship Id="rId246" Type="http://schemas.openxmlformats.org/officeDocument/2006/relationships/hyperlink" Target="https://drive.google.com/open?id=1mYVg2ZobtnC2xCHoe5YeA8FrlVonEXJE" TargetMode="External"/><Relationship Id="rId367" Type="http://schemas.openxmlformats.org/officeDocument/2006/relationships/hyperlink" Target="https://drive.google.com/open?id=13KfXgWOp_bgGO0GQkfxkdUFOoe2IczH6" TargetMode="External"/><Relationship Id="rId488" Type="http://schemas.openxmlformats.org/officeDocument/2006/relationships/hyperlink" Target="https://drive.google.com/open?id=1M6ZqvAaf0Y3t58EPKRiHJH-xE7bajGwr" TargetMode="External"/><Relationship Id="rId124" Type="http://schemas.openxmlformats.org/officeDocument/2006/relationships/hyperlink" Target="https://drive.google.com/open?id=1-CKjRjtALK0QO4L7qUCOr6CaU-6DV8Fn" TargetMode="External"/><Relationship Id="rId245" Type="http://schemas.openxmlformats.org/officeDocument/2006/relationships/hyperlink" Target="https://drive.google.com/drive/folders/1W8lZGst7iOVc6Ujs6ksvfqPXNZ55L_Wg" TargetMode="External"/><Relationship Id="rId366" Type="http://schemas.openxmlformats.org/officeDocument/2006/relationships/hyperlink" Target="https://drive.google.com/drive/folders/1H3RQMawr4RDqgb97WfdG1m2aLXkZaZg4" TargetMode="External"/><Relationship Id="rId487" Type="http://schemas.openxmlformats.org/officeDocument/2006/relationships/hyperlink" Target="https://drive.google.com/open?id=1MMmzjRFEJpuR5YobR9mQjcGAALHAQXcd" TargetMode="External"/><Relationship Id="rId123" Type="http://schemas.openxmlformats.org/officeDocument/2006/relationships/hyperlink" Target="https://drive.google.com/drive/folders/1WfQ-BAXMq7YsZVAuQQug3wDSfaLu1TYZ" TargetMode="External"/><Relationship Id="rId244" Type="http://schemas.openxmlformats.org/officeDocument/2006/relationships/hyperlink" Target="https://drive.google.com/open?id=1Gi0f-9XHRRXyhsCvIuXSfwTascOsiDSu" TargetMode="External"/><Relationship Id="rId365" Type="http://schemas.openxmlformats.org/officeDocument/2006/relationships/hyperlink" Target="https://drive.google.com/open?id=1iD8bdUa1ecbMXWawAlDb4MDBg0_B87F2" TargetMode="External"/><Relationship Id="rId486" Type="http://schemas.openxmlformats.org/officeDocument/2006/relationships/hyperlink" Target="https://drive.google.com/open?id=1ZwvS-zbtKTOMM_voZRErd3Oo7t2hKvos" TargetMode="External"/><Relationship Id="rId122" Type="http://schemas.openxmlformats.org/officeDocument/2006/relationships/hyperlink" Target="https://drive.google.com/open?id=1U62qUM5mr1j_zf2iISuDkUC9nXOdtwuT" TargetMode="External"/><Relationship Id="rId243" Type="http://schemas.openxmlformats.org/officeDocument/2006/relationships/hyperlink" Target="https://drive.google.com/drive/folders/1MtfDXyooI0nVbWvqXrcdX3OFlN1WJAoe" TargetMode="External"/><Relationship Id="rId364" Type="http://schemas.openxmlformats.org/officeDocument/2006/relationships/hyperlink" Target="https://drive.google.com/drive/u/0/folders/1bdxOeY0MQMyEDB4UoeupbEDu7Cl0VptI" TargetMode="External"/><Relationship Id="rId485" Type="http://schemas.openxmlformats.org/officeDocument/2006/relationships/hyperlink" Target="https://drive.google.com/open?id=1U-O0j9pbpvJHQGFAuXa3PpMqxuxpuwt4" TargetMode="External"/><Relationship Id="rId95" Type="http://schemas.openxmlformats.org/officeDocument/2006/relationships/hyperlink" Target="https://drive.google.com/open?id=1FfGPNlrxt_RvahzcRaZSsavRQTxtDT2F" TargetMode="External"/><Relationship Id="rId94" Type="http://schemas.openxmlformats.org/officeDocument/2006/relationships/hyperlink" Target="https://drive.google.com/drive/folders/1fMYnhsbGMY1NR4--__54ebfJ_XqcLk6H" TargetMode="External"/><Relationship Id="rId97" Type="http://schemas.openxmlformats.org/officeDocument/2006/relationships/hyperlink" Target="https://drive.google.com/file/d/1wHGxNZiIcAtRQ3FAt0lG0RxKiUT9OQQc/view" TargetMode="External"/><Relationship Id="rId96" Type="http://schemas.openxmlformats.org/officeDocument/2006/relationships/hyperlink" Target="https://drive.google.com/drive/folders/1YHAYXKxTocpVYfQ_wn8AZog-dBbMXTNI" TargetMode="External"/><Relationship Id="rId99" Type="http://schemas.openxmlformats.org/officeDocument/2006/relationships/hyperlink" Target="https://drive.google.com/drive/folders/1hOFUKOSvw3ETOIlRHZbHRwjeP-Hst0hH" TargetMode="External"/><Relationship Id="rId480" Type="http://schemas.openxmlformats.org/officeDocument/2006/relationships/hyperlink" Target="https://drive.google.com/open?id=1yoOTLw1PDuaz1o6KR3dvabz3nL286wVO" TargetMode="External"/><Relationship Id="rId98" Type="http://schemas.openxmlformats.org/officeDocument/2006/relationships/hyperlink" Target="https://drive.google.com/file/d/1mEW6ycsJdXU2pgFA7F-yF7-A0JTogc0I/view" TargetMode="External"/><Relationship Id="rId91" Type="http://schemas.openxmlformats.org/officeDocument/2006/relationships/hyperlink" Target="https://drive.google.com/drive/folders/1d6jpUxzOuCyc-_ED3zNbCLk1HJRkOujo" TargetMode="External"/><Relationship Id="rId90" Type="http://schemas.openxmlformats.org/officeDocument/2006/relationships/hyperlink" Target="https://drive.google.com/open?id=12LiFuv0ARRe8WyULAQ898asLerlha_0v" TargetMode="External"/><Relationship Id="rId93" Type="http://schemas.openxmlformats.org/officeDocument/2006/relationships/hyperlink" Target="https://drive.google.com/open?id=1Myr3hmsUF7L0b0tPdHx4cl2lwEFa2Bss" TargetMode="External"/><Relationship Id="rId92" Type="http://schemas.openxmlformats.org/officeDocument/2006/relationships/hyperlink" Target="https://drive.google.com/drive/folders/1kZBG4GxIa3HlGdiFFQYf5T4WqliwxRRp" TargetMode="External"/><Relationship Id="rId118" Type="http://schemas.openxmlformats.org/officeDocument/2006/relationships/hyperlink" Target="https://drive.google.com/file/d/10aJiVhwHPT3idxjH2DvJDHqkB10A88bk/view" TargetMode="External"/><Relationship Id="rId239" Type="http://schemas.openxmlformats.org/officeDocument/2006/relationships/hyperlink" Target="https://drive.google.com/drive/folders/1mNUvGN_KXaVYIE4mlzLQs0lRvArlqDKQ" TargetMode="External"/><Relationship Id="rId117" Type="http://schemas.openxmlformats.org/officeDocument/2006/relationships/hyperlink" Target="https://drive.google.com/drive/folders/1Ls4jRV2IdIvt_3YWRzSENiQ63jlsHCto" TargetMode="External"/><Relationship Id="rId238" Type="http://schemas.openxmlformats.org/officeDocument/2006/relationships/hyperlink" Target="https://drive.google.com/open?id=1n-0qK3WhE_mYsHn7W0MIrg4_ec_imaTo" TargetMode="External"/><Relationship Id="rId359" Type="http://schemas.openxmlformats.org/officeDocument/2006/relationships/hyperlink" Target="https://drive.google.com/open?id=1aRnyO3JskbzQqwJ7ZoCX5kGntXmlAEfn" TargetMode="External"/><Relationship Id="rId116" Type="http://schemas.openxmlformats.org/officeDocument/2006/relationships/hyperlink" Target="https://drive.google.com/open?id=1X3wVypvAbic1TsVkV78K_EZCIYVr_kOX" TargetMode="External"/><Relationship Id="rId237" Type="http://schemas.openxmlformats.org/officeDocument/2006/relationships/hyperlink" Target="https://drive.google.com/drive/folders/1-N_lTQVftC30zdLPeLsWw7-UVUfMFRJX" TargetMode="External"/><Relationship Id="rId358" Type="http://schemas.openxmlformats.org/officeDocument/2006/relationships/hyperlink" Target="https://drive.google.com/drive/u/0/folders/1PYeUYByANYuOWEQmiSqbMH-fEbUg3hQV" TargetMode="External"/><Relationship Id="rId479" Type="http://schemas.openxmlformats.org/officeDocument/2006/relationships/hyperlink" Target="https://drive.google.com/open?id=13nKzNNVp7f7F98eOkbXJQn_bWQ0Q5Wo5" TargetMode="External"/><Relationship Id="rId115" Type="http://schemas.openxmlformats.org/officeDocument/2006/relationships/hyperlink" Target="https://drive.google.com/drive/folders/1yKTcm8NWgCug8OU7MqQXmeZwf7P5DAkL" TargetMode="External"/><Relationship Id="rId236" Type="http://schemas.openxmlformats.org/officeDocument/2006/relationships/hyperlink" Target="https://drive.google.com/drive/folders/19zPdJf-KuC2dzhycjIzn1deyJTgBO_Yh" TargetMode="External"/><Relationship Id="rId357" Type="http://schemas.openxmlformats.org/officeDocument/2006/relationships/hyperlink" Target="https://drive.google.com/file/d/15rGVMAWJdZl3VCFMBuiXcaiqFuAAdCrv/view" TargetMode="External"/><Relationship Id="rId478" Type="http://schemas.openxmlformats.org/officeDocument/2006/relationships/hyperlink" Target="https://drive.google.com/open?id=1lwXOlwbj3fjJ-rDG6z1Jf_5N5Z1KzFPW" TargetMode="External"/><Relationship Id="rId599" Type="http://schemas.openxmlformats.org/officeDocument/2006/relationships/vmlDrawing" Target="../drawings/vmlDrawing1.vml"/><Relationship Id="rId119" Type="http://schemas.openxmlformats.org/officeDocument/2006/relationships/hyperlink" Target="https://drive.google.com/file/d/1QsNioJx290z1N0LlGa9WsnedRprj9cWD/view" TargetMode="External"/><Relationship Id="rId110" Type="http://schemas.openxmlformats.org/officeDocument/2006/relationships/hyperlink" Target="https://drive.google.com/open?id=1I6-Fu97E8ffcznI-fsQjqk_TTzDy4lXz" TargetMode="External"/><Relationship Id="rId231" Type="http://schemas.openxmlformats.org/officeDocument/2006/relationships/hyperlink" Target="https://drive.google.com/open?id=1try_6cG_wc33Lz_bMnact1dHQhcIUfSI" TargetMode="External"/><Relationship Id="rId352" Type="http://schemas.openxmlformats.org/officeDocument/2006/relationships/hyperlink" Target="https://drive.google.com/drive/u/0/folders/1N1h4a0p8cFNaa7gHRzMjlXwS5rNB7W98" TargetMode="External"/><Relationship Id="rId473" Type="http://schemas.openxmlformats.org/officeDocument/2006/relationships/hyperlink" Target="https://drive.google.com/open?id=13K0NtCyP1lDpQzG1QMuSAuOxBAWDVONn" TargetMode="External"/><Relationship Id="rId594" Type="http://schemas.openxmlformats.org/officeDocument/2006/relationships/hyperlink" Target="https://drive.google.com/drive/folders/12-nQP-T5WKYu2XFKGVk8vBdKUTh_CBgP" TargetMode="External"/><Relationship Id="rId230" Type="http://schemas.openxmlformats.org/officeDocument/2006/relationships/hyperlink" Target="https://drive.google.com/drive/folders/13fzogQ0srlsloJJFfP1oS8ikUbaMAi26" TargetMode="External"/><Relationship Id="rId351" Type="http://schemas.openxmlformats.org/officeDocument/2006/relationships/hyperlink" Target="https://drive.google.com/open?id=1UJEuOlqIdwbJZ6DDTOzEHOm0O07HDbc8" TargetMode="External"/><Relationship Id="rId472" Type="http://schemas.openxmlformats.org/officeDocument/2006/relationships/hyperlink" Target="https://drive.google.com/open?id=16gMna1uxJ-f5dvQKbzSlo-1wPqnJWa0T" TargetMode="External"/><Relationship Id="rId593" Type="http://schemas.openxmlformats.org/officeDocument/2006/relationships/hyperlink" Target="https://drive.google.com/open?id=1bI3OhnMHPX_zEAewOIYAPhSYLtrBbQHm" TargetMode="External"/><Relationship Id="rId350" Type="http://schemas.openxmlformats.org/officeDocument/2006/relationships/hyperlink" Target="https://drive.google.com/drive/folders/1qYbXi5vl24SvlxFVrg-ev5pOZYF8N4wT" TargetMode="External"/><Relationship Id="rId471" Type="http://schemas.openxmlformats.org/officeDocument/2006/relationships/hyperlink" Target="https://drive.google.com/drive/folders/10ihU_nTm1vU8dd89A8EHLr2rhu_ZTU6D" TargetMode="External"/><Relationship Id="rId592" Type="http://schemas.openxmlformats.org/officeDocument/2006/relationships/hyperlink" Target="https://drive.google.com/drive/folders/1QAdu8yvOkaBKrmJS_0nS7UDrNT1-47bT" TargetMode="External"/><Relationship Id="rId470" Type="http://schemas.openxmlformats.org/officeDocument/2006/relationships/hyperlink" Target="https://drive.google.com/open?id=11L3shaG9SIT4IB7eJNCWtLeP90nsYtPx" TargetMode="External"/><Relationship Id="rId591" Type="http://schemas.openxmlformats.org/officeDocument/2006/relationships/hyperlink" Target="https://drive.google.com/file/d/1A09G5bGQWvemydeXsKcvMRI2CItrUr7b/view" TargetMode="External"/><Relationship Id="rId114" Type="http://schemas.openxmlformats.org/officeDocument/2006/relationships/hyperlink" Target="https://drive.google.com/open?id=19aMjcEgg_GraO168ahZTfqRjl6oWYhr_" TargetMode="External"/><Relationship Id="rId235" Type="http://schemas.openxmlformats.org/officeDocument/2006/relationships/hyperlink" Target="https://drive.google.com/open?id=1ZCWONONR2gzKKaChu_mmaQORHiIuLHW8" TargetMode="External"/><Relationship Id="rId356" Type="http://schemas.openxmlformats.org/officeDocument/2006/relationships/hyperlink" Target="https://drive.google.com/drive/u/0/folders/1YTOWwFaBKz6hGTXKpSzAj7KixRwUwaKu" TargetMode="External"/><Relationship Id="rId477" Type="http://schemas.openxmlformats.org/officeDocument/2006/relationships/hyperlink" Target="https://drive.google.com/open?id=1vvDsLsRyKX8map4Lfy6RbW9fHlMoxk15" TargetMode="External"/><Relationship Id="rId598" Type="http://schemas.openxmlformats.org/officeDocument/2006/relationships/drawing" Target="../drawings/drawing5.xml"/><Relationship Id="rId113" Type="http://schemas.openxmlformats.org/officeDocument/2006/relationships/hyperlink" Target="https://drive.google.com/drive/folders/1XDTByq6mSx9uk12sCi6hurjPrlYWSppq" TargetMode="External"/><Relationship Id="rId234" Type="http://schemas.openxmlformats.org/officeDocument/2006/relationships/hyperlink" Target="https://drive.google.com/drive/folders/14TkMotm1LHxXP8TheOwTJWzMyEQFL9_I" TargetMode="External"/><Relationship Id="rId355" Type="http://schemas.openxmlformats.org/officeDocument/2006/relationships/hyperlink" Target="https://drive.google.com/open?id=1TRJWB2e2J-mVFtSXzVjsm0FU0YZFkgiY" TargetMode="External"/><Relationship Id="rId476" Type="http://schemas.openxmlformats.org/officeDocument/2006/relationships/hyperlink" Target="https://drive.google.com/open?id=1IlG2HEK-OWvDz7nofURGJrurdcdzG7Xq" TargetMode="External"/><Relationship Id="rId597" Type="http://schemas.openxmlformats.org/officeDocument/2006/relationships/hyperlink" Target="https://drive.google.com/open?id=1GcnfomRQsFEQQhIgjD415zocm_FDiCKK" TargetMode="External"/><Relationship Id="rId112" Type="http://schemas.openxmlformats.org/officeDocument/2006/relationships/hyperlink" Target="https://drive.google.com/open?id=13f0NqlVdpllJwxOFHyRfD9VMu0Q9MPv7" TargetMode="External"/><Relationship Id="rId233" Type="http://schemas.openxmlformats.org/officeDocument/2006/relationships/hyperlink" Target="https://drive.google.com/open?id=17g8fYSQKaJEOtzEBpSXrXmvCfp119LhW" TargetMode="External"/><Relationship Id="rId354" Type="http://schemas.openxmlformats.org/officeDocument/2006/relationships/hyperlink" Target="https://drive.google.com/drive/folders/1He_cNW-53C69clU5Zw3fbUrTPnjEaT1M" TargetMode="External"/><Relationship Id="rId475" Type="http://schemas.openxmlformats.org/officeDocument/2006/relationships/hyperlink" Target="https://drive.google.com/open?id=1eyffG8lNqD12lIREN2L7dsPHWx4ICLD3" TargetMode="External"/><Relationship Id="rId596" Type="http://schemas.openxmlformats.org/officeDocument/2006/relationships/hyperlink" Target="https://drive.google.com/drive/folders/1WtSD-kt6DSyOyQaQ4ESWdRbbBszuc0CK" TargetMode="External"/><Relationship Id="rId111" Type="http://schemas.openxmlformats.org/officeDocument/2006/relationships/hyperlink" Target="https://drive.google.com/drive/folders/1_N3R_gaA19fkjykwn81Hs6F1yibMKSYl" TargetMode="External"/><Relationship Id="rId232" Type="http://schemas.openxmlformats.org/officeDocument/2006/relationships/hyperlink" Target="https://drive.google.com/drive/folders/1DWjY7qaPmvIHzAbGvHuUewFevugaM8mu" TargetMode="External"/><Relationship Id="rId353" Type="http://schemas.openxmlformats.org/officeDocument/2006/relationships/hyperlink" Target="https://drive.google.com/open?id=17PAPr6XlG6HdxZDTuNxiHSitvd6UG5YK" TargetMode="External"/><Relationship Id="rId474" Type="http://schemas.openxmlformats.org/officeDocument/2006/relationships/hyperlink" Target="https://drive.google.com/open?id=1xjI2x5LnftFR12hC-dKHSse5bVW0yykr" TargetMode="External"/><Relationship Id="rId595" Type="http://schemas.openxmlformats.org/officeDocument/2006/relationships/hyperlink" Target="https://drive.google.com/open?id=1OA5GHR1QNCslBqy2_af2_ACpO9Vxaqd9" TargetMode="External"/><Relationship Id="rId305" Type="http://schemas.openxmlformats.org/officeDocument/2006/relationships/hyperlink" Target="https://drive.google.com/drive/folders/1qeDlp5Rnd5p1RhUn4jARWZYjqBQR2wgI" TargetMode="External"/><Relationship Id="rId426" Type="http://schemas.openxmlformats.org/officeDocument/2006/relationships/hyperlink" Target="https://drive.google.com/open?id=1pgyQA4yQkGRecXbR9fh1fQGw98Pxqm6y" TargetMode="External"/><Relationship Id="rId547" Type="http://schemas.openxmlformats.org/officeDocument/2006/relationships/hyperlink" Target="https://drive.google.com/drive/folders/17FbhkqnUd9dITrrnI4hyatXw8KTDDtsD" TargetMode="External"/><Relationship Id="rId304" Type="http://schemas.openxmlformats.org/officeDocument/2006/relationships/hyperlink" Target="https://drive.google.com/open?id=1YYzG2miLE5Mza60TlgZuHUpM9gutaUGy" TargetMode="External"/><Relationship Id="rId425" Type="http://schemas.openxmlformats.org/officeDocument/2006/relationships/hyperlink" Target="https://drive.google.com/drive/folders/12WYsgt5jSbHzvXqKptQ4RdW2TvkDSboB" TargetMode="External"/><Relationship Id="rId546" Type="http://schemas.openxmlformats.org/officeDocument/2006/relationships/hyperlink" Target="https://drive.google.com/open?id=1w6eGwWlUDQ9EbMmKUKzJSCI5GvaZOtGV" TargetMode="External"/><Relationship Id="rId303" Type="http://schemas.openxmlformats.org/officeDocument/2006/relationships/hyperlink" Target="https://drive.google.com/drive/folders/16bc7lDa31A9of-Y92cNbF0i662kY4-Br" TargetMode="External"/><Relationship Id="rId424" Type="http://schemas.openxmlformats.org/officeDocument/2006/relationships/hyperlink" Target="https://drive.google.com/open?id=1XOEp9hPo8r7D-tRp-uzYgfPds-MbRABD" TargetMode="External"/><Relationship Id="rId545" Type="http://schemas.openxmlformats.org/officeDocument/2006/relationships/hyperlink" Target="https://drive.google.com/drive/folders/1ElcmahmvKsCGJ3pUMlG77iWXE_kX_31T" TargetMode="External"/><Relationship Id="rId302" Type="http://schemas.openxmlformats.org/officeDocument/2006/relationships/hyperlink" Target="https://drive.google.com/open?id=1rt78sVj5plqp-5iLhFAreLkTx-5dNmry" TargetMode="External"/><Relationship Id="rId423" Type="http://schemas.openxmlformats.org/officeDocument/2006/relationships/hyperlink" Target="https://drive.google.com/drive/folders/1fnL5dSZANbr3Opxhu5gDoY4YpzgMnbGr" TargetMode="External"/><Relationship Id="rId544" Type="http://schemas.openxmlformats.org/officeDocument/2006/relationships/hyperlink" Target="https://drive.google.com/drive/folders/1JEIwHRXP4jeZbqVDgN-5EgA95Ijnf5pu" TargetMode="External"/><Relationship Id="rId309" Type="http://schemas.openxmlformats.org/officeDocument/2006/relationships/hyperlink" Target="https://drive.google.com/drive/u/0/folders/1WuCjbtd5Sd7QhKOoV97gvMgrCjyQ9rAS" TargetMode="External"/><Relationship Id="rId308" Type="http://schemas.openxmlformats.org/officeDocument/2006/relationships/hyperlink" Target="https://drive.google.com/open?id=1j-U6qi83iBI1Wp4eda1K5vV-o_rgCjDP" TargetMode="External"/><Relationship Id="rId429" Type="http://schemas.openxmlformats.org/officeDocument/2006/relationships/hyperlink" Target="https://drive.google.com/drive/u/0/folders/1XJZiWF2aKS4yo4J1xsQA6mTUQS-RYo9-" TargetMode="External"/><Relationship Id="rId307" Type="http://schemas.openxmlformats.org/officeDocument/2006/relationships/hyperlink" Target="https://drive.google.com/drive/u/0/folders/10fHLG4UqPsBCm8b-WoOBLCePTN-FMrQW" TargetMode="External"/><Relationship Id="rId428" Type="http://schemas.openxmlformats.org/officeDocument/2006/relationships/hyperlink" Target="https://drive.google.com/open?id=1brgMKuKA8N0FWGpUH3o7TO2Yeq4_Mhr1" TargetMode="External"/><Relationship Id="rId549" Type="http://schemas.openxmlformats.org/officeDocument/2006/relationships/hyperlink" Target="https://drive.google.com/drive/folders/1A-N_PlCuKz8gvw3Rj3BHCey2CIHchynF" TargetMode="External"/><Relationship Id="rId306" Type="http://schemas.openxmlformats.org/officeDocument/2006/relationships/hyperlink" Target="https://drive.google.com/open?id=1JnjWmZBsHpiietxyLCKjesp0v1A0RHZU" TargetMode="External"/><Relationship Id="rId427" Type="http://schemas.openxmlformats.org/officeDocument/2006/relationships/hyperlink" Target="https://drive.google.com/drive/folders/1chXxL63dH6olZ--wMXvvNLT7dR9wZ62H" TargetMode="External"/><Relationship Id="rId548" Type="http://schemas.openxmlformats.org/officeDocument/2006/relationships/hyperlink" Target="https://drive.google.com/open?id=1t9ud8JM8ChWhwEECIyfRanPxGrX6mArM" TargetMode="External"/><Relationship Id="rId301" Type="http://schemas.openxmlformats.org/officeDocument/2006/relationships/hyperlink" Target="https://drive.google.com/drive/folders/1aII2S8aT7rHUTANbq9xIV4s6f84pSTwz" TargetMode="External"/><Relationship Id="rId422" Type="http://schemas.openxmlformats.org/officeDocument/2006/relationships/hyperlink" Target="https://drive.google.com/open?id=1zASwVdXeIvYXV2tdbuDWmdiW1kjarK3g" TargetMode="External"/><Relationship Id="rId543" Type="http://schemas.openxmlformats.org/officeDocument/2006/relationships/hyperlink" Target="https://drive.google.com/open?id=1FSLplaiU842ulzVl2vBBP6L4A9a_myBy" TargetMode="External"/><Relationship Id="rId300" Type="http://schemas.openxmlformats.org/officeDocument/2006/relationships/hyperlink" Target="https://drive.google.com/open?id=1sbUm16-4Gg3_bZm6iV523O_PhUF5cy5l" TargetMode="External"/><Relationship Id="rId421" Type="http://schemas.openxmlformats.org/officeDocument/2006/relationships/hyperlink" Target="https://drive.google.com/drive/u/0/folders/1mC0-syD_7fDVM829Labe3H04iAHtJGcr" TargetMode="External"/><Relationship Id="rId542" Type="http://schemas.openxmlformats.org/officeDocument/2006/relationships/hyperlink" Target="https://drive.google.com/drive/folders/1sG3VS00YxfQa6lUI5tmVqd2rgBvUAiWV" TargetMode="External"/><Relationship Id="rId420" Type="http://schemas.openxmlformats.org/officeDocument/2006/relationships/hyperlink" Target="https://drive.google.com/open?id=11noOhlJxdr4SGn5ntIPH4h8-G18EVtZr" TargetMode="External"/><Relationship Id="rId541" Type="http://schemas.openxmlformats.org/officeDocument/2006/relationships/hyperlink" Target="https://drive.google.com/open?id=15Lb4_XhX8kXqvX0FrR3kF2bxvMlLjV_N" TargetMode="External"/><Relationship Id="rId540" Type="http://schemas.openxmlformats.org/officeDocument/2006/relationships/hyperlink" Target="https://drive.google.com/drive/folders/11wDqUplE4W5-25xB_slq5hWtmaKEeMa_" TargetMode="External"/><Relationship Id="rId415" Type="http://schemas.openxmlformats.org/officeDocument/2006/relationships/hyperlink" Target="https://drive.google.com/open?id=1RKQREOavUhl1qvf-2jfs3xzo5X2_K7VG" TargetMode="External"/><Relationship Id="rId536" Type="http://schemas.openxmlformats.org/officeDocument/2006/relationships/hyperlink" Target="https://drive.google.com/open?id=1ISd2WPd_qQW6JnlxbXlzK9cJK0-JVeKo" TargetMode="External"/><Relationship Id="rId414" Type="http://schemas.openxmlformats.org/officeDocument/2006/relationships/hyperlink" Target="https://drive.google.com/drive/folders/12UlNct7OyPsyp2uoRmFwBKthPWej14JJ" TargetMode="External"/><Relationship Id="rId535" Type="http://schemas.openxmlformats.org/officeDocument/2006/relationships/hyperlink" Target="https://drive.google.com/drive/folders/1xcukzNsSpK0ZmG74B7GcV8LqDvzhnVIE" TargetMode="External"/><Relationship Id="rId413" Type="http://schemas.openxmlformats.org/officeDocument/2006/relationships/hyperlink" Target="https://drive.google.com/file/d/15N-YK_TOClsfwLxaLUK_zC-DKmnC0ZhW/view" TargetMode="External"/><Relationship Id="rId534" Type="http://schemas.openxmlformats.org/officeDocument/2006/relationships/hyperlink" Target="https://drive.google.com/open?id=1D0kVsyt_fjfizlslvuKvsmdZfERikDMc" TargetMode="External"/><Relationship Id="rId412" Type="http://schemas.openxmlformats.org/officeDocument/2006/relationships/hyperlink" Target="https://drive.google.com/drive/folders/1W6bCaXBPH2vXvKkLviVVPXXEtVEKWTXe" TargetMode="External"/><Relationship Id="rId533" Type="http://schemas.openxmlformats.org/officeDocument/2006/relationships/hyperlink" Target="https://drive.google.com/drive/folders/1dtGmiCaIjRwNwBwYHXSgD5W0JSmHYCMy" TargetMode="External"/><Relationship Id="rId419" Type="http://schemas.openxmlformats.org/officeDocument/2006/relationships/hyperlink" Target="https://drive.google.com/drive/u/0/folders/1n4NsXQ56eh6LChvHbdZB7hLdK1YWPyDC" TargetMode="External"/><Relationship Id="rId418" Type="http://schemas.openxmlformats.org/officeDocument/2006/relationships/hyperlink" Target="https://drive.google.com/open?id=1_TNmXMbp7Z3E2ockr5bEOdCSIkzfZT6d" TargetMode="External"/><Relationship Id="rId539" Type="http://schemas.openxmlformats.org/officeDocument/2006/relationships/hyperlink" Target="https://drive.google.com/drive/folders/10zs0MB4aXAsln3e3-CdZOeC-NNBJ68Cj" TargetMode="External"/><Relationship Id="rId417" Type="http://schemas.openxmlformats.org/officeDocument/2006/relationships/hyperlink" Target="https://drive.google.com/open?id=1lEMoQJDe2Ss2NHJ9qXXvFo3c35nEYvZr" TargetMode="External"/><Relationship Id="rId538" Type="http://schemas.openxmlformats.org/officeDocument/2006/relationships/hyperlink" Target="https://drive.google.com/open?id=1w1X13sr3uCJBFsDxVwRlfOUGv0PSQGgg" TargetMode="External"/><Relationship Id="rId416" Type="http://schemas.openxmlformats.org/officeDocument/2006/relationships/hyperlink" Target="https://drive.google.com/drive/u/0/folders/1RxTatyV5hRKtJaFsKu-1eydCNLSE00HJ" TargetMode="External"/><Relationship Id="rId537" Type="http://schemas.openxmlformats.org/officeDocument/2006/relationships/hyperlink" Target="https://drive.google.com/drive/folders/194jPRJtygqA0JDrJOqg_U91xXXF0cfnV" TargetMode="External"/><Relationship Id="rId411" Type="http://schemas.openxmlformats.org/officeDocument/2006/relationships/hyperlink" Target="https://drive.google.com/open?id=1sW8aVcveBsSh3WPyo3hba46uH7xwGh10" TargetMode="External"/><Relationship Id="rId532" Type="http://schemas.openxmlformats.org/officeDocument/2006/relationships/hyperlink" Target="https://drive.google.com/open?id=169qFYDB45-1PM39v0pPS-V-sNbCp7zS1" TargetMode="External"/><Relationship Id="rId410" Type="http://schemas.openxmlformats.org/officeDocument/2006/relationships/hyperlink" Target="https://drive.google.com/drive/u/0/folders/1S23SSsNEkRtidcIWW-W2DYgW-yYWqErM" TargetMode="External"/><Relationship Id="rId531" Type="http://schemas.openxmlformats.org/officeDocument/2006/relationships/hyperlink" Target="https://drive.google.com/drive/folders/12VlrMobJhZ6CTTLaFSQh8bQKT_JdOBqO" TargetMode="External"/><Relationship Id="rId530" Type="http://schemas.openxmlformats.org/officeDocument/2006/relationships/hyperlink" Target="https://drive.google.com/open?id=1bZ6fV5r4MnWliJ-W9Soi4apt70cqGSg0" TargetMode="External"/><Relationship Id="rId206" Type="http://schemas.openxmlformats.org/officeDocument/2006/relationships/hyperlink" Target="https://drive.google.com/drive/folders/1B8vmQkemclK8ZJssfBkre3lChe3ExRGi" TargetMode="External"/><Relationship Id="rId327" Type="http://schemas.openxmlformats.org/officeDocument/2006/relationships/hyperlink" Target="https://drive.google.com/open?id=1n-QOsnZMA-GaBHEWj81xgSdYHHjIqFc2" TargetMode="External"/><Relationship Id="rId448" Type="http://schemas.openxmlformats.org/officeDocument/2006/relationships/hyperlink" Target="https://drive.google.com/open?id=19QwFzgo28-4RsAlaJIsftM8Mikl76Cp-" TargetMode="External"/><Relationship Id="rId569" Type="http://schemas.openxmlformats.org/officeDocument/2006/relationships/hyperlink" Target="https://drive.google.com/drive/u/0/folders/13IScvlEnUU-MUZq0WdNYWCQN-K8f-RB2" TargetMode="External"/><Relationship Id="rId205" Type="http://schemas.openxmlformats.org/officeDocument/2006/relationships/hyperlink" Target="https://drive.google.com/open?id=1nO6XRsCddUwdDJQ3jgFQES8wQ--_DTYt" TargetMode="External"/><Relationship Id="rId326" Type="http://schemas.openxmlformats.org/officeDocument/2006/relationships/hyperlink" Target="https://drive.google.com/drive/u/0/folders/1rSgySWSMKK5hAnC8iHZMFe_AXmCE_KqK" TargetMode="External"/><Relationship Id="rId447" Type="http://schemas.openxmlformats.org/officeDocument/2006/relationships/hyperlink" Target="https://drive.google.com/drive/u/0/folders/1Wh32k7RrFdjGtmBQ71day3j31sJgEm6Q" TargetMode="External"/><Relationship Id="rId568" Type="http://schemas.openxmlformats.org/officeDocument/2006/relationships/hyperlink" Target="https://drive.google.com/open?id=12ahNzawGIvYGnGW3-kffHRAnKDWnkFLF" TargetMode="External"/><Relationship Id="rId204" Type="http://schemas.openxmlformats.org/officeDocument/2006/relationships/hyperlink" Target="https://drive.google.com/drive/folders/13AliuzNaRtT3nzvB8lWh00R3P2ucv9il" TargetMode="External"/><Relationship Id="rId325" Type="http://schemas.openxmlformats.org/officeDocument/2006/relationships/hyperlink" Target="https://drive.google.com/file/d/1XceaiNMSFf1w1bsMCTv0OLwVqvFzfQ3M/view" TargetMode="External"/><Relationship Id="rId446" Type="http://schemas.openxmlformats.org/officeDocument/2006/relationships/hyperlink" Target="https://drive.google.com/open?id=1Xl1bBAWVIgV7c2g_u3wMgoUz9MBbGXS8" TargetMode="External"/><Relationship Id="rId567" Type="http://schemas.openxmlformats.org/officeDocument/2006/relationships/hyperlink" Target="https://drive.google.com/drive/u/0/folders/1CUmGWCI6F8LQB7eQr9kiESArVblWuVXx" TargetMode="External"/><Relationship Id="rId203" Type="http://schemas.openxmlformats.org/officeDocument/2006/relationships/hyperlink" Target="http://byblacks.com/" TargetMode="External"/><Relationship Id="rId324" Type="http://schemas.openxmlformats.org/officeDocument/2006/relationships/hyperlink" Target="https://drive.google.com/drive/u/0/folders/1cTwVlyhfH3XyqFsa4CfFAYHYaUfHXBFB" TargetMode="External"/><Relationship Id="rId445" Type="http://schemas.openxmlformats.org/officeDocument/2006/relationships/hyperlink" Target="https://drive.google.com/drive/folders/1aN8A3HpsnuRg9GnuEIdMj4_bf_uKC1Zl" TargetMode="External"/><Relationship Id="rId566" Type="http://schemas.openxmlformats.org/officeDocument/2006/relationships/hyperlink" Target="https://drive.google.com/open?id=1-E2uvTen0Lb7nLueOau1lAsISMfZCH7y" TargetMode="External"/><Relationship Id="rId209" Type="http://schemas.openxmlformats.org/officeDocument/2006/relationships/hyperlink" Target="https://drive.google.com/open?id=1cccrSu5Q2vuOabM3bKr3F0lPiQLSVudZ" TargetMode="External"/><Relationship Id="rId208" Type="http://schemas.openxmlformats.org/officeDocument/2006/relationships/hyperlink" Target="https://drive.google.com/drive/folders/1g-tnLqeXoFOpYKe4RwnGMIdNySVlq8_G" TargetMode="External"/><Relationship Id="rId329" Type="http://schemas.openxmlformats.org/officeDocument/2006/relationships/hyperlink" Target="https://drive.google.com/file/d/1Wiy1NG1ACKY3uMRwrtn2xQIHYO3QGD3C/view" TargetMode="External"/><Relationship Id="rId207" Type="http://schemas.openxmlformats.org/officeDocument/2006/relationships/hyperlink" Target="https://drive.google.com/open?id=1I9Fe_uwYh7yAkSBgzB-ccfy234jQnrYa" TargetMode="External"/><Relationship Id="rId328" Type="http://schemas.openxmlformats.org/officeDocument/2006/relationships/hyperlink" Target="https://drive.google.com/drive/u/0/folders/1XTI9LVhuOSVk7yWdXV-Tqve87svXcxC2" TargetMode="External"/><Relationship Id="rId449" Type="http://schemas.openxmlformats.org/officeDocument/2006/relationships/hyperlink" Target="https://drive.google.com/drive/folders/1cqQsBrrJKxX-sIvg6rOp9ZAg6YaW9mvN" TargetMode="External"/><Relationship Id="rId440" Type="http://schemas.openxmlformats.org/officeDocument/2006/relationships/hyperlink" Target="https://drive.google.com/open?id=1xDwaKbWfgFZQILY7DnyuRkZlFOZJ51s6" TargetMode="External"/><Relationship Id="rId561" Type="http://schemas.openxmlformats.org/officeDocument/2006/relationships/hyperlink" Target="https://drive.google.com/drive/folders/19XWtf87BJgJAQHpDJVqEYwKlI4by-Cx1" TargetMode="External"/><Relationship Id="rId560" Type="http://schemas.openxmlformats.org/officeDocument/2006/relationships/hyperlink" Target="https://drive.google.com/open?id=1Oa6cpMOWiG68IwyDel35UV-Ch1n4pwU1" TargetMode="External"/><Relationship Id="rId202" Type="http://schemas.openxmlformats.org/officeDocument/2006/relationships/hyperlink" Target="https://drive.google.com/open?id=1PZKCExciKjKYgU0rWPZm13hh5ra1i0K3" TargetMode="External"/><Relationship Id="rId323" Type="http://schemas.openxmlformats.org/officeDocument/2006/relationships/hyperlink" Target="https://drive.google.com/open?id=1GhT16xjvyod3E_irnYLGW0MICDt8rpCu" TargetMode="External"/><Relationship Id="rId444" Type="http://schemas.openxmlformats.org/officeDocument/2006/relationships/hyperlink" Target="https://drive.google.com/open?id=1uIEQtmtq0A1ULBnxPwLVh4oVZlSW-ef4" TargetMode="External"/><Relationship Id="rId565" Type="http://schemas.openxmlformats.org/officeDocument/2006/relationships/hyperlink" Target="https://drive.google.com/file/d/1-E2uvTen0Lb7nLueOau1lAsISMfZCH7y/view" TargetMode="External"/><Relationship Id="rId201" Type="http://schemas.openxmlformats.org/officeDocument/2006/relationships/hyperlink" Target="https://drive.google.com/drive/folders/1M2-LKY6fJbnKcjqIy_aXphRvd_fFz4Qy" TargetMode="External"/><Relationship Id="rId322" Type="http://schemas.openxmlformats.org/officeDocument/2006/relationships/hyperlink" Target="https://drive.google.com/drive/u/0/folders/1ZombyD7USVyjBzsiP_yX0iQ_LZwNpugS" TargetMode="External"/><Relationship Id="rId443" Type="http://schemas.openxmlformats.org/officeDocument/2006/relationships/hyperlink" Target="https://drive.google.com/drive/u/0/folders/1v10fEWbvxqlOKUkHgs71dn_jGiZCa-XA" TargetMode="External"/><Relationship Id="rId564" Type="http://schemas.openxmlformats.org/officeDocument/2006/relationships/hyperlink" Target="https://drive.google.com/open?id=1zHXg6Qq5tt-ZhwOKyYrqIiFCHVrHKsW9" TargetMode="External"/><Relationship Id="rId200" Type="http://schemas.openxmlformats.org/officeDocument/2006/relationships/hyperlink" Target="https://drive.google.com/open?id=1ZIEWm9_ZmunQsXrAfzR6nR2cf3wNqkgu" TargetMode="External"/><Relationship Id="rId321" Type="http://schemas.openxmlformats.org/officeDocument/2006/relationships/hyperlink" Target="https://drive.google.com/open?id=1J5MIgRDmMW6jA9hoJ4algvBkvq7TiIKW" TargetMode="External"/><Relationship Id="rId442" Type="http://schemas.openxmlformats.org/officeDocument/2006/relationships/hyperlink" Target="https://drive.google.com/open?id=1KYAB4Ydsfr6iMJnWhDRWFGSfaHhT61dN" TargetMode="External"/><Relationship Id="rId563" Type="http://schemas.openxmlformats.org/officeDocument/2006/relationships/hyperlink" Target="https://drive.google.com/drive/folders/1pQJeTjmg88ID5GV13D1CCs_oRpp8ZpUm" TargetMode="External"/><Relationship Id="rId320" Type="http://schemas.openxmlformats.org/officeDocument/2006/relationships/hyperlink" Target="https://drive.google.com/drive/u/0/folders/1MDYK1pMWo6LMr2QKeioqejoar37q9O86" TargetMode="External"/><Relationship Id="rId441" Type="http://schemas.openxmlformats.org/officeDocument/2006/relationships/hyperlink" Target="https://drive.google.com/drive/folders/1mdpZ70MVRJ3v8NU7WC2RnRhWUiF0vpaX" TargetMode="External"/><Relationship Id="rId562" Type="http://schemas.openxmlformats.org/officeDocument/2006/relationships/hyperlink" Target="https://drive.google.com/open?id=1t_6aziyyrUfo5i4YKtYmV8DMNAVcnNJY" TargetMode="External"/><Relationship Id="rId316" Type="http://schemas.openxmlformats.org/officeDocument/2006/relationships/hyperlink" Target="https://drive.google.com/drive/u/0/folders/1TD4wvT9gYjovTq9lKwgUrPlF6SKuIwz6" TargetMode="External"/><Relationship Id="rId437" Type="http://schemas.openxmlformats.org/officeDocument/2006/relationships/hyperlink" Target="https://drive.google.com/drive/folders/1vnII9hp2XGwEumpb-m_A3swkLAPQNOce" TargetMode="External"/><Relationship Id="rId558" Type="http://schemas.openxmlformats.org/officeDocument/2006/relationships/hyperlink" Target="https://drive.google.com/open?id=1mB3IcaJtJkPtYXQnceRVOONWctDlP6LB" TargetMode="External"/><Relationship Id="rId315" Type="http://schemas.openxmlformats.org/officeDocument/2006/relationships/hyperlink" Target="https://drive.google.com/file/d/1TmBgV7ANwQN0PoiiIgc4nroeb6FhbhWU/view" TargetMode="External"/><Relationship Id="rId436" Type="http://schemas.openxmlformats.org/officeDocument/2006/relationships/hyperlink" Target="https://drive.google.com/open?id=1XfBoMclNOhKiAG-AN9Veye2Mt6gp5Fwu" TargetMode="External"/><Relationship Id="rId557" Type="http://schemas.openxmlformats.org/officeDocument/2006/relationships/hyperlink" Target="https://drive.google.com/drive/u/0/folders/1V3ILONswDF9Y2fBEoeW_uXwETG6B5fov" TargetMode="External"/><Relationship Id="rId314" Type="http://schemas.openxmlformats.org/officeDocument/2006/relationships/hyperlink" Target="https://drive.google.com/drive/u/0/folders/1ohfUBOwV2NuhFQTvrH65NE2V01vTvPuk" TargetMode="External"/><Relationship Id="rId435" Type="http://schemas.openxmlformats.org/officeDocument/2006/relationships/hyperlink" Target="https://drive.google.com/drive/u/0/folders/11GJeAyZSrp1JnBc4vhom7mKZhF1V4fZi" TargetMode="External"/><Relationship Id="rId556" Type="http://schemas.openxmlformats.org/officeDocument/2006/relationships/hyperlink" Target="https://drive.google.com/open?id=1apztxuK8VWiNiX2KFbLp8jA8mULgoFSy" TargetMode="External"/><Relationship Id="rId313" Type="http://schemas.openxmlformats.org/officeDocument/2006/relationships/hyperlink" Target="https://drive.google.com/open?id=1I8x4PMlcFHrfLXO2Oj-Ew0Oot6Wk8D_l" TargetMode="External"/><Relationship Id="rId434" Type="http://schemas.openxmlformats.org/officeDocument/2006/relationships/hyperlink" Target="https://drive.google.com/open?id=1W42OmjszcmdW4lugdXlaoYqaDbFcUAMx" TargetMode="External"/><Relationship Id="rId555" Type="http://schemas.openxmlformats.org/officeDocument/2006/relationships/hyperlink" Target="https://drive.google.com/drive/u/0/folders/1H9OMUzLjvyo7o3kZ_a56GwQTCMJlo9GS" TargetMode="External"/><Relationship Id="rId319" Type="http://schemas.openxmlformats.org/officeDocument/2006/relationships/hyperlink" Target="https://drive.google.com/open?id=1_5aHN1fOC3hrZW3dR1zbWQg1EDFo-mqX" TargetMode="External"/><Relationship Id="rId318" Type="http://schemas.openxmlformats.org/officeDocument/2006/relationships/hyperlink" Target="https://drive.google.com/drive/u/0/folders/1yXwQ5yF33ijGhCzNm0WHzaUXEM3X-RRX" TargetMode="External"/><Relationship Id="rId439" Type="http://schemas.openxmlformats.org/officeDocument/2006/relationships/hyperlink" Target="https://drive.google.com/drive/u/0/folders/1AZKjPI79gQ3avYG72zIdIWxeYCM3IbNZ" TargetMode="External"/><Relationship Id="rId317" Type="http://schemas.openxmlformats.org/officeDocument/2006/relationships/hyperlink" Target="https://drive.google.com/file/d/1TGGz5SjmswfsKYOaTs7As2ng-nV_mHgq/view" TargetMode="External"/><Relationship Id="rId438" Type="http://schemas.openxmlformats.org/officeDocument/2006/relationships/hyperlink" Target="https://drive.google.com/open?id=13-UdYSaaW_TjXzmYEyHYW46AtqVGZriT" TargetMode="External"/><Relationship Id="rId559" Type="http://schemas.openxmlformats.org/officeDocument/2006/relationships/hyperlink" Target="https://drive.google.com/drive/u/0/folders/1d6jpUxzOuCyc-_ED3zNbCLk1HJRkOujo" TargetMode="External"/><Relationship Id="rId550" Type="http://schemas.openxmlformats.org/officeDocument/2006/relationships/hyperlink" Target="https://drive.google.com/open?id=1CbVw35VI-ZYdgKyoNGmbCMMwyMWdOTC3" TargetMode="External"/><Relationship Id="rId312" Type="http://schemas.openxmlformats.org/officeDocument/2006/relationships/hyperlink" Target="https://drive.google.com/drive/folders/1_5C1G7tkT7GbmHQuEW63E2aNu7s5ux4C" TargetMode="External"/><Relationship Id="rId433" Type="http://schemas.openxmlformats.org/officeDocument/2006/relationships/hyperlink" Target="https://drive.google.com/drive/folders/1WA_MQf2HU84CgsiX9zk1Cj-InYGwDjVI" TargetMode="External"/><Relationship Id="rId554" Type="http://schemas.openxmlformats.org/officeDocument/2006/relationships/hyperlink" Target="https://drive.google.com/open?id=1cXXF0KlYePMrigEa4ZRffB2vcMAfqLE2" TargetMode="External"/><Relationship Id="rId311" Type="http://schemas.openxmlformats.org/officeDocument/2006/relationships/hyperlink" Target="https://drive.google.com/file/d/13DvdcQ5P_DH3Nj3WO98dhfjtYzCZ_r6N/view" TargetMode="External"/><Relationship Id="rId432" Type="http://schemas.openxmlformats.org/officeDocument/2006/relationships/hyperlink" Target="https://drive.google.com/open?id=14fZkF7px5otxf25GAa0PbFZrh48qcoDy" TargetMode="External"/><Relationship Id="rId553" Type="http://schemas.openxmlformats.org/officeDocument/2006/relationships/hyperlink" Target="https://drive.google.com/drive/folders/1eCEJ5GTd2CGYAbt5WSy2lTgEugNlp-jX" TargetMode="External"/><Relationship Id="rId310" Type="http://schemas.openxmlformats.org/officeDocument/2006/relationships/hyperlink" Target="https://drive.google.com/drive/u/0/folders/1w_pS4aBT95yr0XFkhL9zSCkskkTMZVpX" TargetMode="External"/><Relationship Id="rId431" Type="http://schemas.openxmlformats.org/officeDocument/2006/relationships/hyperlink" Target="https://drive.google.com/drive/folders/1efYhJoG8VOFxrIzE_7tH8jwHZPqglSs8" TargetMode="External"/><Relationship Id="rId552" Type="http://schemas.openxmlformats.org/officeDocument/2006/relationships/hyperlink" Target="https://drive.google.com/open?id=1EHAmV8EeeP9XViKOPdc4R61GxENegfFz" TargetMode="External"/><Relationship Id="rId430" Type="http://schemas.openxmlformats.org/officeDocument/2006/relationships/hyperlink" Target="https://drive.google.com/open?id=1K2PHHFcKX0QDgE0AswBGNyE_en_bxtcz" TargetMode="External"/><Relationship Id="rId551" Type="http://schemas.openxmlformats.org/officeDocument/2006/relationships/hyperlink" Target="https://drive.google.com/drive/folders/1YKhFi13j48D7uijNO4j8F42z587tnYc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open?id=19Viqr_MhIDHIriuVYvBcKNpxyfQiOUp-" TargetMode="External"/><Relationship Id="rId2" Type="http://schemas.openxmlformats.org/officeDocument/2006/relationships/hyperlink" Target="https://drive.google.com/open?id=1P007xrGWEokHm8pZ4fXwf3MzX9EmAiuB" TargetMode="External"/><Relationship Id="rId3" Type="http://schemas.openxmlformats.org/officeDocument/2006/relationships/hyperlink" Target="https://drive.google.com/open?id=1xzOgPuRTRZ847Bqf3DDBZhyJB8Z9T7ob" TargetMode="External"/><Relationship Id="rId4" Type="http://schemas.openxmlformats.org/officeDocument/2006/relationships/hyperlink" Target="https://drive.google.com/open?id=17w0w0T9hDDdpnIalIjTqk74yPicVGGll" TargetMode="External"/><Relationship Id="rId9" Type="http://schemas.openxmlformats.org/officeDocument/2006/relationships/hyperlink" Target="https://drive.google.com/open?id=1Z2-kG4zf9mkktsw9VgoS0T2mwkKcZm87" TargetMode="External"/><Relationship Id="rId5" Type="http://schemas.openxmlformats.org/officeDocument/2006/relationships/hyperlink" Target="https://drive.google.com/open?id=1SsxBCuK2Kg3W2ltulsEDfu6QDgb-EgRk" TargetMode="External"/><Relationship Id="rId6" Type="http://schemas.openxmlformats.org/officeDocument/2006/relationships/hyperlink" Target="https://drive.google.com/open?id=1NlrEjr6L2b6Z6LyS_OIWzNrYDhIMmtwi" TargetMode="External"/><Relationship Id="rId7" Type="http://schemas.openxmlformats.org/officeDocument/2006/relationships/hyperlink" Target="https://drive.google.com/open?id=1NrAQp4Ot4pvqf1vUvjcoDz4VW1JuUsXK" TargetMode="External"/><Relationship Id="rId8" Type="http://schemas.openxmlformats.org/officeDocument/2006/relationships/hyperlink" Target="https://drive.google.com/open?id=1HKOz0uHrtC9oTngzM4oBdxzoSgJg9eKA" TargetMode="External"/><Relationship Id="rId40" Type="http://schemas.openxmlformats.org/officeDocument/2006/relationships/hyperlink" Target="https://drive.google.com/open?id=12jFBCSgWM2_xu28BBD2aR7xR3Kl7DOpb" TargetMode="External"/><Relationship Id="rId42" Type="http://schemas.openxmlformats.org/officeDocument/2006/relationships/hyperlink" Target="https://drive.google.com/open?id=1GRNcsZ-4Yp-TKOG2m9ouFqkE5QRzLZ9R" TargetMode="External"/><Relationship Id="rId41" Type="http://schemas.openxmlformats.org/officeDocument/2006/relationships/hyperlink" Target="https://drive.google.com/open?id=1PBu2kffCBKvWh-yMAaMjQLOCuwaV3qm7" TargetMode="External"/><Relationship Id="rId44" Type="http://schemas.openxmlformats.org/officeDocument/2006/relationships/hyperlink" Target="https://drive.google.com/open?id=1-pOZGnPxfKRP9pzZuYE7CwPjrXyTVbnl" TargetMode="External"/><Relationship Id="rId43" Type="http://schemas.openxmlformats.org/officeDocument/2006/relationships/hyperlink" Target="https://drive.google.com/open?id=1MUxiga0sjJmZL2TBT1Rhcs0KSx69aVPD" TargetMode="External"/><Relationship Id="rId46" Type="http://schemas.openxmlformats.org/officeDocument/2006/relationships/hyperlink" Target="https://drive.google.com/open?id=1KQ0Nrq_UE7yb04wyISG9YKyNORW4UulQ" TargetMode="External"/><Relationship Id="rId45" Type="http://schemas.openxmlformats.org/officeDocument/2006/relationships/hyperlink" Target="https://drive.google.com/open?id=1oGaGl3Ac2Ll-tglGgl_yaueMN5SDRxaB" TargetMode="External"/><Relationship Id="rId48" Type="http://schemas.openxmlformats.org/officeDocument/2006/relationships/hyperlink" Target="https://drive.google.com/open?id=1zmBHvusFuBKP535KMVnuVIQD9W5b-Yrv" TargetMode="External"/><Relationship Id="rId47" Type="http://schemas.openxmlformats.org/officeDocument/2006/relationships/hyperlink" Target="https://drive.google.com/open?id=1rqLrKYngiiFTWu-v1jC8wcY57k_qLGEt" TargetMode="External"/><Relationship Id="rId49" Type="http://schemas.openxmlformats.org/officeDocument/2006/relationships/hyperlink" Target="https://drive.google.com/open?id=1bER9Im0yok56d03EqTwZtKNcR722Nh4w" TargetMode="External"/><Relationship Id="rId31" Type="http://schemas.openxmlformats.org/officeDocument/2006/relationships/hyperlink" Target="https://www.google.com/url?q=https://drive.google.com/file/d/16hY2vStIi1nFUuQ98a9WrQHgq-LxCeDw/view&amp;sa=D&amp;ust=1590054885019000&amp;usg=AFQjCNGgpr3bpBXjOjlR4wjGKKIQFG6VIg" TargetMode="External"/><Relationship Id="rId30" Type="http://schemas.openxmlformats.org/officeDocument/2006/relationships/hyperlink" Target="https://drive.google.com/open?id=1ENX5sBCA-D8_zUFe6eQDcFhjSQSG8jKt" TargetMode="External"/><Relationship Id="rId33" Type="http://schemas.openxmlformats.org/officeDocument/2006/relationships/hyperlink" Target="https://drive.google.com/open?id=1qJdIZwOwz8kDtrFQRPsyp19xhmvoGuTM" TargetMode="External"/><Relationship Id="rId32" Type="http://schemas.openxmlformats.org/officeDocument/2006/relationships/hyperlink" Target="https://drive.google.com/open?id=1mARvwg2SmUTw5MDm_KQzez6hn2NikM9X" TargetMode="External"/><Relationship Id="rId35" Type="http://schemas.openxmlformats.org/officeDocument/2006/relationships/hyperlink" Target="https://drive.google.com/open?id=1hYzMSHaOiFi7aBzzBunlGnh6lFW70OZX" TargetMode="External"/><Relationship Id="rId34" Type="http://schemas.openxmlformats.org/officeDocument/2006/relationships/hyperlink" Target="https://drive.google.com/open?id=10W7s0iA3DrreqEjaOsk9zaVA8iLC-DTj" TargetMode="External"/><Relationship Id="rId37" Type="http://schemas.openxmlformats.org/officeDocument/2006/relationships/hyperlink" Target="https://drive.google.com/open?id=1XsCu3oUMHu1l7tJKxoVkTTlbB1kDoR5f" TargetMode="External"/><Relationship Id="rId36" Type="http://schemas.openxmlformats.org/officeDocument/2006/relationships/hyperlink" Target="https://drive.google.com/open?id=1ucn1Pvt-rvy1GbBPJI-0D2KRTGm90JEI" TargetMode="External"/><Relationship Id="rId39" Type="http://schemas.openxmlformats.org/officeDocument/2006/relationships/hyperlink" Target="https://drive.google.com/open?id=1Z5nFdst9B4B0OS1GnfUylMNBkdU44p4G" TargetMode="External"/><Relationship Id="rId38" Type="http://schemas.openxmlformats.org/officeDocument/2006/relationships/hyperlink" Target="https://drive.google.com/open?id=1-7UYZMLa3ZW7ZgmKjU1NQEF4ebEjhEL4" TargetMode="External"/><Relationship Id="rId20" Type="http://schemas.openxmlformats.org/officeDocument/2006/relationships/hyperlink" Target="https://drive.google.com/open?id=1_bCEdNsHQ660qFjHzT6idnYj9-q4ev-0" TargetMode="External"/><Relationship Id="rId22" Type="http://schemas.openxmlformats.org/officeDocument/2006/relationships/hyperlink" Target="https://drive.google.com/open?id=1uf7535oFANI-n3u7hSbBzjPVRx5-3Psq" TargetMode="External"/><Relationship Id="rId21" Type="http://schemas.openxmlformats.org/officeDocument/2006/relationships/hyperlink" Target="https://drive.google.com/open?id=1btRz_5pUA1TXfI_zfr8THAIBHNSQvn6f" TargetMode="External"/><Relationship Id="rId24" Type="http://schemas.openxmlformats.org/officeDocument/2006/relationships/hyperlink" Target="https://drive.google.com/open?id=1Um5X-86jmWWuuQX_-cCkUYUxnHl1nSHG" TargetMode="External"/><Relationship Id="rId23" Type="http://schemas.openxmlformats.org/officeDocument/2006/relationships/hyperlink" Target="https://drive.google.com/open?id=1Fsv5CDNsXn7Lp7SaWFK8oBw1fsDBL41N" TargetMode="External"/><Relationship Id="rId26" Type="http://schemas.openxmlformats.org/officeDocument/2006/relationships/hyperlink" Target="https://drive.google.com/open?id=1S5d17PXTE0znlEsJ5T3eHr55Dh-C8qem" TargetMode="External"/><Relationship Id="rId25" Type="http://schemas.openxmlformats.org/officeDocument/2006/relationships/hyperlink" Target="https://drive.google.com/open?id=1ruCAgZUXz6dYhG98TUTng4gCGP-JF4q8" TargetMode="External"/><Relationship Id="rId28" Type="http://schemas.openxmlformats.org/officeDocument/2006/relationships/hyperlink" Target="https://drive.google.com/file/d/1eCtOFhXil5N287ffL9Mz9pvVMoAFYIf9/view" TargetMode="External"/><Relationship Id="rId27" Type="http://schemas.openxmlformats.org/officeDocument/2006/relationships/hyperlink" Target="https://drive.google.com/open?id=1OpZNUC1XZVcFPKjvwiolJpsn9G0TZ-mr" TargetMode="External"/><Relationship Id="rId29" Type="http://schemas.openxmlformats.org/officeDocument/2006/relationships/hyperlink" Target="https://drive.google.com/open?id=13OiImw_lBZVMagEWyA7Gequj5vvRKK7B" TargetMode="External"/><Relationship Id="rId11" Type="http://schemas.openxmlformats.org/officeDocument/2006/relationships/hyperlink" Target="https://drive.google.com/open?id=1NYyXB2KxVdsXRNWfMG2GDi_FkqiP7y8t" TargetMode="External"/><Relationship Id="rId10" Type="http://schemas.openxmlformats.org/officeDocument/2006/relationships/hyperlink" Target="https://drive.google.com/file/d/1b9bC-CWd7WCg0UiYJbWq8i-rz_MDhZf7/view" TargetMode="External"/><Relationship Id="rId13" Type="http://schemas.openxmlformats.org/officeDocument/2006/relationships/hyperlink" Target="https://drive.google.com/open?id=1CKHNEEMJU56MXYMCCwYtVXebwzebtLyv" TargetMode="External"/><Relationship Id="rId12" Type="http://schemas.openxmlformats.org/officeDocument/2006/relationships/hyperlink" Target="https://drive.google.com/open?id=1a9y4vwOukJrz67WsEQztO3n_J-v4T40H" TargetMode="External"/><Relationship Id="rId15" Type="http://schemas.openxmlformats.org/officeDocument/2006/relationships/hyperlink" Target="https://drive.google.com/open?id=1-BfHCK5qfb5__UBKVQ7thY8UUIhX6-co" TargetMode="External"/><Relationship Id="rId14" Type="http://schemas.openxmlformats.org/officeDocument/2006/relationships/hyperlink" Target="https://drive.google.com/open?id=1py7Ou_e0WDkbQwJvUzPnp86NafZgRidF" TargetMode="External"/><Relationship Id="rId17" Type="http://schemas.openxmlformats.org/officeDocument/2006/relationships/hyperlink" Target="https://drive.google.com/open?id=1kYGQmFytvzBo_joBIyEHAM5_KyxHBk1w" TargetMode="External"/><Relationship Id="rId16" Type="http://schemas.openxmlformats.org/officeDocument/2006/relationships/hyperlink" Target="https://drive.google.com/open?id=12q7_YThds14mCKzgjDbGpkTDUsR_IIrp" TargetMode="External"/><Relationship Id="rId19" Type="http://schemas.openxmlformats.org/officeDocument/2006/relationships/hyperlink" Target="https://drive.google.com/open?id=1vMou-fv-HqCt5O5ZE_8crtATZ7CWVhRO" TargetMode="External"/><Relationship Id="rId18" Type="http://schemas.openxmlformats.org/officeDocument/2006/relationships/hyperlink" Target="https://drive.google.com/open?id=1_REzCOWCN7-SB08nsLV5Lsu3Hr6J_BaX" TargetMode="External"/><Relationship Id="rId62" Type="http://schemas.openxmlformats.org/officeDocument/2006/relationships/hyperlink" Target="https://drive.google.com/open?id=1LHZNKkjPkDeO5wUR2DkNoNOLLYKkjwHQ" TargetMode="External"/><Relationship Id="rId61" Type="http://schemas.openxmlformats.org/officeDocument/2006/relationships/hyperlink" Target="https://drive.google.com/open?id=1HSyxZDsEwM7ZMzgMrnhmHJZ8nfS3Dhu9" TargetMode="External"/><Relationship Id="rId64" Type="http://schemas.openxmlformats.org/officeDocument/2006/relationships/drawing" Target="../drawings/drawing6.xml"/><Relationship Id="rId63" Type="http://schemas.openxmlformats.org/officeDocument/2006/relationships/hyperlink" Target="https://drive.google.com/open?id=1tOOoAobS6bJXJjAz5-T2biCrQdhei5QS" TargetMode="External"/><Relationship Id="rId60" Type="http://schemas.openxmlformats.org/officeDocument/2006/relationships/hyperlink" Target="https://drive.google.com/file/d/1tdRbin-edsEyLSUk_2Wu4Ss3l0lUVDEk/view" TargetMode="External"/><Relationship Id="rId51" Type="http://schemas.openxmlformats.org/officeDocument/2006/relationships/hyperlink" Target="https://drive.google.com/open?id=1ez4EGtmG0q8JlmYF8n2vF6PlZcB5mZZv" TargetMode="External"/><Relationship Id="rId50" Type="http://schemas.openxmlformats.org/officeDocument/2006/relationships/hyperlink" Target="https://drive.google.com/open?id=1rzAsdxB6Jk4N9JAiU-UIsw6HZvmyH3Hz" TargetMode="External"/><Relationship Id="rId53" Type="http://schemas.openxmlformats.org/officeDocument/2006/relationships/hyperlink" Target="https://drive.google.com/open?id=1vBvhidCXcPP4erO3KFPIOwA7EGAnCBlW" TargetMode="External"/><Relationship Id="rId52" Type="http://schemas.openxmlformats.org/officeDocument/2006/relationships/hyperlink" Target="https://drive.google.com/open?id=142HoBkQx1gJRQyTTlPl4dP7WQOLa9_Uc" TargetMode="External"/><Relationship Id="rId55" Type="http://schemas.openxmlformats.org/officeDocument/2006/relationships/hyperlink" Target="https://drive.google.com/open?id=1-E7G8PksWKlapqwQZJnrG1mmVzYV3f9o" TargetMode="External"/><Relationship Id="rId54" Type="http://schemas.openxmlformats.org/officeDocument/2006/relationships/hyperlink" Target="https://drive.google.com/open?id=1aiZbuGrFJ6fyzvzo0xTaSzTei0A4yOgt" TargetMode="External"/><Relationship Id="rId57" Type="http://schemas.openxmlformats.org/officeDocument/2006/relationships/hyperlink" Target="https://drive.google.com/open?id=1kIcQdnfBZBXu4mamTBY7HEcJdad-hX4h" TargetMode="External"/><Relationship Id="rId56" Type="http://schemas.openxmlformats.org/officeDocument/2006/relationships/hyperlink" Target="https://drive.google.com/open?id=1OXdUO_iXf32DY89Jf_DnlqNIU1_HzGBn" TargetMode="External"/><Relationship Id="rId59" Type="http://schemas.openxmlformats.org/officeDocument/2006/relationships/hyperlink" Target="https://drive.google.com/open?id=1jBFwjAmrs0QlmDvvvMGb9f9BQyq49xOW" TargetMode="External"/><Relationship Id="rId58" Type="http://schemas.openxmlformats.org/officeDocument/2006/relationships/hyperlink" Target="https://drive.google.com/open?id=1tKA8dAeD2LkQteyh5U4wcBc041g4oq4Q"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open?id=1IgiDs6GwiAGSRupabCreK5rCtSTOzoN-" TargetMode="External"/><Relationship Id="rId2" Type="http://schemas.openxmlformats.org/officeDocument/2006/relationships/hyperlink" Target="https://drive.google.com/open?id=1pSsLyceTWfAfSyUzwaOCnwc5DjQy8zBX" TargetMode="External"/><Relationship Id="rId3" Type="http://schemas.openxmlformats.org/officeDocument/2006/relationships/hyperlink" Target="https://drive.google.com/open?id=1jbNIenMl5jzfM4sM-CONRVVplHED_KUp" TargetMode="External"/><Relationship Id="rId4" Type="http://schemas.openxmlformats.org/officeDocument/2006/relationships/hyperlink" Target="https://drive.google.com/open?id=17zxKZjt4as5WLP0SGalBoID599IPN1J6" TargetMode="External"/><Relationship Id="rId9" Type="http://schemas.openxmlformats.org/officeDocument/2006/relationships/hyperlink" Target="https://drive.google.com/open?id=1_SOYa2b0vgCRg6ySbP6y2ZY8HmDJF--E" TargetMode="External"/><Relationship Id="rId5" Type="http://schemas.openxmlformats.org/officeDocument/2006/relationships/hyperlink" Target="https://drive.google.com/open?id=1cPrEeH2vUGDXOYm6MNNPKVRe4HnslS2u" TargetMode="External"/><Relationship Id="rId6" Type="http://schemas.openxmlformats.org/officeDocument/2006/relationships/hyperlink" Target="https://drive.google.com/open?id=1UhxayMlL8VOiIMwNZWWSVUXm9RnmBNXM" TargetMode="External"/><Relationship Id="rId7" Type="http://schemas.openxmlformats.org/officeDocument/2006/relationships/hyperlink" Target="https://drive.google.com/open?id=1NLKxP3JLMSR4UQNNRZDjHtQIyUGFHuiF" TargetMode="External"/><Relationship Id="rId8" Type="http://schemas.openxmlformats.org/officeDocument/2006/relationships/hyperlink" Target="https://drive.google.com/open?id=1kyhmsbFcIRjFOSaKqGxel7bOTENMnD4I" TargetMode="External"/><Relationship Id="rId40" Type="http://schemas.openxmlformats.org/officeDocument/2006/relationships/hyperlink" Target="https://drive.google.com/open?id=18GSftaFYfke3LZXNiQLToQljll1My75o" TargetMode="External"/><Relationship Id="rId42" Type="http://schemas.openxmlformats.org/officeDocument/2006/relationships/hyperlink" Target="https://drive.google.com/open?id=1nqZPRimMZ0bVI_Z0-EyX87G-GKblUIyF" TargetMode="External"/><Relationship Id="rId41" Type="http://schemas.openxmlformats.org/officeDocument/2006/relationships/hyperlink" Target="https://drive.google.com/open?id=1tAFtFuEpztCYZ6JtiWSmryFSmFBPuPYq" TargetMode="External"/><Relationship Id="rId44" Type="http://schemas.openxmlformats.org/officeDocument/2006/relationships/hyperlink" Target="https://drive.google.com/open?id=1ISiirsN8SoEbCvZ-f6paTOF1g6q1h2Iz" TargetMode="External"/><Relationship Id="rId43" Type="http://schemas.openxmlformats.org/officeDocument/2006/relationships/hyperlink" Target="https://drive.google.com/open?id=1QfP_sJNISJwI5C9j0M5KUEmehGf2-FtO" TargetMode="External"/><Relationship Id="rId46" Type="http://schemas.openxmlformats.org/officeDocument/2006/relationships/hyperlink" Target="https://drive.google.com/open?id=1_REzCOWCN7-SB08nsLV5Lsu3Hr6J_BaX" TargetMode="External"/><Relationship Id="rId45" Type="http://schemas.openxmlformats.org/officeDocument/2006/relationships/hyperlink" Target="https://drive.google.com/open?id=1FYmvK4xFhjBduaivYg3y10uVjncABNbV" TargetMode="External"/><Relationship Id="rId48" Type="http://schemas.openxmlformats.org/officeDocument/2006/relationships/hyperlink" Target="https://drive.google.com/open?id=1xqF0w7W4VYEYa0WT_5e6a0Ikromi0hvu" TargetMode="External"/><Relationship Id="rId47" Type="http://schemas.openxmlformats.org/officeDocument/2006/relationships/hyperlink" Target="https://drive.google.com/open?id=1cgqnxkR8vYh_sCvf4YD8h6YvrKLDCIlu" TargetMode="External"/><Relationship Id="rId49" Type="http://schemas.openxmlformats.org/officeDocument/2006/relationships/hyperlink" Target="https://drive.google.com/open?id=1C69jl0UiGQmYOxfX3S541Dt-mhhSYD1C" TargetMode="External"/><Relationship Id="rId31" Type="http://schemas.openxmlformats.org/officeDocument/2006/relationships/hyperlink" Target="https://drive.google.com/open?id=1y_y8N4VsptkGfL-NBJDOj--AEF9JOwgb" TargetMode="External"/><Relationship Id="rId30" Type="http://schemas.openxmlformats.org/officeDocument/2006/relationships/hyperlink" Target="https://drive.google.com/open?id=1-FsPpYt1WWmUoBg2ia9lv_r-iTU6kQqM" TargetMode="External"/><Relationship Id="rId33" Type="http://schemas.openxmlformats.org/officeDocument/2006/relationships/hyperlink" Target="https://drive.google.com/open?id=1wcjhOVHk29Z7qQhYwNyyYdjWpY8hu6mB" TargetMode="External"/><Relationship Id="rId32" Type="http://schemas.openxmlformats.org/officeDocument/2006/relationships/hyperlink" Target="https://drive.google.com/open?id=1oJp5MgelsCfTezvembMoNfj_MAzY_Zf_" TargetMode="External"/><Relationship Id="rId35" Type="http://schemas.openxmlformats.org/officeDocument/2006/relationships/hyperlink" Target="https://drive.google.com/open?id=1iNrJZHX7ViSyOwgWPHG4hkGFICm79Io9" TargetMode="External"/><Relationship Id="rId34" Type="http://schemas.openxmlformats.org/officeDocument/2006/relationships/hyperlink" Target="https://drive.google.com/open?id=16odj2X4BqRaUL7iWSZhNN2Cnyo3DhO6l" TargetMode="External"/><Relationship Id="rId37" Type="http://schemas.openxmlformats.org/officeDocument/2006/relationships/hyperlink" Target="https://drive.google.com/open?id=1p5YcTn_OYyQuvRpBfgtcvPW9pEsWNARZ" TargetMode="External"/><Relationship Id="rId36" Type="http://schemas.openxmlformats.org/officeDocument/2006/relationships/hyperlink" Target="https://drive.google.com/open?id=1OP7weDO5Z7HeCJASf3K9kKtIH2ZKu8Be" TargetMode="External"/><Relationship Id="rId39" Type="http://schemas.openxmlformats.org/officeDocument/2006/relationships/hyperlink" Target="https://drive.google.com/open?id=1lukE5muQ63PdF5qG8xtqwgG5BaQ7PZ5g" TargetMode="External"/><Relationship Id="rId38" Type="http://schemas.openxmlformats.org/officeDocument/2006/relationships/hyperlink" Target="https://drive.google.com/open?id=1pDwxEJJv3WM47InqQ7vKZTfxg1CDWCwv" TargetMode="External"/><Relationship Id="rId20" Type="http://schemas.openxmlformats.org/officeDocument/2006/relationships/hyperlink" Target="https://drive.google.com/open?id=1qFjbyu3qmdjYUBfX0VfR8z6lP3HSA65G" TargetMode="External"/><Relationship Id="rId22" Type="http://schemas.openxmlformats.org/officeDocument/2006/relationships/hyperlink" Target="https://drive.google.com/open?id=10UF59S_HP1AhkH8ziWS1nzU9Qoa6fpbP" TargetMode="External"/><Relationship Id="rId21" Type="http://schemas.openxmlformats.org/officeDocument/2006/relationships/hyperlink" Target="https://drive.google.com/open?id=1KZCutb3qBhviEcN4QI-q_OVxbH8wlPuH" TargetMode="External"/><Relationship Id="rId24" Type="http://schemas.openxmlformats.org/officeDocument/2006/relationships/hyperlink" Target="https://drive.google.com/open?id=1JWWVyGGP84vfJfEKHJVhCdzShtw_6Bcr" TargetMode="External"/><Relationship Id="rId23" Type="http://schemas.openxmlformats.org/officeDocument/2006/relationships/hyperlink" Target="https://drive.google.com/open?id=1wmlmNeZFJxqpncRk44Lyrv00EcDt_xPP" TargetMode="External"/><Relationship Id="rId26" Type="http://schemas.openxmlformats.org/officeDocument/2006/relationships/hyperlink" Target="https://drive.google.com/open?id=1z24kEAgZ8Rgz_fQPb7K-XKJJ7BZGvKYy" TargetMode="External"/><Relationship Id="rId25" Type="http://schemas.openxmlformats.org/officeDocument/2006/relationships/hyperlink" Target="https://drive.google.com/open?id=1aRZez1J0hIcDa3KuRdHq5FkXwxaOaSQi" TargetMode="External"/><Relationship Id="rId28" Type="http://schemas.openxmlformats.org/officeDocument/2006/relationships/hyperlink" Target="https://drive.google.com/open?id=19AMfrSLJMoRUqTZq1hbkjkAeeN27pH-w" TargetMode="External"/><Relationship Id="rId27" Type="http://schemas.openxmlformats.org/officeDocument/2006/relationships/hyperlink" Target="https://drive.google.com/open?id=1MZNo7KP6PCwINossPnA1ur4zEgZJtNN6" TargetMode="External"/><Relationship Id="rId29" Type="http://schemas.openxmlformats.org/officeDocument/2006/relationships/hyperlink" Target="https://drive.google.com/open?id=1cPq0DHKflf6AbkepgqzLz2hrLRe52byy" TargetMode="External"/><Relationship Id="rId11" Type="http://schemas.openxmlformats.org/officeDocument/2006/relationships/hyperlink" Target="https://drive.google.com/open?id=1PZ998--DeqW1oBXBlQkgNrAVF9AtKG9y" TargetMode="External"/><Relationship Id="rId10" Type="http://schemas.openxmlformats.org/officeDocument/2006/relationships/hyperlink" Target="https://drive.google.com/open?id=1wgNK-_yVS8tGdk4ZgYIXjCG8jkAaqh_h" TargetMode="External"/><Relationship Id="rId13" Type="http://schemas.openxmlformats.org/officeDocument/2006/relationships/hyperlink" Target="https://drive.google.com/open?id=1ih3Ojw2EhcGsKhII48dbNbao12Vfxlc3" TargetMode="External"/><Relationship Id="rId12" Type="http://schemas.openxmlformats.org/officeDocument/2006/relationships/hyperlink" Target="https://drive.google.com/open?id=11qRSC6JPBKbyejTAN6np5DHY0oabDJ0A" TargetMode="External"/><Relationship Id="rId15" Type="http://schemas.openxmlformats.org/officeDocument/2006/relationships/hyperlink" Target="https://drive.google.com/open?id=1NE0Rji7CuXnxy0Q-dRr_e8po4KMN3ZSW" TargetMode="External"/><Relationship Id="rId14" Type="http://schemas.openxmlformats.org/officeDocument/2006/relationships/hyperlink" Target="https://drive.google.com/open?id=112rx3yIper6eaOSQoP4tsdxclq1QXnvi" TargetMode="External"/><Relationship Id="rId17" Type="http://schemas.openxmlformats.org/officeDocument/2006/relationships/hyperlink" Target="https://drive.google.com/open?id=1mh4n5SXui2hxYuynEQ4ow4kmyro-eQt9" TargetMode="External"/><Relationship Id="rId16" Type="http://schemas.openxmlformats.org/officeDocument/2006/relationships/hyperlink" Target="https://drive.google.com/open?id=1WKuUMK5_mS_VWLFbpEhCb8p9Jf0DL-Bm" TargetMode="External"/><Relationship Id="rId19" Type="http://schemas.openxmlformats.org/officeDocument/2006/relationships/hyperlink" Target="https://drive.google.com/open?id=1pPzm_IbA3Sc2VuKUaO9cabablSMWiPrL" TargetMode="External"/><Relationship Id="rId18" Type="http://schemas.openxmlformats.org/officeDocument/2006/relationships/hyperlink" Target="https://drive.google.com/open?id=1RQZAX9455sMXHMgPPL8Mst9plOXPoJPh" TargetMode="External"/><Relationship Id="rId51" Type="http://schemas.openxmlformats.org/officeDocument/2006/relationships/hyperlink" Target="https://drive.google.com/open?id=1VfUR82rPMwXHXYVTKWgzqacv3zd4CN7T" TargetMode="External"/><Relationship Id="rId50" Type="http://schemas.openxmlformats.org/officeDocument/2006/relationships/hyperlink" Target="https://drive.google.com/open?id=1Wg_lYH7ILV8-R5MBjI8qmD2y1r4N9IM7" TargetMode="External"/><Relationship Id="rId5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opmWhET5IZ5e5C9qRMIInHi8Ftg5CX1s" TargetMode="External"/><Relationship Id="rId2" Type="http://schemas.openxmlformats.org/officeDocument/2006/relationships/hyperlink" Target="https://drive.google.com/drive/u/0/folders/1l7cc4tX_Rh4cxQzx88gGEsAwN2lB0DqG" TargetMode="External"/><Relationship Id="rId3" Type="http://schemas.openxmlformats.org/officeDocument/2006/relationships/hyperlink" Target="https://drive.google.com/open?id=19zSwgBZDGra1PjLOl9tGkdoU1lGMJa03" TargetMode="External"/><Relationship Id="rId4" Type="http://schemas.openxmlformats.org/officeDocument/2006/relationships/hyperlink" Target="https://drive.google.com/drive/u/0/folders/1sdhVY_l-WsijlDfnwJeQG5dD_Yn6mLUR" TargetMode="External"/><Relationship Id="rId9" Type="http://schemas.openxmlformats.org/officeDocument/2006/relationships/hyperlink" Target="https://drive.google.com/drive/u/0/folders/1Ys2OljXCM4kZpDJgxoQ38H7X68LFV5YT" TargetMode="External"/><Relationship Id="rId5" Type="http://schemas.openxmlformats.org/officeDocument/2006/relationships/hyperlink" Target="https://drive.google.com/open?id=19zSwgBZDGra1PjLOl9tGkdoU1lGMJa03" TargetMode="External"/><Relationship Id="rId6" Type="http://schemas.openxmlformats.org/officeDocument/2006/relationships/hyperlink" Target="https://drive.google.com/drive/u/0/folders/1htdFuF4DffWjUSQlLCdYpwVqfZhRIeH0" TargetMode="External"/><Relationship Id="rId7" Type="http://schemas.openxmlformats.org/officeDocument/2006/relationships/hyperlink" Target="https://drive.google.com/open?id=1d93yM-MsLFddbNaloKioDjARBAt_MCAY" TargetMode="External"/><Relationship Id="rId8" Type="http://schemas.openxmlformats.org/officeDocument/2006/relationships/hyperlink" Target="http://matidor.com" TargetMode="External"/><Relationship Id="rId40" Type="http://schemas.openxmlformats.org/officeDocument/2006/relationships/hyperlink" Target="https://drive.google.com/drive/u/0/folders/13gnHL1iJ4C1bXgpKQcHz0h03utl7hW8E" TargetMode="External"/><Relationship Id="rId42" Type="http://schemas.openxmlformats.org/officeDocument/2006/relationships/hyperlink" Target="https://drive.google.com/drive/u/0/folders/1Misj7lSZbuRIGtVdiqOUT7-7um1qkvDO" TargetMode="External"/><Relationship Id="rId41" Type="http://schemas.openxmlformats.org/officeDocument/2006/relationships/hyperlink" Target="https://drive.google.com/open?id=15yz3X-c7DNFk--zTwvjsDDFT9cmjGyTs" TargetMode="External"/><Relationship Id="rId44" Type="http://schemas.openxmlformats.org/officeDocument/2006/relationships/hyperlink" Target="https://drive.google.com/drive/u/0/folders/1qNatgOx06Y581UVGRzm4bcRTjmKZaGD6" TargetMode="External"/><Relationship Id="rId43" Type="http://schemas.openxmlformats.org/officeDocument/2006/relationships/hyperlink" Target="https://drive.google.com/open?id=1WFTz8kpUeWIfU-E7vlVzV_X35ThqSxlL" TargetMode="External"/><Relationship Id="rId46" Type="http://schemas.openxmlformats.org/officeDocument/2006/relationships/hyperlink" Target="https://drive.google.com/drive/u/0/folders/1vkbTyESHOwBFXJffJ2rSa3bZMbw2VU1_" TargetMode="External"/><Relationship Id="rId45" Type="http://schemas.openxmlformats.org/officeDocument/2006/relationships/hyperlink" Target="https://drive.google.com/open?id=1FpUv-Ttxs-nZx5roeTKnpZEZlPqXz-A_" TargetMode="External"/><Relationship Id="rId48" Type="http://schemas.openxmlformats.org/officeDocument/2006/relationships/hyperlink" Target="https://drive.google.com/drive/u/0/folders/1qNatgOx06Y581UVGRzm4bcRTjmKZaGD6" TargetMode="External"/><Relationship Id="rId47" Type="http://schemas.openxmlformats.org/officeDocument/2006/relationships/hyperlink" Target="https://drive.google.com/open?id=1e8FMjXvfSucTLCBpiRIoo7nx5UrKHeKw" TargetMode="External"/><Relationship Id="rId49" Type="http://schemas.openxmlformats.org/officeDocument/2006/relationships/hyperlink" Target="https://drive.google.com/open?id=1DeNWkTvAs32AF8HviqOCPEgpxGvh7O1O" TargetMode="External"/><Relationship Id="rId31" Type="http://schemas.openxmlformats.org/officeDocument/2006/relationships/hyperlink" Target="https://drive.google.com/open?id=1wtIpJNBQAuXZK2zJM-A0XKaXIJuLVUKJ" TargetMode="External"/><Relationship Id="rId30" Type="http://schemas.openxmlformats.org/officeDocument/2006/relationships/hyperlink" Target="https://drive.google.com/drive/u/0/folders/1VvSZNTiGBrdFVbpUBx3_U11Av5xjEaTb" TargetMode="External"/><Relationship Id="rId33" Type="http://schemas.openxmlformats.org/officeDocument/2006/relationships/hyperlink" Target="https://drive.google.com/open?id=1d2JIivGVBglFEum-aaKVh3Q5tbJ3Dxc1" TargetMode="External"/><Relationship Id="rId32" Type="http://schemas.openxmlformats.org/officeDocument/2006/relationships/hyperlink" Target="https://drive.google.com/drive/u/0/folders/1w6rDwB2m8MNH4-LE_hWLcONR84nisSDn" TargetMode="External"/><Relationship Id="rId35" Type="http://schemas.openxmlformats.org/officeDocument/2006/relationships/hyperlink" Target="https://drive.google.com/open?id=1xu4lEv-isAGjpJsXtTneIVT77-yl1yqo" TargetMode="External"/><Relationship Id="rId34" Type="http://schemas.openxmlformats.org/officeDocument/2006/relationships/hyperlink" Target="https://drive.google.com/drive/u/0/folders/1taFVc8tJCv2U7TaqAA--VxZGJDbMuyCE" TargetMode="External"/><Relationship Id="rId37" Type="http://schemas.openxmlformats.org/officeDocument/2006/relationships/hyperlink" Target="https://drive.google.com/open?id=1hp5EMnu1UjJcwFFxRIs902dOMRCU8MGh" TargetMode="External"/><Relationship Id="rId36" Type="http://schemas.openxmlformats.org/officeDocument/2006/relationships/hyperlink" Target="https://drive.google.com/drive/u/0/folders/1qXNR9QFqSDFDwT09uOGQmgxmi2Y0foyd" TargetMode="External"/><Relationship Id="rId39" Type="http://schemas.openxmlformats.org/officeDocument/2006/relationships/hyperlink" Target="https://drive.google.com/open?id=1moawh52byP8UJYffpGyDCwSw9052VUps" TargetMode="External"/><Relationship Id="rId38" Type="http://schemas.openxmlformats.org/officeDocument/2006/relationships/hyperlink" Target="https://drive.google.com/drive/u/0/folders/1okOZmz-VrGNuMb_QC-yIIsUSSFFQqunN" TargetMode="External"/><Relationship Id="rId20" Type="http://schemas.openxmlformats.org/officeDocument/2006/relationships/hyperlink" Target="https://drive.google.com/drive/u/0/folders/11FZbEfpSLz71avxUIagzwkb08S0TMav0" TargetMode="External"/><Relationship Id="rId22" Type="http://schemas.openxmlformats.org/officeDocument/2006/relationships/hyperlink" Target="https://drive.google.com/drive/u/0/folders/1CLaUNKpbxfYh3uBReeojYlX92VQd6k60" TargetMode="External"/><Relationship Id="rId21" Type="http://schemas.openxmlformats.org/officeDocument/2006/relationships/hyperlink" Target="https://drive.google.com/open?id=1_YXA0SlOkGmYX5Ng9LyUu_BwgG9m39Or" TargetMode="External"/><Relationship Id="rId24" Type="http://schemas.openxmlformats.org/officeDocument/2006/relationships/hyperlink" Target="https://drive.google.com/drive/u/0/folders/15JciFzNVoB0Ee4PeW5L5Sje52a1bqLbW" TargetMode="External"/><Relationship Id="rId23" Type="http://schemas.openxmlformats.org/officeDocument/2006/relationships/hyperlink" Target="https://drive.google.com/file/d/1eTnWn3jOylOATM0eMEac425oRGp4UwDi/view" TargetMode="External"/><Relationship Id="rId26" Type="http://schemas.openxmlformats.org/officeDocument/2006/relationships/hyperlink" Target="https://drive.google.com/drive/u/0/folders/1XkIYjkuhvfcG8_SvkL1xgpefRotoPeHT" TargetMode="External"/><Relationship Id="rId25" Type="http://schemas.openxmlformats.org/officeDocument/2006/relationships/hyperlink" Target="https://drive.google.com/file/d/1TZolc64qISIROsqbIv7E1eWI33id-ea0/view" TargetMode="External"/><Relationship Id="rId28" Type="http://schemas.openxmlformats.org/officeDocument/2006/relationships/hyperlink" Target="https://drive.google.com/drive/u/0/folders/1e_PhaJrOup1pBn7gEI1VULl2EmHISEmG" TargetMode="External"/><Relationship Id="rId27" Type="http://schemas.openxmlformats.org/officeDocument/2006/relationships/hyperlink" Target="https://drive.google.com/file/d/1Mi7Vptwl0g3PNOLoUc2QvEg_W2XH3u8A/view" TargetMode="External"/><Relationship Id="rId29" Type="http://schemas.openxmlformats.org/officeDocument/2006/relationships/hyperlink" Target="https://drive.google.com/open?id=1zZkJQRnVMuypGK8r_3oQCnzL4Chk6WzU" TargetMode="External"/><Relationship Id="rId11" Type="http://schemas.openxmlformats.org/officeDocument/2006/relationships/hyperlink" Target="https://drive.google.com/open?id=1dahurwOqKfoywAZWO5HxYrTYNM6UlW8G" TargetMode="External"/><Relationship Id="rId10" Type="http://schemas.openxmlformats.org/officeDocument/2006/relationships/hyperlink" Target="http://matidor.com/" TargetMode="External"/><Relationship Id="rId13" Type="http://schemas.openxmlformats.org/officeDocument/2006/relationships/hyperlink" Target="https://drive.google.com/open?id=169uyWjJxUv3M1Qa16Zaav2jxECsLOh8p" TargetMode="External"/><Relationship Id="rId12" Type="http://schemas.openxmlformats.org/officeDocument/2006/relationships/hyperlink" Target="https://drive.google.com/drive/u/0/folders/1nGmIG0SkkjyNfuVnyndhmC8Griz7LkjP" TargetMode="External"/><Relationship Id="rId15" Type="http://schemas.openxmlformats.org/officeDocument/2006/relationships/hyperlink" Target="https://drive.google.com/open?id=1gP32w9uNigNO0BkhRkOCDMuUg50xpWis" TargetMode="External"/><Relationship Id="rId14" Type="http://schemas.openxmlformats.org/officeDocument/2006/relationships/hyperlink" Target="https://drive.google.com/drive/u/0/folders/1EwXQphtVBI23qHxa35IaD1V00FK5O6Wt" TargetMode="External"/><Relationship Id="rId17" Type="http://schemas.openxmlformats.org/officeDocument/2006/relationships/hyperlink" Target="https://drive.google.com/open?id=1n9aDo7nfqVwc66lgpANhQCsU7_xSRo4R" TargetMode="External"/><Relationship Id="rId16" Type="http://schemas.openxmlformats.org/officeDocument/2006/relationships/hyperlink" Target="https://drive.google.com/drive/u/0/folders/1dmfEJvp6GK4jTlzQbDU02RQ-H8rXCGPD" TargetMode="External"/><Relationship Id="rId19" Type="http://schemas.openxmlformats.org/officeDocument/2006/relationships/hyperlink" Target="https://drive.google.com/open?id=1EVDgjy6EqFqptaSLoPwt-S4_lKYvPnhM" TargetMode="External"/><Relationship Id="rId18" Type="http://schemas.openxmlformats.org/officeDocument/2006/relationships/hyperlink" Target="https://drive.google.com/drive/u/0/folders/1GzuPrd87-DjVv1MuRa6LxkMHIxPdcuHU" TargetMode="External"/><Relationship Id="rId84" Type="http://schemas.openxmlformats.org/officeDocument/2006/relationships/drawing" Target="../drawings/drawing8.xml"/><Relationship Id="rId83" Type="http://schemas.openxmlformats.org/officeDocument/2006/relationships/hyperlink" Target="https://drive.google.com/open?id=1WCGS_zTIpLQRvAkrxGDcAMG7H574sJ2E" TargetMode="External"/><Relationship Id="rId80" Type="http://schemas.openxmlformats.org/officeDocument/2006/relationships/hyperlink" Target="https://drive.google.com/drive/u/0/folders/1e6yHDV06QGKwnVccOSByOU6k13R7QrLM" TargetMode="External"/><Relationship Id="rId82" Type="http://schemas.openxmlformats.org/officeDocument/2006/relationships/hyperlink" Target="https://drive.google.com/drive/u/0/folders/1GH835h5M5ovyDx9_bWzjCiWXCgQZHbYh" TargetMode="External"/><Relationship Id="rId81" Type="http://schemas.openxmlformats.org/officeDocument/2006/relationships/hyperlink" Target="https://drive.google.com/open?id=16yFrJphXXBAhM4hOUqOal8nccIuS2Xho" TargetMode="External"/><Relationship Id="rId73" Type="http://schemas.openxmlformats.org/officeDocument/2006/relationships/hyperlink" Target="https://drive.google.com/open?id=1BQhnKPYSz9EJ9HrAFVJ6mY08FwDVkfig" TargetMode="External"/><Relationship Id="rId72" Type="http://schemas.openxmlformats.org/officeDocument/2006/relationships/hyperlink" Target="https://drive.google.com/drive/u/0/folders/1yMYUCweM7KcnLNQ65nfuZTOSTY5TFmHV" TargetMode="External"/><Relationship Id="rId75" Type="http://schemas.openxmlformats.org/officeDocument/2006/relationships/hyperlink" Target="https://drive.google.com/open?id=16kneEPodfv6dfOJeBXbKFxKlO4fXdIWg" TargetMode="External"/><Relationship Id="rId74" Type="http://schemas.openxmlformats.org/officeDocument/2006/relationships/hyperlink" Target="https://drive.google.com/drive/u/0/folders/1U_PYH4-vSGIXCTn3Aiu_DeK9NGQPjyX-" TargetMode="External"/><Relationship Id="rId77" Type="http://schemas.openxmlformats.org/officeDocument/2006/relationships/hyperlink" Target="https://drive.google.com/open?id=17wiGxuoWjQzRKcbBYpVvNLxoYNR-G4Xg" TargetMode="External"/><Relationship Id="rId76" Type="http://schemas.openxmlformats.org/officeDocument/2006/relationships/hyperlink" Target="https://drive.google.com/drive/u/0/folders/1jdRJqbbQ3xb8FAh4adsrGJ9BTFjeznsi" TargetMode="External"/><Relationship Id="rId79" Type="http://schemas.openxmlformats.org/officeDocument/2006/relationships/hyperlink" Target="https://drive.google.com/open?id=1v9oEhnUeFiukVCSy8F10D0BZdEwHTI0-" TargetMode="External"/><Relationship Id="rId78" Type="http://schemas.openxmlformats.org/officeDocument/2006/relationships/hyperlink" Target="https://drive.google.com/drive/u/0/folders/1LRs7DamCIlJZgjKOvtv8Huhwwg62SnvI" TargetMode="External"/><Relationship Id="rId71" Type="http://schemas.openxmlformats.org/officeDocument/2006/relationships/hyperlink" Target="https://drive.google.com/open?id=13VDEo_-n6pH-OY70bUOcIV2Q7UMc_AyV" TargetMode="External"/><Relationship Id="rId70" Type="http://schemas.openxmlformats.org/officeDocument/2006/relationships/hyperlink" Target="https://drive.google.com/drive/u/0/folders/1aUwn3cs_38hFk_GG4HT7fxObZhyIYyq8" TargetMode="External"/><Relationship Id="rId62" Type="http://schemas.openxmlformats.org/officeDocument/2006/relationships/hyperlink" Target="https://drive.google.com/drive/u/0/folders/1iYu-G-9D6FiRn77tbKemTAZbGZRY6Olx" TargetMode="External"/><Relationship Id="rId61" Type="http://schemas.openxmlformats.org/officeDocument/2006/relationships/hyperlink" Target="https://drive.google.com/open?id=1VLQeWD4OYkw0PbQD505yzE9fpOWvfvx8" TargetMode="External"/><Relationship Id="rId64" Type="http://schemas.openxmlformats.org/officeDocument/2006/relationships/hyperlink" Target="https://drive.google.com/drive/u/0/folders/1OXG3xl9Y3ma8BvBZcXEX5GshPP0zx89g" TargetMode="External"/><Relationship Id="rId63" Type="http://schemas.openxmlformats.org/officeDocument/2006/relationships/hyperlink" Target="https://drive.google.com/open?id=1Bp4aoFGAa8ogVe0vaUkS-FLYd5nyBlfy" TargetMode="External"/><Relationship Id="rId66" Type="http://schemas.openxmlformats.org/officeDocument/2006/relationships/hyperlink" Target="https://drive.google.com/drive/u/0/folders/1hjLV9mVB-DYJ6LVwU88lGi4IXrWGPtNn" TargetMode="External"/><Relationship Id="rId65" Type="http://schemas.openxmlformats.org/officeDocument/2006/relationships/hyperlink" Target="https://drive.google.com/open?id=1QVMr5zOsXJuWVC8x2xivsd7gxUVsNZup" TargetMode="External"/><Relationship Id="rId68" Type="http://schemas.openxmlformats.org/officeDocument/2006/relationships/hyperlink" Target="https://drive.google.com/drive/u/0/folders/1A5gqX7b73-RY8PilIvJMsjvL9QrEQEQx" TargetMode="External"/><Relationship Id="rId67" Type="http://schemas.openxmlformats.org/officeDocument/2006/relationships/hyperlink" Target="https://drive.google.com/open?id=1bj6OB1_ekBmHwpeKLu9xZ7Uxo5GSAsir" TargetMode="External"/><Relationship Id="rId60" Type="http://schemas.openxmlformats.org/officeDocument/2006/relationships/hyperlink" Target="https://drive.google.com/drive/u/0/folders/1JtP3l5bUkT3WfuCueSOu-K9v0FpOWEky" TargetMode="External"/><Relationship Id="rId69" Type="http://schemas.openxmlformats.org/officeDocument/2006/relationships/hyperlink" Target="https://drive.google.com/open?id=1jYlFBoScSDhx_uVXq5OFHjId0PEhKGfR" TargetMode="External"/><Relationship Id="rId51" Type="http://schemas.openxmlformats.org/officeDocument/2006/relationships/hyperlink" Target="https://drive.google.com/open?id=1RTo7v8TEXP7V0bS_Jc9hFk-QANm8Tlqa" TargetMode="External"/><Relationship Id="rId50" Type="http://schemas.openxmlformats.org/officeDocument/2006/relationships/hyperlink" Target="https://drive.google.com/drive/u/0/folders/1kD-ZbbsunDGJOZ2eiOWyd6M9cpgj2gc5" TargetMode="External"/><Relationship Id="rId53" Type="http://schemas.openxmlformats.org/officeDocument/2006/relationships/hyperlink" Target="https://drive.google.com/open?id=14f_n8xWoc16UbfsX__bXmH7DfeuqCH60" TargetMode="External"/><Relationship Id="rId52" Type="http://schemas.openxmlformats.org/officeDocument/2006/relationships/hyperlink" Target="https://drive.google.com/drive/u/0/folders/1vkbTyESHOwBFXJffJ2rSa3bZMbw2VU1_" TargetMode="External"/><Relationship Id="rId55" Type="http://schemas.openxmlformats.org/officeDocument/2006/relationships/hyperlink" Target="https://drive.google.com/open?id=1sdXkYsSJPnjgjV7GZmCtrrkHnmVfyvGs" TargetMode="External"/><Relationship Id="rId54" Type="http://schemas.openxmlformats.org/officeDocument/2006/relationships/hyperlink" Target="https://drive.google.com/drive/u/0/folders/1kRt-35Qid-YJx7OuXvx9EDjlZP0xO4_y" TargetMode="External"/><Relationship Id="rId57" Type="http://schemas.openxmlformats.org/officeDocument/2006/relationships/hyperlink" Target="https://drive.google.com/open?id=1-rJJU6kgMwSrEmslOoS1MWjvWj5uFVwN" TargetMode="External"/><Relationship Id="rId56" Type="http://schemas.openxmlformats.org/officeDocument/2006/relationships/hyperlink" Target="https://drive.google.com/drive/u/0/folders/1eVhnt87c5X58quhldMY7J70E1zWPjU-Z" TargetMode="External"/><Relationship Id="rId59" Type="http://schemas.openxmlformats.org/officeDocument/2006/relationships/hyperlink" Target="https://drive.google.com/open?id=1H4Hy9hsQTqz0SFw3f1mMAtDAqo_-tkWr" TargetMode="External"/><Relationship Id="rId58" Type="http://schemas.openxmlformats.org/officeDocument/2006/relationships/hyperlink" Target="https://drive.google.com/drive/u/0/folders/1PaEiBBKIQrAfMr-b6lP6wt2GstnRbNSf"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document/d/1Qhq2EMe67vZGKzE3w4C55jOUthbxU2Sg8-K50ye_mck/edit" TargetMode="External"/><Relationship Id="rId2" Type="http://schemas.openxmlformats.org/officeDocument/2006/relationships/hyperlink" Target="https://drive.google.com/open?id=1huL-GfeSJRY5Mo_am3dYlja1eTxr4gy3" TargetMode="External"/><Relationship Id="rId3" Type="http://schemas.openxmlformats.org/officeDocument/2006/relationships/hyperlink" Target="https://docs.google.com/document/d/1Qhq2EMe67vZGKzE3w4C55jOUthbxU2Sg8-K50ye_mck/edit" TargetMode="External"/><Relationship Id="rId4" Type="http://schemas.openxmlformats.org/officeDocument/2006/relationships/hyperlink" Target="https://drive.google.com/open?id=1Zxmq3mFs2X0h4FTzwj2t5Tri8KWFQ_QP" TargetMode="External"/><Relationship Id="rId9" Type="http://schemas.openxmlformats.org/officeDocument/2006/relationships/hyperlink" Target="https://docs.google.com/document/d/1Qhq2EMe67vZGKzE3w4C55jOUthbxU2Sg8-K50ye_mck/edit" TargetMode="External"/><Relationship Id="rId5" Type="http://schemas.openxmlformats.org/officeDocument/2006/relationships/hyperlink" Target="https://docs.google.com/document/d/1Qhq2EMe67vZGKzE3w4C55jOUthbxU2Sg8-K50ye_mck/edit" TargetMode="External"/><Relationship Id="rId6" Type="http://schemas.openxmlformats.org/officeDocument/2006/relationships/hyperlink" Target="https://drive.google.com/file/d/1A09G5bGQWvemydeXsKcvMRI2CItrUr7b/view" TargetMode="External"/><Relationship Id="rId7" Type="http://schemas.openxmlformats.org/officeDocument/2006/relationships/hyperlink" Target="https://docs.google.com/document/d/1Qhq2EMe67vZGKzE3w4C55jOUthbxU2Sg8-K50ye_mck/edit" TargetMode="External"/><Relationship Id="rId8" Type="http://schemas.openxmlformats.org/officeDocument/2006/relationships/hyperlink" Target="https://drive.google.com/file/d/1mEW6ycsJdXU2pgFA7F-yF7-A0JTogc0I/view" TargetMode="External"/><Relationship Id="rId31" Type="http://schemas.openxmlformats.org/officeDocument/2006/relationships/hyperlink" Target="https://drive.google.com/drive/u/0/folders/1qFVEyLQy20UGH0gcO3CcOq68tSurp-ys" TargetMode="External"/><Relationship Id="rId30" Type="http://schemas.openxmlformats.org/officeDocument/2006/relationships/hyperlink" Target="https://drive.google.com/drive/u/0/folders/1eSU7vkKjqE5AJyzj-qQSoNF-CAY54vW6" TargetMode="External"/><Relationship Id="rId33" Type="http://schemas.openxmlformats.org/officeDocument/2006/relationships/hyperlink" Target="https://drive.google.com/open?id=1cJQjeN4022HqJAiL8zQF7r_JssQ0hM_I" TargetMode="External"/><Relationship Id="rId32" Type="http://schemas.openxmlformats.org/officeDocument/2006/relationships/hyperlink" Target="https://drive.google.com/drive/u/0/folders/14X8j1gQ6Aj3AUOeagPahjl3p0ngXDT9b" TargetMode="External"/><Relationship Id="rId35" Type="http://schemas.openxmlformats.org/officeDocument/2006/relationships/hyperlink" Target="https://drive.google.com/open?id=1jA5OdQ4CLbh33pVAUpDk5Go0DTm9jN9m" TargetMode="External"/><Relationship Id="rId34" Type="http://schemas.openxmlformats.org/officeDocument/2006/relationships/hyperlink" Target="https://drive.google.com/open?id=1V3_OkjvSGtKTQR7GTbHGR9MZuQB5xCzV" TargetMode="External"/><Relationship Id="rId36" Type="http://schemas.openxmlformats.org/officeDocument/2006/relationships/drawing" Target="../drawings/drawing9.xml"/><Relationship Id="rId20" Type="http://schemas.openxmlformats.org/officeDocument/2006/relationships/hyperlink" Target="https://drive.google.com/open?id=1-E2uvTen0Lb7nLueOau1lAsISMfZCH7y" TargetMode="External"/><Relationship Id="rId22" Type="http://schemas.openxmlformats.org/officeDocument/2006/relationships/hyperlink" Target="https://drive.google.com/open?id=1ttoqhavs_kjqB1Cgn93N2eOOgRKCWAO7" TargetMode="External"/><Relationship Id="rId21" Type="http://schemas.openxmlformats.org/officeDocument/2006/relationships/hyperlink" Target="https://docs.google.com/document/d/1Qhq2EMe67vZGKzE3w4C55jOUthbxU2Sg8-K50ye_mck/edit" TargetMode="External"/><Relationship Id="rId24" Type="http://schemas.openxmlformats.org/officeDocument/2006/relationships/hyperlink" Target="https://drive.google.com/open?id=1TjgT1Wi23pTHazrx3HjrA4SaapYXpMEQ" TargetMode="External"/><Relationship Id="rId23" Type="http://schemas.openxmlformats.org/officeDocument/2006/relationships/hyperlink" Target="https://docs.google.com/document/d/1Qhq2EMe67vZGKzE3w4C55jOUthbxU2Sg8-K50ye_mck/edit" TargetMode="External"/><Relationship Id="rId26" Type="http://schemas.openxmlformats.org/officeDocument/2006/relationships/hyperlink" Target="https://drive.google.com/open?id=1cpIeuhWUXBqtxSf3KEeTK4TUo_7jFSYc" TargetMode="External"/><Relationship Id="rId25" Type="http://schemas.openxmlformats.org/officeDocument/2006/relationships/hyperlink" Target="https://docs.google.com/document/d/1Qhq2EMe67vZGKzE3w4C55jOUthbxU2Sg8-K50ye_mck/edit" TargetMode="External"/><Relationship Id="rId28" Type="http://schemas.openxmlformats.org/officeDocument/2006/relationships/hyperlink" Target="https://drive.google.com/open?id=1FBtCFUE4vXOn_s_5DbvkkU-HObDZ-5pH" TargetMode="External"/><Relationship Id="rId27" Type="http://schemas.openxmlformats.org/officeDocument/2006/relationships/hyperlink" Target="https://docs.google.com/document/d/1Qhq2EMe67vZGKzE3w4C55jOUthbxU2Sg8-K50ye_mck/edit" TargetMode="External"/><Relationship Id="rId29" Type="http://schemas.openxmlformats.org/officeDocument/2006/relationships/hyperlink" Target="https://drive.google.com/drive/u/0/folders/16oi407m11fqmIvhrBPkkAKjDn6lmyMMR" TargetMode="External"/><Relationship Id="rId11" Type="http://schemas.openxmlformats.org/officeDocument/2006/relationships/hyperlink" Target="https://docs.google.com/document/d/1Qhq2EMe67vZGKzE3w4C55jOUthbxU2Sg8-K50ye_mck/edit" TargetMode="External"/><Relationship Id="rId10" Type="http://schemas.openxmlformats.org/officeDocument/2006/relationships/hyperlink" Target="https://drive.google.com/open?id=1jEReIe-dBHqcqUyQiqm4lZB_DS-SX7Br" TargetMode="External"/><Relationship Id="rId13" Type="http://schemas.openxmlformats.org/officeDocument/2006/relationships/hyperlink" Target="https://docs.google.com/document/d/1Qhq2EMe67vZGKzE3w4C55jOUthbxU2Sg8-K50ye_mck/edit" TargetMode="External"/><Relationship Id="rId12" Type="http://schemas.openxmlformats.org/officeDocument/2006/relationships/hyperlink" Target="https://drive.google.com/open?id=1wpofpLwmt_uMQE0qll2i02L1Kv5BTDsf" TargetMode="External"/><Relationship Id="rId15" Type="http://schemas.openxmlformats.org/officeDocument/2006/relationships/hyperlink" Target="https://docs.google.com/document/d/1Qhq2EMe67vZGKzE3w4C55jOUthbxU2Sg8-K50ye_mck/edit" TargetMode="External"/><Relationship Id="rId14" Type="http://schemas.openxmlformats.org/officeDocument/2006/relationships/hyperlink" Target="https://drive.google.com/open?id=11Nqp-lotY3RBPqtOC4pDOQyzxH5rht24" TargetMode="External"/><Relationship Id="rId17" Type="http://schemas.openxmlformats.org/officeDocument/2006/relationships/hyperlink" Target="https://docs.google.com/document/d/1Qhq2EMe67vZGKzE3w4C55jOUthbxU2Sg8-K50ye_mck/edit" TargetMode="External"/><Relationship Id="rId16" Type="http://schemas.openxmlformats.org/officeDocument/2006/relationships/hyperlink" Target="https://drive.google.com/file/d/1LIkcL7cud_2sFj7LnftmeC3TTcfJPFJ3/view" TargetMode="External"/><Relationship Id="rId19" Type="http://schemas.openxmlformats.org/officeDocument/2006/relationships/hyperlink" Target="https://docs.google.com/document/d/1Qhq2EMe67vZGKzE3w4C55jOUthbxU2Sg8-K50ye_mck/edit" TargetMode="External"/><Relationship Id="rId18" Type="http://schemas.openxmlformats.org/officeDocument/2006/relationships/hyperlink" Target="https://drive.google.com/open?id=1QsNioJx290z1N0LlGa9WsnedRprj9cWD"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drive.google.com/open?id=1s5Jseg2d3827NXK0cPIpI883CSYfKlwa" TargetMode="External"/><Relationship Id="rId194" Type="http://schemas.openxmlformats.org/officeDocument/2006/relationships/hyperlink" Target="https://drive.google.com/open?id=1iwzMSXfGgN6E_m55C_QBphadV5SZPmwO" TargetMode="External"/><Relationship Id="rId193" Type="http://schemas.openxmlformats.org/officeDocument/2006/relationships/hyperlink" Target="https://drive.google.com/open?id=1ZFc02vNBnMlozdk5Le9PFXZv515UKlwy" TargetMode="External"/><Relationship Id="rId192" Type="http://schemas.openxmlformats.org/officeDocument/2006/relationships/hyperlink" Target="https://drive.google.com/open?id=1ooM6UCz91OLD-jeG8CHp8TXagnhJW4dY" TargetMode="External"/><Relationship Id="rId191" Type="http://schemas.openxmlformats.org/officeDocument/2006/relationships/hyperlink" Target="https://drive.google.com/open?id=1mWGP1-TeQ0SA1QKGOk6DiDBzE9AQxVPk" TargetMode="External"/><Relationship Id="rId187" Type="http://schemas.openxmlformats.org/officeDocument/2006/relationships/hyperlink" Target="https://drive.google.com/file/d/1_Sqicrt54NN_gY_tvI-QlGnzVxQeIynG/view" TargetMode="External"/><Relationship Id="rId186" Type="http://schemas.openxmlformats.org/officeDocument/2006/relationships/hyperlink" Target="https://drive.google.com/open?id=1EVtZiCIXmSYs72II4_NFGsF5sM4jiNEd" TargetMode="External"/><Relationship Id="rId185" Type="http://schemas.openxmlformats.org/officeDocument/2006/relationships/hyperlink" Target="https://drive.google.com/open?id=1kkGndewmodY30wir60L8_l3H2a-VRli7" TargetMode="External"/><Relationship Id="rId184" Type="http://schemas.openxmlformats.org/officeDocument/2006/relationships/hyperlink" Target="https://drive.google.com/open?id=1JX6lUEvXOkovp_ykf4BUwz9EgkqG5z4G" TargetMode="External"/><Relationship Id="rId189" Type="http://schemas.openxmlformats.org/officeDocument/2006/relationships/hyperlink" Target="https://drive.google.com/open?id=1AHf82-vpXqLSG7KidPEHjkYSrklFhYdM" TargetMode="External"/><Relationship Id="rId188" Type="http://schemas.openxmlformats.org/officeDocument/2006/relationships/hyperlink" Target="https://drive.google.com/open?id=1-VFmXTWU2OcnL_WkLDc8dATyNS60V1Yy" TargetMode="External"/><Relationship Id="rId183" Type="http://schemas.openxmlformats.org/officeDocument/2006/relationships/hyperlink" Target="https://drive.google.com/open?id=1mB3IcaJtJkPtYXQnceRVOONWctDlP6LB" TargetMode="External"/><Relationship Id="rId182" Type="http://schemas.openxmlformats.org/officeDocument/2006/relationships/hyperlink" Target="https://drive.google.com/file/d/1noLhyg_qhpk2xmAvpEISAtWXIEhrCMO_/view" TargetMode="External"/><Relationship Id="rId181" Type="http://schemas.openxmlformats.org/officeDocument/2006/relationships/hyperlink" Target="https://drive.google.com/open?id=1iD8bdUa1ecbMXWawAlDb4MDBg0_B87F2" TargetMode="External"/><Relationship Id="rId180" Type="http://schemas.openxmlformats.org/officeDocument/2006/relationships/hyperlink" Target="https://drive.google.com/open?id=1H7W-Hrcv0Lt-B9PXhBtc_7JxB_Yaov5Y" TargetMode="External"/><Relationship Id="rId176" Type="http://schemas.openxmlformats.org/officeDocument/2006/relationships/hyperlink" Target="https://drive.google.com/file/d/15rGVMAWJdZl3VCFMBuiXcaiqFuAAdCrv/view" TargetMode="External"/><Relationship Id="rId175" Type="http://schemas.openxmlformats.org/officeDocument/2006/relationships/hyperlink" Target="https://drive.google.com/open?id=17PAPr6XlG6HdxZDTuNxiHSitvd6UG5YK" TargetMode="External"/><Relationship Id="rId174" Type="http://schemas.openxmlformats.org/officeDocument/2006/relationships/hyperlink" Target="https://drive.google.com/open?id=1UJEuOlqIdwbJZ6DDTOzEHOm0O07HDbc8" TargetMode="External"/><Relationship Id="rId173" Type="http://schemas.openxmlformats.org/officeDocument/2006/relationships/hyperlink" Target="https://drive.google.com/open?id=1TRJWB2e2J-mVFtSXzVjsm0FU0YZFkgiY" TargetMode="External"/><Relationship Id="rId179" Type="http://schemas.openxmlformats.org/officeDocument/2006/relationships/hyperlink" Target="https://drive.google.com/open?id=1bsd24UkH9Qjyg5v9W_AkleI1B5AfJyC5" TargetMode="External"/><Relationship Id="rId178" Type="http://schemas.openxmlformats.org/officeDocument/2006/relationships/hyperlink" Target="https://drive.google.com/open?id=1T7iG47LpU1uqqrOMyU4vEtAtLSPLc4t_" TargetMode="External"/><Relationship Id="rId177" Type="http://schemas.openxmlformats.org/officeDocument/2006/relationships/hyperlink" Target="https://drive.google.com/open?id=1aRnyO3JskbzQqwJ7ZoCX5kGntXmlAEfn" TargetMode="External"/><Relationship Id="rId198" Type="http://schemas.openxmlformats.org/officeDocument/2006/relationships/hyperlink" Target="https://drive.google.com/file/d/1gOZKMmkg2U0BldyzzMnYfqDEeBeJb2Li/view" TargetMode="External"/><Relationship Id="rId197" Type="http://schemas.openxmlformats.org/officeDocument/2006/relationships/hyperlink" Target="https://drive.google.com/file/d/1X3S4qiVmy1_MUR5C4eyqd1js_k9BLak3/view" TargetMode="External"/><Relationship Id="rId196" Type="http://schemas.openxmlformats.org/officeDocument/2006/relationships/hyperlink" Target="https://drive.google.com/open?id=1yZ5rCu3Cek1cz_B2jMcDSK-lqTBlhrke" TargetMode="External"/><Relationship Id="rId195" Type="http://schemas.openxmlformats.org/officeDocument/2006/relationships/hyperlink" Target="https://drive.google.com/open?id=1pP-6qG1Q35QUctTVXheEXctS0Sa5427P" TargetMode="External"/><Relationship Id="rId199" Type="http://schemas.openxmlformats.org/officeDocument/2006/relationships/hyperlink" Target="https://drive.google.com/open?id=1PCY9eRl-2PnDPhHqZPFDZtVY4EiP5rp6" TargetMode="External"/><Relationship Id="rId150" Type="http://schemas.openxmlformats.org/officeDocument/2006/relationships/hyperlink" Target="https://drive.google.com/open?id=1YkqHgISWFLPPosHw-dIHeGGJAuDgnvy5" TargetMode="External"/><Relationship Id="rId271" Type="http://schemas.openxmlformats.org/officeDocument/2006/relationships/hyperlink" Target="https://drive.google.com/open?id=1Gi0f-9XHRRXyhsCvIuXSfwTascOsiDSu" TargetMode="External"/><Relationship Id="rId270" Type="http://schemas.openxmlformats.org/officeDocument/2006/relationships/hyperlink" Target="https://drive.google.com/file/d/1bTyQy4M_JuM08NRSnNz2Yejc5Is5zO2J/view" TargetMode="External"/><Relationship Id="rId1" Type="http://schemas.openxmlformats.org/officeDocument/2006/relationships/hyperlink" Target="https://drive.google.com/open?id=1zmHoy2LzcOwV7ZZLjL-99KVE9S5kwgFz" TargetMode="External"/><Relationship Id="rId2" Type="http://schemas.openxmlformats.org/officeDocument/2006/relationships/hyperlink" Target="https://drive.google.com/open?id=1H5JYCe33ew2zbsfp8-L6yQwdme0N6ajd" TargetMode="External"/><Relationship Id="rId3" Type="http://schemas.openxmlformats.org/officeDocument/2006/relationships/hyperlink" Target="https://drive.google.com/open?id=1-CKjRjtALK0QO4L7qUCOr6CaU-6DV8Fn" TargetMode="External"/><Relationship Id="rId149" Type="http://schemas.openxmlformats.org/officeDocument/2006/relationships/hyperlink" Target="https://drive.google.com/open?id=1QaSTOUsW5SXzAptcdn7Ouxptq7-coPEg" TargetMode="External"/><Relationship Id="rId4" Type="http://schemas.openxmlformats.org/officeDocument/2006/relationships/hyperlink" Target="https://drive.google.com/open?id=1fwB5uUe8L6OyublzbsenYcTc_vsNIkws" TargetMode="External"/><Relationship Id="rId148" Type="http://schemas.openxmlformats.org/officeDocument/2006/relationships/hyperlink" Target="https://drive.google.com/open?id=1GO5_G9VnAw2_fUMTldLNmq1Z7WGcjEIi" TargetMode="External"/><Relationship Id="rId269" Type="http://schemas.openxmlformats.org/officeDocument/2006/relationships/hyperlink" Target="https://drive.google.com/open?id=13f0NqlVdpllJwxOFHyRfD9VMu0Q9MPv7" TargetMode="External"/><Relationship Id="rId9" Type="http://schemas.openxmlformats.org/officeDocument/2006/relationships/hyperlink" Target="https://drive.google.com/open?id=1U5HEATjTQYV6jMWsuLZyxWP5bTKa1QlN" TargetMode="External"/><Relationship Id="rId143" Type="http://schemas.openxmlformats.org/officeDocument/2006/relationships/hyperlink" Target="https://drive.google.com/open?id=1FOdxjHXiNF6TKaCopSqBGjREB2pizCI1" TargetMode="External"/><Relationship Id="rId264" Type="http://schemas.openxmlformats.org/officeDocument/2006/relationships/hyperlink" Target="https://drive.google.com/open?id=1IPonFubpzBZm7fX5AIu5q9UEzBISCAu0" TargetMode="External"/><Relationship Id="rId142" Type="http://schemas.openxmlformats.org/officeDocument/2006/relationships/hyperlink" Target="https://drive.google.com/open?id=1R1ufg2Xj4j2g22Nmy6gBKlqzhKGdpdNv" TargetMode="External"/><Relationship Id="rId263" Type="http://schemas.openxmlformats.org/officeDocument/2006/relationships/hyperlink" Target="https://drive.google.com/file/d/1hAs19-PnuwqMX59hD2B4NksyEydioklD/view" TargetMode="External"/><Relationship Id="rId141" Type="http://schemas.openxmlformats.org/officeDocument/2006/relationships/hyperlink" Target="https://drive.google.com/open?id=1hje7rUcUNpqaPzPRWs2AhaGrmjgtbVw9" TargetMode="External"/><Relationship Id="rId262" Type="http://schemas.openxmlformats.org/officeDocument/2006/relationships/hyperlink" Target="https://drive.google.com/open?id=1FOvEJM5wqUvn3izWxLwe3ghXEKOtCV08" TargetMode="External"/><Relationship Id="rId140" Type="http://schemas.openxmlformats.org/officeDocument/2006/relationships/hyperlink" Target="https://drive.google.com/open?id=1tturyJvaU1kv2UGYf5okweRlLIzHtDRv" TargetMode="External"/><Relationship Id="rId261" Type="http://schemas.openxmlformats.org/officeDocument/2006/relationships/hyperlink" Target="https://drive.google.com/open?id=1t9ud8JM8ChWhwEECIyfRanPxGrX6mArM" TargetMode="External"/><Relationship Id="rId5" Type="http://schemas.openxmlformats.org/officeDocument/2006/relationships/hyperlink" Target="https://drive.google.com/open?id=12ahNzawGIvYGnGW3-kffHRAnKDWnkFLF" TargetMode="External"/><Relationship Id="rId147" Type="http://schemas.openxmlformats.org/officeDocument/2006/relationships/hyperlink" Target="https://drive.google.com/open?id=1JnjWmZBsHpiietxyLCKjesp0v1A0RHZU" TargetMode="External"/><Relationship Id="rId268" Type="http://schemas.openxmlformats.org/officeDocument/2006/relationships/hyperlink" Target="https://drive.google.com/open?id=1CF7iwgmXp4Ds1LHNvea__N8VxzrW6g0R" TargetMode="External"/><Relationship Id="rId6" Type="http://schemas.openxmlformats.org/officeDocument/2006/relationships/hyperlink" Target="https://drive.google.com/open?id=1t_6aziyyrUfo5i4YKtYmV8DMNAVcnNJY" TargetMode="External"/><Relationship Id="rId146" Type="http://schemas.openxmlformats.org/officeDocument/2006/relationships/hyperlink" Target="https://drive.google.com/open?id=1YYzG2miLE5Mza60TlgZuHUpM9gutaUGy" TargetMode="External"/><Relationship Id="rId267" Type="http://schemas.openxmlformats.org/officeDocument/2006/relationships/hyperlink" Target="https://drive.google.com/open?id=1h3e4blwzHDDZlRWyXEE4XhZSKUcoPeHD" TargetMode="External"/><Relationship Id="rId7" Type="http://schemas.openxmlformats.org/officeDocument/2006/relationships/hyperlink" Target="https://drive.google.com/open?id=1TtmN7D3kr5y79eX4hrWVR3i4FMSj27CJ" TargetMode="External"/><Relationship Id="rId145" Type="http://schemas.openxmlformats.org/officeDocument/2006/relationships/hyperlink" Target="https://drive.google.com/open?id=1rt78sVj5plqp-5iLhFAreLkTx-5dNmry" TargetMode="External"/><Relationship Id="rId266" Type="http://schemas.openxmlformats.org/officeDocument/2006/relationships/hyperlink" Target="https://drive.google.com/open?id=1rWQHYA3f9xREwjr0bE0ekXjtv_Yc5ecd" TargetMode="External"/><Relationship Id="rId8" Type="http://schemas.openxmlformats.org/officeDocument/2006/relationships/hyperlink" Target="https://drive.google.com/open?id=1EGlvy6F5JvdzipGYBGt7PAgkVqm18llI" TargetMode="External"/><Relationship Id="rId144" Type="http://schemas.openxmlformats.org/officeDocument/2006/relationships/hyperlink" Target="https://drive.google.com/open?id=1sbUm16-4Gg3_bZm6iV523O_PhUF5cy5l" TargetMode="External"/><Relationship Id="rId265" Type="http://schemas.openxmlformats.org/officeDocument/2006/relationships/hyperlink" Target="https://drive.google.com/open?id=1e7fOYgwlT0X_ZGIHvLbS9GdzpZLEpL3X" TargetMode="External"/><Relationship Id="rId260" Type="http://schemas.openxmlformats.org/officeDocument/2006/relationships/hyperlink" Target="https://drive.google.com/open?id=1w6eGwWlUDQ9EbMmKUKzJSCI5GvaZOtGV" TargetMode="External"/><Relationship Id="rId139" Type="http://schemas.openxmlformats.org/officeDocument/2006/relationships/hyperlink" Target="https://drive.google.com/open?id=1nJeu3oQH3BrYGZ9xfGXbIO3wwm3z7gZh" TargetMode="External"/><Relationship Id="rId138" Type="http://schemas.openxmlformats.org/officeDocument/2006/relationships/hyperlink" Target="https://drive.google.com/open?id=1-yI_ne_B-haqSamxHPCSGe7QLp4myNVC" TargetMode="External"/><Relationship Id="rId259" Type="http://schemas.openxmlformats.org/officeDocument/2006/relationships/hyperlink" Target="https://drive.google.com/open?id=1FSLplaiU842ulzVl2vBBP6L4A9a_myBy" TargetMode="External"/><Relationship Id="rId137" Type="http://schemas.openxmlformats.org/officeDocument/2006/relationships/hyperlink" Target="https://drive.google.com/open?id=1KameuvNIqrQVpr8Ultdmp-GsTKd1ZrE4" TargetMode="External"/><Relationship Id="rId258" Type="http://schemas.openxmlformats.org/officeDocument/2006/relationships/hyperlink" Target="https://drive.google.com/open?id=1fyhmCfvzXhZos5zMqfS4I31R1mXZhES-" TargetMode="External"/><Relationship Id="rId132" Type="http://schemas.openxmlformats.org/officeDocument/2006/relationships/hyperlink" Target="https://drive.google.com/open?id=1n-0qK3WhE_mYsHn7W0MIrg4_ec_imaTo" TargetMode="External"/><Relationship Id="rId253" Type="http://schemas.openxmlformats.org/officeDocument/2006/relationships/hyperlink" Target="https://drive.google.com/open?id=1bDX99wtkYrk1ZI32gQT9UxDwE9xG9Jlk" TargetMode="External"/><Relationship Id="rId131" Type="http://schemas.openxmlformats.org/officeDocument/2006/relationships/hyperlink" Target="https://drive.google.com/open?id=1EHAmV8EeeP9XViKOPdc4R61GxENegfFz" TargetMode="External"/><Relationship Id="rId252" Type="http://schemas.openxmlformats.org/officeDocument/2006/relationships/hyperlink" Target="https://drive.google.com/open?id=164PKbDcrUomZztwkWR6-g5q6d2UAwT6L" TargetMode="External"/><Relationship Id="rId130" Type="http://schemas.openxmlformats.org/officeDocument/2006/relationships/hyperlink" Target="https://drive.google.com/open?id=1mYVg2ZobtnC2xCHoe5YeA8FrlVonEXJE" TargetMode="External"/><Relationship Id="rId251" Type="http://schemas.openxmlformats.org/officeDocument/2006/relationships/hyperlink" Target="https://drive.google.com/file/d/1fXavqh9GtZyG3BJqM4IfAnGHy7R8IM3X/view" TargetMode="External"/><Relationship Id="rId250" Type="http://schemas.openxmlformats.org/officeDocument/2006/relationships/hyperlink" Target="https://drive.google.com/open?id=1DfeayLQO550ImV74ofYACejEHJgF9wxB" TargetMode="External"/><Relationship Id="rId136" Type="http://schemas.openxmlformats.org/officeDocument/2006/relationships/hyperlink" Target="https://drive.google.com/open?id=1tQTiMgmHKvDi7MAgkfUH_zplv7Nq5aaq" TargetMode="External"/><Relationship Id="rId257" Type="http://schemas.openxmlformats.org/officeDocument/2006/relationships/hyperlink" Target="https://drive.google.com/open?id=15Lb4_XhX8kXqvX0FrR3kF2bxvMlLjV_N" TargetMode="External"/><Relationship Id="rId135" Type="http://schemas.openxmlformats.org/officeDocument/2006/relationships/hyperlink" Target="https://drive.google.com/open?id=1MgEYXZJV9jrkRSzYJfO_J31MV_eMLkqp" TargetMode="External"/><Relationship Id="rId256" Type="http://schemas.openxmlformats.org/officeDocument/2006/relationships/hyperlink" Target="https://drive.google.com/open?id=1D0kVsyt_fjfizlslvuKvsmdZfERikDMc" TargetMode="External"/><Relationship Id="rId134" Type="http://schemas.openxmlformats.org/officeDocument/2006/relationships/hyperlink" Target="https://drive.google.com/open?id=1tM8jWDIwiJhiU_MLWno6Xs_DSz_WgcXk" TargetMode="External"/><Relationship Id="rId255" Type="http://schemas.openxmlformats.org/officeDocument/2006/relationships/hyperlink" Target="https://drive.google.com/open?id=169qFYDB45-1PM39v0pPS-V-sNbCp7zS1" TargetMode="External"/><Relationship Id="rId133" Type="http://schemas.openxmlformats.org/officeDocument/2006/relationships/hyperlink" Target="https://drive.google.com/open?id=1BP7DuJB1PBkralcVAQVwMaVLzIyYi-bR" TargetMode="External"/><Relationship Id="rId254" Type="http://schemas.openxmlformats.org/officeDocument/2006/relationships/hyperlink" Target="https://drive.google.com/open?id=154odg3gCZSO2tGmGXoCt18R5cwLZmtP-" TargetMode="External"/><Relationship Id="rId172" Type="http://schemas.openxmlformats.org/officeDocument/2006/relationships/hyperlink" Target="https://drive.google.com/open?id=1-UKslCcoTEhyO57xo3iIX2UZcgKi-FvI" TargetMode="External"/><Relationship Id="rId171" Type="http://schemas.openxmlformats.org/officeDocument/2006/relationships/hyperlink" Target="https://drive.google.com/open?id=1J5MIgRDmMW6jA9hoJ4algvBkvq7TiIKW" TargetMode="External"/><Relationship Id="rId170" Type="http://schemas.openxmlformats.org/officeDocument/2006/relationships/hyperlink" Target="https://drive.google.com/open?id=1UX7wBHASAMYgNfJKHvueUFG9KK5clioR" TargetMode="External"/><Relationship Id="rId165" Type="http://schemas.openxmlformats.org/officeDocument/2006/relationships/hyperlink" Target="https://drive.google.com/file/d/1Wiy1NG1ACKY3uMRwrtn2xQIHYO3QGD3C/view" TargetMode="External"/><Relationship Id="rId164" Type="http://schemas.openxmlformats.org/officeDocument/2006/relationships/hyperlink" Target="https://drive.google.com/open?id=1n-QOsnZMA-GaBHEWj81xgSdYHHjIqFc2" TargetMode="External"/><Relationship Id="rId163" Type="http://schemas.openxmlformats.org/officeDocument/2006/relationships/hyperlink" Target="https://drive.google.com/open?id=1a71YDp1fl7L9H8No497lAIcKhAWyQFd2" TargetMode="External"/><Relationship Id="rId162" Type="http://schemas.openxmlformats.org/officeDocument/2006/relationships/hyperlink" Target="https://drive.google.com/open?id=1GhT16xjvyod3E_irnYLGW0MICDt8rpCu" TargetMode="External"/><Relationship Id="rId283" Type="http://schemas.openxmlformats.org/officeDocument/2006/relationships/drawing" Target="../drawings/drawing10.xml"/><Relationship Id="rId169" Type="http://schemas.openxmlformats.org/officeDocument/2006/relationships/hyperlink" Target="https://drive.google.com/open?id=1H42lVIvEisqL3_FUpRoXF7DRObULL8ph" TargetMode="External"/><Relationship Id="rId168" Type="http://schemas.openxmlformats.org/officeDocument/2006/relationships/hyperlink" Target="https://drive.google.com/open?id=1tHDHgjttxg7feAJ2NTlL9wSyj9y7tZl-" TargetMode="External"/><Relationship Id="rId167" Type="http://schemas.openxmlformats.org/officeDocument/2006/relationships/hyperlink" Target="https://drive.google.com/open?id=1HZvvH--sAxo7SvZDlT20z0ivUOHNyAR8" TargetMode="External"/><Relationship Id="rId166" Type="http://schemas.openxmlformats.org/officeDocument/2006/relationships/hyperlink" Target="https://drive.google.com/file/d/1aAlSle-MwAM_sDZ_FuUAcf1FmA79lquc/view" TargetMode="External"/><Relationship Id="rId161" Type="http://schemas.openxmlformats.org/officeDocument/2006/relationships/hyperlink" Target="https://drive.google.com/open?id=1c0-v9r8uStgygGP-qDNSQB2tI1PiLXa4" TargetMode="External"/><Relationship Id="rId282" Type="http://schemas.openxmlformats.org/officeDocument/2006/relationships/hyperlink" Target="https://drive.google.com/open?id=1B3Ly2-pgZMvjl2OZdWynBZRlKy_tW_A2" TargetMode="External"/><Relationship Id="rId160" Type="http://schemas.openxmlformats.org/officeDocument/2006/relationships/hyperlink" Target="https://drive.google.com/open?id=16fdAycKFZHks1nyQ6NxiH9hUu3RNwZKt" TargetMode="External"/><Relationship Id="rId281" Type="http://schemas.openxmlformats.org/officeDocument/2006/relationships/hyperlink" Target="https://drive.google.com/open?id=1CRgjkGu2gvd4_E7piq8MLBJgk2HvINOK" TargetMode="External"/><Relationship Id="rId280" Type="http://schemas.openxmlformats.org/officeDocument/2006/relationships/hyperlink" Target="https://drive.google.com/open?id=1GdIJipM8n39GbDK_mg0yflG64wyv13P8" TargetMode="External"/><Relationship Id="rId159" Type="http://schemas.openxmlformats.org/officeDocument/2006/relationships/hyperlink" Target="https://drive.google.com/open?id=1_5aHN1fOC3hrZW3dR1zbWQg1EDFo-mqX" TargetMode="External"/><Relationship Id="rId154" Type="http://schemas.openxmlformats.org/officeDocument/2006/relationships/hyperlink" Target="https://drive.google.com/open?id=1j-U6qi83iBI1Wp4eda1K5vV-o_rgCjDP" TargetMode="External"/><Relationship Id="rId275" Type="http://schemas.openxmlformats.org/officeDocument/2006/relationships/hyperlink" Target="https://drive.google.com/open?id=1d6bg5xsZKKyon_tK6uvWY_tpa6ZrOp1H" TargetMode="External"/><Relationship Id="rId153" Type="http://schemas.openxmlformats.org/officeDocument/2006/relationships/hyperlink" Target="https://drive.google.com/file/d/13DvdcQ5P_DH3Nj3WO98dhfjtYzCZ_r6N/view" TargetMode="External"/><Relationship Id="rId274" Type="http://schemas.openxmlformats.org/officeDocument/2006/relationships/hyperlink" Target="https://drive.google.com/open?id=1RXUebCxgGR7KMSDmnlQbwARCmbRm2qtl" TargetMode="External"/><Relationship Id="rId152" Type="http://schemas.openxmlformats.org/officeDocument/2006/relationships/hyperlink" Target="https://drive.google.com/open?id=1I8x4PMlcFHrfLXO2Oj-Ew0Oot6Wk8D_l" TargetMode="External"/><Relationship Id="rId273" Type="http://schemas.openxmlformats.org/officeDocument/2006/relationships/hyperlink" Target="https://drive.google.com/open?id=1Ti3MBK9SVsaJudbIJ1zwYfAH9S14gRDq" TargetMode="External"/><Relationship Id="rId151" Type="http://schemas.openxmlformats.org/officeDocument/2006/relationships/hyperlink" Target="https://drive.google.com/open?id=1x9JUfqrEHjIiJx3GZJtQrPsaGXnjQvZB" TargetMode="External"/><Relationship Id="rId272" Type="http://schemas.openxmlformats.org/officeDocument/2006/relationships/hyperlink" Target="https://drive.google.com/open?id=1dFW5nQ51VLOKFSfKZpz83V9KZrFhZMqj" TargetMode="External"/><Relationship Id="rId158" Type="http://schemas.openxmlformats.org/officeDocument/2006/relationships/hyperlink" Target="https://drive.google.com/file/d/1TGGz5SjmswfsKYOaTs7As2ng-nV_mHgq/view" TargetMode="External"/><Relationship Id="rId279" Type="http://schemas.openxmlformats.org/officeDocument/2006/relationships/hyperlink" Target="https://drive.google.com/open?id=1Xl1bBAWVIgV7c2g_u3wMgoUz9MBbGXS8" TargetMode="External"/><Relationship Id="rId157" Type="http://schemas.openxmlformats.org/officeDocument/2006/relationships/hyperlink" Target="https://drive.google.com/file/d/1TmBgV7ANwQN0PoiiIgc4nroeb6FhbhWU/view" TargetMode="External"/><Relationship Id="rId278" Type="http://schemas.openxmlformats.org/officeDocument/2006/relationships/hyperlink" Target="https://drive.google.com/file/d/15N-YK_TOClsfwLxaLUK_zC-DKmnC0ZhW/view" TargetMode="External"/><Relationship Id="rId156" Type="http://schemas.openxmlformats.org/officeDocument/2006/relationships/hyperlink" Target="https://drive.google.com/open?id=1W42OmjszcmdW4lugdXlaoYqaDbFcUAMx" TargetMode="External"/><Relationship Id="rId277" Type="http://schemas.openxmlformats.org/officeDocument/2006/relationships/hyperlink" Target="https://drive.google.com/open?id=1OhkzbxTcEDnZSZy6jx9dUOLInIGMRUym" TargetMode="External"/><Relationship Id="rId155" Type="http://schemas.openxmlformats.org/officeDocument/2006/relationships/hyperlink" Target="https://drive.google.com/open?id=13KfXgWOp_bgGO0GQkfxkdUFOoe2IczH6" TargetMode="External"/><Relationship Id="rId276" Type="http://schemas.openxmlformats.org/officeDocument/2006/relationships/hyperlink" Target="https://drive.google.com/open?id=1Q2gHsd1disvawzWD2JKgY-HgUitM2QRE" TargetMode="External"/><Relationship Id="rId40" Type="http://schemas.openxmlformats.org/officeDocument/2006/relationships/hyperlink" Target="https://drive.google.com/open?id=1pBBHxhT8pHZAHiArE7oZKWvlHtYGD7AW" TargetMode="External"/><Relationship Id="rId42" Type="http://schemas.openxmlformats.org/officeDocument/2006/relationships/hyperlink" Target="https://drive.google.com/open?id=1-E2uvTen0Lb7nLueOau1lAsISMfZCH7y" TargetMode="External"/><Relationship Id="rId41" Type="http://schemas.openxmlformats.org/officeDocument/2006/relationships/hyperlink" Target="https://drive.google.com/open?id=1DOqpLwL9mcVAu2CQABrE49CrklgGOp64" TargetMode="External"/><Relationship Id="rId44" Type="http://schemas.openxmlformats.org/officeDocument/2006/relationships/hyperlink" Target="https://drive.google.com/open?id=1iY8ZSeFkqY1lBg5GFNY6Lks6-zg-Dt6l" TargetMode="External"/><Relationship Id="rId43" Type="http://schemas.openxmlformats.org/officeDocument/2006/relationships/hyperlink" Target="https://drive.google.com/open?id=1qULPTyZsydT1hgk0kRnTtdjtxtoEzi8h" TargetMode="External"/><Relationship Id="rId46" Type="http://schemas.openxmlformats.org/officeDocument/2006/relationships/hyperlink" Target="https://drive.google.com/open?id=1775YIjq9A4OqWRtcXPB8v1Ln7E5CFJ7G" TargetMode="External"/><Relationship Id="rId45" Type="http://schemas.openxmlformats.org/officeDocument/2006/relationships/hyperlink" Target="https://drive.google.com/open?id=1TbOHQVlw4OP-qmd7aoHqD_ilB9LJIZTK" TargetMode="External"/><Relationship Id="rId48" Type="http://schemas.openxmlformats.org/officeDocument/2006/relationships/hyperlink" Target="https://drive.google.com/open?id=1rWK1GfhWsNGTnxj9eHeJvHqFw1xev5Kp" TargetMode="External"/><Relationship Id="rId47" Type="http://schemas.openxmlformats.org/officeDocument/2006/relationships/hyperlink" Target="https://drive.google.com/open?id=1I6-Fu97E8ffcznI-fsQjqk_TTzDy4lXz" TargetMode="External"/><Relationship Id="rId49" Type="http://schemas.openxmlformats.org/officeDocument/2006/relationships/hyperlink" Target="https://drive.google.com/open?id=1U8lbGeh5biOsUz4i6Z3TGbYY13SLTlK5" TargetMode="External"/><Relationship Id="rId31" Type="http://schemas.openxmlformats.org/officeDocument/2006/relationships/hyperlink" Target="https://drive.google.com/open?id=19J7sDMmPtnXyD0lAJoivH2iKKDBjlf7F" TargetMode="External"/><Relationship Id="rId30" Type="http://schemas.openxmlformats.org/officeDocument/2006/relationships/hyperlink" Target="https://drive.google.com/open?id=1U62qUM5mr1j_zf2iISuDkUC9nXOdtwuT" TargetMode="External"/><Relationship Id="rId33" Type="http://schemas.openxmlformats.org/officeDocument/2006/relationships/hyperlink" Target="https://drive.google.com/open?id=12wygzbzjVLfgktZQK_d3jIOgrk2RpE41" TargetMode="External"/><Relationship Id="rId32" Type="http://schemas.openxmlformats.org/officeDocument/2006/relationships/hyperlink" Target="https://drive.google.com/open?id=1AzSkqHBcaJbyaJbpP0mgD-i8rqlEAAlU" TargetMode="External"/><Relationship Id="rId35" Type="http://schemas.openxmlformats.org/officeDocument/2006/relationships/hyperlink" Target="https://drive.google.com/open?id=1SVT6Imqmb1LASYYzOTGcLjp5jko_nOry" TargetMode="External"/><Relationship Id="rId34" Type="http://schemas.openxmlformats.org/officeDocument/2006/relationships/hyperlink" Target="https://drive.google.com/open?id=1toFAcXgZ9hVWTv4lIXrrMmKpQ1Sv-F7r" TargetMode="External"/><Relationship Id="rId37" Type="http://schemas.openxmlformats.org/officeDocument/2006/relationships/hyperlink" Target="https://drive.google.com/open?id=1ovwcHmnGhVPqdc9jQpPbG-poBpmJLJ_l" TargetMode="External"/><Relationship Id="rId36" Type="http://schemas.openxmlformats.org/officeDocument/2006/relationships/hyperlink" Target="https://drive.google.com/open?id=1KYAB4Ydsfr6iMJnWhDRWFGSfaHhT61dN" TargetMode="External"/><Relationship Id="rId39" Type="http://schemas.openxmlformats.org/officeDocument/2006/relationships/hyperlink" Target="https://drive.google.com/open?id=1lI4zFJUSIUDlxBVidSJgGFgJqShUyawk" TargetMode="External"/><Relationship Id="rId38" Type="http://schemas.openxmlformats.org/officeDocument/2006/relationships/hyperlink" Target="https://drive.google.com/file/d/1A09G5bGQWvemydeXsKcvMRI2CItrUr7b/view" TargetMode="External"/><Relationship Id="rId20" Type="http://schemas.openxmlformats.org/officeDocument/2006/relationships/hyperlink" Target="https://drive.google.com/open?id=1UoI_z5M2mOVU3dwQB5Ghoi3o2GpaHmGu" TargetMode="External"/><Relationship Id="rId22" Type="http://schemas.openxmlformats.org/officeDocument/2006/relationships/hyperlink" Target="https://drive.google.com/open?id=1GcnfomRQsFEQQhIgjD415zocm_FDiCKK" TargetMode="External"/><Relationship Id="rId21" Type="http://schemas.openxmlformats.org/officeDocument/2006/relationships/hyperlink" Target="https://drive.google.com/open?id=1y2kdGbcz8xo8j3al9hbN5oP3RLHU6OtE" TargetMode="External"/><Relationship Id="rId24" Type="http://schemas.openxmlformats.org/officeDocument/2006/relationships/hyperlink" Target="https://drive.google.com/open?id=1bI3OhnMHPX_zEAewOIYAPhSYLtrBbQHm" TargetMode="External"/><Relationship Id="rId23" Type="http://schemas.openxmlformats.org/officeDocument/2006/relationships/hyperlink" Target="https://drive.google.com/open?id=1GiLZ9os-OrLjxlMc6KBeC7GEAJOuIKW_" TargetMode="External"/><Relationship Id="rId26" Type="http://schemas.openxmlformats.org/officeDocument/2006/relationships/hyperlink" Target="https://drive.google.com/open?id=1zHXg6Qq5tt-ZhwOKyYrqIiFCHVrHKsW9" TargetMode="External"/><Relationship Id="rId25" Type="http://schemas.openxmlformats.org/officeDocument/2006/relationships/hyperlink" Target="https://drive.google.com/file/d/1a4rrP05QIVJKhUylsL6HpV3nB7aLiSRv/view" TargetMode="External"/><Relationship Id="rId28" Type="http://schemas.openxmlformats.org/officeDocument/2006/relationships/hyperlink" Target="https://drive.google.com/open?id=1Irm1QfzuJNX4Q65Ly8vaQ9g_dvxT2GZy" TargetMode="External"/><Relationship Id="rId27" Type="http://schemas.openxmlformats.org/officeDocument/2006/relationships/hyperlink" Target="https://drive.google.com/open?id=1EILx4l0OPJPUmbBRTPuszMxJMbb5c5gV" TargetMode="External"/><Relationship Id="rId29" Type="http://schemas.openxmlformats.org/officeDocument/2006/relationships/hyperlink" Target="https://drive.google.com/open?id=1wI3KXw_hvVD72sshewojjnhuz2k1Lcqj" TargetMode="External"/><Relationship Id="rId11" Type="http://schemas.openxmlformats.org/officeDocument/2006/relationships/hyperlink" Target="https://drive.google.com/open?id=1vMAjBGy5JhcFGiql9C0LJqhQ5Y8wey9H" TargetMode="External"/><Relationship Id="rId10" Type="http://schemas.openxmlformats.org/officeDocument/2006/relationships/hyperlink" Target="https://drive.google.com/open?id=13JBhP0Mhvb-C8MFkIaFy-JBek16lnAl0" TargetMode="External"/><Relationship Id="rId13" Type="http://schemas.openxmlformats.org/officeDocument/2006/relationships/hyperlink" Target="https://drive.google.com/open?id=1E_IMpJA0U1lANpwbe8efxgOw72mms52z" TargetMode="External"/><Relationship Id="rId12" Type="http://schemas.openxmlformats.org/officeDocument/2006/relationships/hyperlink" Target="https://drive.google.com/open?id=1RnUJ8RW9MyW7x-CYAsFYwDAqe0X8KReF" TargetMode="External"/><Relationship Id="rId15" Type="http://schemas.openxmlformats.org/officeDocument/2006/relationships/hyperlink" Target="https://drive.google.com/open?id=1lq_QZCxJPt2NGCgQs6jp01zKiyDrVFNa" TargetMode="External"/><Relationship Id="rId14" Type="http://schemas.openxmlformats.org/officeDocument/2006/relationships/hyperlink" Target="https://drive.google.com/open?id=1X3wVypvAbic1TsVkV78K_EZCIYVr_kOX" TargetMode="External"/><Relationship Id="rId17" Type="http://schemas.openxmlformats.org/officeDocument/2006/relationships/hyperlink" Target="https://drive.google.com/open?id=1oNq_xJdK8fYp9zhB6SjDHMJdVb0tPJXk" TargetMode="External"/><Relationship Id="rId16" Type="http://schemas.openxmlformats.org/officeDocument/2006/relationships/hyperlink" Target="https://drive.google.com/open?id=1Z3QpqkVL_7mrevCFEe3Xt0oPEI0aCj6d" TargetMode="External"/><Relationship Id="rId19" Type="http://schemas.openxmlformats.org/officeDocument/2006/relationships/hyperlink" Target="https://drive.google.com/file/d/10aJiVhwHPT3idxjH2DvJDHqkB10A88bk/view" TargetMode="External"/><Relationship Id="rId18" Type="http://schemas.openxmlformats.org/officeDocument/2006/relationships/hyperlink" Target="https://drive.google.com/open?id=19T_PCHTHxJE2iGg8y6AUc_gzNEFfILKH" TargetMode="External"/><Relationship Id="rId84" Type="http://schemas.openxmlformats.org/officeDocument/2006/relationships/hyperlink" Target="https://drive.google.com/open?id=1CbVw35VI-ZYdgKyoNGmbCMMwyMWdOTC3" TargetMode="External"/><Relationship Id="rId83" Type="http://schemas.openxmlformats.org/officeDocument/2006/relationships/hyperlink" Target="https://drive.google.com/open?id=18OvenLJ5OUmCTLYeGWF9t_BHoX-QChUu" TargetMode="External"/><Relationship Id="rId86" Type="http://schemas.openxmlformats.org/officeDocument/2006/relationships/hyperlink" Target="https://drive.google.com/open?id=11rLJlEsMtYFsocKl3c3Zv9mS5_-IZOAL" TargetMode="External"/><Relationship Id="rId85" Type="http://schemas.openxmlformats.org/officeDocument/2006/relationships/hyperlink" Target="https://drive.google.com/open?id=1O64q5xvZhLi-H6ds1GsYHD8Fr6676LpM" TargetMode="External"/><Relationship Id="rId88" Type="http://schemas.openxmlformats.org/officeDocument/2006/relationships/hyperlink" Target="https://drive.google.com/open?id=1Uw_n7iroKp2T30L8v-IxoN0J8IFnhMgm" TargetMode="External"/><Relationship Id="rId87" Type="http://schemas.openxmlformats.org/officeDocument/2006/relationships/hyperlink" Target="https://drive.google.com/open?id=1dXgUJC5YUgkWOmaS59p8eE0T8B-b4y3I" TargetMode="External"/><Relationship Id="rId89" Type="http://schemas.openxmlformats.org/officeDocument/2006/relationships/hyperlink" Target="https://drive.google.com/open?id=13wS4S4qJ3vcV4oi8sJLIaAUs93Effk3O" TargetMode="External"/><Relationship Id="rId80" Type="http://schemas.openxmlformats.org/officeDocument/2006/relationships/hyperlink" Target="https://drive.google.com/open?id=14eUB6i4tWhM4sYDaBJfCXJ5Qy3j21KTc" TargetMode="External"/><Relationship Id="rId82" Type="http://schemas.openxmlformats.org/officeDocument/2006/relationships/hyperlink" Target="https://drive.google.com/open?id=1pMaGr6LpocvNjUEK9sfm3FfaID1KnHUS" TargetMode="External"/><Relationship Id="rId81" Type="http://schemas.openxmlformats.org/officeDocument/2006/relationships/hyperlink" Target="https://drive.google.com/open?id=1QeF0j5WeUb8QlqHgdNCcmziCc_DPtknO" TargetMode="External"/><Relationship Id="rId73" Type="http://schemas.openxmlformats.org/officeDocument/2006/relationships/hyperlink" Target="https://drive.google.com/open?id=1wPrA7J4F8KGEf0D64iPNI6nKaG9arRHH" TargetMode="External"/><Relationship Id="rId72" Type="http://schemas.openxmlformats.org/officeDocument/2006/relationships/hyperlink" Target="https://drive.google.com/open?id=13Zh-1nkJqAZnm1BttuyB-CGv1HAJWOyH" TargetMode="External"/><Relationship Id="rId75" Type="http://schemas.openxmlformats.org/officeDocument/2006/relationships/hyperlink" Target="https://drive.google.com/open?id=1IpoJjxCjFuzUqF5YGIrdidcKNt53i0q7" TargetMode="External"/><Relationship Id="rId74" Type="http://schemas.openxmlformats.org/officeDocument/2006/relationships/hyperlink" Target="https://drive.google.com/open?id=1OlRZfg0LWQSU4Jl8spxX7QCjiIQa4KId" TargetMode="External"/><Relationship Id="rId77" Type="http://schemas.openxmlformats.org/officeDocument/2006/relationships/hyperlink" Target="https://drive.google.com/open?id=1ypW6sdpRGUKwU23YQVO8kjUHRwHEwtqW" TargetMode="External"/><Relationship Id="rId76" Type="http://schemas.openxmlformats.org/officeDocument/2006/relationships/hyperlink" Target="https://drive.google.com/open?id=1b_BCrz9zY_3dlAK1COsd73vMTRHkEwRp" TargetMode="External"/><Relationship Id="rId79" Type="http://schemas.openxmlformats.org/officeDocument/2006/relationships/hyperlink" Target="https://drive.google.com/file/d/1IMUUNFhgYgXMhi_2BGR2n7mzNp1OfdTY/view" TargetMode="External"/><Relationship Id="rId78" Type="http://schemas.openxmlformats.org/officeDocument/2006/relationships/hyperlink" Target="https://drive.google.com/open?id=1bcyETriVu9oA8SkhmdCl-djqUDenJT3x" TargetMode="External"/><Relationship Id="rId71" Type="http://schemas.openxmlformats.org/officeDocument/2006/relationships/hyperlink" Target="https://drive.google.com/file/d/1u0ZTHzl6SDwSAnMMeGAa0WLdLxodr5jI/view" TargetMode="External"/><Relationship Id="rId70" Type="http://schemas.openxmlformats.org/officeDocument/2006/relationships/hyperlink" Target="https://drive.google.com/open?id=1hbbbTmBxPpAxQvcDKvDOsgbIPwgPu-YY" TargetMode="External"/><Relationship Id="rId62" Type="http://schemas.openxmlformats.org/officeDocument/2006/relationships/hyperlink" Target="https://drive.google.com/open?id=1u112a162eDt22jnDyXxH6Uj1QdviD76f" TargetMode="External"/><Relationship Id="rId61" Type="http://schemas.openxmlformats.org/officeDocument/2006/relationships/hyperlink" Target="https://drive.google.com/open?id=1U5tUJOIc_h2hpTbPDY6LnoyHdzWHr6xQ" TargetMode="External"/><Relationship Id="rId64" Type="http://schemas.openxmlformats.org/officeDocument/2006/relationships/hyperlink" Target="https://drive.google.com/open?id=1OA5GHR1QNCslBqy2_af2_ACpO9Vxaqd9" TargetMode="External"/><Relationship Id="rId63" Type="http://schemas.openxmlformats.org/officeDocument/2006/relationships/hyperlink" Target="https://drive.google.com/open?id=1w1X13sr3uCJBFsDxVwRlfOUGv0PSQGgg" TargetMode="External"/><Relationship Id="rId66" Type="http://schemas.openxmlformats.org/officeDocument/2006/relationships/hyperlink" Target="https://drive.google.com/open?id=1opdT_onyGPYCZl28ddW5mp45p0A8GrkV" TargetMode="External"/><Relationship Id="rId65" Type="http://schemas.openxmlformats.org/officeDocument/2006/relationships/hyperlink" Target="https://drive.google.com/open?id=1tmIFKV3Sh2tdsxEGjkfkUeHFYOpUdLGj" TargetMode="External"/><Relationship Id="rId68" Type="http://schemas.openxmlformats.org/officeDocument/2006/relationships/hyperlink" Target="https://drive.google.com/open?id=1huL-GfeSJRY5Mo_am3dYlja1eTxr4gy3" TargetMode="External"/><Relationship Id="rId67" Type="http://schemas.openxmlformats.org/officeDocument/2006/relationships/hyperlink" Target="https://drive.google.com/open?id=16uh6GXhAMrLaigmlkRA5X0ONm--MWBwA" TargetMode="External"/><Relationship Id="rId60" Type="http://schemas.openxmlformats.org/officeDocument/2006/relationships/hyperlink" Target="https://drive.google.com/open?id=1ojkIasKIQy1a5aMMRpqpcD4QGXarGbEq" TargetMode="External"/><Relationship Id="rId69" Type="http://schemas.openxmlformats.org/officeDocument/2006/relationships/hyperlink" Target="https://drive.google.com/open?id=1ISd2WPd_qQW6JnlxbXlzK9cJK0-JVeKo" TargetMode="External"/><Relationship Id="rId51" Type="http://schemas.openxmlformats.org/officeDocument/2006/relationships/hyperlink" Target="https://drive.google.com/file/d/1mEW6ycsJdXU2pgFA7F-yF7-A0JTogc0I/view" TargetMode="External"/><Relationship Id="rId50" Type="http://schemas.openxmlformats.org/officeDocument/2006/relationships/hyperlink" Target="https://drive.google.com/open?id=1FfGPNlrxt_RvahzcRaZSsavRQTxtDT2F" TargetMode="External"/><Relationship Id="rId53" Type="http://schemas.openxmlformats.org/officeDocument/2006/relationships/hyperlink" Target="https://drive.google.com/open?id=1_mjNoKKbvArdizuJnvSeLLMvtxOeRJrr" TargetMode="External"/><Relationship Id="rId52" Type="http://schemas.openxmlformats.org/officeDocument/2006/relationships/hyperlink" Target="https://drive.google.com/file/d/1LIkcL7cud_2sFj7LnftmeC3TTcfJPFJ3/view" TargetMode="External"/><Relationship Id="rId55" Type="http://schemas.openxmlformats.org/officeDocument/2006/relationships/hyperlink" Target="https://drive.google.com/open?id=1cXXF0KlYePMrigEa4ZRffB2vcMAfqLE2" TargetMode="External"/><Relationship Id="rId54" Type="http://schemas.openxmlformats.org/officeDocument/2006/relationships/hyperlink" Target="https://drive.google.com/open?id=1R1KTkd5RtcD9wBuy8LnQwORGGVPT6muH" TargetMode="External"/><Relationship Id="rId57" Type="http://schemas.openxmlformats.org/officeDocument/2006/relationships/hyperlink" Target="https://drive.google.com/open?id=1UUANG5pALYISoY_tj1d89rTSOOTs6qwq" TargetMode="External"/><Relationship Id="rId56" Type="http://schemas.openxmlformats.org/officeDocument/2006/relationships/hyperlink" Target="https://drive.google.com/open?id=1Myr3hmsUF7L0b0tPdHx4cl2lwEFa2Bss" TargetMode="External"/><Relationship Id="rId59" Type="http://schemas.openxmlformats.org/officeDocument/2006/relationships/hyperlink" Target="https://drive.google.com/open?id=19aMjcEgg_GraO168ahZTfqRjl6oWYhr_" TargetMode="External"/><Relationship Id="rId58" Type="http://schemas.openxmlformats.org/officeDocument/2006/relationships/hyperlink" Target="http://torch.io/" TargetMode="External"/><Relationship Id="rId107" Type="http://schemas.openxmlformats.org/officeDocument/2006/relationships/hyperlink" Target="https://drive.google.com/open?id=1663P9L6SL4IXqrLuGDh-g0pkXmdS8Ehw" TargetMode="External"/><Relationship Id="rId228" Type="http://schemas.openxmlformats.org/officeDocument/2006/relationships/hyperlink" Target="https://drive.google.com/open?id=1bZ6fV5r4MnWliJ-W9Soi4apt70cqGSg0" TargetMode="External"/><Relationship Id="rId106" Type="http://schemas.openxmlformats.org/officeDocument/2006/relationships/hyperlink" Target="https://drive.google.com/open?id=1xTGgdD46BrMDbs6ZzurTXr3SsOnsv9Sj" TargetMode="External"/><Relationship Id="rId227" Type="http://schemas.openxmlformats.org/officeDocument/2006/relationships/hyperlink" Target="https://drive.google.com/open?id=1C0OBYUuK7051Gjldl6bx1vvPECxADj1o" TargetMode="External"/><Relationship Id="rId105" Type="http://schemas.openxmlformats.org/officeDocument/2006/relationships/hyperlink" Target="https://drive.google.com/open?id=1cccrSu5Q2vuOabM3bKr3F0lPiQLSVudZ" TargetMode="External"/><Relationship Id="rId226" Type="http://schemas.openxmlformats.org/officeDocument/2006/relationships/hyperlink" Target="https://drive.google.com/open?id=1_92eIUSaRPSCVu-8qSgYPFpQRV8vC1mG" TargetMode="External"/><Relationship Id="rId104" Type="http://schemas.openxmlformats.org/officeDocument/2006/relationships/hyperlink" Target="https://drive.google.com/open?id=1I9Fe_uwYh7yAkSBgzB-ccfy234jQnrYa" TargetMode="External"/><Relationship Id="rId225" Type="http://schemas.openxmlformats.org/officeDocument/2006/relationships/hyperlink" Target="https://drive.google.com/open?id=1lJ26qCz3hrlkyQgRQYN1AyZuUYhcxgpi" TargetMode="External"/><Relationship Id="rId109" Type="http://schemas.openxmlformats.org/officeDocument/2006/relationships/hyperlink" Target="https://drive.google.com/file/d/1jX8POAxPBo9P-Ynw7Mmvu8BQejeN-TzW/view" TargetMode="External"/><Relationship Id="rId108" Type="http://schemas.openxmlformats.org/officeDocument/2006/relationships/hyperlink" Target="https://drive.google.com/open?id=1AaoFrqEFKw7FXJ79zSdybV5mOf_3A03p" TargetMode="External"/><Relationship Id="rId229" Type="http://schemas.openxmlformats.org/officeDocument/2006/relationships/hyperlink" Target="https://drive.google.com/open?id=1hymKK1WFxKvRhYsvcKL1ow9kX73vdrx5" TargetMode="External"/><Relationship Id="rId220" Type="http://schemas.openxmlformats.org/officeDocument/2006/relationships/hyperlink" Target="https://drive.google.com/open?id=1Oa6cpMOWiG68IwyDel35UV-Ch1n4pwU1" TargetMode="External"/><Relationship Id="rId103" Type="http://schemas.openxmlformats.org/officeDocument/2006/relationships/hyperlink" Target="https://drive.google.com/open?id=1nO6XRsCddUwdDJQ3jgFQES8wQ--_DTYt" TargetMode="External"/><Relationship Id="rId224" Type="http://schemas.openxmlformats.org/officeDocument/2006/relationships/hyperlink" Target="https://drive.google.com/open?id=1EKJCrrI37xr1BN-Sp88wQxYyPfXJwrVR" TargetMode="External"/><Relationship Id="rId102" Type="http://schemas.openxmlformats.org/officeDocument/2006/relationships/hyperlink" Target="https://drive.google.com/file/d/1XceaiNMSFf1w1bsMCTv0OLwVqvFzfQ3M/view" TargetMode="External"/><Relationship Id="rId223" Type="http://schemas.openxmlformats.org/officeDocument/2006/relationships/hyperlink" Target="https://drive.google.com/open?id=19QwFzgo28-4RsAlaJIsftM8Mikl76Cp-" TargetMode="External"/><Relationship Id="rId101" Type="http://schemas.openxmlformats.org/officeDocument/2006/relationships/hyperlink" Target="https://drive.google.com/open?id=1PZKCExciKjKYgU0rWPZm13hh5ra1i0K3" TargetMode="External"/><Relationship Id="rId222" Type="http://schemas.openxmlformats.org/officeDocument/2006/relationships/hyperlink" Target="https://drive.google.com/open?id=1MWSVHcaJbP135CbMOce1-SPfCr4F_aEn" TargetMode="External"/><Relationship Id="rId100" Type="http://schemas.openxmlformats.org/officeDocument/2006/relationships/hyperlink" Target="https://drive.google.com/open?id=1ZIEWm9_ZmunQsXrAfzR6nR2cf3wNqkgu" TargetMode="External"/><Relationship Id="rId221" Type="http://schemas.openxmlformats.org/officeDocument/2006/relationships/hyperlink" Target="https://drive.google.com/open?id=1uIEQtmtq0A1ULBnxPwLVh4oVZlSW-ef4" TargetMode="External"/><Relationship Id="rId217" Type="http://schemas.openxmlformats.org/officeDocument/2006/relationships/hyperlink" Target="https://drive.google.com/open?id=1XfBoMclNOhKiAG-AN9Veye2Mt6gp5Fwu" TargetMode="External"/><Relationship Id="rId216" Type="http://schemas.openxmlformats.org/officeDocument/2006/relationships/hyperlink" Target="https://drive.google.com/open?id=13-UdYSaaW_TjXzmYEyHYW46AtqVGZriT" TargetMode="External"/><Relationship Id="rId215" Type="http://schemas.openxmlformats.org/officeDocument/2006/relationships/hyperlink" Target="https://drive.google.com/open?id=14fZkF7px5otxf25GAa0PbFZrh48qcoDy" TargetMode="External"/><Relationship Id="rId214" Type="http://schemas.openxmlformats.org/officeDocument/2006/relationships/hyperlink" Target="https://drive.google.com/open?id=1XOEp9hPo8r7D-tRp-uzYgfPds-MbRABD" TargetMode="External"/><Relationship Id="rId219" Type="http://schemas.openxmlformats.org/officeDocument/2006/relationships/hyperlink" Target="https://drive.google.com/open?id=1xDwaKbWfgFZQILY7DnyuRkZlFOZJ51s6" TargetMode="External"/><Relationship Id="rId218" Type="http://schemas.openxmlformats.org/officeDocument/2006/relationships/hyperlink" Target="https://drive.google.com/open?id=1AC_N9cUbYH2tv_fMI5avdzCAR6L0LfoI" TargetMode="External"/><Relationship Id="rId213" Type="http://schemas.openxmlformats.org/officeDocument/2006/relationships/hyperlink" Target="https://drive.google.com/open?id=1K2PHHFcKX0QDgE0AswBGNyE_en_bxtcz" TargetMode="External"/><Relationship Id="rId212" Type="http://schemas.openxmlformats.org/officeDocument/2006/relationships/hyperlink" Target="https://drive.google.com/open?id=1brgMKuKA8N0FWGpUH3o7TO2Yeq4_Mhr1" TargetMode="External"/><Relationship Id="rId211" Type="http://schemas.openxmlformats.org/officeDocument/2006/relationships/hyperlink" Target="https://drive.google.com/open?id=1pgyQA4yQkGRecXbR9fh1fQGw98Pxqm6y" TargetMode="External"/><Relationship Id="rId210" Type="http://schemas.openxmlformats.org/officeDocument/2006/relationships/hyperlink" Target="https://drive.google.com/open?id=1_swBBp_dUIImlKZNplhEnE7jQL9sGH_w" TargetMode="External"/><Relationship Id="rId129" Type="http://schemas.openxmlformats.org/officeDocument/2006/relationships/hyperlink" Target="https://drive.google.com/open?id=1DE3aag3LmFPL6KDA3nOGSg6atTXWKkFl" TargetMode="External"/><Relationship Id="rId128" Type="http://schemas.openxmlformats.org/officeDocument/2006/relationships/hyperlink" Target="https://drive.google.com/open?id=1SvKamkCxmE884bJLsZ1dQ4sXQH8AJPUZ" TargetMode="External"/><Relationship Id="rId249" Type="http://schemas.openxmlformats.org/officeDocument/2006/relationships/hyperlink" Target="https://drive.google.com/open?id=1hZ0B20p5OZU0hweUYLkp-fVV5l-hPikz" TargetMode="External"/><Relationship Id="rId127" Type="http://schemas.openxmlformats.org/officeDocument/2006/relationships/hyperlink" Target="https://drive.google.com/open?id=1O5fSRAIPZ9zYVCavUjyntLgL9b07kL7v" TargetMode="External"/><Relationship Id="rId248" Type="http://schemas.openxmlformats.org/officeDocument/2006/relationships/hyperlink" Target="https://drive.google.com/open?id=1645kPdFo3Fzz31y7PKceZfCSafvYOqZc" TargetMode="External"/><Relationship Id="rId126" Type="http://schemas.openxmlformats.org/officeDocument/2006/relationships/hyperlink" Target="https://drive.google.com/open?id=1fTV9ic2BmxizQyf45X40iUGWRqxSdAwe" TargetMode="External"/><Relationship Id="rId247" Type="http://schemas.openxmlformats.org/officeDocument/2006/relationships/hyperlink" Target="https://drive.google.com/open?id=100YLh-o1PV0PvEA5Qu0ZwYxOW9hxRB6y" TargetMode="External"/><Relationship Id="rId121" Type="http://schemas.openxmlformats.org/officeDocument/2006/relationships/hyperlink" Target="https://drive.google.com/open?id=1_PUFFHGC0gtY9AOOHBWDY-yPL8XRPeq-" TargetMode="External"/><Relationship Id="rId242" Type="http://schemas.openxmlformats.org/officeDocument/2006/relationships/hyperlink" Target="https://drive.google.com/open?id=1fAQUsdNtFOkzzsctYLZ70N5Ht7W0gUy2" TargetMode="External"/><Relationship Id="rId120" Type="http://schemas.openxmlformats.org/officeDocument/2006/relationships/hyperlink" Target="https://drive.google.com/open?id=1nCVPziCZRFrujfEUxzP6a5vZPXLzwGmn" TargetMode="External"/><Relationship Id="rId241" Type="http://schemas.openxmlformats.org/officeDocument/2006/relationships/hyperlink" Target="https://drive.google.com/open?id=14CuC9h6yKareo8eat1a-eqiL0c4uMZni" TargetMode="External"/><Relationship Id="rId240" Type="http://schemas.openxmlformats.org/officeDocument/2006/relationships/hyperlink" Target="https://drive.google.com/open?id=1h2nEjoYSxM61OEH2M-9OZGMBh4IEwD3Q" TargetMode="External"/><Relationship Id="rId125" Type="http://schemas.openxmlformats.org/officeDocument/2006/relationships/hyperlink" Target="https://drive.google.com/open?id=10MTuHAvyT-cyHJzuLXZ5GAigLeokr3Iy" TargetMode="External"/><Relationship Id="rId246" Type="http://schemas.openxmlformats.org/officeDocument/2006/relationships/hyperlink" Target="https://drive.google.com/open?id=1yQVWoyZftfyD7FY7KHzaGlHxhTVpiiXW" TargetMode="External"/><Relationship Id="rId124" Type="http://schemas.openxmlformats.org/officeDocument/2006/relationships/hyperlink" Target="https://drive.google.com/open?id=1AEW1n1FlTHkwpiYSAsrKtedFXdJVXctL" TargetMode="External"/><Relationship Id="rId245" Type="http://schemas.openxmlformats.org/officeDocument/2006/relationships/hyperlink" Target="https://drive.google.com/open?id=19UnL3OIA1ddmg0urpQbKEJjKBKiRWRnt" TargetMode="External"/><Relationship Id="rId123" Type="http://schemas.openxmlformats.org/officeDocument/2006/relationships/hyperlink" Target="https://drive.google.com/open?id=1mb581TPbqxaDD7IC3F-lL_zZDAaK2DZh" TargetMode="External"/><Relationship Id="rId244" Type="http://schemas.openxmlformats.org/officeDocument/2006/relationships/hyperlink" Target="https://drive.google.com/open?id=1ZUJEyjYfqouXFxrjMaS3qNHcYchALKww" TargetMode="External"/><Relationship Id="rId122" Type="http://schemas.openxmlformats.org/officeDocument/2006/relationships/hyperlink" Target="https://drive.google.com/open?id=1J4VxVTb7DWf5qGVQBIkGWweooyi-VFoC" TargetMode="External"/><Relationship Id="rId243" Type="http://schemas.openxmlformats.org/officeDocument/2006/relationships/hyperlink" Target="https://drive.google.com/open?id=1eMhzV20V5kDswejBSkLIJrEfcRooHRai" TargetMode="External"/><Relationship Id="rId95" Type="http://schemas.openxmlformats.org/officeDocument/2006/relationships/hyperlink" Target="https://drive.google.com/file/d/1j2fNuDNLwKrnQb9l0tjYsHIs9APRroxf/view" TargetMode="External"/><Relationship Id="rId94" Type="http://schemas.openxmlformats.org/officeDocument/2006/relationships/hyperlink" Target="https://drive.google.com/open?id=1c3eRcKf4vOBVKMrbwP1nunZHrz1XKzSL" TargetMode="External"/><Relationship Id="rId97" Type="http://schemas.openxmlformats.org/officeDocument/2006/relationships/hyperlink" Target="https://drive.google.com/open?id=1o3gXGm4MHBUN_FCDcIDLcJQHsm86MqZE" TargetMode="External"/><Relationship Id="rId96" Type="http://schemas.openxmlformats.org/officeDocument/2006/relationships/hyperlink" Target="https://drive.google.com/file/d/16i9myi8d9eG4p2vMlPzV-WM0Ran59NgO/view" TargetMode="External"/><Relationship Id="rId99" Type="http://schemas.openxmlformats.org/officeDocument/2006/relationships/hyperlink" Target="https://drive.google.com/open?id=17x4-rAfs0YJGknSKrQGoaY7wI-hOozMa" TargetMode="External"/><Relationship Id="rId98" Type="http://schemas.openxmlformats.org/officeDocument/2006/relationships/hyperlink" Target="https://drive.google.com/open?id=1Wiw49XR_xIS150NZlmsIxjgINuxLnqux" TargetMode="External"/><Relationship Id="rId91" Type="http://schemas.openxmlformats.org/officeDocument/2006/relationships/hyperlink" Target="https://drive.google.com/open?id=1DD4wkqhDsv0PMn_pfMPDLah_3HGiHyVH" TargetMode="External"/><Relationship Id="rId90" Type="http://schemas.openxmlformats.org/officeDocument/2006/relationships/hyperlink" Target="https://drive.google.com/open?id=1-d7JTPLHTRYU843yZW7AV0xwadVHaC8n" TargetMode="External"/><Relationship Id="rId93" Type="http://schemas.openxmlformats.org/officeDocument/2006/relationships/hyperlink" Target="https://drive.google.com/open?id=1b62Q-pgbsamw3V1wBDvvUHlIkEkl1Lw7" TargetMode="External"/><Relationship Id="rId92" Type="http://schemas.openxmlformats.org/officeDocument/2006/relationships/hyperlink" Target="https://drive.google.com/open?id=1AUe_Kx4EpMD52RuFh6DIxruOws-ml_zY" TargetMode="External"/><Relationship Id="rId118" Type="http://schemas.openxmlformats.org/officeDocument/2006/relationships/hyperlink" Target="https://drive.google.com/open?id=1ZCWONONR2gzKKaChu_mmaQORHiIuLHW8" TargetMode="External"/><Relationship Id="rId239" Type="http://schemas.openxmlformats.org/officeDocument/2006/relationships/hyperlink" Target="https://drive.google.com/open?id=1MMmzjRFEJpuR5YobR9mQjcGAALHAQXcd" TargetMode="External"/><Relationship Id="rId117" Type="http://schemas.openxmlformats.org/officeDocument/2006/relationships/hyperlink" Target="https://drive.google.com/open?id=17g8fYSQKaJEOtzEBpSXrXmvCfp119LhW" TargetMode="External"/><Relationship Id="rId238" Type="http://schemas.openxmlformats.org/officeDocument/2006/relationships/hyperlink" Target="https://drive.google.com/open?id=1xjI2x5LnftFR12hC-dKHSse5bVW0yykr" TargetMode="External"/><Relationship Id="rId116" Type="http://schemas.openxmlformats.org/officeDocument/2006/relationships/hyperlink" Target="https://drive.google.com/open?id=1try_6cG_wc33Lz_bMnact1dHQhcIUfSI" TargetMode="External"/><Relationship Id="rId237" Type="http://schemas.openxmlformats.org/officeDocument/2006/relationships/hyperlink" Target="https://drive.google.com/open?id=1yZhAqoR7Qa8EtuEMGk_O-JRrOU4_-jmO" TargetMode="External"/><Relationship Id="rId115" Type="http://schemas.openxmlformats.org/officeDocument/2006/relationships/hyperlink" Target="https://drive.google.com/open?id=1-dVmv1F8oEMtXfF7rzRGeZrwQDl9_dfw" TargetMode="External"/><Relationship Id="rId236" Type="http://schemas.openxmlformats.org/officeDocument/2006/relationships/hyperlink" Target="https://drive.google.com/open?id=16gMna1uxJ-f5dvQKbzSlo-1wPqnJWa0T" TargetMode="External"/><Relationship Id="rId119" Type="http://schemas.openxmlformats.org/officeDocument/2006/relationships/hyperlink" Target="https://drive.google.com/open?id=1yjD5V1Uah_kIPORzwEjhQNJoo52UPMtq" TargetMode="External"/><Relationship Id="rId110" Type="http://schemas.openxmlformats.org/officeDocument/2006/relationships/hyperlink" Target="https://drive.google.com/open?id=1mLskk8inLA5BpRSd1LPm5YOgqVvUHvwE" TargetMode="External"/><Relationship Id="rId231" Type="http://schemas.openxmlformats.org/officeDocument/2006/relationships/hyperlink" Target="https://drive.google.com/open?id=1CkPKCcFVCRZU6XfEjKtu-OYIYQR9VJvh" TargetMode="External"/><Relationship Id="rId230" Type="http://schemas.openxmlformats.org/officeDocument/2006/relationships/hyperlink" Target="https://drive.google.com/open?id=1TaYetz8aW8BBAFfe4taP1xOklv97hP4H" TargetMode="External"/><Relationship Id="rId114" Type="http://schemas.openxmlformats.org/officeDocument/2006/relationships/hyperlink" Target="https://drive.google.com/open?id=1DQhQVEX-uN70vg0M7M3jFak1YFYA3WhK" TargetMode="External"/><Relationship Id="rId235" Type="http://schemas.openxmlformats.org/officeDocument/2006/relationships/hyperlink" Target="https://drive.google.com/open?id=13nKzNNVp7f7F98eOkbXJQn_bWQ0Q5Wo5" TargetMode="External"/><Relationship Id="rId113" Type="http://schemas.openxmlformats.org/officeDocument/2006/relationships/hyperlink" Target="https://drive.google.com/file/d/164z_6wLWFZK9ITsj62OUwth2w8m9qmNh/view" TargetMode="External"/><Relationship Id="rId234" Type="http://schemas.openxmlformats.org/officeDocument/2006/relationships/hyperlink" Target="https://drive.google.com/open?id=1apztxuK8VWiNiX2KFbLp8jA8mULgoFSy" TargetMode="External"/><Relationship Id="rId112" Type="http://schemas.openxmlformats.org/officeDocument/2006/relationships/hyperlink" Target="https://drive.google.com/open?id=1SFJfJY13w0rfSuQVDUzabRlt1rCaiwHV" TargetMode="External"/><Relationship Id="rId233" Type="http://schemas.openxmlformats.org/officeDocument/2006/relationships/hyperlink" Target="https://drive.google.com/open?id=1SGE4OMt_ase15iyP2lk8L0__j4RkDW-P" TargetMode="External"/><Relationship Id="rId111" Type="http://schemas.openxmlformats.org/officeDocument/2006/relationships/hyperlink" Target="https://drive.google.com/open?id=1NUAYl8bzO0wAJaSFRCHO2AxNfY3Rp6OT" TargetMode="External"/><Relationship Id="rId232" Type="http://schemas.openxmlformats.org/officeDocument/2006/relationships/hyperlink" Target="https://drive.google.com/open?id=1sKH4sxhOAfo7c7Zdz1NEQgrgBKbACEnu" TargetMode="External"/><Relationship Id="rId206" Type="http://schemas.openxmlformats.org/officeDocument/2006/relationships/hyperlink" Target="https://drive.google.com/open?id=1RKQREOavUhl1qvf-2jfs3xzo5X2_K7VG" TargetMode="External"/><Relationship Id="rId205" Type="http://schemas.openxmlformats.org/officeDocument/2006/relationships/hyperlink" Target="https://drive.google.com/open?id=12LiFuv0ARRe8WyULAQ898asLerlha_0v" TargetMode="External"/><Relationship Id="rId204" Type="http://schemas.openxmlformats.org/officeDocument/2006/relationships/hyperlink" Target="https://drive.google.com/open?id=1sW8aVcveBsSh3WPyo3hba46uH7xwGh10" TargetMode="External"/><Relationship Id="rId203" Type="http://schemas.openxmlformats.org/officeDocument/2006/relationships/hyperlink" Target="https://drive.google.com/open?id=13IThSbPB_u8B_smtt8GqtYOH8LNH-IRb" TargetMode="External"/><Relationship Id="rId209" Type="http://schemas.openxmlformats.org/officeDocument/2006/relationships/hyperlink" Target="https://drive.google.com/open?id=1zASwVdXeIvYXV2tdbuDWmdiW1kjarK3g" TargetMode="External"/><Relationship Id="rId208" Type="http://schemas.openxmlformats.org/officeDocument/2006/relationships/hyperlink" Target="https://drive.google.com/open?id=11noOhlJxdr4SGn5ntIPH4h8-G18EVtZr" TargetMode="External"/><Relationship Id="rId207" Type="http://schemas.openxmlformats.org/officeDocument/2006/relationships/hyperlink" Target="https://drive.google.com/open?id=1lEMoQJDe2Ss2NHJ9qXXvFo3c35nEYvZr" TargetMode="External"/><Relationship Id="rId202" Type="http://schemas.openxmlformats.org/officeDocument/2006/relationships/hyperlink" Target="https://drive.google.com/open?id=1kAgkdBSLYJth8f6JX8IdbTqpcZ-SQKOg" TargetMode="External"/><Relationship Id="rId201" Type="http://schemas.openxmlformats.org/officeDocument/2006/relationships/hyperlink" Target="https://drive.google.com/open?id=1SdJYdFHaE66Vt_6AXXbjSYf_wriQcY0v" TargetMode="External"/><Relationship Id="rId200" Type="http://schemas.openxmlformats.org/officeDocument/2006/relationships/hyperlink" Target="https://drive.google.com/open?id=1vKUjhZ__mvHU5QdITyxKkiR26PqIsH37" TargetMode="External"/></Relationships>
</file>

<file path=xl/worksheets/_rels/sheet11.xml.rels><?xml version="1.0" encoding="UTF-8" standalone="yes"?><Relationships xmlns="http://schemas.openxmlformats.org/package/2006/relationships"><Relationship Id="rId176" Type="http://schemas.openxmlformats.org/officeDocument/2006/relationships/hyperlink" Target="https://drive.google.com/drive/folders/1zhGRYKRkrqB5K3_-4g5HNkxhdIOaS-9r" TargetMode="External"/><Relationship Id="rId175" Type="http://schemas.openxmlformats.org/officeDocument/2006/relationships/hyperlink" Target="https://drive.google.com/drive/folders/12WYsgt5jSbHzvXqKptQ4RdW2TvkDSboB" TargetMode="External"/><Relationship Id="rId174" Type="http://schemas.openxmlformats.org/officeDocument/2006/relationships/hyperlink" Target="https://drive.google.com/drive/folders/1u6c0gL0-a2IggkwmvkVWN6Eoux6u_i3u" TargetMode="External"/><Relationship Id="rId173" Type="http://schemas.openxmlformats.org/officeDocument/2006/relationships/hyperlink" Target="https://drive.google.com/drive/folders/1840la6RuMEJ_DN9htvDWRzUEts4bcJsV" TargetMode="External"/><Relationship Id="rId179" Type="http://schemas.openxmlformats.org/officeDocument/2006/relationships/drawing" Target="../drawings/drawing11.xml"/><Relationship Id="rId178" Type="http://schemas.openxmlformats.org/officeDocument/2006/relationships/hyperlink" Target="https://drive.google.com/drive/folders/1zhGRYKRkrqB5K3_-4g5HNkxhdIOaS-9r" TargetMode="External"/><Relationship Id="rId177" Type="http://schemas.openxmlformats.org/officeDocument/2006/relationships/hyperlink" Target="https://drive.google.com/drive/folders/12WYsgt5jSbHzvXqKptQ4RdW2TvkDSboB" TargetMode="External"/><Relationship Id="rId150" Type="http://schemas.openxmlformats.org/officeDocument/2006/relationships/hyperlink" Target="https://drive.google.com/drive/u/0/folders/1GmNlWb5VtfT9O8p4U-Y613VZeMv8Juyt" TargetMode="External"/><Relationship Id="rId1" Type="http://schemas.openxmlformats.org/officeDocument/2006/relationships/hyperlink" Target="https://drive.google.com/drive/folders/1sR_rZaxrAutAmCJRsXqQjgcQUPyu-8OY" TargetMode="External"/><Relationship Id="rId2" Type="http://schemas.openxmlformats.org/officeDocument/2006/relationships/hyperlink" Target="https://drive.google.com/open?id=1huL-GfeSJRY5Mo_am3dYlja1eTxr4gy3" TargetMode="External"/><Relationship Id="rId3" Type="http://schemas.openxmlformats.org/officeDocument/2006/relationships/hyperlink" Target="https://drive.google.com/drive/folders/1MqOsM7UtcTYBtIODHD6uSmGwmx1a7C0V" TargetMode="External"/><Relationship Id="rId149" Type="http://schemas.openxmlformats.org/officeDocument/2006/relationships/hyperlink" Target="https://drive.google.com/drive/u/0/folders/1GmNlWb5VtfT9O8p4U-Y613VZeMv8Juyt" TargetMode="External"/><Relationship Id="rId4" Type="http://schemas.openxmlformats.org/officeDocument/2006/relationships/hyperlink" Target="https://drive.google.com/open?id=1huL-GfeSJRY5Mo_am3dYlja1eTxr4gy3" TargetMode="External"/><Relationship Id="rId148" Type="http://schemas.openxmlformats.org/officeDocument/2006/relationships/hyperlink" Target="https://drive.google.com/drive/folders/1NLVhAXpAztIZyWRe7AIbD34NrqXquxnv" TargetMode="External"/><Relationship Id="rId9" Type="http://schemas.openxmlformats.org/officeDocument/2006/relationships/hyperlink" Target="https://drive.google.com/drive/folders/1NLVhAXpAztIZyWRe7AIbD34NrqXquxnv" TargetMode="External"/><Relationship Id="rId143" Type="http://schemas.openxmlformats.org/officeDocument/2006/relationships/hyperlink" Target="https://drive.google.com/drive/folders/1840la6RuMEJ_DN9htvDWRzUEts4bcJsV" TargetMode="External"/><Relationship Id="rId142" Type="http://schemas.openxmlformats.org/officeDocument/2006/relationships/hyperlink" Target="https://drive.google.com/drive/folders/12FuSibBT8CW-hkW5exaaOTrBLftRt5k2" TargetMode="External"/><Relationship Id="rId141" Type="http://schemas.openxmlformats.org/officeDocument/2006/relationships/hyperlink" Target="https://drive.google.com/drive/folders/12FuSibBT8CW-hkW5exaaOTrBLftRt5k2" TargetMode="External"/><Relationship Id="rId140" Type="http://schemas.openxmlformats.org/officeDocument/2006/relationships/hyperlink" Target="https://drive.google.com/drive/folders/1sibEOr7dkLqogsbU5WPtqvuhD4X7wzfg" TargetMode="External"/><Relationship Id="rId5" Type="http://schemas.openxmlformats.org/officeDocument/2006/relationships/hyperlink" Target="https://drive.google.com/drive/folders/1u6c0gL0-a2IggkwmvkVWN6Eoux6u_i3u" TargetMode="External"/><Relationship Id="rId147" Type="http://schemas.openxmlformats.org/officeDocument/2006/relationships/hyperlink" Target="https://drive.google.com/drive/folders/1NLVhAXpAztIZyWRe7AIbD34NrqXquxnv" TargetMode="External"/><Relationship Id="rId6" Type="http://schemas.openxmlformats.org/officeDocument/2006/relationships/hyperlink" Target="https://drive.google.com/open?id=1huL-GfeSJRY5Mo_am3dYlja1eTxr4gy3" TargetMode="External"/><Relationship Id="rId146" Type="http://schemas.openxmlformats.org/officeDocument/2006/relationships/hyperlink" Target="https://drive.google.com/drive/folders/1u6c0gL0-a2IggkwmvkVWN6Eoux6u_i3u" TargetMode="External"/><Relationship Id="rId7" Type="http://schemas.openxmlformats.org/officeDocument/2006/relationships/hyperlink" Target="https://drive.google.com/drive/u/0/folders/1GmNlWb5VtfT9O8p4U-Y613VZeMv8Juyt" TargetMode="External"/><Relationship Id="rId145" Type="http://schemas.openxmlformats.org/officeDocument/2006/relationships/hyperlink" Target="https://drive.google.com/drive/folders/1zhGRYKRkrqB5K3_-4g5HNkxhdIOaS-9r" TargetMode="External"/><Relationship Id="rId8" Type="http://schemas.openxmlformats.org/officeDocument/2006/relationships/hyperlink" Target="https://drive.google.com/open?id=1EmUgqxwBY1Bwp9IXaavc7D7XMSlspGut" TargetMode="External"/><Relationship Id="rId144" Type="http://schemas.openxmlformats.org/officeDocument/2006/relationships/hyperlink" Target="https://drive.google.com/drive/folders/13AliuzNaRtT3nzvB8lWh00R3P2ucv9il" TargetMode="External"/><Relationship Id="rId139" Type="http://schemas.openxmlformats.org/officeDocument/2006/relationships/hyperlink" Target="https://drive.google.com/drive/folders/1sibEOr7dkLqogsbU5WPtqvuhD4X7wzfg" TargetMode="External"/><Relationship Id="rId138" Type="http://schemas.openxmlformats.org/officeDocument/2006/relationships/hyperlink" Target="https://drive.google.com/drive/folders/1sibEOr7dkLqogsbU5WPtqvuhD4X7wzfg" TargetMode="External"/><Relationship Id="rId137" Type="http://schemas.openxmlformats.org/officeDocument/2006/relationships/hyperlink" Target="https://drive.google.com/drive/folders/1sibEOr7dkLqogsbU5WPtqvuhD4X7wzfg" TargetMode="External"/><Relationship Id="rId132" Type="http://schemas.openxmlformats.org/officeDocument/2006/relationships/hyperlink" Target="https://drive.google.com/drive/folders/1ifC7brU4keQIJVjdd7ghfKzbHF7GAgoF" TargetMode="External"/><Relationship Id="rId131" Type="http://schemas.openxmlformats.org/officeDocument/2006/relationships/hyperlink" Target="https://drive.google.com/drive/folders/1ifC7brU4keQIJVjdd7ghfKzbHF7GAgoF" TargetMode="External"/><Relationship Id="rId130" Type="http://schemas.openxmlformats.org/officeDocument/2006/relationships/hyperlink" Target="https://drive.google.com/drive/folders/1-N_lTQVftC30zdLPeLsWw7-UVUfMFRJX" TargetMode="External"/><Relationship Id="rId136" Type="http://schemas.openxmlformats.org/officeDocument/2006/relationships/hyperlink" Target="https://drive.google.com/drive/folders/12WYsgt5jSbHzvXqKptQ4RdW2TvkDSboB" TargetMode="External"/><Relationship Id="rId135" Type="http://schemas.openxmlformats.org/officeDocument/2006/relationships/hyperlink" Target="https://drive.google.com/drive/folders/1tXvWBfsJ9Sd2XhhGodvEmKtMeJUb3Mm6" TargetMode="External"/><Relationship Id="rId134" Type="http://schemas.openxmlformats.org/officeDocument/2006/relationships/hyperlink" Target="https://drive.google.com/drive/folders/1tXvWBfsJ9Sd2XhhGodvEmKtMeJUb3Mm6" TargetMode="External"/><Relationship Id="rId133" Type="http://schemas.openxmlformats.org/officeDocument/2006/relationships/hyperlink" Target="https://drive.google.com/drive/folders/1tXvWBfsJ9Sd2XhhGodvEmKtMeJUb3Mm6" TargetMode="External"/><Relationship Id="rId172" Type="http://schemas.openxmlformats.org/officeDocument/2006/relationships/hyperlink" Target="https://drive.google.com/drive/folders/12FuSibBT8CW-hkW5exaaOTrBLftRt5k2" TargetMode="External"/><Relationship Id="rId171" Type="http://schemas.openxmlformats.org/officeDocument/2006/relationships/hyperlink" Target="https://drive.google.com/drive/folders/1sibEOr7dkLqogsbU5WPtqvuhD4X7wzfg" TargetMode="External"/><Relationship Id="rId170" Type="http://schemas.openxmlformats.org/officeDocument/2006/relationships/hyperlink" Target="https://drive.google.com/drive/folders/1sibEOr7dkLqogsbU5WPtqvuhD4X7wzfg" TargetMode="External"/><Relationship Id="rId165" Type="http://schemas.openxmlformats.org/officeDocument/2006/relationships/hyperlink" Target="https://drive.google.com/drive/folders/1XDTByq6mSx9uk12sCi6hurjPrlYWSppq" TargetMode="External"/><Relationship Id="rId164" Type="http://schemas.openxmlformats.org/officeDocument/2006/relationships/hyperlink" Target="https://drive.google.com/open?id=1cpIeuhWUXBqtxSf3KEeTK4TUo_7jFSYc" TargetMode="External"/><Relationship Id="rId163" Type="http://schemas.openxmlformats.org/officeDocument/2006/relationships/hyperlink" Target="https://drive.google.com/drive/folders/1840la6RuMEJ_DN9htvDWRzUEts4bcJsV" TargetMode="External"/><Relationship Id="rId162" Type="http://schemas.openxmlformats.org/officeDocument/2006/relationships/hyperlink" Target="https://drive.google.com/open?id=1TjgT1Wi23pTHazrx3HjrA4SaapYXpMEQ" TargetMode="External"/><Relationship Id="rId169" Type="http://schemas.openxmlformats.org/officeDocument/2006/relationships/hyperlink" Target="https://drive.google.com/drive/folders/1sibEOr7dkLqogsbU5WPtqvuhD4X7wzfg" TargetMode="External"/><Relationship Id="rId168" Type="http://schemas.openxmlformats.org/officeDocument/2006/relationships/hyperlink" Target="https://drive.google.com/drive/folders/1sibEOr7dkLqogsbU5WPtqvuhD4X7wzfg" TargetMode="External"/><Relationship Id="rId167" Type="http://schemas.openxmlformats.org/officeDocument/2006/relationships/hyperlink" Target="https://drive.google.com/drive/folders/1tXvWBfsJ9Sd2XhhGodvEmKtMeJUb3Mm6" TargetMode="External"/><Relationship Id="rId166" Type="http://schemas.openxmlformats.org/officeDocument/2006/relationships/hyperlink" Target="https://drive.google.com/drive/folders/1tXvWBfsJ9Sd2XhhGodvEmKtMeJUb3Mm6" TargetMode="External"/><Relationship Id="rId161" Type="http://schemas.openxmlformats.org/officeDocument/2006/relationships/hyperlink" Target="https://drive.google.com/drive/folders/12FuSibBT8CW-hkW5exaaOTrBLftRt5k2" TargetMode="External"/><Relationship Id="rId160" Type="http://schemas.openxmlformats.org/officeDocument/2006/relationships/hyperlink" Target="https://drive.google.com/open?id=1TjgT1Wi23pTHazrx3HjrA4SaapYXpMEQ" TargetMode="External"/><Relationship Id="rId159" Type="http://schemas.openxmlformats.org/officeDocument/2006/relationships/hyperlink" Target="https://drive.google.com/drive/folders/1tXvWBfsJ9Sd2XhhGodvEmKtMeJUb3Mm6" TargetMode="External"/><Relationship Id="rId154" Type="http://schemas.openxmlformats.org/officeDocument/2006/relationships/hyperlink" Target="https://drive.google.com/drive/folders/1dNicnbBrrwOhLanaxpEkGdEYv6w0UmZI" TargetMode="External"/><Relationship Id="rId153" Type="http://schemas.openxmlformats.org/officeDocument/2006/relationships/hyperlink" Target="https://drive.google.com/open?id=1sy9Q3-EKZCUlfSLZ2GPzdEdGTz64N99X" TargetMode="External"/><Relationship Id="rId152" Type="http://schemas.openxmlformats.org/officeDocument/2006/relationships/hyperlink" Target="https://drive.google.com/drive/folders/1oQXAWHg04_ByzY2i837FI8HGlaZHPg6m" TargetMode="External"/><Relationship Id="rId151" Type="http://schemas.openxmlformats.org/officeDocument/2006/relationships/hyperlink" Target="https://drive.google.com/drive/u/0/folders/1ohfUBOwV2NuhFQTvrH65NE2V01vTvPuk" TargetMode="External"/><Relationship Id="rId158" Type="http://schemas.openxmlformats.org/officeDocument/2006/relationships/hyperlink" Target="https://drive.google.com/open?id=1TjgT1Wi23pTHazrx3HjrA4SaapYXpMEQ" TargetMode="External"/><Relationship Id="rId157" Type="http://schemas.openxmlformats.org/officeDocument/2006/relationships/hyperlink" Target="https://drive.google.com/drive/folders/1GGOY8ZPEtV0S87EV3qJcPcvQTxEE_EPI" TargetMode="External"/><Relationship Id="rId156" Type="http://schemas.openxmlformats.org/officeDocument/2006/relationships/hyperlink" Target="https://drive.google.com/drive/folders/19XWtf87BJgJAQHpDJVqEYwKlI4by-Cx1" TargetMode="External"/><Relationship Id="rId155" Type="http://schemas.openxmlformats.org/officeDocument/2006/relationships/hyperlink" Target="https://drive.google.com/drive/u/0/folders/19QjPPpxSspLbVfq0iubpdxmg4p45E-9U" TargetMode="External"/><Relationship Id="rId40" Type="http://schemas.openxmlformats.org/officeDocument/2006/relationships/hyperlink" Target="https://drive.google.com/drive/folders/19tCxe3_oEojQXg_EQUtW0r47vRjdS3h8" TargetMode="External"/><Relationship Id="rId42" Type="http://schemas.openxmlformats.org/officeDocument/2006/relationships/hyperlink" Target="https://drive.google.com/drive/folders/1mNUvGN_KXaVYIE4mlzLQs0lRvArlqDKQ" TargetMode="External"/><Relationship Id="rId41" Type="http://schemas.openxmlformats.org/officeDocument/2006/relationships/hyperlink" Target="https://drive.google.com/drive/u/0/folders/1cTwVlyhfH3XyqFsa4CfFAYHYaUfHXBFB" TargetMode="External"/><Relationship Id="rId44" Type="http://schemas.openxmlformats.org/officeDocument/2006/relationships/hyperlink" Target="https://drive.google.com/drive/folders/1GGOY8ZPEtV0S87EV3qJcPcvQTxEE_EPI" TargetMode="External"/><Relationship Id="rId43" Type="http://schemas.openxmlformats.org/officeDocument/2006/relationships/hyperlink" Target="https://drive.google.com/drive/folders/19XWtf87BJgJAQHpDJVqEYwKlI4by-Cx1" TargetMode="External"/><Relationship Id="rId46" Type="http://schemas.openxmlformats.org/officeDocument/2006/relationships/hyperlink" Target="https://drive.google.com/drive/folders/12FuSibBT8CW-hkW5exaaOTrBLftRt5k2" TargetMode="External"/><Relationship Id="rId45" Type="http://schemas.openxmlformats.org/officeDocument/2006/relationships/hyperlink" Target="https://drive.google.com/open?id=1iuF48m3Mvjd3nGdAEU3eoTd6Vlf57ZD0" TargetMode="External"/><Relationship Id="rId48" Type="http://schemas.openxmlformats.org/officeDocument/2006/relationships/hyperlink" Target="https://drive.google.com/drive/folders/1kZBG4GxIa3HlGdiFFQYf5T4WqliwxRRp" TargetMode="External"/><Relationship Id="rId47" Type="http://schemas.openxmlformats.org/officeDocument/2006/relationships/hyperlink" Target="https://drive.google.com/open?id=1iuF48m3Mvjd3nGdAEU3eoTd6Vlf57ZD0" TargetMode="External"/><Relationship Id="rId49" Type="http://schemas.openxmlformats.org/officeDocument/2006/relationships/hyperlink" Target="https://drive.google.com/open?id=1iuF48m3Mvjd3nGdAEU3eoTd6Vlf57ZD0" TargetMode="External"/><Relationship Id="rId31" Type="http://schemas.openxmlformats.org/officeDocument/2006/relationships/hyperlink" Target="https://drive.google.com/drive/u/0/folders/1GmNlWb5VtfT9O8p4U-Y613VZeMv8Juyt" TargetMode="External"/><Relationship Id="rId30" Type="http://schemas.openxmlformats.org/officeDocument/2006/relationships/hyperlink" Target="https://drive.google.com/drive/folders/1NLVhAXpAztIZyWRe7AIbD34NrqXquxnv" TargetMode="External"/><Relationship Id="rId33" Type="http://schemas.openxmlformats.org/officeDocument/2006/relationships/hyperlink" Target="https://drive.google.com/drive/u/0/folders/1ohfUBOwV2NuhFQTvrH65NE2V01vTvPuk" TargetMode="External"/><Relationship Id="rId32" Type="http://schemas.openxmlformats.org/officeDocument/2006/relationships/hyperlink" Target="https://drive.google.com/drive/u/0/folders/1ohfUBOwV2NuhFQTvrH65NE2V01vTvPuk" TargetMode="External"/><Relationship Id="rId35" Type="http://schemas.openxmlformats.org/officeDocument/2006/relationships/hyperlink" Target="https://drive.google.com/drive/folders/1Erp8WAmovG4p2v2E46Ph4pwufYvyCWlC" TargetMode="External"/><Relationship Id="rId34" Type="http://schemas.openxmlformats.org/officeDocument/2006/relationships/hyperlink" Target="https://drive.google.com/drive/folders/1Erp8WAmovG4p2v2E46Ph4pwufYvyCWlC" TargetMode="External"/><Relationship Id="rId37" Type="http://schemas.openxmlformats.org/officeDocument/2006/relationships/hyperlink" Target="https://drive.google.com/drive/folders/18BerSST9OOyqVy6gCG9olMV8_RYokhkD" TargetMode="External"/><Relationship Id="rId36" Type="http://schemas.openxmlformats.org/officeDocument/2006/relationships/hyperlink" Target="https://drive.google.com/drive/folders/1Erp8WAmovG4p2v2E46Ph4pwufYvyCWlC" TargetMode="External"/><Relationship Id="rId39" Type="http://schemas.openxmlformats.org/officeDocument/2006/relationships/hyperlink" Target="https://drive.google.com/drive/folders/1eUL6SYq5fi_pAFtnx3vXrEbq6ipTt73E" TargetMode="External"/><Relationship Id="rId38" Type="http://schemas.openxmlformats.org/officeDocument/2006/relationships/hyperlink" Target="https://drive.google.com/open?id=1RiAoxmdXhEfRBTS_ckNgehFZqMBBslI0" TargetMode="External"/><Relationship Id="rId20" Type="http://schemas.openxmlformats.org/officeDocument/2006/relationships/hyperlink" Target="https://drive.google.com/drive/folders/1xYZq-d4TF6LzoJw0r-3ycpoxSmi7AQ5r" TargetMode="External"/><Relationship Id="rId22" Type="http://schemas.openxmlformats.org/officeDocument/2006/relationships/hyperlink" Target="https://drive.google.com/drive/folders/1akQv0RCpEZ1_6qWswVSY9eZrBVB7obcG" TargetMode="External"/><Relationship Id="rId21" Type="http://schemas.openxmlformats.org/officeDocument/2006/relationships/hyperlink" Target="https://drive.google.com/drive/folders/18BerSST9OOyqVy6gCG9olMV8_RYokhkD" TargetMode="External"/><Relationship Id="rId24" Type="http://schemas.openxmlformats.org/officeDocument/2006/relationships/hyperlink" Target="https://drive.google.com/drive/folders/1W8lZGst7iOVc6Ujs6ksvfqPXNZ55L_Wg" TargetMode="External"/><Relationship Id="rId23" Type="http://schemas.openxmlformats.org/officeDocument/2006/relationships/hyperlink" Target="https://drive.google.com/drive/folders/1CKpXVyIZbeYdOVbZcV9xv0F5Wc50I5qP" TargetMode="External"/><Relationship Id="rId26" Type="http://schemas.openxmlformats.org/officeDocument/2006/relationships/hyperlink" Target="https://drive.google.com/drive/folders/1ifC7brU4keQIJVjdd7ghfKzbHF7GAgoF" TargetMode="External"/><Relationship Id="rId25" Type="http://schemas.openxmlformats.org/officeDocument/2006/relationships/hyperlink" Target="https://drive.google.com/drive/folders/1dNicnbBrrwOhLanaxpEkGdEYv6w0UmZI" TargetMode="External"/><Relationship Id="rId28" Type="http://schemas.openxmlformats.org/officeDocument/2006/relationships/hyperlink" Target="https://drive.google.com/drive/folders/13AliuzNaRtT3nzvB8lWh00R3P2ucv9il" TargetMode="External"/><Relationship Id="rId27" Type="http://schemas.openxmlformats.org/officeDocument/2006/relationships/hyperlink" Target="https://drive.google.com/drive/folders/1ifC7brU4keQIJVjdd7ghfKzbHF7GAgoF" TargetMode="External"/><Relationship Id="rId29" Type="http://schemas.openxmlformats.org/officeDocument/2006/relationships/hyperlink" Target="https://drive.google.com/drive/folders/1NLVhAXpAztIZyWRe7AIbD34NrqXquxnv" TargetMode="External"/><Relationship Id="rId11" Type="http://schemas.openxmlformats.org/officeDocument/2006/relationships/hyperlink" Target="https://drive.google.com/drive/u/0/folders/1GmNlWb5VtfT9O8p4U-Y613VZeMv8Juyt" TargetMode="External"/><Relationship Id="rId10" Type="http://schemas.openxmlformats.org/officeDocument/2006/relationships/hyperlink" Target="https://drive.google.com/open?id=1EmUgqxwBY1Bwp9IXaavc7D7XMSlspGut" TargetMode="External"/><Relationship Id="rId13" Type="http://schemas.openxmlformats.org/officeDocument/2006/relationships/hyperlink" Target="https://drive.google.com/drive/folders/1Gx0t-nS6lpAH-8KJaHLpdt9dEfJm5bSm" TargetMode="External"/><Relationship Id="rId12" Type="http://schemas.openxmlformats.org/officeDocument/2006/relationships/hyperlink" Target="https://drive.google.com/open?id=1EmUgqxwBY1Bwp9IXaavc7D7XMSlspGut" TargetMode="External"/><Relationship Id="rId15" Type="http://schemas.openxmlformats.org/officeDocument/2006/relationships/hyperlink" Target="https://drive.google.com/drive/folders/1QAdu8yvOkaBKrmJS_0nS7UDrNT1-47bT" TargetMode="External"/><Relationship Id="rId14" Type="http://schemas.openxmlformats.org/officeDocument/2006/relationships/hyperlink" Target="https://drive.google.com/open?id=1wNBDyxwSIwH-vUneoSjsuRVDWgsWSK7l" TargetMode="External"/><Relationship Id="rId17" Type="http://schemas.openxmlformats.org/officeDocument/2006/relationships/hyperlink" Target="https://drive.google.com/drive/folders/1YHAYXKxTocpVYfQ_wn8AZog-dBbMXTNI" TargetMode="External"/><Relationship Id="rId16" Type="http://schemas.openxmlformats.org/officeDocument/2006/relationships/hyperlink" Target="https://drive.google.com/open?id=1wNBDyxwSIwH-vUneoSjsuRVDWgsWSK7l" TargetMode="External"/><Relationship Id="rId19" Type="http://schemas.openxmlformats.org/officeDocument/2006/relationships/hyperlink" Target="https://drive.google.com/drive/u/0/folders/19QjPPpxSspLbVfq0iubpdxmg4p45E-9U" TargetMode="External"/><Relationship Id="rId18" Type="http://schemas.openxmlformats.org/officeDocument/2006/relationships/hyperlink" Target="https://drive.google.com/open?id=1wNBDyxwSIwH-vUneoSjsuRVDWgsWSK7l" TargetMode="External"/><Relationship Id="rId84" Type="http://schemas.openxmlformats.org/officeDocument/2006/relationships/hyperlink" Target="https://drive.google.com/drive/folders/1NLVhAXpAztIZyWRe7AIbD34NrqXquxnv" TargetMode="External"/><Relationship Id="rId83" Type="http://schemas.openxmlformats.org/officeDocument/2006/relationships/hyperlink" Target="https://drive.google.com/drive/folders/1NLVhAXpAztIZyWRe7AIbD34NrqXquxnv" TargetMode="External"/><Relationship Id="rId86" Type="http://schemas.openxmlformats.org/officeDocument/2006/relationships/hyperlink" Target="https://drive.google.com/drive/u/0/folders/1GmNlWb5VtfT9O8p4U-Y613VZeMv8Juyt" TargetMode="External"/><Relationship Id="rId85" Type="http://schemas.openxmlformats.org/officeDocument/2006/relationships/hyperlink" Target="https://drive.google.com/drive/folders/1NLVhAXpAztIZyWRe7AIbD34NrqXquxnv" TargetMode="External"/><Relationship Id="rId88" Type="http://schemas.openxmlformats.org/officeDocument/2006/relationships/hyperlink" Target="https://drive.google.com/drive/u/0/folders/1GmNlWb5VtfT9O8p4U-Y613VZeMv8Juyt" TargetMode="External"/><Relationship Id="rId87" Type="http://schemas.openxmlformats.org/officeDocument/2006/relationships/hyperlink" Target="https://drive.google.com/drive/u/0/folders/1GmNlWb5VtfT9O8p4U-Y613VZeMv8Juyt" TargetMode="External"/><Relationship Id="rId89" Type="http://schemas.openxmlformats.org/officeDocument/2006/relationships/hyperlink" Target="https://drive.google.com/drive/u/0/folders/1ohfUBOwV2NuhFQTvrH65NE2V01vTvPuk" TargetMode="External"/><Relationship Id="rId80" Type="http://schemas.openxmlformats.org/officeDocument/2006/relationships/hyperlink" Target="https://drive.google.com/drive/folders/1840la6RuMEJ_DN9htvDWRzUEts4bcJsV" TargetMode="External"/><Relationship Id="rId82" Type="http://schemas.openxmlformats.org/officeDocument/2006/relationships/hyperlink" Target="https://drive.google.com/drive/folders/1u6c0gL0-a2IggkwmvkVWN6Eoux6u_i3u" TargetMode="External"/><Relationship Id="rId81" Type="http://schemas.openxmlformats.org/officeDocument/2006/relationships/hyperlink" Target="https://drive.google.com/drive/folders/13AliuzNaRtT3nzvB8lWh00R3P2ucv9il" TargetMode="External"/><Relationship Id="rId73" Type="http://schemas.openxmlformats.org/officeDocument/2006/relationships/hyperlink" Target="https://drive.google.com/drive/folders/1sibEOr7dkLqogsbU5WPtqvuhD4X7wzfg" TargetMode="External"/><Relationship Id="rId72" Type="http://schemas.openxmlformats.org/officeDocument/2006/relationships/hyperlink" Target="https://drive.google.com/drive/folders/1sibEOr7dkLqogsbU5WPtqvuhD4X7wzfg" TargetMode="External"/><Relationship Id="rId75" Type="http://schemas.openxmlformats.org/officeDocument/2006/relationships/hyperlink" Target="https://drive.google.com/drive/folders/1sibEOr7dkLqogsbU5WPtqvuhD4X7wzfg" TargetMode="External"/><Relationship Id="rId74" Type="http://schemas.openxmlformats.org/officeDocument/2006/relationships/hyperlink" Target="https://drive.google.com/drive/folders/1sibEOr7dkLqogsbU5WPtqvuhD4X7wzfg" TargetMode="External"/><Relationship Id="rId77" Type="http://schemas.openxmlformats.org/officeDocument/2006/relationships/hyperlink" Target="https://drive.google.com/drive/folders/12FuSibBT8CW-hkW5exaaOTrBLftRt5k2" TargetMode="External"/><Relationship Id="rId76" Type="http://schemas.openxmlformats.org/officeDocument/2006/relationships/hyperlink" Target="https://drive.google.com/drive/folders/12FuSibBT8CW-hkW5exaaOTrBLftRt5k2" TargetMode="External"/><Relationship Id="rId79" Type="http://schemas.openxmlformats.org/officeDocument/2006/relationships/hyperlink" Target="https://drive.google.com/drive/folders/1840la6RuMEJ_DN9htvDWRzUEts4bcJsV" TargetMode="External"/><Relationship Id="rId78" Type="http://schemas.openxmlformats.org/officeDocument/2006/relationships/hyperlink" Target="https://drive.google.com/drive/folders/1840la6RuMEJ_DN9htvDWRzUEts4bcJsV" TargetMode="External"/><Relationship Id="rId71" Type="http://schemas.openxmlformats.org/officeDocument/2006/relationships/hyperlink" Target="https://drive.google.com/drive/folders/1tXvWBfsJ9Sd2XhhGodvEmKtMeJUb3Mm6" TargetMode="External"/><Relationship Id="rId70" Type="http://schemas.openxmlformats.org/officeDocument/2006/relationships/hyperlink" Target="https://drive.google.com/drive/folders/1tXvWBfsJ9Sd2XhhGodvEmKtMeJUb3Mm6" TargetMode="External"/><Relationship Id="rId62" Type="http://schemas.openxmlformats.org/officeDocument/2006/relationships/hyperlink" Target="https://drive.google.com/drive/folders/19XWtf87BJgJAQHpDJVqEYwKlI4by-Cx1" TargetMode="External"/><Relationship Id="rId61" Type="http://schemas.openxmlformats.org/officeDocument/2006/relationships/hyperlink" Target="https://drive.google.com/file/d/1LIkcL7cud_2sFj7LnftmeC3TTcfJPFJ3/view" TargetMode="External"/><Relationship Id="rId64" Type="http://schemas.openxmlformats.org/officeDocument/2006/relationships/hyperlink" Target="https://drive.google.com/drive/folders/1xYZq-d4TF6LzoJw0r-3ycpoxSmi7AQ5r" TargetMode="External"/><Relationship Id="rId63" Type="http://schemas.openxmlformats.org/officeDocument/2006/relationships/hyperlink" Target="https://drive.google.com/drive/folders/18BerSST9OOyqVy6gCG9olMV8_RYokhkD" TargetMode="External"/><Relationship Id="rId66" Type="http://schemas.openxmlformats.org/officeDocument/2006/relationships/hyperlink" Target="https://drive.google.com/drive/folders/1ifC7brU4keQIJVjdd7ghfKzbHF7GAgoF" TargetMode="External"/><Relationship Id="rId65" Type="http://schemas.openxmlformats.org/officeDocument/2006/relationships/hyperlink" Target="https://drive.google.com/drive/folders/18BerSST9OOyqVy6gCG9olMV8_RYokhkD" TargetMode="External"/><Relationship Id="rId68" Type="http://schemas.openxmlformats.org/officeDocument/2006/relationships/hyperlink" Target="https://drive.google.com/drive/folders/1ifC7brU4keQIJVjdd7ghfKzbHF7GAgoF" TargetMode="External"/><Relationship Id="rId67" Type="http://schemas.openxmlformats.org/officeDocument/2006/relationships/hyperlink" Target="https://drive.google.com/drive/folders/1ifC7brU4keQIJVjdd7ghfKzbHF7GAgoF" TargetMode="External"/><Relationship Id="rId60" Type="http://schemas.openxmlformats.org/officeDocument/2006/relationships/hyperlink" Target="https://drive.google.com/drive/folders/19tCxe3_oEojQXg_EQUtW0r47vRjdS3h8" TargetMode="External"/><Relationship Id="rId69" Type="http://schemas.openxmlformats.org/officeDocument/2006/relationships/hyperlink" Target="https://drive.google.com/drive/folders/1tXvWBfsJ9Sd2XhhGodvEmKtMeJUb3Mm6" TargetMode="External"/><Relationship Id="rId51" Type="http://schemas.openxmlformats.org/officeDocument/2006/relationships/hyperlink" Target="https://drive.google.com/open?id=1wHGxNZiIcAtRQ3FAt0lG0RxKiUT9OQQc" TargetMode="External"/><Relationship Id="rId50" Type="http://schemas.openxmlformats.org/officeDocument/2006/relationships/hyperlink" Target="https://drive.google.com/open?id=1bfDQlxKYOKKXq5j5dkYfjElRtY6v-uvH" TargetMode="External"/><Relationship Id="rId53" Type="http://schemas.openxmlformats.org/officeDocument/2006/relationships/hyperlink" Target="https://drive.google.com/open?id=1wHGxNZiIcAtRQ3FAt0lG0RxKiUT9OQQc" TargetMode="External"/><Relationship Id="rId52" Type="http://schemas.openxmlformats.org/officeDocument/2006/relationships/hyperlink" Target="https://drive.google.com/drive/folders/12FuSibBT8CW-hkW5exaaOTrBLftRt5k2" TargetMode="External"/><Relationship Id="rId55" Type="http://schemas.openxmlformats.org/officeDocument/2006/relationships/hyperlink" Target="https://drive.google.com/open?id=1wHGxNZiIcAtRQ3FAt0lG0RxKiUT9OQQc" TargetMode="External"/><Relationship Id="rId54" Type="http://schemas.openxmlformats.org/officeDocument/2006/relationships/hyperlink" Target="https://drive.google.com/drive/folders/1kZBG4GxIa3HlGdiFFQYf5T4WqliwxRRp" TargetMode="External"/><Relationship Id="rId57" Type="http://schemas.openxmlformats.org/officeDocument/2006/relationships/hyperlink" Target="https://drive.google.com/file/d/1LIkcL7cud_2sFj7LnftmeC3TTcfJPFJ3/view" TargetMode="External"/><Relationship Id="rId56" Type="http://schemas.openxmlformats.org/officeDocument/2006/relationships/hyperlink" Target="https://drive.google.com/drive/folders/1eUL6SYq5fi_pAFtnx3vXrEbq6ipTt73E" TargetMode="External"/><Relationship Id="rId59" Type="http://schemas.openxmlformats.org/officeDocument/2006/relationships/hyperlink" Target="https://drive.google.com/file/d/1LIkcL7cud_2sFj7LnftmeC3TTcfJPFJ3/view" TargetMode="External"/><Relationship Id="rId58" Type="http://schemas.openxmlformats.org/officeDocument/2006/relationships/hyperlink" Target="https://drive.google.com/drive/folders/1QAdu8yvOkaBKrmJS_0nS7UDrNT1-47bT" TargetMode="External"/><Relationship Id="rId107" Type="http://schemas.openxmlformats.org/officeDocument/2006/relationships/hyperlink" Target="https://drive.google.com/open?id=14z1IZoAJDVyfy0YjQK7oJu8Vx5n4yP7Q" TargetMode="External"/><Relationship Id="rId106" Type="http://schemas.openxmlformats.org/officeDocument/2006/relationships/hyperlink" Target="https://drive.google.com/drive/folders/1sK13MMr2QAMk7YzpM8Flhaossj8cLVz9" TargetMode="External"/><Relationship Id="rId105" Type="http://schemas.openxmlformats.org/officeDocument/2006/relationships/hyperlink" Target="https://drive.google.com/open?id=1ttoqhavs_kjqB1Cgn93N2eOOgRKCWAO7" TargetMode="External"/><Relationship Id="rId104" Type="http://schemas.openxmlformats.org/officeDocument/2006/relationships/hyperlink" Target="https://drive.google.com/drive/folders/1VAt3658CxVWKEfzFL5VtU_yH5FZ4LUwq" TargetMode="External"/><Relationship Id="rId109" Type="http://schemas.openxmlformats.org/officeDocument/2006/relationships/hyperlink" Target="https://drive.google.com/open?id=14z1IZoAJDVyfy0YjQK7oJu8Vx5n4yP7Q" TargetMode="External"/><Relationship Id="rId108" Type="http://schemas.openxmlformats.org/officeDocument/2006/relationships/hyperlink" Target="https://drive.google.com/drive/folders/1ifC7brU4keQIJVjdd7ghfKzbHF7GAgoF" TargetMode="External"/><Relationship Id="rId103" Type="http://schemas.openxmlformats.org/officeDocument/2006/relationships/hyperlink" Target="https://drive.google.com/open?id=1ttoqhavs_kjqB1Cgn93N2eOOgRKCWAO7" TargetMode="External"/><Relationship Id="rId102" Type="http://schemas.openxmlformats.org/officeDocument/2006/relationships/hyperlink" Target="https://drive.google.com/drive/folders/1XDTByq6mSx9uk12sCi6hurjPrlYWSppq" TargetMode="External"/><Relationship Id="rId101" Type="http://schemas.openxmlformats.org/officeDocument/2006/relationships/hyperlink" Target="https://drive.google.com/open?id=1ttoqhavs_kjqB1Cgn93N2eOOgRKCWAO7" TargetMode="External"/><Relationship Id="rId100" Type="http://schemas.openxmlformats.org/officeDocument/2006/relationships/hyperlink" Target="https://drive.google.com/drive/folders/1mNUvGN_KXaVYIE4mlzLQs0lRvArlqDKQ" TargetMode="External"/><Relationship Id="rId129" Type="http://schemas.openxmlformats.org/officeDocument/2006/relationships/hyperlink" Target="https://drive.google.com/drive/folders/1xYZq-d4TF6LzoJw0r-3ycpoxSmi7AQ5r" TargetMode="External"/><Relationship Id="rId128" Type="http://schemas.openxmlformats.org/officeDocument/2006/relationships/hyperlink" Target="https://drive.google.com/drive/folders/1840la6RuMEJ_DN9htvDWRzUEts4bcJsV" TargetMode="External"/><Relationship Id="rId127" Type="http://schemas.openxmlformats.org/officeDocument/2006/relationships/hyperlink" Target="https://drive.google.com/open?id=1FBtCFUE4vXOn_s_5DbvkkU-HObDZ-5pH" TargetMode="External"/><Relationship Id="rId126" Type="http://schemas.openxmlformats.org/officeDocument/2006/relationships/hyperlink" Target="https://drive.google.com/drive/folders/1rSgySWSMKK5hAnC8iHZMFe_AXmCE_KqK" TargetMode="External"/><Relationship Id="rId121" Type="http://schemas.openxmlformats.org/officeDocument/2006/relationships/hyperlink" Target="https://drive.google.com/open?id=1QsNioJx290z1N0LlGa9WsnedRprj9cWD" TargetMode="External"/><Relationship Id="rId120" Type="http://schemas.openxmlformats.org/officeDocument/2006/relationships/hyperlink" Target="https://drive.google.com/drive/folders/1eUL6SYq5fi_pAFtnx3vXrEbq6ipTt73E" TargetMode="External"/><Relationship Id="rId125" Type="http://schemas.openxmlformats.org/officeDocument/2006/relationships/hyperlink" Target="https://drive.google.com/open?id=1FBtCFUE4vXOn_s_5DbvkkU-HObDZ-5pH" TargetMode="External"/><Relationship Id="rId124" Type="http://schemas.openxmlformats.org/officeDocument/2006/relationships/hyperlink" Target="https://drive.google.com/drive/u/0/folders/1cTwVlyhfH3XyqFsa4CfFAYHYaUfHXBFB" TargetMode="External"/><Relationship Id="rId123" Type="http://schemas.openxmlformats.org/officeDocument/2006/relationships/hyperlink" Target="https://drive.google.com/open?id=1QsNioJx290z1N0LlGa9WsnedRprj9cWD" TargetMode="External"/><Relationship Id="rId122" Type="http://schemas.openxmlformats.org/officeDocument/2006/relationships/hyperlink" Target="https://drive.google.com/drive/folders/1QAdu8yvOkaBKrmJS_0nS7UDrNT1-47bT" TargetMode="External"/><Relationship Id="rId95" Type="http://schemas.openxmlformats.org/officeDocument/2006/relationships/hyperlink" Target="https://drive.google.com/open?id=1-E2uvTen0Lb7nLueOau1lAsISMfZCH7y" TargetMode="External"/><Relationship Id="rId94" Type="http://schemas.openxmlformats.org/officeDocument/2006/relationships/hyperlink" Target="https://drive.google.com/drive/folders/1GGOY8ZPEtV0S87EV3qJcPcvQTxEE_EPI" TargetMode="External"/><Relationship Id="rId97" Type="http://schemas.openxmlformats.org/officeDocument/2006/relationships/hyperlink" Target="https://drive.google.com/open?id=1-E2uvTen0Lb7nLueOau1lAsISMfZCH7y" TargetMode="External"/><Relationship Id="rId96" Type="http://schemas.openxmlformats.org/officeDocument/2006/relationships/hyperlink" Target="https://drive.google.com/drive/folders/19tCxe3_oEojQXg_EQUtW0r47vRjdS3h8" TargetMode="External"/><Relationship Id="rId99" Type="http://schemas.openxmlformats.org/officeDocument/2006/relationships/hyperlink" Target="https://drive.google.com/open?id=1-E2uvTen0Lb7nLueOau1lAsISMfZCH7y" TargetMode="External"/><Relationship Id="rId98" Type="http://schemas.openxmlformats.org/officeDocument/2006/relationships/hyperlink" Target="https://drive.google.com/drive/folders/1YHAYXKxTocpVYfQ_wn8AZog-dBbMXTNI" TargetMode="External"/><Relationship Id="rId91" Type="http://schemas.openxmlformats.org/officeDocument/2006/relationships/hyperlink" Target="https://drive.google.com/drive/u/0/folders/19QjPPpxSspLbVfq0iubpdxmg4p45E-9U" TargetMode="External"/><Relationship Id="rId90" Type="http://schemas.openxmlformats.org/officeDocument/2006/relationships/hyperlink" Target="https://drive.google.com/drive/folders/1YHAYXKxTocpVYfQ_wn8AZog-dBbMXTNI" TargetMode="External"/><Relationship Id="rId93" Type="http://schemas.openxmlformats.org/officeDocument/2006/relationships/hyperlink" Target="https://drive.google.com/drive/folders/1mNUvGN_KXaVYIE4mlzLQs0lRvArlqDKQ" TargetMode="External"/><Relationship Id="rId92" Type="http://schemas.openxmlformats.org/officeDocument/2006/relationships/hyperlink" Target="https://drive.google.com/drive/u/0/folders/1cTwVlyhfH3XyqFsa4CfFAYHYaUfHXBFB" TargetMode="External"/><Relationship Id="rId118" Type="http://schemas.openxmlformats.org/officeDocument/2006/relationships/hyperlink" Target="https://drive.google.com/drive/folders/1FJFSnaWJYbTZqoKzQFJAyejXRi1aD9DJ" TargetMode="External"/><Relationship Id="rId117" Type="http://schemas.openxmlformats.org/officeDocument/2006/relationships/hyperlink" Target="https://drive.google.com/file/d/1wpofpLwmt_uMQE0qll2i02L1Kv5BTDsf/view" TargetMode="External"/><Relationship Id="rId116" Type="http://schemas.openxmlformats.org/officeDocument/2006/relationships/hyperlink" Target="https://drive.google.com/drive/u/0/folders/1GmNlWb5VtfT9O8p4U-Y613VZeMv8Juyt" TargetMode="External"/><Relationship Id="rId115" Type="http://schemas.openxmlformats.org/officeDocument/2006/relationships/hyperlink" Target="https://drive.google.com/file/d/1wpofpLwmt_uMQE0qll2i02L1Kv5BTDsf/view" TargetMode="External"/><Relationship Id="rId119" Type="http://schemas.openxmlformats.org/officeDocument/2006/relationships/hyperlink" Target="https://drive.google.com/open?id=1QsNioJx290z1N0LlGa9WsnedRprj9cWD" TargetMode="External"/><Relationship Id="rId110" Type="http://schemas.openxmlformats.org/officeDocument/2006/relationships/hyperlink" Target="https://drive.google.com/drive/folders/1840la6RuMEJ_DN9htvDWRzUEts4bcJsV" TargetMode="External"/><Relationship Id="rId114" Type="http://schemas.openxmlformats.org/officeDocument/2006/relationships/hyperlink" Target="https://drive.google.com/drive/folders/1NLVhAXpAztIZyWRe7AIbD34NrqXquxnv" TargetMode="External"/><Relationship Id="rId113" Type="http://schemas.openxmlformats.org/officeDocument/2006/relationships/hyperlink" Target="https://drive.google.com/file/d/1wpofpLwmt_uMQE0qll2i02L1Kv5BTDsf/view" TargetMode="External"/><Relationship Id="rId112" Type="http://schemas.openxmlformats.org/officeDocument/2006/relationships/hyperlink" Target="https://drive.google.com/drive/folders/1MqOsM7UtcTYBtIODHD6uSmGwmx1a7C0V" TargetMode="External"/><Relationship Id="rId111" Type="http://schemas.openxmlformats.org/officeDocument/2006/relationships/hyperlink" Target="https://drive.google.com/open?id=14z1IZoAJDVyfy0YjQK7oJu8Vx5n4yP7Q"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rive.google.com/drive/folders/1rJdsxXJ0EuXb7DnbkJrj6C5o1xyKfZ74" TargetMode="External"/><Relationship Id="rId2" Type="http://schemas.openxmlformats.org/officeDocument/2006/relationships/hyperlink" Target="https://drive.google.com/drive/folders/1nJzaG9zj2B_ok6TMIjwfeem4pCyGBcTd" TargetMode="External"/><Relationship Id="rId3" Type="http://schemas.openxmlformats.org/officeDocument/2006/relationships/hyperlink" Target="https://drive.google.com/open?id=1-eaakb7z9SrKBjVv3a-fhj7WWSLMUfzG" TargetMode="External"/><Relationship Id="rId4" Type="http://schemas.openxmlformats.org/officeDocument/2006/relationships/hyperlink" Target="https://drive.google.com/drive/folders/1zk8f-65Et3x2832zH9WE91rK-Ms1EFBY" TargetMode="External"/><Relationship Id="rId9" Type="http://schemas.openxmlformats.org/officeDocument/2006/relationships/hyperlink" Target="https://drive.google.com/open?id=16_JXHmv62Vfc_8EaLDT-rvMnaitO3xxm" TargetMode="External"/><Relationship Id="rId5" Type="http://schemas.openxmlformats.org/officeDocument/2006/relationships/hyperlink" Target="https://drive.google.com/open?id=1Ac8oFBWlO0G_amOCoohfTIwJFSsptWf0" TargetMode="External"/><Relationship Id="rId6" Type="http://schemas.openxmlformats.org/officeDocument/2006/relationships/hyperlink" Target="https://drive.google.com/drive/folders/1QAdu8yvOkaBKrmJS_0nS7UDrNT1-47bT" TargetMode="External"/><Relationship Id="rId7" Type="http://schemas.openxmlformats.org/officeDocument/2006/relationships/hyperlink" Target="https://drive.google.com/open?id=1Li0iroRsuX4vrMpIoaoDOW4FpggSOWvq" TargetMode="External"/><Relationship Id="rId8" Type="http://schemas.openxmlformats.org/officeDocument/2006/relationships/hyperlink" Target="https://drive.google.com/drive/folders/1YHAYXKxTocpVYfQ_wn8AZog-dBbMXTNI" TargetMode="External"/><Relationship Id="rId20" Type="http://schemas.openxmlformats.org/officeDocument/2006/relationships/hyperlink" Target="https://drive.google.com/drive/folders/1S23SSsNEkRtidcIWW-W2DYgW-yYWqErM" TargetMode="External"/><Relationship Id="rId22" Type="http://schemas.openxmlformats.org/officeDocument/2006/relationships/hyperlink" Target="https://drive.google.com/drive/folders/1SkmrOUDBpURhUY_0ivaw2iu4Tk97Crfo" TargetMode="External"/><Relationship Id="rId21" Type="http://schemas.openxmlformats.org/officeDocument/2006/relationships/hyperlink" Target="https://drive.google.com/drive/folders/1FcnWiD6k3-KeGquMl6InAYCroKqmszYd" TargetMode="External"/><Relationship Id="rId24" Type="http://schemas.openxmlformats.org/officeDocument/2006/relationships/hyperlink" Target="https://drive.google.com/drive/folders/13IScvlEnUU-MUZq0WdNYWCQN-K8f-RB2" TargetMode="External"/><Relationship Id="rId23" Type="http://schemas.openxmlformats.org/officeDocument/2006/relationships/hyperlink" Target="https://drive.google.com/drive/folders/1os17jCor7gWeZWhOOoiNb5aOkReLi_F2" TargetMode="External"/><Relationship Id="rId26" Type="http://schemas.openxmlformats.org/officeDocument/2006/relationships/drawing" Target="../drawings/drawing12.xml"/><Relationship Id="rId25" Type="http://schemas.openxmlformats.org/officeDocument/2006/relationships/hyperlink" Target="https://drive.google.com/drive/folders/1d6jpUxzOuCyc-_ED3zNbCLk1HJRkOujo" TargetMode="External"/><Relationship Id="rId11" Type="http://schemas.openxmlformats.org/officeDocument/2006/relationships/hyperlink" Target="https://drive.google.com/drive/folders/1aQmSuNd0AK9kgaJWfMioYlMqRkdo1SWp" TargetMode="External"/><Relationship Id="rId10" Type="http://schemas.openxmlformats.org/officeDocument/2006/relationships/hyperlink" Target="https://drive.google.com/drive/folders/1XDTByq6mSx9uk12sCi6hurjPrlYWSppq" TargetMode="External"/><Relationship Id="rId13" Type="http://schemas.openxmlformats.org/officeDocument/2006/relationships/hyperlink" Target="https://drive.google.com/drive/folders/19zPdJf-KuC2dzhycjIzn1deyJTgBO_Yh" TargetMode="External"/><Relationship Id="rId12" Type="http://schemas.openxmlformats.org/officeDocument/2006/relationships/hyperlink" Target="https://drive.google.com/open?id=19zXMcfCCqazmg_XR0s8KDPicoI-QnHP_" TargetMode="External"/><Relationship Id="rId15" Type="http://schemas.openxmlformats.org/officeDocument/2006/relationships/hyperlink" Target="https://drive.google.com/open?id=10jG7tkFCJm18Op-g4A_X-PSE1wPHwI60" TargetMode="External"/><Relationship Id="rId14" Type="http://schemas.openxmlformats.org/officeDocument/2006/relationships/hyperlink" Target="https://drive.google.com/drive/folders/19XWtf87BJgJAQHpDJVqEYwKlI4by-Cx1" TargetMode="External"/><Relationship Id="rId17" Type="http://schemas.openxmlformats.org/officeDocument/2006/relationships/hyperlink" Target="https://drive.google.com/drive/folders/1bdxOeY0MQMyEDB4UoeupbEDu7Cl0VptI" TargetMode="External"/><Relationship Id="rId16" Type="http://schemas.openxmlformats.org/officeDocument/2006/relationships/hyperlink" Target="https://drive.google.com/drive/folders/1Gba7xTorZfxAsZq9IXzvfqQLWVy_Wh1_" TargetMode="External"/><Relationship Id="rId19" Type="http://schemas.openxmlformats.org/officeDocument/2006/relationships/hyperlink" Target="https://drive.google.com/open?id=1_liGQv3QA_CR6ucnsH7SUp7uNcV6RPvJ" TargetMode="External"/><Relationship Id="rId18" Type="http://schemas.openxmlformats.org/officeDocument/2006/relationships/hyperlink" Target="https://drive.google.com/open?id=1tSu7uc9HexF5_UEa5gkluVnPt_aN32BL"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open?id=1IWCWqx2HLgvh-2n8mjaZ-7NfdaiJCbVE"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open?id=1RUu_HwESdjEgyURXzG6dkzoQZ_jb1i-Z" TargetMode="External"/><Relationship Id="rId2" Type="http://schemas.openxmlformats.org/officeDocument/2006/relationships/hyperlink" Target="https://drive.google.com/open?id=1tAnysJKjLt0Qx5EaQDTdZhWl3Pm5PxvY" TargetMode="External"/><Relationship Id="rId3" Type="http://schemas.openxmlformats.org/officeDocument/2006/relationships/hyperlink" Target="https://drive.google.com/open?id=1wkJC1VKlCrXFtzAAnTWkYQfK8NtWoHW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87" Type="http://schemas.openxmlformats.org/officeDocument/2006/relationships/hyperlink" Target="https://drive.google.com/file/d/1EM6lAMuknC81-5uIhKBq3l9Kdb7QBs8t/view?usp=sharing" TargetMode="External"/><Relationship Id="rId186" Type="http://schemas.openxmlformats.org/officeDocument/2006/relationships/hyperlink" Target="https://drive.google.com/file/d/1vn59-R9bxRxnkuL6ez-41-ju2P7zeYMw/view?usp=sharing" TargetMode="External"/><Relationship Id="rId185" Type="http://schemas.openxmlformats.org/officeDocument/2006/relationships/hyperlink" Target="https://drive.google.com/file/d/1Xek5bTTECgMl9LsPVVK44_agrYEiy1H0/view?usp=sharing" TargetMode="External"/><Relationship Id="rId184" Type="http://schemas.openxmlformats.org/officeDocument/2006/relationships/hyperlink" Target="http://verbz.ai" TargetMode="External"/><Relationship Id="rId188" Type="http://schemas.openxmlformats.org/officeDocument/2006/relationships/drawing" Target="../drawings/drawing18.xml"/><Relationship Id="rId183" Type="http://schemas.openxmlformats.org/officeDocument/2006/relationships/hyperlink" Target="https://drive.google.com/file/d/1cT67DnMBJdr05q4OazxAuU0aUtXAmzXB/view?usp=sharing" TargetMode="External"/><Relationship Id="rId182" Type="http://schemas.openxmlformats.org/officeDocument/2006/relationships/hyperlink" Target="https://drive.google.com/file/d/1jumY6NQydiI7zsP-vkaniCEGABvcCcEn/view?usp=sharing" TargetMode="External"/><Relationship Id="rId181" Type="http://schemas.openxmlformats.org/officeDocument/2006/relationships/hyperlink" Target="https://drive.google.com/open?id=1Y_2gvWWZqj_eNBmGx8duO_6oL-gDyDNE" TargetMode="External"/><Relationship Id="rId180" Type="http://schemas.openxmlformats.org/officeDocument/2006/relationships/hyperlink" Target="https://youtu.be/fmkMptb1SV0" TargetMode="External"/><Relationship Id="rId176" Type="http://schemas.openxmlformats.org/officeDocument/2006/relationships/hyperlink" Target="https://drive.google.com/drive/u/1/folders/1wD5m0cO0LpGgKDVh2VT0cNGjNwzfROcU" TargetMode="External"/><Relationship Id="rId175" Type="http://schemas.openxmlformats.org/officeDocument/2006/relationships/hyperlink" Target="https://drive.google.com/file/d/1bc3H2g0n9GqLRokrYLOUPADvsKt5qG5q/view?usp=sharing" TargetMode="External"/><Relationship Id="rId174" Type="http://schemas.openxmlformats.org/officeDocument/2006/relationships/hyperlink" Target="https://drive.google.com/file/d/1LPLbEy16xaRBC1pjwUrzn4dj470vfunq/view?usp=sharing" TargetMode="External"/><Relationship Id="rId173" Type="http://schemas.openxmlformats.org/officeDocument/2006/relationships/hyperlink" Target="https://drive.google.com/file/d/11NtJRUR2IS-bg1LDLEGmGHMWK7ZJV9Si/view?usp=sharing" TargetMode="External"/><Relationship Id="rId179" Type="http://schemas.openxmlformats.org/officeDocument/2006/relationships/hyperlink" Target="https://drive.google.com/file/d/1hUpSR9wQrlyqJqol6RD52gc-b4d0mwdy/view?usp=sharing" TargetMode="External"/><Relationship Id="rId178" Type="http://schemas.openxmlformats.org/officeDocument/2006/relationships/hyperlink" Target="https://www.youtube.com/watch?v=jL5YDTfaraY&amp;feature=share" TargetMode="External"/><Relationship Id="rId177" Type="http://schemas.openxmlformats.org/officeDocument/2006/relationships/hyperlink" Target="https://drive.google.com/file/d/1IEynTRoV-sKnlAnEZIfLniu2rjQQmZCh/view?usp=sharing" TargetMode="External"/><Relationship Id="rId150" Type="http://schemas.openxmlformats.org/officeDocument/2006/relationships/hyperlink" Target="https://drive.google.com/file/d/1pFiOZ57cJi5XnyT9xiSQ8GsBqLknCAH-/view?usp=sharing" TargetMode="External"/><Relationship Id="rId1" Type="http://schemas.openxmlformats.org/officeDocument/2006/relationships/hyperlink" Target="https://www.youtube.com/watch?v=A1YgQGf0aBo" TargetMode="External"/><Relationship Id="rId2" Type="http://schemas.openxmlformats.org/officeDocument/2006/relationships/hyperlink" Target="https://drive.google.com/drive/folders/18H2CEWCiDROWyxdROszN3CQsFIpNTod_?usp=sharing" TargetMode="External"/><Relationship Id="rId3" Type="http://schemas.openxmlformats.org/officeDocument/2006/relationships/hyperlink" Target="https://drive.google.com/file/d/1nwIB9ZYCalSia0AZHVAJNGBDNOn3Njaf/view?usp=sharing" TargetMode="External"/><Relationship Id="rId149" Type="http://schemas.openxmlformats.org/officeDocument/2006/relationships/hyperlink" Target="http://birdie.ai" TargetMode="External"/><Relationship Id="rId4" Type="http://schemas.openxmlformats.org/officeDocument/2006/relationships/hyperlink" Target="https://drive.google.com/open?id=1fs3B2lDG6_QgCDoG4huIqTuJUqdiHQs1" TargetMode="External"/><Relationship Id="rId148" Type="http://schemas.openxmlformats.org/officeDocument/2006/relationships/hyperlink" Target="https://drive.google.com/file/d/1cNbxLlaPbsUnJYoyGA4QCqp_JJMa9iwn/view?usp=sharing" TargetMode="External"/><Relationship Id="rId9" Type="http://schemas.openxmlformats.org/officeDocument/2006/relationships/hyperlink" Target="https://drive.google.com/open?id=1p8fIJJUUvbtXKtjAXoSRr1lkxW6tH45A" TargetMode="External"/><Relationship Id="rId143" Type="http://schemas.openxmlformats.org/officeDocument/2006/relationships/hyperlink" Target="https://drive.google.com/open?id=1Y2FmbXCbYu4DgM9150bPjjrkTyKiwlEa" TargetMode="External"/><Relationship Id="rId142" Type="http://schemas.openxmlformats.org/officeDocument/2006/relationships/hyperlink" Target="https://vimeo.com/418606427/7593c1a67f" TargetMode="External"/><Relationship Id="rId141" Type="http://schemas.openxmlformats.org/officeDocument/2006/relationships/hyperlink" Target="https://drive.google.com/file/d/1KkTmVkZpK9-0iQAEogpv0GMpd8IshTTj/view" TargetMode="External"/><Relationship Id="rId140" Type="http://schemas.openxmlformats.org/officeDocument/2006/relationships/hyperlink" Target="https://drive.google.com/open?id=19EGqHON1MfkpY1Ur02QgIts9aQnQAkBP" TargetMode="External"/><Relationship Id="rId5" Type="http://schemas.openxmlformats.org/officeDocument/2006/relationships/hyperlink" Target="https://drive.google.com/file/d/1MpefRmBBnL3zvGeTdObmnzNTNkfjQvVZ/view?usp=sharing" TargetMode="External"/><Relationship Id="rId147" Type="http://schemas.openxmlformats.org/officeDocument/2006/relationships/hyperlink" Target="https://drive.google.com/open?id=18ZQAaCcvqCvTo3m9FPhZj7-kYESvRF_k" TargetMode="External"/><Relationship Id="rId6" Type="http://schemas.openxmlformats.org/officeDocument/2006/relationships/hyperlink" Target="https://drive.google.com/file/d/1SQPsTgFYyFviNfJobmDBCrLFkU3sXP6m/view?ts=5eb9569f" TargetMode="External"/><Relationship Id="rId146" Type="http://schemas.openxmlformats.org/officeDocument/2006/relationships/hyperlink" Target="https://drive.google.com/file/d/1nEw7RveUQTplw_CKAZ7kL8PGb9N48Uy7/view?usp=sharing" TargetMode="External"/><Relationship Id="rId7" Type="http://schemas.openxmlformats.org/officeDocument/2006/relationships/hyperlink" Target="https://drive.google.com/file/d/1FmxgObQdDqM8NdHGHuOwI-TzEnxdflU9/view" TargetMode="External"/><Relationship Id="rId145" Type="http://schemas.openxmlformats.org/officeDocument/2006/relationships/hyperlink" Target="https://youtu.be/8_20vTLCvCU" TargetMode="External"/><Relationship Id="rId8" Type="http://schemas.openxmlformats.org/officeDocument/2006/relationships/hyperlink" Target="https://vimeo.com/413147903" TargetMode="External"/><Relationship Id="rId144" Type="http://schemas.openxmlformats.org/officeDocument/2006/relationships/hyperlink" Target="https://www.dropbox.com/s/jltxrrzc5rz7nmk/EVENTEAS%20PITCH%20SOUTH%20SUMMIT%20JUL19.mp4?dl=0" TargetMode="External"/><Relationship Id="rId139" Type="http://schemas.openxmlformats.org/officeDocument/2006/relationships/hyperlink" Target="http://taraabar.net" TargetMode="External"/><Relationship Id="rId138" Type="http://schemas.openxmlformats.org/officeDocument/2006/relationships/hyperlink" Target="https://youtu.be/0DE7Axnn1fA" TargetMode="External"/><Relationship Id="rId137" Type="http://schemas.openxmlformats.org/officeDocument/2006/relationships/hyperlink" Target="https://drive.google.com/file/d/1lU8_OdQeWDTN8yijlTHU71eXmk2y0kEm/view?usp=sharing" TargetMode="External"/><Relationship Id="rId132" Type="http://schemas.openxmlformats.org/officeDocument/2006/relationships/hyperlink" Target="https://drive.google.com/file/d/1FLFQ19_eV6kqZ1fMYcjwEUjF1lePbA2u/view?usp=sharing" TargetMode="External"/><Relationship Id="rId131" Type="http://schemas.openxmlformats.org/officeDocument/2006/relationships/hyperlink" Target="https://drive.google.com/file/d/1Gd_SxqL6NX49Kr3QypFQuN8PfPOwJiIo/view?usp=sharing" TargetMode="External"/><Relationship Id="rId130" Type="http://schemas.openxmlformats.org/officeDocument/2006/relationships/hyperlink" Target="https://drive.google.com/file/d/11yCrZfiBVv-BnqkOs2HtlmEvlfF-fuPX/view?usp=sharing" TargetMode="External"/><Relationship Id="rId136" Type="http://schemas.openxmlformats.org/officeDocument/2006/relationships/hyperlink" Target="https://drive.google.com/open?id=1vL4hnQRile9-txba_neA09rdi-FgOscV" TargetMode="External"/><Relationship Id="rId135" Type="http://schemas.openxmlformats.org/officeDocument/2006/relationships/hyperlink" Target="https://drive.google.com/file/d/1FfwTqSIbJS0pk3sPLhuolyp7sQ1z2DUJ/view?usp=sharing" TargetMode="External"/><Relationship Id="rId134" Type="http://schemas.openxmlformats.org/officeDocument/2006/relationships/hyperlink" Target="https://drive.google.com/drive/folders/19pg9s__8xRTz5MBIDeyKVKQDIPDGMSD1?usp=sharing" TargetMode="External"/><Relationship Id="rId133" Type="http://schemas.openxmlformats.org/officeDocument/2006/relationships/hyperlink" Target="https://youtu.be/jF_829W-glE" TargetMode="External"/><Relationship Id="rId172" Type="http://schemas.openxmlformats.org/officeDocument/2006/relationships/hyperlink" Target="https://drive.google.com/file/d/1M6gxsNBSohMxRzxhANYesg4BbmtQl56n/view?usp=sharing" TargetMode="External"/><Relationship Id="rId171" Type="http://schemas.openxmlformats.org/officeDocument/2006/relationships/hyperlink" Target="https://vimeo.com/425872825/37b21de584" TargetMode="External"/><Relationship Id="rId170" Type="http://schemas.openxmlformats.org/officeDocument/2006/relationships/hyperlink" Target="https://youtu.be/t3Xh6r1TTIg" TargetMode="External"/><Relationship Id="rId165" Type="http://schemas.openxmlformats.org/officeDocument/2006/relationships/hyperlink" Target="https://drive.google.com/drive/folders/1MNcNNi6lVFXhuJhIZt3Feg03JkLgJUDS?usp=sharing" TargetMode="External"/><Relationship Id="rId164" Type="http://schemas.openxmlformats.org/officeDocument/2006/relationships/hyperlink" Target="https://drive.google.com/file/d/10v3bL-aJQ37h20uVg7HRU5iNxO-uRwP9/view?usp=sharing" TargetMode="External"/><Relationship Id="rId163" Type="http://schemas.openxmlformats.org/officeDocument/2006/relationships/hyperlink" Target="https://www.dropbox.com/s/48mcxzd492heyf3/Video%20Dec%2001%2C%2010%2036%2018%20PM.mov?dl=0" TargetMode="External"/><Relationship Id="rId162" Type="http://schemas.openxmlformats.org/officeDocument/2006/relationships/hyperlink" Target="https://www.dropbox.com/s/defa2si4ahc7s95/ETALYC_pitch.mp4?dl=0" TargetMode="External"/><Relationship Id="rId169" Type="http://schemas.openxmlformats.org/officeDocument/2006/relationships/hyperlink" Target="https://drive.google.com/file/d/1cfRnoDN1rgbZanhXPCCiDxhrTgmx-2WF/view?usp=sharing" TargetMode="External"/><Relationship Id="rId168" Type="http://schemas.openxmlformats.org/officeDocument/2006/relationships/hyperlink" Target="https://drive.google.com/file/d/1TLgeYUtAgfGI9R7My4mkwVmkTqerFxrc/view" TargetMode="External"/><Relationship Id="rId167" Type="http://schemas.openxmlformats.org/officeDocument/2006/relationships/hyperlink" Target="https://drive.google.com/file/d/1_VG0gVTfHK9xEvTeX4SX2eigJek_qSjJ/view?usp=sharing" TargetMode="External"/><Relationship Id="rId166" Type="http://schemas.openxmlformats.org/officeDocument/2006/relationships/hyperlink" Target="https://drive.google.com/open?id=1R6iyfv-UpgsDGUeW66cXY1NWy6IC998d" TargetMode="External"/><Relationship Id="rId161" Type="http://schemas.openxmlformats.org/officeDocument/2006/relationships/hyperlink" Target="https://drive.google.com/file/d/1POIjgt77ABxVQZRdBBl6Ic9FQSgbhCZu/view?usp=sharing" TargetMode="External"/><Relationship Id="rId160" Type="http://schemas.openxmlformats.org/officeDocument/2006/relationships/hyperlink" Target="https://drive.google.com/file/d/11SEqLqumaDWkmMBteWJ9Ct35S0UImQEd/view?usp=sharing" TargetMode="External"/><Relationship Id="rId159" Type="http://schemas.openxmlformats.org/officeDocument/2006/relationships/hyperlink" Target="https://youtu.be/5HgmI5RuWFU" TargetMode="External"/><Relationship Id="rId154" Type="http://schemas.openxmlformats.org/officeDocument/2006/relationships/hyperlink" Target="https://drive.google.com/file/d/1p7k0yCdxoCXOt10bygPNBTgGyQWkD3pr/view?usp=sharing" TargetMode="External"/><Relationship Id="rId153" Type="http://schemas.openxmlformats.org/officeDocument/2006/relationships/hyperlink" Target="https://drive.google.com/file/d/16ngFA7gPC2sf4Q3GMIq5dG_ljTBUWBdO/view" TargetMode="External"/><Relationship Id="rId152" Type="http://schemas.openxmlformats.org/officeDocument/2006/relationships/hyperlink" Target="https://drive.google.com/drive/folders/1nbb9Vb9kQzLUY9Tcc33rr7hHxNc4OOmI?usp=sharing" TargetMode="External"/><Relationship Id="rId151" Type="http://schemas.openxmlformats.org/officeDocument/2006/relationships/hyperlink" Target="https://drive.google.com/file/d/1ounWmlPiTyIuCtc2hLFzxMaC1jAjd8Uq/view?usp=sharing" TargetMode="External"/><Relationship Id="rId158" Type="http://schemas.openxmlformats.org/officeDocument/2006/relationships/hyperlink" Target="https://drive.google.com/file/d/1D2pquYQ4RqtdjOuA2I752zOW2xkIZmot/view?usp=sharing" TargetMode="External"/><Relationship Id="rId157" Type="http://schemas.openxmlformats.org/officeDocument/2006/relationships/hyperlink" Target="https://drive.google.com/file/d/1wz9WFw2xD4GED1Qa7-VrNP3oZBPH0wzZ/view?usp=sharing" TargetMode="External"/><Relationship Id="rId156" Type="http://schemas.openxmlformats.org/officeDocument/2006/relationships/hyperlink" Target="https://drive.google.com/file/d/1jjrJti_EY2c-PX184H-IsE3OHjyUZQRA/view?usp=sharing" TargetMode="External"/><Relationship Id="rId155" Type="http://schemas.openxmlformats.org/officeDocument/2006/relationships/hyperlink" Target="https://youtu.be/MKUxEcyzjjw" TargetMode="External"/><Relationship Id="rId40" Type="http://schemas.openxmlformats.org/officeDocument/2006/relationships/hyperlink" Target="https://drive.google.com/file/d/1CwCqiIWI_S_yxw_b8ZwpcX6HWGs_NMqN/view?usp=sharing" TargetMode="External"/><Relationship Id="rId42" Type="http://schemas.openxmlformats.org/officeDocument/2006/relationships/hyperlink" Target="https://drive.google.com/file/d/1mhH_q-qFd6qVhRyYh7f40ugPB8EgGsGu/view?usp=sharing" TargetMode="External"/><Relationship Id="rId41" Type="http://schemas.openxmlformats.org/officeDocument/2006/relationships/hyperlink" Target="https://drive.google.com/open?id=1loDGxDTHsPdxfk0DxdrbtKStczAzTdwo" TargetMode="External"/><Relationship Id="rId44" Type="http://schemas.openxmlformats.org/officeDocument/2006/relationships/hyperlink" Target="https://drive.google.com/open?id=1LmmgF5s0VfyUNKD0DzQhx4wunn-0pcgE" TargetMode="External"/><Relationship Id="rId43" Type="http://schemas.openxmlformats.org/officeDocument/2006/relationships/hyperlink" Target="https://drive.google.com/open?id=1-3_LgKv9wxMFTu8_S_ne1tHh3WQNBjkt" TargetMode="External"/><Relationship Id="rId46" Type="http://schemas.openxmlformats.org/officeDocument/2006/relationships/hyperlink" Target="https://hilosco.sharepoint.com/:v:/s/HILOSAdvisory/EfLQ8YuPptxOoZeHo3pHE7UBBwekv_gD9VRDWMA8wjeQQQ?e=" TargetMode="External"/><Relationship Id="rId45" Type="http://schemas.openxmlformats.org/officeDocument/2006/relationships/hyperlink" Target="https://drive.google.com/open?id=1ZR27ratcyKpCGFc92LkgkXW3rYZbx0h_" TargetMode="External"/><Relationship Id="rId48" Type="http://schemas.openxmlformats.org/officeDocument/2006/relationships/hyperlink" Target="https://youtu.be/uOQwi11MJkI" TargetMode="External"/><Relationship Id="rId47" Type="http://schemas.openxmlformats.org/officeDocument/2006/relationships/hyperlink" Target="https://drive.google.com/file/d/1lOv6UwD--v-FAaz0PCuNfafl_xcPi-bT/view?usp=sharing" TargetMode="External"/><Relationship Id="rId49" Type="http://schemas.openxmlformats.org/officeDocument/2006/relationships/hyperlink" Target="https://drive.google.com/file/d/1-88HV0RzaszB94Wgu10eikjPNmM4_9qx/view?usp=sharing" TargetMode="External"/><Relationship Id="rId31" Type="http://schemas.openxmlformats.org/officeDocument/2006/relationships/hyperlink" Target="https://drive.google.com/file/d/11igG6Hqrgi-5wWGNNWOYc3_v50z6KxNo/view?usp=sharing" TargetMode="External"/><Relationship Id="rId30" Type="http://schemas.openxmlformats.org/officeDocument/2006/relationships/hyperlink" Target="https://drive.google.com/open?id=1sgyFv4F91TiTkYMAYHs6i-c_nDCpbeL_" TargetMode="External"/><Relationship Id="rId33" Type="http://schemas.openxmlformats.org/officeDocument/2006/relationships/hyperlink" Target="https://drive.google.com/open?id=16qUpzjzj60yiklJ1SDVXU1_IEX6aAQMl" TargetMode="External"/><Relationship Id="rId32" Type="http://schemas.openxmlformats.org/officeDocument/2006/relationships/hyperlink" Target="https://drive.google.com/file/d/1XWWf2hUCNfk0vNQTFQj8KhnMSrfbpWOq/view?usp=sharing" TargetMode="External"/><Relationship Id="rId35" Type="http://schemas.openxmlformats.org/officeDocument/2006/relationships/hyperlink" Target="https://drive.google.com/file/d/1_h1TqsSZMNxWI9yPGwN7syLcIdbEjHJ8/view" TargetMode="External"/><Relationship Id="rId34" Type="http://schemas.openxmlformats.org/officeDocument/2006/relationships/hyperlink" Target="https://drive.google.com/file/d/1zfzFbdbBbigD9dyAUF0gNm-4kPydAwNW/view?usp=sharing" TargetMode="External"/><Relationship Id="rId37" Type="http://schemas.openxmlformats.org/officeDocument/2006/relationships/hyperlink" Target="https://drive.google.com/file/d/1agPywpPE3XuFzu9DWcw4gti1MnzW_vE-/view" TargetMode="External"/><Relationship Id="rId36" Type="http://schemas.openxmlformats.org/officeDocument/2006/relationships/hyperlink" Target="https://drive.google.com/file/d/1Iy55I11sPx4TvqPykFz8o5vN93CMvX4u/view?usp=sharing" TargetMode="External"/><Relationship Id="rId39" Type="http://schemas.openxmlformats.org/officeDocument/2006/relationships/hyperlink" Target="https://drive.google.com/file/d/1dZuW1aGHC2EnvcsIxt6g0wEB7HJJBsx7/view?usp=sharing" TargetMode="External"/><Relationship Id="rId38" Type="http://schemas.openxmlformats.org/officeDocument/2006/relationships/hyperlink" Target="https://drive.google.com/open?id=1BSD2LY7erxAYmWOIkAagAADH2IvYxnZs" TargetMode="External"/><Relationship Id="rId20" Type="http://schemas.openxmlformats.org/officeDocument/2006/relationships/hyperlink" Target="https://drive.google.com/open?id=1qV5JhshI3t-zW7jdUh9HuTmP6WktlmZI" TargetMode="External"/><Relationship Id="rId22" Type="http://schemas.openxmlformats.org/officeDocument/2006/relationships/hyperlink" Target="http://appsec.cl" TargetMode="External"/><Relationship Id="rId21" Type="http://schemas.openxmlformats.org/officeDocument/2006/relationships/hyperlink" Target="https://drive.google.com/open?id=1r8qSKTFuTG66fOTa67gL6aqYHoBtg9tD" TargetMode="External"/><Relationship Id="rId24" Type="http://schemas.openxmlformats.org/officeDocument/2006/relationships/hyperlink" Target="http://appsec.cl" TargetMode="External"/><Relationship Id="rId23" Type="http://schemas.openxmlformats.org/officeDocument/2006/relationships/hyperlink" Target="https://drive.google.com/file/d/1ezaBc7lYR_4JMXGI5FSvOdwOILdPL7bd/view?usp=sharing" TargetMode="External"/><Relationship Id="rId26" Type="http://schemas.openxmlformats.org/officeDocument/2006/relationships/hyperlink" Target="https://drive.google.com/drive/u/2/folders/1YQ5cRKmq6EbmTFQdVrlbYr-q8spyNQam" TargetMode="External"/><Relationship Id="rId25" Type="http://schemas.openxmlformats.org/officeDocument/2006/relationships/hyperlink" Target="https://drive.google.com/file/d/1j0HRvBg44u-V_jismZu_NEonswISk5or/view?usp=sharing" TargetMode="External"/><Relationship Id="rId28" Type="http://schemas.openxmlformats.org/officeDocument/2006/relationships/hyperlink" Target="https://drive.google.com/file/d/1jAmlqJoRdzDIZ5bmyr5_7WyoL2LhGbPK/view?usp=sharing" TargetMode="External"/><Relationship Id="rId27" Type="http://schemas.openxmlformats.org/officeDocument/2006/relationships/hyperlink" Target="https://photos.app.goo.gl/4QpVenYnbjdAxu7z7" TargetMode="External"/><Relationship Id="rId29" Type="http://schemas.openxmlformats.org/officeDocument/2006/relationships/hyperlink" Target="https://youtu.be/jIdQb7nfWDA" TargetMode="External"/><Relationship Id="rId11" Type="http://schemas.openxmlformats.org/officeDocument/2006/relationships/hyperlink" Target="https://www.youtube.com/watch?v=VHkSTWxv1ok" TargetMode="External"/><Relationship Id="rId10" Type="http://schemas.openxmlformats.org/officeDocument/2006/relationships/hyperlink" Target="https://drive.google.com/drive/folders/1jHVOXSGRe0WarvVZIlQUe3vL6yBWuj6M?usp=sharing" TargetMode="External"/><Relationship Id="rId13" Type="http://schemas.openxmlformats.org/officeDocument/2006/relationships/hyperlink" Target="https://drive.google.com/open?id=16VhOuxThWPH2maFoHccnv3_63y3EQEuY" TargetMode="External"/><Relationship Id="rId12" Type="http://schemas.openxmlformats.org/officeDocument/2006/relationships/hyperlink" Target="https://drive.google.com/open?id=1aFpVxeJyqW8cZ7xkltHsWyouTi6cGgGJ" TargetMode="External"/><Relationship Id="rId15" Type="http://schemas.openxmlformats.org/officeDocument/2006/relationships/hyperlink" Target="http://matidor.com" TargetMode="External"/><Relationship Id="rId14" Type="http://schemas.openxmlformats.org/officeDocument/2006/relationships/hyperlink" Target="https://drive.google.com/open?id=1WRcktcWIepdp1GwA8gIjw4rthBPfvkpJ" TargetMode="External"/><Relationship Id="rId17" Type="http://schemas.openxmlformats.org/officeDocument/2006/relationships/hyperlink" Target="https://drive.google.com/file/d/1Z6PEJrgB9BTe_SAJa-mllTkgVjwSL-XC/view?usp=sharing" TargetMode="External"/><Relationship Id="rId16" Type="http://schemas.openxmlformats.org/officeDocument/2006/relationships/hyperlink" Target="https://drive.google.com/file/d/1Ev-pxypzYb66kRT5Od9IpzZxhfkwKovt/view" TargetMode="External"/><Relationship Id="rId19" Type="http://schemas.openxmlformats.org/officeDocument/2006/relationships/hyperlink" Target="https://youtu.be/dnOzoOyhWVA" TargetMode="External"/><Relationship Id="rId18" Type="http://schemas.openxmlformats.org/officeDocument/2006/relationships/hyperlink" Target="https://youtu.be/FA8mdOX5CkY" TargetMode="External"/><Relationship Id="rId84" Type="http://schemas.openxmlformats.org/officeDocument/2006/relationships/hyperlink" Target="https://drive.google.com/file/d/1hh_lka-TV9f5-9sdra0h4IrnlkJmMPbo/view?usp=sharing" TargetMode="External"/><Relationship Id="rId83" Type="http://schemas.openxmlformats.org/officeDocument/2006/relationships/hyperlink" Target="https://drive.google.com/drive/folders/1BAZG6zW9J65MYV_dfsVrwwzvtdP5pcUg?usp=sharing" TargetMode="External"/><Relationship Id="rId86" Type="http://schemas.openxmlformats.org/officeDocument/2006/relationships/hyperlink" Target="https://drive.google.com/file/d/1CEiUiHGr3SGvapVrinL-ep0YGcjZ0h_A/view?fbclid=IwAR27MFnEgvrMguHypkAv" TargetMode="External"/><Relationship Id="rId85" Type="http://schemas.openxmlformats.org/officeDocument/2006/relationships/hyperlink" Target="https://docs.google.com/document/d/1ANlfPJJg4V5sETPq9qSHzcDKBy0mLnFs" TargetMode="External"/><Relationship Id="rId88" Type="http://schemas.openxmlformats.org/officeDocument/2006/relationships/hyperlink" Target="https://www.dropbox.com/s/p2eyyvvpt1k39v7/MedStack%20Collsion%20Startup%20Spotlight%20Video.mp4?dl=0" TargetMode="External"/><Relationship Id="rId87" Type="http://schemas.openxmlformats.org/officeDocument/2006/relationships/hyperlink" Target="https://youtu.be/TsxKTXhy1Zk" TargetMode="External"/><Relationship Id="rId89" Type="http://schemas.openxmlformats.org/officeDocument/2006/relationships/hyperlink" Target="https://drive.google.com/file/d/1eO9qnR4NaSxD506m016DLuQ4h20e7Bh8/view" TargetMode="External"/><Relationship Id="rId80" Type="http://schemas.openxmlformats.org/officeDocument/2006/relationships/hyperlink" Target="https://drive.google.com/file/d/1uRkhoi9TgtQTf01xmlHu-3lU_lkbY5z4/view?usp=sharing" TargetMode="External"/><Relationship Id="rId82" Type="http://schemas.openxmlformats.org/officeDocument/2006/relationships/hyperlink" Target="https://drive.google.com/drive/folders/1VhHsDvb3eEbR8mZt16izJ8i8r81xqViP" TargetMode="External"/><Relationship Id="rId81" Type="http://schemas.openxmlformats.org/officeDocument/2006/relationships/hyperlink" Target="https://drive.google.com/file/d/1xYWVkVH4bG8eO1MMIo8FoFQ8kgZWAMiY/view?usp=sharing" TargetMode="External"/><Relationship Id="rId73" Type="http://schemas.openxmlformats.org/officeDocument/2006/relationships/hyperlink" Target="https://drive.google.com/file/d/1QctjbyK3fNZV_0Mcrn_XwQZGD7i7VuhG/view?usp=sharing" TargetMode="External"/><Relationship Id="rId72" Type="http://schemas.openxmlformats.org/officeDocument/2006/relationships/hyperlink" Target="https://drive.google.com/file/d/1m4S3LTLFNR075s4NtK82FAydP5LCqrJz/view?usp=sharing" TargetMode="External"/><Relationship Id="rId75" Type="http://schemas.openxmlformats.org/officeDocument/2006/relationships/hyperlink" Target="https://www.youtube.com/watch?v=nxUVAXcwJCg" TargetMode="External"/><Relationship Id="rId74" Type="http://schemas.openxmlformats.org/officeDocument/2006/relationships/hyperlink" Target="https://drive.google.com/file/d/1MdG15n4Ely8Boc-blN7heKfBbUeqWbx1/view?usp=sharing" TargetMode="External"/><Relationship Id="rId77" Type="http://schemas.openxmlformats.org/officeDocument/2006/relationships/hyperlink" Target="https://drive.google.com/file/d/1BxALck1G_N19S1j_icWS5ESCKral1uNm/view" TargetMode="External"/><Relationship Id="rId76" Type="http://schemas.openxmlformats.org/officeDocument/2006/relationships/hyperlink" Target="https://drive.google.com/open?id=1hCS72euIiHoXaZaS0tp4pCyh8HPcpLUj" TargetMode="External"/><Relationship Id="rId79" Type="http://schemas.openxmlformats.org/officeDocument/2006/relationships/hyperlink" Target="https://www.youtube.com/watch?v=iZ9MxWk1iPI" TargetMode="External"/><Relationship Id="rId78" Type="http://schemas.openxmlformats.org/officeDocument/2006/relationships/hyperlink" Target="https://drive.google.com/file/d/1QeLis6NGIqgFW7ll9jgwdRcsP4OYDzf9/view?usp=sharing" TargetMode="External"/><Relationship Id="rId71" Type="http://schemas.openxmlformats.org/officeDocument/2006/relationships/hyperlink" Target="https://drive.google.com/drive/folders/1kUgYBxzSjk6hvCb75l-1xMlVaOdXQO4O?usp=sharing" TargetMode="External"/><Relationship Id="rId70" Type="http://schemas.openxmlformats.org/officeDocument/2006/relationships/hyperlink" Target="https://drive.google.com/file/d/1rtPZZqIWXn9i-Qo9UmagG7B1k28Javny/view?usp=sharing" TargetMode="External"/><Relationship Id="rId62" Type="http://schemas.openxmlformats.org/officeDocument/2006/relationships/hyperlink" Target="https://drive.google.com/file/d/1KNxf7ZxlZDcrO6lUCmMexgR1ricHPE2p/view?usp=sharing" TargetMode="External"/><Relationship Id="rId61" Type="http://schemas.openxmlformats.org/officeDocument/2006/relationships/hyperlink" Target="https://drive.google.com/file/d/1r65-UUAkXxWJFV2TRGc1lSxnbzhI2Z0A/view?usp=sharing" TargetMode="External"/><Relationship Id="rId64" Type="http://schemas.openxmlformats.org/officeDocument/2006/relationships/hyperlink" Target="https://youtu.be/I5-Hmoc_bEw" TargetMode="External"/><Relationship Id="rId63" Type="http://schemas.openxmlformats.org/officeDocument/2006/relationships/hyperlink" Target="https://drive.google.com/file/d/1DLBSWMubgLRsePBhaLmn9pQVghPl4-c1/view?usp=sharing" TargetMode="External"/><Relationship Id="rId66" Type="http://schemas.openxmlformats.org/officeDocument/2006/relationships/hyperlink" Target="https://1drv.ms/v/s!AtfRvemzhpJChJdLlonjXCPkunqLrg?e=UsjVrK" TargetMode="External"/><Relationship Id="rId65" Type="http://schemas.openxmlformats.org/officeDocument/2006/relationships/hyperlink" Target="https://getitdonenowltd-my.sharepoint.com/:f:/p/arodriguez/EqGm_O1TRAdBgsNyYvmok1MBlKXxdC0v3nPQbbZ7i" TargetMode="External"/><Relationship Id="rId68" Type="http://schemas.openxmlformats.org/officeDocument/2006/relationships/hyperlink" Target="https://drive.google.com/open?id=1A4nk9sUbkY4TZDKnyJLONZVyYZ2gkff2" TargetMode="External"/><Relationship Id="rId67" Type="http://schemas.openxmlformats.org/officeDocument/2006/relationships/hyperlink" Target="https://www.youtube.com/watch?v=4dbYTEPA5hE&amp;feature=youtu.be" TargetMode="External"/><Relationship Id="rId60" Type="http://schemas.openxmlformats.org/officeDocument/2006/relationships/hyperlink" Target="https://drive.google.com/file/d/1oPvpmaHp3JSL6vM9P5EdeLVNPh1-DD_z/view?usp=sharing" TargetMode="External"/><Relationship Id="rId69" Type="http://schemas.openxmlformats.org/officeDocument/2006/relationships/hyperlink" Target="https://drive.google.com/file/d/1OS5KwLDp19TChtrx5YA8Q4iV9Ggau1JQ/view?usp=sharing" TargetMode="External"/><Relationship Id="rId51" Type="http://schemas.openxmlformats.org/officeDocument/2006/relationships/hyperlink" Target="https://drive.google.com/file/d/1XzC_clMIxSK3ThPFlN2cazgrHqpftiRh/view?usp=sharing" TargetMode="External"/><Relationship Id="rId50" Type="http://schemas.openxmlformats.org/officeDocument/2006/relationships/hyperlink" Target="https://drive.google.com/file/d/1z2AoBZFSbk6yIX2JGkvf9kIM6VX1plsS/view?usp=sharing" TargetMode="External"/><Relationship Id="rId53" Type="http://schemas.openxmlformats.org/officeDocument/2006/relationships/hyperlink" Target="https://drive.google.com/file/d/1DOSrtU2jRewnNN6QDlg0muh80anYf5Qy/view?usp=sharing" TargetMode="External"/><Relationship Id="rId52" Type="http://schemas.openxmlformats.org/officeDocument/2006/relationships/hyperlink" Target="https://drive.google.com/file/d/19EVH18DUdr1DY_-nQmGo8k9sUXJOWPz3/view?usp=sharing" TargetMode="External"/><Relationship Id="rId55" Type="http://schemas.openxmlformats.org/officeDocument/2006/relationships/hyperlink" Target="https://us02web.zoom.us/rec/share/wMZ6Puj06UFLTrPTyVjjC69wPJrHX6a81SkW-aUKzkuPR32MDpaoBR7hC5KO4Qn6" TargetMode="External"/><Relationship Id="rId54" Type="http://schemas.openxmlformats.org/officeDocument/2006/relationships/hyperlink" Target="https://drive.google.com/file/d/14Z55seCfjU05QBWlbGnOPgxOgjFyA7SH/view?usp=sharing" TargetMode="External"/><Relationship Id="rId57" Type="http://schemas.openxmlformats.org/officeDocument/2006/relationships/hyperlink" Target="https://drive.google.com/file/d/1synGczzzHIL2tNJfjcQOLXnFg3ZQ_0rt/view?usp=sharing" TargetMode="External"/><Relationship Id="rId56" Type="http://schemas.openxmlformats.org/officeDocument/2006/relationships/hyperlink" Target="https://youtu.be/BbgIWDqznig" TargetMode="External"/><Relationship Id="rId59" Type="http://schemas.openxmlformats.org/officeDocument/2006/relationships/hyperlink" Target="https://drive.google.com/file/d/1Mn-2FiIkghiEvtafjHivV94KNJmVbZt1/view?usp=sharing" TargetMode="External"/><Relationship Id="rId58" Type="http://schemas.openxmlformats.org/officeDocument/2006/relationships/hyperlink" Target="https://drive.google.com/drive/u/2/folders/1YQ5cRKmq6EbmTFQdVrlbYr-q8spyNQam" TargetMode="External"/><Relationship Id="rId107" Type="http://schemas.openxmlformats.org/officeDocument/2006/relationships/hyperlink" Target="https://drive.google.com/open?id=1hlSzfymYO7-mqpLdSP4btaoGt73bx0ig" TargetMode="External"/><Relationship Id="rId106" Type="http://schemas.openxmlformats.org/officeDocument/2006/relationships/hyperlink" Target="https://drive.google.com/file/d/1NMDwn4ttPBHSrqLZ5OclgE7u4bF7q9aM/view?usp=sharing" TargetMode="External"/><Relationship Id="rId105" Type="http://schemas.openxmlformats.org/officeDocument/2006/relationships/hyperlink" Target="https://drive.google.com/file/d/1RhGmrHqrHZDK13k4LcYID3_YXEWt7kgz/view?usp=sharing" TargetMode="External"/><Relationship Id="rId104" Type="http://schemas.openxmlformats.org/officeDocument/2006/relationships/hyperlink" Target="https://drive.google.com/file/d/1W8988RgTuekyQ-hA52-0n29WxF01Myn0/view" TargetMode="External"/><Relationship Id="rId109" Type="http://schemas.openxmlformats.org/officeDocument/2006/relationships/hyperlink" Target="https://drive.google.com/file/d/1pwmVAOSRni8x-KQBeKY5ikiG72HxNyTE/view" TargetMode="External"/><Relationship Id="rId108" Type="http://schemas.openxmlformats.org/officeDocument/2006/relationships/hyperlink" Target="https://drive.google.com/open?id=18RK-p62fyPN8cvT7RKvpZjPV--zmxYw6" TargetMode="External"/><Relationship Id="rId103" Type="http://schemas.openxmlformats.org/officeDocument/2006/relationships/hyperlink" Target="https://drive.google.com/open?id=1pobafh8EecIjB-C0ddO_M53wQUQmE7fK" TargetMode="External"/><Relationship Id="rId102" Type="http://schemas.openxmlformats.org/officeDocument/2006/relationships/hyperlink" Target="https://www.dropbox.com/s/vrqnkqlg1q2aufn/collision_spotlight.mp4?dl=0" TargetMode="External"/><Relationship Id="rId101" Type="http://schemas.openxmlformats.org/officeDocument/2006/relationships/hyperlink" Target="https://drive.google.com/file/d/1XjEplwEnf8Uj9KcrKhn_6t10iclCGr6K/view?usp=sharing" TargetMode="External"/><Relationship Id="rId100" Type="http://schemas.openxmlformats.org/officeDocument/2006/relationships/hyperlink" Target="https://vimeo.com/293383581/3e6a2971eb" TargetMode="External"/><Relationship Id="rId129" Type="http://schemas.openxmlformats.org/officeDocument/2006/relationships/hyperlink" Target="https://drive.google.com/file/d/1tb7nYCpwSM7DX38dBfhnZQOzIsrV673r/view?usp=sharing" TargetMode="External"/><Relationship Id="rId128" Type="http://schemas.openxmlformats.org/officeDocument/2006/relationships/hyperlink" Target="https://drive.google.com/file/d/1_4GfhP_8hpVpoQuPuaJzeag_5fTg_R2E/view?usp=sharing" TargetMode="External"/><Relationship Id="rId127" Type="http://schemas.openxmlformats.org/officeDocument/2006/relationships/hyperlink" Target="https://drive.google.com/open?id=1rAF3neLb5IDAOFt8Y2SfXln7LKHJ3os-" TargetMode="External"/><Relationship Id="rId126" Type="http://schemas.openxmlformats.org/officeDocument/2006/relationships/hyperlink" Target="https://drive.google.com/open?id=199aJtIceVJlndlYJX7NVm493WGB9iC7C" TargetMode="External"/><Relationship Id="rId121" Type="http://schemas.openxmlformats.org/officeDocument/2006/relationships/hyperlink" Target="https://drive.google.com/file/d/1mpGMCEXb4tN1taOZ2wWQx6Jlw7TPmitS/view?usp=sharing" TargetMode="External"/><Relationship Id="rId120" Type="http://schemas.openxmlformats.org/officeDocument/2006/relationships/hyperlink" Target="https://drive.google.com/file/d/1FAhQs-9TwOmMSffWhVylIfdZ3ht5OXD-/view?usp=sharing" TargetMode="External"/><Relationship Id="rId125" Type="http://schemas.openxmlformats.org/officeDocument/2006/relationships/hyperlink" Target="https://drive.google.com/file/d/1TIC2sfIOHRxyqJrHAfQdR4qD1ce19YMo/view?usp=sharing" TargetMode="External"/><Relationship Id="rId124" Type="http://schemas.openxmlformats.org/officeDocument/2006/relationships/hyperlink" Target="https://drive.google.com/file/d/1eKU7U8MPZecETzbXnctgJtUhXVS-WkDc/view?usp=sharing" TargetMode="External"/><Relationship Id="rId123" Type="http://schemas.openxmlformats.org/officeDocument/2006/relationships/hyperlink" Target="https://drive.google.com/file/d/1FlwSeotLyScpAW9zIkdIIw_6OpWZaIow/view?usp=sharing" TargetMode="External"/><Relationship Id="rId122" Type="http://schemas.openxmlformats.org/officeDocument/2006/relationships/hyperlink" Target="https://vimeo.com/user101088587/review/421561193/d7a572bf20" TargetMode="External"/><Relationship Id="rId95" Type="http://schemas.openxmlformats.org/officeDocument/2006/relationships/hyperlink" Target="https://drive.google.com/file/d/14J5P3FBU7PE6YNaBT9zgo9t7xSzQ4A1T/view?usp=sharing" TargetMode="External"/><Relationship Id="rId94" Type="http://schemas.openxmlformats.org/officeDocument/2006/relationships/hyperlink" Target="https://drive.google.com/open?id=1eZV12Z2EfC_bqNWUybJsveXUDTZomh5W" TargetMode="External"/><Relationship Id="rId97" Type="http://schemas.openxmlformats.org/officeDocument/2006/relationships/hyperlink" Target="https://drive.google.com/file/d/16SYh7PjMegwE8grGugIlVFc9N_2GakKu" TargetMode="External"/><Relationship Id="rId96" Type="http://schemas.openxmlformats.org/officeDocument/2006/relationships/hyperlink" Target="https://drive.google.com/file/d/1_rncj9JCibHiWFgPgnvHG-KQGhNiFaNa/view?usp=sharing" TargetMode="External"/><Relationship Id="rId99" Type="http://schemas.openxmlformats.org/officeDocument/2006/relationships/hyperlink" Target="https://drive.google.com/file/d/1Zm0NJma7YBTrYwhejgf-JmVu_BHpymAQ/view?usp=sharing" TargetMode="External"/><Relationship Id="rId98" Type="http://schemas.openxmlformats.org/officeDocument/2006/relationships/hyperlink" Target="https://drive.google.com/open?id=13AuXj_9zidn--aiTx1oJGOG96RMy0OaA" TargetMode="External"/><Relationship Id="rId91" Type="http://schemas.openxmlformats.org/officeDocument/2006/relationships/hyperlink" Target="https://air.inc/a/clp5D4XCf" TargetMode="External"/><Relationship Id="rId90" Type="http://schemas.openxmlformats.org/officeDocument/2006/relationships/hyperlink" Target="https://drive.google.com/open?id=1c_ibUoVSRnnDUfRaBuV_vhHymic_fwaF" TargetMode="External"/><Relationship Id="rId93" Type="http://schemas.openxmlformats.org/officeDocument/2006/relationships/hyperlink" Target="https://drive.google.com/open?id=1WLFhnkuheItBdPuYMK2gTqsXpgeqZ65S" TargetMode="External"/><Relationship Id="rId92" Type="http://schemas.openxmlformats.org/officeDocument/2006/relationships/hyperlink" Target="https://drive.google.com/open?id=1RtKPPrgBs1mTfKm3elGPrWLyZpNP5mEG" TargetMode="External"/><Relationship Id="rId118" Type="http://schemas.openxmlformats.org/officeDocument/2006/relationships/hyperlink" Target="http://veed.io" TargetMode="External"/><Relationship Id="rId117" Type="http://schemas.openxmlformats.org/officeDocument/2006/relationships/hyperlink" Target="https://drive.google.com/open?id=1g3sAFNGd2D2rOXm-TcHMg5TAmoJg8toF" TargetMode="External"/><Relationship Id="rId116" Type="http://schemas.openxmlformats.org/officeDocument/2006/relationships/hyperlink" Target="https://drive.google.com/open?id=18GezW06BK9irWYCOfVGuMwiiB6von90i" TargetMode="External"/><Relationship Id="rId115" Type="http://schemas.openxmlformats.org/officeDocument/2006/relationships/hyperlink" Target="https://drive.google.com/open?id=1GA9-xH7Rt4uLVVsvpPmbqmSmqbHDQ8TG" TargetMode="External"/><Relationship Id="rId119" Type="http://schemas.openxmlformats.org/officeDocument/2006/relationships/hyperlink" Target="https://drive.google.com/file/d/1LPDh21gfjWPigw4iiBrNUA51bytKDWxk/view?usp=sharing" TargetMode="External"/><Relationship Id="rId110" Type="http://schemas.openxmlformats.org/officeDocument/2006/relationships/hyperlink" Target="https://drive.google.com/open?id=1wcrBlHvpEhU5restF9qfPlU2OoFnUb9K" TargetMode="External"/><Relationship Id="rId114" Type="http://schemas.openxmlformats.org/officeDocument/2006/relationships/hyperlink" Target="https://drive.google.com/file/d/1V7K1nkHhA4J2BuwXURvyoqjHEeMmsVGt/view?usp=sharing" TargetMode="External"/><Relationship Id="rId113" Type="http://schemas.openxmlformats.org/officeDocument/2006/relationships/hyperlink" Target="https://drive.google.com/file/d/1q0eRHLs4mPfyEyuifmMYS1qvHcpqSO8D/view?usp=sharing" TargetMode="External"/><Relationship Id="rId112" Type="http://schemas.openxmlformats.org/officeDocument/2006/relationships/hyperlink" Target="https://youtu.be/w2ssCGbTjv4" TargetMode="External"/><Relationship Id="rId111" Type="http://schemas.openxmlformats.org/officeDocument/2006/relationships/hyperlink" Target="https://drive.google.com/open?id=152mcfKRQpE2ibP5nLrQUMquCLvQCCImt"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drive.google.com/drive/folders/1nOUHggsU3lEEUtFcSJFReIz4cgSIgnA1" TargetMode="External"/><Relationship Id="rId2" Type="http://schemas.openxmlformats.org/officeDocument/2006/relationships/hyperlink" Target="https://docs.google.com/document/d/126x3szHsk_ljYnE9yhzDcGuGsl_I6rrLDABSrgRlp-A/edit" TargetMode="External"/><Relationship Id="rId3" Type="http://schemas.openxmlformats.org/officeDocument/2006/relationships/hyperlink" Target="https://drive.google.com/drive/folders/1gBBldGRrT25LVq0GfdhExNTM1A_BWe6M" TargetMode="External"/><Relationship Id="rId4" Type="http://schemas.openxmlformats.org/officeDocument/2006/relationships/hyperlink" Target="https://drive.google.com/open?id=1MaFXYTENt944XqF1Te6N1rPb5rDjreTj" TargetMode="External"/><Relationship Id="rId9" Type="http://schemas.openxmlformats.org/officeDocument/2006/relationships/drawing" Target="../drawings/drawing19.xml"/><Relationship Id="rId5" Type="http://schemas.openxmlformats.org/officeDocument/2006/relationships/hyperlink" Target="https://drive.google.com/drive/folders/1BZVtPR4ZtZTSN3yRebEojdvQknIixMwB" TargetMode="External"/><Relationship Id="rId6" Type="http://schemas.openxmlformats.org/officeDocument/2006/relationships/hyperlink" Target="https://drive.google.com/open?id=1vwQRSP4RIhJKu-5oWG71PXgDuq9u65GT" TargetMode="External"/><Relationship Id="rId7" Type="http://schemas.openxmlformats.org/officeDocument/2006/relationships/hyperlink" Target="https://drive.google.com/drive/folders/1ocZv9tVDKqTxngpsfT3sU6IgWMFs-mXW" TargetMode="External"/><Relationship Id="rId8" Type="http://schemas.openxmlformats.org/officeDocument/2006/relationships/hyperlink" Target="https://drive.google.com/open?id=1fkyHqssokeTArwE3gfc6Io7CufiC68pN" TargetMode="External"/></Relationships>
</file>

<file path=xl/worksheets/_rels/sheet20.xml.rels><?xml version="1.0" encoding="UTF-8" standalone="yes"?><Relationships xmlns="http://schemas.openxmlformats.org/package/2006/relationships"><Relationship Id="rId176" Type="http://schemas.openxmlformats.org/officeDocument/2006/relationships/drawing" Target="../drawings/drawing20.xml"/><Relationship Id="rId175" Type="http://schemas.openxmlformats.org/officeDocument/2006/relationships/hyperlink" Target="https://drive.google.com/open?id=1obLEKmhUUA8ND73ag7DFFOXUTnpjqZ2J" TargetMode="External"/><Relationship Id="rId174" Type="http://schemas.openxmlformats.org/officeDocument/2006/relationships/hyperlink" Target="https://www.youtube.com/watch?v=k25nALbTcDs" TargetMode="External"/><Relationship Id="rId173" Type="http://schemas.openxmlformats.org/officeDocument/2006/relationships/hyperlink" Target="https://drive.google.com/open?id=12gNczggfsWZRwHSWQObB09NUxv8Skhp9" TargetMode="External"/><Relationship Id="rId150" Type="http://schemas.openxmlformats.org/officeDocument/2006/relationships/hyperlink" Target="https://www.youtube.com/watch?v=Vuv0f-hGg1E&amp;list=PL0i3g7RFqLMLH0lC8zswRiNTT5wXjElvu&amp;index=24" TargetMode="External"/><Relationship Id="rId1" Type="http://schemas.openxmlformats.org/officeDocument/2006/relationships/hyperlink" Target="https://cc18-videos.s3-eu-west-1.amazonaws.com/2d66517c-edc7-4251-95ac-a2a770b0a0d9_Investing_in_the_transition_to_a_sustainable_economy.mp4" TargetMode="External"/><Relationship Id="rId2" Type="http://schemas.openxmlformats.org/officeDocument/2006/relationships/hyperlink" Target="https://vimeo.com/showcase/6551539/video/370970563" TargetMode="External"/><Relationship Id="rId3" Type="http://schemas.openxmlformats.org/officeDocument/2006/relationships/hyperlink" Target="https://ws19-processed-videos.s3-eu-west-1.amazonaws.com/7687743f-ee40-43a7-9618-4ad73248ab97_In_conversation_with_Edward_Snowden.mp4" TargetMode="External"/><Relationship Id="rId149" Type="http://schemas.openxmlformats.org/officeDocument/2006/relationships/hyperlink" Target="https://cc18-videos.s3-eu-west-1.amazonaws.com/a123cf7c-8191-4e5d-bb41-8b69bc2b3e5c_The_future_for_America_Tech_politics_and_civil_rights.mp4" TargetMode="External"/><Relationship Id="rId4" Type="http://schemas.openxmlformats.org/officeDocument/2006/relationships/hyperlink" Target="https://www.youtube.com/watch?v=H41Zk1GrdRg&amp;t=2s" TargetMode="External"/><Relationship Id="rId148" Type="http://schemas.openxmlformats.org/officeDocument/2006/relationships/hyperlink" Target="https://www.youtube.com/watch?v=l8O7cuBybYs" TargetMode="External"/><Relationship Id="rId9" Type="http://schemas.openxmlformats.org/officeDocument/2006/relationships/hyperlink" Target="https://drive.google.com/open?id=1GjqzbNjgetfI--CNi8L4TQgMAHTcuroK" TargetMode="External"/><Relationship Id="rId143" Type="http://schemas.openxmlformats.org/officeDocument/2006/relationships/hyperlink" Target="https://drive.google.com/open?id=128ex8mHeE3nAgGetTfNChHv-QmKh1qkX" TargetMode="External"/><Relationship Id="rId142" Type="http://schemas.openxmlformats.org/officeDocument/2006/relationships/hyperlink" Target="https://ws19-processed-videos.s3-eu-west-1.amazonaws.com/682be20c-3601-4e01-af1a-1e88e61aab04_Innovating_at_scale_.mp4" TargetMode="External"/><Relationship Id="rId141" Type="http://schemas.openxmlformats.org/officeDocument/2006/relationships/hyperlink" Target="http://booking.com" TargetMode="External"/><Relationship Id="rId140" Type="http://schemas.openxmlformats.org/officeDocument/2006/relationships/hyperlink" Target="https://drive.google.com/open?id=1dlEKs_Bx8L6z3Ps5NNCbmRx0z-536nG2" TargetMode="External"/><Relationship Id="rId5" Type="http://schemas.openxmlformats.org/officeDocument/2006/relationships/hyperlink" Target="https://drive.google.com/open?id=1kVOePv68Qe42RiFvCoP9SXRagXr9Bjj9" TargetMode="External"/><Relationship Id="rId147" Type="http://schemas.openxmlformats.org/officeDocument/2006/relationships/hyperlink" Target="https://ws19-processed-videos.s3-eu-west-1.amazonaws.com/713e026f-aaed-45c7-89ed-303e1d902d74_The_EU_after_Brexit.mp4" TargetMode="External"/><Relationship Id="rId6" Type="http://schemas.openxmlformats.org/officeDocument/2006/relationships/hyperlink" Target="https://www.facebook.com/watch/?v=1597195527013152" TargetMode="External"/><Relationship Id="rId146" Type="http://schemas.openxmlformats.org/officeDocument/2006/relationships/hyperlink" Target="https://vimeo.com/showcase/6551539/video/371131728" TargetMode="External"/><Relationship Id="rId7" Type="http://schemas.openxmlformats.org/officeDocument/2006/relationships/hyperlink" Target="https://drive.google.com/open?id=1hm-CXhPb31NlZ97pRI2yj1YEjY6LLZqj" TargetMode="External"/><Relationship Id="rId145" Type="http://schemas.openxmlformats.org/officeDocument/2006/relationships/hyperlink" Target="https://ws19-processed-videos.s3-eu-west-1.amazonaws.com/0bcc2520-c55a-4ac6-be76-43340bbf64c7_The_king_of_capital.mp4" TargetMode="External"/><Relationship Id="rId8" Type="http://schemas.openxmlformats.org/officeDocument/2006/relationships/hyperlink" Target="https://www.youtube.com/watch?v=YpvkdC0f9Rk&amp;t=17s" TargetMode="External"/><Relationship Id="rId144" Type="http://schemas.openxmlformats.org/officeDocument/2006/relationships/hyperlink" Target="https://vimeo.com/showcase/6551539/video/371203957" TargetMode="External"/><Relationship Id="rId139" Type="http://schemas.openxmlformats.org/officeDocument/2006/relationships/hyperlink" Target="https://www.youtube.com/watch?v=kv-VC61p1e4" TargetMode="External"/><Relationship Id="rId138" Type="http://schemas.openxmlformats.org/officeDocument/2006/relationships/hyperlink" Target="https://drive.google.com/open?id=1XtIlEesESmvB4Ey3mnyqZyR_86mvwzBt" TargetMode="External"/><Relationship Id="rId137" Type="http://schemas.openxmlformats.org/officeDocument/2006/relationships/hyperlink" Target="https://www.youtube.com/watch?v=1lpOa2BhQPI" TargetMode="External"/><Relationship Id="rId132" Type="http://schemas.openxmlformats.org/officeDocument/2006/relationships/hyperlink" Target="https://ws17-videos.s3-eu-west-1.amazonaws.com/CS_8_12_Where+I+am+putting+my+money+in+2018_000010_002032.mp4" TargetMode="External"/><Relationship Id="rId131" Type="http://schemas.openxmlformats.org/officeDocument/2006/relationships/hyperlink" Target="https://ws18-videos.s3-eu-west-1.amazonaws.com/cc68a8b2-0fee-4f45-832f-7425d2fdf9b1_The_technology_of_storytelling.mp4" TargetMode="External"/><Relationship Id="rId130" Type="http://schemas.openxmlformats.org/officeDocument/2006/relationships/hyperlink" Target="https://www.youtube.com/watch?v=6t4jJO0APhU&amp;list=PLxptNs2MLOjncuOhiHrdjl4VebNfdStqF&amp;index=7" TargetMode="External"/><Relationship Id="rId136" Type="http://schemas.openxmlformats.org/officeDocument/2006/relationships/hyperlink" Target="https://drive.google.com/open?id=1xqF0w7W4VYEYa0WT_5e6a0Ikromi0hvu" TargetMode="External"/><Relationship Id="rId135" Type="http://schemas.openxmlformats.org/officeDocument/2006/relationships/hyperlink" Target="https://www.youtube.com/watch?v=Aw3jjW8awKs" TargetMode="External"/><Relationship Id="rId134" Type="http://schemas.openxmlformats.org/officeDocument/2006/relationships/hyperlink" Target="https://drive.google.com/open?id=1yjWR6Ff7a-sPz94KMI7zRh9oBmgVjask" TargetMode="External"/><Relationship Id="rId133" Type="http://schemas.openxmlformats.org/officeDocument/2006/relationships/hyperlink" Target="https://www.youtube.com/watch?v=hSjB7uDOB4w" TargetMode="External"/><Relationship Id="rId172" Type="http://schemas.openxmlformats.org/officeDocument/2006/relationships/hyperlink" Target="https://drive.google.com/open?id=1IiLqzklORP87mYokvSqnrLBSjuFeSA_2" TargetMode="External"/><Relationship Id="rId171" Type="http://schemas.openxmlformats.org/officeDocument/2006/relationships/hyperlink" Target="https://www.youtube.com/watch?v=9tz6gai51Mo" TargetMode="External"/><Relationship Id="rId170" Type="http://schemas.openxmlformats.org/officeDocument/2006/relationships/hyperlink" Target="https://drive.google.com/open?id=1S4sN3r_uRAMhm_Eb4FNypqqhxAN07TWt" TargetMode="External"/><Relationship Id="rId165" Type="http://schemas.openxmlformats.org/officeDocument/2006/relationships/hyperlink" Target="https://www.youtube.com/watch?v=SRZ9o0o4reU" TargetMode="External"/><Relationship Id="rId164" Type="http://schemas.openxmlformats.org/officeDocument/2006/relationships/hyperlink" Target="https://cc18-videos.s3-eu-west-1.amazonaws.com/be01e6be-8d74-4e72-bce1-668beca2cecb_In_conversation_with_Mark_Hurd.mp4" TargetMode="External"/><Relationship Id="rId163" Type="http://schemas.openxmlformats.org/officeDocument/2006/relationships/hyperlink" Target="https://ws17-videos.s3-eu-west-1.amazonaws.com/CS_9_14_The+rise+of+the+celebrity+activist_000000_000000.mp4" TargetMode="External"/><Relationship Id="rId162" Type="http://schemas.openxmlformats.org/officeDocument/2006/relationships/hyperlink" Target="https://drive.google.com/open?id=1JvtwD66r_87p3Al5cqLY1ramp-5T7Vmx" TargetMode="External"/><Relationship Id="rId169" Type="http://schemas.openxmlformats.org/officeDocument/2006/relationships/hyperlink" Target="https://www.facebook.com/collisionconf/videos/2279451215448333/" TargetMode="External"/><Relationship Id="rId168" Type="http://schemas.openxmlformats.org/officeDocument/2006/relationships/hyperlink" Target="https://drive.google.com/open?id=1kMvhcYIVEQGfNuSxzV5_eneKezyVYO7L" TargetMode="External"/><Relationship Id="rId167" Type="http://schemas.openxmlformats.org/officeDocument/2006/relationships/hyperlink" Target="https://www.youtube.com/watch?v=vxmhCWcaFe4" TargetMode="External"/><Relationship Id="rId166" Type="http://schemas.openxmlformats.org/officeDocument/2006/relationships/hyperlink" Target="https://cc18-videos.s3-eu-west-1.amazonaws.com/16e7f666-8111-4a23-9ca3-b77f9f5267ab_Inside_Lyfts_rising_share_of_the_ridesharing_market.mp4" TargetMode="External"/><Relationship Id="rId161" Type="http://schemas.openxmlformats.org/officeDocument/2006/relationships/hyperlink" Target="https://ws18-videos.s3-eu-west-1.amazonaws.com/158f6e33-ecb2-4223-907d-62feb72f8933_A_better_world_with_AI.mp4" TargetMode="External"/><Relationship Id="rId160" Type="http://schemas.openxmlformats.org/officeDocument/2006/relationships/hyperlink" Target="https://www.youtube.com/watch?v=pP_B4cp1nEg&amp;list=PLxptNs2MLOjncuOhiHrdjl4VebNfdStqF&amp;index=26" TargetMode="External"/><Relationship Id="rId159" Type="http://schemas.openxmlformats.org/officeDocument/2006/relationships/hyperlink" Target="https://ws17-videos.s3-eu-west-1.amazonaws.com/CS_7_09_From+the+ring+to+the+boardroom_000000_001839.mp4" TargetMode="External"/><Relationship Id="rId154" Type="http://schemas.openxmlformats.org/officeDocument/2006/relationships/hyperlink" Target="https://www.youtube.com/watch?v=3wwhKC8eaKk" TargetMode="External"/><Relationship Id="rId153" Type="http://schemas.openxmlformats.org/officeDocument/2006/relationships/hyperlink" Target="https://col18-videos.s3-eu-west-1.amazonaws.com/575c0973-1f3d-42bf-a770-f78f3266db59_How_to_create_the_next_big_thing.mp4" TargetMode="External"/><Relationship Id="rId152" Type="http://schemas.openxmlformats.org/officeDocument/2006/relationships/hyperlink" Target="https://www.youtube.com/watch?v=jSjuugKqQa4" TargetMode="External"/><Relationship Id="rId151" Type="http://schemas.openxmlformats.org/officeDocument/2006/relationships/hyperlink" Target="https://cc18-videos.s3-eu-west-1.amazonaws.com/a3a3a5a0-77eb-4642-9d47-80e366ef702d_How_tech_has_us_hooked.mp4" TargetMode="External"/><Relationship Id="rId158" Type="http://schemas.openxmlformats.org/officeDocument/2006/relationships/hyperlink" Target="https://www.youtube.com/watch?v=TclDYnMHKnI" TargetMode="External"/><Relationship Id="rId157" Type="http://schemas.openxmlformats.org/officeDocument/2006/relationships/hyperlink" Target="https://drive.google.com/open?id=1W4QlMdCYU_l2GpC2KtTacKPo-UIQwZvN" TargetMode="External"/><Relationship Id="rId156" Type="http://schemas.openxmlformats.org/officeDocument/2006/relationships/hyperlink" Target="https://drive.google.com/open?id=10V8p_QDkRR5Nwk0t59wVHOG7Hstr80UQ" TargetMode="External"/><Relationship Id="rId155" Type="http://schemas.openxmlformats.org/officeDocument/2006/relationships/hyperlink" Target="https://cc18-videos.s3-eu-west-1.amazonaws.com/0bdcdc24-62d5-441e-8ff9-86a2a9893226_Continuing_to_ignite_a_cultural_revolution.mp4" TargetMode="External"/><Relationship Id="rId40" Type="http://schemas.openxmlformats.org/officeDocument/2006/relationships/hyperlink" Target="https://vimeo.com/16547682" TargetMode="External"/><Relationship Id="rId42" Type="http://schemas.openxmlformats.org/officeDocument/2006/relationships/hyperlink" Target="https://drive.google.com/open?id=1UsQ1k37-EfGiuqu--GpnRytvabpV2yuT" TargetMode="External"/><Relationship Id="rId41" Type="http://schemas.openxmlformats.org/officeDocument/2006/relationships/hyperlink" Target="https://www.youtube.com/watch?v=SY-_AtsHf60" TargetMode="External"/><Relationship Id="rId44" Type="http://schemas.openxmlformats.org/officeDocument/2006/relationships/hyperlink" Target="https://ws17-videos.s3-eu-west-1.amazonaws.com/CS_2_8_RedisigningReddit_000000_000000.mp4" TargetMode="External"/><Relationship Id="rId43" Type="http://schemas.openxmlformats.org/officeDocument/2006/relationships/hyperlink" Target="https://www.youtube.com/watch?v=AfuudF9C6L8" TargetMode="External"/><Relationship Id="rId46" Type="http://schemas.openxmlformats.org/officeDocument/2006/relationships/hyperlink" Target="https://drive.google.com/open?id=1DHH27WH_832b6CqLsHtN8YBMA1UN_suj" TargetMode="External"/><Relationship Id="rId45" Type="http://schemas.openxmlformats.org/officeDocument/2006/relationships/hyperlink" Target="https://www.youtube.com/watch?v=8BDHQBXm_cA" TargetMode="External"/><Relationship Id="rId48" Type="http://schemas.openxmlformats.org/officeDocument/2006/relationships/hyperlink" Target="https://drive.google.com/open?id=1dYtG7PDG-Aiwfpl59Z1b-XIiYkJ1EWg6" TargetMode="External"/><Relationship Id="rId47" Type="http://schemas.openxmlformats.org/officeDocument/2006/relationships/hyperlink" Target="https://www.youtube.com/watch?v=IuH3k5v-cEs" TargetMode="External"/><Relationship Id="rId49" Type="http://schemas.openxmlformats.org/officeDocument/2006/relationships/hyperlink" Target="https://drive.google.com/open?id=1HXvymkLcg4kh9fHKDP1IVz0rEb8lOupH" TargetMode="External"/><Relationship Id="rId31" Type="http://schemas.openxmlformats.org/officeDocument/2006/relationships/hyperlink" Target="https://drive.google.com/open?id=1-nEcAMoGTG4YPofqbZ8SpIrTkDa8VBaD" TargetMode="External"/><Relationship Id="rId30" Type="http://schemas.openxmlformats.org/officeDocument/2006/relationships/hyperlink" Target="https://drive.google.com/open?id=1-nEcAMoGTG4YPofqbZ8SpIrTkDa8VBaD" TargetMode="External"/><Relationship Id="rId33" Type="http://schemas.openxmlformats.org/officeDocument/2006/relationships/hyperlink" Target="https://drive.google.com/open?id=1qwP2NMBiFj68fpXTu90pVCKd_FlL-PqA" TargetMode="External"/><Relationship Id="rId32" Type="http://schemas.openxmlformats.org/officeDocument/2006/relationships/hyperlink" Target="https://www.youtube.com/watch?v=M3A9SNadRcY" TargetMode="External"/><Relationship Id="rId35" Type="http://schemas.openxmlformats.org/officeDocument/2006/relationships/hyperlink" Target="https://drive.google.com/open?id=1csGNT5oCMUG-MfB-TdqEZU5ghKn42Uxk" TargetMode="External"/><Relationship Id="rId34" Type="http://schemas.openxmlformats.org/officeDocument/2006/relationships/hyperlink" Target="https://www.youtube.com/watch?v=YzOsxCPL4q8" TargetMode="External"/><Relationship Id="rId37" Type="http://schemas.openxmlformats.org/officeDocument/2006/relationships/hyperlink" Target="https://drive.google.com/open?id=1cAjbAoG1YY902NHuC-Y9ByFUO_R1zdTf" TargetMode="External"/><Relationship Id="rId36" Type="http://schemas.openxmlformats.org/officeDocument/2006/relationships/hyperlink" Target="https://www.youtube.com/watch?v=-0LuUAMJcWM" TargetMode="External"/><Relationship Id="rId39" Type="http://schemas.openxmlformats.org/officeDocument/2006/relationships/hyperlink" Target="https://vimeo.com/16547682" TargetMode="External"/><Relationship Id="rId38" Type="http://schemas.openxmlformats.org/officeDocument/2006/relationships/hyperlink" Target="https://ws19-processed-videos.s3-eu-west-1.amazonaws.com/9197b5fd-4b13-4003-9582-e68c131c44f3_Amazonai.mp4" TargetMode="External"/><Relationship Id="rId20" Type="http://schemas.openxmlformats.org/officeDocument/2006/relationships/hyperlink" Target="https://www.youtube.com/watch?v=N3GaiT-8fsk&amp;t=13s" TargetMode="External"/><Relationship Id="rId22" Type="http://schemas.openxmlformats.org/officeDocument/2006/relationships/hyperlink" Target="https://drive.google.com/open?id=1IbXFse3J_UU61Aag9rm6CD_z-tHxJdNf" TargetMode="External"/><Relationship Id="rId21" Type="http://schemas.openxmlformats.org/officeDocument/2006/relationships/hyperlink" Target="https://ws19-processed-videos.s3-eu-west-1.amazonaws.com/6305e2fe-d840-41ae-89d9-bf00103142a0_None_left_behind_Making_tech_work_for_the_many.mp4" TargetMode="External"/><Relationship Id="rId24" Type="http://schemas.openxmlformats.org/officeDocument/2006/relationships/hyperlink" Target="https://drive.google.com/open?id=19jdUXphP7i9dXaTeIzQdGx5yRXSsEYBn" TargetMode="External"/><Relationship Id="rId23" Type="http://schemas.openxmlformats.org/officeDocument/2006/relationships/hyperlink" Target="https://www.youtube.com/watch?v=jnw6_o8cAM4" TargetMode="External"/><Relationship Id="rId26" Type="http://schemas.openxmlformats.org/officeDocument/2006/relationships/hyperlink" Target="https://www.youtube.com/watch?v=2LT_sDkHYRc" TargetMode="External"/><Relationship Id="rId25" Type="http://schemas.openxmlformats.org/officeDocument/2006/relationships/hyperlink" Target="https://drive.google.com/open?id=1XFZu1T1Rh1twaQn9RLGkqKYsMj4kVo5i" TargetMode="External"/><Relationship Id="rId28" Type="http://schemas.openxmlformats.org/officeDocument/2006/relationships/hyperlink" Target="https://drive.google.com/open?id=1ffl0eYGf73koPmdGF3VII-f5Ll0e1cRK" TargetMode="External"/><Relationship Id="rId27" Type="http://schemas.openxmlformats.org/officeDocument/2006/relationships/hyperlink" Target="https://drive.google.com/open?id=1C9cGxZ0XpdiW6QsNCOcOC2Kup7YB8uHY" TargetMode="External"/><Relationship Id="rId29" Type="http://schemas.openxmlformats.org/officeDocument/2006/relationships/hyperlink" Target="https://vimeo.com/showcase/6061850/video/343327343" TargetMode="External"/><Relationship Id="rId11" Type="http://schemas.openxmlformats.org/officeDocument/2006/relationships/hyperlink" Target="https://drive.google.com/open?id=1KOzc9AWwCjGZ8PWU4jN0mnjSriV9MbRp" TargetMode="External"/><Relationship Id="rId10" Type="http://schemas.openxmlformats.org/officeDocument/2006/relationships/hyperlink" Target="https://www.youtube.com/watch?v=_Ns78mUiBcM" TargetMode="External"/><Relationship Id="rId13" Type="http://schemas.openxmlformats.org/officeDocument/2006/relationships/hyperlink" Target="https://ws17-videos.s3-eu-west-1.amazonaws.com/CS_8_18_Live+it+Creating+a+successful+culture_000000_002708.mp4" TargetMode="External"/><Relationship Id="rId12" Type="http://schemas.openxmlformats.org/officeDocument/2006/relationships/hyperlink" Target="https://www.youtube.com/watch?v=NFbrnaj6OYI" TargetMode="External"/><Relationship Id="rId15" Type="http://schemas.openxmlformats.org/officeDocument/2006/relationships/hyperlink" Target="https://drive.google.com/open?id=1odSoJx9cHBo2u9GMa4oGHPtkkPmR87gM" TargetMode="External"/><Relationship Id="rId14" Type="http://schemas.openxmlformats.org/officeDocument/2006/relationships/hyperlink" Target="https://www.youtube.com/watch?v=mLcRwWODJvY" TargetMode="External"/><Relationship Id="rId17" Type="http://schemas.openxmlformats.org/officeDocument/2006/relationships/hyperlink" Target="https://drive.google.com/open?id=1rdxaSbQ9lzqdXdclJQNPBs5xbmwEYfQy" TargetMode="External"/><Relationship Id="rId16" Type="http://schemas.openxmlformats.org/officeDocument/2006/relationships/hyperlink" Target="https://www.youtube.com/watch?v=lkzNZKCxMKc&amp;list=PLxptNs2MLOjncuOhiHrdjl4VebNfdStqF&amp;index=8" TargetMode="External"/><Relationship Id="rId19" Type="http://schemas.openxmlformats.org/officeDocument/2006/relationships/hyperlink" Target="https://drive.google.com/open?id=1ts3T13Bd6SyEwzrTuue085rPBugHl69N" TargetMode="External"/><Relationship Id="rId18" Type="http://schemas.openxmlformats.org/officeDocument/2006/relationships/hyperlink" Target="https://www.youtube.com/watch?v=Bqsdh-6y-d8&amp;list=PLxptNs2MLOjnmKh9GQbjGOfg3BMxHXASb&amp;index=28" TargetMode="External"/><Relationship Id="rId84" Type="http://schemas.openxmlformats.org/officeDocument/2006/relationships/hyperlink" Target="https://vimeo.com/showcase/6061850/video/342951654" TargetMode="External"/><Relationship Id="rId83" Type="http://schemas.openxmlformats.org/officeDocument/2006/relationships/hyperlink" Target="https://ws17-videos.s3-eu-west-1.amazonaws.com/CS_7_09_From+the+ring+to+the+boardroom_000000_001839.mp4" TargetMode="External"/><Relationship Id="rId86" Type="http://schemas.openxmlformats.org/officeDocument/2006/relationships/hyperlink" Target="https://www.youtube.com/watch?v=MIds81TTNj0" TargetMode="External"/><Relationship Id="rId85" Type="http://schemas.openxmlformats.org/officeDocument/2006/relationships/hyperlink" Target="https://ws19-processed-videos.s3-eu-west-1.amazonaws.com/b853c55b-0a49-42a4-a67b-363dc6b95926_A_two_way_street_Portugal__the_tech_world.mp4" TargetMode="External"/><Relationship Id="rId88" Type="http://schemas.openxmlformats.org/officeDocument/2006/relationships/hyperlink" Target="https://drive.google.com/open?id=1HUfnXXvpvmkbrq9LLR8kwUP_gr97e7DO" TargetMode="External"/><Relationship Id="rId87" Type="http://schemas.openxmlformats.org/officeDocument/2006/relationships/hyperlink" Target="https://drive.google.com/open?id=1wNTMnSk0Qmd8EjS1kBiQXemvTo2zKPAg" TargetMode="External"/><Relationship Id="rId89" Type="http://schemas.openxmlformats.org/officeDocument/2006/relationships/hyperlink" Target="https://drive.google.com/open?id=12nTgqAct8wJYDStfftK4CQ3Fz7gdUDji" TargetMode="External"/><Relationship Id="rId80" Type="http://schemas.openxmlformats.org/officeDocument/2006/relationships/hyperlink" Target="https://www.youtube.com/watch?v=1MIQ1q7Fm_4" TargetMode="External"/><Relationship Id="rId82" Type="http://schemas.openxmlformats.org/officeDocument/2006/relationships/hyperlink" Target="https://www.youtube.com/watch?v=TclDYnMHKnI" TargetMode="External"/><Relationship Id="rId81" Type="http://schemas.openxmlformats.org/officeDocument/2006/relationships/hyperlink" Target="https://ws17-videos.s3-eu-west-1.amazonaws.com/CS_2_03_TheThirdWaveOfTechnologySteveCaseInConversation_000000_000000.mp4" TargetMode="External"/><Relationship Id="rId73" Type="http://schemas.openxmlformats.org/officeDocument/2006/relationships/hyperlink" Target="https://drive.google.com/open?id=1QfMrKyjOUKIzu0HSaBKc5E2TXZb4RTna" TargetMode="External"/><Relationship Id="rId72" Type="http://schemas.openxmlformats.org/officeDocument/2006/relationships/hyperlink" Target="https://www.youtube.com/watch?v=8zuuTtVWtHY" TargetMode="External"/><Relationship Id="rId75" Type="http://schemas.openxmlformats.org/officeDocument/2006/relationships/hyperlink" Target="https://www.youtube.com/watch?v=hxJv8AKEeG4" TargetMode="External"/><Relationship Id="rId74" Type="http://schemas.openxmlformats.org/officeDocument/2006/relationships/hyperlink" Target="https://drive.google.com/open?id=12fq-iYNeMob9Ib9qhvCtjnq1SwRM4Pxj" TargetMode="External"/><Relationship Id="rId77" Type="http://schemas.openxmlformats.org/officeDocument/2006/relationships/hyperlink" Target="https://drive.google.com/open?id=145AtcWDIezgcqymxkzJbNdwz8n10najN" TargetMode="External"/><Relationship Id="rId76" Type="http://schemas.openxmlformats.org/officeDocument/2006/relationships/hyperlink" Target="https://drive.google.com/open?id=1Pqv_1YvqT0wiQC4eC_9LYOuc6yEgFi7o" TargetMode="External"/><Relationship Id="rId79" Type="http://schemas.openxmlformats.org/officeDocument/2006/relationships/hyperlink" Target="https://ws19-processed-videos.s3-eu-west-1.amazonaws.com/0bcc2520-c55a-4ac6-be76-43340bbf64c7_The_king_of_capital.mp4" TargetMode="External"/><Relationship Id="rId78" Type="http://schemas.openxmlformats.org/officeDocument/2006/relationships/hyperlink" Target="https://vimeo.com/showcase/6551539/video/371203957" TargetMode="External"/><Relationship Id="rId71" Type="http://schemas.openxmlformats.org/officeDocument/2006/relationships/hyperlink" Target="https://rise18-videos.s3-eu-west-1.amazonaws.com/e7a54d13-b665-4a7b-a670-66fbc34dd397_In_conversation_with_Grab.mp4" TargetMode="External"/><Relationship Id="rId70" Type="http://schemas.openxmlformats.org/officeDocument/2006/relationships/hyperlink" Target="https://www.youtube.com/watch?v=FpfmlMkQxFM&amp;t=17s" TargetMode="External"/><Relationship Id="rId62" Type="http://schemas.openxmlformats.org/officeDocument/2006/relationships/hyperlink" Target="https://ws19-processed-videos.s3-eu-west-1.amazonaws.com/62e2e333-7dd6-45e3-9fda-60e06af8d01b_5GX_Creating_a_new_era.mp4" TargetMode="External"/><Relationship Id="rId61" Type="http://schemas.openxmlformats.org/officeDocument/2006/relationships/hyperlink" Target="https://www.youtube.com/watch?v=w5NF6VNsWR8" TargetMode="External"/><Relationship Id="rId64" Type="http://schemas.openxmlformats.org/officeDocument/2006/relationships/hyperlink" Target="https://drive.google.com/open?id=1kMvhcYIVEQGfNuSxzV5_eneKezyVYO7L" TargetMode="External"/><Relationship Id="rId63" Type="http://schemas.openxmlformats.org/officeDocument/2006/relationships/hyperlink" Target="https://www.youtube.com/watch?v=vxmhCWcaFe4" TargetMode="External"/><Relationship Id="rId66" Type="http://schemas.openxmlformats.org/officeDocument/2006/relationships/hyperlink" Target="https://drive.google.com/open?id=1c8JnYmVGAi_9WRTtruRBWXNfhcanuOmO" TargetMode="External"/><Relationship Id="rId65" Type="http://schemas.openxmlformats.org/officeDocument/2006/relationships/hyperlink" Target="https://www.youtube.com/watch?v=UN2fzK7Bg-Q" TargetMode="External"/><Relationship Id="rId68" Type="http://schemas.openxmlformats.org/officeDocument/2006/relationships/hyperlink" Target="https://vimeo.com/showcase/6551539/video/371653938" TargetMode="External"/><Relationship Id="rId67" Type="http://schemas.openxmlformats.org/officeDocument/2006/relationships/hyperlink" Target="https://ws18-videos.s3-eu-west-1.amazonaws.com/unprocessed/51594a59-ce6a-4449-84d6-67ca2c9173ab_Can_we_save_the_media_industry_from_itself.mp4" TargetMode="External"/><Relationship Id="rId60" Type="http://schemas.openxmlformats.org/officeDocument/2006/relationships/hyperlink" Target="https://drive.google.com/open?id=1bB7y1CWluZ7VCXMIpBro0F0QFZL8doSG" TargetMode="External"/><Relationship Id="rId69" Type="http://schemas.openxmlformats.org/officeDocument/2006/relationships/hyperlink" Target="https://ws19-processed-videos.s3-eu-west-1.amazonaws.com/6c79a820-5adc-475a-b059-378cf1e5e7d0_Welcome_to_the_future_of_mobile_robots.mp4" TargetMode="External"/><Relationship Id="rId51" Type="http://schemas.openxmlformats.org/officeDocument/2006/relationships/hyperlink" Target="https://www.youtube.com/watch?v=JZ-omtv0vOQ" TargetMode="External"/><Relationship Id="rId50" Type="http://schemas.openxmlformats.org/officeDocument/2006/relationships/hyperlink" Target="https://ws19-processed-videos.s3-eu-west-1.amazonaws.com/29f68515-a259-4271-8f36-0b378ef8ce8f_Thinking_outside_the_box.mp4" TargetMode="External"/><Relationship Id="rId53" Type="http://schemas.openxmlformats.org/officeDocument/2006/relationships/hyperlink" Target="https://www.youtube.com/watch?v=JaA36HDq848" TargetMode="External"/><Relationship Id="rId52" Type="http://schemas.openxmlformats.org/officeDocument/2006/relationships/hyperlink" Target="https://drive.google.com/open?id=19aEEhIaSRwCI-8l1DoBoKJLC9eG7va8G" TargetMode="External"/><Relationship Id="rId55" Type="http://schemas.openxmlformats.org/officeDocument/2006/relationships/hyperlink" Target="https://drive.google.com/open?id=1qNQcFr3bnEFK2knaNgRuF1xGnmII9a0B" TargetMode="External"/><Relationship Id="rId54" Type="http://schemas.openxmlformats.org/officeDocument/2006/relationships/hyperlink" Target="https://ws17-videos.s3-eu-west-1.amazonaws.com/CS_9_11_Who+defines+gender_000000_000000.mp4" TargetMode="External"/><Relationship Id="rId57" Type="http://schemas.openxmlformats.org/officeDocument/2006/relationships/hyperlink" Target="https://www.youtube.com/watch?v=wwuYk4M06dc" TargetMode="External"/><Relationship Id="rId56" Type="http://schemas.openxmlformats.org/officeDocument/2006/relationships/hyperlink" Target="https://drive.google.com/open?id=1AngebQQAfhpDc8uEVkEtU2kHmX18B-TB" TargetMode="External"/><Relationship Id="rId59" Type="http://schemas.openxmlformats.org/officeDocument/2006/relationships/hyperlink" Target="https://www.youtube.com/watch?v=Hak7KCoUqTg" TargetMode="External"/><Relationship Id="rId58" Type="http://schemas.openxmlformats.org/officeDocument/2006/relationships/hyperlink" Target="https://drive.google.com/open?id=1AQ7zTFJVFASUQ0RFeauq_4d0xxmfEOQe" TargetMode="External"/><Relationship Id="rId107" Type="http://schemas.openxmlformats.org/officeDocument/2006/relationships/hyperlink" Target="https://www.youtube.com/watch?v=JG_9Jig2_z4&amp;list=PL8sP26EBxQr8kl9VHB0UsnOIOXDChNDKw&amp;index=42" TargetMode="External"/><Relationship Id="rId106" Type="http://schemas.openxmlformats.org/officeDocument/2006/relationships/hyperlink" Target="https://ws17-videos.s3-eu-west-1.amazonaws.com/CS_7_17_The+evolution+of+conversation+Facebook's+Stan+Chudnovsky_000007_002102.mp4" TargetMode="External"/><Relationship Id="rId105" Type="http://schemas.openxmlformats.org/officeDocument/2006/relationships/hyperlink" Target="https://www.youtube.com/watch?v=VEB2j45dEeE&amp;t=1s" TargetMode="External"/><Relationship Id="rId104" Type="http://schemas.openxmlformats.org/officeDocument/2006/relationships/hyperlink" Target="https://ws18-videos.s3-eu-west-1.amazonaws.com/unprocessed/1ba88cc7-d632-4952-a9bb-a7d25dcca1b9_How_to_win_your_own_grand_prix%3F.mp4" TargetMode="External"/><Relationship Id="rId109" Type="http://schemas.openxmlformats.org/officeDocument/2006/relationships/hyperlink" Target="https://www.facebook.com/collisionconf/videos/2279451215448333/?v=2279451215448333" TargetMode="External"/><Relationship Id="rId108" Type="http://schemas.openxmlformats.org/officeDocument/2006/relationships/hyperlink" Target="https://rise18-videos.s3-eu-west-1.amazonaws.com/c9916442-4f95-4bb2-9ba0-a9f84db6d63e_Meet_the_virtual_human.mp4" TargetMode="External"/><Relationship Id="rId103" Type="http://schemas.openxmlformats.org/officeDocument/2006/relationships/hyperlink" Target="https://www.youtube.com/watch?v=5gzg0uTIWIo" TargetMode="External"/><Relationship Id="rId102" Type="http://schemas.openxmlformats.org/officeDocument/2006/relationships/hyperlink" Target="https://drive.google.com/open?id=1wJ3QpAjpH_jd5OXxL0hwxRJ_d8sD9Jih" TargetMode="External"/><Relationship Id="rId101" Type="http://schemas.openxmlformats.org/officeDocument/2006/relationships/hyperlink" Target="https://www.youtube.com/watch?v=vgM2-i-n9a8" TargetMode="External"/><Relationship Id="rId100" Type="http://schemas.openxmlformats.org/officeDocument/2006/relationships/hyperlink" Target="https://ws17-videos.s3-eu-west-1.amazonaws.com/CS_7_05_How+to+prevent+a+cyberwar_000020_002212.mp4" TargetMode="External"/><Relationship Id="rId129" Type="http://schemas.openxmlformats.org/officeDocument/2006/relationships/hyperlink" Target="https://ws17-videos.s3-eu-west-1.amazonaws.com/CS_7_11_How+innovation+facilitates+change_000004_001557.mp4" TargetMode="External"/><Relationship Id="rId128" Type="http://schemas.openxmlformats.org/officeDocument/2006/relationships/hyperlink" Target="https://www.youtube.com/watch?v=ekVbe7IDJss" TargetMode="External"/><Relationship Id="rId127" Type="http://schemas.openxmlformats.org/officeDocument/2006/relationships/hyperlink" Target="https://ws18-videos.s3-eu-west-1.amazonaws.com/60e1d83c-d64b-484a-beff-7bea0e9387a1_Is_Big_Tech_the_new_Big_Oil_And_how_can_tech_avoid_oil%E2%80%99s_errors.mp4" TargetMode="External"/><Relationship Id="rId126" Type="http://schemas.openxmlformats.org/officeDocument/2006/relationships/hyperlink" Target="https://www.youtube.com/watch?v=VrPCoe4pYm0&amp;t=722s" TargetMode="External"/><Relationship Id="rId121" Type="http://schemas.openxmlformats.org/officeDocument/2006/relationships/hyperlink" Target="https://drive.google.com/open?id=1yDJq2cli-d91HxTRnz5pQJbcLnS1yzwu" TargetMode="External"/><Relationship Id="rId120" Type="http://schemas.openxmlformats.org/officeDocument/2006/relationships/hyperlink" Target="https://vimeo.com/372581211" TargetMode="External"/><Relationship Id="rId125" Type="http://schemas.openxmlformats.org/officeDocument/2006/relationships/hyperlink" Target="https://drive.google.com/open?id=1klQma4vAQWQe5PREBS28KR5tbyLk1KIv" TargetMode="External"/><Relationship Id="rId124" Type="http://schemas.openxmlformats.org/officeDocument/2006/relationships/hyperlink" Target="https://www.youtube.com/watch?v=FrSDJRtPQGE" TargetMode="External"/><Relationship Id="rId123" Type="http://schemas.openxmlformats.org/officeDocument/2006/relationships/hyperlink" Target="https://drive.google.com/open?id=1Wr_BIv3Wk7KA17WdYuV5E9cYYjZTs1FA" TargetMode="External"/><Relationship Id="rId122" Type="http://schemas.openxmlformats.org/officeDocument/2006/relationships/hyperlink" Target="https://www.youtube.com/watch?v=9Wpk_M9svbQ" TargetMode="External"/><Relationship Id="rId95" Type="http://schemas.openxmlformats.org/officeDocument/2006/relationships/hyperlink" Target="https://ws17-videos.s3-eu-west-1.amazonaws.com/CS_7_20_A+new+way+forward+for+self-driving+cars_000000_002224.mp4" TargetMode="External"/><Relationship Id="rId94" Type="http://schemas.openxmlformats.org/officeDocument/2006/relationships/hyperlink" Target="https://www.youtube.com/watch?v=fWBVpto5Sgk&amp;t=1s" TargetMode="External"/><Relationship Id="rId97" Type="http://schemas.openxmlformats.org/officeDocument/2006/relationships/hyperlink" Target="https://rise18-videos.s3-eu-west-1.amazonaws.com/a3d9b1ee-a76b-4dfc-91b2-337e7fae1d37_From_Tinder_to_investor_The_story_of_Sean_Rad.mp4" TargetMode="External"/><Relationship Id="rId96" Type="http://schemas.openxmlformats.org/officeDocument/2006/relationships/hyperlink" Target="https://www.youtube.com/watch?v=IBTkt_DCHAc" TargetMode="External"/><Relationship Id="rId99" Type="http://schemas.openxmlformats.org/officeDocument/2006/relationships/hyperlink" Target="https://www.youtube.com/watch?v=K_CODeunm20&amp;t=1s" TargetMode="External"/><Relationship Id="rId98" Type="http://schemas.openxmlformats.org/officeDocument/2006/relationships/hyperlink" Target="https://cc18-videos.s3-eu-west-1.amazonaws.com/16e7f666-8111-4a23-9ca3-b77f9f5267ab_Inside_Lyfts_rising_share_of_the_ridesharing_market.mp4" TargetMode="External"/><Relationship Id="rId91" Type="http://schemas.openxmlformats.org/officeDocument/2006/relationships/hyperlink" Target="https://ws19-processed-videos.s3-eu-west-1.amazonaws.com/5aec3572-66ef-40d2-91eb-9d3c9af11296_How_to_create_awe.mp4" TargetMode="External"/><Relationship Id="rId90" Type="http://schemas.openxmlformats.org/officeDocument/2006/relationships/hyperlink" Target="https://vimeo.com/371381703/64a54cee18" TargetMode="External"/><Relationship Id="rId93" Type="http://schemas.openxmlformats.org/officeDocument/2006/relationships/hyperlink" Target="https://drive.google.com/open?id=1PGib782ySz1xSX2gHVrMteA-J2rXHCBU" TargetMode="External"/><Relationship Id="rId92" Type="http://schemas.openxmlformats.org/officeDocument/2006/relationships/hyperlink" Target="https://www.youtube.com/watch?v=nH8UZPEicGE" TargetMode="External"/><Relationship Id="rId118" Type="http://schemas.openxmlformats.org/officeDocument/2006/relationships/hyperlink" Target="https://www.youtube.com/watch?v=k25nALbTcDs" TargetMode="External"/><Relationship Id="rId117" Type="http://schemas.openxmlformats.org/officeDocument/2006/relationships/hyperlink" Target="https://drive.google.com/open?id=1KbtYHmLFHyIYn5ydv4NHD4_6UEYY-tOU" TargetMode="External"/><Relationship Id="rId116" Type="http://schemas.openxmlformats.org/officeDocument/2006/relationships/hyperlink" Target="https://www.youtube.com/watch?v=UEtkPOptEPM" TargetMode="External"/><Relationship Id="rId115" Type="http://schemas.openxmlformats.org/officeDocument/2006/relationships/hyperlink" Target="https://drive.google.com/open?id=1IiLqzklORP87mYokvSqnrLBSjuFeSA_2" TargetMode="External"/><Relationship Id="rId119" Type="http://schemas.openxmlformats.org/officeDocument/2006/relationships/hyperlink" Target="https://drive.google.com/open?id=1obLEKmhUUA8ND73ag7DFFOXUTnpjqZ2J" TargetMode="External"/><Relationship Id="rId110" Type="http://schemas.openxmlformats.org/officeDocument/2006/relationships/hyperlink" Target="https://drive.google.com/open?id=1E4xsRKVdZrqqnzyawqdAJq5AWqldSA_4" TargetMode="External"/><Relationship Id="rId114" Type="http://schemas.openxmlformats.org/officeDocument/2006/relationships/hyperlink" Target="https://www.youtube.com/watch?v=9tz6gai51Mo" TargetMode="External"/><Relationship Id="rId113" Type="http://schemas.openxmlformats.org/officeDocument/2006/relationships/hyperlink" Target="https://drive.google.com/open?id=1GLEHFqJ0SfZJvOkKfN_QnuS4NWf6WIJy" TargetMode="External"/><Relationship Id="rId112" Type="http://schemas.openxmlformats.org/officeDocument/2006/relationships/hyperlink" Target="https://www.youtube.com/watch?v=9mNol9C6xm4" TargetMode="External"/><Relationship Id="rId111" Type="http://schemas.openxmlformats.org/officeDocument/2006/relationships/hyperlink" Target="https://drive.google.com/open?id=1HUwlBslrn2_MsxDBUJyrruBI0-N47yMk"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90" Type="http://schemas.openxmlformats.org/officeDocument/2006/relationships/hyperlink" Target="https://www.youtube.com/channel/UC4wdBTbD8lWlhZdggG2YBlw" TargetMode="External"/><Relationship Id="rId194" Type="http://schemas.openxmlformats.org/officeDocument/2006/relationships/hyperlink" Target="https://www.youtube.com/watch?v=q-pQjATBXjE&amp;list=PLIx2W_gDlNxcETSQKknUZXJi_ZU9fCF7r&amp;index=17&amp;t=0s" TargetMode="External"/><Relationship Id="rId193" Type="http://schemas.openxmlformats.org/officeDocument/2006/relationships/hyperlink" Target="https://www.youtube.com/watch?v=Y-0RMhD05_0&amp;t=1s" TargetMode="External"/><Relationship Id="rId192" Type="http://schemas.openxmlformats.org/officeDocument/2006/relationships/hyperlink" Target="https://www.youtube.com/watch?v=0l35FGR_n9k" TargetMode="External"/><Relationship Id="rId191" Type="http://schemas.openxmlformats.org/officeDocument/2006/relationships/hyperlink" Target="https://www.youtube.com/watch?v=pZiv83s1J-M&amp;t=60s" TargetMode="External"/><Relationship Id="rId187" Type="http://schemas.openxmlformats.org/officeDocument/2006/relationships/hyperlink" Target="https://www.youtube.com/watch?v=N-BcOPnpH8Y" TargetMode="External"/><Relationship Id="rId186" Type="http://schemas.openxmlformats.org/officeDocument/2006/relationships/hyperlink" Target="https://www.facebook.com/marriottinternational/videos/a-message-from-arne-sorenson/623249921859006/" TargetMode="External"/><Relationship Id="rId185" Type="http://schemas.openxmlformats.org/officeDocument/2006/relationships/hyperlink" Target="https://www.youtube.com/watch?v=UbE8DnquiAE&amp;feature=emb_logo" TargetMode="External"/><Relationship Id="rId184" Type="http://schemas.openxmlformats.org/officeDocument/2006/relationships/hyperlink" Target="https://www.youtube.com/watch?v=oKDvbqI8vYs" TargetMode="External"/><Relationship Id="rId189" Type="http://schemas.openxmlformats.org/officeDocument/2006/relationships/hyperlink" Target="https://www.youtube.com/watch?v=KaOIL74Eb8o" TargetMode="External"/><Relationship Id="rId188" Type="http://schemas.openxmlformats.org/officeDocument/2006/relationships/hyperlink" Target="https://drive.google.com/drive/u/3/folders/11YqZ6uhr_qoxn9NkdB5SAhkOEZ8P0yj9" TargetMode="External"/><Relationship Id="rId183" Type="http://schemas.openxmlformats.org/officeDocument/2006/relationships/hyperlink" Target="https://www.youtube.com/watch?v=fteVQytWO-U" TargetMode="External"/><Relationship Id="rId182" Type="http://schemas.openxmlformats.org/officeDocument/2006/relationships/hyperlink" Target="https://www.youtube.com/watch?time_continue=1&amp;v=D7XBpyRufvo" TargetMode="External"/><Relationship Id="rId181" Type="http://schemas.openxmlformats.org/officeDocument/2006/relationships/hyperlink" Target="https://www.youtube.com/watch?v=PAwREs7snJk" TargetMode="External"/><Relationship Id="rId180" Type="http://schemas.openxmlformats.org/officeDocument/2006/relationships/hyperlink" Target="https://www.youtube.com/watch?v=GRRj9UjFI0U" TargetMode="External"/><Relationship Id="rId176" Type="http://schemas.openxmlformats.org/officeDocument/2006/relationships/hyperlink" Target="https://www.youtube.com/watch?v=7V6FFeZdFz4" TargetMode="External"/><Relationship Id="rId175" Type="http://schemas.openxmlformats.org/officeDocument/2006/relationships/hyperlink" Target="https://www.youtube.com/watch?v=D6lT6olaqh0" TargetMode="External"/><Relationship Id="rId174" Type="http://schemas.openxmlformats.org/officeDocument/2006/relationships/hyperlink" Target="https://www.youtube.com/watch?v=9hFn-dwWC9s" TargetMode="External"/><Relationship Id="rId173" Type="http://schemas.openxmlformats.org/officeDocument/2006/relationships/hyperlink" Target="https://www.youtube.com/watch?v=Xb7N3wu-_jA" TargetMode="External"/><Relationship Id="rId179" Type="http://schemas.openxmlformats.org/officeDocument/2006/relationships/hyperlink" Target="https://www.youtube.com/watch?v=GFvV7fTmd5c" TargetMode="External"/><Relationship Id="rId178" Type="http://schemas.openxmlformats.org/officeDocument/2006/relationships/hyperlink" Target="https://www.youtube.com/watch?v=YpIGejJiaBo" TargetMode="External"/><Relationship Id="rId177" Type="http://schemas.openxmlformats.org/officeDocument/2006/relationships/hyperlink" Target="https://www.youtube.com/watch?v=KeQFTe6WpHs" TargetMode="External"/><Relationship Id="rId198" Type="http://schemas.openxmlformats.org/officeDocument/2006/relationships/hyperlink" Target="https://www.youtube.com/watch?v=-mqWXUfmDbI" TargetMode="External"/><Relationship Id="rId197" Type="http://schemas.openxmlformats.org/officeDocument/2006/relationships/hyperlink" Target="https://www.youtube.com/watch?v=sWfE1q0Xrr0&amp;t=2477s" TargetMode="External"/><Relationship Id="rId196" Type="http://schemas.openxmlformats.org/officeDocument/2006/relationships/hyperlink" Target="https://www.youtube.com/channel/UC9ASLK8xI5sSrfGZXyC_16w" TargetMode="External"/><Relationship Id="rId195" Type="http://schemas.openxmlformats.org/officeDocument/2006/relationships/hyperlink" Target="https://www.youtube.com/watch?v=N-BcOPnpH8Y" TargetMode="External"/><Relationship Id="rId199" Type="http://schemas.openxmlformats.org/officeDocument/2006/relationships/hyperlink" Target="https://variety.com/2019/film/features/sony-pictures-animation-kristine-belson-1203143201/" TargetMode="External"/><Relationship Id="rId150" Type="http://schemas.openxmlformats.org/officeDocument/2006/relationships/hyperlink" Target="https://youtu.be/5_qFZwKDfTA" TargetMode="External"/><Relationship Id="rId1" Type="http://schemas.openxmlformats.org/officeDocument/2006/relationships/hyperlink" Target="https://www.youtube.com/watch?v=PPPxR3PcXkQ" TargetMode="External"/><Relationship Id="rId2" Type="http://schemas.openxmlformats.org/officeDocument/2006/relationships/hyperlink" Target="https://drive.google.com/drive/folders/1ogvUmyEAJb9_J4cwghcF_Z4DVluD8THz" TargetMode="External"/><Relationship Id="rId3" Type="http://schemas.openxmlformats.org/officeDocument/2006/relationships/hyperlink" Target="https://drive.google.com/drive/folders/1iJxA3bZ6MRSO2HZp1Ist_CDhi6bkvMWK" TargetMode="External"/><Relationship Id="rId149" Type="http://schemas.openxmlformats.org/officeDocument/2006/relationships/hyperlink" Target="https://www.youtube.com/watch?v=x8G-yD3_jTM" TargetMode="External"/><Relationship Id="rId4" Type="http://schemas.openxmlformats.org/officeDocument/2006/relationships/hyperlink" Target="https://www.youtube.com/watch?v=oiAFAYE_HLo" TargetMode="External"/><Relationship Id="rId148" Type="http://schemas.openxmlformats.org/officeDocument/2006/relationships/hyperlink" Target="https://youtu.be/HA2PFGyCoes" TargetMode="External"/><Relationship Id="rId9" Type="http://schemas.openxmlformats.org/officeDocument/2006/relationships/hyperlink" Target="https://www.youtube.com/watch?v=fDkbyyPRKFY" TargetMode="External"/><Relationship Id="rId143" Type="http://schemas.openxmlformats.org/officeDocument/2006/relationships/hyperlink" Target="https://www.youtube.com/watch?v=j3OS6Hp4f9s" TargetMode="External"/><Relationship Id="rId142" Type="http://schemas.openxmlformats.org/officeDocument/2006/relationships/hyperlink" Target="https://www.youtube.com/watch?v=Yk7LRdqwrm8" TargetMode="External"/><Relationship Id="rId141" Type="http://schemas.openxmlformats.org/officeDocument/2006/relationships/hyperlink" Target="https://www.youtube.com/watch?v=49sgSZDn76A" TargetMode="External"/><Relationship Id="rId140" Type="http://schemas.openxmlformats.org/officeDocument/2006/relationships/hyperlink" Target="https://drive.google.com/drive/folders/1nV-KLdwJ_5pPa4m5NGGuNu9sw7Cancyc" TargetMode="External"/><Relationship Id="rId5" Type="http://schemas.openxmlformats.org/officeDocument/2006/relationships/hyperlink" Target="https://www.youtube.com/watch?v=hyU64nXUrU8" TargetMode="External"/><Relationship Id="rId147" Type="http://schemas.openxmlformats.org/officeDocument/2006/relationships/hyperlink" Target="https://www.youtube.com/watch?v=3qE9D2Vkg8g" TargetMode="External"/><Relationship Id="rId6" Type="http://schemas.openxmlformats.org/officeDocument/2006/relationships/hyperlink" Target="https://www.youtube.com/watch?v=jyYLVeZIrO0" TargetMode="External"/><Relationship Id="rId146" Type="http://schemas.openxmlformats.org/officeDocument/2006/relationships/hyperlink" Target="https://www.youtube.com/watch?v=pA7ibu2J4Ws" TargetMode="External"/><Relationship Id="rId7" Type="http://schemas.openxmlformats.org/officeDocument/2006/relationships/hyperlink" Target="https://www.youtube.com/watch?v=lbMPDk7CF6g" TargetMode="External"/><Relationship Id="rId145" Type="http://schemas.openxmlformats.org/officeDocument/2006/relationships/hyperlink" Target="https://www.youtube.com/watch?v=0tZhOF2kgDw" TargetMode="External"/><Relationship Id="rId8" Type="http://schemas.openxmlformats.org/officeDocument/2006/relationships/hyperlink" Target="https://www.youtube.com/channel/UCZhYvuDGIWffl5RuIbbMx3Q" TargetMode="External"/><Relationship Id="rId144" Type="http://schemas.openxmlformats.org/officeDocument/2006/relationships/hyperlink" Target="https://www.youtube.com/watch?v=KqXjM2ZnObc" TargetMode="External"/><Relationship Id="rId139" Type="http://schemas.openxmlformats.org/officeDocument/2006/relationships/hyperlink" Target="https://www.youtube.com/watch?v=K1JMjwJG2UM" TargetMode="External"/><Relationship Id="rId138" Type="http://schemas.openxmlformats.org/officeDocument/2006/relationships/hyperlink" Target="https://www.youtube.com/watch?v=fmI_Ndrxy14" TargetMode="External"/><Relationship Id="rId137" Type="http://schemas.openxmlformats.org/officeDocument/2006/relationships/hyperlink" Target="https://pixabay.com/videos/rocket-launch-cape-caneveral-nasa-228/" TargetMode="External"/><Relationship Id="rId132" Type="http://schemas.openxmlformats.org/officeDocument/2006/relationships/hyperlink" Target="https://www.youtube.com/watch?v=UFpI87eWcfo" TargetMode="External"/><Relationship Id="rId253" Type="http://schemas.openxmlformats.org/officeDocument/2006/relationships/hyperlink" Target="https://www.youtube.com/watch?v=BbPGx02ZWrw" TargetMode="External"/><Relationship Id="rId131" Type="http://schemas.openxmlformats.org/officeDocument/2006/relationships/hyperlink" Target="https://www.youtube.com/watch?v=9x6Fqgu5y0Y" TargetMode="External"/><Relationship Id="rId252" Type="http://schemas.openxmlformats.org/officeDocument/2006/relationships/hyperlink" Target="https://www.youtube.com/watch?v=rLAvkbFugEI&amp;feature=emb_logo" TargetMode="External"/><Relationship Id="rId130" Type="http://schemas.openxmlformats.org/officeDocument/2006/relationships/hyperlink" Target="https://www.youtube.com/watch?v=mnM3YLcIJLg" TargetMode="External"/><Relationship Id="rId251" Type="http://schemas.openxmlformats.org/officeDocument/2006/relationships/hyperlink" Target="https://www.youtube.com/watch?v=nOsdS5irjAo&amp;feature=emb_logo" TargetMode="External"/><Relationship Id="rId250" Type="http://schemas.openxmlformats.org/officeDocument/2006/relationships/hyperlink" Target="https://www.youtube.com/watch?v=0EFHbruKEmw" TargetMode="External"/><Relationship Id="rId136" Type="http://schemas.openxmlformats.org/officeDocument/2006/relationships/hyperlink" Target="https://pixabay.com/videos/nebula-star-constellation-cosmos-25168/" TargetMode="External"/><Relationship Id="rId135" Type="http://schemas.openxmlformats.org/officeDocument/2006/relationships/hyperlink" Target="https://pixabay.com/videos/milky-way-sky-starry-sky-night-10339/" TargetMode="External"/><Relationship Id="rId134" Type="http://schemas.openxmlformats.org/officeDocument/2006/relationships/hyperlink" Target="https://pixabay.com/videos/welcome-hologram-business-woman-24829/" TargetMode="External"/><Relationship Id="rId255" Type="http://schemas.openxmlformats.org/officeDocument/2006/relationships/drawing" Target="../drawings/drawing22.xml"/><Relationship Id="rId133" Type="http://schemas.openxmlformats.org/officeDocument/2006/relationships/hyperlink" Target="https://pixabay.com/videos/keyboard-hands-writing-computer-1046/" TargetMode="External"/><Relationship Id="rId254" Type="http://schemas.openxmlformats.org/officeDocument/2006/relationships/hyperlink" Target="https://www.youtube.com/watch?v=rEGOihjqO9w" TargetMode="External"/><Relationship Id="rId172" Type="http://schemas.openxmlformats.org/officeDocument/2006/relationships/hyperlink" Target="https://www.youtube.com/watch?v=Gu-yvYuACcM" TargetMode="External"/><Relationship Id="rId171" Type="http://schemas.openxmlformats.org/officeDocument/2006/relationships/hyperlink" Target="https://edition.cnn.com/videos/media/2018/12/23/netflix-is-growing-but-so-is-the-box-office-rs.cnn" TargetMode="External"/><Relationship Id="rId170" Type="http://schemas.openxmlformats.org/officeDocument/2006/relationships/hyperlink" Target="https://www.youtube.com/watch?v=vY0qzXi5oJg" TargetMode="External"/><Relationship Id="rId165" Type="http://schemas.openxmlformats.org/officeDocument/2006/relationships/hyperlink" Target="https://www.youtube.com/watch?v=xW9wAPT96A8" TargetMode="External"/><Relationship Id="rId164" Type="http://schemas.openxmlformats.org/officeDocument/2006/relationships/hyperlink" Target="https://www.facebook.com/WebSummitHQ/videos/greg-peters-chief-product-officer-at-netflix-live-at-web-summit/295193107992534/" TargetMode="External"/><Relationship Id="rId163" Type="http://schemas.openxmlformats.org/officeDocument/2006/relationships/hyperlink" Target="https://drive.google.com/drive/folders/1g5oBmAjukuO_z19RGixB3T4zEfFksI1e" TargetMode="External"/><Relationship Id="rId162" Type="http://schemas.openxmlformats.org/officeDocument/2006/relationships/hyperlink" Target="https://www.youtube.com/watch?v=bq1ykBxKPLU" TargetMode="External"/><Relationship Id="rId169" Type="http://schemas.openxmlformats.org/officeDocument/2006/relationships/hyperlink" Target="https://www.youtube.com/watch?v=sjzFnEDbDo4" TargetMode="External"/><Relationship Id="rId168" Type="http://schemas.openxmlformats.org/officeDocument/2006/relationships/hyperlink" Target="https://www.youtube.com/watch?v=XcnHOQ-cHa0" TargetMode="External"/><Relationship Id="rId167" Type="http://schemas.openxmlformats.org/officeDocument/2006/relationships/hyperlink" Target="https://www.youtube.com/watch?time_continue=122&amp;v=acTdxsoa428&amp;feature=emb_title" TargetMode="External"/><Relationship Id="rId166" Type="http://schemas.openxmlformats.org/officeDocument/2006/relationships/hyperlink" Target="https://edition.cnn.com/2020/04/08/media/netflix-tiger-king-ratings/index.html" TargetMode="External"/><Relationship Id="rId161" Type="http://schemas.openxmlformats.org/officeDocument/2006/relationships/hyperlink" Target="https://nam10.safelinks.protection.outlook.com/?url=https%3A%2F%2Fwww.youtube.com%2Fwatch%3Fv%3D0xiza_x_IeY%26t%3D746s&amp;data=02%7C01%7C%7C01872ddbc3d242e68f2508d7f5bff332%7C84df9e7fe9f640afb435aaaaaaaaaaaa%7C1%7C0%7C637248077072259543&amp;sdata=wc%2FHlznTWfC%2FhPxhc58KkEtLORRn7%2BfWnDi1mi9HOsg%3D&amp;reserved=0" TargetMode="External"/><Relationship Id="rId160" Type="http://schemas.openxmlformats.org/officeDocument/2006/relationships/hyperlink" Target="https://nam10.safelinks.protection.outlook.com/?url=https%3A%2F%2Fwww.youtube.com%2Fwatch%3Fv%3DIs2uwdNpX50&amp;data=02%7C01%7C%7C01872ddbc3d242e68f2508d7f5bff332%7C84df9e7fe9f640afb435aaaaaaaaaaaa%7C1%7C0%7C637248077072259543&amp;sdata=KC565p8zGqzcsovJieqSB7LXm3ch7%2BsQeiHh3ycviro%3D&amp;reserved=0" TargetMode="External"/><Relationship Id="rId159" Type="http://schemas.openxmlformats.org/officeDocument/2006/relationships/hyperlink" Target="https://drive.google.com/drive/folders/1Xru5oOJDAbPffqoosyzVQjUdV7ITxAVu" TargetMode="External"/><Relationship Id="rId154" Type="http://schemas.openxmlformats.org/officeDocument/2006/relationships/hyperlink" Target="https://nam10.safelinks.protection.outlook.com/?url=https%3A%2F%2Fwww.youtube.com%2Fwatch%3Fv%3DDUJwyzW4HNI&amp;data=02%7C01%7C%7C01872ddbc3d242e68f2508d7f5bff332%7C84df9e7fe9f640afb435aaaaaaaaaaaa%7C1%7C0%7C637248077072239557&amp;sdata=c%2F9p%2BXGgUL75IKTmWl4XfGFDVS1SzIe06%2FLt9XYkTa8%3D&amp;reserved=0" TargetMode="External"/><Relationship Id="rId153" Type="http://schemas.openxmlformats.org/officeDocument/2006/relationships/hyperlink" Target="https://www.instagram.com/p/B_xnmilJ13d/" TargetMode="External"/><Relationship Id="rId152" Type="http://schemas.openxmlformats.org/officeDocument/2006/relationships/hyperlink" Target="https://www.instagram.com/p/B_x12VRpf_c/" TargetMode="External"/><Relationship Id="rId151" Type="http://schemas.openxmlformats.org/officeDocument/2006/relationships/hyperlink" Target="https://www.youtube.com/watch?v=qzEqtt2f3-A" TargetMode="External"/><Relationship Id="rId158" Type="http://schemas.openxmlformats.org/officeDocument/2006/relationships/hyperlink" Target="https://nam10.safelinks.protection.outlook.com/?url=https%3A%2F%2Fwww.youtube.com%2Fwatch%3Fv%3D4Aa05KW4Q9g&amp;data=02%7C01%7C%7C01872ddbc3d242e68f2508d7f5bff332%7C84df9e7fe9f640afb435aaaaaaaaaaaa%7C1%7C0%7C637248077072259543&amp;sdata=02pDFTjw5FWU5X9Dwyh5%2BjIZr9haYIi5qgxbSOCbJnM%3D&amp;reserved=0" TargetMode="External"/><Relationship Id="rId157" Type="http://schemas.openxmlformats.org/officeDocument/2006/relationships/hyperlink" Target="https://nam10.safelinks.protection.outlook.com/?url=https%3A%2F%2Fwww.youtube.com%2Fwatch%3Fv%3DirHP3znqwq8&amp;data=02%7C01%7C%7C01872ddbc3d242e68f2508d7f5bff332%7C84df9e7fe9f640afb435aaaaaaaaaaaa%7C1%7C0%7C637248077072249555&amp;sdata=Jp%2FWRUEae%2FoAsJT4CwZ19zb59HrLQHDfK6oeFDMeC4Q%3D&amp;reserved=0" TargetMode="External"/><Relationship Id="rId156" Type="http://schemas.openxmlformats.org/officeDocument/2006/relationships/hyperlink" Target="https://nam10.safelinks.protection.outlook.com/?url=https%3A%2F%2Fwww.youtube.com%2Fwatch%3Fv%3DV4o0B6IDo50&amp;data=02%7C01%7C%7C01872ddbc3d242e68f2508d7f5bff332%7C84df9e7fe9f640afb435aaaaaaaaaaaa%7C1%7C0%7C637248077072249555&amp;sdata=2sxtu%2F%2FfbPEI%2FN43HzbKv%2FJNX3yJleymhAAJM%2Bb6%2BlU%3D&amp;reserved=0" TargetMode="External"/><Relationship Id="rId155" Type="http://schemas.openxmlformats.org/officeDocument/2006/relationships/hyperlink" Target="https://drive.google.com/drive/folders/1Xru5oOJDAbPffqoosyzVQjUdV7ITxAVu" TargetMode="External"/><Relationship Id="rId40" Type="http://schemas.openxmlformats.org/officeDocument/2006/relationships/hyperlink" Target="https://www.youtube.com/watch?v=li7E48NmPwA" TargetMode="External"/><Relationship Id="rId42" Type="http://schemas.openxmlformats.org/officeDocument/2006/relationships/hyperlink" Target="https://www.youtube.com/watch?v=AIKeln-xbfk" TargetMode="External"/><Relationship Id="rId41" Type="http://schemas.openxmlformats.org/officeDocument/2006/relationships/hyperlink" Target="https://www.youtube.com/watch?v=PsYo1hoAQvE" TargetMode="External"/><Relationship Id="rId44" Type="http://schemas.openxmlformats.org/officeDocument/2006/relationships/hyperlink" Target="https://www.youtube.com/watch?v=AO4In7d6X-c" TargetMode="External"/><Relationship Id="rId43" Type="http://schemas.openxmlformats.org/officeDocument/2006/relationships/hyperlink" Target="https://www.youtube.com/watch?v=8S36xS-jFSM" TargetMode="External"/><Relationship Id="rId46" Type="http://schemas.openxmlformats.org/officeDocument/2006/relationships/hyperlink" Target="https://www.youtube.com/watch?v=RbYGahuY45k" TargetMode="External"/><Relationship Id="rId45" Type="http://schemas.openxmlformats.org/officeDocument/2006/relationships/hyperlink" Target="https://drive.google.com/drive/folders/1nA_p0-fF5Gv-ZrGQcuwkPimcXpLMIpXS" TargetMode="External"/><Relationship Id="rId48" Type="http://schemas.openxmlformats.org/officeDocument/2006/relationships/hyperlink" Target="https://www.youtube.com/watch?v=hMtABzjslXA" TargetMode="External"/><Relationship Id="rId47" Type="http://schemas.openxmlformats.org/officeDocument/2006/relationships/hyperlink" Target="https://www.youtube.com/watch?v=xy_XrAxS3ro" TargetMode="External"/><Relationship Id="rId49" Type="http://schemas.openxmlformats.org/officeDocument/2006/relationships/hyperlink" Target="https://www.youtube.com/watch?v=_sBBaNYex3E" TargetMode="External"/><Relationship Id="rId31" Type="http://schemas.openxmlformats.org/officeDocument/2006/relationships/hyperlink" Target="https://www.youtube.com/watch?v=M9PAMJiuOao" TargetMode="External"/><Relationship Id="rId30" Type="http://schemas.openxmlformats.org/officeDocument/2006/relationships/hyperlink" Target="https://www.youtube.com/watch?v=r0pPKs9zdNY" TargetMode="External"/><Relationship Id="rId33" Type="http://schemas.openxmlformats.org/officeDocument/2006/relationships/hyperlink" Target="https://www.youtube.com/watch?v=SKMDrVeAhNg" TargetMode="External"/><Relationship Id="rId32" Type="http://schemas.openxmlformats.org/officeDocument/2006/relationships/hyperlink" Target="https://drive.google.com/drive/folders/1TGFXywM4C_3PYioHAB1WhbXES996SrB8" TargetMode="External"/><Relationship Id="rId35" Type="http://schemas.openxmlformats.org/officeDocument/2006/relationships/hyperlink" Target="https://www.youtube.com/watch?v=eF4Y1cy_Suw" TargetMode="External"/><Relationship Id="rId34" Type="http://schemas.openxmlformats.org/officeDocument/2006/relationships/hyperlink" Target="https://www.youtube.com/watch?v=zBOGapw8SCA" TargetMode="External"/><Relationship Id="rId37" Type="http://schemas.openxmlformats.org/officeDocument/2006/relationships/hyperlink" Target="https://www.youtube.com/watch?v=tOi5Y11MFT8" TargetMode="External"/><Relationship Id="rId36" Type="http://schemas.openxmlformats.org/officeDocument/2006/relationships/hyperlink" Target="https://www.youtube.com/watch?v=RCEdz_poAAM" TargetMode="External"/><Relationship Id="rId39" Type="http://schemas.openxmlformats.org/officeDocument/2006/relationships/hyperlink" Target="https://www.youtube.com/watch?v=w9eiTmNLvRk" TargetMode="External"/><Relationship Id="rId38" Type="http://schemas.openxmlformats.org/officeDocument/2006/relationships/hyperlink" Target="https://www.youtube.com/watch?v=RlfFeYp4zm0" TargetMode="External"/><Relationship Id="rId20" Type="http://schemas.openxmlformats.org/officeDocument/2006/relationships/hyperlink" Target="https://www.youtube.com/watch?v=s20uxPAQ-Jk&amp;amp=&amp;t=1s" TargetMode="External"/><Relationship Id="rId22" Type="http://schemas.openxmlformats.org/officeDocument/2006/relationships/hyperlink" Target="https://www.youtube.com/watch?v=adCIIAENck0&amp;t=432s" TargetMode="External"/><Relationship Id="rId21" Type="http://schemas.openxmlformats.org/officeDocument/2006/relationships/hyperlink" Target="https://www.youtube.com/watch?v=azanUYJQQaE" TargetMode="External"/><Relationship Id="rId24" Type="http://schemas.openxmlformats.org/officeDocument/2006/relationships/hyperlink" Target="https://www.youtube.com/watch?v=N5O5DESGekE" TargetMode="External"/><Relationship Id="rId23" Type="http://schemas.openxmlformats.org/officeDocument/2006/relationships/hyperlink" Target="https://www.youtube.com/watch?v=fkNb1dedlkw" TargetMode="External"/><Relationship Id="rId26" Type="http://schemas.openxmlformats.org/officeDocument/2006/relationships/hyperlink" Target="https://www.youtube.com/watch?v=fp3L7Sy9Sp0" TargetMode="External"/><Relationship Id="rId25" Type="http://schemas.openxmlformats.org/officeDocument/2006/relationships/hyperlink" Target="https://www.youtube.com/watch?v=V4H_37qbx1E" TargetMode="External"/><Relationship Id="rId28" Type="http://schemas.openxmlformats.org/officeDocument/2006/relationships/hyperlink" Target="https://www.youtube.com/watch?v=HwgvlzBb6II" TargetMode="External"/><Relationship Id="rId27" Type="http://schemas.openxmlformats.org/officeDocument/2006/relationships/hyperlink" Target="https://www.youtube.com/watch?v=jCd93ZWVXAE" TargetMode="External"/><Relationship Id="rId29" Type="http://schemas.openxmlformats.org/officeDocument/2006/relationships/hyperlink" Target="https://www.youtube.com/watch?v=dyuLfmT49XE" TargetMode="External"/><Relationship Id="rId11" Type="http://schemas.openxmlformats.org/officeDocument/2006/relationships/hyperlink" Target="https://www.youtube.com/watch?v=_rDoROcHbpI" TargetMode="External"/><Relationship Id="rId10" Type="http://schemas.openxmlformats.org/officeDocument/2006/relationships/hyperlink" Target="https://www.youtube.com/watch?v=BvIpWyWVTdE" TargetMode="External"/><Relationship Id="rId13" Type="http://schemas.openxmlformats.org/officeDocument/2006/relationships/hyperlink" Target="https://www.youtube.com/watch?v=D5Wj_JQ6NhY" TargetMode="External"/><Relationship Id="rId12" Type="http://schemas.openxmlformats.org/officeDocument/2006/relationships/hyperlink" Target="https://www.youtube.com/watch?v=bT47Is0czhA" TargetMode="External"/><Relationship Id="rId15" Type="http://schemas.openxmlformats.org/officeDocument/2006/relationships/hyperlink" Target="https://www.youtube.com/watch?v=Qj8P8yvvLNs" TargetMode="External"/><Relationship Id="rId14" Type="http://schemas.openxmlformats.org/officeDocument/2006/relationships/hyperlink" Target="https://www.youtube.com/watch?v=BLoPV26aimE" TargetMode="External"/><Relationship Id="rId17" Type="http://schemas.openxmlformats.org/officeDocument/2006/relationships/hyperlink" Target="https://drive.google.com/drive/folders/1_0Kl-P35DZGIbHBC83AwIPsOE2MJCRSV" TargetMode="External"/><Relationship Id="rId16" Type="http://schemas.openxmlformats.org/officeDocument/2006/relationships/hyperlink" Target="https://www.youtube.com/watch?v=6laUW5j_YZw" TargetMode="External"/><Relationship Id="rId19" Type="http://schemas.openxmlformats.org/officeDocument/2006/relationships/hyperlink" Target="https://www.cnbc.com/2018/06/22/game-of-thrones-nikolaj-coster-waldau-talks-about-his-humanitarian-work-including-lions-share-fund.html" TargetMode="External"/><Relationship Id="rId18" Type="http://schemas.openxmlformats.org/officeDocument/2006/relationships/hyperlink" Target="https://www.youtube.com/watch?v=-OtAu9190HE" TargetMode="External"/><Relationship Id="rId84" Type="http://schemas.openxmlformats.org/officeDocument/2006/relationships/hyperlink" Target="https://www.youtube.com/watch?v=J2tMMb4rh1c" TargetMode="External"/><Relationship Id="rId83" Type="http://schemas.openxmlformats.org/officeDocument/2006/relationships/hyperlink" Target="https://www.youtube.com/watch?v=Js04hvdVUA8" TargetMode="External"/><Relationship Id="rId86" Type="http://schemas.openxmlformats.org/officeDocument/2006/relationships/hyperlink" Target="https://www.youtube.com/watch?v=zu3wZ-_IKrM" TargetMode="External"/><Relationship Id="rId85" Type="http://schemas.openxmlformats.org/officeDocument/2006/relationships/hyperlink" Target="https://www.youtube.com/watch?v=bH1lHCirCGI" TargetMode="External"/><Relationship Id="rId88" Type="http://schemas.openxmlformats.org/officeDocument/2006/relationships/hyperlink" Target="https://www.youtube.com/watch?v=FR_VCGmKalM" TargetMode="External"/><Relationship Id="rId87" Type="http://schemas.openxmlformats.org/officeDocument/2006/relationships/hyperlink" Target="https://www.youtube.com/watch?v=ecfJGNauAwY" TargetMode="External"/><Relationship Id="rId89" Type="http://schemas.openxmlformats.org/officeDocument/2006/relationships/hyperlink" Target="https://www.youtube.com/watch?v=jwClyd2lHWo" TargetMode="External"/><Relationship Id="rId80" Type="http://schemas.openxmlformats.org/officeDocument/2006/relationships/hyperlink" Target="https://www.videezy.com/technology/5903-free-4k-scrolling-on-social-media-stock-video" TargetMode="External"/><Relationship Id="rId82" Type="http://schemas.openxmlformats.org/officeDocument/2006/relationships/hyperlink" Target="https://www.youtube.com/watch?v=kE7D7qFayVg" TargetMode="External"/><Relationship Id="rId81" Type="http://schemas.openxmlformats.org/officeDocument/2006/relationships/hyperlink" Target="https://www.youtube.com/watch?v=o7W7OvETO40" TargetMode="External"/><Relationship Id="rId73" Type="http://schemas.openxmlformats.org/officeDocument/2006/relationships/hyperlink" Target="https://www.youtube.com/watch?v=cUNX3azkZyk" TargetMode="External"/><Relationship Id="rId72" Type="http://schemas.openxmlformats.org/officeDocument/2006/relationships/hyperlink" Target="https://www.youtube.com/watch?v=hh-BuTqy7bQ" TargetMode="External"/><Relationship Id="rId75" Type="http://schemas.openxmlformats.org/officeDocument/2006/relationships/hyperlink" Target="https://pixabay.com/videos/seoul-traffic-cars-city-speed-21118/" TargetMode="External"/><Relationship Id="rId74" Type="http://schemas.openxmlformats.org/officeDocument/2006/relationships/hyperlink" Target="https://www.facebook.com/cheddar/videos/2009446092709452" TargetMode="External"/><Relationship Id="rId77" Type="http://schemas.openxmlformats.org/officeDocument/2006/relationships/hyperlink" Target="https://www.youtube.com/watch?v=Tbds365RQvE" TargetMode="External"/><Relationship Id="rId76" Type="http://schemas.openxmlformats.org/officeDocument/2006/relationships/hyperlink" Target="https://pixabay.com/videos/social-media-smart-phone-mobile-1360/" TargetMode="External"/><Relationship Id="rId79" Type="http://schemas.openxmlformats.org/officeDocument/2006/relationships/hyperlink" Target="https://www.videezy.com/technology/249-free-facebook-url-address-stock-video-in-hd" TargetMode="External"/><Relationship Id="rId78" Type="http://schemas.openxmlformats.org/officeDocument/2006/relationships/hyperlink" Target="https://pixabay.com/videos/finance-numbers-calculate-maths-5438/" TargetMode="External"/><Relationship Id="rId71" Type="http://schemas.openxmlformats.org/officeDocument/2006/relationships/hyperlink" Target="https://www.youtube.com/watch?v=zKk9to7Zcdg" TargetMode="External"/><Relationship Id="rId70" Type="http://schemas.openxmlformats.org/officeDocument/2006/relationships/hyperlink" Target="https://www.youtube.com/watch?v=-F-cHLMkrXM" TargetMode="External"/><Relationship Id="rId62" Type="http://schemas.openxmlformats.org/officeDocument/2006/relationships/hyperlink" Target="https://www.youtube.com/watch?v=zg4LOcvdawI" TargetMode="External"/><Relationship Id="rId61" Type="http://schemas.openxmlformats.org/officeDocument/2006/relationships/hyperlink" Target="https://www.youtube.com/watch?v=3hqRsIix5CQ" TargetMode="External"/><Relationship Id="rId64" Type="http://schemas.openxmlformats.org/officeDocument/2006/relationships/hyperlink" Target="https://www.youtube.com/watch?v=RzkZ_YElryQ" TargetMode="External"/><Relationship Id="rId63" Type="http://schemas.openxmlformats.org/officeDocument/2006/relationships/hyperlink" Target="https://www.youtube.com/watch?v=RR2EI8EEOOw" TargetMode="External"/><Relationship Id="rId66" Type="http://schemas.openxmlformats.org/officeDocument/2006/relationships/hyperlink" Target="https://www.youtube.com/watch?v=zjvy9fFQsEw" TargetMode="External"/><Relationship Id="rId65" Type="http://schemas.openxmlformats.org/officeDocument/2006/relationships/hyperlink" Target="https://www.youtube.com/watch?v=mrnXv-g4yKU" TargetMode="External"/><Relationship Id="rId68" Type="http://schemas.openxmlformats.org/officeDocument/2006/relationships/hyperlink" Target="https://drive.google.com/drive/folders/1iJxA3bZ6MRSO2HZp1Ist_CDhi6bkvMWK" TargetMode="External"/><Relationship Id="rId67" Type="http://schemas.openxmlformats.org/officeDocument/2006/relationships/hyperlink" Target="https://www.youtube.com/watch?v=MyKWGeoK-E0" TargetMode="External"/><Relationship Id="rId60" Type="http://schemas.openxmlformats.org/officeDocument/2006/relationships/hyperlink" Target="https://www.youtube.com/watch?v=CjBoK8f47EI" TargetMode="External"/><Relationship Id="rId69" Type="http://schemas.openxmlformats.org/officeDocument/2006/relationships/hyperlink" Target="https://www.youtube.com/watch?v=DkY9p09XwuE" TargetMode="External"/><Relationship Id="rId51" Type="http://schemas.openxmlformats.org/officeDocument/2006/relationships/hyperlink" Target="https://www.youtube.com/watch?v=tAhxi8WldCU" TargetMode="External"/><Relationship Id="rId50" Type="http://schemas.openxmlformats.org/officeDocument/2006/relationships/hyperlink" Target="https://www.youtube.com/watch?v=wlkCQXHEgjA" TargetMode="External"/><Relationship Id="rId53" Type="http://schemas.openxmlformats.org/officeDocument/2006/relationships/hyperlink" Target="https://www.youtube.com/watch?v=wE3fmFTtP9g" TargetMode="External"/><Relationship Id="rId52" Type="http://schemas.openxmlformats.org/officeDocument/2006/relationships/hyperlink" Target="https://www.youtube.com/watch?v=fUyU3lKzoio" TargetMode="External"/><Relationship Id="rId55" Type="http://schemas.openxmlformats.org/officeDocument/2006/relationships/hyperlink" Target="https://www.youtube.com/watch?v=OnWolLQSZic" TargetMode="External"/><Relationship Id="rId54" Type="http://schemas.openxmlformats.org/officeDocument/2006/relationships/hyperlink" Target="https://www.youtube.com/watch?v=LikxFZZO2sk" TargetMode="External"/><Relationship Id="rId57" Type="http://schemas.openxmlformats.org/officeDocument/2006/relationships/hyperlink" Target="https://www.youtube.com/watch?v=lB95KLmpLR4" TargetMode="External"/><Relationship Id="rId56" Type="http://schemas.openxmlformats.org/officeDocument/2006/relationships/hyperlink" Target="https://www.youtube.com/watch?v=WkIOaS3HFQo" TargetMode="External"/><Relationship Id="rId59" Type="http://schemas.openxmlformats.org/officeDocument/2006/relationships/hyperlink" Target="https://www.youtube.com/watch?v=kqUR3KtWbTk" TargetMode="External"/><Relationship Id="rId58" Type="http://schemas.openxmlformats.org/officeDocument/2006/relationships/hyperlink" Target="https://drive.google.com/drive/folders/1PxhHutyrhx-ZunpHMhffKAWe8_GnMn4L" TargetMode="External"/><Relationship Id="rId107" Type="http://schemas.openxmlformats.org/officeDocument/2006/relationships/hyperlink" Target="https://drive.google.com/drive/u/2/folders/1ttW8a-1O40iPdiwc5lzDNpUCPxb5510r" TargetMode="External"/><Relationship Id="rId228" Type="http://schemas.openxmlformats.org/officeDocument/2006/relationships/hyperlink" Target="https://www.youtube.com/watch?v=yEBCV0ic6Tc" TargetMode="External"/><Relationship Id="rId106" Type="http://schemas.openxmlformats.org/officeDocument/2006/relationships/hyperlink" Target="https://www.youtube.com/watch?v=DTgbljjd2bA" TargetMode="External"/><Relationship Id="rId227" Type="http://schemas.openxmlformats.org/officeDocument/2006/relationships/hyperlink" Target="https://www.youtube.com/watch?v=MnrJzXM7a6o" TargetMode="External"/><Relationship Id="rId105" Type="http://schemas.openxmlformats.org/officeDocument/2006/relationships/hyperlink" Target="https://www.youtube.com/watch?v=qv5iv5yzyLk" TargetMode="External"/><Relationship Id="rId226" Type="http://schemas.openxmlformats.org/officeDocument/2006/relationships/hyperlink" Target="https://www.youtube.com/watch?v=XL6zNexyt8o" TargetMode="External"/><Relationship Id="rId104" Type="http://schemas.openxmlformats.org/officeDocument/2006/relationships/hyperlink" Target="https://www.youtube.com/watch?v=9XrE41Wu3U0" TargetMode="External"/><Relationship Id="rId225" Type="http://schemas.openxmlformats.org/officeDocument/2006/relationships/hyperlink" Target="https://www.youtube.com/watch?v=zZ__0kbaVzc" TargetMode="External"/><Relationship Id="rId109" Type="http://schemas.openxmlformats.org/officeDocument/2006/relationships/hyperlink" Target="https://www.youtube.com/watch?v=wzVoToSe9A0" TargetMode="External"/><Relationship Id="rId108" Type="http://schemas.openxmlformats.org/officeDocument/2006/relationships/hyperlink" Target="https://www.youtube.com/watch?v=h_7cAmC4nTw" TargetMode="External"/><Relationship Id="rId229" Type="http://schemas.openxmlformats.org/officeDocument/2006/relationships/hyperlink" Target="https://www.youtube.com/watch?v=4ezOfTp7S0c" TargetMode="External"/><Relationship Id="rId220" Type="http://schemas.openxmlformats.org/officeDocument/2006/relationships/hyperlink" Target="https://eur04.safelinks.protection.outlook.com/?url=https%3A%2F%2Fwww.youtube.com%2Fwatch%3Fv%3DuJboXgDoE1Y&amp;data=02%7C01%7C%7C846c57390c6b4dcc225a08d7f67c7884%7C84df9e7fe9f640afb435aaaaaaaaaaaa%7C1%7C0%7C637248886759808756&amp;sdata=axUZNi%2FSGnuxeMtc6l3rNQ9EZv9ZfAewTswKwiAY1gU%3D&amp;reserved=0" TargetMode="External"/><Relationship Id="rId103" Type="http://schemas.openxmlformats.org/officeDocument/2006/relationships/hyperlink" Target="https://www.youtube.com/watch?v=_UNKr7ot5J8" TargetMode="External"/><Relationship Id="rId224" Type="http://schemas.openxmlformats.org/officeDocument/2006/relationships/hyperlink" Target="https://www.youtube.com/watch?v=mVudFaYSjq0" TargetMode="External"/><Relationship Id="rId102" Type="http://schemas.openxmlformats.org/officeDocument/2006/relationships/hyperlink" Target="https://www.youtube.com/watch?v=rqk_8-CB5m0" TargetMode="External"/><Relationship Id="rId223" Type="http://schemas.openxmlformats.org/officeDocument/2006/relationships/hyperlink" Target="https://www.youtube.com/watch?v=tgrkMYFtR6s" TargetMode="External"/><Relationship Id="rId101" Type="http://schemas.openxmlformats.org/officeDocument/2006/relationships/hyperlink" Target="https://www.youtube.com/watch?v=_69sOxWU0jo" TargetMode="External"/><Relationship Id="rId222" Type="http://schemas.openxmlformats.org/officeDocument/2006/relationships/hyperlink" Target="https://www.youtube.com/watch?v=lTev1oQntx0" TargetMode="External"/><Relationship Id="rId100" Type="http://schemas.openxmlformats.org/officeDocument/2006/relationships/hyperlink" Target="https://www.youtube.com/watch?v=78jLBNSqc3g" TargetMode="External"/><Relationship Id="rId221" Type="http://schemas.openxmlformats.org/officeDocument/2006/relationships/hyperlink" Target="https://www.youtube.com/watch?v=VtvjbmoDx-I" TargetMode="External"/><Relationship Id="rId217" Type="http://schemas.openxmlformats.org/officeDocument/2006/relationships/hyperlink" Target="https://eur04.safelinks.protection.outlook.com/?url=https%3A%2F%2Fwww.youtube.com%2Fwatch%3Fv%3DQOczdBlT2v4&amp;data=02%7C01%7C%7C846c57390c6b4dcc225a08d7f67c7884%7C84df9e7fe9f640afb435aaaaaaaaaaaa%7C1%7C0%7C637248886759798755&amp;sdata=DlZahVUpSNn%2FIL6MAN0IWexLtAkiZBrnCkZuHwrVCPk%3D&amp;reserved=0" TargetMode="External"/><Relationship Id="rId216" Type="http://schemas.openxmlformats.org/officeDocument/2006/relationships/hyperlink" Target="https://eur04.safelinks.protection.outlook.com/?url=https%3A%2F%2Fwww.youtube.com%2Fwatch%3Fv%3DMsGgZp_PAzM&amp;data=02%7C01%7C%7C846c57390c6b4dcc225a08d7f67c7884%7C84df9e7fe9f640afb435aaaaaaaaaaaa%7C1%7C0%7C637248886759788759&amp;sdata=%2FoAqDqVAZxmNLaqjZJTuE2MkWMzCpgMkM9TVtb42vw0%3D&amp;reserved=0" TargetMode="External"/><Relationship Id="rId215" Type="http://schemas.openxmlformats.org/officeDocument/2006/relationships/hyperlink" Target="https://eur04.safelinks.protection.outlook.com/?url=https%3A%2F%2Fwww.youtube.com%2Fwatch%3Fv%3DSTtAsDCKEck&amp;data=02%7C01%7C%7C846c57390c6b4dcc225a08d7f67c7884%7C84df9e7fe9f640afb435aaaaaaaaaaaa%7C1%7C0%7C637248886759778765&amp;sdata=6D0B1Jg3lIXihBJbM3iI05vv3IGNvEOVPKR9ZE3qtGA%3D&amp;reserved=0" TargetMode="External"/><Relationship Id="rId214" Type="http://schemas.openxmlformats.org/officeDocument/2006/relationships/hyperlink" Target="https://eur04.safelinks.protection.outlook.com/?url=https%3A%2F%2Fwww.youtube.com%2Fwatch%3Fv%3D0RwsnsZHVbA&amp;data=02%7C01%7C%7C846c57390c6b4dcc225a08d7f67c7884%7C84df9e7fe9f640afb435aaaaaaaaaaaa%7C1%7C0%7C637248886759778765&amp;sdata=R%2BO50mUaoMTVpYJUW6O4IFQ0HufklgKV4uaQhwiixWU%3D&amp;reserved=0" TargetMode="External"/><Relationship Id="rId219" Type="http://schemas.openxmlformats.org/officeDocument/2006/relationships/hyperlink" Target="https://eur04.safelinks.protection.outlook.com/?url=https%3A%2F%2Fwww.youtube.com%2Fwatch%3Fv%3DfTgU7THoKCw&amp;data=02%7C01%7C%7C846c57390c6b4dcc225a08d7f67c7884%7C84df9e7fe9f640afb435aaaaaaaaaaaa%7C1%7C0%7C637248886759798755&amp;sdata=sSxAMk3ASo%2Fg5hqEBa%2Fa8AoqItNOlV8IeyLHw2uA1lo%3D&amp;reserved=0" TargetMode="External"/><Relationship Id="rId218" Type="http://schemas.openxmlformats.org/officeDocument/2006/relationships/hyperlink" Target="https://drive.google.com/open?id=1-KJQDOeR53ongv49AtREb-StSMo5x3R6" TargetMode="External"/><Relationship Id="rId213" Type="http://schemas.openxmlformats.org/officeDocument/2006/relationships/hyperlink" Target="https://nam12.safelinks.protection.outlook.com/?url=https%3A%2F%2Fwww.youtube.com%2Fwatch%3Fv%3DP9RYsyeri7A&amp;data=02%7C01%7C%7Cf1133bcafbda47ec32b508d7fd65c426%7C84df9e7fe9f640afb435aaaaaaaaaaaa%7C1%7C0%7C637256485825589633&amp;sdata=qFj0oU1Tcv1uJlZPM%2FA8S3ScJYPG7j0K%2BPEhVcfYoEs%3D&amp;reserved=0" TargetMode="External"/><Relationship Id="rId212" Type="http://schemas.openxmlformats.org/officeDocument/2006/relationships/hyperlink" Target="https://www.youtube.com/watch?v=YrJ192FahEg&amp;t=133s" TargetMode="External"/><Relationship Id="rId211" Type="http://schemas.openxmlformats.org/officeDocument/2006/relationships/hyperlink" Target="https://www.youtube.com/watch?v=SAK0Xm_F8Mk" TargetMode="External"/><Relationship Id="rId210" Type="http://schemas.openxmlformats.org/officeDocument/2006/relationships/hyperlink" Target="https://www.youtube.com/watch?v=rmd9OaI1L0I" TargetMode="External"/><Relationship Id="rId129" Type="http://schemas.openxmlformats.org/officeDocument/2006/relationships/hyperlink" Target="https://www.youtube.com/watch?v=OhxoVNKXlSw" TargetMode="External"/><Relationship Id="rId128" Type="http://schemas.openxmlformats.org/officeDocument/2006/relationships/hyperlink" Target="https://www.youtube.com/watch?v=Huju5McKgIU" TargetMode="External"/><Relationship Id="rId249" Type="http://schemas.openxmlformats.org/officeDocument/2006/relationships/hyperlink" Target="https://www.youtube.com/watch?v=5JsidV4OvTM" TargetMode="External"/><Relationship Id="rId127" Type="http://schemas.openxmlformats.org/officeDocument/2006/relationships/hyperlink" Target="https://www.youtube.com/watch?v=h8Ql0tXWlu8" TargetMode="External"/><Relationship Id="rId248" Type="http://schemas.openxmlformats.org/officeDocument/2006/relationships/hyperlink" Target="https://www.youtube.com/watch?v=gbbEXnRG9d8" TargetMode="External"/><Relationship Id="rId126" Type="http://schemas.openxmlformats.org/officeDocument/2006/relationships/hyperlink" Target="https://www.youtube.com/watch?v=_VPi_PIVs5U" TargetMode="External"/><Relationship Id="rId247" Type="http://schemas.openxmlformats.org/officeDocument/2006/relationships/hyperlink" Target="https://www.youtube.com/watch?v=WyXzz6PQh-c" TargetMode="External"/><Relationship Id="rId121" Type="http://schemas.openxmlformats.org/officeDocument/2006/relationships/hyperlink" Target="https://www.youtube.com/watch?v=eqFqtAJMtYE" TargetMode="External"/><Relationship Id="rId242" Type="http://schemas.openxmlformats.org/officeDocument/2006/relationships/hyperlink" Target="https://www.youtube.com/watch?v=Uppg_2nGo54" TargetMode="External"/><Relationship Id="rId120" Type="http://schemas.openxmlformats.org/officeDocument/2006/relationships/hyperlink" Target="https://www.youtube.com/watch?v=3mf58BsFvzI" TargetMode="External"/><Relationship Id="rId241" Type="http://schemas.openxmlformats.org/officeDocument/2006/relationships/hyperlink" Target="https://www.youtube.com/watch?v=pPj-TT8K5vA" TargetMode="External"/><Relationship Id="rId240" Type="http://schemas.openxmlformats.org/officeDocument/2006/relationships/hyperlink" Target="https://www.youtube.com/watch?v=3pBHG366EhM" TargetMode="External"/><Relationship Id="rId125" Type="http://schemas.openxmlformats.org/officeDocument/2006/relationships/hyperlink" Target="https://www.youtube.com/watch?v=s3kqRU9XVZY&amp;t=67s" TargetMode="External"/><Relationship Id="rId246" Type="http://schemas.openxmlformats.org/officeDocument/2006/relationships/hyperlink" Target="https://www.youtube.com/watch?v=SCrkZOx5Q1M" TargetMode="External"/><Relationship Id="rId124" Type="http://schemas.openxmlformats.org/officeDocument/2006/relationships/hyperlink" Target="https://drive.google.com/drive/u/2/folders/1_aU8Vfq5Tu6JtUrlT95rC2oxdT8RZO1I" TargetMode="External"/><Relationship Id="rId245" Type="http://schemas.openxmlformats.org/officeDocument/2006/relationships/hyperlink" Target="https://www.youtube.com/watch?v=jAlDMYyWPis" TargetMode="External"/><Relationship Id="rId123" Type="http://schemas.openxmlformats.org/officeDocument/2006/relationships/hyperlink" Target="https://www.youtube.com/watch?v=m5yFhJFqw5w" TargetMode="External"/><Relationship Id="rId244" Type="http://schemas.openxmlformats.org/officeDocument/2006/relationships/hyperlink" Target="https://www.youtube.com/watch?v=sAt4DKjig6k" TargetMode="External"/><Relationship Id="rId122" Type="http://schemas.openxmlformats.org/officeDocument/2006/relationships/hyperlink" Target="https://pixabay.com/videos/glitch-code-programming-hacker-27706/" TargetMode="External"/><Relationship Id="rId243" Type="http://schemas.openxmlformats.org/officeDocument/2006/relationships/hyperlink" Target="https://www.youtube.com/watch?v=HSqxlbf3Z7M&amp;list=RDXMZcjdK4Vuk&amp;start_radio=1" TargetMode="External"/><Relationship Id="rId95" Type="http://schemas.openxmlformats.org/officeDocument/2006/relationships/hyperlink" Target="https://drive.google.com/open?id=1w83zIEDcfr7buZH-ReUWRG9nT_jFg0N9" TargetMode="External"/><Relationship Id="rId94" Type="http://schemas.openxmlformats.org/officeDocument/2006/relationships/hyperlink" Target="https://www.youtube.com/watch?v=xpIs8Y9vgSs" TargetMode="External"/><Relationship Id="rId97" Type="http://schemas.openxmlformats.org/officeDocument/2006/relationships/hyperlink" Target="https://www.youtube.com/watch?v=BcNePdXT5Xo" TargetMode="External"/><Relationship Id="rId96" Type="http://schemas.openxmlformats.org/officeDocument/2006/relationships/hyperlink" Target="https://www.youtube.com/watch?v=fP05z9volqM" TargetMode="External"/><Relationship Id="rId99" Type="http://schemas.openxmlformats.org/officeDocument/2006/relationships/hyperlink" Target="https://www.youtube.com/watch?v=Rrbj2lHf70M" TargetMode="External"/><Relationship Id="rId98" Type="http://schemas.openxmlformats.org/officeDocument/2006/relationships/hyperlink" Target="https://www.youtube.com/watch?v=6syVFkqkO38" TargetMode="External"/><Relationship Id="rId91" Type="http://schemas.openxmlformats.org/officeDocument/2006/relationships/hyperlink" Target="https://artgrid.io/clip/81034/lights-going-on-and-off-in-an-apartment-building-timelapse" TargetMode="External"/><Relationship Id="rId90" Type="http://schemas.openxmlformats.org/officeDocument/2006/relationships/hyperlink" Target="https://www.youtube.com/watch?v=sYc7mRdFbSk" TargetMode="External"/><Relationship Id="rId93" Type="http://schemas.openxmlformats.org/officeDocument/2006/relationships/hyperlink" Target="https://www.youtube.com/watch?v=sYc7mRdFbSk" TargetMode="External"/><Relationship Id="rId92" Type="http://schemas.openxmlformats.org/officeDocument/2006/relationships/hyperlink" Target="https://www.youtube.com/watch?v=sYc7mRdFbSk" TargetMode="External"/><Relationship Id="rId118" Type="http://schemas.openxmlformats.org/officeDocument/2006/relationships/hyperlink" Target="https://www.youtube.com/watch?v=o3IQ1JrXnV8" TargetMode="External"/><Relationship Id="rId239" Type="http://schemas.openxmlformats.org/officeDocument/2006/relationships/hyperlink" Target="https://www.youtube.com/watch?v=LgF3xh76Hcg" TargetMode="External"/><Relationship Id="rId117" Type="http://schemas.openxmlformats.org/officeDocument/2006/relationships/hyperlink" Target="https://www.youtube.com/watch?v=Nr5WmsXJAm0" TargetMode="External"/><Relationship Id="rId238" Type="http://schemas.openxmlformats.org/officeDocument/2006/relationships/hyperlink" Target="https://www.youtube.com/watch?v=1qpcdywb6Hw" TargetMode="External"/><Relationship Id="rId116" Type="http://schemas.openxmlformats.org/officeDocument/2006/relationships/hyperlink" Target="https://www.youtube.com/watch?v=k-jGs5kyuXo" TargetMode="External"/><Relationship Id="rId237" Type="http://schemas.openxmlformats.org/officeDocument/2006/relationships/hyperlink" Target="https://www.youtube.com/watch?v=jottDMuLesU" TargetMode="External"/><Relationship Id="rId115" Type="http://schemas.openxmlformats.org/officeDocument/2006/relationships/hyperlink" Target="https://www.youtube.com/watch?v=7OaXU_xFkhw" TargetMode="External"/><Relationship Id="rId236" Type="http://schemas.openxmlformats.org/officeDocument/2006/relationships/hyperlink" Target="https://www.youtube.com/watch?v=lx8VLL6HYuU" TargetMode="External"/><Relationship Id="rId119" Type="http://schemas.openxmlformats.org/officeDocument/2006/relationships/hyperlink" Target="https://www.youtube.com/watch?v=hMk7wnybXLM" TargetMode="External"/><Relationship Id="rId110" Type="http://schemas.openxmlformats.org/officeDocument/2006/relationships/hyperlink" Target="https://www.youtube.com/watch?v=sHYY9RVRJF0" TargetMode="External"/><Relationship Id="rId231" Type="http://schemas.openxmlformats.org/officeDocument/2006/relationships/hyperlink" Target="https://www.youtube.com/watch?v=X7NDMCuBfsc" TargetMode="External"/><Relationship Id="rId230" Type="http://schemas.openxmlformats.org/officeDocument/2006/relationships/hyperlink" Target="https://www.youtube.com/watch?v=wYX-N5zrBb4" TargetMode="External"/><Relationship Id="rId114" Type="http://schemas.openxmlformats.org/officeDocument/2006/relationships/hyperlink" Target="https://www.youtube.com/watch?v=jyxS2bvQGxc" TargetMode="External"/><Relationship Id="rId235" Type="http://schemas.openxmlformats.org/officeDocument/2006/relationships/hyperlink" Target="https://www.youtube.com/watch?v=JNuaQrTubeI" TargetMode="External"/><Relationship Id="rId113" Type="http://schemas.openxmlformats.org/officeDocument/2006/relationships/hyperlink" Target="https://www.youtube.com/watch?v=EMnHIHx_oqs" TargetMode="External"/><Relationship Id="rId234" Type="http://schemas.openxmlformats.org/officeDocument/2006/relationships/hyperlink" Target="https://www.youtube.com/watch?v=CeyJAL1iOuw" TargetMode="External"/><Relationship Id="rId112" Type="http://schemas.openxmlformats.org/officeDocument/2006/relationships/hyperlink" Target="https://www.youtube.com/watch?v=cW4L7EaR0a4" TargetMode="External"/><Relationship Id="rId233" Type="http://schemas.openxmlformats.org/officeDocument/2006/relationships/hyperlink" Target="https://drive.google.com/open?id=1SfnQp6RW9PrphBnx3urjuFwUpKMO02Z1" TargetMode="External"/><Relationship Id="rId111" Type="http://schemas.openxmlformats.org/officeDocument/2006/relationships/hyperlink" Target="https://www.youtube.com/watch?v=NVFcbo6h_vE" TargetMode="External"/><Relationship Id="rId232" Type="http://schemas.openxmlformats.org/officeDocument/2006/relationships/hyperlink" Target="https://www.youtube.com/watch?v=qs2BRSWzrJE" TargetMode="External"/><Relationship Id="rId206" Type="http://schemas.openxmlformats.org/officeDocument/2006/relationships/hyperlink" Target="https://www.youtube.com/watch?v=pCtgMNnsD10" TargetMode="External"/><Relationship Id="rId205" Type="http://schemas.openxmlformats.org/officeDocument/2006/relationships/hyperlink" Target="https://www.youtube.com/watch?v=M__ayZgBUTE" TargetMode="External"/><Relationship Id="rId204" Type="http://schemas.openxmlformats.org/officeDocument/2006/relationships/hyperlink" Target="https://www.youtube.com/watch?v=PACo1W9A99g" TargetMode="External"/><Relationship Id="rId203" Type="http://schemas.openxmlformats.org/officeDocument/2006/relationships/hyperlink" Target="https://drive.google.com/drive/folders/1l5_szMUkUdhIv6NaIjg1rfR_tTuZFxrr" TargetMode="External"/><Relationship Id="rId209" Type="http://schemas.openxmlformats.org/officeDocument/2006/relationships/hyperlink" Target="https://www.youtube.com/watch?v=SAK0Xm_F8Mk" TargetMode="External"/><Relationship Id="rId208" Type="http://schemas.openxmlformats.org/officeDocument/2006/relationships/hyperlink" Target="https://youtu.be/iR7MZRv3aKw" TargetMode="External"/><Relationship Id="rId207" Type="http://schemas.openxmlformats.org/officeDocument/2006/relationships/hyperlink" Target="https://youtu.be/62hVw6mGl-8" TargetMode="External"/><Relationship Id="rId202" Type="http://schemas.openxmlformats.org/officeDocument/2006/relationships/hyperlink" Target="https://www.youtube.com/watch?v=yRe7rCtKMzw" TargetMode="External"/><Relationship Id="rId201" Type="http://schemas.openxmlformats.org/officeDocument/2006/relationships/hyperlink" Target="https://www.youtube.com/watch?v=BeOvKjWgIvg&amp;list=PLIx2W_gDlNxcETSQKknUZXJi_ZU9fCF7r&amp;index=6&amp;t=0s" TargetMode="External"/><Relationship Id="rId200" Type="http://schemas.openxmlformats.org/officeDocument/2006/relationships/hyperlink" Target="https://www.youtube.com/watch?v=3ahvWdORJ20&amp;list=PLIx2W_gDlNxcETSQKknUZXJi_ZU9fCF7r&amp;index=19&amp;t=0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drive.google.com/drive/folders/1PxhHutyrhx-ZunpHMhffKAWe8_GnMn4L" TargetMode="External"/><Relationship Id="rId2" Type="http://schemas.openxmlformats.org/officeDocument/2006/relationships/hyperlink" Target="https://www.youtube.com/watch?v=mpbeOCKZFfQ" TargetMode="External"/><Relationship Id="rId3" Type="http://schemas.openxmlformats.org/officeDocument/2006/relationships/hyperlink" Target="https://www.youtube.com/watch?v=zb6-xz-geH4" TargetMode="External"/><Relationship Id="rId4" Type="http://schemas.openxmlformats.org/officeDocument/2006/relationships/hyperlink" Target="https://vimeo.com/261098685" TargetMode="External"/><Relationship Id="rId9" Type="http://schemas.openxmlformats.org/officeDocument/2006/relationships/hyperlink" Target="https://www.youtube.com/watch?v=7Jjc_7BWq84" TargetMode="External"/><Relationship Id="rId5" Type="http://schemas.openxmlformats.org/officeDocument/2006/relationships/hyperlink" Target="https://www.youtube.com/watch?v=mpbeOCKZFfQ" TargetMode="External"/><Relationship Id="rId6" Type="http://schemas.openxmlformats.org/officeDocument/2006/relationships/hyperlink" Target="https://vimeo.com/261098685" TargetMode="External"/><Relationship Id="rId7" Type="http://schemas.openxmlformats.org/officeDocument/2006/relationships/hyperlink" Target="https://www.youtube.com/watch?v=mpbeOCKZFfQ" TargetMode="External"/><Relationship Id="rId8" Type="http://schemas.openxmlformats.org/officeDocument/2006/relationships/hyperlink" Target="https://www.youtube.com/watch?v=7Jjc_7BWq84" TargetMode="External"/><Relationship Id="rId40" Type="http://schemas.openxmlformats.org/officeDocument/2006/relationships/hyperlink" Target="https://www.youtube.com/watch?v=gK6Z5X7D3Fo" TargetMode="External"/><Relationship Id="rId42" Type="http://schemas.openxmlformats.org/officeDocument/2006/relationships/hyperlink" Target="https://www.youtube.com/watch?v=nbj5KHypsLE" TargetMode="External"/><Relationship Id="rId41" Type="http://schemas.openxmlformats.org/officeDocument/2006/relationships/hyperlink" Target="https://www.youtube.com/watch?v=zTP_ZORVIa4" TargetMode="External"/><Relationship Id="rId44" Type="http://schemas.openxmlformats.org/officeDocument/2006/relationships/hyperlink" Target="https://www.youtube.com/watch?v=zTP_ZORVIa4&amp;t=637s" TargetMode="External"/><Relationship Id="rId43" Type="http://schemas.openxmlformats.org/officeDocument/2006/relationships/hyperlink" Target="https://www.youtube.com/watch?v=ZsHGDVC6Jw4" TargetMode="External"/><Relationship Id="rId46" Type="http://schemas.openxmlformats.org/officeDocument/2006/relationships/hyperlink" Target="https://www.youtube.com/watch?v=iX8GxLP1FHo" TargetMode="External"/><Relationship Id="rId45" Type="http://schemas.openxmlformats.org/officeDocument/2006/relationships/hyperlink" Target="https://www.youtube.com/watch?v=krY8DW3V2NU" TargetMode="External"/><Relationship Id="rId48" Type="http://schemas.openxmlformats.org/officeDocument/2006/relationships/hyperlink" Target="https://www.youtube.com/watch?v=D6FvWxaus0M" TargetMode="External"/><Relationship Id="rId47" Type="http://schemas.openxmlformats.org/officeDocument/2006/relationships/hyperlink" Target="https://twitter.com/CBSNews/status/1187063907376140289" TargetMode="External"/><Relationship Id="rId49" Type="http://schemas.openxmlformats.org/officeDocument/2006/relationships/hyperlink" Target="https://www.youtube.com/watch?v=5AjUUXnU03M" TargetMode="External"/><Relationship Id="rId31" Type="http://schemas.openxmlformats.org/officeDocument/2006/relationships/hyperlink" Target="https://www.youtube.com/watch?v=zTP_ZORVIa4" TargetMode="External"/><Relationship Id="rId30" Type="http://schemas.openxmlformats.org/officeDocument/2006/relationships/hyperlink" Target="https://www.youtube.com/watch?v=TgQEA1vQx8Y" TargetMode="External"/><Relationship Id="rId33" Type="http://schemas.openxmlformats.org/officeDocument/2006/relationships/hyperlink" Target="https://www.youtube.com/watch?v=zTP_ZORVIa4&amp;t=637s" TargetMode="External"/><Relationship Id="rId32" Type="http://schemas.openxmlformats.org/officeDocument/2006/relationships/hyperlink" Target="https://www.youtube.com/watch?v=fYguMITGsb0" TargetMode="External"/><Relationship Id="rId35" Type="http://schemas.openxmlformats.org/officeDocument/2006/relationships/hyperlink" Target="https://www.youtube.com/watch?v=b0R7Y-mzsR4" TargetMode="External"/><Relationship Id="rId34" Type="http://schemas.openxmlformats.org/officeDocument/2006/relationships/hyperlink" Target="https://drive.google.com/drive/folders/1PxhHutyrhx-ZunpHMhffKAWe8_GnMn4L" TargetMode="External"/><Relationship Id="rId37" Type="http://schemas.openxmlformats.org/officeDocument/2006/relationships/hyperlink" Target="https://www.youtube.com/watch?v=_4sLMwdpF9U" TargetMode="External"/><Relationship Id="rId36" Type="http://schemas.openxmlformats.org/officeDocument/2006/relationships/hyperlink" Target="https://www.youtube.com/watch?v=EYt8vHzLyz8" TargetMode="External"/><Relationship Id="rId39" Type="http://schemas.openxmlformats.org/officeDocument/2006/relationships/hyperlink" Target="https://www.youtube.com/watch?v=LIgmfpHBiDw-" TargetMode="External"/><Relationship Id="rId38" Type="http://schemas.openxmlformats.org/officeDocument/2006/relationships/hyperlink" Target="https://www.youtube.com/watch?v=9NVbC9P0ldw" TargetMode="External"/><Relationship Id="rId20" Type="http://schemas.openxmlformats.org/officeDocument/2006/relationships/hyperlink" Target="https://www.youtube.com/watch?v=4Kf9fH3myyI" TargetMode="External"/><Relationship Id="rId22" Type="http://schemas.openxmlformats.org/officeDocument/2006/relationships/hyperlink" Target="https://www.youtube.com/watch?v=3ILCiSVDfng" TargetMode="External"/><Relationship Id="rId21" Type="http://schemas.openxmlformats.org/officeDocument/2006/relationships/hyperlink" Target="https://www.youtube.com/watch?v=3ILCiSVDfng" TargetMode="External"/><Relationship Id="rId24" Type="http://schemas.openxmlformats.org/officeDocument/2006/relationships/hyperlink" Target="https://www.youtube.com/watch?v=iIJGQdCCSKo" TargetMode="External"/><Relationship Id="rId23" Type="http://schemas.openxmlformats.org/officeDocument/2006/relationships/hyperlink" Target="https://www.youtube.com/watch?v=4Kf9fH3myyI" TargetMode="External"/><Relationship Id="rId26" Type="http://schemas.openxmlformats.org/officeDocument/2006/relationships/hyperlink" Target="https://drive.google.com/drive/folders/1PxhHutyrhx-ZunpHMhffKAWe8_GnMn4L" TargetMode="External"/><Relationship Id="rId25" Type="http://schemas.openxmlformats.org/officeDocument/2006/relationships/hyperlink" Target="https://www.youtube.com/watch?v=2_Ttk6nw0T0" TargetMode="External"/><Relationship Id="rId28" Type="http://schemas.openxmlformats.org/officeDocument/2006/relationships/hyperlink" Target="https://www.youtube.com/watch?v=EYt8vHzLyz8" TargetMode="External"/><Relationship Id="rId27" Type="http://schemas.openxmlformats.org/officeDocument/2006/relationships/hyperlink" Target="https://www.youtube.com/watch?v=b0R7Y-mzsR4" TargetMode="External"/><Relationship Id="rId29" Type="http://schemas.openxmlformats.org/officeDocument/2006/relationships/hyperlink" Target="https://www.youtube.com/watch?v=9NVbC9P0ldw" TargetMode="External"/><Relationship Id="rId11" Type="http://schemas.openxmlformats.org/officeDocument/2006/relationships/hyperlink" Target="https://www.youtube.com/watch?v=PCpDi57x4uc" TargetMode="External"/><Relationship Id="rId10" Type="http://schemas.openxmlformats.org/officeDocument/2006/relationships/hyperlink" Target="https://www.youtube.com/watch?v=o_MzwDO0FB8" TargetMode="External"/><Relationship Id="rId13" Type="http://schemas.openxmlformats.org/officeDocument/2006/relationships/hyperlink" Target="https://www.youtube.com/watch?v=Qsvy10D5rtc" TargetMode="External"/><Relationship Id="rId12" Type="http://schemas.openxmlformats.org/officeDocument/2006/relationships/hyperlink" Target="https://www.youtube.com/watch?v=CkonLJ2bUQk" TargetMode="External"/><Relationship Id="rId15" Type="http://schemas.openxmlformats.org/officeDocument/2006/relationships/hyperlink" Target="https://www.youtube.com/watch?v=8KFQx-mc2Ao" TargetMode="External"/><Relationship Id="rId14" Type="http://schemas.openxmlformats.org/officeDocument/2006/relationships/hyperlink" Target="https://www.youtube.com/watch?v=X5g6IJm7YJQ&amp;t=3594s" TargetMode="External"/><Relationship Id="rId17" Type="http://schemas.openxmlformats.org/officeDocument/2006/relationships/hyperlink" Target="https://www.youtube.com/watch?v=oEyBjYNgaMY" TargetMode="External"/><Relationship Id="rId16" Type="http://schemas.openxmlformats.org/officeDocument/2006/relationships/hyperlink" Target="https://drive.google.com/drive/folders/1Lr35dhop6AeYVadrP9fDEPT6x4gFTYOY" TargetMode="External"/><Relationship Id="rId19" Type="http://schemas.openxmlformats.org/officeDocument/2006/relationships/hyperlink" Target="https://www.youtube.com/watch?v=oEyBjYNgaMY" TargetMode="External"/><Relationship Id="rId18" Type="http://schemas.openxmlformats.org/officeDocument/2006/relationships/hyperlink" Target="https://www.youtube.com/watch?v=3vbOyLnJSjI" TargetMode="External"/><Relationship Id="rId84" Type="http://schemas.openxmlformats.org/officeDocument/2006/relationships/hyperlink" Target="https://www.youtube.com/watch?v=jCd93ZWVXAE" TargetMode="External"/><Relationship Id="rId83" Type="http://schemas.openxmlformats.org/officeDocument/2006/relationships/hyperlink" Target="https://www.youtube.com/watch?v=fp3L7Sy9Sp0" TargetMode="External"/><Relationship Id="rId86" Type="http://schemas.openxmlformats.org/officeDocument/2006/relationships/hyperlink" Target="https://www.youtube.com/watch?v=HwgvlzBb6II" TargetMode="External"/><Relationship Id="rId85" Type="http://schemas.openxmlformats.org/officeDocument/2006/relationships/hyperlink" Target="https://www.youtube.com/watch?v=NhFeIew8bU8" TargetMode="External"/><Relationship Id="rId88" Type="http://schemas.openxmlformats.org/officeDocument/2006/relationships/hyperlink" Target="https://drive.google.com/drive/folders/1Lr35dhop6AeYVadrP9fDEPT6x4gFTYOY" TargetMode="External"/><Relationship Id="rId87" Type="http://schemas.openxmlformats.org/officeDocument/2006/relationships/hyperlink" Target="https://www.youtube.com/watch?v=dyuLfmT49XE" TargetMode="External"/><Relationship Id="rId89" Type="http://schemas.openxmlformats.org/officeDocument/2006/relationships/hyperlink" Target="https://www.youtube.com/watch?v=Zl0V-OhZYk4" TargetMode="External"/><Relationship Id="rId80" Type="http://schemas.openxmlformats.org/officeDocument/2006/relationships/hyperlink" Target="https://www.youtube.com/watch?v=fkNb1dedlkw" TargetMode="External"/><Relationship Id="rId82" Type="http://schemas.openxmlformats.org/officeDocument/2006/relationships/hyperlink" Target="https://www.youtube.com/watch?v=V4H_37qbx1E" TargetMode="External"/><Relationship Id="rId81" Type="http://schemas.openxmlformats.org/officeDocument/2006/relationships/hyperlink" Target="https://www.youtube.com/watch?v=N5O5DESGekE" TargetMode="External"/><Relationship Id="rId73" Type="http://schemas.openxmlformats.org/officeDocument/2006/relationships/hyperlink" Target="https://www.youtube.com/watch?v=w9eiTmNLvRk" TargetMode="External"/><Relationship Id="rId72" Type="http://schemas.openxmlformats.org/officeDocument/2006/relationships/hyperlink" Target="https://www.youtube.com/watch?v=RlfFeYp4zm0" TargetMode="External"/><Relationship Id="rId75" Type="http://schemas.openxmlformats.org/officeDocument/2006/relationships/hyperlink" Target="https://www.youtube.com/watch?v=6laUW5j_YZw" TargetMode="External"/><Relationship Id="rId74" Type="http://schemas.openxmlformats.org/officeDocument/2006/relationships/hyperlink" Target="https://drive.google.com/drive/folders/1Lr35dhop6AeYVadrP9fDEPT6x4gFTYOY" TargetMode="External"/><Relationship Id="rId77" Type="http://schemas.openxmlformats.org/officeDocument/2006/relationships/hyperlink" Target="https://www.cnbc.com/2018/06/22/game-of-thrones-nikolaj-coster-waldau-talks-about-his-humanitarian-work-including-lions-share-fund.html" TargetMode="External"/><Relationship Id="rId76" Type="http://schemas.openxmlformats.org/officeDocument/2006/relationships/hyperlink" Target="https://www.youtube.com/watch?v=-OtAu9190HE" TargetMode="External"/><Relationship Id="rId79" Type="http://schemas.openxmlformats.org/officeDocument/2006/relationships/hyperlink" Target="https://www.youtube.com/watch?v=adCIIAENck0&amp;t=432s" TargetMode="External"/><Relationship Id="rId78" Type="http://schemas.openxmlformats.org/officeDocument/2006/relationships/hyperlink" Target="https://www.youtube.com/watch?v=azanUYJQQaE" TargetMode="External"/><Relationship Id="rId71" Type="http://schemas.openxmlformats.org/officeDocument/2006/relationships/hyperlink" Target="https://www.youtube.com/watch?v=tOi5Y11MFT8" TargetMode="External"/><Relationship Id="rId70" Type="http://schemas.openxmlformats.org/officeDocument/2006/relationships/hyperlink" Target="https://www.youtube.com/watch?v=RCEdz_poAAM" TargetMode="External"/><Relationship Id="rId62" Type="http://schemas.openxmlformats.org/officeDocument/2006/relationships/hyperlink" Target="https://twitter.com/CNN/status/1191546517976432641" TargetMode="External"/><Relationship Id="rId61" Type="http://schemas.openxmlformats.org/officeDocument/2006/relationships/hyperlink" Target="https://twitter.com/Channel4News/status/1220798153982664714" TargetMode="External"/><Relationship Id="rId64" Type="http://schemas.openxmlformats.org/officeDocument/2006/relationships/hyperlink" Target="https://www.youtube.com/watch?v=cpXh9mwvgcE" TargetMode="External"/><Relationship Id="rId63" Type="http://schemas.openxmlformats.org/officeDocument/2006/relationships/hyperlink" Target="https://twitter.com/thehill/status/1191737027290681347" TargetMode="External"/><Relationship Id="rId66" Type="http://schemas.openxmlformats.org/officeDocument/2006/relationships/hyperlink" Target="https://www.youtube.com/watch?v=M9PAMJiuOao" TargetMode="External"/><Relationship Id="rId65" Type="http://schemas.openxmlformats.org/officeDocument/2006/relationships/hyperlink" Target="https://drive.google.com/drive/folders/1Lr35dhop6AeYVadrP9fDEPT6x4gFTYOY" TargetMode="External"/><Relationship Id="rId68" Type="http://schemas.openxmlformats.org/officeDocument/2006/relationships/hyperlink" Target="https://www.youtube.com/watch?v=zBOGapw8SCA" TargetMode="External"/><Relationship Id="rId67" Type="http://schemas.openxmlformats.org/officeDocument/2006/relationships/hyperlink" Target="https://www.youtube.com/watch?v=SKMDrVeAhNg" TargetMode="External"/><Relationship Id="rId60" Type="http://schemas.openxmlformats.org/officeDocument/2006/relationships/hyperlink" Target="https://www.youtube.com/watch?v=i5hdCJwcG1g" TargetMode="External"/><Relationship Id="rId69" Type="http://schemas.openxmlformats.org/officeDocument/2006/relationships/hyperlink" Target="https://www.youtube.com/watch?v=eF4Y1cy_Suw" TargetMode="External"/><Relationship Id="rId51" Type="http://schemas.openxmlformats.org/officeDocument/2006/relationships/hyperlink" Target="https://www.youtube.com/watch?v=2sdWykpKSE4" TargetMode="External"/><Relationship Id="rId50" Type="http://schemas.openxmlformats.org/officeDocument/2006/relationships/hyperlink" Target="https://www.youtube.com/watch?v=6Z3s2iA9Cn8" TargetMode="External"/><Relationship Id="rId53" Type="http://schemas.openxmlformats.org/officeDocument/2006/relationships/hyperlink" Target="https://www.youtube.com/watch?v=xYjDvx6PgyI&amp;t=20s" TargetMode="External"/><Relationship Id="rId52" Type="http://schemas.openxmlformats.org/officeDocument/2006/relationships/hyperlink" Target="https://www.youtube.com/watch?v=7MsmYleQMlg" TargetMode="External"/><Relationship Id="rId55" Type="http://schemas.openxmlformats.org/officeDocument/2006/relationships/hyperlink" Target="https://www.youtube.com/watch?v=IexBX1Xh9Ig" TargetMode="External"/><Relationship Id="rId54" Type="http://schemas.openxmlformats.org/officeDocument/2006/relationships/hyperlink" Target="https://www.youtube.com/watch?v=hecptCIksuU" TargetMode="External"/><Relationship Id="rId57" Type="http://schemas.openxmlformats.org/officeDocument/2006/relationships/hyperlink" Target="https://www.youtube.com/watch?v=g5IKFS3oTVE" TargetMode="External"/><Relationship Id="rId56" Type="http://schemas.openxmlformats.org/officeDocument/2006/relationships/hyperlink" Target="https://www.youtube.com/watch?v=w--cec0503c" TargetMode="External"/><Relationship Id="rId59" Type="http://schemas.openxmlformats.org/officeDocument/2006/relationships/hyperlink" Target="https://www.youtube.com/watch?v=pwRH_XWSG90" TargetMode="External"/><Relationship Id="rId58" Type="http://schemas.openxmlformats.org/officeDocument/2006/relationships/hyperlink" Target="https://www.youtube.com/watch?v=UkCkFK_H5Ms" TargetMode="External"/><Relationship Id="rId107" Type="http://schemas.openxmlformats.org/officeDocument/2006/relationships/hyperlink" Target="https://www.youtube.com/watch?v=_rDoROcHbpI" TargetMode="External"/><Relationship Id="rId106" Type="http://schemas.openxmlformats.org/officeDocument/2006/relationships/hyperlink" Target="https://www.youtube.com/watch?v=BvIpWyWVTdE" TargetMode="External"/><Relationship Id="rId105" Type="http://schemas.openxmlformats.org/officeDocument/2006/relationships/hyperlink" Target="https://www.youtube.com/watch?v=fDkbyyPRKFY" TargetMode="External"/><Relationship Id="rId104" Type="http://schemas.openxmlformats.org/officeDocument/2006/relationships/hyperlink" Target="https://www.youtube.com/watch?v=lbMPDk7CF6g" TargetMode="External"/><Relationship Id="rId109" Type="http://schemas.openxmlformats.org/officeDocument/2006/relationships/hyperlink" Target="https://www.youtube.com/watch?v=D5Wj_JQ6NhY" TargetMode="External"/><Relationship Id="rId108" Type="http://schemas.openxmlformats.org/officeDocument/2006/relationships/hyperlink" Target="https://www.youtube.com/watch?v=bT47Is0czhA" TargetMode="External"/><Relationship Id="rId103" Type="http://schemas.openxmlformats.org/officeDocument/2006/relationships/hyperlink" Target="https://www.youtube.com/watch?v=jyYLVeZIrO0" TargetMode="External"/><Relationship Id="rId102" Type="http://schemas.openxmlformats.org/officeDocument/2006/relationships/hyperlink" Target="https://www.youtube.com/watch?v=hyU64nXUrU8" TargetMode="External"/><Relationship Id="rId101" Type="http://schemas.openxmlformats.org/officeDocument/2006/relationships/hyperlink" Target="https://www.youtube.com/watch?v=oiAFAYE_HLo" TargetMode="External"/><Relationship Id="rId100" Type="http://schemas.openxmlformats.org/officeDocument/2006/relationships/hyperlink" Target="https://www.youtube.com/watch?v=PPPxR3PcXkQ" TargetMode="External"/><Relationship Id="rId95" Type="http://schemas.openxmlformats.org/officeDocument/2006/relationships/hyperlink" Target="https://www.youtube.com/watch?v=2gWPIqrCQ3I" TargetMode="External"/><Relationship Id="rId94" Type="http://schemas.openxmlformats.org/officeDocument/2006/relationships/hyperlink" Target="https://www.youtube.com/watch?v=3AZBLfh6vwo" TargetMode="External"/><Relationship Id="rId97" Type="http://schemas.openxmlformats.org/officeDocument/2006/relationships/hyperlink" Target="https://www.youtube.com/watch?v=ltvrbUOuQzE" TargetMode="External"/><Relationship Id="rId96" Type="http://schemas.openxmlformats.org/officeDocument/2006/relationships/hyperlink" Target="https://www.youtube.com/watch?v=jwClyd2lHWo" TargetMode="External"/><Relationship Id="rId99" Type="http://schemas.openxmlformats.org/officeDocument/2006/relationships/hyperlink" Target="https://drive.google.com/drive/folders/1Lr35dhop6AeYVadrP9fDEPT6x4gFTYOY" TargetMode="External"/><Relationship Id="rId98" Type="http://schemas.openxmlformats.org/officeDocument/2006/relationships/hyperlink" Target="https://www.youtube.com/watch?v=kIL5m5XznNY" TargetMode="External"/><Relationship Id="rId91" Type="http://schemas.openxmlformats.org/officeDocument/2006/relationships/hyperlink" Target="https://www.youtube.com/watch?v=6Af6b_wyiwI" TargetMode="External"/><Relationship Id="rId90" Type="http://schemas.openxmlformats.org/officeDocument/2006/relationships/hyperlink" Target="https://www.youtube.com/watch?v=6Af6b_wyiwI" TargetMode="External"/><Relationship Id="rId93" Type="http://schemas.openxmlformats.org/officeDocument/2006/relationships/hyperlink" Target="https://www.youtube.com/watch?v=4cx-F45oOnM" TargetMode="External"/><Relationship Id="rId92" Type="http://schemas.openxmlformats.org/officeDocument/2006/relationships/hyperlink" Target="https://www.youtube.com/watch?v=9uwuMSUn4Os" TargetMode="External"/><Relationship Id="rId110" Type="http://schemas.openxmlformats.org/officeDocument/2006/relationships/hyperlink" Target="https://www.youtube.com/watch?v=BLoPV26aimE" TargetMode="External"/><Relationship Id="rId112" Type="http://schemas.openxmlformats.org/officeDocument/2006/relationships/drawing" Target="../drawings/drawing23.xml"/><Relationship Id="rId111" Type="http://schemas.openxmlformats.org/officeDocument/2006/relationships/hyperlink" Target="https://drive.google.com/drive/folders/1iJxA3bZ6MRSO2HZp1Ist_CDhi6bkvMWK" TargetMode="External"/></Relationships>
</file>

<file path=xl/worksheets/_rels/sheet24.xml.rels><?xml version="1.0" encoding="UTF-8" standalone="yes"?><Relationships xmlns="http://schemas.openxmlformats.org/package/2006/relationships"><Relationship Id="rId190" Type="http://schemas.openxmlformats.org/officeDocument/2006/relationships/hyperlink" Target="https://www.youtube.com/watch?v=hh-BuTqy7bQ" TargetMode="External"/><Relationship Id="rId194" Type="http://schemas.openxmlformats.org/officeDocument/2006/relationships/hyperlink" Target="https://www.youtube.com/watch?v=azanUYJQQaE" TargetMode="External"/><Relationship Id="rId193" Type="http://schemas.openxmlformats.org/officeDocument/2006/relationships/hyperlink" Target="https://www.youtube.com/watch?v=SKMDrVeAhNg" TargetMode="External"/><Relationship Id="rId192" Type="http://schemas.openxmlformats.org/officeDocument/2006/relationships/hyperlink" Target="https://www.youtube.com/watch?v=CjBoK8f47EI" TargetMode="External"/><Relationship Id="rId191" Type="http://schemas.openxmlformats.org/officeDocument/2006/relationships/hyperlink" Target="https://nam10.safelinks.protection.outlook.com/?url=https%3A%2F%2Fwww.youtube.com%2Fwatch%3Fv%3DIs2uwdNpX50&amp;data=02%7C01%7C%7C01872ddbc3d242e68f2508d7f5bff332%7C84df9e7fe9f640afb435aaaaaaaaaaaa%7C1%7C0%7C637248077072259543&amp;sdata=KC565p8zGqzcsovJieqSB7LXm3ch7%2BsQeiHh3ycviro%3D&amp;reserved=0" TargetMode="External"/><Relationship Id="rId187" Type="http://schemas.openxmlformats.org/officeDocument/2006/relationships/hyperlink" Target="https://www.youtube.com/watch?v=YpIGejJiaBo" TargetMode="External"/><Relationship Id="rId186" Type="http://schemas.openxmlformats.org/officeDocument/2006/relationships/hyperlink" Target="https://www.youtube.com/watch?v=XcnHOQ-cHa0" TargetMode="External"/><Relationship Id="rId185" Type="http://schemas.openxmlformats.org/officeDocument/2006/relationships/hyperlink" Target="https://www.youtube.com/watch?v=vY0qzXi5oJg" TargetMode="External"/><Relationship Id="rId184" Type="http://schemas.openxmlformats.org/officeDocument/2006/relationships/hyperlink" Target="https://www.youtube.com/watch?v=sjzFnEDbDo4" TargetMode="External"/><Relationship Id="rId189" Type="http://schemas.openxmlformats.org/officeDocument/2006/relationships/hyperlink" Target="https://nam10.safelinks.protection.outlook.com/?url=https%3A%2F%2Fwww.youtube.com%2Fwatch%3Fv%3D4Aa05KW4Q9g&amp;data=02%7C01%7C%7C01872ddbc3d242e68f2508d7f5bff332%7C84df9e7fe9f640afb435aaaaaaaaaaaa%7C1%7C0%7C637248077072259543&amp;sdata=02pDFTjw5FWU5X9Dwyh5%2BjIZr9haYIi5qgxbSOCbJnM%3D&amp;reserved=0" TargetMode="External"/><Relationship Id="rId188" Type="http://schemas.openxmlformats.org/officeDocument/2006/relationships/hyperlink" Target="https://www.youtube.com/watch?v=XL6zNexyt8o" TargetMode="External"/><Relationship Id="rId183" Type="http://schemas.openxmlformats.org/officeDocument/2006/relationships/hyperlink" Target="https://www.youtube.com/watch?time_continue=122&amp;v=acTdxsoa428&amp;feature=emb_title" TargetMode="External"/><Relationship Id="rId182" Type="http://schemas.openxmlformats.org/officeDocument/2006/relationships/hyperlink" Target="https://www.youtube.com/watch?v=sYc7mRdFbSk" TargetMode="External"/><Relationship Id="rId181" Type="http://schemas.openxmlformats.org/officeDocument/2006/relationships/hyperlink" Target="https://www.youtube.com/watch?v=xW9wAPT96A8" TargetMode="External"/><Relationship Id="rId180" Type="http://schemas.openxmlformats.org/officeDocument/2006/relationships/hyperlink" Target="https://www.youtube.com/watch?v=yRe7rCtKMzw" TargetMode="External"/><Relationship Id="rId176" Type="http://schemas.openxmlformats.org/officeDocument/2006/relationships/hyperlink" Target="https://www.youtube.com/watch?v=lx8VLL6HYuU" TargetMode="External"/><Relationship Id="rId175" Type="http://schemas.openxmlformats.org/officeDocument/2006/relationships/hyperlink" Target="https://www.youtube.com/watch?v=BLoPV26aimE" TargetMode="External"/><Relationship Id="rId174" Type="http://schemas.openxmlformats.org/officeDocument/2006/relationships/hyperlink" Target="https://www.youtube.com/watch?v=AIKeln-xbfk" TargetMode="External"/><Relationship Id="rId173" Type="http://schemas.openxmlformats.org/officeDocument/2006/relationships/hyperlink" Target="https://www.youtube.com/watch?v=8S36xS-jFSM" TargetMode="External"/><Relationship Id="rId179" Type="http://schemas.openxmlformats.org/officeDocument/2006/relationships/hyperlink" Target="https://www.youtube.com/watch?v=x8G-yD3_jTM" TargetMode="External"/><Relationship Id="rId178" Type="http://schemas.openxmlformats.org/officeDocument/2006/relationships/hyperlink" Target="https://www.youtube.com/watch?v=WyXzz6PQh-c" TargetMode="External"/><Relationship Id="rId177" Type="http://schemas.openxmlformats.org/officeDocument/2006/relationships/hyperlink" Target="https://www.youtube.com/watch?v=qzEqtt2f3-A" TargetMode="External"/><Relationship Id="rId198" Type="http://schemas.openxmlformats.org/officeDocument/2006/relationships/hyperlink" Target="https://www.youtube.com/watch?v=j3OS6Hp4f9s" TargetMode="External"/><Relationship Id="rId197" Type="http://schemas.openxmlformats.org/officeDocument/2006/relationships/hyperlink" Target="https://www.youtube.com/watch?v=49sgSZDn76A" TargetMode="External"/><Relationship Id="rId196" Type="http://schemas.openxmlformats.org/officeDocument/2006/relationships/hyperlink" Target="https://www.youtube.com/watch?v=3qE9D2Vkg8g" TargetMode="External"/><Relationship Id="rId195" Type="http://schemas.openxmlformats.org/officeDocument/2006/relationships/hyperlink" Target="https://www.youtube.com/watch?v=0tZhOF2kgDw" TargetMode="External"/><Relationship Id="rId199" Type="http://schemas.openxmlformats.org/officeDocument/2006/relationships/hyperlink" Target="https://www.youtube.com/watch?v=KqXjM2ZnObc" TargetMode="External"/><Relationship Id="rId150" Type="http://schemas.openxmlformats.org/officeDocument/2006/relationships/hyperlink" Target="https://www.youtube.com/watch?v=UbE8DnquiAE&amp;feature=emb_logo" TargetMode="External"/><Relationship Id="rId271" Type="http://schemas.openxmlformats.org/officeDocument/2006/relationships/hyperlink" Target="https://www.youtube.com/watch?v=o7W7OvETO40" TargetMode="External"/><Relationship Id="rId270" Type="http://schemas.openxmlformats.org/officeDocument/2006/relationships/hyperlink" Target="https://www.youtube.com/watch?v=bT47Is0czhA" TargetMode="External"/><Relationship Id="rId1" Type="http://schemas.openxmlformats.org/officeDocument/2006/relationships/comments" Target="../comments2.xml"/><Relationship Id="rId2" Type="http://schemas.openxmlformats.org/officeDocument/2006/relationships/pivotTable" Target="../pivotTables/pivotTable1.xml"/><Relationship Id="rId3" Type="http://schemas.openxmlformats.org/officeDocument/2006/relationships/hyperlink" Target="https://www.youtube.com/watch?v=6laUW5j_YZw" TargetMode="External"/><Relationship Id="rId149" Type="http://schemas.openxmlformats.org/officeDocument/2006/relationships/hyperlink" Target="https://www.youtube.com/watch?v=oKDvbqI8vYs" TargetMode="External"/><Relationship Id="rId4" Type="http://schemas.openxmlformats.org/officeDocument/2006/relationships/hyperlink" Target="https://www.youtube.com/watch?v=V4H_37qbx1E" TargetMode="External"/><Relationship Id="rId148" Type="http://schemas.openxmlformats.org/officeDocument/2006/relationships/hyperlink" Target="https://www.youtube.com/watch?v=fteVQytWO-U" TargetMode="External"/><Relationship Id="rId269" Type="http://schemas.openxmlformats.org/officeDocument/2006/relationships/hyperlink" Target="https://www.youtube.com/watch?v=D5Wj_JQ6NhY" TargetMode="External"/><Relationship Id="rId9" Type="http://schemas.openxmlformats.org/officeDocument/2006/relationships/hyperlink" Target="https://www.bostondynamics.com/contactus" TargetMode="External"/><Relationship Id="rId143" Type="http://schemas.openxmlformats.org/officeDocument/2006/relationships/hyperlink" Target="https://www.youtube.com/watch?v=6syVFkqkO38" TargetMode="External"/><Relationship Id="rId264" Type="http://schemas.openxmlformats.org/officeDocument/2006/relationships/hyperlink" Target="https://www.facebook.com/WebSummitHQ/videos/greg-peters-chief-product-officer-at-netflix-live-at-web-summit/295193107992534/" TargetMode="External"/><Relationship Id="rId142" Type="http://schemas.openxmlformats.org/officeDocument/2006/relationships/hyperlink" Target="https://www.youtube.com/watch?v=0l35FGR_n9k" TargetMode="External"/><Relationship Id="rId263" Type="http://schemas.openxmlformats.org/officeDocument/2006/relationships/hyperlink" Target="https://www.youtube.com/watch?v=w9eiTmNLvRk" TargetMode="External"/><Relationship Id="rId141" Type="http://schemas.openxmlformats.org/officeDocument/2006/relationships/hyperlink" Target="https://eur04.safelinks.protection.outlook.com/?url=https%3A%2F%2Fwww.youtube.com%2Fwatch%3Fv%3DSTtAsDCKEck&amp;data=02%7C01%7C%7C846c57390c6b4dcc225a08d7f67c7884%7C84df9e7fe9f640afb435aaaaaaaaaaaa%7C1%7C0%7C637248886759778765&amp;sdata=6D0B1Jg3lIXihBJbM3iI05vv3IGNvEOVPKR9ZE3qtGA%3D&amp;reserved=0" TargetMode="External"/><Relationship Id="rId262" Type="http://schemas.openxmlformats.org/officeDocument/2006/relationships/hyperlink" Target="https://www.youtube.com/watch?v=sAt4DKjig6k" TargetMode="External"/><Relationship Id="rId140" Type="http://schemas.openxmlformats.org/officeDocument/2006/relationships/hyperlink" Target="https://eur04.safelinks.protection.outlook.com/?url=https%3A%2F%2Fwww.youtube.com%2Fwatch%3Fv%3DfTgU7THoKCw&amp;data=02%7C01%7C%7C846c57390c6b4dcc225a08d7f67c7884%7C84df9e7fe9f640afb435aaaaaaaaaaaa%7C1%7C0%7C637248886759798755&amp;sdata=sSxAMk3ASo%2Fg5hqEBa%2Fa8AoqItNOlV8IeyLHw2uA1lo%3D&amp;reserved=0" TargetMode="External"/><Relationship Id="rId261" Type="http://schemas.openxmlformats.org/officeDocument/2006/relationships/hyperlink" Target="https://www.videezy.com/technology/5903-free-4k-scrolling-on-social-media-stock-video" TargetMode="External"/><Relationship Id="rId5" Type="http://schemas.openxmlformats.org/officeDocument/2006/relationships/hyperlink" Target="mailto:info@citia.org" TargetMode="External"/><Relationship Id="rId147" Type="http://schemas.openxmlformats.org/officeDocument/2006/relationships/hyperlink" Target="https://www.youtube.com/watch?time_continue=1&amp;v=D7XBpyRufvo" TargetMode="External"/><Relationship Id="rId268" Type="http://schemas.openxmlformats.org/officeDocument/2006/relationships/hyperlink" Target="https://youtu.be/5_qFZwKDfTA" TargetMode="External"/><Relationship Id="rId6" Type="http://schemas.openxmlformats.org/officeDocument/2006/relationships/hyperlink" Target="https://www.youtube.com/watch?v=xy_XrAxS3ro" TargetMode="External"/><Relationship Id="rId146" Type="http://schemas.openxmlformats.org/officeDocument/2006/relationships/hyperlink" Target="https://www.youtube.com/watch?v=sWfE1q0Xrr0&amp;t=2477s" TargetMode="External"/><Relationship Id="rId267" Type="http://schemas.openxmlformats.org/officeDocument/2006/relationships/hyperlink" Target="https://www.youtube.com/watch?v=-mqWXUfmDbI" TargetMode="External"/><Relationship Id="rId7" Type="http://schemas.openxmlformats.org/officeDocument/2006/relationships/hyperlink" Target="https://www.youtube.com/watch?v=Y-0RMhD05_0&amp;t=1s" TargetMode="External"/><Relationship Id="rId145" Type="http://schemas.openxmlformats.org/officeDocument/2006/relationships/hyperlink" Target="https://www.youtube.com/channel/UC9ASLK8xI5sSrfGZXyC_16w" TargetMode="External"/><Relationship Id="rId266" Type="http://schemas.openxmlformats.org/officeDocument/2006/relationships/hyperlink" Target="https://www.youtube.com/watch?v=rqk_8-CB5m0" TargetMode="External"/><Relationship Id="rId8" Type="http://schemas.openxmlformats.org/officeDocument/2006/relationships/hyperlink" Target="https://www.bostondynamics.com/contactus" TargetMode="External"/><Relationship Id="rId144" Type="http://schemas.openxmlformats.org/officeDocument/2006/relationships/hyperlink" Target="https://www.youtube.com/watch?v=kE7D7qFayVg" TargetMode="External"/><Relationship Id="rId265" Type="http://schemas.openxmlformats.org/officeDocument/2006/relationships/hyperlink" Target="https://www.youtube.com/watch?v=bq1ykBxKPLU" TargetMode="External"/><Relationship Id="rId260" Type="http://schemas.openxmlformats.org/officeDocument/2006/relationships/hyperlink" Target="https://www.videezy.com/technology/249-free-facebook-url-address-stock-video-in-hd" TargetMode="External"/><Relationship Id="rId139" Type="http://schemas.openxmlformats.org/officeDocument/2006/relationships/hyperlink" Target="https://www.youtube.com/watch?v=BbPGx02ZWrw" TargetMode="External"/><Relationship Id="rId138" Type="http://schemas.openxmlformats.org/officeDocument/2006/relationships/hyperlink" Target="https://www.youtube.com/watch?v=rEGOihjqO9w" TargetMode="External"/><Relationship Id="rId259" Type="http://schemas.openxmlformats.org/officeDocument/2006/relationships/hyperlink" Target="https://www.youtube.com/watch?v=PPPxR3PcXkQ" TargetMode="External"/><Relationship Id="rId137" Type="http://schemas.openxmlformats.org/officeDocument/2006/relationships/hyperlink" Target="https://www.youtube.com/watch?v=CeyJAL1iOuw" TargetMode="External"/><Relationship Id="rId258" Type="http://schemas.openxmlformats.org/officeDocument/2006/relationships/hyperlink" Target="https://www.youtube.com/watch?v=KaOIL74Eb8o" TargetMode="External"/><Relationship Id="rId132" Type="http://schemas.openxmlformats.org/officeDocument/2006/relationships/hyperlink" Target="https://www.youtube.com/watch?v=wzVoToSe9A0" TargetMode="External"/><Relationship Id="rId253" Type="http://schemas.openxmlformats.org/officeDocument/2006/relationships/hyperlink" Target="https://www.youtube.com/watch?v=jyYLVeZIrO0" TargetMode="External"/><Relationship Id="rId131" Type="http://schemas.openxmlformats.org/officeDocument/2006/relationships/hyperlink" Target="mailto:communications@uea.ac.uk" TargetMode="External"/><Relationship Id="rId252" Type="http://schemas.openxmlformats.org/officeDocument/2006/relationships/hyperlink" Target="https://www.youtube.com/watch?v=jyYLVeZIrO0" TargetMode="External"/><Relationship Id="rId130" Type="http://schemas.openxmlformats.org/officeDocument/2006/relationships/hyperlink" Target="mailto:press@planet.com" TargetMode="External"/><Relationship Id="rId251" Type="http://schemas.openxmlformats.org/officeDocument/2006/relationships/hyperlink" Target="https://www.youtube.com/watch?v=jyYLVeZIrO0" TargetMode="External"/><Relationship Id="rId250" Type="http://schemas.openxmlformats.org/officeDocument/2006/relationships/hyperlink" Target="https://www.youtube.com/watch?v=jCd93ZWVXAE" TargetMode="External"/><Relationship Id="rId136" Type="http://schemas.openxmlformats.org/officeDocument/2006/relationships/hyperlink" Target="https://www.youtube.com/watch?v=PsYo1hoAQvE" TargetMode="External"/><Relationship Id="rId257" Type="http://schemas.openxmlformats.org/officeDocument/2006/relationships/hyperlink" Target="https://variety.com/2019/film/features/sony-pictures-animation-kristine-belson-1203143201/" TargetMode="External"/><Relationship Id="rId135" Type="http://schemas.openxmlformats.org/officeDocument/2006/relationships/hyperlink" Target="https://www.youtube.com/watch?v=ecfJGNauAwY" TargetMode="External"/><Relationship Id="rId256" Type="http://schemas.openxmlformats.org/officeDocument/2006/relationships/hyperlink" Target="https://www.youtube.com/watch?v=K1JMjwJG2UM" TargetMode="External"/><Relationship Id="rId134" Type="http://schemas.openxmlformats.org/officeDocument/2006/relationships/hyperlink" Target="https://www.youtube.com/watch?v=DkY9p09XwuE" TargetMode="External"/><Relationship Id="rId255" Type="http://schemas.openxmlformats.org/officeDocument/2006/relationships/hyperlink" Target="https://www.youtube.com/watch?v=fP05z9volqM" TargetMode="External"/><Relationship Id="rId133" Type="http://schemas.openxmlformats.org/officeDocument/2006/relationships/hyperlink" Target="https://www.youtube.com/watch?v=wYX-N5zrBb4" TargetMode="External"/><Relationship Id="rId254" Type="http://schemas.openxmlformats.org/officeDocument/2006/relationships/hyperlink" Target="https://www.youtube.com/watch?v=V4H_37qbx1E" TargetMode="External"/><Relationship Id="rId172" Type="http://schemas.openxmlformats.org/officeDocument/2006/relationships/hyperlink" Target="https://www.youtube.com/watch?v=7OaXU_xFkhw" TargetMode="External"/><Relationship Id="rId171" Type="http://schemas.openxmlformats.org/officeDocument/2006/relationships/hyperlink" Target="https://www.youtube.com/watch?v=zBOGapw8SCA" TargetMode="External"/><Relationship Id="rId170" Type="http://schemas.openxmlformats.org/officeDocument/2006/relationships/hyperlink" Target="https://www.youtube.com/watch?v=M9PAMJiuOao" TargetMode="External"/><Relationship Id="rId165" Type="http://schemas.openxmlformats.org/officeDocument/2006/relationships/hyperlink" Target="https://www.youtube.com/watch?v=tOi5Y11MFT8" TargetMode="External"/><Relationship Id="rId164" Type="http://schemas.openxmlformats.org/officeDocument/2006/relationships/hyperlink" Target="https://www.youtube.com/watch?v=N5O5DESGekE" TargetMode="External"/><Relationship Id="rId163" Type="http://schemas.openxmlformats.org/officeDocument/2006/relationships/hyperlink" Target="https://www.youtube.com/watch?v=HSqxlbf3Z7M&amp;list=RDXMZcjdK4Vuk&amp;start_radio=1" TargetMode="External"/><Relationship Id="rId162" Type="http://schemas.openxmlformats.org/officeDocument/2006/relationships/hyperlink" Target="https://www.youtube.com/watch?v=o3IQ1JrXnV8" TargetMode="External"/><Relationship Id="rId169" Type="http://schemas.openxmlformats.org/officeDocument/2006/relationships/hyperlink" Target="https://www.youtube.com/watch?v=li7E48NmPwA" TargetMode="External"/><Relationship Id="rId168" Type="http://schemas.openxmlformats.org/officeDocument/2006/relationships/hyperlink" Target="https://www.youtube.com/watch?v=eF4Y1cy_Suw" TargetMode="External"/><Relationship Id="rId167" Type="http://schemas.openxmlformats.org/officeDocument/2006/relationships/hyperlink" Target="https://www.youtube.com/watch?v=fDkbyyPRKFY" TargetMode="External"/><Relationship Id="rId166" Type="http://schemas.openxmlformats.org/officeDocument/2006/relationships/hyperlink" Target="https://www.youtube.com/channel/UCZhYvuDGIWffl5RuIbbMx3Q" TargetMode="External"/><Relationship Id="rId161" Type="http://schemas.openxmlformats.org/officeDocument/2006/relationships/hyperlink" Target="https://www.youtube.com/watch?v=Nr5WmsXJAm0" TargetMode="External"/><Relationship Id="rId160" Type="http://schemas.openxmlformats.org/officeDocument/2006/relationships/hyperlink" Target="https://www.youtube.com/watch?v=hMk7wnybXLM" TargetMode="External"/><Relationship Id="rId159" Type="http://schemas.openxmlformats.org/officeDocument/2006/relationships/hyperlink" Target="https://www.youtube.com/watch?v=eqFqtAJMtYE" TargetMode="External"/><Relationship Id="rId154" Type="http://schemas.openxmlformats.org/officeDocument/2006/relationships/hyperlink" Target="https://www.youtube.com/watch?v=adCIIAENck0&amp;t=432s" TargetMode="External"/><Relationship Id="rId153" Type="http://schemas.openxmlformats.org/officeDocument/2006/relationships/hyperlink" Target="https://www.youtube.com/watch?v=r0pPKs9zdNY" TargetMode="External"/><Relationship Id="rId274" Type="http://schemas.openxmlformats.org/officeDocument/2006/relationships/vmlDrawing" Target="../drawings/vmlDrawing2.vml"/><Relationship Id="rId152" Type="http://schemas.openxmlformats.org/officeDocument/2006/relationships/hyperlink" Target="https://www.facebook.com/marriottinternational/videos/a-message-from-arne-sorenson/623249921859006/" TargetMode="External"/><Relationship Id="rId273" Type="http://schemas.openxmlformats.org/officeDocument/2006/relationships/drawing" Target="../drawings/drawing24.xml"/><Relationship Id="rId151" Type="http://schemas.openxmlformats.org/officeDocument/2006/relationships/hyperlink" Target="https://www.youtube.com/watch?v=Qj8P8yvvLNs" TargetMode="External"/><Relationship Id="rId272" Type="http://schemas.openxmlformats.org/officeDocument/2006/relationships/hyperlink" Target="https://www.youtube.com/watch?v=s3kqRU9XVZY&amp;t=67s" TargetMode="External"/><Relationship Id="rId158" Type="http://schemas.openxmlformats.org/officeDocument/2006/relationships/hyperlink" Target="https://www.youtube.com/watch?v=cW4L7EaR0a4" TargetMode="External"/><Relationship Id="rId157" Type="http://schemas.openxmlformats.org/officeDocument/2006/relationships/hyperlink" Target="https://www.youtube.com/watch?v=3mf58BsFvzI" TargetMode="External"/><Relationship Id="rId156" Type="http://schemas.openxmlformats.org/officeDocument/2006/relationships/hyperlink" Target="https://www.youtube.com/watch?v=yEBCV0ic6Tc" TargetMode="External"/><Relationship Id="rId155" Type="http://schemas.openxmlformats.org/officeDocument/2006/relationships/hyperlink" Target="https://www.youtube.com/watch?v=lbMPDk7CF6g" TargetMode="External"/><Relationship Id="rId40" Type="http://schemas.openxmlformats.org/officeDocument/2006/relationships/hyperlink" Target="mailto:sam.algranti@howtoacademy.com" TargetMode="External"/><Relationship Id="rId42" Type="http://schemas.openxmlformats.org/officeDocument/2006/relationships/hyperlink" Target="mailto:jcpnews@jcp.com" TargetMode="External"/><Relationship Id="rId41" Type="http://schemas.openxmlformats.org/officeDocument/2006/relationships/hyperlink" Target="https://www.youtube.com/watch?v=nOsdS5irjAo&amp;feature=emb_logo" TargetMode="External"/><Relationship Id="rId44" Type="http://schemas.openxmlformats.org/officeDocument/2006/relationships/hyperlink" Target="https://scripps.com/contact/" TargetMode="External"/><Relationship Id="rId43" Type="http://schemas.openxmlformats.org/officeDocument/2006/relationships/hyperlink" Target="https://www.youtube.com/watch?v=bH1lHCirCGI" TargetMode="External"/><Relationship Id="rId46" Type="http://schemas.openxmlformats.org/officeDocument/2006/relationships/hyperlink" Target="https://www.youtube.com/watch?v=zjvy9fFQsEw" TargetMode="External"/><Relationship Id="rId45" Type="http://schemas.openxmlformats.org/officeDocument/2006/relationships/hyperlink" Target="https://www.youtube.com/watch?v=zu3wZ-_IKrM" TargetMode="External"/><Relationship Id="rId48" Type="http://schemas.openxmlformats.org/officeDocument/2006/relationships/hyperlink" Target="https://www.youtube.com/watch?v=hyU64nXUrU8" TargetMode="External"/><Relationship Id="rId47" Type="http://schemas.openxmlformats.org/officeDocument/2006/relationships/hyperlink" Target="https://www.youtube.com/watch?v=EMnHIHx_oqs" TargetMode="External"/><Relationship Id="rId49" Type="http://schemas.openxmlformats.org/officeDocument/2006/relationships/hyperlink" Target="https://www.youtube.com/watch?v=_rDoROcHbpI" TargetMode="External"/><Relationship Id="rId31" Type="http://schemas.openxmlformats.org/officeDocument/2006/relationships/hyperlink" Target="https://www.youtube.com/watch?v=fUyU3lKzoio" TargetMode="External"/><Relationship Id="rId30" Type="http://schemas.openxmlformats.org/officeDocument/2006/relationships/hyperlink" Target="https://www.youtube.com/watch?v=_sBBaNYex3E" TargetMode="External"/><Relationship Id="rId33" Type="http://schemas.openxmlformats.org/officeDocument/2006/relationships/hyperlink" Target="https://www.francemediasmonde.com/en/contact?brand=f24" TargetMode="External"/><Relationship Id="rId32" Type="http://schemas.openxmlformats.org/officeDocument/2006/relationships/hyperlink" Target="https://www.youtube.com/watch?v=LikxFZZO2sk" TargetMode="External"/><Relationship Id="rId35" Type="http://schemas.openxmlformats.org/officeDocument/2006/relationships/hyperlink" Target="https://www.youtube.com/watch?v=wE3fmFTtP9g" TargetMode="External"/><Relationship Id="rId34" Type="http://schemas.openxmlformats.org/officeDocument/2006/relationships/hyperlink" Target="https://www.youtube.com/watch?v=OnWolLQSZic" TargetMode="External"/><Relationship Id="rId37" Type="http://schemas.openxmlformats.org/officeDocument/2006/relationships/hyperlink" Target="https://www.youtube.com/channel/UC4wdBTbD8lWlhZdggG2YBlw" TargetMode="External"/><Relationship Id="rId36" Type="http://schemas.openxmlformats.org/officeDocument/2006/relationships/hyperlink" Target="https://www.youtube.com/watch?v=wlkCQXHEgjA" TargetMode="External"/><Relationship Id="rId39" Type="http://schemas.openxmlformats.org/officeDocument/2006/relationships/hyperlink" Target="https://www.youtube.com/watch?v=LikxFZZO2sk" TargetMode="External"/><Relationship Id="rId38" Type="http://schemas.openxmlformats.org/officeDocument/2006/relationships/hyperlink" Target="https://www.youtube.com/watch?v=pZiv83s1J-M&amp;t=60s" TargetMode="External"/><Relationship Id="rId20" Type="http://schemas.openxmlformats.org/officeDocument/2006/relationships/hyperlink" Target="https://eur04.safelinks.protection.outlook.com/?url=https%3A%2F%2Fwww.youtube.com%2Fwatch%3Fv%3D0RwsnsZHVbA&amp;data=02%7C01%7C%7C846c57390c6b4dcc225a08d7f67c7884%7C84df9e7fe9f640afb435aaaaaaaaaaaa%7C1%7C0%7C637248886759778765&amp;sdata=R%2BO50mUaoMTVpYJUW6O4IFQ0HufklgKV4uaQhwiixWU%3D&amp;reserved=0" TargetMode="External"/><Relationship Id="rId22" Type="http://schemas.openxmlformats.org/officeDocument/2006/relationships/hyperlink" Target="https://videohive.net/user/coolmotion?ref=CoolMotion&amp;irgwc=1&amp;clickid=X0nRFnR9UxyOUk3wUx0Mo3ERUki1QjUtn2qeUg0&amp;iradid=275988&amp;irpid=27795&amp;iradtype=ONLINE_TRACKING_LINK&amp;irmptype=mediapartner&amp;mp_value1=&amp;utm_campaign=af_impact_radius_27795&amp;utm_medium=affiliate&amp;utm_source=impact_radius" TargetMode="External"/><Relationship Id="rId21" Type="http://schemas.openxmlformats.org/officeDocument/2006/relationships/hyperlink" Target="https://www.youtube.com/channel/UC4wdBTbD8lWlhZdggG2YBlw" TargetMode="External"/><Relationship Id="rId24" Type="http://schemas.openxmlformats.org/officeDocument/2006/relationships/hyperlink" Target="https://www.youtube.com/watch?v=OhxoVNKXlSw" TargetMode="External"/><Relationship Id="rId23" Type="http://schemas.openxmlformats.org/officeDocument/2006/relationships/hyperlink" Target="https://www.youtube.com/watch?v=h_7cAmC4nTw" TargetMode="External"/><Relationship Id="rId26" Type="http://schemas.openxmlformats.org/officeDocument/2006/relationships/hyperlink" Target="https://eur04.safelinks.protection.outlook.com/?url=https%3A%2F%2Fwww.youtube.com%2Fwatch%3Fv%3DQOczdBlT2v4&amp;data=02%7C01%7C%7C846c57390c6b4dcc225a08d7f67c7884%7C84df9e7fe9f640afb435aaaaaaaaaaaa%7C1%7C0%7C637248886759798755&amp;sdata=DlZahVUpSNn%2FIL6MAN0IWexLtAkiZBrnCkZuHwrVCPk%3D&amp;reserved=0" TargetMode="External"/><Relationship Id="rId25" Type="http://schemas.openxmlformats.org/officeDocument/2006/relationships/hyperlink" Target="mailto:dgraber@cyberwise.org" TargetMode="External"/><Relationship Id="rId28" Type="http://schemas.openxmlformats.org/officeDocument/2006/relationships/hyperlink" Target="https://www.iit-bayarea.org/contact-us" TargetMode="External"/><Relationship Id="rId27" Type="http://schemas.openxmlformats.org/officeDocument/2006/relationships/hyperlink" Target="https://eur04.safelinks.protection.outlook.com/?url=https%3A%2F%2Fwww.youtube.com%2Fwatch%3Fv%3DuJboXgDoE1Y&amp;data=02%7C01%7C%7C846c57390c6b4dcc225a08d7f67c7884%7C84df9e7fe9f640afb435aaaaaaaaaaaa%7C1%7C0%7C637248886759808756&amp;sdata=axUZNi%2FSGnuxeMtc6l3rNQ9EZv9ZfAewTswKwiAY1gU%3D&amp;reserved=0" TargetMode="External"/><Relationship Id="rId29" Type="http://schemas.openxmlformats.org/officeDocument/2006/relationships/hyperlink" Target="https://www.youtube.com/watch?v=JNuaQrTubeI" TargetMode="External"/><Relationship Id="rId11" Type="http://schemas.openxmlformats.org/officeDocument/2006/relationships/hyperlink" Target="https://www.youtube.com/watch?v=VtvjbmoDx-I" TargetMode="External"/><Relationship Id="rId10" Type="http://schemas.openxmlformats.org/officeDocument/2006/relationships/hyperlink" Target="https://www.youtube.com/watch?v=MnrJzXM7a6o" TargetMode="External"/><Relationship Id="rId13" Type="http://schemas.openxmlformats.org/officeDocument/2006/relationships/hyperlink" Target="https://www.youtube.com/watch?v=YrJ192FahEg&amp;t=133s" TargetMode="External"/><Relationship Id="rId12" Type="http://schemas.openxmlformats.org/officeDocument/2006/relationships/hyperlink" Target="https://www.youtube.com/watch?v=HwgvlzBb6II" TargetMode="External"/><Relationship Id="rId15" Type="http://schemas.openxmlformats.org/officeDocument/2006/relationships/hyperlink" Target="https://www.viacbs.com/contact-us" TargetMode="External"/><Relationship Id="rId14" Type="http://schemas.openxmlformats.org/officeDocument/2006/relationships/hyperlink" Target="http://today.com/" TargetMode="External"/><Relationship Id="rId17" Type="http://schemas.openxmlformats.org/officeDocument/2006/relationships/hyperlink" Target="https://www.youtube.com/watch?v=_69sOxWU0jo" TargetMode="External"/><Relationship Id="rId16" Type="http://schemas.openxmlformats.org/officeDocument/2006/relationships/hyperlink" Target="http://today.com/" TargetMode="External"/><Relationship Id="rId19" Type="http://schemas.openxmlformats.org/officeDocument/2006/relationships/hyperlink" Target="https://www.cnsnews.com/contact-us" TargetMode="External"/><Relationship Id="rId18" Type="http://schemas.openxmlformats.org/officeDocument/2006/relationships/hyperlink" Target="https://www.youtube.com/watch?v=_UNKr7ot5J8" TargetMode="External"/><Relationship Id="rId84" Type="http://schemas.openxmlformats.org/officeDocument/2006/relationships/hyperlink" Target="https://www.youtube.com/watch?v=Xb7N3wu-_jA" TargetMode="External"/><Relationship Id="rId83" Type="http://schemas.openxmlformats.org/officeDocument/2006/relationships/hyperlink" Target="https://media.netflix.com/en/contact-us" TargetMode="External"/><Relationship Id="rId86" Type="http://schemas.openxmlformats.org/officeDocument/2006/relationships/hyperlink" Target="http://today.com/" TargetMode="External"/><Relationship Id="rId85" Type="http://schemas.openxmlformats.org/officeDocument/2006/relationships/hyperlink" Target="https://www.youtube.com/watch?v=-OtAu9190HE" TargetMode="External"/><Relationship Id="rId88" Type="http://schemas.openxmlformats.org/officeDocument/2006/relationships/hyperlink" Target="https://www.youtube.com/watch?v=4ezOfTp7S0c" TargetMode="External"/><Relationship Id="rId87" Type="http://schemas.openxmlformats.org/officeDocument/2006/relationships/hyperlink" Target="http://today.com/" TargetMode="External"/><Relationship Id="rId89" Type="http://schemas.openxmlformats.org/officeDocument/2006/relationships/hyperlink" Target="https://www.youtube.com/watch?v=lTev1oQntx0" TargetMode="External"/><Relationship Id="rId80" Type="http://schemas.openxmlformats.org/officeDocument/2006/relationships/hyperlink" Target="https://www.youtube.com/watch?v=D6lT6olaqh0" TargetMode="External"/><Relationship Id="rId82" Type="http://schemas.openxmlformats.org/officeDocument/2006/relationships/hyperlink" Target="https://www.youtube.com/watch?v=PAwREs7snJk" TargetMode="External"/><Relationship Id="rId81" Type="http://schemas.openxmlformats.org/officeDocument/2006/relationships/hyperlink" Target="https://www.youtube.com/watch?v=Gu-yvYuACcM" TargetMode="External"/><Relationship Id="rId73" Type="http://schemas.openxmlformats.org/officeDocument/2006/relationships/hyperlink" Target="https://www.youtube.com/watch?v=zKk9to7Zcdg" TargetMode="External"/><Relationship Id="rId72" Type="http://schemas.openxmlformats.org/officeDocument/2006/relationships/hyperlink" Target="https://www.youtube.com/watch?v=xpIs8Y9vgSs" TargetMode="External"/><Relationship Id="rId75" Type="http://schemas.openxmlformats.org/officeDocument/2006/relationships/hyperlink" Target="https://www.tencent.com/en-us/enquiry.html" TargetMode="External"/><Relationship Id="rId74" Type="http://schemas.openxmlformats.org/officeDocument/2006/relationships/hyperlink" Target="https://media-requests.ted.com/" TargetMode="External"/><Relationship Id="rId77" Type="http://schemas.openxmlformats.org/officeDocument/2006/relationships/hyperlink" Target="https://edition.cnn.com/videos/media/2018/12/23/netflix-is-growing-but-so-is-the-box-office-rs.cnn" TargetMode="External"/><Relationship Id="rId76" Type="http://schemas.openxmlformats.org/officeDocument/2006/relationships/hyperlink" Target="https://edition.cnn.com/2020/04/08/media/netflix-tiger-king-ratings/index.html" TargetMode="External"/><Relationship Id="rId79" Type="http://schemas.openxmlformats.org/officeDocument/2006/relationships/hyperlink" Target="https://www.youtube.com/channel/UC9ASLK8xI5sSrfGZXyC_16w" TargetMode="External"/><Relationship Id="rId78" Type="http://schemas.openxmlformats.org/officeDocument/2006/relationships/hyperlink" Target="https://www.youtube.com/watch?v=9hFn-dwWC9s" TargetMode="External"/><Relationship Id="rId71" Type="http://schemas.openxmlformats.org/officeDocument/2006/relationships/hyperlink" Target="https://www.youtube.com/watch?v=s20uxPAQ-Jk&amp;amp=&amp;t=1s" TargetMode="External"/><Relationship Id="rId70" Type="http://schemas.openxmlformats.org/officeDocument/2006/relationships/hyperlink" Target="https://www.youtube.com/watch?v=m5yFhJFqw5w" TargetMode="External"/><Relationship Id="rId62" Type="http://schemas.openxmlformats.org/officeDocument/2006/relationships/hyperlink" Target="https://www.youtube.com/watch?v=cUNX3azkZyk" TargetMode="External"/><Relationship Id="rId61" Type="http://schemas.openxmlformats.org/officeDocument/2006/relationships/hyperlink" Target="mailto:management@parishiltonentertainment.com" TargetMode="External"/><Relationship Id="rId64" Type="http://schemas.openxmlformats.org/officeDocument/2006/relationships/hyperlink" Target="mailto:rights@pbs.org" TargetMode="External"/><Relationship Id="rId63" Type="http://schemas.openxmlformats.org/officeDocument/2006/relationships/hyperlink" Target="https://www.youtube.com/watch?v=DTgbljjd2bA" TargetMode="External"/><Relationship Id="rId66" Type="http://schemas.openxmlformats.org/officeDocument/2006/relationships/hyperlink" Target="https://www.youtube.com/watch?v=GRRj9UjFI0U" TargetMode="External"/><Relationship Id="rId65" Type="http://schemas.openxmlformats.org/officeDocument/2006/relationships/hyperlink" Target="https://www.youtube.com/watch?v=GFvV7fTmd5c" TargetMode="External"/><Relationship Id="rId68" Type="http://schemas.openxmlformats.org/officeDocument/2006/relationships/hyperlink" Target="https://www.youtube.com/watch?v=Huju5McKgIU" TargetMode="External"/><Relationship Id="rId67" Type="http://schemas.openxmlformats.org/officeDocument/2006/relationships/hyperlink" Target="https://cbchelp.cbc.ca/hc/en-ca/requests/new?ticket_form_id=114094002553" TargetMode="External"/><Relationship Id="rId60" Type="http://schemas.openxmlformats.org/officeDocument/2006/relationships/hyperlink" Target="https://www.youtube.com/watch?v=-F-cHLMkrXM" TargetMode="External"/><Relationship Id="rId69" Type="http://schemas.openxmlformats.org/officeDocument/2006/relationships/hyperlink" Target="https://www.youtube.com/watch?v=LgF3xh76Hcg" TargetMode="External"/><Relationship Id="rId51" Type="http://schemas.openxmlformats.org/officeDocument/2006/relationships/hyperlink" Target="https://www.youtube.com/channel/UCZhYvuDGIWffl5RuIbbMx3Q" TargetMode="External"/><Relationship Id="rId50" Type="http://schemas.openxmlformats.org/officeDocument/2006/relationships/hyperlink" Target="https://nam10.safelinks.protection.outlook.com/?url=https%3A%2F%2Fwww.youtube.com%2Fwatch%3Fv%3DirHP3znqwq8&amp;data=02%7C01%7C%7C01872ddbc3d242e68f2508d7f5bff332%7C84df9e7fe9f640afb435aaaaaaaaaaaa%7C1%7C0%7C637248077072249555&amp;sdata=Jp%2FWRUEae%2FoAsJT4CwZ19zb59HrLQHDfK6oeFDMeC4Q%3D&amp;reserved=0" TargetMode="External"/><Relationship Id="rId53" Type="http://schemas.openxmlformats.org/officeDocument/2006/relationships/hyperlink" Target="https://www.youtube.com/channel/UCZhYvuDGIWffl5RuIbbMx3Q" TargetMode="External"/><Relationship Id="rId52" Type="http://schemas.openxmlformats.org/officeDocument/2006/relationships/hyperlink" Target="mailto:info@nationalcentreforwriting.org.uk" TargetMode="External"/><Relationship Id="rId55" Type="http://schemas.openxmlformats.org/officeDocument/2006/relationships/hyperlink" Target="https://www.youtube.com/watch?v=PACo1W9A99g" TargetMode="External"/><Relationship Id="rId54" Type="http://schemas.openxmlformats.org/officeDocument/2006/relationships/hyperlink" Target="https://www.facebook.com/cheddar/videos/2009446092709452" TargetMode="External"/><Relationship Id="rId57" Type="http://schemas.openxmlformats.org/officeDocument/2006/relationships/hyperlink" Target="https://docs.google.com/forms/d/e/1FAIpQLSd_SU0PqeJHv7eBSWtJWIG74-WT78ocm1u9CnIFJqw6RhUbLQ/viewform" TargetMode="External"/><Relationship Id="rId56" Type="http://schemas.openxmlformats.org/officeDocument/2006/relationships/hyperlink" Target="https://media.netflix.com/en/contact-us" TargetMode="External"/><Relationship Id="rId59" Type="http://schemas.openxmlformats.org/officeDocument/2006/relationships/hyperlink" Target="https://www.cnbc.com/2018/06/22/game-of-thrones-nikolaj-coster-waldau-talks-about-his-humanitarian-work-including-lions-share-fund.html" TargetMode="External"/><Relationship Id="rId58" Type="http://schemas.openxmlformats.org/officeDocument/2006/relationships/hyperlink" Target="https://www.youtube.com/watch?v=BcNePdXT5Xo" TargetMode="External"/><Relationship Id="rId107" Type="http://schemas.openxmlformats.org/officeDocument/2006/relationships/hyperlink" Target="https://www.youtube.com/watch?v=jottDMuLesU" TargetMode="External"/><Relationship Id="rId228" Type="http://schemas.openxmlformats.org/officeDocument/2006/relationships/hyperlink" Target="https://www.youtube.com/watch?v=3ahvWdORJ20&amp;list=PLIx2W_gDlNxcETSQKknUZXJi_ZU9fCF7r&amp;index=19&amp;t=0s" TargetMode="External"/><Relationship Id="rId106" Type="http://schemas.openxmlformats.org/officeDocument/2006/relationships/hyperlink" Target="https://www.youtube.com/watch?v=Js04hvdVUA8" TargetMode="External"/><Relationship Id="rId227" Type="http://schemas.openxmlformats.org/officeDocument/2006/relationships/hyperlink" Target="https://www.youtube.com/watch?v=1qpcdywb6Hw" TargetMode="External"/><Relationship Id="rId105" Type="http://schemas.openxmlformats.org/officeDocument/2006/relationships/hyperlink" Target="https://www.youtube.com/watch?v=J2tMMb4rh1c" TargetMode="External"/><Relationship Id="rId226" Type="http://schemas.openxmlformats.org/officeDocument/2006/relationships/hyperlink" Target="https://www.youtube.com/watch?v=X7NDMCuBfsc" TargetMode="External"/><Relationship Id="rId104" Type="http://schemas.openxmlformats.org/officeDocument/2006/relationships/hyperlink" Target="https://www.youtube.com/watch?v=0EFHbruKEmw" TargetMode="External"/><Relationship Id="rId225" Type="http://schemas.openxmlformats.org/officeDocument/2006/relationships/hyperlink" Target="https://nam12.safelinks.protection.outlook.com/?url=https%3A%2F%2Fwww.youtube.com%2Fwatch%3Fv%3DP9RYsyeri7A&amp;data=02%7C01%7C%7Cf1133bcafbda47ec32b508d7fd65c426%7C84df9e7fe9f640afb435aaaaaaaaaaaa%7C1%7C0%7C637256485825589633&amp;sdata=qFj0oU1Tcv1uJlZPM%2FA8S3ScJYPG7j0K%2BPEhVcfYoEs%3D&amp;reserved=0" TargetMode="External"/><Relationship Id="rId109" Type="http://schemas.openxmlformats.org/officeDocument/2006/relationships/hyperlink" Target="https://eur04.safelinks.protection.outlook.com/?url=https%3A%2F%2Fwww.youtube.com%2Fwatch%3Fv%3DMsGgZp_PAzM&amp;data=02%7C01%7C%7C846c57390c6b4dcc225a08d7f67c7884%7C84df9e7fe9f640afb435aaaaaaaaaaaa%7C1%7C0%7C637248886759788759&amp;sdata=%2FoAqDqVAZxmNLaqjZJTuE2MkWMzCpgMkM9TVtb42vw0%3D&amp;reserved=0" TargetMode="External"/><Relationship Id="rId108" Type="http://schemas.openxmlformats.org/officeDocument/2006/relationships/hyperlink" Target="https://www.apple.com/legal/contact/rights-permissions.html" TargetMode="External"/><Relationship Id="rId229" Type="http://schemas.openxmlformats.org/officeDocument/2006/relationships/hyperlink" Target="https://www.youtube.com/watch?v=BeOvKjWgIvg&amp;list=PLIx2W_gDlNxcETSQKknUZXJi_ZU9fCF7r&amp;index=6&amp;t=0s" TargetMode="External"/><Relationship Id="rId220" Type="http://schemas.openxmlformats.org/officeDocument/2006/relationships/hyperlink" Target="https://www.youtube.com/watch?v=pCtgMNnsD10" TargetMode="External"/><Relationship Id="rId103" Type="http://schemas.openxmlformats.org/officeDocument/2006/relationships/hyperlink" Target="https://www.youtube.com/watch?v=h8Ql0tXWlu8" TargetMode="External"/><Relationship Id="rId224" Type="http://schemas.openxmlformats.org/officeDocument/2006/relationships/hyperlink" Target="https://www.youtube.com/watch?v=Rrbj2lHf70M" TargetMode="External"/><Relationship Id="rId102" Type="http://schemas.openxmlformats.org/officeDocument/2006/relationships/hyperlink" Target="https://www.youtube.com/watch?v=_VPi_PIVs5U" TargetMode="External"/><Relationship Id="rId223" Type="http://schemas.openxmlformats.org/officeDocument/2006/relationships/hyperlink" Target="https://www.youtube.com/watch?v=9XrE41Wu3U0" TargetMode="External"/><Relationship Id="rId101" Type="http://schemas.openxmlformats.org/officeDocument/2006/relationships/hyperlink" Target="https://www.youtube.com/watch?v=Uppg_2nGo54" TargetMode="External"/><Relationship Id="rId222" Type="http://schemas.openxmlformats.org/officeDocument/2006/relationships/hyperlink" Target="https://youtu.be/iR7MZRv3aKw" TargetMode="External"/><Relationship Id="rId100" Type="http://schemas.openxmlformats.org/officeDocument/2006/relationships/hyperlink" Target="https://nam10.safelinks.protection.outlook.com/?url=https%3A%2F%2Fwww.youtube.com%2Fwatch%3Fv%3DV4o0B6IDo50&amp;data=02%7C01%7C%7C01872ddbc3d242e68f2508d7f5bff332%7C84df9e7fe9f640afb435aaaaaaaaaaaa%7C1%7C0%7C637248077072249555&amp;sdata=2sxtu%2F%2FfbPEI%2FN43HzbKv%2FJNX3yJleymhAAJM%2Bb6%2BlU%3D&amp;reserved=0" TargetMode="External"/><Relationship Id="rId221" Type="http://schemas.openxmlformats.org/officeDocument/2006/relationships/hyperlink" Target="https://youtu.be/62hVw6mGl-8" TargetMode="External"/><Relationship Id="rId217" Type="http://schemas.openxmlformats.org/officeDocument/2006/relationships/hyperlink" Target="https://www.youtube.com/watch?v=rmd9OaI1L0I" TargetMode="External"/><Relationship Id="rId216" Type="http://schemas.openxmlformats.org/officeDocument/2006/relationships/hyperlink" Target="https://www.youtube.com/watch?v=5JsidV4OvTM" TargetMode="External"/><Relationship Id="rId215" Type="http://schemas.openxmlformats.org/officeDocument/2006/relationships/hyperlink" Target="https://www.youtube.com/watch?v=WkIOaS3HFQo" TargetMode="External"/><Relationship Id="rId214" Type="http://schemas.openxmlformats.org/officeDocument/2006/relationships/hyperlink" Target="https://www.youtube.com/watch?v=zZ__0kbaVzc" TargetMode="External"/><Relationship Id="rId219" Type="http://schemas.openxmlformats.org/officeDocument/2006/relationships/hyperlink" Target="https://www.youtube.com/watch?v=M__ayZgBUTE" TargetMode="External"/><Relationship Id="rId218" Type="http://schemas.openxmlformats.org/officeDocument/2006/relationships/hyperlink" Target="https://www.youtube.com/watch?v=SAK0Xm_F8Mk" TargetMode="External"/><Relationship Id="rId213" Type="http://schemas.openxmlformats.org/officeDocument/2006/relationships/hyperlink" Target="https://pixabay.com/videos/welcome-hologram-business-woman-24829/" TargetMode="External"/><Relationship Id="rId212" Type="http://schemas.openxmlformats.org/officeDocument/2006/relationships/hyperlink" Target="https://pixabay.com/videos/social-media-smart-phone-mobile-1360/" TargetMode="External"/><Relationship Id="rId211" Type="http://schemas.openxmlformats.org/officeDocument/2006/relationships/hyperlink" Target="https://pixabay.com/videos/seoul-traffic-cars-city-speed-21118/" TargetMode="External"/><Relationship Id="rId210" Type="http://schemas.openxmlformats.org/officeDocument/2006/relationships/hyperlink" Target="https://pixabay.com/videos/rocket-launch-cape-caneveral-nasa-228/" TargetMode="External"/><Relationship Id="rId129" Type="http://schemas.openxmlformats.org/officeDocument/2006/relationships/hyperlink" Target="https://www.youtube.com/watch?v=78jLBNSqc3g" TargetMode="External"/><Relationship Id="rId128" Type="http://schemas.openxmlformats.org/officeDocument/2006/relationships/hyperlink" Target="https://www.youtube.com/watch?v=rLAvkbFugEI&amp;feature=emb_logo" TargetMode="External"/><Relationship Id="rId249" Type="http://schemas.openxmlformats.org/officeDocument/2006/relationships/hyperlink" Target="https://www.youtube.com/watch?v=fkNb1dedlkw" TargetMode="External"/><Relationship Id="rId127" Type="http://schemas.openxmlformats.org/officeDocument/2006/relationships/hyperlink" Target="https://www.youtube.com/watch?v=mVudFaYSjq0" TargetMode="External"/><Relationship Id="rId248" Type="http://schemas.openxmlformats.org/officeDocument/2006/relationships/hyperlink" Target="https://www.youtube.com/watch?v=6laUW5j_YZw" TargetMode="External"/><Relationship Id="rId126" Type="http://schemas.openxmlformats.org/officeDocument/2006/relationships/hyperlink" Target="https://www.youtube.com/watch?v=RlfFeYp4zm0" TargetMode="External"/><Relationship Id="rId247" Type="http://schemas.openxmlformats.org/officeDocument/2006/relationships/hyperlink" Target="https://www.youtube.com/watch?v=dyuLfmT49XE" TargetMode="External"/><Relationship Id="rId121" Type="http://schemas.openxmlformats.org/officeDocument/2006/relationships/hyperlink" Target="https://www.youtube.com/watch?v=fp3L7Sy9Sp0" TargetMode="External"/><Relationship Id="rId242" Type="http://schemas.openxmlformats.org/officeDocument/2006/relationships/hyperlink" Target="https://www.youtube.com/watch?v=MyKWGeoK-E0" TargetMode="External"/><Relationship Id="rId120" Type="http://schemas.openxmlformats.org/officeDocument/2006/relationships/hyperlink" Target="mailto:info.europe@kellogg.com" TargetMode="External"/><Relationship Id="rId241" Type="http://schemas.openxmlformats.org/officeDocument/2006/relationships/hyperlink" Target="https://www.youtube.com/watch?v=NVFcbo6h_vE" TargetMode="External"/><Relationship Id="rId240" Type="http://schemas.openxmlformats.org/officeDocument/2006/relationships/hyperlink" Target="https://www.youtube.com/watch?v=kqUR3KtWbTk" TargetMode="External"/><Relationship Id="rId125" Type="http://schemas.openxmlformats.org/officeDocument/2006/relationships/hyperlink" Target="https://www.youtube.com/watch?v=RCEdz_poAAM" TargetMode="External"/><Relationship Id="rId246" Type="http://schemas.openxmlformats.org/officeDocument/2006/relationships/hyperlink" Target="https://www.youtube.com/watch?v=3pBHG366EhM" TargetMode="External"/><Relationship Id="rId124" Type="http://schemas.openxmlformats.org/officeDocument/2006/relationships/hyperlink" Target="https://www.youtube.com/watch?v=SCrkZOx5Q1M" TargetMode="External"/><Relationship Id="rId245" Type="http://schemas.openxmlformats.org/officeDocument/2006/relationships/hyperlink" Target="https://www.youtube.com/watch?v=9x6Fqgu5y0Y" TargetMode="External"/><Relationship Id="rId123" Type="http://schemas.openxmlformats.org/officeDocument/2006/relationships/hyperlink" Target="https://www.youtube.com/watch?v=RbYGahuY45k" TargetMode="External"/><Relationship Id="rId244" Type="http://schemas.openxmlformats.org/officeDocument/2006/relationships/hyperlink" Target="https://www.youtube.com/watch?v=mrnXv-g4yKU" TargetMode="External"/><Relationship Id="rId122" Type="http://schemas.openxmlformats.org/officeDocument/2006/relationships/hyperlink" Target="https://www.youtube.com/watch?v=jAlDMYyWPis" TargetMode="External"/><Relationship Id="rId243" Type="http://schemas.openxmlformats.org/officeDocument/2006/relationships/hyperlink" Target="https://www.youtube.com/watch?v=7V6FFeZdFz4" TargetMode="External"/><Relationship Id="rId95" Type="http://schemas.openxmlformats.org/officeDocument/2006/relationships/hyperlink" Target="https://www.youtube.com/watch?v=RR2EI8EEOOw" TargetMode="External"/><Relationship Id="rId94" Type="http://schemas.openxmlformats.org/officeDocument/2006/relationships/hyperlink" Target="https://www.gettyimages.ie/customer-support" TargetMode="External"/><Relationship Id="rId97" Type="http://schemas.openxmlformats.org/officeDocument/2006/relationships/hyperlink" Target="mailto:mnc5000@psu.edu" TargetMode="External"/><Relationship Id="rId96" Type="http://schemas.openxmlformats.org/officeDocument/2006/relationships/hyperlink" Target="https://wwd.com/contact-editorial/" TargetMode="External"/><Relationship Id="rId99" Type="http://schemas.openxmlformats.org/officeDocument/2006/relationships/hyperlink" Target="mailto:info@wrelief.com" TargetMode="External"/><Relationship Id="rId98" Type="http://schemas.openxmlformats.org/officeDocument/2006/relationships/hyperlink" Target="https://www.youtube.com/watch?v=zg4LOcvdawI" TargetMode="External"/><Relationship Id="rId91" Type="http://schemas.openxmlformats.org/officeDocument/2006/relationships/hyperlink" Target="https://www.youtube.com/watch?v=jyxS2bvQGxc" TargetMode="External"/><Relationship Id="rId90" Type="http://schemas.openxmlformats.org/officeDocument/2006/relationships/hyperlink" Target="https://www.djreprints.com/content-images-request-quote/" TargetMode="External"/><Relationship Id="rId93" Type="http://schemas.openxmlformats.org/officeDocument/2006/relationships/hyperlink" Target="https://www.youtube.com/watch?v=hMtABzjslXA" TargetMode="External"/><Relationship Id="rId92" Type="http://schemas.openxmlformats.org/officeDocument/2006/relationships/hyperlink" Target="https://www.youtube.com/channel/UCZhYvuDGIWffl5RuIbbMx3Q" TargetMode="External"/><Relationship Id="rId118" Type="http://schemas.openxmlformats.org/officeDocument/2006/relationships/hyperlink" Target="https://www.youtube.com/watch?v=qs2BRSWzrJE" TargetMode="External"/><Relationship Id="rId239" Type="http://schemas.openxmlformats.org/officeDocument/2006/relationships/hyperlink" Target="https://www.youtube.com/watch?v=UFpI87eWcfo" TargetMode="External"/><Relationship Id="rId117" Type="http://schemas.openxmlformats.org/officeDocument/2006/relationships/hyperlink" Target="http://www.palomaronline.com/en/contacts" TargetMode="External"/><Relationship Id="rId238" Type="http://schemas.openxmlformats.org/officeDocument/2006/relationships/hyperlink" Target="https://www.youtube.com/watch?v=sHYY9RVRJF0" TargetMode="External"/><Relationship Id="rId116" Type="http://schemas.openxmlformats.org/officeDocument/2006/relationships/hyperlink" Target="https://www.youtube.com/watch?v=mnM3YLcIJLg" TargetMode="External"/><Relationship Id="rId237" Type="http://schemas.openxmlformats.org/officeDocument/2006/relationships/hyperlink" Target="https://www.youtube.com/watch?v=gbbEXnRG9d8" TargetMode="External"/><Relationship Id="rId115" Type="http://schemas.openxmlformats.org/officeDocument/2006/relationships/hyperlink" Target="https://nam10.safelinks.protection.outlook.com/?url=https%3A%2F%2Fwww.youtube.com%2Fwatch%3Fv%3DDUJwyzW4HNI&amp;data=02%7C01%7C%7C01872ddbc3d242e68f2508d7f5bff332%7C84df9e7fe9f640afb435aaaaaaaaaaaa%7C1%7C0%7C637248077072239557&amp;sdata=c%2F9p%2BXGgUL75IKTmWl4XfGFDVS1SzIe06%2FLt9XYkTa8%3D&amp;reserved=0" TargetMode="External"/><Relationship Id="rId236" Type="http://schemas.openxmlformats.org/officeDocument/2006/relationships/hyperlink" Target="https://www.youtube.com/watch?v=AO4In7d6X-c" TargetMode="External"/><Relationship Id="rId119" Type="http://schemas.openxmlformats.org/officeDocument/2006/relationships/hyperlink" Target="https://www.youtube.com/watch?v=pPj-TT8K5vA" TargetMode="External"/><Relationship Id="rId110" Type="http://schemas.openxmlformats.org/officeDocument/2006/relationships/hyperlink" Target="https://www.youtube.com/watch?v=Tbds365RQvE" TargetMode="External"/><Relationship Id="rId231" Type="http://schemas.openxmlformats.org/officeDocument/2006/relationships/hyperlink" Target="https://www.youtube.com/watch?v=q-pQjATBXjE&amp;list=PLIx2W_gDlNxcETSQKknUZXJi_ZU9fCF7r&amp;index=17&amp;t=0s" TargetMode="External"/><Relationship Id="rId230" Type="http://schemas.openxmlformats.org/officeDocument/2006/relationships/hyperlink" Target="https://www.youtube.com/watch?v=N-BcOPnpH8Y" TargetMode="External"/><Relationship Id="rId114" Type="http://schemas.openxmlformats.org/officeDocument/2006/relationships/hyperlink" Target="https://www.youtube.com/watch?v=RzkZ_YElryQ" TargetMode="External"/><Relationship Id="rId235" Type="http://schemas.openxmlformats.org/officeDocument/2006/relationships/hyperlink" Target="https://www.youtube.com/watch?v=tAhxi8WldCU" TargetMode="External"/><Relationship Id="rId113" Type="http://schemas.openxmlformats.org/officeDocument/2006/relationships/hyperlink" Target="https://www.youtube.com/watch?v=oiAFAYE_HLo" TargetMode="External"/><Relationship Id="rId234" Type="http://schemas.openxmlformats.org/officeDocument/2006/relationships/hyperlink" Target="https://nam10.safelinks.protection.outlook.com/?url=https%3A%2F%2Fwww.youtube.com%2Fwatch%3Fv%3D0xiza_x_IeY%26t%3D746s&amp;data=02%7C01%7C%7C01872ddbc3d242e68f2508d7f5bff332%7C84df9e7fe9f640afb435aaaaaaaaaaaa%7C1%7C0%7C637248077072259543&amp;sdata=wc%2FHlznTWfC%2FhPxhc58KkEtLORRn7%2BfWnDi1mi9HOsg%3D&amp;reserved=0" TargetMode="External"/><Relationship Id="rId112" Type="http://schemas.openxmlformats.org/officeDocument/2006/relationships/hyperlink" Target="https://www.youtube.com/watch?v=KeQFTe6WpHs" TargetMode="External"/><Relationship Id="rId233" Type="http://schemas.openxmlformats.org/officeDocument/2006/relationships/hyperlink" Target="https://www.youtube.com/watch?v=3hqRsIix5CQ" TargetMode="External"/><Relationship Id="rId111" Type="http://schemas.openxmlformats.org/officeDocument/2006/relationships/hyperlink" Target="https://youtu.be/HA2PFGyCoes" TargetMode="External"/><Relationship Id="rId232" Type="http://schemas.openxmlformats.org/officeDocument/2006/relationships/hyperlink" Target="https://www.youtube.com/watch?v=lB95KLmpLR4" TargetMode="External"/><Relationship Id="rId206" Type="http://schemas.openxmlformats.org/officeDocument/2006/relationships/hyperlink" Target="https://pixabay.com/videos/glitch-code-programming-hacker-27706/" TargetMode="External"/><Relationship Id="rId205" Type="http://schemas.openxmlformats.org/officeDocument/2006/relationships/hyperlink" Target="https://pixabay.com/videos/finance-numbers-calculate-maths-5438/" TargetMode="External"/><Relationship Id="rId204" Type="http://schemas.openxmlformats.org/officeDocument/2006/relationships/hyperlink" Target="https://www.youtube.com/watch?v=k-jGs5kyuXo" TargetMode="External"/><Relationship Id="rId203" Type="http://schemas.openxmlformats.org/officeDocument/2006/relationships/hyperlink" Target="https://www.instagram.com/p/B_xnmilJ13d/" TargetMode="External"/><Relationship Id="rId209" Type="http://schemas.openxmlformats.org/officeDocument/2006/relationships/hyperlink" Target="https://pixabay.com/videos/nebula-star-constellation-cosmos-25168/" TargetMode="External"/><Relationship Id="rId208" Type="http://schemas.openxmlformats.org/officeDocument/2006/relationships/hyperlink" Target="https://pixabay.com/videos/milky-way-sky-starry-sky-night-10339/" TargetMode="External"/><Relationship Id="rId207" Type="http://schemas.openxmlformats.org/officeDocument/2006/relationships/hyperlink" Target="https://pixabay.com/videos/keyboard-hands-writing-computer-1046/" TargetMode="External"/><Relationship Id="rId202" Type="http://schemas.openxmlformats.org/officeDocument/2006/relationships/hyperlink" Target="https://www.instagram.com/p/B_x12VRpf_c/" TargetMode="External"/><Relationship Id="rId201" Type="http://schemas.openxmlformats.org/officeDocument/2006/relationships/hyperlink" Target="https://www.youtube.com/watch?v=Yk7LRdqwrm8" TargetMode="External"/><Relationship Id="rId200" Type="http://schemas.openxmlformats.org/officeDocument/2006/relationships/hyperlink" Target="https://www.youtube.com/watch?v=pA7ibu2J4Ws"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 t="str">
        <f>IFERROR(__xludf.DUMMYFUNCTION("IF(ISERROR(IMPORTRANGE(""https://docs.google.com/spreadsheets/d/1giNx-yVE0ZeqC5AYTzjk_FBmjgA6uCuiQxg9bScgevY/edit#gid=1281299763"", ""Channels 1-4 + Surplus!A2:AA"")),IF(ISERROR(IMPORTRANGE(""https://docs.google.com/spreadsheets/d/1giNx-yVE0ZeqC5AYTzjk_FB"&amp;"mjgA6uCuiQxg9bScgevY/edit#gid=1281299763"", ""Channels 1-4 + Surplus!A2:AA"")),IMPORTRANGE(""https://docs.google.com/spreadsheets/d/1giNx-yVE0ZeqC5AYTzjk_FBmjgA6uCuiQxg9bScgevY/edit#gid=1281299763"", ""Channels 1-4 + Surplus!A2:AA""),IMPORTRANGE(""https:/"&amp;"/docs.google.com/spreadsheets/d/1giNx-yVE0ZeqC5AYTzjk_FBmjgA6uCuiQxg9bScgevY/edit#gid=1281299763"", ""Channels 1-4 + Surplus!A2:AA"")),IMPORTRANGE(""https://docs.google.com/spreadsheets/d/1giNx-yVE0ZeqC5AYTzjk_FBmjgA6uCuiQxg9bScgevY/edit#gid=1281299763"","&amp;" ""Channels 1-4 + Surplus!A2:AA""))
"),"Index")</f>
        <v>Index</v>
      </c>
      <c r="B1" s="3" t="str">
        <f>IFERROR(__xludf.DUMMYFUNCTION("""COMPUTED_VALUE"""),"Channel")</f>
        <v>Channel</v>
      </c>
      <c r="C1" s="3" t="str">
        <f>IFERROR(__xludf.DUMMYFUNCTION("""COMPUTED_VALUE"""),"Date")</f>
        <v>Date</v>
      </c>
      <c r="D1" s="10" t="str">
        <f>IFERROR(__xludf.DUMMYFUNCTION("""COMPUTED_VALUE"""),"Start")</f>
        <v>Start</v>
      </c>
      <c r="E1" s="10" t="str">
        <f>IFERROR(__xludf.DUMMYFUNCTION("""COMPUTED_VALUE"""),"Duration")</f>
        <v>Duration</v>
      </c>
      <c r="F1" s="10" t="str">
        <f>IFERROR(__xludf.DUMMYFUNCTION("""COMPUTED_VALUE"""),"End")</f>
        <v>End</v>
      </c>
      <c r="G1" s="3" t="str">
        <f>IFERROR(__xludf.DUMMYFUNCTION("""COMPUTED_VALUE"""),"Producer ")</f>
        <v>Producer </v>
      </c>
      <c r="H1" s="3" t="str">
        <f>IFERROR(__xludf.DUMMYFUNCTION("""COMPUTED_VALUE"""),"Media
owner")</f>
        <v>Media
owner</v>
      </c>
      <c r="I1" s="3" t="str">
        <f>IFERROR(__xludf.DUMMYFUNCTION("""COMPUTED_VALUE"""),"Fulfilment
owner")</f>
        <v>Fulfilment
owner</v>
      </c>
      <c r="J1" s="3" t="str">
        <f>IFERROR(__xludf.DUMMYFUNCTION("""COMPUTED_VALUE"""),"Track")</f>
        <v>Track</v>
      </c>
      <c r="K1" s="3" t="str">
        <f>IFERROR(__xludf.DUMMYFUNCTION("""COMPUTED_VALUE"""),"Format")</f>
        <v>Format</v>
      </c>
      <c r="L1" s="3" t="str">
        <f>IFERROR(__xludf.DUMMYFUNCTION("""COMPUTED_VALUE"""),"Video due
Tag Hannah if you update the video due date")</f>
        <v>Video due
Tag Hannah if you update the video due date</v>
      </c>
      <c r="M1" s="3" t="str">
        <f>IFERROR(__xludf.DUMMYFUNCTION("""COMPUTED_VALUE"""),"Title (55 Characters)")</f>
        <v>Title (55 Characters)</v>
      </c>
      <c r="N1" s="3" t="str">
        <f>IFERROR(__xludf.DUMMYFUNCTION("""COMPUTED_VALUE"""),"Speaker 1")</f>
        <v>Speaker 1</v>
      </c>
      <c r="O1" s="3" t="str">
        <f>IFERROR(__xludf.DUMMYFUNCTION("""COMPUTED_VALUE"""),"Speaker 2")</f>
        <v>Speaker 2</v>
      </c>
      <c r="P1" s="3" t="str">
        <f>IFERROR(__xludf.DUMMYFUNCTION("""COMPUTED_VALUE"""),"Speaker 3")</f>
        <v>Speaker 3</v>
      </c>
      <c r="Q1" s="3" t="str">
        <f>IFERROR(__xludf.DUMMYFUNCTION("""COMPUTED_VALUE"""),"Speaker 4")</f>
        <v>Speaker 4</v>
      </c>
      <c r="R1" s="3" t="str">
        <f>IFERROR(__xludf.DUMMYFUNCTION("""COMPUTED_VALUE"""),"Moderator")</f>
        <v>Moderator</v>
      </c>
      <c r="S1" s="3" t="str">
        <f>IFERROR(__xludf.DUMMYFUNCTION("""COMPUTED_VALUE"""),"Description")</f>
        <v>Description</v>
      </c>
      <c r="T1" s="3" t="str">
        <f>IFERROR(__xludf.DUMMYFUNCTION("""COMPUTED_VALUE"""),"Steps")</f>
        <v>Steps</v>
      </c>
      <c r="U1" s="13" t="str">
        <f>IFERROR(__xludf.DUMMYFUNCTION("""COMPUTED_VALUE"""),"Call date
dd/mm")</f>
        <v>Call date
dd/mm</v>
      </c>
      <c r="V1" s="3" t="str">
        <f>IFERROR(__xludf.DUMMYFUNCTION("""COMPUTED_VALUE"""),"Call time 
Irish time zone
hh:mm 24 HR")</f>
        <v>Call time 
Irish time zone
hh:mm 24 HR</v>
      </c>
      <c r="W1" s="3" t="str">
        <f>IFERROR(__xludf.DUMMYFUNCTION("""COMPUTED_VALUE"""),"Zoom link")</f>
        <v>Zoom link</v>
      </c>
      <c r="X1" s="3" t="str">
        <f>IFERROR(__xludf.DUMMYFUNCTION("""COMPUTED_VALUE"""),"Call producer")</f>
        <v>Call producer</v>
      </c>
      <c r="Y1" s="3" t="str">
        <f>IFERROR(__xludf.DUMMYFUNCTION("""COMPUTED_VALUE"""),"Presentation, Slides 
Submission ID")</f>
        <v>Presentation, Slides 
Submission ID</v>
      </c>
      <c r="Z1" s="3"/>
      <c r="AA1" s="3"/>
      <c r="AB1" s="3"/>
      <c r="AC1" s="3"/>
      <c r="AD1" s="3"/>
      <c r="AE1" s="3"/>
      <c r="AF1" s="3"/>
      <c r="AG1" s="3"/>
      <c r="AH1" s="3"/>
      <c r="AI1" s="3"/>
      <c r="AJ1" s="3"/>
      <c r="AK1" s="3"/>
    </row>
    <row r="2">
      <c r="A2" s="4" t="str">
        <f>IFERROR(__xludf.DUMMYFUNCTION("""COMPUTED_VALUE"""),"1 - Channel")</f>
        <v>1 - Channel</v>
      </c>
      <c r="B2" s="4" t="str">
        <f>IFERROR(__xludf.DUMMYFUNCTION("""COMPUTED_VALUE"""),"CHANNEL 1")</f>
        <v>CHANNEL 1</v>
      </c>
      <c r="C2" s="4" t="str">
        <f>IFERROR(__xludf.DUMMYFUNCTION("""COMPUTED_VALUE"""),"")</f>
        <v/>
      </c>
      <c r="D2" s="4" t="str">
        <f>IFERROR(__xludf.DUMMYFUNCTION("""COMPUTED_VALUE"""),"")</f>
        <v/>
      </c>
      <c r="E2" s="4" t="str">
        <f>IFERROR(__xludf.DUMMYFUNCTION("""COMPUTED_VALUE"""),"")</f>
        <v/>
      </c>
      <c r="F2" s="4" t="str">
        <f>IFERROR(__xludf.DUMMYFUNCTION("""COMPUTED_VALUE"""),"")</f>
        <v/>
      </c>
      <c r="G2" s="4" t="str">
        <f>IFERROR(__xludf.DUMMYFUNCTION("""COMPUTED_VALUE"""),"")</f>
        <v/>
      </c>
      <c r="H2" s="4" t="str">
        <f>IFERROR(__xludf.DUMMYFUNCTION("""COMPUTED_VALUE"""),"")</f>
        <v/>
      </c>
      <c r="I2" s="4" t="str">
        <f>IFERROR(__xludf.DUMMYFUNCTION("""COMPUTED_VALUE"""),"")</f>
        <v/>
      </c>
      <c r="J2" s="4" t="str">
        <f>IFERROR(__xludf.DUMMYFUNCTION("""COMPUTED_VALUE"""),"")</f>
        <v/>
      </c>
      <c r="K2" s="4" t="str">
        <f>IFERROR(__xludf.DUMMYFUNCTION("""COMPUTED_VALUE"""),"")</f>
        <v/>
      </c>
      <c r="L2" s="4" t="str">
        <f>IFERROR(__xludf.DUMMYFUNCTION("""COMPUTED_VALUE"""),"")</f>
        <v/>
      </c>
      <c r="M2" s="4" t="str">
        <f>IFERROR(__xludf.DUMMYFUNCTION("""COMPUTED_VALUE"""),"")</f>
        <v/>
      </c>
      <c r="N2" s="4" t="str">
        <f>IFERROR(__xludf.DUMMYFUNCTION("""COMPUTED_VALUE"""),"")</f>
        <v/>
      </c>
      <c r="O2" s="4" t="str">
        <f>IFERROR(__xludf.DUMMYFUNCTION("""COMPUTED_VALUE"""),"")</f>
        <v/>
      </c>
      <c r="P2" s="4" t="str">
        <f>IFERROR(__xludf.DUMMYFUNCTION("""COMPUTED_VALUE"""),"")</f>
        <v/>
      </c>
      <c r="Q2" s="4" t="str">
        <f>IFERROR(__xludf.DUMMYFUNCTION("""COMPUTED_VALUE"""),"")</f>
        <v/>
      </c>
      <c r="R2" s="4" t="str">
        <f>IFERROR(__xludf.DUMMYFUNCTION("""COMPUTED_VALUE"""),"")</f>
        <v/>
      </c>
      <c r="S2" s="4" t="str">
        <f>IFERROR(__xludf.DUMMYFUNCTION("""COMPUTED_VALUE"""),"")</f>
        <v/>
      </c>
      <c r="T2" s="4" t="str">
        <f>IFERROR(__xludf.DUMMYFUNCTION("""COMPUTED_VALUE"""),"")</f>
        <v/>
      </c>
      <c r="U2" s="4" t="str">
        <f>IFERROR(__xludf.DUMMYFUNCTION("""COMPUTED_VALUE"""),"")</f>
        <v/>
      </c>
      <c r="V2" s="4" t="str">
        <f>IFERROR(__xludf.DUMMYFUNCTION("""COMPUTED_VALUE"""),"")</f>
        <v/>
      </c>
      <c r="W2" s="4" t="str">
        <f>IFERROR(__xludf.DUMMYFUNCTION("""COMPUTED_VALUE"""),"")</f>
        <v/>
      </c>
      <c r="X2" s="4" t="str">
        <f>IFERROR(__xludf.DUMMYFUNCTION("""COMPUTED_VALUE"""),"")</f>
        <v/>
      </c>
      <c r="Y2" s="4" t="str">
        <f>IFERROR(__xludf.DUMMYFUNCTION("""COMPUTED_VALUE"""),"")</f>
        <v/>
      </c>
    </row>
    <row r="3">
      <c r="A3" s="4" t="str">
        <f>IFERROR(__xludf.DUMMYFUNCTION("""COMPUTED_VALUE"""),"2 - Channel")</f>
        <v>2 - Channel</v>
      </c>
      <c r="B3" s="4" t="str">
        <f>IFERROR(__xludf.DUMMYFUNCTION("""COMPUTED_VALUE"""),"DAY 1 - Tuesday, 23 June")</f>
        <v>DAY 1 - Tuesday, 23 June</v>
      </c>
      <c r="C3" s="4" t="str">
        <f>IFERROR(__xludf.DUMMYFUNCTION("""COMPUTED_VALUE"""),"")</f>
        <v/>
      </c>
      <c r="D3" s="4" t="str">
        <f>IFERROR(__xludf.DUMMYFUNCTION("""COMPUTED_VALUE"""),"")</f>
        <v/>
      </c>
      <c r="E3" s="4" t="str">
        <f>IFERROR(__xludf.DUMMYFUNCTION("""COMPUTED_VALUE"""),"")</f>
        <v/>
      </c>
      <c r="F3" s="4" t="str">
        <f>IFERROR(__xludf.DUMMYFUNCTION("""COMPUTED_VALUE"""),"")</f>
        <v/>
      </c>
      <c r="G3" s="4" t="str">
        <f>IFERROR(__xludf.DUMMYFUNCTION("""COMPUTED_VALUE"""),"")</f>
        <v/>
      </c>
      <c r="H3" s="4" t="str">
        <f>IFERROR(__xludf.DUMMYFUNCTION("""COMPUTED_VALUE"""),"")</f>
        <v/>
      </c>
      <c r="I3" s="4" t="str">
        <f>IFERROR(__xludf.DUMMYFUNCTION("""COMPUTED_VALUE"""),"")</f>
        <v/>
      </c>
      <c r="J3" s="4" t="str">
        <f>IFERROR(__xludf.DUMMYFUNCTION("""COMPUTED_VALUE"""),"")</f>
        <v/>
      </c>
      <c r="K3" s="4" t="str">
        <f>IFERROR(__xludf.DUMMYFUNCTION("""COMPUTED_VALUE"""),"")</f>
        <v/>
      </c>
      <c r="L3" s="4" t="str">
        <f>IFERROR(__xludf.DUMMYFUNCTION("""COMPUTED_VALUE"""),"")</f>
        <v/>
      </c>
      <c r="M3" s="4" t="str">
        <f>IFERROR(__xludf.DUMMYFUNCTION("""COMPUTED_VALUE"""),"")</f>
        <v/>
      </c>
      <c r="N3" s="4" t="str">
        <f>IFERROR(__xludf.DUMMYFUNCTION("""COMPUTED_VALUE"""),"")</f>
        <v/>
      </c>
      <c r="O3" s="4" t="str">
        <f>IFERROR(__xludf.DUMMYFUNCTION("""COMPUTED_VALUE"""),"")</f>
        <v/>
      </c>
      <c r="P3" s="4" t="str">
        <f>IFERROR(__xludf.DUMMYFUNCTION("""COMPUTED_VALUE"""),"")</f>
        <v/>
      </c>
      <c r="Q3" s="4" t="str">
        <f>IFERROR(__xludf.DUMMYFUNCTION("""COMPUTED_VALUE"""),"")</f>
        <v/>
      </c>
      <c r="R3" s="4" t="str">
        <f>IFERROR(__xludf.DUMMYFUNCTION("""COMPUTED_VALUE"""),"")</f>
        <v/>
      </c>
      <c r="S3" s="4" t="str">
        <f>IFERROR(__xludf.DUMMYFUNCTION("""COMPUTED_VALUE"""),"")</f>
        <v/>
      </c>
      <c r="T3" s="4" t="str">
        <f>IFERROR(__xludf.DUMMYFUNCTION("""COMPUTED_VALUE"""),"")</f>
        <v/>
      </c>
      <c r="U3" s="4" t="str">
        <f>IFERROR(__xludf.DUMMYFUNCTION("""COMPUTED_VALUE"""),"")</f>
        <v/>
      </c>
      <c r="V3" s="4" t="str">
        <f>IFERROR(__xludf.DUMMYFUNCTION("""COMPUTED_VALUE"""),"")</f>
        <v/>
      </c>
      <c r="W3" s="4" t="str">
        <f>IFERROR(__xludf.DUMMYFUNCTION("""COMPUTED_VALUE"""),"")</f>
        <v/>
      </c>
      <c r="X3" s="4" t="str">
        <f>IFERROR(__xludf.DUMMYFUNCTION("""COMPUTED_VALUE"""),"")</f>
        <v/>
      </c>
      <c r="Y3" s="4" t="str">
        <f>IFERROR(__xludf.DUMMYFUNCTION("""COMPUTED_VALUE"""),"")</f>
        <v/>
      </c>
    </row>
    <row r="4">
      <c r="A4" s="4" t="str">
        <f>IFERROR(__xludf.DUMMYFUNCTION("""COMPUTED_VALUE"""),"3 - Channel")</f>
        <v>3 - Channel</v>
      </c>
      <c r="B4" s="4" t="str">
        <f>IFERROR(__xludf.DUMMYFUNCTION("""COMPUTED_VALUE"""),"Channel 1")</f>
        <v>Channel 1</v>
      </c>
      <c r="C4" s="4" t="str">
        <f>IFERROR(__xludf.DUMMYFUNCTION("""COMPUTED_VALUE"""),"Day 1 - 23/06")</f>
        <v>Day 1 - 23/06</v>
      </c>
      <c r="D4" s="6">
        <f>IFERROR(__xludf.DUMMYFUNCTION("""COMPUTED_VALUE"""),0.4166666666666667)</f>
        <v>0.4166666667</v>
      </c>
      <c r="E4" s="6">
        <f>IFERROR(__xludf.DUMMYFUNCTION("""COMPUTED_VALUE"""),0.0010416666666666667)</f>
        <v>0.001041666667</v>
      </c>
      <c r="F4" s="6">
        <f>IFERROR(__xludf.DUMMYFUNCTION("""COMPUTED_VALUE"""),0.41770833333333335)</f>
        <v>0.4177083333</v>
      </c>
      <c r="G4" s="4" t="str">
        <f>IFERROR(__xludf.DUMMYFUNCTION("""COMPUTED_VALUE"""),"Video")</f>
        <v>Video</v>
      </c>
      <c r="H4" s="4" t="str">
        <f>IFERROR(__xludf.DUMMYFUNCTION("""COMPUTED_VALUE"""),"")</f>
        <v/>
      </c>
      <c r="I4" s="4" t="str">
        <f>IFERROR(__xludf.DUMMYFUNCTION("""COMPUTED_VALUE"""),"")</f>
        <v/>
      </c>
      <c r="J4" s="4" t="str">
        <f>IFERROR(__xludf.DUMMYFUNCTION("""COMPUTED_VALUE"""),"")</f>
        <v/>
      </c>
      <c r="K4" s="4" t="str">
        <f>IFERROR(__xludf.DUMMYFUNCTION("""COMPUTED_VALUE"""),"Collision From Home Day Intro")</f>
        <v>Collision From Home Day Intro</v>
      </c>
      <c r="L4" s="4" t="str">
        <f>IFERROR(__xludf.DUMMYFUNCTION("""COMPUTED_VALUE"""),"")</f>
        <v/>
      </c>
      <c r="M4" s="4" t="str">
        <f>IFERROR(__xludf.DUMMYFUNCTION("""COMPUTED_VALUE"""),"CFH Intro Video ")</f>
        <v>CFH Intro Video </v>
      </c>
      <c r="N4" s="4" t="str">
        <f>IFERROR(__xludf.DUMMYFUNCTION("""COMPUTED_VALUE"""),"Content pending")</f>
        <v>Content pending</v>
      </c>
      <c r="O4" s="4" t="str">
        <f>IFERROR(__xludf.DUMMYFUNCTION("""COMPUTED_VALUE"""),"")</f>
        <v/>
      </c>
      <c r="P4" s="4" t="str">
        <f>IFERROR(__xludf.DUMMYFUNCTION("""COMPUTED_VALUE"""),"")</f>
        <v/>
      </c>
      <c r="Q4" s="4" t="str">
        <f>IFERROR(__xludf.DUMMYFUNCTION("""COMPUTED_VALUE"""),"")</f>
        <v/>
      </c>
      <c r="R4" s="4" t="str">
        <f>IFERROR(__xludf.DUMMYFUNCTION("""COMPUTED_VALUE"""),"")</f>
        <v/>
      </c>
      <c r="S4" s="4" t="str">
        <f>IFERROR(__xludf.DUMMYFUNCTION("""COMPUTED_VALUE"""),"")</f>
        <v/>
      </c>
      <c r="T4" s="4" t="str">
        <f>IFERROR(__xludf.DUMMYFUNCTION("""COMPUTED_VALUE"""),"")</f>
        <v/>
      </c>
      <c r="U4" s="4" t="str">
        <f>IFERROR(__xludf.DUMMYFUNCTION("""COMPUTED_VALUE"""),"")</f>
        <v/>
      </c>
      <c r="V4" s="4" t="str">
        <f>IFERROR(__xludf.DUMMYFUNCTION("""COMPUTED_VALUE"""),"")</f>
        <v/>
      </c>
      <c r="W4" s="4" t="str">
        <f>IFERROR(__xludf.DUMMYFUNCTION("""COMPUTED_VALUE"""),"")</f>
        <v/>
      </c>
      <c r="X4" s="4" t="str">
        <f>IFERROR(__xludf.DUMMYFUNCTION("""COMPUTED_VALUE"""),"")</f>
        <v/>
      </c>
      <c r="Y4" s="4" t="str">
        <f>IFERROR(__xludf.DUMMYFUNCTION("""COMPUTED_VALUE"""),"")</f>
        <v/>
      </c>
    </row>
    <row r="5">
      <c r="A5" s="4" t="str">
        <f>IFERROR(__xludf.DUMMYFUNCTION("""COMPUTED_VALUE"""),"4 - Channel")</f>
        <v>4 - Channel</v>
      </c>
      <c r="B5" s="4" t="str">
        <f>IFERROR(__xludf.DUMMYFUNCTION("""COMPUTED_VALUE"""),"Channel 1")</f>
        <v>Channel 1</v>
      </c>
      <c r="C5" s="4" t="str">
        <f>IFERROR(__xludf.DUMMYFUNCTION("""COMPUTED_VALUE"""),"Day 1 - 23/06")</f>
        <v>Day 1 - 23/06</v>
      </c>
      <c r="D5" s="6">
        <f>IFERROR(__xludf.DUMMYFUNCTION("""COMPUTED_VALUE"""),0.41770833333333335)</f>
        <v>0.4177083333</v>
      </c>
      <c r="E5" s="6">
        <f>IFERROR(__xludf.DUMMYFUNCTION("""COMPUTED_VALUE"""),0.001388888888888889)</f>
        <v>0.001388888889</v>
      </c>
      <c r="F5" s="6">
        <f>IFERROR(__xludf.DUMMYFUNCTION("""COMPUTED_VALUE"""),0.41909722222222223)</f>
        <v>0.4190972222</v>
      </c>
      <c r="G5" s="4" t="str">
        <f>IFERROR(__xludf.DUMMYFUNCTION("""COMPUTED_VALUE"""),"")</f>
        <v/>
      </c>
      <c r="H5" s="4" t="str">
        <f>IFERROR(__xludf.DUMMYFUNCTION("""COMPUTED_VALUE"""),"")</f>
        <v/>
      </c>
      <c r="I5" s="4" t="str">
        <f>IFERROR(__xludf.DUMMYFUNCTION("""COMPUTED_VALUE"""),"")</f>
        <v/>
      </c>
      <c r="J5" s="4" t="str">
        <f>IFERROR(__xludf.DUMMYFUNCTION("""COMPUTED_VALUE"""),"")</f>
        <v/>
      </c>
      <c r="K5" s="4" t="str">
        <f>IFERROR(__xludf.DUMMYFUNCTION("""COMPUTED_VALUE"""),"Anchor piece")</f>
        <v>Anchor piece</v>
      </c>
      <c r="L5" s="4" t="str">
        <f>IFERROR(__xludf.DUMMYFUNCTION("""COMPUTED_VALUE"""),"")</f>
        <v/>
      </c>
      <c r="M5" s="4" t="str">
        <f>IFERROR(__xludf.DUMMYFUNCTION("""COMPUTED_VALUE"""),"Welcome to Collision from Home ")</f>
        <v>Welcome to Collision from Home </v>
      </c>
      <c r="N5" s="4" t="str">
        <f>IFERROR(__xludf.DUMMYFUNCTION("""COMPUTED_VALUE"""),"Paddy Cosgrave, Web Summit")</f>
        <v>Paddy Cosgrave, Web Summit</v>
      </c>
      <c r="O5" s="4" t="str">
        <f>IFERROR(__xludf.DUMMYFUNCTION("""COMPUTED_VALUE"""),"")</f>
        <v/>
      </c>
      <c r="P5" s="4" t="str">
        <f>IFERROR(__xludf.DUMMYFUNCTION("""COMPUTED_VALUE"""),"")</f>
        <v/>
      </c>
      <c r="Q5" s="4" t="str">
        <f>IFERROR(__xludf.DUMMYFUNCTION("""COMPUTED_VALUE"""),"")</f>
        <v/>
      </c>
      <c r="R5" s="4" t="str">
        <f>IFERROR(__xludf.DUMMYFUNCTION("""COMPUTED_VALUE"""),"")</f>
        <v/>
      </c>
      <c r="S5" s="4" t="str">
        <f>IFERROR(__xludf.DUMMYFUNCTION("""COMPUTED_VALUE"""),"Welcome to Collision From Home! We take you  on a tour of the event, what to expect, and how to make your way around.")</f>
        <v>Welcome to Collision From Home! We take you  on a tour of the event, what to expect, and how to make your way around.</v>
      </c>
      <c r="T5" s="4" t="str">
        <f>IFERROR(__xludf.DUMMYFUNCTION("""COMPUTED_VALUE"""),"")</f>
        <v/>
      </c>
      <c r="U5" s="4" t="str">
        <f>IFERROR(__xludf.DUMMYFUNCTION("""COMPUTED_VALUE"""),"")</f>
        <v/>
      </c>
      <c r="V5" s="4" t="str">
        <f>IFERROR(__xludf.DUMMYFUNCTION("""COMPUTED_VALUE"""),"")</f>
        <v/>
      </c>
      <c r="W5" s="4" t="str">
        <f>IFERROR(__xludf.DUMMYFUNCTION("""COMPUTED_VALUE"""),"")</f>
        <v/>
      </c>
      <c r="X5" s="4" t="str">
        <f>IFERROR(__xludf.DUMMYFUNCTION("""COMPUTED_VALUE"""),"")</f>
        <v/>
      </c>
      <c r="Y5" s="4" t="str">
        <f>IFERROR(__xludf.DUMMYFUNCTION("""COMPUTED_VALUE"""),"")</f>
        <v/>
      </c>
    </row>
    <row r="6">
      <c r="A6" s="4" t="str">
        <f>IFERROR(__xludf.DUMMYFUNCTION("""COMPUTED_VALUE"""),"6 - Channel")</f>
        <v>6 - Channel</v>
      </c>
      <c r="B6" s="4" t="str">
        <f>IFERROR(__xludf.DUMMYFUNCTION("""COMPUTED_VALUE"""),"Channel 1")</f>
        <v>Channel 1</v>
      </c>
      <c r="C6" s="4" t="str">
        <f>IFERROR(__xludf.DUMMYFUNCTION("""COMPUTED_VALUE"""),"Day 1 - 23/06")</f>
        <v>Day 1 - 23/06</v>
      </c>
      <c r="D6" s="6">
        <f>IFERROR(__xludf.DUMMYFUNCTION("""COMPUTED_VALUE"""),0.41909722222222223)</f>
        <v>0.4190972222</v>
      </c>
      <c r="E6" s="6">
        <f>IFERROR(__xludf.DUMMYFUNCTION("""COMPUTED_VALUE"""),0.006944444444444444)</f>
        <v>0.006944444444</v>
      </c>
      <c r="F6" s="6">
        <f>IFERROR(__xludf.DUMMYFUNCTION("""COMPUTED_VALUE"""),0.42604166666666665)</f>
        <v>0.4260416667</v>
      </c>
      <c r="G6" s="4" t="str">
        <f>IFERROR(__xludf.DUMMYFUNCTION("""COMPUTED_VALUE"""),"Hugh")</f>
        <v>Hugh</v>
      </c>
      <c r="H6" s="4" t="str">
        <f>IFERROR(__xludf.DUMMYFUNCTION("""COMPUTED_VALUE"""),"N/A")</f>
        <v>N/A</v>
      </c>
      <c r="I6" s="4" t="str">
        <f>IFERROR(__xludf.DUMMYFUNCTION("""COMPUTED_VALUE"""),"Naomi")</f>
        <v>Naomi</v>
      </c>
      <c r="J6" s="4" t="str">
        <f>IFERROR(__xludf.DUMMYFUNCTION("""COMPUTED_VALUE"""),"")</f>
        <v/>
      </c>
      <c r="K6" s="4" t="str">
        <f>IFERROR(__xludf.DUMMYFUNCTION("""COMPUTED_VALUE"""),"Panel")</f>
        <v>Panel</v>
      </c>
      <c r="L6" s="4" t="str">
        <f>IFERROR(__xludf.DUMMYFUNCTION("""COMPUTED_VALUE"""),"T- 1 - 15/06/2020")</f>
        <v>T- 1 - 15/06/2020</v>
      </c>
      <c r="M6" s="4" t="str">
        <f>IFERROR(__xludf.DUMMYFUNCTION("""COMPUTED_VALUE"""),"The road to opening Toronto ")</f>
        <v>The road to opening Toronto </v>
      </c>
      <c r="N6" s="4" t="str">
        <f>IFERROR(__xludf.DUMMYFUNCTION("""COMPUTED_VALUE"""),"John Tory, Government of Canada")</f>
        <v>John Tory, Government of Canada</v>
      </c>
      <c r="O6" s="4" t="str">
        <f>IFERROR(__xludf.DUMMYFUNCTION("""COMPUTED_VALUE"""),"Paddy Cosgrave, Web Summit")</f>
        <v>Paddy Cosgrave, Web Summit</v>
      </c>
      <c r="P6" s="4" t="str">
        <f>IFERROR(__xludf.DUMMYFUNCTION("""COMPUTED_VALUE"""),"")</f>
        <v/>
      </c>
      <c r="Q6" s="4" t="str">
        <f>IFERROR(__xludf.DUMMYFUNCTION("""COMPUTED_VALUE"""),"")</f>
        <v/>
      </c>
      <c r="R6" s="4" t="str">
        <f>IFERROR(__xludf.DUMMYFUNCTION("""COMPUTED_VALUE"""),"")</f>
        <v/>
      </c>
      <c r="S6" s="4" t="str">
        <f>IFERROR(__xludf.DUMMYFUNCTION("""COMPUTED_VALUE""")," Mayor Tory's vision for the road ahead for the city.")</f>
        <v> Mayor Tory's vision for the road ahead for the city.</v>
      </c>
      <c r="T6" s="4" t="str">
        <f>IFERROR(__xludf.DUMMYFUNCTION("""COMPUTED_VALUE"""),"KEYNOTE 6 - Video to be recorded")</f>
        <v>KEYNOTE 6 - Video to be recorded</v>
      </c>
      <c r="U6" s="23">
        <f>IFERROR(__xludf.DUMMYFUNCTION("""COMPUTED_VALUE"""),43997.0)</f>
        <v>43997</v>
      </c>
      <c r="V6" s="24">
        <f>IFERROR(__xludf.DUMMYFUNCTION("""COMPUTED_VALUE"""),0.625)</f>
        <v>0.625</v>
      </c>
      <c r="W6" s="21" t="str">
        <f>IFERROR(__xludf.DUMMYFUNCTION("""COMPUTED_VALUE"""),"https://zoom.us/j/93002113227?pwd=OVpNU3VLYUw3dlM5L1RrdUtKMHFGZz09")</f>
        <v>https://zoom.us/j/93002113227?pwd=OVpNU3VLYUw3dlM5L1RrdUtKMHFGZz09</v>
      </c>
      <c r="X6" s="4" t="str">
        <f>IFERROR(__xludf.DUMMYFUNCTION("""COMPUTED_VALUE"""),"Hugh")</f>
        <v>Hugh</v>
      </c>
      <c r="Y6" s="4" t="str">
        <f>IFERROR(__xludf.DUMMYFUNCTION("""COMPUTED_VALUE"""),"")</f>
        <v/>
      </c>
    </row>
    <row r="7">
      <c r="A7" s="4" t="str">
        <f>IFERROR(__xludf.DUMMYFUNCTION("""COMPUTED_VALUE"""),"1819 - Channel")</f>
        <v>1819 - Channel</v>
      </c>
      <c r="B7" s="4" t="str">
        <f>IFERROR(__xludf.DUMMYFUNCTION("""COMPUTED_VALUE"""),"Channel 1")</f>
        <v>Channel 1</v>
      </c>
      <c r="C7" s="4" t="str">
        <f>IFERROR(__xludf.DUMMYFUNCTION("""COMPUTED_VALUE"""),"Day 1 - 23/06")</f>
        <v>Day 1 - 23/06</v>
      </c>
      <c r="D7" s="6">
        <f>IFERROR(__xludf.DUMMYFUNCTION("""COMPUTED_VALUE"""),0.42604166666666665)</f>
        <v>0.4260416667</v>
      </c>
      <c r="E7" s="6">
        <f>IFERROR(__xludf.DUMMYFUNCTION("""COMPUTED_VALUE"""),1.7361111111111112E-4)</f>
        <v>0.0001736111111</v>
      </c>
      <c r="F7" s="6">
        <f>IFERROR(__xludf.DUMMYFUNCTION("""COMPUTED_VALUE"""),0.4262152777777778)</f>
        <v>0.4262152778</v>
      </c>
      <c r="G7" s="4" t="str">
        <f>IFERROR(__xludf.DUMMYFUNCTION("""COMPUTED_VALUE"""),"")</f>
        <v/>
      </c>
      <c r="H7" s="4" t="str">
        <f>IFERROR(__xludf.DUMMYFUNCTION("""COMPUTED_VALUE"""),"")</f>
        <v/>
      </c>
      <c r="I7" s="4" t="str">
        <f>IFERROR(__xludf.DUMMYFUNCTION("""COMPUTED_VALUE"""),"")</f>
        <v/>
      </c>
      <c r="J7" s="4" t="str">
        <f>IFERROR(__xludf.DUMMYFUNCTION("""COMPUTED_VALUE"""),"")</f>
        <v/>
      </c>
      <c r="K7" s="4" t="str">
        <f>IFERROR(__xludf.DUMMYFUNCTION("""COMPUTED_VALUE"""),"Partner ad")</f>
        <v>Partner ad</v>
      </c>
      <c r="L7" s="4" t="str">
        <f>IFERROR(__xludf.DUMMYFUNCTION("""COMPUTED_VALUE"""),"")</f>
        <v/>
      </c>
      <c r="M7" s="4" t="str">
        <f>IFERROR(__xludf.DUMMYFUNCTION("""COMPUTED_VALUE"""),"City of Toronto ")</f>
        <v>City of Toronto </v>
      </c>
      <c r="N7" s="4" t="str">
        <f>IFERROR(__xludf.DUMMYFUNCTION("""COMPUTED_VALUE"""),"Content pending")</f>
        <v>Content pending</v>
      </c>
      <c r="O7" s="4" t="str">
        <f>IFERROR(__xludf.DUMMYFUNCTION("""COMPUTED_VALUE"""),"")</f>
        <v/>
      </c>
      <c r="P7" s="4" t="str">
        <f>IFERROR(__xludf.DUMMYFUNCTION("""COMPUTED_VALUE"""),"")</f>
        <v/>
      </c>
      <c r="Q7" s="4" t="str">
        <f>IFERROR(__xludf.DUMMYFUNCTION("""COMPUTED_VALUE"""),"")</f>
        <v/>
      </c>
      <c r="R7" s="4" t="str">
        <f>IFERROR(__xludf.DUMMYFUNCTION("""COMPUTED_VALUE"""),"")</f>
        <v/>
      </c>
      <c r="S7" s="4" t="str">
        <f>IFERROR(__xludf.DUMMYFUNCTION("""COMPUTED_VALUE"""),"")</f>
        <v/>
      </c>
      <c r="T7" s="4" t="str">
        <f>IFERROR(__xludf.DUMMYFUNCTION("""COMPUTED_VALUE"""),"")</f>
        <v/>
      </c>
      <c r="U7" s="4" t="str">
        <f>IFERROR(__xludf.DUMMYFUNCTION("""COMPUTED_VALUE"""),"")</f>
        <v/>
      </c>
      <c r="V7" s="4" t="str">
        <f>IFERROR(__xludf.DUMMYFUNCTION("""COMPUTED_VALUE"""),"")</f>
        <v/>
      </c>
      <c r="W7" s="4" t="str">
        <f>IFERROR(__xludf.DUMMYFUNCTION("""COMPUTED_VALUE"""),"")</f>
        <v/>
      </c>
      <c r="X7" s="4" t="str">
        <f>IFERROR(__xludf.DUMMYFUNCTION("""COMPUTED_VALUE"""),"")</f>
        <v/>
      </c>
      <c r="Y7" s="4" t="str">
        <f>IFERROR(__xludf.DUMMYFUNCTION("""COMPUTED_VALUE"""),"")</f>
        <v/>
      </c>
    </row>
    <row r="8">
      <c r="A8" s="4" t="str">
        <f>IFERROR(__xludf.DUMMYFUNCTION("""COMPUTED_VALUE"""),"1611 - Channel")</f>
        <v>1611 - Channel</v>
      </c>
      <c r="B8" s="4" t="str">
        <f>IFERROR(__xludf.DUMMYFUNCTION("""COMPUTED_VALUE"""),"Channel 1")</f>
        <v>Channel 1</v>
      </c>
      <c r="C8" s="4" t="str">
        <f>IFERROR(__xludf.DUMMYFUNCTION("""COMPUTED_VALUE"""),"Day 1 - 23/06")</f>
        <v>Day 1 - 23/06</v>
      </c>
      <c r="D8" s="6">
        <f>IFERROR(__xludf.DUMMYFUNCTION("""COMPUTED_VALUE"""),0.4262152777777778)</f>
        <v>0.4262152778</v>
      </c>
      <c r="E8" s="6">
        <f>IFERROR(__xludf.DUMMYFUNCTION("""COMPUTED_VALUE"""),5.208333333333333E-4)</f>
        <v>0.0005208333333</v>
      </c>
      <c r="F8" s="6">
        <f>IFERROR(__xludf.DUMMYFUNCTION("""COMPUTED_VALUE"""),0.42673611111111115)</f>
        <v>0.4267361111</v>
      </c>
      <c r="G8" s="4" t="str">
        <f>IFERROR(__xludf.DUMMYFUNCTION("""COMPUTED_VALUE"""),"")</f>
        <v/>
      </c>
      <c r="H8" s="4" t="str">
        <f>IFERROR(__xludf.DUMMYFUNCTION("""COMPUTED_VALUE"""),"")</f>
        <v/>
      </c>
      <c r="I8" s="4" t="str">
        <f>IFERROR(__xludf.DUMMYFUNCTION("""COMPUTED_VALUE"""),"")</f>
        <v/>
      </c>
      <c r="J8" s="4" t="str">
        <f>IFERROR(__xludf.DUMMYFUNCTION("""COMPUTED_VALUE"""),"")</f>
        <v/>
      </c>
      <c r="K8" s="4" t="str">
        <f>IFERROR(__xludf.DUMMYFUNCTION("""COMPUTED_VALUE"""),"Web Summit Trailer - full")</f>
        <v>Web Summit Trailer - full</v>
      </c>
      <c r="L8" s="4" t="str">
        <f>IFERROR(__xludf.DUMMYFUNCTION("""COMPUTED_VALUE"""),"")</f>
        <v/>
      </c>
      <c r="M8" s="4" t="str">
        <f>IFERROR(__xludf.DUMMYFUNCTION("""COMPUTED_VALUE"""),"Web Summit promo")</f>
        <v>Web Summit promo</v>
      </c>
      <c r="N8" s="4" t="str">
        <f>IFERROR(__xludf.DUMMYFUNCTION("""COMPUTED_VALUE"""),"Content pending")</f>
        <v>Content pending</v>
      </c>
      <c r="O8" s="4" t="str">
        <f>IFERROR(__xludf.DUMMYFUNCTION("""COMPUTED_VALUE"""),"")</f>
        <v/>
      </c>
      <c r="P8" s="4" t="str">
        <f>IFERROR(__xludf.DUMMYFUNCTION("""COMPUTED_VALUE"""),"")</f>
        <v/>
      </c>
      <c r="Q8" s="4" t="str">
        <f>IFERROR(__xludf.DUMMYFUNCTION("""COMPUTED_VALUE"""),"")</f>
        <v/>
      </c>
      <c r="R8" s="4" t="str">
        <f>IFERROR(__xludf.DUMMYFUNCTION("""COMPUTED_VALUE"""),"")</f>
        <v/>
      </c>
      <c r="S8" s="4" t="str">
        <f>IFERROR(__xludf.DUMMYFUNCTION("""COMPUTED_VALUE"""),"")</f>
        <v/>
      </c>
      <c r="T8" s="4" t="str">
        <f>IFERROR(__xludf.DUMMYFUNCTION("""COMPUTED_VALUE"""),"")</f>
        <v/>
      </c>
      <c r="U8" s="4" t="str">
        <f>IFERROR(__xludf.DUMMYFUNCTION("""COMPUTED_VALUE"""),"")</f>
        <v/>
      </c>
      <c r="V8" s="4" t="str">
        <f>IFERROR(__xludf.DUMMYFUNCTION("""COMPUTED_VALUE"""),"")</f>
        <v/>
      </c>
      <c r="W8" s="4" t="str">
        <f>IFERROR(__xludf.DUMMYFUNCTION("""COMPUTED_VALUE"""),"")</f>
        <v/>
      </c>
      <c r="X8" s="4" t="str">
        <f>IFERROR(__xludf.DUMMYFUNCTION("""COMPUTED_VALUE"""),"")</f>
        <v/>
      </c>
      <c r="Y8" s="4" t="str">
        <f>IFERROR(__xludf.DUMMYFUNCTION("""COMPUTED_VALUE"""),"")</f>
        <v/>
      </c>
    </row>
    <row r="9">
      <c r="A9" s="4" t="str">
        <f>IFERROR(__xludf.DUMMYFUNCTION("""COMPUTED_VALUE"""),"1532 - Channel")</f>
        <v>1532 - Channel</v>
      </c>
      <c r="B9" s="4" t="str">
        <f>IFERROR(__xludf.DUMMYFUNCTION("""COMPUTED_VALUE"""),"Channel 1")</f>
        <v>Channel 1</v>
      </c>
      <c r="C9" s="4" t="str">
        <f>IFERROR(__xludf.DUMMYFUNCTION("""COMPUTED_VALUE"""),"Day 1 - 23/06")</f>
        <v>Day 1 - 23/06</v>
      </c>
      <c r="D9" s="6">
        <f>IFERROR(__xludf.DUMMYFUNCTION("""COMPUTED_VALUE"""),0.42673611111111115)</f>
        <v>0.4267361111</v>
      </c>
      <c r="E9" s="6">
        <f>IFERROR(__xludf.DUMMYFUNCTION("""COMPUTED_VALUE"""),2.314814814814815E-4)</f>
        <v>0.0002314814815</v>
      </c>
      <c r="F9" s="6">
        <f>IFERROR(__xludf.DUMMYFUNCTION("""COMPUTED_VALUE"""),0.42696759259259265)</f>
        <v>0.4269675926</v>
      </c>
      <c r="G9" s="4" t="str">
        <f>IFERROR(__xludf.DUMMYFUNCTION("""COMPUTED_VALUE"""),"")</f>
        <v/>
      </c>
      <c r="H9" s="4" t="str">
        <f>IFERROR(__xludf.DUMMYFUNCTION("""COMPUTED_VALUE"""),"")</f>
        <v/>
      </c>
      <c r="I9" s="4" t="str">
        <f>IFERROR(__xludf.DUMMYFUNCTION("""COMPUTED_VALUE"""),"")</f>
        <v/>
      </c>
      <c r="J9" s="4" t="str">
        <f>IFERROR(__xludf.DUMMYFUNCTION("""COMPUTED_VALUE"""),"")</f>
        <v/>
      </c>
      <c r="K9" s="4" t="str">
        <f>IFERROR(__xludf.DUMMYFUNCTION("""COMPUTED_VALUE"""),"Talk Intro")</f>
        <v>Talk Intro</v>
      </c>
      <c r="L9" s="4" t="str">
        <f>IFERROR(__xludf.DUMMYFUNCTION("""COMPUTED_VALUE"""),"")</f>
        <v/>
      </c>
      <c r="M9" s="4" t="str">
        <f>IFERROR(__xludf.DUMMYFUNCTION("""COMPUTED_VALUE"""),"Teaser: Box_Intro")</f>
        <v>Teaser: Box_Intro</v>
      </c>
      <c r="N9" s="4" t="str">
        <f>IFERROR(__xludf.DUMMYFUNCTION("""COMPUTED_VALUE"""),"Paddy Cosgrave, Web Summit")</f>
        <v>Paddy Cosgrave, Web Summit</v>
      </c>
      <c r="O9" s="4" t="str">
        <f>IFERROR(__xludf.DUMMYFUNCTION("""COMPUTED_VALUE"""),"")</f>
        <v/>
      </c>
      <c r="P9" s="4" t="str">
        <f>IFERROR(__xludf.DUMMYFUNCTION("""COMPUTED_VALUE"""),"")</f>
        <v/>
      </c>
      <c r="Q9" s="4" t="str">
        <f>IFERROR(__xludf.DUMMYFUNCTION("""COMPUTED_VALUE"""),"")</f>
        <v/>
      </c>
      <c r="R9" s="4" t="str">
        <f>IFERROR(__xludf.DUMMYFUNCTION("""COMPUTED_VALUE"""),"")</f>
        <v/>
      </c>
      <c r="S9" s="4" t="str">
        <f>IFERROR(__xludf.DUMMYFUNCTION("""COMPUTED_VALUE"""),"")</f>
        <v/>
      </c>
      <c r="T9" s="4" t="str">
        <f>IFERROR(__xludf.DUMMYFUNCTION("""COMPUTED_VALUE"""),"")</f>
        <v/>
      </c>
      <c r="U9" s="4" t="str">
        <f>IFERROR(__xludf.DUMMYFUNCTION("""COMPUTED_VALUE"""),"")</f>
        <v/>
      </c>
      <c r="V9" s="4" t="str">
        <f>IFERROR(__xludf.DUMMYFUNCTION("""COMPUTED_VALUE"""),"")</f>
        <v/>
      </c>
      <c r="W9" s="4" t="str">
        <f>IFERROR(__xludf.DUMMYFUNCTION("""COMPUTED_VALUE"""),"")</f>
        <v/>
      </c>
      <c r="X9" s="4" t="str">
        <f>IFERROR(__xludf.DUMMYFUNCTION("""COMPUTED_VALUE"""),"")</f>
        <v/>
      </c>
      <c r="Y9" s="4" t="str">
        <f>IFERROR(__xludf.DUMMYFUNCTION("""COMPUTED_VALUE"""),"")</f>
        <v/>
      </c>
    </row>
    <row r="10">
      <c r="A10" s="4" t="str">
        <f>IFERROR(__xludf.DUMMYFUNCTION("""COMPUTED_VALUE"""),"1364 - Channel")</f>
        <v>1364 - Channel</v>
      </c>
      <c r="B10" s="4" t="str">
        <f>IFERROR(__xludf.DUMMYFUNCTION("""COMPUTED_VALUE"""),"Channel 1")</f>
        <v>Channel 1</v>
      </c>
      <c r="C10" s="4" t="str">
        <f>IFERROR(__xludf.DUMMYFUNCTION("""COMPUTED_VALUE"""),"Day 1 - 23/06")</f>
        <v>Day 1 - 23/06</v>
      </c>
      <c r="D10" s="6">
        <f>IFERROR(__xludf.DUMMYFUNCTION("""COMPUTED_VALUE"""),0.42696759259259265)</f>
        <v>0.4269675926</v>
      </c>
      <c r="E10" s="6">
        <f>IFERROR(__xludf.DUMMYFUNCTION("""COMPUTED_VALUE"""),0.0020833333333333333)</f>
        <v>0.002083333333</v>
      </c>
      <c r="F10" s="6">
        <f>IFERROR(__xludf.DUMMYFUNCTION("""COMPUTED_VALUE"""),0.429050925925926)</f>
        <v>0.4290509259</v>
      </c>
      <c r="G10" s="4" t="str">
        <f>IFERROR(__xludf.DUMMYFUNCTION("""COMPUTED_VALUE"""),"")</f>
        <v/>
      </c>
      <c r="H10" s="4" t="str">
        <f>IFERROR(__xludf.DUMMYFUNCTION("""COMPUTED_VALUE"""),"")</f>
        <v/>
      </c>
      <c r="I10" s="4" t="str">
        <f>IFERROR(__xludf.DUMMYFUNCTION("""COMPUTED_VALUE"""),"")</f>
        <v/>
      </c>
      <c r="J10" s="4" t="str">
        <f>IFERROR(__xludf.DUMMYFUNCTION("""COMPUTED_VALUE"""),"")</f>
        <v/>
      </c>
      <c r="K10" s="4" t="str">
        <f>IFERROR(__xludf.DUMMYFUNCTION("""COMPUTED_VALUE"""),"Teaser")</f>
        <v>Teaser</v>
      </c>
      <c r="L10" s="4" t="str">
        <f>IFERROR(__xludf.DUMMYFUNCTION("""COMPUTED_VALUE"""),"")</f>
        <v/>
      </c>
      <c r="M10" s="4" t="str">
        <f>IFERROR(__xludf.DUMMYFUNCTION("""COMPUTED_VALUE"""),"Teaser: Box")</f>
        <v>Teaser: Box</v>
      </c>
      <c r="N10" s="4" t="str">
        <f>IFERROR(__xludf.DUMMYFUNCTION("""COMPUTED_VALUE"""),"")</f>
        <v/>
      </c>
      <c r="O10" s="4" t="str">
        <f>IFERROR(__xludf.DUMMYFUNCTION("""COMPUTED_VALUE"""),"")</f>
        <v/>
      </c>
      <c r="P10" s="4" t="str">
        <f>IFERROR(__xludf.DUMMYFUNCTION("""COMPUTED_VALUE"""),"")</f>
        <v/>
      </c>
      <c r="Q10" s="4" t="str">
        <f>IFERROR(__xludf.DUMMYFUNCTION("""COMPUTED_VALUE"""),"")</f>
        <v/>
      </c>
      <c r="R10" s="4" t="str">
        <f>IFERROR(__xludf.DUMMYFUNCTION("""COMPUTED_VALUE"""),"")</f>
        <v/>
      </c>
      <c r="S10" s="4" t="str">
        <f>IFERROR(__xludf.DUMMYFUNCTION("""COMPUTED_VALUE"""),"")</f>
        <v/>
      </c>
      <c r="T10" s="4" t="str">
        <f>IFERROR(__xludf.DUMMYFUNCTION("""COMPUTED_VALUE"""),"")</f>
        <v/>
      </c>
      <c r="U10" s="4" t="str">
        <f>IFERROR(__xludf.DUMMYFUNCTION("""COMPUTED_VALUE"""),"")</f>
        <v/>
      </c>
      <c r="V10" s="4" t="str">
        <f>IFERROR(__xludf.DUMMYFUNCTION("""COMPUTED_VALUE"""),"")</f>
        <v/>
      </c>
      <c r="W10" s="4" t="str">
        <f>IFERROR(__xludf.DUMMYFUNCTION("""COMPUTED_VALUE"""),"")</f>
        <v/>
      </c>
      <c r="X10" s="4" t="str">
        <f>IFERROR(__xludf.DUMMYFUNCTION("""COMPUTED_VALUE"""),"")</f>
        <v/>
      </c>
      <c r="Y10" s="4" t="str">
        <f>IFERROR(__xludf.DUMMYFUNCTION("""COMPUTED_VALUE"""),"")</f>
        <v/>
      </c>
    </row>
    <row r="11">
      <c r="A11" s="4" t="str">
        <f>IFERROR(__xludf.DUMMYFUNCTION("""COMPUTED_VALUE"""),"1713 - Channel")</f>
        <v>1713 - Channel</v>
      </c>
      <c r="B11" s="4" t="str">
        <f>IFERROR(__xludf.DUMMYFUNCTION("""COMPUTED_VALUE"""),"Channel 1")</f>
        <v>Channel 1</v>
      </c>
      <c r="C11" s="4" t="str">
        <f>IFERROR(__xludf.DUMMYFUNCTION("""COMPUTED_VALUE"""),"Day 1 - 23/06")</f>
        <v>Day 1 - 23/06</v>
      </c>
      <c r="D11" s="6">
        <f>IFERROR(__xludf.DUMMYFUNCTION("""COMPUTED_VALUE"""),0.429050925925926)</f>
        <v>0.4290509259</v>
      </c>
      <c r="E11" s="6">
        <f>IFERROR(__xludf.DUMMYFUNCTION("""COMPUTED_VALUE"""),2.314814814814815E-4)</f>
        <v>0.0002314814815</v>
      </c>
      <c r="F11" s="6">
        <f>IFERROR(__xludf.DUMMYFUNCTION("""COMPUTED_VALUE"""),0.4292824074074075)</f>
        <v>0.4292824074</v>
      </c>
      <c r="G11" s="4" t="str">
        <f>IFERROR(__xludf.DUMMYFUNCTION("""COMPUTED_VALUE"""),"")</f>
        <v/>
      </c>
      <c r="H11" s="4" t="str">
        <f>IFERROR(__xludf.DUMMYFUNCTION("""COMPUTED_VALUE"""),"")</f>
        <v/>
      </c>
      <c r="I11" s="4" t="str">
        <f>IFERROR(__xludf.DUMMYFUNCTION("""COMPUTED_VALUE"""),"")</f>
        <v/>
      </c>
      <c r="J11" s="4" t="str">
        <f>IFERROR(__xludf.DUMMYFUNCTION("""COMPUTED_VALUE"""),"")</f>
        <v/>
      </c>
      <c r="K11" s="4" t="str">
        <f>IFERROR(__xludf.DUMMYFUNCTION("""COMPUTED_VALUE"""),"Talk Outro")</f>
        <v>Talk Outro</v>
      </c>
      <c r="L11" s="4" t="str">
        <f>IFERROR(__xludf.DUMMYFUNCTION("""COMPUTED_VALUE"""),"")</f>
        <v/>
      </c>
      <c r="M11" s="4" t="str">
        <f>IFERROR(__xludf.DUMMYFUNCTION("""COMPUTED_VALUE"""),"Call to action")</f>
        <v>Call to action</v>
      </c>
      <c r="N11" s="4" t="str">
        <f>IFERROR(__xludf.DUMMYFUNCTION("""COMPUTED_VALUE"""),"Paddy Cosgrave, Web Summit")</f>
        <v>Paddy Cosgrave, Web Summit</v>
      </c>
      <c r="O11" s="4" t="str">
        <f>IFERROR(__xludf.DUMMYFUNCTION("""COMPUTED_VALUE"""),"")</f>
        <v/>
      </c>
      <c r="P11" s="4" t="str">
        <f>IFERROR(__xludf.DUMMYFUNCTION("""COMPUTED_VALUE"""),"")</f>
        <v/>
      </c>
      <c r="Q11" s="4" t="str">
        <f>IFERROR(__xludf.DUMMYFUNCTION("""COMPUTED_VALUE"""),"")</f>
        <v/>
      </c>
      <c r="R11" s="4" t="str">
        <f>IFERROR(__xludf.DUMMYFUNCTION("""COMPUTED_VALUE"""),"")</f>
        <v/>
      </c>
      <c r="S11" s="4" t="str">
        <f>IFERROR(__xludf.DUMMYFUNCTION("""COMPUTED_VALUE"""),"")</f>
        <v/>
      </c>
      <c r="T11" s="4" t="str">
        <f>IFERROR(__xludf.DUMMYFUNCTION("""COMPUTED_VALUE"""),"")</f>
        <v/>
      </c>
      <c r="U11" s="4" t="str">
        <f>IFERROR(__xludf.DUMMYFUNCTION("""COMPUTED_VALUE"""),"")</f>
        <v/>
      </c>
      <c r="V11" s="4" t="str">
        <f>IFERROR(__xludf.DUMMYFUNCTION("""COMPUTED_VALUE"""),"")</f>
        <v/>
      </c>
      <c r="W11" s="4" t="str">
        <f>IFERROR(__xludf.DUMMYFUNCTION("""COMPUTED_VALUE"""),"")</f>
        <v/>
      </c>
      <c r="X11" s="4" t="str">
        <f>IFERROR(__xludf.DUMMYFUNCTION("""COMPUTED_VALUE"""),"")</f>
        <v/>
      </c>
      <c r="Y11" s="4" t="str">
        <f>IFERROR(__xludf.DUMMYFUNCTION("""COMPUTED_VALUE"""),"")</f>
        <v/>
      </c>
    </row>
    <row r="12">
      <c r="A12" s="4" t="str">
        <f>IFERROR(__xludf.DUMMYFUNCTION("""COMPUTED_VALUE"""),"1692 - Channel")</f>
        <v>1692 - Channel</v>
      </c>
      <c r="B12" s="4" t="str">
        <f>IFERROR(__xludf.DUMMYFUNCTION("""COMPUTED_VALUE"""),"Channel 1")</f>
        <v>Channel 1</v>
      </c>
      <c r="C12" s="4" t="str">
        <f>IFERROR(__xludf.DUMMYFUNCTION("""COMPUTED_VALUE"""),"Day 1 - 23/06")</f>
        <v>Day 1 - 23/06</v>
      </c>
      <c r="D12" s="6">
        <f>IFERROR(__xludf.DUMMYFUNCTION("""COMPUTED_VALUE"""),0.429050925925926)</f>
        <v>0.4290509259</v>
      </c>
      <c r="E12" s="6">
        <f>IFERROR(__xludf.DUMMYFUNCTION("""COMPUTED_VALUE"""),3.4722222222222224E-4)</f>
        <v>0.0003472222222</v>
      </c>
      <c r="F12" s="6">
        <f>IFERROR(__xludf.DUMMYFUNCTION("""COMPUTED_VALUE"""),0.4293981481481482)</f>
        <v>0.4293981481</v>
      </c>
      <c r="G12" s="4" t="str">
        <f>IFERROR(__xludf.DUMMYFUNCTION("""COMPUTED_VALUE"""),"Video")</f>
        <v>Video</v>
      </c>
      <c r="H12" s="4" t="str">
        <f>IFERROR(__xludf.DUMMYFUNCTION("""COMPUTED_VALUE"""),"")</f>
        <v/>
      </c>
      <c r="I12" s="4" t="str">
        <f>IFERROR(__xludf.DUMMYFUNCTION("""COMPUTED_VALUE"""),"")</f>
        <v/>
      </c>
      <c r="J12" s="4" t="str">
        <f>IFERROR(__xludf.DUMMYFUNCTION("""COMPUTED_VALUE"""),"")</f>
        <v/>
      </c>
      <c r="K12" s="4" t="str">
        <f>IFERROR(__xludf.DUMMYFUNCTION("""COMPUTED_VALUE"""),"RISE Trailer")</f>
        <v>RISE Trailer</v>
      </c>
      <c r="L12" s="4" t="str">
        <f>IFERROR(__xludf.DUMMYFUNCTION("""COMPUTED_VALUE"""),"")</f>
        <v/>
      </c>
      <c r="M12" s="4" t="str">
        <f>IFERROR(__xludf.DUMMYFUNCTION("""COMPUTED_VALUE"""),"RISE promo")</f>
        <v>RISE promo</v>
      </c>
      <c r="N12" s="4" t="str">
        <f>IFERROR(__xludf.DUMMYFUNCTION("""COMPUTED_VALUE"""),"Content pending")</f>
        <v>Content pending</v>
      </c>
      <c r="O12" s="4" t="str">
        <f>IFERROR(__xludf.DUMMYFUNCTION("""COMPUTED_VALUE"""),"")</f>
        <v/>
      </c>
      <c r="P12" s="4" t="str">
        <f>IFERROR(__xludf.DUMMYFUNCTION("""COMPUTED_VALUE"""),"")</f>
        <v/>
      </c>
      <c r="Q12" s="4" t="str">
        <f>IFERROR(__xludf.DUMMYFUNCTION("""COMPUTED_VALUE"""),"")</f>
        <v/>
      </c>
      <c r="R12" s="4" t="str">
        <f>IFERROR(__xludf.DUMMYFUNCTION("""COMPUTED_VALUE"""),"")</f>
        <v/>
      </c>
      <c r="S12" s="4" t="str">
        <f>IFERROR(__xludf.DUMMYFUNCTION("""COMPUTED_VALUE"""),"")</f>
        <v/>
      </c>
      <c r="T12" s="4" t="str">
        <f>IFERROR(__xludf.DUMMYFUNCTION("""COMPUTED_VALUE"""),"")</f>
        <v/>
      </c>
      <c r="U12" s="4" t="str">
        <f>IFERROR(__xludf.DUMMYFUNCTION("""COMPUTED_VALUE"""),"")</f>
        <v/>
      </c>
      <c r="V12" s="4" t="str">
        <f>IFERROR(__xludf.DUMMYFUNCTION("""COMPUTED_VALUE"""),"")</f>
        <v/>
      </c>
      <c r="W12" s="4" t="str">
        <f>IFERROR(__xludf.DUMMYFUNCTION("""COMPUTED_VALUE"""),"")</f>
        <v/>
      </c>
      <c r="X12" s="4" t="str">
        <f>IFERROR(__xludf.DUMMYFUNCTION("""COMPUTED_VALUE"""),"")</f>
        <v/>
      </c>
      <c r="Y12" s="4" t="str">
        <f>IFERROR(__xludf.DUMMYFUNCTION("""COMPUTED_VALUE"""),"")</f>
        <v/>
      </c>
    </row>
    <row r="13">
      <c r="A13" s="4" t="str">
        <f>IFERROR(__xludf.DUMMYFUNCTION("""COMPUTED_VALUE"""),"1820 - Channel")</f>
        <v>1820 - Channel</v>
      </c>
      <c r="B13" s="4" t="str">
        <f>IFERROR(__xludf.DUMMYFUNCTION("""COMPUTED_VALUE"""),"Channel 1")</f>
        <v>Channel 1</v>
      </c>
      <c r="C13" s="4" t="str">
        <f>IFERROR(__xludf.DUMMYFUNCTION("""COMPUTED_VALUE"""),"Day 1 - 23/06")</f>
        <v>Day 1 - 23/06</v>
      </c>
      <c r="D13" s="6">
        <f>IFERROR(__xludf.DUMMYFUNCTION("""COMPUTED_VALUE"""),0.4293981481481482)</f>
        <v>0.4293981481</v>
      </c>
      <c r="E13" s="6">
        <f>IFERROR(__xludf.DUMMYFUNCTION("""COMPUTED_VALUE"""),5.208333333333333E-4)</f>
        <v>0.0005208333333</v>
      </c>
      <c r="F13" s="6">
        <f>IFERROR(__xludf.DUMMYFUNCTION("""COMPUTED_VALUE"""),0.42991898148148155)</f>
        <v>0.4299189815</v>
      </c>
      <c r="G13" s="4" t="str">
        <f>IFERROR(__xludf.DUMMYFUNCTION("""COMPUTED_VALUE"""),"")</f>
        <v/>
      </c>
      <c r="H13" s="4" t="str">
        <f>IFERROR(__xludf.DUMMYFUNCTION("""COMPUTED_VALUE"""),"")</f>
        <v/>
      </c>
      <c r="I13" s="4" t="str">
        <f>IFERROR(__xludf.DUMMYFUNCTION("""COMPUTED_VALUE"""),"")</f>
        <v/>
      </c>
      <c r="J13" s="4" t="str">
        <f>IFERROR(__xludf.DUMMYFUNCTION("""COMPUTED_VALUE"""),"")</f>
        <v/>
      </c>
      <c r="K13" s="4" t="str">
        <f>IFERROR(__xludf.DUMMYFUNCTION("""COMPUTED_VALUE"""),"Web Summit Trailer - short")</f>
        <v>Web Summit Trailer - short</v>
      </c>
      <c r="L13" s="4" t="str">
        <f>IFERROR(__xludf.DUMMYFUNCTION("""COMPUTED_VALUE"""),"")</f>
        <v/>
      </c>
      <c r="M13" s="4" t="str">
        <f>IFERROR(__xludf.DUMMYFUNCTION("""COMPUTED_VALUE"""),"Web Summit promo")</f>
        <v>Web Summit promo</v>
      </c>
      <c r="N13" s="4" t="str">
        <f>IFERROR(__xludf.DUMMYFUNCTION("""COMPUTED_VALUE"""),"Content complete")</f>
        <v>Content complete</v>
      </c>
      <c r="O13" s="4" t="str">
        <f>IFERROR(__xludf.DUMMYFUNCTION("""COMPUTED_VALUE"""),"")</f>
        <v/>
      </c>
      <c r="P13" s="4" t="str">
        <f>IFERROR(__xludf.DUMMYFUNCTION("""COMPUTED_VALUE"""),"")</f>
        <v/>
      </c>
      <c r="Q13" s="4" t="str">
        <f>IFERROR(__xludf.DUMMYFUNCTION("""COMPUTED_VALUE"""),"")</f>
        <v/>
      </c>
      <c r="R13" s="4" t="str">
        <f>IFERROR(__xludf.DUMMYFUNCTION("""COMPUTED_VALUE"""),"")</f>
        <v/>
      </c>
      <c r="S13" s="4" t="str">
        <f>IFERROR(__xludf.DUMMYFUNCTION("""COMPUTED_VALUE"""),"")</f>
        <v/>
      </c>
      <c r="T13" s="4" t="str">
        <f>IFERROR(__xludf.DUMMYFUNCTION("""COMPUTED_VALUE"""),"")</f>
        <v/>
      </c>
      <c r="U13" s="4" t="str">
        <f>IFERROR(__xludf.DUMMYFUNCTION("""COMPUTED_VALUE"""),"")</f>
        <v/>
      </c>
      <c r="V13" s="4" t="str">
        <f>IFERROR(__xludf.DUMMYFUNCTION("""COMPUTED_VALUE"""),"")</f>
        <v/>
      </c>
      <c r="W13" s="4" t="str">
        <f>IFERROR(__xludf.DUMMYFUNCTION("""COMPUTED_VALUE"""),"")</f>
        <v/>
      </c>
      <c r="X13" s="4" t="str">
        <f>IFERROR(__xludf.DUMMYFUNCTION("""COMPUTED_VALUE"""),"")</f>
        <v/>
      </c>
      <c r="Y13" s="4" t="str">
        <f>IFERROR(__xludf.DUMMYFUNCTION("""COMPUTED_VALUE"""),"")</f>
        <v/>
      </c>
    </row>
    <row r="14">
      <c r="A14" s="4" t="str">
        <f>IFERROR(__xludf.DUMMYFUNCTION("""COMPUTED_VALUE"""),"7 - Channel")</f>
        <v>7 - Channel</v>
      </c>
      <c r="B14" s="4" t="str">
        <f>IFERROR(__xludf.DUMMYFUNCTION("""COMPUTED_VALUE"""),"Channel 1")</f>
        <v>Channel 1</v>
      </c>
      <c r="C14" s="4" t="str">
        <f>IFERROR(__xludf.DUMMYFUNCTION("""COMPUTED_VALUE"""),"Day 1 - 23/06")</f>
        <v>Day 1 - 23/06</v>
      </c>
      <c r="D14" s="6">
        <f>IFERROR(__xludf.DUMMYFUNCTION("""COMPUTED_VALUE"""),0.42991898148148155)</f>
        <v>0.4299189815</v>
      </c>
      <c r="E14" s="6">
        <f>IFERROR(__xludf.DUMMYFUNCTION("""COMPUTED_VALUE"""),2.314814814814815E-4)</f>
        <v>0.0002314814815</v>
      </c>
      <c r="F14" s="6">
        <f>IFERROR(__xludf.DUMMYFUNCTION("""COMPUTED_VALUE"""),0.43015046296296305)</f>
        <v>0.430150463</v>
      </c>
      <c r="G14" s="4" t="str">
        <f>IFERROR(__xludf.DUMMYFUNCTION("""COMPUTED_VALUE"""),"")</f>
        <v/>
      </c>
      <c r="H14" s="4" t="str">
        <f>IFERROR(__xludf.DUMMYFUNCTION("""COMPUTED_VALUE"""),"")</f>
        <v/>
      </c>
      <c r="I14" s="4" t="str">
        <f>IFERROR(__xludf.DUMMYFUNCTION("""COMPUTED_VALUE"""),"")</f>
        <v/>
      </c>
      <c r="J14" s="4" t="str">
        <f>IFERROR(__xludf.DUMMYFUNCTION("""COMPUTED_VALUE"""),"")</f>
        <v/>
      </c>
      <c r="K14" s="4" t="str">
        <f>IFERROR(__xludf.DUMMYFUNCTION("""COMPUTED_VALUE"""),"Talk Intro")</f>
        <v>Talk Intro</v>
      </c>
      <c r="L14" s="4" t="str">
        <f>IFERROR(__xludf.DUMMYFUNCTION("""COMPUTED_VALUE"""),"")</f>
        <v/>
      </c>
      <c r="M14" s="4" t="str">
        <f>IFERROR(__xludf.DUMMYFUNCTION("""COMPUTED_VALUE"""),"Talk intro ")</f>
        <v>Talk intro </v>
      </c>
      <c r="N14" s="4" t="str">
        <f>IFERROR(__xludf.DUMMYFUNCTION("""COMPUTED_VALUE"""),"Paddy Cosgrave, Web Summit")</f>
        <v>Paddy Cosgrave, Web Summit</v>
      </c>
      <c r="O14" s="4" t="str">
        <f>IFERROR(__xludf.DUMMYFUNCTION("""COMPUTED_VALUE"""),"Casey Lau, Web Summit")</f>
        <v>Casey Lau, Web Summit</v>
      </c>
      <c r="P14" s="4" t="str">
        <f>IFERROR(__xludf.DUMMYFUNCTION("""COMPUTED_VALUE"""),"")</f>
        <v/>
      </c>
      <c r="Q14" s="4" t="str">
        <f>IFERROR(__xludf.DUMMYFUNCTION("""COMPUTED_VALUE"""),"")</f>
        <v/>
      </c>
      <c r="R14" s="4" t="str">
        <f>IFERROR(__xludf.DUMMYFUNCTION("""COMPUTED_VALUE"""),"")</f>
        <v/>
      </c>
      <c r="S14" s="4" t="str">
        <f>IFERROR(__xludf.DUMMYFUNCTION("""COMPUTED_VALUE"""),"")</f>
        <v/>
      </c>
      <c r="T14" s="4" t="str">
        <f>IFERROR(__xludf.DUMMYFUNCTION("""COMPUTED_VALUE"""),"")</f>
        <v/>
      </c>
      <c r="U14" s="4" t="str">
        <f>IFERROR(__xludf.DUMMYFUNCTION("""COMPUTED_VALUE"""),"")</f>
        <v/>
      </c>
      <c r="V14" s="4" t="str">
        <f>IFERROR(__xludf.DUMMYFUNCTION("""COMPUTED_VALUE"""),"")</f>
        <v/>
      </c>
      <c r="W14" s="4" t="str">
        <f>IFERROR(__xludf.DUMMYFUNCTION("""COMPUTED_VALUE"""),"")</f>
        <v/>
      </c>
      <c r="X14" s="4" t="str">
        <f>IFERROR(__xludf.DUMMYFUNCTION("""COMPUTED_VALUE"""),"")</f>
        <v/>
      </c>
      <c r="Y14" s="4" t="str">
        <f>IFERROR(__xludf.DUMMYFUNCTION("""COMPUTED_VALUE"""),"")</f>
        <v/>
      </c>
    </row>
    <row r="15">
      <c r="A15" s="4" t="str">
        <f>IFERROR(__xludf.DUMMYFUNCTION("""COMPUTED_VALUE"""),"137 - Channel")</f>
        <v>137 - Channel</v>
      </c>
      <c r="B15" s="4" t="str">
        <f>IFERROR(__xludf.DUMMYFUNCTION("""COMPUTED_VALUE"""),"Channel 1")</f>
        <v>Channel 1</v>
      </c>
      <c r="C15" s="4" t="str">
        <f>IFERROR(__xludf.DUMMYFUNCTION("""COMPUTED_VALUE"""),"Day 1 - 23/06")</f>
        <v>Day 1 - 23/06</v>
      </c>
      <c r="D15" s="6">
        <f>IFERROR(__xludf.DUMMYFUNCTION("""COMPUTED_VALUE"""),0.43015046296296305)</f>
        <v>0.430150463</v>
      </c>
      <c r="E15" s="6">
        <f>IFERROR(__xludf.DUMMYFUNCTION("""COMPUTED_VALUE"""),0.009027777777777777)</f>
        <v>0.009027777778</v>
      </c>
      <c r="F15" s="6">
        <f>IFERROR(__xludf.DUMMYFUNCTION("""COMPUTED_VALUE"""),0.43917824074074086)</f>
        <v>0.4391782407</v>
      </c>
      <c r="G15" s="4" t="str">
        <f>IFERROR(__xludf.DUMMYFUNCTION("""COMPUTED_VALUE"""),"Lobna")</f>
        <v>Lobna</v>
      </c>
      <c r="H15" s="4" t="str">
        <f>IFERROR(__xludf.DUMMYFUNCTION("""COMPUTED_VALUE"""),"Stephen")</f>
        <v>Stephen</v>
      </c>
      <c r="I15" s="4" t="str">
        <f>IFERROR(__xludf.DUMMYFUNCTION("""COMPUTED_VALUE"""),"Manon")</f>
        <v>Manon</v>
      </c>
      <c r="J15" s="4" t="str">
        <f>IFERROR(__xludf.DUMMYFUNCTION("""COMPUTED_VALUE"""),"News")</f>
        <v>News</v>
      </c>
      <c r="K15" s="4" t="str">
        <f>IFERROR(__xludf.DUMMYFUNCTION("""COMPUTED_VALUE"""),"Fireside")</f>
        <v>Fireside</v>
      </c>
      <c r="L15" s="4" t="str">
        <f>IFERROR(__xludf.DUMMYFUNCTION("""COMPUTED_VALUE"""),"T- 4 - 25/05/2020")</f>
        <v>T- 4 - 25/05/2020</v>
      </c>
      <c r="M15" s="4" t="str">
        <f>IFERROR(__xludf.DUMMYFUNCTION("""COMPUTED_VALUE"""),"Who holds tech to account?")</f>
        <v>Who holds tech to account?</v>
      </c>
      <c r="N15" s="4" t="str">
        <f>IFERROR(__xludf.DUMMYFUNCTION("""COMPUTED_VALUE"""),"Jessica Lessin, The Information")</f>
        <v>Jessica Lessin, The Information</v>
      </c>
      <c r="O15" s="4" t="str">
        <f>IFERROR(__xludf.DUMMYFUNCTION("""COMPUTED_VALUE"""),"")</f>
        <v/>
      </c>
      <c r="P15" s="4" t="str">
        <f>IFERROR(__xludf.DUMMYFUNCTION("""COMPUTED_VALUE"""),"")</f>
        <v/>
      </c>
      <c r="Q15" s="4" t="str">
        <f>IFERROR(__xludf.DUMMYFUNCTION("""COMPUTED_VALUE"""),"")</f>
        <v/>
      </c>
      <c r="R15" s="4" t="str">
        <f>IFERROR(__xludf.DUMMYFUNCTION("""COMPUTED_VALUE"""),"Brian McCullough, Techmeme")</f>
        <v>Brian McCullough, Techmeme</v>
      </c>
      <c r="S15" s="4" t="str">
        <f>IFERROR(__xludf.DUMMYFUNCTION("""COMPUTED_VALUE"""),"At a time when societies are relying on big tech more than ever, the conversation has shifted from the perils to the benefits of being ever-connected. But what has really changed? The Information's Jessica Lessin continues to investigate.")</f>
        <v>At a time when societies are relying on big tech more than ever, the conversation has shifted from the perils to the benefits of being ever-connected. But what has really changed? The Information's Jessica Lessin continues to investigate.</v>
      </c>
      <c r="T15" s="4" t="str">
        <f>IFERROR(__xludf.DUMMYFUNCTION("""COMPUTED_VALUE"""),"NON-KEYNOTE 9 - COMPLETE")</f>
        <v>NON-KEYNOTE 9 - COMPLETE</v>
      </c>
      <c r="U15" s="23">
        <f>IFERROR(__xludf.DUMMYFUNCTION("""COMPUTED_VALUE"""),43972.0)</f>
        <v>43972</v>
      </c>
      <c r="V15" s="24">
        <f>IFERROR(__xludf.DUMMYFUNCTION("""COMPUTED_VALUE"""),0.8020833333333334)</f>
        <v>0.8020833333</v>
      </c>
      <c r="W15" s="4" t="str">
        <f>IFERROR(__xludf.DUMMYFUNCTION("""COMPUTED_VALUE"""),"COMPLETE")</f>
        <v>COMPLETE</v>
      </c>
      <c r="X15" s="4" t="str">
        <f>IFERROR(__xludf.DUMMYFUNCTION("""COMPUTED_VALUE"""),"Stephen")</f>
        <v>Stephen</v>
      </c>
      <c r="Y15" s="4" t="str">
        <f>IFERROR(__xludf.DUMMYFUNCTION("""COMPUTED_VALUE"""),"")</f>
        <v/>
      </c>
    </row>
    <row r="16">
      <c r="A16" s="4" t="str">
        <f>IFERROR(__xludf.DUMMYFUNCTION("""COMPUTED_VALUE"""),"2294 - Channel")</f>
        <v>2294 - Channel</v>
      </c>
      <c r="B16" s="4" t="str">
        <f>IFERROR(__xludf.DUMMYFUNCTION("""COMPUTED_VALUE"""),"Channel 1")</f>
        <v>Channel 1</v>
      </c>
      <c r="C16" s="4" t="str">
        <f>IFERROR(__xludf.DUMMYFUNCTION("""COMPUTED_VALUE"""),"Day 1 - 23/06")</f>
        <v>Day 1 - 23/06</v>
      </c>
      <c r="D16" s="6">
        <f>IFERROR(__xludf.DUMMYFUNCTION("""COMPUTED_VALUE"""),0.43917824074074086)</f>
        <v>0.4391782407</v>
      </c>
      <c r="E16" s="6">
        <f>IFERROR(__xludf.DUMMYFUNCTION("""COMPUTED_VALUE"""),5.208333333333333E-4)</f>
        <v>0.0005208333333</v>
      </c>
      <c r="F16" s="6">
        <f>IFERROR(__xludf.DUMMYFUNCTION("""COMPUTED_VALUE"""),0.4396990740740742)</f>
        <v>0.4396990741</v>
      </c>
      <c r="G16" s="4" t="str">
        <f>IFERROR(__xludf.DUMMYFUNCTION("""COMPUTED_VALUE"""),"")</f>
        <v/>
      </c>
      <c r="H16" s="4" t="str">
        <f>IFERROR(__xludf.DUMMYFUNCTION("""COMPUTED_VALUE"""),"")</f>
        <v/>
      </c>
      <c r="I16" s="4" t="str">
        <f>IFERROR(__xludf.DUMMYFUNCTION("""COMPUTED_VALUE"""),"")</f>
        <v/>
      </c>
      <c r="J16" s="4" t="str">
        <f>IFERROR(__xludf.DUMMYFUNCTION("""COMPUTED_VALUE"""),"")</f>
        <v/>
      </c>
      <c r="K16" s="4" t="str">
        <f>IFERROR(__xludf.DUMMYFUNCTION("""COMPUTED_VALUE"""),"Web Summit Trailer - short")</f>
        <v>Web Summit Trailer - short</v>
      </c>
      <c r="L16" s="4" t="str">
        <f>IFERROR(__xludf.DUMMYFUNCTION("""COMPUTED_VALUE"""),"")</f>
        <v/>
      </c>
      <c r="M16" s="4" t="str">
        <f>IFERROR(__xludf.DUMMYFUNCTION("""COMPUTED_VALUE"""),"")</f>
        <v/>
      </c>
      <c r="N16" s="4" t="str">
        <f>IFERROR(__xludf.DUMMYFUNCTION("""COMPUTED_VALUE"""),"Content pending")</f>
        <v>Content pending</v>
      </c>
      <c r="O16" s="4" t="str">
        <f>IFERROR(__xludf.DUMMYFUNCTION("""COMPUTED_VALUE"""),"")</f>
        <v/>
      </c>
      <c r="P16" s="4" t="str">
        <f>IFERROR(__xludf.DUMMYFUNCTION("""COMPUTED_VALUE"""),"")</f>
        <v/>
      </c>
      <c r="Q16" s="4" t="str">
        <f>IFERROR(__xludf.DUMMYFUNCTION("""COMPUTED_VALUE"""),"")</f>
        <v/>
      </c>
      <c r="R16" s="4" t="str">
        <f>IFERROR(__xludf.DUMMYFUNCTION("""COMPUTED_VALUE"""),"")</f>
        <v/>
      </c>
      <c r="S16" s="4" t="str">
        <f>IFERROR(__xludf.DUMMYFUNCTION("""COMPUTED_VALUE"""),"")</f>
        <v/>
      </c>
      <c r="T16" s="4" t="str">
        <f>IFERROR(__xludf.DUMMYFUNCTION("""COMPUTED_VALUE"""),"")</f>
        <v/>
      </c>
      <c r="U16" s="4" t="str">
        <f>IFERROR(__xludf.DUMMYFUNCTION("""COMPUTED_VALUE"""),"")</f>
        <v/>
      </c>
      <c r="V16" s="4" t="str">
        <f>IFERROR(__xludf.DUMMYFUNCTION("""COMPUTED_VALUE"""),"")</f>
        <v/>
      </c>
      <c r="W16" s="4" t="str">
        <f>IFERROR(__xludf.DUMMYFUNCTION("""COMPUTED_VALUE"""),"")</f>
        <v/>
      </c>
      <c r="X16" s="4" t="str">
        <f>IFERROR(__xludf.DUMMYFUNCTION("""COMPUTED_VALUE"""),"")</f>
        <v/>
      </c>
      <c r="Y16" s="4" t="str">
        <f>IFERROR(__xludf.DUMMYFUNCTION("""COMPUTED_VALUE"""),"")</f>
        <v/>
      </c>
    </row>
    <row r="17">
      <c r="A17" s="4" t="str">
        <f>IFERROR(__xludf.DUMMYFUNCTION("""COMPUTED_VALUE"""),"2293 - Channel")</f>
        <v>2293 - Channel</v>
      </c>
      <c r="B17" s="4" t="str">
        <f>IFERROR(__xludf.DUMMYFUNCTION("""COMPUTED_VALUE"""),"Channel 1")</f>
        <v>Channel 1</v>
      </c>
      <c r="C17" s="4" t="str">
        <f>IFERROR(__xludf.DUMMYFUNCTION("""COMPUTED_VALUE"""),"Day 1 - 23/06")</f>
        <v>Day 1 - 23/06</v>
      </c>
      <c r="D17" s="6">
        <f>IFERROR(__xludf.DUMMYFUNCTION("""COMPUTED_VALUE"""),0.4396990740740742)</f>
        <v>0.4396990741</v>
      </c>
      <c r="E17" s="6">
        <f>IFERROR(__xludf.DUMMYFUNCTION("""COMPUTED_VALUE"""),3.4722222222222224E-4)</f>
        <v>0.0003472222222</v>
      </c>
      <c r="F17" s="6">
        <f>IFERROR(__xludf.DUMMYFUNCTION("""COMPUTED_VALUE"""),0.44004629629629644)</f>
        <v>0.4400462963</v>
      </c>
      <c r="G17" s="4" t="str">
        <f>IFERROR(__xludf.DUMMYFUNCTION("""COMPUTED_VALUE"""),"Video")</f>
        <v>Video</v>
      </c>
      <c r="H17" s="4" t="str">
        <f>IFERROR(__xludf.DUMMYFUNCTION("""COMPUTED_VALUE"""),"")</f>
        <v/>
      </c>
      <c r="I17" s="4" t="str">
        <f>IFERROR(__xludf.DUMMYFUNCTION("""COMPUTED_VALUE"""),"")</f>
        <v/>
      </c>
      <c r="J17" s="4" t="str">
        <f>IFERROR(__xludf.DUMMYFUNCTION("""COMPUTED_VALUE"""),"")</f>
        <v/>
      </c>
      <c r="K17" s="4" t="str">
        <f>IFERROR(__xludf.DUMMYFUNCTION("""COMPUTED_VALUE"""),"RISE Trailer")</f>
        <v>RISE Trailer</v>
      </c>
      <c r="L17" s="4" t="str">
        <f>IFERROR(__xludf.DUMMYFUNCTION("""COMPUTED_VALUE"""),"")</f>
        <v/>
      </c>
      <c r="M17" s="4" t="str">
        <f>IFERROR(__xludf.DUMMYFUNCTION("""COMPUTED_VALUE"""),"")</f>
        <v/>
      </c>
      <c r="N17" s="4" t="str">
        <f>IFERROR(__xludf.DUMMYFUNCTION("""COMPUTED_VALUE"""),"Content pending")</f>
        <v>Content pending</v>
      </c>
      <c r="O17" s="4" t="str">
        <f>IFERROR(__xludf.DUMMYFUNCTION("""COMPUTED_VALUE"""),"")</f>
        <v/>
      </c>
      <c r="P17" s="4" t="str">
        <f>IFERROR(__xludf.DUMMYFUNCTION("""COMPUTED_VALUE"""),"")</f>
        <v/>
      </c>
      <c r="Q17" s="4" t="str">
        <f>IFERROR(__xludf.DUMMYFUNCTION("""COMPUTED_VALUE"""),"")</f>
        <v/>
      </c>
      <c r="R17" s="4" t="str">
        <f>IFERROR(__xludf.DUMMYFUNCTION("""COMPUTED_VALUE"""),"")</f>
        <v/>
      </c>
      <c r="S17" s="4" t="str">
        <f>IFERROR(__xludf.DUMMYFUNCTION("""COMPUTED_VALUE"""),"")</f>
        <v/>
      </c>
      <c r="T17" s="4" t="str">
        <f>IFERROR(__xludf.DUMMYFUNCTION("""COMPUTED_VALUE"""),"")</f>
        <v/>
      </c>
      <c r="U17" s="4" t="str">
        <f>IFERROR(__xludf.DUMMYFUNCTION("""COMPUTED_VALUE"""),"")</f>
        <v/>
      </c>
      <c r="V17" s="4" t="str">
        <f>IFERROR(__xludf.DUMMYFUNCTION("""COMPUTED_VALUE"""),"")</f>
        <v/>
      </c>
      <c r="W17" s="4" t="str">
        <f>IFERROR(__xludf.DUMMYFUNCTION("""COMPUTED_VALUE"""),"")</f>
        <v/>
      </c>
      <c r="X17" s="4" t="str">
        <f>IFERROR(__xludf.DUMMYFUNCTION("""COMPUTED_VALUE"""),"")</f>
        <v/>
      </c>
      <c r="Y17" s="4" t="str">
        <f>IFERROR(__xludf.DUMMYFUNCTION("""COMPUTED_VALUE"""),"")</f>
        <v/>
      </c>
    </row>
    <row r="18">
      <c r="A18" s="4" t="str">
        <f>IFERROR(__xludf.DUMMYFUNCTION("""COMPUTED_VALUE"""),"100 - Channel")</f>
        <v>100 - Channel</v>
      </c>
      <c r="B18" s="4" t="str">
        <f>IFERROR(__xludf.DUMMYFUNCTION("""COMPUTED_VALUE"""),"Channel 1")</f>
        <v>Channel 1</v>
      </c>
      <c r="C18" s="4" t="str">
        <f>IFERROR(__xludf.DUMMYFUNCTION("""COMPUTED_VALUE"""),"Day 1 - 23/06")</f>
        <v>Day 1 - 23/06</v>
      </c>
      <c r="D18" s="6">
        <f>IFERROR(__xludf.DUMMYFUNCTION("""COMPUTED_VALUE"""),0.44004629629629644)</f>
        <v>0.4400462963</v>
      </c>
      <c r="E18" s="6">
        <f>IFERROR(__xludf.DUMMYFUNCTION("""COMPUTED_VALUE"""),2.314814814814815E-4)</f>
        <v>0.0002314814815</v>
      </c>
      <c r="F18" s="6">
        <f>IFERROR(__xludf.DUMMYFUNCTION("""COMPUTED_VALUE"""),0.44027777777777793)</f>
        <v>0.4402777778</v>
      </c>
      <c r="G18" s="4" t="str">
        <f>IFERROR(__xludf.DUMMYFUNCTION("""COMPUTED_VALUE"""),"")</f>
        <v/>
      </c>
      <c r="H18" s="4" t="str">
        <f>IFERROR(__xludf.DUMMYFUNCTION("""COMPUTED_VALUE"""),"")</f>
        <v/>
      </c>
      <c r="I18" s="4" t="str">
        <f>IFERROR(__xludf.DUMMYFUNCTION("""COMPUTED_VALUE"""),"")</f>
        <v/>
      </c>
      <c r="J18" s="4" t="str">
        <f>IFERROR(__xludf.DUMMYFUNCTION("""COMPUTED_VALUE"""),"")</f>
        <v/>
      </c>
      <c r="K18" s="4" t="str">
        <f>IFERROR(__xludf.DUMMYFUNCTION("""COMPUTED_VALUE"""),"Talk Intro")</f>
        <v>Talk Intro</v>
      </c>
      <c r="L18" s="4" t="str">
        <f>IFERROR(__xludf.DUMMYFUNCTION("""COMPUTED_VALUE"""),"")</f>
        <v/>
      </c>
      <c r="M18" s="4" t="str">
        <f>IFERROR(__xludf.DUMMYFUNCTION("""COMPUTED_VALUE"""),"Teaser: Netflix_Intro")</f>
        <v>Teaser: Netflix_Intro</v>
      </c>
      <c r="N18" s="4" t="str">
        <f>IFERROR(__xludf.DUMMYFUNCTION("""COMPUTED_VALUE"""),"Casey Lau, Web Summit")</f>
        <v>Casey Lau, Web Summit</v>
      </c>
      <c r="O18" s="4" t="str">
        <f>IFERROR(__xludf.DUMMYFUNCTION("""COMPUTED_VALUE"""),"")</f>
        <v/>
      </c>
      <c r="P18" s="4" t="str">
        <f>IFERROR(__xludf.DUMMYFUNCTION("""COMPUTED_VALUE"""),"")</f>
        <v/>
      </c>
      <c r="Q18" s="4" t="str">
        <f>IFERROR(__xludf.DUMMYFUNCTION("""COMPUTED_VALUE"""),"")</f>
        <v/>
      </c>
      <c r="R18" s="4" t="str">
        <f>IFERROR(__xludf.DUMMYFUNCTION("""COMPUTED_VALUE"""),"")</f>
        <v/>
      </c>
      <c r="S18" s="4" t="str">
        <f>IFERROR(__xludf.DUMMYFUNCTION("""COMPUTED_VALUE"""),"")</f>
        <v/>
      </c>
      <c r="T18" s="4" t="str">
        <f>IFERROR(__xludf.DUMMYFUNCTION("""COMPUTED_VALUE"""),"")</f>
        <v/>
      </c>
      <c r="U18" s="4" t="str">
        <f>IFERROR(__xludf.DUMMYFUNCTION("""COMPUTED_VALUE"""),"")</f>
        <v/>
      </c>
      <c r="V18" s="4" t="str">
        <f>IFERROR(__xludf.DUMMYFUNCTION("""COMPUTED_VALUE"""),"")</f>
        <v/>
      </c>
      <c r="W18" s="4" t="str">
        <f>IFERROR(__xludf.DUMMYFUNCTION("""COMPUTED_VALUE"""),"")</f>
        <v/>
      </c>
      <c r="X18" s="4" t="str">
        <f>IFERROR(__xludf.DUMMYFUNCTION("""COMPUTED_VALUE"""),"")</f>
        <v/>
      </c>
      <c r="Y18" s="4" t="str">
        <f>IFERROR(__xludf.DUMMYFUNCTION("""COMPUTED_VALUE"""),"")</f>
        <v/>
      </c>
    </row>
    <row r="19">
      <c r="A19" s="4" t="str">
        <f>IFERROR(__xludf.DUMMYFUNCTION("""COMPUTED_VALUE"""),"101 - Channel")</f>
        <v>101 - Channel</v>
      </c>
      <c r="B19" s="4" t="str">
        <f>IFERROR(__xludf.DUMMYFUNCTION("""COMPUTED_VALUE"""),"Channel 1")</f>
        <v>Channel 1</v>
      </c>
      <c r="C19" s="4" t="str">
        <f>IFERROR(__xludf.DUMMYFUNCTION("""COMPUTED_VALUE"""),"Day 1 - 23/06")</f>
        <v>Day 1 - 23/06</v>
      </c>
      <c r="D19" s="6">
        <f>IFERROR(__xludf.DUMMYFUNCTION("""COMPUTED_VALUE"""),0.44027777777777793)</f>
        <v>0.4402777778</v>
      </c>
      <c r="E19" s="6">
        <f>IFERROR(__xludf.DUMMYFUNCTION("""COMPUTED_VALUE"""),0.0020833333333333333)</f>
        <v>0.002083333333</v>
      </c>
      <c r="F19" s="6">
        <f>IFERROR(__xludf.DUMMYFUNCTION("""COMPUTED_VALUE"""),0.44236111111111126)</f>
        <v>0.4423611111</v>
      </c>
      <c r="G19" s="4" t="str">
        <f>IFERROR(__xludf.DUMMYFUNCTION("""COMPUTED_VALUE"""),"")</f>
        <v/>
      </c>
      <c r="H19" s="4" t="str">
        <f>IFERROR(__xludf.DUMMYFUNCTION("""COMPUTED_VALUE"""),"")</f>
        <v/>
      </c>
      <c r="I19" s="4" t="str">
        <f>IFERROR(__xludf.DUMMYFUNCTION("""COMPUTED_VALUE"""),"")</f>
        <v/>
      </c>
      <c r="J19" s="4" t="str">
        <f>IFERROR(__xludf.DUMMYFUNCTION("""COMPUTED_VALUE"""),"")</f>
        <v/>
      </c>
      <c r="K19" s="4" t="str">
        <f>IFERROR(__xludf.DUMMYFUNCTION("""COMPUTED_VALUE"""),"Teaser")</f>
        <v>Teaser</v>
      </c>
      <c r="L19" s="4" t="str">
        <f>IFERROR(__xludf.DUMMYFUNCTION("""COMPUTED_VALUE"""),"")</f>
        <v/>
      </c>
      <c r="M19" s="4" t="str">
        <f>IFERROR(__xludf.DUMMYFUNCTION("""COMPUTED_VALUE"""),"Teaser: Netflix")</f>
        <v>Teaser: Netflix</v>
      </c>
      <c r="N19" s="4" t="str">
        <f>IFERROR(__xludf.DUMMYFUNCTION("""COMPUTED_VALUE"""),"Content complete")</f>
        <v>Content complete</v>
      </c>
      <c r="O19" s="4" t="str">
        <f>IFERROR(__xludf.DUMMYFUNCTION("""COMPUTED_VALUE"""),"")</f>
        <v/>
      </c>
      <c r="P19" s="4" t="str">
        <f>IFERROR(__xludf.DUMMYFUNCTION("""COMPUTED_VALUE"""),"")</f>
        <v/>
      </c>
      <c r="Q19" s="4" t="str">
        <f>IFERROR(__xludf.DUMMYFUNCTION("""COMPUTED_VALUE"""),"")</f>
        <v/>
      </c>
      <c r="R19" s="4" t="str">
        <f>IFERROR(__xludf.DUMMYFUNCTION("""COMPUTED_VALUE"""),"")</f>
        <v/>
      </c>
      <c r="S19" s="4" t="str">
        <f>IFERROR(__xludf.DUMMYFUNCTION("""COMPUTED_VALUE"""),"")</f>
        <v/>
      </c>
      <c r="T19" s="4" t="str">
        <f>IFERROR(__xludf.DUMMYFUNCTION("""COMPUTED_VALUE"""),"")</f>
        <v/>
      </c>
      <c r="U19" s="4" t="str">
        <f>IFERROR(__xludf.DUMMYFUNCTION("""COMPUTED_VALUE"""),"")</f>
        <v/>
      </c>
      <c r="V19" s="4" t="str">
        <f>IFERROR(__xludf.DUMMYFUNCTION("""COMPUTED_VALUE"""),"")</f>
        <v/>
      </c>
      <c r="W19" s="4" t="str">
        <f>IFERROR(__xludf.DUMMYFUNCTION("""COMPUTED_VALUE"""),"")</f>
        <v/>
      </c>
      <c r="X19" s="4" t="str">
        <f>IFERROR(__xludf.DUMMYFUNCTION("""COMPUTED_VALUE"""),"")</f>
        <v/>
      </c>
      <c r="Y19" s="4" t="str">
        <f>IFERROR(__xludf.DUMMYFUNCTION("""COMPUTED_VALUE"""),"")</f>
        <v/>
      </c>
    </row>
    <row r="20">
      <c r="A20" s="4" t="str">
        <f>IFERROR(__xludf.DUMMYFUNCTION("""COMPUTED_VALUE"""),"2235 - Channel")</f>
        <v>2235 - Channel</v>
      </c>
      <c r="B20" s="4" t="str">
        <f>IFERROR(__xludf.DUMMYFUNCTION("""COMPUTED_VALUE"""),"Channel 1")</f>
        <v>Channel 1</v>
      </c>
      <c r="C20" s="4" t="str">
        <f>IFERROR(__xludf.DUMMYFUNCTION("""COMPUTED_VALUE"""),"Day 1 - 23/06")</f>
        <v>Day 1 - 23/06</v>
      </c>
      <c r="D20" s="6">
        <f>IFERROR(__xludf.DUMMYFUNCTION("""COMPUTED_VALUE"""),0.44236111111111126)</f>
        <v>0.4423611111</v>
      </c>
      <c r="E20" s="6">
        <f>IFERROR(__xludf.DUMMYFUNCTION("""COMPUTED_VALUE"""),2.314814814814815E-4)</f>
        <v>0.0002314814815</v>
      </c>
      <c r="F20" s="6">
        <f>IFERROR(__xludf.DUMMYFUNCTION("""COMPUTED_VALUE"""),0.44259259259259276)</f>
        <v>0.4425925926</v>
      </c>
      <c r="G20" s="4" t="str">
        <f>IFERROR(__xludf.DUMMYFUNCTION("""COMPUTED_VALUE"""),"")</f>
        <v/>
      </c>
      <c r="H20" s="4" t="str">
        <f>IFERROR(__xludf.DUMMYFUNCTION("""COMPUTED_VALUE"""),"")</f>
        <v/>
      </c>
      <c r="I20" s="4" t="str">
        <f>IFERROR(__xludf.DUMMYFUNCTION("""COMPUTED_VALUE"""),"")</f>
        <v/>
      </c>
      <c r="J20" s="4" t="str">
        <f>IFERROR(__xludf.DUMMYFUNCTION("""COMPUTED_VALUE"""),"")</f>
        <v/>
      </c>
      <c r="K20" s="4" t="str">
        <f>IFERROR(__xludf.DUMMYFUNCTION("""COMPUTED_VALUE"""),"Talk Outro")</f>
        <v>Talk Outro</v>
      </c>
      <c r="L20" s="4" t="str">
        <f>IFERROR(__xludf.DUMMYFUNCTION("""COMPUTED_VALUE"""),"")</f>
        <v/>
      </c>
      <c r="M20" s="4" t="str">
        <f>IFERROR(__xludf.DUMMYFUNCTION("""COMPUTED_VALUE"""),"Call to action")</f>
        <v>Call to action</v>
      </c>
      <c r="N20" s="4" t="str">
        <f>IFERROR(__xludf.DUMMYFUNCTION("""COMPUTED_VALUE"""),"Casey Lau, Web Summit")</f>
        <v>Casey Lau, Web Summit</v>
      </c>
      <c r="O20" s="4" t="str">
        <f>IFERROR(__xludf.DUMMYFUNCTION("""COMPUTED_VALUE"""),"")</f>
        <v/>
      </c>
      <c r="P20" s="4" t="str">
        <f>IFERROR(__xludf.DUMMYFUNCTION("""COMPUTED_VALUE"""),"")</f>
        <v/>
      </c>
      <c r="Q20" s="4" t="str">
        <f>IFERROR(__xludf.DUMMYFUNCTION("""COMPUTED_VALUE"""),"")</f>
        <v/>
      </c>
      <c r="R20" s="4" t="str">
        <f>IFERROR(__xludf.DUMMYFUNCTION("""COMPUTED_VALUE"""),"")</f>
        <v/>
      </c>
      <c r="S20" s="4" t="str">
        <f>IFERROR(__xludf.DUMMYFUNCTION("""COMPUTED_VALUE"""),"")</f>
        <v/>
      </c>
      <c r="T20" s="4" t="str">
        <f>IFERROR(__xludf.DUMMYFUNCTION("""COMPUTED_VALUE"""),"")</f>
        <v/>
      </c>
      <c r="U20" s="4" t="str">
        <f>IFERROR(__xludf.DUMMYFUNCTION("""COMPUTED_VALUE"""),"")</f>
        <v/>
      </c>
      <c r="V20" s="4" t="str">
        <f>IFERROR(__xludf.DUMMYFUNCTION("""COMPUTED_VALUE"""),"")</f>
        <v/>
      </c>
      <c r="W20" s="4" t="str">
        <f>IFERROR(__xludf.DUMMYFUNCTION("""COMPUTED_VALUE"""),"")</f>
        <v/>
      </c>
      <c r="X20" s="4" t="str">
        <f>IFERROR(__xludf.DUMMYFUNCTION("""COMPUTED_VALUE"""),"")</f>
        <v/>
      </c>
      <c r="Y20" s="4" t="str">
        <f>IFERROR(__xludf.DUMMYFUNCTION("""COMPUTED_VALUE"""),"")</f>
        <v/>
      </c>
    </row>
    <row r="21">
      <c r="A21" s="4" t="str">
        <f>IFERROR(__xludf.DUMMYFUNCTION("""COMPUTED_VALUE"""),"53 - Channel")</f>
        <v>53 - Channel</v>
      </c>
      <c r="B21" s="4" t="str">
        <f>IFERROR(__xludf.DUMMYFUNCTION("""COMPUTED_VALUE"""),"Channel 1")</f>
        <v>Channel 1</v>
      </c>
      <c r="C21" s="4" t="str">
        <f>IFERROR(__xludf.DUMMYFUNCTION("""COMPUTED_VALUE"""),"Day 1 - 23/06")</f>
        <v>Day 1 - 23/06</v>
      </c>
      <c r="D21" s="6">
        <f>IFERROR(__xludf.DUMMYFUNCTION("""COMPUTED_VALUE"""),0.44259259259259276)</f>
        <v>0.4425925926</v>
      </c>
      <c r="E21" s="6">
        <f>IFERROR(__xludf.DUMMYFUNCTION("""COMPUTED_VALUE"""),2.314814814814815E-4)</f>
        <v>0.0002314814815</v>
      </c>
      <c r="F21" s="6">
        <f>IFERROR(__xludf.DUMMYFUNCTION("""COMPUTED_VALUE"""),0.44282407407407426)</f>
        <v>0.4428240741</v>
      </c>
      <c r="G21" s="4" t="str">
        <f>IFERROR(__xludf.DUMMYFUNCTION("""COMPUTED_VALUE"""),"")</f>
        <v/>
      </c>
      <c r="H21" s="4" t="str">
        <f>IFERROR(__xludf.DUMMYFUNCTION("""COMPUTED_VALUE"""),"")</f>
        <v/>
      </c>
      <c r="I21" s="4" t="str">
        <f>IFERROR(__xludf.DUMMYFUNCTION("""COMPUTED_VALUE"""),"")</f>
        <v/>
      </c>
      <c r="J21" s="4" t="str">
        <f>IFERROR(__xludf.DUMMYFUNCTION("""COMPUTED_VALUE"""),"")</f>
        <v/>
      </c>
      <c r="K21" s="4" t="str">
        <f>IFERROR(__xludf.DUMMYFUNCTION("""COMPUTED_VALUE"""),"Talk Intro")</f>
        <v>Talk Intro</v>
      </c>
      <c r="L21" s="4" t="str">
        <f>IFERROR(__xludf.DUMMYFUNCTION("""COMPUTED_VALUE"""),"")</f>
        <v/>
      </c>
      <c r="M21" s="4" t="str">
        <f>IFERROR(__xludf.DUMMYFUNCTION("""COMPUTED_VALUE"""),"Talk intro ")</f>
        <v>Talk intro </v>
      </c>
      <c r="N21" s="4" t="str">
        <f>IFERROR(__xludf.DUMMYFUNCTION("""COMPUTED_VALUE"""),"Paddy Cosgrave, Web Summit")</f>
        <v>Paddy Cosgrave, Web Summit</v>
      </c>
      <c r="O21" s="4" t="str">
        <f>IFERROR(__xludf.DUMMYFUNCTION("""COMPUTED_VALUE"""),"Casey Lau, Web Summit")</f>
        <v>Casey Lau, Web Summit</v>
      </c>
      <c r="P21" s="4" t="str">
        <f>IFERROR(__xludf.DUMMYFUNCTION("""COMPUTED_VALUE"""),"")</f>
        <v/>
      </c>
      <c r="Q21" s="4" t="str">
        <f>IFERROR(__xludf.DUMMYFUNCTION("""COMPUTED_VALUE"""),"")</f>
        <v/>
      </c>
      <c r="R21" s="4" t="str">
        <f>IFERROR(__xludf.DUMMYFUNCTION("""COMPUTED_VALUE"""),"")</f>
        <v/>
      </c>
      <c r="S21" s="4" t="str">
        <f>IFERROR(__xludf.DUMMYFUNCTION("""COMPUTED_VALUE"""),"")</f>
        <v/>
      </c>
      <c r="T21" s="4" t="str">
        <f>IFERROR(__xludf.DUMMYFUNCTION("""COMPUTED_VALUE"""),"")</f>
        <v/>
      </c>
      <c r="U21" s="4" t="str">
        <f>IFERROR(__xludf.DUMMYFUNCTION("""COMPUTED_VALUE"""),"")</f>
        <v/>
      </c>
      <c r="V21" s="4" t="str">
        <f>IFERROR(__xludf.DUMMYFUNCTION("""COMPUTED_VALUE"""),"")</f>
        <v/>
      </c>
      <c r="W21" s="4" t="str">
        <f>IFERROR(__xludf.DUMMYFUNCTION("""COMPUTED_VALUE"""),"")</f>
        <v/>
      </c>
      <c r="X21" s="4" t="str">
        <f>IFERROR(__xludf.DUMMYFUNCTION("""COMPUTED_VALUE"""),"")</f>
        <v/>
      </c>
      <c r="Y21" s="4" t="str">
        <f>IFERROR(__xludf.DUMMYFUNCTION("""COMPUTED_VALUE"""),"")</f>
        <v/>
      </c>
    </row>
    <row r="22">
      <c r="A22" s="4" t="str">
        <f>IFERROR(__xludf.DUMMYFUNCTION("""COMPUTED_VALUE"""),"337 - Channel")</f>
        <v>337 - Channel</v>
      </c>
      <c r="B22" s="4" t="str">
        <f>IFERROR(__xludf.DUMMYFUNCTION("""COMPUTED_VALUE"""),"Channel 1")</f>
        <v>Channel 1</v>
      </c>
      <c r="C22" s="4" t="str">
        <f>IFERROR(__xludf.DUMMYFUNCTION("""COMPUTED_VALUE"""),"Day 1 - 23/06")</f>
        <v>Day 1 - 23/06</v>
      </c>
      <c r="D22" s="6">
        <f>IFERROR(__xludf.DUMMYFUNCTION("""COMPUTED_VALUE"""),0.44282407407407426)</f>
        <v>0.4428240741</v>
      </c>
      <c r="E22" s="6">
        <f>IFERROR(__xludf.DUMMYFUNCTION("""COMPUTED_VALUE"""),0.013888888888888888)</f>
        <v>0.01388888889</v>
      </c>
      <c r="F22" s="6">
        <f>IFERROR(__xludf.DUMMYFUNCTION("""COMPUTED_VALUE"""),0.45671296296296315)</f>
        <v>0.456712963</v>
      </c>
      <c r="G22" s="4" t="str">
        <f>IFERROR(__xludf.DUMMYFUNCTION("""COMPUTED_VALUE"""),"Brian")</f>
        <v>Brian</v>
      </c>
      <c r="H22" s="4" t="str">
        <f>IFERROR(__xludf.DUMMYFUNCTION("""COMPUTED_VALUE"""),"Stephen")</f>
        <v>Stephen</v>
      </c>
      <c r="I22" s="4" t="str">
        <f>IFERROR(__xludf.DUMMYFUNCTION("""COMPUTED_VALUE"""),"Manon")</f>
        <v>Manon</v>
      </c>
      <c r="J22" s="4" t="str">
        <f>IFERROR(__xludf.DUMMYFUNCTION("""COMPUTED_VALUE"""),"")</f>
        <v/>
      </c>
      <c r="K22" s="4" t="str">
        <f>IFERROR(__xludf.DUMMYFUNCTION("""COMPUTED_VALUE"""),"Fireside")</f>
        <v>Fireside</v>
      </c>
      <c r="L22" s="4" t="str">
        <f>IFERROR(__xludf.DUMMYFUNCTION("""COMPUTED_VALUE"""),"T- 3 - 01/06/2020")</f>
        <v>T- 3 - 01/06/2020</v>
      </c>
      <c r="M22" s="4" t="str">
        <f>IFERROR(__xludf.DUMMYFUNCTION("""COMPUTED_VALUE"""),"Uber Eats: What happens post-lockdown?")</f>
        <v>Uber Eats: What happens post-lockdown?</v>
      </c>
      <c r="N22" s="4" t="str">
        <f>IFERROR(__xludf.DUMMYFUNCTION("""COMPUTED_VALUE"""),"Pierre-Dimitri Gore-Coty, Uber")</f>
        <v>Pierre-Dimitri Gore-Coty, Uber</v>
      </c>
      <c r="O22" s="4" t="str">
        <f>IFERROR(__xludf.DUMMYFUNCTION("""COMPUTED_VALUE"""),"")</f>
        <v/>
      </c>
      <c r="P22" s="4" t="str">
        <f>IFERROR(__xludf.DUMMYFUNCTION("""COMPUTED_VALUE"""),"")</f>
        <v/>
      </c>
      <c r="Q22" s="4" t="str">
        <f>IFERROR(__xludf.DUMMYFUNCTION("""COMPUTED_VALUE"""),"")</f>
        <v/>
      </c>
      <c r="R22" s="4" t="str">
        <f>IFERROR(__xludf.DUMMYFUNCTION("""COMPUTED_VALUE"""),"Steven Levy, Wired")</f>
        <v>Steven Levy, Wired</v>
      </c>
      <c r="S22" s="4" t="str">
        <f>IFERROR(__xludf.DUMMYFUNCTION("""COMPUTED_VALUE"""),"While ride hailing is down by 80% during lockdown, Uber Eats still operates in over 6000 cities - what will the next chapter for Uber's on-demand food delivery offering look like?")</f>
        <v>While ride hailing is down by 80% during lockdown, Uber Eats still operates in over 6000 cities - what will the next chapter for Uber's on-demand food delivery offering look like?</v>
      </c>
      <c r="T22" s="4" t="str">
        <f>IFERROR(__xludf.DUMMYFUNCTION("""COMPUTED_VALUE"""),"NON-KEYNOTE 9 - COMPLETE")</f>
        <v>NON-KEYNOTE 9 - COMPLETE</v>
      </c>
      <c r="U22" s="23">
        <f>IFERROR(__xludf.DUMMYFUNCTION("""COMPUTED_VALUE"""),43984.0)</f>
        <v>43984</v>
      </c>
      <c r="V22" s="44">
        <f>IFERROR(__xludf.DUMMYFUNCTION("""COMPUTED_VALUE"""),0.6041666666666666)</f>
        <v>0.6041666667</v>
      </c>
      <c r="W22" s="4" t="str">
        <f>IFERROR(__xludf.DUMMYFUNCTION("""COMPUTED_VALUE"""),"COMPLETE")</f>
        <v>COMPLETE</v>
      </c>
      <c r="X22" s="4" t="str">
        <f>IFERROR(__xludf.DUMMYFUNCTION("""COMPUTED_VALUE"""),"Brian")</f>
        <v>Brian</v>
      </c>
      <c r="Y22" s="4" t="str">
        <f>IFERROR(__xludf.DUMMYFUNCTION("""COMPUTED_VALUE"""),"")</f>
        <v/>
      </c>
    </row>
    <row r="23">
      <c r="A23" s="4" t="str">
        <f>IFERROR(__xludf.DUMMYFUNCTION("""COMPUTED_VALUE"""),"1821 - Channel")</f>
        <v>1821 - Channel</v>
      </c>
      <c r="B23" s="4" t="str">
        <f>IFERROR(__xludf.DUMMYFUNCTION("""COMPUTED_VALUE"""),"Channel 1")</f>
        <v>Channel 1</v>
      </c>
      <c r="C23" s="4" t="str">
        <f>IFERROR(__xludf.DUMMYFUNCTION("""COMPUTED_VALUE"""),"Day 1 - 23/06")</f>
        <v>Day 1 - 23/06</v>
      </c>
      <c r="D23" s="6">
        <f>IFERROR(__xludf.DUMMYFUNCTION("""COMPUTED_VALUE"""),0.45671296296296315)</f>
        <v>0.456712963</v>
      </c>
      <c r="E23" s="6">
        <f>IFERROR(__xludf.DUMMYFUNCTION("""COMPUTED_VALUE"""),0.0016203703703703703)</f>
        <v>0.00162037037</v>
      </c>
      <c r="F23" s="6">
        <f>IFERROR(__xludf.DUMMYFUNCTION("""COMPUTED_VALUE"""),0.45833333333333354)</f>
        <v>0.4583333333</v>
      </c>
      <c r="G23" s="4" t="str">
        <f>IFERROR(__xludf.DUMMYFUNCTION("""COMPUTED_VALUE"""),"")</f>
        <v/>
      </c>
      <c r="H23" s="4" t="str">
        <f>IFERROR(__xludf.DUMMYFUNCTION("""COMPUTED_VALUE"""),"")</f>
        <v/>
      </c>
      <c r="I23" s="4" t="str">
        <f>IFERROR(__xludf.DUMMYFUNCTION("""COMPUTED_VALUE"""),"")</f>
        <v/>
      </c>
      <c r="J23" s="4" t="str">
        <f>IFERROR(__xludf.DUMMYFUNCTION("""COMPUTED_VALUE"""),"")</f>
        <v/>
      </c>
      <c r="K23" s="4" t="str">
        <f>IFERROR(__xludf.DUMMYFUNCTION("""COMPUTED_VALUE"""),"")</f>
        <v/>
      </c>
      <c r="L23" s="4" t="str">
        <f>IFERROR(__xludf.DUMMYFUNCTION("""COMPUTED_VALUE"""),"")</f>
        <v/>
      </c>
      <c r="M23" s="4" t="str">
        <f>IFERROR(__xludf.DUMMYFUNCTION("""COMPUTED_VALUE"""),"")</f>
        <v/>
      </c>
      <c r="N23" s="4" t="str">
        <f>IFERROR(__xludf.DUMMYFUNCTION("""COMPUTED_VALUE"""),"")</f>
        <v/>
      </c>
      <c r="O23" s="4" t="str">
        <f>IFERROR(__xludf.DUMMYFUNCTION("""COMPUTED_VALUE"""),"")</f>
        <v/>
      </c>
      <c r="P23" s="4" t="str">
        <f>IFERROR(__xludf.DUMMYFUNCTION("""COMPUTED_VALUE"""),"")</f>
        <v/>
      </c>
      <c r="Q23" s="4" t="str">
        <f>IFERROR(__xludf.DUMMYFUNCTION("""COMPUTED_VALUE"""),"")</f>
        <v/>
      </c>
      <c r="R23" s="4" t="str">
        <f>IFERROR(__xludf.DUMMYFUNCTION("""COMPUTED_VALUE"""),"")</f>
        <v/>
      </c>
      <c r="S23" s="4" t="str">
        <f>IFERROR(__xludf.DUMMYFUNCTION("""COMPUTED_VALUE"""),"")</f>
        <v/>
      </c>
      <c r="T23" s="4" t="str">
        <f>IFERROR(__xludf.DUMMYFUNCTION("""COMPUTED_VALUE"""),"")</f>
        <v/>
      </c>
      <c r="U23" s="4" t="str">
        <f>IFERROR(__xludf.DUMMYFUNCTION("""COMPUTED_VALUE"""),"")</f>
        <v/>
      </c>
      <c r="V23" s="4" t="str">
        <f>IFERROR(__xludf.DUMMYFUNCTION("""COMPUTED_VALUE"""),"")</f>
        <v/>
      </c>
      <c r="W23" s="4" t="str">
        <f>IFERROR(__xludf.DUMMYFUNCTION("""COMPUTED_VALUE"""),"")</f>
        <v/>
      </c>
      <c r="X23" s="4" t="str">
        <f>IFERROR(__xludf.DUMMYFUNCTION("""COMPUTED_VALUE"""),"")</f>
        <v/>
      </c>
      <c r="Y23" s="4" t="str">
        <f>IFERROR(__xludf.DUMMYFUNCTION("""COMPUTED_VALUE"""),"")</f>
        <v/>
      </c>
    </row>
    <row r="24">
      <c r="A24" s="4" t="str">
        <f>IFERROR(__xludf.DUMMYFUNCTION("""COMPUTED_VALUE"""),"21 - Channel")</f>
        <v>21 - Channel</v>
      </c>
      <c r="B24" s="4" t="str">
        <f>IFERROR(__xludf.DUMMYFUNCTION("""COMPUTED_VALUE"""),"Channel 1")</f>
        <v>Channel 1</v>
      </c>
      <c r="C24" s="4" t="str">
        <f>IFERROR(__xludf.DUMMYFUNCTION("""COMPUTED_VALUE"""),"Day 1 - 23/06")</f>
        <v>Day 1 - 23/06</v>
      </c>
      <c r="D24" s="4" t="str">
        <f>IFERROR(__xludf.DUMMYFUNCTION("""COMPUTED_VALUE"""),"")</f>
        <v/>
      </c>
      <c r="E24" s="4" t="str">
        <f>IFERROR(__xludf.DUMMYFUNCTION("""COMPUTED_VALUE"""),"")</f>
        <v/>
      </c>
      <c r="F24" s="4" t="str">
        <f>IFERROR(__xludf.DUMMYFUNCTION("""COMPUTED_VALUE"""),"")</f>
        <v/>
      </c>
      <c r="G24" s="4" t="str">
        <f>IFERROR(__xludf.DUMMYFUNCTION("""COMPUTED_VALUE"""),"")</f>
        <v/>
      </c>
      <c r="H24" s="4" t="str">
        <f>IFERROR(__xludf.DUMMYFUNCTION("""COMPUTED_VALUE"""),"")</f>
        <v/>
      </c>
      <c r="I24" s="4" t="str">
        <f>IFERROR(__xludf.DUMMYFUNCTION("""COMPUTED_VALUE"""),"")</f>
        <v/>
      </c>
      <c r="J24" s="4" t="str">
        <f>IFERROR(__xludf.DUMMYFUNCTION("""COMPUTED_VALUE"""),"")</f>
        <v/>
      </c>
      <c r="K24" s="4" t="str">
        <f>IFERROR(__xludf.DUMMYFUNCTION("""COMPUTED_VALUE"""),"")</f>
        <v/>
      </c>
      <c r="L24" s="4" t="str">
        <f>IFERROR(__xludf.DUMMYFUNCTION("""COMPUTED_VALUE"""),"")</f>
        <v/>
      </c>
      <c r="M24" s="4" t="str">
        <f>IFERROR(__xludf.DUMMYFUNCTION("""COMPUTED_VALUE"""),"")</f>
        <v/>
      </c>
      <c r="N24" s="4" t="str">
        <f>IFERROR(__xludf.DUMMYFUNCTION("""COMPUTED_VALUE"""),"")</f>
        <v/>
      </c>
      <c r="O24" s="4" t="str">
        <f>IFERROR(__xludf.DUMMYFUNCTION("""COMPUTED_VALUE"""),"")</f>
        <v/>
      </c>
      <c r="P24" s="4" t="str">
        <f>IFERROR(__xludf.DUMMYFUNCTION("""COMPUTED_VALUE"""),"")</f>
        <v/>
      </c>
      <c r="Q24" s="4" t="str">
        <f>IFERROR(__xludf.DUMMYFUNCTION("""COMPUTED_VALUE"""),"")</f>
        <v/>
      </c>
      <c r="R24" s="4" t="str">
        <f>IFERROR(__xludf.DUMMYFUNCTION("""COMPUTED_VALUE"""),"")</f>
        <v/>
      </c>
      <c r="S24" s="4" t="str">
        <f>IFERROR(__xludf.DUMMYFUNCTION("""COMPUTED_VALUE"""),"")</f>
        <v/>
      </c>
      <c r="T24" s="4" t="str">
        <f>IFERROR(__xludf.DUMMYFUNCTION("""COMPUTED_VALUE"""),"")</f>
        <v/>
      </c>
      <c r="U24" s="4" t="str">
        <f>IFERROR(__xludf.DUMMYFUNCTION("""COMPUTED_VALUE"""),"")</f>
        <v/>
      </c>
      <c r="V24" s="4" t="str">
        <f>IFERROR(__xludf.DUMMYFUNCTION("""COMPUTED_VALUE"""),"")</f>
        <v/>
      </c>
      <c r="W24" s="4" t="str">
        <f>IFERROR(__xludf.DUMMYFUNCTION("""COMPUTED_VALUE"""),"")</f>
        <v/>
      </c>
      <c r="X24" s="4" t="str">
        <f>IFERROR(__xludf.DUMMYFUNCTION("""COMPUTED_VALUE"""),"")</f>
        <v/>
      </c>
      <c r="Y24" s="4" t="str">
        <f>IFERROR(__xludf.DUMMYFUNCTION("""COMPUTED_VALUE"""),"")</f>
        <v/>
      </c>
    </row>
    <row r="25">
      <c r="A25" s="4" t="str">
        <f>IFERROR(__xludf.DUMMYFUNCTION("""COMPUTED_VALUE"""),"1901 - Channel")</f>
        <v>1901 - Channel</v>
      </c>
      <c r="B25" s="4" t="str">
        <f>IFERROR(__xludf.DUMMYFUNCTION("""COMPUTED_VALUE"""),"Channel 1")</f>
        <v>Channel 1</v>
      </c>
      <c r="C25" s="4" t="str">
        <f>IFERROR(__xludf.DUMMYFUNCTION("""COMPUTED_VALUE"""),"Day 1 - 23/06")</f>
        <v>Day 1 - 23/06</v>
      </c>
      <c r="D25" s="6">
        <f>IFERROR(__xludf.DUMMYFUNCTION("""COMPUTED_VALUE"""),0.45833333333333354)</f>
        <v>0.4583333333</v>
      </c>
      <c r="E25" s="6">
        <f>IFERROR(__xludf.DUMMYFUNCTION("""COMPUTED_VALUE"""),6.944444444444445E-4)</f>
        <v>0.0006944444444</v>
      </c>
      <c r="F25" s="6">
        <f>IFERROR(__xludf.DUMMYFUNCTION("""COMPUTED_VALUE"""),0.459027777777778)</f>
        <v>0.4590277778</v>
      </c>
      <c r="G25" s="4" t="str">
        <f>IFERROR(__xludf.DUMMYFUNCTION("""COMPUTED_VALUE"""),"")</f>
        <v/>
      </c>
      <c r="H25" s="4" t="str">
        <f>IFERROR(__xludf.DUMMYFUNCTION("""COMPUTED_VALUE"""),"")</f>
        <v/>
      </c>
      <c r="I25" s="4" t="str">
        <f>IFERROR(__xludf.DUMMYFUNCTION("""COMPUTED_VALUE"""),"")</f>
        <v/>
      </c>
      <c r="J25" s="4" t="str">
        <f>IFERROR(__xludf.DUMMYFUNCTION("""COMPUTED_VALUE"""),"")</f>
        <v/>
      </c>
      <c r="K25" s="4" t="str">
        <f>IFERROR(__xludf.DUMMYFUNCTION("""COMPUTED_VALUE"""),"Laundry List/Lookaround")</f>
        <v>Laundry List/Lookaround</v>
      </c>
      <c r="L25" s="4" t="str">
        <f>IFERROR(__xludf.DUMMYFUNCTION("""COMPUTED_VALUE"""),"")</f>
        <v/>
      </c>
      <c r="M25" s="4" t="str">
        <f>IFERROR(__xludf.DUMMYFUNCTION("""COMPUTED_VALUE"""),"Laundry Day1_11AM")</f>
        <v>Laundry Day1_11AM</v>
      </c>
      <c r="N25" s="4" t="str">
        <f>IFERROR(__xludf.DUMMYFUNCTION("""COMPUTED_VALUE"""),"Sunil Sharma, Web Summit")</f>
        <v>Sunil Sharma, Web Summit</v>
      </c>
      <c r="O25" s="4" t="str">
        <f>IFERROR(__xludf.DUMMYFUNCTION("""COMPUTED_VALUE"""),"")</f>
        <v/>
      </c>
      <c r="P25" s="4" t="str">
        <f>IFERROR(__xludf.DUMMYFUNCTION("""COMPUTED_VALUE"""),"")</f>
        <v/>
      </c>
      <c r="Q25" s="4" t="str">
        <f>IFERROR(__xludf.DUMMYFUNCTION("""COMPUTED_VALUE"""),"")</f>
        <v/>
      </c>
      <c r="R25" s="4" t="str">
        <f>IFERROR(__xludf.DUMMYFUNCTION("""COMPUTED_VALUE"""),"")</f>
        <v/>
      </c>
      <c r="S25" s="4" t="str">
        <f>IFERROR(__xludf.DUMMYFUNCTION("""COMPUTED_VALUE"""),"")</f>
        <v/>
      </c>
      <c r="T25" s="4" t="str">
        <f>IFERROR(__xludf.DUMMYFUNCTION("""COMPUTED_VALUE"""),"")</f>
        <v/>
      </c>
      <c r="U25" s="4" t="str">
        <f>IFERROR(__xludf.DUMMYFUNCTION("""COMPUTED_VALUE"""),"")</f>
        <v/>
      </c>
      <c r="V25" s="4" t="str">
        <f>IFERROR(__xludf.DUMMYFUNCTION("""COMPUTED_VALUE"""),"")</f>
        <v/>
      </c>
      <c r="W25" s="4" t="str">
        <f>IFERROR(__xludf.DUMMYFUNCTION("""COMPUTED_VALUE"""),"")</f>
        <v/>
      </c>
      <c r="X25" s="4" t="str">
        <f>IFERROR(__xludf.DUMMYFUNCTION("""COMPUTED_VALUE"""),"")</f>
        <v/>
      </c>
      <c r="Y25" s="4" t="str">
        <f>IFERROR(__xludf.DUMMYFUNCTION("""COMPUTED_VALUE"""),"")</f>
        <v/>
      </c>
    </row>
    <row r="26">
      <c r="A26" s="4" t="str">
        <f>IFERROR(__xludf.DUMMYFUNCTION("""COMPUTED_VALUE"""),"1822 - Channel")</f>
        <v>1822 - Channel</v>
      </c>
      <c r="B26" s="4" t="str">
        <f>IFERROR(__xludf.DUMMYFUNCTION("""COMPUTED_VALUE"""),"Channel 1")</f>
        <v>Channel 1</v>
      </c>
      <c r="C26" s="4" t="str">
        <f>IFERROR(__xludf.DUMMYFUNCTION("""COMPUTED_VALUE"""),"Day 1 - 23/06")</f>
        <v>Day 1 - 23/06</v>
      </c>
      <c r="D26" s="6">
        <f>IFERROR(__xludf.DUMMYFUNCTION("""COMPUTED_VALUE"""),0.459027777777778)</f>
        <v>0.4590277778</v>
      </c>
      <c r="E26" s="6">
        <f>IFERROR(__xludf.DUMMYFUNCTION("""COMPUTED_VALUE"""),3.4722222222222224E-4)</f>
        <v>0.0003472222222</v>
      </c>
      <c r="F26" s="6">
        <f>IFERROR(__xludf.DUMMYFUNCTION("""COMPUTED_VALUE"""),0.4593750000000002)</f>
        <v>0.459375</v>
      </c>
      <c r="G26" s="4" t="str">
        <f>IFERROR(__xludf.DUMMYFUNCTION("""COMPUTED_VALUE"""),"")</f>
        <v/>
      </c>
      <c r="H26" s="4" t="str">
        <f>IFERROR(__xludf.DUMMYFUNCTION("""COMPUTED_VALUE"""),"")</f>
        <v/>
      </c>
      <c r="I26" s="4" t="str">
        <f>IFERROR(__xludf.DUMMYFUNCTION("""COMPUTED_VALUE"""),"")</f>
        <v/>
      </c>
      <c r="J26" s="4" t="str">
        <f>IFERROR(__xludf.DUMMYFUNCTION("""COMPUTED_VALUE"""),"")</f>
        <v/>
      </c>
      <c r="K26" s="4" t="str">
        <f>IFERROR(__xludf.DUMMYFUNCTION("""COMPUTED_VALUE"""),"Web Summit Trailer - short")</f>
        <v>Web Summit Trailer - short</v>
      </c>
      <c r="L26" s="4" t="str">
        <f>IFERROR(__xludf.DUMMYFUNCTION("""COMPUTED_VALUE"""),"")</f>
        <v/>
      </c>
      <c r="M26" s="4" t="str">
        <f>IFERROR(__xludf.DUMMYFUNCTION("""COMPUTED_VALUE"""),"")</f>
        <v/>
      </c>
      <c r="N26" s="4" t="str">
        <f>IFERROR(__xludf.DUMMYFUNCTION("""COMPUTED_VALUE"""),"Content pending")</f>
        <v>Content pending</v>
      </c>
      <c r="O26" s="4" t="str">
        <f>IFERROR(__xludf.DUMMYFUNCTION("""COMPUTED_VALUE"""),"")</f>
        <v/>
      </c>
      <c r="P26" s="4" t="str">
        <f>IFERROR(__xludf.DUMMYFUNCTION("""COMPUTED_VALUE"""),"")</f>
        <v/>
      </c>
      <c r="Q26" s="4" t="str">
        <f>IFERROR(__xludf.DUMMYFUNCTION("""COMPUTED_VALUE"""),"")</f>
        <v/>
      </c>
      <c r="R26" s="4" t="str">
        <f>IFERROR(__xludf.DUMMYFUNCTION("""COMPUTED_VALUE"""),"")</f>
        <v/>
      </c>
      <c r="S26" s="4" t="str">
        <f>IFERROR(__xludf.DUMMYFUNCTION("""COMPUTED_VALUE"""),"")</f>
        <v/>
      </c>
      <c r="T26" s="4" t="str">
        <f>IFERROR(__xludf.DUMMYFUNCTION("""COMPUTED_VALUE"""),"")</f>
        <v/>
      </c>
      <c r="U26" s="4" t="str">
        <f>IFERROR(__xludf.DUMMYFUNCTION("""COMPUTED_VALUE"""),"")</f>
        <v/>
      </c>
      <c r="V26" s="4" t="str">
        <f>IFERROR(__xludf.DUMMYFUNCTION("""COMPUTED_VALUE"""),"")</f>
        <v/>
      </c>
      <c r="W26" s="4" t="str">
        <f>IFERROR(__xludf.DUMMYFUNCTION("""COMPUTED_VALUE"""),"")</f>
        <v/>
      </c>
      <c r="X26" s="4" t="str">
        <f>IFERROR(__xludf.DUMMYFUNCTION("""COMPUTED_VALUE"""),"")</f>
        <v/>
      </c>
      <c r="Y26" s="4" t="str">
        <f>IFERROR(__xludf.DUMMYFUNCTION("""COMPUTED_VALUE"""),"")</f>
        <v/>
      </c>
    </row>
    <row r="27">
      <c r="A27" s="4" t="str">
        <f>IFERROR(__xludf.DUMMYFUNCTION("""COMPUTED_VALUE"""),"23 - Channel")</f>
        <v>23 - Channel</v>
      </c>
      <c r="B27" s="4" t="str">
        <f>IFERROR(__xludf.DUMMYFUNCTION("""COMPUTED_VALUE"""),"Channel 1")</f>
        <v>Channel 1</v>
      </c>
      <c r="C27" s="4" t="str">
        <f>IFERROR(__xludf.DUMMYFUNCTION("""COMPUTED_VALUE"""),"Day 1 - 23/06")</f>
        <v>Day 1 - 23/06</v>
      </c>
      <c r="D27" s="6">
        <f>IFERROR(__xludf.DUMMYFUNCTION("""COMPUTED_VALUE"""),0.4593750000000002)</f>
        <v>0.459375</v>
      </c>
      <c r="E27" s="6">
        <f>IFERROR(__xludf.DUMMYFUNCTION("""COMPUTED_VALUE"""),2.314814814814815E-4)</f>
        <v>0.0002314814815</v>
      </c>
      <c r="F27" s="6">
        <f>IFERROR(__xludf.DUMMYFUNCTION("""COMPUTED_VALUE"""),0.4596064814814817)</f>
        <v>0.4596064815</v>
      </c>
      <c r="G27" s="4" t="str">
        <f>IFERROR(__xludf.DUMMYFUNCTION("""COMPUTED_VALUE"""),"")</f>
        <v/>
      </c>
      <c r="H27" s="4" t="str">
        <f>IFERROR(__xludf.DUMMYFUNCTION("""COMPUTED_VALUE"""),"")</f>
        <v/>
      </c>
      <c r="I27" s="4" t="str">
        <f>IFERROR(__xludf.DUMMYFUNCTION("""COMPUTED_VALUE"""),"")</f>
        <v/>
      </c>
      <c r="J27" s="4" t="str">
        <f>IFERROR(__xludf.DUMMYFUNCTION("""COMPUTED_VALUE"""),"")</f>
        <v/>
      </c>
      <c r="K27" s="4" t="str">
        <f>IFERROR(__xludf.DUMMYFUNCTION("""COMPUTED_VALUE"""),"Talk Intro")</f>
        <v>Talk Intro</v>
      </c>
      <c r="L27" s="4" t="str">
        <f>IFERROR(__xludf.DUMMYFUNCTION("""COMPUTED_VALUE"""),"")</f>
        <v/>
      </c>
      <c r="M27" s="4" t="str">
        <f>IFERROR(__xludf.DUMMYFUNCTION("""COMPUTED_VALUE"""),"Talk Intro")</f>
        <v>Talk Intro</v>
      </c>
      <c r="N27" s="4" t="str">
        <f>IFERROR(__xludf.DUMMYFUNCTION("""COMPUTED_VALUE"""),"Sunil Sharma, Web Summit")</f>
        <v>Sunil Sharma, Web Summit</v>
      </c>
      <c r="O27" s="4" t="str">
        <f>IFERROR(__xludf.DUMMYFUNCTION("""COMPUTED_VALUE"""),"")</f>
        <v/>
      </c>
      <c r="P27" s="4" t="str">
        <f>IFERROR(__xludf.DUMMYFUNCTION("""COMPUTED_VALUE"""),"")</f>
        <v/>
      </c>
      <c r="Q27" s="4" t="str">
        <f>IFERROR(__xludf.DUMMYFUNCTION("""COMPUTED_VALUE"""),"")</f>
        <v/>
      </c>
      <c r="R27" s="4" t="str">
        <f>IFERROR(__xludf.DUMMYFUNCTION("""COMPUTED_VALUE"""),"")</f>
        <v/>
      </c>
      <c r="S27" s="4" t="str">
        <f>IFERROR(__xludf.DUMMYFUNCTION("""COMPUTED_VALUE"""),"")</f>
        <v/>
      </c>
      <c r="T27" s="4" t="str">
        <f>IFERROR(__xludf.DUMMYFUNCTION("""COMPUTED_VALUE"""),"")</f>
        <v/>
      </c>
      <c r="U27" s="4" t="str">
        <f>IFERROR(__xludf.DUMMYFUNCTION("""COMPUTED_VALUE"""),"")</f>
        <v/>
      </c>
      <c r="V27" s="4" t="str">
        <f>IFERROR(__xludf.DUMMYFUNCTION("""COMPUTED_VALUE"""),"")</f>
        <v/>
      </c>
      <c r="W27" s="4" t="str">
        <f>IFERROR(__xludf.DUMMYFUNCTION("""COMPUTED_VALUE"""),"")</f>
        <v/>
      </c>
      <c r="X27" s="4" t="str">
        <f>IFERROR(__xludf.DUMMYFUNCTION("""COMPUTED_VALUE"""),"")</f>
        <v/>
      </c>
      <c r="Y27" s="4" t="str">
        <f>IFERROR(__xludf.DUMMYFUNCTION("""COMPUTED_VALUE"""),"")</f>
        <v/>
      </c>
    </row>
    <row r="28">
      <c r="A28" s="4" t="str">
        <f>IFERROR(__xludf.DUMMYFUNCTION("""COMPUTED_VALUE"""),"24 - Channel")</f>
        <v>24 - Channel</v>
      </c>
      <c r="B28" s="4" t="str">
        <f>IFERROR(__xludf.DUMMYFUNCTION("""COMPUTED_VALUE"""),"Channel 1")</f>
        <v>Channel 1</v>
      </c>
      <c r="C28" s="4" t="str">
        <f>IFERROR(__xludf.DUMMYFUNCTION("""COMPUTED_VALUE"""),"Day 1 - 23/06")</f>
        <v>Day 1 - 23/06</v>
      </c>
      <c r="D28" s="6">
        <f>IFERROR(__xludf.DUMMYFUNCTION("""COMPUTED_VALUE"""),0.4596064814814817)</f>
        <v>0.4596064815</v>
      </c>
      <c r="E28" s="6">
        <f>IFERROR(__xludf.DUMMYFUNCTION("""COMPUTED_VALUE"""),0.008819444444444444)</f>
        <v>0.008819444444</v>
      </c>
      <c r="F28" s="6">
        <f>IFERROR(__xludf.DUMMYFUNCTION("""COMPUTED_VALUE"""),0.46842592592592613)</f>
        <v>0.4684259259</v>
      </c>
      <c r="G28" s="4" t="str">
        <f>IFERROR(__xludf.DUMMYFUNCTION("""COMPUTED_VALUE"""),"Lobna")</f>
        <v>Lobna</v>
      </c>
      <c r="H28" s="4" t="str">
        <f>IFERROR(__xludf.DUMMYFUNCTION("""COMPUTED_VALUE"""),"Stephen")</f>
        <v>Stephen</v>
      </c>
      <c r="I28" s="4" t="str">
        <f>IFERROR(__xludf.DUMMYFUNCTION("""COMPUTED_VALUE"""),"Lucia H.")</f>
        <v>Lucia H.</v>
      </c>
      <c r="J28" s="4" t="str">
        <f>IFERROR(__xludf.DUMMYFUNCTION("""COMPUTED_VALUE"""),"Media")</f>
        <v>Media</v>
      </c>
      <c r="K28" s="4" t="str">
        <f>IFERROR(__xludf.DUMMYFUNCTION("""COMPUTED_VALUE"""),"Super Fireside")</f>
        <v>Super Fireside</v>
      </c>
      <c r="L28" s="4" t="str">
        <f>IFERROR(__xludf.DUMMYFUNCTION("""COMPUTED_VALUE"""),"T- 5 - 18/05/2020")</f>
        <v>T- 5 - 18/05/2020</v>
      </c>
      <c r="M28" s="4" t="str">
        <f>IFERROR(__xludf.DUMMYFUNCTION("""COMPUTED_VALUE"""),"Betting on storytelling")</f>
        <v>Betting on storytelling</v>
      </c>
      <c r="N28" s="4" t="str">
        <f>IFERROR(__xludf.DUMMYFUNCTION("""COMPUTED_VALUE"""),"Anthony Wood, Roku")</f>
        <v>Anthony Wood, Roku</v>
      </c>
      <c r="O28" s="4" t="str">
        <f>IFERROR(__xludf.DUMMYFUNCTION("""COMPUTED_VALUE"""),"")</f>
        <v/>
      </c>
      <c r="P28" s="4" t="str">
        <f>IFERROR(__xludf.DUMMYFUNCTION("""COMPUTED_VALUE"""),"")</f>
        <v/>
      </c>
      <c r="Q28" s="4" t="str">
        <f>IFERROR(__xludf.DUMMYFUNCTION("""COMPUTED_VALUE"""),"")</f>
        <v/>
      </c>
      <c r="R28" s="4" t="str">
        <f>IFERROR(__xludf.DUMMYFUNCTION("""COMPUTED_VALUE"""),"Peter Kafka, Recode")</f>
        <v>Peter Kafka, Recode</v>
      </c>
      <c r="S28" s="4" t="str">
        <f>IFERROR(__xludf.DUMMYFUNCTION("""COMPUTED_VALUE"""),"Storytelling is having a moment, and that moment requires high-level content and the high-quality tech to back it. This session explores the future of both.")</f>
        <v>Storytelling is having a moment, and that moment requires high-level content and the high-quality tech to back it. This session explores the future of both.</v>
      </c>
      <c r="T28" s="4" t="str">
        <f>IFERROR(__xludf.DUMMYFUNCTION("""COMPUTED_VALUE"""),"NON-KEYNOTE 9 - COMPLETE")</f>
        <v>NON-KEYNOTE 9 - COMPLETE</v>
      </c>
      <c r="U28" s="23">
        <f>IFERROR(__xludf.DUMMYFUNCTION("""COMPUTED_VALUE"""),43972.0)</f>
        <v>43972</v>
      </c>
      <c r="V28" s="4" t="str">
        <f>IFERROR(__xludf.DUMMYFUNCTION("""COMPUTED_VALUE"""),"5:30 IST")</f>
        <v>5:30 IST</v>
      </c>
      <c r="W28" s="4" t="str">
        <f>IFERROR(__xludf.DUMMYFUNCTION("""COMPUTED_VALUE"""),"COMPLETE")</f>
        <v>COMPLETE</v>
      </c>
      <c r="X28" s="4" t="str">
        <f>IFERROR(__xludf.DUMMYFUNCTION("""COMPUTED_VALUE"""),"Jack")</f>
        <v>Jack</v>
      </c>
      <c r="Y28" s="4" t="str">
        <f>IFERROR(__xludf.DUMMYFUNCTION("""COMPUTED_VALUE"""),"")</f>
        <v/>
      </c>
    </row>
    <row r="29">
      <c r="A29" s="4" t="str">
        <f>IFERROR(__xludf.DUMMYFUNCTION("""COMPUTED_VALUE"""),"1823 - Channel")</f>
        <v>1823 - Channel</v>
      </c>
      <c r="B29" s="4" t="str">
        <f>IFERROR(__xludf.DUMMYFUNCTION("""COMPUTED_VALUE"""),"Channel 1")</f>
        <v>Channel 1</v>
      </c>
      <c r="C29" s="4" t="str">
        <f>IFERROR(__xludf.DUMMYFUNCTION("""COMPUTED_VALUE"""),"Day 1 - 23/06")</f>
        <v>Day 1 - 23/06</v>
      </c>
      <c r="D29" s="6">
        <f>IFERROR(__xludf.DUMMYFUNCTION("""COMPUTED_VALUE"""),0.46842592592592613)</f>
        <v>0.4684259259</v>
      </c>
      <c r="E29" s="6">
        <f>IFERROR(__xludf.DUMMYFUNCTION("""COMPUTED_VALUE"""),3.4722222222222224E-4)</f>
        <v>0.0003472222222</v>
      </c>
      <c r="F29" s="6">
        <f>IFERROR(__xludf.DUMMYFUNCTION("""COMPUTED_VALUE"""),0.46877314814814836)</f>
        <v>0.4687731481</v>
      </c>
      <c r="G29" s="4" t="str">
        <f>IFERROR(__xludf.DUMMYFUNCTION("""COMPUTED_VALUE"""),"")</f>
        <v/>
      </c>
      <c r="H29" s="4" t="str">
        <f>IFERROR(__xludf.DUMMYFUNCTION("""COMPUTED_VALUE"""),"")</f>
        <v/>
      </c>
      <c r="I29" s="4" t="str">
        <f>IFERROR(__xludf.DUMMYFUNCTION("""COMPUTED_VALUE"""),"")</f>
        <v/>
      </c>
      <c r="J29" s="4" t="str">
        <f>IFERROR(__xludf.DUMMYFUNCTION("""COMPUTED_VALUE"""),"")</f>
        <v/>
      </c>
      <c r="K29" s="4" t="str">
        <f>IFERROR(__xludf.DUMMYFUNCTION("""COMPUTED_VALUE"""),"RISE Trailer")</f>
        <v>RISE Trailer</v>
      </c>
      <c r="L29" s="4" t="str">
        <f>IFERROR(__xludf.DUMMYFUNCTION("""COMPUTED_VALUE"""),"")</f>
        <v/>
      </c>
      <c r="M29" s="4" t="str">
        <f>IFERROR(__xludf.DUMMYFUNCTION("""COMPUTED_VALUE"""),"")</f>
        <v/>
      </c>
      <c r="N29" s="4" t="str">
        <f>IFERROR(__xludf.DUMMYFUNCTION("""COMPUTED_VALUE"""),"")</f>
        <v/>
      </c>
      <c r="O29" s="4" t="str">
        <f>IFERROR(__xludf.DUMMYFUNCTION("""COMPUTED_VALUE"""),"")</f>
        <v/>
      </c>
      <c r="P29" s="4" t="str">
        <f>IFERROR(__xludf.DUMMYFUNCTION("""COMPUTED_VALUE"""),"")</f>
        <v/>
      </c>
      <c r="Q29" s="4" t="str">
        <f>IFERROR(__xludf.DUMMYFUNCTION("""COMPUTED_VALUE"""),"")</f>
        <v/>
      </c>
      <c r="R29" s="4" t="str">
        <f>IFERROR(__xludf.DUMMYFUNCTION("""COMPUTED_VALUE"""),"")</f>
        <v/>
      </c>
      <c r="S29" s="4" t="str">
        <f>IFERROR(__xludf.DUMMYFUNCTION("""COMPUTED_VALUE"""),"")</f>
        <v/>
      </c>
      <c r="T29" s="4" t="str">
        <f>IFERROR(__xludf.DUMMYFUNCTION("""COMPUTED_VALUE"""),"")</f>
        <v/>
      </c>
      <c r="U29" s="4" t="str">
        <f>IFERROR(__xludf.DUMMYFUNCTION("""COMPUTED_VALUE"""),"")</f>
        <v/>
      </c>
      <c r="V29" s="4" t="str">
        <f>IFERROR(__xludf.DUMMYFUNCTION("""COMPUTED_VALUE"""),"")</f>
        <v/>
      </c>
      <c r="W29" s="4" t="str">
        <f>IFERROR(__xludf.DUMMYFUNCTION("""COMPUTED_VALUE"""),"")</f>
        <v/>
      </c>
      <c r="X29" s="4" t="str">
        <f>IFERROR(__xludf.DUMMYFUNCTION("""COMPUTED_VALUE"""),"")</f>
        <v/>
      </c>
      <c r="Y29" s="4" t="str">
        <f>IFERROR(__xludf.DUMMYFUNCTION("""COMPUTED_VALUE"""),"")</f>
        <v/>
      </c>
    </row>
    <row r="30">
      <c r="A30" s="4" t="str">
        <f>IFERROR(__xludf.DUMMYFUNCTION("""COMPUTED_VALUE"""),"26 - Channel")</f>
        <v>26 - Channel</v>
      </c>
      <c r="B30" s="4" t="str">
        <f>IFERROR(__xludf.DUMMYFUNCTION("""COMPUTED_VALUE"""),"Channel 1")</f>
        <v>Channel 1</v>
      </c>
      <c r="C30" s="4" t="str">
        <f>IFERROR(__xludf.DUMMYFUNCTION("""COMPUTED_VALUE"""),"Day 1 - 23/06")</f>
        <v>Day 1 - 23/06</v>
      </c>
      <c r="D30" s="6">
        <f>IFERROR(__xludf.DUMMYFUNCTION("""COMPUTED_VALUE"""),0.46877314814814836)</f>
        <v>0.4687731481</v>
      </c>
      <c r="E30" s="6">
        <f>IFERROR(__xludf.DUMMYFUNCTION("""COMPUTED_VALUE"""),2.314814814814815E-4)</f>
        <v>0.0002314814815</v>
      </c>
      <c r="F30" s="6">
        <f>IFERROR(__xludf.DUMMYFUNCTION("""COMPUTED_VALUE"""),0.46900462962962985)</f>
        <v>0.4690046296</v>
      </c>
      <c r="G30" s="4" t="str">
        <f>IFERROR(__xludf.DUMMYFUNCTION("""COMPUTED_VALUE"""),"")</f>
        <v/>
      </c>
      <c r="H30" s="4" t="str">
        <f>IFERROR(__xludf.DUMMYFUNCTION("""COMPUTED_VALUE"""),"")</f>
        <v/>
      </c>
      <c r="I30" s="4" t="str">
        <f>IFERROR(__xludf.DUMMYFUNCTION("""COMPUTED_VALUE"""),"")</f>
        <v/>
      </c>
      <c r="J30" s="4" t="str">
        <f>IFERROR(__xludf.DUMMYFUNCTION("""COMPUTED_VALUE"""),"")</f>
        <v/>
      </c>
      <c r="K30" s="4" t="str">
        <f>IFERROR(__xludf.DUMMYFUNCTION("""COMPUTED_VALUE"""),"Talk Intro")</f>
        <v>Talk Intro</v>
      </c>
      <c r="L30" s="4" t="str">
        <f>IFERROR(__xludf.DUMMYFUNCTION("""COMPUTED_VALUE"""),"")</f>
        <v/>
      </c>
      <c r="M30" s="4" t="str">
        <f>IFERROR(__xludf.DUMMYFUNCTION("""COMPUTED_VALUE"""),"Teaser: Spotify_Intro")</f>
        <v>Teaser: Spotify_Intro</v>
      </c>
      <c r="N30" s="4" t="str">
        <f>IFERROR(__xludf.DUMMYFUNCTION("""COMPUTED_VALUE"""),"Sunil Sharma, Web Summit")</f>
        <v>Sunil Sharma, Web Summit</v>
      </c>
      <c r="O30" s="4" t="str">
        <f>IFERROR(__xludf.DUMMYFUNCTION("""COMPUTED_VALUE"""),"")</f>
        <v/>
      </c>
      <c r="P30" s="4" t="str">
        <f>IFERROR(__xludf.DUMMYFUNCTION("""COMPUTED_VALUE"""),"")</f>
        <v/>
      </c>
      <c r="Q30" s="4" t="str">
        <f>IFERROR(__xludf.DUMMYFUNCTION("""COMPUTED_VALUE"""),"")</f>
        <v/>
      </c>
      <c r="R30" s="4" t="str">
        <f>IFERROR(__xludf.DUMMYFUNCTION("""COMPUTED_VALUE"""),"")</f>
        <v/>
      </c>
      <c r="S30" s="4" t="str">
        <f>IFERROR(__xludf.DUMMYFUNCTION("""COMPUTED_VALUE"""),"")</f>
        <v/>
      </c>
      <c r="T30" s="4" t="str">
        <f>IFERROR(__xludf.DUMMYFUNCTION("""COMPUTED_VALUE"""),"")</f>
        <v/>
      </c>
      <c r="U30" s="4" t="str">
        <f>IFERROR(__xludf.DUMMYFUNCTION("""COMPUTED_VALUE"""),"")</f>
        <v/>
      </c>
      <c r="V30" s="4" t="str">
        <f>IFERROR(__xludf.DUMMYFUNCTION("""COMPUTED_VALUE"""),"")</f>
        <v/>
      </c>
      <c r="W30" s="4" t="str">
        <f>IFERROR(__xludf.DUMMYFUNCTION("""COMPUTED_VALUE"""),"")</f>
        <v/>
      </c>
      <c r="X30" s="4" t="str">
        <f>IFERROR(__xludf.DUMMYFUNCTION("""COMPUTED_VALUE"""),"")</f>
        <v/>
      </c>
      <c r="Y30" s="4" t="str">
        <f>IFERROR(__xludf.DUMMYFUNCTION("""COMPUTED_VALUE"""),"")</f>
        <v/>
      </c>
    </row>
    <row r="31">
      <c r="A31" s="4" t="str">
        <f>IFERROR(__xludf.DUMMYFUNCTION("""COMPUTED_VALUE"""),"27 - Channel")</f>
        <v>27 - Channel</v>
      </c>
      <c r="B31" s="4" t="str">
        <f>IFERROR(__xludf.DUMMYFUNCTION("""COMPUTED_VALUE"""),"Channel 1")</f>
        <v>Channel 1</v>
      </c>
      <c r="C31" s="4" t="str">
        <f>IFERROR(__xludf.DUMMYFUNCTION("""COMPUTED_VALUE"""),"Day 1 - 23/06")</f>
        <v>Day 1 - 23/06</v>
      </c>
      <c r="D31" s="6">
        <f>IFERROR(__xludf.DUMMYFUNCTION("""COMPUTED_VALUE"""),0.46900462962962985)</f>
        <v>0.4690046296</v>
      </c>
      <c r="E31" s="6">
        <f>IFERROR(__xludf.DUMMYFUNCTION("""COMPUTED_VALUE"""),0.0020833333333333333)</f>
        <v>0.002083333333</v>
      </c>
      <c r="F31" s="6">
        <f>IFERROR(__xludf.DUMMYFUNCTION("""COMPUTED_VALUE"""),0.4710879629629632)</f>
        <v>0.471087963</v>
      </c>
      <c r="G31" s="4" t="str">
        <f>IFERROR(__xludf.DUMMYFUNCTION("""COMPUTED_VALUE"""),"")</f>
        <v/>
      </c>
      <c r="H31" s="4" t="str">
        <f>IFERROR(__xludf.DUMMYFUNCTION("""COMPUTED_VALUE"""),"Lisa")</f>
        <v>Lisa</v>
      </c>
      <c r="I31" s="4" t="str">
        <f>IFERROR(__xludf.DUMMYFUNCTION("""COMPUTED_VALUE"""),"Eabha")</f>
        <v>Eabha</v>
      </c>
      <c r="J31" s="4" t="str">
        <f>IFERROR(__xludf.DUMMYFUNCTION("""COMPUTED_VALUE"""),"Media")</f>
        <v>Media</v>
      </c>
      <c r="K31" s="4" t="str">
        <f>IFERROR(__xludf.DUMMYFUNCTION("""COMPUTED_VALUE"""),"Teaser")</f>
        <v>Teaser</v>
      </c>
      <c r="L31" s="4" t="str">
        <f>IFERROR(__xludf.DUMMYFUNCTION("""COMPUTED_VALUE"""),"")</f>
        <v/>
      </c>
      <c r="M31" s="4" t="str">
        <f>IFERROR(__xludf.DUMMYFUNCTION("""COMPUTED_VALUE"""),"Teaser: Spotify")</f>
        <v>Teaser: Spotify</v>
      </c>
      <c r="N31" s="4" t="str">
        <f>IFERROR(__xludf.DUMMYFUNCTION("""COMPUTED_VALUE"""),"")</f>
        <v/>
      </c>
      <c r="O31" s="4" t="str">
        <f>IFERROR(__xludf.DUMMYFUNCTION("""COMPUTED_VALUE"""),"")</f>
        <v/>
      </c>
      <c r="P31" s="4" t="str">
        <f>IFERROR(__xludf.DUMMYFUNCTION("""COMPUTED_VALUE"""),"")</f>
        <v/>
      </c>
      <c r="Q31" s="4" t="str">
        <f>IFERROR(__xludf.DUMMYFUNCTION("""COMPUTED_VALUE"""),"")</f>
        <v/>
      </c>
      <c r="R31" s="4" t="str">
        <f>IFERROR(__xludf.DUMMYFUNCTION("""COMPUTED_VALUE"""),"")</f>
        <v/>
      </c>
      <c r="S31" s="4" t="str">
        <f>IFERROR(__xludf.DUMMYFUNCTION("""COMPUTED_VALUE"""),"Enjoy 5 minutes of Spotify's  Dawn Ostroff talk. Catch the full talk on Channel 3.")</f>
        <v>Enjoy 5 minutes of Spotify's  Dawn Ostroff talk. Catch the full talk on Channel 3.</v>
      </c>
      <c r="T31" s="4" t="str">
        <f>IFERROR(__xludf.DUMMYFUNCTION("""COMPUTED_VALUE"""),"N/A")</f>
        <v>N/A</v>
      </c>
      <c r="U31" s="4" t="str">
        <f>IFERROR(__xludf.DUMMYFUNCTION("""COMPUTED_VALUE"""),"")</f>
        <v/>
      </c>
      <c r="V31" s="4" t="str">
        <f>IFERROR(__xludf.DUMMYFUNCTION("""COMPUTED_VALUE"""),"")</f>
        <v/>
      </c>
      <c r="W31" s="4" t="str">
        <f>IFERROR(__xludf.DUMMYFUNCTION("""COMPUTED_VALUE"""),"")</f>
        <v/>
      </c>
      <c r="X31" s="4" t="str">
        <f>IFERROR(__xludf.DUMMYFUNCTION("""COMPUTED_VALUE"""),"")</f>
        <v/>
      </c>
      <c r="Y31" s="4" t="str">
        <f>IFERROR(__xludf.DUMMYFUNCTION("""COMPUTED_VALUE"""),"")</f>
        <v/>
      </c>
    </row>
    <row r="32">
      <c r="A32" s="4" t="str">
        <f>IFERROR(__xludf.DUMMYFUNCTION("""COMPUTED_VALUE"""),"2236 - Channel")</f>
        <v>2236 - Channel</v>
      </c>
      <c r="B32" s="4" t="str">
        <f>IFERROR(__xludf.DUMMYFUNCTION("""COMPUTED_VALUE"""),"Channel 1")</f>
        <v>Channel 1</v>
      </c>
      <c r="C32" s="4" t="str">
        <f>IFERROR(__xludf.DUMMYFUNCTION("""COMPUTED_VALUE"""),"Day 1 - 23/06")</f>
        <v>Day 1 - 23/06</v>
      </c>
      <c r="D32" s="6">
        <f>IFERROR(__xludf.DUMMYFUNCTION("""COMPUTED_VALUE"""),0.4710879629629632)</f>
        <v>0.471087963</v>
      </c>
      <c r="E32" s="6">
        <f>IFERROR(__xludf.DUMMYFUNCTION("""COMPUTED_VALUE"""),2.314814814814815E-4)</f>
        <v>0.0002314814815</v>
      </c>
      <c r="F32" s="6">
        <f>IFERROR(__xludf.DUMMYFUNCTION("""COMPUTED_VALUE"""),0.4713194444444447)</f>
        <v>0.4713194444</v>
      </c>
      <c r="G32" s="4" t="str">
        <f>IFERROR(__xludf.DUMMYFUNCTION("""COMPUTED_VALUE"""),"")</f>
        <v/>
      </c>
      <c r="H32" s="4" t="str">
        <f>IFERROR(__xludf.DUMMYFUNCTION("""COMPUTED_VALUE"""),"")</f>
        <v/>
      </c>
      <c r="I32" s="4" t="str">
        <f>IFERROR(__xludf.DUMMYFUNCTION("""COMPUTED_VALUE"""),"")</f>
        <v/>
      </c>
      <c r="J32" s="4" t="str">
        <f>IFERROR(__xludf.DUMMYFUNCTION("""COMPUTED_VALUE"""),"")</f>
        <v/>
      </c>
      <c r="K32" s="4" t="str">
        <f>IFERROR(__xludf.DUMMYFUNCTION("""COMPUTED_VALUE"""),"Talk Outro")</f>
        <v>Talk Outro</v>
      </c>
      <c r="L32" s="4" t="str">
        <f>IFERROR(__xludf.DUMMYFUNCTION("""COMPUTED_VALUE"""),"")</f>
        <v/>
      </c>
      <c r="M32" s="4" t="str">
        <f>IFERROR(__xludf.DUMMYFUNCTION("""COMPUTED_VALUE"""),"Call to action")</f>
        <v>Call to action</v>
      </c>
      <c r="N32" s="4" t="str">
        <f>IFERROR(__xludf.DUMMYFUNCTION("""COMPUTED_VALUE"""),"Sunil Sharma, Web Summit")</f>
        <v>Sunil Sharma, Web Summit</v>
      </c>
      <c r="O32" s="4" t="str">
        <f>IFERROR(__xludf.DUMMYFUNCTION("""COMPUTED_VALUE"""),"")</f>
        <v/>
      </c>
      <c r="P32" s="4" t="str">
        <f>IFERROR(__xludf.DUMMYFUNCTION("""COMPUTED_VALUE"""),"")</f>
        <v/>
      </c>
      <c r="Q32" s="4" t="str">
        <f>IFERROR(__xludf.DUMMYFUNCTION("""COMPUTED_VALUE"""),"")</f>
        <v/>
      </c>
      <c r="R32" s="4" t="str">
        <f>IFERROR(__xludf.DUMMYFUNCTION("""COMPUTED_VALUE"""),"")</f>
        <v/>
      </c>
      <c r="S32" s="4" t="str">
        <f>IFERROR(__xludf.DUMMYFUNCTION("""COMPUTED_VALUE"""),"")</f>
        <v/>
      </c>
      <c r="T32" s="4" t="str">
        <f>IFERROR(__xludf.DUMMYFUNCTION("""COMPUTED_VALUE"""),"")</f>
        <v/>
      </c>
      <c r="U32" s="4" t="str">
        <f>IFERROR(__xludf.DUMMYFUNCTION("""COMPUTED_VALUE"""),"")</f>
        <v/>
      </c>
      <c r="V32" s="4" t="str">
        <f>IFERROR(__xludf.DUMMYFUNCTION("""COMPUTED_VALUE"""),"")</f>
        <v/>
      </c>
      <c r="W32" s="4" t="str">
        <f>IFERROR(__xludf.DUMMYFUNCTION("""COMPUTED_VALUE"""),"")</f>
        <v/>
      </c>
      <c r="X32" s="4" t="str">
        <f>IFERROR(__xludf.DUMMYFUNCTION("""COMPUTED_VALUE"""),"")</f>
        <v/>
      </c>
      <c r="Y32" s="4" t="str">
        <f>IFERROR(__xludf.DUMMYFUNCTION("""COMPUTED_VALUE"""),"")</f>
        <v/>
      </c>
    </row>
    <row r="33">
      <c r="A33" s="4" t="str">
        <f>IFERROR(__xludf.DUMMYFUNCTION("""COMPUTED_VALUE"""),"1824 - Channel")</f>
        <v>1824 - Channel</v>
      </c>
      <c r="B33" s="4" t="str">
        <f>IFERROR(__xludf.DUMMYFUNCTION("""COMPUTED_VALUE"""),"Channel 1")</f>
        <v>Channel 1</v>
      </c>
      <c r="C33" s="4" t="str">
        <f>IFERROR(__xludf.DUMMYFUNCTION("""COMPUTED_VALUE"""),"Day 1 - 23/06")</f>
        <v>Day 1 - 23/06</v>
      </c>
      <c r="D33" s="6">
        <f>IFERROR(__xludf.DUMMYFUNCTION("""COMPUTED_VALUE"""),0.4713194444444447)</f>
        <v>0.4713194444</v>
      </c>
      <c r="E33" s="6">
        <f>IFERROR(__xludf.DUMMYFUNCTION("""COMPUTED_VALUE"""),5.208333333333333E-4)</f>
        <v>0.0005208333333</v>
      </c>
      <c r="F33" s="6">
        <f>IFERROR(__xludf.DUMMYFUNCTION("""COMPUTED_VALUE"""),0.47184027777777804)</f>
        <v>0.4718402778</v>
      </c>
      <c r="G33" s="4" t="str">
        <f>IFERROR(__xludf.DUMMYFUNCTION("""COMPUTED_VALUE"""),"")</f>
        <v/>
      </c>
      <c r="H33" s="4" t="str">
        <f>IFERROR(__xludf.DUMMYFUNCTION("""COMPUTED_VALUE"""),"")</f>
        <v/>
      </c>
      <c r="I33" s="4" t="str">
        <f>IFERROR(__xludf.DUMMYFUNCTION("""COMPUTED_VALUE"""),"")</f>
        <v/>
      </c>
      <c r="J33" s="4" t="str">
        <f>IFERROR(__xludf.DUMMYFUNCTION("""COMPUTED_VALUE"""),"")</f>
        <v/>
      </c>
      <c r="K33" s="4" t="str">
        <f>IFERROR(__xludf.DUMMYFUNCTION("""COMPUTED_VALUE"""),"Web Summit Trailer - full")</f>
        <v>Web Summit Trailer - full</v>
      </c>
      <c r="L33" s="4" t="str">
        <f>IFERROR(__xludf.DUMMYFUNCTION("""COMPUTED_VALUE"""),"")</f>
        <v/>
      </c>
      <c r="M33" s="4" t="str">
        <f>IFERROR(__xludf.DUMMYFUNCTION("""COMPUTED_VALUE"""),"")</f>
        <v/>
      </c>
      <c r="N33" s="4" t="str">
        <f>IFERROR(__xludf.DUMMYFUNCTION("""COMPUTED_VALUE"""),"")</f>
        <v/>
      </c>
      <c r="O33" s="4" t="str">
        <f>IFERROR(__xludf.DUMMYFUNCTION("""COMPUTED_VALUE"""),"")</f>
        <v/>
      </c>
      <c r="P33" s="4" t="str">
        <f>IFERROR(__xludf.DUMMYFUNCTION("""COMPUTED_VALUE"""),"")</f>
        <v/>
      </c>
      <c r="Q33" s="4" t="str">
        <f>IFERROR(__xludf.DUMMYFUNCTION("""COMPUTED_VALUE"""),"")</f>
        <v/>
      </c>
      <c r="R33" s="4" t="str">
        <f>IFERROR(__xludf.DUMMYFUNCTION("""COMPUTED_VALUE"""),"")</f>
        <v/>
      </c>
      <c r="S33" s="4" t="str">
        <f>IFERROR(__xludf.DUMMYFUNCTION("""COMPUTED_VALUE"""),"")</f>
        <v/>
      </c>
      <c r="T33" s="4" t="str">
        <f>IFERROR(__xludf.DUMMYFUNCTION("""COMPUTED_VALUE"""),"")</f>
        <v/>
      </c>
      <c r="U33" s="4" t="str">
        <f>IFERROR(__xludf.DUMMYFUNCTION("""COMPUTED_VALUE"""),"")</f>
        <v/>
      </c>
      <c r="V33" s="4" t="str">
        <f>IFERROR(__xludf.DUMMYFUNCTION("""COMPUTED_VALUE"""),"")</f>
        <v/>
      </c>
      <c r="W33" s="4" t="str">
        <f>IFERROR(__xludf.DUMMYFUNCTION("""COMPUTED_VALUE"""),"")</f>
        <v/>
      </c>
      <c r="X33" s="4" t="str">
        <f>IFERROR(__xludf.DUMMYFUNCTION("""COMPUTED_VALUE"""),"")</f>
        <v/>
      </c>
      <c r="Y33" s="4" t="str">
        <f>IFERROR(__xludf.DUMMYFUNCTION("""COMPUTED_VALUE"""),"")</f>
        <v/>
      </c>
    </row>
    <row r="34">
      <c r="A34" s="4" t="str">
        <f>IFERROR(__xludf.DUMMYFUNCTION("""COMPUTED_VALUE"""),"30 - Channel")</f>
        <v>30 - Channel</v>
      </c>
      <c r="B34" s="4" t="str">
        <f>IFERROR(__xludf.DUMMYFUNCTION("""COMPUTED_VALUE"""),"Channel 1")</f>
        <v>Channel 1</v>
      </c>
      <c r="C34" s="4" t="str">
        <f>IFERROR(__xludf.DUMMYFUNCTION("""COMPUTED_VALUE"""),"Day 1 - 23/06")</f>
        <v>Day 1 - 23/06</v>
      </c>
      <c r="D34" s="6">
        <f>IFERROR(__xludf.DUMMYFUNCTION("""COMPUTED_VALUE"""),0.47184027777777804)</f>
        <v>0.4718402778</v>
      </c>
      <c r="E34" s="6">
        <f>IFERROR(__xludf.DUMMYFUNCTION("""COMPUTED_VALUE"""),2.314814814814815E-4)</f>
        <v>0.0002314814815</v>
      </c>
      <c r="F34" s="6">
        <f>IFERROR(__xludf.DUMMYFUNCTION("""COMPUTED_VALUE"""),0.47207175925925954)</f>
        <v>0.4720717593</v>
      </c>
      <c r="G34" s="4" t="str">
        <f>IFERROR(__xludf.DUMMYFUNCTION("""COMPUTED_VALUE"""),"")</f>
        <v/>
      </c>
      <c r="H34" s="4" t="str">
        <f>IFERROR(__xludf.DUMMYFUNCTION("""COMPUTED_VALUE"""),"")</f>
        <v/>
      </c>
      <c r="I34" s="4" t="str">
        <f>IFERROR(__xludf.DUMMYFUNCTION("""COMPUTED_VALUE"""),"")</f>
        <v/>
      </c>
      <c r="J34" s="4" t="str">
        <f>IFERROR(__xludf.DUMMYFUNCTION("""COMPUTED_VALUE"""),"")</f>
        <v/>
      </c>
      <c r="K34" s="4" t="str">
        <f>IFERROR(__xludf.DUMMYFUNCTION("""COMPUTED_VALUE"""),"Talk Intro")</f>
        <v>Talk Intro</v>
      </c>
      <c r="L34" s="4" t="str">
        <f>IFERROR(__xludf.DUMMYFUNCTION("""COMPUTED_VALUE"""),"")</f>
        <v/>
      </c>
      <c r="M34" s="4" t="str">
        <f>IFERROR(__xludf.DUMMYFUNCTION("""COMPUTED_VALUE"""),"Talk Intro")</f>
        <v>Talk Intro</v>
      </c>
      <c r="N34" s="4" t="str">
        <f>IFERROR(__xludf.DUMMYFUNCTION("""COMPUTED_VALUE"""),"Paddy Cosgrave, Web Summit")</f>
        <v>Paddy Cosgrave, Web Summit</v>
      </c>
      <c r="O34" s="4" t="str">
        <f>IFERROR(__xludf.DUMMYFUNCTION("""COMPUTED_VALUE"""),"Sunil Sharma, Web Summit")</f>
        <v>Sunil Sharma, Web Summit</v>
      </c>
      <c r="P34" s="4" t="str">
        <f>IFERROR(__xludf.DUMMYFUNCTION("""COMPUTED_VALUE"""),"")</f>
        <v/>
      </c>
      <c r="Q34" s="4" t="str">
        <f>IFERROR(__xludf.DUMMYFUNCTION("""COMPUTED_VALUE"""),"")</f>
        <v/>
      </c>
      <c r="R34" s="4" t="str">
        <f>IFERROR(__xludf.DUMMYFUNCTION("""COMPUTED_VALUE"""),"")</f>
        <v/>
      </c>
      <c r="S34" s="4" t="str">
        <f>IFERROR(__xludf.DUMMYFUNCTION("""COMPUTED_VALUE"""),"")</f>
        <v/>
      </c>
      <c r="T34" s="4" t="str">
        <f>IFERROR(__xludf.DUMMYFUNCTION("""COMPUTED_VALUE"""),"")</f>
        <v/>
      </c>
      <c r="U34" s="4" t="str">
        <f>IFERROR(__xludf.DUMMYFUNCTION("""COMPUTED_VALUE"""),"")</f>
        <v/>
      </c>
      <c r="V34" s="4" t="str">
        <f>IFERROR(__xludf.DUMMYFUNCTION("""COMPUTED_VALUE"""),"")</f>
        <v/>
      </c>
      <c r="W34" s="4" t="str">
        <f>IFERROR(__xludf.DUMMYFUNCTION("""COMPUTED_VALUE"""),"")</f>
        <v/>
      </c>
      <c r="X34" s="4" t="str">
        <f>IFERROR(__xludf.DUMMYFUNCTION("""COMPUTED_VALUE"""),"")</f>
        <v/>
      </c>
      <c r="Y34" s="4" t="str">
        <f>IFERROR(__xludf.DUMMYFUNCTION("""COMPUTED_VALUE"""),"")</f>
        <v/>
      </c>
    </row>
    <row r="35">
      <c r="A35" s="4" t="str">
        <f>IFERROR(__xludf.DUMMYFUNCTION("""COMPUTED_VALUE"""),"1376 - Channel")</f>
        <v>1376 - Channel</v>
      </c>
      <c r="B35" s="4" t="str">
        <f>IFERROR(__xludf.DUMMYFUNCTION("""COMPUTED_VALUE"""),"Channel 1")</f>
        <v>Channel 1</v>
      </c>
      <c r="C35" s="4" t="str">
        <f>IFERROR(__xludf.DUMMYFUNCTION("""COMPUTED_VALUE"""),"Day 1 - 23/06")</f>
        <v>Day 1 - 23/06</v>
      </c>
      <c r="D35" s="6">
        <f>IFERROR(__xludf.DUMMYFUNCTION("""COMPUTED_VALUE"""),0.47207175925925954)</f>
        <v>0.4720717593</v>
      </c>
      <c r="E35" s="6">
        <f>IFERROR(__xludf.DUMMYFUNCTION("""COMPUTED_VALUE"""),0.008043981481481482)</f>
        <v>0.008043981481</v>
      </c>
      <c r="F35" s="6">
        <f>IFERROR(__xludf.DUMMYFUNCTION("""COMPUTED_VALUE"""),0.48011574074074104)</f>
        <v>0.4801157407</v>
      </c>
      <c r="G35" s="4" t="str">
        <f>IFERROR(__xludf.DUMMYFUNCTION("""COMPUTED_VALUE"""),"Lobna")</f>
        <v>Lobna</v>
      </c>
      <c r="H35" s="4" t="str">
        <f>IFERROR(__xludf.DUMMYFUNCTION("""COMPUTED_VALUE"""),"Stephen")</f>
        <v>Stephen</v>
      </c>
      <c r="I35" s="4" t="str">
        <f>IFERROR(__xludf.DUMMYFUNCTION("""COMPUTED_VALUE"""),"Francisca")</f>
        <v>Francisca</v>
      </c>
      <c r="J35" s="4" t="str">
        <f>IFERROR(__xludf.DUMMYFUNCTION("""COMPUTED_VALUE"""),"")</f>
        <v/>
      </c>
      <c r="K35" s="4" t="str">
        <f>IFERROR(__xludf.DUMMYFUNCTION("""COMPUTED_VALUE"""),"Super Fireside")</f>
        <v>Super Fireside</v>
      </c>
      <c r="L35" s="4" t="str">
        <f>IFERROR(__xludf.DUMMYFUNCTION("""COMPUTED_VALUE"""),"T- 3 - 01/06/2020")</f>
        <v>T- 3 - 01/06/2020</v>
      </c>
      <c r="M35" s="4" t="str">
        <f>IFERROR(__xludf.DUMMYFUNCTION("""COMPUTED_VALUE"""),"The role of the CMO in a crisis ")</f>
        <v>The role of the CMO in a crisis </v>
      </c>
      <c r="N35" s="4" t="str">
        <f>IFERROR(__xludf.DUMMYFUNCTION("""COMPUTED_VALUE"""),"Miki Toliver King, The Washington Post")</f>
        <v>Miki Toliver King, The Washington Post</v>
      </c>
      <c r="O35" s="4" t="str">
        <f>IFERROR(__xludf.DUMMYFUNCTION("""COMPUTED_VALUE"""),"Jamie Moldafsky, Wells Fargo")</f>
        <v>Jamie Moldafsky, Wells Fargo</v>
      </c>
      <c r="P35" s="4" t="str">
        <f>IFERROR(__xludf.DUMMYFUNCTION("""COMPUTED_VALUE"""),"")</f>
        <v/>
      </c>
      <c r="Q35" s="4" t="str">
        <f>IFERROR(__xludf.DUMMYFUNCTION("""COMPUTED_VALUE"""),"")</f>
        <v/>
      </c>
      <c r="R35" s="4" t="str">
        <f>IFERROR(__xludf.DUMMYFUNCTION("""COMPUTED_VALUE"""),"Michelle Castillo, Cheddar")</f>
        <v>Michelle Castillo, Cheddar</v>
      </c>
      <c r="S35" s="4" t="str">
        <f>IFERROR(__xludf.DUMMYFUNCTION("""COMPUTED_VALUE"""),"")</f>
        <v/>
      </c>
      <c r="T35" s="4" t="str">
        <f>IFERROR(__xludf.DUMMYFUNCTION("""COMPUTED_VALUE"""),"NON-KEYNOTE 9 - COMPLETE")</f>
        <v>NON-KEYNOTE 9 - COMPLETE</v>
      </c>
      <c r="U35" s="23">
        <f>IFERROR(__xludf.DUMMYFUNCTION("""COMPUTED_VALUE"""),43983.0)</f>
        <v>43983</v>
      </c>
      <c r="V35" s="24">
        <f>IFERROR(__xludf.DUMMYFUNCTION("""COMPUTED_VALUE"""),0.9583333333333334)</f>
        <v>0.9583333333</v>
      </c>
      <c r="W35" s="4" t="str">
        <f>IFERROR(__xludf.DUMMYFUNCTION("""COMPUTED_VALUE"""),"COMPLETE")</f>
        <v>COMPLETE</v>
      </c>
      <c r="X35" s="4" t="str">
        <f>IFERROR(__xludf.DUMMYFUNCTION("""COMPUTED_VALUE"""),"Lobna")</f>
        <v>Lobna</v>
      </c>
      <c r="Y35" s="4" t="str">
        <f>IFERROR(__xludf.DUMMYFUNCTION("""COMPUTED_VALUE"""),"")</f>
        <v/>
      </c>
    </row>
    <row r="36">
      <c r="A36" s="4" t="str">
        <f>IFERROR(__xludf.DUMMYFUNCTION("""COMPUTED_VALUE"""),"33 - Channel")</f>
        <v>33 - Channel</v>
      </c>
      <c r="B36" s="4" t="str">
        <f>IFERROR(__xludf.DUMMYFUNCTION("""COMPUTED_VALUE"""),"Channel 1")</f>
        <v>Channel 1</v>
      </c>
      <c r="C36" s="4" t="str">
        <f>IFERROR(__xludf.DUMMYFUNCTION("""COMPUTED_VALUE"""),"Day 1 - 23/06")</f>
        <v>Day 1 - 23/06</v>
      </c>
      <c r="D36" s="6">
        <f>IFERROR(__xludf.DUMMYFUNCTION("""COMPUTED_VALUE"""),0.48011574074074104)</f>
        <v>0.4801157407</v>
      </c>
      <c r="E36" s="6">
        <f>IFERROR(__xludf.DUMMYFUNCTION("""COMPUTED_VALUE"""),3.4722222222222224E-4)</f>
        <v>0.0003472222222</v>
      </c>
      <c r="F36" s="6">
        <f>IFERROR(__xludf.DUMMYFUNCTION("""COMPUTED_VALUE"""),0.48046296296296326)</f>
        <v>0.480462963</v>
      </c>
      <c r="G36" s="4" t="str">
        <f>IFERROR(__xludf.DUMMYFUNCTION("""COMPUTED_VALUE"""),"")</f>
        <v/>
      </c>
      <c r="H36" s="4" t="str">
        <f>IFERROR(__xludf.DUMMYFUNCTION("""COMPUTED_VALUE"""),"")</f>
        <v/>
      </c>
      <c r="I36" s="4" t="str">
        <f>IFERROR(__xludf.DUMMYFUNCTION("""COMPUTED_VALUE"""),"")</f>
        <v/>
      </c>
      <c r="J36" s="4" t="str">
        <f>IFERROR(__xludf.DUMMYFUNCTION("""COMPUTED_VALUE"""),"")</f>
        <v/>
      </c>
      <c r="K36" s="4" t="str">
        <f>IFERROR(__xludf.DUMMYFUNCTION("""COMPUTED_VALUE"""),"RISE Trailer")</f>
        <v>RISE Trailer</v>
      </c>
      <c r="L36" s="4" t="str">
        <f>IFERROR(__xludf.DUMMYFUNCTION("""COMPUTED_VALUE"""),"")</f>
        <v/>
      </c>
      <c r="M36" s="4" t="str">
        <f>IFERROR(__xludf.DUMMYFUNCTION("""COMPUTED_VALUE"""),"")</f>
        <v/>
      </c>
      <c r="N36" s="4" t="str">
        <f>IFERROR(__xludf.DUMMYFUNCTION("""COMPUTED_VALUE"""),"Content pending")</f>
        <v>Content pending</v>
      </c>
      <c r="O36" s="4" t="str">
        <f>IFERROR(__xludf.DUMMYFUNCTION("""COMPUTED_VALUE"""),"")</f>
        <v/>
      </c>
      <c r="P36" s="4" t="str">
        <f>IFERROR(__xludf.DUMMYFUNCTION("""COMPUTED_VALUE"""),"")</f>
        <v/>
      </c>
      <c r="Q36" s="4" t="str">
        <f>IFERROR(__xludf.DUMMYFUNCTION("""COMPUTED_VALUE"""),"")</f>
        <v/>
      </c>
      <c r="R36" s="4" t="str">
        <f>IFERROR(__xludf.DUMMYFUNCTION("""COMPUTED_VALUE"""),"")</f>
        <v/>
      </c>
      <c r="S36" s="4" t="str">
        <f>IFERROR(__xludf.DUMMYFUNCTION("""COMPUTED_VALUE"""),"")</f>
        <v/>
      </c>
      <c r="T36" s="4" t="str">
        <f>IFERROR(__xludf.DUMMYFUNCTION("""COMPUTED_VALUE"""),"")</f>
        <v/>
      </c>
      <c r="U36" s="4" t="str">
        <f>IFERROR(__xludf.DUMMYFUNCTION("""COMPUTED_VALUE"""),"")</f>
        <v/>
      </c>
      <c r="V36" s="4" t="str">
        <f>IFERROR(__xludf.DUMMYFUNCTION("""COMPUTED_VALUE"""),"")</f>
        <v/>
      </c>
      <c r="W36" s="4" t="str">
        <f>IFERROR(__xludf.DUMMYFUNCTION("""COMPUTED_VALUE"""),"")</f>
        <v/>
      </c>
      <c r="X36" s="4" t="str">
        <f>IFERROR(__xludf.DUMMYFUNCTION("""COMPUTED_VALUE"""),"")</f>
        <v/>
      </c>
      <c r="Y36" s="4" t="str">
        <f>IFERROR(__xludf.DUMMYFUNCTION("""COMPUTED_VALUE"""),"")</f>
        <v/>
      </c>
    </row>
    <row r="37">
      <c r="A37" s="4" t="str">
        <f>IFERROR(__xludf.DUMMYFUNCTION("""COMPUTED_VALUE"""),"34 - Channel")</f>
        <v>34 - Channel</v>
      </c>
      <c r="B37" s="4" t="str">
        <f>IFERROR(__xludf.DUMMYFUNCTION("""COMPUTED_VALUE"""),"Channel 1")</f>
        <v>Channel 1</v>
      </c>
      <c r="C37" s="4" t="str">
        <f>IFERROR(__xludf.DUMMYFUNCTION("""COMPUTED_VALUE"""),"Day 1 - 23/06")</f>
        <v>Day 1 - 23/06</v>
      </c>
      <c r="D37" s="6">
        <f>IFERROR(__xludf.DUMMYFUNCTION("""COMPUTED_VALUE"""),0.48046296296296326)</f>
        <v>0.480462963</v>
      </c>
      <c r="E37" s="6">
        <f>IFERROR(__xludf.DUMMYFUNCTION("""COMPUTED_VALUE"""),2.314814814814815E-4)</f>
        <v>0.0002314814815</v>
      </c>
      <c r="F37" s="6">
        <f>IFERROR(__xludf.DUMMYFUNCTION("""COMPUTED_VALUE"""),0.48069444444444476)</f>
        <v>0.4806944444</v>
      </c>
      <c r="G37" s="4" t="str">
        <f>IFERROR(__xludf.DUMMYFUNCTION("""COMPUTED_VALUE"""),"")</f>
        <v/>
      </c>
      <c r="H37" s="4" t="str">
        <f>IFERROR(__xludf.DUMMYFUNCTION("""COMPUTED_VALUE"""),"")</f>
        <v/>
      </c>
      <c r="I37" s="4" t="str">
        <f>IFERROR(__xludf.DUMMYFUNCTION("""COMPUTED_VALUE"""),"")</f>
        <v/>
      </c>
      <c r="J37" s="4" t="str">
        <f>IFERROR(__xludf.DUMMYFUNCTION("""COMPUTED_VALUE"""),"")</f>
        <v/>
      </c>
      <c r="K37" s="4" t="str">
        <f>IFERROR(__xludf.DUMMYFUNCTION("""COMPUTED_VALUE"""),"Talk Intro")</f>
        <v>Talk Intro</v>
      </c>
      <c r="L37" s="4" t="str">
        <f>IFERROR(__xludf.DUMMYFUNCTION("""COMPUTED_VALUE"""),"")</f>
        <v/>
      </c>
      <c r="M37" s="4" t="str">
        <f>IFERROR(__xludf.DUMMYFUNCTION("""COMPUTED_VALUE"""),"Teaser: PepsiCo_Intro")</f>
        <v>Teaser: PepsiCo_Intro</v>
      </c>
      <c r="N37" s="4" t="str">
        <f>IFERROR(__xludf.DUMMYFUNCTION("""COMPUTED_VALUE"""),"Sunil Sharma, Web Summit")</f>
        <v>Sunil Sharma, Web Summit</v>
      </c>
      <c r="O37" s="4" t="str">
        <f>IFERROR(__xludf.DUMMYFUNCTION("""COMPUTED_VALUE"""),"")</f>
        <v/>
      </c>
      <c r="P37" s="4" t="str">
        <f>IFERROR(__xludf.DUMMYFUNCTION("""COMPUTED_VALUE"""),"")</f>
        <v/>
      </c>
      <c r="Q37" s="4" t="str">
        <f>IFERROR(__xludf.DUMMYFUNCTION("""COMPUTED_VALUE"""),"")</f>
        <v/>
      </c>
      <c r="R37" s="4" t="str">
        <f>IFERROR(__xludf.DUMMYFUNCTION("""COMPUTED_VALUE"""),"")</f>
        <v/>
      </c>
      <c r="S37" s="4" t="str">
        <f>IFERROR(__xludf.DUMMYFUNCTION("""COMPUTED_VALUE"""),"")</f>
        <v/>
      </c>
      <c r="T37" s="4" t="str">
        <f>IFERROR(__xludf.DUMMYFUNCTION("""COMPUTED_VALUE"""),"")</f>
        <v/>
      </c>
      <c r="U37" s="4" t="str">
        <f>IFERROR(__xludf.DUMMYFUNCTION("""COMPUTED_VALUE"""),"")</f>
        <v/>
      </c>
      <c r="V37" s="4" t="str">
        <f>IFERROR(__xludf.DUMMYFUNCTION("""COMPUTED_VALUE"""),"")</f>
        <v/>
      </c>
      <c r="W37" s="4" t="str">
        <f>IFERROR(__xludf.DUMMYFUNCTION("""COMPUTED_VALUE"""),"")</f>
        <v/>
      </c>
      <c r="X37" s="4" t="str">
        <f>IFERROR(__xludf.DUMMYFUNCTION("""COMPUTED_VALUE"""),"")</f>
        <v/>
      </c>
      <c r="Y37" s="4" t="str">
        <f>IFERROR(__xludf.DUMMYFUNCTION("""COMPUTED_VALUE"""),"")</f>
        <v/>
      </c>
    </row>
    <row r="38">
      <c r="A38" s="4" t="str">
        <f>IFERROR(__xludf.DUMMYFUNCTION("""COMPUTED_VALUE"""),"1363 - Channel")</f>
        <v>1363 - Channel</v>
      </c>
      <c r="B38" s="4" t="str">
        <f>IFERROR(__xludf.DUMMYFUNCTION("""COMPUTED_VALUE"""),"Channel 1")</f>
        <v>Channel 1</v>
      </c>
      <c r="C38" s="4" t="str">
        <f>IFERROR(__xludf.DUMMYFUNCTION("""COMPUTED_VALUE"""),"Day 1 - 23/06")</f>
        <v>Day 1 - 23/06</v>
      </c>
      <c r="D38" s="6">
        <f>IFERROR(__xludf.DUMMYFUNCTION("""COMPUTED_VALUE"""),0.48069444444444476)</f>
        <v>0.4806944444</v>
      </c>
      <c r="E38" s="6">
        <f>IFERROR(__xludf.DUMMYFUNCTION("""COMPUTED_VALUE"""),0.0020833333333333333)</f>
        <v>0.002083333333</v>
      </c>
      <c r="F38" s="6">
        <f>IFERROR(__xludf.DUMMYFUNCTION("""COMPUTED_VALUE"""),0.4827777777777781)</f>
        <v>0.4827777778</v>
      </c>
      <c r="G38" s="4" t="str">
        <f>IFERROR(__xludf.DUMMYFUNCTION("""COMPUTED_VALUE"""),"")</f>
        <v/>
      </c>
      <c r="H38" s="4" t="str">
        <f>IFERROR(__xludf.DUMMYFUNCTION("""COMPUTED_VALUE"""),"")</f>
        <v/>
      </c>
      <c r="I38" s="4" t="str">
        <f>IFERROR(__xludf.DUMMYFUNCTION("""COMPUTED_VALUE"""),"")</f>
        <v/>
      </c>
      <c r="J38" s="4" t="str">
        <f>IFERROR(__xludf.DUMMYFUNCTION("""COMPUTED_VALUE"""),"")</f>
        <v/>
      </c>
      <c r="K38" s="4" t="str">
        <f>IFERROR(__xludf.DUMMYFUNCTION("""COMPUTED_VALUE"""),"Teaser")</f>
        <v>Teaser</v>
      </c>
      <c r="L38" s="4" t="str">
        <f>IFERROR(__xludf.DUMMYFUNCTION("""COMPUTED_VALUE"""),"")</f>
        <v/>
      </c>
      <c r="M38" s="4" t="str">
        <f>IFERROR(__xludf.DUMMYFUNCTION("""COMPUTED_VALUE"""),"Teaser: PepsiCo")</f>
        <v>Teaser: PepsiCo</v>
      </c>
      <c r="N38" s="4" t="str">
        <f>IFERROR(__xludf.DUMMYFUNCTION("""COMPUTED_VALUE"""),"Content complete")</f>
        <v>Content complete</v>
      </c>
      <c r="O38" s="4" t="str">
        <f>IFERROR(__xludf.DUMMYFUNCTION("""COMPUTED_VALUE"""),"")</f>
        <v/>
      </c>
      <c r="P38" s="4" t="str">
        <f>IFERROR(__xludf.DUMMYFUNCTION("""COMPUTED_VALUE"""),"")</f>
        <v/>
      </c>
      <c r="Q38" s="4" t="str">
        <f>IFERROR(__xludf.DUMMYFUNCTION("""COMPUTED_VALUE"""),"")</f>
        <v/>
      </c>
      <c r="R38" s="4" t="str">
        <f>IFERROR(__xludf.DUMMYFUNCTION("""COMPUTED_VALUE"""),"")</f>
        <v/>
      </c>
      <c r="S38" s="4" t="str">
        <f>IFERROR(__xludf.DUMMYFUNCTION("""COMPUTED_VALUE"""),"")</f>
        <v/>
      </c>
      <c r="T38" s="4" t="str">
        <f>IFERROR(__xludf.DUMMYFUNCTION("""COMPUTED_VALUE"""),"")</f>
        <v/>
      </c>
      <c r="U38" s="4" t="str">
        <f>IFERROR(__xludf.DUMMYFUNCTION("""COMPUTED_VALUE"""),"")</f>
        <v/>
      </c>
      <c r="V38" s="4" t="str">
        <f>IFERROR(__xludf.DUMMYFUNCTION("""COMPUTED_VALUE"""),"")</f>
        <v/>
      </c>
      <c r="W38" s="4" t="str">
        <f>IFERROR(__xludf.DUMMYFUNCTION("""COMPUTED_VALUE"""),"")</f>
        <v/>
      </c>
      <c r="X38" s="4" t="str">
        <f>IFERROR(__xludf.DUMMYFUNCTION("""COMPUTED_VALUE"""),"")</f>
        <v/>
      </c>
      <c r="Y38" s="4" t="str">
        <f>IFERROR(__xludf.DUMMYFUNCTION("""COMPUTED_VALUE"""),"")</f>
        <v/>
      </c>
    </row>
    <row r="39">
      <c r="A39" s="4" t="str">
        <f>IFERROR(__xludf.DUMMYFUNCTION("""COMPUTED_VALUE"""),"2237 - Channel")</f>
        <v>2237 - Channel</v>
      </c>
      <c r="B39" s="4" t="str">
        <f>IFERROR(__xludf.DUMMYFUNCTION("""COMPUTED_VALUE"""),"Channel 1")</f>
        <v>Channel 1</v>
      </c>
      <c r="C39" s="4" t="str">
        <f>IFERROR(__xludf.DUMMYFUNCTION("""COMPUTED_VALUE"""),"Day 1 - 23/06")</f>
        <v>Day 1 - 23/06</v>
      </c>
      <c r="D39" s="6">
        <f>IFERROR(__xludf.DUMMYFUNCTION("""COMPUTED_VALUE"""),0.4827777777777781)</f>
        <v>0.4827777778</v>
      </c>
      <c r="E39" s="6">
        <f>IFERROR(__xludf.DUMMYFUNCTION("""COMPUTED_VALUE"""),2.314814814814815E-4)</f>
        <v>0.0002314814815</v>
      </c>
      <c r="F39" s="6">
        <f>IFERROR(__xludf.DUMMYFUNCTION("""COMPUTED_VALUE"""),0.4830092592592596)</f>
        <v>0.4830092593</v>
      </c>
      <c r="G39" s="4" t="str">
        <f>IFERROR(__xludf.DUMMYFUNCTION("""COMPUTED_VALUE"""),"")</f>
        <v/>
      </c>
      <c r="H39" s="4" t="str">
        <f>IFERROR(__xludf.DUMMYFUNCTION("""COMPUTED_VALUE"""),"")</f>
        <v/>
      </c>
      <c r="I39" s="4" t="str">
        <f>IFERROR(__xludf.DUMMYFUNCTION("""COMPUTED_VALUE"""),"")</f>
        <v/>
      </c>
      <c r="J39" s="4" t="str">
        <f>IFERROR(__xludf.DUMMYFUNCTION("""COMPUTED_VALUE"""),"")</f>
        <v/>
      </c>
      <c r="K39" s="4" t="str">
        <f>IFERROR(__xludf.DUMMYFUNCTION("""COMPUTED_VALUE"""),"Talk Outro")</f>
        <v>Talk Outro</v>
      </c>
      <c r="L39" s="4" t="str">
        <f>IFERROR(__xludf.DUMMYFUNCTION("""COMPUTED_VALUE"""),"")</f>
        <v/>
      </c>
      <c r="M39" s="4" t="str">
        <f>IFERROR(__xludf.DUMMYFUNCTION("""COMPUTED_VALUE"""),"Call to action")</f>
        <v>Call to action</v>
      </c>
      <c r="N39" s="4" t="str">
        <f>IFERROR(__xludf.DUMMYFUNCTION("""COMPUTED_VALUE"""),"Sunil Sharma, Web Summit")</f>
        <v>Sunil Sharma, Web Summit</v>
      </c>
      <c r="O39" s="4" t="str">
        <f>IFERROR(__xludf.DUMMYFUNCTION("""COMPUTED_VALUE"""),"")</f>
        <v/>
      </c>
      <c r="P39" s="4" t="str">
        <f>IFERROR(__xludf.DUMMYFUNCTION("""COMPUTED_VALUE"""),"")</f>
        <v/>
      </c>
      <c r="Q39" s="4" t="str">
        <f>IFERROR(__xludf.DUMMYFUNCTION("""COMPUTED_VALUE"""),"")</f>
        <v/>
      </c>
      <c r="R39" s="4" t="str">
        <f>IFERROR(__xludf.DUMMYFUNCTION("""COMPUTED_VALUE"""),"")</f>
        <v/>
      </c>
      <c r="S39" s="4" t="str">
        <f>IFERROR(__xludf.DUMMYFUNCTION("""COMPUTED_VALUE"""),"")</f>
        <v/>
      </c>
      <c r="T39" s="4" t="str">
        <f>IFERROR(__xludf.DUMMYFUNCTION("""COMPUTED_VALUE"""),"")</f>
        <v/>
      </c>
      <c r="U39" s="4" t="str">
        <f>IFERROR(__xludf.DUMMYFUNCTION("""COMPUTED_VALUE"""),"")</f>
        <v/>
      </c>
      <c r="V39" s="4" t="str">
        <f>IFERROR(__xludf.DUMMYFUNCTION("""COMPUTED_VALUE"""),"")</f>
        <v/>
      </c>
      <c r="W39" s="4" t="str">
        <f>IFERROR(__xludf.DUMMYFUNCTION("""COMPUTED_VALUE"""),"")</f>
        <v/>
      </c>
      <c r="X39" s="4" t="str">
        <f>IFERROR(__xludf.DUMMYFUNCTION("""COMPUTED_VALUE"""),"")</f>
        <v/>
      </c>
      <c r="Y39" s="4" t="str">
        <f>IFERROR(__xludf.DUMMYFUNCTION("""COMPUTED_VALUE"""),"")</f>
        <v/>
      </c>
    </row>
    <row r="40">
      <c r="A40" s="4" t="str">
        <f>IFERROR(__xludf.DUMMYFUNCTION("""COMPUTED_VALUE"""),"1641 - Channel")</f>
        <v>1641 - Channel</v>
      </c>
      <c r="B40" s="4" t="str">
        <f>IFERROR(__xludf.DUMMYFUNCTION("""COMPUTED_VALUE"""),"Channel 1")</f>
        <v>Channel 1</v>
      </c>
      <c r="C40" s="4" t="str">
        <f>IFERROR(__xludf.DUMMYFUNCTION("""COMPUTED_VALUE"""),"Day 1 - 23/06")</f>
        <v>Day 1 - 23/06</v>
      </c>
      <c r="D40" s="6">
        <f>IFERROR(__xludf.DUMMYFUNCTION("""COMPUTED_VALUE"""),0.4830092592592596)</f>
        <v>0.4830092593</v>
      </c>
      <c r="E40" s="6">
        <f>IFERROR(__xludf.DUMMYFUNCTION("""COMPUTED_VALUE"""),5.208333333333333E-4)</f>
        <v>0.0005208333333</v>
      </c>
      <c r="F40" s="6">
        <f>IFERROR(__xludf.DUMMYFUNCTION("""COMPUTED_VALUE"""),0.48353009259259294)</f>
        <v>0.4835300926</v>
      </c>
      <c r="G40" s="4" t="str">
        <f>IFERROR(__xludf.DUMMYFUNCTION("""COMPUTED_VALUE"""),"")</f>
        <v/>
      </c>
      <c r="H40" s="4" t="str">
        <f>IFERROR(__xludf.DUMMYFUNCTION("""COMPUTED_VALUE"""),"")</f>
        <v/>
      </c>
      <c r="I40" s="4" t="str">
        <f>IFERROR(__xludf.DUMMYFUNCTION("""COMPUTED_VALUE"""),"")</f>
        <v/>
      </c>
      <c r="J40" s="4" t="str">
        <f>IFERROR(__xludf.DUMMYFUNCTION("""COMPUTED_VALUE"""),"")</f>
        <v/>
      </c>
      <c r="K40" s="4" t="str">
        <f>IFERROR(__xludf.DUMMYFUNCTION("""COMPUTED_VALUE"""),"Web Summit Trailer - short")</f>
        <v>Web Summit Trailer - short</v>
      </c>
      <c r="L40" s="4" t="str">
        <f>IFERROR(__xludf.DUMMYFUNCTION("""COMPUTED_VALUE"""),"")</f>
        <v/>
      </c>
      <c r="M40" s="4" t="str">
        <f>IFERROR(__xludf.DUMMYFUNCTION("""COMPUTED_VALUE"""),"Web Summit promo")</f>
        <v>Web Summit promo</v>
      </c>
      <c r="N40" s="4" t="str">
        <f>IFERROR(__xludf.DUMMYFUNCTION("""COMPUTED_VALUE"""),"Content pending")</f>
        <v>Content pending</v>
      </c>
      <c r="O40" s="4" t="str">
        <f>IFERROR(__xludf.DUMMYFUNCTION("""COMPUTED_VALUE"""),"")</f>
        <v/>
      </c>
      <c r="P40" s="4" t="str">
        <f>IFERROR(__xludf.DUMMYFUNCTION("""COMPUTED_VALUE"""),"")</f>
        <v/>
      </c>
      <c r="Q40" s="4" t="str">
        <f>IFERROR(__xludf.DUMMYFUNCTION("""COMPUTED_VALUE"""),"")</f>
        <v/>
      </c>
      <c r="R40" s="4" t="str">
        <f>IFERROR(__xludf.DUMMYFUNCTION("""COMPUTED_VALUE"""),"")</f>
        <v/>
      </c>
      <c r="S40" s="4" t="str">
        <f>IFERROR(__xludf.DUMMYFUNCTION("""COMPUTED_VALUE"""),"")</f>
        <v/>
      </c>
      <c r="T40" s="4" t="str">
        <f>IFERROR(__xludf.DUMMYFUNCTION("""COMPUTED_VALUE"""),"")</f>
        <v/>
      </c>
      <c r="U40" s="4" t="str">
        <f>IFERROR(__xludf.DUMMYFUNCTION("""COMPUTED_VALUE"""),"")</f>
        <v/>
      </c>
      <c r="V40" s="4" t="str">
        <f>IFERROR(__xludf.DUMMYFUNCTION("""COMPUTED_VALUE"""),"")</f>
        <v/>
      </c>
      <c r="W40" s="4" t="str">
        <f>IFERROR(__xludf.DUMMYFUNCTION("""COMPUTED_VALUE"""),"")</f>
        <v/>
      </c>
      <c r="X40" s="4" t="str">
        <f>IFERROR(__xludf.DUMMYFUNCTION("""COMPUTED_VALUE"""),"")</f>
        <v/>
      </c>
      <c r="Y40" s="4" t="str">
        <f>IFERROR(__xludf.DUMMYFUNCTION("""COMPUTED_VALUE"""),"")</f>
        <v/>
      </c>
    </row>
    <row r="41">
      <c r="A41" s="4" t="str">
        <f>IFERROR(__xludf.DUMMYFUNCTION("""COMPUTED_VALUE"""),"1817 - Channel")</f>
        <v>1817 - Channel</v>
      </c>
      <c r="B41" s="4" t="str">
        <f>IFERROR(__xludf.DUMMYFUNCTION("""COMPUTED_VALUE"""),"Channel 1")</f>
        <v>Channel 1</v>
      </c>
      <c r="C41" s="4" t="str">
        <f>IFERROR(__xludf.DUMMYFUNCTION("""COMPUTED_VALUE"""),"Day 1 - 23/06")</f>
        <v>Day 1 - 23/06</v>
      </c>
      <c r="D41" s="6">
        <f>IFERROR(__xludf.DUMMYFUNCTION("""COMPUTED_VALUE"""),0.48353009259259294)</f>
        <v>0.4835300926</v>
      </c>
      <c r="E41" s="6">
        <f>IFERROR(__xludf.DUMMYFUNCTION("""COMPUTED_VALUE"""),3.4722222222222224E-4)</f>
        <v>0.0003472222222</v>
      </c>
      <c r="F41" s="6">
        <f>IFERROR(__xludf.DUMMYFUNCTION("""COMPUTED_VALUE"""),0.48387731481481516)</f>
        <v>0.4838773148</v>
      </c>
      <c r="G41" s="4" t="str">
        <f>IFERROR(__xludf.DUMMYFUNCTION("""COMPUTED_VALUE"""),"")</f>
        <v/>
      </c>
      <c r="H41" s="4" t="str">
        <f>IFERROR(__xludf.DUMMYFUNCTION("""COMPUTED_VALUE"""),"")</f>
        <v/>
      </c>
      <c r="I41" s="4" t="str">
        <f>IFERROR(__xludf.DUMMYFUNCTION("""COMPUTED_VALUE"""),"")</f>
        <v/>
      </c>
      <c r="J41" s="4" t="str">
        <f>IFERROR(__xludf.DUMMYFUNCTION("""COMPUTED_VALUE"""),"")</f>
        <v/>
      </c>
      <c r="K41" s="4" t="str">
        <f>IFERROR(__xludf.DUMMYFUNCTION("""COMPUTED_VALUE"""),"RISE Trailer")</f>
        <v>RISE Trailer</v>
      </c>
      <c r="L41" s="4" t="str">
        <f>IFERROR(__xludf.DUMMYFUNCTION("""COMPUTED_VALUE"""),"")</f>
        <v/>
      </c>
      <c r="M41" s="4" t="str">
        <f>IFERROR(__xludf.DUMMYFUNCTION("""COMPUTED_VALUE"""),"")</f>
        <v/>
      </c>
      <c r="N41" s="4" t="str">
        <f>IFERROR(__xludf.DUMMYFUNCTION("""COMPUTED_VALUE"""),"Content pending")</f>
        <v>Content pending</v>
      </c>
      <c r="O41" s="4" t="str">
        <f>IFERROR(__xludf.DUMMYFUNCTION("""COMPUTED_VALUE"""),"")</f>
        <v/>
      </c>
      <c r="P41" s="4" t="str">
        <f>IFERROR(__xludf.DUMMYFUNCTION("""COMPUTED_VALUE"""),"")</f>
        <v/>
      </c>
      <c r="Q41" s="4" t="str">
        <f>IFERROR(__xludf.DUMMYFUNCTION("""COMPUTED_VALUE"""),"")</f>
        <v/>
      </c>
      <c r="R41" s="4" t="str">
        <f>IFERROR(__xludf.DUMMYFUNCTION("""COMPUTED_VALUE"""),"")</f>
        <v/>
      </c>
      <c r="S41" s="4" t="str">
        <f>IFERROR(__xludf.DUMMYFUNCTION("""COMPUTED_VALUE"""),"")</f>
        <v/>
      </c>
      <c r="T41" s="4" t="str">
        <f>IFERROR(__xludf.DUMMYFUNCTION("""COMPUTED_VALUE"""),"")</f>
        <v/>
      </c>
      <c r="U41" s="4" t="str">
        <f>IFERROR(__xludf.DUMMYFUNCTION("""COMPUTED_VALUE"""),"")</f>
        <v/>
      </c>
      <c r="V41" s="4" t="str">
        <f>IFERROR(__xludf.DUMMYFUNCTION("""COMPUTED_VALUE"""),"")</f>
        <v/>
      </c>
      <c r="W41" s="4" t="str">
        <f>IFERROR(__xludf.DUMMYFUNCTION("""COMPUTED_VALUE"""),"")</f>
        <v/>
      </c>
      <c r="X41" s="4" t="str">
        <f>IFERROR(__xludf.DUMMYFUNCTION("""COMPUTED_VALUE"""),"")</f>
        <v/>
      </c>
      <c r="Y41" s="4" t="str">
        <f>IFERROR(__xludf.DUMMYFUNCTION("""COMPUTED_VALUE"""),"")</f>
        <v/>
      </c>
    </row>
    <row r="42">
      <c r="A42" s="4" t="str">
        <f>IFERROR(__xludf.DUMMYFUNCTION("""COMPUTED_VALUE"""),"249 - Channel")</f>
        <v>249 - Channel</v>
      </c>
      <c r="B42" s="4" t="str">
        <f>IFERROR(__xludf.DUMMYFUNCTION("""COMPUTED_VALUE"""),"Channel 1")</f>
        <v>Channel 1</v>
      </c>
      <c r="C42" s="4" t="str">
        <f>IFERROR(__xludf.DUMMYFUNCTION("""COMPUTED_VALUE"""),"Day 1 - 23/06")</f>
        <v>Day 1 - 23/06</v>
      </c>
      <c r="D42" s="6">
        <f>IFERROR(__xludf.DUMMYFUNCTION("""COMPUTED_VALUE"""),0.48387731481481516)</f>
        <v>0.4838773148</v>
      </c>
      <c r="E42" s="6">
        <f>IFERROR(__xludf.DUMMYFUNCTION("""COMPUTED_VALUE"""),2.314814814814815E-4)</f>
        <v>0.0002314814815</v>
      </c>
      <c r="F42" s="6">
        <f>IFERROR(__xludf.DUMMYFUNCTION("""COMPUTED_VALUE"""),0.48410879629629666)</f>
        <v>0.4841087963</v>
      </c>
      <c r="G42" s="4" t="str">
        <f>IFERROR(__xludf.DUMMYFUNCTION("""COMPUTED_VALUE"""),"")</f>
        <v/>
      </c>
      <c r="H42" s="4" t="str">
        <f>IFERROR(__xludf.DUMMYFUNCTION("""COMPUTED_VALUE"""),"")</f>
        <v/>
      </c>
      <c r="I42" s="4" t="str">
        <f>IFERROR(__xludf.DUMMYFUNCTION("""COMPUTED_VALUE"""),"")</f>
        <v/>
      </c>
      <c r="J42" s="4" t="str">
        <f>IFERROR(__xludf.DUMMYFUNCTION("""COMPUTED_VALUE"""),"")</f>
        <v/>
      </c>
      <c r="K42" s="4" t="str">
        <f>IFERROR(__xludf.DUMMYFUNCTION("""COMPUTED_VALUE"""),"Talk Intro")</f>
        <v>Talk Intro</v>
      </c>
      <c r="L42" s="4" t="str">
        <f>IFERROR(__xludf.DUMMYFUNCTION("""COMPUTED_VALUE"""),"")</f>
        <v/>
      </c>
      <c r="M42" s="4" t="str">
        <f>IFERROR(__xludf.DUMMYFUNCTION("""COMPUTED_VALUE"""),"talk intro ")</f>
        <v>talk intro </v>
      </c>
      <c r="N42" s="4" t="str">
        <f>IFERROR(__xludf.DUMMYFUNCTION("""COMPUTED_VALUE"""),"Paddy Cosgrave, Web Summit")</f>
        <v>Paddy Cosgrave, Web Summit</v>
      </c>
      <c r="O42" s="4" t="str">
        <f>IFERROR(__xludf.DUMMYFUNCTION("""COMPUTED_VALUE"""),"Sunil Sharma, Web Summit")</f>
        <v>Sunil Sharma, Web Summit</v>
      </c>
      <c r="P42" s="4" t="str">
        <f>IFERROR(__xludf.DUMMYFUNCTION("""COMPUTED_VALUE"""),"")</f>
        <v/>
      </c>
      <c r="Q42" s="4" t="str">
        <f>IFERROR(__xludf.DUMMYFUNCTION("""COMPUTED_VALUE"""),"")</f>
        <v/>
      </c>
      <c r="R42" s="4" t="str">
        <f>IFERROR(__xludf.DUMMYFUNCTION("""COMPUTED_VALUE"""),"")</f>
        <v/>
      </c>
      <c r="S42" s="4" t="str">
        <f>IFERROR(__xludf.DUMMYFUNCTION("""COMPUTED_VALUE"""),"")</f>
        <v/>
      </c>
      <c r="T42" s="4" t="str">
        <f>IFERROR(__xludf.DUMMYFUNCTION("""COMPUTED_VALUE"""),"")</f>
        <v/>
      </c>
      <c r="U42" s="4" t="str">
        <f>IFERROR(__xludf.DUMMYFUNCTION("""COMPUTED_VALUE"""),"")</f>
        <v/>
      </c>
      <c r="V42" s="4" t="str">
        <f>IFERROR(__xludf.DUMMYFUNCTION("""COMPUTED_VALUE"""),"")</f>
        <v/>
      </c>
      <c r="W42" s="4" t="str">
        <f>IFERROR(__xludf.DUMMYFUNCTION("""COMPUTED_VALUE"""),"")</f>
        <v/>
      </c>
      <c r="X42" s="4" t="str">
        <f>IFERROR(__xludf.DUMMYFUNCTION("""COMPUTED_VALUE"""),"")</f>
        <v/>
      </c>
      <c r="Y42" s="4" t="str">
        <f>IFERROR(__xludf.DUMMYFUNCTION("""COMPUTED_VALUE"""),"")</f>
        <v/>
      </c>
    </row>
    <row r="43">
      <c r="A43" s="4" t="str">
        <f>IFERROR(__xludf.DUMMYFUNCTION("""COMPUTED_VALUE"""),"233 - Channel")</f>
        <v>233 - Channel</v>
      </c>
      <c r="B43" s="4" t="str">
        <f>IFERROR(__xludf.DUMMYFUNCTION("""COMPUTED_VALUE"""),"Channel 1")</f>
        <v>Channel 1</v>
      </c>
      <c r="C43" s="4" t="str">
        <f>IFERROR(__xludf.DUMMYFUNCTION("""COMPUTED_VALUE"""),"Day 1 - 23/06")</f>
        <v>Day 1 - 23/06</v>
      </c>
      <c r="D43" s="6">
        <f>IFERROR(__xludf.DUMMYFUNCTION("""COMPUTED_VALUE"""),0.48410879629629666)</f>
        <v>0.4841087963</v>
      </c>
      <c r="E43" s="6">
        <f>IFERROR(__xludf.DUMMYFUNCTION("""COMPUTED_VALUE"""),0.010416666666666666)</f>
        <v>0.01041666667</v>
      </c>
      <c r="F43" s="6">
        <f>IFERROR(__xludf.DUMMYFUNCTION("""COMPUTED_VALUE"""),0.49452546296296335)</f>
        <v>0.494525463</v>
      </c>
      <c r="G43" s="4" t="str">
        <f>IFERROR(__xludf.DUMMYFUNCTION("""COMPUTED_VALUE"""),"Kat")</f>
        <v>Kat</v>
      </c>
      <c r="H43" s="4" t="str">
        <f>IFERROR(__xludf.DUMMYFUNCTION("""COMPUTED_VALUE"""),"Eoghan")</f>
        <v>Eoghan</v>
      </c>
      <c r="I43" s="4" t="str">
        <f>IFERROR(__xludf.DUMMYFUNCTION("""COMPUTED_VALUE"""),"Lynn")</f>
        <v>Lynn</v>
      </c>
      <c r="J43" s="4" t="str">
        <f>IFERROR(__xludf.DUMMYFUNCTION("""COMPUTED_VALUE"""),"Remote working")</f>
        <v>Remote working</v>
      </c>
      <c r="K43" s="4" t="str">
        <f>IFERROR(__xludf.DUMMYFUNCTION("""COMPUTED_VALUE"""),"Panel")</f>
        <v>Panel</v>
      </c>
      <c r="L43" s="4" t="str">
        <f>IFERROR(__xludf.DUMMYFUNCTION("""COMPUTED_VALUE"""),"T- 5 - 18/05/2020")</f>
        <v>T- 5 - 18/05/2020</v>
      </c>
      <c r="M43" s="4" t="str">
        <f>IFERROR(__xludf.DUMMYFUNCTION("""COMPUTED_VALUE"""),"Is it possible to unite a remote team?")</f>
        <v>Is it possible to unite a remote team?</v>
      </c>
      <c r="N43" s="4" t="str">
        <f>IFERROR(__xludf.DUMMYFUNCTION("""COMPUTED_VALUE"""),"Susan Bowen, Aptum")</f>
        <v>Susan Bowen, Aptum</v>
      </c>
      <c r="O43" s="4" t="str">
        <f>IFERROR(__xludf.DUMMYFUNCTION("""COMPUTED_VALUE"""),"Michael Litt, Vidyard")</f>
        <v>Michael Litt, Vidyard</v>
      </c>
      <c r="P43" s="4" t="str">
        <f>IFERROR(__xludf.DUMMYFUNCTION("""COMPUTED_VALUE"""),"Janet Bannister, Real Ventures")</f>
        <v>Janet Bannister, Real Ventures</v>
      </c>
      <c r="Q43" s="4" t="str">
        <f>IFERROR(__xludf.DUMMYFUNCTION("""COMPUTED_VALUE"""),"")</f>
        <v/>
      </c>
      <c r="R43" s="4" t="str">
        <f>IFERROR(__xludf.DUMMYFUNCTION("""COMPUTED_VALUE"""),"Rob Pegoraro, USA Today")</f>
        <v>Rob Pegoraro, USA Today</v>
      </c>
      <c r="S43" s="4" t="str">
        <f>IFERROR(__xludf.DUMMYFUNCTION("""COMPUTED_VALUE"""),"The worldwide working from home experiment has revealed the pros and cons of remote work. Cutting on commute times and slashing office space have their upsides, but can teams ever be as strong?")</f>
        <v>The worldwide working from home experiment has revealed the pros and cons of remote work. Cutting on commute times and slashing office space have their upsides, but can teams ever be as strong?</v>
      </c>
      <c r="T43" s="4" t="str">
        <f>IFERROR(__xludf.DUMMYFUNCTION("""COMPUTED_VALUE"""),"NON-KEYNOTE 9 - COMPLETE")</f>
        <v>NON-KEYNOTE 9 - COMPLETE</v>
      </c>
      <c r="U43" s="23">
        <f>IFERROR(__xludf.DUMMYFUNCTION("""COMPUTED_VALUE"""),43971.0)</f>
        <v>43971</v>
      </c>
      <c r="V43" s="24">
        <f>IFERROR(__xludf.DUMMYFUNCTION("""COMPUTED_VALUE"""),0.7708333333333334)</f>
        <v>0.7708333333</v>
      </c>
      <c r="W43" s="4" t="str">
        <f>IFERROR(__xludf.DUMMYFUNCTION("""COMPUTED_VALUE"""),"COMPLETE")</f>
        <v>COMPLETE</v>
      </c>
      <c r="X43" s="4" t="str">
        <f>IFERROR(__xludf.DUMMYFUNCTION("""COMPUTED_VALUE"""),"Kat")</f>
        <v>Kat</v>
      </c>
      <c r="Y43" s="4" t="str">
        <f>IFERROR(__xludf.DUMMYFUNCTION("""COMPUTED_VALUE"""),"")</f>
        <v/>
      </c>
    </row>
    <row r="44">
      <c r="A44" s="4" t="str">
        <f>IFERROR(__xludf.DUMMYFUNCTION("""COMPUTED_VALUE"""),"1362 - Channel")</f>
        <v>1362 - Channel</v>
      </c>
      <c r="B44" s="4" t="str">
        <f>IFERROR(__xludf.DUMMYFUNCTION("""COMPUTED_VALUE"""),"Channel 1")</f>
        <v>Channel 1</v>
      </c>
      <c r="C44" s="4" t="str">
        <f>IFERROR(__xludf.DUMMYFUNCTION("""COMPUTED_VALUE"""),"Day 1 - 23/06")</f>
        <v>Day 1 - 23/06</v>
      </c>
      <c r="D44" s="6">
        <f>IFERROR(__xludf.DUMMYFUNCTION("""COMPUTED_VALUE"""),0.49452546296296335)</f>
        <v>0.494525463</v>
      </c>
      <c r="E44" s="6">
        <f>IFERROR(__xludf.DUMMYFUNCTION("""COMPUTED_VALUE"""),3.4722222222222224E-4)</f>
        <v>0.0003472222222</v>
      </c>
      <c r="F44" s="6">
        <f>IFERROR(__xludf.DUMMYFUNCTION("""COMPUTED_VALUE"""),0.49487268518518557)</f>
        <v>0.4948726852</v>
      </c>
      <c r="G44" s="4" t="str">
        <f>IFERROR(__xludf.DUMMYFUNCTION("""COMPUTED_VALUE"""),"Video")</f>
        <v>Video</v>
      </c>
      <c r="H44" s="4" t="str">
        <f>IFERROR(__xludf.DUMMYFUNCTION("""COMPUTED_VALUE"""),"")</f>
        <v/>
      </c>
      <c r="I44" s="4" t="str">
        <f>IFERROR(__xludf.DUMMYFUNCTION("""COMPUTED_VALUE"""),"")</f>
        <v/>
      </c>
      <c r="J44" s="4" t="str">
        <f>IFERROR(__xludf.DUMMYFUNCTION("""COMPUTED_VALUE"""),"")</f>
        <v/>
      </c>
      <c r="K44" s="4" t="str">
        <f>IFERROR(__xludf.DUMMYFUNCTION("""COMPUTED_VALUE"""),"RISE Trailer")</f>
        <v>RISE Trailer</v>
      </c>
      <c r="L44" s="4" t="str">
        <f>IFERROR(__xludf.DUMMYFUNCTION("""COMPUTED_VALUE"""),"")</f>
        <v/>
      </c>
      <c r="M44" s="4" t="str">
        <f>IFERROR(__xludf.DUMMYFUNCTION("""COMPUTED_VALUE"""),"RISE promo")</f>
        <v>RISE promo</v>
      </c>
      <c r="N44" s="4" t="str">
        <f>IFERROR(__xludf.DUMMYFUNCTION("""COMPUTED_VALUE"""),"Content pending")</f>
        <v>Content pending</v>
      </c>
      <c r="O44" s="4" t="str">
        <f>IFERROR(__xludf.DUMMYFUNCTION("""COMPUTED_VALUE"""),"")</f>
        <v/>
      </c>
      <c r="P44" s="4" t="str">
        <f>IFERROR(__xludf.DUMMYFUNCTION("""COMPUTED_VALUE"""),"")</f>
        <v/>
      </c>
      <c r="Q44" s="4" t="str">
        <f>IFERROR(__xludf.DUMMYFUNCTION("""COMPUTED_VALUE"""),"")</f>
        <v/>
      </c>
      <c r="R44" s="4" t="str">
        <f>IFERROR(__xludf.DUMMYFUNCTION("""COMPUTED_VALUE"""),"")</f>
        <v/>
      </c>
      <c r="S44" s="4" t="str">
        <f>IFERROR(__xludf.DUMMYFUNCTION("""COMPUTED_VALUE"""),"")</f>
        <v/>
      </c>
      <c r="T44" s="4" t="str">
        <f>IFERROR(__xludf.DUMMYFUNCTION("""COMPUTED_VALUE"""),"")</f>
        <v/>
      </c>
      <c r="U44" s="4" t="str">
        <f>IFERROR(__xludf.DUMMYFUNCTION("""COMPUTED_VALUE"""),"")</f>
        <v/>
      </c>
      <c r="V44" s="4" t="str">
        <f>IFERROR(__xludf.DUMMYFUNCTION("""COMPUTED_VALUE"""),"")</f>
        <v/>
      </c>
      <c r="W44" s="4" t="str">
        <f>IFERROR(__xludf.DUMMYFUNCTION("""COMPUTED_VALUE"""),"")</f>
        <v/>
      </c>
      <c r="X44" s="4" t="str">
        <f>IFERROR(__xludf.DUMMYFUNCTION("""COMPUTED_VALUE"""),"")</f>
        <v/>
      </c>
      <c r="Y44" s="4" t="str">
        <f>IFERROR(__xludf.DUMMYFUNCTION("""COMPUTED_VALUE"""),"")</f>
        <v/>
      </c>
    </row>
    <row r="45">
      <c r="A45" s="4" t="str">
        <f>IFERROR(__xludf.DUMMYFUNCTION("""COMPUTED_VALUE"""),"1818 - Channel")</f>
        <v>1818 - Channel</v>
      </c>
      <c r="B45" s="4" t="str">
        <f>IFERROR(__xludf.DUMMYFUNCTION("""COMPUTED_VALUE"""),"Channel 1")</f>
        <v>Channel 1</v>
      </c>
      <c r="C45" s="4" t="str">
        <f>IFERROR(__xludf.DUMMYFUNCTION("""COMPUTED_VALUE"""),"Day 1 - 23/06")</f>
        <v>Day 1 - 23/06</v>
      </c>
      <c r="D45" s="6">
        <f>IFERROR(__xludf.DUMMYFUNCTION("""COMPUTED_VALUE"""),0.49487268518518557)</f>
        <v>0.4948726852</v>
      </c>
      <c r="E45" s="6">
        <f>IFERROR(__xludf.DUMMYFUNCTION("""COMPUTED_VALUE"""),0.005555555555555556)</f>
        <v>0.005555555556</v>
      </c>
      <c r="F45" s="6">
        <f>IFERROR(__xludf.DUMMYFUNCTION("""COMPUTED_VALUE"""),0.5004282407407411)</f>
        <v>0.5004282407</v>
      </c>
      <c r="G45" s="4" t="str">
        <f>IFERROR(__xludf.DUMMYFUNCTION("""COMPUTED_VALUE"""),"")</f>
        <v/>
      </c>
      <c r="H45" s="4" t="str">
        <f>IFERROR(__xludf.DUMMYFUNCTION("""COMPUTED_VALUE"""),"")</f>
        <v/>
      </c>
      <c r="I45" s="4" t="str">
        <f>IFERROR(__xludf.DUMMYFUNCTION("""COMPUTED_VALUE"""),"")</f>
        <v/>
      </c>
      <c r="J45" s="4" t="str">
        <f>IFERROR(__xludf.DUMMYFUNCTION("""COMPUTED_VALUE"""),"")</f>
        <v/>
      </c>
      <c r="K45" s="4" t="str">
        <f>IFERROR(__xludf.DUMMYFUNCTION("""COMPUTED_VALUE"""),"Voxpop")</f>
        <v>Voxpop</v>
      </c>
      <c r="L45" s="4" t="str">
        <f>IFERROR(__xludf.DUMMYFUNCTION("""COMPUTED_VALUE"""),"")</f>
        <v/>
      </c>
      <c r="M45" s="4" t="str">
        <f>IFERROR(__xludf.DUMMYFUNCTION("""COMPUTED_VALUE"""),"")</f>
        <v/>
      </c>
      <c r="N45" s="4" t="str">
        <f>IFERROR(__xludf.DUMMYFUNCTION("""COMPUTED_VALUE"""),"")</f>
        <v/>
      </c>
      <c r="O45" s="4" t="str">
        <f>IFERROR(__xludf.DUMMYFUNCTION("""COMPUTED_VALUE"""),"")</f>
        <v/>
      </c>
      <c r="P45" s="4" t="str">
        <f>IFERROR(__xludf.DUMMYFUNCTION("""COMPUTED_VALUE"""),"")</f>
        <v/>
      </c>
      <c r="Q45" s="4" t="str">
        <f>IFERROR(__xludf.DUMMYFUNCTION("""COMPUTED_VALUE"""),"")</f>
        <v/>
      </c>
      <c r="R45" s="4" t="str">
        <f>IFERROR(__xludf.DUMMYFUNCTION("""COMPUTED_VALUE"""),"")</f>
        <v/>
      </c>
      <c r="S45" s="4" t="str">
        <f>IFERROR(__xludf.DUMMYFUNCTION("""COMPUTED_VALUE"""),"")</f>
        <v/>
      </c>
      <c r="T45" s="4" t="str">
        <f>IFERROR(__xludf.DUMMYFUNCTION("""COMPUTED_VALUE"""),"")</f>
        <v/>
      </c>
      <c r="U45" s="4" t="str">
        <f>IFERROR(__xludf.DUMMYFUNCTION("""COMPUTED_VALUE"""),"")</f>
        <v/>
      </c>
      <c r="V45" s="4" t="str">
        <f>IFERROR(__xludf.DUMMYFUNCTION("""COMPUTED_VALUE"""),"")</f>
        <v/>
      </c>
      <c r="W45" s="4" t="str">
        <f>IFERROR(__xludf.DUMMYFUNCTION("""COMPUTED_VALUE"""),"")</f>
        <v/>
      </c>
      <c r="X45" s="4" t="str">
        <f>IFERROR(__xludf.DUMMYFUNCTION("""COMPUTED_VALUE"""),"")</f>
        <v/>
      </c>
      <c r="Y45" s="4" t="str">
        <f>IFERROR(__xludf.DUMMYFUNCTION("""COMPUTED_VALUE"""),"")</f>
        <v/>
      </c>
    </row>
    <row r="46">
      <c r="A46" s="4" t="str">
        <f>IFERROR(__xludf.DUMMYFUNCTION("""COMPUTED_VALUE"""),"38 - Channel")</f>
        <v>38 - Channel</v>
      </c>
      <c r="B46" s="4" t="str">
        <f>IFERROR(__xludf.DUMMYFUNCTION("""COMPUTED_VALUE"""),"Channel 1")</f>
        <v>Channel 1</v>
      </c>
      <c r="C46" s="4" t="str">
        <f>IFERROR(__xludf.DUMMYFUNCTION("""COMPUTED_VALUE"""),"Day 1 - 23/06")</f>
        <v>Day 1 - 23/06</v>
      </c>
      <c r="D46" s="6">
        <f>IFERROR(__xludf.DUMMYFUNCTION("""COMPUTED_VALUE"""),0.5004282407407411)</f>
        <v>0.5004282407</v>
      </c>
      <c r="E46" s="6">
        <f>IFERROR(__xludf.DUMMYFUNCTION("""COMPUTED_VALUE"""),5.208333333333333E-4)</f>
        <v>0.0005208333333</v>
      </c>
      <c r="F46" s="6">
        <f>IFERROR(__xludf.DUMMYFUNCTION("""COMPUTED_VALUE"""),0.5009490740740744)</f>
        <v>0.5009490741</v>
      </c>
      <c r="G46" s="4" t="str">
        <f>IFERROR(__xludf.DUMMYFUNCTION("""COMPUTED_VALUE"""),"")</f>
        <v/>
      </c>
      <c r="H46" s="4" t="str">
        <f>IFERROR(__xludf.DUMMYFUNCTION("""COMPUTED_VALUE"""),"")</f>
        <v/>
      </c>
      <c r="I46" s="4" t="str">
        <f>IFERROR(__xludf.DUMMYFUNCTION("""COMPUTED_VALUE"""),"")</f>
        <v/>
      </c>
      <c r="J46" s="4" t="str">
        <f>IFERROR(__xludf.DUMMYFUNCTION("""COMPUTED_VALUE"""),"")</f>
        <v/>
      </c>
      <c r="K46" s="4" t="str">
        <f>IFERROR(__xludf.DUMMYFUNCTION("""COMPUTED_VALUE"""),"Web Summit Trailer - full")</f>
        <v>Web Summit Trailer - full</v>
      </c>
      <c r="L46" s="4" t="str">
        <f>IFERROR(__xludf.DUMMYFUNCTION("""COMPUTED_VALUE"""),"")</f>
        <v/>
      </c>
      <c r="M46" s="4" t="str">
        <f>IFERROR(__xludf.DUMMYFUNCTION("""COMPUTED_VALUE"""),"Web Summit promo")</f>
        <v>Web Summit promo</v>
      </c>
      <c r="N46" s="4" t="str">
        <f>IFERROR(__xludf.DUMMYFUNCTION("""COMPUTED_VALUE"""),"Content pending")</f>
        <v>Content pending</v>
      </c>
      <c r="O46" s="4" t="str">
        <f>IFERROR(__xludf.DUMMYFUNCTION("""COMPUTED_VALUE"""),"")</f>
        <v/>
      </c>
      <c r="P46" s="4" t="str">
        <f>IFERROR(__xludf.DUMMYFUNCTION("""COMPUTED_VALUE"""),"")</f>
        <v/>
      </c>
      <c r="Q46" s="4" t="str">
        <f>IFERROR(__xludf.DUMMYFUNCTION("""COMPUTED_VALUE"""),"")</f>
        <v/>
      </c>
      <c r="R46" s="4" t="str">
        <f>IFERROR(__xludf.DUMMYFUNCTION("""COMPUTED_VALUE"""),"")</f>
        <v/>
      </c>
      <c r="S46" s="4" t="str">
        <f>IFERROR(__xludf.DUMMYFUNCTION("""COMPUTED_VALUE"""),"")</f>
        <v/>
      </c>
      <c r="T46" s="4" t="str">
        <f>IFERROR(__xludf.DUMMYFUNCTION("""COMPUTED_VALUE"""),"")</f>
        <v/>
      </c>
      <c r="U46" s="4" t="str">
        <f>IFERROR(__xludf.DUMMYFUNCTION("""COMPUTED_VALUE"""),"")</f>
        <v/>
      </c>
      <c r="V46" s="4" t="str">
        <f>IFERROR(__xludf.DUMMYFUNCTION("""COMPUTED_VALUE"""),"")</f>
        <v/>
      </c>
      <c r="W46" s="4" t="str">
        <f>IFERROR(__xludf.DUMMYFUNCTION("""COMPUTED_VALUE"""),"")</f>
        <v/>
      </c>
      <c r="X46" s="4" t="str">
        <f>IFERROR(__xludf.DUMMYFUNCTION("""COMPUTED_VALUE"""),"")</f>
        <v/>
      </c>
      <c r="Y46" s="4" t="str">
        <f>IFERROR(__xludf.DUMMYFUNCTION("""COMPUTED_VALUE"""),"")</f>
        <v/>
      </c>
    </row>
    <row r="47">
      <c r="A47" s="4" t="str">
        <f>IFERROR(__xludf.DUMMYFUNCTION("""COMPUTED_VALUE"""),"1814 - Channel")</f>
        <v>1814 - Channel</v>
      </c>
      <c r="B47" s="4" t="str">
        <f>IFERROR(__xludf.DUMMYFUNCTION("""COMPUTED_VALUE"""),"Channel 1")</f>
        <v>Channel 1</v>
      </c>
      <c r="C47" s="4" t="str">
        <f>IFERROR(__xludf.DUMMYFUNCTION("""COMPUTED_VALUE"""),"Day 1 - 23/06")</f>
        <v>Day 1 - 23/06</v>
      </c>
      <c r="D47" s="4" t="str">
        <f>IFERROR(__xludf.DUMMYFUNCTION("""COMPUTED_VALUE"""),"")</f>
        <v/>
      </c>
      <c r="E47" s="4" t="str">
        <f>IFERROR(__xludf.DUMMYFUNCTION("""COMPUTED_VALUE"""),"")</f>
        <v/>
      </c>
      <c r="F47" s="4" t="str">
        <f>IFERROR(__xludf.DUMMYFUNCTION("""COMPUTED_VALUE"""),"")</f>
        <v/>
      </c>
      <c r="G47" s="4" t="str">
        <f>IFERROR(__xludf.DUMMYFUNCTION("""COMPUTED_VALUE"""),"")</f>
        <v/>
      </c>
      <c r="H47" s="4" t="str">
        <f>IFERROR(__xludf.DUMMYFUNCTION("""COMPUTED_VALUE"""),"")</f>
        <v/>
      </c>
      <c r="I47" s="4" t="str">
        <f>IFERROR(__xludf.DUMMYFUNCTION("""COMPUTED_VALUE"""),"")</f>
        <v/>
      </c>
      <c r="J47" s="4" t="str">
        <f>IFERROR(__xludf.DUMMYFUNCTION("""COMPUTED_VALUE"""),"")</f>
        <v/>
      </c>
      <c r="K47" s="4" t="str">
        <f>IFERROR(__xludf.DUMMYFUNCTION("""COMPUTED_VALUE"""),"")</f>
        <v/>
      </c>
      <c r="L47" s="4" t="str">
        <f>IFERROR(__xludf.DUMMYFUNCTION("""COMPUTED_VALUE"""),"")</f>
        <v/>
      </c>
      <c r="M47" s="4" t="str">
        <f>IFERROR(__xludf.DUMMYFUNCTION("""COMPUTED_VALUE"""),"")</f>
        <v/>
      </c>
      <c r="N47" s="4" t="str">
        <f>IFERROR(__xludf.DUMMYFUNCTION("""COMPUTED_VALUE"""),"")</f>
        <v/>
      </c>
      <c r="O47" s="4" t="str">
        <f>IFERROR(__xludf.DUMMYFUNCTION("""COMPUTED_VALUE"""),"")</f>
        <v/>
      </c>
      <c r="P47" s="4" t="str">
        <f>IFERROR(__xludf.DUMMYFUNCTION("""COMPUTED_VALUE"""),"")</f>
        <v/>
      </c>
      <c r="Q47" s="4" t="str">
        <f>IFERROR(__xludf.DUMMYFUNCTION("""COMPUTED_VALUE"""),"")</f>
        <v/>
      </c>
      <c r="R47" s="4" t="str">
        <f>IFERROR(__xludf.DUMMYFUNCTION("""COMPUTED_VALUE"""),"")</f>
        <v/>
      </c>
      <c r="S47" s="4" t="str">
        <f>IFERROR(__xludf.DUMMYFUNCTION("""COMPUTED_VALUE"""),"")</f>
        <v/>
      </c>
      <c r="T47" s="4" t="str">
        <f>IFERROR(__xludf.DUMMYFUNCTION("""COMPUTED_VALUE"""),"")</f>
        <v/>
      </c>
      <c r="U47" s="4" t="str">
        <f>IFERROR(__xludf.DUMMYFUNCTION("""COMPUTED_VALUE"""),"")</f>
        <v/>
      </c>
      <c r="V47" s="4" t="str">
        <f>IFERROR(__xludf.DUMMYFUNCTION("""COMPUTED_VALUE"""),"")</f>
        <v/>
      </c>
      <c r="W47" s="4" t="str">
        <f>IFERROR(__xludf.DUMMYFUNCTION("""COMPUTED_VALUE"""),"")</f>
        <v/>
      </c>
      <c r="X47" s="4" t="str">
        <f>IFERROR(__xludf.DUMMYFUNCTION("""COMPUTED_VALUE"""),"")</f>
        <v/>
      </c>
      <c r="Y47" s="4" t="str">
        <f>IFERROR(__xludf.DUMMYFUNCTION("""COMPUTED_VALUE"""),"")</f>
        <v/>
      </c>
    </row>
    <row r="48">
      <c r="A48" s="4" t="str">
        <f>IFERROR(__xludf.DUMMYFUNCTION("""COMPUTED_VALUE"""),"1632 - Channel")</f>
        <v>1632 - Channel</v>
      </c>
      <c r="B48" s="4" t="str">
        <f>IFERROR(__xludf.DUMMYFUNCTION("""COMPUTED_VALUE"""),"Channel 1")</f>
        <v>Channel 1</v>
      </c>
      <c r="C48" s="4" t="str">
        <f>IFERROR(__xludf.DUMMYFUNCTION("""COMPUTED_VALUE"""),"Day 1 - 23/06")</f>
        <v>Day 1 - 23/06</v>
      </c>
      <c r="D48" s="6">
        <f>IFERROR(__xludf.DUMMYFUNCTION("""COMPUTED_VALUE"""),0.5009490740740744)</f>
        <v>0.5009490741</v>
      </c>
      <c r="E48" s="6">
        <f>IFERROR(__xludf.DUMMYFUNCTION("""COMPUTED_VALUE"""),6.944444444444445E-4)</f>
        <v>0.0006944444444</v>
      </c>
      <c r="F48" s="6">
        <f>IFERROR(__xludf.DUMMYFUNCTION("""COMPUTED_VALUE"""),0.5016435185185188)</f>
        <v>0.5016435185</v>
      </c>
      <c r="G48" s="4" t="str">
        <f>IFERROR(__xludf.DUMMYFUNCTION("""COMPUTED_VALUE"""),"")</f>
        <v/>
      </c>
      <c r="H48" s="4" t="str">
        <f>IFERROR(__xludf.DUMMYFUNCTION("""COMPUTED_VALUE"""),"")</f>
        <v/>
      </c>
      <c r="I48" s="4" t="str">
        <f>IFERROR(__xludf.DUMMYFUNCTION("""COMPUTED_VALUE"""),"")</f>
        <v/>
      </c>
      <c r="J48" s="4" t="str">
        <f>IFERROR(__xludf.DUMMYFUNCTION("""COMPUTED_VALUE"""),"")</f>
        <v/>
      </c>
      <c r="K48" s="4" t="str">
        <f>IFERROR(__xludf.DUMMYFUNCTION("""COMPUTED_VALUE"""),"Laundry List/Lookaround")</f>
        <v>Laundry List/Lookaround</v>
      </c>
      <c r="L48" s="4" t="str">
        <f>IFERROR(__xludf.DUMMYFUNCTION("""COMPUTED_VALUE"""),"")</f>
        <v/>
      </c>
      <c r="M48" s="4" t="str">
        <f>IFERROR(__xludf.DUMMYFUNCTION("""COMPUTED_VALUE"""),"Laundry Day1_12pm")</f>
        <v>Laundry Day1_12pm</v>
      </c>
      <c r="N48" s="4" t="str">
        <f>IFERROR(__xludf.DUMMYFUNCTION("""COMPUTED_VALUE"""),"Yvonne Redmond, Web Summit")</f>
        <v>Yvonne Redmond, Web Summit</v>
      </c>
      <c r="O48" s="4" t="str">
        <f>IFERROR(__xludf.DUMMYFUNCTION("""COMPUTED_VALUE"""),"")</f>
        <v/>
      </c>
      <c r="P48" s="4" t="str">
        <f>IFERROR(__xludf.DUMMYFUNCTION("""COMPUTED_VALUE"""),"")</f>
        <v/>
      </c>
      <c r="Q48" s="4" t="str">
        <f>IFERROR(__xludf.DUMMYFUNCTION("""COMPUTED_VALUE"""),"")</f>
        <v/>
      </c>
      <c r="R48" s="4" t="str">
        <f>IFERROR(__xludf.DUMMYFUNCTION("""COMPUTED_VALUE"""),"")</f>
        <v/>
      </c>
      <c r="S48" s="4" t="str">
        <f>IFERROR(__xludf.DUMMYFUNCTION("""COMPUTED_VALUE"""),"")</f>
        <v/>
      </c>
      <c r="T48" s="4" t="str">
        <f>IFERROR(__xludf.DUMMYFUNCTION("""COMPUTED_VALUE"""),"")</f>
        <v/>
      </c>
      <c r="U48" s="4" t="str">
        <f>IFERROR(__xludf.DUMMYFUNCTION("""COMPUTED_VALUE"""),"")</f>
        <v/>
      </c>
      <c r="V48" s="4" t="str">
        <f>IFERROR(__xludf.DUMMYFUNCTION("""COMPUTED_VALUE"""),"")</f>
        <v/>
      </c>
      <c r="W48" s="4" t="str">
        <f>IFERROR(__xludf.DUMMYFUNCTION("""COMPUTED_VALUE"""),"")</f>
        <v/>
      </c>
      <c r="X48" s="4" t="str">
        <f>IFERROR(__xludf.DUMMYFUNCTION("""COMPUTED_VALUE"""),"")</f>
        <v/>
      </c>
      <c r="Y48" s="4" t="str">
        <f>IFERROR(__xludf.DUMMYFUNCTION("""COMPUTED_VALUE"""),"")</f>
        <v/>
      </c>
    </row>
    <row r="49">
      <c r="A49" s="4" t="str">
        <f>IFERROR(__xludf.DUMMYFUNCTION("""COMPUTED_VALUE"""),"1609 - Channel")</f>
        <v>1609 - Channel</v>
      </c>
      <c r="B49" s="4" t="str">
        <f>IFERROR(__xludf.DUMMYFUNCTION("""COMPUTED_VALUE"""),"Channel 1")</f>
        <v>Channel 1</v>
      </c>
      <c r="C49" s="4" t="str">
        <f>IFERROR(__xludf.DUMMYFUNCTION("""COMPUTED_VALUE"""),"Day 1 - 23/06")</f>
        <v>Day 1 - 23/06</v>
      </c>
      <c r="D49" s="6">
        <f>IFERROR(__xludf.DUMMYFUNCTION("""COMPUTED_VALUE"""),0.5016435185185188)</f>
        <v>0.5016435185</v>
      </c>
      <c r="E49" s="6">
        <f>IFERROR(__xludf.DUMMYFUNCTION("""COMPUTED_VALUE"""),0.0010416666666666667)</f>
        <v>0.001041666667</v>
      </c>
      <c r="F49" s="6">
        <f>IFERROR(__xludf.DUMMYFUNCTION("""COMPUTED_VALUE"""),0.5026851851851856)</f>
        <v>0.5026851852</v>
      </c>
      <c r="G49" s="4" t="str">
        <f>IFERROR(__xludf.DUMMYFUNCTION("""COMPUTED_VALUE"""),"Video")</f>
        <v>Video</v>
      </c>
      <c r="H49" s="4" t="str">
        <f>IFERROR(__xludf.DUMMYFUNCTION("""COMPUTED_VALUE"""),"")</f>
        <v/>
      </c>
      <c r="I49" s="4" t="str">
        <f>IFERROR(__xludf.DUMMYFUNCTION("""COMPUTED_VALUE"""),"")</f>
        <v/>
      </c>
      <c r="J49" s="4" t="str">
        <f>IFERROR(__xludf.DUMMYFUNCTION("""COMPUTED_VALUE"""),"")</f>
        <v/>
      </c>
      <c r="K49" s="4" t="str">
        <f>IFERROR(__xludf.DUMMYFUNCTION("""COMPUTED_VALUE"""),"Collision From Home Day Intro")</f>
        <v>Collision From Home Day Intro</v>
      </c>
      <c r="L49" s="4" t="str">
        <f>IFERROR(__xludf.DUMMYFUNCTION("""COMPUTED_VALUE"""),"")</f>
        <v/>
      </c>
      <c r="M49" s="4" t="str">
        <f>IFERROR(__xludf.DUMMYFUNCTION("""COMPUTED_VALUE"""),"CFH Intro Video ")</f>
        <v>CFH Intro Video </v>
      </c>
      <c r="N49" s="4" t="str">
        <f>IFERROR(__xludf.DUMMYFUNCTION("""COMPUTED_VALUE"""),"Content pending")</f>
        <v>Content pending</v>
      </c>
      <c r="O49" s="4" t="str">
        <f>IFERROR(__xludf.DUMMYFUNCTION("""COMPUTED_VALUE"""),"")</f>
        <v/>
      </c>
      <c r="P49" s="4" t="str">
        <f>IFERROR(__xludf.DUMMYFUNCTION("""COMPUTED_VALUE"""),"")</f>
        <v/>
      </c>
      <c r="Q49" s="4" t="str">
        <f>IFERROR(__xludf.DUMMYFUNCTION("""COMPUTED_VALUE"""),"")</f>
        <v/>
      </c>
      <c r="R49" s="4" t="str">
        <f>IFERROR(__xludf.DUMMYFUNCTION("""COMPUTED_VALUE"""),"")</f>
        <v/>
      </c>
      <c r="S49" s="4" t="str">
        <f>IFERROR(__xludf.DUMMYFUNCTION("""COMPUTED_VALUE"""),"")</f>
        <v/>
      </c>
      <c r="T49" s="4" t="str">
        <f>IFERROR(__xludf.DUMMYFUNCTION("""COMPUTED_VALUE"""),"")</f>
        <v/>
      </c>
      <c r="U49" s="4" t="str">
        <f>IFERROR(__xludf.DUMMYFUNCTION("""COMPUTED_VALUE"""),"")</f>
        <v/>
      </c>
      <c r="V49" s="4" t="str">
        <f>IFERROR(__xludf.DUMMYFUNCTION("""COMPUTED_VALUE"""),"")</f>
        <v/>
      </c>
      <c r="W49" s="4" t="str">
        <f>IFERROR(__xludf.DUMMYFUNCTION("""COMPUTED_VALUE"""),"")</f>
        <v/>
      </c>
      <c r="X49" s="4" t="str">
        <f>IFERROR(__xludf.DUMMYFUNCTION("""COMPUTED_VALUE"""),"")</f>
        <v/>
      </c>
      <c r="Y49" s="4" t="str">
        <f>IFERROR(__xludf.DUMMYFUNCTION("""COMPUTED_VALUE"""),"")</f>
        <v/>
      </c>
    </row>
    <row r="50">
      <c r="A50" s="4" t="str">
        <f>IFERROR(__xludf.DUMMYFUNCTION("""COMPUTED_VALUE"""),"39 - Channel")</f>
        <v>39 - Channel</v>
      </c>
      <c r="B50" s="4" t="str">
        <f>IFERROR(__xludf.DUMMYFUNCTION("""COMPUTED_VALUE"""),"Channel 1")</f>
        <v>Channel 1</v>
      </c>
      <c r="C50" s="4" t="str">
        <f>IFERROR(__xludf.DUMMYFUNCTION("""COMPUTED_VALUE"""),"Day 1 - 23/06")</f>
        <v>Day 1 - 23/06</v>
      </c>
      <c r="D50" s="6">
        <f>IFERROR(__xludf.DUMMYFUNCTION("""COMPUTED_VALUE"""),0.5026851851851856)</f>
        <v>0.5026851852</v>
      </c>
      <c r="E50" s="6">
        <f>IFERROR(__xludf.DUMMYFUNCTION("""COMPUTED_VALUE"""),2.314814814814815E-4)</f>
        <v>0.0002314814815</v>
      </c>
      <c r="F50" s="6">
        <f>IFERROR(__xludf.DUMMYFUNCTION("""COMPUTED_VALUE"""),0.502916666666667)</f>
        <v>0.5029166667</v>
      </c>
      <c r="G50" s="4" t="str">
        <f>IFERROR(__xludf.DUMMYFUNCTION("""COMPUTED_VALUE"""),"")</f>
        <v/>
      </c>
      <c r="H50" s="4" t="str">
        <f>IFERROR(__xludf.DUMMYFUNCTION("""COMPUTED_VALUE"""),"")</f>
        <v/>
      </c>
      <c r="I50" s="4" t="str">
        <f>IFERROR(__xludf.DUMMYFUNCTION("""COMPUTED_VALUE"""),"")</f>
        <v/>
      </c>
      <c r="J50" s="4" t="str">
        <f>IFERROR(__xludf.DUMMYFUNCTION("""COMPUTED_VALUE"""),"")</f>
        <v/>
      </c>
      <c r="K50" s="4" t="str">
        <f>IFERROR(__xludf.DUMMYFUNCTION("""COMPUTED_VALUE"""),"Talk Intro")</f>
        <v>Talk Intro</v>
      </c>
      <c r="L50" s="4" t="str">
        <f>IFERROR(__xludf.DUMMYFUNCTION("""COMPUTED_VALUE"""),"")</f>
        <v/>
      </c>
      <c r="M50" s="4" t="str">
        <f>IFERROR(__xludf.DUMMYFUNCTION("""COMPUTED_VALUE"""),"talk intro ")</f>
        <v>talk intro </v>
      </c>
      <c r="N50" s="4" t="str">
        <f>IFERROR(__xludf.DUMMYFUNCTION("""COMPUTED_VALUE"""),"Yvonne Redmond, Web Summit")</f>
        <v>Yvonne Redmond, Web Summit</v>
      </c>
      <c r="O50" s="4" t="str">
        <f>IFERROR(__xludf.DUMMYFUNCTION("""COMPUTED_VALUE"""),"")</f>
        <v/>
      </c>
      <c r="P50" s="4" t="str">
        <f>IFERROR(__xludf.DUMMYFUNCTION("""COMPUTED_VALUE"""),"")</f>
        <v/>
      </c>
      <c r="Q50" s="4" t="str">
        <f>IFERROR(__xludf.DUMMYFUNCTION("""COMPUTED_VALUE"""),"")</f>
        <v/>
      </c>
      <c r="R50" s="4" t="str">
        <f>IFERROR(__xludf.DUMMYFUNCTION("""COMPUTED_VALUE"""),"")</f>
        <v/>
      </c>
      <c r="S50" s="4" t="str">
        <f>IFERROR(__xludf.DUMMYFUNCTION("""COMPUTED_VALUE"""),"")</f>
        <v/>
      </c>
      <c r="T50" s="4" t="str">
        <f>IFERROR(__xludf.DUMMYFUNCTION("""COMPUTED_VALUE"""),"")</f>
        <v/>
      </c>
      <c r="U50" s="4" t="str">
        <f>IFERROR(__xludf.DUMMYFUNCTION("""COMPUTED_VALUE"""),"")</f>
        <v/>
      </c>
      <c r="V50" s="4" t="str">
        <f>IFERROR(__xludf.DUMMYFUNCTION("""COMPUTED_VALUE"""),"")</f>
        <v/>
      </c>
      <c r="W50" s="4" t="str">
        <f>IFERROR(__xludf.DUMMYFUNCTION("""COMPUTED_VALUE"""),"")</f>
        <v/>
      </c>
      <c r="X50" s="4" t="str">
        <f>IFERROR(__xludf.DUMMYFUNCTION("""COMPUTED_VALUE"""),"")</f>
        <v/>
      </c>
      <c r="Y50" s="4" t="str">
        <f>IFERROR(__xludf.DUMMYFUNCTION("""COMPUTED_VALUE"""),"")</f>
        <v/>
      </c>
    </row>
    <row r="51">
      <c r="A51" s="4" t="str">
        <f>IFERROR(__xludf.DUMMYFUNCTION("""COMPUTED_VALUE"""),"40 - Channel")</f>
        <v>40 - Channel</v>
      </c>
      <c r="B51" s="4" t="str">
        <f>IFERROR(__xludf.DUMMYFUNCTION("""COMPUTED_VALUE"""),"Channel 1")</f>
        <v>Channel 1</v>
      </c>
      <c r="C51" s="4" t="str">
        <f>IFERROR(__xludf.DUMMYFUNCTION("""COMPUTED_VALUE"""),"Day 1 - 23/06")</f>
        <v>Day 1 - 23/06</v>
      </c>
      <c r="D51" s="6">
        <f>IFERROR(__xludf.DUMMYFUNCTION("""COMPUTED_VALUE"""),0.502916666666667)</f>
        <v>0.5029166667</v>
      </c>
      <c r="E51" s="6">
        <f>IFERROR(__xludf.DUMMYFUNCTION("""COMPUTED_VALUE"""),0.008333333333333333)</f>
        <v>0.008333333333</v>
      </c>
      <c r="F51" s="6">
        <f>IFERROR(__xludf.DUMMYFUNCTION("""COMPUTED_VALUE"""),0.5112500000000003)</f>
        <v>0.51125</v>
      </c>
      <c r="G51" s="4" t="str">
        <f>IFERROR(__xludf.DUMMYFUNCTION("""COMPUTED_VALUE"""),"Brian")</f>
        <v>Brian</v>
      </c>
      <c r="H51" s="4" t="str">
        <f>IFERROR(__xludf.DUMMYFUNCTION("""COMPUTED_VALUE"""),"Stephen")</f>
        <v>Stephen</v>
      </c>
      <c r="I51" s="4" t="str">
        <f>IFERROR(__xludf.DUMMYFUNCTION("""COMPUTED_VALUE"""),"Hannah")</f>
        <v>Hannah</v>
      </c>
      <c r="J51" s="4" t="str">
        <f>IFERROR(__xludf.DUMMYFUNCTION("""COMPUTED_VALUE"""),"Sales")</f>
        <v>Sales</v>
      </c>
      <c r="K51" s="4" t="str">
        <f>IFERROR(__xludf.DUMMYFUNCTION("""COMPUTED_VALUE"""),"Fireside")</f>
        <v>Fireside</v>
      </c>
      <c r="L51" s="4" t="str">
        <f>IFERROR(__xludf.DUMMYFUNCTION("""COMPUTED_VALUE"""),"T- 3 - 01/06/2020")</f>
        <v>T- 3 - 01/06/2020</v>
      </c>
      <c r="M51" s="4" t="str">
        <f>IFERROR(__xludf.DUMMYFUNCTION("""COMPUTED_VALUE"""),"The ethics of sales during Covid-19")</f>
        <v>The ethics of sales during Covid-19</v>
      </c>
      <c r="N51" s="4" t="str">
        <f>IFERROR(__xludf.DUMMYFUNCTION("""COMPUTED_VALUE"""),"Pete Thompson, eBay")</f>
        <v>Pete Thompson, eBay</v>
      </c>
      <c r="O51" s="4" t="str">
        <f>IFERROR(__xludf.DUMMYFUNCTION("""COMPUTED_VALUE"""),"")</f>
        <v/>
      </c>
      <c r="P51" s="4" t="str">
        <f>IFERROR(__xludf.DUMMYFUNCTION("""COMPUTED_VALUE"""),"")</f>
        <v/>
      </c>
      <c r="Q51" s="4" t="str">
        <f>IFERROR(__xludf.DUMMYFUNCTION("""COMPUTED_VALUE"""),"")</f>
        <v/>
      </c>
      <c r="R51" s="4" t="str">
        <f>IFERROR(__xludf.DUMMYFUNCTION("""COMPUTED_VALUE"""),"Don Clark, The New York Times")</f>
        <v>Don Clark, The New York Times</v>
      </c>
      <c r="S51" s="4" t="str">
        <f>IFERROR(__xludf.DUMMYFUNCTION("""COMPUTED_VALUE"""),"There's nothing quite like a global emergency to throw the ethics of sales into disarray. The chief product officer of one of the biggest ecommerce platforms on the planet talks mark ups, morality and the bottom line.")</f>
        <v>There's nothing quite like a global emergency to throw the ethics of sales into disarray. The chief product officer of one of the biggest ecommerce platforms on the planet talks mark ups, morality and the bottom line.</v>
      </c>
      <c r="T51" s="4" t="str">
        <f>IFERROR(__xludf.DUMMYFUNCTION("""COMPUTED_VALUE"""),"NON-KEYNOTE 9 - COMPLETE")</f>
        <v>NON-KEYNOTE 9 - COMPLETE</v>
      </c>
      <c r="U51" s="23">
        <f>IFERROR(__xludf.DUMMYFUNCTION("""COMPUTED_VALUE"""),43983.0)</f>
        <v>43983</v>
      </c>
      <c r="V51" s="24">
        <f>IFERROR(__xludf.DUMMYFUNCTION("""COMPUTED_VALUE"""),0.875)</f>
        <v>0.875</v>
      </c>
      <c r="W51" s="4" t="str">
        <f>IFERROR(__xludf.DUMMYFUNCTION("""COMPUTED_VALUE"""),"COMPLETE")</f>
        <v>COMPLETE</v>
      </c>
      <c r="X51" s="4" t="str">
        <f>IFERROR(__xludf.DUMMYFUNCTION("""COMPUTED_VALUE"""),"")</f>
        <v/>
      </c>
      <c r="Y51" s="4" t="str">
        <f>IFERROR(__xludf.DUMMYFUNCTION("""COMPUTED_VALUE"""),"")</f>
        <v/>
      </c>
    </row>
    <row r="52">
      <c r="A52" s="4" t="str">
        <f>IFERROR(__xludf.DUMMYFUNCTION("""COMPUTED_VALUE"""),"1630 - Channel")</f>
        <v>1630 - Channel</v>
      </c>
      <c r="B52" s="4" t="str">
        <f>IFERROR(__xludf.DUMMYFUNCTION("""COMPUTED_VALUE"""),"Channel 1")</f>
        <v>Channel 1</v>
      </c>
      <c r="C52" s="4" t="str">
        <f>IFERROR(__xludf.DUMMYFUNCTION("""COMPUTED_VALUE"""),"Day 1 - 23/06")</f>
        <v>Day 1 - 23/06</v>
      </c>
      <c r="D52" s="6">
        <f>IFERROR(__xludf.DUMMYFUNCTION("""COMPUTED_VALUE"""),0.5112500000000003)</f>
        <v>0.51125</v>
      </c>
      <c r="E52" s="6">
        <f>IFERROR(__xludf.DUMMYFUNCTION("""COMPUTED_VALUE"""),0.0012152777777777778)</f>
        <v>0.001215277778</v>
      </c>
      <c r="F52" s="6">
        <f>IFERROR(__xludf.DUMMYFUNCTION("""COMPUTED_VALUE"""),0.5124652777777781)</f>
        <v>0.5124652778</v>
      </c>
      <c r="G52" s="4" t="str">
        <f>IFERROR(__xludf.DUMMYFUNCTION("""COMPUTED_VALUE"""),"")</f>
        <v/>
      </c>
      <c r="H52" s="4" t="str">
        <f>IFERROR(__xludf.DUMMYFUNCTION("""COMPUTED_VALUE"""),"")</f>
        <v/>
      </c>
      <c r="I52" s="4" t="str">
        <f>IFERROR(__xludf.DUMMYFUNCTION("""COMPUTED_VALUE"""),"")</f>
        <v/>
      </c>
      <c r="J52" s="4" t="str">
        <f>IFERROR(__xludf.DUMMYFUNCTION("""COMPUTED_VALUE"""),"")</f>
        <v/>
      </c>
      <c r="K52" s="4" t="str">
        <f>IFERROR(__xludf.DUMMYFUNCTION("""COMPUTED_VALUE"""),"Web Summit Trailer - full")</f>
        <v>Web Summit Trailer - full</v>
      </c>
      <c r="L52" s="4" t="str">
        <f>IFERROR(__xludf.DUMMYFUNCTION("""COMPUTED_VALUE"""),"")</f>
        <v/>
      </c>
      <c r="M52" s="4" t="str">
        <f>IFERROR(__xludf.DUMMYFUNCTION("""COMPUTED_VALUE"""),"Web Summit promo")</f>
        <v>Web Summit promo</v>
      </c>
      <c r="N52" s="4" t="str">
        <f>IFERROR(__xludf.DUMMYFUNCTION("""COMPUTED_VALUE"""),"Content pending")</f>
        <v>Content pending</v>
      </c>
      <c r="O52" s="4" t="str">
        <f>IFERROR(__xludf.DUMMYFUNCTION("""COMPUTED_VALUE"""),"")</f>
        <v/>
      </c>
      <c r="P52" s="4" t="str">
        <f>IFERROR(__xludf.DUMMYFUNCTION("""COMPUTED_VALUE"""),"")</f>
        <v/>
      </c>
      <c r="Q52" s="4" t="str">
        <f>IFERROR(__xludf.DUMMYFUNCTION("""COMPUTED_VALUE"""),"")</f>
        <v/>
      </c>
      <c r="R52" s="4" t="str">
        <f>IFERROR(__xludf.DUMMYFUNCTION("""COMPUTED_VALUE"""),"")</f>
        <v/>
      </c>
      <c r="S52" s="4" t="str">
        <f>IFERROR(__xludf.DUMMYFUNCTION("""COMPUTED_VALUE"""),"")</f>
        <v/>
      </c>
      <c r="T52" s="4" t="str">
        <f>IFERROR(__xludf.DUMMYFUNCTION("""COMPUTED_VALUE"""),"")</f>
        <v/>
      </c>
      <c r="U52" s="4" t="str">
        <f>IFERROR(__xludf.DUMMYFUNCTION("""COMPUTED_VALUE"""),"")</f>
        <v/>
      </c>
      <c r="V52" s="4" t="str">
        <f>IFERROR(__xludf.DUMMYFUNCTION("""COMPUTED_VALUE"""),"")</f>
        <v/>
      </c>
      <c r="W52" s="4" t="str">
        <f>IFERROR(__xludf.DUMMYFUNCTION("""COMPUTED_VALUE"""),"")</f>
        <v/>
      </c>
      <c r="X52" s="4" t="str">
        <f>IFERROR(__xludf.DUMMYFUNCTION("""COMPUTED_VALUE"""),"")</f>
        <v/>
      </c>
      <c r="Y52" s="4" t="str">
        <f>IFERROR(__xludf.DUMMYFUNCTION("""COMPUTED_VALUE"""),"")</f>
        <v/>
      </c>
    </row>
    <row r="53">
      <c r="A53" s="4" t="str">
        <f>IFERROR(__xludf.DUMMYFUNCTION("""COMPUTED_VALUE"""),"42 - Channel")</f>
        <v>42 - Channel</v>
      </c>
      <c r="B53" s="4" t="str">
        <f>IFERROR(__xludf.DUMMYFUNCTION("""COMPUTED_VALUE"""),"Channel 1")</f>
        <v>Channel 1</v>
      </c>
      <c r="C53" s="4" t="str">
        <f>IFERROR(__xludf.DUMMYFUNCTION("""COMPUTED_VALUE"""),"Day 1 - 23/06")</f>
        <v>Day 1 - 23/06</v>
      </c>
      <c r="D53" s="6">
        <f>IFERROR(__xludf.DUMMYFUNCTION("""COMPUTED_VALUE"""),0.5124652777777781)</f>
        <v>0.5124652778</v>
      </c>
      <c r="E53" s="6">
        <f>IFERROR(__xludf.DUMMYFUNCTION("""COMPUTED_VALUE"""),2.314814814814815E-4)</f>
        <v>0.0002314814815</v>
      </c>
      <c r="F53" s="6">
        <f>IFERROR(__xludf.DUMMYFUNCTION("""COMPUTED_VALUE"""),0.5126967592592595)</f>
        <v>0.5126967593</v>
      </c>
      <c r="G53" s="4" t="str">
        <f>IFERROR(__xludf.DUMMYFUNCTION("""COMPUTED_VALUE"""),"")</f>
        <v/>
      </c>
      <c r="H53" s="4" t="str">
        <f>IFERROR(__xludf.DUMMYFUNCTION("""COMPUTED_VALUE"""),"")</f>
        <v/>
      </c>
      <c r="I53" s="4" t="str">
        <f>IFERROR(__xludf.DUMMYFUNCTION("""COMPUTED_VALUE"""),"")</f>
        <v/>
      </c>
      <c r="J53" s="4" t="str">
        <f>IFERROR(__xludf.DUMMYFUNCTION("""COMPUTED_VALUE"""),"")</f>
        <v/>
      </c>
      <c r="K53" s="4" t="str">
        <f>IFERROR(__xludf.DUMMYFUNCTION("""COMPUTED_VALUE"""),"Talk Intro")</f>
        <v>Talk Intro</v>
      </c>
      <c r="L53" s="4" t="str">
        <f>IFERROR(__xludf.DUMMYFUNCTION("""COMPUTED_VALUE"""),"")</f>
        <v/>
      </c>
      <c r="M53" s="4" t="str">
        <f>IFERROR(__xludf.DUMMYFUNCTION("""COMPUTED_VALUE"""),"Teaser: Facebook CRO _Intro")</f>
        <v>Teaser: Facebook CRO _Intro</v>
      </c>
      <c r="N53" s="4" t="str">
        <f>IFERROR(__xludf.DUMMYFUNCTION("""COMPUTED_VALUE"""),"Yvonne Redmond, Web Summit")</f>
        <v>Yvonne Redmond, Web Summit</v>
      </c>
      <c r="O53" s="4" t="str">
        <f>IFERROR(__xludf.DUMMYFUNCTION("""COMPUTED_VALUE"""),"")</f>
        <v/>
      </c>
      <c r="P53" s="4" t="str">
        <f>IFERROR(__xludf.DUMMYFUNCTION("""COMPUTED_VALUE"""),"")</f>
        <v/>
      </c>
      <c r="Q53" s="4" t="str">
        <f>IFERROR(__xludf.DUMMYFUNCTION("""COMPUTED_VALUE"""),"")</f>
        <v/>
      </c>
      <c r="R53" s="4" t="str">
        <f>IFERROR(__xludf.DUMMYFUNCTION("""COMPUTED_VALUE"""),"")</f>
        <v/>
      </c>
      <c r="S53" s="4" t="str">
        <f>IFERROR(__xludf.DUMMYFUNCTION("""COMPUTED_VALUE"""),"")</f>
        <v/>
      </c>
      <c r="T53" s="4" t="str">
        <f>IFERROR(__xludf.DUMMYFUNCTION("""COMPUTED_VALUE"""),"")</f>
        <v/>
      </c>
      <c r="U53" s="4" t="str">
        <f>IFERROR(__xludf.DUMMYFUNCTION("""COMPUTED_VALUE"""),"")</f>
        <v/>
      </c>
      <c r="V53" s="4" t="str">
        <f>IFERROR(__xludf.DUMMYFUNCTION("""COMPUTED_VALUE"""),"")</f>
        <v/>
      </c>
      <c r="W53" s="4" t="str">
        <f>IFERROR(__xludf.DUMMYFUNCTION("""COMPUTED_VALUE"""),"")</f>
        <v/>
      </c>
      <c r="X53" s="4" t="str">
        <f>IFERROR(__xludf.DUMMYFUNCTION("""COMPUTED_VALUE"""),"")</f>
        <v/>
      </c>
      <c r="Y53" s="4" t="str">
        <f>IFERROR(__xludf.DUMMYFUNCTION("""COMPUTED_VALUE"""),"")</f>
        <v/>
      </c>
    </row>
    <row r="54">
      <c r="A54" s="4" t="str">
        <f>IFERROR(__xludf.DUMMYFUNCTION("""COMPUTED_VALUE"""),"43 - Channel")</f>
        <v>43 - Channel</v>
      </c>
      <c r="B54" s="4" t="str">
        <f>IFERROR(__xludf.DUMMYFUNCTION("""COMPUTED_VALUE"""),"Channel 1")</f>
        <v>Channel 1</v>
      </c>
      <c r="C54" s="4" t="str">
        <f>IFERROR(__xludf.DUMMYFUNCTION("""COMPUTED_VALUE"""),"Day 1 - 23/06")</f>
        <v>Day 1 - 23/06</v>
      </c>
      <c r="D54" s="6">
        <f>IFERROR(__xludf.DUMMYFUNCTION("""COMPUTED_VALUE"""),0.5126967592592595)</f>
        <v>0.5126967593</v>
      </c>
      <c r="E54" s="6">
        <f>IFERROR(__xludf.DUMMYFUNCTION("""COMPUTED_VALUE"""),0.0020833333333333333)</f>
        <v>0.002083333333</v>
      </c>
      <c r="F54" s="6">
        <f>IFERROR(__xludf.DUMMYFUNCTION("""COMPUTED_VALUE"""),0.5147800925925928)</f>
        <v>0.5147800926</v>
      </c>
      <c r="G54" s="4" t="str">
        <f>IFERROR(__xludf.DUMMYFUNCTION("""COMPUTED_VALUE"""),"")</f>
        <v/>
      </c>
      <c r="H54" s="4" t="str">
        <f>IFERROR(__xludf.DUMMYFUNCTION("""COMPUTED_VALUE"""),"Stephen")</f>
        <v>Stephen</v>
      </c>
      <c r="I54" s="4" t="str">
        <f>IFERROR(__xludf.DUMMYFUNCTION("""COMPUTED_VALUE"""),"Manon")</f>
        <v>Manon</v>
      </c>
      <c r="J54" s="4" t="str">
        <f>IFERROR(__xludf.DUMMYFUNCTION("""COMPUTED_VALUE"""),"Sales")</f>
        <v>Sales</v>
      </c>
      <c r="K54" s="4" t="str">
        <f>IFERROR(__xludf.DUMMYFUNCTION("""COMPUTED_VALUE"""),"Teaser")</f>
        <v>Teaser</v>
      </c>
      <c r="L54" s="4" t="str">
        <f>IFERROR(__xludf.DUMMYFUNCTION("""COMPUTED_VALUE"""),"")</f>
        <v/>
      </c>
      <c r="M54" s="4" t="str">
        <f>IFERROR(__xludf.DUMMYFUNCTION("""COMPUTED_VALUE"""),"Teaser: Facebook CRO ")</f>
        <v>Teaser: Facebook CRO </v>
      </c>
      <c r="N54" s="4" t="str">
        <f>IFERROR(__xludf.DUMMYFUNCTION("""COMPUTED_VALUE"""),"")</f>
        <v/>
      </c>
      <c r="O54" s="4" t="str">
        <f>IFERROR(__xludf.DUMMYFUNCTION("""COMPUTED_VALUE"""),"")</f>
        <v/>
      </c>
      <c r="P54" s="4" t="str">
        <f>IFERROR(__xludf.DUMMYFUNCTION("""COMPUTED_VALUE"""),"")</f>
        <v/>
      </c>
      <c r="Q54" s="4" t="str">
        <f>IFERROR(__xludf.DUMMYFUNCTION("""COMPUTED_VALUE"""),"")</f>
        <v/>
      </c>
      <c r="R54" s="4" t="str">
        <f>IFERROR(__xludf.DUMMYFUNCTION("""COMPUTED_VALUE"""),"")</f>
        <v/>
      </c>
      <c r="S54" s="4" t="str">
        <f>IFERROR(__xludf.DUMMYFUNCTION("""COMPUTED_VALUE"""),"Enjoy five minutes of Facebook chief revenue officer David Fischer's talk, 'Where Facebook is putting its money'. Catch the full talk on Channel 2.")</f>
        <v>Enjoy five minutes of Facebook chief revenue officer David Fischer's talk, 'Where Facebook is putting its money'. Catch the full talk on Channel 2.</v>
      </c>
      <c r="T54" s="4" t="str">
        <f>IFERROR(__xludf.DUMMYFUNCTION("""COMPUTED_VALUE"""),"N/A")</f>
        <v>N/A</v>
      </c>
      <c r="U54" s="4" t="str">
        <f>IFERROR(__xludf.DUMMYFUNCTION("""COMPUTED_VALUE"""),"")</f>
        <v/>
      </c>
      <c r="V54" s="4" t="str">
        <f>IFERROR(__xludf.DUMMYFUNCTION("""COMPUTED_VALUE"""),"")</f>
        <v/>
      </c>
      <c r="W54" s="4" t="str">
        <f>IFERROR(__xludf.DUMMYFUNCTION("""COMPUTED_VALUE"""),"")</f>
        <v/>
      </c>
      <c r="X54" s="4" t="str">
        <f>IFERROR(__xludf.DUMMYFUNCTION("""COMPUTED_VALUE"""),"")</f>
        <v/>
      </c>
      <c r="Y54" s="4" t="str">
        <f>IFERROR(__xludf.DUMMYFUNCTION("""COMPUTED_VALUE"""),"")</f>
        <v/>
      </c>
    </row>
    <row r="55">
      <c r="A55" s="4" t="str">
        <f>IFERROR(__xludf.DUMMYFUNCTION("""COMPUTED_VALUE"""),"2239 - Channel")</f>
        <v>2239 - Channel</v>
      </c>
      <c r="B55" s="4" t="str">
        <f>IFERROR(__xludf.DUMMYFUNCTION("""COMPUTED_VALUE"""),"Channel 1")</f>
        <v>Channel 1</v>
      </c>
      <c r="C55" s="4" t="str">
        <f>IFERROR(__xludf.DUMMYFUNCTION("""COMPUTED_VALUE"""),"Day 1 - 23/06")</f>
        <v>Day 1 - 23/06</v>
      </c>
      <c r="D55" s="6">
        <f>IFERROR(__xludf.DUMMYFUNCTION("""COMPUTED_VALUE"""),0.5147800925925928)</f>
        <v>0.5147800926</v>
      </c>
      <c r="E55" s="6">
        <f>IFERROR(__xludf.DUMMYFUNCTION("""COMPUTED_VALUE"""),2.314814814814815E-4)</f>
        <v>0.0002314814815</v>
      </c>
      <c r="F55" s="6">
        <f>IFERROR(__xludf.DUMMYFUNCTION("""COMPUTED_VALUE"""),0.5150115740740743)</f>
        <v>0.5150115741</v>
      </c>
      <c r="G55" s="4" t="str">
        <f>IFERROR(__xludf.DUMMYFUNCTION("""COMPUTED_VALUE"""),"")</f>
        <v/>
      </c>
      <c r="H55" s="4" t="str">
        <f>IFERROR(__xludf.DUMMYFUNCTION("""COMPUTED_VALUE"""),"")</f>
        <v/>
      </c>
      <c r="I55" s="4" t="str">
        <f>IFERROR(__xludf.DUMMYFUNCTION("""COMPUTED_VALUE"""),"")</f>
        <v/>
      </c>
      <c r="J55" s="4" t="str">
        <f>IFERROR(__xludf.DUMMYFUNCTION("""COMPUTED_VALUE"""),"")</f>
        <v/>
      </c>
      <c r="K55" s="4" t="str">
        <f>IFERROR(__xludf.DUMMYFUNCTION("""COMPUTED_VALUE"""),"Talk Outro")</f>
        <v>Talk Outro</v>
      </c>
      <c r="L55" s="4" t="str">
        <f>IFERROR(__xludf.DUMMYFUNCTION("""COMPUTED_VALUE"""),"")</f>
        <v/>
      </c>
      <c r="M55" s="4" t="str">
        <f>IFERROR(__xludf.DUMMYFUNCTION("""COMPUTED_VALUE"""),"Call to action")</f>
        <v>Call to action</v>
      </c>
      <c r="N55" s="4" t="str">
        <f>IFERROR(__xludf.DUMMYFUNCTION("""COMPUTED_VALUE"""),"Yvonne Redmond, Web Summit")</f>
        <v>Yvonne Redmond, Web Summit</v>
      </c>
      <c r="O55" s="4" t="str">
        <f>IFERROR(__xludf.DUMMYFUNCTION("""COMPUTED_VALUE"""),"")</f>
        <v/>
      </c>
      <c r="P55" s="4" t="str">
        <f>IFERROR(__xludf.DUMMYFUNCTION("""COMPUTED_VALUE"""),"")</f>
        <v/>
      </c>
      <c r="Q55" s="4" t="str">
        <f>IFERROR(__xludf.DUMMYFUNCTION("""COMPUTED_VALUE"""),"")</f>
        <v/>
      </c>
      <c r="R55" s="4" t="str">
        <f>IFERROR(__xludf.DUMMYFUNCTION("""COMPUTED_VALUE"""),"")</f>
        <v/>
      </c>
      <c r="S55" s="4" t="str">
        <f>IFERROR(__xludf.DUMMYFUNCTION("""COMPUTED_VALUE"""),"")</f>
        <v/>
      </c>
      <c r="T55" s="4" t="str">
        <f>IFERROR(__xludf.DUMMYFUNCTION("""COMPUTED_VALUE"""),"")</f>
        <v/>
      </c>
      <c r="U55" s="4" t="str">
        <f>IFERROR(__xludf.DUMMYFUNCTION("""COMPUTED_VALUE"""),"")</f>
        <v/>
      </c>
      <c r="V55" s="4" t="str">
        <f>IFERROR(__xludf.DUMMYFUNCTION("""COMPUTED_VALUE"""),"")</f>
        <v/>
      </c>
      <c r="W55" s="4" t="str">
        <f>IFERROR(__xludf.DUMMYFUNCTION("""COMPUTED_VALUE"""),"")</f>
        <v/>
      </c>
      <c r="X55" s="4" t="str">
        <f>IFERROR(__xludf.DUMMYFUNCTION("""COMPUTED_VALUE"""),"")</f>
        <v/>
      </c>
      <c r="Y55" s="4" t="str">
        <f>IFERROR(__xludf.DUMMYFUNCTION("""COMPUTED_VALUE"""),"")</f>
        <v/>
      </c>
    </row>
    <row r="56">
      <c r="A56" s="4" t="str">
        <f>IFERROR(__xludf.DUMMYFUNCTION("""COMPUTED_VALUE"""),"1610 - Channel")</f>
        <v>1610 - Channel</v>
      </c>
      <c r="B56" s="4" t="str">
        <f>IFERROR(__xludf.DUMMYFUNCTION("""COMPUTED_VALUE"""),"Channel 1")</f>
        <v>Channel 1</v>
      </c>
      <c r="C56" s="4" t="str">
        <f>IFERROR(__xludf.DUMMYFUNCTION("""COMPUTED_VALUE"""),"Day 1 - 23/06")</f>
        <v>Day 1 - 23/06</v>
      </c>
      <c r="D56" s="6">
        <f>IFERROR(__xludf.DUMMYFUNCTION("""COMPUTED_VALUE"""),0.5147800925925928)</f>
        <v>0.5147800926</v>
      </c>
      <c r="E56" s="6">
        <f>IFERROR(__xludf.DUMMYFUNCTION("""COMPUTED_VALUE"""),5.208333333333333E-4)</f>
        <v>0.0005208333333</v>
      </c>
      <c r="F56" s="6">
        <f>IFERROR(__xludf.DUMMYFUNCTION("""COMPUTED_VALUE"""),0.5153009259259261)</f>
        <v>0.5153009259</v>
      </c>
      <c r="G56" s="4" t="str">
        <f>IFERROR(__xludf.DUMMYFUNCTION("""COMPUTED_VALUE"""),"")</f>
        <v/>
      </c>
      <c r="H56" s="4" t="str">
        <f>IFERROR(__xludf.DUMMYFUNCTION("""COMPUTED_VALUE"""),"")</f>
        <v/>
      </c>
      <c r="I56" s="4" t="str">
        <f>IFERROR(__xludf.DUMMYFUNCTION("""COMPUTED_VALUE"""),"")</f>
        <v/>
      </c>
      <c r="J56" s="4" t="str">
        <f>IFERROR(__xludf.DUMMYFUNCTION("""COMPUTED_VALUE"""),"")</f>
        <v/>
      </c>
      <c r="K56" s="4" t="str">
        <f>IFERROR(__xludf.DUMMYFUNCTION("""COMPUTED_VALUE"""),"Web Summit Trailer - short")</f>
        <v>Web Summit Trailer - short</v>
      </c>
      <c r="L56" s="4" t="str">
        <f>IFERROR(__xludf.DUMMYFUNCTION("""COMPUTED_VALUE"""),"")</f>
        <v/>
      </c>
      <c r="M56" s="4" t="str">
        <f>IFERROR(__xludf.DUMMYFUNCTION("""COMPUTED_VALUE"""),"Web Summit promo")</f>
        <v>Web Summit promo</v>
      </c>
      <c r="N56" s="4" t="str">
        <f>IFERROR(__xludf.DUMMYFUNCTION("""COMPUTED_VALUE"""),"Content pending")</f>
        <v>Content pending</v>
      </c>
      <c r="O56" s="4" t="str">
        <f>IFERROR(__xludf.DUMMYFUNCTION("""COMPUTED_VALUE"""),"")</f>
        <v/>
      </c>
      <c r="P56" s="4" t="str">
        <f>IFERROR(__xludf.DUMMYFUNCTION("""COMPUTED_VALUE"""),"")</f>
        <v/>
      </c>
      <c r="Q56" s="4" t="str">
        <f>IFERROR(__xludf.DUMMYFUNCTION("""COMPUTED_VALUE"""),"")</f>
        <v/>
      </c>
      <c r="R56" s="4" t="str">
        <f>IFERROR(__xludf.DUMMYFUNCTION("""COMPUTED_VALUE"""),"")</f>
        <v/>
      </c>
      <c r="S56" s="4" t="str">
        <f>IFERROR(__xludf.DUMMYFUNCTION("""COMPUTED_VALUE"""),"")</f>
        <v/>
      </c>
      <c r="T56" s="4" t="str">
        <f>IFERROR(__xludf.DUMMYFUNCTION("""COMPUTED_VALUE"""),"")</f>
        <v/>
      </c>
      <c r="U56" s="4" t="str">
        <f>IFERROR(__xludf.DUMMYFUNCTION("""COMPUTED_VALUE"""),"")</f>
        <v/>
      </c>
      <c r="V56" s="4" t="str">
        <f>IFERROR(__xludf.DUMMYFUNCTION("""COMPUTED_VALUE"""),"")</f>
        <v/>
      </c>
      <c r="W56" s="4" t="str">
        <f>IFERROR(__xludf.DUMMYFUNCTION("""COMPUTED_VALUE"""),"")</f>
        <v/>
      </c>
      <c r="X56" s="4" t="str">
        <f>IFERROR(__xludf.DUMMYFUNCTION("""COMPUTED_VALUE"""),"")</f>
        <v/>
      </c>
      <c r="Y56" s="4" t="str">
        <f>IFERROR(__xludf.DUMMYFUNCTION("""COMPUTED_VALUE"""),"")</f>
        <v/>
      </c>
    </row>
    <row r="57">
      <c r="A57" s="4" t="str">
        <f>IFERROR(__xludf.DUMMYFUNCTION("""COMPUTED_VALUE"""),"1608 - Channel")</f>
        <v>1608 - Channel</v>
      </c>
      <c r="B57" s="4" t="str">
        <f>IFERROR(__xludf.DUMMYFUNCTION("""COMPUTED_VALUE"""),"Channel 1")</f>
        <v>Channel 1</v>
      </c>
      <c r="C57" s="4" t="str">
        <f>IFERROR(__xludf.DUMMYFUNCTION("""COMPUTED_VALUE"""),"Day 1 - 23/06")</f>
        <v>Day 1 - 23/06</v>
      </c>
      <c r="D57" s="6">
        <f>IFERROR(__xludf.DUMMYFUNCTION("""COMPUTED_VALUE"""),0.5153009259259261)</f>
        <v>0.5153009259</v>
      </c>
      <c r="E57" s="6">
        <f>IFERROR(__xludf.DUMMYFUNCTION("""COMPUTED_VALUE"""),3.4722222222222224E-4)</f>
        <v>0.0003472222222</v>
      </c>
      <c r="F57" s="6">
        <f>IFERROR(__xludf.DUMMYFUNCTION("""COMPUTED_VALUE"""),0.5156481481481484)</f>
        <v>0.5156481481</v>
      </c>
      <c r="G57" s="4" t="str">
        <f>IFERROR(__xludf.DUMMYFUNCTION("""COMPUTED_VALUE"""),"Video")</f>
        <v>Video</v>
      </c>
      <c r="H57" s="4" t="str">
        <f>IFERROR(__xludf.DUMMYFUNCTION("""COMPUTED_VALUE"""),"")</f>
        <v/>
      </c>
      <c r="I57" s="4" t="str">
        <f>IFERROR(__xludf.DUMMYFUNCTION("""COMPUTED_VALUE"""),"")</f>
        <v/>
      </c>
      <c r="J57" s="4" t="str">
        <f>IFERROR(__xludf.DUMMYFUNCTION("""COMPUTED_VALUE"""),"")</f>
        <v/>
      </c>
      <c r="K57" s="4" t="str">
        <f>IFERROR(__xludf.DUMMYFUNCTION("""COMPUTED_VALUE"""),"RISE Trailer")</f>
        <v>RISE Trailer</v>
      </c>
      <c r="L57" s="4" t="str">
        <f>IFERROR(__xludf.DUMMYFUNCTION("""COMPUTED_VALUE"""),"")</f>
        <v/>
      </c>
      <c r="M57" s="4" t="str">
        <f>IFERROR(__xludf.DUMMYFUNCTION("""COMPUTED_VALUE"""),"RISE promo")</f>
        <v>RISE promo</v>
      </c>
      <c r="N57" s="4" t="str">
        <f>IFERROR(__xludf.DUMMYFUNCTION("""COMPUTED_VALUE"""),"Content pending")</f>
        <v>Content pending</v>
      </c>
      <c r="O57" s="4" t="str">
        <f>IFERROR(__xludf.DUMMYFUNCTION("""COMPUTED_VALUE"""),"")</f>
        <v/>
      </c>
      <c r="P57" s="4" t="str">
        <f>IFERROR(__xludf.DUMMYFUNCTION("""COMPUTED_VALUE"""),"")</f>
        <v/>
      </c>
      <c r="Q57" s="4" t="str">
        <f>IFERROR(__xludf.DUMMYFUNCTION("""COMPUTED_VALUE"""),"")</f>
        <v/>
      </c>
      <c r="R57" s="4" t="str">
        <f>IFERROR(__xludf.DUMMYFUNCTION("""COMPUTED_VALUE"""),"")</f>
        <v/>
      </c>
      <c r="S57" s="4" t="str">
        <f>IFERROR(__xludf.DUMMYFUNCTION("""COMPUTED_VALUE"""),"")</f>
        <v/>
      </c>
      <c r="T57" s="4" t="str">
        <f>IFERROR(__xludf.DUMMYFUNCTION("""COMPUTED_VALUE"""),"")</f>
        <v/>
      </c>
      <c r="U57" s="4" t="str">
        <f>IFERROR(__xludf.DUMMYFUNCTION("""COMPUTED_VALUE"""),"")</f>
        <v/>
      </c>
      <c r="V57" s="4" t="str">
        <f>IFERROR(__xludf.DUMMYFUNCTION("""COMPUTED_VALUE"""),"")</f>
        <v/>
      </c>
      <c r="W57" s="4" t="str">
        <f>IFERROR(__xludf.DUMMYFUNCTION("""COMPUTED_VALUE"""),"")</f>
        <v/>
      </c>
      <c r="X57" s="4" t="str">
        <f>IFERROR(__xludf.DUMMYFUNCTION("""COMPUTED_VALUE"""),"")</f>
        <v/>
      </c>
      <c r="Y57" s="4" t="str">
        <f>IFERROR(__xludf.DUMMYFUNCTION("""COMPUTED_VALUE"""),"")</f>
        <v/>
      </c>
    </row>
    <row r="58">
      <c r="A58" s="4" t="str">
        <f>IFERROR(__xludf.DUMMYFUNCTION("""COMPUTED_VALUE"""),"1425 - Channel")</f>
        <v>1425 - Channel</v>
      </c>
      <c r="B58" s="4" t="str">
        <f>IFERROR(__xludf.DUMMYFUNCTION("""COMPUTED_VALUE"""),"Channel 1")</f>
        <v>Channel 1</v>
      </c>
      <c r="C58" s="4" t="str">
        <f>IFERROR(__xludf.DUMMYFUNCTION("""COMPUTED_VALUE"""),"Day 1 - 23/06")</f>
        <v>Day 1 - 23/06</v>
      </c>
      <c r="D58" s="6">
        <f>IFERROR(__xludf.DUMMYFUNCTION("""COMPUTED_VALUE"""),0.5156481481481484)</f>
        <v>0.5156481481</v>
      </c>
      <c r="E58" s="6">
        <f>IFERROR(__xludf.DUMMYFUNCTION("""COMPUTED_VALUE"""),2.314814814814815E-4)</f>
        <v>0.0002314814815</v>
      </c>
      <c r="F58" s="6">
        <f>IFERROR(__xludf.DUMMYFUNCTION("""COMPUTED_VALUE"""),0.5158796296296299)</f>
        <v>0.5158796296</v>
      </c>
      <c r="G58" s="4" t="str">
        <f>IFERROR(__xludf.DUMMYFUNCTION("""COMPUTED_VALUE"""),"")</f>
        <v/>
      </c>
      <c r="H58" s="4" t="str">
        <f>IFERROR(__xludf.DUMMYFUNCTION("""COMPUTED_VALUE"""),"")</f>
        <v/>
      </c>
      <c r="I58" s="4" t="str">
        <f>IFERROR(__xludf.DUMMYFUNCTION("""COMPUTED_VALUE"""),"")</f>
        <v/>
      </c>
      <c r="J58" s="4" t="str">
        <f>IFERROR(__xludf.DUMMYFUNCTION("""COMPUTED_VALUE"""),"")</f>
        <v/>
      </c>
      <c r="K58" s="4" t="str">
        <f>IFERROR(__xludf.DUMMYFUNCTION("""COMPUTED_VALUE"""),"Talk Intro")</f>
        <v>Talk Intro</v>
      </c>
      <c r="L58" s="4" t="str">
        <f>IFERROR(__xludf.DUMMYFUNCTION("""COMPUTED_VALUE"""),"")</f>
        <v/>
      </c>
      <c r="M58" s="4" t="str">
        <f>IFERROR(__xludf.DUMMYFUNCTION("""COMPUTED_VALUE"""),"Talk intro ")</f>
        <v>Talk intro </v>
      </c>
      <c r="N58" s="4" t="str">
        <f>IFERROR(__xludf.DUMMYFUNCTION("""COMPUTED_VALUE"""),"Paddy Cosgrave, Web Summit")</f>
        <v>Paddy Cosgrave, Web Summit</v>
      </c>
      <c r="O58" s="4" t="str">
        <f>IFERROR(__xludf.DUMMYFUNCTION("""COMPUTED_VALUE"""),"Yvonne Redmond, Web Summit")</f>
        <v>Yvonne Redmond, Web Summit</v>
      </c>
      <c r="P58" s="4" t="str">
        <f>IFERROR(__xludf.DUMMYFUNCTION("""COMPUTED_VALUE"""),"")</f>
        <v/>
      </c>
      <c r="Q58" s="4" t="str">
        <f>IFERROR(__xludf.DUMMYFUNCTION("""COMPUTED_VALUE"""),"")</f>
        <v/>
      </c>
      <c r="R58" s="4" t="str">
        <f>IFERROR(__xludf.DUMMYFUNCTION("""COMPUTED_VALUE"""),"")</f>
        <v/>
      </c>
      <c r="S58" s="4" t="str">
        <f>IFERROR(__xludf.DUMMYFUNCTION("""COMPUTED_VALUE"""),"")</f>
        <v/>
      </c>
      <c r="T58" s="4" t="str">
        <f>IFERROR(__xludf.DUMMYFUNCTION("""COMPUTED_VALUE"""),"")</f>
        <v/>
      </c>
      <c r="U58" s="4" t="str">
        <f>IFERROR(__xludf.DUMMYFUNCTION("""COMPUTED_VALUE"""),"")</f>
        <v/>
      </c>
      <c r="V58" s="4" t="str">
        <f>IFERROR(__xludf.DUMMYFUNCTION("""COMPUTED_VALUE"""),"")</f>
        <v/>
      </c>
      <c r="W58" s="4" t="str">
        <f>IFERROR(__xludf.DUMMYFUNCTION("""COMPUTED_VALUE"""),"")</f>
        <v/>
      </c>
      <c r="X58" s="4" t="str">
        <f>IFERROR(__xludf.DUMMYFUNCTION("""COMPUTED_VALUE"""),"")</f>
        <v/>
      </c>
      <c r="Y58" s="4" t="str">
        <f>IFERROR(__xludf.DUMMYFUNCTION("""COMPUTED_VALUE"""),"")</f>
        <v/>
      </c>
    </row>
    <row r="59">
      <c r="A59" s="4" t="str">
        <f>IFERROR(__xludf.DUMMYFUNCTION("""COMPUTED_VALUE"""),"31 - Channel")</f>
        <v>31 - Channel</v>
      </c>
      <c r="B59" s="4" t="str">
        <f>IFERROR(__xludf.DUMMYFUNCTION("""COMPUTED_VALUE"""),"Channel 1")</f>
        <v>Channel 1</v>
      </c>
      <c r="C59" s="4" t="str">
        <f>IFERROR(__xludf.DUMMYFUNCTION("""COMPUTED_VALUE"""),"Day 1 - 23/06")</f>
        <v>Day 1 - 23/06</v>
      </c>
      <c r="D59" s="6">
        <f>IFERROR(__xludf.DUMMYFUNCTION("""COMPUTED_VALUE"""),0.5158796296296299)</f>
        <v>0.5158796296</v>
      </c>
      <c r="E59" s="6">
        <f>IFERROR(__xludf.DUMMYFUNCTION("""COMPUTED_VALUE"""),0.013888888888888888)</f>
        <v>0.01388888889</v>
      </c>
      <c r="F59" s="6">
        <f>IFERROR(__xludf.DUMMYFUNCTION("""COMPUTED_VALUE"""),0.5297685185185187)</f>
        <v>0.5297685185</v>
      </c>
      <c r="G59" s="4" t="str">
        <f>IFERROR(__xludf.DUMMYFUNCTION("""COMPUTED_VALUE"""),"Brian")</f>
        <v>Brian</v>
      </c>
      <c r="H59" s="4" t="str">
        <f>IFERROR(__xludf.DUMMYFUNCTION("""COMPUTED_VALUE"""),"Stephen")</f>
        <v>Stephen</v>
      </c>
      <c r="I59" s="4" t="str">
        <f>IFERROR(__xludf.DUMMYFUNCTION("""COMPUTED_VALUE"""),"Hannah")</f>
        <v>Hannah</v>
      </c>
      <c r="J59" s="4" t="str">
        <f>IFERROR(__xludf.DUMMYFUNCTION("""COMPUTED_VALUE"""),"")</f>
        <v/>
      </c>
      <c r="K59" s="4" t="str">
        <f>IFERROR(__xludf.DUMMYFUNCTION("""COMPUTED_VALUE"""),"Fireside")</f>
        <v>Fireside</v>
      </c>
      <c r="L59" s="4" t="str">
        <f>IFERROR(__xludf.DUMMYFUNCTION("""COMPUTED_VALUE"""),"T- 3 - 01/06/2020")</f>
        <v>T- 3 - 01/06/2020</v>
      </c>
      <c r="M59" s="4" t="str">
        <f>IFERROR(__xludf.DUMMYFUNCTION("""COMPUTED_VALUE"""),"Travel in a time of no travel")</f>
        <v>Travel in a time of no travel</v>
      </c>
      <c r="N59" s="4" t="str">
        <f>IFERROR(__xludf.DUMMYFUNCTION("""COMPUTED_VALUE"""),"Gillian Tans, Booking.com")</f>
        <v>Gillian Tans, Booking.com</v>
      </c>
      <c r="O59" s="4" t="str">
        <f>IFERROR(__xludf.DUMMYFUNCTION("""COMPUTED_VALUE"""),"")</f>
        <v/>
      </c>
      <c r="P59" s="4" t="str">
        <f>IFERROR(__xludf.DUMMYFUNCTION("""COMPUTED_VALUE"""),"")</f>
        <v/>
      </c>
      <c r="Q59" s="4" t="str">
        <f>IFERROR(__xludf.DUMMYFUNCTION("""COMPUTED_VALUE"""),"")</f>
        <v/>
      </c>
      <c r="R59" s="4" t="str">
        <f>IFERROR(__xludf.DUMMYFUNCTION("""COMPUTED_VALUE"""),"Alyssa Newcomb, NBC News")</f>
        <v>Alyssa Newcomb, NBC News</v>
      </c>
      <c r="S59" s="4" t="str">
        <f>IFERROR(__xludf.DUMMYFUNCTION("""COMPUTED_VALUE"""),"Few industries have been harder hit by the current pandemic than travel. Here, the CEO of one of the world's leading travel platforms talks about a way back from the steep decline that marked the start of the global travel year.")</f>
        <v>Few industries have been harder hit by the current pandemic than travel. Here, the CEO of one of the world's leading travel platforms talks about a way back from the steep decline that marked the start of the global travel year.</v>
      </c>
      <c r="T59" s="4" t="str">
        <f>IFERROR(__xludf.DUMMYFUNCTION("""COMPUTED_VALUE"""),"NON-KEYNOTE 9 - COMPLETE")</f>
        <v>NON-KEYNOTE 9 - COMPLETE</v>
      </c>
      <c r="U59" s="23">
        <f>IFERROR(__xludf.DUMMYFUNCTION("""COMPUTED_VALUE"""),43985.0)</f>
        <v>43985</v>
      </c>
      <c r="V59" s="24">
        <f>IFERROR(__xludf.DUMMYFUNCTION("""COMPUTED_VALUE"""),0.5833333333333334)</f>
        <v>0.5833333333</v>
      </c>
      <c r="W59" s="4" t="str">
        <f>IFERROR(__xludf.DUMMYFUNCTION("""COMPUTED_VALUE"""),"COMPLETE")</f>
        <v>COMPLETE</v>
      </c>
      <c r="X59" s="4" t="str">
        <f>IFERROR(__xludf.DUMMYFUNCTION("""COMPUTED_VALUE"""),"")</f>
        <v/>
      </c>
      <c r="Y59" s="4" t="str">
        <f>IFERROR(__xludf.DUMMYFUNCTION("""COMPUTED_VALUE"""),"")</f>
        <v/>
      </c>
    </row>
    <row r="60">
      <c r="A60" s="4" t="str">
        <f>IFERROR(__xludf.DUMMYFUNCTION("""COMPUTED_VALUE"""),"50 - Channel")</f>
        <v>50 - Channel</v>
      </c>
      <c r="B60" s="4" t="str">
        <f>IFERROR(__xludf.DUMMYFUNCTION("""COMPUTED_VALUE"""),"Channel 1")</f>
        <v>Channel 1</v>
      </c>
      <c r="C60" s="4" t="str">
        <f>IFERROR(__xludf.DUMMYFUNCTION("""COMPUTED_VALUE"""),"Day 1 - 23/06")</f>
        <v>Day 1 - 23/06</v>
      </c>
      <c r="D60" s="6">
        <f>IFERROR(__xludf.DUMMYFUNCTION("""COMPUTED_VALUE"""),0.5297685185185187)</f>
        <v>0.5297685185</v>
      </c>
      <c r="E60" s="6">
        <f>IFERROR(__xludf.DUMMYFUNCTION("""COMPUTED_VALUE"""),2.314814814814815E-4)</f>
        <v>0.0002314814815</v>
      </c>
      <c r="F60" s="6">
        <f>IFERROR(__xludf.DUMMYFUNCTION("""COMPUTED_VALUE"""),0.5300000000000001)</f>
        <v>0.53</v>
      </c>
      <c r="G60" s="4" t="str">
        <f>IFERROR(__xludf.DUMMYFUNCTION("""COMPUTED_VALUE"""),"")</f>
        <v/>
      </c>
      <c r="H60" s="4" t="str">
        <f>IFERROR(__xludf.DUMMYFUNCTION("""COMPUTED_VALUE"""),"")</f>
        <v/>
      </c>
      <c r="I60" s="4" t="str">
        <f>IFERROR(__xludf.DUMMYFUNCTION("""COMPUTED_VALUE"""),"")</f>
        <v/>
      </c>
      <c r="J60" s="4" t="str">
        <f>IFERROR(__xludf.DUMMYFUNCTION("""COMPUTED_VALUE"""),"")</f>
        <v/>
      </c>
      <c r="K60" s="4" t="str">
        <f>IFERROR(__xludf.DUMMYFUNCTION("""COMPUTED_VALUE"""),"Talk Intro")</f>
        <v>Talk Intro</v>
      </c>
      <c r="L60" s="4" t="str">
        <f>IFERROR(__xludf.DUMMYFUNCTION("""COMPUTED_VALUE"""),"")</f>
        <v/>
      </c>
      <c r="M60" s="4" t="str">
        <f>IFERROR(__xludf.DUMMYFUNCTION("""COMPUTED_VALUE"""),"Teaser: Huda Beauty_Intro")</f>
        <v>Teaser: Huda Beauty_Intro</v>
      </c>
      <c r="N60" s="4" t="str">
        <f>IFERROR(__xludf.DUMMYFUNCTION("""COMPUTED_VALUE"""),"Yvonne Redmond, Web Summit")</f>
        <v>Yvonne Redmond, Web Summit</v>
      </c>
      <c r="O60" s="4" t="str">
        <f>IFERROR(__xludf.DUMMYFUNCTION("""COMPUTED_VALUE"""),"")</f>
        <v/>
      </c>
      <c r="P60" s="4" t="str">
        <f>IFERROR(__xludf.DUMMYFUNCTION("""COMPUTED_VALUE"""),"")</f>
        <v/>
      </c>
      <c r="Q60" s="4" t="str">
        <f>IFERROR(__xludf.DUMMYFUNCTION("""COMPUTED_VALUE"""),"")</f>
        <v/>
      </c>
      <c r="R60" s="4" t="str">
        <f>IFERROR(__xludf.DUMMYFUNCTION("""COMPUTED_VALUE"""),"")</f>
        <v/>
      </c>
      <c r="S60" s="4" t="str">
        <f>IFERROR(__xludf.DUMMYFUNCTION("""COMPUTED_VALUE"""),"")</f>
        <v/>
      </c>
      <c r="T60" s="4" t="str">
        <f>IFERROR(__xludf.DUMMYFUNCTION("""COMPUTED_VALUE"""),"")</f>
        <v/>
      </c>
      <c r="U60" s="4" t="str">
        <f>IFERROR(__xludf.DUMMYFUNCTION("""COMPUTED_VALUE"""),"")</f>
        <v/>
      </c>
      <c r="V60" s="4" t="str">
        <f>IFERROR(__xludf.DUMMYFUNCTION("""COMPUTED_VALUE"""),"")</f>
        <v/>
      </c>
      <c r="W60" s="4" t="str">
        <f>IFERROR(__xludf.DUMMYFUNCTION("""COMPUTED_VALUE"""),"")</f>
        <v/>
      </c>
      <c r="X60" s="4" t="str">
        <f>IFERROR(__xludf.DUMMYFUNCTION("""COMPUTED_VALUE"""),"")</f>
        <v/>
      </c>
      <c r="Y60" s="4" t="str">
        <f>IFERROR(__xludf.DUMMYFUNCTION("""COMPUTED_VALUE"""),"")</f>
        <v/>
      </c>
    </row>
    <row r="61">
      <c r="A61" s="4" t="str">
        <f>IFERROR(__xludf.DUMMYFUNCTION("""COMPUTED_VALUE"""),"51 - Channel")</f>
        <v>51 - Channel</v>
      </c>
      <c r="B61" s="4" t="str">
        <f>IFERROR(__xludf.DUMMYFUNCTION("""COMPUTED_VALUE"""),"Channel 1")</f>
        <v>Channel 1</v>
      </c>
      <c r="C61" s="4" t="str">
        <f>IFERROR(__xludf.DUMMYFUNCTION("""COMPUTED_VALUE"""),"Day 1 - 23/06")</f>
        <v>Day 1 - 23/06</v>
      </c>
      <c r="D61" s="6">
        <f>IFERROR(__xludf.DUMMYFUNCTION("""COMPUTED_VALUE"""),0.5300000000000001)</f>
        <v>0.53</v>
      </c>
      <c r="E61" s="6">
        <f>IFERROR(__xludf.DUMMYFUNCTION("""COMPUTED_VALUE"""),0.0020833333333333333)</f>
        <v>0.002083333333</v>
      </c>
      <c r="F61" s="6">
        <f>IFERROR(__xludf.DUMMYFUNCTION("""COMPUTED_VALUE"""),0.5320833333333335)</f>
        <v>0.5320833333</v>
      </c>
      <c r="G61" s="4" t="str">
        <f>IFERROR(__xludf.DUMMYFUNCTION("""COMPUTED_VALUE"""),"")</f>
        <v/>
      </c>
      <c r="H61" s="4" t="str">
        <f>IFERROR(__xludf.DUMMYFUNCTION("""COMPUTED_VALUE"""),"")</f>
        <v/>
      </c>
      <c r="I61" s="4" t="str">
        <f>IFERROR(__xludf.DUMMYFUNCTION("""COMPUTED_VALUE"""),"")</f>
        <v/>
      </c>
      <c r="J61" s="4" t="str">
        <f>IFERROR(__xludf.DUMMYFUNCTION("""COMPUTED_VALUE"""),"")</f>
        <v/>
      </c>
      <c r="K61" s="4" t="str">
        <f>IFERROR(__xludf.DUMMYFUNCTION("""COMPUTED_VALUE"""),"Teaser")</f>
        <v>Teaser</v>
      </c>
      <c r="L61" s="4" t="str">
        <f>IFERROR(__xludf.DUMMYFUNCTION("""COMPUTED_VALUE"""),"")</f>
        <v/>
      </c>
      <c r="M61" s="4" t="str">
        <f>IFERROR(__xludf.DUMMYFUNCTION("""COMPUTED_VALUE"""),"Teaser: Huda Beauty")</f>
        <v>Teaser: Huda Beauty</v>
      </c>
      <c r="N61" s="4" t="str">
        <f>IFERROR(__xludf.DUMMYFUNCTION("""COMPUTED_VALUE"""),"")</f>
        <v/>
      </c>
      <c r="O61" s="4" t="str">
        <f>IFERROR(__xludf.DUMMYFUNCTION("""COMPUTED_VALUE"""),"")</f>
        <v/>
      </c>
      <c r="P61" s="4" t="str">
        <f>IFERROR(__xludf.DUMMYFUNCTION("""COMPUTED_VALUE"""),"")</f>
        <v/>
      </c>
      <c r="Q61" s="4" t="str">
        <f>IFERROR(__xludf.DUMMYFUNCTION("""COMPUTED_VALUE"""),"")</f>
        <v/>
      </c>
      <c r="R61" s="4" t="str">
        <f>IFERROR(__xludf.DUMMYFUNCTION("""COMPUTED_VALUE"""),"")</f>
        <v/>
      </c>
      <c r="S61" s="4" t="str">
        <f>IFERROR(__xludf.DUMMYFUNCTION("""COMPUTED_VALUE"""),"")</f>
        <v/>
      </c>
      <c r="T61" s="4" t="str">
        <f>IFERROR(__xludf.DUMMYFUNCTION("""COMPUTED_VALUE"""),"")</f>
        <v/>
      </c>
      <c r="U61" s="4" t="str">
        <f>IFERROR(__xludf.DUMMYFUNCTION("""COMPUTED_VALUE"""),"")</f>
        <v/>
      </c>
      <c r="V61" s="4" t="str">
        <f>IFERROR(__xludf.DUMMYFUNCTION("""COMPUTED_VALUE"""),"")</f>
        <v/>
      </c>
      <c r="W61" s="4" t="str">
        <f>IFERROR(__xludf.DUMMYFUNCTION("""COMPUTED_VALUE"""),"")</f>
        <v/>
      </c>
      <c r="X61" s="4" t="str">
        <f>IFERROR(__xludf.DUMMYFUNCTION("""COMPUTED_VALUE"""),"")</f>
        <v/>
      </c>
      <c r="Y61" s="4" t="str">
        <f>IFERROR(__xludf.DUMMYFUNCTION("""COMPUTED_VALUE"""),"")</f>
        <v/>
      </c>
    </row>
    <row r="62">
      <c r="A62" s="4" t="str">
        <f>IFERROR(__xludf.DUMMYFUNCTION("""COMPUTED_VALUE"""),"2240 - Channel")</f>
        <v>2240 - Channel</v>
      </c>
      <c r="B62" s="4" t="str">
        <f>IFERROR(__xludf.DUMMYFUNCTION("""COMPUTED_VALUE"""),"Channel 1")</f>
        <v>Channel 1</v>
      </c>
      <c r="C62" s="4" t="str">
        <f>IFERROR(__xludf.DUMMYFUNCTION("""COMPUTED_VALUE"""),"Day 1 - 23/06")</f>
        <v>Day 1 - 23/06</v>
      </c>
      <c r="D62" s="6">
        <f>IFERROR(__xludf.DUMMYFUNCTION("""COMPUTED_VALUE"""),0.5320833333333335)</f>
        <v>0.5320833333</v>
      </c>
      <c r="E62" s="6">
        <f>IFERROR(__xludf.DUMMYFUNCTION("""COMPUTED_VALUE"""),2.314814814814815E-4)</f>
        <v>0.0002314814815</v>
      </c>
      <c r="F62" s="6">
        <f>IFERROR(__xludf.DUMMYFUNCTION("""COMPUTED_VALUE"""),0.5323148148148149)</f>
        <v>0.5323148148</v>
      </c>
      <c r="G62" s="4" t="str">
        <f>IFERROR(__xludf.DUMMYFUNCTION("""COMPUTED_VALUE"""),"")</f>
        <v/>
      </c>
      <c r="H62" s="4" t="str">
        <f>IFERROR(__xludf.DUMMYFUNCTION("""COMPUTED_VALUE"""),"")</f>
        <v/>
      </c>
      <c r="I62" s="4" t="str">
        <f>IFERROR(__xludf.DUMMYFUNCTION("""COMPUTED_VALUE"""),"")</f>
        <v/>
      </c>
      <c r="J62" s="4" t="str">
        <f>IFERROR(__xludf.DUMMYFUNCTION("""COMPUTED_VALUE"""),"")</f>
        <v/>
      </c>
      <c r="K62" s="4" t="str">
        <f>IFERROR(__xludf.DUMMYFUNCTION("""COMPUTED_VALUE"""),"Talk Outro")</f>
        <v>Talk Outro</v>
      </c>
      <c r="L62" s="4" t="str">
        <f>IFERROR(__xludf.DUMMYFUNCTION("""COMPUTED_VALUE"""),"")</f>
        <v/>
      </c>
      <c r="M62" s="4" t="str">
        <f>IFERROR(__xludf.DUMMYFUNCTION("""COMPUTED_VALUE"""),"Call to action")</f>
        <v>Call to action</v>
      </c>
      <c r="N62" s="4" t="str">
        <f>IFERROR(__xludf.DUMMYFUNCTION("""COMPUTED_VALUE"""),"Yvonne Redmond, Web Summit")</f>
        <v>Yvonne Redmond, Web Summit</v>
      </c>
      <c r="O62" s="4" t="str">
        <f>IFERROR(__xludf.DUMMYFUNCTION("""COMPUTED_VALUE"""),"")</f>
        <v/>
      </c>
      <c r="P62" s="4" t="str">
        <f>IFERROR(__xludf.DUMMYFUNCTION("""COMPUTED_VALUE"""),"")</f>
        <v/>
      </c>
      <c r="Q62" s="4" t="str">
        <f>IFERROR(__xludf.DUMMYFUNCTION("""COMPUTED_VALUE"""),"")</f>
        <v/>
      </c>
      <c r="R62" s="4" t="str">
        <f>IFERROR(__xludf.DUMMYFUNCTION("""COMPUTED_VALUE"""),"")</f>
        <v/>
      </c>
      <c r="S62" s="4" t="str">
        <f>IFERROR(__xludf.DUMMYFUNCTION("""COMPUTED_VALUE"""),"")</f>
        <v/>
      </c>
      <c r="T62" s="4" t="str">
        <f>IFERROR(__xludf.DUMMYFUNCTION("""COMPUTED_VALUE"""),"")</f>
        <v/>
      </c>
      <c r="U62" s="4" t="str">
        <f>IFERROR(__xludf.DUMMYFUNCTION("""COMPUTED_VALUE"""),"")</f>
        <v/>
      </c>
      <c r="V62" s="4" t="str">
        <f>IFERROR(__xludf.DUMMYFUNCTION("""COMPUTED_VALUE"""),"")</f>
        <v/>
      </c>
      <c r="W62" s="4" t="str">
        <f>IFERROR(__xludf.DUMMYFUNCTION("""COMPUTED_VALUE"""),"")</f>
        <v/>
      </c>
      <c r="X62" s="4" t="str">
        <f>IFERROR(__xludf.DUMMYFUNCTION("""COMPUTED_VALUE"""),"")</f>
        <v/>
      </c>
      <c r="Y62" s="4" t="str">
        <f>IFERROR(__xludf.DUMMYFUNCTION("""COMPUTED_VALUE"""),"")</f>
        <v/>
      </c>
    </row>
    <row r="63">
      <c r="A63" s="4" t="str">
        <f>IFERROR(__xludf.DUMMYFUNCTION("""COMPUTED_VALUE"""),"52 - Channel")</f>
        <v>52 - Channel</v>
      </c>
      <c r="B63" s="4" t="str">
        <f>IFERROR(__xludf.DUMMYFUNCTION("""COMPUTED_VALUE"""),"Channel 1")</f>
        <v>Channel 1</v>
      </c>
      <c r="C63" s="4" t="str">
        <f>IFERROR(__xludf.DUMMYFUNCTION("""COMPUTED_VALUE"""),"Day 1 - 23/06")</f>
        <v>Day 1 - 23/06</v>
      </c>
      <c r="D63" s="6">
        <f>IFERROR(__xludf.DUMMYFUNCTION("""COMPUTED_VALUE"""),0.5323148148148149)</f>
        <v>0.5323148148</v>
      </c>
      <c r="E63" s="6">
        <f>IFERROR(__xludf.DUMMYFUNCTION("""COMPUTED_VALUE"""),3.4722222222222224E-4)</f>
        <v>0.0003472222222</v>
      </c>
      <c r="F63" s="6">
        <f>IFERROR(__xludf.DUMMYFUNCTION("""COMPUTED_VALUE"""),0.5326620370370372)</f>
        <v>0.532662037</v>
      </c>
      <c r="G63" s="4" t="str">
        <f>IFERROR(__xludf.DUMMYFUNCTION("""COMPUTED_VALUE"""),"")</f>
        <v/>
      </c>
      <c r="H63" s="4" t="str">
        <f>IFERROR(__xludf.DUMMYFUNCTION("""COMPUTED_VALUE"""),"")</f>
        <v/>
      </c>
      <c r="I63" s="4" t="str">
        <f>IFERROR(__xludf.DUMMYFUNCTION("""COMPUTED_VALUE"""),"")</f>
        <v/>
      </c>
      <c r="J63" s="4" t="str">
        <f>IFERROR(__xludf.DUMMYFUNCTION("""COMPUTED_VALUE"""),"")</f>
        <v/>
      </c>
      <c r="K63" s="4" t="str">
        <f>IFERROR(__xludf.DUMMYFUNCTION("""COMPUTED_VALUE"""),"RISE Trailer")</f>
        <v>RISE Trailer</v>
      </c>
      <c r="L63" s="4" t="str">
        <f>IFERROR(__xludf.DUMMYFUNCTION("""COMPUTED_VALUE"""),"")</f>
        <v/>
      </c>
      <c r="M63" s="4" t="str">
        <f>IFERROR(__xludf.DUMMYFUNCTION("""COMPUTED_VALUE"""),"RISE promo")</f>
        <v>RISE promo</v>
      </c>
      <c r="N63" s="4" t="str">
        <f>IFERROR(__xludf.DUMMYFUNCTION("""COMPUTED_VALUE"""),"")</f>
        <v/>
      </c>
      <c r="O63" s="4" t="str">
        <f>IFERROR(__xludf.DUMMYFUNCTION("""COMPUTED_VALUE"""),"")</f>
        <v/>
      </c>
      <c r="P63" s="4" t="str">
        <f>IFERROR(__xludf.DUMMYFUNCTION("""COMPUTED_VALUE"""),"")</f>
        <v/>
      </c>
      <c r="Q63" s="4" t="str">
        <f>IFERROR(__xludf.DUMMYFUNCTION("""COMPUTED_VALUE"""),"")</f>
        <v/>
      </c>
      <c r="R63" s="4" t="str">
        <f>IFERROR(__xludf.DUMMYFUNCTION("""COMPUTED_VALUE"""),"")</f>
        <v/>
      </c>
      <c r="S63" s="4" t="str">
        <f>IFERROR(__xludf.DUMMYFUNCTION("""COMPUTED_VALUE"""),"")</f>
        <v/>
      </c>
      <c r="T63" s="4" t="str">
        <f>IFERROR(__xludf.DUMMYFUNCTION("""COMPUTED_VALUE"""),"")</f>
        <v/>
      </c>
      <c r="U63" s="4" t="str">
        <f>IFERROR(__xludf.DUMMYFUNCTION("""COMPUTED_VALUE"""),"")</f>
        <v/>
      </c>
      <c r="V63" s="4" t="str">
        <f>IFERROR(__xludf.DUMMYFUNCTION("""COMPUTED_VALUE"""),"")</f>
        <v/>
      </c>
      <c r="W63" s="4" t="str">
        <f>IFERROR(__xludf.DUMMYFUNCTION("""COMPUTED_VALUE"""),"")</f>
        <v/>
      </c>
      <c r="X63" s="4" t="str">
        <f>IFERROR(__xludf.DUMMYFUNCTION("""COMPUTED_VALUE"""),"")</f>
        <v/>
      </c>
      <c r="Y63" s="4" t="str">
        <f>IFERROR(__xludf.DUMMYFUNCTION("""COMPUTED_VALUE"""),"")</f>
        <v/>
      </c>
    </row>
    <row r="64">
      <c r="A64" s="4" t="str">
        <f>IFERROR(__xludf.DUMMYFUNCTION("""COMPUTED_VALUE"""),"197 - Channel")</f>
        <v>197 - Channel</v>
      </c>
      <c r="B64" s="4" t="str">
        <f>IFERROR(__xludf.DUMMYFUNCTION("""COMPUTED_VALUE"""),"Channel 1")</f>
        <v>Channel 1</v>
      </c>
      <c r="C64" s="4" t="str">
        <f>IFERROR(__xludf.DUMMYFUNCTION("""COMPUTED_VALUE"""),"Day 1 - 23/06")</f>
        <v>Day 1 - 23/06</v>
      </c>
      <c r="D64" s="6">
        <f>IFERROR(__xludf.DUMMYFUNCTION("""COMPUTED_VALUE"""),0.5326620370370372)</f>
        <v>0.532662037</v>
      </c>
      <c r="E64" s="6">
        <f>IFERROR(__xludf.DUMMYFUNCTION("""COMPUTED_VALUE"""),2.314814814814815E-4)</f>
        <v>0.0002314814815</v>
      </c>
      <c r="F64" s="6">
        <f>IFERROR(__xludf.DUMMYFUNCTION("""COMPUTED_VALUE"""),0.5328935185185186)</f>
        <v>0.5328935185</v>
      </c>
      <c r="G64" s="4" t="str">
        <f>IFERROR(__xludf.DUMMYFUNCTION("""COMPUTED_VALUE"""),"")</f>
        <v/>
      </c>
      <c r="H64" s="4" t="str">
        <f>IFERROR(__xludf.DUMMYFUNCTION("""COMPUTED_VALUE"""),"")</f>
        <v/>
      </c>
      <c r="I64" s="4" t="str">
        <f>IFERROR(__xludf.DUMMYFUNCTION("""COMPUTED_VALUE"""),"")</f>
        <v/>
      </c>
      <c r="J64" s="4" t="str">
        <f>IFERROR(__xludf.DUMMYFUNCTION("""COMPUTED_VALUE"""),"")</f>
        <v/>
      </c>
      <c r="K64" s="4" t="str">
        <f>IFERROR(__xludf.DUMMYFUNCTION("""COMPUTED_VALUE"""),"Talk Intro")</f>
        <v>Talk Intro</v>
      </c>
      <c r="L64" s="4" t="str">
        <f>IFERROR(__xludf.DUMMYFUNCTION("""COMPUTED_VALUE"""),"")</f>
        <v/>
      </c>
      <c r="M64" s="4" t="str">
        <f>IFERROR(__xludf.DUMMYFUNCTION("""COMPUTED_VALUE"""),"talk intro ")</f>
        <v>talk intro </v>
      </c>
      <c r="N64" s="4" t="str">
        <f>IFERROR(__xludf.DUMMYFUNCTION("""COMPUTED_VALUE"""),"Paddy Cosgrave, Web Summit")</f>
        <v>Paddy Cosgrave, Web Summit</v>
      </c>
      <c r="O64" s="4" t="str">
        <f>IFERROR(__xludf.DUMMYFUNCTION("""COMPUTED_VALUE"""),"Yvonne Redmond, Web Summit")</f>
        <v>Yvonne Redmond, Web Summit</v>
      </c>
      <c r="P64" s="4" t="str">
        <f>IFERROR(__xludf.DUMMYFUNCTION("""COMPUTED_VALUE"""),"")</f>
        <v/>
      </c>
      <c r="Q64" s="4" t="str">
        <f>IFERROR(__xludf.DUMMYFUNCTION("""COMPUTED_VALUE"""),"")</f>
        <v/>
      </c>
      <c r="R64" s="4" t="str">
        <f>IFERROR(__xludf.DUMMYFUNCTION("""COMPUTED_VALUE"""),"")</f>
        <v/>
      </c>
      <c r="S64" s="4" t="str">
        <f>IFERROR(__xludf.DUMMYFUNCTION("""COMPUTED_VALUE"""),"")</f>
        <v/>
      </c>
      <c r="T64" s="4" t="str">
        <f>IFERROR(__xludf.DUMMYFUNCTION("""COMPUTED_VALUE"""),"")</f>
        <v/>
      </c>
      <c r="U64" s="4" t="str">
        <f>IFERROR(__xludf.DUMMYFUNCTION("""COMPUTED_VALUE"""),"")</f>
        <v/>
      </c>
      <c r="V64" s="4" t="str">
        <f>IFERROR(__xludf.DUMMYFUNCTION("""COMPUTED_VALUE"""),"")</f>
        <v/>
      </c>
      <c r="W64" s="4" t="str">
        <f>IFERROR(__xludf.DUMMYFUNCTION("""COMPUTED_VALUE"""),"")</f>
        <v/>
      </c>
      <c r="X64" s="4" t="str">
        <f>IFERROR(__xludf.DUMMYFUNCTION("""COMPUTED_VALUE"""),"")</f>
        <v/>
      </c>
      <c r="Y64" s="4" t="str">
        <f>IFERROR(__xludf.DUMMYFUNCTION("""COMPUTED_VALUE"""),"")</f>
        <v/>
      </c>
    </row>
    <row r="65">
      <c r="A65" s="4" t="str">
        <f>IFERROR(__xludf.DUMMYFUNCTION("""COMPUTED_VALUE"""),"198 - Channel")</f>
        <v>198 - Channel</v>
      </c>
      <c r="B65" s="4" t="str">
        <f>IFERROR(__xludf.DUMMYFUNCTION("""COMPUTED_VALUE"""),"Channel 1")</f>
        <v>Channel 1</v>
      </c>
      <c r="C65" s="4" t="str">
        <f>IFERROR(__xludf.DUMMYFUNCTION("""COMPUTED_VALUE"""),"Day 1 - 23/06")</f>
        <v>Day 1 - 23/06</v>
      </c>
      <c r="D65" s="6">
        <f>IFERROR(__xludf.DUMMYFUNCTION("""COMPUTED_VALUE"""),0.5328935185185186)</f>
        <v>0.5328935185</v>
      </c>
      <c r="E65" s="6">
        <f>IFERROR(__xludf.DUMMYFUNCTION("""COMPUTED_VALUE"""),0.010416666666666666)</f>
        <v>0.01041666667</v>
      </c>
      <c r="F65" s="6">
        <f>IFERROR(__xludf.DUMMYFUNCTION("""COMPUTED_VALUE"""),0.5433101851851853)</f>
        <v>0.5433101852</v>
      </c>
      <c r="G65" s="4" t="str">
        <f>IFERROR(__xludf.DUMMYFUNCTION("""COMPUTED_VALUE"""),"Yvonne")</f>
        <v>Yvonne</v>
      </c>
      <c r="H65" s="4" t="str">
        <f>IFERROR(__xludf.DUMMYFUNCTION("""COMPUTED_VALUE"""),"Stephen")</f>
        <v>Stephen</v>
      </c>
      <c r="I65" s="4" t="str">
        <f>IFERROR(__xludf.DUMMYFUNCTION("""COMPUTED_VALUE"""),"Lucia H.")</f>
        <v>Lucia H.</v>
      </c>
      <c r="J65" s="4" t="str">
        <f>IFERROR(__xludf.DUMMYFUNCTION("""COMPUTED_VALUE"""),"Health")</f>
        <v>Health</v>
      </c>
      <c r="K65" s="4" t="str">
        <f>IFERROR(__xludf.DUMMYFUNCTION("""COMPUTED_VALUE"""),"Super Fireside")</f>
        <v>Super Fireside</v>
      </c>
      <c r="L65" s="4" t="str">
        <f>IFERROR(__xludf.DUMMYFUNCTION("""COMPUTED_VALUE"""),"T- 5 - 18/05/2020")</f>
        <v>T- 5 - 18/05/2020</v>
      </c>
      <c r="M65" s="4" t="str">
        <f>IFERROR(__xludf.DUMMYFUNCTION("""COMPUTED_VALUE"""),"Here to health: Fighting an infodemic")</f>
        <v>Here to health: Fighting an infodemic</v>
      </c>
      <c r="N65" s="4" t="str">
        <f>IFERROR(__xludf.DUMMYFUNCTION("""COMPUTED_VALUE"""),"David Kopp, Healthline Media")</f>
        <v>David Kopp, Healthline Media</v>
      </c>
      <c r="O65" s="4" t="str">
        <f>IFERROR(__xludf.DUMMYFUNCTION("""COMPUTED_VALUE"""),"Patrice Harris, American Medical Association")</f>
        <v>Patrice Harris, American Medical Association</v>
      </c>
      <c r="P65" s="4" t="str">
        <f>IFERROR(__xludf.DUMMYFUNCTION("""COMPUTED_VALUE"""),"")</f>
        <v/>
      </c>
      <c r="Q65" s="4" t="str">
        <f>IFERROR(__xludf.DUMMYFUNCTION("""COMPUTED_VALUE"""),"")</f>
        <v/>
      </c>
      <c r="R65" s="4" t="str">
        <f>IFERROR(__xludf.DUMMYFUNCTION("""COMPUTED_VALUE"""),"Curtis Brainard, Scientific American")</f>
        <v>Curtis Brainard, Scientific American</v>
      </c>
      <c r="S65" s="4" t="str">
        <f>IFERROR(__xludf.DUMMYFUNCTION("""COMPUTED_VALUE"""),"Accurate health information has never been more important. As we tackle a pandemic, and the fake news ecosystem thriving around it, Healthline and the American Medical Association unite for a session on consumers and Covid-19.")</f>
        <v>Accurate health information has never been more important. As we tackle a pandemic, and the fake news ecosystem thriving around it, Healthline and the American Medical Association unite for a session on consumers and Covid-19.</v>
      </c>
      <c r="T65" s="4" t="str">
        <f>IFERROR(__xludf.DUMMYFUNCTION("""COMPUTED_VALUE"""),"NON-KEYNOTE 9 - COMPLETE")</f>
        <v>NON-KEYNOTE 9 - COMPLETE</v>
      </c>
      <c r="U65" s="23">
        <f>IFERROR(__xludf.DUMMYFUNCTION("""COMPUTED_VALUE"""),43966.0)</f>
        <v>43966</v>
      </c>
      <c r="V65" s="24">
        <f>IFERROR(__xludf.DUMMYFUNCTION("""COMPUTED_VALUE"""),0.7708333333333334)</f>
        <v>0.7708333333</v>
      </c>
      <c r="W65" s="4" t="str">
        <f>IFERROR(__xludf.DUMMYFUNCTION("""COMPUTED_VALUE"""),"COMPLETE")</f>
        <v>COMPLETE</v>
      </c>
      <c r="X65" s="4" t="str">
        <f>IFERROR(__xludf.DUMMYFUNCTION("""COMPUTED_VALUE"""),"Kat")</f>
        <v>Kat</v>
      </c>
      <c r="Y65" s="4" t="str">
        <f>IFERROR(__xludf.DUMMYFUNCTION("""COMPUTED_VALUE"""),"")</f>
        <v/>
      </c>
    </row>
    <row r="66">
      <c r="A66" s="4" t="str">
        <f>IFERROR(__xludf.DUMMYFUNCTION("""COMPUTED_VALUE"""),"1810 - Channel")</f>
        <v>1810 - Channel</v>
      </c>
      <c r="B66" s="4" t="str">
        <f>IFERROR(__xludf.DUMMYFUNCTION("""COMPUTED_VALUE"""),"Channel 1")</f>
        <v>Channel 1</v>
      </c>
      <c r="C66" s="4" t="str">
        <f>IFERROR(__xludf.DUMMYFUNCTION("""COMPUTED_VALUE"""),"Day 1 - 23/06")</f>
        <v>Day 1 - 23/06</v>
      </c>
      <c r="D66" s="4" t="str">
        <f>IFERROR(__xludf.DUMMYFUNCTION("""COMPUTED_VALUE"""),"")</f>
        <v/>
      </c>
      <c r="E66" s="4" t="str">
        <f>IFERROR(__xludf.DUMMYFUNCTION("""COMPUTED_VALUE"""),"")</f>
        <v/>
      </c>
      <c r="F66" s="4" t="str">
        <f>IFERROR(__xludf.DUMMYFUNCTION("""COMPUTED_VALUE"""),"")</f>
        <v/>
      </c>
      <c r="G66" s="4" t="str">
        <f>IFERROR(__xludf.DUMMYFUNCTION("""COMPUTED_VALUE"""),"")</f>
        <v/>
      </c>
      <c r="H66" s="4" t="str">
        <f>IFERROR(__xludf.DUMMYFUNCTION("""COMPUTED_VALUE"""),"")</f>
        <v/>
      </c>
      <c r="I66" s="4" t="str">
        <f>IFERROR(__xludf.DUMMYFUNCTION("""COMPUTED_VALUE"""),"")</f>
        <v/>
      </c>
      <c r="J66" s="4" t="str">
        <f>IFERROR(__xludf.DUMMYFUNCTION("""COMPUTED_VALUE"""),"")</f>
        <v/>
      </c>
      <c r="K66" s="4" t="str">
        <f>IFERROR(__xludf.DUMMYFUNCTION("""COMPUTED_VALUE"""),"")</f>
        <v/>
      </c>
      <c r="L66" s="4" t="str">
        <f>IFERROR(__xludf.DUMMYFUNCTION("""COMPUTED_VALUE"""),"")</f>
        <v/>
      </c>
      <c r="M66" s="4" t="str">
        <f>IFERROR(__xludf.DUMMYFUNCTION("""COMPUTED_VALUE"""),"")</f>
        <v/>
      </c>
      <c r="N66" s="4" t="str">
        <f>IFERROR(__xludf.DUMMYFUNCTION("""COMPUTED_VALUE"""),"")</f>
        <v/>
      </c>
      <c r="O66" s="4" t="str">
        <f>IFERROR(__xludf.DUMMYFUNCTION("""COMPUTED_VALUE"""),"")</f>
        <v/>
      </c>
      <c r="P66" s="4" t="str">
        <f>IFERROR(__xludf.DUMMYFUNCTION("""COMPUTED_VALUE"""),"")</f>
        <v/>
      </c>
      <c r="Q66" s="4" t="str">
        <f>IFERROR(__xludf.DUMMYFUNCTION("""COMPUTED_VALUE"""),"")</f>
        <v/>
      </c>
      <c r="R66" s="4" t="str">
        <f>IFERROR(__xludf.DUMMYFUNCTION("""COMPUTED_VALUE"""),"")</f>
        <v/>
      </c>
      <c r="S66" s="4" t="str">
        <f>IFERROR(__xludf.DUMMYFUNCTION("""COMPUTED_VALUE"""),"")</f>
        <v/>
      </c>
      <c r="T66" s="4" t="str">
        <f>IFERROR(__xludf.DUMMYFUNCTION("""COMPUTED_VALUE"""),"")</f>
        <v/>
      </c>
      <c r="U66" s="4" t="str">
        <f>IFERROR(__xludf.DUMMYFUNCTION("""COMPUTED_VALUE"""),"")</f>
        <v/>
      </c>
      <c r="V66" s="4" t="str">
        <f>IFERROR(__xludf.DUMMYFUNCTION("""COMPUTED_VALUE"""),"")</f>
        <v/>
      </c>
      <c r="W66" s="4" t="str">
        <f>IFERROR(__xludf.DUMMYFUNCTION("""COMPUTED_VALUE"""),"")</f>
        <v/>
      </c>
      <c r="X66" s="4" t="str">
        <f>IFERROR(__xludf.DUMMYFUNCTION("""COMPUTED_VALUE"""),"")</f>
        <v/>
      </c>
      <c r="Y66" s="4" t="str">
        <f>IFERROR(__xludf.DUMMYFUNCTION("""COMPUTED_VALUE"""),"")</f>
        <v/>
      </c>
    </row>
    <row r="67">
      <c r="A67" s="4" t="str">
        <f>IFERROR(__xludf.DUMMYFUNCTION("""COMPUTED_VALUE"""),"57 - Channel")</f>
        <v>57 - Channel</v>
      </c>
      <c r="B67" s="4" t="str">
        <f>IFERROR(__xludf.DUMMYFUNCTION("""COMPUTED_VALUE"""),"Channel 1")</f>
        <v>Channel 1</v>
      </c>
      <c r="C67" s="4" t="str">
        <f>IFERROR(__xludf.DUMMYFUNCTION("""COMPUTED_VALUE"""),"Day 1 - 23/06")</f>
        <v>Day 1 - 23/06</v>
      </c>
      <c r="D67" s="6">
        <f>IFERROR(__xludf.DUMMYFUNCTION("""COMPUTED_VALUE"""),0.5433101851851853)</f>
        <v>0.5433101852</v>
      </c>
      <c r="E67" s="6">
        <f>IFERROR(__xludf.DUMMYFUNCTION("""COMPUTED_VALUE"""),3.4722222222222224E-4)</f>
        <v>0.0003472222222</v>
      </c>
      <c r="F67" s="6">
        <f>IFERROR(__xludf.DUMMYFUNCTION("""COMPUTED_VALUE"""),0.5436574074074075)</f>
        <v>0.5436574074</v>
      </c>
      <c r="G67" s="4" t="str">
        <f>IFERROR(__xludf.DUMMYFUNCTION("""COMPUTED_VALUE"""),"Video")</f>
        <v>Video</v>
      </c>
      <c r="H67" s="4" t="str">
        <f>IFERROR(__xludf.DUMMYFUNCTION("""COMPUTED_VALUE"""),"")</f>
        <v/>
      </c>
      <c r="I67" s="4" t="str">
        <f>IFERROR(__xludf.DUMMYFUNCTION("""COMPUTED_VALUE"""),"")</f>
        <v/>
      </c>
      <c r="J67" s="4" t="str">
        <f>IFERROR(__xludf.DUMMYFUNCTION("""COMPUTED_VALUE"""),"")</f>
        <v/>
      </c>
      <c r="K67" s="4" t="str">
        <f>IFERROR(__xludf.DUMMYFUNCTION("""COMPUTED_VALUE"""),"RISE Trailer")</f>
        <v>RISE Trailer</v>
      </c>
      <c r="L67" s="4" t="str">
        <f>IFERROR(__xludf.DUMMYFUNCTION("""COMPUTED_VALUE"""),"")</f>
        <v/>
      </c>
      <c r="M67" s="4" t="str">
        <f>IFERROR(__xludf.DUMMYFUNCTION("""COMPUTED_VALUE"""),"RISE promo")</f>
        <v>RISE promo</v>
      </c>
      <c r="N67" s="4" t="str">
        <f>IFERROR(__xludf.DUMMYFUNCTION("""COMPUTED_VALUE"""),"Content pending")</f>
        <v>Content pending</v>
      </c>
      <c r="O67" s="4" t="str">
        <f>IFERROR(__xludf.DUMMYFUNCTION("""COMPUTED_VALUE"""),"")</f>
        <v/>
      </c>
      <c r="P67" s="4" t="str">
        <f>IFERROR(__xludf.DUMMYFUNCTION("""COMPUTED_VALUE"""),"")</f>
        <v/>
      </c>
      <c r="Q67" s="4" t="str">
        <f>IFERROR(__xludf.DUMMYFUNCTION("""COMPUTED_VALUE"""),"")</f>
        <v/>
      </c>
      <c r="R67" s="4" t="str">
        <f>IFERROR(__xludf.DUMMYFUNCTION("""COMPUTED_VALUE"""),"")</f>
        <v/>
      </c>
      <c r="S67" s="4" t="str">
        <f>IFERROR(__xludf.DUMMYFUNCTION("""COMPUTED_VALUE"""),"")</f>
        <v/>
      </c>
      <c r="T67" s="4" t="str">
        <f>IFERROR(__xludf.DUMMYFUNCTION("""COMPUTED_VALUE"""),"")</f>
        <v/>
      </c>
      <c r="U67" s="4" t="str">
        <f>IFERROR(__xludf.DUMMYFUNCTION("""COMPUTED_VALUE"""),"")</f>
        <v/>
      </c>
      <c r="V67" s="4" t="str">
        <f>IFERROR(__xludf.DUMMYFUNCTION("""COMPUTED_VALUE"""),"")</f>
        <v/>
      </c>
      <c r="W67" s="4" t="str">
        <f>IFERROR(__xludf.DUMMYFUNCTION("""COMPUTED_VALUE"""),"")</f>
        <v/>
      </c>
      <c r="X67" s="4" t="str">
        <f>IFERROR(__xludf.DUMMYFUNCTION("""COMPUTED_VALUE"""),"")</f>
        <v/>
      </c>
      <c r="Y67" s="4" t="str">
        <f>IFERROR(__xludf.DUMMYFUNCTION("""COMPUTED_VALUE"""),"")</f>
        <v/>
      </c>
    </row>
    <row r="68">
      <c r="A68" s="4" t="str">
        <f>IFERROR(__xludf.DUMMYFUNCTION("""COMPUTED_VALUE"""),"1647 - Channel")</f>
        <v>1647 - Channel</v>
      </c>
      <c r="B68" s="4" t="str">
        <f>IFERROR(__xludf.DUMMYFUNCTION("""COMPUTED_VALUE"""),"Channel 1")</f>
        <v>Channel 1</v>
      </c>
      <c r="C68" s="4" t="str">
        <f>IFERROR(__xludf.DUMMYFUNCTION("""COMPUTED_VALUE"""),"Day 1 - 23/06")</f>
        <v>Day 1 - 23/06</v>
      </c>
      <c r="D68" s="6">
        <f>IFERROR(__xludf.DUMMYFUNCTION("""COMPUTED_VALUE"""),0.5436574074074075)</f>
        <v>0.5436574074</v>
      </c>
      <c r="E68" s="6">
        <f>IFERROR(__xludf.DUMMYFUNCTION("""COMPUTED_VALUE"""),6.944444444444445E-4)</f>
        <v>0.0006944444444</v>
      </c>
      <c r="F68" s="6">
        <f>IFERROR(__xludf.DUMMYFUNCTION("""COMPUTED_VALUE"""),0.544351851851852)</f>
        <v>0.5443518519</v>
      </c>
      <c r="G68" s="4" t="str">
        <f>IFERROR(__xludf.DUMMYFUNCTION("""COMPUTED_VALUE"""),"")</f>
        <v/>
      </c>
      <c r="H68" s="4" t="str">
        <f>IFERROR(__xludf.DUMMYFUNCTION("""COMPUTED_VALUE"""),"")</f>
        <v/>
      </c>
      <c r="I68" s="4" t="str">
        <f>IFERROR(__xludf.DUMMYFUNCTION("""COMPUTED_VALUE"""),"")</f>
        <v/>
      </c>
      <c r="J68" s="4" t="str">
        <f>IFERROR(__xludf.DUMMYFUNCTION("""COMPUTED_VALUE"""),"")</f>
        <v/>
      </c>
      <c r="K68" s="4" t="str">
        <f>IFERROR(__xludf.DUMMYFUNCTION("""COMPUTED_VALUE"""),"Laundry List/Lookaround")</f>
        <v>Laundry List/Lookaround</v>
      </c>
      <c r="L68" s="4" t="str">
        <f>IFERROR(__xludf.DUMMYFUNCTION("""COMPUTED_VALUE"""),"")</f>
        <v/>
      </c>
      <c r="M68" s="4" t="str">
        <f>IFERROR(__xludf.DUMMYFUNCTION("""COMPUTED_VALUE"""),"Laundry Day1_1PM")</f>
        <v>Laundry Day1_1PM</v>
      </c>
      <c r="N68" s="4" t="str">
        <f>IFERROR(__xludf.DUMMYFUNCTION("""COMPUTED_VALUE"""),"Casey Lau, Web Summit")</f>
        <v>Casey Lau, Web Summit</v>
      </c>
      <c r="O68" s="4" t="str">
        <f>IFERROR(__xludf.DUMMYFUNCTION("""COMPUTED_VALUE"""),"")</f>
        <v/>
      </c>
      <c r="P68" s="4" t="str">
        <f>IFERROR(__xludf.DUMMYFUNCTION("""COMPUTED_VALUE"""),"")</f>
        <v/>
      </c>
      <c r="Q68" s="4" t="str">
        <f>IFERROR(__xludf.DUMMYFUNCTION("""COMPUTED_VALUE"""),"")</f>
        <v/>
      </c>
      <c r="R68" s="4" t="str">
        <f>IFERROR(__xludf.DUMMYFUNCTION("""COMPUTED_VALUE"""),"")</f>
        <v/>
      </c>
      <c r="S68" s="4" t="str">
        <f>IFERROR(__xludf.DUMMYFUNCTION("""COMPUTED_VALUE"""),"")</f>
        <v/>
      </c>
      <c r="T68" s="4" t="str">
        <f>IFERROR(__xludf.DUMMYFUNCTION("""COMPUTED_VALUE"""),"")</f>
        <v/>
      </c>
      <c r="U68" s="4" t="str">
        <f>IFERROR(__xludf.DUMMYFUNCTION("""COMPUTED_VALUE"""),"")</f>
        <v/>
      </c>
      <c r="V68" s="4" t="str">
        <f>IFERROR(__xludf.DUMMYFUNCTION("""COMPUTED_VALUE"""),"")</f>
        <v/>
      </c>
      <c r="W68" s="4" t="str">
        <f>IFERROR(__xludf.DUMMYFUNCTION("""COMPUTED_VALUE"""),"")</f>
        <v/>
      </c>
      <c r="X68" s="4" t="str">
        <f>IFERROR(__xludf.DUMMYFUNCTION("""COMPUTED_VALUE"""),"")</f>
        <v/>
      </c>
      <c r="Y68" s="4" t="str">
        <f>IFERROR(__xludf.DUMMYFUNCTION("""COMPUTED_VALUE"""),"")</f>
        <v/>
      </c>
    </row>
    <row r="69">
      <c r="A69" s="4" t="str">
        <f>IFERROR(__xludf.DUMMYFUNCTION("""COMPUTED_VALUE"""),"1467 - Channel")</f>
        <v>1467 - Channel</v>
      </c>
      <c r="B69" s="6" t="str">
        <f>IFERROR(__xludf.DUMMYFUNCTION("""COMPUTED_VALUE"""),"Channel 1")</f>
        <v>Channel 1</v>
      </c>
      <c r="C69" s="4" t="str">
        <f>IFERROR(__xludf.DUMMYFUNCTION("""COMPUTED_VALUE"""),"Day 1 - 23/06")</f>
        <v>Day 1 - 23/06</v>
      </c>
      <c r="D69" s="6">
        <f>IFERROR(__xludf.DUMMYFUNCTION("""COMPUTED_VALUE"""),0.544351851851852)</f>
        <v>0.5443518519</v>
      </c>
      <c r="E69" s="6">
        <f>IFERROR(__xludf.DUMMYFUNCTION("""COMPUTED_VALUE"""),2.314814814814815E-4)</f>
        <v>0.0002314814815</v>
      </c>
      <c r="F69" s="6">
        <f>IFERROR(__xludf.DUMMYFUNCTION("""COMPUTED_VALUE"""),0.5445833333333334)</f>
        <v>0.5445833333</v>
      </c>
      <c r="G69" s="4" t="str">
        <f>IFERROR(__xludf.DUMMYFUNCTION("""COMPUTED_VALUE"""),"")</f>
        <v/>
      </c>
      <c r="H69" s="4" t="str">
        <f>IFERROR(__xludf.DUMMYFUNCTION("""COMPUTED_VALUE"""),"")</f>
        <v/>
      </c>
      <c r="I69" s="4" t="str">
        <f>IFERROR(__xludf.DUMMYFUNCTION("""COMPUTED_VALUE"""),"")</f>
        <v/>
      </c>
      <c r="J69" s="4" t="str">
        <f>IFERROR(__xludf.DUMMYFUNCTION("""COMPUTED_VALUE"""),"")</f>
        <v/>
      </c>
      <c r="K69" s="4" t="str">
        <f>IFERROR(__xludf.DUMMYFUNCTION("""COMPUTED_VALUE"""),"Talk Intro")</f>
        <v>Talk Intro</v>
      </c>
      <c r="L69" s="4" t="str">
        <f>IFERROR(__xludf.DUMMYFUNCTION("""COMPUTED_VALUE"""),"")</f>
        <v/>
      </c>
      <c r="M69" s="4" t="str">
        <f>IFERROR(__xludf.DUMMYFUNCTION("""COMPUTED_VALUE"""),"Talk intro ")</f>
        <v>Talk intro </v>
      </c>
      <c r="N69" s="4" t="str">
        <f>IFERROR(__xludf.DUMMYFUNCTION("""COMPUTED_VALUE"""),"Casey Lau, Web Summit")</f>
        <v>Casey Lau, Web Summit</v>
      </c>
      <c r="O69" s="4" t="str">
        <f>IFERROR(__xludf.DUMMYFUNCTION("""COMPUTED_VALUE"""),"")</f>
        <v/>
      </c>
      <c r="P69" s="4" t="str">
        <f>IFERROR(__xludf.DUMMYFUNCTION("""COMPUTED_VALUE"""),"")</f>
        <v/>
      </c>
      <c r="Q69" s="4" t="str">
        <f>IFERROR(__xludf.DUMMYFUNCTION("""COMPUTED_VALUE"""),"")</f>
        <v/>
      </c>
      <c r="R69" s="4" t="str">
        <f>IFERROR(__xludf.DUMMYFUNCTION("""COMPUTED_VALUE"""),"")</f>
        <v/>
      </c>
      <c r="S69" s="4" t="str">
        <f>IFERROR(__xludf.DUMMYFUNCTION("""COMPUTED_VALUE"""),"")</f>
        <v/>
      </c>
      <c r="T69" s="4" t="str">
        <f>IFERROR(__xludf.DUMMYFUNCTION("""COMPUTED_VALUE"""),"")</f>
        <v/>
      </c>
      <c r="U69" s="4" t="str">
        <f>IFERROR(__xludf.DUMMYFUNCTION("""COMPUTED_VALUE"""),"")</f>
        <v/>
      </c>
      <c r="V69" s="4" t="str">
        <f>IFERROR(__xludf.DUMMYFUNCTION("""COMPUTED_VALUE"""),"")</f>
        <v/>
      </c>
      <c r="W69" s="4" t="str">
        <f>IFERROR(__xludf.DUMMYFUNCTION("""COMPUTED_VALUE"""),"")</f>
        <v/>
      </c>
      <c r="X69" s="4" t="str">
        <f>IFERROR(__xludf.DUMMYFUNCTION("""COMPUTED_VALUE"""),"")</f>
        <v/>
      </c>
      <c r="Y69" s="4" t="str">
        <f>IFERROR(__xludf.DUMMYFUNCTION("""COMPUTED_VALUE"""),"")</f>
        <v/>
      </c>
    </row>
    <row r="70">
      <c r="A70" s="4" t="str">
        <f>IFERROR(__xludf.DUMMYFUNCTION("""COMPUTED_VALUE"""),"830 - Channel")</f>
        <v>830 - Channel</v>
      </c>
      <c r="B70" s="6" t="str">
        <f>IFERROR(__xludf.DUMMYFUNCTION("""COMPUTED_VALUE"""),"Channel 1")</f>
        <v>Channel 1</v>
      </c>
      <c r="C70" s="6" t="str">
        <f>IFERROR(__xludf.DUMMYFUNCTION("""COMPUTED_VALUE"""),"Day 1 - 23/06")</f>
        <v>Day 1 - 23/06</v>
      </c>
      <c r="D70" s="6">
        <f>IFERROR(__xludf.DUMMYFUNCTION("""COMPUTED_VALUE"""),0.5445833333333334)</f>
        <v>0.5445833333</v>
      </c>
      <c r="E70" s="6">
        <f>IFERROR(__xludf.DUMMYFUNCTION("""COMPUTED_VALUE"""),0.010763888888888889)</f>
        <v>0.01076388889</v>
      </c>
      <c r="F70" s="6">
        <f>IFERROR(__xludf.DUMMYFUNCTION("""COMPUTED_VALUE"""),0.5553472222222223)</f>
        <v>0.5553472222</v>
      </c>
      <c r="G70" s="4" t="str">
        <f>IFERROR(__xludf.DUMMYFUNCTION("""COMPUTED_VALUE"""),"Brian")</f>
        <v>Brian</v>
      </c>
      <c r="H70" s="4" t="str">
        <f>IFERROR(__xludf.DUMMYFUNCTION("""COMPUTED_VALUE"""),"Stephen")</f>
        <v>Stephen</v>
      </c>
      <c r="I70" s="4" t="str">
        <f>IFERROR(__xludf.DUMMYFUNCTION("""COMPUTED_VALUE"""),"Hannah")</f>
        <v>Hannah</v>
      </c>
      <c r="J70" s="4" t="str">
        <f>IFERROR(__xludf.DUMMYFUNCTION("""COMPUTED_VALUE"""),"5G")</f>
        <v>5G</v>
      </c>
      <c r="K70" s="4" t="str">
        <f>IFERROR(__xludf.DUMMYFUNCTION("""COMPUTED_VALUE"""),"Fireside")</f>
        <v>Fireside</v>
      </c>
      <c r="L70" s="4" t="str">
        <f>IFERROR(__xludf.DUMMYFUNCTION("""COMPUTED_VALUE"""),"T- 8 - 27/04/2020")</f>
        <v>T- 8 - 27/04/2020</v>
      </c>
      <c r="M70" s="4" t="str">
        <f>IFERROR(__xludf.DUMMYFUNCTION("""COMPUTED_VALUE"""),"How can startups survive a pandemic?")</f>
        <v>How can startups survive a pandemic?</v>
      </c>
      <c r="N70" s="4" t="str">
        <f>IFERROR(__xludf.DUMMYFUNCTION("""COMPUTED_VALUE"""),"John Chambers, JC2 Ventures")</f>
        <v>John Chambers, JC2 Ventures</v>
      </c>
      <c r="O70" s="4" t="str">
        <f>IFERROR(__xludf.DUMMYFUNCTION("""COMPUTED_VALUE"""),"")</f>
        <v/>
      </c>
      <c r="P70" s="4" t="str">
        <f>IFERROR(__xludf.DUMMYFUNCTION("""COMPUTED_VALUE"""),"")</f>
        <v/>
      </c>
      <c r="Q70" s="4" t="str">
        <f>IFERROR(__xludf.DUMMYFUNCTION("""COMPUTED_VALUE"""),"")</f>
        <v/>
      </c>
      <c r="R70" s="4" t="str">
        <f>IFERROR(__xludf.DUMMYFUNCTION("""COMPUTED_VALUE"""),"Andy Serwer, Yahoo Finance")</f>
        <v>Andy Serwer, Yahoo Finance</v>
      </c>
      <c r="S70" s="4" t="str">
        <f>IFERROR(__xludf.DUMMYFUNCTION("""COMPUTED_VALUE"""),"What lies ahead for future generations in the digital age is guaranteed to be profound. Investing funds into young CEO’s while helping them build, scale, and lead market transitions is essential. During this time of uncertainty, providing future leaders w"&amp;"ith hard-won insights and critical tools in accelerating disruption will make all the difference. ")</f>
        <v>What lies ahead for future generations in the digital age is guaranteed to be profound. Investing funds into young CEO’s while helping them build, scale, and lead market transitions is essential. During this time of uncertainty, providing future leaders with hard-won insights and critical tools in accelerating disruption will make all the difference. </v>
      </c>
      <c r="T70" s="24" t="str">
        <f>IFERROR(__xludf.DUMMYFUNCTION("""COMPUTED_VALUE"""),"KEYNOTE 8 - COMPLETE")</f>
        <v>KEYNOTE 8 - COMPLETE</v>
      </c>
      <c r="U70" s="23">
        <f>IFERROR(__xludf.DUMMYFUNCTION("""COMPUTED_VALUE"""),43951.0)</f>
        <v>43951</v>
      </c>
      <c r="V70" s="24">
        <f>IFERROR(__xludf.DUMMYFUNCTION("""COMPUTED_VALUE"""),0.7916666666666666)</f>
        <v>0.7916666667</v>
      </c>
      <c r="W70" s="4" t="str">
        <f>IFERROR(__xludf.DUMMYFUNCTION("""COMPUTED_VALUE"""),"COMPLETE")</f>
        <v>COMPLETE</v>
      </c>
      <c r="X70" s="4" t="str">
        <f>IFERROR(__xludf.DUMMYFUNCTION("""COMPUTED_VALUE"""),"Brian")</f>
        <v>Brian</v>
      </c>
      <c r="Y70" s="4" t="str">
        <f>IFERROR(__xludf.DUMMYFUNCTION("""COMPUTED_VALUE"""),"")</f>
        <v/>
      </c>
    </row>
    <row r="71">
      <c r="A71" s="4" t="str">
        <f>IFERROR(__xludf.DUMMYFUNCTION("""COMPUTED_VALUE"""),"61 - Channel")</f>
        <v>61 - Channel</v>
      </c>
      <c r="B71" s="4" t="str">
        <f>IFERROR(__xludf.DUMMYFUNCTION("""COMPUTED_VALUE"""),"Channel 1")</f>
        <v>Channel 1</v>
      </c>
      <c r="C71" s="4" t="str">
        <f>IFERROR(__xludf.DUMMYFUNCTION("""COMPUTED_VALUE"""),"Day 1 - 23/06")</f>
        <v>Day 1 - 23/06</v>
      </c>
      <c r="D71" s="6">
        <f>IFERROR(__xludf.DUMMYFUNCTION("""COMPUTED_VALUE"""),0.5553472222222223)</f>
        <v>0.5553472222</v>
      </c>
      <c r="E71" s="6">
        <f>IFERROR(__xludf.DUMMYFUNCTION("""COMPUTED_VALUE"""),2.314814814814815E-4)</f>
        <v>0.0002314814815</v>
      </c>
      <c r="F71" s="6">
        <f>IFERROR(__xludf.DUMMYFUNCTION("""COMPUTED_VALUE"""),0.5555787037037038)</f>
        <v>0.5555787037</v>
      </c>
      <c r="G71" s="4" t="str">
        <f>IFERROR(__xludf.DUMMYFUNCTION("""COMPUTED_VALUE"""),"")</f>
        <v/>
      </c>
      <c r="H71" s="4" t="str">
        <f>IFERROR(__xludf.DUMMYFUNCTION("""COMPUTED_VALUE"""),"")</f>
        <v/>
      </c>
      <c r="I71" s="4" t="str">
        <f>IFERROR(__xludf.DUMMYFUNCTION("""COMPUTED_VALUE"""),"")</f>
        <v/>
      </c>
      <c r="J71" s="4" t="str">
        <f>IFERROR(__xludf.DUMMYFUNCTION("""COMPUTED_VALUE"""),"")</f>
        <v/>
      </c>
      <c r="K71" s="4" t="str">
        <f>IFERROR(__xludf.DUMMYFUNCTION("""COMPUTED_VALUE"""),"Talk Intro")</f>
        <v>Talk Intro</v>
      </c>
      <c r="L71" s="4" t="str">
        <f>IFERROR(__xludf.DUMMYFUNCTION("""COMPUTED_VALUE"""),"")</f>
        <v/>
      </c>
      <c r="M71" s="4" t="str">
        <f>IFERROR(__xludf.DUMMYFUNCTION("""COMPUTED_VALUE"""),"Teaser: Shaq_Intro")</f>
        <v>Teaser: Shaq_Intro</v>
      </c>
      <c r="N71" s="4" t="str">
        <f>IFERROR(__xludf.DUMMYFUNCTION("""COMPUTED_VALUE"""),"Casey Lau, Web Summit")</f>
        <v>Casey Lau, Web Summit</v>
      </c>
      <c r="O71" s="4" t="str">
        <f>IFERROR(__xludf.DUMMYFUNCTION("""COMPUTED_VALUE"""),"")</f>
        <v/>
      </c>
      <c r="P71" s="4" t="str">
        <f>IFERROR(__xludf.DUMMYFUNCTION("""COMPUTED_VALUE"""),"")</f>
        <v/>
      </c>
      <c r="Q71" s="4" t="str">
        <f>IFERROR(__xludf.DUMMYFUNCTION("""COMPUTED_VALUE"""),"")</f>
        <v/>
      </c>
      <c r="R71" s="4" t="str">
        <f>IFERROR(__xludf.DUMMYFUNCTION("""COMPUTED_VALUE"""),"")</f>
        <v/>
      </c>
      <c r="S71" s="4" t="str">
        <f>IFERROR(__xludf.DUMMYFUNCTION("""COMPUTED_VALUE"""),"")</f>
        <v/>
      </c>
      <c r="T71" s="4" t="str">
        <f>IFERROR(__xludf.DUMMYFUNCTION("""COMPUTED_VALUE"""),"")</f>
        <v/>
      </c>
      <c r="U71" s="4" t="str">
        <f>IFERROR(__xludf.DUMMYFUNCTION("""COMPUTED_VALUE"""),"")</f>
        <v/>
      </c>
      <c r="V71" s="4" t="str">
        <f>IFERROR(__xludf.DUMMYFUNCTION("""COMPUTED_VALUE"""),"")</f>
        <v/>
      </c>
      <c r="W71" s="4" t="str">
        <f>IFERROR(__xludf.DUMMYFUNCTION("""COMPUTED_VALUE"""),"")</f>
        <v/>
      </c>
      <c r="X71" s="4" t="str">
        <f>IFERROR(__xludf.DUMMYFUNCTION("""COMPUTED_VALUE"""),"")</f>
        <v/>
      </c>
      <c r="Y71" s="4" t="str">
        <f>IFERROR(__xludf.DUMMYFUNCTION("""COMPUTED_VALUE"""),"")</f>
        <v/>
      </c>
    </row>
    <row r="72">
      <c r="A72" s="4" t="str">
        <f>IFERROR(__xludf.DUMMYFUNCTION("""COMPUTED_VALUE"""),"62 - Channel")</f>
        <v>62 - Channel</v>
      </c>
      <c r="B72" s="4" t="str">
        <f>IFERROR(__xludf.DUMMYFUNCTION("""COMPUTED_VALUE"""),"Channel 1")</f>
        <v>Channel 1</v>
      </c>
      <c r="C72" s="4" t="str">
        <f>IFERROR(__xludf.DUMMYFUNCTION("""COMPUTED_VALUE"""),"Day 1 - 23/06")</f>
        <v>Day 1 - 23/06</v>
      </c>
      <c r="D72" s="6">
        <f>IFERROR(__xludf.DUMMYFUNCTION("""COMPUTED_VALUE"""),0.5555787037037038)</f>
        <v>0.5555787037</v>
      </c>
      <c r="E72" s="6">
        <f>IFERROR(__xludf.DUMMYFUNCTION("""COMPUTED_VALUE"""),0.0020833333333333333)</f>
        <v>0.002083333333</v>
      </c>
      <c r="F72" s="6">
        <f>IFERROR(__xludf.DUMMYFUNCTION("""COMPUTED_VALUE"""),0.5576620370370371)</f>
        <v>0.557662037</v>
      </c>
      <c r="G72" s="4" t="str">
        <f>IFERROR(__xludf.DUMMYFUNCTION("""COMPUTED_VALUE"""),"Darren")</f>
        <v>Darren</v>
      </c>
      <c r="H72" s="4" t="str">
        <f>IFERROR(__xludf.DUMMYFUNCTION("""COMPUTED_VALUE"""),"Shauna")</f>
        <v>Shauna</v>
      </c>
      <c r="I72" s="4" t="str">
        <f>IFERROR(__xludf.DUMMYFUNCTION("""COMPUTED_VALUE"""),"Naomi")</f>
        <v>Naomi</v>
      </c>
      <c r="J72" s="4" t="str">
        <f>IFERROR(__xludf.DUMMYFUNCTION("""COMPUTED_VALUE"""),"Leadership")</f>
        <v>Leadership</v>
      </c>
      <c r="K72" s="4" t="str">
        <f>IFERROR(__xludf.DUMMYFUNCTION("""COMPUTED_VALUE"""),"Teaser")</f>
        <v>Teaser</v>
      </c>
      <c r="L72" s="4" t="str">
        <f>IFERROR(__xludf.DUMMYFUNCTION("""COMPUTED_VALUE"""),"")</f>
        <v/>
      </c>
      <c r="M72" s="4" t="str">
        <f>IFERROR(__xludf.DUMMYFUNCTION("""COMPUTED_VALUE"""),"Teaser: Shaq")</f>
        <v>Teaser: Shaq</v>
      </c>
      <c r="N72" s="4" t="str">
        <f>IFERROR(__xludf.DUMMYFUNCTION("""COMPUTED_VALUE"""),"")</f>
        <v/>
      </c>
      <c r="O72" s="4" t="str">
        <f>IFERROR(__xludf.DUMMYFUNCTION("""COMPUTED_VALUE"""),"")</f>
        <v/>
      </c>
      <c r="P72" s="4" t="str">
        <f>IFERROR(__xludf.DUMMYFUNCTION("""COMPUTED_VALUE"""),"")</f>
        <v/>
      </c>
      <c r="Q72" s="4" t="str">
        <f>IFERROR(__xludf.DUMMYFUNCTION("""COMPUTED_VALUE"""),"")</f>
        <v/>
      </c>
      <c r="R72" s="4" t="str">
        <f>IFERROR(__xludf.DUMMYFUNCTION("""COMPUTED_VALUE"""),"")</f>
        <v/>
      </c>
      <c r="S72" s="4" t="str">
        <f>IFERROR(__xludf.DUMMYFUNCTION("""COMPUTED_VALUE"""),"Enjoy 5 minutes of Shaquille O'Neals ""Changing the game for workers"". Catch the full talk on Channel 2.")</f>
        <v>Enjoy 5 minutes of Shaquille O'Neals "Changing the game for workers". Catch the full talk on Channel 2.</v>
      </c>
      <c r="T72" s="4" t="str">
        <f>IFERROR(__xludf.DUMMYFUNCTION("""COMPUTED_VALUE"""),"N/A")</f>
        <v>N/A</v>
      </c>
      <c r="U72" s="4" t="str">
        <f>IFERROR(__xludf.DUMMYFUNCTION("""COMPUTED_VALUE"""),"")</f>
        <v/>
      </c>
      <c r="V72" s="4" t="str">
        <f>IFERROR(__xludf.DUMMYFUNCTION("""COMPUTED_VALUE"""),"")</f>
        <v/>
      </c>
      <c r="W72" s="4" t="str">
        <f>IFERROR(__xludf.DUMMYFUNCTION("""COMPUTED_VALUE"""),"")</f>
        <v/>
      </c>
      <c r="X72" s="4" t="str">
        <f>IFERROR(__xludf.DUMMYFUNCTION("""COMPUTED_VALUE"""),"")</f>
        <v/>
      </c>
      <c r="Y72" s="4" t="str">
        <f>IFERROR(__xludf.DUMMYFUNCTION("""COMPUTED_VALUE"""),"")</f>
        <v/>
      </c>
    </row>
    <row r="73">
      <c r="A73" s="4" t="str">
        <f>IFERROR(__xludf.DUMMYFUNCTION("""COMPUTED_VALUE"""),"2241 - Channel")</f>
        <v>2241 - Channel</v>
      </c>
      <c r="B73" s="4" t="str">
        <f>IFERROR(__xludf.DUMMYFUNCTION("""COMPUTED_VALUE"""),"Channel 1")</f>
        <v>Channel 1</v>
      </c>
      <c r="C73" s="4" t="str">
        <f>IFERROR(__xludf.DUMMYFUNCTION("""COMPUTED_VALUE"""),"Day 1 - 23/06")</f>
        <v>Day 1 - 23/06</v>
      </c>
      <c r="D73" s="6">
        <f>IFERROR(__xludf.DUMMYFUNCTION("""COMPUTED_VALUE"""),0.5576620370370371)</f>
        <v>0.557662037</v>
      </c>
      <c r="E73" s="6">
        <f>IFERROR(__xludf.DUMMYFUNCTION("""COMPUTED_VALUE"""),2.314814814814815E-4)</f>
        <v>0.0002314814815</v>
      </c>
      <c r="F73" s="6">
        <f>IFERROR(__xludf.DUMMYFUNCTION("""COMPUTED_VALUE"""),0.5578935185185185)</f>
        <v>0.5578935185</v>
      </c>
      <c r="G73" s="4" t="str">
        <f>IFERROR(__xludf.DUMMYFUNCTION("""COMPUTED_VALUE"""),"")</f>
        <v/>
      </c>
      <c r="H73" s="4" t="str">
        <f>IFERROR(__xludf.DUMMYFUNCTION("""COMPUTED_VALUE"""),"")</f>
        <v/>
      </c>
      <c r="I73" s="4" t="str">
        <f>IFERROR(__xludf.DUMMYFUNCTION("""COMPUTED_VALUE"""),"")</f>
        <v/>
      </c>
      <c r="J73" s="4" t="str">
        <f>IFERROR(__xludf.DUMMYFUNCTION("""COMPUTED_VALUE"""),"")</f>
        <v/>
      </c>
      <c r="K73" s="4" t="str">
        <f>IFERROR(__xludf.DUMMYFUNCTION("""COMPUTED_VALUE"""),"Talk Outro")</f>
        <v>Talk Outro</v>
      </c>
      <c r="L73" s="4" t="str">
        <f>IFERROR(__xludf.DUMMYFUNCTION("""COMPUTED_VALUE"""),"")</f>
        <v/>
      </c>
      <c r="M73" s="4" t="str">
        <f>IFERROR(__xludf.DUMMYFUNCTION("""COMPUTED_VALUE"""),"Call to action")</f>
        <v>Call to action</v>
      </c>
      <c r="N73" s="4" t="str">
        <f>IFERROR(__xludf.DUMMYFUNCTION("""COMPUTED_VALUE"""),"Casey Lau, Web Summit")</f>
        <v>Casey Lau, Web Summit</v>
      </c>
      <c r="O73" s="4" t="str">
        <f>IFERROR(__xludf.DUMMYFUNCTION("""COMPUTED_VALUE"""),"")</f>
        <v/>
      </c>
      <c r="P73" s="4" t="str">
        <f>IFERROR(__xludf.DUMMYFUNCTION("""COMPUTED_VALUE"""),"")</f>
        <v/>
      </c>
      <c r="Q73" s="4" t="str">
        <f>IFERROR(__xludf.DUMMYFUNCTION("""COMPUTED_VALUE"""),"")</f>
        <v/>
      </c>
      <c r="R73" s="4" t="str">
        <f>IFERROR(__xludf.DUMMYFUNCTION("""COMPUTED_VALUE"""),"")</f>
        <v/>
      </c>
      <c r="S73" s="4" t="str">
        <f>IFERROR(__xludf.DUMMYFUNCTION("""COMPUTED_VALUE"""),"")</f>
        <v/>
      </c>
      <c r="T73" s="4" t="str">
        <f>IFERROR(__xludf.DUMMYFUNCTION("""COMPUTED_VALUE"""),"")</f>
        <v/>
      </c>
      <c r="U73" s="4" t="str">
        <f>IFERROR(__xludf.DUMMYFUNCTION("""COMPUTED_VALUE"""),"")</f>
        <v/>
      </c>
      <c r="V73" s="4" t="str">
        <f>IFERROR(__xludf.DUMMYFUNCTION("""COMPUTED_VALUE"""),"")</f>
        <v/>
      </c>
      <c r="W73" s="4" t="str">
        <f>IFERROR(__xludf.DUMMYFUNCTION("""COMPUTED_VALUE"""),"")</f>
        <v/>
      </c>
      <c r="X73" s="4" t="str">
        <f>IFERROR(__xludf.DUMMYFUNCTION("""COMPUTED_VALUE"""),"")</f>
        <v/>
      </c>
      <c r="Y73" s="4" t="str">
        <f>IFERROR(__xludf.DUMMYFUNCTION("""COMPUTED_VALUE"""),"")</f>
        <v/>
      </c>
    </row>
    <row r="74">
      <c r="A74" s="4" t="str">
        <f>IFERROR(__xludf.DUMMYFUNCTION("""COMPUTED_VALUE"""),"1815 - Channel")</f>
        <v>1815 - Channel</v>
      </c>
      <c r="B74" s="4" t="str">
        <f>IFERROR(__xludf.DUMMYFUNCTION("""COMPUTED_VALUE"""),"Channel 1")</f>
        <v>Channel 1</v>
      </c>
      <c r="C74" s="4" t="str">
        <f>IFERROR(__xludf.DUMMYFUNCTION("""COMPUTED_VALUE"""),"Day 1 - 23/06")</f>
        <v>Day 1 - 23/06</v>
      </c>
      <c r="D74" s="6">
        <f>IFERROR(__xludf.DUMMYFUNCTION("""COMPUTED_VALUE"""),0.5578935185185185)</f>
        <v>0.5578935185</v>
      </c>
      <c r="E74" s="6">
        <f>IFERROR(__xludf.DUMMYFUNCTION("""COMPUTED_VALUE"""),3.4722222222222224E-4)</f>
        <v>0.0003472222222</v>
      </c>
      <c r="F74" s="6">
        <f>IFERROR(__xludf.DUMMYFUNCTION("""COMPUTED_VALUE"""),0.5582407407407408)</f>
        <v>0.5582407407</v>
      </c>
      <c r="G74" s="4" t="str">
        <f>IFERROR(__xludf.DUMMYFUNCTION("""COMPUTED_VALUE"""),"")</f>
        <v/>
      </c>
      <c r="H74" s="4" t="str">
        <f>IFERROR(__xludf.DUMMYFUNCTION("""COMPUTED_VALUE"""),"")</f>
        <v/>
      </c>
      <c r="I74" s="4" t="str">
        <f>IFERROR(__xludf.DUMMYFUNCTION("""COMPUTED_VALUE"""),"")</f>
        <v/>
      </c>
      <c r="J74" s="4" t="str">
        <f>IFERROR(__xludf.DUMMYFUNCTION("""COMPUTED_VALUE"""),"")</f>
        <v/>
      </c>
      <c r="K74" s="4" t="str">
        <f>IFERROR(__xludf.DUMMYFUNCTION("""COMPUTED_VALUE"""),"Web Summit Trailer - short")</f>
        <v>Web Summit Trailer - short</v>
      </c>
      <c r="L74" s="4" t="str">
        <f>IFERROR(__xludf.DUMMYFUNCTION("""COMPUTED_VALUE"""),"")</f>
        <v/>
      </c>
      <c r="M74" s="4" t="str">
        <f>IFERROR(__xludf.DUMMYFUNCTION("""COMPUTED_VALUE"""),"web Summit promo")</f>
        <v>web Summit promo</v>
      </c>
      <c r="N74" s="4" t="str">
        <f>IFERROR(__xludf.DUMMYFUNCTION("""COMPUTED_VALUE"""),"")</f>
        <v/>
      </c>
      <c r="O74" s="4" t="str">
        <f>IFERROR(__xludf.DUMMYFUNCTION("""COMPUTED_VALUE"""),"")</f>
        <v/>
      </c>
      <c r="P74" s="4" t="str">
        <f>IFERROR(__xludf.DUMMYFUNCTION("""COMPUTED_VALUE"""),"")</f>
        <v/>
      </c>
      <c r="Q74" s="4" t="str">
        <f>IFERROR(__xludf.DUMMYFUNCTION("""COMPUTED_VALUE"""),"")</f>
        <v/>
      </c>
      <c r="R74" s="4" t="str">
        <f>IFERROR(__xludf.DUMMYFUNCTION("""COMPUTED_VALUE"""),"")</f>
        <v/>
      </c>
      <c r="S74" s="4" t="str">
        <f>IFERROR(__xludf.DUMMYFUNCTION("""COMPUTED_VALUE"""),"")</f>
        <v/>
      </c>
      <c r="T74" s="4" t="str">
        <f>IFERROR(__xludf.DUMMYFUNCTION("""COMPUTED_VALUE"""),"")</f>
        <v/>
      </c>
      <c r="U74" s="4" t="str">
        <f>IFERROR(__xludf.DUMMYFUNCTION("""COMPUTED_VALUE"""),"")</f>
        <v/>
      </c>
      <c r="V74" s="4" t="str">
        <f>IFERROR(__xludf.DUMMYFUNCTION("""COMPUTED_VALUE"""),"")</f>
        <v/>
      </c>
      <c r="W74" s="4" t="str">
        <f>IFERROR(__xludf.DUMMYFUNCTION("""COMPUTED_VALUE"""),"")</f>
        <v/>
      </c>
      <c r="X74" s="4" t="str">
        <f>IFERROR(__xludf.DUMMYFUNCTION("""COMPUTED_VALUE"""),"")</f>
        <v/>
      </c>
      <c r="Y74" s="4" t="str">
        <f>IFERROR(__xludf.DUMMYFUNCTION("""COMPUTED_VALUE"""),"")</f>
        <v/>
      </c>
    </row>
    <row r="75">
      <c r="A75" s="4" t="str">
        <f>IFERROR(__xludf.DUMMYFUNCTION("""COMPUTED_VALUE"""),"58 - Channel")</f>
        <v>58 - Channel</v>
      </c>
      <c r="B75" s="4" t="str">
        <f>IFERROR(__xludf.DUMMYFUNCTION("""COMPUTED_VALUE"""),"Channel 1")</f>
        <v>Channel 1</v>
      </c>
      <c r="C75" s="4" t="str">
        <f>IFERROR(__xludf.DUMMYFUNCTION("""COMPUTED_VALUE"""),"Day 1 - 23/06")</f>
        <v>Day 1 - 23/06</v>
      </c>
      <c r="D75" s="6">
        <f>IFERROR(__xludf.DUMMYFUNCTION("""COMPUTED_VALUE"""),0.5582407407407408)</f>
        <v>0.5582407407</v>
      </c>
      <c r="E75" s="6">
        <f>IFERROR(__xludf.DUMMYFUNCTION("""COMPUTED_VALUE"""),2.314814814814815E-4)</f>
        <v>0.0002314814815</v>
      </c>
      <c r="F75" s="6">
        <f>IFERROR(__xludf.DUMMYFUNCTION("""COMPUTED_VALUE"""),0.5584722222222223)</f>
        <v>0.5584722222</v>
      </c>
      <c r="G75" s="4" t="str">
        <f>IFERROR(__xludf.DUMMYFUNCTION("""COMPUTED_VALUE"""),"")</f>
        <v/>
      </c>
      <c r="H75" s="4" t="str">
        <f>IFERROR(__xludf.DUMMYFUNCTION("""COMPUTED_VALUE"""),"")</f>
        <v/>
      </c>
      <c r="I75" s="4" t="str">
        <f>IFERROR(__xludf.DUMMYFUNCTION("""COMPUTED_VALUE"""),"")</f>
        <v/>
      </c>
      <c r="J75" s="4" t="str">
        <f>IFERROR(__xludf.DUMMYFUNCTION("""COMPUTED_VALUE"""),"")</f>
        <v/>
      </c>
      <c r="K75" s="4" t="str">
        <f>IFERROR(__xludf.DUMMYFUNCTION("""COMPUTED_VALUE"""),"Talk Intro")</f>
        <v>Talk Intro</v>
      </c>
      <c r="L75" s="4" t="str">
        <f>IFERROR(__xludf.DUMMYFUNCTION("""COMPUTED_VALUE"""),"")</f>
        <v/>
      </c>
      <c r="M75" s="4" t="str">
        <f>IFERROR(__xludf.DUMMYFUNCTION("""COMPUTED_VALUE"""),"Talk intro ")</f>
        <v>Talk intro </v>
      </c>
      <c r="N75" s="4" t="str">
        <f>IFERROR(__xludf.DUMMYFUNCTION("""COMPUTED_VALUE"""),"Casey Lau, Web Summit")</f>
        <v>Casey Lau, Web Summit</v>
      </c>
      <c r="O75" s="4" t="str">
        <f>IFERROR(__xludf.DUMMYFUNCTION("""COMPUTED_VALUE"""),"")</f>
        <v/>
      </c>
      <c r="P75" s="4" t="str">
        <f>IFERROR(__xludf.DUMMYFUNCTION("""COMPUTED_VALUE"""),"")</f>
        <v/>
      </c>
      <c r="Q75" s="4" t="str">
        <f>IFERROR(__xludf.DUMMYFUNCTION("""COMPUTED_VALUE"""),"")</f>
        <v/>
      </c>
      <c r="R75" s="4" t="str">
        <f>IFERROR(__xludf.DUMMYFUNCTION("""COMPUTED_VALUE"""),"")</f>
        <v/>
      </c>
      <c r="S75" s="4" t="str">
        <f>IFERROR(__xludf.DUMMYFUNCTION("""COMPUTED_VALUE"""),"")</f>
        <v/>
      </c>
      <c r="T75" s="4" t="str">
        <f>IFERROR(__xludf.DUMMYFUNCTION("""COMPUTED_VALUE"""),"")</f>
        <v/>
      </c>
      <c r="U75" s="4" t="str">
        <f>IFERROR(__xludf.DUMMYFUNCTION("""COMPUTED_VALUE"""),"")</f>
        <v/>
      </c>
      <c r="V75" s="4" t="str">
        <f>IFERROR(__xludf.DUMMYFUNCTION("""COMPUTED_VALUE"""),"")</f>
        <v/>
      </c>
      <c r="W75" s="4" t="str">
        <f>IFERROR(__xludf.DUMMYFUNCTION("""COMPUTED_VALUE"""),"")</f>
        <v/>
      </c>
      <c r="X75" s="4" t="str">
        <f>IFERROR(__xludf.DUMMYFUNCTION("""COMPUTED_VALUE"""),"")</f>
        <v/>
      </c>
      <c r="Y75" s="4" t="str">
        <f>IFERROR(__xludf.DUMMYFUNCTION("""COMPUTED_VALUE"""),"")</f>
        <v/>
      </c>
    </row>
    <row r="76">
      <c r="A76" s="4" t="str">
        <f>IFERROR(__xludf.DUMMYFUNCTION("""COMPUTED_VALUE"""),"59 - Channel")</f>
        <v>59 - Channel</v>
      </c>
      <c r="B76" s="4" t="str">
        <f>IFERROR(__xludf.DUMMYFUNCTION("""COMPUTED_VALUE"""),"Channel 1")</f>
        <v>Channel 1</v>
      </c>
      <c r="C76" s="4" t="str">
        <f>IFERROR(__xludf.DUMMYFUNCTION("""COMPUTED_VALUE"""),"Day 1 - 23/06")</f>
        <v>Day 1 - 23/06</v>
      </c>
      <c r="D76" s="6">
        <f>IFERROR(__xludf.DUMMYFUNCTION("""COMPUTED_VALUE"""),0.5584722222222223)</f>
        <v>0.5584722222</v>
      </c>
      <c r="E76" s="6">
        <f>IFERROR(__xludf.DUMMYFUNCTION("""COMPUTED_VALUE"""),0.00818287037037037)</f>
        <v>0.00818287037</v>
      </c>
      <c r="F76" s="6">
        <f>IFERROR(__xludf.DUMMYFUNCTION("""COMPUTED_VALUE"""),0.5666550925925926)</f>
        <v>0.5666550926</v>
      </c>
      <c r="G76" s="4" t="str">
        <f>IFERROR(__xludf.DUMMYFUNCTION("""COMPUTED_VALUE"""),"Gavin")</f>
        <v>Gavin</v>
      </c>
      <c r="H76" s="4" t="str">
        <f>IFERROR(__xludf.DUMMYFUNCTION("""COMPUTED_VALUE"""),"Eoghan")</f>
        <v>Eoghan</v>
      </c>
      <c r="I76" s="4" t="str">
        <f>IFERROR(__xludf.DUMMYFUNCTION("""COMPUTED_VALUE"""),"Lynn")</f>
        <v>Lynn</v>
      </c>
      <c r="J76" s="4" t="str">
        <f>IFERROR(__xludf.DUMMYFUNCTION("""COMPUTED_VALUE"""),"Health")</f>
        <v>Health</v>
      </c>
      <c r="K76" s="4" t="str">
        <f>IFERROR(__xludf.DUMMYFUNCTION("""COMPUTED_VALUE"""),"Super Fireside")</f>
        <v>Super Fireside</v>
      </c>
      <c r="L76" s="4" t="str">
        <f>IFERROR(__xludf.DUMMYFUNCTION("""COMPUTED_VALUE"""),"T- 6 - 11/05/2020")</f>
        <v>T- 6 - 11/05/2020</v>
      </c>
      <c r="M76" s="4" t="str">
        <f>IFERROR(__xludf.DUMMYFUNCTION("""COMPUTED_VALUE"""),"Anxiety in a time of isolation")</f>
        <v>Anxiety in a time of isolation</v>
      </c>
      <c r="N76" s="4" t="str">
        <f>IFERROR(__xludf.DUMMYFUNCTION("""COMPUTED_VALUE"""),"Richard Friedman, Weill Cornell")</f>
        <v>Richard Friedman, Weill Cornell</v>
      </c>
      <c r="O76" s="4" t="str">
        <f>IFERROR(__xludf.DUMMYFUNCTION("""COMPUTED_VALUE"""),"Justin McLeod, Hinge")</f>
        <v>Justin McLeod, Hinge</v>
      </c>
      <c r="P76" s="4" t="str">
        <f>IFERROR(__xludf.DUMMYFUNCTION("""COMPUTED_VALUE"""),"")</f>
        <v/>
      </c>
      <c r="Q76" s="4" t="str">
        <f>IFERROR(__xludf.DUMMYFUNCTION("""COMPUTED_VALUE"""),"")</f>
        <v/>
      </c>
      <c r="R76" s="4" t="str">
        <f>IFERROR(__xludf.DUMMYFUNCTION("""COMPUTED_VALUE"""),"Shannon Palus, Slate")</f>
        <v>Shannon Palus, Slate</v>
      </c>
      <c r="S76" s="4" t="str">
        <f>IFERROR(__xludf.DUMMYFUNCTION("""COMPUTED_VALUE"""),"Combatting anxiety is a challenge even in 'normal' times. Finding solace in the time of Covid-19 is even harder. This session will explore how we can stay sane in spite of all the craziness around us.")</f>
        <v>Combatting anxiety is a challenge even in 'normal' times. Finding solace in the time of Covid-19 is even harder. This session will explore how we can stay sane in spite of all the craziness around us.</v>
      </c>
      <c r="T76" s="4" t="str">
        <f>IFERROR(__xludf.DUMMYFUNCTION("""COMPUTED_VALUE"""),"NON-KEYNOTE 9 - COMPLETE")</f>
        <v>NON-KEYNOTE 9 - COMPLETE</v>
      </c>
      <c r="U76" s="23">
        <f>IFERROR(__xludf.DUMMYFUNCTION("""COMPUTED_VALUE"""),43965.0)</f>
        <v>43965</v>
      </c>
      <c r="V76" s="24">
        <f>IFERROR(__xludf.DUMMYFUNCTION("""COMPUTED_VALUE"""),0.7083333333333334)</f>
        <v>0.7083333333</v>
      </c>
      <c r="W76" s="4" t="str">
        <f>IFERROR(__xludf.DUMMYFUNCTION("""COMPUTED_VALUE"""),"COMPLETE")</f>
        <v>COMPLETE</v>
      </c>
      <c r="X76" s="4" t="str">
        <f>IFERROR(__xludf.DUMMYFUNCTION("""COMPUTED_VALUE"""),"Gavin")</f>
        <v>Gavin</v>
      </c>
      <c r="Y76" s="4" t="str">
        <f>IFERROR(__xludf.DUMMYFUNCTION("""COMPUTED_VALUE"""),"")</f>
        <v/>
      </c>
    </row>
    <row r="77">
      <c r="A77" s="4" t="str">
        <f>IFERROR(__xludf.DUMMYFUNCTION("""COMPUTED_VALUE"""),"69 - Channel")</f>
        <v>69 - Channel</v>
      </c>
      <c r="B77" s="4" t="str">
        <f>IFERROR(__xludf.DUMMYFUNCTION("""COMPUTED_VALUE"""),"Channel 1")</f>
        <v>Channel 1</v>
      </c>
      <c r="C77" s="4" t="str">
        <f>IFERROR(__xludf.DUMMYFUNCTION("""COMPUTED_VALUE"""),"Day 1 - 23/06")</f>
        <v>Day 1 - 23/06</v>
      </c>
      <c r="D77" s="6">
        <f>IFERROR(__xludf.DUMMYFUNCTION("""COMPUTED_VALUE"""),0.5666550925925926)</f>
        <v>0.5666550926</v>
      </c>
      <c r="E77" s="6">
        <f>IFERROR(__xludf.DUMMYFUNCTION("""COMPUTED_VALUE"""),2.314814814814815E-4)</f>
        <v>0.0002314814815</v>
      </c>
      <c r="F77" s="6">
        <f>IFERROR(__xludf.DUMMYFUNCTION("""COMPUTED_VALUE"""),0.5668865740740741)</f>
        <v>0.5668865741</v>
      </c>
      <c r="G77" s="4" t="str">
        <f>IFERROR(__xludf.DUMMYFUNCTION("""COMPUTED_VALUE"""),"")</f>
        <v/>
      </c>
      <c r="H77" s="4" t="str">
        <f>IFERROR(__xludf.DUMMYFUNCTION("""COMPUTED_VALUE"""),"")</f>
        <v/>
      </c>
      <c r="I77" s="4" t="str">
        <f>IFERROR(__xludf.DUMMYFUNCTION("""COMPUTED_VALUE"""),"")</f>
        <v/>
      </c>
      <c r="J77" s="4" t="str">
        <f>IFERROR(__xludf.DUMMYFUNCTION("""COMPUTED_VALUE"""),"")</f>
        <v/>
      </c>
      <c r="K77" s="4" t="str">
        <f>IFERROR(__xludf.DUMMYFUNCTION("""COMPUTED_VALUE"""),"Talk Intro")</f>
        <v>Talk Intro</v>
      </c>
      <c r="L77" s="4" t="str">
        <f>IFERROR(__xludf.DUMMYFUNCTION("""COMPUTED_VALUE"""),"")</f>
        <v/>
      </c>
      <c r="M77" s="4" t="str">
        <f>IFERROR(__xludf.DUMMYFUNCTION("""COMPUTED_VALUE"""),"Teaser: UA_Intro")</f>
        <v>Teaser: UA_Intro</v>
      </c>
      <c r="N77" s="4" t="str">
        <f>IFERROR(__xludf.DUMMYFUNCTION("""COMPUTED_VALUE"""),"Casey Lau, Web Summit")</f>
        <v>Casey Lau, Web Summit</v>
      </c>
      <c r="O77" s="4" t="str">
        <f>IFERROR(__xludf.DUMMYFUNCTION("""COMPUTED_VALUE"""),"")</f>
        <v/>
      </c>
      <c r="P77" s="4" t="str">
        <f>IFERROR(__xludf.DUMMYFUNCTION("""COMPUTED_VALUE"""),"")</f>
        <v/>
      </c>
      <c r="Q77" s="4" t="str">
        <f>IFERROR(__xludf.DUMMYFUNCTION("""COMPUTED_VALUE"""),"")</f>
        <v/>
      </c>
      <c r="R77" s="4" t="str">
        <f>IFERROR(__xludf.DUMMYFUNCTION("""COMPUTED_VALUE"""),"")</f>
        <v/>
      </c>
      <c r="S77" s="4" t="str">
        <f>IFERROR(__xludf.DUMMYFUNCTION("""COMPUTED_VALUE"""),"")</f>
        <v/>
      </c>
      <c r="T77" s="4" t="str">
        <f>IFERROR(__xludf.DUMMYFUNCTION("""COMPUTED_VALUE"""),"")</f>
        <v/>
      </c>
      <c r="U77" s="4" t="str">
        <f>IFERROR(__xludf.DUMMYFUNCTION("""COMPUTED_VALUE"""),"")</f>
        <v/>
      </c>
      <c r="V77" s="4" t="str">
        <f>IFERROR(__xludf.DUMMYFUNCTION("""COMPUTED_VALUE"""),"")</f>
        <v/>
      </c>
      <c r="W77" s="4" t="str">
        <f>IFERROR(__xludf.DUMMYFUNCTION("""COMPUTED_VALUE"""),"")</f>
        <v/>
      </c>
      <c r="X77" s="4" t="str">
        <f>IFERROR(__xludf.DUMMYFUNCTION("""COMPUTED_VALUE"""),"")</f>
        <v/>
      </c>
      <c r="Y77" s="4" t="str">
        <f>IFERROR(__xludf.DUMMYFUNCTION("""COMPUTED_VALUE"""),"")</f>
        <v/>
      </c>
    </row>
    <row r="78">
      <c r="A78" s="4" t="str">
        <f>IFERROR(__xludf.DUMMYFUNCTION("""COMPUTED_VALUE"""),"1399 - Channel")</f>
        <v>1399 - Channel</v>
      </c>
      <c r="B78" s="4" t="str">
        <f>IFERROR(__xludf.DUMMYFUNCTION("""COMPUTED_VALUE"""),"Channel 1")</f>
        <v>Channel 1</v>
      </c>
      <c r="C78" s="4" t="str">
        <f>IFERROR(__xludf.DUMMYFUNCTION("""COMPUTED_VALUE"""),"Day 1 - 23/06")</f>
        <v>Day 1 - 23/06</v>
      </c>
      <c r="D78" s="6">
        <f>IFERROR(__xludf.DUMMYFUNCTION("""COMPUTED_VALUE"""),0.5668865740740741)</f>
        <v>0.5668865741</v>
      </c>
      <c r="E78" s="6">
        <f>IFERROR(__xludf.DUMMYFUNCTION("""COMPUTED_VALUE"""),0.0020833333333333333)</f>
        <v>0.002083333333</v>
      </c>
      <c r="F78" s="6">
        <f>IFERROR(__xludf.DUMMYFUNCTION("""COMPUTED_VALUE"""),0.5689699074074074)</f>
        <v>0.5689699074</v>
      </c>
      <c r="G78" s="4" t="str">
        <f>IFERROR(__xludf.DUMMYFUNCTION("""COMPUTED_VALUE"""),"")</f>
        <v/>
      </c>
      <c r="H78" s="4" t="str">
        <f>IFERROR(__xludf.DUMMYFUNCTION("""COMPUTED_VALUE"""),"")</f>
        <v/>
      </c>
      <c r="I78" s="4" t="str">
        <f>IFERROR(__xludf.DUMMYFUNCTION("""COMPUTED_VALUE"""),"")</f>
        <v/>
      </c>
      <c r="J78" s="4" t="str">
        <f>IFERROR(__xludf.DUMMYFUNCTION("""COMPUTED_VALUE"""),"")</f>
        <v/>
      </c>
      <c r="K78" s="4" t="str">
        <f>IFERROR(__xludf.DUMMYFUNCTION("""COMPUTED_VALUE"""),"Teaser")</f>
        <v>Teaser</v>
      </c>
      <c r="L78" s="4" t="str">
        <f>IFERROR(__xludf.DUMMYFUNCTION("""COMPUTED_VALUE"""),"")</f>
        <v/>
      </c>
      <c r="M78" s="4" t="str">
        <f>IFERROR(__xludf.DUMMYFUNCTION("""COMPUTED_VALUE"""),"Teaser: Under Armour")</f>
        <v>Teaser: Under Armour</v>
      </c>
      <c r="N78" s="4" t="str">
        <f>IFERROR(__xludf.DUMMYFUNCTION("""COMPUTED_VALUE"""),"")</f>
        <v/>
      </c>
      <c r="O78" s="4" t="str">
        <f>IFERROR(__xludf.DUMMYFUNCTION("""COMPUTED_VALUE"""),"")</f>
        <v/>
      </c>
      <c r="P78" s="4" t="str">
        <f>IFERROR(__xludf.DUMMYFUNCTION("""COMPUTED_VALUE"""),"")</f>
        <v/>
      </c>
      <c r="Q78" s="4" t="str">
        <f>IFERROR(__xludf.DUMMYFUNCTION("""COMPUTED_VALUE"""),"")</f>
        <v/>
      </c>
      <c r="R78" s="4" t="str">
        <f>IFERROR(__xludf.DUMMYFUNCTION("""COMPUTED_VALUE"""),"")</f>
        <v/>
      </c>
      <c r="S78" s="4" t="str">
        <f>IFERROR(__xludf.DUMMYFUNCTION("""COMPUTED_VALUE"""),"")</f>
        <v/>
      </c>
      <c r="T78" s="4" t="str">
        <f>IFERROR(__xludf.DUMMYFUNCTION("""COMPUTED_VALUE"""),"")</f>
        <v/>
      </c>
      <c r="U78" s="4" t="str">
        <f>IFERROR(__xludf.DUMMYFUNCTION("""COMPUTED_VALUE"""),"")</f>
        <v/>
      </c>
      <c r="V78" s="4" t="str">
        <f>IFERROR(__xludf.DUMMYFUNCTION("""COMPUTED_VALUE"""),"")</f>
        <v/>
      </c>
      <c r="W78" s="4" t="str">
        <f>IFERROR(__xludf.DUMMYFUNCTION("""COMPUTED_VALUE"""),"")</f>
        <v/>
      </c>
      <c r="X78" s="4" t="str">
        <f>IFERROR(__xludf.DUMMYFUNCTION("""COMPUTED_VALUE"""),"")</f>
        <v/>
      </c>
      <c r="Y78" s="4" t="str">
        <f>IFERROR(__xludf.DUMMYFUNCTION("""COMPUTED_VALUE"""),"")</f>
        <v/>
      </c>
    </row>
    <row r="79">
      <c r="A79" s="4" t="str">
        <f>IFERROR(__xludf.DUMMYFUNCTION("""COMPUTED_VALUE"""),"2242 - Channel")</f>
        <v>2242 - Channel</v>
      </c>
      <c r="B79" s="4" t="str">
        <f>IFERROR(__xludf.DUMMYFUNCTION("""COMPUTED_VALUE"""),"Channel 1")</f>
        <v>Channel 1</v>
      </c>
      <c r="C79" s="4" t="str">
        <f>IFERROR(__xludf.DUMMYFUNCTION("""COMPUTED_VALUE"""),"Day 1 - 23/06")</f>
        <v>Day 1 - 23/06</v>
      </c>
      <c r="D79" s="6">
        <f>IFERROR(__xludf.DUMMYFUNCTION("""COMPUTED_VALUE"""),0.5689699074074074)</f>
        <v>0.5689699074</v>
      </c>
      <c r="E79" s="6">
        <f>IFERROR(__xludf.DUMMYFUNCTION("""COMPUTED_VALUE"""),2.314814814814815E-4)</f>
        <v>0.0002314814815</v>
      </c>
      <c r="F79" s="6">
        <f>IFERROR(__xludf.DUMMYFUNCTION("""COMPUTED_VALUE"""),0.5692013888888888)</f>
        <v>0.5692013889</v>
      </c>
      <c r="G79" s="4" t="str">
        <f>IFERROR(__xludf.DUMMYFUNCTION("""COMPUTED_VALUE"""),"")</f>
        <v/>
      </c>
      <c r="H79" s="4" t="str">
        <f>IFERROR(__xludf.DUMMYFUNCTION("""COMPUTED_VALUE"""),"")</f>
        <v/>
      </c>
      <c r="I79" s="4" t="str">
        <f>IFERROR(__xludf.DUMMYFUNCTION("""COMPUTED_VALUE"""),"")</f>
        <v/>
      </c>
      <c r="J79" s="4" t="str">
        <f>IFERROR(__xludf.DUMMYFUNCTION("""COMPUTED_VALUE"""),"")</f>
        <v/>
      </c>
      <c r="K79" s="4" t="str">
        <f>IFERROR(__xludf.DUMMYFUNCTION("""COMPUTED_VALUE"""),"Talk Outro")</f>
        <v>Talk Outro</v>
      </c>
      <c r="L79" s="4" t="str">
        <f>IFERROR(__xludf.DUMMYFUNCTION("""COMPUTED_VALUE"""),"")</f>
        <v/>
      </c>
      <c r="M79" s="4" t="str">
        <f>IFERROR(__xludf.DUMMYFUNCTION("""COMPUTED_VALUE"""),"Call to action")</f>
        <v>Call to action</v>
      </c>
      <c r="N79" s="4" t="str">
        <f>IFERROR(__xludf.DUMMYFUNCTION("""COMPUTED_VALUE"""),"Casey Lau, Web Summit")</f>
        <v>Casey Lau, Web Summit</v>
      </c>
      <c r="O79" s="4" t="str">
        <f>IFERROR(__xludf.DUMMYFUNCTION("""COMPUTED_VALUE"""),"")</f>
        <v/>
      </c>
      <c r="P79" s="4" t="str">
        <f>IFERROR(__xludf.DUMMYFUNCTION("""COMPUTED_VALUE"""),"")</f>
        <v/>
      </c>
      <c r="Q79" s="4" t="str">
        <f>IFERROR(__xludf.DUMMYFUNCTION("""COMPUTED_VALUE"""),"")</f>
        <v/>
      </c>
      <c r="R79" s="4" t="str">
        <f>IFERROR(__xludf.DUMMYFUNCTION("""COMPUTED_VALUE"""),"")</f>
        <v/>
      </c>
      <c r="S79" s="4" t="str">
        <f>IFERROR(__xludf.DUMMYFUNCTION("""COMPUTED_VALUE"""),"")</f>
        <v/>
      </c>
      <c r="T79" s="4" t="str">
        <f>IFERROR(__xludf.DUMMYFUNCTION("""COMPUTED_VALUE"""),"")</f>
        <v/>
      </c>
      <c r="U79" s="4" t="str">
        <f>IFERROR(__xludf.DUMMYFUNCTION("""COMPUTED_VALUE"""),"")</f>
        <v/>
      </c>
      <c r="V79" s="4" t="str">
        <f>IFERROR(__xludf.DUMMYFUNCTION("""COMPUTED_VALUE"""),"")</f>
        <v/>
      </c>
      <c r="W79" s="4" t="str">
        <f>IFERROR(__xludf.DUMMYFUNCTION("""COMPUTED_VALUE"""),"")</f>
        <v/>
      </c>
      <c r="X79" s="4" t="str">
        <f>IFERROR(__xludf.DUMMYFUNCTION("""COMPUTED_VALUE"""),"")</f>
        <v/>
      </c>
      <c r="Y79" s="4" t="str">
        <f>IFERROR(__xludf.DUMMYFUNCTION("""COMPUTED_VALUE"""),"")</f>
        <v/>
      </c>
    </row>
    <row r="80">
      <c r="A80" s="4" t="str">
        <f>IFERROR(__xludf.DUMMYFUNCTION("""COMPUTED_VALUE"""),"1395 - Channel")</f>
        <v>1395 - Channel</v>
      </c>
      <c r="B80" s="4" t="str">
        <f>IFERROR(__xludf.DUMMYFUNCTION("""COMPUTED_VALUE"""),"Channel 1")</f>
        <v>Channel 1</v>
      </c>
      <c r="C80" s="4" t="str">
        <f>IFERROR(__xludf.DUMMYFUNCTION("""COMPUTED_VALUE"""),"Day 1 - 23/06")</f>
        <v>Day 1 - 23/06</v>
      </c>
      <c r="D80" s="6">
        <f>IFERROR(__xludf.DUMMYFUNCTION("""COMPUTED_VALUE"""),0.5692013888888888)</f>
        <v>0.5692013889</v>
      </c>
      <c r="E80" s="6">
        <f>IFERROR(__xludf.DUMMYFUNCTION("""COMPUTED_VALUE"""),3.4722222222222224E-4)</f>
        <v>0.0003472222222</v>
      </c>
      <c r="F80" s="6">
        <f>IFERROR(__xludf.DUMMYFUNCTION("""COMPUTED_VALUE"""),0.5695486111111111)</f>
        <v>0.5695486111</v>
      </c>
      <c r="G80" s="4" t="str">
        <f>IFERROR(__xludf.DUMMYFUNCTION("""COMPUTED_VALUE"""),"")</f>
        <v/>
      </c>
      <c r="H80" s="4" t="str">
        <f>IFERROR(__xludf.DUMMYFUNCTION("""COMPUTED_VALUE"""),"")</f>
        <v/>
      </c>
      <c r="I80" s="4" t="str">
        <f>IFERROR(__xludf.DUMMYFUNCTION("""COMPUTED_VALUE"""),"")</f>
        <v/>
      </c>
      <c r="J80" s="4" t="str">
        <f>IFERROR(__xludf.DUMMYFUNCTION("""COMPUTED_VALUE"""),"")</f>
        <v/>
      </c>
      <c r="K80" s="4" t="str">
        <f>IFERROR(__xludf.DUMMYFUNCTION("""COMPUTED_VALUE"""),"Web Summit Trailer - full")</f>
        <v>Web Summit Trailer - full</v>
      </c>
      <c r="L80" s="4" t="str">
        <f>IFERROR(__xludf.DUMMYFUNCTION("""COMPUTED_VALUE"""),"")</f>
        <v/>
      </c>
      <c r="M80" s="4" t="str">
        <f>IFERROR(__xludf.DUMMYFUNCTION("""COMPUTED_VALUE"""),"Web Summit promo")</f>
        <v>Web Summit promo</v>
      </c>
      <c r="N80" s="4" t="str">
        <f>IFERROR(__xludf.DUMMYFUNCTION("""COMPUTED_VALUE"""),"Content pending")</f>
        <v>Content pending</v>
      </c>
      <c r="O80" s="4" t="str">
        <f>IFERROR(__xludf.DUMMYFUNCTION("""COMPUTED_VALUE"""),"")</f>
        <v/>
      </c>
      <c r="P80" s="4" t="str">
        <f>IFERROR(__xludf.DUMMYFUNCTION("""COMPUTED_VALUE"""),"")</f>
        <v/>
      </c>
      <c r="Q80" s="4" t="str">
        <f>IFERROR(__xludf.DUMMYFUNCTION("""COMPUTED_VALUE"""),"")</f>
        <v/>
      </c>
      <c r="R80" s="4" t="str">
        <f>IFERROR(__xludf.DUMMYFUNCTION("""COMPUTED_VALUE"""),"")</f>
        <v/>
      </c>
      <c r="S80" s="4" t="str">
        <f>IFERROR(__xludf.DUMMYFUNCTION("""COMPUTED_VALUE"""),"")</f>
        <v/>
      </c>
      <c r="T80" s="4" t="str">
        <f>IFERROR(__xludf.DUMMYFUNCTION("""COMPUTED_VALUE"""),"")</f>
        <v/>
      </c>
      <c r="U80" s="4" t="str">
        <f>IFERROR(__xludf.DUMMYFUNCTION("""COMPUTED_VALUE"""),"")</f>
        <v/>
      </c>
      <c r="V80" s="4" t="str">
        <f>IFERROR(__xludf.DUMMYFUNCTION("""COMPUTED_VALUE"""),"")</f>
        <v/>
      </c>
      <c r="W80" s="4" t="str">
        <f>IFERROR(__xludf.DUMMYFUNCTION("""COMPUTED_VALUE"""),"")</f>
        <v/>
      </c>
      <c r="X80" s="4" t="str">
        <f>IFERROR(__xludf.DUMMYFUNCTION("""COMPUTED_VALUE"""),"")</f>
        <v/>
      </c>
      <c r="Y80" s="4" t="str">
        <f>IFERROR(__xludf.DUMMYFUNCTION("""COMPUTED_VALUE"""),"")</f>
        <v/>
      </c>
    </row>
    <row r="81">
      <c r="A81" s="4" t="str">
        <f>IFERROR(__xludf.DUMMYFUNCTION("""COMPUTED_VALUE"""),"311 - Channel")</f>
        <v>311 - Channel</v>
      </c>
      <c r="B81" s="4" t="str">
        <f>IFERROR(__xludf.DUMMYFUNCTION("""COMPUTED_VALUE"""),"Channel 1")</f>
        <v>Channel 1</v>
      </c>
      <c r="C81" s="4" t="str">
        <f>IFERROR(__xludf.DUMMYFUNCTION("""COMPUTED_VALUE"""),"Day 1 - 23/06")</f>
        <v>Day 1 - 23/06</v>
      </c>
      <c r="D81" s="6">
        <f>IFERROR(__xludf.DUMMYFUNCTION("""COMPUTED_VALUE"""),0.5695486111111111)</f>
        <v>0.5695486111</v>
      </c>
      <c r="E81" s="6">
        <f>IFERROR(__xludf.DUMMYFUNCTION("""COMPUTED_VALUE"""),2.314814814814815E-4)</f>
        <v>0.0002314814815</v>
      </c>
      <c r="F81" s="6">
        <f>IFERROR(__xludf.DUMMYFUNCTION("""COMPUTED_VALUE"""),0.5697800925925925)</f>
        <v>0.5697800926</v>
      </c>
      <c r="G81" s="4" t="str">
        <f>IFERROR(__xludf.DUMMYFUNCTION("""COMPUTED_VALUE"""),"")</f>
        <v/>
      </c>
      <c r="H81" s="4" t="str">
        <f>IFERROR(__xludf.DUMMYFUNCTION("""COMPUTED_VALUE"""),"")</f>
        <v/>
      </c>
      <c r="I81" s="4" t="str">
        <f>IFERROR(__xludf.DUMMYFUNCTION("""COMPUTED_VALUE"""),"")</f>
        <v/>
      </c>
      <c r="J81" s="4" t="str">
        <f>IFERROR(__xludf.DUMMYFUNCTION("""COMPUTED_VALUE"""),"")</f>
        <v/>
      </c>
      <c r="K81" s="4" t="str">
        <f>IFERROR(__xludf.DUMMYFUNCTION("""COMPUTED_VALUE"""),"Talk Intro")</f>
        <v>Talk Intro</v>
      </c>
      <c r="L81" s="4" t="str">
        <f>IFERROR(__xludf.DUMMYFUNCTION("""COMPUTED_VALUE"""),"")</f>
        <v/>
      </c>
      <c r="M81" s="4" t="str">
        <f>IFERROR(__xludf.DUMMYFUNCTION("""COMPUTED_VALUE"""),"Talk intro ")</f>
        <v>Talk intro </v>
      </c>
      <c r="N81" s="4" t="str">
        <f>IFERROR(__xludf.DUMMYFUNCTION("""COMPUTED_VALUE"""),"Casey Lau, Web Summit")</f>
        <v>Casey Lau, Web Summit</v>
      </c>
      <c r="O81" s="4" t="str">
        <f>IFERROR(__xludf.DUMMYFUNCTION("""COMPUTED_VALUE"""),"")</f>
        <v/>
      </c>
      <c r="P81" s="4" t="str">
        <f>IFERROR(__xludf.DUMMYFUNCTION("""COMPUTED_VALUE"""),"")</f>
        <v/>
      </c>
      <c r="Q81" s="4" t="str">
        <f>IFERROR(__xludf.DUMMYFUNCTION("""COMPUTED_VALUE"""),"")</f>
        <v/>
      </c>
      <c r="R81" s="4" t="str">
        <f>IFERROR(__xludf.DUMMYFUNCTION("""COMPUTED_VALUE"""),"")</f>
        <v/>
      </c>
      <c r="S81" s="4" t="str">
        <f>IFERROR(__xludf.DUMMYFUNCTION("""COMPUTED_VALUE"""),"")</f>
        <v/>
      </c>
      <c r="T81" s="4" t="str">
        <f>IFERROR(__xludf.DUMMYFUNCTION("""COMPUTED_VALUE"""),"")</f>
        <v/>
      </c>
      <c r="U81" s="4" t="str">
        <f>IFERROR(__xludf.DUMMYFUNCTION("""COMPUTED_VALUE"""),"")</f>
        <v/>
      </c>
      <c r="V81" s="4" t="str">
        <f>IFERROR(__xludf.DUMMYFUNCTION("""COMPUTED_VALUE"""),"")</f>
        <v/>
      </c>
      <c r="W81" s="4" t="str">
        <f>IFERROR(__xludf.DUMMYFUNCTION("""COMPUTED_VALUE"""),"")</f>
        <v/>
      </c>
      <c r="X81" s="4" t="str">
        <f>IFERROR(__xludf.DUMMYFUNCTION("""COMPUTED_VALUE"""),"")</f>
        <v/>
      </c>
      <c r="Y81" s="4" t="str">
        <f>IFERROR(__xludf.DUMMYFUNCTION("""COMPUTED_VALUE"""),"")</f>
        <v/>
      </c>
    </row>
    <row r="82">
      <c r="A82" s="4" t="str">
        <f>IFERROR(__xludf.DUMMYFUNCTION("""COMPUTED_VALUE"""),"312 - Channel")</f>
        <v>312 - Channel</v>
      </c>
      <c r="B82" s="4" t="str">
        <f>IFERROR(__xludf.DUMMYFUNCTION("""COMPUTED_VALUE"""),"Channel 1")</f>
        <v>Channel 1</v>
      </c>
      <c r="C82" s="4" t="str">
        <f>IFERROR(__xludf.DUMMYFUNCTION("""COMPUTED_VALUE"""),"Day 1 - 23/06")</f>
        <v>Day 1 - 23/06</v>
      </c>
      <c r="D82" s="6">
        <f>IFERROR(__xludf.DUMMYFUNCTION("""COMPUTED_VALUE"""),0.5697800925925925)</f>
        <v>0.5697800926</v>
      </c>
      <c r="E82" s="6">
        <f>IFERROR(__xludf.DUMMYFUNCTION("""COMPUTED_VALUE"""),0.013657407407407408)</f>
        <v>0.01365740741</v>
      </c>
      <c r="F82" s="6">
        <f>IFERROR(__xludf.DUMMYFUNCTION("""COMPUTED_VALUE"""),0.5834374999999999)</f>
        <v>0.5834375</v>
      </c>
      <c r="G82" s="6" t="str">
        <f>IFERROR(__xludf.DUMMYFUNCTION("""COMPUTED_VALUE"""),"Lobna")</f>
        <v>Lobna</v>
      </c>
      <c r="H82" s="4" t="str">
        <f>IFERROR(__xludf.DUMMYFUNCTION("""COMPUTED_VALUE"""),"")</f>
        <v/>
      </c>
      <c r="I82" s="4" t="str">
        <f>IFERROR(__xludf.DUMMYFUNCTION("""COMPUTED_VALUE"""),"Eabha")</f>
        <v>Eabha</v>
      </c>
      <c r="J82" s="4" t="str">
        <f>IFERROR(__xludf.DUMMYFUNCTION("""COMPUTED_VALUE"""),"")</f>
        <v/>
      </c>
      <c r="K82" s="4" t="str">
        <f>IFERROR(__xludf.DUMMYFUNCTION("""COMPUTED_VALUE"""),"Panel")</f>
        <v>Panel</v>
      </c>
      <c r="L82" s="4" t="str">
        <f>IFERROR(__xludf.DUMMYFUNCTION("""COMPUTED_VALUE"""),"T- 7 - 04/05/2020")</f>
        <v>T- 7 - 04/05/2020</v>
      </c>
      <c r="M82" s="4" t="str">
        <f>IFERROR(__xludf.DUMMYFUNCTION("""COMPUTED_VALUE"""),"Content from Home: TikTok's greatest challenge")</f>
        <v>Content from Home: TikTok's greatest challenge</v>
      </c>
      <c r="N82" s="4" t="str">
        <f>IFERROR(__xludf.DUMMYFUNCTION("""COMPUTED_VALUE"""),"Josh Sadowski, Josh Sadowski")</f>
        <v>Josh Sadowski, Josh Sadowski</v>
      </c>
      <c r="O82" s="4" t="str">
        <f>IFERROR(__xludf.DUMMYFUNCTION("""COMPUTED_VALUE"""),"Hope Schwing, Hope Schwing")</f>
        <v>Hope Schwing, Hope Schwing</v>
      </c>
      <c r="P82" s="4" t="str">
        <f>IFERROR(__xludf.DUMMYFUNCTION("""COMPUTED_VALUE"""),"")</f>
        <v/>
      </c>
      <c r="Q82" s="4" t="str">
        <f>IFERROR(__xludf.DUMMYFUNCTION("""COMPUTED_VALUE"""),"")</f>
        <v/>
      </c>
      <c r="R82" s="4" t="str">
        <f>IFERROR(__xludf.DUMMYFUNCTION("""COMPUTED_VALUE"""),"Jacob Pace, Flighthouse")</f>
        <v>Jacob Pace, Flighthouse</v>
      </c>
      <c r="S82" s="4" t="str">
        <f>IFERROR(__xludf.DUMMYFUNCTION("""COMPUTED_VALUE"""),"With millions of views and plenty of #ads under their belts, TikTok extraordinaires Josh, Hope and Jacob will myth-bust, inspire and explain the magic of the world's fastest-growing social app. ")</f>
        <v>With millions of views and plenty of #ads under their belts, TikTok extraordinaires Josh, Hope and Jacob will myth-bust, inspire and explain the magic of the world's fastest-growing social app. </v>
      </c>
      <c r="T82" s="4" t="str">
        <f>IFERROR(__xludf.DUMMYFUNCTION("""COMPUTED_VALUE"""),"NON-KEYNOTE 9 - COMPLETE")</f>
        <v>NON-KEYNOTE 9 - COMPLETE</v>
      </c>
      <c r="U82" s="23">
        <f>IFERROR(__xludf.DUMMYFUNCTION("""COMPUTED_VALUE"""),43959.0)</f>
        <v>43959</v>
      </c>
      <c r="V82" s="24">
        <f>IFERROR(__xludf.DUMMYFUNCTION("""COMPUTED_VALUE"""),0.8333333333333334)</f>
        <v>0.8333333333</v>
      </c>
      <c r="W82" s="4" t="str">
        <f>IFERROR(__xludf.DUMMYFUNCTION("""COMPUTED_VALUE"""),"COMPLETE")</f>
        <v>COMPLETE</v>
      </c>
      <c r="X82" s="24" t="str">
        <f>IFERROR(__xludf.DUMMYFUNCTION("""COMPUTED_VALUE"""),"Lobna")</f>
        <v>Lobna</v>
      </c>
      <c r="Y82" s="4" t="str">
        <f>IFERROR(__xludf.DUMMYFUNCTION("""COMPUTED_VALUE"""),"")</f>
        <v/>
      </c>
    </row>
    <row r="83">
      <c r="A83" s="4" t="str">
        <f>IFERROR(__xludf.DUMMYFUNCTION("""COMPUTED_VALUE"""),"1801 - Channel")</f>
        <v>1801 - Channel</v>
      </c>
      <c r="B83" s="4" t="str">
        <f>IFERROR(__xludf.DUMMYFUNCTION("""COMPUTED_VALUE"""),"Channel 1")</f>
        <v>Channel 1</v>
      </c>
      <c r="C83" s="4" t="str">
        <f>IFERROR(__xludf.DUMMYFUNCTION("""COMPUTED_VALUE"""),"Day 1 - 23/06")</f>
        <v>Day 1 - 23/06</v>
      </c>
      <c r="D83" s="6">
        <f>IFERROR(__xludf.DUMMYFUNCTION("""COMPUTED_VALUE"""),0.5834374999999999)</f>
        <v>0.5834375</v>
      </c>
      <c r="E83" s="6">
        <f>IFERROR(__xludf.DUMMYFUNCTION("""COMPUTED_VALUE"""),2.314814814814815E-4)</f>
        <v>0.0002314814815</v>
      </c>
      <c r="F83" s="6">
        <f>IFERROR(__xludf.DUMMYFUNCTION("""COMPUTED_VALUE"""),0.5836689814814814)</f>
        <v>0.5836689815</v>
      </c>
      <c r="G83" s="4" t="str">
        <f>IFERROR(__xludf.DUMMYFUNCTION("""COMPUTED_VALUE"""),"")</f>
        <v/>
      </c>
      <c r="H83" s="4" t="str">
        <f>IFERROR(__xludf.DUMMYFUNCTION("""COMPUTED_VALUE"""),"")</f>
        <v/>
      </c>
      <c r="I83" s="4" t="str">
        <f>IFERROR(__xludf.DUMMYFUNCTION("""COMPUTED_VALUE"""),"")</f>
        <v/>
      </c>
      <c r="J83" s="4" t="str">
        <f>IFERROR(__xludf.DUMMYFUNCTION("""COMPUTED_VALUE"""),"")</f>
        <v/>
      </c>
      <c r="K83" s="4" t="str">
        <f>IFERROR(__xludf.DUMMYFUNCTION("""COMPUTED_VALUE"""),"Talk Intro")</f>
        <v>Talk Intro</v>
      </c>
      <c r="L83" s="4" t="str">
        <f>IFERROR(__xludf.DUMMYFUNCTION("""COMPUTED_VALUE"""),"")</f>
        <v/>
      </c>
      <c r="M83" s="4" t="str">
        <f>IFERROR(__xludf.DUMMYFUNCTION("""COMPUTED_VALUE"""),"Talk intro ")</f>
        <v>Talk intro </v>
      </c>
      <c r="N83" s="4" t="str">
        <f>IFERROR(__xludf.DUMMYFUNCTION("""COMPUTED_VALUE"""),"Casey Lau, Web Summit")</f>
        <v>Casey Lau, Web Summit</v>
      </c>
      <c r="O83" s="4" t="str">
        <f>IFERROR(__xludf.DUMMYFUNCTION("""COMPUTED_VALUE"""),"")</f>
        <v/>
      </c>
      <c r="P83" s="4" t="str">
        <f>IFERROR(__xludf.DUMMYFUNCTION("""COMPUTED_VALUE"""),"")</f>
        <v/>
      </c>
      <c r="Q83" s="4" t="str">
        <f>IFERROR(__xludf.DUMMYFUNCTION("""COMPUTED_VALUE"""),"")</f>
        <v/>
      </c>
      <c r="R83" s="4" t="str">
        <f>IFERROR(__xludf.DUMMYFUNCTION("""COMPUTED_VALUE"""),"")</f>
        <v/>
      </c>
      <c r="S83" s="4" t="str">
        <f>IFERROR(__xludf.DUMMYFUNCTION("""COMPUTED_VALUE"""),"The future of 'design and make' is a massive multiplayer game. Thanks to automation and cloud technology, we can reimagine the design and make processes in a brand new, transformative way. Industries including architecture, engineering, construction and m"&amp;"anufacturing are being reimagined (if not overhauled) as this automation powers their collective ability to make better, more informed decisions quickly.")</f>
        <v>The future of 'design and make' is a massive multiplayer game. Thanks to automation and cloud technology, we can reimagine the design and make processes in a brand new, transformative way. Industries including architecture, engineering, construction and manufacturing are being reimagined (if not overhauled) as this automation powers their collective ability to make better, more informed decisions quickly.</v>
      </c>
      <c r="T83" s="4" t="str">
        <f>IFERROR(__xludf.DUMMYFUNCTION("""COMPUTED_VALUE"""),"KEYNOTE 8 - COMPLETE")</f>
        <v>KEYNOTE 8 - COMPLETE</v>
      </c>
      <c r="U83" s="23">
        <f>IFERROR(__xludf.DUMMYFUNCTION("""COMPUTED_VALUE"""),43973.0)</f>
        <v>43973</v>
      </c>
      <c r="V83" s="24">
        <f>IFERROR(__xludf.DUMMYFUNCTION("""COMPUTED_VALUE"""),0.6666666666666666)</f>
        <v>0.6666666667</v>
      </c>
      <c r="W83" s="4" t="str">
        <f>IFERROR(__xludf.DUMMYFUNCTION("""COMPUTED_VALUE"""),"COMPLETE")</f>
        <v>COMPLETE</v>
      </c>
      <c r="X83" s="4" t="str">
        <f>IFERROR(__xludf.DUMMYFUNCTION("""COMPUTED_VALUE"""),"Naomi")</f>
        <v>Naomi</v>
      </c>
      <c r="Y83" s="4" t="str">
        <f>IFERROR(__xludf.DUMMYFUNCTION("""COMPUTED_VALUE"""),"")</f>
        <v/>
      </c>
    </row>
    <row r="84">
      <c r="A84" s="4" t="str">
        <f>IFERROR(__xludf.DUMMYFUNCTION("""COMPUTED_VALUE"""),"93 - Channel")</f>
        <v>93 - Channel</v>
      </c>
      <c r="B84" s="4" t="str">
        <f>IFERROR(__xludf.DUMMYFUNCTION("""COMPUTED_VALUE"""),"Channel 1")</f>
        <v>Channel 1</v>
      </c>
      <c r="C84" s="4" t="str">
        <f>IFERROR(__xludf.DUMMYFUNCTION("""COMPUTED_VALUE"""),"Day 1 - 23/06")</f>
        <v>Day 1 - 23/06</v>
      </c>
      <c r="D84" s="6">
        <f>IFERROR(__xludf.DUMMYFUNCTION("""COMPUTED_VALUE"""),0.5836689814814814)</f>
        <v>0.5836689815</v>
      </c>
      <c r="E84" s="6">
        <f>IFERROR(__xludf.DUMMYFUNCTION("""COMPUTED_VALUE"""),0.0060416666666666665)</f>
        <v>0.006041666667</v>
      </c>
      <c r="F84" s="6">
        <f>IFERROR(__xludf.DUMMYFUNCTION("""COMPUTED_VALUE"""),0.589710648148148)</f>
        <v>0.5897106481</v>
      </c>
      <c r="G84" s="4" t="str">
        <f>IFERROR(__xludf.DUMMYFUNCTION("""COMPUTED_VALUE"""),"Yvonne")</f>
        <v>Yvonne</v>
      </c>
      <c r="H84" s="4" t="str">
        <f>IFERROR(__xludf.DUMMYFUNCTION("""COMPUTED_VALUE"""),"")</f>
        <v/>
      </c>
      <c r="I84" s="4" t="str">
        <f>IFERROR(__xludf.DUMMYFUNCTION("""COMPUTED_VALUE"""),"Lucia H.")</f>
        <v>Lucia H.</v>
      </c>
      <c r="J84" s="4" t="str">
        <f>IFERROR(__xludf.DUMMYFUNCTION("""COMPUTED_VALUE"""),"Design")</f>
        <v>Design</v>
      </c>
      <c r="K84" s="4" t="str">
        <f>IFERROR(__xludf.DUMMYFUNCTION("""COMPUTED_VALUE"""),"Keynote")</f>
        <v>Keynote</v>
      </c>
      <c r="L84" s="4" t="str">
        <f>IFERROR(__xludf.DUMMYFUNCTION("""COMPUTED_VALUE"""),"T- 4 - 25/05/2020")</f>
        <v>T- 4 - 25/05/2020</v>
      </c>
      <c r="M84" s="4" t="str">
        <f>IFERROR(__xludf.DUMMYFUNCTION("""COMPUTED_VALUE"""),"Design as a multiplayer game ")</f>
        <v>Design as a multiplayer game </v>
      </c>
      <c r="N84" s="4" t="str">
        <f>IFERROR(__xludf.DUMMYFUNCTION("""COMPUTED_VALUE"""),"Andrew Anagnost, Autodesk")</f>
        <v>Andrew Anagnost, Autodesk</v>
      </c>
      <c r="O84" s="4" t="str">
        <f>IFERROR(__xludf.DUMMYFUNCTION("""COMPUTED_VALUE"""),"")</f>
        <v/>
      </c>
      <c r="P84" s="4" t="str">
        <f>IFERROR(__xludf.DUMMYFUNCTION("""COMPUTED_VALUE"""),"")</f>
        <v/>
      </c>
      <c r="Q84" s="4" t="str">
        <f>IFERROR(__xludf.DUMMYFUNCTION("""COMPUTED_VALUE"""),"")</f>
        <v/>
      </c>
      <c r="R84" s="4" t="str">
        <f>IFERROR(__xludf.DUMMYFUNCTION("""COMPUTED_VALUE"""),"")</f>
        <v/>
      </c>
      <c r="S84" s="4" t="str">
        <f>IFERROR(__xludf.DUMMYFUNCTION("""COMPUTED_VALUE"""),"The future of 'design and make' is a massive multiplayer game. Thanks to automation and cloud technology, we can reimagine the design and make processes in a brand new, transformative way. Industries including architecture, engineering, construction and m"&amp;"anufacturing are being reimagined (if not overhauled) as this automation powers their collective ability to make better, more informed decisions quickly.")</f>
        <v>The future of 'design and make' is a massive multiplayer game. Thanks to automation and cloud technology, we can reimagine the design and make processes in a brand new, transformative way. Industries including architecture, engineering, construction and manufacturing are being reimagined (if not overhauled) as this automation powers their collective ability to make better, more informed decisions quickly.</v>
      </c>
      <c r="T84" s="4" t="str">
        <f>IFERROR(__xludf.DUMMYFUNCTION("""COMPUTED_VALUE"""),"KEYNOTE 8 - COMPLETE")</f>
        <v>KEYNOTE 8 - COMPLETE</v>
      </c>
      <c r="U84" s="23">
        <f>IFERROR(__xludf.DUMMYFUNCTION("""COMPUTED_VALUE"""),43973.0)</f>
        <v>43973</v>
      </c>
      <c r="V84" s="24">
        <f>IFERROR(__xludf.DUMMYFUNCTION("""COMPUTED_VALUE"""),0.6666666666666666)</f>
        <v>0.6666666667</v>
      </c>
      <c r="W84" s="4" t="str">
        <f>IFERROR(__xludf.DUMMYFUNCTION("""COMPUTED_VALUE"""),"COMPLETE")</f>
        <v>COMPLETE</v>
      </c>
      <c r="X84" s="4" t="str">
        <f>IFERROR(__xludf.DUMMYFUNCTION("""COMPUTED_VALUE"""),"Naomi")</f>
        <v>Naomi</v>
      </c>
      <c r="Y84" s="4" t="str">
        <f>IFERROR(__xludf.DUMMYFUNCTION("""COMPUTED_VALUE"""),"")</f>
        <v/>
      </c>
    </row>
    <row r="85">
      <c r="A85" s="4" t="str">
        <f>IFERROR(__xludf.DUMMYFUNCTION("""COMPUTED_VALUE"""),"1377 - Channel")</f>
        <v>1377 - Channel</v>
      </c>
      <c r="B85" s="4" t="str">
        <f>IFERROR(__xludf.DUMMYFUNCTION("""COMPUTED_VALUE"""),"Channel 1")</f>
        <v>Channel 1</v>
      </c>
      <c r="C85" s="4" t="str">
        <f>IFERROR(__xludf.DUMMYFUNCTION("""COMPUTED_VALUE"""),"Day 1 - 23/06")</f>
        <v>Day 1 - 23/06</v>
      </c>
      <c r="D85" s="4" t="str">
        <f>IFERROR(__xludf.DUMMYFUNCTION("""COMPUTED_VALUE"""),"")</f>
        <v/>
      </c>
      <c r="E85" s="4" t="str">
        <f>IFERROR(__xludf.DUMMYFUNCTION("""COMPUTED_VALUE"""),"")</f>
        <v/>
      </c>
      <c r="F85" s="4" t="str">
        <f>IFERROR(__xludf.DUMMYFUNCTION("""COMPUTED_VALUE"""),"")</f>
        <v/>
      </c>
      <c r="G85" s="4" t="str">
        <f>IFERROR(__xludf.DUMMYFUNCTION("""COMPUTED_VALUE"""),"")</f>
        <v/>
      </c>
      <c r="H85" s="4" t="str">
        <f>IFERROR(__xludf.DUMMYFUNCTION("""COMPUTED_VALUE"""),"")</f>
        <v/>
      </c>
      <c r="I85" s="4" t="str">
        <f>IFERROR(__xludf.DUMMYFUNCTION("""COMPUTED_VALUE"""),"")</f>
        <v/>
      </c>
      <c r="J85" s="4" t="str">
        <f>IFERROR(__xludf.DUMMYFUNCTION("""COMPUTED_VALUE"""),"")</f>
        <v/>
      </c>
      <c r="K85" s="4" t="str">
        <f>IFERROR(__xludf.DUMMYFUNCTION("""COMPUTED_VALUE"""),"")</f>
        <v/>
      </c>
      <c r="L85" s="4" t="str">
        <f>IFERROR(__xludf.DUMMYFUNCTION("""COMPUTED_VALUE"""),"")</f>
        <v/>
      </c>
      <c r="M85" s="4" t="str">
        <f>IFERROR(__xludf.DUMMYFUNCTION("""COMPUTED_VALUE"""),"")</f>
        <v/>
      </c>
      <c r="N85" s="4" t="str">
        <f>IFERROR(__xludf.DUMMYFUNCTION("""COMPUTED_VALUE"""),"")</f>
        <v/>
      </c>
      <c r="O85" s="4" t="str">
        <f>IFERROR(__xludf.DUMMYFUNCTION("""COMPUTED_VALUE"""),"")</f>
        <v/>
      </c>
      <c r="P85" s="4" t="str">
        <f>IFERROR(__xludf.DUMMYFUNCTION("""COMPUTED_VALUE"""),"")</f>
        <v/>
      </c>
      <c r="Q85" s="4" t="str">
        <f>IFERROR(__xludf.DUMMYFUNCTION("""COMPUTED_VALUE"""),"")</f>
        <v/>
      </c>
      <c r="R85" s="4" t="str">
        <f>IFERROR(__xludf.DUMMYFUNCTION("""COMPUTED_VALUE"""),"")</f>
        <v/>
      </c>
      <c r="S85" s="4" t="str">
        <f>IFERROR(__xludf.DUMMYFUNCTION("""COMPUTED_VALUE"""),"")</f>
        <v/>
      </c>
      <c r="T85" s="4" t="str">
        <f>IFERROR(__xludf.DUMMYFUNCTION("""COMPUTED_VALUE"""),"")</f>
        <v/>
      </c>
      <c r="U85" s="4" t="str">
        <f>IFERROR(__xludf.DUMMYFUNCTION("""COMPUTED_VALUE"""),"")</f>
        <v/>
      </c>
      <c r="V85" s="4" t="str">
        <f>IFERROR(__xludf.DUMMYFUNCTION("""COMPUTED_VALUE"""),"")</f>
        <v/>
      </c>
      <c r="W85" s="4" t="str">
        <f>IFERROR(__xludf.DUMMYFUNCTION("""COMPUTED_VALUE"""),"")</f>
        <v/>
      </c>
      <c r="X85" s="4" t="str">
        <f>IFERROR(__xludf.DUMMYFUNCTION("""COMPUTED_VALUE"""),"")</f>
        <v/>
      </c>
      <c r="Y85" s="4" t="str">
        <f>IFERROR(__xludf.DUMMYFUNCTION("""COMPUTED_VALUE"""),"")</f>
        <v/>
      </c>
    </row>
    <row r="86">
      <c r="A86" s="4" t="str">
        <f>IFERROR(__xludf.DUMMYFUNCTION("""COMPUTED_VALUE"""),"78 - Channel")</f>
        <v>78 - Channel</v>
      </c>
      <c r="B86" s="4" t="str">
        <f>IFERROR(__xludf.DUMMYFUNCTION("""COMPUTED_VALUE"""),"Channel 1")</f>
        <v>Channel 1</v>
      </c>
      <c r="C86" s="4" t="str">
        <f>IFERROR(__xludf.DUMMYFUNCTION("""COMPUTED_VALUE"""),"Day 1 - 23/06")</f>
        <v>Day 1 - 23/06</v>
      </c>
      <c r="D86" s="6">
        <f>IFERROR(__xludf.DUMMYFUNCTION("""COMPUTED_VALUE"""),0.589710648148148)</f>
        <v>0.5897106481</v>
      </c>
      <c r="E86" s="6">
        <f>IFERROR(__xludf.DUMMYFUNCTION("""COMPUTED_VALUE"""),6.944444444444445E-4)</f>
        <v>0.0006944444444</v>
      </c>
      <c r="F86" s="6">
        <f>IFERROR(__xludf.DUMMYFUNCTION("""COMPUTED_VALUE"""),0.5904050925925924)</f>
        <v>0.5904050926</v>
      </c>
      <c r="G86" s="4" t="str">
        <f>IFERROR(__xludf.DUMMYFUNCTION("""COMPUTED_VALUE"""),"")</f>
        <v/>
      </c>
      <c r="H86" s="4" t="str">
        <f>IFERROR(__xludf.DUMMYFUNCTION("""COMPUTED_VALUE"""),"")</f>
        <v/>
      </c>
      <c r="I86" s="4" t="str">
        <f>IFERROR(__xludf.DUMMYFUNCTION("""COMPUTED_VALUE"""),"")</f>
        <v/>
      </c>
      <c r="J86" s="4" t="str">
        <f>IFERROR(__xludf.DUMMYFUNCTION("""COMPUTED_VALUE"""),"")</f>
        <v/>
      </c>
      <c r="K86" s="4" t="str">
        <f>IFERROR(__xludf.DUMMYFUNCTION("""COMPUTED_VALUE"""),"Laundry List/Lookaround")</f>
        <v>Laundry List/Lookaround</v>
      </c>
      <c r="L86" s="4" t="str">
        <f>IFERROR(__xludf.DUMMYFUNCTION("""COMPUTED_VALUE"""),"")</f>
        <v/>
      </c>
      <c r="M86" s="4" t="str">
        <f>IFERROR(__xludf.DUMMYFUNCTION("""COMPUTED_VALUE"""),"Laundry Day1_2PM")</f>
        <v>Laundry Day1_2PM</v>
      </c>
      <c r="N86" s="4" t="str">
        <f>IFERROR(__xludf.DUMMYFUNCTION("""COMPUTED_VALUE"""),"Yvonne Redmond, Web Summit")</f>
        <v>Yvonne Redmond, Web Summit</v>
      </c>
      <c r="O86" s="4" t="str">
        <f>IFERROR(__xludf.DUMMYFUNCTION("""COMPUTED_VALUE"""),"")</f>
        <v/>
      </c>
      <c r="P86" s="4" t="str">
        <f>IFERROR(__xludf.DUMMYFUNCTION("""COMPUTED_VALUE"""),"")</f>
        <v/>
      </c>
      <c r="Q86" s="4" t="str">
        <f>IFERROR(__xludf.DUMMYFUNCTION("""COMPUTED_VALUE"""),"")</f>
        <v/>
      </c>
      <c r="R86" s="4" t="str">
        <f>IFERROR(__xludf.DUMMYFUNCTION("""COMPUTED_VALUE"""),"")</f>
        <v/>
      </c>
      <c r="S86" s="4" t="str">
        <f>IFERROR(__xludf.DUMMYFUNCTION("""COMPUTED_VALUE"""),"")</f>
        <v/>
      </c>
      <c r="T86" s="4" t="str">
        <f>IFERROR(__xludf.DUMMYFUNCTION("""COMPUTED_VALUE"""),"")</f>
        <v/>
      </c>
      <c r="U86" s="4" t="str">
        <f>IFERROR(__xludf.DUMMYFUNCTION("""COMPUTED_VALUE"""),"")</f>
        <v/>
      </c>
      <c r="V86" s="4" t="str">
        <f>IFERROR(__xludf.DUMMYFUNCTION("""COMPUTED_VALUE"""),"")</f>
        <v/>
      </c>
      <c r="W86" s="4" t="str">
        <f>IFERROR(__xludf.DUMMYFUNCTION("""COMPUTED_VALUE"""),"")</f>
        <v/>
      </c>
      <c r="X86" s="4" t="str">
        <f>IFERROR(__xludf.DUMMYFUNCTION("""COMPUTED_VALUE"""),"")</f>
        <v/>
      </c>
      <c r="Y86" s="4" t="str">
        <f>IFERROR(__xludf.DUMMYFUNCTION("""COMPUTED_VALUE"""),"")</f>
        <v/>
      </c>
    </row>
    <row r="87">
      <c r="A87" s="4" t="str">
        <f>IFERROR(__xludf.DUMMYFUNCTION("""COMPUTED_VALUE"""),"1655 - Channel")</f>
        <v>1655 - Channel</v>
      </c>
      <c r="B87" s="4" t="str">
        <f>IFERROR(__xludf.DUMMYFUNCTION("""COMPUTED_VALUE"""),"Channel 1")</f>
        <v>Channel 1</v>
      </c>
      <c r="C87" s="4" t="str">
        <f>IFERROR(__xludf.DUMMYFUNCTION("""COMPUTED_VALUE"""),"Day 1 - 23/06")</f>
        <v>Day 1 - 23/06</v>
      </c>
      <c r="D87" s="6">
        <f>IFERROR(__xludf.DUMMYFUNCTION("""COMPUTED_VALUE"""),0.5904050925925924)</f>
        <v>0.5904050926</v>
      </c>
      <c r="E87" s="6">
        <f>IFERROR(__xludf.DUMMYFUNCTION("""COMPUTED_VALUE"""),3.4722222222222224E-4)</f>
        <v>0.0003472222222</v>
      </c>
      <c r="F87" s="6">
        <f>IFERROR(__xludf.DUMMYFUNCTION("""COMPUTED_VALUE"""),0.5907523148148147)</f>
        <v>0.5907523148</v>
      </c>
      <c r="G87" s="4" t="str">
        <f>IFERROR(__xludf.DUMMYFUNCTION("""COMPUTED_VALUE"""),"Video")</f>
        <v>Video</v>
      </c>
      <c r="H87" s="4" t="str">
        <f>IFERROR(__xludf.DUMMYFUNCTION("""COMPUTED_VALUE"""),"")</f>
        <v/>
      </c>
      <c r="I87" s="4" t="str">
        <f>IFERROR(__xludf.DUMMYFUNCTION("""COMPUTED_VALUE"""),"")</f>
        <v/>
      </c>
      <c r="J87" s="4" t="str">
        <f>IFERROR(__xludf.DUMMYFUNCTION("""COMPUTED_VALUE"""),"")</f>
        <v/>
      </c>
      <c r="K87" s="4" t="str">
        <f>IFERROR(__xludf.DUMMYFUNCTION("""COMPUTED_VALUE"""),"RISE Trailer")</f>
        <v>RISE Trailer</v>
      </c>
      <c r="L87" s="4" t="str">
        <f>IFERROR(__xludf.DUMMYFUNCTION("""COMPUTED_VALUE"""),"")</f>
        <v/>
      </c>
      <c r="M87" s="4" t="str">
        <f>IFERROR(__xludf.DUMMYFUNCTION("""COMPUTED_VALUE"""),"RISE promo")</f>
        <v>RISE promo</v>
      </c>
      <c r="N87" s="4" t="str">
        <f>IFERROR(__xludf.DUMMYFUNCTION("""COMPUTED_VALUE"""),"Content pending")</f>
        <v>Content pending</v>
      </c>
      <c r="O87" s="4" t="str">
        <f>IFERROR(__xludf.DUMMYFUNCTION("""COMPUTED_VALUE"""),"")</f>
        <v/>
      </c>
      <c r="P87" s="4" t="str">
        <f>IFERROR(__xludf.DUMMYFUNCTION("""COMPUTED_VALUE"""),"")</f>
        <v/>
      </c>
      <c r="Q87" s="4" t="str">
        <f>IFERROR(__xludf.DUMMYFUNCTION("""COMPUTED_VALUE"""),"")</f>
        <v/>
      </c>
      <c r="R87" s="4" t="str">
        <f>IFERROR(__xludf.DUMMYFUNCTION("""COMPUTED_VALUE"""),"")</f>
        <v/>
      </c>
      <c r="S87" s="4" t="str">
        <f>IFERROR(__xludf.DUMMYFUNCTION("""COMPUTED_VALUE"""),"")</f>
        <v/>
      </c>
      <c r="T87" s="4" t="str">
        <f>IFERROR(__xludf.DUMMYFUNCTION("""COMPUTED_VALUE"""),"")</f>
        <v/>
      </c>
      <c r="U87" s="4" t="str">
        <f>IFERROR(__xludf.DUMMYFUNCTION("""COMPUTED_VALUE"""),"")</f>
        <v/>
      </c>
      <c r="V87" s="4" t="str">
        <f>IFERROR(__xludf.DUMMYFUNCTION("""COMPUTED_VALUE"""),"")</f>
        <v/>
      </c>
      <c r="W87" s="4" t="str">
        <f>IFERROR(__xludf.DUMMYFUNCTION("""COMPUTED_VALUE"""),"")</f>
        <v/>
      </c>
      <c r="X87" s="4" t="str">
        <f>IFERROR(__xludf.DUMMYFUNCTION("""COMPUTED_VALUE"""),"")</f>
        <v/>
      </c>
      <c r="Y87" s="4" t="str">
        <f>IFERROR(__xludf.DUMMYFUNCTION("""COMPUTED_VALUE"""),"")</f>
        <v/>
      </c>
    </row>
    <row r="88">
      <c r="A88" s="4" t="str">
        <f>IFERROR(__xludf.DUMMYFUNCTION("""COMPUTED_VALUE"""),"18 - Channel")</f>
        <v>18 - Channel</v>
      </c>
      <c r="B88" s="6" t="str">
        <f>IFERROR(__xludf.DUMMYFUNCTION("""COMPUTED_VALUE"""),"Channel 1")</f>
        <v>Channel 1</v>
      </c>
      <c r="C88" s="4" t="str">
        <f>IFERROR(__xludf.DUMMYFUNCTION("""COMPUTED_VALUE"""),"Day 1 - 23/06")</f>
        <v>Day 1 - 23/06</v>
      </c>
      <c r="D88" s="6">
        <f>IFERROR(__xludf.DUMMYFUNCTION("""COMPUTED_VALUE"""),0.5907523148148147)</f>
        <v>0.5907523148</v>
      </c>
      <c r="E88" s="6">
        <f>IFERROR(__xludf.DUMMYFUNCTION("""COMPUTED_VALUE"""),2.314814814814815E-4)</f>
        <v>0.0002314814815</v>
      </c>
      <c r="F88" s="6">
        <f>IFERROR(__xludf.DUMMYFUNCTION("""COMPUTED_VALUE"""),0.5909837962962962)</f>
        <v>0.5909837963</v>
      </c>
      <c r="G88" s="4" t="str">
        <f>IFERROR(__xludf.DUMMYFUNCTION("""COMPUTED_VALUE"""),"")</f>
        <v/>
      </c>
      <c r="H88" s="4" t="str">
        <f>IFERROR(__xludf.DUMMYFUNCTION("""COMPUTED_VALUE"""),"")</f>
        <v/>
      </c>
      <c r="I88" s="4" t="str">
        <f>IFERROR(__xludf.DUMMYFUNCTION("""COMPUTED_VALUE"""),"")</f>
        <v/>
      </c>
      <c r="J88" s="4" t="str">
        <f>IFERROR(__xludf.DUMMYFUNCTION("""COMPUTED_VALUE"""),"")</f>
        <v/>
      </c>
      <c r="K88" s="4" t="str">
        <f>IFERROR(__xludf.DUMMYFUNCTION("""COMPUTED_VALUE"""),"Talk Intro")</f>
        <v>Talk Intro</v>
      </c>
      <c r="L88" s="4" t="str">
        <f>IFERROR(__xludf.DUMMYFUNCTION("""COMPUTED_VALUE"""),"")</f>
        <v/>
      </c>
      <c r="M88" s="4" t="str">
        <f>IFERROR(__xludf.DUMMYFUNCTION("""COMPUTED_VALUE"""),"Talk intro ")</f>
        <v>Talk intro </v>
      </c>
      <c r="N88" s="4" t="str">
        <f>IFERROR(__xludf.DUMMYFUNCTION("""COMPUTED_VALUE"""),"Yvonne Redmond, Web Summit")</f>
        <v>Yvonne Redmond, Web Summit</v>
      </c>
      <c r="O88" s="4" t="str">
        <f>IFERROR(__xludf.DUMMYFUNCTION("""COMPUTED_VALUE"""),"")</f>
        <v/>
      </c>
      <c r="P88" s="4" t="str">
        <f>IFERROR(__xludf.DUMMYFUNCTION("""COMPUTED_VALUE"""),"")</f>
        <v/>
      </c>
      <c r="Q88" s="4" t="str">
        <f>IFERROR(__xludf.DUMMYFUNCTION("""COMPUTED_VALUE"""),"")</f>
        <v/>
      </c>
      <c r="R88" s="4" t="str">
        <f>IFERROR(__xludf.DUMMYFUNCTION("""COMPUTED_VALUE"""),"")</f>
        <v/>
      </c>
      <c r="S88" s="4" t="str">
        <f>IFERROR(__xludf.DUMMYFUNCTION("""COMPUTED_VALUE"""),"")</f>
        <v/>
      </c>
      <c r="T88" s="4" t="str">
        <f>IFERROR(__xludf.DUMMYFUNCTION("""COMPUTED_VALUE"""),"")</f>
        <v/>
      </c>
      <c r="U88" s="4" t="str">
        <f>IFERROR(__xludf.DUMMYFUNCTION("""COMPUTED_VALUE"""),"")</f>
        <v/>
      </c>
      <c r="V88" s="4" t="str">
        <f>IFERROR(__xludf.DUMMYFUNCTION("""COMPUTED_VALUE"""),"")</f>
        <v/>
      </c>
      <c r="W88" s="4" t="str">
        <f>IFERROR(__xludf.DUMMYFUNCTION("""COMPUTED_VALUE"""),"")</f>
        <v/>
      </c>
      <c r="X88" s="4" t="str">
        <f>IFERROR(__xludf.DUMMYFUNCTION("""COMPUTED_VALUE"""),"")</f>
        <v/>
      </c>
      <c r="Y88" s="4" t="str">
        <f>IFERROR(__xludf.DUMMYFUNCTION("""COMPUTED_VALUE"""),"")</f>
        <v/>
      </c>
    </row>
    <row r="89">
      <c r="A89" s="4" t="str">
        <f>IFERROR(__xludf.DUMMYFUNCTION("""COMPUTED_VALUE"""),"19 - Channel")</f>
        <v>19 - Channel</v>
      </c>
      <c r="B89" s="6" t="str">
        <f>IFERROR(__xludf.DUMMYFUNCTION("""COMPUTED_VALUE"""),"Channel 1")</f>
        <v>Channel 1</v>
      </c>
      <c r="C89" s="4" t="str">
        <f>IFERROR(__xludf.DUMMYFUNCTION("""COMPUTED_VALUE"""),"Day 1 - 23/06")</f>
        <v>Day 1 - 23/06</v>
      </c>
      <c r="D89" s="6">
        <f>IFERROR(__xludf.DUMMYFUNCTION("""COMPUTED_VALUE"""),0.5909837962962962)</f>
        <v>0.5909837963</v>
      </c>
      <c r="E89" s="6">
        <f>IFERROR(__xludf.DUMMYFUNCTION("""COMPUTED_VALUE"""),0.00625)</f>
        <v>0.00625</v>
      </c>
      <c r="F89" s="6">
        <f>IFERROR(__xludf.DUMMYFUNCTION("""COMPUTED_VALUE"""),0.5972337962962961)</f>
        <v>0.5972337963</v>
      </c>
      <c r="G89" s="4" t="str">
        <f>IFERROR(__xludf.DUMMYFUNCTION("""COMPUTED_VALUE"""),"Lobna")</f>
        <v>Lobna</v>
      </c>
      <c r="H89" s="4" t="str">
        <f>IFERROR(__xludf.DUMMYFUNCTION("""COMPUTED_VALUE"""),"Stephen")</f>
        <v>Stephen</v>
      </c>
      <c r="I89" s="4" t="str">
        <f>IFERROR(__xludf.DUMMYFUNCTION("""COMPUTED_VALUE"""),"Lucia H.")</f>
        <v>Lucia H.</v>
      </c>
      <c r="J89" s="4" t="str">
        <f>IFERROR(__xludf.DUMMYFUNCTION("""COMPUTED_VALUE"""),"")</f>
        <v/>
      </c>
      <c r="K89" s="4" t="str">
        <f>IFERROR(__xludf.DUMMYFUNCTION("""COMPUTED_VALUE"""),"Fireside")</f>
        <v>Fireside</v>
      </c>
      <c r="L89" s="4" t="str">
        <f>IFERROR(__xludf.DUMMYFUNCTION("""COMPUTED_VALUE"""),"T- 5 - 18/05/2020")</f>
        <v>T- 5 - 18/05/2020</v>
      </c>
      <c r="M89" s="4" t="str">
        <f>IFERROR(__xludf.DUMMYFUNCTION("""COMPUTED_VALUE"""),"Does journalism need a tech rescue?")</f>
        <v>Does journalism need a tech rescue?</v>
      </c>
      <c r="N89" s="4" t="str">
        <f>IFERROR(__xludf.DUMMYFUNCTION("""COMPUTED_VALUE"""),"Robyn Peterson, CNN Worldwide")</f>
        <v>Robyn Peterson, CNN Worldwide</v>
      </c>
      <c r="O89" s="4" t="str">
        <f>IFERROR(__xludf.DUMMYFUNCTION("""COMPUTED_VALUE"""),"")</f>
        <v/>
      </c>
      <c r="P89" s="4" t="str">
        <f>IFERROR(__xludf.DUMMYFUNCTION("""COMPUTED_VALUE"""),"")</f>
        <v/>
      </c>
      <c r="Q89" s="4" t="str">
        <f>IFERROR(__xludf.DUMMYFUNCTION("""COMPUTED_VALUE"""),"")</f>
        <v/>
      </c>
      <c r="R89" s="4" t="str">
        <f>IFERROR(__xludf.DUMMYFUNCTION("""COMPUTED_VALUE"""),"Harry McCracken, Fast Company")</f>
        <v>Harry McCracken, Fast Company</v>
      </c>
      <c r="S89" s="23" t="str">
        <f>IFERROR(__xludf.DUMMYFUNCTION("""COMPUTED_VALUE"""),"Reaching tens of million of households and devices every day, the tech powering CNN needs to be resilient. CNN's CTO talks about the promise and perils that tech can offer the best newsrooms.
")</f>
        <v>Reaching tens of million of households and devices every day, the tech powering CNN needs to be resilient. CNN's CTO talks about the promise and perils that tech can offer the best newsrooms.
</v>
      </c>
      <c r="T89" s="24" t="str">
        <f>IFERROR(__xludf.DUMMYFUNCTION("""COMPUTED_VALUE"""),"NON-KEYNOTE 9 - COMPLETE")</f>
        <v>NON-KEYNOTE 9 - COMPLETE</v>
      </c>
      <c r="U89" s="23">
        <f>IFERROR(__xludf.DUMMYFUNCTION("""COMPUTED_VALUE"""),43970.0)</f>
        <v>43970</v>
      </c>
      <c r="V89" s="24">
        <f>IFERROR(__xludf.DUMMYFUNCTION("""COMPUTED_VALUE"""),0.875)</f>
        <v>0.875</v>
      </c>
      <c r="W89" s="4" t="str">
        <f>IFERROR(__xludf.DUMMYFUNCTION("""COMPUTED_VALUE"""),"COMPLETE")</f>
        <v>COMPLETE</v>
      </c>
      <c r="X89" s="4" t="str">
        <f>IFERROR(__xludf.DUMMYFUNCTION("""COMPUTED_VALUE"""),"Stephen")</f>
        <v>Stephen</v>
      </c>
      <c r="Y89" s="4" t="str">
        <f>IFERROR(__xludf.DUMMYFUNCTION("""COMPUTED_VALUE"""),"")</f>
        <v/>
      </c>
    </row>
    <row r="90">
      <c r="A90" s="4" t="str">
        <f>IFERROR(__xludf.DUMMYFUNCTION("""COMPUTED_VALUE"""),"81 - Channel")</f>
        <v>81 - Channel</v>
      </c>
      <c r="B90" s="4" t="str">
        <f>IFERROR(__xludf.DUMMYFUNCTION("""COMPUTED_VALUE"""),"Channel 1")</f>
        <v>Channel 1</v>
      </c>
      <c r="C90" s="4" t="str">
        <f>IFERROR(__xludf.DUMMYFUNCTION("""COMPUTED_VALUE"""),"Day 1 - 23/06")</f>
        <v>Day 1 - 23/06</v>
      </c>
      <c r="D90" s="6">
        <f>IFERROR(__xludf.DUMMYFUNCTION("""COMPUTED_VALUE"""),0.5972337962962961)</f>
        <v>0.5972337963</v>
      </c>
      <c r="E90" s="6">
        <f>IFERROR(__xludf.DUMMYFUNCTION("""COMPUTED_VALUE"""),2.314814814814815E-4)</f>
        <v>0.0002314814815</v>
      </c>
      <c r="F90" s="6">
        <f>IFERROR(__xludf.DUMMYFUNCTION("""COMPUTED_VALUE"""),0.5974652777777776)</f>
        <v>0.5974652778</v>
      </c>
      <c r="G90" s="4" t="str">
        <f>IFERROR(__xludf.DUMMYFUNCTION("""COMPUTED_VALUE"""),"")</f>
        <v/>
      </c>
      <c r="H90" s="4" t="str">
        <f>IFERROR(__xludf.DUMMYFUNCTION("""COMPUTED_VALUE"""),"")</f>
        <v/>
      </c>
      <c r="I90" s="4" t="str">
        <f>IFERROR(__xludf.DUMMYFUNCTION("""COMPUTED_VALUE"""),"")</f>
        <v/>
      </c>
      <c r="J90" s="4" t="str">
        <f>IFERROR(__xludf.DUMMYFUNCTION("""COMPUTED_VALUE"""),"")</f>
        <v/>
      </c>
      <c r="K90" s="4" t="str">
        <f>IFERROR(__xludf.DUMMYFUNCTION("""COMPUTED_VALUE"""),"Talk Intro")</f>
        <v>Talk Intro</v>
      </c>
      <c r="L90" s="4" t="str">
        <f>IFERROR(__xludf.DUMMYFUNCTION("""COMPUTED_VALUE"""),"")</f>
        <v/>
      </c>
      <c r="M90" s="4" t="str">
        <f>IFERROR(__xludf.DUMMYFUNCTION("""COMPUTED_VALUE"""),"Teaser: Kate Brandt_Intro")</f>
        <v>Teaser: Kate Brandt_Intro</v>
      </c>
      <c r="N90" s="4" t="str">
        <f>IFERROR(__xludf.DUMMYFUNCTION("""COMPUTED_VALUE"""),"Yvonne Redmond, Web Summit")</f>
        <v>Yvonne Redmond, Web Summit</v>
      </c>
      <c r="O90" s="4" t="str">
        <f>IFERROR(__xludf.DUMMYFUNCTION("""COMPUTED_VALUE"""),"")</f>
        <v/>
      </c>
      <c r="P90" s="4" t="str">
        <f>IFERROR(__xludf.DUMMYFUNCTION("""COMPUTED_VALUE"""),"")</f>
        <v/>
      </c>
      <c r="Q90" s="4" t="str">
        <f>IFERROR(__xludf.DUMMYFUNCTION("""COMPUTED_VALUE"""),"")</f>
        <v/>
      </c>
      <c r="R90" s="4" t="str">
        <f>IFERROR(__xludf.DUMMYFUNCTION("""COMPUTED_VALUE"""),"")</f>
        <v/>
      </c>
      <c r="S90" s="4" t="str">
        <f>IFERROR(__xludf.DUMMYFUNCTION("""COMPUTED_VALUE"""),"")</f>
        <v/>
      </c>
      <c r="T90" s="4" t="str">
        <f>IFERROR(__xludf.DUMMYFUNCTION("""COMPUTED_VALUE"""),"")</f>
        <v/>
      </c>
      <c r="U90" s="4" t="str">
        <f>IFERROR(__xludf.DUMMYFUNCTION("""COMPUTED_VALUE"""),"")</f>
        <v/>
      </c>
      <c r="V90" s="4" t="str">
        <f>IFERROR(__xludf.DUMMYFUNCTION("""COMPUTED_VALUE"""),"")</f>
        <v/>
      </c>
      <c r="W90" s="4" t="str">
        <f>IFERROR(__xludf.DUMMYFUNCTION("""COMPUTED_VALUE"""),"")</f>
        <v/>
      </c>
      <c r="X90" s="4" t="str">
        <f>IFERROR(__xludf.DUMMYFUNCTION("""COMPUTED_VALUE"""),"")</f>
        <v/>
      </c>
      <c r="Y90" s="4" t="str">
        <f>IFERROR(__xludf.DUMMYFUNCTION("""COMPUTED_VALUE"""),"")</f>
        <v/>
      </c>
    </row>
    <row r="91">
      <c r="A91" s="4" t="str">
        <f>IFERROR(__xludf.DUMMYFUNCTION("""COMPUTED_VALUE"""),"82 - Channel")</f>
        <v>82 - Channel</v>
      </c>
      <c r="B91" s="4" t="str">
        <f>IFERROR(__xludf.DUMMYFUNCTION("""COMPUTED_VALUE"""),"Channel 1")</f>
        <v>Channel 1</v>
      </c>
      <c r="C91" s="4" t="str">
        <f>IFERROR(__xludf.DUMMYFUNCTION("""COMPUTED_VALUE"""),"Day 1 - 23/06")</f>
        <v>Day 1 - 23/06</v>
      </c>
      <c r="D91" s="6">
        <f>IFERROR(__xludf.DUMMYFUNCTION("""COMPUTED_VALUE"""),0.5974652777777776)</f>
        <v>0.5974652778</v>
      </c>
      <c r="E91" s="6">
        <f>IFERROR(__xludf.DUMMYFUNCTION("""COMPUTED_VALUE"""),0.0020833333333333333)</f>
        <v>0.002083333333</v>
      </c>
      <c r="F91" s="6">
        <f>IFERROR(__xludf.DUMMYFUNCTION("""COMPUTED_VALUE"""),0.5995486111111109)</f>
        <v>0.5995486111</v>
      </c>
      <c r="G91" s="4" t="str">
        <f>IFERROR(__xludf.DUMMYFUNCTION("""COMPUTED_VALUE"""),"")</f>
        <v/>
      </c>
      <c r="H91" s="4" t="str">
        <f>IFERROR(__xludf.DUMMYFUNCTION("""COMPUTED_VALUE"""),"")</f>
        <v/>
      </c>
      <c r="I91" s="4" t="str">
        <f>IFERROR(__xludf.DUMMYFUNCTION("""COMPUTED_VALUE"""),"")</f>
        <v/>
      </c>
      <c r="J91" s="4" t="str">
        <f>IFERROR(__xludf.DUMMYFUNCTION("""COMPUTED_VALUE"""),"")</f>
        <v/>
      </c>
      <c r="K91" s="4" t="str">
        <f>IFERROR(__xludf.DUMMYFUNCTION("""COMPUTED_VALUE"""),"Teaser")</f>
        <v>Teaser</v>
      </c>
      <c r="L91" s="4" t="str">
        <f>IFERROR(__xludf.DUMMYFUNCTION("""COMPUTED_VALUE"""),"")</f>
        <v/>
      </c>
      <c r="M91" s="4" t="str">
        <f>IFERROR(__xludf.DUMMYFUNCTION("""COMPUTED_VALUE"""),"Teaser: Kate Brandt ")</f>
        <v>Teaser: Kate Brandt </v>
      </c>
      <c r="N91" s="4" t="str">
        <f>IFERROR(__xludf.DUMMYFUNCTION("""COMPUTED_VALUE"""),"")</f>
        <v/>
      </c>
      <c r="O91" s="4" t="str">
        <f>IFERROR(__xludf.DUMMYFUNCTION("""COMPUTED_VALUE"""),"")</f>
        <v/>
      </c>
      <c r="P91" s="4" t="str">
        <f>IFERROR(__xludf.DUMMYFUNCTION("""COMPUTED_VALUE"""),"")</f>
        <v/>
      </c>
      <c r="Q91" s="4" t="str">
        <f>IFERROR(__xludf.DUMMYFUNCTION("""COMPUTED_VALUE"""),"")</f>
        <v/>
      </c>
      <c r="R91" s="4" t="str">
        <f>IFERROR(__xludf.DUMMYFUNCTION("""COMPUTED_VALUE"""),"")</f>
        <v/>
      </c>
      <c r="S91" s="4" t="str">
        <f>IFERROR(__xludf.DUMMYFUNCTION("""COMPUTED_VALUE"""),"")</f>
        <v/>
      </c>
      <c r="T91" s="4" t="str">
        <f>IFERROR(__xludf.DUMMYFUNCTION("""COMPUTED_VALUE"""),"")</f>
        <v/>
      </c>
      <c r="U91" s="4" t="str">
        <f>IFERROR(__xludf.DUMMYFUNCTION("""COMPUTED_VALUE"""),"")</f>
        <v/>
      </c>
      <c r="V91" s="4" t="str">
        <f>IFERROR(__xludf.DUMMYFUNCTION("""COMPUTED_VALUE"""),"")</f>
        <v/>
      </c>
      <c r="W91" s="4" t="str">
        <f>IFERROR(__xludf.DUMMYFUNCTION("""COMPUTED_VALUE"""),"")</f>
        <v/>
      </c>
      <c r="X91" s="4" t="str">
        <f>IFERROR(__xludf.DUMMYFUNCTION("""COMPUTED_VALUE"""),"")</f>
        <v/>
      </c>
      <c r="Y91" s="4" t="str">
        <f>IFERROR(__xludf.DUMMYFUNCTION("""COMPUTED_VALUE"""),"")</f>
        <v/>
      </c>
    </row>
    <row r="92">
      <c r="A92" s="4" t="str">
        <f>IFERROR(__xludf.DUMMYFUNCTION("""COMPUTED_VALUE"""),"2243 - Channel")</f>
        <v>2243 - Channel</v>
      </c>
      <c r="B92" s="4" t="str">
        <f>IFERROR(__xludf.DUMMYFUNCTION("""COMPUTED_VALUE"""),"Channel 1")</f>
        <v>Channel 1</v>
      </c>
      <c r="C92" s="4" t="str">
        <f>IFERROR(__xludf.DUMMYFUNCTION("""COMPUTED_VALUE"""),"Day 1 - 23/06")</f>
        <v>Day 1 - 23/06</v>
      </c>
      <c r="D92" s="6">
        <f>IFERROR(__xludf.DUMMYFUNCTION("""COMPUTED_VALUE"""),0.5995486111111109)</f>
        <v>0.5995486111</v>
      </c>
      <c r="E92" s="6">
        <f>IFERROR(__xludf.DUMMYFUNCTION("""COMPUTED_VALUE"""),2.314814814814815E-4)</f>
        <v>0.0002314814815</v>
      </c>
      <c r="F92" s="6">
        <f>IFERROR(__xludf.DUMMYFUNCTION("""COMPUTED_VALUE"""),0.5997800925925924)</f>
        <v>0.5997800926</v>
      </c>
      <c r="G92" s="4" t="str">
        <f>IFERROR(__xludf.DUMMYFUNCTION("""COMPUTED_VALUE"""),"")</f>
        <v/>
      </c>
      <c r="H92" s="4" t="str">
        <f>IFERROR(__xludf.DUMMYFUNCTION("""COMPUTED_VALUE"""),"")</f>
        <v/>
      </c>
      <c r="I92" s="4" t="str">
        <f>IFERROR(__xludf.DUMMYFUNCTION("""COMPUTED_VALUE"""),"")</f>
        <v/>
      </c>
      <c r="J92" s="4" t="str">
        <f>IFERROR(__xludf.DUMMYFUNCTION("""COMPUTED_VALUE"""),"")</f>
        <v/>
      </c>
      <c r="K92" s="4" t="str">
        <f>IFERROR(__xludf.DUMMYFUNCTION("""COMPUTED_VALUE"""),"Talk Outro")</f>
        <v>Talk Outro</v>
      </c>
      <c r="L92" s="4" t="str">
        <f>IFERROR(__xludf.DUMMYFUNCTION("""COMPUTED_VALUE"""),"")</f>
        <v/>
      </c>
      <c r="M92" s="4" t="str">
        <f>IFERROR(__xludf.DUMMYFUNCTION("""COMPUTED_VALUE"""),"Call to action")</f>
        <v>Call to action</v>
      </c>
      <c r="N92" s="4" t="str">
        <f>IFERROR(__xludf.DUMMYFUNCTION("""COMPUTED_VALUE"""),"Yvonne Redmond, Web Summit")</f>
        <v>Yvonne Redmond, Web Summit</v>
      </c>
      <c r="O92" s="4" t="str">
        <f>IFERROR(__xludf.DUMMYFUNCTION("""COMPUTED_VALUE"""),"")</f>
        <v/>
      </c>
      <c r="P92" s="4" t="str">
        <f>IFERROR(__xludf.DUMMYFUNCTION("""COMPUTED_VALUE"""),"")</f>
        <v/>
      </c>
      <c r="Q92" s="4" t="str">
        <f>IFERROR(__xludf.DUMMYFUNCTION("""COMPUTED_VALUE"""),"")</f>
        <v/>
      </c>
      <c r="R92" s="4" t="str">
        <f>IFERROR(__xludf.DUMMYFUNCTION("""COMPUTED_VALUE"""),"")</f>
        <v/>
      </c>
      <c r="S92" s="4" t="str">
        <f>IFERROR(__xludf.DUMMYFUNCTION("""COMPUTED_VALUE"""),"")</f>
        <v/>
      </c>
      <c r="T92" s="4" t="str">
        <f>IFERROR(__xludf.DUMMYFUNCTION("""COMPUTED_VALUE"""),"")</f>
        <v/>
      </c>
      <c r="U92" s="4" t="str">
        <f>IFERROR(__xludf.DUMMYFUNCTION("""COMPUTED_VALUE"""),"")</f>
        <v/>
      </c>
      <c r="V92" s="4" t="str">
        <f>IFERROR(__xludf.DUMMYFUNCTION("""COMPUTED_VALUE"""),"")</f>
        <v/>
      </c>
      <c r="W92" s="4" t="str">
        <f>IFERROR(__xludf.DUMMYFUNCTION("""COMPUTED_VALUE"""),"")</f>
        <v/>
      </c>
      <c r="X92" s="4" t="str">
        <f>IFERROR(__xludf.DUMMYFUNCTION("""COMPUTED_VALUE"""),"")</f>
        <v/>
      </c>
      <c r="Y92" s="4" t="str">
        <f>IFERROR(__xludf.DUMMYFUNCTION("""COMPUTED_VALUE"""),"")</f>
        <v/>
      </c>
    </row>
    <row r="93">
      <c r="A93" s="4" t="str">
        <f>IFERROR(__xludf.DUMMYFUNCTION("""COMPUTED_VALUE"""),"1435 - Channel")</f>
        <v>1435 - Channel</v>
      </c>
      <c r="B93" s="4" t="str">
        <f>IFERROR(__xludf.DUMMYFUNCTION("""COMPUTED_VALUE"""),"Channel 1")</f>
        <v>Channel 1</v>
      </c>
      <c r="C93" s="4" t="str">
        <f>IFERROR(__xludf.DUMMYFUNCTION("""COMPUTED_VALUE"""),"Day 1 - 23/06")</f>
        <v>Day 1 - 23/06</v>
      </c>
      <c r="D93" s="6">
        <f>IFERROR(__xludf.DUMMYFUNCTION("""COMPUTED_VALUE"""),0.5995486111111109)</f>
        <v>0.5995486111</v>
      </c>
      <c r="E93" s="6">
        <f>IFERROR(__xludf.DUMMYFUNCTION("""COMPUTED_VALUE"""),3.4722222222222224E-4)</f>
        <v>0.0003472222222</v>
      </c>
      <c r="F93" s="6">
        <f>IFERROR(__xludf.DUMMYFUNCTION("""COMPUTED_VALUE"""),0.5998958333333332)</f>
        <v>0.5998958333</v>
      </c>
      <c r="G93" s="4" t="str">
        <f>IFERROR(__xludf.DUMMYFUNCTION("""COMPUTED_VALUE"""),"")</f>
        <v/>
      </c>
      <c r="H93" s="4" t="str">
        <f>IFERROR(__xludf.DUMMYFUNCTION("""COMPUTED_VALUE"""),"")</f>
        <v/>
      </c>
      <c r="I93" s="4" t="str">
        <f>IFERROR(__xludf.DUMMYFUNCTION("""COMPUTED_VALUE"""),"")</f>
        <v/>
      </c>
      <c r="J93" s="4" t="str">
        <f>IFERROR(__xludf.DUMMYFUNCTION("""COMPUTED_VALUE"""),"")</f>
        <v/>
      </c>
      <c r="K93" s="4" t="str">
        <f>IFERROR(__xludf.DUMMYFUNCTION("""COMPUTED_VALUE"""),"Web Summit Trailer - short")</f>
        <v>Web Summit Trailer - short</v>
      </c>
      <c r="L93" s="4" t="str">
        <f>IFERROR(__xludf.DUMMYFUNCTION("""COMPUTED_VALUE"""),"")</f>
        <v/>
      </c>
      <c r="M93" s="4" t="str">
        <f>IFERROR(__xludf.DUMMYFUNCTION("""COMPUTED_VALUE"""),"Web Summit promo")</f>
        <v>Web Summit promo</v>
      </c>
      <c r="N93" s="4" t="str">
        <f>IFERROR(__xludf.DUMMYFUNCTION("""COMPUTED_VALUE"""),"Content pending")</f>
        <v>Content pending</v>
      </c>
      <c r="O93" s="4" t="str">
        <f>IFERROR(__xludf.DUMMYFUNCTION("""COMPUTED_VALUE"""),"")</f>
        <v/>
      </c>
      <c r="P93" s="4" t="str">
        <f>IFERROR(__xludf.DUMMYFUNCTION("""COMPUTED_VALUE"""),"")</f>
        <v/>
      </c>
      <c r="Q93" s="4" t="str">
        <f>IFERROR(__xludf.DUMMYFUNCTION("""COMPUTED_VALUE"""),"")</f>
        <v/>
      </c>
      <c r="R93" s="4" t="str">
        <f>IFERROR(__xludf.DUMMYFUNCTION("""COMPUTED_VALUE"""),"")</f>
        <v/>
      </c>
      <c r="S93" s="4" t="str">
        <f>IFERROR(__xludf.DUMMYFUNCTION("""COMPUTED_VALUE"""),"")</f>
        <v/>
      </c>
      <c r="T93" s="4" t="str">
        <f>IFERROR(__xludf.DUMMYFUNCTION("""COMPUTED_VALUE"""),"")</f>
        <v/>
      </c>
      <c r="U93" s="4" t="str">
        <f>IFERROR(__xludf.DUMMYFUNCTION("""COMPUTED_VALUE"""),"")</f>
        <v/>
      </c>
      <c r="V93" s="4" t="str">
        <f>IFERROR(__xludf.DUMMYFUNCTION("""COMPUTED_VALUE"""),"")</f>
        <v/>
      </c>
      <c r="W93" s="4" t="str">
        <f>IFERROR(__xludf.DUMMYFUNCTION("""COMPUTED_VALUE"""),"")</f>
        <v/>
      </c>
      <c r="X93" s="4" t="str">
        <f>IFERROR(__xludf.DUMMYFUNCTION("""COMPUTED_VALUE"""),"")</f>
        <v/>
      </c>
      <c r="Y93" s="4" t="str">
        <f>IFERROR(__xludf.DUMMYFUNCTION("""COMPUTED_VALUE"""),"")</f>
        <v/>
      </c>
    </row>
    <row r="94">
      <c r="A94" s="4" t="str">
        <f>IFERROR(__xludf.DUMMYFUNCTION("""COMPUTED_VALUE"""),"85 - Channel")</f>
        <v>85 - Channel</v>
      </c>
      <c r="B94" s="4" t="str">
        <f>IFERROR(__xludf.DUMMYFUNCTION("""COMPUTED_VALUE"""),"Channel 1")</f>
        <v>Channel 1</v>
      </c>
      <c r="C94" s="4" t="str">
        <f>IFERROR(__xludf.DUMMYFUNCTION("""COMPUTED_VALUE"""),"Day 1 - 23/06")</f>
        <v>Day 1 - 23/06</v>
      </c>
      <c r="D94" s="6">
        <f>IFERROR(__xludf.DUMMYFUNCTION("""COMPUTED_VALUE"""),0.5998958333333332)</f>
        <v>0.5998958333</v>
      </c>
      <c r="E94" s="6">
        <f>IFERROR(__xludf.DUMMYFUNCTION("""COMPUTED_VALUE"""),2.314814814814815E-4)</f>
        <v>0.0002314814815</v>
      </c>
      <c r="F94" s="6">
        <f>IFERROR(__xludf.DUMMYFUNCTION("""COMPUTED_VALUE"""),0.6001273148148146)</f>
        <v>0.6001273148</v>
      </c>
      <c r="G94" s="4" t="str">
        <f>IFERROR(__xludf.DUMMYFUNCTION("""COMPUTED_VALUE"""),"")</f>
        <v/>
      </c>
      <c r="H94" s="4" t="str">
        <f>IFERROR(__xludf.DUMMYFUNCTION("""COMPUTED_VALUE"""),"")</f>
        <v/>
      </c>
      <c r="I94" s="4" t="str">
        <f>IFERROR(__xludf.DUMMYFUNCTION("""COMPUTED_VALUE"""),"")</f>
        <v/>
      </c>
      <c r="J94" s="4" t="str">
        <f>IFERROR(__xludf.DUMMYFUNCTION("""COMPUTED_VALUE"""),"")</f>
        <v/>
      </c>
      <c r="K94" s="4" t="str">
        <f>IFERROR(__xludf.DUMMYFUNCTION("""COMPUTED_VALUE"""),"Talk Intro")</f>
        <v>Talk Intro</v>
      </c>
      <c r="L94" s="4" t="str">
        <f>IFERROR(__xludf.DUMMYFUNCTION("""COMPUTED_VALUE"""),"")</f>
        <v/>
      </c>
      <c r="M94" s="4" t="str">
        <f>IFERROR(__xludf.DUMMYFUNCTION("""COMPUTED_VALUE"""),"Talk Intro")</f>
        <v>Talk Intro</v>
      </c>
      <c r="N94" s="4" t="str">
        <f>IFERROR(__xludf.DUMMYFUNCTION("""COMPUTED_VALUE"""),"Yvonne Redmond, Web Summit")</f>
        <v>Yvonne Redmond, Web Summit</v>
      </c>
      <c r="O94" s="4" t="str">
        <f>IFERROR(__xludf.DUMMYFUNCTION("""COMPUTED_VALUE"""),"")</f>
        <v/>
      </c>
      <c r="P94" s="4" t="str">
        <f>IFERROR(__xludf.DUMMYFUNCTION("""COMPUTED_VALUE"""),"")</f>
        <v/>
      </c>
      <c r="Q94" s="4" t="str">
        <f>IFERROR(__xludf.DUMMYFUNCTION("""COMPUTED_VALUE"""),"")</f>
        <v/>
      </c>
      <c r="R94" s="4" t="str">
        <f>IFERROR(__xludf.DUMMYFUNCTION("""COMPUTED_VALUE"""),"")</f>
        <v/>
      </c>
      <c r="S94" s="4" t="str">
        <f>IFERROR(__xludf.DUMMYFUNCTION("""COMPUTED_VALUE"""),"")</f>
        <v/>
      </c>
      <c r="T94" s="4" t="str">
        <f>IFERROR(__xludf.DUMMYFUNCTION("""COMPUTED_VALUE"""),"")</f>
        <v/>
      </c>
      <c r="U94" s="4" t="str">
        <f>IFERROR(__xludf.DUMMYFUNCTION("""COMPUTED_VALUE"""),"")</f>
        <v/>
      </c>
      <c r="V94" s="4" t="str">
        <f>IFERROR(__xludf.DUMMYFUNCTION("""COMPUTED_VALUE"""),"")</f>
        <v/>
      </c>
      <c r="W94" s="4" t="str">
        <f>IFERROR(__xludf.DUMMYFUNCTION("""COMPUTED_VALUE"""),"")</f>
        <v/>
      </c>
      <c r="X94" s="4" t="str">
        <f>IFERROR(__xludf.DUMMYFUNCTION("""COMPUTED_VALUE"""),"")</f>
        <v/>
      </c>
      <c r="Y94" s="4" t="str">
        <f>IFERROR(__xludf.DUMMYFUNCTION("""COMPUTED_VALUE"""),"")</f>
        <v/>
      </c>
    </row>
    <row r="95">
      <c r="A95" s="4" t="str">
        <f>IFERROR(__xludf.DUMMYFUNCTION("""COMPUTED_VALUE"""),"86 - Channel")</f>
        <v>86 - Channel</v>
      </c>
      <c r="B95" s="4" t="str">
        <f>IFERROR(__xludf.DUMMYFUNCTION("""COMPUTED_VALUE"""),"Channel 1")</f>
        <v>Channel 1</v>
      </c>
      <c r="C95" s="4" t="str">
        <f>IFERROR(__xludf.DUMMYFUNCTION("""COMPUTED_VALUE"""),"Day 1 - 23/06")</f>
        <v>Day 1 - 23/06</v>
      </c>
      <c r="D95" s="6">
        <f>IFERROR(__xludf.DUMMYFUNCTION("""COMPUTED_VALUE"""),0.6001273148148146)</f>
        <v>0.6001273148</v>
      </c>
      <c r="E95" s="6">
        <f>IFERROR(__xludf.DUMMYFUNCTION("""COMPUTED_VALUE"""),0.008240740740740741)</f>
        <v>0.008240740741</v>
      </c>
      <c r="F95" s="6">
        <f>IFERROR(__xludf.DUMMYFUNCTION("""COMPUTED_VALUE"""),0.6083680555555554)</f>
        <v>0.6083680556</v>
      </c>
      <c r="G95" s="4" t="str">
        <f>IFERROR(__xludf.DUMMYFUNCTION("""COMPUTED_VALUE"""),"Lucia G.")</f>
        <v>Lucia G.</v>
      </c>
      <c r="H95" s="4" t="str">
        <f>IFERROR(__xludf.DUMMYFUNCTION("""COMPUTED_VALUE"""),"Shauna")</f>
        <v>Shauna</v>
      </c>
      <c r="I95" s="4" t="str">
        <f>IFERROR(__xludf.DUMMYFUNCTION("""COMPUTED_VALUE"""),"Jack")</f>
        <v>Jack</v>
      </c>
      <c r="J95" s="4" t="str">
        <f>IFERROR(__xludf.DUMMYFUNCTION("""COMPUTED_VALUE"""),"Design")</f>
        <v>Design</v>
      </c>
      <c r="K95" s="4" t="str">
        <f>IFERROR(__xludf.DUMMYFUNCTION("""COMPUTED_VALUE"""),"Super Fireside")</f>
        <v>Super Fireside</v>
      </c>
      <c r="L95" s="4" t="str">
        <f>IFERROR(__xludf.DUMMYFUNCTION("""COMPUTED_VALUE"""),"T- 6 - 11/05/2020")</f>
        <v>T- 6 - 11/05/2020</v>
      </c>
      <c r="M95" s="4" t="str">
        <f>IFERROR(__xludf.DUMMYFUNCTION("""COMPUTED_VALUE"""),"UI and the customer experience post Covid-19 ")</f>
        <v>UI and the customer experience post Covid-19 </v>
      </c>
      <c r="N95" s="4" t="str">
        <f>IFERROR(__xludf.DUMMYFUNCTION("""COMPUTED_VALUE"""),"Jaclyn Tsui, Altitude Labs")</f>
        <v>Jaclyn Tsui, Altitude Labs</v>
      </c>
      <c r="O95" s="4" t="str">
        <f>IFERROR(__xludf.DUMMYFUNCTION("""COMPUTED_VALUE"""),"Tim Ho, Constant")</f>
        <v>Tim Ho, Constant</v>
      </c>
      <c r="P95" s="4" t="str">
        <f>IFERROR(__xludf.DUMMYFUNCTION("""COMPUTED_VALUE"""),"")</f>
        <v/>
      </c>
      <c r="Q95" s="4" t="str">
        <f>IFERROR(__xludf.DUMMYFUNCTION("""COMPUTED_VALUE"""),"")</f>
        <v/>
      </c>
      <c r="R95" s="4" t="str">
        <f>IFERROR(__xludf.DUMMYFUNCTION("""COMPUTED_VALUE"""),"Richard Lai, Engadget")</f>
        <v>Richard Lai, Engadget</v>
      </c>
      <c r="S95" s="4" t="str">
        <f>IFERROR(__xludf.DUMMYFUNCTION("""COMPUTED_VALUE"""),"What are the new rules for UI and the customer experience in a post Covid-19 world, as brands fight to retain customers?")</f>
        <v>What are the new rules for UI and the customer experience in a post Covid-19 world, as brands fight to retain customers?</v>
      </c>
      <c r="T95" s="4" t="str">
        <f>IFERROR(__xludf.DUMMYFUNCTION("""COMPUTED_VALUE"""),"NON-KEYNOTE 9 - COMPLETE")</f>
        <v>NON-KEYNOTE 9 - COMPLETE</v>
      </c>
      <c r="U95" s="23">
        <f>IFERROR(__xludf.DUMMYFUNCTION("""COMPUTED_VALUE"""),43966.0)</f>
        <v>43966</v>
      </c>
      <c r="V95" s="24">
        <f>IFERROR(__xludf.DUMMYFUNCTION("""COMPUTED_VALUE"""),0.4166666666666667)</f>
        <v>0.4166666667</v>
      </c>
      <c r="W95" s="4" t="str">
        <f>IFERROR(__xludf.DUMMYFUNCTION("""COMPUTED_VALUE"""),"COMPLETE")</f>
        <v>COMPLETE</v>
      </c>
      <c r="X95" s="4" t="str">
        <f>IFERROR(__xludf.DUMMYFUNCTION("""COMPUTED_VALUE"""),"Lucia G.")</f>
        <v>Lucia G.</v>
      </c>
      <c r="Y95" s="4" t="str">
        <f>IFERROR(__xludf.DUMMYFUNCTION("""COMPUTED_VALUE"""),"")</f>
        <v/>
      </c>
    </row>
    <row r="96">
      <c r="A96" s="4" t="str">
        <f>IFERROR(__xludf.DUMMYFUNCTION("""COMPUTED_VALUE"""),"1649 - Channel")</f>
        <v>1649 - Channel</v>
      </c>
      <c r="B96" s="4" t="str">
        <f>IFERROR(__xludf.DUMMYFUNCTION("""COMPUTED_VALUE"""),"Channel 1")</f>
        <v>Channel 1</v>
      </c>
      <c r="C96" s="4" t="str">
        <f>IFERROR(__xludf.DUMMYFUNCTION("""COMPUTED_VALUE"""),"Day 1 - 23/06")</f>
        <v>Day 1 - 23/06</v>
      </c>
      <c r="D96" s="6">
        <f>IFERROR(__xludf.DUMMYFUNCTION("""COMPUTED_VALUE"""),0.6083680555555554)</f>
        <v>0.6083680556</v>
      </c>
      <c r="E96" s="6">
        <f>IFERROR(__xludf.DUMMYFUNCTION("""COMPUTED_VALUE"""),3.4722222222222224E-4)</f>
        <v>0.0003472222222</v>
      </c>
      <c r="F96" s="6">
        <f>IFERROR(__xludf.DUMMYFUNCTION("""COMPUTED_VALUE"""),0.6087152777777777)</f>
        <v>0.6087152778</v>
      </c>
      <c r="G96" s="4" t="str">
        <f>IFERROR(__xludf.DUMMYFUNCTION("""COMPUTED_VALUE"""),"")</f>
        <v/>
      </c>
      <c r="H96" s="4" t="str">
        <f>IFERROR(__xludf.DUMMYFUNCTION("""COMPUTED_VALUE"""),"")</f>
        <v/>
      </c>
      <c r="I96" s="4" t="str">
        <f>IFERROR(__xludf.DUMMYFUNCTION("""COMPUTED_VALUE"""),"")</f>
        <v/>
      </c>
      <c r="J96" s="4" t="str">
        <f>IFERROR(__xludf.DUMMYFUNCTION("""COMPUTED_VALUE"""),"")</f>
        <v/>
      </c>
      <c r="K96" s="4" t="str">
        <f>IFERROR(__xludf.DUMMYFUNCTION("""COMPUTED_VALUE"""),"RISE Trailer")</f>
        <v>RISE Trailer</v>
      </c>
      <c r="L96" s="4" t="str">
        <f>IFERROR(__xludf.DUMMYFUNCTION("""COMPUTED_VALUE"""),"")</f>
        <v/>
      </c>
      <c r="M96" s="4" t="str">
        <f>IFERROR(__xludf.DUMMYFUNCTION("""COMPUTED_VALUE"""),"RISE promo")</f>
        <v>RISE promo</v>
      </c>
      <c r="N96" s="4" t="str">
        <f>IFERROR(__xludf.DUMMYFUNCTION("""COMPUTED_VALUE"""),"Content pending")</f>
        <v>Content pending</v>
      </c>
      <c r="O96" s="4" t="str">
        <f>IFERROR(__xludf.DUMMYFUNCTION("""COMPUTED_VALUE"""),"")</f>
        <v/>
      </c>
      <c r="P96" s="4" t="str">
        <f>IFERROR(__xludf.DUMMYFUNCTION("""COMPUTED_VALUE"""),"")</f>
        <v/>
      </c>
      <c r="Q96" s="4" t="str">
        <f>IFERROR(__xludf.DUMMYFUNCTION("""COMPUTED_VALUE"""),"")</f>
        <v/>
      </c>
      <c r="R96" s="4" t="str">
        <f>IFERROR(__xludf.DUMMYFUNCTION("""COMPUTED_VALUE"""),"")</f>
        <v/>
      </c>
      <c r="S96" s="4" t="str">
        <f>IFERROR(__xludf.DUMMYFUNCTION("""COMPUTED_VALUE"""),"")</f>
        <v/>
      </c>
      <c r="T96" s="4" t="str">
        <f>IFERROR(__xludf.DUMMYFUNCTION("""COMPUTED_VALUE"""),"")</f>
        <v/>
      </c>
      <c r="U96" s="4" t="str">
        <f>IFERROR(__xludf.DUMMYFUNCTION("""COMPUTED_VALUE"""),"")</f>
        <v/>
      </c>
      <c r="V96" s="4" t="str">
        <f>IFERROR(__xludf.DUMMYFUNCTION("""COMPUTED_VALUE"""),"")</f>
        <v/>
      </c>
      <c r="W96" s="4" t="str">
        <f>IFERROR(__xludf.DUMMYFUNCTION("""COMPUTED_VALUE"""),"")</f>
        <v/>
      </c>
      <c r="X96" s="4" t="str">
        <f>IFERROR(__xludf.DUMMYFUNCTION("""COMPUTED_VALUE"""),"")</f>
        <v/>
      </c>
      <c r="Y96" s="4" t="str">
        <f>IFERROR(__xludf.DUMMYFUNCTION("""COMPUTED_VALUE"""),"")</f>
        <v/>
      </c>
    </row>
    <row r="97">
      <c r="A97" s="4" t="str">
        <f>IFERROR(__xludf.DUMMYFUNCTION("""COMPUTED_VALUE"""),"1607 - Channel")</f>
        <v>1607 - Channel</v>
      </c>
      <c r="B97" s="4" t="str">
        <f>IFERROR(__xludf.DUMMYFUNCTION("""COMPUTED_VALUE"""),"Channel 1")</f>
        <v>Channel 1</v>
      </c>
      <c r="C97" s="4" t="str">
        <f>IFERROR(__xludf.DUMMYFUNCTION("""COMPUTED_VALUE"""),"Day 1 - 23/06")</f>
        <v>Day 1 - 23/06</v>
      </c>
      <c r="D97" s="6">
        <f>IFERROR(__xludf.DUMMYFUNCTION("""COMPUTED_VALUE"""),0.6087152777777777)</f>
        <v>0.6087152778</v>
      </c>
      <c r="E97" s="6">
        <f>IFERROR(__xludf.DUMMYFUNCTION("""COMPUTED_VALUE"""),5.208333333333333E-4)</f>
        <v>0.0005208333333</v>
      </c>
      <c r="F97" s="6">
        <f>IFERROR(__xludf.DUMMYFUNCTION("""COMPUTED_VALUE"""),0.609236111111111)</f>
        <v>0.6092361111</v>
      </c>
      <c r="G97" s="4" t="str">
        <f>IFERROR(__xludf.DUMMYFUNCTION("""COMPUTED_VALUE"""),"")</f>
        <v/>
      </c>
      <c r="H97" s="4" t="str">
        <f>IFERROR(__xludf.DUMMYFUNCTION("""COMPUTED_VALUE"""),"")</f>
        <v/>
      </c>
      <c r="I97" s="4" t="str">
        <f>IFERROR(__xludf.DUMMYFUNCTION("""COMPUTED_VALUE"""),"")</f>
        <v/>
      </c>
      <c r="J97" s="4" t="str">
        <f>IFERROR(__xludf.DUMMYFUNCTION("""COMPUTED_VALUE"""),"")</f>
        <v/>
      </c>
      <c r="K97" s="4" t="str">
        <f>IFERROR(__xludf.DUMMYFUNCTION("""COMPUTED_VALUE"""),"Web Summit Trailer - full")</f>
        <v>Web Summit Trailer - full</v>
      </c>
      <c r="L97" s="4" t="str">
        <f>IFERROR(__xludf.DUMMYFUNCTION("""COMPUTED_VALUE"""),"")</f>
        <v/>
      </c>
      <c r="M97" s="4" t="str">
        <f>IFERROR(__xludf.DUMMYFUNCTION("""COMPUTED_VALUE"""),"Web Summit promo")</f>
        <v>Web Summit promo</v>
      </c>
      <c r="N97" s="4" t="str">
        <f>IFERROR(__xludf.DUMMYFUNCTION("""COMPUTED_VALUE"""),"Content pending")</f>
        <v>Content pending</v>
      </c>
      <c r="O97" s="4" t="str">
        <f>IFERROR(__xludf.DUMMYFUNCTION("""COMPUTED_VALUE"""),"")</f>
        <v/>
      </c>
      <c r="P97" s="4" t="str">
        <f>IFERROR(__xludf.DUMMYFUNCTION("""COMPUTED_VALUE"""),"")</f>
        <v/>
      </c>
      <c r="Q97" s="4" t="str">
        <f>IFERROR(__xludf.DUMMYFUNCTION("""COMPUTED_VALUE"""),"")</f>
        <v/>
      </c>
      <c r="R97" s="4" t="str">
        <f>IFERROR(__xludf.DUMMYFUNCTION("""COMPUTED_VALUE"""),"")</f>
        <v/>
      </c>
      <c r="S97" s="4" t="str">
        <f>IFERROR(__xludf.DUMMYFUNCTION("""COMPUTED_VALUE"""),"")</f>
        <v/>
      </c>
      <c r="T97" s="4" t="str">
        <f>IFERROR(__xludf.DUMMYFUNCTION("""COMPUTED_VALUE"""),"")</f>
        <v/>
      </c>
      <c r="U97" s="4" t="str">
        <f>IFERROR(__xludf.DUMMYFUNCTION("""COMPUTED_VALUE"""),"")</f>
        <v/>
      </c>
      <c r="V97" s="4" t="str">
        <f>IFERROR(__xludf.DUMMYFUNCTION("""COMPUTED_VALUE"""),"")</f>
        <v/>
      </c>
      <c r="W97" s="4" t="str">
        <f>IFERROR(__xludf.DUMMYFUNCTION("""COMPUTED_VALUE"""),"")</f>
        <v/>
      </c>
      <c r="X97" s="4" t="str">
        <f>IFERROR(__xludf.DUMMYFUNCTION("""COMPUTED_VALUE"""),"")</f>
        <v/>
      </c>
      <c r="Y97" s="4" t="str">
        <f>IFERROR(__xludf.DUMMYFUNCTION("""COMPUTED_VALUE"""),"")</f>
        <v/>
      </c>
    </row>
    <row r="98">
      <c r="A98" s="4" t="str">
        <f>IFERROR(__xludf.DUMMYFUNCTION("""COMPUTED_VALUE"""),"1412 - Channel")</f>
        <v>1412 - Channel</v>
      </c>
      <c r="B98" s="4" t="str">
        <f>IFERROR(__xludf.DUMMYFUNCTION("""COMPUTED_VALUE"""),"Channel 1")</f>
        <v>Channel 1</v>
      </c>
      <c r="C98" s="4" t="str">
        <f>IFERROR(__xludf.DUMMYFUNCTION("""COMPUTED_VALUE"""),"Day 1 - 23/06")</f>
        <v>Day 1 - 23/06</v>
      </c>
      <c r="D98" s="6">
        <f>IFERROR(__xludf.DUMMYFUNCTION("""COMPUTED_VALUE"""),0.609236111111111)</f>
        <v>0.6092361111</v>
      </c>
      <c r="E98" s="6">
        <f>IFERROR(__xludf.DUMMYFUNCTION("""COMPUTED_VALUE"""),2.314814814814815E-4)</f>
        <v>0.0002314814815</v>
      </c>
      <c r="F98" s="6">
        <f>IFERROR(__xludf.DUMMYFUNCTION("""COMPUTED_VALUE"""),0.6094675925925924)</f>
        <v>0.6094675926</v>
      </c>
      <c r="G98" s="4" t="str">
        <f>IFERROR(__xludf.DUMMYFUNCTION("""COMPUTED_VALUE"""),"")</f>
        <v/>
      </c>
      <c r="H98" s="4" t="str">
        <f>IFERROR(__xludf.DUMMYFUNCTION("""COMPUTED_VALUE"""),"")</f>
        <v/>
      </c>
      <c r="I98" s="4" t="str">
        <f>IFERROR(__xludf.DUMMYFUNCTION("""COMPUTED_VALUE"""),"")</f>
        <v/>
      </c>
      <c r="J98" s="4" t="str">
        <f>IFERROR(__xludf.DUMMYFUNCTION("""COMPUTED_VALUE"""),"")</f>
        <v/>
      </c>
      <c r="K98" s="4" t="str">
        <f>IFERROR(__xludf.DUMMYFUNCTION("""COMPUTED_VALUE"""),"Talk Intro")</f>
        <v>Talk Intro</v>
      </c>
      <c r="L98" s="4" t="str">
        <f>IFERROR(__xludf.DUMMYFUNCTION("""COMPUTED_VALUE"""),"")</f>
        <v/>
      </c>
      <c r="M98" s="4" t="str">
        <f>IFERROR(__xludf.DUMMYFUNCTION("""COMPUTED_VALUE"""),"Teaser:Slack_Intro")</f>
        <v>Teaser:Slack_Intro</v>
      </c>
      <c r="N98" s="4" t="str">
        <f>IFERROR(__xludf.DUMMYFUNCTION("""COMPUTED_VALUE"""),"Yvonne Redmond, Web Summit")</f>
        <v>Yvonne Redmond, Web Summit</v>
      </c>
      <c r="O98" s="4" t="str">
        <f>IFERROR(__xludf.DUMMYFUNCTION("""COMPUTED_VALUE"""),"")</f>
        <v/>
      </c>
      <c r="P98" s="4" t="str">
        <f>IFERROR(__xludf.DUMMYFUNCTION("""COMPUTED_VALUE"""),"")</f>
        <v/>
      </c>
      <c r="Q98" s="4" t="str">
        <f>IFERROR(__xludf.DUMMYFUNCTION("""COMPUTED_VALUE"""),"")</f>
        <v/>
      </c>
      <c r="R98" s="4" t="str">
        <f>IFERROR(__xludf.DUMMYFUNCTION("""COMPUTED_VALUE"""),"")</f>
        <v/>
      </c>
      <c r="S98" s="4" t="str">
        <f>IFERROR(__xludf.DUMMYFUNCTION("""COMPUTED_VALUE"""),"")</f>
        <v/>
      </c>
      <c r="T98" s="4" t="str">
        <f>IFERROR(__xludf.DUMMYFUNCTION("""COMPUTED_VALUE"""),"")</f>
        <v/>
      </c>
      <c r="U98" s="4" t="str">
        <f>IFERROR(__xludf.DUMMYFUNCTION("""COMPUTED_VALUE"""),"")</f>
        <v/>
      </c>
      <c r="V98" s="4" t="str">
        <f>IFERROR(__xludf.DUMMYFUNCTION("""COMPUTED_VALUE"""),"")</f>
        <v/>
      </c>
      <c r="W98" s="4" t="str">
        <f>IFERROR(__xludf.DUMMYFUNCTION("""COMPUTED_VALUE"""),"")</f>
        <v/>
      </c>
      <c r="X98" s="4" t="str">
        <f>IFERROR(__xludf.DUMMYFUNCTION("""COMPUTED_VALUE"""),"")</f>
        <v/>
      </c>
      <c r="Y98" s="4" t="str">
        <f>IFERROR(__xludf.DUMMYFUNCTION("""COMPUTED_VALUE"""),"")</f>
        <v/>
      </c>
    </row>
    <row r="99">
      <c r="A99" s="4" t="str">
        <f>IFERROR(__xludf.DUMMYFUNCTION("""COMPUTED_VALUE"""),"310 - Channel")</f>
        <v>310 - Channel</v>
      </c>
      <c r="B99" s="4" t="str">
        <f>IFERROR(__xludf.DUMMYFUNCTION("""COMPUTED_VALUE"""),"Channel 1")</f>
        <v>Channel 1</v>
      </c>
      <c r="C99" s="4" t="str">
        <f>IFERROR(__xludf.DUMMYFUNCTION("""COMPUTED_VALUE"""),"Day 1 - 23/06")</f>
        <v>Day 1 - 23/06</v>
      </c>
      <c r="D99" s="6">
        <f>IFERROR(__xludf.DUMMYFUNCTION("""COMPUTED_VALUE"""),0.6094675925925924)</f>
        <v>0.6094675926</v>
      </c>
      <c r="E99" s="6">
        <f>IFERROR(__xludf.DUMMYFUNCTION("""COMPUTED_VALUE"""),0.0020833333333333333)</f>
        <v>0.002083333333</v>
      </c>
      <c r="F99" s="6">
        <f>IFERROR(__xludf.DUMMYFUNCTION("""COMPUTED_VALUE"""),0.6115509259259257)</f>
        <v>0.6115509259</v>
      </c>
      <c r="G99" s="4" t="str">
        <f>IFERROR(__xludf.DUMMYFUNCTION("""COMPUTED_VALUE"""),"")</f>
        <v/>
      </c>
      <c r="H99" s="4" t="str">
        <f>IFERROR(__xludf.DUMMYFUNCTION("""COMPUTED_VALUE"""),"")</f>
        <v/>
      </c>
      <c r="I99" s="4" t="str">
        <f>IFERROR(__xludf.DUMMYFUNCTION("""COMPUTED_VALUE"""),"")</f>
        <v/>
      </c>
      <c r="J99" s="4" t="str">
        <f>IFERROR(__xludf.DUMMYFUNCTION("""COMPUTED_VALUE"""),"")</f>
        <v/>
      </c>
      <c r="K99" s="4" t="str">
        <f>IFERROR(__xludf.DUMMYFUNCTION("""COMPUTED_VALUE"""),"Teaser")</f>
        <v>Teaser</v>
      </c>
      <c r="L99" s="4" t="str">
        <f>IFERROR(__xludf.DUMMYFUNCTION("""COMPUTED_VALUE"""),"")</f>
        <v/>
      </c>
      <c r="M99" s="4" t="str">
        <f>IFERROR(__xludf.DUMMYFUNCTION("""COMPUTED_VALUE"""),"Teaser:Slack")</f>
        <v>Teaser:Slack</v>
      </c>
      <c r="N99" s="4" t="str">
        <f>IFERROR(__xludf.DUMMYFUNCTION("""COMPUTED_VALUE"""),"")</f>
        <v/>
      </c>
      <c r="O99" s="4" t="str">
        <f>IFERROR(__xludf.DUMMYFUNCTION("""COMPUTED_VALUE"""),"")</f>
        <v/>
      </c>
      <c r="P99" s="4" t="str">
        <f>IFERROR(__xludf.DUMMYFUNCTION("""COMPUTED_VALUE"""),"")</f>
        <v/>
      </c>
      <c r="Q99" s="4" t="str">
        <f>IFERROR(__xludf.DUMMYFUNCTION("""COMPUTED_VALUE"""),"")</f>
        <v/>
      </c>
      <c r="R99" s="4" t="str">
        <f>IFERROR(__xludf.DUMMYFUNCTION("""COMPUTED_VALUE"""),"")</f>
        <v/>
      </c>
      <c r="S99" s="4" t="str">
        <f>IFERROR(__xludf.DUMMYFUNCTION("""COMPUTED_VALUE"""),"")</f>
        <v/>
      </c>
      <c r="T99" s="4" t="str">
        <f>IFERROR(__xludf.DUMMYFUNCTION("""COMPUTED_VALUE"""),"")</f>
        <v/>
      </c>
      <c r="U99" s="4" t="str">
        <f>IFERROR(__xludf.DUMMYFUNCTION("""COMPUTED_VALUE"""),"")</f>
        <v/>
      </c>
      <c r="V99" s="4" t="str">
        <f>IFERROR(__xludf.DUMMYFUNCTION("""COMPUTED_VALUE"""),"")</f>
        <v/>
      </c>
      <c r="W99" s="4" t="str">
        <f>IFERROR(__xludf.DUMMYFUNCTION("""COMPUTED_VALUE"""),"")</f>
        <v/>
      </c>
      <c r="X99" s="4" t="str">
        <f>IFERROR(__xludf.DUMMYFUNCTION("""COMPUTED_VALUE"""),"")</f>
        <v/>
      </c>
      <c r="Y99" s="4" t="str">
        <f>IFERROR(__xludf.DUMMYFUNCTION("""COMPUTED_VALUE"""),"")</f>
        <v/>
      </c>
    </row>
    <row r="100">
      <c r="A100" s="4" t="str">
        <f>IFERROR(__xludf.DUMMYFUNCTION("""COMPUTED_VALUE"""),"2244 - Channel")</f>
        <v>2244 - Channel</v>
      </c>
      <c r="B100" s="4" t="str">
        <f>IFERROR(__xludf.DUMMYFUNCTION("""COMPUTED_VALUE"""),"Channel 1")</f>
        <v>Channel 1</v>
      </c>
      <c r="C100" s="4" t="str">
        <f>IFERROR(__xludf.DUMMYFUNCTION("""COMPUTED_VALUE"""),"Day 1 - 23/06")</f>
        <v>Day 1 - 23/06</v>
      </c>
      <c r="D100" s="6">
        <f>IFERROR(__xludf.DUMMYFUNCTION("""COMPUTED_VALUE"""),0.6115509259259257)</f>
        <v>0.6115509259</v>
      </c>
      <c r="E100" s="6">
        <f>IFERROR(__xludf.DUMMYFUNCTION("""COMPUTED_VALUE"""),2.314814814814815E-4)</f>
        <v>0.0002314814815</v>
      </c>
      <c r="F100" s="6">
        <f>IFERROR(__xludf.DUMMYFUNCTION("""COMPUTED_VALUE"""),0.6117824074074072)</f>
        <v>0.6117824074</v>
      </c>
      <c r="G100" s="4" t="str">
        <f>IFERROR(__xludf.DUMMYFUNCTION("""COMPUTED_VALUE"""),"")</f>
        <v/>
      </c>
      <c r="H100" s="4" t="str">
        <f>IFERROR(__xludf.DUMMYFUNCTION("""COMPUTED_VALUE"""),"")</f>
        <v/>
      </c>
      <c r="I100" s="4" t="str">
        <f>IFERROR(__xludf.DUMMYFUNCTION("""COMPUTED_VALUE"""),"")</f>
        <v/>
      </c>
      <c r="J100" s="4" t="str">
        <f>IFERROR(__xludf.DUMMYFUNCTION("""COMPUTED_VALUE"""),"")</f>
        <v/>
      </c>
      <c r="K100" s="4" t="str">
        <f>IFERROR(__xludf.DUMMYFUNCTION("""COMPUTED_VALUE"""),"Talk Outro")</f>
        <v>Talk Outro</v>
      </c>
      <c r="L100" s="4" t="str">
        <f>IFERROR(__xludf.DUMMYFUNCTION("""COMPUTED_VALUE"""),"")</f>
        <v/>
      </c>
      <c r="M100" s="4" t="str">
        <f>IFERROR(__xludf.DUMMYFUNCTION("""COMPUTED_VALUE"""),"Call to action")</f>
        <v>Call to action</v>
      </c>
      <c r="N100" s="4" t="str">
        <f>IFERROR(__xludf.DUMMYFUNCTION("""COMPUTED_VALUE"""),"Yvonne Redmond, Web Summit")</f>
        <v>Yvonne Redmond, Web Summit</v>
      </c>
      <c r="O100" s="4" t="str">
        <f>IFERROR(__xludf.DUMMYFUNCTION("""COMPUTED_VALUE"""),"")</f>
        <v/>
      </c>
      <c r="P100" s="4" t="str">
        <f>IFERROR(__xludf.DUMMYFUNCTION("""COMPUTED_VALUE"""),"")</f>
        <v/>
      </c>
      <c r="Q100" s="4" t="str">
        <f>IFERROR(__xludf.DUMMYFUNCTION("""COMPUTED_VALUE"""),"")</f>
        <v/>
      </c>
      <c r="R100" s="4" t="str">
        <f>IFERROR(__xludf.DUMMYFUNCTION("""COMPUTED_VALUE"""),"")</f>
        <v/>
      </c>
      <c r="S100" s="4" t="str">
        <f>IFERROR(__xludf.DUMMYFUNCTION("""COMPUTED_VALUE"""),"")</f>
        <v/>
      </c>
      <c r="T100" s="4" t="str">
        <f>IFERROR(__xludf.DUMMYFUNCTION("""COMPUTED_VALUE"""),"")</f>
        <v/>
      </c>
      <c r="U100" s="4" t="str">
        <f>IFERROR(__xludf.DUMMYFUNCTION("""COMPUTED_VALUE"""),"")</f>
        <v/>
      </c>
      <c r="V100" s="4" t="str">
        <f>IFERROR(__xludf.DUMMYFUNCTION("""COMPUTED_VALUE"""),"")</f>
        <v/>
      </c>
      <c r="W100" s="4" t="str">
        <f>IFERROR(__xludf.DUMMYFUNCTION("""COMPUTED_VALUE"""),"")</f>
        <v/>
      </c>
      <c r="X100" s="4" t="str">
        <f>IFERROR(__xludf.DUMMYFUNCTION("""COMPUTED_VALUE"""),"")</f>
        <v/>
      </c>
      <c r="Y100" s="4" t="str">
        <f>IFERROR(__xludf.DUMMYFUNCTION("""COMPUTED_VALUE"""),"")</f>
        <v/>
      </c>
    </row>
    <row r="101">
      <c r="A101" s="4" t="str">
        <f>IFERROR(__xludf.DUMMYFUNCTION("""COMPUTED_VALUE"""),"606 - Channel")</f>
        <v>606 - Channel</v>
      </c>
      <c r="B101" s="6" t="str">
        <f>IFERROR(__xludf.DUMMYFUNCTION("""COMPUTED_VALUE"""),"Channel 1")</f>
        <v>Channel 1</v>
      </c>
      <c r="C101" s="4" t="str">
        <f>IFERROR(__xludf.DUMMYFUNCTION("""COMPUTED_VALUE"""),"Day 1 - 23/06")</f>
        <v>Day 1 - 23/06</v>
      </c>
      <c r="D101" s="6">
        <f>IFERROR(__xludf.DUMMYFUNCTION("""COMPUTED_VALUE"""),0.6117824074074072)</f>
        <v>0.6117824074</v>
      </c>
      <c r="E101" s="6">
        <f>IFERROR(__xludf.DUMMYFUNCTION("""COMPUTED_VALUE"""),2.314814814814815E-4)</f>
        <v>0.0002314814815</v>
      </c>
      <c r="F101" s="6">
        <f>IFERROR(__xludf.DUMMYFUNCTION("""COMPUTED_VALUE"""),0.6120138888888886)</f>
        <v>0.6120138889</v>
      </c>
      <c r="G101" s="4" t="str">
        <f>IFERROR(__xludf.DUMMYFUNCTION("""COMPUTED_VALUE"""),"")</f>
        <v/>
      </c>
      <c r="H101" s="4" t="str">
        <f>IFERROR(__xludf.DUMMYFUNCTION("""COMPUTED_VALUE"""),"")</f>
        <v/>
      </c>
      <c r="I101" s="4" t="str">
        <f>IFERROR(__xludf.DUMMYFUNCTION("""COMPUTED_VALUE"""),"")</f>
        <v/>
      </c>
      <c r="J101" s="4" t="str">
        <f>IFERROR(__xludf.DUMMYFUNCTION("""COMPUTED_VALUE"""),"")</f>
        <v/>
      </c>
      <c r="K101" s="4" t="str">
        <f>IFERROR(__xludf.DUMMYFUNCTION("""COMPUTED_VALUE"""),"Talk Intro")</f>
        <v>Talk Intro</v>
      </c>
      <c r="L101" s="4" t="str">
        <f>IFERROR(__xludf.DUMMYFUNCTION("""COMPUTED_VALUE"""),"")</f>
        <v/>
      </c>
      <c r="M101" s="4" t="str">
        <f>IFERROR(__xludf.DUMMYFUNCTION("""COMPUTED_VALUE"""),"Talk intro ")</f>
        <v>Talk intro </v>
      </c>
      <c r="N101" s="4" t="str">
        <f>IFERROR(__xludf.DUMMYFUNCTION("""COMPUTED_VALUE"""),"Paddy Cosgrave, Web Summit")</f>
        <v>Paddy Cosgrave, Web Summit</v>
      </c>
      <c r="O101" s="4" t="str">
        <f>IFERROR(__xludf.DUMMYFUNCTION("""COMPUTED_VALUE"""),"Yvonne Redmond, Web Summit")</f>
        <v>Yvonne Redmond, Web Summit</v>
      </c>
      <c r="P101" s="4" t="str">
        <f>IFERROR(__xludf.DUMMYFUNCTION("""COMPUTED_VALUE"""),"")</f>
        <v/>
      </c>
      <c r="Q101" s="4" t="str">
        <f>IFERROR(__xludf.DUMMYFUNCTION("""COMPUTED_VALUE"""),"")</f>
        <v/>
      </c>
      <c r="R101" s="4" t="str">
        <f>IFERROR(__xludf.DUMMYFUNCTION("""COMPUTED_VALUE"""),"")</f>
        <v/>
      </c>
      <c r="S101" s="4" t="str">
        <f>IFERROR(__xludf.DUMMYFUNCTION("""COMPUTED_VALUE"""),"")</f>
        <v/>
      </c>
      <c r="T101" s="4" t="str">
        <f>IFERROR(__xludf.DUMMYFUNCTION("""COMPUTED_VALUE"""),"")</f>
        <v/>
      </c>
      <c r="U101" s="4" t="str">
        <f>IFERROR(__xludf.DUMMYFUNCTION("""COMPUTED_VALUE"""),"")</f>
        <v/>
      </c>
      <c r="V101" s="4" t="str">
        <f>IFERROR(__xludf.DUMMYFUNCTION("""COMPUTED_VALUE"""),"")</f>
        <v/>
      </c>
      <c r="W101" s="4" t="str">
        <f>IFERROR(__xludf.DUMMYFUNCTION("""COMPUTED_VALUE"""),"")</f>
        <v/>
      </c>
      <c r="X101" s="4" t="str">
        <f>IFERROR(__xludf.DUMMYFUNCTION("""COMPUTED_VALUE"""),"")</f>
        <v/>
      </c>
      <c r="Y101" s="4" t="str">
        <f>IFERROR(__xludf.DUMMYFUNCTION("""COMPUTED_VALUE"""),"")</f>
        <v/>
      </c>
    </row>
    <row r="102">
      <c r="A102" s="4" t="str">
        <f>IFERROR(__xludf.DUMMYFUNCTION("""COMPUTED_VALUE"""),"446 - Channel")</f>
        <v>446 - Channel</v>
      </c>
      <c r="B102" s="6" t="str">
        <f>IFERROR(__xludf.DUMMYFUNCTION("""COMPUTED_VALUE"""),"Channel 1")</f>
        <v>Channel 1</v>
      </c>
      <c r="C102" s="4" t="str">
        <f>IFERROR(__xludf.DUMMYFUNCTION("""COMPUTED_VALUE"""),"Day 1 - 23/06")</f>
        <v>Day 1 - 23/06</v>
      </c>
      <c r="D102" s="6">
        <f>IFERROR(__xludf.DUMMYFUNCTION("""COMPUTED_VALUE"""),0.6120138888888886)</f>
        <v>0.6120138889</v>
      </c>
      <c r="E102" s="6">
        <f>IFERROR(__xludf.DUMMYFUNCTION("""COMPUTED_VALUE"""),0.010023148148148147)</f>
        <v>0.01002314815</v>
      </c>
      <c r="F102" s="6">
        <f>IFERROR(__xludf.DUMMYFUNCTION("""COMPUTED_VALUE"""),0.6220370370370368)</f>
        <v>0.622037037</v>
      </c>
      <c r="G102" s="4" t="str">
        <f>IFERROR(__xludf.DUMMYFUNCTION("""COMPUTED_VALUE"""),"Stephanie")</f>
        <v>Stephanie</v>
      </c>
      <c r="H102" s="4" t="str">
        <f>IFERROR(__xludf.DUMMYFUNCTION("""COMPUTED_VALUE"""),"Haziq")</f>
        <v>Haziq</v>
      </c>
      <c r="I102" s="4" t="str">
        <f>IFERROR(__xludf.DUMMYFUNCTION("""COMPUTED_VALUE"""),"Geoff")</f>
        <v>Geoff</v>
      </c>
      <c r="J102" s="4" t="str">
        <f>IFERROR(__xludf.DUMMYFUNCTION("""COMPUTED_VALUE"""),"")</f>
        <v/>
      </c>
      <c r="K102" s="4" t="str">
        <f>IFERROR(__xludf.DUMMYFUNCTION("""COMPUTED_VALUE"""),"Panel")</f>
        <v>Panel</v>
      </c>
      <c r="L102" s="4" t="str">
        <f>IFERROR(__xludf.DUMMYFUNCTION("""COMPUTED_VALUE"""),"T- 6 - 11/05/2020")</f>
        <v>T- 6 - 11/05/2020</v>
      </c>
      <c r="M102" s="4" t="str">
        <f>IFERROR(__xludf.DUMMYFUNCTION("""COMPUTED_VALUE"""),"Why you should start a company in a recession")</f>
        <v>Why you should start a company in a recession</v>
      </c>
      <c r="N102" s="4" t="str">
        <f>IFERROR(__xludf.DUMMYFUNCTION("""COMPUTED_VALUE"""),"Renata Quintini, Renegade Partners")</f>
        <v>Renata Quintini, Renegade Partners</v>
      </c>
      <c r="O102" s="4" t="str">
        <f>IFERROR(__xludf.DUMMYFUNCTION("""COMPUTED_VALUE"""),"Mark Fernandes, Sierra Ventures")</f>
        <v>Mark Fernandes, Sierra Ventures</v>
      </c>
      <c r="P102" s="4" t="str">
        <f>IFERROR(__xludf.DUMMYFUNCTION("""COMPUTED_VALUE"""),"Ravi Viswanathan, NewView Capital")</f>
        <v>Ravi Viswanathan, NewView Capital</v>
      </c>
      <c r="Q102" s="4" t="str">
        <f>IFERROR(__xludf.DUMMYFUNCTION("""COMPUTED_VALUE"""),"")</f>
        <v/>
      </c>
      <c r="R102" s="4" t="str">
        <f>IFERROR(__xludf.DUMMYFUNCTION("""COMPUTED_VALUE"""),"Kimberly Weisul, Inc. Magazine")</f>
        <v>Kimberly Weisul, Inc. Magazine</v>
      </c>
      <c r="S102" s="23" t="str">
        <f>IFERROR(__xludf.DUMMYFUNCTION("""COMPUTED_VALUE"""),"An economic downturn can offer many advantages for startups. With a recession on the horizon, this could be the perfect time to start your business. Three of Silicon Valley's leading VCs tell us why.")</f>
        <v>An economic downturn can offer many advantages for startups. With a recession on the horizon, this could be the perfect time to start your business. Three of Silicon Valley's leading VCs tell us why.</v>
      </c>
      <c r="T102" s="24" t="str">
        <f>IFERROR(__xludf.DUMMYFUNCTION("""COMPUTED_VALUE"""),"NON-KEYNOTE 9 - COMPLETE")</f>
        <v>NON-KEYNOTE 9 - COMPLETE</v>
      </c>
      <c r="U102" s="23">
        <f>IFERROR(__xludf.DUMMYFUNCTION("""COMPUTED_VALUE"""),43963.0)</f>
        <v>43963</v>
      </c>
      <c r="V102" s="24">
        <f>IFERROR(__xludf.DUMMYFUNCTION("""COMPUTED_VALUE"""),0.7083333333333334)</f>
        <v>0.7083333333</v>
      </c>
      <c r="W102" s="4" t="str">
        <f>IFERROR(__xludf.DUMMYFUNCTION("""COMPUTED_VALUE"""),"COMPLETE")</f>
        <v>COMPLETE</v>
      </c>
      <c r="X102" s="4" t="str">
        <f>IFERROR(__xludf.DUMMYFUNCTION("""COMPUTED_VALUE"""),"Gavin")</f>
        <v>Gavin</v>
      </c>
      <c r="Y102" s="4" t="str">
        <f>IFERROR(__xludf.DUMMYFUNCTION("""COMPUTED_VALUE"""),"")</f>
        <v/>
      </c>
    </row>
    <row r="103">
      <c r="A103" s="4" t="str">
        <f>IFERROR(__xludf.DUMMYFUNCTION("""COMPUTED_VALUE"""),"327 - Channel")</f>
        <v>327 - Channel</v>
      </c>
      <c r="B103" s="6" t="str">
        <f>IFERROR(__xludf.DUMMYFUNCTION("""COMPUTED_VALUE"""),"Channel 1")</f>
        <v>Channel 1</v>
      </c>
      <c r="C103" s="4" t="str">
        <f>IFERROR(__xludf.DUMMYFUNCTION("""COMPUTED_VALUE"""),"Day 1 - 23/06")</f>
        <v>Day 1 - 23/06</v>
      </c>
      <c r="D103" s="6">
        <f>IFERROR(__xludf.DUMMYFUNCTION("""COMPUTED_VALUE"""),0.6220370370370368)</f>
        <v>0.622037037</v>
      </c>
      <c r="E103" s="6">
        <f>IFERROR(__xludf.DUMMYFUNCTION("""COMPUTED_VALUE"""),2.314814814814815E-4)</f>
        <v>0.0002314814815</v>
      </c>
      <c r="F103" s="6">
        <f>IFERROR(__xludf.DUMMYFUNCTION("""COMPUTED_VALUE"""),0.6222685185185183)</f>
        <v>0.6222685185</v>
      </c>
      <c r="G103" s="4" t="str">
        <f>IFERROR(__xludf.DUMMYFUNCTION("""COMPUTED_VALUE"""),"")</f>
        <v/>
      </c>
      <c r="H103" s="4" t="str">
        <f>IFERROR(__xludf.DUMMYFUNCTION("""COMPUTED_VALUE"""),"")</f>
        <v/>
      </c>
      <c r="I103" s="4" t="str">
        <f>IFERROR(__xludf.DUMMYFUNCTION("""COMPUTED_VALUE"""),"")</f>
        <v/>
      </c>
      <c r="J103" s="4" t="str">
        <f>IFERROR(__xludf.DUMMYFUNCTION("""COMPUTED_VALUE"""),"")</f>
        <v/>
      </c>
      <c r="K103" s="4" t="str">
        <f>IFERROR(__xludf.DUMMYFUNCTION("""COMPUTED_VALUE"""),"Talk Intro")</f>
        <v>Talk Intro</v>
      </c>
      <c r="L103" s="4" t="str">
        <f>IFERROR(__xludf.DUMMYFUNCTION("""COMPUTED_VALUE"""),"")</f>
        <v/>
      </c>
      <c r="M103" s="4" t="str">
        <f>IFERROR(__xludf.DUMMYFUNCTION("""COMPUTED_VALUE"""),"Talk intro ")</f>
        <v>Talk intro </v>
      </c>
      <c r="N103" s="4" t="str">
        <f>IFERROR(__xludf.DUMMYFUNCTION("""COMPUTED_VALUE"""),"Yvonne Redmond, Web Summit")</f>
        <v>Yvonne Redmond, Web Summit</v>
      </c>
      <c r="O103" s="4" t="str">
        <f>IFERROR(__xludf.DUMMYFUNCTION("""COMPUTED_VALUE"""),"")</f>
        <v/>
      </c>
      <c r="P103" s="4" t="str">
        <f>IFERROR(__xludf.DUMMYFUNCTION("""COMPUTED_VALUE"""),"")</f>
        <v/>
      </c>
      <c r="Q103" s="4" t="str">
        <f>IFERROR(__xludf.DUMMYFUNCTION("""COMPUTED_VALUE"""),"")</f>
        <v/>
      </c>
      <c r="R103" s="4" t="str">
        <f>IFERROR(__xludf.DUMMYFUNCTION("""COMPUTED_VALUE"""),"")</f>
        <v/>
      </c>
      <c r="S103" s="4" t="str">
        <f>IFERROR(__xludf.DUMMYFUNCTION("""COMPUTED_VALUE"""),"")</f>
        <v/>
      </c>
      <c r="T103" s="4" t="str">
        <f>IFERROR(__xludf.DUMMYFUNCTION("""COMPUTED_VALUE"""),"")</f>
        <v/>
      </c>
      <c r="U103" s="4" t="str">
        <f>IFERROR(__xludf.DUMMYFUNCTION("""COMPUTED_VALUE"""),"")</f>
        <v/>
      </c>
      <c r="V103" s="4" t="str">
        <f>IFERROR(__xludf.DUMMYFUNCTION("""COMPUTED_VALUE"""),"")</f>
        <v/>
      </c>
      <c r="W103" s="4" t="str">
        <f>IFERROR(__xludf.DUMMYFUNCTION("""COMPUTED_VALUE"""),"")</f>
        <v/>
      </c>
      <c r="X103" s="4" t="str">
        <f>IFERROR(__xludf.DUMMYFUNCTION("""COMPUTED_VALUE"""),"")</f>
        <v/>
      </c>
      <c r="Y103" s="4" t="str">
        <f>IFERROR(__xludf.DUMMYFUNCTION("""COMPUTED_VALUE"""),"")</f>
        <v/>
      </c>
    </row>
    <row r="104">
      <c r="A104" s="4" t="str">
        <f>IFERROR(__xludf.DUMMYFUNCTION("""COMPUTED_VALUE"""),"317 - Channel")</f>
        <v>317 - Channel</v>
      </c>
      <c r="B104" s="6" t="str">
        <f>IFERROR(__xludf.DUMMYFUNCTION("""COMPUTED_VALUE"""),"Channel 1")</f>
        <v>Channel 1</v>
      </c>
      <c r="C104" s="4" t="str">
        <f>IFERROR(__xludf.DUMMYFUNCTION("""COMPUTED_VALUE"""),"Day 1 - 23/06")</f>
        <v>Day 1 - 23/06</v>
      </c>
      <c r="D104" s="6">
        <f>IFERROR(__xludf.DUMMYFUNCTION("""COMPUTED_VALUE"""),0.6222685185185183)</f>
        <v>0.6222685185</v>
      </c>
      <c r="E104" s="6">
        <f>IFERROR(__xludf.DUMMYFUNCTION("""COMPUTED_VALUE"""),0.0067476851851851856)</f>
        <v>0.006747685185</v>
      </c>
      <c r="F104" s="6">
        <f>IFERROR(__xludf.DUMMYFUNCTION("""COMPUTED_VALUE"""),0.6290162037037035)</f>
        <v>0.6290162037</v>
      </c>
      <c r="G104" s="4" t="str">
        <f>IFERROR(__xludf.DUMMYFUNCTION("""COMPUTED_VALUE"""),"Lucia G.")</f>
        <v>Lucia G.</v>
      </c>
      <c r="H104" s="4" t="str">
        <f>IFERROR(__xludf.DUMMYFUNCTION("""COMPUTED_VALUE"""),"")</f>
        <v/>
      </c>
      <c r="I104" s="4" t="str">
        <f>IFERROR(__xludf.DUMMYFUNCTION("""COMPUTED_VALUE"""),"Jack")</f>
        <v>Jack</v>
      </c>
      <c r="J104" s="4" t="str">
        <f>IFERROR(__xludf.DUMMYFUNCTION("""COMPUTED_VALUE"""),"")</f>
        <v/>
      </c>
      <c r="K104" s="4" t="str">
        <f>IFERROR(__xludf.DUMMYFUNCTION("""COMPUTED_VALUE"""),"Keynote")</f>
        <v>Keynote</v>
      </c>
      <c r="L104" s="4" t="str">
        <f>IFERROR(__xludf.DUMMYFUNCTION("""COMPUTED_VALUE"""),"T- 6 - 11/05/2020")</f>
        <v>T- 6 - 11/05/2020</v>
      </c>
      <c r="M104" s="4" t="str">
        <f>IFERROR(__xludf.DUMMYFUNCTION("""COMPUTED_VALUE"""),"The jam jar and the hamburger: Connecting east and west design")</f>
        <v>The jam jar and the hamburger: Connecting east and west design</v>
      </c>
      <c r="N104" s="4" t="str">
        <f>IFERROR(__xludf.DUMMYFUNCTION("""COMPUTED_VALUE"""),"Jacob Benbunan, Saffron Consultants")</f>
        <v>Jacob Benbunan, Saffron Consultants</v>
      </c>
      <c r="O104" s="4" t="str">
        <f>IFERROR(__xludf.DUMMYFUNCTION("""COMPUTED_VALUE"""),"")</f>
        <v/>
      </c>
      <c r="P104" s="4" t="str">
        <f>IFERROR(__xludf.DUMMYFUNCTION("""COMPUTED_VALUE"""),"")</f>
        <v/>
      </c>
      <c r="Q104" s="4" t="str">
        <f>IFERROR(__xludf.DUMMYFUNCTION("""COMPUTED_VALUE"""),"")</f>
        <v/>
      </c>
      <c r="R104" s="4" t="str">
        <f>IFERROR(__xludf.DUMMYFUNCTION("""COMPUTED_VALUE"""),"")</f>
        <v/>
      </c>
      <c r="S104" s="4" t="str">
        <f>IFERROR(__xludf.DUMMYFUNCTION("""COMPUTED_VALUE"""),"CEO of Saffron Jacob Benbunan discusses the idea that a good product relies on familiarity for success. But, with familiarity becoming universal, local adaptation is potentially seen as an unnecessary nuance. Are ""boots on the ground"" essential any long"&amp;"er, or will a good product simply sell anywhere?")</f>
        <v>CEO of Saffron Jacob Benbunan discusses the idea that a good product relies on familiarity for success. But, with familiarity becoming universal, local adaptation is potentially seen as an unnecessary nuance. Are "boots on the ground" essential any longer, or will a good product simply sell anywhere?</v>
      </c>
      <c r="T104" s="4" t="str">
        <f>IFERROR(__xludf.DUMMYFUNCTION("""COMPUTED_VALUE"""),"NON-KEYNOTE 9 - COMPLETE")</f>
        <v>NON-KEYNOTE 9 - COMPLETE</v>
      </c>
      <c r="U104" s="23">
        <f>IFERROR(__xludf.DUMMYFUNCTION("""COMPUTED_VALUE"""),43962.0)</f>
        <v>43962</v>
      </c>
      <c r="V104" s="24">
        <f>IFERROR(__xludf.DUMMYFUNCTION("""COMPUTED_VALUE"""),0.4583333333333333)</f>
        <v>0.4583333333</v>
      </c>
      <c r="W104" s="4" t="str">
        <f>IFERROR(__xludf.DUMMYFUNCTION("""COMPUTED_VALUE"""),"COMPLETE")</f>
        <v>COMPLETE</v>
      </c>
      <c r="X104" s="4" t="str">
        <f>IFERROR(__xludf.DUMMYFUNCTION("""COMPUTED_VALUE"""),"Lucia G.")</f>
        <v>Lucia G.</v>
      </c>
      <c r="Y104" s="4" t="str">
        <f>IFERROR(__xludf.DUMMYFUNCTION("""COMPUTED_VALUE"""),"4646766547549395824")</f>
        <v>4646766547549395824</v>
      </c>
    </row>
    <row r="105">
      <c r="A105" s="4" t="str">
        <f>IFERROR(__xludf.DUMMYFUNCTION("""COMPUTED_VALUE"""),"95 - Channel")</f>
        <v>95 - Channel</v>
      </c>
      <c r="B105" s="4" t="str">
        <f>IFERROR(__xludf.DUMMYFUNCTION("""COMPUTED_VALUE"""),"Channel 1")</f>
        <v>Channel 1</v>
      </c>
      <c r="C105" s="4" t="str">
        <f>IFERROR(__xludf.DUMMYFUNCTION("""COMPUTED_VALUE"""),"Day 1 - 23/06")</f>
        <v>Day 1 - 23/06</v>
      </c>
      <c r="D105" s="4" t="str">
        <f>IFERROR(__xludf.DUMMYFUNCTION("""COMPUTED_VALUE"""),"")</f>
        <v/>
      </c>
      <c r="E105" s="4" t="str">
        <f>IFERROR(__xludf.DUMMYFUNCTION("""COMPUTED_VALUE"""),"")</f>
        <v/>
      </c>
      <c r="F105" s="4" t="str">
        <f>IFERROR(__xludf.DUMMYFUNCTION("""COMPUTED_VALUE"""),"")</f>
        <v/>
      </c>
      <c r="G105" s="4" t="str">
        <f>IFERROR(__xludf.DUMMYFUNCTION("""COMPUTED_VALUE"""),"")</f>
        <v/>
      </c>
      <c r="H105" s="4" t="str">
        <f>IFERROR(__xludf.DUMMYFUNCTION("""COMPUTED_VALUE"""),"")</f>
        <v/>
      </c>
      <c r="I105" s="4" t="str">
        <f>IFERROR(__xludf.DUMMYFUNCTION("""COMPUTED_VALUE"""),"")</f>
        <v/>
      </c>
      <c r="J105" s="4" t="str">
        <f>IFERROR(__xludf.DUMMYFUNCTION("""COMPUTED_VALUE"""),"")</f>
        <v/>
      </c>
      <c r="K105" s="4" t="str">
        <f>IFERROR(__xludf.DUMMYFUNCTION("""COMPUTED_VALUE"""),"")</f>
        <v/>
      </c>
      <c r="L105" s="4" t="str">
        <f>IFERROR(__xludf.DUMMYFUNCTION("""COMPUTED_VALUE"""),"")</f>
        <v/>
      </c>
      <c r="M105" s="4" t="str">
        <f>IFERROR(__xludf.DUMMYFUNCTION("""COMPUTED_VALUE"""),"")</f>
        <v/>
      </c>
      <c r="N105" s="4" t="str">
        <f>IFERROR(__xludf.DUMMYFUNCTION("""COMPUTED_VALUE"""),"")</f>
        <v/>
      </c>
      <c r="O105" s="4" t="str">
        <f>IFERROR(__xludf.DUMMYFUNCTION("""COMPUTED_VALUE"""),"")</f>
        <v/>
      </c>
      <c r="P105" s="4" t="str">
        <f>IFERROR(__xludf.DUMMYFUNCTION("""COMPUTED_VALUE"""),"")</f>
        <v/>
      </c>
      <c r="Q105" s="4" t="str">
        <f>IFERROR(__xludf.DUMMYFUNCTION("""COMPUTED_VALUE"""),"")</f>
        <v/>
      </c>
      <c r="R105" s="4" t="str">
        <f>IFERROR(__xludf.DUMMYFUNCTION("""COMPUTED_VALUE"""),"")</f>
        <v/>
      </c>
      <c r="S105" s="4" t="str">
        <f>IFERROR(__xludf.DUMMYFUNCTION("""COMPUTED_VALUE"""),"")</f>
        <v/>
      </c>
      <c r="T105" s="4" t="str">
        <f>IFERROR(__xludf.DUMMYFUNCTION("""COMPUTED_VALUE"""),"")</f>
        <v/>
      </c>
      <c r="U105" s="4" t="str">
        <f>IFERROR(__xludf.DUMMYFUNCTION("""COMPUTED_VALUE"""),"")</f>
        <v/>
      </c>
      <c r="V105" s="4" t="str">
        <f>IFERROR(__xludf.DUMMYFUNCTION("""COMPUTED_VALUE"""),"")</f>
        <v/>
      </c>
      <c r="W105" s="4" t="str">
        <f>IFERROR(__xludf.DUMMYFUNCTION("""COMPUTED_VALUE"""),"")</f>
        <v/>
      </c>
      <c r="X105" s="4" t="str">
        <f>IFERROR(__xludf.DUMMYFUNCTION("""COMPUTED_VALUE"""),"")</f>
        <v/>
      </c>
      <c r="Y105" s="4" t="str">
        <f>IFERROR(__xludf.DUMMYFUNCTION("""COMPUTED_VALUE"""),"")</f>
        <v/>
      </c>
    </row>
    <row r="106">
      <c r="A106" s="4" t="str">
        <f>IFERROR(__xludf.DUMMYFUNCTION("""COMPUTED_VALUE"""),"1816 - Channel")</f>
        <v>1816 - Channel</v>
      </c>
      <c r="B106" s="4" t="str">
        <f>IFERROR(__xludf.DUMMYFUNCTION("""COMPUTED_VALUE"""),"Channel 1")</f>
        <v>Channel 1</v>
      </c>
      <c r="C106" s="4" t="str">
        <f>IFERROR(__xludf.DUMMYFUNCTION("""COMPUTED_VALUE"""),"Day 1 - 23/06")</f>
        <v>Day 1 - 23/06</v>
      </c>
      <c r="D106" s="6">
        <f>IFERROR(__xludf.DUMMYFUNCTION("""COMPUTED_VALUE"""),0.6290162037037035)</f>
        <v>0.6290162037</v>
      </c>
      <c r="E106" s="6">
        <f>IFERROR(__xludf.DUMMYFUNCTION("""COMPUTED_VALUE"""),3.4722222222222224E-4)</f>
        <v>0.0003472222222</v>
      </c>
      <c r="F106" s="6">
        <f>IFERROR(__xludf.DUMMYFUNCTION("""COMPUTED_VALUE"""),0.6293634259259258)</f>
        <v>0.6293634259</v>
      </c>
      <c r="G106" s="4" t="str">
        <f>IFERROR(__xludf.DUMMYFUNCTION("""COMPUTED_VALUE"""),"Video")</f>
        <v>Video</v>
      </c>
      <c r="H106" s="4" t="str">
        <f>IFERROR(__xludf.DUMMYFUNCTION("""COMPUTED_VALUE"""),"")</f>
        <v/>
      </c>
      <c r="I106" s="4" t="str">
        <f>IFERROR(__xludf.DUMMYFUNCTION("""COMPUTED_VALUE"""),"")</f>
        <v/>
      </c>
      <c r="J106" s="4" t="str">
        <f>IFERROR(__xludf.DUMMYFUNCTION("""COMPUTED_VALUE"""),"")</f>
        <v/>
      </c>
      <c r="K106" s="4" t="str">
        <f>IFERROR(__xludf.DUMMYFUNCTION("""COMPUTED_VALUE"""),"RISE Trailer")</f>
        <v>RISE Trailer</v>
      </c>
      <c r="L106" s="4" t="str">
        <f>IFERROR(__xludf.DUMMYFUNCTION("""COMPUTED_VALUE"""),"")</f>
        <v/>
      </c>
      <c r="M106" s="4" t="str">
        <f>IFERROR(__xludf.DUMMYFUNCTION("""COMPUTED_VALUE"""),"RISE trailer")</f>
        <v>RISE trailer</v>
      </c>
      <c r="N106" s="4" t="str">
        <f>IFERROR(__xludf.DUMMYFUNCTION("""COMPUTED_VALUE"""),"Content pending")</f>
        <v>Content pending</v>
      </c>
      <c r="O106" s="4" t="str">
        <f>IFERROR(__xludf.DUMMYFUNCTION("""COMPUTED_VALUE"""),"")</f>
        <v/>
      </c>
      <c r="P106" s="4" t="str">
        <f>IFERROR(__xludf.DUMMYFUNCTION("""COMPUTED_VALUE"""),"")</f>
        <v/>
      </c>
      <c r="Q106" s="4" t="str">
        <f>IFERROR(__xludf.DUMMYFUNCTION("""COMPUTED_VALUE"""),"")</f>
        <v/>
      </c>
      <c r="R106" s="4" t="str">
        <f>IFERROR(__xludf.DUMMYFUNCTION("""COMPUTED_VALUE"""),"")</f>
        <v/>
      </c>
      <c r="S106" s="4" t="str">
        <f>IFERROR(__xludf.DUMMYFUNCTION("""COMPUTED_VALUE"""),"")</f>
        <v/>
      </c>
      <c r="T106" s="4" t="str">
        <f>IFERROR(__xludf.DUMMYFUNCTION("""COMPUTED_VALUE"""),"")</f>
        <v/>
      </c>
      <c r="U106" s="4" t="str">
        <f>IFERROR(__xludf.DUMMYFUNCTION("""COMPUTED_VALUE"""),"")</f>
        <v/>
      </c>
      <c r="V106" s="4" t="str">
        <f>IFERROR(__xludf.DUMMYFUNCTION("""COMPUTED_VALUE"""),"")</f>
        <v/>
      </c>
      <c r="W106" s="4" t="str">
        <f>IFERROR(__xludf.DUMMYFUNCTION("""COMPUTED_VALUE"""),"")</f>
        <v/>
      </c>
      <c r="X106" s="4" t="str">
        <f>IFERROR(__xludf.DUMMYFUNCTION("""COMPUTED_VALUE"""),"")</f>
        <v/>
      </c>
      <c r="Y106" s="4" t="str">
        <f>IFERROR(__xludf.DUMMYFUNCTION("""COMPUTED_VALUE"""),"")</f>
        <v/>
      </c>
    </row>
    <row r="107">
      <c r="A107" s="4" t="str">
        <f>IFERROR(__xludf.DUMMYFUNCTION("""COMPUTED_VALUE"""),"1961 - Channel")</f>
        <v>1961 - Channel</v>
      </c>
      <c r="B107" s="4" t="str">
        <f>IFERROR(__xludf.DUMMYFUNCTION("""COMPUTED_VALUE"""),"Channel 1")</f>
        <v>Channel 1</v>
      </c>
      <c r="C107" s="4" t="str">
        <f>IFERROR(__xludf.DUMMYFUNCTION("""COMPUTED_VALUE"""),"Day 1 - 23/06")</f>
        <v>Day 1 - 23/06</v>
      </c>
      <c r="D107" s="6">
        <f>IFERROR(__xludf.DUMMYFUNCTION("""COMPUTED_VALUE"""),0.6293634259259258)</f>
        <v>0.6293634259</v>
      </c>
      <c r="E107" s="6">
        <f>IFERROR(__xludf.DUMMYFUNCTION("""COMPUTED_VALUE"""),6.944444444444445E-4)</f>
        <v>0.0006944444444</v>
      </c>
      <c r="F107" s="6">
        <f>IFERROR(__xludf.DUMMYFUNCTION("""COMPUTED_VALUE"""),0.6300578703703702)</f>
        <v>0.6300578704</v>
      </c>
      <c r="G107" s="4" t="str">
        <f>IFERROR(__xludf.DUMMYFUNCTION("""COMPUTED_VALUE"""),"")</f>
        <v/>
      </c>
      <c r="H107" s="4" t="str">
        <f>IFERROR(__xludf.DUMMYFUNCTION("""COMPUTED_VALUE"""),"")</f>
        <v/>
      </c>
      <c r="I107" s="4" t="str">
        <f>IFERROR(__xludf.DUMMYFUNCTION("""COMPUTED_VALUE"""),"")</f>
        <v/>
      </c>
      <c r="J107" s="4" t="str">
        <f>IFERROR(__xludf.DUMMYFUNCTION("""COMPUTED_VALUE"""),"")</f>
        <v/>
      </c>
      <c r="K107" s="4" t="str">
        <f>IFERROR(__xludf.DUMMYFUNCTION("""COMPUTED_VALUE"""),"Laundry List/Lookaround")</f>
        <v>Laundry List/Lookaround</v>
      </c>
      <c r="L107" s="4" t="str">
        <f>IFERROR(__xludf.DUMMYFUNCTION("""COMPUTED_VALUE"""),"")</f>
        <v/>
      </c>
      <c r="M107" s="4" t="str">
        <f>IFERROR(__xludf.DUMMYFUNCTION("""COMPUTED_VALUE"""),"Laundry Day1_3PM")</f>
        <v>Laundry Day1_3PM</v>
      </c>
      <c r="N107" s="4" t="str">
        <f>IFERROR(__xludf.DUMMYFUNCTION("""COMPUTED_VALUE"""),"Yvonne Redmond, Web Summit")</f>
        <v>Yvonne Redmond, Web Summit</v>
      </c>
      <c r="O107" s="4" t="str">
        <f>IFERROR(__xludf.DUMMYFUNCTION("""COMPUTED_VALUE"""),"")</f>
        <v/>
      </c>
      <c r="P107" s="4" t="str">
        <f>IFERROR(__xludf.DUMMYFUNCTION("""COMPUTED_VALUE"""),"")</f>
        <v/>
      </c>
      <c r="Q107" s="4" t="str">
        <f>IFERROR(__xludf.DUMMYFUNCTION("""COMPUTED_VALUE"""),"")</f>
        <v/>
      </c>
      <c r="R107" s="4" t="str">
        <f>IFERROR(__xludf.DUMMYFUNCTION("""COMPUTED_VALUE"""),"")</f>
        <v/>
      </c>
      <c r="S107" s="4" t="str">
        <f>IFERROR(__xludf.DUMMYFUNCTION("""COMPUTED_VALUE"""),"")</f>
        <v/>
      </c>
      <c r="T107" s="4" t="str">
        <f>IFERROR(__xludf.DUMMYFUNCTION("""COMPUTED_VALUE"""),"")</f>
        <v/>
      </c>
      <c r="U107" s="4" t="str">
        <f>IFERROR(__xludf.DUMMYFUNCTION("""COMPUTED_VALUE"""),"")</f>
        <v/>
      </c>
      <c r="V107" s="4" t="str">
        <f>IFERROR(__xludf.DUMMYFUNCTION("""COMPUTED_VALUE"""),"")</f>
        <v/>
      </c>
      <c r="W107" s="4" t="str">
        <f>IFERROR(__xludf.DUMMYFUNCTION("""COMPUTED_VALUE"""),"")</f>
        <v/>
      </c>
      <c r="X107" s="4" t="str">
        <f>IFERROR(__xludf.DUMMYFUNCTION("""COMPUTED_VALUE"""),"")</f>
        <v/>
      </c>
      <c r="Y107" s="4" t="str">
        <f>IFERROR(__xludf.DUMMYFUNCTION("""COMPUTED_VALUE"""),"")</f>
        <v/>
      </c>
    </row>
    <row r="108">
      <c r="A108" s="4" t="str">
        <f>IFERROR(__xludf.DUMMYFUNCTION("""COMPUTED_VALUE"""),"115 - Channel")</f>
        <v>115 - Channel</v>
      </c>
      <c r="B108" s="6" t="str">
        <f>IFERROR(__xludf.DUMMYFUNCTION("""COMPUTED_VALUE"""),"Channel 1")</f>
        <v>Channel 1</v>
      </c>
      <c r="C108" s="4" t="str">
        <f>IFERROR(__xludf.DUMMYFUNCTION("""COMPUTED_VALUE"""),"Day 1 - 23/06")</f>
        <v>Day 1 - 23/06</v>
      </c>
      <c r="D108" s="6">
        <f>IFERROR(__xludf.DUMMYFUNCTION("""COMPUTED_VALUE"""),0.6300578703703702)</f>
        <v>0.6300578704</v>
      </c>
      <c r="E108" s="6">
        <f>IFERROR(__xludf.DUMMYFUNCTION("""COMPUTED_VALUE"""),2.314814814814815E-4)</f>
        <v>0.0002314814815</v>
      </c>
      <c r="F108" s="6">
        <f>IFERROR(__xludf.DUMMYFUNCTION("""COMPUTED_VALUE"""),0.6302893518518516)</f>
        <v>0.6302893519</v>
      </c>
      <c r="G108" s="4" t="str">
        <f>IFERROR(__xludf.DUMMYFUNCTION("""COMPUTED_VALUE"""),"")</f>
        <v/>
      </c>
      <c r="H108" s="4" t="str">
        <f>IFERROR(__xludf.DUMMYFUNCTION("""COMPUTED_VALUE"""),"")</f>
        <v/>
      </c>
      <c r="I108" s="4" t="str">
        <f>IFERROR(__xludf.DUMMYFUNCTION("""COMPUTED_VALUE"""),"")</f>
        <v/>
      </c>
      <c r="J108" s="4" t="str">
        <f>IFERROR(__xludf.DUMMYFUNCTION("""COMPUTED_VALUE"""),"")</f>
        <v/>
      </c>
      <c r="K108" s="4" t="str">
        <f>IFERROR(__xludf.DUMMYFUNCTION("""COMPUTED_VALUE"""),"Talk Intro")</f>
        <v>Talk Intro</v>
      </c>
      <c r="L108" s="4" t="str">
        <f>IFERROR(__xludf.DUMMYFUNCTION("""COMPUTED_VALUE"""),"")</f>
        <v/>
      </c>
      <c r="M108" s="4" t="str">
        <f>IFERROR(__xludf.DUMMYFUNCTION("""COMPUTED_VALUE"""),"Talk intro ")</f>
        <v>Talk intro </v>
      </c>
      <c r="N108" s="4" t="str">
        <f>IFERROR(__xludf.DUMMYFUNCTION("""COMPUTED_VALUE"""),"Yvonne Redmond, Web Summit")</f>
        <v>Yvonne Redmond, Web Summit</v>
      </c>
      <c r="O108" s="4" t="str">
        <f>IFERROR(__xludf.DUMMYFUNCTION("""COMPUTED_VALUE"""),"")</f>
        <v/>
      </c>
      <c r="P108" s="4" t="str">
        <f>IFERROR(__xludf.DUMMYFUNCTION("""COMPUTED_VALUE"""),"")</f>
        <v/>
      </c>
      <c r="Q108" s="4" t="str">
        <f>IFERROR(__xludf.DUMMYFUNCTION("""COMPUTED_VALUE"""),"")</f>
        <v/>
      </c>
      <c r="R108" s="4" t="str">
        <f>IFERROR(__xludf.DUMMYFUNCTION("""COMPUTED_VALUE"""),"")</f>
        <v/>
      </c>
      <c r="S108" s="4" t="str">
        <f>IFERROR(__xludf.DUMMYFUNCTION("""COMPUTED_VALUE"""),"")</f>
        <v/>
      </c>
      <c r="T108" s="4" t="str">
        <f>IFERROR(__xludf.DUMMYFUNCTION("""COMPUTED_VALUE"""),"")</f>
        <v/>
      </c>
      <c r="U108" s="4" t="str">
        <f>IFERROR(__xludf.DUMMYFUNCTION("""COMPUTED_VALUE"""),"")</f>
        <v/>
      </c>
      <c r="V108" s="4" t="str">
        <f>IFERROR(__xludf.DUMMYFUNCTION("""COMPUTED_VALUE"""),"")</f>
        <v/>
      </c>
      <c r="W108" s="4" t="str">
        <f>IFERROR(__xludf.DUMMYFUNCTION("""COMPUTED_VALUE"""),"")</f>
        <v/>
      </c>
      <c r="X108" s="4" t="str">
        <f>IFERROR(__xludf.DUMMYFUNCTION("""COMPUTED_VALUE"""),"")</f>
        <v/>
      </c>
      <c r="Y108" s="4" t="str">
        <f>IFERROR(__xludf.DUMMYFUNCTION("""COMPUTED_VALUE"""),"")</f>
        <v/>
      </c>
    </row>
    <row r="109">
      <c r="A109" s="4" t="str">
        <f>IFERROR(__xludf.DUMMYFUNCTION("""COMPUTED_VALUE"""),"90 - Channel")</f>
        <v>90 - Channel</v>
      </c>
      <c r="B109" s="6" t="str">
        <f>IFERROR(__xludf.DUMMYFUNCTION("""COMPUTED_VALUE"""),"Channel 1")</f>
        <v>Channel 1</v>
      </c>
      <c r="C109" s="4" t="str">
        <f>IFERROR(__xludf.DUMMYFUNCTION("""COMPUTED_VALUE"""),"Day 1 - 23/06")</f>
        <v>Day 1 - 23/06</v>
      </c>
      <c r="D109" s="6">
        <f>IFERROR(__xludf.DUMMYFUNCTION("""COMPUTED_VALUE"""),0.6302893518518516)</f>
        <v>0.6302893519</v>
      </c>
      <c r="E109" s="6">
        <f>IFERROR(__xludf.DUMMYFUNCTION("""COMPUTED_VALUE"""),0.008680555555555556)</f>
        <v>0.008680555556</v>
      </c>
      <c r="F109" s="6">
        <f>IFERROR(__xludf.DUMMYFUNCTION("""COMPUTED_VALUE"""),0.6389699074074072)</f>
        <v>0.6389699074</v>
      </c>
      <c r="G109" s="4" t="str">
        <f>IFERROR(__xludf.DUMMYFUNCTION("""COMPUTED_VALUE"""),"Lucia G.")</f>
        <v>Lucia G.</v>
      </c>
      <c r="H109" s="4" t="str">
        <f>IFERROR(__xludf.DUMMYFUNCTION("""COMPUTED_VALUE"""),"")</f>
        <v/>
      </c>
      <c r="I109" s="4" t="str">
        <f>IFERROR(__xludf.DUMMYFUNCTION("""COMPUTED_VALUE"""),"Jack")</f>
        <v>Jack</v>
      </c>
      <c r="J109" s="4" t="str">
        <f>IFERROR(__xludf.DUMMYFUNCTION("""COMPUTED_VALUE"""),"Branding")</f>
        <v>Branding</v>
      </c>
      <c r="K109" s="4" t="str">
        <f>IFERROR(__xludf.DUMMYFUNCTION("""COMPUTED_VALUE"""),"Super Fireside")</f>
        <v>Super Fireside</v>
      </c>
      <c r="L109" s="4" t="str">
        <f>IFERROR(__xludf.DUMMYFUNCTION("""COMPUTED_VALUE"""),"T- 3 - 01/06/2020")</f>
        <v>T- 3 - 01/06/2020</v>
      </c>
      <c r="M109" s="4" t="str">
        <f>IFERROR(__xludf.DUMMYFUNCTION("""COMPUTED_VALUE"""),"What makes a good logo?")</f>
        <v>What makes a good logo?</v>
      </c>
      <c r="N109" s="4" t="str">
        <f>IFERROR(__xludf.DUMMYFUNCTION("""COMPUTED_VALUE"""),"Amy Choyne, US Tennis Association")</f>
        <v>Amy Choyne, US Tennis Association</v>
      </c>
      <c r="O109" s="4" t="str">
        <f>IFERROR(__xludf.DUMMYFUNCTION("""COMPUTED_VALUE"""),"Sagi Haviv, Chermayeff &amp; Geismar &amp; Haviv")</f>
        <v>Sagi Haviv, Chermayeff &amp; Geismar &amp; Haviv</v>
      </c>
      <c r="P109" s="4" t="str">
        <f>IFERROR(__xludf.DUMMYFUNCTION("""COMPUTED_VALUE"""),"")</f>
        <v/>
      </c>
      <c r="Q109" s="4" t="str">
        <f>IFERROR(__xludf.DUMMYFUNCTION("""COMPUTED_VALUE"""),"")</f>
        <v/>
      </c>
      <c r="R109" s="4" t="str">
        <f>IFERROR(__xludf.DUMMYFUNCTION("""COMPUTED_VALUE"""),"Martin Swant, Forbes")</f>
        <v>Martin Swant, Forbes</v>
      </c>
      <c r="S109" s="4" t="str">
        <f>IFERROR(__xludf.DUMMYFUNCTION("""COMPUTED_VALUE"""),"Alongside United States Tennis Association (USTA) CMO Amy Choyne, branding expert Sagi Haviv discusses his work rebranding the US Open Tennis Championship and explains what makes a logo stand the test of time. Amy will also discuss how the USTA is dealing"&amp;" with the challenge of Covid-19.")</f>
        <v>Alongside United States Tennis Association (USTA) CMO Amy Choyne, branding expert Sagi Haviv discusses his work rebranding the US Open Tennis Championship and explains what makes a logo stand the test of time. Amy will also discuss how the USTA is dealing with the challenge of Covid-19.</v>
      </c>
      <c r="T109" s="4" t="str">
        <f>IFERROR(__xludf.DUMMYFUNCTION("""COMPUTED_VALUE"""),"NON-KEYNOTE 9 - COMPLETE")</f>
        <v>NON-KEYNOTE 9 - COMPLETE</v>
      </c>
      <c r="U109" s="23">
        <f>IFERROR(__xludf.DUMMYFUNCTION("""COMPUTED_VALUE"""),43985.0)</f>
        <v>43985</v>
      </c>
      <c r="V109" s="24">
        <f>IFERROR(__xludf.DUMMYFUNCTION("""COMPUTED_VALUE"""),0.6666666666666666)</f>
        <v>0.6666666667</v>
      </c>
      <c r="W109" s="4" t="str">
        <f>IFERROR(__xludf.DUMMYFUNCTION("""COMPUTED_VALUE"""),"COMPLETE")</f>
        <v>COMPLETE</v>
      </c>
      <c r="X109" s="4" t="str">
        <f>IFERROR(__xludf.DUMMYFUNCTION("""COMPUTED_VALUE"""),"Lucia G.")</f>
        <v>Lucia G.</v>
      </c>
      <c r="Y109" s="4" t="str">
        <f>IFERROR(__xludf.DUMMYFUNCTION("""COMPUTED_VALUE"""),"")</f>
        <v/>
      </c>
    </row>
    <row r="110">
      <c r="A110" s="4" t="str">
        <f>IFERROR(__xludf.DUMMYFUNCTION("""COMPUTED_VALUE"""),"15 - Channel")</f>
        <v>15 - Channel</v>
      </c>
      <c r="B110" s="4" t="str">
        <f>IFERROR(__xludf.DUMMYFUNCTION("""COMPUTED_VALUE"""),"Channel 1")</f>
        <v>Channel 1</v>
      </c>
      <c r="C110" s="4" t="str">
        <f>IFERROR(__xludf.DUMMYFUNCTION("""COMPUTED_VALUE"""),"Day 1 - 23/06")</f>
        <v>Day 1 - 23/06</v>
      </c>
      <c r="D110" s="6">
        <f>IFERROR(__xludf.DUMMYFUNCTION("""COMPUTED_VALUE"""),0.6389699074074072)</f>
        <v>0.6389699074</v>
      </c>
      <c r="E110" s="6">
        <f>IFERROR(__xludf.DUMMYFUNCTION("""COMPUTED_VALUE"""),2.314814814814815E-4)</f>
        <v>0.0002314814815</v>
      </c>
      <c r="F110" s="6">
        <f>IFERROR(__xludf.DUMMYFUNCTION("""COMPUTED_VALUE"""),0.6392013888888887)</f>
        <v>0.6392013889</v>
      </c>
      <c r="G110" s="4" t="str">
        <f>IFERROR(__xludf.DUMMYFUNCTION("""COMPUTED_VALUE"""),"")</f>
        <v/>
      </c>
      <c r="H110" s="4" t="str">
        <f>IFERROR(__xludf.DUMMYFUNCTION("""COMPUTED_VALUE"""),"")</f>
        <v/>
      </c>
      <c r="I110" s="4" t="str">
        <f>IFERROR(__xludf.DUMMYFUNCTION("""COMPUTED_VALUE"""),"")</f>
        <v/>
      </c>
      <c r="J110" s="4" t="str">
        <f>IFERROR(__xludf.DUMMYFUNCTION("""COMPUTED_VALUE"""),"")</f>
        <v/>
      </c>
      <c r="K110" s="4" t="str">
        <f>IFERROR(__xludf.DUMMYFUNCTION("""COMPUTED_VALUE"""),"Talk Intro")</f>
        <v>Talk Intro</v>
      </c>
      <c r="L110" s="4" t="str">
        <f>IFERROR(__xludf.DUMMYFUNCTION("""COMPUTED_VALUE"""),"")</f>
        <v/>
      </c>
      <c r="M110" s="4" t="str">
        <f>IFERROR(__xludf.DUMMYFUNCTION("""COMPUTED_VALUE"""),"Teaser: Samsung_Intro")</f>
        <v>Teaser: Samsung_Intro</v>
      </c>
      <c r="N110" s="4" t="str">
        <f>IFERROR(__xludf.DUMMYFUNCTION("""COMPUTED_VALUE"""),"Yvonne Redmond, Web Summit")</f>
        <v>Yvonne Redmond, Web Summit</v>
      </c>
      <c r="O110" s="4" t="str">
        <f>IFERROR(__xludf.DUMMYFUNCTION("""COMPUTED_VALUE"""),"")</f>
        <v/>
      </c>
      <c r="P110" s="4" t="str">
        <f>IFERROR(__xludf.DUMMYFUNCTION("""COMPUTED_VALUE"""),"")</f>
        <v/>
      </c>
      <c r="Q110" s="4" t="str">
        <f>IFERROR(__xludf.DUMMYFUNCTION("""COMPUTED_VALUE"""),"")</f>
        <v/>
      </c>
      <c r="R110" s="4" t="str">
        <f>IFERROR(__xludf.DUMMYFUNCTION("""COMPUTED_VALUE"""),"")</f>
        <v/>
      </c>
      <c r="S110" s="4" t="str">
        <f>IFERROR(__xludf.DUMMYFUNCTION("""COMPUTED_VALUE"""),"")</f>
        <v/>
      </c>
      <c r="T110" s="4" t="str">
        <f>IFERROR(__xludf.DUMMYFUNCTION("""COMPUTED_VALUE"""),"")</f>
        <v/>
      </c>
      <c r="U110" s="4" t="str">
        <f>IFERROR(__xludf.DUMMYFUNCTION("""COMPUTED_VALUE"""),"")</f>
        <v/>
      </c>
      <c r="V110" s="4" t="str">
        <f>IFERROR(__xludf.DUMMYFUNCTION("""COMPUTED_VALUE"""),"")</f>
        <v/>
      </c>
      <c r="W110" s="4" t="str">
        <f>IFERROR(__xludf.DUMMYFUNCTION("""COMPUTED_VALUE"""),"")</f>
        <v/>
      </c>
      <c r="X110" s="4" t="str">
        <f>IFERROR(__xludf.DUMMYFUNCTION("""COMPUTED_VALUE"""),"")</f>
        <v/>
      </c>
      <c r="Y110" s="4" t="str">
        <f>IFERROR(__xludf.DUMMYFUNCTION("""COMPUTED_VALUE"""),"")</f>
        <v/>
      </c>
    </row>
    <row r="111">
      <c r="A111" s="4" t="str">
        <f>IFERROR(__xludf.DUMMYFUNCTION("""COMPUTED_VALUE"""),"16 - Channel")</f>
        <v>16 - Channel</v>
      </c>
      <c r="B111" s="4" t="str">
        <f>IFERROR(__xludf.DUMMYFUNCTION("""COMPUTED_VALUE"""),"Channel 1")</f>
        <v>Channel 1</v>
      </c>
      <c r="C111" s="4" t="str">
        <f>IFERROR(__xludf.DUMMYFUNCTION("""COMPUTED_VALUE"""),"Day 1 - 23/06")</f>
        <v>Day 1 - 23/06</v>
      </c>
      <c r="D111" s="6">
        <f>IFERROR(__xludf.DUMMYFUNCTION("""COMPUTED_VALUE"""),0.6392013888888887)</f>
        <v>0.6392013889</v>
      </c>
      <c r="E111" s="6">
        <f>IFERROR(__xludf.DUMMYFUNCTION("""COMPUTED_VALUE"""),0.0020833333333333333)</f>
        <v>0.002083333333</v>
      </c>
      <c r="F111" s="6">
        <f>IFERROR(__xludf.DUMMYFUNCTION("""COMPUTED_VALUE"""),0.641284722222222)</f>
        <v>0.6412847222</v>
      </c>
      <c r="G111" s="4" t="str">
        <f>IFERROR(__xludf.DUMMYFUNCTION("""COMPUTED_VALUE"""),"")</f>
        <v/>
      </c>
      <c r="H111" s="4" t="str">
        <f>IFERROR(__xludf.DUMMYFUNCTION("""COMPUTED_VALUE"""),"")</f>
        <v/>
      </c>
      <c r="I111" s="4" t="str">
        <f>IFERROR(__xludf.DUMMYFUNCTION("""COMPUTED_VALUE"""),"Manon")</f>
        <v>Manon</v>
      </c>
      <c r="J111" s="4" t="str">
        <f>IFERROR(__xludf.DUMMYFUNCTION("""COMPUTED_VALUE"""),"AI")</f>
        <v>AI</v>
      </c>
      <c r="K111" s="4" t="str">
        <f>IFERROR(__xludf.DUMMYFUNCTION("""COMPUTED_VALUE"""),"Teaser")</f>
        <v>Teaser</v>
      </c>
      <c r="L111" s="4" t="str">
        <f>IFERROR(__xludf.DUMMYFUNCTION("""COMPUTED_VALUE"""),"")</f>
        <v/>
      </c>
      <c r="M111" s="4" t="str">
        <f>IFERROR(__xludf.DUMMYFUNCTION("""COMPUTED_VALUE"""),"Teaser: Samsung")</f>
        <v>Teaser: Samsung</v>
      </c>
      <c r="N111" s="4" t="str">
        <f>IFERROR(__xludf.DUMMYFUNCTION("""COMPUTED_VALUE"""),"")</f>
        <v/>
      </c>
      <c r="O111" s="4" t="str">
        <f>IFERROR(__xludf.DUMMYFUNCTION("""COMPUTED_VALUE"""),"")</f>
        <v/>
      </c>
      <c r="P111" s="4" t="str">
        <f>IFERROR(__xludf.DUMMYFUNCTION("""COMPUTED_VALUE"""),"")</f>
        <v/>
      </c>
      <c r="Q111" s="4" t="str">
        <f>IFERROR(__xludf.DUMMYFUNCTION("""COMPUTED_VALUE"""),"")</f>
        <v/>
      </c>
      <c r="R111" s="4" t="str">
        <f>IFERROR(__xludf.DUMMYFUNCTION("""COMPUTED_VALUE"""),"")</f>
        <v/>
      </c>
      <c r="S111" s="4" t="str">
        <f>IFERROR(__xludf.DUMMYFUNCTION("""COMPUTED_VALUE"""),"")</f>
        <v/>
      </c>
      <c r="T111" s="4" t="str">
        <f>IFERROR(__xludf.DUMMYFUNCTION("""COMPUTED_VALUE"""),"N/A")</f>
        <v>N/A</v>
      </c>
      <c r="U111" s="4" t="str">
        <f>IFERROR(__xludf.DUMMYFUNCTION("""COMPUTED_VALUE"""),"")</f>
        <v/>
      </c>
      <c r="V111" s="4" t="str">
        <f>IFERROR(__xludf.DUMMYFUNCTION("""COMPUTED_VALUE"""),"")</f>
        <v/>
      </c>
      <c r="W111" s="4" t="str">
        <f>IFERROR(__xludf.DUMMYFUNCTION("""COMPUTED_VALUE"""),"")</f>
        <v/>
      </c>
      <c r="X111" s="4" t="str">
        <f>IFERROR(__xludf.DUMMYFUNCTION("""COMPUTED_VALUE"""),"")</f>
        <v/>
      </c>
      <c r="Y111" s="4" t="str">
        <f>IFERROR(__xludf.DUMMYFUNCTION("""COMPUTED_VALUE"""),"")</f>
        <v/>
      </c>
    </row>
    <row r="112">
      <c r="A112" s="4" t="str">
        <f>IFERROR(__xludf.DUMMYFUNCTION("""COMPUTED_VALUE"""),"2245 - Channel")</f>
        <v>2245 - Channel</v>
      </c>
      <c r="B112" s="4" t="str">
        <f>IFERROR(__xludf.DUMMYFUNCTION("""COMPUTED_VALUE"""),"Channel 1")</f>
        <v>Channel 1</v>
      </c>
      <c r="C112" s="4" t="str">
        <f>IFERROR(__xludf.DUMMYFUNCTION("""COMPUTED_VALUE"""),"Day 1 - 23/06")</f>
        <v>Day 1 - 23/06</v>
      </c>
      <c r="D112" s="6">
        <f>IFERROR(__xludf.DUMMYFUNCTION("""COMPUTED_VALUE"""),0.641284722222222)</f>
        <v>0.6412847222</v>
      </c>
      <c r="E112" s="6">
        <f>IFERROR(__xludf.DUMMYFUNCTION("""COMPUTED_VALUE"""),2.314814814814815E-4)</f>
        <v>0.0002314814815</v>
      </c>
      <c r="F112" s="6">
        <f>IFERROR(__xludf.DUMMYFUNCTION("""COMPUTED_VALUE"""),0.6415162037037034)</f>
        <v>0.6415162037</v>
      </c>
      <c r="G112" s="4" t="str">
        <f>IFERROR(__xludf.DUMMYFUNCTION("""COMPUTED_VALUE"""),"")</f>
        <v/>
      </c>
      <c r="H112" s="4" t="str">
        <f>IFERROR(__xludf.DUMMYFUNCTION("""COMPUTED_VALUE"""),"")</f>
        <v/>
      </c>
      <c r="I112" s="4" t="str">
        <f>IFERROR(__xludf.DUMMYFUNCTION("""COMPUTED_VALUE"""),"")</f>
        <v/>
      </c>
      <c r="J112" s="4" t="str">
        <f>IFERROR(__xludf.DUMMYFUNCTION("""COMPUTED_VALUE"""),"")</f>
        <v/>
      </c>
      <c r="K112" s="4" t="str">
        <f>IFERROR(__xludf.DUMMYFUNCTION("""COMPUTED_VALUE"""),"Talk Outro")</f>
        <v>Talk Outro</v>
      </c>
      <c r="L112" s="4" t="str">
        <f>IFERROR(__xludf.DUMMYFUNCTION("""COMPUTED_VALUE"""),"")</f>
        <v/>
      </c>
      <c r="M112" s="4" t="str">
        <f>IFERROR(__xludf.DUMMYFUNCTION("""COMPUTED_VALUE"""),"Call to action")</f>
        <v>Call to action</v>
      </c>
      <c r="N112" s="4" t="str">
        <f>IFERROR(__xludf.DUMMYFUNCTION("""COMPUTED_VALUE"""),"Yvonne Redmond, Web Summit")</f>
        <v>Yvonne Redmond, Web Summit</v>
      </c>
      <c r="O112" s="4" t="str">
        <f>IFERROR(__xludf.DUMMYFUNCTION("""COMPUTED_VALUE"""),"")</f>
        <v/>
      </c>
      <c r="P112" s="4" t="str">
        <f>IFERROR(__xludf.DUMMYFUNCTION("""COMPUTED_VALUE"""),"")</f>
        <v/>
      </c>
      <c r="Q112" s="4" t="str">
        <f>IFERROR(__xludf.DUMMYFUNCTION("""COMPUTED_VALUE"""),"")</f>
        <v/>
      </c>
      <c r="R112" s="4" t="str">
        <f>IFERROR(__xludf.DUMMYFUNCTION("""COMPUTED_VALUE"""),"")</f>
        <v/>
      </c>
      <c r="S112" s="4" t="str">
        <f>IFERROR(__xludf.DUMMYFUNCTION("""COMPUTED_VALUE"""),"")</f>
        <v/>
      </c>
      <c r="T112" s="4" t="str">
        <f>IFERROR(__xludf.DUMMYFUNCTION("""COMPUTED_VALUE"""),"")</f>
        <v/>
      </c>
      <c r="U112" s="4" t="str">
        <f>IFERROR(__xludf.DUMMYFUNCTION("""COMPUTED_VALUE"""),"")</f>
        <v/>
      </c>
      <c r="V112" s="4" t="str">
        <f>IFERROR(__xludf.DUMMYFUNCTION("""COMPUTED_VALUE"""),"")</f>
        <v/>
      </c>
      <c r="W112" s="4" t="str">
        <f>IFERROR(__xludf.DUMMYFUNCTION("""COMPUTED_VALUE"""),"")</f>
        <v/>
      </c>
      <c r="X112" s="4" t="str">
        <f>IFERROR(__xludf.DUMMYFUNCTION("""COMPUTED_VALUE"""),"")</f>
        <v/>
      </c>
      <c r="Y112" s="4" t="str">
        <f>IFERROR(__xludf.DUMMYFUNCTION("""COMPUTED_VALUE"""),"")</f>
        <v/>
      </c>
    </row>
    <row r="113">
      <c r="A113" s="4" t="str">
        <f>IFERROR(__xludf.DUMMYFUNCTION("""COMPUTED_VALUE"""),"1812 - Channel")</f>
        <v>1812 - Channel</v>
      </c>
      <c r="B113" s="4" t="str">
        <f>IFERROR(__xludf.DUMMYFUNCTION("""COMPUTED_VALUE"""),"Channel 1")</f>
        <v>Channel 1</v>
      </c>
      <c r="C113" s="4" t="str">
        <f>IFERROR(__xludf.DUMMYFUNCTION("""COMPUTED_VALUE"""),"Day 1 - 23/06")</f>
        <v>Day 1 - 23/06</v>
      </c>
      <c r="D113" s="6">
        <f>IFERROR(__xludf.DUMMYFUNCTION("""COMPUTED_VALUE"""),0.6415162037037034)</f>
        <v>0.6415162037</v>
      </c>
      <c r="E113" s="6">
        <f>IFERROR(__xludf.DUMMYFUNCTION("""COMPUTED_VALUE"""),3.4722222222222224E-4)</f>
        <v>0.0003472222222</v>
      </c>
      <c r="F113" s="6">
        <f>IFERROR(__xludf.DUMMYFUNCTION("""COMPUTED_VALUE"""),0.6418634259259257)</f>
        <v>0.6418634259</v>
      </c>
      <c r="G113" s="4" t="str">
        <f>IFERROR(__xludf.DUMMYFUNCTION("""COMPUTED_VALUE"""),"")</f>
        <v/>
      </c>
      <c r="H113" s="4" t="str">
        <f>IFERROR(__xludf.DUMMYFUNCTION("""COMPUTED_VALUE"""),"")</f>
        <v/>
      </c>
      <c r="I113" s="4" t="str">
        <f>IFERROR(__xludf.DUMMYFUNCTION("""COMPUTED_VALUE"""),"")</f>
        <v/>
      </c>
      <c r="J113" s="4" t="str">
        <f>IFERROR(__xludf.DUMMYFUNCTION("""COMPUTED_VALUE"""),"")</f>
        <v/>
      </c>
      <c r="K113" s="4" t="str">
        <f>IFERROR(__xludf.DUMMYFUNCTION("""COMPUTED_VALUE"""),"RISE Trailer")</f>
        <v>RISE Trailer</v>
      </c>
      <c r="L113" s="4" t="str">
        <f>IFERROR(__xludf.DUMMYFUNCTION("""COMPUTED_VALUE"""),"")</f>
        <v/>
      </c>
      <c r="M113" s="4" t="str">
        <f>IFERROR(__xludf.DUMMYFUNCTION("""COMPUTED_VALUE"""),"RISE trailer")</f>
        <v>RISE trailer</v>
      </c>
      <c r="N113" s="4" t="str">
        <f>IFERROR(__xludf.DUMMYFUNCTION("""COMPUTED_VALUE"""),"")</f>
        <v/>
      </c>
      <c r="O113" s="4" t="str">
        <f>IFERROR(__xludf.DUMMYFUNCTION("""COMPUTED_VALUE"""),"")</f>
        <v/>
      </c>
      <c r="P113" s="4" t="str">
        <f>IFERROR(__xludf.DUMMYFUNCTION("""COMPUTED_VALUE"""),"")</f>
        <v/>
      </c>
      <c r="Q113" s="4" t="str">
        <f>IFERROR(__xludf.DUMMYFUNCTION("""COMPUTED_VALUE"""),"")</f>
        <v/>
      </c>
      <c r="R113" s="4" t="str">
        <f>IFERROR(__xludf.DUMMYFUNCTION("""COMPUTED_VALUE"""),"")</f>
        <v/>
      </c>
      <c r="S113" s="4" t="str">
        <f>IFERROR(__xludf.DUMMYFUNCTION("""COMPUTED_VALUE"""),"")</f>
        <v/>
      </c>
      <c r="T113" s="4" t="str">
        <f>IFERROR(__xludf.DUMMYFUNCTION("""COMPUTED_VALUE"""),"")</f>
        <v/>
      </c>
      <c r="U113" s="4" t="str">
        <f>IFERROR(__xludf.DUMMYFUNCTION("""COMPUTED_VALUE"""),"")</f>
        <v/>
      </c>
      <c r="V113" s="4" t="str">
        <f>IFERROR(__xludf.DUMMYFUNCTION("""COMPUTED_VALUE"""),"")</f>
        <v/>
      </c>
      <c r="W113" s="4" t="str">
        <f>IFERROR(__xludf.DUMMYFUNCTION("""COMPUTED_VALUE"""),"")</f>
        <v/>
      </c>
      <c r="X113" s="4" t="str">
        <f>IFERROR(__xludf.DUMMYFUNCTION("""COMPUTED_VALUE"""),"")</f>
        <v/>
      </c>
      <c r="Y113" s="4" t="str">
        <f>IFERROR(__xludf.DUMMYFUNCTION("""COMPUTED_VALUE"""),"")</f>
        <v/>
      </c>
    </row>
    <row r="114">
      <c r="A114" s="4" t="str">
        <f>IFERROR(__xludf.DUMMYFUNCTION("""COMPUTED_VALUE"""),"160 - Channel")</f>
        <v>160 - Channel</v>
      </c>
      <c r="B114" s="4" t="str">
        <f>IFERROR(__xludf.DUMMYFUNCTION("""COMPUTED_VALUE"""),"Channel 1")</f>
        <v>Channel 1</v>
      </c>
      <c r="C114" s="4" t="str">
        <f>IFERROR(__xludf.DUMMYFUNCTION("""COMPUTED_VALUE"""),"Day 1 - 23/06")</f>
        <v>Day 1 - 23/06</v>
      </c>
      <c r="D114" s="6">
        <f>IFERROR(__xludf.DUMMYFUNCTION("""COMPUTED_VALUE"""),0.6418634259259257)</f>
        <v>0.6418634259</v>
      </c>
      <c r="E114" s="6">
        <f>IFERROR(__xludf.DUMMYFUNCTION("""COMPUTED_VALUE"""),2.314814814814815E-4)</f>
        <v>0.0002314814815</v>
      </c>
      <c r="F114" s="6">
        <f>IFERROR(__xludf.DUMMYFUNCTION("""COMPUTED_VALUE"""),0.6420949074074072)</f>
        <v>0.6420949074</v>
      </c>
      <c r="G114" s="4" t="str">
        <f>IFERROR(__xludf.DUMMYFUNCTION("""COMPUTED_VALUE"""),"")</f>
        <v/>
      </c>
      <c r="H114" s="4" t="str">
        <f>IFERROR(__xludf.DUMMYFUNCTION("""COMPUTED_VALUE"""),"")</f>
        <v/>
      </c>
      <c r="I114" s="4" t="str">
        <f>IFERROR(__xludf.DUMMYFUNCTION("""COMPUTED_VALUE"""),"")</f>
        <v/>
      </c>
      <c r="J114" s="4" t="str">
        <f>IFERROR(__xludf.DUMMYFUNCTION("""COMPUTED_VALUE"""),"")</f>
        <v/>
      </c>
      <c r="K114" s="4" t="str">
        <f>IFERROR(__xludf.DUMMYFUNCTION("""COMPUTED_VALUE"""),"Talk Intro")</f>
        <v>Talk Intro</v>
      </c>
      <c r="L114" s="4" t="str">
        <f>IFERROR(__xludf.DUMMYFUNCTION("""COMPUTED_VALUE"""),"")</f>
        <v/>
      </c>
      <c r="M114" s="4" t="str">
        <f>IFERROR(__xludf.DUMMYFUNCTION("""COMPUTED_VALUE"""),"Talk intro ")</f>
        <v>Talk intro </v>
      </c>
      <c r="N114" s="4" t="str">
        <f>IFERROR(__xludf.DUMMYFUNCTION("""COMPUTED_VALUE"""),"Paddy Cosgrave, Web Summit")</f>
        <v>Paddy Cosgrave, Web Summit</v>
      </c>
      <c r="O114" s="4" t="str">
        <f>IFERROR(__xludf.DUMMYFUNCTION("""COMPUTED_VALUE"""),"Yvonne Redmond, Web Summit")</f>
        <v>Yvonne Redmond, Web Summit</v>
      </c>
      <c r="P114" s="4" t="str">
        <f>IFERROR(__xludf.DUMMYFUNCTION("""COMPUTED_VALUE"""),"")</f>
        <v/>
      </c>
      <c r="Q114" s="4" t="str">
        <f>IFERROR(__xludf.DUMMYFUNCTION("""COMPUTED_VALUE"""),"")</f>
        <v/>
      </c>
      <c r="R114" s="4" t="str">
        <f>IFERROR(__xludf.DUMMYFUNCTION("""COMPUTED_VALUE"""),"")</f>
        <v/>
      </c>
      <c r="S114" s="4" t="str">
        <f>IFERROR(__xludf.DUMMYFUNCTION("""COMPUTED_VALUE"""),"")</f>
        <v/>
      </c>
      <c r="T114" s="4" t="str">
        <f>IFERROR(__xludf.DUMMYFUNCTION("""COMPUTED_VALUE"""),"")</f>
        <v/>
      </c>
      <c r="U114" s="4" t="str">
        <f>IFERROR(__xludf.DUMMYFUNCTION("""COMPUTED_VALUE"""),"")</f>
        <v/>
      </c>
      <c r="V114" s="4" t="str">
        <f>IFERROR(__xludf.DUMMYFUNCTION("""COMPUTED_VALUE"""),"")</f>
        <v/>
      </c>
      <c r="W114" s="4" t="str">
        <f>IFERROR(__xludf.DUMMYFUNCTION("""COMPUTED_VALUE"""),"")</f>
        <v/>
      </c>
      <c r="X114" s="4" t="str">
        <f>IFERROR(__xludf.DUMMYFUNCTION("""COMPUTED_VALUE"""),"")</f>
        <v/>
      </c>
      <c r="Y114" s="4" t="str">
        <f>IFERROR(__xludf.DUMMYFUNCTION("""COMPUTED_VALUE"""),"")</f>
        <v/>
      </c>
    </row>
    <row r="115">
      <c r="A115" s="4" t="str">
        <f>IFERROR(__xludf.DUMMYFUNCTION("""COMPUTED_VALUE"""),"161 - Channel")</f>
        <v>161 - Channel</v>
      </c>
      <c r="B115" s="4" t="str">
        <f>IFERROR(__xludf.DUMMYFUNCTION("""COMPUTED_VALUE"""),"Channel 1")</f>
        <v>Channel 1</v>
      </c>
      <c r="C115" s="4" t="str">
        <f>IFERROR(__xludf.DUMMYFUNCTION("""COMPUTED_VALUE"""),"Day 1 - 23/06")</f>
        <v>Day 1 - 23/06</v>
      </c>
      <c r="D115" s="6">
        <f>IFERROR(__xludf.DUMMYFUNCTION("""COMPUTED_VALUE"""),0.6420949074074072)</f>
        <v>0.6420949074</v>
      </c>
      <c r="E115" s="6">
        <f>IFERROR(__xludf.DUMMYFUNCTION("""COMPUTED_VALUE"""),0.011458333333333333)</f>
        <v>0.01145833333</v>
      </c>
      <c r="F115" s="6">
        <f>IFERROR(__xludf.DUMMYFUNCTION("""COMPUTED_VALUE"""),0.6535532407407405)</f>
        <v>0.6535532407</v>
      </c>
      <c r="G115" s="4" t="str">
        <f>IFERROR(__xludf.DUMMYFUNCTION("""COMPUTED_VALUE"""),"Dan")</f>
        <v>Dan</v>
      </c>
      <c r="H115" s="4" t="str">
        <f>IFERROR(__xludf.DUMMYFUNCTION("""COMPUTED_VALUE"""),"Stephen")</f>
        <v>Stephen</v>
      </c>
      <c r="I115" s="4" t="str">
        <f>IFERROR(__xludf.DUMMYFUNCTION("""COMPUTED_VALUE"""),"Jack")</f>
        <v>Jack</v>
      </c>
      <c r="J115" s="4" t="str">
        <f>IFERROR(__xludf.DUMMYFUNCTION("""COMPUTED_VALUE"""),"")</f>
        <v/>
      </c>
      <c r="K115" s="4" t="str">
        <f>IFERROR(__xludf.DUMMYFUNCTION("""COMPUTED_VALUE"""),"Panel")</f>
        <v>Panel</v>
      </c>
      <c r="L115" s="4" t="str">
        <f>IFERROR(__xludf.DUMMYFUNCTION("""COMPUTED_VALUE"""),"T- 4 - 25/05/2020")</f>
        <v>T- 4 - 25/05/2020</v>
      </c>
      <c r="M115" s="4" t="str">
        <f>IFERROR(__xludf.DUMMYFUNCTION("""COMPUTED_VALUE"""),"Fundraising during a global pandemic ")</f>
        <v>Fundraising during a global pandemic </v>
      </c>
      <c r="N115" s="4" t="str">
        <f>IFERROR(__xludf.DUMMYFUNCTION("""COMPUTED_VALUE"""),"Anthemos Georgiades, Zumper")</f>
        <v>Anthemos Georgiades, Zumper</v>
      </c>
      <c r="O115" s="4" t="str">
        <f>IFERROR(__xludf.DUMMYFUNCTION("""COMPUTED_VALUE"""),"Dennis Steele, Podium")</f>
        <v>Dennis Steele, Podium</v>
      </c>
      <c r="P115" s="4" t="str">
        <f>IFERROR(__xludf.DUMMYFUNCTION("""COMPUTED_VALUE"""),"Sophie Forest, Brightspark Ventures")</f>
        <v>Sophie Forest, Brightspark Ventures</v>
      </c>
      <c r="Q115" s="4" t="str">
        <f>IFERROR(__xludf.DUMMYFUNCTION("""COMPUTED_VALUE"""),"")</f>
        <v/>
      </c>
      <c r="R115" s="4" t="str">
        <f>IFERROR(__xludf.DUMMYFUNCTION("""COMPUTED_VALUE"""),"Stephanie Mehta, Fast Company")</f>
        <v>Stephanie Mehta, Fast Company</v>
      </c>
      <c r="S115" s="4" t="str">
        <f>IFERROR(__xludf.DUMMYFUNCTION("""COMPUTED_VALUE"""),"Entrepreneurs hardly have it easy, but pitching VCs during the Covid pandemic, with markets in turmoil, is – hopefully – a once-in-a-lifetime challenge. Two founders who, at the height of the lockdown, sold VCs on backing them share their experiences.")</f>
        <v>Entrepreneurs hardly have it easy, but pitching VCs during the Covid pandemic, with markets in turmoil, is – hopefully – a once-in-a-lifetime challenge. Two founders who, at the height of the lockdown, sold VCs on backing them share their experiences.</v>
      </c>
      <c r="T115" s="4" t="str">
        <f>IFERROR(__xludf.DUMMYFUNCTION("""COMPUTED_VALUE"""),"NON-KEYNOTE 9 - COMPLETE")</f>
        <v>NON-KEYNOTE 9 - COMPLETE</v>
      </c>
      <c r="U115" s="23">
        <f>IFERROR(__xludf.DUMMYFUNCTION("""COMPUTED_VALUE"""),43985.0)</f>
        <v>43985</v>
      </c>
      <c r="V115" s="24">
        <f>IFERROR(__xludf.DUMMYFUNCTION("""COMPUTED_VALUE"""),0.7916666666666666)</f>
        <v>0.7916666667</v>
      </c>
      <c r="W115" s="4" t="str">
        <f>IFERROR(__xludf.DUMMYFUNCTION("""COMPUTED_VALUE"""),"COMPLETE")</f>
        <v>COMPLETE</v>
      </c>
      <c r="X115" s="4" t="str">
        <f>IFERROR(__xludf.DUMMYFUNCTION("""COMPUTED_VALUE"""),"Dan")</f>
        <v>Dan</v>
      </c>
      <c r="Y115" s="4" t="str">
        <f>IFERROR(__xludf.DUMMYFUNCTION("""COMPUTED_VALUE"""),"")</f>
        <v/>
      </c>
    </row>
    <row r="116">
      <c r="A116" s="4" t="str">
        <f>IFERROR(__xludf.DUMMYFUNCTION("""COMPUTED_VALUE"""),"1954 - Channel")</f>
        <v>1954 - Channel</v>
      </c>
      <c r="B116" s="4" t="str">
        <f>IFERROR(__xludf.DUMMYFUNCTION("""COMPUTED_VALUE"""),"Channel 1")</f>
        <v>Channel 1</v>
      </c>
      <c r="C116" s="4" t="str">
        <f>IFERROR(__xludf.DUMMYFUNCTION("""COMPUTED_VALUE"""),"Day 1 - 23/06")</f>
        <v>Day 1 - 23/06</v>
      </c>
      <c r="D116" s="6">
        <f>IFERROR(__xludf.DUMMYFUNCTION("""COMPUTED_VALUE"""),0.6535532407407405)</f>
        <v>0.6535532407</v>
      </c>
      <c r="E116" s="6">
        <f>IFERROR(__xludf.DUMMYFUNCTION("""COMPUTED_VALUE"""),5.208333333333333E-4)</f>
        <v>0.0005208333333</v>
      </c>
      <c r="F116" s="6">
        <f>IFERROR(__xludf.DUMMYFUNCTION("""COMPUTED_VALUE"""),0.6540740740740738)</f>
        <v>0.6540740741</v>
      </c>
      <c r="G116" s="4" t="str">
        <f>IFERROR(__xludf.DUMMYFUNCTION("""COMPUTED_VALUE"""),"")</f>
        <v/>
      </c>
      <c r="H116" s="4" t="str">
        <f>IFERROR(__xludf.DUMMYFUNCTION("""COMPUTED_VALUE"""),"")</f>
        <v/>
      </c>
      <c r="I116" s="4" t="str">
        <f>IFERROR(__xludf.DUMMYFUNCTION("""COMPUTED_VALUE"""),"")</f>
        <v/>
      </c>
      <c r="J116" s="4" t="str">
        <f>IFERROR(__xludf.DUMMYFUNCTION("""COMPUTED_VALUE"""),"")</f>
        <v/>
      </c>
      <c r="K116" s="4" t="str">
        <f>IFERROR(__xludf.DUMMYFUNCTION("""COMPUTED_VALUE"""),"Web Summit Trailer - short")</f>
        <v>Web Summit Trailer - short</v>
      </c>
      <c r="L116" s="4" t="str">
        <f>IFERROR(__xludf.DUMMYFUNCTION("""COMPUTED_VALUE"""),"")</f>
        <v/>
      </c>
      <c r="M116" s="4" t="str">
        <f>IFERROR(__xludf.DUMMYFUNCTION("""COMPUTED_VALUE"""),"Web Summit promo")</f>
        <v>Web Summit promo</v>
      </c>
      <c r="N116" s="4" t="str">
        <f>IFERROR(__xludf.DUMMYFUNCTION("""COMPUTED_VALUE"""),"Content pending")</f>
        <v>Content pending</v>
      </c>
      <c r="O116" s="4" t="str">
        <f>IFERROR(__xludf.DUMMYFUNCTION("""COMPUTED_VALUE"""),"")</f>
        <v/>
      </c>
      <c r="P116" s="4" t="str">
        <f>IFERROR(__xludf.DUMMYFUNCTION("""COMPUTED_VALUE"""),"")</f>
        <v/>
      </c>
      <c r="Q116" s="4" t="str">
        <f>IFERROR(__xludf.DUMMYFUNCTION("""COMPUTED_VALUE"""),"")</f>
        <v/>
      </c>
      <c r="R116" s="4" t="str">
        <f>IFERROR(__xludf.DUMMYFUNCTION("""COMPUTED_VALUE"""),"")</f>
        <v/>
      </c>
      <c r="S116" s="4" t="str">
        <f>IFERROR(__xludf.DUMMYFUNCTION("""COMPUTED_VALUE"""),"")</f>
        <v/>
      </c>
      <c r="T116" s="4" t="str">
        <f>IFERROR(__xludf.DUMMYFUNCTION("""COMPUTED_VALUE"""),"")</f>
        <v/>
      </c>
      <c r="U116" s="4" t="str">
        <f>IFERROR(__xludf.DUMMYFUNCTION("""COMPUTED_VALUE"""),"")</f>
        <v/>
      </c>
      <c r="V116" s="4" t="str">
        <f>IFERROR(__xludf.DUMMYFUNCTION("""COMPUTED_VALUE"""),"")</f>
        <v/>
      </c>
      <c r="W116" s="4" t="str">
        <f>IFERROR(__xludf.DUMMYFUNCTION("""COMPUTED_VALUE"""),"")</f>
        <v/>
      </c>
      <c r="X116" s="4" t="str">
        <f>IFERROR(__xludf.DUMMYFUNCTION("""COMPUTED_VALUE"""),"")</f>
        <v/>
      </c>
      <c r="Y116" s="4" t="str">
        <f>IFERROR(__xludf.DUMMYFUNCTION("""COMPUTED_VALUE"""),"")</f>
        <v/>
      </c>
    </row>
    <row r="117">
      <c r="A117" s="4" t="str">
        <f>IFERROR(__xludf.DUMMYFUNCTION("""COMPUTED_VALUE"""),"1808 - Channel")</f>
        <v>1808 - Channel</v>
      </c>
      <c r="B117" s="4" t="str">
        <f>IFERROR(__xludf.DUMMYFUNCTION("""COMPUTED_VALUE"""),"Channel 1")</f>
        <v>Channel 1</v>
      </c>
      <c r="C117" s="4" t="str">
        <f>IFERROR(__xludf.DUMMYFUNCTION("""COMPUTED_VALUE"""),"Day 1 - 23/06")</f>
        <v>Day 1 - 23/06</v>
      </c>
      <c r="D117" s="6">
        <f>IFERROR(__xludf.DUMMYFUNCTION("""COMPUTED_VALUE"""),0.6540740740740738)</f>
        <v>0.6540740741</v>
      </c>
      <c r="E117" s="6">
        <f>IFERROR(__xludf.DUMMYFUNCTION("""COMPUTED_VALUE"""),0.0010416666666666667)</f>
        <v>0.001041666667</v>
      </c>
      <c r="F117" s="6">
        <f>IFERROR(__xludf.DUMMYFUNCTION("""COMPUTED_VALUE"""),0.6551157407407405)</f>
        <v>0.6551157407</v>
      </c>
      <c r="G117" s="4" t="str">
        <f>IFERROR(__xludf.DUMMYFUNCTION("""COMPUTED_VALUE"""),"")</f>
        <v/>
      </c>
      <c r="H117" s="4" t="str">
        <f>IFERROR(__xludf.DUMMYFUNCTION("""COMPUTED_VALUE"""),"")</f>
        <v/>
      </c>
      <c r="I117" s="4" t="str">
        <f>IFERROR(__xludf.DUMMYFUNCTION("""COMPUTED_VALUE"""),"")</f>
        <v/>
      </c>
      <c r="J117" s="4" t="str">
        <f>IFERROR(__xludf.DUMMYFUNCTION("""COMPUTED_VALUE"""),"")</f>
        <v/>
      </c>
      <c r="K117" s="4" t="str">
        <f>IFERROR(__xludf.DUMMYFUNCTION("""COMPUTED_VALUE"""),"Collision From Home Day Intro")</f>
        <v>Collision From Home Day Intro</v>
      </c>
      <c r="L117" s="4" t="str">
        <f>IFERROR(__xludf.DUMMYFUNCTION("""COMPUTED_VALUE"""),"")</f>
        <v/>
      </c>
      <c r="M117" s="4" t="str">
        <f>IFERROR(__xludf.DUMMYFUNCTION("""COMPUTED_VALUE"""),"CFH Intro Video ")</f>
        <v>CFH Intro Video </v>
      </c>
      <c r="N117" s="4" t="str">
        <f>IFERROR(__xludf.DUMMYFUNCTION("""COMPUTED_VALUE"""),"Content pending")</f>
        <v>Content pending</v>
      </c>
      <c r="O117" s="4" t="str">
        <f>IFERROR(__xludf.DUMMYFUNCTION("""COMPUTED_VALUE"""),"")</f>
        <v/>
      </c>
      <c r="P117" s="4" t="str">
        <f>IFERROR(__xludf.DUMMYFUNCTION("""COMPUTED_VALUE"""),"")</f>
        <v/>
      </c>
      <c r="Q117" s="4" t="str">
        <f>IFERROR(__xludf.DUMMYFUNCTION("""COMPUTED_VALUE"""),"")</f>
        <v/>
      </c>
      <c r="R117" s="4" t="str">
        <f>IFERROR(__xludf.DUMMYFUNCTION("""COMPUTED_VALUE"""),"")</f>
        <v/>
      </c>
      <c r="S117" s="4" t="str">
        <f>IFERROR(__xludf.DUMMYFUNCTION("""COMPUTED_VALUE"""),"")</f>
        <v/>
      </c>
      <c r="T117" s="4" t="str">
        <f>IFERROR(__xludf.DUMMYFUNCTION("""COMPUTED_VALUE"""),"")</f>
        <v/>
      </c>
      <c r="U117" s="4" t="str">
        <f>IFERROR(__xludf.DUMMYFUNCTION("""COMPUTED_VALUE"""),"")</f>
        <v/>
      </c>
      <c r="V117" s="4" t="str">
        <f>IFERROR(__xludf.DUMMYFUNCTION("""COMPUTED_VALUE"""),"")</f>
        <v/>
      </c>
      <c r="W117" s="4" t="str">
        <f>IFERROR(__xludf.DUMMYFUNCTION("""COMPUTED_VALUE"""),"")</f>
        <v/>
      </c>
      <c r="X117" s="4" t="str">
        <f>IFERROR(__xludf.DUMMYFUNCTION("""COMPUTED_VALUE"""),"")</f>
        <v/>
      </c>
      <c r="Y117" s="4" t="str">
        <f>IFERROR(__xludf.DUMMYFUNCTION("""COMPUTED_VALUE"""),"")</f>
        <v/>
      </c>
    </row>
    <row r="118">
      <c r="A118" s="4" t="str">
        <f>IFERROR(__xludf.DUMMYFUNCTION("""COMPUTED_VALUE"""),"1807 - Channel")</f>
        <v>1807 - Channel</v>
      </c>
      <c r="B118" s="4" t="str">
        <f>IFERROR(__xludf.DUMMYFUNCTION("""COMPUTED_VALUE"""),"Channel 1")</f>
        <v>Channel 1</v>
      </c>
      <c r="C118" s="4" t="str">
        <f>IFERROR(__xludf.DUMMYFUNCTION("""COMPUTED_VALUE"""),"Day 1 - 23/06")</f>
        <v>Day 1 - 23/06</v>
      </c>
      <c r="D118" s="6">
        <f>IFERROR(__xludf.DUMMYFUNCTION("""COMPUTED_VALUE"""),0.6551157407407405)</f>
        <v>0.6551157407</v>
      </c>
      <c r="E118" s="6">
        <f>IFERROR(__xludf.DUMMYFUNCTION("""COMPUTED_VALUE"""),2.314814814814815E-4)</f>
        <v>0.0002314814815</v>
      </c>
      <c r="F118" s="6">
        <f>IFERROR(__xludf.DUMMYFUNCTION("""COMPUTED_VALUE"""),0.655347222222222)</f>
        <v>0.6553472222</v>
      </c>
      <c r="G118" s="4" t="str">
        <f>IFERROR(__xludf.DUMMYFUNCTION("""COMPUTED_VALUE"""),"")</f>
        <v/>
      </c>
      <c r="H118" s="4" t="str">
        <f>IFERROR(__xludf.DUMMYFUNCTION("""COMPUTED_VALUE"""),"")</f>
        <v/>
      </c>
      <c r="I118" s="4" t="str">
        <f>IFERROR(__xludf.DUMMYFUNCTION("""COMPUTED_VALUE"""),"")</f>
        <v/>
      </c>
      <c r="J118" s="4" t="str">
        <f>IFERROR(__xludf.DUMMYFUNCTION("""COMPUTED_VALUE"""),"")</f>
        <v/>
      </c>
      <c r="K118" s="4" t="str">
        <f>IFERROR(__xludf.DUMMYFUNCTION("""COMPUTED_VALUE"""),"Talk Intro")</f>
        <v>Talk Intro</v>
      </c>
      <c r="L118" s="4" t="str">
        <f>IFERROR(__xludf.DUMMYFUNCTION("""COMPUTED_VALUE"""),"")</f>
        <v/>
      </c>
      <c r="M118" s="4" t="str">
        <f>IFERROR(__xludf.DUMMYFUNCTION("""COMPUTED_VALUE"""),"")</f>
        <v/>
      </c>
      <c r="N118" s="4" t="str">
        <f>IFERROR(__xludf.DUMMYFUNCTION("""COMPUTED_VALUE"""),"Yvonne Redmond, Web Summit")</f>
        <v>Yvonne Redmond, Web Summit</v>
      </c>
      <c r="O118" s="4" t="str">
        <f>IFERROR(__xludf.DUMMYFUNCTION("""COMPUTED_VALUE"""),"")</f>
        <v/>
      </c>
      <c r="P118" s="4" t="str">
        <f>IFERROR(__xludf.DUMMYFUNCTION("""COMPUTED_VALUE"""),"")</f>
        <v/>
      </c>
      <c r="Q118" s="4" t="str">
        <f>IFERROR(__xludf.DUMMYFUNCTION("""COMPUTED_VALUE"""),"")</f>
        <v/>
      </c>
      <c r="R118" s="4" t="str">
        <f>IFERROR(__xludf.DUMMYFUNCTION("""COMPUTED_VALUE"""),"")</f>
        <v/>
      </c>
      <c r="S118" s="4" t="str">
        <f>IFERROR(__xludf.DUMMYFUNCTION("""COMPUTED_VALUE"""),"")</f>
        <v/>
      </c>
      <c r="T118" s="4" t="str">
        <f>IFERROR(__xludf.DUMMYFUNCTION("""COMPUTED_VALUE"""),"")</f>
        <v/>
      </c>
      <c r="U118" s="4" t="str">
        <f>IFERROR(__xludf.DUMMYFUNCTION("""COMPUTED_VALUE"""),"")</f>
        <v/>
      </c>
      <c r="V118" s="4" t="str">
        <f>IFERROR(__xludf.DUMMYFUNCTION("""COMPUTED_VALUE"""),"")</f>
        <v/>
      </c>
      <c r="W118" s="4" t="str">
        <f>IFERROR(__xludf.DUMMYFUNCTION("""COMPUTED_VALUE"""),"")</f>
        <v/>
      </c>
      <c r="X118" s="4" t="str">
        <f>IFERROR(__xludf.DUMMYFUNCTION("""COMPUTED_VALUE"""),"")</f>
        <v/>
      </c>
      <c r="Y118" s="4" t="str">
        <f>IFERROR(__xludf.DUMMYFUNCTION("""COMPUTED_VALUE"""),"")</f>
        <v/>
      </c>
    </row>
    <row r="119">
      <c r="A119" s="4" t="str">
        <f>IFERROR(__xludf.DUMMYFUNCTION("""COMPUTED_VALUE"""),"1806 - Channel")</f>
        <v>1806 - Channel</v>
      </c>
      <c r="B119" s="4" t="str">
        <f>IFERROR(__xludf.DUMMYFUNCTION("""COMPUTED_VALUE"""),"Channel 1")</f>
        <v>Channel 1</v>
      </c>
      <c r="C119" s="4" t="str">
        <f>IFERROR(__xludf.DUMMYFUNCTION("""COMPUTED_VALUE"""),"Day 1 - 23/06")</f>
        <v>Day 1 - 23/06</v>
      </c>
      <c r="D119" s="6">
        <f>IFERROR(__xludf.DUMMYFUNCTION("""COMPUTED_VALUE"""),0.655347222222222)</f>
        <v>0.6553472222</v>
      </c>
      <c r="E119" s="6">
        <f>IFERROR(__xludf.DUMMYFUNCTION("""COMPUTED_VALUE"""),0.013888888888888888)</f>
        <v>0.01388888889</v>
      </c>
      <c r="F119" s="6">
        <f>IFERROR(__xludf.DUMMYFUNCTION("""COMPUTED_VALUE"""),0.6692361111111108)</f>
        <v>0.6692361111</v>
      </c>
      <c r="G119" s="4" t="str">
        <f>IFERROR(__xludf.DUMMYFUNCTION("""COMPUTED_VALUE"""),"Ahmed")</f>
        <v>Ahmed</v>
      </c>
      <c r="H119" s="4" t="str">
        <f>IFERROR(__xludf.DUMMYFUNCTION("""COMPUTED_VALUE"""),"")</f>
        <v/>
      </c>
      <c r="I119" s="4" t="str">
        <f>IFERROR(__xludf.DUMMYFUNCTION("""COMPUTED_VALUE"""),"")</f>
        <v/>
      </c>
      <c r="J119" s="4" t="str">
        <f>IFERROR(__xludf.DUMMYFUNCTION("""COMPUTED_VALUE"""),"")</f>
        <v/>
      </c>
      <c r="K119" s="4" t="str">
        <f>IFERROR(__xludf.DUMMYFUNCTION("""COMPUTED_VALUE"""),"Panel")</f>
        <v>Panel</v>
      </c>
      <c r="L119" s="4" t="str">
        <f>IFERROR(__xludf.DUMMYFUNCTION("""COMPUTED_VALUE"""),"T- 2 - 08/06/2020")</f>
        <v>T- 2 - 08/06/2020</v>
      </c>
      <c r="M119" s="4" t="str">
        <f>IFERROR(__xludf.DUMMYFUNCTION("""COMPUTED_VALUE"""),"Title tbc ")</f>
        <v>Title tbc </v>
      </c>
      <c r="N119" s="4" t="str">
        <f>IFERROR(__xludf.DUMMYFUNCTION("""COMPUTED_VALUE"""),"Siyabulela Mandela, Journalists for Human Rights")</f>
        <v>Siyabulela Mandela, Journalists for Human Rights</v>
      </c>
      <c r="O119" s="4" t="str">
        <f>IFERROR(__xludf.DUMMYFUNCTION("""COMPUTED_VALUE"""),"")</f>
        <v/>
      </c>
      <c r="P119" s="4" t="str">
        <f>IFERROR(__xludf.DUMMYFUNCTION("""COMPUTED_VALUE"""),"")</f>
        <v/>
      </c>
      <c r="Q119" s="4" t="str">
        <f>IFERROR(__xludf.DUMMYFUNCTION("""COMPUTED_VALUE"""),"")</f>
        <v/>
      </c>
      <c r="R119" s="4" t="str">
        <f>IFERROR(__xludf.DUMMYFUNCTION("""COMPUTED_VALUE"""),"Michael Harriot, The Root")</f>
        <v>Michael Harriot, The Root</v>
      </c>
      <c r="S119" s="4" t="str">
        <f>IFERROR(__xludf.DUMMYFUNCTION("""COMPUTED_VALUE"""),"")</f>
        <v/>
      </c>
      <c r="T119" s="4" t="str">
        <f>IFERROR(__xludf.DUMMYFUNCTION("""COMPUTED_VALUE"""),"")</f>
        <v/>
      </c>
      <c r="U119" s="4" t="str">
        <f>IFERROR(__xludf.DUMMYFUNCTION("""COMPUTED_VALUE"""),"")</f>
        <v/>
      </c>
      <c r="V119" s="4" t="str">
        <f>IFERROR(__xludf.DUMMYFUNCTION("""COMPUTED_VALUE"""),"")</f>
        <v/>
      </c>
      <c r="W119" s="4" t="str">
        <f>IFERROR(__xludf.DUMMYFUNCTION("""COMPUTED_VALUE"""),"")</f>
        <v/>
      </c>
      <c r="X119" s="4" t="str">
        <f>IFERROR(__xludf.DUMMYFUNCTION("""COMPUTED_VALUE"""),"")</f>
        <v/>
      </c>
      <c r="Y119" s="4" t="str">
        <f>IFERROR(__xludf.DUMMYFUNCTION("""COMPUTED_VALUE"""),"")</f>
        <v/>
      </c>
    </row>
    <row r="120">
      <c r="A120" s="4" t="str">
        <f>IFERROR(__xludf.DUMMYFUNCTION("""COMPUTED_VALUE"""),"1385 - Channel")</f>
        <v>1385 - Channel</v>
      </c>
      <c r="B120" s="4" t="str">
        <f>IFERROR(__xludf.DUMMYFUNCTION("""COMPUTED_VALUE"""),"Channel 1")</f>
        <v>Channel 1</v>
      </c>
      <c r="C120" s="4" t="str">
        <f>IFERROR(__xludf.DUMMYFUNCTION("""COMPUTED_VALUE"""),"Day 1 - 23/06")</f>
        <v>Day 1 - 23/06</v>
      </c>
      <c r="D120" s="4" t="str">
        <f>IFERROR(__xludf.DUMMYFUNCTION("""COMPUTED_VALUE"""),"")</f>
        <v/>
      </c>
      <c r="E120" s="4" t="str">
        <f>IFERROR(__xludf.DUMMYFUNCTION("""COMPUTED_VALUE"""),"")</f>
        <v/>
      </c>
      <c r="F120" s="4" t="str">
        <f>IFERROR(__xludf.DUMMYFUNCTION("""COMPUTED_VALUE"""),"")</f>
        <v/>
      </c>
      <c r="G120" s="4" t="str">
        <f>IFERROR(__xludf.DUMMYFUNCTION("""COMPUTED_VALUE"""),"")</f>
        <v/>
      </c>
      <c r="H120" s="4" t="str">
        <f>IFERROR(__xludf.DUMMYFUNCTION("""COMPUTED_VALUE"""),"")</f>
        <v/>
      </c>
      <c r="I120" s="4" t="str">
        <f>IFERROR(__xludf.DUMMYFUNCTION("""COMPUTED_VALUE"""),"")</f>
        <v/>
      </c>
      <c r="J120" s="4" t="str">
        <f>IFERROR(__xludf.DUMMYFUNCTION("""COMPUTED_VALUE"""),"")</f>
        <v/>
      </c>
      <c r="K120" s="4" t="str">
        <f>IFERROR(__xludf.DUMMYFUNCTION("""COMPUTED_VALUE"""),"")</f>
        <v/>
      </c>
      <c r="L120" s="4" t="str">
        <f>IFERROR(__xludf.DUMMYFUNCTION("""COMPUTED_VALUE"""),"")</f>
        <v/>
      </c>
      <c r="M120" s="4" t="str">
        <f>IFERROR(__xludf.DUMMYFUNCTION("""COMPUTED_VALUE"""),"")</f>
        <v/>
      </c>
      <c r="N120" s="4" t="str">
        <f>IFERROR(__xludf.DUMMYFUNCTION("""COMPUTED_VALUE"""),"")</f>
        <v/>
      </c>
      <c r="O120" s="4" t="str">
        <f>IFERROR(__xludf.DUMMYFUNCTION("""COMPUTED_VALUE"""),"")</f>
        <v/>
      </c>
      <c r="P120" s="4" t="str">
        <f>IFERROR(__xludf.DUMMYFUNCTION("""COMPUTED_VALUE"""),"")</f>
        <v/>
      </c>
      <c r="Q120" s="4" t="str">
        <f>IFERROR(__xludf.DUMMYFUNCTION("""COMPUTED_VALUE"""),"")</f>
        <v/>
      </c>
      <c r="R120" s="4" t="str">
        <f>IFERROR(__xludf.DUMMYFUNCTION("""COMPUTED_VALUE"""),"")</f>
        <v/>
      </c>
      <c r="S120" s="4" t="str">
        <f>IFERROR(__xludf.DUMMYFUNCTION("""COMPUTED_VALUE"""),"")</f>
        <v/>
      </c>
      <c r="T120" s="4" t="str">
        <f>IFERROR(__xludf.DUMMYFUNCTION("""COMPUTED_VALUE"""),"")</f>
        <v/>
      </c>
      <c r="U120" s="4" t="str">
        <f>IFERROR(__xludf.DUMMYFUNCTION("""COMPUTED_VALUE"""),"")</f>
        <v/>
      </c>
      <c r="V120" s="4" t="str">
        <f>IFERROR(__xludf.DUMMYFUNCTION("""COMPUTED_VALUE"""),"")</f>
        <v/>
      </c>
      <c r="W120" s="4" t="str">
        <f>IFERROR(__xludf.DUMMYFUNCTION("""COMPUTED_VALUE"""),"")</f>
        <v/>
      </c>
      <c r="X120" s="4" t="str">
        <f>IFERROR(__xludf.DUMMYFUNCTION("""COMPUTED_VALUE"""),"")</f>
        <v/>
      </c>
      <c r="Y120" s="4" t="str">
        <f>IFERROR(__xludf.DUMMYFUNCTION("""COMPUTED_VALUE"""),"")</f>
        <v/>
      </c>
    </row>
    <row r="121">
      <c r="A121" s="4" t="str">
        <f>IFERROR(__xludf.DUMMYFUNCTION("""COMPUTED_VALUE"""),"114 - Channel")</f>
        <v>114 - Channel</v>
      </c>
      <c r="B121" s="4" t="str">
        <f>IFERROR(__xludf.DUMMYFUNCTION("""COMPUTED_VALUE"""),"Channel 1")</f>
        <v>Channel 1</v>
      </c>
      <c r="C121" s="4" t="str">
        <f>IFERROR(__xludf.DUMMYFUNCTION("""COMPUTED_VALUE"""),"Day 1 - 23/06")</f>
        <v>Day 1 - 23/06</v>
      </c>
      <c r="D121" s="6">
        <f>IFERROR(__xludf.DUMMYFUNCTION("""COMPUTED_VALUE"""),0.6692361111111108)</f>
        <v>0.6692361111</v>
      </c>
      <c r="E121" s="6">
        <f>IFERROR(__xludf.DUMMYFUNCTION("""COMPUTED_VALUE"""),6.944444444444445E-4)</f>
        <v>0.0006944444444</v>
      </c>
      <c r="F121" s="6">
        <f>IFERROR(__xludf.DUMMYFUNCTION("""COMPUTED_VALUE"""),0.6699305555555553)</f>
        <v>0.6699305556</v>
      </c>
      <c r="G121" s="4" t="str">
        <f>IFERROR(__xludf.DUMMYFUNCTION("""COMPUTED_VALUE"""),"")</f>
        <v/>
      </c>
      <c r="H121" s="4" t="str">
        <f>IFERROR(__xludf.DUMMYFUNCTION("""COMPUTED_VALUE"""),"")</f>
        <v/>
      </c>
      <c r="I121" s="4" t="str">
        <f>IFERROR(__xludf.DUMMYFUNCTION("""COMPUTED_VALUE"""),"")</f>
        <v/>
      </c>
      <c r="J121" s="4" t="str">
        <f>IFERROR(__xludf.DUMMYFUNCTION("""COMPUTED_VALUE"""),"")</f>
        <v/>
      </c>
      <c r="K121" s="4" t="str">
        <f>IFERROR(__xludf.DUMMYFUNCTION("""COMPUTED_VALUE"""),"Laundry List/Lookaround")</f>
        <v>Laundry List/Lookaround</v>
      </c>
      <c r="L121" s="4" t="str">
        <f>IFERROR(__xludf.DUMMYFUNCTION("""COMPUTED_VALUE"""),"")</f>
        <v/>
      </c>
      <c r="M121" s="4" t="str">
        <f>IFERROR(__xludf.DUMMYFUNCTION("""COMPUTED_VALUE"""),"Laundry Day1_4PM")</f>
        <v>Laundry Day1_4PM</v>
      </c>
      <c r="N121" s="4" t="str">
        <f>IFERROR(__xludf.DUMMYFUNCTION("""COMPUTED_VALUE"""),"Casey Lau, Web Summit")</f>
        <v>Casey Lau, Web Summit</v>
      </c>
      <c r="O121" s="4" t="str">
        <f>IFERROR(__xludf.DUMMYFUNCTION("""COMPUTED_VALUE"""),"")</f>
        <v/>
      </c>
      <c r="P121" s="4" t="str">
        <f>IFERROR(__xludf.DUMMYFUNCTION("""COMPUTED_VALUE"""),"")</f>
        <v/>
      </c>
      <c r="Q121" s="4" t="str">
        <f>IFERROR(__xludf.DUMMYFUNCTION("""COMPUTED_VALUE"""),"")</f>
        <v/>
      </c>
      <c r="R121" s="4" t="str">
        <f>IFERROR(__xludf.DUMMYFUNCTION("""COMPUTED_VALUE"""),"")</f>
        <v/>
      </c>
      <c r="S121" s="4" t="str">
        <f>IFERROR(__xludf.DUMMYFUNCTION("""COMPUTED_VALUE"""),"")</f>
        <v/>
      </c>
      <c r="T121" s="4" t="str">
        <f>IFERROR(__xludf.DUMMYFUNCTION("""COMPUTED_VALUE"""),"")</f>
        <v/>
      </c>
      <c r="U121" s="4" t="str">
        <f>IFERROR(__xludf.DUMMYFUNCTION("""COMPUTED_VALUE"""),"")</f>
        <v/>
      </c>
      <c r="V121" s="4" t="str">
        <f>IFERROR(__xludf.DUMMYFUNCTION("""COMPUTED_VALUE"""),"")</f>
        <v/>
      </c>
      <c r="W121" s="4" t="str">
        <f>IFERROR(__xludf.DUMMYFUNCTION("""COMPUTED_VALUE"""),"")</f>
        <v/>
      </c>
      <c r="X121" s="4" t="str">
        <f>IFERROR(__xludf.DUMMYFUNCTION("""COMPUTED_VALUE"""),"")</f>
        <v/>
      </c>
      <c r="Y121" s="4" t="str">
        <f>IFERROR(__xludf.DUMMYFUNCTION("""COMPUTED_VALUE"""),"")</f>
        <v/>
      </c>
    </row>
    <row r="122">
      <c r="A122" s="4" t="str">
        <f>IFERROR(__xludf.DUMMYFUNCTION("""COMPUTED_VALUE"""),"1957 - Channel")</f>
        <v>1957 - Channel</v>
      </c>
      <c r="B122" s="4" t="str">
        <f>IFERROR(__xludf.DUMMYFUNCTION("""COMPUTED_VALUE"""),"Channel 1")</f>
        <v>Channel 1</v>
      </c>
      <c r="C122" s="4" t="str">
        <f>IFERROR(__xludf.DUMMYFUNCTION("""COMPUTED_VALUE"""),"Day 1 - 23/06")</f>
        <v>Day 1 - 23/06</v>
      </c>
      <c r="D122" s="6">
        <f>IFERROR(__xludf.DUMMYFUNCTION("""COMPUTED_VALUE"""),0.6699305555555553)</f>
        <v>0.6699305556</v>
      </c>
      <c r="E122" s="6">
        <f>IFERROR(__xludf.DUMMYFUNCTION("""COMPUTED_VALUE"""),3.4722222222222224E-4)</f>
        <v>0.0003472222222</v>
      </c>
      <c r="F122" s="6">
        <f>IFERROR(__xludf.DUMMYFUNCTION("""COMPUTED_VALUE"""),0.6702777777777775)</f>
        <v>0.6702777778</v>
      </c>
      <c r="G122" s="4" t="str">
        <f>IFERROR(__xludf.DUMMYFUNCTION("""COMPUTED_VALUE"""),"")</f>
        <v/>
      </c>
      <c r="H122" s="4" t="str">
        <f>IFERROR(__xludf.DUMMYFUNCTION("""COMPUTED_VALUE"""),"")</f>
        <v/>
      </c>
      <c r="I122" s="4" t="str">
        <f>IFERROR(__xludf.DUMMYFUNCTION("""COMPUTED_VALUE"""),"")</f>
        <v/>
      </c>
      <c r="J122" s="4" t="str">
        <f>IFERROR(__xludf.DUMMYFUNCTION("""COMPUTED_VALUE"""),"")</f>
        <v/>
      </c>
      <c r="K122" s="4" t="str">
        <f>IFERROR(__xludf.DUMMYFUNCTION("""COMPUTED_VALUE"""),"Web Summit Trailer - full")</f>
        <v>Web Summit Trailer - full</v>
      </c>
      <c r="L122" s="4" t="str">
        <f>IFERROR(__xludf.DUMMYFUNCTION("""COMPUTED_VALUE"""),"")</f>
        <v/>
      </c>
      <c r="M122" s="4" t="str">
        <f>IFERROR(__xludf.DUMMYFUNCTION("""COMPUTED_VALUE"""),"Web Summit promo")</f>
        <v>Web Summit promo</v>
      </c>
      <c r="N122" s="4" t="str">
        <f>IFERROR(__xludf.DUMMYFUNCTION("""COMPUTED_VALUE"""),"Content pending")</f>
        <v>Content pending</v>
      </c>
      <c r="O122" s="4" t="str">
        <f>IFERROR(__xludf.DUMMYFUNCTION("""COMPUTED_VALUE"""),"")</f>
        <v/>
      </c>
      <c r="P122" s="4" t="str">
        <f>IFERROR(__xludf.DUMMYFUNCTION("""COMPUTED_VALUE"""),"")</f>
        <v/>
      </c>
      <c r="Q122" s="4" t="str">
        <f>IFERROR(__xludf.DUMMYFUNCTION("""COMPUTED_VALUE"""),"")</f>
        <v/>
      </c>
      <c r="R122" s="4" t="str">
        <f>IFERROR(__xludf.DUMMYFUNCTION("""COMPUTED_VALUE"""),"")</f>
        <v/>
      </c>
      <c r="S122" s="4" t="str">
        <f>IFERROR(__xludf.DUMMYFUNCTION("""COMPUTED_VALUE"""),"")</f>
        <v/>
      </c>
      <c r="T122" s="4" t="str">
        <f>IFERROR(__xludf.DUMMYFUNCTION("""COMPUTED_VALUE"""),"")</f>
        <v/>
      </c>
      <c r="U122" s="4" t="str">
        <f>IFERROR(__xludf.DUMMYFUNCTION("""COMPUTED_VALUE"""),"")</f>
        <v/>
      </c>
      <c r="V122" s="4" t="str">
        <f>IFERROR(__xludf.DUMMYFUNCTION("""COMPUTED_VALUE"""),"")</f>
        <v/>
      </c>
      <c r="W122" s="4" t="str">
        <f>IFERROR(__xludf.DUMMYFUNCTION("""COMPUTED_VALUE"""),"")</f>
        <v/>
      </c>
      <c r="X122" s="4" t="str">
        <f>IFERROR(__xludf.DUMMYFUNCTION("""COMPUTED_VALUE"""),"")</f>
        <v/>
      </c>
      <c r="Y122" s="4" t="str">
        <f>IFERROR(__xludf.DUMMYFUNCTION("""COMPUTED_VALUE"""),"")</f>
        <v/>
      </c>
    </row>
    <row r="123">
      <c r="A123" s="4" t="str">
        <f>IFERROR(__xludf.DUMMYFUNCTION("""COMPUTED_VALUE"""),"2281 - Channel")</f>
        <v>2281 - Channel</v>
      </c>
      <c r="B123" s="4" t="str">
        <f>IFERROR(__xludf.DUMMYFUNCTION("""COMPUTED_VALUE"""),"Channel 1")</f>
        <v>Channel 1</v>
      </c>
      <c r="C123" s="4" t="str">
        <f>IFERROR(__xludf.DUMMYFUNCTION("""COMPUTED_VALUE"""),"Day 1 - 23/06")</f>
        <v>Day 1 - 23/06</v>
      </c>
      <c r="D123" s="6">
        <f>IFERROR(__xludf.DUMMYFUNCTION("""COMPUTED_VALUE"""),0.6702777777777775)</f>
        <v>0.6702777778</v>
      </c>
      <c r="E123" s="6">
        <f>IFERROR(__xludf.DUMMYFUNCTION("""COMPUTED_VALUE"""),2.314814814814815E-4)</f>
        <v>0.0002314814815</v>
      </c>
      <c r="F123" s="6">
        <f>IFERROR(__xludf.DUMMYFUNCTION("""COMPUTED_VALUE"""),0.670509259259259)</f>
        <v>0.6705092593</v>
      </c>
      <c r="G123" s="4" t="str">
        <f>IFERROR(__xludf.DUMMYFUNCTION("""COMPUTED_VALUE"""),"")</f>
        <v/>
      </c>
      <c r="H123" s="4" t="str">
        <f>IFERROR(__xludf.DUMMYFUNCTION("""COMPUTED_VALUE"""),"")</f>
        <v/>
      </c>
      <c r="I123" s="4" t="str">
        <f>IFERROR(__xludf.DUMMYFUNCTION("""COMPUTED_VALUE"""),"")</f>
        <v/>
      </c>
      <c r="J123" s="4" t="str">
        <f>IFERROR(__xludf.DUMMYFUNCTION("""COMPUTED_VALUE"""),"")</f>
        <v/>
      </c>
      <c r="K123" s="4" t="str">
        <f>IFERROR(__xludf.DUMMYFUNCTION("""COMPUTED_VALUE"""),"Talk Intro")</f>
        <v>Talk Intro</v>
      </c>
      <c r="L123" s="4" t="str">
        <f>IFERROR(__xludf.DUMMYFUNCTION("""COMPUTED_VALUE"""),"")</f>
        <v/>
      </c>
      <c r="M123" s="4" t="str">
        <f>IFERROR(__xludf.DUMMYFUNCTION("""COMPUTED_VALUE"""),"Talk intro ")</f>
        <v>Talk intro </v>
      </c>
      <c r="N123" s="4" t="str">
        <f>IFERROR(__xludf.DUMMYFUNCTION("""COMPUTED_VALUE"""),"Casey Lau, Web Summit")</f>
        <v>Casey Lau, Web Summit</v>
      </c>
      <c r="O123" s="4" t="str">
        <f>IFERROR(__xludf.DUMMYFUNCTION("""COMPUTED_VALUE"""),"")</f>
        <v/>
      </c>
      <c r="P123" s="4" t="str">
        <f>IFERROR(__xludf.DUMMYFUNCTION("""COMPUTED_VALUE"""),"")</f>
        <v/>
      </c>
      <c r="Q123" s="4" t="str">
        <f>IFERROR(__xludf.DUMMYFUNCTION("""COMPUTED_VALUE"""),"")</f>
        <v/>
      </c>
      <c r="R123" s="4" t="str">
        <f>IFERROR(__xludf.DUMMYFUNCTION("""COMPUTED_VALUE"""),"")</f>
        <v/>
      </c>
      <c r="S123" s="4" t="str">
        <f>IFERROR(__xludf.DUMMYFUNCTION("""COMPUTED_VALUE"""),"")</f>
        <v/>
      </c>
      <c r="T123" s="4" t="str">
        <f>IFERROR(__xludf.DUMMYFUNCTION("""COMPUTED_VALUE"""),"")</f>
        <v/>
      </c>
      <c r="U123" s="4" t="str">
        <f>IFERROR(__xludf.DUMMYFUNCTION("""COMPUTED_VALUE"""),"")</f>
        <v/>
      </c>
      <c r="V123" s="4" t="str">
        <f>IFERROR(__xludf.DUMMYFUNCTION("""COMPUTED_VALUE"""),"")</f>
        <v/>
      </c>
      <c r="W123" s="4" t="str">
        <f>IFERROR(__xludf.DUMMYFUNCTION("""COMPUTED_VALUE"""),"")</f>
        <v/>
      </c>
      <c r="X123" s="4" t="str">
        <f>IFERROR(__xludf.DUMMYFUNCTION("""COMPUTED_VALUE"""),"")</f>
        <v/>
      </c>
      <c r="Y123" s="4" t="str">
        <f>IFERROR(__xludf.DUMMYFUNCTION("""COMPUTED_VALUE"""),"")</f>
        <v/>
      </c>
    </row>
    <row r="124">
      <c r="A124" s="4" t="str">
        <f>IFERROR(__xludf.DUMMYFUNCTION("""COMPUTED_VALUE"""),"2279 - Channel")</f>
        <v>2279 - Channel</v>
      </c>
      <c r="B124" s="4" t="str">
        <f>IFERROR(__xludf.DUMMYFUNCTION("""COMPUTED_VALUE"""),"Channel 1")</f>
        <v>Channel 1</v>
      </c>
      <c r="C124" s="4" t="str">
        <f>IFERROR(__xludf.DUMMYFUNCTION("""COMPUTED_VALUE"""),"Day 1 - 23/06")</f>
        <v>Day 1 - 23/06</v>
      </c>
      <c r="D124" s="6">
        <f>IFERROR(__xludf.DUMMYFUNCTION("""COMPUTED_VALUE"""),0.670509259259259)</f>
        <v>0.6705092593</v>
      </c>
      <c r="E124" s="6">
        <f>IFERROR(__xludf.DUMMYFUNCTION("""COMPUTED_VALUE"""),0.014421296296296297)</f>
        <v>0.0144212963</v>
      </c>
      <c r="F124" s="6">
        <f>IFERROR(__xludf.DUMMYFUNCTION("""COMPUTED_VALUE"""),0.6849305555555553)</f>
        <v>0.6849305556</v>
      </c>
      <c r="G124" s="4" t="str">
        <f>IFERROR(__xludf.DUMMYFUNCTION("""COMPUTED_VALUE"""),"Lobna")</f>
        <v>Lobna</v>
      </c>
      <c r="H124" s="4" t="str">
        <f>IFERROR(__xludf.DUMMYFUNCTION("""COMPUTED_VALUE"""),"Stephen")</f>
        <v>Stephen</v>
      </c>
      <c r="I124" s="4" t="str">
        <f>IFERROR(__xludf.DUMMYFUNCTION("""COMPUTED_VALUE"""),"Manon")</f>
        <v>Manon</v>
      </c>
      <c r="J124" s="4" t="str">
        <f>IFERROR(__xludf.DUMMYFUNCTION("""COMPUTED_VALUE"""),"")</f>
        <v/>
      </c>
      <c r="K124" s="4" t="str">
        <f>IFERROR(__xludf.DUMMYFUNCTION("""COMPUTED_VALUE"""),"Panel")</f>
        <v>Panel</v>
      </c>
      <c r="L124" s="4" t="str">
        <f>IFERROR(__xludf.DUMMYFUNCTION("""COMPUTED_VALUE"""),"T- 3 - 01/06/2020")</f>
        <v>T- 3 - 01/06/2020</v>
      </c>
      <c r="M124" s="4" t="str">
        <f>IFERROR(__xludf.DUMMYFUNCTION("""COMPUTED_VALUE"""),"Speaking truth to power ")</f>
        <v>Speaking truth to power </v>
      </c>
      <c r="N124" s="4" t="str">
        <f>IFERROR(__xludf.DUMMYFUNCTION("""COMPUTED_VALUE"""),"Megan Twohey, The New York Times")</f>
        <v>Megan Twohey, The New York Times</v>
      </c>
      <c r="O124" s="4" t="str">
        <f>IFERROR(__xludf.DUMMYFUNCTION("""COMPUTED_VALUE"""),"Jodi Kantor, The New York Times")</f>
        <v>Jodi Kantor, The New York Times</v>
      </c>
      <c r="P124" s="4" t="str">
        <f>IFERROR(__xludf.DUMMYFUNCTION("""COMPUTED_VALUE"""),"")</f>
        <v/>
      </c>
      <c r="Q124" s="4" t="str">
        <f>IFERROR(__xludf.DUMMYFUNCTION("""COMPUTED_VALUE"""),"")</f>
        <v/>
      </c>
      <c r="R124" s="4" t="str">
        <f>IFERROR(__xludf.DUMMYFUNCTION("""COMPUTED_VALUE"""),"Jessica Lessin, The Information")</f>
        <v>Jessica Lessin, The Information</v>
      </c>
      <c r="S124" s="4" t="str">
        <f>IFERROR(__xludf.DUMMYFUNCTION("""COMPUTED_VALUE"""),"Now more than ever, the importance of investigative reporting can’t be overstated. Pulitzer-winning reporters Jodi Kantor and Megan Twohey will reflect on how her own work speaks truth to power.")</f>
        <v>Now more than ever, the importance of investigative reporting can’t be overstated. Pulitzer-winning reporters Jodi Kantor and Megan Twohey will reflect on how her own work speaks truth to power.</v>
      </c>
      <c r="T124" s="4" t="str">
        <f>IFERROR(__xludf.DUMMYFUNCTION("""COMPUTED_VALUE"""),"NON-KEYNOTE 9 - COMPLETE")</f>
        <v>NON-KEYNOTE 9 - COMPLETE</v>
      </c>
      <c r="U124" s="23">
        <f>IFERROR(__xludf.DUMMYFUNCTION("""COMPUTED_VALUE"""),43984.0)</f>
        <v>43984</v>
      </c>
      <c r="V124" s="24">
        <f>IFERROR(__xludf.DUMMYFUNCTION("""COMPUTED_VALUE"""),0.8958333333333334)</f>
        <v>0.8958333333</v>
      </c>
      <c r="W124" s="4" t="str">
        <f>IFERROR(__xludf.DUMMYFUNCTION("""COMPUTED_VALUE"""),"COMPLETE")</f>
        <v>COMPLETE</v>
      </c>
      <c r="X124" s="4" t="str">
        <f>IFERROR(__xludf.DUMMYFUNCTION("""COMPUTED_VALUE"""),"Lobna")</f>
        <v>Lobna</v>
      </c>
      <c r="Y124" s="4" t="str">
        <f>IFERROR(__xludf.DUMMYFUNCTION("""COMPUTED_VALUE"""),"")</f>
        <v/>
      </c>
    </row>
    <row r="125">
      <c r="A125" s="4" t="str">
        <f>IFERROR(__xludf.DUMMYFUNCTION("""COMPUTED_VALUE"""),"119 - Channel")</f>
        <v>119 - Channel</v>
      </c>
      <c r="B125" s="4" t="str">
        <f>IFERROR(__xludf.DUMMYFUNCTION("""COMPUTED_VALUE"""),"Channel 1")</f>
        <v>Channel 1</v>
      </c>
      <c r="C125" s="4" t="str">
        <f>IFERROR(__xludf.DUMMYFUNCTION("""COMPUTED_VALUE"""),"Day 1 - 23/06")</f>
        <v>Day 1 - 23/06</v>
      </c>
      <c r="D125" s="6">
        <f>IFERROR(__xludf.DUMMYFUNCTION("""COMPUTED_VALUE"""),0.6849305555555553)</f>
        <v>0.6849305556</v>
      </c>
      <c r="E125" s="6">
        <f>IFERROR(__xludf.DUMMYFUNCTION("""COMPUTED_VALUE"""),2.314814814814815E-4)</f>
        <v>0.0002314814815</v>
      </c>
      <c r="F125" s="6">
        <f>IFERROR(__xludf.DUMMYFUNCTION("""COMPUTED_VALUE"""),0.6851620370370367)</f>
        <v>0.685162037</v>
      </c>
      <c r="G125" s="4" t="str">
        <f>IFERROR(__xludf.DUMMYFUNCTION("""COMPUTED_VALUE"""),"")</f>
        <v/>
      </c>
      <c r="H125" s="4" t="str">
        <f>IFERROR(__xludf.DUMMYFUNCTION("""COMPUTED_VALUE"""),"")</f>
        <v/>
      </c>
      <c r="I125" s="4" t="str">
        <f>IFERROR(__xludf.DUMMYFUNCTION("""COMPUTED_VALUE"""),"")</f>
        <v/>
      </c>
      <c r="J125" s="4" t="str">
        <f>IFERROR(__xludf.DUMMYFUNCTION("""COMPUTED_VALUE"""),"")</f>
        <v/>
      </c>
      <c r="K125" s="4" t="str">
        <f>IFERROR(__xludf.DUMMYFUNCTION("""COMPUTED_VALUE"""),"Talk Intro")</f>
        <v>Talk Intro</v>
      </c>
      <c r="L125" s="4" t="str">
        <f>IFERROR(__xludf.DUMMYFUNCTION("""COMPUTED_VALUE"""),"")</f>
        <v/>
      </c>
      <c r="M125" s="4" t="str">
        <f>IFERROR(__xludf.DUMMYFUNCTION("""COMPUTED_VALUE"""),"Teaser: Vinod Khosla_Intro")</f>
        <v>Teaser: Vinod Khosla_Intro</v>
      </c>
      <c r="N125" s="4" t="str">
        <f>IFERROR(__xludf.DUMMYFUNCTION("""COMPUTED_VALUE"""),"Casey Lau, Web Summit")</f>
        <v>Casey Lau, Web Summit</v>
      </c>
      <c r="O125" s="4" t="str">
        <f>IFERROR(__xludf.DUMMYFUNCTION("""COMPUTED_VALUE"""),"")</f>
        <v/>
      </c>
      <c r="P125" s="4" t="str">
        <f>IFERROR(__xludf.DUMMYFUNCTION("""COMPUTED_VALUE"""),"")</f>
        <v/>
      </c>
      <c r="Q125" s="4" t="str">
        <f>IFERROR(__xludf.DUMMYFUNCTION("""COMPUTED_VALUE"""),"")</f>
        <v/>
      </c>
      <c r="R125" s="4" t="str">
        <f>IFERROR(__xludf.DUMMYFUNCTION("""COMPUTED_VALUE"""),"")</f>
        <v/>
      </c>
      <c r="S125" s="4" t="str">
        <f>IFERROR(__xludf.DUMMYFUNCTION("""COMPUTED_VALUE"""),"")</f>
        <v/>
      </c>
      <c r="T125" s="4" t="str">
        <f>IFERROR(__xludf.DUMMYFUNCTION("""COMPUTED_VALUE"""),"")</f>
        <v/>
      </c>
      <c r="U125" s="4" t="str">
        <f>IFERROR(__xludf.DUMMYFUNCTION("""COMPUTED_VALUE"""),"")</f>
        <v/>
      </c>
      <c r="V125" s="4" t="str">
        <f>IFERROR(__xludf.DUMMYFUNCTION("""COMPUTED_VALUE"""),"")</f>
        <v/>
      </c>
      <c r="W125" s="4" t="str">
        <f>IFERROR(__xludf.DUMMYFUNCTION("""COMPUTED_VALUE"""),"")</f>
        <v/>
      </c>
      <c r="X125" s="4" t="str">
        <f>IFERROR(__xludf.DUMMYFUNCTION("""COMPUTED_VALUE"""),"")</f>
        <v/>
      </c>
      <c r="Y125" s="4" t="str">
        <f>IFERROR(__xludf.DUMMYFUNCTION("""COMPUTED_VALUE"""),"")</f>
        <v/>
      </c>
    </row>
    <row r="126">
      <c r="A126" s="4" t="str">
        <f>IFERROR(__xludf.DUMMYFUNCTION("""COMPUTED_VALUE"""),"120 - Channel")</f>
        <v>120 - Channel</v>
      </c>
      <c r="B126" s="4" t="str">
        <f>IFERROR(__xludf.DUMMYFUNCTION("""COMPUTED_VALUE"""),"Channel 1")</f>
        <v>Channel 1</v>
      </c>
      <c r="C126" s="4" t="str">
        <f>IFERROR(__xludf.DUMMYFUNCTION("""COMPUTED_VALUE"""),"Day 1 - 23/06")</f>
        <v>Day 1 - 23/06</v>
      </c>
      <c r="D126" s="6">
        <f>IFERROR(__xludf.DUMMYFUNCTION("""COMPUTED_VALUE"""),0.6851620370370367)</f>
        <v>0.685162037</v>
      </c>
      <c r="E126" s="6">
        <f>IFERROR(__xludf.DUMMYFUNCTION("""COMPUTED_VALUE"""),0.0020833333333333333)</f>
        <v>0.002083333333</v>
      </c>
      <c r="F126" s="6">
        <f>IFERROR(__xludf.DUMMYFUNCTION("""COMPUTED_VALUE"""),0.68724537037037)</f>
        <v>0.6872453704</v>
      </c>
      <c r="G126" s="4" t="str">
        <f>IFERROR(__xludf.DUMMYFUNCTION("""COMPUTED_VALUE"""),"Stephanie")</f>
        <v>Stephanie</v>
      </c>
      <c r="H126" s="4" t="str">
        <f>IFERROR(__xludf.DUMMYFUNCTION("""COMPUTED_VALUE"""),"Stephen")</f>
        <v>Stephen</v>
      </c>
      <c r="I126" s="4" t="str">
        <f>IFERROR(__xludf.DUMMYFUNCTION("""COMPUTED_VALUE"""),"Geoff")</f>
        <v>Geoff</v>
      </c>
      <c r="J126" s="4" t="str">
        <f>IFERROR(__xludf.DUMMYFUNCTION("""COMPUTED_VALUE"""),"Investment")</f>
        <v>Investment</v>
      </c>
      <c r="K126" s="4" t="str">
        <f>IFERROR(__xludf.DUMMYFUNCTION("""COMPUTED_VALUE"""),"Teaser")</f>
        <v>Teaser</v>
      </c>
      <c r="L126" s="4" t="str">
        <f>IFERROR(__xludf.DUMMYFUNCTION("""COMPUTED_VALUE"""),"")</f>
        <v/>
      </c>
      <c r="M126" s="4" t="str">
        <f>IFERROR(__xludf.DUMMYFUNCTION("""COMPUTED_VALUE"""),"Teaser: Vinod Khosla")</f>
        <v>Teaser: Vinod Khosla</v>
      </c>
      <c r="N126" s="4" t="str">
        <f>IFERROR(__xludf.DUMMYFUNCTION("""COMPUTED_VALUE"""),"")</f>
        <v/>
      </c>
      <c r="O126" s="4" t="str">
        <f>IFERROR(__xludf.DUMMYFUNCTION("""COMPUTED_VALUE"""),"")</f>
        <v/>
      </c>
      <c r="P126" s="4" t="str">
        <f>IFERROR(__xludf.DUMMYFUNCTION("""COMPUTED_VALUE"""),"")</f>
        <v/>
      </c>
      <c r="Q126" s="4" t="str">
        <f>IFERROR(__xludf.DUMMYFUNCTION("""COMPUTED_VALUE"""),"")</f>
        <v/>
      </c>
      <c r="R126" s="4" t="str">
        <f>IFERROR(__xludf.DUMMYFUNCTION("""COMPUTED_VALUE"""),"")</f>
        <v/>
      </c>
      <c r="S126" s="4" t="str">
        <f>IFERROR(__xludf.DUMMYFUNCTION("""COMPUTED_VALUE"""),"Enjoy 5 minutes of Vinod Khosla and The Information's Jessica Lessin's talk ""The Power of Entrepreneurship""  Catch the full talk on Channel 3. ")</f>
        <v>Enjoy 5 minutes of Vinod Khosla and The Information's Jessica Lessin's talk "The Power of Entrepreneurship"  Catch the full talk on Channel 3. </v>
      </c>
      <c r="T126" s="4" t="str">
        <f>IFERROR(__xludf.DUMMYFUNCTION("""COMPUTED_VALUE"""),"N/A")</f>
        <v>N/A</v>
      </c>
      <c r="U126" s="4" t="str">
        <f>IFERROR(__xludf.DUMMYFUNCTION("""COMPUTED_VALUE"""),"")</f>
        <v/>
      </c>
      <c r="V126" s="4" t="str">
        <f>IFERROR(__xludf.DUMMYFUNCTION("""COMPUTED_VALUE"""),"")</f>
        <v/>
      </c>
      <c r="W126" s="4" t="str">
        <f>IFERROR(__xludf.DUMMYFUNCTION("""COMPUTED_VALUE"""),"")</f>
        <v/>
      </c>
      <c r="X126" s="4" t="str">
        <f>IFERROR(__xludf.DUMMYFUNCTION("""COMPUTED_VALUE"""),"")</f>
        <v/>
      </c>
      <c r="Y126" s="4" t="str">
        <f>IFERROR(__xludf.DUMMYFUNCTION("""COMPUTED_VALUE"""),"")</f>
        <v/>
      </c>
    </row>
    <row r="127">
      <c r="A127" s="4" t="str">
        <f>IFERROR(__xludf.DUMMYFUNCTION("""COMPUTED_VALUE"""),"2246 - Channel")</f>
        <v>2246 - Channel</v>
      </c>
      <c r="B127" s="4" t="str">
        <f>IFERROR(__xludf.DUMMYFUNCTION("""COMPUTED_VALUE"""),"Channel 1")</f>
        <v>Channel 1</v>
      </c>
      <c r="C127" s="4" t="str">
        <f>IFERROR(__xludf.DUMMYFUNCTION("""COMPUTED_VALUE"""),"Day 1 - 23/06")</f>
        <v>Day 1 - 23/06</v>
      </c>
      <c r="D127" s="6">
        <f>IFERROR(__xludf.DUMMYFUNCTION("""COMPUTED_VALUE"""),0.68724537037037)</f>
        <v>0.6872453704</v>
      </c>
      <c r="E127" s="6">
        <f>IFERROR(__xludf.DUMMYFUNCTION("""COMPUTED_VALUE"""),2.314814814814815E-4)</f>
        <v>0.0002314814815</v>
      </c>
      <c r="F127" s="6">
        <f>IFERROR(__xludf.DUMMYFUNCTION("""COMPUTED_VALUE"""),0.6874768518518515)</f>
        <v>0.6874768519</v>
      </c>
      <c r="G127" s="4" t="str">
        <f>IFERROR(__xludf.DUMMYFUNCTION("""COMPUTED_VALUE"""),"")</f>
        <v/>
      </c>
      <c r="H127" s="4" t="str">
        <f>IFERROR(__xludf.DUMMYFUNCTION("""COMPUTED_VALUE"""),"")</f>
        <v/>
      </c>
      <c r="I127" s="4" t="str">
        <f>IFERROR(__xludf.DUMMYFUNCTION("""COMPUTED_VALUE"""),"")</f>
        <v/>
      </c>
      <c r="J127" s="4" t="str">
        <f>IFERROR(__xludf.DUMMYFUNCTION("""COMPUTED_VALUE"""),"")</f>
        <v/>
      </c>
      <c r="K127" s="4" t="str">
        <f>IFERROR(__xludf.DUMMYFUNCTION("""COMPUTED_VALUE"""),"Talk Outro")</f>
        <v>Talk Outro</v>
      </c>
      <c r="L127" s="4" t="str">
        <f>IFERROR(__xludf.DUMMYFUNCTION("""COMPUTED_VALUE"""),"")</f>
        <v/>
      </c>
      <c r="M127" s="4" t="str">
        <f>IFERROR(__xludf.DUMMYFUNCTION("""COMPUTED_VALUE"""),"Call to action")</f>
        <v>Call to action</v>
      </c>
      <c r="N127" s="4" t="str">
        <f>IFERROR(__xludf.DUMMYFUNCTION("""COMPUTED_VALUE"""),"Casey Lau, Web Summit")</f>
        <v>Casey Lau, Web Summit</v>
      </c>
      <c r="O127" s="4" t="str">
        <f>IFERROR(__xludf.DUMMYFUNCTION("""COMPUTED_VALUE"""),"")</f>
        <v/>
      </c>
      <c r="P127" s="4" t="str">
        <f>IFERROR(__xludf.DUMMYFUNCTION("""COMPUTED_VALUE"""),"")</f>
        <v/>
      </c>
      <c r="Q127" s="4" t="str">
        <f>IFERROR(__xludf.DUMMYFUNCTION("""COMPUTED_VALUE"""),"")</f>
        <v/>
      </c>
      <c r="R127" s="4" t="str">
        <f>IFERROR(__xludf.DUMMYFUNCTION("""COMPUTED_VALUE"""),"")</f>
        <v/>
      </c>
      <c r="S127" s="4" t="str">
        <f>IFERROR(__xludf.DUMMYFUNCTION("""COMPUTED_VALUE"""),"")</f>
        <v/>
      </c>
      <c r="T127" s="4" t="str">
        <f>IFERROR(__xludf.DUMMYFUNCTION("""COMPUTED_VALUE"""),"")</f>
        <v/>
      </c>
      <c r="U127" s="4" t="str">
        <f>IFERROR(__xludf.DUMMYFUNCTION("""COMPUTED_VALUE"""),"")</f>
        <v/>
      </c>
      <c r="V127" s="4" t="str">
        <f>IFERROR(__xludf.DUMMYFUNCTION("""COMPUTED_VALUE"""),"")</f>
        <v/>
      </c>
      <c r="W127" s="4" t="str">
        <f>IFERROR(__xludf.DUMMYFUNCTION("""COMPUTED_VALUE"""),"")</f>
        <v/>
      </c>
      <c r="X127" s="4" t="str">
        <f>IFERROR(__xludf.DUMMYFUNCTION("""COMPUTED_VALUE"""),"")</f>
        <v/>
      </c>
      <c r="Y127" s="4" t="str">
        <f>IFERROR(__xludf.DUMMYFUNCTION("""COMPUTED_VALUE"""),"")</f>
        <v/>
      </c>
    </row>
    <row r="128">
      <c r="A128" s="4" t="str">
        <f>IFERROR(__xludf.DUMMYFUNCTION("""COMPUTED_VALUE"""),"1386 - Channel")</f>
        <v>1386 - Channel</v>
      </c>
      <c r="B128" s="4" t="str">
        <f>IFERROR(__xludf.DUMMYFUNCTION("""COMPUTED_VALUE"""),"Channel 1")</f>
        <v>Channel 1</v>
      </c>
      <c r="C128" s="4" t="str">
        <f>IFERROR(__xludf.DUMMYFUNCTION("""COMPUTED_VALUE"""),"Day 1 - 23/06")</f>
        <v>Day 1 - 23/06</v>
      </c>
      <c r="D128" s="6">
        <f>IFERROR(__xludf.DUMMYFUNCTION("""COMPUTED_VALUE"""),0.68724537037037)</f>
        <v>0.6872453704</v>
      </c>
      <c r="E128" s="6">
        <f>IFERROR(__xludf.DUMMYFUNCTION("""COMPUTED_VALUE"""),3.4722222222222224E-4)</f>
        <v>0.0003472222222</v>
      </c>
      <c r="F128" s="6">
        <f>IFERROR(__xludf.DUMMYFUNCTION("""COMPUTED_VALUE"""),0.6875925925925923)</f>
        <v>0.6875925926</v>
      </c>
      <c r="G128" s="4" t="str">
        <f>IFERROR(__xludf.DUMMYFUNCTION("""COMPUTED_VALUE"""),"Video")</f>
        <v>Video</v>
      </c>
      <c r="H128" s="4" t="str">
        <f>IFERROR(__xludf.DUMMYFUNCTION("""COMPUTED_VALUE"""),"")</f>
        <v/>
      </c>
      <c r="I128" s="4" t="str">
        <f>IFERROR(__xludf.DUMMYFUNCTION("""COMPUTED_VALUE"""),"")</f>
        <v/>
      </c>
      <c r="J128" s="4" t="str">
        <f>IFERROR(__xludf.DUMMYFUNCTION("""COMPUTED_VALUE"""),"")</f>
        <v/>
      </c>
      <c r="K128" s="4" t="str">
        <f>IFERROR(__xludf.DUMMYFUNCTION("""COMPUTED_VALUE"""),"RISE Trailer")</f>
        <v>RISE Trailer</v>
      </c>
      <c r="L128" s="4" t="str">
        <f>IFERROR(__xludf.DUMMYFUNCTION("""COMPUTED_VALUE"""),"")</f>
        <v/>
      </c>
      <c r="M128" s="4" t="str">
        <f>IFERROR(__xludf.DUMMYFUNCTION("""COMPUTED_VALUE"""),"RISE promo")</f>
        <v>RISE promo</v>
      </c>
      <c r="N128" s="4" t="str">
        <f>IFERROR(__xludf.DUMMYFUNCTION("""COMPUTED_VALUE"""),"Content pending")</f>
        <v>Content pending</v>
      </c>
      <c r="O128" s="4" t="str">
        <f>IFERROR(__xludf.DUMMYFUNCTION("""COMPUTED_VALUE"""),"")</f>
        <v/>
      </c>
      <c r="P128" s="4" t="str">
        <f>IFERROR(__xludf.DUMMYFUNCTION("""COMPUTED_VALUE"""),"")</f>
        <v/>
      </c>
      <c r="Q128" s="4" t="str">
        <f>IFERROR(__xludf.DUMMYFUNCTION("""COMPUTED_VALUE"""),"")</f>
        <v/>
      </c>
      <c r="R128" s="4" t="str">
        <f>IFERROR(__xludf.DUMMYFUNCTION("""COMPUTED_VALUE"""),"")</f>
        <v/>
      </c>
      <c r="S128" s="4" t="str">
        <f>IFERROR(__xludf.DUMMYFUNCTION("""COMPUTED_VALUE"""),"")</f>
        <v/>
      </c>
      <c r="T128" s="4" t="str">
        <f>IFERROR(__xludf.DUMMYFUNCTION("""COMPUTED_VALUE"""),"")</f>
        <v/>
      </c>
      <c r="U128" s="4" t="str">
        <f>IFERROR(__xludf.DUMMYFUNCTION("""COMPUTED_VALUE"""),"")</f>
        <v/>
      </c>
      <c r="V128" s="4" t="str">
        <f>IFERROR(__xludf.DUMMYFUNCTION("""COMPUTED_VALUE"""),"")</f>
        <v/>
      </c>
      <c r="W128" s="4" t="str">
        <f>IFERROR(__xludf.DUMMYFUNCTION("""COMPUTED_VALUE"""),"")</f>
        <v/>
      </c>
      <c r="X128" s="4" t="str">
        <f>IFERROR(__xludf.DUMMYFUNCTION("""COMPUTED_VALUE"""),"")</f>
        <v/>
      </c>
      <c r="Y128" s="4" t="str">
        <f>IFERROR(__xludf.DUMMYFUNCTION("""COMPUTED_VALUE"""),"")</f>
        <v/>
      </c>
    </row>
    <row r="129">
      <c r="A129" s="4" t="str">
        <f>IFERROR(__xludf.DUMMYFUNCTION("""COMPUTED_VALUE"""),"1471 - Channel")</f>
        <v>1471 - Channel</v>
      </c>
      <c r="B129" s="4" t="str">
        <f>IFERROR(__xludf.DUMMYFUNCTION("""COMPUTED_VALUE"""),"Channel 1")</f>
        <v>Channel 1</v>
      </c>
      <c r="C129" s="4" t="str">
        <f>IFERROR(__xludf.DUMMYFUNCTION("""COMPUTED_VALUE"""),"Day 1 - 23/06")</f>
        <v>Day 1 - 23/06</v>
      </c>
      <c r="D129" s="6">
        <f>IFERROR(__xludf.DUMMYFUNCTION("""COMPUTED_VALUE"""),0.6875925925925923)</f>
        <v>0.6875925926</v>
      </c>
      <c r="E129" s="6">
        <f>IFERROR(__xludf.DUMMYFUNCTION("""COMPUTED_VALUE"""),2.314814814814815E-4)</f>
        <v>0.0002314814815</v>
      </c>
      <c r="F129" s="6">
        <f>IFERROR(__xludf.DUMMYFUNCTION("""COMPUTED_VALUE"""),0.6878240740740738)</f>
        <v>0.6878240741</v>
      </c>
      <c r="G129" s="4" t="str">
        <f>IFERROR(__xludf.DUMMYFUNCTION("""COMPUTED_VALUE"""),"")</f>
        <v/>
      </c>
      <c r="H129" s="4" t="str">
        <f>IFERROR(__xludf.DUMMYFUNCTION("""COMPUTED_VALUE"""),"")</f>
        <v/>
      </c>
      <c r="I129" s="4" t="str">
        <f>IFERROR(__xludf.DUMMYFUNCTION("""COMPUTED_VALUE"""),"")</f>
        <v/>
      </c>
      <c r="J129" s="4" t="str">
        <f>IFERROR(__xludf.DUMMYFUNCTION("""COMPUTED_VALUE"""),"")</f>
        <v/>
      </c>
      <c r="K129" s="4" t="str">
        <f>IFERROR(__xludf.DUMMYFUNCTION("""COMPUTED_VALUE"""),"Talk Intro")</f>
        <v>Talk Intro</v>
      </c>
      <c r="L129" s="4" t="str">
        <f>IFERROR(__xludf.DUMMYFUNCTION("""COMPUTED_VALUE"""),"")</f>
        <v/>
      </c>
      <c r="M129" s="4" t="str">
        <f>IFERROR(__xludf.DUMMYFUNCTION("""COMPUTED_VALUE"""),"Talk intro ")</f>
        <v>Talk intro </v>
      </c>
      <c r="N129" s="4" t="str">
        <f>IFERROR(__xludf.DUMMYFUNCTION("""COMPUTED_VALUE"""),"Casey Lau, Web Summit")</f>
        <v>Casey Lau, Web Summit</v>
      </c>
      <c r="O129" s="4" t="str">
        <f>IFERROR(__xludf.DUMMYFUNCTION("""COMPUTED_VALUE"""),"")</f>
        <v/>
      </c>
      <c r="P129" s="4" t="str">
        <f>IFERROR(__xludf.DUMMYFUNCTION("""COMPUTED_VALUE"""),"")</f>
        <v/>
      </c>
      <c r="Q129" s="4" t="str">
        <f>IFERROR(__xludf.DUMMYFUNCTION("""COMPUTED_VALUE"""),"")</f>
        <v/>
      </c>
      <c r="R129" s="4" t="str">
        <f>IFERROR(__xludf.DUMMYFUNCTION("""COMPUTED_VALUE"""),"")</f>
        <v/>
      </c>
      <c r="S129" s="4" t="str">
        <f>IFERROR(__xludf.DUMMYFUNCTION("""COMPUTED_VALUE"""),"")</f>
        <v/>
      </c>
      <c r="T129" s="4" t="str">
        <f>IFERROR(__xludf.DUMMYFUNCTION("""COMPUTED_VALUE"""),"")</f>
        <v/>
      </c>
      <c r="U129" s="4" t="str">
        <f>IFERROR(__xludf.DUMMYFUNCTION("""COMPUTED_VALUE"""),"")</f>
        <v/>
      </c>
      <c r="V129" s="4" t="str">
        <f>IFERROR(__xludf.DUMMYFUNCTION("""COMPUTED_VALUE"""),"")</f>
        <v/>
      </c>
      <c r="W129" s="4" t="str">
        <f>IFERROR(__xludf.DUMMYFUNCTION("""COMPUTED_VALUE"""),"")</f>
        <v/>
      </c>
      <c r="X129" s="4" t="str">
        <f>IFERROR(__xludf.DUMMYFUNCTION("""COMPUTED_VALUE"""),"")</f>
        <v/>
      </c>
      <c r="Y129" s="4" t="str">
        <f>IFERROR(__xludf.DUMMYFUNCTION("""COMPUTED_VALUE"""),"")</f>
        <v/>
      </c>
    </row>
    <row r="130">
      <c r="A130" s="4" t="str">
        <f>IFERROR(__xludf.DUMMYFUNCTION("""COMPUTED_VALUE"""),"1472 - Channel")</f>
        <v>1472 - Channel</v>
      </c>
      <c r="B130" s="4" t="str">
        <f>IFERROR(__xludf.DUMMYFUNCTION("""COMPUTED_VALUE"""),"Channel 1")</f>
        <v>Channel 1</v>
      </c>
      <c r="C130" s="4" t="str">
        <f>IFERROR(__xludf.DUMMYFUNCTION("""COMPUTED_VALUE"""),"Day 1 - 23/06")</f>
        <v>Day 1 - 23/06</v>
      </c>
      <c r="D130" s="6">
        <f>IFERROR(__xludf.DUMMYFUNCTION("""COMPUTED_VALUE"""),0.6878240740740738)</f>
        <v>0.6878240741</v>
      </c>
      <c r="E130" s="6">
        <f>IFERROR(__xludf.DUMMYFUNCTION("""COMPUTED_VALUE"""),0.013888888888888888)</f>
        <v>0.01388888889</v>
      </c>
      <c r="F130" s="6">
        <f>IFERROR(__xludf.DUMMYFUNCTION("""COMPUTED_VALUE"""),0.7017129629629626)</f>
        <v>0.701712963</v>
      </c>
      <c r="G130" s="4" t="str">
        <f>IFERROR(__xludf.DUMMYFUNCTION("""COMPUTED_VALUE"""),"Lobna")</f>
        <v>Lobna</v>
      </c>
      <c r="H130" s="4" t="str">
        <f>IFERROR(__xludf.DUMMYFUNCTION("""COMPUTED_VALUE"""),"Stephen")</f>
        <v>Stephen</v>
      </c>
      <c r="I130" s="4" t="str">
        <f>IFERROR(__xludf.DUMMYFUNCTION("""COMPUTED_VALUE"""),"Eabha")</f>
        <v>Eabha</v>
      </c>
      <c r="J130" s="4" t="str">
        <f>IFERROR(__xludf.DUMMYFUNCTION("""COMPUTED_VALUE"""),"")</f>
        <v/>
      </c>
      <c r="K130" s="4" t="str">
        <f>IFERROR(__xludf.DUMMYFUNCTION("""COMPUTED_VALUE"""),"Fireside")</f>
        <v>Fireside</v>
      </c>
      <c r="L130" s="4" t="str">
        <f>IFERROR(__xludf.DUMMYFUNCTION("""COMPUTED_VALUE"""),"T- 2 - 08/06/2020")</f>
        <v>T- 2 - 08/06/2020</v>
      </c>
      <c r="M130" s="4" t="str">
        <f>IFERROR(__xludf.DUMMYFUNCTION("""COMPUTED_VALUE"""),"By Taraji: A brand on your own terms")</f>
        <v>By Taraji: A brand on your own terms</v>
      </c>
      <c r="N130" s="4" t="str">
        <f>IFERROR(__xludf.DUMMYFUNCTION("""COMPUTED_VALUE"""),"Taraji P Henson, TPH by Taraji")</f>
        <v>Taraji P Henson, TPH by Taraji</v>
      </c>
      <c r="O130" s="4" t="str">
        <f>IFERROR(__xludf.DUMMYFUNCTION("""COMPUTED_VALUE"""),"")</f>
        <v/>
      </c>
      <c r="P130" s="4" t="str">
        <f>IFERROR(__xludf.DUMMYFUNCTION("""COMPUTED_VALUE"""),"")</f>
        <v/>
      </c>
      <c r="Q130" s="4" t="str">
        <f>IFERROR(__xludf.DUMMYFUNCTION("""COMPUTED_VALUE"""),"")</f>
        <v/>
      </c>
      <c r="R130" s="4" t="str">
        <f>IFERROR(__xludf.DUMMYFUNCTION("""COMPUTED_VALUE"""),"Jemele Hill, The Atlantic")</f>
        <v>Jemele Hill, The Atlantic</v>
      </c>
      <c r="S130" s="4" t="str">
        <f>IFERROR(__xludf.DUMMYFUNCTION("""COMPUTED_VALUE"""),"She’s conquered television and the silver screen – now she’s tackling brands and brains, with the launch of her own haircare range and her work advocating for mental health awareness. In this talk, she tells us what's next, and what lessons she's learned "&amp;"along the way.")</f>
        <v>She’s conquered television and the silver screen – now she’s tackling brands and brains, with the launch of her own haircare range and her work advocating for mental health awareness. In this talk, she tells us what's next, and what lessons she's learned along the way.</v>
      </c>
      <c r="T130" s="4" t="str">
        <f>IFERROR(__xludf.DUMMYFUNCTION("""COMPUTED_VALUE"""),"Recording MISSED/NEEDS TO BE RERECORDED/RESCHEDULED")</f>
        <v>Recording MISSED/NEEDS TO BE RERECORDED/RESCHEDULED</v>
      </c>
      <c r="U130" s="23">
        <f>IFERROR(__xludf.DUMMYFUNCTION("""COMPUTED_VALUE"""),43990.0)</f>
        <v>43990</v>
      </c>
      <c r="V130" s="24">
        <f>IFERROR(__xludf.DUMMYFUNCTION("""COMPUTED_VALUE"""),0.8333333333333334)</f>
        <v>0.8333333333</v>
      </c>
      <c r="W130" s="4" t="str">
        <f>IFERROR(__xludf.DUMMYFUNCTION("""COMPUTED_VALUE"""),"")</f>
        <v/>
      </c>
      <c r="X130" s="4" t="str">
        <f>IFERROR(__xludf.DUMMYFUNCTION("""COMPUTED_VALUE"""),"Lobna")</f>
        <v>Lobna</v>
      </c>
      <c r="Y130" s="4" t="str">
        <f>IFERROR(__xludf.DUMMYFUNCTION("""COMPUTED_VALUE"""),"")</f>
        <v/>
      </c>
    </row>
    <row r="131">
      <c r="A131" s="4" t="str">
        <f>IFERROR(__xludf.DUMMYFUNCTION("""COMPUTED_VALUE"""),"126 - Channel")</f>
        <v>126 - Channel</v>
      </c>
      <c r="B131" s="4" t="str">
        <f>IFERROR(__xludf.DUMMYFUNCTION("""COMPUTED_VALUE"""),"Channel 1")</f>
        <v>Channel 1</v>
      </c>
      <c r="C131" s="4" t="str">
        <f>IFERROR(__xludf.DUMMYFUNCTION("""COMPUTED_VALUE"""),"Day 1 - 23/06")</f>
        <v>Day 1 - 23/06</v>
      </c>
      <c r="D131" s="6">
        <f>IFERROR(__xludf.DUMMYFUNCTION("""COMPUTED_VALUE"""),0.7017129629629626)</f>
        <v>0.701712963</v>
      </c>
      <c r="E131" s="6">
        <f>IFERROR(__xludf.DUMMYFUNCTION("""COMPUTED_VALUE"""),3.4722222222222224E-4)</f>
        <v>0.0003472222222</v>
      </c>
      <c r="F131" s="6">
        <f>IFERROR(__xludf.DUMMYFUNCTION("""COMPUTED_VALUE"""),0.7020601851851849)</f>
        <v>0.7020601852</v>
      </c>
      <c r="G131" s="4" t="str">
        <f>IFERROR(__xludf.DUMMYFUNCTION("""COMPUTED_VALUE"""),"")</f>
        <v/>
      </c>
      <c r="H131" s="4" t="str">
        <f>IFERROR(__xludf.DUMMYFUNCTION("""COMPUTED_VALUE"""),"")</f>
        <v/>
      </c>
      <c r="I131" s="4" t="str">
        <f>IFERROR(__xludf.DUMMYFUNCTION("""COMPUTED_VALUE"""),"")</f>
        <v/>
      </c>
      <c r="J131" s="4" t="str">
        <f>IFERROR(__xludf.DUMMYFUNCTION("""COMPUTED_VALUE"""),"")</f>
        <v/>
      </c>
      <c r="K131" s="4" t="str">
        <f>IFERROR(__xludf.DUMMYFUNCTION("""COMPUTED_VALUE"""),"Web Summit Trailer - full")</f>
        <v>Web Summit Trailer - full</v>
      </c>
      <c r="L131" s="4" t="str">
        <f>IFERROR(__xludf.DUMMYFUNCTION("""COMPUTED_VALUE"""),"")</f>
        <v/>
      </c>
      <c r="M131" s="4" t="str">
        <f>IFERROR(__xludf.DUMMYFUNCTION("""COMPUTED_VALUE"""),"Web Summit promo")</f>
        <v>Web Summit promo</v>
      </c>
      <c r="N131" s="4" t="str">
        <f>IFERROR(__xludf.DUMMYFUNCTION("""COMPUTED_VALUE"""),"Content pending")</f>
        <v>Content pending</v>
      </c>
      <c r="O131" s="4" t="str">
        <f>IFERROR(__xludf.DUMMYFUNCTION("""COMPUTED_VALUE"""),"")</f>
        <v/>
      </c>
      <c r="P131" s="4" t="str">
        <f>IFERROR(__xludf.DUMMYFUNCTION("""COMPUTED_VALUE"""),"")</f>
        <v/>
      </c>
      <c r="Q131" s="4" t="str">
        <f>IFERROR(__xludf.DUMMYFUNCTION("""COMPUTED_VALUE"""),"")</f>
        <v/>
      </c>
      <c r="R131" s="4" t="str">
        <f>IFERROR(__xludf.DUMMYFUNCTION("""COMPUTED_VALUE"""),"")</f>
        <v/>
      </c>
      <c r="S131" s="4" t="str">
        <f>IFERROR(__xludf.DUMMYFUNCTION("""COMPUTED_VALUE"""),"")</f>
        <v/>
      </c>
      <c r="T131" s="4" t="str">
        <f>IFERROR(__xludf.DUMMYFUNCTION("""COMPUTED_VALUE"""),"")</f>
        <v/>
      </c>
      <c r="U131" s="4" t="str">
        <f>IFERROR(__xludf.DUMMYFUNCTION("""COMPUTED_VALUE"""),"")</f>
        <v/>
      </c>
      <c r="V131" s="4" t="str">
        <f>IFERROR(__xludf.DUMMYFUNCTION("""COMPUTED_VALUE"""),"")</f>
        <v/>
      </c>
      <c r="W131" s="4" t="str">
        <f>IFERROR(__xludf.DUMMYFUNCTION("""COMPUTED_VALUE"""),"")</f>
        <v/>
      </c>
      <c r="X131" s="4" t="str">
        <f>IFERROR(__xludf.DUMMYFUNCTION("""COMPUTED_VALUE"""),"")</f>
        <v/>
      </c>
      <c r="Y131" s="4" t="str">
        <f>IFERROR(__xludf.DUMMYFUNCTION("""COMPUTED_VALUE"""),"")</f>
        <v/>
      </c>
    </row>
    <row r="132">
      <c r="A132" s="4" t="str">
        <f>IFERROR(__xludf.DUMMYFUNCTION("""COMPUTED_VALUE"""),"1962 - Channel")</f>
        <v>1962 - Channel</v>
      </c>
      <c r="B132" s="4" t="str">
        <f>IFERROR(__xludf.DUMMYFUNCTION("""COMPUTED_VALUE"""),"Channel 1")</f>
        <v>Channel 1</v>
      </c>
      <c r="C132" s="4" t="str">
        <f>IFERROR(__xludf.DUMMYFUNCTION("""COMPUTED_VALUE"""),"Day 1 - 23/06")</f>
        <v>Day 1 - 23/06</v>
      </c>
      <c r="D132" s="6">
        <f>IFERROR(__xludf.DUMMYFUNCTION("""COMPUTED_VALUE"""),0.7020601851851849)</f>
        <v>0.7020601852</v>
      </c>
      <c r="E132" s="6">
        <f>IFERROR(__xludf.DUMMYFUNCTION("""COMPUTED_VALUE"""),2.314814814814815E-4)</f>
        <v>0.0002314814815</v>
      </c>
      <c r="F132" s="6">
        <f>IFERROR(__xludf.DUMMYFUNCTION("""COMPUTED_VALUE"""),0.7022916666666663)</f>
        <v>0.7022916667</v>
      </c>
      <c r="G132" s="4" t="str">
        <f>IFERROR(__xludf.DUMMYFUNCTION("""COMPUTED_VALUE"""),"")</f>
        <v/>
      </c>
      <c r="H132" s="4" t="str">
        <f>IFERROR(__xludf.DUMMYFUNCTION("""COMPUTED_VALUE"""),"")</f>
        <v/>
      </c>
      <c r="I132" s="4" t="str">
        <f>IFERROR(__xludf.DUMMYFUNCTION("""COMPUTED_VALUE"""),"")</f>
        <v/>
      </c>
      <c r="J132" s="4" t="str">
        <f>IFERROR(__xludf.DUMMYFUNCTION("""COMPUTED_VALUE"""),"")</f>
        <v/>
      </c>
      <c r="K132" s="4" t="str">
        <f>IFERROR(__xludf.DUMMYFUNCTION("""COMPUTED_VALUE"""),"Talk Intro")</f>
        <v>Talk Intro</v>
      </c>
      <c r="L132" s="4" t="str">
        <f>IFERROR(__xludf.DUMMYFUNCTION("""COMPUTED_VALUE"""),"")</f>
        <v/>
      </c>
      <c r="M132" s="4" t="str">
        <f>IFERROR(__xludf.DUMMYFUNCTION("""COMPUTED_VALUE"""),"Teaser: AriannaHuff_Intro")</f>
        <v>Teaser: AriannaHuff_Intro</v>
      </c>
      <c r="N132" s="4" t="str">
        <f>IFERROR(__xludf.DUMMYFUNCTION("""COMPUTED_VALUE"""),"Casey Lau, Web Summit")</f>
        <v>Casey Lau, Web Summit</v>
      </c>
      <c r="O132" s="4" t="str">
        <f>IFERROR(__xludf.DUMMYFUNCTION("""COMPUTED_VALUE"""),"")</f>
        <v/>
      </c>
      <c r="P132" s="4" t="str">
        <f>IFERROR(__xludf.DUMMYFUNCTION("""COMPUTED_VALUE"""),"")</f>
        <v/>
      </c>
      <c r="Q132" s="4" t="str">
        <f>IFERROR(__xludf.DUMMYFUNCTION("""COMPUTED_VALUE"""),"")</f>
        <v/>
      </c>
      <c r="R132" s="4" t="str">
        <f>IFERROR(__xludf.DUMMYFUNCTION("""COMPUTED_VALUE"""),"")</f>
        <v/>
      </c>
      <c r="S132" s="4" t="str">
        <f>IFERROR(__xludf.DUMMYFUNCTION("""COMPUTED_VALUE"""),"")</f>
        <v/>
      </c>
      <c r="T132" s="4" t="str">
        <f>IFERROR(__xludf.DUMMYFUNCTION("""COMPUTED_VALUE"""),"")</f>
        <v/>
      </c>
      <c r="U132" s="4" t="str">
        <f>IFERROR(__xludf.DUMMYFUNCTION("""COMPUTED_VALUE"""),"")</f>
        <v/>
      </c>
      <c r="V132" s="4" t="str">
        <f>IFERROR(__xludf.DUMMYFUNCTION("""COMPUTED_VALUE"""),"")</f>
        <v/>
      </c>
      <c r="W132" s="4" t="str">
        <f>IFERROR(__xludf.DUMMYFUNCTION("""COMPUTED_VALUE"""),"")</f>
        <v/>
      </c>
      <c r="X132" s="4" t="str">
        <f>IFERROR(__xludf.DUMMYFUNCTION("""COMPUTED_VALUE"""),"")</f>
        <v/>
      </c>
      <c r="Y132" s="4" t="str">
        <f>IFERROR(__xludf.DUMMYFUNCTION("""COMPUTED_VALUE"""),"")</f>
        <v/>
      </c>
    </row>
    <row r="133">
      <c r="A133" s="4" t="str">
        <f>IFERROR(__xludf.DUMMYFUNCTION("""COMPUTED_VALUE"""),"1963 - Channel")</f>
        <v>1963 - Channel</v>
      </c>
      <c r="B133" s="4" t="str">
        <f>IFERROR(__xludf.DUMMYFUNCTION("""COMPUTED_VALUE"""),"Channel 1")</f>
        <v>Channel 1</v>
      </c>
      <c r="C133" s="4" t="str">
        <f>IFERROR(__xludf.DUMMYFUNCTION("""COMPUTED_VALUE"""),"Day 1 - 23/06")</f>
        <v>Day 1 - 23/06</v>
      </c>
      <c r="D133" s="6">
        <f>IFERROR(__xludf.DUMMYFUNCTION("""COMPUTED_VALUE"""),0.7022916666666663)</f>
        <v>0.7022916667</v>
      </c>
      <c r="E133" s="6">
        <f>IFERROR(__xludf.DUMMYFUNCTION("""COMPUTED_VALUE"""),0.0020833333333333333)</f>
        <v>0.002083333333</v>
      </c>
      <c r="F133" s="6">
        <f>IFERROR(__xludf.DUMMYFUNCTION("""COMPUTED_VALUE"""),0.7043749999999996)</f>
        <v>0.704375</v>
      </c>
      <c r="G133" s="4" t="str">
        <f>IFERROR(__xludf.DUMMYFUNCTION("""COMPUTED_VALUE"""),"")</f>
        <v/>
      </c>
      <c r="H133" s="4" t="str">
        <f>IFERROR(__xludf.DUMMYFUNCTION("""COMPUTED_VALUE"""),"")</f>
        <v/>
      </c>
      <c r="I133" s="4" t="str">
        <f>IFERROR(__xludf.DUMMYFUNCTION("""COMPUTED_VALUE"""),"")</f>
        <v/>
      </c>
      <c r="J133" s="4" t="str">
        <f>IFERROR(__xludf.DUMMYFUNCTION("""COMPUTED_VALUE"""),"")</f>
        <v/>
      </c>
      <c r="K133" s="4" t="str">
        <f>IFERROR(__xludf.DUMMYFUNCTION("""COMPUTED_VALUE"""),"Teaser")</f>
        <v>Teaser</v>
      </c>
      <c r="L133" s="4" t="str">
        <f>IFERROR(__xludf.DUMMYFUNCTION("""COMPUTED_VALUE"""),"")</f>
        <v/>
      </c>
      <c r="M133" s="4" t="str">
        <f>IFERROR(__xludf.DUMMYFUNCTION("""COMPUTED_VALUE"""),"Teaser: AriannaHuff")</f>
        <v>Teaser: AriannaHuff</v>
      </c>
      <c r="N133" s="4" t="str">
        <f>IFERROR(__xludf.DUMMYFUNCTION("""COMPUTED_VALUE"""),"Content complete")</f>
        <v>Content complete</v>
      </c>
      <c r="O133" s="4" t="str">
        <f>IFERROR(__xludf.DUMMYFUNCTION("""COMPUTED_VALUE"""),"")</f>
        <v/>
      </c>
      <c r="P133" s="4" t="str">
        <f>IFERROR(__xludf.DUMMYFUNCTION("""COMPUTED_VALUE"""),"")</f>
        <v/>
      </c>
      <c r="Q133" s="4" t="str">
        <f>IFERROR(__xludf.DUMMYFUNCTION("""COMPUTED_VALUE"""),"")</f>
        <v/>
      </c>
      <c r="R133" s="4" t="str">
        <f>IFERROR(__xludf.DUMMYFUNCTION("""COMPUTED_VALUE"""),"")</f>
        <v/>
      </c>
      <c r="S133" s="4" t="str">
        <f>IFERROR(__xludf.DUMMYFUNCTION("""COMPUTED_VALUE"""),"")</f>
        <v/>
      </c>
      <c r="T133" s="4" t="str">
        <f>IFERROR(__xludf.DUMMYFUNCTION("""COMPUTED_VALUE"""),"")</f>
        <v/>
      </c>
      <c r="U133" s="4" t="str">
        <f>IFERROR(__xludf.DUMMYFUNCTION("""COMPUTED_VALUE"""),"")</f>
        <v/>
      </c>
      <c r="V133" s="4" t="str">
        <f>IFERROR(__xludf.DUMMYFUNCTION("""COMPUTED_VALUE"""),"")</f>
        <v/>
      </c>
      <c r="W133" s="4" t="str">
        <f>IFERROR(__xludf.DUMMYFUNCTION("""COMPUTED_VALUE"""),"")</f>
        <v/>
      </c>
      <c r="X133" s="4" t="str">
        <f>IFERROR(__xludf.DUMMYFUNCTION("""COMPUTED_VALUE"""),"")</f>
        <v/>
      </c>
      <c r="Y133" s="4" t="str">
        <f>IFERROR(__xludf.DUMMYFUNCTION("""COMPUTED_VALUE"""),"")</f>
        <v/>
      </c>
    </row>
    <row r="134">
      <c r="A134" s="4" t="str">
        <f>IFERROR(__xludf.DUMMYFUNCTION("""COMPUTED_VALUE"""),"2247 - Channel")</f>
        <v>2247 - Channel</v>
      </c>
      <c r="B134" s="4" t="str">
        <f>IFERROR(__xludf.DUMMYFUNCTION("""COMPUTED_VALUE"""),"Channel 1")</f>
        <v>Channel 1</v>
      </c>
      <c r="C134" s="4" t="str">
        <f>IFERROR(__xludf.DUMMYFUNCTION("""COMPUTED_VALUE"""),"Day 1 - 23/06")</f>
        <v>Day 1 - 23/06</v>
      </c>
      <c r="D134" s="6">
        <f>IFERROR(__xludf.DUMMYFUNCTION("""COMPUTED_VALUE"""),0.7043749999999996)</f>
        <v>0.704375</v>
      </c>
      <c r="E134" s="6">
        <f>IFERROR(__xludf.DUMMYFUNCTION("""COMPUTED_VALUE"""),2.314814814814815E-4)</f>
        <v>0.0002314814815</v>
      </c>
      <c r="F134" s="6">
        <f>IFERROR(__xludf.DUMMYFUNCTION("""COMPUTED_VALUE"""),0.7046064814814811)</f>
        <v>0.7046064815</v>
      </c>
      <c r="G134" s="4" t="str">
        <f>IFERROR(__xludf.DUMMYFUNCTION("""COMPUTED_VALUE"""),"")</f>
        <v/>
      </c>
      <c r="H134" s="4" t="str">
        <f>IFERROR(__xludf.DUMMYFUNCTION("""COMPUTED_VALUE"""),"")</f>
        <v/>
      </c>
      <c r="I134" s="4" t="str">
        <f>IFERROR(__xludf.DUMMYFUNCTION("""COMPUTED_VALUE"""),"")</f>
        <v/>
      </c>
      <c r="J134" s="4" t="str">
        <f>IFERROR(__xludf.DUMMYFUNCTION("""COMPUTED_VALUE"""),"")</f>
        <v/>
      </c>
      <c r="K134" s="4" t="str">
        <f>IFERROR(__xludf.DUMMYFUNCTION("""COMPUTED_VALUE"""),"Talk Outro")</f>
        <v>Talk Outro</v>
      </c>
      <c r="L134" s="4" t="str">
        <f>IFERROR(__xludf.DUMMYFUNCTION("""COMPUTED_VALUE"""),"")</f>
        <v/>
      </c>
      <c r="M134" s="4" t="str">
        <f>IFERROR(__xludf.DUMMYFUNCTION("""COMPUTED_VALUE"""),"Call to action")</f>
        <v>Call to action</v>
      </c>
      <c r="N134" s="4" t="str">
        <f>IFERROR(__xludf.DUMMYFUNCTION("""COMPUTED_VALUE"""),"Casey Lau, Web Summit")</f>
        <v>Casey Lau, Web Summit</v>
      </c>
      <c r="O134" s="4" t="str">
        <f>IFERROR(__xludf.DUMMYFUNCTION("""COMPUTED_VALUE"""),"")</f>
        <v/>
      </c>
      <c r="P134" s="4" t="str">
        <f>IFERROR(__xludf.DUMMYFUNCTION("""COMPUTED_VALUE"""),"")</f>
        <v/>
      </c>
      <c r="Q134" s="4" t="str">
        <f>IFERROR(__xludf.DUMMYFUNCTION("""COMPUTED_VALUE"""),"")</f>
        <v/>
      </c>
      <c r="R134" s="4" t="str">
        <f>IFERROR(__xludf.DUMMYFUNCTION("""COMPUTED_VALUE"""),"")</f>
        <v/>
      </c>
      <c r="S134" s="4" t="str">
        <f>IFERROR(__xludf.DUMMYFUNCTION("""COMPUTED_VALUE"""),"")</f>
        <v/>
      </c>
      <c r="T134" s="4" t="str">
        <f>IFERROR(__xludf.DUMMYFUNCTION("""COMPUTED_VALUE"""),"")</f>
        <v/>
      </c>
      <c r="U134" s="4" t="str">
        <f>IFERROR(__xludf.DUMMYFUNCTION("""COMPUTED_VALUE"""),"")</f>
        <v/>
      </c>
      <c r="V134" s="4" t="str">
        <f>IFERROR(__xludf.DUMMYFUNCTION("""COMPUTED_VALUE"""),"")</f>
        <v/>
      </c>
      <c r="W134" s="4" t="str">
        <f>IFERROR(__xludf.DUMMYFUNCTION("""COMPUTED_VALUE"""),"")</f>
        <v/>
      </c>
      <c r="X134" s="4" t="str">
        <f>IFERROR(__xludf.DUMMYFUNCTION("""COMPUTED_VALUE"""),"")</f>
        <v/>
      </c>
      <c r="Y134" s="4" t="str">
        <f>IFERROR(__xludf.DUMMYFUNCTION("""COMPUTED_VALUE"""),"")</f>
        <v/>
      </c>
    </row>
    <row r="135">
      <c r="A135" s="4" t="str">
        <f>IFERROR(__xludf.DUMMYFUNCTION("""COMPUTED_VALUE"""),"1388 - Channel")</f>
        <v>1388 - Channel</v>
      </c>
      <c r="B135" s="4" t="str">
        <f>IFERROR(__xludf.DUMMYFUNCTION("""COMPUTED_VALUE"""),"Channel 1")</f>
        <v>Channel 1</v>
      </c>
      <c r="C135" s="4" t="str">
        <f>IFERROR(__xludf.DUMMYFUNCTION("""COMPUTED_VALUE"""),"Day 1 - 23/06")</f>
        <v>Day 1 - 23/06</v>
      </c>
      <c r="D135" s="6">
        <f>IFERROR(__xludf.DUMMYFUNCTION("""COMPUTED_VALUE"""),0.7046064814814811)</f>
        <v>0.7046064815</v>
      </c>
      <c r="E135" s="6">
        <f>IFERROR(__xludf.DUMMYFUNCTION("""COMPUTED_VALUE"""),3.4722222222222224E-4)</f>
        <v>0.0003472222222</v>
      </c>
      <c r="F135" s="6">
        <f>IFERROR(__xludf.DUMMYFUNCTION("""COMPUTED_VALUE"""),0.7049537037037034)</f>
        <v>0.7049537037</v>
      </c>
      <c r="G135" s="4" t="str">
        <f>IFERROR(__xludf.DUMMYFUNCTION("""COMPUTED_VALUE"""),"")</f>
        <v/>
      </c>
      <c r="H135" s="4" t="str">
        <f>IFERROR(__xludf.DUMMYFUNCTION("""COMPUTED_VALUE"""),"")</f>
        <v/>
      </c>
      <c r="I135" s="4" t="str">
        <f>IFERROR(__xludf.DUMMYFUNCTION("""COMPUTED_VALUE"""),"")</f>
        <v/>
      </c>
      <c r="J135" s="4" t="str">
        <f>IFERROR(__xludf.DUMMYFUNCTION("""COMPUTED_VALUE"""),"")</f>
        <v/>
      </c>
      <c r="K135" s="4" t="str">
        <f>IFERROR(__xludf.DUMMYFUNCTION("""COMPUTED_VALUE"""),"Web Summit Trailer - short")</f>
        <v>Web Summit Trailer - short</v>
      </c>
      <c r="L135" s="4" t="str">
        <f>IFERROR(__xludf.DUMMYFUNCTION("""COMPUTED_VALUE"""),"")</f>
        <v/>
      </c>
      <c r="M135" s="4" t="str">
        <f>IFERROR(__xludf.DUMMYFUNCTION("""COMPUTED_VALUE"""),"Web Summit promo")</f>
        <v>Web Summit promo</v>
      </c>
      <c r="N135" s="4" t="str">
        <f>IFERROR(__xludf.DUMMYFUNCTION("""COMPUTED_VALUE"""),"Content pending")</f>
        <v>Content pending</v>
      </c>
      <c r="O135" s="4" t="str">
        <f>IFERROR(__xludf.DUMMYFUNCTION("""COMPUTED_VALUE"""),"")</f>
        <v/>
      </c>
      <c r="P135" s="4" t="str">
        <f>IFERROR(__xludf.DUMMYFUNCTION("""COMPUTED_VALUE"""),"")</f>
        <v/>
      </c>
      <c r="Q135" s="4" t="str">
        <f>IFERROR(__xludf.DUMMYFUNCTION("""COMPUTED_VALUE"""),"")</f>
        <v/>
      </c>
      <c r="R135" s="4" t="str">
        <f>IFERROR(__xludf.DUMMYFUNCTION("""COMPUTED_VALUE"""),"")</f>
        <v/>
      </c>
      <c r="S135" s="4" t="str">
        <f>IFERROR(__xludf.DUMMYFUNCTION("""COMPUTED_VALUE"""),"")</f>
        <v/>
      </c>
      <c r="T135" s="4" t="str">
        <f>IFERROR(__xludf.DUMMYFUNCTION("""COMPUTED_VALUE"""),"")</f>
        <v/>
      </c>
      <c r="U135" s="4" t="str">
        <f>IFERROR(__xludf.DUMMYFUNCTION("""COMPUTED_VALUE"""),"")</f>
        <v/>
      </c>
      <c r="V135" s="4" t="str">
        <f>IFERROR(__xludf.DUMMYFUNCTION("""COMPUTED_VALUE"""),"")</f>
        <v/>
      </c>
      <c r="W135" s="4" t="str">
        <f>IFERROR(__xludf.DUMMYFUNCTION("""COMPUTED_VALUE"""),"")</f>
        <v/>
      </c>
      <c r="X135" s="4" t="str">
        <f>IFERROR(__xludf.DUMMYFUNCTION("""COMPUTED_VALUE"""),"")</f>
        <v/>
      </c>
      <c r="Y135" s="4" t="str">
        <f>IFERROR(__xludf.DUMMYFUNCTION("""COMPUTED_VALUE"""),"")</f>
        <v/>
      </c>
    </row>
    <row r="136">
      <c r="A136" s="4" t="str">
        <f>IFERROR(__xludf.DUMMYFUNCTION("""COMPUTED_VALUE"""),"47 - Channel")</f>
        <v>47 - Channel</v>
      </c>
      <c r="B136" s="4" t="str">
        <f>IFERROR(__xludf.DUMMYFUNCTION("""COMPUTED_VALUE"""),"Channel 1")</f>
        <v>Channel 1</v>
      </c>
      <c r="C136" s="4" t="str">
        <f>IFERROR(__xludf.DUMMYFUNCTION("""COMPUTED_VALUE"""),"Day 1 - 23/06")</f>
        <v>Day 1 - 23/06</v>
      </c>
      <c r="D136" s="6">
        <f>IFERROR(__xludf.DUMMYFUNCTION("""COMPUTED_VALUE"""),0.7049537037037034)</f>
        <v>0.7049537037</v>
      </c>
      <c r="E136" s="6">
        <f>IFERROR(__xludf.DUMMYFUNCTION("""COMPUTED_VALUE"""),2.314814814814815E-4)</f>
        <v>0.0002314814815</v>
      </c>
      <c r="F136" s="6">
        <f>IFERROR(__xludf.DUMMYFUNCTION("""COMPUTED_VALUE"""),0.7051851851851848)</f>
        <v>0.7051851852</v>
      </c>
      <c r="G136" s="4" t="str">
        <f>IFERROR(__xludf.DUMMYFUNCTION("""COMPUTED_VALUE"""),"")</f>
        <v/>
      </c>
      <c r="H136" s="4" t="str">
        <f>IFERROR(__xludf.DUMMYFUNCTION("""COMPUTED_VALUE"""),"")</f>
        <v/>
      </c>
      <c r="I136" s="4" t="str">
        <f>IFERROR(__xludf.DUMMYFUNCTION("""COMPUTED_VALUE"""),"")</f>
        <v/>
      </c>
      <c r="J136" s="4" t="str">
        <f>IFERROR(__xludf.DUMMYFUNCTION("""COMPUTED_VALUE"""),"")</f>
        <v/>
      </c>
      <c r="K136" s="4" t="str">
        <f>IFERROR(__xludf.DUMMYFUNCTION("""COMPUTED_VALUE"""),"Talk Intro")</f>
        <v>Talk Intro</v>
      </c>
      <c r="L136" s="4" t="str">
        <f>IFERROR(__xludf.DUMMYFUNCTION("""COMPUTED_VALUE"""),"")</f>
        <v/>
      </c>
      <c r="M136" s="4" t="str">
        <f>IFERROR(__xludf.DUMMYFUNCTION("""COMPUTED_VALUE"""),"Talk intro ")</f>
        <v>Talk intro </v>
      </c>
      <c r="N136" s="4" t="str">
        <f>IFERROR(__xludf.DUMMYFUNCTION("""COMPUTED_VALUE"""),"Paddy Cosgrave, Web Summit")</f>
        <v>Paddy Cosgrave, Web Summit</v>
      </c>
      <c r="O136" s="4" t="str">
        <f>IFERROR(__xludf.DUMMYFUNCTION("""COMPUTED_VALUE"""),"Casey Lau, Web Summit")</f>
        <v>Casey Lau, Web Summit</v>
      </c>
      <c r="P136" s="4" t="str">
        <f>IFERROR(__xludf.DUMMYFUNCTION("""COMPUTED_VALUE"""),"")</f>
        <v/>
      </c>
      <c r="Q136" s="4" t="str">
        <f>IFERROR(__xludf.DUMMYFUNCTION("""COMPUTED_VALUE"""),"")</f>
        <v/>
      </c>
      <c r="R136" s="4" t="str">
        <f>IFERROR(__xludf.DUMMYFUNCTION("""COMPUTED_VALUE"""),"")</f>
        <v/>
      </c>
      <c r="S136" s="4" t="str">
        <f>IFERROR(__xludf.DUMMYFUNCTION("""COMPUTED_VALUE"""),"")</f>
        <v/>
      </c>
      <c r="T136" s="4" t="str">
        <f>IFERROR(__xludf.DUMMYFUNCTION("""COMPUTED_VALUE"""),"")</f>
        <v/>
      </c>
      <c r="U136" s="4" t="str">
        <f>IFERROR(__xludf.DUMMYFUNCTION("""COMPUTED_VALUE"""),"")</f>
        <v/>
      </c>
      <c r="V136" s="4" t="str">
        <f>IFERROR(__xludf.DUMMYFUNCTION("""COMPUTED_VALUE"""),"")</f>
        <v/>
      </c>
      <c r="W136" s="4" t="str">
        <f>IFERROR(__xludf.DUMMYFUNCTION("""COMPUTED_VALUE"""),"")</f>
        <v/>
      </c>
      <c r="X136" s="4" t="str">
        <f>IFERROR(__xludf.DUMMYFUNCTION("""COMPUTED_VALUE"""),"")</f>
        <v/>
      </c>
      <c r="Y136" s="4" t="str">
        <f>IFERROR(__xludf.DUMMYFUNCTION("""COMPUTED_VALUE"""),"")</f>
        <v/>
      </c>
    </row>
    <row r="137">
      <c r="A137" s="4" t="str">
        <f>IFERROR(__xludf.DUMMYFUNCTION("""COMPUTED_VALUE"""),"1275 - Channel")</f>
        <v>1275 - Channel</v>
      </c>
      <c r="B137" s="4" t="str">
        <f>IFERROR(__xludf.DUMMYFUNCTION("""COMPUTED_VALUE"""),"Channel 1")</f>
        <v>Channel 1</v>
      </c>
      <c r="C137" s="4" t="str">
        <f>IFERROR(__xludf.DUMMYFUNCTION("""COMPUTED_VALUE"""),"Day 1 - 23/06")</f>
        <v>Day 1 - 23/06</v>
      </c>
      <c r="D137" s="6">
        <f>IFERROR(__xludf.DUMMYFUNCTION("""COMPUTED_VALUE"""),0.7051851851851848)</f>
        <v>0.7051851852</v>
      </c>
      <c r="E137" s="53">
        <f>IFERROR(__xludf.DUMMYFUNCTION("""COMPUTED_VALUE"""),0.010416666666666666)</f>
        <v>0.01041666667</v>
      </c>
      <c r="F137" s="6">
        <f>IFERROR(__xludf.DUMMYFUNCTION("""COMPUTED_VALUE"""),0.7156018518518514)</f>
        <v>0.7156018519</v>
      </c>
      <c r="G137" s="4" t="str">
        <f>IFERROR(__xludf.DUMMYFUNCTION("""COMPUTED_VALUE"""),"Yvonne")</f>
        <v>Yvonne</v>
      </c>
      <c r="H137" s="4" t="str">
        <f>IFERROR(__xludf.DUMMYFUNCTION("""COMPUTED_VALUE"""),"Stephen")</f>
        <v>Stephen</v>
      </c>
      <c r="I137" s="4" t="str">
        <f>IFERROR(__xludf.DUMMYFUNCTION("""COMPUTED_VALUE"""),"Geoff")</f>
        <v>Geoff</v>
      </c>
      <c r="J137" s="4" t="str">
        <f>IFERROR(__xludf.DUMMYFUNCTION("""COMPUTED_VALUE"""),"Health")</f>
        <v>Health</v>
      </c>
      <c r="K137" s="4" t="str">
        <f>IFERROR(__xludf.DUMMYFUNCTION("""COMPUTED_VALUE"""),"Keynote")</f>
        <v>Keynote</v>
      </c>
      <c r="L137" s="4" t="str">
        <f>IFERROR(__xludf.DUMMYFUNCTION("""COMPUTED_VALUE"""),"T- 1 - 15/06/2020")</f>
        <v>T- 1 - 15/06/2020</v>
      </c>
      <c r="M137" s="4" t="str">
        <f>IFERROR(__xludf.DUMMYFUNCTION("""COMPUTED_VALUE"""),"A message  from the World Health Organization")</f>
        <v>A message  from the World Health Organization</v>
      </c>
      <c r="N137" s="4" t="str">
        <f>IFERROR(__xludf.DUMMYFUNCTION("""COMPUTED_VALUE"""),"Tedros Adhanom Ghebreyesus, World Health Organization")</f>
        <v>Tedros Adhanom Ghebreyesus, World Health Organization</v>
      </c>
      <c r="O137" s="4" t="str">
        <f>IFERROR(__xludf.DUMMYFUNCTION("""COMPUTED_VALUE"""),"")</f>
        <v/>
      </c>
      <c r="P137" s="4" t="str">
        <f>IFERROR(__xludf.DUMMYFUNCTION("""COMPUTED_VALUE"""),"")</f>
        <v/>
      </c>
      <c r="Q137" s="4" t="str">
        <f>IFERROR(__xludf.DUMMYFUNCTION("""COMPUTED_VALUE"""),"")</f>
        <v/>
      </c>
      <c r="R137" s="4" t="str">
        <f>IFERROR(__xludf.DUMMYFUNCTION("""COMPUTED_VALUE"""),"")</f>
        <v/>
      </c>
      <c r="S137" s="4" t="str">
        <f>IFERROR(__xludf.DUMMYFUNCTION("""COMPUTED_VALUE"""),"With an overarching view of the frontlines, the director general of the World Health Organisation updates us on Covid-19 and the fight against an unprecedented global pandemic.")</f>
        <v>With an overarching view of the frontlines, the director general of the World Health Organisation updates us on Covid-19 and the fight against an unprecedented global pandemic.</v>
      </c>
      <c r="T137" s="4" t="str">
        <f>IFERROR(__xludf.DUMMYFUNCTION("""COMPUTED_VALUE"""),"NON-KEYNOTE 6 - Send Zoom calendar invite")</f>
        <v>NON-KEYNOTE 6 - Send Zoom calendar invite</v>
      </c>
      <c r="U137" s="23">
        <f>IFERROR(__xludf.DUMMYFUNCTION("""COMPUTED_VALUE"""),44000.0)</f>
        <v>44000</v>
      </c>
      <c r="V137" s="4" t="str">
        <f>IFERROR(__xludf.DUMMYFUNCTION("""COMPUTED_VALUE"""),"TBC")</f>
        <v>TBC</v>
      </c>
      <c r="W137" s="4" t="str">
        <f>IFERROR(__xludf.DUMMYFUNCTION("""COMPUTED_VALUE"""),"TBC")</f>
        <v>TBC</v>
      </c>
      <c r="X137" s="4" t="str">
        <f>IFERROR(__xludf.DUMMYFUNCTION("""COMPUTED_VALUE"""),"Yvonne")</f>
        <v>Yvonne</v>
      </c>
      <c r="Y137" s="4" t="str">
        <f>IFERROR(__xludf.DUMMYFUNCTION("""COMPUTED_VALUE"""),"")</f>
        <v/>
      </c>
    </row>
    <row r="138">
      <c r="A138" s="4" t="str">
        <f>IFERROR(__xludf.DUMMYFUNCTION("""COMPUTED_VALUE"""),"131 - Channel")</f>
        <v>131 - Channel</v>
      </c>
      <c r="B138" s="4" t="str">
        <f>IFERROR(__xludf.DUMMYFUNCTION("""COMPUTED_VALUE"""),"Channel 1")</f>
        <v>Channel 1</v>
      </c>
      <c r="C138" s="4" t="str">
        <f>IFERROR(__xludf.DUMMYFUNCTION("""COMPUTED_VALUE"""),"Day 1 - 23/06")</f>
        <v>Day 1 - 23/06</v>
      </c>
      <c r="D138" s="6">
        <f>IFERROR(__xludf.DUMMYFUNCTION("""COMPUTED_VALUE"""),0.7156018518518514)</f>
        <v>0.7156018519</v>
      </c>
      <c r="E138" s="6">
        <f>IFERROR(__xludf.DUMMYFUNCTION("""COMPUTED_VALUE"""),6.944444444444445E-4)</f>
        <v>0.0006944444444</v>
      </c>
      <c r="F138" s="6">
        <f>IFERROR(__xludf.DUMMYFUNCTION("""COMPUTED_VALUE"""),0.7162962962962959)</f>
        <v>0.7162962963</v>
      </c>
      <c r="G138" s="4" t="str">
        <f>IFERROR(__xludf.DUMMYFUNCTION("""COMPUTED_VALUE"""),"")</f>
        <v/>
      </c>
      <c r="H138" s="4" t="str">
        <f>IFERROR(__xludf.DUMMYFUNCTION("""COMPUTED_VALUE"""),"")</f>
        <v/>
      </c>
      <c r="I138" s="4" t="str">
        <f>IFERROR(__xludf.DUMMYFUNCTION("""COMPUTED_VALUE"""),"")</f>
        <v/>
      </c>
      <c r="J138" s="4" t="str">
        <f>IFERROR(__xludf.DUMMYFUNCTION("""COMPUTED_VALUE"""),"")</f>
        <v/>
      </c>
      <c r="K138" s="4" t="str">
        <f>IFERROR(__xludf.DUMMYFUNCTION("""COMPUTED_VALUE"""),"Anchor piece")</f>
        <v>Anchor piece</v>
      </c>
      <c r="L138" s="4" t="str">
        <f>IFERROR(__xludf.DUMMYFUNCTION("""COMPUTED_VALUE"""),"")</f>
        <v/>
      </c>
      <c r="M138" s="4" t="str">
        <f>IFERROR(__xludf.DUMMYFUNCTION("""COMPUTED_VALUE"""),"Closing remarks_DAY 1")</f>
        <v>Closing remarks_DAY 1</v>
      </c>
      <c r="N138" s="4" t="str">
        <f>IFERROR(__xludf.DUMMYFUNCTION("""COMPUTED_VALUE"""),"Paddy Cosgrave, Web Summit")</f>
        <v>Paddy Cosgrave, Web Summit</v>
      </c>
      <c r="O138" s="4" t="str">
        <f>IFERROR(__xludf.DUMMYFUNCTION("""COMPUTED_VALUE"""),"")</f>
        <v/>
      </c>
      <c r="P138" s="4" t="str">
        <f>IFERROR(__xludf.DUMMYFUNCTION("""COMPUTED_VALUE"""),"")</f>
        <v/>
      </c>
      <c r="Q138" s="4" t="str">
        <f>IFERROR(__xludf.DUMMYFUNCTION("""COMPUTED_VALUE"""),"")</f>
        <v/>
      </c>
      <c r="R138" s="4" t="str">
        <f>IFERROR(__xludf.DUMMYFUNCTION("""COMPUTED_VALUE"""),"")</f>
        <v/>
      </c>
      <c r="S138" s="4" t="str">
        <f>IFERROR(__xludf.DUMMYFUNCTION("""COMPUTED_VALUE"""),"")</f>
        <v/>
      </c>
      <c r="T138" s="4" t="str">
        <f>IFERROR(__xludf.DUMMYFUNCTION("""COMPUTED_VALUE"""),"")</f>
        <v/>
      </c>
      <c r="U138" s="4" t="str">
        <f>IFERROR(__xludf.DUMMYFUNCTION("""COMPUTED_VALUE"""),"")</f>
        <v/>
      </c>
      <c r="V138" s="4" t="str">
        <f>IFERROR(__xludf.DUMMYFUNCTION("""COMPUTED_VALUE"""),"")</f>
        <v/>
      </c>
      <c r="W138" s="4" t="str">
        <f>IFERROR(__xludf.DUMMYFUNCTION("""COMPUTED_VALUE"""),"")</f>
        <v/>
      </c>
      <c r="X138" s="4" t="str">
        <f>IFERROR(__xludf.DUMMYFUNCTION("""COMPUTED_VALUE"""),"")</f>
        <v/>
      </c>
      <c r="Y138" s="4" t="str">
        <f>IFERROR(__xludf.DUMMYFUNCTION("""COMPUTED_VALUE"""),"")</f>
        <v/>
      </c>
    </row>
    <row r="139">
      <c r="A139" s="4" t="str">
        <f>IFERROR(__xludf.DUMMYFUNCTION("""COMPUTED_VALUE"""),"132 - Channel")</f>
        <v>132 - Channel</v>
      </c>
      <c r="B139" s="4" t="str">
        <f>IFERROR(__xludf.DUMMYFUNCTION("""COMPUTED_VALUE"""),"DAY 2 - Wednesday, 24 June")</f>
        <v>DAY 2 - Wednesday, 24 June</v>
      </c>
      <c r="C139" s="4" t="str">
        <f>IFERROR(__xludf.DUMMYFUNCTION("""COMPUTED_VALUE"""),"")</f>
        <v/>
      </c>
      <c r="D139" s="4" t="str">
        <f>IFERROR(__xludf.DUMMYFUNCTION("""COMPUTED_VALUE"""),"")</f>
        <v/>
      </c>
      <c r="E139" s="4" t="str">
        <f>IFERROR(__xludf.DUMMYFUNCTION("""COMPUTED_VALUE"""),"")</f>
        <v/>
      </c>
      <c r="F139" s="4" t="str">
        <f>IFERROR(__xludf.DUMMYFUNCTION("""COMPUTED_VALUE"""),"")</f>
        <v/>
      </c>
      <c r="G139" s="4" t="str">
        <f>IFERROR(__xludf.DUMMYFUNCTION("""COMPUTED_VALUE"""),"")</f>
        <v/>
      </c>
      <c r="H139" s="4" t="str">
        <f>IFERROR(__xludf.DUMMYFUNCTION("""COMPUTED_VALUE"""),"")</f>
        <v/>
      </c>
      <c r="I139" s="4" t="str">
        <f>IFERROR(__xludf.DUMMYFUNCTION("""COMPUTED_VALUE"""),"")</f>
        <v/>
      </c>
      <c r="J139" s="4" t="str">
        <f>IFERROR(__xludf.DUMMYFUNCTION("""COMPUTED_VALUE"""),"")</f>
        <v/>
      </c>
      <c r="K139" s="4" t="str">
        <f>IFERROR(__xludf.DUMMYFUNCTION("""COMPUTED_VALUE"""),"")</f>
        <v/>
      </c>
      <c r="L139" s="4" t="str">
        <f>IFERROR(__xludf.DUMMYFUNCTION("""COMPUTED_VALUE"""),"")</f>
        <v/>
      </c>
      <c r="M139" s="4" t="str">
        <f>IFERROR(__xludf.DUMMYFUNCTION("""COMPUTED_VALUE"""),"")</f>
        <v/>
      </c>
      <c r="N139" s="4" t="str">
        <f>IFERROR(__xludf.DUMMYFUNCTION("""COMPUTED_VALUE"""),"")</f>
        <v/>
      </c>
      <c r="O139" s="4" t="str">
        <f>IFERROR(__xludf.DUMMYFUNCTION("""COMPUTED_VALUE"""),"")</f>
        <v/>
      </c>
      <c r="P139" s="4" t="str">
        <f>IFERROR(__xludf.DUMMYFUNCTION("""COMPUTED_VALUE"""),"")</f>
        <v/>
      </c>
      <c r="Q139" s="4" t="str">
        <f>IFERROR(__xludf.DUMMYFUNCTION("""COMPUTED_VALUE"""),"")</f>
        <v/>
      </c>
      <c r="R139" s="4" t="str">
        <f>IFERROR(__xludf.DUMMYFUNCTION("""COMPUTED_VALUE"""),"")</f>
        <v/>
      </c>
      <c r="S139" s="4" t="str">
        <f>IFERROR(__xludf.DUMMYFUNCTION("""COMPUTED_VALUE"""),"")</f>
        <v/>
      </c>
      <c r="T139" s="4" t="str">
        <f>IFERROR(__xludf.DUMMYFUNCTION("""COMPUTED_VALUE"""),"")</f>
        <v/>
      </c>
      <c r="U139" s="4" t="str">
        <f>IFERROR(__xludf.DUMMYFUNCTION("""COMPUTED_VALUE"""),"")</f>
        <v/>
      </c>
      <c r="V139" s="4" t="str">
        <f>IFERROR(__xludf.DUMMYFUNCTION("""COMPUTED_VALUE"""),"")</f>
        <v/>
      </c>
      <c r="W139" s="4" t="str">
        <f>IFERROR(__xludf.DUMMYFUNCTION("""COMPUTED_VALUE"""),"")</f>
        <v/>
      </c>
      <c r="X139" s="4" t="str">
        <f>IFERROR(__xludf.DUMMYFUNCTION("""COMPUTED_VALUE"""),"")</f>
        <v/>
      </c>
      <c r="Y139" s="4" t="str">
        <f>IFERROR(__xludf.DUMMYFUNCTION("""COMPUTED_VALUE"""),"")</f>
        <v/>
      </c>
    </row>
    <row r="140">
      <c r="A140" s="4" t="str">
        <f>IFERROR(__xludf.DUMMYFUNCTION("""COMPUTED_VALUE"""),"133 - Channel")</f>
        <v>133 - Channel</v>
      </c>
      <c r="B140" s="4" t="str">
        <f>IFERROR(__xludf.DUMMYFUNCTION("""COMPUTED_VALUE"""),"Channel 1")</f>
        <v>Channel 1</v>
      </c>
      <c r="C140" s="4" t="str">
        <f>IFERROR(__xludf.DUMMYFUNCTION("""COMPUTED_VALUE"""),"Day 2 - 24/06")</f>
        <v>Day 2 - 24/06</v>
      </c>
      <c r="D140" s="4" t="str">
        <f>IFERROR(__xludf.DUMMYFUNCTION("""COMPUTED_VALUE"""),"")</f>
        <v/>
      </c>
      <c r="E140" s="4" t="str">
        <f>IFERROR(__xludf.DUMMYFUNCTION("""COMPUTED_VALUE"""),"")</f>
        <v/>
      </c>
      <c r="F140" s="4" t="str">
        <f>IFERROR(__xludf.DUMMYFUNCTION("""COMPUTED_VALUE"""),"")</f>
        <v/>
      </c>
      <c r="G140" s="4" t="str">
        <f>IFERROR(__xludf.DUMMYFUNCTION("""COMPUTED_VALUE"""),"")</f>
        <v/>
      </c>
      <c r="H140" s="4" t="str">
        <f>IFERROR(__xludf.DUMMYFUNCTION("""COMPUTED_VALUE"""),"")</f>
        <v/>
      </c>
      <c r="I140" s="4" t="str">
        <f>IFERROR(__xludf.DUMMYFUNCTION("""COMPUTED_VALUE"""),"")</f>
        <v/>
      </c>
      <c r="J140" s="4" t="str">
        <f>IFERROR(__xludf.DUMMYFUNCTION("""COMPUTED_VALUE"""),"")</f>
        <v/>
      </c>
      <c r="K140" s="4" t="str">
        <f>IFERROR(__xludf.DUMMYFUNCTION("""COMPUTED_VALUE"""),"")</f>
        <v/>
      </c>
      <c r="L140" s="4" t="str">
        <f>IFERROR(__xludf.DUMMYFUNCTION("""COMPUTED_VALUE"""),"")</f>
        <v/>
      </c>
      <c r="M140" s="4" t="str">
        <f>IFERROR(__xludf.DUMMYFUNCTION("""COMPUTED_VALUE"""),"")</f>
        <v/>
      </c>
      <c r="N140" s="4" t="str">
        <f>IFERROR(__xludf.DUMMYFUNCTION("""COMPUTED_VALUE"""),"")</f>
        <v/>
      </c>
      <c r="O140" s="4" t="str">
        <f>IFERROR(__xludf.DUMMYFUNCTION("""COMPUTED_VALUE"""),"")</f>
        <v/>
      </c>
      <c r="P140" s="4" t="str">
        <f>IFERROR(__xludf.DUMMYFUNCTION("""COMPUTED_VALUE"""),"")</f>
        <v/>
      </c>
      <c r="Q140" s="4" t="str">
        <f>IFERROR(__xludf.DUMMYFUNCTION("""COMPUTED_VALUE"""),"")</f>
        <v/>
      </c>
      <c r="R140" s="4" t="str">
        <f>IFERROR(__xludf.DUMMYFUNCTION("""COMPUTED_VALUE"""),"")</f>
        <v/>
      </c>
      <c r="S140" s="4" t="str">
        <f>IFERROR(__xludf.DUMMYFUNCTION("""COMPUTED_VALUE"""),"")</f>
        <v/>
      </c>
      <c r="T140" s="4" t="str">
        <f>IFERROR(__xludf.DUMMYFUNCTION("""COMPUTED_VALUE"""),"NON-KEYNOTE 5 - Intro the moderator to panelists")</f>
        <v>NON-KEYNOTE 5 - Intro the moderator to panelists</v>
      </c>
      <c r="U140" s="4" t="str">
        <f>IFERROR(__xludf.DUMMYFUNCTION("""COMPUTED_VALUE"""),"")</f>
        <v/>
      </c>
      <c r="V140" s="4" t="str">
        <f>IFERROR(__xludf.DUMMYFUNCTION("""COMPUTED_VALUE"""),"")</f>
        <v/>
      </c>
      <c r="W140" s="4" t="str">
        <f>IFERROR(__xludf.DUMMYFUNCTION("""COMPUTED_VALUE"""),"")</f>
        <v/>
      </c>
      <c r="X140" s="4" t="str">
        <f>IFERROR(__xludf.DUMMYFUNCTION("""COMPUTED_VALUE"""),"")</f>
        <v/>
      </c>
      <c r="Y140" s="4" t="str">
        <f>IFERROR(__xludf.DUMMYFUNCTION("""COMPUTED_VALUE"""),"")</f>
        <v/>
      </c>
    </row>
    <row r="141">
      <c r="A141" s="4" t="str">
        <f>IFERROR(__xludf.DUMMYFUNCTION("""COMPUTED_VALUE"""),"134 - Channel")</f>
        <v>134 - Channel</v>
      </c>
      <c r="B141" s="4" t="str">
        <f>IFERROR(__xludf.DUMMYFUNCTION("""COMPUTED_VALUE"""),"Channel 1")</f>
        <v>Channel 1</v>
      </c>
      <c r="C141" s="4" t="str">
        <f>IFERROR(__xludf.DUMMYFUNCTION("""COMPUTED_VALUE"""),"Day 2 - 24/06")</f>
        <v>Day 2 - 24/06</v>
      </c>
      <c r="D141" s="6">
        <f>IFERROR(__xludf.DUMMYFUNCTION("""COMPUTED_VALUE"""),0.4166666666666667)</f>
        <v>0.4166666667</v>
      </c>
      <c r="E141" s="6">
        <f>IFERROR(__xludf.DUMMYFUNCTION("""COMPUTED_VALUE"""),0.0010416666666666667)</f>
        <v>0.001041666667</v>
      </c>
      <c r="F141" s="6">
        <f>IFERROR(__xludf.DUMMYFUNCTION("""COMPUTED_VALUE"""),0.41770833333333335)</f>
        <v>0.4177083333</v>
      </c>
      <c r="G141" s="4" t="str">
        <f>IFERROR(__xludf.DUMMYFUNCTION("""COMPUTED_VALUE"""),"Video")</f>
        <v>Video</v>
      </c>
      <c r="H141" s="4" t="str">
        <f>IFERROR(__xludf.DUMMYFUNCTION("""COMPUTED_VALUE"""),"")</f>
        <v/>
      </c>
      <c r="I141" s="4" t="str">
        <f>IFERROR(__xludf.DUMMYFUNCTION("""COMPUTED_VALUE"""),"")</f>
        <v/>
      </c>
      <c r="J141" s="4" t="str">
        <f>IFERROR(__xludf.DUMMYFUNCTION("""COMPUTED_VALUE"""),"")</f>
        <v/>
      </c>
      <c r="K141" s="4" t="str">
        <f>IFERROR(__xludf.DUMMYFUNCTION("""COMPUTED_VALUE"""),"Collision From Home Day Intro")</f>
        <v>Collision From Home Day Intro</v>
      </c>
      <c r="L141" s="4" t="str">
        <f>IFERROR(__xludf.DUMMYFUNCTION("""COMPUTED_VALUE"""),"")</f>
        <v/>
      </c>
      <c r="M141" s="4" t="str">
        <f>IFERROR(__xludf.DUMMYFUNCTION("""COMPUTED_VALUE"""),"CFH Intro Video ")</f>
        <v>CFH Intro Video </v>
      </c>
      <c r="N141" s="4" t="str">
        <f>IFERROR(__xludf.DUMMYFUNCTION("""COMPUTED_VALUE"""),"Content pending")</f>
        <v>Content pending</v>
      </c>
      <c r="O141" s="4" t="str">
        <f>IFERROR(__xludf.DUMMYFUNCTION("""COMPUTED_VALUE"""),"")</f>
        <v/>
      </c>
      <c r="P141" s="4" t="str">
        <f>IFERROR(__xludf.DUMMYFUNCTION("""COMPUTED_VALUE"""),"")</f>
        <v/>
      </c>
      <c r="Q141" s="4" t="str">
        <f>IFERROR(__xludf.DUMMYFUNCTION("""COMPUTED_VALUE"""),"")</f>
        <v/>
      </c>
      <c r="R141" s="4" t="str">
        <f>IFERROR(__xludf.DUMMYFUNCTION("""COMPUTED_VALUE"""),"")</f>
        <v/>
      </c>
      <c r="S141" s="4" t="str">
        <f>IFERROR(__xludf.DUMMYFUNCTION("""COMPUTED_VALUE"""),"")</f>
        <v/>
      </c>
      <c r="T141" s="4" t="str">
        <f>IFERROR(__xludf.DUMMYFUNCTION("""COMPUTED_VALUE"""),"")</f>
        <v/>
      </c>
      <c r="U141" s="4" t="str">
        <f>IFERROR(__xludf.DUMMYFUNCTION("""COMPUTED_VALUE"""),"")</f>
        <v/>
      </c>
      <c r="V141" s="4" t="str">
        <f>IFERROR(__xludf.DUMMYFUNCTION("""COMPUTED_VALUE"""),"")</f>
        <v/>
      </c>
      <c r="W141" s="4" t="str">
        <f>IFERROR(__xludf.DUMMYFUNCTION("""COMPUTED_VALUE"""),"")</f>
        <v/>
      </c>
      <c r="X141" s="4" t="str">
        <f>IFERROR(__xludf.DUMMYFUNCTION("""COMPUTED_VALUE"""),"")</f>
        <v/>
      </c>
      <c r="Y141" s="4" t="str">
        <f>IFERROR(__xludf.DUMMYFUNCTION("""COMPUTED_VALUE"""),"")</f>
        <v/>
      </c>
    </row>
    <row r="142">
      <c r="A142" s="4" t="str">
        <f>IFERROR(__xludf.DUMMYFUNCTION("""COMPUTED_VALUE"""),"135 - Channel")</f>
        <v>135 - Channel</v>
      </c>
      <c r="B142" s="4" t="str">
        <f>IFERROR(__xludf.DUMMYFUNCTION("""COMPUTED_VALUE"""),"Channel 1")</f>
        <v>Channel 1</v>
      </c>
      <c r="C142" s="4" t="str">
        <f>IFERROR(__xludf.DUMMYFUNCTION("""COMPUTED_VALUE"""),"Day 2 - 24/06")</f>
        <v>Day 2 - 24/06</v>
      </c>
      <c r="D142" s="6">
        <f>IFERROR(__xludf.DUMMYFUNCTION("""COMPUTED_VALUE"""),0.41770833333333335)</f>
        <v>0.4177083333</v>
      </c>
      <c r="E142" s="6">
        <f>IFERROR(__xludf.DUMMYFUNCTION("""COMPUTED_VALUE"""),6.944444444444445E-4)</f>
        <v>0.0006944444444</v>
      </c>
      <c r="F142" s="6">
        <f>IFERROR(__xludf.DUMMYFUNCTION("""COMPUTED_VALUE"""),0.4184027777777778)</f>
        <v>0.4184027778</v>
      </c>
      <c r="G142" s="4" t="str">
        <f>IFERROR(__xludf.DUMMYFUNCTION("""COMPUTED_VALUE"""),"")</f>
        <v/>
      </c>
      <c r="H142" s="4" t="str">
        <f>IFERROR(__xludf.DUMMYFUNCTION("""COMPUTED_VALUE"""),"")</f>
        <v/>
      </c>
      <c r="I142" s="4" t="str">
        <f>IFERROR(__xludf.DUMMYFUNCTION("""COMPUTED_VALUE"""),"")</f>
        <v/>
      </c>
      <c r="J142" s="4" t="str">
        <f>IFERROR(__xludf.DUMMYFUNCTION("""COMPUTED_VALUE"""),"")</f>
        <v/>
      </c>
      <c r="K142" s="4" t="str">
        <f>IFERROR(__xludf.DUMMYFUNCTION("""COMPUTED_VALUE"""),"Laundry List/Lookaround")</f>
        <v>Laundry List/Lookaround</v>
      </c>
      <c r="L142" s="4" t="str">
        <f>IFERROR(__xludf.DUMMYFUNCTION("""COMPUTED_VALUE"""),"")</f>
        <v/>
      </c>
      <c r="M142" s="4" t="str">
        <f>IFERROR(__xludf.DUMMYFUNCTION("""COMPUTED_VALUE"""),"Laundry Day2_10AM")</f>
        <v>Laundry Day2_10AM</v>
      </c>
      <c r="N142" s="4" t="str">
        <f>IFERROR(__xludf.DUMMYFUNCTION("""COMPUTED_VALUE"""),"Yvonne Redmond, Web Summit")</f>
        <v>Yvonne Redmond, Web Summit</v>
      </c>
      <c r="O142" s="4" t="str">
        <f>IFERROR(__xludf.DUMMYFUNCTION("""COMPUTED_VALUE"""),"")</f>
        <v/>
      </c>
      <c r="P142" s="4" t="str">
        <f>IFERROR(__xludf.DUMMYFUNCTION("""COMPUTED_VALUE"""),"")</f>
        <v/>
      </c>
      <c r="Q142" s="4" t="str">
        <f>IFERROR(__xludf.DUMMYFUNCTION("""COMPUTED_VALUE"""),"")</f>
        <v/>
      </c>
      <c r="R142" s="4" t="str">
        <f>IFERROR(__xludf.DUMMYFUNCTION("""COMPUTED_VALUE"""),"")</f>
        <v/>
      </c>
      <c r="S142" s="4" t="str">
        <f>IFERROR(__xludf.DUMMYFUNCTION("""COMPUTED_VALUE"""),"")</f>
        <v/>
      </c>
      <c r="T142" s="4" t="str">
        <f>IFERROR(__xludf.DUMMYFUNCTION("""COMPUTED_VALUE"""),"")</f>
        <v/>
      </c>
      <c r="U142" s="4" t="str">
        <f>IFERROR(__xludf.DUMMYFUNCTION("""COMPUTED_VALUE"""),"")</f>
        <v/>
      </c>
      <c r="V142" s="4" t="str">
        <f>IFERROR(__xludf.DUMMYFUNCTION("""COMPUTED_VALUE"""),"")</f>
        <v/>
      </c>
      <c r="W142" s="4" t="str">
        <f>IFERROR(__xludf.DUMMYFUNCTION("""COMPUTED_VALUE"""),"")</f>
        <v/>
      </c>
      <c r="X142" s="4" t="str">
        <f>IFERROR(__xludf.DUMMYFUNCTION("""COMPUTED_VALUE"""),"")</f>
        <v/>
      </c>
      <c r="Y142" s="4" t="str">
        <f>IFERROR(__xludf.DUMMYFUNCTION("""COMPUTED_VALUE"""),"")</f>
        <v/>
      </c>
    </row>
    <row r="143">
      <c r="A143" s="4" t="str">
        <f>IFERROR(__xludf.DUMMYFUNCTION("""COMPUTED_VALUE"""),"1811 - Channel")</f>
        <v>1811 - Channel</v>
      </c>
      <c r="B143" s="4" t="str">
        <f>IFERROR(__xludf.DUMMYFUNCTION("""COMPUTED_VALUE"""),"Channel 1")</f>
        <v>Channel 1</v>
      </c>
      <c r="C143" s="4" t="str">
        <f>IFERROR(__xludf.DUMMYFUNCTION("""COMPUTED_VALUE"""),"Day 2 - 24/06")</f>
        <v>Day 2 - 24/06</v>
      </c>
      <c r="D143" s="6">
        <f>IFERROR(__xludf.DUMMYFUNCTION("""COMPUTED_VALUE"""),0.4184027777777778)</f>
        <v>0.4184027778</v>
      </c>
      <c r="E143" s="6">
        <f>IFERROR(__xludf.DUMMYFUNCTION("""COMPUTED_VALUE"""),3.4722222222222224E-4)</f>
        <v>0.0003472222222</v>
      </c>
      <c r="F143" s="6">
        <f>IFERROR(__xludf.DUMMYFUNCTION("""COMPUTED_VALUE"""),0.41875)</f>
        <v>0.41875</v>
      </c>
      <c r="G143" s="4" t="str">
        <f>IFERROR(__xludf.DUMMYFUNCTION("""COMPUTED_VALUE"""),"")</f>
        <v/>
      </c>
      <c r="H143" s="4" t="str">
        <f>IFERROR(__xludf.DUMMYFUNCTION("""COMPUTED_VALUE"""),"")</f>
        <v/>
      </c>
      <c r="I143" s="4" t="str">
        <f>IFERROR(__xludf.DUMMYFUNCTION("""COMPUTED_VALUE"""),"")</f>
        <v/>
      </c>
      <c r="J143" s="4" t="str">
        <f>IFERROR(__xludf.DUMMYFUNCTION("""COMPUTED_VALUE"""),"")</f>
        <v/>
      </c>
      <c r="K143" s="4" t="str">
        <f>IFERROR(__xludf.DUMMYFUNCTION("""COMPUTED_VALUE"""),"Web Summit Trailer - full")</f>
        <v>Web Summit Trailer - full</v>
      </c>
      <c r="L143" s="4" t="str">
        <f>IFERROR(__xludf.DUMMYFUNCTION("""COMPUTED_VALUE"""),"")</f>
        <v/>
      </c>
      <c r="M143" s="4" t="str">
        <f>IFERROR(__xludf.DUMMYFUNCTION("""COMPUTED_VALUE"""),"Web Summit promo")</f>
        <v>Web Summit promo</v>
      </c>
      <c r="N143" s="4" t="str">
        <f>IFERROR(__xludf.DUMMYFUNCTION("""COMPUTED_VALUE"""),"Content pending")</f>
        <v>Content pending</v>
      </c>
      <c r="O143" s="4" t="str">
        <f>IFERROR(__xludf.DUMMYFUNCTION("""COMPUTED_VALUE"""),"")</f>
        <v/>
      </c>
      <c r="P143" s="4" t="str">
        <f>IFERROR(__xludf.DUMMYFUNCTION("""COMPUTED_VALUE"""),"")</f>
        <v/>
      </c>
      <c r="Q143" s="4" t="str">
        <f>IFERROR(__xludf.DUMMYFUNCTION("""COMPUTED_VALUE"""),"")</f>
        <v/>
      </c>
      <c r="R143" s="4" t="str">
        <f>IFERROR(__xludf.DUMMYFUNCTION("""COMPUTED_VALUE"""),"")</f>
        <v/>
      </c>
      <c r="S143" s="4" t="str">
        <f>IFERROR(__xludf.DUMMYFUNCTION("""COMPUTED_VALUE"""),"")</f>
        <v/>
      </c>
      <c r="T143" s="4" t="str">
        <f>IFERROR(__xludf.DUMMYFUNCTION("""COMPUTED_VALUE"""),"")</f>
        <v/>
      </c>
      <c r="U143" s="4" t="str">
        <f>IFERROR(__xludf.DUMMYFUNCTION("""COMPUTED_VALUE"""),"")</f>
        <v/>
      </c>
      <c r="V143" s="4" t="str">
        <f>IFERROR(__xludf.DUMMYFUNCTION("""COMPUTED_VALUE"""),"")</f>
        <v/>
      </c>
      <c r="W143" s="4" t="str">
        <f>IFERROR(__xludf.DUMMYFUNCTION("""COMPUTED_VALUE"""),"")</f>
        <v/>
      </c>
      <c r="X143" s="4" t="str">
        <f>IFERROR(__xludf.DUMMYFUNCTION("""COMPUTED_VALUE"""),"")</f>
        <v/>
      </c>
      <c r="Y143" s="4" t="str">
        <f>IFERROR(__xludf.DUMMYFUNCTION("""COMPUTED_VALUE"""),"")</f>
        <v/>
      </c>
    </row>
    <row r="144">
      <c r="A144" s="4" t="str">
        <f>IFERROR(__xludf.DUMMYFUNCTION("""COMPUTED_VALUE"""),"2295 - Channel")</f>
        <v>2295 - Channel</v>
      </c>
      <c r="B144" s="4" t="str">
        <f>IFERROR(__xludf.DUMMYFUNCTION("""COMPUTED_VALUE"""),"Channel 1")</f>
        <v>Channel 1</v>
      </c>
      <c r="C144" s="4" t="str">
        <f>IFERROR(__xludf.DUMMYFUNCTION("""COMPUTED_VALUE"""),"Day 2 - 24/06")</f>
        <v>Day 2 - 24/06</v>
      </c>
      <c r="D144" s="6">
        <f>IFERROR(__xludf.DUMMYFUNCTION("""COMPUTED_VALUE"""),0.41875)</f>
        <v>0.41875</v>
      </c>
      <c r="E144" s="6">
        <f>IFERROR(__xludf.DUMMYFUNCTION("""COMPUTED_VALUE"""),2.314814814814815E-4)</f>
        <v>0.0002314814815</v>
      </c>
      <c r="F144" s="6">
        <f>IFERROR(__xludf.DUMMYFUNCTION("""COMPUTED_VALUE"""),0.4189814814814815)</f>
        <v>0.4189814815</v>
      </c>
      <c r="G144" s="4" t="str">
        <f>IFERROR(__xludf.DUMMYFUNCTION("""COMPUTED_VALUE"""),"")</f>
        <v/>
      </c>
      <c r="H144" s="4" t="str">
        <f>IFERROR(__xludf.DUMMYFUNCTION("""COMPUTED_VALUE"""),"")</f>
        <v/>
      </c>
      <c r="I144" s="4" t="str">
        <f>IFERROR(__xludf.DUMMYFUNCTION("""COMPUTED_VALUE"""),"")</f>
        <v/>
      </c>
      <c r="J144" s="4" t="str">
        <f>IFERROR(__xludf.DUMMYFUNCTION("""COMPUTED_VALUE"""),"")</f>
        <v/>
      </c>
      <c r="K144" s="4" t="str">
        <f>IFERROR(__xludf.DUMMYFUNCTION("""COMPUTED_VALUE"""),"Talk Intro")</f>
        <v>Talk Intro</v>
      </c>
      <c r="L144" s="4" t="str">
        <f>IFERROR(__xludf.DUMMYFUNCTION("""COMPUTED_VALUE"""),"")</f>
        <v/>
      </c>
      <c r="M144" s="4" t="str">
        <f>IFERROR(__xludf.DUMMYFUNCTION("""COMPUTED_VALUE"""),"Talk intro ")</f>
        <v>Talk intro </v>
      </c>
      <c r="N144" s="4" t="str">
        <f>IFERROR(__xludf.DUMMYFUNCTION("""COMPUTED_VALUE"""),"Paddy Cosgrave, Web Summit")</f>
        <v>Paddy Cosgrave, Web Summit</v>
      </c>
      <c r="O144" s="4" t="str">
        <f>IFERROR(__xludf.DUMMYFUNCTION("""COMPUTED_VALUE"""),"Yvonne Redmond, Web Summit")</f>
        <v>Yvonne Redmond, Web Summit</v>
      </c>
      <c r="P144" s="4" t="str">
        <f>IFERROR(__xludf.DUMMYFUNCTION("""COMPUTED_VALUE"""),"")</f>
        <v/>
      </c>
      <c r="Q144" s="4" t="str">
        <f>IFERROR(__xludf.DUMMYFUNCTION("""COMPUTED_VALUE"""),"")</f>
        <v/>
      </c>
      <c r="R144" s="4" t="str">
        <f>IFERROR(__xludf.DUMMYFUNCTION("""COMPUTED_VALUE"""),"")</f>
        <v/>
      </c>
      <c r="S144" s="4" t="str">
        <f>IFERROR(__xludf.DUMMYFUNCTION("""COMPUTED_VALUE"""),"")</f>
        <v/>
      </c>
      <c r="T144" s="4" t="str">
        <f>IFERROR(__xludf.DUMMYFUNCTION("""COMPUTED_VALUE"""),"")</f>
        <v/>
      </c>
      <c r="U144" s="4" t="str">
        <f>IFERROR(__xludf.DUMMYFUNCTION("""COMPUTED_VALUE"""),"")</f>
        <v/>
      </c>
      <c r="V144" s="4" t="str">
        <f>IFERROR(__xludf.DUMMYFUNCTION("""COMPUTED_VALUE"""),"")</f>
        <v/>
      </c>
      <c r="W144" s="4" t="str">
        <f>IFERROR(__xludf.DUMMYFUNCTION("""COMPUTED_VALUE"""),"")</f>
        <v/>
      </c>
      <c r="X144" s="4" t="str">
        <f>IFERROR(__xludf.DUMMYFUNCTION("""COMPUTED_VALUE"""),"")</f>
        <v/>
      </c>
      <c r="Y144" s="4" t="str">
        <f>IFERROR(__xludf.DUMMYFUNCTION("""COMPUTED_VALUE"""),"")</f>
        <v/>
      </c>
    </row>
    <row r="145">
      <c r="A145" s="4" t="str">
        <f>IFERROR(__xludf.DUMMYFUNCTION("""COMPUTED_VALUE"""),"2283 - Channel")</f>
        <v>2283 - Channel</v>
      </c>
      <c r="B145" s="4" t="str">
        <f>IFERROR(__xludf.DUMMYFUNCTION("""COMPUTED_VALUE"""),"Channel 1")</f>
        <v>Channel 1</v>
      </c>
      <c r="C145" s="4" t="str">
        <f>IFERROR(__xludf.DUMMYFUNCTION("""COMPUTED_VALUE"""),"Day 2 - 24/06")</f>
        <v>Day 2 - 24/06</v>
      </c>
      <c r="D145" s="6">
        <f>IFERROR(__xludf.DUMMYFUNCTION("""COMPUTED_VALUE"""),0.4189814814814815)</f>
        <v>0.4189814815</v>
      </c>
      <c r="E145" s="6">
        <f>IFERROR(__xludf.DUMMYFUNCTION("""COMPUTED_VALUE"""),0.011111111111111112)</f>
        <v>0.01111111111</v>
      </c>
      <c r="F145" s="6">
        <f>IFERROR(__xludf.DUMMYFUNCTION("""COMPUTED_VALUE"""),0.43009259259259264)</f>
        <v>0.4300925926</v>
      </c>
      <c r="G145" s="4" t="str">
        <f>IFERROR(__xludf.DUMMYFUNCTION("""COMPUTED_VALUE"""),"Luan")</f>
        <v>Luan</v>
      </c>
      <c r="H145" s="4" t="str">
        <f>IFERROR(__xludf.DUMMYFUNCTION("""COMPUTED_VALUE"""),"Stephen")</f>
        <v>Stephen</v>
      </c>
      <c r="I145" s="4" t="str">
        <f>IFERROR(__xludf.DUMMYFUNCTION("""COMPUTED_VALUE"""),"Francisca")</f>
        <v>Francisca</v>
      </c>
      <c r="J145" s="4" t="str">
        <f>IFERROR(__xludf.DUMMYFUNCTION("""COMPUTED_VALUE"""),"")</f>
        <v/>
      </c>
      <c r="K145" s="4" t="str">
        <f>IFERROR(__xludf.DUMMYFUNCTION("""COMPUTED_VALUE"""),"Fireside")</f>
        <v>Fireside</v>
      </c>
      <c r="L145" s="4" t="str">
        <f>IFERROR(__xludf.DUMMYFUNCTION("""COMPUTED_VALUE"""),"T- 2 - 08/06/2020")</f>
        <v>T- 2 - 08/06/2020</v>
      </c>
      <c r="M145" s="4" t="str">
        <f>IFERROR(__xludf.DUMMYFUNCTION("""COMPUTED_VALUE"""),"Covid-19: Accelerating the future of healthcare")</f>
        <v>Covid-19: Accelerating the future of healthcare</v>
      </c>
      <c r="N145" s="4" t="str">
        <f>IFERROR(__xludf.DUMMYFUNCTION("""COMPUTED_VALUE"""),"Vas Narasimhan, Novartis")</f>
        <v>Vas Narasimhan, Novartis</v>
      </c>
      <c r="O145" s="4" t="str">
        <f>IFERROR(__xludf.DUMMYFUNCTION("""COMPUTED_VALUE"""),"")</f>
        <v/>
      </c>
      <c r="P145" s="4" t="str">
        <f>IFERROR(__xludf.DUMMYFUNCTION("""COMPUTED_VALUE"""),"")</f>
        <v/>
      </c>
      <c r="Q145" s="4" t="str">
        <f>IFERROR(__xludf.DUMMYFUNCTION("""COMPUTED_VALUE"""),"")</f>
        <v/>
      </c>
      <c r="R145" s="4" t="str">
        <f>IFERROR(__xludf.DUMMYFUNCTION("""COMPUTED_VALUE"""),"Andy Serwer, Yahoo Finance")</f>
        <v>Andy Serwer, Yahoo Finance</v>
      </c>
      <c r="S145" s="4" t="str">
        <f>IFERROR(__xludf.DUMMYFUNCTION("""COMPUTED_VALUE"""),"A global pandemic and a digital revolution are combining to transform an antiquated health system through data, tele medicine and the race to create a Covid-19 vaccine. There's plenty to talk to the CEO of one of the biggest pharma companies in the world "&amp;"about...")</f>
        <v>A global pandemic and a digital revolution are combining to transform an antiquated health system through data, tele medicine and the race to create a Covid-19 vaccine. There's plenty to talk to the CEO of one of the biggest pharma companies in the world about...</v>
      </c>
      <c r="T145" s="54" t="str">
        <f>IFERROR(__xludf.DUMMYFUNCTION("""COMPUTED_VALUE"""),"NON-KEYNOTE 7 - Video to be recorded")</f>
        <v>NON-KEYNOTE 7 - Video to be recorded</v>
      </c>
      <c r="U145" s="23">
        <f>IFERROR(__xludf.DUMMYFUNCTION("""COMPUTED_VALUE"""),43990.0)</f>
        <v>43990</v>
      </c>
      <c r="V145" s="24">
        <f>IFERROR(__xludf.DUMMYFUNCTION("""COMPUTED_VALUE"""),0.6666666666666666)</f>
        <v>0.6666666667</v>
      </c>
      <c r="W145" s="21" t="str">
        <f>IFERROR(__xludf.DUMMYFUNCTION("""COMPUTED_VALUE"""),"https://zoom.us/j/95797606915?pwd=ZkwyVEl5b0RvTWZvUVhMMjcvb1VVQT09")</f>
        <v>https://zoom.us/j/95797606915?pwd=ZkwyVEl5b0RvTWZvUVhMMjcvb1VVQT09</v>
      </c>
      <c r="X145" s="4" t="str">
        <f>IFERROR(__xludf.DUMMYFUNCTION("""COMPUTED_VALUE"""),"Naomi")</f>
        <v>Naomi</v>
      </c>
      <c r="Y145" s="4" t="str">
        <f>IFERROR(__xludf.DUMMYFUNCTION("""COMPUTED_VALUE"""),"")</f>
        <v/>
      </c>
    </row>
    <row r="146">
      <c r="A146" s="4" t="str">
        <f>IFERROR(__xludf.DUMMYFUNCTION("""COMPUTED_VALUE"""),"139 - Channel")</f>
        <v>139 - Channel</v>
      </c>
      <c r="B146" s="4" t="str">
        <f>IFERROR(__xludf.DUMMYFUNCTION("""COMPUTED_VALUE"""),"Channel 1")</f>
        <v>Channel 1</v>
      </c>
      <c r="C146" s="4" t="str">
        <f>IFERROR(__xludf.DUMMYFUNCTION("""COMPUTED_VALUE"""),"Day 2 - 24/06")</f>
        <v>Day 2 - 24/06</v>
      </c>
      <c r="D146" s="6">
        <f>IFERROR(__xludf.DUMMYFUNCTION("""COMPUTED_VALUE"""),0.43009259259259264)</f>
        <v>0.4300925926</v>
      </c>
      <c r="E146" s="6">
        <f>IFERROR(__xludf.DUMMYFUNCTION("""COMPUTED_VALUE"""),2.314814814814815E-4)</f>
        <v>0.0002314814815</v>
      </c>
      <c r="F146" s="6">
        <f>IFERROR(__xludf.DUMMYFUNCTION("""COMPUTED_VALUE"""),0.43032407407407414)</f>
        <v>0.4303240741</v>
      </c>
      <c r="G146" s="4" t="str">
        <f>IFERROR(__xludf.DUMMYFUNCTION("""COMPUTED_VALUE"""),"")</f>
        <v/>
      </c>
      <c r="H146" s="4" t="str">
        <f>IFERROR(__xludf.DUMMYFUNCTION("""COMPUTED_VALUE"""),"")</f>
        <v/>
      </c>
      <c r="I146" s="4" t="str">
        <f>IFERROR(__xludf.DUMMYFUNCTION("""COMPUTED_VALUE"""),"")</f>
        <v/>
      </c>
      <c r="J146" s="4" t="str">
        <f>IFERROR(__xludf.DUMMYFUNCTION("""COMPUTED_VALUE"""),"")</f>
        <v/>
      </c>
      <c r="K146" s="4" t="str">
        <f>IFERROR(__xludf.DUMMYFUNCTION("""COMPUTED_VALUE"""),"Talk Intro")</f>
        <v>Talk Intro</v>
      </c>
      <c r="L146" s="4" t="str">
        <f>IFERROR(__xludf.DUMMYFUNCTION("""COMPUTED_VALUE"""),"")</f>
        <v/>
      </c>
      <c r="M146" s="4" t="str">
        <f>IFERROR(__xludf.DUMMYFUNCTION("""COMPUTED_VALUE"""),"Teaser: YouTube_Intro")</f>
        <v>Teaser: YouTube_Intro</v>
      </c>
      <c r="N146" s="4" t="str">
        <f>IFERROR(__xludf.DUMMYFUNCTION("""COMPUTED_VALUE"""),"Yvonne Redmond, Web Summit")</f>
        <v>Yvonne Redmond, Web Summit</v>
      </c>
      <c r="O146" s="4" t="str">
        <f>IFERROR(__xludf.DUMMYFUNCTION("""COMPUTED_VALUE"""),"")</f>
        <v/>
      </c>
      <c r="P146" s="4" t="str">
        <f>IFERROR(__xludf.DUMMYFUNCTION("""COMPUTED_VALUE"""),"")</f>
        <v/>
      </c>
      <c r="Q146" s="4" t="str">
        <f>IFERROR(__xludf.DUMMYFUNCTION("""COMPUTED_VALUE"""),"")</f>
        <v/>
      </c>
      <c r="R146" s="4" t="str">
        <f>IFERROR(__xludf.DUMMYFUNCTION("""COMPUTED_VALUE"""),"")</f>
        <v/>
      </c>
      <c r="S146" s="4" t="str">
        <f>IFERROR(__xludf.DUMMYFUNCTION("""COMPUTED_VALUE"""),"")</f>
        <v/>
      </c>
      <c r="T146" s="4" t="str">
        <f>IFERROR(__xludf.DUMMYFUNCTION("""COMPUTED_VALUE"""),"")</f>
        <v/>
      </c>
      <c r="U146" s="4" t="str">
        <f>IFERROR(__xludf.DUMMYFUNCTION("""COMPUTED_VALUE"""),"")</f>
        <v/>
      </c>
      <c r="V146" s="4" t="str">
        <f>IFERROR(__xludf.DUMMYFUNCTION("""COMPUTED_VALUE"""),"")</f>
        <v/>
      </c>
      <c r="W146" s="4" t="str">
        <f>IFERROR(__xludf.DUMMYFUNCTION("""COMPUTED_VALUE"""),"")</f>
        <v/>
      </c>
      <c r="X146" s="4" t="str">
        <f>IFERROR(__xludf.DUMMYFUNCTION("""COMPUTED_VALUE"""),"")</f>
        <v/>
      </c>
      <c r="Y146" s="4" t="str">
        <f>IFERROR(__xludf.DUMMYFUNCTION("""COMPUTED_VALUE"""),"")</f>
        <v/>
      </c>
    </row>
    <row r="147">
      <c r="A147" s="4" t="str">
        <f>IFERROR(__xludf.DUMMYFUNCTION("""COMPUTED_VALUE"""),"140 - Channel")</f>
        <v>140 - Channel</v>
      </c>
      <c r="B147" s="4" t="str">
        <f>IFERROR(__xludf.DUMMYFUNCTION("""COMPUTED_VALUE"""),"Channel 1")</f>
        <v>Channel 1</v>
      </c>
      <c r="C147" s="4" t="str">
        <f>IFERROR(__xludf.DUMMYFUNCTION("""COMPUTED_VALUE"""),"Day 2 - 24/06")</f>
        <v>Day 2 - 24/06</v>
      </c>
      <c r="D147" s="6">
        <f>IFERROR(__xludf.DUMMYFUNCTION("""COMPUTED_VALUE"""),0.43032407407407414)</f>
        <v>0.4303240741</v>
      </c>
      <c r="E147" s="6">
        <f>IFERROR(__xludf.DUMMYFUNCTION("""COMPUTED_VALUE"""),0.0020833333333333333)</f>
        <v>0.002083333333</v>
      </c>
      <c r="F147" s="6">
        <f>IFERROR(__xludf.DUMMYFUNCTION("""COMPUTED_VALUE"""),0.43240740740740746)</f>
        <v>0.4324074074</v>
      </c>
      <c r="G147" s="4" t="str">
        <f>IFERROR(__xludf.DUMMYFUNCTION("""COMPUTED_VALUE"""),"")</f>
        <v/>
      </c>
      <c r="H147" s="4" t="str">
        <f>IFERROR(__xludf.DUMMYFUNCTION("""COMPUTED_VALUE"""),"")</f>
        <v/>
      </c>
      <c r="I147" s="4" t="str">
        <f>IFERROR(__xludf.DUMMYFUNCTION("""COMPUTED_VALUE"""),"")</f>
        <v/>
      </c>
      <c r="J147" s="4" t="str">
        <f>IFERROR(__xludf.DUMMYFUNCTION("""COMPUTED_VALUE"""),"Media")</f>
        <v>Media</v>
      </c>
      <c r="K147" s="4" t="str">
        <f>IFERROR(__xludf.DUMMYFUNCTION("""COMPUTED_VALUE"""),"Teaser")</f>
        <v>Teaser</v>
      </c>
      <c r="L147" s="4" t="str">
        <f>IFERROR(__xludf.DUMMYFUNCTION("""COMPUTED_VALUE"""),"")</f>
        <v/>
      </c>
      <c r="M147" s="4" t="str">
        <f>IFERROR(__xludf.DUMMYFUNCTION("""COMPUTED_VALUE"""),"Teaser: YouTube")</f>
        <v>Teaser: YouTube</v>
      </c>
      <c r="N147" s="4" t="str">
        <f>IFERROR(__xludf.DUMMYFUNCTION("""COMPUTED_VALUE"""),"")</f>
        <v/>
      </c>
      <c r="O147" s="4" t="str">
        <f>IFERROR(__xludf.DUMMYFUNCTION("""COMPUTED_VALUE"""),"")</f>
        <v/>
      </c>
      <c r="P147" s="4" t="str">
        <f>IFERROR(__xludf.DUMMYFUNCTION("""COMPUTED_VALUE"""),"")</f>
        <v/>
      </c>
      <c r="Q147" s="4" t="str">
        <f>IFERROR(__xludf.DUMMYFUNCTION("""COMPUTED_VALUE"""),"")</f>
        <v/>
      </c>
      <c r="R147" s="4" t="str">
        <f>IFERROR(__xludf.DUMMYFUNCTION("""COMPUTED_VALUE"""),"")</f>
        <v/>
      </c>
      <c r="S147" s="4" t="str">
        <f>IFERROR(__xludf.DUMMYFUNCTION("""COMPUTED_VALUE"""),"")</f>
        <v/>
      </c>
      <c r="T147" s="4" t="str">
        <f>IFERROR(__xludf.DUMMYFUNCTION("""COMPUTED_VALUE"""),"N/A")</f>
        <v>N/A</v>
      </c>
      <c r="U147" s="4" t="str">
        <f>IFERROR(__xludf.DUMMYFUNCTION("""COMPUTED_VALUE"""),"")</f>
        <v/>
      </c>
      <c r="V147" s="4" t="str">
        <f>IFERROR(__xludf.DUMMYFUNCTION("""COMPUTED_VALUE"""),"")</f>
        <v/>
      </c>
      <c r="W147" s="4" t="str">
        <f>IFERROR(__xludf.DUMMYFUNCTION("""COMPUTED_VALUE"""),"")</f>
        <v/>
      </c>
      <c r="X147" s="4" t="str">
        <f>IFERROR(__xludf.DUMMYFUNCTION("""COMPUTED_VALUE"""),"")</f>
        <v/>
      </c>
      <c r="Y147" s="4" t="str">
        <f>IFERROR(__xludf.DUMMYFUNCTION("""COMPUTED_VALUE"""),"")</f>
        <v/>
      </c>
    </row>
    <row r="148">
      <c r="A148" s="4" t="str">
        <f>IFERROR(__xludf.DUMMYFUNCTION("""COMPUTED_VALUE"""),"2248 - Channel")</f>
        <v>2248 - Channel</v>
      </c>
      <c r="B148" s="4" t="str">
        <f>IFERROR(__xludf.DUMMYFUNCTION("""COMPUTED_VALUE"""),"Channel 1")</f>
        <v>Channel 1</v>
      </c>
      <c r="C148" s="4" t="str">
        <f>IFERROR(__xludf.DUMMYFUNCTION("""COMPUTED_VALUE"""),"Day 2 - 24/06")</f>
        <v>Day 2 - 24/06</v>
      </c>
      <c r="D148" s="6">
        <f>IFERROR(__xludf.DUMMYFUNCTION("""COMPUTED_VALUE"""),0.43240740740740746)</f>
        <v>0.4324074074</v>
      </c>
      <c r="E148" s="6">
        <f>IFERROR(__xludf.DUMMYFUNCTION("""COMPUTED_VALUE"""),2.314814814814815E-4)</f>
        <v>0.0002314814815</v>
      </c>
      <c r="F148" s="6">
        <f>IFERROR(__xludf.DUMMYFUNCTION("""COMPUTED_VALUE"""),0.43263888888888896)</f>
        <v>0.4326388889</v>
      </c>
      <c r="G148" s="4" t="str">
        <f>IFERROR(__xludf.DUMMYFUNCTION("""COMPUTED_VALUE"""),"")</f>
        <v/>
      </c>
      <c r="H148" s="4" t="str">
        <f>IFERROR(__xludf.DUMMYFUNCTION("""COMPUTED_VALUE"""),"")</f>
        <v/>
      </c>
      <c r="I148" s="4" t="str">
        <f>IFERROR(__xludf.DUMMYFUNCTION("""COMPUTED_VALUE"""),"")</f>
        <v/>
      </c>
      <c r="J148" s="4" t="str">
        <f>IFERROR(__xludf.DUMMYFUNCTION("""COMPUTED_VALUE"""),"")</f>
        <v/>
      </c>
      <c r="K148" s="4" t="str">
        <f>IFERROR(__xludf.DUMMYFUNCTION("""COMPUTED_VALUE"""),"Talk Outro")</f>
        <v>Talk Outro</v>
      </c>
      <c r="L148" s="4" t="str">
        <f>IFERROR(__xludf.DUMMYFUNCTION("""COMPUTED_VALUE"""),"")</f>
        <v/>
      </c>
      <c r="M148" s="4" t="str">
        <f>IFERROR(__xludf.DUMMYFUNCTION("""COMPUTED_VALUE"""),"Call to action")</f>
        <v>Call to action</v>
      </c>
      <c r="N148" s="4" t="str">
        <f>IFERROR(__xludf.DUMMYFUNCTION("""COMPUTED_VALUE"""),"Yvonne Redmond, Web Summit")</f>
        <v>Yvonne Redmond, Web Summit</v>
      </c>
      <c r="O148" s="4" t="str">
        <f>IFERROR(__xludf.DUMMYFUNCTION("""COMPUTED_VALUE"""),"")</f>
        <v/>
      </c>
      <c r="P148" s="4" t="str">
        <f>IFERROR(__xludf.DUMMYFUNCTION("""COMPUTED_VALUE"""),"")</f>
        <v/>
      </c>
      <c r="Q148" s="4" t="str">
        <f>IFERROR(__xludf.DUMMYFUNCTION("""COMPUTED_VALUE"""),"")</f>
        <v/>
      </c>
      <c r="R148" s="4" t="str">
        <f>IFERROR(__xludf.DUMMYFUNCTION("""COMPUTED_VALUE"""),"")</f>
        <v/>
      </c>
      <c r="S148" s="4" t="str">
        <f>IFERROR(__xludf.DUMMYFUNCTION("""COMPUTED_VALUE"""),"")</f>
        <v/>
      </c>
      <c r="T148" s="4" t="str">
        <f>IFERROR(__xludf.DUMMYFUNCTION("""COMPUTED_VALUE"""),"")</f>
        <v/>
      </c>
      <c r="U148" s="4" t="str">
        <f>IFERROR(__xludf.DUMMYFUNCTION("""COMPUTED_VALUE"""),"")</f>
        <v/>
      </c>
      <c r="V148" s="4" t="str">
        <f>IFERROR(__xludf.DUMMYFUNCTION("""COMPUTED_VALUE"""),"")</f>
        <v/>
      </c>
      <c r="W148" s="4" t="str">
        <f>IFERROR(__xludf.DUMMYFUNCTION("""COMPUTED_VALUE"""),"")</f>
        <v/>
      </c>
      <c r="X148" s="4" t="str">
        <f>IFERROR(__xludf.DUMMYFUNCTION("""COMPUTED_VALUE"""),"")</f>
        <v/>
      </c>
      <c r="Y148" s="4" t="str">
        <f>IFERROR(__xludf.DUMMYFUNCTION("""COMPUTED_VALUE"""),"")</f>
        <v/>
      </c>
    </row>
    <row r="149">
      <c r="A149" s="4" t="str">
        <f>IFERROR(__xludf.DUMMYFUNCTION("""COMPUTED_VALUE"""),"1606 - Channel")</f>
        <v>1606 - Channel</v>
      </c>
      <c r="B149" s="4" t="str">
        <f>IFERROR(__xludf.DUMMYFUNCTION("""COMPUTED_VALUE"""),"Channel 1")</f>
        <v>Channel 1</v>
      </c>
      <c r="C149" s="4" t="str">
        <f>IFERROR(__xludf.DUMMYFUNCTION("""COMPUTED_VALUE"""),"Day 2 - 24/06")</f>
        <v>Day 2 - 24/06</v>
      </c>
      <c r="D149" s="6">
        <f>IFERROR(__xludf.DUMMYFUNCTION("""COMPUTED_VALUE"""),0.43263888888888896)</f>
        <v>0.4326388889</v>
      </c>
      <c r="E149" s="6">
        <f>IFERROR(__xludf.DUMMYFUNCTION("""COMPUTED_VALUE"""),3.4722222222222224E-4)</f>
        <v>0.0003472222222</v>
      </c>
      <c r="F149" s="6">
        <f>IFERROR(__xludf.DUMMYFUNCTION("""COMPUTED_VALUE"""),0.4329861111111112)</f>
        <v>0.4329861111</v>
      </c>
      <c r="G149" s="4" t="str">
        <f>IFERROR(__xludf.DUMMYFUNCTION("""COMPUTED_VALUE"""),"")</f>
        <v/>
      </c>
      <c r="H149" s="4" t="str">
        <f>IFERROR(__xludf.DUMMYFUNCTION("""COMPUTED_VALUE"""),"")</f>
        <v/>
      </c>
      <c r="I149" s="4" t="str">
        <f>IFERROR(__xludf.DUMMYFUNCTION("""COMPUTED_VALUE"""),"")</f>
        <v/>
      </c>
      <c r="J149" s="4" t="str">
        <f>IFERROR(__xludf.DUMMYFUNCTION("""COMPUTED_VALUE"""),"")</f>
        <v/>
      </c>
      <c r="K149" s="4" t="str">
        <f>IFERROR(__xludf.DUMMYFUNCTION("""COMPUTED_VALUE"""),"Web Summit Trailer - full")</f>
        <v>Web Summit Trailer - full</v>
      </c>
      <c r="L149" s="4" t="str">
        <f>IFERROR(__xludf.DUMMYFUNCTION("""COMPUTED_VALUE"""),"")</f>
        <v/>
      </c>
      <c r="M149" s="4" t="str">
        <f>IFERROR(__xludf.DUMMYFUNCTION("""COMPUTED_VALUE"""),"Web Summit promo")</f>
        <v>Web Summit promo</v>
      </c>
      <c r="N149" s="4" t="str">
        <f>IFERROR(__xludf.DUMMYFUNCTION("""COMPUTED_VALUE"""),"Content pending")</f>
        <v>Content pending</v>
      </c>
      <c r="O149" s="4" t="str">
        <f>IFERROR(__xludf.DUMMYFUNCTION("""COMPUTED_VALUE"""),"")</f>
        <v/>
      </c>
      <c r="P149" s="4" t="str">
        <f>IFERROR(__xludf.DUMMYFUNCTION("""COMPUTED_VALUE"""),"")</f>
        <v/>
      </c>
      <c r="Q149" s="4" t="str">
        <f>IFERROR(__xludf.DUMMYFUNCTION("""COMPUTED_VALUE"""),"")</f>
        <v/>
      </c>
      <c r="R149" s="4" t="str">
        <f>IFERROR(__xludf.DUMMYFUNCTION("""COMPUTED_VALUE"""),"")</f>
        <v/>
      </c>
      <c r="S149" s="4" t="str">
        <f>IFERROR(__xludf.DUMMYFUNCTION("""COMPUTED_VALUE"""),"")</f>
        <v/>
      </c>
      <c r="T149" s="4" t="str">
        <f>IFERROR(__xludf.DUMMYFUNCTION("""COMPUTED_VALUE"""),"")</f>
        <v/>
      </c>
      <c r="U149" s="4" t="str">
        <f>IFERROR(__xludf.DUMMYFUNCTION("""COMPUTED_VALUE"""),"")</f>
        <v/>
      </c>
      <c r="V149" s="4" t="str">
        <f>IFERROR(__xludf.DUMMYFUNCTION("""COMPUTED_VALUE"""),"")</f>
        <v/>
      </c>
      <c r="W149" s="4" t="str">
        <f>IFERROR(__xludf.DUMMYFUNCTION("""COMPUTED_VALUE"""),"")</f>
        <v/>
      </c>
      <c r="X149" s="4" t="str">
        <f>IFERROR(__xludf.DUMMYFUNCTION("""COMPUTED_VALUE"""),"")</f>
        <v/>
      </c>
      <c r="Y149" s="4" t="str">
        <f>IFERROR(__xludf.DUMMYFUNCTION("""COMPUTED_VALUE"""),"")</f>
        <v/>
      </c>
    </row>
    <row r="150">
      <c r="A150" s="4" t="str">
        <f>IFERROR(__xludf.DUMMYFUNCTION("""COMPUTED_VALUE"""),"1536 - Channel")</f>
        <v>1536 - Channel</v>
      </c>
      <c r="B150" s="4" t="str">
        <f>IFERROR(__xludf.DUMMYFUNCTION("""COMPUTED_VALUE"""),"Channel 1")</f>
        <v>Channel 1</v>
      </c>
      <c r="C150" s="4" t="str">
        <f>IFERROR(__xludf.DUMMYFUNCTION("""COMPUTED_VALUE"""),"Day 2 - 24/06")</f>
        <v>Day 2 - 24/06</v>
      </c>
      <c r="D150" s="6">
        <f>IFERROR(__xludf.DUMMYFUNCTION("""COMPUTED_VALUE"""),0.4329861111111112)</f>
        <v>0.4329861111</v>
      </c>
      <c r="E150" s="6">
        <f>IFERROR(__xludf.DUMMYFUNCTION("""COMPUTED_VALUE"""),2.314814814814815E-4)</f>
        <v>0.0002314814815</v>
      </c>
      <c r="F150" s="6">
        <f>IFERROR(__xludf.DUMMYFUNCTION("""COMPUTED_VALUE"""),0.4332175925925927)</f>
        <v>0.4332175926</v>
      </c>
      <c r="G150" s="4" t="str">
        <f>IFERROR(__xludf.DUMMYFUNCTION("""COMPUTED_VALUE"""),"")</f>
        <v/>
      </c>
      <c r="H150" s="4" t="str">
        <f>IFERROR(__xludf.DUMMYFUNCTION("""COMPUTED_VALUE"""),"")</f>
        <v/>
      </c>
      <c r="I150" s="4" t="str">
        <f>IFERROR(__xludf.DUMMYFUNCTION("""COMPUTED_VALUE"""),"")</f>
        <v/>
      </c>
      <c r="J150" s="4" t="str">
        <f>IFERROR(__xludf.DUMMYFUNCTION("""COMPUTED_VALUE"""),"")</f>
        <v/>
      </c>
      <c r="K150" s="4" t="str">
        <f>IFERROR(__xludf.DUMMYFUNCTION("""COMPUTED_VALUE"""),"Talk Intro")</f>
        <v>Talk Intro</v>
      </c>
      <c r="L150" s="4" t="str">
        <f>IFERROR(__xludf.DUMMYFUNCTION("""COMPUTED_VALUE"""),"")</f>
        <v/>
      </c>
      <c r="M150" s="4" t="str">
        <f>IFERROR(__xludf.DUMMYFUNCTION("""COMPUTED_VALUE"""),"talk intro ")</f>
        <v>talk intro </v>
      </c>
      <c r="N150" s="4" t="str">
        <f>IFERROR(__xludf.DUMMYFUNCTION("""COMPUTED_VALUE"""),"Yvonne Redmond, Web Summit")</f>
        <v>Yvonne Redmond, Web Summit</v>
      </c>
      <c r="O150" s="4" t="str">
        <f>IFERROR(__xludf.DUMMYFUNCTION("""COMPUTED_VALUE"""),"")</f>
        <v/>
      </c>
      <c r="P150" s="4" t="str">
        <f>IFERROR(__xludf.DUMMYFUNCTION("""COMPUTED_VALUE"""),"")</f>
        <v/>
      </c>
      <c r="Q150" s="4" t="str">
        <f>IFERROR(__xludf.DUMMYFUNCTION("""COMPUTED_VALUE"""),"")</f>
        <v/>
      </c>
      <c r="R150" s="4" t="str">
        <f>IFERROR(__xludf.DUMMYFUNCTION("""COMPUTED_VALUE"""),"")</f>
        <v/>
      </c>
      <c r="S150" s="4" t="str">
        <f>IFERROR(__xludf.DUMMYFUNCTION("""COMPUTED_VALUE"""),"")</f>
        <v/>
      </c>
      <c r="T150" s="4" t="str">
        <f>IFERROR(__xludf.DUMMYFUNCTION("""COMPUTED_VALUE"""),"")</f>
        <v/>
      </c>
      <c r="U150" s="4" t="str">
        <f>IFERROR(__xludf.DUMMYFUNCTION("""COMPUTED_VALUE"""),"")</f>
        <v/>
      </c>
      <c r="V150" s="4" t="str">
        <f>IFERROR(__xludf.DUMMYFUNCTION("""COMPUTED_VALUE"""),"")</f>
        <v/>
      </c>
      <c r="W150" s="4" t="str">
        <f>IFERROR(__xludf.DUMMYFUNCTION("""COMPUTED_VALUE"""),"")</f>
        <v/>
      </c>
      <c r="X150" s="4" t="str">
        <f>IFERROR(__xludf.DUMMYFUNCTION("""COMPUTED_VALUE"""),"")</f>
        <v/>
      </c>
      <c r="Y150" s="4" t="str">
        <f>IFERROR(__xludf.DUMMYFUNCTION("""COMPUTED_VALUE"""),"")</f>
        <v/>
      </c>
    </row>
    <row r="151">
      <c r="A151" s="4" t="str">
        <f>IFERROR(__xludf.DUMMYFUNCTION("""COMPUTED_VALUE"""),"1436 - Channel")</f>
        <v>1436 - Channel</v>
      </c>
      <c r="B151" s="4" t="str">
        <f>IFERROR(__xludf.DUMMYFUNCTION("""COMPUTED_VALUE"""),"Channel 1")</f>
        <v>Channel 1</v>
      </c>
      <c r="C151" s="4" t="str">
        <f>IFERROR(__xludf.DUMMYFUNCTION("""COMPUTED_VALUE"""),"Day 2 - 24/06")</f>
        <v>Day 2 - 24/06</v>
      </c>
      <c r="D151" s="6">
        <f>IFERROR(__xludf.DUMMYFUNCTION("""COMPUTED_VALUE"""),0.4332175925925927)</f>
        <v>0.4332175926</v>
      </c>
      <c r="E151" s="6">
        <f>IFERROR(__xludf.DUMMYFUNCTION("""COMPUTED_VALUE"""),0.009722222222222222)</f>
        <v>0.009722222222</v>
      </c>
      <c r="F151" s="6">
        <f>IFERROR(__xludf.DUMMYFUNCTION("""COMPUTED_VALUE"""),0.4429398148148149)</f>
        <v>0.4429398148</v>
      </c>
      <c r="G151" s="4" t="str">
        <f>IFERROR(__xludf.DUMMYFUNCTION("""COMPUTED_VALUE"""),"Darren")</f>
        <v>Darren</v>
      </c>
      <c r="H151" s="4" t="str">
        <f>IFERROR(__xludf.DUMMYFUNCTION("""COMPUTED_VALUE"""),"Stephen")</f>
        <v>Stephen</v>
      </c>
      <c r="I151" s="4" t="str">
        <f>IFERROR(__xludf.DUMMYFUNCTION("""COMPUTED_VALUE"""),"Lucia H.")</f>
        <v>Lucia H.</v>
      </c>
      <c r="J151" s="4" t="str">
        <f>IFERROR(__xludf.DUMMYFUNCTION("""COMPUTED_VALUE"""),"")</f>
        <v/>
      </c>
      <c r="K151" s="4" t="str">
        <f>IFERROR(__xludf.DUMMYFUNCTION("""COMPUTED_VALUE"""),"Super Fireside")</f>
        <v>Super Fireside</v>
      </c>
      <c r="L151" s="4" t="str">
        <f>IFERROR(__xludf.DUMMYFUNCTION("""COMPUTED_VALUE"""),"T- 4 - 25/05/2020")</f>
        <v>T- 4 - 25/05/2020</v>
      </c>
      <c r="M151" s="4" t="str">
        <f>IFERROR(__xludf.DUMMYFUNCTION("""COMPUTED_VALUE"""),"The art of exploration")</f>
        <v>The art of exploration</v>
      </c>
      <c r="N151" s="4" t="str">
        <f>IFERROR(__xludf.DUMMYFUNCTION("""COMPUTED_VALUE"""),"Alyssa Carson, NASABlueberry, LLC")</f>
        <v>Alyssa Carson, NASABlueberry, LLC</v>
      </c>
      <c r="O151" s="4" t="str">
        <f>IFERROR(__xludf.DUMMYFUNCTION("""COMPUTED_VALUE"""),"Jean Case, The Case Foundation")</f>
        <v>Jean Case, The Case Foundation</v>
      </c>
      <c r="P151" s="4" t="str">
        <f>IFERROR(__xludf.DUMMYFUNCTION("""COMPUTED_VALUE"""),"")</f>
        <v/>
      </c>
      <c r="Q151" s="4" t="str">
        <f>IFERROR(__xludf.DUMMYFUNCTION("""COMPUTED_VALUE"""),"")</f>
        <v/>
      </c>
      <c r="R151" s="4" t="str">
        <f>IFERROR(__xludf.DUMMYFUNCTION("""COMPUTED_VALUE"""),"Jon Bowermaster, Ocean 8 Films")</f>
        <v>Jon Bowermaster, Ocean 8 Films</v>
      </c>
      <c r="S151" s="4" t="str">
        <f>IFERROR(__xludf.DUMMYFUNCTION("""COMPUTED_VALUE"""),"Astronaut-in-training Alyssa Carson is aiming to become the youngest person ever in space. Jean Case is the chairman of the National Geographic Society, and CEO of the Case Impact Network and Case Foundation. These two trailblazers discuss fearlessness, h"&amp;"umankind's thirst for knowledge, and exploring the final frontier.")</f>
        <v>Astronaut-in-training Alyssa Carson is aiming to become the youngest person ever in space. Jean Case is the chairman of the National Geographic Society, and CEO of the Case Impact Network and Case Foundation. These two trailblazers discuss fearlessness, humankind's thirst for knowledge, and exploring the final frontier.</v>
      </c>
      <c r="T151" s="4" t="str">
        <f>IFERROR(__xludf.DUMMYFUNCTION("""COMPUTED_VALUE"""),"NON-KEYNOTE 9 - COMPLETE")</f>
        <v>NON-KEYNOTE 9 - COMPLETE</v>
      </c>
      <c r="U151" s="23">
        <f>IFERROR(__xludf.DUMMYFUNCTION("""COMPUTED_VALUE"""),43978.0)</f>
        <v>43978</v>
      </c>
      <c r="V151" s="24">
        <f>IFERROR(__xludf.DUMMYFUNCTION("""COMPUTED_VALUE"""),0.7916666666666666)</f>
        <v>0.7916666667</v>
      </c>
      <c r="W151" s="4" t="str">
        <f>IFERROR(__xludf.DUMMYFUNCTION("""COMPUTED_VALUE"""),"COMPLETE")</f>
        <v>COMPLETE</v>
      </c>
      <c r="X151" s="4" t="str">
        <f>IFERROR(__xludf.DUMMYFUNCTION("""COMPUTED_VALUE"""),"Ines")</f>
        <v>Ines</v>
      </c>
      <c r="Y151" s="4" t="str">
        <f>IFERROR(__xludf.DUMMYFUNCTION("""COMPUTED_VALUE"""),"")</f>
        <v/>
      </c>
    </row>
    <row r="152">
      <c r="A152" s="4" t="str">
        <f>IFERROR(__xludf.DUMMYFUNCTION("""COMPUTED_VALUE"""),"185 - Channel")</f>
        <v>185 - Channel</v>
      </c>
      <c r="B152" s="4" t="str">
        <f>IFERROR(__xludf.DUMMYFUNCTION("""COMPUTED_VALUE"""),"Channel 1")</f>
        <v>Channel 1</v>
      </c>
      <c r="C152" s="4" t="str">
        <f>IFERROR(__xludf.DUMMYFUNCTION("""COMPUTED_VALUE"""),"Day 2 - 24/06")</f>
        <v>Day 2 - 24/06</v>
      </c>
      <c r="D152" s="6">
        <f>IFERROR(__xludf.DUMMYFUNCTION("""COMPUTED_VALUE"""),0.4429398148148149)</f>
        <v>0.4429398148</v>
      </c>
      <c r="E152" s="6">
        <f>IFERROR(__xludf.DUMMYFUNCTION("""COMPUTED_VALUE"""),2.314814814814815E-4)</f>
        <v>0.0002314814815</v>
      </c>
      <c r="F152" s="6">
        <f>IFERROR(__xludf.DUMMYFUNCTION("""COMPUTED_VALUE"""),0.4431712962962964)</f>
        <v>0.4431712963</v>
      </c>
      <c r="G152" s="4" t="str">
        <f>IFERROR(__xludf.DUMMYFUNCTION("""COMPUTED_VALUE"""),"")</f>
        <v/>
      </c>
      <c r="H152" s="4" t="str">
        <f>IFERROR(__xludf.DUMMYFUNCTION("""COMPUTED_VALUE"""),"")</f>
        <v/>
      </c>
      <c r="I152" s="4" t="str">
        <f>IFERROR(__xludf.DUMMYFUNCTION("""COMPUTED_VALUE"""),"")</f>
        <v/>
      </c>
      <c r="J152" s="4" t="str">
        <f>IFERROR(__xludf.DUMMYFUNCTION("""COMPUTED_VALUE"""),"")</f>
        <v/>
      </c>
      <c r="K152" s="4" t="str">
        <f>IFERROR(__xludf.DUMMYFUNCTION("""COMPUTED_VALUE"""),"Talk Intro")</f>
        <v>Talk Intro</v>
      </c>
      <c r="L152" s="4" t="str">
        <f>IFERROR(__xludf.DUMMYFUNCTION("""COMPUTED_VALUE"""),"")</f>
        <v/>
      </c>
      <c r="M152" s="4" t="str">
        <f>IFERROR(__xludf.DUMMYFUNCTION("""COMPUTED_VALUE"""),"Talk intro ")</f>
        <v>Talk intro </v>
      </c>
      <c r="N152" s="4" t="str">
        <f>IFERROR(__xludf.DUMMYFUNCTION("""COMPUTED_VALUE"""),"Yvonne Redmond, Web Summit")</f>
        <v>Yvonne Redmond, Web Summit</v>
      </c>
      <c r="O152" s="4" t="str">
        <f>IFERROR(__xludf.DUMMYFUNCTION("""COMPUTED_VALUE"""),"")</f>
        <v/>
      </c>
      <c r="P152" s="4" t="str">
        <f>IFERROR(__xludf.DUMMYFUNCTION("""COMPUTED_VALUE"""),"")</f>
        <v/>
      </c>
      <c r="Q152" s="4" t="str">
        <f>IFERROR(__xludf.DUMMYFUNCTION("""COMPUTED_VALUE"""),"")</f>
        <v/>
      </c>
      <c r="R152" s="4" t="str">
        <f>IFERROR(__xludf.DUMMYFUNCTION("""COMPUTED_VALUE"""),"")</f>
        <v/>
      </c>
      <c r="S152" s="4" t="str">
        <f>IFERROR(__xludf.DUMMYFUNCTION("""COMPUTED_VALUE"""),"")</f>
        <v/>
      </c>
      <c r="T152" s="4" t="str">
        <f>IFERROR(__xludf.DUMMYFUNCTION("""COMPUTED_VALUE"""),"")</f>
        <v/>
      </c>
      <c r="U152" s="4" t="str">
        <f>IFERROR(__xludf.DUMMYFUNCTION("""COMPUTED_VALUE"""),"")</f>
        <v/>
      </c>
      <c r="V152" s="4" t="str">
        <f>IFERROR(__xludf.DUMMYFUNCTION("""COMPUTED_VALUE"""),"")</f>
        <v/>
      </c>
      <c r="W152" s="4" t="str">
        <f>IFERROR(__xludf.DUMMYFUNCTION("""COMPUTED_VALUE"""),"")</f>
        <v/>
      </c>
      <c r="X152" s="4" t="str">
        <f>IFERROR(__xludf.DUMMYFUNCTION("""COMPUTED_VALUE"""),"")</f>
        <v/>
      </c>
      <c r="Y152" s="4" t="str">
        <f>IFERROR(__xludf.DUMMYFUNCTION("""COMPUTED_VALUE"""),"")</f>
        <v/>
      </c>
    </row>
    <row r="153">
      <c r="A153" s="4" t="str">
        <f>IFERROR(__xludf.DUMMYFUNCTION("""COMPUTED_VALUE"""),"1365 - Channel")</f>
        <v>1365 - Channel</v>
      </c>
      <c r="B153" s="4" t="str">
        <f>IFERROR(__xludf.DUMMYFUNCTION("""COMPUTED_VALUE"""),"Channel 1")</f>
        <v>Channel 1</v>
      </c>
      <c r="C153" s="4" t="str">
        <f>IFERROR(__xludf.DUMMYFUNCTION("""COMPUTED_VALUE"""),"Day 2 - 24/06")</f>
        <v>Day 2 - 24/06</v>
      </c>
      <c r="D153" s="6">
        <f>IFERROR(__xludf.DUMMYFUNCTION("""COMPUTED_VALUE"""),0.4431712962962964)</f>
        <v>0.4431712963</v>
      </c>
      <c r="E153" s="6">
        <f>IFERROR(__xludf.DUMMYFUNCTION("""COMPUTED_VALUE"""),0.0020833333333333333)</f>
        <v>0.002083333333</v>
      </c>
      <c r="F153" s="6">
        <f>IFERROR(__xludf.DUMMYFUNCTION("""COMPUTED_VALUE"""),0.44525462962962975)</f>
        <v>0.4452546296</v>
      </c>
      <c r="G153" s="4" t="str">
        <f>IFERROR(__xludf.DUMMYFUNCTION("""COMPUTED_VALUE"""),"Dan")</f>
        <v>Dan</v>
      </c>
      <c r="H153" s="4" t="str">
        <f>IFERROR(__xludf.DUMMYFUNCTION("""COMPUTED_VALUE"""),"")</f>
        <v/>
      </c>
      <c r="I153" s="4" t="str">
        <f>IFERROR(__xludf.DUMMYFUNCTION("""COMPUTED_VALUE"""),"Jack")</f>
        <v>Jack</v>
      </c>
      <c r="J153" s="4" t="str">
        <f>IFERROR(__xludf.DUMMYFUNCTION("""COMPUTED_VALUE"""),"")</f>
        <v/>
      </c>
      <c r="K153" s="4" t="str">
        <f>IFERROR(__xludf.DUMMYFUNCTION("""COMPUTED_VALUE"""),"Keynote")</f>
        <v>Keynote</v>
      </c>
      <c r="L153" s="4" t="str">
        <f>IFERROR(__xludf.DUMMYFUNCTION("""COMPUTED_VALUE"""),"T- 4 - 25/05/2020")</f>
        <v>T- 4 - 25/05/2020</v>
      </c>
      <c r="M153" s="4" t="str">
        <f>IFERROR(__xludf.DUMMYFUNCTION("""COMPUTED_VALUE"""),"Modern toolkit for remote teams")</f>
        <v>Modern toolkit for remote teams</v>
      </c>
      <c r="N153" s="4" t="str">
        <f>IFERROR(__xludf.DUMMYFUNCTION("""COMPUTED_VALUE"""),"Andrey Vinitsky, Graphy")</f>
        <v>Andrey Vinitsky, Graphy</v>
      </c>
      <c r="O153" s="4" t="str">
        <f>IFERROR(__xludf.DUMMYFUNCTION("""COMPUTED_VALUE"""),"")</f>
        <v/>
      </c>
      <c r="P153" s="4" t="str">
        <f>IFERROR(__xludf.DUMMYFUNCTION("""COMPUTED_VALUE"""),"")</f>
        <v/>
      </c>
      <c r="Q153" s="4" t="str">
        <f>IFERROR(__xludf.DUMMYFUNCTION("""COMPUTED_VALUE"""),"")</f>
        <v/>
      </c>
      <c r="R153" s="4" t="str">
        <f>IFERROR(__xludf.DUMMYFUNCTION("""COMPUTED_VALUE"""),"")</f>
        <v/>
      </c>
      <c r="S153" s="4" t="str">
        <f>IFERROR(__xludf.DUMMYFUNCTION("""COMPUTED_VALUE"""),"It’s easier than ever to work remotely thanks to a new generation of tools. These tools give companies superpowers, and they all share common characteristics. Why are these features suited to modern working styles and how do they empower us to do the best"&amp;" work we’ve ever done?")</f>
        <v>It’s easier than ever to work remotely thanks to a new generation of tools. These tools give companies superpowers, and they all share common characteristics. Why are these features suited to modern working styles and how do they empower us to do the best work we’ve ever done?</v>
      </c>
      <c r="T153" s="4" t="str">
        <f>IFERROR(__xludf.DUMMYFUNCTION("""COMPUTED_VALUE"""),"KEYNOTE 8 - COMPLETE")</f>
        <v>KEYNOTE 8 - COMPLETE</v>
      </c>
      <c r="U153" s="23">
        <f>IFERROR(__xludf.DUMMYFUNCTION("""COMPUTED_VALUE"""),43979.0)</f>
        <v>43979</v>
      </c>
      <c r="V153" s="44">
        <f>IFERROR(__xludf.DUMMYFUNCTION("""COMPUTED_VALUE"""),0.625)</f>
        <v>0.625</v>
      </c>
      <c r="W153" s="4" t="str">
        <f>IFERROR(__xludf.DUMMYFUNCTION("""COMPUTED_VALUE"""),"COMPLETE")</f>
        <v>COMPLETE</v>
      </c>
      <c r="X153" s="4" t="str">
        <f>IFERROR(__xludf.DUMMYFUNCTION("""COMPUTED_VALUE"""),"Dan")</f>
        <v>Dan</v>
      </c>
      <c r="Y153" s="4" t="str">
        <f>IFERROR(__xludf.DUMMYFUNCTION("""COMPUTED_VALUE"""),"")</f>
        <v/>
      </c>
    </row>
    <row r="154">
      <c r="A154" s="4" t="str">
        <f>IFERROR(__xludf.DUMMYFUNCTION("""COMPUTED_VALUE"""),"374 - Channel")</f>
        <v>374 - Channel</v>
      </c>
      <c r="B154" s="4" t="str">
        <f>IFERROR(__xludf.DUMMYFUNCTION("""COMPUTED_VALUE"""),"Channel 1")</f>
        <v>Channel 1</v>
      </c>
      <c r="C154" s="4" t="str">
        <f>IFERROR(__xludf.DUMMYFUNCTION("""COMPUTED_VALUE"""),"Day 2 - 24/06")</f>
        <v>Day 2 - 24/06</v>
      </c>
      <c r="D154" s="6">
        <f>IFERROR(__xludf.DUMMYFUNCTION("""COMPUTED_VALUE"""),0.44525462962962975)</f>
        <v>0.4452546296</v>
      </c>
      <c r="E154" s="6">
        <f>IFERROR(__xludf.DUMMYFUNCTION("""COMPUTED_VALUE"""),2.314814814814815E-4)</f>
        <v>0.0002314814815</v>
      </c>
      <c r="F154" s="6">
        <f>IFERROR(__xludf.DUMMYFUNCTION("""COMPUTED_VALUE"""),0.44548611111111125)</f>
        <v>0.4454861111</v>
      </c>
      <c r="G154" s="4" t="str">
        <f>IFERROR(__xludf.DUMMYFUNCTION("""COMPUTED_VALUE"""),"")</f>
        <v/>
      </c>
      <c r="H154" s="4" t="str">
        <f>IFERROR(__xludf.DUMMYFUNCTION("""COMPUTED_VALUE"""),"")</f>
        <v/>
      </c>
      <c r="I154" s="4" t="str">
        <f>IFERROR(__xludf.DUMMYFUNCTION("""COMPUTED_VALUE"""),"")</f>
        <v/>
      </c>
      <c r="J154" s="4" t="str">
        <f>IFERROR(__xludf.DUMMYFUNCTION("""COMPUTED_VALUE"""),"")</f>
        <v/>
      </c>
      <c r="K154" s="4" t="str">
        <f>IFERROR(__xludf.DUMMYFUNCTION("""COMPUTED_VALUE"""),"Talk Intro")</f>
        <v>Talk Intro</v>
      </c>
      <c r="L154" s="4" t="str">
        <f>IFERROR(__xludf.DUMMYFUNCTION("""COMPUTED_VALUE"""),"")</f>
        <v/>
      </c>
      <c r="M154" s="4" t="str">
        <f>IFERROR(__xludf.DUMMYFUNCTION("""COMPUTED_VALUE"""),"Teaser: Paris Hilton_Intro")</f>
        <v>Teaser: Paris Hilton_Intro</v>
      </c>
      <c r="N154" s="4" t="str">
        <f>IFERROR(__xludf.DUMMYFUNCTION("""COMPUTED_VALUE"""),"Yvonne Redmond, Web Summit")</f>
        <v>Yvonne Redmond, Web Summit</v>
      </c>
      <c r="O154" s="4" t="str">
        <f>IFERROR(__xludf.DUMMYFUNCTION("""COMPUTED_VALUE"""),"")</f>
        <v/>
      </c>
      <c r="P154" s="4" t="str">
        <f>IFERROR(__xludf.DUMMYFUNCTION("""COMPUTED_VALUE"""),"")</f>
        <v/>
      </c>
      <c r="Q154" s="4" t="str">
        <f>IFERROR(__xludf.DUMMYFUNCTION("""COMPUTED_VALUE"""),"")</f>
        <v/>
      </c>
      <c r="R154" s="4" t="str">
        <f>IFERROR(__xludf.DUMMYFUNCTION("""COMPUTED_VALUE"""),"")</f>
        <v/>
      </c>
      <c r="S154" s="4" t="str">
        <f>IFERROR(__xludf.DUMMYFUNCTION("""COMPUTED_VALUE"""),"")</f>
        <v/>
      </c>
      <c r="T154" s="4" t="str">
        <f>IFERROR(__xludf.DUMMYFUNCTION("""COMPUTED_VALUE"""),"")</f>
        <v/>
      </c>
      <c r="U154" s="4" t="str">
        <f>IFERROR(__xludf.DUMMYFUNCTION("""COMPUTED_VALUE"""),"")</f>
        <v/>
      </c>
      <c r="V154" s="4" t="str">
        <f>IFERROR(__xludf.DUMMYFUNCTION("""COMPUTED_VALUE"""),"")</f>
        <v/>
      </c>
      <c r="W154" s="4" t="str">
        <f>IFERROR(__xludf.DUMMYFUNCTION("""COMPUTED_VALUE"""),"")</f>
        <v/>
      </c>
      <c r="X154" s="4" t="str">
        <f>IFERROR(__xludf.DUMMYFUNCTION("""COMPUTED_VALUE"""),"")</f>
        <v/>
      </c>
      <c r="Y154" s="4" t="str">
        <f>IFERROR(__xludf.DUMMYFUNCTION("""COMPUTED_VALUE"""),"")</f>
        <v/>
      </c>
    </row>
    <row r="155">
      <c r="A155" s="4" t="str">
        <f>IFERROR(__xludf.DUMMYFUNCTION("""COMPUTED_VALUE"""),"375 - Channel")</f>
        <v>375 - Channel</v>
      </c>
      <c r="B155" s="4" t="str">
        <f>IFERROR(__xludf.DUMMYFUNCTION("""COMPUTED_VALUE"""),"Channel 1")</f>
        <v>Channel 1</v>
      </c>
      <c r="C155" s="4" t="str">
        <f>IFERROR(__xludf.DUMMYFUNCTION("""COMPUTED_VALUE"""),"Day 2 - 24/06")</f>
        <v>Day 2 - 24/06</v>
      </c>
      <c r="D155" s="6">
        <f>IFERROR(__xludf.DUMMYFUNCTION("""COMPUTED_VALUE"""),0.44548611111111125)</f>
        <v>0.4454861111</v>
      </c>
      <c r="E155" s="6">
        <f>IFERROR(__xludf.DUMMYFUNCTION("""COMPUTED_VALUE"""),0.0020833333333333333)</f>
        <v>0.002083333333</v>
      </c>
      <c r="F155" s="6">
        <f>IFERROR(__xludf.DUMMYFUNCTION("""COMPUTED_VALUE"""),0.4475694444444446)</f>
        <v>0.4475694444</v>
      </c>
      <c r="G155" s="4" t="str">
        <f>IFERROR(__xludf.DUMMYFUNCTION("""COMPUTED_VALUE"""),"")</f>
        <v/>
      </c>
      <c r="H155" s="4" t="str">
        <f>IFERROR(__xludf.DUMMYFUNCTION("""COMPUTED_VALUE"""),"")</f>
        <v/>
      </c>
      <c r="I155" s="4" t="str">
        <f>IFERROR(__xludf.DUMMYFUNCTION("""COMPUTED_VALUE"""),"")</f>
        <v/>
      </c>
      <c r="J155" s="4" t="str">
        <f>IFERROR(__xludf.DUMMYFUNCTION("""COMPUTED_VALUE"""),"")</f>
        <v/>
      </c>
      <c r="K155" s="4" t="str">
        <f>IFERROR(__xludf.DUMMYFUNCTION("""COMPUTED_VALUE"""),"Teaser")</f>
        <v>Teaser</v>
      </c>
      <c r="L155" s="4" t="str">
        <f>IFERROR(__xludf.DUMMYFUNCTION("""COMPUTED_VALUE"""),"")</f>
        <v/>
      </c>
      <c r="M155" s="4" t="str">
        <f>IFERROR(__xludf.DUMMYFUNCTION("""COMPUTED_VALUE"""),"Teaser: Paris Hilton")</f>
        <v>Teaser: Paris Hilton</v>
      </c>
      <c r="N155" s="4" t="str">
        <f>IFERROR(__xludf.DUMMYFUNCTION("""COMPUTED_VALUE"""),"")</f>
        <v/>
      </c>
      <c r="O155" s="4" t="str">
        <f>IFERROR(__xludf.DUMMYFUNCTION("""COMPUTED_VALUE"""),"")</f>
        <v/>
      </c>
      <c r="P155" s="4" t="str">
        <f>IFERROR(__xludf.DUMMYFUNCTION("""COMPUTED_VALUE"""),"")</f>
        <v/>
      </c>
      <c r="Q155" s="4" t="str">
        <f>IFERROR(__xludf.DUMMYFUNCTION("""COMPUTED_VALUE"""),"")</f>
        <v/>
      </c>
      <c r="R155" s="4" t="str">
        <f>IFERROR(__xludf.DUMMYFUNCTION("""COMPUTED_VALUE"""),"")</f>
        <v/>
      </c>
      <c r="S155" s="4" t="str">
        <f>IFERROR(__xludf.DUMMYFUNCTION("""COMPUTED_VALUE"""),"")</f>
        <v/>
      </c>
      <c r="T155" s="4" t="str">
        <f>IFERROR(__xludf.DUMMYFUNCTION("""COMPUTED_VALUE"""),"N/A")</f>
        <v>N/A</v>
      </c>
      <c r="U155" s="4" t="str">
        <f>IFERROR(__xludf.DUMMYFUNCTION("""COMPUTED_VALUE"""),"")</f>
        <v/>
      </c>
      <c r="V155" s="4" t="str">
        <f>IFERROR(__xludf.DUMMYFUNCTION("""COMPUTED_VALUE"""),"")</f>
        <v/>
      </c>
      <c r="W155" s="4" t="str">
        <f>IFERROR(__xludf.DUMMYFUNCTION("""COMPUTED_VALUE"""),"")</f>
        <v/>
      </c>
      <c r="X155" s="4" t="str">
        <f>IFERROR(__xludf.DUMMYFUNCTION("""COMPUTED_VALUE"""),"")</f>
        <v/>
      </c>
      <c r="Y155" s="4" t="str">
        <f>IFERROR(__xludf.DUMMYFUNCTION("""COMPUTED_VALUE"""),"")</f>
        <v/>
      </c>
    </row>
    <row r="156">
      <c r="A156" s="4" t="str">
        <f>IFERROR(__xludf.DUMMYFUNCTION("""COMPUTED_VALUE"""),"2249 - Channel")</f>
        <v>2249 - Channel</v>
      </c>
      <c r="B156" s="4" t="str">
        <f>IFERROR(__xludf.DUMMYFUNCTION("""COMPUTED_VALUE"""),"Channel 1")</f>
        <v>Channel 1</v>
      </c>
      <c r="C156" s="4" t="str">
        <f>IFERROR(__xludf.DUMMYFUNCTION("""COMPUTED_VALUE"""),"Day 2 - 24/06")</f>
        <v>Day 2 - 24/06</v>
      </c>
      <c r="D156" s="6">
        <f>IFERROR(__xludf.DUMMYFUNCTION("""COMPUTED_VALUE"""),0.4475694444444446)</f>
        <v>0.4475694444</v>
      </c>
      <c r="E156" s="6">
        <f>IFERROR(__xludf.DUMMYFUNCTION("""COMPUTED_VALUE"""),2.314814814814815E-4)</f>
        <v>0.0002314814815</v>
      </c>
      <c r="F156" s="6">
        <f>IFERROR(__xludf.DUMMYFUNCTION("""COMPUTED_VALUE"""),0.4478009259259261)</f>
        <v>0.4478009259</v>
      </c>
      <c r="G156" s="4" t="str">
        <f>IFERROR(__xludf.DUMMYFUNCTION("""COMPUTED_VALUE"""),"")</f>
        <v/>
      </c>
      <c r="H156" s="4" t="str">
        <f>IFERROR(__xludf.DUMMYFUNCTION("""COMPUTED_VALUE"""),"")</f>
        <v/>
      </c>
      <c r="I156" s="4" t="str">
        <f>IFERROR(__xludf.DUMMYFUNCTION("""COMPUTED_VALUE"""),"")</f>
        <v/>
      </c>
      <c r="J156" s="4" t="str">
        <f>IFERROR(__xludf.DUMMYFUNCTION("""COMPUTED_VALUE"""),"")</f>
        <v/>
      </c>
      <c r="K156" s="4" t="str">
        <f>IFERROR(__xludf.DUMMYFUNCTION("""COMPUTED_VALUE"""),"Talk Outro")</f>
        <v>Talk Outro</v>
      </c>
      <c r="L156" s="4" t="str">
        <f>IFERROR(__xludf.DUMMYFUNCTION("""COMPUTED_VALUE"""),"")</f>
        <v/>
      </c>
      <c r="M156" s="4" t="str">
        <f>IFERROR(__xludf.DUMMYFUNCTION("""COMPUTED_VALUE"""),"Call to action")</f>
        <v>Call to action</v>
      </c>
      <c r="N156" s="4" t="str">
        <f>IFERROR(__xludf.DUMMYFUNCTION("""COMPUTED_VALUE"""),"Yvonne Redmond, Web Summit")</f>
        <v>Yvonne Redmond, Web Summit</v>
      </c>
      <c r="O156" s="4" t="str">
        <f>IFERROR(__xludf.DUMMYFUNCTION("""COMPUTED_VALUE"""),"")</f>
        <v/>
      </c>
      <c r="P156" s="4" t="str">
        <f>IFERROR(__xludf.DUMMYFUNCTION("""COMPUTED_VALUE"""),"")</f>
        <v/>
      </c>
      <c r="Q156" s="4" t="str">
        <f>IFERROR(__xludf.DUMMYFUNCTION("""COMPUTED_VALUE"""),"")</f>
        <v/>
      </c>
      <c r="R156" s="4" t="str">
        <f>IFERROR(__xludf.DUMMYFUNCTION("""COMPUTED_VALUE"""),"")</f>
        <v/>
      </c>
      <c r="S156" s="4" t="str">
        <f>IFERROR(__xludf.DUMMYFUNCTION("""COMPUTED_VALUE"""),"")</f>
        <v/>
      </c>
      <c r="T156" s="4" t="str">
        <f>IFERROR(__xludf.DUMMYFUNCTION("""COMPUTED_VALUE"""),"")</f>
        <v/>
      </c>
      <c r="U156" s="4" t="str">
        <f>IFERROR(__xludf.DUMMYFUNCTION("""COMPUTED_VALUE"""),"")</f>
        <v/>
      </c>
      <c r="V156" s="4" t="str">
        <f>IFERROR(__xludf.DUMMYFUNCTION("""COMPUTED_VALUE"""),"")</f>
        <v/>
      </c>
      <c r="W156" s="4" t="str">
        <f>IFERROR(__xludf.DUMMYFUNCTION("""COMPUTED_VALUE"""),"")</f>
        <v/>
      </c>
      <c r="X156" s="4" t="str">
        <f>IFERROR(__xludf.DUMMYFUNCTION("""COMPUTED_VALUE"""),"")</f>
        <v/>
      </c>
      <c r="Y156" s="4" t="str">
        <f>IFERROR(__xludf.DUMMYFUNCTION("""COMPUTED_VALUE"""),"")</f>
        <v/>
      </c>
    </row>
    <row r="157">
      <c r="A157" s="4" t="str">
        <f>IFERROR(__xludf.DUMMYFUNCTION("""COMPUTED_VALUE"""),"1955 - Channel")</f>
        <v>1955 - Channel</v>
      </c>
      <c r="B157" s="4" t="str">
        <f>IFERROR(__xludf.DUMMYFUNCTION("""COMPUTED_VALUE"""),"Channel 1")</f>
        <v>Channel 1</v>
      </c>
      <c r="C157" s="4" t="str">
        <f>IFERROR(__xludf.DUMMYFUNCTION("""COMPUTED_VALUE"""),"Day 2 - 24/06")</f>
        <v>Day 2 - 24/06</v>
      </c>
      <c r="D157" s="6">
        <f>IFERROR(__xludf.DUMMYFUNCTION("""COMPUTED_VALUE"""),0.4478009259259261)</f>
        <v>0.4478009259</v>
      </c>
      <c r="E157" s="6">
        <f>IFERROR(__xludf.DUMMYFUNCTION("""COMPUTED_VALUE"""),3.4722222222222224E-4)</f>
        <v>0.0003472222222</v>
      </c>
      <c r="F157" s="6">
        <f>IFERROR(__xludf.DUMMYFUNCTION("""COMPUTED_VALUE"""),0.4481481481481483)</f>
        <v>0.4481481481</v>
      </c>
      <c r="G157" s="4" t="str">
        <f>IFERROR(__xludf.DUMMYFUNCTION("""COMPUTED_VALUE"""),"")</f>
        <v/>
      </c>
      <c r="H157" s="4" t="str">
        <f>IFERROR(__xludf.DUMMYFUNCTION("""COMPUTED_VALUE"""),"")</f>
        <v/>
      </c>
      <c r="I157" s="4" t="str">
        <f>IFERROR(__xludf.DUMMYFUNCTION("""COMPUTED_VALUE"""),"")</f>
        <v/>
      </c>
      <c r="J157" s="4" t="str">
        <f>IFERROR(__xludf.DUMMYFUNCTION("""COMPUTED_VALUE"""),"")</f>
        <v/>
      </c>
      <c r="K157" s="4" t="str">
        <f>IFERROR(__xludf.DUMMYFUNCTION("""COMPUTED_VALUE"""),"Web Summit Trailer - short")</f>
        <v>Web Summit Trailer - short</v>
      </c>
      <c r="L157" s="4" t="str">
        <f>IFERROR(__xludf.DUMMYFUNCTION("""COMPUTED_VALUE"""),"")</f>
        <v/>
      </c>
      <c r="M157" s="4" t="str">
        <f>IFERROR(__xludf.DUMMYFUNCTION("""COMPUTED_VALUE"""),"Web Summit promo")</f>
        <v>Web Summit promo</v>
      </c>
      <c r="N157" s="4" t="str">
        <f>IFERROR(__xludf.DUMMYFUNCTION("""COMPUTED_VALUE"""),"Content pending")</f>
        <v>Content pending</v>
      </c>
      <c r="O157" s="4" t="str">
        <f>IFERROR(__xludf.DUMMYFUNCTION("""COMPUTED_VALUE"""),"")</f>
        <v/>
      </c>
      <c r="P157" s="4" t="str">
        <f>IFERROR(__xludf.DUMMYFUNCTION("""COMPUTED_VALUE"""),"")</f>
        <v/>
      </c>
      <c r="Q157" s="4" t="str">
        <f>IFERROR(__xludf.DUMMYFUNCTION("""COMPUTED_VALUE"""),"")</f>
        <v/>
      </c>
      <c r="R157" s="4" t="str">
        <f>IFERROR(__xludf.DUMMYFUNCTION("""COMPUTED_VALUE"""),"")</f>
        <v/>
      </c>
      <c r="S157" s="4" t="str">
        <f>IFERROR(__xludf.DUMMYFUNCTION("""COMPUTED_VALUE"""),"")</f>
        <v/>
      </c>
      <c r="T157" s="4" t="str">
        <f>IFERROR(__xludf.DUMMYFUNCTION("""COMPUTED_VALUE"""),"")</f>
        <v/>
      </c>
      <c r="U157" s="4" t="str">
        <f>IFERROR(__xludf.DUMMYFUNCTION("""COMPUTED_VALUE"""),"")</f>
        <v/>
      </c>
      <c r="V157" s="4" t="str">
        <f>IFERROR(__xludf.DUMMYFUNCTION("""COMPUTED_VALUE"""),"")</f>
        <v/>
      </c>
      <c r="W157" s="4" t="str">
        <f>IFERROR(__xludf.DUMMYFUNCTION("""COMPUTED_VALUE"""),"")</f>
        <v/>
      </c>
      <c r="X157" s="4" t="str">
        <f>IFERROR(__xludf.DUMMYFUNCTION("""COMPUTED_VALUE"""),"")</f>
        <v/>
      </c>
      <c r="Y157" s="4" t="str">
        <f>IFERROR(__xludf.DUMMYFUNCTION("""COMPUTED_VALUE"""),"")</f>
        <v/>
      </c>
    </row>
    <row r="158">
      <c r="A158" s="4" t="str">
        <f>IFERROR(__xludf.DUMMYFUNCTION("""COMPUTED_VALUE"""),"275 - Channel")</f>
        <v>275 - Channel</v>
      </c>
      <c r="B158" s="4" t="str">
        <f>IFERROR(__xludf.DUMMYFUNCTION("""COMPUTED_VALUE"""),"Channel 1")</f>
        <v>Channel 1</v>
      </c>
      <c r="C158" s="4" t="str">
        <f>IFERROR(__xludf.DUMMYFUNCTION("""COMPUTED_VALUE"""),"Day 2 - 24/06")</f>
        <v>Day 2 - 24/06</v>
      </c>
      <c r="D158" s="6">
        <f>IFERROR(__xludf.DUMMYFUNCTION("""COMPUTED_VALUE"""),0.4481481481481483)</f>
        <v>0.4481481481</v>
      </c>
      <c r="E158" s="6">
        <f>IFERROR(__xludf.DUMMYFUNCTION("""COMPUTED_VALUE"""),2.314814814814815E-4)</f>
        <v>0.0002314814815</v>
      </c>
      <c r="F158" s="6">
        <f>IFERROR(__xludf.DUMMYFUNCTION("""COMPUTED_VALUE"""),0.4483796296296298)</f>
        <v>0.4483796296</v>
      </c>
      <c r="G158" s="4" t="str">
        <f>IFERROR(__xludf.DUMMYFUNCTION("""COMPUTED_VALUE"""),"")</f>
        <v/>
      </c>
      <c r="H158" s="4" t="str">
        <f>IFERROR(__xludf.DUMMYFUNCTION("""COMPUTED_VALUE"""),"")</f>
        <v/>
      </c>
      <c r="I158" s="4" t="str">
        <f>IFERROR(__xludf.DUMMYFUNCTION("""COMPUTED_VALUE"""),"")</f>
        <v/>
      </c>
      <c r="J158" s="4" t="str">
        <f>IFERROR(__xludf.DUMMYFUNCTION("""COMPUTED_VALUE"""),"")</f>
        <v/>
      </c>
      <c r="K158" s="4" t="str">
        <f>IFERROR(__xludf.DUMMYFUNCTION("""COMPUTED_VALUE"""),"Talk Intro")</f>
        <v>Talk Intro</v>
      </c>
      <c r="L158" s="4" t="str">
        <f>IFERROR(__xludf.DUMMYFUNCTION("""COMPUTED_VALUE"""),"")</f>
        <v/>
      </c>
      <c r="M158" s="4" t="str">
        <f>IFERROR(__xludf.DUMMYFUNCTION("""COMPUTED_VALUE"""),"Talk Intro")</f>
        <v>Talk Intro</v>
      </c>
      <c r="N158" s="4" t="str">
        <f>IFERROR(__xludf.DUMMYFUNCTION("""COMPUTED_VALUE"""),"Paddy Cosgrave, Web Summit")</f>
        <v>Paddy Cosgrave, Web Summit</v>
      </c>
      <c r="O158" s="4" t="str">
        <f>IFERROR(__xludf.DUMMYFUNCTION("""COMPUTED_VALUE"""),"Yvonne Redmond, Web Summit")</f>
        <v>Yvonne Redmond, Web Summit</v>
      </c>
      <c r="P158" s="4" t="str">
        <f>IFERROR(__xludf.DUMMYFUNCTION("""COMPUTED_VALUE"""),"")</f>
        <v/>
      </c>
      <c r="Q158" s="4" t="str">
        <f>IFERROR(__xludf.DUMMYFUNCTION("""COMPUTED_VALUE"""),"")</f>
        <v/>
      </c>
      <c r="R158" s="4" t="str">
        <f>IFERROR(__xludf.DUMMYFUNCTION("""COMPUTED_VALUE"""),"")</f>
        <v/>
      </c>
      <c r="S158" s="4" t="str">
        <f>IFERROR(__xludf.DUMMYFUNCTION("""COMPUTED_VALUE"""),"")</f>
        <v/>
      </c>
      <c r="T158" s="4" t="str">
        <f>IFERROR(__xludf.DUMMYFUNCTION("""COMPUTED_VALUE"""),"")</f>
        <v/>
      </c>
      <c r="U158" s="4" t="str">
        <f>IFERROR(__xludf.DUMMYFUNCTION("""COMPUTED_VALUE"""),"")</f>
        <v/>
      </c>
      <c r="V158" s="4" t="str">
        <f>IFERROR(__xludf.DUMMYFUNCTION("""COMPUTED_VALUE"""),"")</f>
        <v/>
      </c>
      <c r="W158" s="4" t="str">
        <f>IFERROR(__xludf.DUMMYFUNCTION("""COMPUTED_VALUE"""),"")</f>
        <v/>
      </c>
      <c r="X158" s="4" t="str">
        <f>IFERROR(__xludf.DUMMYFUNCTION("""COMPUTED_VALUE"""),"")</f>
        <v/>
      </c>
      <c r="Y158" s="4" t="str">
        <f>IFERROR(__xludf.DUMMYFUNCTION("""COMPUTED_VALUE"""),"")</f>
        <v/>
      </c>
    </row>
    <row r="159">
      <c r="A159" s="4" t="str">
        <f>IFERROR(__xludf.DUMMYFUNCTION("""COMPUTED_VALUE"""),"276 - Channel")</f>
        <v>276 - Channel</v>
      </c>
      <c r="B159" s="4" t="str">
        <f>IFERROR(__xludf.DUMMYFUNCTION("""COMPUTED_VALUE"""),"Channel 1")</f>
        <v>Channel 1</v>
      </c>
      <c r="C159" s="4" t="str">
        <f>IFERROR(__xludf.DUMMYFUNCTION("""COMPUTED_VALUE"""),"Day 2 - 24/06")</f>
        <v>Day 2 - 24/06</v>
      </c>
      <c r="D159" s="6">
        <f>IFERROR(__xludf.DUMMYFUNCTION("""COMPUTED_VALUE"""),0.4483796296296298)</f>
        <v>0.4483796296</v>
      </c>
      <c r="E159" s="6">
        <f>IFERROR(__xludf.DUMMYFUNCTION("""COMPUTED_VALUE"""),0.010416666666666666)</f>
        <v>0.01041666667</v>
      </c>
      <c r="F159" s="6">
        <f>IFERROR(__xludf.DUMMYFUNCTION("""COMPUTED_VALUE"""),0.4587962962962965)</f>
        <v>0.4587962963</v>
      </c>
      <c r="G159" s="4" t="str">
        <f>IFERROR(__xludf.DUMMYFUNCTION("""COMPUTED_VALUE"""),"Stephanie")</f>
        <v>Stephanie</v>
      </c>
      <c r="H159" s="4" t="str">
        <f>IFERROR(__xludf.DUMMYFUNCTION("""COMPUTED_VALUE"""),"")</f>
        <v/>
      </c>
      <c r="I159" s="4" t="str">
        <f>IFERROR(__xludf.DUMMYFUNCTION("""COMPUTED_VALUE"""),"James")</f>
        <v>James</v>
      </c>
      <c r="J159" s="4" t="str">
        <f>IFERROR(__xludf.DUMMYFUNCTION("""COMPUTED_VALUE"""),"")</f>
        <v/>
      </c>
      <c r="K159" s="4" t="str">
        <f>IFERROR(__xludf.DUMMYFUNCTION("""COMPUTED_VALUE"""),"Fireside")</f>
        <v>Fireside</v>
      </c>
      <c r="L159" s="4" t="str">
        <f>IFERROR(__xludf.DUMMYFUNCTION("""COMPUTED_VALUE"""),"T- 7 - 04/05/2020")</f>
        <v>T- 7 - 04/05/2020</v>
      </c>
      <c r="M159" s="4" t="str">
        <f>IFERROR(__xludf.DUMMYFUNCTION("""COMPUTED_VALUE"""),"GitLab: Building an all-remote enterprise")</f>
        <v>GitLab: Building an all-remote enterprise</v>
      </c>
      <c r="N159" s="4" t="str">
        <f>IFERROR(__xludf.DUMMYFUNCTION("""COMPUTED_VALUE"""),"Sid Sijbrandij, GitLab")</f>
        <v>Sid Sijbrandij, GitLab</v>
      </c>
      <c r="O159" s="4" t="str">
        <f>IFERROR(__xludf.DUMMYFUNCTION("""COMPUTED_VALUE"""),"")</f>
        <v/>
      </c>
      <c r="P159" s="4" t="str">
        <f>IFERROR(__xludf.DUMMYFUNCTION("""COMPUTED_VALUE"""),"")</f>
        <v/>
      </c>
      <c r="Q159" s="4" t="str">
        <f>IFERROR(__xludf.DUMMYFUNCTION("""COMPUTED_VALUE"""),"")</f>
        <v/>
      </c>
      <c r="R159" s="4" t="str">
        <f>IFERROR(__xludf.DUMMYFUNCTION("""COMPUTED_VALUE"""),"Villi Iltchev, Two Sigma Ventures")</f>
        <v>Villi Iltchev, Two Sigma Ventures</v>
      </c>
      <c r="S159" s="4" t="str">
        <f>IFERROR(__xludf.DUMMYFUNCTION("""COMPUTED_VALUE"""),"With an 'everyone can contribute' mindset, GitLab’s all-remote team works from more than 65 countries and regions to build the leading collaboration tool for DevOps. Join Two Sigma Ventures partner Villi Iltchev and GitLab CEO Sid Sijbrandij for a discuss"&amp;"ion around GitLab’s path to becoming one of the largest remote companies in the world. ")</f>
        <v>With an 'everyone can contribute' mindset, GitLab’s all-remote team works from more than 65 countries and regions to build the leading collaboration tool for DevOps. Join Two Sigma Ventures partner Villi Iltchev and GitLab CEO Sid Sijbrandij for a discussion around GitLab’s path to becoming one of the largest remote companies in the world. </v>
      </c>
      <c r="T159" s="4" t="str">
        <f>IFERROR(__xludf.DUMMYFUNCTION("""COMPUTED_VALUE"""),"NON-KEYNOTE 9 - COMPLETE")</f>
        <v>NON-KEYNOTE 9 - COMPLETE</v>
      </c>
      <c r="U159" s="23">
        <f>IFERROR(__xludf.DUMMYFUNCTION("""COMPUTED_VALUE"""),43959.0)</f>
        <v>43959</v>
      </c>
      <c r="V159" s="24">
        <f>IFERROR(__xludf.DUMMYFUNCTION("""COMPUTED_VALUE"""),0.7291666666666666)</f>
        <v>0.7291666667</v>
      </c>
      <c r="W159" s="4" t="str">
        <f>IFERROR(__xludf.DUMMYFUNCTION("""COMPUTED_VALUE"""),"COMPLETE")</f>
        <v>COMPLETE</v>
      </c>
      <c r="X159" s="4" t="str">
        <f>IFERROR(__xludf.DUMMYFUNCTION("""COMPUTED_VALUE"""),"Stephanie")</f>
        <v>Stephanie</v>
      </c>
      <c r="Y159" s="4" t="str">
        <f>IFERROR(__xludf.DUMMYFUNCTION("""COMPUTED_VALUE"""),"")</f>
        <v/>
      </c>
    </row>
    <row r="160">
      <c r="A160" s="4" t="str">
        <f>IFERROR(__xludf.DUMMYFUNCTION("""COMPUTED_VALUE"""),"1517 - Channel")</f>
        <v>1517 - Channel</v>
      </c>
      <c r="B160" s="4" t="str">
        <f>IFERROR(__xludf.DUMMYFUNCTION("""COMPUTED_VALUE"""),"Channel 1")</f>
        <v>Channel 1</v>
      </c>
      <c r="C160" s="4" t="str">
        <f>IFERROR(__xludf.DUMMYFUNCTION("""COMPUTED_VALUE"""),"Day 2 - 24/06")</f>
        <v>Day 2 - 24/06</v>
      </c>
      <c r="D160" s="4" t="str">
        <f>IFERROR(__xludf.DUMMYFUNCTION("""COMPUTED_VALUE"""),"")</f>
        <v/>
      </c>
      <c r="E160" s="4" t="str">
        <f>IFERROR(__xludf.DUMMYFUNCTION("""COMPUTED_VALUE"""),"")</f>
        <v/>
      </c>
      <c r="F160" s="4" t="str">
        <f>IFERROR(__xludf.DUMMYFUNCTION("""COMPUTED_VALUE"""),"")</f>
        <v/>
      </c>
      <c r="G160" s="4" t="str">
        <f>IFERROR(__xludf.DUMMYFUNCTION("""COMPUTED_VALUE"""),"")</f>
        <v/>
      </c>
      <c r="H160" s="4" t="str">
        <f>IFERROR(__xludf.DUMMYFUNCTION("""COMPUTED_VALUE"""),"")</f>
        <v/>
      </c>
      <c r="I160" s="4" t="str">
        <f>IFERROR(__xludf.DUMMYFUNCTION("""COMPUTED_VALUE"""),"")</f>
        <v/>
      </c>
      <c r="J160" s="4" t="str">
        <f>IFERROR(__xludf.DUMMYFUNCTION("""COMPUTED_VALUE"""),"")</f>
        <v/>
      </c>
      <c r="K160" s="4" t="str">
        <f>IFERROR(__xludf.DUMMYFUNCTION("""COMPUTED_VALUE"""),"")</f>
        <v/>
      </c>
      <c r="L160" s="4" t="str">
        <f>IFERROR(__xludf.DUMMYFUNCTION("""COMPUTED_VALUE"""),"")</f>
        <v/>
      </c>
      <c r="M160" s="4" t="str">
        <f>IFERROR(__xludf.DUMMYFUNCTION("""COMPUTED_VALUE"""),"")</f>
        <v/>
      </c>
      <c r="N160" s="4" t="str">
        <f>IFERROR(__xludf.DUMMYFUNCTION("""COMPUTED_VALUE"""),"")</f>
        <v/>
      </c>
      <c r="O160" s="4" t="str">
        <f>IFERROR(__xludf.DUMMYFUNCTION("""COMPUTED_VALUE"""),"")</f>
        <v/>
      </c>
      <c r="P160" s="4" t="str">
        <f>IFERROR(__xludf.DUMMYFUNCTION("""COMPUTED_VALUE"""),"")</f>
        <v/>
      </c>
      <c r="Q160" s="4" t="str">
        <f>IFERROR(__xludf.DUMMYFUNCTION("""COMPUTED_VALUE"""),"")</f>
        <v/>
      </c>
      <c r="R160" s="4" t="str">
        <f>IFERROR(__xludf.DUMMYFUNCTION("""COMPUTED_VALUE"""),"")</f>
        <v/>
      </c>
      <c r="S160" s="4" t="str">
        <f>IFERROR(__xludf.DUMMYFUNCTION("""COMPUTED_VALUE"""),"")</f>
        <v/>
      </c>
      <c r="T160" s="4" t="str">
        <f>IFERROR(__xludf.DUMMYFUNCTION("""COMPUTED_VALUE"""),"")</f>
        <v/>
      </c>
      <c r="U160" s="4" t="str">
        <f>IFERROR(__xludf.DUMMYFUNCTION("""COMPUTED_VALUE"""),"")</f>
        <v/>
      </c>
      <c r="V160" s="4" t="str">
        <f>IFERROR(__xludf.DUMMYFUNCTION("""COMPUTED_VALUE"""),"")</f>
        <v/>
      </c>
      <c r="W160" s="4" t="str">
        <f>IFERROR(__xludf.DUMMYFUNCTION("""COMPUTED_VALUE"""),"")</f>
        <v/>
      </c>
      <c r="X160" s="4" t="str">
        <f>IFERROR(__xludf.DUMMYFUNCTION("""COMPUTED_VALUE"""),"")</f>
        <v/>
      </c>
      <c r="Y160" s="4" t="str">
        <f>IFERROR(__xludf.DUMMYFUNCTION("""COMPUTED_VALUE"""),"")</f>
        <v/>
      </c>
    </row>
    <row r="161">
      <c r="A161" s="4" t="str">
        <f>IFERROR(__xludf.DUMMYFUNCTION("""COMPUTED_VALUE"""),"152 - Channel")</f>
        <v>152 - Channel</v>
      </c>
      <c r="B161" s="4" t="str">
        <f>IFERROR(__xludf.DUMMYFUNCTION("""COMPUTED_VALUE"""),"Channel 1")</f>
        <v>Channel 1</v>
      </c>
      <c r="C161" s="4" t="str">
        <f>IFERROR(__xludf.DUMMYFUNCTION("""COMPUTED_VALUE"""),"Day 2 - 24/06")</f>
        <v>Day 2 - 24/06</v>
      </c>
      <c r="D161" s="6">
        <f>IFERROR(__xludf.DUMMYFUNCTION("""COMPUTED_VALUE"""),0.4587962962962965)</f>
        <v>0.4587962963</v>
      </c>
      <c r="E161" s="6">
        <f>IFERROR(__xludf.DUMMYFUNCTION("""COMPUTED_VALUE"""),6.944444444444445E-4)</f>
        <v>0.0006944444444</v>
      </c>
      <c r="F161" s="6">
        <f>IFERROR(__xludf.DUMMYFUNCTION("""COMPUTED_VALUE"""),0.4594907407407409)</f>
        <v>0.4594907407</v>
      </c>
      <c r="G161" s="4" t="str">
        <f>IFERROR(__xludf.DUMMYFUNCTION("""COMPUTED_VALUE"""),"")</f>
        <v/>
      </c>
      <c r="H161" s="4" t="str">
        <f>IFERROR(__xludf.DUMMYFUNCTION("""COMPUTED_VALUE"""),"")</f>
        <v/>
      </c>
      <c r="I161" s="4" t="str">
        <f>IFERROR(__xludf.DUMMYFUNCTION("""COMPUTED_VALUE"""),"")</f>
        <v/>
      </c>
      <c r="J161" s="4" t="str">
        <f>IFERROR(__xludf.DUMMYFUNCTION("""COMPUTED_VALUE"""),"")</f>
        <v/>
      </c>
      <c r="K161" s="4" t="str">
        <f>IFERROR(__xludf.DUMMYFUNCTION("""COMPUTED_VALUE"""),"Laundry List/Lookaround")</f>
        <v>Laundry List/Lookaround</v>
      </c>
      <c r="L161" s="4" t="str">
        <f>IFERROR(__xludf.DUMMYFUNCTION("""COMPUTED_VALUE"""),"")</f>
        <v/>
      </c>
      <c r="M161" s="4" t="str">
        <f>IFERROR(__xludf.DUMMYFUNCTION("""COMPUTED_VALUE"""),"Laundry Day2_11AM")</f>
        <v>Laundry Day2_11AM</v>
      </c>
      <c r="N161" s="4" t="str">
        <f>IFERROR(__xludf.DUMMYFUNCTION("""COMPUTED_VALUE"""),"Yvonne Redmond, Web Summit")</f>
        <v>Yvonne Redmond, Web Summit</v>
      </c>
      <c r="O161" s="4" t="str">
        <f>IFERROR(__xludf.DUMMYFUNCTION("""COMPUTED_VALUE"""),"")</f>
        <v/>
      </c>
      <c r="P161" s="4" t="str">
        <f>IFERROR(__xludf.DUMMYFUNCTION("""COMPUTED_VALUE"""),"")</f>
        <v/>
      </c>
      <c r="Q161" s="4" t="str">
        <f>IFERROR(__xludf.DUMMYFUNCTION("""COMPUTED_VALUE"""),"")</f>
        <v/>
      </c>
      <c r="R161" s="4" t="str">
        <f>IFERROR(__xludf.DUMMYFUNCTION("""COMPUTED_VALUE"""),"")</f>
        <v/>
      </c>
      <c r="S161" s="4" t="str">
        <f>IFERROR(__xludf.DUMMYFUNCTION("""COMPUTED_VALUE"""),"")</f>
        <v/>
      </c>
      <c r="T161" s="4" t="str">
        <f>IFERROR(__xludf.DUMMYFUNCTION("""COMPUTED_VALUE"""),"")</f>
        <v/>
      </c>
      <c r="U161" s="4" t="str">
        <f>IFERROR(__xludf.DUMMYFUNCTION("""COMPUTED_VALUE"""),"")</f>
        <v/>
      </c>
      <c r="V161" s="4" t="str">
        <f>IFERROR(__xludf.DUMMYFUNCTION("""COMPUTED_VALUE"""),"")</f>
        <v/>
      </c>
      <c r="W161" s="4" t="str">
        <f>IFERROR(__xludf.DUMMYFUNCTION("""COMPUTED_VALUE"""),"")</f>
        <v/>
      </c>
      <c r="X161" s="4" t="str">
        <f>IFERROR(__xludf.DUMMYFUNCTION("""COMPUTED_VALUE"""),"")</f>
        <v/>
      </c>
      <c r="Y161" s="4" t="str">
        <f>IFERROR(__xludf.DUMMYFUNCTION("""COMPUTED_VALUE"""),"")</f>
        <v/>
      </c>
    </row>
    <row r="162">
      <c r="A162" s="4" t="str">
        <f>IFERROR(__xludf.DUMMYFUNCTION("""COMPUTED_VALUE"""),"1956 - Channel")</f>
        <v>1956 - Channel</v>
      </c>
      <c r="B162" s="4" t="str">
        <f>IFERROR(__xludf.DUMMYFUNCTION("""COMPUTED_VALUE"""),"Channel 1")</f>
        <v>Channel 1</v>
      </c>
      <c r="C162" s="4" t="str">
        <f>IFERROR(__xludf.DUMMYFUNCTION("""COMPUTED_VALUE"""),"Day 2 - 24/06")</f>
        <v>Day 2 - 24/06</v>
      </c>
      <c r="D162" s="6">
        <f>IFERROR(__xludf.DUMMYFUNCTION("""COMPUTED_VALUE"""),0.4594907407407409)</f>
        <v>0.4594907407</v>
      </c>
      <c r="E162" s="6">
        <f>IFERROR(__xludf.DUMMYFUNCTION("""COMPUTED_VALUE"""),3.4722222222222224E-4)</f>
        <v>0.0003472222222</v>
      </c>
      <c r="F162" s="6">
        <f>IFERROR(__xludf.DUMMYFUNCTION("""COMPUTED_VALUE"""),0.45983796296296314)</f>
        <v>0.459837963</v>
      </c>
      <c r="G162" s="4" t="str">
        <f>IFERROR(__xludf.DUMMYFUNCTION("""COMPUTED_VALUE"""),"")</f>
        <v/>
      </c>
      <c r="H162" s="4" t="str">
        <f>IFERROR(__xludf.DUMMYFUNCTION("""COMPUTED_VALUE"""),"")</f>
        <v/>
      </c>
      <c r="I162" s="4" t="str">
        <f>IFERROR(__xludf.DUMMYFUNCTION("""COMPUTED_VALUE"""),"")</f>
        <v/>
      </c>
      <c r="J162" s="4" t="str">
        <f>IFERROR(__xludf.DUMMYFUNCTION("""COMPUTED_VALUE"""),"")</f>
        <v/>
      </c>
      <c r="K162" s="4" t="str">
        <f>IFERROR(__xludf.DUMMYFUNCTION("""COMPUTED_VALUE"""),"Web Summit Trailer - full")</f>
        <v>Web Summit Trailer - full</v>
      </c>
      <c r="L162" s="4" t="str">
        <f>IFERROR(__xludf.DUMMYFUNCTION("""COMPUTED_VALUE"""),"")</f>
        <v/>
      </c>
      <c r="M162" s="4" t="str">
        <f>IFERROR(__xludf.DUMMYFUNCTION("""COMPUTED_VALUE"""),"Web Summit promo")</f>
        <v>Web Summit promo</v>
      </c>
      <c r="N162" s="4" t="str">
        <f>IFERROR(__xludf.DUMMYFUNCTION("""COMPUTED_VALUE"""),"Content pending")</f>
        <v>Content pending</v>
      </c>
      <c r="O162" s="4" t="str">
        <f>IFERROR(__xludf.DUMMYFUNCTION("""COMPUTED_VALUE"""),"")</f>
        <v/>
      </c>
      <c r="P162" s="4" t="str">
        <f>IFERROR(__xludf.DUMMYFUNCTION("""COMPUTED_VALUE"""),"")</f>
        <v/>
      </c>
      <c r="Q162" s="4" t="str">
        <f>IFERROR(__xludf.DUMMYFUNCTION("""COMPUTED_VALUE"""),"")</f>
        <v/>
      </c>
      <c r="R162" s="4" t="str">
        <f>IFERROR(__xludf.DUMMYFUNCTION("""COMPUTED_VALUE"""),"")</f>
        <v/>
      </c>
      <c r="S162" s="4" t="str">
        <f>IFERROR(__xludf.DUMMYFUNCTION("""COMPUTED_VALUE"""),"")</f>
        <v/>
      </c>
      <c r="T162" s="4" t="str">
        <f>IFERROR(__xludf.DUMMYFUNCTION("""COMPUTED_VALUE"""),"")</f>
        <v/>
      </c>
      <c r="U162" s="4" t="str">
        <f>IFERROR(__xludf.DUMMYFUNCTION("""COMPUTED_VALUE"""),"")</f>
        <v/>
      </c>
      <c r="V162" s="4" t="str">
        <f>IFERROR(__xludf.DUMMYFUNCTION("""COMPUTED_VALUE"""),"")</f>
        <v/>
      </c>
      <c r="W162" s="4" t="str">
        <f>IFERROR(__xludf.DUMMYFUNCTION("""COMPUTED_VALUE"""),"")</f>
        <v/>
      </c>
      <c r="X162" s="4" t="str">
        <f>IFERROR(__xludf.DUMMYFUNCTION("""COMPUTED_VALUE"""),"")</f>
        <v/>
      </c>
      <c r="Y162" s="4" t="str">
        <f>IFERROR(__xludf.DUMMYFUNCTION("""COMPUTED_VALUE"""),"")</f>
        <v/>
      </c>
    </row>
    <row r="163">
      <c r="A163" s="4" t="str">
        <f>IFERROR(__xludf.DUMMYFUNCTION("""COMPUTED_VALUE"""),"65 - Channel")</f>
        <v>65 - Channel</v>
      </c>
      <c r="B163" s="4" t="str">
        <f>IFERROR(__xludf.DUMMYFUNCTION("""COMPUTED_VALUE"""),"Channel 1")</f>
        <v>Channel 1</v>
      </c>
      <c r="C163" s="4" t="str">
        <f>IFERROR(__xludf.DUMMYFUNCTION("""COMPUTED_VALUE"""),"Day 2 - 24/06")</f>
        <v>Day 2 - 24/06</v>
      </c>
      <c r="D163" s="6">
        <f>IFERROR(__xludf.DUMMYFUNCTION("""COMPUTED_VALUE"""),0.4594907407407409)</f>
        <v>0.4594907407</v>
      </c>
      <c r="E163" s="6">
        <f>IFERROR(__xludf.DUMMYFUNCTION("""COMPUTED_VALUE"""),2.314814814814815E-4)</f>
        <v>0.0002314814815</v>
      </c>
      <c r="F163" s="6">
        <f>IFERROR(__xludf.DUMMYFUNCTION("""COMPUTED_VALUE"""),0.4597222222222224)</f>
        <v>0.4597222222</v>
      </c>
      <c r="G163" s="4" t="str">
        <f>IFERROR(__xludf.DUMMYFUNCTION("""COMPUTED_VALUE"""),"")</f>
        <v/>
      </c>
      <c r="H163" s="4" t="str">
        <f>IFERROR(__xludf.DUMMYFUNCTION("""COMPUTED_VALUE"""),"")</f>
        <v/>
      </c>
      <c r="I163" s="4" t="str">
        <f>IFERROR(__xludf.DUMMYFUNCTION("""COMPUTED_VALUE"""),"")</f>
        <v/>
      </c>
      <c r="J163" s="4" t="str">
        <f>IFERROR(__xludf.DUMMYFUNCTION("""COMPUTED_VALUE"""),"")</f>
        <v/>
      </c>
      <c r="K163" s="4" t="str">
        <f>IFERROR(__xludf.DUMMYFUNCTION("""COMPUTED_VALUE"""),"Talk Intro")</f>
        <v>Talk Intro</v>
      </c>
      <c r="L163" s="4" t="str">
        <f>IFERROR(__xludf.DUMMYFUNCTION("""COMPUTED_VALUE"""),"")</f>
        <v/>
      </c>
      <c r="M163" s="4" t="str">
        <f>IFERROR(__xludf.DUMMYFUNCTION("""COMPUTED_VALUE"""),"Talk intro ")</f>
        <v>Talk intro </v>
      </c>
      <c r="N163" s="4" t="str">
        <f>IFERROR(__xludf.DUMMYFUNCTION("""COMPUTED_VALUE"""),"Yvonne Redmond, Web Summit")</f>
        <v>Yvonne Redmond, Web Summit</v>
      </c>
      <c r="O163" s="4" t="str">
        <f>IFERROR(__xludf.DUMMYFUNCTION("""COMPUTED_VALUE"""),"")</f>
        <v/>
      </c>
      <c r="P163" s="4" t="str">
        <f>IFERROR(__xludf.DUMMYFUNCTION("""COMPUTED_VALUE"""),"")</f>
        <v/>
      </c>
      <c r="Q163" s="4" t="str">
        <f>IFERROR(__xludf.DUMMYFUNCTION("""COMPUTED_VALUE"""),"")</f>
        <v/>
      </c>
      <c r="R163" s="4" t="str">
        <f>IFERROR(__xludf.DUMMYFUNCTION("""COMPUTED_VALUE"""),"")</f>
        <v/>
      </c>
      <c r="S163" s="4" t="str">
        <f>IFERROR(__xludf.DUMMYFUNCTION("""COMPUTED_VALUE"""),"")</f>
        <v/>
      </c>
      <c r="T163" s="4" t="str">
        <f>IFERROR(__xludf.DUMMYFUNCTION("""COMPUTED_VALUE"""),"")</f>
        <v/>
      </c>
      <c r="U163" s="4" t="str">
        <f>IFERROR(__xludf.DUMMYFUNCTION("""COMPUTED_VALUE"""),"")</f>
        <v/>
      </c>
      <c r="V163" s="4" t="str">
        <f>IFERROR(__xludf.DUMMYFUNCTION("""COMPUTED_VALUE"""),"")</f>
        <v/>
      </c>
      <c r="W163" s="4" t="str">
        <f>IFERROR(__xludf.DUMMYFUNCTION("""COMPUTED_VALUE"""),"")</f>
        <v/>
      </c>
      <c r="X163" s="4" t="str">
        <f>IFERROR(__xludf.DUMMYFUNCTION("""COMPUTED_VALUE"""),"")</f>
        <v/>
      </c>
      <c r="Y163" s="4" t="str">
        <f>IFERROR(__xludf.DUMMYFUNCTION("""COMPUTED_VALUE"""),"")</f>
        <v/>
      </c>
    </row>
    <row r="164">
      <c r="A164" s="4" t="str">
        <f>IFERROR(__xludf.DUMMYFUNCTION("""COMPUTED_VALUE"""),"54 - Channel")</f>
        <v>54 - Channel</v>
      </c>
      <c r="B164" s="4" t="str">
        <f>IFERROR(__xludf.DUMMYFUNCTION("""COMPUTED_VALUE"""),"Channel 1")</f>
        <v>Channel 1</v>
      </c>
      <c r="C164" s="4" t="str">
        <f>IFERROR(__xludf.DUMMYFUNCTION("""COMPUTED_VALUE"""),"Day 2 - 24/06")</f>
        <v>Day 2 - 24/06</v>
      </c>
      <c r="D164" s="6">
        <f>IFERROR(__xludf.DUMMYFUNCTION("""COMPUTED_VALUE"""),0.4597222222222224)</f>
        <v>0.4597222222</v>
      </c>
      <c r="E164" s="6">
        <f>IFERROR(__xludf.DUMMYFUNCTION("""COMPUTED_VALUE"""),0.010416666666666666)</f>
        <v>0.01041666667</v>
      </c>
      <c r="F164" s="6">
        <f>IFERROR(__xludf.DUMMYFUNCTION("""COMPUTED_VALUE"""),0.4701388888888891)</f>
        <v>0.4701388889</v>
      </c>
      <c r="G164" s="4" t="str">
        <f>IFERROR(__xludf.DUMMYFUNCTION("""COMPUTED_VALUE"""),"Lobna")</f>
        <v>Lobna</v>
      </c>
      <c r="H164" s="4" t="str">
        <f>IFERROR(__xludf.DUMMYFUNCTION("""COMPUTED_VALUE"""),"Stephen")</f>
        <v>Stephen</v>
      </c>
      <c r="I164" s="4" t="str">
        <f>IFERROR(__xludf.DUMMYFUNCTION("""COMPUTED_VALUE"""),"Geoff")</f>
        <v>Geoff</v>
      </c>
      <c r="J164" s="4" t="str">
        <f>IFERROR(__xludf.DUMMYFUNCTION("""COMPUTED_VALUE"""),"")</f>
        <v/>
      </c>
      <c r="K164" s="4" t="str">
        <f>IFERROR(__xludf.DUMMYFUNCTION("""COMPUTED_VALUE"""),"Super Fireside")</f>
        <v>Super Fireside</v>
      </c>
      <c r="L164" s="4" t="str">
        <f>IFERROR(__xludf.DUMMYFUNCTION("""COMPUTED_VALUE"""),"T- 2 - 08/06/2020")</f>
        <v>T- 2 - 08/06/2020</v>
      </c>
      <c r="M164" s="4" t="str">
        <f>IFERROR(__xludf.DUMMYFUNCTION("""COMPUTED_VALUE"""),"Spending in 2020")</f>
        <v>Spending in 2020</v>
      </c>
      <c r="N164" s="4" t="str">
        <f>IFERROR(__xludf.DUMMYFUNCTION("""COMPUTED_VALUE"""),"Cyan Banister, Founders Fund")</f>
        <v>Cyan Banister, Founders Fund</v>
      </c>
      <c r="O164" s="4" t="str">
        <f>IFERROR(__xludf.DUMMYFUNCTION("""COMPUTED_VALUE"""),"Selcuk Atli, Bunch")</f>
        <v>Selcuk Atli, Bunch</v>
      </c>
      <c r="P164" s="4" t="str">
        <f>IFERROR(__xludf.DUMMYFUNCTION("""COMPUTED_VALUE"""),"")</f>
        <v/>
      </c>
      <c r="Q164" s="4" t="str">
        <f>IFERROR(__xludf.DUMMYFUNCTION("""COMPUTED_VALUE"""),"")</f>
        <v/>
      </c>
      <c r="R164" s="4" t="str">
        <f>IFERROR(__xludf.DUMMYFUNCTION("""COMPUTED_VALUE"""),"Ben Howard, CBS Interactive")</f>
        <v>Ben Howard, CBS Interactive</v>
      </c>
      <c r="S164" s="4" t="str">
        <f>IFERROR(__xludf.DUMMYFUNCTION("""COMPUTED_VALUE"""),"A leading VC and a successful entrepreneur discuss how the dynamic of the investor-to-founder relationship transforms during a crisis, and what startups can do amid so much uncertainty.")</f>
        <v>A leading VC and a successful entrepreneur discuss how the dynamic of the investor-to-founder relationship transforms during a crisis, and what startups can do amid so much uncertainty.</v>
      </c>
      <c r="T164" s="4" t="str">
        <f>IFERROR(__xludf.DUMMYFUNCTION("""COMPUTED_VALUE"""),"Recording MISSED/NEEDS TO BE RERECORDED/RESCHEDULED")</f>
        <v>Recording MISSED/NEEDS TO BE RERECORDED/RESCHEDULED</v>
      </c>
      <c r="U164" s="23">
        <f>IFERROR(__xludf.DUMMYFUNCTION("""COMPUTED_VALUE"""),43990.0)</f>
        <v>43990</v>
      </c>
      <c r="V164" s="24">
        <f>IFERROR(__xludf.DUMMYFUNCTION("""COMPUTED_VALUE"""),0.875)</f>
        <v>0.875</v>
      </c>
      <c r="W164" s="21" t="str">
        <f>IFERROR(__xludf.DUMMYFUNCTION("""COMPUTED_VALUE"""),"https://zoom.us/j/95405957339?pwd=dEpFbCtxTmswa3JhLzExOXZ2WWhYQT09")</f>
        <v>https://zoom.us/j/95405957339?pwd=dEpFbCtxTmswa3JhLzExOXZ2WWhYQT09</v>
      </c>
      <c r="X164" s="4" t="str">
        <f>IFERROR(__xludf.DUMMYFUNCTION("""COMPUTED_VALUE"""),"Lobna")</f>
        <v>Lobna</v>
      </c>
      <c r="Y164" s="4" t="str">
        <f>IFERROR(__xludf.DUMMYFUNCTION("""COMPUTED_VALUE"""),"")</f>
        <v/>
      </c>
    </row>
    <row r="165">
      <c r="A165" s="4" t="str">
        <f>IFERROR(__xludf.DUMMYFUNCTION("""COMPUTED_VALUE"""),"156 - Channel")</f>
        <v>156 - Channel</v>
      </c>
      <c r="B165" s="4" t="str">
        <f>IFERROR(__xludf.DUMMYFUNCTION("""COMPUTED_VALUE"""),"Channel 1")</f>
        <v>Channel 1</v>
      </c>
      <c r="C165" s="4" t="str">
        <f>IFERROR(__xludf.DUMMYFUNCTION("""COMPUTED_VALUE"""),"Day 2 - 24/06")</f>
        <v>Day 2 - 24/06</v>
      </c>
      <c r="D165" s="6">
        <f>IFERROR(__xludf.DUMMYFUNCTION("""COMPUTED_VALUE"""),0.4701388888888891)</f>
        <v>0.4701388889</v>
      </c>
      <c r="E165" s="6">
        <f>IFERROR(__xludf.DUMMYFUNCTION("""COMPUTED_VALUE"""),2.314814814814815E-4)</f>
        <v>0.0002314814815</v>
      </c>
      <c r="F165" s="6">
        <f>IFERROR(__xludf.DUMMYFUNCTION("""COMPUTED_VALUE"""),0.4703703703703706)</f>
        <v>0.4703703704</v>
      </c>
      <c r="G165" s="4" t="str">
        <f>IFERROR(__xludf.DUMMYFUNCTION("""COMPUTED_VALUE"""),"")</f>
        <v/>
      </c>
      <c r="H165" s="4" t="str">
        <f>IFERROR(__xludf.DUMMYFUNCTION("""COMPUTED_VALUE"""),"")</f>
        <v/>
      </c>
      <c r="I165" s="4" t="str">
        <f>IFERROR(__xludf.DUMMYFUNCTION("""COMPUTED_VALUE"""),"")</f>
        <v/>
      </c>
      <c r="J165" s="4" t="str">
        <f>IFERROR(__xludf.DUMMYFUNCTION("""COMPUTED_VALUE"""),"")</f>
        <v/>
      </c>
      <c r="K165" s="4" t="str">
        <f>IFERROR(__xludf.DUMMYFUNCTION("""COMPUTED_VALUE"""),"Talk Intro")</f>
        <v>Talk Intro</v>
      </c>
      <c r="L165" s="4" t="str">
        <f>IFERROR(__xludf.DUMMYFUNCTION("""COMPUTED_VALUE"""),"")</f>
        <v/>
      </c>
      <c r="M165" s="4" t="str">
        <f>IFERROR(__xludf.DUMMYFUNCTION("""COMPUTED_VALUE"""),"Teaser: Brad Smith _Intro")</f>
        <v>Teaser: Brad Smith _Intro</v>
      </c>
      <c r="N165" s="4" t="str">
        <f>IFERROR(__xludf.DUMMYFUNCTION("""COMPUTED_VALUE"""),"Yvonne Redmond, Web Summit")</f>
        <v>Yvonne Redmond, Web Summit</v>
      </c>
      <c r="O165" s="4" t="str">
        <f>IFERROR(__xludf.DUMMYFUNCTION("""COMPUTED_VALUE"""),"")</f>
        <v/>
      </c>
      <c r="P165" s="4" t="str">
        <f>IFERROR(__xludf.DUMMYFUNCTION("""COMPUTED_VALUE"""),"")</f>
        <v/>
      </c>
      <c r="Q165" s="4" t="str">
        <f>IFERROR(__xludf.DUMMYFUNCTION("""COMPUTED_VALUE"""),"")</f>
        <v/>
      </c>
      <c r="R165" s="4" t="str">
        <f>IFERROR(__xludf.DUMMYFUNCTION("""COMPUTED_VALUE"""),"")</f>
        <v/>
      </c>
      <c r="S165" s="4" t="str">
        <f>IFERROR(__xludf.DUMMYFUNCTION("""COMPUTED_VALUE"""),"")</f>
        <v/>
      </c>
      <c r="T165" s="4" t="str">
        <f>IFERROR(__xludf.DUMMYFUNCTION("""COMPUTED_VALUE"""),"")</f>
        <v/>
      </c>
      <c r="U165" s="4" t="str">
        <f>IFERROR(__xludf.DUMMYFUNCTION("""COMPUTED_VALUE"""),"")</f>
        <v/>
      </c>
      <c r="V165" s="4" t="str">
        <f>IFERROR(__xludf.DUMMYFUNCTION("""COMPUTED_VALUE"""),"")</f>
        <v/>
      </c>
      <c r="W165" s="4" t="str">
        <f>IFERROR(__xludf.DUMMYFUNCTION("""COMPUTED_VALUE"""),"")</f>
        <v/>
      </c>
      <c r="X165" s="4" t="str">
        <f>IFERROR(__xludf.DUMMYFUNCTION("""COMPUTED_VALUE"""),"")</f>
        <v/>
      </c>
      <c r="Y165" s="4" t="str">
        <f>IFERROR(__xludf.DUMMYFUNCTION("""COMPUTED_VALUE"""),"")</f>
        <v/>
      </c>
    </row>
    <row r="166">
      <c r="A166" s="4" t="str">
        <f>IFERROR(__xludf.DUMMYFUNCTION("""COMPUTED_VALUE"""),"157 - Channel")</f>
        <v>157 - Channel</v>
      </c>
      <c r="B166" s="4" t="str">
        <f>IFERROR(__xludf.DUMMYFUNCTION("""COMPUTED_VALUE"""),"Channel 1")</f>
        <v>Channel 1</v>
      </c>
      <c r="C166" s="4" t="str">
        <f>IFERROR(__xludf.DUMMYFUNCTION("""COMPUTED_VALUE"""),"Day 2 - 24/06")</f>
        <v>Day 2 - 24/06</v>
      </c>
      <c r="D166" s="6">
        <f>IFERROR(__xludf.DUMMYFUNCTION("""COMPUTED_VALUE"""),0.4703703703703706)</f>
        <v>0.4703703704</v>
      </c>
      <c r="E166" s="6">
        <f>IFERROR(__xludf.DUMMYFUNCTION("""COMPUTED_VALUE"""),0.0020833333333333333)</f>
        <v>0.002083333333</v>
      </c>
      <c r="F166" s="6">
        <f>IFERROR(__xludf.DUMMYFUNCTION("""COMPUTED_VALUE"""),0.47245370370370393)</f>
        <v>0.4724537037</v>
      </c>
      <c r="G166" s="4" t="str">
        <f>IFERROR(__xludf.DUMMYFUNCTION("""COMPUTED_VALUE"""),"")</f>
        <v/>
      </c>
      <c r="H166" s="4" t="str">
        <f>IFERROR(__xludf.DUMMYFUNCTION("""COMPUTED_VALUE"""),"")</f>
        <v/>
      </c>
      <c r="I166" s="4" t="str">
        <f>IFERROR(__xludf.DUMMYFUNCTION("""COMPUTED_VALUE"""),"")</f>
        <v/>
      </c>
      <c r="J166" s="4" t="str">
        <f>IFERROR(__xludf.DUMMYFUNCTION("""COMPUTED_VALUE"""),"")</f>
        <v/>
      </c>
      <c r="K166" s="4" t="str">
        <f>IFERROR(__xludf.DUMMYFUNCTION("""COMPUTED_VALUE"""),"Teaser")</f>
        <v>Teaser</v>
      </c>
      <c r="L166" s="4" t="str">
        <f>IFERROR(__xludf.DUMMYFUNCTION("""COMPUTED_VALUE"""),"")</f>
        <v/>
      </c>
      <c r="M166" s="4" t="str">
        <f>IFERROR(__xludf.DUMMYFUNCTION("""COMPUTED_VALUE"""),"Teaser: Brad Smith ")</f>
        <v>Teaser: Brad Smith </v>
      </c>
      <c r="N166" s="4" t="str">
        <f>IFERROR(__xludf.DUMMYFUNCTION("""COMPUTED_VALUE"""),"")</f>
        <v/>
      </c>
      <c r="O166" s="4" t="str">
        <f>IFERROR(__xludf.DUMMYFUNCTION("""COMPUTED_VALUE"""),"")</f>
        <v/>
      </c>
      <c r="P166" s="4" t="str">
        <f>IFERROR(__xludf.DUMMYFUNCTION("""COMPUTED_VALUE"""),"")</f>
        <v/>
      </c>
      <c r="Q166" s="4" t="str">
        <f>IFERROR(__xludf.DUMMYFUNCTION("""COMPUTED_VALUE"""),"")</f>
        <v/>
      </c>
      <c r="R166" s="4" t="str">
        <f>IFERROR(__xludf.DUMMYFUNCTION("""COMPUTED_VALUE"""),"")</f>
        <v/>
      </c>
      <c r="S166" s="4" t="str">
        <f>IFERROR(__xludf.DUMMYFUNCTION("""COMPUTED_VALUE"""),"")</f>
        <v/>
      </c>
      <c r="T166" s="4" t="str">
        <f>IFERROR(__xludf.DUMMYFUNCTION("""COMPUTED_VALUE"""),"N/A")</f>
        <v>N/A</v>
      </c>
      <c r="U166" s="4" t="str">
        <f>IFERROR(__xludf.DUMMYFUNCTION("""COMPUTED_VALUE"""),"")</f>
        <v/>
      </c>
      <c r="V166" s="4" t="str">
        <f>IFERROR(__xludf.DUMMYFUNCTION("""COMPUTED_VALUE"""),"")</f>
        <v/>
      </c>
      <c r="W166" s="4" t="str">
        <f>IFERROR(__xludf.DUMMYFUNCTION("""COMPUTED_VALUE"""),"")</f>
        <v/>
      </c>
      <c r="X166" s="4" t="str">
        <f>IFERROR(__xludf.DUMMYFUNCTION("""COMPUTED_VALUE"""),"")</f>
        <v/>
      </c>
      <c r="Y166" s="4" t="str">
        <f>IFERROR(__xludf.DUMMYFUNCTION("""COMPUTED_VALUE"""),"")</f>
        <v/>
      </c>
    </row>
    <row r="167">
      <c r="A167" s="4" t="str">
        <f>IFERROR(__xludf.DUMMYFUNCTION("""COMPUTED_VALUE"""),"2250 - Channel")</f>
        <v>2250 - Channel</v>
      </c>
      <c r="B167" s="4" t="str">
        <f>IFERROR(__xludf.DUMMYFUNCTION("""COMPUTED_VALUE"""),"Channel 1")</f>
        <v>Channel 1</v>
      </c>
      <c r="C167" s="4" t="str">
        <f>IFERROR(__xludf.DUMMYFUNCTION("""COMPUTED_VALUE"""),"Day 2 - 24/06")</f>
        <v>Day 2 - 24/06</v>
      </c>
      <c r="D167" s="6">
        <f>IFERROR(__xludf.DUMMYFUNCTION("""COMPUTED_VALUE"""),0.47245370370370393)</f>
        <v>0.4724537037</v>
      </c>
      <c r="E167" s="6">
        <f>IFERROR(__xludf.DUMMYFUNCTION("""COMPUTED_VALUE"""),2.314814814814815E-4)</f>
        <v>0.0002314814815</v>
      </c>
      <c r="F167" s="6">
        <f>IFERROR(__xludf.DUMMYFUNCTION("""COMPUTED_VALUE"""),0.47268518518518543)</f>
        <v>0.4726851852</v>
      </c>
      <c r="G167" s="4" t="str">
        <f>IFERROR(__xludf.DUMMYFUNCTION("""COMPUTED_VALUE"""),"")</f>
        <v/>
      </c>
      <c r="H167" s="4" t="str">
        <f>IFERROR(__xludf.DUMMYFUNCTION("""COMPUTED_VALUE"""),"")</f>
        <v/>
      </c>
      <c r="I167" s="4" t="str">
        <f>IFERROR(__xludf.DUMMYFUNCTION("""COMPUTED_VALUE"""),"")</f>
        <v/>
      </c>
      <c r="J167" s="4" t="str">
        <f>IFERROR(__xludf.DUMMYFUNCTION("""COMPUTED_VALUE"""),"")</f>
        <v/>
      </c>
      <c r="K167" s="4" t="str">
        <f>IFERROR(__xludf.DUMMYFUNCTION("""COMPUTED_VALUE"""),"Talk Outro")</f>
        <v>Talk Outro</v>
      </c>
      <c r="L167" s="4" t="str">
        <f>IFERROR(__xludf.DUMMYFUNCTION("""COMPUTED_VALUE"""),"")</f>
        <v/>
      </c>
      <c r="M167" s="4" t="str">
        <f>IFERROR(__xludf.DUMMYFUNCTION("""COMPUTED_VALUE"""),"Call to action")</f>
        <v>Call to action</v>
      </c>
      <c r="N167" s="4" t="str">
        <f>IFERROR(__xludf.DUMMYFUNCTION("""COMPUTED_VALUE"""),"Yvonne Redmond, Web Summit")</f>
        <v>Yvonne Redmond, Web Summit</v>
      </c>
      <c r="O167" s="4" t="str">
        <f>IFERROR(__xludf.DUMMYFUNCTION("""COMPUTED_VALUE"""),"")</f>
        <v/>
      </c>
      <c r="P167" s="4" t="str">
        <f>IFERROR(__xludf.DUMMYFUNCTION("""COMPUTED_VALUE"""),"")</f>
        <v/>
      </c>
      <c r="Q167" s="4" t="str">
        <f>IFERROR(__xludf.DUMMYFUNCTION("""COMPUTED_VALUE"""),"")</f>
        <v/>
      </c>
      <c r="R167" s="4" t="str">
        <f>IFERROR(__xludf.DUMMYFUNCTION("""COMPUTED_VALUE"""),"")</f>
        <v/>
      </c>
      <c r="S167" s="4" t="str">
        <f>IFERROR(__xludf.DUMMYFUNCTION("""COMPUTED_VALUE"""),"")</f>
        <v/>
      </c>
      <c r="T167" s="4" t="str">
        <f>IFERROR(__xludf.DUMMYFUNCTION("""COMPUTED_VALUE"""),"")</f>
        <v/>
      </c>
      <c r="U167" s="4" t="str">
        <f>IFERROR(__xludf.DUMMYFUNCTION("""COMPUTED_VALUE"""),"")</f>
        <v/>
      </c>
      <c r="V167" s="4" t="str">
        <f>IFERROR(__xludf.DUMMYFUNCTION("""COMPUTED_VALUE"""),"")</f>
        <v/>
      </c>
      <c r="W167" s="4" t="str">
        <f>IFERROR(__xludf.DUMMYFUNCTION("""COMPUTED_VALUE"""),"")</f>
        <v/>
      </c>
      <c r="X167" s="4" t="str">
        <f>IFERROR(__xludf.DUMMYFUNCTION("""COMPUTED_VALUE"""),"")</f>
        <v/>
      </c>
      <c r="Y167" s="4" t="str">
        <f>IFERROR(__xludf.DUMMYFUNCTION("""COMPUTED_VALUE"""),"")</f>
        <v/>
      </c>
    </row>
    <row r="168">
      <c r="A168" s="4" t="str">
        <f>IFERROR(__xludf.DUMMYFUNCTION("""COMPUTED_VALUE"""),"1809 - Channel")</f>
        <v>1809 - Channel</v>
      </c>
      <c r="B168" s="4" t="str">
        <f>IFERROR(__xludf.DUMMYFUNCTION("""COMPUTED_VALUE"""),"Channel 1")</f>
        <v>Channel 1</v>
      </c>
      <c r="C168" s="4" t="str">
        <f>IFERROR(__xludf.DUMMYFUNCTION("""COMPUTED_VALUE"""),"Day 2 - 24/06")</f>
        <v>Day 2 - 24/06</v>
      </c>
      <c r="D168" s="6">
        <f>IFERROR(__xludf.DUMMYFUNCTION("""COMPUTED_VALUE"""),0.47268518518518543)</f>
        <v>0.4726851852</v>
      </c>
      <c r="E168" s="6">
        <f>IFERROR(__xludf.DUMMYFUNCTION("""COMPUTED_VALUE"""),3.4722222222222224E-4)</f>
        <v>0.0003472222222</v>
      </c>
      <c r="F168" s="6">
        <f>IFERROR(__xludf.DUMMYFUNCTION("""COMPUTED_VALUE"""),0.47303240740740765)</f>
        <v>0.4730324074</v>
      </c>
      <c r="G168" s="4" t="str">
        <f>IFERROR(__xludf.DUMMYFUNCTION("""COMPUTED_VALUE"""),"")</f>
        <v/>
      </c>
      <c r="H168" s="4" t="str">
        <f>IFERROR(__xludf.DUMMYFUNCTION("""COMPUTED_VALUE"""),"")</f>
        <v/>
      </c>
      <c r="I168" s="4" t="str">
        <f>IFERROR(__xludf.DUMMYFUNCTION("""COMPUTED_VALUE"""),"")</f>
        <v/>
      </c>
      <c r="J168" s="4" t="str">
        <f>IFERROR(__xludf.DUMMYFUNCTION("""COMPUTED_VALUE"""),"")</f>
        <v/>
      </c>
      <c r="K168" s="4" t="str">
        <f>IFERROR(__xludf.DUMMYFUNCTION("""COMPUTED_VALUE"""),"RISE Trailer")</f>
        <v>RISE Trailer</v>
      </c>
      <c r="L168" s="4" t="str">
        <f>IFERROR(__xludf.DUMMYFUNCTION("""COMPUTED_VALUE"""),"")</f>
        <v/>
      </c>
      <c r="M168" s="4" t="str">
        <f>IFERROR(__xludf.DUMMYFUNCTION("""COMPUTED_VALUE"""),"RISE trailer")</f>
        <v>RISE trailer</v>
      </c>
      <c r="N168" s="4" t="str">
        <f>IFERROR(__xludf.DUMMYFUNCTION("""COMPUTED_VALUE"""),"Content pending")</f>
        <v>Content pending</v>
      </c>
      <c r="O168" s="4" t="str">
        <f>IFERROR(__xludf.DUMMYFUNCTION("""COMPUTED_VALUE"""),"")</f>
        <v/>
      </c>
      <c r="P168" s="4" t="str">
        <f>IFERROR(__xludf.DUMMYFUNCTION("""COMPUTED_VALUE"""),"")</f>
        <v/>
      </c>
      <c r="Q168" s="4" t="str">
        <f>IFERROR(__xludf.DUMMYFUNCTION("""COMPUTED_VALUE"""),"")</f>
        <v/>
      </c>
      <c r="R168" s="4" t="str">
        <f>IFERROR(__xludf.DUMMYFUNCTION("""COMPUTED_VALUE"""),"")</f>
        <v/>
      </c>
      <c r="S168" s="4" t="str">
        <f>IFERROR(__xludf.DUMMYFUNCTION("""COMPUTED_VALUE"""),"")</f>
        <v/>
      </c>
      <c r="T168" s="4" t="str">
        <f>IFERROR(__xludf.DUMMYFUNCTION("""COMPUTED_VALUE"""),"")</f>
        <v/>
      </c>
      <c r="U168" s="4" t="str">
        <f>IFERROR(__xludf.DUMMYFUNCTION("""COMPUTED_VALUE"""),"")</f>
        <v/>
      </c>
      <c r="V168" s="4" t="str">
        <f>IFERROR(__xludf.DUMMYFUNCTION("""COMPUTED_VALUE"""),"")</f>
        <v/>
      </c>
      <c r="W168" s="4" t="str">
        <f>IFERROR(__xludf.DUMMYFUNCTION("""COMPUTED_VALUE"""),"")</f>
        <v/>
      </c>
      <c r="X168" s="4" t="str">
        <f>IFERROR(__xludf.DUMMYFUNCTION("""COMPUTED_VALUE"""),"")</f>
        <v/>
      </c>
      <c r="Y168" s="4" t="str">
        <f>IFERROR(__xludf.DUMMYFUNCTION("""COMPUTED_VALUE"""),"")</f>
        <v/>
      </c>
    </row>
    <row r="169">
      <c r="A169" s="4" t="str">
        <f>IFERROR(__xludf.DUMMYFUNCTION("""COMPUTED_VALUE"""),"1513 - Channel")</f>
        <v>1513 - Channel</v>
      </c>
      <c r="B169" s="4" t="str">
        <f>IFERROR(__xludf.DUMMYFUNCTION("""COMPUTED_VALUE"""),"Channel 1")</f>
        <v>Channel 1</v>
      </c>
      <c r="C169" s="4" t="str">
        <f>IFERROR(__xludf.DUMMYFUNCTION("""COMPUTED_VALUE"""),"Day 2 - 24/06")</f>
        <v>Day 2 - 24/06</v>
      </c>
      <c r="D169" s="6">
        <f>IFERROR(__xludf.DUMMYFUNCTION("""COMPUTED_VALUE"""),0.47303240740740765)</f>
        <v>0.4730324074</v>
      </c>
      <c r="E169" s="6">
        <f>IFERROR(__xludf.DUMMYFUNCTION("""COMPUTED_VALUE"""),2.314814814814815E-4)</f>
        <v>0.0002314814815</v>
      </c>
      <c r="F169" s="6">
        <f>IFERROR(__xludf.DUMMYFUNCTION("""COMPUTED_VALUE"""),0.47326388888888915)</f>
        <v>0.4732638889</v>
      </c>
      <c r="G169" s="4" t="str">
        <f>IFERROR(__xludf.DUMMYFUNCTION("""COMPUTED_VALUE"""),"")</f>
        <v/>
      </c>
      <c r="H169" s="4" t="str">
        <f>IFERROR(__xludf.DUMMYFUNCTION("""COMPUTED_VALUE"""),"")</f>
        <v/>
      </c>
      <c r="I169" s="4" t="str">
        <f>IFERROR(__xludf.DUMMYFUNCTION("""COMPUTED_VALUE"""),"")</f>
        <v/>
      </c>
      <c r="J169" s="4" t="str">
        <f>IFERROR(__xludf.DUMMYFUNCTION("""COMPUTED_VALUE"""),"")</f>
        <v/>
      </c>
      <c r="K169" s="4" t="str">
        <f>IFERROR(__xludf.DUMMYFUNCTION("""COMPUTED_VALUE"""),"Talk Intro")</f>
        <v>Talk Intro</v>
      </c>
      <c r="L169" s="4" t="str">
        <f>IFERROR(__xludf.DUMMYFUNCTION("""COMPUTED_VALUE"""),"")</f>
        <v/>
      </c>
      <c r="M169" s="4" t="str">
        <f>IFERROR(__xludf.DUMMYFUNCTION("""COMPUTED_VALUE"""),"Talk intro ")</f>
        <v>Talk intro </v>
      </c>
      <c r="N169" s="4" t="str">
        <f>IFERROR(__xludf.DUMMYFUNCTION("""COMPUTED_VALUE"""),"Yvonne Redmond, Web Summit")</f>
        <v>Yvonne Redmond, Web Summit</v>
      </c>
      <c r="O169" s="4" t="str">
        <f>IFERROR(__xludf.DUMMYFUNCTION("""COMPUTED_VALUE"""),"")</f>
        <v/>
      </c>
      <c r="P169" s="4" t="str">
        <f>IFERROR(__xludf.DUMMYFUNCTION("""COMPUTED_VALUE"""),"")</f>
        <v/>
      </c>
      <c r="Q169" s="4" t="str">
        <f>IFERROR(__xludf.DUMMYFUNCTION("""COMPUTED_VALUE"""),"")</f>
        <v/>
      </c>
      <c r="R169" s="4" t="str">
        <f>IFERROR(__xludf.DUMMYFUNCTION("""COMPUTED_VALUE"""),"")</f>
        <v/>
      </c>
      <c r="S169" s="4" t="str">
        <f>IFERROR(__xludf.DUMMYFUNCTION("""COMPUTED_VALUE"""),"")</f>
        <v/>
      </c>
      <c r="T169" s="4" t="str">
        <f>IFERROR(__xludf.DUMMYFUNCTION("""COMPUTED_VALUE"""),"")</f>
        <v/>
      </c>
      <c r="U169" s="4" t="str">
        <f>IFERROR(__xludf.DUMMYFUNCTION("""COMPUTED_VALUE"""),"")</f>
        <v/>
      </c>
      <c r="V169" s="4" t="str">
        <f>IFERROR(__xludf.DUMMYFUNCTION("""COMPUTED_VALUE"""),"")</f>
        <v/>
      </c>
      <c r="W169" s="4" t="str">
        <f>IFERROR(__xludf.DUMMYFUNCTION("""COMPUTED_VALUE"""),"")</f>
        <v/>
      </c>
      <c r="X169" s="4" t="str">
        <f>IFERROR(__xludf.DUMMYFUNCTION("""COMPUTED_VALUE"""),"")</f>
        <v/>
      </c>
      <c r="Y169" s="4" t="str">
        <f>IFERROR(__xludf.DUMMYFUNCTION("""COMPUTED_VALUE"""),"")</f>
        <v/>
      </c>
    </row>
    <row r="170">
      <c r="A170" s="4" t="str">
        <f>IFERROR(__xludf.DUMMYFUNCTION("""COMPUTED_VALUE"""),"70 - Channel")</f>
        <v>70 - Channel</v>
      </c>
      <c r="B170" s="4" t="str">
        <f>IFERROR(__xludf.DUMMYFUNCTION("""COMPUTED_VALUE"""),"Channel 1")</f>
        <v>Channel 1</v>
      </c>
      <c r="C170" s="4" t="str">
        <f>IFERROR(__xludf.DUMMYFUNCTION("""COMPUTED_VALUE"""),"Day 2 - 24/06")</f>
        <v>Day 2 - 24/06</v>
      </c>
      <c r="D170" s="6">
        <f>IFERROR(__xludf.DUMMYFUNCTION("""COMPUTED_VALUE"""),0.47326388888888915)</f>
        <v>0.4732638889</v>
      </c>
      <c r="E170" s="6">
        <f>IFERROR(__xludf.DUMMYFUNCTION("""COMPUTED_VALUE"""),0.002199074074074074)</f>
        <v>0.002199074074</v>
      </c>
      <c r="F170" s="6">
        <f>IFERROR(__xludf.DUMMYFUNCTION("""COMPUTED_VALUE"""),0.4754629629629632)</f>
        <v>0.475462963</v>
      </c>
      <c r="G170" s="4" t="str">
        <f>IFERROR(__xludf.DUMMYFUNCTION("""COMPUTED_VALUE"""),"Dan")</f>
        <v>Dan</v>
      </c>
      <c r="H170" s="4" t="str">
        <f>IFERROR(__xludf.DUMMYFUNCTION("""COMPUTED_VALUE"""),"")</f>
        <v/>
      </c>
      <c r="I170" s="4" t="str">
        <f>IFERROR(__xludf.DUMMYFUNCTION("""COMPUTED_VALUE"""),"Jack")</f>
        <v>Jack</v>
      </c>
      <c r="J170" s="4" t="str">
        <f>IFERROR(__xludf.DUMMYFUNCTION("""COMPUTED_VALUE"""),"Climate")</f>
        <v>Climate</v>
      </c>
      <c r="K170" s="4" t="str">
        <f>IFERROR(__xludf.DUMMYFUNCTION("""COMPUTED_VALUE"""),"Keynote")</f>
        <v>Keynote</v>
      </c>
      <c r="L170" s="4" t="str">
        <f>IFERROR(__xludf.DUMMYFUNCTION("""COMPUTED_VALUE"""),"T- 4 - 25/05/2020")</f>
        <v>T- 4 - 25/05/2020</v>
      </c>
      <c r="M170" s="4" t="str">
        <f>IFERROR(__xludf.DUMMYFUNCTION("""COMPUTED_VALUE"""),"How can we save lives with seaweed?")</f>
        <v>How can we save lives with seaweed?</v>
      </c>
      <c r="N170" s="4" t="str">
        <f>IFERROR(__xludf.DUMMYFUNCTION("""COMPUTED_VALUE"""),"Sea Fawn Briganti, LOLIWARE")</f>
        <v>Sea Fawn Briganti, LOLIWARE</v>
      </c>
      <c r="O170" s="4" t="str">
        <f>IFERROR(__xludf.DUMMYFUNCTION("""COMPUTED_VALUE"""),"")</f>
        <v/>
      </c>
      <c r="P170" s="4" t="str">
        <f>IFERROR(__xludf.DUMMYFUNCTION("""COMPUTED_VALUE"""),"")</f>
        <v/>
      </c>
      <c r="Q170" s="4" t="str">
        <f>IFERROR(__xludf.DUMMYFUNCTION("""COMPUTED_VALUE"""),"")</f>
        <v/>
      </c>
      <c r="R170" s="4" t="str">
        <f>IFERROR(__xludf.DUMMYFUNCTION("""COMPUTED_VALUE"""),"")</f>
        <v/>
      </c>
      <c r="S170" s="4" t="str">
        <f>IFERROR(__xludf.DUMMYFUNCTION("""COMPUTED_VALUE"""),"During this challenging time for humanity and our planet, the Loliware team has been hard at work trying to answer this one simple question.")</f>
        <v>During this challenging time for humanity and our planet, the Loliware team has been hard at work trying to answer this one simple question.</v>
      </c>
      <c r="T170" s="4" t="str">
        <f>IFERROR(__xludf.DUMMYFUNCTION("""COMPUTED_VALUE"""),"KEYNOTE 8 - COMPLETE")</f>
        <v>KEYNOTE 8 - COMPLETE</v>
      </c>
      <c r="U170" s="23">
        <f>IFERROR(__xludf.DUMMYFUNCTION("""COMPUTED_VALUE"""),43976.0)</f>
        <v>43976</v>
      </c>
      <c r="V170" s="4" t="str">
        <f>IFERROR(__xludf.DUMMYFUNCTION("""COMPUTED_VALUE"""),"")</f>
        <v/>
      </c>
      <c r="W170" s="4" t="str">
        <f>IFERROR(__xludf.DUMMYFUNCTION("""COMPUTED_VALUE"""),"COMPLETE")</f>
        <v>COMPLETE</v>
      </c>
      <c r="X170" s="4" t="str">
        <f>IFERROR(__xludf.DUMMYFUNCTION("""COMPUTED_VALUE"""),"Dan")</f>
        <v>Dan</v>
      </c>
      <c r="Y170" s="4" t="str">
        <f>IFERROR(__xludf.DUMMYFUNCTION("""COMPUTED_VALUE"""),"")</f>
        <v/>
      </c>
    </row>
    <row r="171">
      <c r="A171" s="4" t="str">
        <f>IFERROR(__xludf.DUMMYFUNCTION("""COMPUTED_VALUE"""),"163 - Channel")</f>
        <v>163 - Channel</v>
      </c>
      <c r="B171" s="4" t="str">
        <f>IFERROR(__xludf.DUMMYFUNCTION("""COMPUTED_VALUE"""),"Channel 1")</f>
        <v>Channel 1</v>
      </c>
      <c r="C171" s="4" t="str">
        <f>IFERROR(__xludf.DUMMYFUNCTION("""COMPUTED_VALUE"""),"Day 2 - 24/06")</f>
        <v>Day 2 - 24/06</v>
      </c>
      <c r="D171" s="6">
        <f>IFERROR(__xludf.DUMMYFUNCTION("""COMPUTED_VALUE"""),0.4754629629629632)</f>
        <v>0.475462963</v>
      </c>
      <c r="E171" s="6">
        <f>IFERROR(__xludf.DUMMYFUNCTION("""COMPUTED_VALUE"""),2.314814814814815E-4)</f>
        <v>0.0002314814815</v>
      </c>
      <c r="F171" s="6">
        <f>IFERROR(__xludf.DUMMYFUNCTION("""COMPUTED_VALUE"""),0.4756944444444447)</f>
        <v>0.4756944444</v>
      </c>
      <c r="G171" s="4" t="str">
        <f>IFERROR(__xludf.DUMMYFUNCTION("""COMPUTED_VALUE"""),"")</f>
        <v/>
      </c>
      <c r="H171" s="4" t="str">
        <f>IFERROR(__xludf.DUMMYFUNCTION("""COMPUTED_VALUE"""),"")</f>
        <v/>
      </c>
      <c r="I171" s="4" t="str">
        <f>IFERROR(__xludf.DUMMYFUNCTION("""COMPUTED_VALUE"""),"")</f>
        <v/>
      </c>
      <c r="J171" s="4" t="str">
        <f>IFERROR(__xludf.DUMMYFUNCTION("""COMPUTED_VALUE"""),"")</f>
        <v/>
      </c>
      <c r="K171" s="4" t="str">
        <f>IFERROR(__xludf.DUMMYFUNCTION("""COMPUTED_VALUE"""),"Talk Intro")</f>
        <v>Talk Intro</v>
      </c>
      <c r="L171" s="4" t="str">
        <f>IFERROR(__xludf.DUMMYFUNCTION("""COMPUTED_VALUE"""),"")</f>
        <v/>
      </c>
      <c r="M171" s="4" t="str">
        <f>IFERROR(__xludf.DUMMYFUNCTION("""COMPUTED_VALUE"""),"Talk intro ")</f>
        <v>Talk intro </v>
      </c>
      <c r="N171" s="4" t="str">
        <f>IFERROR(__xludf.DUMMYFUNCTION("""COMPUTED_VALUE"""),"Yvonne Redmond, Web Summit")</f>
        <v>Yvonne Redmond, Web Summit</v>
      </c>
      <c r="O171" s="4" t="str">
        <f>IFERROR(__xludf.DUMMYFUNCTION("""COMPUTED_VALUE"""),"")</f>
        <v/>
      </c>
      <c r="P171" s="4" t="str">
        <f>IFERROR(__xludf.DUMMYFUNCTION("""COMPUTED_VALUE"""),"")</f>
        <v/>
      </c>
      <c r="Q171" s="4" t="str">
        <f>IFERROR(__xludf.DUMMYFUNCTION("""COMPUTED_VALUE"""),"")</f>
        <v/>
      </c>
      <c r="R171" s="4" t="str">
        <f>IFERROR(__xludf.DUMMYFUNCTION("""COMPUTED_VALUE"""),"")</f>
        <v/>
      </c>
      <c r="S171" s="4" t="str">
        <f>IFERROR(__xludf.DUMMYFUNCTION("""COMPUTED_VALUE"""),"")</f>
        <v/>
      </c>
      <c r="T171" s="4" t="str">
        <f>IFERROR(__xludf.DUMMYFUNCTION("""COMPUTED_VALUE"""),"")</f>
        <v/>
      </c>
      <c r="U171" s="4" t="str">
        <f>IFERROR(__xludf.DUMMYFUNCTION("""COMPUTED_VALUE"""),"")</f>
        <v/>
      </c>
      <c r="V171" s="4" t="str">
        <f>IFERROR(__xludf.DUMMYFUNCTION("""COMPUTED_VALUE"""),"")</f>
        <v/>
      </c>
      <c r="W171" s="4" t="str">
        <f>IFERROR(__xludf.DUMMYFUNCTION("""COMPUTED_VALUE"""),"")</f>
        <v/>
      </c>
      <c r="X171" s="4" t="str">
        <f>IFERROR(__xludf.DUMMYFUNCTION("""COMPUTED_VALUE"""),"")</f>
        <v/>
      </c>
      <c r="Y171" s="4" t="str">
        <f>IFERROR(__xludf.DUMMYFUNCTION("""COMPUTED_VALUE"""),"")</f>
        <v/>
      </c>
    </row>
    <row r="172">
      <c r="A172" s="4" t="str">
        <f>IFERROR(__xludf.DUMMYFUNCTION("""COMPUTED_VALUE"""),"154 - Channel")</f>
        <v>154 - Channel</v>
      </c>
      <c r="B172" s="4" t="str">
        <f>IFERROR(__xludf.DUMMYFUNCTION("""COMPUTED_VALUE"""),"Channel 1")</f>
        <v>Channel 1</v>
      </c>
      <c r="C172" s="4" t="str">
        <f>IFERROR(__xludf.DUMMYFUNCTION("""COMPUTED_VALUE"""),"Day 2 - 24/06")</f>
        <v>Day 2 - 24/06</v>
      </c>
      <c r="D172" s="6">
        <f>IFERROR(__xludf.DUMMYFUNCTION("""COMPUTED_VALUE"""),0.4756944444444447)</f>
        <v>0.4756944444</v>
      </c>
      <c r="E172" s="6">
        <f>IFERROR(__xludf.DUMMYFUNCTION("""COMPUTED_VALUE"""),0.009722222222222222)</f>
        <v>0.009722222222</v>
      </c>
      <c r="F172" s="6">
        <f>IFERROR(__xludf.DUMMYFUNCTION("""COMPUTED_VALUE"""),0.48541666666666694)</f>
        <v>0.4854166667</v>
      </c>
      <c r="G172" s="4" t="str">
        <f>IFERROR(__xludf.DUMMYFUNCTION("""COMPUTED_VALUE"""),"Startups")</f>
        <v>Startups</v>
      </c>
      <c r="H172" s="4" t="str">
        <f>IFERROR(__xludf.DUMMYFUNCTION("""COMPUTED_VALUE"""),"")</f>
        <v/>
      </c>
      <c r="I172" s="4" t="str">
        <f>IFERROR(__xludf.DUMMYFUNCTION("""COMPUTED_VALUE"""),"")</f>
        <v/>
      </c>
      <c r="J172" s="4" t="str">
        <f>IFERROR(__xludf.DUMMYFUNCTION("""COMPUTED_VALUE"""),"")</f>
        <v/>
      </c>
      <c r="K172" s="4" t="str">
        <f>IFERROR(__xludf.DUMMYFUNCTION("""COMPUTED_VALUE"""),"Pitch reel")</f>
        <v>Pitch reel</v>
      </c>
      <c r="L172" s="4" t="str">
        <f>IFERROR(__xludf.DUMMYFUNCTION("""COMPUTED_VALUE"""),"")</f>
        <v/>
      </c>
      <c r="M172" s="4" t="str">
        <f>IFERROR(__xludf.DUMMYFUNCTION("""COMPUTED_VALUE"""),"Pitch Semi-Final group 1 of 3 ")</f>
        <v>Pitch Semi-Final group 1 of 3 </v>
      </c>
      <c r="N172" s="4" t="str">
        <f>IFERROR(__xludf.DUMMYFUNCTION("""COMPUTED_VALUE"""),"Content pending")</f>
        <v>Content pending</v>
      </c>
      <c r="O172" s="4" t="str">
        <f>IFERROR(__xludf.DUMMYFUNCTION("""COMPUTED_VALUE"""),"")</f>
        <v/>
      </c>
      <c r="P172" s="4" t="str">
        <f>IFERROR(__xludf.DUMMYFUNCTION("""COMPUTED_VALUE"""),"")</f>
        <v/>
      </c>
      <c r="Q172" s="4" t="str">
        <f>IFERROR(__xludf.DUMMYFUNCTION("""COMPUTED_VALUE"""),"")</f>
        <v/>
      </c>
      <c r="R172" s="4" t="str">
        <f>IFERROR(__xludf.DUMMYFUNCTION("""COMPUTED_VALUE"""),"")</f>
        <v/>
      </c>
      <c r="S172" s="4" t="str">
        <f>IFERROR(__xludf.DUMMYFUNCTION("""COMPUTED_VALUE"""),"")</f>
        <v/>
      </c>
      <c r="T172" s="4" t="str">
        <f>IFERROR(__xludf.DUMMYFUNCTION("""COMPUTED_VALUE"""),"")</f>
        <v/>
      </c>
      <c r="U172" s="4" t="str">
        <f>IFERROR(__xludf.DUMMYFUNCTION("""COMPUTED_VALUE"""),"")</f>
        <v/>
      </c>
      <c r="V172" s="4" t="str">
        <f>IFERROR(__xludf.DUMMYFUNCTION("""COMPUTED_VALUE"""),"")</f>
        <v/>
      </c>
      <c r="W172" s="4" t="str">
        <f>IFERROR(__xludf.DUMMYFUNCTION("""COMPUTED_VALUE"""),"")</f>
        <v/>
      </c>
      <c r="X172" s="4" t="str">
        <f>IFERROR(__xludf.DUMMYFUNCTION("""COMPUTED_VALUE"""),"")</f>
        <v/>
      </c>
      <c r="Y172" s="4" t="str">
        <f>IFERROR(__xludf.DUMMYFUNCTION("""COMPUTED_VALUE"""),"")</f>
        <v/>
      </c>
    </row>
    <row r="173">
      <c r="A173" s="4" t="str">
        <f>IFERROR(__xludf.DUMMYFUNCTION("""COMPUTED_VALUE"""),"153 - Channel")</f>
        <v>153 - Channel</v>
      </c>
      <c r="B173" s="4" t="str">
        <f>IFERROR(__xludf.DUMMYFUNCTION("""COMPUTED_VALUE"""),"Channel 1")</f>
        <v>Channel 1</v>
      </c>
      <c r="C173" s="4" t="str">
        <f>IFERROR(__xludf.DUMMYFUNCTION("""COMPUTED_VALUE"""),"Day 2 - 24/06")</f>
        <v>Day 2 - 24/06</v>
      </c>
      <c r="D173" s="6">
        <f>IFERROR(__xludf.DUMMYFUNCTION("""COMPUTED_VALUE"""),0.48541666666666694)</f>
        <v>0.4854166667</v>
      </c>
      <c r="E173" s="6">
        <f>IFERROR(__xludf.DUMMYFUNCTION("""COMPUTED_VALUE"""),2.314814814814815E-4)</f>
        <v>0.0002314814815</v>
      </c>
      <c r="F173" s="6">
        <f>IFERROR(__xludf.DUMMYFUNCTION("""COMPUTED_VALUE"""),0.48564814814814844)</f>
        <v>0.4856481481</v>
      </c>
      <c r="G173" s="4" t="str">
        <f>IFERROR(__xludf.DUMMYFUNCTION("""COMPUTED_VALUE"""),"")</f>
        <v/>
      </c>
      <c r="H173" s="4" t="str">
        <f>IFERROR(__xludf.DUMMYFUNCTION("""COMPUTED_VALUE"""),"")</f>
        <v/>
      </c>
      <c r="I173" s="4" t="str">
        <f>IFERROR(__xludf.DUMMYFUNCTION("""COMPUTED_VALUE"""),"")</f>
        <v/>
      </c>
      <c r="J173" s="4" t="str">
        <f>IFERROR(__xludf.DUMMYFUNCTION("""COMPUTED_VALUE"""),"")</f>
        <v/>
      </c>
      <c r="K173" s="4" t="str">
        <f>IFERROR(__xludf.DUMMYFUNCTION("""COMPUTED_VALUE"""),"Talk Intro")</f>
        <v>Talk Intro</v>
      </c>
      <c r="L173" s="4" t="str">
        <f>IFERROR(__xludf.DUMMYFUNCTION("""COMPUTED_VALUE"""),"")</f>
        <v/>
      </c>
      <c r="M173" s="4" t="str">
        <f>IFERROR(__xludf.DUMMYFUNCTION("""COMPUTED_VALUE"""),"Talk intro ")</f>
        <v>Talk intro </v>
      </c>
      <c r="N173" s="4" t="str">
        <f>IFERROR(__xludf.DUMMYFUNCTION("""COMPUTED_VALUE"""),"Yvonne Redmond, Web Summit")</f>
        <v>Yvonne Redmond, Web Summit</v>
      </c>
      <c r="O173" s="4" t="str">
        <f>IFERROR(__xludf.DUMMYFUNCTION("""COMPUTED_VALUE"""),"")</f>
        <v/>
      </c>
      <c r="P173" s="4" t="str">
        <f>IFERROR(__xludf.DUMMYFUNCTION("""COMPUTED_VALUE"""),"")</f>
        <v/>
      </c>
      <c r="Q173" s="4" t="str">
        <f>IFERROR(__xludf.DUMMYFUNCTION("""COMPUTED_VALUE"""),"")</f>
        <v/>
      </c>
      <c r="R173" s="4" t="str">
        <f>IFERROR(__xludf.DUMMYFUNCTION("""COMPUTED_VALUE"""),"")</f>
        <v/>
      </c>
      <c r="S173" s="4" t="str">
        <f>IFERROR(__xludf.DUMMYFUNCTION("""COMPUTED_VALUE"""),"")</f>
        <v/>
      </c>
      <c r="T173" s="4" t="str">
        <f>IFERROR(__xludf.DUMMYFUNCTION("""COMPUTED_VALUE"""),"")</f>
        <v/>
      </c>
      <c r="U173" s="4" t="str">
        <f>IFERROR(__xludf.DUMMYFUNCTION("""COMPUTED_VALUE"""),"")</f>
        <v/>
      </c>
      <c r="V173" s="4" t="str">
        <f>IFERROR(__xludf.DUMMYFUNCTION("""COMPUTED_VALUE"""),"")</f>
        <v/>
      </c>
      <c r="W173" s="4" t="str">
        <f>IFERROR(__xludf.DUMMYFUNCTION("""COMPUTED_VALUE"""),"")</f>
        <v/>
      </c>
      <c r="X173" s="4" t="str">
        <f>IFERROR(__xludf.DUMMYFUNCTION("""COMPUTED_VALUE"""),"")</f>
        <v/>
      </c>
      <c r="Y173" s="4" t="str">
        <f>IFERROR(__xludf.DUMMYFUNCTION("""COMPUTED_VALUE"""),"")</f>
        <v/>
      </c>
    </row>
    <row r="174">
      <c r="A174" s="4" t="str">
        <f>IFERROR(__xludf.DUMMYFUNCTION("""COMPUTED_VALUE"""),"148 - Channel")</f>
        <v>148 - Channel</v>
      </c>
      <c r="B174" s="4" t="str">
        <f>IFERROR(__xludf.DUMMYFUNCTION("""COMPUTED_VALUE"""),"Channel 1")</f>
        <v>Channel 1</v>
      </c>
      <c r="C174" s="4" t="str">
        <f>IFERROR(__xludf.DUMMYFUNCTION("""COMPUTED_VALUE"""),"Day 2 - 24/06")</f>
        <v>Day 2 - 24/06</v>
      </c>
      <c r="D174" s="6">
        <f>IFERROR(__xludf.DUMMYFUNCTION("""COMPUTED_VALUE"""),0.48564814814814844)</f>
        <v>0.4856481481</v>
      </c>
      <c r="E174" s="6">
        <f>IFERROR(__xludf.DUMMYFUNCTION("""COMPUTED_VALUE"""),0.009722222222222222)</f>
        <v>0.009722222222</v>
      </c>
      <c r="F174" s="6">
        <f>IFERROR(__xludf.DUMMYFUNCTION("""COMPUTED_VALUE"""),0.4953703703703707)</f>
        <v>0.4953703704</v>
      </c>
      <c r="G174" s="4" t="str">
        <f>IFERROR(__xludf.DUMMYFUNCTION("""COMPUTED_VALUE"""),"Gavin")</f>
        <v>Gavin</v>
      </c>
      <c r="H174" s="4" t="str">
        <f>IFERROR(__xludf.DUMMYFUNCTION("""COMPUTED_VALUE"""),"Eoghan")</f>
        <v>Eoghan</v>
      </c>
      <c r="I174" s="4" t="str">
        <f>IFERROR(__xludf.DUMMYFUNCTION("""COMPUTED_VALUE"""),"Lynn")</f>
        <v>Lynn</v>
      </c>
      <c r="J174" s="4" t="str">
        <f>IFERROR(__xludf.DUMMYFUNCTION("""COMPUTED_VALUE"""),"")</f>
        <v/>
      </c>
      <c r="K174" s="4" t="str">
        <f>IFERROR(__xludf.DUMMYFUNCTION("""COMPUTED_VALUE"""),"Super Fireside")</f>
        <v>Super Fireside</v>
      </c>
      <c r="L174" s="4" t="str">
        <f>IFERROR(__xludf.DUMMYFUNCTION("""COMPUTED_VALUE"""),"T- 4 - 25/05/2020")</f>
        <v>T- 4 - 25/05/2020</v>
      </c>
      <c r="M174" s="4" t="str">
        <f>IFERROR(__xludf.DUMMYFUNCTION("""COMPUTED_VALUE"""),"How to trump the Trump economy")</f>
        <v>How to trump the Trump economy</v>
      </c>
      <c r="N174" s="4" t="str">
        <f>IFERROR(__xludf.DUMMYFUNCTION("""COMPUTED_VALUE"""),"John Negroponte, McLarty Associates")</f>
        <v>John Negroponte, McLarty Associates</v>
      </c>
      <c r="O174" s="4" t="str">
        <f>IFERROR(__xludf.DUMMYFUNCTION("""COMPUTED_VALUE"""),"Cameron Kerry, Brookings Institution")</f>
        <v>Cameron Kerry, Brookings Institution</v>
      </c>
      <c r="P174" s="4" t="str">
        <f>IFERROR(__xludf.DUMMYFUNCTION("""COMPUTED_VALUE"""),"")</f>
        <v/>
      </c>
      <c r="Q174" s="4" t="str">
        <f>IFERROR(__xludf.DUMMYFUNCTION("""COMPUTED_VALUE"""),"")</f>
        <v/>
      </c>
      <c r="R174" s="4" t="str">
        <f>IFERROR(__xludf.DUMMYFUNCTION("""COMPUTED_VALUE"""),"Martina Fuchs, CGTN")</f>
        <v>Martina Fuchs, CGTN</v>
      </c>
      <c r="S174" s="4" t="str">
        <f>IFERROR(__xludf.DUMMYFUNCTION("""COMPUTED_VALUE"""),"The world of international trade, national security and international relations is a complicated one. Never more so than today. These two speakers have been navigating those murky waters for decades. Join us to learn about the world of international affai"&amp;"rs from two of its most expert proponents.")</f>
        <v>The world of international trade, national security and international relations is a complicated one. Never more so than today. These two speakers have been navigating those murky waters for decades. Join us to learn about the world of international affairs from two of its most expert proponents.</v>
      </c>
      <c r="T174" s="4" t="str">
        <f>IFERROR(__xludf.DUMMYFUNCTION("""COMPUTED_VALUE"""),"NON-KEYNOTE 9 - COMPLETE")</f>
        <v>NON-KEYNOTE 9 - COMPLETE</v>
      </c>
      <c r="U174" s="23">
        <f>IFERROR(__xludf.DUMMYFUNCTION("""COMPUTED_VALUE"""),43980.0)</f>
        <v>43980</v>
      </c>
      <c r="V174" s="24">
        <f>IFERROR(__xludf.DUMMYFUNCTION("""COMPUTED_VALUE"""),0.875)</f>
        <v>0.875</v>
      </c>
      <c r="W174" s="4" t="str">
        <f>IFERROR(__xludf.DUMMYFUNCTION("""COMPUTED_VALUE"""),"COMPLETE")</f>
        <v>COMPLETE</v>
      </c>
      <c r="X174" s="4" t="str">
        <f>IFERROR(__xludf.DUMMYFUNCTION("""COMPUTED_VALUE"""),"Gavin")</f>
        <v>Gavin</v>
      </c>
      <c r="Y174" s="4" t="str">
        <f>IFERROR(__xludf.DUMMYFUNCTION("""COMPUTED_VALUE"""),"")</f>
        <v/>
      </c>
    </row>
    <row r="175">
      <c r="A175" s="4" t="str">
        <f>IFERROR(__xludf.DUMMYFUNCTION("""COMPUTED_VALUE"""),"1551 - Channel")</f>
        <v>1551 - Channel</v>
      </c>
      <c r="B175" s="4" t="str">
        <f>IFERROR(__xludf.DUMMYFUNCTION("""COMPUTED_VALUE"""),"Channel 1")</f>
        <v>Channel 1</v>
      </c>
      <c r="C175" s="4" t="str">
        <f>IFERROR(__xludf.DUMMYFUNCTION("""COMPUTED_VALUE"""),"Day 2 - 24/06")</f>
        <v>Day 2 - 24/06</v>
      </c>
      <c r="D175" s="6">
        <f>IFERROR(__xludf.DUMMYFUNCTION("""COMPUTED_VALUE"""),0.4953703703703707)</f>
        <v>0.4953703704</v>
      </c>
      <c r="E175" s="6">
        <f>IFERROR(__xludf.DUMMYFUNCTION("""COMPUTED_VALUE"""),2.314814814814815E-4)</f>
        <v>0.0002314814815</v>
      </c>
      <c r="F175" s="6">
        <f>IFERROR(__xludf.DUMMYFUNCTION("""COMPUTED_VALUE"""),0.4956018518518522)</f>
        <v>0.4956018519</v>
      </c>
      <c r="G175" s="4" t="str">
        <f>IFERROR(__xludf.DUMMYFUNCTION("""COMPUTED_VALUE"""),"")</f>
        <v/>
      </c>
      <c r="H175" s="4" t="str">
        <f>IFERROR(__xludf.DUMMYFUNCTION("""COMPUTED_VALUE"""),"")</f>
        <v/>
      </c>
      <c r="I175" s="4" t="str">
        <f>IFERROR(__xludf.DUMMYFUNCTION("""COMPUTED_VALUE"""),"")</f>
        <v/>
      </c>
      <c r="J175" s="4" t="str">
        <f>IFERROR(__xludf.DUMMYFUNCTION("""COMPUTED_VALUE"""),"")</f>
        <v/>
      </c>
      <c r="K175" s="4" t="str">
        <f>IFERROR(__xludf.DUMMYFUNCTION("""COMPUTED_VALUE"""),"Talk Intro")</f>
        <v>Talk Intro</v>
      </c>
      <c r="L175" s="4" t="str">
        <f>IFERROR(__xludf.DUMMYFUNCTION("""COMPUTED_VALUE"""),"")</f>
        <v/>
      </c>
      <c r="M175" s="4" t="str">
        <f>IFERROR(__xludf.DUMMYFUNCTION("""COMPUTED_VALUE"""),"Talk intro ")</f>
        <v>Talk intro </v>
      </c>
      <c r="N175" s="4" t="str">
        <f>IFERROR(__xludf.DUMMYFUNCTION("""COMPUTED_VALUE"""),"Yvonne Redmond, Web Summit")</f>
        <v>Yvonne Redmond, Web Summit</v>
      </c>
      <c r="O175" s="4" t="str">
        <f>IFERROR(__xludf.DUMMYFUNCTION("""COMPUTED_VALUE"""),"")</f>
        <v/>
      </c>
      <c r="P175" s="4" t="str">
        <f>IFERROR(__xludf.DUMMYFUNCTION("""COMPUTED_VALUE"""),"")</f>
        <v/>
      </c>
      <c r="Q175" s="4" t="str">
        <f>IFERROR(__xludf.DUMMYFUNCTION("""COMPUTED_VALUE"""),"")</f>
        <v/>
      </c>
      <c r="R175" s="4" t="str">
        <f>IFERROR(__xludf.DUMMYFUNCTION("""COMPUTED_VALUE"""),"")</f>
        <v/>
      </c>
      <c r="S175" s="4" t="str">
        <f>IFERROR(__xludf.DUMMYFUNCTION("""COMPUTED_VALUE"""),"")</f>
        <v/>
      </c>
      <c r="T175" s="4" t="str">
        <f>IFERROR(__xludf.DUMMYFUNCTION("""COMPUTED_VALUE"""),"")</f>
        <v/>
      </c>
      <c r="U175" s="4" t="str">
        <f>IFERROR(__xludf.DUMMYFUNCTION("""COMPUTED_VALUE"""),"")</f>
        <v/>
      </c>
      <c r="V175" s="4" t="str">
        <f>IFERROR(__xludf.DUMMYFUNCTION("""COMPUTED_VALUE"""),"")</f>
        <v/>
      </c>
      <c r="W175" s="4" t="str">
        <f>IFERROR(__xludf.DUMMYFUNCTION("""COMPUTED_VALUE"""),"")</f>
        <v/>
      </c>
      <c r="X175" s="4" t="str">
        <f>IFERROR(__xludf.DUMMYFUNCTION("""COMPUTED_VALUE"""),"")</f>
        <v/>
      </c>
      <c r="Y175" s="4" t="str">
        <f>IFERROR(__xludf.DUMMYFUNCTION("""COMPUTED_VALUE"""),"")</f>
        <v/>
      </c>
    </row>
    <row r="176">
      <c r="A176" s="4" t="str">
        <f>IFERROR(__xludf.DUMMYFUNCTION("""COMPUTED_VALUE"""),"1552 - Channel")</f>
        <v>1552 - Channel</v>
      </c>
      <c r="B176" s="4" t="str">
        <f>IFERROR(__xludf.DUMMYFUNCTION("""COMPUTED_VALUE"""),"Channel 1")</f>
        <v>Channel 1</v>
      </c>
      <c r="C176" s="4" t="str">
        <f>IFERROR(__xludf.DUMMYFUNCTION("""COMPUTED_VALUE"""),"Day 2 - 24/06")</f>
        <v>Day 2 - 24/06</v>
      </c>
      <c r="D176" s="6">
        <f>IFERROR(__xludf.DUMMYFUNCTION("""COMPUTED_VALUE"""),0.4956018518518522)</f>
        <v>0.4956018519</v>
      </c>
      <c r="E176" s="6">
        <f>IFERROR(__xludf.DUMMYFUNCTION("""COMPUTED_VALUE"""),0.005555555555555556)</f>
        <v>0.005555555556</v>
      </c>
      <c r="F176" s="6">
        <f>IFERROR(__xludf.DUMMYFUNCTION("""COMPUTED_VALUE"""),0.5011574074074078)</f>
        <v>0.5011574074</v>
      </c>
      <c r="G176" s="4" t="str">
        <f>IFERROR(__xludf.DUMMYFUNCTION("""COMPUTED_VALUE"""),"Yvonne")</f>
        <v>Yvonne</v>
      </c>
      <c r="H176" s="4" t="str">
        <f>IFERROR(__xludf.DUMMYFUNCTION("""COMPUTED_VALUE"""),"")</f>
        <v/>
      </c>
      <c r="I176" s="4" t="str">
        <f>IFERROR(__xludf.DUMMYFUNCTION("""COMPUTED_VALUE"""),"Lucia H.")</f>
        <v>Lucia H.</v>
      </c>
      <c r="J176" s="4" t="str">
        <f>IFERROR(__xludf.DUMMYFUNCTION("""COMPUTED_VALUE"""),"")</f>
        <v/>
      </c>
      <c r="K176" s="4" t="str">
        <f>IFERROR(__xludf.DUMMYFUNCTION("""COMPUTED_VALUE"""),"Keynote")</f>
        <v>Keynote</v>
      </c>
      <c r="L176" s="4" t="str">
        <f>IFERROR(__xludf.DUMMYFUNCTION("""COMPUTED_VALUE"""),"T- 2 - 08/06/2020")</f>
        <v>T- 2 - 08/06/2020</v>
      </c>
      <c r="M176" s="4" t="str">
        <f>IFERROR(__xludf.DUMMYFUNCTION("""COMPUTED_VALUE"""),"Optimism is a choice")</f>
        <v>Optimism is a choice</v>
      </c>
      <c r="N176" s="4" t="str">
        <f>IFERROR(__xludf.DUMMYFUNCTION("""COMPUTED_VALUE"""),"Lily Cole, Impossible")</f>
        <v>Lily Cole, Impossible</v>
      </c>
      <c r="O176" s="4" t="str">
        <f>IFERROR(__xludf.DUMMYFUNCTION("""COMPUTED_VALUE"""),"")</f>
        <v/>
      </c>
      <c r="P176" s="4" t="str">
        <f>IFERROR(__xludf.DUMMYFUNCTION("""COMPUTED_VALUE"""),"")</f>
        <v/>
      </c>
      <c r="Q176" s="4" t="str">
        <f>IFERROR(__xludf.DUMMYFUNCTION("""COMPUTED_VALUE"""),"")</f>
        <v/>
      </c>
      <c r="R176" s="4" t="str">
        <f>IFERROR(__xludf.DUMMYFUNCTION("""COMPUTED_VALUE"""),"")</f>
        <v/>
      </c>
      <c r="S176" s="4" t="str">
        <f>IFERROR(__xludf.DUMMYFUNCTION("""COMPUTED_VALUE"""),"Optimism is a choice, a choice is a will, and where there's a will there's a way. Model-turned-activist Lily Cole discusses sustainable solutions to the biggest problems of our times, and why optimism trumps apathy every single time.
")</f>
        <v>Optimism is a choice, a choice is a will, and where there's a will there's a way. Model-turned-activist Lily Cole discusses sustainable solutions to the biggest problems of our times, and why optimism trumps apathy every single time.
</v>
      </c>
      <c r="T176" s="4" t="str">
        <f>IFERROR(__xludf.DUMMYFUNCTION("""COMPUTED_VALUE"""),"KEYNOTE 3 - Slides to be submitted")</f>
        <v>KEYNOTE 3 - Slides to be submitted</v>
      </c>
      <c r="U176" s="23">
        <f>IFERROR(__xludf.DUMMYFUNCTION("""COMPUTED_VALUE"""),43990.0)</f>
        <v>43990</v>
      </c>
      <c r="V176" s="44">
        <f>IFERROR(__xludf.DUMMYFUNCTION("""COMPUTED_VALUE"""),0.75)</f>
        <v>0.75</v>
      </c>
      <c r="W176" s="4" t="str">
        <f>IFERROR(__xludf.DUMMYFUNCTION("""COMPUTED_VALUE"""),"")</f>
        <v/>
      </c>
      <c r="X176" s="4" t="str">
        <f>IFERROR(__xludf.DUMMYFUNCTION("""COMPUTED_VALUE"""),"")</f>
        <v/>
      </c>
      <c r="Y176" s="4" t="str">
        <f>IFERROR(__xludf.DUMMYFUNCTION("""COMPUTED_VALUE"""),"")</f>
        <v/>
      </c>
    </row>
    <row r="177">
      <c r="A177" s="4" t="str">
        <f>IFERROR(__xludf.DUMMYFUNCTION("""COMPUTED_VALUE"""),"1521 - Channel")</f>
        <v>1521 - Channel</v>
      </c>
      <c r="B177" s="4" t="str">
        <f>IFERROR(__xludf.DUMMYFUNCTION("""COMPUTED_VALUE"""),"Channel 1")</f>
        <v>Channel 1</v>
      </c>
      <c r="C177" s="4" t="str">
        <f>IFERROR(__xludf.DUMMYFUNCTION("""COMPUTED_VALUE"""),"Day 2 - 24/06")</f>
        <v>Day 2 - 24/06</v>
      </c>
      <c r="D177" s="4" t="str">
        <f>IFERROR(__xludf.DUMMYFUNCTION("""COMPUTED_VALUE"""),"")</f>
        <v/>
      </c>
      <c r="E177" s="4" t="str">
        <f>IFERROR(__xludf.DUMMYFUNCTION("""COMPUTED_VALUE"""),"")</f>
        <v/>
      </c>
      <c r="F177" s="4" t="str">
        <f>IFERROR(__xludf.DUMMYFUNCTION("""COMPUTED_VALUE"""),"")</f>
        <v/>
      </c>
      <c r="G177" s="4" t="str">
        <f>IFERROR(__xludf.DUMMYFUNCTION("""COMPUTED_VALUE"""),"")</f>
        <v/>
      </c>
      <c r="H177" s="4" t="str">
        <f>IFERROR(__xludf.DUMMYFUNCTION("""COMPUTED_VALUE"""),"")</f>
        <v/>
      </c>
      <c r="I177" s="4" t="str">
        <f>IFERROR(__xludf.DUMMYFUNCTION("""COMPUTED_VALUE"""),"")</f>
        <v/>
      </c>
      <c r="J177" s="4" t="str">
        <f>IFERROR(__xludf.DUMMYFUNCTION("""COMPUTED_VALUE"""),"")</f>
        <v/>
      </c>
      <c r="K177" s="4" t="str">
        <f>IFERROR(__xludf.DUMMYFUNCTION("""COMPUTED_VALUE"""),"")</f>
        <v/>
      </c>
      <c r="L177" s="4" t="str">
        <f>IFERROR(__xludf.DUMMYFUNCTION("""COMPUTED_VALUE"""),"")</f>
        <v/>
      </c>
      <c r="M177" s="4" t="str">
        <f>IFERROR(__xludf.DUMMYFUNCTION("""COMPUTED_VALUE"""),"")</f>
        <v/>
      </c>
      <c r="N177" s="4" t="str">
        <f>IFERROR(__xludf.DUMMYFUNCTION("""COMPUTED_VALUE"""),"")</f>
        <v/>
      </c>
      <c r="O177" s="4" t="str">
        <f>IFERROR(__xludf.DUMMYFUNCTION("""COMPUTED_VALUE"""),"")</f>
        <v/>
      </c>
      <c r="P177" s="4" t="str">
        <f>IFERROR(__xludf.DUMMYFUNCTION("""COMPUTED_VALUE"""),"")</f>
        <v/>
      </c>
      <c r="Q177" s="4" t="str">
        <f>IFERROR(__xludf.DUMMYFUNCTION("""COMPUTED_VALUE"""),"")</f>
        <v/>
      </c>
      <c r="R177" s="4" t="str">
        <f>IFERROR(__xludf.DUMMYFUNCTION("""COMPUTED_VALUE"""),"")</f>
        <v/>
      </c>
      <c r="S177" s="4" t="str">
        <f>IFERROR(__xludf.DUMMYFUNCTION("""COMPUTED_VALUE"""),"")</f>
        <v/>
      </c>
      <c r="T177" s="4" t="str">
        <f>IFERROR(__xludf.DUMMYFUNCTION("""COMPUTED_VALUE"""),"")</f>
        <v/>
      </c>
      <c r="U177" s="4" t="str">
        <f>IFERROR(__xludf.DUMMYFUNCTION("""COMPUTED_VALUE"""),"")</f>
        <v/>
      </c>
      <c r="V177" s="4" t="str">
        <f>IFERROR(__xludf.DUMMYFUNCTION("""COMPUTED_VALUE"""),"")</f>
        <v/>
      </c>
      <c r="W177" s="4" t="str">
        <f>IFERROR(__xludf.DUMMYFUNCTION("""COMPUTED_VALUE"""),"")</f>
        <v/>
      </c>
      <c r="X177" s="4" t="str">
        <f>IFERROR(__xludf.DUMMYFUNCTION("""COMPUTED_VALUE"""),"")</f>
        <v/>
      </c>
      <c r="Y177" s="4" t="str">
        <f>IFERROR(__xludf.DUMMYFUNCTION("""COMPUTED_VALUE"""),"")</f>
        <v/>
      </c>
    </row>
    <row r="178">
      <c r="A178" s="4" t="str">
        <f>IFERROR(__xludf.DUMMYFUNCTION("""COMPUTED_VALUE"""),"170 - Channel")</f>
        <v>170 - Channel</v>
      </c>
      <c r="B178" s="4" t="str">
        <f>IFERROR(__xludf.DUMMYFUNCTION("""COMPUTED_VALUE"""),"Channel 1")</f>
        <v>Channel 1</v>
      </c>
      <c r="C178" s="4" t="str">
        <f>IFERROR(__xludf.DUMMYFUNCTION("""COMPUTED_VALUE"""),"Day 2 - 24/06")</f>
        <v>Day 2 - 24/06</v>
      </c>
      <c r="D178" s="6">
        <f>IFERROR(__xludf.DUMMYFUNCTION("""COMPUTED_VALUE"""),0.5011574074074078)</f>
        <v>0.5011574074</v>
      </c>
      <c r="E178" s="6">
        <f>IFERROR(__xludf.DUMMYFUNCTION("""COMPUTED_VALUE"""),3.4722222222222224E-4)</f>
        <v>0.0003472222222</v>
      </c>
      <c r="F178" s="6">
        <f>IFERROR(__xludf.DUMMYFUNCTION("""COMPUTED_VALUE"""),0.50150462962963)</f>
        <v>0.5015046296</v>
      </c>
      <c r="G178" s="4" t="str">
        <f>IFERROR(__xludf.DUMMYFUNCTION("""COMPUTED_VALUE"""),"Video")</f>
        <v>Video</v>
      </c>
      <c r="H178" s="4" t="str">
        <f>IFERROR(__xludf.DUMMYFUNCTION("""COMPUTED_VALUE"""),"")</f>
        <v/>
      </c>
      <c r="I178" s="4" t="str">
        <f>IFERROR(__xludf.DUMMYFUNCTION("""COMPUTED_VALUE"""),"")</f>
        <v/>
      </c>
      <c r="J178" s="4" t="str">
        <f>IFERROR(__xludf.DUMMYFUNCTION("""COMPUTED_VALUE"""),"")</f>
        <v/>
      </c>
      <c r="K178" s="4" t="str">
        <f>IFERROR(__xludf.DUMMYFUNCTION("""COMPUTED_VALUE"""),"RISE Trailer")</f>
        <v>RISE Trailer</v>
      </c>
      <c r="L178" s="4" t="str">
        <f>IFERROR(__xludf.DUMMYFUNCTION("""COMPUTED_VALUE"""),"")</f>
        <v/>
      </c>
      <c r="M178" s="4" t="str">
        <f>IFERROR(__xludf.DUMMYFUNCTION("""COMPUTED_VALUE"""),"RISE promo")</f>
        <v>RISE promo</v>
      </c>
      <c r="N178" s="4" t="str">
        <f>IFERROR(__xludf.DUMMYFUNCTION("""COMPUTED_VALUE"""),"Content pending")</f>
        <v>Content pending</v>
      </c>
      <c r="O178" s="4" t="str">
        <f>IFERROR(__xludf.DUMMYFUNCTION("""COMPUTED_VALUE"""),"")</f>
        <v/>
      </c>
      <c r="P178" s="4" t="str">
        <f>IFERROR(__xludf.DUMMYFUNCTION("""COMPUTED_VALUE"""),"")</f>
        <v/>
      </c>
      <c r="Q178" s="4" t="str">
        <f>IFERROR(__xludf.DUMMYFUNCTION("""COMPUTED_VALUE"""),"")</f>
        <v/>
      </c>
      <c r="R178" s="4" t="str">
        <f>IFERROR(__xludf.DUMMYFUNCTION("""COMPUTED_VALUE"""),"")</f>
        <v/>
      </c>
      <c r="S178" s="4" t="str">
        <f>IFERROR(__xludf.DUMMYFUNCTION("""COMPUTED_VALUE"""),"")</f>
        <v/>
      </c>
      <c r="T178" s="4" t="str">
        <f>IFERROR(__xludf.DUMMYFUNCTION("""COMPUTED_VALUE"""),"")</f>
        <v/>
      </c>
      <c r="U178" s="4" t="str">
        <f>IFERROR(__xludf.DUMMYFUNCTION("""COMPUTED_VALUE"""),"")</f>
        <v/>
      </c>
      <c r="V178" s="4" t="str">
        <f>IFERROR(__xludf.DUMMYFUNCTION("""COMPUTED_VALUE"""),"")</f>
        <v/>
      </c>
      <c r="W178" s="4" t="str">
        <f>IFERROR(__xludf.DUMMYFUNCTION("""COMPUTED_VALUE"""),"")</f>
        <v/>
      </c>
      <c r="X178" s="4" t="str">
        <f>IFERROR(__xludf.DUMMYFUNCTION("""COMPUTED_VALUE"""),"")</f>
        <v/>
      </c>
      <c r="Y178" s="4" t="str">
        <f>IFERROR(__xludf.DUMMYFUNCTION("""COMPUTED_VALUE"""),"")</f>
        <v/>
      </c>
    </row>
    <row r="179">
      <c r="A179" s="4" t="str">
        <f>IFERROR(__xludf.DUMMYFUNCTION("""COMPUTED_VALUE"""),"1726 - Channel")</f>
        <v>1726 - Channel</v>
      </c>
      <c r="B179" s="4" t="str">
        <f>IFERROR(__xludf.DUMMYFUNCTION("""COMPUTED_VALUE"""),"Channel 1")</f>
        <v>Channel 1</v>
      </c>
      <c r="C179" s="4" t="str">
        <f>IFERROR(__xludf.DUMMYFUNCTION("""COMPUTED_VALUE"""),"Day 2 - 24/06")</f>
        <v>Day 2 - 24/06</v>
      </c>
      <c r="D179" s="6">
        <f>IFERROR(__xludf.DUMMYFUNCTION("""COMPUTED_VALUE"""),0.50150462962963)</f>
        <v>0.5015046296</v>
      </c>
      <c r="E179" s="6">
        <f>IFERROR(__xludf.DUMMYFUNCTION("""COMPUTED_VALUE"""),6.944444444444445E-4)</f>
        <v>0.0006944444444</v>
      </c>
      <c r="F179" s="6">
        <f>IFERROR(__xludf.DUMMYFUNCTION("""COMPUTED_VALUE"""),0.5021990740740745)</f>
        <v>0.5021990741</v>
      </c>
      <c r="G179" s="4" t="str">
        <f>IFERROR(__xludf.DUMMYFUNCTION("""COMPUTED_VALUE"""),"")</f>
        <v/>
      </c>
      <c r="H179" s="4" t="str">
        <f>IFERROR(__xludf.DUMMYFUNCTION("""COMPUTED_VALUE"""),"")</f>
        <v/>
      </c>
      <c r="I179" s="4" t="str">
        <f>IFERROR(__xludf.DUMMYFUNCTION("""COMPUTED_VALUE"""),"")</f>
        <v/>
      </c>
      <c r="J179" s="4" t="str">
        <f>IFERROR(__xludf.DUMMYFUNCTION("""COMPUTED_VALUE"""),"")</f>
        <v/>
      </c>
      <c r="K179" s="4" t="str">
        <f>IFERROR(__xludf.DUMMYFUNCTION("""COMPUTED_VALUE"""),"Laundry List/Lookaround")</f>
        <v>Laundry List/Lookaround</v>
      </c>
      <c r="L179" s="4" t="str">
        <f>IFERROR(__xludf.DUMMYFUNCTION("""COMPUTED_VALUE"""),"")</f>
        <v/>
      </c>
      <c r="M179" s="4" t="str">
        <f>IFERROR(__xludf.DUMMYFUNCTION("""COMPUTED_VALUE"""),"LaundryDay2_12pm ")</f>
        <v>LaundryDay2_12pm </v>
      </c>
      <c r="N179" s="4" t="str">
        <f>IFERROR(__xludf.DUMMYFUNCTION("""COMPUTED_VALUE"""),"Yvonne Redmond, Web Summit")</f>
        <v>Yvonne Redmond, Web Summit</v>
      </c>
      <c r="O179" s="4" t="str">
        <f>IFERROR(__xludf.DUMMYFUNCTION("""COMPUTED_VALUE"""),"")</f>
        <v/>
      </c>
      <c r="P179" s="4" t="str">
        <f>IFERROR(__xludf.DUMMYFUNCTION("""COMPUTED_VALUE"""),"")</f>
        <v/>
      </c>
      <c r="Q179" s="4" t="str">
        <f>IFERROR(__xludf.DUMMYFUNCTION("""COMPUTED_VALUE"""),"")</f>
        <v/>
      </c>
      <c r="R179" s="4" t="str">
        <f>IFERROR(__xludf.DUMMYFUNCTION("""COMPUTED_VALUE"""),"")</f>
        <v/>
      </c>
      <c r="S179" s="4" t="str">
        <f>IFERROR(__xludf.DUMMYFUNCTION("""COMPUTED_VALUE"""),"")</f>
        <v/>
      </c>
      <c r="T179" s="4" t="str">
        <f>IFERROR(__xludf.DUMMYFUNCTION("""COMPUTED_VALUE"""),"")</f>
        <v/>
      </c>
      <c r="U179" s="4" t="str">
        <f>IFERROR(__xludf.DUMMYFUNCTION("""COMPUTED_VALUE"""),"")</f>
        <v/>
      </c>
      <c r="V179" s="4" t="str">
        <f>IFERROR(__xludf.DUMMYFUNCTION("""COMPUTED_VALUE"""),"")</f>
        <v/>
      </c>
      <c r="W179" s="4" t="str">
        <f>IFERROR(__xludf.DUMMYFUNCTION("""COMPUTED_VALUE"""),"")</f>
        <v/>
      </c>
      <c r="X179" s="4" t="str">
        <f>IFERROR(__xludf.DUMMYFUNCTION("""COMPUTED_VALUE"""),"")</f>
        <v/>
      </c>
      <c r="Y179" s="4" t="str">
        <f>IFERROR(__xludf.DUMMYFUNCTION("""COMPUTED_VALUE"""),"")</f>
        <v/>
      </c>
    </row>
    <row r="180">
      <c r="A180" s="4" t="str">
        <f>IFERROR(__xludf.DUMMYFUNCTION("""COMPUTED_VALUE"""),"171 - Channel")</f>
        <v>171 - Channel</v>
      </c>
      <c r="B180" s="4" t="str">
        <f>IFERROR(__xludf.DUMMYFUNCTION("""COMPUTED_VALUE"""),"Channel 1")</f>
        <v>Channel 1</v>
      </c>
      <c r="C180" s="4" t="str">
        <f>IFERROR(__xludf.DUMMYFUNCTION("""COMPUTED_VALUE"""),"Day 2 - 24/06")</f>
        <v>Day 2 - 24/06</v>
      </c>
      <c r="D180" s="6">
        <f>IFERROR(__xludf.DUMMYFUNCTION("""COMPUTED_VALUE"""),0.5021990740740745)</f>
        <v>0.5021990741</v>
      </c>
      <c r="E180" s="6">
        <f>IFERROR(__xludf.DUMMYFUNCTION("""COMPUTED_VALUE"""),2.314814814814815E-4)</f>
        <v>0.0002314814815</v>
      </c>
      <c r="F180" s="6">
        <f>IFERROR(__xludf.DUMMYFUNCTION("""COMPUTED_VALUE"""),0.5024305555555559)</f>
        <v>0.5024305556</v>
      </c>
      <c r="G180" s="4" t="str">
        <f>IFERROR(__xludf.DUMMYFUNCTION("""COMPUTED_VALUE"""),"")</f>
        <v/>
      </c>
      <c r="H180" s="4" t="str">
        <f>IFERROR(__xludf.DUMMYFUNCTION("""COMPUTED_VALUE"""),"")</f>
        <v/>
      </c>
      <c r="I180" s="4" t="str">
        <f>IFERROR(__xludf.DUMMYFUNCTION("""COMPUTED_VALUE"""),"")</f>
        <v/>
      </c>
      <c r="J180" s="4" t="str">
        <f>IFERROR(__xludf.DUMMYFUNCTION("""COMPUTED_VALUE"""),"")</f>
        <v/>
      </c>
      <c r="K180" s="4" t="str">
        <f>IFERROR(__xludf.DUMMYFUNCTION("""COMPUTED_VALUE"""),"Talk Intro")</f>
        <v>Talk Intro</v>
      </c>
      <c r="L180" s="4" t="str">
        <f>IFERROR(__xludf.DUMMYFUNCTION("""COMPUTED_VALUE"""),"")</f>
        <v/>
      </c>
      <c r="M180" s="4" t="str">
        <f>IFERROR(__xludf.DUMMYFUNCTION("""COMPUTED_VALUE"""),"Talk intro ")</f>
        <v>Talk intro </v>
      </c>
      <c r="N180" s="4" t="str">
        <f>IFERROR(__xludf.DUMMYFUNCTION("""COMPUTED_VALUE"""),"Yvonne Redmond, Web Summit")</f>
        <v>Yvonne Redmond, Web Summit</v>
      </c>
      <c r="O180" s="4" t="str">
        <f>IFERROR(__xludf.DUMMYFUNCTION("""COMPUTED_VALUE"""),"")</f>
        <v/>
      </c>
      <c r="P180" s="4" t="str">
        <f>IFERROR(__xludf.DUMMYFUNCTION("""COMPUTED_VALUE"""),"")</f>
        <v/>
      </c>
      <c r="Q180" s="4" t="str">
        <f>IFERROR(__xludf.DUMMYFUNCTION("""COMPUTED_VALUE"""),"")</f>
        <v/>
      </c>
      <c r="R180" s="4" t="str">
        <f>IFERROR(__xludf.DUMMYFUNCTION("""COMPUTED_VALUE"""),"")</f>
        <v/>
      </c>
      <c r="S180" s="4" t="str">
        <f>IFERROR(__xludf.DUMMYFUNCTION("""COMPUTED_VALUE"""),"")</f>
        <v/>
      </c>
      <c r="T180" s="4" t="str">
        <f>IFERROR(__xludf.DUMMYFUNCTION("""COMPUTED_VALUE"""),"")</f>
        <v/>
      </c>
      <c r="U180" s="4" t="str">
        <f>IFERROR(__xludf.DUMMYFUNCTION("""COMPUTED_VALUE"""),"")</f>
        <v/>
      </c>
      <c r="V180" s="4" t="str">
        <f>IFERROR(__xludf.DUMMYFUNCTION("""COMPUTED_VALUE"""),"")</f>
        <v/>
      </c>
      <c r="W180" s="4" t="str">
        <f>IFERROR(__xludf.DUMMYFUNCTION("""COMPUTED_VALUE"""),"")</f>
        <v/>
      </c>
      <c r="X180" s="4" t="str">
        <f>IFERROR(__xludf.DUMMYFUNCTION("""COMPUTED_VALUE"""),"")</f>
        <v/>
      </c>
      <c r="Y180" s="4" t="str">
        <f>IFERROR(__xludf.DUMMYFUNCTION("""COMPUTED_VALUE"""),"")</f>
        <v/>
      </c>
    </row>
    <row r="181">
      <c r="A181" s="4" t="str">
        <f>IFERROR(__xludf.DUMMYFUNCTION("""COMPUTED_VALUE"""),"328 - Channel")</f>
        <v>328 - Channel</v>
      </c>
      <c r="B181" s="4" t="str">
        <f>IFERROR(__xludf.DUMMYFUNCTION("""COMPUTED_VALUE"""),"Channel 1")</f>
        <v>Channel 1</v>
      </c>
      <c r="C181" s="4" t="str">
        <f>IFERROR(__xludf.DUMMYFUNCTION("""COMPUTED_VALUE"""),"Day 2 - 24/06")</f>
        <v>Day 2 - 24/06</v>
      </c>
      <c r="D181" s="6">
        <f>IFERROR(__xludf.DUMMYFUNCTION("""COMPUTED_VALUE"""),0.5024305555555559)</f>
        <v>0.5024305556</v>
      </c>
      <c r="E181" s="6">
        <f>IFERROR(__xludf.DUMMYFUNCTION("""COMPUTED_VALUE"""),0.009027777777777777)</f>
        <v>0.009027777778</v>
      </c>
      <c r="F181" s="6">
        <f>IFERROR(__xludf.DUMMYFUNCTION("""COMPUTED_VALUE"""),0.5114583333333337)</f>
        <v>0.5114583333</v>
      </c>
      <c r="G181" s="4" t="str">
        <f>IFERROR(__xludf.DUMMYFUNCTION("""COMPUTED_VALUE"""),"Gavin")</f>
        <v>Gavin</v>
      </c>
      <c r="H181" s="4" t="str">
        <f>IFERROR(__xludf.DUMMYFUNCTION("""COMPUTED_VALUE"""),"Eoghan")</f>
        <v>Eoghan</v>
      </c>
      <c r="I181" s="4" t="str">
        <f>IFERROR(__xludf.DUMMYFUNCTION("""COMPUTED_VALUE"""),"Eabha")</f>
        <v>Eabha</v>
      </c>
      <c r="J181" s="4" t="str">
        <f>IFERROR(__xludf.DUMMYFUNCTION("""COMPUTED_VALUE"""),"")</f>
        <v/>
      </c>
      <c r="K181" s="4" t="str">
        <f>IFERROR(__xludf.DUMMYFUNCTION("""COMPUTED_VALUE"""),"Super Fireside")</f>
        <v>Super Fireside</v>
      </c>
      <c r="L181" s="4" t="str">
        <f>IFERROR(__xludf.DUMMYFUNCTION("""COMPUTED_VALUE"""),"T- 4 - 25/05/2020")</f>
        <v>T- 4 - 25/05/2020</v>
      </c>
      <c r="M181" s="4" t="str">
        <f>IFERROR(__xludf.DUMMYFUNCTION("""COMPUTED_VALUE""")," Can data save the world?")</f>
        <v> Can data save the world?</v>
      </c>
      <c r="N181" s="4" t="str">
        <f>IFERROR(__xludf.DUMMYFUNCTION("""COMPUTED_VALUE"""),"Jeannie Annan, International Rescue Committee")</f>
        <v>Jeannie Annan, International Rescue Committee</v>
      </c>
      <c r="O181" s="4" t="str">
        <f>IFERROR(__xludf.DUMMYFUNCTION("""COMPUTED_VALUE"""),"Bettina Stix, Amazon")</f>
        <v>Bettina Stix, Amazon</v>
      </c>
      <c r="P181" s="4" t="str">
        <f>IFERROR(__xludf.DUMMYFUNCTION("""COMPUTED_VALUE"""),"")</f>
        <v/>
      </c>
      <c r="Q181" s="4" t="str">
        <f>IFERROR(__xludf.DUMMYFUNCTION("""COMPUTED_VALUE"""),"")</f>
        <v/>
      </c>
      <c r="R181" s="4" t="str">
        <f>IFERROR(__xludf.DUMMYFUNCTION("""COMPUTED_VALUE"""),"Simon Robinson, Reuters")</f>
        <v>Simon Robinson, Reuters</v>
      </c>
      <c r="S181" s="4" t="str">
        <f>IFERROR(__xludf.DUMMYFUNCTION("""COMPUTED_VALUE"""),"Reacting to humanitarian crises is incredibly difficult. There is no doubt that more – and better – use of data can help. In this session, we will hear from world leaders on the use of data to better respond to crises, and save lives. ")</f>
        <v>Reacting to humanitarian crises is incredibly difficult. There is no doubt that more – and better – use of data can help. In this session, we will hear from world leaders on the use of data to better respond to crises, and save lives. </v>
      </c>
      <c r="T181" s="4" t="str">
        <f>IFERROR(__xludf.DUMMYFUNCTION("""COMPUTED_VALUE"""),"NON-KEYNOTE 9 - COMPLETE")</f>
        <v>NON-KEYNOTE 9 - COMPLETE</v>
      </c>
      <c r="U181" s="23">
        <f>IFERROR(__xludf.DUMMYFUNCTION("""COMPUTED_VALUE"""),43980.0)</f>
        <v>43980</v>
      </c>
      <c r="V181" s="24">
        <f>IFERROR(__xludf.DUMMYFUNCTION("""COMPUTED_VALUE"""),0.7083333333333334)</f>
        <v>0.7083333333</v>
      </c>
      <c r="W181" s="4" t="str">
        <f>IFERROR(__xludf.DUMMYFUNCTION("""COMPUTED_VALUE"""),"COMPLETE")</f>
        <v>COMPLETE</v>
      </c>
      <c r="X181" s="4" t="str">
        <f>IFERROR(__xludf.DUMMYFUNCTION("""COMPUTED_VALUE"""),"Gavin")</f>
        <v>Gavin</v>
      </c>
      <c r="Y181" s="4" t="str">
        <f>IFERROR(__xludf.DUMMYFUNCTION("""COMPUTED_VALUE"""),"")</f>
        <v/>
      </c>
    </row>
    <row r="182">
      <c r="A182" s="4" t="str">
        <f>IFERROR(__xludf.DUMMYFUNCTION("""COMPUTED_VALUE"""),"1390 - Channel")</f>
        <v>1390 - Channel</v>
      </c>
      <c r="B182" s="4" t="str">
        <f>IFERROR(__xludf.DUMMYFUNCTION("""COMPUTED_VALUE"""),"Channel 1")</f>
        <v>Channel 1</v>
      </c>
      <c r="C182" s="4" t="str">
        <f>IFERROR(__xludf.DUMMYFUNCTION("""COMPUTED_VALUE"""),"Day 2 - 24/06")</f>
        <v>Day 2 - 24/06</v>
      </c>
      <c r="D182" s="6">
        <f>IFERROR(__xludf.DUMMYFUNCTION("""COMPUTED_VALUE"""),0.5114583333333337)</f>
        <v>0.5114583333</v>
      </c>
      <c r="E182" s="6">
        <f>IFERROR(__xludf.DUMMYFUNCTION("""COMPUTED_VALUE"""),3.4722222222222224E-4)</f>
        <v>0.0003472222222</v>
      </c>
      <c r="F182" s="6">
        <f>IFERROR(__xludf.DUMMYFUNCTION("""COMPUTED_VALUE"""),0.511805555555556)</f>
        <v>0.5118055556</v>
      </c>
      <c r="G182" s="4" t="str">
        <f>IFERROR(__xludf.DUMMYFUNCTION("""COMPUTED_VALUE"""),"")</f>
        <v/>
      </c>
      <c r="H182" s="4" t="str">
        <f>IFERROR(__xludf.DUMMYFUNCTION("""COMPUTED_VALUE"""),"")</f>
        <v/>
      </c>
      <c r="I182" s="4" t="str">
        <f>IFERROR(__xludf.DUMMYFUNCTION("""COMPUTED_VALUE"""),"")</f>
        <v/>
      </c>
      <c r="J182" s="4" t="str">
        <f>IFERROR(__xludf.DUMMYFUNCTION("""COMPUTED_VALUE"""),"")</f>
        <v/>
      </c>
      <c r="K182" s="4" t="str">
        <f>IFERROR(__xludf.DUMMYFUNCTION("""COMPUTED_VALUE"""),"Web Summit Trailer - short")</f>
        <v>Web Summit Trailer - short</v>
      </c>
      <c r="L182" s="4" t="str">
        <f>IFERROR(__xludf.DUMMYFUNCTION("""COMPUTED_VALUE"""),"")</f>
        <v/>
      </c>
      <c r="M182" s="4" t="str">
        <f>IFERROR(__xludf.DUMMYFUNCTION("""COMPUTED_VALUE"""),"Web Summit promo")</f>
        <v>Web Summit promo</v>
      </c>
      <c r="N182" s="4" t="str">
        <f>IFERROR(__xludf.DUMMYFUNCTION("""COMPUTED_VALUE"""),"Content pending")</f>
        <v>Content pending</v>
      </c>
      <c r="O182" s="4" t="str">
        <f>IFERROR(__xludf.DUMMYFUNCTION("""COMPUTED_VALUE"""),"")</f>
        <v/>
      </c>
      <c r="P182" s="4" t="str">
        <f>IFERROR(__xludf.DUMMYFUNCTION("""COMPUTED_VALUE"""),"")</f>
        <v/>
      </c>
      <c r="Q182" s="4" t="str">
        <f>IFERROR(__xludf.DUMMYFUNCTION("""COMPUTED_VALUE"""),"")</f>
        <v/>
      </c>
      <c r="R182" s="4" t="str">
        <f>IFERROR(__xludf.DUMMYFUNCTION("""COMPUTED_VALUE"""),"")</f>
        <v/>
      </c>
      <c r="S182" s="4" t="str">
        <f>IFERROR(__xludf.DUMMYFUNCTION("""COMPUTED_VALUE"""),"")</f>
        <v/>
      </c>
      <c r="T182" s="4" t="str">
        <f>IFERROR(__xludf.DUMMYFUNCTION("""COMPUTED_VALUE"""),"")</f>
        <v/>
      </c>
      <c r="U182" s="4" t="str">
        <f>IFERROR(__xludf.DUMMYFUNCTION("""COMPUTED_VALUE"""),"")</f>
        <v/>
      </c>
      <c r="V182" s="4" t="str">
        <f>IFERROR(__xludf.DUMMYFUNCTION("""COMPUTED_VALUE"""),"")</f>
        <v/>
      </c>
      <c r="W182" s="4" t="str">
        <f>IFERROR(__xludf.DUMMYFUNCTION("""COMPUTED_VALUE"""),"")</f>
        <v/>
      </c>
      <c r="X182" s="4" t="str">
        <f>IFERROR(__xludf.DUMMYFUNCTION("""COMPUTED_VALUE"""),"")</f>
        <v/>
      </c>
      <c r="Y182" s="4" t="str">
        <f>IFERROR(__xludf.DUMMYFUNCTION("""COMPUTED_VALUE"""),"")</f>
        <v/>
      </c>
    </row>
    <row r="183">
      <c r="A183" s="4" t="str">
        <f>IFERROR(__xludf.DUMMYFUNCTION("""COMPUTED_VALUE"""),"174 - Channel")</f>
        <v>174 - Channel</v>
      </c>
      <c r="B183" s="4" t="str">
        <f>IFERROR(__xludf.DUMMYFUNCTION("""COMPUTED_VALUE"""),"Channel 1")</f>
        <v>Channel 1</v>
      </c>
      <c r="C183" s="4" t="str">
        <f>IFERROR(__xludf.DUMMYFUNCTION("""COMPUTED_VALUE"""),"Day 2 - 24/06")</f>
        <v>Day 2 - 24/06</v>
      </c>
      <c r="D183" s="6">
        <f>IFERROR(__xludf.DUMMYFUNCTION("""COMPUTED_VALUE"""),0.511805555555556)</f>
        <v>0.5118055556</v>
      </c>
      <c r="E183" s="6">
        <f>IFERROR(__xludf.DUMMYFUNCTION("""COMPUTED_VALUE"""),2.314814814814815E-4)</f>
        <v>0.0002314814815</v>
      </c>
      <c r="F183" s="6">
        <f>IFERROR(__xludf.DUMMYFUNCTION("""COMPUTED_VALUE"""),0.5120370370370374)</f>
        <v>0.512037037</v>
      </c>
      <c r="G183" s="4" t="str">
        <f>IFERROR(__xludf.DUMMYFUNCTION("""COMPUTED_VALUE"""),"")</f>
        <v/>
      </c>
      <c r="H183" s="4" t="str">
        <f>IFERROR(__xludf.DUMMYFUNCTION("""COMPUTED_VALUE"""),"")</f>
        <v/>
      </c>
      <c r="I183" s="4" t="str">
        <f>IFERROR(__xludf.DUMMYFUNCTION("""COMPUTED_VALUE"""),"")</f>
        <v/>
      </c>
      <c r="J183" s="4" t="str">
        <f>IFERROR(__xludf.DUMMYFUNCTION("""COMPUTED_VALUE"""),"")</f>
        <v/>
      </c>
      <c r="K183" s="4" t="str">
        <f>IFERROR(__xludf.DUMMYFUNCTION("""COMPUTED_VALUE"""),"Talk Intro")</f>
        <v>Talk Intro</v>
      </c>
      <c r="L183" s="4" t="str">
        <f>IFERROR(__xludf.DUMMYFUNCTION("""COMPUTED_VALUE"""),"")</f>
        <v/>
      </c>
      <c r="M183" s="4" t="str">
        <f>IFERROR(__xludf.DUMMYFUNCTION("""COMPUTED_VALUE"""),"Teaser: Sidewalk Labs_Intro")</f>
        <v>Teaser: Sidewalk Labs_Intro</v>
      </c>
      <c r="N183" s="4" t="str">
        <f>IFERROR(__xludf.DUMMYFUNCTION("""COMPUTED_VALUE"""),"Yvonne Redmond, Web Summit")</f>
        <v>Yvonne Redmond, Web Summit</v>
      </c>
      <c r="O183" s="4" t="str">
        <f>IFERROR(__xludf.DUMMYFUNCTION("""COMPUTED_VALUE"""),"")</f>
        <v/>
      </c>
      <c r="P183" s="4" t="str">
        <f>IFERROR(__xludf.DUMMYFUNCTION("""COMPUTED_VALUE"""),"")</f>
        <v/>
      </c>
      <c r="Q183" s="4" t="str">
        <f>IFERROR(__xludf.DUMMYFUNCTION("""COMPUTED_VALUE"""),"")</f>
        <v/>
      </c>
      <c r="R183" s="4" t="str">
        <f>IFERROR(__xludf.DUMMYFUNCTION("""COMPUTED_VALUE"""),"")</f>
        <v/>
      </c>
      <c r="S183" s="4" t="str">
        <f>IFERROR(__xludf.DUMMYFUNCTION("""COMPUTED_VALUE"""),"")</f>
        <v/>
      </c>
      <c r="T183" s="4" t="str">
        <f>IFERROR(__xludf.DUMMYFUNCTION("""COMPUTED_VALUE"""),"")</f>
        <v/>
      </c>
      <c r="U183" s="4" t="str">
        <f>IFERROR(__xludf.DUMMYFUNCTION("""COMPUTED_VALUE"""),"")</f>
        <v/>
      </c>
      <c r="V183" s="4" t="str">
        <f>IFERROR(__xludf.DUMMYFUNCTION("""COMPUTED_VALUE"""),"")</f>
        <v/>
      </c>
      <c r="W183" s="4" t="str">
        <f>IFERROR(__xludf.DUMMYFUNCTION("""COMPUTED_VALUE"""),"")</f>
        <v/>
      </c>
      <c r="X183" s="4" t="str">
        <f>IFERROR(__xludf.DUMMYFUNCTION("""COMPUTED_VALUE"""),"")</f>
        <v/>
      </c>
      <c r="Y183" s="4" t="str">
        <f>IFERROR(__xludf.DUMMYFUNCTION("""COMPUTED_VALUE"""),"")</f>
        <v/>
      </c>
    </row>
    <row r="184">
      <c r="A184" s="4" t="str">
        <f>IFERROR(__xludf.DUMMYFUNCTION("""COMPUTED_VALUE"""),"176 - Channel")</f>
        <v>176 - Channel</v>
      </c>
      <c r="B184" s="4" t="str">
        <f>IFERROR(__xludf.DUMMYFUNCTION("""COMPUTED_VALUE"""),"Channel 1")</f>
        <v>Channel 1</v>
      </c>
      <c r="C184" s="4" t="str">
        <f>IFERROR(__xludf.DUMMYFUNCTION("""COMPUTED_VALUE"""),"Day 2 - 24/06")</f>
        <v>Day 2 - 24/06</v>
      </c>
      <c r="D184" s="6">
        <f>IFERROR(__xludf.DUMMYFUNCTION("""COMPUTED_VALUE"""),0.5120370370370374)</f>
        <v>0.512037037</v>
      </c>
      <c r="E184" s="6">
        <f>IFERROR(__xludf.DUMMYFUNCTION("""COMPUTED_VALUE"""),0.0020833333333333333)</f>
        <v>0.002083333333</v>
      </c>
      <c r="F184" s="6">
        <f>IFERROR(__xludf.DUMMYFUNCTION("""COMPUTED_VALUE"""),0.5141203703703707)</f>
        <v>0.5141203704</v>
      </c>
      <c r="G184" s="4" t="str">
        <f>IFERROR(__xludf.DUMMYFUNCTION("""COMPUTED_VALUE"""),"")</f>
        <v/>
      </c>
      <c r="H184" s="4" t="str">
        <f>IFERROR(__xludf.DUMMYFUNCTION("""COMPUTED_VALUE"""),"")</f>
        <v/>
      </c>
      <c r="I184" s="4" t="str">
        <f>IFERROR(__xludf.DUMMYFUNCTION("""COMPUTED_VALUE"""),"")</f>
        <v/>
      </c>
      <c r="J184" s="4" t="str">
        <f>IFERROR(__xludf.DUMMYFUNCTION("""COMPUTED_VALUE"""),"")</f>
        <v/>
      </c>
      <c r="K184" s="4" t="str">
        <f>IFERROR(__xludf.DUMMYFUNCTION("""COMPUTED_VALUE"""),"Teaser")</f>
        <v>Teaser</v>
      </c>
      <c r="L184" s="4" t="str">
        <f>IFERROR(__xludf.DUMMYFUNCTION("""COMPUTED_VALUE"""),"")</f>
        <v/>
      </c>
      <c r="M184" s="4" t="str">
        <f>IFERROR(__xludf.DUMMYFUNCTION("""COMPUTED_VALUE"""),"Teaser: Sidewalk Labs")</f>
        <v>Teaser: Sidewalk Labs</v>
      </c>
      <c r="N184" s="4" t="str">
        <f>IFERROR(__xludf.DUMMYFUNCTION("""COMPUTED_VALUE"""),"")</f>
        <v/>
      </c>
      <c r="O184" s="4" t="str">
        <f>IFERROR(__xludf.DUMMYFUNCTION("""COMPUTED_VALUE"""),"")</f>
        <v/>
      </c>
      <c r="P184" s="4" t="str">
        <f>IFERROR(__xludf.DUMMYFUNCTION("""COMPUTED_VALUE"""),"")</f>
        <v/>
      </c>
      <c r="Q184" s="4" t="str">
        <f>IFERROR(__xludf.DUMMYFUNCTION("""COMPUTED_VALUE"""),"")</f>
        <v/>
      </c>
      <c r="R184" s="4" t="str">
        <f>IFERROR(__xludf.DUMMYFUNCTION("""COMPUTED_VALUE"""),"")</f>
        <v/>
      </c>
      <c r="S184" s="4" t="str">
        <f>IFERROR(__xludf.DUMMYFUNCTION("""COMPUTED_VALUE"""),"")</f>
        <v/>
      </c>
      <c r="T184" s="4" t="str">
        <f>IFERROR(__xludf.DUMMYFUNCTION("""COMPUTED_VALUE"""),"")</f>
        <v/>
      </c>
      <c r="U184" s="4" t="str">
        <f>IFERROR(__xludf.DUMMYFUNCTION("""COMPUTED_VALUE"""),"")</f>
        <v/>
      </c>
      <c r="V184" s="4" t="str">
        <f>IFERROR(__xludf.DUMMYFUNCTION("""COMPUTED_VALUE"""),"")</f>
        <v/>
      </c>
      <c r="W184" s="4" t="str">
        <f>IFERROR(__xludf.DUMMYFUNCTION("""COMPUTED_VALUE"""),"")</f>
        <v/>
      </c>
      <c r="X184" s="4" t="str">
        <f>IFERROR(__xludf.DUMMYFUNCTION("""COMPUTED_VALUE"""),"")</f>
        <v/>
      </c>
      <c r="Y184" s="4" t="str">
        <f>IFERROR(__xludf.DUMMYFUNCTION("""COMPUTED_VALUE"""),"")</f>
        <v/>
      </c>
    </row>
    <row r="185">
      <c r="A185" s="4" t="str">
        <f>IFERROR(__xludf.DUMMYFUNCTION("""COMPUTED_VALUE"""),"2251 - Channel")</f>
        <v>2251 - Channel</v>
      </c>
      <c r="B185" s="4" t="str">
        <f>IFERROR(__xludf.DUMMYFUNCTION("""COMPUTED_VALUE"""),"Channel 1")</f>
        <v>Channel 1</v>
      </c>
      <c r="C185" s="4" t="str">
        <f>IFERROR(__xludf.DUMMYFUNCTION("""COMPUTED_VALUE"""),"Day 2 - 24/06")</f>
        <v>Day 2 - 24/06</v>
      </c>
      <c r="D185" s="6">
        <f>IFERROR(__xludf.DUMMYFUNCTION("""COMPUTED_VALUE"""),0.5141203703703707)</f>
        <v>0.5141203704</v>
      </c>
      <c r="E185" s="6">
        <f>IFERROR(__xludf.DUMMYFUNCTION("""COMPUTED_VALUE"""),2.314814814814815E-4)</f>
        <v>0.0002314814815</v>
      </c>
      <c r="F185" s="6">
        <f>IFERROR(__xludf.DUMMYFUNCTION("""COMPUTED_VALUE"""),0.5143518518518522)</f>
        <v>0.5143518519</v>
      </c>
      <c r="G185" s="4" t="str">
        <f>IFERROR(__xludf.DUMMYFUNCTION("""COMPUTED_VALUE"""),"")</f>
        <v/>
      </c>
      <c r="H185" s="4" t="str">
        <f>IFERROR(__xludf.DUMMYFUNCTION("""COMPUTED_VALUE"""),"")</f>
        <v/>
      </c>
      <c r="I185" s="4" t="str">
        <f>IFERROR(__xludf.DUMMYFUNCTION("""COMPUTED_VALUE"""),"")</f>
        <v/>
      </c>
      <c r="J185" s="4" t="str">
        <f>IFERROR(__xludf.DUMMYFUNCTION("""COMPUTED_VALUE"""),"")</f>
        <v/>
      </c>
      <c r="K185" s="4" t="str">
        <f>IFERROR(__xludf.DUMMYFUNCTION("""COMPUTED_VALUE"""),"Talk Outro")</f>
        <v>Talk Outro</v>
      </c>
      <c r="L185" s="4" t="str">
        <f>IFERROR(__xludf.DUMMYFUNCTION("""COMPUTED_VALUE"""),"")</f>
        <v/>
      </c>
      <c r="M185" s="4" t="str">
        <f>IFERROR(__xludf.DUMMYFUNCTION("""COMPUTED_VALUE"""),"Call to action")</f>
        <v>Call to action</v>
      </c>
      <c r="N185" s="4" t="str">
        <f>IFERROR(__xludf.DUMMYFUNCTION("""COMPUTED_VALUE"""),"Yvonne Redmond, Web Summit")</f>
        <v>Yvonne Redmond, Web Summit</v>
      </c>
      <c r="O185" s="4" t="str">
        <f>IFERROR(__xludf.DUMMYFUNCTION("""COMPUTED_VALUE"""),"")</f>
        <v/>
      </c>
      <c r="P185" s="4" t="str">
        <f>IFERROR(__xludf.DUMMYFUNCTION("""COMPUTED_VALUE"""),"")</f>
        <v/>
      </c>
      <c r="Q185" s="4" t="str">
        <f>IFERROR(__xludf.DUMMYFUNCTION("""COMPUTED_VALUE"""),"")</f>
        <v/>
      </c>
      <c r="R185" s="4" t="str">
        <f>IFERROR(__xludf.DUMMYFUNCTION("""COMPUTED_VALUE"""),"")</f>
        <v/>
      </c>
      <c r="S185" s="4" t="str">
        <f>IFERROR(__xludf.DUMMYFUNCTION("""COMPUTED_VALUE"""),"")</f>
        <v/>
      </c>
      <c r="T185" s="4" t="str">
        <f>IFERROR(__xludf.DUMMYFUNCTION("""COMPUTED_VALUE"""),"")</f>
        <v/>
      </c>
      <c r="U185" s="4" t="str">
        <f>IFERROR(__xludf.DUMMYFUNCTION("""COMPUTED_VALUE"""),"")</f>
        <v/>
      </c>
      <c r="V185" s="4" t="str">
        <f>IFERROR(__xludf.DUMMYFUNCTION("""COMPUTED_VALUE"""),"")</f>
        <v/>
      </c>
      <c r="W185" s="4" t="str">
        <f>IFERROR(__xludf.DUMMYFUNCTION("""COMPUTED_VALUE"""),"")</f>
        <v/>
      </c>
      <c r="X185" s="4" t="str">
        <f>IFERROR(__xludf.DUMMYFUNCTION("""COMPUTED_VALUE"""),"")</f>
        <v/>
      </c>
      <c r="Y185" s="4" t="str">
        <f>IFERROR(__xludf.DUMMYFUNCTION("""COMPUTED_VALUE"""),"")</f>
        <v/>
      </c>
    </row>
    <row r="186">
      <c r="A186" s="4" t="str">
        <f>IFERROR(__xludf.DUMMYFUNCTION("""COMPUTED_VALUE"""),"1396 - Channel")</f>
        <v>1396 - Channel</v>
      </c>
      <c r="B186" s="4" t="str">
        <f>IFERROR(__xludf.DUMMYFUNCTION("""COMPUTED_VALUE"""),"Channel 1")</f>
        <v>Channel 1</v>
      </c>
      <c r="C186" s="4" t="str">
        <f>IFERROR(__xludf.DUMMYFUNCTION("""COMPUTED_VALUE"""),"Day 2 - 24/06")</f>
        <v>Day 2 - 24/06</v>
      </c>
      <c r="D186" s="6">
        <f>IFERROR(__xludf.DUMMYFUNCTION("""COMPUTED_VALUE"""),0.5143518518518522)</f>
        <v>0.5143518519</v>
      </c>
      <c r="E186" s="6">
        <f>IFERROR(__xludf.DUMMYFUNCTION("""COMPUTED_VALUE"""),3.4722222222222224E-4)</f>
        <v>0.0003472222222</v>
      </c>
      <c r="F186" s="6">
        <f>IFERROR(__xludf.DUMMYFUNCTION("""COMPUTED_VALUE"""),0.5146990740740744)</f>
        <v>0.5146990741</v>
      </c>
      <c r="G186" s="4" t="str">
        <f>IFERROR(__xludf.DUMMYFUNCTION("""COMPUTED_VALUE"""),"")</f>
        <v/>
      </c>
      <c r="H186" s="4" t="str">
        <f>IFERROR(__xludf.DUMMYFUNCTION("""COMPUTED_VALUE"""),"")</f>
        <v/>
      </c>
      <c r="I186" s="4" t="str">
        <f>IFERROR(__xludf.DUMMYFUNCTION("""COMPUTED_VALUE"""),"")</f>
        <v/>
      </c>
      <c r="J186" s="4" t="str">
        <f>IFERROR(__xludf.DUMMYFUNCTION("""COMPUTED_VALUE"""),"")</f>
        <v/>
      </c>
      <c r="K186" s="4" t="str">
        <f>IFERROR(__xludf.DUMMYFUNCTION("""COMPUTED_VALUE"""),"Web Summit Trailer - short")</f>
        <v>Web Summit Trailer - short</v>
      </c>
      <c r="L186" s="4" t="str">
        <f>IFERROR(__xludf.DUMMYFUNCTION("""COMPUTED_VALUE"""),"")</f>
        <v/>
      </c>
      <c r="M186" s="4" t="str">
        <f>IFERROR(__xludf.DUMMYFUNCTION("""COMPUTED_VALUE"""),"Web Summit promo")</f>
        <v>Web Summit promo</v>
      </c>
      <c r="N186" s="4" t="str">
        <f>IFERROR(__xludf.DUMMYFUNCTION("""COMPUTED_VALUE"""),"Content pending")</f>
        <v>Content pending</v>
      </c>
      <c r="O186" s="4" t="str">
        <f>IFERROR(__xludf.DUMMYFUNCTION("""COMPUTED_VALUE"""),"")</f>
        <v/>
      </c>
      <c r="P186" s="4" t="str">
        <f>IFERROR(__xludf.DUMMYFUNCTION("""COMPUTED_VALUE"""),"")</f>
        <v/>
      </c>
      <c r="Q186" s="4" t="str">
        <f>IFERROR(__xludf.DUMMYFUNCTION("""COMPUTED_VALUE"""),"")</f>
        <v/>
      </c>
      <c r="R186" s="4" t="str">
        <f>IFERROR(__xludf.DUMMYFUNCTION("""COMPUTED_VALUE"""),"")</f>
        <v/>
      </c>
      <c r="S186" s="4" t="str">
        <f>IFERROR(__xludf.DUMMYFUNCTION("""COMPUTED_VALUE"""),"")</f>
        <v/>
      </c>
      <c r="T186" s="4" t="str">
        <f>IFERROR(__xludf.DUMMYFUNCTION("""COMPUTED_VALUE"""),"")</f>
        <v/>
      </c>
      <c r="U186" s="4" t="str">
        <f>IFERROR(__xludf.DUMMYFUNCTION("""COMPUTED_VALUE"""),"")</f>
        <v/>
      </c>
      <c r="V186" s="4" t="str">
        <f>IFERROR(__xludf.DUMMYFUNCTION("""COMPUTED_VALUE"""),"")</f>
        <v/>
      </c>
      <c r="W186" s="4" t="str">
        <f>IFERROR(__xludf.DUMMYFUNCTION("""COMPUTED_VALUE"""),"")</f>
        <v/>
      </c>
      <c r="X186" s="4" t="str">
        <f>IFERROR(__xludf.DUMMYFUNCTION("""COMPUTED_VALUE"""),"")</f>
        <v/>
      </c>
      <c r="Y186" s="4" t="str">
        <f>IFERROR(__xludf.DUMMYFUNCTION("""COMPUTED_VALUE"""),"")</f>
        <v/>
      </c>
    </row>
    <row r="187">
      <c r="A187" s="4" t="str">
        <f>IFERROR(__xludf.DUMMYFUNCTION("""COMPUTED_VALUE"""),"362 - Channel")</f>
        <v>362 - Channel</v>
      </c>
      <c r="B187" s="4" t="str">
        <f>IFERROR(__xludf.DUMMYFUNCTION("""COMPUTED_VALUE"""),"Channel 1")</f>
        <v>Channel 1</v>
      </c>
      <c r="C187" s="4" t="str">
        <f>IFERROR(__xludf.DUMMYFUNCTION("""COMPUTED_VALUE"""),"Day 2 - 24/06")</f>
        <v>Day 2 - 24/06</v>
      </c>
      <c r="D187" s="6">
        <f>IFERROR(__xludf.DUMMYFUNCTION("""COMPUTED_VALUE"""),0.5146990740740744)</f>
        <v>0.5146990741</v>
      </c>
      <c r="E187" s="6">
        <f>IFERROR(__xludf.DUMMYFUNCTION("""COMPUTED_VALUE"""),2.314814814814815E-4)</f>
        <v>0.0002314814815</v>
      </c>
      <c r="F187" s="6">
        <f>IFERROR(__xludf.DUMMYFUNCTION("""COMPUTED_VALUE"""),0.5149305555555559)</f>
        <v>0.5149305556</v>
      </c>
      <c r="G187" s="4" t="str">
        <f>IFERROR(__xludf.DUMMYFUNCTION("""COMPUTED_VALUE"""),"")</f>
        <v/>
      </c>
      <c r="H187" s="4" t="str">
        <f>IFERROR(__xludf.DUMMYFUNCTION("""COMPUTED_VALUE"""),"")</f>
        <v/>
      </c>
      <c r="I187" s="4" t="str">
        <f>IFERROR(__xludf.DUMMYFUNCTION("""COMPUTED_VALUE"""),"")</f>
        <v/>
      </c>
      <c r="J187" s="4" t="str">
        <f>IFERROR(__xludf.DUMMYFUNCTION("""COMPUTED_VALUE"""),"")</f>
        <v/>
      </c>
      <c r="K187" s="4" t="str">
        <f>IFERROR(__xludf.DUMMYFUNCTION("""COMPUTED_VALUE"""),"Talk Intro")</f>
        <v>Talk Intro</v>
      </c>
      <c r="L187" s="4" t="str">
        <f>IFERROR(__xludf.DUMMYFUNCTION("""COMPUTED_VALUE"""),"")</f>
        <v/>
      </c>
      <c r="M187" s="4" t="str">
        <f>IFERROR(__xludf.DUMMYFUNCTION("""COMPUTED_VALUE"""),"Talk Intro")</f>
        <v>Talk Intro</v>
      </c>
      <c r="N187" s="4" t="str">
        <f>IFERROR(__xludf.DUMMYFUNCTION("""COMPUTED_VALUE"""),"Yvonne Redmond, Web Summit")</f>
        <v>Yvonne Redmond, Web Summit</v>
      </c>
      <c r="O187" s="4" t="str">
        <f>IFERROR(__xludf.DUMMYFUNCTION("""COMPUTED_VALUE"""),"")</f>
        <v/>
      </c>
      <c r="P187" s="4" t="str">
        <f>IFERROR(__xludf.DUMMYFUNCTION("""COMPUTED_VALUE"""),"")</f>
        <v/>
      </c>
      <c r="Q187" s="4" t="str">
        <f>IFERROR(__xludf.DUMMYFUNCTION("""COMPUTED_VALUE"""),"")</f>
        <v/>
      </c>
      <c r="R187" s="4" t="str">
        <f>IFERROR(__xludf.DUMMYFUNCTION("""COMPUTED_VALUE"""),"")</f>
        <v/>
      </c>
      <c r="S187" s="4" t="str">
        <f>IFERROR(__xludf.DUMMYFUNCTION("""COMPUTED_VALUE"""),"")</f>
        <v/>
      </c>
      <c r="T187" s="4" t="str">
        <f>IFERROR(__xludf.DUMMYFUNCTION("""COMPUTED_VALUE"""),"")</f>
        <v/>
      </c>
      <c r="U187" s="4" t="str">
        <f>IFERROR(__xludf.DUMMYFUNCTION("""COMPUTED_VALUE"""),"")</f>
        <v/>
      </c>
      <c r="V187" s="4" t="str">
        <f>IFERROR(__xludf.DUMMYFUNCTION("""COMPUTED_VALUE"""),"")</f>
        <v/>
      </c>
      <c r="W187" s="4" t="str">
        <f>IFERROR(__xludf.DUMMYFUNCTION("""COMPUTED_VALUE"""),"")</f>
        <v/>
      </c>
      <c r="X187" s="4" t="str">
        <f>IFERROR(__xludf.DUMMYFUNCTION("""COMPUTED_VALUE"""),"")</f>
        <v/>
      </c>
      <c r="Y187" s="4" t="str">
        <f>IFERROR(__xludf.DUMMYFUNCTION("""COMPUTED_VALUE"""),"")</f>
        <v/>
      </c>
    </row>
    <row r="188">
      <c r="A188" s="4" t="str">
        <f>IFERROR(__xludf.DUMMYFUNCTION("""COMPUTED_VALUE"""),"348 - Channel")</f>
        <v>348 - Channel</v>
      </c>
      <c r="B188" s="4" t="str">
        <f>IFERROR(__xludf.DUMMYFUNCTION("""COMPUTED_VALUE"""),"Channel 1")</f>
        <v>Channel 1</v>
      </c>
      <c r="C188" s="4" t="str">
        <f>IFERROR(__xludf.DUMMYFUNCTION("""COMPUTED_VALUE"""),"Day 2 - 24/06")</f>
        <v>Day 2 - 24/06</v>
      </c>
      <c r="D188" s="6">
        <f>IFERROR(__xludf.DUMMYFUNCTION("""COMPUTED_VALUE"""),0.5149305555555559)</f>
        <v>0.5149305556</v>
      </c>
      <c r="E188" s="6">
        <f>IFERROR(__xludf.DUMMYFUNCTION("""COMPUTED_VALUE"""),0.013402777777777777)</f>
        <v>0.01340277778</v>
      </c>
      <c r="F188" s="6">
        <f>IFERROR(__xludf.DUMMYFUNCTION("""COMPUTED_VALUE"""),0.5283333333333337)</f>
        <v>0.5283333333</v>
      </c>
      <c r="G188" s="4" t="str">
        <f>IFERROR(__xludf.DUMMYFUNCTION("""COMPUTED_VALUE"""),"Helen")</f>
        <v>Helen</v>
      </c>
      <c r="H188" s="4" t="str">
        <f>IFERROR(__xludf.DUMMYFUNCTION("""COMPUTED_VALUE"""),"Stephen")</f>
        <v>Stephen</v>
      </c>
      <c r="I188" s="4" t="str">
        <f>IFERROR(__xludf.DUMMYFUNCTION("""COMPUTED_VALUE"""),"Lucia H.")</f>
        <v>Lucia H.</v>
      </c>
      <c r="J188" s="4" t="str">
        <f>IFERROR(__xludf.DUMMYFUNCTION("""COMPUTED_VALUE"""),"")</f>
        <v/>
      </c>
      <c r="K188" s="4" t="str">
        <f>IFERROR(__xludf.DUMMYFUNCTION("""COMPUTED_VALUE"""),"Super Fireside")</f>
        <v>Super Fireside</v>
      </c>
      <c r="L188" s="4" t="str">
        <f>IFERROR(__xludf.DUMMYFUNCTION("""COMPUTED_VALUE"""),"T- 6 - 11/05/2020")</f>
        <v>T- 6 - 11/05/2020</v>
      </c>
      <c r="M188" s="4" t="str">
        <f>IFERROR(__xludf.DUMMYFUNCTION("""COMPUTED_VALUE"""),"Advertising in 2021")</f>
        <v>Advertising in 2021</v>
      </c>
      <c r="N188" s="4" t="str">
        <f>IFERROR(__xludf.DUMMYFUNCTION("""COMPUTED_VALUE"""),"Carolina Abenante, NYIAX")</f>
        <v>Carolina Abenante, NYIAX</v>
      </c>
      <c r="O188" s="4" t="str">
        <f>IFERROR(__xludf.DUMMYFUNCTION("""COMPUTED_VALUE"""),"Dave Pickles, The Trade Desk")</f>
        <v>Dave Pickles, The Trade Desk</v>
      </c>
      <c r="P188" s="4" t="str">
        <f>IFERROR(__xludf.DUMMYFUNCTION("""COMPUTED_VALUE"""),"")</f>
        <v/>
      </c>
      <c r="Q188" s="4" t="str">
        <f>IFERROR(__xludf.DUMMYFUNCTION("""COMPUTED_VALUE"""),"")</f>
        <v/>
      </c>
      <c r="R188" s="4" t="str">
        <f>IFERROR(__xludf.DUMMYFUNCTION("""COMPUTED_VALUE"""),"Cheryl Contee, Do Big Things")</f>
        <v>Cheryl Contee, Do Big Things</v>
      </c>
      <c r="S188" s="4" t="str">
        <f>IFERROR(__xludf.DUMMYFUNCTION("""COMPUTED_VALUE"""),"At a time when customer care has never been more crucial, and spending is slowing down, two advertising experts talk about how programmatic ads must evolve to survive.")</f>
        <v>At a time when customer care has never been more crucial, and spending is slowing down, two advertising experts talk about how programmatic ads must evolve to survive.</v>
      </c>
      <c r="T188" s="4" t="str">
        <f>IFERROR(__xludf.DUMMYFUNCTION("""COMPUTED_VALUE"""),"NON-KEYNOTE 9 - COMPLETE")</f>
        <v>NON-KEYNOTE 9 - COMPLETE</v>
      </c>
      <c r="U188" s="23">
        <f>IFERROR(__xludf.DUMMYFUNCTION("""COMPUTED_VALUE"""),43966.0)</f>
        <v>43966</v>
      </c>
      <c r="V188" s="24">
        <f>IFERROR(__xludf.DUMMYFUNCTION("""COMPUTED_VALUE"""),0.875)</f>
        <v>0.875</v>
      </c>
      <c r="W188" s="4" t="str">
        <f>IFERROR(__xludf.DUMMYFUNCTION("""COMPUTED_VALUE"""),"COMPLETE")</f>
        <v>COMPLETE</v>
      </c>
      <c r="X188" s="4" t="str">
        <f>IFERROR(__xludf.DUMMYFUNCTION("""COMPUTED_VALUE"""),"Helen")</f>
        <v>Helen</v>
      </c>
      <c r="Y188" s="4" t="str">
        <f>IFERROR(__xludf.DUMMYFUNCTION("""COMPUTED_VALUE"""),"")</f>
        <v/>
      </c>
    </row>
    <row r="189">
      <c r="A189" s="4" t="str">
        <f>IFERROR(__xludf.DUMMYFUNCTION("""COMPUTED_VALUE"""),"1802 - Channel")</f>
        <v>1802 - Channel</v>
      </c>
      <c r="B189" s="4" t="str">
        <f>IFERROR(__xludf.DUMMYFUNCTION("""COMPUTED_VALUE"""),"Channel 1")</f>
        <v>Channel 1</v>
      </c>
      <c r="C189" s="4" t="str">
        <f>IFERROR(__xludf.DUMMYFUNCTION("""COMPUTED_VALUE"""),"Day 2 - 24/06")</f>
        <v>Day 2 - 24/06</v>
      </c>
      <c r="D189" s="6">
        <f>IFERROR(__xludf.DUMMYFUNCTION("""COMPUTED_VALUE"""),0.5283333333333337)</f>
        <v>0.5283333333</v>
      </c>
      <c r="E189" s="6">
        <f>IFERROR(__xludf.DUMMYFUNCTION("""COMPUTED_VALUE"""),3.4722222222222224E-4)</f>
        <v>0.0003472222222</v>
      </c>
      <c r="F189" s="6">
        <f>IFERROR(__xludf.DUMMYFUNCTION("""COMPUTED_VALUE"""),0.5286805555555559)</f>
        <v>0.5286805556</v>
      </c>
      <c r="G189" s="4" t="str">
        <f>IFERROR(__xludf.DUMMYFUNCTION("""COMPUTED_VALUE"""),"Video")</f>
        <v>Video</v>
      </c>
      <c r="H189" s="4" t="str">
        <f>IFERROR(__xludf.DUMMYFUNCTION("""COMPUTED_VALUE"""),"")</f>
        <v/>
      </c>
      <c r="I189" s="4" t="str">
        <f>IFERROR(__xludf.DUMMYFUNCTION("""COMPUTED_VALUE"""),"")</f>
        <v/>
      </c>
      <c r="J189" s="4" t="str">
        <f>IFERROR(__xludf.DUMMYFUNCTION("""COMPUTED_VALUE"""),"")</f>
        <v/>
      </c>
      <c r="K189" s="4" t="str">
        <f>IFERROR(__xludf.DUMMYFUNCTION("""COMPUTED_VALUE"""),"RISE Trailer")</f>
        <v>RISE Trailer</v>
      </c>
      <c r="L189" s="4" t="str">
        <f>IFERROR(__xludf.DUMMYFUNCTION("""COMPUTED_VALUE"""),"")</f>
        <v/>
      </c>
      <c r="M189" s="4" t="str">
        <f>IFERROR(__xludf.DUMMYFUNCTION("""COMPUTED_VALUE"""),"RISE promo")</f>
        <v>RISE promo</v>
      </c>
      <c r="N189" s="4" t="str">
        <f>IFERROR(__xludf.DUMMYFUNCTION("""COMPUTED_VALUE"""),"Content pending")</f>
        <v>Content pending</v>
      </c>
      <c r="O189" s="4" t="str">
        <f>IFERROR(__xludf.DUMMYFUNCTION("""COMPUTED_VALUE"""),"")</f>
        <v/>
      </c>
      <c r="P189" s="4" t="str">
        <f>IFERROR(__xludf.DUMMYFUNCTION("""COMPUTED_VALUE"""),"")</f>
        <v/>
      </c>
      <c r="Q189" s="4" t="str">
        <f>IFERROR(__xludf.DUMMYFUNCTION("""COMPUTED_VALUE"""),"")</f>
        <v/>
      </c>
      <c r="R189" s="4" t="str">
        <f>IFERROR(__xludf.DUMMYFUNCTION("""COMPUTED_VALUE"""),"")</f>
        <v/>
      </c>
      <c r="S189" s="4" t="str">
        <f>IFERROR(__xludf.DUMMYFUNCTION("""COMPUTED_VALUE"""),"")</f>
        <v/>
      </c>
      <c r="T189" s="4" t="str">
        <f>IFERROR(__xludf.DUMMYFUNCTION("""COMPUTED_VALUE"""),"")</f>
        <v/>
      </c>
      <c r="U189" s="4" t="str">
        <f>IFERROR(__xludf.DUMMYFUNCTION("""COMPUTED_VALUE"""),"")</f>
        <v/>
      </c>
      <c r="V189" s="4" t="str">
        <f>IFERROR(__xludf.DUMMYFUNCTION("""COMPUTED_VALUE"""),"")</f>
        <v/>
      </c>
      <c r="W189" s="4" t="str">
        <f>IFERROR(__xludf.DUMMYFUNCTION("""COMPUTED_VALUE"""),"")</f>
        <v/>
      </c>
      <c r="X189" s="4" t="str">
        <f>IFERROR(__xludf.DUMMYFUNCTION("""COMPUTED_VALUE"""),"")</f>
        <v/>
      </c>
      <c r="Y189" s="4" t="str">
        <f>IFERROR(__xludf.DUMMYFUNCTION("""COMPUTED_VALUE"""),"")</f>
        <v/>
      </c>
    </row>
    <row r="190">
      <c r="A190" s="4" t="str">
        <f>IFERROR(__xludf.DUMMYFUNCTION("""COMPUTED_VALUE"""),"111 - Channel")</f>
        <v>111 - Channel</v>
      </c>
      <c r="B190" s="4" t="str">
        <f>IFERROR(__xludf.DUMMYFUNCTION("""COMPUTED_VALUE"""),"Channel 1")</f>
        <v>Channel 1</v>
      </c>
      <c r="C190" s="4" t="str">
        <f>IFERROR(__xludf.DUMMYFUNCTION("""COMPUTED_VALUE"""),"Day 2 - 24/06")</f>
        <v>Day 2 - 24/06</v>
      </c>
      <c r="D190" s="6">
        <f>IFERROR(__xludf.DUMMYFUNCTION("""COMPUTED_VALUE"""),0.5286805555555559)</f>
        <v>0.5286805556</v>
      </c>
      <c r="E190" s="6">
        <f>IFERROR(__xludf.DUMMYFUNCTION("""COMPUTED_VALUE"""),2.314814814814815E-4)</f>
        <v>0.0002314814815</v>
      </c>
      <c r="F190" s="6">
        <f>IFERROR(__xludf.DUMMYFUNCTION("""COMPUTED_VALUE"""),0.5289120370370374)</f>
        <v>0.528912037</v>
      </c>
      <c r="G190" s="4" t="str">
        <f>IFERROR(__xludf.DUMMYFUNCTION("""COMPUTED_VALUE"""),"")</f>
        <v/>
      </c>
      <c r="H190" s="4" t="str">
        <f>IFERROR(__xludf.DUMMYFUNCTION("""COMPUTED_VALUE"""),"")</f>
        <v/>
      </c>
      <c r="I190" s="4" t="str">
        <f>IFERROR(__xludf.DUMMYFUNCTION("""COMPUTED_VALUE"""),"")</f>
        <v/>
      </c>
      <c r="J190" s="4" t="str">
        <f>IFERROR(__xludf.DUMMYFUNCTION("""COMPUTED_VALUE"""),"")</f>
        <v/>
      </c>
      <c r="K190" s="4" t="str">
        <f>IFERROR(__xludf.DUMMYFUNCTION("""COMPUTED_VALUE"""),"Talk Intro")</f>
        <v>Talk Intro</v>
      </c>
      <c r="L190" s="4" t="str">
        <f>IFERROR(__xludf.DUMMYFUNCTION("""COMPUTED_VALUE"""),"")</f>
        <v/>
      </c>
      <c r="M190" s="4" t="str">
        <f>IFERROR(__xludf.DUMMYFUNCTION("""COMPUTED_VALUE"""),"Talk intro ")</f>
        <v>Talk intro </v>
      </c>
      <c r="N190" s="4" t="str">
        <f>IFERROR(__xludf.DUMMYFUNCTION("""COMPUTED_VALUE"""),"Yvonne Redmond, Web Summit")</f>
        <v>Yvonne Redmond, Web Summit</v>
      </c>
      <c r="O190" s="4" t="str">
        <f>IFERROR(__xludf.DUMMYFUNCTION("""COMPUTED_VALUE"""),"")</f>
        <v/>
      </c>
      <c r="P190" s="4" t="str">
        <f>IFERROR(__xludf.DUMMYFUNCTION("""COMPUTED_VALUE"""),"")</f>
        <v/>
      </c>
      <c r="Q190" s="4" t="str">
        <f>IFERROR(__xludf.DUMMYFUNCTION("""COMPUTED_VALUE"""),"")</f>
        <v/>
      </c>
      <c r="R190" s="4" t="str">
        <f>IFERROR(__xludf.DUMMYFUNCTION("""COMPUTED_VALUE"""),"")</f>
        <v/>
      </c>
      <c r="S190" s="4" t="str">
        <f>IFERROR(__xludf.DUMMYFUNCTION("""COMPUTED_VALUE"""),"")</f>
        <v/>
      </c>
      <c r="T190" s="4" t="str">
        <f>IFERROR(__xludf.DUMMYFUNCTION("""COMPUTED_VALUE"""),"")</f>
        <v/>
      </c>
      <c r="U190" s="4" t="str">
        <f>IFERROR(__xludf.DUMMYFUNCTION("""COMPUTED_VALUE"""),"")</f>
        <v/>
      </c>
      <c r="V190" s="4" t="str">
        <f>IFERROR(__xludf.DUMMYFUNCTION("""COMPUTED_VALUE"""),"")</f>
        <v/>
      </c>
      <c r="W190" s="4" t="str">
        <f>IFERROR(__xludf.DUMMYFUNCTION("""COMPUTED_VALUE"""),"")</f>
        <v/>
      </c>
      <c r="X190" s="4" t="str">
        <f>IFERROR(__xludf.DUMMYFUNCTION("""COMPUTED_VALUE"""),"")</f>
        <v/>
      </c>
      <c r="Y190" s="4" t="str">
        <f>IFERROR(__xludf.DUMMYFUNCTION("""COMPUTED_VALUE"""),"")</f>
        <v/>
      </c>
    </row>
    <row r="191">
      <c r="A191" s="4" t="str">
        <f>IFERROR(__xludf.DUMMYFUNCTION("""COMPUTED_VALUE"""),"1602 - Channel")</f>
        <v>1602 - Channel</v>
      </c>
      <c r="B191" s="4" t="str">
        <f>IFERROR(__xludf.DUMMYFUNCTION("""COMPUTED_VALUE"""),"Channel 1")</f>
        <v>Channel 1</v>
      </c>
      <c r="C191" s="4" t="str">
        <f>IFERROR(__xludf.DUMMYFUNCTION("""COMPUTED_VALUE"""),"Day 2 - 24/06")</f>
        <v>Day 2 - 24/06</v>
      </c>
      <c r="D191" s="6">
        <f>IFERROR(__xludf.DUMMYFUNCTION("""COMPUTED_VALUE"""),0.5289120370370374)</f>
        <v>0.528912037</v>
      </c>
      <c r="E191" s="6">
        <f>IFERROR(__xludf.DUMMYFUNCTION("""COMPUTED_VALUE"""),0.010416666666666666)</f>
        <v>0.01041666667</v>
      </c>
      <c r="F191" s="6">
        <f>IFERROR(__xludf.DUMMYFUNCTION("""COMPUTED_VALUE"""),0.539328703703704)</f>
        <v>0.5393287037</v>
      </c>
      <c r="G191" s="4" t="str">
        <f>IFERROR(__xludf.DUMMYFUNCTION("""COMPUTED_VALUE"""),"Lobna")</f>
        <v>Lobna</v>
      </c>
      <c r="H191" s="4" t="str">
        <f>IFERROR(__xludf.DUMMYFUNCTION("""COMPUTED_VALUE"""),"Stephen")</f>
        <v>Stephen</v>
      </c>
      <c r="I191" s="4" t="str">
        <f>IFERROR(__xludf.DUMMYFUNCTION("""COMPUTED_VALUE"""),"Lucia H.")</f>
        <v>Lucia H.</v>
      </c>
      <c r="J191" s="4" t="str">
        <f>IFERROR(__xludf.DUMMYFUNCTION("""COMPUTED_VALUE"""),"")</f>
        <v/>
      </c>
      <c r="K191" s="4" t="str">
        <f>IFERROR(__xludf.DUMMYFUNCTION("""COMPUTED_VALUE"""),"Super Fireside")</f>
        <v>Super Fireside</v>
      </c>
      <c r="L191" s="4" t="str">
        <f>IFERROR(__xludf.DUMMYFUNCTION("""COMPUTED_VALUE"""),"T- 3 - 01/06/2020")</f>
        <v>T- 3 - 01/06/2020</v>
      </c>
      <c r="M191" s="4" t="str">
        <f>IFERROR(__xludf.DUMMYFUNCTION("""COMPUTED_VALUE"""),"How Canada can restart its startup ecosystem")</f>
        <v>How Canada can restart its startup ecosystem</v>
      </c>
      <c r="N191" s="4" t="str">
        <f>IFERROR(__xludf.DUMMYFUNCTION("""COMPUTED_VALUE"""),"Jean-François Gagné, Element AI")</f>
        <v>Jean-François Gagné, Element AI</v>
      </c>
      <c r="O191" s="4" t="str">
        <f>IFERROR(__xludf.DUMMYFUNCTION("""COMPUTED_VALUE"""),"Martin Basiri, ApplyBoard")</f>
        <v>Martin Basiri, ApplyBoard</v>
      </c>
      <c r="P191" s="4" t="str">
        <f>IFERROR(__xludf.DUMMYFUNCTION("""COMPUTED_VALUE"""),"")</f>
        <v/>
      </c>
      <c r="Q191" s="4" t="str">
        <f>IFERROR(__xludf.DUMMYFUNCTION("""COMPUTED_VALUE"""),"")</f>
        <v/>
      </c>
      <c r="R191" s="4" t="str">
        <f>IFERROR(__xludf.DUMMYFUNCTION("""COMPUTED_VALUE"""),"Amber Mac, CTV")</f>
        <v>Amber Mac, CTV</v>
      </c>
      <c r="S191" s="4" t="str">
        <f>IFERROR(__xludf.DUMMYFUNCTION("""COMPUTED_VALUE"""),"In the wake of mass unemployment and a looming recession, what steps can be taken to preserve the dynamic startup ecosystem across Canada?")</f>
        <v>In the wake of mass unemployment and a looming recession, what steps can be taken to preserve the dynamic startup ecosystem across Canada?</v>
      </c>
      <c r="T191" s="4" t="str">
        <f>IFERROR(__xludf.DUMMYFUNCTION("""COMPUTED_VALUE"""),"NON-KEYNOTE 9 - COMPLETE")</f>
        <v>NON-KEYNOTE 9 - COMPLETE</v>
      </c>
      <c r="U191" s="55">
        <f>IFERROR(__xludf.DUMMYFUNCTION("""COMPUTED_VALUE"""),43987.0)</f>
        <v>43987</v>
      </c>
      <c r="V191" s="24">
        <f>IFERROR(__xludf.DUMMYFUNCTION("""COMPUTED_VALUE"""),0.8125)</f>
        <v>0.8125</v>
      </c>
      <c r="W191" s="4" t="str">
        <f>IFERROR(__xludf.DUMMYFUNCTION("""COMPUTED_VALUE"""),"COMPLETE")</f>
        <v>COMPLETE</v>
      </c>
      <c r="X191" s="4" t="str">
        <f>IFERROR(__xludf.DUMMYFUNCTION("""COMPUTED_VALUE"""),"Francisca")</f>
        <v>Francisca</v>
      </c>
      <c r="Y191" s="4" t="str">
        <f>IFERROR(__xludf.DUMMYFUNCTION("""COMPUTED_VALUE"""),"")</f>
        <v/>
      </c>
    </row>
    <row r="192">
      <c r="A192" s="4" t="str">
        <f>IFERROR(__xludf.DUMMYFUNCTION("""COMPUTED_VALUE"""),"1522 - Channel")</f>
        <v>1522 - Channel</v>
      </c>
      <c r="B192" s="4" t="str">
        <f>IFERROR(__xludf.DUMMYFUNCTION("""COMPUTED_VALUE"""),"Channel 1")</f>
        <v>Channel 1</v>
      </c>
      <c r="C192" s="4" t="str">
        <f>IFERROR(__xludf.DUMMYFUNCTION("""COMPUTED_VALUE"""),"Day 2 - 24/06")</f>
        <v>Day 2 - 24/06</v>
      </c>
      <c r="D192" s="6">
        <f>IFERROR(__xludf.DUMMYFUNCTION("""COMPUTED_VALUE"""),0.539328703703704)</f>
        <v>0.5393287037</v>
      </c>
      <c r="E192" s="6">
        <f>IFERROR(__xludf.DUMMYFUNCTION("""COMPUTED_VALUE"""),0.0010416666666666667)</f>
        <v>0.001041666667</v>
      </c>
      <c r="F192" s="6">
        <f>IFERROR(__xludf.DUMMYFUNCTION("""COMPUTED_VALUE"""),0.5403703703703707)</f>
        <v>0.5403703704</v>
      </c>
      <c r="G192" s="4" t="str">
        <f>IFERROR(__xludf.DUMMYFUNCTION("""COMPUTED_VALUE"""),"")</f>
        <v/>
      </c>
      <c r="H192" s="4" t="str">
        <f>IFERROR(__xludf.DUMMYFUNCTION("""COMPUTED_VALUE"""),"")</f>
        <v/>
      </c>
      <c r="I192" s="4" t="str">
        <f>IFERROR(__xludf.DUMMYFUNCTION("""COMPUTED_VALUE"""),"")</f>
        <v/>
      </c>
      <c r="J192" s="4" t="str">
        <f>IFERROR(__xludf.DUMMYFUNCTION("""COMPUTED_VALUE"""),"")</f>
        <v/>
      </c>
      <c r="K192" s="4" t="str">
        <f>IFERROR(__xludf.DUMMYFUNCTION("""COMPUTED_VALUE"""),"Voxpop")</f>
        <v>Voxpop</v>
      </c>
      <c r="L192" s="4" t="str">
        <f>IFERROR(__xludf.DUMMYFUNCTION("""COMPUTED_VALUE"""),"")</f>
        <v/>
      </c>
      <c r="M192" s="4" t="str">
        <f>IFERROR(__xludf.DUMMYFUNCTION("""COMPUTED_VALUE"""),"")</f>
        <v/>
      </c>
      <c r="N192" s="4" t="str">
        <f>IFERROR(__xludf.DUMMYFUNCTION("""COMPUTED_VALUE"""),"")</f>
        <v/>
      </c>
      <c r="O192" s="4" t="str">
        <f>IFERROR(__xludf.DUMMYFUNCTION("""COMPUTED_VALUE"""),"")</f>
        <v/>
      </c>
      <c r="P192" s="4" t="str">
        <f>IFERROR(__xludf.DUMMYFUNCTION("""COMPUTED_VALUE"""),"")</f>
        <v/>
      </c>
      <c r="Q192" s="4" t="str">
        <f>IFERROR(__xludf.DUMMYFUNCTION("""COMPUTED_VALUE"""),"")</f>
        <v/>
      </c>
      <c r="R192" s="4" t="str">
        <f>IFERROR(__xludf.DUMMYFUNCTION("""COMPUTED_VALUE"""),"")</f>
        <v/>
      </c>
      <c r="S192" s="4" t="str">
        <f>IFERROR(__xludf.DUMMYFUNCTION("""COMPUTED_VALUE"""),"")</f>
        <v/>
      </c>
      <c r="T192" s="4" t="str">
        <f>IFERROR(__xludf.DUMMYFUNCTION("""COMPUTED_VALUE"""),"")</f>
        <v/>
      </c>
      <c r="U192" s="4" t="str">
        <f>IFERROR(__xludf.DUMMYFUNCTION("""COMPUTED_VALUE"""),"")</f>
        <v/>
      </c>
      <c r="V192" s="4" t="str">
        <f>IFERROR(__xludf.DUMMYFUNCTION("""COMPUTED_VALUE"""),"")</f>
        <v/>
      </c>
      <c r="W192" s="4" t="str">
        <f>IFERROR(__xludf.DUMMYFUNCTION("""COMPUTED_VALUE"""),"")</f>
        <v/>
      </c>
      <c r="X192" s="4" t="str">
        <f>IFERROR(__xludf.DUMMYFUNCTION("""COMPUTED_VALUE"""),"")</f>
        <v/>
      </c>
      <c r="Y192" s="4" t="str">
        <f>IFERROR(__xludf.DUMMYFUNCTION("""COMPUTED_VALUE"""),"")</f>
        <v/>
      </c>
    </row>
    <row r="193">
      <c r="A193" s="4" t="str">
        <f>IFERROR(__xludf.DUMMYFUNCTION("""COMPUTED_VALUE"""),"1393 - Channel")</f>
        <v>1393 - Channel</v>
      </c>
      <c r="B193" s="4" t="str">
        <f>IFERROR(__xludf.DUMMYFUNCTION("""COMPUTED_VALUE"""),"Channel 1")</f>
        <v>Channel 1</v>
      </c>
      <c r="C193" s="4" t="str">
        <f>IFERROR(__xludf.DUMMYFUNCTION("""COMPUTED_VALUE"""),"Day 2 - 24/06")</f>
        <v>Day 2 - 24/06</v>
      </c>
      <c r="D193" s="4" t="str">
        <f>IFERROR(__xludf.DUMMYFUNCTION("""COMPUTED_VALUE"""),"")</f>
        <v/>
      </c>
      <c r="E193" s="4" t="str">
        <f>IFERROR(__xludf.DUMMYFUNCTION("""COMPUTED_VALUE"""),"")</f>
        <v/>
      </c>
      <c r="F193" s="4" t="str">
        <f>IFERROR(__xludf.DUMMYFUNCTION("""COMPUTED_VALUE"""),"")</f>
        <v/>
      </c>
      <c r="G193" s="4" t="str">
        <f>IFERROR(__xludf.DUMMYFUNCTION("""COMPUTED_VALUE"""),"")</f>
        <v/>
      </c>
      <c r="H193" s="4" t="str">
        <f>IFERROR(__xludf.DUMMYFUNCTION("""COMPUTED_VALUE"""),"")</f>
        <v/>
      </c>
      <c r="I193" s="4" t="str">
        <f>IFERROR(__xludf.DUMMYFUNCTION("""COMPUTED_VALUE"""),"")</f>
        <v/>
      </c>
      <c r="J193" s="4" t="str">
        <f>IFERROR(__xludf.DUMMYFUNCTION("""COMPUTED_VALUE"""),"")</f>
        <v/>
      </c>
      <c r="K193" s="4" t="str">
        <f>IFERROR(__xludf.DUMMYFUNCTION("""COMPUTED_VALUE"""),"")</f>
        <v/>
      </c>
      <c r="L193" s="4" t="str">
        <f>IFERROR(__xludf.DUMMYFUNCTION("""COMPUTED_VALUE"""),"")</f>
        <v/>
      </c>
      <c r="M193" s="4" t="str">
        <f>IFERROR(__xludf.DUMMYFUNCTION("""COMPUTED_VALUE"""),"")</f>
        <v/>
      </c>
      <c r="N193" s="4" t="str">
        <f>IFERROR(__xludf.DUMMYFUNCTION("""COMPUTED_VALUE"""),"")</f>
        <v/>
      </c>
      <c r="O193" s="4" t="str">
        <f>IFERROR(__xludf.DUMMYFUNCTION("""COMPUTED_VALUE"""),"")</f>
        <v/>
      </c>
      <c r="P193" s="4" t="str">
        <f>IFERROR(__xludf.DUMMYFUNCTION("""COMPUTED_VALUE"""),"")</f>
        <v/>
      </c>
      <c r="Q193" s="4" t="str">
        <f>IFERROR(__xludf.DUMMYFUNCTION("""COMPUTED_VALUE"""),"")</f>
        <v/>
      </c>
      <c r="R193" s="4" t="str">
        <f>IFERROR(__xludf.DUMMYFUNCTION("""COMPUTED_VALUE"""),"")</f>
        <v/>
      </c>
      <c r="S193" s="4" t="str">
        <f>IFERROR(__xludf.DUMMYFUNCTION("""COMPUTED_VALUE"""),"")</f>
        <v/>
      </c>
      <c r="T193" s="4" t="str">
        <f>IFERROR(__xludf.DUMMYFUNCTION("""COMPUTED_VALUE"""),"")</f>
        <v/>
      </c>
      <c r="U193" s="4" t="str">
        <f>IFERROR(__xludf.DUMMYFUNCTION("""COMPUTED_VALUE"""),"")</f>
        <v/>
      </c>
      <c r="V193" s="4" t="str">
        <f>IFERROR(__xludf.DUMMYFUNCTION("""COMPUTED_VALUE"""),"")</f>
        <v/>
      </c>
      <c r="W193" s="4" t="str">
        <f>IFERROR(__xludf.DUMMYFUNCTION("""COMPUTED_VALUE"""),"")</f>
        <v/>
      </c>
      <c r="X193" s="4" t="str">
        <f>IFERROR(__xludf.DUMMYFUNCTION("""COMPUTED_VALUE"""),"")</f>
        <v/>
      </c>
      <c r="Y193" s="4" t="str">
        <f>IFERROR(__xludf.DUMMYFUNCTION("""COMPUTED_VALUE"""),"")</f>
        <v/>
      </c>
    </row>
    <row r="194">
      <c r="A194" s="4" t="str">
        <f>IFERROR(__xludf.DUMMYFUNCTION("""COMPUTED_VALUE"""),"188 - Channel")</f>
        <v>188 - Channel</v>
      </c>
      <c r="B194" s="4" t="str">
        <f>IFERROR(__xludf.DUMMYFUNCTION("""COMPUTED_VALUE"""),"Channel 1")</f>
        <v>Channel 1</v>
      </c>
      <c r="C194" s="4" t="str">
        <f>IFERROR(__xludf.DUMMYFUNCTION("""COMPUTED_VALUE"""),"Day 2 - 24/06")</f>
        <v>Day 2 - 24/06</v>
      </c>
      <c r="D194" s="6">
        <f>IFERROR(__xludf.DUMMYFUNCTION("""COMPUTED_VALUE"""),0.5403703703703707)</f>
        <v>0.5403703704</v>
      </c>
      <c r="E194" s="6">
        <f>IFERROR(__xludf.DUMMYFUNCTION("""COMPUTED_VALUE"""),6.944444444444445E-4)</f>
        <v>0.0006944444444</v>
      </c>
      <c r="F194" s="6">
        <f>IFERROR(__xludf.DUMMYFUNCTION("""COMPUTED_VALUE"""),0.5410648148148152)</f>
        <v>0.5410648148</v>
      </c>
      <c r="G194" s="4" t="str">
        <f>IFERROR(__xludf.DUMMYFUNCTION("""COMPUTED_VALUE"""),"")</f>
        <v/>
      </c>
      <c r="H194" s="4" t="str">
        <f>IFERROR(__xludf.DUMMYFUNCTION("""COMPUTED_VALUE"""),"")</f>
        <v/>
      </c>
      <c r="I194" s="4" t="str">
        <f>IFERROR(__xludf.DUMMYFUNCTION("""COMPUTED_VALUE"""),"")</f>
        <v/>
      </c>
      <c r="J194" s="4" t="str">
        <f>IFERROR(__xludf.DUMMYFUNCTION("""COMPUTED_VALUE"""),"")</f>
        <v/>
      </c>
      <c r="K194" s="4" t="str">
        <f>IFERROR(__xludf.DUMMYFUNCTION("""COMPUTED_VALUE"""),"Laundry List/Lookaround")</f>
        <v>Laundry List/Lookaround</v>
      </c>
      <c r="L194" s="4" t="str">
        <f>IFERROR(__xludf.DUMMYFUNCTION("""COMPUTED_VALUE"""),"")</f>
        <v/>
      </c>
      <c r="M194" s="4" t="str">
        <f>IFERROR(__xludf.DUMMYFUNCTION("""COMPUTED_VALUE"""),"Laundry Day2_1PM")</f>
        <v>Laundry Day2_1PM</v>
      </c>
      <c r="N194" s="4" t="str">
        <f>IFERROR(__xludf.DUMMYFUNCTION("""COMPUTED_VALUE"""),"Yvonne Redmond, Web Summit")</f>
        <v>Yvonne Redmond, Web Summit</v>
      </c>
      <c r="O194" s="4" t="str">
        <f>IFERROR(__xludf.DUMMYFUNCTION("""COMPUTED_VALUE"""),"")</f>
        <v/>
      </c>
      <c r="P194" s="4" t="str">
        <f>IFERROR(__xludf.DUMMYFUNCTION("""COMPUTED_VALUE"""),"")</f>
        <v/>
      </c>
      <c r="Q194" s="4" t="str">
        <f>IFERROR(__xludf.DUMMYFUNCTION("""COMPUTED_VALUE"""),"")</f>
        <v/>
      </c>
      <c r="R194" s="4" t="str">
        <f>IFERROR(__xludf.DUMMYFUNCTION("""COMPUTED_VALUE"""),"")</f>
        <v/>
      </c>
      <c r="S194" s="4" t="str">
        <f>IFERROR(__xludf.DUMMYFUNCTION("""COMPUTED_VALUE"""),"")</f>
        <v/>
      </c>
      <c r="T194" s="4" t="str">
        <f>IFERROR(__xludf.DUMMYFUNCTION("""COMPUTED_VALUE"""),"")</f>
        <v/>
      </c>
      <c r="U194" s="4" t="str">
        <f>IFERROR(__xludf.DUMMYFUNCTION("""COMPUTED_VALUE"""),"")</f>
        <v/>
      </c>
      <c r="V194" s="4" t="str">
        <f>IFERROR(__xludf.DUMMYFUNCTION("""COMPUTED_VALUE"""),"")</f>
        <v/>
      </c>
      <c r="W194" s="4" t="str">
        <f>IFERROR(__xludf.DUMMYFUNCTION("""COMPUTED_VALUE"""),"")</f>
        <v/>
      </c>
      <c r="X194" s="4" t="str">
        <f>IFERROR(__xludf.DUMMYFUNCTION("""COMPUTED_VALUE"""),"")</f>
        <v/>
      </c>
      <c r="Y194" s="4" t="str">
        <f>IFERROR(__xludf.DUMMYFUNCTION("""COMPUTED_VALUE"""),"")</f>
        <v/>
      </c>
    </row>
    <row r="195">
      <c r="A195" s="4" t="str">
        <f>IFERROR(__xludf.DUMMYFUNCTION("""COMPUTED_VALUE"""),"1803 - Channel")</f>
        <v>1803 - Channel</v>
      </c>
      <c r="B195" s="4" t="str">
        <f>IFERROR(__xludf.DUMMYFUNCTION("""COMPUTED_VALUE"""),"Channel 1")</f>
        <v>Channel 1</v>
      </c>
      <c r="C195" s="4" t="str">
        <f>IFERROR(__xludf.DUMMYFUNCTION("""COMPUTED_VALUE"""),"Day 2 - 24/06")</f>
        <v>Day 2 - 24/06</v>
      </c>
      <c r="D195" s="6">
        <f>IFERROR(__xludf.DUMMYFUNCTION("""COMPUTED_VALUE"""),0.5410648148148152)</f>
        <v>0.5410648148</v>
      </c>
      <c r="E195" s="6">
        <f>IFERROR(__xludf.DUMMYFUNCTION("""COMPUTED_VALUE"""),0.0010416666666666667)</f>
        <v>0.001041666667</v>
      </c>
      <c r="F195" s="6">
        <f>IFERROR(__xludf.DUMMYFUNCTION("""COMPUTED_VALUE"""),0.5421064814814819)</f>
        <v>0.5421064815</v>
      </c>
      <c r="G195" s="4" t="str">
        <f>IFERROR(__xludf.DUMMYFUNCTION("""COMPUTED_VALUE"""),"Video")</f>
        <v>Video</v>
      </c>
      <c r="H195" s="4" t="str">
        <f>IFERROR(__xludf.DUMMYFUNCTION("""COMPUTED_VALUE"""),"")</f>
        <v/>
      </c>
      <c r="I195" s="4" t="str">
        <f>IFERROR(__xludf.DUMMYFUNCTION("""COMPUTED_VALUE"""),"")</f>
        <v/>
      </c>
      <c r="J195" s="4" t="str">
        <f>IFERROR(__xludf.DUMMYFUNCTION("""COMPUTED_VALUE"""),"")</f>
        <v/>
      </c>
      <c r="K195" s="4" t="str">
        <f>IFERROR(__xludf.DUMMYFUNCTION("""COMPUTED_VALUE"""),"Collision From Home Day Intro")</f>
        <v>Collision From Home Day Intro</v>
      </c>
      <c r="L195" s="4" t="str">
        <f>IFERROR(__xludf.DUMMYFUNCTION("""COMPUTED_VALUE"""),"")</f>
        <v/>
      </c>
      <c r="M195" s="4" t="str">
        <f>IFERROR(__xludf.DUMMYFUNCTION("""COMPUTED_VALUE"""),"CFH Intro Video ")</f>
        <v>CFH Intro Video </v>
      </c>
      <c r="N195" s="4" t="str">
        <f>IFERROR(__xludf.DUMMYFUNCTION("""COMPUTED_VALUE"""),"Content pending")</f>
        <v>Content pending</v>
      </c>
      <c r="O195" s="4" t="str">
        <f>IFERROR(__xludf.DUMMYFUNCTION("""COMPUTED_VALUE"""),"")</f>
        <v/>
      </c>
      <c r="P195" s="4" t="str">
        <f>IFERROR(__xludf.DUMMYFUNCTION("""COMPUTED_VALUE"""),"")</f>
        <v/>
      </c>
      <c r="Q195" s="4" t="str">
        <f>IFERROR(__xludf.DUMMYFUNCTION("""COMPUTED_VALUE"""),"")</f>
        <v/>
      </c>
      <c r="R195" s="4" t="str">
        <f>IFERROR(__xludf.DUMMYFUNCTION("""COMPUTED_VALUE"""),"")</f>
        <v/>
      </c>
      <c r="S195" s="4" t="str">
        <f>IFERROR(__xludf.DUMMYFUNCTION("""COMPUTED_VALUE"""),"")</f>
        <v/>
      </c>
      <c r="T195" s="4" t="str">
        <f>IFERROR(__xludf.DUMMYFUNCTION("""COMPUTED_VALUE"""),"")</f>
        <v/>
      </c>
      <c r="U195" s="4" t="str">
        <f>IFERROR(__xludf.DUMMYFUNCTION("""COMPUTED_VALUE"""),"")</f>
        <v/>
      </c>
      <c r="V195" s="4" t="str">
        <f>IFERROR(__xludf.DUMMYFUNCTION("""COMPUTED_VALUE"""),"")</f>
        <v/>
      </c>
      <c r="W195" s="4" t="str">
        <f>IFERROR(__xludf.DUMMYFUNCTION("""COMPUTED_VALUE"""),"")</f>
        <v/>
      </c>
      <c r="X195" s="4" t="str">
        <f>IFERROR(__xludf.DUMMYFUNCTION("""COMPUTED_VALUE"""),"")</f>
        <v/>
      </c>
      <c r="Y195" s="4" t="str">
        <f>IFERROR(__xludf.DUMMYFUNCTION("""COMPUTED_VALUE"""),"")</f>
        <v/>
      </c>
    </row>
    <row r="196">
      <c r="A196" s="4" t="str">
        <f>IFERROR(__xludf.DUMMYFUNCTION("""COMPUTED_VALUE"""),"220 - Channel")</f>
        <v>220 - Channel</v>
      </c>
      <c r="B196" s="4" t="str">
        <f>IFERROR(__xludf.DUMMYFUNCTION("""COMPUTED_VALUE"""),"Channel 1")</f>
        <v>Channel 1</v>
      </c>
      <c r="C196" s="4" t="str">
        <f>IFERROR(__xludf.DUMMYFUNCTION("""COMPUTED_VALUE"""),"Day 2 - 24/06")</f>
        <v>Day 2 - 24/06</v>
      </c>
      <c r="D196" s="6">
        <f>IFERROR(__xludf.DUMMYFUNCTION("""COMPUTED_VALUE"""),0.5421064814814819)</f>
        <v>0.5421064815</v>
      </c>
      <c r="E196" s="6">
        <f>IFERROR(__xludf.DUMMYFUNCTION("""COMPUTED_VALUE"""),2.314814814814815E-4)</f>
        <v>0.0002314814815</v>
      </c>
      <c r="F196" s="6">
        <f>IFERROR(__xludf.DUMMYFUNCTION("""COMPUTED_VALUE"""),0.5423379629629633)</f>
        <v>0.542337963</v>
      </c>
      <c r="G196" s="4" t="str">
        <f>IFERROR(__xludf.DUMMYFUNCTION("""COMPUTED_VALUE"""),"")</f>
        <v/>
      </c>
      <c r="H196" s="4" t="str">
        <f>IFERROR(__xludf.DUMMYFUNCTION("""COMPUTED_VALUE"""),"")</f>
        <v/>
      </c>
      <c r="I196" s="4" t="str">
        <f>IFERROR(__xludf.DUMMYFUNCTION("""COMPUTED_VALUE"""),"")</f>
        <v/>
      </c>
      <c r="J196" s="4" t="str">
        <f>IFERROR(__xludf.DUMMYFUNCTION("""COMPUTED_VALUE"""),"")</f>
        <v/>
      </c>
      <c r="K196" s="4" t="str">
        <f>IFERROR(__xludf.DUMMYFUNCTION("""COMPUTED_VALUE"""),"Talk Intro")</f>
        <v>Talk Intro</v>
      </c>
      <c r="L196" s="4" t="str">
        <f>IFERROR(__xludf.DUMMYFUNCTION("""COMPUTED_VALUE"""),"")</f>
        <v/>
      </c>
      <c r="M196" s="4" t="str">
        <f>IFERROR(__xludf.DUMMYFUNCTION("""COMPUTED_VALUE"""),"Talk intro ")</f>
        <v>Talk intro </v>
      </c>
      <c r="N196" s="4" t="str">
        <f>IFERROR(__xludf.DUMMYFUNCTION("""COMPUTED_VALUE"""),"Paddy Cosgrave, Web Summit")</f>
        <v>Paddy Cosgrave, Web Summit</v>
      </c>
      <c r="O196" s="4" t="str">
        <f>IFERROR(__xludf.DUMMYFUNCTION("""COMPUTED_VALUE"""),"Yvonne Redmond, Web Summit")</f>
        <v>Yvonne Redmond, Web Summit</v>
      </c>
      <c r="P196" s="4" t="str">
        <f>IFERROR(__xludf.DUMMYFUNCTION("""COMPUTED_VALUE"""),"")</f>
        <v/>
      </c>
      <c r="Q196" s="4" t="str">
        <f>IFERROR(__xludf.DUMMYFUNCTION("""COMPUTED_VALUE"""),"")</f>
        <v/>
      </c>
      <c r="R196" s="4" t="str">
        <f>IFERROR(__xludf.DUMMYFUNCTION("""COMPUTED_VALUE"""),"")</f>
        <v/>
      </c>
      <c r="S196" s="4" t="str">
        <f>IFERROR(__xludf.DUMMYFUNCTION("""COMPUTED_VALUE"""),"")</f>
        <v/>
      </c>
      <c r="T196" s="4" t="str">
        <f>IFERROR(__xludf.DUMMYFUNCTION("""COMPUTED_VALUE"""),"")</f>
        <v/>
      </c>
      <c r="U196" s="4" t="str">
        <f>IFERROR(__xludf.DUMMYFUNCTION("""COMPUTED_VALUE"""),"")</f>
        <v/>
      </c>
      <c r="V196" s="4" t="str">
        <f>IFERROR(__xludf.DUMMYFUNCTION("""COMPUTED_VALUE"""),"")</f>
        <v/>
      </c>
      <c r="W196" s="4" t="str">
        <f>IFERROR(__xludf.DUMMYFUNCTION("""COMPUTED_VALUE"""),"")</f>
        <v/>
      </c>
      <c r="X196" s="4" t="str">
        <f>IFERROR(__xludf.DUMMYFUNCTION("""COMPUTED_VALUE"""),"")</f>
        <v/>
      </c>
      <c r="Y196" s="4" t="str">
        <f>IFERROR(__xludf.DUMMYFUNCTION("""COMPUTED_VALUE"""),"")</f>
        <v/>
      </c>
    </row>
    <row r="197">
      <c r="A197" s="4" t="str">
        <f>IFERROR(__xludf.DUMMYFUNCTION("""COMPUTED_VALUE"""),"79 - Channel")</f>
        <v>79 - Channel</v>
      </c>
      <c r="B197" s="4" t="str">
        <f>IFERROR(__xludf.DUMMYFUNCTION("""COMPUTED_VALUE"""),"Channel 1")</f>
        <v>Channel 1</v>
      </c>
      <c r="C197" s="4" t="str">
        <f>IFERROR(__xludf.DUMMYFUNCTION("""COMPUTED_VALUE"""),"Day 2 - 24/06")</f>
        <v>Day 2 - 24/06</v>
      </c>
      <c r="D197" s="6">
        <f>IFERROR(__xludf.DUMMYFUNCTION("""COMPUTED_VALUE"""),0.5423379629629633)</f>
        <v>0.542337963</v>
      </c>
      <c r="E197" s="6">
        <f>IFERROR(__xludf.DUMMYFUNCTION("""COMPUTED_VALUE"""),0.008969907407407407)</f>
        <v>0.008969907407</v>
      </c>
      <c r="F197" s="6">
        <f>IFERROR(__xludf.DUMMYFUNCTION("""COMPUTED_VALUE"""),0.5513078703703708)</f>
        <v>0.5513078704</v>
      </c>
      <c r="G197" s="4" t="str">
        <f>IFERROR(__xludf.DUMMYFUNCTION("""COMPUTED_VALUE"""),"Lobna")</f>
        <v>Lobna</v>
      </c>
      <c r="H197" s="4" t="str">
        <f>IFERROR(__xludf.DUMMYFUNCTION("""COMPUTED_VALUE"""),"")</f>
        <v/>
      </c>
      <c r="I197" s="4" t="str">
        <f>IFERROR(__xludf.DUMMYFUNCTION("""COMPUTED_VALUE"""),"Lucia H.")</f>
        <v>Lucia H.</v>
      </c>
      <c r="J197" s="4" t="str">
        <f>IFERROR(__xludf.DUMMYFUNCTION("""COMPUTED_VALUE"""),"")</f>
        <v/>
      </c>
      <c r="K197" s="4" t="str">
        <f>IFERROR(__xludf.DUMMYFUNCTION("""COMPUTED_VALUE"""),"Keynote")</f>
        <v>Keynote</v>
      </c>
      <c r="L197" s="4" t="str">
        <f>IFERROR(__xludf.DUMMYFUNCTION("""COMPUTED_VALUE"""),"T- 5 - 18/05/2020")</f>
        <v>T- 5 - 18/05/2020</v>
      </c>
      <c r="M197" s="4" t="str">
        <f>IFERROR(__xludf.DUMMYFUNCTION("""COMPUTED_VALUE"""),"Inside the New York Times ")</f>
        <v>Inside the New York Times </v>
      </c>
      <c r="N197" s="4" t="str">
        <f>IFERROR(__xludf.DUMMYFUNCTION("""COMPUTED_VALUE"""),"Sameen Amin, The New York Times")</f>
        <v>Sameen Amin, The New York Times</v>
      </c>
      <c r="O197" s="4" t="str">
        <f>IFERROR(__xludf.DUMMYFUNCTION("""COMPUTED_VALUE"""),"")</f>
        <v/>
      </c>
      <c r="P197" s="4" t="str">
        <f>IFERROR(__xludf.DUMMYFUNCTION("""COMPUTED_VALUE"""),"")</f>
        <v/>
      </c>
      <c r="Q197" s="4" t="str">
        <f>IFERROR(__xludf.DUMMYFUNCTION("""COMPUTED_VALUE"""),"")</f>
        <v/>
      </c>
      <c r="R197" s="4" t="str">
        <f>IFERROR(__xludf.DUMMYFUNCTION("""COMPUTED_VALUE"""),"")</f>
        <v/>
      </c>
      <c r="S197" s="4" t="str">
        <f>IFERROR(__xludf.DUMMYFUNCTION("""COMPUTED_VALUE"""),"See the inner workings of the New York Times' Emmy-award winning visual investigation and storytelling arm.")</f>
        <v>See the inner workings of the New York Times' Emmy-award winning visual investigation and storytelling arm.</v>
      </c>
      <c r="T197" s="54" t="str">
        <f>IFERROR(__xludf.DUMMYFUNCTION("""COMPUTED_VALUE"""),"KEYNOTE 8 - COMPLETE")</f>
        <v>KEYNOTE 8 - COMPLETE</v>
      </c>
      <c r="U197" s="23">
        <f>IFERROR(__xludf.DUMMYFUNCTION("""COMPUTED_VALUE"""),43973.0)</f>
        <v>43973</v>
      </c>
      <c r="V197" s="24">
        <f>IFERROR(__xludf.DUMMYFUNCTION("""COMPUTED_VALUE"""),0.5625)</f>
        <v>0.5625</v>
      </c>
      <c r="W197" s="4" t="str">
        <f>IFERROR(__xludf.DUMMYFUNCTION("""COMPUTED_VALUE"""),"COMPLETE")</f>
        <v>COMPLETE</v>
      </c>
      <c r="X197" s="4" t="str">
        <f>IFERROR(__xludf.DUMMYFUNCTION("""COMPUTED_VALUE"""),"Lobna")</f>
        <v>Lobna</v>
      </c>
      <c r="Y197" s="4" t="str">
        <f>IFERROR(__xludf.DUMMYFUNCTION("""COMPUTED_VALUE"""),"")</f>
        <v/>
      </c>
    </row>
    <row r="198">
      <c r="A198" s="4" t="str">
        <f>IFERROR(__xludf.DUMMYFUNCTION("""COMPUTED_VALUE"""),"193 - Channel")</f>
        <v>193 - Channel</v>
      </c>
      <c r="B198" s="4" t="str">
        <f>IFERROR(__xludf.DUMMYFUNCTION("""COMPUTED_VALUE"""),"Channel 1")</f>
        <v>Channel 1</v>
      </c>
      <c r="C198" s="4" t="str">
        <f>IFERROR(__xludf.DUMMYFUNCTION("""COMPUTED_VALUE"""),"Day 2 - 24/06")</f>
        <v>Day 2 - 24/06</v>
      </c>
      <c r="D198" s="6">
        <f>IFERROR(__xludf.DUMMYFUNCTION("""COMPUTED_VALUE"""),0.5513078703703708)</f>
        <v>0.5513078704</v>
      </c>
      <c r="E198" s="6">
        <f>IFERROR(__xludf.DUMMYFUNCTION("""COMPUTED_VALUE"""),2.314814814814815E-4)</f>
        <v>0.0002314814815</v>
      </c>
      <c r="F198" s="6">
        <f>IFERROR(__xludf.DUMMYFUNCTION("""COMPUTED_VALUE"""),0.5515393518518522)</f>
        <v>0.5515393519</v>
      </c>
      <c r="G198" s="4" t="str">
        <f>IFERROR(__xludf.DUMMYFUNCTION("""COMPUTED_VALUE"""),"")</f>
        <v/>
      </c>
      <c r="H198" s="4" t="str">
        <f>IFERROR(__xludf.DUMMYFUNCTION("""COMPUTED_VALUE"""),"")</f>
        <v/>
      </c>
      <c r="I198" s="4" t="str">
        <f>IFERROR(__xludf.DUMMYFUNCTION("""COMPUTED_VALUE"""),"")</f>
        <v/>
      </c>
      <c r="J198" s="4" t="str">
        <f>IFERROR(__xludf.DUMMYFUNCTION("""COMPUTED_VALUE"""),"")</f>
        <v/>
      </c>
      <c r="K198" s="4" t="str">
        <f>IFERROR(__xludf.DUMMYFUNCTION("""COMPUTED_VALUE"""),"Talk Intro")</f>
        <v>Talk Intro</v>
      </c>
      <c r="L198" s="4" t="str">
        <f>IFERROR(__xludf.DUMMYFUNCTION("""COMPUTED_VALUE"""),"")</f>
        <v/>
      </c>
      <c r="M198" s="4" t="str">
        <f>IFERROR(__xludf.DUMMYFUNCTION("""COMPUTED_VALUE"""),"Teaser: Call of Duty_Intro")</f>
        <v>Teaser: Call of Duty_Intro</v>
      </c>
      <c r="N198" s="4" t="str">
        <f>IFERROR(__xludf.DUMMYFUNCTION("""COMPUTED_VALUE"""),"Yvonne Redmond, Web Summit")</f>
        <v>Yvonne Redmond, Web Summit</v>
      </c>
      <c r="O198" s="4" t="str">
        <f>IFERROR(__xludf.DUMMYFUNCTION("""COMPUTED_VALUE"""),"")</f>
        <v/>
      </c>
      <c r="P198" s="4" t="str">
        <f>IFERROR(__xludf.DUMMYFUNCTION("""COMPUTED_VALUE"""),"")</f>
        <v/>
      </c>
      <c r="Q198" s="4" t="str">
        <f>IFERROR(__xludf.DUMMYFUNCTION("""COMPUTED_VALUE"""),"")</f>
        <v/>
      </c>
      <c r="R198" s="4" t="str">
        <f>IFERROR(__xludf.DUMMYFUNCTION("""COMPUTED_VALUE"""),"")</f>
        <v/>
      </c>
      <c r="S198" s="4" t="str">
        <f>IFERROR(__xludf.DUMMYFUNCTION("""COMPUTED_VALUE"""),"")</f>
        <v/>
      </c>
      <c r="T198" s="4" t="str">
        <f>IFERROR(__xludf.DUMMYFUNCTION("""COMPUTED_VALUE"""),"")</f>
        <v/>
      </c>
      <c r="U198" s="4" t="str">
        <f>IFERROR(__xludf.DUMMYFUNCTION("""COMPUTED_VALUE"""),"")</f>
        <v/>
      </c>
      <c r="V198" s="4" t="str">
        <f>IFERROR(__xludf.DUMMYFUNCTION("""COMPUTED_VALUE"""),"")</f>
        <v/>
      </c>
      <c r="W198" s="4" t="str">
        <f>IFERROR(__xludf.DUMMYFUNCTION("""COMPUTED_VALUE"""),"")</f>
        <v/>
      </c>
      <c r="X198" s="4" t="str">
        <f>IFERROR(__xludf.DUMMYFUNCTION("""COMPUTED_VALUE"""),"")</f>
        <v/>
      </c>
      <c r="Y198" s="4" t="str">
        <f>IFERROR(__xludf.DUMMYFUNCTION("""COMPUTED_VALUE"""),"")</f>
        <v/>
      </c>
    </row>
    <row r="199">
      <c r="A199" s="4" t="str">
        <f>IFERROR(__xludf.DUMMYFUNCTION("""COMPUTED_VALUE"""),"194 - Channel")</f>
        <v>194 - Channel</v>
      </c>
      <c r="B199" s="4" t="str">
        <f>IFERROR(__xludf.DUMMYFUNCTION("""COMPUTED_VALUE"""),"Channel 1")</f>
        <v>Channel 1</v>
      </c>
      <c r="C199" s="4" t="str">
        <f>IFERROR(__xludf.DUMMYFUNCTION("""COMPUTED_VALUE"""),"Day 2 - 24/06")</f>
        <v>Day 2 - 24/06</v>
      </c>
      <c r="D199" s="6">
        <f>IFERROR(__xludf.DUMMYFUNCTION("""COMPUTED_VALUE"""),0.5515393518518522)</f>
        <v>0.5515393519</v>
      </c>
      <c r="E199" s="6">
        <f>IFERROR(__xludf.DUMMYFUNCTION("""COMPUTED_VALUE"""),0.0020833333333333333)</f>
        <v>0.002083333333</v>
      </c>
      <c r="F199" s="6">
        <f>IFERROR(__xludf.DUMMYFUNCTION("""COMPUTED_VALUE"""),0.5536226851851855)</f>
        <v>0.5536226852</v>
      </c>
      <c r="G199" s="4" t="str">
        <f>IFERROR(__xludf.DUMMYFUNCTION("""COMPUTED_VALUE"""),"")</f>
        <v/>
      </c>
      <c r="H199" s="4" t="str">
        <f>IFERROR(__xludf.DUMMYFUNCTION("""COMPUTED_VALUE"""),"")</f>
        <v/>
      </c>
      <c r="I199" s="4" t="str">
        <f>IFERROR(__xludf.DUMMYFUNCTION("""COMPUTED_VALUE"""),"")</f>
        <v/>
      </c>
      <c r="J199" s="4" t="str">
        <f>IFERROR(__xludf.DUMMYFUNCTION("""COMPUTED_VALUE"""),"Gaming")</f>
        <v>Gaming</v>
      </c>
      <c r="K199" s="4" t="str">
        <f>IFERROR(__xludf.DUMMYFUNCTION("""COMPUTED_VALUE"""),"Teaser")</f>
        <v>Teaser</v>
      </c>
      <c r="L199" s="4" t="str">
        <f>IFERROR(__xludf.DUMMYFUNCTION("""COMPUTED_VALUE"""),"")</f>
        <v/>
      </c>
      <c r="M199" s="4" t="str">
        <f>IFERROR(__xludf.DUMMYFUNCTION("""COMPUTED_VALUE"""),"Teaser: Call of Duty")</f>
        <v>Teaser: Call of Duty</v>
      </c>
      <c r="N199" s="4" t="str">
        <f>IFERROR(__xludf.DUMMYFUNCTION("""COMPUTED_VALUE"""),"")</f>
        <v/>
      </c>
      <c r="O199" s="4" t="str">
        <f>IFERROR(__xludf.DUMMYFUNCTION("""COMPUTED_VALUE"""),"")</f>
        <v/>
      </c>
      <c r="P199" s="4" t="str">
        <f>IFERROR(__xludf.DUMMYFUNCTION("""COMPUTED_VALUE"""),"")</f>
        <v/>
      </c>
      <c r="Q199" s="4" t="str">
        <f>IFERROR(__xludf.DUMMYFUNCTION("""COMPUTED_VALUE"""),"")</f>
        <v/>
      </c>
      <c r="R199" s="4" t="str">
        <f>IFERROR(__xludf.DUMMYFUNCTION("""COMPUTED_VALUE"""),"")</f>
        <v/>
      </c>
      <c r="S199" s="4" t="str">
        <f>IFERROR(__xludf.DUMMYFUNCTION("""COMPUTED_VALUE"""),"")</f>
        <v/>
      </c>
      <c r="T199" s="4" t="str">
        <f>IFERROR(__xludf.DUMMYFUNCTION("""COMPUTED_VALUE"""),"N/A")</f>
        <v>N/A</v>
      </c>
      <c r="U199" s="4" t="str">
        <f>IFERROR(__xludf.DUMMYFUNCTION("""COMPUTED_VALUE"""),"")</f>
        <v/>
      </c>
      <c r="V199" s="4" t="str">
        <f>IFERROR(__xludf.DUMMYFUNCTION("""COMPUTED_VALUE"""),"")</f>
        <v/>
      </c>
      <c r="W199" s="4" t="str">
        <f>IFERROR(__xludf.DUMMYFUNCTION("""COMPUTED_VALUE"""),"")</f>
        <v/>
      </c>
      <c r="X199" s="4" t="str">
        <f>IFERROR(__xludf.DUMMYFUNCTION("""COMPUTED_VALUE"""),"")</f>
        <v/>
      </c>
      <c r="Y199" s="4" t="str">
        <f>IFERROR(__xludf.DUMMYFUNCTION("""COMPUTED_VALUE"""),"")</f>
        <v/>
      </c>
    </row>
    <row r="200">
      <c r="A200" s="4" t="str">
        <f>IFERROR(__xludf.DUMMYFUNCTION("""COMPUTED_VALUE"""),"2252 - Channel")</f>
        <v>2252 - Channel</v>
      </c>
      <c r="B200" s="4" t="str">
        <f>IFERROR(__xludf.DUMMYFUNCTION("""COMPUTED_VALUE"""),"Channel 1")</f>
        <v>Channel 1</v>
      </c>
      <c r="C200" s="4" t="str">
        <f>IFERROR(__xludf.DUMMYFUNCTION("""COMPUTED_VALUE"""),"Day 2 - 24/06")</f>
        <v>Day 2 - 24/06</v>
      </c>
      <c r="D200" s="6">
        <f>IFERROR(__xludf.DUMMYFUNCTION("""COMPUTED_VALUE"""),0.5536226851851855)</f>
        <v>0.5536226852</v>
      </c>
      <c r="E200" s="6">
        <f>IFERROR(__xludf.DUMMYFUNCTION("""COMPUTED_VALUE"""),2.314814814814815E-4)</f>
        <v>0.0002314814815</v>
      </c>
      <c r="F200" s="6">
        <f>IFERROR(__xludf.DUMMYFUNCTION("""COMPUTED_VALUE"""),0.553854166666667)</f>
        <v>0.5538541667</v>
      </c>
      <c r="G200" s="4" t="str">
        <f>IFERROR(__xludf.DUMMYFUNCTION("""COMPUTED_VALUE"""),"")</f>
        <v/>
      </c>
      <c r="H200" s="4" t="str">
        <f>IFERROR(__xludf.DUMMYFUNCTION("""COMPUTED_VALUE"""),"")</f>
        <v/>
      </c>
      <c r="I200" s="4" t="str">
        <f>IFERROR(__xludf.DUMMYFUNCTION("""COMPUTED_VALUE"""),"")</f>
        <v/>
      </c>
      <c r="J200" s="4" t="str">
        <f>IFERROR(__xludf.DUMMYFUNCTION("""COMPUTED_VALUE"""),"")</f>
        <v/>
      </c>
      <c r="K200" s="4" t="str">
        <f>IFERROR(__xludf.DUMMYFUNCTION("""COMPUTED_VALUE"""),"Talk Outro")</f>
        <v>Talk Outro</v>
      </c>
      <c r="L200" s="4" t="str">
        <f>IFERROR(__xludf.DUMMYFUNCTION("""COMPUTED_VALUE"""),"")</f>
        <v/>
      </c>
      <c r="M200" s="4" t="str">
        <f>IFERROR(__xludf.DUMMYFUNCTION("""COMPUTED_VALUE"""),"Call to action")</f>
        <v>Call to action</v>
      </c>
      <c r="N200" s="4" t="str">
        <f>IFERROR(__xludf.DUMMYFUNCTION("""COMPUTED_VALUE"""),"Yvonne Redmond, Web Summit")</f>
        <v>Yvonne Redmond, Web Summit</v>
      </c>
      <c r="O200" s="4" t="str">
        <f>IFERROR(__xludf.DUMMYFUNCTION("""COMPUTED_VALUE"""),"")</f>
        <v/>
      </c>
      <c r="P200" s="4" t="str">
        <f>IFERROR(__xludf.DUMMYFUNCTION("""COMPUTED_VALUE"""),"")</f>
        <v/>
      </c>
      <c r="Q200" s="4" t="str">
        <f>IFERROR(__xludf.DUMMYFUNCTION("""COMPUTED_VALUE"""),"")</f>
        <v/>
      </c>
      <c r="R200" s="4" t="str">
        <f>IFERROR(__xludf.DUMMYFUNCTION("""COMPUTED_VALUE"""),"")</f>
        <v/>
      </c>
      <c r="S200" s="4" t="str">
        <f>IFERROR(__xludf.DUMMYFUNCTION("""COMPUTED_VALUE"""),"")</f>
        <v/>
      </c>
      <c r="T200" s="4" t="str">
        <f>IFERROR(__xludf.DUMMYFUNCTION("""COMPUTED_VALUE"""),"")</f>
        <v/>
      </c>
      <c r="U200" s="4" t="str">
        <f>IFERROR(__xludf.DUMMYFUNCTION("""COMPUTED_VALUE"""),"")</f>
        <v/>
      </c>
      <c r="V200" s="4" t="str">
        <f>IFERROR(__xludf.DUMMYFUNCTION("""COMPUTED_VALUE"""),"")</f>
        <v/>
      </c>
      <c r="W200" s="4" t="str">
        <f>IFERROR(__xludf.DUMMYFUNCTION("""COMPUTED_VALUE"""),"")</f>
        <v/>
      </c>
      <c r="X200" s="4" t="str">
        <f>IFERROR(__xludf.DUMMYFUNCTION("""COMPUTED_VALUE"""),"")</f>
        <v/>
      </c>
      <c r="Y200" s="4" t="str">
        <f>IFERROR(__xludf.DUMMYFUNCTION("""COMPUTED_VALUE"""),"")</f>
        <v/>
      </c>
    </row>
    <row r="201">
      <c r="A201" s="4" t="str">
        <f>IFERROR(__xludf.DUMMYFUNCTION("""COMPUTED_VALUE"""),"166 - Channel")</f>
        <v>166 - Channel</v>
      </c>
      <c r="B201" s="4" t="str">
        <f>IFERROR(__xludf.DUMMYFUNCTION("""COMPUTED_VALUE"""),"Channel 1")</f>
        <v>Channel 1</v>
      </c>
      <c r="C201" s="4" t="str">
        <f>IFERROR(__xludf.DUMMYFUNCTION("""COMPUTED_VALUE"""),"Day 2 - 24/06")</f>
        <v>Day 2 - 24/06</v>
      </c>
      <c r="D201" s="6">
        <f>IFERROR(__xludf.DUMMYFUNCTION("""COMPUTED_VALUE"""),0.553854166666667)</f>
        <v>0.5538541667</v>
      </c>
      <c r="E201" s="6">
        <f>IFERROR(__xludf.DUMMYFUNCTION("""COMPUTED_VALUE"""),2.314814814814815E-4)</f>
        <v>0.0002314814815</v>
      </c>
      <c r="F201" s="6">
        <f>IFERROR(__xludf.DUMMYFUNCTION("""COMPUTED_VALUE"""),0.5540856481481484)</f>
        <v>0.5540856481</v>
      </c>
      <c r="G201" s="4" t="str">
        <f>IFERROR(__xludf.DUMMYFUNCTION("""COMPUTED_VALUE"""),"")</f>
        <v/>
      </c>
      <c r="H201" s="4" t="str">
        <f>IFERROR(__xludf.DUMMYFUNCTION("""COMPUTED_VALUE"""),"")</f>
        <v/>
      </c>
      <c r="I201" s="4" t="str">
        <f>IFERROR(__xludf.DUMMYFUNCTION("""COMPUTED_VALUE"""),"")</f>
        <v/>
      </c>
      <c r="J201" s="4" t="str">
        <f>IFERROR(__xludf.DUMMYFUNCTION("""COMPUTED_VALUE"""),"")</f>
        <v/>
      </c>
      <c r="K201" s="4" t="str">
        <f>IFERROR(__xludf.DUMMYFUNCTION("""COMPUTED_VALUE"""),"Talk Intro")</f>
        <v>Talk Intro</v>
      </c>
      <c r="L201" s="4" t="str">
        <f>IFERROR(__xludf.DUMMYFUNCTION("""COMPUTED_VALUE"""),"")</f>
        <v/>
      </c>
      <c r="M201" s="4" t="str">
        <f>IFERROR(__xludf.DUMMYFUNCTION("""COMPUTED_VALUE"""),"Talk intro ")</f>
        <v>Talk intro </v>
      </c>
      <c r="N201" s="4" t="str">
        <f>IFERROR(__xludf.DUMMYFUNCTION("""COMPUTED_VALUE"""),"Yvonne Redmond, Web Summit")</f>
        <v>Yvonne Redmond, Web Summit</v>
      </c>
      <c r="O201" s="4" t="str">
        <f>IFERROR(__xludf.DUMMYFUNCTION("""COMPUTED_VALUE"""),"")</f>
        <v/>
      </c>
      <c r="P201" s="4" t="str">
        <f>IFERROR(__xludf.DUMMYFUNCTION("""COMPUTED_VALUE"""),"")</f>
        <v/>
      </c>
      <c r="Q201" s="4" t="str">
        <f>IFERROR(__xludf.DUMMYFUNCTION("""COMPUTED_VALUE"""),"")</f>
        <v/>
      </c>
      <c r="R201" s="4" t="str">
        <f>IFERROR(__xludf.DUMMYFUNCTION("""COMPUTED_VALUE"""),"")</f>
        <v/>
      </c>
      <c r="S201" s="4" t="str">
        <f>IFERROR(__xludf.DUMMYFUNCTION("""COMPUTED_VALUE"""),"")</f>
        <v/>
      </c>
      <c r="T201" s="4" t="str">
        <f>IFERROR(__xludf.DUMMYFUNCTION("""COMPUTED_VALUE"""),"")</f>
        <v/>
      </c>
      <c r="U201" s="4" t="str">
        <f>IFERROR(__xludf.DUMMYFUNCTION("""COMPUTED_VALUE"""),"")</f>
        <v/>
      </c>
      <c r="V201" s="4" t="str">
        <f>IFERROR(__xludf.DUMMYFUNCTION("""COMPUTED_VALUE"""),"")</f>
        <v/>
      </c>
      <c r="W201" s="4" t="str">
        <f>IFERROR(__xludf.DUMMYFUNCTION("""COMPUTED_VALUE"""),"")</f>
        <v/>
      </c>
      <c r="X201" s="4" t="str">
        <f>IFERROR(__xludf.DUMMYFUNCTION("""COMPUTED_VALUE"""),"")</f>
        <v/>
      </c>
      <c r="Y201" s="4" t="str">
        <f>IFERROR(__xludf.DUMMYFUNCTION("""COMPUTED_VALUE"""),"")</f>
        <v/>
      </c>
    </row>
    <row r="202">
      <c r="A202" s="4" t="str">
        <f>IFERROR(__xludf.DUMMYFUNCTION("""COMPUTED_VALUE"""),"1485 - Channel")</f>
        <v>1485 - Channel</v>
      </c>
      <c r="B202" s="4" t="str">
        <f>IFERROR(__xludf.DUMMYFUNCTION("""COMPUTED_VALUE"""),"Channel 1")</f>
        <v>Channel 1</v>
      </c>
      <c r="C202" s="4" t="str">
        <f>IFERROR(__xludf.DUMMYFUNCTION("""COMPUTED_VALUE"""),"Day 2 - 24/06")</f>
        <v>Day 2 - 24/06</v>
      </c>
      <c r="D202" s="6">
        <f>IFERROR(__xludf.DUMMYFUNCTION("""COMPUTED_VALUE"""),0.5540856481481484)</f>
        <v>0.5540856481</v>
      </c>
      <c r="E202" s="6">
        <f>IFERROR(__xludf.DUMMYFUNCTION("""COMPUTED_VALUE"""),0.008333333333333333)</f>
        <v>0.008333333333</v>
      </c>
      <c r="F202" s="6">
        <f>IFERROR(__xludf.DUMMYFUNCTION("""COMPUTED_VALUE"""),0.5624189814814817)</f>
        <v>0.5624189815</v>
      </c>
      <c r="G202" s="4" t="str">
        <f>IFERROR(__xludf.DUMMYFUNCTION("""COMPUTED_VALUE"""),"Lobna")</f>
        <v>Lobna</v>
      </c>
      <c r="H202" s="4" t="str">
        <f>IFERROR(__xludf.DUMMYFUNCTION("""COMPUTED_VALUE"""),"")</f>
        <v/>
      </c>
      <c r="I202" s="4" t="str">
        <f>IFERROR(__xludf.DUMMYFUNCTION("""COMPUTED_VALUE"""),"Lucia H.")</f>
        <v>Lucia H.</v>
      </c>
      <c r="J202" s="4" t="str">
        <f>IFERROR(__xludf.DUMMYFUNCTION("""COMPUTED_VALUE"""),"")</f>
        <v/>
      </c>
      <c r="K202" s="4" t="str">
        <f>IFERROR(__xludf.DUMMYFUNCTION("""COMPUTED_VALUE"""),"Fireside")</f>
        <v>Fireside</v>
      </c>
      <c r="L202" s="4" t="str">
        <f>IFERROR(__xludf.DUMMYFUNCTION("""COMPUTED_VALUE"""),"T- 4 - 25/05/2020")</f>
        <v>T- 4 - 25/05/2020</v>
      </c>
      <c r="M202" s="4" t="str">
        <f>IFERROR(__xludf.DUMMYFUNCTION("""COMPUTED_VALUE"""),"Leadership amid uncertainty")</f>
        <v>Leadership amid uncertainty</v>
      </c>
      <c r="N202" s="4" t="str">
        <f>IFERROR(__xludf.DUMMYFUNCTION("""COMPUTED_VALUE"""),"Jeremy Zimmer, United Talent Agency")</f>
        <v>Jeremy Zimmer, United Talent Agency</v>
      </c>
      <c r="O202" s="4" t="str">
        <f>IFERROR(__xludf.DUMMYFUNCTION("""COMPUTED_VALUE"""),"")</f>
        <v/>
      </c>
      <c r="P202" s="4" t="str">
        <f>IFERROR(__xludf.DUMMYFUNCTION("""COMPUTED_VALUE"""),"")</f>
        <v/>
      </c>
      <c r="Q202" s="4" t="str">
        <f>IFERROR(__xludf.DUMMYFUNCTION("""COMPUTED_VALUE"""),"")</f>
        <v/>
      </c>
      <c r="R202" s="4" t="str">
        <f>IFERROR(__xludf.DUMMYFUNCTION("""COMPUTED_VALUE"""),"Dylan Byers, NBCUniversal")</f>
        <v>Dylan Byers, NBCUniversal</v>
      </c>
      <c r="S202" s="4" t="str">
        <f>IFERROR(__xludf.DUMMYFUNCTION("""COMPUTED_VALUE"""),"Working with clients – including Kaskade and LeBron James – to help them cnnect with their audiences in a time when uncertainty is at an all time high, UTA chief Jeremy Zimmer shares his thoughts on how to lead and plan for an unpredictable future.")</f>
        <v>Working with clients – including Kaskade and LeBron James – to help them cnnect with their audiences in a time when uncertainty is at an all time high, UTA chief Jeremy Zimmer shares his thoughts on how to lead and plan for an unpredictable future.</v>
      </c>
      <c r="T202" s="4" t="str">
        <f>IFERROR(__xludf.DUMMYFUNCTION("""COMPUTED_VALUE"""),"NON-KEYNOTE 9 - COMPLETE")</f>
        <v>NON-KEYNOTE 9 - COMPLETE</v>
      </c>
      <c r="U202" s="23">
        <f>IFERROR(__xludf.DUMMYFUNCTION("""COMPUTED_VALUE"""),43980.0)</f>
        <v>43980</v>
      </c>
      <c r="V202" s="44">
        <f>IFERROR(__xludf.DUMMYFUNCTION("""COMPUTED_VALUE"""),0.7083333333333334)</f>
        <v>0.7083333333</v>
      </c>
      <c r="W202" s="4" t="str">
        <f>IFERROR(__xludf.DUMMYFUNCTION("""COMPUTED_VALUE"""),"COMPLETE")</f>
        <v>COMPLETE</v>
      </c>
      <c r="X202" s="4" t="str">
        <f>IFERROR(__xludf.DUMMYFUNCTION("""COMPUTED_VALUE"""),"Lobna")</f>
        <v>Lobna</v>
      </c>
      <c r="Y202" s="4" t="str">
        <f>IFERROR(__xludf.DUMMYFUNCTION("""COMPUTED_VALUE"""),"")</f>
        <v/>
      </c>
    </row>
    <row r="203">
      <c r="A203" s="4" t="str">
        <f>IFERROR(__xludf.DUMMYFUNCTION("""COMPUTED_VALUE"""),"214 - Channel")</f>
        <v>214 - Channel</v>
      </c>
      <c r="B203" s="4" t="str">
        <f>IFERROR(__xludf.DUMMYFUNCTION("""COMPUTED_VALUE"""),"Channel 1")</f>
        <v>Channel 1</v>
      </c>
      <c r="C203" s="4" t="str">
        <f>IFERROR(__xludf.DUMMYFUNCTION("""COMPUTED_VALUE"""),"Day 2 - 24/06")</f>
        <v>Day 2 - 24/06</v>
      </c>
      <c r="D203" s="6">
        <f>IFERROR(__xludf.DUMMYFUNCTION("""COMPUTED_VALUE"""),0.5624189814814817)</f>
        <v>0.5624189815</v>
      </c>
      <c r="E203" s="6">
        <f>IFERROR(__xludf.DUMMYFUNCTION("""COMPUTED_VALUE"""),2.314814814814815E-4)</f>
        <v>0.0002314814815</v>
      </c>
      <c r="F203" s="6">
        <f>IFERROR(__xludf.DUMMYFUNCTION("""COMPUTED_VALUE"""),0.5626504629629632)</f>
        <v>0.562650463</v>
      </c>
      <c r="G203" s="4" t="str">
        <f>IFERROR(__xludf.DUMMYFUNCTION("""COMPUTED_VALUE"""),"")</f>
        <v/>
      </c>
      <c r="H203" s="4" t="str">
        <f>IFERROR(__xludf.DUMMYFUNCTION("""COMPUTED_VALUE"""),"")</f>
        <v/>
      </c>
      <c r="I203" s="4" t="str">
        <f>IFERROR(__xludf.DUMMYFUNCTION("""COMPUTED_VALUE"""),"")</f>
        <v/>
      </c>
      <c r="J203" s="4" t="str">
        <f>IFERROR(__xludf.DUMMYFUNCTION("""COMPUTED_VALUE"""),"")</f>
        <v/>
      </c>
      <c r="K203" s="4" t="str">
        <f>IFERROR(__xludf.DUMMYFUNCTION("""COMPUTED_VALUE"""),"Talk Intro")</f>
        <v>Talk Intro</v>
      </c>
      <c r="L203" s="4" t="str">
        <f>IFERROR(__xludf.DUMMYFUNCTION("""COMPUTED_VALUE"""),"")</f>
        <v/>
      </c>
      <c r="M203" s="4" t="str">
        <f>IFERROR(__xludf.DUMMYFUNCTION("""COMPUTED_VALUE"""),"talk intro ")</f>
        <v>talk intro </v>
      </c>
      <c r="N203" s="4" t="str">
        <f>IFERROR(__xludf.DUMMYFUNCTION("""COMPUTED_VALUE"""),"Yvonne Redmond, Web Summit")</f>
        <v>Yvonne Redmond, Web Summit</v>
      </c>
      <c r="O203" s="4" t="str">
        <f>IFERROR(__xludf.DUMMYFUNCTION("""COMPUTED_VALUE"""),"")</f>
        <v/>
      </c>
      <c r="P203" s="4" t="str">
        <f>IFERROR(__xludf.DUMMYFUNCTION("""COMPUTED_VALUE"""),"")</f>
        <v/>
      </c>
      <c r="Q203" s="4" t="str">
        <f>IFERROR(__xludf.DUMMYFUNCTION("""COMPUTED_VALUE"""),"")</f>
        <v/>
      </c>
      <c r="R203" s="4" t="str">
        <f>IFERROR(__xludf.DUMMYFUNCTION("""COMPUTED_VALUE"""),"")</f>
        <v/>
      </c>
      <c r="S203" s="4" t="str">
        <f>IFERROR(__xludf.DUMMYFUNCTION("""COMPUTED_VALUE"""),"")</f>
        <v/>
      </c>
      <c r="T203" s="4" t="str">
        <f>IFERROR(__xludf.DUMMYFUNCTION("""COMPUTED_VALUE"""),"")</f>
        <v/>
      </c>
      <c r="U203" s="4" t="str">
        <f>IFERROR(__xludf.DUMMYFUNCTION("""COMPUTED_VALUE"""),"")</f>
        <v/>
      </c>
      <c r="V203" s="4" t="str">
        <f>IFERROR(__xludf.DUMMYFUNCTION("""COMPUTED_VALUE"""),"")</f>
        <v/>
      </c>
      <c r="W203" s="4" t="str">
        <f>IFERROR(__xludf.DUMMYFUNCTION("""COMPUTED_VALUE"""),"")</f>
        <v/>
      </c>
      <c r="X203" s="4" t="str">
        <f>IFERROR(__xludf.DUMMYFUNCTION("""COMPUTED_VALUE"""),"")</f>
        <v/>
      </c>
      <c r="Y203" s="4" t="str">
        <f>IFERROR(__xludf.DUMMYFUNCTION("""COMPUTED_VALUE"""),"")</f>
        <v/>
      </c>
    </row>
    <row r="204">
      <c r="A204" s="4" t="str">
        <f>IFERROR(__xludf.DUMMYFUNCTION("""COMPUTED_VALUE"""),"1056 - Channel")</f>
        <v>1056 - Channel</v>
      </c>
      <c r="B204" s="4" t="str">
        <f>IFERROR(__xludf.DUMMYFUNCTION("""COMPUTED_VALUE"""),"Channel 1")</f>
        <v>Channel 1</v>
      </c>
      <c r="C204" s="4" t="str">
        <f>IFERROR(__xludf.DUMMYFUNCTION("""COMPUTED_VALUE"""),"Day 2 - 24/06")</f>
        <v>Day 2 - 24/06</v>
      </c>
      <c r="D204" s="6">
        <f>IFERROR(__xludf.DUMMYFUNCTION("""COMPUTED_VALUE"""),0.5626504629629632)</f>
        <v>0.562650463</v>
      </c>
      <c r="E204" s="6">
        <f>IFERROR(__xludf.DUMMYFUNCTION("""COMPUTED_VALUE"""),0.010416666666666666)</f>
        <v>0.01041666667</v>
      </c>
      <c r="F204" s="6">
        <f>IFERROR(__xludf.DUMMYFUNCTION("""COMPUTED_VALUE"""),0.5730671296296298)</f>
        <v>0.5730671296</v>
      </c>
      <c r="G204" s="4" t="str">
        <f>IFERROR(__xludf.DUMMYFUNCTION("""COMPUTED_VALUE"""),"Darren")</f>
        <v>Darren</v>
      </c>
      <c r="H204" s="4" t="str">
        <f>IFERROR(__xludf.DUMMYFUNCTION("""COMPUTED_VALUE"""),"Shauna")</f>
        <v>Shauna</v>
      </c>
      <c r="I204" s="4" t="str">
        <f>IFERROR(__xludf.DUMMYFUNCTION("""COMPUTED_VALUE"""),"Naomi")</f>
        <v>Naomi</v>
      </c>
      <c r="J204" s="4" t="str">
        <f>IFERROR(__xludf.DUMMYFUNCTION("""COMPUTED_VALUE"""),"Sport")</f>
        <v>Sport</v>
      </c>
      <c r="K204" s="4" t="str">
        <f>IFERROR(__xludf.DUMMYFUNCTION("""COMPUTED_VALUE"""),"Panel")</f>
        <v>Panel</v>
      </c>
      <c r="L204" s="4" t="str">
        <f>IFERROR(__xludf.DUMMYFUNCTION("""COMPUTED_VALUE"""),"T- 3 - 01/06/2020")</f>
        <v>T- 3 - 01/06/2020</v>
      </c>
      <c r="M204" s="4" t="str">
        <f>IFERROR(__xludf.DUMMYFUNCTION("""COMPUTED_VALUE"""),"Business builders: Life off the court")</f>
        <v>Business builders: Life off the court</v>
      </c>
      <c r="N204" s="4" t="str">
        <f>IFERROR(__xludf.DUMMYFUNCTION("""COMPUTED_VALUE"""),"Al Harrington, NBA")</f>
        <v>Al Harrington, NBA</v>
      </c>
      <c r="O204" s="4" t="str">
        <f>IFERROR(__xludf.DUMMYFUNCTION("""COMPUTED_VALUE"""),"Langston Galloway, Detroit Pistons")</f>
        <v>Langston Galloway, Detroit Pistons</v>
      </c>
      <c r="P204" s="4" t="str">
        <f>IFERROR(__xludf.DUMMYFUNCTION("""COMPUTED_VALUE"""),"Rondae Hollis Jefferson, Toronto Raptors")</f>
        <v>Rondae Hollis Jefferson, Toronto Raptors</v>
      </c>
      <c r="Q204" s="4" t="str">
        <f>IFERROR(__xludf.DUMMYFUNCTION("""COMPUTED_VALUE"""),"")</f>
        <v/>
      </c>
      <c r="R204" s="4" t="str">
        <f>IFERROR(__xludf.DUMMYFUNCTION("""COMPUTED_VALUE"""),"Randy Osei, Rozaay Management")</f>
        <v>Randy Osei, Rozaay Management</v>
      </c>
      <c r="S204" s="4" t="str">
        <f>IFERROR(__xludf.DUMMYFUNCTION("""COMPUTED_VALUE"""),"Meet the NBA stars building businesses off the court, even while juggling the demands of a pro athlete and indulging their creative and entrepreneurial streaks. 
")</f>
        <v>Meet the NBA stars building businesses off the court, even while juggling the demands of a pro athlete and indulging their creative and entrepreneurial streaks. 
</v>
      </c>
      <c r="T204" s="54" t="str">
        <f>IFERROR(__xludf.DUMMYFUNCTION("""COMPUTED_VALUE"""),"KEYNOTE 8 - COMPLETE")</f>
        <v>KEYNOTE 8 - COMPLETE</v>
      </c>
      <c r="U204" s="23">
        <f>IFERROR(__xludf.DUMMYFUNCTION("""COMPUTED_VALUE"""),43980.0)</f>
        <v>43980</v>
      </c>
      <c r="V204" s="24">
        <f>IFERROR(__xludf.DUMMYFUNCTION("""COMPUTED_VALUE"""),0.0)</f>
        <v>0</v>
      </c>
      <c r="W204" s="4" t="str">
        <f>IFERROR(__xludf.DUMMYFUNCTION("""COMPUTED_VALUE"""),"COMPLETE")</f>
        <v>COMPLETE</v>
      </c>
      <c r="X204" s="4" t="str">
        <f>IFERROR(__xludf.DUMMYFUNCTION("""COMPUTED_VALUE"""),"Darren")</f>
        <v>Darren</v>
      </c>
      <c r="Y204" s="4" t="str">
        <f>IFERROR(__xludf.DUMMYFUNCTION("""COMPUTED_VALUE"""),"")</f>
        <v/>
      </c>
    </row>
    <row r="205">
      <c r="A205" s="4" t="str">
        <f>IFERROR(__xludf.DUMMYFUNCTION("""COMPUTED_VALUE"""),"200 - Channel")</f>
        <v>200 - Channel</v>
      </c>
      <c r="B205" s="4" t="str">
        <f>IFERROR(__xludf.DUMMYFUNCTION("""COMPUTED_VALUE"""),"Channel 1")</f>
        <v>Channel 1</v>
      </c>
      <c r="C205" s="4" t="str">
        <f>IFERROR(__xludf.DUMMYFUNCTION("""COMPUTED_VALUE"""),"Day 2 - 24/06")</f>
        <v>Day 2 - 24/06</v>
      </c>
      <c r="D205" s="6">
        <f>IFERROR(__xludf.DUMMYFUNCTION("""COMPUTED_VALUE"""),0.5730671296296298)</f>
        <v>0.5730671296</v>
      </c>
      <c r="E205" s="6">
        <f>IFERROR(__xludf.DUMMYFUNCTION("""COMPUTED_VALUE"""),5.208333333333333E-4)</f>
        <v>0.0005208333333</v>
      </c>
      <c r="F205" s="6">
        <f>IFERROR(__xludf.DUMMYFUNCTION("""COMPUTED_VALUE"""),0.5735879629629631)</f>
        <v>0.573587963</v>
      </c>
      <c r="G205" s="4" t="str">
        <f>IFERROR(__xludf.DUMMYFUNCTION("""COMPUTED_VALUE"""),"")</f>
        <v/>
      </c>
      <c r="H205" s="4" t="str">
        <f>IFERROR(__xludf.DUMMYFUNCTION("""COMPUTED_VALUE"""),"")</f>
        <v/>
      </c>
      <c r="I205" s="4" t="str">
        <f>IFERROR(__xludf.DUMMYFUNCTION("""COMPUTED_VALUE"""),"")</f>
        <v/>
      </c>
      <c r="J205" s="4" t="str">
        <f>IFERROR(__xludf.DUMMYFUNCTION("""COMPUTED_VALUE"""),"")</f>
        <v/>
      </c>
      <c r="K205" s="4" t="str">
        <f>IFERROR(__xludf.DUMMYFUNCTION("""COMPUTED_VALUE"""),"Web Summit Trailer - full")</f>
        <v>Web Summit Trailer - full</v>
      </c>
      <c r="L205" s="4" t="str">
        <f>IFERROR(__xludf.DUMMYFUNCTION("""COMPUTED_VALUE"""),"")</f>
        <v/>
      </c>
      <c r="M205" s="4" t="str">
        <f>IFERROR(__xludf.DUMMYFUNCTION("""COMPUTED_VALUE"""),"Web Summit promo")</f>
        <v>Web Summit promo</v>
      </c>
      <c r="N205" s="4" t="str">
        <f>IFERROR(__xludf.DUMMYFUNCTION("""COMPUTED_VALUE"""),"Content pending")</f>
        <v>Content pending</v>
      </c>
      <c r="O205" s="4" t="str">
        <f>IFERROR(__xludf.DUMMYFUNCTION("""COMPUTED_VALUE"""),"")</f>
        <v/>
      </c>
      <c r="P205" s="4" t="str">
        <f>IFERROR(__xludf.DUMMYFUNCTION("""COMPUTED_VALUE"""),"")</f>
        <v/>
      </c>
      <c r="Q205" s="4" t="str">
        <f>IFERROR(__xludf.DUMMYFUNCTION("""COMPUTED_VALUE"""),"")</f>
        <v/>
      </c>
      <c r="R205" s="4" t="str">
        <f>IFERROR(__xludf.DUMMYFUNCTION("""COMPUTED_VALUE"""),"")</f>
        <v/>
      </c>
      <c r="S205" s="4" t="str">
        <f>IFERROR(__xludf.DUMMYFUNCTION("""COMPUTED_VALUE"""),"")</f>
        <v/>
      </c>
      <c r="T205" s="4" t="str">
        <f>IFERROR(__xludf.DUMMYFUNCTION("""COMPUTED_VALUE"""),"")</f>
        <v/>
      </c>
      <c r="U205" s="4" t="str">
        <f>IFERROR(__xludf.DUMMYFUNCTION("""COMPUTED_VALUE"""),"")</f>
        <v/>
      </c>
      <c r="V205" s="4" t="str">
        <f>IFERROR(__xludf.DUMMYFUNCTION("""COMPUTED_VALUE"""),"")</f>
        <v/>
      </c>
      <c r="W205" s="4" t="str">
        <f>IFERROR(__xludf.DUMMYFUNCTION("""COMPUTED_VALUE"""),"")</f>
        <v/>
      </c>
      <c r="X205" s="4" t="str">
        <f>IFERROR(__xludf.DUMMYFUNCTION("""COMPUTED_VALUE"""),"")</f>
        <v/>
      </c>
      <c r="Y205" s="4" t="str">
        <f>IFERROR(__xludf.DUMMYFUNCTION("""COMPUTED_VALUE"""),"")</f>
        <v/>
      </c>
    </row>
    <row r="206">
      <c r="A206" s="4" t="str">
        <f>IFERROR(__xludf.DUMMYFUNCTION("""COMPUTED_VALUE"""),"1428 - Channel")</f>
        <v>1428 - Channel</v>
      </c>
      <c r="B206" s="4" t="str">
        <f>IFERROR(__xludf.DUMMYFUNCTION("""COMPUTED_VALUE"""),"Channel 1")</f>
        <v>Channel 1</v>
      </c>
      <c r="C206" s="4" t="str">
        <f>IFERROR(__xludf.DUMMYFUNCTION("""COMPUTED_VALUE"""),"Day 2 - 24/06")</f>
        <v>Day 2 - 24/06</v>
      </c>
      <c r="D206" s="6">
        <f>IFERROR(__xludf.DUMMYFUNCTION("""COMPUTED_VALUE"""),0.5735879629629631)</f>
        <v>0.573587963</v>
      </c>
      <c r="E206" s="6">
        <f>IFERROR(__xludf.DUMMYFUNCTION("""COMPUTED_VALUE"""),2.314814814814815E-4)</f>
        <v>0.0002314814815</v>
      </c>
      <c r="F206" s="6">
        <f>IFERROR(__xludf.DUMMYFUNCTION("""COMPUTED_VALUE"""),0.5738194444444445)</f>
        <v>0.5738194444</v>
      </c>
      <c r="G206" s="4" t="str">
        <f>IFERROR(__xludf.DUMMYFUNCTION("""COMPUTED_VALUE"""),"")</f>
        <v/>
      </c>
      <c r="H206" s="4" t="str">
        <f>IFERROR(__xludf.DUMMYFUNCTION("""COMPUTED_VALUE"""),"")</f>
        <v/>
      </c>
      <c r="I206" s="4" t="str">
        <f>IFERROR(__xludf.DUMMYFUNCTION("""COMPUTED_VALUE"""),"")</f>
        <v/>
      </c>
      <c r="J206" s="4" t="str">
        <f>IFERROR(__xludf.DUMMYFUNCTION("""COMPUTED_VALUE"""),"")</f>
        <v/>
      </c>
      <c r="K206" s="4" t="str">
        <f>IFERROR(__xludf.DUMMYFUNCTION("""COMPUTED_VALUE"""),"Talk Intro")</f>
        <v>Talk Intro</v>
      </c>
      <c r="L206" s="4" t="str">
        <f>IFERROR(__xludf.DUMMYFUNCTION("""COMPUTED_VALUE"""),"")</f>
        <v/>
      </c>
      <c r="M206" s="4" t="str">
        <f>IFERROR(__xludf.DUMMYFUNCTION("""COMPUTED_VALUE"""),"Teaser: Laurent Duvernay-Tardif_Intro")</f>
        <v>Teaser: Laurent Duvernay-Tardif_Intro</v>
      </c>
      <c r="N206" s="4" t="str">
        <f>IFERROR(__xludf.DUMMYFUNCTION("""COMPUTED_VALUE"""),"Yvonne Redmond, Web Summit")</f>
        <v>Yvonne Redmond, Web Summit</v>
      </c>
      <c r="O206" s="4" t="str">
        <f>IFERROR(__xludf.DUMMYFUNCTION("""COMPUTED_VALUE"""),"")</f>
        <v/>
      </c>
      <c r="P206" s="4" t="str">
        <f>IFERROR(__xludf.DUMMYFUNCTION("""COMPUTED_VALUE"""),"")</f>
        <v/>
      </c>
      <c r="Q206" s="4" t="str">
        <f>IFERROR(__xludf.DUMMYFUNCTION("""COMPUTED_VALUE"""),"")</f>
        <v/>
      </c>
      <c r="R206" s="4" t="str">
        <f>IFERROR(__xludf.DUMMYFUNCTION("""COMPUTED_VALUE"""),"")</f>
        <v/>
      </c>
      <c r="S206" s="4" t="str">
        <f>IFERROR(__xludf.DUMMYFUNCTION("""COMPUTED_VALUE"""),"")</f>
        <v/>
      </c>
      <c r="T206" s="4" t="str">
        <f>IFERROR(__xludf.DUMMYFUNCTION("""COMPUTED_VALUE"""),"")</f>
        <v/>
      </c>
      <c r="U206" s="4" t="str">
        <f>IFERROR(__xludf.DUMMYFUNCTION("""COMPUTED_VALUE"""),"")</f>
        <v/>
      </c>
      <c r="V206" s="4" t="str">
        <f>IFERROR(__xludf.DUMMYFUNCTION("""COMPUTED_VALUE"""),"")</f>
        <v/>
      </c>
      <c r="W206" s="4" t="str">
        <f>IFERROR(__xludf.DUMMYFUNCTION("""COMPUTED_VALUE"""),"")</f>
        <v/>
      </c>
      <c r="X206" s="4" t="str">
        <f>IFERROR(__xludf.DUMMYFUNCTION("""COMPUTED_VALUE"""),"")</f>
        <v/>
      </c>
      <c r="Y206" s="4" t="str">
        <f>IFERROR(__xludf.DUMMYFUNCTION("""COMPUTED_VALUE"""),"")</f>
        <v/>
      </c>
    </row>
    <row r="207">
      <c r="A207" s="4" t="str">
        <f>IFERROR(__xludf.DUMMYFUNCTION("""COMPUTED_VALUE"""),"72 - Channel")</f>
        <v>72 - Channel</v>
      </c>
      <c r="B207" s="4" t="str">
        <f>IFERROR(__xludf.DUMMYFUNCTION("""COMPUTED_VALUE"""),"Channel 1")</f>
        <v>Channel 1</v>
      </c>
      <c r="C207" s="4" t="str">
        <f>IFERROR(__xludf.DUMMYFUNCTION("""COMPUTED_VALUE"""),"Day 2 - 24/06")</f>
        <v>Day 2 - 24/06</v>
      </c>
      <c r="D207" s="6">
        <f>IFERROR(__xludf.DUMMYFUNCTION("""COMPUTED_VALUE"""),0.5738194444444445)</f>
        <v>0.5738194444</v>
      </c>
      <c r="E207" s="6">
        <f>IFERROR(__xludf.DUMMYFUNCTION("""COMPUTED_VALUE"""),0.0020833333333333333)</f>
        <v>0.002083333333</v>
      </c>
      <c r="F207" s="6">
        <f>IFERROR(__xludf.DUMMYFUNCTION("""COMPUTED_VALUE"""),0.5759027777777779)</f>
        <v>0.5759027778</v>
      </c>
      <c r="G207" s="4" t="str">
        <f>IFERROR(__xludf.DUMMYFUNCTION("""COMPUTED_VALUE"""),"")</f>
        <v/>
      </c>
      <c r="H207" s="4" t="str">
        <f>IFERROR(__xludf.DUMMYFUNCTION("""COMPUTED_VALUE"""),"")</f>
        <v/>
      </c>
      <c r="I207" s="4" t="str">
        <f>IFERROR(__xludf.DUMMYFUNCTION("""COMPUTED_VALUE"""),"")</f>
        <v/>
      </c>
      <c r="J207" s="4" t="str">
        <f>IFERROR(__xludf.DUMMYFUNCTION("""COMPUTED_VALUE"""),"")</f>
        <v/>
      </c>
      <c r="K207" s="4" t="str">
        <f>IFERROR(__xludf.DUMMYFUNCTION("""COMPUTED_VALUE"""),"Teaser")</f>
        <v>Teaser</v>
      </c>
      <c r="L207" s="4" t="str">
        <f>IFERROR(__xludf.DUMMYFUNCTION("""COMPUTED_VALUE"""),"")</f>
        <v/>
      </c>
      <c r="M207" s="4" t="str">
        <f>IFERROR(__xludf.DUMMYFUNCTION("""COMPUTED_VALUE"""),"Teaser: Laurent Duvernay-Tardif")</f>
        <v>Teaser: Laurent Duvernay-Tardif</v>
      </c>
      <c r="N207" s="4" t="str">
        <f>IFERROR(__xludf.DUMMYFUNCTION("""COMPUTED_VALUE"""),"")</f>
        <v/>
      </c>
      <c r="O207" s="4" t="str">
        <f>IFERROR(__xludf.DUMMYFUNCTION("""COMPUTED_VALUE"""),"")</f>
        <v/>
      </c>
      <c r="P207" s="4" t="str">
        <f>IFERROR(__xludf.DUMMYFUNCTION("""COMPUTED_VALUE"""),"")</f>
        <v/>
      </c>
      <c r="Q207" s="4" t="str">
        <f>IFERROR(__xludf.DUMMYFUNCTION("""COMPUTED_VALUE"""),"")</f>
        <v/>
      </c>
      <c r="R207" s="4" t="str">
        <f>IFERROR(__xludf.DUMMYFUNCTION("""COMPUTED_VALUE"""),"")</f>
        <v/>
      </c>
      <c r="S207" s="4" t="str">
        <f>IFERROR(__xludf.DUMMYFUNCTION("""COMPUTED_VALUE"""),"")</f>
        <v/>
      </c>
      <c r="T207" s="4" t="str">
        <f>IFERROR(__xludf.DUMMYFUNCTION("""COMPUTED_VALUE"""),"")</f>
        <v/>
      </c>
      <c r="U207" s="4" t="str">
        <f>IFERROR(__xludf.DUMMYFUNCTION("""COMPUTED_VALUE"""),"")</f>
        <v/>
      </c>
      <c r="V207" s="4" t="str">
        <f>IFERROR(__xludf.DUMMYFUNCTION("""COMPUTED_VALUE"""),"")</f>
        <v/>
      </c>
      <c r="W207" s="4" t="str">
        <f>IFERROR(__xludf.DUMMYFUNCTION("""COMPUTED_VALUE"""),"")</f>
        <v/>
      </c>
      <c r="X207" s="4" t="str">
        <f>IFERROR(__xludf.DUMMYFUNCTION("""COMPUTED_VALUE"""),"")</f>
        <v/>
      </c>
      <c r="Y207" s="4" t="str">
        <f>IFERROR(__xludf.DUMMYFUNCTION("""COMPUTED_VALUE"""),"")</f>
        <v/>
      </c>
    </row>
    <row r="208">
      <c r="A208" s="4" t="str">
        <f>IFERROR(__xludf.DUMMYFUNCTION("""COMPUTED_VALUE"""),"2253 - Channel")</f>
        <v>2253 - Channel</v>
      </c>
      <c r="B208" s="4" t="str">
        <f>IFERROR(__xludf.DUMMYFUNCTION("""COMPUTED_VALUE"""),"Channel 1")</f>
        <v>Channel 1</v>
      </c>
      <c r="C208" s="4" t="str">
        <f>IFERROR(__xludf.DUMMYFUNCTION("""COMPUTED_VALUE"""),"Day 2 - 24/06")</f>
        <v>Day 2 - 24/06</v>
      </c>
      <c r="D208" s="6">
        <f>IFERROR(__xludf.DUMMYFUNCTION("""COMPUTED_VALUE"""),0.5759027777777779)</f>
        <v>0.5759027778</v>
      </c>
      <c r="E208" s="6">
        <f>IFERROR(__xludf.DUMMYFUNCTION("""COMPUTED_VALUE"""),2.314814814814815E-4)</f>
        <v>0.0002314814815</v>
      </c>
      <c r="F208" s="6">
        <f>IFERROR(__xludf.DUMMYFUNCTION("""COMPUTED_VALUE"""),0.5761342592592593)</f>
        <v>0.5761342593</v>
      </c>
      <c r="G208" s="4" t="str">
        <f>IFERROR(__xludf.DUMMYFUNCTION("""COMPUTED_VALUE"""),"")</f>
        <v/>
      </c>
      <c r="H208" s="4" t="str">
        <f>IFERROR(__xludf.DUMMYFUNCTION("""COMPUTED_VALUE"""),"")</f>
        <v/>
      </c>
      <c r="I208" s="4" t="str">
        <f>IFERROR(__xludf.DUMMYFUNCTION("""COMPUTED_VALUE"""),"")</f>
        <v/>
      </c>
      <c r="J208" s="4" t="str">
        <f>IFERROR(__xludf.DUMMYFUNCTION("""COMPUTED_VALUE"""),"")</f>
        <v/>
      </c>
      <c r="K208" s="4" t="str">
        <f>IFERROR(__xludf.DUMMYFUNCTION("""COMPUTED_VALUE"""),"Talk Outro")</f>
        <v>Talk Outro</v>
      </c>
      <c r="L208" s="4" t="str">
        <f>IFERROR(__xludf.DUMMYFUNCTION("""COMPUTED_VALUE"""),"")</f>
        <v/>
      </c>
      <c r="M208" s="4" t="str">
        <f>IFERROR(__xludf.DUMMYFUNCTION("""COMPUTED_VALUE"""),"Call to action")</f>
        <v>Call to action</v>
      </c>
      <c r="N208" s="4" t="str">
        <f>IFERROR(__xludf.DUMMYFUNCTION("""COMPUTED_VALUE"""),"Yvonne Redmond, Web Summit")</f>
        <v>Yvonne Redmond, Web Summit</v>
      </c>
      <c r="O208" s="4" t="str">
        <f>IFERROR(__xludf.DUMMYFUNCTION("""COMPUTED_VALUE"""),"")</f>
        <v/>
      </c>
      <c r="P208" s="4" t="str">
        <f>IFERROR(__xludf.DUMMYFUNCTION("""COMPUTED_VALUE"""),"")</f>
        <v/>
      </c>
      <c r="Q208" s="4" t="str">
        <f>IFERROR(__xludf.DUMMYFUNCTION("""COMPUTED_VALUE"""),"")</f>
        <v/>
      </c>
      <c r="R208" s="4" t="str">
        <f>IFERROR(__xludf.DUMMYFUNCTION("""COMPUTED_VALUE"""),"")</f>
        <v/>
      </c>
      <c r="S208" s="4" t="str">
        <f>IFERROR(__xludf.DUMMYFUNCTION("""COMPUTED_VALUE"""),"")</f>
        <v/>
      </c>
      <c r="T208" s="4" t="str">
        <f>IFERROR(__xludf.DUMMYFUNCTION("""COMPUTED_VALUE"""),"")</f>
        <v/>
      </c>
      <c r="U208" s="4" t="str">
        <f>IFERROR(__xludf.DUMMYFUNCTION("""COMPUTED_VALUE"""),"")</f>
        <v/>
      </c>
      <c r="V208" s="4" t="str">
        <f>IFERROR(__xludf.DUMMYFUNCTION("""COMPUTED_VALUE"""),"")</f>
        <v/>
      </c>
      <c r="W208" s="4" t="str">
        <f>IFERROR(__xludf.DUMMYFUNCTION("""COMPUTED_VALUE"""),"")</f>
        <v/>
      </c>
      <c r="X208" s="4" t="str">
        <f>IFERROR(__xludf.DUMMYFUNCTION("""COMPUTED_VALUE"""),"")</f>
        <v/>
      </c>
      <c r="Y208" s="4" t="str">
        <f>IFERROR(__xludf.DUMMYFUNCTION("""COMPUTED_VALUE"""),"")</f>
        <v/>
      </c>
    </row>
    <row r="209">
      <c r="A209" s="4" t="str">
        <f>IFERROR(__xludf.DUMMYFUNCTION("""COMPUTED_VALUE"""),"1804 - Channel")</f>
        <v>1804 - Channel</v>
      </c>
      <c r="B209" s="4" t="str">
        <f>IFERROR(__xludf.DUMMYFUNCTION("""COMPUTED_VALUE"""),"Channel 1")</f>
        <v>Channel 1</v>
      </c>
      <c r="C209" s="4" t="str">
        <f>IFERROR(__xludf.DUMMYFUNCTION("""COMPUTED_VALUE"""),"Day 2 - 24/06")</f>
        <v>Day 2 - 24/06</v>
      </c>
      <c r="D209" s="6">
        <f>IFERROR(__xludf.DUMMYFUNCTION("""COMPUTED_VALUE"""),0.5761342592592593)</f>
        <v>0.5761342593</v>
      </c>
      <c r="E209" s="6">
        <f>IFERROR(__xludf.DUMMYFUNCTION("""COMPUTED_VALUE"""),0.001388888888888889)</f>
        <v>0.001388888889</v>
      </c>
      <c r="F209" s="6">
        <f>IFERROR(__xludf.DUMMYFUNCTION("""COMPUTED_VALUE"""),0.5775231481481482)</f>
        <v>0.5775231481</v>
      </c>
      <c r="G209" s="4" t="str">
        <f>IFERROR(__xludf.DUMMYFUNCTION("""COMPUTED_VALUE"""),"Video")</f>
        <v>Video</v>
      </c>
      <c r="H209" s="4" t="str">
        <f>IFERROR(__xludf.DUMMYFUNCTION("""COMPUTED_VALUE"""),"")</f>
        <v/>
      </c>
      <c r="I209" s="4" t="str">
        <f>IFERROR(__xludf.DUMMYFUNCTION("""COMPUTED_VALUE"""),"")</f>
        <v/>
      </c>
      <c r="J209" s="4" t="str">
        <f>IFERROR(__xludf.DUMMYFUNCTION("""COMPUTED_VALUE"""),"")</f>
        <v/>
      </c>
      <c r="K209" s="4" t="str">
        <f>IFERROR(__xludf.DUMMYFUNCTION("""COMPUTED_VALUE"""),"Voxpop")</f>
        <v>Voxpop</v>
      </c>
      <c r="L209" s="4" t="str">
        <f>IFERROR(__xludf.DUMMYFUNCTION("""COMPUTED_VALUE"""),"")</f>
        <v/>
      </c>
      <c r="M209" s="4" t="str">
        <f>IFERROR(__xludf.DUMMYFUNCTION("""COMPUTED_VALUE"""),"")</f>
        <v/>
      </c>
      <c r="N209" s="4" t="str">
        <f>IFERROR(__xludf.DUMMYFUNCTION("""COMPUTED_VALUE"""),"Content pending")</f>
        <v>Content pending</v>
      </c>
      <c r="O209" s="4" t="str">
        <f>IFERROR(__xludf.DUMMYFUNCTION("""COMPUTED_VALUE"""),"")</f>
        <v/>
      </c>
      <c r="P209" s="4" t="str">
        <f>IFERROR(__xludf.DUMMYFUNCTION("""COMPUTED_VALUE"""),"")</f>
        <v/>
      </c>
      <c r="Q209" s="4" t="str">
        <f>IFERROR(__xludf.DUMMYFUNCTION("""COMPUTED_VALUE"""),"")</f>
        <v/>
      </c>
      <c r="R209" s="4" t="str">
        <f>IFERROR(__xludf.DUMMYFUNCTION("""COMPUTED_VALUE"""),"")</f>
        <v/>
      </c>
      <c r="S209" s="4" t="str">
        <f>IFERROR(__xludf.DUMMYFUNCTION("""COMPUTED_VALUE"""),"")</f>
        <v/>
      </c>
      <c r="T209" s="4" t="str">
        <f>IFERROR(__xludf.DUMMYFUNCTION("""COMPUTED_VALUE"""),"")</f>
        <v/>
      </c>
      <c r="U209" s="4" t="str">
        <f>IFERROR(__xludf.DUMMYFUNCTION("""COMPUTED_VALUE"""),"")</f>
        <v/>
      </c>
      <c r="V209" s="4" t="str">
        <f>IFERROR(__xludf.DUMMYFUNCTION("""COMPUTED_VALUE"""),"")</f>
        <v/>
      </c>
      <c r="W209" s="4" t="str">
        <f>IFERROR(__xludf.DUMMYFUNCTION("""COMPUTED_VALUE"""),"")</f>
        <v/>
      </c>
      <c r="X209" s="4" t="str">
        <f>IFERROR(__xludf.DUMMYFUNCTION("""COMPUTED_VALUE"""),"")</f>
        <v/>
      </c>
      <c r="Y209" s="4" t="str">
        <f>IFERROR(__xludf.DUMMYFUNCTION("""COMPUTED_VALUE"""),"")</f>
        <v/>
      </c>
    </row>
    <row r="210">
      <c r="A210" s="4" t="str">
        <f>IFERROR(__xludf.DUMMYFUNCTION("""COMPUTED_VALUE"""),"1805 - Channel")</f>
        <v>1805 - Channel</v>
      </c>
      <c r="B210" s="4" t="str">
        <f>IFERROR(__xludf.DUMMYFUNCTION("""COMPUTED_VALUE"""),"Channel 1")</f>
        <v>Channel 1</v>
      </c>
      <c r="C210" s="4" t="str">
        <f>IFERROR(__xludf.DUMMYFUNCTION("""COMPUTED_VALUE"""),"Day 2 - 24/06")</f>
        <v>Day 2 - 24/06</v>
      </c>
      <c r="D210" s="6">
        <f>IFERROR(__xludf.DUMMYFUNCTION("""COMPUTED_VALUE"""),0.5775231481481482)</f>
        <v>0.5775231481</v>
      </c>
      <c r="E210" s="6">
        <f>IFERROR(__xludf.DUMMYFUNCTION("""COMPUTED_VALUE"""),3.4722222222222224E-4)</f>
        <v>0.0003472222222</v>
      </c>
      <c r="F210" s="6">
        <f>IFERROR(__xludf.DUMMYFUNCTION("""COMPUTED_VALUE"""),0.5778703703703705)</f>
        <v>0.5778703704</v>
      </c>
      <c r="G210" s="4" t="str">
        <f>IFERROR(__xludf.DUMMYFUNCTION("""COMPUTED_VALUE"""),"Video")</f>
        <v>Video</v>
      </c>
      <c r="H210" s="4" t="str">
        <f>IFERROR(__xludf.DUMMYFUNCTION("""COMPUTED_VALUE"""),"")</f>
        <v/>
      </c>
      <c r="I210" s="4" t="str">
        <f>IFERROR(__xludf.DUMMYFUNCTION("""COMPUTED_VALUE"""),"")</f>
        <v/>
      </c>
      <c r="J210" s="4" t="str">
        <f>IFERROR(__xludf.DUMMYFUNCTION("""COMPUTED_VALUE"""),"")</f>
        <v/>
      </c>
      <c r="K210" s="4" t="str">
        <f>IFERROR(__xludf.DUMMYFUNCTION("""COMPUTED_VALUE"""),"RISE Trailer")</f>
        <v>RISE Trailer</v>
      </c>
      <c r="L210" s="4" t="str">
        <f>IFERROR(__xludf.DUMMYFUNCTION("""COMPUTED_VALUE"""),"")</f>
        <v/>
      </c>
      <c r="M210" s="4" t="str">
        <f>IFERROR(__xludf.DUMMYFUNCTION("""COMPUTED_VALUE"""),"RISE promo")</f>
        <v>RISE promo</v>
      </c>
      <c r="N210" s="4" t="str">
        <f>IFERROR(__xludf.DUMMYFUNCTION("""COMPUTED_VALUE"""),"Content pending")</f>
        <v>Content pending</v>
      </c>
      <c r="O210" s="4" t="str">
        <f>IFERROR(__xludf.DUMMYFUNCTION("""COMPUTED_VALUE"""),"")</f>
        <v/>
      </c>
      <c r="P210" s="4" t="str">
        <f>IFERROR(__xludf.DUMMYFUNCTION("""COMPUTED_VALUE"""),"")</f>
        <v/>
      </c>
      <c r="Q210" s="4" t="str">
        <f>IFERROR(__xludf.DUMMYFUNCTION("""COMPUTED_VALUE"""),"")</f>
        <v/>
      </c>
      <c r="R210" s="4" t="str">
        <f>IFERROR(__xludf.DUMMYFUNCTION("""COMPUTED_VALUE"""),"")</f>
        <v/>
      </c>
      <c r="S210" s="4" t="str">
        <f>IFERROR(__xludf.DUMMYFUNCTION("""COMPUTED_VALUE"""),"")</f>
        <v/>
      </c>
      <c r="T210" s="4" t="str">
        <f>IFERROR(__xludf.DUMMYFUNCTION("""COMPUTED_VALUE"""),"")</f>
        <v/>
      </c>
      <c r="U210" s="4" t="str">
        <f>IFERROR(__xludf.DUMMYFUNCTION("""COMPUTED_VALUE"""),"")</f>
        <v/>
      </c>
      <c r="V210" s="4" t="str">
        <f>IFERROR(__xludf.DUMMYFUNCTION("""COMPUTED_VALUE"""),"")</f>
        <v/>
      </c>
      <c r="W210" s="4" t="str">
        <f>IFERROR(__xludf.DUMMYFUNCTION("""COMPUTED_VALUE"""),"")</f>
        <v/>
      </c>
      <c r="X210" s="4" t="str">
        <f>IFERROR(__xludf.DUMMYFUNCTION("""COMPUTED_VALUE"""),"")</f>
        <v/>
      </c>
      <c r="Y210" s="4" t="str">
        <f>IFERROR(__xludf.DUMMYFUNCTION("""COMPUTED_VALUE"""),"")</f>
        <v/>
      </c>
    </row>
    <row r="211">
      <c r="A211" s="4" t="str">
        <f>IFERROR(__xludf.DUMMYFUNCTION("""COMPUTED_VALUE"""),"1371 - Channel")</f>
        <v>1371 - Channel</v>
      </c>
      <c r="B211" s="4" t="str">
        <f>IFERROR(__xludf.DUMMYFUNCTION("""COMPUTED_VALUE"""),"Channel 1")</f>
        <v>Channel 1</v>
      </c>
      <c r="C211" s="4" t="str">
        <f>IFERROR(__xludf.DUMMYFUNCTION("""COMPUTED_VALUE"""),"Day 2 - 24/06")</f>
        <v>Day 2 - 24/06</v>
      </c>
      <c r="D211" s="6">
        <f>IFERROR(__xludf.DUMMYFUNCTION("""COMPUTED_VALUE"""),0.5778703703703705)</f>
        <v>0.5778703704</v>
      </c>
      <c r="E211" s="6">
        <f>IFERROR(__xludf.DUMMYFUNCTION("""COMPUTED_VALUE"""),2.314814814814815E-4)</f>
        <v>0.0002314814815</v>
      </c>
      <c r="F211" s="6">
        <f>IFERROR(__xludf.DUMMYFUNCTION("""COMPUTED_VALUE"""),0.5781018518518519)</f>
        <v>0.5781018519</v>
      </c>
      <c r="G211" s="4" t="str">
        <f>IFERROR(__xludf.DUMMYFUNCTION("""COMPUTED_VALUE"""),"")</f>
        <v/>
      </c>
      <c r="H211" s="4" t="str">
        <f>IFERROR(__xludf.DUMMYFUNCTION("""COMPUTED_VALUE"""),"")</f>
        <v/>
      </c>
      <c r="I211" s="4" t="str">
        <f>IFERROR(__xludf.DUMMYFUNCTION("""COMPUTED_VALUE"""),"")</f>
        <v/>
      </c>
      <c r="J211" s="4" t="str">
        <f>IFERROR(__xludf.DUMMYFUNCTION("""COMPUTED_VALUE"""),"")</f>
        <v/>
      </c>
      <c r="K211" s="4" t="str">
        <f>IFERROR(__xludf.DUMMYFUNCTION("""COMPUTED_VALUE"""),"Talk Intro")</f>
        <v>Talk Intro</v>
      </c>
      <c r="L211" s="4" t="str">
        <f>IFERROR(__xludf.DUMMYFUNCTION("""COMPUTED_VALUE"""),"")</f>
        <v/>
      </c>
      <c r="M211" s="4" t="str">
        <f>IFERROR(__xludf.DUMMYFUNCTION("""COMPUTED_VALUE"""),"Talk intro ")</f>
        <v>Talk intro </v>
      </c>
      <c r="N211" s="4" t="str">
        <f>IFERROR(__xludf.DUMMYFUNCTION("""COMPUTED_VALUE"""),"Yvonne Redmond, Web Summit")</f>
        <v>Yvonne Redmond, Web Summit</v>
      </c>
      <c r="O211" s="4" t="str">
        <f>IFERROR(__xludf.DUMMYFUNCTION("""COMPUTED_VALUE"""),"")</f>
        <v/>
      </c>
      <c r="P211" s="4" t="str">
        <f>IFERROR(__xludf.DUMMYFUNCTION("""COMPUTED_VALUE"""),"")</f>
        <v/>
      </c>
      <c r="Q211" s="4" t="str">
        <f>IFERROR(__xludf.DUMMYFUNCTION("""COMPUTED_VALUE"""),"")</f>
        <v/>
      </c>
      <c r="R211" s="4" t="str">
        <f>IFERROR(__xludf.DUMMYFUNCTION("""COMPUTED_VALUE"""),"")</f>
        <v/>
      </c>
      <c r="S211" s="4" t="str">
        <f>IFERROR(__xludf.DUMMYFUNCTION("""COMPUTED_VALUE"""),"")</f>
        <v/>
      </c>
      <c r="T211" s="4" t="str">
        <f>IFERROR(__xludf.DUMMYFUNCTION("""COMPUTED_VALUE"""),"")</f>
        <v/>
      </c>
      <c r="U211" s="4" t="str">
        <f>IFERROR(__xludf.DUMMYFUNCTION("""COMPUTED_VALUE"""),"")</f>
        <v/>
      </c>
      <c r="V211" s="4" t="str">
        <f>IFERROR(__xludf.DUMMYFUNCTION("""COMPUTED_VALUE"""),"")</f>
        <v/>
      </c>
      <c r="W211" s="4" t="str">
        <f>IFERROR(__xludf.DUMMYFUNCTION("""COMPUTED_VALUE"""),"")</f>
        <v/>
      </c>
      <c r="X211" s="4" t="str">
        <f>IFERROR(__xludf.DUMMYFUNCTION("""COMPUTED_VALUE"""),"")</f>
        <v/>
      </c>
      <c r="Y211" s="4" t="str">
        <f>IFERROR(__xludf.DUMMYFUNCTION("""COMPUTED_VALUE"""),"")</f>
        <v/>
      </c>
    </row>
    <row r="212">
      <c r="A212" s="4" t="str">
        <f>IFERROR(__xludf.DUMMYFUNCTION("""COMPUTED_VALUE"""),"183 - Channel")</f>
        <v>183 - Channel</v>
      </c>
      <c r="B212" s="4" t="str">
        <f>IFERROR(__xludf.DUMMYFUNCTION("""COMPUTED_VALUE"""),"Channel 1")</f>
        <v>Channel 1</v>
      </c>
      <c r="C212" s="4" t="str">
        <f>IFERROR(__xludf.DUMMYFUNCTION("""COMPUTED_VALUE"""),"Day 2 - 24/06")</f>
        <v>Day 2 - 24/06</v>
      </c>
      <c r="D212" s="6">
        <f>IFERROR(__xludf.DUMMYFUNCTION("""COMPUTED_VALUE"""),0.5781018518518519)</f>
        <v>0.5781018519</v>
      </c>
      <c r="E212" s="6">
        <f>IFERROR(__xludf.DUMMYFUNCTION("""COMPUTED_VALUE"""),0.008333333333333333)</f>
        <v>0.008333333333</v>
      </c>
      <c r="F212" s="6">
        <f>IFERROR(__xludf.DUMMYFUNCTION("""COMPUTED_VALUE"""),0.5864351851851852)</f>
        <v>0.5864351852</v>
      </c>
      <c r="G212" s="4" t="str">
        <f>IFERROR(__xludf.DUMMYFUNCTION("""COMPUTED_VALUE"""),"Startups")</f>
        <v>Startups</v>
      </c>
      <c r="H212" s="4" t="str">
        <f>IFERROR(__xludf.DUMMYFUNCTION("""COMPUTED_VALUE"""),"")</f>
        <v/>
      </c>
      <c r="I212" s="4" t="str">
        <f>IFERROR(__xludf.DUMMYFUNCTION("""COMPUTED_VALUE"""),"")</f>
        <v/>
      </c>
      <c r="J212" s="4" t="str">
        <f>IFERROR(__xludf.DUMMYFUNCTION("""COMPUTED_VALUE"""),"")</f>
        <v/>
      </c>
      <c r="K212" s="4" t="str">
        <f>IFERROR(__xludf.DUMMYFUNCTION("""COMPUTED_VALUE"""),"Pitch reel")</f>
        <v>Pitch reel</v>
      </c>
      <c r="L212" s="4" t="str">
        <f>IFERROR(__xludf.DUMMYFUNCTION("""COMPUTED_VALUE"""),"")</f>
        <v/>
      </c>
      <c r="M212" s="4" t="str">
        <f>IFERROR(__xludf.DUMMYFUNCTION("""COMPUTED_VALUE"""),"Pitch Semi-Final group 2 of 3 ")</f>
        <v>Pitch Semi-Final group 2 of 3 </v>
      </c>
      <c r="N212" s="4" t="str">
        <f>IFERROR(__xludf.DUMMYFUNCTION("""COMPUTED_VALUE"""),"Content pending")</f>
        <v>Content pending</v>
      </c>
      <c r="O212" s="4" t="str">
        <f>IFERROR(__xludf.DUMMYFUNCTION("""COMPUTED_VALUE"""),"")</f>
        <v/>
      </c>
      <c r="P212" s="4" t="str">
        <f>IFERROR(__xludf.DUMMYFUNCTION("""COMPUTED_VALUE"""),"")</f>
        <v/>
      </c>
      <c r="Q212" s="4" t="str">
        <f>IFERROR(__xludf.DUMMYFUNCTION("""COMPUTED_VALUE"""),"")</f>
        <v/>
      </c>
      <c r="R212" s="4" t="str">
        <f>IFERROR(__xludf.DUMMYFUNCTION("""COMPUTED_VALUE"""),"")</f>
        <v/>
      </c>
      <c r="S212" s="4" t="str">
        <f>IFERROR(__xludf.DUMMYFUNCTION("""COMPUTED_VALUE"""),"")</f>
        <v/>
      </c>
      <c r="T212" s="4" t="str">
        <f>IFERROR(__xludf.DUMMYFUNCTION("""COMPUTED_VALUE"""),"")</f>
        <v/>
      </c>
      <c r="U212" s="4" t="str">
        <f>IFERROR(__xludf.DUMMYFUNCTION("""COMPUTED_VALUE"""),"")</f>
        <v/>
      </c>
      <c r="V212" s="4" t="str">
        <f>IFERROR(__xludf.DUMMYFUNCTION("""COMPUTED_VALUE"""),"")</f>
        <v/>
      </c>
      <c r="W212" s="4" t="str">
        <f>IFERROR(__xludf.DUMMYFUNCTION("""COMPUTED_VALUE"""),"")</f>
        <v/>
      </c>
      <c r="X212" s="4" t="str">
        <f>IFERROR(__xludf.DUMMYFUNCTION("""COMPUTED_VALUE"""),"")</f>
        <v/>
      </c>
      <c r="Y212" s="4" t="str">
        <f>IFERROR(__xludf.DUMMYFUNCTION("""COMPUTED_VALUE"""),"")</f>
        <v/>
      </c>
    </row>
    <row r="213">
      <c r="A213" s="4" t="str">
        <f>IFERROR(__xludf.DUMMYFUNCTION("""COMPUTED_VALUE"""),"347 - Channel")</f>
        <v>347 - Channel</v>
      </c>
      <c r="B213" s="4" t="str">
        <f>IFERROR(__xludf.DUMMYFUNCTION("""COMPUTED_VALUE"""),"Channel 1")</f>
        <v>Channel 1</v>
      </c>
      <c r="C213" s="4" t="str">
        <f>IFERROR(__xludf.DUMMYFUNCTION("""COMPUTED_VALUE"""),"Day 3 - 25/06")</f>
        <v>Day 3 - 25/06</v>
      </c>
      <c r="D213" s="6">
        <f>IFERROR(__xludf.DUMMYFUNCTION("""COMPUTED_VALUE"""),0.5864351851851852)</f>
        <v>0.5864351852</v>
      </c>
      <c r="E213" s="6">
        <f>IFERROR(__xludf.DUMMYFUNCTION("""COMPUTED_VALUE"""),2.314814814814815E-4)</f>
        <v>0.0002314814815</v>
      </c>
      <c r="F213" s="6">
        <f>IFERROR(__xludf.DUMMYFUNCTION("""COMPUTED_VALUE"""),0.5866666666666667)</f>
        <v>0.5866666667</v>
      </c>
      <c r="G213" s="4" t="str">
        <f>IFERROR(__xludf.DUMMYFUNCTION("""COMPUTED_VALUE"""),"")</f>
        <v/>
      </c>
      <c r="H213" s="4" t="str">
        <f>IFERROR(__xludf.DUMMYFUNCTION("""COMPUTED_VALUE"""),"")</f>
        <v/>
      </c>
      <c r="I213" s="4" t="str">
        <f>IFERROR(__xludf.DUMMYFUNCTION("""COMPUTED_VALUE"""),"")</f>
        <v/>
      </c>
      <c r="J213" s="4" t="str">
        <f>IFERROR(__xludf.DUMMYFUNCTION("""COMPUTED_VALUE"""),"")</f>
        <v/>
      </c>
      <c r="K213" s="4" t="str">
        <f>IFERROR(__xludf.DUMMYFUNCTION("""COMPUTED_VALUE"""),"Talk Intro")</f>
        <v>Talk Intro</v>
      </c>
      <c r="L213" s="4" t="str">
        <f>IFERROR(__xludf.DUMMYFUNCTION("""COMPUTED_VALUE"""),"")</f>
        <v/>
      </c>
      <c r="M213" s="4" t="str">
        <f>IFERROR(__xludf.DUMMYFUNCTION("""COMPUTED_VALUE"""),"Talk intro ")</f>
        <v>Talk intro </v>
      </c>
      <c r="N213" s="4" t="str">
        <f>IFERROR(__xludf.DUMMYFUNCTION("""COMPUTED_VALUE"""),"Yvonne Redmond, Web Summit")</f>
        <v>Yvonne Redmond, Web Summit</v>
      </c>
      <c r="O213" s="4" t="str">
        <f>IFERROR(__xludf.DUMMYFUNCTION("""COMPUTED_VALUE"""),"")</f>
        <v/>
      </c>
      <c r="P213" s="4" t="str">
        <f>IFERROR(__xludf.DUMMYFUNCTION("""COMPUTED_VALUE"""),"")</f>
        <v/>
      </c>
      <c r="Q213" s="4" t="str">
        <f>IFERROR(__xludf.DUMMYFUNCTION("""COMPUTED_VALUE"""),"")</f>
        <v/>
      </c>
      <c r="R213" s="4" t="str">
        <f>IFERROR(__xludf.DUMMYFUNCTION("""COMPUTED_VALUE"""),"")</f>
        <v/>
      </c>
      <c r="S213" s="4" t="str">
        <f>IFERROR(__xludf.DUMMYFUNCTION("""COMPUTED_VALUE"""),"")</f>
        <v/>
      </c>
      <c r="T213" s="4" t="str">
        <f>IFERROR(__xludf.DUMMYFUNCTION("""COMPUTED_VALUE"""),"")</f>
        <v/>
      </c>
      <c r="U213" s="4" t="str">
        <f>IFERROR(__xludf.DUMMYFUNCTION("""COMPUTED_VALUE"""),"")</f>
        <v/>
      </c>
      <c r="V213" s="4" t="str">
        <f>IFERROR(__xludf.DUMMYFUNCTION("""COMPUTED_VALUE"""),"")</f>
        <v/>
      </c>
      <c r="W213" s="4" t="str">
        <f>IFERROR(__xludf.DUMMYFUNCTION("""COMPUTED_VALUE"""),"")</f>
        <v/>
      </c>
      <c r="X213" s="4" t="str">
        <f>IFERROR(__xludf.DUMMYFUNCTION("""COMPUTED_VALUE"""),"")</f>
        <v/>
      </c>
      <c r="Y213" s="4" t="str">
        <f>IFERROR(__xludf.DUMMYFUNCTION("""COMPUTED_VALUE"""),"")</f>
        <v/>
      </c>
    </row>
    <row r="214">
      <c r="A214" s="4" t="str">
        <f>IFERROR(__xludf.DUMMYFUNCTION("""COMPUTED_VALUE"""),"201 - Channel")</f>
        <v>201 - Channel</v>
      </c>
      <c r="B214" s="4" t="str">
        <f>IFERROR(__xludf.DUMMYFUNCTION("""COMPUTED_VALUE"""),"Channel 1")</f>
        <v>Channel 1</v>
      </c>
      <c r="C214" s="4" t="str">
        <f>IFERROR(__xludf.DUMMYFUNCTION("""COMPUTED_VALUE"""),"Day 3 - 25/06")</f>
        <v>Day 3 - 25/06</v>
      </c>
      <c r="D214" s="6">
        <f>IFERROR(__xludf.DUMMYFUNCTION("""COMPUTED_VALUE"""),0.5866666666666667)</f>
        <v>0.5866666667</v>
      </c>
      <c r="E214" s="6">
        <f>IFERROR(__xludf.DUMMYFUNCTION("""COMPUTED_VALUE"""),0.004861111111111111)</f>
        <v>0.004861111111</v>
      </c>
      <c r="F214" s="6">
        <f>IFERROR(__xludf.DUMMYFUNCTION("""COMPUTED_VALUE"""),0.5915277777777778)</f>
        <v>0.5915277778</v>
      </c>
      <c r="G214" s="4" t="str">
        <f>IFERROR(__xludf.DUMMYFUNCTION("""COMPUTED_VALUE"""),"Carol")</f>
        <v>Carol</v>
      </c>
      <c r="H214" s="4" t="str">
        <f>IFERROR(__xludf.DUMMYFUNCTION("""COMPUTED_VALUE"""),"")</f>
        <v/>
      </c>
      <c r="I214" s="4" t="str">
        <f>IFERROR(__xludf.DUMMYFUNCTION("""COMPUTED_VALUE"""),"Jack")</f>
        <v>Jack</v>
      </c>
      <c r="J214" s="4" t="str">
        <f>IFERROR(__xludf.DUMMYFUNCTION("""COMPUTED_VALUE"""),"")</f>
        <v/>
      </c>
      <c r="K214" s="4" t="str">
        <f>IFERROR(__xludf.DUMMYFUNCTION("""COMPUTED_VALUE"""),"Keynote")</f>
        <v>Keynote</v>
      </c>
      <c r="L214" s="4" t="str">
        <f>IFERROR(__xludf.DUMMYFUNCTION("""COMPUTED_VALUE"""),"T- 4 - 25/05/2020")</f>
        <v>T- 4 - 25/05/2020</v>
      </c>
      <c r="M214" s="4" t="str">
        <f>IFERROR(__xludf.DUMMYFUNCTION("""COMPUTED_VALUE"""),"Facetune: Is AI making us more creative?")</f>
        <v>Facetune: Is AI making us more creative?</v>
      </c>
      <c r="N214" s="4" t="str">
        <f>IFERROR(__xludf.DUMMYFUNCTION("""COMPUTED_VALUE"""),"Zeev Farbman, Lightricks")</f>
        <v>Zeev Farbman, Lightricks</v>
      </c>
      <c r="O214" s="4" t="str">
        <f>IFERROR(__xludf.DUMMYFUNCTION("""COMPUTED_VALUE"""),"")</f>
        <v/>
      </c>
      <c r="P214" s="4" t="str">
        <f>IFERROR(__xludf.DUMMYFUNCTION("""COMPUTED_VALUE"""),"")</f>
        <v/>
      </c>
      <c r="Q214" s="4" t="str">
        <f>IFERROR(__xludf.DUMMYFUNCTION("""COMPUTED_VALUE"""),"")</f>
        <v/>
      </c>
      <c r="R214" s="4" t="str">
        <f>IFERROR(__xludf.DUMMYFUNCTION("""COMPUTED_VALUE"""),"")</f>
        <v/>
      </c>
      <c r="S214" s="4" t="str">
        <f>IFERROR(__xludf.DUMMYFUNCTION("""COMPUTED_VALUE"""),"The creator of Facetune and several award-winning photo and video creativity apps presents his vision on AI, creativity and the next wave of visual storytelling.")</f>
        <v>The creator of Facetune and several award-winning photo and video creativity apps presents his vision on AI, creativity and the next wave of visual storytelling.</v>
      </c>
      <c r="T214" s="4" t="str">
        <f>IFERROR(__xludf.DUMMYFUNCTION("""COMPUTED_VALUE"""),"KEYNOTE 8 - COMPLETE")</f>
        <v>KEYNOTE 8 - COMPLETE</v>
      </c>
      <c r="U214" s="23">
        <f>IFERROR(__xludf.DUMMYFUNCTION("""COMPUTED_VALUE"""),43979.0)</f>
        <v>43979</v>
      </c>
      <c r="V214" s="24">
        <f>IFERROR(__xludf.DUMMYFUNCTION("""COMPUTED_VALUE"""),0.5)</f>
        <v>0.5</v>
      </c>
      <c r="W214" s="4" t="str">
        <f>IFERROR(__xludf.DUMMYFUNCTION("""COMPUTED_VALUE"""),"COMPLETE")</f>
        <v>COMPLETE</v>
      </c>
      <c r="X214" s="4" t="str">
        <f>IFERROR(__xludf.DUMMYFUNCTION("""COMPUTED_VALUE"""),"Carol")</f>
        <v>Carol</v>
      </c>
      <c r="Y214" s="4" t="str">
        <f>IFERROR(__xludf.DUMMYFUNCTION("""COMPUTED_VALUE"""),"")</f>
        <v/>
      </c>
    </row>
    <row r="215">
      <c r="A215" s="4" t="str">
        <f>IFERROR(__xludf.DUMMYFUNCTION("""COMPUTED_VALUE"""),"1800 - Channel")</f>
        <v>1800 - Channel</v>
      </c>
      <c r="B215" s="4" t="str">
        <f>IFERROR(__xludf.DUMMYFUNCTION("""COMPUTED_VALUE"""),"")</f>
        <v/>
      </c>
      <c r="C215" s="4" t="str">
        <f>IFERROR(__xludf.DUMMYFUNCTION("""COMPUTED_VALUE"""),"")</f>
        <v/>
      </c>
      <c r="D215" s="4" t="str">
        <f>IFERROR(__xludf.DUMMYFUNCTION("""COMPUTED_VALUE"""),"")</f>
        <v/>
      </c>
      <c r="E215" s="4" t="str">
        <f>IFERROR(__xludf.DUMMYFUNCTION("""COMPUTED_VALUE"""),"")</f>
        <v/>
      </c>
      <c r="F215" s="4" t="str">
        <f>IFERROR(__xludf.DUMMYFUNCTION("""COMPUTED_VALUE"""),"")</f>
        <v/>
      </c>
      <c r="G215" s="4" t="str">
        <f>IFERROR(__xludf.DUMMYFUNCTION("""COMPUTED_VALUE"""),"")</f>
        <v/>
      </c>
      <c r="H215" s="4" t="str">
        <f>IFERROR(__xludf.DUMMYFUNCTION("""COMPUTED_VALUE"""),"")</f>
        <v/>
      </c>
      <c r="I215" s="4" t="str">
        <f>IFERROR(__xludf.DUMMYFUNCTION("""COMPUTED_VALUE"""),"")</f>
        <v/>
      </c>
      <c r="J215" s="4" t="str">
        <f>IFERROR(__xludf.DUMMYFUNCTION("""COMPUTED_VALUE"""),"")</f>
        <v/>
      </c>
      <c r="K215" s="4" t="str">
        <f>IFERROR(__xludf.DUMMYFUNCTION("""COMPUTED_VALUE"""),"")</f>
        <v/>
      </c>
      <c r="L215" s="4" t="str">
        <f>IFERROR(__xludf.DUMMYFUNCTION("""COMPUTED_VALUE"""),"")</f>
        <v/>
      </c>
      <c r="M215" s="4" t="str">
        <f>IFERROR(__xludf.DUMMYFUNCTION("""COMPUTED_VALUE"""),"")</f>
        <v/>
      </c>
      <c r="N215" s="4" t="str">
        <f>IFERROR(__xludf.DUMMYFUNCTION("""COMPUTED_VALUE"""),"")</f>
        <v/>
      </c>
      <c r="O215" s="4" t="str">
        <f>IFERROR(__xludf.DUMMYFUNCTION("""COMPUTED_VALUE"""),"")</f>
        <v/>
      </c>
      <c r="P215" s="4" t="str">
        <f>IFERROR(__xludf.DUMMYFUNCTION("""COMPUTED_VALUE"""),"")</f>
        <v/>
      </c>
      <c r="Q215" s="4" t="str">
        <f>IFERROR(__xludf.DUMMYFUNCTION("""COMPUTED_VALUE"""),"")</f>
        <v/>
      </c>
      <c r="R215" s="4" t="str">
        <f>IFERROR(__xludf.DUMMYFUNCTION("""COMPUTED_VALUE"""),"")</f>
        <v/>
      </c>
      <c r="S215" s="4" t="str">
        <f>IFERROR(__xludf.DUMMYFUNCTION("""COMPUTED_VALUE"""),"")</f>
        <v/>
      </c>
      <c r="T215" s="4" t="str">
        <f>IFERROR(__xludf.DUMMYFUNCTION("""COMPUTED_VALUE"""),"")</f>
        <v/>
      </c>
      <c r="U215" s="4" t="str">
        <f>IFERROR(__xludf.DUMMYFUNCTION("""COMPUTED_VALUE"""),"")</f>
        <v/>
      </c>
      <c r="V215" s="4" t="str">
        <f>IFERROR(__xludf.DUMMYFUNCTION("""COMPUTED_VALUE"""),"")</f>
        <v/>
      </c>
      <c r="W215" s="4" t="str">
        <f>IFERROR(__xludf.DUMMYFUNCTION("""COMPUTED_VALUE"""),"")</f>
        <v/>
      </c>
      <c r="X215" s="4" t="str">
        <f>IFERROR(__xludf.DUMMYFUNCTION("""COMPUTED_VALUE"""),"")</f>
        <v/>
      </c>
      <c r="Y215" s="4" t="str">
        <f>IFERROR(__xludf.DUMMYFUNCTION("""COMPUTED_VALUE"""),"")</f>
        <v/>
      </c>
    </row>
    <row r="216">
      <c r="A216" s="4" t="str">
        <f>IFERROR(__xludf.DUMMYFUNCTION("""COMPUTED_VALUE"""),"1712 - Channel")</f>
        <v>1712 - Channel</v>
      </c>
      <c r="B216" s="4" t="str">
        <f>IFERROR(__xludf.DUMMYFUNCTION("""COMPUTED_VALUE"""),"Channel 1")</f>
        <v>Channel 1</v>
      </c>
      <c r="C216" s="4" t="str">
        <f>IFERROR(__xludf.DUMMYFUNCTION("""COMPUTED_VALUE"""),"Day 2 - 24/06")</f>
        <v>Day 2 - 24/06</v>
      </c>
      <c r="D216" s="6">
        <f>IFERROR(__xludf.DUMMYFUNCTION("""COMPUTED_VALUE"""),0.5915277777777778)</f>
        <v>0.5915277778</v>
      </c>
      <c r="E216" s="6">
        <f>IFERROR(__xludf.DUMMYFUNCTION("""COMPUTED_VALUE"""),5.787037037037037E-4)</f>
        <v>0.0005787037037</v>
      </c>
      <c r="F216" s="6">
        <f>IFERROR(__xludf.DUMMYFUNCTION("""COMPUTED_VALUE"""),0.5921064814814815)</f>
        <v>0.5921064815</v>
      </c>
      <c r="G216" s="4" t="str">
        <f>IFERROR(__xludf.DUMMYFUNCTION("""COMPUTED_VALUE"""),"")</f>
        <v/>
      </c>
      <c r="H216" s="4" t="str">
        <f>IFERROR(__xludf.DUMMYFUNCTION("""COMPUTED_VALUE"""),"")</f>
        <v/>
      </c>
      <c r="I216" s="4" t="str">
        <f>IFERROR(__xludf.DUMMYFUNCTION("""COMPUTED_VALUE"""),"")</f>
        <v/>
      </c>
      <c r="J216" s="4" t="str">
        <f>IFERROR(__xludf.DUMMYFUNCTION("""COMPUTED_VALUE"""),"")</f>
        <v/>
      </c>
      <c r="K216" s="4" t="str">
        <f>IFERROR(__xludf.DUMMYFUNCTION("""COMPUTED_VALUE"""),"Voxpop")</f>
        <v>Voxpop</v>
      </c>
      <c r="L216" s="4" t="str">
        <f>IFERROR(__xludf.DUMMYFUNCTION("""COMPUTED_VALUE"""),"")</f>
        <v/>
      </c>
      <c r="M216" s="4" t="str">
        <f>IFERROR(__xludf.DUMMYFUNCTION("""COMPUTED_VALUE"""),"MTS_3_Lockdown")</f>
        <v>MTS_3_Lockdown</v>
      </c>
      <c r="N216" s="4" t="str">
        <f>IFERROR(__xludf.DUMMYFUNCTION("""COMPUTED_VALUE"""),"Content complete")</f>
        <v>Content complete</v>
      </c>
      <c r="O216" s="4" t="str">
        <f>IFERROR(__xludf.DUMMYFUNCTION("""COMPUTED_VALUE"""),"")</f>
        <v/>
      </c>
      <c r="P216" s="4" t="str">
        <f>IFERROR(__xludf.DUMMYFUNCTION("""COMPUTED_VALUE"""),"")</f>
        <v/>
      </c>
      <c r="Q216" s="4" t="str">
        <f>IFERROR(__xludf.DUMMYFUNCTION("""COMPUTED_VALUE"""),"")</f>
        <v/>
      </c>
      <c r="R216" s="4" t="str">
        <f>IFERROR(__xludf.DUMMYFUNCTION("""COMPUTED_VALUE"""),"")</f>
        <v/>
      </c>
      <c r="S216" s="4" t="str">
        <f>IFERROR(__xludf.DUMMYFUNCTION("""COMPUTED_VALUE"""),"")</f>
        <v/>
      </c>
      <c r="T216" s="4" t="str">
        <f>IFERROR(__xludf.DUMMYFUNCTION("""COMPUTED_VALUE"""),"")</f>
        <v/>
      </c>
      <c r="U216" s="4" t="str">
        <f>IFERROR(__xludf.DUMMYFUNCTION("""COMPUTED_VALUE"""),"")</f>
        <v/>
      </c>
      <c r="V216" s="4" t="str">
        <f>IFERROR(__xludf.DUMMYFUNCTION("""COMPUTED_VALUE"""),"")</f>
        <v/>
      </c>
      <c r="W216" s="4" t="str">
        <f>IFERROR(__xludf.DUMMYFUNCTION("""COMPUTED_VALUE"""),"")</f>
        <v/>
      </c>
      <c r="X216" s="4" t="str">
        <f>IFERROR(__xludf.DUMMYFUNCTION("""COMPUTED_VALUE"""),"")</f>
        <v/>
      </c>
      <c r="Y216" s="4" t="str">
        <f>IFERROR(__xludf.DUMMYFUNCTION("""COMPUTED_VALUE"""),"")</f>
        <v/>
      </c>
    </row>
    <row r="217">
      <c r="A217" s="4" t="str">
        <f>IFERROR(__xludf.DUMMYFUNCTION("""COMPUTED_VALUE"""),"207 - Channel")</f>
        <v>207 - Channel</v>
      </c>
      <c r="B217" s="4" t="str">
        <f>IFERROR(__xludf.DUMMYFUNCTION("""COMPUTED_VALUE"""),"Channel 1")</f>
        <v>Channel 1</v>
      </c>
      <c r="C217" s="4" t="str">
        <f>IFERROR(__xludf.DUMMYFUNCTION("""COMPUTED_VALUE"""),"Day 2 - 24/06")</f>
        <v>Day 2 - 24/06</v>
      </c>
      <c r="D217" s="6">
        <f>IFERROR(__xludf.DUMMYFUNCTION("""COMPUTED_VALUE"""),0.5921064814814815)</f>
        <v>0.5921064815</v>
      </c>
      <c r="E217" s="6">
        <f>IFERROR(__xludf.DUMMYFUNCTION("""COMPUTED_VALUE"""),6.944444444444445E-4)</f>
        <v>0.0006944444444</v>
      </c>
      <c r="F217" s="6">
        <f>IFERROR(__xludf.DUMMYFUNCTION("""COMPUTED_VALUE"""),0.5928009259259259)</f>
        <v>0.5928009259</v>
      </c>
      <c r="G217" s="4" t="str">
        <f>IFERROR(__xludf.DUMMYFUNCTION("""COMPUTED_VALUE"""),"")</f>
        <v/>
      </c>
      <c r="H217" s="4" t="str">
        <f>IFERROR(__xludf.DUMMYFUNCTION("""COMPUTED_VALUE"""),"")</f>
        <v/>
      </c>
      <c r="I217" s="4" t="str">
        <f>IFERROR(__xludf.DUMMYFUNCTION("""COMPUTED_VALUE"""),"")</f>
        <v/>
      </c>
      <c r="J217" s="4" t="str">
        <f>IFERROR(__xludf.DUMMYFUNCTION("""COMPUTED_VALUE"""),"")</f>
        <v/>
      </c>
      <c r="K217" s="4" t="str">
        <f>IFERROR(__xludf.DUMMYFUNCTION("""COMPUTED_VALUE"""),"Laundry List/Lookaround")</f>
        <v>Laundry List/Lookaround</v>
      </c>
      <c r="L217" s="4" t="str">
        <f>IFERROR(__xludf.DUMMYFUNCTION("""COMPUTED_VALUE"""),"")</f>
        <v/>
      </c>
      <c r="M217" s="4" t="str">
        <f>IFERROR(__xludf.DUMMYFUNCTION("""COMPUTED_VALUE"""),"Laundry Day2_2PM")</f>
        <v>Laundry Day2_2PM</v>
      </c>
      <c r="N217" s="4" t="str">
        <f>IFERROR(__xludf.DUMMYFUNCTION("""COMPUTED_VALUE"""),"Yvonne Redmond, Web Summit")</f>
        <v>Yvonne Redmond, Web Summit</v>
      </c>
      <c r="O217" s="4" t="str">
        <f>IFERROR(__xludf.DUMMYFUNCTION("""COMPUTED_VALUE"""),"")</f>
        <v/>
      </c>
      <c r="P217" s="4" t="str">
        <f>IFERROR(__xludf.DUMMYFUNCTION("""COMPUTED_VALUE"""),"")</f>
        <v/>
      </c>
      <c r="Q217" s="4" t="str">
        <f>IFERROR(__xludf.DUMMYFUNCTION("""COMPUTED_VALUE"""),"")</f>
        <v/>
      </c>
      <c r="R217" s="4" t="str">
        <f>IFERROR(__xludf.DUMMYFUNCTION("""COMPUTED_VALUE"""),"")</f>
        <v/>
      </c>
      <c r="S217" s="4" t="str">
        <f>IFERROR(__xludf.DUMMYFUNCTION("""COMPUTED_VALUE"""),"")</f>
        <v/>
      </c>
      <c r="T217" s="4" t="str">
        <f>IFERROR(__xludf.DUMMYFUNCTION("""COMPUTED_VALUE"""),"")</f>
        <v/>
      </c>
      <c r="U217" s="4" t="str">
        <f>IFERROR(__xludf.DUMMYFUNCTION("""COMPUTED_VALUE"""),"")</f>
        <v/>
      </c>
      <c r="V217" s="4" t="str">
        <f>IFERROR(__xludf.DUMMYFUNCTION("""COMPUTED_VALUE"""),"")</f>
        <v/>
      </c>
      <c r="W217" s="4" t="str">
        <f>IFERROR(__xludf.DUMMYFUNCTION("""COMPUTED_VALUE"""),"")</f>
        <v/>
      </c>
      <c r="X217" s="4" t="str">
        <f>IFERROR(__xludf.DUMMYFUNCTION("""COMPUTED_VALUE"""),"")</f>
        <v/>
      </c>
      <c r="Y217" s="4" t="str">
        <f>IFERROR(__xludf.DUMMYFUNCTION("""COMPUTED_VALUE"""),"")</f>
        <v/>
      </c>
    </row>
    <row r="218">
      <c r="A218" s="4" t="str">
        <f>IFERROR(__xludf.DUMMYFUNCTION("""COMPUTED_VALUE"""),"203 - Channel")</f>
        <v>203 - Channel</v>
      </c>
      <c r="B218" s="4" t="str">
        <f>IFERROR(__xludf.DUMMYFUNCTION("""COMPUTED_VALUE"""),"Channel 1")</f>
        <v>Channel 1</v>
      </c>
      <c r="C218" s="4" t="str">
        <f>IFERROR(__xludf.DUMMYFUNCTION("""COMPUTED_VALUE"""),"Day 2 - 24/06")</f>
        <v>Day 2 - 24/06</v>
      </c>
      <c r="D218" s="6">
        <f>IFERROR(__xludf.DUMMYFUNCTION("""COMPUTED_VALUE"""),0.5928009259259259)</f>
        <v>0.5928009259</v>
      </c>
      <c r="E218" s="6">
        <f>IFERROR(__xludf.DUMMYFUNCTION("""COMPUTED_VALUE"""),2.314814814814815E-4)</f>
        <v>0.0002314814815</v>
      </c>
      <c r="F218" s="6">
        <f>IFERROR(__xludf.DUMMYFUNCTION("""COMPUTED_VALUE"""),0.5930324074074074)</f>
        <v>0.5930324074</v>
      </c>
      <c r="G218" s="4" t="str">
        <f>IFERROR(__xludf.DUMMYFUNCTION("""COMPUTED_VALUE"""),"")</f>
        <v/>
      </c>
      <c r="H218" s="4" t="str">
        <f>IFERROR(__xludf.DUMMYFUNCTION("""COMPUTED_VALUE"""),"")</f>
        <v/>
      </c>
      <c r="I218" s="4" t="str">
        <f>IFERROR(__xludf.DUMMYFUNCTION("""COMPUTED_VALUE"""),"")</f>
        <v/>
      </c>
      <c r="J218" s="4" t="str">
        <f>IFERROR(__xludf.DUMMYFUNCTION("""COMPUTED_VALUE"""),"")</f>
        <v/>
      </c>
      <c r="K218" s="4" t="str">
        <f>IFERROR(__xludf.DUMMYFUNCTION("""COMPUTED_VALUE"""),"Talk Intro")</f>
        <v>Talk Intro</v>
      </c>
      <c r="L218" s="4" t="str">
        <f>IFERROR(__xludf.DUMMYFUNCTION("""COMPUTED_VALUE"""),"")</f>
        <v/>
      </c>
      <c r="M218" s="4" t="str">
        <f>IFERROR(__xludf.DUMMYFUNCTION("""COMPUTED_VALUE"""),"Talk Intro")</f>
        <v>Talk Intro</v>
      </c>
      <c r="N218" s="4" t="str">
        <f>IFERROR(__xludf.DUMMYFUNCTION("""COMPUTED_VALUE"""),"Yvonne Redmond, Web Summit")</f>
        <v>Yvonne Redmond, Web Summit</v>
      </c>
      <c r="O218" s="4" t="str">
        <f>IFERROR(__xludf.DUMMYFUNCTION("""COMPUTED_VALUE"""),"")</f>
        <v/>
      </c>
      <c r="P218" s="4" t="str">
        <f>IFERROR(__xludf.DUMMYFUNCTION("""COMPUTED_VALUE"""),"")</f>
        <v/>
      </c>
      <c r="Q218" s="4" t="str">
        <f>IFERROR(__xludf.DUMMYFUNCTION("""COMPUTED_VALUE"""),"")</f>
        <v/>
      </c>
      <c r="R218" s="4" t="str">
        <f>IFERROR(__xludf.DUMMYFUNCTION("""COMPUTED_VALUE"""),"")</f>
        <v/>
      </c>
      <c r="S218" s="4" t="str">
        <f>IFERROR(__xludf.DUMMYFUNCTION("""COMPUTED_VALUE"""),"")</f>
        <v/>
      </c>
      <c r="T218" s="4" t="str">
        <f>IFERROR(__xludf.DUMMYFUNCTION("""COMPUTED_VALUE"""),"")</f>
        <v/>
      </c>
      <c r="U218" s="4" t="str">
        <f>IFERROR(__xludf.DUMMYFUNCTION("""COMPUTED_VALUE"""),"")</f>
        <v/>
      </c>
      <c r="V218" s="4" t="str">
        <f>IFERROR(__xludf.DUMMYFUNCTION("""COMPUTED_VALUE"""),"")</f>
        <v/>
      </c>
      <c r="W218" s="4" t="str">
        <f>IFERROR(__xludf.DUMMYFUNCTION("""COMPUTED_VALUE"""),"")</f>
        <v/>
      </c>
      <c r="X218" s="4" t="str">
        <f>IFERROR(__xludf.DUMMYFUNCTION("""COMPUTED_VALUE"""),"")</f>
        <v/>
      </c>
      <c r="Y218" s="4" t="str">
        <f>IFERROR(__xludf.DUMMYFUNCTION("""COMPUTED_VALUE"""),"")</f>
        <v/>
      </c>
    </row>
    <row r="219">
      <c r="A219" s="4" t="str">
        <f>IFERROR(__xludf.DUMMYFUNCTION("""COMPUTED_VALUE"""),"204 - Channel")</f>
        <v>204 - Channel</v>
      </c>
      <c r="B219" s="4" t="str">
        <f>IFERROR(__xludf.DUMMYFUNCTION("""COMPUTED_VALUE"""),"Channel 1")</f>
        <v>Channel 1</v>
      </c>
      <c r="C219" s="4" t="str">
        <f>IFERROR(__xludf.DUMMYFUNCTION("""COMPUTED_VALUE"""),"Day 2 - 24/06")</f>
        <v>Day 2 - 24/06</v>
      </c>
      <c r="D219" s="6">
        <f>IFERROR(__xludf.DUMMYFUNCTION("""COMPUTED_VALUE"""),0.5930324074074074)</f>
        <v>0.5930324074</v>
      </c>
      <c r="E219" s="6">
        <f>IFERROR(__xludf.DUMMYFUNCTION("""COMPUTED_VALUE"""),0.011111111111111112)</f>
        <v>0.01111111111</v>
      </c>
      <c r="F219" s="6">
        <f>IFERROR(__xludf.DUMMYFUNCTION("""COMPUTED_VALUE"""),0.6041435185185184)</f>
        <v>0.6041435185</v>
      </c>
      <c r="G219" s="4" t="str">
        <f>IFERROR(__xludf.DUMMYFUNCTION("""COMPUTED_VALUE"""),"Yvonne")</f>
        <v>Yvonne</v>
      </c>
      <c r="H219" s="4" t="str">
        <f>IFERROR(__xludf.DUMMYFUNCTION("""COMPUTED_VALUE"""),"Stephen")</f>
        <v>Stephen</v>
      </c>
      <c r="I219" s="4" t="str">
        <f>IFERROR(__xludf.DUMMYFUNCTION("""COMPUTED_VALUE"""),"Lucia H.")</f>
        <v>Lucia H.</v>
      </c>
      <c r="J219" s="4" t="str">
        <f>IFERROR(__xludf.DUMMYFUNCTION("""COMPUTED_VALUE"""),"Health")</f>
        <v>Health</v>
      </c>
      <c r="K219" s="4" t="str">
        <f>IFERROR(__xludf.DUMMYFUNCTION("""COMPUTED_VALUE"""),"Fireside")</f>
        <v>Fireside</v>
      </c>
      <c r="L219" s="4" t="str">
        <f>IFERROR(__xludf.DUMMYFUNCTION("""COMPUTED_VALUE"""),"T- 7 - 04/05/2020")</f>
        <v>T- 7 - 04/05/2020</v>
      </c>
      <c r="M219" s="4" t="str">
        <f>IFERROR(__xludf.DUMMYFUNCTION("""COMPUTED_VALUE"""),"What would you do? The ethics of fighting COVID")</f>
        <v>What would you do? The ethics of fighting COVID</v>
      </c>
      <c r="N219" s="4" t="str">
        <f>IFERROR(__xludf.DUMMYFUNCTION("""COMPUTED_VALUE"""),"Michael Dowling, Northwell Health")</f>
        <v>Michael Dowling, Northwell Health</v>
      </c>
      <c r="O219" s="4" t="str">
        <f>IFERROR(__xludf.DUMMYFUNCTION("""COMPUTED_VALUE"""),"")</f>
        <v/>
      </c>
      <c r="P219" s="4" t="str">
        <f>IFERROR(__xludf.DUMMYFUNCTION("""COMPUTED_VALUE"""),"")</f>
        <v/>
      </c>
      <c r="Q219" s="4" t="str">
        <f>IFERROR(__xludf.DUMMYFUNCTION("""COMPUTED_VALUE"""),"")</f>
        <v/>
      </c>
      <c r="R219" s="4" t="str">
        <f>IFERROR(__xludf.DUMMYFUNCTION("""COMPUTED_VALUE"""),"Jonathan LaMantia, Crain's New York Business")</f>
        <v>Jonathan LaMantia, Crain's New York Business</v>
      </c>
      <c r="S219" s="4" t="str">
        <f>IFERROR(__xludf.DUMMYFUNCTION("""COMPUTED_VALUE"""),"Too many sick people, too few resources to go round. The head of New York's biggest healthcare provider reflects on how hospitals and their teams navigate tough calls and ethical quagmires while maintaining the highest standards of care.")</f>
        <v>Too many sick people, too few resources to go round. The head of New York's biggest healthcare provider reflects on how hospitals and their teams navigate tough calls and ethical quagmires while maintaining the highest standards of care.</v>
      </c>
      <c r="T219" s="4" t="str">
        <f>IFERROR(__xludf.DUMMYFUNCTION("""COMPUTED_VALUE"""),"NON-KEYNOTE 9 - COMPLETE")</f>
        <v>NON-KEYNOTE 9 - COMPLETE</v>
      </c>
      <c r="U219" s="23">
        <f>IFERROR(__xludf.DUMMYFUNCTION("""COMPUTED_VALUE"""),43984.0)</f>
        <v>43984</v>
      </c>
      <c r="V219" s="4" t="str">
        <f>IFERROR(__xludf.DUMMYFUNCTION("""COMPUTED_VALUE"""),"")</f>
        <v/>
      </c>
      <c r="W219" s="4" t="str">
        <f>IFERROR(__xludf.DUMMYFUNCTION("""COMPUTED_VALUE"""),"COMPLETE")</f>
        <v>COMPLETE</v>
      </c>
      <c r="X219" s="4" t="str">
        <f>IFERROR(__xludf.DUMMYFUNCTION("""COMPUTED_VALUE"""),"Yvonne")</f>
        <v>Yvonne</v>
      </c>
      <c r="Y219" s="4" t="str">
        <f>IFERROR(__xludf.DUMMYFUNCTION("""COMPUTED_VALUE"""),"")</f>
        <v/>
      </c>
    </row>
    <row r="220">
      <c r="A220" s="4" t="str">
        <f>IFERROR(__xludf.DUMMYFUNCTION("""COMPUTED_VALUE"""),"211 - Channel")</f>
        <v>211 - Channel</v>
      </c>
      <c r="B220" s="4" t="str">
        <f>IFERROR(__xludf.DUMMYFUNCTION("""COMPUTED_VALUE"""),"Channel 1")</f>
        <v>Channel 1</v>
      </c>
      <c r="C220" s="4" t="str">
        <f>IFERROR(__xludf.DUMMYFUNCTION("""COMPUTED_VALUE"""),"Day 2 - 24/06")</f>
        <v>Day 2 - 24/06</v>
      </c>
      <c r="D220" s="6">
        <f>IFERROR(__xludf.DUMMYFUNCTION("""COMPUTED_VALUE"""),0.6041435185185184)</f>
        <v>0.6041435185</v>
      </c>
      <c r="E220" s="6">
        <f>IFERROR(__xludf.DUMMYFUNCTION("""COMPUTED_VALUE"""),2.314814814814815E-4)</f>
        <v>0.0002314814815</v>
      </c>
      <c r="F220" s="6">
        <f>IFERROR(__xludf.DUMMYFUNCTION("""COMPUTED_VALUE"""),0.6043749999999999)</f>
        <v>0.604375</v>
      </c>
      <c r="G220" s="4" t="str">
        <f>IFERROR(__xludf.DUMMYFUNCTION("""COMPUTED_VALUE"""),"")</f>
        <v/>
      </c>
      <c r="H220" s="4" t="str">
        <f>IFERROR(__xludf.DUMMYFUNCTION("""COMPUTED_VALUE"""),"")</f>
        <v/>
      </c>
      <c r="I220" s="4" t="str">
        <f>IFERROR(__xludf.DUMMYFUNCTION("""COMPUTED_VALUE"""),"")</f>
        <v/>
      </c>
      <c r="J220" s="4" t="str">
        <f>IFERROR(__xludf.DUMMYFUNCTION("""COMPUTED_VALUE"""),"")</f>
        <v/>
      </c>
      <c r="K220" s="4" t="str">
        <f>IFERROR(__xludf.DUMMYFUNCTION("""COMPUTED_VALUE"""),"Talk Intro")</f>
        <v>Talk Intro</v>
      </c>
      <c r="L220" s="4" t="str">
        <f>IFERROR(__xludf.DUMMYFUNCTION("""COMPUTED_VALUE"""),"")</f>
        <v/>
      </c>
      <c r="M220" s="4" t="str">
        <f>IFERROR(__xludf.DUMMYFUNCTION("""COMPUTED_VALUE"""),"Teaser: LinkedIn_Intro")</f>
        <v>Teaser: LinkedIn_Intro</v>
      </c>
      <c r="N220" s="4" t="str">
        <f>IFERROR(__xludf.DUMMYFUNCTION("""COMPUTED_VALUE"""),"Yvonne Redmond, Web Summit")</f>
        <v>Yvonne Redmond, Web Summit</v>
      </c>
      <c r="O220" s="4" t="str">
        <f>IFERROR(__xludf.DUMMYFUNCTION("""COMPUTED_VALUE"""),"")</f>
        <v/>
      </c>
      <c r="P220" s="4" t="str">
        <f>IFERROR(__xludf.DUMMYFUNCTION("""COMPUTED_VALUE"""),"")</f>
        <v/>
      </c>
      <c r="Q220" s="4" t="str">
        <f>IFERROR(__xludf.DUMMYFUNCTION("""COMPUTED_VALUE"""),"")</f>
        <v/>
      </c>
      <c r="R220" s="4" t="str">
        <f>IFERROR(__xludf.DUMMYFUNCTION("""COMPUTED_VALUE"""),"")</f>
        <v/>
      </c>
      <c r="S220" s="4" t="str">
        <f>IFERROR(__xludf.DUMMYFUNCTION("""COMPUTED_VALUE"""),"")</f>
        <v/>
      </c>
      <c r="T220" s="4" t="str">
        <f>IFERROR(__xludf.DUMMYFUNCTION("""COMPUTED_VALUE"""),"")</f>
        <v/>
      </c>
      <c r="U220" s="4" t="str">
        <f>IFERROR(__xludf.DUMMYFUNCTION("""COMPUTED_VALUE"""),"")</f>
        <v/>
      </c>
      <c r="V220" s="4" t="str">
        <f>IFERROR(__xludf.DUMMYFUNCTION("""COMPUTED_VALUE"""),"")</f>
        <v/>
      </c>
      <c r="W220" s="4" t="str">
        <f>IFERROR(__xludf.DUMMYFUNCTION("""COMPUTED_VALUE"""),"")</f>
        <v/>
      </c>
      <c r="X220" s="4" t="str">
        <f>IFERROR(__xludf.DUMMYFUNCTION("""COMPUTED_VALUE"""),"")</f>
        <v/>
      </c>
      <c r="Y220" s="4" t="str">
        <f>IFERROR(__xludf.DUMMYFUNCTION("""COMPUTED_VALUE"""),"")</f>
        <v/>
      </c>
    </row>
    <row r="221">
      <c r="A221" s="4" t="str">
        <f>IFERROR(__xludf.DUMMYFUNCTION("""COMPUTED_VALUE"""),"212 - Channel")</f>
        <v>212 - Channel</v>
      </c>
      <c r="B221" s="4" t="str">
        <f>IFERROR(__xludf.DUMMYFUNCTION("""COMPUTED_VALUE"""),"Channel 1")</f>
        <v>Channel 1</v>
      </c>
      <c r="C221" s="4" t="str">
        <f>IFERROR(__xludf.DUMMYFUNCTION("""COMPUTED_VALUE"""),"Day 2 - 24/06")</f>
        <v>Day 2 - 24/06</v>
      </c>
      <c r="D221" s="6">
        <f>IFERROR(__xludf.DUMMYFUNCTION("""COMPUTED_VALUE"""),0.6043749999999999)</f>
        <v>0.604375</v>
      </c>
      <c r="E221" s="53">
        <f>IFERROR(__xludf.DUMMYFUNCTION("""COMPUTED_VALUE"""),0.0020833333333333333)</f>
        <v>0.002083333333</v>
      </c>
      <c r="F221" s="6">
        <f>IFERROR(__xludf.DUMMYFUNCTION("""COMPUTED_VALUE"""),0.6064583333333332)</f>
        <v>0.6064583333</v>
      </c>
      <c r="G221" s="4" t="str">
        <f>IFERROR(__xludf.DUMMYFUNCTION("""COMPUTED_VALUE"""),"")</f>
        <v/>
      </c>
      <c r="H221" s="4" t="str">
        <f>IFERROR(__xludf.DUMMYFUNCTION("""COMPUTED_VALUE"""),"")</f>
        <v/>
      </c>
      <c r="I221" s="4" t="str">
        <f>IFERROR(__xludf.DUMMYFUNCTION("""COMPUTED_VALUE"""),"")</f>
        <v/>
      </c>
      <c r="J221" s="4" t="str">
        <f>IFERROR(__xludf.DUMMYFUNCTION("""COMPUTED_VALUE"""),"")</f>
        <v/>
      </c>
      <c r="K221" s="4" t="str">
        <f>IFERROR(__xludf.DUMMYFUNCTION("""COMPUTED_VALUE"""),"Teaser")</f>
        <v>Teaser</v>
      </c>
      <c r="L221" s="4" t="str">
        <f>IFERROR(__xludf.DUMMYFUNCTION("""COMPUTED_VALUE"""),"")</f>
        <v/>
      </c>
      <c r="M221" s="4" t="str">
        <f>IFERROR(__xludf.DUMMYFUNCTION("""COMPUTED_VALUE"""),"Teaser: LinkedIn ")</f>
        <v>Teaser: LinkedIn </v>
      </c>
      <c r="N221" s="4" t="str">
        <f>IFERROR(__xludf.DUMMYFUNCTION("""COMPUTED_VALUE"""),"")</f>
        <v/>
      </c>
      <c r="O221" s="4" t="str">
        <f>IFERROR(__xludf.DUMMYFUNCTION("""COMPUTED_VALUE"""),"")</f>
        <v/>
      </c>
      <c r="P221" s="4" t="str">
        <f>IFERROR(__xludf.DUMMYFUNCTION("""COMPUTED_VALUE"""),"")</f>
        <v/>
      </c>
      <c r="Q221" s="4" t="str">
        <f>IFERROR(__xludf.DUMMYFUNCTION("""COMPUTED_VALUE"""),"")</f>
        <v/>
      </c>
      <c r="R221" s="4" t="str">
        <f>IFERROR(__xludf.DUMMYFUNCTION("""COMPUTED_VALUE"""),"")</f>
        <v/>
      </c>
      <c r="S221" s="4" t="str">
        <f>IFERROR(__xludf.DUMMYFUNCTION("""COMPUTED_VALUE"""),"")</f>
        <v/>
      </c>
      <c r="T221" s="4" t="str">
        <f>IFERROR(__xludf.DUMMYFUNCTION("""COMPUTED_VALUE"""),"N/A")</f>
        <v>N/A</v>
      </c>
      <c r="U221" s="4" t="str">
        <f>IFERROR(__xludf.DUMMYFUNCTION("""COMPUTED_VALUE"""),"")</f>
        <v/>
      </c>
      <c r="V221" s="4" t="str">
        <f>IFERROR(__xludf.DUMMYFUNCTION("""COMPUTED_VALUE"""),"")</f>
        <v/>
      </c>
      <c r="W221" s="4" t="str">
        <f>IFERROR(__xludf.DUMMYFUNCTION("""COMPUTED_VALUE"""),"")</f>
        <v/>
      </c>
      <c r="X221" s="4" t="str">
        <f>IFERROR(__xludf.DUMMYFUNCTION("""COMPUTED_VALUE"""),"")</f>
        <v/>
      </c>
      <c r="Y221" s="4" t="str">
        <f>IFERROR(__xludf.DUMMYFUNCTION("""COMPUTED_VALUE"""),"")</f>
        <v/>
      </c>
    </row>
    <row r="222">
      <c r="A222" s="4" t="str">
        <f>IFERROR(__xludf.DUMMYFUNCTION("""COMPUTED_VALUE"""),"2254 - Channel")</f>
        <v>2254 - Channel</v>
      </c>
      <c r="B222" s="4" t="str">
        <f>IFERROR(__xludf.DUMMYFUNCTION("""COMPUTED_VALUE"""),"Channel 1")</f>
        <v>Channel 1</v>
      </c>
      <c r="C222" s="4" t="str">
        <f>IFERROR(__xludf.DUMMYFUNCTION("""COMPUTED_VALUE"""),"Day 2 - 24/06")</f>
        <v>Day 2 - 24/06</v>
      </c>
      <c r="D222" s="6">
        <f>IFERROR(__xludf.DUMMYFUNCTION("""COMPUTED_VALUE"""),0.6064583333333332)</f>
        <v>0.6064583333</v>
      </c>
      <c r="E222" s="6">
        <f>IFERROR(__xludf.DUMMYFUNCTION("""COMPUTED_VALUE"""),2.314814814814815E-4)</f>
        <v>0.0002314814815</v>
      </c>
      <c r="F222" s="6">
        <f>IFERROR(__xludf.DUMMYFUNCTION("""COMPUTED_VALUE"""),0.6066898148148147)</f>
        <v>0.6066898148</v>
      </c>
      <c r="G222" s="4" t="str">
        <f>IFERROR(__xludf.DUMMYFUNCTION("""COMPUTED_VALUE"""),"")</f>
        <v/>
      </c>
      <c r="H222" s="4" t="str">
        <f>IFERROR(__xludf.DUMMYFUNCTION("""COMPUTED_VALUE"""),"")</f>
        <v/>
      </c>
      <c r="I222" s="4" t="str">
        <f>IFERROR(__xludf.DUMMYFUNCTION("""COMPUTED_VALUE"""),"")</f>
        <v/>
      </c>
      <c r="J222" s="4" t="str">
        <f>IFERROR(__xludf.DUMMYFUNCTION("""COMPUTED_VALUE"""),"")</f>
        <v/>
      </c>
      <c r="K222" s="4" t="str">
        <f>IFERROR(__xludf.DUMMYFUNCTION("""COMPUTED_VALUE"""),"Talk Outro")</f>
        <v>Talk Outro</v>
      </c>
      <c r="L222" s="4" t="str">
        <f>IFERROR(__xludf.DUMMYFUNCTION("""COMPUTED_VALUE"""),"")</f>
        <v/>
      </c>
      <c r="M222" s="4" t="str">
        <f>IFERROR(__xludf.DUMMYFUNCTION("""COMPUTED_VALUE"""),"Call to action")</f>
        <v>Call to action</v>
      </c>
      <c r="N222" s="4" t="str">
        <f>IFERROR(__xludf.DUMMYFUNCTION("""COMPUTED_VALUE"""),"Yvonne Redmond, Web Summit")</f>
        <v>Yvonne Redmond, Web Summit</v>
      </c>
      <c r="O222" s="4" t="str">
        <f>IFERROR(__xludf.DUMMYFUNCTION("""COMPUTED_VALUE"""),"")</f>
        <v/>
      </c>
      <c r="P222" s="4" t="str">
        <f>IFERROR(__xludf.DUMMYFUNCTION("""COMPUTED_VALUE"""),"")</f>
        <v/>
      </c>
      <c r="Q222" s="4" t="str">
        <f>IFERROR(__xludf.DUMMYFUNCTION("""COMPUTED_VALUE"""),"")</f>
        <v/>
      </c>
      <c r="R222" s="4" t="str">
        <f>IFERROR(__xludf.DUMMYFUNCTION("""COMPUTED_VALUE"""),"")</f>
        <v/>
      </c>
      <c r="S222" s="4" t="str">
        <f>IFERROR(__xludf.DUMMYFUNCTION("""COMPUTED_VALUE"""),"")</f>
        <v/>
      </c>
      <c r="T222" s="4" t="str">
        <f>IFERROR(__xludf.DUMMYFUNCTION("""COMPUTED_VALUE"""),"")</f>
        <v/>
      </c>
      <c r="U222" s="4" t="str">
        <f>IFERROR(__xludf.DUMMYFUNCTION("""COMPUTED_VALUE"""),"")</f>
        <v/>
      </c>
      <c r="V222" s="4" t="str">
        <f>IFERROR(__xludf.DUMMYFUNCTION("""COMPUTED_VALUE"""),"")</f>
        <v/>
      </c>
      <c r="W222" s="4" t="str">
        <f>IFERROR(__xludf.DUMMYFUNCTION("""COMPUTED_VALUE"""),"")</f>
        <v/>
      </c>
      <c r="X222" s="4" t="str">
        <f>IFERROR(__xludf.DUMMYFUNCTION("""COMPUTED_VALUE"""),"")</f>
        <v/>
      </c>
      <c r="Y222" s="4" t="str">
        <f>IFERROR(__xludf.DUMMYFUNCTION("""COMPUTED_VALUE"""),"")</f>
        <v/>
      </c>
    </row>
    <row r="223">
      <c r="A223" s="4" t="str">
        <f>IFERROR(__xludf.DUMMYFUNCTION("""COMPUTED_VALUE"""),"123 - Channel")</f>
        <v>123 - Channel</v>
      </c>
      <c r="B223" s="4" t="str">
        <f>IFERROR(__xludf.DUMMYFUNCTION("""COMPUTED_VALUE"""),"Channel 1")</f>
        <v>Channel 1</v>
      </c>
      <c r="C223" s="4" t="str">
        <f>IFERROR(__xludf.DUMMYFUNCTION("""COMPUTED_VALUE"""),"Day 2 - 24/06")</f>
        <v>Day 2 - 24/06</v>
      </c>
      <c r="D223" s="6">
        <f>IFERROR(__xludf.DUMMYFUNCTION("""COMPUTED_VALUE"""),0.6066898148148147)</f>
        <v>0.6066898148</v>
      </c>
      <c r="E223" s="6">
        <f>IFERROR(__xludf.DUMMYFUNCTION("""COMPUTED_VALUE"""),2.314814814814815E-4)</f>
        <v>0.0002314814815</v>
      </c>
      <c r="F223" s="6">
        <f>IFERROR(__xludf.DUMMYFUNCTION("""COMPUTED_VALUE"""),0.6069212962962961)</f>
        <v>0.6069212963</v>
      </c>
      <c r="G223" s="4" t="str">
        <f>IFERROR(__xludf.DUMMYFUNCTION("""COMPUTED_VALUE"""),"")</f>
        <v/>
      </c>
      <c r="H223" s="4" t="str">
        <f>IFERROR(__xludf.DUMMYFUNCTION("""COMPUTED_VALUE"""),"")</f>
        <v/>
      </c>
      <c r="I223" s="4" t="str">
        <f>IFERROR(__xludf.DUMMYFUNCTION("""COMPUTED_VALUE"""),"")</f>
        <v/>
      </c>
      <c r="J223" s="4" t="str">
        <f>IFERROR(__xludf.DUMMYFUNCTION("""COMPUTED_VALUE"""),"")</f>
        <v/>
      </c>
      <c r="K223" s="4" t="str">
        <f>IFERROR(__xludf.DUMMYFUNCTION("""COMPUTED_VALUE"""),"Talk Intro")</f>
        <v>Talk Intro</v>
      </c>
      <c r="L223" s="4" t="str">
        <f>IFERROR(__xludf.DUMMYFUNCTION("""COMPUTED_VALUE"""),"")</f>
        <v/>
      </c>
      <c r="M223" s="4" t="str">
        <f>IFERROR(__xludf.DUMMYFUNCTION("""COMPUTED_VALUE"""),"Talk Intro")</f>
        <v>Talk Intro</v>
      </c>
      <c r="N223" s="4" t="str">
        <f>IFERROR(__xludf.DUMMYFUNCTION("""COMPUTED_VALUE"""),"Yvonne Redmond, Web Summit")</f>
        <v>Yvonne Redmond, Web Summit</v>
      </c>
      <c r="O223" s="4" t="str">
        <f>IFERROR(__xludf.DUMMYFUNCTION("""COMPUTED_VALUE"""),"")</f>
        <v/>
      </c>
      <c r="P223" s="4" t="str">
        <f>IFERROR(__xludf.DUMMYFUNCTION("""COMPUTED_VALUE"""),"")</f>
        <v/>
      </c>
      <c r="Q223" s="4" t="str">
        <f>IFERROR(__xludf.DUMMYFUNCTION("""COMPUTED_VALUE"""),"")</f>
        <v/>
      </c>
      <c r="R223" s="4" t="str">
        <f>IFERROR(__xludf.DUMMYFUNCTION("""COMPUTED_VALUE"""),"")</f>
        <v/>
      </c>
      <c r="S223" s="4" t="str">
        <f>IFERROR(__xludf.DUMMYFUNCTION("""COMPUTED_VALUE"""),"")</f>
        <v/>
      </c>
      <c r="T223" s="4" t="str">
        <f>IFERROR(__xludf.DUMMYFUNCTION("""COMPUTED_VALUE"""),"")</f>
        <v/>
      </c>
      <c r="U223" s="4" t="str">
        <f>IFERROR(__xludf.DUMMYFUNCTION("""COMPUTED_VALUE"""),"")</f>
        <v/>
      </c>
      <c r="V223" s="4" t="str">
        <f>IFERROR(__xludf.DUMMYFUNCTION("""COMPUTED_VALUE"""),"")</f>
        <v/>
      </c>
      <c r="W223" s="4" t="str">
        <f>IFERROR(__xludf.DUMMYFUNCTION("""COMPUTED_VALUE"""),"")</f>
        <v/>
      </c>
      <c r="X223" s="4" t="str">
        <f>IFERROR(__xludf.DUMMYFUNCTION("""COMPUTED_VALUE"""),"")</f>
        <v/>
      </c>
      <c r="Y223" s="4" t="str">
        <f>IFERROR(__xludf.DUMMYFUNCTION("""COMPUTED_VALUE"""),"")</f>
        <v/>
      </c>
    </row>
    <row r="224">
      <c r="A224" s="4" t="str">
        <f>IFERROR(__xludf.DUMMYFUNCTION("""COMPUTED_VALUE"""),"215 - Channel")</f>
        <v>215 - Channel</v>
      </c>
      <c r="B224" s="4" t="str">
        <f>IFERROR(__xludf.DUMMYFUNCTION("""COMPUTED_VALUE"""),"Channel 1")</f>
        <v>Channel 1</v>
      </c>
      <c r="C224" s="4" t="str">
        <f>IFERROR(__xludf.DUMMYFUNCTION("""COMPUTED_VALUE"""),"Day 2 - 24/06")</f>
        <v>Day 2 - 24/06</v>
      </c>
      <c r="D224" s="6">
        <f>IFERROR(__xludf.DUMMYFUNCTION("""COMPUTED_VALUE"""),0.6069212962962961)</f>
        <v>0.6069212963</v>
      </c>
      <c r="E224" s="6">
        <f>IFERROR(__xludf.DUMMYFUNCTION("""COMPUTED_VALUE"""),0.009722222222222222)</f>
        <v>0.009722222222</v>
      </c>
      <c r="F224" s="6">
        <f>IFERROR(__xludf.DUMMYFUNCTION("""COMPUTED_VALUE"""),0.6166435185185183)</f>
        <v>0.6166435185</v>
      </c>
      <c r="G224" s="4" t="str">
        <f>IFERROR(__xludf.DUMMYFUNCTION("""COMPUTED_VALUE"""),"Luan")</f>
        <v>Luan</v>
      </c>
      <c r="H224" s="4" t="str">
        <f>IFERROR(__xludf.DUMMYFUNCTION("""COMPUTED_VALUE"""),"Stephen")</f>
        <v>Stephen</v>
      </c>
      <c r="I224" s="4" t="str">
        <f>IFERROR(__xludf.DUMMYFUNCTION("""COMPUTED_VALUE"""),"Francisca")</f>
        <v>Francisca</v>
      </c>
      <c r="J224" s="4" t="str">
        <f>IFERROR(__xludf.DUMMYFUNCTION("""COMPUTED_VALUE"""),"Social Media")</f>
        <v>Social Media</v>
      </c>
      <c r="K224" s="4" t="str">
        <f>IFERROR(__xludf.DUMMYFUNCTION("""COMPUTED_VALUE"""),"Super Fireside")</f>
        <v>Super Fireside</v>
      </c>
      <c r="L224" s="4" t="str">
        <f>IFERROR(__xludf.DUMMYFUNCTION("""COMPUTED_VALUE"""),"T- 5 - 18/05/2020")</f>
        <v>T- 5 - 18/05/2020</v>
      </c>
      <c r="M224" s="4" t="str">
        <f>IFERROR(__xludf.DUMMYFUNCTION("""COMPUTED_VALUE"""),"Customer care will never be the same again")</f>
        <v>Customer care will never be the same again</v>
      </c>
      <c r="N224" s="4" t="str">
        <f>IFERROR(__xludf.DUMMYFUNCTION("""COMPUTED_VALUE"""),"Ragy Thomas, Sprinklr")</f>
        <v>Ragy Thomas, Sprinklr</v>
      </c>
      <c r="O224" s="4" t="str">
        <f>IFERROR(__xludf.DUMMYFUNCTION("""COMPUTED_VALUE"""),"François-Xavier Pierrel, JCDecaux")</f>
        <v>François-Xavier Pierrel, JCDecaux</v>
      </c>
      <c r="P224" s="4" t="str">
        <f>IFERROR(__xludf.DUMMYFUNCTION("""COMPUTED_VALUE"""),"")</f>
        <v/>
      </c>
      <c r="Q224" s="4" t="str">
        <f>IFERROR(__xludf.DUMMYFUNCTION("""COMPUTED_VALUE"""),"")</f>
        <v/>
      </c>
      <c r="R224" s="4" t="str">
        <f>IFERROR(__xludf.DUMMYFUNCTION("""COMPUTED_VALUE"""),"Don Clark, The New York Times")</f>
        <v>Don Clark, The New York Times</v>
      </c>
      <c r="S224" s="4" t="str">
        <f>IFERROR(__xludf.DUMMYFUNCTION("""COMPUTED_VALUE"""),"Customer care has gone into overdrive since the Covid-19 hit. How can businesses adequately take care of their valued clients? Does the answer maybe lie in social media, chat bots or digitisation? ")</f>
        <v>Customer care has gone into overdrive since the Covid-19 hit. How can businesses adequately take care of their valued clients? Does the answer maybe lie in social media, chat bots or digitisation? </v>
      </c>
      <c r="T224" s="4" t="str">
        <f>IFERROR(__xludf.DUMMYFUNCTION("""COMPUTED_VALUE"""),"NON-KEYNOTE 9 - COMPLETE")</f>
        <v>NON-KEYNOTE 9 - COMPLETE</v>
      </c>
      <c r="U224" s="23">
        <f>IFERROR(__xludf.DUMMYFUNCTION("""COMPUTED_VALUE"""),43969.0)</f>
        <v>43969</v>
      </c>
      <c r="V224" s="24">
        <f>IFERROR(__xludf.DUMMYFUNCTION("""COMPUTED_VALUE"""),0.625)</f>
        <v>0.625</v>
      </c>
      <c r="W224" s="4" t="str">
        <f>IFERROR(__xludf.DUMMYFUNCTION("""COMPUTED_VALUE"""),"COMPLETE")</f>
        <v>COMPLETE</v>
      </c>
      <c r="X224" s="4" t="str">
        <f>IFERROR(__xludf.DUMMYFUNCTION("""COMPUTED_VALUE"""),"James")</f>
        <v>James</v>
      </c>
      <c r="Y224" s="4" t="str">
        <f>IFERROR(__xludf.DUMMYFUNCTION("""COMPUTED_VALUE"""),"")</f>
        <v/>
      </c>
    </row>
    <row r="225">
      <c r="A225" s="4" t="str">
        <f>IFERROR(__xludf.DUMMYFUNCTION("""COMPUTED_VALUE"""),"1708 - Channel")</f>
        <v>1708 - Channel</v>
      </c>
      <c r="B225" s="4" t="str">
        <f>IFERROR(__xludf.DUMMYFUNCTION("""COMPUTED_VALUE"""),"Channel 1")</f>
        <v>Channel 1</v>
      </c>
      <c r="C225" s="4" t="str">
        <f>IFERROR(__xludf.DUMMYFUNCTION("""COMPUTED_VALUE"""),"Day 2 - 24/06")</f>
        <v>Day 2 - 24/06</v>
      </c>
      <c r="D225" s="6">
        <f>IFERROR(__xludf.DUMMYFUNCTION("""COMPUTED_VALUE"""),0.6166435185185183)</f>
        <v>0.6166435185</v>
      </c>
      <c r="E225" s="6">
        <f>IFERROR(__xludf.DUMMYFUNCTION("""COMPUTED_VALUE"""),3.4722222222222224E-4)</f>
        <v>0.0003472222222</v>
      </c>
      <c r="F225" s="6">
        <f>IFERROR(__xludf.DUMMYFUNCTION("""COMPUTED_VALUE"""),0.6169907407407406)</f>
        <v>0.6169907407</v>
      </c>
      <c r="G225" s="4" t="str">
        <f>IFERROR(__xludf.DUMMYFUNCTION("""COMPUTED_VALUE"""),"Video")</f>
        <v>Video</v>
      </c>
      <c r="H225" s="4" t="str">
        <f>IFERROR(__xludf.DUMMYFUNCTION("""COMPUTED_VALUE"""),"")</f>
        <v/>
      </c>
      <c r="I225" s="4" t="str">
        <f>IFERROR(__xludf.DUMMYFUNCTION("""COMPUTED_VALUE"""),"")</f>
        <v/>
      </c>
      <c r="J225" s="4" t="str">
        <f>IFERROR(__xludf.DUMMYFUNCTION("""COMPUTED_VALUE"""),"")</f>
        <v/>
      </c>
      <c r="K225" s="4" t="str">
        <f>IFERROR(__xludf.DUMMYFUNCTION("""COMPUTED_VALUE"""),"RISE Trailer")</f>
        <v>RISE Trailer</v>
      </c>
      <c r="L225" s="4" t="str">
        <f>IFERROR(__xludf.DUMMYFUNCTION("""COMPUTED_VALUE"""),"")</f>
        <v/>
      </c>
      <c r="M225" s="4" t="str">
        <f>IFERROR(__xludf.DUMMYFUNCTION("""COMPUTED_VALUE"""),"RISE promo")</f>
        <v>RISE promo</v>
      </c>
      <c r="N225" s="4" t="str">
        <f>IFERROR(__xludf.DUMMYFUNCTION("""COMPUTED_VALUE"""),"Content pending")</f>
        <v>Content pending</v>
      </c>
      <c r="O225" s="4" t="str">
        <f>IFERROR(__xludf.DUMMYFUNCTION("""COMPUTED_VALUE"""),"")</f>
        <v/>
      </c>
      <c r="P225" s="4" t="str">
        <f>IFERROR(__xludf.DUMMYFUNCTION("""COMPUTED_VALUE"""),"")</f>
        <v/>
      </c>
      <c r="Q225" s="4" t="str">
        <f>IFERROR(__xludf.DUMMYFUNCTION("""COMPUTED_VALUE"""),"")</f>
        <v/>
      </c>
      <c r="R225" s="4" t="str">
        <f>IFERROR(__xludf.DUMMYFUNCTION("""COMPUTED_VALUE"""),"")</f>
        <v/>
      </c>
      <c r="S225" s="4" t="str">
        <f>IFERROR(__xludf.DUMMYFUNCTION("""COMPUTED_VALUE"""),"")</f>
        <v/>
      </c>
      <c r="T225" s="4" t="str">
        <f>IFERROR(__xludf.DUMMYFUNCTION("""COMPUTED_VALUE"""),"")</f>
        <v/>
      </c>
      <c r="U225" s="4" t="str">
        <f>IFERROR(__xludf.DUMMYFUNCTION("""COMPUTED_VALUE"""),"")</f>
        <v/>
      </c>
      <c r="V225" s="4" t="str">
        <f>IFERROR(__xludf.DUMMYFUNCTION("""COMPUTED_VALUE"""),"")</f>
        <v/>
      </c>
      <c r="W225" s="4" t="str">
        <f>IFERROR(__xludf.DUMMYFUNCTION("""COMPUTED_VALUE"""),"")</f>
        <v/>
      </c>
      <c r="X225" s="4" t="str">
        <f>IFERROR(__xludf.DUMMYFUNCTION("""COMPUTED_VALUE"""),"")</f>
        <v/>
      </c>
      <c r="Y225" s="4" t="str">
        <f>IFERROR(__xludf.DUMMYFUNCTION("""COMPUTED_VALUE"""),"")</f>
        <v/>
      </c>
    </row>
    <row r="226">
      <c r="A226" s="4" t="str">
        <f>IFERROR(__xludf.DUMMYFUNCTION("""COMPUTED_VALUE"""),"189 - Channel")</f>
        <v>189 - Channel</v>
      </c>
      <c r="B226" s="4" t="str">
        <f>IFERROR(__xludf.DUMMYFUNCTION("""COMPUTED_VALUE"""),"Channel 1")</f>
        <v>Channel 1</v>
      </c>
      <c r="C226" s="4" t="str">
        <f>IFERROR(__xludf.DUMMYFUNCTION("""COMPUTED_VALUE"""),"Day 2 - 24/06")</f>
        <v>Day 2 - 24/06</v>
      </c>
      <c r="D226" s="6">
        <f>IFERROR(__xludf.DUMMYFUNCTION("""COMPUTED_VALUE"""),0.6169907407407406)</f>
        <v>0.6169907407</v>
      </c>
      <c r="E226" s="6">
        <f>IFERROR(__xludf.DUMMYFUNCTION("""COMPUTED_VALUE"""),2.314814814814815E-4)</f>
        <v>0.0002314814815</v>
      </c>
      <c r="F226" s="6">
        <f>IFERROR(__xludf.DUMMYFUNCTION("""COMPUTED_VALUE"""),0.617222222222222)</f>
        <v>0.6172222222</v>
      </c>
      <c r="G226" s="4" t="str">
        <f>IFERROR(__xludf.DUMMYFUNCTION("""COMPUTED_VALUE"""),"")</f>
        <v/>
      </c>
      <c r="H226" s="4" t="str">
        <f>IFERROR(__xludf.DUMMYFUNCTION("""COMPUTED_VALUE"""),"")</f>
        <v/>
      </c>
      <c r="I226" s="4" t="str">
        <f>IFERROR(__xludf.DUMMYFUNCTION("""COMPUTED_VALUE"""),"")</f>
        <v/>
      </c>
      <c r="J226" s="4" t="str">
        <f>IFERROR(__xludf.DUMMYFUNCTION("""COMPUTED_VALUE"""),"")</f>
        <v/>
      </c>
      <c r="K226" s="4" t="str">
        <f>IFERROR(__xludf.DUMMYFUNCTION("""COMPUTED_VALUE"""),"Talk Intro")</f>
        <v>Talk Intro</v>
      </c>
      <c r="L226" s="4" t="str">
        <f>IFERROR(__xludf.DUMMYFUNCTION("""COMPUTED_VALUE"""),"")</f>
        <v/>
      </c>
      <c r="M226" s="4" t="str">
        <f>IFERROR(__xludf.DUMMYFUNCTION("""COMPUTED_VALUE"""),"Talk Intro")</f>
        <v>Talk Intro</v>
      </c>
      <c r="N226" s="4" t="str">
        <f>IFERROR(__xludf.DUMMYFUNCTION("""COMPUTED_VALUE"""),"Yvonne Redmond, Web Summit")</f>
        <v>Yvonne Redmond, Web Summit</v>
      </c>
      <c r="O226" s="4" t="str">
        <f>IFERROR(__xludf.DUMMYFUNCTION("""COMPUTED_VALUE"""),"")</f>
        <v/>
      </c>
      <c r="P226" s="4" t="str">
        <f>IFERROR(__xludf.DUMMYFUNCTION("""COMPUTED_VALUE"""),"")</f>
        <v/>
      </c>
      <c r="Q226" s="4" t="str">
        <f>IFERROR(__xludf.DUMMYFUNCTION("""COMPUTED_VALUE"""),"")</f>
        <v/>
      </c>
      <c r="R226" s="4" t="str">
        <f>IFERROR(__xludf.DUMMYFUNCTION("""COMPUTED_VALUE"""),"")</f>
        <v/>
      </c>
      <c r="S226" s="4" t="str">
        <f>IFERROR(__xludf.DUMMYFUNCTION("""COMPUTED_VALUE"""),"")</f>
        <v/>
      </c>
      <c r="T226" s="4" t="str">
        <f>IFERROR(__xludf.DUMMYFUNCTION("""COMPUTED_VALUE"""),"")</f>
        <v/>
      </c>
      <c r="U226" s="4" t="str">
        <f>IFERROR(__xludf.DUMMYFUNCTION("""COMPUTED_VALUE"""),"")</f>
        <v/>
      </c>
      <c r="V226" s="4" t="str">
        <f>IFERROR(__xludf.DUMMYFUNCTION("""COMPUTED_VALUE"""),"")</f>
        <v/>
      </c>
      <c r="W226" s="4" t="str">
        <f>IFERROR(__xludf.DUMMYFUNCTION("""COMPUTED_VALUE"""),"")</f>
        <v/>
      </c>
      <c r="X226" s="4" t="str">
        <f>IFERROR(__xludf.DUMMYFUNCTION("""COMPUTED_VALUE"""),"")</f>
        <v/>
      </c>
      <c r="Y226" s="4" t="str">
        <f>IFERROR(__xludf.DUMMYFUNCTION("""COMPUTED_VALUE"""),"")</f>
        <v/>
      </c>
    </row>
    <row r="227">
      <c r="A227" s="4" t="str">
        <f>IFERROR(__xludf.DUMMYFUNCTION("""COMPUTED_VALUE"""),"172 - Channel")</f>
        <v>172 - Channel</v>
      </c>
      <c r="B227" s="4" t="str">
        <f>IFERROR(__xludf.DUMMYFUNCTION("""COMPUTED_VALUE"""),"Channel 1")</f>
        <v>Channel 1</v>
      </c>
      <c r="C227" s="4" t="str">
        <f>IFERROR(__xludf.DUMMYFUNCTION("""COMPUTED_VALUE"""),"Day 2 - 24/06")</f>
        <v>Day 2 - 24/06</v>
      </c>
      <c r="D227" s="6">
        <f>IFERROR(__xludf.DUMMYFUNCTION("""COMPUTED_VALUE"""),0.617222222222222)</f>
        <v>0.6172222222</v>
      </c>
      <c r="E227" s="53">
        <f>IFERROR(__xludf.DUMMYFUNCTION("""COMPUTED_VALUE"""),0.009722222222222222)</f>
        <v>0.009722222222</v>
      </c>
      <c r="F227" s="6">
        <f>IFERROR(__xludf.DUMMYFUNCTION("""COMPUTED_VALUE"""),0.6269444444444442)</f>
        <v>0.6269444444</v>
      </c>
      <c r="G227" s="4" t="str">
        <f>IFERROR(__xludf.DUMMYFUNCTION("""COMPUTED_VALUE"""),"Darren")</f>
        <v>Darren</v>
      </c>
      <c r="H227" s="4" t="str">
        <f>IFERROR(__xludf.DUMMYFUNCTION("""COMPUTED_VALUE"""),"Shauna")</f>
        <v>Shauna</v>
      </c>
      <c r="I227" s="4" t="str">
        <f>IFERROR(__xludf.DUMMYFUNCTION("""COMPUTED_VALUE"""),"Lucia H.")</f>
        <v>Lucia H.</v>
      </c>
      <c r="J227" s="4" t="str">
        <f>IFERROR(__xludf.DUMMYFUNCTION("""COMPUTED_VALUE"""),"Sport")</f>
        <v>Sport</v>
      </c>
      <c r="K227" s="4" t="str">
        <f>IFERROR(__xludf.DUMMYFUNCTION("""COMPUTED_VALUE"""),"Super Fireside")</f>
        <v>Super Fireside</v>
      </c>
      <c r="L227" s="4" t="str">
        <f>IFERROR(__xludf.DUMMYFUNCTION("""COMPUTED_VALUE"""),"T- 5 - 18/05/2020")</f>
        <v>T- 5 - 18/05/2020</v>
      </c>
      <c r="M227" s="4" t="str">
        <f>IFERROR(__xludf.DUMMYFUNCTION("""COMPUTED_VALUE"""),"Will sports ever be the same?")</f>
        <v>Will sports ever be the same?</v>
      </c>
      <c r="N227" s="4" t="str">
        <f>IFERROR(__xludf.DUMMYFUNCTION("""COMPUTED_VALUE"""),"Lee Trink, FazeClan")</f>
        <v>Lee Trink, FazeClan</v>
      </c>
      <c r="O227" s="4" t="str">
        <f>IFERROR(__xludf.DUMMYFUNCTION("""COMPUTED_VALUE"""),"Adam Goodman, Invisible Narratives")</f>
        <v>Adam Goodman, Invisible Narratives</v>
      </c>
      <c r="P227" s="4" t="str">
        <f>IFERROR(__xludf.DUMMYFUNCTION("""COMPUTED_VALUE"""),"")</f>
        <v/>
      </c>
      <c r="Q227" s="4" t="str">
        <f>IFERROR(__xludf.DUMMYFUNCTION("""COMPUTED_VALUE"""),"")</f>
        <v/>
      </c>
      <c r="R227" s="4" t="str">
        <f>IFERROR(__xludf.DUMMYFUNCTION("""COMPUTED_VALUE"""),"John Koetsier, Forbes, Freelance")</f>
        <v>John Koetsier, Forbes, Freelance</v>
      </c>
      <c r="S227" s="4" t="str">
        <f>IFERROR(__xludf.DUMMYFUNCTION("""COMPUTED_VALUE"""),"Two key figures in the world of sports and entertainment come together to discuss how they changed their respective games. Lee Trink is the man leading the global phenomenon FaZe Clan.")</f>
        <v>Two key figures in the world of sports and entertainment come together to discuss how they changed their respective games. Lee Trink is the man leading the global phenomenon FaZe Clan.</v>
      </c>
      <c r="T227" s="54" t="str">
        <f>IFERROR(__xludf.DUMMYFUNCTION("""COMPUTED_VALUE"""),"NON-KEYNOTE 9 - COMPLETE")</f>
        <v>NON-KEYNOTE 9 - COMPLETE</v>
      </c>
      <c r="U227" s="23">
        <f>IFERROR(__xludf.DUMMYFUNCTION("""COMPUTED_VALUE"""),43972.0)</f>
        <v>43972</v>
      </c>
      <c r="V227" s="24">
        <f>IFERROR(__xludf.DUMMYFUNCTION("""COMPUTED_VALUE"""),0.9583333333333334)</f>
        <v>0.9583333333</v>
      </c>
      <c r="W227" s="4" t="str">
        <f>IFERROR(__xludf.DUMMYFUNCTION("""COMPUTED_VALUE"""),"COMPLETE")</f>
        <v>COMPLETE</v>
      </c>
      <c r="X227" s="4" t="str">
        <f>IFERROR(__xludf.DUMMYFUNCTION("""COMPUTED_VALUE"""),"Darren")</f>
        <v>Darren</v>
      </c>
      <c r="Y227" s="4" t="str">
        <f>IFERROR(__xludf.DUMMYFUNCTION("""COMPUTED_VALUE"""),"")</f>
        <v/>
      </c>
    </row>
    <row r="228">
      <c r="A228" s="4" t="str">
        <f>IFERROR(__xludf.DUMMYFUNCTION("""COMPUTED_VALUE"""),"1370 - Channel")</f>
        <v>1370 - Channel</v>
      </c>
      <c r="B228" s="4" t="str">
        <f>IFERROR(__xludf.DUMMYFUNCTION("""COMPUTED_VALUE"""),"Channel 1")</f>
        <v>Channel 1</v>
      </c>
      <c r="C228" s="4" t="str">
        <f>IFERROR(__xludf.DUMMYFUNCTION("""COMPUTED_VALUE"""),"Day 2 - 24/06")</f>
        <v>Day 2 - 24/06</v>
      </c>
      <c r="D228" s="6">
        <f>IFERROR(__xludf.DUMMYFUNCTION("""COMPUTED_VALUE"""),0.6269444444444442)</f>
        <v>0.6269444444</v>
      </c>
      <c r="E228" s="6">
        <f>IFERROR(__xludf.DUMMYFUNCTION("""COMPUTED_VALUE"""),5.671296296296297E-4)</f>
        <v>0.0005671296296</v>
      </c>
      <c r="F228" s="6">
        <f>IFERROR(__xludf.DUMMYFUNCTION("""COMPUTED_VALUE"""),0.6275115740740739)</f>
        <v>0.6275115741</v>
      </c>
      <c r="G228" s="4" t="str">
        <f>IFERROR(__xludf.DUMMYFUNCTION("""COMPUTED_VALUE"""),"")</f>
        <v/>
      </c>
      <c r="H228" s="4" t="str">
        <f>IFERROR(__xludf.DUMMYFUNCTION("""COMPUTED_VALUE"""),"")</f>
        <v/>
      </c>
      <c r="I228" s="4" t="str">
        <f>IFERROR(__xludf.DUMMYFUNCTION("""COMPUTED_VALUE"""),"")</f>
        <v/>
      </c>
      <c r="J228" s="4" t="str">
        <f>IFERROR(__xludf.DUMMYFUNCTION("""COMPUTED_VALUE"""),"")</f>
        <v/>
      </c>
      <c r="K228" s="4" t="str">
        <f>IFERROR(__xludf.DUMMYFUNCTION("""COMPUTED_VALUE"""),"Voxpop")</f>
        <v>Voxpop</v>
      </c>
      <c r="L228" s="4" t="str">
        <f>IFERROR(__xludf.DUMMYFUNCTION("""COMPUTED_VALUE"""),"")</f>
        <v/>
      </c>
      <c r="M228" s="4" t="str">
        <f>IFERROR(__xludf.DUMMYFUNCTION("""COMPUTED_VALUE"""),"MTS_10_Advice")</f>
        <v>MTS_10_Advice</v>
      </c>
      <c r="N228" s="4" t="str">
        <f>IFERROR(__xludf.DUMMYFUNCTION("""COMPUTED_VALUE"""),"Content complete")</f>
        <v>Content complete</v>
      </c>
      <c r="O228" s="4" t="str">
        <f>IFERROR(__xludf.DUMMYFUNCTION("""COMPUTED_VALUE"""),"")</f>
        <v/>
      </c>
      <c r="P228" s="4" t="str">
        <f>IFERROR(__xludf.DUMMYFUNCTION("""COMPUTED_VALUE"""),"")</f>
        <v/>
      </c>
      <c r="Q228" s="4" t="str">
        <f>IFERROR(__xludf.DUMMYFUNCTION("""COMPUTED_VALUE"""),"")</f>
        <v/>
      </c>
      <c r="R228" s="4" t="str">
        <f>IFERROR(__xludf.DUMMYFUNCTION("""COMPUTED_VALUE"""),"")</f>
        <v/>
      </c>
      <c r="S228" s="4" t="str">
        <f>IFERROR(__xludf.DUMMYFUNCTION("""COMPUTED_VALUE"""),"")</f>
        <v/>
      </c>
      <c r="T228" s="4" t="str">
        <f>IFERROR(__xludf.DUMMYFUNCTION("""COMPUTED_VALUE"""),"")</f>
        <v/>
      </c>
      <c r="U228" s="4" t="str">
        <f>IFERROR(__xludf.DUMMYFUNCTION("""COMPUTED_VALUE"""),"")</f>
        <v/>
      </c>
      <c r="V228" s="4" t="str">
        <f>IFERROR(__xludf.DUMMYFUNCTION("""COMPUTED_VALUE"""),"")</f>
        <v/>
      </c>
      <c r="W228" s="4" t="str">
        <f>IFERROR(__xludf.DUMMYFUNCTION("""COMPUTED_VALUE"""),"")</f>
        <v/>
      </c>
      <c r="X228" s="4" t="str">
        <f>IFERROR(__xludf.DUMMYFUNCTION("""COMPUTED_VALUE"""),"")</f>
        <v/>
      </c>
      <c r="Y228" s="4" t="str">
        <f>IFERROR(__xludf.DUMMYFUNCTION("""COMPUTED_VALUE"""),"")</f>
        <v/>
      </c>
    </row>
    <row r="229">
      <c r="A229" s="4" t="str">
        <f>IFERROR(__xludf.DUMMYFUNCTION("""COMPUTED_VALUE"""),"342 - Channel")</f>
        <v>342 - Channel</v>
      </c>
      <c r="B229" s="4" t="str">
        <f>IFERROR(__xludf.DUMMYFUNCTION("""COMPUTED_VALUE"""),"Channel 1")</f>
        <v>Channel 1</v>
      </c>
      <c r="C229" s="4" t="str">
        <f>IFERROR(__xludf.DUMMYFUNCTION("""COMPUTED_VALUE"""),"Day 2 - 24/06")</f>
        <v>Day 2 - 24/06</v>
      </c>
      <c r="D229" s="6">
        <f>IFERROR(__xludf.DUMMYFUNCTION("""COMPUTED_VALUE"""),0.6275115740740739)</f>
        <v>0.6275115741</v>
      </c>
      <c r="E229" s="6">
        <f>IFERROR(__xludf.DUMMYFUNCTION("""COMPUTED_VALUE"""),2.314814814814815E-4)</f>
        <v>0.0002314814815</v>
      </c>
      <c r="F229" s="6">
        <f>IFERROR(__xludf.DUMMYFUNCTION("""COMPUTED_VALUE"""),0.6277430555555553)</f>
        <v>0.6277430556</v>
      </c>
      <c r="G229" s="4" t="str">
        <f>IFERROR(__xludf.DUMMYFUNCTION("""COMPUTED_VALUE"""),"")</f>
        <v/>
      </c>
      <c r="H229" s="4" t="str">
        <f>IFERROR(__xludf.DUMMYFUNCTION("""COMPUTED_VALUE"""),"")</f>
        <v/>
      </c>
      <c r="I229" s="4" t="str">
        <f>IFERROR(__xludf.DUMMYFUNCTION("""COMPUTED_VALUE"""),"")</f>
        <v/>
      </c>
      <c r="J229" s="4" t="str">
        <f>IFERROR(__xludf.DUMMYFUNCTION("""COMPUTED_VALUE"""),"")</f>
        <v/>
      </c>
      <c r="K229" s="4" t="str">
        <f>IFERROR(__xludf.DUMMYFUNCTION("""COMPUTED_VALUE"""),"Talk Intro")</f>
        <v>Talk Intro</v>
      </c>
      <c r="L229" s="4" t="str">
        <f>IFERROR(__xludf.DUMMYFUNCTION("""COMPUTED_VALUE"""),"")</f>
        <v/>
      </c>
      <c r="M229" s="4" t="str">
        <f>IFERROR(__xludf.DUMMYFUNCTION("""COMPUTED_VALUE"""),"Talk intro ")</f>
        <v>Talk intro </v>
      </c>
      <c r="N229" s="4" t="str">
        <f>IFERROR(__xludf.DUMMYFUNCTION("""COMPUTED_VALUE"""),"Yvonne Redmond, Web Summit")</f>
        <v>Yvonne Redmond, Web Summit</v>
      </c>
      <c r="O229" s="4" t="str">
        <f>IFERROR(__xludf.DUMMYFUNCTION("""COMPUTED_VALUE"""),"")</f>
        <v/>
      </c>
      <c r="P229" s="4" t="str">
        <f>IFERROR(__xludf.DUMMYFUNCTION("""COMPUTED_VALUE"""),"")</f>
        <v/>
      </c>
      <c r="Q229" s="4" t="str">
        <f>IFERROR(__xludf.DUMMYFUNCTION("""COMPUTED_VALUE"""),"")</f>
        <v/>
      </c>
      <c r="R229" s="4" t="str">
        <f>IFERROR(__xludf.DUMMYFUNCTION("""COMPUTED_VALUE"""),"")</f>
        <v/>
      </c>
      <c r="S229" s="4" t="str">
        <f>IFERROR(__xludf.DUMMYFUNCTION("""COMPUTED_VALUE"""),"")</f>
        <v/>
      </c>
      <c r="T229" s="4" t="str">
        <f>IFERROR(__xludf.DUMMYFUNCTION("""COMPUTED_VALUE"""),"")</f>
        <v/>
      </c>
      <c r="U229" s="4" t="str">
        <f>IFERROR(__xludf.DUMMYFUNCTION("""COMPUTED_VALUE"""),"")</f>
        <v/>
      </c>
      <c r="V229" s="4" t="str">
        <f>IFERROR(__xludf.DUMMYFUNCTION("""COMPUTED_VALUE"""),"")</f>
        <v/>
      </c>
      <c r="W229" s="4" t="str">
        <f>IFERROR(__xludf.DUMMYFUNCTION("""COMPUTED_VALUE"""),"")</f>
        <v/>
      </c>
      <c r="X229" s="4" t="str">
        <f>IFERROR(__xludf.DUMMYFUNCTION("""COMPUTED_VALUE"""),"")</f>
        <v/>
      </c>
      <c r="Y229" s="4" t="str">
        <f>IFERROR(__xludf.DUMMYFUNCTION("""COMPUTED_VALUE"""),"")</f>
        <v/>
      </c>
    </row>
    <row r="230">
      <c r="A230" s="4" t="str">
        <f>IFERROR(__xludf.DUMMYFUNCTION("""COMPUTED_VALUE"""),"363 - Channel")</f>
        <v>363 - Channel</v>
      </c>
      <c r="B230" s="4" t="str">
        <f>IFERROR(__xludf.DUMMYFUNCTION("""COMPUTED_VALUE"""),"Channel 1")</f>
        <v>Channel 1</v>
      </c>
      <c r="C230" s="4" t="str">
        <f>IFERROR(__xludf.DUMMYFUNCTION("""COMPUTED_VALUE"""),"Day 2 - 24/06")</f>
        <v>Day 2 - 24/06</v>
      </c>
      <c r="D230" s="6">
        <f>IFERROR(__xludf.DUMMYFUNCTION("""COMPUTED_VALUE"""),0.6277430555555553)</f>
        <v>0.6277430556</v>
      </c>
      <c r="E230" s="6">
        <f>IFERROR(__xludf.DUMMYFUNCTION("""COMPUTED_VALUE"""),0.006944444444444444)</f>
        <v>0.006944444444</v>
      </c>
      <c r="F230" s="6">
        <f>IFERROR(__xludf.DUMMYFUNCTION("""COMPUTED_VALUE"""),0.6346874999999997)</f>
        <v>0.6346875</v>
      </c>
      <c r="G230" s="4" t="str">
        <f>IFERROR(__xludf.DUMMYFUNCTION("""COMPUTED_VALUE"""),"Kat")</f>
        <v>Kat</v>
      </c>
      <c r="H230" s="4" t="str">
        <f>IFERROR(__xludf.DUMMYFUNCTION("""COMPUTED_VALUE"""),"")</f>
        <v/>
      </c>
      <c r="I230" s="4" t="str">
        <f>IFERROR(__xludf.DUMMYFUNCTION("""COMPUTED_VALUE"""),"Lynn")</f>
        <v>Lynn</v>
      </c>
      <c r="J230" s="4" t="str">
        <f>IFERROR(__xludf.DUMMYFUNCTION("""COMPUTED_VALUE"""),"Climate")</f>
        <v>Climate</v>
      </c>
      <c r="K230" s="4" t="str">
        <f>IFERROR(__xludf.DUMMYFUNCTION("""COMPUTED_VALUE"""),"Keynote")</f>
        <v>Keynote</v>
      </c>
      <c r="L230" s="4" t="str">
        <f>IFERROR(__xludf.DUMMYFUNCTION("""COMPUTED_VALUE"""),"T- 6 - 11/05/2020")</f>
        <v>T- 6 - 11/05/2020</v>
      </c>
      <c r="M230" s="4" t="str">
        <f>IFERROR(__xludf.DUMMYFUNCTION("""COMPUTED_VALUE"""),"The internet of wild things")</f>
        <v>The internet of wild things</v>
      </c>
      <c r="N230" s="4" t="str">
        <f>IFERROR(__xludf.DUMMYFUNCTION("""COMPUTED_VALUE"""),"Topher White, Rainforest Connection")</f>
        <v>Topher White, Rainforest Connection</v>
      </c>
      <c r="O230" s="4" t="str">
        <f>IFERROR(__xludf.DUMMYFUNCTION("""COMPUTED_VALUE"""),"")</f>
        <v/>
      </c>
      <c r="P230" s="4" t="str">
        <f>IFERROR(__xludf.DUMMYFUNCTION("""COMPUTED_VALUE"""),"")</f>
        <v/>
      </c>
      <c r="Q230" s="4" t="str">
        <f>IFERROR(__xludf.DUMMYFUNCTION("""COMPUTED_VALUE"""),"")</f>
        <v/>
      </c>
      <c r="R230" s="4" t="str">
        <f>IFERROR(__xludf.DUMMYFUNCTION("""COMPUTED_VALUE"""),"")</f>
        <v/>
      </c>
      <c r="S230" s="4" t="str">
        <f>IFERROR(__xludf.DUMMYFUNCTION("""COMPUTED_VALUE"""),"Topher will talk about how tech can help us battle against biodiversity loss and climate change.")</f>
        <v>Topher will talk about how tech can help us battle against biodiversity loss and climate change.</v>
      </c>
      <c r="T230" s="4" t="str">
        <f>IFERROR(__xludf.DUMMYFUNCTION("""COMPUTED_VALUE"""),"KEYNOTE 8 - COMPLETE")</f>
        <v>KEYNOTE 8 - COMPLETE</v>
      </c>
      <c r="U230" s="23">
        <f>IFERROR(__xludf.DUMMYFUNCTION("""COMPUTED_VALUE"""),43963.0)</f>
        <v>43963</v>
      </c>
      <c r="V230" s="24">
        <f>IFERROR(__xludf.DUMMYFUNCTION("""COMPUTED_VALUE"""),0.75)</f>
        <v>0.75</v>
      </c>
      <c r="W230" s="4" t="str">
        <f>IFERROR(__xludf.DUMMYFUNCTION("""COMPUTED_VALUE"""),"COMPLETE")</f>
        <v>COMPLETE</v>
      </c>
      <c r="X230" s="4" t="str">
        <f>IFERROR(__xludf.DUMMYFUNCTION("""COMPUTED_VALUE"""),"Kat")</f>
        <v>Kat</v>
      </c>
      <c r="Y230" s="4" t="str">
        <f>IFERROR(__xludf.DUMMYFUNCTION("""COMPUTED_VALUE"""),"4639285194987549698")</f>
        <v>4639285194987549698</v>
      </c>
    </row>
    <row r="231">
      <c r="A231" s="4" t="str">
        <f>IFERROR(__xludf.DUMMYFUNCTION("""COMPUTED_VALUE"""),"1516 - Channel")</f>
        <v>1516 - Channel</v>
      </c>
      <c r="B231" s="4" t="str">
        <f>IFERROR(__xludf.DUMMYFUNCTION("""COMPUTED_VALUE"""),"Channel 1")</f>
        <v>Channel 1</v>
      </c>
      <c r="C231" s="4" t="str">
        <f>IFERROR(__xludf.DUMMYFUNCTION("""COMPUTED_VALUE"""),"Day 2 - 24/06")</f>
        <v>Day 2 - 24/06</v>
      </c>
      <c r="D231" s="4" t="str">
        <f>IFERROR(__xludf.DUMMYFUNCTION("""COMPUTED_VALUE"""),"")</f>
        <v/>
      </c>
      <c r="E231" s="4" t="str">
        <f>IFERROR(__xludf.DUMMYFUNCTION("""COMPUTED_VALUE"""),"")</f>
        <v/>
      </c>
      <c r="F231" s="4" t="str">
        <f>IFERROR(__xludf.DUMMYFUNCTION("""COMPUTED_VALUE"""),"")</f>
        <v/>
      </c>
      <c r="G231" s="4" t="str">
        <f>IFERROR(__xludf.DUMMYFUNCTION("""COMPUTED_VALUE"""),"")</f>
        <v/>
      </c>
      <c r="H231" s="4" t="str">
        <f>IFERROR(__xludf.DUMMYFUNCTION("""COMPUTED_VALUE"""),"")</f>
        <v/>
      </c>
      <c r="I231" s="4" t="str">
        <f>IFERROR(__xludf.DUMMYFUNCTION("""COMPUTED_VALUE"""),"")</f>
        <v/>
      </c>
      <c r="J231" s="4" t="str">
        <f>IFERROR(__xludf.DUMMYFUNCTION("""COMPUTED_VALUE"""),"")</f>
        <v/>
      </c>
      <c r="K231" s="4" t="str">
        <f>IFERROR(__xludf.DUMMYFUNCTION("""COMPUTED_VALUE"""),"")</f>
        <v/>
      </c>
      <c r="L231" s="4" t="str">
        <f>IFERROR(__xludf.DUMMYFUNCTION("""COMPUTED_VALUE"""),"")</f>
        <v/>
      </c>
      <c r="M231" s="4" t="str">
        <f>IFERROR(__xludf.DUMMYFUNCTION("""COMPUTED_VALUE"""),"")</f>
        <v/>
      </c>
      <c r="N231" s="4" t="str">
        <f>IFERROR(__xludf.DUMMYFUNCTION("""COMPUTED_VALUE"""),"")</f>
        <v/>
      </c>
      <c r="O231" s="4" t="str">
        <f>IFERROR(__xludf.DUMMYFUNCTION("""COMPUTED_VALUE"""),"")</f>
        <v/>
      </c>
      <c r="P231" s="4" t="str">
        <f>IFERROR(__xludf.DUMMYFUNCTION("""COMPUTED_VALUE"""),"")</f>
        <v/>
      </c>
      <c r="Q231" s="4" t="str">
        <f>IFERROR(__xludf.DUMMYFUNCTION("""COMPUTED_VALUE"""),"")</f>
        <v/>
      </c>
      <c r="R231" s="4" t="str">
        <f>IFERROR(__xludf.DUMMYFUNCTION("""COMPUTED_VALUE"""),"")</f>
        <v/>
      </c>
      <c r="S231" s="4" t="str">
        <f>IFERROR(__xludf.DUMMYFUNCTION("""COMPUTED_VALUE"""),"")</f>
        <v/>
      </c>
      <c r="T231" s="4" t="str">
        <f>IFERROR(__xludf.DUMMYFUNCTION("""COMPUTED_VALUE"""),"")</f>
        <v/>
      </c>
      <c r="U231" s="4" t="str">
        <f>IFERROR(__xludf.DUMMYFUNCTION("""COMPUTED_VALUE"""),"")</f>
        <v/>
      </c>
      <c r="V231" s="4" t="str">
        <f>IFERROR(__xludf.DUMMYFUNCTION("""COMPUTED_VALUE"""),"")</f>
        <v/>
      </c>
      <c r="W231" s="4" t="str">
        <f>IFERROR(__xludf.DUMMYFUNCTION("""COMPUTED_VALUE"""),"")</f>
        <v/>
      </c>
      <c r="X231" s="4" t="str">
        <f>IFERROR(__xludf.DUMMYFUNCTION("""COMPUTED_VALUE"""),"")</f>
        <v/>
      </c>
      <c r="Y231" s="4" t="str">
        <f>IFERROR(__xludf.DUMMYFUNCTION("""COMPUTED_VALUE"""),"")</f>
        <v/>
      </c>
    </row>
    <row r="232">
      <c r="A232" s="4" t="str">
        <f>IFERROR(__xludf.DUMMYFUNCTION("""COMPUTED_VALUE"""),"1401 - Channel")</f>
        <v>1401 - Channel</v>
      </c>
      <c r="B232" s="4" t="str">
        <f>IFERROR(__xludf.DUMMYFUNCTION("""COMPUTED_VALUE"""),"Channel 1")</f>
        <v>Channel 1</v>
      </c>
      <c r="C232" s="4" t="str">
        <f>IFERROR(__xludf.DUMMYFUNCTION("""COMPUTED_VALUE"""),"Day 2 - 24/06")</f>
        <v>Day 2 - 24/06</v>
      </c>
      <c r="D232" s="6">
        <f>IFERROR(__xludf.DUMMYFUNCTION("""COMPUTED_VALUE"""),0.6346874999999997)</f>
        <v>0.6346875</v>
      </c>
      <c r="E232" s="6">
        <f>IFERROR(__xludf.DUMMYFUNCTION("""COMPUTED_VALUE"""),6.944444444444445E-4)</f>
        <v>0.0006944444444</v>
      </c>
      <c r="F232" s="6">
        <f>IFERROR(__xludf.DUMMYFUNCTION("""COMPUTED_VALUE"""),0.6353819444444442)</f>
        <v>0.6353819444</v>
      </c>
      <c r="G232" s="4" t="str">
        <f>IFERROR(__xludf.DUMMYFUNCTION("""COMPUTED_VALUE"""),"")</f>
        <v/>
      </c>
      <c r="H232" s="4" t="str">
        <f>IFERROR(__xludf.DUMMYFUNCTION("""COMPUTED_VALUE"""),"")</f>
        <v/>
      </c>
      <c r="I232" s="4" t="str">
        <f>IFERROR(__xludf.DUMMYFUNCTION("""COMPUTED_VALUE"""),"")</f>
        <v/>
      </c>
      <c r="J232" s="4" t="str">
        <f>IFERROR(__xludf.DUMMYFUNCTION("""COMPUTED_VALUE"""),"")</f>
        <v/>
      </c>
      <c r="K232" s="4" t="str">
        <f>IFERROR(__xludf.DUMMYFUNCTION("""COMPUTED_VALUE"""),"Laundry List/Lookaround")</f>
        <v>Laundry List/Lookaround</v>
      </c>
      <c r="L232" s="4" t="str">
        <f>IFERROR(__xludf.DUMMYFUNCTION("""COMPUTED_VALUE"""),"")</f>
        <v/>
      </c>
      <c r="M232" s="4" t="str">
        <f>IFERROR(__xludf.DUMMYFUNCTION("""COMPUTED_VALUE"""),"Laundry Day2_3PM")</f>
        <v>Laundry Day2_3PM</v>
      </c>
      <c r="N232" s="4" t="str">
        <f>IFERROR(__xludf.DUMMYFUNCTION("""COMPUTED_VALUE"""),"Casey Lau, Web Summit")</f>
        <v>Casey Lau, Web Summit</v>
      </c>
      <c r="O232" s="4" t="str">
        <f>IFERROR(__xludf.DUMMYFUNCTION("""COMPUTED_VALUE"""),"")</f>
        <v/>
      </c>
      <c r="P232" s="4" t="str">
        <f>IFERROR(__xludf.DUMMYFUNCTION("""COMPUTED_VALUE"""),"")</f>
        <v/>
      </c>
      <c r="Q232" s="4" t="str">
        <f>IFERROR(__xludf.DUMMYFUNCTION("""COMPUTED_VALUE"""),"")</f>
        <v/>
      </c>
      <c r="R232" s="4" t="str">
        <f>IFERROR(__xludf.DUMMYFUNCTION("""COMPUTED_VALUE"""),"")</f>
        <v/>
      </c>
      <c r="S232" s="4" t="str">
        <f>IFERROR(__xludf.DUMMYFUNCTION("""COMPUTED_VALUE"""),"")</f>
        <v/>
      </c>
      <c r="T232" s="4" t="str">
        <f>IFERROR(__xludf.DUMMYFUNCTION("""COMPUTED_VALUE"""),"")</f>
        <v/>
      </c>
      <c r="U232" s="4" t="str">
        <f>IFERROR(__xludf.DUMMYFUNCTION("""COMPUTED_VALUE"""),"")</f>
        <v/>
      </c>
      <c r="V232" s="4" t="str">
        <f>IFERROR(__xludf.DUMMYFUNCTION("""COMPUTED_VALUE"""),"")</f>
        <v/>
      </c>
      <c r="W232" s="4" t="str">
        <f>IFERROR(__xludf.DUMMYFUNCTION("""COMPUTED_VALUE"""),"")</f>
        <v/>
      </c>
      <c r="X232" s="4" t="str">
        <f>IFERROR(__xludf.DUMMYFUNCTION("""COMPUTED_VALUE"""),"")</f>
        <v/>
      </c>
      <c r="Y232" s="4" t="str">
        <f>IFERROR(__xludf.DUMMYFUNCTION("""COMPUTED_VALUE"""),"")</f>
        <v/>
      </c>
    </row>
    <row r="233">
      <c r="A233" s="4" t="str">
        <f>IFERROR(__xludf.DUMMYFUNCTION("""COMPUTED_VALUE"""),"89 - Channel")</f>
        <v>89 - Channel</v>
      </c>
      <c r="B233" s="6" t="str">
        <f>IFERROR(__xludf.DUMMYFUNCTION("""COMPUTED_VALUE"""),"Channel 1")</f>
        <v>Channel 1</v>
      </c>
      <c r="C233" s="4" t="str">
        <f>IFERROR(__xludf.DUMMYFUNCTION("""COMPUTED_VALUE"""),"Day 2 - 24/06")</f>
        <v>Day 2 - 24/06</v>
      </c>
      <c r="D233" s="6">
        <f>IFERROR(__xludf.DUMMYFUNCTION("""COMPUTED_VALUE"""),0.6353819444444442)</f>
        <v>0.6353819444</v>
      </c>
      <c r="E233" s="6">
        <f>IFERROR(__xludf.DUMMYFUNCTION("""COMPUTED_VALUE"""),2.314814814814815E-4)</f>
        <v>0.0002314814815</v>
      </c>
      <c r="F233" s="6">
        <f>IFERROR(__xludf.DUMMYFUNCTION("""COMPUTED_VALUE"""),0.6356134259259256)</f>
        <v>0.6356134259</v>
      </c>
      <c r="G233" s="4" t="str">
        <f>IFERROR(__xludf.DUMMYFUNCTION("""COMPUTED_VALUE"""),"")</f>
        <v/>
      </c>
      <c r="H233" s="4" t="str">
        <f>IFERROR(__xludf.DUMMYFUNCTION("""COMPUTED_VALUE"""),"")</f>
        <v/>
      </c>
      <c r="I233" s="4" t="str">
        <f>IFERROR(__xludf.DUMMYFUNCTION("""COMPUTED_VALUE"""),"")</f>
        <v/>
      </c>
      <c r="J233" s="4" t="str">
        <f>IFERROR(__xludf.DUMMYFUNCTION("""COMPUTED_VALUE"""),"")</f>
        <v/>
      </c>
      <c r="K233" s="4" t="str">
        <f>IFERROR(__xludf.DUMMYFUNCTION("""COMPUTED_VALUE"""),"Talk Intro")</f>
        <v>Talk Intro</v>
      </c>
      <c r="L233" s="4" t="str">
        <f>IFERROR(__xludf.DUMMYFUNCTION("""COMPUTED_VALUE"""),"")</f>
        <v/>
      </c>
      <c r="M233" s="4" t="str">
        <f>IFERROR(__xludf.DUMMYFUNCTION("""COMPUTED_VALUE"""),"Talk Intro")</f>
        <v>Talk Intro</v>
      </c>
      <c r="N233" s="4" t="str">
        <f>IFERROR(__xludf.DUMMYFUNCTION("""COMPUTED_VALUE"""),"Casey Lau, Web Summit")</f>
        <v>Casey Lau, Web Summit</v>
      </c>
      <c r="O233" s="4" t="str">
        <f>IFERROR(__xludf.DUMMYFUNCTION("""COMPUTED_VALUE"""),"")</f>
        <v/>
      </c>
      <c r="P233" s="4" t="str">
        <f>IFERROR(__xludf.DUMMYFUNCTION("""COMPUTED_VALUE"""),"")</f>
        <v/>
      </c>
      <c r="Q233" s="4" t="str">
        <f>IFERROR(__xludf.DUMMYFUNCTION("""COMPUTED_VALUE"""),"")</f>
        <v/>
      </c>
      <c r="R233" s="4" t="str">
        <f>IFERROR(__xludf.DUMMYFUNCTION("""COMPUTED_VALUE"""),"")</f>
        <v/>
      </c>
      <c r="S233" s="4" t="str">
        <f>IFERROR(__xludf.DUMMYFUNCTION("""COMPUTED_VALUE"""),"")</f>
        <v/>
      </c>
      <c r="T233" s="4" t="str">
        <f>IFERROR(__xludf.DUMMYFUNCTION("""COMPUTED_VALUE"""),"")</f>
        <v/>
      </c>
      <c r="U233" s="4" t="str">
        <f>IFERROR(__xludf.DUMMYFUNCTION("""COMPUTED_VALUE"""),"")</f>
        <v/>
      </c>
      <c r="V233" s="4" t="str">
        <f>IFERROR(__xludf.DUMMYFUNCTION("""COMPUTED_VALUE"""),"")</f>
        <v/>
      </c>
      <c r="W233" s="4" t="str">
        <f>IFERROR(__xludf.DUMMYFUNCTION("""COMPUTED_VALUE"""),"")</f>
        <v/>
      </c>
      <c r="X233" s="4" t="str">
        <f>IFERROR(__xludf.DUMMYFUNCTION("""COMPUTED_VALUE"""),"")</f>
        <v/>
      </c>
      <c r="Y233" s="4" t="str">
        <f>IFERROR(__xludf.DUMMYFUNCTION("""COMPUTED_VALUE"""),"")</f>
        <v/>
      </c>
    </row>
    <row r="234">
      <c r="A234" s="4" t="str">
        <f>IFERROR(__xludf.DUMMYFUNCTION("""COMPUTED_VALUE"""),"1276 - Channel")</f>
        <v>1276 - Channel</v>
      </c>
      <c r="B234" s="6" t="str">
        <f>IFERROR(__xludf.DUMMYFUNCTION("""COMPUTED_VALUE"""),"Channel 1")</f>
        <v>Channel 1</v>
      </c>
      <c r="C234" s="4" t="str">
        <f>IFERROR(__xludf.DUMMYFUNCTION("""COMPUTED_VALUE"""),"Day 2 - 24/06")</f>
        <v>Day 2 - 24/06</v>
      </c>
      <c r="D234" s="6">
        <f>IFERROR(__xludf.DUMMYFUNCTION("""COMPUTED_VALUE"""),0.6356134259259256)</f>
        <v>0.6356134259</v>
      </c>
      <c r="E234" s="6">
        <f>IFERROR(__xludf.DUMMYFUNCTION("""COMPUTED_VALUE"""),0.010416666666666666)</f>
        <v>0.01041666667</v>
      </c>
      <c r="F234" s="6">
        <f>IFERROR(__xludf.DUMMYFUNCTION("""COMPUTED_VALUE"""),0.6460300925925923)</f>
        <v>0.6460300926</v>
      </c>
      <c r="G234" s="4" t="str">
        <f>IFERROR(__xludf.DUMMYFUNCTION("""COMPUTED_VALUE"""),"Colm")</f>
        <v>Colm</v>
      </c>
      <c r="H234" s="4" t="str">
        <f>IFERROR(__xludf.DUMMYFUNCTION("""COMPUTED_VALUE"""),"Lisa")</f>
        <v>Lisa</v>
      </c>
      <c r="I234" s="4" t="str">
        <f>IFERROR(__xludf.DUMMYFUNCTION("""COMPUTED_VALUE"""),"Lucia H.")</f>
        <v>Lucia H.</v>
      </c>
      <c r="J234" s="4" t="str">
        <f>IFERROR(__xludf.DUMMYFUNCTION("""COMPUTED_VALUE"""),"Media")</f>
        <v>Media</v>
      </c>
      <c r="K234" s="4" t="str">
        <f>IFERROR(__xludf.DUMMYFUNCTION("""COMPUTED_VALUE"""),"Super Fireside")</f>
        <v>Super Fireside</v>
      </c>
      <c r="L234" s="4" t="str">
        <f>IFERROR(__xludf.DUMMYFUNCTION("""COMPUTED_VALUE"""),"T- 3 - 01/06/2020")</f>
        <v>T- 3 - 01/06/2020</v>
      </c>
      <c r="M234" s="4" t="str">
        <f>IFERROR(__xludf.DUMMYFUNCTION("""COMPUTED_VALUE"""),"Telling your story in challenging times ")</f>
        <v>Telling your story in challenging times </v>
      </c>
      <c r="N234" s="4" t="str">
        <f>IFERROR(__xludf.DUMMYFUNCTION("""COMPUTED_VALUE"""),"Rosemarie Ryan, co:collective")</f>
        <v>Rosemarie Ryan, co:collective</v>
      </c>
      <c r="O234" s="4" t="str">
        <f>IFERROR(__xludf.DUMMYFUNCTION("""COMPUTED_VALUE"""),"")</f>
        <v/>
      </c>
      <c r="P234" s="4" t="str">
        <f>IFERROR(__xludf.DUMMYFUNCTION("""COMPUTED_VALUE"""),"")</f>
        <v/>
      </c>
      <c r="Q234" s="4" t="str">
        <f>IFERROR(__xludf.DUMMYFUNCTION("""COMPUTED_VALUE"""),"")</f>
        <v/>
      </c>
      <c r="R234" s="4" t="str">
        <f>IFERROR(__xludf.DUMMYFUNCTION("""COMPUTED_VALUE"""),"Cynthia Johnson, Entrepreneur Magazine/Bell and Ivy")</f>
        <v>Cynthia Johnson, Entrepreneur Magazine/Bell and Ivy</v>
      </c>
      <c r="S234" s="4" t="str">
        <f>IFERROR(__xludf.DUMMYFUNCTION("""COMPUTED_VALUE"""),"How can you shape your company narrative at a time when the world and your business are facing challenges? Two experts share first-hand stories from the storytelling frontlines.")</f>
        <v>How can you shape your company narrative at a time when the world and your business are facing challenges? Two experts share first-hand stories from the storytelling frontlines.</v>
      </c>
      <c r="T234" s="4" t="str">
        <f>IFERROR(__xludf.DUMMYFUNCTION("""COMPUTED_VALUE"""),"Recording MISSED/NEEDS TO BE RERECORDED/RESCHEDULED")</f>
        <v>Recording MISSED/NEEDS TO BE RERECORDED/RESCHEDULED</v>
      </c>
      <c r="U234" s="23">
        <f>IFERROR(__xludf.DUMMYFUNCTION("""COMPUTED_VALUE"""),43987.0)</f>
        <v>43987</v>
      </c>
      <c r="V234" s="24">
        <f>IFERROR(__xludf.DUMMYFUNCTION("""COMPUTED_VALUE"""),0.7291666666666666)</f>
        <v>0.7291666667</v>
      </c>
      <c r="W234" s="21" t="str">
        <f>IFERROR(__xludf.DUMMYFUNCTION("""COMPUTED_VALUE"""),"https://us02web.zoom.us/j/82010914206?pwd=UFFtckQ3YVpDdUZWMHNod1czOGExZz09")</f>
        <v>https://us02web.zoom.us/j/82010914206?pwd=UFFtckQ3YVpDdUZWMHNod1czOGExZz09</v>
      </c>
      <c r="X234" s="4" t="str">
        <f>IFERROR(__xludf.DUMMYFUNCTION("""COMPUTED_VALUE"""),"Colm")</f>
        <v>Colm</v>
      </c>
      <c r="Y234" s="4" t="str">
        <f>IFERROR(__xludf.DUMMYFUNCTION("""COMPUTED_VALUE"""),"")</f>
        <v/>
      </c>
    </row>
    <row r="235">
      <c r="A235" s="4" t="str">
        <f>IFERROR(__xludf.DUMMYFUNCTION("""COMPUTED_VALUE"""),"1402 - Channel")</f>
        <v>1402 - Channel</v>
      </c>
      <c r="B235" s="4" t="str">
        <f>IFERROR(__xludf.DUMMYFUNCTION("""COMPUTED_VALUE"""),"Channel 1")</f>
        <v>Channel 1</v>
      </c>
      <c r="C235" s="4" t="str">
        <f>IFERROR(__xludf.DUMMYFUNCTION("""COMPUTED_VALUE"""),"Day 2 - 24/06")</f>
        <v>Day 2 - 24/06</v>
      </c>
      <c r="D235" s="6">
        <f>IFERROR(__xludf.DUMMYFUNCTION("""COMPUTED_VALUE"""),0.6460300925925923)</f>
        <v>0.6460300926</v>
      </c>
      <c r="E235" s="6">
        <f>IFERROR(__xludf.DUMMYFUNCTION("""COMPUTED_VALUE"""),3.4722222222222224E-4)</f>
        <v>0.0003472222222</v>
      </c>
      <c r="F235" s="6">
        <f>IFERROR(__xludf.DUMMYFUNCTION("""COMPUTED_VALUE"""),0.6463773148148145)</f>
        <v>0.6463773148</v>
      </c>
      <c r="G235" s="4" t="str">
        <f>IFERROR(__xludf.DUMMYFUNCTION("""COMPUTED_VALUE"""),"")</f>
        <v/>
      </c>
      <c r="H235" s="4" t="str">
        <f>IFERROR(__xludf.DUMMYFUNCTION("""COMPUTED_VALUE"""),"")</f>
        <v/>
      </c>
      <c r="I235" s="4" t="str">
        <f>IFERROR(__xludf.DUMMYFUNCTION("""COMPUTED_VALUE"""),"")</f>
        <v/>
      </c>
      <c r="J235" s="4" t="str">
        <f>IFERROR(__xludf.DUMMYFUNCTION("""COMPUTED_VALUE"""),"")</f>
        <v/>
      </c>
      <c r="K235" s="4" t="str">
        <f>IFERROR(__xludf.DUMMYFUNCTION("""COMPUTED_VALUE"""),"Web Summit Trailer - full")</f>
        <v>Web Summit Trailer - full</v>
      </c>
      <c r="L235" s="4" t="str">
        <f>IFERROR(__xludf.DUMMYFUNCTION("""COMPUTED_VALUE"""),"")</f>
        <v/>
      </c>
      <c r="M235" s="4" t="str">
        <f>IFERROR(__xludf.DUMMYFUNCTION("""COMPUTED_VALUE"""),"Web Summit promo")</f>
        <v>Web Summit promo</v>
      </c>
      <c r="N235" s="4" t="str">
        <f>IFERROR(__xludf.DUMMYFUNCTION("""COMPUTED_VALUE"""),"Content pending")</f>
        <v>Content pending</v>
      </c>
      <c r="O235" s="4" t="str">
        <f>IFERROR(__xludf.DUMMYFUNCTION("""COMPUTED_VALUE"""),"")</f>
        <v/>
      </c>
      <c r="P235" s="4" t="str">
        <f>IFERROR(__xludf.DUMMYFUNCTION("""COMPUTED_VALUE"""),"")</f>
        <v/>
      </c>
      <c r="Q235" s="4" t="str">
        <f>IFERROR(__xludf.DUMMYFUNCTION("""COMPUTED_VALUE"""),"")</f>
        <v/>
      </c>
      <c r="R235" s="4" t="str">
        <f>IFERROR(__xludf.DUMMYFUNCTION("""COMPUTED_VALUE"""),"")</f>
        <v/>
      </c>
      <c r="S235" s="4" t="str">
        <f>IFERROR(__xludf.DUMMYFUNCTION("""COMPUTED_VALUE"""),"")</f>
        <v/>
      </c>
      <c r="T235" s="4" t="str">
        <f>IFERROR(__xludf.DUMMYFUNCTION("""COMPUTED_VALUE"""),"")</f>
        <v/>
      </c>
      <c r="U235" s="4" t="str">
        <f>IFERROR(__xludf.DUMMYFUNCTION("""COMPUTED_VALUE"""),"")</f>
        <v/>
      </c>
      <c r="V235" s="4" t="str">
        <f>IFERROR(__xludf.DUMMYFUNCTION("""COMPUTED_VALUE"""),"")</f>
        <v/>
      </c>
      <c r="W235" s="4" t="str">
        <f>IFERROR(__xludf.DUMMYFUNCTION("""COMPUTED_VALUE"""),"")</f>
        <v/>
      </c>
      <c r="X235" s="4" t="str">
        <f>IFERROR(__xludf.DUMMYFUNCTION("""COMPUTED_VALUE"""),"")</f>
        <v/>
      </c>
      <c r="Y235" s="4" t="str">
        <f>IFERROR(__xludf.DUMMYFUNCTION("""COMPUTED_VALUE"""),"")</f>
        <v/>
      </c>
    </row>
    <row r="236">
      <c r="A236" s="4" t="str">
        <f>IFERROR(__xludf.DUMMYFUNCTION("""COMPUTED_VALUE"""),"229 - Channel")</f>
        <v>229 - Channel</v>
      </c>
      <c r="B236" s="4" t="str">
        <f>IFERROR(__xludf.DUMMYFUNCTION("""COMPUTED_VALUE"""),"Channel 1")</f>
        <v>Channel 1</v>
      </c>
      <c r="C236" s="4" t="str">
        <f>IFERROR(__xludf.DUMMYFUNCTION("""COMPUTED_VALUE"""),"Day 2 - 24/06")</f>
        <v>Day 2 - 24/06</v>
      </c>
      <c r="D236" s="6">
        <f>IFERROR(__xludf.DUMMYFUNCTION("""COMPUTED_VALUE"""),0.6463773148148145)</f>
        <v>0.6463773148</v>
      </c>
      <c r="E236" s="6">
        <f>IFERROR(__xludf.DUMMYFUNCTION("""COMPUTED_VALUE"""),2.314814814814815E-4)</f>
        <v>0.0002314814815</v>
      </c>
      <c r="F236" s="6">
        <f>IFERROR(__xludf.DUMMYFUNCTION("""COMPUTED_VALUE"""),0.646608796296296)</f>
        <v>0.6466087963</v>
      </c>
      <c r="G236" s="4" t="str">
        <f>IFERROR(__xludf.DUMMYFUNCTION("""COMPUTED_VALUE"""),"")</f>
        <v/>
      </c>
      <c r="H236" s="4" t="str">
        <f>IFERROR(__xludf.DUMMYFUNCTION("""COMPUTED_VALUE"""),"")</f>
        <v/>
      </c>
      <c r="I236" s="4" t="str">
        <f>IFERROR(__xludf.DUMMYFUNCTION("""COMPUTED_VALUE"""),"N/A")</f>
        <v>N/A</v>
      </c>
      <c r="J236" s="4" t="str">
        <f>IFERROR(__xludf.DUMMYFUNCTION("""COMPUTED_VALUE"""),"N/A")</f>
        <v>N/A</v>
      </c>
      <c r="K236" s="4" t="str">
        <f>IFERROR(__xludf.DUMMYFUNCTION("""COMPUTED_VALUE"""),"Talk Intro")</f>
        <v>Talk Intro</v>
      </c>
      <c r="L236" s="4" t="str">
        <f>IFERROR(__xludf.DUMMYFUNCTION("""COMPUTED_VALUE"""),"")</f>
        <v/>
      </c>
      <c r="M236" s="4" t="str">
        <f>IFERROR(__xludf.DUMMYFUNCTION("""COMPUTED_VALUE"""),"Teaser: Shay Mitchell_Intro")</f>
        <v>Teaser: Shay Mitchell_Intro</v>
      </c>
      <c r="N236" s="4" t="str">
        <f>IFERROR(__xludf.DUMMYFUNCTION("""COMPUTED_VALUE"""),"Casey Lau, Web Summit")</f>
        <v>Casey Lau, Web Summit</v>
      </c>
      <c r="O236" s="4" t="str">
        <f>IFERROR(__xludf.DUMMYFUNCTION("""COMPUTED_VALUE"""),"")</f>
        <v/>
      </c>
      <c r="P236" s="4" t="str">
        <f>IFERROR(__xludf.DUMMYFUNCTION("""COMPUTED_VALUE"""),"")</f>
        <v/>
      </c>
      <c r="Q236" s="4" t="str">
        <f>IFERROR(__xludf.DUMMYFUNCTION("""COMPUTED_VALUE"""),"")</f>
        <v/>
      </c>
      <c r="R236" s="4" t="str">
        <f>IFERROR(__xludf.DUMMYFUNCTION("""COMPUTED_VALUE"""),"")</f>
        <v/>
      </c>
      <c r="S236" s="4" t="str">
        <f>IFERROR(__xludf.DUMMYFUNCTION("""COMPUTED_VALUE"""),"")</f>
        <v/>
      </c>
      <c r="T236" s="4" t="str">
        <f>IFERROR(__xludf.DUMMYFUNCTION("""COMPUTED_VALUE"""),"")</f>
        <v/>
      </c>
      <c r="U236" s="4" t="str">
        <f>IFERROR(__xludf.DUMMYFUNCTION("""COMPUTED_VALUE"""),"")</f>
        <v/>
      </c>
      <c r="V236" s="4" t="str">
        <f>IFERROR(__xludf.DUMMYFUNCTION("""COMPUTED_VALUE"""),"")</f>
        <v/>
      </c>
      <c r="W236" s="4" t="str">
        <f>IFERROR(__xludf.DUMMYFUNCTION("""COMPUTED_VALUE"""),"")</f>
        <v/>
      </c>
      <c r="X236" s="4" t="str">
        <f>IFERROR(__xludf.DUMMYFUNCTION("""COMPUTED_VALUE"""),"")</f>
        <v/>
      </c>
      <c r="Y236" s="4" t="str">
        <f>IFERROR(__xludf.DUMMYFUNCTION("""COMPUTED_VALUE"""),"")</f>
        <v/>
      </c>
    </row>
    <row r="237">
      <c r="A237" s="4" t="str">
        <f>IFERROR(__xludf.DUMMYFUNCTION("""COMPUTED_VALUE"""),"230 - Channel")</f>
        <v>230 - Channel</v>
      </c>
      <c r="B237" s="4" t="str">
        <f>IFERROR(__xludf.DUMMYFUNCTION("""COMPUTED_VALUE"""),"Channel 1")</f>
        <v>Channel 1</v>
      </c>
      <c r="C237" s="4" t="str">
        <f>IFERROR(__xludf.DUMMYFUNCTION("""COMPUTED_VALUE"""),"Day 2 - 24/06")</f>
        <v>Day 2 - 24/06</v>
      </c>
      <c r="D237" s="6">
        <f>IFERROR(__xludf.DUMMYFUNCTION("""COMPUTED_VALUE"""),0.646608796296296)</f>
        <v>0.6466087963</v>
      </c>
      <c r="E237" s="6">
        <f>IFERROR(__xludf.DUMMYFUNCTION("""COMPUTED_VALUE"""),0.0020833333333333333)</f>
        <v>0.002083333333</v>
      </c>
      <c r="F237" s="6">
        <f>IFERROR(__xludf.DUMMYFUNCTION("""COMPUTED_VALUE"""),0.6486921296296293)</f>
        <v>0.6486921296</v>
      </c>
      <c r="G237" s="4" t="str">
        <f>IFERROR(__xludf.DUMMYFUNCTION("""COMPUTED_VALUE"""),"Dan")</f>
        <v>Dan</v>
      </c>
      <c r="H237" s="4" t="str">
        <f>IFERROR(__xludf.DUMMYFUNCTION("""COMPUTED_VALUE"""),"Stephen")</f>
        <v>Stephen</v>
      </c>
      <c r="I237" s="4" t="str">
        <f>IFERROR(__xludf.DUMMYFUNCTION("""COMPUTED_VALUE"""),"Naomi")</f>
        <v>Naomi</v>
      </c>
      <c r="J237" s="4" t="str">
        <f>IFERROR(__xludf.DUMMYFUNCTION("""COMPUTED_VALUE"""),"")</f>
        <v/>
      </c>
      <c r="K237" s="4" t="str">
        <f>IFERROR(__xludf.DUMMYFUNCTION("""COMPUTED_VALUE"""),"Teaser")</f>
        <v>Teaser</v>
      </c>
      <c r="L237" s="4" t="str">
        <f>IFERROR(__xludf.DUMMYFUNCTION("""COMPUTED_VALUE"""),"")</f>
        <v/>
      </c>
      <c r="M237" s="4" t="str">
        <f>IFERROR(__xludf.DUMMYFUNCTION("""COMPUTED_VALUE"""),"Teaser: Shay Mitchell")</f>
        <v>Teaser: Shay Mitchell</v>
      </c>
      <c r="N237" s="4" t="str">
        <f>IFERROR(__xludf.DUMMYFUNCTION("""COMPUTED_VALUE"""),"")</f>
        <v/>
      </c>
      <c r="O237" s="4" t="str">
        <f>IFERROR(__xludf.DUMMYFUNCTION("""COMPUTED_VALUE"""),"")</f>
        <v/>
      </c>
      <c r="P237" s="4" t="str">
        <f>IFERROR(__xludf.DUMMYFUNCTION("""COMPUTED_VALUE"""),"")</f>
        <v/>
      </c>
      <c r="Q237" s="4" t="str">
        <f>IFERROR(__xludf.DUMMYFUNCTION("""COMPUTED_VALUE"""),"")</f>
        <v/>
      </c>
      <c r="R237" s="4" t="str">
        <f>IFERROR(__xludf.DUMMYFUNCTION("""COMPUTED_VALUE"""),"")</f>
        <v/>
      </c>
      <c r="S237" s="4" t="str">
        <f>IFERROR(__xludf.DUMMYFUNCTION("""COMPUTED_VALUE"""),"")</f>
        <v/>
      </c>
      <c r="T237" s="4" t="str">
        <f>IFERROR(__xludf.DUMMYFUNCTION("""COMPUTED_VALUE"""),"N/A")</f>
        <v>N/A</v>
      </c>
      <c r="U237" s="4" t="str">
        <f>IFERROR(__xludf.DUMMYFUNCTION("""COMPUTED_VALUE"""),"")</f>
        <v/>
      </c>
      <c r="V237" s="4" t="str">
        <f>IFERROR(__xludf.DUMMYFUNCTION("""COMPUTED_VALUE"""),"")</f>
        <v/>
      </c>
      <c r="W237" s="4" t="str">
        <f>IFERROR(__xludf.DUMMYFUNCTION("""COMPUTED_VALUE"""),"")</f>
        <v/>
      </c>
      <c r="X237" s="4" t="str">
        <f>IFERROR(__xludf.DUMMYFUNCTION("""COMPUTED_VALUE"""),"")</f>
        <v/>
      </c>
      <c r="Y237" s="4" t="str">
        <f>IFERROR(__xludf.DUMMYFUNCTION("""COMPUTED_VALUE"""),"")</f>
        <v/>
      </c>
    </row>
    <row r="238">
      <c r="A238" s="4" t="str">
        <f>IFERROR(__xludf.DUMMYFUNCTION("""COMPUTED_VALUE"""),"2255 - Channel")</f>
        <v>2255 - Channel</v>
      </c>
      <c r="B238" s="4" t="str">
        <f>IFERROR(__xludf.DUMMYFUNCTION("""COMPUTED_VALUE"""),"Channel 1")</f>
        <v>Channel 1</v>
      </c>
      <c r="C238" s="4" t="str">
        <f>IFERROR(__xludf.DUMMYFUNCTION("""COMPUTED_VALUE"""),"Day 2 - 24/06")</f>
        <v>Day 2 - 24/06</v>
      </c>
      <c r="D238" s="6">
        <f>IFERROR(__xludf.DUMMYFUNCTION("""COMPUTED_VALUE"""),0.6486921296296293)</f>
        <v>0.6486921296</v>
      </c>
      <c r="E238" s="6">
        <f>IFERROR(__xludf.DUMMYFUNCTION("""COMPUTED_VALUE"""),2.314814814814815E-4)</f>
        <v>0.0002314814815</v>
      </c>
      <c r="F238" s="6">
        <f>IFERROR(__xludf.DUMMYFUNCTION("""COMPUTED_VALUE"""),0.6489236111111107)</f>
        <v>0.6489236111</v>
      </c>
      <c r="G238" s="4" t="str">
        <f>IFERROR(__xludf.DUMMYFUNCTION("""COMPUTED_VALUE"""),"")</f>
        <v/>
      </c>
      <c r="H238" s="4" t="str">
        <f>IFERROR(__xludf.DUMMYFUNCTION("""COMPUTED_VALUE"""),"")</f>
        <v/>
      </c>
      <c r="I238" s="4" t="str">
        <f>IFERROR(__xludf.DUMMYFUNCTION("""COMPUTED_VALUE"""),"")</f>
        <v/>
      </c>
      <c r="J238" s="4" t="str">
        <f>IFERROR(__xludf.DUMMYFUNCTION("""COMPUTED_VALUE"""),"")</f>
        <v/>
      </c>
      <c r="K238" s="4" t="str">
        <f>IFERROR(__xludf.DUMMYFUNCTION("""COMPUTED_VALUE"""),"Talk Outro")</f>
        <v>Talk Outro</v>
      </c>
      <c r="L238" s="4" t="str">
        <f>IFERROR(__xludf.DUMMYFUNCTION("""COMPUTED_VALUE"""),"")</f>
        <v/>
      </c>
      <c r="M238" s="4" t="str">
        <f>IFERROR(__xludf.DUMMYFUNCTION("""COMPUTED_VALUE"""),"Call to action")</f>
        <v>Call to action</v>
      </c>
      <c r="N238" s="4" t="str">
        <f>IFERROR(__xludf.DUMMYFUNCTION("""COMPUTED_VALUE"""),"Casey Lau, Web Summit")</f>
        <v>Casey Lau, Web Summit</v>
      </c>
      <c r="O238" s="4" t="str">
        <f>IFERROR(__xludf.DUMMYFUNCTION("""COMPUTED_VALUE"""),"")</f>
        <v/>
      </c>
      <c r="P238" s="4" t="str">
        <f>IFERROR(__xludf.DUMMYFUNCTION("""COMPUTED_VALUE"""),"")</f>
        <v/>
      </c>
      <c r="Q238" s="4" t="str">
        <f>IFERROR(__xludf.DUMMYFUNCTION("""COMPUTED_VALUE"""),"")</f>
        <v/>
      </c>
      <c r="R238" s="4" t="str">
        <f>IFERROR(__xludf.DUMMYFUNCTION("""COMPUTED_VALUE"""),"")</f>
        <v/>
      </c>
      <c r="S238" s="4" t="str">
        <f>IFERROR(__xludf.DUMMYFUNCTION("""COMPUTED_VALUE"""),"")</f>
        <v/>
      </c>
      <c r="T238" s="4" t="str">
        <f>IFERROR(__xludf.DUMMYFUNCTION("""COMPUTED_VALUE"""),"")</f>
        <v/>
      </c>
      <c r="U238" s="4" t="str">
        <f>IFERROR(__xludf.DUMMYFUNCTION("""COMPUTED_VALUE"""),"")</f>
        <v/>
      </c>
      <c r="V238" s="4" t="str">
        <f>IFERROR(__xludf.DUMMYFUNCTION("""COMPUTED_VALUE"""),"")</f>
        <v/>
      </c>
      <c r="W238" s="4" t="str">
        <f>IFERROR(__xludf.DUMMYFUNCTION("""COMPUTED_VALUE"""),"")</f>
        <v/>
      </c>
      <c r="X238" s="4" t="str">
        <f>IFERROR(__xludf.DUMMYFUNCTION("""COMPUTED_VALUE"""),"")</f>
        <v/>
      </c>
      <c r="Y238" s="4" t="str">
        <f>IFERROR(__xludf.DUMMYFUNCTION("""COMPUTED_VALUE"""),"")</f>
        <v/>
      </c>
    </row>
    <row r="239">
      <c r="A239" s="4" t="str">
        <f>IFERROR(__xludf.DUMMYFUNCTION("""COMPUTED_VALUE"""),"225 - Channel")</f>
        <v>225 - Channel</v>
      </c>
      <c r="B239" s="4" t="str">
        <f>IFERROR(__xludf.DUMMYFUNCTION("""COMPUTED_VALUE"""),"Channel 1")</f>
        <v>Channel 1</v>
      </c>
      <c r="C239" s="4" t="str">
        <f>IFERROR(__xludf.DUMMYFUNCTION("""COMPUTED_VALUE"""),"Day 2 - 24/06")</f>
        <v>Day 2 - 24/06</v>
      </c>
      <c r="D239" s="6">
        <f>IFERROR(__xludf.DUMMYFUNCTION("""COMPUTED_VALUE"""),0.6489236111111107)</f>
        <v>0.6489236111</v>
      </c>
      <c r="E239" s="6">
        <f>IFERROR(__xludf.DUMMYFUNCTION("""COMPUTED_VALUE"""),2.314814814814815E-4)</f>
        <v>0.0002314814815</v>
      </c>
      <c r="F239" s="6">
        <f>IFERROR(__xludf.DUMMYFUNCTION("""COMPUTED_VALUE"""),0.6491550925925922)</f>
        <v>0.6491550926</v>
      </c>
      <c r="G239" s="4" t="str">
        <f>IFERROR(__xludf.DUMMYFUNCTION("""COMPUTED_VALUE"""),"")</f>
        <v/>
      </c>
      <c r="H239" s="4" t="str">
        <f>IFERROR(__xludf.DUMMYFUNCTION("""COMPUTED_VALUE"""),"")</f>
        <v/>
      </c>
      <c r="I239" s="4" t="str">
        <f>IFERROR(__xludf.DUMMYFUNCTION("""COMPUTED_VALUE"""),"N/A")</f>
        <v>N/A</v>
      </c>
      <c r="J239" s="4" t="str">
        <f>IFERROR(__xludf.DUMMYFUNCTION("""COMPUTED_VALUE"""),"N/A")</f>
        <v>N/A</v>
      </c>
      <c r="K239" s="4" t="str">
        <f>IFERROR(__xludf.DUMMYFUNCTION("""COMPUTED_VALUE"""),"Talk Intro")</f>
        <v>Talk Intro</v>
      </c>
      <c r="L239" s="4" t="str">
        <f>IFERROR(__xludf.DUMMYFUNCTION("""COMPUTED_VALUE"""),"")</f>
        <v/>
      </c>
      <c r="M239" s="4" t="str">
        <f>IFERROR(__xludf.DUMMYFUNCTION("""COMPUTED_VALUE"""),"Talk intro ")</f>
        <v>Talk intro </v>
      </c>
      <c r="N239" s="4" t="str">
        <f>IFERROR(__xludf.DUMMYFUNCTION("""COMPUTED_VALUE"""),"Casey Lau, Web Summit")</f>
        <v>Casey Lau, Web Summit</v>
      </c>
      <c r="O239" s="4" t="str">
        <f>IFERROR(__xludf.DUMMYFUNCTION("""COMPUTED_VALUE"""),"")</f>
        <v/>
      </c>
      <c r="P239" s="4" t="str">
        <f>IFERROR(__xludf.DUMMYFUNCTION("""COMPUTED_VALUE"""),"")</f>
        <v/>
      </c>
      <c r="Q239" s="4" t="str">
        <f>IFERROR(__xludf.DUMMYFUNCTION("""COMPUTED_VALUE"""),"")</f>
        <v/>
      </c>
      <c r="R239" s="4" t="str">
        <f>IFERROR(__xludf.DUMMYFUNCTION("""COMPUTED_VALUE"""),"")</f>
        <v/>
      </c>
      <c r="S239" s="4" t="str">
        <f>IFERROR(__xludf.DUMMYFUNCTION("""COMPUTED_VALUE"""),"")</f>
        <v/>
      </c>
      <c r="T239" s="4" t="str">
        <f>IFERROR(__xludf.DUMMYFUNCTION("""COMPUTED_VALUE"""),"")</f>
        <v/>
      </c>
      <c r="U239" s="4" t="str">
        <f>IFERROR(__xludf.DUMMYFUNCTION("""COMPUTED_VALUE"""),"")</f>
        <v/>
      </c>
      <c r="V239" s="4" t="str">
        <f>IFERROR(__xludf.DUMMYFUNCTION("""COMPUTED_VALUE"""),"")</f>
        <v/>
      </c>
      <c r="W239" s="4" t="str">
        <f>IFERROR(__xludf.DUMMYFUNCTION("""COMPUTED_VALUE"""),"")</f>
        <v/>
      </c>
      <c r="X239" s="4" t="str">
        <f>IFERROR(__xludf.DUMMYFUNCTION("""COMPUTED_VALUE"""),"")</f>
        <v/>
      </c>
      <c r="Y239" s="4" t="str">
        <f>IFERROR(__xludf.DUMMYFUNCTION("""COMPUTED_VALUE"""),"")</f>
        <v/>
      </c>
    </row>
    <row r="240">
      <c r="A240" s="4" t="str">
        <f>IFERROR(__xludf.DUMMYFUNCTION("""COMPUTED_VALUE"""),"226 - Channel")</f>
        <v>226 - Channel</v>
      </c>
      <c r="B240" s="4" t="str">
        <f>IFERROR(__xludf.DUMMYFUNCTION("""COMPUTED_VALUE"""),"Channel 1")</f>
        <v>Channel 1</v>
      </c>
      <c r="C240" s="4" t="str">
        <f>IFERROR(__xludf.DUMMYFUNCTION("""COMPUTED_VALUE"""),"Day 2 - 24/06")</f>
        <v>Day 2 - 24/06</v>
      </c>
      <c r="D240" s="6">
        <f>IFERROR(__xludf.DUMMYFUNCTION("""COMPUTED_VALUE"""),0.6491550925925922)</f>
        <v>0.6491550926</v>
      </c>
      <c r="E240" s="6">
        <f>IFERROR(__xludf.DUMMYFUNCTION("""COMPUTED_VALUE"""),0.005555555555555556)</f>
        <v>0.005555555556</v>
      </c>
      <c r="F240" s="6">
        <f>IFERROR(__xludf.DUMMYFUNCTION("""COMPUTED_VALUE"""),0.6547106481481477)</f>
        <v>0.6547106481</v>
      </c>
      <c r="G240" s="4" t="str">
        <f>IFERROR(__xludf.DUMMYFUNCTION("""COMPUTED_VALUE"""),"Helen")</f>
        <v>Helen</v>
      </c>
      <c r="H240" s="4" t="str">
        <f>IFERROR(__xludf.DUMMYFUNCTION("""COMPUTED_VALUE"""),"")</f>
        <v/>
      </c>
      <c r="I240" s="4" t="str">
        <f>IFERROR(__xludf.DUMMYFUNCTION("""COMPUTED_VALUE"""),"Lucia H.")</f>
        <v>Lucia H.</v>
      </c>
      <c r="J240" s="4" t="str">
        <f>IFERROR(__xludf.DUMMYFUNCTION("""COMPUTED_VALUE"""),"")</f>
        <v/>
      </c>
      <c r="K240" s="4" t="str">
        <f>IFERROR(__xludf.DUMMYFUNCTION("""COMPUTED_VALUE"""),"Fireside")</f>
        <v>Fireside</v>
      </c>
      <c r="L240" s="4" t="str">
        <f>IFERROR(__xludf.DUMMYFUNCTION("""COMPUTED_VALUE"""),"T- 3 - 01/06/2020")</f>
        <v>T- 3 - 01/06/2020</v>
      </c>
      <c r="M240" s="4" t="str">
        <f>IFERROR(__xludf.DUMMYFUNCTION("""COMPUTED_VALUE"""),"High fashion in recession")</f>
        <v>High fashion in recession</v>
      </c>
      <c r="N240" s="4" t="str">
        <f>IFERROR(__xludf.DUMMYFUNCTION("""COMPUTED_VALUE"""),"Imran Amed, Business of Fashion")</f>
        <v>Imran Amed, Business of Fashion</v>
      </c>
      <c r="O240" s="4" t="str">
        <f>IFERROR(__xludf.DUMMYFUNCTION("""COMPUTED_VALUE"""),"")</f>
        <v/>
      </c>
      <c r="P240" s="4" t="str">
        <f>IFERROR(__xludf.DUMMYFUNCTION("""COMPUTED_VALUE"""),"")</f>
        <v/>
      </c>
      <c r="Q240" s="4" t="str">
        <f>IFERROR(__xludf.DUMMYFUNCTION("""COMPUTED_VALUE"""),"")</f>
        <v/>
      </c>
      <c r="R240" s="4" t="str">
        <f>IFERROR(__xludf.DUMMYFUNCTION("""COMPUTED_VALUE"""),"Yvonne Redmond, Web Summit")</f>
        <v>Yvonne Redmond, Web Summit</v>
      </c>
      <c r="S240" s="4" t="str">
        <f>IFERROR(__xludf.DUMMYFUNCTION("""COMPUTED_VALUE"""),"How hard has high fashion been hit? The CEO of fashion's leading authority on digital business lays out the road ahead for luxury retail.")</f>
        <v>How hard has high fashion been hit? The CEO of fashion's leading authority on digital business lays out the road ahead for luxury retail.</v>
      </c>
      <c r="T240" s="4" t="str">
        <f>IFERROR(__xludf.DUMMYFUNCTION("""COMPUTED_VALUE"""),"NON-KEYNOTE 7 - Video to be recorded")</f>
        <v>NON-KEYNOTE 7 - Video to be recorded</v>
      </c>
      <c r="U240" s="23">
        <f>IFERROR(__xludf.DUMMYFUNCTION("""COMPUTED_VALUE"""),43983.0)</f>
        <v>43983</v>
      </c>
      <c r="V240" s="24">
        <f>IFERROR(__xludf.DUMMYFUNCTION("""COMPUTED_VALUE"""),0.7083333333333334)</f>
        <v>0.7083333333</v>
      </c>
      <c r="W240" s="21" t="str">
        <f>IFERROR(__xludf.DUMMYFUNCTION("""COMPUTED_VALUE"""),"https://zoom.us/j/96932497097?pwd=eHVuenB0Njl0Qi9meGJ5SXZQNHBEUT09")</f>
        <v>https://zoom.us/j/96932497097?pwd=eHVuenB0Njl0Qi9meGJ5SXZQNHBEUT09</v>
      </c>
      <c r="X240" s="4" t="str">
        <f>IFERROR(__xludf.DUMMYFUNCTION("""COMPUTED_VALUE"""),"Helen")</f>
        <v>Helen</v>
      </c>
      <c r="Y240" s="4" t="str">
        <f>IFERROR(__xludf.DUMMYFUNCTION("""COMPUTED_VALUE"""),"")</f>
        <v/>
      </c>
    </row>
    <row r="241">
      <c r="A241" s="4" t="str">
        <f>IFERROR(__xludf.DUMMYFUNCTION("""COMPUTED_VALUE"""),"136 - Channel")</f>
        <v>136 - Channel</v>
      </c>
      <c r="B241" s="4" t="str">
        <f>IFERROR(__xludf.DUMMYFUNCTION("""COMPUTED_VALUE"""),"Channel 1")</f>
        <v>Channel 1</v>
      </c>
      <c r="C241" s="4" t="str">
        <f>IFERROR(__xludf.DUMMYFUNCTION("""COMPUTED_VALUE"""),"Day 2 - 24/06")</f>
        <v>Day 2 - 24/06</v>
      </c>
      <c r="D241" s="6">
        <f>IFERROR(__xludf.DUMMYFUNCTION("""COMPUTED_VALUE"""),0.6547106481481477)</f>
        <v>0.6547106481</v>
      </c>
      <c r="E241" s="6">
        <f>IFERROR(__xludf.DUMMYFUNCTION("""COMPUTED_VALUE"""),2.314814814814815E-4)</f>
        <v>0.0002314814815</v>
      </c>
      <c r="F241" s="6">
        <f>IFERROR(__xludf.DUMMYFUNCTION("""COMPUTED_VALUE"""),0.6549421296296292)</f>
        <v>0.6549421296</v>
      </c>
      <c r="G241" s="4" t="str">
        <f>IFERROR(__xludf.DUMMYFUNCTION("""COMPUTED_VALUE"""),"")</f>
        <v/>
      </c>
      <c r="H241" s="4" t="str">
        <f>IFERROR(__xludf.DUMMYFUNCTION("""COMPUTED_VALUE"""),"")</f>
        <v/>
      </c>
      <c r="I241" s="4" t="str">
        <f>IFERROR(__xludf.DUMMYFUNCTION("""COMPUTED_VALUE"""),"")</f>
        <v/>
      </c>
      <c r="J241" s="4" t="str">
        <f>IFERROR(__xludf.DUMMYFUNCTION("""COMPUTED_VALUE"""),"")</f>
        <v/>
      </c>
      <c r="K241" s="4" t="str">
        <f>IFERROR(__xludf.DUMMYFUNCTION("""COMPUTED_VALUE"""),"Talk Intro")</f>
        <v>Talk Intro</v>
      </c>
      <c r="L241" s="4" t="str">
        <f>IFERROR(__xludf.DUMMYFUNCTION("""COMPUTED_VALUE"""),"")</f>
        <v/>
      </c>
      <c r="M241" s="4" t="str">
        <f>IFERROR(__xludf.DUMMYFUNCTION("""COMPUTED_VALUE"""),"Talk intro ")</f>
        <v>Talk intro </v>
      </c>
      <c r="N241" s="4" t="str">
        <f>IFERROR(__xludf.DUMMYFUNCTION("""COMPUTED_VALUE"""),"Paddy Cosgrave, Web Summit")</f>
        <v>Paddy Cosgrave, Web Summit</v>
      </c>
      <c r="O241" s="4" t="str">
        <f>IFERROR(__xludf.DUMMYFUNCTION("""COMPUTED_VALUE"""),"Casey Lau, Web Summit")</f>
        <v>Casey Lau, Web Summit</v>
      </c>
      <c r="P241" s="4" t="str">
        <f>IFERROR(__xludf.DUMMYFUNCTION("""COMPUTED_VALUE"""),"")</f>
        <v/>
      </c>
      <c r="Q241" s="4" t="str">
        <f>IFERROR(__xludf.DUMMYFUNCTION("""COMPUTED_VALUE"""),"")</f>
        <v/>
      </c>
      <c r="R241" s="4" t="str">
        <f>IFERROR(__xludf.DUMMYFUNCTION("""COMPUTED_VALUE"""),"")</f>
        <v/>
      </c>
      <c r="S241" s="4" t="str">
        <f>IFERROR(__xludf.DUMMYFUNCTION("""COMPUTED_VALUE"""),"")</f>
        <v/>
      </c>
      <c r="T241" s="4" t="str">
        <f>IFERROR(__xludf.DUMMYFUNCTION("""COMPUTED_VALUE"""),"")</f>
        <v/>
      </c>
      <c r="U241" s="4" t="str">
        <f>IFERROR(__xludf.DUMMYFUNCTION("""COMPUTED_VALUE"""),"")</f>
        <v/>
      </c>
      <c r="V241" s="4" t="str">
        <f>IFERROR(__xludf.DUMMYFUNCTION("""COMPUTED_VALUE"""),"")</f>
        <v/>
      </c>
      <c r="W241" s="4" t="str">
        <f>IFERROR(__xludf.DUMMYFUNCTION("""COMPUTED_VALUE"""),"")</f>
        <v/>
      </c>
      <c r="X241" s="4" t="str">
        <f>IFERROR(__xludf.DUMMYFUNCTION("""COMPUTED_VALUE"""),"")</f>
        <v/>
      </c>
      <c r="Y241" s="4" t="str">
        <f>IFERROR(__xludf.DUMMYFUNCTION("""COMPUTED_VALUE"""),"")</f>
        <v/>
      </c>
    </row>
    <row r="242">
      <c r="A242" s="4" t="str">
        <f>IFERROR(__xludf.DUMMYFUNCTION("""COMPUTED_VALUE"""),"8 - Channel")</f>
        <v>8 - Channel</v>
      </c>
      <c r="B242" s="4" t="str">
        <f>IFERROR(__xludf.DUMMYFUNCTION("""COMPUTED_VALUE"""),"Channel 1")</f>
        <v>Channel 1</v>
      </c>
      <c r="C242" s="4" t="str">
        <f>IFERROR(__xludf.DUMMYFUNCTION("""COMPUTED_VALUE"""),"Day 2 - 24/06")</f>
        <v>Day 2 - 24/06</v>
      </c>
      <c r="D242" s="6">
        <f>IFERROR(__xludf.DUMMYFUNCTION("""COMPUTED_VALUE"""),0.6549421296296292)</f>
        <v>0.6549421296</v>
      </c>
      <c r="E242" s="6">
        <f>IFERROR(__xludf.DUMMYFUNCTION("""COMPUTED_VALUE"""),0.00951388888888889)</f>
        <v>0.009513888889</v>
      </c>
      <c r="F242" s="6">
        <f>IFERROR(__xludf.DUMMYFUNCTION("""COMPUTED_VALUE"""),0.6644560185185181)</f>
        <v>0.6644560185</v>
      </c>
      <c r="G242" s="4" t="str">
        <f>IFERROR(__xludf.DUMMYFUNCTION("""COMPUTED_VALUE"""),"Dan")</f>
        <v>Dan</v>
      </c>
      <c r="H242" s="4" t="str">
        <f>IFERROR(__xludf.DUMMYFUNCTION("""COMPUTED_VALUE"""),"Stephen")</f>
        <v>Stephen</v>
      </c>
      <c r="I242" s="4" t="str">
        <f>IFERROR(__xludf.DUMMYFUNCTION("""COMPUTED_VALUE"""),"Jack")</f>
        <v>Jack</v>
      </c>
      <c r="J242" s="4" t="str">
        <f>IFERROR(__xludf.DUMMYFUNCTION("""COMPUTED_VALUE"""),"Leadership")</f>
        <v>Leadership</v>
      </c>
      <c r="K242" s="4" t="str">
        <f>IFERROR(__xludf.DUMMYFUNCTION("""COMPUTED_VALUE"""),"Fireside")</f>
        <v>Fireside</v>
      </c>
      <c r="L242" s="4" t="str">
        <f>IFERROR(__xludf.DUMMYFUNCTION("""COMPUTED_VALUE"""),"T- 6 - 11/05/2020")</f>
        <v>T- 6 - 11/05/2020</v>
      </c>
      <c r="M242" s="4" t="str">
        <f>IFERROR(__xludf.DUMMYFUNCTION("""COMPUTED_VALUE"""),"The importance of mindfulness in light of Covid-19")</f>
        <v>The importance of mindfulness in light of Covid-19</v>
      </c>
      <c r="N242" s="4" t="str">
        <f>IFERROR(__xludf.DUMMYFUNCTION("""COMPUTED_VALUE"""),"Rich Pierson, Headspace")</f>
        <v>Rich Pierson, Headspace</v>
      </c>
      <c r="O242" s="4" t="str">
        <f>IFERROR(__xludf.DUMMYFUNCTION("""COMPUTED_VALUE"""),"")</f>
        <v/>
      </c>
      <c r="P242" s="4" t="str">
        <f>IFERROR(__xludf.DUMMYFUNCTION("""COMPUTED_VALUE"""),"")</f>
        <v/>
      </c>
      <c r="Q242" s="4" t="str">
        <f>IFERROR(__xludf.DUMMYFUNCTION("""COMPUTED_VALUE"""),"")</f>
        <v/>
      </c>
      <c r="R242" s="4" t="str">
        <f>IFERROR(__xludf.DUMMYFUNCTION("""COMPUTED_VALUE"""),"Laurie Segall, Dot Dot Dot Media")</f>
        <v>Laurie Segall, Dot Dot Dot Media</v>
      </c>
      <c r="S242" s="4" t="str">
        <f>IFERROR(__xludf.DUMMYFUNCTION("""COMPUTED_VALUE"""),"Co-founder and CEO of Headspace, Rich Pierson, will discuss the importance of mindfulness and taking care of our mental health in light of the global health crisis.
")</f>
        <v>Co-founder and CEO of Headspace, Rich Pierson, will discuss the importance of mindfulness and taking care of our mental health in light of the global health crisis.
</v>
      </c>
      <c r="T242" s="4" t="str">
        <f>IFERROR(__xludf.DUMMYFUNCTION("""COMPUTED_VALUE"""),"NON-KEYNOTE 9 - COMPLETE")</f>
        <v>NON-KEYNOTE 9 - COMPLETE</v>
      </c>
      <c r="U242" s="23">
        <f>IFERROR(__xludf.DUMMYFUNCTION("""COMPUTED_VALUE"""),43964.0)</f>
        <v>43964</v>
      </c>
      <c r="V242" s="24">
        <f>IFERROR(__xludf.DUMMYFUNCTION("""COMPUTED_VALUE"""),0.7083333333333334)</f>
        <v>0.7083333333</v>
      </c>
      <c r="W242" s="4" t="str">
        <f>IFERROR(__xludf.DUMMYFUNCTION("""COMPUTED_VALUE"""),"COMPLETE")</f>
        <v>COMPLETE</v>
      </c>
      <c r="X242" s="4" t="str">
        <f>IFERROR(__xludf.DUMMYFUNCTION("""COMPUTED_VALUE"""),"Dan")</f>
        <v>Dan</v>
      </c>
      <c r="Y242" s="4" t="str">
        <f>IFERROR(__xludf.DUMMYFUNCTION("""COMPUTED_VALUE"""),"")</f>
        <v/>
      </c>
    </row>
    <row r="243">
      <c r="A243" s="4" t="str">
        <f>IFERROR(__xludf.DUMMYFUNCTION("""COMPUTED_VALUE"""),"1410 - Channel")</f>
        <v>1410 - Channel</v>
      </c>
      <c r="B243" s="6" t="str">
        <f>IFERROR(__xludf.DUMMYFUNCTION("""COMPUTED_VALUE"""),"Channel 1")</f>
        <v>Channel 1</v>
      </c>
      <c r="C243" s="4" t="str">
        <f>IFERROR(__xludf.DUMMYFUNCTION("""COMPUTED_VALUE"""),"Day 2 - 24/06")</f>
        <v>Day 2 - 24/06</v>
      </c>
      <c r="D243" s="6">
        <f>IFERROR(__xludf.DUMMYFUNCTION("""COMPUTED_VALUE"""),0.6644560185185181)</f>
        <v>0.6644560185</v>
      </c>
      <c r="E243" s="6">
        <f>IFERROR(__xludf.DUMMYFUNCTION("""COMPUTED_VALUE"""),2.314814814814815E-4)</f>
        <v>0.0002314814815</v>
      </c>
      <c r="F243" s="6">
        <f>IFERROR(__xludf.DUMMYFUNCTION("""COMPUTED_VALUE"""),0.6646874999999995)</f>
        <v>0.6646875</v>
      </c>
      <c r="G243" s="4" t="str">
        <f>IFERROR(__xludf.DUMMYFUNCTION("""COMPUTED_VALUE"""),"")</f>
        <v/>
      </c>
      <c r="H243" s="4" t="str">
        <f>IFERROR(__xludf.DUMMYFUNCTION("""COMPUTED_VALUE"""),"")</f>
        <v/>
      </c>
      <c r="I243" s="4" t="str">
        <f>IFERROR(__xludf.DUMMYFUNCTION("""COMPUTED_VALUE"""),"")</f>
        <v/>
      </c>
      <c r="J243" s="4" t="str">
        <f>IFERROR(__xludf.DUMMYFUNCTION("""COMPUTED_VALUE"""),"")</f>
        <v/>
      </c>
      <c r="K243" s="4" t="str">
        <f>IFERROR(__xludf.DUMMYFUNCTION("""COMPUTED_VALUE"""),"Talk Intro")</f>
        <v>Talk Intro</v>
      </c>
      <c r="L243" s="4" t="str">
        <f>IFERROR(__xludf.DUMMYFUNCTION("""COMPUTED_VALUE"""),"")</f>
        <v/>
      </c>
      <c r="M243" s="4" t="str">
        <f>IFERROR(__xludf.DUMMYFUNCTION("""COMPUTED_VALUE"""),"Teaser: Alexa_Intro")</f>
        <v>Teaser: Alexa_Intro</v>
      </c>
      <c r="N243" s="4" t="str">
        <f>IFERROR(__xludf.DUMMYFUNCTION("""COMPUTED_VALUE"""),"Casey Lau, Web Summit")</f>
        <v>Casey Lau, Web Summit</v>
      </c>
      <c r="O243" s="4" t="str">
        <f>IFERROR(__xludf.DUMMYFUNCTION("""COMPUTED_VALUE"""),"")</f>
        <v/>
      </c>
      <c r="P243" s="4" t="str">
        <f>IFERROR(__xludf.DUMMYFUNCTION("""COMPUTED_VALUE"""),"")</f>
        <v/>
      </c>
      <c r="Q243" s="4" t="str">
        <f>IFERROR(__xludf.DUMMYFUNCTION("""COMPUTED_VALUE"""),"")</f>
        <v/>
      </c>
      <c r="R243" s="4" t="str">
        <f>IFERROR(__xludf.DUMMYFUNCTION("""COMPUTED_VALUE"""),"")</f>
        <v/>
      </c>
      <c r="S243" s="4" t="str">
        <f>IFERROR(__xludf.DUMMYFUNCTION("""COMPUTED_VALUE"""),"")</f>
        <v/>
      </c>
      <c r="T243" s="4" t="str">
        <f>IFERROR(__xludf.DUMMYFUNCTION("""COMPUTED_VALUE"""),"")</f>
        <v/>
      </c>
      <c r="U243" s="4" t="str">
        <f>IFERROR(__xludf.DUMMYFUNCTION("""COMPUTED_VALUE"""),"")</f>
        <v/>
      </c>
      <c r="V243" s="4" t="str">
        <f>IFERROR(__xludf.DUMMYFUNCTION("""COMPUTED_VALUE"""),"")</f>
        <v/>
      </c>
      <c r="W243" s="4" t="str">
        <f>IFERROR(__xludf.DUMMYFUNCTION("""COMPUTED_VALUE"""),"")</f>
        <v/>
      </c>
      <c r="X243" s="4" t="str">
        <f>IFERROR(__xludf.DUMMYFUNCTION("""COMPUTED_VALUE"""),"")</f>
        <v/>
      </c>
      <c r="Y243" s="4" t="str">
        <f>IFERROR(__xludf.DUMMYFUNCTION("""COMPUTED_VALUE"""),"")</f>
        <v/>
      </c>
    </row>
    <row r="244">
      <c r="A244" s="4" t="str">
        <f>IFERROR(__xludf.DUMMYFUNCTION("""COMPUTED_VALUE"""),"294 - Channel")</f>
        <v>294 - Channel</v>
      </c>
      <c r="B244" s="6" t="str">
        <f>IFERROR(__xludf.DUMMYFUNCTION("""COMPUTED_VALUE"""),"Channel 1")</f>
        <v>Channel 1</v>
      </c>
      <c r="C244" s="4" t="str">
        <f>IFERROR(__xludf.DUMMYFUNCTION("""COMPUTED_VALUE"""),"Day 2 - 24/06")</f>
        <v>Day 2 - 24/06</v>
      </c>
      <c r="D244" s="6">
        <f>IFERROR(__xludf.DUMMYFUNCTION("""COMPUTED_VALUE"""),0.6646874999999995)</f>
        <v>0.6646875</v>
      </c>
      <c r="E244" s="6">
        <f>IFERROR(__xludf.DUMMYFUNCTION("""COMPUTED_VALUE"""),0.0020833333333333333)</f>
        <v>0.002083333333</v>
      </c>
      <c r="F244" s="6">
        <f>IFERROR(__xludf.DUMMYFUNCTION("""COMPUTED_VALUE"""),0.6667708333333329)</f>
        <v>0.6667708333</v>
      </c>
      <c r="G244" s="4" t="str">
        <f>IFERROR(__xludf.DUMMYFUNCTION("""COMPUTED_VALUE"""),"")</f>
        <v/>
      </c>
      <c r="H244" s="4" t="str">
        <f>IFERROR(__xludf.DUMMYFUNCTION("""COMPUTED_VALUE"""),"")</f>
        <v/>
      </c>
      <c r="I244" s="4" t="str">
        <f>IFERROR(__xludf.DUMMYFUNCTION("""COMPUTED_VALUE"""),"")</f>
        <v/>
      </c>
      <c r="J244" s="4" t="str">
        <f>IFERROR(__xludf.DUMMYFUNCTION("""COMPUTED_VALUE"""),"")</f>
        <v/>
      </c>
      <c r="K244" s="4" t="str">
        <f>IFERROR(__xludf.DUMMYFUNCTION("""COMPUTED_VALUE"""),"Teaser")</f>
        <v>Teaser</v>
      </c>
      <c r="L244" s="4" t="str">
        <f>IFERROR(__xludf.DUMMYFUNCTION("""COMPUTED_VALUE"""),"")</f>
        <v/>
      </c>
      <c r="M244" s="4" t="str">
        <f>IFERROR(__xludf.DUMMYFUNCTION("""COMPUTED_VALUE"""),"Teaser: Alexa")</f>
        <v>Teaser: Alexa</v>
      </c>
      <c r="N244" s="4" t="str">
        <f>IFERROR(__xludf.DUMMYFUNCTION("""COMPUTED_VALUE"""),"")</f>
        <v/>
      </c>
      <c r="O244" s="4" t="str">
        <f>IFERROR(__xludf.DUMMYFUNCTION("""COMPUTED_VALUE"""),"")</f>
        <v/>
      </c>
      <c r="P244" s="4" t="str">
        <f>IFERROR(__xludf.DUMMYFUNCTION("""COMPUTED_VALUE"""),"")</f>
        <v/>
      </c>
      <c r="Q244" s="4" t="str">
        <f>IFERROR(__xludf.DUMMYFUNCTION("""COMPUTED_VALUE"""),"")</f>
        <v/>
      </c>
      <c r="R244" s="4" t="str">
        <f>IFERROR(__xludf.DUMMYFUNCTION("""COMPUTED_VALUE"""),"")</f>
        <v/>
      </c>
      <c r="S244" s="4" t="str">
        <f>IFERROR(__xludf.DUMMYFUNCTION("""COMPUTED_VALUE"""),"")</f>
        <v/>
      </c>
      <c r="T244" s="4" t="str">
        <f>IFERROR(__xludf.DUMMYFUNCTION("""COMPUTED_VALUE"""),"")</f>
        <v/>
      </c>
      <c r="U244" s="4" t="str">
        <f>IFERROR(__xludf.DUMMYFUNCTION("""COMPUTED_VALUE"""),"")</f>
        <v/>
      </c>
      <c r="V244" s="4" t="str">
        <f>IFERROR(__xludf.DUMMYFUNCTION("""COMPUTED_VALUE"""),"")</f>
        <v/>
      </c>
      <c r="W244" s="4" t="str">
        <f>IFERROR(__xludf.DUMMYFUNCTION("""COMPUTED_VALUE"""),"")</f>
        <v/>
      </c>
      <c r="X244" s="4" t="str">
        <f>IFERROR(__xludf.DUMMYFUNCTION("""COMPUTED_VALUE"""),"")</f>
        <v/>
      </c>
      <c r="Y244" s="4" t="str">
        <f>IFERROR(__xludf.DUMMYFUNCTION("""COMPUTED_VALUE"""),"")</f>
        <v/>
      </c>
    </row>
    <row r="245">
      <c r="A245" s="4" t="str">
        <f>IFERROR(__xludf.DUMMYFUNCTION("""COMPUTED_VALUE"""),"2256 - Channel")</f>
        <v>2256 - Channel</v>
      </c>
      <c r="B245" s="6" t="str">
        <f>IFERROR(__xludf.DUMMYFUNCTION("""COMPUTED_VALUE"""),"Channel 1")</f>
        <v>Channel 1</v>
      </c>
      <c r="C245" s="4" t="str">
        <f>IFERROR(__xludf.DUMMYFUNCTION("""COMPUTED_VALUE"""),"Day 2 - 24/06")</f>
        <v>Day 2 - 24/06</v>
      </c>
      <c r="D245" s="6">
        <f>IFERROR(__xludf.DUMMYFUNCTION("""COMPUTED_VALUE"""),0.6667708333333329)</f>
        <v>0.6667708333</v>
      </c>
      <c r="E245" s="6">
        <f>IFERROR(__xludf.DUMMYFUNCTION("""COMPUTED_VALUE"""),2.314814814814815E-4)</f>
        <v>0.0002314814815</v>
      </c>
      <c r="F245" s="6">
        <f>IFERROR(__xludf.DUMMYFUNCTION("""COMPUTED_VALUE"""),0.6670023148148143)</f>
        <v>0.6670023148</v>
      </c>
      <c r="G245" s="4" t="str">
        <f>IFERROR(__xludf.DUMMYFUNCTION("""COMPUTED_VALUE"""),"")</f>
        <v/>
      </c>
      <c r="H245" s="4" t="str">
        <f>IFERROR(__xludf.DUMMYFUNCTION("""COMPUTED_VALUE"""),"")</f>
        <v/>
      </c>
      <c r="I245" s="4" t="str">
        <f>IFERROR(__xludf.DUMMYFUNCTION("""COMPUTED_VALUE"""),"")</f>
        <v/>
      </c>
      <c r="J245" s="4" t="str">
        <f>IFERROR(__xludf.DUMMYFUNCTION("""COMPUTED_VALUE"""),"")</f>
        <v/>
      </c>
      <c r="K245" s="4" t="str">
        <f>IFERROR(__xludf.DUMMYFUNCTION("""COMPUTED_VALUE"""),"Talk Outro")</f>
        <v>Talk Outro</v>
      </c>
      <c r="L245" s="4" t="str">
        <f>IFERROR(__xludf.DUMMYFUNCTION("""COMPUTED_VALUE"""),"")</f>
        <v/>
      </c>
      <c r="M245" s="4" t="str">
        <f>IFERROR(__xludf.DUMMYFUNCTION("""COMPUTED_VALUE"""),"Call to action")</f>
        <v>Call to action</v>
      </c>
      <c r="N245" s="4" t="str">
        <f>IFERROR(__xludf.DUMMYFUNCTION("""COMPUTED_VALUE"""),"Casey Lau, Web Summit")</f>
        <v>Casey Lau, Web Summit</v>
      </c>
      <c r="O245" s="4" t="str">
        <f>IFERROR(__xludf.DUMMYFUNCTION("""COMPUTED_VALUE"""),"")</f>
        <v/>
      </c>
      <c r="P245" s="4" t="str">
        <f>IFERROR(__xludf.DUMMYFUNCTION("""COMPUTED_VALUE"""),"")</f>
        <v/>
      </c>
      <c r="Q245" s="4" t="str">
        <f>IFERROR(__xludf.DUMMYFUNCTION("""COMPUTED_VALUE"""),"")</f>
        <v/>
      </c>
      <c r="R245" s="4" t="str">
        <f>IFERROR(__xludf.DUMMYFUNCTION("""COMPUTED_VALUE"""),"")</f>
        <v/>
      </c>
      <c r="S245" s="4" t="str">
        <f>IFERROR(__xludf.DUMMYFUNCTION("""COMPUTED_VALUE"""),"")</f>
        <v/>
      </c>
      <c r="T245" s="4" t="str">
        <f>IFERROR(__xludf.DUMMYFUNCTION("""COMPUTED_VALUE"""),"")</f>
        <v/>
      </c>
      <c r="U245" s="4" t="str">
        <f>IFERROR(__xludf.DUMMYFUNCTION("""COMPUTED_VALUE"""),"")</f>
        <v/>
      </c>
      <c r="V245" s="4" t="str">
        <f>IFERROR(__xludf.DUMMYFUNCTION("""COMPUTED_VALUE"""),"")</f>
        <v/>
      </c>
      <c r="W245" s="4" t="str">
        <f>IFERROR(__xludf.DUMMYFUNCTION("""COMPUTED_VALUE"""),"")</f>
        <v/>
      </c>
      <c r="X245" s="4" t="str">
        <f>IFERROR(__xludf.DUMMYFUNCTION("""COMPUTED_VALUE"""),"")</f>
        <v/>
      </c>
      <c r="Y245" s="4" t="str">
        <f>IFERROR(__xludf.DUMMYFUNCTION("""COMPUTED_VALUE"""),"")</f>
        <v/>
      </c>
    </row>
    <row r="246">
      <c r="A246" s="4" t="str">
        <f>IFERROR(__xludf.DUMMYFUNCTION("""COMPUTED_VALUE"""),"232 - Channel")</f>
        <v>232 - Channel</v>
      </c>
      <c r="B246" s="4" t="str">
        <f>IFERROR(__xludf.DUMMYFUNCTION("""COMPUTED_VALUE"""),"Channel 1")</f>
        <v>Channel 1</v>
      </c>
      <c r="C246" s="4" t="str">
        <f>IFERROR(__xludf.DUMMYFUNCTION("""COMPUTED_VALUE"""),"Day 2 - 24/06")</f>
        <v>Day 2 - 24/06</v>
      </c>
      <c r="D246" s="6">
        <f>IFERROR(__xludf.DUMMYFUNCTION("""COMPUTED_VALUE"""),0.6670023148148143)</f>
        <v>0.6670023148</v>
      </c>
      <c r="E246" s="6">
        <f>IFERROR(__xludf.DUMMYFUNCTION("""COMPUTED_VALUE"""),2.314814814814815E-4)</f>
        <v>0.0002314814815</v>
      </c>
      <c r="F246" s="6">
        <f>IFERROR(__xludf.DUMMYFUNCTION("""COMPUTED_VALUE"""),0.6672337962962958)</f>
        <v>0.6672337963</v>
      </c>
      <c r="G246" s="4" t="str">
        <f>IFERROR(__xludf.DUMMYFUNCTION("""COMPUTED_VALUE"""),"")</f>
        <v/>
      </c>
      <c r="H246" s="4" t="str">
        <f>IFERROR(__xludf.DUMMYFUNCTION("""COMPUTED_VALUE"""),"")</f>
        <v/>
      </c>
      <c r="I246" s="4" t="str">
        <f>IFERROR(__xludf.DUMMYFUNCTION("""COMPUTED_VALUE"""),"")</f>
        <v/>
      </c>
      <c r="J246" s="4" t="str">
        <f>IFERROR(__xludf.DUMMYFUNCTION("""COMPUTED_VALUE"""),"")</f>
        <v/>
      </c>
      <c r="K246" s="4" t="str">
        <f>IFERROR(__xludf.DUMMYFUNCTION("""COMPUTED_VALUE"""),"Talk Intro")</f>
        <v>Talk Intro</v>
      </c>
      <c r="L246" s="4" t="str">
        <f>IFERROR(__xludf.DUMMYFUNCTION("""COMPUTED_VALUE"""),"")</f>
        <v/>
      </c>
      <c r="M246" s="4" t="str">
        <f>IFERROR(__xludf.DUMMYFUNCTION("""COMPUTED_VALUE"""),"Talk intro ")</f>
        <v>Talk intro </v>
      </c>
      <c r="N246" s="4" t="str">
        <f>IFERROR(__xludf.DUMMYFUNCTION("""COMPUTED_VALUE"""),"Casey Lau, Web Summit")</f>
        <v>Casey Lau, Web Summit</v>
      </c>
      <c r="O246" s="4" t="str">
        <f>IFERROR(__xludf.DUMMYFUNCTION("""COMPUTED_VALUE"""),"")</f>
        <v/>
      </c>
      <c r="P246" s="4" t="str">
        <f>IFERROR(__xludf.DUMMYFUNCTION("""COMPUTED_VALUE"""),"")</f>
        <v/>
      </c>
      <c r="Q246" s="4" t="str">
        <f>IFERROR(__xludf.DUMMYFUNCTION("""COMPUTED_VALUE"""),"")</f>
        <v/>
      </c>
      <c r="R246" s="4" t="str">
        <f>IFERROR(__xludf.DUMMYFUNCTION("""COMPUTED_VALUE"""),"")</f>
        <v/>
      </c>
      <c r="S246" s="4" t="str">
        <f>IFERROR(__xludf.DUMMYFUNCTION("""COMPUTED_VALUE"""),"")</f>
        <v/>
      </c>
      <c r="T246" s="4" t="str">
        <f>IFERROR(__xludf.DUMMYFUNCTION("""COMPUTED_VALUE"""),"")</f>
        <v/>
      </c>
      <c r="U246" s="4" t="str">
        <f>IFERROR(__xludf.DUMMYFUNCTION("""COMPUTED_VALUE"""),"")</f>
        <v/>
      </c>
      <c r="V246" s="4" t="str">
        <f>IFERROR(__xludf.DUMMYFUNCTION("""COMPUTED_VALUE"""),"")</f>
        <v/>
      </c>
      <c r="W246" s="4" t="str">
        <f>IFERROR(__xludf.DUMMYFUNCTION("""COMPUTED_VALUE"""),"")</f>
        <v/>
      </c>
      <c r="X246" s="4" t="str">
        <f>IFERROR(__xludf.DUMMYFUNCTION("""COMPUTED_VALUE"""),"")</f>
        <v/>
      </c>
      <c r="Y246" s="4" t="str">
        <f>IFERROR(__xludf.DUMMYFUNCTION("""COMPUTED_VALUE"""),"")</f>
        <v/>
      </c>
    </row>
    <row r="247">
      <c r="A247" s="4" t="str">
        <f>IFERROR(__xludf.DUMMYFUNCTION("""COMPUTED_VALUE"""),"217 - Channel")</f>
        <v>217 - Channel</v>
      </c>
      <c r="B247" s="4" t="str">
        <f>IFERROR(__xludf.DUMMYFUNCTION("""COMPUTED_VALUE"""),"Channel 1")</f>
        <v>Channel 1</v>
      </c>
      <c r="C247" s="4" t="str">
        <f>IFERROR(__xludf.DUMMYFUNCTION("""COMPUTED_VALUE"""),"Day 2 - 24/06")</f>
        <v>Day 2 - 24/06</v>
      </c>
      <c r="D247" s="6">
        <f>IFERROR(__xludf.DUMMYFUNCTION("""COMPUTED_VALUE"""),0.6672337962962958)</f>
        <v>0.6672337963</v>
      </c>
      <c r="E247" s="6">
        <f>IFERROR(__xludf.DUMMYFUNCTION("""COMPUTED_VALUE"""),0.011111111111111112)</f>
        <v>0.01111111111</v>
      </c>
      <c r="F247" s="6">
        <f>IFERROR(__xludf.DUMMYFUNCTION("""COMPUTED_VALUE"""),0.6783449074074068)</f>
        <v>0.6783449074</v>
      </c>
      <c r="G247" s="4" t="str">
        <f>IFERROR(__xludf.DUMMYFUNCTION("""COMPUTED_VALUE"""),"Startups")</f>
        <v>Startups</v>
      </c>
      <c r="H247" s="4" t="str">
        <f>IFERROR(__xludf.DUMMYFUNCTION("""COMPUTED_VALUE"""),"")</f>
        <v/>
      </c>
      <c r="I247" s="4" t="str">
        <f>IFERROR(__xludf.DUMMYFUNCTION("""COMPUTED_VALUE"""),"")</f>
        <v/>
      </c>
      <c r="J247" s="4" t="str">
        <f>IFERROR(__xludf.DUMMYFUNCTION("""COMPUTED_VALUE"""),"")</f>
        <v/>
      </c>
      <c r="K247" s="4" t="str">
        <f>IFERROR(__xludf.DUMMYFUNCTION("""COMPUTED_VALUE"""),"Pitch reel")</f>
        <v>Pitch reel</v>
      </c>
      <c r="L247" s="4" t="str">
        <f>IFERROR(__xludf.DUMMYFUNCTION("""COMPUTED_VALUE"""),"")</f>
        <v/>
      </c>
      <c r="M247" s="4" t="str">
        <f>IFERROR(__xludf.DUMMYFUNCTION("""COMPUTED_VALUE"""),"PITCH semi-final round 3 of 3")</f>
        <v>PITCH semi-final round 3 of 3</v>
      </c>
      <c r="N247" s="4" t="str">
        <f>IFERROR(__xludf.DUMMYFUNCTION("""COMPUTED_VALUE"""),"Content pending")</f>
        <v>Content pending</v>
      </c>
      <c r="O247" s="4" t="str">
        <f>IFERROR(__xludf.DUMMYFUNCTION("""COMPUTED_VALUE"""),"")</f>
        <v/>
      </c>
      <c r="P247" s="4" t="str">
        <f>IFERROR(__xludf.DUMMYFUNCTION("""COMPUTED_VALUE"""),"")</f>
        <v/>
      </c>
      <c r="Q247" s="4" t="str">
        <f>IFERROR(__xludf.DUMMYFUNCTION("""COMPUTED_VALUE"""),"")</f>
        <v/>
      </c>
      <c r="R247" s="4" t="str">
        <f>IFERROR(__xludf.DUMMYFUNCTION("""COMPUTED_VALUE"""),"")</f>
        <v/>
      </c>
      <c r="S247" s="4" t="str">
        <f>IFERROR(__xludf.DUMMYFUNCTION("""COMPUTED_VALUE"""),"")</f>
        <v/>
      </c>
      <c r="T247" s="4" t="str">
        <f>IFERROR(__xludf.DUMMYFUNCTION("""COMPUTED_VALUE"""),"")</f>
        <v/>
      </c>
      <c r="U247" s="4" t="str">
        <f>IFERROR(__xludf.DUMMYFUNCTION("""COMPUTED_VALUE"""),"")</f>
        <v/>
      </c>
      <c r="V247" s="24" t="str">
        <f>IFERROR(__xludf.DUMMYFUNCTION("""COMPUTED_VALUE"""),"N/A")</f>
        <v>N/A</v>
      </c>
      <c r="W247" s="4" t="str">
        <f>IFERROR(__xludf.DUMMYFUNCTION("""COMPUTED_VALUE"""),"N/A")</f>
        <v>N/A</v>
      </c>
      <c r="X247" s="4" t="str">
        <f>IFERROR(__xludf.DUMMYFUNCTION("""COMPUTED_VALUE"""),"")</f>
        <v/>
      </c>
      <c r="Y247" s="4" t="str">
        <f>IFERROR(__xludf.DUMMYFUNCTION("""COMPUTED_VALUE"""),"")</f>
        <v/>
      </c>
    </row>
    <row r="248">
      <c r="A248" s="4" t="str">
        <f>IFERROR(__xludf.DUMMYFUNCTION("""COMPUTED_VALUE"""),"1523 - Channel")</f>
        <v>1523 - Channel</v>
      </c>
      <c r="B248" s="4" t="str">
        <f>IFERROR(__xludf.DUMMYFUNCTION("""COMPUTED_VALUE"""),"Channel 1")</f>
        <v>Channel 1</v>
      </c>
      <c r="C248" s="4" t="str">
        <f>IFERROR(__xludf.DUMMYFUNCTION("""COMPUTED_VALUE"""),"Day 2 - 24/06")</f>
        <v>Day 2 - 24/06</v>
      </c>
      <c r="D248" s="4" t="str">
        <f>IFERROR(__xludf.DUMMYFUNCTION("""COMPUTED_VALUE"""),"")</f>
        <v/>
      </c>
      <c r="E248" s="4" t="str">
        <f>IFERROR(__xludf.DUMMYFUNCTION("""COMPUTED_VALUE"""),"")</f>
        <v/>
      </c>
      <c r="F248" s="4" t="str">
        <f>IFERROR(__xludf.DUMMYFUNCTION("""COMPUTED_VALUE"""),"")</f>
        <v/>
      </c>
      <c r="G248" s="4" t="str">
        <f>IFERROR(__xludf.DUMMYFUNCTION("""COMPUTED_VALUE"""),"")</f>
        <v/>
      </c>
      <c r="H248" s="4" t="str">
        <f>IFERROR(__xludf.DUMMYFUNCTION("""COMPUTED_VALUE"""),"")</f>
        <v/>
      </c>
      <c r="I248" s="4" t="str">
        <f>IFERROR(__xludf.DUMMYFUNCTION("""COMPUTED_VALUE"""),"")</f>
        <v/>
      </c>
      <c r="J248" s="4" t="str">
        <f>IFERROR(__xludf.DUMMYFUNCTION("""COMPUTED_VALUE"""),"")</f>
        <v/>
      </c>
      <c r="K248" s="4" t="str">
        <f>IFERROR(__xludf.DUMMYFUNCTION("""COMPUTED_VALUE"""),"")</f>
        <v/>
      </c>
      <c r="L248" s="4" t="str">
        <f>IFERROR(__xludf.DUMMYFUNCTION("""COMPUTED_VALUE"""),"")</f>
        <v/>
      </c>
      <c r="M248" s="4" t="str">
        <f>IFERROR(__xludf.DUMMYFUNCTION("""COMPUTED_VALUE"""),"")</f>
        <v/>
      </c>
      <c r="N248" s="4" t="str">
        <f>IFERROR(__xludf.DUMMYFUNCTION("""COMPUTED_VALUE"""),"")</f>
        <v/>
      </c>
      <c r="O248" s="4" t="str">
        <f>IFERROR(__xludf.DUMMYFUNCTION("""COMPUTED_VALUE"""),"")</f>
        <v/>
      </c>
      <c r="P248" s="4" t="str">
        <f>IFERROR(__xludf.DUMMYFUNCTION("""COMPUTED_VALUE"""),"")</f>
        <v/>
      </c>
      <c r="Q248" s="4" t="str">
        <f>IFERROR(__xludf.DUMMYFUNCTION("""COMPUTED_VALUE"""),"")</f>
        <v/>
      </c>
      <c r="R248" s="4" t="str">
        <f>IFERROR(__xludf.DUMMYFUNCTION("""COMPUTED_VALUE"""),"")</f>
        <v/>
      </c>
      <c r="S248" s="4" t="str">
        <f>IFERROR(__xludf.DUMMYFUNCTION("""COMPUTED_VALUE"""),"")</f>
        <v/>
      </c>
      <c r="T248" s="4" t="str">
        <f>IFERROR(__xludf.DUMMYFUNCTION("""COMPUTED_VALUE"""),"")</f>
        <v/>
      </c>
      <c r="U248" s="4" t="str">
        <f>IFERROR(__xludf.DUMMYFUNCTION("""COMPUTED_VALUE"""),"")</f>
        <v/>
      </c>
      <c r="V248" s="4" t="str">
        <f>IFERROR(__xludf.DUMMYFUNCTION("""COMPUTED_VALUE"""),"")</f>
        <v/>
      </c>
      <c r="W248" s="4" t="str">
        <f>IFERROR(__xludf.DUMMYFUNCTION("""COMPUTED_VALUE"""),"")</f>
        <v/>
      </c>
      <c r="X248" s="4" t="str">
        <f>IFERROR(__xludf.DUMMYFUNCTION("""COMPUTED_VALUE"""),"")</f>
        <v/>
      </c>
      <c r="Y248" s="4" t="str">
        <f>IFERROR(__xludf.DUMMYFUNCTION("""COMPUTED_VALUE"""),"")</f>
        <v/>
      </c>
    </row>
    <row r="249">
      <c r="A249" s="4" t="str">
        <f>IFERROR(__xludf.DUMMYFUNCTION("""COMPUTED_VALUE"""),"242 - Channel")</f>
        <v>242 - Channel</v>
      </c>
      <c r="B249" s="4" t="str">
        <f>IFERROR(__xludf.DUMMYFUNCTION("""COMPUTED_VALUE"""),"Channel 1")</f>
        <v>Channel 1</v>
      </c>
      <c r="C249" s="4" t="str">
        <f>IFERROR(__xludf.DUMMYFUNCTION("""COMPUTED_VALUE"""),"Day 2 - 24/06")</f>
        <v>Day 2 - 24/06</v>
      </c>
      <c r="D249" s="6">
        <f>IFERROR(__xludf.DUMMYFUNCTION("""COMPUTED_VALUE"""),0.6783449074074068)</f>
        <v>0.6783449074</v>
      </c>
      <c r="E249" s="6">
        <f>IFERROR(__xludf.DUMMYFUNCTION("""COMPUTED_VALUE"""),6.944444444444445E-4)</f>
        <v>0.0006944444444</v>
      </c>
      <c r="F249" s="6">
        <f>IFERROR(__xludf.DUMMYFUNCTION("""COMPUTED_VALUE"""),0.6790393518518513)</f>
        <v>0.6790393519</v>
      </c>
      <c r="G249" s="4" t="str">
        <f>IFERROR(__xludf.DUMMYFUNCTION("""COMPUTED_VALUE"""),"")</f>
        <v/>
      </c>
      <c r="H249" s="4" t="str">
        <f>IFERROR(__xludf.DUMMYFUNCTION("""COMPUTED_VALUE"""),"")</f>
        <v/>
      </c>
      <c r="I249" s="4" t="str">
        <f>IFERROR(__xludf.DUMMYFUNCTION("""COMPUTED_VALUE"""),"")</f>
        <v/>
      </c>
      <c r="J249" s="4" t="str">
        <f>IFERROR(__xludf.DUMMYFUNCTION("""COMPUTED_VALUE"""),"")</f>
        <v/>
      </c>
      <c r="K249" s="4" t="str">
        <f>IFERROR(__xludf.DUMMYFUNCTION("""COMPUTED_VALUE"""),"Laundry List/Lookaround")</f>
        <v>Laundry List/Lookaround</v>
      </c>
      <c r="L249" s="4" t="str">
        <f>IFERROR(__xludf.DUMMYFUNCTION("""COMPUTED_VALUE"""),"")</f>
        <v/>
      </c>
      <c r="M249" s="4" t="str">
        <f>IFERROR(__xludf.DUMMYFUNCTION("""COMPUTED_VALUE"""),"Laundry Day2_4PM")</f>
        <v>Laundry Day2_4PM</v>
      </c>
      <c r="N249" s="4" t="str">
        <f>IFERROR(__xludf.DUMMYFUNCTION("""COMPUTED_VALUE"""),"Yvonne Redmond, Web Summit")</f>
        <v>Yvonne Redmond, Web Summit</v>
      </c>
      <c r="O249" s="4" t="str">
        <f>IFERROR(__xludf.DUMMYFUNCTION("""COMPUTED_VALUE"""),"")</f>
        <v/>
      </c>
      <c r="P249" s="4" t="str">
        <f>IFERROR(__xludf.DUMMYFUNCTION("""COMPUTED_VALUE"""),"")</f>
        <v/>
      </c>
      <c r="Q249" s="4" t="str">
        <f>IFERROR(__xludf.DUMMYFUNCTION("""COMPUTED_VALUE"""),"")</f>
        <v/>
      </c>
      <c r="R249" s="4" t="str">
        <f>IFERROR(__xludf.DUMMYFUNCTION("""COMPUTED_VALUE"""),"")</f>
        <v/>
      </c>
      <c r="S249" s="4" t="str">
        <f>IFERROR(__xludf.DUMMYFUNCTION("""COMPUTED_VALUE"""),"")</f>
        <v/>
      </c>
      <c r="T249" s="4" t="str">
        <f>IFERROR(__xludf.DUMMYFUNCTION("""COMPUTED_VALUE"""),"")</f>
        <v/>
      </c>
      <c r="U249" s="4" t="str">
        <f>IFERROR(__xludf.DUMMYFUNCTION("""COMPUTED_VALUE"""),"")</f>
        <v/>
      </c>
      <c r="V249" s="4" t="str">
        <f>IFERROR(__xludf.DUMMYFUNCTION("""COMPUTED_VALUE"""),"")</f>
        <v/>
      </c>
      <c r="W249" s="4" t="str">
        <f>IFERROR(__xludf.DUMMYFUNCTION("""COMPUTED_VALUE"""),"")</f>
        <v/>
      </c>
      <c r="X249" s="4" t="str">
        <f>IFERROR(__xludf.DUMMYFUNCTION("""COMPUTED_VALUE"""),"")</f>
        <v/>
      </c>
      <c r="Y249" s="4" t="str">
        <f>IFERROR(__xludf.DUMMYFUNCTION("""COMPUTED_VALUE"""),"")</f>
        <v/>
      </c>
    </row>
    <row r="250">
      <c r="A250" s="4" t="str">
        <f>IFERROR(__xludf.DUMMYFUNCTION("""COMPUTED_VALUE"""),"243 - Channel")</f>
        <v>243 - Channel</v>
      </c>
      <c r="B250" s="4" t="str">
        <f>IFERROR(__xludf.DUMMYFUNCTION("""COMPUTED_VALUE"""),"Channel 1")</f>
        <v>Channel 1</v>
      </c>
      <c r="C250" s="4" t="str">
        <f>IFERROR(__xludf.DUMMYFUNCTION("""COMPUTED_VALUE"""),"Day 2 - 24/06")</f>
        <v>Day 2 - 24/06</v>
      </c>
      <c r="D250" s="6">
        <f>IFERROR(__xludf.DUMMYFUNCTION("""COMPUTED_VALUE"""),0.6790393518518513)</f>
        <v>0.6790393519</v>
      </c>
      <c r="E250" s="6">
        <f>IFERROR(__xludf.DUMMYFUNCTION("""COMPUTED_VALUE"""),2.314814814814815E-4)</f>
        <v>0.0002314814815</v>
      </c>
      <c r="F250" s="6">
        <f>IFERROR(__xludf.DUMMYFUNCTION("""COMPUTED_VALUE"""),0.6792708333333327)</f>
        <v>0.6792708333</v>
      </c>
      <c r="G250" s="4" t="str">
        <f>IFERROR(__xludf.DUMMYFUNCTION("""COMPUTED_VALUE"""),"")</f>
        <v/>
      </c>
      <c r="H250" s="4" t="str">
        <f>IFERROR(__xludf.DUMMYFUNCTION("""COMPUTED_VALUE"""),"")</f>
        <v/>
      </c>
      <c r="I250" s="4" t="str">
        <f>IFERROR(__xludf.DUMMYFUNCTION("""COMPUTED_VALUE"""),"")</f>
        <v/>
      </c>
      <c r="J250" s="4" t="str">
        <f>IFERROR(__xludf.DUMMYFUNCTION("""COMPUTED_VALUE"""),"")</f>
        <v/>
      </c>
      <c r="K250" s="4" t="str">
        <f>IFERROR(__xludf.DUMMYFUNCTION("""COMPUTED_VALUE"""),"Talk Intro")</f>
        <v>Talk Intro</v>
      </c>
      <c r="L250" s="4" t="str">
        <f>IFERROR(__xludf.DUMMYFUNCTION("""COMPUTED_VALUE"""),"")</f>
        <v/>
      </c>
      <c r="M250" s="4" t="str">
        <f>IFERROR(__xludf.DUMMYFUNCTION("""COMPUTED_VALUE"""),"Talk Intro")</f>
        <v>Talk Intro</v>
      </c>
      <c r="N250" s="4" t="str">
        <f>IFERROR(__xludf.DUMMYFUNCTION("""COMPUTED_VALUE"""),"Paddy Cosgrave, Web Summit")</f>
        <v>Paddy Cosgrave, Web Summit</v>
      </c>
      <c r="O250" s="4" t="str">
        <f>IFERROR(__xludf.DUMMYFUNCTION("""COMPUTED_VALUE"""),"Yvonne Redmond, Web Summit")</f>
        <v>Yvonne Redmond, Web Summit</v>
      </c>
      <c r="P250" s="4" t="str">
        <f>IFERROR(__xludf.DUMMYFUNCTION("""COMPUTED_VALUE"""),"")</f>
        <v/>
      </c>
      <c r="Q250" s="4" t="str">
        <f>IFERROR(__xludf.DUMMYFUNCTION("""COMPUTED_VALUE"""),"")</f>
        <v/>
      </c>
      <c r="R250" s="4" t="str">
        <f>IFERROR(__xludf.DUMMYFUNCTION("""COMPUTED_VALUE"""),"")</f>
        <v/>
      </c>
      <c r="S250" s="4" t="str">
        <f>IFERROR(__xludf.DUMMYFUNCTION("""COMPUTED_VALUE"""),"")</f>
        <v/>
      </c>
      <c r="T250" s="4" t="str">
        <f>IFERROR(__xludf.DUMMYFUNCTION("""COMPUTED_VALUE"""),"")</f>
        <v/>
      </c>
      <c r="U250" s="4" t="str">
        <f>IFERROR(__xludf.DUMMYFUNCTION("""COMPUTED_VALUE"""),"")</f>
        <v/>
      </c>
      <c r="V250" s="4" t="str">
        <f>IFERROR(__xludf.DUMMYFUNCTION("""COMPUTED_VALUE"""),"")</f>
        <v/>
      </c>
      <c r="W250" s="4" t="str">
        <f>IFERROR(__xludf.DUMMYFUNCTION("""COMPUTED_VALUE"""),"")</f>
        <v/>
      </c>
      <c r="X250" s="4" t="str">
        <f>IFERROR(__xludf.DUMMYFUNCTION("""COMPUTED_VALUE"""),"")</f>
        <v/>
      </c>
      <c r="Y250" s="4" t="str">
        <f>IFERROR(__xludf.DUMMYFUNCTION("""COMPUTED_VALUE"""),"")</f>
        <v/>
      </c>
    </row>
    <row r="251">
      <c r="A251" s="4" t="str">
        <f>IFERROR(__xludf.DUMMYFUNCTION("""COMPUTED_VALUE"""),"244 - Channel")</f>
        <v>244 - Channel</v>
      </c>
      <c r="B251" s="4" t="str">
        <f>IFERROR(__xludf.DUMMYFUNCTION("""COMPUTED_VALUE"""),"Channel 1")</f>
        <v>Channel 1</v>
      </c>
      <c r="C251" s="4" t="str">
        <f>IFERROR(__xludf.DUMMYFUNCTION("""COMPUTED_VALUE"""),"Day 2 - 24/06")</f>
        <v>Day 2 - 24/06</v>
      </c>
      <c r="D251" s="6">
        <f>IFERROR(__xludf.DUMMYFUNCTION("""COMPUTED_VALUE"""),0.6792708333333327)</f>
        <v>0.6792708333</v>
      </c>
      <c r="E251" s="6">
        <f>IFERROR(__xludf.DUMMYFUNCTION("""COMPUTED_VALUE"""),0.009537037037037037)</f>
        <v>0.009537037037</v>
      </c>
      <c r="F251" s="6">
        <f>IFERROR(__xludf.DUMMYFUNCTION("""COMPUTED_VALUE"""),0.6888078703703697)</f>
        <v>0.6888078704</v>
      </c>
      <c r="G251" s="4" t="str">
        <f>IFERROR(__xludf.DUMMYFUNCTION("""COMPUTED_VALUE"""),"Gavin")</f>
        <v>Gavin</v>
      </c>
      <c r="H251" s="4" t="str">
        <f>IFERROR(__xludf.DUMMYFUNCTION("""COMPUTED_VALUE"""),"Eoghan")</f>
        <v>Eoghan</v>
      </c>
      <c r="I251" s="4" t="str">
        <f>IFERROR(__xludf.DUMMYFUNCTION("""COMPUTED_VALUE"""),"Lynn")</f>
        <v>Lynn</v>
      </c>
      <c r="J251" s="4" t="str">
        <f>IFERROR(__xludf.DUMMYFUNCTION("""COMPUTED_VALUE"""),"Remote working")</f>
        <v>Remote working</v>
      </c>
      <c r="K251" s="4" t="str">
        <f>IFERROR(__xludf.DUMMYFUNCTION("""COMPUTED_VALUE"""),"Super Fireside")</f>
        <v>Super Fireside</v>
      </c>
      <c r="L251" s="4" t="str">
        <f>IFERROR(__xludf.DUMMYFUNCTION("""COMPUTED_VALUE"""),"T- 6 - 11/05/2020")</f>
        <v>T- 6 - 11/05/2020</v>
      </c>
      <c r="M251" s="4" t="str">
        <f>IFERROR(__xludf.DUMMYFUNCTION("""COMPUTED_VALUE"""),"Separating hype from true change")</f>
        <v>Separating hype from true change</v>
      </c>
      <c r="N251" s="4" t="str">
        <f>IFERROR(__xludf.DUMMYFUNCTION("""COMPUTED_VALUE"""),"Nicholas Negroponte, MIT Media Lab")</f>
        <v>Nicholas Negroponte, MIT Media Lab</v>
      </c>
      <c r="O251" s="4" t="str">
        <f>IFERROR(__xludf.DUMMYFUNCTION("""COMPUTED_VALUE"""),"Nick Grossman, Union Square Ventures")</f>
        <v>Nick Grossman, Union Square Ventures</v>
      </c>
      <c r="P251" s="4" t="str">
        <f>IFERROR(__xludf.DUMMYFUNCTION("""COMPUTED_VALUE"""),"")</f>
        <v/>
      </c>
      <c r="Q251" s="4" t="str">
        <f>IFERROR(__xludf.DUMMYFUNCTION("""COMPUTED_VALUE"""),"")</f>
        <v/>
      </c>
      <c r="R251" s="4" t="str">
        <f>IFERROR(__xludf.DUMMYFUNCTION("""COMPUTED_VALUE"""),"Scott Omelianuk, INC. Magazine")</f>
        <v>Scott Omelianuk, INC. Magazine</v>
      </c>
      <c r="S251" s="4" t="str">
        <f>IFERROR(__xludf.DUMMYFUNCTION("""COMPUTED_VALUE"""),"Separating a truly transformative technology from hype is a difficult task. These two speakers know how to do it. Between them, they have founded and led one of the most prestigious institutes in the world, and invested in some of the most exciting compan"&amp;"ies around. Join us to find out how to spot the real deal.")</f>
        <v>Separating a truly transformative technology from hype is a difficult task. These two speakers know how to do it. Between them, they have founded and led one of the most prestigious institutes in the world, and invested in some of the most exciting companies around. Join us to find out how to spot the real deal.</v>
      </c>
      <c r="T251" s="4" t="str">
        <f>IFERROR(__xludf.DUMMYFUNCTION("""COMPUTED_VALUE"""),"NON-KEYNOTE 9 - COMPLETE")</f>
        <v>NON-KEYNOTE 9 - COMPLETE</v>
      </c>
      <c r="U251" s="23">
        <f>IFERROR(__xludf.DUMMYFUNCTION("""COMPUTED_VALUE"""),43965.0)</f>
        <v>43965</v>
      </c>
      <c r="V251" s="24">
        <f>IFERROR(__xludf.DUMMYFUNCTION("""COMPUTED_VALUE"""),0.7916666666666666)</f>
        <v>0.7916666667</v>
      </c>
      <c r="W251" s="4" t="str">
        <f>IFERROR(__xludf.DUMMYFUNCTION("""COMPUTED_VALUE"""),"COMPLETE")</f>
        <v>COMPLETE</v>
      </c>
      <c r="X251" s="4" t="str">
        <f>IFERROR(__xludf.DUMMYFUNCTION("""COMPUTED_VALUE"""),"Gavin")</f>
        <v>Gavin</v>
      </c>
      <c r="Y251" s="4" t="str">
        <f>IFERROR(__xludf.DUMMYFUNCTION("""COMPUTED_VALUE"""),"")</f>
        <v/>
      </c>
    </row>
    <row r="252">
      <c r="A252" s="4" t="str">
        <f>IFERROR(__xludf.DUMMYFUNCTION("""COMPUTED_VALUE"""),"246 - Channel")</f>
        <v>246 - Channel</v>
      </c>
      <c r="B252" s="4" t="str">
        <f>IFERROR(__xludf.DUMMYFUNCTION("""COMPUTED_VALUE"""),"Channel 1")</f>
        <v>Channel 1</v>
      </c>
      <c r="C252" s="4" t="str">
        <f>IFERROR(__xludf.DUMMYFUNCTION("""COMPUTED_VALUE"""),"Day 2 - 24/06")</f>
        <v>Day 2 - 24/06</v>
      </c>
      <c r="D252" s="6">
        <f>IFERROR(__xludf.DUMMYFUNCTION("""COMPUTED_VALUE"""),0.6888078703703697)</f>
        <v>0.6888078704</v>
      </c>
      <c r="E252" s="6">
        <f>IFERROR(__xludf.DUMMYFUNCTION("""COMPUTED_VALUE"""),2.314814814814815E-4)</f>
        <v>0.0002314814815</v>
      </c>
      <c r="F252" s="6">
        <f>IFERROR(__xludf.DUMMYFUNCTION("""COMPUTED_VALUE"""),0.6890393518518512)</f>
        <v>0.6890393519</v>
      </c>
      <c r="G252" s="4" t="str">
        <f>IFERROR(__xludf.DUMMYFUNCTION("""COMPUTED_VALUE"""),"")</f>
        <v/>
      </c>
      <c r="H252" s="4" t="str">
        <f>IFERROR(__xludf.DUMMYFUNCTION("""COMPUTED_VALUE"""),"")</f>
        <v/>
      </c>
      <c r="I252" s="4" t="str">
        <f>IFERROR(__xludf.DUMMYFUNCTION("""COMPUTED_VALUE"""),"")</f>
        <v/>
      </c>
      <c r="J252" s="4" t="str">
        <f>IFERROR(__xludf.DUMMYFUNCTION("""COMPUTED_VALUE"""),"")</f>
        <v/>
      </c>
      <c r="K252" s="4" t="str">
        <f>IFERROR(__xludf.DUMMYFUNCTION("""COMPUTED_VALUE"""),"Talk Intro")</f>
        <v>Talk Intro</v>
      </c>
      <c r="L252" s="4" t="str">
        <f>IFERROR(__xludf.DUMMYFUNCTION("""COMPUTED_VALUE"""),"")</f>
        <v/>
      </c>
      <c r="M252" s="4" t="str">
        <f>IFERROR(__xludf.DUMMYFUNCTION("""COMPUTED_VALUE"""),"Teaser: Paypal_Intro")</f>
        <v>Teaser: Paypal_Intro</v>
      </c>
      <c r="N252" s="4" t="str">
        <f>IFERROR(__xludf.DUMMYFUNCTION("""COMPUTED_VALUE"""),"Yvonne Redmond, Web Summit")</f>
        <v>Yvonne Redmond, Web Summit</v>
      </c>
      <c r="O252" s="4" t="str">
        <f>IFERROR(__xludf.DUMMYFUNCTION("""COMPUTED_VALUE"""),"")</f>
        <v/>
      </c>
      <c r="P252" s="4" t="str">
        <f>IFERROR(__xludf.DUMMYFUNCTION("""COMPUTED_VALUE"""),"")</f>
        <v/>
      </c>
      <c r="Q252" s="4" t="str">
        <f>IFERROR(__xludf.DUMMYFUNCTION("""COMPUTED_VALUE"""),"")</f>
        <v/>
      </c>
      <c r="R252" s="4" t="str">
        <f>IFERROR(__xludf.DUMMYFUNCTION("""COMPUTED_VALUE"""),"")</f>
        <v/>
      </c>
      <c r="S252" s="4" t="str">
        <f>IFERROR(__xludf.DUMMYFUNCTION("""COMPUTED_VALUE"""),"")</f>
        <v/>
      </c>
      <c r="T252" s="4" t="str">
        <f>IFERROR(__xludf.DUMMYFUNCTION("""COMPUTED_VALUE"""),"")</f>
        <v/>
      </c>
      <c r="U252" s="4" t="str">
        <f>IFERROR(__xludf.DUMMYFUNCTION("""COMPUTED_VALUE"""),"")</f>
        <v/>
      </c>
      <c r="V252" s="4" t="str">
        <f>IFERROR(__xludf.DUMMYFUNCTION("""COMPUTED_VALUE"""),"")</f>
        <v/>
      </c>
      <c r="W252" s="4" t="str">
        <f>IFERROR(__xludf.DUMMYFUNCTION("""COMPUTED_VALUE"""),"")</f>
        <v/>
      </c>
      <c r="X252" s="4" t="str">
        <f>IFERROR(__xludf.DUMMYFUNCTION("""COMPUTED_VALUE"""),"")</f>
        <v/>
      </c>
      <c r="Y252" s="4" t="str">
        <f>IFERROR(__xludf.DUMMYFUNCTION("""COMPUTED_VALUE"""),"")</f>
        <v/>
      </c>
    </row>
    <row r="253">
      <c r="A253" s="4" t="str">
        <f>IFERROR(__xludf.DUMMYFUNCTION("""COMPUTED_VALUE"""),"247 - Channel")</f>
        <v>247 - Channel</v>
      </c>
      <c r="B253" s="4" t="str">
        <f>IFERROR(__xludf.DUMMYFUNCTION("""COMPUTED_VALUE"""),"Channel 1")</f>
        <v>Channel 1</v>
      </c>
      <c r="C253" s="4" t="str">
        <f>IFERROR(__xludf.DUMMYFUNCTION("""COMPUTED_VALUE"""),"Day 2 - 24/06")</f>
        <v>Day 2 - 24/06</v>
      </c>
      <c r="D253" s="6">
        <f>IFERROR(__xludf.DUMMYFUNCTION("""COMPUTED_VALUE"""),0.6890393518518512)</f>
        <v>0.6890393519</v>
      </c>
      <c r="E253" s="6">
        <f>IFERROR(__xludf.DUMMYFUNCTION("""COMPUTED_VALUE"""),0.0020833333333333333)</f>
        <v>0.002083333333</v>
      </c>
      <c r="F253" s="6">
        <f>IFERROR(__xludf.DUMMYFUNCTION("""COMPUTED_VALUE"""),0.6911226851851845)</f>
        <v>0.6911226852</v>
      </c>
      <c r="G253" s="4" t="str">
        <f>IFERROR(__xludf.DUMMYFUNCTION("""COMPUTED_VALUE"""),"Helen")</f>
        <v>Helen</v>
      </c>
      <c r="H253" s="4" t="str">
        <f>IFERROR(__xludf.DUMMYFUNCTION("""COMPUTED_VALUE"""),"Shauna")</f>
        <v>Shauna</v>
      </c>
      <c r="I253" s="4" t="str">
        <f>IFERROR(__xludf.DUMMYFUNCTION("""COMPUTED_VALUE"""),"Geoff")</f>
        <v>Geoff</v>
      </c>
      <c r="J253" s="4" t="str">
        <f>IFERROR(__xludf.DUMMYFUNCTION("""COMPUTED_VALUE"""),"Payments")</f>
        <v>Payments</v>
      </c>
      <c r="K253" s="4" t="str">
        <f>IFERROR(__xludf.DUMMYFUNCTION("""COMPUTED_VALUE"""),"Teaser")</f>
        <v>Teaser</v>
      </c>
      <c r="L253" s="4" t="str">
        <f>IFERROR(__xludf.DUMMYFUNCTION("""COMPUTED_VALUE"""),"")</f>
        <v/>
      </c>
      <c r="M253" s="4" t="str">
        <f>IFERROR(__xludf.DUMMYFUNCTION("""COMPUTED_VALUE"""),"Teaser: Paypal")</f>
        <v>Teaser: Paypal</v>
      </c>
      <c r="N253" s="4" t="str">
        <f>IFERROR(__xludf.DUMMYFUNCTION("""COMPUTED_VALUE"""),"")</f>
        <v/>
      </c>
      <c r="O253" s="4" t="str">
        <f>IFERROR(__xludf.DUMMYFUNCTION("""COMPUTED_VALUE"""),"")</f>
        <v/>
      </c>
      <c r="P253" s="4" t="str">
        <f>IFERROR(__xludf.DUMMYFUNCTION("""COMPUTED_VALUE"""),"")</f>
        <v/>
      </c>
      <c r="Q253" s="4" t="str">
        <f>IFERROR(__xludf.DUMMYFUNCTION("""COMPUTED_VALUE"""),"")</f>
        <v/>
      </c>
      <c r="R253" s="4" t="str">
        <f>IFERROR(__xludf.DUMMYFUNCTION("""COMPUTED_VALUE"""),"")</f>
        <v/>
      </c>
      <c r="S253" s="4" t="str">
        <f>IFERROR(__xludf.DUMMYFUNCTION("""COMPUTED_VALUE"""),"")</f>
        <v/>
      </c>
      <c r="T253" s="4" t="str">
        <f>IFERROR(__xludf.DUMMYFUNCTION("""COMPUTED_VALUE"""),"")</f>
        <v/>
      </c>
      <c r="U253" s="4" t="str">
        <f>IFERROR(__xludf.DUMMYFUNCTION("""COMPUTED_VALUE"""),"")</f>
        <v/>
      </c>
      <c r="V253" s="4" t="str">
        <f>IFERROR(__xludf.DUMMYFUNCTION("""COMPUTED_VALUE"""),"")</f>
        <v/>
      </c>
      <c r="W253" s="4" t="str">
        <f>IFERROR(__xludf.DUMMYFUNCTION("""COMPUTED_VALUE"""),"")</f>
        <v/>
      </c>
      <c r="X253" s="4" t="str">
        <f>IFERROR(__xludf.DUMMYFUNCTION("""COMPUTED_VALUE"""),"")</f>
        <v/>
      </c>
      <c r="Y253" s="4" t="str">
        <f>IFERROR(__xludf.DUMMYFUNCTION("""COMPUTED_VALUE"""),"")</f>
        <v/>
      </c>
    </row>
    <row r="254">
      <c r="A254" s="4" t="str">
        <f>IFERROR(__xludf.DUMMYFUNCTION("""COMPUTED_VALUE"""),"2257 - Channel")</f>
        <v>2257 - Channel</v>
      </c>
      <c r="B254" s="4" t="str">
        <f>IFERROR(__xludf.DUMMYFUNCTION("""COMPUTED_VALUE"""),"Channel 1")</f>
        <v>Channel 1</v>
      </c>
      <c r="C254" s="4" t="str">
        <f>IFERROR(__xludf.DUMMYFUNCTION("""COMPUTED_VALUE"""),"Day 2 - 24/06")</f>
        <v>Day 2 - 24/06</v>
      </c>
      <c r="D254" s="6">
        <f>IFERROR(__xludf.DUMMYFUNCTION("""COMPUTED_VALUE"""),0.6911226851851845)</f>
        <v>0.6911226852</v>
      </c>
      <c r="E254" s="6">
        <f>IFERROR(__xludf.DUMMYFUNCTION("""COMPUTED_VALUE"""),2.314814814814815E-4)</f>
        <v>0.0002314814815</v>
      </c>
      <c r="F254" s="6">
        <f>IFERROR(__xludf.DUMMYFUNCTION("""COMPUTED_VALUE"""),0.6913541666666659)</f>
        <v>0.6913541667</v>
      </c>
      <c r="G254" s="4" t="str">
        <f>IFERROR(__xludf.DUMMYFUNCTION("""COMPUTED_VALUE"""),"")</f>
        <v/>
      </c>
      <c r="H254" s="4" t="str">
        <f>IFERROR(__xludf.DUMMYFUNCTION("""COMPUTED_VALUE"""),"")</f>
        <v/>
      </c>
      <c r="I254" s="4" t="str">
        <f>IFERROR(__xludf.DUMMYFUNCTION("""COMPUTED_VALUE"""),"")</f>
        <v/>
      </c>
      <c r="J254" s="4" t="str">
        <f>IFERROR(__xludf.DUMMYFUNCTION("""COMPUTED_VALUE"""),"")</f>
        <v/>
      </c>
      <c r="K254" s="4" t="str">
        <f>IFERROR(__xludf.DUMMYFUNCTION("""COMPUTED_VALUE"""),"Talk Outro")</f>
        <v>Talk Outro</v>
      </c>
      <c r="L254" s="4" t="str">
        <f>IFERROR(__xludf.DUMMYFUNCTION("""COMPUTED_VALUE"""),"")</f>
        <v/>
      </c>
      <c r="M254" s="4" t="str">
        <f>IFERROR(__xludf.DUMMYFUNCTION("""COMPUTED_VALUE"""),"Call to action")</f>
        <v>Call to action</v>
      </c>
      <c r="N254" s="4" t="str">
        <f>IFERROR(__xludf.DUMMYFUNCTION("""COMPUTED_VALUE"""),"Yvonne Redmond, Web Summit")</f>
        <v>Yvonne Redmond, Web Summit</v>
      </c>
      <c r="O254" s="4" t="str">
        <f>IFERROR(__xludf.DUMMYFUNCTION("""COMPUTED_VALUE"""),"")</f>
        <v/>
      </c>
      <c r="P254" s="4" t="str">
        <f>IFERROR(__xludf.DUMMYFUNCTION("""COMPUTED_VALUE"""),"")</f>
        <v/>
      </c>
      <c r="Q254" s="4" t="str">
        <f>IFERROR(__xludf.DUMMYFUNCTION("""COMPUTED_VALUE"""),"")</f>
        <v/>
      </c>
      <c r="R254" s="4" t="str">
        <f>IFERROR(__xludf.DUMMYFUNCTION("""COMPUTED_VALUE"""),"")</f>
        <v/>
      </c>
      <c r="S254" s="4" t="str">
        <f>IFERROR(__xludf.DUMMYFUNCTION("""COMPUTED_VALUE"""),"")</f>
        <v/>
      </c>
      <c r="T254" s="4" t="str">
        <f>IFERROR(__xludf.DUMMYFUNCTION("""COMPUTED_VALUE"""),"")</f>
        <v/>
      </c>
      <c r="U254" s="4" t="str">
        <f>IFERROR(__xludf.DUMMYFUNCTION("""COMPUTED_VALUE"""),"")</f>
        <v/>
      </c>
      <c r="V254" s="4" t="str">
        <f>IFERROR(__xludf.DUMMYFUNCTION("""COMPUTED_VALUE"""),"")</f>
        <v/>
      </c>
      <c r="W254" s="4" t="str">
        <f>IFERROR(__xludf.DUMMYFUNCTION("""COMPUTED_VALUE"""),"")</f>
        <v/>
      </c>
      <c r="X254" s="4" t="str">
        <f>IFERROR(__xludf.DUMMYFUNCTION("""COMPUTED_VALUE"""),"")</f>
        <v/>
      </c>
      <c r="Y254" s="4" t="str">
        <f>IFERROR(__xludf.DUMMYFUNCTION("""COMPUTED_VALUE"""),"")</f>
        <v/>
      </c>
    </row>
    <row r="255">
      <c r="A255" s="4" t="str">
        <f>IFERROR(__xludf.DUMMYFUNCTION("""COMPUTED_VALUE"""),"295 - Channel")</f>
        <v>295 - Channel</v>
      </c>
      <c r="B255" s="4" t="str">
        <f>IFERROR(__xludf.DUMMYFUNCTION("""COMPUTED_VALUE"""),"Channel 1")</f>
        <v>Channel 1</v>
      </c>
      <c r="C255" s="4" t="str">
        <f>IFERROR(__xludf.DUMMYFUNCTION("""COMPUTED_VALUE"""),"Day 3 - 25/06")</f>
        <v>Day 3 - 25/06</v>
      </c>
      <c r="D255" s="6">
        <f>IFERROR(__xludf.DUMMYFUNCTION("""COMPUTED_VALUE"""),0.6913541666666659)</f>
        <v>0.6913541667</v>
      </c>
      <c r="E255" s="6">
        <f>IFERROR(__xludf.DUMMYFUNCTION("""COMPUTED_VALUE"""),2.314814814814815E-4)</f>
        <v>0.0002314814815</v>
      </c>
      <c r="F255" s="6">
        <f>IFERROR(__xludf.DUMMYFUNCTION("""COMPUTED_VALUE"""),0.6915856481481474)</f>
        <v>0.6915856481</v>
      </c>
      <c r="G255" s="4" t="str">
        <f>IFERROR(__xludf.DUMMYFUNCTION("""COMPUTED_VALUE"""),"")</f>
        <v/>
      </c>
      <c r="H255" s="4" t="str">
        <f>IFERROR(__xludf.DUMMYFUNCTION("""COMPUTED_VALUE"""),"")</f>
        <v/>
      </c>
      <c r="I255" s="4" t="str">
        <f>IFERROR(__xludf.DUMMYFUNCTION("""COMPUTED_VALUE"""),"")</f>
        <v/>
      </c>
      <c r="J255" s="4" t="str">
        <f>IFERROR(__xludf.DUMMYFUNCTION("""COMPUTED_VALUE"""),"")</f>
        <v/>
      </c>
      <c r="K255" s="4" t="str">
        <f>IFERROR(__xludf.DUMMYFUNCTION("""COMPUTED_VALUE"""),"Talk Intro")</f>
        <v>Talk Intro</v>
      </c>
      <c r="L255" s="4" t="str">
        <f>IFERROR(__xludf.DUMMYFUNCTION("""COMPUTED_VALUE"""),"")</f>
        <v/>
      </c>
      <c r="M255" s="4" t="str">
        <f>IFERROR(__xludf.DUMMYFUNCTION("""COMPUTED_VALUE"""),"Talk intro ")</f>
        <v>Talk intro </v>
      </c>
      <c r="N255" s="4" t="str">
        <f>IFERROR(__xludf.DUMMYFUNCTION("""COMPUTED_VALUE"""),"Paddy Cosgrave, Web Summit")</f>
        <v>Paddy Cosgrave, Web Summit</v>
      </c>
      <c r="O255" s="4" t="str">
        <f>IFERROR(__xludf.DUMMYFUNCTION("""COMPUTED_VALUE"""),"Sunil Sharma, Web Summit")</f>
        <v>Sunil Sharma, Web Summit</v>
      </c>
      <c r="P255" s="4" t="str">
        <f>IFERROR(__xludf.DUMMYFUNCTION("""COMPUTED_VALUE"""),"")</f>
        <v/>
      </c>
      <c r="Q255" s="4" t="str">
        <f>IFERROR(__xludf.DUMMYFUNCTION("""COMPUTED_VALUE"""),"")</f>
        <v/>
      </c>
      <c r="R255" s="4" t="str">
        <f>IFERROR(__xludf.DUMMYFUNCTION("""COMPUTED_VALUE"""),"")</f>
        <v/>
      </c>
      <c r="S255" s="4" t="str">
        <f>IFERROR(__xludf.DUMMYFUNCTION("""COMPUTED_VALUE"""),"")</f>
        <v/>
      </c>
      <c r="T255" s="4" t="str">
        <f>IFERROR(__xludf.DUMMYFUNCTION("""COMPUTED_VALUE"""),"")</f>
        <v/>
      </c>
      <c r="U255" s="4" t="str">
        <f>IFERROR(__xludf.DUMMYFUNCTION("""COMPUTED_VALUE"""),"")</f>
        <v/>
      </c>
      <c r="V255" s="4" t="str">
        <f>IFERROR(__xludf.DUMMYFUNCTION("""COMPUTED_VALUE"""),"")</f>
        <v/>
      </c>
      <c r="W255" s="4" t="str">
        <f>IFERROR(__xludf.DUMMYFUNCTION("""COMPUTED_VALUE"""),"")</f>
        <v/>
      </c>
      <c r="X255" s="4" t="str">
        <f>IFERROR(__xludf.DUMMYFUNCTION("""COMPUTED_VALUE"""),"")</f>
        <v/>
      </c>
      <c r="Y255" s="4" t="str">
        <f>IFERROR(__xludf.DUMMYFUNCTION("""COMPUTED_VALUE"""),"")</f>
        <v/>
      </c>
    </row>
    <row r="256">
      <c r="A256" s="4" t="str">
        <f>IFERROR(__xludf.DUMMYFUNCTION("""COMPUTED_VALUE"""),"296 - Channel")</f>
        <v>296 - Channel</v>
      </c>
      <c r="B256" s="4" t="str">
        <f>IFERROR(__xludf.DUMMYFUNCTION("""COMPUTED_VALUE"""),"Channel 1")</f>
        <v>Channel 1</v>
      </c>
      <c r="C256" s="4" t="str">
        <f>IFERROR(__xludf.DUMMYFUNCTION("""COMPUTED_VALUE"""),"Day 3 - 25/06")</f>
        <v>Day 3 - 25/06</v>
      </c>
      <c r="D256" s="6">
        <f>IFERROR(__xludf.DUMMYFUNCTION("""COMPUTED_VALUE"""),0.6915856481481474)</f>
        <v>0.6915856481</v>
      </c>
      <c r="E256" s="6">
        <f>IFERROR(__xludf.DUMMYFUNCTION("""COMPUTED_VALUE"""),0.010416666666666666)</f>
        <v>0.01041666667</v>
      </c>
      <c r="F256" s="6">
        <f>IFERROR(__xludf.DUMMYFUNCTION("""COMPUTED_VALUE"""),0.702002314814814)</f>
        <v>0.7020023148</v>
      </c>
      <c r="G256" s="4" t="str">
        <f>IFERROR(__xludf.DUMMYFUNCTION("""COMPUTED_VALUE"""),"Helen")</f>
        <v>Helen</v>
      </c>
      <c r="H256" s="4" t="str">
        <f>IFERROR(__xludf.DUMMYFUNCTION("""COMPUTED_VALUE"""),"Shauna")</f>
        <v>Shauna</v>
      </c>
      <c r="I256" s="4" t="str">
        <f>IFERROR(__xludf.DUMMYFUNCTION("""COMPUTED_VALUE"""),"Lucia H.")</f>
        <v>Lucia H.</v>
      </c>
      <c r="J256" s="4" t="str">
        <f>IFERROR(__xludf.DUMMYFUNCTION("""COMPUTED_VALUE"""),"")</f>
        <v/>
      </c>
      <c r="K256" s="4" t="str">
        <f>IFERROR(__xludf.DUMMYFUNCTION("""COMPUTED_VALUE"""),"Super Fireside")</f>
        <v>Super Fireside</v>
      </c>
      <c r="L256" s="4" t="str">
        <f>IFERROR(__xludf.DUMMYFUNCTION("""COMPUTED_VALUE"""),"T- 5 - 18/05/2020")</f>
        <v>T- 5 - 18/05/2020</v>
      </c>
      <c r="M256" s="4" t="str">
        <f>IFERROR(__xludf.DUMMYFUNCTION("""COMPUTED_VALUE"""),"Small business in a pandemic economy")</f>
        <v>Small business in a pandemic economy</v>
      </c>
      <c r="N256" s="4" t="str">
        <f>IFERROR(__xludf.DUMMYFUNCTION("""COMPUTED_VALUE"""),"Rob Frohwein, Kabbage")</f>
        <v>Rob Frohwein, Kabbage</v>
      </c>
      <c r="O256" s="4" t="str">
        <f>IFERROR(__xludf.DUMMYFUNCTION("""COMPUTED_VALUE"""),"Joshua Gans, Rotman School of Management, University of Toronto")</f>
        <v>Joshua Gans, Rotman School of Management, University of Toronto</v>
      </c>
      <c r="P256" s="4" t="str">
        <f>IFERROR(__xludf.DUMMYFUNCTION("""COMPUTED_VALUE"""),"")</f>
        <v/>
      </c>
      <c r="Q256" s="4" t="str">
        <f>IFERROR(__xludf.DUMMYFUNCTION("""COMPUTED_VALUE"""),"")</f>
        <v/>
      </c>
      <c r="R256" s="4" t="str">
        <f>IFERROR(__xludf.DUMMYFUNCTION("""COMPUTED_VALUE"""),"Andrea Johnson, Dentons Venture Technology Group")</f>
        <v>Andrea Johnson, Dentons Venture Technology Group</v>
      </c>
      <c r="S256" s="4" t="str">
        <f>IFERROR(__xludf.DUMMYFUNCTION("""COMPUTED_VALUE"""),"While there's no easy switch to turn the economy back on after a crisis, we do have technology, creativity and ideas. This talk will bring together a professor of economics and the co-founder of a fintech unicorn working with SMEs. The pair will share the"&amp;"ir predictions on how the pandemic will affect the economy. ")</f>
        <v>While there's no easy switch to turn the economy back on after a crisis, we do have technology, creativity and ideas. This talk will bring together a professor of economics and the co-founder of a fintech unicorn working with SMEs. The pair will share their predictions on how the pandemic will affect the economy. </v>
      </c>
      <c r="T256" s="4" t="str">
        <f>IFERROR(__xludf.DUMMYFUNCTION("""COMPUTED_VALUE"""),"NON-KEYNOTE 9 - COMPLETE")</f>
        <v>NON-KEYNOTE 9 - COMPLETE</v>
      </c>
      <c r="U256" s="23">
        <f>IFERROR(__xludf.DUMMYFUNCTION("""COMPUTED_VALUE"""),43971.0)</f>
        <v>43971</v>
      </c>
      <c r="V256" s="44">
        <f>IFERROR(__xludf.DUMMYFUNCTION("""COMPUTED_VALUE"""),0.5833333333333334)</f>
        <v>0.5833333333</v>
      </c>
      <c r="W256" s="4" t="str">
        <f>IFERROR(__xludf.DUMMYFUNCTION("""COMPUTED_VALUE"""),"COMPLETE")</f>
        <v>COMPLETE</v>
      </c>
      <c r="X256" s="4" t="str">
        <f>IFERROR(__xludf.DUMMYFUNCTION("""COMPUTED_VALUE"""),"Helen")</f>
        <v>Helen</v>
      </c>
      <c r="Y256" s="4" t="str">
        <f>IFERROR(__xludf.DUMMYFUNCTION("""COMPUTED_VALUE"""),"")</f>
        <v/>
      </c>
    </row>
    <row r="257">
      <c r="A257" s="4" t="str">
        <f>IFERROR(__xludf.DUMMYFUNCTION("""COMPUTED_VALUE"""),"253 - Channel")</f>
        <v>253 - Channel</v>
      </c>
      <c r="B257" s="4" t="str">
        <f>IFERROR(__xludf.DUMMYFUNCTION("""COMPUTED_VALUE"""),"Channel 1")</f>
        <v>Channel 1</v>
      </c>
      <c r="C257" s="4" t="str">
        <f>IFERROR(__xludf.DUMMYFUNCTION("""COMPUTED_VALUE"""),"Day 2 - 24/06")</f>
        <v>Day 2 - 24/06</v>
      </c>
      <c r="D257" s="6">
        <f>IFERROR(__xludf.DUMMYFUNCTION("""COMPUTED_VALUE"""),0.702002314814814)</f>
        <v>0.7020023148</v>
      </c>
      <c r="E257" s="6">
        <f>IFERROR(__xludf.DUMMYFUNCTION("""COMPUTED_VALUE"""),3.4722222222222224E-4)</f>
        <v>0.0003472222222</v>
      </c>
      <c r="F257" s="6">
        <f>IFERROR(__xludf.DUMMYFUNCTION("""COMPUTED_VALUE"""),0.7023495370370363)</f>
        <v>0.702349537</v>
      </c>
      <c r="G257" s="4" t="str">
        <f>IFERROR(__xludf.DUMMYFUNCTION("""COMPUTED_VALUE"""),"")</f>
        <v/>
      </c>
      <c r="H257" s="4" t="str">
        <f>IFERROR(__xludf.DUMMYFUNCTION("""COMPUTED_VALUE"""),"")</f>
        <v/>
      </c>
      <c r="I257" s="4" t="str">
        <f>IFERROR(__xludf.DUMMYFUNCTION("""COMPUTED_VALUE"""),"")</f>
        <v/>
      </c>
      <c r="J257" s="4" t="str">
        <f>IFERROR(__xludf.DUMMYFUNCTION("""COMPUTED_VALUE"""),"")</f>
        <v/>
      </c>
      <c r="K257" s="4" t="str">
        <f>IFERROR(__xludf.DUMMYFUNCTION("""COMPUTED_VALUE"""),"Web Summit Trailer - short")</f>
        <v>Web Summit Trailer - short</v>
      </c>
      <c r="L257" s="4" t="str">
        <f>IFERROR(__xludf.DUMMYFUNCTION("""COMPUTED_VALUE"""),"")</f>
        <v/>
      </c>
      <c r="M257" s="4" t="str">
        <f>IFERROR(__xludf.DUMMYFUNCTION("""COMPUTED_VALUE"""),"Web Summit promo")</f>
        <v>Web Summit promo</v>
      </c>
      <c r="N257" s="4" t="str">
        <f>IFERROR(__xludf.DUMMYFUNCTION("""COMPUTED_VALUE"""),"Content pending")</f>
        <v>Content pending</v>
      </c>
      <c r="O257" s="4" t="str">
        <f>IFERROR(__xludf.DUMMYFUNCTION("""COMPUTED_VALUE"""),"")</f>
        <v/>
      </c>
      <c r="P257" s="4" t="str">
        <f>IFERROR(__xludf.DUMMYFUNCTION("""COMPUTED_VALUE"""),"")</f>
        <v/>
      </c>
      <c r="Q257" s="4" t="str">
        <f>IFERROR(__xludf.DUMMYFUNCTION("""COMPUTED_VALUE"""),"")</f>
        <v/>
      </c>
      <c r="R257" s="4" t="str">
        <f>IFERROR(__xludf.DUMMYFUNCTION("""COMPUTED_VALUE"""),"")</f>
        <v/>
      </c>
      <c r="S257" s="4" t="str">
        <f>IFERROR(__xludf.DUMMYFUNCTION("""COMPUTED_VALUE"""),"")</f>
        <v/>
      </c>
      <c r="T257" s="4" t="str">
        <f>IFERROR(__xludf.DUMMYFUNCTION("""COMPUTED_VALUE"""),"")</f>
        <v/>
      </c>
      <c r="U257" s="4" t="str">
        <f>IFERROR(__xludf.DUMMYFUNCTION("""COMPUTED_VALUE"""),"")</f>
        <v/>
      </c>
      <c r="V257" s="4" t="str">
        <f>IFERROR(__xludf.DUMMYFUNCTION("""COMPUTED_VALUE"""),"")</f>
        <v/>
      </c>
      <c r="W257" s="4" t="str">
        <f>IFERROR(__xludf.DUMMYFUNCTION("""COMPUTED_VALUE"""),"")</f>
        <v/>
      </c>
      <c r="X257" s="4" t="str">
        <f>IFERROR(__xludf.DUMMYFUNCTION("""COMPUTED_VALUE"""),"")</f>
        <v/>
      </c>
      <c r="Y257" s="4" t="str">
        <f>IFERROR(__xludf.DUMMYFUNCTION("""COMPUTED_VALUE"""),"")</f>
        <v/>
      </c>
    </row>
    <row r="258">
      <c r="A258" s="4" t="str">
        <f>IFERROR(__xludf.DUMMYFUNCTION("""COMPUTED_VALUE"""),"145 - Channel")</f>
        <v>145 - Channel</v>
      </c>
      <c r="B258" s="4" t="str">
        <f>IFERROR(__xludf.DUMMYFUNCTION("""COMPUTED_VALUE"""),"Channel 1")</f>
        <v>Channel 1</v>
      </c>
      <c r="C258" s="4" t="str">
        <f>IFERROR(__xludf.DUMMYFUNCTION("""COMPUTED_VALUE"""),"Day 2 - 24/06")</f>
        <v>Day 2 - 24/06</v>
      </c>
      <c r="D258" s="6">
        <f>IFERROR(__xludf.DUMMYFUNCTION("""COMPUTED_VALUE"""),0.7023495370370363)</f>
        <v>0.702349537</v>
      </c>
      <c r="E258" s="6">
        <f>IFERROR(__xludf.DUMMYFUNCTION("""COMPUTED_VALUE"""),0.0010416666666666667)</f>
        <v>0.001041666667</v>
      </c>
      <c r="F258" s="6">
        <f>IFERROR(__xludf.DUMMYFUNCTION("""COMPUTED_VALUE"""),0.703391203703703)</f>
        <v>0.7033912037</v>
      </c>
      <c r="G258" s="4" t="str">
        <f>IFERROR(__xludf.DUMMYFUNCTION("""COMPUTED_VALUE"""),"Darragh")</f>
        <v>Darragh</v>
      </c>
      <c r="H258" s="4" t="str">
        <f>IFERROR(__xludf.DUMMYFUNCTION("""COMPUTED_VALUE"""),"")</f>
        <v/>
      </c>
      <c r="I258" s="4" t="str">
        <f>IFERROR(__xludf.DUMMYFUNCTION("""COMPUTED_VALUE"""),"")</f>
        <v/>
      </c>
      <c r="J258" s="4" t="str">
        <f>IFERROR(__xludf.DUMMYFUNCTION("""COMPUTED_VALUE"""),"")</f>
        <v/>
      </c>
      <c r="K258" s="4" t="str">
        <f>IFERROR(__xludf.DUMMYFUNCTION("""COMPUTED_VALUE"""),"Pitch reel")</f>
        <v>Pitch reel</v>
      </c>
      <c r="L258" s="4" t="str">
        <f>IFERROR(__xludf.DUMMYFUNCTION("""COMPUTED_VALUE"""),"")</f>
        <v/>
      </c>
      <c r="M258" s="4" t="str">
        <f>IFERROR(__xludf.DUMMYFUNCTION("""COMPUTED_VALUE"""),"Past pitch winner 1:  Torch.io")</f>
        <v>Past pitch winner 1:  Torch.io</v>
      </c>
      <c r="N258" s="4" t="str">
        <f>IFERROR(__xludf.DUMMYFUNCTION("""COMPUTED_VALUE"""),"Content complete")</f>
        <v>Content complete</v>
      </c>
      <c r="O258" s="4" t="str">
        <f>IFERROR(__xludf.DUMMYFUNCTION("""COMPUTED_VALUE"""),"")</f>
        <v/>
      </c>
      <c r="P258" s="4" t="str">
        <f>IFERROR(__xludf.DUMMYFUNCTION("""COMPUTED_VALUE"""),"")</f>
        <v/>
      </c>
      <c r="Q258" s="4" t="str">
        <f>IFERROR(__xludf.DUMMYFUNCTION("""COMPUTED_VALUE"""),"")</f>
        <v/>
      </c>
      <c r="R258" s="4" t="str">
        <f>IFERROR(__xludf.DUMMYFUNCTION("""COMPUTED_VALUE"""),"")</f>
        <v/>
      </c>
      <c r="S258" s="4" t="str">
        <f>IFERROR(__xludf.DUMMYFUNCTION("""COMPUTED_VALUE"""),"")</f>
        <v/>
      </c>
      <c r="T258" s="4" t="str">
        <f>IFERROR(__xludf.DUMMYFUNCTION("""COMPUTED_VALUE"""),"")</f>
        <v/>
      </c>
      <c r="U258" s="4" t="str">
        <f>IFERROR(__xludf.DUMMYFUNCTION("""COMPUTED_VALUE"""),"")</f>
        <v/>
      </c>
      <c r="V258" s="24" t="str">
        <f>IFERROR(__xludf.DUMMYFUNCTION("""COMPUTED_VALUE"""),"N/A")</f>
        <v>N/A</v>
      </c>
      <c r="W258" s="4" t="str">
        <f>IFERROR(__xludf.DUMMYFUNCTION("""COMPUTED_VALUE"""),"N/A")</f>
        <v>N/A</v>
      </c>
      <c r="X258" s="4" t="str">
        <f>IFERROR(__xludf.DUMMYFUNCTION("""COMPUTED_VALUE"""),"")</f>
        <v/>
      </c>
      <c r="Y258" s="4" t="str">
        <f>IFERROR(__xludf.DUMMYFUNCTION("""COMPUTED_VALUE"""),"")</f>
        <v/>
      </c>
    </row>
    <row r="259">
      <c r="A259" s="4" t="str">
        <f>IFERROR(__xludf.DUMMYFUNCTION("""COMPUTED_VALUE"""),"252 - Channel")</f>
        <v>252 - Channel</v>
      </c>
      <c r="B259" s="4" t="str">
        <f>IFERROR(__xludf.DUMMYFUNCTION("""COMPUTED_VALUE"""),"Channel 1")</f>
        <v>Channel 1</v>
      </c>
      <c r="C259" s="4" t="str">
        <f>IFERROR(__xludf.DUMMYFUNCTION("""COMPUTED_VALUE"""),"Day 2 - 24/06")</f>
        <v>Day 2 - 24/06</v>
      </c>
      <c r="D259" s="6">
        <f>IFERROR(__xludf.DUMMYFUNCTION("""COMPUTED_VALUE"""),0.703391203703703)</f>
        <v>0.7033912037</v>
      </c>
      <c r="E259" s="6">
        <f>IFERROR(__xludf.DUMMYFUNCTION("""COMPUTED_VALUE"""),2.314814814814815E-4)</f>
        <v>0.0002314814815</v>
      </c>
      <c r="F259" s="6">
        <f>IFERROR(__xludf.DUMMYFUNCTION("""COMPUTED_VALUE"""),0.7036226851851844)</f>
        <v>0.7036226852</v>
      </c>
      <c r="G259" s="4" t="str">
        <f>IFERROR(__xludf.DUMMYFUNCTION("""COMPUTED_VALUE"""),"")</f>
        <v/>
      </c>
      <c r="H259" s="4" t="str">
        <f>IFERROR(__xludf.DUMMYFUNCTION("""COMPUTED_VALUE"""),"")</f>
        <v/>
      </c>
      <c r="I259" s="4" t="str">
        <f>IFERROR(__xludf.DUMMYFUNCTION("""COMPUTED_VALUE"""),"")</f>
        <v/>
      </c>
      <c r="J259" s="4" t="str">
        <f>IFERROR(__xludf.DUMMYFUNCTION("""COMPUTED_VALUE"""),"")</f>
        <v/>
      </c>
      <c r="K259" s="4" t="str">
        <f>IFERROR(__xludf.DUMMYFUNCTION("""COMPUTED_VALUE"""),"Talk Intro")</f>
        <v>Talk Intro</v>
      </c>
      <c r="L259" s="4" t="str">
        <f>IFERROR(__xludf.DUMMYFUNCTION("""COMPUTED_VALUE"""),"")</f>
        <v/>
      </c>
      <c r="M259" s="4" t="str">
        <f>IFERROR(__xludf.DUMMYFUNCTION("""COMPUTED_VALUE"""),"talk intro ")</f>
        <v>talk intro </v>
      </c>
      <c r="N259" s="4" t="str">
        <f>IFERROR(__xludf.DUMMYFUNCTION("""COMPUTED_VALUE"""),"Yvonne Redmond, Web Summit")</f>
        <v>Yvonne Redmond, Web Summit</v>
      </c>
      <c r="O259" s="4" t="str">
        <f>IFERROR(__xludf.DUMMYFUNCTION("""COMPUTED_VALUE"""),"")</f>
        <v/>
      </c>
      <c r="P259" s="4" t="str">
        <f>IFERROR(__xludf.DUMMYFUNCTION("""COMPUTED_VALUE"""),"")</f>
        <v/>
      </c>
      <c r="Q259" s="4" t="str">
        <f>IFERROR(__xludf.DUMMYFUNCTION("""COMPUTED_VALUE"""),"")</f>
        <v/>
      </c>
      <c r="R259" s="4" t="str">
        <f>IFERROR(__xludf.DUMMYFUNCTION("""COMPUTED_VALUE"""),"")</f>
        <v/>
      </c>
      <c r="S259" s="4" t="str">
        <f>IFERROR(__xludf.DUMMYFUNCTION("""COMPUTED_VALUE"""),"")</f>
        <v/>
      </c>
      <c r="T259" s="4" t="str">
        <f>IFERROR(__xludf.DUMMYFUNCTION("""COMPUTED_VALUE"""),"")</f>
        <v/>
      </c>
      <c r="U259" s="4" t="str">
        <f>IFERROR(__xludf.DUMMYFUNCTION("""COMPUTED_VALUE"""),"")</f>
        <v/>
      </c>
      <c r="V259" s="4" t="str">
        <f>IFERROR(__xludf.DUMMYFUNCTION("""COMPUTED_VALUE"""),"")</f>
        <v/>
      </c>
      <c r="W259" s="4" t="str">
        <f>IFERROR(__xludf.DUMMYFUNCTION("""COMPUTED_VALUE"""),"")</f>
        <v/>
      </c>
      <c r="X259" s="4" t="str">
        <f>IFERROR(__xludf.DUMMYFUNCTION("""COMPUTED_VALUE"""),"")</f>
        <v/>
      </c>
      <c r="Y259" s="4" t="str">
        <f>IFERROR(__xludf.DUMMYFUNCTION("""COMPUTED_VALUE"""),"")</f>
        <v/>
      </c>
    </row>
    <row r="260">
      <c r="A260" s="4" t="str">
        <f>IFERROR(__xludf.DUMMYFUNCTION("""COMPUTED_VALUE"""),"235 - Channel")</f>
        <v>235 - Channel</v>
      </c>
      <c r="B260" s="4" t="str">
        <f>IFERROR(__xludf.DUMMYFUNCTION("""COMPUTED_VALUE"""),"Channel 1")</f>
        <v>Channel 1</v>
      </c>
      <c r="C260" s="4" t="str">
        <f>IFERROR(__xludf.DUMMYFUNCTION("""COMPUTED_VALUE"""),"Day 2 - 24/06")</f>
        <v>Day 2 - 24/06</v>
      </c>
      <c r="D260" s="6">
        <f>IFERROR(__xludf.DUMMYFUNCTION("""COMPUTED_VALUE"""),0.7036226851851844)</f>
        <v>0.7036226852</v>
      </c>
      <c r="E260" s="6">
        <f>IFERROR(__xludf.DUMMYFUNCTION("""COMPUTED_VALUE"""),0.002777777777777778)</f>
        <v>0.002777777778</v>
      </c>
      <c r="F260" s="6">
        <f>IFERROR(__xludf.DUMMYFUNCTION("""COMPUTED_VALUE"""),0.7064004629629622)</f>
        <v>0.706400463</v>
      </c>
      <c r="G260" s="4" t="str">
        <f>IFERROR(__xludf.DUMMYFUNCTION("""COMPUTED_VALUE"""),"Darragh")</f>
        <v>Darragh</v>
      </c>
      <c r="H260" s="4" t="str">
        <f>IFERROR(__xludf.DUMMYFUNCTION("""COMPUTED_VALUE"""),"")</f>
        <v/>
      </c>
      <c r="I260" s="4" t="str">
        <f>IFERROR(__xludf.DUMMYFUNCTION("""COMPUTED_VALUE"""),"")</f>
        <v/>
      </c>
      <c r="J260" s="4" t="str">
        <f>IFERROR(__xludf.DUMMYFUNCTION("""COMPUTED_VALUE"""),"")</f>
        <v/>
      </c>
      <c r="K260" s="4" t="str">
        <f>IFERROR(__xludf.DUMMYFUNCTION("""COMPUTED_VALUE"""),"Pitch reel")</f>
        <v>Pitch reel</v>
      </c>
      <c r="L260" s="4" t="str">
        <f>IFERROR(__xludf.DUMMYFUNCTION("""COMPUTED_VALUE"""),"")</f>
        <v/>
      </c>
      <c r="M260" s="4" t="str">
        <f>IFERROR(__xludf.DUMMYFUNCTION("""COMPUTED_VALUE"""),"Pitch Finalists announced")</f>
        <v>Pitch Finalists announced</v>
      </c>
      <c r="N260" s="4" t="str">
        <f>IFERROR(__xludf.DUMMYFUNCTION("""COMPUTED_VALUE"""),"Content pending")</f>
        <v>Content pending</v>
      </c>
      <c r="O260" s="4" t="str">
        <f>IFERROR(__xludf.DUMMYFUNCTION("""COMPUTED_VALUE"""),"")</f>
        <v/>
      </c>
      <c r="P260" s="4" t="str">
        <f>IFERROR(__xludf.DUMMYFUNCTION("""COMPUTED_VALUE"""),"")</f>
        <v/>
      </c>
      <c r="Q260" s="4" t="str">
        <f>IFERROR(__xludf.DUMMYFUNCTION("""COMPUTED_VALUE"""),"")</f>
        <v/>
      </c>
      <c r="R260" s="4" t="str">
        <f>IFERROR(__xludf.DUMMYFUNCTION("""COMPUTED_VALUE"""),"")</f>
        <v/>
      </c>
      <c r="S260" s="4" t="str">
        <f>IFERROR(__xludf.DUMMYFUNCTION("""COMPUTED_VALUE"""),"")</f>
        <v/>
      </c>
      <c r="T260" s="4" t="str">
        <f>IFERROR(__xludf.DUMMYFUNCTION("""COMPUTED_VALUE"""),"")</f>
        <v/>
      </c>
      <c r="U260" s="4" t="str">
        <f>IFERROR(__xludf.DUMMYFUNCTION("""COMPUTED_VALUE"""),"")</f>
        <v/>
      </c>
      <c r="V260" s="4" t="str">
        <f>IFERROR(__xludf.DUMMYFUNCTION("""COMPUTED_VALUE"""),"")</f>
        <v/>
      </c>
      <c r="W260" s="4" t="str">
        <f>IFERROR(__xludf.DUMMYFUNCTION("""COMPUTED_VALUE"""),"")</f>
        <v/>
      </c>
      <c r="X260" s="4" t="str">
        <f>IFERROR(__xludf.DUMMYFUNCTION("""COMPUTED_VALUE"""),"")</f>
        <v/>
      </c>
      <c r="Y260" s="4" t="str">
        <f>IFERROR(__xludf.DUMMYFUNCTION("""COMPUTED_VALUE"""),"")</f>
        <v/>
      </c>
    </row>
    <row r="261">
      <c r="A261" s="4" t="str">
        <f>IFERROR(__xludf.DUMMYFUNCTION("""COMPUTED_VALUE"""),"182 - Channel")</f>
        <v>182 - Channel</v>
      </c>
      <c r="B261" s="4" t="str">
        <f>IFERROR(__xludf.DUMMYFUNCTION("""COMPUTED_VALUE"""),"Channel 1")</f>
        <v>Channel 1</v>
      </c>
      <c r="C261" s="4" t="str">
        <f>IFERROR(__xludf.DUMMYFUNCTION("""COMPUTED_VALUE"""),"Day 2 - 24/06")</f>
        <v>Day 2 - 24/06</v>
      </c>
      <c r="D261" s="6">
        <f>IFERROR(__xludf.DUMMYFUNCTION("""COMPUTED_VALUE"""),0.7064004629629622)</f>
        <v>0.706400463</v>
      </c>
      <c r="E261" s="6">
        <f>IFERROR(__xludf.DUMMYFUNCTION("""COMPUTED_VALUE"""),2.314814814814815E-4)</f>
        <v>0.0002314814815</v>
      </c>
      <c r="F261" s="6">
        <f>IFERROR(__xludf.DUMMYFUNCTION("""COMPUTED_VALUE"""),0.7066319444444437)</f>
        <v>0.7066319444</v>
      </c>
      <c r="G261" s="4" t="str">
        <f>IFERROR(__xludf.DUMMYFUNCTION("""COMPUTED_VALUE"""),"")</f>
        <v/>
      </c>
      <c r="H261" s="4" t="str">
        <f>IFERROR(__xludf.DUMMYFUNCTION("""COMPUTED_VALUE"""),"")</f>
        <v/>
      </c>
      <c r="I261" s="4" t="str">
        <f>IFERROR(__xludf.DUMMYFUNCTION("""COMPUTED_VALUE"""),"")</f>
        <v/>
      </c>
      <c r="J261" s="4" t="str">
        <f>IFERROR(__xludf.DUMMYFUNCTION("""COMPUTED_VALUE"""),"")</f>
        <v/>
      </c>
      <c r="K261" s="4" t="str">
        <f>IFERROR(__xludf.DUMMYFUNCTION("""COMPUTED_VALUE"""),"Talk Intro")</f>
        <v>Talk Intro</v>
      </c>
      <c r="L261" s="4" t="str">
        <f>IFERROR(__xludf.DUMMYFUNCTION("""COMPUTED_VALUE"""),"")</f>
        <v/>
      </c>
      <c r="M261" s="4" t="str">
        <f>IFERROR(__xludf.DUMMYFUNCTION("""COMPUTED_VALUE"""),"Talk intro ")</f>
        <v>Talk intro </v>
      </c>
      <c r="N261" s="4" t="str">
        <f>IFERROR(__xludf.DUMMYFUNCTION("""COMPUTED_VALUE"""),"Paddy Cosgrave, Web Summit")</f>
        <v>Paddy Cosgrave, Web Summit</v>
      </c>
      <c r="O261" s="4" t="str">
        <f>IFERROR(__xludf.DUMMYFUNCTION("""COMPUTED_VALUE"""),"Yvonne Redmond, Web Summit")</f>
        <v>Yvonne Redmond, Web Summit</v>
      </c>
      <c r="P261" s="4" t="str">
        <f>IFERROR(__xludf.DUMMYFUNCTION("""COMPUTED_VALUE"""),"")</f>
        <v/>
      </c>
      <c r="Q261" s="4" t="str">
        <f>IFERROR(__xludf.DUMMYFUNCTION("""COMPUTED_VALUE"""),"")</f>
        <v/>
      </c>
      <c r="R261" s="4" t="str">
        <f>IFERROR(__xludf.DUMMYFUNCTION("""COMPUTED_VALUE"""),"")</f>
        <v/>
      </c>
      <c r="S261" s="4" t="str">
        <f>IFERROR(__xludf.DUMMYFUNCTION("""COMPUTED_VALUE"""),"")</f>
        <v/>
      </c>
      <c r="T261" s="4" t="str">
        <f>IFERROR(__xludf.DUMMYFUNCTION("""COMPUTED_VALUE"""),"")</f>
        <v/>
      </c>
      <c r="U261" s="4" t="str">
        <f>IFERROR(__xludf.DUMMYFUNCTION("""COMPUTED_VALUE"""),"")</f>
        <v/>
      </c>
      <c r="V261" s="4" t="str">
        <f>IFERROR(__xludf.DUMMYFUNCTION("""COMPUTED_VALUE"""),"")</f>
        <v/>
      </c>
      <c r="W261" s="4" t="str">
        <f>IFERROR(__xludf.DUMMYFUNCTION("""COMPUTED_VALUE"""),"")</f>
        <v/>
      </c>
      <c r="X261" s="4" t="str">
        <f>IFERROR(__xludf.DUMMYFUNCTION("""COMPUTED_VALUE"""),"")</f>
        <v/>
      </c>
      <c r="Y261" s="4" t="str">
        <f>IFERROR(__xludf.DUMMYFUNCTION("""COMPUTED_VALUE"""),"")</f>
        <v/>
      </c>
    </row>
    <row r="262">
      <c r="A262" s="4" t="str">
        <f>IFERROR(__xludf.DUMMYFUNCTION("""COMPUTED_VALUE"""),"180 - Channel")</f>
        <v>180 - Channel</v>
      </c>
      <c r="B262" s="4" t="str">
        <f>IFERROR(__xludf.DUMMYFUNCTION("""COMPUTED_VALUE"""),"Channel 1")</f>
        <v>Channel 1</v>
      </c>
      <c r="C262" s="4" t="str">
        <f>IFERROR(__xludf.DUMMYFUNCTION("""COMPUTED_VALUE"""),"Day 2 - 24/06")</f>
        <v>Day 2 - 24/06</v>
      </c>
      <c r="D262" s="6">
        <f>IFERROR(__xludf.DUMMYFUNCTION("""COMPUTED_VALUE"""),0.7066319444444437)</f>
        <v>0.7066319444</v>
      </c>
      <c r="E262" s="6">
        <f>IFERROR(__xludf.DUMMYFUNCTION("""COMPUTED_VALUE"""),0.013888888888888888)</f>
        <v>0.01388888889</v>
      </c>
      <c r="F262" s="6">
        <f>IFERROR(__xludf.DUMMYFUNCTION("""COMPUTED_VALUE"""),0.7205208333333325)</f>
        <v>0.7205208333</v>
      </c>
      <c r="G262" s="4" t="str">
        <f>IFERROR(__xludf.DUMMYFUNCTION("""COMPUTED_VALUE"""),"Gavin")</f>
        <v>Gavin</v>
      </c>
      <c r="H262" s="4" t="str">
        <f>IFERROR(__xludf.DUMMYFUNCTION("""COMPUTED_VALUE"""),"Eoghan")</f>
        <v>Eoghan</v>
      </c>
      <c r="I262" s="4" t="str">
        <f>IFERROR(__xludf.DUMMYFUNCTION("""COMPUTED_VALUE"""),"Naomi")</f>
        <v>Naomi</v>
      </c>
      <c r="J262" s="4" t="str">
        <f>IFERROR(__xludf.DUMMYFUNCTION("""COMPUTED_VALUE"""),"")</f>
        <v/>
      </c>
      <c r="K262" s="4" t="str">
        <f>IFERROR(__xludf.DUMMYFUNCTION("""COMPUTED_VALUE"""),"Super Fireside")</f>
        <v>Super Fireside</v>
      </c>
      <c r="L262" s="4" t="str">
        <f>IFERROR(__xludf.DUMMYFUNCTION("""COMPUTED_VALUE"""),"T- 3 - 01/06/2020")</f>
        <v>T- 3 - 01/06/2020</v>
      </c>
      <c r="M262" s="4" t="str">
        <f>IFERROR(__xludf.DUMMYFUNCTION("""COMPUTED_VALUE"""),"Startups everywhere navigating the future of work")</f>
        <v>Startups everywhere navigating the future of work</v>
      </c>
      <c r="N262" s="4" t="str">
        <f>IFERROR(__xludf.DUMMYFUNCTION("""COMPUTED_VALUE"""),"Steve Case, Revolution")</f>
        <v>Steve Case, Revolution</v>
      </c>
      <c r="O262" s="4" t="str">
        <f>IFERROR(__xludf.DUMMYFUNCTION("""COMPUTED_VALUE"""),"Ryan Simonetti, Convene")</f>
        <v>Ryan Simonetti, Convene</v>
      </c>
      <c r="P262" s="4" t="str">
        <f>IFERROR(__xludf.DUMMYFUNCTION("""COMPUTED_VALUE"""),"")</f>
        <v/>
      </c>
      <c r="Q262" s="4" t="str">
        <f>IFERROR(__xludf.DUMMYFUNCTION("""COMPUTED_VALUE"""),"")</f>
        <v/>
      </c>
      <c r="R262" s="4" t="str">
        <f>IFERROR(__xludf.DUMMYFUNCTION("""COMPUTED_VALUE"""),"Nicholas Thompson, Wired")</f>
        <v>Nicholas Thompson, Wired</v>
      </c>
      <c r="S262" s="4" t="str">
        <f>IFERROR(__xludf.DUMMYFUNCTION("""COMPUTED_VALUE"""),"We can only sit on our hands for so long before the economic fightback begins, but will business ever be the same? And how can we adapt to the new normal? ")</f>
        <v>We can only sit on our hands for so long before the economic fightback begins, but will business ever be the same? And how can we adapt to the new normal? </v>
      </c>
      <c r="T262" s="4" t="str">
        <f>IFERROR(__xludf.DUMMYFUNCTION("""COMPUTED_VALUE"""),"NON-KEYNOTE 9 - COMPLETE")</f>
        <v>NON-KEYNOTE 9 - COMPLETE</v>
      </c>
      <c r="U262" s="23">
        <f>IFERROR(__xludf.DUMMYFUNCTION("""COMPUTED_VALUE"""),43984.0)</f>
        <v>43984</v>
      </c>
      <c r="V262" s="24">
        <f>IFERROR(__xludf.DUMMYFUNCTION("""COMPUTED_VALUE"""),0.7916666666666666)</f>
        <v>0.7916666667</v>
      </c>
      <c r="W262" s="4" t="str">
        <f>IFERROR(__xludf.DUMMYFUNCTION("""COMPUTED_VALUE"""),"COMPLETE")</f>
        <v>COMPLETE</v>
      </c>
      <c r="X262" s="4" t="str">
        <f>IFERROR(__xludf.DUMMYFUNCTION("""COMPUTED_VALUE"""),"Brian")</f>
        <v>Brian</v>
      </c>
      <c r="Y262" s="4" t="str">
        <f>IFERROR(__xludf.DUMMYFUNCTION("""COMPUTED_VALUE"""),"")</f>
        <v/>
      </c>
    </row>
    <row r="263">
      <c r="A263" s="4" t="str">
        <f>IFERROR(__xludf.DUMMYFUNCTION("""COMPUTED_VALUE"""),"258 - Channel")</f>
        <v>258 - Channel</v>
      </c>
      <c r="B263" s="4" t="str">
        <f>IFERROR(__xludf.DUMMYFUNCTION("""COMPUTED_VALUE"""),"Channel 1")</f>
        <v>Channel 1</v>
      </c>
      <c r="C263" s="4" t="str">
        <f>IFERROR(__xludf.DUMMYFUNCTION("""COMPUTED_VALUE"""),"Day 2 - 24/06")</f>
        <v>Day 2 - 24/06</v>
      </c>
      <c r="D263" s="6">
        <f>IFERROR(__xludf.DUMMYFUNCTION("""COMPUTED_VALUE"""),0.7205208333333325)</f>
        <v>0.7205208333</v>
      </c>
      <c r="E263" s="53">
        <f>IFERROR(__xludf.DUMMYFUNCTION("""COMPUTED_VALUE"""),6.944444444444445E-4)</f>
        <v>0.0006944444444</v>
      </c>
      <c r="F263" s="6">
        <f>IFERROR(__xludf.DUMMYFUNCTION("""COMPUTED_VALUE"""),0.7212152777777769)</f>
        <v>0.7212152778</v>
      </c>
      <c r="G263" s="4" t="str">
        <f>IFERROR(__xludf.DUMMYFUNCTION("""COMPUTED_VALUE"""),"")</f>
        <v/>
      </c>
      <c r="H263" s="4" t="str">
        <f>IFERROR(__xludf.DUMMYFUNCTION("""COMPUTED_VALUE"""),"")</f>
        <v/>
      </c>
      <c r="I263" s="4" t="str">
        <f>IFERROR(__xludf.DUMMYFUNCTION("""COMPUTED_VALUE"""),"")</f>
        <v/>
      </c>
      <c r="J263" s="4" t="str">
        <f>IFERROR(__xludf.DUMMYFUNCTION("""COMPUTED_VALUE"""),"")</f>
        <v/>
      </c>
      <c r="K263" s="4" t="str">
        <f>IFERROR(__xludf.DUMMYFUNCTION("""COMPUTED_VALUE"""),"Anchor piece")</f>
        <v>Anchor piece</v>
      </c>
      <c r="L263" s="4" t="str">
        <f>IFERROR(__xludf.DUMMYFUNCTION("""COMPUTED_VALUE"""),"")</f>
        <v/>
      </c>
      <c r="M263" s="4" t="str">
        <f>IFERROR(__xludf.DUMMYFUNCTION("""COMPUTED_VALUE"""),"Closing remarks_DAY 2")</f>
        <v>Closing remarks_DAY 2</v>
      </c>
      <c r="N263" s="4" t="str">
        <f>IFERROR(__xludf.DUMMYFUNCTION("""COMPUTED_VALUE"""),"Paddy Cosgrave, Web Summit")</f>
        <v>Paddy Cosgrave, Web Summit</v>
      </c>
      <c r="O263" s="4" t="str">
        <f>IFERROR(__xludf.DUMMYFUNCTION("""COMPUTED_VALUE"""),"")</f>
        <v/>
      </c>
      <c r="P263" s="4" t="str">
        <f>IFERROR(__xludf.DUMMYFUNCTION("""COMPUTED_VALUE"""),"")</f>
        <v/>
      </c>
      <c r="Q263" s="4" t="str">
        <f>IFERROR(__xludf.DUMMYFUNCTION("""COMPUTED_VALUE"""),"")</f>
        <v/>
      </c>
      <c r="R263" s="4" t="str">
        <f>IFERROR(__xludf.DUMMYFUNCTION("""COMPUTED_VALUE"""),"")</f>
        <v/>
      </c>
      <c r="S263" s="4" t="str">
        <f>IFERROR(__xludf.DUMMYFUNCTION("""COMPUTED_VALUE"""),"")</f>
        <v/>
      </c>
      <c r="T263" s="4" t="str">
        <f>IFERROR(__xludf.DUMMYFUNCTION("""COMPUTED_VALUE"""),"")</f>
        <v/>
      </c>
      <c r="U263" s="4" t="str">
        <f>IFERROR(__xludf.DUMMYFUNCTION("""COMPUTED_VALUE"""),"")</f>
        <v/>
      </c>
      <c r="V263" s="4" t="str">
        <f>IFERROR(__xludf.DUMMYFUNCTION("""COMPUTED_VALUE"""),"")</f>
        <v/>
      </c>
      <c r="W263" s="4" t="str">
        <f>IFERROR(__xludf.DUMMYFUNCTION("""COMPUTED_VALUE"""),"")</f>
        <v/>
      </c>
      <c r="X263" s="4" t="str">
        <f>IFERROR(__xludf.DUMMYFUNCTION("""COMPUTED_VALUE"""),"")</f>
        <v/>
      </c>
      <c r="Y263" s="4" t="str">
        <f>IFERROR(__xludf.DUMMYFUNCTION("""COMPUTED_VALUE"""),"")</f>
        <v/>
      </c>
    </row>
    <row r="264">
      <c r="A264" s="4" t="str">
        <f>IFERROR(__xludf.DUMMYFUNCTION("""COMPUTED_VALUE"""),"260 - Channel")</f>
        <v>260 - Channel</v>
      </c>
      <c r="B264" s="4" t="str">
        <f>IFERROR(__xludf.DUMMYFUNCTION("""COMPUTED_VALUE"""),"DAY 3 - Thursday, 25 June")</f>
        <v>DAY 3 - Thursday, 25 June</v>
      </c>
      <c r="C264" s="4" t="str">
        <f>IFERROR(__xludf.DUMMYFUNCTION("""COMPUTED_VALUE"""),"")</f>
        <v/>
      </c>
      <c r="D264" s="4" t="str">
        <f>IFERROR(__xludf.DUMMYFUNCTION("""COMPUTED_VALUE"""),"")</f>
        <v/>
      </c>
      <c r="E264" s="4" t="str">
        <f>IFERROR(__xludf.DUMMYFUNCTION("""COMPUTED_VALUE"""),"")</f>
        <v/>
      </c>
      <c r="F264" s="4" t="str">
        <f>IFERROR(__xludf.DUMMYFUNCTION("""COMPUTED_VALUE"""),"")</f>
        <v/>
      </c>
      <c r="G264" s="4" t="str">
        <f>IFERROR(__xludf.DUMMYFUNCTION("""COMPUTED_VALUE"""),"")</f>
        <v/>
      </c>
      <c r="H264" s="4" t="str">
        <f>IFERROR(__xludf.DUMMYFUNCTION("""COMPUTED_VALUE"""),"")</f>
        <v/>
      </c>
      <c r="I264" s="4" t="str">
        <f>IFERROR(__xludf.DUMMYFUNCTION("""COMPUTED_VALUE"""),"")</f>
        <v/>
      </c>
      <c r="J264" s="4" t="str">
        <f>IFERROR(__xludf.DUMMYFUNCTION("""COMPUTED_VALUE"""),"")</f>
        <v/>
      </c>
      <c r="K264" s="4" t="str">
        <f>IFERROR(__xludf.DUMMYFUNCTION("""COMPUTED_VALUE"""),"")</f>
        <v/>
      </c>
      <c r="L264" s="4" t="str">
        <f>IFERROR(__xludf.DUMMYFUNCTION("""COMPUTED_VALUE"""),"")</f>
        <v/>
      </c>
      <c r="M264" s="4" t="str">
        <f>IFERROR(__xludf.DUMMYFUNCTION("""COMPUTED_VALUE"""),"")</f>
        <v/>
      </c>
      <c r="N264" s="4" t="str">
        <f>IFERROR(__xludf.DUMMYFUNCTION("""COMPUTED_VALUE"""),"")</f>
        <v/>
      </c>
      <c r="O264" s="4" t="str">
        <f>IFERROR(__xludf.DUMMYFUNCTION("""COMPUTED_VALUE"""),"")</f>
        <v/>
      </c>
      <c r="P264" s="4" t="str">
        <f>IFERROR(__xludf.DUMMYFUNCTION("""COMPUTED_VALUE"""),"")</f>
        <v/>
      </c>
      <c r="Q264" s="4" t="str">
        <f>IFERROR(__xludf.DUMMYFUNCTION("""COMPUTED_VALUE"""),"")</f>
        <v/>
      </c>
      <c r="R264" s="4" t="str">
        <f>IFERROR(__xludf.DUMMYFUNCTION("""COMPUTED_VALUE"""),"")</f>
        <v/>
      </c>
      <c r="S264" s="4" t="str">
        <f>IFERROR(__xludf.DUMMYFUNCTION("""COMPUTED_VALUE"""),"")</f>
        <v/>
      </c>
      <c r="T264" s="4" t="str">
        <f>IFERROR(__xludf.DUMMYFUNCTION("""COMPUTED_VALUE"""),"")</f>
        <v/>
      </c>
      <c r="U264" s="4" t="str">
        <f>IFERROR(__xludf.DUMMYFUNCTION("""COMPUTED_VALUE"""),"")</f>
        <v/>
      </c>
      <c r="V264" s="4" t="str">
        <f>IFERROR(__xludf.DUMMYFUNCTION("""COMPUTED_VALUE"""),"")</f>
        <v/>
      </c>
      <c r="W264" s="4" t="str">
        <f>IFERROR(__xludf.DUMMYFUNCTION("""COMPUTED_VALUE"""),"")</f>
        <v/>
      </c>
      <c r="X264" s="4" t="str">
        <f>IFERROR(__xludf.DUMMYFUNCTION("""COMPUTED_VALUE"""),"")</f>
        <v/>
      </c>
      <c r="Y264" s="4" t="str">
        <f>IFERROR(__xludf.DUMMYFUNCTION("""COMPUTED_VALUE"""),"")</f>
        <v/>
      </c>
    </row>
    <row r="265">
      <c r="A265" s="4" t="str">
        <f>IFERROR(__xludf.DUMMYFUNCTION("""COMPUTED_VALUE"""),"261 - Channel")</f>
        <v>261 - Channel</v>
      </c>
      <c r="B265" s="4" t="str">
        <f>IFERROR(__xludf.DUMMYFUNCTION("""COMPUTED_VALUE"""),"Channel 1")</f>
        <v>Channel 1</v>
      </c>
      <c r="C265" s="4" t="str">
        <f>IFERROR(__xludf.DUMMYFUNCTION("""COMPUTED_VALUE"""),"Day 3 - 25/06")</f>
        <v>Day 3 - 25/06</v>
      </c>
      <c r="D265" s="6">
        <f>IFERROR(__xludf.DUMMYFUNCTION("""COMPUTED_VALUE"""),0.4166666666666667)</f>
        <v>0.4166666667</v>
      </c>
      <c r="E265" s="6">
        <f>IFERROR(__xludf.DUMMYFUNCTION("""COMPUTED_VALUE"""),0.0010416666666666667)</f>
        <v>0.001041666667</v>
      </c>
      <c r="F265" s="6">
        <f>IFERROR(__xludf.DUMMYFUNCTION("""COMPUTED_VALUE"""),0.41770833333333335)</f>
        <v>0.4177083333</v>
      </c>
      <c r="G265" s="4" t="str">
        <f>IFERROR(__xludf.DUMMYFUNCTION("""COMPUTED_VALUE"""),"Video")</f>
        <v>Video</v>
      </c>
      <c r="H265" s="4" t="str">
        <f>IFERROR(__xludf.DUMMYFUNCTION("""COMPUTED_VALUE"""),"")</f>
        <v/>
      </c>
      <c r="I265" s="4" t="str">
        <f>IFERROR(__xludf.DUMMYFUNCTION("""COMPUTED_VALUE"""),"")</f>
        <v/>
      </c>
      <c r="J265" s="4" t="str">
        <f>IFERROR(__xludf.DUMMYFUNCTION("""COMPUTED_VALUE"""),"")</f>
        <v/>
      </c>
      <c r="K265" s="4" t="str">
        <f>IFERROR(__xludf.DUMMYFUNCTION("""COMPUTED_VALUE"""),"Collision From Home Day Intro")</f>
        <v>Collision From Home Day Intro</v>
      </c>
      <c r="L265" s="4" t="str">
        <f>IFERROR(__xludf.DUMMYFUNCTION("""COMPUTED_VALUE"""),"")</f>
        <v/>
      </c>
      <c r="M265" s="4" t="str">
        <f>IFERROR(__xludf.DUMMYFUNCTION("""COMPUTED_VALUE"""),"CFH Intro Video ")</f>
        <v>CFH Intro Video </v>
      </c>
      <c r="N265" s="4" t="str">
        <f>IFERROR(__xludf.DUMMYFUNCTION("""COMPUTED_VALUE"""),"Content pending")</f>
        <v>Content pending</v>
      </c>
      <c r="O265" s="4" t="str">
        <f>IFERROR(__xludf.DUMMYFUNCTION("""COMPUTED_VALUE"""),"")</f>
        <v/>
      </c>
      <c r="P265" s="4" t="str">
        <f>IFERROR(__xludf.DUMMYFUNCTION("""COMPUTED_VALUE"""),"")</f>
        <v/>
      </c>
      <c r="Q265" s="4" t="str">
        <f>IFERROR(__xludf.DUMMYFUNCTION("""COMPUTED_VALUE"""),"")</f>
        <v/>
      </c>
      <c r="R265" s="4" t="str">
        <f>IFERROR(__xludf.DUMMYFUNCTION("""COMPUTED_VALUE"""),"")</f>
        <v/>
      </c>
      <c r="S265" s="4" t="str">
        <f>IFERROR(__xludf.DUMMYFUNCTION("""COMPUTED_VALUE"""),"")</f>
        <v/>
      </c>
      <c r="T265" s="4" t="str">
        <f>IFERROR(__xludf.DUMMYFUNCTION("""COMPUTED_VALUE"""),"")</f>
        <v/>
      </c>
      <c r="U265" s="4" t="str">
        <f>IFERROR(__xludf.DUMMYFUNCTION("""COMPUTED_VALUE"""),"")</f>
        <v/>
      </c>
      <c r="V265" s="4" t="str">
        <f>IFERROR(__xludf.DUMMYFUNCTION("""COMPUTED_VALUE"""),"")</f>
        <v/>
      </c>
      <c r="W265" s="4" t="str">
        <f>IFERROR(__xludf.DUMMYFUNCTION("""COMPUTED_VALUE"""),"")</f>
        <v/>
      </c>
      <c r="X265" s="4" t="str">
        <f>IFERROR(__xludf.DUMMYFUNCTION("""COMPUTED_VALUE"""),"")</f>
        <v/>
      </c>
      <c r="Y265" s="4" t="str">
        <f>IFERROR(__xludf.DUMMYFUNCTION("""COMPUTED_VALUE"""),"")</f>
        <v/>
      </c>
    </row>
    <row r="266">
      <c r="A266" s="4" t="str">
        <f>IFERROR(__xludf.DUMMYFUNCTION("""COMPUTED_VALUE"""),"262 - Channel")</f>
        <v>262 - Channel</v>
      </c>
      <c r="B266" s="4" t="str">
        <f>IFERROR(__xludf.DUMMYFUNCTION("""COMPUTED_VALUE"""),"Channel 1")</f>
        <v>Channel 1</v>
      </c>
      <c r="C266" s="4" t="str">
        <f>IFERROR(__xludf.DUMMYFUNCTION("""COMPUTED_VALUE"""),"Day 3 - 25/06")</f>
        <v>Day 3 - 25/06</v>
      </c>
      <c r="D266" s="6">
        <f>IFERROR(__xludf.DUMMYFUNCTION("""COMPUTED_VALUE"""),0.41770833333333335)</f>
        <v>0.4177083333</v>
      </c>
      <c r="E266" s="6">
        <f>IFERROR(__xludf.DUMMYFUNCTION("""COMPUTED_VALUE"""),6.944444444444445E-4)</f>
        <v>0.0006944444444</v>
      </c>
      <c r="F266" s="6">
        <f>IFERROR(__xludf.DUMMYFUNCTION("""COMPUTED_VALUE"""),0.4184027777777778)</f>
        <v>0.4184027778</v>
      </c>
      <c r="G266" s="4" t="str">
        <f>IFERROR(__xludf.DUMMYFUNCTION("""COMPUTED_VALUE"""),"")</f>
        <v/>
      </c>
      <c r="H266" s="4" t="str">
        <f>IFERROR(__xludf.DUMMYFUNCTION("""COMPUTED_VALUE"""),"")</f>
        <v/>
      </c>
      <c r="I266" s="4" t="str">
        <f>IFERROR(__xludf.DUMMYFUNCTION("""COMPUTED_VALUE"""),"")</f>
        <v/>
      </c>
      <c r="J266" s="4" t="str">
        <f>IFERROR(__xludf.DUMMYFUNCTION("""COMPUTED_VALUE"""),"")</f>
        <v/>
      </c>
      <c r="K266" s="4" t="str">
        <f>IFERROR(__xludf.DUMMYFUNCTION("""COMPUTED_VALUE"""),"Laundry List/Lookaround")</f>
        <v>Laundry List/Lookaround</v>
      </c>
      <c r="L266" s="4" t="str">
        <f>IFERROR(__xludf.DUMMYFUNCTION("""COMPUTED_VALUE"""),"")</f>
        <v/>
      </c>
      <c r="M266" s="4" t="str">
        <f>IFERROR(__xludf.DUMMYFUNCTION("""COMPUTED_VALUE"""),"Laundry Day3_10AM")</f>
        <v>Laundry Day3_10AM</v>
      </c>
      <c r="N266" s="4" t="str">
        <f>IFERROR(__xludf.DUMMYFUNCTION("""COMPUTED_VALUE"""),"Sunil Sharma, Web Summit")</f>
        <v>Sunil Sharma, Web Summit</v>
      </c>
      <c r="O266" s="4" t="str">
        <f>IFERROR(__xludf.DUMMYFUNCTION("""COMPUTED_VALUE"""),"")</f>
        <v/>
      </c>
      <c r="P266" s="4" t="str">
        <f>IFERROR(__xludf.DUMMYFUNCTION("""COMPUTED_VALUE"""),"")</f>
        <v/>
      </c>
      <c r="Q266" s="4" t="str">
        <f>IFERROR(__xludf.DUMMYFUNCTION("""COMPUTED_VALUE"""),"")</f>
        <v/>
      </c>
      <c r="R266" s="4" t="str">
        <f>IFERROR(__xludf.DUMMYFUNCTION("""COMPUTED_VALUE"""),"")</f>
        <v/>
      </c>
      <c r="S266" s="4" t="str">
        <f>IFERROR(__xludf.DUMMYFUNCTION("""COMPUTED_VALUE"""),"")</f>
        <v/>
      </c>
      <c r="T266" s="4" t="str">
        <f>IFERROR(__xludf.DUMMYFUNCTION("""COMPUTED_VALUE"""),"")</f>
        <v/>
      </c>
      <c r="U266" s="4" t="str">
        <f>IFERROR(__xludf.DUMMYFUNCTION("""COMPUTED_VALUE"""),"")</f>
        <v/>
      </c>
      <c r="V266" s="4" t="str">
        <f>IFERROR(__xludf.DUMMYFUNCTION("""COMPUTED_VALUE"""),"")</f>
        <v/>
      </c>
      <c r="W266" s="4" t="str">
        <f>IFERROR(__xludf.DUMMYFUNCTION("""COMPUTED_VALUE"""),"")</f>
        <v/>
      </c>
      <c r="X266" s="4" t="str">
        <f>IFERROR(__xludf.DUMMYFUNCTION("""COMPUTED_VALUE"""),"")</f>
        <v/>
      </c>
      <c r="Y266" s="4" t="str">
        <f>IFERROR(__xludf.DUMMYFUNCTION("""COMPUTED_VALUE"""),"")</f>
        <v/>
      </c>
    </row>
    <row r="267">
      <c r="A267" s="4" t="str">
        <f>IFERROR(__xludf.DUMMYFUNCTION("""COMPUTED_VALUE"""),"263 - Channel")</f>
        <v>263 - Channel</v>
      </c>
      <c r="B267" s="4" t="str">
        <f>IFERROR(__xludf.DUMMYFUNCTION("""COMPUTED_VALUE"""),"Channel 1")</f>
        <v>Channel 1</v>
      </c>
      <c r="C267" s="4" t="str">
        <f>IFERROR(__xludf.DUMMYFUNCTION("""COMPUTED_VALUE"""),"Day 3 - 25/06")</f>
        <v>Day 3 - 25/06</v>
      </c>
      <c r="D267" s="6">
        <f>IFERROR(__xludf.DUMMYFUNCTION("""COMPUTED_VALUE"""),0.4184027777777778)</f>
        <v>0.4184027778</v>
      </c>
      <c r="E267" s="6">
        <f>IFERROR(__xludf.DUMMYFUNCTION("""COMPUTED_VALUE"""),2.314814814814815E-4)</f>
        <v>0.0002314814815</v>
      </c>
      <c r="F267" s="6">
        <f>IFERROR(__xludf.DUMMYFUNCTION("""COMPUTED_VALUE"""),0.4186342592592593)</f>
        <v>0.4186342593</v>
      </c>
      <c r="G267" s="4" t="str">
        <f>IFERROR(__xludf.DUMMYFUNCTION("""COMPUTED_VALUE"""),"")</f>
        <v/>
      </c>
      <c r="H267" s="4" t="str">
        <f>IFERROR(__xludf.DUMMYFUNCTION("""COMPUTED_VALUE"""),"")</f>
        <v/>
      </c>
      <c r="I267" s="4" t="str">
        <f>IFERROR(__xludf.DUMMYFUNCTION("""COMPUTED_VALUE"""),"")</f>
        <v/>
      </c>
      <c r="J267" s="4" t="str">
        <f>IFERROR(__xludf.DUMMYFUNCTION("""COMPUTED_VALUE"""),"")</f>
        <v/>
      </c>
      <c r="K267" s="4" t="str">
        <f>IFERROR(__xludf.DUMMYFUNCTION("""COMPUTED_VALUE"""),"Talk Intro")</f>
        <v>Talk Intro</v>
      </c>
      <c r="L267" s="4" t="str">
        <f>IFERROR(__xludf.DUMMYFUNCTION("""COMPUTED_VALUE"""),"")</f>
        <v/>
      </c>
      <c r="M267" s="4" t="str">
        <f>IFERROR(__xludf.DUMMYFUNCTION("""COMPUTED_VALUE"""),"Talk Intro")</f>
        <v>Talk Intro</v>
      </c>
      <c r="N267" s="4" t="str">
        <f>IFERROR(__xludf.DUMMYFUNCTION("""COMPUTED_VALUE"""),"Sunil Sharma, Web Summit")</f>
        <v>Sunil Sharma, Web Summit</v>
      </c>
      <c r="O267" s="4" t="str">
        <f>IFERROR(__xludf.DUMMYFUNCTION("""COMPUTED_VALUE"""),"")</f>
        <v/>
      </c>
      <c r="P267" s="4" t="str">
        <f>IFERROR(__xludf.DUMMYFUNCTION("""COMPUTED_VALUE"""),"")</f>
        <v/>
      </c>
      <c r="Q267" s="4" t="str">
        <f>IFERROR(__xludf.DUMMYFUNCTION("""COMPUTED_VALUE"""),"")</f>
        <v/>
      </c>
      <c r="R267" s="4" t="str">
        <f>IFERROR(__xludf.DUMMYFUNCTION("""COMPUTED_VALUE"""),"")</f>
        <v/>
      </c>
      <c r="S267" s="4" t="str">
        <f>IFERROR(__xludf.DUMMYFUNCTION("""COMPUTED_VALUE"""),"")</f>
        <v/>
      </c>
      <c r="T267" s="4" t="str">
        <f>IFERROR(__xludf.DUMMYFUNCTION("""COMPUTED_VALUE"""),"")</f>
        <v/>
      </c>
      <c r="U267" s="4" t="str">
        <f>IFERROR(__xludf.DUMMYFUNCTION("""COMPUTED_VALUE"""),"")</f>
        <v/>
      </c>
      <c r="V267" s="4" t="str">
        <f>IFERROR(__xludf.DUMMYFUNCTION("""COMPUTED_VALUE"""),"")</f>
        <v/>
      </c>
      <c r="W267" s="4" t="str">
        <f>IFERROR(__xludf.DUMMYFUNCTION("""COMPUTED_VALUE"""),"")</f>
        <v/>
      </c>
      <c r="X267" s="4" t="str">
        <f>IFERROR(__xludf.DUMMYFUNCTION("""COMPUTED_VALUE"""),"")</f>
        <v/>
      </c>
      <c r="Y267" s="4" t="str">
        <f>IFERROR(__xludf.DUMMYFUNCTION("""COMPUTED_VALUE"""),"")</f>
        <v/>
      </c>
    </row>
    <row r="268">
      <c r="A268" s="4" t="str">
        <f>IFERROR(__xludf.DUMMYFUNCTION("""COMPUTED_VALUE"""),"264 - Channel")</f>
        <v>264 - Channel</v>
      </c>
      <c r="B268" s="4" t="str">
        <f>IFERROR(__xludf.DUMMYFUNCTION("""COMPUTED_VALUE"""),"Channel 1")</f>
        <v>Channel 1</v>
      </c>
      <c r="C268" s="4" t="str">
        <f>IFERROR(__xludf.DUMMYFUNCTION("""COMPUTED_VALUE"""),"Day 3 - 25/06")</f>
        <v>Day 3 - 25/06</v>
      </c>
      <c r="D268" s="6">
        <f>IFERROR(__xludf.DUMMYFUNCTION("""COMPUTED_VALUE"""),0.4186342592592593)</f>
        <v>0.4186342593</v>
      </c>
      <c r="E268" s="6">
        <f>IFERROR(__xludf.DUMMYFUNCTION("""COMPUTED_VALUE"""),0.009606481481481481)</f>
        <v>0.009606481481</v>
      </c>
      <c r="F268" s="6">
        <f>IFERROR(__xludf.DUMMYFUNCTION("""COMPUTED_VALUE"""),0.42824074074074076)</f>
        <v>0.4282407407</v>
      </c>
      <c r="G268" s="4" t="str">
        <f>IFERROR(__xludf.DUMMYFUNCTION("""COMPUTED_VALUE"""),"Luan")</f>
        <v>Luan</v>
      </c>
      <c r="H268" s="4" t="str">
        <f>IFERROR(__xludf.DUMMYFUNCTION("""COMPUTED_VALUE"""),"Stephen")</f>
        <v>Stephen</v>
      </c>
      <c r="I268" s="4" t="str">
        <f>IFERROR(__xludf.DUMMYFUNCTION("""COMPUTED_VALUE"""),"Geoff")</f>
        <v>Geoff</v>
      </c>
      <c r="J268" s="4" t="str">
        <f>IFERROR(__xludf.DUMMYFUNCTION("""COMPUTED_VALUE"""),"")</f>
        <v/>
      </c>
      <c r="K268" s="4" t="str">
        <f>IFERROR(__xludf.DUMMYFUNCTION("""COMPUTED_VALUE"""),"Fireside")</f>
        <v>Fireside</v>
      </c>
      <c r="L268" s="4" t="str">
        <f>IFERROR(__xludf.DUMMYFUNCTION("""COMPUTED_VALUE"""),"T- 6 - 11/05/2020")</f>
        <v>T- 6 - 11/05/2020</v>
      </c>
      <c r="M268" s="4" t="str">
        <f>IFERROR(__xludf.DUMMYFUNCTION("""COMPUTED_VALUE"""),"Inside SoftBank: Changing customer behaviour")</f>
        <v>Inside SoftBank: Changing customer behaviour</v>
      </c>
      <c r="N268" s="4" t="str">
        <f>IFERROR(__xludf.DUMMYFUNCTION("""COMPUTED_VALUE"""),"Jeff Housenbold, SoftBank Vision Fund")</f>
        <v>Jeff Housenbold, SoftBank Vision Fund</v>
      </c>
      <c r="O268" s="4" t="str">
        <f>IFERROR(__xludf.DUMMYFUNCTION("""COMPUTED_VALUE"""),"")</f>
        <v/>
      </c>
      <c r="P268" s="4" t="str">
        <f>IFERROR(__xludf.DUMMYFUNCTION("""COMPUTED_VALUE"""),"")</f>
        <v/>
      </c>
      <c r="Q268" s="4" t="str">
        <f>IFERROR(__xludf.DUMMYFUNCTION("""COMPUTED_VALUE"""),"")</f>
        <v/>
      </c>
      <c r="R268" s="4" t="str">
        <f>IFERROR(__xludf.DUMMYFUNCTION("""COMPUTED_VALUE"""),"Gina Chon, Reuters Breakingviews")</f>
        <v>Gina Chon, Reuters Breakingviews</v>
      </c>
      <c r="S268" s="4" t="str">
        <f>IFERROR(__xludf.DUMMYFUNCTION("""COMPUTED_VALUE"""),"It’s been a busy year for Softbank. Regularly in the headlines, but not always for the right reasons. We'll discuss some of those stories, and look ahead to how Covid-19 will change customer behaviour forever.")</f>
        <v>It’s been a busy year for Softbank. Regularly in the headlines, but not always for the right reasons. We'll discuss some of those stories, and look ahead to how Covid-19 will change customer behaviour forever.</v>
      </c>
      <c r="T268" s="4" t="str">
        <f>IFERROR(__xludf.DUMMYFUNCTION("""COMPUTED_VALUE"""),"NON-KEYNOTE 9 - COMPLETE")</f>
        <v>NON-KEYNOTE 9 - COMPLETE</v>
      </c>
      <c r="U268" s="23">
        <f>IFERROR(__xludf.DUMMYFUNCTION("""COMPUTED_VALUE"""),43966.0)</f>
        <v>43966</v>
      </c>
      <c r="V268" s="24">
        <f>IFERROR(__xludf.DUMMYFUNCTION("""COMPUTED_VALUE"""),0.8125)</f>
        <v>0.8125</v>
      </c>
      <c r="W268" s="4" t="str">
        <f>IFERROR(__xludf.DUMMYFUNCTION("""COMPUTED_VALUE"""),"COMPLETE")</f>
        <v>COMPLETE</v>
      </c>
      <c r="X268" s="4" t="str">
        <f>IFERROR(__xludf.DUMMYFUNCTION("""COMPUTED_VALUE"""),"Naomi")</f>
        <v>Naomi</v>
      </c>
      <c r="Y268" s="4" t="str">
        <f>IFERROR(__xludf.DUMMYFUNCTION("""COMPUTED_VALUE"""),"")</f>
        <v/>
      </c>
    </row>
    <row r="269">
      <c r="A269" s="4" t="str">
        <f>IFERROR(__xludf.DUMMYFUNCTION("""COMPUTED_VALUE"""),"266 - Channel")</f>
        <v>266 - Channel</v>
      </c>
      <c r="B269" s="4" t="str">
        <f>IFERROR(__xludf.DUMMYFUNCTION("""COMPUTED_VALUE"""),"Channel 1")</f>
        <v>Channel 1</v>
      </c>
      <c r="C269" s="4" t="str">
        <f>IFERROR(__xludf.DUMMYFUNCTION("""COMPUTED_VALUE"""),"Day 3 - 25/06")</f>
        <v>Day 3 - 25/06</v>
      </c>
      <c r="D269" s="6">
        <f>IFERROR(__xludf.DUMMYFUNCTION("""COMPUTED_VALUE"""),0.42824074074074076)</f>
        <v>0.4282407407</v>
      </c>
      <c r="E269" s="6">
        <f>IFERROR(__xludf.DUMMYFUNCTION("""COMPUTED_VALUE"""),2.314814814814815E-4)</f>
        <v>0.0002314814815</v>
      </c>
      <c r="F269" s="6">
        <f>IFERROR(__xludf.DUMMYFUNCTION("""COMPUTED_VALUE"""),0.42847222222222225)</f>
        <v>0.4284722222</v>
      </c>
      <c r="G269" s="4" t="str">
        <f>IFERROR(__xludf.DUMMYFUNCTION("""COMPUTED_VALUE"""),"")</f>
        <v/>
      </c>
      <c r="H269" s="4" t="str">
        <f>IFERROR(__xludf.DUMMYFUNCTION("""COMPUTED_VALUE"""),"")</f>
        <v/>
      </c>
      <c r="I269" s="4" t="str">
        <f>IFERROR(__xludf.DUMMYFUNCTION("""COMPUTED_VALUE"""),"")</f>
        <v/>
      </c>
      <c r="J269" s="4" t="str">
        <f>IFERROR(__xludf.DUMMYFUNCTION("""COMPUTED_VALUE"""),"")</f>
        <v/>
      </c>
      <c r="K269" s="4" t="str">
        <f>IFERROR(__xludf.DUMMYFUNCTION("""COMPUTED_VALUE"""),"Talk Intro")</f>
        <v>Talk Intro</v>
      </c>
      <c r="L269" s="4" t="str">
        <f>IFERROR(__xludf.DUMMYFUNCTION("""COMPUTED_VALUE"""),"")</f>
        <v/>
      </c>
      <c r="M269" s="4" t="str">
        <f>IFERROR(__xludf.DUMMYFUNCTION("""COMPUTED_VALUE"""),"Teaser: Sony Pictures Animation_Intro")</f>
        <v>Teaser: Sony Pictures Animation_Intro</v>
      </c>
      <c r="N269" s="4" t="str">
        <f>IFERROR(__xludf.DUMMYFUNCTION("""COMPUTED_VALUE"""),"Paddy Cosgrave, Web Summit")</f>
        <v>Paddy Cosgrave, Web Summit</v>
      </c>
      <c r="O269" s="4" t="str">
        <f>IFERROR(__xludf.DUMMYFUNCTION("""COMPUTED_VALUE"""),"Sunil Sharma, Web Summit")</f>
        <v>Sunil Sharma, Web Summit</v>
      </c>
      <c r="P269" s="4" t="str">
        <f>IFERROR(__xludf.DUMMYFUNCTION("""COMPUTED_VALUE"""),"")</f>
        <v/>
      </c>
      <c r="Q269" s="4" t="str">
        <f>IFERROR(__xludf.DUMMYFUNCTION("""COMPUTED_VALUE"""),"")</f>
        <v/>
      </c>
      <c r="R269" s="4" t="str">
        <f>IFERROR(__xludf.DUMMYFUNCTION("""COMPUTED_VALUE"""),"")</f>
        <v/>
      </c>
      <c r="S269" s="4" t="str">
        <f>IFERROR(__xludf.DUMMYFUNCTION("""COMPUTED_VALUE"""),"")</f>
        <v/>
      </c>
      <c r="T269" s="4" t="str">
        <f>IFERROR(__xludf.DUMMYFUNCTION("""COMPUTED_VALUE"""),"")</f>
        <v/>
      </c>
      <c r="U269" s="4" t="str">
        <f>IFERROR(__xludf.DUMMYFUNCTION("""COMPUTED_VALUE"""),"")</f>
        <v/>
      </c>
      <c r="V269" s="4" t="str">
        <f>IFERROR(__xludf.DUMMYFUNCTION("""COMPUTED_VALUE"""),"")</f>
        <v/>
      </c>
      <c r="W269" s="4" t="str">
        <f>IFERROR(__xludf.DUMMYFUNCTION("""COMPUTED_VALUE"""),"")</f>
        <v/>
      </c>
      <c r="X269" s="4" t="str">
        <f>IFERROR(__xludf.DUMMYFUNCTION("""COMPUTED_VALUE"""),"")</f>
        <v/>
      </c>
      <c r="Y269" s="4" t="str">
        <f>IFERROR(__xludf.DUMMYFUNCTION("""COMPUTED_VALUE"""),"")</f>
        <v/>
      </c>
    </row>
    <row r="270">
      <c r="A270" s="4" t="str">
        <f>IFERROR(__xludf.DUMMYFUNCTION("""COMPUTED_VALUE"""),"267 - Channel")</f>
        <v>267 - Channel</v>
      </c>
      <c r="B270" s="4" t="str">
        <f>IFERROR(__xludf.DUMMYFUNCTION("""COMPUTED_VALUE"""),"Channel 1")</f>
        <v>Channel 1</v>
      </c>
      <c r="C270" s="4" t="str">
        <f>IFERROR(__xludf.DUMMYFUNCTION("""COMPUTED_VALUE"""),"Day 3 - 25/06")</f>
        <v>Day 3 - 25/06</v>
      </c>
      <c r="D270" s="6">
        <f>IFERROR(__xludf.DUMMYFUNCTION("""COMPUTED_VALUE"""),0.42847222222222225)</f>
        <v>0.4284722222</v>
      </c>
      <c r="E270" s="6">
        <f>IFERROR(__xludf.DUMMYFUNCTION("""COMPUTED_VALUE"""),0.0020833333333333333)</f>
        <v>0.002083333333</v>
      </c>
      <c r="F270" s="6">
        <f>IFERROR(__xludf.DUMMYFUNCTION("""COMPUTED_VALUE"""),0.4305555555555556)</f>
        <v>0.4305555556</v>
      </c>
      <c r="G270" s="4" t="str">
        <f>IFERROR(__xludf.DUMMYFUNCTION("""COMPUTED_VALUE"""),"")</f>
        <v/>
      </c>
      <c r="H270" s="4" t="str">
        <f>IFERROR(__xludf.DUMMYFUNCTION("""COMPUTED_VALUE"""),"Stephen")</f>
        <v>Stephen</v>
      </c>
      <c r="I270" s="4" t="str">
        <f>IFERROR(__xludf.DUMMYFUNCTION("""COMPUTED_VALUE"""),"Geoff")</f>
        <v>Geoff</v>
      </c>
      <c r="J270" s="4" t="str">
        <f>IFERROR(__xludf.DUMMYFUNCTION("""COMPUTED_VALUE"""),"Remote working")</f>
        <v>Remote working</v>
      </c>
      <c r="K270" s="4" t="str">
        <f>IFERROR(__xludf.DUMMYFUNCTION("""COMPUTED_VALUE"""),"Teaser")</f>
        <v>Teaser</v>
      </c>
      <c r="L270" s="4" t="str">
        <f>IFERROR(__xludf.DUMMYFUNCTION("""COMPUTED_VALUE"""),"")</f>
        <v/>
      </c>
      <c r="M270" s="4" t="str">
        <f>IFERROR(__xludf.DUMMYFUNCTION("""COMPUTED_VALUE"""),"Teaser: Sony Pictures Animation")</f>
        <v>Teaser: Sony Pictures Animation</v>
      </c>
      <c r="N270" s="4" t="str">
        <f>IFERROR(__xludf.DUMMYFUNCTION("""COMPUTED_VALUE"""),"")</f>
        <v/>
      </c>
      <c r="O270" s="4" t="str">
        <f>IFERROR(__xludf.DUMMYFUNCTION("""COMPUTED_VALUE"""),"")</f>
        <v/>
      </c>
      <c r="P270" s="4" t="str">
        <f>IFERROR(__xludf.DUMMYFUNCTION("""COMPUTED_VALUE"""),"")</f>
        <v/>
      </c>
      <c r="Q270" s="4" t="str">
        <f>IFERROR(__xludf.DUMMYFUNCTION("""COMPUTED_VALUE"""),"")</f>
        <v/>
      </c>
      <c r="R270" s="4" t="str">
        <f>IFERROR(__xludf.DUMMYFUNCTION("""COMPUTED_VALUE"""),"")</f>
        <v/>
      </c>
      <c r="S270" s="4" t="str">
        <f>IFERROR(__xludf.DUMMYFUNCTION("""COMPUTED_VALUE"""),"")</f>
        <v/>
      </c>
      <c r="T270" s="4" t="str">
        <f>IFERROR(__xludf.DUMMYFUNCTION("""COMPUTED_VALUE"""),"N/A")</f>
        <v>N/A</v>
      </c>
      <c r="U270" s="4" t="str">
        <f>IFERROR(__xludf.DUMMYFUNCTION("""COMPUTED_VALUE"""),"")</f>
        <v/>
      </c>
      <c r="V270" s="4" t="str">
        <f>IFERROR(__xludf.DUMMYFUNCTION("""COMPUTED_VALUE"""),"")</f>
        <v/>
      </c>
      <c r="W270" s="4" t="str">
        <f>IFERROR(__xludf.DUMMYFUNCTION("""COMPUTED_VALUE"""),"")</f>
        <v/>
      </c>
      <c r="X270" s="4" t="str">
        <f>IFERROR(__xludf.DUMMYFUNCTION("""COMPUTED_VALUE"""),"")</f>
        <v/>
      </c>
      <c r="Y270" s="4" t="str">
        <f>IFERROR(__xludf.DUMMYFUNCTION("""COMPUTED_VALUE"""),"")</f>
        <v/>
      </c>
    </row>
    <row r="271">
      <c r="A271" s="4" t="str">
        <f>IFERROR(__xludf.DUMMYFUNCTION("""COMPUTED_VALUE"""),"2258 - Channel")</f>
        <v>2258 - Channel</v>
      </c>
      <c r="B271" s="4" t="str">
        <f>IFERROR(__xludf.DUMMYFUNCTION("""COMPUTED_VALUE"""),"Channel 1")</f>
        <v>Channel 1</v>
      </c>
      <c r="C271" s="4" t="str">
        <f>IFERROR(__xludf.DUMMYFUNCTION("""COMPUTED_VALUE"""),"Day 3 - 25/06")</f>
        <v>Day 3 - 25/06</v>
      </c>
      <c r="D271" s="6">
        <f>IFERROR(__xludf.DUMMYFUNCTION("""COMPUTED_VALUE"""),0.4305555555555556)</f>
        <v>0.4305555556</v>
      </c>
      <c r="E271" s="6">
        <f>IFERROR(__xludf.DUMMYFUNCTION("""COMPUTED_VALUE"""),2.314814814814815E-4)</f>
        <v>0.0002314814815</v>
      </c>
      <c r="F271" s="6">
        <f>IFERROR(__xludf.DUMMYFUNCTION("""COMPUTED_VALUE"""),0.4307870370370371)</f>
        <v>0.430787037</v>
      </c>
      <c r="G271" s="4" t="str">
        <f>IFERROR(__xludf.DUMMYFUNCTION("""COMPUTED_VALUE"""),"")</f>
        <v/>
      </c>
      <c r="H271" s="4" t="str">
        <f>IFERROR(__xludf.DUMMYFUNCTION("""COMPUTED_VALUE"""),"")</f>
        <v/>
      </c>
      <c r="I271" s="4" t="str">
        <f>IFERROR(__xludf.DUMMYFUNCTION("""COMPUTED_VALUE"""),"")</f>
        <v/>
      </c>
      <c r="J271" s="4" t="str">
        <f>IFERROR(__xludf.DUMMYFUNCTION("""COMPUTED_VALUE"""),"")</f>
        <v/>
      </c>
      <c r="K271" s="4" t="str">
        <f>IFERROR(__xludf.DUMMYFUNCTION("""COMPUTED_VALUE"""),"Talk Outro")</f>
        <v>Talk Outro</v>
      </c>
      <c r="L271" s="4" t="str">
        <f>IFERROR(__xludf.DUMMYFUNCTION("""COMPUTED_VALUE"""),"")</f>
        <v/>
      </c>
      <c r="M271" s="4" t="str">
        <f>IFERROR(__xludf.DUMMYFUNCTION("""COMPUTED_VALUE"""),"Call to action")</f>
        <v>Call to action</v>
      </c>
      <c r="N271" s="4" t="str">
        <f>IFERROR(__xludf.DUMMYFUNCTION("""COMPUTED_VALUE"""),"Paddy Cosgrave, Web Summit")</f>
        <v>Paddy Cosgrave, Web Summit</v>
      </c>
      <c r="O271" s="4" t="str">
        <f>IFERROR(__xludf.DUMMYFUNCTION("""COMPUTED_VALUE"""),"")</f>
        <v/>
      </c>
      <c r="P271" s="4" t="str">
        <f>IFERROR(__xludf.DUMMYFUNCTION("""COMPUTED_VALUE"""),"")</f>
        <v/>
      </c>
      <c r="Q271" s="4" t="str">
        <f>IFERROR(__xludf.DUMMYFUNCTION("""COMPUTED_VALUE"""),"")</f>
        <v/>
      </c>
      <c r="R271" s="4" t="str">
        <f>IFERROR(__xludf.DUMMYFUNCTION("""COMPUTED_VALUE"""),"")</f>
        <v/>
      </c>
      <c r="S271" s="4" t="str">
        <f>IFERROR(__xludf.DUMMYFUNCTION("""COMPUTED_VALUE"""),"")</f>
        <v/>
      </c>
      <c r="T271" s="4" t="str">
        <f>IFERROR(__xludf.DUMMYFUNCTION("""COMPUTED_VALUE"""),"")</f>
        <v/>
      </c>
      <c r="U271" s="4" t="str">
        <f>IFERROR(__xludf.DUMMYFUNCTION("""COMPUTED_VALUE"""),"")</f>
        <v/>
      </c>
      <c r="V271" s="4" t="str">
        <f>IFERROR(__xludf.DUMMYFUNCTION("""COMPUTED_VALUE"""),"")</f>
        <v/>
      </c>
      <c r="W271" s="4" t="str">
        <f>IFERROR(__xludf.DUMMYFUNCTION("""COMPUTED_VALUE"""),"")</f>
        <v/>
      </c>
      <c r="X271" s="4" t="str">
        <f>IFERROR(__xludf.DUMMYFUNCTION("""COMPUTED_VALUE"""),"")</f>
        <v/>
      </c>
      <c r="Y271" s="4" t="str">
        <f>IFERROR(__xludf.DUMMYFUNCTION("""COMPUTED_VALUE"""),"")</f>
        <v/>
      </c>
    </row>
    <row r="272">
      <c r="A272" s="4" t="str">
        <f>IFERROR(__xludf.DUMMYFUNCTION("""COMPUTED_VALUE"""),"269 - Channel")</f>
        <v>269 - Channel</v>
      </c>
      <c r="B272" s="4" t="str">
        <f>IFERROR(__xludf.DUMMYFUNCTION("""COMPUTED_VALUE"""),"Channel 1")</f>
        <v>Channel 1</v>
      </c>
      <c r="C272" s="4" t="str">
        <f>IFERROR(__xludf.DUMMYFUNCTION("""COMPUTED_VALUE"""),"Day 3 - 25/06")</f>
        <v>Day 3 - 25/06</v>
      </c>
      <c r="D272" s="6">
        <f>IFERROR(__xludf.DUMMYFUNCTION("""COMPUTED_VALUE"""),0.4307870370370371)</f>
        <v>0.430787037</v>
      </c>
      <c r="E272" s="6">
        <f>IFERROR(__xludf.DUMMYFUNCTION("""COMPUTED_VALUE"""),5.208333333333333E-4)</f>
        <v>0.0005208333333</v>
      </c>
      <c r="F272" s="6">
        <f>IFERROR(__xludf.DUMMYFUNCTION("""COMPUTED_VALUE"""),0.43130787037037044)</f>
        <v>0.4313078704</v>
      </c>
      <c r="G272" s="4" t="str">
        <f>IFERROR(__xludf.DUMMYFUNCTION("""COMPUTED_VALUE"""),"Video")</f>
        <v>Video</v>
      </c>
      <c r="H272" s="4" t="str">
        <f>IFERROR(__xludf.DUMMYFUNCTION("""COMPUTED_VALUE"""),"")</f>
        <v/>
      </c>
      <c r="I272" s="4" t="str">
        <f>IFERROR(__xludf.DUMMYFUNCTION("""COMPUTED_VALUE"""),"")</f>
        <v/>
      </c>
      <c r="J272" s="4" t="str">
        <f>IFERROR(__xludf.DUMMYFUNCTION("""COMPUTED_VALUE"""),"")</f>
        <v/>
      </c>
      <c r="K272" s="4" t="str">
        <f>IFERROR(__xludf.DUMMYFUNCTION("""COMPUTED_VALUE"""),"Voxpop")</f>
        <v>Voxpop</v>
      </c>
      <c r="L272" s="4" t="str">
        <f>IFERROR(__xludf.DUMMYFUNCTION("""COMPUTED_VALUE"""),"")</f>
        <v/>
      </c>
      <c r="M272" s="4" t="str">
        <f>IFERROR(__xludf.DUMMYFUNCTION("""COMPUTED_VALUE"""),"MTS_4_Lockdown")</f>
        <v>MTS_4_Lockdown</v>
      </c>
      <c r="N272" s="4" t="str">
        <f>IFERROR(__xludf.DUMMYFUNCTION("""COMPUTED_VALUE"""),"Content complete")</f>
        <v>Content complete</v>
      </c>
      <c r="O272" s="4" t="str">
        <f>IFERROR(__xludf.DUMMYFUNCTION("""COMPUTED_VALUE"""),"")</f>
        <v/>
      </c>
      <c r="P272" s="4" t="str">
        <f>IFERROR(__xludf.DUMMYFUNCTION("""COMPUTED_VALUE"""),"")</f>
        <v/>
      </c>
      <c r="Q272" s="4" t="str">
        <f>IFERROR(__xludf.DUMMYFUNCTION("""COMPUTED_VALUE"""),"")</f>
        <v/>
      </c>
      <c r="R272" s="4" t="str">
        <f>IFERROR(__xludf.DUMMYFUNCTION("""COMPUTED_VALUE"""),"")</f>
        <v/>
      </c>
      <c r="S272" s="4" t="str">
        <f>IFERROR(__xludf.DUMMYFUNCTION("""COMPUTED_VALUE"""),"")</f>
        <v/>
      </c>
      <c r="T272" s="4" t="str">
        <f>IFERROR(__xludf.DUMMYFUNCTION("""COMPUTED_VALUE"""),"")</f>
        <v/>
      </c>
      <c r="U272" s="4" t="str">
        <f>IFERROR(__xludf.DUMMYFUNCTION("""COMPUTED_VALUE"""),"")</f>
        <v/>
      </c>
      <c r="V272" s="4" t="str">
        <f>IFERROR(__xludf.DUMMYFUNCTION("""COMPUTED_VALUE"""),"")</f>
        <v/>
      </c>
      <c r="W272" s="4" t="str">
        <f>IFERROR(__xludf.DUMMYFUNCTION("""COMPUTED_VALUE"""),"")</f>
        <v/>
      </c>
      <c r="X272" s="4" t="str">
        <f>IFERROR(__xludf.DUMMYFUNCTION("""COMPUTED_VALUE"""),"")</f>
        <v/>
      </c>
      <c r="Y272" s="4" t="str">
        <f>IFERROR(__xludf.DUMMYFUNCTION("""COMPUTED_VALUE"""),"")</f>
        <v/>
      </c>
    </row>
    <row r="273">
      <c r="A273" s="4" t="str">
        <f>IFERROR(__xludf.DUMMYFUNCTION("""COMPUTED_VALUE"""),"270 - Channel")</f>
        <v>270 - Channel</v>
      </c>
      <c r="B273" s="4" t="str">
        <f>IFERROR(__xludf.DUMMYFUNCTION("""COMPUTED_VALUE"""),"Channel 1")</f>
        <v>Channel 1</v>
      </c>
      <c r="C273" s="4" t="str">
        <f>IFERROR(__xludf.DUMMYFUNCTION("""COMPUTED_VALUE"""),"Day 3 - 25/06")</f>
        <v>Day 3 - 25/06</v>
      </c>
      <c r="D273" s="6">
        <f>IFERROR(__xludf.DUMMYFUNCTION("""COMPUTED_VALUE"""),0.43130787037037044)</f>
        <v>0.4313078704</v>
      </c>
      <c r="E273" s="6">
        <f>IFERROR(__xludf.DUMMYFUNCTION("""COMPUTED_VALUE"""),3.4722222222222224E-4)</f>
        <v>0.0003472222222</v>
      </c>
      <c r="F273" s="6">
        <f>IFERROR(__xludf.DUMMYFUNCTION("""COMPUTED_VALUE"""),0.43165509259259266)</f>
        <v>0.4316550926</v>
      </c>
      <c r="G273" s="4" t="str">
        <f>IFERROR(__xludf.DUMMYFUNCTION("""COMPUTED_VALUE"""),"")</f>
        <v/>
      </c>
      <c r="H273" s="4" t="str">
        <f>IFERROR(__xludf.DUMMYFUNCTION("""COMPUTED_VALUE"""),"")</f>
        <v/>
      </c>
      <c r="I273" s="4" t="str">
        <f>IFERROR(__xludf.DUMMYFUNCTION("""COMPUTED_VALUE"""),"")</f>
        <v/>
      </c>
      <c r="J273" s="4" t="str">
        <f>IFERROR(__xludf.DUMMYFUNCTION("""COMPUTED_VALUE"""),"")</f>
        <v/>
      </c>
      <c r="K273" s="4" t="str">
        <f>IFERROR(__xludf.DUMMYFUNCTION("""COMPUTED_VALUE"""),"Web Summit Trailer - short")</f>
        <v>Web Summit Trailer - short</v>
      </c>
      <c r="L273" s="4" t="str">
        <f>IFERROR(__xludf.DUMMYFUNCTION("""COMPUTED_VALUE"""),"")</f>
        <v/>
      </c>
      <c r="M273" s="4" t="str">
        <f>IFERROR(__xludf.DUMMYFUNCTION("""COMPUTED_VALUE"""),"Web Summit promo")</f>
        <v>Web Summit promo</v>
      </c>
      <c r="N273" s="4" t="str">
        <f>IFERROR(__xludf.DUMMYFUNCTION("""COMPUTED_VALUE"""),"Content pending")</f>
        <v>Content pending</v>
      </c>
      <c r="O273" s="4" t="str">
        <f>IFERROR(__xludf.DUMMYFUNCTION("""COMPUTED_VALUE"""),"")</f>
        <v/>
      </c>
      <c r="P273" s="4" t="str">
        <f>IFERROR(__xludf.DUMMYFUNCTION("""COMPUTED_VALUE"""),"")</f>
        <v/>
      </c>
      <c r="Q273" s="4" t="str">
        <f>IFERROR(__xludf.DUMMYFUNCTION("""COMPUTED_VALUE"""),"")</f>
        <v/>
      </c>
      <c r="R273" s="4" t="str">
        <f>IFERROR(__xludf.DUMMYFUNCTION("""COMPUTED_VALUE"""),"")</f>
        <v/>
      </c>
      <c r="S273" s="4" t="str">
        <f>IFERROR(__xludf.DUMMYFUNCTION("""COMPUTED_VALUE"""),"")</f>
        <v/>
      </c>
      <c r="T273" s="4" t="str">
        <f>IFERROR(__xludf.DUMMYFUNCTION("""COMPUTED_VALUE"""),"")</f>
        <v/>
      </c>
      <c r="U273" s="4" t="str">
        <f>IFERROR(__xludf.DUMMYFUNCTION("""COMPUTED_VALUE"""),"")</f>
        <v/>
      </c>
      <c r="V273" s="4" t="str">
        <f>IFERROR(__xludf.DUMMYFUNCTION("""COMPUTED_VALUE"""),"")</f>
        <v/>
      </c>
      <c r="W273" s="4" t="str">
        <f>IFERROR(__xludf.DUMMYFUNCTION("""COMPUTED_VALUE"""),"")</f>
        <v/>
      </c>
      <c r="X273" s="4" t="str">
        <f>IFERROR(__xludf.DUMMYFUNCTION("""COMPUTED_VALUE"""),"")</f>
        <v/>
      </c>
      <c r="Y273" s="4" t="str">
        <f>IFERROR(__xludf.DUMMYFUNCTION("""COMPUTED_VALUE"""),"")</f>
        <v/>
      </c>
    </row>
    <row r="274">
      <c r="A274" s="4" t="str">
        <f>IFERROR(__xludf.DUMMYFUNCTION("""COMPUTED_VALUE"""),"371 - Channel")</f>
        <v>371 - Channel</v>
      </c>
      <c r="B274" s="4" t="str">
        <f>IFERROR(__xludf.DUMMYFUNCTION("""COMPUTED_VALUE"""),"Channel 1")</f>
        <v>Channel 1</v>
      </c>
      <c r="C274" s="4" t="str">
        <f>IFERROR(__xludf.DUMMYFUNCTION("""COMPUTED_VALUE"""),"Day 3 - 25/06")</f>
        <v>Day 3 - 25/06</v>
      </c>
      <c r="D274" s="6">
        <f>IFERROR(__xludf.DUMMYFUNCTION("""COMPUTED_VALUE"""),0.43165509259259266)</f>
        <v>0.4316550926</v>
      </c>
      <c r="E274" s="6">
        <f>IFERROR(__xludf.DUMMYFUNCTION("""COMPUTED_VALUE"""),2.314814814814815E-4)</f>
        <v>0.0002314814815</v>
      </c>
      <c r="F274" s="6">
        <f>IFERROR(__xludf.DUMMYFUNCTION("""COMPUTED_VALUE"""),0.43188657407407416)</f>
        <v>0.4318865741</v>
      </c>
      <c r="G274" s="4" t="str">
        <f>IFERROR(__xludf.DUMMYFUNCTION("""COMPUTED_VALUE"""),"")</f>
        <v/>
      </c>
      <c r="H274" s="4" t="str">
        <f>IFERROR(__xludf.DUMMYFUNCTION("""COMPUTED_VALUE"""),"")</f>
        <v/>
      </c>
      <c r="I274" s="4" t="str">
        <f>IFERROR(__xludf.DUMMYFUNCTION("""COMPUTED_VALUE"""),"")</f>
        <v/>
      </c>
      <c r="J274" s="4" t="str">
        <f>IFERROR(__xludf.DUMMYFUNCTION("""COMPUTED_VALUE"""),"")</f>
        <v/>
      </c>
      <c r="K274" s="4" t="str">
        <f>IFERROR(__xludf.DUMMYFUNCTION("""COMPUTED_VALUE"""),"Talk Intro")</f>
        <v>Talk Intro</v>
      </c>
      <c r="L274" s="4" t="str">
        <f>IFERROR(__xludf.DUMMYFUNCTION("""COMPUTED_VALUE"""),"")</f>
        <v/>
      </c>
      <c r="M274" s="4" t="str">
        <f>IFERROR(__xludf.DUMMYFUNCTION("""COMPUTED_VALUE"""),"Talk Intro")</f>
        <v>Talk Intro</v>
      </c>
      <c r="N274" s="4" t="str">
        <f>IFERROR(__xludf.DUMMYFUNCTION("""COMPUTED_VALUE"""),"Sunil Sharma, Web Summit")</f>
        <v>Sunil Sharma, Web Summit</v>
      </c>
      <c r="O274" s="4" t="str">
        <f>IFERROR(__xludf.DUMMYFUNCTION("""COMPUTED_VALUE"""),"")</f>
        <v/>
      </c>
      <c r="P274" s="4" t="str">
        <f>IFERROR(__xludf.DUMMYFUNCTION("""COMPUTED_VALUE"""),"")</f>
        <v/>
      </c>
      <c r="Q274" s="4" t="str">
        <f>IFERROR(__xludf.DUMMYFUNCTION("""COMPUTED_VALUE"""),"")</f>
        <v/>
      </c>
      <c r="R274" s="4" t="str">
        <f>IFERROR(__xludf.DUMMYFUNCTION("""COMPUTED_VALUE"""),"")</f>
        <v/>
      </c>
      <c r="S274" s="4" t="str">
        <f>IFERROR(__xludf.DUMMYFUNCTION("""COMPUTED_VALUE"""),"")</f>
        <v/>
      </c>
      <c r="T274" s="4" t="str">
        <f>IFERROR(__xludf.DUMMYFUNCTION("""COMPUTED_VALUE"""),"")</f>
        <v/>
      </c>
      <c r="U274" s="4" t="str">
        <f>IFERROR(__xludf.DUMMYFUNCTION("""COMPUTED_VALUE"""),"")</f>
        <v/>
      </c>
      <c r="V274" s="4" t="str">
        <f>IFERROR(__xludf.DUMMYFUNCTION("""COMPUTED_VALUE"""),"")</f>
        <v/>
      </c>
      <c r="W274" s="4" t="str">
        <f>IFERROR(__xludf.DUMMYFUNCTION("""COMPUTED_VALUE"""),"")</f>
        <v/>
      </c>
      <c r="X274" s="4" t="str">
        <f>IFERROR(__xludf.DUMMYFUNCTION("""COMPUTED_VALUE"""),"")</f>
        <v/>
      </c>
      <c r="Y274" s="4" t="str">
        <f>IFERROR(__xludf.DUMMYFUNCTION("""COMPUTED_VALUE"""),"")</f>
        <v/>
      </c>
    </row>
    <row r="275">
      <c r="A275" s="4" t="str">
        <f>IFERROR(__xludf.DUMMYFUNCTION("""COMPUTED_VALUE"""),"372 - Channel")</f>
        <v>372 - Channel</v>
      </c>
      <c r="B275" s="4" t="str">
        <f>IFERROR(__xludf.DUMMYFUNCTION("""COMPUTED_VALUE"""),"Channel 1")</f>
        <v>Channel 1</v>
      </c>
      <c r="C275" s="4" t="str">
        <f>IFERROR(__xludf.DUMMYFUNCTION("""COMPUTED_VALUE"""),"Day 3 - 25/06")</f>
        <v>Day 3 - 25/06</v>
      </c>
      <c r="D275" s="6">
        <f>IFERROR(__xludf.DUMMYFUNCTION("""COMPUTED_VALUE"""),0.43188657407407416)</f>
        <v>0.4318865741</v>
      </c>
      <c r="E275" s="6">
        <f>IFERROR(__xludf.DUMMYFUNCTION("""COMPUTED_VALUE"""),0.009722222222222222)</f>
        <v>0.009722222222</v>
      </c>
      <c r="F275" s="6">
        <f>IFERROR(__xludf.DUMMYFUNCTION("""COMPUTED_VALUE"""),0.4416087962962964)</f>
        <v>0.4416087963</v>
      </c>
      <c r="G275" s="4" t="str">
        <f>IFERROR(__xludf.DUMMYFUNCTION("""COMPUTED_VALUE"""),"Luan")</f>
        <v>Luan</v>
      </c>
      <c r="H275" s="4" t="str">
        <f>IFERROR(__xludf.DUMMYFUNCTION("""COMPUTED_VALUE"""),"")</f>
        <v/>
      </c>
      <c r="I275" s="4" t="str">
        <f>IFERROR(__xludf.DUMMYFUNCTION("""COMPUTED_VALUE"""),"Francisca")</f>
        <v>Francisca</v>
      </c>
      <c r="J275" s="4" t="str">
        <f>IFERROR(__xludf.DUMMYFUNCTION("""COMPUTED_VALUE"""),"")</f>
        <v/>
      </c>
      <c r="K275" s="4" t="str">
        <f>IFERROR(__xludf.DUMMYFUNCTION("""COMPUTED_VALUE"""),"Fireside")</f>
        <v>Fireside</v>
      </c>
      <c r="L275" s="4" t="str">
        <f>IFERROR(__xludf.DUMMYFUNCTION("""COMPUTED_VALUE"""),"T- 2 - 08/06/2020")</f>
        <v>T- 2 - 08/06/2020</v>
      </c>
      <c r="M275" s="4" t="str">
        <f>IFERROR(__xludf.DUMMYFUNCTION("""COMPUTED_VALUE"""),"From surviving to thriving: Brands chart a new path forward")</f>
        <v>From surviving to thriving: Brands chart a new path forward</v>
      </c>
      <c r="N275" s="4" t="str">
        <f>IFERROR(__xludf.DUMMYFUNCTION("""COMPUTED_VALUE"""),"Elizabeth Rutledge, American Express")</f>
        <v>Elizabeth Rutledge, American Express</v>
      </c>
      <c r="O275" s="4" t="str">
        <f>IFERROR(__xludf.DUMMYFUNCTION("""COMPUTED_VALUE"""),"")</f>
        <v/>
      </c>
      <c r="P275" s="4" t="str">
        <f>IFERROR(__xludf.DUMMYFUNCTION("""COMPUTED_VALUE"""),"")</f>
        <v/>
      </c>
      <c r="Q275" s="4" t="str">
        <f>IFERROR(__xludf.DUMMYFUNCTION("""COMPUTED_VALUE"""),"")</f>
        <v/>
      </c>
      <c r="R275" s="4" t="str">
        <f>IFERROR(__xludf.DUMMYFUNCTION("""COMPUTED_VALUE"""),"Saneel Radia, R/GA")</f>
        <v>Saneel Radia, R/GA</v>
      </c>
      <c r="S275" s="4" t="str">
        <f>IFERROR(__xludf.DUMMYFUNCTION("""COMPUTED_VALUE"""),"With nearly 60,000 employees, one of the highest valuations in the world AmEX's resilience has been tested over its 170 year operations. How unique a turning point is 2020?")</f>
        <v>With nearly 60,000 employees, one of the highest valuations in the world AmEX's resilience has been tested over its 170 year operations. How unique a turning point is 2020?</v>
      </c>
      <c r="T275" s="4" t="str">
        <f>IFERROR(__xludf.DUMMYFUNCTION("""COMPUTED_VALUE"""),"NON-KEYNOTE 7 - Video to be recorded")</f>
        <v>NON-KEYNOTE 7 - Video to be recorded</v>
      </c>
      <c r="U275" s="23">
        <f>IFERROR(__xludf.DUMMYFUNCTION("""COMPUTED_VALUE"""),43990.0)</f>
        <v>43990</v>
      </c>
      <c r="V275" s="24">
        <f>IFERROR(__xludf.DUMMYFUNCTION("""COMPUTED_VALUE"""),0.75)</f>
        <v>0.75</v>
      </c>
      <c r="W275" s="21" t="str">
        <f>IFERROR(__xludf.DUMMYFUNCTION("""COMPUTED_VALUE"""),"https://zoom.us/j/6206255996?pwd=Ykxjb3VncFVOTU9TUlhGaGlVRUQ5dz09")</f>
        <v>https://zoom.us/j/6206255996?pwd=Ykxjb3VncFVOTU9TUlhGaGlVRUQ5dz09</v>
      </c>
      <c r="X275" s="4" t="str">
        <f>IFERROR(__xludf.DUMMYFUNCTION("""COMPUTED_VALUE"""),"Stephen")</f>
        <v>Stephen</v>
      </c>
      <c r="Y275" s="4" t="str">
        <f>IFERROR(__xludf.DUMMYFUNCTION("""COMPUTED_VALUE"""),"")</f>
        <v/>
      </c>
    </row>
    <row r="276">
      <c r="A276" s="4" t="str">
        <f>IFERROR(__xludf.DUMMYFUNCTION("""COMPUTED_VALUE"""),"274 - Channel")</f>
        <v>274 - Channel</v>
      </c>
      <c r="B276" s="4" t="str">
        <f>IFERROR(__xludf.DUMMYFUNCTION("""COMPUTED_VALUE"""),"Channel 1")</f>
        <v>Channel 1</v>
      </c>
      <c r="C276" s="4" t="str">
        <f>IFERROR(__xludf.DUMMYFUNCTION("""COMPUTED_VALUE"""),"Day 3 - 25/06")</f>
        <v>Day 3 - 25/06</v>
      </c>
      <c r="D276" s="6">
        <f>IFERROR(__xludf.DUMMYFUNCTION("""COMPUTED_VALUE"""),0.4416087962962964)</f>
        <v>0.4416087963</v>
      </c>
      <c r="E276" s="6">
        <f>IFERROR(__xludf.DUMMYFUNCTION("""COMPUTED_VALUE"""),6.712962962962962E-4)</f>
        <v>0.0006712962963</v>
      </c>
      <c r="F276" s="6">
        <f>IFERROR(__xludf.DUMMYFUNCTION("""COMPUTED_VALUE"""),0.4422800925925927)</f>
        <v>0.4422800926</v>
      </c>
      <c r="G276" s="4" t="str">
        <f>IFERROR(__xludf.DUMMYFUNCTION("""COMPUTED_VALUE"""),"")</f>
        <v/>
      </c>
      <c r="H276" s="4" t="str">
        <f>IFERROR(__xludf.DUMMYFUNCTION("""COMPUTED_VALUE"""),"")</f>
        <v/>
      </c>
      <c r="I276" s="4" t="str">
        <f>IFERROR(__xludf.DUMMYFUNCTION("""COMPUTED_VALUE"""),"")</f>
        <v/>
      </c>
      <c r="J276" s="4" t="str">
        <f>IFERROR(__xludf.DUMMYFUNCTION("""COMPUTED_VALUE"""),"")</f>
        <v/>
      </c>
      <c r="K276" s="4" t="str">
        <f>IFERROR(__xludf.DUMMYFUNCTION("""COMPUTED_VALUE"""),"Voxpop")</f>
        <v>Voxpop</v>
      </c>
      <c r="L276" s="4" t="str">
        <f>IFERROR(__xludf.DUMMYFUNCTION("""COMPUTED_VALUE"""),"")</f>
        <v/>
      </c>
      <c r="M276" s="4" t="str">
        <f>IFERROR(__xludf.DUMMYFUNCTION("""COMPUTED_VALUE"""),"MTS_8_Lockdown")</f>
        <v>MTS_8_Lockdown</v>
      </c>
      <c r="N276" s="4" t="str">
        <f>IFERROR(__xludf.DUMMYFUNCTION("""COMPUTED_VALUE"""),"Content complete")</f>
        <v>Content complete</v>
      </c>
      <c r="O276" s="4" t="str">
        <f>IFERROR(__xludf.DUMMYFUNCTION("""COMPUTED_VALUE"""),"")</f>
        <v/>
      </c>
      <c r="P276" s="4" t="str">
        <f>IFERROR(__xludf.DUMMYFUNCTION("""COMPUTED_VALUE"""),"")</f>
        <v/>
      </c>
      <c r="Q276" s="4" t="str">
        <f>IFERROR(__xludf.DUMMYFUNCTION("""COMPUTED_VALUE"""),"")</f>
        <v/>
      </c>
      <c r="R276" s="4" t="str">
        <f>IFERROR(__xludf.DUMMYFUNCTION("""COMPUTED_VALUE"""),"")</f>
        <v/>
      </c>
      <c r="S276" s="4" t="str">
        <f>IFERROR(__xludf.DUMMYFUNCTION("""COMPUTED_VALUE"""),"")</f>
        <v/>
      </c>
      <c r="T276" s="4" t="str">
        <f>IFERROR(__xludf.DUMMYFUNCTION("""COMPUTED_VALUE"""),"")</f>
        <v/>
      </c>
      <c r="U276" s="4" t="str">
        <f>IFERROR(__xludf.DUMMYFUNCTION("""COMPUTED_VALUE"""),"")</f>
        <v/>
      </c>
      <c r="V276" s="4" t="str">
        <f>IFERROR(__xludf.DUMMYFUNCTION("""COMPUTED_VALUE"""),"")</f>
        <v/>
      </c>
      <c r="W276" s="4" t="str">
        <f>IFERROR(__xludf.DUMMYFUNCTION("""COMPUTED_VALUE"""),"")</f>
        <v/>
      </c>
      <c r="X276" s="4" t="str">
        <f>IFERROR(__xludf.DUMMYFUNCTION("""COMPUTED_VALUE"""),"")</f>
        <v/>
      </c>
      <c r="Y276" s="4" t="str">
        <f>IFERROR(__xludf.DUMMYFUNCTION("""COMPUTED_VALUE"""),"")</f>
        <v/>
      </c>
    </row>
    <row r="277">
      <c r="A277" s="4" t="str">
        <f>IFERROR(__xludf.DUMMYFUNCTION("""COMPUTED_VALUE"""),"384 - Channel")</f>
        <v>384 - Channel</v>
      </c>
      <c r="B277" s="4" t="str">
        <f>IFERROR(__xludf.DUMMYFUNCTION("""COMPUTED_VALUE"""),"Channel 1")</f>
        <v>Channel 1</v>
      </c>
      <c r="C277" s="4" t="str">
        <f>IFERROR(__xludf.DUMMYFUNCTION("""COMPUTED_VALUE"""),"Day 3 - 25/06")</f>
        <v>Day 3 - 25/06</v>
      </c>
      <c r="D277" s="6">
        <f>IFERROR(__xludf.DUMMYFUNCTION("""COMPUTED_VALUE"""),0.4422800925925927)</f>
        <v>0.4422800926</v>
      </c>
      <c r="E277" s="6">
        <f>IFERROR(__xludf.DUMMYFUNCTION("""COMPUTED_VALUE"""),2.314814814814815E-4)</f>
        <v>0.0002314814815</v>
      </c>
      <c r="F277" s="6">
        <f>IFERROR(__xludf.DUMMYFUNCTION("""COMPUTED_VALUE"""),0.4425115740740742)</f>
        <v>0.4425115741</v>
      </c>
      <c r="G277" s="4" t="str">
        <f>IFERROR(__xludf.DUMMYFUNCTION("""COMPUTED_VALUE"""),"")</f>
        <v/>
      </c>
      <c r="H277" s="4" t="str">
        <f>IFERROR(__xludf.DUMMYFUNCTION("""COMPUTED_VALUE"""),"")</f>
        <v/>
      </c>
      <c r="I277" s="4" t="str">
        <f>IFERROR(__xludf.DUMMYFUNCTION("""COMPUTED_VALUE"""),"")</f>
        <v/>
      </c>
      <c r="J277" s="4" t="str">
        <f>IFERROR(__xludf.DUMMYFUNCTION("""COMPUTED_VALUE"""),"")</f>
        <v/>
      </c>
      <c r="K277" s="4" t="str">
        <f>IFERROR(__xludf.DUMMYFUNCTION("""COMPUTED_VALUE"""),"Talk Intro")</f>
        <v>Talk Intro</v>
      </c>
      <c r="L277" s="4" t="str">
        <f>IFERROR(__xludf.DUMMYFUNCTION("""COMPUTED_VALUE"""),"")</f>
        <v/>
      </c>
      <c r="M277" s="4" t="str">
        <f>IFERROR(__xludf.DUMMYFUNCTION("""COMPUTED_VALUE"""),"talk intro ")</f>
        <v>talk intro </v>
      </c>
      <c r="N277" s="4" t="str">
        <f>IFERROR(__xludf.DUMMYFUNCTION("""COMPUTED_VALUE"""),"Sunil Sharma, Web Summit")</f>
        <v>Sunil Sharma, Web Summit</v>
      </c>
      <c r="O277" s="4" t="str">
        <f>IFERROR(__xludf.DUMMYFUNCTION("""COMPUTED_VALUE"""),"")</f>
        <v/>
      </c>
      <c r="P277" s="4" t="str">
        <f>IFERROR(__xludf.DUMMYFUNCTION("""COMPUTED_VALUE"""),"")</f>
        <v/>
      </c>
      <c r="Q277" s="4" t="str">
        <f>IFERROR(__xludf.DUMMYFUNCTION("""COMPUTED_VALUE"""),"")</f>
        <v/>
      </c>
      <c r="R277" s="4" t="str">
        <f>IFERROR(__xludf.DUMMYFUNCTION("""COMPUTED_VALUE"""),"")</f>
        <v/>
      </c>
      <c r="S277" s="4" t="str">
        <f>IFERROR(__xludf.DUMMYFUNCTION("""COMPUTED_VALUE"""),"")</f>
        <v/>
      </c>
      <c r="T277" s="4" t="str">
        <f>IFERROR(__xludf.DUMMYFUNCTION("""COMPUTED_VALUE"""),"")</f>
        <v/>
      </c>
      <c r="U277" s="4" t="str">
        <f>IFERROR(__xludf.DUMMYFUNCTION("""COMPUTED_VALUE"""),"")</f>
        <v/>
      </c>
      <c r="V277" s="4" t="str">
        <f>IFERROR(__xludf.DUMMYFUNCTION("""COMPUTED_VALUE"""),"")</f>
        <v/>
      </c>
      <c r="W277" s="4" t="str">
        <f>IFERROR(__xludf.DUMMYFUNCTION("""COMPUTED_VALUE"""),"")</f>
        <v/>
      </c>
      <c r="X277" s="4" t="str">
        <f>IFERROR(__xludf.DUMMYFUNCTION("""COMPUTED_VALUE"""),"")</f>
        <v/>
      </c>
      <c r="Y277" s="4" t="str">
        <f>IFERROR(__xludf.DUMMYFUNCTION("""COMPUTED_VALUE"""),"")</f>
        <v/>
      </c>
    </row>
    <row r="278">
      <c r="A278" s="4" t="str">
        <f>IFERROR(__xludf.DUMMYFUNCTION("""COMPUTED_VALUE"""),"385 - Channel")</f>
        <v>385 - Channel</v>
      </c>
      <c r="B278" s="4" t="str">
        <f>IFERROR(__xludf.DUMMYFUNCTION("""COMPUTED_VALUE"""),"Channel 1")</f>
        <v>Channel 1</v>
      </c>
      <c r="C278" s="4" t="str">
        <f>IFERROR(__xludf.DUMMYFUNCTION("""COMPUTED_VALUE"""),"Day 3 - 25/06")</f>
        <v>Day 3 - 25/06</v>
      </c>
      <c r="D278" s="6">
        <f>IFERROR(__xludf.DUMMYFUNCTION("""COMPUTED_VALUE"""),0.4425115740740742)</f>
        <v>0.4425115741</v>
      </c>
      <c r="E278" s="6">
        <f>IFERROR(__xludf.DUMMYFUNCTION("""COMPUTED_VALUE"""),0.004861111111111111)</f>
        <v>0.004861111111</v>
      </c>
      <c r="F278" s="6">
        <f>IFERROR(__xludf.DUMMYFUNCTION("""COMPUTED_VALUE"""),0.4473726851851853)</f>
        <v>0.4473726852</v>
      </c>
      <c r="G278" s="4" t="str">
        <f>IFERROR(__xludf.DUMMYFUNCTION("""COMPUTED_VALUE"""),"Lucia G.")</f>
        <v>Lucia G.</v>
      </c>
      <c r="H278" s="4" t="str">
        <f>IFERROR(__xludf.DUMMYFUNCTION("""COMPUTED_VALUE"""),"")</f>
        <v/>
      </c>
      <c r="I278" s="4" t="str">
        <f>IFERROR(__xludf.DUMMYFUNCTION("""COMPUTED_VALUE"""),"Jack")</f>
        <v>Jack</v>
      </c>
      <c r="J278" s="4" t="str">
        <f>IFERROR(__xludf.DUMMYFUNCTION("""COMPUTED_VALUE"""),"")</f>
        <v/>
      </c>
      <c r="K278" s="4" t="str">
        <f>IFERROR(__xludf.DUMMYFUNCTION("""COMPUTED_VALUE"""),"Keynote")</f>
        <v>Keynote</v>
      </c>
      <c r="L278" s="4" t="str">
        <f>IFERROR(__xludf.DUMMYFUNCTION("""COMPUTED_VALUE"""),"T- 5 - 18/05/2020")</f>
        <v>T- 5 - 18/05/2020</v>
      </c>
      <c r="M278" s="4" t="str">
        <f>IFERROR(__xludf.DUMMYFUNCTION("""COMPUTED_VALUE"""),"This was tomorrow. What's next for your brand?")</f>
        <v>This was tomorrow. What's next for your brand?</v>
      </c>
      <c r="N278" s="4" t="str">
        <f>IFERROR(__xludf.DUMMYFUNCTION("""COMPUTED_VALUE"""),"Fabian Birgfeld, W12 Studios")</f>
        <v>Fabian Birgfeld, W12 Studios</v>
      </c>
      <c r="O278" s="4" t="str">
        <f>IFERROR(__xludf.DUMMYFUNCTION("""COMPUTED_VALUE"""),"")</f>
        <v/>
      </c>
      <c r="P278" s="4" t="str">
        <f>IFERROR(__xludf.DUMMYFUNCTION("""COMPUTED_VALUE"""),"")</f>
        <v/>
      </c>
      <c r="Q278" s="4" t="str">
        <f>IFERROR(__xludf.DUMMYFUNCTION("""COMPUTED_VALUE"""),"")</f>
        <v/>
      </c>
      <c r="R278" s="4" t="str">
        <f>IFERROR(__xludf.DUMMYFUNCTION("""COMPUTED_VALUE"""),"")</f>
        <v/>
      </c>
      <c r="S278" s="4" t="str">
        <f>IFERROR(__xludf.DUMMYFUNCTION("""COMPUTED_VALUE"""),"How we engage with each other physically and virtually is changing rapidly. W12 Studios CEO Fabian Birgfeld will discuss why brands have the unique opportunity to enable real connections that can make a difference.")</f>
        <v>How we engage with each other physically and virtually is changing rapidly. W12 Studios CEO Fabian Birgfeld will discuss why brands have the unique opportunity to enable real connections that can make a difference.</v>
      </c>
      <c r="T278" s="4" t="str">
        <f>IFERROR(__xludf.DUMMYFUNCTION("""COMPUTED_VALUE"""),"NON-KEYNOTE 9 - COMPLETE")</f>
        <v>NON-KEYNOTE 9 - COMPLETE</v>
      </c>
      <c r="U278" s="23">
        <f>IFERROR(__xludf.DUMMYFUNCTION("""COMPUTED_VALUE"""),43970.0)</f>
        <v>43970</v>
      </c>
      <c r="V278" s="24">
        <f>IFERROR(__xludf.DUMMYFUNCTION("""COMPUTED_VALUE"""),0.5)</f>
        <v>0.5</v>
      </c>
      <c r="W278" s="4" t="str">
        <f>IFERROR(__xludf.DUMMYFUNCTION("""COMPUTED_VALUE"""),"COMPLETE")</f>
        <v>COMPLETE</v>
      </c>
      <c r="X278" s="4" t="str">
        <f>IFERROR(__xludf.DUMMYFUNCTION("""COMPUTED_VALUE"""),"Lucia G.")</f>
        <v>Lucia G.</v>
      </c>
      <c r="Y278" s="4" t="str">
        <f>IFERROR(__xludf.DUMMYFUNCTION("""COMPUTED_VALUE"""),"4656907771823830443")</f>
        <v>4656907771823830443</v>
      </c>
    </row>
    <row r="279">
      <c r="A279" s="4" t="str">
        <f>IFERROR(__xludf.DUMMYFUNCTION("""COMPUTED_VALUE"""),"1720 - Channel")</f>
        <v>1720 - Channel</v>
      </c>
      <c r="B279" s="4" t="str">
        <f>IFERROR(__xludf.DUMMYFUNCTION("""COMPUTED_VALUE"""),"Channel 1")</f>
        <v>Channel 1</v>
      </c>
      <c r="C279" s="4" t="str">
        <f>IFERROR(__xludf.DUMMYFUNCTION("""COMPUTED_VALUE"""),"Day 3 - 25/06")</f>
        <v>Day 3 - 25/06</v>
      </c>
      <c r="D279" s="6">
        <f>IFERROR(__xludf.DUMMYFUNCTION("""COMPUTED_VALUE"""),0.4473726851851853)</f>
        <v>0.4473726852</v>
      </c>
      <c r="E279" s="6">
        <f>IFERROR(__xludf.DUMMYFUNCTION("""COMPUTED_VALUE"""),2.314814814814815E-4)</f>
        <v>0.0002314814815</v>
      </c>
      <c r="F279" s="6">
        <f>IFERROR(__xludf.DUMMYFUNCTION("""COMPUTED_VALUE"""),0.4476041666666668)</f>
        <v>0.4476041667</v>
      </c>
      <c r="G279" s="4" t="str">
        <f>IFERROR(__xludf.DUMMYFUNCTION("""COMPUTED_VALUE"""),"")</f>
        <v/>
      </c>
      <c r="H279" s="4" t="str">
        <f>IFERROR(__xludf.DUMMYFUNCTION("""COMPUTED_VALUE"""),"")</f>
        <v/>
      </c>
      <c r="I279" s="4" t="str">
        <f>IFERROR(__xludf.DUMMYFUNCTION("""COMPUTED_VALUE"""),"")</f>
        <v/>
      </c>
      <c r="J279" s="4" t="str">
        <f>IFERROR(__xludf.DUMMYFUNCTION("""COMPUTED_VALUE"""),"")</f>
        <v/>
      </c>
      <c r="K279" s="4" t="str">
        <f>IFERROR(__xludf.DUMMYFUNCTION("""COMPUTED_VALUE"""),"Talk Intro")</f>
        <v>Talk Intro</v>
      </c>
      <c r="L279" s="4" t="str">
        <f>IFERROR(__xludf.DUMMYFUNCTION("""COMPUTED_VALUE"""),"")</f>
        <v/>
      </c>
      <c r="M279" s="4" t="str">
        <f>IFERROR(__xludf.DUMMYFUNCTION("""COMPUTED_VALUE"""),"Talk intro ")</f>
        <v>Talk intro </v>
      </c>
      <c r="N279" s="4" t="str">
        <f>IFERROR(__xludf.DUMMYFUNCTION("""COMPUTED_VALUE"""),"Paddy Cosgrave, Web Summit")</f>
        <v>Paddy Cosgrave, Web Summit</v>
      </c>
      <c r="O279" s="4" t="str">
        <f>IFERROR(__xludf.DUMMYFUNCTION("""COMPUTED_VALUE"""),"Sunil Sharma, Web Summit")</f>
        <v>Sunil Sharma, Web Summit</v>
      </c>
      <c r="P279" s="4" t="str">
        <f>IFERROR(__xludf.DUMMYFUNCTION("""COMPUTED_VALUE"""),"")</f>
        <v/>
      </c>
      <c r="Q279" s="4" t="str">
        <f>IFERROR(__xludf.DUMMYFUNCTION("""COMPUTED_VALUE"""),"")</f>
        <v/>
      </c>
      <c r="R279" s="4" t="str">
        <f>IFERROR(__xludf.DUMMYFUNCTION("""COMPUTED_VALUE"""),"")</f>
        <v/>
      </c>
      <c r="S279" s="4" t="str">
        <f>IFERROR(__xludf.DUMMYFUNCTION("""COMPUTED_VALUE"""),"")</f>
        <v/>
      </c>
      <c r="T279" s="4" t="str">
        <f>IFERROR(__xludf.DUMMYFUNCTION("""COMPUTED_VALUE"""),"")</f>
        <v/>
      </c>
      <c r="U279" s="4" t="str">
        <f>IFERROR(__xludf.DUMMYFUNCTION("""COMPUTED_VALUE"""),"")</f>
        <v/>
      </c>
      <c r="V279" s="4" t="str">
        <f>IFERROR(__xludf.DUMMYFUNCTION("""COMPUTED_VALUE"""),"")</f>
        <v/>
      </c>
      <c r="W279" s="4" t="str">
        <f>IFERROR(__xludf.DUMMYFUNCTION("""COMPUTED_VALUE"""),"")</f>
        <v/>
      </c>
      <c r="X279" s="4" t="str">
        <f>IFERROR(__xludf.DUMMYFUNCTION("""COMPUTED_VALUE"""),"")</f>
        <v/>
      </c>
      <c r="Y279" s="4" t="str">
        <f>IFERROR(__xludf.DUMMYFUNCTION("""COMPUTED_VALUE"""),"")</f>
        <v/>
      </c>
    </row>
    <row r="280">
      <c r="A280" s="4" t="str">
        <f>IFERROR(__xludf.DUMMYFUNCTION("""COMPUTED_VALUE"""),"1715 - Channel")</f>
        <v>1715 - Channel</v>
      </c>
      <c r="B280" s="4" t="str">
        <f>IFERROR(__xludf.DUMMYFUNCTION("""COMPUTED_VALUE"""),"Channel 1")</f>
        <v>Channel 1</v>
      </c>
      <c r="C280" s="4" t="str">
        <f>IFERROR(__xludf.DUMMYFUNCTION("""COMPUTED_VALUE"""),"Day 3 - 25/06")</f>
        <v>Day 3 - 25/06</v>
      </c>
      <c r="D280" s="6">
        <f>IFERROR(__xludf.DUMMYFUNCTION("""COMPUTED_VALUE"""),0.4476041666666668)</f>
        <v>0.4476041667</v>
      </c>
      <c r="E280" s="6">
        <f>IFERROR(__xludf.DUMMYFUNCTION("""COMPUTED_VALUE"""),2.314814814814815E-4)</f>
        <v>0.0002314814815</v>
      </c>
      <c r="F280" s="6">
        <f>IFERROR(__xludf.DUMMYFUNCTION("""COMPUTED_VALUE"""),0.4478356481481483)</f>
        <v>0.4478356481</v>
      </c>
      <c r="G280" s="4" t="str">
        <f>IFERROR(__xludf.DUMMYFUNCTION("""COMPUTED_VALUE"""),"")</f>
        <v/>
      </c>
      <c r="H280" s="4" t="str">
        <f>IFERROR(__xludf.DUMMYFUNCTION("""COMPUTED_VALUE"""),"")</f>
        <v/>
      </c>
      <c r="I280" s="4" t="str">
        <f>IFERROR(__xludf.DUMMYFUNCTION("""COMPUTED_VALUE"""),"")</f>
        <v/>
      </c>
      <c r="J280" s="4" t="str">
        <f>IFERROR(__xludf.DUMMYFUNCTION("""COMPUTED_VALUE"""),"")</f>
        <v/>
      </c>
      <c r="K280" s="4" t="str">
        <f>IFERROR(__xludf.DUMMYFUNCTION("""COMPUTED_VALUE"""),"Talk Intro")</f>
        <v>Talk Intro</v>
      </c>
      <c r="L280" s="4" t="str">
        <f>IFERROR(__xludf.DUMMYFUNCTION("""COMPUTED_VALUE"""),"")</f>
        <v/>
      </c>
      <c r="M280" s="4" t="str">
        <f>IFERROR(__xludf.DUMMYFUNCTION("""COMPUTED_VALUE"""),"Talk Intro")</f>
        <v>Talk Intro</v>
      </c>
      <c r="N280" s="4" t="str">
        <f>IFERROR(__xludf.DUMMYFUNCTION("""COMPUTED_VALUE"""),"Sunil Sharma, Web Summit")</f>
        <v>Sunil Sharma, Web Summit</v>
      </c>
      <c r="O280" s="4" t="str">
        <f>IFERROR(__xludf.DUMMYFUNCTION("""COMPUTED_VALUE"""),"")</f>
        <v/>
      </c>
      <c r="P280" s="4" t="str">
        <f>IFERROR(__xludf.DUMMYFUNCTION("""COMPUTED_VALUE"""),"")</f>
        <v/>
      </c>
      <c r="Q280" s="4" t="str">
        <f>IFERROR(__xludf.DUMMYFUNCTION("""COMPUTED_VALUE"""),"")</f>
        <v/>
      </c>
      <c r="R280" s="4" t="str">
        <f>IFERROR(__xludf.DUMMYFUNCTION("""COMPUTED_VALUE"""),"")</f>
        <v/>
      </c>
      <c r="S280" s="4" t="str">
        <f>IFERROR(__xludf.DUMMYFUNCTION("""COMPUTED_VALUE"""),"")</f>
        <v/>
      </c>
      <c r="T280" s="4" t="str">
        <f>IFERROR(__xludf.DUMMYFUNCTION("""COMPUTED_VALUE"""),"")</f>
        <v/>
      </c>
      <c r="U280" s="4" t="str">
        <f>IFERROR(__xludf.DUMMYFUNCTION("""COMPUTED_VALUE"""),"")</f>
        <v/>
      </c>
      <c r="V280" s="4" t="str">
        <f>IFERROR(__xludf.DUMMYFUNCTION("""COMPUTED_VALUE"""),"")</f>
        <v/>
      </c>
      <c r="W280" s="4" t="str">
        <f>IFERROR(__xludf.DUMMYFUNCTION("""COMPUTED_VALUE"""),"")</f>
        <v/>
      </c>
      <c r="X280" s="4" t="str">
        <f>IFERROR(__xludf.DUMMYFUNCTION("""COMPUTED_VALUE"""),"")</f>
        <v/>
      </c>
      <c r="Y280" s="4" t="str">
        <f>IFERROR(__xludf.DUMMYFUNCTION("""COMPUTED_VALUE"""),"")</f>
        <v/>
      </c>
    </row>
    <row r="281">
      <c r="A281" s="4" t="str">
        <f>IFERROR(__xludf.DUMMYFUNCTION("""COMPUTED_VALUE"""),"1716 - Channel")</f>
        <v>1716 - Channel</v>
      </c>
      <c r="B281" s="4" t="str">
        <f>IFERROR(__xludf.DUMMYFUNCTION("""COMPUTED_VALUE"""),"Channel 1")</f>
        <v>Channel 1</v>
      </c>
      <c r="C281" s="4" t="str">
        <f>IFERROR(__xludf.DUMMYFUNCTION("""COMPUTED_VALUE"""),"Day 3 - 25/06")</f>
        <v>Day 3 - 25/06</v>
      </c>
      <c r="D281" s="6">
        <f>IFERROR(__xludf.DUMMYFUNCTION("""COMPUTED_VALUE"""),0.4478356481481483)</f>
        <v>0.4478356481</v>
      </c>
      <c r="E281" s="6">
        <f>IFERROR(__xludf.DUMMYFUNCTION("""COMPUTED_VALUE"""),0.010416666666666666)</f>
        <v>0.01041666667</v>
      </c>
      <c r="F281" s="6">
        <f>IFERROR(__xludf.DUMMYFUNCTION("""COMPUTED_VALUE"""),0.458252314814815)</f>
        <v>0.4582523148</v>
      </c>
      <c r="G281" s="4" t="str">
        <f>IFERROR(__xludf.DUMMYFUNCTION("""COMPUTED_VALUE"""),"Gavin")</f>
        <v>Gavin</v>
      </c>
      <c r="H281" s="4" t="str">
        <f>IFERROR(__xludf.DUMMYFUNCTION("""COMPUTED_VALUE"""),"Stephen")</f>
        <v>Stephen</v>
      </c>
      <c r="I281" s="4" t="str">
        <f>IFERROR(__xludf.DUMMYFUNCTION("""COMPUTED_VALUE"""),"Naomi")</f>
        <v>Naomi</v>
      </c>
      <c r="J281" s="4" t="str">
        <f>IFERROR(__xludf.DUMMYFUNCTION("""COMPUTED_VALUE"""),"Society")</f>
        <v>Society</v>
      </c>
      <c r="K281" s="4" t="str">
        <f>IFERROR(__xludf.DUMMYFUNCTION("""COMPUTED_VALUE"""),"Fireside")</f>
        <v>Fireside</v>
      </c>
      <c r="L281" s="4" t="str">
        <f>IFERROR(__xludf.DUMMYFUNCTION("""COMPUTED_VALUE"""),"T- 2 - 08/06/2020")</f>
        <v>T- 2 - 08/06/2020</v>
      </c>
      <c r="M281" s="4" t="str">
        <f>IFERROR(__xludf.DUMMYFUNCTION("""COMPUTED_VALUE"""),"Racial and climate justice in the post-Covid economy")</f>
        <v>Racial and climate justice in the post-Covid economy</v>
      </c>
      <c r="N281" s="4" t="str">
        <f>IFERROR(__xludf.DUMMYFUNCTION("""COMPUTED_VALUE"""),"Tom Steyer, California's Task Force for Jobs and Re-Opening")</f>
        <v>Tom Steyer, California's Task Force for Jobs and Re-Opening</v>
      </c>
      <c r="O281" s="4" t="str">
        <f>IFERROR(__xludf.DUMMYFUNCTION("""COMPUTED_VALUE"""),"")</f>
        <v/>
      </c>
      <c r="P281" s="4" t="str">
        <f>IFERROR(__xludf.DUMMYFUNCTION("""COMPUTED_VALUE"""),"")</f>
        <v/>
      </c>
      <c r="Q281" s="4" t="str">
        <f>IFERROR(__xludf.DUMMYFUNCTION("""COMPUTED_VALUE"""),"")</f>
        <v/>
      </c>
      <c r="R281" s="4" t="str">
        <f>IFERROR(__xludf.DUMMYFUNCTION("""COMPUTED_VALUE"""),"Speaker pending")</f>
        <v>Speaker pending</v>
      </c>
      <c r="S281" s="4" t="str">
        <f>IFERROR(__xludf.DUMMYFUNCTION("""COMPUTED_VALUE"""),"")</f>
        <v/>
      </c>
      <c r="T281" s="4" t="str">
        <f>IFERROR(__xludf.DUMMYFUNCTION("""COMPUTED_VALUE"""),"NON-KEYNOTE 2 - Book moderator")</f>
        <v>NON-KEYNOTE 2 - Book moderator</v>
      </c>
      <c r="U281" s="4" t="str">
        <f>IFERROR(__xludf.DUMMYFUNCTION("""COMPUTED_VALUE"""),"")</f>
        <v/>
      </c>
      <c r="V281" s="4" t="str">
        <f>IFERROR(__xludf.DUMMYFUNCTION("""COMPUTED_VALUE"""),"")</f>
        <v/>
      </c>
      <c r="W281" s="4" t="str">
        <f>IFERROR(__xludf.DUMMYFUNCTION("""COMPUTED_VALUE"""),"")</f>
        <v/>
      </c>
      <c r="X281" s="4" t="str">
        <f>IFERROR(__xludf.DUMMYFUNCTION("""COMPUTED_VALUE"""),"")</f>
        <v/>
      </c>
      <c r="Y281" s="4" t="str">
        <f>IFERROR(__xludf.DUMMYFUNCTION("""COMPUTED_VALUE"""),"")</f>
        <v/>
      </c>
    </row>
    <row r="282">
      <c r="A282" s="4" t="str">
        <f>IFERROR(__xludf.DUMMYFUNCTION("""COMPUTED_VALUE"""),"1796 - Channel")</f>
        <v>1796 - Channel</v>
      </c>
      <c r="B282" s="4" t="str">
        <f>IFERROR(__xludf.DUMMYFUNCTION("""COMPUTED_VALUE"""),"Channel 1")</f>
        <v>Channel 1</v>
      </c>
      <c r="C282" s="4" t="str">
        <f>IFERROR(__xludf.DUMMYFUNCTION("""COMPUTED_VALUE"""),"Day 3 - 25/06")</f>
        <v>Day 3 - 25/06</v>
      </c>
      <c r="D282" s="4" t="str">
        <f>IFERROR(__xludf.DUMMYFUNCTION("""COMPUTED_VALUE"""),"")</f>
        <v/>
      </c>
      <c r="E282" s="4" t="str">
        <f>IFERROR(__xludf.DUMMYFUNCTION("""COMPUTED_VALUE"""),"")</f>
        <v/>
      </c>
      <c r="F282" s="4" t="str">
        <f>IFERROR(__xludf.DUMMYFUNCTION("""COMPUTED_VALUE"""),"")</f>
        <v/>
      </c>
      <c r="G282" s="4" t="str">
        <f>IFERROR(__xludf.DUMMYFUNCTION("""COMPUTED_VALUE"""),"")</f>
        <v/>
      </c>
      <c r="H282" s="4" t="str">
        <f>IFERROR(__xludf.DUMMYFUNCTION("""COMPUTED_VALUE"""),"")</f>
        <v/>
      </c>
      <c r="I282" s="4" t="str">
        <f>IFERROR(__xludf.DUMMYFUNCTION("""COMPUTED_VALUE"""),"")</f>
        <v/>
      </c>
      <c r="J282" s="4" t="str">
        <f>IFERROR(__xludf.DUMMYFUNCTION("""COMPUTED_VALUE"""),"")</f>
        <v/>
      </c>
      <c r="K282" s="4" t="str">
        <f>IFERROR(__xludf.DUMMYFUNCTION("""COMPUTED_VALUE"""),"")</f>
        <v/>
      </c>
      <c r="L282" s="4" t="str">
        <f>IFERROR(__xludf.DUMMYFUNCTION("""COMPUTED_VALUE"""),"")</f>
        <v/>
      </c>
      <c r="M282" s="4" t="str">
        <f>IFERROR(__xludf.DUMMYFUNCTION("""COMPUTED_VALUE"""),"")</f>
        <v/>
      </c>
      <c r="N282" s="4" t="str">
        <f>IFERROR(__xludf.DUMMYFUNCTION("""COMPUTED_VALUE"""),"")</f>
        <v/>
      </c>
      <c r="O282" s="4" t="str">
        <f>IFERROR(__xludf.DUMMYFUNCTION("""COMPUTED_VALUE"""),"")</f>
        <v/>
      </c>
      <c r="P282" s="4" t="str">
        <f>IFERROR(__xludf.DUMMYFUNCTION("""COMPUTED_VALUE"""),"")</f>
        <v/>
      </c>
      <c r="Q282" s="4" t="str">
        <f>IFERROR(__xludf.DUMMYFUNCTION("""COMPUTED_VALUE"""),"")</f>
        <v/>
      </c>
      <c r="R282" s="4" t="str">
        <f>IFERROR(__xludf.DUMMYFUNCTION("""COMPUTED_VALUE"""),"")</f>
        <v/>
      </c>
      <c r="S282" s="4" t="str">
        <f>IFERROR(__xludf.DUMMYFUNCTION("""COMPUTED_VALUE"""),"")</f>
        <v/>
      </c>
      <c r="T282" s="4" t="str">
        <f>IFERROR(__xludf.DUMMYFUNCTION("""COMPUTED_VALUE"""),"")</f>
        <v/>
      </c>
      <c r="U282" s="4" t="str">
        <f>IFERROR(__xludf.DUMMYFUNCTION("""COMPUTED_VALUE"""),"")</f>
        <v/>
      </c>
      <c r="V282" s="4" t="str">
        <f>IFERROR(__xludf.DUMMYFUNCTION("""COMPUTED_VALUE"""),"")</f>
        <v/>
      </c>
      <c r="W282" s="4" t="str">
        <f>IFERROR(__xludf.DUMMYFUNCTION("""COMPUTED_VALUE"""),"")</f>
        <v/>
      </c>
      <c r="X282" s="4" t="str">
        <f>IFERROR(__xludf.DUMMYFUNCTION("""COMPUTED_VALUE"""),"")</f>
        <v/>
      </c>
      <c r="Y282" s="4" t="str">
        <f>IFERROR(__xludf.DUMMYFUNCTION("""COMPUTED_VALUE"""),"")</f>
        <v/>
      </c>
    </row>
    <row r="283">
      <c r="A283" s="4" t="str">
        <f>IFERROR(__xludf.DUMMYFUNCTION("""COMPUTED_VALUE"""),"290 - Channel")</f>
        <v>290 - Channel</v>
      </c>
      <c r="B283" s="4" t="str">
        <f>IFERROR(__xludf.DUMMYFUNCTION("""COMPUTED_VALUE"""),"Channel 1")</f>
        <v>Channel 1</v>
      </c>
      <c r="C283" s="4" t="str">
        <f>IFERROR(__xludf.DUMMYFUNCTION("""COMPUTED_VALUE"""),"Day 3 - 25/06")</f>
        <v>Day 3 - 25/06</v>
      </c>
      <c r="D283" s="6">
        <f>IFERROR(__xludf.DUMMYFUNCTION("""COMPUTED_VALUE"""),0.458252314814815)</f>
        <v>0.4582523148</v>
      </c>
      <c r="E283" s="6">
        <f>IFERROR(__xludf.DUMMYFUNCTION("""COMPUTED_VALUE"""),6.944444444444445E-4)</f>
        <v>0.0006944444444</v>
      </c>
      <c r="F283" s="6">
        <f>IFERROR(__xludf.DUMMYFUNCTION("""COMPUTED_VALUE"""),0.45894675925925943)</f>
        <v>0.4589467593</v>
      </c>
      <c r="G283" s="4" t="str">
        <f>IFERROR(__xludf.DUMMYFUNCTION("""COMPUTED_VALUE"""),"")</f>
        <v/>
      </c>
      <c r="H283" s="4" t="str">
        <f>IFERROR(__xludf.DUMMYFUNCTION("""COMPUTED_VALUE"""),"")</f>
        <v/>
      </c>
      <c r="I283" s="4" t="str">
        <f>IFERROR(__xludf.DUMMYFUNCTION("""COMPUTED_VALUE"""),"")</f>
        <v/>
      </c>
      <c r="J283" s="4" t="str">
        <f>IFERROR(__xludf.DUMMYFUNCTION("""COMPUTED_VALUE"""),"")</f>
        <v/>
      </c>
      <c r="K283" s="4" t="str">
        <f>IFERROR(__xludf.DUMMYFUNCTION("""COMPUTED_VALUE"""),"Laundry List/Lookaround")</f>
        <v>Laundry List/Lookaround</v>
      </c>
      <c r="L283" s="4" t="str">
        <f>IFERROR(__xludf.DUMMYFUNCTION("""COMPUTED_VALUE"""),"")</f>
        <v/>
      </c>
      <c r="M283" s="4" t="str">
        <f>IFERROR(__xludf.DUMMYFUNCTION("""COMPUTED_VALUE"""),"Laundry Day3_11AM")</f>
        <v>Laundry Day3_11AM</v>
      </c>
      <c r="N283" s="4" t="str">
        <f>IFERROR(__xludf.DUMMYFUNCTION("""COMPUTED_VALUE"""),"Yvonne Redmond, Web Summit")</f>
        <v>Yvonne Redmond, Web Summit</v>
      </c>
      <c r="O283" s="4" t="str">
        <f>IFERROR(__xludf.DUMMYFUNCTION("""COMPUTED_VALUE"""),"")</f>
        <v/>
      </c>
      <c r="P283" s="4" t="str">
        <f>IFERROR(__xludf.DUMMYFUNCTION("""COMPUTED_VALUE"""),"")</f>
        <v/>
      </c>
      <c r="Q283" s="4" t="str">
        <f>IFERROR(__xludf.DUMMYFUNCTION("""COMPUTED_VALUE"""),"")</f>
        <v/>
      </c>
      <c r="R283" s="4" t="str">
        <f>IFERROR(__xludf.DUMMYFUNCTION("""COMPUTED_VALUE"""),"")</f>
        <v/>
      </c>
      <c r="S283" s="4" t="str">
        <f>IFERROR(__xludf.DUMMYFUNCTION("""COMPUTED_VALUE"""),"")</f>
        <v/>
      </c>
      <c r="T283" s="4" t="str">
        <f>IFERROR(__xludf.DUMMYFUNCTION("""COMPUTED_VALUE"""),"")</f>
        <v/>
      </c>
      <c r="U283" s="4" t="str">
        <f>IFERROR(__xludf.DUMMYFUNCTION("""COMPUTED_VALUE"""),"")</f>
        <v/>
      </c>
      <c r="V283" s="4" t="str">
        <f>IFERROR(__xludf.DUMMYFUNCTION("""COMPUTED_VALUE"""),"")</f>
        <v/>
      </c>
      <c r="W283" s="4" t="str">
        <f>IFERROR(__xludf.DUMMYFUNCTION("""COMPUTED_VALUE"""),"")</f>
        <v/>
      </c>
      <c r="X283" s="4" t="str">
        <f>IFERROR(__xludf.DUMMYFUNCTION("""COMPUTED_VALUE"""),"")</f>
        <v/>
      </c>
      <c r="Y283" s="4" t="str">
        <f>IFERROR(__xludf.DUMMYFUNCTION("""COMPUTED_VALUE"""),"")</f>
        <v/>
      </c>
    </row>
    <row r="284">
      <c r="A284" s="4" t="str">
        <f>IFERROR(__xludf.DUMMYFUNCTION("""COMPUTED_VALUE"""),"1408 - Channel")</f>
        <v>1408 - Channel</v>
      </c>
      <c r="B284" s="4" t="str">
        <f>IFERROR(__xludf.DUMMYFUNCTION("""COMPUTED_VALUE"""),"Channel 1")</f>
        <v>Channel 1</v>
      </c>
      <c r="C284" s="4" t="str">
        <f>IFERROR(__xludf.DUMMYFUNCTION("""COMPUTED_VALUE"""),"Day 3 - 25/06")</f>
        <v>Day 3 - 25/06</v>
      </c>
      <c r="D284" s="6">
        <f>IFERROR(__xludf.DUMMYFUNCTION("""COMPUTED_VALUE"""),0.45894675925925943)</f>
        <v>0.4589467593</v>
      </c>
      <c r="E284" s="6">
        <f>IFERROR(__xludf.DUMMYFUNCTION("""COMPUTED_VALUE"""),3.4722222222222224E-4)</f>
        <v>0.0003472222222</v>
      </c>
      <c r="F284" s="6">
        <f>IFERROR(__xludf.DUMMYFUNCTION("""COMPUTED_VALUE"""),0.45929398148148165)</f>
        <v>0.4592939815</v>
      </c>
      <c r="G284" s="4" t="str">
        <f>IFERROR(__xludf.DUMMYFUNCTION("""COMPUTED_VALUE"""),"Video")</f>
        <v>Video</v>
      </c>
      <c r="H284" s="4" t="str">
        <f>IFERROR(__xludf.DUMMYFUNCTION("""COMPUTED_VALUE"""),"")</f>
        <v/>
      </c>
      <c r="I284" s="4" t="str">
        <f>IFERROR(__xludf.DUMMYFUNCTION("""COMPUTED_VALUE"""),"")</f>
        <v/>
      </c>
      <c r="J284" s="4" t="str">
        <f>IFERROR(__xludf.DUMMYFUNCTION("""COMPUTED_VALUE"""),"")</f>
        <v/>
      </c>
      <c r="K284" s="4" t="str">
        <f>IFERROR(__xludf.DUMMYFUNCTION("""COMPUTED_VALUE"""),"RISE Trailer")</f>
        <v>RISE Trailer</v>
      </c>
      <c r="L284" s="4" t="str">
        <f>IFERROR(__xludf.DUMMYFUNCTION("""COMPUTED_VALUE"""),"")</f>
        <v/>
      </c>
      <c r="M284" s="4" t="str">
        <f>IFERROR(__xludf.DUMMYFUNCTION("""COMPUTED_VALUE"""),"RISE promo")</f>
        <v>RISE promo</v>
      </c>
      <c r="N284" s="4" t="str">
        <f>IFERROR(__xludf.DUMMYFUNCTION("""COMPUTED_VALUE"""),"Content pending")</f>
        <v>Content pending</v>
      </c>
      <c r="O284" s="4" t="str">
        <f>IFERROR(__xludf.DUMMYFUNCTION("""COMPUTED_VALUE"""),"")</f>
        <v/>
      </c>
      <c r="P284" s="4" t="str">
        <f>IFERROR(__xludf.DUMMYFUNCTION("""COMPUTED_VALUE"""),"")</f>
        <v/>
      </c>
      <c r="Q284" s="4" t="str">
        <f>IFERROR(__xludf.DUMMYFUNCTION("""COMPUTED_VALUE"""),"")</f>
        <v/>
      </c>
      <c r="R284" s="4" t="str">
        <f>IFERROR(__xludf.DUMMYFUNCTION("""COMPUTED_VALUE"""),"")</f>
        <v/>
      </c>
      <c r="S284" s="4" t="str">
        <f>IFERROR(__xludf.DUMMYFUNCTION("""COMPUTED_VALUE"""),"")</f>
        <v/>
      </c>
      <c r="T284" s="4" t="str">
        <f>IFERROR(__xludf.DUMMYFUNCTION("""COMPUTED_VALUE"""),"")</f>
        <v/>
      </c>
      <c r="U284" s="4" t="str">
        <f>IFERROR(__xludf.DUMMYFUNCTION("""COMPUTED_VALUE"""),"")</f>
        <v/>
      </c>
      <c r="V284" s="4" t="str">
        <f>IFERROR(__xludf.DUMMYFUNCTION("""COMPUTED_VALUE"""),"")</f>
        <v/>
      </c>
      <c r="W284" s="4" t="str">
        <f>IFERROR(__xludf.DUMMYFUNCTION("""COMPUTED_VALUE"""),"")</f>
        <v/>
      </c>
      <c r="X284" s="4" t="str">
        <f>IFERROR(__xludf.DUMMYFUNCTION("""COMPUTED_VALUE"""),"")</f>
        <v/>
      </c>
      <c r="Y284" s="4" t="str">
        <f>IFERROR(__xludf.DUMMYFUNCTION("""COMPUTED_VALUE"""),"")</f>
        <v/>
      </c>
    </row>
    <row r="285">
      <c r="A285" s="4" t="str">
        <f>IFERROR(__xludf.DUMMYFUNCTION("""COMPUTED_VALUE"""),"287 - Channel")</f>
        <v>287 - Channel</v>
      </c>
      <c r="B285" s="4" t="str">
        <f>IFERROR(__xludf.DUMMYFUNCTION("""COMPUTED_VALUE"""),"Channel 1")</f>
        <v>Channel 1</v>
      </c>
      <c r="C285" s="4" t="str">
        <f>IFERROR(__xludf.DUMMYFUNCTION("""COMPUTED_VALUE"""),"Day 3 - 25/06")</f>
        <v>Day 3 - 25/06</v>
      </c>
      <c r="D285" s="6">
        <f>IFERROR(__xludf.DUMMYFUNCTION("""COMPUTED_VALUE"""),0.45929398148148165)</f>
        <v>0.4592939815</v>
      </c>
      <c r="E285" s="6">
        <f>IFERROR(__xludf.DUMMYFUNCTION("""COMPUTED_VALUE"""),2.314814814814815E-4)</f>
        <v>0.0002314814815</v>
      </c>
      <c r="F285" s="6">
        <f>IFERROR(__xludf.DUMMYFUNCTION("""COMPUTED_VALUE"""),0.45952546296296315)</f>
        <v>0.459525463</v>
      </c>
      <c r="G285" s="4" t="str">
        <f>IFERROR(__xludf.DUMMYFUNCTION("""COMPUTED_VALUE"""),"")</f>
        <v/>
      </c>
      <c r="H285" s="4" t="str">
        <f>IFERROR(__xludf.DUMMYFUNCTION("""COMPUTED_VALUE"""),"")</f>
        <v/>
      </c>
      <c r="I285" s="4" t="str">
        <f>IFERROR(__xludf.DUMMYFUNCTION("""COMPUTED_VALUE"""),"")</f>
        <v/>
      </c>
      <c r="J285" s="4" t="str">
        <f>IFERROR(__xludf.DUMMYFUNCTION("""COMPUTED_VALUE"""),"")</f>
        <v/>
      </c>
      <c r="K285" s="4" t="str">
        <f>IFERROR(__xludf.DUMMYFUNCTION("""COMPUTED_VALUE"""),"Talk Intro")</f>
        <v>Talk Intro</v>
      </c>
      <c r="L285" s="4" t="str">
        <f>IFERROR(__xludf.DUMMYFUNCTION("""COMPUTED_VALUE"""),"")</f>
        <v/>
      </c>
      <c r="M285" s="4" t="str">
        <f>IFERROR(__xludf.DUMMYFUNCTION("""COMPUTED_VALUE"""),"Talk Intro")</f>
        <v>Talk Intro</v>
      </c>
      <c r="N285" s="4" t="str">
        <f>IFERROR(__xludf.DUMMYFUNCTION("""COMPUTED_VALUE"""),"Yvonne Redmond, Web Summit")</f>
        <v>Yvonne Redmond, Web Summit</v>
      </c>
      <c r="O285" s="4" t="str">
        <f>IFERROR(__xludf.DUMMYFUNCTION("""COMPUTED_VALUE"""),"Yvonne Redmond, Web Summit")</f>
        <v>Yvonne Redmond, Web Summit</v>
      </c>
      <c r="P285" s="4" t="str">
        <f>IFERROR(__xludf.DUMMYFUNCTION("""COMPUTED_VALUE"""),"")</f>
        <v/>
      </c>
      <c r="Q285" s="4" t="str">
        <f>IFERROR(__xludf.DUMMYFUNCTION("""COMPUTED_VALUE"""),"")</f>
        <v/>
      </c>
      <c r="R285" s="4" t="str">
        <f>IFERROR(__xludf.DUMMYFUNCTION("""COMPUTED_VALUE"""),"")</f>
        <v/>
      </c>
      <c r="S285" s="4" t="str">
        <f>IFERROR(__xludf.DUMMYFUNCTION("""COMPUTED_VALUE"""),"")</f>
        <v/>
      </c>
      <c r="T285" s="4" t="str">
        <f>IFERROR(__xludf.DUMMYFUNCTION("""COMPUTED_VALUE"""),"")</f>
        <v/>
      </c>
      <c r="U285" s="4" t="str">
        <f>IFERROR(__xludf.DUMMYFUNCTION("""COMPUTED_VALUE"""),"")</f>
        <v/>
      </c>
      <c r="V285" s="4" t="str">
        <f>IFERROR(__xludf.DUMMYFUNCTION("""COMPUTED_VALUE"""),"")</f>
        <v/>
      </c>
      <c r="W285" s="4" t="str">
        <f>IFERROR(__xludf.DUMMYFUNCTION("""COMPUTED_VALUE"""),"")</f>
        <v/>
      </c>
      <c r="X285" s="4" t="str">
        <f>IFERROR(__xludf.DUMMYFUNCTION("""COMPUTED_VALUE"""),"")</f>
        <v/>
      </c>
      <c r="Y285" s="4" t="str">
        <f>IFERROR(__xludf.DUMMYFUNCTION("""COMPUTED_VALUE"""),"")</f>
        <v/>
      </c>
    </row>
    <row r="286">
      <c r="A286" s="4" t="str">
        <f>IFERROR(__xludf.DUMMYFUNCTION("""COMPUTED_VALUE"""),"288 - Channel")</f>
        <v>288 - Channel</v>
      </c>
      <c r="B286" s="4" t="str">
        <f>IFERROR(__xludf.DUMMYFUNCTION("""COMPUTED_VALUE"""),"Channel 1")</f>
        <v>Channel 1</v>
      </c>
      <c r="C286" s="4" t="str">
        <f>IFERROR(__xludf.DUMMYFUNCTION("""COMPUTED_VALUE"""),"Day 3 - 25/06")</f>
        <v>Day 3 - 25/06</v>
      </c>
      <c r="D286" s="6">
        <f>IFERROR(__xludf.DUMMYFUNCTION("""COMPUTED_VALUE"""),0.45952546296296315)</f>
        <v>0.459525463</v>
      </c>
      <c r="E286" s="6">
        <f>IFERROR(__xludf.DUMMYFUNCTION("""COMPUTED_VALUE"""),0.008796296296296297)</f>
        <v>0.008796296296</v>
      </c>
      <c r="F286" s="6">
        <f>IFERROR(__xludf.DUMMYFUNCTION("""COMPUTED_VALUE"""),0.46832175925925945)</f>
        <v>0.4683217593</v>
      </c>
      <c r="G286" s="4" t="str">
        <f>IFERROR(__xludf.DUMMYFUNCTION("""COMPUTED_VALUE"""),"Yvonne")</f>
        <v>Yvonne</v>
      </c>
      <c r="H286" s="4" t="str">
        <f>IFERROR(__xludf.DUMMYFUNCTION("""COMPUTED_VALUE"""),"Haziq")</f>
        <v>Haziq</v>
      </c>
      <c r="I286" s="4" t="str">
        <f>IFERROR(__xludf.DUMMYFUNCTION("""COMPUTED_VALUE"""),"Lucia H.")</f>
        <v>Lucia H.</v>
      </c>
      <c r="J286" s="4" t="str">
        <f>IFERROR(__xludf.DUMMYFUNCTION("""COMPUTED_VALUE"""),"Health")</f>
        <v>Health</v>
      </c>
      <c r="K286" s="4" t="str">
        <f>IFERROR(__xludf.DUMMYFUNCTION("""COMPUTED_VALUE"""),"Super Fireside")</f>
        <v>Super Fireside</v>
      </c>
      <c r="L286" s="4" t="str">
        <f>IFERROR(__xludf.DUMMYFUNCTION("""COMPUTED_VALUE"""),"T- 4 - 25/05/2020")</f>
        <v>T- 4 - 25/05/2020</v>
      </c>
      <c r="M286" s="4" t="str">
        <f>IFERROR(__xludf.DUMMYFUNCTION("""COMPUTED_VALUE"""),"How is tech taking Covid-19 to task?")</f>
        <v>How is tech taking Covid-19 to task?</v>
      </c>
      <c r="N286" s="4" t="str">
        <f>IFERROR(__xludf.DUMMYFUNCTION("""COMPUTED_VALUE"""),"Eric Hobbs, Berkeley Lights")</f>
        <v>Eric Hobbs, Berkeley Lights</v>
      </c>
      <c r="O286" s="4" t="str">
        <f>IFERROR(__xludf.DUMMYFUNCTION("""COMPUTED_VALUE"""),"Mark Stibich, Xenex")</f>
        <v>Mark Stibich, Xenex</v>
      </c>
      <c r="P286" s="4" t="str">
        <f>IFERROR(__xludf.DUMMYFUNCTION("""COMPUTED_VALUE"""),"")</f>
        <v/>
      </c>
      <c r="Q286" s="4" t="str">
        <f>IFERROR(__xludf.DUMMYFUNCTION("""COMPUTED_VALUE"""),"")</f>
        <v/>
      </c>
      <c r="R286" s="4" t="str">
        <f>IFERROR(__xludf.DUMMYFUNCTION("""COMPUTED_VALUE"""),"Paul Nuki, The Daily Telegraph")</f>
        <v>Paul Nuki, The Daily Telegraph</v>
      </c>
      <c r="S286" s="4" t="str">
        <f>IFERROR(__xludf.DUMMYFUNCTION("""COMPUTED_VALUE"""),"Therapies, testing, and disinfecting robots. Hear about two of the ways tech is stepping up in this time of crisis to join the global effort against Covid-19.  ")</f>
        <v>Therapies, testing, and disinfecting robots. Hear about two of the ways tech is stepping up in this time of crisis to join the global effort against Covid-19.  </v>
      </c>
      <c r="T286" s="4" t="str">
        <f>IFERROR(__xludf.DUMMYFUNCTION("""COMPUTED_VALUE"""),"NON-KEYNOTE 9 - COMPLETE")</f>
        <v>NON-KEYNOTE 9 - COMPLETE</v>
      </c>
      <c r="U286" s="23">
        <f>IFERROR(__xludf.DUMMYFUNCTION("""COMPUTED_VALUE"""),43971.0)</f>
        <v>43971</v>
      </c>
      <c r="V286" s="24">
        <f>IFERROR(__xludf.DUMMYFUNCTION("""COMPUTED_VALUE"""),0.7083333333333334)</f>
        <v>0.7083333333</v>
      </c>
      <c r="W286" s="4" t="str">
        <f>IFERROR(__xludf.DUMMYFUNCTION("""COMPUTED_VALUE"""),"COMPLETE")</f>
        <v>COMPLETE</v>
      </c>
      <c r="X286" s="4" t="str">
        <f>IFERROR(__xludf.DUMMYFUNCTION("""COMPUTED_VALUE"""),"Darragh")</f>
        <v>Darragh</v>
      </c>
      <c r="Y286" s="4" t="str">
        <f>IFERROR(__xludf.DUMMYFUNCTION("""COMPUTED_VALUE"""),"")</f>
        <v/>
      </c>
    </row>
    <row r="287">
      <c r="A287" s="4" t="str">
        <f>IFERROR(__xludf.DUMMYFUNCTION("""COMPUTED_VALUE"""),"283 - Channel")</f>
        <v>283 - Channel</v>
      </c>
      <c r="B287" s="4" t="str">
        <f>IFERROR(__xludf.DUMMYFUNCTION("""COMPUTED_VALUE"""),"Channel 1")</f>
        <v>Channel 1</v>
      </c>
      <c r="C287" s="4" t="str">
        <f>IFERROR(__xludf.DUMMYFUNCTION("""COMPUTED_VALUE"""),"Day 3 - 25/06")</f>
        <v>Day 3 - 25/06</v>
      </c>
      <c r="D287" s="6">
        <f>IFERROR(__xludf.DUMMYFUNCTION("""COMPUTED_VALUE"""),0.46832175925925945)</f>
        <v>0.4683217593</v>
      </c>
      <c r="E287" s="6">
        <f>IFERROR(__xludf.DUMMYFUNCTION("""COMPUTED_VALUE"""),3.4722222222222224E-4)</f>
        <v>0.0003472222222</v>
      </c>
      <c r="F287" s="6">
        <f>IFERROR(__xludf.DUMMYFUNCTION("""COMPUTED_VALUE"""),0.4686689814814817)</f>
        <v>0.4686689815</v>
      </c>
      <c r="G287" s="4" t="str">
        <f>IFERROR(__xludf.DUMMYFUNCTION("""COMPUTED_VALUE"""),"")</f>
        <v/>
      </c>
      <c r="H287" s="4" t="str">
        <f>IFERROR(__xludf.DUMMYFUNCTION("""COMPUTED_VALUE"""),"")</f>
        <v/>
      </c>
      <c r="I287" s="4" t="str">
        <f>IFERROR(__xludf.DUMMYFUNCTION("""COMPUTED_VALUE"""),"")</f>
        <v/>
      </c>
      <c r="J287" s="4" t="str">
        <f>IFERROR(__xludf.DUMMYFUNCTION("""COMPUTED_VALUE"""),"")</f>
        <v/>
      </c>
      <c r="K287" s="4" t="str">
        <f>IFERROR(__xludf.DUMMYFUNCTION("""COMPUTED_VALUE"""),"")</f>
        <v/>
      </c>
      <c r="L287" s="4" t="str">
        <f>IFERROR(__xludf.DUMMYFUNCTION("""COMPUTED_VALUE"""),"")</f>
        <v/>
      </c>
      <c r="M287" s="4" t="str">
        <f>IFERROR(__xludf.DUMMYFUNCTION("""COMPUTED_VALUE"""),"Teaser: Boston Dynamics_Intro ")</f>
        <v>Teaser: Boston Dynamics_Intro </v>
      </c>
      <c r="N287" s="4" t="str">
        <f>IFERROR(__xludf.DUMMYFUNCTION("""COMPUTED_VALUE"""),"Yvonne Redmond, Web Summit")</f>
        <v>Yvonne Redmond, Web Summit</v>
      </c>
      <c r="O287" s="4" t="str">
        <f>IFERROR(__xludf.DUMMYFUNCTION("""COMPUTED_VALUE"""),"")</f>
        <v/>
      </c>
      <c r="P287" s="4" t="str">
        <f>IFERROR(__xludf.DUMMYFUNCTION("""COMPUTED_VALUE"""),"")</f>
        <v/>
      </c>
      <c r="Q287" s="4" t="str">
        <f>IFERROR(__xludf.DUMMYFUNCTION("""COMPUTED_VALUE"""),"")</f>
        <v/>
      </c>
      <c r="R287" s="4" t="str">
        <f>IFERROR(__xludf.DUMMYFUNCTION("""COMPUTED_VALUE"""),"")</f>
        <v/>
      </c>
      <c r="S287" s="4" t="str">
        <f>IFERROR(__xludf.DUMMYFUNCTION("""COMPUTED_VALUE"""),"")</f>
        <v/>
      </c>
      <c r="T287" s="4" t="str">
        <f>IFERROR(__xludf.DUMMYFUNCTION("""COMPUTED_VALUE"""),"")</f>
        <v/>
      </c>
      <c r="U287" s="4" t="str">
        <f>IFERROR(__xludf.DUMMYFUNCTION("""COMPUTED_VALUE"""),"")</f>
        <v/>
      </c>
      <c r="V287" s="4" t="str">
        <f>IFERROR(__xludf.DUMMYFUNCTION("""COMPUTED_VALUE"""),"")</f>
        <v/>
      </c>
      <c r="W287" s="4" t="str">
        <f>IFERROR(__xludf.DUMMYFUNCTION("""COMPUTED_VALUE"""),"")</f>
        <v/>
      </c>
      <c r="X287" s="4" t="str">
        <f>IFERROR(__xludf.DUMMYFUNCTION("""COMPUTED_VALUE"""),"")</f>
        <v/>
      </c>
      <c r="Y287" s="4" t="str">
        <f>IFERROR(__xludf.DUMMYFUNCTION("""COMPUTED_VALUE"""),"")</f>
        <v/>
      </c>
    </row>
    <row r="288">
      <c r="A288" s="4" t="str">
        <f>IFERROR(__xludf.DUMMYFUNCTION("""COMPUTED_VALUE"""),"284 - Channel")</f>
        <v>284 - Channel</v>
      </c>
      <c r="B288" s="4" t="str">
        <f>IFERROR(__xludf.DUMMYFUNCTION("""COMPUTED_VALUE"""),"Channel 1")</f>
        <v>Channel 1</v>
      </c>
      <c r="C288" s="4" t="str">
        <f>IFERROR(__xludf.DUMMYFUNCTION("""COMPUTED_VALUE"""),"Day 3 - 25/06")</f>
        <v>Day 3 - 25/06</v>
      </c>
      <c r="D288" s="6">
        <f>IFERROR(__xludf.DUMMYFUNCTION("""COMPUTED_VALUE"""),0.4686689814814817)</f>
        <v>0.4686689815</v>
      </c>
      <c r="E288" s="6">
        <f>IFERROR(__xludf.DUMMYFUNCTION("""COMPUTED_VALUE"""),0.0020833333333333333)</f>
        <v>0.002083333333</v>
      </c>
      <c r="F288" s="6">
        <f>IFERROR(__xludf.DUMMYFUNCTION("""COMPUTED_VALUE"""),0.470752314814815)</f>
        <v>0.4707523148</v>
      </c>
      <c r="G288" s="4" t="str">
        <f>IFERROR(__xludf.DUMMYFUNCTION("""COMPUTED_VALUE"""),"Darragh")</f>
        <v>Darragh</v>
      </c>
      <c r="H288" s="4" t="str">
        <f>IFERROR(__xludf.DUMMYFUNCTION("""COMPUTED_VALUE"""),"")</f>
        <v/>
      </c>
      <c r="I288" s="4" t="str">
        <f>IFERROR(__xludf.DUMMYFUNCTION("""COMPUTED_VALUE"""),"Lynn")</f>
        <v>Lynn</v>
      </c>
      <c r="J288" s="4" t="str">
        <f>IFERROR(__xludf.DUMMYFUNCTION("""COMPUTED_VALUE"""),"Robotics")</f>
        <v>Robotics</v>
      </c>
      <c r="K288" s="4" t="str">
        <f>IFERROR(__xludf.DUMMYFUNCTION("""COMPUTED_VALUE"""),"Teaser")</f>
        <v>Teaser</v>
      </c>
      <c r="L288" s="4" t="str">
        <f>IFERROR(__xludf.DUMMYFUNCTION("""COMPUTED_VALUE"""),"")</f>
        <v/>
      </c>
      <c r="M288" s="4" t="str">
        <f>IFERROR(__xludf.DUMMYFUNCTION("""COMPUTED_VALUE"""),"Teaser: Boston Dynamics")</f>
        <v>Teaser: Boston Dynamics</v>
      </c>
      <c r="N288" s="4" t="str">
        <f>IFERROR(__xludf.DUMMYFUNCTION("""COMPUTED_VALUE"""),"")</f>
        <v/>
      </c>
      <c r="O288" s="4" t="str">
        <f>IFERROR(__xludf.DUMMYFUNCTION("""COMPUTED_VALUE"""),"")</f>
        <v/>
      </c>
      <c r="P288" s="4" t="str">
        <f>IFERROR(__xludf.DUMMYFUNCTION("""COMPUTED_VALUE"""),"")</f>
        <v/>
      </c>
      <c r="Q288" s="4" t="str">
        <f>IFERROR(__xludf.DUMMYFUNCTION("""COMPUTED_VALUE"""),"")</f>
        <v/>
      </c>
      <c r="R288" s="4" t="str">
        <f>IFERROR(__xludf.DUMMYFUNCTION("""COMPUTED_VALUE"""),"")</f>
        <v/>
      </c>
      <c r="S288" s="4" t="str">
        <f>IFERROR(__xludf.DUMMYFUNCTION("""COMPUTED_VALUE"""),"")</f>
        <v/>
      </c>
      <c r="T288" s="4" t="str">
        <f>IFERROR(__xludf.DUMMYFUNCTION("""COMPUTED_VALUE"""),"N/A")</f>
        <v>N/A</v>
      </c>
      <c r="U288" s="4" t="str">
        <f>IFERROR(__xludf.DUMMYFUNCTION("""COMPUTED_VALUE"""),"")</f>
        <v/>
      </c>
      <c r="V288" s="4" t="str">
        <f>IFERROR(__xludf.DUMMYFUNCTION("""COMPUTED_VALUE"""),"")</f>
        <v/>
      </c>
      <c r="W288" s="4" t="str">
        <f>IFERROR(__xludf.DUMMYFUNCTION("""COMPUTED_VALUE"""),"")</f>
        <v/>
      </c>
      <c r="X288" s="4" t="str">
        <f>IFERROR(__xludf.DUMMYFUNCTION("""COMPUTED_VALUE"""),"")</f>
        <v/>
      </c>
      <c r="Y288" s="4" t="str">
        <f>IFERROR(__xludf.DUMMYFUNCTION("""COMPUTED_VALUE"""),"")</f>
        <v/>
      </c>
    </row>
    <row r="289">
      <c r="A289" s="4" t="str">
        <f>IFERROR(__xludf.DUMMYFUNCTION("""COMPUTED_VALUE"""),"2259 - Channel")</f>
        <v>2259 - Channel</v>
      </c>
      <c r="B289" s="4" t="str">
        <f>IFERROR(__xludf.DUMMYFUNCTION("""COMPUTED_VALUE"""),"Channel 1")</f>
        <v>Channel 1</v>
      </c>
      <c r="C289" s="4" t="str">
        <f>IFERROR(__xludf.DUMMYFUNCTION("""COMPUTED_VALUE"""),"Day 3 - 25/06")</f>
        <v>Day 3 - 25/06</v>
      </c>
      <c r="D289" s="6">
        <f>IFERROR(__xludf.DUMMYFUNCTION("""COMPUTED_VALUE"""),0.470752314814815)</f>
        <v>0.4707523148</v>
      </c>
      <c r="E289" s="6">
        <f>IFERROR(__xludf.DUMMYFUNCTION("""COMPUTED_VALUE"""),2.314814814814815E-4)</f>
        <v>0.0002314814815</v>
      </c>
      <c r="F289" s="6">
        <f>IFERROR(__xludf.DUMMYFUNCTION("""COMPUTED_VALUE"""),0.4709837962962965)</f>
        <v>0.4709837963</v>
      </c>
      <c r="G289" s="4" t="str">
        <f>IFERROR(__xludf.DUMMYFUNCTION("""COMPUTED_VALUE"""),"")</f>
        <v/>
      </c>
      <c r="H289" s="4" t="str">
        <f>IFERROR(__xludf.DUMMYFUNCTION("""COMPUTED_VALUE"""),"")</f>
        <v/>
      </c>
      <c r="I289" s="4" t="str">
        <f>IFERROR(__xludf.DUMMYFUNCTION("""COMPUTED_VALUE"""),"")</f>
        <v/>
      </c>
      <c r="J289" s="4" t="str">
        <f>IFERROR(__xludf.DUMMYFUNCTION("""COMPUTED_VALUE"""),"")</f>
        <v/>
      </c>
      <c r="K289" s="4" t="str">
        <f>IFERROR(__xludf.DUMMYFUNCTION("""COMPUTED_VALUE"""),"Talk Outro")</f>
        <v>Talk Outro</v>
      </c>
      <c r="L289" s="4" t="str">
        <f>IFERROR(__xludf.DUMMYFUNCTION("""COMPUTED_VALUE"""),"")</f>
        <v/>
      </c>
      <c r="M289" s="4" t="str">
        <f>IFERROR(__xludf.DUMMYFUNCTION("""COMPUTED_VALUE"""),"Call to action")</f>
        <v>Call to action</v>
      </c>
      <c r="N289" s="4" t="str">
        <f>IFERROR(__xludf.DUMMYFUNCTION("""COMPUTED_VALUE"""),"Yvonne Redmond, Web Summit")</f>
        <v>Yvonne Redmond, Web Summit</v>
      </c>
      <c r="O289" s="4" t="str">
        <f>IFERROR(__xludf.DUMMYFUNCTION("""COMPUTED_VALUE"""),"")</f>
        <v/>
      </c>
      <c r="P289" s="4" t="str">
        <f>IFERROR(__xludf.DUMMYFUNCTION("""COMPUTED_VALUE"""),"")</f>
        <v/>
      </c>
      <c r="Q289" s="4" t="str">
        <f>IFERROR(__xludf.DUMMYFUNCTION("""COMPUTED_VALUE"""),"")</f>
        <v/>
      </c>
      <c r="R289" s="4" t="str">
        <f>IFERROR(__xludf.DUMMYFUNCTION("""COMPUTED_VALUE"""),"")</f>
        <v/>
      </c>
      <c r="S289" s="4" t="str">
        <f>IFERROR(__xludf.DUMMYFUNCTION("""COMPUTED_VALUE"""),"")</f>
        <v/>
      </c>
      <c r="T289" s="4" t="str">
        <f>IFERROR(__xludf.DUMMYFUNCTION("""COMPUTED_VALUE"""),"")</f>
        <v/>
      </c>
      <c r="U289" s="4" t="str">
        <f>IFERROR(__xludf.DUMMYFUNCTION("""COMPUTED_VALUE"""),"")</f>
        <v/>
      </c>
      <c r="V289" s="4" t="str">
        <f>IFERROR(__xludf.DUMMYFUNCTION("""COMPUTED_VALUE"""),"")</f>
        <v/>
      </c>
      <c r="W289" s="4" t="str">
        <f>IFERROR(__xludf.DUMMYFUNCTION("""COMPUTED_VALUE"""),"")</f>
        <v/>
      </c>
      <c r="X289" s="4" t="str">
        <f>IFERROR(__xludf.DUMMYFUNCTION("""COMPUTED_VALUE"""),"")</f>
        <v/>
      </c>
      <c r="Y289" s="4" t="str">
        <f>IFERROR(__xludf.DUMMYFUNCTION("""COMPUTED_VALUE"""),"")</f>
        <v/>
      </c>
    </row>
    <row r="290">
      <c r="A290" s="4" t="str">
        <f>IFERROR(__xludf.DUMMYFUNCTION("""COMPUTED_VALUE"""),"286 - Channel")</f>
        <v>286 - Channel</v>
      </c>
      <c r="B290" s="4" t="str">
        <f>IFERROR(__xludf.DUMMYFUNCTION("""COMPUTED_VALUE"""),"Channel 1")</f>
        <v>Channel 1</v>
      </c>
      <c r="C290" s="4" t="str">
        <f>IFERROR(__xludf.DUMMYFUNCTION("""COMPUTED_VALUE"""),"Day 3 - 25/06")</f>
        <v>Day 3 - 25/06</v>
      </c>
      <c r="D290" s="6">
        <f>IFERROR(__xludf.DUMMYFUNCTION("""COMPUTED_VALUE"""),0.4709837962962965)</f>
        <v>0.4709837963</v>
      </c>
      <c r="E290" s="6">
        <f>IFERROR(__xludf.DUMMYFUNCTION("""COMPUTED_VALUE"""),5.208333333333333E-4)</f>
        <v>0.0005208333333</v>
      </c>
      <c r="F290" s="6">
        <f>IFERROR(__xludf.DUMMYFUNCTION("""COMPUTED_VALUE"""),0.47150462962962986)</f>
        <v>0.4715046296</v>
      </c>
      <c r="G290" s="4" t="str">
        <f>IFERROR(__xludf.DUMMYFUNCTION("""COMPUTED_VALUE"""),"")</f>
        <v/>
      </c>
      <c r="H290" s="4" t="str">
        <f>IFERROR(__xludf.DUMMYFUNCTION("""COMPUTED_VALUE"""),"")</f>
        <v/>
      </c>
      <c r="I290" s="4" t="str">
        <f>IFERROR(__xludf.DUMMYFUNCTION("""COMPUTED_VALUE"""),"")</f>
        <v/>
      </c>
      <c r="J290" s="4" t="str">
        <f>IFERROR(__xludf.DUMMYFUNCTION("""COMPUTED_VALUE"""),"")</f>
        <v/>
      </c>
      <c r="K290" s="4" t="str">
        <f>IFERROR(__xludf.DUMMYFUNCTION("""COMPUTED_VALUE"""),"Web Summit Trailer - full")</f>
        <v>Web Summit Trailer - full</v>
      </c>
      <c r="L290" s="4" t="str">
        <f>IFERROR(__xludf.DUMMYFUNCTION("""COMPUTED_VALUE"""),"")</f>
        <v/>
      </c>
      <c r="M290" s="4" t="str">
        <f>IFERROR(__xludf.DUMMYFUNCTION("""COMPUTED_VALUE"""),"Web Summit promo ")</f>
        <v>Web Summit promo </v>
      </c>
      <c r="N290" s="4" t="str">
        <f>IFERROR(__xludf.DUMMYFUNCTION("""COMPUTED_VALUE"""),"Content pending")</f>
        <v>Content pending</v>
      </c>
      <c r="O290" s="4" t="str">
        <f>IFERROR(__xludf.DUMMYFUNCTION("""COMPUTED_VALUE"""),"")</f>
        <v/>
      </c>
      <c r="P290" s="4" t="str">
        <f>IFERROR(__xludf.DUMMYFUNCTION("""COMPUTED_VALUE"""),"")</f>
        <v/>
      </c>
      <c r="Q290" s="4" t="str">
        <f>IFERROR(__xludf.DUMMYFUNCTION("""COMPUTED_VALUE"""),"")</f>
        <v/>
      </c>
      <c r="R290" s="4" t="str">
        <f>IFERROR(__xludf.DUMMYFUNCTION("""COMPUTED_VALUE"""),"")</f>
        <v/>
      </c>
      <c r="S290" s="4" t="str">
        <f>IFERROR(__xludf.DUMMYFUNCTION("""COMPUTED_VALUE"""),"")</f>
        <v/>
      </c>
      <c r="T290" s="4" t="str">
        <f>IFERROR(__xludf.DUMMYFUNCTION("""COMPUTED_VALUE"""),"")</f>
        <v/>
      </c>
      <c r="U290" s="4" t="str">
        <f>IFERROR(__xludf.DUMMYFUNCTION("""COMPUTED_VALUE"""),"")</f>
        <v/>
      </c>
      <c r="V290" s="4" t="str">
        <f>IFERROR(__xludf.DUMMYFUNCTION("""COMPUTED_VALUE"""),"")</f>
        <v/>
      </c>
      <c r="W290" s="4" t="str">
        <f>IFERROR(__xludf.DUMMYFUNCTION("""COMPUTED_VALUE"""),"")</f>
        <v/>
      </c>
      <c r="X290" s="4" t="str">
        <f>IFERROR(__xludf.DUMMYFUNCTION("""COMPUTED_VALUE"""),"")</f>
        <v/>
      </c>
      <c r="Y290" s="4" t="str">
        <f>IFERROR(__xludf.DUMMYFUNCTION("""COMPUTED_VALUE"""),"")</f>
        <v/>
      </c>
    </row>
    <row r="291">
      <c r="A291" s="4" t="str">
        <f>IFERROR(__xludf.DUMMYFUNCTION("""COMPUTED_VALUE"""),"291 - Channel")</f>
        <v>291 - Channel</v>
      </c>
      <c r="B291" s="4" t="str">
        <f>IFERROR(__xludf.DUMMYFUNCTION("""COMPUTED_VALUE"""),"Channel 1")</f>
        <v>Channel 1</v>
      </c>
      <c r="C291" s="4" t="str">
        <f>IFERROR(__xludf.DUMMYFUNCTION("""COMPUTED_VALUE"""),"Day 3 - 25/06")</f>
        <v>Day 3 - 25/06</v>
      </c>
      <c r="D291" s="6">
        <f>IFERROR(__xludf.DUMMYFUNCTION("""COMPUTED_VALUE"""),0.47150462962962986)</f>
        <v>0.4715046296</v>
      </c>
      <c r="E291" s="6">
        <f>IFERROR(__xludf.DUMMYFUNCTION("""COMPUTED_VALUE"""),2.314814814814815E-4)</f>
        <v>0.0002314814815</v>
      </c>
      <c r="F291" s="6">
        <f>IFERROR(__xludf.DUMMYFUNCTION("""COMPUTED_VALUE"""),0.47173611111111136)</f>
        <v>0.4717361111</v>
      </c>
      <c r="G291" s="4" t="str">
        <f>IFERROR(__xludf.DUMMYFUNCTION("""COMPUTED_VALUE"""),"")</f>
        <v/>
      </c>
      <c r="H291" s="4" t="str">
        <f>IFERROR(__xludf.DUMMYFUNCTION("""COMPUTED_VALUE"""),"")</f>
        <v/>
      </c>
      <c r="I291" s="4" t="str">
        <f>IFERROR(__xludf.DUMMYFUNCTION("""COMPUTED_VALUE"""),"")</f>
        <v/>
      </c>
      <c r="J291" s="4" t="str">
        <f>IFERROR(__xludf.DUMMYFUNCTION("""COMPUTED_VALUE"""),"")</f>
        <v/>
      </c>
      <c r="K291" s="4" t="str">
        <f>IFERROR(__xludf.DUMMYFUNCTION("""COMPUTED_VALUE"""),"Talk Intro")</f>
        <v>Talk Intro</v>
      </c>
      <c r="L291" s="4" t="str">
        <f>IFERROR(__xludf.DUMMYFUNCTION("""COMPUTED_VALUE"""),"")</f>
        <v/>
      </c>
      <c r="M291" s="4" t="str">
        <f>IFERROR(__xludf.DUMMYFUNCTION("""COMPUTED_VALUE"""),"Talk intro ")</f>
        <v>Talk intro </v>
      </c>
      <c r="N291" s="4" t="str">
        <f>IFERROR(__xludf.DUMMYFUNCTION("""COMPUTED_VALUE"""),"Yvonne Redmond, Web Summit")</f>
        <v>Yvonne Redmond, Web Summit</v>
      </c>
      <c r="O291" s="4" t="str">
        <f>IFERROR(__xludf.DUMMYFUNCTION("""COMPUTED_VALUE"""),"")</f>
        <v/>
      </c>
      <c r="P291" s="4" t="str">
        <f>IFERROR(__xludf.DUMMYFUNCTION("""COMPUTED_VALUE"""),"")</f>
        <v/>
      </c>
      <c r="Q291" s="4" t="str">
        <f>IFERROR(__xludf.DUMMYFUNCTION("""COMPUTED_VALUE"""),"")</f>
        <v/>
      </c>
      <c r="R291" s="4" t="str">
        <f>IFERROR(__xludf.DUMMYFUNCTION("""COMPUTED_VALUE"""),"")</f>
        <v/>
      </c>
      <c r="S291" s="4" t="str">
        <f>IFERROR(__xludf.DUMMYFUNCTION("""COMPUTED_VALUE"""),"")</f>
        <v/>
      </c>
      <c r="T291" s="4" t="str">
        <f>IFERROR(__xludf.DUMMYFUNCTION("""COMPUTED_VALUE"""),"")</f>
        <v/>
      </c>
      <c r="U291" s="4" t="str">
        <f>IFERROR(__xludf.DUMMYFUNCTION("""COMPUTED_VALUE"""),"")</f>
        <v/>
      </c>
      <c r="V291" s="4" t="str">
        <f>IFERROR(__xludf.DUMMYFUNCTION("""COMPUTED_VALUE"""),"")</f>
        <v/>
      </c>
      <c r="W291" s="4" t="str">
        <f>IFERROR(__xludf.DUMMYFUNCTION("""COMPUTED_VALUE"""),"")</f>
        <v/>
      </c>
      <c r="X291" s="4" t="str">
        <f>IFERROR(__xludf.DUMMYFUNCTION("""COMPUTED_VALUE"""),"")</f>
        <v/>
      </c>
      <c r="Y291" s="4" t="str">
        <f>IFERROR(__xludf.DUMMYFUNCTION("""COMPUTED_VALUE"""),"")</f>
        <v/>
      </c>
    </row>
    <row r="292">
      <c r="A292" s="4" t="str">
        <f>IFERROR(__xludf.DUMMYFUNCTION("""COMPUTED_VALUE"""),"1297 - Channel")</f>
        <v>1297 - Channel</v>
      </c>
      <c r="B292" s="4" t="str">
        <f>IFERROR(__xludf.DUMMYFUNCTION("""COMPUTED_VALUE"""),"Channel 1")</f>
        <v>Channel 1</v>
      </c>
      <c r="C292" s="4" t="str">
        <f>IFERROR(__xludf.DUMMYFUNCTION("""COMPUTED_VALUE"""),"Day 3 - 25/06")</f>
        <v>Day 3 - 25/06</v>
      </c>
      <c r="D292" s="6">
        <f>IFERROR(__xludf.DUMMYFUNCTION("""COMPUTED_VALUE"""),0.47173611111111136)</f>
        <v>0.4717361111</v>
      </c>
      <c r="E292" s="6">
        <f>IFERROR(__xludf.DUMMYFUNCTION("""COMPUTED_VALUE"""),0.0020833333333333333)</f>
        <v>0.002083333333</v>
      </c>
      <c r="F292" s="6">
        <f>IFERROR(__xludf.DUMMYFUNCTION("""COMPUTED_VALUE"""),0.4738194444444447)</f>
        <v>0.4738194444</v>
      </c>
      <c r="G292" s="4" t="str">
        <f>IFERROR(__xludf.DUMMYFUNCTION("""COMPUTED_VALUE"""),"Dan")</f>
        <v>Dan</v>
      </c>
      <c r="H292" s="4" t="str">
        <f>IFERROR(__xludf.DUMMYFUNCTION("""COMPUTED_VALUE"""),"")</f>
        <v/>
      </c>
      <c r="I292" s="4" t="str">
        <f>IFERROR(__xludf.DUMMYFUNCTION("""COMPUTED_VALUE"""),"Jack")</f>
        <v>Jack</v>
      </c>
      <c r="J292" s="4" t="str">
        <f>IFERROR(__xludf.DUMMYFUNCTION("""COMPUTED_VALUE"""),"Scaling")</f>
        <v>Scaling</v>
      </c>
      <c r="K292" s="4" t="str">
        <f>IFERROR(__xludf.DUMMYFUNCTION("""COMPUTED_VALUE"""),"Keynote")</f>
        <v>Keynote</v>
      </c>
      <c r="L292" s="4" t="str">
        <f>IFERROR(__xludf.DUMMYFUNCTION("""COMPUTED_VALUE"""),"T- 5 - 18/05/2020")</f>
        <v>T- 5 - 18/05/2020</v>
      </c>
      <c r="M292" s="4" t="str">
        <f>IFERROR(__xludf.DUMMYFUNCTION("""COMPUTED_VALUE"""),"New startup wisdom: Goodbye vitamins, hello cocktails")</f>
        <v>New startup wisdom: Goodbye vitamins, hello cocktails</v>
      </c>
      <c r="N292" s="4" t="str">
        <f>IFERROR(__xludf.DUMMYFUNCTION("""COMPUTED_VALUE"""),"Bob Moore, Crossbeam")</f>
        <v>Bob Moore, Crossbeam</v>
      </c>
      <c r="O292" s="4" t="str">
        <f>IFERROR(__xludf.DUMMYFUNCTION("""COMPUTED_VALUE"""),"")</f>
        <v/>
      </c>
      <c r="P292" s="4" t="str">
        <f>IFERROR(__xludf.DUMMYFUNCTION("""COMPUTED_VALUE"""),"")</f>
        <v/>
      </c>
      <c r="Q292" s="4" t="str">
        <f>IFERROR(__xludf.DUMMYFUNCTION("""COMPUTED_VALUE"""),"")</f>
        <v/>
      </c>
      <c r="R292" s="4" t="str">
        <f>IFERROR(__xludf.DUMMYFUNCTION("""COMPUTED_VALUE"""),"")</f>
        <v/>
      </c>
      <c r="S292" s="4" t="str">
        <f>IFERROR(__xludf.DUMMYFUNCTION("""COMPUTED_VALUE"""),"Founder Bob Moore walks us through some of the practical startup advice that allowed his first company, RJMetrics, to survive the 2008 recession, and how it's relevant in 2020.")</f>
        <v>Founder Bob Moore walks us through some of the practical startup advice that allowed his first company, RJMetrics, to survive the 2008 recession, and how it's relevant in 2020.</v>
      </c>
      <c r="T292" s="4" t="str">
        <f>IFERROR(__xludf.DUMMYFUNCTION("""COMPUTED_VALUE"""),"KEYNOTE 8 - COMPLETE")</f>
        <v>KEYNOTE 8 - COMPLETE</v>
      </c>
      <c r="U292" s="23">
        <f>IFERROR(__xludf.DUMMYFUNCTION("""COMPUTED_VALUE"""),43972.0)</f>
        <v>43972</v>
      </c>
      <c r="V292" s="44">
        <f>IFERROR(__xludf.DUMMYFUNCTION("""COMPUTED_VALUE"""),0.6875)</f>
        <v>0.6875</v>
      </c>
      <c r="W292" s="4" t="str">
        <f>IFERROR(__xludf.DUMMYFUNCTION("""COMPUTED_VALUE"""),"COMPLETE")</f>
        <v>COMPLETE</v>
      </c>
      <c r="X292" s="4" t="str">
        <f>IFERROR(__xludf.DUMMYFUNCTION("""COMPUTED_VALUE"""),"Dan")</f>
        <v>Dan</v>
      </c>
      <c r="Y292" s="4" t="str">
        <f>IFERROR(__xludf.DUMMYFUNCTION("""COMPUTED_VALUE"""),"4656212369121483738")</f>
        <v>4656212369121483738</v>
      </c>
    </row>
    <row r="293">
      <c r="A293" s="4" t="str">
        <f>IFERROR(__xludf.DUMMYFUNCTION("""COMPUTED_VALUE"""),"255 - Channel")</f>
        <v>255 - Channel</v>
      </c>
      <c r="B293" s="4" t="str">
        <f>IFERROR(__xludf.DUMMYFUNCTION("""COMPUTED_VALUE"""),"Channel 1")</f>
        <v>Channel 1</v>
      </c>
      <c r="C293" s="4" t="str">
        <f>IFERROR(__xludf.DUMMYFUNCTION("""COMPUTED_VALUE"""),"Day 3 - 25/06")</f>
        <v>Day 3 - 25/06</v>
      </c>
      <c r="D293" s="6">
        <f>IFERROR(__xludf.DUMMYFUNCTION("""COMPUTED_VALUE"""),0.4738194444444447)</f>
        <v>0.4738194444</v>
      </c>
      <c r="E293" s="6">
        <f>IFERROR(__xludf.DUMMYFUNCTION("""COMPUTED_VALUE"""),2.314814814814815E-4)</f>
        <v>0.0002314814815</v>
      </c>
      <c r="F293" s="6">
        <f>IFERROR(__xludf.DUMMYFUNCTION("""COMPUTED_VALUE"""),0.4740509259259262)</f>
        <v>0.4740509259</v>
      </c>
      <c r="G293" s="4" t="str">
        <f>IFERROR(__xludf.DUMMYFUNCTION("""COMPUTED_VALUE"""),"")</f>
        <v/>
      </c>
      <c r="H293" s="4" t="str">
        <f>IFERROR(__xludf.DUMMYFUNCTION("""COMPUTED_VALUE"""),"")</f>
        <v/>
      </c>
      <c r="I293" s="4" t="str">
        <f>IFERROR(__xludf.DUMMYFUNCTION("""COMPUTED_VALUE"""),"")</f>
        <v/>
      </c>
      <c r="J293" s="4" t="str">
        <f>IFERROR(__xludf.DUMMYFUNCTION("""COMPUTED_VALUE"""),"")</f>
        <v/>
      </c>
      <c r="K293" s="4" t="str">
        <f>IFERROR(__xludf.DUMMYFUNCTION("""COMPUTED_VALUE"""),"Talk Intro")</f>
        <v>Talk Intro</v>
      </c>
      <c r="L293" s="4" t="str">
        <f>IFERROR(__xludf.DUMMYFUNCTION("""COMPUTED_VALUE"""),"")</f>
        <v/>
      </c>
      <c r="M293" s="4" t="str">
        <f>IFERROR(__xludf.DUMMYFUNCTION("""COMPUTED_VALUE"""),"Talk Intro")</f>
        <v>Talk Intro</v>
      </c>
      <c r="N293" s="4" t="str">
        <f>IFERROR(__xludf.DUMMYFUNCTION("""COMPUTED_VALUE"""),"Yvonne Redmond, Web Summit")</f>
        <v>Yvonne Redmond, Web Summit</v>
      </c>
      <c r="O293" s="4" t="str">
        <f>IFERROR(__xludf.DUMMYFUNCTION("""COMPUTED_VALUE"""),"")</f>
        <v/>
      </c>
      <c r="P293" s="4" t="str">
        <f>IFERROR(__xludf.DUMMYFUNCTION("""COMPUTED_VALUE"""),"")</f>
        <v/>
      </c>
      <c r="Q293" s="4" t="str">
        <f>IFERROR(__xludf.DUMMYFUNCTION("""COMPUTED_VALUE"""),"")</f>
        <v/>
      </c>
      <c r="R293" s="4" t="str">
        <f>IFERROR(__xludf.DUMMYFUNCTION("""COMPUTED_VALUE"""),"")</f>
        <v/>
      </c>
      <c r="S293" s="4" t="str">
        <f>IFERROR(__xludf.DUMMYFUNCTION("""COMPUTED_VALUE"""),"")</f>
        <v/>
      </c>
      <c r="T293" s="4" t="str">
        <f>IFERROR(__xludf.DUMMYFUNCTION("""COMPUTED_VALUE"""),"")</f>
        <v/>
      </c>
      <c r="U293" s="4" t="str">
        <f>IFERROR(__xludf.DUMMYFUNCTION("""COMPUTED_VALUE"""),"")</f>
        <v/>
      </c>
      <c r="V293" s="4" t="str">
        <f>IFERROR(__xludf.DUMMYFUNCTION("""COMPUTED_VALUE"""),"")</f>
        <v/>
      </c>
      <c r="W293" s="4" t="str">
        <f>IFERROR(__xludf.DUMMYFUNCTION("""COMPUTED_VALUE"""),"")</f>
        <v/>
      </c>
      <c r="X293" s="4" t="str">
        <f>IFERROR(__xludf.DUMMYFUNCTION("""COMPUTED_VALUE"""),"")</f>
        <v/>
      </c>
      <c r="Y293" s="4" t="str">
        <f>IFERROR(__xludf.DUMMYFUNCTION("""COMPUTED_VALUE"""),"")</f>
        <v/>
      </c>
    </row>
    <row r="294">
      <c r="A294" s="4" t="str">
        <f>IFERROR(__xludf.DUMMYFUNCTION("""COMPUTED_VALUE"""),"256 - Channel")</f>
        <v>256 - Channel</v>
      </c>
      <c r="B294" s="4" t="str">
        <f>IFERROR(__xludf.DUMMYFUNCTION("""COMPUTED_VALUE"""),"Channel 1")</f>
        <v>Channel 1</v>
      </c>
      <c r="C294" s="4" t="str">
        <f>IFERROR(__xludf.DUMMYFUNCTION("""COMPUTED_VALUE"""),"Day 3 - 25/06")</f>
        <v>Day 3 - 25/06</v>
      </c>
      <c r="D294" s="6">
        <f>IFERROR(__xludf.DUMMYFUNCTION("""COMPUTED_VALUE"""),0.4740509259259262)</f>
        <v>0.4740509259</v>
      </c>
      <c r="E294" s="6">
        <f>IFERROR(__xludf.DUMMYFUNCTION("""COMPUTED_VALUE"""),0.01037037037037037)</f>
        <v>0.01037037037</v>
      </c>
      <c r="F294" s="6">
        <f>IFERROR(__xludf.DUMMYFUNCTION("""COMPUTED_VALUE"""),0.48442129629629654)</f>
        <v>0.4844212963</v>
      </c>
      <c r="G294" s="4" t="str">
        <f>IFERROR(__xludf.DUMMYFUNCTION("""COMPUTED_VALUE"""),"Carol")</f>
        <v>Carol</v>
      </c>
      <c r="H294" s="4" t="str">
        <f>IFERROR(__xludf.DUMMYFUNCTION("""COMPUTED_VALUE"""),"Lingyu")</f>
        <v>Lingyu</v>
      </c>
      <c r="I294" s="4" t="str">
        <f>IFERROR(__xludf.DUMMYFUNCTION("""COMPUTED_VALUE"""),"Jack")</f>
        <v>Jack</v>
      </c>
      <c r="J294" s="4" t="str">
        <f>IFERROR(__xludf.DUMMYFUNCTION("""COMPUTED_VALUE"""),"Leadership")</f>
        <v>Leadership</v>
      </c>
      <c r="K294" s="4" t="str">
        <f>IFERROR(__xludf.DUMMYFUNCTION("""COMPUTED_VALUE"""),"Panel")</f>
        <v>Panel</v>
      </c>
      <c r="L294" s="4" t="str">
        <f>IFERROR(__xludf.DUMMYFUNCTION("""COMPUTED_VALUE"""),"T- 7 - 04/05/2020")</f>
        <v>T- 7 - 04/05/2020</v>
      </c>
      <c r="M294" s="4" t="str">
        <f>IFERROR(__xludf.DUMMYFUNCTION("""COMPUTED_VALUE"""),"Time to ditch the Silicon Valley way?")</f>
        <v>Time to ditch the Silicon Valley way?</v>
      </c>
      <c r="N294" s="4" t="str">
        <f>IFERROR(__xludf.DUMMYFUNCTION("""COMPUTED_VALUE"""),"Alex Lazarow, Cathay Innovation")</f>
        <v>Alex Lazarow, Cathay Innovation</v>
      </c>
      <c r="O294" s="4" t="str">
        <f>IFERROR(__xludf.DUMMYFUNCTION("""COMPUTED_VALUE"""),"Taso Du Val, Toptal")</f>
        <v>Taso Du Val, Toptal</v>
      </c>
      <c r="P294" s="4" t="str">
        <f>IFERROR(__xludf.DUMMYFUNCTION("""COMPUTED_VALUE"""),"Michele Romanow, Clearbanc")</f>
        <v>Michele Romanow, Clearbanc</v>
      </c>
      <c r="Q294" s="4" t="str">
        <f>IFERROR(__xludf.DUMMYFUNCTION("""COMPUTED_VALUE"""),"")</f>
        <v/>
      </c>
      <c r="R294" s="4" t="str">
        <f>IFERROR(__xludf.DUMMYFUNCTION("""COMPUTED_VALUE"""),"Jason Abbruzzese, NBC News")</f>
        <v>Jason Abbruzzese, NBC News</v>
      </c>
      <c r="S294" s="4" t="str">
        <f>IFERROR(__xludf.DUMMYFUNCTION("""COMPUTED_VALUE"""),"Silicon Valley's style of fundraising and scaling has long been deemed the global startup gospel. But how does it react to global crises like the one we're currently experiencing? Is it high time to change the course?")</f>
        <v>Silicon Valley's style of fundraising and scaling has long been deemed the global startup gospel. But how does it react to global crises like the one we're currently experiencing? Is it high time to change the course?</v>
      </c>
      <c r="T294" s="4" t="str">
        <f>IFERROR(__xludf.DUMMYFUNCTION("""COMPUTED_VALUE"""),"NON-KEYNOTE 9 - COMPLETE")</f>
        <v>NON-KEYNOTE 9 - COMPLETE</v>
      </c>
      <c r="U294" s="23">
        <f>IFERROR(__xludf.DUMMYFUNCTION("""COMPUTED_VALUE"""),43957.0)</f>
        <v>43957</v>
      </c>
      <c r="V294" s="4" t="str">
        <f>IFERROR(__xludf.DUMMYFUNCTION("""COMPUTED_VALUE"""),"")</f>
        <v/>
      </c>
      <c r="W294" s="4" t="str">
        <f>IFERROR(__xludf.DUMMYFUNCTION("""COMPUTED_VALUE"""),"COMPLETE")</f>
        <v>COMPLETE</v>
      </c>
      <c r="X294" s="4" t="str">
        <f>IFERROR(__xludf.DUMMYFUNCTION("""COMPUTED_VALUE"""),"Carol")</f>
        <v>Carol</v>
      </c>
      <c r="Y294" s="4" t="str">
        <f>IFERROR(__xludf.DUMMYFUNCTION("""COMPUTED_VALUE"""),"")</f>
        <v/>
      </c>
    </row>
    <row r="295">
      <c r="A295" s="4" t="str">
        <f>IFERROR(__xludf.DUMMYFUNCTION("""COMPUTED_VALUE"""),"1431 - Channel")</f>
        <v>1431 - Channel</v>
      </c>
      <c r="B295" s="4" t="str">
        <f>IFERROR(__xludf.DUMMYFUNCTION("""COMPUTED_VALUE"""),"Channel 1")</f>
        <v>Channel 1</v>
      </c>
      <c r="C295" s="4" t="str">
        <f>IFERROR(__xludf.DUMMYFUNCTION("""COMPUTED_VALUE"""),"Day 3 - 25/06")</f>
        <v>Day 3 - 25/06</v>
      </c>
      <c r="D295" s="6">
        <f>IFERROR(__xludf.DUMMYFUNCTION("""COMPUTED_VALUE"""),0.48442129629629654)</f>
        <v>0.4844212963</v>
      </c>
      <c r="E295" s="6">
        <f>IFERROR(__xludf.DUMMYFUNCTION("""COMPUTED_VALUE"""),2.314814814814815E-4)</f>
        <v>0.0002314814815</v>
      </c>
      <c r="F295" s="6">
        <f>IFERROR(__xludf.DUMMYFUNCTION("""COMPUTED_VALUE"""),0.48465277777777804)</f>
        <v>0.4846527778</v>
      </c>
      <c r="G295" s="4" t="str">
        <f>IFERROR(__xludf.DUMMYFUNCTION("""COMPUTED_VALUE"""),"")</f>
        <v/>
      </c>
      <c r="H295" s="4" t="str">
        <f>IFERROR(__xludf.DUMMYFUNCTION("""COMPUTED_VALUE"""),"")</f>
        <v/>
      </c>
      <c r="I295" s="4" t="str">
        <f>IFERROR(__xludf.DUMMYFUNCTION("""COMPUTED_VALUE"""),"")</f>
        <v/>
      </c>
      <c r="J295" s="4" t="str">
        <f>IFERROR(__xludf.DUMMYFUNCTION("""COMPUTED_VALUE"""),"")</f>
        <v/>
      </c>
      <c r="K295" s="4" t="str">
        <f>IFERROR(__xludf.DUMMYFUNCTION("""COMPUTED_VALUE"""),"Talk Intro")</f>
        <v>Talk Intro</v>
      </c>
      <c r="L295" s="4" t="str">
        <f>IFERROR(__xludf.DUMMYFUNCTION("""COMPUTED_VALUE"""),"")</f>
        <v/>
      </c>
      <c r="M295" s="4" t="str">
        <f>IFERROR(__xludf.DUMMYFUNCTION("""COMPUTED_VALUE"""),"Talk intro ")</f>
        <v>Talk intro </v>
      </c>
      <c r="N295" s="4" t="str">
        <f>IFERROR(__xludf.DUMMYFUNCTION("""COMPUTED_VALUE"""),"Yvonne Redmond, Web Summit")</f>
        <v>Yvonne Redmond, Web Summit</v>
      </c>
      <c r="O295" s="4" t="str">
        <f>IFERROR(__xludf.DUMMYFUNCTION("""COMPUTED_VALUE"""),"")</f>
        <v/>
      </c>
      <c r="P295" s="4" t="str">
        <f>IFERROR(__xludf.DUMMYFUNCTION("""COMPUTED_VALUE"""),"")</f>
        <v/>
      </c>
      <c r="Q295" s="4" t="str">
        <f>IFERROR(__xludf.DUMMYFUNCTION("""COMPUTED_VALUE"""),"")</f>
        <v/>
      </c>
      <c r="R295" s="4" t="str">
        <f>IFERROR(__xludf.DUMMYFUNCTION("""COMPUTED_VALUE"""),"")</f>
        <v/>
      </c>
      <c r="S295" s="4" t="str">
        <f>IFERROR(__xludf.DUMMYFUNCTION("""COMPUTED_VALUE"""),"")</f>
        <v/>
      </c>
      <c r="T295" s="4" t="str">
        <f>IFERROR(__xludf.DUMMYFUNCTION("""COMPUTED_VALUE"""),"")</f>
        <v/>
      </c>
      <c r="U295" s="4" t="str">
        <f>IFERROR(__xludf.DUMMYFUNCTION("""COMPUTED_VALUE"""),"")</f>
        <v/>
      </c>
      <c r="V295" s="4" t="str">
        <f>IFERROR(__xludf.DUMMYFUNCTION("""COMPUTED_VALUE"""),"")</f>
        <v/>
      </c>
      <c r="W295" s="4" t="str">
        <f>IFERROR(__xludf.DUMMYFUNCTION("""COMPUTED_VALUE"""),"")</f>
        <v/>
      </c>
      <c r="X295" s="4" t="str">
        <f>IFERROR(__xludf.DUMMYFUNCTION("""COMPUTED_VALUE"""),"")</f>
        <v/>
      </c>
      <c r="Y295" s="4" t="str">
        <f>IFERROR(__xludf.DUMMYFUNCTION("""COMPUTED_VALUE"""),"")</f>
        <v/>
      </c>
    </row>
    <row r="296">
      <c r="A296" s="4" t="str">
        <f>IFERROR(__xludf.DUMMYFUNCTION("""COMPUTED_VALUE"""),"66 - Channel")</f>
        <v>66 - Channel</v>
      </c>
      <c r="B296" s="4" t="str">
        <f>IFERROR(__xludf.DUMMYFUNCTION("""COMPUTED_VALUE"""),"Channel 1")</f>
        <v>Channel 1</v>
      </c>
      <c r="C296" s="4" t="str">
        <f>IFERROR(__xludf.DUMMYFUNCTION("""COMPUTED_VALUE"""),"Day 3 - 25/06")</f>
        <v>Day 3 - 25/06</v>
      </c>
      <c r="D296" s="6">
        <f>IFERROR(__xludf.DUMMYFUNCTION("""COMPUTED_VALUE"""),0.48465277777777804)</f>
        <v>0.4846527778</v>
      </c>
      <c r="E296" s="6">
        <f>IFERROR(__xludf.DUMMYFUNCTION("""COMPUTED_VALUE"""),0.01170138888888889)</f>
        <v>0.01170138889</v>
      </c>
      <c r="F296" s="6">
        <f>IFERROR(__xludf.DUMMYFUNCTION("""COMPUTED_VALUE"""),0.49635416666666693)</f>
        <v>0.4963541667</v>
      </c>
      <c r="G296" s="4" t="str">
        <f>IFERROR(__xludf.DUMMYFUNCTION("""COMPUTED_VALUE"""),"Kat")</f>
        <v>Kat</v>
      </c>
      <c r="H296" s="4" t="str">
        <f>IFERROR(__xludf.DUMMYFUNCTION("""COMPUTED_VALUE"""),"Lingyu")</f>
        <v>Lingyu</v>
      </c>
      <c r="I296" s="4" t="str">
        <f>IFERROR(__xludf.DUMMYFUNCTION("""COMPUTED_VALUE"""),"Lynn")</f>
        <v>Lynn</v>
      </c>
      <c r="J296" s="4" t="str">
        <f>IFERROR(__xludf.DUMMYFUNCTION("""COMPUTED_VALUE"""),"Leadership")</f>
        <v>Leadership</v>
      </c>
      <c r="K296" s="4" t="str">
        <f>IFERROR(__xludf.DUMMYFUNCTION("""COMPUTED_VALUE"""),"Super Fireside")</f>
        <v>Super Fireside</v>
      </c>
      <c r="L296" s="4" t="str">
        <f>IFERROR(__xludf.DUMMYFUNCTION("""COMPUTED_VALUE"""),"T- 6 - 11/05/2020")</f>
        <v>T- 6 - 11/05/2020</v>
      </c>
      <c r="M296" s="4" t="str">
        <f>IFERROR(__xludf.DUMMYFUNCTION("""COMPUTED_VALUE"""),"Recruiting in a recession ")</f>
        <v>Recruiting in a recession </v>
      </c>
      <c r="N296" s="4" t="str">
        <f>IFERROR(__xludf.DUMMYFUNCTION("""COMPUTED_VALUE"""),"Frida Polli, Pymetrics")</f>
        <v>Frida Polli, Pymetrics</v>
      </c>
      <c r="O296" s="4" t="str">
        <f>IFERROR(__xludf.DUMMYFUNCTION("""COMPUTED_VALUE"""),"Polina Montano, JobToday")</f>
        <v>Polina Montano, JobToday</v>
      </c>
      <c r="P296" s="4" t="str">
        <f>IFERROR(__xludf.DUMMYFUNCTION("""COMPUTED_VALUE"""),"")</f>
        <v/>
      </c>
      <c r="Q296" s="4" t="str">
        <f>IFERROR(__xludf.DUMMYFUNCTION("""COMPUTED_VALUE"""),"")</f>
        <v/>
      </c>
      <c r="R296" s="4" t="str">
        <f>IFERROR(__xludf.DUMMYFUNCTION("""COMPUTED_VALUE"""),"Emma Hinchliffe, Fortune")</f>
        <v>Emma Hinchliffe, Fortune</v>
      </c>
      <c r="S296" s="4" t="str">
        <f>IFERROR(__xludf.DUMMYFUNCTION("""COMPUTED_VALUE"""),"Hear recruitment experts talk about how a global recession will impact employment, and listen in as they share survival stories as food for thought.")</f>
        <v>Hear recruitment experts talk about how a global recession will impact employment, and listen in as they share survival stories as food for thought.</v>
      </c>
      <c r="T296" s="4" t="str">
        <f>IFERROR(__xludf.DUMMYFUNCTION("""COMPUTED_VALUE"""),"NON-KEYNOTE 9 - COMPLETE")</f>
        <v>NON-KEYNOTE 9 - COMPLETE</v>
      </c>
      <c r="U296" s="23">
        <f>IFERROR(__xludf.DUMMYFUNCTION("""COMPUTED_VALUE"""),43962.0)</f>
        <v>43962</v>
      </c>
      <c r="V296" s="44">
        <f>IFERROR(__xludf.DUMMYFUNCTION("""COMPUTED_VALUE"""),0.6666666666666666)</f>
        <v>0.6666666667</v>
      </c>
      <c r="W296" s="4" t="str">
        <f>IFERROR(__xludf.DUMMYFUNCTION("""COMPUTED_VALUE"""),"COMPLETE")</f>
        <v>COMPLETE</v>
      </c>
      <c r="X296" s="4" t="str">
        <f>IFERROR(__xludf.DUMMYFUNCTION("""COMPUTED_VALUE"""),"Kat")</f>
        <v>Kat</v>
      </c>
      <c r="Y296" s="4" t="str">
        <f>IFERROR(__xludf.DUMMYFUNCTION("""COMPUTED_VALUE"""),"")</f>
        <v/>
      </c>
    </row>
    <row r="297">
      <c r="A297" s="4" t="str">
        <f>IFERROR(__xludf.DUMMYFUNCTION("""COMPUTED_VALUE"""),"1797 - Channel")</f>
        <v>1797 - Channel</v>
      </c>
      <c r="B297" s="4" t="str">
        <f>IFERROR(__xludf.DUMMYFUNCTION("""COMPUTED_VALUE"""),"Channel 1")</f>
        <v>Channel 1</v>
      </c>
      <c r="C297" s="4" t="str">
        <f>IFERROR(__xludf.DUMMYFUNCTION("""COMPUTED_VALUE"""),"Day 3 - 25/06")</f>
        <v>Day 3 - 25/06</v>
      </c>
      <c r="D297" s="4" t="str">
        <f>IFERROR(__xludf.DUMMYFUNCTION("""COMPUTED_VALUE"""),"")</f>
        <v/>
      </c>
      <c r="E297" s="4" t="str">
        <f>IFERROR(__xludf.DUMMYFUNCTION("""COMPUTED_VALUE"""),"")</f>
        <v/>
      </c>
      <c r="F297" s="4" t="str">
        <f>IFERROR(__xludf.DUMMYFUNCTION("""COMPUTED_VALUE"""),"")</f>
        <v/>
      </c>
      <c r="G297" s="4" t="str">
        <f>IFERROR(__xludf.DUMMYFUNCTION("""COMPUTED_VALUE"""),"")</f>
        <v/>
      </c>
      <c r="H297" s="4" t="str">
        <f>IFERROR(__xludf.DUMMYFUNCTION("""COMPUTED_VALUE"""),"")</f>
        <v/>
      </c>
      <c r="I297" s="4" t="str">
        <f>IFERROR(__xludf.DUMMYFUNCTION("""COMPUTED_VALUE"""),"")</f>
        <v/>
      </c>
      <c r="J297" s="4" t="str">
        <f>IFERROR(__xludf.DUMMYFUNCTION("""COMPUTED_VALUE"""),"")</f>
        <v/>
      </c>
      <c r="K297" s="4" t="str">
        <f>IFERROR(__xludf.DUMMYFUNCTION("""COMPUTED_VALUE"""),"")</f>
        <v/>
      </c>
      <c r="L297" s="4" t="str">
        <f>IFERROR(__xludf.DUMMYFUNCTION("""COMPUTED_VALUE"""),"")</f>
        <v/>
      </c>
      <c r="M297" s="4" t="str">
        <f>IFERROR(__xludf.DUMMYFUNCTION("""COMPUTED_VALUE"""),"")</f>
        <v/>
      </c>
      <c r="N297" s="4" t="str">
        <f>IFERROR(__xludf.DUMMYFUNCTION("""COMPUTED_VALUE"""),"")</f>
        <v/>
      </c>
      <c r="O297" s="4" t="str">
        <f>IFERROR(__xludf.DUMMYFUNCTION("""COMPUTED_VALUE"""),"")</f>
        <v/>
      </c>
      <c r="P297" s="4" t="str">
        <f>IFERROR(__xludf.DUMMYFUNCTION("""COMPUTED_VALUE"""),"")</f>
        <v/>
      </c>
      <c r="Q297" s="4" t="str">
        <f>IFERROR(__xludf.DUMMYFUNCTION("""COMPUTED_VALUE"""),"")</f>
        <v/>
      </c>
      <c r="R297" s="4" t="str">
        <f>IFERROR(__xludf.DUMMYFUNCTION("""COMPUTED_VALUE"""),"")</f>
        <v/>
      </c>
      <c r="S297" s="4" t="str">
        <f>IFERROR(__xludf.DUMMYFUNCTION("""COMPUTED_VALUE"""),"")</f>
        <v/>
      </c>
      <c r="T297" s="4" t="str">
        <f>IFERROR(__xludf.DUMMYFUNCTION("""COMPUTED_VALUE"""),"")</f>
        <v/>
      </c>
      <c r="U297" s="4" t="str">
        <f>IFERROR(__xludf.DUMMYFUNCTION("""COMPUTED_VALUE"""),"")</f>
        <v/>
      </c>
      <c r="V297" s="4" t="str">
        <f>IFERROR(__xludf.DUMMYFUNCTION("""COMPUTED_VALUE"""),"")</f>
        <v/>
      </c>
      <c r="W297" s="4" t="str">
        <f>IFERROR(__xludf.DUMMYFUNCTION("""COMPUTED_VALUE"""),"")</f>
        <v/>
      </c>
      <c r="X297" s="4" t="str">
        <f>IFERROR(__xludf.DUMMYFUNCTION("""COMPUTED_VALUE"""),"")</f>
        <v/>
      </c>
      <c r="Y297" s="4" t="str">
        <f>IFERROR(__xludf.DUMMYFUNCTION("""COMPUTED_VALUE"""),"")</f>
        <v/>
      </c>
    </row>
    <row r="298">
      <c r="A298" s="4" t="str">
        <f>IFERROR(__xludf.DUMMYFUNCTION("""COMPUTED_VALUE"""),"299 - Channel")</f>
        <v>299 - Channel</v>
      </c>
      <c r="B298" s="4" t="str">
        <f>IFERROR(__xludf.DUMMYFUNCTION("""COMPUTED_VALUE"""),"Channel 1")</f>
        <v>Channel 1</v>
      </c>
      <c r="C298" s="4" t="str">
        <f>IFERROR(__xludf.DUMMYFUNCTION("""COMPUTED_VALUE"""),"Day 3 - 25/06")</f>
        <v>Day 3 - 25/06</v>
      </c>
      <c r="D298" s="6">
        <f>IFERROR(__xludf.DUMMYFUNCTION("""COMPUTED_VALUE"""),0.49635416666666693)</f>
        <v>0.4963541667</v>
      </c>
      <c r="E298" s="6">
        <f>IFERROR(__xludf.DUMMYFUNCTION("""COMPUTED_VALUE"""),0.0010416666666666667)</f>
        <v>0.001041666667</v>
      </c>
      <c r="F298" s="6">
        <f>IFERROR(__xludf.DUMMYFUNCTION("""COMPUTED_VALUE"""),0.4973958333333336)</f>
        <v>0.4973958333</v>
      </c>
      <c r="G298" s="4" t="str">
        <f>IFERROR(__xludf.DUMMYFUNCTION("""COMPUTED_VALUE"""),"Video")</f>
        <v>Video</v>
      </c>
      <c r="H298" s="4" t="str">
        <f>IFERROR(__xludf.DUMMYFUNCTION("""COMPUTED_VALUE"""),"")</f>
        <v/>
      </c>
      <c r="I298" s="4" t="str">
        <f>IFERROR(__xludf.DUMMYFUNCTION("""COMPUTED_VALUE"""),"")</f>
        <v/>
      </c>
      <c r="J298" s="4" t="str">
        <f>IFERROR(__xludf.DUMMYFUNCTION("""COMPUTED_VALUE"""),"")</f>
        <v/>
      </c>
      <c r="K298" s="4" t="str">
        <f>IFERROR(__xludf.DUMMYFUNCTION("""COMPUTED_VALUE"""),"Collision From Home Day Intro")</f>
        <v>Collision From Home Day Intro</v>
      </c>
      <c r="L298" s="4" t="str">
        <f>IFERROR(__xludf.DUMMYFUNCTION("""COMPUTED_VALUE"""),"")</f>
        <v/>
      </c>
      <c r="M298" s="4" t="str">
        <f>IFERROR(__xludf.DUMMYFUNCTION("""COMPUTED_VALUE"""),"CFH Intro Video ")</f>
        <v>CFH Intro Video </v>
      </c>
      <c r="N298" s="4" t="str">
        <f>IFERROR(__xludf.DUMMYFUNCTION("""COMPUTED_VALUE"""),"Content pending")</f>
        <v>Content pending</v>
      </c>
      <c r="O298" s="4" t="str">
        <f>IFERROR(__xludf.DUMMYFUNCTION("""COMPUTED_VALUE"""),"")</f>
        <v/>
      </c>
      <c r="P298" s="4" t="str">
        <f>IFERROR(__xludf.DUMMYFUNCTION("""COMPUTED_VALUE"""),"")</f>
        <v/>
      </c>
      <c r="Q298" s="4" t="str">
        <f>IFERROR(__xludf.DUMMYFUNCTION("""COMPUTED_VALUE"""),"")</f>
        <v/>
      </c>
      <c r="R298" s="4" t="str">
        <f>IFERROR(__xludf.DUMMYFUNCTION("""COMPUTED_VALUE"""),"")</f>
        <v/>
      </c>
      <c r="S298" s="4" t="str">
        <f>IFERROR(__xludf.DUMMYFUNCTION("""COMPUTED_VALUE"""),"")</f>
        <v/>
      </c>
      <c r="T298" s="4" t="str">
        <f>IFERROR(__xludf.DUMMYFUNCTION("""COMPUTED_VALUE"""),"")</f>
        <v/>
      </c>
      <c r="U298" s="4" t="str">
        <f>IFERROR(__xludf.DUMMYFUNCTION("""COMPUTED_VALUE"""),"")</f>
        <v/>
      </c>
      <c r="V298" s="4" t="str">
        <f>IFERROR(__xludf.DUMMYFUNCTION("""COMPUTED_VALUE"""),"")</f>
        <v/>
      </c>
      <c r="W298" s="4" t="str">
        <f>IFERROR(__xludf.DUMMYFUNCTION("""COMPUTED_VALUE"""),"")</f>
        <v/>
      </c>
      <c r="X298" s="4" t="str">
        <f>IFERROR(__xludf.DUMMYFUNCTION("""COMPUTED_VALUE"""),"")</f>
        <v/>
      </c>
      <c r="Y298" s="4" t="str">
        <f>IFERROR(__xludf.DUMMYFUNCTION("""COMPUTED_VALUE"""),"")</f>
        <v/>
      </c>
    </row>
    <row r="299">
      <c r="A299" s="4" t="str">
        <f>IFERROR(__xludf.DUMMYFUNCTION("""COMPUTED_VALUE"""),"300 - Channel")</f>
        <v>300 - Channel</v>
      </c>
      <c r="B299" s="4" t="str">
        <f>IFERROR(__xludf.DUMMYFUNCTION("""COMPUTED_VALUE"""),"Channel 1")</f>
        <v>Channel 1</v>
      </c>
      <c r="C299" s="4" t="str">
        <f>IFERROR(__xludf.DUMMYFUNCTION("""COMPUTED_VALUE"""),"Day 3 - 25/06")</f>
        <v>Day 3 - 25/06</v>
      </c>
      <c r="D299" s="6">
        <f>IFERROR(__xludf.DUMMYFUNCTION("""COMPUTED_VALUE"""),0.4973958333333336)</f>
        <v>0.4973958333</v>
      </c>
      <c r="E299" s="6">
        <f>IFERROR(__xludf.DUMMYFUNCTION("""COMPUTED_VALUE"""),6.944444444444445E-4)</f>
        <v>0.0006944444444</v>
      </c>
      <c r="F299" s="6">
        <f>IFERROR(__xludf.DUMMYFUNCTION("""COMPUTED_VALUE"""),0.49809027777777803)</f>
        <v>0.4980902778</v>
      </c>
      <c r="G299" s="4" t="str">
        <f>IFERROR(__xludf.DUMMYFUNCTION("""COMPUTED_VALUE"""),"")</f>
        <v/>
      </c>
      <c r="H299" s="4" t="str">
        <f>IFERROR(__xludf.DUMMYFUNCTION("""COMPUTED_VALUE"""),"")</f>
        <v/>
      </c>
      <c r="I299" s="4" t="str">
        <f>IFERROR(__xludf.DUMMYFUNCTION("""COMPUTED_VALUE"""),"")</f>
        <v/>
      </c>
      <c r="J299" s="4" t="str">
        <f>IFERROR(__xludf.DUMMYFUNCTION("""COMPUTED_VALUE"""),"")</f>
        <v/>
      </c>
      <c r="K299" s="4" t="str">
        <f>IFERROR(__xludf.DUMMYFUNCTION("""COMPUTED_VALUE"""),"Laundry List/Lookaround")</f>
        <v>Laundry List/Lookaround</v>
      </c>
      <c r="L299" s="4" t="str">
        <f>IFERROR(__xludf.DUMMYFUNCTION("""COMPUTED_VALUE"""),"")</f>
        <v/>
      </c>
      <c r="M299" s="4" t="str">
        <f>IFERROR(__xludf.DUMMYFUNCTION("""COMPUTED_VALUE"""),"Laundry Day3_12PM")</f>
        <v>Laundry Day3_12PM</v>
      </c>
      <c r="N299" s="4" t="str">
        <f>IFERROR(__xludf.DUMMYFUNCTION("""COMPUTED_VALUE"""),"Casey Lau, Web Summit")</f>
        <v>Casey Lau, Web Summit</v>
      </c>
      <c r="O299" s="4" t="str">
        <f>IFERROR(__xludf.DUMMYFUNCTION("""COMPUTED_VALUE"""),"")</f>
        <v/>
      </c>
      <c r="P299" s="4" t="str">
        <f>IFERROR(__xludf.DUMMYFUNCTION("""COMPUTED_VALUE"""),"")</f>
        <v/>
      </c>
      <c r="Q299" s="4" t="str">
        <f>IFERROR(__xludf.DUMMYFUNCTION("""COMPUTED_VALUE"""),"")</f>
        <v/>
      </c>
      <c r="R299" s="4" t="str">
        <f>IFERROR(__xludf.DUMMYFUNCTION("""COMPUTED_VALUE"""),"")</f>
        <v/>
      </c>
      <c r="S299" s="4" t="str">
        <f>IFERROR(__xludf.DUMMYFUNCTION("""COMPUTED_VALUE"""),"")</f>
        <v/>
      </c>
      <c r="T299" s="4" t="str">
        <f>IFERROR(__xludf.DUMMYFUNCTION("""COMPUTED_VALUE"""),"")</f>
        <v/>
      </c>
      <c r="U299" s="4" t="str">
        <f>IFERROR(__xludf.DUMMYFUNCTION("""COMPUTED_VALUE"""),"")</f>
        <v/>
      </c>
      <c r="V299" s="4" t="str">
        <f>IFERROR(__xludf.DUMMYFUNCTION("""COMPUTED_VALUE"""),"")</f>
        <v/>
      </c>
      <c r="W299" s="4" t="str">
        <f>IFERROR(__xludf.DUMMYFUNCTION("""COMPUTED_VALUE"""),"")</f>
        <v/>
      </c>
      <c r="X299" s="4" t="str">
        <f>IFERROR(__xludf.DUMMYFUNCTION("""COMPUTED_VALUE"""),"")</f>
        <v/>
      </c>
      <c r="Y299" s="4" t="str">
        <f>IFERROR(__xludf.DUMMYFUNCTION("""COMPUTED_VALUE"""),"")</f>
        <v/>
      </c>
    </row>
    <row r="300">
      <c r="A300" s="4" t="str">
        <f>IFERROR(__xludf.DUMMYFUNCTION("""COMPUTED_VALUE"""),"1407 - Channel")</f>
        <v>1407 - Channel</v>
      </c>
      <c r="B300" s="4" t="str">
        <f>IFERROR(__xludf.DUMMYFUNCTION("""COMPUTED_VALUE"""),"Channel 1")</f>
        <v>Channel 1</v>
      </c>
      <c r="C300" s="4" t="str">
        <f>IFERROR(__xludf.DUMMYFUNCTION("""COMPUTED_VALUE"""),"Day 3 - 25/06")</f>
        <v>Day 3 - 25/06</v>
      </c>
      <c r="D300" s="6">
        <f>IFERROR(__xludf.DUMMYFUNCTION("""COMPUTED_VALUE"""),0.49809027777777803)</f>
        <v>0.4980902778</v>
      </c>
      <c r="E300" s="6">
        <f>IFERROR(__xludf.DUMMYFUNCTION("""COMPUTED_VALUE"""),0.0010416666666666667)</f>
        <v>0.001041666667</v>
      </c>
      <c r="F300" s="6">
        <f>IFERROR(__xludf.DUMMYFUNCTION("""COMPUTED_VALUE"""),0.4991319444444447)</f>
        <v>0.4991319444</v>
      </c>
      <c r="G300" s="4" t="str">
        <f>IFERROR(__xludf.DUMMYFUNCTION("""COMPUTED_VALUE"""),"Video")</f>
        <v>Video</v>
      </c>
      <c r="H300" s="4" t="str">
        <f>IFERROR(__xludf.DUMMYFUNCTION("""COMPUTED_VALUE"""),"")</f>
        <v/>
      </c>
      <c r="I300" s="4" t="str">
        <f>IFERROR(__xludf.DUMMYFUNCTION("""COMPUTED_VALUE"""),"")</f>
        <v/>
      </c>
      <c r="J300" s="4" t="str">
        <f>IFERROR(__xludf.DUMMYFUNCTION("""COMPUTED_VALUE"""),"")</f>
        <v/>
      </c>
      <c r="K300" s="4" t="str">
        <f>IFERROR(__xludf.DUMMYFUNCTION("""COMPUTED_VALUE"""),"Pitch reel")</f>
        <v>Pitch reel</v>
      </c>
      <c r="L300" s="4" t="str">
        <f>IFERROR(__xludf.DUMMYFUNCTION("""COMPUTED_VALUE"""),"")</f>
        <v/>
      </c>
      <c r="M300" s="21" t="str">
        <f>IFERROR(__xludf.DUMMYFUNCTION("""COMPUTED_VALUE"""),"meet the past pitch winner: Torch.io")</f>
        <v>meet the past pitch winner: Torch.io</v>
      </c>
      <c r="N300" s="4" t="str">
        <f>IFERROR(__xludf.DUMMYFUNCTION("""COMPUTED_VALUE"""),"Content pending")</f>
        <v>Content pending</v>
      </c>
      <c r="O300" s="4" t="str">
        <f>IFERROR(__xludf.DUMMYFUNCTION("""COMPUTED_VALUE"""),"")</f>
        <v/>
      </c>
      <c r="P300" s="4" t="str">
        <f>IFERROR(__xludf.DUMMYFUNCTION("""COMPUTED_VALUE"""),"")</f>
        <v/>
      </c>
      <c r="Q300" s="4" t="str">
        <f>IFERROR(__xludf.DUMMYFUNCTION("""COMPUTED_VALUE"""),"")</f>
        <v/>
      </c>
      <c r="R300" s="4" t="str">
        <f>IFERROR(__xludf.DUMMYFUNCTION("""COMPUTED_VALUE"""),"")</f>
        <v/>
      </c>
      <c r="S300" s="4" t="str">
        <f>IFERROR(__xludf.DUMMYFUNCTION("""COMPUTED_VALUE"""),"")</f>
        <v/>
      </c>
      <c r="T300" s="4" t="str">
        <f>IFERROR(__xludf.DUMMYFUNCTION("""COMPUTED_VALUE"""),"")</f>
        <v/>
      </c>
      <c r="U300" s="4" t="str">
        <f>IFERROR(__xludf.DUMMYFUNCTION("""COMPUTED_VALUE"""),"")</f>
        <v/>
      </c>
      <c r="V300" s="4" t="str">
        <f>IFERROR(__xludf.DUMMYFUNCTION("""COMPUTED_VALUE"""),"")</f>
        <v/>
      </c>
      <c r="W300" s="4" t="str">
        <f>IFERROR(__xludf.DUMMYFUNCTION("""COMPUTED_VALUE"""),"")</f>
        <v/>
      </c>
      <c r="X300" s="4" t="str">
        <f>IFERROR(__xludf.DUMMYFUNCTION("""COMPUTED_VALUE"""),"")</f>
        <v/>
      </c>
      <c r="Y300" s="4" t="str">
        <f>IFERROR(__xludf.DUMMYFUNCTION("""COMPUTED_VALUE"""),"")</f>
        <v/>
      </c>
    </row>
    <row r="301">
      <c r="A301" s="4" t="str">
        <f>IFERROR(__xludf.DUMMYFUNCTION("""COMPUTED_VALUE"""),"307 - Channel")</f>
        <v>307 - Channel</v>
      </c>
      <c r="B301" s="4" t="str">
        <f>IFERROR(__xludf.DUMMYFUNCTION("""COMPUTED_VALUE"""),"Channel 1")</f>
        <v>Channel 1</v>
      </c>
      <c r="C301" s="4" t="str">
        <f>IFERROR(__xludf.DUMMYFUNCTION("""COMPUTED_VALUE"""),"Day 3 - 25/06")</f>
        <v>Day 3 - 25/06</v>
      </c>
      <c r="D301" s="6">
        <f>IFERROR(__xludf.DUMMYFUNCTION("""COMPUTED_VALUE"""),0.4991319444444447)</f>
        <v>0.4991319444</v>
      </c>
      <c r="E301" s="6">
        <f>IFERROR(__xludf.DUMMYFUNCTION("""COMPUTED_VALUE"""),2.314814814814815E-4)</f>
        <v>0.0002314814815</v>
      </c>
      <c r="F301" s="6">
        <f>IFERROR(__xludf.DUMMYFUNCTION("""COMPUTED_VALUE"""),0.4993634259259262)</f>
        <v>0.4993634259</v>
      </c>
      <c r="G301" s="4" t="str">
        <f>IFERROR(__xludf.DUMMYFUNCTION("""COMPUTED_VALUE"""),"")</f>
        <v/>
      </c>
      <c r="H301" s="4" t="str">
        <f>IFERROR(__xludf.DUMMYFUNCTION("""COMPUTED_VALUE"""),"")</f>
        <v/>
      </c>
      <c r="I301" s="4" t="str">
        <f>IFERROR(__xludf.DUMMYFUNCTION("""COMPUTED_VALUE"""),"")</f>
        <v/>
      </c>
      <c r="J301" s="4" t="str">
        <f>IFERROR(__xludf.DUMMYFUNCTION("""COMPUTED_VALUE"""),"")</f>
        <v/>
      </c>
      <c r="K301" s="4" t="str">
        <f>IFERROR(__xludf.DUMMYFUNCTION("""COMPUTED_VALUE"""),"Talk Intro")</f>
        <v>Talk Intro</v>
      </c>
      <c r="L301" s="4" t="str">
        <f>IFERROR(__xludf.DUMMYFUNCTION("""COMPUTED_VALUE"""),"")</f>
        <v/>
      </c>
      <c r="M301" s="4" t="str">
        <f>IFERROR(__xludf.DUMMYFUNCTION("""COMPUTED_VALUE"""),"Talk Intro")</f>
        <v>Talk Intro</v>
      </c>
      <c r="N301" s="4" t="str">
        <f>IFERROR(__xludf.DUMMYFUNCTION("""COMPUTED_VALUE"""),"Casey Lau, Web Summit")</f>
        <v>Casey Lau, Web Summit</v>
      </c>
      <c r="O301" s="4" t="str">
        <f>IFERROR(__xludf.DUMMYFUNCTION("""COMPUTED_VALUE"""),"")</f>
        <v/>
      </c>
      <c r="P301" s="4" t="str">
        <f>IFERROR(__xludf.DUMMYFUNCTION("""COMPUTED_VALUE"""),"")</f>
        <v/>
      </c>
      <c r="Q301" s="4" t="str">
        <f>IFERROR(__xludf.DUMMYFUNCTION("""COMPUTED_VALUE"""),"")</f>
        <v/>
      </c>
      <c r="R301" s="4" t="str">
        <f>IFERROR(__xludf.DUMMYFUNCTION("""COMPUTED_VALUE"""),"")</f>
        <v/>
      </c>
      <c r="S301" s="4" t="str">
        <f>IFERROR(__xludf.DUMMYFUNCTION("""COMPUTED_VALUE"""),"")</f>
        <v/>
      </c>
      <c r="T301" s="4" t="str">
        <f>IFERROR(__xludf.DUMMYFUNCTION("""COMPUTED_VALUE"""),"")</f>
        <v/>
      </c>
      <c r="U301" s="4" t="str">
        <f>IFERROR(__xludf.DUMMYFUNCTION("""COMPUTED_VALUE"""),"")</f>
        <v/>
      </c>
      <c r="V301" s="4" t="str">
        <f>IFERROR(__xludf.DUMMYFUNCTION("""COMPUTED_VALUE"""),"")</f>
        <v/>
      </c>
      <c r="W301" s="4" t="str">
        <f>IFERROR(__xludf.DUMMYFUNCTION("""COMPUTED_VALUE"""),"")</f>
        <v/>
      </c>
      <c r="X301" s="4" t="str">
        <f>IFERROR(__xludf.DUMMYFUNCTION("""COMPUTED_VALUE"""),"")</f>
        <v/>
      </c>
      <c r="Y301" s="4" t="str">
        <f>IFERROR(__xludf.DUMMYFUNCTION("""COMPUTED_VALUE"""),"")</f>
        <v/>
      </c>
    </row>
    <row r="302">
      <c r="A302" s="4" t="str">
        <f>IFERROR(__xludf.DUMMYFUNCTION("""COMPUTED_VALUE"""),"308 - Channel")</f>
        <v>308 - Channel</v>
      </c>
      <c r="B302" s="4" t="str">
        <f>IFERROR(__xludf.DUMMYFUNCTION("""COMPUTED_VALUE"""),"Channel 1")</f>
        <v>Channel 1</v>
      </c>
      <c r="C302" s="4" t="str">
        <f>IFERROR(__xludf.DUMMYFUNCTION("""COMPUTED_VALUE"""),"Day 3 - 25/06")</f>
        <v>Day 3 - 25/06</v>
      </c>
      <c r="D302" s="6">
        <f>IFERROR(__xludf.DUMMYFUNCTION("""COMPUTED_VALUE"""),0.4993634259259262)</f>
        <v>0.4993634259</v>
      </c>
      <c r="E302" s="6">
        <f>IFERROR(__xludf.DUMMYFUNCTION("""COMPUTED_VALUE"""),0.010416666666666666)</f>
        <v>0.01041666667</v>
      </c>
      <c r="F302" s="6">
        <f>IFERROR(__xludf.DUMMYFUNCTION("""COMPUTED_VALUE"""),0.5097800925925928)</f>
        <v>0.5097800926</v>
      </c>
      <c r="G302" s="4" t="str">
        <f>IFERROR(__xludf.DUMMYFUNCTION("""COMPUTED_VALUE"""),"Startups")</f>
        <v>Startups</v>
      </c>
      <c r="H302" s="4" t="str">
        <f>IFERROR(__xludf.DUMMYFUNCTION("""COMPUTED_VALUE"""),"")</f>
        <v/>
      </c>
      <c r="I302" s="4" t="str">
        <f>IFERROR(__xludf.DUMMYFUNCTION("""COMPUTED_VALUE"""),"")</f>
        <v/>
      </c>
      <c r="J302" s="4" t="str">
        <f>IFERROR(__xludf.DUMMYFUNCTION("""COMPUTED_VALUE"""),"")</f>
        <v/>
      </c>
      <c r="K302" s="4" t="str">
        <f>IFERROR(__xludf.DUMMYFUNCTION("""COMPUTED_VALUE"""),"Pitch reel")</f>
        <v>Pitch reel</v>
      </c>
      <c r="L302" s="4" t="str">
        <f>IFERROR(__xludf.DUMMYFUNCTION("""COMPUTED_VALUE"""),"")</f>
        <v/>
      </c>
      <c r="M302" s="4" t="str">
        <f>IFERROR(__xludf.DUMMYFUNCTION("""COMPUTED_VALUE"""),"PITCH final ")</f>
        <v>PITCH final </v>
      </c>
      <c r="N302" s="4" t="str">
        <f>IFERROR(__xludf.DUMMYFUNCTION("""COMPUTED_VALUE"""),"Content pending")</f>
        <v>Content pending</v>
      </c>
      <c r="O302" s="4" t="str">
        <f>IFERROR(__xludf.DUMMYFUNCTION("""COMPUTED_VALUE"""),"")</f>
        <v/>
      </c>
      <c r="P302" s="4" t="str">
        <f>IFERROR(__xludf.DUMMYFUNCTION("""COMPUTED_VALUE"""),"")</f>
        <v/>
      </c>
      <c r="Q302" s="4" t="str">
        <f>IFERROR(__xludf.DUMMYFUNCTION("""COMPUTED_VALUE"""),"")</f>
        <v/>
      </c>
      <c r="R302" s="4" t="str">
        <f>IFERROR(__xludf.DUMMYFUNCTION("""COMPUTED_VALUE"""),"")</f>
        <v/>
      </c>
      <c r="S302" s="4" t="str">
        <f>IFERROR(__xludf.DUMMYFUNCTION("""COMPUTED_VALUE"""),"")</f>
        <v/>
      </c>
      <c r="T302" s="4" t="str">
        <f>IFERROR(__xludf.DUMMYFUNCTION("""COMPUTED_VALUE"""),"")</f>
        <v/>
      </c>
      <c r="U302" s="4" t="str">
        <f>IFERROR(__xludf.DUMMYFUNCTION("""COMPUTED_VALUE"""),"")</f>
        <v/>
      </c>
      <c r="V302" s="4" t="str">
        <f>IFERROR(__xludf.DUMMYFUNCTION("""COMPUTED_VALUE"""),"")</f>
        <v/>
      </c>
      <c r="W302" s="4" t="str">
        <f>IFERROR(__xludf.DUMMYFUNCTION("""COMPUTED_VALUE"""),"")</f>
        <v/>
      </c>
      <c r="X302" s="4" t="str">
        <f>IFERROR(__xludf.DUMMYFUNCTION("""COMPUTED_VALUE"""),"")</f>
        <v/>
      </c>
      <c r="Y302" s="4" t="str">
        <f>IFERROR(__xludf.DUMMYFUNCTION("""COMPUTED_VALUE"""),"")</f>
        <v/>
      </c>
    </row>
    <row r="303">
      <c r="A303" s="4" t="str">
        <f>IFERROR(__xludf.DUMMYFUNCTION("""COMPUTED_VALUE"""),"1600 - Channel")</f>
        <v>1600 - Channel</v>
      </c>
      <c r="B303" s="4" t="str">
        <f>IFERROR(__xludf.DUMMYFUNCTION("""COMPUTED_VALUE"""),"Channel 1")</f>
        <v>Channel 1</v>
      </c>
      <c r="C303" s="4" t="str">
        <f>IFERROR(__xludf.DUMMYFUNCTION("""COMPUTED_VALUE"""),"Day 3 - 25/06")</f>
        <v>Day 3 - 25/06</v>
      </c>
      <c r="D303" s="6">
        <f>IFERROR(__xludf.DUMMYFUNCTION("""COMPUTED_VALUE"""),0.5097800925925928)</f>
        <v>0.5097800926</v>
      </c>
      <c r="E303" s="6">
        <f>IFERROR(__xludf.DUMMYFUNCTION("""COMPUTED_VALUE"""),3.4722222222222224E-4)</f>
        <v>0.0003472222222</v>
      </c>
      <c r="F303" s="6">
        <f>IFERROR(__xludf.DUMMYFUNCTION("""COMPUTED_VALUE"""),0.5101273148148151)</f>
        <v>0.5101273148</v>
      </c>
      <c r="G303" s="4" t="str">
        <f>IFERROR(__xludf.DUMMYFUNCTION("""COMPUTED_VALUE"""),"")</f>
        <v/>
      </c>
      <c r="H303" s="4" t="str">
        <f>IFERROR(__xludf.DUMMYFUNCTION("""COMPUTED_VALUE"""),"")</f>
        <v/>
      </c>
      <c r="I303" s="4" t="str">
        <f>IFERROR(__xludf.DUMMYFUNCTION("""COMPUTED_VALUE"""),"")</f>
        <v/>
      </c>
      <c r="J303" s="4" t="str">
        <f>IFERROR(__xludf.DUMMYFUNCTION("""COMPUTED_VALUE"""),"")</f>
        <v/>
      </c>
      <c r="K303" s="4" t="str">
        <f>IFERROR(__xludf.DUMMYFUNCTION("""COMPUTED_VALUE"""),"Web Summit Trailer - full")</f>
        <v>Web Summit Trailer - full</v>
      </c>
      <c r="L303" s="4" t="str">
        <f>IFERROR(__xludf.DUMMYFUNCTION("""COMPUTED_VALUE"""),"")</f>
        <v/>
      </c>
      <c r="M303" s="4" t="str">
        <f>IFERROR(__xludf.DUMMYFUNCTION("""COMPUTED_VALUE"""),"Web Summit promo")</f>
        <v>Web Summit promo</v>
      </c>
      <c r="N303" s="4" t="str">
        <f>IFERROR(__xludf.DUMMYFUNCTION("""COMPUTED_VALUE"""),"Content pending")</f>
        <v>Content pending</v>
      </c>
      <c r="O303" s="4" t="str">
        <f>IFERROR(__xludf.DUMMYFUNCTION("""COMPUTED_VALUE"""),"")</f>
        <v/>
      </c>
      <c r="P303" s="4" t="str">
        <f>IFERROR(__xludf.DUMMYFUNCTION("""COMPUTED_VALUE"""),"")</f>
        <v/>
      </c>
      <c r="Q303" s="4" t="str">
        <f>IFERROR(__xludf.DUMMYFUNCTION("""COMPUTED_VALUE"""),"")</f>
        <v/>
      </c>
      <c r="R303" s="4" t="str">
        <f>IFERROR(__xludf.DUMMYFUNCTION("""COMPUTED_VALUE"""),"")</f>
        <v/>
      </c>
      <c r="S303" s="4" t="str">
        <f>IFERROR(__xludf.DUMMYFUNCTION("""COMPUTED_VALUE"""),"")</f>
        <v/>
      </c>
      <c r="T303" s="4" t="str">
        <f>IFERROR(__xludf.DUMMYFUNCTION("""COMPUTED_VALUE"""),"")</f>
        <v/>
      </c>
      <c r="U303" s="4" t="str">
        <f>IFERROR(__xludf.DUMMYFUNCTION("""COMPUTED_VALUE"""),"")</f>
        <v/>
      </c>
      <c r="V303" s="4" t="str">
        <f>IFERROR(__xludf.DUMMYFUNCTION("""COMPUTED_VALUE"""),"")</f>
        <v/>
      </c>
      <c r="W303" s="4" t="str">
        <f>IFERROR(__xludf.DUMMYFUNCTION("""COMPUTED_VALUE"""),"")</f>
        <v/>
      </c>
      <c r="X303" s="4" t="str">
        <f>IFERROR(__xludf.DUMMYFUNCTION("""COMPUTED_VALUE"""),"")</f>
        <v/>
      </c>
      <c r="Y303" s="4" t="str">
        <f>IFERROR(__xludf.DUMMYFUNCTION("""COMPUTED_VALUE"""),"")</f>
        <v/>
      </c>
    </row>
    <row r="304">
      <c r="A304" s="4" t="str">
        <f>IFERROR(__xludf.DUMMYFUNCTION("""COMPUTED_VALUE"""),"303 - Channel")</f>
        <v>303 - Channel</v>
      </c>
      <c r="B304" s="4" t="str">
        <f>IFERROR(__xludf.DUMMYFUNCTION("""COMPUTED_VALUE"""),"Channel 1")</f>
        <v>Channel 1</v>
      </c>
      <c r="C304" s="4" t="str">
        <f>IFERROR(__xludf.DUMMYFUNCTION("""COMPUTED_VALUE"""),"Day 3 - 25/06")</f>
        <v>Day 3 - 25/06</v>
      </c>
      <c r="D304" s="6">
        <f>IFERROR(__xludf.DUMMYFUNCTION("""COMPUTED_VALUE"""),0.5101273148148151)</f>
        <v>0.5101273148</v>
      </c>
      <c r="E304" s="6">
        <f>IFERROR(__xludf.DUMMYFUNCTION("""COMPUTED_VALUE"""),2.314814814814815E-4)</f>
        <v>0.0002314814815</v>
      </c>
      <c r="F304" s="6">
        <f>IFERROR(__xludf.DUMMYFUNCTION("""COMPUTED_VALUE"""),0.5103587962962965)</f>
        <v>0.5103587963</v>
      </c>
      <c r="G304" s="4" t="str">
        <f>IFERROR(__xludf.DUMMYFUNCTION("""COMPUTED_VALUE"""),"")</f>
        <v/>
      </c>
      <c r="H304" s="4" t="str">
        <f>IFERROR(__xludf.DUMMYFUNCTION("""COMPUTED_VALUE"""),"")</f>
        <v/>
      </c>
      <c r="I304" s="4" t="str">
        <f>IFERROR(__xludf.DUMMYFUNCTION("""COMPUTED_VALUE"""),"")</f>
        <v/>
      </c>
      <c r="J304" s="4" t="str">
        <f>IFERROR(__xludf.DUMMYFUNCTION("""COMPUTED_VALUE"""),"")</f>
        <v/>
      </c>
      <c r="K304" s="4" t="str">
        <f>IFERROR(__xludf.DUMMYFUNCTION("""COMPUTED_VALUE"""),"Talk Intro")</f>
        <v>Talk Intro</v>
      </c>
      <c r="L304" s="4" t="str">
        <f>IFERROR(__xludf.DUMMYFUNCTION("""COMPUTED_VALUE"""),"")</f>
        <v/>
      </c>
      <c r="M304" s="4" t="str">
        <f>IFERROR(__xludf.DUMMYFUNCTION("""COMPUTED_VALUE"""),"Teaser: Margaret Atwood_Intro")</f>
        <v>Teaser: Margaret Atwood_Intro</v>
      </c>
      <c r="N304" s="4" t="str">
        <f>IFERROR(__xludf.DUMMYFUNCTION("""COMPUTED_VALUE"""),"Casey Lau, Web Summit")</f>
        <v>Casey Lau, Web Summit</v>
      </c>
      <c r="O304" s="4" t="str">
        <f>IFERROR(__xludf.DUMMYFUNCTION("""COMPUTED_VALUE"""),"")</f>
        <v/>
      </c>
      <c r="P304" s="4" t="str">
        <f>IFERROR(__xludf.DUMMYFUNCTION("""COMPUTED_VALUE"""),"")</f>
        <v/>
      </c>
      <c r="Q304" s="4" t="str">
        <f>IFERROR(__xludf.DUMMYFUNCTION("""COMPUTED_VALUE"""),"")</f>
        <v/>
      </c>
      <c r="R304" s="4" t="str">
        <f>IFERROR(__xludf.DUMMYFUNCTION("""COMPUTED_VALUE"""),"")</f>
        <v/>
      </c>
      <c r="S304" s="4" t="str">
        <f>IFERROR(__xludf.DUMMYFUNCTION("""COMPUTED_VALUE"""),"")</f>
        <v/>
      </c>
      <c r="T304" s="4" t="str">
        <f>IFERROR(__xludf.DUMMYFUNCTION("""COMPUTED_VALUE"""),"")</f>
        <v/>
      </c>
      <c r="U304" s="4" t="str">
        <f>IFERROR(__xludf.DUMMYFUNCTION("""COMPUTED_VALUE"""),"")</f>
        <v/>
      </c>
      <c r="V304" s="4" t="str">
        <f>IFERROR(__xludf.DUMMYFUNCTION("""COMPUTED_VALUE"""),"")</f>
        <v/>
      </c>
      <c r="W304" s="4" t="str">
        <f>IFERROR(__xludf.DUMMYFUNCTION("""COMPUTED_VALUE"""),"")</f>
        <v/>
      </c>
      <c r="X304" s="4" t="str">
        <f>IFERROR(__xludf.DUMMYFUNCTION("""COMPUTED_VALUE"""),"")</f>
        <v/>
      </c>
      <c r="Y304" s="4" t="str">
        <f>IFERROR(__xludf.DUMMYFUNCTION("""COMPUTED_VALUE"""),"")</f>
        <v/>
      </c>
    </row>
    <row r="305">
      <c r="A305" s="4" t="str">
        <f>IFERROR(__xludf.DUMMYFUNCTION("""COMPUTED_VALUE"""),"304 - Channel")</f>
        <v>304 - Channel</v>
      </c>
      <c r="B305" s="4" t="str">
        <f>IFERROR(__xludf.DUMMYFUNCTION("""COMPUTED_VALUE"""),"Channel 1")</f>
        <v>Channel 1</v>
      </c>
      <c r="C305" s="4" t="str">
        <f>IFERROR(__xludf.DUMMYFUNCTION("""COMPUTED_VALUE"""),"Day 3 - 25/06")</f>
        <v>Day 3 - 25/06</v>
      </c>
      <c r="D305" s="6">
        <f>IFERROR(__xludf.DUMMYFUNCTION("""COMPUTED_VALUE"""),0.5103587962962965)</f>
        <v>0.5103587963</v>
      </c>
      <c r="E305" s="6">
        <f>IFERROR(__xludf.DUMMYFUNCTION("""COMPUTED_VALUE"""),0.0020833333333333333)</f>
        <v>0.002083333333</v>
      </c>
      <c r="F305" s="6">
        <f>IFERROR(__xludf.DUMMYFUNCTION("""COMPUTED_VALUE"""),0.5124421296296299)</f>
        <v>0.5124421296</v>
      </c>
      <c r="G305" s="4" t="str">
        <f>IFERROR(__xludf.DUMMYFUNCTION("""COMPUTED_VALUE"""),"")</f>
        <v/>
      </c>
      <c r="H305" s="4" t="str">
        <f>IFERROR(__xludf.DUMMYFUNCTION("""COMPUTED_VALUE"""),"Stephen")</f>
        <v>Stephen</v>
      </c>
      <c r="I305" s="4" t="str">
        <f>IFERROR(__xludf.DUMMYFUNCTION("""COMPUTED_VALUE"""),"Eabha")</f>
        <v>Eabha</v>
      </c>
      <c r="J305" s="4" t="str">
        <f>IFERROR(__xludf.DUMMYFUNCTION("""COMPUTED_VALUE"""),"Leadership")</f>
        <v>Leadership</v>
      </c>
      <c r="K305" s="4" t="str">
        <f>IFERROR(__xludf.DUMMYFUNCTION("""COMPUTED_VALUE"""),"Teaser")</f>
        <v>Teaser</v>
      </c>
      <c r="L305" s="4" t="str">
        <f>IFERROR(__xludf.DUMMYFUNCTION("""COMPUTED_VALUE"""),"")</f>
        <v/>
      </c>
      <c r="M305" s="4" t="str">
        <f>IFERROR(__xludf.DUMMYFUNCTION("""COMPUTED_VALUE"""),"Teaser: Margaret Atwood")</f>
        <v>Teaser: Margaret Atwood</v>
      </c>
      <c r="N305" s="4" t="str">
        <f>IFERROR(__xludf.DUMMYFUNCTION("""COMPUTED_VALUE"""),"")</f>
        <v/>
      </c>
      <c r="O305" s="4" t="str">
        <f>IFERROR(__xludf.DUMMYFUNCTION("""COMPUTED_VALUE"""),"")</f>
        <v/>
      </c>
      <c r="P305" s="4" t="str">
        <f>IFERROR(__xludf.DUMMYFUNCTION("""COMPUTED_VALUE"""),"")</f>
        <v/>
      </c>
      <c r="Q305" s="4" t="str">
        <f>IFERROR(__xludf.DUMMYFUNCTION("""COMPUTED_VALUE"""),"")</f>
        <v/>
      </c>
      <c r="R305" s="4" t="str">
        <f>IFERROR(__xludf.DUMMYFUNCTION("""COMPUTED_VALUE"""),"")</f>
        <v/>
      </c>
      <c r="S305" s="4" t="str">
        <f>IFERROR(__xludf.DUMMYFUNCTION("""COMPUTED_VALUE"""),"")</f>
        <v/>
      </c>
      <c r="T305" s="4" t="str">
        <f>IFERROR(__xludf.DUMMYFUNCTION("""COMPUTED_VALUE"""),"N/A")</f>
        <v>N/A</v>
      </c>
      <c r="U305" s="4" t="str">
        <f>IFERROR(__xludf.DUMMYFUNCTION("""COMPUTED_VALUE"""),"")</f>
        <v/>
      </c>
      <c r="V305" s="4" t="str">
        <f>IFERROR(__xludf.DUMMYFUNCTION("""COMPUTED_VALUE"""),"")</f>
        <v/>
      </c>
      <c r="W305" s="4" t="str">
        <f>IFERROR(__xludf.DUMMYFUNCTION("""COMPUTED_VALUE"""),"")</f>
        <v/>
      </c>
      <c r="X305" s="4" t="str">
        <f>IFERROR(__xludf.DUMMYFUNCTION("""COMPUTED_VALUE"""),"")</f>
        <v/>
      </c>
      <c r="Y305" s="4" t="str">
        <f>IFERROR(__xludf.DUMMYFUNCTION("""COMPUTED_VALUE"""),"")</f>
        <v/>
      </c>
    </row>
    <row r="306">
      <c r="A306" s="4" t="str">
        <f>IFERROR(__xludf.DUMMYFUNCTION("""COMPUTED_VALUE"""),"2260 - Channel")</f>
        <v>2260 - Channel</v>
      </c>
      <c r="B306" s="4" t="str">
        <f>IFERROR(__xludf.DUMMYFUNCTION("""COMPUTED_VALUE"""),"Channel 1")</f>
        <v>Channel 1</v>
      </c>
      <c r="C306" s="4" t="str">
        <f>IFERROR(__xludf.DUMMYFUNCTION("""COMPUTED_VALUE"""),"Day 3 - 25/06")</f>
        <v>Day 3 - 25/06</v>
      </c>
      <c r="D306" s="6">
        <f>IFERROR(__xludf.DUMMYFUNCTION("""COMPUTED_VALUE"""),0.5124421296296299)</f>
        <v>0.5124421296</v>
      </c>
      <c r="E306" s="6">
        <f>IFERROR(__xludf.DUMMYFUNCTION("""COMPUTED_VALUE"""),2.314814814814815E-4)</f>
        <v>0.0002314814815</v>
      </c>
      <c r="F306" s="6">
        <f>IFERROR(__xludf.DUMMYFUNCTION("""COMPUTED_VALUE"""),0.5126736111111113)</f>
        <v>0.5126736111</v>
      </c>
      <c r="G306" s="4" t="str">
        <f>IFERROR(__xludf.DUMMYFUNCTION("""COMPUTED_VALUE"""),"")</f>
        <v/>
      </c>
      <c r="H306" s="4" t="str">
        <f>IFERROR(__xludf.DUMMYFUNCTION("""COMPUTED_VALUE"""),"")</f>
        <v/>
      </c>
      <c r="I306" s="4" t="str">
        <f>IFERROR(__xludf.DUMMYFUNCTION("""COMPUTED_VALUE"""),"")</f>
        <v/>
      </c>
      <c r="J306" s="4" t="str">
        <f>IFERROR(__xludf.DUMMYFUNCTION("""COMPUTED_VALUE"""),"")</f>
        <v/>
      </c>
      <c r="K306" s="4" t="str">
        <f>IFERROR(__xludf.DUMMYFUNCTION("""COMPUTED_VALUE"""),"Talk Outro")</f>
        <v>Talk Outro</v>
      </c>
      <c r="L306" s="4" t="str">
        <f>IFERROR(__xludf.DUMMYFUNCTION("""COMPUTED_VALUE"""),"")</f>
        <v/>
      </c>
      <c r="M306" s="4" t="str">
        <f>IFERROR(__xludf.DUMMYFUNCTION("""COMPUTED_VALUE"""),"Call to action")</f>
        <v>Call to action</v>
      </c>
      <c r="N306" s="4" t="str">
        <f>IFERROR(__xludf.DUMMYFUNCTION("""COMPUTED_VALUE"""),"Casey Lau, Web Summit")</f>
        <v>Casey Lau, Web Summit</v>
      </c>
      <c r="O306" s="4" t="str">
        <f>IFERROR(__xludf.DUMMYFUNCTION("""COMPUTED_VALUE"""),"")</f>
        <v/>
      </c>
      <c r="P306" s="4" t="str">
        <f>IFERROR(__xludf.DUMMYFUNCTION("""COMPUTED_VALUE"""),"")</f>
        <v/>
      </c>
      <c r="Q306" s="4" t="str">
        <f>IFERROR(__xludf.DUMMYFUNCTION("""COMPUTED_VALUE"""),"")</f>
        <v/>
      </c>
      <c r="R306" s="4" t="str">
        <f>IFERROR(__xludf.DUMMYFUNCTION("""COMPUTED_VALUE"""),"")</f>
        <v/>
      </c>
      <c r="S306" s="4" t="str">
        <f>IFERROR(__xludf.DUMMYFUNCTION("""COMPUTED_VALUE"""),"")</f>
        <v/>
      </c>
      <c r="T306" s="4" t="str">
        <f>IFERROR(__xludf.DUMMYFUNCTION("""COMPUTED_VALUE"""),"")</f>
        <v/>
      </c>
      <c r="U306" s="4" t="str">
        <f>IFERROR(__xludf.DUMMYFUNCTION("""COMPUTED_VALUE"""),"")</f>
        <v/>
      </c>
      <c r="V306" s="4" t="str">
        <f>IFERROR(__xludf.DUMMYFUNCTION("""COMPUTED_VALUE"""),"")</f>
        <v/>
      </c>
      <c r="W306" s="4" t="str">
        <f>IFERROR(__xludf.DUMMYFUNCTION("""COMPUTED_VALUE"""),"")</f>
        <v/>
      </c>
      <c r="X306" s="4" t="str">
        <f>IFERROR(__xludf.DUMMYFUNCTION("""COMPUTED_VALUE"""),"")</f>
        <v/>
      </c>
      <c r="Y306" s="4" t="str">
        <f>IFERROR(__xludf.DUMMYFUNCTION("""COMPUTED_VALUE"""),"")</f>
        <v/>
      </c>
    </row>
    <row r="307">
      <c r="A307" s="4" t="str">
        <f>IFERROR(__xludf.DUMMYFUNCTION("""COMPUTED_VALUE"""),"306 - Channel")</f>
        <v>306 - Channel</v>
      </c>
      <c r="B307" s="4" t="str">
        <f>IFERROR(__xludf.DUMMYFUNCTION("""COMPUTED_VALUE"""),"Channel 1")</f>
        <v>Channel 1</v>
      </c>
      <c r="C307" s="4" t="str">
        <f>IFERROR(__xludf.DUMMYFUNCTION("""COMPUTED_VALUE"""),"Day 3 - 25/06")</f>
        <v>Day 3 - 25/06</v>
      </c>
      <c r="D307" s="6">
        <f>IFERROR(__xludf.DUMMYFUNCTION("""COMPUTED_VALUE"""),0.5126736111111113)</f>
        <v>0.5126736111</v>
      </c>
      <c r="E307" s="6">
        <f>IFERROR(__xludf.DUMMYFUNCTION("""COMPUTED_VALUE"""),3.4722222222222224E-4)</f>
        <v>0.0003472222222</v>
      </c>
      <c r="F307" s="6">
        <f>IFERROR(__xludf.DUMMYFUNCTION("""COMPUTED_VALUE"""),0.5130208333333336)</f>
        <v>0.5130208333</v>
      </c>
      <c r="G307" s="4" t="str">
        <f>IFERROR(__xludf.DUMMYFUNCTION("""COMPUTED_VALUE"""),"")</f>
        <v/>
      </c>
      <c r="H307" s="4" t="str">
        <f>IFERROR(__xludf.DUMMYFUNCTION("""COMPUTED_VALUE"""),"")</f>
        <v/>
      </c>
      <c r="I307" s="4" t="str">
        <f>IFERROR(__xludf.DUMMYFUNCTION("""COMPUTED_VALUE"""),"")</f>
        <v/>
      </c>
      <c r="J307" s="4" t="str">
        <f>IFERROR(__xludf.DUMMYFUNCTION("""COMPUTED_VALUE"""),"")</f>
        <v/>
      </c>
      <c r="K307" s="4" t="str">
        <f>IFERROR(__xludf.DUMMYFUNCTION("""COMPUTED_VALUE"""),"Web Summit Trailer - full")</f>
        <v>Web Summit Trailer - full</v>
      </c>
      <c r="L307" s="4" t="str">
        <f>IFERROR(__xludf.DUMMYFUNCTION("""COMPUTED_VALUE"""),"")</f>
        <v/>
      </c>
      <c r="M307" s="4" t="str">
        <f>IFERROR(__xludf.DUMMYFUNCTION("""COMPUTED_VALUE"""),"Web summit promo")</f>
        <v>Web summit promo</v>
      </c>
      <c r="N307" s="4" t="str">
        <f>IFERROR(__xludf.DUMMYFUNCTION("""COMPUTED_VALUE"""),"Content pending")</f>
        <v>Content pending</v>
      </c>
      <c r="O307" s="4" t="str">
        <f>IFERROR(__xludf.DUMMYFUNCTION("""COMPUTED_VALUE"""),"")</f>
        <v/>
      </c>
      <c r="P307" s="4" t="str">
        <f>IFERROR(__xludf.DUMMYFUNCTION("""COMPUTED_VALUE"""),"")</f>
        <v/>
      </c>
      <c r="Q307" s="4" t="str">
        <f>IFERROR(__xludf.DUMMYFUNCTION("""COMPUTED_VALUE"""),"")</f>
        <v/>
      </c>
      <c r="R307" s="4" t="str">
        <f>IFERROR(__xludf.DUMMYFUNCTION("""COMPUTED_VALUE"""),"")</f>
        <v/>
      </c>
      <c r="S307" s="4" t="str">
        <f>IFERROR(__xludf.DUMMYFUNCTION("""COMPUTED_VALUE"""),"")</f>
        <v/>
      </c>
      <c r="T307" s="4" t="str">
        <f>IFERROR(__xludf.DUMMYFUNCTION("""COMPUTED_VALUE"""),"")</f>
        <v/>
      </c>
      <c r="U307" s="4" t="str">
        <f>IFERROR(__xludf.DUMMYFUNCTION("""COMPUTED_VALUE"""),"")</f>
        <v/>
      </c>
      <c r="V307" s="4" t="str">
        <f>IFERROR(__xludf.DUMMYFUNCTION("""COMPUTED_VALUE"""),"")</f>
        <v/>
      </c>
      <c r="W307" s="4" t="str">
        <f>IFERROR(__xludf.DUMMYFUNCTION("""COMPUTED_VALUE"""),"")</f>
        <v/>
      </c>
      <c r="X307" s="4" t="str">
        <f>IFERROR(__xludf.DUMMYFUNCTION("""COMPUTED_VALUE"""),"")</f>
        <v/>
      </c>
      <c r="Y307" s="4" t="str">
        <f>IFERROR(__xludf.DUMMYFUNCTION("""COMPUTED_VALUE"""),"")</f>
        <v/>
      </c>
    </row>
    <row r="308">
      <c r="A308" s="4" t="str">
        <f>IFERROR(__xludf.DUMMYFUNCTION("""COMPUTED_VALUE"""),"1434 - Channel")</f>
        <v>1434 - Channel</v>
      </c>
      <c r="B308" s="4" t="str">
        <f>IFERROR(__xludf.DUMMYFUNCTION("""COMPUTED_VALUE"""),"Channel 1")</f>
        <v>Channel 1</v>
      </c>
      <c r="C308" s="4" t="str">
        <f>IFERROR(__xludf.DUMMYFUNCTION("""COMPUTED_VALUE"""),"Day 3 - 25/06")</f>
        <v>Day 3 - 25/06</v>
      </c>
      <c r="D308" s="6">
        <f>IFERROR(__xludf.DUMMYFUNCTION("""COMPUTED_VALUE"""),0.5130208333333336)</f>
        <v>0.5130208333</v>
      </c>
      <c r="E308" s="6">
        <f>IFERROR(__xludf.DUMMYFUNCTION("""COMPUTED_VALUE"""),2.314814814814815E-4)</f>
        <v>0.0002314814815</v>
      </c>
      <c r="F308" s="6">
        <f>IFERROR(__xludf.DUMMYFUNCTION("""COMPUTED_VALUE"""),0.513252314814815)</f>
        <v>0.5132523148</v>
      </c>
      <c r="G308" s="4" t="str">
        <f>IFERROR(__xludf.DUMMYFUNCTION("""COMPUTED_VALUE"""),"")</f>
        <v/>
      </c>
      <c r="H308" s="4" t="str">
        <f>IFERROR(__xludf.DUMMYFUNCTION("""COMPUTED_VALUE"""),"")</f>
        <v/>
      </c>
      <c r="I308" s="4" t="str">
        <f>IFERROR(__xludf.DUMMYFUNCTION("""COMPUTED_VALUE"""),"")</f>
        <v/>
      </c>
      <c r="J308" s="4" t="str">
        <f>IFERROR(__xludf.DUMMYFUNCTION("""COMPUTED_VALUE"""),"")</f>
        <v/>
      </c>
      <c r="K308" s="4" t="str">
        <f>IFERROR(__xludf.DUMMYFUNCTION("""COMPUTED_VALUE"""),"Talk Intro")</f>
        <v>Talk Intro</v>
      </c>
      <c r="L308" s="4" t="str">
        <f>IFERROR(__xludf.DUMMYFUNCTION("""COMPUTED_VALUE"""),"")</f>
        <v/>
      </c>
      <c r="M308" s="4" t="str">
        <f>IFERROR(__xludf.DUMMYFUNCTION("""COMPUTED_VALUE"""),"Talk Intro")</f>
        <v>Talk Intro</v>
      </c>
      <c r="N308" s="4" t="str">
        <f>IFERROR(__xludf.DUMMYFUNCTION("""COMPUTED_VALUE"""),"Casey Lau, Web Summit")</f>
        <v>Casey Lau, Web Summit</v>
      </c>
      <c r="O308" s="4" t="str">
        <f>IFERROR(__xludf.DUMMYFUNCTION("""COMPUTED_VALUE"""),"")</f>
        <v/>
      </c>
      <c r="P308" s="4" t="str">
        <f>IFERROR(__xludf.DUMMYFUNCTION("""COMPUTED_VALUE"""),"")</f>
        <v/>
      </c>
      <c r="Q308" s="4" t="str">
        <f>IFERROR(__xludf.DUMMYFUNCTION("""COMPUTED_VALUE"""),"")</f>
        <v/>
      </c>
      <c r="R308" s="4" t="str">
        <f>IFERROR(__xludf.DUMMYFUNCTION("""COMPUTED_VALUE"""),"")</f>
        <v/>
      </c>
      <c r="S308" s="4" t="str">
        <f>IFERROR(__xludf.DUMMYFUNCTION("""COMPUTED_VALUE"""),"")</f>
        <v/>
      </c>
      <c r="T308" s="4" t="str">
        <f>IFERROR(__xludf.DUMMYFUNCTION("""COMPUTED_VALUE"""),"")</f>
        <v/>
      </c>
      <c r="U308" s="4" t="str">
        <f>IFERROR(__xludf.DUMMYFUNCTION("""COMPUTED_VALUE"""),"")</f>
        <v/>
      </c>
      <c r="V308" s="4" t="str">
        <f>IFERROR(__xludf.DUMMYFUNCTION("""COMPUTED_VALUE"""),"")</f>
        <v/>
      </c>
      <c r="W308" s="4" t="str">
        <f>IFERROR(__xludf.DUMMYFUNCTION("""COMPUTED_VALUE"""),"")</f>
        <v/>
      </c>
      <c r="X308" s="4" t="str">
        <f>IFERROR(__xludf.DUMMYFUNCTION("""COMPUTED_VALUE"""),"")</f>
        <v/>
      </c>
      <c r="Y308" s="4" t="str">
        <f>IFERROR(__xludf.DUMMYFUNCTION("""COMPUTED_VALUE"""),"")</f>
        <v/>
      </c>
    </row>
    <row r="309">
      <c r="A309" s="4" t="str">
        <f>IFERROR(__xludf.DUMMYFUNCTION("""COMPUTED_VALUE"""),"35 - Channel")</f>
        <v>35 - Channel</v>
      </c>
      <c r="B309" s="4" t="str">
        <f>IFERROR(__xludf.DUMMYFUNCTION("""COMPUTED_VALUE"""),"Channel 1")</f>
        <v>Channel 1</v>
      </c>
      <c r="C309" s="4" t="str">
        <f>IFERROR(__xludf.DUMMYFUNCTION("""COMPUTED_VALUE"""),"Day 3 - 25/06")</f>
        <v>Day 3 - 25/06</v>
      </c>
      <c r="D309" s="6">
        <f>IFERROR(__xludf.DUMMYFUNCTION("""COMPUTED_VALUE"""),0.513252314814815)</f>
        <v>0.5132523148</v>
      </c>
      <c r="E309" s="6">
        <f>IFERROR(__xludf.DUMMYFUNCTION("""COMPUTED_VALUE"""),0.010416666666666666)</f>
        <v>0.01041666667</v>
      </c>
      <c r="F309" s="6">
        <f>IFERROR(__xludf.DUMMYFUNCTION("""COMPUTED_VALUE"""),0.5236689814814817)</f>
        <v>0.5236689815</v>
      </c>
      <c r="G309" s="4" t="str">
        <f>IFERROR(__xludf.DUMMYFUNCTION("""COMPUTED_VALUE"""),"Brian")</f>
        <v>Brian</v>
      </c>
      <c r="H309" s="4" t="str">
        <f>IFERROR(__xludf.DUMMYFUNCTION("""COMPUTED_VALUE"""),"Stephen")</f>
        <v>Stephen</v>
      </c>
      <c r="I309" s="4" t="str">
        <f>IFERROR(__xludf.DUMMYFUNCTION("""COMPUTED_VALUE"""),"Hannah")</f>
        <v>Hannah</v>
      </c>
      <c r="J309" s="4" t="str">
        <f>IFERROR(__xludf.DUMMYFUNCTION("""COMPUTED_VALUE"""),"Society")</f>
        <v>Society</v>
      </c>
      <c r="K309" s="4" t="str">
        <f>IFERROR(__xludf.DUMMYFUNCTION("""COMPUTED_VALUE"""),"Super Fireside")</f>
        <v>Super Fireside</v>
      </c>
      <c r="L309" s="4" t="str">
        <f>IFERROR(__xludf.DUMMYFUNCTION("""COMPUTED_VALUE"""),"T- 5 - 18/05/2020")</f>
        <v>T- 5 - 18/05/2020</v>
      </c>
      <c r="M309" s="4" t="str">
        <f>IFERROR(__xludf.DUMMYFUNCTION("""COMPUTED_VALUE"""),"Love and dating during lockdown")</f>
        <v>Love and dating during lockdown</v>
      </c>
      <c r="N309" s="4" t="str">
        <f>IFERROR(__xludf.DUMMYFUNCTION("""COMPUTED_VALUE"""),"Hesam Hosseini, Match Group")</f>
        <v>Hesam Hosseini, Match Group</v>
      </c>
      <c r="O309" s="4" t="str">
        <f>IFERROR(__xludf.DUMMYFUNCTION("""COMPUTED_VALUE"""),"Malgosia Green, Plenty of Fish")</f>
        <v>Malgosia Green, Plenty of Fish</v>
      </c>
      <c r="P309" s="4" t="str">
        <f>IFERROR(__xludf.DUMMYFUNCTION("""COMPUTED_VALUE"""),"")</f>
        <v/>
      </c>
      <c r="Q309" s="4" t="str">
        <f>IFERROR(__xludf.DUMMYFUNCTION("""COMPUTED_VALUE"""),"")</f>
        <v/>
      </c>
      <c r="R309" s="4" t="str">
        <f>IFERROR(__xludf.DUMMYFUNCTION("""COMPUTED_VALUE"""),"Laurie Segall, Dot Dot Dot Media")</f>
        <v>Laurie Segall, Dot Dot Dot Media</v>
      </c>
      <c r="S309" s="4" t="str">
        <f>IFERROR(__xludf.DUMMYFUNCTION("""COMPUTED_VALUE"""),"Will people feel comfortable even shaking hands post-lockdown, let alone diving into romance with their former enthusiasm? These matchmakers shed light on how Covid-19 transformed the world of dating, looking at which changes will be lasting and which wil"&amp;"l fade away with the memories. ")</f>
        <v>Will people feel comfortable even shaking hands post-lockdown, let alone diving into romance with their former enthusiasm? These matchmakers shed light on how Covid-19 transformed the world of dating, looking at which changes will be lasting and which will fade away with the memories. </v>
      </c>
      <c r="T309" s="4" t="str">
        <f>IFERROR(__xludf.DUMMYFUNCTION("""COMPUTED_VALUE"""),"KEYNOTE 8 - COMPLETE")</f>
        <v>KEYNOTE 8 - COMPLETE</v>
      </c>
      <c r="U309" s="23">
        <f>IFERROR(__xludf.DUMMYFUNCTION("""COMPUTED_VALUE"""),43971.0)</f>
        <v>43971</v>
      </c>
      <c r="V309" s="44">
        <f>IFERROR(__xludf.DUMMYFUNCTION("""COMPUTED_VALUE"""),0.75)</f>
        <v>0.75</v>
      </c>
      <c r="W309" s="4" t="str">
        <f>IFERROR(__xludf.DUMMYFUNCTION("""COMPUTED_VALUE"""),"COMPLETE")</f>
        <v>COMPLETE</v>
      </c>
      <c r="X309" s="4" t="str">
        <f>IFERROR(__xludf.DUMMYFUNCTION("""COMPUTED_VALUE"""),"Brian")</f>
        <v>Brian</v>
      </c>
      <c r="Y309" s="4" t="str">
        <f>IFERROR(__xludf.DUMMYFUNCTION("""COMPUTED_VALUE"""),"")</f>
        <v/>
      </c>
    </row>
    <row r="310">
      <c r="A310" s="4" t="str">
        <f>IFERROR(__xludf.DUMMYFUNCTION("""COMPUTED_VALUE"""),"147 - Channel")</f>
        <v>147 - Channel</v>
      </c>
      <c r="B310" s="4" t="str">
        <f>IFERROR(__xludf.DUMMYFUNCTION("""COMPUTED_VALUE"""),"Channel 1")</f>
        <v>Channel 1</v>
      </c>
      <c r="C310" s="4" t="str">
        <f>IFERROR(__xludf.DUMMYFUNCTION("""COMPUTED_VALUE"""),"Day 3 - 25/06")</f>
        <v>Day 3 - 25/06</v>
      </c>
      <c r="D310" s="6">
        <f>IFERROR(__xludf.DUMMYFUNCTION("""COMPUTED_VALUE"""),0.5236689814814817)</f>
        <v>0.5236689815</v>
      </c>
      <c r="E310" s="6">
        <f>IFERROR(__xludf.DUMMYFUNCTION("""COMPUTED_VALUE"""),2.314814814814815E-4)</f>
        <v>0.0002314814815</v>
      </c>
      <c r="F310" s="6">
        <f>IFERROR(__xludf.DUMMYFUNCTION("""COMPUTED_VALUE"""),0.5239004629629631)</f>
        <v>0.523900463</v>
      </c>
      <c r="G310" s="4" t="str">
        <f>IFERROR(__xludf.DUMMYFUNCTION("""COMPUTED_VALUE"""),"")</f>
        <v/>
      </c>
      <c r="H310" s="4" t="str">
        <f>IFERROR(__xludf.DUMMYFUNCTION("""COMPUTED_VALUE"""),"")</f>
        <v/>
      </c>
      <c r="I310" s="4" t="str">
        <f>IFERROR(__xludf.DUMMYFUNCTION("""COMPUTED_VALUE"""),"")</f>
        <v/>
      </c>
      <c r="J310" s="4" t="str">
        <f>IFERROR(__xludf.DUMMYFUNCTION("""COMPUTED_VALUE"""),"")</f>
        <v/>
      </c>
      <c r="K310" s="4" t="str">
        <f>IFERROR(__xludf.DUMMYFUNCTION("""COMPUTED_VALUE"""),"Talk Intro")</f>
        <v>Talk Intro</v>
      </c>
      <c r="L310" s="4" t="str">
        <f>IFERROR(__xludf.DUMMYFUNCTION("""COMPUTED_VALUE"""),"")</f>
        <v/>
      </c>
      <c r="M310" s="4" t="str">
        <f>IFERROR(__xludf.DUMMYFUNCTION("""COMPUTED_VALUE"""),"Teaser: Buzzfeed_Intro")</f>
        <v>Teaser: Buzzfeed_Intro</v>
      </c>
      <c r="N310" s="4" t="str">
        <f>IFERROR(__xludf.DUMMYFUNCTION("""COMPUTED_VALUE"""),"Casey Lau, Web Summit")</f>
        <v>Casey Lau, Web Summit</v>
      </c>
      <c r="O310" s="4" t="str">
        <f>IFERROR(__xludf.DUMMYFUNCTION("""COMPUTED_VALUE"""),"")</f>
        <v/>
      </c>
      <c r="P310" s="4" t="str">
        <f>IFERROR(__xludf.DUMMYFUNCTION("""COMPUTED_VALUE"""),"")</f>
        <v/>
      </c>
      <c r="Q310" s="4" t="str">
        <f>IFERROR(__xludf.DUMMYFUNCTION("""COMPUTED_VALUE"""),"")</f>
        <v/>
      </c>
      <c r="R310" s="4" t="str">
        <f>IFERROR(__xludf.DUMMYFUNCTION("""COMPUTED_VALUE"""),"")</f>
        <v/>
      </c>
      <c r="S310" s="4" t="str">
        <f>IFERROR(__xludf.DUMMYFUNCTION("""COMPUTED_VALUE"""),"")</f>
        <v/>
      </c>
      <c r="T310" s="4" t="str">
        <f>IFERROR(__xludf.DUMMYFUNCTION("""COMPUTED_VALUE"""),"")</f>
        <v/>
      </c>
      <c r="U310" s="4" t="str">
        <f>IFERROR(__xludf.DUMMYFUNCTION("""COMPUTED_VALUE"""),"")</f>
        <v/>
      </c>
      <c r="V310" s="4" t="str">
        <f>IFERROR(__xludf.DUMMYFUNCTION("""COMPUTED_VALUE"""),"")</f>
        <v/>
      </c>
      <c r="W310" s="4" t="str">
        <f>IFERROR(__xludf.DUMMYFUNCTION("""COMPUTED_VALUE"""),"")</f>
        <v/>
      </c>
      <c r="X310" s="4" t="str">
        <f>IFERROR(__xludf.DUMMYFUNCTION("""COMPUTED_VALUE"""),"")</f>
        <v/>
      </c>
      <c r="Y310" s="4" t="str">
        <f>IFERROR(__xludf.DUMMYFUNCTION("""COMPUTED_VALUE"""),"")</f>
        <v/>
      </c>
    </row>
    <row r="311">
      <c r="A311" s="4" t="str">
        <f>IFERROR(__xludf.DUMMYFUNCTION("""COMPUTED_VALUE"""),"1540 - Channel")</f>
        <v>1540 - Channel</v>
      </c>
      <c r="B311" s="6" t="str">
        <f>IFERROR(__xludf.DUMMYFUNCTION("""COMPUTED_VALUE"""),"Channel 1")</f>
        <v>Channel 1</v>
      </c>
      <c r="C311" s="4" t="str">
        <f>IFERROR(__xludf.DUMMYFUNCTION("""COMPUTED_VALUE"""),"Day 3 - 25/06")</f>
        <v>Day 3 - 25/06</v>
      </c>
      <c r="D311" s="6">
        <f>IFERROR(__xludf.DUMMYFUNCTION("""COMPUTED_VALUE"""),0.5239004629629631)</f>
        <v>0.523900463</v>
      </c>
      <c r="E311" s="6">
        <f>IFERROR(__xludf.DUMMYFUNCTION("""COMPUTED_VALUE"""),0.0020833333333333333)</f>
        <v>0.002083333333</v>
      </c>
      <c r="F311" s="6">
        <f>IFERROR(__xludf.DUMMYFUNCTION("""COMPUTED_VALUE"""),0.5259837962962964)</f>
        <v>0.5259837963</v>
      </c>
      <c r="G311" s="4" t="str">
        <f>IFERROR(__xludf.DUMMYFUNCTION("""COMPUTED_VALUE"""),"")</f>
        <v/>
      </c>
      <c r="H311" s="4" t="str">
        <f>IFERROR(__xludf.DUMMYFUNCTION("""COMPUTED_VALUE"""),"")</f>
        <v/>
      </c>
      <c r="I311" s="4" t="str">
        <f>IFERROR(__xludf.DUMMYFUNCTION("""COMPUTED_VALUE"""),"")</f>
        <v/>
      </c>
      <c r="J311" s="4" t="str">
        <f>IFERROR(__xludf.DUMMYFUNCTION("""COMPUTED_VALUE"""),"")</f>
        <v/>
      </c>
      <c r="K311" s="4" t="str">
        <f>IFERROR(__xludf.DUMMYFUNCTION("""COMPUTED_VALUE"""),"Teaser")</f>
        <v>Teaser</v>
      </c>
      <c r="L311" s="4" t="str">
        <f>IFERROR(__xludf.DUMMYFUNCTION("""COMPUTED_VALUE"""),"")</f>
        <v/>
      </c>
      <c r="M311" s="4" t="str">
        <f>IFERROR(__xludf.DUMMYFUNCTION("""COMPUTED_VALUE"""),"Teaser: Buzzfeed")</f>
        <v>Teaser: Buzzfeed</v>
      </c>
      <c r="N311" s="4" t="str">
        <f>IFERROR(__xludf.DUMMYFUNCTION("""COMPUTED_VALUE"""),"")</f>
        <v/>
      </c>
      <c r="O311" s="4" t="str">
        <f>IFERROR(__xludf.DUMMYFUNCTION("""COMPUTED_VALUE"""),"")</f>
        <v/>
      </c>
      <c r="P311" s="4" t="str">
        <f>IFERROR(__xludf.DUMMYFUNCTION("""COMPUTED_VALUE"""),"")</f>
        <v/>
      </c>
      <c r="Q311" s="4" t="str">
        <f>IFERROR(__xludf.DUMMYFUNCTION("""COMPUTED_VALUE"""),"")</f>
        <v/>
      </c>
      <c r="R311" s="4" t="str">
        <f>IFERROR(__xludf.DUMMYFUNCTION("""COMPUTED_VALUE"""),"")</f>
        <v/>
      </c>
      <c r="S311" s="4" t="str">
        <f>IFERROR(__xludf.DUMMYFUNCTION("""COMPUTED_VALUE"""),"")</f>
        <v/>
      </c>
      <c r="T311" s="4" t="str">
        <f>IFERROR(__xludf.DUMMYFUNCTION("""COMPUTED_VALUE"""),"")</f>
        <v/>
      </c>
      <c r="U311" s="4" t="str">
        <f>IFERROR(__xludf.DUMMYFUNCTION("""COMPUTED_VALUE"""),"")</f>
        <v/>
      </c>
      <c r="V311" s="4" t="str">
        <f>IFERROR(__xludf.DUMMYFUNCTION("""COMPUTED_VALUE"""),"")</f>
        <v/>
      </c>
      <c r="W311" s="4" t="str">
        <f>IFERROR(__xludf.DUMMYFUNCTION("""COMPUTED_VALUE"""),"")</f>
        <v/>
      </c>
      <c r="X311" s="4" t="str">
        <f>IFERROR(__xludf.DUMMYFUNCTION("""COMPUTED_VALUE"""),"")</f>
        <v/>
      </c>
      <c r="Y311" s="4" t="str">
        <f>IFERROR(__xludf.DUMMYFUNCTION("""COMPUTED_VALUE"""),"")</f>
        <v/>
      </c>
    </row>
    <row r="312">
      <c r="A312" s="4" t="str">
        <f>IFERROR(__xludf.DUMMYFUNCTION("""COMPUTED_VALUE"""),"1737- Channel1 ")</f>
        <v>1737- Channel1 </v>
      </c>
      <c r="B312" s="4" t="str">
        <f>IFERROR(__xludf.DUMMYFUNCTION("""COMPUTED_VALUE"""),"Channel 1")</f>
        <v>Channel 1</v>
      </c>
      <c r="C312" s="4" t="str">
        <f>IFERROR(__xludf.DUMMYFUNCTION("""COMPUTED_VALUE"""),"Day 3 - 25/06")</f>
        <v>Day 3 - 25/06</v>
      </c>
      <c r="D312" s="6">
        <f>IFERROR(__xludf.DUMMYFUNCTION("""COMPUTED_VALUE"""),0.5259837962962964)</f>
        <v>0.5259837963</v>
      </c>
      <c r="E312" s="6">
        <f>IFERROR(__xludf.DUMMYFUNCTION("""COMPUTED_VALUE"""),2.314814814814815E-4)</f>
        <v>0.0002314814815</v>
      </c>
      <c r="F312" s="6">
        <f>IFERROR(__xludf.DUMMYFUNCTION("""COMPUTED_VALUE"""),0.5262152777777779)</f>
        <v>0.5262152778</v>
      </c>
      <c r="G312" s="4" t="str">
        <f>IFERROR(__xludf.DUMMYFUNCTION("""COMPUTED_VALUE"""),"")</f>
        <v/>
      </c>
      <c r="H312" s="4" t="str">
        <f>IFERROR(__xludf.DUMMYFUNCTION("""COMPUTED_VALUE"""),"")</f>
        <v/>
      </c>
      <c r="I312" s="4" t="str">
        <f>IFERROR(__xludf.DUMMYFUNCTION("""COMPUTED_VALUE"""),"")</f>
        <v/>
      </c>
      <c r="J312" s="4" t="str">
        <f>IFERROR(__xludf.DUMMYFUNCTION("""COMPUTED_VALUE"""),"")</f>
        <v/>
      </c>
      <c r="K312" s="4" t="str">
        <f>IFERROR(__xludf.DUMMYFUNCTION("""COMPUTED_VALUE"""),"Talk Outro")</f>
        <v>Talk Outro</v>
      </c>
      <c r="L312" s="4" t="str">
        <f>IFERROR(__xludf.DUMMYFUNCTION("""COMPUTED_VALUE"""),"")</f>
        <v/>
      </c>
      <c r="M312" s="4" t="str">
        <f>IFERROR(__xludf.DUMMYFUNCTION("""COMPUTED_VALUE"""),"Call to action")</f>
        <v>Call to action</v>
      </c>
      <c r="N312" s="4" t="str">
        <f>IFERROR(__xludf.DUMMYFUNCTION("""COMPUTED_VALUE"""),"Casey Lau, Web Summit")</f>
        <v>Casey Lau, Web Summit</v>
      </c>
      <c r="O312" s="4" t="str">
        <f>IFERROR(__xludf.DUMMYFUNCTION("""COMPUTED_VALUE"""),"")</f>
        <v/>
      </c>
      <c r="P312" s="4" t="str">
        <f>IFERROR(__xludf.DUMMYFUNCTION("""COMPUTED_VALUE"""),"")</f>
        <v/>
      </c>
      <c r="Q312" s="4" t="str">
        <f>IFERROR(__xludf.DUMMYFUNCTION("""COMPUTED_VALUE"""),"")</f>
        <v/>
      </c>
      <c r="R312" s="4" t="str">
        <f>IFERROR(__xludf.DUMMYFUNCTION("""COMPUTED_VALUE"""),"")</f>
        <v/>
      </c>
      <c r="S312" s="4" t="str">
        <f>IFERROR(__xludf.DUMMYFUNCTION("""COMPUTED_VALUE"""),"")</f>
        <v/>
      </c>
      <c r="T312" s="4" t="str">
        <f>IFERROR(__xludf.DUMMYFUNCTION("""COMPUTED_VALUE"""),"")</f>
        <v/>
      </c>
      <c r="U312" s="4" t="str">
        <f>IFERROR(__xludf.DUMMYFUNCTION("""COMPUTED_VALUE"""),"")</f>
        <v/>
      </c>
      <c r="V312" s="4" t="str">
        <f>IFERROR(__xludf.DUMMYFUNCTION("""COMPUTED_VALUE"""),"")</f>
        <v/>
      </c>
      <c r="W312" s="4" t="str">
        <f>IFERROR(__xludf.DUMMYFUNCTION("""COMPUTED_VALUE"""),"")</f>
        <v/>
      </c>
      <c r="X312" s="4" t="str">
        <f>IFERROR(__xludf.DUMMYFUNCTION("""COMPUTED_VALUE"""),"")</f>
        <v/>
      </c>
      <c r="Y312" s="4" t="str">
        <f>IFERROR(__xludf.DUMMYFUNCTION("""COMPUTED_VALUE"""),"")</f>
        <v/>
      </c>
    </row>
    <row r="313">
      <c r="A313" s="4" t="str">
        <f>IFERROR(__xludf.DUMMYFUNCTION("""COMPUTED_VALUE"""),"1645 - Channel")</f>
        <v>1645 - Channel</v>
      </c>
      <c r="B313" s="4" t="str">
        <f>IFERROR(__xludf.DUMMYFUNCTION("""COMPUTED_VALUE"""),"Channel 1")</f>
        <v>Channel 1</v>
      </c>
      <c r="C313" s="4" t="str">
        <f>IFERROR(__xludf.DUMMYFUNCTION("""COMPUTED_VALUE"""),"Day 3 - 25/06")</f>
        <v>Day 3 - 25/06</v>
      </c>
      <c r="D313" s="6">
        <f>IFERROR(__xludf.DUMMYFUNCTION("""COMPUTED_VALUE"""),0.5262152777777779)</f>
        <v>0.5262152778</v>
      </c>
      <c r="E313" s="6">
        <f>IFERROR(__xludf.DUMMYFUNCTION("""COMPUTED_VALUE"""),2.314814814814815E-4)</f>
        <v>0.0002314814815</v>
      </c>
      <c r="F313" s="6">
        <f>IFERROR(__xludf.DUMMYFUNCTION("""COMPUTED_VALUE"""),0.5264467592592593)</f>
        <v>0.5264467593</v>
      </c>
      <c r="G313" s="4" t="str">
        <f>IFERROR(__xludf.DUMMYFUNCTION("""COMPUTED_VALUE"""),"")</f>
        <v/>
      </c>
      <c r="H313" s="4" t="str">
        <f>IFERROR(__xludf.DUMMYFUNCTION("""COMPUTED_VALUE"""),"")</f>
        <v/>
      </c>
      <c r="I313" s="4" t="str">
        <f>IFERROR(__xludf.DUMMYFUNCTION("""COMPUTED_VALUE"""),"")</f>
        <v/>
      </c>
      <c r="J313" s="4" t="str">
        <f>IFERROR(__xludf.DUMMYFUNCTION("""COMPUTED_VALUE"""),"")</f>
        <v/>
      </c>
      <c r="K313" s="4" t="str">
        <f>IFERROR(__xludf.DUMMYFUNCTION("""COMPUTED_VALUE"""),"Talk Intro")</f>
        <v>Talk Intro</v>
      </c>
      <c r="L313" s="4" t="str">
        <f>IFERROR(__xludf.DUMMYFUNCTION("""COMPUTED_VALUE"""),"")</f>
        <v/>
      </c>
      <c r="M313" s="4" t="str">
        <f>IFERROR(__xludf.DUMMYFUNCTION("""COMPUTED_VALUE"""),"Talk Intro")</f>
        <v>Talk Intro</v>
      </c>
      <c r="N313" s="4" t="str">
        <f>IFERROR(__xludf.DUMMYFUNCTION("""COMPUTED_VALUE"""),"Paddy Cosgrave, Web Summit")</f>
        <v>Paddy Cosgrave, Web Summit</v>
      </c>
      <c r="O313" s="4" t="str">
        <f>IFERROR(__xludf.DUMMYFUNCTION("""COMPUTED_VALUE"""),"Casey Lau, Web Summit")</f>
        <v>Casey Lau, Web Summit</v>
      </c>
      <c r="P313" s="4" t="str">
        <f>IFERROR(__xludf.DUMMYFUNCTION("""COMPUTED_VALUE"""),"")</f>
        <v/>
      </c>
      <c r="Q313" s="4" t="str">
        <f>IFERROR(__xludf.DUMMYFUNCTION("""COMPUTED_VALUE"""),"")</f>
        <v/>
      </c>
      <c r="R313" s="4" t="str">
        <f>IFERROR(__xludf.DUMMYFUNCTION("""COMPUTED_VALUE"""),"")</f>
        <v/>
      </c>
      <c r="S313" s="4" t="str">
        <f>IFERROR(__xludf.DUMMYFUNCTION("""COMPUTED_VALUE"""),"")</f>
        <v/>
      </c>
      <c r="T313" s="4" t="str">
        <f>IFERROR(__xludf.DUMMYFUNCTION("""COMPUTED_VALUE"""),"")</f>
        <v/>
      </c>
      <c r="U313" s="4" t="str">
        <f>IFERROR(__xludf.DUMMYFUNCTION("""COMPUTED_VALUE"""),"")</f>
        <v/>
      </c>
      <c r="V313" s="4" t="str">
        <f>IFERROR(__xludf.DUMMYFUNCTION("""COMPUTED_VALUE"""),"")</f>
        <v/>
      </c>
      <c r="W313" s="4" t="str">
        <f>IFERROR(__xludf.DUMMYFUNCTION("""COMPUTED_VALUE"""),"")</f>
        <v/>
      </c>
      <c r="X313" s="4" t="str">
        <f>IFERROR(__xludf.DUMMYFUNCTION("""COMPUTED_VALUE"""),"")</f>
        <v/>
      </c>
      <c r="Y313" s="4" t="str">
        <f>IFERROR(__xludf.DUMMYFUNCTION("""COMPUTED_VALUE"""),"")</f>
        <v/>
      </c>
    </row>
    <row r="314">
      <c r="A314" s="4" t="str">
        <f>IFERROR(__xludf.DUMMYFUNCTION("""COMPUTED_VALUE"""),"221 - Channel")</f>
        <v>221 - Channel</v>
      </c>
      <c r="B314" s="4" t="str">
        <f>IFERROR(__xludf.DUMMYFUNCTION("""COMPUTED_VALUE"""),"Channel 1")</f>
        <v>Channel 1</v>
      </c>
      <c r="C314" s="4" t="str">
        <f>IFERROR(__xludf.DUMMYFUNCTION("""COMPUTED_VALUE"""),"Day 3 - 25/06")</f>
        <v>Day 3 - 25/06</v>
      </c>
      <c r="D314" s="6">
        <f>IFERROR(__xludf.DUMMYFUNCTION("""COMPUTED_VALUE"""),0.5264467592592593)</f>
        <v>0.5264467593</v>
      </c>
      <c r="E314" s="6">
        <f>IFERROR(__xludf.DUMMYFUNCTION("""COMPUTED_VALUE"""),0.008101851851851851)</f>
        <v>0.008101851852</v>
      </c>
      <c r="F314" s="6">
        <f>IFERROR(__xludf.DUMMYFUNCTION("""COMPUTED_VALUE"""),0.5345486111111112)</f>
        <v>0.5345486111</v>
      </c>
      <c r="G314" s="4" t="str">
        <f>IFERROR(__xludf.DUMMYFUNCTION("""COMPUTED_VALUE"""),"Gavin")</f>
        <v>Gavin</v>
      </c>
      <c r="H314" s="4" t="str">
        <f>IFERROR(__xludf.DUMMYFUNCTION("""COMPUTED_VALUE"""),"Eoghan")</f>
        <v>Eoghan</v>
      </c>
      <c r="I314" s="4" t="str">
        <f>IFERROR(__xludf.DUMMYFUNCTION("""COMPUTED_VALUE"""),"Lynn")</f>
        <v>Lynn</v>
      </c>
      <c r="J314" s="4" t="str">
        <f>IFERROR(__xludf.DUMMYFUNCTION("""COMPUTED_VALUE"""),"Politics")</f>
        <v>Politics</v>
      </c>
      <c r="K314" s="4" t="str">
        <f>IFERROR(__xludf.DUMMYFUNCTION("""COMPUTED_VALUE"""),"Fireside")</f>
        <v>Fireside</v>
      </c>
      <c r="L314" s="4" t="str">
        <f>IFERROR(__xludf.DUMMYFUNCTION("""COMPUTED_VALUE"""),"T- 4 - 25/05/2020")</f>
        <v>T- 4 - 25/05/2020</v>
      </c>
      <c r="M314" s="4" t="str">
        <f>IFERROR(__xludf.DUMMYFUNCTION("""COMPUTED_VALUE"""),"Safeguarding the 2020 elections")</f>
        <v>Safeguarding the 2020 elections</v>
      </c>
      <c r="N314" s="4" t="str">
        <f>IFERROR(__xludf.DUMMYFUNCTION("""COMPUTED_VALUE"""),"Ellen Weintraub, US Federal Election Commission")</f>
        <v>Ellen Weintraub, US Federal Election Commission</v>
      </c>
      <c r="O314" s="4" t="str">
        <f>IFERROR(__xludf.DUMMYFUNCTION("""COMPUTED_VALUE"""),"")</f>
        <v/>
      </c>
      <c r="P314" s="4" t="str">
        <f>IFERROR(__xludf.DUMMYFUNCTION("""COMPUTED_VALUE"""),"")</f>
        <v/>
      </c>
      <c r="Q314" s="4" t="str">
        <f>IFERROR(__xludf.DUMMYFUNCTION("""COMPUTED_VALUE"""),"")</f>
        <v/>
      </c>
      <c r="R314" s="4" t="str">
        <f>IFERROR(__xludf.DUMMYFUNCTION("""COMPUTED_VALUE"""),"Donie O'Sullivan, CNN")</f>
        <v>Donie O'Sullivan, CNN</v>
      </c>
      <c r="S314" s="4" t="str">
        <f>IFERROR(__xludf.DUMMYFUNCTION("""COMPUTED_VALUE"""),"Is foreign and digital interference an inevitable part of elections, or can regulators still safeguard the democratic process from the perils of the social web?  ")</f>
        <v>Is foreign and digital interference an inevitable part of elections, or can regulators still safeguard the democratic process from the perils of the social web?  </v>
      </c>
      <c r="T314" s="4" t="str">
        <f>IFERROR(__xludf.DUMMYFUNCTION("""COMPUTED_VALUE"""),"NON-KEYNOTE 9 - COMPLETE")</f>
        <v>NON-KEYNOTE 9 - COMPLETE</v>
      </c>
      <c r="U314" s="23">
        <f>IFERROR(__xludf.DUMMYFUNCTION("""COMPUTED_VALUE"""),43977.0)</f>
        <v>43977</v>
      </c>
      <c r="V314" s="24">
        <f>IFERROR(__xludf.DUMMYFUNCTION("""COMPUTED_VALUE"""),0.6666666666666666)</f>
        <v>0.6666666667</v>
      </c>
      <c r="W314" s="4" t="str">
        <f>IFERROR(__xludf.DUMMYFUNCTION("""COMPUTED_VALUE"""),"COMPLETE")</f>
        <v>COMPLETE</v>
      </c>
      <c r="X314" s="4" t="str">
        <f>IFERROR(__xludf.DUMMYFUNCTION("""COMPUTED_VALUE"""),"Gavin")</f>
        <v>Gavin</v>
      </c>
      <c r="Y314" s="4" t="str">
        <f>IFERROR(__xludf.DUMMYFUNCTION("""COMPUTED_VALUE"""),"")</f>
        <v/>
      </c>
    </row>
    <row r="315">
      <c r="A315" s="4" t="str">
        <f>IFERROR(__xludf.DUMMYFUNCTION("""COMPUTED_VALUE"""),"316 - Channel")</f>
        <v>316 - Channel</v>
      </c>
      <c r="B315" s="4" t="str">
        <f>IFERROR(__xludf.DUMMYFUNCTION("""COMPUTED_VALUE"""),"Channel 1")</f>
        <v>Channel 1</v>
      </c>
      <c r="C315" s="4" t="str">
        <f>IFERROR(__xludf.DUMMYFUNCTION("""COMPUTED_VALUE"""),"Day 3 - 25/06")</f>
        <v>Day 3 - 25/06</v>
      </c>
      <c r="D315" s="6">
        <f>IFERROR(__xludf.DUMMYFUNCTION("""COMPUTED_VALUE"""),0.5345486111111112)</f>
        <v>0.5345486111</v>
      </c>
      <c r="E315" s="6">
        <f>IFERROR(__xludf.DUMMYFUNCTION("""COMPUTED_VALUE"""),2.314814814814815E-4)</f>
        <v>0.0002314814815</v>
      </c>
      <c r="F315" s="6">
        <f>IFERROR(__xludf.DUMMYFUNCTION("""COMPUTED_VALUE"""),0.5347800925925926)</f>
        <v>0.5347800926</v>
      </c>
      <c r="G315" s="4" t="str">
        <f>IFERROR(__xludf.DUMMYFUNCTION("""COMPUTED_VALUE"""),"")</f>
        <v/>
      </c>
      <c r="H315" s="4" t="str">
        <f>IFERROR(__xludf.DUMMYFUNCTION("""COMPUTED_VALUE"""),"")</f>
        <v/>
      </c>
      <c r="I315" s="4" t="str">
        <f>IFERROR(__xludf.DUMMYFUNCTION("""COMPUTED_VALUE"""),"")</f>
        <v/>
      </c>
      <c r="J315" s="4" t="str">
        <f>IFERROR(__xludf.DUMMYFUNCTION("""COMPUTED_VALUE"""),"")</f>
        <v/>
      </c>
      <c r="K315" s="4" t="str">
        <f>IFERROR(__xludf.DUMMYFUNCTION("""COMPUTED_VALUE"""),"Talk Intro")</f>
        <v>Talk Intro</v>
      </c>
      <c r="L315" s="4" t="str">
        <f>IFERROR(__xludf.DUMMYFUNCTION("""COMPUTED_VALUE"""),"")</f>
        <v/>
      </c>
      <c r="M315" s="4" t="str">
        <f>IFERROR(__xludf.DUMMYFUNCTION("""COMPUTED_VALUE"""),"Talk Intro")</f>
        <v>Talk Intro</v>
      </c>
      <c r="N315" s="4" t="str">
        <f>IFERROR(__xludf.DUMMYFUNCTION("""COMPUTED_VALUE"""),"Casey Lau, Web Summit")</f>
        <v>Casey Lau, Web Summit</v>
      </c>
      <c r="O315" s="4" t="str">
        <f>IFERROR(__xludf.DUMMYFUNCTION("""COMPUTED_VALUE"""),"")</f>
        <v/>
      </c>
      <c r="P315" s="4" t="str">
        <f>IFERROR(__xludf.DUMMYFUNCTION("""COMPUTED_VALUE"""),"")</f>
        <v/>
      </c>
      <c r="Q315" s="4" t="str">
        <f>IFERROR(__xludf.DUMMYFUNCTION("""COMPUTED_VALUE"""),"")</f>
        <v/>
      </c>
      <c r="R315" s="4" t="str">
        <f>IFERROR(__xludf.DUMMYFUNCTION("""COMPUTED_VALUE"""),"")</f>
        <v/>
      </c>
      <c r="S315" s="4" t="str">
        <f>IFERROR(__xludf.DUMMYFUNCTION("""COMPUTED_VALUE"""),"")</f>
        <v/>
      </c>
      <c r="T315" s="4" t="str">
        <f>IFERROR(__xludf.DUMMYFUNCTION("""COMPUTED_VALUE"""),"")</f>
        <v/>
      </c>
      <c r="U315" s="4" t="str">
        <f>IFERROR(__xludf.DUMMYFUNCTION("""COMPUTED_VALUE"""),"")</f>
        <v/>
      </c>
      <c r="V315" s="4" t="str">
        <f>IFERROR(__xludf.DUMMYFUNCTION("""COMPUTED_VALUE"""),"")</f>
        <v/>
      </c>
      <c r="W315" s="4" t="str">
        <f>IFERROR(__xludf.DUMMYFUNCTION("""COMPUTED_VALUE"""),"")</f>
        <v/>
      </c>
      <c r="X315" s="4" t="str">
        <f>IFERROR(__xludf.DUMMYFUNCTION("""COMPUTED_VALUE"""),"")</f>
        <v/>
      </c>
      <c r="Y315" s="4" t="str">
        <f>IFERROR(__xludf.DUMMYFUNCTION("""COMPUTED_VALUE"""),"")</f>
        <v/>
      </c>
    </row>
    <row r="316">
      <c r="A316" s="4" t="str">
        <f>IFERROR(__xludf.DUMMYFUNCTION("""COMPUTED_VALUE"""),"1281 - Channel")</f>
        <v>1281 - Channel</v>
      </c>
      <c r="B316" s="4" t="str">
        <f>IFERROR(__xludf.DUMMYFUNCTION("""COMPUTED_VALUE"""),"Channel 1")</f>
        <v>Channel 1</v>
      </c>
      <c r="C316" s="4" t="str">
        <f>IFERROR(__xludf.DUMMYFUNCTION("""COMPUTED_VALUE"""),"Day 3 - 25/06")</f>
        <v>Day 3 - 25/06</v>
      </c>
      <c r="D316" s="6">
        <f>IFERROR(__xludf.DUMMYFUNCTION("""COMPUTED_VALUE"""),0.5347800925925926)</f>
        <v>0.5347800926</v>
      </c>
      <c r="E316" s="6">
        <f>IFERROR(__xludf.DUMMYFUNCTION("""COMPUTED_VALUE"""),0.009606481481481481)</f>
        <v>0.009606481481</v>
      </c>
      <c r="F316" s="6">
        <f>IFERROR(__xludf.DUMMYFUNCTION("""COMPUTED_VALUE"""),0.5443865740740741)</f>
        <v>0.5443865741</v>
      </c>
      <c r="G316" s="4" t="str">
        <f>IFERROR(__xludf.DUMMYFUNCTION("""COMPUTED_VALUE"""),"Darren")</f>
        <v>Darren</v>
      </c>
      <c r="H316" s="4" t="str">
        <f>IFERROR(__xludf.DUMMYFUNCTION("""COMPUTED_VALUE"""),"Lisa")</f>
        <v>Lisa</v>
      </c>
      <c r="I316" s="4" t="str">
        <f>IFERROR(__xludf.DUMMYFUNCTION("""COMPUTED_VALUE"""),"Lucia H.")</f>
        <v>Lucia H.</v>
      </c>
      <c r="J316" s="4" t="str">
        <f>IFERROR(__xludf.DUMMYFUNCTION("""COMPUTED_VALUE"""),"Retail")</f>
        <v>Retail</v>
      </c>
      <c r="K316" s="4" t="str">
        <f>IFERROR(__xludf.DUMMYFUNCTION("""COMPUTED_VALUE"""),"Super Fireside")</f>
        <v>Super Fireside</v>
      </c>
      <c r="L316" s="4" t="str">
        <f>IFERROR(__xludf.DUMMYFUNCTION("""COMPUTED_VALUE"""),"T- 5 - 18/05/2020")</f>
        <v>T- 5 - 18/05/2020</v>
      </c>
      <c r="M316" s="4" t="str">
        <f>IFERROR(__xludf.DUMMYFUNCTION("""COMPUTED_VALUE"""),"Retail is dead. Long live retail!")</f>
        <v>Retail is dead. Long live retail!</v>
      </c>
      <c r="N316" s="4" t="str">
        <f>IFERROR(__xludf.DUMMYFUNCTION("""COMPUTED_VALUE"""),"Winston Fisher, Area 15")</f>
        <v>Winston Fisher, Area 15</v>
      </c>
      <c r="O316" s="4" t="str">
        <f>IFERROR(__xludf.DUMMYFUNCTION("""COMPUTED_VALUE"""),"Ron Johnson, Enjoy")</f>
        <v>Ron Johnson, Enjoy</v>
      </c>
      <c r="P316" s="4" t="str">
        <f>IFERROR(__xludf.DUMMYFUNCTION("""COMPUTED_VALUE"""),"")</f>
        <v/>
      </c>
      <c r="Q316" s="4" t="str">
        <f>IFERROR(__xludf.DUMMYFUNCTION("""COMPUTED_VALUE"""),"")</f>
        <v/>
      </c>
      <c r="R316" s="4" t="str">
        <f>IFERROR(__xludf.DUMMYFUNCTION("""COMPUTED_VALUE"""),"Ko Im, Adweek")</f>
        <v>Ko Im, Adweek</v>
      </c>
      <c r="S316" s="4" t="str">
        <f>IFERROR(__xludf.DUMMYFUNCTION("""COMPUTED_VALUE"""),"Shopping is no longer simply about the purchase of goods and services. Meet the man driving the experiential retail revolution and get an inside look at the future of shopping, where malls will become entertainment complexes offering live events, immersiv"&amp;"e activations, art installations and more.")</f>
        <v>Shopping is no longer simply about the purchase of goods and services. Meet the man driving the experiential retail revolution and get an inside look at the future of shopping, where malls will become entertainment complexes offering live events, immersive activations, art installations and more.</v>
      </c>
      <c r="T316" s="4" t="str">
        <f>IFERROR(__xludf.DUMMYFUNCTION("""COMPUTED_VALUE"""),"NON-KEYNOTE 9 - COMPLETE")</f>
        <v>NON-KEYNOTE 9 - COMPLETE</v>
      </c>
      <c r="U316" s="23">
        <f>IFERROR(__xludf.DUMMYFUNCTION("""COMPUTED_VALUE"""),43969.0)</f>
        <v>43969</v>
      </c>
      <c r="V316" s="24">
        <f>IFERROR(__xludf.DUMMYFUNCTION("""COMPUTED_VALUE"""),0.7083333333333334)</f>
        <v>0.7083333333</v>
      </c>
      <c r="W316" s="4" t="str">
        <f>IFERROR(__xludf.DUMMYFUNCTION("""COMPUTED_VALUE"""),"COMPLETE")</f>
        <v>COMPLETE</v>
      </c>
      <c r="X316" s="4" t="str">
        <f>IFERROR(__xludf.DUMMYFUNCTION("""COMPUTED_VALUE"""),"Darren")</f>
        <v>Darren</v>
      </c>
      <c r="Y316" s="4" t="str">
        <f>IFERROR(__xludf.DUMMYFUNCTION("""COMPUTED_VALUE"""),"")</f>
        <v/>
      </c>
    </row>
    <row r="317">
      <c r="A317" s="4" t="str">
        <f>IFERROR(__xludf.DUMMYFUNCTION("""COMPUTED_VALUE"""),"1571 - Channel")</f>
        <v>1571 - Channel</v>
      </c>
      <c r="B317" s="4" t="str">
        <f>IFERROR(__xludf.DUMMYFUNCTION("""COMPUTED_VALUE"""),"Channel 1")</f>
        <v>Channel 1</v>
      </c>
      <c r="C317" s="4" t="str">
        <f>IFERROR(__xludf.DUMMYFUNCTION("""COMPUTED_VALUE"""),"Day 3 - 25/06")</f>
        <v>Day 3 - 25/06</v>
      </c>
      <c r="D317" s="4" t="str">
        <f>IFERROR(__xludf.DUMMYFUNCTION("""COMPUTED_VALUE"""),"")</f>
        <v/>
      </c>
      <c r="E317" s="4" t="str">
        <f>IFERROR(__xludf.DUMMYFUNCTION("""COMPUTED_VALUE"""),"")</f>
        <v/>
      </c>
      <c r="F317" s="4" t="str">
        <f>IFERROR(__xludf.DUMMYFUNCTION("""COMPUTED_VALUE"""),"")</f>
        <v/>
      </c>
      <c r="G317" s="4" t="str">
        <f>IFERROR(__xludf.DUMMYFUNCTION("""COMPUTED_VALUE"""),"")</f>
        <v/>
      </c>
      <c r="H317" s="4" t="str">
        <f>IFERROR(__xludf.DUMMYFUNCTION("""COMPUTED_VALUE"""),"")</f>
        <v/>
      </c>
      <c r="I317" s="4" t="str">
        <f>IFERROR(__xludf.DUMMYFUNCTION("""COMPUTED_VALUE"""),"")</f>
        <v/>
      </c>
      <c r="J317" s="4" t="str">
        <f>IFERROR(__xludf.DUMMYFUNCTION("""COMPUTED_VALUE"""),"")</f>
        <v/>
      </c>
      <c r="K317" s="4" t="str">
        <f>IFERROR(__xludf.DUMMYFUNCTION("""COMPUTED_VALUE"""),"")</f>
        <v/>
      </c>
      <c r="L317" s="4" t="str">
        <f>IFERROR(__xludf.DUMMYFUNCTION("""COMPUTED_VALUE"""),"")</f>
        <v/>
      </c>
      <c r="M317" s="4" t="str">
        <f>IFERROR(__xludf.DUMMYFUNCTION("""COMPUTED_VALUE"""),"")</f>
        <v/>
      </c>
      <c r="N317" s="4" t="str">
        <f>IFERROR(__xludf.DUMMYFUNCTION("""COMPUTED_VALUE"""),"")</f>
        <v/>
      </c>
      <c r="O317" s="4" t="str">
        <f>IFERROR(__xludf.DUMMYFUNCTION("""COMPUTED_VALUE"""),"")</f>
        <v/>
      </c>
      <c r="P317" s="4" t="str">
        <f>IFERROR(__xludf.DUMMYFUNCTION("""COMPUTED_VALUE"""),"")</f>
        <v/>
      </c>
      <c r="Q317" s="4" t="str">
        <f>IFERROR(__xludf.DUMMYFUNCTION("""COMPUTED_VALUE"""),"")</f>
        <v/>
      </c>
      <c r="R317" s="4" t="str">
        <f>IFERROR(__xludf.DUMMYFUNCTION("""COMPUTED_VALUE"""),"")</f>
        <v/>
      </c>
      <c r="S317" s="4" t="str">
        <f>IFERROR(__xludf.DUMMYFUNCTION("""COMPUTED_VALUE"""),"")</f>
        <v/>
      </c>
      <c r="T317" s="4" t="str">
        <f>IFERROR(__xludf.DUMMYFUNCTION("""COMPUTED_VALUE"""),"")</f>
        <v/>
      </c>
      <c r="U317" s="4" t="str">
        <f>IFERROR(__xludf.DUMMYFUNCTION("""COMPUTED_VALUE"""),"")</f>
        <v/>
      </c>
      <c r="V317" s="4" t="str">
        <f>IFERROR(__xludf.DUMMYFUNCTION("""COMPUTED_VALUE"""),"")</f>
        <v/>
      </c>
      <c r="W317" s="4" t="str">
        <f>IFERROR(__xludf.DUMMYFUNCTION("""COMPUTED_VALUE"""),"")</f>
        <v/>
      </c>
      <c r="X317" s="4" t="str">
        <f>IFERROR(__xludf.DUMMYFUNCTION("""COMPUTED_VALUE"""),"")</f>
        <v/>
      </c>
      <c r="Y317" s="4" t="str">
        <f>IFERROR(__xludf.DUMMYFUNCTION("""COMPUTED_VALUE"""),"")</f>
        <v/>
      </c>
    </row>
    <row r="318">
      <c r="A318" s="4" t="str">
        <f>IFERROR(__xludf.DUMMYFUNCTION("""COMPUTED_VALUE"""),"314 - Channel")</f>
        <v>314 - Channel</v>
      </c>
      <c r="B318" s="4" t="str">
        <f>IFERROR(__xludf.DUMMYFUNCTION("""COMPUTED_VALUE"""),"Channel 1")</f>
        <v>Channel 1</v>
      </c>
      <c r="C318" s="4" t="str">
        <f>IFERROR(__xludf.DUMMYFUNCTION("""COMPUTED_VALUE"""),"Day 3 - 25/06")</f>
        <v>Day 3 - 25/06</v>
      </c>
      <c r="D318" s="6">
        <f>IFERROR(__xludf.DUMMYFUNCTION("""COMPUTED_VALUE"""),0.5443865740740741)</f>
        <v>0.5443865741</v>
      </c>
      <c r="E318" s="6">
        <f>IFERROR(__xludf.DUMMYFUNCTION("""COMPUTED_VALUE"""),3.4722222222222224E-4)</f>
        <v>0.0003472222222</v>
      </c>
      <c r="F318" s="6">
        <f>IFERROR(__xludf.DUMMYFUNCTION("""COMPUTED_VALUE"""),0.5447337962962964)</f>
        <v>0.5447337963</v>
      </c>
      <c r="G318" s="4" t="str">
        <f>IFERROR(__xludf.DUMMYFUNCTION("""COMPUTED_VALUE"""),"Video")</f>
        <v>Video</v>
      </c>
      <c r="H318" s="4" t="str">
        <f>IFERROR(__xludf.DUMMYFUNCTION("""COMPUTED_VALUE"""),"")</f>
        <v/>
      </c>
      <c r="I318" s="4" t="str">
        <f>IFERROR(__xludf.DUMMYFUNCTION("""COMPUTED_VALUE"""),"")</f>
        <v/>
      </c>
      <c r="J318" s="4" t="str">
        <f>IFERROR(__xludf.DUMMYFUNCTION("""COMPUTED_VALUE"""),"")</f>
        <v/>
      </c>
      <c r="K318" s="4" t="str">
        <f>IFERROR(__xludf.DUMMYFUNCTION("""COMPUTED_VALUE"""),"RISE Trailer")</f>
        <v>RISE Trailer</v>
      </c>
      <c r="L318" s="4" t="str">
        <f>IFERROR(__xludf.DUMMYFUNCTION("""COMPUTED_VALUE"""),"")</f>
        <v/>
      </c>
      <c r="M318" s="4" t="str">
        <f>IFERROR(__xludf.DUMMYFUNCTION("""COMPUTED_VALUE"""),"RISE promo")</f>
        <v>RISE promo</v>
      </c>
      <c r="N318" s="4" t="str">
        <f>IFERROR(__xludf.DUMMYFUNCTION("""COMPUTED_VALUE"""),"Content pending")</f>
        <v>Content pending</v>
      </c>
      <c r="O318" s="4" t="str">
        <f>IFERROR(__xludf.DUMMYFUNCTION("""COMPUTED_VALUE"""),"")</f>
        <v/>
      </c>
      <c r="P318" s="4" t="str">
        <f>IFERROR(__xludf.DUMMYFUNCTION("""COMPUTED_VALUE"""),"")</f>
        <v/>
      </c>
      <c r="Q318" s="4" t="str">
        <f>IFERROR(__xludf.DUMMYFUNCTION("""COMPUTED_VALUE"""),"")</f>
        <v/>
      </c>
      <c r="R318" s="4" t="str">
        <f>IFERROR(__xludf.DUMMYFUNCTION("""COMPUTED_VALUE"""),"")</f>
        <v/>
      </c>
      <c r="S318" s="4" t="str">
        <f>IFERROR(__xludf.DUMMYFUNCTION("""COMPUTED_VALUE"""),"")</f>
        <v/>
      </c>
      <c r="T318" s="4" t="str">
        <f>IFERROR(__xludf.DUMMYFUNCTION("""COMPUTED_VALUE"""),"")</f>
        <v/>
      </c>
      <c r="U318" s="4" t="str">
        <f>IFERROR(__xludf.DUMMYFUNCTION("""COMPUTED_VALUE"""),"")</f>
        <v/>
      </c>
      <c r="V318" s="4" t="str">
        <f>IFERROR(__xludf.DUMMYFUNCTION("""COMPUTED_VALUE"""),"")</f>
        <v/>
      </c>
      <c r="W318" s="4" t="str">
        <f>IFERROR(__xludf.DUMMYFUNCTION("""COMPUTED_VALUE"""),"")</f>
        <v/>
      </c>
      <c r="X318" s="4" t="str">
        <f>IFERROR(__xludf.DUMMYFUNCTION("""COMPUTED_VALUE"""),"")</f>
        <v/>
      </c>
      <c r="Y318" s="4" t="str">
        <f>IFERROR(__xludf.DUMMYFUNCTION("""COMPUTED_VALUE"""),"")</f>
        <v/>
      </c>
    </row>
    <row r="319">
      <c r="A319" s="4" t="str">
        <f>IFERROR(__xludf.DUMMYFUNCTION("""COMPUTED_VALUE"""),"315 - Channel")</f>
        <v>315 - Channel</v>
      </c>
      <c r="B319" s="4" t="str">
        <f>IFERROR(__xludf.DUMMYFUNCTION("""COMPUTED_VALUE"""),"Channel 1")</f>
        <v>Channel 1</v>
      </c>
      <c r="C319" s="4" t="str">
        <f>IFERROR(__xludf.DUMMYFUNCTION("""COMPUTED_VALUE"""),"Day 3 - 25/06")</f>
        <v>Day 3 - 25/06</v>
      </c>
      <c r="D319" s="6">
        <f>IFERROR(__xludf.DUMMYFUNCTION("""COMPUTED_VALUE"""),0.5447337962962964)</f>
        <v>0.5447337963</v>
      </c>
      <c r="E319" s="6">
        <f>IFERROR(__xludf.DUMMYFUNCTION("""COMPUTED_VALUE"""),6.944444444444445E-4)</f>
        <v>0.0006944444444</v>
      </c>
      <c r="F319" s="6">
        <f>IFERROR(__xludf.DUMMYFUNCTION("""COMPUTED_VALUE"""),0.5454282407407408)</f>
        <v>0.5454282407</v>
      </c>
      <c r="G319" s="4" t="str">
        <f>IFERROR(__xludf.DUMMYFUNCTION("""COMPUTED_VALUE"""),"")</f>
        <v/>
      </c>
      <c r="H319" s="4" t="str">
        <f>IFERROR(__xludf.DUMMYFUNCTION("""COMPUTED_VALUE"""),"")</f>
        <v/>
      </c>
      <c r="I319" s="4" t="str">
        <f>IFERROR(__xludf.DUMMYFUNCTION("""COMPUTED_VALUE"""),"")</f>
        <v/>
      </c>
      <c r="J319" s="4" t="str">
        <f>IFERROR(__xludf.DUMMYFUNCTION("""COMPUTED_VALUE"""),"")</f>
        <v/>
      </c>
      <c r="K319" s="4" t="str">
        <f>IFERROR(__xludf.DUMMYFUNCTION("""COMPUTED_VALUE"""),"Laundry List/Lookaround")</f>
        <v>Laundry List/Lookaround</v>
      </c>
      <c r="L319" s="4" t="str">
        <f>IFERROR(__xludf.DUMMYFUNCTION("""COMPUTED_VALUE"""),"")</f>
        <v/>
      </c>
      <c r="M319" s="4" t="str">
        <f>IFERROR(__xludf.DUMMYFUNCTION("""COMPUTED_VALUE"""),"Laundry Day3_1PM")</f>
        <v>Laundry Day3_1PM</v>
      </c>
      <c r="N319" s="4" t="str">
        <f>IFERROR(__xludf.DUMMYFUNCTION("""COMPUTED_VALUE"""),"Sunil Sharma, Web Summit")</f>
        <v>Sunil Sharma, Web Summit</v>
      </c>
      <c r="O319" s="4" t="str">
        <f>IFERROR(__xludf.DUMMYFUNCTION("""COMPUTED_VALUE"""),"")</f>
        <v/>
      </c>
      <c r="P319" s="4" t="str">
        <f>IFERROR(__xludf.DUMMYFUNCTION("""COMPUTED_VALUE"""),"")</f>
        <v/>
      </c>
      <c r="Q319" s="4" t="str">
        <f>IFERROR(__xludf.DUMMYFUNCTION("""COMPUTED_VALUE"""),"")</f>
        <v/>
      </c>
      <c r="R319" s="4" t="str">
        <f>IFERROR(__xludf.DUMMYFUNCTION("""COMPUTED_VALUE"""),"")</f>
        <v/>
      </c>
      <c r="S319" s="4" t="str">
        <f>IFERROR(__xludf.DUMMYFUNCTION("""COMPUTED_VALUE"""),"")</f>
        <v/>
      </c>
      <c r="T319" s="4" t="str">
        <f>IFERROR(__xludf.DUMMYFUNCTION("""COMPUTED_VALUE"""),"")</f>
        <v/>
      </c>
      <c r="U319" s="4" t="str">
        <f>IFERROR(__xludf.DUMMYFUNCTION("""COMPUTED_VALUE"""),"")</f>
        <v/>
      </c>
      <c r="V319" s="4" t="str">
        <f>IFERROR(__xludf.DUMMYFUNCTION("""COMPUTED_VALUE"""),"")</f>
        <v/>
      </c>
      <c r="W319" s="4" t="str">
        <f>IFERROR(__xludf.DUMMYFUNCTION("""COMPUTED_VALUE"""),"")</f>
        <v/>
      </c>
      <c r="X319" s="4" t="str">
        <f>IFERROR(__xludf.DUMMYFUNCTION("""COMPUTED_VALUE"""),"")</f>
        <v/>
      </c>
      <c r="Y319" s="4" t="str">
        <f>IFERROR(__xludf.DUMMYFUNCTION("""COMPUTED_VALUE"""),"")</f>
        <v/>
      </c>
    </row>
    <row r="320">
      <c r="A320" s="4" t="str">
        <f>IFERROR(__xludf.DUMMYFUNCTION("""COMPUTED_VALUE"""),"2269 - Channel")</f>
        <v>2269 - Channel</v>
      </c>
      <c r="B320" s="4" t="str">
        <f>IFERROR(__xludf.DUMMYFUNCTION("""COMPUTED_VALUE"""),"Channel 1")</f>
        <v>Channel 1</v>
      </c>
      <c r="C320" s="4" t="str">
        <f>IFERROR(__xludf.DUMMYFUNCTION("""COMPUTED_VALUE"""),"Day 3 - 25/06")</f>
        <v>Day 3 - 25/06</v>
      </c>
      <c r="D320" s="6">
        <f>IFERROR(__xludf.DUMMYFUNCTION("""COMPUTED_VALUE"""),0.5454282407407408)</f>
        <v>0.5454282407</v>
      </c>
      <c r="E320" s="6">
        <f>IFERROR(__xludf.DUMMYFUNCTION("""COMPUTED_VALUE"""),2.314814814814815E-4)</f>
        <v>0.0002314814815</v>
      </c>
      <c r="F320" s="6">
        <f>IFERROR(__xludf.DUMMYFUNCTION("""COMPUTED_VALUE"""),0.5456597222222223)</f>
        <v>0.5456597222</v>
      </c>
      <c r="G320" s="4" t="str">
        <f>IFERROR(__xludf.DUMMYFUNCTION("""COMPUTED_VALUE"""),"")</f>
        <v/>
      </c>
      <c r="H320" s="4" t="str">
        <f>IFERROR(__xludf.DUMMYFUNCTION("""COMPUTED_VALUE"""),"")</f>
        <v/>
      </c>
      <c r="I320" s="4" t="str">
        <f>IFERROR(__xludf.DUMMYFUNCTION("""COMPUTED_VALUE"""),"")</f>
        <v/>
      </c>
      <c r="J320" s="4" t="str">
        <f>IFERROR(__xludf.DUMMYFUNCTION("""COMPUTED_VALUE"""),"")</f>
        <v/>
      </c>
      <c r="K320" s="4" t="str">
        <f>IFERROR(__xludf.DUMMYFUNCTION("""COMPUTED_VALUE"""),"Talk Intro")</f>
        <v>Talk Intro</v>
      </c>
      <c r="L320" s="4" t="str">
        <f>IFERROR(__xludf.DUMMYFUNCTION("""COMPUTED_VALUE"""),"")</f>
        <v/>
      </c>
      <c r="M320" s="4" t="str">
        <f>IFERROR(__xludf.DUMMYFUNCTION("""COMPUTED_VALUE"""),"Talk Intro")</f>
        <v>Talk Intro</v>
      </c>
      <c r="N320" s="4" t="str">
        <f>IFERROR(__xludf.DUMMYFUNCTION("""COMPUTED_VALUE"""),"Paddy Cosgrave, Web Summit")</f>
        <v>Paddy Cosgrave, Web Summit</v>
      </c>
      <c r="O320" s="4" t="str">
        <f>IFERROR(__xludf.DUMMYFUNCTION("""COMPUTED_VALUE"""),"Sunil Sharma, Web Summit")</f>
        <v>Sunil Sharma, Web Summit</v>
      </c>
      <c r="P320" s="4" t="str">
        <f>IFERROR(__xludf.DUMMYFUNCTION("""COMPUTED_VALUE"""),"")</f>
        <v/>
      </c>
      <c r="Q320" s="4" t="str">
        <f>IFERROR(__xludf.DUMMYFUNCTION("""COMPUTED_VALUE"""),"")</f>
        <v/>
      </c>
      <c r="R320" s="4" t="str">
        <f>IFERROR(__xludf.DUMMYFUNCTION("""COMPUTED_VALUE"""),"")</f>
        <v/>
      </c>
      <c r="S320" s="4" t="str">
        <f>IFERROR(__xludf.DUMMYFUNCTION("""COMPUTED_VALUE"""),"")</f>
        <v/>
      </c>
      <c r="T320" s="4" t="str">
        <f>IFERROR(__xludf.DUMMYFUNCTION("""COMPUTED_VALUE"""),"")</f>
        <v/>
      </c>
      <c r="U320" s="4" t="str">
        <f>IFERROR(__xludf.DUMMYFUNCTION("""COMPUTED_VALUE"""),"")</f>
        <v/>
      </c>
      <c r="V320" s="4" t="str">
        <f>IFERROR(__xludf.DUMMYFUNCTION("""COMPUTED_VALUE"""),"")</f>
        <v/>
      </c>
      <c r="W320" s="4" t="str">
        <f>IFERROR(__xludf.DUMMYFUNCTION("""COMPUTED_VALUE"""),"")</f>
        <v/>
      </c>
      <c r="X320" s="4" t="str">
        <f>IFERROR(__xludf.DUMMYFUNCTION("""COMPUTED_VALUE"""),"")</f>
        <v/>
      </c>
      <c r="Y320" s="4" t="str">
        <f>IFERROR(__xludf.DUMMYFUNCTION("""COMPUTED_VALUE"""),"")</f>
        <v/>
      </c>
    </row>
    <row r="321">
      <c r="A321" s="4" t="str">
        <f>IFERROR(__xludf.DUMMYFUNCTION("""COMPUTED_VALUE"""),"2270 - Channel")</f>
        <v>2270 - Channel</v>
      </c>
      <c r="B321" s="4" t="str">
        <f>IFERROR(__xludf.DUMMYFUNCTION("""COMPUTED_VALUE"""),"Channel 1")</f>
        <v>Channel 1</v>
      </c>
      <c r="C321" s="4" t="str">
        <f>IFERROR(__xludf.DUMMYFUNCTION("""COMPUTED_VALUE"""),"Day 3 - 25/06")</f>
        <v>Day 3 - 25/06</v>
      </c>
      <c r="D321" s="6">
        <f>IFERROR(__xludf.DUMMYFUNCTION("""COMPUTED_VALUE"""),0.5456597222222223)</f>
        <v>0.5456597222</v>
      </c>
      <c r="E321" s="6">
        <f>IFERROR(__xludf.DUMMYFUNCTION("""COMPUTED_VALUE"""),0.010416666666666666)</f>
        <v>0.01041666667</v>
      </c>
      <c r="F321" s="6">
        <f>IFERROR(__xludf.DUMMYFUNCTION("""COMPUTED_VALUE"""),0.5560763888888889)</f>
        <v>0.5560763889</v>
      </c>
      <c r="G321" s="4" t="str">
        <f>IFERROR(__xludf.DUMMYFUNCTION("""COMPUTED_VALUE"""),"Lobna")</f>
        <v>Lobna</v>
      </c>
      <c r="H321" s="4" t="str">
        <f>IFERROR(__xludf.DUMMYFUNCTION("""COMPUTED_VALUE"""),"Stephen")</f>
        <v>Stephen</v>
      </c>
      <c r="I321" s="4" t="str">
        <f>IFERROR(__xludf.DUMMYFUNCTION("""COMPUTED_VALUE"""),"Lucia H.")</f>
        <v>Lucia H.</v>
      </c>
      <c r="J321" s="4" t="str">
        <f>IFERROR(__xludf.DUMMYFUNCTION("""COMPUTED_VALUE"""),"")</f>
        <v/>
      </c>
      <c r="K321" s="4" t="str">
        <f>IFERROR(__xludf.DUMMYFUNCTION("""COMPUTED_VALUE"""),"Super Fireside")</f>
        <v>Super Fireside</v>
      </c>
      <c r="L321" s="4" t="str">
        <f>IFERROR(__xludf.DUMMYFUNCTION("""COMPUTED_VALUE"""),"T- 3 - 01/06/2020")</f>
        <v>T- 3 - 01/06/2020</v>
      </c>
      <c r="M321" s="4" t="str">
        <f>IFERROR(__xludf.DUMMYFUNCTION("""COMPUTED_VALUE"""),"Do we really need offices? A workplace story ")</f>
        <v>Do we really need offices? A workplace story </v>
      </c>
      <c r="N321" s="4" t="str">
        <f>IFERROR(__xludf.DUMMYFUNCTION("""COMPUTED_VALUE"""),"Anne Marie Squeo, Xerox")</f>
        <v>Anne Marie Squeo, Xerox</v>
      </c>
      <c r="O321" s="4" t="str">
        <f>IFERROR(__xludf.DUMMYFUNCTION("""COMPUTED_VALUE"""),"Maud Meister, Code and Theory")</f>
        <v>Maud Meister, Code and Theory</v>
      </c>
      <c r="P321" s="4" t="str">
        <f>IFERROR(__xludf.DUMMYFUNCTION("""COMPUTED_VALUE"""),"")</f>
        <v/>
      </c>
      <c r="Q321" s="4" t="str">
        <f>IFERROR(__xludf.DUMMYFUNCTION("""COMPUTED_VALUE"""),"")</f>
        <v/>
      </c>
      <c r="R321" s="4" t="str">
        <f>IFERROR(__xludf.DUMMYFUNCTION("""COMPUTED_VALUE"""),"Jared Lindzon, The Globe and Mail")</f>
        <v>Jared Lindzon, The Globe and Mail</v>
      </c>
      <c r="S321" s="4" t="str">
        <f>IFERROR(__xludf.DUMMYFUNCTION("""COMPUTED_VALUE"""),"One of the world's leading authorities on workplace culture sits down with a company that is leading brands' creative campaigns as they reinvent themselves through the pandemic and beyond. The two share thoughts and data about the work-from-home revolutio"&amp;"n, and how it will change offices for good.")</f>
        <v>One of the world's leading authorities on workplace culture sits down with a company that is leading brands' creative campaigns as they reinvent themselves through the pandemic and beyond. The two share thoughts and data about the work-from-home revolution, and how it will change offices for good.</v>
      </c>
      <c r="T321" s="4" t="str">
        <f>IFERROR(__xludf.DUMMYFUNCTION("""COMPUTED_VALUE"""),"NON-KEYNOTE 9 - COMPLETE")</f>
        <v>NON-KEYNOTE 9 - COMPLETE</v>
      </c>
      <c r="U321" s="23">
        <f>IFERROR(__xludf.DUMMYFUNCTION("""COMPUTED_VALUE"""),43984.0)</f>
        <v>43984</v>
      </c>
      <c r="V321" s="24">
        <f>IFERROR(__xludf.DUMMYFUNCTION("""COMPUTED_VALUE"""),0.75)</f>
        <v>0.75</v>
      </c>
      <c r="W321" s="4" t="str">
        <f>IFERROR(__xludf.DUMMYFUNCTION("""COMPUTED_VALUE"""),"COMPLETE")</f>
        <v>COMPLETE</v>
      </c>
      <c r="X321" s="4" t="str">
        <f>IFERROR(__xludf.DUMMYFUNCTION("""COMPUTED_VALUE"""),"Hugh")</f>
        <v>Hugh</v>
      </c>
      <c r="Y321" s="4" t="str">
        <f>IFERROR(__xludf.DUMMYFUNCTION("""COMPUTED_VALUE"""),"")</f>
        <v/>
      </c>
    </row>
    <row r="322">
      <c r="A322" s="4" t="str">
        <f>IFERROR(__xludf.DUMMYFUNCTION("""COMPUTED_VALUE"""),"319 - Channel")</f>
        <v>319 - Channel</v>
      </c>
      <c r="B322" s="4" t="str">
        <f>IFERROR(__xludf.DUMMYFUNCTION("""COMPUTED_VALUE"""),"Channel 1")</f>
        <v>Channel 1</v>
      </c>
      <c r="C322" s="4" t="str">
        <f>IFERROR(__xludf.DUMMYFUNCTION("""COMPUTED_VALUE"""),"Day 3 - 25/06")</f>
        <v>Day 3 - 25/06</v>
      </c>
      <c r="D322" s="6">
        <f>IFERROR(__xludf.DUMMYFUNCTION("""COMPUTED_VALUE"""),0.5560763888888889)</f>
        <v>0.5560763889</v>
      </c>
      <c r="E322" s="6">
        <f>IFERROR(__xludf.DUMMYFUNCTION("""COMPUTED_VALUE"""),2.314814814814815E-4)</f>
        <v>0.0002314814815</v>
      </c>
      <c r="F322" s="6">
        <f>IFERROR(__xludf.DUMMYFUNCTION("""COMPUTED_VALUE"""),0.5563078703703703)</f>
        <v>0.5563078704</v>
      </c>
      <c r="G322" s="4" t="str">
        <f>IFERROR(__xludf.DUMMYFUNCTION("""COMPUTED_VALUE"""),"")</f>
        <v/>
      </c>
      <c r="H322" s="4" t="str">
        <f>IFERROR(__xludf.DUMMYFUNCTION("""COMPUTED_VALUE"""),"")</f>
        <v/>
      </c>
      <c r="I322" s="4" t="str">
        <f>IFERROR(__xludf.DUMMYFUNCTION("""COMPUTED_VALUE"""),"")</f>
        <v/>
      </c>
      <c r="J322" s="4" t="str">
        <f>IFERROR(__xludf.DUMMYFUNCTION("""COMPUTED_VALUE"""),"")</f>
        <v/>
      </c>
      <c r="K322" s="4" t="str">
        <f>IFERROR(__xludf.DUMMYFUNCTION("""COMPUTED_VALUE"""),"Talk Intro")</f>
        <v>Talk Intro</v>
      </c>
      <c r="L322" s="4" t="str">
        <f>IFERROR(__xludf.DUMMYFUNCTION("""COMPUTED_VALUE"""),"")</f>
        <v/>
      </c>
      <c r="M322" s="4" t="str">
        <f>IFERROR(__xludf.DUMMYFUNCTION("""COMPUTED_VALUE"""),"Teaser: Max Levchin _Intro")</f>
        <v>Teaser: Max Levchin _Intro</v>
      </c>
      <c r="N322" s="4" t="str">
        <f>IFERROR(__xludf.DUMMYFUNCTION("""COMPUTED_VALUE"""),"Sunil Sharma, Web Summit")</f>
        <v>Sunil Sharma, Web Summit</v>
      </c>
      <c r="O322" s="4" t="str">
        <f>IFERROR(__xludf.DUMMYFUNCTION("""COMPUTED_VALUE"""),"")</f>
        <v/>
      </c>
      <c r="P322" s="4" t="str">
        <f>IFERROR(__xludf.DUMMYFUNCTION("""COMPUTED_VALUE"""),"")</f>
        <v/>
      </c>
      <c r="Q322" s="4" t="str">
        <f>IFERROR(__xludf.DUMMYFUNCTION("""COMPUTED_VALUE"""),"")</f>
        <v/>
      </c>
      <c r="R322" s="4" t="str">
        <f>IFERROR(__xludf.DUMMYFUNCTION("""COMPUTED_VALUE"""),"")</f>
        <v/>
      </c>
      <c r="S322" s="4" t="str">
        <f>IFERROR(__xludf.DUMMYFUNCTION("""COMPUTED_VALUE"""),"")</f>
        <v/>
      </c>
      <c r="T322" s="4" t="str">
        <f>IFERROR(__xludf.DUMMYFUNCTION("""COMPUTED_VALUE"""),"")</f>
        <v/>
      </c>
      <c r="U322" s="4" t="str">
        <f>IFERROR(__xludf.DUMMYFUNCTION("""COMPUTED_VALUE"""),"")</f>
        <v/>
      </c>
      <c r="V322" s="4" t="str">
        <f>IFERROR(__xludf.DUMMYFUNCTION("""COMPUTED_VALUE"""),"")</f>
        <v/>
      </c>
      <c r="W322" s="4" t="str">
        <f>IFERROR(__xludf.DUMMYFUNCTION("""COMPUTED_VALUE"""),"")</f>
        <v/>
      </c>
      <c r="X322" s="4" t="str">
        <f>IFERROR(__xludf.DUMMYFUNCTION("""COMPUTED_VALUE"""),"")</f>
        <v/>
      </c>
      <c r="Y322" s="4" t="str">
        <f>IFERROR(__xludf.DUMMYFUNCTION("""COMPUTED_VALUE"""),"")</f>
        <v/>
      </c>
    </row>
    <row r="323">
      <c r="A323" s="4" t="str">
        <f>IFERROR(__xludf.DUMMYFUNCTION("""COMPUTED_VALUE"""),"320 - Channel")</f>
        <v>320 - Channel</v>
      </c>
      <c r="B323" s="4" t="str">
        <f>IFERROR(__xludf.DUMMYFUNCTION("""COMPUTED_VALUE"""),"Channel 1")</f>
        <v>Channel 1</v>
      </c>
      <c r="C323" s="4" t="str">
        <f>IFERROR(__xludf.DUMMYFUNCTION("""COMPUTED_VALUE"""),"Day 3 - 25/06")</f>
        <v>Day 3 - 25/06</v>
      </c>
      <c r="D323" s="6">
        <f>IFERROR(__xludf.DUMMYFUNCTION("""COMPUTED_VALUE"""),0.5563078703703703)</f>
        <v>0.5563078704</v>
      </c>
      <c r="E323" s="6">
        <f>IFERROR(__xludf.DUMMYFUNCTION("""COMPUTED_VALUE"""),0.0020833333333333333)</f>
        <v>0.002083333333</v>
      </c>
      <c r="F323" s="6">
        <f>IFERROR(__xludf.DUMMYFUNCTION("""COMPUTED_VALUE"""),0.5583912037037037)</f>
        <v>0.5583912037</v>
      </c>
      <c r="G323" s="4" t="str">
        <f>IFERROR(__xludf.DUMMYFUNCTION("""COMPUTED_VALUE"""),"")</f>
        <v/>
      </c>
      <c r="H323" s="4" t="str">
        <f>IFERROR(__xludf.DUMMYFUNCTION("""COMPUTED_VALUE"""),"Stephen")</f>
        <v>Stephen</v>
      </c>
      <c r="I323" s="4" t="str">
        <f>IFERROR(__xludf.DUMMYFUNCTION("""COMPUTED_VALUE"""),"Manon")</f>
        <v>Manon</v>
      </c>
      <c r="J323" s="4" t="str">
        <f>IFERROR(__xludf.DUMMYFUNCTION("""COMPUTED_VALUE"""),"Finance")</f>
        <v>Finance</v>
      </c>
      <c r="K323" s="4" t="str">
        <f>IFERROR(__xludf.DUMMYFUNCTION("""COMPUTED_VALUE"""),"Teaser")</f>
        <v>Teaser</v>
      </c>
      <c r="L323" s="4" t="str">
        <f>IFERROR(__xludf.DUMMYFUNCTION("""COMPUTED_VALUE"""),"")</f>
        <v/>
      </c>
      <c r="M323" s="4" t="str">
        <f>IFERROR(__xludf.DUMMYFUNCTION("""COMPUTED_VALUE"""),"Teaser: Max Levchin ")</f>
        <v>Teaser: Max Levchin </v>
      </c>
      <c r="N323" s="4" t="str">
        <f>IFERROR(__xludf.DUMMYFUNCTION("""COMPUTED_VALUE"""),"")</f>
        <v/>
      </c>
      <c r="O323" s="4" t="str">
        <f>IFERROR(__xludf.DUMMYFUNCTION("""COMPUTED_VALUE"""),"")</f>
        <v/>
      </c>
      <c r="P323" s="4" t="str">
        <f>IFERROR(__xludf.DUMMYFUNCTION("""COMPUTED_VALUE"""),"")</f>
        <v/>
      </c>
      <c r="Q323" s="4" t="str">
        <f>IFERROR(__xludf.DUMMYFUNCTION("""COMPUTED_VALUE"""),"")</f>
        <v/>
      </c>
      <c r="R323" s="4" t="str">
        <f>IFERROR(__xludf.DUMMYFUNCTION("""COMPUTED_VALUE"""),"")</f>
        <v/>
      </c>
      <c r="S323" s="4" t="str">
        <f>IFERROR(__xludf.DUMMYFUNCTION("""COMPUTED_VALUE"""),"")</f>
        <v/>
      </c>
      <c r="T323" s="4" t="str">
        <f>IFERROR(__xludf.DUMMYFUNCTION("""COMPUTED_VALUE"""),"N/A")</f>
        <v>N/A</v>
      </c>
      <c r="U323" s="4" t="str">
        <f>IFERROR(__xludf.DUMMYFUNCTION("""COMPUTED_VALUE"""),"")</f>
        <v/>
      </c>
      <c r="V323" s="4" t="str">
        <f>IFERROR(__xludf.DUMMYFUNCTION("""COMPUTED_VALUE"""),"")</f>
        <v/>
      </c>
      <c r="W323" s="4" t="str">
        <f>IFERROR(__xludf.DUMMYFUNCTION("""COMPUTED_VALUE"""),"")</f>
        <v/>
      </c>
      <c r="X323" s="4" t="str">
        <f>IFERROR(__xludf.DUMMYFUNCTION("""COMPUTED_VALUE"""),"")</f>
        <v/>
      </c>
      <c r="Y323" s="4" t="str">
        <f>IFERROR(__xludf.DUMMYFUNCTION("""COMPUTED_VALUE"""),"")</f>
        <v/>
      </c>
    </row>
    <row r="324">
      <c r="A324" s="4" t="str">
        <f>IFERROR(__xludf.DUMMYFUNCTION("""COMPUTED_VALUE"""),"2261 - Channel")</f>
        <v>2261 - Channel</v>
      </c>
      <c r="B324" s="4" t="str">
        <f>IFERROR(__xludf.DUMMYFUNCTION("""COMPUTED_VALUE"""),"Channel 1")</f>
        <v>Channel 1</v>
      </c>
      <c r="C324" s="4" t="str">
        <f>IFERROR(__xludf.DUMMYFUNCTION("""COMPUTED_VALUE"""),"Day 3 - 25/06")</f>
        <v>Day 3 - 25/06</v>
      </c>
      <c r="D324" s="6">
        <f>IFERROR(__xludf.DUMMYFUNCTION("""COMPUTED_VALUE"""),0.5583912037037037)</f>
        <v>0.5583912037</v>
      </c>
      <c r="E324" s="6">
        <f>IFERROR(__xludf.DUMMYFUNCTION("""COMPUTED_VALUE"""),2.314814814814815E-4)</f>
        <v>0.0002314814815</v>
      </c>
      <c r="F324" s="6">
        <f>IFERROR(__xludf.DUMMYFUNCTION("""COMPUTED_VALUE"""),0.5586226851851851)</f>
        <v>0.5586226852</v>
      </c>
      <c r="G324" s="4" t="str">
        <f>IFERROR(__xludf.DUMMYFUNCTION("""COMPUTED_VALUE"""),"")</f>
        <v/>
      </c>
      <c r="H324" s="4" t="str">
        <f>IFERROR(__xludf.DUMMYFUNCTION("""COMPUTED_VALUE"""),"")</f>
        <v/>
      </c>
      <c r="I324" s="4" t="str">
        <f>IFERROR(__xludf.DUMMYFUNCTION("""COMPUTED_VALUE"""),"")</f>
        <v/>
      </c>
      <c r="J324" s="4" t="str">
        <f>IFERROR(__xludf.DUMMYFUNCTION("""COMPUTED_VALUE"""),"")</f>
        <v/>
      </c>
      <c r="K324" s="4" t="str">
        <f>IFERROR(__xludf.DUMMYFUNCTION("""COMPUTED_VALUE"""),"Talk Outro")</f>
        <v>Talk Outro</v>
      </c>
      <c r="L324" s="4" t="str">
        <f>IFERROR(__xludf.DUMMYFUNCTION("""COMPUTED_VALUE"""),"")</f>
        <v/>
      </c>
      <c r="M324" s="4" t="str">
        <f>IFERROR(__xludf.DUMMYFUNCTION("""COMPUTED_VALUE"""),"Call to action")</f>
        <v>Call to action</v>
      </c>
      <c r="N324" s="4" t="str">
        <f>IFERROR(__xludf.DUMMYFUNCTION("""COMPUTED_VALUE"""),"Sunil Sharma, Web Summit")</f>
        <v>Sunil Sharma, Web Summit</v>
      </c>
      <c r="O324" s="4" t="str">
        <f>IFERROR(__xludf.DUMMYFUNCTION("""COMPUTED_VALUE"""),"")</f>
        <v/>
      </c>
      <c r="P324" s="4" t="str">
        <f>IFERROR(__xludf.DUMMYFUNCTION("""COMPUTED_VALUE"""),"")</f>
        <v/>
      </c>
      <c r="Q324" s="4" t="str">
        <f>IFERROR(__xludf.DUMMYFUNCTION("""COMPUTED_VALUE"""),"")</f>
        <v/>
      </c>
      <c r="R324" s="4" t="str">
        <f>IFERROR(__xludf.DUMMYFUNCTION("""COMPUTED_VALUE"""),"")</f>
        <v/>
      </c>
      <c r="S324" s="4" t="str">
        <f>IFERROR(__xludf.DUMMYFUNCTION("""COMPUTED_VALUE"""),"")</f>
        <v/>
      </c>
      <c r="T324" s="4" t="str">
        <f>IFERROR(__xludf.DUMMYFUNCTION("""COMPUTED_VALUE"""),"")</f>
        <v/>
      </c>
      <c r="U324" s="4" t="str">
        <f>IFERROR(__xludf.DUMMYFUNCTION("""COMPUTED_VALUE"""),"")</f>
        <v/>
      </c>
      <c r="V324" s="4" t="str">
        <f>IFERROR(__xludf.DUMMYFUNCTION("""COMPUTED_VALUE"""),"")</f>
        <v/>
      </c>
      <c r="W324" s="4" t="str">
        <f>IFERROR(__xludf.DUMMYFUNCTION("""COMPUTED_VALUE"""),"")</f>
        <v/>
      </c>
      <c r="X324" s="4" t="str">
        <f>IFERROR(__xludf.DUMMYFUNCTION("""COMPUTED_VALUE"""),"")</f>
        <v/>
      </c>
      <c r="Y324" s="4" t="str">
        <f>IFERROR(__xludf.DUMMYFUNCTION("""COMPUTED_VALUE"""),"")</f>
        <v/>
      </c>
    </row>
    <row r="325">
      <c r="A325" s="4" t="str">
        <f>IFERROR(__xludf.DUMMYFUNCTION("""COMPUTED_VALUE"""),"322 - Channel")</f>
        <v>322 - Channel</v>
      </c>
      <c r="B325" s="4" t="str">
        <f>IFERROR(__xludf.DUMMYFUNCTION("""COMPUTED_VALUE"""),"Channel 1")</f>
        <v>Channel 1</v>
      </c>
      <c r="C325" s="4" t="str">
        <f>IFERROR(__xludf.DUMMYFUNCTION("""COMPUTED_VALUE"""),"Day 3 - 25/06")</f>
        <v>Day 3 - 25/06</v>
      </c>
      <c r="D325" s="6">
        <f>IFERROR(__xludf.DUMMYFUNCTION("""COMPUTED_VALUE"""),0.5583912037037037)</f>
        <v>0.5583912037</v>
      </c>
      <c r="E325" s="6">
        <f>IFERROR(__xludf.DUMMYFUNCTION("""COMPUTED_VALUE"""),5.902777777777778E-4)</f>
        <v>0.0005902777778</v>
      </c>
      <c r="F325" s="6">
        <f>IFERROR(__xludf.DUMMYFUNCTION("""COMPUTED_VALUE"""),0.5589814814814814)</f>
        <v>0.5589814815</v>
      </c>
      <c r="G325" s="4" t="str">
        <f>IFERROR(__xludf.DUMMYFUNCTION("""COMPUTED_VALUE"""),"Video")</f>
        <v>Video</v>
      </c>
      <c r="H325" s="4" t="str">
        <f>IFERROR(__xludf.DUMMYFUNCTION("""COMPUTED_VALUE"""),"")</f>
        <v/>
      </c>
      <c r="I325" s="4" t="str">
        <f>IFERROR(__xludf.DUMMYFUNCTION("""COMPUTED_VALUE"""),"")</f>
        <v/>
      </c>
      <c r="J325" s="4" t="str">
        <f>IFERROR(__xludf.DUMMYFUNCTION("""COMPUTED_VALUE"""),"")</f>
        <v/>
      </c>
      <c r="K325" s="4" t="str">
        <f>IFERROR(__xludf.DUMMYFUNCTION("""COMPUTED_VALUE"""),"Voxpop")</f>
        <v>Voxpop</v>
      </c>
      <c r="L325" s="4" t="str">
        <f>IFERROR(__xludf.DUMMYFUNCTION("""COMPUTED_VALUE"""),"")</f>
        <v/>
      </c>
      <c r="M325" s="4" t="str">
        <f>IFERROR(__xludf.DUMMYFUNCTION("""COMPUTED_VALUE"""),"MTS_9_Advice")</f>
        <v>MTS_9_Advice</v>
      </c>
      <c r="N325" s="4" t="str">
        <f>IFERROR(__xludf.DUMMYFUNCTION("""COMPUTED_VALUE"""),"Content complete")</f>
        <v>Content complete</v>
      </c>
      <c r="O325" s="4" t="str">
        <f>IFERROR(__xludf.DUMMYFUNCTION("""COMPUTED_VALUE"""),"")</f>
        <v/>
      </c>
      <c r="P325" s="4" t="str">
        <f>IFERROR(__xludf.DUMMYFUNCTION("""COMPUTED_VALUE"""),"")</f>
        <v/>
      </c>
      <c r="Q325" s="4" t="str">
        <f>IFERROR(__xludf.DUMMYFUNCTION("""COMPUTED_VALUE"""),"")</f>
        <v/>
      </c>
      <c r="R325" s="4" t="str">
        <f>IFERROR(__xludf.DUMMYFUNCTION("""COMPUTED_VALUE"""),"")</f>
        <v/>
      </c>
      <c r="S325" s="4" t="str">
        <f>IFERROR(__xludf.DUMMYFUNCTION("""COMPUTED_VALUE"""),"")</f>
        <v/>
      </c>
      <c r="T325" s="4" t="str">
        <f>IFERROR(__xludf.DUMMYFUNCTION("""COMPUTED_VALUE"""),"")</f>
        <v/>
      </c>
      <c r="U325" s="4" t="str">
        <f>IFERROR(__xludf.DUMMYFUNCTION("""COMPUTED_VALUE"""),"")</f>
        <v/>
      </c>
      <c r="V325" s="4" t="str">
        <f>IFERROR(__xludf.DUMMYFUNCTION("""COMPUTED_VALUE"""),"")</f>
        <v/>
      </c>
      <c r="W325" s="4" t="str">
        <f>IFERROR(__xludf.DUMMYFUNCTION("""COMPUTED_VALUE"""),"")</f>
        <v/>
      </c>
      <c r="X325" s="4" t="str">
        <f>IFERROR(__xludf.DUMMYFUNCTION("""COMPUTED_VALUE"""),"")</f>
        <v/>
      </c>
      <c r="Y325" s="4" t="str">
        <f>IFERROR(__xludf.DUMMYFUNCTION("""COMPUTED_VALUE"""),"")</f>
        <v/>
      </c>
    </row>
    <row r="326">
      <c r="A326" s="4" t="str">
        <f>IFERROR(__xludf.DUMMYFUNCTION("""COMPUTED_VALUE"""),"324 - Channel")</f>
        <v>324 - Channel</v>
      </c>
      <c r="B326" s="4" t="str">
        <f>IFERROR(__xludf.DUMMYFUNCTION("""COMPUTED_VALUE"""),"Channel 1")</f>
        <v>Channel 1</v>
      </c>
      <c r="C326" s="4" t="str">
        <f>IFERROR(__xludf.DUMMYFUNCTION("""COMPUTED_VALUE"""),"Day 3 - 25/06")</f>
        <v>Day 3 - 25/06</v>
      </c>
      <c r="D326" s="6">
        <f>IFERROR(__xludf.DUMMYFUNCTION("""COMPUTED_VALUE"""),0.5589814814814814)</f>
        <v>0.5589814815</v>
      </c>
      <c r="E326" s="6">
        <f>IFERROR(__xludf.DUMMYFUNCTION("""COMPUTED_VALUE"""),2.314814814814815E-4)</f>
        <v>0.0002314814815</v>
      </c>
      <c r="F326" s="6">
        <f>IFERROR(__xludf.DUMMYFUNCTION("""COMPUTED_VALUE"""),0.5592129629629629)</f>
        <v>0.559212963</v>
      </c>
      <c r="G326" s="4" t="str">
        <f>IFERROR(__xludf.DUMMYFUNCTION("""COMPUTED_VALUE"""),"")</f>
        <v/>
      </c>
      <c r="H326" s="4" t="str">
        <f>IFERROR(__xludf.DUMMYFUNCTION("""COMPUTED_VALUE"""),"")</f>
        <v/>
      </c>
      <c r="I326" s="4" t="str">
        <f>IFERROR(__xludf.DUMMYFUNCTION("""COMPUTED_VALUE"""),"")</f>
        <v/>
      </c>
      <c r="J326" s="4" t="str">
        <f>IFERROR(__xludf.DUMMYFUNCTION("""COMPUTED_VALUE"""),"")</f>
        <v/>
      </c>
      <c r="K326" s="4" t="str">
        <f>IFERROR(__xludf.DUMMYFUNCTION("""COMPUTED_VALUE"""),"Talk Intro")</f>
        <v>Talk Intro</v>
      </c>
      <c r="L326" s="4" t="str">
        <f>IFERROR(__xludf.DUMMYFUNCTION("""COMPUTED_VALUE"""),"")</f>
        <v/>
      </c>
      <c r="M326" s="4" t="str">
        <f>IFERROR(__xludf.DUMMYFUNCTION("""COMPUTED_VALUE"""),"Talk Intro")</f>
        <v>Talk Intro</v>
      </c>
      <c r="N326" s="4" t="str">
        <f>IFERROR(__xludf.DUMMYFUNCTION("""COMPUTED_VALUE"""),"Sunil Sharma, Web Summit")</f>
        <v>Sunil Sharma, Web Summit</v>
      </c>
      <c r="O326" s="4" t="str">
        <f>IFERROR(__xludf.DUMMYFUNCTION("""COMPUTED_VALUE"""),"")</f>
        <v/>
      </c>
      <c r="P326" s="4" t="str">
        <f>IFERROR(__xludf.DUMMYFUNCTION("""COMPUTED_VALUE"""),"")</f>
        <v/>
      </c>
      <c r="Q326" s="4" t="str">
        <f>IFERROR(__xludf.DUMMYFUNCTION("""COMPUTED_VALUE"""),"")</f>
        <v/>
      </c>
      <c r="R326" s="4" t="str">
        <f>IFERROR(__xludf.DUMMYFUNCTION("""COMPUTED_VALUE"""),"")</f>
        <v/>
      </c>
      <c r="S326" s="4" t="str">
        <f>IFERROR(__xludf.DUMMYFUNCTION("""COMPUTED_VALUE"""),"")</f>
        <v/>
      </c>
      <c r="T326" s="4" t="str">
        <f>IFERROR(__xludf.DUMMYFUNCTION("""COMPUTED_VALUE"""),"")</f>
        <v/>
      </c>
      <c r="U326" s="4" t="str">
        <f>IFERROR(__xludf.DUMMYFUNCTION("""COMPUTED_VALUE"""),"")</f>
        <v/>
      </c>
      <c r="V326" s="4" t="str">
        <f>IFERROR(__xludf.DUMMYFUNCTION("""COMPUTED_VALUE"""),"")</f>
        <v/>
      </c>
      <c r="W326" s="4" t="str">
        <f>IFERROR(__xludf.DUMMYFUNCTION("""COMPUTED_VALUE"""),"")</f>
        <v/>
      </c>
      <c r="X326" s="4" t="str">
        <f>IFERROR(__xludf.DUMMYFUNCTION("""COMPUTED_VALUE"""),"")</f>
        <v/>
      </c>
      <c r="Y326" s="4" t="str">
        <f>IFERROR(__xludf.DUMMYFUNCTION("""COMPUTED_VALUE"""),"")</f>
        <v/>
      </c>
    </row>
    <row r="327">
      <c r="A327" s="4" t="str">
        <f>IFERROR(__xludf.DUMMYFUNCTION("""COMPUTED_VALUE"""),"343 - Channel")</f>
        <v>343 - Channel</v>
      </c>
      <c r="B327" s="4" t="str">
        <f>IFERROR(__xludf.DUMMYFUNCTION("""COMPUTED_VALUE"""),"Channel 1")</f>
        <v>Channel 1</v>
      </c>
      <c r="C327" s="4" t="str">
        <f>IFERROR(__xludf.DUMMYFUNCTION("""COMPUTED_VALUE"""),"Day 3 - 25/06")</f>
        <v>Day 3 - 25/06</v>
      </c>
      <c r="D327" s="6">
        <f>IFERROR(__xludf.DUMMYFUNCTION("""COMPUTED_VALUE"""),0.5592129629629629)</f>
        <v>0.559212963</v>
      </c>
      <c r="E327" s="6">
        <f>IFERROR(__xludf.DUMMYFUNCTION("""COMPUTED_VALUE"""),0.010416666666666666)</f>
        <v>0.01041666667</v>
      </c>
      <c r="F327" s="6">
        <f>IFERROR(__xludf.DUMMYFUNCTION("""COMPUTED_VALUE"""),0.5696296296296295)</f>
        <v>0.5696296296</v>
      </c>
      <c r="G327" s="4" t="str">
        <f>IFERROR(__xludf.DUMMYFUNCTION("""COMPUTED_VALUE"""),"Darren")</f>
        <v>Darren</v>
      </c>
      <c r="H327" s="4" t="str">
        <f>IFERROR(__xludf.DUMMYFUNCTION("""COMPUTED_VALUE"""),"Lisa")</f>
        <v>Lisa</v>
      </c>
      <c r="I327" s="4" t="str">
        <f>IFERROR(__xludf.DUMMYFUNCTION("""COMPUTED_VALUE"""),"Lucia H.")</f>
        <v>Lucia H.</v>
      </c>
      <c r="J327" s="4" t="str">
        <f>IFERROR(__xludf.DUMMYFUNCTION("""COMPUTED_VALUE"""),"")</f>
        <v/>
      </c>
      <c r="K327" s="4" t="str">
        <f>IFERROR(__xludf.DUMMYFUNCTION("""COMPUTED_VALUE"""),"Super Fireside")</f>
        <v>Super Fireside</v>
      </c>
      <c r="L327" s="4" t="str">
        <f>IFERROR(__xludf.DUMMYFUNCTION("""COMPUTED_VALUE"""),"T- 5 - 18/05/2020")</f>
        <v>T- 5 - 18/05/2020</v>
      </c>
      <c r="M327" s="4" t="str">
        <f>IFERROR(__xludf.DUMMYFUNCTION("""COMPUTED_VALUE"""),"Long live the kings of sports and media")</f>
        <v>Long live the kings of sports and media</v>
      </c>
      <c r="N327" s="4" t="str">
        <f>IFERROR(__xludf.DUMMYFUNCTION("""COMPUTED_VALUE"""),"Matt Kalish, DraftKings")</f>
        <v>Matt Kalish, DraftKings</v>
      </c>
      <c r="O327" s="4" t="str">
        <f>IFERROR(__xludf.DUMMYFUNCTION("""COMPUTED_VALUE"""),"Zack Weiner, Overtime")</f>
        <v>Zack Weiner, Overtime</v>
      </c>
      <c r="P327" s="4" t="str">
        <f>IFERROR(__xludf.DUMMYFUNCTION("""COMPUTED_VALUE"""),"")</f>
        <v/>
      </c>
      <c r="Q327" s="4" t="str">
        <f>IFERROR(__xludf.DUMMYFUNCTION("""COMPUTED_VALUE"""),"")</f>
        <v/>
      </c>
      <c r="R327" s="4" t="str">
        <f>IFERROR(__xludf.DUMMYFUNCTION("""COMPUTED_VALUE"""),"George Slefo, Ad Age")</f>
        <v>George Slefo, Ad Age</v>
      </c>
      <c r="S327" s="4" t="str">
        <f>IFERROR(__xludf.DUMMYFUNCTION("""COMPUTED_VALUE"""),"In this talk, we will hear about how two companies are changing the way people consume sport. Overtime is providing a platform for the sports superstars of tomorrow. Its co-founder Zack joins DraftKings co-founder Matt Kalish, DraftKings, who'll tell us h"&amp;"ow the sports daily fantasy and betting website managed to go public in a pandemic despite a near-complete shutdown of athletic competition across the globe. ")</f>
        <v>In this talk, we will hear about how two companies are changing the way people consume sport. Overtime is providing a platform for the sports superstars of tomorrow. Its co-founder Zack joins DraftKings co-founder Matt Kalish, DraftKings, who'll tell us how the sports daily fantasy and betting website managed to go public in a pandemic despite a near-complete shutdown of athletic competition across the globe. </v>
      </c>
      <c r="T327" s="4" t="str">
        <f>IFERROR(__xludf.DUMMYFUNCTION("""COMPUTED_VALUE"""),"NON-KEYNOTE 9 - COMPLETE")</f>
        <v>NON-KEYNOTE 9 - COMPLETE</v>
      </c>
      <c r="U327" s="23">
        <f>IFERROR(__xludf.DUMMYFUNCTION("""COMPUTED_VALUE"""),43971.0)</f>
        <v>43971</v>
      </c>
      <c r="V327" s="44">
        <f>IFERROR(__xludf.DUMMYFUNCTION("""COMPUTED_VALUE"""),0.6041666666666666)</f>
        <v>0.6041666667</v>
      </c>
      <c r="W327" s="4" t="str">
        <f>IFERROR(__xludf.DUMMYFUNCTION("""COMPUTED_VALUE"""),"COMPLETE")</f>
        <v>COMPLETE</v>
      </c>
      <c r="X327" s="4" t="str">
        <f>IFERROR(__xludf.DUMMYFUNCTION("""COMPUTED_VALUE"""),"Hugh")</f>
        <v>Hugh</v>
      </c>
      <c r="Y327" s="4" t="str">
        <f>IFERROR(__xludf.DUMMYFUNCTION("""COMPUTED_VALUE"""),"")</f>
        <v/>
      </c>
    </row>
    <row r="328">
      <c r="A328" s="4" t="str">
        <f>IFERROR(__xludf.DUMMYFUNCTION("""COMPUTED_VALUE"""),"331 - Channel")</f>
        <v>331 - Channel</v>
      </c>
      <c r="B328" s="4" t="str">
        <f>IFERROR(__xludf.DUMMYFUNCTION("""COMPUTED_VALUE"""),"Channel 1")</f>
        <v>Channel 1</v>
      </c>
      <c r="C328" s="4" t="str">
        <f>IFERROR(__xludf.DUMMYFUNCTION("""COMPUTED_VALUE"""),"Day 3 - 25/06")</f>
        <v>Day 3 - 25/06</v>
      </c>
      <c r="D328" s="6">
        <f>IFERROR(__xludf.DUMMYFUNCTION("""COMPUTED_VALUE"""),0.5696296296296295)</f>
        <v>0.5696296296</v>
      </c>
      <c r="E328" s="6">
        <f>IFERROR(__xludf.DUMMYFUNCTION("""COMPUTED_VALUE"""),2.314814814814815E-4)</f>
        <v>0.0002314814815</v>
      </c>
      <c r="F328" s="6">
        <f>IFERROR(__xludf.DUMMYFUNCTION("""COMPUTED_VALUE"""),0.5698611111111109)</f>
        <v>0.5698611111</v>
      </c>
      <c r="G328" s="4" t="str">
        <f>IFERROR(__xludf.DUMMYFUNCTION("""COMPUTED_VALUE"""),"")</f>
        <v/>
      </c>
      <c r="H328" s="4" t="str">
        <f>IFERROR(__xludf.DUMMYFUNCTION("""COMPUTED_VALUE"""),"")</f>
        <v/>
      </c>
      <c r="I328" s="4" t="str">
        <f>IFERROR(__xludf.DUMMYFUNCTION("""COMPUTED_VALUE"""),"")</f>
        <v/>
      </c>
      <c r="J328" s="4" t="str">
        <f>IFERROR(__xludf.DUMMYFUNCTION("""COMPUTED_VALUE"""),"")</f>
        <v/>
      </c>
      <c r="K328" s="4" t="str">
        <f>IFERROR(__xludf.DUMMYFUNCTION("""COMPUTED_VALUE"""),"Talk Intro")</f>
        <v>Talk Intro</v>
      </c>
      <c r="L328" s="4" t="str">
        <f>IFERROR(__xludf.DUMMYFUNCTION("""COMPUTED_VALUE"""),"")</f>
        <v/>
      </c>
      <c r="M328" s="4" t="str">
        <f>IFERROR(__xludf.DUMMYFUNCTION("""COMPUTED_VALUE"""),"Teaser: Gronk_Intro")</f>
        <v>Teaser: Gronk_Intro</v>
      </c>
      <c r="N328" s="4" t="str">
        <f>IFERROR(__xludf.DUMMYFUNCTION("""COMPUTED_VALUE"""),"Paddy Cosgrave, Web Summit")</f>
        <v>Paddy Cosgrave, Web Summit</v>
      </c>
      <c r="O328" s="4" t="str">
        <f>IFERROR(__xludf.DUMMYFUNCTION("""COMPUTED_VALUE"""),"Sunil Sharma, Web Summit")</f>
        <v>Sunil Sharma, Web Summit</v>
      </c>
      <c r="P328" s="4" t="str">
        <f>IFERROR(__xludf.DUMMYFUNCTION("""COMPUTED_VALUE"""),"")</f>
        <v/>
      </c>
      <c r="Q328" s="4" t="str">
        <f>IFERROR(__xludf.DUMMYFUNCTION("""COMPUTED_VALUE"""),"")</f>
        <v/>
      </c>
      <c r="R328" s="4" t="str">
        <f>IFERROR(__xludf.DUMMYFUNCTION("""COMPUTED_VALUE"""),"")</f>
        <v/>
      </c>
      <c r="S328" s="4" t="str">
        <f>IFERROR(__xludf.DUMMYFUNCTION("""COMPUTED_VALUE"""),"")</f>
        <v/>
      </c>
      <c r="T328" s="4" t="str">
        <f>IFERROR(__xludf.DUMMYFUNCTION("""COMPUTED_VALUE"""),"")</f>
        <v/>
      </c>
      <c r="U328" s="4" t="str">
        <f>IFERROR(__xludf.DUMMYFUNCTION("""COMPUTED_VALUE"""),"")</f>
        <v/>
      </c>
      <c r="V328" s="4" t="str">
        <f>IFERROR(__xludf.DUMMYFUNCTION("""COMPUTED_VALUE"""),"")</f>
        <v/>
      </c>
      <c r="W328" s="4" t="str">
        <f>IFERROR(__xludf.DUMMYFUNCTION("""COMPUTED_VALUE"""),"")</f>
        <v/>
      </c>
      <c r="X328" s="4" t="str">
        <f>IFERROR(__xludf.DUMMYFUNCTION("""COMPUTED_VALUE"""),"")</f>
        <v/>
      </c>
      <c r="Y328" s="4" t="str">
        <f>IFERROR(__xludf.DUMMYFUNCTION("""COMPUTED_VALUE"""),"")</f>
        <v/>
      </c>
    </row>
    <row r="329">
      <c r="A329" s="4" t="str">
        <f>IFERROR(__xludf.DUMMYFUNCTION("""COMPUTED_VALUE"""),"254 - Channel")</f>
        <v>254 - Channel</v>
      </c>
      <c r="B329" s="4" t="str">
        <f>IFERROR(__xludf.DUMMYFUNCTION("""COMPUTED_VALUE"""),"Channel 1")</f>
        <v>Channel 1</v>
      </c>
      <c r="C329" s="4" t="str">
        <f>IFERROR(__xludf.DUMMYFUNCTION("""COMPUTED_VALUE"""),"Day 3 - 25/06")</f>
        <v>Day 3 - 25/06</v>
      </c>
      <c r="D329" s="6">
        <f>IFERROR(__xludf.DUMMYFUNCTION("""COMPUTED_VALUE"""),0.5698611111111109)</f>
        <v>0.5698611111</v>
      </c>
      <c r="E329" s="6">
        <f>IFERROR(__xludf.DUMMYFUNCTION("""COMPUTED_VALUE"""),0.0020833333333333333)</f>
        <v>0.002083333333</v>
      </c>
      <c r="F329" s="6">
        <f>IFERROR(__xludf.DUMMYFUNCTION("""COMPUTED_VALUE"""),0.5719444444444443)</f>
        <v>0.5719444444</v>
      </c>
      <c r="G329" s="4" t="str">
        <f>IFERROR(__xludf.DUMMYFUNCTION("""COMPUTED_VALUE"""),"")</f>
        <v/>
      </c>
      <c r="H329" s="4" t="str">
        <f>IFERROR(__xludf.DUMMYFUNCTION("""COMPUTED_VALUE"""),"")</f>
        <v/>
      </c>
      <c r="I329" s="4" t="str">
        <f>IFERROR(__xludf.DUMMYFUNCTION("""COMPUTED_VALUE"""),"")</f>
        <v/>
      </c>
      <c r="J329" s="4" t="str">
        <f>IFERROR(__xludf.DUMMYFUNCTION("""COMPUTED_VALUE"""),"")</f>
        <v/>
      </c>
      <c r="K329" s="4" t="str">
        <f>IFERROR(__xludf.DUMMYFUNCTION("""COMPUTED_VALUE"""),"Teaser")</f>
        <v>Teaser</v>
      </c>
      <c r="L329" s="4" t="str">
        <f>IFERROR(__xludf.DUMMYFUNCTION("""COMPUTED_VALUE"""),"")</f>
        <v/>
      </c>
      <c r="M329" s="4" t="str">
        <f>IFERROR(__xludf.DUMMYFUNCTION("""COMPUTED_VALUE"""),"Teaser: Gronk")</f>
        <v>Teaser: Gronk</v>
      </c>
      <c r="N329" s="4" t="str">
        <f>IFERROR(__xludf.DUMMYFUNCTION("""COMPUTED_VALUE"""),"")</f>
        <v/>
      </c>
      <c r="O329" s="4" t="str">
        <f>IFERROR(__xludf.DUMMYFUNCTION("""COMPUTED_VALUE"""),"")</f>
        <v/>
      </c>
      <c r="P329" s="4" t="str">
        <f>IFERROR(__xludf.DUMMYFUNCTION("""COMPUTED_VALUE"""),"")</f>
        <v/>
      </c>
      <c r="Q329" s="4" t="str">
        <f>IFERROR(__xludf.DUMMYFUNCTION("""COMPUTED_VALUE"""),"")</f>
        <v/>
      </c>
      <c r="R329" s="4" t="str">
        <f>IFERROR(__xludf.DUMMYFUNCTION("""COMPUTED_VALUE"""),"")</f>
        <v/>
      </c>
      <c r="S329" s="4" t="str">
        <f>IFERROR(__xludf.DUMMYFUNCTION("""COMPUTED_VALUE"""),"")</f>
        <v/>
      </c>
      <c r="T329" s="4" t="str">
        <f>IFERROR(__xludf.DUMMYFUNCTION("""COMPUTED_VALUE"""),"")</f>
        <v/>
      </c>
      <c r="U329" s="4" t="str">
        <f>IFERROR(__xludf.DUMMYFUNCTION("""COMPUTED_VALUE"""),"")</f>
        <v/>
      </c>
      <c r="V329" s="4" t="str">
        <f>IFERROR(__xludf.DUMMYFUNCTION("""COMPUTED_VALUE"""),"")</f>
        <v/>
      </c>
      <c r="W329" s="4" t="str">
        <f>IFERROR(__xludf.DUMMYFUNCTION("""COMPUTED_VALUE"""),"")</f>
        <v/>
      </c>
      <c r="X329" s="4" t="str">
        <f>IFERROR(__xludf.DUMMYFUNCTION("""COMPUTED_VALUE"""),"")</f>
        <v/>
      </c>
      <c r="Y329" s="4" t="str">
        <f>IFERROR(__xludf.DUMMYFUNCTION("""COMPUTED_VALUE"""),"")</f>
        <v/>
      </c>
    </row>
    <row r="330">
      <c r="A330" s="4" t="str">
        <f>IFERROR(__xludf.DUMMYFUNCTION("""COMPUTED_VALUE"""),"2262 - Channel")</f>
        <v>2262 - Channel</v>
      </c>
      <c r="B330" s="4" t="str">
        <f>IFERROR(__xludf.DUMMYFUNCTION("""COMPUTED_VALUE"""),"Channel 1")</f>
        <v>Channel 1</v>
      </c>
      <c r="C330" s="4" t="str">
        <f>IFERROR(__xludf.DUMMYFUNCTION("""COMPUTED_VALUE"""),"Day 3 - 25/06")</f>
        <v>Day 3 - 25/06</v>
      </c>
      <c r="D330" s="6">
        <f>IFERROR(__xludf.DUMMYFUNCTION("""COMPUTED_VALUE"""),0.5719444444444443)</f>
        <v>0.5719444444</v>
      </c>
      <c r="E330" s="6">
        <f>IFERROR(__xludf.DUMMYFUNCTION("""COMPUTED_VALUE"""),2.314814814814815E-4)</f>
        <v>0.0002314814815</v>
      </c>
      <c r="F330" s="6">
        <f>IFERROR(__xludf.DUMMYFUNCTION("""COMPUTED_VALUE"""),0.5721759259259257)</f>
        <v>0.5721759259</v>
      </c>
      <c r="G330" s="4" t="str">
        <f>IFERROR(__xludf.DUMMYFUNCTION("""COMPUTED_VALUE"""),"")</f>
        <v/>
      </c>
      <c r="H330" s="4" t="str">
        <f>IFERROR(__xludf.DUMMYFUNCTION("""COMPUTED_VALUE"""),"")</f>
        <v/>
      </c>
      <c r="I330" s="4" t="str">
        <f>IFERROR(__xludf.DUMMYFUNCTION("""COMPUTED_VALUE"""),"")</f>
        <v/>
      </c>
      <c r="J330" s="4" t="str">
        <f>IFERROR(__xludf.DUMMYFUNCTION("""COMPUTED_VALUE"""),"")</f>
        <v/>
      </c>
      <c r="K330" s="4" t="str">
        <f>IFERROR(__xludf.DUMMYFUNCTION("""COMPUTED_VALUE"""),"Talk Outro")</f>
        <v>Talk Outro</v>
      </c>
      <c r="L330" s="4" t="str">
        <f>IFERROR(__xludf.DUMMYFUNCTION("""COMPUTED_VALUE"""),"")</f>
        <v/>
      </c>
      <c r="M330" s="4" t="str">
        <f>IFERROR(__xludf.DUMMYFUNCTION("""COMPUTED_VALUE"""),"Call to action")</f>
        <v>Call to action</v>
      </c>
      <c r="N330" s="4" t="str">
        <f>IFERROR(__xludf.DUMMYFUNCTION("""COMPUTED_VALUE"""),"Paddy Cosgrave, Web Summit")</f>
        <v>Paddy Cosgrave, Web Summit</v>
      </c>
      <c r="O330" s="4" t="str">
        <f>IFERROR(__xludf.DUMMYFUNCTION("""COMPUTED_VALUE"""),"")</f>
        <v/>
      </c>
      <c r="P330" s="4" t="str">
        <f>IFERROR(__xludf.DUMMYFUNCTION("""COMPUTED_VALUE"""),"")</f>
        <v/>
      </c>
      <c r="Q330" s="4" t="str">
        <f>IFERROR(__xludf.DUMMYFUNCTION("""COMPUTED_VALUE"""),"")</f>
        <v/>
      </c>
      <c r="R330" s="4" t="str">
        <f>IFERROR(__xludf.DUMMYFUNCTION("""COMPUTED_VALUE"""),"")</f>
        <v/>
      </c>
      <c r="S330" s="4" t="str">
        <f>IFERROR(__xludf.DUMMYFUNCTION("""COMPUTED_VALUE"""),"")</f>
        <v/>
      </c>
      <c r="T330" s="4" t="str">
        <f>IFERROR(__xludf.DUMMYFUNCTION("""COMPUTED_VALUE"""),"")</f>
        <v/>
      </c>
      <c r="U330" s="4" t="str">
        <f>IFERROR(__xludf.DUMMYFUNCTION("""COMPUTED_VALUE"""),"")</f>
        <v/>
      </c>
      <c r="V330" s="4" t="str">
        <f>IFERROR(__xludf.DUMMYFUNCTION("""COMPUTED_VALUE"""),"")</f>
        <v/>
      </c>
      <c r="W330" s="4" t="str">
        <f>IFERROR(__xludf.DUMMYFUNCTION("""COMPUTED_VALUE"""),"")</f>
        <v/>
      </c>
      <c r="X330" s="4" t="str">
        <f>IFERROR(__xludf.DUMMYFUNCTION("""COMPUTED_VALUE"""),"")</f>
        <v/>
      </c>
      <c r="Y330" s="4" t="str">
        <f>IFERROR(__xludf.DUMMYFUNCTION("""COMPUTED_VALUE"""),"")</f>
        <v/>
      </c>
    </row>
    <row r="331">
      <c r="A331" s="4" t="str">
        <f>IFERROR(__xludf.DUMMYFUNCTION("""COMPUTED_VALUE"""),"2266 - Channel")</f>
        <v>2266 - Channel</v>
      </c>
      <c r="B331" s="4" t="str">
        <f>IFERROR(__xludf.DUMMYFUNCTION("""COMPUTED_VALUE"""),"Channel 1")</f>
        <v>Channel 1</v>
      </c>
      <c r="C331" s="4" t="str">
        <f>IFERROR(__xludf.DUMMYFUNCTION("""COMPUTED_VALUE"""),"Day 3 - 25/06")</f>
        <v>Day 3 - 25/06</v>
      </c>
      <c r="D331" s="6">
        <f>IFERROR(__xludf.DUMMYFUNCTION("""COMPUTED_VALUE"""),0.5719444444444443)</f>
        <v>0.5719444444</v>
      </c>
      <c r="E331" s="6">
        <f>IFERROR(__xludf.DUMMYFUNCTION("""COMPUTED_VALUE"""),2.314814814814815E-4)</f>
        <v>0.0002314814815</v>
      </c>
      <c r="F331" s="6">
        <f>IFERROR(__xludf.DUMMYFUNCTION("""COMPUTED_VALUE"""),0.5721759259259257)</f>
        <v>0.5721759259</v>
      </c>
      <c r="G331" s="4" t="str">
        <f>IFERROR(__xludf.DUMMYFUNCTION("""COMPUTED_VALUE"""),"")</f>
        <v/>
      </c>
      <c r="H331" s="4" t="str">
        <f>IFERROR(__xludf.DUMMYFUNCTION("""COMPUTED_VALUE"""),"")</f>
        <v/>
      </c>
      <c r="I331" s="4" t="str">
        <f>IFERROR(__xludf.DUMMYFUNCTION("""COMPUTED_VALUE"""),"")</f>
        <v/>
      </c>
      <c r="J331" s="4" t="str">
        <f>IFERROR(__xludf.DUMMYFUNCTION("""COMPUTED_VALUE"""),"")</f>
        <v/>
      </c>
      <c r="K331" s="4" t="str">
        <f>IFERROR(__xludf.DUMMYFUNCTION("""COMPUTED_VALUE"""),"Talk Intro")</f>
        <v>Talk Intro</v>
      </c>
      <c r="L331" s="4" t="str">
        <f>IFERROR(__xludf.DUMMYFUNCTION("""COMPUTED_VALUE"""),"")</f>
        <v/>
      </c>
      <c r="M331" s="4" t="str">
        <f>IFERROR(__xludf.DUMMYFUNCTION("""COMPUTED_VALUE"""),"Talk Intro")</f>
        <v>Talk Intro</v>
      </c>
      <c r="N331" s="4" t="str">
        <f>IFERROR(__xludf.DUMMYFUNCTION("""COMPUTED_VALUE"""),"Sunil Sharma, Web Summit")</f>
        <v>Sunil Sharma, Web Summit</v>
      </c>
      <c r="O331" s="4" t="str">
        <f>IFERROR(__xludf.DUMMYFUNCTION("""COMPUTED_VALUE"""),"")</f>
        <v/>
      </c>
      <c r="P331" s="4" t="str">
        <f>IFERROR(__xludf.DUMMYFUNCTION("""COMPUTED_VALUE"""),"")</f>
        <v/>
      </c>
      <c r="Q331" s="4" t="str">
        <f>IFERROR(__xludf.DUMMYFUNCTION("""COMPUTED_VALUE"""),"")</f>
        <v/>
      </c>
      <c r="R331" s="4" t="str">
        <f>IFERROR(__xludf.DUMMYFUNCTION("""COMPUTED_VALUE"""),"")</f>
        <v/>
      </c>
      <c r="S331" s="4" t="str">
        <f>IFERROR(__xludf.DUMMYFUNCTION("""COMPUTED_VALUE"""),"")</f>
        <v/>
      </c>
      <c r="T331" s="4" t="str">
        <f>IFERROR(__xludf.DUMMYFUNCTION("""COMPUTED_VALUE"""),"")</f>
        <v/>
      </c>
      <c r="U331" s="4" t="str">
        <f>IFERROR(__xludf.DUMMYFUNCTION("""COMPUTED_VALUE"""),"")</f>
        <v/>
      </c>
      <c r="V331" s="4" t="str">
        <f>IFERROR(__xludf.DUMMYFUNCTION("""COMPUTED_VALUE"""),"")</f>
        <v/>
      </c>
      <c r="W331" s="4" t="str">
        <f>IFERROR(__xludf.DUMMYFUNCTION("""COMPUTED_VALUE"""),"")</f>
        <v/>
      </c>
      <c r="X331" s="4" t="str">
        <f>IFERROR(__xludf.DUMMYFUNCTION("""COMPUTED_VALUE"""),"")</f>
        <v/>
      </c>
      <c r="Y331" s="4" t="str">
        <f>IFERROR(__xludf.DUMMYFUNCTION("""COMPUTED_VALUE"""),"")</f>
        <v/>
      </c>
    </row>
    <row r="332">
      <c r="A332" s="4" t="str">
        <f>IFERROR(__xludf.DUMMYFUNCTION("""COMPUTED_VALUE"""),"2267 - Channel")</f>
        <v>2267 - Channel</v>
      </c>
      <c r="B332" s="4" t="str">
        <f>IFERROR(__xludf.DUMMYFUNCTION("""COMPUTED_VALUE"""),"Channel 1")</f>
        <v>Channel 1</v>
      </c>
      <c r="C332" s="4" t="str">
        <f>IFERROR(__xludf.DUMMYFUNCTION("""COMPUTED_VALUE"""),"Day 3 - 25/06")</f>
        <v>Day 3 - 25/06</v>
      </c>
      <c r="D332" s="6">
        <f>IFERROR(__xludf.DUMMYFUNCTION("""COMPUTED_VALUE"""),0.5721759259259257)</f>
        <v>0.5721759259</v>
      </c>
      <c r="E332" s="6">
        <f>IFERROR(__xludf.DUMMYFUNCTION("""COMPUTED_VALUE"""),0.008333333333333333)</f>
        <v>0.008333333333</v>
      </c>
      <c r="F332" s="6">
        <f>IFERROR(__xludf.DUMMYFUNCTION("""COMPUTED_VALUE"""),0.580509259259259)</f>
        <v>0.5805092593</v>
      </c>
      <c r="G332" s="4" t="str">
        <f>IFERROR(__xludf.DUMMYFUNCTION("""COMPUTED_VALUE"""),"Lobna")</f>
        <v>Lobna</v>
      </c>
      <c r="H332" s="4" t="str">
        <f>IFERROR(__xludf.DUMMYFUNCTION("""COMPUTED_VALUE"""),"Stephen")</f>
        <v>Stephen</v>
      </c>
      <c r="I332" s="4" t="str">
        <f>IFERROR(__xludf.DUMMYFUNCTION("""COMPUTED_VALUE"""),"Naomi")</f>
        <v>Naomi</v>
      </c>
      <c r="J332" s="4" t="str">
        <f>IFERROR(__xludf.DUMMYFUNCTION("""COMPUTED_VALUE"""),"")</f>
        <v/>
      </c>
      <c r="K332" s="4" t="str">
        <f>IFERROR(__xludf.DUMMYFUNCTION("""COMPUTED_VALUE"""),"Fireside")</f>
        <v>Fireside</v>
      </c>
      <c r="L332" s="4" t="str">
        <f>IFERROR(__xludf.DUMMYFUNCTION("""COMPUTED_VALUE"""),"T- 2 - 08/06/2020")</f>
        <v>T- 2 - 08/06/2020</v>
      </c>
      <c r="M332" s="4" t="str">
        <f>IFERROR(__xludf.DUMMYFUNCTION("""COMPUTED_VALUE"""),"Canada in 2021")</f>
        <v>Canada in 2021</v>
      </c>
      <c r="N332" s="4" t="str">
        <f>IFERROR(__xludf.DUMMYFUNCTION("""COMPUTED_VALUE"""),"Navdeep Bains, Government of Canada")</f>
        <v>Navdeep Bains, Government of Canada</v>
      </c>
      <c r="O332" s="4" t="str">
        <f>IFERROR(__xludf.DUMMYFUNCTION("""COMPUTED_VALUE"""),"")</f>
        <v/>
      </c>
      <c r="P332" s="4" t="str">
        <f>IFERROR(__xludf.DUMMYFUNCTION("""COMPUTED_VALUE"""),"")</f>
        <v/>
      </c>
      <c r="Q332" s="4" t="str">
        <f>IFERROR(__xludf.DUMMYFUNCTION("""COMPUTED_VALUE"""),"")</f>
        <v/>
      </c>
      <c r="R332" s="4" t="str">
        <f>IFERROR(__xludf.DUMMYFUNCTION("""COMPUTED_VALUE"""),"Amber Mac, CTV")</f>
        <v>Amber Mac, CTV</v>
      </c>
      <c r="S332" s="4" t="str">
        <f>IFERROR(__xludf.DUMMYFUNCTION("""COMPUTED_VALUE"""),"")</f>
        <v/>
      </c>
      <c r="T332" s="4" t="str">
        <f>IFERROR(__xludf.DUMMYFUNCTION("""COMPUTED_VALUE"""),"NON-KEYNOTE 7 - Video to be recorded")</f>
        <v>NON-KEYNOTE 7 - Video to be recorded</v>
      </c>
      <c r="U332" s="23">
        <f>IFERROR(__xludf.DUMMYFUNCTION("""COMPUTED_VALUE"""),43991.0)</f>
        <v>43991</v>
      </c>
      <c r="V332" s="24">
        <f>IFERROR(__xludf.DUMMYFUNCTION("""COMPUTED_VALUE"""),0.6354166666666666)</f>
        <v>0.6354166667</v>
      </c>
      <c r="W332" s="21" t="str">
        <f>IFERROR(__xludf.DUMMYFUNCTION("""COMPUTED_VALUE"""),"https://zoom.us/j/99432824075?pwd=QkMwQ2l6ckl0UWJFQVgrZHhONEhqQT09")</f>
        <v>https://zoom.us/j/99432824075?pwd=QkMwQ2l6ckl0UWJFQVgrZHhONEhqQT09</v>
      </c>
      <c r="X332" s="4" t="str">
        <f>IFERROR(__xludf.DUMMYFUNCTION("""COMPUTED_VALUE"""),"Naomi")</f>
        <v>Naomi</v>
      </c>
      <c r="Y332" s="4" t="str">
        <f>IFERROR(__xludf.DUMMYFUNCTION("""COMPUTED_VALUE"""),"")</f>
        <v/>
      </c>
    </row>
    <row r="333">
      <c r="A333" s="4" t="str">
        <f>IFERROR(__xludf.DUMMYFUNCTION("""COMPUTED_VALUE"""),"381 - Channel")</f>
        <v>381 - Channel</v>
      </c>
      <c r="B333" s="4" t="str">
        <f>IFERROR(__xludf.DUMMYFUNCTION("""COMPUTED_VALUE"""),"Channel 1")</f>
        <v>Channel 1</v>
      </c>
      <c r="C333" s="4" t="str">
        <f>IFERROR(__xludf.DUMMYFUNCTION("""COMPUTED_VALUE"""),"Day 3 - 25/06")</f>
        <v>Day 3 - 25/06</v>
      </c>
      <c r="D333" s="6">
        <f>IFERROR(__xludf.DUMMYFUNCTION("""COMPUTED_VALUE"""),0.580509259259259)</f>
        <v>0.5805092593</v>
      </c>
      <c r="E333" s="6">
        <f>IFERROR(__xludf.DUMMYFUNCTION("""COMPUTED_VALUE"""),2.314814814814815E-4)</f>
        <v>0.0002314814815</v>
      </c>
      <c r="F333" s="6">
        <f>IFERROR(__xludf.DUMMYFUNCTION("""COMPUTED_VALUE"""),0.5807407407407404)</f>
        <v>0.5807407407</v>
      </c>
      <c r="G333" s="4" t="str">
        <f>IFERROR(__xludf.DUMMYFUNCTION("""COMPUTED_VALUE"""),"")</f>
        <v/>
      </c>
      <c r="H333" s="4" t="str">
        <f>IFERROR(__xludf.DUMMYFUNCTION("""COMPUTED_VALUE"""),"")</f>
        <v/>
      </c>
      <c r="I333" s="4" t="str">
        <f>IFERROR(__xludf.DUMMYFUNCTION("""COMPUTED_VALUE"""),"")</f>
        <v/>
      </c>
      <c r="J333" s="4" t="str">
        <f>IFERROR(__xludf.DUMMYFUNCTION("""COMPUTED_VALUE"""),"")</f>
        <v/>
      </c>
      <c r="K333" s="4" t="str">
        <f>IFERROR(__xludf.DUMMYFUNCTION("""COMPUTED_VALUE"""),"Talk Intro")</f>
        <v>Talk Intro</v>
      </c>
      <c r="L333" s="4" t="str">
        <f>IFERROR(__xludf.DUMMYFUNCTION("""COMPUTED_VALUE"""),"")</f>
        <v/>
      </c>
      <c r="M333" s="4" t="str">
        <f>IFERROR(__xludf.DUMMYFUNCTION("""COMPUTED_VALUE"""),"talk intro ")</f>
        <v>talk intro </v>
      </c>
      <c r="N333" s="4" t="str">
        <f>IFERROR(__xludf.DUMMYFUNCTION("""COMPUTED_VALUE"""),"Sunil Sharma, Web Summit")</f>
        <v>Sunil Sharma, Web Summit</v>
      </c>
      <c r="O333" s="4" t="str">
        <f>IFERROR(__xludf.DUMMYFUNCTION("""COMPUTED_VALUE"""),"")</f>
        <v/>
      </c>
      <c r="P333" s="4" t="str">
        <f>IFERROR(__xludf.DUMMYFUNCTION("""COMPUTED_VALUE"""),"")</f>
        <v/>
      </c>
      <c r="Q333" s="4" t="str">
        <f>IFERROR(__xludf.DUMMYFUNCTION("""COMPUTED_VALUE"""),"")</f>
        <v/>
      </c>
      <c r="R333" s="4" t="str">
        <f>IFERROR(__xludf.DUMMYFUNCTION("""COMPUTED_VALUE"""),"")</f>
        <v/>
      </c>
      <c r="S333" s="4" t="str">
        <f>IFERROR(__xludf.DUMMYFUNCTION("""COMPUTED_VALUE"""),"")</f>
        <v/>
      </c>
      <c r="T333" s="4" t="str">
        <f>IFERROR(__xludf.DUMMYFUNCTION("""COMPUTED_VALUE"""),"")</f>
        <v/>
      </c>
      <c r="U333" s="4" t="str">
        <f>IFERROR(__xludf.DUMMYFUNCTION("""COMPUTED_VALUE"""),"")</f>
        <v/>
      </c>
      <c r="V333" s="4" t="str">
        <f>IFERROR(__xludf.DUMMYFUNCTION("""COMPUTED_VALUE"""),"")</f>
        <v/>
      </c>
      <c r="W333" s="4" t="str">
        <f>IFERROR(__xludf.DUMMYFUNCTION("""COMPUTED_VALUE"""),"")</f>
        <v/>
      </c>
      <c r="X333" s="4" t="str">
        <f>IFERROR(__xludf.DUMMYFUNCTION("""COMPUTED_VALUE"""),"")</f>
        <v/>
      </c>
      <c r="Y333" s="4" t="str">
        <f>IFERROR(__xludf.DUMMYFUNCTION("""COMPUTED_VALUE"""),"")</f>
        <v/>
      </c>
    </row>
    <row r="334">
      <c r="A334" s="4" t="str">
        <f>IFERROR(__xludf.DUMMYFUNCTION("""COMPUTED_VALUE"""),"382 - Channel")</f>
        <v>382 - Channel</v>
      </c>
      <c r="B334" s="4" t="str">
        <f>IFERROR(__xludf.DUMMYFUNCTION("""COMPUTED_VALUE"""),"Channel 1")</f>
        <v>Channel 1</v>
      </c>
      <c r="C334" s="4" t="str">
        <f>IFERROR(__xludf.DUMMYFUNCTION("""COMPUTED_VALUE"""),"Day 3 - 25/06")</f>
        <v>Day 3 - 25/06</v>
      </c>
      <c r="D334" s="6">
        <f>IFERROR(__xludf.DUMMYFUNCTION("""COMPUTED_VALUE"""),0.5807407407407404)</f>
        <v>0.5807407407</v>
      </c>
      <c r="E334" s="6">
        <f>IFERROR(__xludf.DUMMYFUNCTION("""COMPUTED_VALUE"""),0.005555555555555556)</f>
        <v>0.005555555556</v>
      </c>
      <c r="F334" s="6">
        <f>IFERROR(__xludf.DUMMYFUNCTION("""COMPUTED_VALUE"""),0.586296296296296)</f>
        <v>0.5862962963</v>
      </c>
      <c r="G334" s="4" t="str">
        <f>IFERROR(__xludf.DUMMYFUNCTION("""COMPUTED_VALUE"""),"Darren")</f>
        <v>Darren</v>
      </c>
      <c r="H334" s="4" t="str">
        <f>IFERROR(__xludf.DUMMYFUNCTION("""COMPUTED_VALUE"""),"")</f>
        <v/>
      </c>
      <c r="I334" s="4" t="str">
        <f>IFERROR(__xludf.DUMMYFUNCTION("""COMPUTED_VALUE"""),"Lucia H.")</f>
        <v>Lucia H.</v>
      </c>
      <c r="J334" s="4" t="str">
        <f>IFERROR(__xludf.DUMMYFUNCTION("""COMPUTED_VALUE"""),"")</f>
        <v/>
      </c>
      <c r="K334" s="4" t="str">
        <f>IFERROR(__xludf.DUMMYFUNCTION("""COMPUTED_VALUE"""),"Keynote")</f>
        <v>Keynote</v>
      </c>
      <c r="L334" s="4" t="str">
        <f>IFERROR(__xludf.DUMMYFUNCTION("""COMPUTED_VALUE"""),"T- 4 - 25/05/2020")</f>
        <v>T- 4 - 25/05/2020</v>
      </c>
      <c r="M334" s="4" t="str">
        <f>IFERROR(__xludf.DUMMYFUNCTION("""COMPUTED_VALUE"""),"How I turned my passion into a billion-dollar business")</f>
        <v>How I turned my passion into a billion-dollar business</v>
      </c>
      <c r="N334" s="4" t="str">
        <f>IFERROR(__xludf.DUMMYFUNCTION("""COMPUTED_VALUE"""),"Josh Luber, StockX")</f>
        <v>Josh Luber, StockX</v>
      </c>
      <c r="O334" s="4" t="str">
        <f>IFERROR(__xludf.DUMMYFUNCTION("""COMPUTED_VALUE"""),"")</f>
        <v/>
      </c>
      <c r="P334" s="4" t="str">
        <f>IFERROR(__xludf.DUMMYFUNCTION("""COMPUTED_VALUE"""),"")</f>
        <v/>
      </c>
      <c r="Q334" s="4" t="str">
        <f>IFERROR(__xludf.DUMMYFUNCTION("""COMPUTED_VALUE"""),"")</f>
        <v/>
      </c>
      <c r="R334" s="4" t="str">
        <f>IFERROR(__xludf.DUMMYFUNCTION("""COMPUTED_VALUE"""),"")</f>
        <v/>
      </c>
      <c r="S334" s="4" t="str">
        <f>IFERROR(__xludf.DUMMYFUNCTION("""COMPUTED_VALUE"""),"Josh Luber channeled his childhood passion for sneakers into a company that transformed the marketplace. He laid the foundations for the world’s first sneaker stock market. In this talk, Luber tells the story of how he turned his hobby into billion-dollar"&amp;" business StockX.")</f>
        <v>Josh Luber channeled his childhood passion for sneakers into a company that transformed the marketplace. He laid the foundations for the world’s first sneaker stock market. In this talk, Luber tells the story of how he turned his hobby into billion-dollar business StockX.</v>
      </c>
      <c r="T334" s="4" t="str">
        <f>IFERROR(__xludf.DUMMYFUNCTION("""COMPUTED_VALUE"""),"NON-KEYNOTE 9 - COMPLETE")</f>
        <v>NON-KEYNOTE 9 - COMPLETE</v>
      </c>
      <c r="U334" s="23">
        <f>IFERROR(__xludf.DUMMYFUNCTION("""COMPUTED_VALUE"""),43984.0)</f>
        <v>43984</v>
      </c>
      <c r="V334" s="24">
        <f>IFERROR(__xludf.DUMMYFUNCTION("""COMPUTED_VALUE"""),0.7083333333333334)</f>
        <v>0.7083333333</v>
      </c>
      <c r="W334" s="4" t="str">
        <f>IFERROR(__xludf.DUMMYFUNCTION("""COMPUTED_VALUE"""),"COMPLETE")</f>
        <v>COMPLETE</v>
      </c>
      <c r="X334" s="4" t="str">
        <f>IFERROR(__xludf.DUMMYFUNCTION("""COMPUTED_VALUE"""),"Hugh")</f>
        <v>Hugh</v>
      </c>
      <c r="Y334" s="4" t="str">
        <f>IFERROR(__xludf.DUMMYFUNCTION("""COMPUTED_VALUE"""),"")</f>
        <v/>
      </c>
    </row>
    <row r="335">
      <c r="A335" s="4" t="str">
        <f>IFERROR(__xludf.DUMMYFUNCTION("""COMPUTED_VALUE"""),"334 - Channel")</f>
        <v>334 - Channel</v>
      </c>
      <c r="B335" s="4" t="str">
        <f>IFERROR(__xludf.DUMMYFUNCTION("""COMPUTED_VALUE"""),"Channel 1")</f>
        <v>Channel 1</v>
      </c>
      <c r="C335" s="4" t="str">
        <f>IFERROR(__xludf.DUMMYFUNCTION("""COMPUTED_VALUE"""),"Day 3 - 25/06")</f>
        <v>Day 3 - 25/06</v>
      </c>
      <c r="D335" s="6">
        <f>IFERROR(__xludf.DUMMYFUNCTION("""COMPUTED_VALUE"""),0.586296296296296)</f>
        <v>0.5862962963</v>
      </c>
      <c r="E335" s="6">
        <f>IFERROR(__xludf.DUMMYFUNCTION("""COMPUTED_VALUE"""),3.4722222222222224E-4)</f>
        <v>0.0003472222222</v>
      </c>
      <c r="F335" s="6">
        <f>IFERROR(__xludf.DUMMYFUNCTION("""COMPUTED_VALUE"""),0.5866435185185183)</f>
        <v>0.5866435185</v>
      </c>
      <c r="G335" s="4" t="str">
        <f>IFERROR(__xludf.DUMMYFUNCTION("""COMPUTED_VALUE"""),"")</f>
        <v/>
      </c>
      <c r="H335" s="4" t="str">
        <f>IFERROR(__xludf.DUMMYFUNCTION("""COMPUTED_VALUE"""),"")</f>
        <v/>
      </c>
      <c r="I335" s="4" t="str">
        <f>IFERROR(__xludf.DUMMYFUNCTION("""COMPUTED_VALUE"""),"")</f>
        <v/>
      </c>
      <c r="J335" s="4" t="str">
        <f>IFERROR(__xludf.DUMMYFUNCTION("""COMPUTED_VALUE"""),"")</f>
        <v/>
      </c>
      <c r="K335" s="4" t="str">
        <f>IFERROR(__xludf.DUMMYFUNCTION("""COMPUTED_VALUE"""),"Web Summit Trailer - full")</f>
        <v>Web Summit Trailer - full</v>
      </c>
      <c r="L335" s="4" t="str">
        <f>IFERROR(__xludf.DUMMYFUNCTION("""COMPUTED_VALUE"""),"")</f>
        <v/>
      </c>
      <c r="M335" s="4" t="str">
        <f>IFERROR(__xludf.DUMMYFUNCTION("""COMPUTED_VALUE"""),"Web Summit promo")</f>
        <v>Web Summit promo</v>
      </c>
      <c r="N335" s="4" t="str">
        <f>IFERROR(__xludf.DUMMYFUNCTION("""COMPUTED_VALUE"""),"Content pending")</f>
        <v>Content pending</v>
      </c>
      <c r="O335" s="4" t="str">
        <f>IFERROR(__xludf.DUMMYFUNCTION("""COMPUTED_VALUE"""),"")</f>
        <v/>
      </c>
      <c r="P335" s="4" t="str">
        <f>IFERROR(__xludf.DUMMYFUNCTION("""COMPUTED_VALUE"""),"")</f>
        <v/>
      </c>
      <c r="Q335" s="4" t="str">
        <f>IFERROR(__xludf.DUMMYFUNCTION("""COMPUTED_VALUE"""),"")</f>
        <v/>
      </c>
      <c r="R335" s="4" t="str">
        <f>IFERROR(__xludf.DUMMYFUNCTION("""COMPUTED_VALUE"""),"")</f>
        <v/>
      </c>
      <c r="S335" s="4" t="str">
        <f>IFERROR(__xludf.DUMMYFUNCTION("""COMPUTED_VALUE"""),"")</f>
        <v/>
      </c>
      <c r="T335" s="4" t="str">
        <f>IFERROR(__xludf.DUMMYFUNCTION("""COMPUTED_VALUE"""),"")</f>
        <v/>
      </c>
      <c r="U335" s="4" t="str">
        <f>IFERROR(__xludf.DUMMYFUNCTION("""COMPUTED_VALUE"""),"")</f>
        <v/>
      </c>
      <c r="V335" s="4" t="str">
        <f>IFERROR(__xludf.DUMMYFUNCTION("""COMPUTED_VALUE"""),"")</f>
        <v/>
      </c>
      <c r="W335" s="4" t="str">
        <f>IFERROR(__xludf.DUMMYFUNCTION("""COMPUTED_VALUE"""),"")</f>
        <v/>
      </c>
      <c r="X335" s="4" t="str">
        <f>IFERROR(__xludf.DUMMYFUNCTION("""COMPUTED_VALUE"""),"")</f>
        <v/>
      </c>
      <c r="Y335" s="4" t="str">
        <f>IFERROR(__xludf.DUMMYFUNCTION("""COMPUTED_VALUE"""),"")</f>
        <v/>
      </c>
    </row>
    <row r="336">
      <c r="A336" s="4" t="str">
        <f>IFERROR(__xludf.DUMMYFUNCTION("""COMPUTED_VALUE"""),"1798 - Channel")</f>
        <v>1798 - Channel</v>
      </c>
      <c r="B336" s="4" t="str">
        <f>IFERROR(__xludf.DUMMYFUNCTION("""COMPUTED_VALUE"""),"Channel 1")</f>
        <v>Channel 1</v>
      </c>
      <c r="C336" s="4" t="str">
        <f>IFERROR(__xludf.DUMMYFUNCTION("""COMPUTED_VALUE"""),"Day 3 - 25/06")</f>
        <v>Day 3 - 25/06</v>
      </c>
      <c r="D336" s="4" t="str">
        <f>IFERROR(__xludf.DUMMYFUNCTION("""COMPUTED_VALUE"""),"")</f>
        <v/>
      </c>
      <c r="E336" s="4" t="str">
        <f>IFERROR(__xludf.DUMMYFUNCTION("""COMPUTED_VALUE"""),"")</f>
        <v/>
      </c>
      <c r="F336" s="4" t="str">
        <f>IFERROR(__xludf.DUMMYFUNCTION("""COMPUTED_VALUE"""),"")</f>
        <v/>
      </c>
      <c r="G336" s="4" t="str">
        <f>IFERROR(__xludf.DUMMYFUNCTION("""COMPUTED_VALUE"""),"")</f>
        <v/>
      </c>
      <c r="H336" s="4" t="str">
        <f>IFERROR(__xludf.DUMMYFUNCTION("""COMPUTED_VALUE"""),"")</f>
        <v/>
      </c>
      <c r="I336" s="4" t="str">
        <f>IFERROR(__xludf.DUMMYFUNCTION("""COMPUTED_VALUE"""),"")</f>
        <v/>
      </c>
      <c r="J336" s="4" t="str">
        <f>IFERROR(__xludf.DUMMYFUNCTION("""COMPUTED_VALUE"""),"")</f>
        <v/>
      </c>
      <c r="K336" s="4" t="str">
        <f>IFERROR(__xludf.DUMMYFUNCTION("""COMPUTED_VALUE"""),"")</f>
        <v/>
      </c>
      <c r="L336" s="4" t="str">
        <f>IFERROR(__xludf.DUMMYFUNCTION("""COMPUTED_VALUE"""),"")</f>
        <v/>
      </c>
      <c r="M336" s="4" t="str">
        <f>IFERROR(__xludf.DUMMYFUNCTION("""COMPUTED_VALUE"""),"")</f>
        <v/>
      </c>
      <c r="N336" s="4" t="str">
        <f>IFERROR(__xludf.DUMMYFUNCTION("""COMPUTED_VALUE"""),"")</f>
        <v/>
      </c>
      <c r="O336" s="4" t="str">
        <f>IFERROR(__xludf.DUMMYFUNCTION("""COMPUTED_VALUE"""),"")</f>
        <v/>
      </c>
      <c r="P336" s="4" t="str">
        <f>IFERROR(__xludf.DUMMYFUNCTION("""COMPUTED_VALUE"""),"")</f>
        <v/>
      </c>
      <c r="Q336" s="4" t="str">
        <f>IFERROR(__xludf.DUMMYFUNCTION("""COMPUTED_VALUE"""),"")</f>
        <v/>
      </c>
      <c r="R336" s="4" t="str">
        <f>IFERROR(__xludf.DUMMYFUNCTION("""COMPUTED_VALUE"""),"")</f>
        <v/>
      </c>
      <c r="S336" s="4" t="str">
        <f>IFERROR(__xludf.DUMMYFUNCTION("""COMPUTED_VALUE"""),"")</f>
        <v/>
      </c>
      <c r="T336" s="4" t="str">
        <f>IFERROR(__xludf.DUMMYFUNCTION("""COMPUTED_VALUE"""),"")</f>
        <v/>
      </c>
      <c r="U336" s="4" t="str">
        <f>IFERROR(__xludf.DUMMYFUNCTION("""COMPUTED_VALUE"""),"")</f>
        <v/>
      </c>
      <c r="V336" s="4" t="str">
        <f>IFERROR(__xludf.DUMMYFUNCTION("""COMPUTED_VALUE"""),"")</f>
        <v/>
      </c>
      <c r="W336" s="4" t="str">
        <f>IFERROR(__xludf.DUMMYFUNCTION("""COMPUTED_VALUE"""),"")</f>
        <v/>
      </c>
      <c r="X336" s="4" t="str">
        <f>IFERROR(__xludf.DUMMYFUNCTION("""COMPUTED_VALUE"""),"")</f>
        <v/>
      </c>
      <c r="Y336" s="4" t="str">
        <f>IFERROR(__xludf.DUMMYFUNCTION("""COMPUTED_VALUE"""),"")</f>
        <v/>
      </c>
    </row>
    <row r="337">
      <c r="A337" s="4" t="str">
        <f>IFERROR(__xludf.DUMMYFUNCTION("""COMPUTED_VALUE"""),"335 - Channel")</f>
        <v>335 - Channel</v>
      </c>
      <c r="B337" s="4" t="str">
        <f>IFERROR(__xludf.DUMMYFUNCTION("""COMPUTED_VALUE"""),"Channel 1")</f>
        <v>Channel 1</v>
      </c>
      <c r="C337" s="4" t="str">
        <f>IFERROR(__xludf.DUMMYFUNCTION("""COMPUTED_VALUE"""),"Day 3 - 25/06")</f>
        <v>Day 3 - 25/06</v>
      </c>
      <c r="D337" s="6">
        <f>IFERROR(__xludf.DUMMYFUNCTION("""COMPUTED_VALUE"""),0.5866435185185183)</f>
        <v>0.5866435185</v>
      </c>
      <c r="E337" s="6">
        <f>IFERROR(__xludf.DUMMYFUNCTION("""COMPUTED_VALUE"""),6.944444444444445E-4)</f>
        <v>0.0006944444444</v>
      </c>
      <c r="F337" s="6">
        <f>IFERROR(__xludf.DUMMYFUNCTION("""COMPUTED_VALUE"""),0.5873379629629627)</f>
        <v>0.587337963</v>
      </c>
      <c r="G337" s="4" t="str">
        <f>IFERROR(__xludf.DUMMYFUNCTION("""COMPUTED_VALUE"""),"")</f>
        <v/>
      </c>
      <c r="H337" s="4" t="str">
        <f>IFERROR(__xludf.DUMMYFUNCTION("""COMPUTED_VALUE"""),"")</f>
        <v/>
      </c>
      <c r="I337" s="4" t="str">
        <f>IFERROR(__xludf.DUMMYFUNCTION("""COMPUTED_VALUE"""),"")</f>
        <v/>
      </c>
      <c r="J337" s="4" t="str">
        <f>IFERROR(__xludf.DUMMYFUNCTION("""COMPUTED_VALUE"""),"")</f>
        <v/>
      </c>
      <c r="K337" s="4" t="str">
        <f>IFERROR(__xludf.DUMMYFUNCTION("""COMPUTED_VALUE"""),"Laundry List/Lookaround")</f>
        <v>Laundry List/Lookaround</v>
      </c>
      <c r="L337" s="4" t="str">
        <f>IFERROR(__xludf.DUMMYFUNCTION("""COMPUTED_VALUE"""),"")</f>
        <v/>
      </c>
      <c r="M337" s="4" t="str">
        <f>IFERROR(__xludf.DUMMYFUNCTION("""COMPUTED_VALUE"""),"Laundry Day3_2PM")</f>
        <v>Laundry Day3_2PM</v>
      </c>
      <c r="N337" s="4" t="str">
        <f>IFERROR(__xludf.DUMMYFUNCTION("""COMPUTED_VALUE"""),"Yvonne Redmond, Web Summit")</f>
        <v>Yvonne Redmond, Web Summit</v>
      </c>
      <c r="O337" s="4" t="str">
        <f>IFERROR(__xludf.DUMMYFUNCTION("""COMPUTED_VALUE"""),"")</f>
        <v/>
      </c>
      <c r="P337" s="4" t="str">
        <f>IFERROR(__xludf.DUMMYFUNCTION("""COMPUTED_VALUE"""),"")</f>
        <v/>
      </c>
      <c r="Q337" s="4" t="str">
        <f>IFERROR(__xludf.DUMMYFUNCTION("""COMPUTED_VALUE"""),"")</f>
        <v/>
      </c>
      <c r="R337" s="4" t="str">
        <f>IFERROR(__xludf.DUMMYFUNCTION("""COMPUTED_VALUE"""),"")</f>
        <v/>
      </c>
      <c r="S337" s="4" t="str">
        <f>IFERROR(__xludf.DUMMYFUNCTION("""COMPUTED_VALUE"""),"")</f>
        <v/>
      </c>
      <c r="T337" s="4" t="str">
        <f>IFERROR(__xludf.DUMMYFUNCTION("""COMPUTED_VALUE"""),"")</f>
        <v/>
      </c>
      <c r="U337" s="4" t="str">
        <f>IFERROR(__xludf.DUMMYFUNCTION("""COMPUTED_VALUE"""),"")</f>
        <v/>
      </c>
      <c r="V337" s="4" t="str">
        <f>IFERROR(__xludf.DUMMYFUNCTION("""COMPUTED_VALUE"""),"")</f>
        <v/>
      </c>
      <c r="W337" s="4" t="str">
        <f>IFERROR(__xludf.DUMMYFUNCTION("""COMPUTED_VALUE"""),"")</f>
        <v/>
      </c>
      <c r="X337" s="4" t="str">
        <f>IFERROR(__xludf.DUMMYFUNCTION("""COMPUTED_VALUE"""),"")</f>
        <v/>
      </c>
      <c r="Y337" s="4" t="str">
        <f>IFERROR(__xludf.DUMMYFUNCTION("""COMPUTED_VALUE"""),"")</f>
        <v/>
      </c>
    </row>
    <row r="338">
      <c r="A338" s="4" t="str">
        <f>IFERROR(__xludf.DUMMYFUNCTION("""COMPUTED_VALUE"""),"1588 - Channel")</f>
        <v>1588 - Channel</v>
      </c>
      <c r="B338" s="4" t="str">
        <f>IFERROR(__xludf.DUMMYFUNCTION("""COMPUTED_VALUE"""),"Channel 1")</f>
        <v>Channel 1</v>
      </c>
      <c r="C338" s="4" t="str">
        <f>IFERROR(__xludf.DUMMYFUNCTION("""COMPUTED_VALUE"""),"Day 3 - 25/06")</f>
        <v>Day 3 - 25/06</v>
      </c>
      <c r="D338" s="6">
        <f>IFERROR(__xludf.DUMMYFUNCTION("""COMPUTED_VALUE"""),0.5873379629629627)</f>
        <v>0.587337963</v>
      </c>
      <c r="E338" s="6">
        <f>IFERROR(__xludf.DUMMYFUNCTION("""COMPUTED_VALUE"""),2.314814814814815E-4)</f>
        <v>0.0002314814815</v>
      </c>
      <c r="F338" s="6">
        <f>IFERROR(__xludf.DUMMYFUNCTION("""COMPUTED_VALUE"""),0.5875694444444441)</f>
        <v>0.5875694444</v>
      </c>
      <c r="G338" s="4" t="str">
        <f>IFERROR(__xludf.DUMMYFUNCTION("""COMPUTED_VALUE"""),"")</f>
        <v/>
      </c>
      <c r="H338" s="4" t="str">
        <f>IFERROR(__xludf.DUMMYFUNCTION("""COMPUTED_VALUE"""),"")</f>
        <v/>
      </c>
      <c r="I338" s="4" t="str">
        <f>IFERROR(__xludf.DUMMYFUNCTION("""COMPUTED_VALUE"""),"")</f>
        <v/>
      </c>
      <c r="J338" s="4" t="str">
        <f>IFERROR(__xludf.DUMMYFUNCTION("""COMPUTED_VALUE"""),"")</f>
        <v/>
      </c>
      <c r="K338" s="4" t="str">
        <f>IFERROR(__xludf.DUMMYFUNCTION("""COMPUTED_VALUE"""),"Talk Intro")</f>
        <v>Talk Intro</v>
      </c>
      <c r="L338" s="4" t="str">
        <f>IFERROR(__xludf.DUMMYFUNCTION("""COMPUTED_VALUE"""),"")</f>
        <v/>
      </c>
      <c r="M338" s="4" t="str">
        <f>IFERROR(__xludf.DUMMYFUNCTION("""COMPUTED_VALUE"""),"talk intro ")</f>
        <v>talk intro </v>
      </c>
      <c r="N338" s="4" t="str">
        <f>IFERROR(__xludf.DUMMYFUNCTION("""COMPUTED_VALUE"""),"Yvonne Redmond, Web Summit")</f>
        <v>Yvonne Redmond, Web Summit</v>
      </c>
      <c r="O338" s="4" t="str">
        <f>IFERROR(__xludf.DUMMYFUNCTION("""COMPUTED_VALUE"""),"")</f>
        <v/>
      </c>
      <c r="P338" s="4" t="str">
        <f>IFERROR(__xludf.DUMMYFUNCTION("""COMPUTED_VALUE"""),"")</f>
        <v/>
      </c>
      <c r="Q338" s="4" t="str">
        <f>IFERROR(__xludf.DUMMYFUNCTION("""COMPUTED_VALUE"""),"")</f>
        <v/>
      </c>
      <c r="R338" s="4" t="str">
        <f>IFERROR(__xludf.DUMMYFUNCTION("""COMPUTED_VALUE"""),"")</f>
        <v/>
      </c>
      <c r="S338" s="4" t="str">
        <f>IFERROR(__xludf.DUMMYFUNCTION("""COMPUTED_VALUE"""),"")</f>
        <v/>
      </c>
      <c r="T338" s="4" t="str">
        <f>IFERROR(__xludf.DUMMYFUNCTION("""COMPUTED_VALUE"""),"")</f>
        <v/>
      </c>
      <c r="U338" s="4" t="str">
        <f>IFERROR(__xludf.DUMMYFUNCTION("""COMPUTED_VALUE"""),"")</f>
        <v/>
      </c>
      <c r="V338" s="4" t="str">
        <f>IFERROR(__xludf.DUMMYFUNCTION("""COMPUTED_VALUE"""),"")</f>
        <v/>
      </c>
      <c r="W338" s="4" t="str">
        <f>IFERROR(__xludf.DUMMYFUNCTION("""COMPUTED_VALUE"""),"")</f>
        <v/>
      </c>
      <c r="X338" s="4" t="str">
        <f>IFERROR(__xludf.DUMMYFUNCTION("""COMPUTED_VALUE"""),"")</f>
        <v/>
      </c>
      <c r="Y338" s="4" t="str">
        <f>IFERROR(__xludf.DUMMYFUNCTION("""COMPUTED_VALUE"""),"")</f>
        <v/>
      </c>
    </row>
    <row r="339">
      <c r="A339" s="4" t="str">
        <f>IFERROR(__xludf.DUMMYFUNCTION("""COMPUTED_VALUE"""),"1589 - Channel")</f>
        <v>1589 - Channel</v>
      </c>
      <c r="B339" s="4" t="str">
        <f>IFERROR(__xludf.DUMMYFUNCTION("""COMPUTED_VALUE"""),"Channel 1")</f>
        <v>Channel 1</v>
      </c>
      <c r="C339" s="4" t="str">
        <f>IFERROR(__xludf.DUMMYFUNCTION("""COMPUTED_VALUE"""),"Day 3 - 25/06")</f>
        <v>Day 3 - 25/06</v>
      </c>
      <c r="D339" s="6">
        <f>IFERROR(__xludf.DUMMYFUNCTION("""COMPUTED_VALUE"""),0.5875694444444441)</f>
        <v>0.5875694444</v>
      </c>
      <c r="E339" s="6">
        <f>IFERROR(__xludf.DUMMYFUNCTION("""COMPUTED_VALUE"""),0.010416666666666666)</f>
        <v>0.01041666667</v>
      </c>
      <c r="F339" s="6">
        <f>IFERROR(__xludf.DUMMYFUNCTION("""COMPUTED_VALUE"""),0.5979861111111108)</f>
        <v>0.5979861111</v>
      </c>
      <c r="G339" s="4" t="str">
        <f>IFERROR(__xludf.DUMMYFUNCTION("""COMPUTED_VALUE"""),"Darren")</f>
        <v>Darren</v>
      </c>
      <c r="H339" s="4" t="str">
        <f>IFERROR(__xludf.DUMMYFUNCTION("""COMPUTED_VALUE"""),"Shauna")</f>
        <v>Shauna</v>
      </c>
      <c r="I339" s="4" t="str">
        <f>IFERROR(__xludf.DUMMYFUNCTION("""COMPUTED_VALUE"""),"Naomi")</f>
        <v>Naomi</v>
      </c>
      <c r="J339" s="4" t="str">
        <f>IFERROR(__xludf.DUMMYFUNCTION("""COMPUTED_VALUE"""),"")</f>
        <v/>
      </c>
      <c r="K339" s="4" t="str">
        <f>IFERROR(__xludf.DUMMYFUNCTION("""COMPUTED_VALUE"""),"Fireside")</f>
        <v>Fireside</v>
      </c>
      <c r="L339" s="4" t="str">
        <f>IFERROR(__xludf.DUMMYFUNCTION("""COMPUTED_VALUE"""),"")</f>
        <v/>
      </c>
      <c r="M339" s="4" t="str">
        <f>IFERROR(__xludf.DUMMYFUNCTION("""COMPUTED_VALUE"""),"Hope Solo: Building a better America")</f>
        <v>Hope Solo: Building a better America</v>
      </c>
      <c r="N339" s="4" t="str">
        <f>IFERROR(__xludf.DUMMYFUNCTION("""COMPUTED_VALUE"""),"Hope Solo, USWNT")</f>
        <v>Hope Solo, USWNT</v>
      </c>
      <c r="O339" s="4" t="str">
        <f>IFERROR(__xludf.DUMMYFUNCTION("""COMPUTED_VALUE"""),"")</f>
        <v/>
      </c>
      <c r="P339" s="4" t="str">
        <f>IFERROR(__xludf.DUMMYFUNCTION("""COMPUTED_VALUE"""),"")</f>
        <v/>
      </c>
      <c r="Q339" s="4" t="str">
        <f>IFERROR(__xludf.DUMMYFUNCTION("""COMPUTED_VALUE"""),"")</f>
        <v/>
      </c>
      <c r="R339" s="4" t="str">
        <f>IFERROR(__xludf.DUMMYFUNCTION("""COMPUTED_VALUE"""),"Ger Gilroy, Off The Ball")</f>
        <v>Ger Gilroy, Off The Ball</v>
      </c>
      <c r="S339" s="4" t="str">
        <f>IFERROR(__xludf.DUMMYFUNCTION("""COMPUTED_VALUE"""),"")</f>
        <v/>
      </c>
      <c r="T339" s="4" t="str">
        <f>IFERROR(__xludf.DUMMYFUNCTION("""COMPUTED_VALUE"""),"NON-KEYNOTE 6 - Send Zoom calendar invite")</f>
        <v>NON-KEYNOTE 6 - Send Zoom calendar invite</v>
      </c>
      <c r="U339" s="4" t="str">
        <f>IFERROR(__xludf.DUMMYFUNCTION("""COMPUTED_VALUE"""),"")</f>
        <v/>
      </c>
      <c r="V339" s="4" t="str">
        <f>IFERROR(__xludf.DUMMYFUNCTION("""COMPUTED_VALUE"""),"")</f>
        <v/>
      </c>
      <c r="W339" s="4" t="str">
        <f>IFERROR(__xludf.DUMMYFUNCTION("""COMPUTED_VALUE"""),"")</f>
        <v/>
      </c>
      <c r="X339" s="4" t="str">
        <f>IFERROR(__xludf.DUMMYFUNCTION("""COMPUTED_VALUE"""),"")</f>
        <v/>
      </c>
      <c r="Y339" s="4" t="str">
        <f>IFERROR(__xludf.DUMMYFUNCTION("""COMPUTED_VALUE"""),"")</f>
        <v/>
      </c>
    </row>
    <row r="340">
      <c r="A340" s="4" t="str">
        <f>IFERROR(__xludf.DUMMYFUNCTION("""COMPUTED_VALUE"""),"1421 - Channel")</f>
        <v>1421 - Channel</v>
      </c>
      <c r="B340" s="4" t="str">
        <f>IFERROR(__xludf.DUMMYFUNCTION("""COMPUTED_VALUE"""),"Channel 1")</f>
        <v>Channel 1</v>
      </c>
      <c r="C340" s="4" t="str">
        <f>IFERROR(__xludf.DUMMYFUNCTION("""COMPUTED_VALUE"""),"Day 3 - 25/06")</f>
        <v>Day 3 - 25/06</v>
      </c>
      <c r="D340" s="6">
        <f>IFERROR(__xludf.DUMMYFUNCTION("""COMPUTED_VALUE"""),0.5979861111111108)</f>
        <v>0.5979861111</v>
      </c>
      <c r="E340" s="6">
        <f>IFERROR(__xludf.DUMMYFUNCTION("""COMPUTED_VALUE"""),0.0012037037037037038)</f>
        <v>0.001203703704</v>
      </c>
      <c r="F340" s="6">
        <f>IFERROR(__xludf.DUMMYFUNCTION("""COMPUTED_VALUE"""),0.5991898148148145)</f>
        <v>0.5991898148</v>
      </c>
      <c r="G340" s="4" t="str">
        <f>IFERROR(__xludf.DUMMYFUNCTION("""COMPUTED_VALUE"""),"Video")</f>
        <v>Video</v>
      </c>
      <c r="H340" s="4" t="str">
        <f>IFERROR(__xludf.DUMMYFUNCTION("""COMPUTED_VALUE"""),"")</f>
        <v/>
      </c>
      <c r="I340" s="4" t="str">
        <f>IFERROR(__xludf.DUMMYFUNCTION("""COMPUTED_VALUE"""),"")</f>
        <v/>
      </c>
      <c r="J340" s="4" t="str">
        <f>IFERROR(__xludf.DUMMYFUNCTION("""COMPUTED_VALUE"""),"")</f>
        <v/>
      </c>
      <c r="K340" s="4" t="str">
        <f>IFERROR(__xludf.DUMMYFUNCTION("""COMPUTED_VALUE"""),"Voxpop")</f>
        <v>Voxpop</v>
      </c>
      <c r="L340" s="4" t="str">
        <f>IFERROR(__xludf.DUMMYFUNCTION("""COMPUTED_VALUE"""),"")</f>
        <v/>
      </c>
      <c r="M340" s="4" t="str">
        <f>IFERROR(__xludf.DUMMYFUNCTION("""COMPUTED_VALUE"""),"MTS_1_InfluentialPerson")</f>
        <v>MTS_1_InfluentialPerson</v>
      </c>
      <c r="N340" s="4" t="str">
        <f>IFERROR(__xludf.DUMMYFUNCTION("""COMPUTED_VALUE"""),"Content complete")</f>
        <v>Content complete</v>
      </c>
      <c r="O340" s="4" t="str">
        <f>IFERROR(__xludf.DUMMYFUNCTION("""COMPUTED_VALUE"""),"")</f>
        <v/>
      </c>
      <c r="P340" s="4" t="str">
        <f>IFERROR(__xludf.DUMMYFUNCTION("""COMPUTED_VALUE"""),"")</f>
        <v/>
      </c>
      <c r="Q340" s="4" t="str">
        <f>IFERROR(__xludf.DUMMYFUNCTION("""COMPUTED_VALUE"""),"")</f>
        <v/>
      </c>
      <c r="R340" s="4" t="str">
        <f>IFERROR(__xludf.DUMMYFUNCTION("""COMPUTED_VALUE"""),"")</f>
        <v/>
      </c>
      <c r="S340" s="4" t="str">
        <f>IFERROR(__xludf.DUMMYFUNCTION("""COMPUTED_VALUE"""),"")</f>
        <v/>
      </c>
      <c r="T340" s="4" t="str">
        <f>IFERROR(__xludf.DUMMYFUNCTION("""COMPUTED_VALUE"""),"")</f>
        <v/>
      </c>
      <c r="U340" s="4" t="str">
        <f>IFERROR(__xludf.DUMMYFUNCTION("""COMPUTED_VALUE"""),"")</f>
        <v/>
      </c>
      <c r="V340" s="4" t="str">
        <f>IFERROR(__xludf.DUMMYFUNCTION("""COMPUTED_VALUE"""),"")</f>
        <v/>
      </c>
      <c r="W340" s="4" t="str">
        <f>IFERROR(__xludf.DUMMYFUNCTION("""COMPUTED_VALUE"""),"")</f>
        <v/>
      </c>
      <c r="X340" s="4" t="str">
        <f>IFERROR(__xludf.DUMMYFUNCTION("""COMPUTED_VALUE"""),"")</f>
        <v/>
      </c>
      <c r="Y340" s="4" t="str">
        <f>IFERROR(__xludf.DUMMYFUNCTION("""COMPUTED_VALUE"""),"")</f>
        <v/>
      </c>
    </row>
    <row r="341">
      <c r="A341" s="4" t="str">
        <f>IFERROR(__xludf.DUMMYFUNCTION("""COMPUTED_VALUE"""),"339 - Channel")</f>
        <v>339 - Channel</v>
      </c>
      <c r="B341" s="4" t="str">
        <f>IFERROR(__xludf.DUMMYFUNCTION("""COMPUTED_VALUE"""),"Channel 1")</f>
        <v>Channel 1</v>
      </c>
      <c r="C341" s="4" t="str">
        <f>IFERROR(__xludf.DUMMYFUNCTION("""COMPUTED_VALUE"""),"Day 3 - 25/06")</f>
        <v>Day 3 - 25/06</v>
      </c>
      <c r="D341" s="6">
        <f>IFERROR(__xludf.DUMMYFUNCTION("""COMPUTED_VALUE"""),0.5991898148148145)</f>
        <v>0.5991898148</v>
      </c>
      <c r="E341" s="6">
        <f>IFERROR(__xludf.DUMMYFUNCTION("""COMPUTED_VALUE"""),2.314814814814815E-4)</f>
        <v>0.0002314814815</v>
      </c>
      <c r="F341" s="6">
        <f>IFERROR(__xludf.DUMMYFUNCTION("""COMPUTED_VALUE"""),0.5994212962962959)</f>
        <v>0.5994212963</v>
      </c>
      <c r="G341" s="4" t="str">
        <f>IFERROR(__xludf.DUMMYFUNCTION("""COMPUTED_VALUE"""),"")</f>
        <v/>
      </c>
      <c r="H341" s="4" t="str">
        <f>IFERROR(__xludf.DUMMYFUNCTION("""COMPUTED_VALUE"""),"")</f>
        <v/>
      </c>
      <c r="I341" s="4" t="str">
        <f>IFERROR(__xludf.DUMMYFUNCTION("""COMPUTED_VALUE"""),"")</f>
        <v/>
      </c>
      <c r="J341" s="4" t="str">
        <f>IFERROR(__xludf.DUMMYFUNCTION("""COMPUTED_VALUE"""),"")</f>
        <v/>
      </c>
      <c r="K341" s="4" t="str">
        <f>IFERROR(__xludf.DUMMYFUNCTION("""COMPUTED_VALUE"""),"Talk Intro")</f>
        <v>Talk Intro</v>
      </c>
      <c r="L341" s="4" t="str">
        <f>IFERROR(__xludf.DUMMYFUNCTION("""COMPUTED_VALUE"""),"")</f>
        <v/>
      </c>
      <c r="M341" s="4" t="str">
        <f>IFERROR(__xludf.DUMMYFUNCTION("""COMPUTED_VALUE"""),"Teaser:  Nikolaj Coster Waldau_Intro")</f>
        <v>Teaser:  Nikolaj Coster Waldau_Intro</v>
      </c>
      <c r="N341" s="4" t="str">
        <f>IFERROR(__xludf.DUMMYFUNCTION("""COMPUTED_VALUE"""),"Yvonne Redmond, Web Summit")</f>
        <v>Yvonne Redmond, Web Summit</v>
      </c>
      <c r="O341" s="4" t="str">
        <f>IFERROR(__xludf.DUMMYFUNCTION("""COMPUTED_VALUE"""),"")</f>
        <v/>
      </c>
      <c r="P341" s="4" t="str">
        <f>IFERROR(__xludf.DUMMYFUNCTION("""COMPUTED_VALUE"""),"")</f>
        <v/>
      </c>
      <c r="Q341" s="4" t="str">
        <f>IFERROR(__xludf.DUMMYFUNCTION("""COMPUTED_VALUE"""),"")</f>
        <v/>
      </c>
      <c r="R341" s="4" t="str">
        <f>IFERROR(__xludf.DUMMYFUNCTION("""COMPUTED_VALUE"""),"")</f>
        <v/>
      </c>
      <c r="S341" s="4" t="str">
        <f>IFERROR(__xludf.DUMMYFUNCTION("""COMPUTED_VALUE"""),"")</f>
        <v/>
      </c>
      <c r="T341" s="4" t="str">
        <f>IFERROR(__xludf.DUMMYFUNCTION("""COMPUTED_VALUE"""),"")</f>
        <v/>
      </c>
      <c r="U341" s="4" t="str">
        <f>IFERROR(__xludf.DUMMYFUNCTION("""COMPUTED_VALUE"""),"")</f>
        <v/>
      </c>
      <c r="V341" s="4" t="str">
        <f>IFERROR(__xludf.DUMMYFUNCTION("""COMPUTED_VALUE"""),"")</f>
        <v/>
      </c>
      <c r="W341" s="4" t="str">
        <f>IFERROR(__xludf.DUMMYFUNCTION("""COMPUTED_VALUE"""),"")</f>
        <v/>
      </c>
      <c r="X341" s="4" t="str">
        <f>IFERROR(__xludf.DUMMYFUNCTION("""COMPUTED_VALUE"""),"")</f>
        <v/>
      </c>
      <c r="Y341" s="4" t="str">
        <f>IFERROR(__xludf.DUMMYFUNCTION("""COMPUTED_VALUE"""),"")</f>
        <v/>
      </c>
    </row>
    <row r="342">
      <c r="A342" s="4" t="str">
        <f>IFERROR(__xludf.DUMMYFUNCTION("""COMPUTED_VALUE"""),"340 - Channel")</f>
        <v>340 - Channel</v>
      </c>
      <c r="B342" s="4" t="str">
        <f>IFERROR(__xludf.DUMMYFUNCTION("""COMPUTED_VALUE"""),"Channel 1")</f>
        <v>Channel 1</v>
      </c>
      <c r="C342" s="4" t="str">
        <f>IFERROR(__xludf.DUMMYFUNCTION("""COMPUTED_VALUE"""),"Day 3 - 25/06")</f>
        <v>Day 3 - 25/06</v>
      </c>
      <c r="D342" s="6">
        <f>IFERROR(__xludf.DUMMYFUNCTION("""COMPUTED_VALUE"""),0.5994212962962959)</f>
        <v>0.5994212963</v>
      </c>
      <c r="E342" s="6">
        <f>IFERROR(__xludf.DUMMYFUNCTION("""COMPUTED_VALUE"""),0.0020833333333333333)</f>
        <v>0.002083333333</v>
      </c>
      <c r="F342" s="6">
        <f>IFERROR(__xludf.DUMMYFUNCTION("""COMPUTED_VALUE"""),0.6015046296296293)</f>
        <v>0.6015046296</v>
      </c>
      <c r="G342" s="4" t="str">
        <f>IFERROR(__xludf.DUMMYFUNCTION("""COMPUTED_VALUE"""),"")</f>
        <v/>
      </c>
      <c r="H342" s="4" t="str">
        <f>IFERROR(__xludf.DUMMYFUNCTION("""COMPUTED_VALUE"""),"")</f>
        <v/>
      </c>
      <c r="I342" s="4" t="str">
        <f>IFERROR(__xludf.DUMMYFUNCTION("""COMPUTED_VALUE"""),"")</f>
        <v/>
      </c>
      <c r="J342" s="4" t="str">
        <f>IFERROR(__xludf.DUMMYFUNCTION("""COMPUTED_VALUE"""),"")</f>
        <v/>
      </c>
      <c r="K342" s="4" t="str">
        <f>IFERROR(__xludf.DUMMYFUNCTION("""COMPUTED_VALUE"""),"Teaser")</f>
        <v>Teaser</v>
      </c>
      <c r="L342" s="4" t="str">
        <f>IFERROR(__xludf.DUMMYFUNCTION("""COMPUTED_VALUE"""),"")</f>
        <v/>
      </c>
      <c r="M342" s="4" t="str">
        <f>IFERROR(__xludf.DUMMYFUNCTION("""COMPUTED_VALUE"""),"Teaser:  Nikolaj Coster Waldau")</f>
        <v>Teaser:  Nikolaj Coster Waldau</v>
      </c>
      <c r="N342" s="4" t="str">
        <f>IFERROR(__xludf.DUMMYFUNCTION("""COMPUTED_VALUE"""),"")</f>
        <v/>
      </c>
      <c r="O342" s="4" t="str">
        <f>IFERROR(__xludf.DUMMYFUNCTION("""COMPUTED_VALUE"""),"")</f>
        <v/>
      </c>
      <c r="P342" s="4" t="str">
        <f>IFERROR(__xludf.DUMMYFUNCTION("""COMPUTED_VALUE"""),"")</f>
        <v/>
      </c>
      <c r="Q342" s="4" t="str">
        <f>IFERROR(__xludf.DUMMYFUNCTION("""COMPUTED_VALUE"""),"")</f>
        <v/>
      </c>
      <c r="R342" s="4" t="str">
        <f>IFERROR(__xludf.DUMMYFUNCTION("""COMPUTED_VALUE"""),"")</f>
        <v/>
      </c>
      <c r="S342" s="4" t="str">
        <f>IFERROR(__xludf.DUMMYFUNCTION("""COMPUTED_VALUE"""),"")</f>
        <v/>
      </c>
      <c r="T342" s="4" t="str">
        <f>IFERROR(__xludf.DUMMYFUNCTION("""COMPUTED_VALUE"""),"")</f>
        <v/>
      </c>
      <c r="U342" s="4" t="str">
        <f>IFERROR(__xludf.DUMMYFUNCTION("""COMPUTED_VALUE"""),"")</f>
        <v/>
      </c>
      <c r="V342" s="4" t="str">
        <f>IFERROR(__xludf.DUMMYFUNCTION("""COMPUTED_VALUE"""),"")</f>
        <v/>
      </c>
      <c r="W342" s="4" t="str">
        <f>IFERROR(__xludf.DUMMYFUNCTION("""COMPUTED_VALUE"""),"")</f>
        <v/>
      </c>
      <c r="X342" s="4" t="str">
        <f>IFERROR(__xludf.DUMMYFUNCTION("""COMPUTED_VALUE"""),"")</f>
        <v/>
      </c>
      <c r="Y342" s="4" t="str">
        <f>IFERROR(__xludf.DUMMYFUNCTION("""COMPUTED_VALUE"""),"")</f>
        <v/>
      </c>
    </row>
    <row r="343">
      <c r="A343" s="4" t="str">
        <f>IFERROR(__xludf.DUMMYFUNCTION("""COMPUTED_VALUE"""),"2263 - Channel")</f>
        <v>2263 - Channel</v>
      </c>
      <c r="B343" s="4" t="str">
        <f>IFERROR(__xludf.DUMMYFUNCTION("""COMPUTED_VALUE"""),"Channel 1")</f>
        <v>Channel 1</v>
      </c>
      <c r="C343" s="4" t="str">
        <f>IFERROR(__xludf.DUMMYFUNCTION("""COMPUTED_VALUE"""),"Day 3 - 25/06")</f>
        <v>Day 3 - 25/06</v>
      </c>
      <c r="D343" s="6">
        <f>IFERROR(__xludf.DUMMYFUNCTION("""COMPUTED_VALUE"""),0.6015046296296293)</f>
        <v>0.6015046296</v>
      </c>
      <c r="E343" s="6">
        <f>IFERROR(__xludf.DUMMYFUNCTION("""COMPUTED_VALUE"""),2.314814814814815E-4)</f>
        <v>0.0002314814815</v>
      </c>
      <c r="F343" s="6">
        <f>IFERROR(__xludf.DUMMYFUNCTION("""COMPUTED_VALUE"""),0.6017361111111107)</f>
        <v>0.6017361111</v>
      </c>
      <c r="G343" s="4" t="str">
        <f>IFERROR(__xludf.DUMMYFUNCTION("""COMPUTED_VALUE"""),"")</f>
        <v/>
      </c>
      <c r="H343" s="4" t="str">
        <f>IFERROR(__xludf.DUMMYFUNCTION("""COMPUTED_VALUE"""),"")</f>
        <v/>
      </c>
      <c r="I343" s="4" t="str">
        <f>IFERROR(__xludf.DUMMYFUNCTION("""COMPUTED_VALUE"""),"")</f>
        <v/>
      </c>
      <c r="J343" s="4" t="str">
        <f>IFERROR(__xludf.DUMMYFUNCTION("""COMPUTED_VALUE"""),"")</f>
        <v/>
      </c>
      <c r="K343" s="4" t="str">
        <f>IFERROR(__xludf.DUMMYFUNCTION("""COMPUTED_VALUE"""),"Talk Outro")</f>
        <v>Talk Outro</v>
      </c>
      <c r="L343" s="4" t="str">
        <f>IFERROR(__xludf.DUMMYFUNCTION("""COMPUTED_VALUE"""),"")</f>
        <v/>
      </c>
      <c r="M343" s="4" t="str">
        <f>IFERROR(__xludf.DUMMYFUNCTION("""COMPUTED_VALUE"""),"Call to action")</f>
        <v>Call to action</v>
      </c>
      <c r="N343" s="4" t="str">
        <f>IFERROR(__xludf.DUMMYFUNCTION("""COMPUTED_VALUE"""),"Yvonne Redmond, Web Summit")</f>
        <v>Yvonne Redmond, Web Summit</v>
      </c>
      <c r="O343" s="4" t="str">
        <f>IFERROR(__xludf.DUMMYFUNCTION("""COMPUTED_VALUE"""),"")</f>
        <v/>
      </c>
      <c r="P343" s="4" t="str">
        <f>IFERROR(__xludf.DUMMYFUNCTION("""COMPUTED_VALUE"""),"")</f>
        <v/>
      </c>
      <c r="Q343" s="4" t="str">
        <f>IFERROR(__xludf.DUMMYFUNCTION("""COMPUTED_VALUE"""),"")</f>
        <v/>
      </c>
      <c r="R343" s="4" t="str">
        <f>IFERROR(__xludf.DUMMYFUNCTION("""COMPUTED_VALUE"""),"")</f>
        <v/>
      </c>
      <c r="S343" s="4" t="str">
        <f>IFERROR(__xludf.DUMMYFUNCTION("""COMPUTED_VALUE"""),"")</f>
        <v/>
      </c>
      <c r="T343" s="4" t="str">
        <f>IFERROR(__xludf.DUMMYFUNCTION("""COMPUTED_VALUE"""),"")</f>
        <v/>
      </c>
      <c r="U343" s="4" t="str">
        <f>IFERROR(__xludf.DUMMYFUNCTION("""COMPUTED_VALUE"""),"")</f>
        <v/>
      </c>
      <c r="V343" s="4" t="str">
        <f>IFERROR(__xludf.DUMMYFUNCTION("""COMPUTED_VALUE"""),"")</f>
        <v/>
      </c>
      <c r="W343" s="4" t="str">
        <f>IFERROR(__xludf.DUMMYFUNCTION("""COMPUTED_VALUE"""),"")</f>
        <v/>
      </c>
      <c r="X343" s="4" t="str">
        <f>IFERROR(__xludf.DUMMYFUNCTION("""COMPUTED_VALUE"""),"")</f>
        <v/>
      </c>
      <c r="Y343" s="4" t="str">
        <f>IFERROR(__xludf.DUMMYFUNCTION("""COMPUTED_VALUE"""),"")</f>
        <v/>
      </c>
    </row>
    <row r="344">
      <c r="A344" s="4" t="str">
        <f>IFERROR(__xludf.DUMMYFUNCTION("""COMPUTED_VALUE"""),"1424 - Channel")</f>
        <v>1424 - Channel</v>
      </c>
      <c r="B344" s="4" t="str">
        <f>IFERROR(__xludf.DUMMYFUNCTION("""COMPUTED_VALUE"""),"Channel 1")</f>
        <v>Channel 1</v>
      </c>
      <c r="C344" s="4" t="str">
        <f>IFERROR(__xludf.DUMMYFUNCTION("""COMPUTED_VALUE"""),"Day 3 - 25/06")</f>
        <v>Day 3 - 25/06</v>
      </c>
      <c r="D344" s="6">
        <f>IFERROR(__xludf.DUMMYFUNCTION("""COMPUTED_VALUE"""),0.6017361111111107)</f>
        <v>0.6017361111</v>
      </c>
      <c r="E344" s="6">
        <f>IFERROR(__xludf.DUMMYFUNCTION("""COMPUTED_VALUE"""),5.208333333333333E-4)</f>
        <v>0.0005208333333</v>
      </c>
      <c r="F344" s="6">
        <f>IFERROR(__xludf.DUMMYFUNCTION("""COMPUTED_VALUE"""),0.602256944444444)</f>
        <v>0.6022569444</v>
      </c>
      <c r="G344" s="4" t="str">
        <f>IFERROR(__xludf.DUMMYFUNCTION("""COMPUTED_VALUE"""),"")</f>
        <v/>
      </c>
      <c r="H344" s="4" t="str">
        <f>IFERROR(__xludf.DUMMYFUNCTION("""COMPUTED_VALUE"""),"")</f>
        <v/>
      </c>
      <c r="I344" s="4" t="str">
        <f>IFERROR(__xludf.DUMMYFUNCTION("""COMPUTED_VALUE"""),"")</f>
        <v/>
      </c>
      <c r="J344" s="4" t="str">
        <f>IFERROR(__xludf.DUMMYFUNCTION("""COMPUTED_VALUE"""),"")</f>
        <v/>
      </c>
      <c r="K344" s="4" t="str">
        <f>IFERROR(__xludf.DUMMYFUNCTION("""COMPUTED_VALUE"""),"Web Summit Trailer - full")</f>
        <v>Web Summit Trailer - full</v>
      </c>
      <c r="L344" s="4" t="str">
        <f>IFERROR(__xludf.DUMMYFUNCTION("""COMPUTED_VALUE"""),"")</f>
        <v/>
      </c>
      <c r="M344" s="4" t="str">
        <f>IFERROR(__xludf.DUMMYFUNCTION("""COMPUTED_VALUE"""),"Web Summit promo")</f>
        <v>Web Summit promo</v>
      </c>
      <c r="N344" s="4" t="str">
        <f>IFERROR(__xludf.DUMMYFUNCTION("""COMPUTED_VALUE"""),"Content pending")</f>
        <v>Content pending</v>
      </c>
      <c r="O344" s="4" t="str">
        <f>IFERROR(__xludf.DUMMYFUNCTION("""COMPUTED_VALUE"""),"")</f>
        <v/>
      </c>
      <c r="P344" s="4" t="str">
        <f>IFERROR(__xludf.DUMMYFUNCTION("""COMPUTED_VALUE"""),"")</f>
        <v/>
      </c>
      <c r="Q344" s="4" t="str">
        <f>IFERROR(__xludf.DUMMYFUNCTION("""COMPUTED_VALUE"""),"")</f>
        <v/>
      </c>
      <c r="R344" s="4" t="str">
        <f>IFERROR(__xludf.DUMMYFUNCTION("""COMPUTED_VALUE"""),"")</f>
        <v/>
      </c>
      <c r="S344" s="4" t="str">
        <f>IFERROR(__xludf.DUMMYFUNCTION("""COMPUTED_VALUE"""),"")</f>
        <v/>
      </c>
      <c r="T344" s="4" t="str">
        <f>IFERROR(__xludf.DUMMYFUNCTION("""COMPUTED_VALUE"""),"")</f>
        <v/>
      </c>
      <c r="U344" s="4" t="str">
        <f>IFERROR(__xludf.DUMMYFUNCTION("""COMPUTED_VALUE"""),"")</f>
        <v/>
      </c>
      <c r="V344" s="4" t="str">
        <f>IFERROR(__xludf.DUMMYFUNCTION("""COMPUTED_VALUE"""),"")</f>
        <v/>
      </c>
      <c r="W344" s="4" t="str">
        <f>IFERROR(__xludf.DUMMYFUNCTION("""COMPUTED_VALUE"""),"")</f>
        <v/>
      </c>
      <c r="X344" s="4" t="str">
        <f>IFERROR(__xludf.DUMMYFUNCTION("""COMPUTED_VALUE"""),"")</f>
        <v/>
      </c>
      <c r="Y344" s="4" t="str">
        <f>IFERROR(__xludf.DUMMYFUNCTION("""COMPUTED_VALUE"""),"")</f>
        <v/>
      </c>
    </row>
    <row r="345">
      <c r="A345" s="4" t="str">
        <f>IFERROR(__xludf.DUMMYFUNCTION("""COMPUTED_VALUE"""),"1405 - Channel")</f>
        <v>1405 - Channel</v>
      </c>
      <c r="B345" s="4" t="str">
        <f>IFERROR(__xludf.DUMMYFUNCTION("""COMPUTED_VALUE"""),"Channel 1")</f>
        <v>Channel 1</v>
      </c>
      <c r="C345" s="4" t="str">
        <f>IFERROR(__xludf.DUMMYFUNCTION("""COMPUTED_VALUE"""),"Day 3 - 25/06")</f>
        <v>Day 3 - 25/06</v>
      </c>
      <c r="D345" s="6">
        <f>IFERROR(__xludf.DUMMYFUNCTION("""COMPUTED_VALUE"""),0.602256944444444)</f>
        <v>0.6022569444</v>
      </c>
      <c r="E345" s="6">
        <f>IFERROR(__xludf.DUMMYFUNCTION("""COMPUTED_VALUE"""),2.314814814814815E-4)</f>
        <v>0.0002314814815</v>
      </c>
      <c r="F345" s="6">
        <f>IFERROR(__xludf.DUMMYFUNCTION("""COMPUTED_VALUE"""),0.6024884259259254)</f>
        <v>0.6024884259</v>
      </c>
      <c r="G345" s="4" t="str">
        <f>IFERROR(__xludf.DUMMYFUNCTION("""COMPUTED_VALUE"""),"")</f>
        <v/>
      </c>
      <c r="H345" s="4" t="str">
        <f>IFERROR(__xludf.DUMMYFUNCTION("""COMPUTED_VALUE"""),"")</f>
        <v/>
      </c>
      <c r="I345" s="4" t="str">
        <f>IFERROR(__xludf.DUMMYFUNCTION("""COMPUTED_VALUE"""),"")</f>
        <v/>
      </c>
      <c r="J345" s="4" t="str">
        <f>IFERROR(__xludf.DUMMYFUNCTION("""COMPUTED_VALUE"""),"")</f>
        <v/>
      </c>
      <c r="K345" s="4" t="str">
        <f>IFERROR(__xludf.DUMMYFUNCTION("""COMPUTED_VALUE"""),"Talk Intro")</f>
        <v>Talk Intro</v>
      </c>
      <c r="L345" s="4" t="str">
        <f>IFERROR(__xludf.DUMMYFUNCTION("""COMPUTED_VALUE"""),"")</f>
        <v/>
      </c>
      <c r="M345" s="4" t="str">
        <f>IFERROR(__xludf.DUMMYFUNCTION("""COMPUTED_VALUE"""),"Talk Intro")</f>
        <v>Talk Intro</v>
      </c>
      <c r="N345" s="4" t="str">
        <f>IFERROR(__xludf.DUMMYFUNCTION("""COMPUTED_VALUE"""),"Paddy Cosgrave, Web Summit")</f>
        <v>Paddy Cosgrave, Web Summit</v>
      </c>
      <c r="O345" s="4" t="str">
        <f>IFERROR(__xludf.DUMMYFUNCTION("""COMPUTED_VALUE"""),"Yvonne Redmond, Web Summit")</f>
        <v>Yvonne Redmond, Web Summit</v>
      </c>
      <c r="P345" s="4" t="str">
        <f>IFERROR(__xludf.DUMMYFUNCTION("""COMPUTED_VALUE"""),"")</f>
        <v/>
      </c>
      <c r="Q345" s="4" t="str">
        <f>IFERROR(__xludf.DUMMYFUNCTION("""COMPUTED_VALUE"""),"")</f>
        <v/>
      </c>
      <c r="R345" s="4" t="str">
        <f>IFERROR(__xludf.DUMMYFUNCTION("""COMPUTED_VALUE"""),"")</f>
        <v/>
      </c>
      <c r="S345" s="4" t="str">
        <f>IFERROR(__xludf.DUMMYFUNCTION("""COMPUTED_VALUE"""),"")</f>
        <v/>
      </c>
      <c r="T345" s="4" t="str">
        <f>IFERROR(__xludf.DUMMYFUNCTION("""COMPUTED_VALUE"""),"")</f>
        <v/>
      </c>
      <c r="U345" s="4" t="str">
        <f>IFERROR(__xludf.DUMMYFUNCTION("""COMPUTED_VALUE"""),"")</f>
        <v/>
      </c>
      <c r="V345" s="4" t="str">
        <f>IFERROR(__xludf.DUMMYFUNCTION("""COMPUTED_VALUE"""),"")</f>
        <v/>
      </c>
      <c r="W345" s="4" t="str">
        <f>IFERROR(__xludf.DUMMYFUNCTION("""COMPUTED_VALUE"""),"")</f>
        <v/>
      </c>
      <c r="X345" s="4" t="str">
        <f>IFERROR(__xludf.DUMMYFUNCTION("""COMPUTED_VALUE"""),"")</f>
        <v/>
      </c>
      <c r="Y345" s="4" t="str">
        <f>IFERROR(__xludf.DUMMYFUNCTION("""COMPUTED_VALUE"""),"")</f>
        <v/>
      </c>
    </row>
    <row r="346">
      <c r="A346" s="4" t="str">
        <f>IFERROR(__xludf.DUMMYFUNCTION("""COMPUTED_VALUE"""),"1279 - Channel")</f>
        <v>1279 - Channel</v>
      </c>
      <c r="B346" s="4" t="str">
        <f>IFERROR(__xludf.DUMMYFUNCTION("""COMPUTED_VALUE"""),"Channel 1")</f>
        <v>Channel 1</v>
      </c>
      <c r="C346" s="4" t="str">
        <f>IFERROR(__xludf.DUMMYFUNCTION("""COMPUTED_VALUE"""),"Day 3 - 25/06")</f>
        <v>Day 3 - 25/06</v>
      </c>
      <c r="D346" s="6">
        <f>IFERROR(__xludf.DUMMYFUNCTION("""COMPUTED_VALUE"""),0.6024884259259254)</f>
        <v>0.6024884259</v>
      </c>
      <c r="E346" s="6">
        <f>IFERROR(__xludf.DUMMYFUNCTION("""COMPUTED_VALUE"""),0.011111111111111112)</f>
        <v>0.01111111111</v>
      </c>
      <c r="F346" s="6">
        <f>IFERROR(__xludf.DUMMYFUNCTION("""COMPUTED_VALUE"""),0.6135995370370365)</f>
        <v>0.613599537</v>
      </c>
      <c r="G346" s="4" t="str">
        <f>IFERROR(__xludf.DUMMYFUNCTION("""COMPUTED_VALUE"""),"Gavin")</f>
        <v>Gavin</v>
      </c>
      <c r="H346" s="4" t="str">
        <f>IFERROR(__xludf.DUMMYFUNCTION("""COMPUTED_VALUE"""),"Eoghan")</f>
        <v>Eoghan</v>
      </c>
      <c r="I346" s="4" t="str">
        <f>IFERROR(__xludf.DUMMYFUNCTION("""COMPUTED_VALUE"""),"Lynn")</f>
        <v>Lynn</v>
      </c>
      <c r="J346" s="4" t="str">
        <f>IFERROR(__xludf.DUMMYFUNCTION("""COMPUTED_VALUE"""),"Society")</f>
        <v>Society</v>
      </c>
      <c r="K346" s="4" t="str">
        <f>IFERROR(__xludf.DUMMYFUNCTION("""COMPUTED_VALUE"""),"Panel")</f>
        <v>Panel</v>
      </c>
      <c r="L346" s="4" t="str">
        <f>IFERROR(__xludf.DUMMYFUNCTION("""COMPUTED_VALUE"""),"T- 4 - 25/05/2020")</f>
        <v>T- 4 - 25/05/2020</v>
      </c>
      <c r="M346" s="4" t="str">
        <f>IFERROR(__xludf.DUMMYFUNCTION("""COMPUTED_VALUE"""),"Blowing the whistle the right way")</f>
        <v>Blowing the whistle the right way</v>
      </c>
      <c r="N346" s="4" t="str">
        <f>IFERROR(__xludf.DUMMYFUNCTION("""COMPUTED_VALUE"""),"John Tye, Whistleblower Aid")</f>
        <v>John Tye, Whistleblower Aid</v>
      </c>
      <c r="O346" s="4" t="str">
        <f>IFERROR(__xludf.DUMMYFUNCTION("""COMPUTED_VALUE"""),"Mark Zaid, Whistleblower Aid")</f>
        <v>Mark Zaid, Whistleblower Aid</v>
      </c>
      <c r="P346" s="4" t="str">
        <f>IFERROR(__xludf.DUMMYFUNCTION("""COMPUTED_VALUE"""),"Simone Grimes, Federal Housing Finance Agency")</f>
        <v>Simone Grimes, Federal Housing Finance Agency</v>
      </c>
      <c r="Q346" s="4" t="str">
        <f>IFERROR(__xludf.DUMMYFUNCTION("""COMPUTED_VALUE"""),"")</f>
        <v/>
      </c>
      <c r="R346" s="4" t="str">
        <f>IFERROR(__xludf.DUMMYFUNCTION("""COMPUTED_VALUE"""),"Steve Clemons, The Hill")</f>
        <v>Steve Clemons, The Hill</v>
      </c>
      <c r="S346" s="4" t="str">
        <f>IFERROR(__xludf.DUMMYFUNCTION("""COMPUTED_VALUE"""),"Blowing the whistle on wrongdoing is often very hard. You can end up jobless, in legal trouble, and even in exile. This panel will explain how to do the right thing in the right way.")</f>
        <v>Blowing the whistle on wrongdoing is often very hard. You can end up jobless, in legal trouble, and even in exile. This panel will explain how to do the right thing in the right way.</v>
      </c>
      <c r="T346" s="4" t="str">
        <f>IFERROR(__xludf.DUMMYFUNCTION("""COMPUTED_VALUE"""),"NON-KEYNOTE 9 - COMPLETE")</f>
        <v>NON-KEYNOTE 9 - COMPLETE</v>
      </c>
      <c r="U346" s="23">
        <f>IFERROR(__xludf.DUMMYFUNCTION("""COMPUTED_VALUE"""),43977.0)</f>
        <v>43977</v>
      </c>
      <c r="V346" s="24">
        <f>IFERROR(__xludf.DUMMYFUNCTION("""COMPUTED_VALUE"""),0.75)</f>
        <v>0.75</v>
      </c>
      <c r="W346" s="4" t="str">
        <f>IFERROR(__xludf.DUMMYFUNCTION("""COMPUTED_VALUE"""),"COMPLETE")</f>
        <v>COMPLETE</v>
      </c>
      <c r="X346" s="4" t="str">
        <f>IFERROR(__xludf.DUMMYFUNCTION("""COMPUTED_VALUE"""),"Gavin")</f>
        <v>Gavin</v>
      </c>
      <c r="Y346" s="4" t="str">
        <f>IFERROR(__xludf.DUMMYFUNCTION("""COMPUTED_VALUE"""),"")</f>
        <v/>
      </c>
    </row>
    <row r="347">
      <c r="A347" s="4" t="str">
        <f>IFERROR(__xludf.DUMMYFUNCTION("""COMPUTED_VALUE"""),"1427 - Channel")</f>
        <v>1427 - Channel</v>
      </c>
      <c r="B347" s="4" t="str">
        <f>IFERROR(__xludf.DUMMYFUNCTION("""COMPUTED_VALUE"""),"Channel 1")</f>
        <v>Channel 1</v>
      </c>
      <c r="C347" s="4" t="str">
        <f>IFERROR(__xludf.DUMMYFUNCTION("""COMPUTED_VALUE"""),"Day 3 - 25/06")</f>
        <v>Day 3 - 25/06</v>
      </c>
      <c r="D347" s="6">
        <f>IFERROR(__xludf.DUMMYFUNCTION("""COMPUTED_VALUE"""),0.6135995370370365)</f>
        <v>0.613599537</v>
      </c>
      <c r="E347" s="6">
        <f>IFERROR(__xludf.DUMMYFUNCTION("""COMPUTED_VALUE"""),2.314814814814815E-4)</f>
        <v>0.0002314814815</v>
      </c>
      <c r="F347" s="6">
        <f>IFERROR(__xludf.DUMMYFUNCTION("""COMPUTED_VALUE"""),0.613831018518518)</f>
        <v>0.6138310185</v>
      </c>
      <c r="G347" s="4" t="str">
        <f>IFERROR(__xludf.DUMMYFUNCTION("""COMPUTED_VALUE"""),"")</f>
        <v/>
      </c>
      <c r="H347" s="4" t="str">
        <f>IFERROR(__xludf.DUMMYFUNCTION("""COMPUTED_VALUE"""),"")</f>
        <v/>
      </c>
      <c r="I347" s="4" t="str">
        <f>IFERROR(__xludf.DUMMYFUNCTION("""COMPUTED_VALUE"""),"")</f>
        <v/>
      </c>
      <c r="J347" s="4" t="str">
        <f>IFERROR(__xludf.DUMMYFUNCTION("""COMPUTED_VALUE"""),"")</f>
        <v/>
      </c>
      <c r="K347" s="4" t="str">
        <f>IFERROR(__xludf.DUMMYFUNCTION("""COMPUTED_VALUE"""),"Talk Intro")</f>
        <v>Talk Intro</v>
      </c>
      <c r="L347" s="4" t="str">
        <f>IFERROR(__xludf.DUMMYFUNCTION("""COMPUTED_VALUE"""),"")</f>
        <v/>
      </c>
      <c r="M347" s="4" t="str">
        <f>IFERROR(__xludf.DUMMYFUNCTION("""COMPUTED_VALUE"""),"Teaser: Arm_Intro")</f>
        <v>Teaser: Arm_Intro</v>
      </c>
      <c r="N347" s="4" t="str">
        <f>IFERROR(__xludf.DUMMYFUNCTION("""COMPUTED_VALUE"""),"Yvonne Redmond, Web Summit")</f>
        <v>Yvonne Redmond, Web Summit</v>
      </c>
      <c r="O347" s="4" t="str">
        <f>IFERROR(__xludf.DUMMYFUNCTION("""COMPUTED_VALUE"""),"")</f>
        <v/>
      </c>
      <c r="P347" s="4" t="str">
        <f>IFERROR(__xludf.DUMMYFUNCTION("""COMPUTED_VALUE"""),"")</f>
        <v/>
      </c>
      <c r="Q347" s="4" t="str">
        <f>IFERROR(__xludf.DUMMYFUNCTION("""COMPUTED_VALUE"""),"")</f>
        <v/>
      </c>
      <c r="R347" s="4" t="str">
        <f>IFERROR(__xludf.DUMMYFUNCTION("""COMPUTED_VALUE"""),"")</f>
        <v/>
      </c>
      <c r="S347" s="4" t="str">
        <f>IFERROR(__xludf.DUMMYFUNCTION("""COMPUTED_VALUE"""),"")</f>
        <v/>
      </c>
      <c r="T347" s="4" t="str">
        <f>IFERROR(__xludf.DUMMYFUNCTION("""COMPUTED_VALUE"""),"")</f>
        <v/>
      </c>
      <c r="U347" s="4" t="str">
        <f>IFERROR(__xludf.DUMMYFUNCTION("""COMPUTED_VALUE"""),"")</f>
        <v/>
      </c>
      <c r="V347" s="4" t="str">
        <f>IFERROR(__xludf.DUMMYFUNCTION("""COMPUTED_VALUE"""),"")</f>
        <v/>
      </c>
      <c r="W347" s="4" t="str">
        <f>IFERROR(__xludf.DUMMYFUNCTION("""COMPUTED_VALUE"""),"")</f>
        <v/>
      </c>
      <c r="X347" s="4" t="str">
        <f>IFERROR(__xludf.DUMMYFUNCTION("""COMPUTED_VALUE"""),"")</f>
        <v/>
      </c>
      <c r="Y347" s="4" t="str">
        <f>IFERROR(__xludf.DUMMYFUNCTION("""COMPUTED_VALUE"""),"")</f>
        <v/>
      </c>
    </row>
    <row r="348">
      <c r="A348" s="4" t="str">
        <f>IFERROR(__xludf.DUMMYFUNCTION("""COMPUTED_VALUE"""),"1429 - Channel")</f>
        <v>1429 - Channel</v>
      </c>
      <c r="B348" s="4" t="str">
        <f>IFERROR(__xludf.DUMMYFUNCTION("""COMPUTED_VALUE"""),"Channel 1")</f>
        <v>Channel 1</v>
      </c>
      <c r="C348" s="4" t="str">
        <f>IFERROR(__xludf.DUMMYFUNCTION("""COMPUTED_VALUE"""),"Day 3 - 25/06")</f>
        <v>Day 3 - 25/06</v>
      </c>
      <c r="D348" s="6">
        <f>IFERROR(__xludf.DUMMYFUNCTION("""COMPUTED_VALUE"""),0.613831018518518)</f>
        <v>0.6138310185</v>
      </c>
      <c r="E348" s="6">
        <f>IFERROR(__xludf.DUMMYFUNCTION("""COMPUTED_VALUE"""),0.0020833333333333333)</f>
        <v>0.002083333333</v>
      </c>
      <c r="F348" s="6">
        <f>IFERROR(__xludf.DUMMYFUNCTION("""COMPUTED_VALUE"""),0.6159143518518513)</f>
        <v>0.6159143519</v>
      </c>
      <c r="G348" s="4" t="str">
        <f>IFERROR(__xludf.DUMMYFUNCTION("""COMPUTED_VALUE"""),"Carol")</f>
        <v>Carol</v>
      </c>
      <c r="H348" s="4" t="str">
        <f>IFERROR(__xludf.DUMMYFUNCTION("""COMPUTED_VALUE"""),"")</f>
        <v/>
      </c>
      <c r="I348" s="4" t="str">
        <f>IFERROR(__xludf.DUMMYFUNCTION("""COMPUTED_VALUE"""),"Jack")</f>
        <v>Jack</v>
      </c>
      <c r="J348" s="4" t="str">
        <f>IFERROR(__xludf.DUMMYFUNCTION("""COMPUTED_VALUE"""),"")</f>
        <v/>
      </c>
      <c r="K348" s="4" t="str">
        <f>IFERROR(__xludf.DUMMYFUNCTION("""COMPUTED_VALUE"""),"Teaser")</f>
        <v>Teaser</v>
      </c>
      <c r="L348" s="4" t="str">
        <f>IFERROR(__xludf.DUMMYFUNCTION("""COMPUTED_VALUE"""),"")</f>
        <v/>
      </c>
      <c r="M348" s="4" t="str">
        <f>IFERROR(__xludf.DUMMYFUNCTION("""COMPUTED_VALUE"""),"Teaser: Arm")</f>
        <v>Teaser: Arm</v>
      </c>
      <c r="N348" s="4" t="str">
        <f>IFERROR(__xludf.DUMMYFUNCTION("""COMPUTED_VALUE"""),"")</f>
        <v/>
      </c>
      <c r="O348" s="4" t="str">
        <f>IFERROR(__xludf.DUMMYFUNCTION("""COMPUTED_VALUE"""),"")</f>
        <v/>
      </c>
      <c r="P348" s="4" t="str">
        <f>IFERROR(__xludf.DUMMYFUNCTION("""COMPUTED_VALUE"""),"")</f>
        <v/>
      </c>
      <c r="Q348" s="4" t="str">
        <f>IFERROR(__xludf.DUMMYFUNCTION("""COMPUTED_VALUE"""),"")</f>
        <v/>
      </c>
      <c r="R348" s="4" t="str">
        <f>IFERROR(__xludf.DUMMYFUNCTION("""COMPUTED_VALUE"""),"")</f>
        <v/>
      </c>
      <c r="S348" s="4" t="str">
        <f>IFERROR(__xludf.DUMMYFUNCTION("""COMPUTED_VALUE"""),"The creator of the world's leading selfie app presents their vision for a new wave of apps.")</f>
        <v>The creator of the world's leading selfie app presents their vision for a new wave of apps.</v>
      </c>
      <c r="T348" s="4" t="str">
        <f>IFERROR(__xludf.DUMMYFUNCTION("""COMPUTED_VALUE"""),"N/A")</f>
        <v>N/A</v>
      </c>
      <c r="U348" s="4" t="str">
        <f>IFERROR(__xludf.DUMMYFUNCTION("""COMPUTED_VALUE"""),"")</f>
        <v/>
      </c>
      <c r="V348" s="4" t="str">
        <f>IFERROR(__xludf.DUMMYFUNCTION("""COMPUTED_VALUE"""),"")</f>
        <v/>
      </c>
      <c r="W348" s="4" t="str">
        <f>IFERROR(__xludf.DUMMYFUNCTION("""COMPUTED_VALUE"""),"")</f>
        <v/>
      </c>
      <c r="X348" s="4" t="str">
        <f>IFERROR(__xludf.DUMMYFUNCTION("""COMPUTED_VALUE"""),"Carol")</f>
        <v>Carol</v>
      </c>
      <c r="Y348" s="4" t="str">
        <f>IFERROR(__xludf.DUMMYFUNCTION("""COMPUTED_VALUE"""),"")</f>
        <v/>
      </c>
    </row>
    <row r="349">
      <c r="A349" s="4" t="str">
        <f>IFERROR(__xludf.DUMMYFUNCTION("""COMPUTED_VALUE"""),"2264 - Channel")</f>
        <v>2264 - Channel</v>
      </c>
      <c r="B349" s="4" t="str">
        <f>IFERROR(__xludf.DUMMYFUNCTION("""COMPUTED_VALUE"""),"Channel 1")</f>
        <v>Channel 1</v>
      </c>
      <c r="C349" s="4" t="str">
        <f>IFERROR(__xludf.DUMMYFUNCTION("""COMPUTED_VALUE"""),"Day 3 - 25/06")</f>
        <v>Day 3 - 25/06</v>
      </c>
      <c r="D349" s="6">
        <f>IFERROR(__xludf.DUMMYFUNCTION("""COMPUTED_VALUE"""),0.6159143518518513)</f>
        <v>0.6159143519</v>
      </c>
      <c r="E349" s="6">
        <f>IFERROR(__xludf.DUMMYFUNCTION("""COMPUTED_VALUE"""),2.314814814814815E-4)</f>
        <v>0.0002314814815</v>
      </c>
      <c r="F349" s="6">
        <f>IFERROR(__xludf.DUMMYFUNCTION("""COMPUTED_VALUE"""),0.6161458333333327)</f>
        <v>0.6161458333</v>
      </c>
      <c r="G349" s="4" t="str">
        <f>IFERROR(__xludf.DUMMYFUNCTION("""COMPUTED_VALUE"""),"")</f>
        <v/>
      </c>
      <c r="H349" s="4" t="str">
        <f>IFERROR(__xludf.DUMMYFUNCTION("""COMPUTED_VALUE"""),"")</f>
        <v/>
      </c>
      <c r="I349" s="4" t="str">
        <f>IFERROR(__xludf.DUMMYFUNCTION("""COMPUTED_VALUE"""),"")</f>
        <v/>
      </c>
      <c r="J349" s="4" t="str">
        <f>IFERROR(__xludf.DUMMYFUNCTION("""COMPUTED_VALUE"""),"")</f>
        <v/>
      </c>
      <c r="K349" s="4" t="str">
        <f>IFERROR(__xludf.DUMMYFUNCTION("""COMPUTED_VALUE"""),"Talk Outro")</f>
        <v>Talk Outro</v>
      </c>
      <c r="L349" s="4" t="str">
        <f>IFERROR(__xludf.DUMMYFUNCTION("""COMPUTED_VALUE"""),"")</f>
        <v/>
      </c>
      <c r="M349" s="4" t="str">
        <f>IFERROR(__xludf.DUMMYFUNCTION("""COMPUTED_VALUE"""),"Call to action")</f>
        <v>Call to action</v>
      </c>
      <c r="N349" s="4" t="str">
        <f>IFERROR(__xludf.DUMMYFUNCTION("""COMPUTED_VALUE"""),"Yvonne Redmond, Web Summit")</f>
        <v>Yvonne Redmond, Web Summit</v>
      </c>
      <c r="O349" s="4" t="str">
        <f>IFERROR(__xludf.DUMMYFUNCTION("""COMPUTED_VALUE"""),"")</f>
        <v/>
      </c>
      <c r="P349" s="4" t="str">
        <f>IFERROR(__xludf.DUMMYFUNCTION("""COMPUTED_VALUE"""),"")</f>
        <v/>
      </c>
      <c r="Q349" s="4" t="str">
        <f>IFERROR(__xludf.DUMMYFUNCTION("""COMPUTED_VALUE"""),"")</f>
        <v/>
      </c>
      <c r="R349" s="4" t="str">
        <f>IFERROR(__xludf.DUMMYFUNCTION("""COMPUTED_VALUE"""),"")</f>
        <v/>
      </c>
      <c r="S349" s="4" t="str">
        <f>IFERROR(__xludf.DUMMYFUNCTION("""COMPUTED_VALUE"""),"")</f>
        <v/>
      </c>
      <c r="T349" s="4" t="str">
        <f>IFERROR(__xludf.DUMMYFUNCTION("""COMPUTED_VALUE"""),"")</f>
        <v/>
      </c>
      <c r="U349" s="4" t="str">
        <f>IFERROR(__xludf.DUMMYFUNCTION("""COMPUTED_VALUE"""),"")</f>
        <v/>
      </c>
      <c r="V349" s="4" t="str">
        <f>IFERROR(__xludf.DUMMYFUNCTION("""COMPUTED_VALUE"""),"")</f>
        <v/>
      </c>
      <c r="W349" s="4" t="str">
        <f>IFERROR(__xludf.DUMMYFUNCTION("""COMPUTED_VALUE"""),"")</f>
        <v/>
      </c>
      <c r="X349" s="4" t="str">
        <f>IFERROR(__xludf.DUMMYFUNCTION("""COMPUTED_VALUE"""),"")</f>
        <v/>
      </c>
      <c r="Y349" s="4" t="str">
        <f>IFERROR(__xludf.DUMMYFUNCTION("""COMPUTED_VALUE"""),"")</f>
        <v/>
      </c>
    </row>
    <row r="350">
      <c r="A350" s="4" t="str">
        <f>IFERROR(__xludf.DUMMYFUNCTION("""COMPUTED_VALUE"""),"12 - Channel")</f>
        <v>12 - Channel</v>
      </c>
      <c r="B350" s="4" t="str">
        <f>IFERROR(__xludf.DUMMYFUNCTION("""COMPUTED_VALUE"""),"Channel 1")</f>
        <v>Channel 1</v>
      </c>
      <c r="C350" s="4" t="str">
        <f>IFERROR(__xludf.DUMMYFUNCTION("""COMPUTED_VALUE"""),"Day 3 - 25/06")</f>
        <v>Day 3 - 25/06</v>
      </c>
      <c r="D350" s="6">
        <f>IFERROR(__xludf.DUMMYFUNCTION("""COMPUTED_VALUE"""),0.6161458333333327)</f>
        <v>0.6161458333</v>
      </c>
      <c r="E350" s="6">
        <f>IFERROR(__xludf.DUMMYFUNCTION("""COMPUTED_VALUE"""),2.314814814814815E-4)</f>
        <v>0.0002314814815</v>
      </c>
      <c r="F350" s="6">
        <f>IFERROR(__xludf.DUMMYFUNCTION("""COMPUTED_VALUE"""),0.6163773148148142)</f>
        <v>0.6163773148</v>
      </c>
      <c r="G350" s="4" t="str">
        <f>IFERROR(__xludf.DUMMYFUNCTION("""COMPUTED_VALUE"""),"")</f>
        <v/>
      </c>
      <c r="H350" s="4" t="str">
        <f>IFERROR(__xludf.DUMMYFUNCTION("""COMPUTED_VALUE"""),"")</f>
        <v/>
      </c>
      <c r="I350" s="4" t="str">
        <f>IFERROR(__xludf.DUMMYFUNCTION("""COMPUTED_VALUE"""),"")</f>
        <v/>
      </c>
      <c r="J350" s="4" t="str">
        <f>IFERROR(__xludf.DUMMYFUNCTION("""COMPUTED_VALUE"""),"")</f>
        <v/>
      </c>
      <c r="K350" s="4" t="str">
        <f>IFERROR(__xludf.DUMMYFUNCTION("""COMPUTED_VALUE"""),"Talk Intro")</f>
        <v>Talk Intro</v>
      </c>
      <c r="L350" s="4" t="str">
        <f>IFERROR(__xludf.DUMMYFUNCTION("""COMPUTED_VALUE"""),"")</f>
        <v/>
      </c>
      <c r="M350" s="4" t="str">
        <f>IFERROR(__xludf.DUMMYFUNCTION("""COMPUTED_VALUE"""),"Talk Intro")</f>
        <v>Talk Intro</v>
      </c>
      <c r="N350" s="4" t="str">
        <f>IFERROR(__xludf.DUMMYFUNCTION("""COMPUTED_VALUE"""),"Yvonne Redmond, Web Summit")</f>
        <v>Yvonne Redmond, Web Summit</v>
      </c>
      <c r="O350" s="4" t="str">
        <f>IFERROR(__xludf.DUMMYFUNCTION("""COMPUTED_VALUE"""),"")</f>
        <v/>
      </c>
      <c r="P350" s="4" t="str">
        <f>IFERROR(__xludf.DUMMYFUNCTION("""COMPUTED_VALUE"""),"")</f>
        <v/>
      </c>
      <c r="Q350" s="4" t="str">
        <f>IFERROR(__xludf.DUMMYFUNCTION("""COMPUTED_VALUE"""),"")</f>
        <v/>
      </c>
      <c r="R350" s="4" t="str">
        <f>IFERROR(__xludf.DUMMYFUNCTION("""COMPUTED_VALUE"""),"")</f>
        <v/>
      </c>
      <c r="S350" s="4" t="str">
        <f>IFERROR(__xludf.DUMMYFUNCTION("""COMPUTED_VALUE"""),"")</f>
        <v/>
      </c>
      <c r="T350" s="4" t="str">
        <f>IFERROR(__xludf.DUMMYFUNCTION("""COMPUTED_VALUE"""),"")</f>
        <v/>
      </c>
      <c r="U350" s="4" t="str">
        <f>IFERROR(__xludf.DUMMYFUNCTION("""COMPUTED_VALUE"""),"")</f>
        <v/>
      </c>
      <c r="V350" s="4" t="str">
        <f>IFERROR(__xludf.DUMMYFUNCTION("""COMPUTED_VALUE"""),"")</f>
        <v/>
      </c>
      <c r="W350" s="4" t="str">
        <f>IFERROR(__xludf.DUMMYFUNCTION("""COMPUTED_VALUE"""),"")</f>
        <v/>
      </c>
      <c r="X350" s="4" t="str">
        <f>IFERROR(__xludf.DUMMYFUNCTION("""COMPUTED_VALUE"""),"")</f>
        <v/>
      </c>
      <c r="Y350" s="4" t="str">
        <f>IFERROR(__xludf.DUMMYFUNCTION("""COMPUTED_VALUE"""),"")</f>
        <v/>
      </c>
    </row>
    <row r="351">
      <c r="A351" s="4" t="str">
        <f>IFERROR(__xludf.DUMMYFUNCTION("""COMPUTED_VALUE"""),"13 - Channel")</f>
        <v>13 - Channel</v>
      </c>
      <c r="B351" s="4" t="str">
        <f>IFERROR(__xludf.DUMMYFUNCTION("""COMPUTED_VALUE"""),"Channel 1")</f>
        <v>Channel 1</v>
      </c>
      <c r="C351" s="4" t="str">
        <f>IFERROR(__xludf.DUMMYFUNCTION("""COMPUTED_VALUE"""),"Day 3 - 25/06")</f>
        <v>Day 3 - 25/06</v>
      </c>
      <c r="D351" s="6">
        <f>IFERROR(__xludf.DUMMYFUNCTION("""COMPUTED_VALUE"""),0.6163773148148142)</f>
        <v>0.6163773148</v>
      </c>
      <c r="E351" s="6">
        <f>IFERROR(__xludf.DUMMYFUNCTION("""COMPUTED_VALUE"""),0.010416666666666666)</f>
        <v>0.01041666667</v>
      </c>
      <c r="F351" s="6">
        <f>IFERROR(__xludf.DUMMYFUNCTION("""COMPUTED_VALUE"""),0.6267939814814808)</f>
        <v>0.6267939815</v>
      </c>
      <c r="G351" s="4" t="str">
        <f>IFERROR(__xludf.DUMMYFUNCTION("""COMPUTED_VALUE"""),"Lobna")</f>
        <v>Lobna</v>
      </c>
      <c r="H351" s="4" t="str">
        <f>IFERROR(__xludf.DUMMYFUNCTION("""COMPUTED_VALUE"""),"Stephen")</f>
        <v>Stephen</v>
      </c>
      <c r="I351" s="4" t="str">
        <f>IFERROR(__xludf.DUMMYFUNCTION("""COMPUTED_VALUE"""),"Manon")</f>
        <v>Manon</v>
      </c>
      <c r="J351" s="4" t="str">
        <f>IFERROR(__xludf.DUMMYFUNCTION("""COMPUTED_VALUE"""),"Leadership")</f>
        <v>Leadership</v>
      </c>
      <c r="K351" s="4" t="str">
        <f>IFERROR(__xludf.DUMMYFUNCTION("""COMPUTED_VALUE"""),"Super Fireside")</f>
        <v>Super Fireside</v>
      </c>
      <c r="L351" s="4" t="str">
        <f>IFERROR(__xludf.DUMMYFUNCTION("""COMPUTED_VALUE"""),"T- 5 - 18/05/2020")</f>
        <v>T- 5 - 18/05/2020</v>
      </c>
      <c r="M351" s="4" t="str">
        <f>IFERROR(__xludf.DUMMYFUNCTION("""COMPUTED_VALUE"""),"What to do when you're in the spotlight")</f>
        <v>What to do when you're in the spotlight</v>
      </c>
      <c r="N351" s="4" t="str">
        <f>IFERROR(__xludf.DUMMYFUNCTION("""COMPUTED_VALUE"""),"Terrell Owens, Terrell Owens")</f>
        <v>Terrell Owens, Terrell Owens</v>
      </c>
      <c r="O351" s="4" t="str">
        <f>IFERROR(__xludf.DUMMYFUNCTION("""COMPUTED_VALUE"""),"Joe La Puma, Complex Networks")</f>
        <v>Joe La Puma, Complex Networks</v>
      </c>
      <c r="P351" s="4" t="str">
        <f>IFERROR(__xludf.DUMMYFUNCTION("""COMPUTED_VALUE"""),"")</f>
        <v/>
      </c>
      <c r="Q351" s="4" t="str">
        <f>IFERROR(__xludf.DUMMYFUNCTION("""COMPUTED_VALUE"""),"")</f>
        <v/>
      </c>
      <c r="R351" s="4" t="str">
        <f>IFERROR(__xludf.DUMMYFUNCTION("""COMPUTED_VALUE"""),"Jade Scipioni, NBCUniversal")</f>
        <v>Jade Scipioni, NBCUniversal</v>
      </c>
      <c r="S351" s="4" t="str">
        <f>IFERROR(__xludf.DUMMYFUNCTION("""COMPUTED_VALUE"""),"Life in the public eye, in any industry, comes with its own unique challenges. We asked those who know the spotlight best how they cope in its glare.")</f>
        <v>Life in the public eye, in any industry, comes with its own unique challenges. We asked those who know the spotlight best how they cope in its glare.</v>
      </c>
      <c r="T351" s="4" t="str">
        <f>IFERROR(__xludf.DUMMYFUNCTION("""COMPUTED_VALUE"""),"Recording MISSED/NEEDS TO BE RERECORDED/RESCHEDULED")</f>
        <v>Recording MISSED/NEEDS TO BE RERECORDED/RESCHEDULED</v>
      </c>
      <c r="U351" s="23">
        <f>IFERROR(__xludf.DUMMYFUNCTION("""COMPUTED_VALUE"""),43992.0)</f>
        <v>43992</v>
      </c>
      <c r="V351" s="4" t="str">
        <f>IFERROR(__xludf.DUMMYFUNCTION("""COMPUTED_VALUE"""),"")</f>
        <v/>
      </c>
      <c r="W351" s="4" t="str">
        <f>IFERROR(__xludf.DUMMYFUNCTION("""COMPUTED_VALUE"""),"")</f>
        <v/>
      </c>
      <c r="X351" s="4" t="str">
        <f>IFERROR(__xludf.DUMMYFUNCTION("""COMPUTED_VALUE"""),"")</f>
        <v/>
      </c>
      <c r="Y351" s="4" t="str">
        <f>IFERROR(__xludf.DUMMYFUNCTION("""COMPUTED_VALUE"""),"")</f>
        <v/>
      </c>
    </row>
    <row r="352">
      <c r="A352" s="4" t="str">
        <f>IFERROR(__xludf.DUMMYFUNCTION("""COMPUTED_VALUE"""),"1594 - Channel")</f>
        <v>1594 - Channel</v>
      </c>
      <c r="B352" s="4" t="str">
        <f>IFERROR(__xludf.DUMMYFUNCTION("""COMPUTED_VALUE"""),"Channel 1")</f>
        <v>Channel 1</v>
      </c>
      <c r="C352" s="4" t="str">
        <f>IFERROR(__xludf.DUMMYFUNCTION("""COMPUTED_VALUE"""),"Day 3 - 25/06")</f>
        <v>Day 3 - 25/06</v>
      </c>
      <c r="D352" s="6">
        <f>IFERROR(__xludf.DUMMYFUNCTION("""COMPUTED_VALUE"""),0.6267939814814808)</f>
        <v>0.6267939815</v>
      </c>
      <c r="E352" s="6">
        <f>IFERROR(__xludf.DUMMYFUNCTION("""COMPUTED_VALUE"""),3.4722222222222224E-4)</f>
        <v>0.0003472222222</v>
      </c>
      <c r="F352" s="6">
        <f>IFERROR(__xludf.DUMMYFUNCTION("""COMPUTED_VALUE"""),0.6271412037037031)</f>
        <v>0.6271412037</v>
      </c>
      <c r="G352" s="4" t="str">
        <f>IFERROR(__xludf.DUMMYFUNCTION("""COMPUTED_VALUE"""),"")</f>
        <v/>
      </c>
      <c r="H352" s="4" t="str">
        <f>IFERROR(__xludf.DUMMYFUNCTION("""COMPUTED_VALUE"""),"")</f>
        <v/>
      </c>
      <c r="I352" s="4" t="str">
        <f>IFERROR(__xludf.DUMMYFUNCTION("""COMPUTED_VALUE"""),"")</f>
        <v/>
      </c>
      <c r="J352" s="4" t="str">
        <f>IFERROR(__xludf.DUMMYFUNCTION("""COMPUTED_VALUE"""),"")</f>
        <v/>
      </c>
      <c r="K352" s="4" t="str">
        <f>IFERROR(__xludf.DUMMYFUNCTION("""COMPUTED_VALUE"""),"Web Summit Trailer - full")</f>
        <v>Web Summit Trailer - full</v>
      </c>
      <c r="L352" s="4" t="str">
        <f>IFERROR(__xludf.DUMMYFUNCTION("""COMPUTED_VALUE"""),"")</f>
        <v/>
      </c>
      <c r="M352" s="4" t="str">
        <f>IFERROR(__xludf.DUMMYFUNCTION("""COMPUTED_VALUE"""),"Web Summit promo")</f>
        <v>Web Summit promo</v>
      </c>
      <c r="N352" s="4" t="str">
        <f>IFERROR(__xludf.DUMMYFUNCTION("""COMPUTED_VALUE"""),"Content pending")</f>
        <v>Content pending</v>
      </c>
      <c r="O352" s="4" t="str">
        <f>IFERROR(__xludf.DUMMYFUNCTION("""COMPUTED_VALUE"""),"")</f>
        <v/>
      </c>
      <c r="P352" s="4" t="str">
        <f>IFERROR(__xludf.DUMMYFUNCTION("""COMPUTED_VALUE"""),"")</f>
        <v/>
      </c>
      <c r="Q352" s="4" t="str">
        <f>IFERROR(__xludf.DUMMYFUNCTION("""COMPUTED_VALUE"""),"")</f>
        <v/>
      </c>
      <c r="R352" s="4" t="str">
        <f>IFERROR(__xludf.DUMMYFUNCTION("""COMPUTED_VALUE"""),"")</f>
        <v/>
      </c>
      <c r="S352" s="4" t="str">
        <f>IFERROR(__xludf.DUMMYFUNCTION("""COMPUTED_VALUE"""),"")</f>
        <v/>
      </c>
      <c r="T352" s="4" t="str">
        <f>IFERROR(__xludf.DUMMYFUNCTION("""COMPUTED_VALUE"""),"")</f>
        <v/>
      </c>
      <c r="U352" s="4" t="str">
        <f>IFERROR(__xludf.DUMMYFUNCTION("""COMPUTED_VALUE"""),"")</f>
        <v/>
      </c>
      <c r="V352" s="4" t="str">
        <f>IFERROR(__xludf.DUMMYFUNCTION("""COMPUTED_VALUE"""),"")</f>
        <v/>
      </c>
      <c r="W352" s="4" t="str">
        <f>IFERROR(__xludf.DUMMYFUNCTION("""COMPUTED_VALUE"""),"")</f>
        <v/>
      </c>
      <c r="X352" s="4" t="str">
        <f>IFERROR(__xludf.DUMMYFUNCTION("""COMPUTED_VALUE"""),"")</f>
        <v/>
      </c>
      <c r="Y352" s="4" t="str">
        <f>IFERROR(__xludf.DUMMYFUNCTION("""COMPUTED_VALUE"""),"")</f>
        <v/>
      </c>
    </row>
    <row r="353">
      <c r="A353" s="4" t="str">
        <f>IFERROR(__xludf.DUMMYFUNCTION("""COMPUTED_VALUE"""),"1799 - Channel")</f>
        <v>1799 - Channel</v>
      </c>
      <c r="B353" s="4" t="str">
        <f>IFERROR(__xludf.DUMMYFUNCTION("""COMPUTED_VALUE"""),"Channel 1")</f>
        <v>Channel 1</v>
      </c>
      <c r="C353" s="4" t="str">
        <f>IFERROR(__xludf.DUMMYFUNCTION("""COMPUTED_VALUE"""),"Day 3 - 25/06")</f>
        <v>Day 3 - 25/06</v>
      </c>
      <c r="D353" s="4" t="str">
        <f>IFERROR(__xludf.DUMMYFUNCTION("""COMPUTED_VALUE"""),"")</f>
        <v/>
      </c>
      <c r="E353" s="4" t="str">
        <f>IFERROR(__xludf.DUMMYFUNCTION("""COMPUTED_VALUE"""),"")</f>
        <v/>
      </c>
      <c r="F353" s="4" t="str">
        <f>IFERROR(__xludf.DUMMYFUNCTION("""COMPUTED_VALUE"""),"")</f>
        <v/>
      </c>
      <c r="G353" s="4" t="str">
        <f>IFERROR(__xludf.DUMMYFUNCTION("""COMPUTED_VALUE"""),"")</f>
        <v/>
      </c>
      <c r="H353" s="4" t="str">
        <f>IFERROR(__xludf.DUMMYFUNCTION("""COMPUTED_VALUE"""),"")</f>
        <v/>
      </c>
      <c r="I353" s="4" t="str">
        <f>IFERROR(__xludf.DUMMYFUNCTION("""COMPUTED_VALUE"""),"")</f>
        <v/>
      </c>
      <c r="J353" s="4" t="str">
        <f>IFERROR(__xludf.DUMMYFUNCTION("""COMPUTED_VALUE"""),"")</f>
        <v/>
      </c>
      <c r="K353" s="4" t="str">
        <f>IFERROR(__xludf.DUMMYFUNCTION("""COMPUTED_VALUE"""),"")</f>
        <v/>
      </c>
      <c r="L353" s="4" t="str">
        <f>IFERROR(__xludf.DUMMYFUNCTION("""COMPUTED_VALUE"""),"")</f>
        <v/>
      </c>
      <c r="M353" s="4" t="str">
        <f>IFERROR(__xludf.DUMMYFUNCTION("""COMPUTED_VALUE"""),"")</f>
        <v/>
      </c>
      <c r="N353" s="4" t="str">
        <f>IFERROR(__xludf.DUMMYFUNCTION("""COMPUTED_VALUE"""),"")</f>
        <v/>
      </c>
      <c r="O353" s="4" t="str">
        <f>IFERROR(__xludf.DUMMYFUNCTION("""COMPUTED_VALUE"""),"")</f>
        <v/>
      </c>
      <c r="P353" s="4" t="str">
        <f>IFERROR(__xludf.DUMMYFUNCTION("""COMPUTED_VALUE"""),"")</f>
        <v/>
      </c>
      <c r="Q353" s="4" t="str">
        <f>IFERROR(__xludf.DUMMYFUNCTION("""COMPUTED_VALUE"""),"")</f>
        <v/>
      </c>
      <c r="R353" s="4" t="str">
        <f>IFERROR(__xludf.DUMMYFUNCTION("""COMPUTED_VALUE"""),"")</f>
        <v/>
      </c>
      <c r="S353" s="4" t="str">
        <f>IFERROR(__xludf.DUMMYFUNCTION("""COMPUTED_VALUE"""),"")</f>
        <v/>
      </c>
      <c r="T353" s="4" t="str">
        <f>IFERROR(__xludf.DUMMYFUNCTION("""COMPUTED_VALUE"""),"")</f>
        <v/>
      </c>
      <c r="U353" s="4" t="str">
        <f>IFERROR(__xludf.DUMMYFUNCTION("""COMPUTED_VALUE"""),"")</f>
        <v/>
      </c>
      <c r="V353" s="4" t="str">
        <f>IFERROR(__xludf.DUMMYFUNCTION("""COMPUTED_VALUE"""),"")</f>
        <v/>
      </c>
      <c r="W353" s="4" t="str">
        <f>IFERROR(__xludf.DUMMYFUNCTION("""COMPUTED_VALUE"""),"")</f>
        <v/>
      </c>
      <c r="X353" s="4" t="str">
        <f>IFERROR(__xludf.DUMMYFUNCTION("""COMPUTED_VALUE"""),"")</f>
        <v/>
      </c>
      <c r="Y353" s="4" t="str">
        <f>IFERROR(__xludf.DUMMYFUNCTION("""COMPUTED_VALUE"""),"")</f>
        <v/>
      </c>
    </row>
    <row r="354">
      <c r="A354" s="4" t="str">
        <f>IFERROR(__xludf.DUMMYFUNCTION("""COMPUTED_VALUE"""),"351 - Channel")</f>
        <v>351 - Channel</v>
      </c>
      <c r="B354" s="4" t="str">
        <f>IFERROR(__xludf.DUMMYFUNCTION("""COMPUTED_VALUE"""),"Channel 1")</f>
        <v>Channel 1</v>
      </c>
      <c r="C354" s="4" t="str">
        <f>IFERROR(__xludf.DUMMYFUNCTION("""COMPUTED_VALUE"""),"Day 3 - 25/06")</f>
        <v>Day 3 - 25/06</v>
      </c>
      <c r="D354" s="6">
        <f>IFERROR(__xludf.DUMMYFUNCTION("""COMPUTED_VALUE"""),0.6271412037037031)</f>
        <v>0.6271412037</v>
      </c>
      <c r="E354" s="6">
        <f>IFERROR(__xludf.DUMMYFUNCTION("""COMPUTED_VALUE"""),0.0010416666666666667)</f>
        <v>0.001041666667</v>
      </c>
      <c r="F354" s="6">
        <f>IFERROR(__xludf.DUMMYFUNCTION("""COMPUTED_VALUE"""),0.6281828703703698)</f>
        <v>0.6281828704</v>
      </c>
      <c r="G354" s="4" t="str">
        <f>IFERROR(__xludf.DUMMYFUNCTION("""COMPUTED_VALUE"""),"Video")</f>
        <v>Video</v>
      </c>
      <c r="H354" s="4" t="str">
        <f>IFERROR(__xludf.DUMMYFUNCTION("""COMPUTED_VALUE"""),"")</f>
        <v/>
      </c>
      <c r="I354" s="4" t="str">
        <f>IFERROR(__xludf.DUMMYFUNCTION("""COMPUTED_VALUE"""),"")</f>
        <v/>
      </c>
      <c r="J354" s="4" t="str">
        <f>IFERROR(__xludf.DUMMYFUNCTION("""COMPUTED_VALUE"""),"")</f>
        <v/>
      </c>
      <c r="K354" s="4" t="str">
        <f>IFERROR(__xludf.DUMMYFUNCTION("""COMPUTED_VALUE"""),"Collision From Home Day Intro")</f>
        <v>Collision From Home Day Intro</v>
      </c>
      <c r="L354" s="4" t="str">
        <f>IFERROR(__xludf.DUMMYFUNCTION("""COMPUTED_VALUE"""),"")</f>
        <v/>
      </c>
      <c r="M354" s="4" t="str">
        <f>IFERROR(__xludf.DUMMYFUNCTION("""COMPUTED_VALUE"""),"CFH Intro Video ")</f>
        <v>CFH Intro Video </v>
      </c>
      <c r="N354" s="4" t="str">
        <f>IFERROR(__xludf.DUMMYFUNCTION("""COMPUTED_VALUE"""),"Content pending")</f>
        <v>Content pending</v>
      </c>
      <c r="O354" s="4" t="str">
        <f>IFERROR(__xludf.DUMMYFUNCTION("""COMPUTED_VALUE"""),"")</f>
        <v/>
      </c>
      <c r="P354" s="4" t="str">
        <f>IFERROR(__xludf.DUMMYFUNCTION("""COMPUTED_VALUE"""),"")</f>
        <v/>
      </c>
      <c r="Q354" s="4" t="str">
        <f>IFERROR(__xludf.DUMMYFUNCTION("""COMPUTED_VALUE"""),"")</f>
        <v/>
      </c>
      <c r="R354" s="4" t="str">
        <f>IFERROR(__xludf.DUMMYFUNCTION("""COMPUTED_VALUE"""),"")</f>
        <v/>
      </c>
      <c r="S354" s="4" t="str">
        <f>IFERROR(__xludf.DUMMYFUNCTION("""COMPUTED_VALUE"""),"")</f>
        <v/>
      </c>
      <c r="T354" s="4" t="str">
        <f>IFERROR(__xludf.DUMMYFUNCTION("""COMPUTED_VALUE"""),"")</f>
        <v/>
      </c>
      <c r="U354" s="4" t="str">
        <f>IFERROR(__xludf.DUMMYFUNCTION("""COMPUTED_VALUE"""),"")</f>
        <v/>
      </c>
      <c r="V354" s="4" t="str">
        <f>IFERROR(__xludf.DUMMYFUNCTION("""COMPUTED_VALUE"""),"")</f>
        <v/>
      </c>
      <c r="W354" s="4" t="str">
        <f>IFERROR(__xludf.DUMMYFUNCTION("""COMPUTED_VALUE"""),"")</f>
        <v/>
      </c>
      <c r="X354" s="4" t="str">
        <f>IFERROR(__xludf.DUMMYFUNCTION("""COMPUTED_VALUE"""),"")</f>
        <v/>
      </c>
      <c r="Y354" s="4" t="str">
        <f>IFERROR(__xludf.DUMMYFUNCTION("""COMPUTED_VALUE"""),"")</f>
        <v/>
      </c>
    </row>
    <row r="355">
      <c r="A355" s="4" t="str">
        <f>IFERROR(__xludf.DUMMYFUNCTION("""COMPUTED_VALUE"""),"352 - Channel")</f>
        <v>352 - Channel</v>
      </c>
      <c r="B355" s="4" t="str">
        <f>IFERROR(__xludf.DUMMYFUNCTION("""COMPUTED_VALUE"""),"Channel 1")</f>
        <v>Channel 1</v>
      </c>
      <c r="C355" s="4" t="str">
        <f>IFERROR(__xludf.DUMMYFUNCTION("""COMPUTED_VALUE"""),"Day 3 - 25/06")</f>
        <v>Day 3 - 25/06</v>
      </c>
      <c r="D355" s="6">
        <f>IFERROR(__xludf.DUMMYFUNCTION("""COMPUTED_VALUE"""),0.6281828703703698)</f>
        <v>0.6281828704</v>
      </c>
      <c r="E355" s="6">
        <f>IFERROR(__xludf.DUMMYFUNCTION("""COMPUTED_VALUE"""),6.944444444444445E-4)</f>
        <v>0.0006944444444</v>
      </c>
      <c r="F355" s="6">
        <f>IFERROR(__xludf.DUMMYFUNCTION("""COMPUTED_VALUE"""),0.6288773148148142)</f>
        <v>0.6288773148</v>
      </c>
      <c r="G355" s="4" t="str">
        <f>IFERROR(__xludf.DUMMYFUNCTION("""COMPUTED_VALUE"""),"")</f>
        <v/>
      </c>
      <c r="H355" s="4" t="str">
        <f>IFERROR(__xludf.DUMMYFUNCTION("""COMPUTED_VALUE"""),"")</f>
        <v/>
      </c>
      <c r="I355" s="4" t="str">
        <f>IFERROR(__xludf.DUMMYFUNCTION("""COMPUTED_VALUE"""),"")</f>
        <v/>
      </c>
      <c r="J355" s="4" t="str">
        <f>IFERROR(__xludf.DUMMYFUNCTION("""COMPUTED_VALUE"""),"")</f>
        <v/>
      </c>
      <c r="K355" s="4" t="str">
        <f>IFERROR(__xludf.DUMMYFUNCTION("""COMPUTED_VALUE"""),"Laundry List/Lookaround")</f>
        <v>Laundry List/Lookaround</v>
      </c>
      <c r="L355" s="4" t="str">
        <f>IFERROR(__xludf.DUMMYFUNCTION("""COMPUTED_VALUE"""),"")</f>
        <v/>
      </c>
      <c r="M355" s="4" t="str">
        <f>IFERROR(__xludf.DUMMYFUNCTION("""COMPUTED_VALUE"""),"Laundry Day3_3PM")</f>
        <v>Laundry Day3_3PM</v>
      </c>
      <c r="N355" s="4" t="str">
        <f>IFERROR(__xludf.DUMMYFUNCTION("""COMPUTED_VALUE"""),"Casey Lau, Web Summit")</f>
        <v>Casey Lau, Web Summit</v>
      </c>
      <c r="O355" s="4" t="str">
        <f>IFERROR(__xludf.DUMMYFUNCTION("""COMPUTED_VALUE"""),"")</f>
        <v/>
      </c>
      <c r="P355" s="4" t="str">
        <f>IFERROR(__xludf.DUMMYFUNCTION("""COMPUTED_VALUE"""),"")</f>
        <v/>
      </c>
      <c r="Q355" s="4" t="str">
        <f>IFERROR(__xludf.DUMMYFUNCTION("""COMPUTED_VALUE"""),"")</f>
        <v/>
      </c>
      <c r="R355" s="4" t="str">
        <f>IFERROR(__xludf.DUMMYFUNCTION("""COMPUTED_VALUE"""),"")</f>
        <v/>
      </c>
      <c r="S355" s="4" t="str">
        <f>IFERROR(__xludf.DUMMYFUNCTION("""COMPUTED_VALUE"""),"")</f>
        <v/>
      </c>
      <c r="T355" s="4" t="str">
        <f>IFERROR(__xludf.DUMMYFUNCTION("""COMPUTED_VALUE"""),"")</f>
        <v/>
      </c>
      <c r="U355" s="4" t="str">
        <f>IFERROR(__xludf.DUMMYFUNCTION("""COMPUTED_VALUE"""),"")</f>
        <v/>
      </c>
      <c r="V355" s="4" t="str">
        <f>IFERROR(__xludf.DUMMYFUNCTION("""COMPUTED_VALUE"""),"")</f>
        <v/>
      </c>
      <c r="W355" s="4" t="str">
        <f>IFERROR(__xludf.DUMMYFUNCTION("""COMPUTED_VALUE"""),"")</f>
        <v/>
      </c>
      <c r="X355" s="4" t="str">
        <f>IFERROR(__xludf.DUMMYFUNCTION("""COMPUTED_VALUE"""),"")</f>
        <v/>
      </c>
      <c r="Y355" s="4" t="str">
        <f>IFERROR(__xludf.DUMMYFUNCTION("""COMPUTED_VALUE"""),"")</f>
        <v/>
      </c>
    </row>
    <row r="356">
      <c r="A356" s="4" t="str">
        <f>IFERROR(__xludf.DUMMYFUNCTION("""COMPUTED_VALUE"""),"1966 - Channel")</f>
        <v>1966 - Channel</v>
      </c>
      <c r="B356" s="4" t="str">
        <f>IFERROR(__xludf.DUMMYFUNCTION("""COMPUTED_VALUE"""),"Channel 1")</f>
        <v>Channel 1</v>
      </c>
      <c r="C356" s="4" t="str">
        <f>IFERROR(__xludf.DUMMYFUNCTION("""COMPUTED_VALUE"""),"Day 3 - 25/06")</f>
        <v>Day 3 - 25/06</v>
      </c>
      <c r="D356" s="6">
        <f>IFERROR(__xludf.DUMMYFUNCTION("""COMPUTED_VALUE"""),0.6288773148148142)</f>
        <v>0.6288773148</v>
      </c>
      <c r="E356" s="6">
        <f>IFERROR(__xludf.DUMMYFUNCTION("""COMPUTED_VALUE"""),2.314814814814815E-4)</f>
        <v>0.0002314814815</v>
      </c>
      <c r="F356" s="6">
        <f>IFERROR(__xludf.DUMMYFUNCTION("""COMPUTED_VALUE"""),0.6291087962962957)</f>
        <v>0.6291087963</v>
      </c>
      <c r="G356" s="4" t="str">
        <f>IFERROR(__xludf.DUMMYFUNCTION("""COMPUTED_VALUE"""),"")</f>
        <v/>
      </c>
      <c r="H356" s="4" t="str">
        <f>IFERROR(__xludf.DUMMYFUNCTION("""COMPUTED_VALUE"""),"")</f>
        <v/>
      </c>
      <c r="I356" s="4" t="str">
        <f>IFERROR(__xludf.DUMMYFUNCTION("""COMPUTED_VALUE"""),"")</f>
        <v/>
      </c>
      <c r="J356" s="4" t="str">
        <f>IFERROR(__xludf.DUMMYFUNCTION("""COMPUTED_VALUE"""),"")</f>
        <v/>
      </c>
      <c r="K356" s="4" t="str">
        <f>IFERROR(__xludf.DUMMYFUNCTION("""COMPUTED_VALUE"""),"Talk Intro")</f>
        <v>Talk Intro</v>
      </c>
      <c r="L356" s="4" t="str">
        <f>IFERROR(__xludf.DUMMYFUNCTION("""COMPUTED_VALUE"""),"")</f>
        <v/>
      </c>
      <c r="M356" s="4" t="str">
        <f>IFERROR(__xludf.DUMMYFUNCTION("""COMPUTED_VALUE"""),"Talk Intro")</f>
        <v>Talk Intro</v>
      </c>
      <c r="N356" s="4" t="str">
        <f>IFERROR(__xludf.DUMMYFUNCTION("""COMPUTED_VALUE"""),"Casey Lau, Web Summit")</f>
        <v>Casey Lau, Web Summit</v>
      </c>
      <c r="O356" s="4" t="str">
        <f>IFERROR(__xludf.DUMMYFUNCTION("""COMPUTED_VALUE"""),"")</f>
        <v/>
      </c>
      <c r="P356" s="4" t="str">
        <f>IFERROR(__xludf.DUMMYFUNCTION("""COMPUTED_VALUE"""),"")</f>
        <v/>
      </c>
      <c r="Q356" s="4" t="str">
        <f>IFERROR(__xludf.DUMMYFUNCTION("""COMPUTED_VALUE"""),"")</f>
        <v/>
      </c>
      <c r="R356" s="4" t="str">
        <f>IFERROR(__xludf.DUMMYFUNCTION("""COMPUTED_VALUE"""),"")</f>
        <v/>
      </c>
      <c r="S356" s="4" t="str">
        <f>IFERROR(__xludf.DUMMYFUNCTION("""COMPUTED_VALUE"""),"")</f>
        <v/>
      </c>
      <c r="T356" s="4" t="str">
        <f>IFERROR(__xludf.DUMMYFUNCTION("""COMPUTED_VALUE"""),"")</f>
        <v/>
      </c>
      <c r="U356" s="4" t="str">
        <f>IFERROR(__xludf.DUMMYFUNCTION("""COMPUTED_VALUE"""),"")</f>
        <v/>
      </c>
      <c r="V356" s="4" t="str">
        <f>IFERROR(__xludf.DUMMYFUNCTION("""COMPUTED_VALUE"""),"")</f>
        <v/>
      </c>
      <c r="W356" s="4" t="str">
        <f>IFERROR(__xludf.DUMMYFUNCTION("""COMPUTED_VALUE"""),"")</f>
        <v/>
      </c>
      <c r="X356" s="4" t="str">
        <f>IFERROR(__xludf.DUMMYFUNCTION("""COMPUTED_VALUE"""),"")</f>
        <v/>
      </c>
      <c r="Y356" s="4" t="str">
        <f>IFERROR(__xludf.DUMMYFUNCTION("""COMPUTED_VALUE"""),"")</f>
        <v/>
      </c>
    </row>
    <row r="357">
      <c r="A357" s="4" t="str">
        <f>IFERROR(__xludf.DUMMYFUNCTION("""COMPUTED_VALUE"""),"129 - Channel")</f>
        <v>129 - Channel</v>
      </c>
      <c r="B357" s="4" t="str">
        <f>IFERROR(__xludf.DUMMYFUNCTION("""COMPUTED_VALUE"""),"Channel 1")</f>
        <v>Channel 1</v>
      </c>
      <c r="C357" s="4" t="str">
        <f>IFERROR(__xludf.DUMMYFUNCTION("""COMPUTED_VALUE"""),"Day 3 - 25/06")</f>
        <v>Day 3 - 25/06</v>
      </c>
      <c r="D357" s="6">
        <f>IFERROR(__xludf.DUMMYFUNCTION("""COMPUTED_VALUE"""),0.6291087962962957)</f>
        <v>0.6291087963</v>
      </c>
      <c r="E357" s="53">
        <f>IFERROR(__xludf.DUMMYFUNCTION("""COMPUTED_VALUE"""),0.010601851851851852)</f>
        <v>0.01060185185</v>
      </c>
      <c r="F357" s="6">
        <f>IFERROR(__xludf.DUMMYFUNCTION("""COMPUTED_VALUE"""),0.6397106481481475)</f>
        <v>0.6397106481</v>
      </c>
      <c r="G357" s="4" t="str">
        <f>IFERROR(__xludf.DUMMYFUNCTION("""COMPUTED_VALUE"""),"Luan")</f>
        <v>Luan</v>
      </c>
      <c r="H357" s="4" t="str">
        <f>IFERROR(__xludf.DUMMYFUNCTION("""COMPUTED_VALUE"""),"Lisa")</f>
        <v>Lisa</v>
      </c>
      <c r="I357" s="4" t="str">
        <f>IFERROR(__xludf.DUMMYFUNCTION("""COMPUTED_VALUE"""),"Francisca")</f>
        <v>Francisca</v>
      </c>
      <c r="J357" s="4" t="str">
        <f>IFERROR(__xludf.DUMMYFUNCTION("""COMPUTED_VALUE"""),"Marketing")</f>
        <v>Marketing</v>
      </c>
      <c r="K357" s="4" t="str">
        <f>IFERROR(__xludf.DUMMYFUNCTION("""COMPUTED_VALUE"""),"Panel")</f>
        <v>Panel</v>
      </c>
      <c r="L357" s="4" t="str">
        <f>IFERROR(__xludf.DUMMYFUNCTION("""COMPUTED_VALUE"""),"T- 7 - 04/05/2020")</f>
        <v>T- 7 - 04/05/2020</v>
      </c>
      <c r="M357" s="4" t="str">
        <f>IFERROR(__xludf.DUMMYFUNCTION("""COMPUTED_VALUE""")," It's an app-eat-app world ")</f>
        <v> It's an app-eat-app world </v>
      </c>
      <c r="N357" s="4" t="str">
        <f>IFERROR(__xludf.DUMMYFUNCTION("""COMPUTED_VALUE"""),"Mada Seghete, Branch")</f>
        <v>Mada Seghete, Branch</v>
      </c>
      <c r="O357" s="4" t="str">
        <f>IFERROR(__xludf.DUMMYFUNCTION("""COMPUTED_VALUE"""),"Deirdre McGlashan, MediaCom")</f>
        <v>Deirdre McGlashan, MediaCom</v>
      </c>
      <c r="P357" s="4" t="str">
        <f>IFERROR(__xludf.DUMMYFUNCTION("""COMPUTED_VALUE"""),"")</f>
        <v/>
      </c>
      <c r="Q357" s="4" t="str">
        <f>IFERROR(__xludf.DUMMYFUNCTION("""COMPUTED_VALUE"""),"")</f>
        <v/>
      </c>
      <c r="R357" s="4" t="str">
        <f>IFERROR(__xludf.DUMMYFUNCTION("""COMPUTED_VALUE"""),"John Koetsier, Forbes, Freelance")</f>
        <v>John Koetsier, Forbes, Freelance</v>
      </c>
      <c r="S357" s="4" t="str">
        <f>IFERROR(__xludf.DUMMYFUNCTION("""COMPUTED_VALUE"""),"Standing out in an overcrowded app market is a bit like trying to be the best pebble on a beach. At a time where ad-spending is at a low, but consumption is at a high- what does it take to get, and stay, at the top? ")</f>
        <v>Standing out in an overcrowded app market is a bit like trying to be the best pebble on a beach. At a time where ad-spending is at a low, but consumption is at a high- what does it take to get, and stay, at the top? </v>
      </c>
      <c r="T357" s="4" t="str">
        <f>IFERROR(__xludf.DUMMYFUNCTION("""COMPUTED_VALUE"""),"NON-KEYNOTE 9 - COMPLETE")</f>
        <v>NON-KEYNOTE 9 - COMPLETE</v>
      </c>
      <c r="U357" s="23">
        <f>IFERROR(__xludf.DUMMYFUNCTION("""COMPUTED_VALUE"""),43959.0)</f>
        <v>43959</v>
      </c>
      <c r="V357" s="44">
        <f>IFERROR(__xludf.DUMMYFUNCTION("""COMPUTED_VALUE"""),0.7083333333333334)</f>
        <v>0.7083333333</v>
      </c>
      <c r="W357" s="4" t="str">
        <f>IFERROR(__xludf.DUMMYFUNCTION("""COMPUTED_VALUE"""),"COMPLETE")</f>
        <v>COMPLETE</v>
      </c>
      <c r="X357" s="4" t="str">
        <f>IFERROR(__xludf.DUMMYFUNCTION("""COMPUTED_VALUE"""),"Helen")</f>
        <v>Helen</v>
      </c>
      <c r="Y357" s="4" t="str">
        <f>IFERROR(__xludf.DUMMYFUNCTION("""COMPUTED_VALUE"""),"")</f>
        <v/>
      </c>
    </row>
    <row r="358">
      <c r="A358" s="4" t="str">
        <f>IFERROR(__xludf.DUMMYFUNCTION("""COMPUTED_VALUE"""),"107 - Channel")</f>
        <v>107 - Channel</v>
      </c>
      <c r="B358" s="4" t="str">
        <f>IFERROR(__xludf.DUMMYFUNCTION("""COMPUTED_VALUE"""),"Channel 1")</f>
        <v>Channel 1</v>
      </c>
      <c r="C358" s="4" t="str">
        <f>IFERROR(__xludf.DUMMYFUNCTION("""COMPUTED_VALUE"""),"Day 3 - 25/06")</f>
        <v>Day 3 - 25/06</v>
      </c>
      <c r="D358" s="6">
        <f>IFERROR(__xludf.DUMMYFUNCTION("""COMPUTED_VALUE"""),0.642777777777777)</f>
        <v>0.6427777778</v>
      </c>
      <c r="E358" s="6">
        <f>IFERROR(__xludf.DUMMYFUNCTION("""COMPUTED_VALUE"""),2.314814814814815E-4)</f>
        <v>0.0002314814815</v>
      </c>
      <c r="F358" s="6">
        <f>IFERROR(__xludf.DUMMYFUNCTION("""COMPUTED_VALUE"""),0.6430092592592584)</f>
        <v>0.6430092593</v>
      </c>
      <c r="G358" s="4" t="str">
        <f>IFERROR(__xludf.DUMMYFUNCTION("""COMPUTED_VALUE"""),"")</f>
        <v/>
      </c>
      <c r="H358" s="4" t="str">
        <f>IFERROR(__xludf.DUMMYFUNCTION("""COMPUTED_VALUE"""),"")</f>
        <v/>
      </c>
      <c r="I358" s="4" t="str">
        <f>IFERROR(__xludf.DUMMYFUNCTION("""COMPUTED_VALUE"""),"")</f>
        <v/>
      </c>
      <c r="J358" s="4" t="str">
        <f>IFERROR(__xludf.DUMMYFUNCTION("""COMPUTED_VALUE"""),"")</f>
        <v/>
      </c>
      <c r="K358" s="4" t="str">
        <f>IFERROR(__xludf.DUMMYFUNCTION("""COMPUTED_VALUE"""),"Talk Intro")</f>
        <v>Talk Intro</v>
      </c>
      <c r="L358" s="4" t="str">
        <f>IFERROR(__xludf.DUMMYFUNCTION("""COMPUTED_VALUE"""),"")</f>
        <v/>
      </c>
      <c r="M358" s="4" t="str">
        <f>IFERROR(__xludf.DUMMYFUNCTION("""COMPUTED_VALUE"""),"Talk Intro")</f>
        <v>Talk Intro</v>
      </c>
      <c r="N358" s="4" t="str">
        <f>IFERROR(__xludf.DUMMYFUNCTION("""COMPUTED_VALUE"""),"Casey Lau, Web Summit")</f>
        <v>Casey Lau, Web Summit</v>
      </c>
      <c r="O358" s="4" t="str">
        <f>IFERROR(__xludf.DUMMYFUNCTION("""COMPUTED_VALUE"""),"")</f>
        <v/>
      </c>
      <c r="P358" s="4" t="str">
        <f>IFERROR(__xludf.DUMMYFUNCTION("""COMPUTED_VALUE"""),"")</f>
        <v/>
      </c>
      <c r="Q358" s="4" t="str">
        <f>IFERROR(__xludf.DUMMYFUNCTION("""COMPUTED_VALUE"""),"")</f>
        <v/>
      </c>
      <c r="R358" s="4" t="str">
        <f>IFERROR(__xludf.DUMMYFUNCTION("""COMPUTED_VALUE"""),"")</f>
        <v/>
      </c>
      <c r="S358" s="4" t="str">
        <f>IFERROR(__xludf.DUMMYFUNCTION("""COMPUTED_VALUE"""),"")</f>
        <v/>
      </c>
      <c r="T358" s="4" t="str">
        <f>IFERROR(__xludf.DUMMYFUNCTION("""COMPUTED_VALUE"""),"")</f>
        <v/>
      </c>
      <c r="U358" s="4" t="str">
        <f>IFERROR(__xludf.DUMMYFUNCTION("""COMPUTED_VALUE"""),"")</f>
        <v/>
      </c>
      <c r="V358" s="4" t="str">
        <f>IFERROR(__xludf.DUMMYFUNCTION("""COMPUTED_VALUE"""),"")</f>
        <v/>
      </c>
      <c r="W358" s="4" t="str">
        <f>IFERROR(__xludf.DUMMYFUNCTION("""COMPUTED_VALUE"""),"")</f>
        <v/>
      </c>
      <c r="X358" s="4" t="str">
        <f>IFERROR(__xludf.DUMMYFUNCTION("""COMPUTED_VALUE"""),"")</f>
        <v/>
      </c>
      <c r="Y358" s="4" t="str">
        <f>IFERROR(__xludf.DUMMYFUNCTION("""COMPUTED_VALUE"""),"")</f>
        <v/>
      </c>
    </row>
    <row r="359">
      <c r="A359" s="4" t="str">
        <f>IFERROR(__xludf.DUMMYFUNCTION("""COMPUTED_VALUE"""),"356 - Channel")</f>
        <v>356 - Channel</v>
      </c>
      <c r="B359" s="4" t="str">
        <f>IFERROR(__xludf.DUMMYFUNCTION("""COMPUTED_VALUE"""),"Channel 1")</f>
        <v>Channel 1</v>
      </c>
      <c r="C359" s="4" t="str">
        <f>IFERROR(__xludf.DUMMYFUNCTION("""COMPUTED_VALUE"""),"Day 3 - 25/06")</f>
        <v>Day 3 - 25/06</v>
      </c>
      <c r="D359" s="6">
        <f>IFERROR(__xludf.DUMMYFUNCTION("""COMPUTED_VALUE"""),0.6397106481481475)</f>
        <v>0.6397106481</v>
      </c>
      <c r="E359" s="6">
        <f>IFERROR(__xludf.DUMMYFUNCTION("""COMPUTED_VALUE"""),2.314814814814815E-4)</f>
        <v>0.0002314814815</v>
      </c>
      <c r="F359" s="6">
        <f>IFERROR(__xludf.DUMMYFUNCTION("""COMPUTED_VALUE"""),0.6399421296296289)</f>
        <v>0.6399421296</v>
      </c>
      <c r="G359" s="4" t="str">
        <f>IFERROR(__xludf.DUMMYFUNCTION("""COMPUTED_VALUE"""),"")</f>
        <v/>
      </c>
      <c r="H359" s="4" t="str">
        <f>IFERROR(__xludf.DUMMYFUNCTION("""COMPUTED_VALUE"""),"")</f>
        <v/>
      </c>
      <c r="I359" s="4" t="str">
        <f>IFERROR(__xludf.DUMMYFUNCTION("""COMPUTED_VALUE"""),"")</f>
        <v/>
      </c>
      <c r="J359" s="4" t="str">
        <f>IFERROR(__xludf.DUMMYFUNCTION("""COMPUTED_VALUE"""),"")</f>
        <v/>
      </c>
      <c r="K359" s="4" t="str">
        <f>IFERROR(__xludf.DUMMYFUNCTION("""COMPUTED_VALUE"""),"Talk Intro")</f>
        <v>Talk Intro</v>
      </c>
      <c r="L359" s="4" t="str">
        <f>IFERROR(__xludf.DUMMYFUNCTION("""COMPUTED_VALUE"""),"")</f>
        <v/>
      </c>
      <c r="M359" s="4" t="str">
        <f>IFERROR(__xludf.DUMMYFUNCTION("""COMPUTED_VALUE"""),"Teaser: Tencent &amp;. Ailish Campbell_Intro")</f>
        <v>Teaser: Tencent &amp;. Ailish Campbell_Intro</v>
      </c>
      <c r="N359" s="4" t="str">
        <f>IFERROR(__xludf.DUMMYFUNCTION("""COMPUTED_VALUE"""),"Paddy Cosgrave, Web Summit")</f>
        <v>Paddy Cosgrave, Web Summit</v>
      </c>
      <c r="O359" s="4" t="str">
        <f>IFERROR(__xludf.DUMMYFUNCTION("""COMPUTED_VALUE"""),"Casey Lau, Web Summit")</f>
        <v>Casey Lau, Web Summit</v>
      </c>
      <c r="P359" s="4" t="str">
        <f>IFERROR(__xludf.DUMMYFUNCTION("""COMPUTED_VALUE"""),"")</f>
        <v/>
      </c>
      <c r="Q359" s="4" t="str">
        <f>IFERROR(__xludf.DUMMYFUNCTION("""COMPUTED_VALUE"""),"")</f>
        <v/>
      </c>
      <c r="R359" s="4" t="str">
        <f>IFERROR(__xludf.DUMMYFUNCTION("""COMPUTED_VALUE"""),"")</f>
        <v/>
      </c>
      <c r="S359" s="4" t="str">
        <f>IFERROR(__xludf.DUMMYFUNCTION("""COMPUTED_VALUE"""),"")</f>
        <v/>
      </c>
      <c r="T359" s="4" t="str">
        <f>IFERROR(__xludf.DUMMYFUNCTION("""COMPUTED_VALUE"""),"")</f>
        <v/>
      </c>
      <c r="U359" s="4" t="str">
        <f>IFERROR(__xludf.DUMMYFUNCTION("""COMPUTED_VALUE"""),"")</f>
        <v/>
      </c>
      <c r="V359" s="4" t="str">
        <f>IFERROR(__xludf.DUMMYFUNCTION("""COMPUTED_VALUE"""),"")</f>
        <v/>
      </c>
      <c r="W359" s="4" t="str">
        <f>IFERROR(__xludf.DUMMYFUNCTION("""COMPUTED_VALUE"""),"")</f>
        <v/>
      </c>
      <c r="X359" s="4" t="str">
        <f>IFERROR(__xludf.DUMMYFUNCTION("""COMPUTED_VALUE"""),"")</f>
        <v/>
      </c>
      <c r="Y359" s="4" t="str">
        <f>IFERROR(__xludf.DUMMYFUNCTION("""COMPUTED_VALUE"""),"")</f>
        <v/>
      </c>
    </row>
    <row r="360">
      <c r="A360" s="4" t="str">
        <f>IFERROR(__xludf.DUMMYFUNCTION("""COMPUTED_VALUE"""),"357 - Channel")</f>
        <v>357 - Channel</v>
      </c>
      <c r="B360" s="4" t="str">
        <f>IFERROR(__xludf.DUMMYFUNCTION("""COMPUTED_VALUE"""),"Channel 1")</f>
        <v>Channel 1</v>
      </c>
      <c r="C360" s="4" t="str">
        <f>IFERROR(__xludf.DUMMYFUNCTION("""COMPUTED_VALUE"""),"Day 3 - 25/06")</f>
        <v>Day 3 - 25/06</v>
      </c>
      <c r="D360" s="6">
        <f>IFERROR(__xludf.DUMMYFUNCTION("""COMPUTED_VALUE"""),0.6399421296296289)</f>
        <v>0.6399421296</v>
      </c>
      <c r="E360" s="6">
        <f>IFERROR(__xludf.DUMMYFUNCTION("""COMPUTED_VALUE"""),0.0020833333333333333)</f>
        <v>0.002083333333</v>
      </c>
      <c r="F360" s="6">
        <f>IFERROR(__xludf.DUMMYFUNCTION("""COMPUTED_VALUE"""),0.6420254629629623)</f>
        <v>0.642025463</v>
      </c>
      <c r="G360" s="4" t="str">
        <f>IFERROR(__xludf.DUMMYFUNCTION("""COMPUTED_VALUE"""),"Gavin")</f>
        <v>Gavin</v>
      </c>
      <c r="H360" s="4" t="str">
        <f>IFERROR(__xludf.DUMMYFUNCTION("""COMPUTED_VALUE"""),"Eoghan")</f>
        <v>Eoghan</v>
      </c>
      <c r="I360" s="4" t="str">
        <f>IFERROR(__xludf.DUMMYFUNCTION("""COMPUTED_VALUE"""),"Manon")</f>
        <v>Manon</v>
      </c>
      <c r="J360" s="4" t="str">
        <f>IFERROR(__xludf.DUMMYFUNCTION("""COMPUTED_VALUE"""),"Trade")</f>
        <v>Trade</v>
      </c>
      <c r="K360" s="4" t="str">
        <f>IFERROR(__xludf.DUMMYFUNCTION("""COMPUTED_VALUE"""),"Teaser")</f>
        <v>Teaser</v>
      </c>
      <c r="L360" s="4" t="str">
        <f>IFERROR(__xludf.DUMMYFUNCTION("""COMPUTED_VALUE"""),"")</f>
        <v/>
      </c>
      <c r="M360" s="4" t="str">
        <f>IFERROR(__xludf.DUMMYFUNCTION("""COMPUTED_VALUE"""),"Teaser: Tencent &amp;. Ailish Campbell")</f>
        <v>Teaser: Tencent &amp;. Ailish Campbell</v>
      </c>
      <c r="N360" s="4" t="str">
        <f>IFERROR(__xludf.DUMMYFUNCTION("""COMPUTED_VALUE"""),"")</f>
        <v/>
      </c>
      <c r="O360" s="4" t="str">
        <f>IFERROR(__xludf.DUMMYFUNCTION("""COMPUTED_VALUE"""),"")</f>
        <v/>
      </c>
      <c r="P360" s="4" t="str">
        <f>IFERROR(__xludf.DUMMYFUNCTION("""COMPUTED_VALUE"""),"")</f>
        <v/>
      </c>
      <c r="Q360" s="4" t="str">
        <f>IFERROR(__xludf.DUMMYFUNCTION("""COMPUTED_VALUE"""),"")</f>
        <v/>
      </c>
      <c r="R360" s="4" t="str">
        <f>IFERROR(__xludf.DUMMYFUNCTION("""COMPUTED_VALUE"""),"")</f>
        <v/>
      </c>
      <c r="S360" s="4" t="str">
        <f>IFERROR(__xludf.DUMMYFUNCTION("""COMPUTED_VALUE"""),"")</f>
        <v/>
      </c>
      <c r="T360" s="4" t="str">
        <f>IFERROR(__xludf.DUMMYFUNCTION("""COMPUTED_VALUE"""),"N/A")</f>
        <v>N/A</v>
      </c>
      <c r="U360" s="4" t="str">
        <f>IFERROR(__xludf.DUMMYFUNCTION("""COMPUTED_VALUE"""),"")</f>
        <v/>
      </c>
      <c r="V360" s="4" t="str">
        <f>IFERROR(__xludf.DUMMYFUNCTION("""COMPUTED_VALUE"""),"")</f>
        <v/>
      </c>
      <c r="W360" s="4" t="str">
        <f>IFERROR(__xludf.DUMMYFUNCTION("""COMPUTED_VALUE"""),"")</f>
        <v/>
      </c>
      <c r="X360" s="4" t="str">
        <f>IFERROR(__xludf.DUMMYFUNCTION("""COMPUTED_VALUE"""),"")</f>
        <v/>
      </c>
      <c r="Y360" s="4" t="str">
        <f>IFERROR(__xludf.DUMMYFUNCTION("""COMPUTED_VALUE"""),"")</f>
        <v/>
      </c>
    </row>
    <row r="361">
      <c r="A361" s="4" t="str">
        <f>IFERROR(__xludf.DUMMYFUNCTION("""COMPUTED_VALUE"""),"2265 - Channel")</f>
        <v>2265 - Channel</v>
      </c>
      <c r="B361" s="4" t="str">
        <f>IFERROR(__xludf.DUMMYFUNCTION("""COMPUTED_VALUE"""),"Channel 1")</f>
        <v>Channel 1</v>
      </c>
      <c r="C361" s="4" t="str">
        <f>IFERROR(__xludf.DUMMYFUNCTION("""COMPUTED_VALUE"""),"Day 3 - 25/06")</f>
        <v>Day 3 - 25/06</v>
      </c>
      <c r="D361" s="6">
        <f>IFERROR(__xludf.DUMMYFUNCTION("""COMPUTED_VALUE"""),0.6420254629629623)</f>
        <v>0.642025463</v>
      </c>
      <c r="E361" s="6">
        <f>IFERROR(__xludf.DUMMYFUNCTION("""COMPUTED_VALUE"""),2.314814814814815E-4)</f>
        <v>0.0002314814815</v>
      </c>
      <c r="F361" s="6">
        <f>IFERROR(__xludf.DUMMYFUNCTION("""COMPUTED_VALUE"""),0.6422569444444437)</f>
        <v>0.6422569444</v>
      </c>
      <c r="G361" s="4" t="str">
        <f>IFERROR(__xludf.DUMMYFUNCTION("""COMPUTED_VALUE"""),"")</f>
        <v/>
      </c>
      <c r="H361" s="4" t="str">
        <f>IFERROR(__xludf.DUMMYFUNCTION("""COMPUTED_VALUE"""),"")</f>
        <v/>
      </c>
      <c r="I361" s="4" t="str">
        <f>IFERROR(__xludf.DUMMYFUNCTION("""COMPUTED_VALUE"""),"")</f>
        <v/>
      </c>
      <c r="J361" s="4" t="str">
        <f>IFERROR(__xludf.DUMMYFUNCTION("""COMPUTED_VALUE"""),"")</f>
        <v/>
      </c>
      <c r="K361" s="4" t="str">
        <f>IFERROR(__xludf.DUMMYFUNCTION("""COMPUTED_VALUE"""),"Talk Outro")</f>
        <v>Talk Outro</v>
      </c>
      <c r="L361" s="4" t="str">
        <f>IFERROR(__xludf.DUMMYFUNCTION("""COMPUTED_VALUE"""),"")</f>
        <v/>
      </c>
      <c r="M361" s="4" t="str">
        <f>IFERROR(__xludf.DUMMYFUNCTION("""COMPUTED_VALUE"""),"Call to action")</f>
        <v>Call to action</v>
      </c>
      <c r="N361" s="4" t="str">
        <f>IFERROR(__xludf.DUMMYFUNCTION("""COMPUTED_VALUE"""),"Paddy Cosgrave, Web Summit")</f>
        <v>Paddy Cosgrave, Web Summit</v>
      </c>
      <c r="O361" s="4" t="str">
        <f>IFERROR(__xludf.DUMMYFUNCTION("""COMPUTED_VALUE"""),"")</f>
        <v/>
      </c>
      <c r="P361" s="4" t="str">
        <f>IFERROR(__xludf.DUMMYFUNCTION("""COMPUTED_VALUE"""),"")</f>
        <v/>
      </c>
      <c r="Q361" s="4" t="str">
        <f>IFERROR(__xludf.DUMMYFUNCTION("""COMPUTED_VALUE"""),"")</f>
        <v/>
      </c>
      <c r="R361" s="4" t="str">
        <f>IFERROR(__xludf.DUMMYFUNCTION("""COMPUTED_VALUE"""),"")</f>
        <v/>
      </c>
      <c r="S361" s="4" t="str">
        <f>IFERROR(__xludf.DUMMYFUNCTION("""COMPUTED_VALUE"""),"")</f>
        <v/>
      </c>
      <c r="T361" s="4" t="str">
        <f>IFERROR(__xludf.DUMMYFUNCTION("""COMPUTED_VALUE"""),"")</f>
        <v/>
      </c>
      <c r="U361" s="4" t="str">
        <f>IFERROR(__xludf.DUMMYFUNCTION("""COMPUTED_VALUE"""),"")</f>
        <v/>
      </c>
      <c r="V361" s="4" t="str">
        <f>IFERROR(__xludf.DUMMYFUNCTION("""COMPUTED_VALUE"""),"")</f>
        <v/>
      </c>
      <c r="W361" s="4" t="str">
        <f>IFERROR(__xludf.DUMMYFUNCTION("""COMPUTED_VALUE"""),"")</f>
        <v/>
      </c>
      <c r="X361" s="4" t="str">
        <f>IFERROR(__xludf.DUMMYFUNCTION("""COMPUTED_VALUE"""),"")</f>
        <v/>
      </c>
      <c r="Y361" s="4" t="str">
        <f>IFERROR(__xludf.DUMMYFUNCTION("""COMPUTED_VALUE"""),"")</f>
        <v/>
      </c>
    </row>
    <row r="362">
      <c r="A362" s="4" t="str">
        <f>IFERROR(__xludf.DUMMYFUNCTION("""COMPUTED_VALUE"""),"1591 - Channel")</f>
        <v>1591 - Channel</v>
      </c>
      <c r="B362" s="4" t="str">
        <f>IFERROR(__xludf.DUMMYFUNCTION("""COMPUTED_VALUE"""),"Channel 1")</f>
        <v>Channel 1</v>
      </c>
      <c r="C362" s="4" t="str">
        <f>IFERROR(__xludf.DUMMYFUNCTION("""COMPUTED_VALUE"""),"Day 3 - 25/06")</f>
        <v>Day 3 - 25/06</v>
      </c>
      <c r="D362" s="6">
        <f>IFERROR(__xludf.DUMMYFUNCTION("""COMPUTED_VALUE"""),0.6422569444444437)</f>
        <v>0.6422569444</v>
      </c>
      <c r="E362" s="6">
        <f>IFERROR(__xludf.DUMMYFUNCTION("""COMPUTED_VALUE"""),5.208333333333333E-4)</f>
        <v>0.0005208333333</v>
      </c>
      <c r="F362" s="6">
        <f>IFERROR(__xludf.DUMMYFUNCTION("""COMPUTED_VALUE"""),0.642777777777777)</f>
        <v>0.6427777778</v>
      </c>
      <c r="G362" s="4" t="str">
        <f>IFERROR(__xludf.DUMMYFUNCTION("""COMPUTED_VALUE"""),"")</f>
        <v/>
      </c>
      <c r="H362" s="4" t="str">
        <f>IFERROR(__xludf.DUMMYFUNCTION("""COMPUTED_VALUE"""),"")</f>
        <v/>
      </c>
      <c r="I362" s="4" t="str">
        <f>IFERROR(__xludf.DUMMYFUNCTION("""COMPUTED_VALUE"""),"")</f>
        <v/>
      </c>
      <c r="J362" s="4" t="str">
        <f>IFERROR(__xludf.DUMMYFUNCTION("""COMPUTED_VALUE"""),"")</f>
        <v/>
      </c>
      <c r="K362" s="4" t="str">
        <f>IFERROR(__xludf.DUMMYFUNCTION("""COMPUTED_VALUE"""),"Web Summit Trailer - full")</f>
        <v>Web Summit Trailer - full</v>
      </c>
      <c r="L362" s="4" t="str">
        <f>IFERROR(__xludf.DUMMYFUNCTION("""COMPUTED_VALUE"""),"")</f>
        <v/>
      </c>
      <c r="M362" s="4" t="str">
        <f>IFERROR(__xludf.DUMMYFUNCTION("""COMPUTED_VALUE"""),"Web Summit promo")</f>
        <v>Web Summit promo</v>
      </c>
      <c r="N362" s="4" t="str">
        <f>IFERROR(__xludf.DUMMYFUNCTION("""COMPUTED_VALUE"""),"Content pending")</f>
        <v>Content pending</v>
      </c>
      <c r="O362" s="4" t="str">
        <f>IFERROR(__xludf.DUMMYFUNCTION("""COMPUTED_VALUE"""),"")</f>
        <v/>
      </c>
      <c r="P362" s="4" t="str">
        <f>IFERROR(__xludf.DUMMYFUNCTION("""COMPUTED_VALUE"""),"")</f>
        <v/>
      </c>
      <c r="Q362" s="4" t="str">
        <f>IFERROR(__xludf.DUMMYFUNCTION("""COMPUTED_VALUE"""),"")</f>
        <v/>
      </c>
      <c r="R362" s="4" t="str">
        <f>IFERROR(__xludf.DUMMYFUNCTION("""COMPUTED_VALUE"""),"")</f>
        <v/>
      </c>
      <c r="S362" s="4" t="str">
        <f>IFERROR(__xludf.DUMMYFUNCTION("""COMPUTED_VALUE"""),"")</f>
        <v/>
      </c>
      <c r="T362" s="4" t="str">
        <f>IFERROR(__xludf.DUMMYFUNCTION("""COMPUTED_VALUE"""),"")</f>
        <v/>
      </c>
      <c r="U362" s="4" t="str">
        <f>IFERROR(__xludf.DUMMYFUNCTION("""COMPUTED_VALUE"""),"")</f>
        <v/>
      </c>
      <c r="V362" s="4" t="str">
        <f>IFERROR(__xludf.DUMMYFUNCTION("""COMPUTED_VALUE"""),"")</f>
        <v/>
      </c>
      <c r="W362" s="4" t="str">
        <f>IFERROR(__xludf.DUMMYFUNCTION("""COMPUTED_VALUE"""),"")</f>
        <v/>
      </c>
      <c r="X362" s="4" t="str">
        <f>IFERROR(__xludf.DUMMYFUNCTION("""COMPUTED_VALUE"""),"")</f>
        <v/>
      </c>
      <c r="Y362" s="4" t="str">
        <f>IFERROR(__xludf.DUMMYFUNCTION("""COMPUTED_VALUE"""),"")</f>
        <v/>
      </c>
    </row>
    <row r="363">
      <c r="A363" s="4" t="str">
        <f>IFERROR(__xludf.DUMMYFUNCTION("""COMPUTED_VALUE"""),"109 - Channel")</f>
        <v>109 - Channel</v>
      </c>
      <c r="B363" s="4" t="str">
        <f>IFERROR(__xludf.DUMMYFUNCTION("""COMPUTED_VALUE"""),"Channel 1")</f>
        <v>Channel 1</v>
      </c>
      <c r="C363" s="4" t="str">
        <f>IFERROR(__xludf.DUMMYFUNCTION("""COMPUTED_VALUE"""),"Day 3 - 25/06")</f>
        <v>Day 3 - 25/06</v>
      </c>
      <c r="D363" s="6">
        <f>IFERROR(__xludf.DUMMYFUNCTION("""COMPUTED_VALUE"""),0.6430092592592584)</f>
        <v>0.6430092593</v>
      </c>
      <c r="E363" s="6">
        <f>IFERROR(__xludf.DUMMYFUNCTION("""COMPUTED_VALUE"""),0.005555555555555556)</f>
        <v>0.005555555556</v>
      </c>
      <c r="F363" s="6">
        <f>IFERROR(__xludf.DUMMYFUNCTION("""COMPUTED_VALUE"""),0.648564814814814)</f>
        <v>0.6485648148</v>
      </c>
      <c r="G363" s="4" t="str">
        <f>IFERROR(__xludf.DUMMYFUNCTION("""COMPUTED_VALUE"""),"")</f>
        <v/>
      </c>
      <c r="H363" s="4" t="str">
        <f>IFERROR(__xludf.DUMMYFUNCTION("""COMPUTED_VALUE"""),"")</f>
        <v/>
      </c>
      <c r="I363" s="4" t="str">
        <f>IFERROR(__xludf.DUMMYFUNCTION("""COMPUTED_VALUE"""),"")</f>
        <v/>
      </c>
      <c r="J363" s="4" t="str">
        <f>IFERROR(__xludf.DUMMYFUNCTION("""COMPUTED_VALUE"""),"")</f>
        <v/>
      </c>
      <c r="K363" s="4" t="str">
        <f>IFERROR(__xludf.DUMMYFUNCTION("""COMPUTED_VALUE"""),"Fireside")</f>
        <v>Fireside</v>
      </c>
      <c r="L363" s="4" t="str">
        <f>IFERROR(__xludf.DUMMYFUNCTION("""COMPUTED_VALUE"""),"T- 2 - 08/06/2020")</f>
        <v>T- 2 - 08/06/2020</v>
      </c>
      <c r="M363" s="4" t="str">
        <f>IFERROR(__xludf.DUMMYFUNCTION("""COMPUTED_VALUE"""),"The big picture: What's next for Canada?")</f>
        <v>The big picture: What's next for Canada?</v>
      </c>
      <c r="N363" s="4" t="str">
        <f>IFERROR(__xludf.DUMMYFUNCTION("""COMPUTED_VALUE"""),"Armughan Ahmad, KPMG")</f>
        <v>Armughan Ahmad, KPMG</v>
      </c>
      <c r="O363" s="4" t="str">
        <f>IFERROR(__xludf.DUMMYFUNCTION("""COMPUTED_VALUE"""),"")</f>
        <v/>
      </c>
      <c r="P363" s="4" t="str">
        <f>IFERROR(__xludf.DUMMYFUNCTION("""COMPUTED_VALUE"""),"")</f>
        <v/>
      </c>
      <c r="Q363" s="4" t="str">
        <f>IFERROR(__xludf.DUMMYFUNCTION("""COMPUTED_VALUE"""),"")</f>
        <v/>
      </c>
      <c r="R363" s="4" t="str">
        <f>IFERROR(__xludf.DUMMYFUNCTION("""COMPUTED_VALUE"""),"Sunil Sharma, Web Summit")</f>
        <v>Sunil Sharma, Web Summit</v>
      </c>
      <c r="S363" s="4" t="str">
        <f>IFERROR(__xludf.DUMMYFUNCTION("""COMPUTED_VALUE"""),"KPMG Canada's Armughan Ahmad and one of our Toronto-based co-hosts of Collision from Home, Sunil Sharma, discuss the big picture for Canada in the year ahead.")</f>
        <v>KPMG Canada's Armughan Ahmad and one of our Toronto-based co-hosts of Collision from Home, Sunil Sharma, discuss the big picture for Canada in the year ahead.</v>
      </c>
      <c r="T363" s="4" t="str">
        <f>IFERROR(__xludf.DUMMYFUNCTION("""COMPUTED_VALUE"""),"NON-KEYNOTE 6 - Send Zoom calendar invite")</f>
        <v>NON-KEYNOTE 6 - Send Zoom calendar invite</v>
      </c>
      <c r="U363" s="4" t="str">
        <f>IFERROR(__xludf.DUMMYFUNCTION("""COMPUTED_VALUE"""),"")</f>
        <v/>
      </c>
      <c r="V363" s="4" t="str">
        <f>IFERROR(__xludf.DUMMYFUNCTION("""COMPUTED_VALUE"""),"")</f>
        <v/>
      </c>
      <c r="W363" s="4" t="str">
        <f>IFERROR(__xludf.DUMMYFUNCTION("""COMPUTED_VALUE"""),"")</f>
        <v/>
      </c>
      <c r="X363" s="4" t="str">
        <f>IFERROR(__xludf.DUMMYFUNCTION("""COMPUTED_VALUE"""),"")</f>
        <v/>
      </c>
      <c r="Y363" s="4" t="str">
        <f>IFERROR(__xludf.DUMMYFUNCTION("""COMPUTED_VALUE"""),"")</f>
        <v/>
      </c>
    </row>
    <row r="364">
      <c r="A364" s="4" t="str">
        <f>IFERROR(__xludf.DUMMYFUNCTION("""COMPUTED_VALUE"""),"2280 - Channel")</f>
        <v>2280 - Channel</v>
      </c>
      <c r="B364" s="4" t="str">
        <f>IFERROR(__xludf.DUMMYFUNCTION("""COMPUTED_VALUE"""),"Channel 1")</f>
        <v>Channel 1</v>
      </c>
      <c r="C364" s="4" t="str">
        <f>IFERROR(__xludf.DUMMYFUNCTION("""COMPUTED_VALUE"""),"Day 3 - 25/06")</f>
        <v>Day 3 - 25/06</v>
      </c>
      <c r="D364" s="6">
        <f>IFERROR(__xludf.DUMMYFUNCTION("""COMPUTED_VALUE"""),0.648564814814814)</f>
        <v>0.6485648148</v>
      </c>
      <c r="E364" s="6">
        <f>IFERROR(__xludf.DUMMYFUNCTION("""COMPUTED_VALUE"""),2.314814814814815E-4)</f>
        <v>0.0002314814815</v>
      </c>
      <c r="F364" s="6">
        <f>IFERROR(__xludf.DUMMYFUNCTION("""COMPUTED_VALUE"""),0.6487962962962954)</f>
        <v>0.6487962963</v>
      </c>
      <c r="G364" s="4" t="str">
        <f>IFERROR(__xludf.DUMMYFUNCTION("""COMPUTED_VALUE"""),"")</f>
        <v/>
      </c>
      <c r="H364" s="4" t="str">
        <f>IFERROR(__xludf.DUMMYFUNCTION("""COMPUTED_VALUE"""),"")</f>
        <v/>
      </c>
      <c r="I364" s="4" t="str">
        <f>IFERROR(__xludf.DUMMYFUNCTION("""COMPUTED_VALUE"""),"")</f>
        <v/>
      </c>
      <c r="J364" s="4" t="str">
        <f>IFERROR(__xludf.DUMMYFUNCTION("""COMPUTED_VALUE"""),"")</f>
        <v/>
      </c>
      <c r="K364" s="4" t="str">
        <f>IFERROR(__xludf.DUMMYFUNCTION("""COMPUTED_VALUE"""),"Talk Intro")</f>
        <v>Talk Intro</v>
      </c>
      <c r="L364" s="4" t="str">
        <f>IFERROR(__xludf.DUMMYFUNCTION("""COMPUTED_VALUE"""),"")</f>
        <v/>
      </c>
      <c r="M364" s="4" t="str">
        <f>IFERROR(__xludf.DUMMYFUNCTION("""COMPUTED_VALUE"""),"Talk Intro")</f>
        <v>Talk Intro</v>
      </c>
      <c r="N364" s="4" t="str">
        <f>IFERROR(__xludf.DUMMYFUNCTION("""COMPUTED_VALUE"""),"Sunil Sharma, Web Summit")</f>
        <v>Sunil Sharma, Web Summit</v>
      </c>
      <c r="O364" s="4" t="str">
        <f>IFERROR(__xludf.DUMMYFUNCTION("""COMPUTED_VALUE"""),"")</f>
        <v/>
      </c>
      <c r="P364" s="4" t="str">
        <f>IFERROR(__xludf.DUMMYFUNCTION("""COMPUTED_VALUE"""),"")</f>
        <v/>
      </c>
      <c r="Q364" s="4" t="str">
        <f>IFERROR(__xludf.DUMMYFUNCTION("""COMPUTED_VALUE"""),"")</f>
        <v/>
      </c>
      <c r="R364" s="4" t="str">
        <f>IFERROR(__xludf.DUMMYFUNCTION("""COMPUTED_VALUE"""),"")</f>
        <v/>
      </c>
      <c r="S364" s="4" t="str">
        <f>IFERROR(__xludf.DUMMYFUNCTION("""COMPUTED_VALUE"""),"")</f>
        <v/>
      </c>
      <c r="T364" s="4" t="str">
        <f>IFERROR(__xludf.DUMMYFUNCTION("""COMPUTED_VALUE"""),"")</f>
        <v/>
      </c>
      <c r="U364" s="4" t="str">
        <f>IFERROR(__xludf.DUMMYFUNCTION("""COMPUTED_VALUE"""),"")</f>
        <v/>
      </c>
      <c r="V364" s="4" t="str">
        <f>IFERROR(__xludf.DUMMYFUNCTION("""COMPUTED_VALUE"""),"")</f>
        <v/>
      </c>
      <c r="W364" s="4" t="str">
        <f>IFERROR(__xludf.DUMMYFUNCTION("""COMPUTED_VALUE"""),"")</f>
        <v/>
      </c>
      <c r="X364" s="4" t="str">
        <f>IFERROR(__xludf.DUMMYFUNCTION("""COMPUTED_VALUE"""),"")</f>
        <v/>
      </c>
      <c r="Y364" s="4" t="str">
        <f>IFERROR(__xludf.DUMMYFUNCTION("""COMPUTED_VALUE"""),"")</f>
        <v/>
      </c>
    </row>
    <row r="365">
      <c r="A365" s="4" t="str">
        <f>IFERROR(__xludf.DUMMYFUNCTION("""COMPUTED_VALUE"""),"104 - Channel")</f>
        <v>104 - Channel</v>
      </c>
      <c r="B365" s="4" t="str">
        <f>IFERROR(__xludf.DUMMYFUNCTION("""COMPUTED_VALUE"""),"Channel 1")</f>
        <v>Channel 1</v>
      </c>
      <c r="C365" s="4" t="str">
        <f>IFERROR(__xludf.DUMMYFUNCTION("""COMPUTED_VALUE"""),"Day 3 - 25/06")</f>
        <v>Day 3 - 25/06</v>
      </c>
      <c r="D365" s="6">
        <f>IFERROR(__xludf.DUMMYFUNCTION("""COMPUTED_VALUE"""),0.6487962962962954)</f>
        <v>0.6487962963</v>
      </c>
      <c r="E365" s="6">
        <f>IFERROR(__xludf.DUMMYFUNCTION("""COMPUTED_VALUE"""),0.011111111111111112)</f>
        <v>0.01111111111</v>
      </c>
      <c r="F365" s="6">
        <f>IFERROR(__xludf.DUMMYFUNCTION("""COMPUTED_VALUE"""),0.6599074074074065)</f>
        <v>0.6599074074</v>
      </c>
      <c r="G365" s="4" t="str">
        <f>IFERROR(__xludf.DUMMYFUNCTION("""COMPUTED_VALUE"""),"Lobna")</f>
        <v>Lobna</v>
      </c>
      <c r="H365" s="4" t="str">
        <f>IFERROR(__xludf.DUMMYFUNCTION("""COMPUTED_VALUE"""),"Lisa")</f>
        <v>Lisa</v>
      </c>
      <c r="I365" s="4" t="str">
        <f>IFERROR(__xludf.DUMMYFUNCTION("""COMPUTED_VALUE"""),"Lucia H.")</f>
        <v>Lucia H.</v>
      </c>
      <c r="J365" s="4" t="str">
        <f>IFERROR(__xludf.DUMMYFUNCTION("""COMPUTED_VALUE"""),"")</f>
        <v/>
      </c>
      <c r="K365" s="4" t="str">
        <f>IFERROR(__xludf.DUMMYFUNCTION("""COMPUTED_VALUE"""),"Super Fireside")</f>
        <v>Super Fireside</v>
      </c>
      <c r="L365" s="4" t="str">
        <f>IFERROR(__xludf.DUMMYFUNCTION("""COMPUTED_VALUE"""),"T- 2 - 08/06/2020")</f>
        <v>T- 2 - 08/06/2020</v>
      </c>
      <c r="M365" s="4" t="str">
        <f>IFERROR(__xludf.DUMMYFUNCTION("""COMPUTED_VALUE"""),"Canada post-pandemic ")</f>
        <v>Canada post-pandemic </v>
      </c>
      <c r="N365" s="4" t="str">
        <f>IFERROR(__xludf.DUMMYFUNCTION("""COMPUTED_VALUE"""),"David McKay, RBC (Royal Bank of Canada)")</f>
        <v>David McKay, RBC (Royal Bank of Canada)</v>
      </c>
      <c r="O365" s="4" t="str">
        <f>IFERROR(__xludf.DUMMYFUNCTION("""COMPUTED_VALUE"""),"Joe Natale, Rogers Communications Inc.")</f>
        <v>Joe Natale, Rogers Communications Inc.</v>
      </c>
      <c r="P365" s="4" t="str">
        <f>IFERROR(__xludf.DUMMYFUNCTION("""COMPUTED_VALUE"""),"")</f>
        <v/>
      </c>
      <c r="Q365" s="4" t="str">
        <f>IFERROR(__xludf.DUMMYFUNCTION("""COMPUTED_VALUE"""),"")</f>
        <v/>
      </c>
      <c r="R365" s="4" t="str">
        <f>IFERROR(__xludf.DUMMYFUNCTION("""COMPUTED_VALUE"""),"Goldy Hyder, The Business Council of Canada")</f>
        <v>Goldy Hyder, The Business Council of Canada</v>
      </c>
      <c r="S365" s="4" t="str">
        <f>IFERROR(__xludf.DUMMYFUNCTION("""COMPUTED_VALUE"""),"We ask two of Canada's biggest businesses what lies ahead for the country's economy, employment and recovery.")</f>
        <v>We ask two of Canada's biggest businesses what lies ahead for the country's economy, employment and recovery.</v>
      </c>
      <c r="T365" s="4" t="str">
        <f>IFERROR(__xludf.DUMMYFUNCTION("""COMPUTED_VALUE"""),"NON-KEYNOTE 9 - COMPLETE")</f>
        <v>NON-KEYNOTE 9 - COMPLETE</v>
      </c>
      <c r="U365" s="23">
        <f>IFERROR(__xludf.DUMMYFUNCTION("""COMPUTED_VALUE"""),43990.0)</f>
        <v>43990</v>
      </c>
      <c r="V365" s="24">
        <f>IFERROR(__xludf.DUMMYFUNCTION("""COMPUTED_VALUE"""),0.5833333333333334)</f>
        <v>0.5833333333</v>
      </c>
      <c r="W365" s="21" t="str">
        <f>IFERROR(__xludf.DUMMYFUNCTION("""COMPUTED_VALUE"""),"https://us02web.zoom.us/j/84671904744?pwd=U2hybUtwU3h3R0ZsS0NiNnBCMzhyZz09")</f>
        <v>https://us02web.zoom.us/j/84671904744?pwd=U2hybUtwU3h3R0ZsS0NiNnBCMzhyZz09</v>
      </c>
      <c r="X365" s="4" t="str">
        <f>IFERROR(__xludf.DUMMYFUNCTION("""COMPUTED_VALUE"""),"Lobna")</f>
        <v>Lobna</v>
      </c>
      <c r="Y365" s="4" t="str">
        <f>IFERROR(__xludf.DUMMYFUNCTION("""COMPUTED_VALUE"""),"")</f>
        <v/>
      </c>
    </row>
    <row r="366">
      <c r="A366" s="4" t="str">
        <f>IFERROR(__xludf.DUMMYFUNCTION("""COMPUTED_VALUE"""),"97 - Channel")</f>
        <v>97 - Channel</v>
      </c>
      <c r="B366" s="4" t="str">
        <f>IFERROR(__xludf.DUMMYFUNCTION("""COMPUTED_VALUE"""),"Channel 1")</f>
        <v>Channel 1</v>
      </c>
      <c r="C366" s="4" t="str">
        <f>IFERROR(__xludf.DUMMYFUNCTION("""COMPUTED_VALUE"""),"Day 3 - 25/06")</f>
        <v>Day 3 - 25/06</v>
      </c>
      <c r="D366" s="6">
        <f>IFERROR(__xludf.DUMMYFUNCTION("""COMPUTED_VALUE"""),0.6599074074074065)</f>
        <v>0.6599074074</v>
      </c>
      <c r="E366" s="6">
        <f>IFERROR(__xludf.DUMMYFUNCTION("""COMPUTED_VALUE"""),2.314814814814815E-4)</f>
        <v>0.0002314814815</v>
      </c>
      <c r="F366" s="6">
        <f>IFERROR(__xludf.DUMMYFUNCTION("""COMPUTED_VALUE"""),0.6601388888888879)</f>
        <v>0.6601388889</v>
      </c>
      <c r="G366" s="4" t="str">
        <f>IFERROR(__xludf.DUMMYFUNCTION("""COMPUTED_VALUE"""),"")</f>
        <v/>
      </c>
      <c r="H366" s="4" t="str">
        <f>IFERROR(__xludf.DUMMYFUNCTION("""COMPUTED_VALUE"""),"")</f>
        <v/>
      </c>
      <c r="I366" s="4" t="str">
        <f>IFERROR(__xludf.DUMMYFUNCTION("""COMPUTED_VALUE"""),"")</f>
        <v/>
      </c>
      <c r="J366" s="4" t="str">
        <f>IFERROR(__xludf.DUMMYFUNCTION("""COMPUTED_VALUE"""),"")</f>
        <v/>
      </c>
      <c r="K366" s="4" t="str">
        <f>IFERROR(__xludf.DUMMYFUNCTION("""COMPUTED_VALUE"""),"Talk Intro")</f>
        <v>Talk Intro</v>
      </c>
      <c r="L366" s="4" t="str">
        <f>IFERROR(__xludf.DUMMYFUNCTION("""COMPUTED_VALUE"""),"")</f>
        <v/>
      </c>
      <c r="M366" s="4" t="str">
        <f>IFERROR(__xludf.DUMMYFUNCTION("""COMPUTED_VALUE"""),"Talk Intro")</f>
        <v>Talk Intro</v>
      </c>
      <c r="N366" s="4" t="str">
        <f>IFERROR(__xludf.DUMMYFUNCTION("""COMPUTED_VALUE"""),"Casey Lau, Web Summit")</f>
        <v>Casey Lau, Web Summit</v>
      </c>
      <c r="O366" s="4" t="str">
        <f>IFERROR(__xludf.DUMMYFUNCTION("""COMPUTED_VALUE"""),"")</f>
        <v/>
      </c>
      <c r="P366" s="4" t="str">
        <f>IFERROR(__xludf.DUMMYFUNCTION("""COMPUTED_VALUE"""),"")</f>
        <v/>
      </c>
      <c r="Q366" s="4" t="str">
        <f>IFERROR(__xludf.DUMMYFUNCTION("""COMPUTED_VALUE"""),"")</f>
        <v/>
      </c>
      <c r="R366" s="4" t="str">
        <f>IFERROR(__xludf.DUMMYFUNCTION("""COMPUTED_VALUE"""),"")</f>
        <v/>
      </c>
      <c r="S366" s="4" t="str">
        <f>IFERROR(__xludf.DUMMYFUNCTION("""COMPUTED_VALUE"""),"")</f>
        <v/>
      </c>
      <c r="T366" s="4" t="str">
        <f>IFERROR(__xludf.DUMMYFUNCTION("""COMPUTED_VALUE"""),"")</f>
        <v/>
      </c>
      <c r="U366" s="4" t="str">
        <f>IFERROR(__xludf.DUMMYFUNCTION("""COMPUTED_VALUE"""),"")</f>
        <v/>
      </c>
      <c r="V366" s="4" t="str">
        <f>IFERROR(__xludf.DUMMYFUNCTION("""COMPUTED_VALUE"""),"")</f>
        <v/>
      </c>
      <c r="W366" s="4" t="str">
        <f>IFERROR(__xludf.DUMMYFUNCTION("""COMPUTED_VALUE"""),"")</f>
        <v/>
      </c>
      <c r="X366" s="4" t="str">
        <f>IFERROR(__xludf.DUMMYFUNCTION("""COMPUTED_VALUE"""),"")</f>
        <v/>
      </c>
      <c r="Y366" s="4" t="str">
        <f>IFERROR(__xludf.DUMMYFUNCTION("""COMPUTED_VALUE"""),"")</f>
        <v/>
      </c>
    </row>
    <row r="367">
      <c r="A367" s="4" t="str">
        <f>IFERROR(__xludf.DUMMYFUNCTION("""COMPUTED_VALUE"""),"98 - Channel")</f>
        <v>98 - Channel</v>
      </c>
      <c r="B367" s="4" t="str">
        <f>IFERROR(__xludf.DUMMYFUNCTION("""COMPUTED_VALUE"""),"Channel 1")</f>
        <v>Channel 1</v>
      </c>
      <c r="C367" s="4" t="str">
        <f>IFERROR(__xludf.DUMMYFUNCTION("""COMPUTED_VALUE"""),"Day 3 - 25/06")</f>
        <v>Day 3 - 25/06</v>
      </c>
      <c r="D367" s="6">
        <f>IFERROR(__xludf.DUMMYFUNCTION("""COMPUTED_VALUE"""),0.6601388888888879)</f>
        <v>0.6601388889</v>
      </c>
      <c r="E367" s="6">
        <f>IFERROR(__xludf.DUMMYFUNCTION("""COMPUTED_VALUE"""),0.008206018518518519)</f>
        <v>0.008206018519</v>
      </c>
      <c r="F367" s="6">
        <f>IFERROR(__xludf.DUMMYFUNCTION("""COMPUTED_VALUE"""),0.6683449074074065)</f>
        <v>0.6683449074</v>
      </c>
      <c r="G367" s="4" t="str">
        <f>IFERROR(__xludf.DUMMYFUNCTION("""COMPUTED_VALUE"""),"Lobna")</f>
        <v>Lobna</v>
      </c>
      <c r="H367" s="4" t="str">
        <f>IFERROR(__xludf.DUMMYFUNCTION("""COMPUTED_VALUE"""),"Stephen")</f>
        <v>Stephen</v>
      </c>
      <c r="I367" s="4" t="str">
        <f>IFERROR(__xludf.DUMMYFUNCTION("""COMPUTED_VALUE"""),"Manon")</f>
        <v>Manon</v>
      </c>
      <c r="J367" s="4" t="str">
        <f>IFERROR(__xludf.DUMMYFUNCTION("""COMPUTED_VALUE"""),"Society")</f>
        <v>Society</v>
      </c>
      <c r="K367" s="4" t="str">
        <f>IFERROR(__xludf.DUMMYFUNCTION("""COMPUTED_VALUE"""),"Super Fireside")</f>
        <v>Super Fireside</v>
      </c>
      <c r="L367" s="4" t="str">
        <f>IFERROR(__xludf.DUMMYFUNCTION("""COMPUTED_VALUE"""),"T- 5 - 18/05/2020")</f>
        <v>T- 5 - 18/05/2020</v>
      </c>
      <c r="M367" s="4" t="str">
        <f>IFERROR(__xludf.DUMMYFUNCTION("""COMPUTED_VALUE"""),"How to cover big tech")</f>
        <v>How to cover big tech</v>
      </c>
      <c r="N367" s="4" t="str">
        <f>IFERROR(__xludf.DUMMYFUNCTION("""COMPUTED_VALUE"""),"Steven Levy, Wired")</f>
        <v>Steven Levy, Wired</v>
      </c>
      <c r="O367" s="4" t="str">
        <f>IFERROR(__xludf.DUMMYFUNCTION("""COMPUTED_VALUE"""),"Olivia Solon, NBC News")</f>
        <v>Olivia Solon, NBC News</v>
      </c>
      <c r="P367" s="4" t="str">
        <f>IFERROR(__xludf.DUMMYFUNCTION("""COMPUTED_VALUE"""),"")</f>
        <v/>
      </c>
      <c r="Q367" s="4" t="str">
        <f>IFERROR(__xludf.DUMMYFUNCTION("""COMPUTED_VALUE"""),"")</f>
        <v/>
      </c>
      <c r="R367" s="4" t="str">
        <f>IFERROR(__xludf.DUMMYFUNCTION("""COMPUTED_VALUE"""),"Brian McCullough, Techmeme")</f>
        <v>Brian McCullough, Techmeme</v>
      </c>
      <c r="S367" s="4" t="str">
        <f>IFERROR(__xludf.DUMMYFUNCTION("""COMPUTED_VALUE"""),"Big tech is a big deal. And covering it is a big responsibility. Let the experts outline how tech reportage done right is a thing of beauty, and of power. ")</f>
        <v>Big tech is a big deal. And covering it is a big responsibility. Let the experts outline how tech reportage done right is a thing of beauty, and of power. </v>
      </c>
      <c r="T367" s="54" t="str">
        <f>IFERROR(__xludf.DUMMYFUNCTION("""COMPUTED_VALUE"""),"NON-KEYNOTE 9 - COMPLETE")</f>
        <v>NON-KEYNOTE 9 - COMPLETE</v>
      </c>
      <c r="U367" s="23">
        <f>IFERROR(__xludf.DUMMYFUNCTION("""COMPUTED_VALUE"""),43969.0)</f>
        <v>43969</v>
      </c>
      <c r="V367" s="24">
        <f>IFERROR(__xludf.DUMMYFUNCTION("""COMPUTED_VALUE"""),0.7083333333333334)</f>
        <v>0.7083333333</v>
      </c>
      <c r="W367" s="4" t="str">
        <f>IFERROR(__xludf.DUMMYFUNCTION("""COMPUTED_VALUE"""),"COMPLETE")</f>
        <v>COMPLETE</v>
      </c>
      <c r="X367" s="4" t="str">
        <f>IFERROR(__xludf.DUMMYFUNCTION("""COMPUTED_VALUE"""),"Stephen")</f>
        <v>Stephen</v>
      </c>
      <c r="Y367" s="4" t="str">
        <f>IFERROR(__xludf.DUMMYFUNCTION("""COMPUTED_VALUE"""),"")</f>
        <v/>
      </c>
    </row>
    <row r="368">
      <c r="A368" s="4" t="str">
        <f>IFERROR(__xludf.DUMMYFUNCTION("""COMPUTED_VALUE"""),"1795 - Channel")</f>
        <v>1795 - Channel</v>
      </c>
      <c r="B368" s="4" t="str">
        <f>IFERROR(__xludf.DUMMYFUNCTION("""COMPUTED_VALUE"""),"Channel 1")</f>
        <v>Channel 1</v>
      </c>
      <c r="C368" s="4" t="str">
        <f>IFERROR(__xludf.DUMMYFUNCTION("""COMPUTED_VALUE"""),"Day 3 - 25/06")</f>
        <v>Day 3 - 25/06</v>
      </c>
      <c r="D368" s="4" t="str">
        <f>IFERROR(__xludf.DUMMYFUNCTION("""COMPUTED_VALUE"""),"")</f>
        <v/>
      </c>
      <c r="E368" s="4" t="str">
        <f>IFERROR(__xludf.DUMMYFUNCTION("""COMPUTED_VALUE"""),"")</f>
        <v/>
      </c>
      <c r="F368" s="4" t="str">
        <f>IFERROR(__xludf.DUMMYFUNCTION("""COMPUTED_VALUE"""),"")</f>
        <v/>
      </c>
      <c r="G368" s="4" t="str">
        <f>IFERROR(__xludf.DUMMYFUNCTION("""COMPUTED_VALUE"""),"")</f>
        <v/>
      </c>
      <c r="H368" s="4" t="str">
        <f>IFERROR(__xludf.DUMMYFUNCTION("""COMPUTED_VALUE"""),"")</f>
        <v/>
      </c>
      <c r="I368" s="4" t="str">
        <f>IFERROR(__xludf.DUMMYFUNCTION("""COMPUTED_VALUE"""),"")</f>
        <v/>
      </c>
      <c r="J368" s="4" t="str">
        <f>IFERROR(__xludf.DUMMYFUNCTION("""COMPUTED_VALUE"""),"")</f>
        <v/>
      </c>
      <c r="K368" s="4" t="str">
        <f>IFERROR(__xludf.DUMMYFUNCTION("""COMPUTED_VALUE"""),"")</f>
        <v/>
      </c>
      <c r="L368" s="4" t="str">
        <f>IFERROR(__xludf.DUMMYFUNCTION("""COMPUTED_VALUE"""),"")</f>
        <v/>
      </c>
      <c r="M368" s="4" t="str">
        <f>IFERROR(__xludf.DUMMYFUNCTION("""COMPUTED_VALUE"""),"")</f>
        <v/>
      </c>
      <c r="N368" s="4" t="str">
        <f>IFERROR(__xludf.DUMMYFUNCTION("""COMPUTED_VALUE"""),"")</f>
        <v/>
      </c>
      <c r="O368" s="4" t="str">
        <f>IFERROR(__xludf.DUMMYFUNCTION("""COMPUTED_VALUE"""),"")</f>
        <v/>
      </c>
      <c r="P368" s="4" t="str">
        <f>IFERROR(__xludf.DUMMYFUNCTION("""COMPUTED_VALUE"""),"")</f>
        <v/>
      </c>
      <c r="Q368" s="4" t="str">
        <f>IFERROR(__xludf.DUMMYFUNCTION("""COMPUTED_VALUE"""),"")</f>
        <v/>
      </c>
      <c r="R368" s="4" t="str">
        <f>IFERROR(__xludf.DUMMYFUNCTION("""COMPUTED_VALUE"""),"")</f>
        <v/>
      </c>
      <c r="S368" s="4" t="str">
        <f>IFERROR(__xludf.DUMMYFUNCTION("""COMPUTED_VALUE"""),"")</f>
        <v/>
      </c>
      <c r="T368" s="4" t="str">
        <f>IFERROR(__xludf.DUMMYFUNCTION("""COMPUTED_VALUE"""),"")</f>
        <v/>
      </c>
      <c r="U368" s="4" t="str">
        <f>IFERROR(__xludf.DUMMYFUNCTION("""COMPUTED_VALUE"""),"")</f>
        <v/>
      </c>
      <c r="V368" s="4" t="str">
        <f>IFERROR(__xludf.DUMMYFUNCTION("""COMPUTED_VALUE"""),"")</f>
        <v/>
      </c>
      <c r="W368" s="4" t="str">
        <f>IFERROR(__xludf.DUMMYFUNCTION("""COMPUTED_VALUE"""),"")</f>
        <v/>
      </c>
      <c r="X368" s="4" t="str">
        <f>IFERROR(__xludf.DUMMYFUNCTION("""COMPUTED_VALUE"""),"")</f>
        <v/>
      </c>
      <c r="Y368" s="4" t="str">
        <f>IFERROR(__xludf.DUMMYFUNCTION("""COMPUTED_VALUE"""),"")</f>
        <v/>
      </c>
    </row>
    <row r="369">
      <c r="A369" s="4" t="str">
        <f>IFERROR(__xludf.DUMMYFUNCTION("""COMPUTED_VALUE"""),"370 - Channel")</f>
        <v>370 - Channel</v>
      </c>
      <c r="B369" s="4" t="str">
        <f>IFERROR(__xludf.DUMMYFUNCTION("""COMPUTED_VALUE"""),"Channel 1")</f>
        <v>Channel 1</v>
      </c>
      <c r="C369" s="4" t="str">
        <f>IFERROR(__xludf.DUMMYFUNCTION("""COMPUTED_VALUE"""),"Day 3 - 25/06")</f>
        <v>Day 3 - 25/06</v>
      </c>
      <c r="D369" s="6">
        <f>IFERROR(__xludf.DUMMYFUNCTION("""COMPUTED_VALUE"""),0.6683449074074065)</f>
        <v>0.6683449074</v>
      </c>
      <c r="E369" s="6">
        <f>IFERROR(__xludf.DUMMYFUNCTION("""COMPUTED_VALUE"""),6.944444444444445E-4)</f>
        <v>0.0006944444444</v>
      </c>
      <c r="F369" s="6">
        <f>IFERROR(__xludf.DUMMYFUNCTION("""COMPUTED_VALUE"""),0.6690393518518509)</f>
        <v>0.6690393519</v>
      </c>
      <c r="G369" s="4" t="str">
        <f>IFERROR(__xludf.DUMMYFUNCTION("""COMPUTED_VALUE"""),"")</f>
        <v/>
      </c>
      <c r="H369" s="4" t="str">
        <f>IFERROR(__xludf.DUMMYFUNCTION("""COMPUTED_VALUE"""),"")</f>
        <v/>
      </c>
      <c r="I369" s="4" t="str">
        <f>IFERROR(__xludf.DUMMYFUNCTION("""COMPUTED_VALUE"""),"")</f>
        <v/>
      </c>
      <c r="J369" s="4" t="str">
        <f>IFERROR(__xludf.DUMMYFUNCTION("""COMPUTED_VALUE"""),"")</f>
        <v/>
      </c>
      <c r="K369" s="4" t="str">
        <f>IFERROR(__xludf.DUMMYFUNCTION("""COMPUTED_VALUE"""),"Laundry List/Lookaround")</f>
        <v>Laundry List/Lookaround</v>
      </c>
      <c r="L369" s="4" t="str">
        <f>IFERROR(__xludf.DUMMYFUNCTION("""COMPUTED_VALUE"""),"")</f>
        <v/>
      </c>
      <c r="M369" s="4" t="str">
        <f>IFERROR(__xludf.DUMMYFUNCTION("""COMPUTED_VALUE"""),"Laundry Day3_4PM")</f>
        <v>Laundry Day3_4PM</v>
      </c>
      <c r="N369" s="4" t="str">
        <f>IFERROR(__xludf.DUMMYFUNCTION("""COMPUTED_VALUE"""),"Yvonne Redmond, Web Summit")</f>
        <v>Yvonne Redmond, Web Summit</v>
      </c>
      <c r="O369" s="4" t="str">
        <f>IFERROR(__xludf.DUMMYFUNCTION("""COMPUTED_VALUE""")," ")</f>
        <v> </v>
      </c>
      <c r="P369" s="4" t="str">
        <f>IFERROR(__xludf.DUMMYFUNCTION("""COMPUTED_VALUE"""),"")</f>
        <v/>
      </c>
      <c r="Q369" s="4" t="str">
        <f>IFERROR(__xludf.DUMMYFUNCTION("""COMPUTED_VALUE"""),"")</f>
        <v/>
      </c>
      <c r="R369" s="4" t="str">
        <f>IFERROR(__xludf.DUMMYFUNCTION("""COMPUTED_VALUE"""),"")</f>
        <v/>
      </c>
      <c r="S369" s="4" t="str">
        <f>IFERROR(__xludf.DUMMYFUNCTION("""COMPUTED_VALUE"""),"")</f>
        <v/>
      </c>
      <c r="T369" s="4" t="str">
        <f>IFERROR(__xludf.DUMMYFUNCTION("""COMPUTED_VALUE"""),"")</f>
        <v/>
      </c>
      <c r="U369" s="4" t="str">
        <f>IFERROR(__xludf.DUMMYFUNCTION("""COMPUTED_VALUE"""),"")</f>
        <v/>
      </c>
      <c r="V369" s="4" t="str">
        <f>IFERROR(__xludf.DUMMYFUNCTION("""COMPUTED_VALUE"""),"")</f>
        <v/>
      </c>
      <c r="W369" s="4" t="str">
        <f>IFERROR(__xludf.DUMMYFUNCTION("""COMPUTED_VALUE"""),"")</f>
        <v/>
      </c>
      <c r="X369" s="4" t="str">
        <f>IFERROR(__xludf.DUMMYFUNCTION("""COMPUTED_VALUE"""),"")</f>
        <v/>
      </c>
      <c r="Y369" s="4" t="str">
        <f>IFERROR(__xludf.DUMMYFUNCTION("""COMPUTED_VALUE"""),"")</f>
        <v/>
      </c>
    </row>
    <row r="370">
      <c r="A370" s="4" t="str">
        <f>IFERROR(__xludf.DUMMYFUNCTION("""COMPUTED_VALUE"""),"142 - Channel")</f>
        <v>142 - Channel</v>
      </c>
      <c r="B370" s="4" t="str">
        <f>IFERROR(__xludf.DUMMYFUNCTION("""COMPUTED_VALUE"""),"Channel 1")</f>
        <v>Channel 1</v>
      </c>
      <c r="C370" s="4" t="str">
        <f>IFERROR(__xludf.DUMMYFUNCTION("""COMPUTED_VALUE"""),"Day 3 - 25/06")</f>
        <v>Day 3 - 25/06</v>
      </c>
      <c r="D370" s="6">
        <f>IFERROR(__xludf.DUMMYFUNCTION("""COMPUTED_VALUE"""),0.6690393518518509)</f>
        <v>0.6690393519</v>
      </c>
      <c r="E370" s="6">
        <f>IFERROR(__xludf.DUMMYFUNCTION("""COMPUTED_VALUE"""),2.314814814814815E-4)</f>
        <v>0.0002314814815</v>
      </c>
      <c r="F370" s="6">
        <f>IFERROR(__xludf.DUMMYFUNCTION("""COMPUTED_VALUE"""),0.6692708333333324)</f>
        <v>0.6692708333</v>
      </c>
      <c r="G370" s="4" t="str">
        <f>IFERROR(__xludf.DUMMYFUNCTION("""COMPUTED_VALUE"""),"")</f>
        <v/>
      </c>
      <c r="H370" s="4" t="str">
        <f>IFERROR(__xludf.DUMMYFUNCTION("""COMPUTED_VALUE"""),"")</f>
        <v/>
      </c>
      <c r="I370" s="4" t="str">
        <f>IFERROR(__xludf.DUMMYFUNCTION("""COMPUTED_VALUE"""),"")</f>
        <v/>
      </c>
      <c r="J370" s="4" t="str">
        <f>IFERROR(__xludf.DUMMYFUNCTION("""COMPUTED_VALUE"""),"")</f>
        <v/>
      </c>
      <c r="K370" s="4" t="str">
        <f>IFERROR(__xludf.DUMMYFUNCTION("""COMPUTED_VALUE"""),"Talk Intro")</f>
        <v>Talk Intro</v>
      </c>
      <c r="L370" s="4" t="str">
        <f>IFERROR(__xludf.DUMMYFUNCTION("""COMPUTED_VALUE"""),"")</f>
        <v/>
      </c>
      <c r="M370" s="4" t="str">
        <f>IFERROR(__xludf.DUMMYFUNCTION("""COMPUTED_VALUE"""),"Talk Intro")</f>
        <v>Talk Intro</v>
      </c>
      <c r="N370" s="4" t="str">
        <f>IFERROR(__xludf.DUMMYFUNCTION("""COMPUTED_VALUE"""),"Yvonne Redmond, Web Summit")</f>
        <v>Yvonne Redmond, Web Summit</v>
      </c>
      <c r="O370" s="4" t="str">
        <f>IFERROR(__xludf.DUMMYFUNCTION("""COMPUTED_VALUE"""),"")</f>
        <v/>
      </c>
      <c r="P370" s="4" t="str">
        <f>IFERROR(__xludf.DUMMYFUNCTION("""COMPUTED_VALUE"""),"")</f>
        <v/>
      </c>
      <c r="Q370" s="4" t="str">
        <f>IFERROR(__xludf.DUMMYFUNCTION("""COMPUTED_VALUE"""),"")</f>
        <v/>
      </c>
      <c r="R370" s="4" t="str">
        <f>IFERROR(__xludf.DUMMYFUNCTION("""COMPUTED_VALUE"""),"")</f>
        <v/>
      </c>
      <c r="S370" s="4" t="str">
        <f>IFERROR(__xludf.DUMMYFUNCTION("""COMPUTED_VALUE"""),"")</f>
        <v/>
      </c>
      <c r="T370" s="4" t="str">
        <f>IFERROR(__xludf.DUMMYFUNCTION("""COMPUTED_VALUE"""),"")</f>
        <v/>
      </c>
      <c r="U370" s="4" t="str">
        <f>IFERROR(__xludf.DUMMYFUNCTION("""COMPUTED_VALUE"""),"")</f>
        <v/>
      </c>
      <c r="V370" s="4" t="str">
        <f>IFERROR(__xludf.DUMMYFUNCTION("""COMPUTED_VALUE"""),"")</f>
        <v/>
      </c>
      <c r="W370" s="4" t="str">
        <f>IFERROR(__xludf.DUMMYFUNCTION("""COMPUTED_VALUE"""),"")</f>
        <v/>
      </c>
      <c r="X370" s="4" t="str">
        <f>IFERROR(__xludf.DUMMYFUNCTION("""COMPUTED_VALUE"""),"")</f>
        <v/>
      </c>
      <c r="Y370" s="4" t="str">
        <f>IFERROR(__xludf.DUMMYFUNCTION("""COMPUTED_VALUE"""),"")</f>
        <v/>
      </c>
    </row>
    <row r="371">
      <c r="A371" s="4" t="str">
        <f>IFERROR(__xludf.DUMMYFUNCTION("""COMPUTED_VALUE"""),"143 - Channel")</f>
        <v>143 - Channel</v>
      </c>
      <c r="B371" s="4" t="str">
        <f>IFERROR(__xludf.DUMMYFUNCTION("""COMPUTED_VALUE"""),"Channel 1")</f>
        <v>Channel 1</v>
      </c>
      <c r="C371" s="4" t="str">
        <f>IFERROR(__xludf.DUMMYFUNCTION("""COMPUTED_VALUE"""),"Day 3 - 25/06")</f>
        <v>Day 3 - 25/06</v>
      </c>
      <c r="D371" s="6">
        <f>IFERROR(__xludf.DUMMYFUNCTION("""COMPUTED_VALUE"""),0.6692708333333324)</f>
        <v>0.6692708333</v>
      </c>
      <c r="E371" s="6">
        <f>IFERROR(__xludf.DUMMYFUNCTION("""COMPUTED_VALUE"""),0.011203703703703704)</f>
        <v>0.0112037037</v>
      </c>
      <c r="F371" s="6">
        <f>IFERROR(__xludf.DUMMYFUNCTION("""COMPUTED_VALUE"""),0.6804745370370361)</f>
        <v>0.680474537</v>
      </c>
      <c r="G371" s="4" t="str">
        <f>IFERROR(__xludf.DUMMYFUNCTION("""COMPUTED_VALUE"""),"Stephanie")</f>
        <v>Stephanie</v>
      </c>
      <c r="H371" s="4" t="str">
        <f>IFERROR(__xludf.DUMMYFUNCTION("""COMPUTED_VALUE"""),"Haziq")</f>
        <v>Haziq</v>
      </c>
      <c r="I371" s="4" t="str">
        <f>IFERROR(__xludf.DUMMYFUNCTION("""COMPUTED_VALUE"""),"Geoff")</f>
        <v>Geoff</v>
      </c>
      <c r="J371" s="4" t="str">
        <f>IFERROR(__xludf.DUMMYFUNCTION("""COMPUTED_VALUE"""),"")</f>
        <v/>
      </c>
      <c r="K371" s="4" t="str">
        <f>IFERROR(__xludf.DUMMYFUNCTION("""COMPUTED_VALUE"""),"Super Fireside")</f>
        <v>Super Fireside</v>
      </c>
      <c r="L371" s="4" t="str">
        <f>IFERROR(__xludf.DUMMYFUNCTION("""COMPUTED_VALUE"""),"T- 6 - 11/05/2020")</f>
        <v>T- 6 - 11/05/2020</v>
      </c>
      <c r="M371" s="4" t="str">
        <f>IFERROR(__xludf.DUMMYFUNCTION("""COMPUTED_VALUE"""),"An investment model for the 'crisis climate'")</f>
        <v>An investment model for the 'crisis climate'</v>
      </c>
      <c r="N371" s="4" t="str">
        <f>IFERROR(__xludf.DUMMYFUNCTION("""COMPUTED_VALUE"""),"David Chao, DCM")</f>
        <v>David Chao, DCM</v>
      </c>
      <c r="O371" s="4" t="str">
        <f>IFERROR(__xludf.DUMMYFUNCTION("""COMPUTED_VALUE"""),"SC Moatti, Mighty Capital")</f>
        <v>SC Moatti, Mighty Capital</v>
      </c>
      <c r="P371" s="4" t="str">
        <f>IFERROR(__xludf.DUMMYFUNCTION("""COMPUTED_VALUE"""),"")</f>
        <v/>
      </c>
      <c r="Q371" s="4" t="str">
        <f>IFERROR(__xludf.DUMMYFUNCTION("""COMPUTED_VALUE"""),"")</f>
        <v/>
      </c>
      <c r="R371" s="4" t="str">
        <f>IFERROR(__xludf.DUMMYFUNCTION("""COMPUTED_VALUE"""),"Maureen Farrell, The Wall Street Journal")</f>
        <v>Maureen Farrell, The Wall Street Journal</v>
      </c>
      <c r="S371" s="4" t="str">
        <f>IFERROR(__xludf.DUMMYFUNCTION("""COMPUTED_VALUE"""),"In 2000, and again in 2008, we saw economic downturns that transformed the markets and the ways businesses operate to meet new demands. What lessons did we learn, and what can we predict as we enter this new and unknown economic climate? Top VCs discuss p"&amp;"ast investing trends and forecast future trends.")</f>
        <v>In 2000, and again in 2008, we saw economic downturns that transformed the markets and the ways businesses operate to meet new demands. What lessons did we learn, and what can we predict as we enter this new and unknown economic climate? Top VCs discuss past investing trends and forecast future trends.</v>
      </c>
      <c r="T371" s="4" t="str">
        <f>IFERROR(__xludf.DUMMYFUNCTION("""COMPUTED_VALUE"""),"NON-KEYNOTE 9 - COMPLETE")</f>
        <v>NON-KEYNOTE 9 - COMPLETE</v>
      </c>
      <c r="U371" s="23">
        <f>IFERROR(__xludf.DUMMYFUNCTION("""COMPUTED_VALUE"""),43963.0)</f>
        <v>43963</v>
      </c>
      <c r="V371" s="24">
        <f>IFERROR(__xludf.DUMMYFUNCTION("""COMPUTED_VALUE"""),0.8541666666666666)</f>
        <v>0.8541666667</v>
      </c>
      <c r="W371" s="4" t="str">
        <f>IFERROR(__xludf.DUMMYFUNCTION("""COMPUTED_VALUE"""),"COMPLETE")</f>
        <v>COMPLETE</v>
      </c>
      <c r="X371" s="4" t="str">
        <f>IFERROR(__xludf.DUMMYFUNCTION("""COMPUTED_VALUE"""),"Stephanie")</f>
        <v>Stephanie</v>
      </c>
      <c r="Y371" s="4" t="str">
        <f>IFERROR(__xludf.DUMMYFUNCTION("""COMPUTED_VALUE"""),"")</f>
        <v/>
      </c>
    </row>
    <row r="372">
      <c r="A372" s="4" t="str">
        <f>IFERROR(__xludf.DUMMYFUNCTION("""COMPUTED_VALUE"""),"377 - Channel")</f>
        <v>377 - Channel</v>
      </c>
      <c r="B372" s="4" t="str">
        <f>IFERROR(__xludf.DUMMYFUNCTION("""COMPUTED_VALUE"""),"Channel 1")</f>
        <v>Channel 1</v>
      </c>
      <c r="C372" s="4" t="str">
        <f>IFERROR(__xludf.DUMMYFUNCTION("""COMPUTED_VALUE"""),"Day 3 - 25/06")</f>
        <v>Day 3 - 25/06</v>
      </c>
      <c r="D372" s="6">
        <f>IFERROR(__xludf.DUMMYFUNCTION("""COMPUTED_VALUE"""),0.6804745370370361)</f>
        <v>0.680474537</v>
      </c>
      <c r="E372" s="6">
        <f>IFERROR(__xludf.DUMMYFUNCTION("""COMPUTED_VALUE"""),2.314814814814815E-4)</f>
        <v>0.0002314814815</v>
      </c>
      <c r="F372" s="6">
        <f>IFERROR(__xludf.DUMMYFUNCTION("""COMPUTED_VALUE"""),0.6807060185185175)</f>
        <v>0.6807060185</v>
      </c>
      <c r="G372" s="4" t="str">
        <f>IFERROR(__xludf.DUMMYFUNCTION("""COMPUTED_VALUE"""),"")</f>
        <v/>
      </c>
      <c r="H372" s="4" t="str">
        <f>IFERROR(__xludf.DUMMYFUNCTION("""COMPUTED_VALUE"""),"")</f>
        <v/>
      </c>
      <c r="I372" s="4" t="str">
        <f>IFERROR(__xludf.DUMMYFUNCTION("""COMPUTED_VALUE"""),"")</f>
        <v/>
      </c>
      <c r="J372" s="4" t="str">
        <f>IFERROR(__xludf.DUMMYFUNCTION("""COMPUTED_VALUE"""),"")</f>
        <v/>
      </c>
      <c r="K372" s="4" t="str">
        <f>IFERROR(__xludf.DUMMYFUNCTION("""COMPUTED_VALUE"""),"Talk Intro")</f>
        <v>Talk Intro</v>
      </c>
      <c r="L372" s="4" t="str">
        <f>IFERROR(__xludf.DUMMYFUNCTION("""COMPUTED_VALUE"""),"")</f>
        <v/>
      </c>
      <c r="M372" s="4" t="str">
        <f>IFERROR(__xludf.DUMMYFUNCTION("""COMPUTED_VALUE"""),"Talk Intro")</f>
        <v>Talk Intro</v>
      </c>
      <c r="N372" s="4" t="str">
        <f>IFERROR(__xludf.DUMMYFUNCTION("""COMPUTED_VALUE"""),"Paddy Cosgrave, Web Summit")</f>
        <v>Paddy Cosgrave, Web Summit</v>
      </c>
      <c r="O372" s="4" t="str">
        <f>IFERROR(__xludf.DUMMYFUNCTION("""COMPUTED_VALUE"""),"Yvonne Redmond, Web Summit")</f>
        <v>Yvonne Redmond, Web Summit</v>
      </c>
      <c r="P372" s="4" t="str">
        <f>IFERROR(__xludf.DUMMYFUNCTION("""COMPUTED_VALUE"""),"")</f>
        <v/>
      </c>
      <c r="Q372" s="4" t="str">
        <f>IFERROR(__xludf.DUMMYFUNCTION("""COMPUTED_VALUE"""),"")</f>
        <v/>
      </c>
      <c r="R372" s="4" t="str">
        <f>IFERROR(__xludf.DUMMYFUNCTION("""COMPUTED_VALUE"""),"")</f>
        <v/>
      </c>
      <c r="S372" s="4" t="str">
        <f>IFERROR(__xludf.DUMMYFUNCTION("""COMPUTED_VALUE"""),"")</f>
        <v/>
      </c>
      <c r="T372" s="4" t="str">
        <f>IFERROR(__xludf.DUMMYFUNCTION("""COMPUTED_VALUE"""),"")</f>
        <v/>
      </c>
      <c r="U372" s="4" t="str">
        <f>IFERROR(__xludf.DUMMYFUNCTION("""COMPUTED_VALUE"""),"")</f>
        <v/>
      </c>
      <c r="V372" s="4" t="str">
        <f>IFERROR(__xludf.DUMMYFUNCTION("""COMPUTED_VALUE"""),"")</f>
        <v/>
      </c>
      <c r="W372" s="4" t="str">
        <f>IFERROR(__xludf.DUMMYFUNCTION("""COMPUTED_VALUE"""),"")</f>
        <v/>
      </c>
      <c r="X372" s="4" t="str">
        <f>IFERROR(__xludf.DUMMYFUNCTION("""COMPUTED_VALUE"""),"")</f>
        <v/>
      </c>
      <c r="Y372" s="4" t="str">
        <f>IFERROR(__xludf.DUMMYFUNCTION("""COMPUTED_VALUE"""),"")</f>
        <v/>
      </c>
    </row>
    <row r="373">
      <c r="A373" s="4" t="str">
        <f>IFERROR(__xludf.DUMMYFUNCTION("""COMPUTED_VALUE"""),"378 - Channel")</f>
        <v>378 - Channel</v>
      </c>
      <c r="B373" s="4" t="str">
        <f>IFERROR(__xludf.DUMMYFUNCTION("""COMPUTED_VALUE"""),"Channel 1")</f>
        <v>Channel 1</v>
      </c>
      <c r="C373" s="4" t="str">
        <f>IFERROR(__xludf.DUMMYFUNCTION("""COMPUTED_VALUE"""),"Day 3 - 25/06")</f>
        <v>Day 3 - 25/06</v>
      </c>
      <c r="D373" s="6">
        <f>IFERROR(__xludf.DUMMYFUNCTION("""COMPUTED_VALUE"""),0.6807060185185175)</f>
        <v>0.6807060185</v>
      </c>
      <c r="E373" s="6">
        <f>IFERROR(__xludf.DUMMYFUNCTION("""COMPUTED_VALUE"""),0.010416666666666666)</f>
        <v>0.01041666667</v>
      </c>
      <c r="F373" s="6">
        <f>IFERROR(__xludf.DUMMYFUNCTION("""COMPUTED_VALUE"""),0.6911226851851842)</f>
        <v>0.6911226852</v>
      </c>
      <c r="G373" s="4" t="str">
        <f>IFERROR(__xludf.DUMMYFUNCTION("""COMPUTED_VALUE"""),"Kat")</f>
        <v>Kat</v>
      </c>
      <c r="H373" s="4" t="str">
        <f>IFERROR(__xludf.DUMMYFUNCTION("""COMPUTED_VALUE"""),"Lingyu")</f>
        <v>Lingyu</v>
      </c>
      <c r="I373" s="4" t="str">
        <f>IFERROR(__xludf.DUMMYFUNCTION("""COMPUTED_VALUE"""),"Lynn")</f>
        <v>Lynn</v>
      </c>
      <c r="J373" s="4" t="str">
        <f>IFERROR(__xludf.DUMMYFUNCTION("""COMPUTED_VALUE"""),"Health")</f>
        <v>Health</v>
      </c>
      <c r="K373" s="4" t="str">
        <f>IFERROR(__xludf.DUMMYFUNCTION("""COMPUTED_VALUE"""),"Fireside")</f>
        <v>Fireside</v>
      </c>
      <c r="L373" s="4" t="str">
        <f>IFERROR(__xludf.DUMMYFUNCTION("""COMPUTED_VALUE"""),"T- 3 - 01/06/2020")</f>
        <v>T- 3 - 01/06/2020</v>
      </c>
      <c r="M373" s="4" t="str">
        <f>IFERROR(__xludf.DUMMYFUNCTION("""COMPUTED_VALUE"""),"The world works from home")</f>
        <v>The world works from home</v>
      </c>
      <c r="N373" s="4" t="str">
        <f>IFERROR(__xludf.DUMMYFUNCTION("""COMPUTED_VALUE"""),"David Henshall, Citrix")</f>
        <v>David Henshall, Citrix</v>
      </c>
      <c r="O373" s="4" t="str">
        <f>IFERROR(__xludf.DUMMYFUNCTION("""COMPUTED_VALUE"""),"")</f>
        <v/>
      </c>
      <c r="P373" s="4" t="str">
        <f>IFERROR(__xludf.DUMMYFUNCTION("""COMPUTED_VALUE"""),"")</f>
        <v/>
      </c>
      <c r="Q373" s="4" t="str">
        <f>IFERROR(__xludf.DUMMYFUNCTION("""COMPUTED_VALUE"""),"")</f>
        <v/>
      </c>
      <c r="R373" s="4" t="str">
        <f>IFERROR(__xludf.DUMMYFUNCTION("""COMPUTED_VALUE"""),"Dave Smith, Business Insider")</f>
        <v>Dave Smith, Business Insider</v>
      </c>
      <c r="S373" s="4" t="str">
        <f>IFERROR(__xludf.DUMMYFUNCTION("""COMPUTED_VALUE"""),"Digital transformation and new workstyles are forcing businesses to rethink how and where tech is deployed. Companies utilising technology to enable flexible work models can not only attract hard-to-find talent, but increase employee engagement and boost "&amp;"their productivity. David Henshall explains how to strategically create a world-class business model to offer and enable remote work, make employees happier and more productive, and attract and retain the talent you need to move your business forward.")</f>
        <v>Digital transformation and new workstyles are forcing businesses to rethink how and where tech is deployed. Companies utilising technology to enable flexible work models can not only attract hard-to-find talent, but increase employee engagement and boost their productivity. David Henshall explains how to strategically create a world-class business model to offer and enable remote work, make employees happier and more productive, and attract and retain the talent you need to move your business forward.</v>
      </c>
      <c r="T373" s="4" t="str">
        <f>IFERROR(__xludf.DUMMYFUNCTION("""COMPUTED_VALUE"""),"NON-KEYNOTE 9 - COMPLETE")</f>
        <v>NON-KEYNOTE 9 - COMPLETE</v>
      </c>
      <c r="U373" s="23">
        <f>IFERROR(__xludf.DUMMYFUNCTION("""COMPUTED_VALUE"""),43983.0)</f>
        <v>43983</v>
      </c>
      <c r="V373" s="24">
        <f>IFERROR(__xludf.DUMMYFUNCTION("""COMPUTED_VALUE"""),0.7916666666666666)</f>
        <v>0.7916666667</v>
      </c>
      <c r="W373" s="4" t="str">
        <f>IFERROR(__xludf.DUMMYFUNCTION("""COMPUTED_VALUE"""),"COMPLETE")</f>
        <v>COMPLETE</v>
      </c>
      <c r="X373" s="4" t="str">
        <f>IFERROR(__xludf.DUMMYFUNCTION("""COMPUTED_VALUE"""),"Kat")</f>
        <v>Kat</v>
      </c>
      <c r="Y373" s="4" t="str">
        <f>IFERROR(__xludf.DUMMYFUNCTION("""COMPUTED_VALUE"""),"")</f>
        <v/>
      </c>
    </row>
    <row r="374">
      <c r="A374" s="4" t="str">
        <f>IFERROR(__xludf.DUMMYFUNCTION("""COMPUTED_VALUE"""),"1718 - Channel")</f>
        <v>1718 - Channel</v>
      </c>
      <c r="B374" s="4" t="str">
        <f>IFERROR(__xludf.DUMMYFUNCTION("""COMPUTED_VALUE"""),"Channel 1")</f>
        <v>Channel 1</v>
      </c>
      <c r="C374" s="4" t="str">
        <f>IFERROR(__xludf.DUMMYFUNCTION("""COMPUTED_VALUE"""),"Day 3 - 25/06")</f>
        <v>Day 3 - 25/06</v>
      </c>
      <c r="D374" s="6">
        <f>IFERROR(__xludf.DUMMYFUNCTION("""COMPUTED_VALUE"""),0.6911226851851842)</f>
        <v>0.6911226852</v>
      </c>
      <c r="E374" s="6">
        <f>IFERROR(__xludf.DUMMYFUNCTION("""COMPUTED_VALUE"""),0.0010416666666666667)</f>
        <v>0.001041666667</v>
      </c>
      <c r="F374" s="6">
        <f>IFERROR(__xludf.DUMMYFUNCTION("""COMPUTED_VALUE"""),0.6921643518518509)</f>
        <v>0.6921643519</v>
      </c>
      <c r="G374" s="4" t="str">
        <f>IFERROR(__xludf.DUMMYFUNCTION("""COMPUTED_VALUE"""),"")</f>
        <v/>
      </c>
      <c r="H374" s="4" t="str">
        <f>IFERROR(__xludf.DUMMYFUNCTION("""COMPUTED_VALUE"""),"")</f>
        <v/>
      </c>
      <c r="I374" s="4" t="str">
        <f>IFERROR(__xludf.DUMMYFUNCTION("""COMPUTED_VALUE"""),"")</f>
        <v/>
      </c>
      <c r="J374" s="4" t="str">
        <f>IFERROR(__xludf.DUMMYFUNCTION("""COMPUTED_VALUE"""),"")</f>
        <v/>
      </c>
      <c r="K374" s="4" t="str">
        <f>IFERROR(__xludf.DUMMYFUNCTION("""COMPUTED_VALUE"""),"Pitch reel")</f>
        <v>Pitch reel</v>
      </c>
      <c r="L374" s="4" t="str">
        <f>IFERROR(__xludf.DUMMYFUNCTION("""COMPUTED_VALUE"""),"")</f>
        <v/>
      </c>
      <c r="M374" s="4" t="str">
        <f>IFERROR(__xludf.DUMMYFUNCTION("""COMPUTED_VALUE"""),"Meet a past PITCH winner: Chelsea Briganti")</f>
        <v>Meet a past PITCH winner: Chelsea Briganti</v>
      </c>
      <c r="N374" s="4" t="str">
        <f>IFERROR(__xludf.DUMMYFUNCTION("""COMPUTED_VALUE"""),"Content complete")</f>
        <v>Content complete</v>
      </c>
      <c r="O374" s="4" t="str">
        <f>IFERROR(__xludf.DUMMYFUNCTION("""COMPUTED_VALUE"""),"")</f>
        <v/>
      </c>
      <c r="P374" s="4" t="str">
        <f>IFERROR(__xludf.DUMMYFUNCTION("""COMPUTED_VALUE"""),"")</f>
        <v/>
      </c>
      <c r="Q374" s="4" t="str">
        <f>IFERROR(__xludf.DUMMYFUNCTION("""COMPUTED_VALUE"""),"")</f>
        <v/>
      </c>
      <c r="R374" s="4" t="str">
        <f>IFERROR(__xludf.DUMMYFUNCTION("""COMPUTED_VALUE"""),"")</f>
        <v/>
      </c>
      <c r="S374" s="4" t="str">
        <f>IFERROR(__xludf.DUMMYFUNCTION("""COMPUTED_VALUE"""),"")</f>
        <v/>
      </c>
      <c r="T374" s="4" t="str">
        <f>IFERROR(__xludf.DUMMYFUNCTION("""COMPUTED_VALUE"""),"")</f>
        <v/>
      </c>
      <c r="U374" s="4" t="str">
        <f>IFERROR(__xludf.DUMMYFUNCTION("""COMPUTED_VALUE"""),"")</f>
        <v/>
      </c>
      <c r="V374" s="4" t="str">
        <f>IFERROR(__xludf.DUMMYFUNCTION("""COMPUTED_VALUE"""),"")</f>
        <v/>
      </c>
      <c r="W374" s="4" t="str">
        <f>IFERROR(__xludf.DUMMYFUNCTION("""COMPUTED_VALUE"""),"")</f>
        <v/>
      </c>
      <c r="X374" s="4" t="str">
        <f>IFERROR(__xludf.DUMMYFUNCTION("""COMPUTED_VALUE"""),"")</f>
        <v/>
      </c>
      <c r="Y374" s="4" t="str">
        <f>IFERROR(__xludf.DUMMYFUNCTION("""COMPUTED_VALUE"""),"")</f>
        <v/>
      </c>
    </row>
    <row r="375">
      <c r="A375" s="4" t="str">
        <f>IFERROR(__xludf.DUMMYFUNCTION("""COMPUTED_VALUE"""),"1618 - Channel")</f>
        <v>1618 - Channel</v>
      </c>
      <c r="B375" s="4" t="str">
        <f>IFERROR(__xludf.DUMMYFUNCTION("""COMPUTED_VALUE"""),"Channel 1")</f>
        <v>Channel 1</v>
      </c>
      <c r="C375" s="4" t="str">
        <f>IFERROR(__xludf.DUMMYFUNCTION("""COMPUTED_VALUE"""),"Day 3 - 25/06")</f>
        <v>Day 3 - 25/06</v>
      </c>
      <c r="D375" s="6">
        <f>IFERROR(__xludf.DUMMYFUNCTION("""COMPUTED_VALUE"""),0.6921643518518509)</f>
        <v>0.6921643519</v>
      </c>
      <c r="E375" s="6">
        <f>IFERROR(__xludf.DUMMYFUNCTION("""COMPUTED_VALUE"""),2.314814814814815E-4)</f>
        <v>0.0002314814815</v>
      </c>
      <c r="F375" s="6">
        <f>IFERROR(__xludf.DUMMYFUNCTION("""COMPUTED_VALUE"""),0.6923958333333323)</f>
        <v>0.6923958333</v>
      </c>
      <c r="G375" s="4" t="str">
        <f>IFERROR(__xludf.DUMMYFUNCTION("""COMPUTED_VALUE"""),"")</f>
        <v/>
      </c>
      <c r="H375" s="4" t="str">
        <f>IFERROR(__xludf.DUMMYFUNCTION("""COMPUTED_VALUE"""),"")</f>
        <v/>
      </c>
      <c r="I375" s="4" t="str">
        <f>IFERROR(__xludf.DUMMYFUNCTION("""COMPUTED_VALUE"""),"")</f>
        <v/>
      </c>
      <c r="J375" s="4" t="str">
        <f>IFERROR(__xludf.DUMMYFUNCTION("""COMPUTED_VALUE"""),"")</f>
        <v/>
      </c>
      <c r="K375" s="4" t="str">
        <f>IFERROR(__xludf.DUMMYFUNCTION("""COMPUTED_VALUE"""),"Talk Intro")</f>
        <v>Talk Intro</v>
      </c>
      <c r="L375" s="4" t="str">
        <f>IFERROR(__xludf.DUMMYFUNCTION("""COMPUTED_VALUE"""),"")</f>
        <v/>
      </c>
      <c r="M375" s="4" t="str">
        <f>IFERROR(__xludf.DUMMYFUNCTION("""COMPUTED_VALUE"""),"talk intro ")</f>
        <v>talk intro </v>
      </c>
      <c r="N375" s="4" t="str">
        <f>IFERROR(__xludf.DUMMYFUNCTION("""COMPUTED_VALUE"""),"Yvonne Redmond, Web Summit")</f>
        <v>Yvonne Redmond, Web Summit</v>
      </c>
      <c r="O375" s="4" t="str">
        <f>IFERROR(__xludf.DUMMYFUNCTION("""COMPUTED_VALUE"""),"")</f>
        <v/>
      </c>
      <c r="P375" s="4" t="str">
        <f>IFERROR(__xludf.DUMMYFUNCTION("""COMPUTED_VALUE"""),"")</f>
        <v/>
      </c>
      <c r="Q375" s="4" t="str">
        <f>IFERROR(__xludf.DUMMYFUNCTION("""COMPUTED_VALUE"""),"")</f>
        <v/>
      </c>
      <c r="R375" s="4" t="str">
        <f>IFERROR(__xludf.DUMMYFUNCTION("""COMPUTED_VALUE"""),"")</f>
        <v/>
      </c>
      <c r="S375" s="4" t="str">
        <f>IFERROR(__xludf.DUMMYFUNCTION("""COMPUTED_VALUE"""),"")</f>
        <v/>
      </c>
      <c r="T375" s="4" t="str">
        <f>IFERROR(__xludf.DUMMYFUNCTION("""COMPUTED_VALUE"""),"")</f>
        <v/>
      </c>
      <c r="U375" s="4" t="str">
        <f>IFERROR(__xludf.DUMMYFUNCTION("""COMPUTED_VALUE"""),"")</f>
        <v/>
      </c>
      <c r="V375" s="4" t="str">
        <f>IFERROR(__xludf.DUMMYFUNCTION("""COMPUTED_VALUE"""),"")</f>
        <v/>
      </c>
      <c r="W375" s="4" t="str">
        <f>IFERROR(__xludf.DUMMYFUNCTION("""COMPUTED_VALUE"""),"")</f>
        <v/>
      </c>
      <c r="X375" s="4" t="str">
        <f>IFERROR(__xludf.DUMMYFUNCTION("""COMPUTED_VALUE"""),"")</f>
        <v/>
      </c>
      <c r="Y375" s="4" t="str">
        <f>IFERROR(__xludf.DUMMYFUNCTION("""COMPUTED_VALUE"""),"")</f>
        <v/>
      </c>
    </row>
    <row r="376">
      <c r="A376" s="4" t="str">
        <f>IFERROR(__xludf.DUMMYFUNCTION("""COMPUTED_VALUE"""),"387 - Channel")</f>
        <v>387 - Channel</v>
      </c>
      <c r="B376" s="4" t="str">
        <f>IFERROR(__xludf.DUMMYFUNCTION("""COMPUTED_VALUE"""),"Channel 1")</f>
        <v>Channel 1</v>
      </c>
      <c r="C376" s="4" t="str">
        <f>IFERROR(__xludf.DUMMYFUNCTION("""COMPUTED_VALUE"""),"Day 3 - 25/06")</f>
        <v>Day 3 - 25/06</v>
      </c>
      <c r="D376" s="6">
        <f>IFERROR(__xludf.DUMMYFUNCTION("""COMPUTED_VALUE"""),0.6923958333333323)</f>
        <v>0.6923958333</v>
      </c>
      <c r="E376" s="6">
        <f>IFERROR(__xludf.DUMMYFUNCTION("""COMPUTED_VALUE"""),0.004166666666666667)</f>
        <v>0.004166666667</v>
      </c>
      <c r="F376" s="6">
        <f>IFERROR(__xludf.DUMMYFUNCTION("""COMPUTED_VALUE"""),0.696562499999999)</f>
        <v>0.6965625</v>
      </c>
      <c r="G376" s="4" t="str">
        <f>IFERROR(__xludf.DUMMYFUNCTION("""COMPUTED_VALUE"""),"")</f>
        <v/>
      </c>
      <c r="H376" s="4" t="str">
        <f>IFERROR(__xludf.DUMMYFUNCTION("""COMPUTED_VALUE"""),"")</f>
        <v/>
      </c>
      <c r="I376" s="4" t="str">
        <f>IFERROR(__xludf.DUMMYFUNCTION("""COMPUTED_VALUE"""),"")</f>
        <v/>
      </c>
      <c r="J376" s="4" t="str">
        <f>IFERROR(__xludf.DUMMYFUNCTION("""COMPUTED_VALUE"""),"")</f>
        <v/>
      </c>
      <c r="K376" s="4" t="str">
        <f>IFERROR(__xludf.DUMMYFUNCTION("""COMPUTED_VALUE"""),"Pitch reel")</f>
        <v>Pitch reel</v>
      </c>
      <c r="L376" s="4" t="str">
        <f>IFERROR(__xludf.DUMMYFUNCTION("""COMPUTED_VALUE"""),"")</f>
        <v/>
      </c>
      <c r="M376" s="4" t="str">
        <f>IFERROR(__xludf.DUMMYFUNCTION("""COMPUTED_VALUE"""),"Announcing PITCH winner")</f>
        <v>Announcing PITCH winner</v>
      </c>
      <c r="N376" s="4" t="str">
        <f>IFERROR(__xludf.DUMMYFUNCTION("""COMPUTED_VALUE"""),"Casey Lau, Web Summit")</f>
        <v>Casey Lau, Web Summit</v>
      </c>
      <c r="O376" s="4" t="str">
        <f>IFERROR(__xludf.DUMMYFUNCTION("""COMPUTED_VALUE"""),"Sunil Sharma, Web Summit")</f>
        <v>Sunil Sharma, Web Summit</v>
      </c>
      <c r="P376" s="4" t="str">
        <f>IFERROR(__xludf.DUMMYFUNCTION("""COMPUTED_VALUE"""),"")</f>
        <v/>
      </c>
      <c r="Q376" s="4" t="str">
        <f>IFERROR(__xludf.DUMMYFUNCTION("""COMPUTED_VALUE"""),"")</f>
        <v/>
      </c>
      <c r="R376" s="4" t="str">
        <f>IFERROR(__xludf.DUMMYFUNCTION("""COMPUTED_VALUE"""),"")</f>
        <v/>
      </c>
      <c r="S376" s="4" t="str">
        <f>IFERROR(__xludf.DUMMYFUNCTION("""COMPUTED_VALUE"""),"")</f>
        <v/>
      </c>
      <c r="T376" s="4" t="str">
        <f>IFERROR(__xludf.DUMMYFUNCTION("""COMPUTED_VALUE"""),"")</f>
        <v/>
      </c>
      <c r="U376" s="4" t="str">
        <f>IFERROR(__xludf.DUMMYFUNCTION("""COMPUTED_VALUE"""),"")</f>
        <v/>
      </c>
      <c r="V376" s="4" t="str">
        <f>IFERROR(__xludf.DUMMYFUNCTION("""COMPUTED_VALUE"""),"")</f>
        <v/>
      </c>
      <c r="W376" s="4" t="str">
        <f>IFERROR(__xludf.DUMMYFUNCTION("""COMPUTED_VALUE"""),"")</f>
        <v/>
      </c>
      <c r="X376" s="4" t="str">
        <f>IFERROR(__xludf.DUMMYFUNCTION("""COMPUTED_VALUE"""),"")</f>
        <v/>
      </c>
      <c r="Y376" s="4" t="str">
        <f>IFERROR(__xludf.DUMMYFUNCTION("""COMPUTED_VALUE"""),"")</f>
        <v/>
      </c>
    </row>
    <row r="377">
      <c r="A377" s="4" t="str">
        <f>IFERROR(__xludf.DUMMYFUNCTION("""COMPUTED_VALUE"""),"1612 - Channel")</f>
        <v>1612 - Channel</v>
      </c>
      <c r="B377" s="4" t="str">
        <f>IFERROR(__xludf.DUMMYFUNCTION("""COMPUTED_VALUE"""),"Channel 1")</f>
        <v>Channel 1</v>
      </c>
      <c r="C377" s="4" t="str">
        <f>IFERROR(__xludf.DUMMYFUNCTION("""COMPUTED_VALUE"""),"Day 3 - 25/06")</f>
        <v>Day 3 - 25/06</v>
      </c>
      <c r="D377" s="6">
        <f>IFERROR(__xludf.DUMMYFUNCTION("""COMPUTED_VALUE"""),0.696562499999999)</f>
        <v>0.6965625</v>
      </c>
      <c r="E377" s="6">
        <f>IFERROR(__xludf.DUMMYFUNCTION("""COMPUTED_VALUE"""),2.314814814814815E-4)</f>
        <v>0.0002314814815</v>
      </c>
      <c r="F377" s="6">
        <f>IFERROR(__xludf.DUMMYFUNCTION("""COMPUTED_VALUE"""),0.6967939814814804)</f>
        <v>0.6967939815</v>
      </c>
      <c r="G377" s="4" t="str">
        <f>IFERROR(__xludf.DUMMYFUNCTION("""COMPUTED_VALUE"""),"")</f>
        <v/>
      </c>
      <c r="H377" s="4" t="str">
        <f>IFERROR(__xludf.DUMMYFUNCTION("""COMPUTED_VALUE"""),"")</f>
        <v/>
      </c>
      <c r="I377" s="4" t="str">
        <f>IFERROR(__xludf.DUMMYFUNCTION("""COMPUTED_VALUE"""),"")</f>
        <v/>
      </c>
      <c r="J377" s="4" t="str">
        <f>IFERROR(__xludf.DUMMYFUNCTION("""COMPUTED_VALUE"""),"")</f>
        <v/>
      </c>
      <c r="K377" s="4" t="str">
        <f>IFERROR(__xludf.DUMMYFUNCTION("""COMPUTED_VALUE"""),"Talk Intro")</f>
        <v>Talk Intro</v>
      </c>
      <c r="L377" s="4" t="str">
        <f>IFERROR(__xludf.DUMMYFUNCTION("""COMPUTED_VALUE"""),"")</f>
        <v/>
      </c>
      <c r="M377" s="4" t="str">
        <f>IFERROR(__xludf.DUMMYFUNCTION("""COMPUTED_VALUE"""),"Talk Intro")</f>
        <v>Talk Intro</v>
      </c>
      <c r="N377" s="4" t="str">
        <f>IFERROR(__xludf.DUMMYFUNCTION("""COMPUTED_VALUE"""),"Yvonne Redmond, Web Summit")</f>
        <v>Yvonne Redmond, Web Summit</v>
      </c>
      <c r="O377" s="4" t="str">
        <f>IFERROR(__xludf.DUMMYFUNCTION("""COMPUTED_VALUE"""),"")</f>
        <v/>
      </c>
      <c r="P377" s="4" t="str">
        <f>IFERROR(__xludf.DUMMYFUNCTION("""COMPUTED_VALUE"""),"")</f>
        <v/>
      </c>
      <c r="Q377" s="4" t="str">
        <f>IFERROR(__xludf.DUMMYFUNCTION("""COMPUTED_VALUE"""),"")</f>
        <v/>
      </c>
      <c r="R377" s="4" t="str">
        <f>IFERROR(__xludf.DUMMYFUNCTION("""COMPUTED_VALUE"""),"")</f>
        <v/>
      </c>
      <c r="S377" s="4" t="str">
        <f>IFERROR(__xludf.DUMMYFUNCTION("""COMPUTED_VALUE"""),"")</f>
        <v/>
      </c>
      <c r="T377" s="4" t="str">
        <f>IFERROR(__xludf.DUMMYFUNCTION("""COMPUTED_VALUE"""),"")</f>
        <v/>
      </c>
      <c r="U377" s="4" t="str">
        <f>IFERROR(__xludf.DUMMYFUNCTION("""COMPUTED_VALUE"""),"")</f>
        <v/>
      </c>
      <c r="V377" s="4" t="str">
        <f>IFERROR(__xludf.DUMMYFUNCTION("""COMPUTED_VALUE"""),"")</f>
        <v/>
      </c>
      <c r="W377" s="4" t="str">
        <f>IFERROR(__xludf.DUMMYFUNCTION("""COMPUTED_VALUE"""),"")</f>
        <v/>
      </c>
      <c r="X377" s="4" t="str">
        <f>IFERROR(__xludf.DUMMYFUNCTION("""COMPUTED_VALUE"""),"")</f>
        <v/>
      </c>
      <c r="Y377" s="4" t="str">
        <f>IFERROR(__xludf.DUMMYFUNCTION("""COMPUTED_VALUE"""),"")</f>
        <v/>
      </c>
    </row>
    <row r="378">
      <c r="A378" s="4" t="str">
        <f>IFERROR(__xludf.DUMMYFUNCTION("""COMPUTED_VALUE"""),"1613 - Channel")</f>
        <v>1613 - Channel</v>
      </c>
      <c r="B378" s="4" t="str">
        <f>IFERROR(__xludf.DUMMYFUNCTION("""COMPUTED_VALUE"""),"Channel 1")</f>
        <v>Channel 1</v>
      </c>
      <c r="C378" s="4" t="str">
        <f>IFERROR(__xludf.DUMMYFUNCTION("""COMPUTED_VALUE"""),"Day 3 - 25/06")</f>
        <v>Day 3 - 25/06</v>
      </c>
      <c r="D378" s="6">
        <f>IFERROR(__xludf.DUMMYFUNCTION("""COMPUTED_VALUE"""),0.6967939814814804)</f>
        <v>0.6967939815</v>
      </c>
      <c r="E378" s="6">
        <f>IFERROR(__xludf.DUMMYFUNCTION("""COMPUTED_VALUE"""),0.013888888888888888)</f>
        <v>0.01388888889</v>
      </c>
      <c r="F378" s="6">
        <f>IFERROR(__xludf.DUMMYFUNCTION("""COMPUTED_VALUE"""),0.7106828703703693)</f>
        <v>0.7106828704</v>
      </c>
      <c r="G378" s="4" t="str">
        <f>IFERROR(__xludf.DUMMYFUNCTION("""COMPUTED_VALUE"""),"Lobna")</f>
        <v>Lobna</v>
      </c>
      <c r="H378" s="4" t="str">
        <f>IFERROR(__xludf.DUMMYFUNCTION("""COMPUTED_VALUE"""),"")</f>
        <v/>
      </c>
      <c r="I378" s="4" t="str">
        <f>IFERROR(__xludf.DUMMYFUNCTION("""COMPUTED_VALUE"""),"Eabha")</f>
        <v>Eabha</v>
      </c>
      <c r="J378" s="4" t="str">
        <f>IFERROR(__xludf.DUMMYFUNCTION("""COMPUTED_VALUE"""),"")</f>
        <v/>
      </c>
      <c r="K378" s="4" t="str">
        <f>IFERROR(__xludf.DUMMYFUNCTION("""COMPUTED_VALUE"""),"Fireside")</f>
        <v>Fireside</v>
      </c>
      <c r="L378" s="4" t="str">
        <f>IFERROR(__xludf.DUMMYFUNCTION("""COMPUTED_VALUE"""),"T- 2 - 08/06/2020")</f>
        <v>T- 2 - 08/06/2020</v>
      </c>
      <c r="M378" s="4" t="str">
        <f>IFERROR(__xludf.DUMMYFUNCTION("""COMPUTED_VALUE"""),"Title tbc ")</f>
        <v>Title tbc </v>
      </c>
      <c r="N378" s="4" t="str">
        <f>IFERROR(__xludf.DUMMYFUNCTION("""COMPUTED_VALUE"""),"Parag Agrawal, Twitter")</f>
        <v>Parag Agrawal, Twitter</v>
      </c>
      <c r="O378" s="4" t="str">
        <f>IFERROR(__xludf.DUMMYFUNCTION("""COMPUTED_VALUE"""),"")</f>
        <v/>
      </c>
      <c r="P378" s="4" t="str">
        <f>IFERROR(__xludf.DUMMYFUNCTION("""COMPUTED_VALUE"""),"")</f>
        <v/>
      </c>
      <c r="Q378" s="4" t="str">
        <f>IFERROR(__xludf.DUMMYFUNCTION("""COMPUTED_VALUE"""),"")</f>
        <v/>
      </c>
      <c r="R378" s="4" t="str">
        <f>IFERROR(__xludf.DUMMYFUNCTION("""COMPUTED_VALUE"""),"Nicholas Thompson, Wired")</f>
        <v>Nicholas Thompson, Wired</v>
      </c>
      <c r="S378" s="4" t="str">
        <f>IFERROR(__xludf.DUMMYFUNCTION("""COMPUTED_VALUE"""),"")</f>
        <v/>
      </c>
      <c r="T378" s="4" t="str">
        <f>IFERROR(__xludf.DUMMYFUNCTION("""COMPUTED_VALUE"""),"")</f>
        <v/>
      </c>
      <c r="U378" s="4" t="str">
        <f>IFERROR(__xludf.DUMMYFUNCTION("""COMPUTED_VALUE"""),"")</f>
        <v/>
      </c>
      <c r="V378" s="4" t="str">
        <f>IFERROR(__xludf.DUMMYFUNCTION("""COMPUTED_VALUE"""),"")</f>
        <v/>
      </c>
      <c r="W378" s="4" t="str">
        <f>IFERROR(__xludf.DUMMYFUNCTION("""COMPUTED_VALUE"""),"")</f>
        <v/>
      </c>
      <c r="X378" s="4" t="str">
        <f>IFERROR(__xludf.DUMMYFUNCTION("""COMPUTED_VALUE"""),"")</f>
        <v/>
      </c>
      <c r="Y378" s="4" t="str">
        <f>IFERROR(__xludf.DUMMYFUNCTION("""COMPUTED_VALUE"""),"")</f>
        <v/>
      </c>
    </row>
    <row r="379">
      <c r="A379" s="4" t="str">
        <f>IFERROR(__xludf.DUMMYFUNCTION("""COMPUTED_VALUE"""),"388 - Channel")</f>
        <v>388 - Channel</v>
      </c>
      <c r="B379" s="4" t="str">
        <f>IFERROR(__xludf.DUMMYFUNCTION("""COMPUTED_VALUE"""),"Channel 1")</f>
        <v>Channel 1</v>
      </c>
      <c r="C379" s="4" t="str">
        <f>IFERROR(__xludf.DUMMYFUNCTION("""COMPUTED_VALUE"""),"Day 3 - 25/06")</f>
        <v>Day 3 - 25/06</v>
      </c>
      <c r="D379" s="6">
        <f>IFERROR(__xludf.DUMMYFUNCTION("""COMPUTED_VALUE"""),0.7106828703703693)</f>
        <v>0.7106828704</v>
      </c>
      <c r="E379" s="53">
        <f>IFERROR(__xludf.DUMMYFUNCTION("""COMPUTED_VALUE"""),6.944444444444445E-4)</f>
        <v>0.0006944444444</v>
      </c>
      <c r="F379" s="6">
        <f>IFERROR(__xludf.DUMMYFUNCTION("""COMPUTED_VALUE"""),0.7113773148148137)</f>
        <v>0.7113773148</v>
      </c>
      <c r="G379" s="4" t="str">
        <f>IFERROR(__xludf.DUMMYFUNCTION("""COMPUTED_VALUE"""),"")</f>
        <v/>
      </c>
      <c r="H379" s="4" t="str">
        <f>IFERROR(__xludf.DUMMYFUNCTION("""COMPUTED_VALUE"""),"")</f>
        <v/>
      </c>
      <c r="I379" s="4" t="str">
        <f>IFERROR(__xludf.DUMMYFUNCTION("""COMPUTED_VALUE"""),"")</f>
        <v/>
      </c>
      <c r="J379" s="4" t="str">
        <f>IFERROR(__xludf.DUMMYFUNCTION("""COMPUTED_VALUE"""),"")</f>
        <v/>
      </c>
      <c r="K379" s="4" t="str">
        <f>IFERROR(__xludf.DUMMYFUNCTION("""COMPUTED_VALUE"""),"Anchor piece")</f>
        <v>Anchor piece</v>
      </c>
      <c r="L379" s="4" t="str">
        <f>IFERROR(__xludf.DUMMYFUNCTION("""COMPUTED_VALUE"""),"")</f>
        <v/>
      </c>
      <c r="M379" s="4" t="str">
        <f>IFERROR(__xludf.DUMMYFUNCTION("""COMPUTED_VALUE"""),"Closing remarks_DAY 3")</f>
        <v>Closing remarks_DAY 3</v>
      </c>
      <c r="N379" s="4" t="str">
        <f>IFERROR(__xludf.DUMMYFUNCTION("""COMPUTED_VALUE"""),"Paddy Cosgrave, Web Summit")</f>
        <v>Paddy Cosgrave, Web Summit</v>
      </c>
      <c r="O379" s="4" t="str">
        <f>IFERROR(__xludf.DUMMYFUNCTION("""COMPUTED_VALUE"""),"")</f>
        <v/>
      </c>
      <c r="P379" s="4" t="str">
        <f>IFERROR(__xludf.DUMMYFUNCTION("""COMPUTED_VALUE"""),"")</f>
        <v/>
      </c>
      <c r="Q379" s="4" t="str">
        <f>IFERROR(__xludf.DUMMYFUNCTION("""COMPUTED_VALUE"""),"")</f>
        <v/>
      </c>
      <c r="R379" s="4" t="str">
        <f>IFERROR(__xludf.DUMMYFUNCTION("""COMPUTED_VALUE"""),"")</f>
        <v/>
      </c>
      <c r="S379" s="4" t="str">
        <f>IFERROR(__xludf.DUMMYFUNCTION("""COMPUTED_VALUE"""),"")</f>
        <v/>
      </c>
      <c r="T379" s="4" t="str">
        <f>IFERROR(__xludf.DUMMYFUNCTION("""COMPUTED_VALUE"""),"")</f>
        <v/>
      </c>
      <c r="U379" s="4" t="str">
        <f>IFERROR(__xludf.DUMMYFUNCTION("""COMPUTED_VALUE"""),"")</f>
        <v/>
      </c>
      <c r="V379" s="4" t="str">
        <f>IFERROR(__xludf.DUMMYFUNCTION("""COMPUTED_VALUE"""),"")</f>
        <v/>
      </c>
      <c r="W379" s="4" t="str">
        <f>IFERROR(__xludf.DUMMYFUNCTION("""COMPUTED_VALUE"""),"")</f>
        <v/>
      </c>
      <c r="X379" s="4" t="str">
        <f>IFERROR(__xludf.DUMMYFUNCTION("""COMPUTED_VALUE"""),"")</f>
        <v/>
      </c>
      <c r="Y379" s="4" t="str">
        <f>IFERROR(__xludf.DUMMYFUNCTION("""COMPUTED_VALUE"""),"")</f>
        <v/>
      </c>
    </row>
    <row r="380">
      <c r="A380" s="4" t="str">
        <f>IFERROR(__xludf.DUMMYFUNCTION("""COMPUTED_VALUE"""),"389 - Channel")</f>
        <v>389 - Channel</v>
      </c>
      <c r="B380" s="4" t="str">
        <f>IFERROR(__xludf.DUMMYFUNCTION("""COMPUTED_VALUE"""),"CHANNEL 2")</f>
        <v>CHANNEL 2</v>
      </c>
      <c r="C380" s="4" t="str">
        <f>IFERROR(__xludf.DUMMYFUNCTION("""COMPUTED_VALUE"""),"")</f>
        <v/>
      </c>
      <c r="D380" s="4" t="str">
        <f>IFERROR(__xludf.DUMMYFUNCTION("""COMPUTED_VALUE"""),"")</f>
        <v/>
      </c>
      <c r="E380" s="4" t="str">
        <f>IFERROR(__xludf.DUMMYFUNCTION("""COMPUTED_VALUE"""),"")</f>
        <v/>
      </c>
      <c r="F380" s="4" t="str">
        <f>IFERROR(__xludf.DUMMYFUNCTION("""COMPUTED_VALUE"""),"")</f>
        <v/>
      </c>
      <c r="G380" s="4" t="str">
        <f>IFERROR(__xludf.DUMMYFUNCTION("""COMPUTED_VALUE"""),"")</f>
        <v/>
      </c>
      <c r="H380" s="4" t="str">
        <f>IFERROR(__xludf.DUMMYFUNCTION("""COMPUTED_VALUE"""),"")</f>
        <v/>
      </c>
      <c r="I380" s="4" t="str">
        <f>IFERROR(__xludf.DUMMYFUNCTION("""COMPUTED_VALUE"""),"")</f>
        <v/>
      </c>
      <c r="J380" s="4" t="str">
        <f>IFERROR(__xludf.DUMMYFUNCTION("""COMPUTED_VALUE"""),"")</f>
        <v/>
      </c>
      <c r="K380" s="4" t="str">
        <f>IFERROR(__xludf.DUMMYFUNCTION("""COMPUTED_VALUE"""),"")</f>
        <v/>
      </c>
      <c r="L380" s="4" t="str">
        <f>IFERROR(__xludf.DUMMYFUNCTION("""COMPUTED_VALUE"""),"")</f>
        <v/>
      </c>
      <c r="M380" s="4" t="str">
        <f>IFERROR(__xludf.DUMMYFUNCTION("""COMPUTED_VALUE"""),"")</f>
        <v/>
      </c>
      <c r="N380" s="4" t="str">
        <f>IFERROR(__xludf.DUMMYFUNCTION("""COMPUTED_VALUE"""),"")</f>
        <v/>
      </c>
      <c r="O380" s="4" t="str">
        <f>IFERROR(__xludf.DUMMYFUNCTION("""COMPUTED_VALUE"""),"")</f>
        <v/>
      </c>
      <c r="P380" s="4" t="str">
        <f>IFERROR(__xludf.DUMMYFUNCTION("""COMPUTED_VALUE"""),"")</f>
        <v/>
      </c>
      <c r="Q380" s="4" t="str">
        <f>IFERROR(__xludf.DUMMYFUNCTION("""COMPUTED_VALUE"""),"")</f>
        <v/>
      </c>
      <c r="R380" s="4" t="str">
        <f>IFERROR(__xludf.DUMMYFUNCTION("""COMPUTED_VALUE"""),"")</f>
        <v/>
      </c>
      <c r="S380" s="4" t="str">
        <f>IFERROR(__xludf.DUMMYFUNCTION("""COMPUTED_VALUE"""),"")</f>
        <v/>
      </c>
      <c r="T380" s="4" t="str">
        <f>IFERROR(__xludf.DUMMYFUNCTION("""COMPUTED_VALUE"""),"")</f>
        <v/>
      </c>
      <c r="U380" s="4" t="str">
        <f>IFERROR(__xludf.DUMMYFUNCTION("""COMPUTED_VALUE"""),"")</f>
        <v/>
      </c>
      <c r="V380" s="4" t="str">
        <f>IFERROR(__xludf.DUMMYFUNCTION("""COMPUTED_VALUE"""),"")</f>
        <v/>
      </c>
      <c r="W380" s="4" t="str">
        <f>IFERROR(__xludf.DUMMYFUNCTION("""COMPUTED_VALUE"""),"")</f>
        <v/>
      </c>
      <c r="X380" s="4" t="str">
        <f>IFERROR(__xludf.DUMMYFUNCTION("""COMPUTED_VALUE"""),"")</f>
        <v/>
      </c>
      <c r="Y380" s="4" t="str">
        <f>IFERROR(__xludf.DUMMYFUNCTION("""COMPUTED_VALUE"""),"")</f>
        <v/>
      </c>
    </row>
    <row r="381">
      <c r="A381" s="4" t="str">
        <f>IFERROR(__xludf.DUMMYFUNCTION("""COMPUTED_VALUE"""),"390 - Channel")</f>
        <v>390 - Channel</v>
      </c>
      <c r="B381" s="4" t="str">
        <f>IFERROR(__xludf.DUMMYFUNCTION("""COMPUTED_VALUE"""),"DAY 1 - Tuesday, 23 June")</f>
        <v>DAY 1 - Tuesday, 23 June</v>
      </c>
      <c r="C381" s="4" t="str">
        <f>IFERROR(__xludf.DUMMYFUNCTION("""COMPUTED_VALUE"""),"")</f>
        <v/>
      </c>
      <c r="D381" s="4" t="str">
        <f>IFERROR(__xludf.DUMMYFUNCTION("""COMPUTED_VALUE"""),"")</f>
        <v/>
      </c>
      <c r="E381" s="4" t="str">
        <f>IFERROR(__xludf.DUMMYFUNCTION("""COMPUTED_VALUE"""),"")</f>
        <v/>
      </c>
      <c r="F381" s="4" t="str">
        <f>IFERROR(__xludf.DUMMYFUNCTION("""COMPUTED_VALUE"""),"")</f>
        <v/>
      </c>
      <c r="G381" s="4" t="str">
        <f>IFERROR(__xludf.DUMMYFUNCTION("""COMPUTED_VALUE"""),"")</f>
        <v/>
      </c>
      <c r="H381" s="4" t="str">
        <f>IFERROR(__xludf.DUMMYFUNCTION("""COMPUTED_VALUE"""),"")</f>
        <v/>
      </c>
      <c r="I381" s="4" t="str">
        <f>IFERROR(__xludf.DUMMYFUNCTION("""COMPUTED_VALUE"""),"")</f>
        <v/>
      </c>
      <c r="J381" s="4" t="str">
        <f>IFERROR(__xludf.DUMMYFUNCTION("""COMPUTED_VALUE"""),"")</f>
        <v/>
      </c>
      <c r="K381" s="4" t="str">
        <f>IFERROR(__xludf.DUMMYFUNCTION("""COMPUTED_VALUE"""),"")</f>
        <v/>
      </c>
      <c r="L381" s="4" t="str">
        <f>IFERROR(__xludf.DUMMYFUNCTION("""COMPUTED_VALUE"""),"")</f>
        <v/>
      </c>
      <c r="M381" s="4" t="str">
        <f>IFERROR(__xludf.DUMMYFUNCTION("""COMPUTED_VALUE"""),"")</f>
        <v/>
      </c>
      <c r="N381" s="4" t="str">
        <f>IFERROR(__xludf.DUMMYFUNCTION("""COMPUTED_VALUE"""),"")</f>
        <v/>
      </c>
      <c r="O381" s="4" t="str">
        <f>IFERROR(__xludf.DUMMYFUNCTION("""COMPUTED_VALUE"""),"")</f>
        <v/>
      </c>
      <c r="P381" s="4" t="str">
        <f>IFERROR(__xludf.DUMMYFUNCTION("""COMPUTED_VALUE"""),"")</f>
        <v/>
      </c>
      <c r="Q381" s="4" t="str">
        <f>IFERROR(__xludf.DUMMYFUNCTION("""COMPUTED_VALUE"""),"")</f>
        <v/>
      </c>
      <c r="R381" s="4" t="str">
        <f>IFERROR(__xludf.DUMMYFUNCTION("""COMPUTED_VALUE"""),"")</f>
        <v/>
      </c>
      <c r="S381" s="4" t="str">
        <f>IFERROR(__xludf.DUMMYFUNCTION("""COMPUTED_VALUE"""),"")</f>
        <v/>
      </c>
      <c r="T381" s="4" t="str">
        <f>IFERROR(__xludf.DUMMYFUNCTION("""COMPUTED_VALUE"""),"")</f>
        <v/>
      </c>
      <c r="U381" s="4" t="str">
        <f>IFERROR(__xludf.DUMMYFUNCTION("""COMPUTED_VALUE"""),"")</f>
        <v/>
      </c>
      <c r="V381" s="4" t="str">
        <f>IFERROR(__xludf.DUMMYFUNCTION("""COMPUTED_VALUE"""),"")</f>
        <v/>
      </c>
      <c r="W381" s="4" t="str">
        <f>IFERROR(__xludf.DUMMYFUNCTION("""COMPUTED_VALUE"""),"")</f>
        <v/>
      </c>
      <c r="X381" s="4" t="str">
        <f>IFERROR(__xludf.DUMMYFUNCTION("""COMPUTED_VALUE"""),"")</f>
        <v/>
      </c>
      <c r="Y381" s="4" t="str">
        <f>IFERROR(__xludf.DUMMYFUNCTION("""COMPUTED_VALUE"""),"")</f>
        <v/>
      </c>
    </row>
    <row r="382">
      <c r="A382" s="4" t="str">
        <f>IFERROR(__xludf.DUMMYFUNCTION("""COMPUTED_VALUE"""),"391 - Channel")</f>
        <v>391 - Channel</v>
      </c>
      <c r="B382" s="4" t="str">
        <f>IFERROR(__xludf.DUMMYFUNCTION("""COMPUTED_VALUE"""),"Channel 2")</f>
        <v>Channel 2</v>
      </c>
      <c r="C382" s="4" t="str">
        <f>IFERROR(__xludf.DUMMYFUNCTION("""COMPUTED_VALUE"""),"Day 1 - 23/06")</f>
        <v>Day 1 - 23/06</v>
      </c>
      <c r="D382" s="6">
        <f>IFERROR(__xludf.DUMMYFUNCTION("""COMPUTED_VALUE"""),0.4166666666666667)</f>
        <v>0.4166666667</v>
      </c>
      <c r="E382" s="6">
        <f>IFERROR(__xludf.DUMMYFUNCTION("""COMPUTED_VALUE"""),0.0010416666666666667)</f>
        <v>0.001041666667</v>
      </c>
      <c r="F382" s="6">
        <f>IFERROR(__xludf.DUMMYFUNCTION("""COMPUTED_VALUE"""),0.41770833333333335)</f>
        <v>0.4177083333</v>
      </c>
      <c r="G382" s="4" t="str">
        <f>IFERROR(__xludf.DUMMYFUNCTION("""COMPUTED_VALUE"""),"Graphics")</f>
        <v>Graphics</v>
      </c>
      <c r="H382" s="4" t="str">
        <f>IFERROR(__xludf.DUMMYFUNCTION("""COMPUTED_VALUE"""),"")</f>
        <v/>
      </c>
      <c r="I382" s="4" t="str">
        <f>IFERROR(__xludf.DUMMYFUNCTION("""COMPUTED_VALUE"""),"")</f>
        <v/>
      </c>
      <c r="J382" s="4" t="str">
        <f>IFERROR(__xludf.DUMMYFUNCTION("""COMPUTED_VALUE"""),"AI")</f>
        <v>AI</v>
      </c>
      <c r="K382" s="4" t="str">
        <f>IFERROR(__xludf.DUMMYFUNCTION("""COMPUTED_VALUE"""),"Collision From Home Day Intro")</f>
        <v>Collision From Home Day Intro</v>
      </c>
      <c r="L382" s="4" t="str">
        <f>IFERROR(__xludf.DUMMYFUNCTION("""COMPUTED_VALUE"""),"")</f>
        <v/>
      </c>
      <c r="M382" s="4" t="str">
        <f>IFERROR(__xludf.DUMMYFUNCTION("""COMPUTED_VALUE"""),"Collision From Home Day Intro Video")</f>
        <v>Collision From Home Day Intro Video</v>
      </c>
      <c r="N382" s="4" t="str">
        <f>IFERROR(__xludf.DUMMYFUNCTION("""COMPUTED_VALUE"""),"")</f>
        <v/>
      </c>
      <c r="O382" s="4" t="str">
        <f>IFERROR(__xludf.DUMMYFUNCTION("""COMPUTED_VALUE"""),"")</f>
        <v/>
      </c>
      <c r="P382" s="4" t="str">
        <f>IFERROR(__xludf.DUMMYFUNCTION("""COMPUTED_VALUE"""),"")</f>
        <v/>
      </c>
      <c r="Q382" s="4" t="str">
        <f>IFERROR(__xludf.DUMMYFUNCTION("""COMPUTED_VALUE"""),"")</f>
        <v/>
      </c>
      <c r="R382" s="4" t="str">
        <f>IFERROR(__xludf.DUMMYFUNCTION("""COMPUTED_VALUE"""),"")</f>
        <v/>
      </c>
      <c r="S382" s="4" t="str">
        <f>IFERROR(__xludf.DUMMYFUNCTION("""COMPUTED_VALUE"""),"")</f>
        <v/>
      </c>
      <c r="T382" s="4" t="str">
        <f>IFERROR(__xludf.DUMMYFUNCTION("""COMPUTED_VALUE"""),"")</f>
        <v/>
      </c>
      <c r="U382" s="4" t="str">
        <f>IFERROR(__xludf.DUMMYFUNCTION("""COMPUTED_VALUE"""),"")</f>
        <v/>
      </c>
      <c r="V382" s="4" t="str">
        <f>IFERROR(__xludf.DUMMYFUNCTION("""COMPUTED_VALUE"""),"")</f>
        <v/>
      </c>
      <c r="W382" s="4" t="str">
        <f>IFERROR(__xludf.DUMMYFUNCTION("""COMPUTED_VALUE"""),"")</f>
        <v/>
      </c>
      <c r="X382" s="4" t="str">
        <f>IFERROR(__xludf.DUMMYFUNCTION("""COMPUTED_VALUE"""),"")</f>
        <v/>
      </c>
      <c r="Y382" s="4" t="str">
        <f>IFERROR(__xludf.DUMMYFUNCTION("""COMPUTED_VALUE"""),"")</f>
        <v/>
      </c>
    </row>
    <row r="383">
      <c r="A383" s="4" t="str">
        <f>IFERROR(__xludf.DUMMYFUNCTION("""COMPUTED_VALUE"""),"1667 - Channel")</f>
        <v>1667 - Channel</v>
      </c>
      <c r="B383" s="4" t="str">
        <f>IFERROR(__xludf.DUMMYFUNCTION("""COMPUTED_VALUE"""),"Channel 2")</f>
        <v>Channel 2</v>
      </c>
      <c r="C383" s="4" t="str">
        <f>IFERROR(__xludf.DUMMYFUNCTION("""COMPUTED_VALUE"""),"Day 1 - 23/06")</f>
        <v>Day 1 - 23/06</v>
      </c>
      <c r="D383" s="6">
        <f>IFERROR(__xludf.DUMMYFUNCTION("""COMPUTED_VALUE"""),0.41770833333333335)</f>
        <v>0.4177083333</v>
      </c>
      <c r="E383" s="6">
        <f>IFERROR(__xludf.DUMMYFUNCTION("""COMPUTED_VALUE"""),2.314814814814815E-4)</f>
        <v>0.0002314814815</v>
      </c>
      <c r="F383" s="6">
        <f>IFERROR(__xludf.DUMMYFUNCTION("""COMPUTED_VALUE"""),0.41793981481481485)</f>
        <v>0.4179398148</v>
      </c>
      <c r="G383" s="4" t="str">
        <f>IFERROR(__xludf.DUMMYFUNCTION("""COMPUTED_VALUE"""),"")</f>
        <v/>
      </c>
      <c r="H383" s="4" t="str">
        <f>IFERROR(__xludf.DUMMYFUNCTION("""COMPUTED_VALUE"""),"")</f>
        <v/>
      </c>
      <c r="I383" s="4" t="str">
        <f>IFERROR(__xludf.DUMMYFUNCTION("""COMPUTED_VALUE"""),"")</f>
        <v/>
      </c>
      <c r="J383" s="4" t="str">
        <f>IFERROR(__xludf.DUMMYFUNCTION("""COMPUTED_VALUE"""),"")</f>
        <v/>
      </c>
      <c r="K383" s="4" t="str">
        <f>IFERROR(__xludf.DUMMYFUNCTION("""COMPUTED_VALUE"""),"Holding graphic")</f>
        <v>Holding graphic</v>
      </c>
      <c r="L383" s="4" t="str">
        <f>IFERROR(__xludf.DUMMYFUNCTION("""COMPUTED_VALUE"""),"")</f>
        <v/>
      </c>
      <c r="M383" s="4" t="str">
        <f>IFERROR(__xludf.DUMMYFUNCTION("""COMPUTED_VALUE"""),"Channel 2 Day 1 Top of the day intro VO holding graphic")</f>
        <v>Channel 2 Day 1 Top of the day intro VO holding graphic</v>
      </c>
      <c r="N383" s="4" t="str">
        <f>IFERROR(__xludf.DUMMYFUNCTION("""COMPUTED_VALUE"""),"")</f>
        <v/>
      </c>
      <c r="O383" s="4" t="str">
        <f>IFERROR(__xludf.DUMMYFUNCTION("""COMPUTED_VALUE"""),"")</f>
        <v/>
      </c>
      <c r="P383" s="4" t="str">
        <f>IFERROR(__xludf.DUMMYFUNCTION("""COMPUTED_VALUE"""),"")</f>
        <v/>
      </c>
      <c r="Q383" s="4" t="str">
        <f>IFERROR(__xludf.DUMMYFUNCTION("""COMPUTED_VALUE"""),"")</f>
        <v/>
      </c>
      <c r="R383" s="4" t="str">
        <f>IFERROR(__xludf.DUMMYFUNCTION("""COMPUTED_VALUE"""),"")</f>
        <v/>
      </c>
      <c r="S383" s="4" t="str">
        <f>IFERROR(__xludf.DUMMYFUNCTION("""COMPUTED_VALUE"""),"")</f>
        <v/>
      </c>
      <c r="T383" s="4" t="str">
        <f>IFERROR(__xludf.DUMMYFUNCTION("""COMPUTED_VALUE"""),"")</f>
        <v/>
      </c>
      <c r="U383" s="4" t="str">
        <f>IFERROR(__xludf.DUMMYFUNCTION("""COMPUTED_VALUE"""),"")</f>
        <v/>
      </c>
      <c r="V383" s="4" t="str">
        <f>IFERROR(__xludf.DUMMYFUNCTION("""COMPUTED_VALUE"""),"")</f>
        <v/>
      </c>
      <c r="W383" s="4" t="str">
        <f>IFERROR(__xludf.DUMMYFUNCTION("""COMPUTED_VALUE"""),"")</f>
        <v/>
      </c>
      <c r="X383" s="4" t="str">
        <f>IFERROR(__xludf.DUMMYFUNCTION("""COMPUTED_VALUE"""),"")</f>
        <v/>
      </c>
      <c r="Y383" s="4" t="str">
        <f>IFERROR(__xludf.DUMMYFUNCTION("""COMPUTED_VALUE"""),"")</f>
        <v/>
      </c>
    </row>
    <row r="384">
      <c r="A384" s="4" t="str">
        <f>IFERROR(__xludf.DUMMYFUNCTION("""COMPUTED_VALUE"""),"392 - Channel")</f>
        <v>392 - Channel</v>
      </c>
      <c r="B384" s="4" t="str">
        <f>IFERROR(__xludf.DUMMYFUNCTION("""COMPUTED_VALUE"""),"Channel 2")</f>
        <v>Channel 2</v>
      </c>
      <c r="C384" s="4" t="str">
        <f>IFERROR(__xludf.DUMMYFUNCTION("""COMPUTED_VALUE"""),"Day 1 - 23/06")</f>
        <v>Day 1 - 23/06</v>
      </c>
      <c r="D384" s="6">
        <f>IFERROR(__xludf.DUMMYFUNCTION("""COMPUTED_VALUE"""),0.41793981481481485)</f>
        <v>0.4179398148</v>
      </c>
      <c r="E384" s="6">
        <f>IFERROR(__xludf.DUMMYFUNCTION("""COMPUTED_VALUE"""),3.4722222222222224E-4)</f>
        <v>0.0003472222222</v>
      </c>
      <c r="F384" s="6">
        <f>IFERROR(__xludf.DUMMYFUNCTION("""COMPUTED_VALUE"""),0.41828703703703707)</f>
        <v>0.418287037</v>
      </c>
      <c r="G384" s="4" t="str">
        <f>IFERROR(__xludf.DUMMYFUNCTION("""COMPUTED_VALUE"""),"Graphics")</f>
        <v>Graphics</v>
      </c>
      <c r="H384" s="4" t="str">
        <f>IFERROR(__xludf.DUMMYFUNCTION("""COMPUTED_VALUE"""),"")</f>
        <v/>
      </c>
      <c r="I384" s="4" t="str">
        <f>IFERROR(__xludf.DUMMYFUNCTION("""COMPUTED_VALUE"""),"")</f>
        <v/>
      </c>
      <c r="J384" s="4" t="str">
        <f>IFERROR(__xludf.DUMMYFUNCTION("""COMPUTED_VALUE"""),"AI")</f>
        <v>AI</v>
      </c>
      <c r="K384" s="4" t="str">
        <f>IFERROR(__xludf.DUMMYFUNCTION("""COMPUTED_VALUE"""),"Talk Intro")</f>
        <v>Talk Intro</v>
      </c>
      <c r="L384" s="4" t="str">
        <f>IFERROR(__xludf.DUMMYFUNCTION("""COMPUTED_VALUE"""),"")</f>
        <v/>
      </c>
      <c r="M384" s="4" t="str">
        <f>IFERROR(__xludf.DUMMYFUNCTION("""COMPUTED_VALUE"""),"Talk Intro")</f>
        <v>Talk Intro</v>
      </c>
      <c r="N384" s="4" t="str">
        <f>IFERROR(__xludf.DUMMYFUNCTION("""COMPUTED_VALUE"""),"")</f>
        <v/>
      </c>
      <c r="O384" s="4" t="str">
        <f>IFERROR(__xludf.DUMMYFUNCTION("""COMPUTED_VALUE"""),"")</f>
        <v/>
      </c>
      <c r="P384" s="4" t="str">
        <f>IFERROR(__xludf.DUMMYFUNCTION("""COMPUTED_VALUE"""),"")</f>
        <v/>
      </c>
      <c r="Q384" s="4" t="str">
        <f>IFERROR(__xludf.DUMMYFUNCTION("""COMPUTED_VALUE"""),"")</f>
        <v/>
      </c>
      <c r="R384" s="4" t="str">
        <f>IFERROR(__xludf.DUMMYFUNCTION("""COMPUTED_VALUE"""),"")</f>
        <v/>
      </c>
      <c r="S384" s="4" t="str">
        <f>IFERROR(__xludf.DUMMYFUNCTION("""COMPUTED_VALUE"""),"")</f>
        <v/>
      </c>
      <c r="T384" s="4" t="str">
        <f>IFERROR(__xludf.DUMMYFUNCTION("""COMPUTED_VALUE"""),"")</f>
        <v/>
      </c>
      <c r="U384" s="4" t="str">
        <f>IFERROR(__xludf.DUMMYFUNCTION("""COMPUTED_VALUE"""),"")</f>
        <v/>
      </c>
      <c r="V384" s="4" t="str">
        <f>IFERROR(__xludf.DUMMYFUNCTION("""COMPUTED_VALUE"""),"")</f>
        <v/>
      </c>
      <c r="W384" s="4" t="str">
        <f>IFERROR(__xludf.DUMMYFUNCTION("""COMPUTED_VALUE"""),"")</f>
        <v/>
      </c>
      <c r="X384" s="4" t="str">
        <f>IFERROR(__xludf.DUMMYFUNCTION("""COMPUTED_VALUE"""),"")</f>
        <v/>
      </c>
      <c r="Y384" s="4" t="str">
        <f>IFERROR(__xludf.DUMMYFUNCTION("""COMPUTED_VALUE"""),"")</f>
        <v/>
      </c>
    </row>
    <row r="385">
      <c r="A385" s="4" t="str">
        <f>IFERROR(__xludf.DUMMYFUNCTION("""COMPUTED_VALUE"""),"393 - Channel")</f>
        <v>393 - Channel</v>
      </c>
      <c r="B385" s="4" t="str">
        <f>IFERROR(__xludf.DUMMYFUNCTION("""COMPUTED_VALUE"""),"Channel 2")</f>
        <v>Channel 2</v>
      </c>
      <c r="C385" s="4" t="str">
        <f>IFERROR(__xludf.DUMMYFUNCTION("""COMPUTED_VALUE"""),"Day 1 - 23/06")</f>
        <v>Day 1 - 23/06</v>
      </c>
      <c r="D385" s="6">
        <f>IFERROR(__xludf.DUMMYFUNCTION("""COMPUTED_VALUE"""),0.41828703703703707)</f>
        <v>0.418287037</v>
      </c>
      <c r="E385" s="6">
        <f>IFERROR(__xludf.DUMMYFUNCTION("""COMPUTED_VALUE"""),0.006944444444444444)</f>
        <v>0.006944444444</v>
      </c>
      <c r="F385" s="6">
        <f>IFERROR(__xludf.DUMMYFUNCTION("""COMPUTED_VALUE"""),0.4252314814814815)</f>
        <v>0.4252314815</v>
      </c>
      <c r="G385" s="4" t="str">
        <f>IFERROR(__xludf.DUMMYFUNCTION("""COMPUTED_VALUE"""),"Carol")</f>
        <v>Carol</v>
      </c>
      <c r="H385" s="4" t="str">
        <f>IFERROR(__xludf.DUMMYFUNCTION("""COMPUTED_VALUE"""),"N/A")</f>
        <v>N/A</v>
      </c>
      <c r="I385" s="4" t="str">
        <f>IFERROR(__xludf.DUMMYFUNCTION("""COMPUTED_VALUE"""),"Naomi")</f>
        <v>Naomi</v>
      </c>
      <c r="J385" s="4" t="str">
        <f>IFERROR(__xludf.DUMMYFUNCTION("""COMPUTED_VALUE"""),"AI")</f>
        <v>AI</v>
      </c>
      <c r="K385" s="4" t="str">
        <f>IFERROR(__xludf.DUMMYFUNCTION("""COMPUTED_VALUE"""),"Keynote")</f>
        <v>Keynote</v>
      </c>
      <c r="L385" s="4" t="str">
        <f>IFERROR(__xludf.DUMMYFUNCTION("""COMPUTED_VALUE"""),"T- 2 - 08/06/2020")</f>
        <v>T- 2 - 08/06/2020</v>
      </c>
      <c r="M385" s="4" t="str">
        <f>IFERROR(__xludf.DUMMYFUNCTION("""COMPUTED_VALUE"""),"Emerging AI applications and innovations")</f>
        <v>Emerging AI applications and innovations</v>
      </c>
      <c r="N385" s="4" t="str">
        <f>IFERROR(__xludf.DUMMYFUNCTION("""COMPUTED_VALUE"""),"Tian Wu, Baidu")</f>
        <v>Tian Wu, Baidu</v>
      </c>
      <c r="O385" s="4" t="str">
        <f>IFERROR(__xludf.DUMMYFUNCTION("""COMPUTED_VALUE"""),"")</f>
        <v/>
      </c>
      <c r="P385" s="4" t="str">
        <f>IFERROR(__xludf.DUMMYFUNCTION("""COMPUTED_VALUE"""),"")</f>
        <v/>
      </c>
      <c r="Q385" s="4" t="str">
        <f>IFERROR(__xludf.DUMMYFUNCTION("""COMPUTED_VALUE"""),"")</f>
        <v/>
      </c>
      <c r="R385" s="4" t="str">
        <f>IFERROR(__xludf.DUMMYFUNCTION("""COMPUTED_VALUE"""),"")</f>
        <v/>
      </c>
      <c r="S385" s="4" t="str">
        <f>IFERROR(__xludf.DUMMYFUNCTION("""COMPUTED_VALUE"""),"How does open sourcing machine learning contribute to driving technological development, industrial innovation and social progress? Hear from the corporate vice president of Baidu on how the Chinese search giant has turned an internal AI platform into an "&amp;"ever-growing community with more than 1.5 million developers around the world. ")</f>
        <v>How does open sourcing machine learning contribute to driving technological development, industrial innovation and social progress? Hear from the corporate vice president of Baidu on how the Chinese search giant has turned an internal AI platform into an ever-growing community with more than 1.5 million developers around the world. </v>
      </c>
      <c r="T385" s="4" t="str">
        <f>IFERROR(__xludf.DUMMYFUNCTION("""COMPUTED_VALUE"""),"Recording MISSED/NEEDS TO BE RERECORDED/RESCHEDULED")</f>
        <v>Recording MISSED/NEEDS TO BE RERECORDED/RESCHEDULED</v>
      </c>
      <c r="U385" s="23">
        <f>IFERROR(__xludf.DUMMYFUNCTION("""COMPUTED_VALUE"""),43991.0)</f>
        <v>43991</v>
      </c>
      <c r="V385" s="44">
        <f>IFERROR(__xludf.DUMMYFUNCTION("""COMPUTED_VALUE"""),0.3333333333333333)</f>
        <v>0.3333333333</v>
      </c>
      <c r="W385" s="21" t="str">
        <f>IFERROR(__xludf.DUMMYFUNCTION("""COMPUTED_VALUE"""),"https://zoom.us/j/91734004284?pwd=Mmdma1FtVkh4blhWajBEMlBLQUNRQT09")</f>
        <v>https://zoom.us/j/91734004284?pwd=Mmdma1FtVkh4blhWajBEMlBLQUNRQT09</v>
      </c>
      <c r="X385" s="4" t="str">
        <f>IFERROR(__xludf.DUMMYFUNCTION("""COMPUTED_VALUE"""),"Carol")</f>
        <v>Carol</v>
      </c>
      <c r="Y385" s="4" t="str">
        <f>IFERROR(__xludf.DUMMYFUNCTION("""COMPUTED_VALUE"""),"")</f>
        <v/>
      </c>
    </row>
    <row r="386">
      <c r="A386" s="4" t="str">
        <f>IFERROR(__xludf.DUMMYFUNCTION("""COMPUTED_VALUE"""),"394 - Channel")</f>
        <v>394 - Channel</v>
      </c>
      <c r="B386" s="4" t="str">
        <f>IFERROR(__xludf.DUMMYFUNCTION("""COMPUTED_VALUE"""),"Channel 2")</f>
        <v>Channel 2</v>
      </c>
      <c r="C386" s="4" t="str">
        <f>IFERROR(__xludf.DUMMYFUNCTION("""COMPUTED_VALUE"""),"Day 1 - 23/06")</f>
        <v>Day 1 - 23/06</v>
      </c>
      <c r="D386" s="6">
        <f>IFERROR(__xludf.DUMMYFUNCTION("""COMPUTED_VALUE"""),0.4252314814814815)</f>
        <v>0.4252314815</v>
      </c>
      <c r="E386" s="6">
        <f>IFERROR(__xludf.DUMMYFUNCTION("""COMPUTED_VALUE"""),1.7361111111111112E-4)</f>
        <v>0.0001736111111</v>
      </c>
      <c r="F386" s="6">
        <f>IFERROR(__xludf.DUMMYFUNCTION("""COMPUTED_VALUE"""),0.4254050925925926)</f>
        <v>0.4254050926</v>
      </c>
      <c r="G386" s="4" t="str">
        <f>IFERROR(__xludf.DUMMYFUNCTION("""COMPUTED_VALUE"""),"Graphics")</f>
        <v>Graphics</v>
      </c>
      <c r="H386" s="4" t="str">
        <f>IFERROR(__xludf.DUMMYFUNCTION("""COMPUTED_VALUE"""),"")</f>
        <v/>
      </c>
      <c r="I386" s="4" t="str">
        <f>IFERROR(__xludf.DUMMYFUNCTION("""COMPUTED_VALUE"""),"")</f>
        <v/>
      </c>
      <c r="J386" s="4" t="str">
        <f>IFERROR(__xludf.DUMMYFUNCTION("""COMPUTED_VALUE"""),"AI")</f>
        <v>AI</v>
      </c>
      <c r="K386" s="4" t="str">
        <f>IFERROR(__xludf.DUMMYFUNCTION("""COMPUTED_VALUE"""),"Talk Outro")</f>
        <v>Talk Outro</v>
      </c>
      <c r="L386" s="4" t="str">
        <f>IFERROR(__xludf.DUMMYFUNCTION("""COMPUTED_VALUE"""),"")</f>
        <v/>
      </c>
      <c r="M386" s="4" t="str">
        <f>IFERROR(__xludf.DUMMYFUNCTION("""COMPUTED_VALUE"""),"Talk Outro")</f>
        <v>Talk Outro</v>
      </c>
      <c r="N386" s="4" t="str">
        <f>IFERROR(__xludf.DUMMYFUNCTION("""COMPUTED_VALUE"""),"")</f>
        <v/>
      </c>
      <c r="O386" s="4" t="str">
        <f>IFERROR(__xludf.DUMMYFUNCTION("""COMPUTED_VALUE"""),"")</f>
        <v/>
      </c>
      <c r="P386" s="4" t="str">
        <f>IFERROR(__xludf.DUMMYFUNCTION("""COMPUTED_VALUE"""),"")</f>
        <v/>
      </c>
      <c r="Q386" s="4" t="str">
        <f>IFERROR(__xludf.DUMMYFUNCTION("""COMPUTED_VALUE"""),"")</f>
        <v/>
      </c>
      <c r="R386" s="4" t="str">
        <f>IFERROR(__xludf.DUMMYFUNCTION("""COMPUTED_VALUE"""),"")</f>
        <v/>
      </c>
      <c r="S386" s="4" t="str">
        <f>IFERROR(__xludf.DUMMYFUNCTION("""COMPUTED_VALUE"""),"")</f>
        <v/>
      </c>
      <c r="T386" s="4" t="str">
        <f>IFERROR(__xludf.DUMMYFUNCTION("""COMPUTED_VALUE"""),"")</f>
        <v/>
      </c>
      <c r="U386" s="4" t="str">
        <f>IFERROR(__xludf.DUMMYFUNCTION("""COMPUTED_VALUE"""),"")</f>
        <v/>
      </c>
      <c r="V386" s="4" t="str">
        <f>IFERROR(__xludf.DUMMYFUNCTION("""COMPUTED_VALUE"""),"")</f>
        <v/>
      </c>
      <c r="W386" s="4" t="str">
        <f>IFERROR(__xludf.DUMMYFUNCTION("""COMPUTED_VALUE"""),"")</f>
        <v/>
      </c>
      <c r="X386" s="4" t="str">
        <f>IFERROR(__xludf.DUMMYFUNCTION("""COMPUTED_VALUE"""),"")</f>
        <v/>
      </c>
      <c r="Y386" s="4" t="str">
        <f>IFERROR(__xludf.DUMMYFUNCTION("""COMPUTED_VALUE"""),"")</f>
        <v/>
      </c>
    </row>
    <row r="387">
      <c r="A387" s="4" t="str">
        <f>IFERROR(__xludf.DUMMYFUNCTION("""COMPUTED_VALUE"""),"439 - Channel")</f>
        <v>439 - Channel</v>
      </c>
      <c r="B387" s="4" t="str">
        <f>IFERROR(__xludf.DUMMYFUNCTION("""COMPUTED_VALUE"""),"Channel 2")</f>
        <v>Channel 2</v>
      </c>
      <c r="C387" s="4" t="str">
        <f>IFERROR(__xludf.DUMMYFUNCTION("""COMPUTED_VALUE"""),"Day 1 - 23/06")</f>
        <v>Day 1 - 23/06</v>
      </c>
      <c r="D387" s="6">
        <f>IFERROR(__xludf.DUMMYFUNCTION("""COMPUTED_VALUE"""),0.4254050925925926)</f>
        <v>0.4254050926</v>
      </c>
      <c r="E387" s="6">
        <f>IFERROR(__xludf.DUMMYFUNCTION("""COMPUTED_VALUE"""),1.7361111111111112E-4)</f>
        <v>0.0001736111111</v>
      </c>
      <c r="F387" s="6">
        <f>IFERROR(__xludf.DUMMYFUNCTION("""COMPUTED_VALUE"""),0.42557870370370376)</f>
        <v>0.4255787037</v>
      </c>
      <c r="G387" s="4" t="str">
        <f>IFERROR(__xludf.DUMMYFUNCTION("""COMPUTED_VALUE"""),"P&amp;E")</f>
        <v>P&amp;E</v>
      </c>
      <c r="H387" s="4" t="str">
        <f>IFERROR(__xludf.DUMMYFUNCTION("""COMPUTED_VALUE"""),"")</f>
        <v/>
      </c>
      <c r="I387" s="4" t="str">
        <f>IFERROR(__xludf.DUMMYFUNCTION("""COMPUTED_VALUE"""),"")</f>
        <v/>
      </c>
      <c r="J387" s="4" t="str">
        <f>IFERROR(__xludf.DUMMYFUNCTION("""COMPUTED_VALUE"""),"Sales")</f>
        <v>Sales</v>
      </c>
      <c r="K387" s="4" t="str">
        <f>IFERROR(__xludf.DUMMYFUNCTION("""COMPUTED_VALUE"""),"Partner ad")</f>
        <v>Partner ad</v>
      </c>
      <c r="L387" s="4" t="str">
        <f>IFERROR(__xludf.DUMMYFUNCTION("""COMPUTED_VALUE"""),"")</f>
        <v/>
      </c>
      <c r="M387" s="4" t="str">
        <f>IFERROR(__xludf.DUMMYFUNCTION("""COMPUTED_VALUE"""),"Partner ad roll #2_STARTUP PORTUGAL")</f>
        <v>Partner ad roll #2_STARTUP PORTUGAL</v>
      </c>
      <c r="N387" s="4" t="str">
        <f>IFERROR(__xludf.DUMMYFUNCTION("""COMPUTED_VALUE"""),"")</f>
        <v/>
      </c>
      <c r="O387" s="4" t="str">
        <f>IFERROR(__xludf.DUMMYFUNCTION("""COMPUTED_VALUE"""),"")</f>
        <v/>
      </c>
      <c r="P387" s="4" t="str">
        <f>IFERROR(__xludf.DUMMYFUNCTION("""COMPUTED_VALUE"""),"")</f>
        <v/>
      </c>
      <c r="Q387" s="4" t="str">
        <f>IFERROR(__xludf.DUMMYFUNCTION("""COMPUTED_VALUE"""),"")</f>
        <v/>
      </c>
      <c r="R387" s="4" t="str">
        <f>IFERROR(__xludf.DUMMYFUNCTION("""COMPUTED_VALUE"""),"")</f>
        <v/>
      </c>
      <c r="S387" s="4" t="str">
        <f>IFERROR(__xludf.DUMMYFUNCTION("""COMPUTED_VALUE"""),"")</f>
        <v/>
      </c>
      <c r="T387" s="4" t="str">
        <f>IFERROR(__xludf.DUMMYFUNCTION("""COMPUTED_VALUE"""),"")</f>
        <v/>
      </c>
      <c r="U387" s="4" t="str">
        <f>IFERROR(__xludf.DUMMYFUNCTION("""COMPUTED_VALUE"""),"")</f>
        <v/>
      </c>
      <c r="V387" s="4" t="str">
        <f>IFERROR(__xludf.DUMMYFUNCTION("""COMPUTED_VALUE"""),"")</f>
        <v/>
      </c>
      <c r="W387" s="4" t="str">
        <f>IFERROR(__xludf.DUMMYFUNCTION("""COMPUTED_VALUE"""),"")</f>
        <v/>
      </c>
      <c r="X387" s="4" t="str">
        <f>IFERROR(__xludf.DUMMYFUNCTION("""COMPUTED_VALUE"""),"")</f>
        <v/>
      </c>
      <c r="Y387" s="4" t="str">
        <f>IFERROR(__xludf.DUMMYFUNCTION("""COMPUTED_VALUE"""),"")</f>
        <v/>
      </c>
    </row>
    <row r="388">
      <c r="A388" s="4" t="str">
        <f>IFERROR(__xludf.DUMMYFUNCTION("""COMPUTED_VALUE"""),"395 - Channel")</f>
        <v>395 - Channel</v>
      </c>
      <c r="B388" s="4" t="str">
        <f>IFERROR(__xludf.DUMMYFUNCTION("""COMPUTED_VALUE"""),"Channel 2")</f>
        <v>Channel 2</v>
      </c>
      <c r="C388" s="4" t="str">
        <f>IFERROR(__xludf.DUMMYFUNCTION("""COMPUTED_VALUE"""),"Day 1 - 23/06")</f>
        <v>Day 1 - 23/06</v>
      </c>
      <c r="D388" s="6">
        <f>IFERROR(__xludf.DUMMYFUNCTION("""COMPUTED_VALUE"""),0.4254050925925926)</f>
        <v>0.4254050926</v>
      </c>
      <c r="E388" s="6">
        <f>IFERROR(__xludf.DUMMYFUNCTION("""COMPUTED_VALUE"""),3.356481481481481E-4)</f>
        <v>0.0003356481481</v>
      </c>
      <c r="F388" s="6">
        <f>IFERROR(__xludf.DUMMYFUNCTION("""COMPUTED_VALUE"""),0.42574074074074075)</f>
        <v>0.4257407407</v>
      </c>
      <c r="G388" s="4" t="str">
        <f>IFERROR(__xludf.DUMMYFUNCTION("""COMPUTED_VALUE"""),"Graphics")</f>
        <v>Graphics</v>
      </c>
      <c r="H388" s="4" t="str">
        <f>IFERROR(__xludf.DUMMYFUNCTION("""COMPUTED_VALUE"""),"")</f>
        <v/>
      </c>
      <c r="I388" s="4" t="str">
        <f>IFERROR(__xludf.DUMMYFUNCTION("""COMPUTED_VALUE"""),"")</f>
        <v/>
      </c>
      <c r="J388" s="4" t="str">
        <f>IFERROR(__xludf.DUMMYFUNCTION("""COMPUTED_VALUE"""),"AI")</f>
        <v>AI</v>
      </c>
      <c r="K388" s="4" t="str">
        <f>IFERROR(__xludf.DUMMYFUNCTION("""COMPUTED_VALUE"""),"Talk Intro")</f>
        <v>Talk Intro</v>
      </c>
      <c r="L388" s="4" t="str">
        <f>IFERROR(__xludf.DUMMYFUNCTION("""COMPUTED_VALUE"""),"")</f>
        <v/>
      </c>
      <c r="M388" s="4" t="str">
        <f>IFERROR(__xludf.DUMMYFUNCTION("""COMPUTED_VALUE"""),"Talk Intro")</f>
        <v>Talk Intro</v>
      </c>
      <c r="N388" s="4" t="str">
        <f>IFERROR(__xludf.DUMMYFUNCTION("""COMPUTED_VALUE"""),"")</f>
        <v/>
      </c>
      <c r="O388" s="4" t="str">
        <f>IFERROR(__xludf.DUMMYFUNCTION("""COMPUTED_VALUE"""),"")</f>
        <v/>
      </c>
      <c r="P388" s="4" t="str">
        <f>IFERROR(__xludf.DUMMYFUNCTION("""COMPUTED_VALUE"""),"")</f>
        <v/>
      </c>
      <c r="Q388" s="4" t="str">
        <f>IFERROR(__xludf.DUMMYFUNCTION("""COMPUTED_VALUE"""),"")</f>
        <v/>
      </c>
      <c r="R388" s="4" t="str">
        <f>IFERROR(__xludf.DUMMYFUNCTION("""COMPUTED_VALUE"""),"")</f>
        <v/>
      </c>
      <c r="S388" s="4" t="str">
        <f>IFERROR(__xludf.DUMMYFUNCTION("""COMPUTED_VALUE"""),"")</f>
        <v/>
      </c>
      <c r="T388" s="4" t="str">
        <f>IFERROR(__xludf.DUMMYFUNCTION("""COMPUTED_VALUE"""),"")</f>
        <v/>
      </c>
      <c r="U388" s="4" t="str">
        <f>IFERROR(__xludf.DUMMYFUNCTION("""COMPUTED_VALUE"""),"")</f>
        <v/>
      </c>
      <c r="V388" s="4" t="str">
        <f>IFERROR(__xludf.DUMMYFUNCTION("""COMPUTED_VALUE"""),"")</f>
        <v/>
      </c>
      <c r="W388" s="4" t="str">
        <f>IFERROR(__xludf.DUMMYFUNCTION("""COMPUTED_VALUE"""),"")</f>
        <v/>
      </c>
      <c r="X388" s="4" t="str">
        <f>IFERROR(__xludf.DUMMYFUNCTION("""COMPUTED_VALUE"""),"")</f>
        <v/>
      </c>
      <c r="Y388" s="4" t="str">
        <f>IFERROR(__xludf.DUMMYFUNCTION("""COMPUTED_VALUE"""),"")</f>
        <v/>
      </c>
    </row>
    <row r="389">
      <c r="A389" s="4" t="str">
        <f>IFERROR(__xludf.DUMMYFUNCTION("""COMPUTED_VALUE"""),"396 - Channel")</f>
        <v>396 - Channel</v>
      </c>
      <c r="B389" s="4" t="str">
        <f>IFERROR(__xludf.DUMMYFUNCTION("""COMPUTED_VALUE"""),"Channel 2")</f>
        <v>Channel 2</v>
      </c>
      <c r="C389" s="4" t="str">
        <f>IFERROR(__xludf.DUMMYFUNCTION("""COMPUTED_VALUE"""),"Day 1 - 23/06")</f>
        <v>Day 1 - 23/06</v>
      </c>
      <c r="D389" s="6">
        <f>IFERROR(__xludf.DUMMYFUNCTION("""COMPUTED_VALUE"""),0.42574074074074075)</f>
        <v>0.4257407407</v>
      </c>
      <c r="E389" s="6">
        <f>IFERROR(__xludf.DUMMYFUNCTION("""COMPUTED_VALUE"""),0.00982638888888889)</f>
        <v>0.009826388889</v>
      </c>
      <c r="F389" s="6">
        <f>IFERROR(__xludf.DUMMYFUNCTION("""COMPUTED_VALUE"""),0.4355671296296296)</f>
        <v>0.4355671296</v>
      </c>
      <c r="G389" s="4" t="str">
        <f>IFERROR(__xludf.DUMMYFUNCTION("""COMPUTED_VALUE"""),"Carol")</f>
        <v>Carol</v>
      </c>
      <c r="H389" s="4" t="str">
        <f>IFERROR(__xludf.DUMMYFUNCTION("""COMPUTED_VALUE"""),"Lisa")</f>
        <v>Lisa</v>
      </c>
      <c r="I389" s="4" t="str">
        <f>IFERROR(__xludf.DUMMYFUNCTION("""COMPUTED_VALUE"""),"Hannah")</f>
        <v>Hannah</v>
      </c>
      <c r="J389" s="4" t="str">
        <f>IFERROR(__xludf.DUMMYFUNCTION("""COMPUTED_VALUE"""),"AI")</f>
        <v>AI</v>
      </c>
      <c r="K389" s="4" t="str">
        <f>IFERROR(__xludf.DUMMYFUNCTION("""COMPUTED_VALUE"""),"Panel")</f>
        <v>Panel</v>
      </c>
      <c r="L389" s="4" t="str">
        <f>IFERROR(__xludf.DUMMYFUNCTION("""COMPUTED_VALUE"""),"T- 5 - 18/05/2020")</f>
        <v>T- 5 - 18/05/2020</v>
      </c>
      <c r="M389" s="4" t="str">
        <f>IFERROR(__xludf.DUMMYFUNCTION("""COMPUTED_VALUE"""),"The untapped potential of AI")</f>
        <v>The untapped potential of AI</v>
      </c>
      <c r="N389" s="4" t="str">
        <f>IFERROR(__xludf.DUMMYFUNCTION("""COMPUTED_VALUE"""),"Foteini Agrafioti, RBC")</f>
        <v>Foteini Agrafioti, RBC</v>
      </c>
      <c r="O389" s="4" t="str">
        <f>IFERROR(__xludf.DUMMYFUNCTION("""COMPUTED_VALUE"""),"Husayn Kassai, Onfido")</f>
        <v>Husayn Kassai, Onfido</v>
      </c>
      <c r="P389" s="4" t="str">
        <f>IFERROR(__xludf.DUMMYFUNCTION("""COMPUTED_VALUE"""),"Daniela Braga, DefinedCrowd")</f>
        <v>Daniela Braga, DefinedCrowd</v>
      </c>
      <c r="Q389" s="4" t="str">
        <f>IFERROR(__xludf.DUMMYFUNCTION("""COMPUTED_VALUE"""),"")</f>
        <v/>
      </c>
      <c r="R389" s="4" t="str">
        <f>IFERROR(__xludf.DUMMYFUNCTION("""COMPUTED_VALUE"""),"Xin Liu, CGTN")</f>
        <v>Xin Liu, CGTN</v>
      </c>
      <c r="S389" s="4" t="str">
        <f>IFERROR(__xludf.DUMMYFUNCTION("""COMPUTED_VALUE"""),"All hype aside, where is AI tech today relative to where we envisioned it would be? How can we embrace all its possibilities while steering clear of the red flags? Join this discussion with industry leaders to find out.")</f>
        <v>All hype aside, where is AI tech today relative to where we envisioned it would be? How can we embrace all its possibilities while steering clear of the red flags? Join this discussion with industry leaders to find out.</v>
      </c>
      <c r="T389" s="4" t="str">
        <f>IFERROR(__xludf.DUMMYFUNCTION("""COMPUTED_VALUE"""),"NON-KEYNOTE 9 - COMPLETE")</f>
        <v>NON-KEYNOTE 9 - COMPLETE</v>
      </c>
      <c r="U389" s="23">
        <f>IFERROR(__xludf.DUMMYFUNCTION("""COMPUTED_VALUE"""),43973.0)</f>
        <v>43973</v>
      </c>
      <c r="V389" s="4" t="str">
        <f>IFERROR(__xludf.DUMMYFUNCTION("""COMPUTED_VALUE"""),"")</f>
        <v/>
      </c>
      <c r="W389" s="4" t="str">
        <f>IFERROR(__xludf.DUMMYFUNCTION("""COMPUTED_VALUE"""),"COMPLETE")</f>
        <v>COMPLETE</v>
      </c>
      <c r="X389" s="4" t="str">
        <f>IFERROR(__xludf.DUMMYFUNCTION("""COMPUTED_VALUE"""),"Carol")</f>
        <v>Carol</v>
      </c>
      <c r="Y389" s="4" t="str">
        <f>IFERROR(__xludf.DUMMYFUNCTION("""COMPUTED_VALUE"""),"")</f>
        <v/>
      </c>
    </row>
    <row r="390">
      <c r="A390" s="4" t="str">
        <f>IFERROR(__xludf.DUMMYFUNCTION("""COMPUTED_VALUE"""),"397 - Channel")</f>
        <v>397 - Channel</v>
      </c>
      <c r="B390" s="4" t="str">
        <f>IFERROR(__xludf.DUMMYFUNCTION("""COMPUTED_VALUE"""),"Channel 2")</f>
        <v>Channel 2</v>
      </c>
      <c r="C390" s="4" t="str">
        <f>IFERROR(__xludf.DUMMYFUNCTION("""COMPUTED_VALUE"""),"Day 1 - 23/06")</f>
        <v>Day 1 - 23/06</v>
      </c>
      <c r="D390" s="6">
        <f>IFERROR(__xludf.DUMMYFUNCTION("""COMPUTED_VALUE"""),0.4355671296296296)</f>
        <v>0.4355671296</v>
      </c>
      <c r="E390" s="6">
        <f>IFERROR(__xludf.DUMMYFUNCTION("""COMPUTED_VALUE"""),1.7361111111111112E-4)</f>
        <v>0.0001736111111</v>
      </c>
      <c r="F390" s="6">
        <f>IFERROR(__xludf.DUMMYFUNCTION("""COMPUTED_VALUE"""),0.43574074074074076)</f>
        <v>0.4357407407</v>
      </c>
      <c r="G390" s="4" t="str">
        <f>IFERROR(__xludf.DUMMYFUNCTION("""COMPUTED_VALUE"""),"Graphics")</f>
        <v>Graphics</v>
      </c>
      <c r="H390" s="4" t="str">
        <f>IFERROR(__xludf.DUMMYFUNCTION("""COMPUTED_VALUE"""),"")</f>
        <v/>
      </c>
      <c r="I390" s="4" t="str">
        <f>IFERROR(__xludf.DUMMYFUNCTION("""COMPUTED_VALUE"""),"")</f>
        <v/>
      </c>
      <c r="J390" s="4" t="str">
        <f>IFERROR(__xludf.DUMMYFUNCTION("""COMPUTED_VALUE"""),"AI")</f>
        <v>AI</v>
      </c>
      <c r="K390" s="4" t="str">
        <f>IFERROR(__xludf.DUMMYFUNCTION("""COMPUTED_VALUE"""),"Talk Outro")</f>
        <v>Talk Outro</v>
      </c>
      <c r="L390" s="4" t="str">
        <f>IFERROR(__xludf.DUMMYFUNCTION("""COMPUTED_VALUE"""),"")</f>
        <v/>
      </c>
      <c r="M390" s="4" t="str">
        <f>IFERROR(__xludf.DUMMYFUNCTION("""COMPUTED_VALUE"""),"Talk Outro")</f>
        <v>Talk Outro</v>
      </c>
      <c r="N390" s="4" t="str">
        <f>IFERROR(__xludf.DUMMYFUNCTION("""COMPUTED_VALUE"""),"")</f>
        <v/>
      </c>
      <c r="O390" s="4" t="str">
        <f>IFERROR(__xludf.DUMMYFUNCTION("""COMPUTED_VALUE"""),"")</f>
        <v/>
      </c>
      <c r="P390" s="4" t="str">
        <f>IFERROR(__xludf.DUMMYFUNCTION("""COMPUTED_VALUE"""),"")</f>
        <v/>
      </c>
      <c r="Q390" s="4" t="str">
        <f>IFERROR(__xludf.DUMMYFUNCTION("""COMPUTED_VALUE"""),"")</f>
        <v/>
      </c>
      <c r="R390" s="4" t="str">
        <f>IFERROR(__xludf.DUMMYFUNCTION("""COMPUTED_VALUE"""),"")</f>
        <v/>
      </c>
      <c r="S390" s="4" t="str">
        <f>IFERROR(__xludf.DUMMYFUNCTION("""COMPUTED_VALUE"""),"")</f>
        <v/>
      </c>
      <c r="T390" s="4" t="str">
        <f>IFERROR(__xludf.DUMMYFUNCTION("""COMPUTED_VALUE"""),"")</f>
        <v/>
      </c>
      <c r="U390" s="4" t="str">
        <f>IFERROR(__xludf.DUMMYFUNCTION("""COMPUTED_VALUE"""),"")</f>
        <v/>
      </c>
      <c r="V390" s="4" t="str">
        <f>IFERROR(__xludf.DUMMYFUNCTION("""COMPUTED_VALUE"""),"")</f>
        <v/>
      </c>
      <c r="W390" s="4" t="str">
        <f>IFERROR(__xludf.DUMMYFUNCTION("""COMPUTED_VALUE"""),"")</f>
        <v/>
      </c>
      <c r="X390" s="4" t="str">
        <f>IFERROR(__xludf.DUMMYFUNCTION("""COMPUTED_VALUE"""),"")</f>
        <v/>
      </c>
      <c r="Y390" s="4" t="str">
        <f>IFERROR(__xludf.DUMMYFUNCTION("""COMPUTED_VALUE"""),"")</f>
        <v/>
      </c>
    </row>
    <row r="391">
      <c r="A391" s="4" t="str">
        <f>IFERROR(__xludf.DUMMYFUNCTION("""COMPUTED_VALUE"""),"493 - Channel")</f>
        <v>493 - Channel</v>
      </c>
      <c r="B391" s="4" t="str">
        <f>IFERROR(__xludf.DUMMYFUNCTION("""COMPUTED_VALUE"""),"Channel 2")</f>
        <v>Channel 2</v>
      </c>
      <c r="C391" s="4" t="str">
        <f>IFERROR(__xludf.DUMMYFUNCTION("""COMPUTED_VALUE"""),"Day 1 - 23/06")</f>
        <v>Day 1 - 23/06</v>
      </c>
      <c r="D391" s="6">
        <f>IFERROR(__xludf.DUMMYFUNCTION("""COMPUTED_VALUE"""),0.43574074074074076)</f>
        <v>0.4357407407</v>
      </c>
      <c r="E391" s="6">
        <f>IFERROR(__xludf.DUMMYFUNCTION("""COMPUTED_VALUE"""),3.4722222222222224E-4)</f>
        <v>0.0003472222222</v>
      </c>
      <c r="F391" s="6">
        <f>IFERROR(__xludf.DUMMYFUNCTION("""COMPUTED_VALUE"""),0.436087962962963)</f>
        <v>0.436087963</v>
      </c>
      <c r="G391" s="4" t="str">
        <f>IFERROR(__xludf.DUMMYFUNCTION("""COMPUTED_VALUE"""),"Graphics")</f>
        <v>Graphics</v>
      </c>
      <c r="H391" s="4" t="str">
        <f>IFERROR(__xludf.DUMMYFUNCTION("""COMPUTED_VALUE"""),"")</f>
        <v/>
      </c>
      <c r="I391" s="4" t="str">
        <f>IFERROR(__xludf.DUMMYFUNCTION("""COMPUTED_VALUE"""),"")</f>
        <v/>
      </c>
      <c r="J391" s="4" t="str">
        <f>IFERROR(__xludf.DUMMYFUNCTION("""COMPUTED_VALUE"""),"Education")</f>
        <v>Education</v>
      </c>
      <c r="K391" s="4" t="str">
        <f>IFERROR(__xludf.DUMMYFUNCTION("""COMPUTED_VALUE"""),"Talk Intro")</f>
        <v>Talk Intro</v>
      </c>
      <c r="L391" s="4" t="str">
        <f>IFERROR(__xludf.DUMMYFUNCTION("""COMPUTED_VALUE"""),"")</f>
        <v/>
      </c>
      <c r="M391" s="4" t="str">
        <f>IFERROR(__xludf.DUMMYFUNCTION("""COMPUTED_VALUE"""),"Talk Intro")</f>
        <v>Talk Intro</v>
      </c>
      <c r="N391" s="4" t="str">
        <f>IFERROR(__xludf.DUMMYFUNCTION("""COMPUTED_VALUE"""),"")</f>
        <v/>
      </c>
      <c r="O391" s="4" t="str">
        <f>IFERROR(__xludf.DUMMYFUNCTION("""COMPUTED_VALUE"""),"")</f>
        <v/>
      </c>
      <c r="P391" s="4" t="str">
        <f>IFERROR(__xludf.DUMMYFUNCTION("""COMPUTED_VALUE"""),"")</f>
        <v/>
      </c>
      <c r="Q391" s="4" t="str">
        <f>IFERROR(__xludf.DUMMYFUNCTION("""COMPUTED_VALUE"""),"")</f>
        <v/>
      </c>
      <c r="R391" s="4" t="str">
        <f>IFERROR(__xludf.DUMMYFUNCTION("""COMPUTED_VALUE"""),"")</f>
        <v/>
      </c>
      <c r="S391" s="4" t="str">
        <f>IFERROR(__xludf.DUMMYFUNCTION("""COMPUTED_VALUE"""),"")</f>
        <v/>
      </c>
      <c r="T391" s="4" t="str">
        <f>IFERROR(__xludf.DUMMYFUNCTION("""COMPUTED_VALUE"""),"")</f>
        <v/>
      </c>
      <c r="U391" s="4" t="str">
        <f>IFERROR(__xludf.DUMMYFUNCTION("""COMPUTED_VALUE"""),"")</f>
        <v/>
      </c>
      <c r="V391" s="4" t="str">
        <f>IFERROR(__xludf.DUMMYFUNCTION("""COMPUTED_VALUE"""),"")</f>
        <v/>
      </c>
      <c r="W391" s="4" t="str">
        <f>IFERROR(__xludf.DUMMYFUNCTION("""COMPUTED_VALUE"""),"")</f>
        <v/>
      </c>
      <c r="X391" s="4" t="str">
        <f>IFERROR(__xludf.DUMMYFUNCTION("""COMPUTED_VALUE"""),"")</f>
        <v/>
      </c>
      <c r="Y391" s="4" t="str">
        <f>IFERROR(__xludf.DUMMYFUNCTION("""COMPUTED_VALUE"""),"")</f>
        <v/>
      </c>
    </row>
    <row r="392">
      <c r="A392" s="4" t="str">
        <f>IFERROR(__xludf.DUMMYFUNCTION("""COMPUTED_VALUE"""),"494 - Channel")</f>
        <v>494 - Channel</v>
      </c>
      <c r="B392" s="4" t="str">
        <f>IFERROR(__xludf.DUMMYFUNCTION("""COMPUTED_VALUE"""),"Channel 2")</f>
        <v>Channel 2</v>
      </c>
      <c r="C392" s="4" t="str">
        <f>IFERROR(__xludf.DUMMYFUNCTION("""COMPUTED_VALUE"""),"Day 1 - 23/06")</f>
        <v>Day 1 - 23/06</v>
      </c>
      <c r="D392" s="6">
        <f>IFERROR(__xludf.DUMMYFUNCTION("""COMPUTED_VALUE"""),0.436087962962963)</f>
        <v>0.436087963</v>
      </c>
      <c r="E392" s="6">
        <f>IFERROR(__xludf.DUMMYFUNCTION("""COMPUTED_VALUE"""),0.0076851851851851855)</f>
        <v>0.007685185185</v>
      </c>
      <c r="F392" s="6">
        <f>IFERROR(__xludf.DUMMYFUNCTION("""COMPUTED_VALUE"""),0.44377314814814817)</f>
        <v>0.4437731481</v>
      </c>
      <c r="G392" s="4" t="str">
        <f>IFERROR(__xludf.DUMMYFUNCTION("""COMPUTED_VALUE"""),"Gavin")</f>
        <v>Gavin</v>
      </c>
      <c r="H392" s="4" t="str">
        <f>IFERROR(__xludf.DUMMYFUNCTION("""COMPUTED_VALUE"""),"N/A")</f>
        <v>N/A</v>
      </c>
      <c r="I392" s="4" t="str">
        <f>IFERROR(__xludf.DUMMYFUNCTION("""COMPUTED_VALUE"""),"Eabha")</f>
        <v>Eabha</v>
      </c>
      <c r="J392" s="4" t="str">
        <f>IFERROR(__xludf.DUMMYFUNCTION("""COMPUTED_VALUE"""),"Education")</f>
        <v>Education</v>
      </c>
      <c r="K392" s="4" t="str">
        <f>IFERROR(__xludf.DUMMYFUNCTION("""COMPUTED_VALUE"""),"Keynote")</f>
        <v>Keynote</v>
      </c>
      <c r="L392" s="4" t="str">
        <f>IFERROR(__xludf.DUMMYFUNCTION("""COMPUTED_VALUE"""),"T- 5 - 18/05/2020")</f>
        <v>T- 5 - 18/05/2020</v>
      </c>
      <c r="M392" s="4" t="str">
        <f>IFERROR(__xludf.DUMMYFUNCTION("""COMPUTED_VALUE"""),"How tech can help us think critically ")</f>
        <v>How tech can help us think critically </v>
      </c>
      <c r="N392" s="4" t="str">
        <f>IFERROR(__xludf.DUMMYFUNCTION("""COMPUTED_VALUE"""),"Grant Ingersoll, Wikimedia Foundation")</f>
        <v>Grant Ingersoll, Wikimedia Foundation</v>
      </c>
      <c r="O392" s="4" t="str">
        <f>IFERROR(__xludf.DUMMYFUNCTION("""COMPUTED_VALUE"""),"")</f>
        <v/>
      </c>
      <c r="P392" s="4" t="str">
        <f>IFERROR(__xludf.DUMMYFUNCTION("""COMPUTED_VALUE"""),"")</f>
        <v/>
      </c>
      <c r="Q392" s="4" t="str">
        <f>IFERROR(__xludf.DUMMYFUNCTION("""COMPUTED_VALUE"""),"")</f>
        <v/>
      </c>
      <c r="R392" s="4" t="str">
        <f>IFERROR(__xludf.DUMMYFUNCTION("""COMPUTED_VALUE"""),"")</f>
        <v/>
      </c>
      <c r="S392" s="4" t="str">
        <f>IFERROR(__xludf.DUMMYFUNCTION("""COMPUTED_VALUE"""),"Wikipedia is known as a world-leading repository of knowledge. In this talk, CTO Grant Ingersoll will explain how tech can go beyond simply imparting knowledge and actually improve our ability to think critically.")</f>
        <v>Wikipedia is known as a world-leading repository of knowledge. In this talk, CTO Grant Ingersoll will explain how tech can go beyond simply imparting knowledge and actually improve our ability to think critically.</v>
      </c>
      <c r="T392" s="4" t="str">
        <f>IFERROR(__xludf.DUMMYFUNCTION("""COMPUTED_VALUE"""),"KEYNOTE 8 - COMPLETE")</f>
        <v>KEYNOTE 8 - COMPLETE</v>
      </c>
      <c r="U392" s="23">
        <f>IFERROR(__xludf.DUMMYFUNCTION("""COMPUTED_VALUE"""),43973.0)</f>
        <v>43973</v>
      </c>
      <c r="V392" s="24">
        <f>IFERROR(__xludf.DUMMYFUNCTION("""COMPUTED_VALUE"""),0.75)</f>
        <v>0.75</v>
      </c>
      <c r="W392" s="4" t="str">
        <f>IFERROR(__xludf.DUMMYFUNCTION("""COMPUTED_VALUE"""),"COMPLETE")</f>
        <v>COMPLETE</v>
      </c>
      <c r="X392" s="4" t="str">
        <f>IFERROR(__xludf.DUMMYFUNCTION("""COMPUTED_VALUE"""),"Gavin")</f>
        <v>Gavin</v>
      </c>
      <c r="Y392" s="4" t="str">
        <f>IFERROR(__xludf.DUMMYFUNCTION("""COMPUTED_VALUE"""),"4658256559321602292")</f>
        <v>4658256559321602292</v>
      </c>
    </row>
    <row r="393">
      <c r="A393" s="4" t="str">
        <f>IFERROR(__xludf.DUMMYFUNCTION("""COMPUTED_VALUE"""),"495- Channel")</f>
        <v>495- Channel</v>
      </c>
      <c r="B393" s="4" t="str">
        <f>IFERROR(__xludf.DUMMYFUNCTION("""COMPUTED_VALUE"""),"Channel 2")</f>
        <v>Channel 2</v>
      </c>
      <c r="C393" s="4" t="str">
        <f>IFERROR(__xludf.DUMMYFUNCTION("""COMPUTED_VALUE"""),"Day 1 - 23/06")</f>
        <v>Day 1 - 23/06</v>
      </c>
      <c r="D393" s="6">
        <f>IFERROR(__xludf.DUMMYFUNCTION("""COMPUTED_VALUE"""),0.44377314814814817)</f>
        <v>0.4437731481</v>
      </c>
      <c r="E393" s="6">
        <f>IFERROR(__xludf.DUMMYFUNCTION("""COMPUTED_VALUE"""),1.7361111111111112E-4)</f>
        <v>0.0001736111111</v>
      </c>
      <c r="F393" s="6">
        <f>IFERROR(__xludf.DUMMYFUNCTION("""COMPUTED_VALUE"""),0.4439467592592593)</f>
        <v>0.4439467593</v>
      </c>
      <c r="G393" s="4" t="str">
        <f>IFERROR(__xludf.DUMMYFUNCTION("""COMPUTED_VALUE"""),"")</f>
        <v/>
      </c>
      <c r="H393" s="4" t="str">
        <f>IFERROR(__xludf.DUMMYFUNCTION("""COMPUTED_VALUE"""),"")</f>
        <v/>
      </c>
      <c r="I393" s="4" t="str">
        <f>IFERROR(__xludf.DUMMYFUNCTION("""COMPUTED_VALUE"""),"")</f>
        <v/>
      </c>
      <c r="J393" s="4" t="str">
        <f>IFERROR(__xludf.DUMMYFUNCTION("""COMPUTED_VALUE"""),"Education")</f>
        <v>Education</v>
      </c>
      <c r="K393" s="4" t="str">
        <f>IFERROR(__xludf.DUMMYFUNCTION("""COMPUTED_VALUE"""),"Talk Outro")</f>
        <v>Talk Outro</v>
      </c>
      <c r="L393" s="4" t="str">
        <f>IFERROR(__xludf.DUMMYFUNCTION("""COMPUTED_VALUE"""),"")</f>
        <v/>
      </c>
      <c r="M393" s="4" t="str">
        <f>IFERROR(__xludf.DUMMYFUNCTION("""COMPUTED_VALUE"""),"Talk Outro - Q&amp;A Mention")</f>
        <v>Talk Outro - Q&amp;A Mention</v>
      </c>
      <c r="N393" s="4" t="str">
        <f>IFERROR(__xludf.DUMMYFUNCTION("""COMPUTED_VALUE"""),"")</f>
        <v/>
      </c>
      <c r="O393" s="4" t="str">
        <f>IFERROR(__xludf.DUMMYFUNCTION("""COMPUTED_VALUE"""),"")</f>
        <v/>
      </c>
      <c r="P393" s="4" t="str">
        <f>IFERROR(__xludf.DUMMYFUNCTION("""COMPUTED_VALUE"""),"")</f>
        <v/>
      </c>
      <c r="Q393" s="4" t="str">
        <f>IFERROR(__xludf.DUMMYFUNCTION("""COMPUTED_VALUE"""),"")</f>
        <v/>
      </c>
      <c r="R393" s="4" t="str">
        <f>IFERROR(__xludf.DUMMYFUNCTION("""COMPUTED_VALUE"""),"")</f>
        <v/>
      </c>
      <c r="S393" s="4" t="str">
        <f>IFERROR(__xludf.DUMMYFUNCTION("""COMPUTED_VALUE"""),"")</f>
        <v/>
      </c>
      <c r="T393" s="4" t="str">
        <f>IFERROR(__xludf.DUMMYFUNCTION("""COMPUTED_VALUE"""),"")</f>
        <v/>
      </c>
      <c r="U393" s="4" t="str">
        <f>IFERROR(__xludf.DUMMYFUNCTION("""COMPUTED_VALUE"""),"")</f>
        <v/>
      </c>
      <c r="V393" s="4" t="str">
        <f>IFERROR(__xludf.DUMMYFUNCTION("""COMPUTED_VALUE"""),"")</f>
        <v/>
      </c>
      <c r="W393" s="4" t="str">
        <f>IFERROR(__xludf.DUMMYFUNCTION("""COMPUTED_VALUE"""),"")</f>
        <v/>
      </c>
      <c r="X393" s="4" t="str">
        <f>IFERROR(__xludf.DUMMYFUNCTION("""COMPUTED_VALUE"""),"")</f>
        <v/>
      </c>
      <c r="Y393" s="4" t="str">
        <f>IFERROR(__xludf.DUMMYFUNCTION("""COMPUTED_VALUE"""),"")</f>
        <v/>
      </c>
    </row>
    <row r="394">
      <c r="A394" s="4" t="str">
        <f>IFERROR(__xludf.DUMMYFUNCTION("""COMPUTED_VALUE"""),"489 - Channel")</f>
        <v>489 - Channel</v>
      </c>
      <c r="B394" s="4" t="str">
        <f>IFERROR(__xludf.DUMMYFUNCTION("""COMPUTED_VALUE"""),"Channel 2")</f>
        <v>Channel 2</v>
      </c>
      <c r="C394" s="4" t="str">
        <f>IFERROR(__xludf.DUMMYFUNCTION("""COMPUTED_VALUE"""),"Day 1 - 23/06")</f>
        <v>Day 1 - 23/06</v>
      </c>
      <c r="D394" s="6">
        <f>IFERROR(__xludf.DUMMYFUNCTION("""COMPUTED_VALUE"""),0.4439467592592593)</f>
        <v>0.4439467593</v>
      </c>
      <c r="E394" s="6">
        <f>IFERROR(__xludf.DUMMYFUNCTION("""COMPUTED_VALUE"""),3.4722222222222224E-4)</f>
        <v>0.0003472222222</v>
      </c>
      <c r="F394" s="6">
        <f>IFERROR(__xludf.DUMMYFUNCTION("""COMPUTED_VALUE"""),0.4442939814814815)</f>
        <v>0.4442939815</v>
      </c>
      <c r="G394" s="4" t="str">
        <f>IFERROR(__xludf.DUMMYFUNCTION("""COMPUTED_VALUE"""),"Graphics")</f>
        <v>Graphics</v>
      </c>
      <c r="H394" s="4" t="str">
        <f>IFERROR(__xludf.DUMMYFUNCTION("""COMPUTED_VALUE"""),"")</f>
        <v/>
      </c>
      <c r="I394" s="4" t="str">
        <f>IFERROR(__xludf.DUMMYFUNCTION("""COMPUTED_VALUE"""),"")</f>
        <v/>
      </c>
      <c r="J394" s="4" t="str">
        <f>IFERROR(__xludf.DUMMYFUNCTION("""COMPUTED_VALUE"""),"AI")</f>
        <v>AI</v>
      </c>
      <c r="K394" s="4" t="str">
        <f>IFERROR(__xludf.DUMMYFUNCTION("""COMPUTED_VALUE"""),"Talk Intro")</f>
        <v>Talk Intro</v>
      </c>
      <c r="L394" s="4" t="str">
        <f>IFERROR(__xludf.DUMMYFUNCTION("""COMPUTED_VALUE"""),"")</f>
        <v/>
      </c>
      <c r="M394" s="4" t="str">
        <f>IFERROR(__xludf.DUMMYFUNCTION("""COMPUTED_VALUE"""),"Talk Intro")</f>
        <v>Talk Intro</v>
      </c>
      <c r="N394" s="4" t="str">
        <f>IFERROR(__xludf.DUMMYFUNCTION("""COMPUTED_VALUE"""),"")</f>
        <v/>
      </c>
      <c r="O394" s="4" t="str">
        <f>IFERROR(__xludf.DUMMYFUNCTION("""COMPUTED_VALUE"""),"")</f>
        <v/>
      </c>
      <c r="P394" s="4" t="str">
        <f>IFERROR(__xludf.DUMMYFUNCTION("""COMPUTED_VALUE"""),"")</f>
        <v/>
      </c>
      <c r="Q394" s="4" t="str">
        <f>IFERROR(__xludf.DUMMYFUNCTION("""COMPUTED_VALUE"""),"")</f>
        <v/>
      </c>
      <c r="R394" s="4" t="str">
        <f>IFERROR(__xludf.DUMMYFUNCTION("""COMPUTED_VALUE"""),"")</f>
        <v/>
      </c>
      <c r="S394" s="4" t="str">
        <f>IFERROR(__xludf.DUMMYFUNCTION("""COMPUTED_VALUE"""),"")</f>
        <v/>
      </c>
      <c r="T394" s="4" t="str">
        <f>IFERROR(__xludf.DUMMYFUNCTION("""COMPUTED_VALUE"""),"")</f>
        <v/>
      </c>
      <c r="U394" s="4" t="str">
        <f>IFERROR(__xludf.DUMMYFUNCTION("""COMPUTED_VALUE"""),"")</f>
        <v/>
      </c>
      <c r="V394" s="4" t="str">
        <f>IFERROR(__xludf.DUMMYFUNCTION("""COMPUTED_VALUE"""),"")</f>
        <v/>
      </c>
      <c r="W394" s="4" t="str">
        <f>IFERROR(__xludf.DUMMYFUNCTION("""COMPUTED_VALUE"""),"")</f>
        <v/>
      </c>
      <c r="X394" s="4" t="str">
        <f>IFERROR(__xludf.DUMMYFUNCTION("""COMPUTED_VALUE"""),"")</f>
        <v/>
      </c>
      <c r="Y394" s="4" t="str">
        <f>IFERROR(__xludf.DUMMYFUNCTION("""COMPUTED_VALUE"""),"")</f>
        <v/>
      </c>
    </row>
    <row r="395">
      <c r="A395" s="4" t="str">
        <f>IFERROR(__xludf.DUMMYFUNCTION("""COMPUTED_VALUE"""),"490 - Channel")</f>
        <v>490 - Channel</v>
      </c>
      <c r="B395" s="4" t="str">
        <f>IFERROR(__xludf.DUMMYFUNCTION("""COMPUTED_VALUE"""),"Channel 2")</f>
        <v>Channel 2</v>
      </c>
      <c r="C395" s="4" t="str">
        <f>IFERROR(__xludf.DUMMYFUNCTION("""COMPUTED_VALUE"""),"Day 1 - 23/06")</f>
        <v>Day 1 - 23/06</v>
      </c>
      <c r="D395" s="6">
        <f>IFERROR(__xludf.DUMMYFUNCTION("""COMPUTED_VALUE"""),0.4442939814814815)</f>
        <v>0.4442939815</v>
      </c>
      <c r="E395" s="53">
        <f>IFERROR(__xludf.DUMMYFUNCTION("""COMPUTED_VALUE"""),0.01476851851851852)</f>
        <v>0.01476851852</v>
      </c>
      <c r="F395" s="6">
        <f>IFERROR(__xludf.DUMMYFUNCTION("""COMPUTED_VALUE"""),0.45906250000000004)</f>
        <v>0.4590625</v>
      </c>
      <c r="G395" s="4" t="str">
        <f>IFERROR(__xludf.DUMMYFUNCTION("""COMPUTED_VALUE"""),"Ahmed")</f>
        <v>Ahmed</v>
      </c>
      <c r="H395" s="4" t="str">
        <f>IFERROR(__xludf.DUMMYFUNCTION("""COMPUTED_VALUE"""),"Lingyu")</f>
        <v>Lingyu</v>
      </c>
      <c r="I395" s="4" t="str">
        <f>IFERROR(__xludf.DUMMYFUNCTION("""COMPUTED_VALUE"""),"Eabha")</f>
        <v>Eabha</v>
      </c>
      <c r="J395" s="4" t="str">
        <f>IFERROR(__xludf.DUMMYFUNCTION("""COMPUTED_VALUE"""),"AI")</f>
        <v>AI</v>
      </c>
      <c r="K395" s="4" t="str">
        <f>IFERROR(__xludf.DUMMYFUNCTION("""COMPUTED_VALUE"""),"Super Fireside")</f>
        <v>Super Fireside</v>
      </c>
      <c r="L395" s="4" t="str">
        <f>IFERROR(__xludf.DUMMYFUNCTION("""COMPUTED_VALUE"""),"T- 7 - 04/05/2020")</f>
        <v>T- 7 - 04/05/2020</v>
      </c>
      <c r="M395" s="4" t="str">
        <f>IFERROR(__xludf.DUMMYFUNCTION("""COMPUTED_VALUE"""),"High-quality experiences in times of high demand")</f>
        <v>High-quality experiences in times of high demand</v>
      </c>
      <c r="N395" s="4" t="str">
        <f>IFERROR(__xludf.DUMMYFUNCTION("""COMPUTED_VALUE"""),"Greg Peters, Netflix")</f>
        <v>Greg Peters, Netflix</v>
      </c>
      <c r="O395" s="4" t="str">
        <f>IFERROR(__xludf.DUMMYFUNCTION("""COMPUTED_VALUE"""),"Chip Paucek, 2U")</f>
        <v>Chip Paucek, 2U</v>
      </c>
      <c r="P395" s="4" t="str">
        <f>IFERROR(__xludf.DUMMYFUNCTION("""COMPUTED_VALUE"""),"")</f>
        <v/>
      </c>
      <c r="Q395" s="4" t="str">
        <f>IFERROR(__xludf.DUMMYFUNCTION("""COMPUTED_VALUE"""),"")</f>
        <v/>
      </c>
      <c r="R395" s="4" t="str">
        <f>IFERROR(__xludf.DUMMYFUNCTION("""COMPUTED_VALUE"""),"NO MOD REQUIRED")</f>
        <v>NO MOD REQUIRED</v>
      </c>
      <c r="S395" s="4" t="str">
        <f>IFERROR(__xludf.DUMMYFUNCTION("""COMPUTED_VALUE"""),"Netflix has more than 160 million subscribers worldwide, and is transforming how films and television are produced in Hollywood. The streaming platform embraced the future, and its resulting story is one that paves the way to success for other industries,"&amp;" including graduate education. In this session, we will learn what the catalysts were for this innovation, and how this bodes well for the future of education.")</f>
        <v>Netflix has more than 160 million subscribers worldwide, and is transforming how films and television are produced in Hollywood. The streaming platform embraced the future, and its resulting story is one that paves the way to success for other industries, including graduate education. In this session, we will learn what the catalysts were for this innovation, and how this bodes well for the future of education.</v>
      </c>
      <c r="T395" s="4" t="str">
        <f>IFERROR(__xludf.DUMMYFUNCTION("""COMPUTED_VALUE"""),"NON-KEYNOTE 9 - COMPLETE")</f>
        <v>NON-KEYNOTE 9 - COMPLETE</v>
      </c>
      <c r="U395" s="23">
        <f>IFERROR(__xludf.DUMMYFUNCTION("""COMPUTED_VALUE"""),43956.0)</f>
        <v>43956</v>
      </c>
      <c r="V395" s="44">
        <f>IFERROR(__xludf.DUMMYFUNCTION("""COMPUTED_VALUE"""),0.8333333333333334)</f>
        <v>0.8333333333</v>
      </c>
      <c r="W395" s="4" t="str">
        <f>IFERROR(__xludf.DUMMYFUNCTION("""COMPUTED_VALUE"""),"COMPLETE")</f>
        <v>COMPLETE</v>
      </c>
      <c r="X395" s="4" t="str">
        <f>IFERROR(__xludf.DUMMYFUNCTION("""COMPUTED_VALUE"""),"Brian")</f>
        <v>Brian</v>
      </c>
      <c r="Y395" s="4" t="str">
        <f>IFERROR(__xludf.DUMMYFUNCTION("""COMPUTED_VALUE"""),"")</f>
        <v/>
      </c>
    </row>
    <row r="396">
      <c r="A396" s="4" t="str">
        <f>IFERROR(__xludf.DUMMYFUNCTION("""COMPUTED_VALUE"""),"491 - Channel")</f>
        <v>491 - Channel</v>
      </c>
      <c r="B396" s="4" t="str">
        <f>IFERROR(__xludf.DUMMYFUNCTION("""COMPUTED_VALUE"""),"Channel 2")</f>
        <v>Channel 2</v>
      </c>
      <c r="C396" s="4" t="str">
        <f>IFERROR(__xludf.DUMMYFUNCTION("""COMPUTED_VALUE"""),"Day 1 - 23/06")</f>
        <v>Day 1 - 23/06</v>
      </c>
      <c r="D396" s="6">
        <f>IFERROR(__xludf.DUMMYFUNCTION("""COMPUTED_VALUE"""),0.45906250000000004)</f>
        <v>0.4590625</v>
      </c>
      <c r="E396" s="6">
        <f>IFERROR(__xludf.DUMMYFUNCTION("""COMPUTED_VALUE"""),1.7361111111111112E-4)</f>
        <v>0.0001736111111</v>
      </c>
      <c r="F396" s="6">
        <f>IFERROR(__xludf.DUMMYFUNCTION("""COMPUTED_VALUE"""),0.4592361111111112)</f>
        <v>0.4592361111</v>
      </c>
      <c r="G396" s="4" t="str">
        <f>IFERROR(__xludf.DUMMYFUNCTION("""COMPUTED_VALUE"""),"Graphics")</f>
        <v>Graphics</v>
      </c>
      <c r="H396" s="4" t="str">
        <f>IFERROR(__xludf.DUMMYFUNCTION("""COMPUTED_VALUE"""),"")</f>
        <v/>
      </c>
      <c r="I396" s="4" t="str">
        <f>IFERROR(__xludf.DUMMYFUNCTION("""COMPUTED_VALUE"""),"")</f>
        <v/>
      </c>
      <c r="J396" s="4" t="str">
        <f>IFERROR(__xludf.DUMMYFUNCTION("""COMPUTED_VALUE"""),"AI")</f>
        <v>AI</v>
      </c>
      <c r="K396" s="4" t="str">
        <f>IFERROR(__xludf.DUMMYFUNCTION("""COMPUTED_VALUE"""),"Talk Outro")</f>
        <v>Talk Outro</v>
      </c>
      <c r="L396" s="4" t="str">
        <f>IFERROR(__xludf.DUMMYFUNCTION("""COMPUTED_VALUE"""),"")</f>
        <v/>
      </c>
      <c r="M396" s="4" t="str">
        <f>IFERROR(__xludf.DUMMYFUNCTION("""COMPUTED_VALUE"""),"Talk Outro")</f>
        <v>Talk Outro</v>
      </c>
      <c r="N396" s="4" t="str">
        <f>IFERROR(__xludf.DUMMYFUNCTION("""COMPUTED_VALUE"""),"")</f>
        <v/>
      </c>
      <c r="O396" s="4" t="str">
        <f>IFERROR(__xludf.DUMMYFUNCTION("""COMPUTED_VALUE"""),"")</f>
        <v/>
      </c>
      <c r="P396" s="4" t="str">
        <f>IFERROR(__xludf.DUMMYFUNCTION("""COMPUTED_VALUE"""),"")</f>
        <v/>
      </c>
      <c r="Q396" s="4" t="str">
        <f>IFERROR(__xludf.DUMMYFUNCTION("""COMPUTED_VALUE"""),"")</f>
        <v/>
      </c>
      <c r="R396" s="4" t="str">
        <f>IFERROR(__xludf.DUMMYFUNCTION("""COMPUTED_VALUE"""),"")</f>
        <v/>
      </c>
      <c r="S396" s="4" t="str">
        <f>IFERROR(__xludf.DUMMYFUNCTION("""COMPUTED_VALUE"""),"")</f>
        <v/>
      </c>
      <c r="T396" s="4" t="str">
        <f>IFERROR(__xludf.DUMMYFUNCTION("""COMPUTED_VALUE"""),"")</f>
        <v/>
      </c>
      <c r="U396" s="4" t="str">
        <f>IFERROR(__xludf.DUMMYFUNCTION("""COMPUTED_VALUE"""),"")</f>
        <v/>
      </c>
      <c r="V396" s="4" t="str">
        <f>IFERROR(__xludf.DUMMYFUNCTION("""COMPUTED_VALUE"""),"")</f>
        <v/>
      </c>
      <c r="W396" s="4" t="str">
        <f>IFERROR(__xludf.DUMMYFUNCTION("""COMPUTED_VALUE"""),"")</f>
        <v/>
      </c>
      <c r="X396" s="4" t="str">
        <f>IFERROR(__xludf.DUMMYFUNCTION("""COMPUTED_VALUE"""),"")</f>
        <v/>
      </c>
      <c r="Y396" s="4" t="str">
        <f>IFERROR(__xludf.DUMMYFUNCTION("""COMPUTED_VALUE"""),"")</f>
        <v/>
      </c>
    </row>
    <row r="397">
      <c r="A397" s="4" t="str">
        <f>IFERROR(__xludf.DUMMYFUNCTION("""COMPUTED_VALUE"""),"1451 - Channel")</f>
        <v>1451 - Channel</v>
      </c>
      <c r="B397" s="4" t="str">
        <f>IFERROR(__xludf.DUMMYFUNCTION("""COMPUTED_VALUE"""),"Channel 2")</f>
        <v>Channel 2</v>
      </c>
      <c r="C397" s="4" t="str">
        <f>IFERROR(__xludf.DUMMYFUNCTION("""COMPUTED_VALUE"""),"Day 1 - 23/06")</f>
        <v>Day 1 - 23/06</v>
      </c>
      <c r="D397" s="4" t="str">
        <f>IFERROR(__xludf.DUMMYFUNCTION("""COMPUTED_VALUE"""),"")</f>
        <v/>
      </c>
      <c r="E397" s="4" t="str">
        <f>IFERROR(__xludf.DUMMYFUNCTION("""COMPUTED_VALUE"""),"")</f>
        <v/>
      </c>
      <c r="F397" s="4" t="str">
        <f>IFERROR(__xludf.DUMMYFUNCTION("""COMPUTED_VALUE"""),"")</f>
        <v/>
      </c>
      <c r="G397" s="4" t="str">
        <f>IFERROR(__xludf.DUMMYFUNCTION("""COMPUTED_VALUE"""),"")</f>
        <v/>
      </c>
      <c r="H397" s="4" t="str">
        <f>IFERROR(__xludf.DUMMYFUNCTION("""COMPUTED_VALUE"""),"")</f>
        <v/>
      </c>
      <c r="I397" s="4" t="str">
        <f>IFERROR(__xludf.DUMMYFUNCTION("""COMPUTED_VALUE"""),"")</f>
        <v/>
      </c>
      <c r="J397" s="4" t="str">
        <f>IFERROR(__xludf.DUMMYFUNCTION("""COMPUTED_VALUE"""),"")</f>
        <v/>
      </c>
      <c r="K397" s="4" t="str">
        <f>IFERROR(__xludf.DUMMYFUNCTION("""COMPUTED_VALUE"""),"")</f>
        <v/>
      </c>
      <c r="L397" s="4" t="str">
        <f>IFERROR(__xludf.DUMMYFUNCTION("""COMPUTED_VALUE"""),"")</f>
        <v/>
      </c>
      <c r="M397" s="4" t="str">
        <f>IFERROR(__xludf.DUMMYFUNCTION("""COMPUTED_VALUE"""),"")</f>
        <v/>
      </c>
      <c r="N397" s="4" t="str">
        <f>IFERROR(__xludf.DUMMYFUNCTION("""COMPUTED_VALUE"""),"")</f>
        <v/>
      </c>
      <c r="O397" s="4" t="str">
        <f>IFERROR(__xludf.DUMMYFUNCTION("""COMPUTED_VALUE"""),"")</f>
        <v/>
      </c>
      <c r="P397" s="4" t="str">
        <f>IFERROR(__xludf.DUMMYFUNCTION("""COMPUTED_VALUE"""),"")</f>
        <v/>
      </c>
      <c r="Q397" s="4" t="str">
        <f>IFERROR(__xludf.DUMMYFUNCTION("""COMPUTED_VALUE"""),"")</f>
        <v/>
      </c>
      <c r="R397" s="4" t="str">
        <f>IFERROR(__xludf.DUMMYFUNCTION("""COMPUTED_VALUE"""),"")</f>
        <v/>
      </c>
      <c r="S397" s="4" t="str">
        <f>IFERROR(__xludf.DUMMYFUNCTION("""COMPUTED_VALUE"""),"")</f>
        <v/>
      </c>
      <c r="T397" s="4" t="str">
        <f>IFERROR(__xludf.DUMMYFUNCTION("""COMPUTED_VALUE"""),"")</f>
        <v/>
      </c>
      <c r="U397" s="4" t="str">
        <f>IFERROR(__xludf.DUMMYFUNCTION("""COMPUTED_VALUE"""),"")</f>
        <v/>
      </c>
      <c r="V397" s="4" t="str">
        <f>IFERROR(__xludf.DUMMYFUNCTION("""COMPUTED_VALUE"""),"")</f>
        <v/>
      </c>
      <c r="W397" s="4" t="str">
        <f>IFERROR(__xludf.DUMMYFUNCTION("""COMPUTED_VALUE"""),"")</f>
        <v/>
      </c>
      <c r="X397" s="4" t="str">
        <f>IFERROR(__xludf.DUMMYFUNCTION("""COMPUTED_VALUE"""),"")</f>
        <v/>
      </c>
      <c r="Y397" s="4" t="str">
        <f>IFERROR(__xludf.DUMMYFUNCTION("""COMPUTED_VALUE"""),"")</f>
        <v/>
      </c>
    </row>
    <row r="398">
      <c r="A398" s="4" t="str">
        <f>IFERROR(__xludf.DUMMYFUNCTION("""COMPUTED_VALUE"""),"407 - Channel")</f>
        <v>407 - Channel</v>
      </c>
      <c r="B398" s="4" t="str">
        <f>IFERROR(__xludf.DUMMYFUNCTION("""COMPUTED_VALUE"""),"Channel 2")</f>
        <v>Channel 2</v>
      </c>
      <c r="C398" s="4" t="str">
        <f>IFERROR(__xludf.DUMMYFUNCTION("""COMPUTED_VALUE"""),"Day 1 - 23/06")</f>
        <v>Day 1 - 23/06</v>
      </c>
      <c r="D398" s="6">
        <f>IFERROR(__xludf.DUMMYFUNCTION("""COMPUTED_VALUE"""),0.4592361111111112)</f>
        <v>0.4592361111</v>
      </c>
      <c r="E398" s="6">
        <f>IFERROR(__xludf.DUMMYFUNCTION("""COMPUTED_VALUE"""),3.4722222222222224E-4)</f>
        <v>0.0003472222222</v>
      </c>
      <c r="F398" s="6">
        <f>IFERROR(__xludf.DUMMYFUNCTION("""COMPUTED_VALUE"""),0.4595833333333334)</f>
        <v>0.4595833333</v>
      </c>
      <c r="G398" s="4" t="str">
        <f>IFERROR(__xludf.DUMMYFUNCTION("""COMPUTED_VALUE"""),"Graphics")</f>
        <v>Graphics</v>
      </c>
      <c r="H398" s="4" t="str">
        <f>IFERROR(__xludf.DUMMYFUNCTION("""COMPUTED_VALUE"""),"N/A")</f>
        <v>N/A</v>
      </c>
      <c r="I398" s="4" t="str">
        <f>IFERROR(__xludf.DUMMYFUNCTION("""COMPUTED_VALUE"""),"")</f>
        <v/>
      </c>
      <c r="J398" s="4" t="str">
        <f>IFERROR(__xludf.DUMMYFUNCTION("""COMPUTED_VALUE"""),"Media")</f>
        <v>Media</v>
      </c>
      <c r="K398" s="4" t="str">
        <f>IFERROR(__xludf.DUMMYFUNCTION("""COMPUTED_VALUE"""),"Talk Intro")</f>
        <v>Talk Intro</v>
      </c>
      <c r="L398" s="4" t="str">
        <f>IFERROR(__xludf.DUMMYFUNCTION("""COMPUTED_VALUE"""),"")</f>
        <v/>
      </c>
      <c r="M398" s="4" t="str">
        <f>IFERROR(__xludf.DUMMYFUNCTION("""COMPUTED_VALUE"""),"Talk Intro")</f>
        <v>Talk Intro</v>
      </c>
      <c r="N398" s="4" t="str">
        <f>IFERROR(__xludf.DUMMYFUNCTION("""COMPUTED_VALUE"""),"")</f>
        <v/>
      </c>
      <c r="O398" s="4" t="str">
        <f>IFERROR(__xludf.DUMMYFUNCTION("""COMPUTED_VALUE"""),"")</f>
        <v/>
      </c>
      <c r="P398" s="4" t="str">
        <f>IFERROR(__xludf.DUMMYFUNCTION("""COMPUTED_VALUE"""),"")</f>
        <v/>
      </c>
      <c r="Q398" s="4" t="str">
        <f>IFERROR(__xludf.DUMMYFUNCTION("""COMPUTED_VALUE"""),"")</f>
        <v/>
      </c>
      <c r="R398" s="4" t="str">
        <f>IFERROR(__xludf.DUMMYFUNCTION("""COMPUTED_VALUE"""),"")</f>
        <v/>
      </c>
      <c r="S398" s="4" t="str">
        <f>IFERROR(__xludf.DUMMYFUNCTION("""COMPUTED_VALUE"""),"")</f>
        <v/>
      </c>
      <c r="T398" s="4" t="str">
        <f>IFERROR(__xludf.DUMMYFUNCTION("""COMPUTED_VALUE"""),"")</f>
        <v/>
      </c>
      <c r="U398" s="4" t="str">
        <f>IFERROR(__xludf.DUMMYFUNCTION("""COMPUTED_VALUE"""),"")</f>
        <v/>
      </c>
      <c r="V398" s="4" t="str">
        <f>IFERROR(__xludf.DUMMYFUNCTION("""COMPUTED_VALUE"""),"")</f>
        <v/>
      </c>
      <c r="W398" s="4" t="str">
        <f>IFERROR(__xludf.DUMMYFUNCTION("""COMPUTED_VALUE"""),"")</f>
        <v/>
      </c>
      <c r="X398" s="4" t="str">
        <f>IFERROR(__xludf.DUMMYFUNCTION("""COMPUTED_VALUE"""),"")</f>
        <v/>
      </c>
      <c r="Y398" s="4" t="str">
        <f>IFERROR(__xludf.DUMMYFUNCTION("""COMPUTED_VALUE"""),"")</f>
        <v/>
      </c>
    </row>
    <row r="399">
      <c r="A399" s="4" t="str">
        <f>IFERROR(__xludf.DUMMYFUNCTION("""COMPUTED_VALUE"""),"408 - Channel")</f>
        <v>408 - Channel</v>
      </c>
      <c r="B399" s="4" t="str">
        <f>IFERROR(__xludf.DUMMYFUNCTION("""COMPUTED_VALUE"""),"Channel 2")</f>
        <v>Channel 2</v>
      </c>
      <c r="C399" s="4" t="str">
        <f>IFERROR(__xludf.DUMMYFUNCTION("""COMPUTED_VALUE"""),"Day 1 - 23/06")</f>
        <v>Day 1 - 23/06</v>
      </c>
      <c r="D399" s="6">
        <f>IFERROR(__xludf.DUMMYFUNCTION("""COMPUTED_VALUE"""),0.4595833333333334)</f>
        <v>0.4595833333</v>
      </c>
      <c r="E399" s="6">
        <f>IFERROR(__xludf.DUMMYFUNCTION("""COMPUTED_VALUE"""),0.010613425925925925)</f>
        <v>0.01061342593</v>
      </c>
      <c r="F399" s="6">
        <f>IFERROR(__xludf.DUMMYFUNCTION("""COMPUTED_VALUE"""),0.4701967592592593)</f>
        <v>0.4701967593</v>
      </c>
      <c r="G399" s="4" t="str">
        <f>IFERROR(__xludf.DUMMYFUNCTION("""COMPUTED_VALUE"""),"Colm")</f>
        <v>Colm</v>
      </c>
      <c r="H399" s="4" t="str">
        <f>IFERROR(__xludf.DUMMYFUNCTION("""COMPUTED_VALUE"""),"Lisa")</f>
        <v>Lisa</v>
      </c>
      <c r="I399" s="4" t="str">
        <f>IFERROR(__xludf.DUMMYFUNCTION("""COMPUTED_VALUE"""),"Lucia H.")</f>
        <v>Lucia H.</v>
      </c>
      <c r="J399" s="4" t="str">
        <f>IFERROR(__xludf.DUMMYFUNCTION("""COMPUTED_VALUE"""),"Media")</f>
        <v>Media</v>
      </c>
      <c r="K399" s="4" t="str">
        <f>IFERROR(__xludf.DUMMYFUNCTION("""COMPUTED_VALUE"""),"Super Fireside")</f>
        <v>Super Fireside</v>
      </c>
      <c r="L399" s="4" t="str">
        <f>IFERROR(__xludf.DUMMYFUNCTION("""COMPUTED_VALUE"""),"T- 6 - 11/05/2020")</f>
        <v>T- 6 - 11/05/2020</v>
      </c>
      <c r="M399" s="4" t="str">
        <f>IFERROR(__xludf.DUMMYFUNCTION("""COMPUTED_VALUE"""),"Documentaries for change")</f>
        <v>Documentaries for change</v>
      </c>
      <c r="N399" s="4" t="str">
        <f>IFERROR(__xludf.DUMMYFUNCTION("""COMPUTED_VALUE"""),"Mariana van Zeller, National Geographic")</f>
        <v>Mariana van Zeller, National Geographic</v>
      </c>
      <c r="O399" s="4" t="str">
        <f>IFERROR(__xludf.DUMMYFUNCTION("""COMPUTED_VALUE"""),"Kathryn Everett, XTR")</f>
        <v>Kathryn Everett, XTR</v>
      </c>
      <c r="P399" s="4" t="str">
        <f>IFERROR(__xludf.DUMMYFUNCTION("""COMPUTED_VALUE"""),"")</f>
        <v/>
      </c>
      <c r="Q399" s="4" t="str">
        <f>IFERROR(__xludf.DUMMYFUNCTION("""COMPUTED_VALUE"""),"")</f>
        <v/>
      </c>
      <c r="R399" s="4" t="str">
        <f>IFERROR(__xludf.DUMMYFUNCTION("""COMPUTED_VALUE"""),"Camille Dundas, byblacks.com")</f>
        <v>Camille Dundas, byblacks.com</v>
      </c>
      <c r="S399" s="4" t="str">
        <f>IFERROR(__xludf.DUMMYFUNCTION("""COMPUTED_VALUE"""),"In this talk, hear from two speakers who have dedicated their careers to making documentaries that change our thinking, impact our society and challenge our world view. ")</f>
        <v>In this talk, hear from two speakers who have dedicated their careers to making documentaries that change our thinking, impact our society and challenge our world view. </v>
      </c>
      <c r="T399" s="4" t="str">
        <f>IFERROR(__xludf.DUMMYFUNCTION("""COMPUTED_VALUE"""),"NON-KEYNOTE 9 - COMPLETE")</f>
        <v>NON-KEYNOTE 9 - COMPLETE</v>
      </c>
      <c r="U399" s="23">
        <f>IFERROR(__xludf.DUMMYFUNCTION("""COMPUTED_VALUE"""),43964.0)</f>
        <v>43964</v>
      </c>
      <c r="V399" s="24">
        <f>IFERROR(__xludf.DUMMYFUNCTION("""COMPUTED_VALUE"""),0.7291666666666666)</f>
        <v>0.7291666667</v>
      </c>
      <c r="W399" s="4" t="str">
        <f>IFERROR(__xludf.DUMMYFUNCTION("""COMPUTED_VALUE"""),"COMPLETE")</f>
        <v>COMPLETE</v>
      </c>
      <c r="X399" s="4" t="str">
        <f>IFERROR(__xludf.DUMMYFUNCTION("""COMPUTED_VALUE"""),"Colm")</f>
        <v>Colm</v>
      </c>
      <c r="Y399" s="4" t="str">
        <f>IFERROR(__xludf.DUMMYFUNCTION("""COMPUTED_VALUE"""),"")</f>
        <v/>
      </c>
    </row>
    <row r="400">
      <c r="A400" s="4" t="str">
        <f>IFERROR(__xludf.DUMMYFUNCTION("""COMPUTED_VALUE"""),"411 - Channel")</f>
        <v>411 - Channel</v>
      </c>
      <c r="B400" s="4" t="str">
        <f>IFERROR(__xludf.DUMMYFUNCTION("""COMPUTED_VALUE"""),"Channel 2")</f>
        <v>Channel 2</v>
      </c>
      <c r="C400" s="4" t="str">
        <f>IFERROR(__xludf.DUMMYFUNCTION("""COMPUTED_VALUE"""),"Day 1 - 23/06")</f>
        <v>Day 1 - 23/06</v>
      </c>
      <c r="D400" s="6">
        <f>IFERROR(__xludf.DUMMYFUNCTION("""COMPUTED_VALUE"""),0.4701967592592593)</f>
        <v>0.4701967593</v>
      </c>
      <c r="E400" s="6">
        <f>IFERROR(__xludf.DUMMYFUNCTION("""COMPUTED_VALUE"""),3.4722222222222224E-4)</f>
        <v>0.0003472222222</v>
      </c>
      <c r="F400" s="6">
        <f>IFERROR(__xludf.DUMMYFUNCTION("""COMPUTED_VALUE"""),0.4705439814814815)</f>
        <v>0.4705439815</v>
      </c>
      <c r="G400" s="4" t="str">
        <f>IFERROR(__xludf.DUMMYFUNCTION("""COMPUTED_VALUE"""),"Graphics")</f>
        <v>Graphics</v>
      </c>
      <c r="H400" s="4" t="str">
        <f>IFERROR(__xludf.DUMMYFUNCTION("""COMPUTED_VALUE"""),"")</f>
        <v/>
      </c>
      <c r="I400" s="4" t="str">
        <f>IFERROR(__xludf.DUMMYFUNCTION("""COMPUTED_VALUE"""),"")</f>
        <v/>
      </c>
      <c r="J400" s="4" t="str">
        <f>IFERROR(__xludf.DUMMYFUNCTION("""COMPUTED_VALUE"""),"Media")</f>
        <v>Media</v>
      </c>
      <c r="K400" s="4" t="str">
        <f>IFERROR(__xludf.DUMMYFUNCTION("""COMPUTED_VALUE"""),"Talk Intro")</f>
        <v>Talk Intro</v>
      </c>
      <c r="L400" s="4" t="str">
        <f>IFERROR(__xludf.DUMMYFUNCTION("""COMPUTED_VALUE"""),"")</f>
        <v/>
      </c>
      <c r="M400" s="4" t="str">
        <f>IFERROR(__xludf.DUMMYFUNCTION("""COMPUTED_VALUE"""),"Talk Intro")</f>
        <v>Talk Intro</v>
      </c>
      <c r="N400" s="4" t="str">
        <f>IFERROR(__xludf.DUMMYFUNCTION("""COMPUTED_VALUE"""),"")</f>
        <v/>
      </c>
      <c r="O400" s="4" t="str">
        <f>IFERROR(__xludf.DUMMYFUNCTION("""COMPUTED_VALUE"""),"")</f>
        <v/>
      </c>
      <c r="P400" s="4" t="str">
        <f>IFERROR(__xludf.DUMMYFUNCTION("""COMPUTED_VALUE"""),"")</f>
        <v/>
      </c>
      <c r="Q400" s="4" t="str">
        <f>IFERROR(__xludf.DUMMYFUNCTION("""COMPUTED_VALUE"""),"")</f>
        <v/>
      </c>
      <c r="R400" s="4" t="str">
        <f>IFERROR(__xludf.DUMMYFUNCTION("""COMPUTED_VALUE"""),"")</f>
        <v/>
      </c>
      <c r="S400" s="4" t="str">
        <f>IFERROR(__xludf.DUMMYFUNCTION("""COMPUTED_VALUE"""),"")</f>
        <v/>
      </c>
      <c r="T400" s="4" t="str">
        <f>IFERROR(__xludf.DUMMYFUNCTION("""COMPUTED_VALUE"""),"")</f>
        <v/>
      </c>
      <c r="U400" s="4" t="str">
        <f>IFERROR(__xludf.DUMMYFUNCTION("""COMPUTED_VALUE"""),"")</f>
        <v/>
      </c>
      <c r="V400" s="4" t="str">
        <f>IFERROR(__xludf.DUMMYFUNCTION("""COMPUTED_VALUE"""),"")</f>
        <v/>
      </c>
      <c r="W400" s="4" t="str">
        <f>IFERROR(__xludf.DUMMYFUNCTION("""COMPUTED_VALUE"""),"")</f>
        <v/>
      </c>
      <c r="X400" s="4" t="str">
        <f>IFERROR(__xludf.DUMMYFUNCTION("""COMPUTED_VALUE"""),"")</f>
        <v/>
      </c>
      <c r="Y400" s="4" t="str">
        <f>IFERROR(__xludf.DUMMYFUNCTION("""COMPUTED_VALUE"""),"")</f>
        <v/>
      </c>
    </row>
    <row r="401">
      <c r="A401" s="4" t="str">
        <f>IFERROR(__xludf.DUMMYFUNCTION("""COMPUTED_VALUE"""),"412 - Channel")</f>
        <v>412 - Channel</v>
      </c>
      <c r="B401" s="4" t="str">
        <f>IFERROR(__xludf.DUMMYFUNCTION("""COMPUTED_VALUE"""),"Channel 2")</f>
        <v>Channel 2</v>
      </c>
      <c r="C401" s="4" t="str">
        <f>IFERROR(__xludf.DUMMYFUNCTION("""COMPUTED_VALUE"""),"Day 1 - 23/06")</f>
        <v>Day 1 - 23/06</v>
      </c>
      <c r="D401" s="6">
        <f>IFERROR(__xludf.DUMMYFUNCTION("""COMPUTED_VALUE"""),0.4705439814814815)</f>
        <v>0.4705439815</v>
      </c>
      <c r="E401" s="6">
        <f>IFERROR(__xludf.DUMMYFUNCTION("""COMPUTED_VALUE"""),0.013888888888888888)</f>
        <v>0.01388888889</v>
      </c>
      <c r="F401" s="6">
        <f>IFERROR(__xludf.DUMMYFUNCTION("""COMPUTED_VALUE"""),0.4844328703703704)</f>
        <v>0.4844328704</v>
      </c>
      <c r="G401" s="4" t="str">
        <f>IFERROR(__xludf.DUMMYFUNCTION("""COMPUTED_VALUE"""),"Colm")</f>
        <v>Colm</v>
      </c>
      <c r="H401" s="4" t="str">
        <f>IFERROR(__xludf.DUMMYFUNCTION("""COMPUTED_VALUE"""),"Lisa")</f>
        <v>Lisa</v>
      </c>
      <c r="I401" s="4" t="str">
        <f>IFERROR(__xludf.DUMMYFUNCTION("""COMPUTED_VALUE"""),"Eabha")</f>
        <v>Eabha</v>
      </c>
      <c r="J401" s="4" t="str">
        <f>IFERROR(__xludf.DUMMYFUNCTION("""COMPUTED_VALUE"""),"Media")</f>
        <v>Media</v>
      </c>
      <c r="K401" s="4" t="str">
        <f>IFERROR(__xludf.DUMMYFUNCTION("""COMPUTED_VALUE"""),"Fireside")</f>
        <v>Fireside</v>
      </c>
      <c r="L401" s="4" t="str">
        <f>IFERROR(__xludf.DUMMYFUNCTION("""COMPUTED_VALUE"""),"T- 3 - 01/06/2020")</f>
        <v>T- 3 - 01/06/2020</v>
      </c>
      <c r="M401" s="4" t="str">
        <f>IFERROR(__xludf.DUMMYFUNCTION("""COMPUTED_VALUE"""),"Spotify's battle to win hearts, minds and ears")</f>
        <v>Spotify's battle to win hearts, minds and ears</v>
      </c>
      <c r="N401" s="4" t="str">
        <f>IFERROR(__xludf.DUMMYFUNCTION("""COMPUTED_VALUE"""),"Dawn Ostroff, Spotify")</f>
        <v>Dawn Ostroff, Spotify</v>
      </c>
      <c r="O401" s="4" t="str">
        <f>IFERROR(__xludf.DUMMYFUNCTION("""COMPUTED_VALUE"""),"")</f>
        <v/>
      </c>
      <c r="P401" s="4" t="str">
        <f>IFERROR(__xludf.DUMMYFUNCTION("""COMPUTED_VALUE"""),"")</f>
        <v/>
      </c>
      <c r="Q401" s="4" t="str">
        <f>IFERROR(__xludf.DUMMYFUNCTION("""COMPUTED_VALUE"""),"")</f>
        <v/>
      </c>
      <c r="R401" s="4" t="str">
        <f>IFERROR(__xludf.DUMMYFUNCTION("""COMPUTED_VALUE"""),"Dylan Byers, NBC News")</f>
        <v>Dylan Byers, NBC News</v>
      </c>
      <c r="S401" s="4" t="str">
        <f>IFERROR(__xludf.DUMMYFUNCTION("""COMPUTED_VALUE"""),"A creative renaissance is sweeping podcasting, and the industry it has spawned has attracted content creators, marketers and distributors of all shapes and sizes. Now, the most popular global audio streaming platform is adding fuel to the rocket. In this "&amp;"fireside chat, hear from Spotify's chief content and advertising business officer, Dawn Ostroff, on why the company has entered the podcast market, what its teams are planning for the audio industry, and why they believe your ears are as important – and l"&amp;"ucrative – as your eyes.")</f>
        <v>A creative renaissance is sweeping podcasting, and the industry it has spawned has attracted content creators, marketers and distributors of all shapes and sizes. Now, the most popular global audio streaming platform is adding fuel to the rocket. In this fireside chat, hear from Spotify's chief content and advertising business officer, Dawn Ostroff, on why the company has entered the podcast market, what its teams are planning for the audio industry, and why they believe your ears are as important – and lucrative – as your eyes.</v>
      </c>
      <c r="T401" s="4" t="str">
        <f>IFERROR(__xludf.DUMMYFUNCTION("""COMPUTED_VALUE"""),"NON-KEYNOTE 9 - COMPLETE")</f>
        <v>NON-KEYNOTE 9 - COMPLETE</v>
      </c>
      <c r="U401" s="23">
        <f>IFERROR(__xludf.DUMMYFUNCTION("""COMPUTED_VALUE"""),43987.0)</f>
        <v>43987</v>
      </c>
      <c r="V401" s="24">
        <f>IFERROR(__xludf.DUMMYFUNCTION("""COMPUTED_VALUE"""),0.875)</f>
        <v>0.875</v>
      </c>
      <c r="W401" s="4" t="str">
        <f>IFERROR(__xludf.DUMMYFUNCTION("""COMPUTED_VALUE"""),"COMPLETE")</f>
        <v>COMPLETE</v>
      </c>
      <c r="X401" s="4" t="str">
        <f>IFERROR(__xludf.DUMMYFUNCTION("""COMPUTED_VALUE"""),"Colm")</f>
        <v>Colm</v>
      </c>
      <c r="Y401" s="4" t="str">
        <f>IFERROR(__xludf.DUMMYFUNCTION("""COMPUTED_VALUE"""),"")</f>
        <v/>
      </c>
    </row>
    <row r="402">
      <c r="A402" s="4" t="str">
        <f>IFERROR(__xludf.DUMMYFUNCTION("""COMPUTED_VALUE"""),"1452 - Channel")</f>
        <v>1452 - Channel</v>
      </c>
      <c r="B402" s="4" t="str">
        <f>IFERROR(__xludf.DUMMYFUNCTION("""COMPUTED_VALUE"""),"Channel 2")</f>
        <v>Channel 2</v>
      </c>
      <c r="C402" s="4" t="str">
        <f>IFERROR(__xludf.DUMMYFUNCTION("""COMPUTED_VALUE"""),"Day 1 - 23/06")</f>
        <v>Day 1 - 23/06</v>
      </c>
      <c r="D402" s="6">
        <f>IFERROR(__xludf.DUMMYFUNCTION("""COMPUTED_VALUE"""),0.4844328703703704)</f>
        <v>0.4844328704</v>
      </c>
      <c r="E402" s="6">
        <f>IFERROR(__xludf.DUMMYFUNCTION("""COMPUTED_VALUE"""),3.4722222222222224E-4)</f>
        <v>0.0003472222222</v>
      </c>
      <c r="F402" s="6">
        <f>IFERROR(__xludf.DUMMYFUNCTION("""COMPUTED_VALUE"""),0.48478009259259264)</f>
        <v>0.4847800926</v>
      </c>
      <c r="G402" s="4" t="str">
        <f>IFERROR(__xludf.DUMMYFUNCTION("""COMPUTED_VALUE"""),"Graphics")</f>
        <v>Graphics</v>
      </c>
      <c r="H402" s="4" t="str">
        <f>IFERROR(__xludf.DUMMYFUNCTION("""COMPUTED_VALUE"""),"")</f>
        <v/>
      </c>
      <c r="I402" s="4" t="str">
        <f>IFERROR(__xludf.DUMMYFUNCTION("""COMPUTED_VALUE"""),"")</f>
        <v/>
      </c>
      <c r="J402" s="4" t="str">
        <f>IFERROR(__xludf.DUMMYFUNCTION("""COMPUTED_VALUE"""),"Media")</f>
        <v>Media</v>
      </c>
      <c r="K402" s="4" t="str">
        <f>IFERROR(__xludf.DUMMYFUNCTION("""COMPUTED_VALUE"""),"Web Summit Trailer - short")</f>
        <v>Web Summit Trailer - short</v>
      </c>
      <c r="L402" s="4" t="str">
        <f>IFERROR(__xludf.DUMMYFUNCTION("""COMPUTED_VALUE"""),"")</f>
        <v/>
      </c>
      <c r="M402" s="4" t="str">
        <f>IFERROR(__xludf.DUMMYFUNCTION("""COMPUTED_VALUE"""),"Web Summit Trailer - short")</f>
        <v>Web Summit Trailer - short</v>
      </c>
      <c r="N402" s="4" t="str">
        <f>IFERROR(__xludf.DUMMYFUNCTION("""COMPUTED_VALUE"""),"")</f>
        <v/>
      </c>
      <c r="O402" s="4" t="str">
        <f>IFERROR(__xludf.DUMMYFUNCTION("""COMPUTED_VALUE"""),"")</f>
        <v/>
      </c>
      <c r="P402" s="4" t="str">
        <f>IFERROR(__xludf.DUMMYFUNCTION("""COMPUTED_VALUE"""),"")</f>
        <v/>
      </c>
      <c r="Q402" s="4" t="str">
        <f>IFERROR(__xludf.DUMMYFUNCTION("""COMPUTED_VALUE"""),"")</f>
        <v/>
      </c>
      <c r="R402" s="4" t="str">
        <f>IFERROR(__xludf.DUMMYFUNCTION("""COMPUTED_VALUE"""),"")</f>
        <v/>
      </c>
      <c r="S402" s="4" t="str">
        <f>IFERROR(__xludf.DUMMYFUNCTION("""COMPUTED_VALUE"""),"")</f>
        <v/>
      </c>
      <c r="T402" s="4" t="str">
        <f>IFERROR(__xludf.DUMMYFUNCTION("""COMPUTED_VALUE"""),"")</f>
        <v/>
      </c>
      <c r="U402" s="4" t="str">
        <f>IFERROR(__xludf.DUMMYFUNCTION("""COMPUTED_VALUE"""),"")</f>
        <v/>
      </c>
      <c r="V402" s="4" t="str">
        <f>IFERROR(__xludf.DUMMYFUNCTION("""COMPUTED_VALUE"""),"")</f>
        <v/>
      </c>
      <c r="W402" s="4" t="str">
        <f>IFERROR(__xludf.DUMMYFUNCTION("""COMPUTED_VALUE"""),"")</f>
        <v/>
      </c>
      <c r="X402" s="4" t="str">
        <f>IFERROR(__xludf.DUMMYFUNCTION("""COMPUTED_VALUE"""),"")</f>
        <v/>
      </c>
      <c r="Y402" s="4" t="str">
        <f>IFERROR(__xludf.DUMMYFUNCTION("""COMPUTED_VALUE"""),"")</f>
        <v/>
      </c>
    </row>
    <row r="403">
      <c r="A403" s="4" t="str">
        <f>IFERROR(__xludf.DUMMYFUNCTION("""COMPUTED_VALUE"""),"416 - Channel")</f>
        <v>416 - Channel</v>
      </c>
      <c r="B403" s="4" t="str">
        <f>IFERROR(__xludf.DUMMYFUNCTION("""COMPUTED_VALUE"""),"Channel 2")</f>
        <v>Channel 2</v>
      </c>
      <c r="C403" s="4" t="str">
        <f>IFERROR(__xludf.DUMMYFUNCTION("""COMPUTED_VALUE"""),"Day 1 - 23/06")</f>
        <v>Day 1 - 23/06</v>
      </c>
      <c r="D403" s="6">
        <f>IFERROR(__xludf.DUMMYFUNCTION("""COMPUTED_VALUE"""),0.48478009259259264)</f>
        <v>0.4847800926</v>
      </c>
      <c r="E403" s="6">
        <f>IFERROR(__xludf.DUMMYFUNCTION("""COMPUTED_VALUE"""),3.4722222222222224E-4)</f>
        <v>0.0003472222222</v>
      </c>
      <c r="F403" s="6">
        <f>IFERROR(__xludf.DUMMYFUNCTION("""COMPUTED_VALUE"""),0.48512731481481486)</f>
        <v>0.4851273148</v>
      </c>
      <c r="G403" s="4" t="str">
        <f>IFERROR(__xludf.DUMMYFUNCTION("""COMPUTED_VALUE"""),"Graphics")</f>
        <v>Graphics</v>
      </c>
      <c r="H403" s="4" t="str">
        <f>IFERROR(__xludf.DUMMYFUNCTION("""COMPUTED_VALUE"""),"")</f>
        <v/>
      </c>
      <c r="I403" s="4" t="str">
        <f>IFERROR(__xludf.DUMMYFUNCTION("""COMPUTED_VALUE"""),"")</f>
        <v/>
      </c>
      <c r="J403" s="4" t="str">
        <f>IFERROR(__xludf.DUMMYFUNCTION("""COMPUTED_VALUE"""),"Media")</f>
        <v>Media</v>
      </c>
      <c r="K403" s="4" t="str">
        <f>IFERROR(__xludf.DUMMYFUNCTION("""COMPUTED_VALUE"""),"Talk Intro")</f>
        <v>Talk Intro</v>
      </c>
      <c r="L403" s="4" t="str">
        <f>IFERROR(__xludf.DUMMYFUNCTION("""COMPUTED_VALUE"""),"")</f>
        <v/>
      </c>
      <c r="M403" s="4" t="str">
        <f>IFERROR(__xludf.DUMMYFUNCTION("""COMPUTED_VALUE"""),"Talk Intro")</f>
        <v>Talk Intro</v>
      </c>
      <c r="N403" s="4" t="str">
        <f>IFERROR(__xludf.DUMMYFUNCTION("""COMPUTED_VALUE"""),"")</f>
        <v/>
      </c>
      <c r="O403" s="4" t="str">
        <f>IFERROR(__xludf.DUMMYFUNCTION("""COMPUTED_VALUE"""),"")</f>
        <v/>
      </c>
      <c r="P403" s="4" t="str">
        <f>IFERROR(__xludf.DUMMYFUNCTION("""COMPUTED_VALUE"""),"")</f>
        <v/>
      </c>
      <c r="Q403" s="4" t="str">
        <f>IFERROR(__xludf.DUMMYFUNCTION("""COMPUTED_VALUE"""),"")</f>
        <v/>
      </c>
      <c r="R403" s="4" t="str">
        <f>IFERROR(__xludf.DUMMYFUNCTION("""COMPUTED_VALUE"""),"")</f>
        <v/>
      </c>
      <c r="S403" s="4" t="str">
        <f>IFERROR(__xludf.DUMMYFUNCTION("""COMPUTED_VALUE"""),"")</f>
        <v/>
      </c>
      <c r="T403" s="4" t="str">
        <f>IFERROR(__xludf.DUMMYFUNCTION("""COMPUTED_VALUE"""),"")</f>
        <v/>
      </c>
      <c r="U403" s="4" t="str">
        <f>IFERROR(__xludf.DUMMYFUNCTION("""COMPUTED_VALUE"""),"")</f>
        <v/>
      </c>
      <c r="V403" s="4" t="str">
        <f>IFERROR(__xludf.DUMMYFUNCTION("""COMPUTED_VALUE"""),"")</f>
        <v/>
      </c>
      <c r="W403" s="4" t="str">
        <f>IFERROR(__xludf.DUMMYFUNCTION("""COMPUTED_VALUE"""),"")</f>
        <v/>
      </c>
      <c r="X403" s="4" t="str">
        <f>IFERROR(__xludf.DUMMYFUNCTION("""COMPUTED_VALUE"""),"")</f>
        <v/>
      </c>
      <c r="Y403" s="4" t="str">
        <f>IFERROR(__xludf.DUMMYFUNCTION("""COMPUTED_VALUE"""),"")</f>
        <v/>
      </c>
    </row>
    <row r="404">
      <c r="A404" s="4" t="str">
        <f>IFERROR(__xludf.DUMMYFUNCTION("""COMPUTED_VALUE"""),"417 - Channel")</f>
        <v>417 - Channel</v>
      </c>
      <c r="B404" s="4" t="str">
        <f>IFERROR(__xludf.DUMMYFUNCTION("""COMPUTED_VALUE"""),"Channel 2")</f>
        <v>Channel 2</v>
      </c>
      <c r="C404" s="4" t="str">
        <f>IFERROR(__xludf.DUMMYFUNCTION("""COMPUTED_VALUE"""),"Day 1 - 23/06")</f>
        <v>Day 1 - 23/06</v>
      </c>
      <c r="D404" s="6">
        <f>IFERROR(__xludf.DUMMYFUNCTION("""COMPUTED_VALUE"""),0.48512731481481486)</f>
        <v>0.4851273148</v>
      </c>
      <c r="E404" s="6">
        <f>IFERROR(__xludf.DUMMYFUNCTION("""COMPUTED_VALUE"""),0.007476851851851852)</f>
        <v>0.007476851852</v>
      </c>
      <c r="F404" s="6">
        <f>IFERROR(__xludf.DUMMYFUNCTION("""COMPUTED_VALUE"""),0.49260416666666673)</f>
        <v>0.4926041667</v>
      </c>
      <c r="G404" s="4" t="str">
        <f>IFERROR(__xludf.DUMMYFUNCTION("""COMPUTED_VALUE"""),"Lucia G.")</f>
        <v>Lucia G.</v>
      </c>
      <c r="H404" s="4" t="str">
        <f>IFERROR(__xludf.DUMMYFUNCTION("""COMPUTED_VALUE"""),"Lisa")</f>
        <v>Lisa</v>
      </c>
      <c r="I404" s="4" t="str">
        <f>IFERROR(__xludf.DUMMYFUNCTION("""COMPUTED_VALUE"""),"Geoff")</f>
        <v>Geoff</v>
      </c>
      <c r="J404" s="4" t="str">
        <f>IFERROR(__xludf.DUMMYFUNCTION("""COMPUTED_VALUE"""),"Media")</f>
        <v>Media</v>
      </c>
      <c r="K404" s="4" t="str">
        <f>IFERROR(__xludf.DUMMYFUNCTION("""COMPUTED_VALUE"""),"Keynote")</f>
        <v>Keynote</v>
      </c>
      <c r="L404" s="4" t="str">
        <f>IFERROR(__xludf.DUMMYFUNCTION("""COMPUTED_VALUE"""),"T- 5 - 18/05/2020")</f>
        <v>T- 5 - 18/05/2020</v>
      </c>
      <c r="M404" s="4" t="str">
        <f>IFERROR(__xludf.DUMMYFUNCTION("""COMPUTED_VALUE"""),"Building a new (design) culture ")</f>
        <v>Building a new (design) culture </v>
      </c>
      <c r="N404" s="4" t="str">
        <f>IFERROR(__xludf.DUMMYFUNCTION("""COMPUTED_VALUE"""),"Mauro Porcini, PepsiCo")</f>
        <v>Mauro Porcini, PepsiCo</v>
      </c>
      <c r="O404" s="4" t="str">
        <f>IFERROR(__xludf.DUMMYFUNCTION("""COMPUTED_VALUE"""),"")</f>
        <v/>
      </c>
      <c r="P404" s="4" t="str">
        <f>IFERROR(__xludf.DUMMYFUNCTION("""COMPUTED_VALUE"""),"")</f>
        <v/>
      </c>
      <c r="Q404" s="4" t="str">
        <f>IFERROR(__xludf.DUMMYFUNCTION("""COMPUTED_VALUE"""),"")</f>
        <v/>
      </c>
      <c r="R404" s="4" t="str">
        <f>IFERROR(__xludf.DUMMYFUNCTION("""COMPUTED_VALUE"""),"")</f>
        <v/>
      </c>
      <c r="S404" s="4" t="str">
        <f>IFERROR(__xludf.DUMMYFUNCTION("""COMPUTED_VALUE"""),"PepsiCo's first chief design officer, Mauro Porcini, will share his journey developing and scaling new culture in established and successful companies such as PepsiCo and 3M. From denial to hidden rejection, from the occasional leap of faith to the quest "&amp;"for confidence, all the way to holistic awareness, he will take us – step by step – on a journey made of dreams, resilience, optimism, curiosity, business and design.")</f>
        <v>PepsiCo's first chief design officer, Mauro Porcini, will share his journey developing and scaling new culture in established and successful companies such as PepsiCo and 3M. From denial to hidden rejection, from the occasional leap of faith to the quest for confidence, all the way to holistic awareness, he will take us – step by step – on a journey made of dreams, resilience, optimism, curiosity, business and design.</v>
      </c>
      <c r="T404" s="4" t="str">
        <f>IFERROR(__xludf.DUMMYFUNCTION("""COMPUTED_VALUE"""),"NON-KEYNOTE 9 - COMPLETE")</f>
        <v>NON-KEYNOTE 9 - COMPLETE</v>
      </c>
      <c r="U404" s="23">
        <f>IFERROR(__xludf.DUMMYFUNCTION("""COMPUTED_VALUE"""),43969.0)</f>
        <v>43969</v>
      </c>
      <c r="V404" s="24">
        <f>IFERROR(__xludf.DUMMYFUNCTION("""COMPUTED_VALUE"""),0.5)</f>
        <v>0.5</v>
      </c>
      <c r="W404" s="4" t="str">
        <f>IFERROR(__xludf.DUMMYFUNCTION("""COMPUTED_VALUE"""),"COMPLETE")</f>
        <v>COMPLETE</v>
      </c>
      <c r="X404" s="4" t="str">
        <f>IFERROR(__xludf.DUMMYFUNCTION("""COMPUTED_VALUE"""),"Lucia G.")</f>
        <v>Lucia G.</v>
      </c>
      <c r="Y404" s="4" t="str">
        <f>IFERROR(__xludf.DUMMYFUNCTION("""COMPUTED_VALUE"""),"")</f>
        <v/>
      </c>
    </row>
    <row r="405">
      <c r="A405" s="4" t="str">
        <f>IFERROR(__xludf.DUMMYFUNCTION("""COMPUTED_VALUE"""),"336 - Channel")</f>
        <v>336 - Channel</v>
      </c>
      <c r="B405" s="4" t="str">
        <f>IFERROR(__xludf.DUMMYFUNCTION("""COMPUTED_VALUE"""),"Channel 2")</f>
        <v>Channel 2</v>
      </c>
      <c r="C405" s="4" t="str">
        <f>IFERROR(__xludf.DUMMYFUNCTION("""COMPUTED_VALUE"""),"Day 1 - 23/06")</f>
        <v>Day 1 - 23/06</v>
      </c>
      <c r="D405" s="6">
        <f>IFERROR(__xludf.DUMMYFUNCTION("""COMPUTED_VALUE"""),0.49260416666666673)</f>
        <v>0.4926041667</v>
      </c>
      <c r="E405" s="6">
        <f>IFERROR(__xludf.DUMMYFUNCTION("""COMPUTED_VALUE"""),3.4722222222222224E-4)</f>
        <v>0.0003472222222</v>
      </c>
      <c r="F405" s="6">
        <f>IFERROR(__xludf.DUMMYFUNCTION("""COMPUTED_VALUE"""),0.49295138888888895)</f>
        <v>0.4929513889</v>
      </c>
      <c r="G405" s="4" t="str">
        <f>IFERROR(__xludf.DUMMYFUNCTION("""COMPUTED_VALUE"""),"")</f>
        <v/>
      </c>
      <c r="H405" s="4" t="str">
        <f>IFERROR(__xludf.DUMMYFUNCTION("""COMPUTED_VALUE"""),"")</f>
        <v/>
      </c>
      <c r="I405" s="4" t="str">
        <f>IFERROR(__xludf.DUMMYFUNCTION("""COMPUTED_VALUE"""),"")</f>
        <v/>
      </c>
      <c r="J405" s="4" t="str">
        <f>IFERROR(__xludf.DUMMYFUNCTION("""COMPUTED_VALUE"""),"AI")</f>
        <v>AI</v>
      </c>
      <c r="K405" s="4" t="str">
        <f>IFERROR(__xludf.DUMMYFUNCTION("""COMPUTED_VALUE"""),"Talk Intro")</f>
        <v>Talk Intro</v>
      </c>
      <c r="L405" s="4" t="str">
        <f>IFERROR(__xludf.DUMMYFUNCTION("""COMPUTED_VALUE"""),"")</f>
        <v/>
      </c>
      <c r="M405" s="4" t="str">
        <f>IFERROR(__xludf.DUMMYFUNCTION("""COMPUTED_VALUE"""),"Talk intro ")</f>
        <v>Talk intro </v>
      </c>
      <c r="N405" s="4" t="str">
        <f>IFERROR(__xludf.DUMMYFUNCTION("""COMPUTED_VALUE"""),"")</f>
        <v/>
      </c>
      <c r="O405" s="4" t="str">
        <f>IFERROR(__xludf.DUMMYFUNCTION("""COMPUTED_VALUE"""),"")</f>
        <v/>
      </c>
      <c r="P405" s="4" t="str">
        <f>IFERROR(__xludf.DUMMYFUNCTION("""COMPUTED_VALUE"""),"")</f>
        <v/>
      </c>
      <c r="Q405" s="4" t="str">
        <f>IFERROR(__xludf.DUMMYFUNCTION("""COMPUTED_VALUE"""),"")</f>
        <v/>
      </c>
      <c r="R405" s="4" t="str">
        <f>IFERROR(__xludf.DUMMYFUNCTION("""COMPUTED_VALUE"""),"")</f>
        <v/>
      </c>
      <c r="S405" s="4" t="str">
        <f>IFERROR(__xludf.DUMMYFUNCTION("""COMPUTED_VALUE"""),"")</f>
        <v/>
      </c>
      <c r="T405" s="4" t="str">
        <f>IFERROR(__xludf.DUMMYFUNCTION("""COMPUTED_VALUE"""),"")</f>
        <v/>
      </c>
      <c r="U405" s="4" t="str">
        <f>IFERROR(__xludf.DUMMYFUNCTION("""COMPUTED_VALUE"""),"")</f>
        <v/>
      </c>
      <c r="V405" s="4" t="str">
        <f>IFERROR(__xludf.DUMMYFUNCTION("""COMPUTED_VALUE"""),"")</f>
        <v/>
      </c>
      <c r="W405" s="4" t="str">
        <f>IFERROR(__xludf.DUMMYFUNCTION("""COMPUTED_VALUE"""),"")</f>
        <v/>
      </c>
      <c r="X405" s="4" t="str">
        <f>IFERROR(__xludf.DUMMYFUNCTION("""COMPUTED_VALUE"""),"")</f>
        <v/>
      </c>
      <c r="Y405" s="4" t="str">
        <f>IFERROR(__xludf.DUMMYFUNCTION("""COMPUTED_VALUE"""),"")</f>
        <v/>
      </c>
    </row>
    <row r="406">
      <c r="A406" s="4" t="str">
        <f>IFERROR(__xludf.DUMMYFUNCTION("""COMPUTED_VALUE"""),"116 - Channel")</f>
        <v>116 - Channel</v>
      </c>
      <c r="B406" s="4" t="str">
        <f>IFERROR(__xludf.DUMMYFUNCTION("""COMPUTED_VALUE"""),"Channel 2")</f>
        <v>Channel 2</v>
      </c>
      <c r="C406" s="4" t="str">
        <f>IFERROR(__xludf.DUMMYFUNCTION("""COMPUTED_VALUE"""),"Day 1 - 23/06")</f>
        <v>Day 1 - 23/06</v>
      </c>
      <c r="D406" s="6">
        <f>IFERROR(__xludf.DUMMYFUNCTION("""COMPUTED_VALUE"""),0.49295138888888895)</f>
        <v>0.4929513889</v>
      </c>
      <c r="E406" s="6">
        <f>IFERROR(__xludf.DUMMYFUNCTION("""COMPUTED_VALUE"""),0.006944444444444444)</f>
        <v>0.006944444444</v>
      </c>
      <c r="F406" s="6">
        <f>IFERROR(__xludf.DUMMYFUNCTION("""COMPUTED_VALUE"""),0.4998958333333334)</f>
        <v>0.4998958333</v>
      </c>
      <c r="G406" s="4" t="str">
        <f>IFERROR(__xludf.DUMMYFUNCTION("""COMPUTED_VALUE"""),"Laura")</f>
        <v>Laura</v>
      </c>
      <c r="H406" s="4" t="str">
        <f>IFERROR(__xludf.DUMMYFUNCTION("""COMPUTED_VALUE"""),"")</f>
        <v/>
      </c>
      <c r="I406" s="4" t="str">
        <f>IFERROR(__xludf.DUMMYFUNCTION("""COMPUTED_VALUE"""),"Hannah")</f>
        <v>Hannah</v>
      </c>
      <c r="J406" s="4" t="str">
        <f>IFERROR(__xludf.DUMMYFUNCTION("""COMPUTED_VALUE"""),"AI")</f>
        <v>AI</v>
      </c>
      <c r="K406" s="4" t="str">
        <f>IFERROR(__xludf.DUMMYFUNCTION("""COMPUTED_VALUE"""),"Keynote")</f>
        <v>Keynote</v>
      </c>
      <c r="L406" s="4" t="str">
        <f>IFERROR(__xludf.DUMMYFUNCTION("""COMPUTED_VALUE"""),"T- 6 - 11/05/2020")</f>
        <v>T- 6 - 11/05/2020</v>
      </c>
      <c r="M406" s="4" t="str">
        <f>IFERROR(__xludf.DUMMYFUNCTION("""COMPUTED_VALUE"""),"Humans and AI: How to work well together")</f>
        <v>Humans and AI: How to work well together</v>
      </c>
      <c r="N406" s="4" t="str">
        <f>IFERROR(__xludf.DUMMYFUNCTION("""COMPUTED_VALUE"""),"Karen Myers, SRI International")</f>
        <v>Karen Myers, SRI International</v>
      </c>
      <c r="O406" s="4" t="str">
        <f>IFERROR(__xludf.DUMMYFUNCTION("""COMPUTED_VALUE"""),"")</f>
        <v/>
      </c>
      <c r="P406" s="4" t="str">
        <f>IFERROR(__xludf.DUMMYFUNCTION("""COMPUTED_VALUE"""),"")</f>
        <v/>
      </c>
      <c r="Q406" s="4" t="str">
        <f>IFERROR(__xludf.DUMMYFUNCTION("""COMPUTED_VALUE"""),"")</f>
        <v/>
      </c>
      <c r="R406" s="4" t="str">
        <f>IFERROR(__xludf.DUMMYFUNCTION("""COMPUTED_VALUE"""),"")</f>
        <v/>
      </c>
      <c r="S406" s="4" t="str">
        <f>IFERROR(__xludf.DUMMYFUNCTION("""COMPUTED_VALUE"""),"AI automates a broad range of data-intensive tasks, but usually still requires significant human-AI interaction. Karen Myers, the director of SRI International’s artificial intelligence centre, will explore how we can enable more effective man-machine col"&amp;"laboration, and shares recent results from the AI research community.")</f>
        <v>AI automates a broad range of data-intensive tasks, but usually still requires significant human-AI interaction. Karen Myers, the director of SRI International’s artificial intelligence centre, will explore how we can enable more effective man-machine collaboration, and shares recent results from the AI research community.</v>
      </c>
      <c r="T406" s="4" t="str">
        <f>IFERROR(__xludf.DUMMYFUNCTION("""COMPUTED_VALUE"""),"KEYNOTE 8 - COMPLETE")</f>
        <v>KEYNOTE 8 - COMPLETE</v>
      </c>
      <c r="U406" s="23">
        <f>IFERROR(__xludf.DUMMYFUNCTION("""COMPUTED_VALUE"""),43965.0)</f>
        <v>43965</v>
      </c>
      <c r="V406" s="44">
        <f>IFERROR(__xludf.DUMMYFUNCTION("""COMPUTED_VALUE"""),0.7083333333333334)</f>
        <v>0.7083333333</v>
      </c>
      <c r="W406" s="4" t="str">
        <f>IFERROR(__xludf.DUMMYFUNCTION("""COMPUTED_VALUE"""),"COMPLETE")</f>
        <v>COMPLETE</v>
      </c>
      <c r="X406" s="4" t="str">
        <f>IFERROR(__xludf.DUMMYFUNCTION("""COMPUTED_VALUE"""),"Laura")</f>
        <v>Laura</v>
      </c>
      <c r="Y406" s="4" t="str">
        <f>IFERROR(__xludf.DUMMYFUNCTION("""COMPUTED_VALUE"""),"4646598097023684832")</f>
        <v>4646598097023684832</v>
      </c>
    </row>
    <row r="407">
      <c r="A407" s="4" t="str">
        <f>IFERROR(__xludf.DUMMYFUNCTION("""COMPUTED_VALUE"""),"338 - Channel")</f>
        <v>338 - Channel</v>
      </c>
      <c r="B407" s="4" t="str">
        <f>IFERROR(__xludf.DUMMYFUNCTION("""COMPUTED_VALUE"""),"Channel 2")</f>
        <v>Channel 2</v>
      </c>
      <c r="C407" s="4" t="str">
        <f>IFERROR(__xludf.DUMMYFUNCTION("""COMPUTED_VALUE"""),"Day 1 - 23/06")</f>
        <v>Day 1 - 23/06</v>
      </c>
      <c r="D407" s="6">
        <f>IFERROR(__xludf.DUMMYFUNCTION("""COMPUTED_VALUE"""),0.4998958333333334)</f>
        <v>0.4998958333</v>
      </c>
      <c r="E407" s="6">
        <f>IFERROR(__xludf.DUMMYFUNCTION("""COMPUTED_VALUE"""),1.7361111111111112E-4)</f>
        <v>0.0001736111111</v>
      </c>
      <c r="F407" s="6">
        <f>IFERROR(__xludf.DUMMYFUNCTION("""COMPUTED_VALUE"""),0.5000694444444445)</f>
        <v>0.5000694444</v>
      </c>
      <c r="G407" s="4" t="str">
        <f>IFERROR(__xludf.DUMMYFUNCTION("""COMPUTED_VALUE"""),"")</f>
        <v/>
      </c>
      <c r="H407" s="4" t="str">
        <f>IFERROR(__xludf.DUMMYFUNCTION("""COMPUTED_VALUE"""),"")</f>
        <v/>
      </c>
      <c r="I407" s="4" t="str">
        <f>IFERROR(__xludf.DUMMYFUNCTION("""COMPUTED_VALUE"""),"")</f>
        <v/>
      </c>
      <c r="J407" s="4" t="str">
        <f>IFERROR(__xludf.DUMMYFUNCTION("""COMPUTED_VALUE"""),"AI")</f>
        <v>AI</v>
      </c>
      <c r="K407" s="4" t="str">
        <f>IFERROR(__xludf.DUMMYFUNCTION("""COMPUTED_VALUE"""),"Talk Outro")</f>
        <v>Talk Outro</v>
      </c>
      <c r="L407" s="4" t="str">
        <f>IFERROR(__xludf.DUMMYFUNCTION("""COMPUTED_VALUE"""),"")</f>
        <v/>
      </c>
      <c r="M407" s="4" t="str">
        <f>IFERROR(__xludf.DUMMYFUNCTION("""COMPUTED_VALUE"""),"Talk outro ")</f>
        <v>Talk outro </v>
      </c>
      <c r="N407" s="4" t="str">
        <f>IFERROR(__xludf.DUMMYFUNCTION("""COMPUTED_VALUE"""),"")</f>
        <v/>
      </c>
      <c r="O407" s="4" t="str">
        <f>IFERROR(__xludf.DUMMYFUNCTION("""COMPUTED_VALUE"""),"")</f>
        <v/>
      </c>
      <c r="P407" s="4" t="str">
        <f>IFERROR(__xludf.DUMMYFUNCTION("""COMPUTED_VALUE"""),"")</f>
        <v/>
      </c>
      <c r="Q407" s="4" t="str">
        <f>IFERROR(__xludf.DUMMYFUNCTION("""COMPUTED_VALUE"""),"")</f>
        <v/>
      </c>
      <c r="R407" s="4" t="str">
        <f>IFERROR(__xludf.DUMMYFUNCTION("""COMPUTED_VALUE"""),"")</f>
        <v/>
      </c>
      <c r="S407" s="4" t="str">
        <f>IFERROR(__xludf.DUMMYFUNCTION("""COMPUTED_VALUE"""),"")</f>
        <v/>
      </c>
      <c r="T407" s="4" t="str">
        <f>IFERROR(__xludf.DUMMYFUNCTION("""COMPUTED_VALUE"""),"")</f>
        <v/>
      </c>
      <c r="U407" s="4" t="str">
        <f>IFERROR(__xludf.DUMMYFUNCTION("""COMPUTED_VALUE"""),"")</f>
        <v/>
      </c>
      <c r="V407" s="4" t="str">
        <f>IFERROR(__xludf.DUMMYFUNCTION("""COMPUTED_VALUE"""),"")</f>
        <v/>
      </c>
      <c r="W407" s="4" t="str">
        <f>IFERROR(__xludf.DUMMYFUNCTION("""COMPUTED_VALUE"""),"")</f>
        <v/>
      </c>
      <c r="X407" s="4" t="str">
        <f>IFERROR(__xludf.DUMMYFUNCTION("""COMPUTED_VALUE"""),"")</f>
        <v/>
      </c>
      <c r="Y407" s="4" t="str">
        <f>IFERROR(__xludf.DUMMYFUNCTION("""COMPUTED_VALUE"""),"")</f>
        <v/>
      </c>
    </row>
    <row r="408">
      <c r="A408" s="4" t="str">
        <f>IFERROR(__xludf.DUMMYFUNCTION("""COMPUTED_VALUE"""),"1560 - Channel")</f>
        <v>1560 - Channel</v>
      </c>
      <c r="B408" s="4" t="str">
        <f>IFERROR(__xludf.DUMMYFUNCTION("""COMPUTED_VALUE"""),"Channel 2")</f>
        <v>Channel 2</v>
      </c>
      <c r="C408" s="4" t="str">
        <f>IFERROR(__xludf.DUMMYFUNCTION("""COMPUTED_VALUE"""),"Day 1 - 23/06")</f>
        <v>Day 1 - 23/06</v>
      </c>
      <c r="D408" s="6">
        <f>IFERROR(__xludf.DUMMYFUNCTION("""COMPUTED_VALUE"""),0.5000694444444445)</f>
        <v>0.5000694444</v>
      </c>
      <c r="E408" s="6">
        <f>IFERROR(__xludf.DUMMYFUNCTION("""COMPUTED_VALUE"""),2.314814814814815E-4)</f>
        <v>0.0002314814815</v>
      </c>
      <c r="F408" s="6">
        <f>IFERROR(__xludf.DUMMYFUNCTION("""COMPUTED_VALUE"""),0.5003009259259259)</f>
        <v>0.5003009259</v>
      </c>
      <c r="G408" s="4" t="str">
        <f>IFERROR(__xludf.DUMMYFUNCTION("""COMPUTED_VALUE"""),"")</f>
        <v/>
      </c>
      <c r="H408" s="4" t="str">
        <f>IFERROR(__xludf.DUMMYFUNCTION("""COMPUTED_VALUE"""),"")</f>
        <v/>
      </c>
      <c r="I408" s="4" t="str">
        <f>IFERROR(__xludf.DUMMYFUNCTION("""COMPUTED_VALUE"""),"")</f>
        <v/>
      </c>
      <c r="J408" s="4" t="str">
        <f>IFERROR(__xludf.DUMMYFUNCTION("""COMPUTED_VALUE"""),"")</f>
        <v/>
      </c>
      <c r="K408" s="4" t="str">
        <f>IFERROR(__xludf.DUMMYFUNCTION("""COMPUTED_VALUE"""),"")</f>
        <v/>
      </c>
      <c r="L408" s="4" t="str">
        <f>IFERROR(__xludf.DUMMYFUNCTION("""COMPUTED_VALUE"""),"")</f>
        <v/>
      </c>
      <c r="M408" s="4" t="str">
        <f>IFERROR(__xludf.DUMMYFUNCTION("""COMPUTED_VALUE"""),"Time to spare in this track")</f>
        <v>Time to spare in this track</v>
      </c>
      <c r="N408" s="4" t="str">
        <f>IFERROR(__xludf.DUMMYFUNCTION("""COMPUTED_VALUE"""),"")</f>
        <v/>
      </c>
      <c r="O408" s="4" t="str">
        <f>IFERROR(__xludf.DUMMYFUNCTION("""COMPUTED_VALUE"""),"")</f>
        <v/>
      </c>
      <c r="P408" s="4" t="str">
        <f>IFERROR(__xludf.DUMMYFUNCTION("""COMPUTED_VALUE"""),"")</f>
        <v/>
      </c>
      <c r="Q408" s="4" t="str">
        <f>IFERROR(__xludf.DUMMYFUNCTION("""COMPUTED_VALUE"""),"")</f>
        <v/>
      </c>
      <c r="R408" s="4" t="str">
        <f>IFERROR(__xludf.DUMMYFUNCTION("""COMPUTED_VALUE"""),"")</f>
        <v/>
      </c>
      <c r="S408" s="4" t="str">
        <f>IFERROR(__xludf.DUMMYFUNCTION("""COMPUTED_VALUE"""),"")</f>
        <v/>
      </c>
      <c r="T408" s="4" t="str">
        <f>IFERROR(__xludf.DUMMYFUNCTION("""COMPUTED_VALUE"""),"")</f>
        <v/>
      </c>
      <c r="U408" s="4" t="str">
        <f>IFERROR(__xludf.DUMMYFUNCTION("""COMPUTED_VALUE"""),"")</f>
        <v/>
      </c>
      <c r="V408" s="4" t="str">
        <f>IFERROR(__xludf.DUMMYFUNCTION("""COMPUTED_VALUE"""),"")</f>
        <v/>
      </c>
      <c r="W408" s="4" t="str">
        <f>IFERROR(__xludf.DUMMYFUNCTION("""COMPUTED_VALUE"""),"")</f>
        <v/>
      </c>
      <c r="X408" s="4" t="str">
        <f>IFERROR(__xludf.DUMMYFUNCTION("""COMPUTED_VALUE"""),"")</f>
        <v/>
      </c>
      <c r="Y408" s="4" t="str">
        <f>IFERROR(__xludf.DUMMYFUNCTION("""COMPUTED_VALUE"""),"")</f>
        <v/>
      </c>
    </row>
    <row r="409">
      <c r="A409" s="4" t="str">
        <f>IFERROR(__xludf.DUMMYFUNCTION("""COMPUTED_VALUE"""),"1339 - Channel")</f>
        <v>1339 - Channel</v>
      </c>
      <c r="B409" s="4" t="str">
        <f>IFERROR(__xludf.DUMMYFUNCTION("""COMPUTED_VALUE"""),"Channel 2")</f>
        <v>Channel 2</v>
      </c>
      <c r="C409" s="4" t="str">
        <f>IFERROR(__xludf.DUMMYFUNCTION("""COMPUTED_VALUE"""),"Day 1 - 23/06")</f>
        <v>Day 1 - 23/06</v>
      </c>
      <c r="D409" s="4" t="str">
        <f>IFERROR(__xludf.DUMMYFUNCTION("""COMPUTED_VALUE"""),"")</f>
        <v/>
      </c>
      <c r="E409" s="4" t="str">
        <f>IFERROR(__xludf.DUMMYFUNCTION("""COMPUTED_VALUE"""),"")</f>
        <v/>
      </c>
      <c r="F409" s="4" t="str">
        <f>IFERROR(__xludf.DUMMYFUNCTION("""COMPUTED_VALUE"""),"")</f>
        <v/>
      </c>
      <c r="G409" s="4" t="str">
        <f>IFERROR(__xludf.DUMMYFUNCTION("""COMPUTED_VALUE"""),"")</f>
        <v/>
      </c>
      <c r="H409" s="4" t="str">
        <f>IFERROR(__xludf.DUMMYFUNCTION("""COMPUTED_VALUE"""),"")</f>
        <v/>
      </c>
      <c r="I409" s="4" t="str">
        <f>IFERROR(__xludf.DUMMYFUNCTION("""COMPUTED_VALUE"""),"")</f>
        <v/>
      </c>
      <c r="J409" s="4" t="str">
        <f>IFERROR(__xludf.DUMMYFUNCTION("""COMPUTED_VALUE"""),"")</f>
        <v/>
      </c>
      <c r="K409" s="4" t="str">
        <f>IFERROR(__xludf.DUMMYFUNCTION("""COMPUTED_VALUE"""),"")</f>
        <v/>
      </c>
      <c r="L409" s="4" t="str">
        <f>IFERROR(__xludf.DUMMYFUNCTION("""COMPUTED_VALUE"""),"")</f>
        <v/>
      </c>
      <c r="M409" s="4" t="str">
        <f>IFERROR(__xludf.DUMMYFUNCTION("""COMPUTED_VALUE"""),"")</f>
        <v/>
      </c>
      <c r="N409" s="4" t="str">
        <f>IFERROR(__xludf.DUMMYFUNCTION("""COMPUTED_VALUE"""),"")</f>
        <v/>
      </c>
      <c r="O409" s="4" t="str">
        <f>IFERROR(__xludf.DUMMYFUNCTION("""COMPUTED_VALUE"""),"")</f>
        <v/>
      </c>
      <c r="P409" s="4" t="str">
        <f>IFERROR(__xludf.DUMMYFUNCTION("""COMPUTED_VALUE"""),"")</f>
        <v/>
      </c>
      <c r="Q409" s="4" t="str">
        <f>IFERROR(__xludf.DUMMYFUNCTION("""COMPUTED_VALUE"""),"")</f>
        <v/>
      </c>
      <c r="R409" s="4" t="str">
        <f>IFERROR(__xludf.DUMMYFUNCTION("""COMPUTED_VALUE"""),"")</f>
        <v/>
      </c>
      <c r="S409" s="4" t="str">
        <f>IFERROR(__xludf.DUMMYFUNCTION("""COMPUTED_VALUE"""),"")</f>
        <v/>
      </c>
      <c r="T409" s="4" t="str">
        <f>IFERROR(__xludf.DUMMYFUNCTION("""COMPUTED_VALUE"""),"")</f>
        <v/>
      </c>
      <c r="U409" s="4" t="str">
        <f>IFERROR(__xludf.DUMMYFUNCTION("""COMPUTED_VALUE"""),"")</f>
        <v/>
      </c>
      <c r="V409" s="4" t="str">
        <f>IFERROR(__xludf.DUMMYFUNCTION("""COMPUTED_VALUE"""),"")</f>
        <v/>
      </c>
      <c r="W409" s="4" t="str">
        <f>IFERROR(__xludf.DUMMYFUNCTION("""COMPUTED_VALUE"""),"")</f>
        <v/>
      </c>
      <c r="X409" s="4" t="str">
        <f>IFERROR(__xludf.DUMMYFUNCTION("""COMPUTED_VALUE"""),"")</f>
        <v/>
      </c>
      <c r="Y409" s="4" t="str">
        <f>IFERROR(__xludf.DUMMYFUNCTION("""COMPUTED_VALUE"""),"")</f>
        <v/>
      </c>
    </row>
    <row r="410">
      <c r="A410" s="4" t="str">
        <f>IFERROR(__xludf.DUMMYFUNCTION("""COMPUTED_VALUE"""),"425 - Channel")</f>
        <v>425 - Channel</v>
      </c>
      <c r="B410" s="4" t="str">
        <f>IFERROR(__xludf.DUMMYFUNCTION("""COMPUTED_VALUE"""),"Channel 2")</f>
        <v>Channel 2</v>
      </c>
      <c r="C410" s="4" t="str">
        <f>IFERROR(__xludf.DUMMYFUNCTION("""COMPUTED_VALUE"""),"Day 1 - 23/06")</f>
        <v>Day 1 - 23/06</v>
      </c>
      <c r="D410" s="6">
        <f>IFERROR(__xludf.DUMMYFUNCTION("""COMPUTED_VALUE"""),0.5003009259259259)</f>
        <v>0.5003009259</v>
      </c>
      <c r="E410" s="6">
        <f>IFERROR(__xludf.DUMMYFUNCTION("""COMPUTED_VALUE"""),3.4722222222222224E-4)</f>
        <v>0.0003472222222</v>
      </c>
      <c r="F410" s="6">
        <f>IFERROR(__xludf.DUMMYFUNCTION("""COMPUTED_VALUE"""),0.5006481481481482)</f>
        <v>0.5006481481</v>
      </c>
      <c r="G410" s="4" t="str">
        <f>IFERROR(__xludf.DUMMYFUNCTION("""COMPUTED_VALUE"""),"Graphics")</f>
        <v>Graphics</v>
      </c>
      <c r="H410" s="4" t="str">
        <f>IFERROR(__xludf.DUMMYFUNCTION("""COMPUTED_VALUE"""),"")</f>
        <v/>
      </c>
      <c r="I410" s="4" t="str">
        <f>IFERROR(__xludf.DUMMYFUNCTION("""COMPUTED_VALUE"""),"")</f>
        <v/>
      </c>
      <c r="J410" s="4" t="str">
        <f>IFERROR(__xludf.DUMMYFUNCTION("""COMPUTED_VALUE"""),"Sales")</f>
        <v>Sales</v>
      </c>
      <c r="K410" s="4" t="str">
        <f>IFERROR(__xludf.DUMMYFUNCTION("""COMPUTED_VALUE"""),"Talk Intro")</f>
        <v>Talk Intro</v>
      </c>
      <c r="L410" s="4" t="str">
        <f>IFERROR(__xludf.DUMMYFUNCTION("""COMPUTED_VALUE"""),"")</f>
        <v/>
      </c>
      <c r="M410" s="4" t="str">
        <f>IFERROR(__xludf.DUMMYFUNCTION("""COMPUTED_VALUE"""),"Talk Intro")</f>
        <v>Talk Intro</v>
      </c>
      <c r="N410" s="4" t="str">
        <f>IFERROR(__xludf.DUMMYFUNCTION("""COMPUTED_VALUE"""),"")</f>
        <v/>
      </c>
      <c r="O410" s="4" t="str">
        <f>IFERROR(__xludf.DUMMYFUNCTION("""COMPUTED_VALUE"""),"")</f>
        <v/>
      </c>
      <c r="P410" s="4" t="str">
        <f>IFERROR(__xludf.DUMMYFUNCTION("""COMPUTED_VALUE"""),"")</f>
        <v/>
      </c>
      <c r="Q410" s="4" t="str">
        <f>IFERROR(__xludf.DUMMYFUNCTION("""COMPUTED_VALUE"""),"")</f>
        <v/>
      </c>
      <c r="R410" s="4" t="str">
        <f>IFERROR(__xludf.DUMMYFUNCTION("""COMPUTED_VALUE"""),"")</f>
        <v/>
      </c>
      <c r="S410" s="4" t="str">
        <f>IFERROR(__xludf.DUMMYFUNCTION("""COMPUTED_VALUE"""),"")</f>
        <v/>
      </c>
      <c r="T410" s="4" t="str">
        <f>IFERROR(__xludf.DUMMYFUNCTION("""COMPUTED_VALUE"""),"")</f>
        <v/>
      </c>
      <c r="U410" s="4" t="str">
        <f>IFERROR(__xludf.DUMMYFUNCTION("""COMPUTED_VALUE"""),"")</f>
        <v/>
      </c>
      <c r="V410" s="4" t="str">
        <f>IFERROR(__xludf.DUMMYFUNCTION("""COMPUTED_VALUE"""),"")</f>
        <v/>
      </c>
      <c r="W410" s="4" t="str">
        <f>IFERROR(__xludf.DUMMYFUNCTION("""COMPUTED_VALUE"""),"")</f>
        <v/>
      </c>
      <c r="X410" s="4" t="str">
        <f>IFERROR(__xludf.DUMMYFUNCTION("""COMPUTED_VALUE"""),"")</f>
        <v/>
      </c>
      <c r="Y410" s="4" t="str">
        <f>IFERROR(__xludf.DUMMYFUNCTION("""COMPUTED_VALUE"""),"")</f>
        <v/>
      </c>
    </row>
    <row r="411">
      <c r="A411" s="4" t="str">
        <f>IFERROR(__xludf.DUMMYFUNCTION("""COMPUTED_VALUE"""),"426 - Channel")</f>
        <v>426 - Channel</v>
      </c>
      <c r="B411" s="4" t="str">
        <f>IFERROR(__xludf.DUMMYFUNCTION("""COMPUTED_VALUE"""),"Channel 2")</f>
        <v>Channel 2</v>
      </c>
      <c r="C411" s="4" t="str">
        <f>IFERROR(__xludf.DUMMYFUNCTION("""COMPUTED_VALUE"""),"Day 1 - 23/06")</f>
        <v>Day 1 - 23/06</v>
      </c>
      <c r="D411" s="6">
        <f>IFERROR(__xludf.DUMMYFUNCTION("""COMPUTED_VALUE"""),0.5006481481481482)</f>
        <v>0.5006481481</v>
      </c>
      <c r="E411" s="6">
        <f>IFERROR(__xludf.DUMMYFUNCTION("""COMPUTED_VALUE"""),0.007766203703703704)</f>
        <v>0.007766203704</v>
      </c>
      <c r="F411" s="6">
        <f>IFERROR(__xludf.DUMMYFUNCTION("""COMPUTED_VALUE"""),0.5084143518518519)</f>
        <v>0.5084143519</v>
      </c>
      <c r="G411" s="4" t="str">
        <f>IFERROR(__xludf.DUMMYFUNCTION("""COMPUTED_VALUE"""),"Darren")</f>
        <v>Darren</v>
      </c>
      <c r="H411" s="4" t="str">
        <f>IFERROR(__xludf.DUMMYFUNCTION("""COMPUTED_VALUE"""),"Haziq")</f>
        <v>Haziq</v>
      </c>
      <c r="I411" s="4" t="str">
        <f>IFERROR(__xludf.DUMMYFUNCTION("""COMPUTED_VALUE"""),"Lucia H.")</f>
        <v>Lucia H.</v>
      </c>
      <c r="J411" s="4" t="str">
        <f>IFERROR(__xludf.DUMMYFUNCTION("""COMPUTED_VALUE"""),"Sales")</f>
        <v>Sales</v>
      </c>
      <c r="K411" s="4" t="str">
        <f>IFERROR(__xludf.DUMMYFUNCTION("""COMPUTED_VALUE"""),"Super Fireside")</f>
        <v>Super Fireside</v>
      </c>
      <c r="L411" s="4" t="str">
        <f>IFERROR(__xludf.DUMMYFUNCTION("""COMPUTED_VALUE"""),"T- 5 - 18/05/2020")</f>
        <v>T- 5 - 18/05/2020</v>
      </c>
      <c r="M411" s="4" t="str">
        <f>IFERROR(__xludf.DUMMYFUNCTION("""COMPUTED_VALUE"""),"Covid-19: Overcoming the CX Challenge")</f>
        <v>Covid-19: Overcoming the CX Challenge</v>
      </c>
      <c r="N411" s="4" t="str">
        <f>IFERROR(__xludf.DUMMYFUNCTION("""COMPUTED_VALUE"""),"Ganesh Srivats, Moda Operandi")</f>
        <v>Ganesh Srivats, Moda Operandi</v>
      </c>
      <c r="O411" s="4" t="str">
        <f>IFERROR(__xludf.DUMMYFUNCTION("""COMPUTED_VALUE"""),"Katia Beauchamp, Birchbox")</f>
        <v>Katia Beauchamp, Birchbox</v>
      </c>
      <c r="P411" s="4" t="str">
        <f>IFERROR(__xludf.DUMMYFUNCTION("""COMPUTED_VALUE"""),"")</f>
        <v/>
      </c>
      <c r="Q411" s="4" t="str">
        <f>IFERROR(__xludf.DUMMYFUNCTION("""COMPUTED_VALUE"""),"")</f>
        <v/>
      </c>
      <c r="R411" s="4" t="str">
        <f>IFERROR(__xludf.DUMMYFUNCTION("""COMPUTED_VALUE"""),"Sapna Maheshwari, The New York Times")</f>
        <v>Sapna Maheshwari, The New York Times</v>
      </c>
      <c r="S411" s="4" t="str">
        <f>IFERROR(__xludf.DUMMYFUNCTION("""COMPUTED_VALUE"""),"Businesses are now finding themselves serving customers who have been financially impacted by Covid-19, and whose mindsets and habits have changed dramatically as tactile experiences have been traded for a digital experience. With 'normal' now a distant m"&amp;"emory, find out how these industry leaders are tailoring the customer experience to reflect the changed world we live in. ")</f>
        <v>Businesses are now finding themselves serving customers who have been financially impacted by Covid-19, and whose mindsets and habits have changed dramatically as tactile experiences have been traded for a digital experience. With 'normal' now a distant memory, find out how these industry leaders are tailoring the customer experience to reflect the changed world we live in. </v>
      </c>
      <c r="T411" s="4" t="str">
        <f>IFERROR(__xludf.DUMMYFUNCTION("""COMPUTED_VALUE"""),"NON-KEYNOTE 9 - COMPLETE")</f>
        <v>NON-KEYNOTE 9 - COMPLETE</v>
      </c>
      <c r="U411" s="23">
        <f>IFERROR(__xludf.DUMMYFUNCTION("""COMPUTED_VALUE"""),43973.0)</f>
        <v>43973</v>
      </c>
      <c r="V411" s="24">
        <f>IFERROR(__xludf.DUMMYFUNCTION("""COMPUTED_VALUE"""),0.8541666666666666)</f>
        <v>0.8541666667</v>
      </c>
      <c r="W411" s="4" t="str">
        <f>IFERROR(__xludf.DUMMYFUNCTION("""COMPUTED_VALUE"""),"COMPLETE")</f>
        <v>COMPLETE</v>
      </c>
      <c r="X411" s="4" t="str">
        <f>IFERROR(__xludf.DUMMYFUNCTION("""COMPUTED_VALUE"""),"Darren")</f>
        <v>Darren</v>
      </c>
      <c r="Y411" s="4" t="str">
        <f>IFERROR(__xludf.DUMMYFUNCTION("""COMPUTED_VALUE"""),"")</f>
        <v/>
      </c>
    </row>
    <row r="412">
      <c r="A412" s="4" t="str">
        <f>IFERROR(__xludf.DUMMYFUNCTION("""COMPUTED_VALUE"""),"428 - Channel")</f>
        <v>428 - Channel</v>
      </c>
      <c r="B412" s="4" t="str">
        <f>IFERROR(__xludf.DUMMYFUNCTION("""COMPUTED_VALUE"""),"Channel 2")</f>
        <v>Channel 2</v>
      </c>
      <c r="C412" s="4" t="str">
        <f>IFERROR(__xludf.DUMMYFUNCTION("""COMPUTED_VALUE"""),"Day 1 - 23/06")</f>
        <v>Day 1 - 23/06</v>
      </c>
      <c r="D412" s="6">
        <f>IFERROR(__xludf.DUMMYFUNCTION("""COMPUTED_VALUE"""),0.5084143518518519)</f>
        <v>0.5084143519</v>
      </c>
      <c r="E412" s="6">
        <f>IFERROR(__xludf.DUMMYFUNCTION("""COMPUTED_VALUE"""),2.314814814814815E-4)</f>
        <v>0.0002314814815</v>
      </c>
      <c r="F412" s="6">
        <f>IFERROR(__xludf.DUMMYFUNCTION("""COMPUTED_VALUE"""),0.5086458333333334)</f>
        <v>0.5086458333</v>
      </c>
      <c r="G412" s="4" t="str">
        <f>IFERROR(__xludf.DUMMYFUNCTION("""COMPUTED_VALUE"""),"Startups")</f>
        <v>Startups</v>
      </c>
      <c r="H412" s="4" t="str">
        <f>IFERROR(__xludf.DUMMYFUNCTION("""COMPUTED_VALUE"""),"")</f>
        <v/>
      </c>
      <c r="I412" s="4" t="str">
        <f>IFERROR(__xludf.DUMMYFUNCTION("""COMPUTED_VALUE"""),"")</f>
        <v/>
      </c>
      <c r="J412" s="4" t="str">
        <f>IFERROR(__xludf.DUMMYFUNCTION("""COMPUTED_VALUE"""),"Sales")</f>
        <v>Sales</v>
      </c>
      <c r="K412" s="4" t="str">
        <f>IFERROR(__xludf.DUMMYFUNCTION("""COMPUTED_VALUE"""),"40 Words")</f>
        <v>40 Words</v>
      </c>
      <c r="L412" s="4" t="str">
        <f>IFERROR(__xludf.DUMMYFUNCTION("""COMPUTED_VALUE"""),"")</f>
        <v/>
      </c>
      <c r="M412" s="4" t="str">
        <f>IFERROR(__xludf.DUMMYFUNCTION("""COMPUTED_VALUE"""),"40 Words #3_Sym")</f>
        <v>40 Words #3_Sym</v>
      </c>
      <c r="N412" s="4" t="str">
        <f>IFERROR(__xludf.DUMMYFUNCTION("""COMPUTED_VALUE"""),"")</f>
        <v/>
      </c>
      <c r="O412" s="4" t="str">
        <f>IFERROR(__xludf.DUMMYFUNCTION("""COMPUTED_VALUE"""),"")</f>
        <v/>
      </c>
      <c r="P412" s="4" t="str">
        <f>IFERROR(__xludf.DUMMYFUNCTION("""COMPUTED_VALUE"""),"")</f>
        <v/>
      </c>
      <c r="Q412" s="4" t="str">
        <f>IFERROR(__xludf.DUMMYFUNCTION("""COMPUTED_VALUE"""),"")</f>
        <v/>
      </c>
      <c r="R412" s="4" t="str">
        <f>IFERROR(__xludf.DUMMYFUNCTION("""COMPUTED_VALUE"""),"")</f>
        <v/>
      </c>
      <c r="S412" s="4" t="str">
        <f>IFERROR(__xludf.DUMMYFUNCTION("""COMPUTED_VALUE"""),"")</f>
        <v/>
      </c>
      <c r="T412" s="4" t="str">
        <f>IFERROR(__xludf.DUMMYFUNCTION("""COMPUTED_VALUE"""),"")</f>
        <v/>
      </c>
      <c r="U412" s="4" t="str">
        <f>IFERROR(__xludf.DUMMYFUNCTION("""COMPUTED_VALUE"""),"")</f>
        <v/>
      </c>
      <c r="V412" s="4" t="str">
        <f>IFERROR(__xludf.DUMMYFUNCTION("""COMPUTED_VALUE"""),"")</f>
        <v/>
      </c>
      <c r="W412" s="4" t="str">
        <f>IFERROR(__xludf.DUMMYFUNCTION("""COMPUTED_VALUE"""),"")</f>
        <v/>
      </c>
      <c r="X412" s="4" t="str">
        <f>IFERROR(__xludf.DUMMYFUNCTION("""COMPUTED_VALUE"""),"")</f>
        <v/>
      </c>
      <c r="Y412" s="4" t="str">
        <f>IFERROR(__xludf.DUMMYFUNCTION("""COMPUTED_VALUE"""),"")</f>
        <v/>
      </c>
    </row>
    <row r="413">
      <c r="A413" s="4" t="str">
        <f>IFERROR(__xludf.DUMMYFUNCTION("""COMPUTED_VALUE"""),"429 - Channel")</f>
        <v>429 - Channel</v>
      </c>
      <c r="B413" s="4" t="str">
        <f>IFERROR(__xludf.DUMMYFUNCTION("""COMPUTED_VALUE"""),"Channel 2")</f>
        <v>Channel 2</v>
      </c>
      <c r="C413" s="4" t="str">
        <f>IFERROR(__xludf.DUMMYFUNCTION("""COMPUTED_VALUE"""),"Day 1 - 23/06")</f>
        <v>Day 1 - 23/06</v>
      </c>
      <c r="D413" s="6">
        <f>IFERROR(__xludf.DUMMYFUNCTION("""COMPUTED_VALUE"""),0.5086458333333334)</f>
        <v>0.5086458333</v>
      </c>
      <c r="E413" s="6">
        <f>IFERROR(__xludf.DUMMYFUNCTION("""COMPUTED_VALUE"""),3.4722222222222224E-4)</f>
        <v>0.0003472222222</v>
      </c>
      <c r="F413" s="6">
        <f>IFERROR(__xludf.DUMMYFUNCTION("""COMPUTED_VALUE"""),0.5089930555555556)</f>
        <v>0.5089930556</v>
      </c>
      <c r="G413" s="4" t="str">
        <f>IFERROR(__xludf.DUMMYFUNCTION("""COMPUTED_VALUE"""),"Graphics")</f>
        <v>Graphics</v>
      </c>
      <c r="H413" s="4" t="str">
        <f>IFERROR(__xludf.DUMMYFUNCTION("""COMPUTED_VALUE"""),"")</f>
        <v/>
      </c>
      <c r="I413" s="4" t="str">
        <f>IFERROR(__xludf.DUMMYFUNCTION("""COMPUTED_VALUE"""),"")</f>
        <v/>
      </c>
      <c r="J413" s="4" t="str">
        <f>IFERROR(__xludf.DUMMYFUNCTION("""COMPUTED_VALUE"""),"Sales")</f>
        <v>Sales</v>
      </c>
      <c r="K413" s="4" t="str">
        <f>IFERROR(__xludf.DUMMYFUNCTION("""COMPUTED_VALUE"""),"RISE Trailer")</f>
        <v>RISE Trailer</v>
      </c>
      <c r="L413" s="4" t="str">
        <f>IFERROR(__xludf.DUMMYFUNCTION("""COMPUTED_VALUE"""),"")</f>
        <v/>
      </c>
      <c r="M413" s="4" t="str">
        <f>IFERROR(__xludf.DUMMYFUNCTION("""COMPUTED_VALUE"""),"RISE trailer - short")</f>
        <v>RISE trailer - short</v>
      </c>
      <c r="N413" s="4" t="str">
        <f>IFERROR(__xludf.DUMMYFUNCTION("""COMPUTED_VALUE"""),"")</f>
        <v/>
      </c>
      <c r="O413" s="4" t="str">
        <f>IFERROR(__xludf.DUMMYFUNCTION("""COMPUTED_VALUE"""),"")</f>
        <v/>
      </c>
      <c r="P413" s="4" t="str">
        <f>IFERROR(__xludf.DUMMYFUNCTION("""COMPUTED_VALUE"""),"")</f>
        <v/>
      </c>
      <c r="Q413" s="4" t="str">
        <f>IFERROR(__xludf.DUMMYFUNCTION("""COMPUTED_VALUE"""),"")</f>
        <v/>
      </c>
      <c r="R413" s="4" t="str">
        <f>IFERROR(__xludf.DUMMYFUNCTION("""COMPUTED_VALUE"""),"")</f>
        <v/>
      </c>
      <c r="S413" s="4" t="str">
        <f>IFERROR(__xludf.DUMMYFUNCTION("""COMPUTED_VALUE"""),"")</f>
        <v/>
      </c>
      <c r="T413" s="4" t="str">
        <f>IFERROR(__xludf.DUMMYFUNCTION("""COMPUTED_VALUE"""),"")</f>
        <v/>
      </c>
      <c r="U413" s="4" t="str">
        <f>IFERROR(__xludf.DUMMYFUNCTION("""COMPUTED_VALUE"""),"")</f>
        <v/>
      </c>
      <c r="V413" s="4" t="str">
        <f>IFERROR(__xludf.DUMMYFUNCTION("""COMPUTED_VALUE"""),"")</f>
        <v/>
      </c>
      <c r="W413" s="4" t="str">
        <f>IFERROR(__xludf.DUMMYFUNCTION("""COMPUTED_VALUE"""),"")</f>
        <v/>
      </c>
      <c r="X413" s="4" t="str">
        <f>IFERROR(__xludf.DUMMYFUNCTION("""COMPUTED_VALUE"""),"")</f>
        <v/>
      </c>
      <c r="Y413" s="4" t="str">
        <f>IFERROR(__xludf.DUMMYFUNCTION("""COMPUTED_VALUE"""),"")</f>
        <v/>
      </c>
    </row>
    <row r="414">
      <c r="A414" s="4" t="str">
        <f>IFERROR(__xludf.DUMMYFUNCTION("""COMPUTED_VALUE"""),"430 - Channel")</f>
        <v>430 - Channel</v>
      </c>
      <c r="B414" s="4" t="str">
        <f>IFERROR(__xludf.DUMMYFUNCTION("""COMPUTED_VALUE"""),"Channel 2")</f>
        <v>Channel 2</v>
      </c>
      <c r="C414" s="4" t="str">
        <f>IFERROR(__xludf.DUMMYFUNCTION("""COMPUTED_VALUE"""),"Day 1 - 23/06")</f>
        <v>Day 1 - 23/06</v>
      </c>
      <c r="D414" s="6">
        <f>IFERROR(__xludf.DUMMYFUNCTION("""COMPUTED_VALUE"""),0.5089930555555556)</f>
        <v>0.5089930556</v>
      </c>
      <c r="E414" s="6">
        <f>IFERROR(__xludf.DUMMYFUNCTION("""COMPUTED_VALUE"""),1.7361111111111112E-4)</f>
        <v>0.0001736111111</v>
      </c>
      <c r="F414" s="6">
        <f>IFERROR(__xludf.DUMMYFUNCTION("""COMPUTED_VALUE"""),0.5091666666666668)</f>
        <v>0.5091666667</v>
      </c>
      <c r="G414" s="4" t="str">
        <f>IFERROR(__xludf.DUMMYFUNCTION("""COMPUTED_VALUE"""),"P&amp;E")</f>
        <v>P&amp;E</v>
      </c>
      <c r="H414" s="4" t="str">
        <f>IFERROR(__xludf.DUMMYFUNCTION("""COMPUTED_VALUE"""),"")</f>
        <v/>
      </c>
      <c r="I414" s="4" t="str">
        <f>IFERROR(__xludf.DUMMYFUNCTION("""COMPUTED_VALUE"""),"")</f>
        <v/>
      </c>
      <c r="J414" s="4" t="str">
        <f>IFERROR(__xludf.DUMMYFUNCTION("""COMPUTED_VALUE"""),"Sales")</f>
        <v>Sales</v>
      </c>
      <c r="K414" s="4" t="str">
        <f>IFERROR(__xludf.DUMMYFUNCTION("""COMPUTED_VALUE"""),"Partner ad")</f>
        <v>Partner ad</v>
      </c>
      <c r="L414" s="4" t="str">
        <f>IFERROR(__xludf.DUMMYFUNCTION("""COMPUTED_VALUE"""),"")</f>
        <v/>
      </c>
      <c r="M414" s="4" t="str">
        <f>IFERROR(__xludf.DUMMYFUNCTION("""COMPUTED_VALUE"""),"Partner logo reel #1")</f>
        <v>Partner logo reel #1</v>
      </c>
      <c r="N414" s="4" t="str">
        <f>IFERROR(__xludf.DUMMYFUNCTION("""COMPUTED_VALUE"""),"")</f>
        <v/>
      </c>
      <c r="O414" s="4" t="str">
        <f>IFERROR(__xludf.DUMMYFUNCTION("""COMPUTED_VALUE"""),"")</f>
        <v/>
      </c>
      <c r="P414" s="4" t="str">
        <f>IFERROR(__xludf.DUMMYFUNCTION("""COMPUTED_VALUE"""),"")</f>
        <v/>
      </c>
      <c r="Q414" s="4" t="str">
        <f>IFERROR(__xludf.DUMMYFUNCTION("""COMPUTED_VALUE"""),"")</f>
        <v/>
      </c>
      <c r="R414" s="4" t="str">
        <f>IFERROR(__xludf.DUMMYFUNCTION("""COMPUTED_VALUE"""),"")</f>
        <v/>
      </c>
      <c r="S414" s="4" t="str">
        <f>IFERROR(__xludf.DUMMYFUNCTION("""COMPUTED_VALUE"""),"")</f>
        <v/>
      </c>
      <c r="T414" s="4" t="str">
        <f>IFERROR(__xludf.DUMMYFUNCTION("""COMPUTED_VALUE"""),"")</f>
        <v/>
      </c>
      <c r="U414" s="4" t="str">
        <f>IFERROR(__xludf.DUMMYFUNCTION("""COMPUTED_VALUE"""),"")</f>
        <v/>
      </c>
      <c r="V414" s="4" t="str">
        <f>IFERROR(__xludf.DUMMYFUNCTION("""COMPUTED_VALUE"""),"")</f>
        <v/>
      </c>
      <c r="W414" s="4" t="str">
        <f>IFERROR(__xludf.DUMMYFUNCTION("""COMPUTED_VALUE"""),"")</f>
        <v/>
      </c>
      <c r="X414" s="4" t="str">
        <f>IFERROR(__xludf.DUMMYFUNCTION("""COMPUTED_VALUE"""),"")</f>
        <v/>
      </c>
      <c r="Y414" s="4" t="str">
        <f>IFERROR(__xludf.DUMMYFUNCTION("""COMPUTED_VALUE"""),"")</f>
        <v/>
      </c>
    </row>
    <row r="415">
      <c r="A415" s="4" t="str">
        <f>IFERROR(__xludf.DUMMYFUNCTION("""COMPUTED_VALUE"""),"431 - Channel")</f>
        <v>431 - Channel</v>
      </c>
      <c r="B415" s="4" t="str">
        <f>IFERROR(__xludf.DUMMYFUNCTION("""COMPUTED_VALUE"""),"Channel 2")</f>
        <v>Channel 2</v>
      </c>
      <c r="C415" s="4" t="str">
        <f>IFERROR(__xludf.DUMMYFUNCTION("""COMPUTED_VALUE"""),"Day 1 - 23/06")</f>
        <v>Day 1 - 23/06</v>
      </c>
      <c r="D415" s="6">
        <f>IFERROR(__xludf.DUMMYFUNCTION("""COMPUTED_VALUE"""),0.5091666666666668)</f>
        <v>0.5091666667</v>
      </c>
      <c r="E415" s="6">
        <f>IFERROR(__xludf.DUMMYFUNCTION("""COMPUTED_VALUE"""),1.7361111111111112E-4)</f>
        <v>0.0001736111111</v>
      </c>
      <c r="F415" s="6">
        <f>IFERROR(__xludf.DUMMYFUNCTION("""COMPUTED_VALUE"""),0.5093402777777779)</f>
        <v>0.5093402778</v>
      </c>
      <c r="G415" s="4" t="str">
        <f>IFERROR(__xludf.DUMMYFUNCTION("""COMPUTED_VALUE"""),"P&amp;E")</f>
        <v>P&amp;E</v>
      </c>
      <c r="H415" s="4" t="str">
        <f>IFERROR(__xludf.DUMMYFUNCTION("""COMPUTED_VALUE"""),"")</f>
        <v/>
      </c>
      <c r="I415" s="4" t="str">
        <f>IFERROR(__xludf.DUMMYFUNCTION("""COMPUTED_VALUE"""),"")</f>
        <v/>
      </c>
      <c r="J415" s="4" t="str">
        <f>IFERROR(__xludf.DUMMYFUNCTION("""COMPUTED_VALUE"""),"Sales")</f>
        <v>Sales</v>
      </c>
      <c r="K415" s="4" t="str">
        <f>IFERROR(__xludf.DUMMYFUNCTION("""COMPUTED_VALUE"""),"Partner ad")</f>
        <v>Partner ad</v>
      </c>
      <c r="L415" s="4" t="str">
        <f>IFERROR(__xludf.DUMMYFUNCTION("""COMPUTED_VALUE"""),"")</f>
        <v/>
      </c>
      <c r="M415" s="4" t="str">
        <f>IFERROR(__xludf.DUMMYFUNCTION("""COMPUTED_VALUE"""),"Partner logo reel #2")</f>
        <v>Partner logo reel #2</v>
      </c>
      <c r="N415" s="4" t="str">
        <f>IFERROR(__xludf.DUMMYFUNCTION("""COMPUTED_VALUE"""),"")</f>
        <v/>
      </c>
      <c r="O415" s="4" t="str">
        <f>IFERROR(__xludf.DUMMYFUNCTION("""COMPUTED_VALUE"""),"")</f>
        <v/>
      </c>
      <c r="P415" s="4" t="str">
        <f>IFERROR(__xludf.DUMMYFUNCTION("""COMPUTED_VALUE"""),"")</f>
        <v/>
      </c>
      <c r="Q415" s="4" t="str">
        <f>IFERROR(__xludf.DUMMYFUNCTION("""COMPUTED_VALUE"""),"")</f>
        <v/>
      </c>
      <c r="R415" s="4" t="str">
        <f>IFERROR(__xludf.DUMMYFUNCTION("""COMPUTED_VALUE"""),"")</f>
        <v/>
      </c>
      <c r="S415" s="4" t="str">
        <f>IFERROR(__xludf.DUMMYFUNCTION("""COMPUTED_VALUE"""),"")</f>
        <v/>
      </c>
      <c r="T415" s="4" t="str">
        <f>IFERROR(__xludf.DUMMYFUNCTION("""COMPUTED_VALUE"""),"")</f>
        <v/>
      </c>
      <c r="U415" s="4" t="str">
        <f>IFERROR(__xludf.DUMMYFUNCTION("""COMPUTED_VALUE"""),"")</f>
        <v/>
      </c>
      <c r="V415" s="4" t="str">
        <f>IFERROR(__xludf.DUMMYFUNCTION("""COMPUTED_VALUE"""),"")</f>
        <v/>
      </c>
      <c r="W415" s="4" t="str">
        <f>IFERROR(__xludf.DUMMYFUNCTION("""COMPUTED_VALUE"""),"")</f>
        <v/>
      </c>
      <c r="X415" s="4" t="str">
        <f>IFERROR(__xludf.DUMMYFUNCTION("""COMPUTED_VALUE"""),"")</f>
        <v/>
      </c>
      <c r="Y415" s="4" t="str">
        <f>IFERROR(__xludf.DUMMYFUNCTION("""COMPUTED_VALUE"""),"")</f>
        <v/>
      </c>
    </row>
    <row r="416">
      <c r="A416" s="4" t="str">
        <f>IFERROR(__xludf.DUMMYFUNCTION("""COMPUTED_VALUE"""),"432 - Channel")</f>
        <v>432 - Channel</v>
      </c>
      <c r="B416" s="4" t="str">
        <f>IFERROR(__xludf.DUMMYFUNCTION("""COMPUTED_VALUE"""),"Channel 2")</f>
        <v>Channel 2</v>
      </c>
      <c r="C416" s="4" t="str">
        <f>IFERROR(__xludf.DUMMYFUNCTION("""COMPUTED_VALUE"""),"Day 1 - 23/06")</f>
        <v>Day 1 - 23/06</v>
      </c>
      <c r="D416" s="6">
        <f>IFERROR(__xludf.DUMMYFUNCTION("""COMPUTED_VALUE"""),0.5093402777777779)</f>
        <v>0.5093402778</v>
      </c>
      <c r="E416" s="6">
        <f>IFERROR(__xludf.DUMMYFUNCTION("""COMPUTED_VALUE"""),3.4722222222222224E-4)</f>
        <v>0.0003472222222</v>
      </c>
      <c r="F416" s="6">
        <f>IFERROR(__xludf.DUMMYFUNCTION("""COMPUTED_VALUE"""),0.5096875000000002)</f>
        <v>0.5096875</v>
      </c>
      <c r="G416" s="4" t="str">
        <f>IFERROR(__xludf.DUMMYFUNCTION("""COMPUTED_VALUE"""),"Darren")</f>
        <v>Darren</v>
      </c>
      <c r="H416" s="4" t="str">
        <f>IFERROR(__xludf.DUMMYFUNCTION("""COMPUTED_VALUE"""),"")</f>
        <v/>
      </c>
      <c r="I416" s="4" t="str">
        <f>IFERROR(__xludf.DUMMYFUNCTION("""COMPUTED_VALUE"""),"")</f>
        <v/>
      </c>
      <c r="J416" s="4" t="str">
        <f>IFERROR(__xludf.DUMMYFUNCTION("""COMPUTED_VALUE"""),"Sales")</f>
        <v>Sales</v>
      </c>
      <c r="K416" s="4" t="str">
        <f>IFERROR(__xludf.DUMMYFUNCTION("""COMPUTED_VALUE"""),"Speaker Intro Video")</f>
        <v>Speaker Intro Video</v>
      </c>
      <c r="L416" s="4" t="str">
        <f>IFERROR(__xludf.DUMMYFUNCTION("""COMPUTED_VALUE"""),"")</f>
        <v/>
      </c>
      <c r="M416" s="4" t="str">
        <f>IFERROR(__xludf.DUMMYFUNCTION("""COMPUTED_VALUE"""),"Speaker Intro Video")</f>
        <v>Speaker Intro Video</v>
      </c>
      <c r="N416" s="4" t="str">
        <f>IFERROR(__xludf.DUMMYFUNCTION("""COMPUTED_VALUE"""),"")</f>
        <v/>
      </c>
      <c r="O416" s="4" t="str">
        <f>IFERROR(__xludf.DUMMYFUNCTION("""COMPUTED_VALUE"""),"")</f>
        <v/>
      </c>
      <c r="P416" s="4" t="str">
        <f>IFERROR(__xludf.DUMMYFUNCTION("""COMPUTED_VALUE"""),"")</f>
        <v/>
      </c>
      <c r="Q416" s="4" t="str">
        <f>IFERROR(__xludf.DUMMYFUNCTION("""COMPUTED_VALUE"""),"")</f>
        <v/>
      </c>
      <c r="R416" s="4" t="str">
        <f>IFERROR(__xludf.DUMMYFUNCTION("""COMPUTED_VALUE"""),"")</f>
        <v/>
      </c>
      <c r="S416" s="4" t="str">
        <f>IFERROR(__xludf.DUMMYFUNCTION("""COMPUTED_VALUE"""),"")</f>
        <v/>
      </c>
      <c r="T416" s="4" t="str">
        <f>IFERROR(__xludf.DUMMYFUNCTION("""COMPUTED_VALUE"""),"")</f>
        <v/>
      </c>
      <c r="U416" s="4" t="str">
        <f>IFERROR(__xludf.DUMMYFUNCTION("""COMPUTED_VALUE"""),"")</f>
        <v/>
      </c>
      <c r="V416" s="4" t="str">
        <f>IFERROR(__xludf.DUMMYFUNCTION("""COMPUTED_VALUE"""),"")</f>
        <v/>
      </c>
      <c r="W416" s="4" t="str">
        <f>IFERROR(__xludf.DUMMYFUNCTION("""COMPUTED_VALUE"""),"")</f>
        <v/>
      </c>
      <c r="X416" s="4" t="str">
        <f>IFERROR(__xludf.DUMMYFUNCTION("""COMPUTED_VALUE"""),"")</f>
        <v/>
      </c>
      <c r="Y416" s="4" t="str">
        <f>IFERROR(__xludf.DUMMYFUNCTION("""COMPUTED_VALUE"""),"")</f>
        <v/>
      </c>
    </row>
    <row r="417">
      <c r="A417" s="4" t="str">
        <f>IFERROR(__xludf.DUMMYFUNCTION("""COMPUTED_VALUE"""),"433 - Channel")</f>
        <v>433 - Channel</v>
      </c>
      <c r="B417" s="4" t="str">
        <f>IFERROR(__xludf.DUMMYFUNCTION("""COMPUTED_VALUE"""),"Channel 2")</f>
        <v>Channel 2</v>
      </c>
      <c r="C417" s="4" t="str">
        <f>IFERROR(__xludf.DUMMYFUNCTION("""COMPUTED_VALUE"""),"Day 1 - 23/06")</f>
        <v>Day 1 - 23/06</v>
      </c>
      <c r="D417" s="6">
        <f>IFERROR(__xludf.DUMMYFUNCTION("""COMPUTED_VALUE"""),0.5096875000000002)</f>
        <v>0.5096875</v>
      </c>
      <c r="E417" s="6">
        <f>IFERROR(__xludf.DUMMYFUNCTION("""COMPUTED_VALUE"""),3.4722222222222224E-4)</f>
        <v>0.0003472222222</v>
      </c>
      <c r="F417" s="6">
        <f>IFERROR(__xludf.DUMMYFUNCTION("""COMPUTED_VALUE"""),0.5100347222222225)</f>
        <v>0.5100347222</v>
      </c>
      <c r="G417" s="4" t="str">
        <f>IFERROR(__xludf.DUMMYFUNCTION("""COMPUTED_VALUE"""),"Graphics")</f>
        <v>Graphics</v>
      </c>
      <c r="H417" s="4" t="str">
        <f>IFERROR(__xludf.DUMMYFUNCTION("""COMPUTED_VALUE"""),"")</f>
        <v/>
      </c>
      <c r="I417" s="4" t="str">
        <f>IFERROR(__xludf.DUMMYFUNCTION("""COMPUTED_VALUE"""),"")</f>
        <v/>
      </c>
      <c r="J417" s="4" t="str">
        <f>IFERROR(__xludf.DUMMYFUNCTION("""COMPUTED_VALUE"""),"Sales")</f>
        <v>Sales</v>
      </c>
      <c r="K417" s="4" t="str">
        <f>IFERROR(__xludf.DUMMYFUNCTION("""COMPUTED_VALUE"""),"Talk Intro")</f>
        <v>Talk Intro</v>
      </c>
      <c r="L417" s="4" t="str">
        <f>IFERROR(__xludf.DUMMYFUNCTION("""COMPUTED_VALUE"""),"")</f>
        <v/>
      </c>
      <c r="M417" s="4" t="str">
        <f>IFERROR(__xludf.DUMMYFUNCTION("""COMPUTED_VALUE"""),"Talk Intro")</f>
        <v>Talk Intro</v>
      </c>
      <c r="N417" s="4" t="str">
        <f>IFERROR(__xludf.DUMMYFUNCTION("""COMPUTED_VALUE"""),"")</f>
        <v/>
      </c>
      <c r="O417" s="4" t="str">
        <f>IFERROR(__xludf.DUMMYFUNCTION("""COMPUTED_VALUE"""),"")</f>
        <v/>
      </c>
      <c r="P417" s="4" t="str">
        <f>IFERROR(__xludf.DUMMYFUNCTION("""COMPUTED_VALUE"""),"")</f>
        <v/>
      </c>
      <c r="Q417" s="4" t="str">
        <f>IFERROR(__xludf.DUMMYFUNCTION("""COMPUTED_VALUE"""),"")</f>
        <v/>
      </c>
      <c r="R417" s="4" t="str">
        <f>IFERROR(__xludf.DUMMYFUNCTION("""COMPUTED_VALUE"""),"")</f>
        <v/>
      </c>
      <c r="S417" s="4" t="str">
        <f>IFERROR(__xludf.DUMMYFUNCTION("""COMPUTED_VALUE"""),"")</f>
        <v/>
      </c>
      <c r="T417" s="4" t="str">
        <f>IFERROR(__xludf.DUMMYFUNCTION("""COMPUTED_VALUE"""),"")</f>
        <v/>
      </c>
      <c r="U417" s="4" t="str">
        <f>IFERROR(__xludf.DUMMYFUNCTION("""COMPUTED_VALUE"""),"")</f>
        <v/>
      </c>
      <c r="V417" s="4" t="str">
        <f>IFERROR(__xludf.DUMMYFUNCTION("""COMPUTED_VALUE"""),"")</f>
        <v/>
      </c>
      <c r="W417" s="4" t="str">
        <f>IFERROR(__xludf.DUMMYFUNCTION("""COMPUTED_VALUE"""),"")</f>
        <v/>
      </c>
      <c r="X417" s="4" t="str">
        <f>IFERROR(__xludf.DUMMYFUNCTION("""COMPUTED_VALUE"""),"")</f>
        <v/>
      </c>
      <c r="Y417" s="4" t="str">
        <f>IFERROR(__xludf.DUMMYFUNCTION("""COMPUTED_VALUE"""),"")</f>
        <v/>
      </c>
    </row>
    <row r="418">
      <c r="A418" s="4" t="str">
        <f>IFERROR(__xludf.DUMMYFUNCTION("""COMPUTED_VALUE"""),"434 - Channel")</f>
        <v>434 - Channel</v>
      </c>
      <c r="B418" s="4" t="str">
        <f>IFERROR(__xludf.DUMMYFUNCTION("""COMPUTED_VALUE"""),"Channel 2")</f>
        <v>Channel 2</v>
      </c>
      <c r="C418" s="4" t="str">
        <f>IFERROR(__xludf.DUMMYFUNCTION("""COMPUTED_VALUE"""),"Day 1 - 23/06")</f>
        <v>Day 1 - 23/06</v>
      </c>
      <c r="D418" s="6">
        <f>IFERROR(__xludf.DUMMYFUNCTION("""COMPUTED_VALUE"""),0.5100347222222225)</f>
        <v>0.5100347222</v>
      </c>
      <c r="E418" s="6">
        <f>IFERROR(__xludf.DUMMYFUNCTION("""COMPUTED_VALUE"""),0.013888888888888888)</f>
        <v>0.01388888889</v>
      </c>
      <c r="F418" s="6">
        <f>IFERROR(__xludf.DUMMYFUNCTION("""COMPUTED_VALUE"""),0.5239236111111113)</f>
        <v>0.5239236111</v>
      </c>
      <c r="G418" s="4" t="str">
        <f>IFERROR(__xludf.DUMMYFUNCTION("""COMPUTED_VALUE"""),"Brian")</f>
        <v>Brian</v>
      </c>
      <c r="H418" s="4" t="str">
        <f>IFERROR(__xludf.DUMMYFUNCTION("""COMPUTED_VALUE"""),"Stephen")</f>
        <v>Stephen</v>
      </c>
      <c r="I418" s="4" t="str">
        <f>IFERROR(__xludf.DUMMYFUNCTION("""COMPUTED_VALUE"""),"Manon")</f>
        <v>Manon</v>
      </c>
      <c r="J418" s="4" t="str">
        <f>IFERROR(__xludf.DUMMYFUNCTION("""COMPUTED_VALUE"""),"Sales")</f>
        <v>Sales</v>
      </c>
      <c r="K418" s="4" t="str">
        <f>IFERROR(__xludf.DUMMYFUNCTION("""COMPUTED_VALUE"""),"Fireside")</f>
        <v>Fireside</v>
      </c>
      <c r="L418" s="4" t="str">
        <f>IFERROR(__xludf.DUMMYFUNCTION("""COMPUTED_VALUE"""),"T- 2 - 08/06/2020")</f>
        <v>T- 2 - 08/06/2020</v>
      </c>
      <c r="M418" s="4" t="str">
        <f>IFERROR(__xludf.DUMMYFUNCTION("""COMPUTED_VALUE"""),"Where Facebook is putting its money")</f>
        <v>Where Facebook is putting its money</v>
      </c>
      <c r="N418" s="4" t="str">
        <f>IFERROR(__xludf.DUMMYFUNCTION("""COMPUTED_VALUE"""),"David Fischer, Facebook")</f>
        <v>David Fischer, Facebook</v>
      </c>
      <c r="O418" s="4" t="str">
        <f>IFERROR(__xludf.DUMMYFUNCTION("""COMPUTED_VALUE"""),"")</f>
        <v/>
      </c>
      <c r="P418" s="4" t="str">
        <f>IFERROR(__xludf.DUMMYFUNCTION("""COMPUTED_VALUE"""),"")</f>
        <v/>
      </c>
      <c r="Q418" s="4" t="str">
        <f>IFERROR(__xludf.DUMMYFUNCTION("""COMPUTED_VALUE"""),"")</f>
        <v/>
      </c>
      <c r="R418" s="4" t="str">
        <f>IFERROR(__xludf.DUMMYFUNCTION("""COMPUTED_VALUE"""),"Kurt Wagner, Bloomberg")</f>
        <v>Kurt Wagner, Bloomberg</v>
      </c>
      <c r="S418" s="4" t="str">
        <f>IFERROR(__xludf.DUMMYFUNCTION("""COMPUTED_VALUE"""),"In these turbulent times, money matters. Find out how and where Facebook is spending its money in this talk from the social media platform's chief revenue officer.")</f>
        <v>In these turbulent times, money matters. Find out how and where Facebook is spending its money in this talk from the social media platform's chief revenue officer.</v>
      </c>
      <c r="T418" s="4" t="str">
        <f>IFERROR(__xludf.DUMMYFUNCTION("""COMPUTED_VALUE"""),"NON-KEYNOTE 6 - Send Zoom calendar invite")</f>
        <v>NON-KEYNOTE 6 - Send Zoom calendar invite</v>
      </c>
      <c r="U418" s="23">
        <f>IFERROR(__xludf.DUMMYFUNCTION("""COMPUTED_VALUE"""),43994.0)</f>
        <v>43994</v>
      </c>
      <c r="V418" s="4" t="str">
        <f>IFERROR(__xludf.DUMMYFUNCTION("""COMPUTED_VALUE"""),"TBC")</f>
        <v>TBC</v>
      </c>
      <c r="W418" s="21" t="str">
        <f>IFERROR(__xludf.DUMMYFUNCTION("""COMPUTED_VALUE"""),"https://us04web.zoom.us/j/75814253729?pwd=NC9HeHR1QVJZd2RraEFURGZWeHhaQT09")</f>
        <v>https://us04web.zoom.us/j/75814253729?pwd=NC9HeHR1QVJZd2RraEFURGZWeHhaQT09</v>
      </c>
      <c r="X418" s="4" t="str">
        <f>IFERROR(__xludf.DUMMYFUNCTION("""COMPUTED_VALUE"""),"Brian")</f>
        <v>Brian</v>
      </c>
      <c r="Y418" s="4" t="str">
        <f>IFERROR(__xludf.DUMMYFUNCTION("""COMPUTED_VALUE"""),"")</f>
        <v/>
      </c>
    </row>
    <row r="419">
      <c r="A419" s="4" t="str">
        <f>IFERROR(__xludf.DUMMYFUNCTION("""COMPUTED_VALUE"""),"435 - Channel")</f>
        <v>435 - Channel</v>
      </c>
      <c r="B419" s="4" t="str">
        <f>IFERROR(__xludf.DUMMYFUNCTION("""COMPUTED_VALUE"""),"Channel 2")</f>
        <v>Channel 2</v>
      </c>
      <c r="C419" s="4" t="str">
        <f>IFERROR(__xludf.DUMMYFUNCTION("""COMPUTED_VALUE"""),"Day 1 - 23/06")</f>
        <v>Day 1 - 23/06</v>
      </c>
      <c r="D419" s="6">
        <f>IFERROR(__xludf.DUMMYFUNCTION("""COMPUTED_VALUE"""),0.5239236111111113)</f>
        <v>0.5239236111</v>
      </c>
      <c r="E419" s="6">
        <f>IFERROR(__xludf.DUMMYFUNCTION("""COMPUTED_VALUE"""),1.7361111111111112E-4)</f>
        <v>0.0001736111111</v>
      </c>
      <c r="F419" s="6">
        <f>IFERROR(__xludf.DUMMYFUNCTION("""COMPUTED_VALUE"""),0.5240972222222224)</f>
        <v>0.5240972222</v>
      </c>
      <c r="G419" s="4" t="str">
        <f>IFERROR(__xludf.DUMMYFUNCTION("""COMPUTED_VALUE"""),"Graphics")</f>
        <v>Graphics</v>
      </c>
      <c r="H419" s="4" t="str">
        <f>IFERROR(__xludf.DUMMYFUNCTION("""COMPUTED_VALUE"""),"")</f>
        <v/>
      </c>
      <c r="I419" s="4" t="str">
        <f>IFERROR(__xludf.DUMMYFUNCTION("""COMPUTED_VALUE"""),"")</f>
        <v/>
      </c>
      <c r="J419" s="4" t="str">
        <f>IFERROR(__xludf.DUMMYFUNCTION("""COMPUTED_VALUE"""),"Sales")</f>
        <v>Sales</v>
      </c>
      <c r="K419" s="4" t="str">
        <f>IFERROR(__xludf.DUMMYFUNCTION("""COMPUTED_VALUE"""),"Talk Outro")</f>
        <v>Talk Outro</v>
      </c>
      <c r="L419" s="4" t="str">
        <f>IFERROR(__xludf.DUMMYFUNCTION("""COMPUTED_VALUE"""),"")</f>
        <v/>
      </c>
      <c r="M419" s="4" t="str">
        <f>IFERROR(__xludf.DUMMYFUNCTION("""COMPUTED_VALUE"""),"Talk Outro")</f>
        <v>Talk Outro</v>
      </c>
      <c r="N419" s="4" t="str">
        <f>IFERROR(__xludf.DUMMYFUNCTION("""COMPUTED_VALUE"""),"")</f>
        <v/>
      </c>
      <c r="O419" s="4" t="str">
        <f>IFERROR(__xludf.DUMMYFUNCTION("""COMPUTED_VALUE"""),"")</f>
        <v/>
      </c>
      <c r="P419" s="4" t="str">
        <f>IFERROR(__xludf.DUMMYFUNCTION("""COMPUTED_VALUE"""),"")</f>
        <v/>
      </c>
      <c r="Q419" s="4" t="str">
        <f>IFERROR(__xludf.DUMMYFUNCTION("""COMPUTED_VALUE"""),"")</f>
        <v/>
      </c>
      <c r="R419" s="4" t="str">
        <f>IFERROR(__xludf.DUMMYFUNCTION("""COMPUTED_VALUE"""),"")</f>
        <v/>
      </c>
      <c r="S419" s="4" t="str">
        <f>IFERROR(__xludf.DUMMYFUNCTION("""COMPUTED_VALUE"""),"")</f>
        <v/>
      </c>
      <c r="T419" s="4" t="str">
        <f>IFERROR(__xludf.DUMMYFUNCTION("""COMPUTED_VALUE"""),"")</f>
        <v/>
      </c>
      <c r="U419" s="4" t="str">
        <f>IFERROR(__xludf.DUMMYFUNCTION("""COMPUTED_VALUE"""),"")</f>
        <v/>
      </c>
      <c r="V419" s="4" t="str">
        <f>IFERROR(__xludf.DUMMYFUNCTION("""COMPUTED_VALUE"""),"")</f>
        <v/>
      </c>
      <c r="W419" s="4" t="str">
        <f>IFERROR(__xludf.DUMMYFUNCTION("""COMPUTED_VALUE"""),"")</f>
        <v/>
      </c>
      <c r="X419" s="4" t="str">
        <f>IFERROR(__xludf.DUMMYFUNCTION("""COMPUTED_VALUE"""),"")</f>
        <v/>
      </c>
      <c r="Y419" s="4" t="str">
        <f>IFERROR(__xludf.DUMMYFUNCTION("""COMPUTED_VALUE"""),"")</f>
        <v/>
      </c>
    </row>
    <row r="420">
      <c r="A420" s="4" t="str">
        <f>IFERROR(__xludf.DUMMYFUNCTION("""COMPUTED_VALUE"""),"436 - Channel")</f>
        <v>436 - Channel</v>
      </c>
      <c r="B420" s="4" t="str">
        <f>IFERROR(__xludf.DUMMYFUNCTION("""COMPUTED_VALUE"""),"Channel 2")</f>
        <v>Channel 2</v>
      </c>
      <c r="C420" s="4" t="str">
        <f>IFERROR(__xludf.DUMMYFUNCTION("""COMPUTED_VALUE"""),"Day 1 - 23/06")</f>
        <v>Day 1 - 23/06</v>
      </c>
      <c r="D420" s="6">
        <f>IFERROR(__xludf.DUMMYFUNCTION("""COMPUTED_VALUE"""),0.5240972222222224)</f>
        <v>0.5240972222</v>
      </c>
      <c r="E420" s="6">
        <f>IFERROR(__xludf.DUMMYFUNCTION("""COMPUTED_VALUE"""),3.4722222222222224E-4)</f>
        <v>0.0003472222222</v>
      </c>
      <c r="F420" s="6">
        <f>IFERROR(__xludf.DUMMYFUNCTION("""COMPUTED_VALUE"""),0.5244444444444447)</f>
        <v>0.5244444444</v>
      </c>
      <c r="G420" s="4" t="str">
        <f>IFERROR(__xludf.DUMMYFUNCTION("""COMPUTED_VALUE"""),"Graphics")</f>
        <v>Graphics</v>
      </c>
      <c r="H420" s="4" t="str">
        <f>IFERROR(__xludf.DUMMYFUNCTION("""COMPUTED_VALUE"""),"")</f>
        <v/>
      </c>
      <c r="I420" s="4" t="str">
        <f>IFERROR(__xludf.DUMMYFUNCTION("""COMPUTED_VALUE"""),"")</f>
        <v/>
      </c>
      <c r="J420" s="4" t="str">
        <f>IFERROR(__xludf.DUMMYFUNCTION("""COMPUTED_VALUE"""),"Sales")</f>
        <v>Sales</v>
      </c>
      <c r="K420" s="4" t="str">
        <f>IFERROR(__xludf.DUMMYFUNCTION("""COMPUTED_VALUE"""),"Talk Intro")</f>
        <v>Talk Intro</v>
      </c>
      <c r="L420" s="4" t="str">
        <f>IFERROR(__xludf.DUMMYFUNCTION("""COMPUTED_VALUE"""),"")</f>
        <v/>
      </c>
      <c r="M420" s="4" t="str">
        <f>IFERROR(__xludf.DUMMYFUNCTION("""COMPUTED_VALUE"""),"Talk Intro")</f>
        <v>Talk Intro</v>
      </c>
      <c r="N420" s="4" t="str">
        <f>IFERROR(__xludf.DUMMYFUNCTION("""COMPUTED_VALUE"""),"")</f>
        <v/>
      </c>
      <c r="O420" s="4" t="str">
        <f>IFERROR(__xludf.DUMMYFUNCTION("""COMPUTED_VALUE"""),"")</f>
        <v/>
      </c>
      <c r="P420" s="4" t="str">
        <f>IFERROR(__xludf.DUMMYFUNCTION("""COMPUTED_VALUE"""),"")</f>
        <v/>
      </c>
      <c r="Q420" s="4" t="str">
        <f>IFERROR(__xludf.DUMMYFUNCTION("""COMPUTED_VALUE"""),"")</f>
        <v/>
      </c>
      <c r="R420" s="4" t="str">
        <f>IFERROR(__xludf.DUMMYFUNCTION("""COMPUTED_VALUE"""),"")</f>
        <v/>
      </c>
      <c r="S420" s="4" t="str">
        <f>IFERROR(__xludf.DUMMYFUNCTION("""COMPUTED_VALUE"""),"")</f>
        <v/>
      </c>
      <c r="T420" s="4" t="str">
        <f>IFERROR(__xludf.DUMMYFUNCTION("""COMPUTED_VALUE"""),"")</f>
        <v/>
      </c>
      <c r="U420" s="4" t="str">
        <f>IFERROR(__xludf.DUMMYFUNCTION("""COMPUTED_VALUE"""),"")</f>
        <v/>
      </c>
      <c r="V420" s="4" t="str">
        <f>IFERROR(__xludf.DUMMYFUNCTION("""COMPUTED_VALUE"""),"")</f>
        <v/>
      </c>
      <c r="W420" s="4" t="str">
        <f>IFERROR(__xludf.DUMMYFUNCTION("""COMPUTED_VALUE"""),"")</f>
        <v/>
      </c>
      <c r="X420" s="4" t="str">
        <f>IFERROR(__xludf.DUMMYFUNCTION("""COMPUTED_VALUE"""),"")</f>
        <v/>
      </c>
      <c r="Y420" s="4" t="str">
        <f>IFERROR(__xludf.DUMMYFUNCTION("""COMPUTED_VALUE"""),"")</f>
        <v/>
      </c>
    </row>
    <row r="421">
      <c r="A421" s="4" t="str">
        <f>IFERROR(__xludf.DUMMYFUNCTION("""COMPUTED_VALUE"""),"1293 - Channel")</f>
        <v>1293 - Channel</v>
      </c>
      <c r="B421" s="4" t="str">
        <f>IFERROR(__xludf.DUMMYFUNCTION("""COMPUTED_VALUE"""),"Channel 2")</f>
        <v>Channel 2</v>
      </c>
      <c r="C421" s="4" t="str">
        <f>IFERROR(__xludf.DUMMYFUNCTION("""COMPUTED_VALUE"""),"Day 1 - 23/06")</f>
        <v>Day 1 - 23/06</v>
      </c>
      <c r="D421" s="6">
        <f>IFERROR(__xludf.DUMMYFUNCTION("""COMPUTED_VALUE"""),0.5244444444444447)</f>
        <v>0.5244444444</v>
      </c>
      <c r="E421" s="6">
        <f>IFERROR(__xludf.DUMMYFUNCTION("""COMPUTED_VALUE"""),0.0020833333333333333)</f>
        <v>0.002083333333</v>
      </c>
      <c r="F421" s="6">
        <f>IFERROR(__xludf.DUMMYFUNCTION("""COMPUTED_VALUE"""),0.526527777777778)</f>
        <v>0.5265277778</v>
      </c>
      <c r="G421" s="4" t="str">
        <f>IFERROR(__xludf.DUMMYFUNCTION("""COMPUTED_VALUE"""),"Dan")</f>
        <v>Dan</v>
      </c>
      <c r="H421" s="4" t="str">
        <f>IFERROR(__xludf.DUMMYFUNCTION("""COMPUTED_VALUE"""),"N/A")</f>
        <v>N/A</v>
      </c>
      <c r="I421" s="4" t="str">
        <f>IFERROR(__xludf.DUMMYFUNCTION("""COMPUTED_VALUE"""),"Jack")</f>
        <v>Jack</v>
      </c>
      <c r="J421" s="4" t="str">
        <f>IFERROR(__xludf.DUMMYFUNCTION("""COMPUTED_VALUE"""),"Sales")</f>
        <v>Sales</v>
      </c>
      <c r="K421" s="4" t="str">
        <f>IFERROR(__xludf.DUMMYFUNCTION("""COMPUTED_VALUE"""),"Keynote")</f>
        <v>Keynote</v>
      </c>
      <c r="L421" s="4" t="str">
        <f>IFERROR(__xludf.DUMMYFUNCTION("""COMPUTED_VALUE"""),"T- 9 - 20/04/2020")</f>
        <v>T- 9 - 20/04/2020</v>
      </c>
      <c r="M421" s="4" t="str">
        <f>IFERROR(__xludf.DUMMYFUNCTION("""COMPUTED_VALUE"""),"Actually – not artificially – intelligent drones")</f>
        <v>Actually – not artificially – intelligent drones</v>
      </c>
      <c r="N421" s="4" t="str">
        <f>IFERROR(__xludf.DUMMYFUNCTION("""COMPUTED_VALUE"""),"Bobby Healy, Manna")</f>
        <v>Bobby Healy, Manna</v>
      </c>
      <c r="O421" s="4" t="str">
        <f>IFERROR(__xludf.DUMMYFUNCTION("""COMPUTED_VALUE"""),"")</f>
        <v/>
      </c>
      <c r="P421" s="4" t="str">
        <f>IFERROR(__xludf.DUMMYFUNCTION("""COMPUTED_VALUE"""),"")</f>
        <v/>
      </c>
      <c r="Q421" s="4" t="str">
        <f>IFERROR(__xludf.DUMMYFUNCTION("""COMPUTED_VALUE"""),"")</f>
        <v/>
      </c>
      <c r="R421" s="4" t="str">
        <f>IFERROR(__xludf.DUMMYFUNCTION("""COMPUTED_VALUE"""),"")</f>
        <v/>
      </c>
      <c r="S421" s="4" t="str">
        <f>IFERROR(__xludf.DUMMYFUNCTION("""COMPUTED_VALUE"""),"Bobby Healy, the founder and CEO of the world’s first drone delivery service, Manna, will discuss the company's plans to transform how food and medicine will be delivered in future.")</f>
        <v>Bobby Healy, the founder and CEO of the world’s first drone delivery service, Manna, will discuss the company's plans to transform how food and medicine will be delivered in future.</v>
      </c>
      <c r="T421" s="4" t="str">
        <f>IFERROR(__xludf.DUMMYFUNCTION("""COMPUTED_VALUE"""),"KEYNOTE 8 - COMPLETE")</f>
        <v>KEYNOTE 8 - COMPLETE</v>
      </c>
      <c r="U421" s="23">
        <f>IFERROR(__xludf.DUMMYFUNCTION("""COMPUTED_VALUE"""),43943.0)</f>
        <v>43943</v>
      </c>
      <c r="V421" s="24">
        <f>IFERROR(__xludf.DUMMYFUNCTION("""COMPUTED_VALUE"""),0.5833333333333334)</f>
        <v>0.5833333333</v>
      </c>
      <c r="W421" s="4" t="str">
        <f>IFERROR(__xludf.DUMMYFUNCTION("""COMPUTED_VALUE"""),"COMPLETE")</f>
        <v>COMPLETE</v>
      </c>
      <c r="X421" s="4" t="str">
        <f>IFERROR(__xludf.DUMMYFUNCTION("""COMPUTED_VALUE"""),"Dan")</f>
        <v>Dan</v>
      </c>
      <c r="Y421" s="4" t="str">
        <f>IFERROR(__xludf.DUMMYFUNCTION("""COMPUTED_VALUE"""),"4638879851912236304")</f>
        <v>4638879851912236304</v>
      </c>
    </row>
    <row r="422">
      <c r="A422" s="4" t="str">
        <f>IFERROR(__xludf.DUMMYFUNCTION("""COMPUTED_VALUE"""),"438 - Channel")</f>
        <v>438 - Channel</v>
      </c>
      <c r="B422" s="4" t="str">
        <f>IFERROR(__xludf.DUMMYFUNCTION("""COMPUTED_VALUE"""),"Channel 2")</f>
        <v>Channel 2</v>
      </c>
      <c r="C422" s="4" t="str">
        <f>IFERROR(__xludf.DUMMYFUNCTION("""COMPUTED_VALUE"""),"Day 1 - 23/06")</f>
        <v>Day 1 - 23/06</v>
      </c>
      <c r="D422" s="6">
        <f>IFERROR(__xludf.DUMMYFUNCTION("""COMPUTED_VALUE"""),0.526527777777778)</f>
        <v>0.5265277778</v>
      </c>
      <c r="E422" s="6">
        <f>IFERROR(__xludf.DUMMYFUNCTION("""COMPUTED_VALUE"""),1.7361111111111112E-4)</f>
        <v>0.0001736111111</v>
      </c>
      <c r="F422" s="6">
        <f>IFERROR(__xludf.DUMMYFUNCTION("""COMPUTED_VALUE"""),0.5267013888888892)</f>
        <v>0.5267013889</v>
      </c>
      <c r="G422" s="4" t="str">
        <f>IFERROR(__xludf.DUMMYFUNCTION("""COMPUTED_VALUE"""),"Graphics")</f>
        <v>Graphics</v>
      </c>
      <c r="H422" s="4" t="str">
        <f>IFERROR(__xludf.DUMMYFUNCTION("""COMPUTED_VALUE"""),"")</f>
        <v/>
      </c>
      <c r="I422" s="4" t="str">
        <f>IFERROR(__xludf.DUMMYFUNCTION("""COMPUTED_VALUE"""),"")</f>
        <v/>
      </c>
      <c r="J422" s="4" t="str">
        <f>IFERROR(__xludf.DUMMYFUNCTION("""COMPUTED_VALUE"""),"Sales")</f>
        <v>Sales</v>
      </c>
      <c r="K422" s="4" t="str">
        <f>IFERROR(__xludf.DUMMYFUNCTION("""COMPUTED_VALUE"""),"Talk Outro")</f>
        <v>Talk Outro</v>
      </c>
      <c r="L422" s="4" t="str">
        <f>IFERROR(__xludf.DUMMYFUNCTION("""COMPUTED_VALUE"""),"")</f>
        <v/>
      </c>
      <c r="M422" s="4" t="str">
        <f>IFERROR(__xludf.DUMMYFUNCTION("""COMPUTED_VALUE"""),"Talk Outro")</f>
        <v>Talk Outro</v>
      </c>
      <c r="N422" s="4" t="str">
        <f>IFERROR(__xludf.DUMMYFUNCTION("""COMPUTED_VALUE"""),"")</f>
        <v/>
      </c>
      <c r="O422" s="4" t="str">
        <f>IFERROR(__xludf.DUMMYFUNCTION("""COMPUTED_VALUE"""),"")</f>
        <v/>
      </c>
      <c r="P422" s="4" t="str">
        <f>IFERROR(__xludf.DUMMYFUNCTION("""COMPUTED_VALUE"""),"")</f>
        <v/>
      </c>
      <c r="Q422" s="4" t="str">
        <f>IFERROR(__xludf.DUMMYFUNCTION("""COMPUTED_VALUE"""),"")</f>
        <v/>
      </c>
      <c r="R422" s="4" t="str">
        <f>IFERROR(__xludf.DUMMYFUNCTION("""COMPUTED_VALUE"""),"")</f>
        <v/>
      </c>
      <c r="S422" s="4" t="str">
        <f>IFERROR(__xludf.DUMMYFUNCTION("""COMPUTED_VALUE"""),"")</f>
        <v/>
      </c>
      <c r="T422" s="4" t="str">
        <f>IFERROR(__xludf.DUMMYFUNCTION("""COMPUTED_VALUE"""),"")</f>
        <v/>
      </c>
      <c r="U422" s="4" t="str">
        <f>IFERROR(__xludf.DUMMYFUNCTION("""COMPUTED_VALUE"""),"")</f>
        <v/>
      </c>
      <c r="V422" s="4" t="str">
        <f>IFERROR(__xludf.DUMMYFUNCTION("""COMPUTED_VALUE"""),"")</f>
        <v/>
      </c>
      <c r="W422" s="4" t="str">
        <f>IFERROR(__xludf.DUMMYFUNCTION("""COMPUTED_VALUE"""),"")</f>
        <v/>
      </c>
      <c r="X422" s="4" t="str">
        <f>IFERROR(__xludf.DUMMYFUNCTION("""COMPUTED_VALUE"""),"")</f>
        <v/>
      </c>
      <c r="Y422" s="4" t="str">
        <f>IFERROR(__xludf.DUMMYFUNCTION("""COMPUTED_VALUE"""),"")</f>
        <v/>
      </c>
    </row>
    <row r="423">
      <c r="A423" s="4" t="str">
        <f>IFERROR(__xludf.DUMMYFUNCTION("""COMPUTED_VALUE"""),"440 - Channel")</f>
        <v>440 - Channel</v>
      </c>
      <c r="B423" s="4" t="str">
        <f>IFERROR(__xludf.DUMMYFUNCTION("""COMPUTED_VALUE"""),"Channel 2")</f>
        <v>Channel 2</v>
      </c>
      <c r="C423" s="4" t="str">
        <f>IFERROR(__xludf.DUMMYFUNCTION("""COMPUTED_VALUE"""),"Day 1 - 23/06")</f>
        <v>Day 1 - 23/06</v>
      </c>
      <c r="D423" s="6">
        <f>IFERROR(__xludf.DUMMYFUNCTION("""COMPUTED_VALUE"""),0.5267013888888892)</f>
        <v>0.5267013889</v>
      </c>
      <c r="E423" s="6">
        <f>IFERROR(__xludf.DUMMYFUNCTION("""COMPUTED_VALUE"""),3.4722222222222224E-4)</f>
        <v>0.0003472222222</v>
      </c>
      <c r="F423" s="6">
        <f>IFERROR(__xludf.DUMMYFUNCTION("""COMPUTED_VALUE"""),0.5270486111111115)</f>
        <v>0.5270486111</v>
      </c>
      <c r="G423" s="4" t="str">
        <f>IFERROR(__xludf.DUMMYFUNCTION("""COMPUTED_VALUE"""),"Graphics")</f>
        <v>Graphics</v>
      </c>
      <c r="H423" s="4" t="str">
        <f>IFERROR(__xludf.DUMMYFUNCTION("""COMPUTED_VALUE"""),"")</f>
        <v/>
      </c>
      <c r="I423" s="4" t="str">
        <f>IFERROR(__xludf.DUMMYFUNCTION("""COMPUTED_VALUE"""),"")</f>
        <v/>
      </c>
      <c r="J423" s="4" t="str">
        <f>IFERROR(__xludf.DUMMYFUNCTION("""COMPUTED_VALUE"""),"Sales")</f>
        <v>Sales</v>
      </c>
      <c r="K423" s="4" t="str">
        <f>IFERROR(__xludf.DUMMYFUNCTION("""COMPUTED_VALUE"""),"Talk Intro")</f>
        <v>Talk Intro</v>
      </c>
      <c r="L423" s="4" t="str">
        <f>IFERROR(__xludf.DUMMYFUNCTION("""COMPUTED_VALUE"""),"")</f>
        <v/>
      </c>
      <c r="M423" s="4" t="str">
        <f>IFERROR(__xludf.DUMMYFUNCTION("""COMPUTED_VALUE"""),"Talk Intro")</f>
        <v>Talk Intro</v>
      </c>
      <c r="N423" s="4" t="str">
        <f>IFERROR(__xludf.DUMMYFUNCTION("""COMPUTED_VALUE"""),"")</f>
        <v/>
      </c>
      <c r="O423" s="4" t="str">
        <f>IFERROR(__xludf.DUMMYFUNCTION("""COMPUTED_VALUE"""),"")</f>
        <v/>
      </c>
      <c r="P423" s="4" t="str">
        <f>IFERROR(__xludf.DUMMYFUNCTION("""COMPUTED_VALUE"""),"")</f>
        <v/>
      </c>
      <c r="Q423" s="4" t="str">
        <f>IFERROR(__xludf.DUMMYFUNCTION("""COMPUTED_VALUE"""),"")</f>
        <v/>
      </c>
      <c r="R423" s="4" t="str">
        <f>IFERROR(__xludf.DUMMYFUNCTION("""COMPUTED_VALUE"""),"")</f>
        <v/>
      </c>
      <c r="S423" s="4" t="str">
        <f>IFERROR(__xludf.DUMMYFUNCTION("""COMPUTED_VALUE"""),"")</f>
        <v/>
      </c>
      <c r="T423" s="4" t="str">
        <f>IFERROR(__xludf.DUMMYFUNCTION("""COMPUTED_VALUE"""),"")</f>
        <v/>
      </c>
      <c r="U423" s="4" t="str">
        <f>IFERROR(__xludf.DUMMYFUNCTION("""COMPUTED_VALUE"""),"")</f>
        <v/>
      </c>
      <c r="V423" s="4" t="str">
        <f>IFERROR(__xludf.DUMMYFUNCTION("""COMPUTED_VALUE"""),"")</f>
        <v/>
      </c>
      <c r="W423" s="4" t="str">
        <f>IFERROR(__xludf.DUMMYFUNCTION("""COMPUTED_VALUE"""),"")</f>
        <v/>
      </c>
      <c r="X423" s="4" t="str">
        <f>IFERROR(__xludf.DUMMYFUNCTION("""COMPUTED_VALUE"""),"")</f>
        <v/>
      </c>
      <c r="Y423" s="4" t="str">
        <f>IFERROR(__xludf.DUMMYFUNCTION("""COMPUTED_VALUE"""),"")</f>
        <v/>
      </c>
    </row>
    <row r="424">
      <c r="A424" s="4" t="str">
        <f>IFERROR(__xludf.DUMMYFUNCTION("""COMPUTED_VALUE"""),"441 - Channel")</f>
        <v>441 - Channel</v>
      </c>
      <c r="B424" s="4" t="str">
        <f>IFERROR(__xludf.DUMMYFUNCTION("""COMPUTED_VALUE"""),"Channel 2")</f>
        <v>Channel 2</v>
      </c>
      <c r="C424" s="4" t="str">
        <f>IFERROR(__xludf.DUMMYFUNCTION("""COMPUTED_VALUE"""),"Day 1 - 23/06")</f>
        <v>Day 1 - 23/06</v>
      </c>
      <c r="D424" s="6">
        <f>IFERROR(__xludf.DUMMYFUNCTION("""COMPUTED_VALUE"""),0.5270486111111115)</f>
        <v>0.5270486111</v>
      </c>
      <c r="E424" s="6">
        <f>IFERROR(__xludf.DUMMYFUNCTION("""COMPUTED_VALUE"""),0.0125)</f>
        <v>0.0125</v>
      </c>
      <c r="F424" s="6">
        <f>IFERROR(__xludf.DUMMYFUNCTION("""COMPUTED_VALUE"""),0.5395486111111114)</f>
        <v>0.5395486111</v>
      </c>
      <c r="G424" s="4" t="str">
        <f>IFERROR(__xludf.DUMMYFUNCTION("""COMPUTED_VALUE"""),"Darren")</f>
        <v>Darren</v>
      </c>
      <c r="H424" s="4" t="str">
        <f>IFERROR(__xludf.DUMMYFUNCTION("""COMPUTED_VALUE"""),"Haziq")</f>
        <v>Haziq</v>
      </c>
      <c r="I424" s="4" t="str">
        <f>IFERROR(__xludf.DUMMYFUNCTION("""COMPUTED_VALUE"""),"Naomi")</f>
        <v>Naomi</v>
      </c>
      <c r="J424" s="4" t="str">
        <f>IFERROR(__xludf.DUMMYFUNCTION("""COMPUTED_VALUE"""),"Sales")</f>
        <v>Sales</v>
      </c>
      <c r="K424" s="4" t="str">
        <f>IFERROR(__xludf.DUMMYFUNCTION("""COMPUTED_VALUE"""),"Super Fireside")</f>
        <v>Super Fireside</v>
      </c>
      <c r="L424" s="4" t="str">
        <f>IFERROR(__xludf.DUMMYFUNCTION("""COMPUTED_VALUE"""),"T- 3 - 01/06/2020")</f>
        <v>T- 3 - 01/06/2020</v>
      </c>
      <c r="M424" s="4" t="str">
        <f>IFERROR(__xludf.DUMMYFUNCTION("""COMPUTED_VALUE"""),"Building a community-first business empire")</f>
        <v>Building a community-first business empire</v>
      </c>
      <c r="N424" s="4" t="str">
        <f>IFERROR(__xludf.DUMMYFUNCTION("""COMPUTED_VALUE"""),"Huda Kattan, Huda Beauty")</f>
        <v>Huda Kattan, Huda Beauty</v>
      </c>
      <c r="O424" s="4" t="str">
        <f>IFERROR(__xludf.DUMMYFUNCTION("""COMPUTED_VALUE"""),"Mona Kattan, Huda Beauty")</f>
        <v>Mona Kattan, Huda Beauty</v>
      </c>
      <c r="P424" s="4" t="str">
        <f>IFERROR(__xludf.DUMMYFUNCTION("""COMPUTED_VALUE"""),"")</f>
        <v/>
      </c>
      <c r="Q424" s="4" t="str">
        <f>IFERROR(__xludf.DUMMYFUNCTION("""COMPUTED_VALUE"""),"")</f>
        <v/>
      </c>
      <c r="R424" s="4" t="str">
        <f>IFERROR(__xludf.DUMMYFUNCTION("""COMPUTED_VALUE"""),"Samantha Barry, Glamour")</f>
        <v>Samantha Barry, Glamour</v>
      </c>
      <c r="S424" s="4" t="str">
        <f>IFERROR(__xludf.DUMMYFUNCTION("""COMPUTED_VALUE"""),"Hear the fascinating story of how Huda and Mona Kattan, the co-founders of Huda Beauty, built a beauty empire that includes skincare, cosmetics and fragrances. The duo have created an unprecedented global digital community with more than 43 million follow"&amp;"ers on Instagram alone. In this talk, they'll detail their multichannel approach to content and commerce.")</f>
        <v>Hear the fascinating story of how Huda and Mona Kattan, the co-founders of Huda Beauty, built a beauty empire that includes skincare, cosmetics and fragrances. The duo have created an unprecedented global digital community with more than 43 million followers on Instagram alone. In this talk, they'll detail their multichannel approach to content and commerce.</v>
      </c>
      <c r="T424" s="4" t="str">
        <f>IFERROR(__xludf.DUMMYFUNCTION("""COMPUTED_VALUE"""),"NON-KEYNOTE 9 - COMPLETE")</f>
        <v>NON-KEYNOTE 9 - COMPLETE</v>
      </c>
      <c r="U424" s="23">
        <f>IFERROR(__xludf.DUMMYFUNCTION("""COMPUTED_VALUE"""),43987.0)</f>
        <v>43987</v>
      </c>
      <c r="V424" s="44">
        <f>IFERROR(__xludf.DUMMYFUNCTION("""COMPUTED_VALUE"""),0.7291666666666666)</f>
        <v>0.7291666667</v>
      </c>
      <c r="W424" s="4" t="str">
        <f>IFERROR(__xludf.DUMMYFUNCTION("""COMPUTED_VALUE"""),"COMPLETE")</f>
        <v>COMPLETE</v>
      </c>
      <c r="X424" s="4" t="str">
        <f>IFERROR(__xludf.DUMMYFUNCTION("""COMPUTED_VALUE"""),"Darren")</f>
        <v>Darren</v>
      </c>
      <c r="Y424" s="4" t="str">
        <f>IFERROR(__xludf.DUMMYFUNCTION("""COMPUTED_VALUE"""),"")</f>
        <v/>
      </c>
    </row>
    <row r="425">
      <c r="A425" s="4" t="str">
        <f>IFERROR(__xludf.DUMMYFUNCTION("""COMPUTED_VALUE"""),"442 - Channel")</f>
        <v>442 - Channel</v>
      </c>
      <c r="B425" s="4" t="str">
        <f>IFERROR(__xludf.DUMMYFUNCTION("""COMPUTED_VALUE"""),"Channel 2")</f>
        <v>Channel 2</v>
      </c>
      <c r="C425" s="4" t="str">
        <f>IFERROR(__xludf.DUMMYFUNCTION("""COMPUTED_VALUE"""),"Day 1 - 23/06")</f>
        <v>Day 1 - 23/06</v>
      </c>
      <c r="D425" s="6">
        <f>IFERROR(__xludf.DUMMYFUNCTION("""COMPUTED_VALUE"""),0.5395486111111114)</f>
        <v>0.5395486111</v>
      </c>
      <c r="E425" s="6">
        <f>IFERROR(__xludf.DUMMYFUNCTION("""COMPUTED_VALUE"""),1.7361111111111112E-4)</f>
        <v>0.0001736111111</v>
      </c>
      <c r="F425" s="6">
        <f>IFERROR(__xludf.DUMMYFUNCTION("""COMPUTED_VALUE"""),0.5397222222222225)</f>
        <v>0.5397222222</v>
      </c>
      <c r="G425" s="4" t="str">
        <f>IFERROR(__xludf.DUMMYFUNCTION("""COMPUTED_VALUE"""),"Graphics")</f>
        <v>Graphics</v>
      </c>
      <c r="H425" s="4" t="str">
        <f>IFERROR(__xludf.DUMMYFUNCTION("""COMPUTED_VALUE"""),"")</f>
        <v/>
      </c>
      <c r="I425" s="4" t="str">
        <f>IFERROR(__xludf.DUMMYFUNCTION("""COMPUTED_VALUE"""),"")</f>
        <v/>
      </c>
      <c r="J425" s="4" t="str">
        <f>IFERROR(__xludf.DUMMYFUNCTION("""COMPUTED_VALUE"""),"Sales")</f>
        <v>Sales</v>
      </c>
      <c r="K425" s="4" t="str">
        <f>IFERROR(__xludf.DUMMYFUNCTION("""COMPUTED_VALUE"""),"Talk Outro")</f>
        <v>Talk Outro</v>
      </c>
      <c r="L425" s="4" t="str">
        <f>IFERROR(__xludf.DUMMYFUNCTION("""COMPUTED_VALUE"""),"")</f>
        <v/>
      </c>
      <c r="M425" s="4" t="str">
        <f>IFERROR(__xludf.DUMMYFUNCTION("""COMPUTED_VALUE"""),"Talk Outro ")</f>
        <v>Talk Outro </v>
      </c>
      <c r="N425" s="4" t="str">
        <f>IFERROR(__xludf.DUMMYFUNCTION("""COMPUTED_VALUE"""),"")</f>
        <v/>
      </c>
      <c r="O425" s="4" t="str">
        <f>IFERROR(__xludf.DUMMYFUNCTION("""COMPUTED_VALUE"""),"")</f>
        <v/>
      </c>
      <c r="P425" s="4" t="str">
        <f>IFERROR(__xludf.DUMMYFUNCTION("""COMPUTED_VALUE"""),"")</f>
        <v/>
      </c>
      <c r="Q425" s="4" t="str">
        <f>IFERROR(__xludf.DUMMYFUNCTION("""COMPUTED_VALUE"""),"")</f>
        <v/>
      </c>
      <c r="R425" s="4" t="str">
        <f>IFERROR(__xludf.DUMMYFUNCTION("""COMPUTED_VALUE"""),"")</f>
        <v/>
      </c>
      <c r="S425" s="4" t="str">
        <f>IFERROR(__xludf.DUMMYFUNCTION("""COMPUTED_VALUE"""),"")</f>
        <v/>
      </c>
      <c r="T425" s="4" t="str">
        <f>IFERROR(__xludf.DUMMYFUNCTION("""COMPUTED_VALUE"""),"")</f>
        <v/>
      </c>
      <c r="U425" s="4" t="str">
        <f>IFERROR(__xludf.DUMMYFUNCTION("""COMPUTED_VALUE"""),"")</f>
        <v/>
      </c>
      <c r="V425" s="4" t="str">
        <f>IFERROR(__xludf.DUMMYFUNCTION("""COMPUTED_VALUE"""),"")</f>
        <v/>
      </c>
      <c r="W425" s="4" t="str">
        <f>IFERROR(__xludf.DUMMYFUNCTION("""COMPUTED_VALUE"""),"")</f>
        <v/>
      </c>
      <c r="X425" s="4" t="str">
        <f>IFERROR(__xludf.DUMMYFUNCTION("""COMPUTED_VALUE"""),"")</f>
        <v/>
      </c>
      <c r="Y425" s="4" t="str">
        <f>IFERROR(__xludf.DUMMYFUNCTION("""COMPUTED_VALUE"""),"")</f>
        <v/>
      </c>
    </row>
    <row r="426">
      <c r="A426" s="4" t="str">
        <f>IFERROR(__xludf.DUMMYFUNCTION("""COMPUTED_VALUE"""),"443 - Channel")</f>
        <v>443 - Channel</v>
      </c>
      <c r="B426" s="4" t="str">
        <f>IFERROR(__xludf.DUMMYFUNCTION("""COMPUTED_VALUE"""),"Channel 2")</f>
        <v>Channel 2</v>
      </c>
      <c r="C426" s="4" t="str">
        <f>IFERROR(__xludf.DUMMYFUNCTION("""COMPUTED_VALUE"""),"Day 1 - 23/06")</f>
        <v>Day 1 - 23/06</v>
      </c>
      <c r="D426" s="6">
        <f>IFERROR(__xludf.DUMMYFUNCTION("""COMPUTED_VALUE"""),0.5397222222222225)</f>
        <v>0.5397222222</v>
      </c>
      <c r="E426" s="6">
        <f>IFERROR(__xludf.DUMMYFUNCTION("""COMPUTED_VALUE"""),3.4722222222222224E-4)</f>
        <v>0.0003472222222</v>
      </c>
      <c r="F426" s="6">
        <f>IFERROR(__xludf.DUMMYFUNCTION("""COMPUTED_VALUE"""),0.5400694444444448)</f>
        <v>0.5400694444</v>
      </c>
      <c r="G426" s="4" t="str">
        <f>IFERROR(__xludf.DUMMYFUNCTION("""COMPUTED_VALUE"""),"Graphics")</f>
        <v>Graphics</v>
      </c>
      <c r="H426" s="4" t="str">
        <f>IFERROR(__xludf.DUMMYFUNCTION("""COMPUTED_VALUE"""),"")</f>
        <v/>
      </c>
      <c r="I426" s="4" t="str">
        <f>IFERROR(__xludf.DUMMYFUNCTION("""COMPUTED_VALUE"""),"")</f>
        <v/>
      </c>
      <c r="J426" s="4" t="str">
        <f>IFERROR(__xludf.DUMMYFUNCTION("""COMPUTED_VALUE"""),"Sales")</f>
        <v>Sales</v>
      </c>
      <c r="K426" s="4" t="str">
        <f>IFERROR(__xludf.DUMMYFUNCTION("""COMPUTED_VALUE"""),"Web Summit Trailer - short")</f>
        <v>Web Summit Trailer - short</v>
      </c>
      <c r="L426" s="4" t="str">
        <f>IFERROR(__xludf.DUMMYFUNCTION("""COMPUTED_VALUE"""),"")</f>
        <v/>
      </c>
      <c r="M426" s="4" t="str">
        <f>IFERROR(__xludf.DUMMYFUNCTION("""COMPUTED_VALUE"""),"Web Summit Trailer - short")</f>
        <v>Web Summit Trailer - short</v>
      </c>
      <c r="N426" s="4" t="str">
        <f>IFERROR(__xludf.DUMMYFUNCTION("""COMPUTED_VALUE"""),"")</f>
        <v/>
      </c>
      <c r="O426" s="4" t="str">
        <f>IFERROR(__xludf.DUMMYFUNCTION("""COMPUTED_VALUE"""),"")</f>
        <v/>
      </c>
      <c r="P426" s="4" t="str">
        <f>IFERROR(__xludf.DUMMYFUNCTION("""COMPUTED_VALUE"""),"")</f>
        <v/>
      </c>
      <c r="Q426" s="4" t="str">
        <f>IFERROR(__xludf.DUMMYFUNCTION("""COMPUTED_VALUE"""),"")</f>
        <v/>
      </c>
      <c r="R426" s="4" t="str">
        <f>IFERROR(__xludf.DUMMYFUNCTION("""COMPUTED_VALUE"""),"")</f>
        <v/>
      </c>
      <c r="S426" s="4" t="str">
        <f>IFERROR(__xludf.DUMMYFUNCTION("""COMPUTED_VALUE"""),"")</f>
        <v/>
      </c>
      <c r="T426" s="4" t="str">
        <f>IFERROR(__xludf.DUMMYFUNCTION("""COMPUTED_VALUE"""),"")</f>
        <v/>
      </c>
      <c r="U426" s="4" t="str">
        <f>IFERROR(__xludf.DUMMYFUNCTION("""COMPUTED_VALUE"""),"")</f>
        <v/>
      </c>
      <c r="V426" s="4" t="str">
        <f>IFERROR(__xludf.DUMMYFUNCTION("""COMPUTED_VALUE"""),"")</f>
        <v/>
      </c>
      <c r="W426" s="4" t="str">
        <f>IFERROR(__xludf.DUMMYFUNCTION("""COMPUTED_VALUE"""),"")</f>
        <v/>
      </c>
      <c r="X426" s="4" t="str">
        <f>IFERROR(__xludf.DUMMYFUNCTION("""COMPUTED_VALUE"""),"")</f>
        <v/>
      </c>
      <c r="Y426" s="4" t="str">
        <f>IFERROR(__xludf.DUMMYFUNCTION("""COMPUTED_VALUE"""),"")</f>
        <v/>
      </c>
    </row>
    <row r="427">
      <c r="A427" s="4" t="str">
        <f>IFERROR(__xludf.DUMMYFUNCTION("""COMPUTED_VALUE"""),"1505 - Channel")</f>
        <v>1505 - Channel</v>
      </c>
      <c r="B427" s="4" t="str">
        <f>IFERROR(__xludf.DUMMYFUNCTION("""COMPUTED_VALUE"""),"Channel 2")</f>
        <v>Channel 2</v>
      </c>
      <c r="C427" s="4" t="str">
        <f>IFERROR(__xludf.DUMMYFUNCTION("""COMPUTED_VALUE"""),"Day 1 - 23/06")</f>
        <v>Day 1 - 23/06</v>
      </c>
      <c r="D427" s="4" t="str">
        <f>IFERROR(__xludf.DUMMYFUNCTION("""COMPUTED_VALUE"""),"")</f>
        <v/>
      </c>
      <c r="E427" s="4" t="str">
        <f>IFERROR(__xludf.DUMMYFUNCTION("""COMPUTED_VALUE"""),"")</f>
        <v/>
      </c>
      <c r="F427" s="4" t="str">
        <f>IFERROR(__xludf.DUMMYFUNCTION("""COMPUTED_VALUE"""),"")</f>
        <v/>
      </c>
      <c r="G427" s="4" t="str">
        <f>IFERROR(__xludf.DUMMYFUNCTION("""COMPUTED_VALUE"""),"")</f>
        <v/>
      </c>
      <c r="H427" s="4" t="str">
        <f>IFERROR(__xludf.DUMMYFUNCTION("""COMPUTED_VALUE"""),"")</f>
        <v/>
      </c>
      <c r="I427" s="4" t="str">
        <f>IFERROR(__xludf.DUMMYFUNCTION("""COMPUTED_VALUE"""),"")</f>
        <v/>
      </c>
      <c r="J427" s="4" t="str">
        <f>IFERROR(__xludf.DUMMYFUNCTION("""COMPUTED_VALUE"""),"")</f>
        <v/>
      </c>
      <c r="K427" s="4" t="str">
        <f>IFERROR(__xludf.DUMMYFUNCTION("""COMPUTED_VALUE"""),"")</f>
        <v/>
      </c>
      <c r="L427" s="4" t="str">
        <f>IFERROR(__xludf.DUMMYFUNCTION("""COMPUTED_VALUE"""),"")</f>
        <v/>
      </c>
      <c r="M427" s="4" t="str">
        <f>IFERROR(__xludf.DUMMYFUNCTION("""COMPUTED_VALUE"""),"")</f>
        <v/>
      </c>
      <c r="N427" s="4" t="str">
        <f>IFERROR(__xludf.DUMMYFUNCTION("""COMPUTED_VALUE"""),"")</f>
        <v/>
      </c>
      <c r="O427" s="4" t="str">
        <f>IFERROR(__xludf.DUMMYFUNCTION("""COMPUTED_VALUE"""),"")</f>
        <v/>
      </c>
      <c r="P427" s="4" t="str">
        <f>IFERROR(__xludf.DUMMYFUNCTION("""COMPUTED_VALUE"""),"")</f>
        <v/>
      </c>
      <c r="Q427" s="4" t="str">
        <f>IFERROR(__xludf.DUMMYFUNCTION("""COMPUTED_VALUE"""),"")</f>
        <v/>
      </c>
      <c r="R427" s="4" t="str">
        <f>IFERROR(__xludf.DUMMYFUNCTION("""COMPUTED_VALUE"""),"")</f>
        <v/>
      </c>
      <c r="S427" s="4" t="str">
        <f>IFERROR(__xludf.DUMMYFUNCTION("""COMPUTED_VALUE"""),"")</f>
        <v/>
      </c>
      <c r="T427" s="4" t="str">
        <f>IFERROR(__xludf.DUMMYFUNCTION("""COMPUTED_VALUE"""),"")</f>
        <v/>
      </c>
      <c r="U427" s="4" t="str">
        <f>IFERROR(__xludf.DUMMYFUNCTION("""COMPUTED_VALUE"""),"")</f>
        <v/>
      </c>
      <c r="V427" s="4" t="str">
        <f>IFERROR(__xludf.DUMMYFUNCTION("""COMPUTED_VALUE"""),"")</f>
        <v/>
      </c>
      <c r="W427" s="4" t="str">
        <f>IFERROR(__xludf.DUMMYFUNCTION("""COMPUTED_VALUE"""),"")</f>
        <v/>
      </c>
      <c r="X427" s="4" t="str">
        <f>IFERROR(__xludf.DUMMYFUNCTION("""COMPUTED_VALUE"""),"")</f>
        <v/>
      </c>
      <c r="Y427" s="4" t="str">
        <f>IFERROR(__xludf.DUMMYFUNCTION("""COMPUTED_VALUE"""),"")</f>
        <v/>
      </c>
    </row>
    <row r="428">
      <c r="A428" s="4" t="str">
        <f>IFERROR(__xludf.DUMMYFUNCTION("""COMPUTED_VALUE"""),"445 - Channel")</f>
        <v>445 - Channel</v>
      </c>
      <c r="B428" s="4" t="str">
        <f>IFERROR(__xludf.DUMMYFUNCTION("""COMPUTED_VALUE"""),"Channel 2")</f>
        <v>Channel 2</v>
      </c>
      <c r="C428" s="4" t="str">
        <f>IFERROR(__xludf.DUMMYFUNCTION("""COMPUTED_VALUE"""),"Day 1 - 23/06")</f>
        <v>Day 1 - 23/06</v>
      </c>
      <c r="D428" s="6">
        <f>IFERROR(__xludf.DUMMYFUNCTION("""COMPUTED_VALUE"""),0.5400694444444448)</f>
        <v>0.5400694444</v>
      </c>
      <c r="E428" s="6">
        <f>IFERROR(__xludf.DUMMYFUNCTION("""COMPUTED_VALUE"""),3.4722222222222224E-4)</f>
        <v>0.0003472222222</v>
      </c>
      <c r="F428" s="6">
        <f>IFERROR(__xludf.DUMMYFUNCTION("""COMPUTED_VALUE"""),0.5404166666666671)</f>
        <v>0.5404166667</v>
      </c>
      <c r="G428" s="4" t="str">
        <f>IFERROR(__xludf.DUMMYFUNCTION("""COMPUTED_VALUE"""),"Graphics")</f>
        <v>Graphics</v>
      </c>
      <c r="H428" s="4" t="str">
        <f>IFERROR(__xludf.DUMMYFUNCTION("""COMPUTED_VALUE"""),"")</f>
        <v/>
      </c>
      <c r="I428" s="4" t="str">
        <f>IFERROR(__xludf.DUMMYFUNCTION("""COMPUTED_VALUE"""),"")</f>
        <v/>
      </c>
      <c r="J428" s="4" t="str">
        <f>IFERROR(__xludf.DUMMYFUNCTION("""COMPUTED_VALUE"""),"Leadership")</f>
        <v>Leadership</v>
      </c>
      <c r="K428" s="4" t="str">
        <f>IFERROR(__xludf.DUMMYFUNCTION("""COMPUTED_VALUE"""),"Talk Intro")</f>
        <v>Talk Intro</v>
      </c>
      <c r="L428" s="4" t="str">
        <f>IFERROR(__xludf.DUMMYFUNCTION("""COMPUTED_VALUE"""),"")</f>
        <v/>
      </c>
      <c r="M428" s="4" t="str">
        <f>IFERROR(__xludf.DUMMYFUNCTION("""COMPUTED_VALUE"""),"Talk Intro")</f>
        <v>Talk Intro</v>
      </c>
      <c r="N428" s="4" t="str">
        <f>IFERROR(__xludf.DUMMYFUNCTION("""COMPUTED_VALUE"""),"")</f>
        <v/>
      </c>
      <c r="O428" s="4" t="str">
        <f>IFERROR(__xludf.DUMMYFUNCTION("""COMPUTED_VALUE"""),"")</f>
        <v/>
      </c>
      <c r="P428" s="4" t="str">
        <f>IFERROR(__xludf.DUMMYFUNCTION("""COMPUTED_VALUE"""),"")</f>
        <v/>
      </c>
      <c r="Q428" s="4" t="str">
        <f>IFERROR(__xludf.DUMMYFUNCTION("""COMPUTED_VALUE"""),"")</f>
        <v/>
      </c>
      <c r="R428" s="4" t="str">
        <f>IFERROR(__xludf.DUMMYFUNCTION("""COMPUTED_VALUE"""),"")</f>
        <v/>
      </c>
      <c r="S428" s="4" t="str">
        <f>IFERROR(__xludf.DUMMYFUNCTION("""COMPUTED_VALUE"""),"")</f>
        <v/>
      </c>
      <c r="T428" s="4" t="str">
        <f>IFERROR(__xludf.DUMMYFUNCTION("""COMPUTED_VALUE"""),"")</f>
        <v/>
      </c>
      <c r="U428" s="4" t="str">
        <f>IFERROR(__xludf.DUMMYFUNCTION("""COMPUTED_VALUE"""),"")</f>
        <v/>
      </c>
      <c r="V428" s="4" t="str">
        <f>IFERROR(__xludf.DUMMYFUNCTION("""COMPUTED_VALUE"""),"")</f>
        <v/>
      </c>
      <c r="W428" s="4" t="str">
        <f>IFERROR(__xludf.DUMMYFUNCTION("""COMPUTED_VALUE"""),"")</f>
        <v/>
      </c>
      <c r="X428" s="4" t="str">
        <f>IFERROR(__xludf.DUMMYFUNCTION("""COMPUTED_VALUE"""),"")</f>
        <v/>
      </c>
      <c r="Y428" s="4" t="str">
        <f>IFERROR(__xludf.DUMMYFUNCTION("""COMPUTED_VALUE"""),"")</f>
        <v/>
      </c>
    </row>
    <row r="429">
      <c r="A429" s="4" t="str">
        <f>IFERROR(__xludf.DUMMYFUNCTION("""COMPUTED_VALUE"""),"1372 - Channel")</f>
        <v>1372 - Channel</v>
      </c>
      <c r="B429" s="4" t="str">
        <f>IFERROR(__xludf.DUMMYFUNCTION("""COMPUTED_VALUE"""),"Channel 2")</f>
        <v>Channel 2</v>
      </c>
      <c r="C429" s="4" t="str">
        <f>IFERROR(__xludf.DUMMYFUNCTION("""COMPUTED_VALUE"""),"Day 1 - 23/06")</f>
        <v>Day 1 - 23/06</v>
      </c>
      <c r="D429" s="6">
        <f>IFERROR(__xludf.DUMMYFUNCTION("""COMPUTED_VALUE"""),0.5404166666666671)</f>
        <v>0.5404166667</v>
      </c>
      <c r="E429" s="6">
        <f>IFERROR(__xludf.DUMMYFUNCTION("""COMPUTED_VALUE"""),0.010416666666666666)</f>
        <v>0.01041666667</v>
      </c>
      <c r="F429" s="6">
        <f>IFERROR(__xludf.DUMMYFUNCTION("""COMPUTED_VALUE"""),0.5508333333333337)</f>
        <v>0.5508333333</v>
      </c>
      <c r="G429" s="4" t="str">
        <f>IFERROR(__xludf.DUMMYFUNCTION("""COMPUTED_VALUE"""),"Gavin")</f>
        <v>Gavin</v>
      </c>
      <c r="H429" s="4" t="str">
        <f>IFERROR(__xludf.DUMMYFUNCTION("""COMPUTED_VALUE"""),"Eoghan")</f>
        <v>Eoghan</v>
      </c>
      <c r="I429" s="4" t="str">
        <f>IFERROR(__xludf.DUMMYFUNCTION("""COMPUTED_VALUE"""),"Geoff")</f>
        <v>Geoff</v>
      </c>
      <c r="J429" s="4" t="str">
        <f>IFERROR(__xludf.DUMMYFUNCTION("""COMPUTED_VALUE"""),"Leadership")</f>
        <v>Leadership</v>
      </c>
      <c r="K429" s="4" t="str">
        <f>IFERROR(__xludf.DUMMYFUNCTION("""COMPUTED_VALUE"""),"Fireside")</f>
        <v>Fireside</v>
      </c>
      <c r="L429" s="4" t="str">
        <f>IFERROR(__xludf.DUMMYFUNCTION("""COMPUTED_VALUE"""),"T- 2 - 08/06/2020")</f>
        <v>T- 2 - 08/06/2020</v>
      </c>
      <c r="M429" s="4" t="str">
        <f>IFERROR(__xludf.DUMMYFUNCTION("""COMPUTED_VALUE"""),"Keep calm and educate: Covid, kids and learning")</f>
        <v>Keep calm and educate: Covid, kids and learning</v>
      </c>
      <c r="N429" s="4" t="str">
        <f>IFERROR(__xludf.DUMMYFUNCTION("""COMPUTED_VALUE"""),"Henrietta Fore, UNICEF")</f>
        <v>Henrietta Fore, UNICEF</v>
      </c>
      <c r="O429" s="4" t="str">
        <f>IFERROR(__xludf.DUMMYFUNCTION("""COMPUTED_VALUE"""),"")</f>
        <v/>
      </c>
      <c r="P429" s="4" t="str">
        <f>IFERROR(__xludf.DUMMYFUNCTION("""COMPUTED_VALUE"""),"")</f>
        <v/>
      </c>
      <c r="Q429" s="4" t="str">
        <f>IFERROR(__xludf.DUMMYFUNCTION("""COMPUTED_VALUE"""),"")</f>
        <v/>
      </c>
      <c r="R429" s="4" t="str">
        <f>IFERROR(__xludf.DUMMYFUNCTION("""COMPUTED_VALUE"""),"Tracy McVeigh, The Guardian")</f>
        <v>Tracy McVeigh, The Guardian</v>
      </c>
      <c r="S429" s="4" t="str">
        <f>IFERROR(__xludf.DUMMYFUNCTION("""COMPUTED_VALUE"""),"The Covid pandemic has made it harder than ever to ensure all children receive an education. UNICEF's executive director, Henrietta Fore, will outline what the organisation is doing to ensure that as many children as possible can continue to learn.")</f>
        <v>The Covid pandemic has made it harder than ever to ensure all children receive an education. UNICEF's executive director, Henrietta Fore, will outline what the organisation is doing to ensure that as many children as possible can continue to learn.</v>
      </c>
      <c r="T429" s="4" t="str">
        <f>IFERROR(__xludf.DUMMYFUNCTION("""COMPUTED_VALUE"""),"Recording MISSED/NEEDS TO BE RERECORDED/RESCHEDULED")</f>
        <v>Recording MISSED/NEEDS TO BE RERECORDED/RESCHEDULED</v>
      </c>
      <c r="U429" s="23">
        <f>IFERROR(__xludf.DUMMYFUNCTION("""COMPUTED_VALUE"""),43994.0)</f>
        <v>43994</v>
      </c>
      <c r="V429" s="44">
        <f>IFERROR(__xludf.DUMMYFUNCTION("""COMPUTED_VALUE"""),0.7916666666666666)</f>
        <v>0.7916666667</v>
      </c>
      <c r="W429" s="21" t="str">
        <f>IFERROR(__xludf.DUMMYFUNCTION("""COMPUTED_VALUE"""),"https://zoom.us/j/92356481205?pwd=YnQ2N0YvQm9vTGtnUGNHVmJlNTN0dz09")</f>
        <v>https://zoom.us/j/92356481205?pwd=YnQ2N0YvQm9vTGtnUGNHVmJlNTN0dz09</v>
      </c>
      <c r="X429" s="4" t="str">
        <f>IFERROR(__xludf.DUMMYFUNCTION("""COMPUTED_VALUE"""),"Gavin")</f>
        <v>Gavin</v>
      </c>
      <c r="Y429" s="4" t="str">
        <f>IFERROR(__xludf.DUMMYFUNCTION("""COMPUTED_VALUE"""),"")</f>
        <v/>
      </c>
    </row>
    <row r="430">
      <c r="A430" s="4" t="str">
        <f>IFERROR(__xludf.DUMMYFUNCTION("""COMPUTED_VALUE"""),"1340 - Channel")</f>
        <v>1340 - Channel</v>
      </c>
      <c r="B430" s="4" t="str">
        <f>IFERROR(__xludf.DUMMYFUNCTION("""COMPUTED_VALUE"""),"Channel 2")</f>
        <v>Channel 2</v>
      </c>
      <c r="C430" s="4" t="str">
        <f>IFERROR(__xludf.DUMMYFUNCTION("""COMPUTED_VALUE"""),"Day 1 - 23/06")</f>
        <v>Day 1 - 23/06</v>
      </c>
      <c r="D430" s="6">
        <f>IFERROR(__xludf.DUMMYFUNCTION("""COMPUTED_VALUE"""),0.5508333333333337)</f>
        <v>0.5508333333</v>
      </c>
      <c r="E430" s="6">
        <f>IFERROR(__xludf.DUMMYFUNCTION("""COMPUTED_VALUE"""),3.4722222222222224E-4)</f>
        <v>0.0003472222222</v>
      </c>
      <c r="F430" s="6">
        <f>IFERROR(__xludf.DUMMYFUNCTION("""COMPUTED_VALUE"""),0.551180555555556)</f>
        <v>0.5511805556</v>
      </c>
      <c r="G430" s="4" t="str">
        <f>IFERROR(__xludf.DUMMYFUNCTION("""COMPUTED_VALUE"""),"")</f>
        <v/>
      </c>
      <c r="H430" s="4" t="str">
        <f>IFERROR(__xludf.DUMMYFUNCTION("""COMPUTED_VALUE"""),"")</f>
        <v/>
      </c>
      <c r="I430" s="4" t="str">
        <f>IFERROR(__xludf.DUMMYFUNCTION("""COMPUTED_VALUE"""),"")</f>
        <v/>
      </c>
      <c r="J430" s="4" t="str">
        <f>IFERROR(__xludf.DUMMYFUNCTION("""COMPUTED_VALUE"""),"Leadership")</f>
        <v>Leadership</v>
      </c>
      <c r="K430" s="4" t="str">
        <f>IFERROR(__xludf.DUMMYFUNCTION("""COMPUTED_VALUE"""),"RISE Trailer")</f>
        <v>RISE Trailer</v>
      </c>
      <c r="L430" s="4" t="str">
        <f>IFERROR(__xludf.DUMMYFUNCTION("""COMPUTED_VALUE"""),"")</f>
        <v/>
      </c>
      <c r="M430" s="4" t="str">
        <f>IFERROR(__xludf.DUMMYFUNCTION("""COMPUTED_VALUE"""),"RISE Trailer - short")</f>
        <v>RISE Trailer - short</v>
      </c>
      <c r="N430" s="4" t="str">
        <f>IFERROR(__xludf.DUMMYFUNCTION("""COMPUTED_VALUE"""),"")</f>
        <v/>
      </c>
      <c r="O430" s="4" t="str">
        <f>IFERROR(__xludf.DUMMYFUNCTION("""COMPUTED_VALUE"""),"")</f>
        <v/>
      </c>
      <c r="P430" s="4" t="str">
        <f>IFERROR(__xludf.DUMMYFUNCTION("""COMPUTED_VALUE"""),"")</f>
        <v/>
      </c>
      <c r="Q430" s="4" t="str">
        <f>IFERROR(__xludf.DUMMYFUNCTION("""COMPUTED_VALUE"""),"")</f>
        <v/>
      </c>
      <c r="R430" s="4" t="str">
        <f>IFERROR(__xludf.DUMMYFUNCTION("""COMPUTED_VALUE"""),"")</f>
        <v/>
      </c>
      <c r="S430" s="4" t="str">
        <f>IFERROR(__xludf.DUMMYFUNCTION("""COMPUTED_VALUE"""),"")</f>
        <v/>
      </c>
      <c r="T430" s="4" t="str">
        <f>IFERROR(__xludf.DUMMYFUNCTION("""COMPUTED_VALUE"""),"")</f>
        <v/>
      </c>
      <c r="U430" s="4" t="str">
        <f>IFERROR(__xludf.DUMMYFUNCTION("""COMPUTED_VALUE"""),"")</f>
        <v/>
      </c>
      <c r="V430" s="4" t="str">
        <f>IFERROR(__xludf.DUMMYFUNCTION("""COMPUTED_VALUE"""),"")</f>
        <v/>
      </c>
      <c r="W430" s="4" t="str">
        <f>IFERROR(__xludf.DUMMYFUNCTION("""COMPUTED_VALUE"""),"")</f>
        <v/>
      </c>
      <c r="X430" s="4" t="str">
        <f>IFERROR(__xludf.DUMMYFUNCTION("""COMPUTED_VALUE"""),"")</f>
        <v/>
      </c>
      <c r="Y430" s="4" t="str">
        <f>IFERROR(__xludf.DUMMYFUNCTION("""COMPUTED_VALUE"""),"")</f>
        <v/>
      </c>
    </row>
    <row r="431">
      <c r="A431" s="4" t="str">
        <f>IFERROR(__xludf.DUMMYFUNCTION("""COMPUTED_VALUE"""),"448 - Channel")</f>
        <v>448 - Channel</v>
      </c>
      <c r="B431" s="4" t="str">
        <f>IFERROR(__xludf.DUMMYFUNCTION("""COMPUTED_VALUE"""),"Channel 2")</f>
        <v>Channel 2</v>
      </c>
      <c r="C431" s="4" t="str">
        <f>IFERROR(__xludf.DUMMYFUNCTION("""COMPUTED_VALUE"""),"Day 1 - 23/06")</f>
        <v>Day 1 - 23/06</v>
      </c>
      <c r="D431" s="6">
        <f>IFERROR(__xludf.DUMMYFUNCTION("""COMPUTED_VALUE"""),0.551180555555556)</f>
        <v>0.5511805556</v>
      </c>
      <c r="E431" s="6">
        <f>IFERROR(__xludf.DUMMYFUNCTION("""COMPUTED_VALUE"""),1.7361111111111112E-4)</f>
        <v>0.0001736111111</v>
      </c>
      <c r="F431" s="6">
        <f>IFERROR(__xludf.DUMMYFUNCTION("""COMPUTED_VALUE"""),0.5513541666666671)</f>
        <v>0.5513541667</v>
      </c>
      <c r="G431" s="4" t="str">
        <f>IFERROR(__xludf.DUMMYFUNCTION("""COMPUTED_VALUE"""),"P&amp;E")</f>
        <v>P&amp;E</v>
      </c>
      <c r="H431" s="4" t="str">
        <f>IFERROR(__xludf.DUMMYFUNCTION("""COMPUTED_VALUE"""),"")</f>
        <v/>
      </c>
      <c r="I431" s="4" t="str">
        <f>IFERROR(__xludf.DUMMYFUNCTION("""COMPUTED_VALUE"""),"")</f>
        <v/>
      </c>
      <c r="J431" s="4" t="str">
        <f>IFERROR(__xludf.DUMMYFUNCTION("""COMPUTED_VALUE"""),"Leadership")</f>
        <v>Leadership</v>
      </c>
      <c r="K431" s="4" t="str">
        <f>IFERROR(__xludf.DUMMYFUNCTION("""COMPUTED_VALUE"""),"Partner ad")</f>
        <v>Partner ad</v>
      </c>
      <c r="L431" s="4" t="str">
        <f>IFERROR(__xludf.DUMMYFUNCTION("""COMPUTED_VALUE"""),"")</f>
        <v/>
      </c>
      <c r="M431" s="4" t="str">
        <f>IFERROR(__xludf.DUMMYFUNCTION("""COMPUTED_VALUE"""),"Partner ad #1- The Corporation of the City of Brampton")</f>
        <v>Partner ad #1- The Corporation of the City of Brampton</v>
      </c>
      <c r="N431" s="4" t="str">
        <f>IFERROR(__xludf.DUMMYFUNCTION("""COMPUTED_VALUE"""),"")</f>
        <v/>
      </c>
      <c r="O431" s="4" t="str">
        <f>IFERROR(__xludf.DUMMYFUNCTION("""COMPUTED_VALUE"""),"")</f>
        <v/>
      </c>
      <c r="P431" s="4" t="str">
        <f>IFERROR(__xludf.DUMMYFUNCTION("""COMPUTED_VALUE"""),"")</f>
        <v/>
      </c>
      <c r="Q431" s="4" t="str">
        <f>IFERROR(__xludf.DUMMYFUNCTION("""COMPUTED_VALUE"""),"")</f>
        <v/>
      </c>
      <c r="R431" s="4" t="str">
        <f>IFERROR(__xludf.DUMMYFUNCTION("""COMPUTED_VALUE"""),"")</f>
        <v/>
      </c>
      <c r="S431" s="4" t="str">
        <f>IFERROR(__xludf.DUMMYFUNCTION("""COMPUTED_VALUE"""),"")</f>
        <v/>
      </c>
      <c r="T431" s="4" t="str">
        <f>IFERROR(__xludf.DUMMYFUNCTION("""COMPUTED_VALUE"""),"")</f>
        <v/>
      </c>
      <c r="U431" s="4" t="str">
        <f>IFERROR(__xludf.DUMMYFUNCTION("""COMPUTED_VALUE"""),"")</f>
        <v/>
      </c>
      <c r="V431" s="4" t="str">
        <f>IFERROR(__xludf.DUMMYFUNCTION("""COMPUTED_VALUE"""),"")</f>
        <v/>
      </c>
      <c r="W431" s="4" t="str">
        <f>IFERROR(__xludf.DUMMYFUNCTION("""COMPUTED_VALUE"""),"")</f>
        <v/>
      </c>
      <c r="X431" s="4" t="str">
        <f>IFERROR(__xludf.DUMMYFUNCTION("""COMPUTED_VALUE"""),"")</f>
        <v/>
      </c>
      <c r="Y431" s="4" t="str">
        <f>IFERROR(__xludf.DUMMYFUNCTION("""COMPUTED_VALUE"""),"")</f>
        <v/>
      </c>
    </row>
    <row r="432">
      <c r="A432" s="4" t="str">
        <f>IFERROR(__xludf.DUMMYFUNCTION("""COMPUTED_VALUE"""),"449 - Channel")</f>
        <v>449 - Channel</v>
      </c>
      <c r="B432" s="4" t="str">
        <f>IFERROR(__xludf.DUMMYFUNCTION("""COMPUTED_VALUE"""),"Channel 2")</f>
        <v>Channel 2</v>
      </c>
      <c r="C432" s="4" t="str">
        <f>IFERROR(__xludf.DUMMYFUNCTION("""COMPUTED_VALUE"""),"Day 1 - 23/06")</f>
        <v>Day 1 - 23/06</v>
      </c>
      <c r="D432" s="6">
        <f>IFERROR(__xludf.DUMMYFUNCTION("""COMPUTED_VALUE"""),0.5513541666666671)</f>
        <v>0.5513541667</v>
      </c>
      <c r="E432" s="6">
        <f>IFERROR(__xludf.DUMMYFUNCTION("""COMPUTED_VALUE"""),3.4722222222222224E-4)</f>
        <v>0.0003472222222</v>
      </c>
      <c r="F432" s="6">
        <f>IFERROR(__xludf.DUMMYFUNCTION("""COMPUTED_VALUE"""),0.5517013888888894)</f>
        <v>0.5517013889</v>
      </c>
      <c r="G432" s="4" t="str">
        <f>IFERROR(__xludf.DUMMYFUNCTION("""COMPUTED_VALUE"""),"Graphics")</f>
        <v>Graphics</v>
      </c>
      <c r="H432" s="4" t="str">
        <f>IFERROR(__xludf.DUMMYFUNCTION("""COMPUTED_VALUE"""),"")</f>
        <v/>
      </c>
      <c r="I432" s="4" t="str">
        <f>IFERROR(__xludf.DUMMYFUNCTION("""COMPUTED_VALUE"""),"")</f>
        <v/>
      </c>
      <c r="J432" s="4" t="str">
        <f>IFERROR(__xludf.DUMMYFUNCTION("""COMPUTED_VALUE"""),"Leadership")</f>
        <v>Leadership</v>
      </c>
      <c r="K432" s="4" t="str">
        <f>IFERROR(__xludf.DUMMYFUNCTION("""COMPUTED_VALUE"""),"Talk Intro")</f>
        <v>Talk Intro</v>
      </c>
      <c r="L432" s="4" t="str">
        <f>IFERROR(__xludf.DUMMYFUNCTION("""COMPUTED_VALUE"""),"")</f>
        <v/>
      </c>
      <c r="M432" s="4" t="str">
        <f>IFERROR(__xludf.DUMMYFUNCTION("""COMPUTED_VALUE"""),"Talk Intro")</f>
        <v>Talk Intro</v>
      </c>
      <c r="N432" s="4" t="str">
        <f>IFERROR(__xludf.DUMMYFUNCTION("""COMPUTED_VALUE"""),"")</f>
        <v/>
      </c>
      <c r="O432" s="4" t="str">
        <f>IFERROR(__xludf.DUMMYFUNCTION("""COMPUTED_VALUE"""),"")</f>
        <v/>
      </c>
      <c r="P432" s="4" t="str">
        <f>IFERROR(__xludf.DUMMYFUNCTION("""COMPUTED_VALUE"""),"")</f>
        <v/>
      </c>
      <c r="Q432" s="4" t="str">
        <f>IFERROR(__xludf.DUMMYFUNCTION("""COMPUTED_VALUE"""),"")</f>
        <v/>
      </c>
      <c r="R432" s="4" t="str">
        <f>IFERROR(__xludf.DUMMYFUNCTION("""COMPUTED_VALUE"""),"")</f>
        <v/>
      </c>
      <c r="S432" s="4" t="str">
        <f>IFERROR(__xludf.DUMMYFUNCTION("""COMPUTED_VALUE"""),"")</f>
        <v/>
      </c>
      <c r="T432" s="4" t="str">
        <f>IFERROR(__xludf.DUMMYFUNCTION("""COMPUTED_VALUE"""),"")</f>
        <v/>
      </c>
      <c r="U432" s="4" t="str">
        <f>IFERROR(__xludf.DUMMYFUNCTION("""COMPUTED_VALUE"""),"")</f>
        <v/>
      </c>
      <c r="V432" s="4" t="str">
        <f>IFERROR(__xludf.DUMMYFUNCTION("""COMPUTED_VALUE"""),"")</f>
        <v/>
      </c>
      <c r="W432" s="4" t="str">
        <f>IFERROR(__xludf.DUMMYFUNCTION("""COMPUTED_VALUE"""),"")</f>
        <v/>
      </c>
      <c r="X432" s="4" t="str">
        <f>IFERROR(__xludf.DUMMYFUNCTION("""COMPUTED_VALUE"""),"")</f>
        <v/>
      </c>
      <c r="Y432" s="4" t="str">
        <f>IFERROR(__xludf.DUMMYFUNCTION("""COMPUTED_VALUE"""),"")</f>
        <v/>
      </c>
    </row>
    <row r="433">
      <c r="A433" s="4" t="str">
        <f>IFERROR(__xludf.DUMMYFUNCTION("""COMPUTED_VALUE"""),"450 - Channel")</f>
        <v>450 - Channel</v>
      </c>
      <c r="B433" s="4" t="str">
        <f>IFERROR(__xludf.DUMMYFUNCTION("""COMPUTED_VALUE"""),"Channel 2")</f>
        <v>Channel 2</v>
      </c>
      <c r="C433" s="4" t="str">
        <f>IFERROR(__xludf.DUMMYFUNCTION("""COMPUTED_VALUE"""),"Day 1 - 23/06")</f>
        <v>Day 1 - 23/06</v>
      </c>
      <c r="D433" s="6">
        <f>IFERROR(__xludf.DUMMYFUNCTION("""COMPUTED_VALUE"""),0.5517013888888894)</f>
        <v>0.5517013889</v>
      </c>
      <c r="E433" s="6">
        <f>IFERROR(__xludf.DUMMYFUNCTION("""COMPUTED_VALUE"""),0.013888888888888888)</f>
        <v>0.01388888889</v>
      </c>
      <c r="F433" s="6">
        <f>IFERROR(__xludf.DUMMYFUNCTION("""COMPUTED_VALUE"""),0.5655902777777783)</f>
        <v>0.5655902778</v>
      </c>
      <c r="G433" s="4" t="str">
        <f>IFERROR(__xludf.DUMMYFUNCTION("""COMPUTED_VALUE"""),"Darren")</f>
        <v>Darren</v>
      </c>
      <c r="H433" s="4" t="str">
        <f>IFERROR(__xludf.DUMMYFUNCTION("""COMPUTED_VALUE"""),"Shauna")</f>
        <v>Shauna</v>
      </c>
      <c r="I433" s="4" t="str">
        <f>IFERROR(__xludf.DUMMYFUNCTION("""COMPUTED_VALUE"""),"Naomi")</f>
        <v>Naomi</v>
      </c>
      <c r="J433" s="4" t="str">
        <f>IFERROR(__xludf.DUMMYFUNCTION("""COMPUTED_VALUE"""),"Leadership")</f>
        <v>Leadership</v>
      </c>
      <c r="K433" s="4" t="str">
        <f>IFERROR(__xludf.DUMMYFUNCTION("""COMPUTED_VALUE"""),"Super Fireside")</f>
        <v>Super Fireside</v>
      </c>
      <c r="L433" s="4" t="str">
        <f>IFERROR(__xludf.DUMMYFUNCTION("""COMPUTED_VALUE"""),"T- 3 - 01/06/2020")</f>
        <v>T- 3 - 01/06/2020</v>
      </c>
      <c r="M433" s="4" t="str">
        <f>IFERROR(__xludf.DUMMYFUNCTION("""COMPUTED_VALUE"""),"Shaquille O'Neal: Changing the game for workers")</f>
        <v>Shaquille O'Neal: Changing the game for workers</v>
      </c>
      <c r="N433" s="4" t="str">
        <f>IFERROR(__xludf.DUMMYFUNCTION("""COMPUTED_VALUE"""),"Shaquille O'Neal, Steady App")</f>
        <v>Shaquille O'Neal, Steady App</v>
      </c>
      <c r="O433" s="4" t="str">
        <f>IFERROR(__xludf.DUMMYFUNCTION("""COMPUTED_VALUE"""),"Adam Roseman, Steady App")</f>
        <v>Adam Roseman, Steady App</v>
      </c>
      <c r="P433" s="4" t="str">
        <f>IFERROR(__xludf.DUMMYFUNCTION("""COMPUTED_VALUE"""),"")</f>
        <v/>
      </c>
      <c r="Q433" s="4" t="str">
        <f>IFERROR(__xludf.DUMMYFUNCTION("""COMPUTED_VALUE"""),"")</f>
        <v/>
      </c>
      <c r="R433" s="4" t="str">
        <f>IFERROR(__xludf.DUMMYFUNCTION("""COMPUTED_VALUE"""),"Jemele Hill, The Atlantic")</f>
        <v>Jemele Hill, The Atlantic</v>
      </c>
      <c r="S433" s="4" t="str">
        <f>IFERROR(__xludf.DUMMYFUNCTION("""COMPUTED_VALUE"""),"In 2020, work is evolving on a daily basis and Steady is helping people navigate this new normal. Company CEO Adam Roseman is joined by NBA legend Shaquille O'Neal (an investor in and advocate of the platform) to discuss how the app can help to ease the c"&amp;"risis facing millions of gig and hourly workers. ")</f>
        <v>In 2020, work is evolving on a daily basis and Steady is helping people navigate this new normal. Company CEO Adam Roseman is joined by NBA legend Shaquille O'Neal (an investor in and advocate of the platform) to discuss how the app can help to ease the crisis facing millions of gig and hourly workers. </v>
      </c>
      <c r="T433" s="4" t="str">
        <f>IFERROR(__xludf.DUMMYFUNCTION("""COMPUTED_VALUE"""),"NON-KEYNOTE 9 - COMPLETE")</f>
        <v>NON-KEYNOTE 9 - COMPLETE</v>
      </c>
      <c r="U433" s="23">
        <f>IFERROR(__xludf.DUMMYFUNCTION("""COMPUTED_VALUE"""),43984.0)</f>
        <v>43984</v>
      </c>
      <c r="V433" s="44">
        <f>IFERROR(__xludf.DUMMYFUNCTION("""COMPUTED_VALUE"""),0.8333333333333334)</f>
        <v>0.8333333333</v>
      </c>
      <c r="W433" s="4" t="str">
        <f>IFERROR(__xludf.DUMMYFUNCTION("""COMPUTED_VALUE"""),"COMPLETE")</f>
        <v>COMPLETE</v>
      </c>
      <c r="X433" s="4" t="str">
        <f>IFERROR(__xludf.DUMMYFUNCTION("""COMPUTED_VALUE"""),"Darren")</f>
        <v>Darren</v>
      </c>
      <c r="Y433" s="4" t="str">
        <f>IFERROR(__xludf.DUMMYFUNCTION("""COMPUTED_VALUE"""),"")</f>
        <v/>
      </c>
    </row>
    <row r="434">
      <c r="A434" s="4" t="str">
        <f>IFERROR(__xludf.DUMMYFUNCTION("""COMPUTED_VALUE"""),"451 - Channel")</f>
        <v>451 - Channel</v>
      </c>
      <c r="B434" s="4" t="str">
        <f>IFERROR(__xludf.DUMMYFUNCTION("""COMPUTED_VALUE"""),"Channel 2")</f>
        <v>Channel 2</v>
      </c>
      <c r="C434" s="4" t="str">
        <f>IFERROR(__xludf.DUMMYFUNCTION("""COMPUTED_VALUE"""),"Day 1 - 23/06")</f>
        <v>Day 1 - 23/06</v>
      </c>
      <c r="D434" s="6">
        <f>IFERROR(__xludf.DUMMYFUNCTION("""COMPUTED_VALUE"""),0.5655902777777783)</f>
        <v>0.5655902778</v>
      </c>
      <c r="E434" s="6">
        <f>IFERROR(__xludf.DUMMYFUNCTION("""COMPUTED_VALUE"""),1.7361111111111112E-4)</f>
        <v>0.0001736111111</v>
      </c>
      <c r="F434" s="6">
        <f>IFERROR(__xludf.DUMMYFUNCTION("""COMPUTED_VALUE"""),0.5657638888888894)</f>
        <v>0.5657638889</v>
      </c>
      <c r="G434" s="4" t="str">
        <f>IFERROR(__xludf.DUMMYFUNCTION("""COMPUTED_VALUE"""),"Graphics")</f>
        <v>Graphics</v>
      </c>
      <c r="H434" s="4" t="str">
        <f>IFERROR(__xludf.DUMMYFUNCTION("""COMPUTED_VALUE"""),"")</f>
        <v/>
      </c>
      <c r="I434" s="4" t="str">
        <f>IFERROR(__xludf.DUMMYFUNCTION("""COMPUTED_VALUE"""),"")</f>
        <v/>
      </c>
      <c r="J434" s="4" t="str">
        <f>IFERROR(__xludf.DUMMYFUNCTION("""COMPUTED_VALUE"""),"Leadership")</f>
        <v>Leadership</v>
      </c>
      <c r="K434" s="4" t="str">
        <f>IFERROR(__xludf.DUMMYFUNCTION("""COMPUTED_VALUE"""),"Talk Outro")</f>
        <v>Talk Outro</v>
      </c>
      <c r="L434" s="4" t="str">
        <f>IFERROR(__xludf.DUMMYFUNCTION("""COMPUTED_VALUE"""),"")</f>
        <v/>
      </c>
      <c r="M434" s="4" t="str">
        <f>IFERROR(__xludf.DUMMYFUNCTION("""COMPUTED_VALUE"""),"Talk Outro")</f>
        <v>Talk Outro</v>
      </c>
      <c r="N434" s="4" t="str">
        <f>IFERROR(__xludf.DUMMYFUNCTION("""COMPUTED_VALUE"""),"")</f>
        <v/>
      </c>
      <c r="O434" s="4" t="str">
        <f>IFERROR(__xludf.DUMMYFUNCTION("""COMPUTED_VALUE"""),"")</f>
        <v/>
      </c>
      <c r="P434" s="4" t="str">
        <f>IFERROR(__xludf.DUMMYFUNCTION("""COMPUTED_VALUE"""),"")</f>
        <v/>
      </c>
      <c r="Q434" s="4" t="str">
        <f>IFERROR(__xludf.DUMMYFUNCTION("""COMPUTED_VALUE"""),"")</f>
        <v/>
      </c>
      <c r="R434" s="4" t="str">
        <f>IFERROR(__xludf.DUMMYFUNCTION("""COMPUTED_VALUE"""),"")</f>
        <v/>
      </c>
      <c r="S434" s="4" t="str">
        <f>IFERROR(__xludf.DUMMYFUNCTION("""COMPUTED_VALUE"""),"")</f>
        <v/>
      </c>
      <c r="T434" s="4" t="str">
        <f>IFERROR(__xludf.DUMMYFUNCTION("""COMPUTED_VALUE"""),"")</f>
        <v/>
      </c>
      <c r="U434" s="4" t="str">
        <f>IFERROR(__xludf.DUMMYFUNCTION("""COMPUTED_VALUE"""),"")</f>
        <v/>
      </c>
      <c r="V434" s="4" t="str">
        <f>IFERROR(__xludf.DUMMYFUNCTION("""COMPUTED_VALUE"""),"")</f>
        <v/>
      </c>
      <c r="W434" s="4" t="str">
        <f>IFERROR(__xludf.DUMMYFUNCTION("""COMPUTED_VALUE"""),"")</f>
        <v/>
      </c>
      <c r="X434" s="4" t="str">
        <f>IFERROR(__xludf.DUMMYFUNCTION("""COMPUTED_VALUE"""),"")</f>
        <v/>
      </c>
      <c r="Y434" s="4" t="str">
        <f>IFERROR(__xludf.DUMMYFUNCTION("""COMPUTED_VALUE"""),"")</f>
        <v/>
      </c>
    </row>
    <row r="435">
      <c r="A435" s="4" t="str">
        <f>IFERROR(__xludf.DUMMYFUNCTION("""COMPUTED_VALUE"""),"452 - Channel")</f>
        <v>452 - Channel</v>
      </c>
      <c r="B435" s="4" t="str">
        <f>IFERROR(__xludf.DUMMYFUNCTION("""COMPUTED_VALUE"""),"Channel 2")</f>
        <v>Channel 2</v>
      </c>
      <c r="C435" s="4" t="str">
        <f>IFERROR(__xludf.DUMMYFUNCTION("""COMPUTED_VALUE"""),"Day 1 - 23/06")</f>
        <v>Day 1 - 23/06</v>
      </c>
      <c r="D435" s="6">
        <f>IFERROR(__xludf.DUMMYFUNCTION("""COMPUTED_VALUE"""),0.5657638888888894)</f>
        <v>0.5657638889</v>
      </c>
      <c r="E435" s="6">
        <f>IFERROR(__xludf.DUMMYFUNCTION("""COMPUTED_VALUE"""),2.546296296296296E-4)</f>
        <v>0.0002546296296</v>
      </c>
      <c r="F435" s="6">
        <f>IFERROR(__xludf.DUMMYFUNCTION("""COMPUTED_VALUE"""),0.566018518518519)</f>
        <v>0.5660185185</v>
      </c>
      <c r="G435" s="4" t="str">
        <f>IFERROR(__xludf.DUMMYFUNCTION("""COMPUTED_VALUE"""),"Startups")</f>
        <v>Startups</v>
      </c>
      <c r="H435" s="4" t="str">
        <f>IFERROR(__xludf.DUMMYFUNCTION("""COMPUTED_VALUE"""),"")</f>
        <v/>
      </c>
      <c r="I435" s="4" t="str">
        <f>IFERROR(__xludf.DUMMYFUNCTION("""COMPUTED_VALUE"""),"")</f>
        <v/>
      </c>
      <c r="J435" s="4" t="str">
        <f>IFERROR(__xludf.DUMMYFUNCTION("""COMPUTED_VALUE"""),"Leadership")</f>
        <v>Leadership</v>
      </c>
      <c r="K435" s="4" t="str">
        <f>IFERROR(__xludf.DUMMYFUNCTION("""COMPUTED_VALUE"""),"40 Words")</f>
        <v>40 Words</v>
      </c>
      <c r="L435" s="4" t="str">
        <f>IFERROR(__xludf.DUMMYFUNCTION("""COMPUTED_VALUE"""),"")</f>
        <v/>
      </c>
      <c r="M435" s="4" t="str">
        <f>IFERROR(__xludf.DUMMYFUNCTION("""COMPUTED_VALUE"""),"40 Words #5_HourOne")</f>
        <v>40 Words #5_HourOne</v>
      </c>
      <c r="N435" s="4" t="str">
        <f>IFERROR(__xludf.DUMMYFUNCTION("""COMPUTED_VALUE"""),"")</f>
        <v/>
      </c>
      <c r="O435" s="4" t="str">
        <f>IFERROR(__xludf.DUMMYFUNCTION("""COMPUTED_VALUE"""),"")</f>
        <v/>
      </c>
      <c r="P435" s="4" t="str">
        <f>IFERROR(__xludf.DUMMYFUNCTION("""COMPUTED_VALUE"""),"")</f>
        <v/>
      </c>
      <c r="Q435" s="4" t="str">
        <f>IFERROR(__xludf.DUMMYFUNCTION("""COMPUTED_VALUE"""),"")</f>
        <v/>
      </c>
      <c r="R435" s="4" t="str">
        <f>IFERROR(__xludf.DUMMYFUNCTION("""COMPUTED_VALUE"""),"")</f>
        <v/>
      </c>
      <c r="S435" s="4" t="str">
        <f>IFERROR(__xludf.DUMMYFUNCTION("""COMPUTED_VALUE"""),"")</f>
        <v/>
      </c>
      <c r="T435" s="4" t="str">
        <f>IFERROR(__xludf.DUMMYFUNCTION("""COMPUTED_VALUE"""),"")</f>
        <v/>
      </c>
      <c r="U435" s="4" t="str">
        <f>IFERROR(__xludf.DUMMYFUNCTION("""COMPUTED_VALUE"""),"")</f>
        <v/>
      </c>
      <c r="V435" s="4" t="str">
        <f>IFERROR(__xludf.DUMMYFUNCTION("""COMPUTED_VALUE"""),"")</f>
        <v/>
      </c>
      <c r="W435" s="4" t="str">
        <f>IFERROR(__xludf.DUMMYFUNCTION("""COMPUTED_VALUE"""),"")</f>
        <v/>
      </c>
      <c r="X435" s="4" t="str">
        <f>IFERROR(__xludf.DUMMYFUNCTION("""COMPUTED_VALUE"""),"")</f>
        <v/>
      </c>
      <c r="Y435" s="4" t="str">
        <f>IFERROR(__xludf.DUMMYFUNCTION("""COMPUTED_VALUE"""),"")</f>
        <v/>
      </c>
    </row>
    <row r="436">
      <c r="A436" s="4" t="str">
        <f>IFERROR(__xludf.DUMMYFUNCTION("""COMPUTED_VALUE"""),"453 - Channel")</f>
        <v>453 - Channel</v>
      </c>
      <c r="B436" s="4" t="str">
        <f>IFERROR(__xludf.DUMMYFUNCTION("""COMPUTED_VALUE"""),"Channel 2")</f>
        <v>Channel 2</v>
      </c>
      <c r="C436" s="4" t="str">
        <f>IFERROR(__xludf.DUMMYFUNCTION("""COMPUTED_VALUE"""),"Day 1 - 23/06")</f>
        <v>Day 1 - 23/06</v>
      </c>
      <c r="D436" s="6">
        <f>IFERROR(__xludf.DUMMYFUNCTION("""COMPUTED_VALUE"""),0.566018518518519)</f>
        <v>0.5660185185</v>
      </c>
      <c r="E436" s="6">
        <f>IFERROR(__xludf.DUMMYFUNCTION("""COMPUTED_VALUE"""),3.4722222222222224E-4)</f>
        <v>0.0003472222222</v>
      </c>
      <c r="F436" s="6">
        <f>IFERROR(__xludf.DUMMYFUNCTION("""COMPUTED_VALUE"""),0.5663657407407413)</f>
        <v>0.5663657407</v>
      </c>
      <c r="G436" s="4" t="str">
        <f>IFERROR(__xludf.DUMMYFUNCTION("""COMPUTED_VALUE"""),"Graphics")</f>
        <v>Graphics</v>
      </c>
      <c r="H436" s="4" t="str">
        <f>IFERROR(__xludf.DUMMYFUNCTION("""COMPUTED_VALUE"""),"")</f>
        <v/>
      </c>
      <c r="I436" s="4" t="str">
        <f>IFERROR(__xludf.DUMMYFUNCTION("""COMPUTED_VALUE"""),"")</f>
        <v/>
      </c>
      <c r="J436" s="4" t="str">
        <f>IFERROR(__xludf.DUMMYFUNCTION("""COMPUTED_VALUE"""),"Leadership")</f>
        <v>Leadership</v>
      </c>
      <c r="K436" s="4" t="str">
        <f>IFERROR(__xludf.DUMMYFUNCTION("""COMPUTED_VALUE"""),"Web Summit Trailer - short")</f>
        <v>Web Summit Trailer - short</v>
      </c>
      <c r="L436" s="4" t="str">
        <f>IFERROR(__xludf.DUMMYFUNCTION("""COMPUTED_VALUE"""),"")</f>
        <v/>
      </c>
      <c r="M436" s="4" t="str">
        <f>IFERROR(__xludf.DUMMYFUNCTION("""COMPUTED_VALUE"""),"Web Summit Trailer - short")</f>
        <v>Web Summit Trailer - short</v>
      </c>
      <c r="N436" s="4" t="str">
        <f>IFERROR(__xludf.DUMMYFUNCTION("""COMPUTED_VALUE"""),"")</f>
        <v/>
      </c>
      <c r="O436" s="4" t="str">
        <f>IFERROR(__xludf.DUMMYFUNCTION("""COMPUTED_VALUE"""),"")</f>
        <v/>
      </c>
      <c r="P436" s="4" t="str">
        <f>IFERROR(__xludf.DUMMYFUNCTION("""COMPUTED_VALUE"""),"")</f>
        <v/>
      </c>
      <c r="Q436" s="4" t="str">
        <f>IFERROR(__xludf.DUMMYFUNCTION("""COMPUTED_VALUE"""),"")</f>
        <v/>
      </c>
      <c r="R436" s="4" t="str">
        <f>IFERROR(__xludf.DUMMYFUNCTION("""COMPUTED_VALUE"""),"")</f>
        <v/>
      </c>
      <c r="S436" s="4" t="str">
        <f>IFERROR(__xludf.DUMMYFUNCTION("""COMPUTED_VALUE"""),"")</f>
        <v/>
      </c>
      <c r="T436" s="4" t="str">
        <f>IFERROR(__xludf.DUMMYFUNCTION("""COMPUTED_VALUE"""),"")</f>
        <v/>
      </c>
      <c r="U436" s="4" t="str">
        <f>IFERROR(__xludf.DUMMYFUNCTION("""COMPUTED_VALUE"""),"")</f>
        <v/>
      </c>
      <c r="V436" s="4" t="str">
        <f>IFERROR(__xludf.DUMMYFUNCTION("""COMPUTED_VALUE"""),"")</f>
        <v/>
      </c>
      <c r="W436" s="4" t="str">
        <f>IFERROR(__xludf.DUMMYFUNCTION("""COMPUTED_VALUE"""),"")</f>
        <v/>
      </c>
      <c r="X436" s="4" t="str">
        <f>IFERROR(__xludf.DUMMYFUNCTION("""COMPUTED_VALUE"""),"")</f>
        <v/>
      </c>
      <c r="Y436" s="4" t="str">
        <f>IFERROR(__xludf.DUMMYFUNCTION("""COMPUTED_VALUE"""),"")</f>
        <v/>
      </c>
    </row>
    <row r="437">
      <c r="A437" s="4" t="str">
        <f>IFERROR(__xludf.DUMMYFUNCTION("""COMPUTED_VALUE"""),"454 - Channel")</f>
        <v>454 - Channel</v>
      </c>
      <c r="B437" s="4" t="str">
        <f>IFERROR(__xludf.DUMMYFUNCTION("""COMPUTED_VALUE"""),"Channel 2")</f>
        <v>Channel 2</v>
      </c>
      <c r="C437" s="4" t="str">
        <f>IFERROR(__xludf.DUMMYFUNCTION("""COMPUTED_VALUE"""),"Day 1 - 23/06")</f>
        <v>Day 1 - 23/06</v>
      </c>
      <c r="D437" s="6">
        <f>IFERROR(__xludf.DUMMYFUNCTION("""COMPUTED_VALUE"""),0.5663657407407413)</f>
        <v>0.5663657407</v>
      </c>
      <c r="E437" s="6">
        <f>IFERROR(__xludf.DUMMYFUNCTION("""COMPUTED_VALUE"""),1.7361111111111112E-4)</f>
        <v>0.0001736111111</v>
      </c>
      <c r="F437" s="6">
        <f>IFERROR(__xludf.DUMMYFUNCTION("""COMPUTED_VALUE"""),0.5665393518518524)</f>
        <v>0.5665393519</v>
      </c>
      <c r="G437" s="4" t="str">
        <f>IFERROR(__xludf.DUMMYFUNCTION("""COMPUTED_VALUE"""),"P&amp;E")</f>
        <v>P&amp;E</v>
      </c>
      <c r="H437" s="4" t="str">
        <f>IFERROR(__xludf.DUMMYFUNCTION("""COMPUTED_VALUE"""),"")</f>
        <v/>
      </c>
      <c r="I437" s="4" t="str">
        <f>IFERROR(__xludf.DUMMYFUNCTION("""COMPUTED_VALUE"""),"")</f>
        <v/>
      </c>
      <c r="J437" s="4" t="str">
        <f>IFERROR(__xludf.DUMMYFUNCTION("""COMPUTED_VALUE"""),"Leadership")</f>
        <v>Leadership</v>
      </c>
      <c r="K437" s="4" t="str">
        <f>IFERROR(__xludf.DUMMYFUNCTION("""COMPUTED_VALUE"""),"Partner ad")</f>
        <v>Partner ad</v>
      </c>
      <c r="L437" s="4" t="str">
        <f>IFERROR(__xludf.DUMMYFUNCTION("""COMPUTED_VALUE"""),"")</f>
        <v/>
      </c>
      <c r="M437" s="4" t="str">
        <f>IFERROR(__xludf.DUMMYFUNCTION("""COMPUTED_VALUE"""),"Partner logoreel #3 TBC")</f>
        <v>Partner logoreel #3 TBC</v>
      </c>
      <c r="N437" s="4" t="str">
        <f>IFERROR(__xludf.DUMMYFUNCTION("""COMPUTED_VALUE"""),"")</f>
        <v/>
      </c>
      <c r="O437" s="4" t="str">
        <f>IFERROR(__xludf.DUMMYFUNCTION("""COMPUTED_VALUE"""),"")</f>
        <v/>
      </c>
      <c r="P437" s="4" t="str">
        <f>IFERROR(__xludf.DUMMYFUNCTION("""COMPUTED_VALUE"""),"")</f>
        <v/>
      </c>
      <c r="Q437" s="4" t="str">
        <f>IFERROR(__xludf.DUMMYFUNCTION("""COMPUTED_VALUE"""),"")</f>
        <v/>
      </c>
      <c r="R437" s="4" t="str">
        <f>IFERROR(__xludf.DUMMYFUNCTION("""COMPUTED_VALUE"""),"")</f>
        <v/>
      </c>
      <c r="S437" s="4" t="str">
        <f>IFERROR(__xludf.DUMMYFUNCTION("""COMPUTED_VALUE"""),"")</f>
        <v/>
      </c>
      <c r="T437" s="4" t="str">
        <f>IFERROR(__xludf.DUMMYFUNCTION("""COMPUTED_VALUE"""),"")</f>
        <v/>
      </c>
      <c r="U437" s="4" t="str">
        <f>IFERROR(__xludf.DUMMYFUNCTION("""COMPUTED_VALUE"""),"")</f>
        <v/>
      </c>
      <c r="V437" s="4" t="str">
        <f>IFERROR(__xludf.DUMMYFUNCTION("""COMPUTED_VALUE"""),"")</f>
        <v/>
      </c>
      <c r="W437" s="4" t="str">
        <f>IFERROR(__xludf.DUMMYFUNCTION("""COMPUTED_VALUE"""),"")</f>
        <v/>
      </c>
      <c r="X437" s="4" t="str">
        <f>IFERROR(__xludf.DUMMYFUNCTION("""COMPUTED_VALUE"""),"")</f>
        <v/>
      </c>
      <c r="Y437" s="4" t="str">
        <f>IFERROR(__xludf.DUMMYFUNCTION("""COMPUTED_VALUE"""),"")</f>
        <v/>
      </c>
    </row>
    <row r="438">
      <c r="A438" s="4" t="str">
        <f>IFERROR(__xludf.DUMMYFUNCTION("""COMPUTED_VALUE"""),"455 - Channel")</f>
        <v>455 - Channel</v>
      </c>
      <c r="B438" s="4" t="str">
        <f>IFERROR(__xludf.DUMMYFUNCTION("""COMPUTED_VALUE"""),"Channel 2")</f>
        <v>Channel 2</v>
      </c>
      <c r="C438" s="4" t="str">
        <f>IFERROR(__xludf.DUMMYFUNCTION("""COMPUTED_VALUE"""),"Day 1 - 23/06")</f>
        <v>Day 1 - 23/06</v>
      </c>
      <c r="D438" s="6">
        <f>IFERROR(__xludf.DUMMYFUNCTION("""COMPUTED_VALUE"""),0.5665393518518524)</f>
        <v>0.5665393519</v>
      </c>
      <c r="E438" s="6">
        <f>IFERROR(__xludf.DUMMYFUNCTION("""COMPUTED_VALUE"""),1.7361111111111112E-4)</f>
        <v>0.0001736111111</v>
      </c>
      <c r="F438" s="6">
        <f>IFERROR(__xludf.DUMMYFUNCTION("""COMPUTED_VALUE"""),0.5667129629629636)</f>
        <v>0.566712963</v>
      </c>
      <c r="G438" s="4" t="str">
        <f>IFERROR(__xludf.DUMMYFUNCTION("""COMPUTED_VALUE"""),"Graphics")</f>
        <v>Graphics</v>
      </c>
      <c r="H438" s="4" t="str">
        <f>IFERROR(__xludf.DUMMYFUNCTION("""COMPUTED_VALUE"""),"")</f>
        <v/>
      </c>
      <c r="I438" s="4" t="str">
        <f>IFERROR(__xludf.DUMMYFUNCTION("""COMPUTED_VALUE"""),"")</f>
        <v/>
      </c>
      <c r="J438" s="4" t="str">
        <f>IFERROR(__xludf.DUMMYFUNCTION("""COMPUTED_VALUE"""),"Leadership")</f>
        <v>Leadership</v>
      </c>
      <c r="K438" s="4" t="str">
        <f>IFERROR(__xludf.DUMMYFUNCTION("""COMPUTED_VALUE"""),"Talk Intro")</f>
        <v>Talk Intro</v>
      </c>
      <c r="L438" s="4" t="str">
        <f>IFERROR(__xludf.DUMMYFUNCTION("""COMPUTED_VALUE"""),"")</f>
        <v/>
      </c>
      <c r="M438" s="4" t="str">
        <f>IFERROR(__xludf.DUMMYFUNCTION("""COMPUTED_VALUE"""),"Talk Intro")</f>
        <v>Talk Intro</v>
      </c>
      <c r="N438" s="4" t="str">
        <f>IFERROR(__xludf.DUMMYFUNCTION("""COMPUTED_VALUE"""),"")</f>
        <v/>
      </c>
      <c r="O438" s="4" t="str">
        <f>IFERROR(__xludf.DUMMYFUNCTION("""COMPUTED_VALUE"""),"")</f>
        <v/>
      </c>
      <c r="P438" s="4" t="str">
        <f>IFERROR(__xludf.DUMMYFUNCTION("""COMPUTED_VALUE"""),"")</f>
        <v/>
      </c>
      <c r="Q438" s="4" t="str">
        <f>IFERROR(__xludf.DUMMYFUNCTION("""COMPUTED_VALUE"""),"")</f>
        <v/>
      </c>
      <c r="R438" s="4" t="str">
        <f>IFERROR(__xludf.DUMMYFUNCTION("""COMPUTED_VALUE"""),"")</f>
        <v/>
      </c>
      <c r="S438" s="4" t="str">
        <f>IFERROR(__xludf.DUMMYFUNCTION("""COMPUTED_VALUE"""),"")</f>
        <v/>
      </c>
      <c r="T438" s="4" t="str">
        <f>IFERROR(__xludf.DUMMYFUNCTION("""COMPUTED_VALUE"""),"")</f>
        <v/>
      </c>
      <c r="U438" s="4" t="str">
        <f>IFERROR(__xludf.DUMMYFUNCTION("""COMPUTED_VALUE"""),"")</f>
        <v/>
      </c>
      <c r="V438" s="4" t="str">
        <f>IFERROR(__xludf.DUMMYFUNCTION("""COMPUTED_VALUE"""),"")</f>
        <v/>
      </c>
      <c r="W438" s="4" t="str">
        <f>IFERROR(__xludf.DUMMYFUNCTION("""COMPUTED_VALUE"""),"")</f>
        <v/>
      </c>
      <c r="X438" s="4" t="str">
        <f>IFERROR(__xludf.DUMMYFUNCTION("""COMPUTED_VALUE"""),"")</f>
        <v/>
      </c>
      <c r="Y438" s="4" t="str">
        <f>IFERROR(__xludf.DUMMYFUNCTION("""COMPUTED_VALUE"""),"")</f>
        <v/>
      </c>
    </row>
    <row r="439">
      <c r="A439" s="4" t="str">
        <f>IFERROR(__xludf.DUMMYFUNCTION("""COMPUTED_VALUE"""),"456 - Channel")</f>
        <v>456 - Channel</v>
      </c>
      <c r="B439" s="4" t="str">
        <f>IFERROR(__xludf.DUMMYFUNCTION("""COMPUTED_VALUE"""),"Channel 2")</f>
        <v>Channel 2</v>
      </c>
      <c r="C439" s="4" t="str">
        <f>IFERROR(__xludf.DUMMYFUNCTION("""COMPUTED_VALUE"""),"Day 1 - 23/06")</f>
        <v>Day 1 - 23/06</v>
      </c>
      <c r="D439" s="6">
        <f>IFERROR(__xludf.DUMMYFUNCTION("""COMPUTED_VALUE"""),0.5667129629629636)</f>
        <v>0.566712963</v>
      </c>
      <c r="E439" s="6">
        <f>IFERROR(__xludf.DUMMYFUNCTION("""COMPUTED_VALUE"""),0.010416666666666666)</f>
        <v>0.01041666667</v>
      </c>
      <c r="F439" s="6">
        <f>IFERROR(__xludf.DUMMYFUNCTION("""COMPUTED_VALUE"""),0.5771296296296302)</f>
        <v>0.5771296296</v>
      </c>
      <c r="G439" s="4" t="str">
        <f>IFERROR(__xludf.DUMMYFUNCTION("""COMPUTED_VALUE"""),"Ahmed")</f>
        <v>Ahmed</v>
      </c>
      <c r="H439" s="4" t="str">
        <f>IFERROR(__xludf.DUMMYFUNCTION("""COMPUTED_VALUE"""),"Stephen")</f>
        <v>Stephen</v>
      </c>
      <c r="I439" s="4" t="str">
        <f>IFERROR(__xludf.DUMMYFUNCTION("""COMPUTED_VALUE"""),"Manon")</f>
        <v>Manon</v>
      </c>
      <c r="J439" s="4" t="str">
        <f>IFERROR(__xludf.DUMMYFUNCTION("""COMPUTED_VALUE"""),"Leadership")</f>
        <v>Leadership</v>
      </c>
      <c r="K439" s="4" t="str">
        <f>IFERROR(__xludf.DUMMYFUNCTION("""COMPUTED_VALUE"""),"Panel")</f>
        <v>Panel</v>
      </c>
      <c r="L439" s="4" t="str">
        <f>IFERROR(__xludf.DUMMYFUNCTION("""COMPUTED_VALUE"""),"T- 4 - 25/05/2020")</f>
        <v>T- 4 - 25/05/2020</v>
      </c>
      <c r="M439" s="4" t="str">
        <f>IFERROR(__xludf.DUMMYFUNCTION("""COMPUTED_VALUE"""),"How will gen Z shape the future of legacy businesses?")</f>
        <v>How will gen Z shape the future of legacy businesses?</v>
      </c>
      <c r="N439" s="4" t="str">
        <f>IFERROR(__xludf.DUMMYFUNCTION("""COMPUTED_VALUE"""),"Vanessa Colella, Citi bank")</f>
        <v>Vanessa Colella, Citi bank</v>
      </c>
      <c r="O439" s="4" t="str">
        <f>IFERROR(__xludf.DUMMYFUNCTION("""COMPUTED_VALUE"""),"Nadja Swarovski, Swarovski")</f>
        <v>Nadja Swarovski, Swarovski</v>
      </c>
      <c r="P439" s="4" t="str">
        <f>IFERROR(__xludf.DUMMYFUNCTION("""COMPUTED_VALUE"""),"Vinay Solanki, Channel 4 Ventures")</f>
        <v>Vinay Solanki, Channel 4 Ventures</v>
      </c>
      <c r="Q439" s="4" t="str">
        <f>IFERROR(__xludf.DUMMYFUNCTION("""COMPUTED_VALUE"""),"")</f>
        <v/>
      </c>
      <c r="R439" s="4" t="str">
        <f>IFERROR(__xludf.DUMMYFUNCTION("""COMPUTED_VALUE"""),"Andy Serwer, Yahoo Finance")</f>
        <v>Andy Serwer, Yahoo Finance</v>
      </c>
      <c r="S439" s="4" t="str">
        <f>IFERROR(__xludf.DUMMYFUNCTION("""COMPUTED_VALUE"""),"Gen Z controls US$45 billion in annual spending, with the oldest members of the generation turning just 24 this year. During the pandemic, reports have shown a significant change in gen Z's brand alignment behaviour as a result of availability and cost sa"&amp;"vings. Is it impossible for a brand to secure the loyalty of a gen Zer? ")</f>
        <v>Gen Z controls US$45 billion in annual spending, with the oldest members of the generation turning just 24 this year. During the pandemic, reports have shown a significant change in gen Z's brand alignment behaviour as a result of availability and cost savings. Is it impossible for a brand to secure the loyalty of a gen Zer? </v>
      </c>
      <c r="T439" s="4" t="str">
        <f>IFERROR(__xludf.DUMMYFUNCTION("""COMPUTED_VALUE"""),"NON-KEYNOTE 9 - COMPLETE")</f>
        <v>NON-KEYNOTE 9 - COMPLETE</v>
      </c>
      <c r="U439" s="23">
        <f>IFERROR(__xludf.DUMMYFUNCTION("""COMPUTED_VALUE"""),43985.0)</f>
        <v>43985</v>
      </c>
      <c r="V439" s="44">
        <f>IFERROR(__xludf.DUMMYFUNCTION("""COMPUTED_VALUE"""),0.6666666666666666)</f>
        <v>0.6666666667</v>
      </c>
      <c r="W439" s="4" t="str">
        <f>IFERROR(__xludf.DUMMYFUNCTION("""COMPUTED_VALUE"""),"COMPLETE")</f>
        <v>COMPLETE</v>
      </c>
      <c r="X439" s="4" t="str">
        <f>IFERROR(__xludf.DUMMYFUNCTION("""COMPUTED_VALUE"""),"Ahmed")</f>
        <v>Ahmed</v>
      </c>
      <c r="Y439" s="4" t="str">
        <f>IFERROR(__xludf.DUMMYFUNCTION("""COMPUTED_VALUE"""),"")</f>
        <v/>
      </c>
    </row>
    <row r="440">
      <c r="A440" s="4" t="str">
        <f>IFERROR(__xludf.DUMMYFUNCTION("""COMPUTED_VALUE"""),"458 - Channel")</f>
        <v>458 - Channel</v>
      </c>
      <c r="B440" s="4" t="str">
        <f>IFERROR(__xludf.DUMMYFUNCTION("""COMPUTED_VALUE"""),"Channel 2")</f>
        <v>Channel 2</v>
      </c>
      <c r="C440" s="4" t="str">
        <f>IFERROR(__xludf.DUMMYFUNCTION("""COMPUTED_VALUE"""),"Day 1 - 23/06")</f>
        <v>Day 1 - 23/06</v>
      </c>
      <c r="D440" s="6">
        <f>IFERROR(__xludf.DUMMYFUNCTION("""COMPUTED_VALUE"""),0.5771296296296302)</f>
        <v>0.5771296296</v>
      </c>
      <c r="E440" s="6">
        <f>IFERROR(__xludf.DUMMYFUNCTION("""COMPUTED_VALUE"""),3.4722222222222224E-4)</f>
        <v>0.0003472222222</v>
      </c>
      <c r="F440" s="6">
        <f>IFERROR(__xludf.DUMMYFUNCTION("""COMPUTED_VALUE"""),0.5774768518518525)</f>
        <v>0.5774768519</v>
      </c>
      <c r="G440" s="4" t="str">
        <f>IFERROR(__xludf.DUMMYFUNCTION("""COMPUTED_VALUE"""),"Graphics")</f>
        <v>Graphics</v>
      </c>
      <c r="H440" s="4" t="str">
        <f>IFERROR(__xludf.DUMMYFUNCTION("""COMPUTED_VALUE"""),"")</f>
        <v/>
      </c>
      <c r="I440" s="4" t="str">
        <f>IFERROR(__xludf.DUMMYFUNCTION("""COMPUTED_VALUE"""),"")</f>
        <v/>
      </c>
      <c r="J440" s="4" t="str">
        <f>IFERROR(__xludf.DUMMYFUNCTION("""COMPUTED_VALUE"""),"Leadership")</f>
        <v>Leadership</v>
      </c>
      <c r="K440" s="4" t="str">
        <f>IFERROR(__xludf.DUMMYFUNCTION("""COMPUTED_VALUE"""),"RISE Trailer")</f>
        <v>RISE Trailer</v>
      </c>
      <c r="L440" s="4" t="str">
        <f>IFERROR(__xludf.DUMMYFUNCTION("""COMPUTED_VALUE"""),"")</f>
        <v/>
      </c>
      <c r="M440" s="4" t="str">
        <f>IFERROR(__xludf.DUMMYFUNCTION("""COMPUTED_VALUE"""),"RISE Trailer - short")</f>
        <v>RISE Trailer - short</v>
      </c>
      <c r="N440" s="4" t="str">
        <f>IFERROR(__xludf.DUMMYFUNCTION("""COMPUTED_VALUE"""),"")</f>
        <v/>
      </c>
      <c r="O440" s="4" t="str">
        <f>IFERROR(__xludf.DUMMYFUNCTION("""COMPUTED_VALUE"""),"")</f>
        <v/>
      </c>
      <c r="P440" s="4" t="str">
        <f>IFERROR(__xludf.DUMMYFUNCTION("""COMPUTED_VALUE"""),"")</f>
        <v/>
      </c>
      <c r="Q440" s="4" t="str">
        <f>IFERROR(__xludf.DUMMYFUNCTION("""COMPUTED_VALUE"""),"")</f>
        <v/>
      </c>
      <c r="R440" s="4" t="str">
        <f>IFERROR(__xludf.DUMMYFUNCTION("""COMPUTED_VALUE"""),"")</f>
        <v/>
      </c>
      <c r="S440" s="4" t="str">
        <f>IFERROR(__xludf.DUMMYFUNCTION("""COMPUTED_VALUE"""),"")</f>
        <v/>
      </c>
      <c r="T440" s="4" t="str">
        <f>IFERROR(__xludf.DUMMYFUNCTION("""COMPUTED_VALUE"""),"")</f>
        <v/>
      </c>
      <c r="U440" s="4" t="str">
        <f>IFERROR(__xludf.DUMMYFUNCTION("""COMPUTED_VALUE"""),"")</f>
        <v/>
      </c>
      <c r="V440" s="4" t="str">
        <f>IFERROR(__xludf.DUMMYFUNCTION("""COMPUTED_VALUE"""),"")</f>
        <v/>
      </c>
      <c r="W440" s="4" t="str">
        <f>IFERROR(__xludf.DUMMYFUNCTION("""COMPUTED_VALUE"""),"")</f>
        <v/>
      </c>
      <c r="X440" s="4" t="str">
        <f>IFERROR(__xludf.DUMMYFUNCTION("""COMPUTED_VALUE"""),"")</f>
        <v/>
      </c>
      <c r="Y440" s="4" t="str">
        <f>IFERROR(__xludf.DUMMYFUNCTION("""COMPUTED_VALUE"""),"")</f>
        <v/>
      </c>
    </row>
    <row r="441">
      <c r="A441" s="4" t="str">
        <f>IFERROR(__xludf.DUMMYFUNCTION("""COMPUTED_VALUE"""),"459 - Channel")</f>
        <v>459 - Channel</v>
      </c>
      <c r="B441" s="4" t="str">
        <f>IFERROR(__xludf.DUMMYFUNCTION("""COMPUTED_VALUE"""),"Channel 2")</f>
        <v>Channel 2</v>
      </c>
      <c r="C441" s="4" t="str">
        <f>IFERROR(__xludf.DUMMYFUNCTION("""COMPUTED_VALUE"""),"Day 1 - 23/06")</f>
        <v>Day 1 - 23/06</v>
      </c>
      <c r="D441" s="6">
        <f>IFERROR(__xludf.DUMMYFUNCTION("""COMPUTED_VALUE"""),0.5774768518518525)</f>
        <v>0.5774768519</v>
      </c>
      <c r="E441" s="6">
        <f>IFERROR(__xludf.DUMMYFUNCTION("""COMPUTED_VALUE"""),2.0833333333333335E-4)</f>
        <v>0.0002083333333</v>
      </c>
      <c r="F441" s="6">
        <f>IFERROR(__xludf.DUMMYFUNCTION("""COMPUTED_VALUE"""),0.5776851851851859)</f>
        <v>0.5776851852</v>
      </c>
      <c r="G441" s="4" t="str">
        <f>IFERROR(__xludf.DUMMYFUNCTION("""COMPUTED_VALUE"""),"Startups")</f>
        <v>Startups</v>
      </c>
      <c r="H441" s="4" t="str">
        <f>IFERROR(__xludf.DUMMYFUNCTION("""COMPUTED_VALUE"""),"")</f>
        <v/>
      </c>
      <c r="I441" s="4" t="str">
        <f>IFERROR(__xludf.DUMMYFUNCTION("""COMPUTED_VALUE"""),"")</f>
        <v/>
      </c>
      <c r="J441" s="4" t="str">
        <f>IFERROR(__xludf.DUMMYFUNCTION("""COMPUTED_VALUE"""),"Leadership")</f>
        <v>Leadership</v>
      </c>
      <c r="K441" s="4" t="str">
        <f>IFERROR(__xludf.DUMMYFUNCTION("""COMPUTED_VALUE"""),"40 Words")</f>
        <v>40 Words</v>
      </c>
      <c r="L441" s="4" t="str">
        <f>IFERROR(__xludf.DUMMYFUNCTION("""COMPUTED_VALUE"""),"")</f>
        <v/>
      </c>
      <c r="M441" s="4" t="str">
        <f>IFERROR(__xludf.DUMMYFUNCTION("""COMPUTED_VALUE"""),"40 Words #7_Crux OCM")</f>
        <v>40 Words #7_Crux OCM</v>
      </c>
      <c r="N441" s="4" t="str">
        <f>IFERROR(__xludf.DUMMYFUNCTION("""COMPUTED_VALUE"""),"")</f>
        <v/>
      </c>
      <c r="O441" s="4" t="str">
        <f>IFERROR(__xludf.DUMMYFUNCTION("""COMPUTED_VALUE"""),"")</f>
        <v/>
      </c>
      <c r="P441" s="4" t="str">
        <f>IFERROR(__xludf.DUMMYFUNCTION("""COMPUTED_VALUE"""),"")</f>
        <v/>
      </c>
      <c r="Q441" s="4" t="str">
        <f>IFERROR(__xludf.DUMMYFUNCTION("""COMPUTED_VALUE"""),"")</f>
        <v/>
      </c>
      <c r="R441" s="4" t="str">
        <f>IFERROR(__xludf.DUMMYFUNCTION("""COMPUTED_VALUE"""),"")</f>
        <v/>
      </c>
      <c r="S441" s="4" t="str">
        <f>IFERROR(__xludf.DUMMYFUNCTION("""COMPUTED_VALUE"""),"")</f>
        <v/>
      </c>
      <c r="T441" s="4" t="str">
        <f>IFERROR(__xludf.DUMMYFUNCTION("""COMPUTED_VALUE"""),"")</f>
        <v/>
      </c>
      <c r="U441" s="4" t="str">
        <f>IFERROR(__xludf.DUMMYFUNCTION("""COMPUTED_VALUE"""),"")</f>
        <v/>
      </c>
      <c r="V441" s="4" t="str">
        <f>IFERROR(__xludf.DUMMYFUNCTION("""COMPUTED_VALUE"""),"")</f>
        <v/>
      </c>
      <c r="W441" s="4" t="str">
        <f>IFERROR(__xludf.DUMMYFUNCTION("""COMPUTED_VALUE"""),"")</f>
        <v/>
      </c>
      <c r="X441" s="4" t="str">
        <f>IFERROR(__xludf.DUMMYFUNCTION("""COMPUTED_VALUE"""),"")</f>
        <v/>
      </c>
      <c r="Y441" s="4" t="str">
        <f>IFERROR(__xludf.DUMMYFUNCTION("""COMPUTED_VALUE"""),"")</f>
        <v/>
      </c>
    </row>
    <row r="442">
      <c r="A442" s="4" t="str">
        <f>IFERROR(__xludf.DUMMYFUNCTION("""COMPUTED_VALUE"""),"460 - Channel")</f>
        <v>460 - Channel</v>
      </c>
      <c r="B442" s="4" t="str">
        <f>IFERROR(__xludf.DUMMYFUNCTION("""COMPUTED_VALUE"""),"Channel 2")</f>
        <v>Channel 2</v>
      </c>
      <c r="C442" s="4" t="str">
        <f>IFERROR(__xludf.DUMMYFUNCTION("""COMPUTED_VALUE"""),"Day 1 - 23/06")</f>
        <v>Day 1 - 23/06</v>
      </c>
      <c r="D442" s="6">
        <f>IFERROR(__xludf.DUMMYFUNCTION("""COMPUTED_VALUE"""),0.5776851851851859)</f>
        <v>0.5776851852</v>
      </c>
      <c r="E442" s="6">
        <f>IFERROR(__xludf.DUMMYFUNCTION("""COMPUTED_VALUE"""),2.314814814814815E-4)</f>
        <v>0.0002314814815</v>
      </c>
      <c r="F442" s="6">
        <f>IFERROR(__xludf.DUMMYFUNCTION("""COMPUTED_VALUE"""),0.5779166666666673)</f>
        <v>0.5779166667</v>
      </c>
      <c r="G442" s="4" t="str">
        <f>IFERROR(__xludf.DUMMYFUNCTION("""COMPUTED_VALUE"""),"Startups")</f>
        <v>Startups</v>
      </c>
      <c r="H442" s="4" t="str">
        <f>IFERROR(__xludf.DUMMYFUNCTION("""COMPUTED_VALUE"""),"")</f>
        <v/>
      </c>
      <c r="I442" s="4" t="str">
        <f>IFERROR(__xludf.DUMMYFUNCTION("""COMPUTED_VALUE"""),"")</f>
        <v/>
      </c>
      <c r="J442" s="4" t="str">
        <f>IFERROR(__xludf.DUMMYFUNCTION("""COMPUTED_VALUE"""),"Leadership")</f>
        <v>Leadership</v>
      </c>
      <c r="K442" s="4" t="str">
        <f>IFERROR(__xludf.DUMMYFUNCTION("""COMPUTED_VALUE"""),"40 Words")</f>
        <v>40 Words</v>
      </c>
      <c r="L442" s="4" t="str">
        <f>IFERROR(__xludf.DUMMYFUNCTION("""COMPUTED_VALUE"""),"")</f>
        <v/>
      </c>
      <c r="M442" s="4" t="str">
        <f>IFERROR(__xludf.DUMMYFUNCTION("""COMPUTED_VALUE"""),"40 Words #9_Cuckoo")</f>
        <v>40 Words #9_Cuckoo</v>
      </c>
      <c r="N442" s="4" t="str">
        <f>IFERROR(__xludf.DUMMYFUNCTION("""COMPUTED_VALUE"""),"")</f>
        <v/>
      </c>
      <c r="O442" s="4" t="str">
        <f>IFERROR(__xludf.DUMMYFUNCTION("""COMPUTED_VALUE"""),"")</f>
        <v/>
      </c>
      <c r="P442" s="4" t="str">
        <f>IFERROR(__xludf.DUMMYFUNCTION("""COMPUTED_VALUE"""),"")</f>
        <v/>
      </c>
      <c r="Q442" s="4" t="str">
        <f>IFERROR(__xludf.DUMMYFUNCTION("""COMPUTED_VALUE"""),"")</f>
        <v/>
      </c>
      <c r="R442" s="4" t="str">
        <f>IFERROR(__xludf.DUMMYFUNCTION("""COMPUTED_VALUE"""),"")</f>
        <v/>
      </c>
      <c r="S442" s="4" t="str">
        <f>IFERROR(__xludf.DUMMYFUNCTION("""COMPUTED_VALUE"""),"")</f>
        <v/>
      </c>
      <c r="T442" s="4" t="str">
        <f>IFERROR(__xludf.DUMMYFUNCTION("""COMPUTED_VALUE"""),"")</f>
        <v/>
      </c>
      <c r="U442" s="4" t="str">
        <f>IFERROR(__xludf.DUMMYFUNCTION("""COMPUTED_VALUE"""),"")</f>
        <v/>
      </c>
      <c r="V442" s="4" t="str">
        <f>IFERROR(__xludf.DUMMYFUNCTION("""COMPUTED_VALUE"""),"")</f>
        <v/>
      </c>
      <c r="W442" s="4" t="str">
        <f>IFERROR(__xludf.DUMMYFUNCTION("""COMPUTED_VALUE"""),"")</f>
        <v/>
      </c>
      <c r="X442" s="4" t="str">
        <f>IFERROR(__xludf.DUMMYFUNCTION("""COMPUTED_VALUE"""),"")</f>
        <v/>
      </c>
      <c r="Y442" s="4" t="str">
        <f>IFERROR(__xludf.DUMMYFUNCTION("""COMPUTED_VALUE"""),"")</f>
        <v/>
      </c>
    </row>
    <row r="443">
      <c r="A443" s="4" t="str">
        <f>IFERROR(__xludf.DUMMYFUNCTION("""COMPUTED_VALUE"""),"461 - Channel")</f>
        <v>461 - Channel</v>
      </c>
      <c r="B443" s="4" t="str">
        <f>IFERROR(__xludf.DUMMYFUNCTION("""COMPUTED_VALUE"""),"Channel 2")</f>
        <v>Channel 2</v>
      </c>
      <c r="C443" s="4" t="str">
        <f>IFERROR(__xludf.DUMMYFUNCTION("""COMPUTED_VALUE"""),"Day 1 - 23/06")</f>
        <v>Day 1 - 23/06</v>
      </c>
      <c r="D443" s="6">
        <f>IFERROR(__xludf.DUMMYFUNCTION("""COMPUTED_VALUE"""),0.5779166666666673)</f>
        <v>0.5779166667</v>
      </c>
      <c r="E443" s="6">
        <f>IFERROR(__xludf.DUMMYFUNCTION("""COMPUTED_VALUE"""),3.4722222222222224E-4)</f>
        <v>0.0003472222222</v>
      </c>
      <c r="F443" s="6">
        <f>IFERROR(__xludf.DUMMYFUNCTION("""COMPUTED_VALUE"""),0.5782638888888896)</f>
        <v>0.5782638889</v>
      </c>
      <c r="G443" s="4" t="str">
        <f>IFERROR(__xludf.DUMMYFUNCTION("""COMPUTED_VALUE"""),"Graphics")</f>
        <v>Graphics</v>
      </c>
      <c r="H443" s="4" t="str">
        <f>IFERROR(__xludf.DUMMYFUNCTION("""COMPUTED_VALUE"""),"")</f>
        <v/>
      </c>
      <c r="I443" s="4" t="str">
        <f>IFERROR(__xludf.DUMMYFUNCTION("""COMPUTED_VALUE"""),"")</f>
        <v/>
      </c>
      <c r="J443" s="4" t="str">
        <f>IFERROR(__xludf.DUMMYFUNCTION("""COMPUTED_VALUE"""),"Leadership")</f>
        <v>Leadership</v>
      </c>
      <c r="K443" s="4" t="str">
        <f>IFERROR(__xludf.DUMMYFUNCTION("""COMPUTED_VALUE"""),"Talk Intro")</f>
        <v>Talk Intro</v>
      </c>
      <c r="L443" s="4" t="str">
        <f>IFERROR(__xludf.DUMMYFUNCTION("""COMPUTED_VALUE"""),"")</f>
        <v/>
      </c>
      <c r="M443" s="4" t="str">
        <f>IFERROR(__xludf.DUMMYFUNCTION("""COMPUTED_VALUE"""),"Talk Intro")</f>
        <v>Talk Intro</v>
      </c>
      <c r="N443" s="4" t="str">
        <f>IFERROR(__xludf.DUMMYFUNCTION("""COMPUTED_VALUE"""),"")</f>
        <v/>
      </c>
      <c r="O443" s="4" t="str">
        <f>IFERROR(__xludf.DUMMYFUNCTION("""COMPUTED_VALUE"""),"")</f>
        <v/>
      </c>
      <c r="P443" s="4" t="str">
        <f>IFERROR(__xludf.DUMMYFUNCTION("""COMPUTED_VALUE"""),"")</f>
        <v/>
      </c>
      <c r="Q443" s="4" t="str">
        <f>IFERROR(__xludf.DUMMYFUNCTION("""COMPUTED_VALUE"""),"")</f>
        <v/>
      </c>
      <c r="R443" s="4" t="str">
        <f>IFERROR(__xludf.DUMMYFUNCTION("""COMPUTED_VALUE"""),"")</f>
        <v/>
      </c>
      <c r="S443" s="4" t="str">
        <f>IFERROR(__xludf.DUMMYFUNCTION("""COMPUTED_VALUE"""),"")</f>
        <v/>
      </c>
      <c r="T443" s="4" t="str">
        <f>IFERROR(__xludf.DUMMYFUNCTION("""COMPUTED_VALUE"""),"")</f>
        <v/>
      </c>
      <c r="U443" s="4" t="str">
        <f>IFERROR(__xludf.DUMMYFUNCTION("""COMPUTED_VALUE"""),"")</f>
        <v/>
      </c>
      <c r="V443" s="4" t="str">
        <f>IFERROR(__xludf.DUMMYFUNCTION("""COMPUTED_VALUE"""),"")</f>
        <v/>
      </c>
      <c r="W443" s="4" t="str">
        <f>IFERROR(__xludf.DUMMYFUNCTION("""COMPUTED_VALUE"""),"")</f>
        <v/>
      </c>
      <c r="X443" s="4" t="str">
        <f>IFERROR(__xludf.DUMMYFUNCTION("""COMPUTED_VALUE"""),"")</f>
        <v/>
      </c>
      <c r="Y443" s="4" t="str">
        <f>IFERROR(__xludf.DUMMYFUNCTION("""COMPUTED_VALUE"""),"")</f>
        <v/>
      </c>
    </row>
    <row r="444">
      <c r="A444" s="4" t="str">
        <f>IFERROR(__xludf.DUMMYFUNCTION("""COMPUTED_VALUE"""),"462 - Channel")</f>
        <v>462 - Channel</v>
      </c>
      <c r="B444" s="4" t="str">
        <f>IFERROR(__xludf.DUMMYFUNCTION("""COMPUTED_VALUE"""),"Channel 2")</f>
        <v>Channel 2</v>
      </c>
      <c r="C444" s="4" t="str">
        <f>IFERROR(__xludf.DUMMYFUNCTION("""COMPUTED_VALUE"""),"Day 1 - 23/06")</f>
        <v>Day 1 - 23/06</v>
      </c>
      <c r="D444" s="6">
        <f>IFERROR(__xludf.DUMMYFUNCTION("""COMPUTED_VALUE"""),0.5782638888888896)</f>
        <v>0.5782638889</v>
      </c>
      <c r="E444" s="6">
        <f>IFERROR(__xludf.DUMMYFUNCTION("""COMPUTED_VALUE"""),0.0021412037037037038)</f>
        <v>0.002141203704</v>
      </c>
      <c r="F444" s="6">
        <f>IFERROR(__xludf.DUMMYFUNCTION("""COMPUTED_VALUE"""),0.5804050925925933)</f>
        <v>0.5804050926</v>
      </c>
      <c r="G444" s="4" t="str">
        <f>IFERROR(__xludf.DUMMYFUNCTION("""COMPUTED_VALUE"""),"Dan")</f>
        <v>Dan</v>
      </c>
      <c r="H444" s="4" t="str">
        <f>IFERROR(__xludf.DUMMYFUNCTION("""COMPUTED_VALUE"""),"N/A")</f>
        <v>N/A</v>
      </c>
      <c r="I444" s="4" t="str">
        <f>IFERROR(__xludf.DUMMYFUNCTION("""COMPUTED_VALUE"""),"Jack")</f>
        <v>Jack</v>
      </c>
      <c r="J444" s="4" t="str">
        <f>IFERROR(__xludf.DUMMYFUNCTION("""COMPUTED_VALUE"""),"Leadership")</f>
        <v>Leadership</v>
      </c>
      <c r="K444" s="4" t="str">
        <f>IFERROR(__xludf.DUMMYFUNCTION("""COMPUTED_VALUE"""),"Keynote")</f>
        <v>Keynote</v>
      </c>
      <c r="L444" s="4" t="str">
        <f>IFERROR(__xludf.DUMMYFUNCTION("""COMPUTED_VALUE"""),"T- 8 - 27/04/2020")</f>
        <v>T- 8 - 27/04/2020</v>
      </c>
      <c r="M444" s="4" t="str">
        <f>IFERROR(__xludf.DUMMYFUNCTION("""COMPUTED_VALUE"""),"Look, listen – then lead")</f>
        <v>Look, listen – then lead</v>
      </c>
      <c r="N444" s="4" t="str">
        <f>IFERROR(__xludf.DUMMYFUNCTION("""COMPUTED_VALUE"""),"David Yovanno, Impact")</f>
        <v>David Yovanno, Impact</v>
      </c>
      <c r="O444" s="4" t="str">
        <f>IFERROR(__xludf.DUMMYFUNCTION("""COMPUTED_VALUE"""),"")</f>
        <v/>
      </c>
      <c r="P444" s="4" t="str">
        <f>IFERROR(__xludf.DUMMYFUNCTION("""COMPUTED_VALUE"""),"")</f>
        <v/>
      </c>
      <c r="Q444" s="4" t="str">
        <f>IFERROR(__xludf.DUMMYFUNCTION("""COMPUTED_VALUE"""),"")</f>
        <v/>
      </c>
      <c r="R444" s="4" t="str">
        <f>IFERROR(__xludf.DUMMYFUNCTION("""COMPUTED_VALUE"""),"")</f>
        <v/>
      </c>
      <c r="S444" s="4" t="str">
        <f>IFERROR(__xludf.DUMMYFUNCTION("""COMPUTED_VALUE"""),"Join Impact CEO David Yovanno as he shares his secrets of success and his learnings around creating a new category for enterprise growth.")</f>
        <v>Join Impact CEO David Yovanno as he shares his secrets of success and his learnings around creating a new category for enterprise growth.</v>
      </c>
      <c r="T444" s="4" t="str">
        <f>IFERROR(__xludf.DUMMYFUNCTION("""COMPUTED_VALUE"""),"KEYNOTE 8 - COMPLETE")</f>
        <v>KEYNOTE 8 - COMPLETE</v>
      </c>
      <c r="U444" s="23">
        <f>IFERROR(__xludf.DUMMYFUNCTION("""COMPUTED_VALUE"""),43951.0)</f>
        <v>43951</v>
      </c>
      <c r="V444" s="24">
        <f>IFERROR(__xludf.DUMMYFUNCTION("""COMPUTED_VALUE"""),0.75)</f>
        <v>0.75</v>
      </c>
      <c r="W444" s="4" t="str">
        <f>IFERROR(__xludf.DUMMYFUNCTION("""COMPUTED_VALUE"""),"COMPLETE")</f>
        <v>COMPLETE</v>
      </c>
      <c r="X444" s="4" t="str">
        <f>IFERROR(__xludf.DUMMYFUNCTION("""COMPUTED_VALUE"""),"Dan")</f>
        <v>Dan</v>
      </c>
      <c r="Y444" s="4" t="str">
        <f>IFERROR(__xludf.DUMMYFUNCTION("""COMPUTED_VALUE"""),"")</f>
        <v/>
      </c>
    </row>
    <row r="445">
      <c r="A445" s="4" t="str">
        <f>IFERROR(__xludf.DUMMYFUNCTION("""COMPUTED_VALUE"""),"464 - Channel")</f>
        <v>464 - Channel</v>
      </c>
      <c r="B445" s="4" t="str">
        <f>IFERROR(__xludf.DUMMYFUNCTION("""COMPUTED_VALUE"""),"Channel 2")</f>
        <v>Channel 2</v>
      </c>
      <c r="C445" s="4" t="str">
        <f>IFERROR(__xludf.DUMMYFUNCTION("""COMPUTED_VALUE"""),"Day 1 - 23/06")</f>
        <v>Day 1 - 23/06</v>
      </c>
      <c r="D445" s="6">
        <f>IFERROR(__xludf.DUMMYFUNCTION("""COMPUTED_VALUE"""),0.5804050925925933)</f>
        <v>0.5804050926</v>
      </c>
      <c r="E445" s="6">
        <f>IFERROR(__xludf.DUMMYFUNCTION("""COMPUTED_VALUE"""),1.7361111111111112E-4)</f>
        <v>0.0001736111111</v>
      </c>
      <c r="F445" s="6">
        <f>IFERROR(__xludf.DUMMYFUNCTION("""COMPUTED_VALUE"""),0.5805787037037045)</f>
        <v>0.5805787037</v>
      </c>
      <c r="G445" s="4" t="str">
        <f>IFERROR(__xludf.DUMMYFUNCTION("""COMPUTED_VALUE"""),"P&amp;E")</f>
        <v>P&amp;E</v>
      </c>
      <c r="H445" s="4" t="str">
        <f>IFERROR(__xludf.DUMMYFUNCTION("""COMPUTED_VALUE"""),"")</f>
        <v/>
      </c>
      <c r="I445" s="4" t="str">
        <f>IFERROR(__xludf.DUMMYFUNCTION("""COMPUTED_VALUE"""),"")</f>
        <v/>
      </c>
      <c r="J445" s="4" t="str">
        <f>IFERROR(__xludf.DUMMYFUNCTION("""COMPUTED_VALUE"""),"Leadership")</f>
        <v>Leadership</v>
      </c>
      <c r="K445" s="4" t="str">
        <f>IFERROR(__xludf.DUMMYFUNCTION("""COMPUTED_VALUE"""),"Partner ad")</f>
        <v>Partner ad</v>
      </c>
      <c r="L445" s="4" t="str">
        <f>IFERROR(__xludf.DUMMYFUNCTION("""COMPUTED_VALUE"""),"")</f>
        <v/>
      </c>
      <c r="M445" s="4" t="str">
        <f>IFERROR(__xludf.DUMMYFUNCTION("""COMPUTED_VALUE"""),"Partner Adroll #3 TBC")</f>
        <v>Partner Adroll #3 TBC</v>
      </c>
      <c r="N445" s="4" t="str">
        <f>IFERROR(__xludf.DUMMYFUNCTION("""COMPUTED_VALUE"""),"")</f>
        <v/>
      </c>
      <c r="O445" s="4" t="str">
        <f>IFERROR(__xludf.DUMMYFUNCTION("""COMPUTED_VALUE"""),"")</f>
        <v/>
      </c>
      <c r="P445" s="4" t="str">
        <f>IFERROR(__xludf.DUMMYFUNCTION("""COMPUTED_VALUE"""),"")</f>
        <v/>
      </c>
      <c r="Q445" s="4" t="str">
        <f>IFERROR(__xludf.DUMMYFUNCTION("""COMPUTED_VALUE"""),"")</f>
        <v/>
      </c>
      <c r="R445" s="4" t="str">
        <f>IFERROR(__xludf.DUMMYFUNCTION("""COMPUTED_VALUE"""),"")</f>
        <v/>
      </c>
      <c r="S445" s="4" t="str">
        <f>IFERROR(__xludf.DUMMYFUNCTION("""COMPUTED_VALUE"""),"")</f>
        <v/>
      </c>
      <c r="T445" s="4" t="str">
        <f>IFERROR(__xludf.DUMMYFUNCTION("""COMPUTED_VALUE"""),"")</f>
        <v/>
      </c>
      <c r="U445" s="4" t="str">
        <f>IFERROR(__xludf.DUMMYFUNCTION("""COMPUTED_VALUE"""),"")</f>
        <v/>
      </c>
      <c r="V445" s="4" t="str">
        <f>IFERROR(__xludf.DUMMYFUNCTION("""COMPUTED_VALUE"""),"")</f>
        <v/>
      </c>
      <c r="W445" s="4" t="str">
        <f>IFERROR(__xludf.DUMMYFUNCTION("""COMPUTED_VALUE"""),"")</f>
        <v/>
      </c>
      <c r="X445" s="4" t="str">
        <f>IFERROR(__xludf.DUMMYFUNCTION("""COMPUTED_VALUE"""),"")</f>
        <v/>
      </c>
      <c r="Y445" s="4" t="str">
        <f>IFERROR(__xludf.DUMMYFUNCTION("""COMPUTED_VALUE"""),"")</f>
        <v/>
      </c>
    </row>
    <row r="446">
      <c r="A446" s="4" t="str">
        <f>IFERROR(__xludf.DUMMYFUNCTION("""COMPUTED_VALUE"""),"465 - Channel")</f>
        <v>465 - Channel</v>
      </c>
      <c r="B446" s="4" t="str">
        <f>IFERROR(__xludf.DUMMYFUNCTION("""COMPUTED_VALUE"""),"Channel 2")</f>
        <v>Channel 2</v>
      </c>
      <c r="C446" s="4" t="str">
        <f>IFERROR(__xludf.DUMMYFUNCTION("""COMPUTED_VALUE"""),"Day 1 - 23/06")</f>
        <v>Day 1 - 23/06</v>
      </c>
      <c r="D446" s="6">
        <f>IFERROR(__xludf.DUMMYFUNCTION("""COMPUTED_VALUE"""),0.5805787037037045)</f>
        <v>0.5805787037</v>
      </c>
      <c r="E446" s="6">
        <f>IFERROR(__xludf.DUMMYFUNCTION("""COMPUTED_VALUE"""),3.4722222222222224E-4)</f>
        <v>0.0003472222222</v>
      </c>
      <c r="F446" s="6">
        <f>IFERROR(__xludf.DUMMYFUNCTION("""COMPUTED_VALUE"""),0.5809259259259267)</f>
        <v>0.5809259259</v>
      </c>
      <c r="G446" s="4" t="str">
        <f>IFERROR(__xludf.DUMMYFUNCTION("""COMPUTED_VALUE"""),"Startups")</f>
        <v>Startups</v>
      </c>
      <c r="H446" s="4" t="str">
        <f>IFERROR(__xludf.DUMMYFUNCTION("""COMPUTED_VALUE"""),"")</f>
        <v/>
      </c>
      <c r="I446" s="4" t="str">
        <f>IFERROR(__xludf.DUMMYFUNCTION("""COMPUTED_VALUE"""),"")</f>
        <v/>
      </c>
      <c r="J446" s="4" t="str">
        <f>IFERROR(__xludf.DUMMYFUNCTION("""COMPUTED_VALUE"""),"Leadership")</f>
        <v>Leadership</v>
      </c>
      <c r="K446" s="4" t="str">
        <f>IFERROR(__xludf.DUMMYFUNCTION("""COMPUTED_VALUE"""),"40 Words")</f>
        <v>40 Words</v>
      </c>
      <c r="L446" s="4" t="str">
        <f>IFERROR(__xludf.DUMMYFUNCTION("""COMPUTED_VALUE"""),"")</f>
        <v/>
      </c>
      <c r="M446" s="4" t="str">
        <f>IFERROR(__xludf.DUMMYFUNCTION("""COMPUTED_VALUE"""),"40 Words #17_Grandpal")</f>
        <v>40 Words #17_Grandpal</v>
      </c>
      <c r="N446" s="4" t="str">
        <f>IFERROR(__xludf.DUMMYFUNCTION("""COMPUTED_VALUE"""),"")</f>
        <v/>
      </c>
      <c r="O446" s="4" t="str">
        <f>IFERROR(__xludf.DUMMYFUNCTION("""COMPUTED_VALUE"""),"")</f>
        <v/>
      </c>
      <c r="P446" s="4" t="str">
        <f>IFERROR(__xludf.DUMMYFUNCTION("""COMPUTED_VALUE"""),"")</f>
        <v/>
      </c>
      <c r="Q446" s="4" t="str">
        <f>IFERROR(__xludf.DUMMYFUNCTION("""COMPUTED_VALUE"""),"")</f>
        <v/>
      </c>
      <c r="R446" s="4" t="str">
        <f>IFERROR(__xludf.DUMMYFUNCTION("""COMPUTED_VALUE"""),"")</f>
        <v/>
      </c>
      <c r="S446" s="4" t="str">
        <f>IFERROR(__xludf.DUMMYFUNCTION("""COMPUTED_VALUE"""),"")</f>
        <v/>
      </c>
      <c r="T446" s="4" t="str">
        <f>IFERROR(__xludf.DUMMYFUNCTION("""COMPUTED_VALUE"""),"")</f>
        <v/>
      </c>
      <c r="U446" s="4" t="str">
        <f>IFERROR(__xludf.DUMMYFUNCTION("""COMPUTED_VALUE"""),"")</f>
        <v/>
      </c>
      <c r="V446" s="4" t="str">
        <f>IFERROR(__xludf.DUMMYFUNCTION("""COMPUTED_VALUE"""),"")</f>
        <v/>
      </c>
      <c r="W446" s="4" t="str">
        <f>IFERROR(__xludf.DUMMYFUNCTION("""COMPUTED_VALUE"""),"")</f>
        <v/>
      </c>
      <c r="X446" s="4" t="str">
        <f>IFERROR(__xludf.DUMMYFUNCTION("""COMPUTED_VALUE"""),"")</f>
        <v/>
      </c>
      <c r="Y446" s="4" t="str">
        <f>IFERROR(__xludf.DUMMYFUNCTION("""COMPUTED_VALUE"""),"")</f>
        <v/>
      </c>
    </row>
    <row r="447">
      <c r="A447" s="4" t="str">
        <f>IFERROR(__xludf.DUMMYFUNCTION("""COMPUTED_VALUE"""),"467 - Channel")</f>
        <v>467 - Channel</v>
      </c>
      <c r="B447" s="4" t="str">
        <f>IFERROR(__xludf.DUMMYFUNCTION("""COMPUTED_VALUE"""),"Channel 2")</f>
        <v>Channel 2</v>
      </c>
      <c r="C447" s="4" t="str">
        <f>IFERROR(__xludf.DUMMYFUNCTION("""COMPUTED_VALUE"""),"Day 1 - 23/06")</f>
        <v>Day 1 - 23/06</v>
      </c>
      <c r="D447" s="4" t="str">
        <f>IFERROR(__xludf.DUMMYFUNCTION("""COMPUTED_VALUE"""),"")</f>
        <v/>
      </c>
      <c r="E447" s="4" t="str">
        <f>IFERROR(__xludf.DUMMYFUNCTION("""COMPUTED_VALUE"""),"")</f>
        <v/>
      </c>
      <c r="F447" s="4" t="str">
        <f>IFERROR(__xludf.DUMMYFUNCTION("""COMPUTED_VALUE"""),"")</f>
        <v/>
      </c>
      <c r="G447" s="4" t="str">
        <f>IFERROR(__xludf.DUMMYFUNCTION("""COMPUTED_VALUE"""),"")</f>
        <v/>
      </c>
      <c r="H447" s="4" t="str">
        <f>IFERROR(__xludf.DUMMYFUNCTION("""COMPUTED_VALUE"""),"")</f>
        <v/>
      </c>
      <c r="I447" s="4" t="str">
        <f>IFERROR(__xludf.DUMMYFUNCTION("""COMPUTED_VALUE"""),"")</f>
        <v/>
      </c>
      <c r="J447" s="4" t="str">
        <f>IFERROR(__xludf.DUMMYFUNCTION("""COMPUTED_VALUE"""),"")</f>
        <v/>
      </c>
      <c r="K447" s="4" t="str">
        <f>IFERROR(__xludf.DUMMYFUNCTION("""COMPUTED_VALUE"""),"")</f>
        <v/>
      </c>
      <c r="L447" s="4" t="str">
        <f>IFERROR(__xludf.DUMMYFUNCTION("""COMPUTED_VALUE"""),"")</f>
        <v/>
      </c>
      <c r="M447" s="4" t="str">
        <f>IFERROR(__xludf.DUMMYFUNCTION("""COMPUTED_VALUE"""),"")</f>
        <v/>
      </c>
      <c r="N447" s="4" t="str">
        <f>IFERROR(__xludf.DUMMYFUNCTION("""COMPUTED_VALUE"""),"")</f>
        <v/>
      </c>
      <c r="O447" s="4" t="str">
        <f>IFERROR(__xludf.DUMMYFUNCTION("""COMPUTED_VALUE"""),"")</f>
        <v/>
      </c>
      <c r="P447" s="4" t="str">
        <f>IFERROR(__xludf.DUMMYFUNCTION("""COMPUTED_VALUE"""),"")</f>
        <v/>
      </c>
      <c r="Q447" s="4" t="str">
        <f>IFERROR(__xludf.DUMMYFUNCTION("""COMPUTED_VALUE"""),"")</f>
        <v/>
      </c>
      <c r="R447" s="4" t="str">
        <f>IFERROR(__xludf.DUMMYFUNCTION("""COMPUTED_VALUE"""),"")</f>
        <v/>
      </c>
      <c r="S447" s="4" t="str">
        <f>IFERROR(__xludf.DUMMYFUNCTION("""COMPUTED_VALUE"""),"")</f>
        <v/>
      </c>
      <c r="T447" s="4" t="str">
        <f>IFERROR(__xludf.DUMMYFUNCTION("""COMPUTED_VALUE"""),"")</f>
        <v/>
      </c>
      <c r="U447" s="4" t="str">
        <f>IFERROR(__xludf.DUMMYFUNCTION("""COMPUTED_VALUE"""),"")</f>
        <v/>
      </c>
      <c r="V447" s="4" t="str">
        <f>IFERROR(__xludf.DUMMYFUNCTION("""COMPUTED_VALUE"""),"")</f>
        <v/>
      </c>
      <c r="W447" s="4" t="str">
        <f>IFERROR(__xludf.DUMMYFUNCTION("""COMPUTED_VALUE"""),"")</f>
        <v/>
      </c>
      <c r="X447" s="4" t="str">
        <f>IFERROR(__xludf.DUMMYFUNCTION("""COMPUTED_VALUE"""),"")</f>
        <v/>
      </c>
      <c r="Y447" s="4" t="str">
        <f>IFERROR(__xludf.DUMMYFUNCTION("""COMPUTED_VALUE"""),"")</f>
        <v/>
      </c>
    </row>
    <row r="448">
      <c r="A448" s="4" t="str">
        <f>IFERROR(__xludf.DUMMYFUNCTION("""COMPUTED_VALUE"""),"468 - Channel")</f>
        <v>468 - Channel</v>
      </c>
      <c r="B448" s="4" t="str">
        <f>IFERROR(__xludf.DUMMYFUNCTION("""COMPUTED_VALUE"""),"Channel 2")</f>
        <v>Channel 2</v>
      </c>
      <c r="C448" s="4" t="str">
        <f>IFERROR(__xludf.DUMMYFUNCTION("""COMPUTED_VALUE"""),"Day 1 - 23/06")</f>
        <v>Day 1 - 23/06</v>
      </c>
      <c r="D448" s="6">
        <f>IFERROR(__xludf.DUMMYFUNCTION("""COMPUTED_VALUE"""),0.5809259259259267)</f>
        <v>0.5809259259</v>
      </c>
      <c r="E448" s="6">
        <f>IFERROR(__xludf.DUMMYFUNCTION("""COMPUTED_VALUE"""),3.4722222222222224E-4)</f>
        <v>0.0003472222222</v>
      </c>
      <c r="F448" s="6">
        <f>IFERROR(__xludf.DUMMYFUNCTION("""COMPUTED_VALUE"""),0.581273148148149)</f>
        <v>0.5812731481</v>
      </c>
      <c r="G448" s="4" t="str">
        <f>IFERROR(__xludf.DUMMYFUNCTION("""COMPUTED_VALUE"""),"Graphics")</f>
        <v>Graphics</v>
      </c>
      <c r="H448" s="4" t="str">
        <f>IFERROR(__xludf.DUMMYFUNCTION("""COMPUTED_VALUE"""),"")</f>
        <v/>
      </c>
      <c r="I448" s="4" t="str">
        <f>IFERROR(__xludf.DUMMYFUNCTION("""COMPUTED_VALUE"""),"")</f>
        <v/>
      </c>
      <c r="J448" s="4" t="str">
        <f>IFERROR(__xludf.DUMMYFUNCTION("""COMPUTED_VALUE"""),"News")</f>
        <v>News</v>
      </c>
      <c r="K448" s="4" t="str">
        <f>IFERROR(__xludf.DUMMYFUNCTION("""COMPUTED_VALUE"""),"Talk Intro")</f>
        <v>Talk Intro</v>
      </c>
      <c r="L448" s="4" t="str">
        <f>IFERROR(__xludf.DUMMYFUNCTION("""COMPUTED_VALUE"""),"")</f>
        <v/>
      </c>
      <c r="M448" s="4" t="str">
        <f>IFERROR(__xludf.DUMMYFUNCTION("""COMPUTED_VALUE"""),"Talk Intro")</f>
        <v>Talk Intro</v>
      </c>
      <c r="N448" s="4" t="str">
        <f>IFERROR(__xludf.DUMMYFUNCTION("""COMPUTED_VALUE"""),"")</f>
        <v/>
      </c>
      <c r="O448" s="4" t="str">
        <f>IFERROR(__xludf.DUMMYFUNCTION("""COMPUTED_VALUE"""),"")</f>
        <v/>
      </c>
      <c r="P448" s="4" t="str">
        <f>IFERROR(__xludf.DUMMYFUNCTION("""COMPUTED_VALUE"""),"")</f>
        <v/>
      </c>
      <c r="Q448" s="4" t="str">
        <f>IFERROR(__xludf.DUMMYFUNCTION("""COMPUTED_VALUE"""),"")</f>
        <v/>
      </c>
      <c r="R448" s="4" t="str">
        <f>IFERROR(__xludf.DUMMYFUNCTION("""COMPUTED_VALUE"""),"")</f>
        <v/>
      </c>
      <c r="S448" s="4" t="str">
        <f>IFERROR(__xludf.DUMMYFUNCTION("""COMPUTED_VALUE"""),"")</f>
        <v/>
      </c>
      <c r="T448" s="4" t="str">
        <f>IFERROR(__xludf.DUMMYFUNCTION("""COMPUTED_VALUE"""),"")</f>
        <v/>
      </c>
      <c r="U448" s="4" t="str">
        <f>IFERROR(__xludf.DUMMYFUNCTION("""COMPUTED_VALUE"""),"")</f>
        <v/>
      </c>
      <c r="V448" s="4" t="str">
        <f>IFERROR(__xludf.DUMMYFUNCTION("""COMPUTED_VALUE"""),"")</f>
        <v/>
      </c>
      <c r="W448" s="4" t="str">
        <f>IFERROR(__xludf.DUMMYFUNCTION("""COMPUTED_VALUE"""),"")</f>
        <v/>
      </c>
      <c r="X448" s="4" t="str">
        <f>IFERROR(__xludf.DUMMYFUNCTION("""COMPUTED_VALUE"""),"")</f>
        <v/>
      </c>
      <c r="Y448" s="4" t="str">
        <f>IFERROR(__xludf.DUMMYFUNCTION("""COMPUTED_VALUE"""),"")</f>
        <v/>
      </c>
    </row>
    <row r="449">
      <c r="A449" s="4" t="str">
        <f>IFERROR(__xludf.DUMMYFUNCTION("""COMPUTED_VALUE"""),"469 - Channel")</f>
        <v>469 - Channel</v>
      </c>
      <c r="B449" s="4" t="str">
        <f>IFERROR(__xludf.DUMMYFUNCTION("""COMPUTED_VALUE"""),"Channel 2")</f>
        <v>Channel 2</v>
      </c>
      <c r="C449" s="4" t="str">
        <f>IFERROR(__xludf.DUMMYFUNCTION("""COMPUTED_VALUE"""),"Day 1 - 23/06")</f>
        <v>Day 1 - 23/06</v>
      </c>
      <c r="D449" s="6">
        <f>IFERROR(__xludf.DUMMYFUNCTION("""COMPUTED_VALUE"""),0.581273148148149)</f>
        <v>0.5812731481</v>
      </c>
      <c r="E449" s="6">
        <f>IFERROR(__xludf.DUMMYFUNCTION("""COMPUTED_VALUE"""),0.01167824074074074)</f>
        <v>0.01167824074</v>
      </c>
      <c r="F449" s="6">
        <f>IFERROR(__xludf.DUMMYFUNCTION("""COMPUTED_VALUE"""),0.5929513888888898)</f>
        <v>0.5929513889</v>
      </c>
      <c r="G449" s="4" t="str">
        <f>IFERROR(__xludf.DUMMYFUNCTION("""COMPUTED_VALUE"""),"Yvonne")</f>
        <v>Yvonne</v>
      </c>
      <c r="H449" s="4" t="str">
        <f>IFERROR(__xludf.DUMMYFUNCTION("""COMPUTED_VALUE"""),"Stephen")</f>
        <v>Stephen</v>
      </c>
      <c r="I449" s="4" t="str">
        <f>IFERROR(__xludf.DUMMYFUNCTION("""COMPUTED_VALUE"""),"Manon")</f>
        <v>Manon</v>
      </c>
      <c r="J449" s="4" t="str">
        <f>IFERROR(__xludf.DUMMYFUNCTION("""COMPUTED_VALUE"""),"News")</f>
        <v>News</v>
      </c>
      <c r="K449" s="4" t="str">
        <f>IFERROR(__xludf.DUMMYFUNCTION("""COMPUTED_VALUE"""),"Panel")</f>
        <v>Panel</v>
      </c>
      <c r="L449" s="4" t="str">
        <f>IFERROR(__xludf.DUMMYFUNCTION("""COMPUTED_VALUE"""),"T- 3 - 01/06/2020")</f>
        <v>T- 3 - 01/06/2020</v>
      </c>
      <c r="M449" s="4" t="str">
        <f>IFERROR(__xludf.DUMMYFUNCTION("""COMPUTED_VALUE"""),"Misinformation in the time of coronavirus")</f>
        <v>Misinformation in the time of coronavirus</v>
      </c>
      <c r="N449" s="4" t="str">
        <f>IFERROR(__xludf.DUMMYFUNCTION("""COMPUTED_VALUE"""),"Justin Smith, Bloomberg Media")</f>
        <v>Justin Smith, Bloomberg Media</v>
      </c>
      <c r="O449" s="4" t="str">
        <f>IFERROR(__xludf.DUMMYFUNCTION("""COMPUTED_VALUE"""),"Ben Smith, The New York Times")</f>
        <v>Ben Smith, The New York Times</v>
      </c>
      <c r="P449" s="4" t="str">
        <f>IFERROR(__xludf.DUMMYFUNCTION("""COMPUTED_VALUE"""),"Sally Buzbee, Associated Press")</f>
        <v>Sally Buzbee, Associated Press</v>
      </c>
      <c r="Q449" s="4" t="str">
        <f>IFERROR(__xludf.DUMMYFUNCTION("""COMPUTED_VALUE"""),"")</f>
        <v/>
      </c>
      <c r="R449" s="4" t="str">
        <f>IFERROR(__xludf.DUMMYFUNCTION("""COMPUTED_VALUE"""),"Larry Madowo, BBC")</f>
        <v>Larry Madowo, BBC</v>
      </c>
      <c r="S449" s="4" t="str">
        <f>IFERROR(__xludf.DUMMYFUNCTION("""COMPUTED_VALUE"""),"In the last few months, news has stepped into the sun as a global force for good, communicating the message on how we can stop spreading Covid-19. The fight against fake news has taken on fresh significance in these trying times, but are we winning it?")</f>
        <v>In the last few months, news has stepped into the sun as a global force for good, communicating the message on how we can stop spreading Covid-19. The fight against fake news has taken on fresh significance in these trying times, but are we winning it?</v>
      </c>
      <c r="T449" s="4" t="str">
        <f>IFERROR(__xludf.DUMMYFUNCTION("""COMPUTED_VALUE"""),"NON-KEYNOTE 9 - COMPLETE")</f>
        <v>NON-KEYNOTE 9 - COMPLETE</v>
      </c>
      <c r="U449" s="23">
        <f>IFERROR(__xludf.DUMMYFUNCTION("""COMPUTED_VALUE"""),43986.0)</f>
        <v>43986</v>
      </c>
      <c r="V449" s="24">
        <f>IFERROR(__xludf.DUMMYFUNCTION("""COMPUTED_VALUE"""),0.7083333333333334)</f>
        <v>0.7083333333</v>
      </c>
      <c r="W449" s="21" t="str">
        <f>IFERROR(__xludf.DUMMYFUNCTION("""COMPUTED_VALUE"""),"https://zoom.us/j/92812118836?pwd=bUdJVlFDWVdZSWUvUGk2MkNLMlp3UT09")</f>
        <v>https://zoom.us/j/92812118836?pwd=bUdJVlFDWVdZSWUvUGk2MkNLMlp3UT09</v>
      </c>
      <c r="X449" s="4" t="str">
        <f>IFERROR(__xludf.DUMMYFUNCTION("""COMPUTED_VALUE"""),"Yvonne")</f>
        <v>Yvonne</v>
      </c>
      <c r="Y449" s="4" t="str">
        <f>IFERROR(__xludf.DUMMYFUNCTION("""COMPUTED_VALUE"""),"")</f>
        <v/>
      </c>
    </row>
    <row r="450">
      <c r="A450" s="4" t="str">
        <f>IFERROR(__xludf.DUMMYFUNCTION("""COMPUTED_VALUE"""),"470 - Channel")</f>
        <v>470 - Channel</v>
      </c>
      <c r="B450" s="4" t="str">
        <f>IFERROR(__xludf.DUMMYFUNCTION("""COMPUTED_VALUE"""),"Channel 2")</f>
        <v>Channel 2</v>
      </c>
      <c r="C450" s="4" t="str">
        <f>IFERROR(__xludf.DUMMYFUNCTION("""COMPUTED_VALUE"""),"Day 1 - 23/06")</f>
        <v>Day 1 - 23/06</v>
      </c>
      <c r="D450" s="6">
        <f>IFERROR(__xludf.DUMMYFUNCTION("""COMPUTED_VALUE"""),0.5929513888888898)</f>
        <v>0.5929513889</v>
      </c>
      <c r="E450" s="6">
        <f>IFERROR(__xludf.DUMMYFUNCTION("""COMPUTED_VALUE"""),1.7361111111111112E-4)</f>
        <v>0.0001736111111</v>
      </c>
      <c r="F450" s="6">
        <f>IFERROR(__xludf.DUMMYFUNCTION("""COMPUTED_VALUE"""),0.5931250000000009)</f>
        <v>0.593125</v>
      </c>
      <c r="G450" s="4" t="str">
        <f>IFERROR(__xludf.DUMMYFUNCTION("""COMPUTED_VALUE"""),"Graphics")</f>
        <v>Graphics</v>
      </c>
      <c r="H450" s="4" t="str">
        <f>IFERROR(__xludf.DUMMYFUNCTION("""COMPUTED_VALUE"""),"")</f>
        <v/>
      </c>
      <c r="I450" s="4" t="str">
        <f>IFERROR(__xludf.DUMMYFUNCTION("""COMPUTED_VALUE"""),"")</f>
        <v/>
      </c>
      <c r="J450" s="4" t="str">
        <f>IFERROR(__xludf.DUMMYFUNCTION("""COMPUTED_VALUE"""),"News")</f>
        <v>News</v>
      </c>
      <c r="K450" s="4" t="str">
        <f>IFERROR(__xludf.DUMMYFUNCTION("""COMPUTED_VALUE"""),"Talk Outro")</f>
        <v>Talk Outro</v>
      </c>
      <c r="L450" s="4" t="str">
        <f>IFERROR(__xludf.DUMMYFUNCTION("""COMPUTED_VALUE"""),"")</f>
        <v/>
      </c>
      <c r="M450" s="4" t="str">
        <f>IFERROR(__xludf.DUMMYFUNCTION("""COMPUTED_VALUE"""),"Talk Outro")</f>
        <v>Talk Outro</v>
      </c>
      <c r="N450" s="4" t="str">
        <f>IFERROR(__xludf.DUMMYFUNCTION("""COMPUTED_VALUE"""),"")</f>
        <v/>
      </c>
      <c r="O450" s="4" t="str">
        <f>IFERROR(__xludf.DUMMYFUNCTION("""COMPUTED_VALUE"""),"")</f>
        <v/>
      </c>
      <c r="P450" s="4" t="str">
        <f>IFERROR(__xludf.DUMMYFUNCTION("""COMPUTED_VALUE"""),"")</f>
        <v/>
      </c>
      <c r="Q450" s="4" t="str">
        <f>IFERROR(__xludf.DUMMYFUNCTION("""COMPUTED_VALUE"""),"")</f>
        <v/>
      </c>
      <c r="R450" s="4" t="str">
        <f>IFERROR(__xludf.DUMMYFUNCTION("""COMPUTED_VALUE"""),"")</f>
        <v/>
      </c>
      <c r="S450" s="4" t="str">
        <f>IFERROR(__xludf.DUMMYFUNCTION("""COMPUTED_VALUE"""),"")</f>
        <v/>
      </c>
      <c r="T450" s="4" t="str">
        <f>IFERROR(__xludf.DUMMYFUNCTION("""COMPUTED_VALUE"""),"")</f>
        <v/>
      </c>
      <c r="U450" s="4" t="str">
        <f>IFERROR(__xludf.DUMMYFUNCTION("""COMPUTED_VALUE"""),"")</f>
        <v/>
      </c>
      <c r="V450" s="4" t="str">
        <f>IFERROR(__xludf.DUMMYFUNCTION("""COMPUTED_VALUE"""),"")</f>
        <v/>
      </c>
      <c r="W450" s="4" t="str">
        <f>IFERROR(__xludf.DUMMYFUNCTION("""COMPUTED_VALUE"""),"")</f>
        <v/>
      </c>
      <c r="X450" s="4" t="str">
        <f>IFERROR(__xludf.DUMMYFUNCTION("""COMPUTED_VALUE"""),"")</f>
        <v/>
      </c>
      <c r="Y450" s="4" t="str">
        <f>IFERROR(__xludf.DUMMYFUNCTION("""COMPUTED_VALUE"""),"")</f>
        <v/>
      </c>
    </row>
    <row r="451">
      <c r="A451" s="4" t="str">
        <f>IFERROR(__xludf.DUMMYFUNCTION("""COMPUTED_VALUE"""),"471 - Channel")</f>
        <v>471 - Channel</v>
      </c>
      <c r="B451" s="4" t="str">
        <f>IFERROR(__xludf.DUMMYFUNCTION("""COMPUTED_VALUE"""),"Channel 2")</f>
        <v>Channel 2</v>
      </c>
      <c r="C451" s="4" t="str">
        <f>IFERROR(__xludf.DUMMYFUNCTION("""COMPUTED_VALUE"""),"Day 1 - 23/06")</f>
        <v>Day 1 - 23/06</v>
      </c>
      <c r="D451" s="6">
        <f>IFERROR(__xludf.DUMMYFUNCTION("""COMPUTED_VALUE"""),0.5931250000000009)</f>
        <v>0.593125</v>
      </c>
      <c r="E451" s="6">
        <f>IFERROR(__xludf.DUMMYFUNCTION("""COMPUTED_VALUE"""),3.4722222222222224E-4)</f>
        <v>0.0003472222222</v>
      </c>
      <c r="F451" s="6">
        <f>IFERROR(__xludf.DUMMYFUNCTION("""COMPUTED_VALUE"""),0.5934722222222232)</f>
        <v>0.5934722222</v>
      </c>
      <c r="G451" s="4" t="str">
        <f>IFERROR(__xludf.DUMMYFUNCTION("""COMPUTED_VALUE"""),"Graphics")</f>
        <v>Graphics</v>
      </c>
      <c r="H451" s="4" t="str">
        <f>IFERROR(__xludf.DUMMYFUNCTION("""COMPUTED_VALUE"""),"")</f>
        <v/>
      </c>
      <c r="I451" s="4" t="str">
        <f>IFERROR(__xludf.DUMMYFUNCTION("""COMPUTED_VALUE"""),"")</f>
        <v/>
      </c>
      <c r="J451" s="4" t="str">
        <f>IFERROR(__xludf.DUMMYFUNCTION("""COMPUTED_VALUE"""),"News")</f>
        <v>News</v>
      </c>
      <c r="K451" s="4" t="str">
        <f>IFERROR(__xludf.DUMMYFUNCTION("""COMPUTED_VALUE"""),"Web Summit Trailer - short")</f>
        <v>Web Summit Trailer - short</v>
      </c>
      <c r="L451" s="4" t="str">
        <f>IFERROR(__xludf.DUMMYFUNCTION("""COMPUTED_VALUE"""),"")</f>
        <v/>
      </c>
      <c r="M451" s="4" t="str">
        <f>IFERROR(__xludf.DUMMYFUNCTION("""COMPUTED_VALUE"""),"Web Summit Trailer - short")</f>
        <v>Web Summit Trailer - short</v>
      </c>
      <c r="N451" s="4" t="str">
        <f>IFERROR(__xludf.DUMMYFUNCTION("""COMPUTED_VALUE"""),"")</f>
        <v/>
      </c>
      <c r="O451" s="4" t="str">
        <f>IFERROR(__xludf.DUMMYFUNCTION("""COMPUTED_VALUE"""),"")</f>
        <v/>
      </c>
      <c r="P451" s="4" t="str">
        <f>IFERROR(__xludf.DUMMYFUNCTION("""COMPUTED_VALUE"""),"")</f>
        <v/>
      </c>
      <c r="Q451" s="4" t="str">
        <f>IFERROR(__xludf.DUMMYFUNCTION("""COMPUTED_VALUE"""),"")</f>
        <v/>
      </c>
      <c r="R451" s="4" t="str">
        <f>IFERROR(__xludf.DUMMYFUNCTION("""COMPUTED_VALUE"""),"")</f>
        <v/>
      </c>
      <c r="S451" s="4" t="str">
        <f>IFERROR(__xludf.DUMMYFUNCTION("""COMPUTED_VALUE"""),"")</f>
        <v/>
      </c>
      <c r="T451" s="4" t="str">
        <f>IFERROR(__xludf.DUMMYFUNCTION("""COMPUTED_VALUE"""),"")</f>
        <v/>
      </c>
      <c r="U451" s="4" t="str">
        <f>IFERROR(__xludf.DUMMYFUNCTION("""COMPUTED_VALUE"""),"")</f>
        <v/>
      </c>
      <c r="V451" s="4" t="str">
        <f>IFERROR(__xludf.DUMMYFUNCTION("""COMPUTED_VALUE"""),"")</f>
        <v/>
      </c>
      <c r="W451" s="4" t="str">
        <f>IFERROR(__xludf.DUMMYFUNCTION("""COMPUTED_VALUE"""),"")</f>
        <v/>
      </c>
      <c r="X451" s="4" t="str">
        <f>IFERROR(__xludf.DUMMYFUNCTION("""COMPUTED_VALUE"""),"")</f>
        <v/>
      </c>
      <c r="Y451" s="4" t="str">
        <f>IFERROR(__xludf.DUMMYFUNCTION("""COMPUTED_VALUE"""),"")</f>
        <v/>
      </c>
    </row>
    <row r="452">
      <c r="A452" s="4" t="str">
        <f>IFERROR(__xludf.DUMMYFUNCTION("""COMPUTED_VALUE"""),"472 - Channel")</f>
        <v>472 - Channel</v>
      </c>
      <c r="B452" s="4" t="str">
        <f>IFERROR(__xludf.DUMMYFUNCTION("""COMPUTED_VALUE"""),"Channel 2")</f>
        <v>Channel 2</v>
      </c>
      <c r="C452" s="4" t="str">
        <f>IFERROR(__xludf.DUMMYFUNCTION("""COMPUTED_VALUE"""),"Day 1 - 23/06")</f>
        <v>Day 1 - 23/06</v>
      </c>
      <c r="D452" s="6">
        <f>IFERROR(__xludf.DUMMYFUNCTION("""COMPUTED_VALUE"""),0.5934722222222232)</f>
        <v>0.5934722222</v>
      </c>
      <c r="E452" s="6">
        <f>IFERROR(__xludf.DUMMYFUNCTION("""COMPUTED_VALUE"""),3.4722222222222224E-4)</f>
        <v>0.0003472222222</v>
      </c>
      <c r="F452" s="6">
        <f>IFERROR(__xludf.DUMMYFUNCTION("""COMPUTED_VALUE"""),0.5938194444444455)</f>
        <v>0.5938194444</v>
      </c>
      <c r="G452" s="4" t="str">
        <f>IFERROR(__xludf.DUMMYFUNCTION("""COMPUTED_VALUE"""),"Graphics")</f>
        <v>Graphics</v>
      </c>
      <c r="H452" s="4" t="str">
        <f>IFERROR(__xludf.DUMMYFUNCTION("""COMPUTED_VALUE"""),"")</f>
        <v/>
      </c>
      <c r="I452" s="4" t="str">
        <f>IFERROR(__xludf.DUMMYFUNCTION("""COMPUTED_VALUE"""),"")</f>
        <v/>
      </c>
      <c r="J452" s="4" t="str">
        <f>IFERROR(__xludf.DUMMYFUNCTION("""COMPUTED_VALUE"""),"News")</f>
        <v>News</v>
      </c>
      <c r="K452" s="4" t="str">
        <f>IFERROR(__xludf.DUMMYFUNCTION("""COMPUTED_VALUE"""),"Speaker Intro Video")</f>
        <v>Speaker Intro Video</v>
      </c>
      <c r="L452" s="4" t="str">
        <f>IFERROR(__xludf.DUMMYFUNCTION("""COMPUTED_VALUE"""),"")</f>
        <v/>
      </c>
      <c r="M452" s="4" t="str">
        <f>IFERROR(__xludf.DUMMYFUNCTION("""COMPUTED_VALUE"""),"Speaker Intro Video")</f>
        <v>Speaker Intro Video</v>
      </c>
      <c r="N452" s="4" t="str">
        <f>IFERROR(__xludf.DUMMYFUNCTION("""COMPUTED_VALUE"""),"")</f>
        <v/>
      </c>
      <c r="O452" s="4" t="str">
        <f>IFERROR(__xludf.DUMMYFUNCTION("""COMPUTED_VALUE"""),"")</f>
        <v/>
      </c>
      <c r="P452" s="4" t="str">
        <f>IFERROR(__xludf.DUMMYFUNCTION("""COMPUTED_VALUE"""),"")</f>
        <v/>
      </c>
      <c r="Q452" s="4" t="str">
        <f>IFERROR(__xludf.DUMMYFUNCTION("""COMPUTED_VALUE"""),"")</f>
        <v/>
      </c>
      <c r="R452" s="4" t="str">
        <f>IFERROR(__xludf.DUMMYFUNCTION("""COMPUTED_VALUE"""),"")</f>
        <v/>
      </c>
      <c r="S452" s="4" t="str">
        <f>IFERROR(__xludf.DUMMYFUNCTION("""COMPUTED_VALUE"""),"")</f>
        <v/>
      </c>
      <c r="T452" s="4" t="str">
        <f>IFERROR(__xludf.DUMMYFUNCTION("""COMPUTED_VALUE"""),"")</f>
        <v/>
      </c>
      <c r="U452" s="4" t="str">
        <f>IFERROR(__xludf.DUMMYFUNCTION("""COMPUTED_VALUE"""),"")</f>
        <v/>
      </c>
      <c r="V452" s="4" t="str">
        <f>IFERROR(__xludf.DUMMYFUNCTION("""COMPUTED_VALUE"""),"")</f>
        <v/>
      </c>
      <c r="W452" s="4" t="str">
        <f>IFERROR(__xludf.DUMMYFUNCTION("""COMPUTED_VALUE"""),"")</f>
        <v/>
      </c>
      <c r="X452" s="4" t="str">
        <f>IFERROR(__xludf.DUMMYFUNCTION("""COMPUTED_VALUE"""),"")</f>
        <v/>
      </c>
      <c r="Y452" s="4" t="str">
        <f>IFERROR(__xludf.DUMMYFUNCTION("""COMPUTED_VALUE"""),"")</f>
        <v/>
      </c>
    </row>
    <row r="453">
      <c r="A453" s="4" t="str">
        <f>IFERROR(__xludf.DUMMYFUNCTION("""COMPUTED_VALUE"""),"473 - Channel")</f>
        <v>473 - Channel</v>
      </c>
      <c r="B453" s="4" t="str">
        <f>IFERROR(__xludf.DUMMYFUNCTION("""COMPUTED_VALUE"""),"Channel 2")</f>
        <v>Channel 2</v>
      </c>
      <c r="C453" s="4" t="str">
        <f>IFERROR(__xludf.DUMMYFUNCTION("""COMPUTED_VALUE"""),"Day 1 - 23/06")</f>
        <v>Day 1 - 23/06</v>
      </c>
      <c r="D453" s="6">
        <f>IFERROR(__xludf.DUMMYFUNCTION("""COMPUTED_VALUE"""),0.5938194444444455)</f>
        <v>0.5938194444</v>
      </c>
      <c r="E453" s="6">
        <f>IFERROR(__xludf.DUMMYFUNCTION("""COMPUTED_VALUE"""),3.4722222222222224E-4)</f>
        <v>0.0003472222222</v>
      </c>
      <c r="F453" s="6">
        <f>IFERROR(__xludf.DUMMYFUNCTION("""COMPUTED_VALUE"""),0.5941666666666677)</f>
        <v>0.5941666667</v>
      </c>
      <c r="G453" s="4" t="str">
        <f>IFERROR(__xludf.DUMMYFUNCTION("""COMPUTED_VALUE"""),"Graphics")</f>
        <v>Graphics</v>
      </c>
      <c r="H453" s="4" t="str">
        <f>IFERROR(__xludf.DUMMYFUNCTION("""COMPUTED_VALUE"""),"")</f>
        <v/>
      </c>
      <c r="I453" s="4" t="str">
        <f>IFERROR(__xludf.DUMMYFUNCTION("""COMPUTED_VALUE"""),"")</f>
        <v/>
      </c>
      <c r="J453" s="4" t="str">
        <f>IFERROR(__xludf.DUMMYFUNCTION("""COMPUTED_VALUE"""),"News")</f>
        <v>News</v>
      </c>
      <c r="K453" s="4" t="str">
        <f>IFERROR(__xludf.DUMMYFUNCTION("""COMPUTED_VALUE"""),"Talk Intro")</f>
        <v>Talk Intro</v>
      </c>
      <c r="L453" s="4" t="str">
        <f>IFERROR(__xludf.DUMMYFUNCTION("""COMPUTED_VALUE"""),"")</f>
        <v/>
      </c>
      <c r="M453" s="4" t="str">
        <f>IFERROR(__xludf.DUMMYFUNCTION("""COMPUTED_VALUE"""),"Talk Intro")</f>
        <v>Talk Intro</v>
      </c>
      <c r="N453" s="4" t="str">
        <f>IFERROR(__xludf.DUMMYFUNCTION("""COMPUTED_VALUE"""),"")</f>
        <v/>
      </c>
      <c r="O453" s="4" t="str">
        <f>IFERROR(__xludf.DUMMYFUNCTION("""COMPUTED_VALUE"""),"")</f>
        <v/>
      </c>
      <c r="P453" s="4" t="str">
        <f>IFERROR(__xludf.DUMMYFUNCTION("""COMPUTED_VALUE"""),"")</f>
        <v/>
      </c>
      <c r="Q453" s="4" t="str">
        <f>IFERROR(__xludf.DUMMYFUNCTION("""COMPUTED_VALUE"""),"")</f>
        <v/>
      </c>
      <c r="R453" s="4" t="str">
        <f>IFERROR(__xludf.DUMMYFUNCTION("""COMPUTED_VALUE"""),"")</f>
        <v/>
      </c>
      <c r="S453" s="4" t="str">
        <f>IFERROR(__xludf.DUMMYFUNCTION("""COMPUTED_VALUE"""),"")</f>
        <v/>
      </c>
      <c r="T453" s="4" t="str">
        <f>IFERROR(__xludf.DUMMYFUNCTION("""COMPUTED_VALUE"""),"")</f>
        <v/>
      </c>
      <c r="U453" s="4" t="str">
        <f>IFERROR(__xludf.DUMMYFUNCTION("""COMPUTED_VALUE"""),"")</f>
        <v/>
      </c>
      <c r="V453" s="4" t="str">
        <f>IFERROR(__xludf.DUMMYFUNCTION("""COMPUTED_VALUE"""),"")</f>
        <v/>
      </c>
      <c r="W453" s="4" t="str">
        <f>IFERROR(__xludf.DUMMYFUNCTION("""COMPUTED_VALUE"""),"")</f>
        <v/>
      </c>
      <c r="X453" s="4" t="str">
        <f>IFERROR(__xludf.DUMMYFUNCTION("""COMPUTED_VALUE"""),"")</f>
        <v/>
      </c>
      <c r="Y453" s="4" t="str">
        <f>IFERROR(__xludf.DUMMYFUNCTION("""COMPUTED_VALUE"""),"")</f>
        <v/>
      </c>
    </row>
    <row r="454">
      <c r="A454" s="4" t="str">
        <f>IFERROR(__xludf.DUMMYFUNCTION("""COMPUTED_VALUE"""),"474 - Channel")</f>
        <v>474 - Channel</v>
      </c>
      <c r="B454" s="4" t="str">
        <f>IFERROR(__xludf.DUMMYFUNCTION("""COMPUTED_VALUE"""),"Channel 2")</f>
        <v>Channel 2</v>
      </c>
      <c r="C454" s="4" t="str">
        <f>IFERROR(__xludf.DUMMYFUNCTION("""COMPUTED_VALUE"""),"Day 1 - 23/06")</f>
        <v>Day 1 - 23/06</v>
      </c>
      <c r="D454" s="6">
        <f>IFERROR(__xludf.DUMMYFUNCTION("""COMPUTED_VALUE"""),0.5941666666666677)</f>
        <v>0.5941666667</v>
      </c>
      <c r="E454" s="6">
        <f>IFERROR(__xludf.DUMMYFUNCTION("""COMPUTED_VALUE"""),0.008333333333333333)</f>
        <v>0.008333333333</v>
      </c>
      <c r="F454" s="6">
        <f>IFERROR(__xludf.DUMMYFUNCTION("""COMPUTED_VALUE"""),0.602500000000001)</f>
        <v>0.6025</v>
      </c>
      <c r="G454" s="4" t="str">
        <f>IFERROR(__xludf.DUMMYFUNCTION("""COMPUTED_VALUE"""),"Yvonne")</f>
        <v>Yvonne</v>
      </c>
      <c r="H454" s="4" t="str">
        <f>IFERROR(__xludf.DUMMYFUNCTION("""COMPUTED_VALUE"""),"Stephen")</f>
        <v>Stephen</v>
      </c>
      <c r="I454" s="4" t="str">
        <f>IFERROR(__xludf.DUMMYFUNCTION("""COMPUTED_VALUE"""),"Manon")</f>
        <v>Manon</v>
      </c>
      <c r="J454" s="4" t="str">
        <f>IFERROR(__xludf.DUMMYFUNCTION("""COMPUTED_VALUE"""),"News")</f>
        <v>News</v>
      </c>
      <c r="K454" s="4" t="str">
        <f>IFERROR(__xludf.DUMMYFUNCTION("""COMPUTED_VALUE"""),"Fireside")</f>
        <v>Fireside</v>
      </c>
      <c r="L454" s="4" t="str">
        <f>IFERROR(__xludf.DUMMYFUNCTION("""COMPUTED_VALUE"""),"T- 4 - 25/05/2020")</f>
        <v>T- 4 - 25/05/2020</v>
      </c>
      <c r="M454" s="4" t="str">
        <f>IFERROR(__xludf.DUMMYFUNCTION("""COMPUTED_VALUE"""),"Paid-for content: Unavoidable or elitist?")</f>
        <v>Paid-for content: Unavoidable or elitist?</v>
      </c>
      <c r="N454" s="4" t="str">
        <f>IFERROR(__xludf.DUMMYFUNCTION("""COMPUTED_VALUE"""),"John Ridding, Financial Times")</f>
        <v>John Ridding, Financial Times</v>
      </c>
      <c r="O454" s="4" t="str">
        <f>IFERROR(__xludf.DUMMYFUNCTION("""COMPUTED_VALUE"""),"")</f>
        <v/>
      </c>
      <c r="P454" s="4" t="str">
        <f>IFERROR(__xludf.DUMMYFUNCTION("""COMPUTED_VALUE"""),"")</f>
        <v/>
      </c>
      <c r="Q454" s="4" t="str">
        <f>IFERROR(__xludf.DUMMYFUNCTION("""COMPUTED_VALUE"""),"")</f>
        <v/>
      </c>
      <c r="R454" s="4" t="str">
        <f>IFERROR(__xludf.DUMMYFUNCTION("""COMPUTED_VALUE"""),"Michelle Manafy, Digital Content Next")</f>
        <v>Michelle Manafy, Digital Content Next</v>
      </c>
      <c r="S454" s="4" t="str">
        <f>IFERROR(__xludf.DUMMYFUNCTION("""COMPUTED_VALUE"""),"You get what you pay for. For many, paywalls are a natural new normal. For others, they commodify a precious resource that everyone needs: information. Where's the line? And where to next for news revenue?")</f>
        <v>You get what you pay for. For many, paywalls are a natural new normal. For others, they commodify a precious resource that everyone needs: information. Where's the line? And where to next for news revenue?</v>
      </c>
      <c r="T454" s="4" t="str">
        <f>IFERROR(__xludf.DUMMYFUNCTION("""COMPUTED_VALUE"""),"NON-KEYNOTE 9 - COMPLETE")</f>
        <v>NON-KEYNOTE 9 - COMPLETE</v>
      </c>
      <c r="U454" s="23">
        <f>IFERROR(__xludf.DUMMYFUNCTION("""COMPUTED_VALUE"""),43978.0)</f>
        <v>43978</v>
      </c>
      <c r="V454" s="24">
        <f>IFERROR(__xludf.DUMMYFUNCTION("""COMPUTED_VALUE"""),0.625)</f>
        <v>0.625</v>
      </c>
      <c r="W454" s="4" t="str">
        <f>IFERROR(__xludf.DUMMYFUNCTION("""COMPUTED_VALUE"""),"COMPLETE")</f>
        <v>COMPLETE</v>
      </c>
      <c r="X454" s="4" t="str">
        <f>IFERROR(__xludf.DUMMYFUNCTION("""COMPUTED_VALUE"""),"Gavin")</f>
        <v>Gavin</v>
      </c>
      <c r="Y454" s="4" t="str">
        <f>IFERROR(__xludf.DUMMYFUNCTION("""COMPUTED_VALUE"""),"")</f>
        <v/>
      </c>
    </row>
    <row r="455">
      <c r="A455" s="4" t="str">
        <f>IFERROR(__xludf.DUMMYFUNCTION("""COMPUTED_VALUE"""),"476 - Channel")</f>
        <v>476 - Channel</v>
      </c>
      <c r="B455" s="4" t="str">
        <f>IFERROR(__xludf.DUMMYFUNCTION("""COMPUTED_VALUE"""),"Channel 2")</f>
        <v>Channel 2</v>
      </c>
      <c r="C455" s="4" t="str">
        <f>IFERROR(__xludf.DUMMYFUNCTION("""COMPUTED_VALUE"""),"Day 1 - 23/06")</f>
        <v>Day 1 - 23/06</v>
      </c>
      <c r="D455" s="6">
        <f>IFERROR(__xludf.DUMMYFUNCTION("""COMPUTED_VALUE"""),0.602500000000001)</f>
        <v>0.6025</v>
      </c>
      <c r="E455" s="6">
        <f>IFERROR(__xludf.DUMMYFUNCTION("""COMPUTED_VALUE"""),3.4722222222222224E-4)</f>
        <v>0.0003472222222</v>
      </c>
      <c r="F455" s="6">
        <f>IFERROR(__xludf.DUMMYFUNCTION("""COMPUTED_VALUE"""),0.6028472222222233)</f>
        <v>0.6028472222</v>
      </c>
      <c r="G455" s="4" t="str">
        <f>IFERROR(__xludf.DUMMYFUNCTION("""COMPUTED_VALUE"""),"Graphics")</f>
        <v>Graphics</v>
      </c>
      <c r="H455" s="4" t="str">
        <f>IFERROR(__xludf.DUMMYFUNCTION("""COMPUTED_VALUE"""),"")</f>
        <v/>
      </c>
      <c r="I455" s="4" t="str">
        <f>IFERROR(__xludf.DUMMYFUNCTION("""COMPUTED_VALUE"""),"")</f>
        <v/>
      </c>
      <c r="J455" s="4" t="str">
        <f>IFERROR(__xludf.DUMMYFUNCTION("""COMPUTED_VALUE"""),"News")</f>
        <v>News</v>
      </c>
      <c r="K455" s="4" t="str">
        <f>IFERROR(__xludf.DUMMYFUNCTION("""COMPUTED_VALUE"""),"RISE Trailer")</f>
        <v>RISE Trailer</v>
      </c>
      <c r="L455" s="4" t="str">
        <f>IFERROR(__xludf.DUMMYFUNCTION("""COMPUTED_VALUE"""),"")</f>
        <v/>
      </c>
      <c r="M455" s="4" t="str">
        <f>IFERROR(__xludf.DUMMYFUNCTION("""COMPUTED_VALUE"""),"RISE Trailer - short")</f>
        <v>RISE Trailer - short</v>
      </c>
      <c r="N455" s="4" t="str">
        <f>IFERROR(__xludf.DUMMYFUNCTION("""COMPUTED_VALUE"""),"")</f>
        <v/>
      </c>
      <c r="O455" s="4" t="str">
        <f>IFERROR(__xludf.DUMMYFUNCTION("""COMPUTED_VALUE"""),"")</f>
        <v/>
      </c>
      <c r="P455" s="4" t="str">
        <f>IFERROR(__xludf.DUMMYFUNCTION("""COMPUTED_VALUE"""),"")</f>
        <v/>
      </c>
      <c r="Q455" s="4" t="str">
        <f>IFERROR(__xludf.DUMMYFUNCTION("""COMPUTED_VALUE"""),"")</f>
        <v/>
      </c>
      <c r="R455" s="4" t="str">
        <f>IFERROR(__xludf.DUMMYFUNCTION("""COMPUTED_VALUE"""),"")</f>
        <v/>
      </c>
      <c r="S455" s="4" t="str">
        <f>IFERROR(__xludf.DUMMYFUNCTION("""COMPUTED_VALUE"""),"")</f>
        <v/>
      </c>
      <c r="T455" s="4" t="str">
        <f>IFERROR(__xludf.DUMMYFUNCTION("""COMPUTED_VALUE"""),"")</f>
        <v/>
      </c>
      <c r="U455" s="4" t="str">
        <f>IFERROR(__xludf.DUMMYFUNCTION("""COMPUTED_VALUE"""),"")</f>
        <v/>
      </c>
      <c r="V455" s="4" t="str">
        <f>IFERROR(__xludf.DUMMYFUNCTION("""COMPUTED_VALUE"""),"")</f>
        <v/>
      </c>
      <c r="W455" s="4" t="str">
        <f>IFERROR(__xludf.DUMMYFUNCTION("""COMPUTED_VALUE"""),"")</f>
        <v/>
      </c>
      <c r="X455" s="4" t="str">
        <f>IFERROR(__xludf.DUMMYFUNCTION("""COMPUTED_VALUE"""),"")</f>
        <v/>
      </c>
      <c r="Y455" s="4" t="str">
        <f>IFERROR(__xludf.DUMMYFUNCTION("""COMPUTED_VALUE"""),"")</f>
        <v/>
      </c>
    </row>
    <row r="456">
      <c r="A456" s="4" t="str">
        <f>IFERROR(__xludf.DUMMYFUNCTION("""COMPUTED_VALUE"""),"477 - Channel")</f>
        <v>477 - Channel</v>
      </c>
      <c r="B456" s="4" t="str">
        <f>IFERROR(__xludf.DUMMYFUNCTION("""COMPUTED_VALUE"""),"Channel 2")</f>
        <v>Channel 2</v>
      </c>
      <c r="C456" s="4" t="str">
        <f>IFERROR(__xludf.DUMMYFUNCTION("""COMPUTED_VALUE"""),"Day 1 - 23/06")</f>
        <v>Day 1 - 23/06</v>
      </c>
      <c r="D456" s="6">
        <f>IFERROR(__xludf.DUMMYFUNCTION("""COMPUTED_VALUE"""),0.6028472222222233)</f>
        <v>0.6028472222</v>
      </c>
      <c r="E456" s="6">
        <f>IFERROR(__xludf.DUMMYFUNCTION("""COMPUTED_VALUE"""),3.4722222222222224E-4)</f>
        <v>0.0003472222222</v>
      </c>
      <c r="F456" s="6">
        <f>IFERROR(__xludf.DUMMYFUNCTION("""COMPUTED_VALUE"""),0.6031944444444456)</f>
        <v>0.6031944444</v>
      </c>
      <c r="G456" s="4" t="str">
        <f>IFERROR(__xludf.DUMMYFUNCTION("""COMPUTED_VALUE"""),"Graphics")</f>
        <v>Graphics</v>
      </c>
      <c r="H456" s="4" t="str">
        <f>IFERROR(__xludf.DUMMYFUNCTION("""COMPUTED_VALUE"""),"")</f>
        <v/>
      </c>
      <c r="I456" s="4" t="str">
        <f>IFERROR(__xludf.DUMMYFUNCTION("""COMPUTED_VALUE"""),"")</f>
        <v/>
      </c>
      <c r="J456" s="4" t="str">
        <f>IFERROR(__xludf.DUMMYFUNCTION("""COMPUTED_VALUE"""),"News")</f>
        <v>News</v>
      </c>
      <c r="K456" s="4" t="str">
        <f>IFERROR(__xludf.DUMMYFUNCTION("""COMPUTED_VALUE"""),"Talk Intro")</f>
        <v>Talk Intro</v>
      </c>
      <c r="L456" s="4" t="str">
        <f>IFERROR(__xludf.DUMMYFUNCTION("""COMPUTED_VALUE"""),"")</f>
        <v/>
      </c>
      <c r="M456" s="4" t="str">
        <f>IFERROR(__xludf.DUMMYFUNCTION("""COMPUTED_VALUE"""),"Talk Intro")</f>
        <v>Talk Intro</v>
      </c>
      <c r="N456" s="4" t="str">
        <f>IFERROR(__xludf.DUMMYFUNCTION("""COMPUTED_VALUE"""),"")</f>
        <v/>
      </c>
      <c r="O456" s="4" t="str">
        <f>IFERROR(__xludf.DUMMYFUNCTION("""COMPUTED_VALUE"""),"")</f>
        <v/>
      </c>
      <c r="P456" s="4" t="str">
        <f>IFERROR(__xludf.DUMMYFUNCTION("""COMPUTED_VALUE"""),"")</f>
        <v/>
      </c>
      <c r="Q456" s="4" t="str">
        <f>IFERROR(__xludf.DUMMYFUNCTION("""COMPUTED_VALUE"""),"")</f>
        <v/>
      </c>
      <c r="R456" s="4" t="str">
        <f>IFERROR(__xludf.DUMMYFUNCTION("""COMPUTED_VALUE"""),"")</f>
        <v/>
      </c>
      <c r="S456" s="4" t="str">
        <f>IFERROR(__xludf.DUMMYFUNCTION("""COMPUTED_VALUE"""),"")</f>
        <v/>
      </c>
      <c r="T456" s="4" t="str">
        <f>IFERROR(__xludf.DUMMYFUNCTION("""COMPUTED_VALUE"""),"")</f>
        <v/>
      </c>
      <c r="U456" s="4" t="str">
        <f>IFERROR(__xludf.DUMMYFUNCTION("""COMPUTED_VALUE"""),"")</f>
        <v/>
      </c>
      <c r="V456" s="4" t="str">
        <f>IFERROR(__xludf.DUMMYFUNCTION("""COMPUTED_VALUE"""),"")</f>
        <v/>
      </c>
      <c r="W456" s="4" t="str">
        <f>IFERROR(__xludf.DUMMYFUNCTION("""COMPUTED_VALUE"""),"")</f>
        <v/>
      </c>
      <c r="X456" s="4" t="str">
        <f>IFERROR(__xludf.DUMMYFUNCTION("""COMPUTED_VALUE"""),"")</f>
        <v/>
      </c>
      <c r="Y456" s="4" t="str">
        <f>IFERROR(__xludf.DUMMYFUNCTION("""COMPUTED_VALUE"""),"")</f>
        <v/>
      </c>
    </row>
    <row r="457">
      <c r="A457" s="4" t="str">
        <f>IFERROR(__xludf.DUMMYFUNCTION("""COMPUTED_VALUE"""),"478 - Channel")</f>
        <v>478 - Channel</v>
      </c>
      <c r="B457" s="4" t="str">
        <f>IFERROR(__xludf.DUMMYFUNCTION("""COMPUTED_VALUE"""),"Channel 2")</f>
        <v>Channel 2</v>
      </c>
      <c r="C457" s="4" t="str">
        <f>IFERROR(__xludf.DUMMYFUNCTION("""COMPUTED_VALUE"""),"Day 1 - 23/06")</f>
        <v>Day 1 - 23/06</v>
      </c>
      <c r="D457" s="6">
        <f>IFERROR(__xludf.DUMMYFUNCTION("""COMPUTED_VALUE"""),0.6031944444444456)</f>
        <v>0.6031944444</v>
      </c>
      <c r="E457" s="6">
        <f>IFERROR(__xludf.DUMMYFUNCTION("""COMPUTED_VALUE"""),0.010347222222222223)</f>
        <v>0.01034722222</v>
      </c>
      <c r="F457" s="6">
        <f>IFERROR(__xludf.DUMMYFUNCTION("""COMPUTED_VALUE"""),0.6135416666666678)</f>
        <v>0.6135416667</v>
      </c>
      <c r="G457" s="4" t="str">
        <f>IFERROR(__xludf.DUMMYFUNCTION("""COMPUTED_VALUE"""),"Yvonne")</f>
        <v>Yvonne</v>
      </c>
      <c r="H457" s="4" t="str">
        <f>IFERROR(__xludf.DUMMYFUNCTION("""COMPUTED_VALUE"""),"Stephen")</f>
        <v>Stephen</v>
      </c>
      <c r="I457" s="4" t="str">
        <f>IFERROR(__xludf.DUMMYFUNCTION("""COMPUTED_VALUE"""),"Lucia H.")</f>
        <v>Lucia H.</v>
      </c>
      <c r="J457" s="4" t="str">
        <f>IFERROR(__xludf.DUMMYFUNCTION("""COMPUTED_VALUE"""),"News")</f>
        <v>News</v>
      </c>
      <c r="K457" s="4" t="str">
        <f>IFERROR(__xludf.DUMMYFUNCTION("""COMPUTED_VALUE"""),"Panel")</f>
        <v>Panel</v>
      </c>
      <c r="L457" s="4" t="str">
        <f>IFERROR(__xludf.DUMMYFUNCTION("""COMPUTED_VALUE"""),"T- 5 - 18/05/2020")</f>
        <v>T- 5 - 18/05/2020</v>
      </c>
      <c r="M457" s="4" t="str">
        <f>IFERROR(__xludf.DUMMYFUNCTION("""COMPUTED_VALUE"""),"Politics and papers: What do Americans want?")</f>
        <v>Politics and papers: What do Americans want?</v>
      </c>
      <c r="N457" s="4" t="str">
        <f>IFERROR(__xludf.DUMMYFUNCTION("""COMPUTED_VALUE"""),"Steve Clemons, The Hill")</f>
        <v>Steve Clemons, The Hill</v>
      </c>
      <c r="O457" s="4" t="str">
        <f>IFERROR(__xludf.DUMMYFUNCTION("""COMPUTED_VALUE"""),"Lauren Williams, Vox")</f>
        <v>Lauren Williams, Vox</v>
      </c>
      <c r="P457" s="4" t="str">
        <f>IFERROR(__xludf.DUMMYFUNCTION("""COMPUTED_VALUE"""),"Andy Serwer, Yahoo Finance")</f>
        <v>Andy Serwer, Yahoo Finance</v>
      </c>
      <c r="Q457" s="4" t="str">
        <f>IFERROR(__xludf.DUMMYFUNCTION("""COMPUTED_VALUE"""),"")</f>
        <v/>
      </c>
      <c r="R457" s="4" t="str">
        <f>IFERROR(__xludf.DUMMYFUNCTION("""COMPUTED_VALUE"""),"Emily Ragobeer, Freelance")</f>
        <v>Emily Ragobeer, Freelance</v>
      </c>
      <c r="S457" s="4" t="str">
        <f>IFERROR(__xludf.DUMMYFUNCTION("""COMPUTED_VALUE"""),"They got it so wrong in 2016, but can the US media call it in 2020 as Trump bids for re-election? And what kind of coverage does the average American want from its media, as politics and the pandemic battle it out for column space and airtime?")</f>
        <v>They got it so wrong in 2016, but can the US media call it in 2020 as Trump bids for re-election? And what kind of coverage does the average American want from its media, as politics and the pandemic battle it out for column space and airtime?</v>
      </c>
      <c r="T457" s="4" t="str">
        <f>IFERROR(__xludf.DUMMYFUNCTION("""COMPUTED_VALUE"""),"Recording MISSED/NEEDS TO BE RERECORDED/RESCHEDULED")</f>
        <v>Recording MISSED/NEEDS TO BE RERECORDED/RESCHEDULED</v>
      </c>
      <c r="U457" s="23">
        <f>IFERROR(__xludf.DUMMYFUNCTION("""COMPUTED_VALUE"""),43993.0)</f>
        <v>43993</v>
      </c>
      <c r="V457" s="24">
        <f>IFERROR(__xludf.DUMMYFUNCTION("""COMPUTED_VALUE"""),0.625)</f>
        <v>0.625</v>
      </c>
      <c r="W457" s="21" t="str">
        <f>IFERROR(__xludf.DUMMYFUNCTION("""COMPUTED_VALUE"""),"https://zoom.us/j/6206255996?pwd=Ykxjb3VncFVOTU9TUlhGaGlVRUQ5dz09")</f>
        <v>https://zoom.us/j/6206255996?pwd=Ykxjb3VncFVOTU9TUlhGaGlVRUQ5dz09</v>
      </c>
      <c r="X457" s="4" t="str">
        <f>IFERROR(__xludf.DUMMYFUNCTION("""COMPUTED_VALUE"""),"Stephen")</f>
        <v>Stephen</v>
      </c>
      <c r="Y457" s="4" t="str">
        <f>IFERROR(__xludf.DUMMYFUNCTION("""COMPUTED_VALUE"""),"")</f>
        <v/>
      </c>
    </row>
    <row r="458">
      <c r="A458" s="4" t="str">
        <f>IFERROR(__xludf.DUMMYFUNCTION("""COMPUTED_VALUE"""),"480 - Channel")</f>
        <v>480 - Channel</v>
      </c>
      <c r="B458" s="4" t="str">
        <f>IFERROR(__xludf.DUMMYFUNCTION("""COMPUTED_VALUE"""),"Channel 2")</f>
        <v>Channel 2</v>
      </c>
      <c r="C458" s="4" t="str">
        <f>IFERROR(__xludf.DUMMYFUNCTION("""COMPUTED_VALUE"""),"Day 1 - 23/06")</f>
        <v>Day 1 - 23/06</v>
      </c>
      <c r="D458" s="6">
        <f>IFERROR(__xludf.DUMMYFUNCTION("""COMPUTED_VALUE"""),0.6135416666666678)</f>
        <v>0.6135416667</v>
      </c>
      <c r="E458" s="6">
        <f>IFERROR(__xludf.DUMMYFUNCTION("""COMPUTED_VALUE"""),3.4722222222222224E-4)</f>
        <v>0.0003472222222</v>
      </c>
      <c r="F458" s="6">
        <f>IFERROR(__xludf.DUMMYFUNCTION("""COMPUTED_VALUE"""),0.61388888888889)</f>
        <v>0.6138888889</v>
      </c>
      <c r="G458" s="4" t="str">
        <f>IFERROR(__xludf.DUMMYFUNCTION("""COMPUTED_VALUE"""),"Graphics")</f>
        <v>Graphics</v>
      </c>
      <c r="H458" s="4" t="str">
        <f>IFERROR(__xludf.DUMMYFUNCTION("""COMPUTED_VALUE"""),"")</f>
        <v/>
      </c>
      <c r="I458" s="4" t="str">
        <f>IFERROR(__xludf.DUMMYFUNCTION("""COMPUTED_VALUE"""),"")</f>
        <v/>
      </c>
      <c r="J458" s="4" t="str">
        <f>IFERROR(__xludf.DUMMYFUNCTION("""COMPUTED_VALUE"""),"News")</f>
        <v>News</v>
      </c>
      <c r="K458" s="4" t="str">
        <f>IFERROR(__xludf.DUMMYFUNCTION("""COMPUTED_VALUE"""),"Talk Intro")</f>
        <v>Talk Intro</v>
      </c>
      <c r="L458" s="4" t="str">
        <f>IFERROR(__xludf.DUMMYFUNCTION("""COMPUTED_VALUE"""),"")</f>
        <v/>
      </c>
      <c r="M458" s="4" t="str">
        <f>IFERROR(__xludf.DUMMYFUNCTION("""COMPUTED_VALUE"""),"Talk Intro")</f>
        <v>Talk Intro</v>
      </c>
      <c r="N458" s="4" t="str">
        <f>IFERROR(__xludf.DUMMYFUNCTION("""COMPUTED_VALUE"""),"")</f>
        <v/>
      </c>
      <c r="O458" s="4" t="str">
        <f>IFERROR(__xludf.DUMMYFUNCTION("""COMPUTED_VALUE"""),"")</f>
        <v/>
      </c>
      <c r="P458" s="4" t="str">
        <f>IFERROR(__xludf.DUMMYFUNCTION("""COMPUTED_VALUE"""),"")</f>
        <v/>
      </c>
      <c r="Q458" s="4" t="str">
        <f>IFERROR(__xludf.DUMMYFUNCTION("""COMPUTED_VALUE"""),"")</f>
        <v/>
      </c>
      <c r="R458" s="4" t="str">
        <f>IFERROR(__xludf.DUMMYFUNCTION("""COMPUTED_VALUE"""),"")</f>
        <v/>
      </c>
      <c r="S458" s="4" t="str">
        <f>IFERROR(__xludf.DUMMYFUNCTION("""COMPUTED_VALUE"""),"")</f>
        <v/>
      </c>
      <c r="T458" s="4" t="str">
        <f>IFERROR(__xludf.DUMMYFUNCTION("""COMPUTED_VALUE"""),"")</f>
        <v/>
      </c>
      <c r="U458" s="4" t="str">
        <f>IFERROR(__xludf.DUMMYFUNCTION("""COMPUTED_VALUE"""),"")</f>
        <v/>
      </c>
      <c r="V458" s="4" t="str">
        <f>IFERROR(__xludf.DUMMYFUNCTION("""COMPUTED_VALUE"""),"")</f>
        <v/>
      </c>
      <c r="W458" s="4" t="str">
        <f>IFERROR(__xludf.DUMMYFUNCTION("""COMPUTED_VALUE"""),"")</f>
        <v/>
      </c>
      <c r="X458" s="4" t="str">
        <f>IFERROR(__xludf.DUMMYFUNCTION("""COMPUTED_VALUE"""),"")</f>
        <v/>
      </c>
      <c r="Y458" s="4" t="str">
        <f>IFERROR(__xludf.DUMMYFUNCTION("""COMPUTED_VALUE"""),"")</f>
        <v/>
      </c>
    </row>
    <row r="459">
      <c r="A459" s="4" t="str">
        <f>IFERROR(__xludf.DUMMYFUNCTION("""COMPUTED_VALUE"""),"481 - Channel")</f>
        <v>481 - Channel</v>
      </c>
      <c r="B459" s="4" t="str">
        <f>IFERROR(__xludf.DUMMYFUNCTION("""COMPUTED_VALUE"""),"Channel 2")</f>
        <v>Channel 2</v>
      </c>
      <c r="C459" s="4" t="str">
        <f>IFERROR(__xludf.DUMMYFUNCTION("""COMPUTED_VALUE"""),"Day 1 - 23/06")</f>
        <v>Day 1 - 23/06</v>
      </c>
      <c r="D459" s="6">
        <f>IFERROR(__xludf.DUMMYFUNCTION("""COMPUTED_VALUE"""),0.61388888888889)</f>
        <v>0.6138888889</v>
      </c>
      <c r="E459" s="6">
        <f>IFERROR(__xludf.DUMMYFUNCTION("""COMPUTED_VALUE"""),0.007615740740740741)</f>
        <v>0.007615740741</v>
      </c>
      <c r="F459" s="6">
        <f>IFERROR(__xludf.DUMMYFUNCTION("""COMPUTED_VALUE"""),0.6215046296296308)</f>
        <v>0.6215046296</v>
      </c>
      <c r="G459" s="4" t="str">
        <f>IFERROR(__xludf.DUMMYFUNCTION("""COMPUTED_VALUE"""),"Yvonne")</f>
        <v>Yvonne</v>
      </c>
      <c r="H459" s="4" t="str">
        <f>IFERROR(__xludf.DUMMYFUNCTION("""COMPUTED_VALUE"""),"Stephen")</f>
        <v>Stephen</v>
      </c>
      <c r="I459" s="4" t="str">
        <f>IFERROR(__xludf.DUMMYFUNCTION("""COMPUTED_VALUE"""),"Manon")</f>
        <v>Manon</v>
      </c>
      <c r="J459" s="4" t="str">
        <f>IFERROR(__xludf.DUMMYFUNCTION("""COMPUTED_VALUE"""),"News")</f>
        <v>News</v>
      </c>
      <c r="K459" s="4" t="str">
        <f>IFERROR(__xludf.DUMMYFUNCTION("""COMPUTED_VALUE"""),"Super Fireside")</f>
        <v>Super Fireside</v>
      </c>
      <c r="L459" s="4" t="str">
        <f>IFERROR(__xludf.DUMMYFUNCTION("""COMPUTED_VALUE"""),"T- 5 - 18/05/2020")</f>
        <v>T- 5 - 18/05/2020</v>
      </c>
      <c r="M459" s="4" t="str">
        <f>IFERROR(__xludf.DUMMYFUNCTION("""COMPUTED_VALUE"""),"Can newsrooms survive a Covid-caused recession?")</f>
        <v>Can newsrooms survive a Covid-caused recession?</v>
      </c>
      <c r="N459" s="4" t="str">
        <f>IFERROR(__xludf.DUMMYFUNCTION("""COMPUTED_VALUE"""),"Catherine Tait, CBC")</f>
        <v>Catherine Tait, CBC</v>
      </c>
      <c r="O459" s="4" t="str">
        <f>IFERROR(__xludf.DUMMYFUNCTION("""COMPUTED_VALUE"""),"Ben de Pear, Channel 4 News")</f>
        <v>Ben de Pear, Channel 4 News</v>
      </c>
      <c r="P459" s="4" t="str">
        <f>IFERROR(__xludf.DUMMYFUNCTION("""COMPUTED_VALUE"""),"")</f>
        <v/>
      </c>
      <c r="Q459" s="4" t="str">
        <f>IFERROR(__xludf.DUMMYFUNCTION("""COMPUTED_VALUE"""),"")</f>
        <v/>
      </c>
      <c r="R459" s="4" t="str">
        <f>IFERROR(__xludf.DUMMYFUNCTION("""COMPUTED_VALUE"""),"Eleanor Mills, Women in Journalism")</f>
        <v>Eleanor Mills, Women in Journalism</v>
      </c>
      <c r="S459" s="4" t="str">
        <f>IFERROR(__xludf.DUMMYFUNCTION("""COMPUTED_VALUE"""),"As the world battles Covid-19, pay cuts and layoffs are becoming as prolific as the virus itself. News is no exception – it's been hit hard at a time when we need it most. Can quality journalism weather the storm? And will public service broadcasters be d"&amp;"isproportionately affected?")</f>
        <v>As the world battles Covid-19, pay cuts and layoffs are becoming as prolific as the virus itself. News is no exception – it's been hit hard at a time when we need it most. Can quality journalism weather the storm? And will public service broadcasters be disproportionately affected?</v>
      </c>
      <c r="T459" s="4" t="str">
        <f>IFERROR(__xludf.DUMMYFUNCTION("""COMPUTED_VALUE"""),"NON-KEYNOTE 9 - COMPLETE")</f>
        <v>NON-KEYNOTE 9 - COMPLETE</v>
      </c>
      <c r="U459" s="23">
        <f>IFERROR(__xludf.DUMMYFUNCTION("""COMPUTED_VALUE"""),43972.0)</f>
        <v>43972</v>
      </c>
      <c r="V459" s="24">
        <f>IFERROR(__xludf.DUMMYFUNCTION("""COMPUTED_VALUE"""),0.625)</f>
        <v>0.625</v>
      </c>
      <c r="W459" s="4" t="str">
        <f>IFERROR(__xludf.DUMMYFUNCTION("""COMPUTED_VALUE"""),"COMPLETE")</f>
        <v>COMPLETE</v>
      </c>
      <c r="X459" s="4" t="str">
        <f>IFERROR(__xludf.DUMMYFUNCTION("""COMPUTED_VALUE"""),"Carol")</f>
        <v>Carol</v>
      </c>
      <c r="Y459" s="4" t="str">
        <f>IFERROR(__xludf.DUMMYFUNCTION("""COMPUTED_VALUE"""),"")</f>
        <v/>
      </c>
    </row>
    <row r="460">
      <c r="A460" s="4" t="str">
        <f>IFERROR(__xludf.DUMMYFUNCTION("""COMPUTED_VALUE"""),"483 - Channel")</f>
        <v>483 - Channel</v>
      </c>
      <c r="B460" s="4" t="str">
        <f>IFERROR(__xludf.DUMMYFUNCTION("""COMPUTED_VALUE"""),"Channel 2")</f>
        <v>Channel 2</v>
      </c>
      <c r="C460" s="4" t="str">
        <f>IFERROR(__xludf.DUMMYFUNCTION("""COMPUTED_VALUE"""),"Day 1 - 23/06")</f>
        <v>Day 1 - 23/06</v>
      </c>
      <c r="D460" s="6">
        <f>IFERROR(__xludf.DUMMYFUNCTION("""COMPUTED_VALUE"""),0.6215046296296308)</f>
        <v>0.6215046296</v>
      </c>
      <c r="E460" s="6">
        <f>IFERROR(__xludf.DUMMYFUNCTION("""COMPUTED_VALUE"""),3.4722222222222224E-4)</f>
        <v>0.0003472222222</v>
      </c>
      <c r="F460" s="6">
        <f>IFERROR(__xludf.DUMMYFUNCTION("""COMPUTED_VALUE"""),0.6218518518518531)</f>
        <v>0.6218518519</v>
      </c>
      <c r="G460" s="4" t="str">
        <f>IFERROR(__xludf.DUMMYFUNCTION("""COMPUTED_VALUE"""),"Graphics")</f>
        <v>Graphics</v>
      </c>
      <c r="H460" s="4" t="str">
        <f>IFERROR(__xludf.DUMMYFUNCTION("""COMPUTED_VALUE"""),"")</f>
        <v/>
      </c>
      <c r="I460" s="4" t="str">
        <f>IFERROR(__xludf.DUMMYFUNCTION("""COMPUTED_VALUE"""),"")</f>
        <v/>
      </c>
      <c r="J460" s="4" t="str">
        <f>IFERROR(__xludf.DUMMYFUNCTION("""COMPUTED_VALUE"""),"News")</f>
        <v>News</v>
      </c>
      <c r="K460" s="4" t="str">
        <f>IFERROR(__xludf.DUMMYFUNCTION("""COMPUTED_VALUE"""),"Web Summit Trailer - short")</f>
        <v>Web Summit Trailer - short</v>
      </c>
      <c r="L460" s="4" t="str">
        <f>IFERROR(__xludf.DUMMYFUNCTION("""COMPUTED_VALUE"""),"")</f>
        <v/>
      </c>
      <c r="M460" s="4" t="str">
        <f>IFERROR(__xludf.DUMMYFUNCTION("""COMPUTED_VALUE"""),"Web Summit Trailer - short")</f>
        <v>Web Summit Trailer - short</v>
      </c>
      <c r="N460" s="4" t="str">
        <f>IFERROR(__xludf.DUMMYFUNCTION("""COMPUTED_VALUE"""),"")</f>
        <v/>
      </c>
      <c r="O460" s="4" t="str">
        <f>IFERROR(__xludf.DUMMYFUNCTION("""COMPUTED_VALUE"""),"")</f>
        <v/>
      </c>
      <c r="P460" s="4" t="str">
        <f>IFERROR(__xludf.DUMMYFUNCTION("""COMPUTED_VALUE"""),"")</f>
        <v/>
      </c>
      <c r="Q460" s="4" t="str">
        <f>IFERROR(__xludf.DUMMYFUNCTION("""COMPUTED_VALUE"""),"")</f>
        <v/>
      </c>
      <c r="R460" s="4" t="str">
        <f>IFERROR(__xludf.DUMMYFUNCTION("""COMPUTED_VALUE"""),"")</f>
        <v/>
      </c>
      <c r="S460" s="4" t="str">
        <f>IFERROR(__xludf.DUMMYFUNCTION("""COMPUTED_VALUE"""),"")</f>
        <v/>
      </c>
      <c r="T460" s="4" t="str">
        <f>IFERROR(__xludf.DUMMYFUNCTION("""COMPUTED_VALUE"""),"")</f>
        <v/>
      </c>
      <c r="U460" s="4" t="str">
        <f>IFERROR(__xludf.DUMMYFUNCTION("""COMPUTED_VALUE"""),"")</f>
        <v/>
      </c>
      <c r="V460" s="4" t="str">
        <f>IFERROR(__xludf.DUMMYFUNCTION("""COMPUTED_VALUE"""),"")</f>
        <v/>
      </c>
      <c r="W460" s="4" t="str">
        <f>IFERROR(__xludf.DUMMYFUNCTION("""COMPUTED_VALUE"""),"")</f>
        <v/>
      </c>
      <c r="X460" s="4" t="str">
        <f>IFERROR(__xludf.DUMMYFUNCTION("""COMPUTED_VALUE"""),"")</f>
        <v/>
      </c>
      <c r="Y460" s="4" t="str">
        <f>IFERROR(__xludf.DUMMYFUNCTION("""COMPUTED_VALUE"""),"")</f>
        <v/>
      </c>
    </row>
    <row r="461">
      <c r="A461" s="4" t="str">
        <f>IFERROR(__xludf.DUMMYFUNCTION("""COMPUTED_VALUE"""),"484 - Channel")</f>
        <v>484 - Channel</v>
      </c>
      <c r="B461" s="4" t="str">
        <f>IFERROR(__xludf.DUMMYFUNCTION("""COMPUTED_VALUE"""),"Channel 2")</f>
        <v>Channel 2</v>
      </c>
      <c r="C461" s="4" t="str">
        <f>IFERROR(__xludf.DUMMYFUNCTION("""COMPUTED_VALUE"""),"Day 1 - 23/06")</f>
        <v>Day 1 - 23/06</v>
      </c>
      <c r="D461" s="4" t="str">
        <f>IFERROR(__xludf.DUMMYFUNCTION("""COMPUTED_VALUE"""),"")</f>
        <v/>
      </c>
      <c r="E461" s="4" t="str">
        <f>IFERROR(__xludf.DUMMYFUNCTION("""COMPUTED_VALUE"""),"")</f>
        <v/>
      </c>
      <c r="F461" s="4" t="str">
        <f>IFERROR(__xludf.DUMMYFUNCTION("""COMPUTED_VALUE"""),"")</f>
        <v/>
      </c>
      <c r="G461" s="4" t="str">
        <f>IFERROR(__xludf.DUMMYFUNCTION("""COMPUTED_VALUE"""),"")</f>
        <v/>
      </c>
      <c r="H461" s="4" t="str">
        <f>IFERROR(__xludf.DUMMYFUNCTION("""COMPUTED_VALUE"""),"")</f>
        <v/>
      </c>
      <c r="I461" s="4" t="str">
        <f>IFERROR(__xludf.DUMMYFUNCTION("""COMPUTED_VALUE"""),"")</f>
        <v/>
      </c>
      <c r="J461" s="4" t="str">
        <f>IFERROR(__xludf.DUMMYFUNCTION("""COMPUTED_VALUE"""),"")</f>
        <v/>
      </c>
      <c r="K461" s="4" t="str">
        <f>IFERROR(__xludf.DUMMYFUNCTION("""COMPUTED_VALUE"""),"")</f>
        <v/>
      </c>
      <c r="L461" s="4" t="str">
        <f>IFERROR(__xludf.DUMMYFUNCTION("""COMPUTED_VALUE"""),"")</f>
        <v/>
      </c>
      <c r="M461" s="4" t="str">
        <f>IFERROR(__xludf.DUMMYFUNCTION("""COMPUTED_VALUE"""),"")</f>
        <v/>
      </c>
      <c r="N461" s="4" t="str">
        <f>IFERROR(__xludf.DUMMYFUNCTION("""COMPUTED_VALUE"""),"")</f>
        <v/>
      </c>
      <c r="O461" s="4" t="str">
        <f>IFERROR(__xludf.DUMMYFUNCTION("""COMPUTED_VALUE"""),"")</f>
        <v/>
      </c>
      <c r="P461" s="4" t="str">
        <f>IFERROR(__xludf.DUMMYFUNCTION("""COMPUTED_VALUE"""),"")</f>
        <v/>
      </c>
      <c r="Q461" s="4" t="str">
        <f>IFERROR(__xludf.DUMMYFUNCTION("""COMPUTED_VALUE"""),"")</f>
        <v/>
      </c>
      <c r="R461" s="4" t="str">
        <f>IFERROR(__xludf.DUMMYFUNCTION("""COMPUTED_VALUE"""),"")</f>
        <v/>
      </c>
      <c r="S461" s="4" t="str">
        <f>IFERROR(__xludf.DUMMYFUNCTION("""COMPUTED_VALUE"""),"")</f>
        <v/>
      </c>
      <c r="T461" s="4" t="str">
        <f>IFERROR(__xludf.DUMMYFUNCTION("""COMPUTED_VALUE"""),"")</f>
        <v/>
      </c>
      <c r="U461" s="4" t="str">
        <f>IFERROR(__xludf.DUMMYFUNCTION("""COMPUTED_VALUE"""),"")</f>
        <v/>
      </c>
      <c r="V461" s="4" t="str">
        <f>IFERROR(__xludf.DUMMYFUNCTION("""COMPUTED_VALUE"""),"")</f>
        <v/>
      </c>
      <c r="W461" s="4" t="str">
        <f>IFERROR(__xludf.DUMMYFUNCTION("""COMPUTED_VALUE"""),"")</f>
        <v/>
      </c>
      <c r="X461" s="4" t="str">
        <f>IFERROR(__xludf.DUMMYFUNCTION("""COMPUTED_VALUE"""),"")</f>
        <v/>
      </c>
      <c r="Y461" s="4" t="str">
        <f>IFERROR(__xludf.DUMMYFUNCTION("""COMPUTED_VALUE"""),"")</f>
        <v/>
      </c>
    </row>
    <row r="462">
      <c r="A462" s="4" t="str">
        <f>IFERROR(__xludf.DUMMYFUNCTION("""COMPUTED_VALUE"""),"485 - Channel")</f>
        <v>485 - Channel</v>
      </c>
      <c r="B462" s="4" t="str">
        <f>IFERROR(__xludf.DUMMYFUNCTION("""COMPUTED_VALUE"""),"Channel 2")</f>
        <v>Channel 2</v>
      </c>
      <c r="C462" s="4" t="str">
        <f>IFERROR(__xludf.DUMMYFUNCTION("""COMPUTED_VALUE"""),"Day 1 - 23/06")</f>
        <v>Day 1 - 23/06</v>
      </c>
      <c r="D462" s="6">
        <f>IFERROR(__xludf.DUMMYFUNCTION("""COMPUTED_VALUE"""),0.6218518518518531)</f>
        <v>0.6218518519</v>
      </c>
      <c r="E462" s="6">
        <f>IFERROR(__xludf.DUMMYFUNCTION("""COMPUTED_VALUE"""),3.4722222222222224E-4)</f>
        <v>0.0003472222222</v>
      </c>
      <c r="F462" s="6">
        <f>IFERROR(__xludf.DUMMYFUNCTION("""COMPUTED_VALUE"""),0.6221990740740754)</f>
        <v>0.6221990741</v>
      </c>
      <c r="G462" s="4" t="str">
        <f>IFERROR(__xludf.DUMMYFUNCTION("""COMPUTED_VALUE"""),"Graphics")</f>
        <v>Graphics</v>
      </c>
      <c r="H462" s="4" t="str">
        <f>IFERROR(__xludf.DUMMYFUNCTION("""COMPUTED_VALUE"""),"")</f>
        <v/>
      </c>
      <c r="I462" s="4" t="str">
        <f>IFERROR(__xludf.DUMMYFUNCTION("""COMPUTED_VALUE"""),"")</f>
        <v/>
      </c>
      <c r="J462" s="4" t="str">
        <f>IFERROR(__xludf.DUMMYFUNCTION("""COMPUTED_VALUE"""),"Education")</f>
        <v>Education</v>
      </c>
      <c r="K462" s="4" t="str">
        <f>IFERROR(__xludf.DUMMYFUNCTION("""COMPUTED_VALUE"""),"Talk Intro")</f>
        <v>Talk Intro</v>
      </c>
      <c r="L462" s="4" t="str">
        <f>IFERROR(__xludf.DUMMYFUNCTION("""COMPUTED_VALUE"""),"")</f>
        <v/>
      </c>
      <c r="M462" s="4" t="str">
        <f>IFERROR(__xludf.DUMMYFUNCTION("""COMPUTED_VALUE"""),"Talk Intro")</f>
        <v>Talk Intro</v>
      </c>
      <c r="N462" s="4" t="str">
        <f>IFERROR(__xludf.DUMMYFUNCTION("""COMPUTED_VALUE"""),"")</f>
        <v/>
      </c>
      <c r="O462" s="4" t="str">
        <f>IFERROR(__xludf.DUMMYFUNCTION("""COMPUTED_VALUE"""),"")</f>
        <v/>
      </c>
      <c r="P462" s="4" t="str">
        <f>IFERROR(__xludf.DUMMYFUNCTION("""COMPUTED_VALUE"""),"")</f>
        <v/>
      </c>
      <c r="Q462" s="4" t="str">
        <f>IFERROR(__xludf.DUMMYFUNCTION("""COMPUTED_VALUE"""),"")</f>
        <v/>
      </c>
      <c r="R462" s="4" t="str">
        <f>IFERROR(__xludf.DUMMYFUNCTION("""COMPUTED_VALUE"""),"")</f>
        <v/>
      </c>
      <c r="S462" s="4" t="str">
        <f>IFERROR(__xludf.DUMMYFUNCTION("""COMPUTED_VALUE"""),"")</f>
        <v/>
      </c>
      <c r="T462" s="4" t="str">
        <f>IFERROR(__xludf.DUMMYFUNCTION("""COMPUTED_VALUE"""),"")</f>
        <v/>
      </c>
      <c r="U462" s="4" t="str">
        <f>IFERROR(__xludf.DUMMYFUNCTION("""COMPUTED_VALUE"""),"")</f>
        <v/>
      </c>
      <c r="V462" s="4" t="str">
        <f>IFERROR(__xludf.DUMMYFUNCTION("""COMPUTED_VALUE"""),"")</f>
        <v/>
      </c>
      <c r="W462" s="4" t="str">
        <f>IFERROR(__xludf.DUMMYFUNCTION("""COMPUTED_VALUE"""),"")</f>
        <v/>
      </c>
      <c r="X462" s="4" t="str">
        <f>IFERROR(__xludf.DUMMYFUNCTION("""COMPUTED_VALUE"""),"")</f>
        <v/>
      </c>
      <c r="Y462" s="4" t="str">
        <f>IFERROR(__xludf.DUMMYFUNCTION("""COMPUTED_VALUE"""),"")</f>
        <v/>
      </c>
    </row>
    <row r="463">
      <c r="A463" s="4" t="str">
        <f>IFERROR(__xludf.DUMMYFUNCTION("""COMPUTED_VALUE"""),"486 - Channel")</f>
        <v>486 - Channel</v>
      </c>
      <c r="B463" s="4" t="str">
        <f>IFERROR(__xludf.DUMMYFUNCTION("""COMPUTED_VALUE"""),"Channel 2")</f>
        <v>Channel 2</v>
      </c>
      <c r="C463" s="4" t="str">
        <f>IFERROR(__xludf.DUMMYFUNCTION("""COMPUTED_VALUE"""),"Day 1 - 23/06")</f>
        <v>Day 1 - 23/06</v>
      </c>
      <c r="D463" s="6">
        <f>IFERROR(__xludf.DUMMYFUNCTION("""COMPUTED_VALUE"""),0.6221990740740754)</f>
        <v>0.6221990741</v>
      </c>
      <c r="E463" s="6">
        <f>IFERROR(__xludf.DUMMYFUNCTION("""COMPUTED_VALUE"""),0.012152777777777778)</f>
        <v>0.01215277778</v>
      </c>
      <c r="F463" s="6">
        <f>IFERROR(__xludf.DUMMYFUNCTION("""COMPUTED_VALUE"""),0.6343518518518532)</f>
        <v>0.6343518519</v>
      </c>
      <c r="G463" s="4" t="str">
        <f>IFERROR(__xludf.DUMMYFUNCTION("""COMPUTED_VALUE"""),"Ahmed")</f>
        <v>Ahmed</v>
      </c>
      <c r="H463" s="4" t="str">
        <f>IFERROR(__xludf.DUMMYFUNCTION("""COMPUTED_VALUE"""),"Eoghan")</f>
        <v>Eoghan</v>
      </c>
      <c r="I463" s="4" t="str">
        <f>IFERROR(__xludf.DUMMYFUNCTION("""COMPUTED_VALUE"""),"Francisca")</f>
        <v>Francisca</v>
      </c>
      <c r="J463" s="4" t="str">
        <f>IFERROR(__xludf.DUMMYFUNCTION("""COMPUTED_VALUE"""),"Education")</f>
        <v>Education</v>
      </c>
      <c r="K463" s="4" t="str">
        <f>IFERROR(__xludf.DUMMYFUNCTION("""COMPUTED_VALUE"""),"Panel")</f>
        <v>Panel</v>
      </c>
      <c r="L463" s="4" t="str">
        <f>IFERROR(__xludf.DUMMYFUNCTION("""COMPUTED_VALUE"""),"T- 4 - 25/05/2020")</f>
        <v>T- 4 - 25/05/2020</v>
      </c>
      <c r="M463" s="4" t="str">
        <f>IFERROR(__xludf.DUMMYFUNCTION("""COMPUTED_VALUE"""),"Is education on the cusp of a revolution?")</f>
        <v>Is education on the cusp of a revolution?</v>
      </c>
      <c r="N463" s="4" t="str">
        <f>IFERROR(__xludf.DUMMYFUNCTION("""COMPUTED_VALUE"""),"Rhonda Lenton, York University")</f>
        <v>Rhonda Lenton, York University</v>
      </c>
      <c r="O463" s="4" t="str">
        <f>IFERROR(__xludf.DUMMYFUNCTION("""COMPUTED_VALUE"""),"Arne Schepker, Babbel")</f>
        <v>Arne Schepker, Babbel</v>
      </c>
      <c r="P463" s="4" t="str">
        <f>IFERROR(__xludf.DUMMYFUNCTION("""COMPUTED_VALUE"""),"Matt Hulett, Rosetta Stone")</f>
        <v>Matt Hulett, Rosetta Stone</v>
      </c>
      <c r="Q463" s="4" t="str">
        <f>IFERROR(__xludf.DUMMYFUNCTION("""COMPUTED_VALUE"""),"")</f>
        <v/>
      </c>
      <c r="R463" s="4" t="str">
        <f>IFERROR(__xludf.DUMMYFUNCTION("""COMPUTED_VALUE"""),"Takara Small, CBC Radio")</f>
        <v>Takara Small, CBC Radio</v>
      </c>
      <c r="S463" s="4" t="str">
        <f>IFERROR(__xludf.DUMMYFUNCTION("""COMPUTED_VALUE"""),"The widespread ownership of networked devices has led to an increased interest in ubiquitous learning. This has led to new challenges in integrating formal and informal learning opportunities for an increasingly diverse group of learners and employers. In"&amp;" this talk, we look at how complex learning may be enhanced by technology, and whether the pandemic has catalysed the evolution of education.  ")</f>
        <v>The widespread ownership of networked devices has led to an increased interest in ubiquitous learning. This has led to new challenges in integrating formal and informal learning opportunities for an increasingly diverse group of learners and employers. In this talk, we look at how complex learning may be enhanced by technology, and whether the pandemic has catalysed the evolution of education.  </v>
      </c>
      <c r="T463" s="4" t="str">
        <f>IFERROR(__xludf.DUMMYFUNCTION("""COMPUTED_VALUE"""),"NON-KEYNOTE 9 - COMPLETE")</f>
        <v>NON-KEYNOTE 9 - COMPLETE</v>
      </c>
      <c r="U463" s="23">
        <f>IFERROR(__xludf.DUMMYFUNCTION("""COMPUTED_VALUE"""),43984.0)</f>
        <v>43984</v>
      </c>
      <c r="V463" s="24">
        <f>IFERROR(__xludf.DUMMYFUNCTION("""COMPUTED_VALUE"""),0.6666666666666666)</f>
        <v>0.6666666667</v>
      </c>
      <c r="W463" s="4" t="str">
        <f>IFERROR(__xludf.DUMMYFUNCTION("""COMPUTED_VALUE"""),"COMPLETE")</f>
        <v>COMPLETE</v>
      </c>
      <c r="X463" s="4" t="str">
        <f>IFERROR(__xludf.DUMMYFUNCTION("""COMPUTED_VALUE"""),"Ahmed")</f>
        <v>Ahmed</v>
      </c>
      <c r="Y463" s="4" t="str">
        <f>IFERROR(__xludf.DUMMYFUNCTION("""COMPUTED_VALUE"""),"")</f>
        <v/>
      </c>
    </row>
    <row r="464">
      <c r="A464" s="4" t="str">
        <f>IFERROR(__xludf.DUMMYFUNCTION("""COMPUTED_VALUE"""),"487 - Channel")</f>
        <v>487 - Channel</v>
      </c>
      <c r="B464" s="4" t="str">
        <f>IFERROR(__xludf.DUMMYFUNCTION("""COMPUTED_VALUE"""),"Channel 2")</f>
        <v>Channel 2</v>
      </c>
      <c r="C464" s="4" t="str">
        <f>IFERROR(__xludf.DUMMYFUNCTION("""COMPUTED_VALUE"""),"Day 1 - 23/06")</f>
        <v>Day 1 - 23/06</v>
      </c>
      <c r="D464" s="6">
        <f>IFERROR(__xludf.DUMMYFUNCTION("""COMPUTED_VALUE"""),0.6343518518518532)</f>
        <v>0.6343518519</v>
      </c>
      <c r="E464" s="6">
        <f>IFERROR(__xludf.DUMMYFUNCTION("""COMPUTED_VALUE"""),1.7361111111111112E-4)</f>
        <v>0.0001736111111</v>
      </c>
      <c r="F464" s="6">
        <f>IFERROR(__xludf.DUMMYFUNCTION("""COMPUTED_VALUE"""),0.6345254629629643)</f>
        <v>0.634525463</v>
      </c>
      <c r="G464" s="4" t="str">
        <f>IFERROR(__xludf.DUMMYFUNCTION("""COMPUTED_VALUE"""),"Graphics")</f>
        <v>Graphics</v>
      </c>
      <c r="H464" s="4" t="str">
        <f>IFERROR(__xludf.DUMMYFUNCTION("""COMPUTED_VALUE"""),"")</f>
        <v/>
      </c>
      <c r="I464" s="4" t="str">
        <f>IFERROR(__xludf.DUMMYFUNCTION("""COMPUTED_VALUE"""),"")</f>
        <v/>
      </c>
      <c r="J464" s="4" t="str">
        <f>IFERROR(__xludf.DUMMYFUNCTION("""COMPUTED_VALUE"""),"Education")</f>
        <v>Education</v>
      </c>
      <c r="K464" s="4" t="str">
        <f>IFERROR(__xludf.DUMMYFUNCTION("""COMPUTED_VALUE"""),"Talk Outro")</f>
        <v>Talk Outro</v>
      </c>
      <c r="L464" s="4" t="str">
        <f>IFERROR(__xludf.DUMMYFUNCTION("""COMPUTED_VALUE"""),"")</f>
        <v/>
      </c>
      <c r="M464" s="4" t="str">
        <f>IFERROR(__xludf.DUMMYFUNCTION("""COMPUTED_VALUE"""),"Talk Outro")</f>
        <v>Talk Outro</v>
      </c>
      <c r="N464" s="4" t="str">
        <f>IFERROR(__xludf.DUMMYFUNCTION("""COMPUTED_VALUE"""),"")</f>
        <v/>
      </c>
      <c r="O464" s="4" t="str">
        <f>IFERROR(__xludf.DUMMYFUNCTION("""COMPUTED_VALUE"""),"")</f>
        <v/>
      </c>
      <c r="P464" s="4" t="str">
        <f>IFERROR(__xludf.DUMMYFUNCTION("""COMPUTED_VALUE"""),"")</f>
        <v/>
      </c>
      <c r="Q464" s="4" t="str">
        <f>IFERROR(__xludf.DUMMYFUNCTION("""COMPUTED_VALUE"""),"")</f>
        <v/>
      </c>
      <c r="R464" s="4" t="str">
        <f>IFERROR(__xludf.DUMMYFUNCTION("""COMPUTED_VALUE"""),"")</f>
        <v/>
      </c>
      <c r="S464" s="4" t="str">
        <f>IFERROR(__xludf.DUMMYFUNCTION("""COMPUTED_VALUE"""),"")</f>
        <v/>
      </c>
      <c r="T464" s="4" t="str">
        <f>IFERROR(__xludf.DUMMYFUNCTION("""COMPUTED_VALUE"""),"")</f>
        <v/>
      </c>
      <c r="U464" s="4" t="str">
        <f>IFERROR(__xludf.DUMMYFUNCTION("""COMPUTED_VALUE"""),"")</f>
        <v/>
      </c>
      <c r="V464" s="4" t="str">
        <f>IFERROR(__xludf.DUMMYFUNCTION("""COMPUTED_VALUE"""),"")</f>
        <v/>
      </c>
      <c r="W464" s="4" t="str">
        <f>IFERROR(__xludf.DUMMYFUNCTION("""COMPUTED_VALUE"""),"")</f>
        <v/>
      </c>
      <c r="X464" s="4" t="str">
        <f>IFERROR(__xludf.DUMMYFUNCTION("""COMPUTED_VALUE"""),"")</f>
        <v/>
      </c>
      <c r="Y464" s="4" t="str">
        <f>IFERROR(__xludf.DUMMYFUNCTION("""COMPUTED_VALUE"""),"")</f>
        <v/>
      </c>
    </row>
    <row r="465">
      <c r="A465" s="4" t="str">
        <f>IFERROR(__xludf.DUMMYFUNCTION("""COMPUTED_VALUE"""),"488 - Channel")</f>
        <v>488 - Channel</v>
      </c>
      <c r="B465" s="4" t="str">
        <f>IFERROR(__xludf.DUMMYFUNCTION("""COMPUTED_VALUE"""),"Channel 2")</f>
        <v>Channel 2</v>
      </c>
      <c r="C465" s="4" t="str">
        <f>IFERROR(__xludf.DUMMYFUNCTION("""COMPUTED_VALUE"""),"Day 1 - 23/06")</f>
        <v>Day 1 - 23/06</v>
      </c>
      <c r="D465" s="6">
        <f>IFERROR(__xludf.DUMMYFUNCTION("""COMPUTED_VALUE"""),0.6345254629629643)</f>
        <v>0.634525463</v>
      </c>
      <c r="E465" s="6">
        <f>IFERROR(__xludf.DUMMYFUNCTION("""COMPUTED_VALUE"""),1.7361111111111112E-4)</f>
        <v>0.0001736111111</v>
      </c>
      <c r="F465" s="6">
        <f>IFERROR(__xludf.DUMMYFUNCTION("""COMPUTED_VALUE"""),0.6346990740740754)</f>
        <v>0.6346990741</v>
      </c>
      <c r="G465" s="4" t="str">
        <f>IFERROR(__xludf.DUMMYFUNCTION("""COMPUTED_VALUE"""),"P&amp;E")</f>
        <v>P&amp;E</v>
      </c>
      <c r="H465" s="4" t="str">
        <f>IFERROR(__xludf.DUMMYFUNCTION("""COMPUTED_VALUE"""),"")</f>
        <v/>
      </c>
      <c r="I465" s="4" t="str">
        <f>IFERROR(__xludf.DUMMYFUNCTION("""COMPUTED_VALUE"""),"")</f>
        <v/>
      </c>
      <c r="J465" s="4" t="str">
        <f>IFERROR(__xludf.DUMMYFUNCTION("""COMPUTED_VALUE"""),"Education")</f>
        <v>Education</v>
      </c>
      <c r="K465" s="4" t="str">
        <f>IFERROR(__xludf.DUMMYFUNCTION("""COMPUTED_VALUE"""),"Partner ad")</f>
        <v>Partner ad</v>
      </c>
      <c r="L465" s="4" t="str">
        <f>IFERROR(__xludf.DUMMYFUNCTION("""COMPUTED_VALUE"""),"")</f>
        <v/>
      </c>
      <c r="M465" s="4" t="str">
        <f>IFERROR(__xludf.DUMMYFUNCTION("""COMPUTED_VALUE"""),"Partner Adroll #4 TBC")</f>
        <v>Partner Adroll #4 TBC</v>
      </c>
      <c r="N465" s="4" t="str">
        <f>IFERROR(__xludf.DUMMYFUNCTION("""COMPUTED_VALUE"""),"")</f>
        <v/>
      </c>
      <c r="O465" s="4" t="str">
        <f>IFERROR(__xludf.DUMMYFUNCTION("""COMPUTED_VALUE"""),"")</f>
        <v/>
      </c>
      <c r="P465" s="4" t="str">
        <f>IFERROR(__xludf.DUMMYFUNCTION("""COMPUTED_VALUE"""),"")</f>
        <v/>
      </c>
      <c r="Q465" s="4" t="str">
        <f>IFERROR(__xludf.DUMMYFUNCTION("""COMPUTED_VALUE"""),"")</f>
        <v/>
      </c>
      <c r="R465" s="4" t="str">
        <f>IFERROR(__xludf.DUMMYFUNCTION("""COMPUTED_VALUE"""),"")</f>
        <v/>
      </c>
      <c r="S465" s="4" t="str">
        <f>IFERROR(__xludf.DUMMYFUNCTION("""COMPUTED_VALUE"""),"")</f>
        <v/>
      </c>
      <c r="T465" s="4" t="str">
        <f>IFERROR(__xludf.DUMMYFUNCTION("""COMPUTED_VALUE"""),"")</f>
        <v/>
      </c>
      <c r="U465" s="4" t="str">
        <f>IFERROR(__xludf.DUMMYFUNCTION("""COMPUTED_VALUE"""),"")</f>
        <v/>
      </c>
      <c r="V465" s="4" t="str">
        <f>IFERROR(__xludf.DUMMYFUNCTION("""COMPUTED_VALUE"""),"")</f>
        <v/>
      </c>
      <c r="W465" s="4" t="str">
        <f>IFERROR(__xludf.DUMMYFUNCTION("""COMPUTED_VALUE"""),"")</f>
        <v/>
      </c>
      <c r="X465" s="4" t="str">
        <f>IFERROR(__xludf.DUMMYFUNCTION("""COMPUTED_VALUE"""),"")</f>
        <v/>
      </c>
      <c r="Y465" s="4" t="str">
        <f>IFERROR(__xludf.DUMMYFUNCTION("""COMPUTED_VALUE"""),"")</f>
        <v/>
      </c>
    </row>
    <row r="466">
      <c r="A466" s="4" t="str">
        <f>IFERROR(__xludf.DUMMYFUNCTION("""COMPUTED_VALUE"""),"398 - Channel")</f>
        <v>398 - Channel</v>
      </c>
      <c r="B466" s="4" t="str">
        <f>IFERROR(__xludf.DUMMYFUNCTION("""COMPUTED_VALUE"""),"Channel 2")</f>
        <v>Channel 2</v>
      </c>
      <c r="C466" s="4" t="str">
        <f>IFERROR(__xludf.DUMMYFUNCTION("""COMPUTED_VALUE"""),"Day 1 - 23/06")</f>
        <v>Day 1 - 23/06</v>
      </c>
      <c r="D466" s="6">
        <f>IFERROR(__xludf.DUMMYFUNCTION("""COMPUTED_VALUE"""),0.6346990740740754)</f>
        <v>0.6346990741</v>
      </c>
      <c r="E466" s="6">
        <f>IFERROR(__xludf.DUMMYFUNCTION("""COMPUTED_VALUE"""),3.4722222222222224E-4)</f>
        <v>0.0003472222222</v>
      </c>
      <c r="F466" s="6">
        <f>IFERROR(__xludf.DUMMYFUNCTION("""COMPUTED_VALUE"""),0.6350462962962977)</f>
        <v>0.6350462963</v>
      </c>
      <c r="G466" s="4" t="str">
        <f>IFERROR(__xludf.DUMMYFUNCTION("""COMPUTED_VALUE"""),"Graphics")</f>
        <v>Graphics</v>
      </c>
      <c r="H466" s="4" t="str">
        <f>IFERROR(__xludf.DUMMYFUNCTION("""COMPUTED_VALUE"""),"")</f>
        <v/>
      </c>
      <c r="I466" s="4" t="str">
        <f>IFERROR(__xludf.DUMMYFUNCTION("""COMPUTED_VALUE"""),"")</f>
        <v/>
      </c>
      <c r="J466" s="4" t="str">
        <f>IFERROR(__xludf.DUMMYFUNCTION("""COMPUTED_VALUE"""),"AI")</f>
        <v>AI</v>
      </c>
      <c r="K466" s="4" t="str">
        <f>IFERROR(__xludf.DUMMYFUNCTION("""COMPUTED_VALUE"""),"Speaker Intro Video")</f>
        <v>Speaker Intro Video</v>
      </c>
      <c r="L466" s="4" t="str">
        <f>IFERROR(__xludf.DUMMYFUNCTION("""COMPUTED_VALUE"""),"")</f>
        <v/>
      </c>
      <c r="M466" s="4" t="str">
        <f>IFERROR(__xludf.DUMMYFUNCTION("""COMPUTED_VALUE"""),"Speaker Intro Video")</f>
        <v>Speaker Intro Video</v>
      </c>
      <c r="N466" s="4" t="str">
        <f>IFERROR(__xludf.DUMMYFUNCTION("""COMPUTED_VALUE"""),"")</f>
        <v/>
      </c>
      <c r="O466" s="4" t="str">
        <f>IFERROR(__xludf.DUMMYFUNCTION("""COMPUTED_VALUE"""),"")</f>
        <v/>
      </c>
      <c r="P466" s="4" t="str">
        <f>IFERROR(__xludf.DUMMYFUNCTION("""COMPUTED_VALUE"""),"")</f>
        <v/>
      </c>
      <c r="Q466" s="4" t="str">
        <f>IFERROR(__xludf.DUMMYFUNCTION("""COMPUTED_VALUE"""),"")</f>
        <v/>
      </c>
      <c r="R466" s="4" t="str">
        <f>IFERROR(__xludf.DUMMYFUNCTION("""COMPUTED_VALUE"""),"")</f>
        <v/>
      </c>
      <c r="S466" s="4" t="str">
        <f>IFERROR(__xludf.DUMMYFUNCTION("""COMPUTED_VALUE"""),"")</f>
        <v/>
      </c>
      <c r="T466" s="4" t="str">
        <f>IFERROR(__xludf.DUMMYFUNCTION("""COMPUTED_VALUE"""),"")</f>
        <v/>
      </c>
      <c r="U466" s="4" t="str">
        <f>IFERROR(__xludf.DUMMYFUNCTION("""COMPUTED_VALUE"""),"")</f>
        <v/>
      </c>
      <c r="V466" s="4" t="str">
        <f>IFERROR(__xludf.DUMMYFUNCTION("""COMPUTED_VALUE"""),"")</f>
        <v/>
      </c>
      <c r="W466" s="4" t="str">
        <f>IFERROR(__xludf.DUMMYFUNCTION("""COMPUTED_VALUE"""),"")</f>
        <v/>
      </c>
      <c r="X466" s="4" t="str">
        <f>IFERROR(__xludf.DUMMYFUNCTION("""COMPUTED_VALUE"""),"")</f>
        <v/>
      </c>
      <c r="Y466" s="4" t="str">
        <f>IFERROR(__xludf.DUMMYFUNCTION("""COMPUTED_VALUE"""),"")</f>
        <v/>
      </c>
    </row>
    <row r="467">
      <c r="A467" s="4" t="str">
        <f>IFERROR(__xludf.DUMMYFUNCTION("""COMPUTED_VALUE"""),"402 - Channel")</f>
        <v>402 - Channel</v>
      </c>
      <c r="B467" s="4" t="str">
        <f>IFERROR(__xludf.DUMMYFUNCTION("""COMPUTED_VALUE"""),"Channel 2")</f>
        <v>Channel 2</v>
      </c>
      <c r="C467" s="4" t="str">
        <f>IFERROR(__xludf.DUMMYFUNCTION("""COMPUTED_VALUE"""),"Day 1 - 23/06")</f>
        <v>Day 1 - 23/06</v>
      </c>
      <c r="D467" s="6">
        <f>IFERROR(__xludf.DUMMYFUNCTION("""COMPUTED_VALUE"""),0.6346990740740754)</f>
        <v>0.6346990741</v>
      </c>
      <c r="E467" s="6">
        <f>IFERROR(__xludf.DUMMYFUNCTION("""COMPUTED_VALUE"""),3.4722222222222224E-4)</f>
        <v>0.0003472222222</v>
      </c>
      <c r="F467" s="6">
        <f>IFERROR(__xludf.DUMMYFUNCTION("""COMPUTED_VALUE"""),0.6350462962962977)</f>
        <v>0.6350462963</v>
      </c>
      <c r="G467" s="4" t="str">
        <f>IFERROR(__xludf.DUMMYFUNCTION("""COMPUTED_VALUE"""),"Graphics")</f>
        <v>Graphics</v>
      </c>
      <c r="H467" s="4" t="str">
        <f>IFERROR(__xludf.DUMMYFUNCTION("""COMPUTED_VALUE"""),"")</f>
        <v/>
      </c>
      <c r="I467" s="4" t="str">
        <f>IFERROR(__xludf.DUMMYFUNCTION("""COMPUTED_VALUE"""),"")</f>
        <v/>
      </c>
      <c r="J467" s="4" t="str">
        <f>IFERROR(__xludf.DUMMYFUNCTION("""COMPUTED_VALUE"""),"Education")</f>
        <v>Education</v>
      </c>
      <c r="K467" s="4" t="str">
        <f>IFERROR(__xludf.DUMMYFUNCTION("""COMPUTED_VALUE"""),"Talk Intro")</f>
        <v>Talk Intro</v>
      </c>
      <c r="L467" s="4" t="str">
        <f>IFERROR(__xludf.DUMMYFUNCTION("""COMPUTED_VALUE"""),"")</f>
        <v/>
      </c>
      <c r="M467" s="4" t="str">
        <f>IFERROR(__xludf.DUMMYFUNCTION("""COMPUTED_VALUE"""),"Talk Intro")</f>
        <v>Talk Intro</v>
      </c>
      <c r="N467" s="4" t="str">
        <f>IFERROR(__xludf.DUMMYFUNCTION("""COMPUTED_VALUE"""),"")</f>
        <v/>
      </c>
      <c r="O467" s="4" t="str">
        <f>IFERROR(__xludf.DUMMYFUNCTION("""COMPUTED_VALUE"""),"")</f>
        <v/>
      </c>
      <c r="P467" s="4" t="str">
        <f>IFERROR(__xludf.DUMMYFUNCTION("""COMPUTED_VALUE"""),"")</f>
        <v/>
      </c>
      <c r="Q467" s="4" t="str">
        <f>IFERROR(__xludf.DUMMYFUNCTION("""COMPUTED_VALUE"""),"")</f>
        <v/>
      </c>
      <c r="R467" s="4" t="str">
        <f>IFERROR(__xludf.DUMMYFUNCTION("""COMPUTED_VALUE"""),"")</f>
        <v/>
      </c>
      <c r="S467" s="4" t="str">
        <f>IFERROR(__xludf.DUMMYFUNCTION("""COMPUTED_VALUE"""),"")</f>
        <v/>
      </c>
      <c r="T467" s="4" t="str">
        <f>IFERROR(__xludf.DUMMYFUNCTION("""COMPUTED_VALUE"""),"")</f>
        <v/>
      </c>
      <c r="U467" s="4" t="str">
        <f>IFERROR(__xludf.DUMMYFUNCTION("""COMPUTED_VALUE"""),"")</f>
        <v/>
      </c>
      <c r="V467" s="4" t="str">
        <f>IFERROR(__xludf.DUMMYFUNCTION("""COMPUTED_VALUE"""),"")</f>
        <v/>
      </c>
      <c r="W467" s="4" t="str">
        <f>IFERROR(__xludf.DUMMYFUNCTION("""COMPUTED_VALUE"""),"")</f>
        <v/>
      </c>
      <c r="X467" s="4" t="str">
        <f>IFERROR(__xludf.DUMMYFUNCTION("""COMPUTED_VALUE"""),"")</f>
        <v/>
      </c>
      <c r="Y467" s="4" t="str">
        <f>IFERROR(__xludf.DUMMYFUNCTION("""COMPUTED_VALUE"""),"")</f>
        <v/>
      </c>
    </row>
    <row r="468">
      <c r="A468" s="4" t="str">
        <f>IFERROR(__xludf.DUMMYFUNCTION("""COMPUTED_VALUE"""),"403 - Channel")</f>
        <v>403 - Channel</v>
      </c>
      <c r="B468" s="4" t="str">
        <f>IFERROR(__xludf.DUMMYFUNCTION("""COMPUTED_VALUE"""),"Channel 2")</f>
        <v>Channel 2</v>
      </c>
      <c r="C468" s="4" t="str">
        <f>IFERROR(__xludf.DUMMYFUNCTION("""COMPUTED_VALUE"""),"Day 1 - 23/06")</f>
        <v>Day 1 - 23/06</v>
      </c>
      <c r="D468" s="6">
        <f>IFERROR(__xludf.DUMMYFUNCTION("""COMPUTED_VALUE"""),0.6350462962962977)</f>
        <v>0.6350462963</v>
      </c>
      <c r="E468" s="6">
        <f>IFERROR(__xludf.DUMMYFUNCTION("""COMPUTED_VALUE"""),0.013888888888888888)</f>
        <v>0.01388888889</v>
      </c>
      <c r="F468" s="6">
        <f>IFERROR(__xludf.DUMMYFUNCTION("""COMPUTED_VALUE"""),0.6489351851851866)</f>
        <v>0.6489351852</v>
      </c>
      <c r="G468" s="4" t="str">
        <f>IFERROR(__xludf.DUMMYFUNCTION("""COMPUTED_VALUE"""),"Brian")</f>
        <v>Brian</v>
      </c>
      <c r="H468" s="4" t="str">
        <f>IFERROR(__xludf.DUMMYFUNCTION("""COMPUTED_VALUE"""),"N/A")</f>
        <v>N/A</v>
      </c>
      <c r="I468" s="4" t="str">
        <f>IFERROR(__xludf.DUMMYFUNCTION("""COMPUTED_VALUE"""),"Manon")</f>
        <v>Manon</v>
      </c>
      <c r="J468" s="4" t="str">
        <f>IFERROR(__xludf.DUMMYFUNCTION("""COMPUTED_VALUE"""),"Education")</f>
        <v>Education</v>
      </c>
      <c r="K468" s="4" t="str">
        <f>IFERROR(__xludf.DUMMYFUNCTION("""COMPUTED_VALUE"""),"Super Fireside")</f>
        <v>Super Fireside</v>
      </c>
      <c r="L468" s="4" t="str">
        <f>IFERROR(__xludf.DUMMYFUNCTION("""COMPUTED_VALUE"""),"T- 3 - 01/06/2020")</f>
        <v>T- 3 - 01/06/2020</v>
      </c>
      <c r="M468" s="4" t="str">
        <f>IFERROR(__xludf.DUMMYFUNCTION("""COMPUTED_VALUE"""),"The future of consumer and brand loyalty")</f>
        <v>The future of consumer and brand loyalty</v>
      </c>
      <c r="N468" s="4" t="str">
        <f>IFERROR(__xludf.DUMMYFUNCTION("""COMPUTED_VALUE"""),"David Eun, Samsung")</f>
        <v>David Eun, Samsung</v>
      </c>
      <c r="O468" s="4" t="str">
        <f>IFERROR(__xludf.DUMMYFUNCTION("""COMPUTED_VALUE"""),"Steven Wolfe Pereira, Encantos")</f>
        <v>Steven Wolfe Pereira, Encantos</v>
      </c>
      <c r="P468" s="4" t="str">
        <f>IFERROR(__xludf.DUMMYFUNCTION("""COMPUTED_VALUE"""),"")</f>
        <v/>
      </c>
      <c r="Q468" s="4" t="str">
        <f>IFERROR(__xludf.DUMMYFUNCTION("""COMPUTED_VALUE"""),"")</f>
        <v/>
      </c>
      <c r="R468" s="4" t="str">
        <f>IFERROR(__xludf.DUMMYFUNCTION("""COMPUTED_VALUE"""),"Michelle Ebanks, Essence")</f>
        <v>Michelle Ebanks, Essence</v>
      </c>
      <c r="S468" s="4" t="str">
        <f>IFERROR(__xludf.DUMMYFUNCTION("""COMPUTED_VALUE"""),"This talk features one of the biggest brands in the world: Samsung. But, as brand loyalty moves towards experience and away from mass marketing, how do brands like this not get left behind by their emerging counterparts? To find out how companies old and "&amp;"new engage with consumers using experiences, we are joined by the CEO and co-founder of entertainment-education company Encantos, Steven Wolfe Pereira; the former CEO of Essence Communication, Michelle Ebanks; and the CIO of Samsung, David Eun.")</f>
        <v>This talk features one of the biggest brands in the world: Samsung. But, as brand loyalty moves towards experience and away from mass marketing, how do brands like this not get left behind by their emerging counterparts? To find out how companies old and new engage with consumers using experiences, we are joined by the CEO and co-founder of entertainment-education company Encantos, Steven Wolfe Pereira; the former CEO of Essence Communication, Michelle Ebanks; and the CIO of Samsung, David Eun.</v>
      </c>
      <c r="T468" s="4" t="str">
        <f>IFERROR(__xludf.DUMMYFUNCTION("""COMPUTED_VALUE"""),"NON-KEYNOTE 8 - Add video to Google Drive folder")</f>
        <v>NON-KEYNOTE 8 - Add video to Google Drive folder</v>
      </c>
      <c r="U468" s="23">
        <f>IFERROR(__xludf.DUMMYFUNCTION("""COMPUTED_VALUE"""),43986.0)</f>
        <v>43986</v>
      </c>
      <c r="V468" s="44">
        <f>IFERROR(__xludf.DUMMYFUNCTION("""COMPUTED_VALUE"""),0.7708333333333334)</f>
        <v>0.7708333333</v>
      </c>
      <c r="W468" s="4" t="str">
        <f>IFERROR(__xludf.DUMMYFUNCTION("""COMPUTED_VALUE"""),"Recording themselves")</f>
        <v>Recording themselves</v>
      </c>
      <c r="X468" s="4" t="str">
        <f>IFERROR(__xludf.DUMMYFUNCTION("""COMPUTED_VALUE"""),"Brian")</f>
        <v>Brian</v>
      </c>
      <c r="Y468" s="4" t="str">
        <f>IFERROR(__xludf.DUMMYFUNCTION("""COMPUTED_VALUE"""),"")</f>
        <v/>
      </c>
    </row>
    <row r="469">
      <c r="A469" s="4" t="str">
        <f>IFERROR(__xludf.DUMMYFUNCTION("""COMPUTED_VALUE"""),"399 - Channel")</f>
        <v>399 - Channel</v>
      </c>
      <c r="B469" s="4" t="str">
        <f>IFERROR(__xludf.DUMMYFUNCTION("""COMPUTED_VALUE"""),"Channel 2")</f>
        <v>Channel 2</v>
      </c>
      <c r="C469" s="4" t="str">
        <f>IFERROR(__xludf.DUMMYFUNCTION("""COMPUTED_VALUE"""),"Day 1 - 23/06")</f>
        <v>Day 1 - 23/06</v>
      </c>
      <c r="D469" s="6">
        <f>IFERROR(__xludf.DUMMYFUNCTION("""COMPUTED_VALUE"""),0.6489351851851866)</f>
        <v>0.6489351852</v>
      </c>
      <c r="E469" s="6">
        <f>IFERROR(__xludf.DUMMYFUNCTION("""COMPUTED_VALUE"""),3.4722222222222224E-4)</f>
        <v>0.0003472222222</v>
      </c>
      <c r="F469" s="6">
        <f>IFERROR(__xludf.DUMMYFUNCTION("""COMPUTED_VALUE"""),0.6492824074074088)</f>
        <v>0.6492824074</v>
      </c>
      <c r="G469" s="4" t="str">
        <f>IFERROR(__xludf.DUMMYFUNCTION("""COMPUTED_VALUE"""),"Graphics")</f>
        <v>Graphics</v>
      </c>
      <c r="H469" s="4" t="str">
        <f>IFERROR(__xludf.DUMMYFUNCTION("""COMPUTED_VALUE"""),"")</f>
        <v/>
      </c>
      <c r="I469" s="4" t="str">
        <f>IFERROR(__xludf.DUMMYFUNCTION("""COMPUTED_VALUE"""),"")</f>
        <v/>
      </c>
      <c r="J469" s="4" t="str">
        <f>IFERROR(__xludf.DUMMYFUNCTION("""COMPUTED_VALUE"""),"AI")</f>
        <v>AI</v>
      </c>
      <c r="K469" s="4" t="str">
        <f>IFERROR(__xludf.DUMMYFUNCTION("""COMPUTED_VALUE"""),"Talk Intro")</f>
        <v>Talk Intro</v>
      </c>
      <c r="L469" s="4" t="str">
        <f>IFERROR(__xludf.DUMMYFUNCTION("""COMPUTED_VALUE"""),"")</f>
        <v/>
      </c>
      <c r="M469" s="4" t="str">
        <f>IFERROR(__xludf.DUMMYFUNCTION("""COMPUTED_VALUE"""),"Talk Intro")</f>
        <v>Talk Intro</v>
      </c>
      <c r="N469" s="4" t="str">
        <f>IFERROR(__xludf.DUMMYFUNCTION("""COMPUTED_VALUE"""),"")</f>
        <v/>
      </c>
      <c r="O469" s="4" t="str">
        <f>IFERROR(__xludf.DUMMYFUNCTION("""COMPUTED_VALUE"""),"")</f>
        <v/>
      </c>
      <c r="P469" s="4" t="str">
        <f>IFERROR(__xludf.DUMMYFUNCTION("""COMPUTED_VALUE"""),"")</f>
        <v/>
      </c>
      <c r="Q469" s="4" t="str">
        <f>IFERROR(__xludf.DUMMYFUNCTION("""COMPUTED_VALUE"""),"")</f>
        <v/>
      </c>
      <c r="R469" s="4" t="str">
        <f>IFERROR(__xludf.DUMMYFUNCTION("""COMPUTED_VALUE"""),"")</f>
        <v/>
      </c>
      <c r="S469" s="4" t="str">
        <f>IFERROR(__xludf.DUMMYFUNCTION("""COMPUTED_VALUE"""),"")</f>
        <v/>
      </c>
      <c r="T469" s="4" t="str">
        <f>IFERROR(__xludf.DUMMYFUNCTION("""COMPUTED_VALUE"""),"")</f>
        <v/>
      </c>
      <c r="U469" s="4" t="str">
        <f>IFERROR(__xludf.DUMMYFUNCTION("""COMPUTED_VALUE"""),"")</f>
        <v/>
      </c>
      <c r="V469" s="4" t="str">
        <f>IFERROR(__xludf.DUMMYFUNCTION("""COMPUTED_VALUE"""),"")</f>
        <v/>
      </c>
      <c r="W469" s="4" t="str">
        <f>IFERROR(__xludf.DUMMYFUNCTION("""COMPUTED_VALUE"""),"")</f>
        <v/>
      </c>
      <c r="X469" s="4" t="str">
        <f>IFERROR(__xludf.DUMMYFUNCTION("""COMPUTED_VALUE"""),"")</f>
        <v/>
      </c>
      <c r="Y469" s="4" t="str">
        <f>IFERROR(__xludf.DUMMYFUNCTION("""COMPUTED_VALUE"""),"")</f>
        <v/>
      </c>
    </row>
    <row r="470">
      <c r="A470" s="4" t="str">
        <f>IFERROR(__xludf.DUMMYFUNCTION("""COMPUTED_VALUE"""),"400 - Channel")</f>
        <v>400 - Channel</v>
      </c>
      <c r="B470" s="4" t="str">
        <f>IFERROR(__xludf.DUMMYFUNCTION("""COMPUTED_VALUE"""),"Channel 2")</f>
        <v>Channel 2</v>
      </c>
      <c r="C470" s="4" t="str">
        <f>IFERROR(__xludf.DUMMYFUNCTION("""COMPUTED_VALUE"""),"Day 1 - 23/06")</f>
        <v>Day 1 - 23/06</v>
      </c>
      <c r="D470" s="6">
        <f>IFERROR(__xludf.DUMMYFUNCTION("""COMPUTED_VALUE"""),0.6492824074074088)</f>
        <v>0.6492824074</v>
      </c>
      <c r="E470" s="6">
        <f>IFERROR(__xludf.DUMMYFUNCTION("""COMPUTED_VALUE"""),0.008356481481481482)</f>
        <v>0.008356481481</v>
      </c>
      <c r="F470" s="6">
        <f>IFERROR(__xludf.DUMMYFUNCTION("""COMPUTED_VALUE"""),0.6576388888888903)</f>
        <v>0.6576388889</v>
      </c>
      <c r="G470" s="4" t="str">
        <f>IFERROR(__xludf.DUMMYFUNCTION("""COMPUTED_VALUE"""),"Carol")</f>
        <v>Carol</v>
      </c>
      <c r="H470" s="4" t="str">
        <f>IFERROR(__xludf.DUMMYFUNCTION("""COMPUTED_VALUE"""),"N/A")</f>
        <v>N/A</v>
      </c>
      <c r="I470" s="4" t="str">
        <f>IFERROR(__xludf.DUMMYFUNCTION("""COMPUTED_VALUE"""),"Jack")</f>
        <v>Jack</v>
      </c>
      <c r="J470" s="4" t="str">
        <f>IFERROR(__xludf.DUMMYFUNCTION("""COMPUTED_VALUE"""),"AI")</f>
        <v>AI</v>
      </c>
      <c r="K470" s="4" t="str">
        <f>IFERROR(__xludf.DUMMYFUNCTION("""COMPUTED_VALUE"""),"Keynote")</f>
        <v>Keynote</v>
      </c>
      <c r="L470" s="4" t="str">
        <f>IFERROR(__xludf.DUMMYFUNCTION("""COMPUTED_VALUE"""),"T- 9 - 20/04/2020")</f>
        <v>T- 9 - 20/04/2020</v>
      </c>
      <c r="M470" s="4" t="str">
        <f>IFERROR(__xludf.DUMMYFUNCTION("""COMPUTED_VALUE"""),"Building human connection with emotion AI")</f>
        <v>Building human connection with emotion AI</v>
      </c>
      <c r="N470" s="4" t="str">
        <f>IFERROR(__xludf.DUMMYFUNCTION("""COMPUTED_VALUE"""),"Rana el Kaliouby, Affectiva")</f>
        <v>Rana el Kaliouby, Affectiva</v>
      </c>
      <c r="O470" s="4" t="str">
        <f>IFERROR(__xludf.DUMMYFUNCTION("""COMPUTED_VALUE"""),"")</f>
        <v/>
      </c>
      <c r="P470" s="4" t="str">
        <f>IFERROR(__xludf.DUMMYFUNCTION("""COMPUTED_VALUE"""),"")</f>
        <v/>
      </c>
      <c r="Q470" s="4" t="str">
        <f>IFERROR(__xludf.DUMMYFUNCTION("""COMPUTED_VALUE"""),"")</f>
        <v/>
      </c>
      <c r="R470" s="4" t="str">
        <f>IFERROR(__xludf.DUMMYFUNCTION("""COMPUTED_VALUE"""),"")</f>
        <v/>
      </c>
      <c r="S470" s="4" t="str">
        <f>IFERROR(__xludf.DUMMYFUNCTION("""COMPUTED_VALUE"""),"Does AI know how I feel? Can we put emotional intelligence into AI? Can it develop emotions on its own? Egyptian American computer scientist Rana el Kaliouby decodes how she humanizes tech.")</f>
        <v>Does AI know how I feel? Can we put emotional intelligence into AI? Can it develop emotions on its own? Egyptian American computer scientist Rana el Kaliouby decodes how she humanizes tech.</v>
      </c>
      <c r="T470" s="4" t="str">
        <f>IFERROR(__xludf.DUMMYFUNCTION("""COMPUTED_VALUE"""),"KEYNOTE 8 - COMPLETE")</f>
        <v>KEYNOTE 8 - COMPLETE</v>
      </c>
      <c r="U470" s="23">
        <f>IFERROR(__xludf.DUMMYFUNCTION("""COMPUTED_VALUE"""),43945.0)</f>
        <v>43945</v>
      </c>
      <c r="V470" s="4" t="str">
        <f>IFERROR(__xludf.DUMMYFUNCTION("""COMPUTED_VALUE"""),"")</f>
        <v/>
      </c>
      <c r="W470" s="4" t="str">
        <f>IFERROR(__xludf.DUMMYFUNCTION("""COMPUTED_VALUE"""),"COMPLETE")</f>
        <v>COMPLETE</v>
      </c>
      <c r="X470" s="4" t="str">
        <f>IFERROR(__xludf.DUMMYFUNCTION("""COMPUTED_VALUE"""),"Carol")</f>
        <v>Carol</v>
      </c>
      <c r="Y470" s="4" t="str">
        <f>IFERROR(__xludf.DUMMYFUNCTION("""COMPUTED_VALUE"""),"4635498458059307538")</f>
        <v>4635498458059307538</v>
      </c>
    </row>
    <row r="471">
      <c r="A471" s="4" t="str">
        <f>IFERROR(__xludf.DUMMYFUNCTION("""COMPUTED_VALUE"""),"401 - Channel")</f>
        <v>401 - Channel</v>
      </c>
      <c r="B471" s="4" t="str">
        <f>IFERROR(__xludf.DUMMYFUNCTION("""COMPUTED_VALUE"""),"Channel 2")</f>
        <v>Channel 2</v>
      </c>
      <c r="C471" s="4" t="str">
        <f>IFERROR(__xludf.DUMMYFUNCTION("""COMPUTED_VALUE"""),"Day 1 - 23/06")</f>
        <v>Day 1 - 23/06</v>
      </c>
      <c r="D471" s="6">
        <f>IFERROR(__xludf.DUMMYFUNCTION("""COMPUTED_VALUE"""),0.6576388888888903)</f>
        <v>0.6576388889</v>
      </c>
      <c r="E471" s="6">
        <f>IFERROR(__xludf.DUMMYFUNCTION("""COMPUTED_VALUE"""),1.7361111111111112E-4)</f>
        <v>0.0001736111111</v>
      </c>
      <c r="F471" s="6">
        <f>IFERROR(__xludf.DUMMYFUNCTION("""COMPUTED_VALUE"""),0.6578125000000015)</f>
        <v>0.6578125</v>
      </c>
      <c r="G471" s="4" t="str">
        <f>IFERROR(__xludf.DUMMYFUNCTION("""COMPUTED_VALUE"""),"Graphics")</f>
        <v>Graphics</v>
      </c>
      <c r="H471" s="4" t="str">
        <f>IFERROR(__xludf.DUMMYFUNCTION("""COMPUTED_VALUE"""),"")</f>
        <v/>
      </c>
      <c r="I471" s="4" t="str">
        <f>IFERROR(__xludf.DUMMYFUNCTION("""COMPUTED_VALUE"""),"")</f>
        <v/>
      </c>
      <c r="J471" s="4" t="str">
        <f>IFERROR(__xludf.DUMMYFUNCTION("""COMPUTED_VALUE"""),"AI")</f>
        <v>AI</v>
      </c>
      <c r="K471" s="4" t="str">
        <f>IFERROR(__xludf.DUMMYFUNCTION("""COMPUTED_VALUE"""),"Talk Outro")</f>
        <v>Talk Outro</v>
      </c>
      <c r="L471" s="4" t="str">
        <f>IFERROR(__xludf.DUMMYFUNCTION("""COMPUTED_VALUE"""),"")</f>
        <v/>
      </c>
      <c r="M471" s="4" t="str">
        <f>IFERROR(__xludf.DUMMYFUNCTION("""COMPUTED_VALUE"""),"Talk Outro - Q&amp;A MENTION")</f>
        <v>Talk Outro - Q&amp;A MENTION</v>
      </c>
      <c r="N471" s="4" t="str">
        <f>IFERROR(__xludf.DUMMYFUNCTION("""COMPUTED_VALUE"""),"")</f>
        <v/>
      </c>
      <c r="O471" s="4" t="str">
        <f>IFERROR(__xludf.DUMMYFUNCTION("""COMPUTED_VALUE"""),"")</f>
        <v/>
      </c>
      <c r="P471" s="4" t="str">
        <f>IFERROR(__xludf.DUMMYFUNCTION("""COMPUTED_VALUE"""),"")</f>
        <v/>
      </c>
      <c r="Q471" s="4" t="str">
        <f>IFERROR(__xludf.DUMMYFUNCTION("""COMPUTED_VALUE"""),"")</f>
        <v/>
      </c>
      <c r="R471" s="4" t="str">
        <f>IFERROR(__xludf.DUMMYFUNCTION("""COMPUTED_VALUE"""),"")</f>
        <v/>
      </c>
      <c r="S471" s="4" t="str">
        <f>IFERROR(__xludf.DUMMYFUNCTION("""COMPUTED_VALUE"""),"")</f>
        <v/>
      </c>
      <c r="T471" s="4" t="str">
        <f>IFERROR(__xludf.DUMMYFUNCTION("""COMPUTED_VALUE"""),"")</f>
        <v/>
      </c>
      <c r="U471" s="4" t="str">
        <f>IFERROR(__xludf.DUMMYFUNCTION("""COMPUTED_VALUE"""),"")</f>
        <v/>
      </c>
      <c r="V471" s="4" t="str">
        <f>IFERROR(__xludf.DUMMYFUNCTION("""COMPUTED_VALUE"""),"")</f>
        <v/>
      </c>
      <c r="W471" s="4" t="str">
        <f>IFERROR(__xludf.DUMMYFUNCTION("""COMPUTED_VALUE"""),"")</f>
        <v/>
      </c>
      <c r="X471" s="4" t="str">
        <f>IFERROR(__xludf.DUMMYFUNCTION("""COMPUTED_VALUE"""),"")</f>
        <v/>
      </c>
      <c r="Y471" s="4" t="str">
        <f>IFERROR(__xludf.DUMMYFUNCTION("""COMPUTED_VALUE"""),"")</f>
        <v/>
      </c>
    </row>
    <row r="472">
      <c r="A472" s="4" t="str">
        <f>IFERROR(__xludf.DUMMYFUNCTION("""COMPUTED_VALUE"""),"492 - Channel")</f>
        <v>492 - Channel</v>
      </c>
      <c r="B472" s="4" t="str">
        <f>IFERROR(__xludf.DUMMYFUNCTION("""COMPUTED_VALUE"""),"Channel 2")</f>
        <v>Channel 2</v>
      </c>
      <c r="C472" s="4" t="str">
        <f>IFERROR(__xludf.DUMMYFUNCTION("""COMPUTED_VALUE"""),"Day 1 - 23/06")</f>
        <v>Day 1 - 23/06</v>
      </c>
      <c r="D472" s="6">
        <f>IFERROR(__xludf.DUMMYFUNCTION("""COMPUTED_VALUE"""),0.6578125000000015)</f>
        <v>0.6578125</v>
      </c>
      <c r="E472" s="6">
        <f>IFERROR(__xludf.DUMMYFUNCTION("""COMPUTED_VALUE"""),1.7361111111111112E-4)</f>
        <v>0.0001736111111</v>
      </c>
      <c r="F472" s="6">
        <f>IFERROR(__xludf.DUMMYFUNCTION("""COMPUTED_VALUE"""),0.6579861111111126)</f>
        <v>0.6579861111</v>
      </c>
      <c r="G472" s="4" t="str">
        <f>IFERROR(__xludf.DUMMYFUNCTION("""COMPUTED_VALUE"""),"P&amp;E")</f>
        <v>P&amp;E</v>
      </c>
      <c r="H472" s="4" t="str">
        <f>IFERROR(__xludf.DUMMYFUNCTION("""COMPUTED_VALUE"""),"")</f>
        <v/>
      </c>
      <c r="I472" s="4" t="str">
        <f>IFERROR(__xludf.DUMMYFUNCTION("""COMPUTED_VALUE"""),"")</f>
        <v/>
      </c>
      <c r="J472" s="4" t="str">
        <f>IFERROR(__xludf.DUMMYFUNCTION("""COMPUTED_VALUE"""),"Education")</f>
        <v>Education</v>
      </c>
      <c r="K472" s="4" t="str">
        <f>IFERROR(__xludf.DUMMYFUNCTION("""COMPUTED_VALUE"""),"Partner ad")</f>
        <v>Partner ad</v>
      </c>
      <c r="L472" s="4" t="str">
        <f>IFERROR(__xludf.DUMMYFUNCTION("""COMPUTED_VALUE"""),"")</f>
        <v/>
      </c>
      <c r="M472" s="4" t="str">
        <f>IFERROR(__xludf.DUMMYFUNCTION("""COMPUTED_VALUE"""),"Partner Adroll # 5 - CITY OF LISBON")</f>
        <v>Partner Adroll # 5 - CITY OF LISBON</v>
      </c>
      <c r="N472" s="4" t="str">
        <f>IFERROR(__xludf.DUMMYFUNCTION("""COMPUTED_VALUE"""),"")</f>
        <v/>
      </c>
      <c r="O472" s="4" t="str">
        <f>IFERROR(__xludf.DUMMYFUNCTION("""COMPUTED_VALUE"""),"")</f>
        <v/>
      </c>
      <c r="P472" s="4" t="str">
        <f>IFERROR(__xludf.DUMMYFUNCTION("""COMPUTED_VALUE"""),"")</f>
        <v/>
      </c>
      <c r="Q472" s="4" t="str">
        <f>IFERROR(__xludf.DUMMYFUNCTION("""COMPUTED_VALUE"""),"")</f>
        <v/>
      </c>
      <c r="R472" s="4" t="str">
        <f>IFERROR(__xludf.DUMMYFUNCTION("""COMPUTED_VALUE"""),"")</f>
        <v/>
      </c>
      <c r="S472" s="4" t="str">
        <f>IFERROR(__xludf.DUMMYFUNCTION("""COMPUTED_VALUE"""),"")</f>
        <v/>
      </c>
      <c r="T472" s="4" t="str">
        <f>IFERROR(__xludf.DUMMYFUNCTION("""COMPUTED_VALUE"""),"")</f>
        <v/>
      </c>
      <c r="U472" s="4" t="str">
        <f>IFERROR(__xludf.DUMMYFUNCTION("""COMPUTED_VALUE"""),"")</f>
        <v/>
      </c>
      <c r="V472" s="4" t="str">
        <f>IFERROR(__xludf.DUMMYFUNCTION("""COMPUTED_VALUE"""),"")</f>
        <v/>
      </c>
      <c r="W472" s="4" t="str">
        <f>IFERROR(__xludf.DUMMYFUNCTION("""COMPUTED_VALUE"""),"")</f>
        <v/>
      </c>
      <c r="X472" s="4" t="str">
        <f>IFERROR(__xludf.DUMMYFUNCTION("""COMPUTED_VALUE"""),"")</f>
        <v/>
      </c>
      <c r="Y472" s="4" t="str">
        <f>IFERROR(__xludf.DUMMYFUNCTION("""COMPUTED_VALUE"""),"")</f>
        <v/>
      </c>
    </row>
    <row r="473">
      <c r="A473" s="4" t="str">
        <f>IFERROR(__xludf.DUMMYFUNCTION("""COMPUTED_VALUE"""),"1449 - Channel")</f>
        <v>1449 - Channel</v>
      </c>
      <c r="B473" s="4" t="str">
        <f>IFERROR(__xludf.DUMMYFUNCTION("""COMPUTED_VALUE"""),"Channel 2")</f>
        <v>Channel 2</v>
      </c>
      <c r="C473" s="4" t="str">
        <f>IFERROR(__xludf.DUMMYFUNCTION("""COMPUTED_VALUE"""),"Day 1 - 23/06")</f>
        <v>Day 1 - 23/06</v>
      </c>
      <c r="D473" s="6">
        <f>IFERROR(__xludf.DUMMYFUNCTION("""COMPUTED_VALUE"""),0.6579861111111126)</f>
        <v>0.6579861111</v>
      </c>
      <c r="E473" s="6">
        <f>IFERROR(__xludf.DUMMYFUNCTION("""COMPUTED_VALUE"""),3.4722222222222224E-4)</f>
        <v>0.0003472222222</v>
      </c>
      <c r="F473" s="6">
        <f>IFERROR(__xludf.DUMMYFUNCTION("""COMPUTED_VALUE"""),0.6583333333333349)</f>
        <v>0.6583333333</v>
      </c>
      <c r="G473" s="4" t="str">
        <f>IFERROR(__xludf.DUMMYFUNCTION("""COMPUTED_VALUE"""),"Graphics")</f>
        <v>Graphics</v>
      </c>
      <c r="H473" s="4" t="str">
        <f>IFERROR(__xludf.DUMMYFUNCTION("""COMPUTED_VALUE"""),"")</f>
        <v/>
      </c>
      <c r="I473" s="4" t="str">
        <f>IFERROR(__xludf.DUMMYFUNCTION("""COMPUTED_VALUE"""),"")</f>
        <v/>
      </c>
      <c r="J473" s="4" t="str">
        <f>IFERROR(__xludf.DUMMYFUNCTION("""COMPUTED_VALUE"""),"Education")</f>
        <v>Education</v>
      </c>
      <c r="K473" s="4" t="str">
        <f>IFERROR(__xludf.DUMMYFUNCTION("""COMPUTED_VALUE"""),"Web Summit Trailer - short")</f>
        <v>Web Summit Trailer - short</v>
      </c>
      <c r="L473" s="4" t="str">
        <f>IFERROR(__xludf.DUMMYFUNCTION("""COMPUTED_VALUE"""),"")</f>
        <v/>
      </c>
      <c r="M473" s="4" t="str">
        <f>IFERROR(__xludf.DUMMYFUNCTION("""COMPUTED_VALUE"""),"Web Summit Trailer - short - HAS TO STAY AS A WS TRAILER")</f>
        <v>Web Summit Trailer - short - HAS TO STAY AS A WS TRAILER</v>
      </c>
      <c r="N473" s="4" t="str">
        <f>IFERROR(__xludf.DUMMYFUNCTION("""COMPUTED_VALUE"""),"")</f>
        <v/>
      </c>
      <c r="O473" s="4" t="str">
        <f>IFERROR(__xludf.DUMMYFUNCTION("""COMPUTED_VALUE"""),"")</f>
        <v/>
      </c>
      <c r="P473" s="4" t="str">
        <f>IFERROR(__xludf.DUMMYFUNCTION("""COMPUTED_VALUE"""),"")</f>
        <v/>
      </c>
      <c r="Q473" s="4" t="str">
        <f>IFERROR(__xludf.DUMMYFUNCTION("""COMPUTED_VALUE"""),"")</f>
        <v/>
      </c>
      <c r="R473" s="4" t="str">
        <f>IFERROR(__xludf.DUMMYFUNCTION("""COMPUTED_VALUE"""),"")</f>
        <v/>
      </c>
      <c r="S473" s="4" t="str">
        <f>IFERROR(__xludf.DUMMYFUNCTION("""COMPUTED_VALUE"""),"")</f>
        <v/>
      </c>
      <c r="T473" s="4" t="str">
        <f>IFERROR(__xludf.DUMMYFUNCTION("""COMPUTED_VALUE"""),"")</f>
        <v/>
      </c>
      <c r="U473" s="4" t="str">
        <f>IFERROR(__xludf.DUMMYFUNCTION("""COMPUTED_VALUE"""),"")</f>
        <v/>
      </c>
      <c r="V473" s="4" t="str">
        <f>IFERROR(__xludf.DUMMYFUNCTION("""COMPUTED_VALUE"""),"")</f>
        <v/>
      </c>
      <c r="W473" s="4" t="str">
        <f>IFERROR(__xludf.DUMMYFUNCTION("""COMPUTED_VALUE"""),"")</f>
        <v/>
      </c>
      <c r="X473" s="4" t="str">
        <f>IFERROR(__xludf.DUMMYFUNCTION("""COMPUTED_VALUE"""),"")</f>
        <v/>
      </c>
      <c r="Y473" s="4" t="str">
        <f>IFERROR(__xludf.DUMMYFUNCTION("""COMPUTED_VALUE"""),"")</f>
        <v/>
      </c>
    </row>
    <row r="474">
      <c r="A474" s="4" t="str">
        <f>IFERROR(__xludf.DUMMYFUNCTION("""COMPUTED_VALUE"""),"496 - Channel")</f>
        <v>496 - Channel</v>
      </c>
      <c r="B474" s="4" t="str">
        <f>IFERROR(__xludf.DUMMYFUNCTION("""COMPUTED_VALUE"""),"Channel 2")</f>
        <v>Channel 2</v>
      </c>
      <c r="C474" s="4" t="str">
        <f>IFERROR(__xludf.DUMMYFUNCTION("""COMPUTED_VALUE"""),"Day 1 - 23/06")</f>
        <v>Day 1 - 23/06</v>
      </c>
      <c r="D474" s="6">
        <f>IFERROR(__xludf.DUMMYFUNCTION("""COMPUTED_VALUE"""),0.6583333333333349)</f>
        <v>0.6583333333</v>
      </c>
      <c r="E474" s="6">
        <f>IFERROR(__xludf.DUMMYFUNCTION("""COMPUTED_VALUE"""),3.4722222222222224E-4)</f>
        <v>0.0003472222222</v>
      </c>
      <c r="F474" s="6">
        <f>IFERROR(__xludf.DUMMYFUNCTION("""COMPUTED_VALUE"""),0.6586805555555572)</f>
        <v>0.6586805556</v>
      </c>
      <c r="G474" s="4" t="str">
        <f>IFERROR(__xludf.DUMMYFUNCTION("""COMPUTED_VALUE"""),"Graphics")</f>
        <v>Graphics</v>
      </c>
      <c r="H474" s="4" t="str">
        <f>IFERROR(__xludf.DUMMYFUNCTION("""COMPUTED_VALUE"""),"")</f>
        <v/>
      </c>
      <c r="I474" s="4" t="str">
        <f>IFERROR(__xludf.DUMMYFUNCTION("""COMPUTED_VALUE"""),"")</f>
        <v/>
      </c>
      <c r="J474" s="4" t="str">
        <f>IFERROR(__xludf.DUMMYFUNCTION("""COMPUTED_VALUE"""),"Education")</f>
        <v>Education</v>
      </c>
      <c r="K474" s="4" t="str">
        <f>IFERROR(__xludf.DUMMYFUNCTION("""COMPUTED_VALUE"""),"Talk Intro")</f>
        <v>Talk Intro</v>
      </c>
      <c r="L474" s="4" t="str">
        <f>IFERROR(__xludf.DUMMYFUNCTION("""COMPUTED_VALUE"""),"")</f>
        <v/>
      </c>
      <c r="M474" s="4" t="str">
        <f>IFERROR(__xludf.DUMMYFUNCTION("""COMPUTED_VALUE"""),"Talk Intro")</f>
        <v>Talk Intro</v>
      </c>
      <c r="N474" s="4" t="str">
        <f>IFERROR(__xludf.DUMMYFUNCTION("""COMPUTED_VALUE"""),"")</f>
        <v/>
      </c>
      <c r="O474" s="4" t="str">
        <f>IFERROR(__xludf.DUMMYFUNCTION("""COMPUTED_VALUE"""),"")</f>
        <v/>
      </c>
      <c r="P474" s="4" t="str">
        <f>IFERROR(__xludf.DUMMYFUNCTION("""COMPUTED_VALUE"""),"")</f>
        <v/>
      </c>
      <c r="Q474" s="4" t="str">
        <f>IFERROR(__xludf.DUMMYFUNCTION("""COMPUTED_VALUE"""),"")</f>
        <v/>
      </c>
      <c r="R474" s="4" t="str">
        <f>IFERROR(__xludf.DUMMYFUNCTION("""COMPUTED_VALUE"""),"")</f>
        <v/>
      </c>
      <c r="S474" s="4" t="str">
        <f>IFERROR(__xludf.DUMMYFUNCTION("""COMPUTED_VALUE"""),"")</f>
        <v/>
      </c>
      <c r="T474" s="4" t="str">
        <f>IFERROR(__xludf.DUMMYFUNCTION("""COMPUTED_VALUE"""),"")</f>
        <v/>
      </c>
      <c r="U474" s="4" t="str">
        <f>IFERROR(__xludf.DUMMYFUNCTION("""COMPUTED_VALUE"""),"")</f>
        <v/>
      </c>
      <c r="V474" s="4" t="str">
        <f>IFERROR(__xludf.DUMMYFUNCTION("""COMPUTED_VALUE"""),"")</f>
        <v/>
      </c>
      <c r="W474" s="4" t="str">
        <f>IFERROR(__xludf.DUMMYFUNCTION("""COMPUTED_VALUE"""),"")</f>
        <v/>
      </c>
      <c r="X474" s="4" t="str">
        <f>IFERROR(__xludf.DUMMYFUNCTION("""COMPUTED_VALUE"""),"")</f>
        <v/>
      </c>
      <c r="Y474" s="4" t="str">
        <f>IFERROR(__xludf.DUMMYFUNCTION("""COMPUTED_VALUE"""),"")</f>
        <v/>
      </c>
    </row>
    <row r="475">
      <c r="A475" s="4" t="str">
        <f>IFERROR(__xludf.DUMMYFUNCTION("""COMPUTED_VALUE"""),"497 - Channel")</f>
        <v>497 - Channel</v>
      </c>
      <c r="B475" s="4" t="str">
        <f>IFERROR(__xludf.DUMMYFUNCTION("""COMPUTED_VALUE"""),"Channel 2")</f>
        <v>Channel 2</v>
      </c>
      <c r="C475" s="4" t="str">
        <f>IFERROR(__xludf.DUMMYFUNCTION("""COMPUTED_VALUE"""),"Day 1 - 23/06")</f>
        <v>Day 1 - 23/06</v>
      </c>
      <c r="D475" s="6">
        <f>IFERROR(__xludf.DUMMYFUNCTION("""COMPUTED_VALUE"""),0.6586805555555572)</f>
        <v>0.6586805556</v>
      </c>
      <c r="E475" s="6">
        <f>IFERROR(__xludf.DUMMYFUNCTION("""COMPUTED_VALUE"""),0.005555555555555556)</f>
        <v>0.005555555556</v>
      </c>
      <c r="F475" s="6">
        <f>IFERROR(__xludf.DUMMYFUNCTION("""COMPUTED_VALUE"""),0.6642361111111127)</f>
        <v>0.6642361111</v>
      </c>
      <c r="G475" s="4" t="str">
        <f>IFERROR(__xludf.DUMMYFUNCTION("""COMPUTED_VALUE"""),"Lucia G.")</f>
        <v>Lucia G.</v>
      </c>
      <c r="H475" s="4" t="str">
        <f>IFERROR(__xludf.DUMMYFUNCTION("""COMPUTED_VALUE"""),"N/A")</f>
        <v>N/A</v>
      </c>
      <c r="I475" s="4" t="str">
        <f>IFERROR(__xludf.DUMMYFUNCTION("""COMPUTED_VALUE"""),"Jack")</f>
        <v>Jack</v>
      </c>
      <c r="J475" s="4" t="str">
        <f>IFERROR(__xludf.DUMMYFUNCTION("""COMPUTED_VALUE"""),"Education")</f>
        <v>Education</v>
      </c>
      <c r="K475" s="4" t="str">
        <f>IFERROR(__xludf.DUMMYFUNCTION("""COMPUTED_VALUE"""),"Keynote")</f>
        <v>Keynote</v>
      </c>
      <c r="L475" s="4" t="str">
        <f>IFERROR(__xludf.DUMMYFUNCTION("""COMPUTED_VALUE"""),"T- 6 - 11/05/2020")</f>
        <v>T- 6 - 11/05/2020</v>
      </c>
      <c r="M475" s="4" t="str">
        <f>IFERROR(__xludf.DUMMYFUNCTION("""COMPUTED_VALUE"""),"Educating designers for pandemic response")</f>
        <v>Educating designers for pandemic response</v>
      </c>
      <c r="N475" s="4" t="str">
        <f>IFERROR(__xludf.DUMMYFUNCTION("""COMPUTED_VALUE"""),"Rachel Schreiber, Parsons School of Design")</f>
        <v>Rachel Schreiber, Parsons School of Design</v>
      </c>
      <c r="O475" s="4" t="str">
        <f>IFERROR(__xludf.DUMMYFUNCTION("""COMPUTED_VALUE"""),"")</f>
        <v/>
      </c>
      <c r="P475" s="4" t="str">
        <f>IFERROR(__xludf.DUMMYFUNCTION("""COMPUTED_VALUE"""),"")</f>
        <v/>
      </c>
      <c r="Q475" s="4" t="str">
        <f>IFERROR(__xludf.DUMMYFUNCTION("""COMPUTED_VALUE"""),"")</f>
        <v/>
      </c>
      <c r="R475" s="4" t="str">
        <f>IFERROR(__xludf.DUMMYFUNCTION("""COMPUTED_VALUE"""),"")</f>
        <v/>
      </c>
      <c r="S475" s="4" t="str">
        <f>IFERROR(__xludf.DUMMYFUNCTION("""COMPUTED_VALUE"""),"The dean of the world's most famous design school will discuss the myriad ways in which designers need to play a role in developing solutions to the current global crisis, and how Parsons School of Design is preparing students to design an equitable, sust"&amp;"ainable and healthy post Covid-19 society.")</f>
        <v>The dean of the world's most famous design school will discuss the myriad ways in which designers need to play a role in developing solutions to the current global crisis, and how Parsons School of Design is preparing students to design an equitable, sustainable and healthy post Covid-19 society.</v>
      </c>
      <c r="T475" s="4" t="str">
        <f>IFERROR(__xludf.DUMMYFUNCTION("""COMPUTED_VALUE"""),"KEYNOTE 8 - COMPLETE")</f>
        <v>KEYNOTE 8 - COMPLETE</v>
      </c>
      <c r="U475" s="23">
        <f>IFERROR(__xludf.DUMMYFUNCTION("""COMPUTED_VALUE"""),43963.0)</f>
        <v>43963</v>
      </c>
      <c r="V475" s="24">
        <f>IFERROR(__xludf.DUMMYFUNCTION("""COMPUTED_VALUE"""),0.7083333333333334)</f>
        <v>0.7083333333</v>
      </c>
      <c r="W475" s="4" t="str">
        <f>IFERROR(__xludf.DUMMYFUNCTION("""COMPUTED_VALUE"""),"COMPLETE")</f>
        <v>COMPLETE</v>
      </c>
      <c r="X475" s="4" t="str">
        <f>IFERROR(__xludf.DUMMYFUNCTION("""COMPUTED_VALUE"""),"Lucia G.")</f>
        <v>Lucia G.</v>
      </c>
      <c r="Y475" s="4" t="str">
        <f>IFERROR(__xludf.DUMMYFUNCTION("""COMPUTED_VALUE"""),"4651030431339400237")</f>
        <v>4651030431339400237</v>
      </c>
    </row>
    <row r="476">
      <c r="A476" s="4" t="str">
        <f>IFERROR(__xludf.DUMMYFUNCTION("""COMPUTED_VALUE"""),"499 - Channel")</f>
        <v>499 - Channel</v>
      </c>
      <c r="B476" s="4" t="str">
        <f>IFERROR(__xludf.DUMMYFUNCTION("""COMPUTED_VALUE"""),"Channel 2")</f>
        <v>Channel 2</v>
      </c>
      <c r="C476" s="4" t="str">
        <f>IFERROR(__xludf.DUMMYFUNCTION("""COMPUTED_VALUE"""),"Day 1 - 23/06")</f>
        <v>Day 1 - 23/06</v>
      </c>
      <c r="D476" s="4" t="str">
        <f>IFERROR(__xludf.DUMMYFUNCTION("""COMPUTED_VALUE"""),"")</f>
        <v/>
      </c>
      <c r="E476" s="4" t="str">
        <f>IFERROR(__xludf.DUMMYFUNCTION("""COMPUTED_VALUE"""),"")</f>
        <v/>
      </c>
      <c r="F476" s="4" t="str">
        <f>IFERROR(__xludf.DUMMYFUNCTION("""COMPUTED_VALUE"""),"")</f>
        <v/>
      </c>
      <c r="G476" s="4" t="str">
        <f>IFERROR(__xludf.DUMMYFUNCTION("""COMPUTED_VALUE"""),"")</f>
        <v/>
      </c>
      <c r="H476" s="4" t="str">
        <f>IFERROR(__xludf.DUMMYFUNCTION("""COMPUTED_VALUE"""),"")</f>
        <v/>
      </c>
      <c r="I476" s="4" t="str">
        <f>IFERROR(__xludf.DUMMYFUNCTION("""COMPUTED_VALUE"""),"")</f>
        <v/>
      </c>
      <c r="J476" s="4" t="str">
        <f>IFERROR(__xludf.DUMMYFUNCTION("""COMPUTED_VALUE"""),"")</f>
        <v/>
      </c>
      <c r="K476" s="4" t="str">
        <f>IFERROR(__xludf.DUMMYFUNCTION("""COMPUTED_VALUE"""),"")</f>
        <v/>
      </c>
      <c r="L476" s="4" t="str">
        <f>IFERROR(__xludf.DUMMYFUNCTION("""COMPUTED_VALUE"""),"")</f>
        <v/>
      </c>
      <c r="M476" s="4" t="str">
        <f>IFERROR(__xludf.DUMMYFUNCTION("""COMPUTED_VALUE"""),"")</f>
        <v/>
      </c>
      <c r="N476" s="4" t="str">
        <f>IFERROR(__xludf.DUMMYFUNCTION("""COMPUTED_VALUE"""),"")</f>
        <v/>
      </c>
      <c r="O476" s="4" t="str">
        <f>IFERROR(__xludf.DUMMYFUNCTION("""COMPUTED_VALUE"""),"")</f>
        <v/>
      </c>
      <c r="P476" s="4" t="str">
        <f>IFERROR(__xludf.DUMMYFUNCTION("""COMPUTED_VALUE"""),"")</f>
        <v/>
      </c>
      <c r="Q476" s="4" t="str">
        <f>IFERROR(__xludf.DUMMYFUNCTION("""COMPUTED_VALUE"""),"")</f>
        <v/>
      </c>
      <c r="R476" s="4" t="str">
        <f>IFERROR(__xludf.DUMMYFUNCTION("""COMPUTED_VALUE"""),"")</f>
        <v/>
      </c>
      <c r="S476" s="4" t="str">
        <f>IFERROR(__xludf.DUMMYFUNCTION("""COMPUTED_VALUE"""),"")</f>
        <v/>
      </c>
      <c r="T476" s="4" t="str">
        <f>IFERROR(__xludf.DUMMYFUNCTION("""COMPUTED_VALUE"""),"")</f>
        <v/>
      </c>
      <c r="U476" s="4" t="str">
        <f>IFERROR(__xludf.DUMMYFUNCTION("""COMPUTED_VALUE"""),"")</f>
        <v/>
      </c>
      <c r="V476" s="4" t="str">
        <f>IFERROR(__xludf.DUMMYFUNCTION("""COMPUTED_VALUE"""),"")</f>
        <v/>
      </c>
      <c r="W476" s="4" t="str">
        <f>IFERROR(__xludf.DUMMYFUNCTION("""COMPUTED_VALUE"""),"")</f>
        <v/>
      </c>
      <c r="X476" s="4" t="str">
        <f>IFERROR(__xludf.DUMMYFUNCTION("""COMPUTED_VALUE"""),"")</f>
        <v/>
      </c>
      <c r="Y476" s="4" t="str">
        <f>IFERROR(__xludf.DUMMYFUNCTION("""COMPUTED_VALUE"""),"")</f>
        <v/>
      </c>
    </row>
    <row r="477">
      <c r="A477" s="4" t="str">
        <f>IFERROR(__xludf.DUMMYFUNCTION("""COMPUTED_VALUE"""),"501 - Channel")</f>
        <v>501 - Channel</v>
      </c>
      <c r="B477" s="4" t="str">
        <f>IFERROR(__xludf.DUMMYFUNCTION("""COMPUTED_VALUE"""),"Channel 2")</f>
        <v>Channel 2</v>
      </c>
      <c r="C477" s="4" t="str">
        <f>IFERROR(__xludf.DUMMYFUNCTION("""COMPUTED_VALUE"""),"Day 1 - 23/06")</f>
        <v>Day 1 - 23/06</v>
      </c>
      <c r="D477" s="6">
        <f>IFERROR(__xludf.DUMMYFUNCTION("""COMPUTED_VALUE"""),0.6642361111111127)</f>
        <v>0.6642361111</v>
      </c>
      <c r="E477" s="6">
        <f>IFERROR(__xludf.DUMMYFUNCTION("""COMPUTED_VALUE"""),3.4722222222222224E-4)</f>
        <v>0.0003472222222</v>
      </c>
      <c r="F477" s="6">
        <f>IFERROR(__xludf.DUMMYFUNCTION("""COMPUTED_VALUE"""),0.664583333333335)</f>
        <v>0.6645833333</v>
      </c>
      <c r="G477" s="4" t="str">
        <f>IFERROR(__xludf.DUMMYFUNCTION("""COMPUTED_VALUE"""),"Graphics")</f>
        <v>Graphics</v>
      </c>
      <c r="H477" s="4" t="str">
        <f>IFERROR(__xludf.DUMMYFUNCTION("""COMPUTED_VALUE"""),"")</f>
        <v/>
      </c>
      <c r="I477" s="4" t="str">
        <f>IFERROR(__xludf.DUMMYFUNCTION("""COMPUTED_VALUE"""),"")</f>
        <v/>
      </c>
      <c r="J477" s="4" t="str">
        <f>IFERROR(__xludf.DUMMYFUNCTION("""COMPUTED_VALUE"""),"Health")</f>
        <v>Health</v>
      </c>
      <c r="K477" s="4" t="str">
        <f>IFERROR(__xludf.DUMMYFUNCTION("""COMPUTED_VALUE"""),"Talk Intro")</f>
        <v>Talk Intro</v>
      </c>
      <c r="L477" s="4" t="str">
        <f>IFERROR(__xludf.DUMMYFUNCTION("""COMPUTED_VALUE"""),"")</f>
        <v/>
      </c>
      <c r="M477" s="4" t="str">
        <f>IFERROR(__xludf.DUMMYFUNCTION("""COMPUTED_VALUE"""),"Talk Intro")</f>
        <v>Talk Intro</v>
      </c>
      <c r="N477" s="4" t="str">
        <f>IFERROR(__xludf.DUMMYFUNCTION("""COMPUTED_VALUE"""),"")</f>
        <v/>
      </c>
      <c r="O477" s="4" t="str">
        <f>IFERROR(__xludf.DUMMYFUNCTION("""COMPUTED_VALUE"""),"")</f>
        <v/>
      </c>
      <c r="P477" s="4" t="str">
        <f>IFERROR(__xludf.DUMMYFUNCTION("""COMPUTED_VALUE"""),"")</f>
        <v/>
      </c>
      <c r="Q477" s="4" t="str">
        <f>IFERROR(__xludf.DUMMYFUNCTION("""COMPUTED_VALUE"""),"")</f>
        <v/>
      </c>
      <c r="R477" s="4" t="str">
        <f>IFERROR(__xludf.DUMMYFUNCTION("""COMPUTED_VALUE"""),"")</f>
        <v/>
      </c>
      <c r="S477" s="4" t="str">
        <f>IFERROR(__xludf.DUMMYFUNCTION("""COMPUTED_VALUE"""),"")</f>
        <v/>
      </c>
      <c r="T477" s="4" t="str">
        <f>IFERROR(__xludf.DUMMYFUNCTION("""COMPUTED_VALUE"""),"")</f>
        <v/>
      </c>
      <c r="U477" s="4" t="str">
        <f>IFERROR(__xludf.DUMMYFUNCTION("""COMPUTED_VALUE"""),"")</f>
        <v/>
      </c>
      <c r="V477" s="4" t="str">
        <f>IFERROR(__xludf.DUMMYFUNCTION("""COMPUTED_VALUE"""),"")</f>
        <v/>
      </c>
      <c r="W477" s="4" t="str">
        <f>IFERROR(__xludf.DUMMYFUNCTION("""COMPUTED_VALUE"""),"")</f>
        <v/>
      </c>
      <c r="X477" s="4" t="str">
        <f>IFERROR(__xludf.DUMMYFUNCTION("""COMPUTED_VALUE"""),"")</f>
        <v/>
      </c>
      <c r="Y477" s="4" t="str">
        <f>IFERROR(__xludf.DUMMYFUNCTION("""COMPUTED_VALUE"""),"")</f>
        <v/>
      </c>
    </row>
    <row r="478">
      <c r="A478" s="4" t="str">
        <f>IFERROR(__xludf.DUMMYFUNCTION("""COMPUTED_VALUE"""),"502 - Channel")</f>
        <v>502 - Channel</v>
      </c>
      <c r="B478" s="4" t="str">
        <f>IFERROR(__xludf.DUMMYFUNCTION("""COMPUTED_VALUE"""),"Channel 2")</f>
        <v>Channel 2</v>
      </c>
      <c r="C478" s="4" t="str">
        <f>IFERROR(__xludf.DUMMYFUNCTION("""COMPUTED_VALUE"""),"Day 1 - 23/06")</f>
        <v>Day 1 - 23/06</v>
      </c>
      <c r="D478" s="6">
        <f>IFERROR(__xludf.DUMMYFUNCTION("""COMPUTED_VALUE"""),0.664583333333335)</f>
        <v>0.6645833333</v>
      </c>
      <c r="E478" s="6">
        <f>IFERROR(__xludf.DUMMYFUNCTION("""COMPUTED_VALUE"""),0.010416666666666666)</f>
        <v>0.01041666667</v>
      </c>
      <c r="F478" s="6">
        <f>IFERROR(__xludf.DUMMYFUNCTION("""COMPUTED_VALUE"""),0.6750000000000016)</f>
        <v>0.675</v>
      </c>
      <c r="G478" s="4" t="str">
        <f>IFERROR(__xludf.DUMMYFUNCTION("""COMPUTED_VALUE"""),"Yvonne")</f>
        <v>Yvonne</v>
      </c>
      <c r="H478" s="4" t="str">
        <f>IFERROR(__xludf.DUMMYFUNCTION("""COMPUTED_VALUE"""),"")</f>
        <v/>
      </c>
      <c r="I478" s="4" t="str">
        <f>IFERROR(__xludf.DUMMYFUNCTION("""COMPUTED_VALUE"""),"Lucia H.")</f>
        <v>Lucia H.</v>
      </c>
      <c r="J478" s="4" t="str">
        <f>IFERROR(__xludf.DUMMYFUNCTION("""COMPUTED_VALUE"""),"Health")</f>
        <v>Health</v>
      </c>
      <c r="K478" s="4" t="str">
        <f>IFERROR(__xludf.DUMMYFUNCTION("""COMPUTED_VALUE"""),"Panel")</f>
        <v>Panel</v>
      </c>
      <c r="L478" s="4" t="str">
        <f>IFERROR(__xludf.DUMMYFUNCTION("""COMPUTED_VALUE"""),"T- 2 - 08/06/2020")</f>
        <v>T- 2 - 08/06/2020</v>
      </c>
      <c r="M478" s="4" t="str">
        <f>IFERROR(__xludf.DUMMYFUNCTION("""COMPUTED_VALUE"""),"Going viral: How far will Covid-19 go?")</f>
        <v>Going viral: How far will Covid-19 go?</v>
      </c>
      <c r="N478" s="4" t="str">
        <f>IFERROR(__xludf.DUMMYFUNCTION("""COMPUTED_VALUE"""),"Leana Wen, George Washington University")</f>
        <v>Leana Wen, George Washington University</v>
      </c>
      <c r="O478" s="4" t="str">
        <f>IFERROR(__xludf.DUMMYFUNCTION("""COMPUTED_VALUE"""),"Dorry Segev, Johns Hopkins School of Medicine")</f>
        <v>Dorry Segev, Johns Hopkins School of Medicine</v>
      </c>
      <c r="P478" s="4" t="str">
        <f>IFERROR(__xludf.DUMMYFUNCTION("""COMPUTED_VALUE"""),"")</f>
        <v/>
      </c>
      <c r="Q478" s="4" t="str">
        <f>IFERROR(__xludf.DUMMYFUNCTION("""COMPUTED_VALUE"""),"")</f>
        <v/>
      </c>
      <c r="R478" s="4" t="str">
        <f>IFERROR(__xludf.DUMMYFUNCTION("""COMPUTED_VALUE"""),"Anjalee Khemlani, Yahoo Finance")</f>
        <v>Anjalee Khemlani, Yahoo Finance</v>
      </c>
      <c r="S478" s="4" t="str">
        <f>IFERROR(__xludf.DUMMYFUNCTION("""COMPUTED_VALUE"""),"It's already been a year like no other. Amid lockdowns, quarantines, travel restrictions and vaccine efforts, two public health experts debate the rising death tolls, infection rates and political fallout, and examine how we can keep curves flattened and "&amp;"transmission rates low.")</f>
        <v>It's already been a year like no other. Amid lockdowns, quarantines, travel restrictions and vaccine efforts, two public health experts debate the rising death tolls, infection rates and political fallout, and examine how we can keep curves flattened and transmission rates low.</v>
      </c>
      <c r="T478" s="4" t="str">
        <f>IFERROR(__xludf.DUMMYFUNCTION("""COMPUTED_VALUE"""),"NON-KEYNOTE 7 - Video to be recorded")</f>
        <v>NON-KEYNOTE 7 - Video to be recorded</v>
      </c>
      <c r="U478" s="23">
        <f>IFERROR(__xludf.DUMMYFUNCTION("""COMPUTED_VALUE"""),43993.0)</f>
        <v>43993</v>
      </c>
      <c r="V478" s="24">
        <f>IFERROR(__xludf.DUMMYFUNCTION("""COMPUTED_VALUE"""),0.7083333333333334)</f>
        <v>0.7083333333</v>
      </c>
      <c r="W478" s="21" t="str">
        <f>IFERROR(__xludf.DUMMYFUNCTION("""COMPUTED_VALUE"""),"https://us02web.zoom.us/j/83550928928?pwd=S3VmeDVZMGZzbDhXRmRQUEIyWFRxQT09")</f>
        <v>https://us02web.zoom.us/j/83550928928?pwd=S3VmeDVZMGZzbDhXRmRQUEIyWFRxQT09</v>
      </c>
      <c r="X478" s="4" t="str">
        <f>IFERROR(__xludf.DUMMYFUNCTION("""COMPUTED_VALUE"""),"Yvonne")</f>
        <v>Yvonne</v>
      </c>
      <c r="Y478" s="4" t="str">
        <f>IFERROR(__xludf.DUMMYFUNCTION("""COMPUTED_VALUE"""),"")</f>
        <v/>
      </c>
    </row>
    <row r="479">
      <c r="A479" s="4" t="str">
        <f>IFERROR(__xludf.DUMMYFUNCTION("""COMPUTED_VALUE"""),"503 - Channel")</f>
        <v>503 - Channel</v>
      </c>
      <c r="B479" s="4" t="str">
        <f>IFERROR(__xludf.DUMMYFUNCTION("""COMPUTED_VALUE"""),"Channel 2")</f>
        <v>Channel 2</v>
      </c>
      <c r="C479" s="4" t="str">
        <f>IFERROR(__xludf.DUMMYFUNCTION("""COMPUTED_VALUE"""),"Day 1 - 23/06")</f>
        <v>Day 1 - 23/06</v>
      </c>
      <c r="D479" s="6">
        <f>IFERROR(__xludf.DUMMYFUNCTION("""COMPUTED_VALUE"""),0.6750000000000016)</f>
        <v>0.675</v>
      </c>
      <c r="E479" s="6">
        <f>IFERROR(__xludf.DUMMYFUNCTION("""COMPUTED_VALUE"""),1.7361111111111112E-4)</f>
        <v>0.0001736111111</v>
      </c>
      <c r="F479" s="6">
        <f>IFERROR(__xludf.DUMMYFUNCTION("""COMPUTED_VALUE"""),0.6751736111111127)</f>
        <v>0.6751736111</v>
      </c>
      <c r="G479" s="4" t="str">
        <f>IFERROR(__xludf.DUMMYFUNCTION("""COMPUTED_VALUE"""),"Graphics")</f>
        <v>Graphics</v>
      </c>
      <c r="H479" s="4" t="str">
        <f>IFERROR(__xludf.DUMMYFUNCTION("""COMPUTED_VALUE"""),"")</f>
        <v/>
      </c>
      <c r="I479" s="4" t="str">
        <f>IFERROR(__xludf.DUMMYFUNCTION("""COMPUTED_VALUE"""),"")</f>
        <v/>
      </c>
      <c r="J479" s="4" t="str">
        <f>IFERROR(__xludf.DUMMYFUNCTION("""COMPUTED_VALUE"""),"Health")</f>
        <v>Health</v>
      </c>
      <c r="K479" s="4" t="str">
        <f>IFERROR(__xludf.DUMMYFUNCTION("""COMPUTED_VALUE"""),"Talk Outro")</f>
        <v>Talk Outro</v>
      </c>
      <c r="L479" s="4" t="str">
        <f>IFERROR(__xludf.DUMMYFUNCTION("""COMPUTED_VALUE"""),"")</f>
        <v/>
      </c>
      <c r="M479" s="4" t="str">
        <f>IFERROR(__xludf.DUMMYFUNCTION("""COMPUTED_VALUE"""),"Talk Outro - Q&amp;A Mention")</f>
        <v>Talk Outro - Q&amp;A Mention</v>
      </c>
      <c r="N479" s="4" t="str">
        <f>IFERROR(__xludf.DUMMYFUNCTION("""COMPUTED_VALUE"""),"")</f>
        <v/>
      </c>
      <c r="O479" s="4" t="str">
        <f>IFERROR(__xludf.DUMMYFUNCTION("""COMPUTED_VALUE"""),"")</f>
        <v/>
      </c>
      <c r="P479" s="4" t="str">
        <f>IFERROR(__xludf.DUMMYFUNCTION("""COMPUTED_VALUE"""),"")</f>
        <v/>
      </c>
      <c r="Q479" s="4" t="str">
        <f>IFERROR(__xludf.DUMMYFUNCTION("""COMPUTED_VALUE"""),"")</f>
        <v/>
      </c>
      <c r="R479" s="4" t="str">
        <f>IFERROR(__xludf.DUMMYFUNCTION("""COMPUTED_VALUE"""),"")</f>
        <v/>
      </c>
      <c r="S479" s="4" t="str">
        <f>IFERROR(__xludf.DUMMYFUNCTION("""COMPUTED_VALUE"""),"")</f>
        <v/>
      </c>
      <c r="T479" s="4" t="str">
        <f>IFERROR(__xludf.DUMMYFUNCTION("""COMPUTED_VALUE"""),"")</f>
        <v/>
      </c>
      <c r="U479" s="4" t="str">
        <f>IFERROR(__xludf.DUMMYFUNCTION("""COMPUTED_VALUE"""),"")</f>
        <v/>
      </c>
      <c r="V479" s="4" t="str">
        <f>IFERROR(__xludf.DUMMYFUNCTION("""COMPUTED_VALUE"""),"")</f>
        <v/>
      </c>
      <c r="W479" s="4" t="str">
        <f>IFERROR(__xludf.DUMMYFUNCTION("""COMPUTED_VALUE"""),"")</f>
        <v/>
      </c>
      <c r="X479" s="4" t="str">
        <f>IFERROR(__xludf.DUMMYFUNCTION("""COMPUTED_VALUE"""),"")</f>
        <v/>
      </c>
      <c r="Y479" s="4" t="str">
        <f>IFERROR(__xludf.DUMMYFUNCTION("""COMPUTED_VALUE"""),"")</f>
        <v/>
      </c>
    </row>
    <row r="480">
      <c r="A480" s="4" t="str">
        <f>IFERROR(__xludf.DUMMYFUNCTION("""COMPUTED_VALUE"""),"504 - Channel")</f>
        <v>504 - Channel</v>
      </c>
      <c r="B480" s="4" t="str">
        <f>IFERROR(__xludf.DUMMYFUNCTION("""COMPUTED_VALUE"""),"Channel 2")</f>
        <v>Channel 2</v>
      </c>
      <c r="C480" s="4" t="str">
        <f>IFERROR(__xludf.DUMMYFUNCTION("""COMPUTED_VALUE"""),"Day 1 - 23/06")</f>
        <v>Day 1 - 23/06</v>
      </c>
      <c r="D480" s="6">
        <f>IFERROR(__xludf.DUMMYFUNCTION("""COMPUTED_VALUE"""),0.6751736111111127)</f>
        <v>0.6751736111</v>
      </c>
      <c r="E480" s="6">
        <f>IFERROR(__xludf.DUMMYFUNCTION("""COMPUTED_VALUE"""),3.4722222222222224E-4)</f>
        <v>0.0003472222222</v>
      </c>
      <c r="F480" s="6">
        <f>IFERROR(__xludf.DUMMYFUNCTION("""COMPUTED_VALUE"""),0.675520833333335)</f>
        <v>0.6755208333</v>
      </c>
      <c r="G480" s="4" t="str">
        <f>IFERROR(__xludf.DUMMYFUNCTION("""COMPUTED_VALUE"""),"Graphics")</f>
        <v>Graphics</v>
      </c>
      <c r="H480" s="4" t="str">
        <f>IFERROR(__xludf.DUMMYFUNCTION("""COMPUTED_VALUE"""),"")</f>
        <v/>
      </c>
      <c r="I480" s="4" t="str">
        <f>IFERROR(__xludf.DUMMYFUNCTION("""COMPUTED_VALUE"""),"")</f>
        <v/>
      </c>
      <c r="J480" s="4" t="str">
        <f>IFERROR(__xludf.DUMMYFUNCTION("""COMPUTED_VALUE"""),"Health")</f>
        <v>Health</v>
      </c>
      <c r="K480" s="4" t="str">
        <f>IFERROR(__xludf.DUMMYFUNCTION("""COMPUTED_VALUE"""),"Talk Intro")</f>
        <v>Talk Intro</v>
      </c>
      <c r="L480" s="4" t="str">
        <f>IFERROR(__xludf.DUMMYFUNCTION("""COMPUTED_VALUE"""),"")</f>
        <v/>
      </c>
      <c r="M480" s="4" t="str">
        <f>IFERROR(__xludf.DUMMYFUNCTION("""COMPUTED_VALUE"""),"Talk Intro")</f>
        <v>Talk Intro</v>
      </c>
      <c r="N480" s="4" t="str">
        <f>IFERROR(__xludf.DUMMYFUNCTION("""COMPUTED_VALUE"""),"")</f>
        <v/>
      </c>
      <c r="O480" s="4" t="str">
        <f>IFERROR(__xludf.DUMMYFUNCTION("""COMPUTED_VALUE"""),"")</f>
        <v/>
      </c>
      <c r="P480" s="4" t="str">
        <f>IFERROR(__xludf.DUMMYFUNCTION("""COMPUTED_VALUE"""),"")</f>
        <v/>
      </c>
      <c r="Q480" s="4" t="str">
        <f>IFERROR(__xludf.DUMMYFUNCTION("""COMPUTED_VALUE"""),"")</f>
        <v/>
      </c>
      <c r="R480" s="4" t="str">
        <f>IFERROR(__xludf.DUMMYFUNCTION("""COMPUTED_VALUE"""),"")</f>
        <v/>
      </c>
      <c r="S480" s="4" t="str">
        <f>IFERROR(__xludf.DUMMYFUNCTION("""COMPUTED_VALUE"""),"")</f>
        <v/>
      </c>
      <c r="T480" s="4" t="str">
        <f>IFERROR(__xludf.DUMMYFUNCTION("""COMPUTED_VALUE"""),"")</f>
        <v/>
      </c>
      <c r="U480" s="4" t="str">
        <f>IFERROR(__xludf.DUMMYFUNCTION("""COMPUTED_VALUE"""),"")</f>
        <v/>
      </c>
      <c r="V480" s="4" t="str">
        <f>IFERROR(__xludf.DUMMYFUNCTION("""COMPUTED_VALUE"""),"")</f>
        <v/>
      </c>
      <c r="W480" s="4" t="str">
        <f>IFERROR(__xludf.DUMMYFUNCTION("""COMPUTED_VALUE"""),"")</f>
        <v/>
      </c>
      <c r="X480" s="4" t="str">
        <f>IFERROR(__xludf.DUMMYFUNCTION("""COMPUTED_VALUE"""),"")</f>
        <v/>
      </c>
      <c r="Y480" s="4" t="str">
        <f>IFERROR(__xludf.DUMMYFUNCTION("""COMPUTED_VALUE"""),"")</f>
        <v/>
      </c>
    </row>
    <row r="481">
      <c r="A481" s="4" t="str">
        <f>IFERROR(__xludf.DUMMYFUNCTION("""COMPUTED_VALUE"""),"505 - Channel")</f>
        <v>505 - Channel</v>
      </c>
      <c r="B481" s="4" t="str">
        <f>IFERROR(__xludf.DUMMYFUNCTION("""COMPUTED_VALUE"""),"Channel 2")</f>
        <v>Channel 2</v>
      </c>
      <c r="C481" s="4" t="str">
        <f>IFERROR(__xludf.DUMMYFUNCTION("""COMPUTED_VALUE"""),"Day 1 - 23/06")</f>
        <v>Day 1 - 23/06</v>
      </c>
      <c r="D481" s="6">
        <f>IFERROR(__xludf.DUMMYFUNCTION("""COMPUTED_VALUE"""),0.675520833333335)</f>
        <v>0.6755208333</v>
      </c>
      <c r="E481" s="6">
        <f>IFERROR(__xludf.DUMMYFUNCTION("""COMPUTED_VALUE"""),0.008356481481481482)</f>
        <v>0.008356481481</v>
      </c>
      <c r="F481" s="6">
        <f>IFERROR(__xludf.DUMMYFUNCTION("""COMPUTED_VALUE"""),0.6838773148148165)</f>
        <v>0.6838773148</v>
      </c>
      <c r="G481" s="4" t="str">
        <f>IFERROR(__xludf.DUMMYFUNCTION("""COMPUTED_VALUE"""),"Yvonne")</f>
        <v>Yvonne</v>
      </c>
      <c r="H481" s="4" t="str">
        <f>IFERROR(__xludf.DUMMYFUNCTION("""COMPUTED_VALUE"""),"Haziq")</f>
        <v>Haziq</v>
      </c>
      <c r="I481" s="4" t="str">
        <f>IFERROR(__xludf.DUMMYFUNCTION("""COMPUTED_VALUE"""),"Lucia H.")</f>
        <v>Lucia H.</v>
      </c>
      <c r="J481" s="4" t="str">
        <f>IFERROR(__xludf.DUMMYFUNCTION("""COMPUTED_VALUE"""),"Health")</f>
        <v>Health</v>
      </c>
      <c r="K481" s="4" t="str">
        <f>IFERROR(__xludf.DUMMYFUNCTION("""COMPUTED_VALUE"""),"Fireside")</f>
        <v>Fireside</v>
      </c>
      <c r="L481" s="4" t="str">
        <f>IFERROR(__xludf.DUMMYFUNCTION("""COMPUTED_VALUE"""),"T- 9 - 20/04/2020")</f>
        <v>T- 9 - 20/04/2020</v>
      </c>
      <c r="M481" s="4" t="str">
        <f>IFERROR(__xludf.DUMMYFUNCTION("""COMPUTED_VALUE"""),"Covid-19 : Digital Healthcare’s time to shine")</f>
        <v>Covid-19 : Digital Healthcare’s time to shine</v>
      </c>
      <c r="N481" s="4" t="str">
        <f>IFERROR(__xludf.DUMMYFUNCTION("""COMPUTED_VALUE"""),"Ali Parsa, Babylon Health")</f>
        <v>Ali Parsa, Babylon Health</v>
      </c>
      <c r="O481" s="4" t="str">
        <f>IFERROR(__xludf.DUMMYFUNCTION("""COMPUTED_VALUE"""),"")</f>
        <v/>
      </c>
      <c r="P481" s="4" t="str">
        <f>IFERROR(__xludf.DUMMYFUNCTION("""COMPUTED_VALUE"""),"")</f>
        <v/>
      </c>
      <c r="Q481" s="4" t="str">
        <f>IFERROR(__xludf.DUMMYFUNCTION("""COMPUTED_VALUE"""),"")</f>
        <v/>
      </c>
      <c r="R481" s="4" t="str">
        <f>IFERROR(__xludf.DUMMYFUNCTION("""COMPUTED_VALUE"""),"David Rowan, Wired")</f>
        <v>David Rowan, Wired</v>
      </c>
      <c r="S481" s="4" t="str">
        <f>IFERROR(__xludf.DUMMYFUNCTION("""COMPUTED_VALUE"""),"It's a busy time for Babylon Health. Fresh from unveiling a new Covid care assistant section of the health service provider's app, the AI unicorn's founder talks us through how they're training their AI to spot the symptoms in record time.")</f>
        <v>It's a busy time for Babylon Health. Fresh from unveiling a new Covid care assistant section of the health service provider's app, the AI unicorn's founder talks us through how they're training their AI to spot the symptoms in record time.</v>
      </c>
      <c r="T481" s="4" t="str">
        <f>IFERROR(__xludf.DUMMYFUNCTION("""COMPUTED_VALUE"""),"NON-KEYNOTE 9 - COMPLETE")</f>
        <v>NON-KEYNOTE 9 - COMPLETE</v>
      </c>
      <c r="U481" s="23">
        <f>IFERROR(__xludf.DUMMYFUNCTION("""COMPUTED_VALUE"""),43944.0)</f>
        <v>43944</v>
      </c>
      <c r="V481" s="24">
        <f>IFERROR(__xludf.DUMMYFUNCTION("""COMPUTED_VALUE"""),0.6666666666666666)</f>
        <v>0.6666666667</v>
      </c>
      <c r="W481" s="4" t="str">
        <f>IFERROR(__xludf.DUMMYFUNCTION("""COMPUTED_VALUE"""),"COMPLETE")</f>
        <v>COMPLETE</v>
      </c>
      <c r="X481" s="4" t="str">
        <f>IFERROR(__xludf.DUMMYFUNCTION("""COMPUTED_VALUE"""),"Yvonne")</f>
        <v>Yvonne</v>
      </c>
      <c r="Y481" s="4" t="str">
        <f>IFERROR(__xludf.DUMMYFUNCTION("""COMPUTED_VALUE"""),"")</f>
        <v/>
      </c>
    </row>
    <row r="482">
      <c r="A482" s="4" t="str">
        <f>IFERROR(__xludf.DUMMYFUNCTION("""COMPUTED_VALUE"""),"507 - Channel")</f>
        <v>507 - Channel</v>
      </c>
      <c r="B482" s="4" t="str">
        <f>IFERROR(__xludf.DUMMYFUNCTION("""COMPUTED_VALUE"""),"Channel 2")</f>
        <v>Channel 2</v>
      </c>
      <c r="C482" s="4" t="str">
        <f>IFERROR(__xludf.DUMMYFUNCTION("""COMPUTED_VALUE"""),"Day 1 - 23/06")</f>
        <v>Day 1 - 23/06</v>
      </c>
      <c r="D482" s="6">
        <f>IFERROR(__xludf.DUMMYFUNCTION("""COMPUTED_VALUE"""),0.6838773148148165)</f>
        <v>0.6838773148</v>
      </c>
      <c r="E482" s="6">
        <f>IFERROR(__xludf.DUMMYFUNCTION("""COMPUTED_VALUE"""),1.7361111111111112E-4)</f>
        <v>0.0001736111111</v>
      </c>
      <c r="F482" s="6">
        <f>IFERROR(__xludf.DUMMYFUNCTION("""COMPUTED_VALUE"""),0.6840509259259276)</f>
        <v>0.6840509259</v>
      </c>
      <c r="G482" s="4" t="str">
        <f>IFERROR(__xludf.DUMMYFUNCTION("""COMPUTED_VALUE"""),"Graphics")</f>
        <v>Graphics</v>
      </c>
      <c r="H482" s="4" t="str">
        <f>IFERROR(__xludf.DUMMYFUNCTION("""COMPUTED_VALUE"""),"")</f>
        <v/>
      </c>
      <c r="I482" s="4" t="str">
        <f>IFERROR(__xludf.DUMMYFUNCTION("""COMPUTED_VALUE"""),"")</f>
        <v/>
      </c>
      <c r="J482" s="4" t="str">
        <f>IFERROR(__xludf.DUMMYFUNCTION("""COMPUTED_VALUE"""),"Health")</f>
        <v>Health</v>
      </c>
      <c r="K482" s="4" t="str">
        <f>IFERROR(__xludf.DUMMYFUNCTION("""COMPUTED_VALUE"""),"Talk Intro")</f>
        <v>Talk Intro</v>
      </c>
      <c r="L482" s="4" t="str">
        <f>IFERROR(__xludf.DUMMYFUNCTION("""COMPUTED_VALUE"""),"")</f>
        <v/>
      </c>
      <c r="M482" s="4" t="str">
        <f>IFERROR(__xludf.DUMMYFUNCTION("""COMPUTED_VALUE"""),"Talk Intro")</f>
        <v>Talk Intro</v>
      </c>
      <c r="N482" s="4" t="str">
        <f>IFERROR(__xludf.DUMMYFUNCTION("""COMPUTED_VALUE"""),"")</f>
        <v/>
      </c>
      <c r="O482" s="4" t="str">
        <f>IFERROR(__xludf.DUMMYFUNCTION("""COMPUTED_VALUE"""),"")</f>
        <v/>
      </c>
      <c r="P482" s="4" t="str">
        <f>IFERROR(__xludf.DUMMYFUNCTION("""COMPUTED_VALUE"""),"")</f>
        <v/>
      </c>
      <c r="Q482" s="4" t="str">
        <f>IFERROR(__xludf.DUMMYFUNCTION("""COMPUTED_VALUE"""),"")</f>
        <v/>
      </c>
      <c r="R482" s="4" t="str">
        <f>IFERROR(__xludf.DUMMYFUNCTION("""COMPUTED_VALUE"""),"")</f>
        <v/>
      </c>
      <c r="S482" s="4" t="str">
        <f>IFERROR(__xludf.DUMMYFUNCTION("""COMPUTED_VALUE"""),"")</f>
        <v/>
      </c>
      <c r="T482" s="4" t="str">
        <f>IFERROR(__xludf.DUMMYFUNCTION("""COMPUTED_VALUE"""),"")</f>
        <v/>
      </c>
      <c r="U482" s="4" t="str">
        <f>IFERROR(__xludf.DUMMYFUNCTION("""COMPUTED_VALUE"""),"")</f>
        <v/>
      </c>
      <c r="V482" s="4" t="str">
        <f>IFERROR(__xludf.DUMMYFUNCTION("""COMPUTED_VALUE"""),"")</f>
        <v/>
      </c>
      <c r="W482" s="4" t="str">
        <f>IFERROR(__xludf.DUMMYFUNCTION("""COMPUTED_VALUE"""),"")</f>
        <v/>
      </c>
      <c r="X482" s="4" t="str">
        <f>IFERROR(__xludf.DUMMYFUNCTION("""COMPUTED_VALUE"""),"")</f>
        <v/>
      </c>
      <c r="Y482" s="4" t="str">
        <f>IFERROR(__xludf.DUMMYFUNCTION("""COMPUTED_VALUE"""),"")</f>
        <v/>
      </c>
    </row>
    <row r="483">
      <c r="A483" s="4" t="str">
        <f>IFERROR(__xludf.DUMMYFUNCTION("""COMPUTED_VALUE"""),"508 - Channel")</f>
        <v>508 - Channel</v>
      </c>
      <c r="B483" s="4" t="str">
        <f>IFERROR(__xludf.DUMMYFUNCTION("""COMPUTED_VALUE"""),"Channel 2")</f>
        <v>Channel 2</v>
      </c>
      <c r="C483" s="4" t="str">
        <f>IFERROR(__xludf.DUMMYFUNCTION("""COMPUTED_VALUE"""),"Day 1 - 23/06")</f>
        <v>Day 1 - 23/06</v>
      </c>
      <c r="D483" s="6">
        <f>IFERROR(__xludf.DUMMYFUNCTION("""COMPUTED_VALUE"""),0.6840509259259276)</f>
        <v>0.6840509259</v>
      </c>
      <c r="E483" s="6">
        <f>IFERROR(__xludf.DUMMYFUNCTION("""COMPUTED_VALUE"""),0.007546296296296297)</f>
        <v>0.007546296296</v>
      </c>
      <c r="F483" s="6">
        <f>IFERROR(__xludf.DUMMYFUNCTION("""COMPUTED_VALUE"""),0.691597222222224)</f>
        <v>0.6915972222</v>
      </c>
      <c r="G483" s="4" t="str">
        <f>IFERROR(__xludf.DUMMYFUNCTION("""COMPUTED_VALUE"""),"Yvonne")</f>
        <v>Yvonne</v>
      </c>
      <c r="H483" s="4" t="str">
        <f>IFERROR(__xludf.DUMMYFUNCTION("""COMPUTED_VALUE"""),"N/A")</f>
        <v>N/A</v>
      </c>
      <c r="I483" s="4" t="str">
        <f>IFERROR(__xludf.DUMMYFUNCTION("""COMPUTED_VALUE"""),"Lucia H.")</f>
        <v>Lucia H.</v>
      </c>
      <c r="J483" s="4" t="str">
        <f>IFERROR(__xludf.DUMMYFUNCTION("""COMPUTED_VALUE"""),"Health")</f>
        <v>Health</v>
      </c>
      <c r="K483" s="4" t="str">
        <f>IFERROR(__xludf.DUMMYFUNCTION("""COMPUTED_VALUE"""),"Keynote")</f>
        <v>Keynote</v>
      </c>
      <c r="L483" s="4" t="str">
        <f>IFERROR(__xludf.DUMMYFUNCTION("""COMPUTED_VALUE"""),"T- 5 - 18/05/2020")</f>
        <v>T- 5 - 18/05/2020</v>
      </c>
      <c r="M483" s="4" t="str">
        <f>IFERROR(__xludf.DUMMYFUNCTION("""COMPUTED_VALUE"""),"Fighting Covid by hacking the human OS")</f>
        <v>Fighting Covid by hacking the human OS</v>
      </c>
      <c r="N483" s="4" t="str">
        <f>IFERROR(__xludf.DUMMYFUNCTION("""COMPUTED_VALUE"""),"Ali Rezai, Rockfeller Neuroscience Institute")</f>
        <v>Ali Rezai, Rockfeller Neuroscience Institute</v>
      </c>
      <c r="O483" s="4" t="str">
        <f>IFERROR(__xludf.DUMMYFUNCTION("""COMPUTED_VALUE"""),"")</f>
        <v/>
      </c>
      <c r="P483" s="4" t="str">
        <f>IFERROR(__xludf.DUMMYFUNCTION("""COMPUTED_VALUE"""),"")</f>
        <v/>
      </c>
      <c r="Q483" s="4" t="str">
        <f>IFERROR(__xludf.DUMMYFUNCTION("""COMPUTED_VALUE"""),"")</f>
        <v/>
      </c>
      <c r="R483" s="4" t="str">
        <f>IFERROR(__xludf.DUMMYFUNCTION("""COMPUTED_VALUE"""),"")</f>
        <v/>
      </c>
      <c r="S483" s="4" t="str">
        <f>IFERROR(__xludf.DUMMYFUNCTION("""COMPUTED_VALUE"""),"Using wearables and AI, US scientists are on the cusp of being able to identify infected frontline healthcare professionals up to three days before they become symptomatic. The executive director of the Rockefeller Neuroscience Institute, Ali Rezai, outli"&amp;"nes the significance of a major breakthrough of this kind in limiting the spread of Covid-19.")</f>
        <v>Using wearables and AI, US scientists are on the cusp of being able to identify infected frontline healthcare professionals up to three days before they become symptomatic. The executive director of the Rockefeller Neuroscience Institute, Ali Rezai, outlines the significance of a major breakthrough of this kind in limiting the spread of Covid-19.</v>
      </c>
      <c r="T483" s="4" t="str">
        <f>IFERROR(__xludf.DUMMYFUNCTION("""COMPUTED_VALUE"""),"KEYNOTE 8 - COMPLETE")</f>
        <v>KEYNOTE 8 - COMPLETE</v>
      </c>
      <c r="U483" s="23">
        <f>IFERROR(__xludf.DUMMYFUNCTION("""COMPUTED_VALUE"""),43966.0)</f>
        <v>43966</v>
      </c>
      <c r="V483" s="44">
        <f>IFERROR(__xludf.DUMMYFUNCTION("""COMPUTED_VALUE"""),0.6666666666666666)</f>
        <v>0.6666666667</v>
      </c>
      <c r="W483" s="4" t="str">
        <f>IFERROR(__xludf.DUMMYFUNCTION("""COMPUTED_VALUE"""),"COMPLETE")</f>
        <v>COMPLETE</v>
      </c>
      <c r="X483" s="4" t="str">
        <f>IFERROR(__xludf.DUMMYFUNCTION("""COMPUTED_VALUE"""),"Yvonne")</f>
        <v>Yvonne</v>
      </c>
      <c r="Y483" s="4" t="str">
        <f>IFERROR(__xludf.DUMMYFUNCTION("""COMPUTED_VALUE"""),"")</f>
        <v/>
      </c>
    </row>
    <row r="484">
      <c r="A484" s="4" t="str">
        <f>IFERROR(__xludf.DUMMYFUNCTION("""COMPUTED_VALUE"""),"509 - Channel")</f>
        <v>509 - Channel</v>
      </c>
      <c r="B484" s="4" t="str">
        <f>IFERROR(__xludf.DUMMYFUNCTION("""COMPUTED_VALUE"""),"Channel 2")</f>
        <v>Channel 2</v>
      </c>
      <c r="C484" s="4" t="str">
        <f>IFERROR(__xludf.DUMMYFUNCTION("""COMPUTED_VALUE"""),"Day 1 - 23/06")</f>
        <v>Day 1 - 23/06</v>
      </c>
      <c r="D484" s="6">
        <f>IFERROR(__xludf.DUMMYFUNCTION("""COMPUTED_VALUE"""),0.691597222222224)</f>
        <v>0.6915972222</v>
      </c>
      <c r="E484" s="6">
        <f>IFERROR(__xludf.DUMMYFUNCTION("""COMPUTED_VALUE"""),1.7361111111111112E-4)</f>
        <v>0.0001736111111</v>
      </c>
      <c r="F484" s="6">
        <f>IFERROR(__xludf.DUMMYFUNCTION("""COMPUTED_VALUE"""),0.6917708333333351)</f>
        <v>0.6917708333</v>
      </c>
      <c r="G484" s="4" t="str">
        <f>IFERROR(__xludf.DUMMYFUNCTION("""COMPUTED_VALUE"""),"Graphics")</f>
        <v>Graphics</v>
      </c>
      <c r="H484" s="4" t="str">
        <f>IFERROR(__xludf.DUMMYFUNCTION("""COMPUTED_VALUE"""),"")</f>
        <v/>
      </c>
      <c r="I484" s="4" t="str">
        <f>IFERROR(__xludf.DUMMYFUNCTION("""COMPUTED_VALUE"""),"")</f>
        <v/>
      </c>
      <c r="J484" s="4" t="str">
        <f>IFERROR(__xludf.DUMMYFUNCTION("""COMPUTED_VALUE"""),"Health")</f>
        <v>Health</v>
      </c>
      <c r="K484" s="4" t="str">
        <f>IFERROR(__xludf.DUMMYFUNCTION("""COMPUTED_VALUE"""),"Talk Outro")</f>
        <v>Talk Outro</v>
      </c>
      <c r="L484" s="4" t="str">
        <f>IFERROR(__xludf.DUMMYFUNCTION("""COMPUTED_VALUE"""),"")</f>
        <v/>
      </c>
      <c r="M484" s="4" t="str">
        <f>IFERROR(__xludf.DUMMYFUNCTION("""COMPUTED_VALUE"""),"Talk Outro")</f>
        <v>Talk Outro</v>
      </c>
      <c r="N484" s="4" t="str">
        <f>IFERROR(__xludf.DUMMYFUNCTION("""COMPUTED_VALUE"""),"")</f>
        <v/>
      </c>
      <c r="O484" s="4" t="str">
        <f>IFERROR(__xludf.DUMMYFUNCTION("""COMPUTED_VALUE"""),"")</f>
        <v/>
      </c>
      <c r="P484" s="4" t="str">
        <f>IFERROR(__xludf.DUMMYFUNCTION("""COMPUTED_VALUE"""),"")</f>
        <v/>
      </c>
      <c r="Q484" s="4" t="str">
        <f>IFERROR(__xludf.DUMMYFUNCTION("""COMPUTED_VALUE"""),"")</f>
        <v/>
      </c>
      <c r="R484" s="4" t="str">
        <f>IFERROR(__xludf.DUMMYFUNCTION("""COMPUTED_VALUE"""),"")</f>
        <v/>
      </c>
      <c r="S484" s="4" t="str">
        <f>IFERROR(__xludf.DUMMYFUNCTION("""COMPUTED_VALUE"""),"")</f>
        <v/>
      </c>
      <c r="T484" s="4" t="str">
        <f>IFERROR(__xludf.DUMMYFUNCTION("""COMPUTED_VALUE"""),"")</f>
        <v/>
      </c>
      <c r="U484" s="4" t="str">
        <f>IFERROR(__xludf.DUMMYFUNCTION("""COMPUTED_VALUE"""),"")</f>
        <v/>
      </c>
      <c r="V484" s="4" t="str">
        <f>IFERROR(__xludf.DUMMYFUNCTION("""COMPUTED_VALUE"""),"")</f>
        <v/>
      </c>
      <c r="W484" s="4" t="str">
        <f>IFERROR(__xludf.DUMMYFUNCTION("""COMPUTED_VALUE"""),"")</f>
        <v/>
      </c>
      <c r="X484" s="4" t="str">
        <f>IFERROR(__xludf.DUMMYFUNCTION("""COMPUTED_VALUE"""),"")</f>
        <v/>
      </c>
      <c r="Y484" s="4" t="str">
        <f>IFERROR(__xludf.DUMMYFUNCTION("""COMPUTED_VALUE"""),"")</f>
        <v/>
      </c>
    </row>
    <row r="485">
      <c r="A485" s="4" t="str">
        <f>IFERROR(__xludf.DUMMYFUNCTION("""COMPUTED_VALUE"""),"510 - Channel")</f>
        <v>510 - Channel</v>
      </c>
      <c r="B485" s="4" t="str">
        <f>IFERROR(__xludf.DUMMYFUNCTION("""COMPUTED_VALUE"""),"Channel 2")</f>
        <v>Channel 2</v>
      </c>
      <c r="C485" s="4" t="str">
        <f>IFERROR(__xludf.DUMMYFUNCTION("""COMPUTED_VALUE"""),"Day 1 - 23/06")</f>
        <v>Day 1 - 23/06</v>
      </c>
      <c r="D485" s="6">
        <f>IFERROR(__xludf.DUMMYFUNCTION("""COMPUTED_VALUE"""),0.6917708333333351)</f>
        <v>0.6917708333</v>
      </c>
      <c r="E485" s="6">
        <f>IFERROR(__xludf.DUMMYFUNCTION("""COMPUTED_VALUE"""),3.4722222222222224E-4)</f>
        <v>0.0003472222222</v>
      </c>
      <c r="F485" s="6">
        <f>IFERROR(__xludf.DUMMYFUNCTION("""COMPUTED_VALUE"""),0.6921180555555574)</f>
        <v>0.6921180556</v>
      </c>
      <c r="G485" s="4" t="str">
        <f>IFERROR(__xludf.DUMMYFUNCTION("""COMPUTED_VALUE"""),"Graphics")</f>
        <v>Graphics</v>
      </c>
      <c r="H485" s="4" t="str">
        <f>IFERROR(__xludf.DUMMYFUNCTION("""COMPUTED_VALUE"""),"")</f>
        <v/>
      </c>
      <c r="I485" s="4" t="str">
        <f>IFERROR(__xludf.DUMMYFUNCTION("""COMPUTED_VALUE"""),"")</f>
        <v/>
      </c>
      <c r="J485" s="4" t="str">
        <f>IFERROR(__xludf.DUMMYFUNCTION("""COMPUTED_VALUE"""),"Health")</f>
        <v>Health</v>
      </c>
      <c r="K485" s="4" t="str">
        <f>IFERROR(__xludf.DUMMYFUNCTION("""COMPUTED_VALUE"""),"Talk Intro")</f>
        <v>Talk Intro</v>
      </c>
      <c r="L485" s="4" t="str">
        <f>IFERROR(__xludf.DUMMYFUNCTION("""COMPUTED_VALUE"""),"")</f>
        <v/>
      </c>
      <c r="M485" s="4" t="str">
        <f>IFERROR(__xludf.DUMMYFUNCTION("""COMPUTED_VALUE"""),"Talk Intro")</f>
        <v>Talk Intro</v>
      </c>
      <c r="N485" s="4" t="str">
        <f>IFERROR(__xludf.DUMMYFUNCTION("""COMPUTED_VALUE"""),"")</f>
        <v/>
      </c>
      <c r="O485" s="4" t="str">
        <f>IFERROR(__xludf.DUMMYFUNCTION("""COMPUTED_VALUE"""),"")</f>
        <v/>
      </c>
      <c r="P485" s="4" t="str">
        <f>IFERROR(__xludf.DUMMYFUNCTION("""COMPUTED_VALUE"""),"")</f>
        <v/>
      </c>
      <c r="Q485" s="4" t="str">
        <f>IFERROR(__xludf.DUMMYFUNCTION("""COMPUTED_VALUE"""),"")</f>
        <v/>
      </c>
      <c r="R485" s="4" t="str">
        <f>IFERROR(__xludf.DUMMYFUNCTION("""COMPUTED_VALUE"""),"")</f>
        <v/>
      </c>
      <c r="S485" s="4" t="str">
        <f>IFERROR(__xludf.DUMMYFUNCTION("""COMPUTED_VALUE"""),"")</f>
        <v/>
      </c>
      <c r="T485" s="4" t="str">
        <f>IFERROR(__xludf.DUMMYFUNCTION("""COMPUTED_VALUE"""),"")</f>
        <v/>
      </c>
      <c r="U485" s="4" t="str">
        <f>IFERROR(__xludf.DUMMYFUNCTION("""COMPUTED_VALUE"""),"")</f>
        <v/>
      </c>
      <c r="V485" s="4" t="str">
        <f>IFERROR(__xludf.DUMMYFUNCTION("""COMPUTED_VALUE"""),"")</f>
        <v/>
      </c>
      <c r="W485" s="4" t="str">
        <f>IFERROR(__xludf.DUMMYFUNCTION("""COMPUTED_VALUE"""),"")</f>
        <v/>
      </c>
      <c r="X485" s="4" t="str">
        <f>IFERROR(__xludf.DUMMYFUNCTION("""COMPUTED_VALUE"""),"")</f>
        <v/>
      </c>
      <c r="Y485" s="4" t="str">
        <f>IFERROR(__xludf.DUMMYFUNCTION("""COMPUTED_VALUE"""),"")</f>
        <v/>
      </c>
    </row>
    <row r="486">
      <c r="A486" s="4" t="str">
        <f>IFERROR(__xludf.DUMMYFUNCTION("""COMPUTED_VALUE"""),"511 - Channel")</f>
        <v>511 - Channel</v>
      </c>
      <c r="B486" s="4" t="str">
        <f>IFERROR(__xludf.DUMMYFUNCTION("""COMPUTED_VALUE"""),"Channel 2")</f>
        <v>Channel 2</v>
      </c>
      <c r="C486" s="4" t="str">
        <f>IFERROR(__xludf.DUMMYFUNCTION("""COMPUTED_VALUE"""),"Day 1 - 23/06")</f>
        <v>Day 1 - 23/06</v>
      </c>
      <c r="D486" s="6">
        <f>IFERROR(__xludf.DUMMYFUNCTION("""COMPUTED_VALUE"""),0.6921180555555574)</f>
        <v>0.6921180556</v>
      </c>
      <c r="E486" s="6">
        <f>IFERROR(__xludf.DUMMYFUNCTION("""COMPUTED_VALUE"""),0.014131944444444445)</f>
        <v>0.01413194444</v>
      </c>
      <c r="F486" s="6">
        <f>IFERROR(__xludf.DUMMYFUNCTION("""COMPUTED_VALUE"""),0.7062500000000018)</f>
        <v>0.70625</v>
      </c>
      <c r="G486" s="4" t="str">
        <f>IFERROR(__xludf.DUMMYFUNCTION("""COMPUTED_VALUE"""),"Lobna")</f>
        <v>Lobna</v>
      </c>
      <c r="H486" s="4" t="str">
        <f>IFERROR(__xludf.DUMMYFUNCTION("""COMPUTED_VALUE"""),"Haziq")</f>
        <v>Haziq</v>
      </c>
      <c r="I486" s="4" t="str">
        <f>IFERROR(__xludf.DUMMYFUNCTION("""COMPUTED_VALUE"""),"Geoff")</f>
        <v>Geoff</v>
      </c>
      <c r="J486" s="4" t="str">
        <f>IFERROR(__xludf.DUMMYFUNCTION("""COMPUTED_VALUE"""),"Health")</f>
        <v>Health</v>
      </c>
      <c r="K486" s="4" t="str">
        <f>IFERROR(__xludf.DUMMYFUNCTION("""COMPUTED_VALUE"""),"Fireside")</f>
        <v>Fireside</v>
      </c>
      <c r="L486" s="4" t="str">
        <f>IFERROR(__xludf.DUMMYFUNCTION("""COMPUTED_VALUE"""),"T- 5 - 18/05/2020")</f>
        <v>T- 5 - 18/05/2020</v>
      </c>
      <c r="M486" s="4" t="str">
        <f>IFERROR(__xludf.DUMMYFUNCTION("""COMPUTED_VALUE"""),"How to Thrive in the next normal")</f>
        <v>How to Thrive in the next normal</v>
      </c>
      <c r="N486" s="4" t="str">
        <f>IFERROR(__xludf.DUMMYFUNCTION("""COMPUTED_VALUE"""),"Arianna Huffington, Thrive Global")</f>
        <v>Arianna Huffington, Thrive Global</v>
      </c>
      <c r="O486" s="4" t="str">
        <f>IFERROR(__xludf.DUMMYFUNCTION("""COMPUTED_VALUE"""),"")</f>
        <v/>
      </c>
      <c r="P486" s="4" t="str">
        <f>IFERROR(__xludf.DUMMYFUNCTION("""COMPUTED_VALUE"""),"")</f>
        <v/>
      </c>
      <c r="Q486" s="4" t="str">
        <f>IFERROR(__xludf.DUMMYFUNCTION("""COMPUTED_VALUE"""),"")</f>
        <v/>
      </c>
      <c r="R486" s="4" t="str">
        <f>IFERROR(__xludf.DUMMYFUNCTION("""COMPUTED_VALUE"""),"Stephanie Mehta, Fast Company")</f>
        <v>Stephanie Mehta, Fast Company</v>
      </c>
      <c r="S486" s="4" t="str">
        <f>IFERROR(__xludf.DUMMYFUNCTION("""COMPUTED_VALUE"""),"Much has been said about the 'new normal', but what will our return to regular life look like? Has the narrative around 'peak performance' and productivity actually changed, or do old habits die hard? Entrepreneur and wellness advocate Arianna Huffington "&amp;"shares the learnings that Thrive Global has gathered over the last few months.")</f>
        <v>Much has been said about the 'new normal', but what will our return to regular life look like? Has the narrative around 'peak performance' and productivity actually changed, or do old habits die hard? Entrepreneur and wellness advocate Arianna Huffington shares the learnings that Thrive Global has gathered over the last few months.</v>
      </c>
      <c r="T486" s="4" t="str">
        <f>IFERROR(__xludf.DUMMYFUNCTION("""COMPUTED_VALUE"""),"NON-KEYNOTE 9 - COMPLETE")</f>
        <v>NON-KEYNOTE 9 - COMPLETE</v>
      </c>
      <c r="U486" s="23">
        <f>IFERROR(__xludf.DUMMYFUNCTION("""COMPUTED_VALUE"""),43971.0)</f>
        <v>43971</v>
      </c>
      <c r="V486" s="24">
        <f>IFERROR(__xludf.DUMMYFUNCTION("""COMPUTED_VALUE"""),0.9166666666666666)</f>
        <v>0.9166666667</v>
      </c>
      <c r="W486" s="4" t="str">
        <f>IFERROR(__xludf.DUMMYFUNCTION("""COMPUTED_VALUE"""),"COMPLETE")</f>
        <v>COMPLETE</v>
      </c>
      <c r="X486" s="4" t="str">
        <f>IFERROR(__xludf.DUMMYFUNCTION("""COMPUTED_VALUE"""),"Lobna")</f>
        <v>Lobna</v>
      </c>
      <c r="Y486" s="4" t="str">
        <f>IFERROR(__xludf.DUMMYFUNCTION("""COMPUTED_VALUE"""),"")</f>
        <v/>
      </c>
    </row>
    <row r="487">
      <c r="A487" s="4" t="str">
        <f>IFERROR(__xludf.DUMMYFUNCTION("""COMPUTED_VALUE"""),"513 - Channel")</f>
        <v>513 - Channel</v>
      </c>
      <c r="B487" s="4" t="str">
        <f>IFERROR(__xludf.DUMMYFUNCTION("""COMPUTED_VALUE"""),"Channel 2")</f>
        <v>Channel 2</v>
      </c>
      <c r="C487" s="4" t="str">
        <f>IFERROR(__xludf.DUMMYFUNCTION("""COMPUTED_VALUE"""),"Day 1 - 23/06")</f>
        <v>Day 1 - 23/06</v>
      </c>
      <c r="D487" s="6">
        <f>IFERROR(__xludf.DUMMYFUNCTION("""COMPUTED_VALUE"""),0.7062500000000018)</f>
        <v>0.70625</v>
      </c>
      <c r="E487" s="6">
        <f>IFERROR(__xludf.DUMMYFUNCTION("""COMPUTED_VALUE"""),3.587962962962963E-4)</f>
        <v>0.0003587962963</v>
      </c>
      <c r="F487" s="6">
        <f>IFERROR(__xludf.DUMMYFUNCTION("""COMPUTED_VALUE"""),0.7066087962962981)</f>
        <v>0.7066087963</v>
      </c>
      <c r="G487" s="4" t="str">
        <f>IFERROR(__xludf.DUMMYFUNCTION("""COMPUTED_VALUE"""),"Graphics")</f>
        <v>Graphics</v>
      </c>
      <c r="H487" s="4" t="str">
        <f>IFERROR(__xludf.DUMMYFUNCTION("""COMPUTED_VALUE"""),"")</f>
        <v/>
      </c>
      <c r="I487" s="4" t="str">
        <f>IFERROR(__xludf.DUMMYFUNCTION("""COMPUTED_VALUE"""),"")</f>
        <v/>
      </c>
      <c r="J487" s="4" t="str">
        <f>IFERROR(__xludf.DUMMYFUNCTION("""COMPUTED_VALUE"""),"Health")</f>
        <v>Health</v>
      </c>
      <c r="K487" s="4" t="str">
        <f>IFERROR(__xludf.DUMMYFUNCTION("""COMPUTED_VALUE"""),"Collision From Home Day Outro")</f>
        <v>Collision From Home Day Outro</v>
      </c>
      <c r="L487" s="4" t="str">
        <f>IFERROR(__xludf.DUMMYFUNCTION("""COMPUTED_VALUE"""),"")</f>
        <v/>
      </c>
      <c r="M487" s="4" t="str">
        <f>IFERROR(__xludf.DUMMYFUNCTION("""COMPUTED_VALUE"""),"Collision From Home Day Outro")</f>
        <v>Collision From Home Day Outro</v>
      </c>
      <c r="N487" s="4" t="str">
        <f>IFERROR(__xludf.DUMMYFUNCTION("""COMPUTED_VALUE"""),"")</f>
        <v/>
      </c>
      <c r="O487" s="4" t="str">
        <f>IFERROR(__xludf.DUMMYFUNCTION("""COMPUTED_VALUE"""),"")</f>
        <v/>
      </c>
      <c r="P487" s="4" t="str">
        <f>IFERROR(__xludf.DUMMYFUNCTION("""COMPUTED_VALUE"""),"")</f>
        <v/>
      </c>
      <c r="Q487" s="4" t="str">
        <f>IFERROR(__xludf.DUMMYFUNCTION("""COMPUTED_VALUE"""),"")</f>
        <v/>
      </c>
      <c r="R487" s="4" t="str">
        <f>IFERROR(__xludf.DUMMYFUNCTION("""COMPUTED_VALUE"""),"")</f>
        <v/>
      </c>
      <c r="S487" s="4" t="str">
        <f>IFERROR(__xludf.DUMMYFUNCTION("""COMPUTED_VALUE"""),"")</f>
        <v/>
      </c>
      <c r="T487" s="4" t="str">
        <f>IFERROR(__xludf.DUMMYFUNCTION("""COMPUTED_VALUE"""),"")</f>
        <v/>
      </c>
      <c r="U487" s="4" t="str">
        <f>IFERROR(__xludf.DUMMYFUNCTION("""COMPUTED_VALUE"""),"")</f>
        <v/>
      </c>
      <c r="V487" s="4" t="str">
        <f>IFERROR(__xludf.DUMMYFUNCTION("""COMPUTED_VALUE"""),"")</f>
        <v/>
      </c>
      <c r="W487" s="4" t="str">
        <f>IFERROR(__xludf.DUMMYFUNCTION("""COMPUTED_VALUE"""),"")</f>
        <v/>
      </c>
      <c r="X487" s="4" t="str">
        <f>IFERROR(__xludf.DUMMYFUNCTION("""COMPUTED_VALUE"""),"")</f>
        <v/>
      </c>
      <c r="Y487" s="4" t="str">
        <f>IFERROR(__xludf.DUMMYFUNCTION("""COMPUTED_VALUE"""),"")</f>
        <v/>
      </c>
    </row>
    <row r="488">
      <c r="A488" s="4" t="str">
        <f>IFERROR(__xludf.DUMMYFUNCTION("""COMPUTED_VALUE"""),"1666 - Channel")</f>
        <v>1666 - Channel</v>
      </c>
      <c r="B488" s="4" t="str">
        <f>IFERROR(__xludf.DUMMYFUNCTION("""COMPUTED_VALUE"""),"")</f>
        <v/>
      </c>
      <c r="C488" s="4" t="str">
        <f>IFERROR(__xludf.DUMMYFUNCTION("""COMPUTED_VALUE"""),"")</f>
        <v/>
      </c>
      <c r="D488" s="4" t="str">
        <f>IFERROR(__xludf.DUMMYFUNCTION("""COMPUTED_VALUE"""),"")</f>
        <v/>
      </c>
      <c r="E488" s="4" t="str">
        <f>IFERROR(__xludf.DUMMYFUNCTION("""COMPUTED_VALUE"""),"")</f>
        <v/>
      </c>
      <c r="F488" s="4" t="str">
        <f>IFERROR(__xludf.DUMMYFUNCTION("""COMPUTED_VALUE"""),"")</f>
        <v/>
      </c>
      <c r="G488" s="4" t="str">
        <f>IFERROR(__xludf.DUMMYFUNCTION("""COMPUTED_VALUE"""),"")</f>
        <v/>
      </c>
      <c r="H488" s="4" t="str">
        <f>IFERROR(__xludf.DUMMYFUNCTION("""COMPUTED_VALUE"""),"")</f>
        <v/>
      </c>
      <c r="I488" s="4" t="str">
        <f>IFERROR(__xludf.DUMMYFUNCTION("""COMPUTED_VALUE"""),"")</f>
        <v/>
      </c>
      <c r="J488" s="4" t="str">
        <f>IFERROR(__xludf.DUMMYFUNCTION("""COMPUTED_VALUE"""),"")</f>
        <v/>
      </c>
      <c r="K488" s="4" t="str">
        <f>IFERROR(__xludf.DUMMYFUNCTION("""COMPUTED_VALUE"""),"")</f>
        <v/>
      </c>
      <c r="L488" s="4" t="str">
        <f>IFERROR(__xludf.DUMMYFUNCTION("""COMPUTED_VALUE"""),"")</f>
        <v/>
      </c>
      <c r="M488" s="4" t="str">
        <f>IFERROR(__xludf.DUMMYFUNCTION("""COMPUTED_VALUE"""),"")</f>
        <v/>
      </c>
      <c r="N488" s="4" t="str">
        <f>IFERROR(__xludf.DUMMYFUNCTION("""COMPUTED_VALUE"""),"")</f>
        <v/>
      </c>
      <c r="O488" s="4" t="str">
        <f>IFERROR(__xludf.DUMMYFUNCTION("""COMPUTED_VALUE"""),"")</f>
        <v/>
      </c>
      <c r="P488" s="4" t="str">
        <f>IFERROR(__xludf.DUMMYFUNCTION("""COMPUTED_VALUE"""),"")</f>
        <v/>
      </c>
      <c r="Q488" s="4" t="str">
        <f>IFERROR(__xludf.DUMMYFUNCTION("""COMPUTED_VALUE"""),"")</f>
        <v/>
      </c>
      <c r="R488" s="4" t="str">
        <f>IFERROR(__xludf.DUMMYFUNCTION("""COMPUTED_VALUE"""),"")</f>
        <v/>
      </c>
      <c r="S488" s="4" t="str">
        <f>IFERROR(__xludf.DUMMYFUNCTION("""COMPUTED_VALUE"""),"")</f>
        <v/>
      </c>
      <c r="T488" s="4" t="str">
        <f>IFERROR(__xludf.DUMMYFUNCTION("""COMPUTED_VALUE"""),"")</f>
        <v/>
      </c>
      <c r="U488" s="4" t="str">
        <f>IFERROR(__xludf.DUMMYFUNCTION("""COMPUTED_VALUE"""),"")</f>
        <v/>
      </c>
      <c r="V488" s="4" t="str">
        <f>IFERROR(__xludf.DUMMYFUNCTION("""COMPUTED_VALUE"""),"")</f>
        <v/>
      </c>
      <c r="W488" s="4" t="str">
        <f>IFERROR(__xludf.DUMMYFUNCTION("""COMPUTED_VALUE"""),"")</f>
        <v/>
      </c>
      <c r="X488" s="4" t="str">
        <f>IFERROR(__xludf.DUMMYFUNCTION("""COMPUTED_VALUE"""),"")</f>
        <v/>
      </c>
      <c r="Y488" s="4" t="str">
        <f>IFERROR(__xludf.DUMMYFUNCTION("""COMPUTED_VALUE"""),"")</f>
        <v/>
      </c>
    </row>
    <row r="489">
      <c r="A489" s="4" t="str">
        <f>IFERROR(__xludf.DUMMYFUNCTION("""COMPUTED_VALUE"""),"515 - Channel")</f>
        <v>515 - Channel</v>
      </c>
      <c r="B489" s="4" t="str">
        <f>IFERROR(__xludf.DUMMYFUNCTION("""COMPUTED_VALUE"""),"DAY 2 - Wednesday, 24 June")</f>
        <v>DAY 2 - Wednesday, 24 June</v>
      </c>
      <c r="C489" s="4" t="str">
        <f>IFERROR(__xludf.DUMMYFUNCTION("""COMPUTED_VALUE"""),"")</f>
        <v/>
      </c>
      <c r="D489" s="4" t="str">
        <f>IFERROR(__xludf.DUMMYFUNCTION("""COMPUTED_VALUE"""),"")</f>
        <v/>
      </c>
      <c r="E489" s="4" t="str">
        <f>IFERROR(__xludf.DUMMYFUNCTION("""COMPUTED_VALUE"""),"")</f>
        <v/>
      </c>
      <c r="F489" s="4" t="str">
        <f>IFERROR(__xludf.DUMMYFUNCTION("""COMPUTED_VALUE"""),"")</f>
        <v/>
      </c>
      <c r="G489" s="4" t="str">
        <f>IFERROR(__xludf.DUMMYFUNCTION("""COMPUTED_VALUE"""),"")</f>
        <v/>
      </c>
      <c r="H489" s="4" t="str">
        <f>IFERROR(__xludf.DUMMYFUNCTION("""COMPUTED_VALUE"""),"")</f>
        <v/>
      </c>
      <c r="I489" s="4" t="str">
        <f>IFERROR(__xludf.DUMMYFUNCTION("""COMPUTED_VALUE"""),"")</f>
        <v/>
      </c>
      <c r="J489" s="4" t="str">
        <f>IFERROR(__xludf.DUMMYFUNCTION("""COMPUTED_VALUE"""),"")</f>
        <v/>
      </c>
      <c r="K489" s="4" t="str">
        <f>IFERROR(__xludf.DUMMYFUNCTION("""COMPUTED_VALUE"""),"")</f>
        <v/>
      </c>
      <c r="L489" s="4" t="str">
        <f>IFERROR(__xludf.DUMMYFUNCTION("""COMPUTED_VALUE"""),"")</f>
        <v/>
      </c>
      <c r="M489" s="4" t="str">
        <f>IFERROR(__xludf.DUMMYFUNCTION("""COMPUTED_VALUE"""),"")</f>
        <v/>
      </c>
      <c r="N489" s="4" t="str">
        <f>IFERROR(__xludf.DUMMYFUNCTION("""COMPUTED_VALUE"""),"")</f>
        <v/>
      </c>
      <c r="O489" s="4" t="str">
        <f>IFERROR(__xludf.DUMMYFUNCTION("""COMPUTED_VALUE"""),"")</f>
        <v/>
      </c>
      <c r="P489" s="4" t="str">
        <f>IFERROR(__xludf.DUMMYFUNCTION("""COMPUTED_VALUE"""),"")</f>
        <v/>
      </c>
      <c r="Q489" s="4" t="str">
        <f>IFERROR(__xludf.DUMMYFUNCTION("""COMPUTED_VALUE"""),"")</f>
        <v/>
      </c>
      <c r="R489" s="4" t="str">
        <f>IFERROR(__xludf.DUMMYFUNCTION("""COMPUTED_VALUE"""),"")</f>
        <v/>
      </c>
      <c r="S489" s="4" t="str">
        <f>IFERROR(__xludf.DUMMYFUNCTION("""COMPUTED_VALUE"""),"")</f>
        <v/>
      </c>
      <c r="T489" s="4" t="str">
        <f>IFERROR(__xludf.DUMMYFUNCTION("""COMPUTED_VALUE"""),"")</f>
        <v/>
      </c>
      <c r="U489" s="4" t="str">
        <f>IFERROR(__xludf.DUMMYFUNCTION("""COMPUTED_VALUE"""),"")</f>
        <v/>
      </c>
      <c r="V489" s="4" t="str">
        <f>IFERROR(__xludf.DUMMYFUNCTION("""COMPUTED_VALUE"""),"")</f>
        <v/>
      </c>
      <c r="W489" s="4" t="str">
        <f>IFERROR(__xludf.DUMMYFUNCTION("""COMPUTED_VALUE"""),"")</f>
        <v/>
      </c>
      <c r="X489" s="4" t="str">
        <f>IFERROR(__xludf.DUMMYFUNCTION("""COMPUTED_VALUE"""),"")</f>
        <v/>
      </c>
      <c r="Y489" s="4" t="str">
        <f>IFERROR(__xludf.DUMMYFUNCTION("""COMPUTED_VALUE"""),"")</f>
        <v/>
      </c>
    </row>
    <row r="490">
      <c r="A490" s="4" t="str">
        <f>IFERROR(__xludf.DUMMYFUNCTION("""COMPUTED_VALUE"""),"1714 - Channel")</f>
        <v>1714 - Channel</v>
      </c>
      <c r="B490" s="4" t="str">
        <f>IFERROR(__xludf.DUMMYFUNCTION("""COMPUTED_VALUE"""),"")</f>
        <v/>
      </c>
      <c r="C490" s="4" t="str">
        <f>IFERROR(__xludf.DUMMYFUNCTION("""COMPUTED_VALUE"""),"")</f>
        <v/>
      </c>
      <c r="D490" s="4" t="str">
        <f>IFERROR(__xludf.DUMMYFUNCTION("""COMPUTED_VALUE"""),"")</f>
        <v/>
      </c>
      <c r="E490" s="4" t="str">
        <f>IFERROR(__xludf.DUMMYFUNCTION("""COMPUTED_VALUE"""),"")</f>
        <v/>
      </c>
      <c r="F490" s="4" t="str">
        <f>IFERROR(__xludf.DUMMYFUNCTION("""COMPUTED_VALUE"""),"")</f>
        <v/>
      </c>
      <c r="G490" s="4" t="str">
        <f>IFERROR(__xludf.DUMMYFUNCTION("""COMPUTED_VALUE"""),"")</f>
        <v/>
      </c>
      <c r="H490" s="4" t="str">
        <f>IFERROR(__xludf.DUMMYFUNCTION("""COMPUTED_VALUE"""),"")</f>
        <v/>
      </c>
      <c r="I490" s="4" t="str">
        <f>IFERROR(__xludf.DUMMYFUNCTION("""COMPUTED_VALUE"""),"")</f>
        <v/>
      </c>
      <c r="J490" s="4" t="str">
        <f>IFERROR(__xludf.DUMMYFUNCTION("""COMPUTED_VALUE"""),"")</f>
        <v/>
      </c>
      <c r="K490" s="4" t="str">
        <f>IFERROR(__xludf.DUMMYFUNCTION("""COMPUTED_VALUE"""),"")</f>
        <v/>
      </c>
      <c r="L490" s="4" t="str">
        <f>IFERROR(__xludf.DUMMYFUNCTION("""COMPUTED_VALUE"""),"")</f>
        <v/>
      </c>
      <c r="M490" s="4" t="str">
        <f>IFERROR(__xludf.DUMMYFUNCTION("""COMPUTED_VALUE"""),"")</f>
        <v/>
      </c>
      <c r="N490" s="4" t="str">
        <f>IFERROR(__xludf.DUMMYFUNCTION("""COMPUTED_VALUE"""),"")</f>
        <v/>
      </c>
      <c r="O490" s="4" t="str">
        <f>IFERROR(__xludf.DUMMYFUNCTION("""COMPUTED_VALUE"""),"")</f>
        <v/>
      </c>
      <c r="P490" s="4" t="str">
        <f>IFERROR(__xludf.DUMMYFUNCTION("""COMPUTED_VALUE"""),"")</f>
        <v/>
      </c>
      <c r="Q490" s="4" t="str">
        <f>IFERROR(__xludf.DUMMYFUNCTION("""COMPUTED_VALUE"""),"")</f>
        <v/>
      </c>
      <c r="R490" s="4" t="str">
        <f>IFERROR(__xludf.DUMMYFUNCTION("""COMPUTED_VALUE"""),"")</f>
        <v/>
      </c>
      <c r="S490" s="4" t="str">
        <f>IFERROR(__xludf.DUMMYFUNCTION("""COMPUTED_VALUE"""),"")</f>
        <v/>
      </c>
      <c r="T490" s="4" t="str">
        <f>IFERROR(__xludf.DUMMYFUNCTION("""COMPUTED_VALUE"""),"")</f>
        <v/>
      </c>
      <c r="U490" s="4" t="str">
        <f>IFERROR(__xludf.DUMMYFUNCTION("""COMPUTED_VALUE"""),"")</f>
        <v/>
      </c>
      <c r="V490" s="4" t="str">
        <f>IFERROR(__xludf.DUMMYFUNCTION("""COMPUTED_VALUE"""),"")</f>
        <v/>
      </c>
      <c r="W490" s="4" t="str">
        <f>IFERROR(__xludf.DUMMYFUNCTION("""COMPUTED_VALUE"""),"")</f>
        <v/>
      </c>
      <c r="X490" s="4" t="str">
        <f>IFERROR(__xludf.DUMMYFUNCTION("""COMPUTED_VALUE"""),"")</f>
        <v/>
      </c>
      <c r="Y490" s="4" t="str">
        <f>IFERROR(__xludf.DUMMYFUNCTION("""COMPUTED_VALUE"""),"")</f>
        <v/>
      </c>
    </row>
    <row r="491">
      <c r="A491" s="4" t="str">
        <f>IFERROR(__xludf.DUMMYFUNCTION("""COMPUTED_VALUE"""),"516 - Channel")</f>
        <v>516 - Channel</v>
      </c>
      <c r="B491" s="4" t="str">
        <f>IFERROR(__xludf.DUMMYFUNCTION("""COMPUTED_VALUE"""),"Channel 2")</f>
        <v>Channel 2</v>
      </c>
      <c r="C491" s="4" t="str">
        <f>IFERROR(__xludf.DUMMYFUNCTION("""COMPUTED_VALUE"""),"Day 2 - 24/06")</f>
        <v>Day 2 - 24/06</v>
      </c>
      <c r="D491" s="6">
        <f>IFERROR(__xludf.DUMMYFUNCTION("""COMPUTED_VALUE"""),0.4166666666666667)</f>
        <v>0.4166666667</v>
      </c>
      <c r="E491" s="6">
        <f>IFERROR(__xludf.DUMMYFUNCTION("""COMPUTED_VALUE"""),0.0010416666666666667)</f>
        <v>0.001041666667</v>
      </c>
      <c r="F491" s="6">
        <f>IFERROR(__xludf.DUMMYFUNCTION("""COMPUTED_VALUE"""),0.41770833333333335)</f>
        <v>0.4177083333</v>
      </c>
      <c r="G491" s="4" t="str">
        <f>IFERROR(__xludf.DUMMYFUNCTION("""COMPUTED_VALUE"""),"Graphics")</f>
        <v>Graphics</v>
      </c>
      <c r="H491" s="4" t="str">
        <f>IFERROR(__xludf.DUMMYFUNCTION("""COMPUTED_VALUE"""),"")</f>
        <v/>
      </c>
      <c r="I491" s="4" t="str">
        <f>IFERROR(__xludf.DUMMYFUNCTION("""COMPUTED_VALUE"""),"")</f>
        <v/>
      </c>
      <c r="J491" s="4" t="str">
        <f>IFERROR(__xludf.DUMMYFUNCTION("""COMPUTED_VALUE"""),"Politics")</f>
        <v>Politics</v>
      </c>
      <c r="K491" s="4" t="str">
        <f>IFERROR(__xludf.DUMMYFUNCTION("""COMPUTED_VALUE"""),"Collision From Home Day Intro")</f>
        <v>Collision From Home Day Intro</v>
      </c>
      <c r="L491" s="4" t="str">
        <f>IFERROR(__xludf.DUMMYFUNCTION("""COMPUTED_VALUE"""),"")</f>
        <v/>
      </c>
      <c r="M491" s="4" t="str">
        <f>IFERROR(__xludf.DUMMYFUNCTION("""COMPUTED_VALUE"""),"Collision From Home Day Intro")</f>
        <v>Collision From Home Day Intro</v>
      </c>
      <c r="N491" s="4" t="str">
        <f>IFERROR(__xludf.DUMMYFUNCTION("""COMPUTED_VALUE"""),"")</f>
        <v/>
      </c>
      <c r="O491" s="4" t="str">
        <f>IFERROR(__xludf.DUMMYFUNCTION("""COMPUTED_VALUE"""),"")</f>
        <v/>
      </c>
      <c r="P491" s="4" t="str">
        <f>IFERROR(__xludf.DUMMYFUNCTION("""COMPUTED_VALUE"""),"")</f>
        <v/>
      </c>
      <c r="Q491" s="4" t="str">
        <f>IFERROR(__xludf.DUMMYFUNCTION("""COMPUTED_VALUE"""),"")</f>
        <v/>
      </c>
      <c r="R491" s="4" t="str">
        <f>IFERROR(__xludf.DUMMYFUNCTION("""COMPUTED_VALUE"""),"")</f>
        <v/>
      </c>
      <c r="S491" s="4" t="str">
        <f>IFERROR(__xludf.DUMMYFUNCTION("""COMPUTED_VALUE"""),"")</f>
        <v/>
      </c>
      <c r="T491" s="4" t="str">
        <f>IFERROR(__xludf.DUMMYFUNCTION("""COMPUTED_VALUE"""),"")</f>
        <v/>
      </c>
      <c r="U491" s="4" t="str">
        <f>IFERROR(__xludf.DUMMYFUNCTION("""COMPUTED_VALUE"""),"")</f>
        <v/>
      </c>
      <c r="V491" s="4" t="str">
        <f>IFERROR(__xludf.DUMMYFUNCTION("""COMPUTED_VALUE"""),"")</f>
        <v/>
      </c>
      <c r="W491" s="4" t="str">
        <f>IFERROR(__xludf.DUMMYFUNCTION("""COMPUTED_VALUE"""),"")</f>
        <v/>
      </c>
      <c r="X491" s="4" t="str">
        <f>IFERROR(__xludf.DUMMYFUNCTION("""COMPUTED_VALUE"""),"")</f>
        <v/>
      </c>
      <c r="Y491" s="4" t="str">
        <f>IFERROR(__xludf.DUMMYFUNCTION("""COMPUTED_VALUE"""),"")</f>
        <v/>
      </c>
    </row>
    <row r="492">
      <c r="A492" s="4" t="str">
        <f>IFERROR(__xludf.DUMMYFUNCTION("""COMPUTED_VALUE"""),"517 - Channel")</f>
        <v>517 - Channel</v>
      </c>
      <c r="B492" s="4" t="str">
        <f>IFERROR(__xludf.DUMMYFUNCTION("""COMPUTED_VALUE"""),"Channel 2")</f>
        <v>Channel 2</v>
      </c>
      <c r="C492" s="4" t="str">
        <f>IFERROR(__xludf.DUMMYFUNCTION("""COMPUTED_VALUE"""),"Day 2 - 24/06")</f>
        <v>Day 2 - 24/06</v>
      </c>
      <c r="D492" s="6">
        <f>IFERROR(__xludf.DUMMYFUNCTION("""COMPUTED_VALUE"""),0.41770833333333335)</f>
        <v>0.4177083333</v>
      </c>
      <c r="E492" s="6">
        <f>IFERROR(__xludf.DUMMYFUNCTION("""COMPUTED_VALUE"""),3.4722222222222224E-4)</f>
        <v>0.0003472222222</v>
      </c>
      <c r="F492" s="6">
        <f>IFERROR(__xludf.DUMMYFUNCTION("""COMPUTED_VALUE"""),0.41805555555555557)</f>
        <v>0.4180555556</v>
      </c>
      <c r="G492" s="4" t="str">
        <f>IFERROR(__xludf.DUMMYFUNCTION("""COMPUTED_VALUE"""),"Graphics")</f>
        <v>Graphics</v>
      </c>
      <c r="H492" s="4" t="str">
        <f>IFERROR(__xludf.DUMMYFUNCTION("""COMPUTED_VALUE"""),"")</f>
        <v/>
      </c>
      <c r="I492" s="4" t="str">
        <f>IFERROR(__xludf.DUMMYFUNCTION("""COMPUTED_VALUE"""),"")</f>
        <v/>
      </c>
      <c r="J492" s="4" t="str">
        <f>IFERROR(__xludf.DUMMYFUNCTION("""COMPUTED_VALUE"""),"Politics")</f>
        <v>Politics</v>
      </c>
      <c r="K492" s="4" t="str">
        <f>IFERROR(__xludf.DUMMYFUNCTION("""COMPUTED_VALUE"""),"Talk Intro")</f>
        <v>Talk Intro</v>
      </c>
      <c r="L492" s="4" t="str">
        <f>IFERROR(__xludf.DUMMYFUNCTION("""COMPUTED_VALUE"""),"")</f>
        <v/>
      </c>
      <c r="M492" s="4" t="str">
        <f>IFERROR(__xludf.DUMMYFUNCTION("""COMPUTED_VALUE"""),"Talk Intro")</f>
        <v>Talk Intro</v>
      </c>
      <c r="N492" s="4" t="str">
        <f>IFERROR(__xludf.DUMMYFUNCTION("""COMPUTED_VALUE"""),"")</f>
        <v/>
      </c>
      <c r="O492" s="4" t="str">
        <f>IFERROR(__xludf.DUMMYFUNCTION("""COMPUTED_VALUE"""),"")</f>
        <v/>
      </c>
      <c r="P492" s="4" t="str">
        <f>IFERROR(__xludf.DUMMYFUNCTION("""COMPUTED_VALUE"""),"")</f>
        <v/>
      </c>
      <c r="Q492" s="4" t="str">
        <f>IFERROR(__xludf.DUMMYFUNCTION("""COMPUTED_VALUE"""),"")</f>
        <v/>
      </c>
      <c r="R492" s="4" t="str">
        <f>IFERROR(__xludf.DUMMYFUNCTION("""COMPUTED_VALUE"""),"")</f>
        <v/>
      </c>
      <c r="S492" s="4" t="str">
        <f>IFERROR(__xludf.DUMMYFUNCTION("""COMPUTED_VALUE"""),"")</f>
        <v/>
      </c>
      <c r="T492" s="4" t="str">
        <f>IFERROR(__xludf.DUMMYFUNCTION("""COMPUTED_VALUE"""),"")</f>
        <v/>
      </c>
      <c r="U492" s="4" t="str">
        <f>IFERROR(__xludf.DUMMYFUNCTION("""COMPUTED_VALUE"""),"")</f>
        <v/>
      </c>
      <c r="V492" s="4" t="str">
        <f>IFERROR(__xludf.DUMMYFUNCTION("""COMPUTED_VALUE"""),"")</f>
        <v/>
      </c>
      <c r="W492" s="4" t="str">
        <f>IFERROR(__xludf.DUMMYFUNCTION("""COMPUTED_VALUE"""),"")</f>
        <v/>
      </c>
      <c r="X492" s="4" t="str">
        <f>IFERROR(__xludf.DUMMYFUNCTION("""COMPUTED_VALUE"""),"")</f>
        <v/>
      </c>
      <c r="Y492" s="4" t="str">
        <f>IFERROR(__xludf.DUMMYFUNCTION("""COMPUTED_VALUE"""),"")</f>
        <v/>
      </c>
    </row>
    <row r="493">
      <c r="A493" s="4" t="str">
        <f>IFERROR(__xludf.DUMMYFUNCTION("""COMPUTED_VALUE"""),"518 - Channel")</f>
        <v>518 - Channel</v>
      </c>
      <c r="B493" s="4" t="str">
        <f>IFERROR(__xludf.DUMMYFUNCTION("""COMPUTED_VALUE"""),"Channel 2")</f>
        <v>Channel 2</v>
      </c>
      <c r="C493" s="4" t="str">
        <f>IFERROR(__xludf.DUMMYFUNCTION("""COMPUTED_VALUE"""),"Day 2 - 24/06")</f>
        <v>Day 2 - 24/06</v>
      </c>
      <c r="D493" s="6">
        <f>IFERROR(__xludf.DUMMYFUNCTION("""COMPUTED_VALUE"""),0.41805555555555557)</f>
        <v>0.4180555556</v>
      </c>
      <c r="E493" s="6">
        <f>IFERROR(__xludf.DUMMYFUNCTION("""COMPUTED_VALUE"""),0.00837962962962963)</f>
        <v>0.00837962963</v>
      </c>
      <c r="F493" s="6">
        <f>IFERROR(__xludf.DUMMYFUNCTION("""COMPUTED_VALUE"""),0.4264351851851852)</f>
        <v>0.4264351852</v>
      </c>
      <c r="G493" s="4" t="str">
        <f>IFERROR(__xludf.DUMMYFUNCTION("""COMPUTED_VALUE"""),"Gavin")</f>
        <v>Gavin</v>
      </c>
      <c r="H493" s="4" t="str">
        <f>IFERROR(__xludf.DUMMYFUNCTION("""COMPUTED_VALUE"""),"Eoghan")</f>
        <v>Eoghan</v>
      </c>
      <c r="I493" s="4" t="str">
        <f>IFERROR(__xludf.DUMMYFUNCTION("""COMPUTED_VALUE"""),"Lynn")</f>
        <v>Lynn</v>
      </c>
      <c r="J493" s="4" t="str">
        <f>IFERROR(__xludf.DUMMYFUNCTION("""COMPUTED_VALUE"""),"Politics")</f>
        <v>Politics</v>
      </c>
      <c r="K493" s="4" t="str">
        <f>IFERROR(__xludf.DUMMYFUNCTION("""COMPUTED_VALUE"""),"Super Fireside")</f>
        <v>Super Fireside</v>
      </c>
      <c r="L493" s="4" t="str">
        <f>IFERROR(__xludf.DUMMYFUNCTION("""COMPUTED_VALUE"""),"T- 3 - 01/06/2020")</f>
        <v>T- 3 - 01/06/2020</v>
      </c>
      <c r="M493" s="4" t="str">
        <f>IFERROR(__xludf.DUMMYFUNCTION("""COMPUTED_VALUE"""),"How to win the US presidency")</f>
        <v>How to win the US presidency</v>
      </c>
      <c r="N493" s="4" t="str">
        <f>IFERROR(__xludf.DUMMYFUNCTION("""COMPUTED_VALUE"""),"Joe Pounder, Bullpen Strategy Group")</f>
        <v>Joe Pounder, Bullpen Strategy Group</v>
      </c>
      <c r="O493" s="4" t="str">
        <f>IFERROR(__xludf.DUMMYFUNCTION("""COMPUTED_VALUE"""),"Brian Tyler Cohen, Brian Tyler Cohen")</f>
        <v>Brian Tyler Cohen, Brian Tyler Cohen</v>
      </c>
      <c r="P493" s="4" t="str">
        <f>IFERROR(__xludf.DUMMYFUNCTION("""COMPUTED_VALUE"""),"")</f>
        <v/>
      </c>
      <c r="Q493" s="4" t="str">
        <f>IFERROR(__xludf.DUMMYFUNCTION("""COMPUTED_VALUE"""),"")</f>
        <v/>
      </c>
      <c r="R493" s="4" t="str">
        <f>IFERROR(__xludf.DUMMYFUNCTION("""COMPUTED_VALUE"""),"Sabrina Siddiqui, The Wall Street Journal")</f>
        <v>Sabrina Siddiqui, The Wall Street Journal</v>
      </c>
      <c r="S493" s="4" t="str">
        <f>IFERROR(__xludf.DUMMYFUNCTION("""COMPUTED_VALUE"""),"The upcoming 2020 US election will be arguably the most important election in a generation. Winning it is not going to be easy. This panel brings together some of the leading experts – from across the political spectrum – who'll be discussing how to win. "&amp;"Hear how they plan to defeat their opposition and change the direction of US politics.")</f>
        <v>The upcoming 2020 US election will be arguably the most important election in a generation. Winning it is not going to be easy. This panel brings together some of the leading experts – from across the political spectrum – who'll be discussing how to win. Hear how they plan to defeat their opposition and change the direction of US politics.</v>
      </c>
      <c r="T493" s="4" t="str">
        <f>IFERROR(__xludf.DUMMYFUNCTION("""COMPUTED_VALUE"""),"NON-KEYNOTE 9 - COMPLETE")</f>
        <v>NON-KEYNOTE 9 - COMPLETE</v>
      </c>
      <c r="U493" s="23">
        <f>IFERROR(__xludf.DUMMYFUNCTION("""COMPUTED_VALUE"""),43984.0)</f>
        <v>43984</v>
      </c>
      <c r="V493" s="24">
        <f>IFERROR(__xludf.DUMMYFUNCTION("""COMPUTED_VALUE"""),0.8333333333333334)</f>
        <v>0.8333333333</v>
      </c>
      <c r="W493" s="4" t="str">
        <f>IFERROR(__xludf.DUMMYFUNCTION("""COMPUTED_VALUE"""),"COMPLETE")</f>
        <v>COMPLETE</v>
      </c>
      <c r="X493" s="4" t="str">
        <f>IFERROR(__xludf.DUMMYFUNCTION("""COMPUTED_VALUE"""),"Gavin")</f>
        <v>Gavin</v>
      </c>
      <c r="Y493" s="4" t="str">
        <f>IFERROR(__xludf.DUMMYFUNCTION("""COMPUTED_VALUE"""),"")</f>
        <v/>
      </c>
    </row>
    <row r="494">
      <c r="A494" s="4" t="str">
        <f>IFERROR(__xludf.DUMMYFUNCTION("""COMPUTED_VALUE"""),"519 - Channel")</f>
        <v>519 - Channel</v>
      </c>
      <c r="B494" s="4" t="str">
        <f>IFERROR(__xludf.DUMMYFUNCTION("""COMPUTED_VALUE"""),"Channel 2")</f>
        <v>Channel 2</v>
      </c>
      <c r="C494" s="4" t="str">
        <f>IFERROR(__xludf.DUMMYFUNCTION("""COMPUTED_VALUE"""),"Day 2 - 24/06")</f>
        <v>Day 2 - 24/06</v>
      </c>
      <c r="D494" s="6">
        <f>IFERROR(__xludf.DUMMYFUNCTION("""COMPUTED_VALUE"""),0.4264351851851852)</f>
        <v>0.4264351852</v>
      </c>
      <c r="E494" s="6">
        <f>IFERROR(__xludf.DUMMYFUNCTION("""COMPUTED_VALUE"""),1.7361111111111112E-4)</f>
        <v>0.0001736111111</v>
      </c>
      <c r="F494" s="6">
        <f>IFERROR(__xludf.DUMMYFUNCTION("""COMPUTED_VALUE"""),0.42660879629629633)</f>
        <v>0.4266087963</v>
      </c>
      <c r="G494" s="4" t="str">
        <f>IFERROR(__xludf.DUMMYFUNCTION("""COMPUTED_VALUE"""),"Graphics")</f>
        <v>Graphics</v>
      </c>
      <c r="H494" s="4" t="str">
        <f>IFERROR(__xludf.DUMMYFUNCTION("""COMPUTED_VALUE"""),"")</f>
        <v/>
      </c>
      <c r="I494" s="4" t="str">
        <f>IFERROR(__xludf.DUMMYFUNCTION("""COMPUTED_VALUE"""),"")</f>
        <v/>
      </c>
      <c r="J494" s="4" t="str">
        <f>IFERROR(__xludf.DUMMYFUNCTION("""COMPUTED_VALUE"""),"Politics")</f>
        <v>Politics</v>
      </c>
      <c r="K494" s="4" t="str">
        <f>IFERROR(__xludf.DUMMYFUNCTION("""COMPUTED_VALUE"""),"Talk Outro")</f>
        <v>Talk Outro</v>
      </c>
      <c r="L494" s="4" t="str">
        <f>IFERROR(__xludf.DUMMYFUNCTION("""COMPUTED_VALUE"""),"")</f>
        <v/>
      </c>
      <c r="M494" s="4" t="str">
        <f>IFERROR(__xludf.DUMMYFUNCTION("""COMPUTED_VALUE"""),"Talk Outro")</f>
        <v>Talk Outro</v>
      </c>
      <c r="N494" s="4" t="str">
        <f>IFERROR(__xludf.DUMMYFUNCTION("""COMPUTED_VALUE"""),"")</f>
        <v/>
      </c>
      <c r="O494" s="4" t="str">
        <f>IFERROR(__xludf.DUMMYFUNCTION("""COMPUTED_VALUE"""),"")</f>
        <v/>
      </c>
      <c r="P494" s="4" t="str">
        <f>IFERROR(__xludf.DUMMYFUNCTION("""COMPUTED_VALUE"""),"")</f>
        <v/>
      </c>
      <c r="Q494" s="4" t="str">
        <f>IFERROR(__xludf.DUMMYFUNCTION("""COMPUTED_VALUE"""),"")</f>
        <v/>
      </c>
      <c r="R494" s="4" t="str">
        <f>IFERROR(__xludf.DUMMYFUNCTION("""COMPUTED_VALUE"""),"")</f>
        <v/>
      </c>
      <c r="S494" s="4" t="str">
        <f>IFERROR(__xludf.DUMMYFUNCTION("""COMPUTED_VALUE"""),"")</f>
        <v/>
      </c>
      <c r="T494" s="4" t="str">
        <f>IFERROR(__xludf.DUMMYFUNCTION("""COMPUTED_VALUE"""),"")</f>
        <v/>
      </c>
      <c r="U494" s="4" t="str">
        <f>IFERROR(__xludf.DUMMYFUNCTION("""COMPUTED_VALUE"""),"")</f>
        <v/>
      </c>
      <c r="V494" s="4" t="str">
        <f>IFERROR(__xludf.DUMMYFUNCTION("""COMPUTED_VALUE"""),"")</f>
        <v/>
      </c>
      <c r="W494" s="4" t="str">
        <f>IFERROR(__xludf.DUMMYFUNCTION("""COMPUTED_VALUE"""),"")</f>
        <v/>
      </c>
      <c r="X494" s="4" t="str">
        <f>IFERROR(__xludf.DUMMYFUNCTION("""COMPUTED_VALUE"""),"")</f>
        <v/>
      </c>
      <c r="Y494" s="4" t="str">
        <f>IFERROR(__xludf.DUMMYFUNCTION("""COMPUTED_VALUE"""),"")</f>
        <v/>
      </c>
    </row>
    <row r="495">
      <c r="A495" s="4" t="str">
        <f>IFERROR(__xludf.DUMMYFUNCTION("""COMPUTED_VALUE"""),"531 - Channel")</f>
        <v>531 - Channel</v>
      </c>
      <c r="B495" s="4" t="str">
        <f>IFERROR(__xludf.DUMMYFUNCTION("""COMPUTED_VALUE"""),"Channel 2")</f>
        <v>Channel 2</v>
      </c>
      <c r="C495" s="4" t="str">
        <f>IFERROR(__xludf.DUMMYFUNCTION("""COMPUTED_VALUE"""),"Day 2 - 24/06")</f>
        <v>Day 2 - 24/06</v>
      </c>
      <c r="D495" s="6">
        <f>IFERROR(__xludf.DUMMYFUNCTION("""COMPUTED_VALUE"""),0.42660879629629633)</f>
        <v>0.4266087963</v>
      </c>
      <c r="E495" s="6">
        <f>IFERROR(__xludf.DUMMYFUNCTION("""COMPUTED_VALUE"""),1.7361111111111112E-4)</f>
        <v>0.0001736111111</v>
      </c>
      <c r="F495" s="6">
        <f>IFERROR(__xludf.DUMMYFUNCTION("""COMPUTED_VALUE"""),0.42678240740740747)</f>
        <v>0.4267824074</v>
      </c>
      <c r="G495" s="4" t="str">
        <f>IFERROR(__xludf.DUMMYFUNCTION("""COMPUTED_VALUE"""),"P&amp;E")</f>
        <v>P&amp;E</v>
      </c>
      <c r="H495" s="4" t="str">
        <f>IFERROR(__xludf.DUMMYFUNCTION("""COMPUTED_VALUE"""),"")</f>
        <v/>
      </c>
      <c r="I495" s="4" t="str">
        <f>IFERROR(__xludf.DUMMYFUNCTION("""COMPUTED_VALUE"""),"")</f>
        <v/>
      </c>
      <c r="J495" s="4" t="str">
        <f>IFERROR(__xludf.DUMMYFUNCTION("""COMPUTED_VALUE"""),"Politics")</f>
        <v>Politics</v>
      </c>
      <c r="K495" s="4" t="str">
        <f>IFERROR(__xludf.DUMMYFUNCTION("""COMPUTED_VALUE"""),"Partner ad")</f>
        <v>Partner ad</v>
      </c>
      <c r="L495" s="4" t="str">
        <f>IFERROR(__xludf.DUMMYFUNCTION("""COMPUTED_VALUE"""),"")</f>
        <v/>
      </c>
      <c r="M495" s="4" t="str">
        <f>IFERROR(__xludf.DUMMYFUNCTION("""COMPUTED_VALUE"""),"Partner Adroll - #1 ASSIGNED TO YEXT")</f>
        <v>Partner Adroll - #1 ASSIGNED TO YEXT</v>
      </c>
      <c r="N495" s="4" t="str">
        <f>IFERROR(__xludf.DUMMYFUNCTION("""COMPUTED_VALUE"""),"")</f>
        <v/>
      </c>
      <c r="O495" s="4" t="str">
        <f>IFERROR(__xludf.DUMMYFUNCTION("""COMPUTED_VALUE"""),"")</f>
        <v/>
      </c>
      <c r="P495" s="4" t="str">
        <f>IFERROR(__xludf.DUMMYFUNCTION("""COMPUTED_VALUE"""),"")</f>
        <v/>
      </c>
      <c r="Q495" s="4" t="str">
        <f>IFERROR(__xludf.DUMMYFUNCTION("""COMPUTED_VALUE"""),"")</f>
        <v/>
      </c>
      <c r="R495" s="4" t="str">
        <f>IFERROR(__xludf.DUMMYFUNCTION("""COMPUTED_VALUE"""),"")</f>
        <v/>
      </c>
      <c r="S495" s="4" t="str">
        <f>IFERROR(__xludf.DUMMYFUNCTION("""COMPUTED_VALUE"""),"")</f>
        <v/>
      </c>
      <c r="T495" s="4" t="str">
        <f>IFERROR(__xludf.DUMMYFUNCTION("""COMPUTED_VALUE"""),"")</f>
        <v/>
      </c>
      <c r="U495" s="4" t="str">
        <f>IFERROR(__xludf.DUMMYFUNCTION("""COMPUTED_VALUE"""),"")</f>
        <v/>
      </c>
      <c r="V495" s="4" t="str">
        <f>IFERROR(__xludf.DUMMYFUNCTION("""COMPUTED_VALUE"""),"")</f>
        <v/>
      </c>
      <c r="W495" s="4" t="str">
        <f>IFERROR(__xludf.DUMMYFUNCTION("""COMPUTED_VALUE"""),"")</f>
        <v/>
      </c>
      <c r="X495" s="4" t="str">
        <f>IFERROR(__xludf.DUMMYFUNCTION("""COMPUTED_VALUE"""),"")</f>
        <v/>
      </c>
      <c r="Y495" s="4" t="str">
        <f>IFERROR(__xludf.DUMMYFUNCTION("""COMPUTED_VALUE"""),"")</f>
        <v/>
      </c>
    </row>
    <row r="496">
      <c r="A496" s="4" t="str">
        <f>IFERROR(__xludf.DUMMYFUNCTION("""COMPUTED_VALUE"""),"520 - Channel")</f>
        <v>520 - Channel</v>
      </c>
      <c r="B496" s="4" t="str">
        <f>IFERROR(__xludf.DUMMYFUNCTION("""COMPUTED_VALUE"""),"Channel 2")</f>
        <v>Channel 2</v>
      </c>
      <c r="C496" s="4" t="str">
        <f>IFERROR(__xludf.DUMMYFUNCTION("""COMPUTED_VALUE"""),"Day 2 - 24/06")</f>
        <v>Day 2 - 24/06</v>
      </c>
      <c r="D496" s="6">
        <f>IFERROR(__xludf.DUMMYFUNCTION("""COMPUTED_VALUE"""),0.42678240740740747)</f>
        <v>0.4267824074</v>
      </c>
      <c r="E496" s="6">
        <f>IFERROR(__xludf.DUMMYFUNCTION("""COMPUTED_VALUE"""),3.4722222222222224E-4)</f>
        <v>0.0003472222222</v>
      </c>
      <c r="F496" s="6">
        <f>IFERROR(__xludf.DUMMYFUNCTION("""COMPUTED_VALUE"""),0.4271296296296297)</f>
        <v>0.4271296296</v>
      </c>
      <c r="G496" s="4" t="str">
        <f>IFERROR(__xludf.DUMMYFUNCTION("""COMPUTED_VALUE"""),"Graphics")</f>
        <v>Graphics</v>
      </c>
      <c r="H496" s="4" t="str">
        <f>IFERROR(__xludf.DUMMYFUNCTION("""COMPUTED_VALUE"""),"")</f>
        <v/>
      </c>
      <c r="I496" s="4" t="str">
        <f>IFERROR(__xludf.DUMMYFUNCTION("""COMPUTED_VALUE"""),"")</f>
        <v/>
      </c>
      <c r="J496" s="4" t="str">
        <f>IFERROR(__xludf.DUMMYFUNCTION("""COMPUTED_VALUE"""),"Politics")</f>
        <v>Politics</v>
      </c>
      <c r="K496" s="4" t="str">
        <f>IFERROR(__xludf.DUMMYFUNCTION("""COMPUTED_VALUE"""),"Talk Intro")</f>
        <v>Talk Intro</v>
      </c>
      <c r="L496" s="4" t="str">
        <f>IFERROR(__xludf.DUMMYFUNCTION("""COMPUTED_VALUE"""),"")</f>
        <v/>
      </c>
      <c r="M496" s="4" t="str">
        <f>IFERROR(__xludf.DUMMYFUNCTION("""COMPUTED_VALUE"""),"Talk Intro")</f>
        <v>Talk Intro</v>
      </c>
      <c r="N496" s="4" t="str">
        <f>IFERROR(__xludf.DUMMYFUNCTION("""COMPUTED_VALUE"""),"")</f>
        <v/>
      </c>
      <c r="O496" s="4" t="str">
        <f>IFERROR(__xludf.DUMMYFUNCTION("""COMPUTED_VALUE"""),"")</f>
        <v/>
      </c>
      <c r="P496" s="4" t="str">
        <f>IFERROR(__xludf.DUMMYFUNCTION("""COMPUTED_VALUE"""),"")</f>
        <v/>
      </c>
      <c r="Q496" s="4" t="str">
        <f>IFERROR(__xludf.DUMMYFUNCTION("""COMPUTED_VALUE"""),"")</f>
        <v/>
      </c>
      <c r="R496" s="4" t="str">
        <f>IFERROR(__xludf.DUMMYFUNCTION("""COMPUTED_VALUE"""),"")</f>
        <v/>
      </c>
      <c r="S496" s="4" t="str">
        <f>IFERROR(__xludf.DUMMYFUNCTION("""COMPUTED_VALUE"""),"")</f>
        <v/>
      </c>
      <c r="T496" s="4" t="str">
        <f>IFERROR(__xludf.DUMMYFUNCTION("""COMPUTED_VALUE"""),"")</f>
        <v/>
      </c>
      <c r="U496" s="4" t="str">
        <f>IFERROR(__xludf.DUMMYFUNCTION("""COMPUTED_VALUE"""),"")</f>
        <v/>
      </c>
      <c r="V496" s="4" t="str">
        <f>IFERROR(__xludf.DUMMYFUNCTION("""COMPUTED_VALUE"""),"")</f>
        <v/>
      </c>
      <c r="W496" s="4" t="str">
        <f>IFERROR(__xludf.DUMMYFUNCTION("""COMPUTED_VALUE"""),"")</f>
        <v/>
      </c>
      <c r="X496" s="4" t="str">
        <f>IFERROR(__xludf.DUMMYFUNCTION("""COMPUTED_VALUE"""),"")</f>
        <v/>
      </c>
      <c r="Y496" s="4" t="str">
        <f>IFERROR(__xludf.DUMMYFUNCTION("""COMPUTED_VALUE"""),"")</f>
        <v/>
      </c>
    </row>
    <row r="497">
      <c r="A497" s="4" t="str">
        <f>IFERROR(__xludf.DUMMYFUNCTION("""COMPUTED_VALUE"""),"521 - Channel")</f>
        <v>521 - Channel</v>
      </c>
      <c r="B497" s="4" t="str">
        <f>IFERROR(__xludf.DUMMYFUNCTION("""COMPUTED_VALUE"""),"Channel 2")</f>
        <v>Channel 2</v>
      </c>
      <c r="C497" s="4" t="str">
        <f>IFERROR(__xludf.DUMMYFUNCTION("""COMPUTED_VALUE"""),"Day 2 - 24/06")</f>
        <v>Day 2 - 24/06</v>
      </c>
      <c r="D497" s="6">
        <f>IFERROR(__xludf.DUMMYFUNCTION("""COMPUTED_VALUE"""),0.4271296296296297)</f>
        <v>0.4271296296</v>
      </c>
      <c r="E497" s="6">
        <f>IFERROR(__xludf.DUMMYFUNCTION("""COMPUTED_VALUE"""),0.0125)</f>
        <v>0.0125</v>
      </c>
      <c r="F497" s="6">
        <f>IFERROR(__xludf.DUMMYFUNCTION("""COMPUTED_VALUE"""),0.4396296296296297)</f>
        <v>0.4396296296</v>
      </c>
      <c r="G497" s="4" t="str">
        <f>IFERROR(__xludf.DUMMYFUNCTION("""COMPUTED_VALUE"""),"Gavin")</f>
        <v>Gavin</v>
      </c>
      <c r="H497" s="4" t="str">
        <f>IFERROR(__xludf.DUMMYFUNCTION("""COMPUTED_VALUE"""),"Eoghan")</f>
        <v>Eoghan</v>
      </c>
      <c r="I497" s="4" t="str">
        <f>IFERROR(__xludf.DUMMYFUNCTION("""COMPUTED_VALUE"""),"Naomi")</f>
        <v>Naomi</v>
      </c>
      <c r="J497" s="4" t="str">
        <f>IFERROR(__xludf.DUMMYFUNCTION("""COMPUTED_VALUE"""),"Politics")</f>
        <v>Politics</v>
      </c>
      <c r="K497" s="4" t="str">
        <f>IFERROR(__xludf.DUMMYFUNCTION("""COMPUTED_VALUE"""),"Super Fireside")</f>
        <v>Super Fireside</v>
      </c>
      <c r="L497" s="4" t="str">
        <f>IFERROR(__xludf.DUMMYFUNCTION("""COMPUTED_VALUE"""),"T- 4 - 25/05/2020")</f>
        <v>T- 4 - 25/05/2020</v>
      </c>
      <c r="M497" s="4" t="str">
        <f>IFERROR(__xludf.DUMMYFUNCTION("""COMPUTED_VALUE"""),"Hacking policy: Tech as a force for good")</f>
        <v>Hacking policy: Tech as a force for good</v>
      </c>
      <c r="N497" s="4" t="str">
        <f>IFERROR(__xludf.DUMMYFUNCTION("""COMPUTED_VALUE"""),"Ro Khanna, US House of Representatives")</f>
        <v>Ro Khanna, US House of Representatives</v>
      </c>
      <c r="O497" s="4" t="str">
        <f>IFERROR(__xludf.DUMMYFUNCTION("""COMPUTED_VALUE"""),"Robin Kelly, House of Representatives")</f>
        <v>Robin Kelly, House of Representatives</v>
      </c>
      <c r="P497" s="4" t="str">
        <f>IFERROR(__xludf.DUMMYFUNCTION("""COMPUTED_VALUE"""),"")</f>
        <v/>
      </c>
      <c r="Q497" s="4" t="str">
        <f>IFERROR(__xludf.DUMMYFUNCTION("""COMPUTED_VALUE"""),"")</f>
        <v/>
      </c>
      <c r="R497" s="4" t="str">
        <f>IFERROR(__xludf.DUMMYFUNCTION("""COMPUTED_VALUE"""),"Deirdre Bosa, CNBC")</f>
        <v>Deirdre Bosa, CNBC</v>
      </c>
      <c r="S497" s="4" t="str">
        <f>IFERROR(__xludf.DUMMYFUNCTION("""COMPUTED_VALUE"""),"Poorly crafted policy can hinder economic growth and stifle innovation. It is more vital than ever, during a pandemic, to ensure that our public policy protects workers on the front lines. In this talk, we hear from two of the most innovative policymakers"&amp;" in the US about their efforts to improve the tech sector and our lives in general.")</f>
        <v>Poorly crafted policy can hinder economic growth and stifle innovation. It is more vital than ever, during a pandemic, to ensure that our public policy protects workers on the front lines. In this talk, we hear from two of the most innovative policymakers in the US about their efforts to improve the tech sector and our lives in general.</v>
      </c>
      <c r="T497" s="4" t="str">
        <f>IFERROR(__xludf.DUMMYFUNCTION("""COMPUTED_VALUE"""),"NON-KEYNOTE 9 - COMPLETE")</f>
        <v>NON-KEYNOTE 9 - COMPLETE</v>
      </c>
      <c r="U497" s="23">
        <f>IFERROR(__xludf.DUMMYFUNCTION("""COMPUTED_VALUE"""),43980.0)</f>
        <v>43980</v>
      </c>
      <c r="V497" s="24">
        <f>IFERROR(__xludf.DUMMYFUNCTION("""COMPUTED_VALUE"""),0.9583333333333334)</f>
        <v>0.9583333333</v>
      </c>
      <c r="W497" s="4" t="str">
        <f>IFERROR(__xludf.DUMMYFUNCTION("""COMPUTED_VALUE"""),"COMPLETE")</f>
        <v>COMPLETE</v>
      </c>
      <c r="X497" s="4" t="str">
        <f>IFERROR(__xludf.DUMMYFUNCTION("""COMPUTED_VALUE"""),"Gavin")</f>
        <v>Gavin</v>
      </c>
      <c r="Y497" s="4" t="str">
        <f>IFERROR(__xludf.DUMMYFUNCTION("""COMPUTED_VALUE"""),"")</f>
        <v/>
      </c>
    </row>
    <row r="498">
      <c r="A498" s="4" t="str">
        <f>IFERROR(__xludf.DUMMYFUNCTION("""COMPUTED_VALUE"""),"522 - Channel")</f>
        <v>522 - Channel</v>
      </c>
      <c r="B498" s="4" t="str">
        <f>IFERROR(__xludf.DUMMYFUNCTION("""COMPUTED_VALUE"""),"Channel 2")</f>
        <v>Channel 2</v>
      </c>
      <c r="C498" s="4" t="str">
        <f>IFERROR(__xludf.DUMMYFUNCTION("""COMPUTED_VALUE"""),"Day 2 - 24/06")</f>
        <v>Day 2 - 24/06</v>
      </c>
      <c r="D498" s="6">
        <f>IFERROR(__xludf.DUMMYFUNCTION("""COMPUTED_VALUE"""),0.4396296296296297)</f>
        <v>0.4396296296</v>
      </c>
      <c r="E498" s="6">
        <f>IFERROR(__xludf.DUMMYFUNCTION("""COMPUTED_VALUE"""),1.7361111111111112E-4)</f>
        <v>0.0001736111111</v>
      </c>
      <c r="F498" s="6">
        <f>IFERROR(__xludf.DUMMYFUNCTION("""COMPUTED_VALUE"""),0.43980324074074084)</f>
        <v>0.4398032407</v>
      </c>
      <c r="G498" s="4" t="str">
        <f>IFERROR(__xludf.DUMMYFUNCTION("""COMPUTED_VALUE"""),"Graphics")</f>
        <v>Graphics</v>
      </c>
      <c r="H498" s="4" t="str">
        <f>IFERROR(__xludf.DUMMYFUNCTION("""COMPUTED_VALUE"""),"")</f>
        <v/>
      </c>
      <c r="I498" s="4" t="str">
        <f>IFERROR(__xludf.DUMMYFUNCTION("""COMPUTED_VALUE"""),"")</f>
        <v/>
      </c>
      <c r="J498" s="4" t="str">
        <f>IFERROR(__xludf.DUMMYFUNCTION("""COMPUTED_VALUE"""),"Politics")</f>
        <v>Politics</v>
      </c>
      <c r="K498" s="4" t="str">
        <f>IFERROR(__xludf.DUMMYFUNCTION("""COMPUTED_VALUE"""),"Talk Outro")</f>
        <v>Talk Outro</v>
      </c>
      <c r="L498" s="4" t="str">
        <f>IFERROR(__xludf.DUMMYFUNCTION("""COMPUTED_VALUE"""),"")</f>
        <v/>
      </c>
      <c r="M498" s="4" t="str">
        <f>IFERROR(__xludf.DUMMYFUNCTION("""COMPUTED_VALUE"""),"Talk Outro")</f>
        <v>Talk Outro</v>
      </c>
      <c r="N498" s="4" t="str">
        <f>IFERROR(__xludf.DUMMYFUNCTION("""COMPUTED_VALUE"""),"")</f>
        <v/>
      </c>
      <c r="O498" s="4" t="str">
        <f>IFERROR(__xludf.DUMMYFUNCTION("""COMPUTED_VALUE"""),"")</f>
        <v/>
      </c>
      <c r="P498" s="4" t="str">
        <f>IFERROR(__xludf.DUMMYFUNCTION("""COMPUTED_VALUE"""),"")</f>
        <v/>
      </c>
      <c r="Q498" s="4" t="str">
        <f>IFERROR(__xludf.DUMMYFUNCTION("""COMPUTED_VALUE"""),"")</f>
        <v/>
      </c>
      <c r="R498" s="4" t="str">
        <f>IFERROR(__xludf.DUMMYFUNCTION("""COMPUTED_VALUE"""),"")</f>
        <v/>
      </c>
      <c r="S498" s="4" t="str">
        <f>IFERROR(__xludf.DUMMYFUNCTION("""COMPUTED_VALUE"""),"")</f>
        <v/>
      </c>
      <c r="T498" s="4" t="str">
        <f>IFERROR(__xludf.DUMMYFUNCTION("""COMPUTED_VALUE"""),"")</f>
        <v/>
      </c>
      <c r="U498" s="4" t="str">
        <f>IFERROR(__xludf.DUMMYFUNCTION("""COMPUTED_VALUE"""),"")</f>
        <v/>
      </c>
      <c r="V498" s="4" t="str">
        <f>IFERROR(__xludf.DUMMYFUNCTION("""COMPUTED_VALUE"""),"")</f>
        <v/>
      </c>
      <c r="W498" s="4" t="str">
        <f>IFERROR(__xludf.DUMMYFUNCTION("""COMPUTED_VALUE"""),"")</f>
        <v/>
      </c>
      <c r="X498" s="4" t="str">
        <f>IFERROR(__xludf.DUMMYFUNCTION("""COMPUTED_VALUE"""),"")</f>
        <v/>
      </c>
      <c r="Y498" s="4" t="str">
        <f>IFERROR(__xludf.DUMMYFUNCTION("""COMPUTED_VALUE"""),"")</f>
        <v/>
      </c>
    </row>
    <row r="499">
      <c r="A499" s="4" t="str">
        <f>IFERROR(__xludf.DUMMYFUNCTION("""COMPUTED_VALUE"""),"523 - Channel")</f>
        <v>523 - Channel</v>
      </c>
      <c r="B499" s="4" t="str">
        <f>IFERROR(__xludf.DUMMYFUNCTION("""COMPUTED_VALUE"""),"Channel 2")</f>
        <v>Channel 2</v>
      </c>
      <c r="C499" s="4" t="str">
        <f>IFERROR(__xludf.DUMMYFUNCTION("""COMPUTED_VALUE"""),"Day 2 - 24/06")</f>
        <v>Day 2 - 24/06</v>
      </c>
      <c r="D499" s="6">
        <f>IFERROR(__xludf.DUMMYFUNCTION("""COMPUTED_VALUE"""),0.43980324074074084)</f>
        <v>0.4398032407</v>
      </c>
      <c r="E499" s="6">
        <f>IFERROR(__xludf.DUMMYFUNCTION("""COMPUTED_VALUE"""),3.4722222222222224E-4)</f>
        <v>0.0003472222222</v>
      </c>
      <c r="F499" s="6">
        <f>IFERROR(__xludf.DUMMYFUNCTION("""COMPUTED_VALUE"""),0.44015046296296306)</f>
        <v>0.440150463</v>
      </c>
      <c r="G499" s="4" t="str">
        <f>IFERROR(__xludf.DUMMYFUNCTION("""COMPUTED_VALUE"""),"Graphics")</f>
        <v>Graphics</v>
      </c>
      <c r="H499" s="4" t="str">
        <f>IFERROR(__xludf.DUMMYFUNCTION("""COMPUTED_VALUE"""),"")</f>
        <v/>
      </c>
      <c r="I499" s="4" t="str">
        <f>IFERROR(__xludf.DUMMYFUNCTION("""COMPUTED_VALUE"""),"")</f>
        <v/>
      </c>
      <c r="J499" s="4" t="str">
        <f>IFERROR(__xludf.DUMMYFUNCTION("""COMPUTED_VALUE"""),"Politics")</f>
        <v>Politics</v>
      </c>
      <c r="K499" s="4" t="str">
        <f>IFERROR(__xludf.DUMMYFUNCTION("""COMPUTED_VALUE"""),"Talk Intro")</f>
        <v>Talk Intro</v>
      </c>
      <c r="L499" s="4" t="str">
        <f>IFERROR(__xludf.DUMMYFUNCTION("""COMPUTED_VALUE"""),"")</f>
        <v/>
      </c>
      <c r="M499" s="4" t="str">
        <f>IFERROR(__xludf.DUMMYFUNCTION("""COMPUTED_VALUE"""),"Talk Intro")</f>
        <v>Talk Intro</v>
      </c>
      <c r="N499" s="4" t="str">
        <f>IFERROR(__xludf.DUMMYFUNCTION("""COMPUTED_VALUE"""),"")</f>
        <v/>
      </c>
      <c r="O499" s="4" t="str">
        <f>IFERROR(__xludf.DUMMYFUNCTION("""COMPUTED_VALUE"""),"")</f>
        <v/>
      </c>
      <c r="P499" s="4" t="str">
        <f>IFERROR(__xludf.DUMMYFUNCTION("""COMPUTED_VALUE"""),"")</f>
        <v/>
      </c>
      <c r="Q499" s="4" t="str">
        <f>IFERROR(__xludf.DUMMYFUNCTION("""COMPUTED_VALUE"""),"")</f>
        <v/>
      </c>
      <c r="R499" s="4" t="str">
        <f>IFERROR(__xludf.DUMMYFUNCTION("""COMPUTED_VALUE"""),"")</f>
        <v/>
      </c>
      <c r="S499" s="4" t="str">
        <f>IFERROR(__xludf.DUMMYFUNCTION("""COMPUTED_VALUE"""),"")</f>
        <v/>
      </c>
      <c r="T499" s="4" t="str">
        <f>IFERROR(__xludf.DUMMYFUNCTION("""COMPUTED_VALUE"""),"")</f>
        <v/>
      </c>
      <c r="U499" s="4" t="str">
        <f>IFERROR(__xludf.DUMMYFUNCTION("""COMPUTED_VALUE"""),"")</f>
        <v/>
      </c>
      <c r="V499" s="4" t="str">
        <f>IFERROR(__xludf.DUMMYFUNCTION("""COMPUTED_VALUE"""),"")</f>
        <v/>
      </c>
      <c r="W499" s="4" t="str">
        <f>IFERROR(__xludf.DUMMYFUNCTION("""COMPUTED_VALUE"""),"")</f>
        <v/>
      </c>
      <c r="X499" s="4" t="str">
        <f>IFERROR(__xludf.DUMMYFUNCTION("""COMPUTED_VALUE"""),"")</f>
        <v/>
      </c>
      <c r="Y499" s="4" t="str">
        <f>IFERROR(__xludf.DUMMYFUNCTION("""COMPUTED_VALUE"""),"")</f>
        <v/>
      </c>
    </row>
    <row r="500">
      <c r="A500" s="4" t="str">
        <f>IFERROR(__xludf.DUMMYFUNCTION("""COMPUTED_VALUE"""),"524 - Channel")</f>
        <v>524 - Channel</v>
      </c>
      <c r="B500" s="4" t="str">
        <f>IFERROR(__xludf.DUMMYFUNCTION("""COMPUTED_VALUE"""),"Channel 2")</f>
        <v>Channel 2</v>
      </c>
      <c r="C500" s="4" t="str">
        <f>IFERROR(__xludf.DUMMYFUNCTION("""COMPUTED_VALUE"""),"Day 2 - 24/06")</f>
        <v>Day 2 - 24/06</v>
      </c>
      <c r="D500" s="6">
        <f>IFERROR(__xludf.DUMMYFUNCTION("""COMPUTED_VALUE"""),0.44015046296296306)</f>
        <v>0.440150463</v>
      </c>
      <c r="E500" s="6">
        <f>IFERROR(__xludf.DUMMYFUNCTION("""COMPUTED_VALUE"""),0.008333333333333333)</f>
        <v>0.008333333333</v>
      </c>
      <c r="F500" s="6">
        <f>IFERROR(__xludf.DUMMYFUNCTION("""COMPUTED_VALUE"""),0.4484837962962964)</f>
        <v>0.4484837963</v>
      </c>
      <c r="G500" s="4" t="str">
        <f>IFERROR(__xludf.DUMMYFUNCTION("""COMPUTED_VALUE"""),"Gavin")</f>
        <v>Gavin</v>
      </c>
      <c r="H500" s="4" t="str">
        <f>IFERROR(__xludf.DUMMYFUNCTION("""COMPUTED_VALUE"""),"Eoghan")</f>
        <v>Eoghan</v>
      </c>
      <c r="I500" s="4" t="str">
        <f>IFERROR(__xludf.DUMMYFUNCTION("""COMPUTED_VALUE"""),"Lynn")</f>
        <v>Lynn</v>
      </c>
      <c r="J500" s="4" t="str">
        <f>IFERROR(__xludf.DUMMYFUNCTION("""COMPUTED_VALUE"""),"Politics")</f>
        <v>Politics</v>
      </c>
      <c r="K500" s="4" t="str">
        <f>IFERROR(__xludf.DUMMYFUNCTION("""COMPUTED_VALUE"""),"Super Fireside")</f>
        <v>Super Fireside</v>
      </c>
      <c r="L500" s="4" t="str">
        <f>IFERROR(__xludf.DUMMYFUNCTION("""COMPUTED_VALUE"""),"T- 6 - 11/05/2020")</f>
        <v>T- 6 - 11/05/2020</v>
      </c>
      <c r="M500" s="4" t="str">
        <f>IFERROR(__xludf.DUMMYFUNCTION("""COMPUTED_VALUE"""),"Elections in a post-Covid world")</f>
        <v>Elections in a post-Covid world</v>
      </c>
      <c r="N500" s="4" t="str">
        <f>IFERROR(__xludf.DUMMYFUNCTION("""COMPUTED_VALUE"""),"Sheila Nix, Tusk Holdings")</f>
        <v>Sheila Nix, Tusk Holdings</v>
      </c>
      <c r="O500" s="4" t="str">
        <f>IFERROR(__xludf.DUMMYFUNCTION("""COMPUTED_VALUE"""),"Lea Endres, Nationbuilder")</f>
        <v>Lea Endres, Nationbuilder</v>
      </c>
      <c r="P500" s="4" t="str">
        <f>IFERROR(__xludf.DUMMYFUNCTION("""COMPUTED_VALUE"""),"")</f>
        <v/>
      </c>
      <c r="Q500" s="4" t="str">
        <f>IFERROR(__xludf.DUMMYFUNCTION("""COMPUTED_VALUE"""),"")</f>
        <v/>
      </c>
      <c r="R500" s="4" t="str">
        <f>IFERROR(__xludf.DUMMYFUNCTION("""COMPUTED_VALUE"""),"Sabrina Siddiqui, The Wall Street Journal")</f>
        <v>Sabrina Siddiqui, The Wall Street Journal</v>
      </c>
      <c r="S500" s="4" t="str">
        <f>IFERROR(__xludf.DUMMYFUNCTION("""COMPUTED_VALUE"""),"Voting is the lifeblood of modern democracy. Finding new ways to vote – and to run elections – is vital in ensuring as many people as possible participate in our democracies. This session will explore how tech can help.")</f>
        <v>Voting is the lifeblood of modern democracy. Finding new ways to vote – and to run elections – is vital in ensuring as many people as possible participate in our democracies. This session will explore how tech can help.</v>
      </c>
      <c r="T500" s="4" t="str">
        <f>IFERROR(__xludf.DUMMYFUNCTION("""COMPUTED_VALUE"""),"NON-KEYNOTE 9 - COMPLETE")</f>
        <v>NON-KEYNOTE 9 - COMPLETE</v>
      </c>
      <c r="U500" s="23">
        <f>IFERROR(__xludf.DUMMYFUNCTION("""COMPUTED_VALUE"""),43966.0)</f>
        <v>43966</v>
      </c>
      <c r="V500" s="24">
        <f>IFERROR(__xludf.DUMMYFUNCTION("""COMPUTED_VALUE"""),0.8333333333333334)</f>
        <v>0.8333333333</v>
      </c>
      <c r="W500" s="4" t="str">
        <f>IFERROR(__xludf.DUMMYFUNCTION("""COMPUTED_VALUE"""),"COMPLETE")</f>
        <v>COMPLETE</v>
      </c>
      <c r="X500" s="4" t="str">
        <f>IFERROR(__xludf.DUMMYFUNCTION("""COMPUTED_VALUE"""),"Gavin")</f>
        <v>Gavin</v>
      </c>
      <c r="Y500" s="4" t="str">
        <f>IFERROR(__xludf.DUMMYFUNCTION("""COMPUTED_VALUE"""),"")</f>
        <v/>
      </c>
    </row>
    <row r="501">
      <c r="A501" s="4" t="str">
        <f>IFERROR(__xludf.DUMMYFUNCTION("""COMPUTED_VALUE"""),"525 - Channel")</f>
        <v>525 - Channel</v>
      </c>
      <c r="B501" s="4" t="str">
        <f>IFERROR(__xludf.DUMMYFUNCTION("""COMPUTED_VALUE"""),"Channel 2")</f>
        <v>Channel 2</v>
      </c>
      <c r="C501" s="4" t="str">
        <f>IFERROR(__xludf.DUMMYFUNCTION("""COMPUTED_VALUE"""),"Day 2 - 24/06")</f>
        <v>Day 2 - 24/06</v>
      </c>
      <c r="D501" s="6">
        <f>IFERROR(__xludf.DUMMYFUNCTION("""COMPUTED_VALUE"""),0.4484837962962964)</f>
        <v>0.4484837963</v>
      </c>
      <c r="E501" s="6">
        <f>IFERROR(__xludf.DUMMYFUNCTION("""COMPUTED_VALUE"""),1.7361111111111112E-4)</f>
        <v>0.0001736111111</v>
      </c>
      <c r="F501" s="6">
        <f>IFERROR(__xludf.DUMMYFUNCTION("""COMPUTED_VALUE"""),0.44865740740740756)</f>
        <v>0.4486574074</v>
      </c>
      <c r="G501" s="4" t="str">
        <f>IFERROR(__xludf.DUMMYFUNCTION("""COMPUTED_VALUE"""),"Graphics")</f>
        <v>Graphics</v>
      </c>
      <c r="H501" s="4" t="str">
        <f>IFERROR(__xludf.DUMMYFUNCTION("""COMPUTED_VALUE"""),"")</f>
        <v/>
      </c>
      <c r="I501" s="4" t="str">
        <f>IFERROR(__xludf.DUMMYFUNCTION("""COMPUTED_VALUE"""),"")</f>
        <v/>
      </c>
      <c r="J501" s="4" t="str">
        <f>IFERROR(__xludf.DUMMYFUNCTION("""COMPUTED_VALUE"""),"Politics")</f>
        <v>Politics</v>
      </c>
      <c r="K501" s="4" t="str">
        <f>IFERROR(__xludf.DUMMYFUNCTION("""COMPUTED_VALUE"""),"Talk Outro")</f>
        <v>Talk Outro</v>
      </c>
      <c r="L501" s="4" t="str">
        <f>IFERROR(__xludf.DUMMYFUNCTION("""COMPUTED_VALUE"""),"")</f>
        <v/>
      </c>
      <c r="M501" s="4" t="str">
        <f>IFERROR(__xludf.DUMMYFUNCTION("""COMPUTED_VALUE"""),"Talk Outro")</f>
        <v>Talk Outro</v>
      </c>
      <c r="N501" s="4" t="str">
        <f>IFERROR(__xludf.DUMMYFUNCTION("""COMPUTED_VALUE"""),"")</f>
        <v/>
      </c>
      <c r="O501" s="4" t="str">
        <f>IFERROR(__xludf.DUMMYFUNCTION("""COMPUTED_VALUE"""),"")</f>
        <v/>
      </c>
      <c r="P501" s="4" t="str">
        <f>IFERROR(__xludf.DUMMYFUNCTION("""COMPUTED_VALUE"""),"")</f>
        <v/>
      </c>
      <c r="Q501" s="4" t="str">
        <f>IFERROR(__xludf.DUMMYFUNCTION("""COMPUTED_VALUE"""),"")</f>
        <v/>
      </c>
      <c r="R501" s="4" t="str">
        <f>IFERROR(__xludf.DUMMYFUNCTION("""COMPUTED_VALUE"""),"")</f>
        <v/>
      </c>
      <c r="S501" s="4" t="str">
        <f>IFERROR(__xludf.DUMMYFUNCTION("""COMPUTED_VALUE"""),"")</f>
        <v/>
      </c>
      <c r="T501" s="4" t="str">
        <f>IFERROR(__xludf.DUMMYFUNCTION("""COMPUTED_VALUE"""),"")</f>
        <v/>
      </c>
      <c r="U501" s="4" t="str">
        <f>IFERROR(__xludf.DUMMYFUNCTION("""COMPUTED_VALUE"""),"")</f>
        <v/>
      </c>
      <c r="V501" s="4" t="str">
        <f>IFERROR(__xludf.DUMMYFUNCTION("""COMPUTED_VALUE"""),"")</f>
        <v/>
      </c>
      <c r="W501" s="4" t="str">
        <f>IFERROR(__xludf.DUMMYFUNCTION("""COMPUTED_VALUE"""),"")</f>
        <v/>
      </c>
      <c r="X501" s="4" t="str">
        <f>IFERROR(__xludf.DUMMYFUNCTION("""COMPUTED_VALUE"""),"")</f>
        <v/>
      </c>
      <c r="Y501" s="4" t="str">
        <f>IFERROR(__xludf.DUMMYFUNCTION("""COMPUTED_VALUE"""),"")</f>
        <v/>
      </c>
    </row>
    <row r="502">
      <c r="A502" s="4" t="str">
        <f>IFERROR(__xludf.DUMMYFUNCTION("""COMPUTED_VALUE"""),"815 - Channel")</f>
        <v>815 - Channel</v>
      </c>
      <c r="B502" s="4" t="str">
        <f>IFERROR(__xludf.DUMMYFUNCTION("""COMPUTED_VALUE"""),"Channel 2")</f>
        <v>Channel 2</v>
      </c>
      <c r="C502" s="4" t="str">
        <f>IFERROR(__xludf.DUMMYFUNCTION("""COMPUTED_VALUE"""),"Day 2 - 24/06")</f>
        <v>Day 2 - 24/06</v>
      </c>
      <c r="D502" s="6">
        <f>IFERROR(__xludf.DUMMYFUNCTION("""COMPUTED_VALUE"""),0.44865740740740756)</f>
        <v>0.4486574074</v>
      </c>
      <c r="E502" s="6">
        <f>IFERROR(__xludf.DUMMYFUNCTION("""COMPUTED_VALUE"""),3.4722222222222224E-4)</f>
        <v>0.0003472222222</v>
      </c>
      <c r="F502" s="6">
        <f>IFERROR(__xludf.DUMMYFUNCTION("""COMPUTED_VALUE"""),0.4490046296296298)</f>
        <v>0.4490046296</v>
      </c>
      <c r="G502" s="4" t="str">
        <f>IFERROR(__xludf.DUMMYFUNCTION("""COMPUTED_VALUE"""),"Graphics")</f>
        <v>Graphics</v>
      </c>
      <c r="H502" s="4" t="str">
        <f>IFERROR(__xludf.DUMMYFUNCTION("""COMPUTED_VALUE"""),"N/A")</f>
        <v>N/A</v>
      </c>
      <c r="I502" s="4" t="str">
        <f>IFERROR(__xludf.DUMMYFUNCTION("""COMPUTED_VALUE"""),"N/A")</f>
        <v>N/A</v>
      </c>
      <c r="J502" s="4" t="str">
        <f>IFERROR(__xludf.DUMMYFUNCTION("""COMPUTED_VALUE"""),"Design")</f>
        <v>Design</v>
      </c>
      <c r="K502" s="4" t="str">
        <f>IFERROR(__xludf.DUMMYFUNCTION("""COMPUTED_VALUE"""),"Talk Intro")</f>
        <v>Talk Intro</v>
      </c>
      <c r="L502" s="4" t="str">
        <f>IFERROR(__xludf.DUMMYFUNCTION("""COMPUTED_VALUE"""),"")</f>
        <v/>
      </c>
      <c r="M502" s="4" t="str">
        <f>IFERROR(__xludf.DUMMYFUNCTION("""COMPUTED_VALUE"""),"Talk Intro")</f>
        <v>Talk Intro</v>
      </c>
      <c r="N502" s="4" t="str">
        <f>IFERROR(__xludf.DUMMYFUNCTION("""COMPUTED_VALUE"""),"")</f>
        <v/>
      </c>
      <c r="O502" s="4" t="str">
        <f>IFERROR(__xludf.DUMMYFUNCTION("""COMPUTED_VALUE"""),"")</f>
        <v/>
      </c>
      <c r="P502" s="4" t="str">
        <f>IFERROR(__xludf.DUMMYFUNCTION("""COMPUTED_VALUE"""),"")</f>
        <v/>
      </c>
      <c r="Q502" s="4" t="str">
        <f>IFERROR(__xludf.DUMMYFUNCTION("""COMPUTED_VALUE"""),"")</f>
        <v/>
      </c>
      <c r="R502" s="4" t="str">
        <f>IFERROR(__xludf.DUMMYFUNCTION("""COMPUTED_VALUE"""),"")</f>
        <v/>
      </c>
      <c r="S502" s="4" t="str">
        <f>IFERROR(__xludf.DUMMYFUNCTION("""COMPUTED_VALUE"""),"")</f>
        <v/>
      </c>
      <c r="T502" s="4" t="str">
        <f>IFERROR(__xludf.DUMMYFUNCTION("""COMPUTED_VALUE"""),"")</f>
        <v/>
      </c>
      <c r="U502" s="4" t="str">
        <f>IFERROR(__xludf.DUMMYFUNCTION("""COMPUTED_VALUE"""),"")</f>
        <v/>
      </c>
      <c r="V502" s="4" t="str">
        <f>IFERROR(__xludf.DUMMYFUNCTION("""COMPUTED_VALUE"""),"")</f>
        <v/>
      </c>
      <c r="W502" s="4" t="str">
        <f>IFERROR(__xludf.DUMMYFUNCTION("""COMPUTED_VALUE"""),"")</f>
        <v/>
      </c>
      <c r="X502" s="4" t="str">
        <f>IFERROR(__xludf.DUMMYFUNCTION("""COMPUTED_VALUE"""),"")</f>
        <v/>
      </c>
      <c r="Y502" s="4" t="str">
        <f>IFERROR(__xludf.DUMMYFUNCTION("""COMPUTED_VALUE"""),"")</f>
        <v/>
      </c>
    </row>
    <row r="503">
      <c r="A503" s="4" t="str">
        <f>IFERROR(__xludf.DUMMYFUNCTION("""COMPUTED_VALUE"""),"816 - Channel")</f>
        <v>816 - Channel</v>
      </c>
      <c r="B503" s="4" t="str">
        <f>IFERROR(__xludf.DUMMYFUNCTION("""COMPUTED_VALUE"""),"Channel 2")</f>
        <v>Channel 2</v>
      </c>
      <c r="C503" s="4" t="str">
        <f>IFERROR(__xludf.DUMMYFUNCTION("""COMPUTED_VALUE"""),"Day 2 - 24/06")</f>
        <v>Day 2 - 24/06</v>
      </c>
      <c r="D503" s="6">
        <f>IFERROR(__xludf.DUMMYFUNCTION("""COMPUTED_VALUE"""),0.4490046296296298)</f>
        <v>0.4490046296</v>
      </c>
      <c r="E503" s="6">
        <f>IFERROR(__xludf.DUMMYFUNCTION("""COMPUTED_VALUE"""),0.010578703703703703)</f>
        <v>0.0105787037</v>
      </c>
      <c r="F503" s="6">
        <f>IFERROR(__xludf.DUMMYFUNCTION("""COMPUTED_VALUE"""),0.4595833333333335)</f>
        <v>0.4595833333</v>
      </c>
      <c r="G503" s="4" t="str">
        <f>IFERROR(__xludf.DUMMYFUNCTION("""COMPUTED_VALUE"""),"Lucia G.")</f>
        <v>Lucia G.</v>
      </c>
      <c r="H503" s="4" t="str">
        <f>IFERROR(__xludf.DUMMYFUNCTION("""COMPUTED_VALUE"""),"N/A")</f>
        <v>N/A</v>
      </c>
      <c r="I503" s="4" t="str">
        <f>IFERROR(__xludf.DUMMYFUNCTION("""COMPUTED_VALUE"""),"Jack")</f>
        <v>Jack</v>
      </c>
      <c r="J503" s="4" t="str">
        <f>IFERROR(__xludf.DUMMYFUNCTION("""COMPUTED_VALUE"""),"Design")</f>
        <v>Design</v>
      </c>
      <c r="K503" s="4" t="str">
        <f>IFERROR(__xludf.DUMMYFUNCTION("""COMPUTED_VALUE"""),"Keynote")</f>
        <v>Keynote</v>
      </c>
      <c r="L503" s="4" t="str">
        <f>IFERROR(__xludf.DUMMYFUNCTION("""COMPUTED_VALUE"""),"T- 5 - 18/05/2020")</f>
        <v>T- 5 - 18/05/2020</v>
      </c>
      <c r="M503" s="4" t="str">
        <f>IFERROR(__xludf.DUMMYFUNCTION("""COMPUTED_VALUE"""),"Making it real. (Fast.)")</f>
        <v>Making it real. (Fast.)</v>
      </c>
      <c r="N503" s="4" t="str">
        <f>IFERROR(__xludf.DUMMYFUNCTION("""COMPUTED_VALUE"""),"Emily Oberman, Pentagram")</f>
        <v>Emily Oberman, Pentagram</v>
      </c>
      <c r="O503" s="4" t="str">
        <f>IFERROR(__xludf.DUMMYFUNCTION("""COMPUTED_VALUE"""),"")</f>
        <v/>
      </c>
      <c r="P503" s="4" t="str">
        <f>IFERROR(__xludf.DUMMYFUNCTION("""COMPUTED_VALUE"""),"")</f>
        <v/>
      </c>
      <c r="Q503" s="4" t="str">
        <f>IFERROR(__xludf.DUMMYFUNCTION("""COMPUTED_VALUE"""),"")</f>
        <v/>
      </c>
      <c r="R503" s="4" t="str">
        <f>IFERROR(__xludf.DUMMYFUNCTION("""COMPUTED_VALUE"""),"")</f>
        <v/>
      </c>
      <c r="S503" s="4" t="str">
        <f>IFERROR(__xludf.DUMMYFUNCTION("""COMPUTED_VALUE"""),"Pentagram partner Emily Oberman shares the stories of two branding projects: one for Warner Bros that took three years, and another for the UN that took three days. Both projects reveal how a brand identity can take an idea that everyone believes in and g"&amp;"ive it an emblem that everyone can rally around.")</f>
        <v>Pentagram partner Emily Oberman shares the stories of two branding projects: one for Warner Bros that took three years, and another for the UN that took three days. Both projects reveal how a brand identity can take an idea that everyone believes in and give it an emblem that everyone can rally around.</v>
      </c>
      <c r="T503" s="4" t="str">
        <f>IFERROR(__xludf.DUMMYFUNCTION("""COMPUTED_VALUE"""),"KEYNOTE 8 - COMPLETE")</f>
        <v>KEYNOTE 8 - COMPLETE</v>
      </c>
      <c r="U503" s="23">
        <f>IFERROR(__xludf.DUMMYFUNCTION("""COMPUTED_VALUE"""),43972.0)</f>
        <v>43972</v>
      </c>
      <c r="V503" s="24">
        <f>IFERROR(__xludf.DUMMYFUNCTION("""COMPUTED_VALUE"""),0.6875)</f>
        <v>0.6875</v>
      </c>
      <c r="W503" s="4" t="str">
        <f>IFERROR(__xludf.DUMMYFUNCTION("""COMPUTED_VALUE"""),"COMPLETE")</f>
        <v>COMPLETE</v>
      </c>
      <c r="X503" s="4" t="str">
        <f>IFERROR(__xludf.DUMMYFUNCTION("""COMPUTED_VALUE"""),"Lucia G.")</f>
        <v>Lucia G.</v>
      </c>
      <c r="Y503" s="4" t="str">
        <f>IFERROR(__xludf.DUMMYFUNCTION("""COMPUTED_VALUE"""),"")</f>
        <v/>
      </c>
    </row>
    <row r="504">
      <c r="A504" s="4" t="str">
        <f>IFERROR(__xludf.DUMMYFUNCTION("""COMPUTED_VALUE"""),"817 - Channel")</f>
        <v>817 - Channel</v>
      </c>
      <c r="B504" s="4" t="str">
        <f>IFERROR(__xludf.DUMMYFUNCTION("""COMPUTED_VALUE"""),"Channel 2")</f>
        <v>Channel 2</v>
      </c>
      <c r="C504" s="4" t="str">
        <f>IFERROR(__xludf.DUMMYFUNCTION("""COMPUTED_VALUE"""),"Day 2 - 24/06")</f>
        <v>Day 2 - 24/06</v>
      </c>
      <c r="D504" s="6">
        <f>IFERROR(__xludf.DUMMYFUNCTION("""COMPUTED_VALUE"""),0.4595833333333335)</f>
        <v>0.4595833333</v>
      </c>
      <c r="E504" s="6">
        <f>IFERROR(__xludf.DUMMYFUNCTION("""COMPUTED_VALUE"""),1.7361111111111112E-4)</f>
        <v>0.0001736111111</v>
      </c>
      <c r="F504" s="6">
        <f>IFERROR(__xludf.DUMMYFUNCTION("""COMPUTED_VALUE"""),0.45975694444444465)</f>
        <v>0.4597569444</v>
      </c>
      <c r="G504" s="4" t="str">
        <f>IFERROR(__xludf.DUMMYFUNCTION("""COMPUTED_VALUE"""),"Graphics")</f>
        <v>Graphics</v>
      </c>
      <c r="H504" s="4" t="str">
        <f>IFERROR(__xludf.DUMMYFUNCTION("""COMPUTED_VALUE"""),"N/A")</f>
        <v>N/A</v>
      </c>
      <c r="I504" s="4" t="str">
        <f>IFERROR(__xludf.DUMMYFUNCTION("""COMPUTED_VALUE"""),"N/A")</f>
        <v>N/A</v>
      </c>
      <c r="J504" s="4" t="str">
        <f>IFERROR(__xludf.DUMMYFUNCTION("""COMPUTED_VALUE"""),"Design")</f>
        <v>Design</v>
      </c>
      <c r="K504" s="4" t="str">
        <f>IFERROR(__xludf.DUMMYFUNCTION("""COMPUTED_VALUE"""),"Talk Outro")</f>
        <v>Talk Outro</v>
      </c>
      <c r="L504" s="4" t="str">
        <f>IFERROR(__xludf.DUMMYFUNCTION("""COMPUTED_VALUE"""),"")</f>
        <v/>
      </c>
      <c r="M504" s="4" t="str">
        <f>IFERROR(__xludf.DUMMYFUNCTION("""COMPUTED_VALUE"""),"Talk Outro")</f>
        <v>Talk Outro</v>
      </c>
      <c r="N504" s="4" t="str">
        <f>IFERROR(__xludf.DUMMYFUNCTION("""COMPUTED_VALUE"""),"")</f>
        <v/>
      </c>
      <c r="O504" s="4" t="str">
        <f>IFERROR(__xludf.DUMMYFUNCTION("""COMPUTED_VALUE"""),"")</f>
        <v/>
      </c>
      <c r="P504" s="4" t="str">
        <f>IFERROR(__xludf.DUMMYFUNCTION("""COMPUTED_VALUE"""),"")</f>
        <v/>
      </c>
      <c r="Q504" s="4" t="str">
        <f>IFERROR(__xludf.DUMMYFUNCTION("""COMPUTED_VALUE"""),"")</f>
        <v/>
      </c>
      <c r="R504" s="4" t="str">
        <f>IFERROR(__xludf.DUMMYFUNCTION("""COMPUTED_VALUE"""),"")</f>
        <v/>
      </c>
      <c r="S504" s="4" t="str">
        <f>IFERROR(__xludf.DUMMYFUNCTION("""COMPUTED_VALUE"""),"")</f>
        <v/>
      </c>
      <c r="T504" s="4" t="str">
        <f>IFERROR(__xludf.DUMMYFUNCTION("""COMPUTED_VALUE"""),"")</f>
        <v/>
      </c>
      <c r="U504" s="4" t="str">
        <f>IFERROR(__xludf.DUMMYFUNCTION("""COMPUTED_VALUE"""),"")</f>
        <v/>
      </c>
      <c r="V504" s="4" t="str">
        <f>IFERROR(__xludf.DUMMYFUNCTION("""COMPUTED_VALUE"""),"")</f>
        <v/>
      </c>
      <c r="W504" s="4" t="str">
        <f>IFERROR(__xludf.DUMMYFUNCTION("""COMPUTED_VALUE"""),"")</f>
        <v/>
      </c>
      <c r="X504" s="4" t="str">
        <f>IFERROR(__xludf.DUMMYFUNCTION("""COMPUTED_VALUE"""),"")</f>
        <v/>
      </c>
      <c r="Y504" s="4" t="str">
        <f>IFERROR(__xludf.DUMMYFUNCTION("""COMPUTED_VALUE"""),"")</f>
        <v/>
      </c>
    </row>
    <row r="505">
      <c r="A505" s="4" t="str">
        <f>IFERROR(__xludf.DUMMYFUNCTION("""COMPUTED_VALUE"""),"529 - Channel")</f>
        <v>529 - Channel</v>
      </c>
      <c r="B505" s="4" t="str">
        <f>IFERROR(__xludf.DUMMYFUNCTION("""COMPUTED_VALUE"""),"Channel 2")</f>
        <v>Channel 2</v>
      </c>
      <c r="C505" s="4" t="str">
        <f>IFERROR(__xludf.DUMMYFUNCTION("""COMPUTED_VALUE"""),"Day 2 - 24/06")</f>
        <v>Day 2 - 24/06</v>
      </c>
      <c r="D505" s="4" t="str">
        <f>IFERROR(__xludf.DUMMYFUNCTION("""COMPUTED_VALUE"""),"")</f>
        <v/>
      </c>
      <c r="E505" s="4" t="str">
        <f>IFERROR(__xludf.DUMMYFUNCTION("""COMPUTED_VALUE"""),"")</f>
        <v/>
      </c>
      <c r="F505" s="4" t="str">
        <f>IFERROR(__xludf.DUMMYFUNCTION("""COMPUTED_VALUE"""),"")</f>
        <v/>
      </c>
      <c r="G505" s="4" t="str">
        <f>IFERROR(__xludf.DUMMYFUNCTION("""COMPUTED_VALUE"""),"")</f>
        <v/>
      </c>
      <c r="H505" s="4" t="str">
        <f>IFERROR(__xludf.DUMMYFUNCTION("""COMPUTED_VALUE"""),"")</f>
        <v/>
      </c>
      <c r="I505" s="4" t="str">
        <f>IFERROR(__xludf.DUMMYFUNCTION("""COMPUTED_VALUE"""),"")</f>
        <v/>
      </c>
      <c r="J505" s="4" t="str">
        <f>IFERROR(__xludf.DUMMYFUNCTION("""COMPUTED_VALUE"""),"")</f>
        <v/>
      </c>
      <c r="K505" s="4" t="str">
        <f>IFERROR(__xludf.DUMMYFUNCTION("""COMPUTED_VALUE"""),"")</f>
        <v/>
      </c>
      <c r="L505" s="4" t="str">
        <f>IFERROR(__xludf.DUMMYFUNCTION("""COMPUTED_VALUE"""),"")</f>
        <v/>
      </c>
      <c r="M505" s="4" t="str">
        <f>IFERROR(__xludf.DUMMYFUNCTION("""COMPUTED_VALUE"""),"")</f>
        <v/>
      </c>
      <c r="N505" s="4" t="str">
        <f>IFERROR(__xludf.DUMMYFUNCTION("""COMPUTED_VALUE"""),"")</f>
        <v/>
      </c>
      <c r="O505" s="4" t="str">
        <f>IFERROR(__xludf.DUMMYFUNCTION("""COMPUTED_VALUE"""),"")</f>
        <v/>
      </c>
      <c r="P505" s="4" t="str">
        <f>IFERROR(__xludf.DUMMYFUNCTION("""COMPUTED_VALUE"""),"")</f>
        <v/>
      </c>
      <c r="Q505" s="4" t="str">
        <f>IFERROR(__xludf.DUMMYFUNCTION("""COMPUTED_VALUE"""),"")</f>
        <v/>
      </c>
      <c r="R505" s="4" t="str">
        <f>IFERROR(__xludf.DUMMYFUNCTION("""COMPUTED_VALUE"""),"")</f>
        <v/>
      </c>
      <c r="S505" s="4" t="str">
        <f>IFERROR(__xludf.DUMMYFUNCTION("""COMPUTED_VALUE"""),"")</f>
        <v/>
      </c>
      <c r="T505" s="4" t="str">
        <f>IFERROR(__xludf.DUMMYFUNCTION("""COMPUTED_VALUE"""),"")</f>
        <v/>
      </c>
      <c r="U505" s="4" t="str">
        <f>IFERROR(__xludf.DUMMYFUNCTION("""COMPUTED_VALUE"""),"")</f>
        <v/>
      </c>
      <c r="V505" s="4" t="str">
        <f>IFERROR(__xludf.DUMMYFUNCTION("""COMPUTED_VALUE"""),"")</f>
        <v/>
      </c>
      <c r="W505" s="4" t="str">
        <f>IFERROR(__xludf.DUMMYFUNCTION("""COMPUTED_VALUE"""),"")</f>
        <v/>
      </c>
      <c r="X505" s="4" t="str">
        <f>IFERROR(__xludf.DUMMYFUNCTION("""COMPUTED_VALUE"""),"")</f>
        <v/>
      </c>
      <c r="Y505" s="4" t="str">
        <f>IFERROR(__xludf.DUMMYFUNCTION("""COMPUTED_VALUE"""),"")</f>
        <v/>
      </c>
    </row>
    <row r="506">
      <c r="A506" s="4" t="str">
        <f>IFERROR(__xludf.DUMMYFUNCTION("""COMPUTED_VALUE"""),"532 - Channel")</f>
        <v>532 - Channel</v>
      </c>
      <c r="B506" s="4" t="str">
        <f>IFERROR(__xludf.DUMMYFUNCTION("""COMPUTED_VALUE"""),"Channel 2")</f>
        <v>Channel 2</v>
      </c>
      <c r="C506" s="4" t="str">
        <f>IFERROR(__xludf.DUMMYFUNCTION("""COMPUTED_VALUE"""),"Day 2 - 24/06")</f>
        <v>Day 2 - 24/06</v>
      </c>
      <c r="D506" s="6">
        <f>IFERROR(__xludf.DUMMYFUNCTION("""COMPUTED_VALUE"""),0.45975694444444465)</f>
        <v>0.4597569444</v>
      </c>
      <c r="E506" s="6">
        <f>IFERROR(__xludf.DUMMYFUNCTION("""COMPUTED_VALUE"""),3.4722222222222224E-4)</f>
        <v>0.0003472222222</v>
      </c>
      <c r="F506" s="6">
        <f>IFERROR(__xludf.DUMMYFUNCTION("""COMPUTED_VALUE"""),0.46010416666666687)</f>
        <v>0.4601041667</v>
      </c>
      <c r="G506" s="4" t="str">
        <f>IFERROR(__xludf.DUMMYFUNCTION("""COMPUTED_VALUE"""),"Graphics")</f>
        <v>Graphics</v>
      </c>
      <c r="H506" s="4" t="str">
        <f>IFERROR(__xludf.DUMMYFUNCTION("""COMPUTED_VALUE"""),"")</f>
        <v/>
      </c>
      <c r="I506" s="4" t="str">
        <f>IFERROR(__xludf.DUMMYFUNCTION("""COMPUTED_VALUE"""),"")</f>
        <v/>
      </c>
      <c r="J506" s="4" t="str">
        <f>IFERROR(__xludf.DUMMYFUNCTION("""COMPUTED_VALUE"""),"AI")</f>
        <v>AI</v>
      </c>
      <c r="K506" s="4" t="str">
        <f>IFERROR(__xludf.DUMMYFUNCTION("""COMPUTED_VALUE"""),"Talk Intro")</f>
        <v>Talk Intro</v>
      </c>
      <c r="L506" s="4" t="str">
        <f>IFERROR(__xludf.DUMMYFUNCTION("""COMPUTED_VALUE"""),"")</f>
        <v/>
      </c>
      <c r="M506" s="4" t="str">
        <f>IFERROR(__xludf.DUMMYFUNCTION("""COMPUTED_VALUE"""),"Talk Intro")</f>
        <v>Talk Intro</v>
      </c>
      <c r="N506" s="4" t="str">
        <f>IFERROR(__xludf.DUMMYFUNCTION("""COMPUTED_VALUE"""),"")</f>
        <v/>
      </c>
      <c r="O506" s="4" t="str">
        <f>IFERROR(__xludf.DUMMYFUNCTION("""COMPUTED_VALUE"""),"")</f>
        <v/>
      </c>
      <c r="P506" s="4" t="str">
        <f>IFERROR(__xludf.DUMMYFUNCTION("""COMPUTED_VALUE"""),"")</f>
        <v/>
      </c>
      <c r="Q506" s="4" t="str">
        <f>IFERROR(__xludf.DUMMYFUNCTION("""COMPUTED_VALUE"""),"")</f>
        <v/>
      </c>
      <c r="R506" s="4" t="str">
        <f>IFERROR(__xludf.DUMMYFUNCTION("""COMPUTED_VALUE"""),"")</f>
        <v/>
      </c>
      <c r="S506" s="4" t="str">
        <f>IFERROR(__xludf.DUMMYFUNCTION("""COMPUTED_VALUE"""),"")</f>
        <v/>
      </c>
      <c r="T506" s="4" t="str">
        <f>IFERROR(__xludf.DUMMYFUNCTION("""COMPUTED_VALUE"""),"")</f>
        <v/>
      </c>
      <c r="U506" s="4" t="str">
        <f>IFERROR(__xludf.DUMMYFUNCTION("""COMPUTED_VALUE"""),"")</f>
        <v/>
      </c>
      <c r="V506" s="4" t="str">
        <f>IFERROR(__xludf.DUMMYFUNCTION("""COMPUTED_VALUE"""),"")</f>
        <v/>
      </c>
      <c r="W506" s="4" t="str">
        <f>IFERROR(__xludf.DUMMYFUNCTION("""COMPUTED_VALUE"""),"")</f>
        <v/>
      </c>
      <c r="X506" s="4" t="str">
        <f>IFERROR(__xludf.DUMMYFUNCTION("""COMPUTED_VALUE"""),"")</f>
        <v/>
      </c>
      <c r="Y506" s="4" t="str">
        <f>IFERROR(__xludf.DUMMYFUNCTION("""COMPUTED_VALUE"""),"")</f>
        <v/>
      </c>
    </row>
    <row r="507">
      <c r="A507" s="4" t="str">
        <f>IFERROR(__xludf.DUMMYFUNCTION("""COMPUTED_VALUE"""),"533 - Channel")</f>
        <v>533 - Channel</v>
      </c>
      <c r="B507" s="4" t="str">
        <f>IFERROR(__xludf.DUMMYFUNCTION("""COMPUTED_VALUE"""),"Channel 2")</f>
        <v>Channel 2</v>
      </c>
      <c r="C507" s="4" t="str">
        <f>IFERROR(__xludf.DUMMYFUNCTION("""COMPUTED_VALUE"""),"Day 2 - 24/06")</f>
        <v>Day 2 - 24/06</v>
      </c>
      <c r="D507" s="6">
        <f>IFERROR(__xludf.DUMMYFUNCTION("""COMPUTED_VALUE"""),0.46010416666666687)</f>
        <v>0.4601041667</v>
      </c>
      <c r="E507" s="6">
        <f>IFERROR(__xludf.DUMMYFUNCTION("""COMPUTED_VALUE"""),0.006712962962962963)</f>
        <v>0.006712962963</v>
      </c>
      <c r="F507" s="6">
        <f>IFERROR(__xludf.DUMMYFUNCTION("""COMPUTED_VALUE"""),0.46681712962962985)</f>
        <v>0.4668171296</v>
      </c>
      <c r="G507" s="4" t="str">
        <f>IFERROR(__xludf.DUMMYFUNCTION("""COMPUTED_VALUE"""),"Lucia G.")</f>
        <v>Lucia G.</v>
      </c>
      <c r="H507" s="4" t="str">
        <f>IFERROR(__xludf.DUMMYFUNCTION("""COMPUTED_VALUE"""),"N/A")</f>
        <v>N/A</v>
      </c>
      <c r="I507" s="4" t="str">
        <f>IFERROR(__xludf.DUMMYFUNCTION("""COMPUTED_VALUE"""),"Jack")</f>
        <v>Jack</v>
      </c>
      <c r="J507" s="4" t="str">
        <f>IFERROR(__xludf.DUMMYFUNCTION("""COMPUTED_VALUE"""),"AI")</f>
        <v>AI</v>
      </c>
      <c r="K507" s="4" t="str">
        <f>IFERROR(__xludf.DUMMYFUNCTION("""COMPUTED_VALUE"""),"Keynote")</f>
        <v>Keynote</v>
      </c>
      <c r="L507" s="4" t="str">
        <f>IFERROR(__xludf.DUMMYFUNCTION("""COMPUTED_VALUE"""),"T- 6 - 11/05/2020")</f>
        <v>T- 6 - 11/05/2020</v>
      </c>
      <c r="M507" s="4" t="str">
        <f>IFERROR(__xludf.DUMMYFUNCTION("""COMPUTED_VALUE"""),"Designing for the voice-enabled future")</f>
        <v>Designing for the voice-enabled future</v>
      </c>
      <c r="N507" s="4" t="str">
        <f>IFERROR(__xludf.DUMMYFUNCTION("""COMPUTED_VALUE"""),"Nithya Thadani, RAIN agency")</f>
        <v>Nithya Thadani, RAIN agency</v>
      </c>
      <c r="O507" s="4" t="str">
        <f>IFERROR(__xludf.DUMMYFUNCTION("""COMPUTED_VALUE"""),"")</f>
        <v/>
      </c>
      <c r="P507" s="4" t="str">
        <f>IFERROR(__xludf.DUMMYFUNCTION("""COMPUTED_VALUE"""),"")</f>
        <v/>
      </c>
      <c r="Q507" s="4" t="str">
        <f>IFERROR(__xludf.DUMMYFUNCTION("""COMPUTED_VALUE"""),"")</f>
        <v/>
      </c>
      <c r="R507" s="4" t="str">
        <f>IFERROR(__xludf.DUMMYFUNCTION("""COMPUTED_VALUE"""),"")</f>
        <v/>
      </c>
      <c r="S507" s="4" t="str">
        <f>IFERROR(__xludf.DUMMYFUNCTION("""COMPUTED_VALUE"""),"Voice tech is now firmly embedded in our lives, transforming our homes, automobiles and even the workplace. Our relationship with voice assistants will soon evolve from command-driven to emotionally intelligent and anticipatory. Brands need to understand "&amp;"how voice is influencing our everyday behaviors, shifting our relationships with other technologies, and re-shaping the playing field for brand marketing and commerce. Nithya Thadani, CEO of Rain, will offer an in-depth look at how the future of voice is "&amp;"being shaped today, and how brands can design for voice with future generations in mind.")</f>
        <v>Voice tech is now firmly embedded in our lives, transforming our homes, automobiles and even the workplace. Our relationship with voice assistants will soon evolve from command-driven to emotionally intelligent and anticipatory. Brands need to understand how voice is influencing our everyday behaviors, shifting our relationships with other technologies, and re-shaping the playing field for brand marketing and commerce. Nithya Thadani, CEO of Rain, will offer an in-depth look at how the future of voice is being shaped today, and how brands can design for voice with future generations in mind.</v>
      </c>
      <c r="T507" s="4" t="str">
        <f>IFERROR(__xludf.DUMMYFUNCTION("""COMPUTED_VALUE"""),"KEYNOTE 8 - COMPLETE")</f>
        <v>KEYNOTE 8 - COMPLETE</v>
      </c>
      <c r="U507" s="23">
        <f>IFERROR(__xludf.DUMMYFUNCTION("""COMPUTED_VALUE"""),43962.0)</f>
        <v>43962</v>
      </c>
      <c r="V507" s="24">
        <f>IFERROR(__xludf.DUMMYFUNCTION("""COMPUTED_VALUE"""),0.6875)</f>
        <v>0.6875</v>
      </c>
      <c r="W507" s="4" t="str">
        <f>IFERROR(__xludf.DUMMYFUNCTION("""COMPUTED_VALUE"""),"COMPLETE")</f>
        <v>COMPLETE</v>
      </c>
      <c r="X507" s="4" t="str">
        <f>IFERROR(__xludf.DUMMYFUNCTION("""COMPUTED_VALUE"""),"Lucia G.")</f>
        <v>Lucia G.</v>
      </c>
      <c r="Y507" s="4" t="str">
        <f>IFERROR(__xludf.DUMMYFUNCTION("""COMPUTED_VALUE"""),"4640282592125980952")</f>
        <v>4640282592125980952</v>
      </c>
    </row>
    <row r="508">
      <c r="A508" s="4" t="str">
        <f>IFERROR(__xludf.DUMMYFUNCTION("""COMPUTED_VALUE"""),"535 - Channel")</f>
        <v>535 - Channel</v>
      </c>
      <c r="B508" s="4" t="str">
        <f>IFERROR(__xludf.DUMMYFUNCTION("""COMPUTED_VALUE"""),"Channel 2")</f>
        <v>Channel 2</v>
      </c>
      <c r="C508" s="4" t="str">
        <f>IFERROR(__xludf.DUMMYFUNCTION("""COMPUTED_VALUE"""),"Day 2 - 24/06")</f>
        <v>Day 2 - 24/06</v>
      </c>
      <c r="D508" s="6">
        <f>IFERROR(__xludf.DUMMYFUNCTION("""COMPUTED_VALUE"""),0.46681712962962985)</f>
        <v>0.4668171296</v>
      </c>
      <c r="E508" s="6">
        <f>IFERROR(__xludf.DUMMYFUNCTION("""COMPUTED_VALUE"""),2.314814814814815E-4)</f>
        <v>0.0002314814815</v>
      </c>
      <c r="F508" s="6">
        <f>IFERROR(__xludf.DUMMYFUNCTION("""COMPUTED_VALUE"""),0.46704861111111134)</f>
        <v>0.4670486111</v>
      </c>
      <c r="G508" s="4" t="str">
        <f>IFERROR(__xludf.DUMMYFUNCTION("""COMPUTED_VALUE"""),"Startups")</f>
        <v>Startups</v>
      </c>
      <c r="H508" s="4" t="str">
        <f>IFERROR(__xludf.DUMMYFUNCTION("""COMPUTED_VALUE"""),"")</f>
        <v/>
      </c>
      <c r="I508" s="4" t="str">
        <f>IFERROR(__xludf.DUMMYFUNCTION("""COMPUTED_VALUE"""),"")</f>
        <v/>
      </c>
      <c r="J508" s="4" t="str">
        <f>IFERROR(__xludf.DUMMYFUNCTION("""COMPUTED_VALUE"""),"AI")</f>
        <v>AI</v>
      </c>
      <c r="K508" s="4" t="str">
        <f>IFERROR(__xludf.DUMMYFUNCTION("""COMPUTED_VALUE"""),"40 Words")</f>
        <v>40 Words</v>
      </c>
      <c r="L508" s="4" t="str">
        <f>IFERROR(__xludf.DUMMYFUNCTION("""COMPUTED_VALUE"""),"")</f>
        <v/>
      </c>
      <c r="M508" s="4" t="str">
        <f>IFERROR(__xludf.DUMMYFUNCTION("""COMPUTED_VALUE"""),"40 words #1 _Forecast")</f>
        <v>40 words #1 _Forecast</v>
      </c>
      <c r="N508" s="4" t="str">
        <f>IFERROR(__xludf.DUMMYFUNCTION("""COMPUTED_VALUE"""),"")</f>
        <v/>
      </c>
      <c r="O508" s="4" t="str">
        <f>IFERROR(__xludf.DUMMYFUNCTION("""COMPUTED_VALUE"""),"")</f>
        <v/>
      </c>
      <c r="P508" s="4" t="str">
        <f>IFERROR(__xludf.DUMMYFUNCTION("""COMPUTED_VALUE"""),"")</f>
        <v/>
      </c>
      <c r="Q508" s="4" t="str">
        <f>IFERROR(__xludf.DUMMYFUNCTION("""COMPUTED_VALUE"""),"")</f>
        <v/>
      </c>
      <c r="R508" s="4" t="str">
        <f>IFERROR(__xludf.DUMMYFUNCTION("""COMPUTED_VALUE"""),"")</f>
        <v/>
      </c>
      <c r="S508" s="4" t="str">
        <f>IFERROR(__xludf.DUMMYFUNCTION("""COMPUTED_VALUE"""),"")</f>
        <v/>
      </c>
      <c r="T508" s="4" t="str">
        <f>IFERROR(__xludf.DUMMYFUNCTION("""COMPUTED_VALUE"""),"")</f>
        <v/>
      </c>
      <c r="U508" s="4" t="str">
        <f>IFERROR(__xludf.DUMMYFUNCTION("""COMPUTED_VALUE"""),"")</f>
        <v/>
      </c>
      <c r="V508" s="4" t="str">
        <f>IFERROR(__xludf.DUMMYFUNCTION("""COMPUTED_VALUE"""),"")</f>
        <v/>
      </c>
      <c r="W508" s="4" t="str">
        <f>IFERROR(__xludf.DUMMYFUNCTION("""COMPUTED_VALUE"""),"")</f>
        <v/>
      </c>
      <c r="X508" s="4" t="str">
        <f>IFERROR(__xludf.DUMMYFUNCTION("""COMPUTED_VALUE"""),"")</f>
        <v/>
      </c>
      <c r="Y508" s="4" t="str">
        <f>IFERROR(__xludf.DUMMYFUNCTION("""COMPUTED_VALUE"""),"")</f>
        <v/>
      </c>
    </row>
    <row r="509">
      <c r="A509" s="4" t="str">
        <f>IFERROR(__xludf.DUMMYFUNCTION("""COMPUTED_VALUE"""),"536 - Channel")</f>
        <v>536 - Channel</v>
      </c>
      <c r="B509" s="4" t="str">
        <f>IFERROR(__xludf.DUMMYFUNCTION("""COMPUTED_VALUE"""),"Channel 2")</f>
        <v>Channel 2</v>
      </c>
      <c r="C509" s="4" t="str">
        <f>IFERROR(__xludf.DUMMYFUNCTION("""COMPUTED_VALUE"""),"Day 2 - 24/06")</f>
        <v>Day 2 - 24/06</v>
      </c>
      <c r="D509" s="6">
        <f>IFERROR(__xludf.DUMMYFUNCTION("""COMPUTED_VALUE"""),0.46704861111111134)</f>
        <v>0.4670486111</v>
      </c>
      <c r="E509" s="6">
        <f>IFERROR(__xludf.DUMMYFUNCTION("""COMPUTED_VALUE"""),3.4722222222222224E-4)</f>
        <v>0.0003472222222</v>
      </c>
      <c r="F509" s="6">
        <f>IFERROR(__xludf.DUMMYFUNCTION("""COMPUTED_VALUE"""),0.46739583333333357)</f>
        <v>0.4673958333</v>
      </c>
      <c r="G509" s="4" t="str">
        <f>IFERROR(__xludf.DUMMYFUNCTION("""COMPUTED_VALUE"""),"")</f>
        <v/>
      </c>
      <c r="H509" s="4" t="str">
        <f>IFERROR(__xludf.DUMMYFUNCTION("""COMPUTED_VALUE"""),"")</f>
        <v/>
      </c>
      <c r="I509" s="4" t="str">
        <f>IFERROR(__xludf.DUMMYFUNCTION("""COMPUTED_VALUE"""),"")</f>
        <v/>
      </c>
      <c r="J509" s="4" t="str">
        <f>IFERROR(__xludf.DUMMYFUNCTION("""COMPUTED_VALUE"""),"AI")</f>
        <v>AI</v>
      </c>
      <c r="K509" s="4" t="str">
        <f>IFERROR(__xludf.DUMMYFUNCTION("""COMPUTED_VALUE"""),"Web Summit Trailer - short")</f>
        <v>Web Summit Trailer - short</v>
      </c>
      <c r="L509" s="4" t="str">
        <f>IFERROR(__xludf.DUMMYFUNCTION("""COMPUTED_VALUE"""),"")</f>
        <v/>
      </c>
      <c r="M509" s="4" t="str">
        <f>IFERROR(__xludf.DUMMYFUNCTION("""COMPUTED_VALUE"""),"Web Summit Trailer - short")</f>
        <v>Web Summit Trailer - short</v>
      </c>
      <c r="N509" s="4" t="str">
        <f>IFERROR(__xludf.DUMMYFUNCTION("""COMPUTED_VALUE"""),"")</f>
        <v/>
      </c>
      <c r="O509" s="4" t="str">
        <f>IFERROR(__xludf.DUMMYFUNCTION("""COMPUTED_VALUE"""),"")</f>
        <v/>
      </c>
      <c r="P509" s="4" t="str">
        <f>IFERROR(__xludf.DUMMYFUNCTION("""COMPUTED_VALUE"""),"")</f>
        <v/>
      </c>
      <c r="Q509" s="4" t="str">
        <f>IFERROR(__xludf.DUMMYFUNCTION("""COMPUTED_VALUE"""),"")</f>
        <v/>
      </c>
      <c r="R509" s="4" t="str">
        <f>IFERROR(__xludf.DUMMYFUNCTION("""COMPUTED_VALUE"""),"")</f>
        <v/>
      </c>
      <c r="S509" s="4" t="str">
        <f>IFERROR(__xludf.DUMMYFUNCTION("""COMPUTED_VALUE"""),"")</f>
        <v/>
      </c>
      <c r="T509" s="4" t="str">
        <f>IFERROR(__xludf.DUMMYFUNCTION("""COMPUTED_VALUE"""),"")</f>
        <v/>
      </c>
      <c r="U509" s="4" t="str">
        <f>IFERROR(__xludf.DUMMYFUNCTION("""COMPUTED_VALUE"""),"")</f>
        <v/>
      </c>
      <c r="V509" s="4" t="str">
        <f>IFERROR(__xludf.DUMMYFUNCTION("""COMPUTED_VALUE"""),"")</f>
        <v/>
      </c>
      <c r="W509" s="4" t="str">
        <f>IFERROR(__xludf.DUMMYFUNCTION("""COMPUTED_VALUE"""),"")</f>
        <v/>
      </c>
      <c r="X509" s="4" t="str">
        <f>IFERROR(__xludf.DUMMYFUNCTION("""COMPUTED_VALUE"""),"")</f>
        <v/>
      </c>
      <c r="Y509" s="4" t="str">
        <f>IFERROR(__xludf.DUMMYFUNCTION("""COMPUTED_VALUE"""),"")</f>
        <v/>
      </c>
    </row>
    <row r="510">
      <c r="A510" s="4" t="str">
        <f>IFERROR(__xludf.DUMMYFUNCTION("""COMPUTED_VALUE"""),"537 - Channel")</f>
        <v>537 - Channel</v>
      </c>
      <c r="B510" s="4" t="str">
        <f>IFERROR(__xludf.DUMMYFUNCTION("""COMPUTED_VALUE"""),"Channel 2")</f>
        <v>Channel 2</v>
      </c>
      <c r="C510" s="4" t="str">
        <f>IFERROR(__xludf.DUMMYFUNCTION("""COMPUTED_VALUE"""),"Day 2 - 24/06")</f>
        <v>Day 2 - 24/06</v>
      </c>
      <c r="D510" s="6">
        <f>IFERROR(__xludf.DUMMYFUNCTION("""COMPUTED_VALUE"""),0.46739583333333357)</f>
        <v>0.4673958333</v>
      </c>
      <c r="E510" s="6">
        <f>IFERROR(__xludf.DUMMYFUNCTION("""COMPUTED_VALUE"""),3.4722222222222224E-4)</f>
        <v>0.0003472222222</v>
      </c>
      <c r="F510" s="6">
        <f>IFERROR(__xludf.DUMMYFUNCTION("""COMPUTED_VALUE"""),0.4677430555555558)</f>
        <v>0.4677430556</v>
      </c>
      <c r="G510" s="4" t="str">
        <f>IFERROR(__xludf.DUMMYFUNCTION("""COMPUTED_VALUE"""),"Graphics")</f>
        <v>Graphics</v>
      </c>
      <c r="H510" s="4" t="str">
        <f>IFERROR(__xludf.DUMMYFUNCTION("""COMPUTED_VALUE"""),"")</f>
        <v/>
      </c>
      <c r="I510" s="4" t="str">
        <f>IFERROR(__xludf.DUMMYFUNCTION("""COMPUTED_VALUE"""),"")</f>
        <v/>
      </c>
      <c r="J510" s="4" t="str">
        <f>IFERROR(__xludf.DUMMYFUNCTION("""COMPUTED_VALUE"""),"AI")</f>
        <v>AI</v>
      </c>
      <c r="K510" s="4" t="str">
        <f>IFERROR(__xludf.DUMMYFUNCTION("""COMPUTED_VALUE"""),"Talk Intro")</f>
        <v>Talk Intro</v>
      </c>
      <c r="L510" s="4" t="str">
        <f>IFERROR(__xludf.DUMMYFUNCTION("""COMPUTED_VALUE"""),"")</f>
        <v/>
      </c>
      <c r="M510" s="4" t="str">
        <f>IFERROR(__xludf.DUMMYFUNCTION("""COMPUTED_VALUE"""),"Talk Intro")</f>
        <v>Talk Intro</v>
      </c>
      <c r="N510" s="4" t="str">
        <f>IFERROR(__xludf.DUMMYFUNCTION("""COMPUTED_VALUE"""),"")</f>
        <v/>
      </c>
      <c r="O510" s="4" t="str">
        <f>IFERROR(__xludf.DUMMYFUNCTION("""COMPUTED_VALUE"""),"")</f>
        <v/>
      </c>
      <c r="P510" s="4" t="str">
        <f>IFERROR(__xludf.DUMMYFUNCTION("""COMPUTED_VALUE"""),"")</f>
        <v/>
      </c>
      <c r="Q510" s="4" t="str">
        <f>IFERROR(__xludf.DUMMYFUNCTION("""COMPUTED_VALUE"""),"")</f>
        <v/>
      </c>
      <c r="R510" s="4" t="str">
        <f>IFERROR(__xludf.DUMMYFUNCTION("""COMPUTED_VALUE"""),"")</f>
        <v/>
      </c>
      <c r="S510" s="4" t="str">
        <f>IFERROR(__xludf.DUMMYFUNCTION("""COMPUTED_VALUE"""),"")</f>
        <v/>
      </c>
      <c r="T510" s="4" t="str">
        <f>IFERROR(__xludf.DUMMYFUNCTION("""COMPUTED_VALUE"""),"")</f>
        <v/>
      </c>
      <c r="U510" s="4" t="str">
        <f>IFERROR(__xludf.DUMMYFUNCTION("""COMPUTED_VALUE"""),"")</f>
        <v/>
      </c>
      <c r="V510" s="4" t="str">
        <f>IFERROR(__xludf.DUMMYFUNCTION("""COMPUTED_VALUE"""),"")</f>
        <v/>
      </c>
      <c r="W510" s="4" t="str">
        <f>IFERROR(__xludf.DUMMYFUNCTION("""COMPUTED_VALUE"""),"")</f>
        <v/>
      </c>
      <c r="X510" s="4" t="str">
        <f>IFERROR(__xludf.DUMMYFUNCTION("""COMPUTED_VALUE"""),"")</f>
        <v/>
      </c>
      <c r="Y510" s="4" t="str">
        <f>IFERROR(__xludf.DUMMYFUNCTION("""COMPUTED_VALUE"""),"")</f>
        <v/>
      </c>
    </row>
    <row r="511">
      <c r="A511" s="4" t="str">
        <f>IFERROR(__xludf.DUMMYFUNCTION("""COMPUTED_VALUE"""),"538 - Channel")</f>
        <v>538 - Channel</v>
      </c>
      <c r="B511" s="4" t="str">
        <f>IFERROR(__xludf.DUMMYFUNCTION("""COMPUTED_VALUE"""),"Channel 2")</f>
        <v>Channel 2</v>
      </c>
      <c r="C511" s="4" t="str">
        <f>IFERROR(__xludf.DUMMYFUNCTION("""COMPUTED_VALUE"""),"Day 2 - 24/06")</f>
        <v>Day 2 - 24/06</v>
      </c>
      <c r="D511" s="6">
        <f>IFERROR(__xludf.DUMMYFUNCTION("""COMPUTED_VALUE"""),0.4677430555555558)</f>
        <v>0.4677430556</v>
      </c>
      <c r="E511" s="6">
        <f>IFERROR(__xludf.DUMMYFUNCTION("""COMPUTED_VALUE"""),0.010717592592592593)</f>
        <v>0.01071759259</v>
      </c>
      <c r="F511" s="6">
        <f>IFERROR(__xludf.DUMMYFUNCTION("""COMPUTED_VALUE"""),0.47846064814814837)</f>
        <v>0.4784606481</v>
      </c>
      <c r="G511" s="4" t="str">
        <f>IFERROR(__xludf.DUMMYFUNCTION("""COMPUTED_VALUE"""),"Laura")</f>
        <v>Laura</v>
      </c>
      <c r="H511" s="4" t="str">
        <f>IFERROR(__xludf.DUMMYFUNCTION("""COMPUTED_VALUE"""),"Eoghan")</f>
        <v>Eoghan</v>
      </c>
      <c r="I511" s="4" t="str">
        <f>IFERROR(__xludf.DUMMYFUNCTION("""COMPUTED_VALUE"""),"Hannah")</f>
        <v>Hannah</v>
      </c>
      <c r="J511" s="4" t="str">
        <f>IFERROR(__xludf.DUMMYFUNCTION("""COMPUTED_VALUE"""),"AI")</f>
        <v>AI</v>
      </c>
      <c r="K511" s="4" t="str">
        <f>IFERROR(__xludf.DUMMYFUNCTION("""COMPUTED_VALUE"""),"Fireside")</f>
        <v>Fireside</v>
      </c>
      <c r="L511" s="4" t="str">
        <f>IFERROR(__xludf.DUMMYFUNCTION("""COMPUTED_VALUE"""),"T- 4 - 25/05/2020")</f>
        <v>T- 4 - 25/05/2020</v>
      </c>
      <c r="M511" s="4" t="str">
        <f>IFERROR(__xludf.DUMMYFUNCTION("""COMPUTED_VALUE"""),"The future of Lime")</f>
        <v>The future of Lime</v>
      </c>
      <c r="N511" s="4" t="str">
        <f>IFERROR(__xludf.DUMMYFUNCTION("""COMPUTED_VALUE"""),"Li Fan, Lime")</f>
        <v>Li Fan, Lime</v>
      </c>
      <c r="O511" s="4" t="str">
        <f>IFERROR(__xludf.DUMMYFUNCTION("""COMPUTED_VALUE"""),"")</f>
        <v/>
      </c>
      <c r="P511" s="4" t="str">
        <f>IFERROR(__xludf.DUMMYFUNCTION("""COMPUTED_VALUE"""),"")</f>
        <v/>
      </c>
      <c r="Q511" s="4" t="str">
        <f>IFERROR(__xludf.DUMMYFUNCTION("""COMPUTED_VALUE"""),"")</f>
        <v/>
      </c>
      <c r="R511" s="4" t="str">
        <f>IFERROR(__xludf.DUMMYFUNCTION("""COMPUTED_VALUE"""),"Leisha Santorelli, BBC/British Broadcasting Corporation")</f>
        <v>Leisha Santorelli, BBC/British Broadcasting Corporation</v>
      </c>
      <c r="S511" s="4" t="str">
        <f>IFERROR(__xludf.DUMMYFUNCTION("""COMPUTED_VALUE"""),"Lime operates globally in more than 30 countries, yet manages to be a hyper-local company on the ground in each city. Looking at the tech behind the wheels, CTO Li Fan brings us through life with Lime.")</f>
        <v>Lime operates globally in more than 30 countries, yet manages to be a hyper-local company on the ground in each city. Looking at the tech behind the wheels, CTO Li Fan brings us through life with Lime.</v>
      </c>
      <c r="T511" s="4" t="str">
        <f>IFERROR(__xludf.DUMMYFUNCTION("""COMPUTED_VALUE"""),"KEYNOTE 8 - COMPLETE")</f>
        <v>KEYNOTE 8 - COMPLETE</v>
      </c>
      <c r="U511" s="23">
        <f>IFERROR(__xludf.DUMMYFUNCTION("""COMPUTED_VALUE"""),43978.0)</f>
        <v>43978</v>
      </c>
      <c r="V511" s="24">
        <f>IFERROR(__xludf.DUMMYFUNCTION("""COMPUTED_VALUE"""),0.7916666666666666)</f>
        <v>0.7916666667</v>
      </c>
      <c r="W511" s="4" t="str">
        <f>IFERROR(__xludf.DUMMYFUNCTION("""COMPUTED_VALUE"""),"COMPLETE")</f>
        <v>COMPLETE</v>
      </c>
      <c r="X511" s="4" t="str">
        <f>IFERROR(__xludf.DUMMYFUNCTION("""COMPUTED_VALUE"""),"Brian")</f>
        <v>Brian</v>
      </c>
      <c r="Y511" s="4" t="str">
        <f>IFERROR(__xludf.DUMMYFUNCTION("""COMPUTED_VALUE"""),"")</f>
        <v/>
      </c>
    </row>
    <row r="512">
      <c r="A512" s="4" t="str">
        <f>IFERROR(__xludf.DUMMYFUNCTION("""COMPUTED_VALUE"""),"565 - Channel")</f>
        <v>565 - Channel</v>
      </c>
      <c r="B512" s="4" t="str">
        <f>IFERROR(__xludf.DUMMYFUNCTION("""COMPUTED_VALUE"""),"Channel 2")</f>
        <v>Channel 2</v>
      </c>
      <c r="C512" s="4" t="str">
        <f>IFERROR(__xludf.DUMMYFUNCTION("""COMPUTED_VALUE"""),"Day 2 - 24/06")</f>
        <v>Day 2 - 24/06</v>
      </c>
      <c r="D512" s="6">
        <f>IFERROR(__xludf.DUMMYFUNCTION("""COMPUTED_VALUE"""),0.47846064814814837)</f>
        <v>0.4784606481</v>
      </c>
      <c r="E512" s="6">
        <f>IFERROR(__xludf.DUMMYFUNCTION("""COMPUTED_VALUE"""),1.7361111111111112E-4)</f>
        <v>0.0001736111111</v>
      </c>
      <c r="F512" s="6">
        <f>IFERROR(__xludf.DUMMYFUNCTION("""COMPUTED_VALUE"""),0.4786342592592595)</f>
        <v>0.4786342593</v>
      </c>
      <c r="G512" s="4" t="str">
        <f>IFERROR(__xludf.DUMMYFUNCTION("""COMPUTED_VALUE"""),"P&amp;E")</f>
        <v>P&amp;E</v>
      </c>
      <c r="H512" s="4" t="str">
        <f>IFERROR(__xludf.DUMMYFUNCTION("""COMPUTED_VALUE"""),"")</f>
        <v/>
      </c>
      <c r="I512" s="4" t="str">
        <f>IFERROR(__xludf.DUMMYFUNCTION("""COMPUTED_VALUE"""),"")</f>
        <v/>
      </c>
      <c r="J512" s="4" t="str">
        <f>IFERROR(__xludf.DUMMYFUNCTION("""COMPUTED_VALUE"""),"AI")</f>
        <v>AI</v>
      </c>
      <c r="K512" s="4" t="str">
        <f>IFERROR(__xludf.DUMMYFUNCTION("""COMPUTED_VALUE"""),"Partner ad")</f>
        <v>Partner ad</v>
      </c>
      <c r="L512" s="4" t="str">
        <f>IFERROR(__xludf.DUMMYFUNCTION("""COMPUTED_VALUE"""),"")</f>
        <v/>
      </c>
      <c r="M512" s="4" t="str">
        <f>IFERROR(__xludf.DUMMYFUNCTION("""COMPUTED_VALUE"""),"Partner Adroll #2_Ontario Government")</f>
        <v>Partner Adroll #2_Ontario Government</v>
      </c>
      <c r="N512" s="4" t="str">
        <f>IFERROR(__xludf.DUMMYFUNCTION("""COMPUTED_VALUE"""),"")</f>
        <v/>
      </c>
      <c r="O512" s="4" t="str">
        <f>IFERROR(__xludf.DUMMYFUNCTION("""COMPUTED_VALUE"""),"")</f>
        <v/>
      </c>
      <c r="P512" s="4" t="str">
        <f>IFERROR(__xludf.DUMMYFUNCTION("""COMPUTED_VALUE"""),"")</f>
        <v/>
      </c>
      <c r="Q512" s="4" t="str">
        <f>IFERROR(__xludf.DUMMYFUNCTION("""COMPUTED_VALUE"""),"")</f>
        <v/>
      </c>
      <c r="R512" s="4" t="str">
        <f>IFERROR(__xludf.DUMMYFUNCTION("""COMPUTED_VALUE"""),"")</f>
        <v/>
      </c>
      <c r="S512" s="4" t="str">
        <f>IFERROR(__xludf.DUMMYFUNCTION("""COMPUTED_VALUE"""),"")</f>
        <v/>
      </c>
      <c r="T512" s="4" t="str">
        <f>IFERROR(__xludf.DUMMYFUNCTION("""COMPUTED_VALUE"""),"")</f>
        <v/>
      </c>
      <c r="U512" s="4" t="str">
        <f>IFERROR(__xludf.DUMMYFUNCTION("""COMPUTED_VALUE"""),"")</f>
        <v/>
      </c>
      <c r="V512" s="4" t="str">
        <f>IFERROR(__xludf.DUMMYFUNCTION("""COMPUTED_VALUE"""),"")</f>
        <v/>
      </c>
      <c r="W512" s="4" t="str">
        <f>IFERROR(__xludf.DUMMYFUNCTION("""COMPUTED_VALUE"""),"")</f>
        <v/>
      </c>
      <c r="X512" s="4" t="str">
        <f>IFERROR(__xludf.DUMMYFUNCTION("""COMPUTED_VALUE"""),"")</f>
        <v/>
      </c>
      <c r="Y512" s="4" t="str">
        <f>IFERROR(__xludf.DUMMYFUNCTION("""COMPUTED_VALUE"""),"")</f>
        <v/>
      </c>
    </row>
    <row r="513">
      <c r="A513" s="4" t="str">
        <f>IFERROR(__xludf.DUMMYFUNCTION("""COMPUTED_VALUE"""),"541 - Channel")</f>
        <v>541 - Channel</v>
      </c>
      <c r="B513" s="4" t="str">
        <f>IFERROR(__xludf.DUMMYFUNCTION("""COMPUTED_VALUE"""),"Channel 2")</f>
        <v>Channel 2</v>
      </c>
      <c r="C513" s="4" t="str">
        <f>IFERROR(__xludf.DUMMYFUNCTION("""COMPUTED_VALUE"""),"Day 2 - 24/06")</f>
        <v>Day 2 - 24/06</v>
      </c>
      <c r="D513" s="6">
        <f>IFERROR(__xludf.DUMMYFUNCTION("""COMPUTED_VALUE"""),0.4786342592592595)</f>
        <v>0.4786342593</v>
      </c>
      <c r="E513" s="6">
        <f>IFERROR(__xludf.DUMMYFUNCTION("""COMPUTED_VALUE"""),3.4722222222222224E-4)</f>
        <v>0.0003472222222</v>
      </c>
      <c r="F513" s="6">
        <f>IFERROR(__xludf.DUMMYFUNCTION("""COMPUTED_VALUE"""),0.47898148148148173)</f>
        <v>0.4789814815</v>
      </c>
      <c r="G513" s="4" t="str">
        <f>IFERROR(__xludf.DUMMYFUNCTION("""COMPUTED_VALUE"""),"Graphics")</f>
        <v>Graphics</v>
      </c>
      <c r="H513" s="4" t="str">
        <f>IFERROR(__xludf.DUMMYFUNCTION("""COMPUTED_VALUE"""),"")</f>
        <v/>
      </c>
      <c r="I513" s="4" t="str">
        <f>IFERROR(__xludf.DUMMYFUNCTION("""COMPUTED_VALUE"""),"")</f>
        <v/>
      </c>
      <c r="J513" s="4" t="str">
        <f>IFERROR(__xludf.DUMMYFUNCTION("""COMPUTED_VALUE"""),"AI")</f>
        <v>AI</v>
      </c>
      <c r="K513" s="4" t="str">
        <f>IFERROR(__xludf.DUMMYFUNCTION("""COMPUTED_VALUE"""),"Talk Intro")</f>
        <v>Talk Intro</v>
      </c>
      <c r="L513" s="4" t="str">
        <f>IFERROR(__xludf.DUMMYFUNCTION("""COMPUTED_VALUE"""),"")</f>
        <v/>
      </c>
      <c r="M513" s="4" t="str">
        <f>IFERROR(__xludf.DUMMYFUNCTION("""COMPUTED_VALUE"""),"Talk Intro")</f>
        <v>Talk Intro</v>
      </c>
      <c r="N513" s="4" t="str">
        <f>IFERROR(__xludf.DUMMYFUNCTION("""COMPUTED_VALUE"""),"")</f>
        <v/>
      </c>
      <c r="O513" s="4" t="str">
        <f>IFERROR(__xludf.DUMMYFUNCTION("""COMPUTED_VALUE"""),"")</f>
        <v/>
      </c>
      <c r="P513" s="4" t="str">
        <f>IFERROR(__xludf.DUMMYFUNCTION("""COMPUTED_VALUE"""),"")</f>
        <v/>
      </c>
      <c r="Q513" s="4" t="str">
        <f>IFERROR(__xludf.DUMMYFUNCTION("""COMPUTED_VALUE"""),"")</f>
        <v/>
      </c>
      <c r="R513" s="4" t="str">
        <f>IFERROR(__xludf.DUMMYFUNCTION("""COMPUTED_VALUE"""),"")</f>
        <v/>
      </c>
      <c r="S513" s="4" t="str">
        <f>IFERROR(__xludf.DUMMYFUNCTION("""COMPUTED_VALUE"""),"")</f>
        <v/>
      </c>
      <c r="T513" s="4" t="str">
        <f>IFERROR(__xludf.DUMMYFUNCTION("""COMPUTED_VALUE"""),"")</f>
        <v/>
      </c>
      <c r="U513" s="4" t="str">
        <f>IFERROR(__xludf.DUMMYFUNCTION("""COMPUTED_VALUE"""),"")</f>
        <v/>
      </c>
      <c r="V513" s="4" t="str">
        <f>IFERROR(__xludf.DUMMYFUNCTION("""COMPUTED_VALUE"""),"")</f>
        <v/>
      </c>
      <c r="W513" s="4" t="str">
        <f>IFERROR(__xludf.DUMMYFUNCTION("""COMPUTED_VALUE"""),"")</f>
        <v/>
      </c>
      <c r="X513" s="4" t="str">
        <f>IFERROR(__xludf.DUMMYFUNCTION("""COMPUTED_VALUE"""),"")</f>
        <v/>
      </c>
      <c r="Y513" s="4" t="str">
        <f>IFERROR(__xludf.DUMMYFUNCTION("""COMPUTED_VALUE"""),"")</f>
        <v/>
      </c>
    </row>
    <row r="514">
      <c r="A514" s="4" t="str">
        <f>IFERROR(__xludf.DUMMYFUNCTION("""COMPUTED_VALUE"""),"542 - Channel")</f>
        <v>542 - Channel</v>
      </c>
      <c r="B514" s="4" t="str">
        <f>IFERROR(__xludf.DUMMYFUNCTION("""COMPUTED_VALUE"""),"Channel 2")</f>
        <v>Channel 2</v>
      </c>
      <c r="C514" s="4" t="str">
        <f>IFERROR(__xludf.DUMMYFUNCTION("""COMPUTED_VALUE"""),"Day 2 - 24/06")</f>
        <v>Day 2 - 24/06</v>
      </c>
      <c r="D514" s="6">
        <f>IFERROR(__xludf.DUMMYFUNCTION("""COMPUTED_VALUE"""),0.47898148148148173)</f>
        <v>0.4789814815</v>
      </c>
      <c r="E514" s="6">
        <f>IFERROR(__xludf.DUMMYFUNCTION("""COMPUTED_VALUE"""),0.007060185185185185)</f>
        <v>0.007060185185</v>
      </c>
      <c r="F514" s="6">
        <f>IFERROR(__xludf.DUMMYFUNCTION("""COMPUTED_VALUE"""),0.4860416666666669)</f>
        <v>0.4860416667</v>
      </c>
      <c r="G514" s="4" t="str">
        <f>IFERROR(__xludf.DUMMYFUNCTION("""COMPUTED_VALUE"""),"Ahmed")</f>
        <v>Ahmed</v>
      </c>
      <c r="H514" s="4" t="str">
        <f>IFERROR(__xludf.DUMMYFUNCTION("""COMPUTED_VALUE"""),"N/A")</f>
        <v>N/A</v>
      </c>
      <c r="I514" s="4" t="str">
        <f>IFERROR(__xludf.DUMMYFUNCTION("""COMPUTED_VALUE"""),"Francisca")</f>
        <v>Francisca</v>
      </c>
      <c r="J514" s="4" t="str">
        <f>IFERROR(__xludf.DUMMYFUNCTION("""COMPUTED_VALUE"""),"AI")</f>
        <v>AI</v>
      </c>
      <c r="K514" s="4" t="str">
        <f>IFERROR(__xludf.DUMMYFUNCTION("""COMPUTED_VALUE"""),"Keynote")</f>
        <v>Keynote</v>
      </c>
      <c r="L514" s="4" t="str">
        <f>IFERROR(__xludf.DUMMYFUNCTION("""COMPUTED_VALUE"""),"T- 9 - 20/04/2020")</f>
        <v>T- 9 - 20/04/2020</v>
      </c>
      <c r="M514" s="4" t="str">
        <f>IFERROR(__xludf.DUMMYFUNCTION("""COMPUTED_VALUE"""),"Ambient intelligence: The next frontier for AI")</f>
        <v>Ambient intelligence: The next frontier for AI</v>
      </c>
      <c r="N514" s="4" t="str">
        <f>IFERROR(__xludf.DUMMYFUNCTION("""COMPUTED_VALUE"""),"Bharath Kadaba, Intuit")</f>
        <v>Bharath Kadaba, Intuit</v>
      </c>
      <c r="O514" s="4" t="str">
        <f>IFERROR(__xludf.DUMMYFUNCTION("""COMPUTED_VALUE"""),"")</f>
        <v/>
      </c>
      <c r="P514" s="4" t="str">
        <f>IFERROR(__xludf.DUMMYFUNCTION("""COMPUTED_VALUE"""),"")</f>
        <v/>
      </c>
      <c r="Q514" s="4" t="str">
        <f>IFERROR(__xludf.DUMMYFUNCTION("""COMPUTED_VALUE"""),"")</f>
        <v/>
      </c>
      <c r="R514" s="4" t="str">
        <f>IFERROR(__xludf.DUMMYFUNCTION("""COMPUTED_VALUE"""),"")</f>
        <v/>
      </c>
      <c r="S514" s="4" t="str">
        <f>IFERROR(__xludf.DUMMYFUNCTION("""COMPUTED_VALUE"""),"It is said that the most profound technologies, such as internet of things appliances and self-driving cars, are those that disappear. They weave themselves into the fabric of everyday life until they are indistinguishable from it. In this talk, Intuit CI"&amp;"O Bharath Kadaba will delve deeper into how AI is expanding in this new ambient world. ")</f>
        <v>It is said that the most profound technologies, such as internet of things appliances and self-driving cars, are those that disappear. They weave themselves into the fabric of everyday life until they are indistinguishable from it. In this talk, Intuit CIO Bharath Kadaba will delve deeper into how AI is expanding in this new ambient world. </v>
      </c>
      <c r="T514" s="4" t="str">
        <f>IFERROR(__xludf.DUMMYFUNCTION("""COMPUTED_VALUE"""),"KEYNOTE 8 - COMPLETE")</f>
        <v>KEYNOTE 8 - COMPLETE</v>
      </c>
      <c r="U514" s="23">
        <f>IFERROR(__xludf.DUMMYFUNCTION("""COMPUTED_VALUE"""),43945.0)</f>
        <v>43945</v>
      </c>
      <c r="V514" s="24">
        <f>IFERROR(__xludf.DUMMYFUNCTION("""COMPUTED_VALUE"""),0.625)</f>
        <v>0.625</v>
      </c>
      <c r="W514" s="4" t="str">
        <f>IFERROR(__xludf.DUMMYFUNCTION("""COMPUTED_VALUE"""),"COMPLETE")</f>
        <v>COMPLETE</v>
      </c>
      <c r="X514" s="4" t="str">
        <f>IFERROR(__xludf.DUMMYFUNCTION("""COMPUTED_VALUE"""),"Ahmed")</f>
        <v>Ahmed</v>
      </c>
      <c r="Y514" s="4" t="str">
        <f>IFERROR(__xludf.DUMMYFUNCTION("""COMPUTED_VALUE"""),"4633628930612874117")</f>
        <v>4633628930612874117</v>
      </c>
    </row>
    <row r="515">
      <c r="A515" s="4" t="str">
        <f>IFERROR(__xludf.DUMMYFUNCTION("""COMPUTED_VALUE"""),"543 - Channel")</f>
        <v>543 - Channel</v>
      </c>
      <c r="B515" s="4" t="str">
        <f>IFERROR(__xludf.DUMMYFUNCTION("""COMPUTED_VALUE"""),"Channel 2")</f>
        <v>Channel 2</v>
      </c>
      <c r="C515" s="4" t="str">
        <f>IFERROR(__xludf.DUMMYFUNCTION("""COMPUTED_VALUE"""),"Day 2 - 24/06")</f>
        <v>Day 2 - 24/06</v>
      </c>
      <c r="D515" s="6">
        <f>IFERROR(__xludf.DUMMYFUNCTION("""COMPUTED_VALUE"""),0.4860416666666669)</f>
        <v>0.4860416667</v>
      </c>
      <c r="E515" s="6">
        <f>IFERROR(__xludf.DUMMYFUNCTION("""COMPUTED_VALUE"""),1.7361111111111112E-4)</f>
        <v>0.0001736111111</v>
      </c>
      <c r="F515" s="6">
        <f>IFERROR(__xludf.DUMMYFUNCTION("""COMPUTED_VALUE"""),0.48621527777777807)</f>
        <v>0.4862152778</v>
      </c>
      <c r="G515" s="4" t="str">
        <f>IFERROR(__xludf.DUMMYFUNCTION("""COMPUTED_VALUE"""),"Graphics")</f>
        <v>Graphics</v>
      </c>
      <c r="H515" s="4" t="str">
        <f>IFERROR(__xludf.DUMMYFUNCTION("""COMPUTED_VALUE"""),"")</f>
        <v/>
      </c>
      <c r="I515" s="4" t="str">
        <f>IFERROR(__xludf.DUMMYFUNCTION("""COMPUTED_VALUE"""),"")</f>
        <v/>
      </c>
      <c r="J515" s="4" t="str">
        <f>IFERROR(__xludf.DUMMYFUNCTION("""COMPUTED_VALUE"""),"AI")</f>
        <v>AI</v>
      </c>
      <c r="K515" s="4" t="str">
        <f>IFERROR(__xludf.DUMMYFUNCTION("""COMPUTED_VALUE"""),"Talk Outro")</f>
        <v>Talk Outro</v>
      </c>
      <c r="L515" s="4" t="str">
        <f>IFERROR(__xludf.DUMMYFUNCTION("""COMPUTED_VALUE"""),"")</f>
        <v/>
      </c>
      <c r="M515" s="4" t="str">
        <f>IFERROR(__xludf.DUMMYFUNCTION("""COMPUTED_VALUE"""),"Talk Outro")</f>
        <v>Talk Outro</v>
      </c>
      <c r="N515" s="4" t="str">
        <f>IFERROR(__xludf.DUMMYFUNCTION("""COMPUTED_VALUE"""),"")</f>
        <v/>
      </c>
      <c r="O515" s="4" t="str">
        <f>IFERROR(__xludf.DUMMYFUNCTION("""COMPUTED_VALUE"""),"")</f>
        <v/>
      </c>
      <c r="P515" s="4" t="str">
        <f>IFERROR(__xludf.DUMMYFUNCTION("""COMPUTED_VALUE"""),"")</f>
        <v/>
      </c>
      <c r="Q515" s="4" t="str">
        <f>IFERROR(__xludf.DUMMYFUNCTION("""COMPUTED_VALUE"""),"")</f>
        <v/>
      </c>
      <c r="R515" s="4" t="str">
        <f>IFERROR(__xludf.DUMMYFUNCTION("""COMPUTED_VALUE"""),"")</f>
        <v/>
      </c>
      <c r="S515" s="4" t="str">
        <f>IFERROR(__xludf.DUMMYFUNCTION("""COMPUTED_VALUE"""),"")</f>
        <v/>
      </c>
      <c r="T515" s="4" t="str">
        <f>IFERROR(__xludf.DUMMYFUNCTION("""COMPUTED_VALUE"""),"")</f>
        <v/>
      </c>
      <c r="U515" s="4" t="str">
        <f>IFERROR(__xludf.DUMMYFUNCTION("""COMPUTED_VALUE"""),"")</f>
        <v/>
      </c>
      <c r="V515" s="4" t="str">
        <f>IFERROR(__xludf.DUMMYFUNCTION("""COMPUTED_VALUE"""),"")</f>
        <v/>
      </c>
      <c r="W515" s="4" t="str">
        <f>IFERROR(__xludf.DUMMYFUNCTION("""COMPUTED_VALUE"""),"")</f>
        <v/>
      </c>
      <c r="X515" s="4" t="str">
        <f>IFERROR(__xludf.DUMMYFUNCTION("""COMPUTED_VALUE"""),"")</f>
        <v/>
      </c>
      <c r="Y515" s="4" t="str">
        <f>IFERROR(__xludf.DUMMYFUNCTION("""COMPUTED_VALUE"""),"")</f>
        <v/>
      </c>
    </row>
    <row r="516">
      <c r="A516" s="4" t="str">
        <f>IFERROR(__xludf.DUMMYFUNCTION("""COMPUTED_VALUE"""),"545 - Channel")</f>
        <v>545 - Channel</v>
      </c>
      <c r="B516" s="4" t="str">
        <f>IFERROR(__xludf.DUMMYFUNCTION("""COMPUTED_VALUE"""),"Channel 2")</f>
        <v>Channel 2</v>
      </c>
      <c r="C516" s="4" t="str">
        <f>IFERROR(__xludf.DUMMYFUNCTION("""COMPUTED_VALUE"""),"Day 2 - 24/06")</f>
        <v>Day 2 - 24/06</v>
      </c>
      <c r="D516" s="6">
        <f>IFERROR(__xludf.DUMMYFUNCTION("""COMPUTED_VALUE"""),0.48621527777777807)</f>
        <v>0.4862152778</v>
      </c>
      <c r="E516" s="6">
        <f>IFERROR(__xludf.DUMMYFUNCTION("""COMPUTED_VALUE"""),3.4722222222222224E-4)</f>
        <v>0.0003472222222</v>
      </c>
      <c r="F516" s="6">
        <f>IFERROR(__xludf.DUMMYFUNCTION("""COMPUTED_VALUE"""),0.4865625000000003)</f>
        <v>0.4865625</v>
      </c>
      <c r="G516" s="4" t="str">
        <f>IFERROR(__xludf.DUMMYFUNCTION("""COMPUTED_VALUE"""),"Graphics")</f>
        <v>Graphics</v>
      </c>
      <c r="H516" s="4" t="str">
        <f>IFERROR(__xludf.DUMMYFUNCTION("""COMPUTED_VALUE"""),"")</f>
        <v/>
      </c>
      <c r="I516" s="4" t="str">
        <f>IFERROR(__xludf.DUMMYFUNCTION("""COMPUTED_VALUE"""),"")</f>
        <v/>
      </c>
      <c r="J516" s="4" t="str">
        <f>IFERROR(__xludf.DUMMYFUNCTION("""COMPUTED_VALUE"""),"AI")</f>
        <v>AI</v>
      </c>
      <c r="K516" s="4" t="str">
        <f>IFERROR(__xludf.DUMMYFUNCTION("""COMPUTED_VALUE"""),"Talk Intro")</f>
        <v>Talk Intro</v>
      </c>
      <c r="L516" s="4" t="str">
        <f>IFERROR(__xludf.DUMMYFUNCTION("""COMPUTED_VALUE"""),"")</f>
        <v/>
      </c>
      <c r="M516" s="4" t="str">
        <f>IFERROR(__xludf.DUMMYFUNCTION("""COMPUTED_VALUE"""),"Talk Intro")</f>
        <v>Talk Intro</v>
      </c>
      <c r="N516" s="4" t="str">
        <f>IFERROR(__xludf.DUMMYFUNCTION("""COMPUTED_VALUE"""),"")</f>
        <v/>
      </c>
      <c r="O516" s="4" t="str">
        <f>IFERROR(__xludf.DUMMYFUNCTION("""COMPUTED_VALUE"""),"")</f>
        <v/>
      </c>
      <c r="P516" s="4" t="str">
        <f>IFERROR(__xludf.DUMMYFUNCTION("""COMPUTED_VALUE"""),"")</f>
        <v/>
      </c>
      <c r="Q516" s="4" t="str">
        <f>IFERROR(__xludf.DUMMYFUNCTION("""COMPUTED_VALUE"""),"")</f>
        <v/>
      </c>
      <c r="R516" s="4" t="str">
        <f>IFERROR(__xludf.DUMMYFUNCTION("""COMPUTED_VALUE"""),"")</f>
        <v/>
      </c>
      <c r="S516" s="4" t="str">
        <f>IFERROR(__xludf.DUMMYFUNCTION("""COMPUTED_VALUE"""),"")</f>
        <v/>
      </c>
      <c r="T516" s="4" t="str">
        <f>IFERROR(__xludf.DUMMYFUNCTION("""COMPUTED_VALUE"""),"")</f>
        <v/>
      </c>
      <c r="U516" s="4" t="str">
        <f>IFERROR(__xludf.DUMMYFUNCTION("""COMPUTED_VALUE"""),"")</f>
        <v/>
      </c>
      <c r="V516" s="4" t="str">
        <f>IFERROR(__xludf.DUMMYFUNCTION("""COMPUTED_VALUE"""),"")</f>
        <v/>
      </c>
      <c r="W516" s="4" t="str">
        <f>IFERROR(__xludf.DUMMYFUNCTION("""COMPUTED_VALUE"""),"")</f>
        <v/>
      </c>
      <c r="X516" s="4" t="str">
        <f>IFERROR(__xludf.DUMMYFUNCTION("""COMPUTED_VALUE"""),"")</f>
        <v/>
      </c>
      <c r="Y516" s="4" t="str">
        <f>IFERROR(__xludf.DUMMYFUNCTION("""COMPUTED_VALUE"""),"")</f>
        <v/>
      </c>
    </row>
    <row r="517">
      <c r="A517" s="4" t="str">
        <f>IFERROR(__xludf.DUMMYFUNCTION("""COMPUTED_VALUE"""),"546 - Channel")</f>
        <v>546 - Channel</v>
      </c>
      <c r="B517" s="4" t="str">
        <f>IFERROR(__xludf.DUMMYFUNCTION("""COMPUTED_VALUE"""),"Channel 2")</f>
        <v>Channel 2</v>
      </c>
      <c r="C517" s="4" t="str">
        <f>IFERROR(__xludf.DUMMYFUNCTION("""COMPUTED_VALUE"""),"Day 2 - 24/06")</f>
        <v>Day 2 - 24/06</v>
      </c>
      <c r="D517" s="6">
        <f>IFERROR(__xludf.DUMMYFUNCTION("""COMPUTED_VALUE"""),0.4865625000000003)</f>
        <v>0.4865625</v>
      </c>
      <c r="E517" s="6">
        <f>IFERROR(__xludf.DUMMYFUNCTION("""COMPUTED_VALUE"""),0.011273148148148148)</f>
        <v>0.01127314815</v>
      </c>
      <c r="F517" s="6">
        <f>IFERROR(__xludf.DUMMYFUNCTION("""COMPUTED_VALUE"""),0.49783564814814846)</f>
        <v>0.4978356481</v>
      </c>
      <c r="G517" s="4" t="str">
        <f>IFERROR(__xludf.DUMMYFUNCTION("""COMPUTED_VALUE"""),"Darren")</f>
        <v>Darren</v>
      </c>
      <c r="H517" s="4" t="str">
        <f>IFERROR(__xludf.DUMMYFUNCTION("""COMPUTED_VALUE"""),"Shauna")</f>
        <v>Shauna</v>
      </c>
      <c r="I517" s="4" t="str">
        <f>IFERROR(__xludf.DUMMYFUNCTION("""COMPUTED_VALUE"""),"Lucia H.")</f>
        <v>Lucia H.</v>
      </c>
      <c r="J517" s="4" t="str">
        <f>IFERROR(__xludf.DUMMYFUNCTION("""COMPUTED_VALUE"""),"AI")</f>
        <v>AI</v>
      </c>
      <c r="K517" s="4" t="str">
        <f>IFERROR(__xludf.DUMMYFUNCTION("""COMPUTED_VALUE"""),"Panel")</f>
        <v>Panel</v>
      </c>
      <c r="L517" s="4" t="str">
        <f>IFERROR(__xludf.DUMMYFUNCTION("""COMPUTED_VALUE"""),"T- 6 - 11/05/2020")</f>
        <v>T- 6 - 11/05/2020</v>
      </c>
      <c r="M517" s="4" t="str">
        <f>IFERROR(__xludf.DUMMYFUNCTION("""COMPUTED_VALUE"""),"Tech transforming sports")</f>
        <v>Tech transforming sports</v>
      </c>
      <c r="N517" s="4" t="str">
        <f>IFERROR(__xludf.DUMMYFUNCTION("""COMPUTED_VALUE"""),"John Levy, theScore")</f>
        <v>John Levy, theScore</v>
      </c>
      <c r="O517" s="4" t="str">
        <f>IFERROR(__xludf.DUMMYFUNCTION("""COMPUTED_VALUE"""),"Alberto Horihuela, fuboTV")</f>
        <v>Alberto Horihuela, fuboTV</v>
      </c>
      <c r="P517" s="4" t="str">
        <f>IFERROR(__xludf.DUMMYFUNCTION("""COMPUTED_VALUE"""),"Asaf Peled, Minute Media")</f>
        <v>Asaf Peled, Minute Media</v>
      </c>
      <c r="Q517" s="4" t="str">
        <f>IFERROR(__xludf.DUMMYFUNCTION("""COMPUTED_VALUE"""),"")</f>
        <v/>
      </c>
      <c r="R517" s="4" t="str">
        <f>IFERROR(__xludf.DUMMYFUNCTION("""COMPUTED_VALUE"""),"Emil Protalinski, VentureBeat")</f>
        <v>Emil Protalinski, VentureBeat</v>
      </c>
      <c r="S517" s="4" t="str">
        <f>IFERROR(__xludf.DUMMYFUNCTION("""COMPUTED_VALUE"""),"Tech is driving sports organizations' search for unlocking that one percent. Hear how AI, cloud-based technology on and off the field, and amassing and analyzing massive data sets, look likely to change the game forever. ")</f>
        <v>Tech is driving sports organizations' search for unlocking that one percent. Hear how AI, cloud-based technology on and off the field, and amassing and analyzing massive data sets, look likely to change the game forever. </v>
      </c>
      <c r="T517" s="4" t="str">
        <f>IFERROR(__xludf.DUMMYFUNCTION("""COMPUTED_VALUE"""),"NON-KEYNOTE 9 - COMPLETE")</f>
        <v>NON-KEYNOTE 9 - COMPLETE</v>
      </c>
      <c r="U517" s="23">
        <f>IFERROR(__xludf.DUMMYFUNCTION("""COMPUTED_VALUE"""),43962.0)</f>
        <v>43962</v>
      </c>
      <c r="V517" s="4" t="str">
        <f>IFERROR(__xludf.DUMMYFUNCTION("""COMPUTED_VALUE"""),"")</f>
        <v/>
      </c>
      <c r="W517" s="4" t="str">
        <f>IFERROR(__xludf.DUMMYFUNCTION("""COMPUTED_VALUE"""),"COMPLETE")</f>
        <v>COMPLETE</v>
      </c>
      <c r="X517" s="4" t="str">
        <f>IFERROR(__xludf.DUMMYFUNCTION("""COMPUTED_VALUE"""),"")</f>
        <v/>
      </c>
      <c r="Y517" s="4" t="str">
        <f>IFERROR(__xludf.DUMMYFUNCTION("""COMPUTED_VALUE"""),"")</f>
        <v/>
      </c>
    </row>
    <row r="518">
      <c r="A518" s="4" t="str">
        <f>IFERROR(__xludf.DUMMYFUNCTION("""COMPUTED_VALUE"""),"548 - Channel")</f>
        <v>548 - Channel</v>
      </c>
      <c r="B518" s="4" t="str">
        <f>IFERROR(__xludf.DUMMYFUNCTION("""COMPUTED_VALUE"""),"Channel 2")</f>
        <v>Channel 2</v>
      </c>
      <c r="C518" s="4" t="str">
        <f>IFERROR(__xludf.DUMMYFUNCTION("""COMPUTED_VALUE"""),"Day 2 - 24/06")</f>
        <v>Day 2 - 24/06</v>
      </c>
      <c r="D518" s="6">
        <f>IFERROR(__xludf.DUMMYFUNCTION("""COMPUTED_VALUE"""),0.49783564814814846)</f>
        <v>0.4978356481</v>
      </c>
      <c r="E518" s="6">
        <f>IFERROR(__xludf.DUMMYFUNCTION("""COMPUTED_VALUE"""),2.4305555555555555E-4)</f>
        <v>0.0002430555556</v>
      </c>
      <c r="F518" s="6">
        <f>IFERROR(__xludf.DUMMYFUNCTION("""COMPUTED_VALUE"""),0.498078703703704)</f>
        <v>0.4980787037</v>
      </c>
      <c r="G518" s="4" t="str">
        <f>IFERROR(__xludf.DUMMYFUNCTION("""COMPUTED_VALUE"""),"Startups")</f>
        <v>Startups</v>
      </c>
      <c r="H518" s="4" t="str">
        <f>IFERROR(__xludf.DUMMYFUNCTION("""COMPUTED_VALUE"""),"")</f>
        <v/>
      </c>
      <c r="I518" s="4" t="str">
        <f>IFERROR(__xludf.DUMMYFUNCTION("""COMPUTED_VALUE"""),"")</f>
        <v/>
      </c>
      <c r="J518" s="4" t="str">
        <f>IFERROR(__xludf.DUMMYFUNCTION("""COMPUTED_VALUE"""),"AI")</f>
        <v>AI</v>
      </c>
      <c r="K518" s="4" t="str">
        <f>IFERROR(__xludf.DUMMYFUNCTION("""COMPUTED_VALUE"""),"40 Words")</f>
        <v>40 Words</v>
      </c>
      <c r="L518" s="4" t="str">
        <f>IFERROR(__xludf.DUMMYFUNCTION("""COMPUTED_VALUE"""),"")</f>
        <v/>
      </c>
      <c r="M518" s="4" t="str">
        <f>IFERROR(__xludf.DUMMYFUNCTION("""COMPUTED_VALUE"""),"40 Words #11_Recroot")</f>
        <v>40 Words #11_Recroot</v>
      </c>
      <c r="N518" s="4" t="str">
        <f>IFERROR(__xludf.DUMMYFUNCTION("""COMPUTED_VALUE"""),"")</f>
        <v/>
      </c>
      <c r="O518" s="4" t="str">
        <f>IFERROR(__xludf.DUMMYFUNCTION("""COMPUTED_VALUE"""),"")</f>
        <v/>
      </c>
      <c r="P518" s="4" t="str">
        <f>IFERROR(__xludf.DUMMYFUNCTION("""COMPUTED_VALUE"""),"")</f>
        <v/>
      </c>
      <c r="Q518" s="4" t="str">
        <f>IFERROR(__xludf.DUMMYFUNCTION("""COMPUTED_VALUE"""),"")</f>
        <v/>
      </c>
      <c r="R518" s="4" t="str">
        <f>IFERROR(__xludf.DUMMYFUNCTION("""COMPUTED_VALUE"""),"")</f>
        <v/>
      </c>
      <c r="S518" s="4" t="str">
        <f>IFERROR(__xludf.DUMMYFUNCTION("""COMPUTED_VALUE"""),"")</f>
        <v/>
      </c>
      <c r="T518" s="4" t="str">
        <f>IFERROR(__xludf.DUMMYFUNCTION("""COMPUTED_VALUE"""),"")</f>
        <v/>
      </c>
      <c r="U518" s="4" t="str">
        <f>IFERROR(__xludf.DUMMYFUNCTION("""COMPUTED_VALUE"""),"")</f>
        <v/>
      </c>
      <c r="V518" s="4" t="str">
        <f>IFERROR(__xludf.DUMMYFUNCTION("""COMPUTED_VALUE"""),"")</f>
        <v/>
      </c>
      <c r="W518" s="4" t="str">
        <f>IFERROR(__xludf.DUMMYFUNCTION("""COMPUTED_VALUE"""),"")</f>
        <v/>
      </c>
      <c r="X518" s="4" t="str">
        <f>IFERROR(__xludf.DUMMYFUNCTION("""COMPUTED_VALUE"""),"")</f>
        <v/>
      </c>
      <c r="Y518" s="4" t="str">
        <f>IFERROR(__xludf.DUMMYFUNCTION("""COMPUTED_VALUE"""),"")</f>
        <v/>
      </c>
    </row>
    <row r="519">
      <c r="A519" s="4" t="str">
        <f>IFERROR(__xludf.DUMMYFUNCTION("""COMPUTED_VALUE"""),"1585 - Channel")</f>
        <v>1585 - Channel</v>
      </c>
      <c r="B519" s="4" t="str">
        <f>IFERROR(__xludf.DUMMYFUNCTION("""COMPUTED_VALUE"""),"Channel 2")</f>
        <v>Channel 2</v>
      </c>
      <c r="C519" s="4" t="str">
        <f>IFERROR(__xludf.DUMMYFUNCTION("""COMPUTED_VALUE"""),"Day 2 - 24/06")</f>
        <v>Day 2 - 24/06</v>
      </c>
      <c r="D519" s="6">
        <f>IFERROR(__xludf.DUMMYFUNCTION("""COMPUTED_VALUE"""),0.498078703703704)</f>
        <v>0.4980787037</v>
      </c>
      <c r="E519" s="6">
        <f>IFERROR(__xludf.DUMMYFUNCTION("""COMPUTED_VALUE"""),3.4722222222222224E-4)</f>
        <v>0.0003472222222</v>
      </c>
      <c r="F519" s="6">
        <f>IFERROR(__xludf.DUMMYFUNCTION("""COMPUTED_VALUE"""),0.4984259259259262)</f>
        <v>0.4984259259</v>
      </c>
      <c r="G519" s="4" t="str">
        <f>IFERROR(__xludf.DUMMYFUNCTION("""COMPUTED_VALUE"""),"Graphics")</f>
        <v>Graphics</v>
      </c>
      <c r="H519" s="4" t="str">
        <f>IFERROR(__xludf.DUMMYFUNCTION("""COMPUTED_VALUE"""),"")</f>
        <v/>
      </c>
      <c r="I519" s="4" t="str">
        <f>IFERROR(__xludf.DUMMYFUNCTION("""COMPUTED_VALUE"""),"")</f>
        <v/>
      </c>
      <c r="J519" s="4" t="str">
        <f>IFERROR(__xludf.DUMMYFUNCTION("""COMPUTED_VALUE"""),"AI")</f>
        <v>AI</v>
      </c>
      <c r="K519" s="4" t="str">
        <f>IFERROR(__xludf.DUMMYFUNCTION("""COMPUTED_VALUE"""),"Talk Intro")</f>
        <v>Talk Intro</v>
      </c>
      <c r="L519" s="4" t="str">
        <f>IFERROR(__xludf.DUMMYFUNCTION("""COMPUTED_VALUE"""),"")</f>
        <v/>
      </c>
      <c r="M519" s="4" t="str">
        <f>IFERROR(__xludf.DUMMYFUNCTION("""COMPUTED_VALUE"""),"Talk Intro")</f>
        <v>Talk Intro</v>
      </c>
      <c r="N519" s="4" t="str">
        <f>IFERROR(__xludf.DUMMYFUNCTION("""COMPUTED_VALUE"""),"")</f>
        <v/>
      </c>
      <c r="O519" s="4" t="str">
        <f>IFERROR(__xludf.DUMMYFUNCTION("""COMPUTED_VALUE"""),"")</f>
        <v/>
      </c>
      <c r="P519" s="4" t="str">
        <f>IFERROR(__xludf.DUMMYFUNCTION("""COMPUTED_VALUE"""),"")</f>
        <v/>
      </c>
      <c r="Q519" s="4" t="str">
        <f>IFERROR(__xludf.DUMMYFUNCTION("""COMPUTED_VALUE"""),"")</f>
        <v/>
      </c>
      <c r="R519" s="4" t="str">
        <f>IFERROR(__xludf.DUMMYFUNCTION("""COMPUTED_VALUE"""),"")</f>
        <v/>
      </c>
      <c r="S519" s="4" t="str">
        <f>IFERROR(__xludf.DUMMYFUNCTION("""COMPUTED_VALUE"""),"")</f>
        <v/>
      </c>
      <c r="T519" s="4" t="str">
        <f>IFERROR(__xludf.DUMMYFUNCTION("""COMPUTED_VALUE"""),"")</f>
        <v/>
      </c>
      <c r="U519" s="4" t="str">
        <f>IFERROR(__xludf.DUMMYFUNCTION("""COMPUTED_VALUE"""),"")</f>
        <v/>
      </c>
      <c r="V519" s="4" t="str">
        <f>IFERROR(__xludf.DUMMYFUNCTION("""COMPUTED_VALUE"""),"")</f>
        <v/>
      </c>
      <c r="W519" s="4" t="str">
        <f>IFERROR(__xludf.DUMMYFUNCTION("""COMPUTED_VALUE"""),"")</f>
        <v/>
      </c>
      <c r="X519" s="4" t="str">
        <f>IFERROR(__xludf.DUMMYFUNCTION("""COMPUTED_VALUE"""),"")</f>
        <v/>
      </c>
      <c r="Y519" s="4" t="str">
        <f>IFERROR(__xludf.DUMMYFUNCTION("""COMPUTED_VALUE"""),"")</f>
        <v/>
      </c>
    </row>
    <row r="520">
      <c r="A520" s="4" t="str">
        <f>IFERROR(__xludf.DUMMYFUNCTION("""COMPUTED_VALUE"""),"437 - Channel")</f>
        <v>437 - Channel</v>
      </c>
      <c r="B520" s="4" t="str">
        <f>IFERROR(__xludf.DUMMYFUNCTION("""COMPUTED_VALUE"""),"Channel 2")</f>
        <v>Channel 2</v>
      </c>
      <c r="C520" s="4" t="str">
        <f>IFERROR(__xludf.DUMMYFUNCTION("""COMPUTED_VALUE"""),"Day 2 - 24/06")</f>
        <v>Day 2 - 24/06</v>
      </c>
      <c r="D520" s="6">
        <f>IFERROR(__xludf.DUMMYFUNCTION("""COMPUTED_VALUE"""),0.4984259259259262)</f>
        <v>0.4984259259</v>
      </c>
      <c r="E520" s="6">
        <f>IFERROR(__xludf.DUMMYFUNCTION("""COMPUTED_VALUE"""),0.0021296296296296298)</f>
        <v>0.00212962963</v>
      </c>
      <c r="F520" s="6">
        <f>IFERROR(__xludf.DUMMYFUNCTION("""COMPUTED_VALUE"""),0.5005555555555559)</f>
        <v>0.5005555556</v>
      </c>
      <c r="G520" s="4" t="str">
        <f>IFERROR(__xludf.DUMMYFUNCTION("""COMPUTED_VALUE"""),"Dan")</f>
        <v>Dan</v>
      </c>
      <c r="H520" s="4" t="str">
        <f>IFERROR(__xludf.DUMMYFUNCTION("""COMPUTED_VALUE"""),"N/A")</f>
        <v>N/A</v>
      </c>
      <c r="I520" s="4" t="str">
        <f>IFERROR(__xludf.DUMMYFUNCTION("""COMPUTED_VALUE"""),"Jack")</f>
        <v>Jack</v>
      </c>
      <c r="J520" s="4" t="str">
        <f>IFERROR(__xludf.DUMMYFUNCTION("""COMPUTED_VALUE"""),"Sales")</f>
        <v>Sales</v>
      </c>
      <c r="K520" s="4" t="str">
        <f>IFERROR(__xludf.DUMMYFUNCTION("""COMPUTED_VALUE"""),"Keynote")</f>
        <v>Keynote</v>
      </c>
      <c r="L520" s="4" t="str">
        <f>IFERROR(__xludf.DUMMYFUNCTION("""COMPUTED_VALUE"""),"T- 8 - 27/04/2020")</f>
        <v>T- 8 - 27/04/2020</v>
      </c>
      <c r="M520" s="4" t="str">
        <f>IFERROR(__xludf.DUMMYFUNCTION("""COMPUTED_VALUE"""),"Pragmatism beats privacy")</f>
        <v>Pragmatism beats privacy</v>
      </c>
      <c r="N520" s="4" t="str">
        <f>IFERROR(__xludf.DUMMYFUNCTION("""COMPUTED_VALUE"""),"Shane Curran, Evervault")</f>
        <v>Shane Curran, Evervault</v>
      </c>
      <c r="O520" s="4" t="str">
        <f>IFERROR(__xludf.DUMMYFUNCTION("""COMPUTED_VALUE"""),"")</f>
        <v/>
      </c>
      <c r="P520" s="4" t="str">
        <f>IFERROR(__xludf.DUMMYFUNCTION("""COMPUTED_VALUE"""),"")</f>
        <v/>
      </c>
      <c r="Q520" s="4" t="str">
        <f>IFERROR(__xludf.DUMMYFUNCTION("""COMPUTED_VALUE"""),"")</f>
        <v/>
      </c>
      <c r="R520" s="4" t="str">
        <f>IFERROR(__xludf.DUMMYFUNCTION("""COMPUTED_VALUE"""),"")</f>
        <v/>
      </c>
      <c r="S520" s="4" t="str">
        <f>IFERROR(__xludf.DUMMYFUNCTION("""COMPUTED_VALUE"""),"Hear from CEO Shane Curran on how he founded data privacy company Evervault aged just 19, and on why the company is going from strength to strength.")</f>
        <v>Hear from CEO Shane Curran on how he founded data privacy company Evervault aged just 19, and on why the company is going from strength to strength.</v>
      </c>
      <c r="T520" s="4" t="str">
        <f>IFERROR(__xludf.DUMMYFUNCTION("""COMPUTED_VALUE"""),"KEYNOTE 8 - COMPLETE")</f>
        <v>KEYNOTE 8 - COMPLETE</v>
      </c>
      <c r="U520" s="23">
        <f>IFERROR(__xludf.DUMMYFUNCTION("""COMPUTED_VALUE"""),43948.0)</f>
        <v>43948</v>
      </c>
      <c r="V520" s="24">
        <f>IFERROR(__xludf.DUMMYFUNCTION("""COMPUTED_VALUE"""),0.5833333333333334)</f>
        <v>0.5833333333</v>
      </c>
      <c r="W520" s="4" t="str">
        <f>IFERROR(__xludf.DUMMYFUNCTION("""COMPUTED_VALUE"""),"COMPLETE")</f>
        <v>COMPLETE</v>
      </c>
      <c r="X520" s="4" t="str">
        <f>IFERROR(__xludf.DUMMYFUNCTION("""COMPUTED_VALUE"""),"Dan")</f>
        <v>Dan</v>
      </c>
      <c r="Y520" s="4" t="str">
        <f>IFERROR(__xludf.DUMMYFUNCTION("""COMPUTED_VALUE"""),"4638769716833376332")</f>
        <v>4638769716833376332</v>
      </c>
    </row>
    <row r="521">
      <c r="A521" s="4" t="str">
        <f>IFERROR(__xludf.DUMMYFUNCTION("""COMPUTED_VALUE"""),"553 - Channel")</f>
        <v>553 - Channel</v>
      </c>
      <c r="B521" s="4" t="str">
        <f>IFERROR(__xludf.DUMMYFUNCTION("""COMPUTED_VALUE"""),"Channel 2")</f>
        <v>Channel 2</v>
      </c>
      <c r="C521" s="4" t="str">
        <f>IFERROR(__xludf.DUMMYFUNCTION("""COMPUTED_VALUE"""),"Day 2 - 24/06")</f>
        <v>Day 2 - 24/06</v>
      </c>
      <c r="D521" s="4" t="str">
        <f>IFERROR(__xludf.DUMMYFUNCTION("""COMPUTED_VALUE"""),"")</f>
        <v/>
      </c>
      <c r="E521" s="4" t="str">
        <f>IFERROR(__xludf.DUMMYFUNCTION("""COMPUTED_VALUE"""),"")</f>
        <v/>
      </c>
      <c r="F521" s="4" t="str">
        <f>IFERROR(__xludf.DUMMYFUNCTION("""COMPUTED_VALUE"""),"")</f>
        <v/>
      </c>
      <c r="G521" s="4" t="str">
        <f>IFERROR(__xludf.DUMMYFUNCTION("""COMPUTED_VALUE"""),"")</f>
        <v/>
      </c>
      <c r="H521" s="4" t="str">
        <f>IFERROR(__xludf.DUMMYFUNCTION("""COMPUTED_VALUE"""),"")</f>
        <v/>
      </c>
      <c r="I521" s="4" t="str">
        <f>IFERROR(__xludf.DUMMYFUNCTION("""COMPUTED_VALUE"""),"")</f>
        <v/>
      </c>
      <c r="J521" s="4" t="str">
        <f>IFERROR(__xludf.DUMMYFUNCTION("""COMPUTED_VALUE"""),"")</f>
        <v/>
      </c>
      <c r="K521" s="4" t="str">
        <f>IFERROR(__xludf.DUMMYFUNCTION("""COMPUTED_VALUE"""),"")</f>
        <v/>
      </c>
      <c r="L521" s="4" t="str">
        <f>IFERROR(__xludf.DUMMYFUNCTION("""COMPUTED_VALUE"""),"")</f>
        <v/>
      </c>
      <c r="M521" s="4" t="str">
        <f>IFERROR(__xludf.DUMMYFUNCTION("""COMPUTED_VALUE"""),"")</f>
        <v/>
      </c>
      <c r="N521" s="4" t="str">
        <f>IFERROR(__xludf.DUMMYFUNCTION("""COMPUTED_VALUE"""),"")</f>
        <v/>
      </c>
      <c r="O521" s="4" t="str">
        <f>IFERROR(__xludf.DUMMYFUNCTION("""COMPUTED_VALUE"""),"")</f>
        <v/>
      </c>
      <c r="P521" s="4" t="str">
        <f>IFERROR(__xludf.DUMMYFUNCTION("""COMPUTED_VALUE"""),"")</f>
        <v/>
      </c>
      <c r="Q521" s="4" t="str">
        <f>IFERROR(__xludf.DUMMYFUNCTION("""COMPUTED_VALUE"""),"")</f>
        <v/>
      </c>
      <c r="R521" s="4" t="str">
        <f>IFERROR(__xludf.DUMMYFUNCTION("""COMPUTED_VALUE"""),"")</f>
        <v/>
      </c>
      <c r="S521" s="4" t="str">
        <f>IFERROR(__xludf.DUMMYFUNCTION("""COMPUTED_VALUE"""),"")</f>
        <v/>
      </c>
      <c r="T521" s="4" t="str">
        <f>IFERROR(__xludf.DUMMYFUNCTION("""COMPUTED_VALUE"""),"")</f>
        <v/>
      </c>
      <c r="U521" s="4" t="str">
        <f>IFERROR(__xludf.DUMMYFUNCTION("""COMPUTED_VALUE"""),"")</f>
        <v/>
      </c>
      <c r="V521" s="4" t="str">
        <f>IFERROR(__xludf.DUMMYFUNCTION("""COMPUTED_VALUE"""),"")</f>
        <v/>
      </c>
      <c r="W521" s="4" t="str">
        <f>IFERROR(__xludf.DUMMYFUNCTION("""COMPUTED_VALUE"""),"")</f>
        <v/>
      </c>
      <c r="X521" s="4" t="str">
        <f>IFERROR(__xludf.DUMMYFUNCTION("""COMPUTED_VALUE"""),"")</f>
        <v/>
      </c>
      <c r="Y521" s="4" t="str">
        <f>IFERROR(__xludf.DUMMYFUNCTION("""COMPUTED_VALUE"""),"")</f>
        <v/>
      </c>
    </row>
    <row r="522">
      <c r="A522" s="4" t="str">
        <f>IFERROR(__xludf.DUMMYFUNCTION("""COMPUTED_VALUE"""),"562 - Channel")</f>
        <v>562 - Channel</v>
      </c>
      <c r="B522" s="4" t="str">
        <f>IFERROR(__xludf.DUMMYFUNCTION("""COMPUTED_VALUE"""),"Channel 2")</f>
        <v>Channel 2</v>
      </c>
      <c r="C522" s="4" t="str">
        <f>IFERROR(__xludf.DUMMYFUNCTION("""COMPUTED_VALUE"""),"Day 2 - 24/06")</f>
        <v>Day 2 - 24/06</v>
      </c>
      <c r="D522" s="6">
        <f>IFERROR(__xludf.DUMMYFUNCTION("""COMPUTED_VALUE"""),0.5005555555555559)</f>
        <v>0.5005555556</v>
      </c>
      <c r="E522" s="6">
        <f>IFERROR(__xludf.DUMMYFUNCTION("""COMPUTED_VALUE"""),3.4722222222222224E-4)</f>
        <v>0.0003472222222</v>
      </c>
      <c r="F522" s="6">
        <f>IFERROR(__xludf.DUMMYFUNCTION("""COMPUTED_VALUE"""),0.5009027777777781)</f>
        <v>0.5009027778</v>
      </c>
      <c r="G522" s="4" t="str">
        <f>IFERROR(__xludf.DUMMYFUNCTION("""COMPUTED_VALUE"""),"Graphics")</f>
        <v>Graphics</v>
      </c>
      <c r="H522" s="4" t="str">
        <f>IFERROR(__xludf.DUMMYFUNCTION("""COMPUTED_VALUE"""),"")</f>
        <v/>
      </c>
      <c r="I522" s="4" t="str">
        <f>IFERROR(__xludf.DUMMYFUNCTION("""COMPUTED_VALUE"""),"")</f>
        <v/>
      </c>
      <c r="J522" s="4" t="str">
        <f>IFERROR(__xludf.DUMMYFUNCTION("""COMPUTED_VALUE"""),"Smart Cities")</f>
        <v>Smart Cities</v>
      </c>
      <c r="K522" s="4" t="str">
        <f>IFERROR(__xludf.DUMMYFUNCTION("""COMPUTED_VALUE"""),"Talk Intro")</f>
        <v>Talk Intro</v>
      </c>
      <c r="L522" s="4" t="str">
        <f>IFERROR(__xludf.DUMMYFUNCTION("""COMPUTED_VALUE"""),"")</f>
        <v/>
      </c>
      <c r="M522" s="4" t="str">
        <f>IFERROR(__xludf.DUMMYFUNCTION("""COMPUTED_VALUE"""),"Talk Intro")</f>
        <v>Talk Intro</v>
      </c>
      <c r="N522" s="4" t="str">
        <f>IFERROR(__xludf.DUMMYFUNCTION("""COMPUTED_VALUE"""),"")</f>
        <v/>
      </c>
      <c r="O522" s="4" t="str">
        <f>IFERROR(__xludf.DUMMYFUNCTION("""COMPUTED_VALUE"""),"")</f>
        <v/>
      </c>
      <c r="P522" s="4" t="str">
        <f>IFERROR(__xludf.DUMMYFUNCTION("""COMPUTED_VALUE"""),"")</f>
        <v/>
      </c>
      <c r="Q522" s="4" t="str">
        <f>IFERROR(__xludf.DUMMYFUNCTION("""COMPUTED_VALUE"""),"")</f>
        <v/>
      </c>
      <c r="R522" s="4" t="str">
        <f>IFERROR(__xludf.DUMMYFUNCTION("""COMPUTED_VALUE"""),"")</f>
        <v/>
      </c>
      <c r="S522" s="4" t="str">
        <f>IFERROR(__xludf.DUMMYFUNCTION("""COMPUTED_VALUE"""),"")</f>
        <v/>
      </c>
      <c r="T522" s="4" t="str">
        <f>IFERROR(__xludf.DUMMYFUNCTION("""COMPUTED_VALUE"""),"")</f>
        <v/>
      </c>
      <c r="U522" s="4" t="str">
        <f>IFERROR(__xludf.DUMMYFUNCTION("""COMPUTED_VALUE"""),"")</f>
        <v/>
      </c>
      <c r="V522" s="4" t="str">
        <f>IFERROR(__xludf.DUMMYFUNCTION("""COMPUTED_VALUE"""),"")</f>
        <v/>
      </c>
      <c r="W522" s="4" t="str">
        <f>IFERROR(__xludf.DUMMYFUNCTION("""COMPUTED_VALUE"""),"")</f>
        <v/>
      </c>
      <c r="X522" s="4" t="str">
        <f>IFERROR(__xludf.DUMMYFUNCTION("""COMPUTED_VALUE"""),"")</f>
        <v/>
      </c>
      <c r="Y522" s="4" t="str">
        <f>IFERROR(__xludf.DUMMYFUNCTION("""COMPUTED_VALUE"""),"")</f>
        <v/>
      </c>
    </row>
    <row r="523">
      <c r="A523" s="4" t="str">
        <f>IFERROR(__xludf.DUMMYFUNCTION("""COMPUTED_VALUE"""),"563 - Channel")</f>
        <v>563 - Channel</v>
      </c>
      <c r="B523" s="4" t="str">
        <f>IFERROR(__xludf.DUMMYFUNCTION("""COMPUTED_VALUE"""),"Channel 2")</f>
        <v>Channel 2</v>
      </c>
      <c r="C523" s="4" t="str">
        <f>IFERROR(__xludf.DUMMYFUNCTION("""COMPUTED_VALUE"""),"Day 2 - 24/06")</f>
        <v>Day 2 - 24/06</v>
      </c>
      <c r="D523" s="6">
        <f>IFERROR(__xludf.DUMMYFUNCTION("""COMPUTED_VALUE"""),0.5009027777777781)</f>
        <v>0.5009027778</v>
      </c>
      <c r="E523" s="6">
        <f>IFERROR(__xludf.DUMMYFUNCTION("""COMPUTED_VALUE"""),0.010763888888888889)</f>
        <v>0.01076388889</v>
      </c>
      <c r="F523" s="6">
        <f>IFERROR(__xludf.DUMMYFUNCTION("""COMPUTED_VALUE"""),0.511666666666667)</f>
        <v>0.5116666667</v>
      </c>
      <c r="G523" s="4" t="str">
        <f>IFERROR(__xludf.DUMMYFUNCTION("""COMPUTED_VALUE"""),"Darragh")</f>
        <v>Darragh</v>
      </c>
      <c r="H523" s="4" t="str">
        <f>IFERROR(__xludf.DUMMYFUNCTION("""COMPUTED_VALUE"""),"Eoghan")</f>
        <v>Eoghan</v>
      </c>
      <c r="I523" s="4" t="str">
        <f>IFERROR(__xludf.DUMMYFUNCTION("""COMPUTED_VALUE"""),"Lynn")</f>
        <v>Lynn</v>
      </c>
      <c r="J523" s="4" t="str">
        <f>IFERROR(__xludf.DUMMYFUNCTION("""COMPUTED_VALUE"""),"Smart Cities")</f>
        <v>Smart Cities</v>
      </c>
      <c r="K523" s="4" t="str">
        <f>IFERROR(__xludf.DUMMYFUNCTION("""COMPUTED_VALUE"""),"Fireside")</f>
        <v>Fireside</v>
      </c>
      <c r="L523" s="4" t="str">
        <f>IFERROR(__xludf.DUMMYFUNCTION("""COMPUTED_VALUE"""),"T- 4 - 25/05/2020")</f>
        <v>T- 4 - 25/05/2020</v>
      </c>
      <c r="M523" s="4" t="str">
        <f>IFERROR(__xludf.DUMMYFUNCTION("""COMPUTED_VALUE"""),"The new age of urban mobility")</f>
        <v>The new age of urban mobility</v>
      </c>
      <c r="N523" s="4" t="str">
        <f>IFERROR(__xludf.DUMMYFUNCTION("""COMPUTED_VALUE"""),"Jay Walder, Virgin Hyperloop One")</f>
        <v>Jay Walder, Virgin Hyperloop One</v>
      </c>
      <c r="O523" s="4" t="str">
        <f>IFERROR(__xludf.DUMMYFUNCTION("""COMPUTED_VALUE"""),"")</f>
        <v/>
      </c>
      <c r="P523" s="4" t="str">
        <f>IFERROR(__xludf.DUMMYFUNCTION("""COMPUTED_VALUE"""),"")</f>
        <v/>
      </c>
      <c r="Q523" s="4" t="str">
        <f>IFERROR(__xludf.DUMMYFUNCTION("""COMPUTED_VALUE"""),"")</f>
        <v/>
      </c>
      <c r="R523" s="4" t="str">
        <f>IFERROR(__xludf.DUMMYFUNCTION("""COMPUTED_VALUE"""),"Andrew J. Hawkins, The Verge")</f>
        <v>Andrew J. Hawkins, The Verge</v>
      </c>
      <c r="S523" s="4" t="str">
        <f>IFERROR(__xludf.DUMMYFUNCTION("""COMPUTED_VALUE"""),"With the face of urban mobility constantly shifting, one of the most exciting transport companies of recent times – Virgin Hyperloop – will fill us in on on how we'll be getting around in the future. ")</f>
        <v>With the face of urban mobility constantly shifting, one of the most exciting transport companies of recent times – Virgin Hyperloop – will fill us in on on how we'll be getting around in the future. </v>
      </c>
      <c r="T523" s="4" t="str">
        <f>IFERROR(__xludf.DUMMYFUNCTION("""COMPUTED_VALUE"""),"NON-KEYNOTE 9 - COMPLETE")</f>
        <v>NON-KEYNOTE 9 - COMPLETE</v>
      </c>
      <c r="U523" s="23">
        <f>IFERROR(__xludf.DUMMYFUNCTION("""COMPUTED_VALUE"""),43979.0)</f>
        <v>43979</v>
      </c>
      <c r="V523" s="24">
        <f>IFERROR(__xludf.DUMMYFUNCTION("""COMPUTED_VALUE"""),0.6666666666666666)</f>
        <v>0.6666666667</v>
      </c>
      <c r="W523" s="4" t="str">
        <f>IFERROR(__xludf.DUMMYFUNCTION("""COMPUTED_VALUE"""),"COMPLETE")</f>
        <v>COMPLETE</v>
      </c>
      <c r="X523" s="4" t="str">
        <f>IFERROR(__xludf.DUMMYFUNCTION("""COMPUTED_VALUE"""),"Darragh")</f>
        <v>Darragh</v>
      </c>
      <c r="Y523" s="4" t="str">
        <f>IFERROR(__xludf.DUMMYFUNCTION("""COMPUTED_VALUE"""),"")</f>
        <v/>
      </c>
    </row>
    <row r="524">
      <c r="A524" s="4" t="str">
        <f>IFERROR(__xludf.DUMMYFUNCTION("""COMPUTED_VALUE"""),"558 - Channel")</f>
        <v>558 - Channel</v>
      </c>
      <c r="B524" s="4" t="str">
        <f>IFERROR(__xludf.DUMMYFUNCTION("""COMPUTED_VALUE"""),"Channel 2")</f>
        <v>Channel 2</v>
      </c>
      <c r="C524" s="4" t="str">
        <f>IFERROR(__xludf.DUMMYFUNCTION("""COMPUTED_VALUE"""),"Day 2 - 24/06")</f>
        <v>Day 2 - 24/06</v>
      </c>
      <c r="D524" s="6">
        <f>IFERROR(__xludf.DUMMYFUNCTION("""COMPUTED_VALUE"""),0.511666666666667)</f>
        <v>0.5116666667</v>
      </c>
      <c r="E524" s="6">
        <f>IFERROR(__xludf.DUMMYFUNCTION("""COMPUTED_VALUE"""),3.4722222222222224E-4)</f>
        <v>0.0003472222222</v>
      </c>
      <c r="F524" s="6">
        <f>IFERROR(__xludf.DUMMYFUNCTION("""COMPUTED_VALUE"""),0.5120138888888893)</f>
        <v>0.5120138889</v>
      </c>
      <c r="G524" s="4" t="str">
        <f>IFERROR(__xludf.DUMMYFUNCTION("""COMPUTED_VALUE"""),"Graphics")</f>
        <v>Graphics</v>
      </c>
      <c r="H524" s="4" t="str">
        <f>IFERROR(__xludf.DUMMYFUNCTION("""COMPUTED_VALUE"""),"")</f>
        <v/>
      </c>
      <c r="I524" s="4" t="str">
        <f>IFERROR(__xludf.DUMMYFUNCTION("""COMPUTED_VALUE"""),"")</f>
        <v/>
      </c>
      <c r="J524" s="4" t="str">
        <f>IFERROR(__xludf.DUMMYFUNCTION("""COMPUTED_VALUE"""),"Smart Cities")</f>
        <v>Smart Cities</v>
      </c>
      <c r="K524" s="4" t="str">
        <f>IFERROR(__xludf.DUMMYFUNCTION("""COMPUTED_VALUE"""),"Talk Intro")</f>
        <v>Talk Intro</v>
      </c>
      <c r="L524" s="4" t="str">
        <f>IFERROR(__xludf.DUMMYFUNCTION("""COMPUTED_VALUE"""),"")</f>
        <v/>
      </c>
      <c r="M524" s="4" t="str">
        <f>IFERROR(__xludf.DUMMYFUNCTION("""COMPUTED_VALUE"""),"Talk Intro")</f>
        <v>Talk Intro</v>
      </c>
      <c r="N524" s="4" t="str">
        <f>IFERROR(__xludf.DUMMYFUNCTION("""COMPUTED_VALUE"""),"")</f>
        <v/>
      </c>
      <c r="O524" s="4" t="str">
        <f>IFERROR(__xludf.DUMMYFUNCTION("""COMPUTED_VALUE"""),"")</f>
        <v/>
      </c>
      <c r="P524" s="4" t="str">
        <f>IFERROR(__xludf.DUMMYFUNCTION("""COMPUTED_VALUE"""),"")</f>
        <v/>
      </c>
      <c r="Q524" s="4" t="str">
        <f>IFERROR(__xludf.DUMMYFUNCTION("""COMPUTED_VALUE"""),"")</f>
        <v/>
      </c>
      <c r="R524" s="4" t="str">
        <f>IFERROR(__xludf.DUMMYFUNCTION("""COMPUTED_VALUE"""),"")</f>
        <v/>
      </c>
      <c r="S524" s="4" t="str">
        <f>IFERROR(__xludf.DUMMYFUNCTION("""COMPUTED_VALUE"""),"")</f>
        <v/>
      </c>
      <c r="T524" s="4" t="str">
        <f>IFERROR(__xludf.DUMMYFUNCTION("""COMPUTED_VALUE"""),"")</f>
        <v/>
      </c>
      <c r="U524" s="4" t="str">
        <f>IFERROR(__xludf.DUMMYFUNCTION("""COMPUTED_VALUE"""),"")</f>
        <v/>
      </c>
      <c r="V524" s="4" t="str">
        <f>IFERROR(__xludf.DUMMYFUNCTION("""COMPUTED_VALUE"""),"")</f>
        <v/>
      </c>
      <c r="W524" s="4" t="str">
        <f>IFERROR(__xludf.DUMMYFUNCTION("""COMPUTED_VALUE"""),"")</f>
        <v/>
      </c>
      <c r="X524" s="4" t="str">
        <f>IFERROR(__xludf.DUMMYFUNCTION("""COMPUTED_VALUE"""),"")</f>
        <v/>
      </c>
      <c r="Y524" s="4" t="str">
        <f>IFERROR(__xludf.DUMMYFUNCTION("""COMPUTED_VALUE"""),"")</f>
        <v/>
      </c>
    </row>
    <row r="525">
      <c r="A525" s="4" t="str">
        <f>IFERROR(__xludf.DUMMYFUNCTION("""COMPUTED_VALUE"""),"559 - Channel")</f>
        <v>559 - Channel</v>
      </c>
      <c r="B525" s="4" t="str">
        <f>IFERROR(__xludf.DUMMYFUNCTION("""COMPUTED_VALUE"""),"Channel 2")</f>
        <v>Channel 2</v>
      </c>
      <c r="C525" s="4" t="str">
        <f>IFERROR(__xludf.DUMMYFUNCTION("""COMPUTED_VALUE"""),"Day 2 - 24/06")</f>
        <v>Day 2 - 24/06</v>
      </c>
      <c r="D525" s="6">
        <f>IFERROR(__xludf.DUMMYFUNCTION("""COMPUTED_VALUE"""),0.5120138888888893)</f>
        <v>0.5120138889</v>
      </c>
      <c r="E525" s="6">
        <f>IFERROR(__xludf.DUMMYFUNCTION("""COMPUTED_VALUE"""),0.014131944444444445)</f>
        <v>0.01413194444</v>
      </c>
      <c r="F525" s="6">
        <f>IFERROR(__xludf.DUMMYFUNCTION("""COMPUTED_VALUE"""),0.5261458333333338)</f>
        <v>0.5261458333</v>
      </c>
      <c r="G525" s="4" t="str">
        <f>IFERROR(__xludf.DUMMYFUNCTION("""COMPUTED_VALUE"""),"Brian")</f>
        <v>Brian</v>
      </c>
      <c r="H525" s="4" t="str">
        <f>IFERROR(__xludf.DUMMYFUNCTION("""COMPUTED_VALUE"""),"Stephen")</f>
        <v>Stephen</v>
      </c>
      <c r="I525" s="4" t="str">
        <f>IFERROR(__xludf.DUMMYFUNCTION("""COMPUTED_VALUE"""),"Hannah")</f>
        <v>Hannah</v>
      </c>
      <c r="J525" s="4" t="str">
        <f>IFERROR(__xludf.DUMMYFUNCTION("""COMPUTED_VALUE"""),"Smart Cities")</f>
        <v>Smart Cities</v>
      </c>
      <c r="K525" s="4" t="str">
        <f>IFERROR(__xludf.DUMMYFUNCTION("""COMPUTED_VALUE"""),"Fireside")</f>
        <v>Fireside</v>
      </c>
      <c r="L525" s="4" t="str">
        <f>IFERROR(__xludf.DUMMYFUNCTION("""COMPUTED_VALUE"""),"T- 3 - 01/06/2020")</f>
        <v>T- 3 - 01/06/2020</v>
      </c>
      <c r="M525" s="4" t="str">
        <f>IFERROR(__xludf.DUMMYFUNCTION("""COMPUTED_VALUE"""),"Are smart cities safer?")</f>
        <v>Are smart cities safer?</v>
      </c>
      <c r="N525" s="4" t="str">
        <f>IFERROR(__xludf.DUMMYFUNCTION("""COMPUTED_VALUE"""),"Dan Doctoroff, Sidewalk Labs")</f>
        <v>Dan Doctoroff, Sidewalk Labs</v>
      </c>
      <c r="O525" s="4" t="str">
        <f>IFERROR(__xludf.DUMMYFUNCTION("""COMPUTED_VALUE"""),"")</f>
        <v/>
      </c>
      <c r="P525" s="4" t="str">
        <f>IFERROR(__xludf.DUMMYFUNCTION("""COMPUTED_VALUE"""),"")</f>
        <v/>
      </c>
      <c r="Q525" s="4" t="str">
        <f>IFERROR(__xludf.DUMMYFUNCTION("""COMPUTED_VALUE"""),"")</f>
        <v/>
      </c>
      <c r="R525" s="4" t="str">
        <f>IFERROR(__xludf.DUMMYFUNCTION("""COMPUTED_VALUE"""),"Andrew J. Hawkins, The Verge")</f>
        <v>Andrew J. Hawkins, The Verge</v>
      </c>
      <c r="S525" s="4" t="str">
        <f>IFERROR(__xludf.DUMMYFUNCTION("""COMPUTED_VALUE"""),"Reimagining the cities of the future has never been more important. Alphabet's pioneering smart cities could solve many urban problems, from traffic jams to public health crises, but major technological and social milestones still need to be overcome. Sid"&amp;"ewalk Labs' CEO shares his thoughts on the challenges and triumphs ahead.")</f>
        <v>Reimagining the cities of the future has never been more important. Alphabet's pioneering smart cities could solve many urban problems, from traffic jams to public health crises, but major technological and social milestones still need to be overcome. Sidewalk Labs' CEO shares his thoughts on the challenges and triumphs ahead.</v>
      </c>
      <c r="T525" s="4" t="str">
        <f>IFERROR(__xludf.DUMMYFUNCTION("""COMPUTED_VALUE"""),"NON-KEYNOTE 9 - COMPLETE")</f>
        <v>NON-KEYNOTE 9 - COMPLETE</v>
      </c>
      <c r="U525" s="23">
        <f>IFERROR(__xludf.DUMMYFUNCTION("""COMPUTED_VALUE"""),43983.0)</f>
        <v>43983</v>
      </c>
      <c r="V525" s="24">
        <f>IFERROR(__xludf.DUMMYFUNCTION("""COMPUTED_VALUE"""),0.6041666666666666)</f>
        <v>0.6041666667</v>
      </c>
      <c r="W525" s="4" t="str">
        <f>IFERROR(__xludf.DUMMYFUNCTION("""COMPUTED_VALUE"""),"COMPLETE")</f>
        <v>COMPLETE</v>
      </c>
      <c r="X525" s="4" t="str">
        <f>IFERROR(__xludf.DUMMYFUNCTION("""COMPUTED_VALUE"""),"Brian")</f>
        <v>Brian</v>
      </c>
      <c r="Y525" s="4" t="str">
        <f>IFERROR(__xludf.DUMMYFUNCTION("""COMPUTED_VALUE"""),"")</f>
        <v/>
      </c>
    </row>
    <row r="526">
      <c r="A526" s="4" t="str">
        <f>IFERROR(__xludf.DUMMYFUNCTION("""COMPUTED_VALUE"""),"561 - Channel")</f>
        <v>561 - Channel</v>
      </c>
      <c r="B526" s="4" t="str">
        <f>IFERROR(__xludf.DUMMYFUNCTION("""COMPUTED_VALUE"""),"Channel 2")</f>
        <v>Channel 2</v>
      </c>
      <c r="C526" s="4" t="str">
        <f>IFERROR(__xludf.DUMMYFUNCTION("""COMPUTED_VALUE"""),"Day 2 - 24/06")</f>
        <v>Day 2 - 24/06</v>
      </c>
      <c r="D526" s="6">
        <f>IFERROR(__xludf.DUMMYFUNCTION("""COMPUTED_VALUE"""),0.5261458333333338)</f>
        <v>0.5261458333</v>
      </c>
      <c r="E526" s="6">
        <f>IFERROR(__xludf.DUMMYFUNCTION("""COMPUTED_VALUE"""),2.0833333333333335E-4)</f>
        <v>0.0002083333333</v>
      </c>
      <c r="F526" s="6">
        <f>IFERROR(__xludf.DUMMYFUNCTION("""COMPUTED_VALUE"""),0.5263541666666671)</f>
        <v>0.5263541667</v>
      </c>
      <c r="G526" s="4" t="str">
        <f>IFERROR(__xludf.DUMMYFUNCTION("""COMPUTED_VALUE"""),"Startups")</f>
        <v>Startups</v>
      </c>
      <c r="H526" s="4" t="str">
        <f>IFERROR(__xludf.DUMMYFUNCTION("""COMPUTED_VALUE"""),"")</f>
        <v/>
      </c>
      <c r="I526" s="4" t="str">
        <f>IFERROR(__xludf.DUMMYFUNCTION("""COMPUTED_VALUE"""),"")</f>
        <v/>
      </c>
      <c r="J526" s="4" t="str">
        <f>IFERROR(__xludf.DUMMYFUNCTION("""COMPUTED_VALUE"""),"Smart Cities")</f>
        <v>Smart Cities</v>
      </c>
      <c r="K526" s="4" t="str">
        <f>IFERROR(__xludf.DUMMYFUNCTION("""COMPUTED_VALUE"""),"40 Words")</f>
        <v>40 Words</v>
      </c>
      <c r="L526" s="4" t="str">
        <f>IFERROR(__xludf.DUMMYFUNCTION("""COMPUTED_VALUE"""),"")</f>
        <v/>
      </c>
      <c r="M526" s="4" t="str">
        <f>IFERROR(__xludf.DUMMYFUNCTION("""COMPUTED_VALUE"""),"40 Words #13_London Trade Art")</f>
        <v>40 Words #13_London Trade Art</v>
      </c>
      <c r="N526" s="4" t="str">
        <f>IFERROR(__xludf.DUMMYFUNCTION("""COMPUTED_VALUE"""),"")</f>
        <v/>
      </c>
      <c r="O526" s="4" t="str">
        <f>IFERROR(__xludf.DUMMYFUNCTION("""COMPUTED_VALUE"""),"")</f>
        <v/>
      </c>
      <c r="P526" s="4" t="str">
        <f>IFERROR(__xludf.DUMMYFUNCTION("""COMPUTED_VALUE"""),"")</f>
        <v/>
      </c>
      <c r="Q526" s="4" t="str">
        <f>IFERROR(__xludf.DUMMYFUNCTION("""COMPUTED_VALUE"""),"")</f>
        <v/>
      </c>
      <c r="R526" s="4" t="str">
        <f>IFERROR(__xludf.DUMMYFUNCTION("""COMPUTED_VALUE"""),"")</f>
        <v/>
      </c>
      <c r="S526" s="4" t="str">
        <f>IFERROR(__xludf.DUMMYFUNCTION("""COMPUTED_VALUE"""),"")</f>
        <v/>
      </c>
      <c r="T526" s="4" t="str">
        <f>IFERROR(__xludf.DUMMYFUNCTION("""COMPUTED_VALUE"""),"")</f>
        <v/>
      </c>
      <c r="U526" s="4" t="str">
        <f>IFERROR(__xludf.DUMMYFUNCTION("""COMPUTED_VALUE"""),"")</f>
        <v/>
      </c>
      <c r="V526" s="4" t="str">
        <f>IFERROR(__xludf.DUMMYFUNCTION("""COMPUTED_VALUE"""),"")</f>
        <v/>
      </c>
      <c r="W526" s="4" t="str">
        <f>IFERROR(__xludf.DUMMYFUNCTION("""COMPUTED_VALUE"""),"")</f>
        <v/>
      </c>
      <c r="X526" s="4" t="str">
        <f>IFERROR(__xludf.DUMMYFUNCTION("""COMPUTED_VALUE"""),"")</f>
        <v/>
      </c>
      <c r="Y526" s="4" t="str">
        <f>IFERROR(__xludf.DUMMYFUNCTION("""COMPUTED_VALUE"""),"")</f>
        <v/>
      </c>
    </row>
    <row r="527">
      <c r="A527" s="4" t="str">
        <f>IFERROR(__xludf.DUMMYFUNCTION("""COMPUTED_VALUE"""),"554 - Channel")</f>
        <v>554 - Channel</v>
      </c>
      <c r="B527" s="4" t="str">
        <f>IFERROR(__xludf.DUMMYFUNCTION("""COMPUTED_VALUE"""),"Channel 2")</f>
        <v>Channel 2</v>
      </c>
      <c r="C527" s="4" t="str">
        <f>IFERROR(__xludf.DUMMYFUNCTION("""COMPUTED_VALUE"""),"Day 2 - 24/06")</f>
        <v>Day 2 - 24/06</v>
      </c>
      <c r="D527" s="6">
        <f>IFERROR(__xludf.DUMMYFUNCTION("""COMPUTED_VALUE"""),0.5263541666666671)</f>
        <v>0.5263541667</v>
      </c>
      <c r="E527" s="6">
        <f>IFERROR(__xludf.DUMMYFUNCTION("""COMPUTED_VALUE"""),3.4722222222222224E-4)</f>
        <v>0.0003472222222</v>
      </c>
      <c r="F527" s="6">
        <f>IFERROR(__xludf.DUMMYFUNCTION("""COMPUTED_VALUE"""),0.5267013888888894)</f>
        <v>0.5267013889</v>
      </c>
      <c r="G527" s="4" t="str">
        <f>IFERROR(__xludf.DUMMYFUNCTION("""COMPUTED_VALUE"""),"Graphics")</f>
        <v>Graphics</v>
      </c>
      <c r="H527" s="4" t="str">
        <f>IFERROR(__xludf.DUMMYFUNCTION("""COMPUTED_VALUE"""),"")</f>
        <v/>
      </c>
      <c r="I527" s="4" t="str">
        <f>IFERROR(__xludf.DUMMYFUNCTION("""COMPUTED_VALUE"""),"")</f>
        <v/>
      </c>
      <c r="J527" s="4" t="str">
        <f>IFERROR(__xludf.DUMMYFUNCTION("""COMPUTED_VALUE"""),"Smart Cities")</f>
        <v>Smart Cities</v>
      </c>
      <c r="K527" s="4" t="str">
        <f>IFERROR(__xludf.DUMMYFUNCTION("""COMPUTED_VALUE"""),"Talk Intro")</f>
        <v>Talk Intro</v>
      </c>
      <c r="L527" s="4" t="str">
        <f>IFERROR(__xludf.DUMMYFUNCTION("""COMPUTED_VALUE"""),"")</f>
        <v/>
      </c>
      <c r="M527" s="4" t="str">
        <f>IFERROR(__xludf.DUMMYFUNCTION("""COMPUTED_VALUE"""),"Talk Intro")</f>
        <v>Talk Intro</v>
      </c>
      <c r="N527" s="4" t="str">
        <f>IFERROR(__xludf.DUMMYFUNCTION("""COMPUTED_VALUE"""),"")</f>
        <v/>
      </c>
      <c r="O527" s="4" t="str">
        <f>IFERROR(__xludf.DUMMYFUNCTION("""COMPUTED_VALUE"""),"")</f>
        <v/>
      </c>
      <c r="P527" s="4" t="str">
        <f>IFERROR(__xludf.DUMMYFUNCTION("""COMPUTED_VALUE"""),"")</f>
        <v/>
      </c>
      <c r="Q527" s="4" t="str">
        <f>IFERROR(__xludf.DUMMYFUNCTION("""COMPUTED_VALUE"""),"")</f>
        <v/>
      </c>
      <c r="R527" s="4" t="str">
        <f>IFERROR(__xludf.DUMMYFUNCTION("""COMPUTED_VALUE"""),"")</f>
        <v/>
      </c>
      <c r="S527" s="4" t="str">
        <f>IFERROR(__xludf.DUMMYFUNCTION("""COMPUTED_VALUE"""),"")</f>
        <v/>
      </c>
      <c r="T527" s="4" t="str">
        <f>IFERROR(__xludf.DUMMYFUNCTION("""COMPUTED_VALUE"""),"")</f>
        <v/>
      </c>
      <c r="U527" s="4" t="str">
        <f>IFERROR(__xludf.DUMMYFUNCTION("""COMPUTED_VALUE"""),"")</f>
        <v/>
      </c>
      <c r="V527" s="4" t="str">
        <f>IFERROR(__xludf.DUMMYFUNCTION("""COMPUTED_VALUE"""),"")</f>
        <v/>
      </c>
      <c r="W527" s="4" t="str">
        <f>IFERROR(__xludf.DUMMYFUNCTION("""COMPUTED_VALUE"""),"")</f>
        <v/>
      </c>
      <c r="X527" s="4" t="str">
        <f>IFERROR(__xludf.DUMMYFUNCTION("""COMPUTED_VALUE"""),"")</f>
        <v/>
      </c>
      <c r="Y527" s="4" t="str">
        <f>IFERROR(__xludf.DUMMYFUNCTION("""COMPUTED_VALUE"""),"")</f>
        <v/>
      </c>
    </row>
    <row r="528">
      <c r="A528" s="4" t="str">
        <f>IFERROR(__xludf.DUMMYFUNCTION("""COMPUTED_VALUE"""),"555 - Channel")</f>
        <v>555 - Channel</v>
      </c>
      <c r="B528" s="4" t="str">
        <f>IFERROR(__xludf.DUMMYFUNCTION("""COMPUTED_VALUE"""),"Channel 2")</f>
        <v>Channel 2</v>
      </c>
      <c r="C528" s="4" t="str">
        <f>IFERROR(__xludf.DUMMYFUNCTION("""COMPUTED_VALUE"""),"Day 2 - 24/06")</f>
        <v>Day 2 - 24/06</v>
      </c>
      <c r="D528" s="6">
        <f>IFERROR(__xludf.DUMMYFUNCTION("""COMPUTED_VALUE"""),0.5267013888888894)</f>
        <v>0.5267013889</v>
      </c>
      <c r="E528" s="6">
        <f>IFERROR(__xludf.DUMMYFUNCTION("""COMPUTED_VALUE"""),0.011122685185185185)</f>
        <v>0.01112268519</v>
      </c>
      <c r="F528" s="6">
        <f>IFERROR(__xludf.DUMMYFUNCTION("""COMPUTED_VALUE"""),0.5378240740740746)</f>
        <v>0.5378240741</v>
      </c>
      <c r="G528" s="4" t="str">
        <f>IFERROR(__xludf.DUMMYFUNCTION("""COMPUTED_VALUE"""),"Ahmed")</f>
        <v>Ahmed</v>
      </c>
      <c r="H528" s="4" t="str">
        <f>IFERROR(__xludf.DUMMYFUNCTION("""COMPUTED_VALUE"""),"Eoghan")</f>
        <v>Eoghan</v>
      </c>
      <c r="I528" s="4" t="str">
        <f>IFERROR(__xludf.DUMMYFUNCTION("""COMPUTED_VALUE"""),"Francisca")</f>
        <v>Francisca</v>
      </c>
      <c r="J528" s="4" t="str">
        <f>IFERROR(__xludf.DUMMYFUNCTION("""COMPUTED_VALUE"""),"Smart Cities")</f>
        <v>Smart Cities</v>
      </c>
      <c r="K528" s="4" t="str">
        <f>IFERROR(__xludf.DUMMYFUNCTION("""COMPUTED_VALUE"""),"Panel")</f>
        <v>Panel</v>
      </c>
      <c r="L528" s="4" t="str">
        <f>IFERROR(__xludf.DUMMYFUNCTION("""COMPUTED_VALUE"""),"T- 5 - 18/05/2020")</f>
        <v>T- 5 - 18/05/2020</v>
      </c>
      <c r="M528" s="4" t="str">
        <f>IFERROR(__xludf.DUMMYFUNCTION("""COMPUTED_VALUE"""),"Green cities: Driving sustainable environments")</f>
        <v>Green cities: Driving sustainable environments</v>
      </c>
      <c r="N528" s="4" t="str">
        <f>IFERROR(__xludf.DUMMYFUNCTION("""COMPUTED_VALUE"""),"Fernando Medina, City of Lisbon")</f>
        <v>Fernando Medina, City of Lisbon</v>
      </c>
      <c r="O528" s="4" t="str">
        <f>IFERROR(__xludf.DUMMYFUNCTION("""COMPUTED_VALUE"""),"Stuart Lombard, ecobee")</f>
        <v>Stuart Lombard, ecobee</v>
      </c>
      <c r="P528" s="4" t="str">
        <f>IFERROR(__xludf.DUMMYFUNCTION("""COMPUTED_VALUE"""),"Emma Nehrenheim, Northvolt")</f>
        <v>Emma Nehrenheim, Northvolt</v>
      </c>
      <c r="Q528" s="4" t="str">
        <f>IFERROR(__xludf.DUMMYFUNCTION("""COMPUTED_VALUE"""),"")</f>
        <v/>
      </c>
      <c r="R528" s="4" t="str">
        <f>IFERROR(__xludf.DUMMYFUNCTION("""COMPUTED_VALUE"""),"Nicole Systrom, Sutro Energy Group")</f>
        <v>Nicole Systrom, Sutro Energy Group</v>
      </c>
      <c r="S528" s="4" t="str">
        <f>IFERROR(__xludf.DUMMYFUNCTION("""COMPUTED_VALUE"""),"The world is changing. The unprecedented disruption of Covid-19 restrictions has given us a snapshot of what a lower-carbon, less resource-intensive city lifestyle could look like. This has highlighted the benefits of minimizing waste, of renewable energy"&amp;", of local sourcing, of adaptation of transport patterns and of sustainability in our homes. Has the pandemic broken our norms? Can this be a breakthrough moment for our environmental evolution?")</f>
        <v>The world is changing. The unprecedented disruption of Covid-19 restrictions has given us a snapshot of what a lower-carbon, less resource-intensive city lifestyle could look like. This has highlighted the benefits of minimizing waste, of renewable energy, of local sourcing, of adaptation of transport patterns and of sustainability in our homes. Has the pandemic broken our norms? Can this be a breakthrough moment for our environmental evolution?</v>
      </c>
      <c r="T528" s="4" t="str">
        <f>IFERROR(__xludf.DUMMYFUNCTION("""COMPUTED_VALUE"""),"NON-KEYNOTE 9 - COMPLETE")</f>
        <v>NON-KEYNOTE 9 - COMPLETE</v>
      </c>
      <c r="U528" s="23">
        <f>IFERROR(__xludf.DUMMYFUNCTION("""COMPUTED_VALUE"""),43973.0)</f>
        <v>43973</v>
      </c>
      <c r="V528" s="44">
        <f>IFERROR(__xludf.DUMMYFUNCTION("""COMPUTED_VALUE"""),0.6666666666666666)</f>
        <v>0.6666666667</v>
      </c>
      <c r="W528" s="4" t="str">
        <f>IFERROR(__xludf.DUMMYFUNCTION("""COMPUTED_VALUE"""),"COMPLETE")</f>
        <v>COMPLETE</v>
      </c>
      <c r="X528" s="4" t="str">
        <f>IFERROR(__xludf.DUMMYFUNCTION("""COMPUTED_VALUE"""),"Ahmed")</f>
        <v>Ahmed</v>
      </c>
      <c r="Y528" s="4" t="str">
        <f>IFERROR(__xludf.DUMMYFUNCTION("""COMPUTED_VALUE"""),"")</f>
        <v/>
      </c>
    </row>
    <row r="529">
      <c r="A529" s="4" t="str">
        <f>IFERROR(__xludf.DUMMYFUNCTION("""COMPUTED_VALUE"""),"566 - Channel")</f>
        <v>566 - Channel</v>
      </c>
      <c r="B529" s="4" t="str">
        <f>IFERROR(__xludf.DUMMYFUNCTION("""COMPUTED_VALUE"""),"Channel 2")</f>
        <v>Channel 2</v>
      </c>
      <c r="C529" s="4" t="str">
        <f>IFERROR(__xludf.DUMMYFUNCTION("""COMPUTED_VALUE"""),"Day 2 - 24/06")</f>
        <v>Day 2 - 24/06</v>
      </c>
      <c r="D529" s="6">
        <f>IFERROR(__xludf.DUMMYFUNCTION("""COMPUTED_VALUE"""),0.5378240740740746)</f>
        <v>0.5378240741</v>
      </c>
      <c r="E529" s="6">
        <f>IFERROR(__xludf.DUMMYFUNCTION("""COMPUTED_VALUE"""),3.4722222222222224E-4)</f>
        <v>0.0003472222222</v>
      </c>
      <c r="F529" s="6">
        <f>IFERROR(__xludf.DUMMYFUNCTION("""COMPUTED_VALUE"""),0.5381712962962969)</f>
        <v>0.5381712963</v>
      </c>
      <c r="G529" s="4" t="str">
        <f>IFERROR(__xludf.DUMMYFUNCTION("""COMPUTED_VALUE"""),"Graphics")</f>
        <v>Graphics</v>
      </c>
      <c r="H529" s="4" t="str">
        <f>IFERROR(__xludf.DUMMYFUNCTION("""COMPUTED_VALUE"""),"")</f>
        <v/>
      </c>
      <c r="I529" s="4" t="str">
        <f>IFERROR(__xludf.DUMMYFUNCTION("""COMPUTED_VALUE"""),"")</f>
        <v/>
      </c>
      <c r="J529" s="4" t="str">
        <f>IFERROR(__xludf.DUMMYFUNCTION("""COMPUTED_VALUE"""),"Smart Cities")</f>
        <v>Smart Cities</v>
      </c>
      <c r="K529" s="4" t="str">
        <f>IFERROR(__xludf.DUMMYFUNCTION("""COMPUTED_VALUE"""),"Talk Intro")</f>
        <v>Talk Intro</v>
      </c>
      <c r="L529" s="4" t="str">
        <f>IFERROR(__xludf.DUMMYFUNCTION("""COMPUTED_VALUE"""),"")</f>
        <v/>
      </c>
      <c r="M529" s="4" t="str">
        <f>IFERROR(__xludf.DUMMYFUNCTION("""COMPUTED_VALUE"""),"Talk Intro")</f>
        <v>Talk Intro</v>
      </c>
      <c r="N529" s="4" t="str">
        <f>IFERROR(__xludf.DUMMYFUNCTION("""COMPUTED_VALUE"""),"")</f>
        <v/>
      </c>
      <c r="O529" s="4" t="str">
        <f>IFERROR(__xludf.DUMMYFUNCTION("""COMPUTED_VALUE"""),"")</f>
        <v/>
      </c>
      <c r="P529" s="4" t="str">
        <f>IFERROR(__xludf.DUMMYFUNCTION("""COMPUTED_VALUE"""),"")</f>
        <v/>
      </c>
      <c r="Q529" s="4" t="str">
        <f>IFERROR(__xludf.DUMMYFUNCTION("""COMPUTED_VALUE"""),"")</f>
        <v/>
      </c>
      <c r="R529" s="4" t="str">
        <f>IFERROR(__xludf.DUMMYFUNCTION("""COMPUTED_VALUE"""),"")</f>
        <v/>
      </c>
      <c r="S529" s="4" t="str">
        <f>IFERROR(__xludf.DUMMYFUNCTION("""COMPUTED_VALUE"""),"")</f>
        <v/>
      </c>
      <c r="T529" s="4" t="str">
        <f>IFERROR(__xludf.DUMMYFUNCTION("""COMPUTED_VALUE"""),"")</f>
        <v/>
      </c>
      <c r="U529" s="4" t="str">
        <f>IFERROR(__xludf.DUMMYFUNCTION("""COMPUTED_VALUE"""),"")</f>
        <v/>
      </c>
      <c r="V529" s="4" t="str">
        <f>IFERROR(__xludf.DUMMYFUNCTION("""COMPUTED_VALUE"""),"")</f>
        <v/>
      </c>
      <c r="W529" s="4" t="str">
        <f>IFERROR(__xludf.DUMMYFUNCTION("""COMPUTED_VALUE"""),"")</f>
        <v/>
      </c>
      <c r="X529" s="4" t="str">
        <f>IFERROR(__xludf.DUMMYFUNCTION("""COMPUTED_VALUE"""),"")</f>
        <v/>
      </c>
      <c r="Y529" s="4" t="str">
        <f>IFERROR(__xludf.DUMMYFUNCTION("""COMPUTED_VALUE"""),"")</f>
        <v/>
      </c>
    </row>
    <row r="530">
      <c r="A530" s="4" t="str">
        <f>IFERROR(__xludf.DUMMYFUNCTION("""COMPUTED_VALUE"""),"567 - Channel")</f>
        <v>567 - Channel</v>
      </c>
      <c r="B530" s="4" t="str">
        <f>IFERROR(__xludf.DUMMYFUNCTION("""COMPUTED_VALUE"""),"Channel 2")</f>
        <v>Channel 2</v>
      </c>
      <c r="C530" s="4" t="str">
        <f>IFERROR(__xludf.DUMMYFUNCTION("""COMPUTED_VALUE"""),"Day 2 - 24/06")</f>
        <v>Day 2 - 24/06</v>
      </c>
      <c r="D530" s="6">
        <f>IFERROR(__xludf.DUMMYFUNCTION("""COMPUTED_VALUE"""),0.5381712962962969)</f>
        <v>0.5381712963</v>
      </c>
      <c r="E530" s="6">
        <f>IFERROR(__xludf.DUMMYFUNCTION("""COMPUTED_VALUE"""),0.0020949074074074073)</f>
        <v>0.002094907407</v>
      </c>
      <c r="F530" s="6">
        <f>IFERROR(__xludf.DUMMYFUNCTION("""COMPUTED_VALUE"""),0.5402662037037043)</f>
        <v>0.5402662037</v>
      </c>
      <c r="G530" s="4" t="str">
        <f>IFERROR(__xludf.DUMMYFUNCTION("""COMPUTED_VALUE"""),"Dan")</f>
        <v>Dan</v>
      </c>
      <c r="H530" s="4" t="str">
        <f>IFERROR(__xludf.DUMMYFUNCTION("""COMPUTED_VALUE"""),"N/A")</f>
        <v>N/A</v>
      </c>
      <c r="I530" s="4" t="str">
        <f>IFERROR(__xludf.DUMMYFUNCTION("""COMPUTED_VALUE"""),"Jack")</f>
        <v>Jack</v>
      </c>
      <c r="J530" s="4" t="str">
        <f>IFERROR(__xludf.DUMMYFUNCTION("""COMPUTED_VALUE"""),"Smart Cities")</f>
        <v>Smart Cities</v>
      </c>
      <c r="K530" s="4" t="str">
        <f>IFERROR(__xludf.DUMMYFUNCTION("""COMPUTED_VALUE"""),"Keynote")</f>
        <v>Keynote</v>
      </c>
      <c r="L530" s="4" t="str">
        <f>IFERROR(__xludf.DUMMYFUNCTION("""COMPUTED_VALUE"""),"T- 5 - 18/05/2020")</f>
        <v>T- 5 - 18/05/2020</v>
      </c>
      <c r="M530" s="4" t="str">
        <f>IFERROR(__xludf.DUMMYFUNCTION("""COMPUTED_VALUE"""),"Waste is a design flaw")</f>
        <v>Waste is a design flaw</v>
      </c>
      <c r="N530" s="4" t="str">
        <f>IFERROR(__xludf.DUMMYFUNCTION("""COMPUTED_VALUE"""),"Emma Rose Cohen, Final")</f>
        <v>Emma Rose Cohen, Final</v>
      </c>
      <c r="O530" s="4" t="str">
        <f>IFERROR(__xludf.DUMMYFUNCTION("""COMPUTED_VALUE"""),"")</f>
        <v/>
      </c>
      <c r="P530" s="4" t="str">
        <f>IFERROR(__xludf.DUMMYFUNCTION("""COMPUTED_VALUE"""),"")</f>
        <v/>
      </c>
      <c r="Q530" s="4" t="str">
        <f>IFERROR(__xludf.DUMMYFUNCTION("""COMPUTED_VALUE"""),"")</f>
        <v/>
      </c>
      <c r="R530" s="4" t="str">
        <f>IFERROR(__xludf.DUMMYFUNCTION("""COMPUTED_VALUE"""),"")</f>
        <v/>
      </c>
      <c r="S530" s="4" t="str">
        <f>IFERROR(__xludf.DUMMYFUNCTION("""COMPUTED_VALUE"""),"Hear from FinalStraw founder Emma Rose Cohen on her mission to create reusable, responsibly made products that reduce the need for plastics, empower individuals to change their buying habits, and raise awareness of the impacts of their everyday decisions.")</f>
        <v>Hear from FinalStraw founder Emma Rose Cohen on her mission to create reusable, responsibly made products that reduce the need for plastics, empower individuals to change their buying habits, and raise awareness of the impacts of their everyday decisions.</v>
      </c>
      <c r="T530" s="4" t="str">
        <f>IFERROR(__xludf.DUMMYFUNCTION("""COMPUTED_VALUE"""),"KEYNOTE 8 - COMPLETE")</f>
        <v>KEYNOTE 8 - COMPLETE</v>
      </c>
      <c r="U530" s="23">
        <f>IFERROR(__xludf.DUMMYFUNCTION("""COMPUTED_VALUE"""),43970.0)</f>
        <v>43970</v>
      </c>
      <c r="V530" s="44">
        <f>IFERROR(__xludf.DUMMYFUNCTION("""COMPUTED_VALUE"""),0.7083333333333334)</f>
        <v>0.7083333333</v>
      </c>
      <c r="W530" s="4" t="str">
        <f>IFERROR(__xludf.DUMMYFUNCTION("""COMPUTED_VALUE"""),"COMPLETE")</f>
        <v>COMPLETE</v>
      </c>
      <c r="X530" s="4" t="str">
        <f>IFERROR(__xludf.DUMMYFUNCTION("""COMPUTED_VALUE"""),"Dan")</f>
        <v>Dan</v>
      </c>
      <c r="Y530" s="4" t="str">
        <f>IFERROR(__xludf.DUMMYFUNCTION("""COMPUTED_VALUE"""),"4656697543512711364")</f>
        <v>4656697543512711364</v>
      </c>
    </row>
    <row r="531">
      <c r="A531" s="4" t="str">
        <f>IFERROR(__xludf.DUMMYFUNCTION("""COMPUTED_VALUE"""),"568 - Channel")</f>
        <v>568 - Channel</v>
      </c>
      <c r="B531" s="4" t="str">
        <f>IFERROR(__xludf.DUMMYFUNCTION("""COMPUTED_VALUE"""),"Channel 2")</f>
        <v>Channel 2</v>
      </c>
      <c r="C531" s="4" t="str">
        <f>IFERROR(__xludf.DUMMYFUNCTION("""COMPUTED_VALUE"""),"Day 2 - 24/06")</f>
        <v>Day 2 - 24/06</v>
      </c>
      <c r="D531" s="6">
        <f>IFERROR(__xludf.DUMMYFUNCTION("""COMPUTED_VALUE"""),0.5402662037037043)</f>
        <v>0.5402662037</v>
      </c>
      <c r="E531" s="6">
        <f>IFERROR(__xludf.DUMMYFUNCTION("""COMPUTED_VALUE"""),1.7361111111111112E-4)</f>
        <v>0.0001736111111</v>
      </c>
      <c r="F531" s="6">
        <f>IFERROR(__xludf.DUMMYFUNCTION("""COMPUTED_VALUE"""),0.5404398148148154)</f>
        <v>0.5404398148</v>
      </c>
      <c r="G531" s="4" t="str">
        <f>IFERROR(__xludf.DUMMYFUNCTION("""COMPUTED_VALUE"""),"Graphics")</f>
        <v>Graphics</v>
      </c>
      <c r="H531" s="4" t="str">
        <f>IFERROR(__xludf.DUMMYFUNCTION("""COMPUTED_VALUE"""),"")</f>
        <v/>
      </c>
      <c r="I531" s="4" t="str">
        <f>IFERROR(__xludf.DUMMYFUNCTION("""COMPUTED_VALUE"""),"")</f>
        <v/>
      </c>
      <c r="J531" s="4" t="str">
        <f>IFERROR(__xludf.DUMMYFUNCTION("""COMPUTED_VALUE"""),"Smart Cities")</f>
        <v>Smart Cities</v>
      </c>
      <c r="K531" s="4" t="str">
        <f>IFERROR(__xludf.DUMMYFUNCTION("""COMPUTED_VALUE"""),"Talk Outro")</f>
        <v>Talk Outro</v>
      </c>
      <c r="L531" s="4" t="str">
        <f>IFERROR(__xludf.DUMMYFUNCTION("""COMPUTED_VALUE"""),"")</f>
        <v/>
      </c>
      <c r="M531" s="4" t="str">
        <f>IFERROR(__xludf.DUMMYFUNCTION("""COMPUTED_VALUE"""),"Talk Outro")</f>
        <v>Talk Outro</v>
      </c>
      <c r="N531" s="4" t="str">
        <f>IFERROR(__xludf.DUMMYFUNCTION("""COMPUTED_VALUE"""),"")</f>
        <v/>
      </c>
      <c r="O531" s="4" t="str">
        <f>IFERROR(__xludf.DUMMYFUNCTION("""COMPUTED_VALUE"""),"")</f>
        <v/>
      </c>
      <c r="P531" s="4" t="str">
        <f>IFERROR(__xludf.DUMMYFUNCTION("""COMPUTED_VALUE"""),"")</f>
        <v/>
      </c>
      <c r="Q531" s="4" t="str">
        <f>IFERROR(__xludf.DUMMYFUNCTION("""COMPUTED_VALUE"""),"")</f>
        <v/>
      </c>
      <c r="R531" s="4" t="str">
        <f>IFERROR(__xludf.DUMMYFUNCTION("""COMPUTED_VALUE"""),"")</f>
        <v/>
      </c>
      <c r="S531" s="4" t="str">
        <f>IFERROR(__xludf.DUMMYFUNCTION("""COMPUTED_VALUE"""),"")</f>
        <v/>
      </c>
      <c r="T531" s="4" t="str">
        <f>IFERROR(__xludf.DUMMYFUNCTION("""COMPUTED_VALUE"""),"")</f>
        <v/>
      </c>
      <c r="U531" s="4" t="str">
        <f>IFERROR(__xludf.DUMMYFUNCTION("""COMPUTED_VALUE"""),"")</f>
        <v/>
      </c>
      <c r="V531" s="4" t="str">
        <f>IFERROR(__xludf.DUMMYFUNCTION("""COMPUTED_VALUE"""),"")</f>
        <v/>
      </c>
      <c r="W531" s="4" t="str">
        <f>IFERROR(__xludf.DUMMYFUNCTION("""COMPUTED_VALUE"""),"")</f>
        <v/>
      </c>
      <c r="X531" s="4" t="str">
        <f>IFERROR(__xludf.DUMMYFUNCTION("""COMPUTED_VALUE"""),"")</f>
        <v/>
      </c>
      <c r="Y531" s="4" t="str">
        <f>IFERROR(__xludf.DUMMYFUNCTION("""COMPUTED_VALUE"""),"")</f>
        <v/>
      </c>
    </row>
    <row r="532">
      <c r="A532" s="4" t="str">
        <f>IFERROR(__xludf.DUMMYFUNCTION("""COMPUTED_VALUE"""),"569 - Channel")</f>
        <v>569 - Channel</v>
      </c>
      <c r="B532" s="4" t="str">
        <f>IFERROR(__xludf.DUMMYFUNCTION("""COMPUTED_VALUE"""),"Channel 2")</f>
        <v>Channel 2</v>
      </c>
      <c r="C532" s="4" t="str">
        <f>IFERROR(__xludf.DUMMYFUNCTION("""COMPUTED_VALUE"""),"Day 2 - 24/06")</f>
        <v>Day 2 - 24/06</v>
      </c>
      <c r="D532" s="6">
        <f>IFERROR(__xludf.DUMMYFUNCTION("""COMPUTED_VALUE"""),0.5404398148148154)</f>
        <v>0.5404398148</v>
      </c>
      <c r="E532" s="6">
        <f>IFERROR(__xludf.DUMMYFUNCTION("""COMPUTED_VALUE"""),2.0833333333333335E-4)</f>
        <v>0.0002083333333</v>
      </c>
      <c r="F532" s="6">
        <f>IFERROR(__xludf.DUMMYFUNCTION("""COMPUTED_VALUE"""),0.5406481481481488)</f>
        <v>0.5406481481</v>
      </c>
      <c r="G532" s="4" t="str">
        <f>IFERROR(__xludf.DUMMYFUNCTION("""COMPUTED_VALUE"""),"Startups")</f>
        <v>Startups</v>
      </c>
      <c r="H532" s="4" t="str">
        <f>IFERROR(__xludf.DUMMYFUNCTION("""COMPUTED_VALUE"""),"")</f>
        <v/>
      </c>
      <c r="I532" s="4" t="str">
        <f>IFERROR(__xludf.DUMMYFUNCTION("""COMPUTED_VALUE"""),"")</f>
        <v/>
      </c>
      <c r="J532" s="4" t="str">
        <f>IFERROR(__xludf.DUMMYFUNCTION("""COMPUTED_VALUE"""),"Smart Cities")</f>
        <v>Smart Cities</v>
      </c>
      <c r="K532" s="4" t="str">
        <f>IFERROR(__xludf.DUMMYFUNCTION("""COMPUTED_VALUE"""),"40 Words")</f>
        <v>40 Words</v>
      </c>
      <c r="L532" s="4" t="str">
        <f>IFERROR(__xludf.DUMMYFUNCTION("""COMPUTED_VALUE"""),"")</f>
        <v/>
      </c>
      <c r="M532" s="4" t="str">
        <f>IFERROR(__xludf.DUMMYFUNCTION("""COMPUTED_VALUE"""),"40 words #15_Pawlytics")</f>
        <v>40 words #15_Pawlytics</v>
      </c>
      <c r="N532" s="4" t="str">
        <f>IFERROR(__xludf.DUMMYFUNCTION("""COMPUTED_VALUE"""),"")</f>
        <v/>
      </c>
      <c r="O532" s="4" t="str">
        <f>IFERROR(__xludf.DUMMYFUNCTION("""COMPUTED_VALUE"""),"")</f>
        <v/>
      </c>
      <c r="P532" s="4" t="str">
        <f>IFERROR(__xludf.DUMMYFUNCTION("""COMPUTED_VALUE"""),"")</f>
        <v/>
      </c>
      <c r="Q532" s="4" t="str">
        <f>IFERROR(__xludf.DUMMYFUNCTION("""COMPUTED_VALUE"""),"")</f>
        <v/>
      </c>
      <c r="R532" s="4" t="str">
        <f>IFERROR(__xludf.DUMMYFUNCTION("""COMPUTED_VALUE"""),"")</f>
        <v/>
      </c>
      <c r="S532" s="4" t="str">
        <f>IFERROR(__xludf.DUMMYFUNCTION("""COMPUTED_VALUE"""),"")</f>
        <v/>
      </c>
      <c r="T532" s="4" t="str">
        <f>IFERROR(__xludf.DUMMYFUNCTION("""COMPUTED_VALUE"""),"")</f>
        <v/>
      </c>
      <c r="U532" s="4" t="str">
        <f>IFERROR(__xludf.DUMMYFUNCTION("""COMPUTED_VALUE"""),"")</f>
        <v/>
      </c>
      <c r="V532" s="4" t="str">
        <f>IFERROR(__xludf.DUMMYFUNCTION("""COMPUTED_VALUE"""),"")</f>
        <v/>
      </c>
      <c r="W532" s="4" t="str">
        <f>IFERROR(__xludf.DUMMYFUNCTION("""COMPUTED_VALUE"""),"")</f>
        <v/>
      </c>
      <c r="X532" s="4" t="str">
        <f>IFERROR(__xludf.DUMMYFUNCTION("""COMPUTED_VALUE"""),"")</f>
        <v/>
      </c>
      <c r="Y532" s="4" t="str">
        <f>IFERROR(__xludf.DUMMYFUNCTION("""COMPUTED_VALUE"""),"")</f>
        <v/>
      </c>
    </row>
    <row r="533">
      <c r="A533" s="4" t="str">
        <f>IFERROR(__xludf.DUMMYFUNCTION("""COMPUTED_VALUE"""),"570 - Channel")</f>
        <v>570 - Channel</v>
      </c>
      <c r="B533" s="4" t="str">
        <f>IFERROR(__xludf.DUMMYFUNCTION("""COMPUTED_VALUE"""),"Channel 2")</f>
        <v>Channel 2</v>
      </c>
      <c r="C533" s="4" t="str">
        <f>IFERROR(__xludf.DUMMYFUNCTION("""COMPUTED_VALUE"""),"Day 2 - 24/06")</f>
        <v>Day 2 - 24/06</v>
      </c>
      <c r="D533" s="6">
        <f>IFERROR(__xludf.DUMMYFUNCTION("""COMPUTED_VALUE"""),0.5406481481481488)</f>
        <v>0.5406481481</v>
      </c>
      <c r="E533" s="6">
        <f>IFERROR(__xludf.DUMMYFUNCTION("""COMPUTED_VALUE"""),6.944444444444445E-4)</f>
        <v>0.0006944444444</v>
      </c>
      <c r="F533" s="6">
        <f>IFERROR(__xludf.DUMMYFUNCTION("""COMPUTED_VALUE"""),0.5413425925925932)</f>
        <v>0.5413425926</v>
      </c>
      <c r="G533" s="4" t="str">
        <f>IFERROR(__xludf.DUMMYFUNCTION("""COMPUTED_VALUE"""),"Graphics")</f>
        <v>Graphics</v>
      </c>
      <c r="H533" s="4" t="str">
        <f>IFERROR(__xludf.DUMMYFUNCTION("""COMPUTED_VALUE"""),"")</f>
        <v/>
      </c>
      <c r="I533" s="4" t="str">
        <f>IFERROR(__xludf.DUMMYFUNCTION("""COMPUTED_VALUE"""),"")</f>
        <v/>
      </c>
      <c r="J533" s="4" t="str">
        <f>IFERROR(__xludf.DUMMYFUNCTION("""COMPUTED_VALUE"""),"Smart Cities")</f>
        <v>Smart Cities</v>
      </c>
      <c r="K533" s="4" t="str">
        <f>IFERROR(__xludf.DUMMYFUNCTION("""COMPUTED_VALUE"""),"Laundry List/Lookaround")</f>
        <v>Laundry List/Lookaround</v>
      </c>
      <c r="L533" s="4" t="str">
        <f>IFERROR(__xludf.DUMMYFUNCTION("""COMPUTED_VALUE"""),"")</f>
        <v/>
      </c>
      <c r="M533" s="4" t="str">
        <f>IFERROR(__xludf.DUMMYFUNCTION("""COMPUTED_VALUE"""),"Laundry list/look around")</f>
        <v>Laundry list/look around</v>
      </c>
      <c r="N533" s="4" t="str">
        <f>IFERROR(__xludf.DUMMYFUNCTION("""COMPUTED_VALUE"""),"")</f>
        <v/>
      </c>
      <c r="O533" s="4" t="str">
        <f>IFERROR(__xludf.DUMMYFUNCTION("""COMPUTED_VALUE"""),"")</f>
        <v/>
      </c>
      <c r="P533" s="4" t="str">
        <f>IFERROR(__xludf.DUMMYFUNCTION("""COMPUTED_VALUE"""),"")</f>
        <v/>
      </c>
      <c r="Q533" s="4" t="str">
        <f>IFERROR(__xludf.DUMMYFUNCTION("""COMPUTED_VALUE"""),"")</f>
        <v/>
      </c>
      <c r="R533" s="4" t="str">
        <f>IFERROR(__xludf.DUMMYFUNCTION("""COMPUTED_VALUE"""),"")</f>
        <v/>
      </c>
      <c r="S533" s="4" t="str">
        <f>IFERROR(__xludf.DUMMYFUNCTION("""COMPUTED_VALUE"""),"")</f>
        <v/>
      </c>
      <c r="T533" s="4" t="str">
        <f>IFERROR(__xludf.DUMMYFUNCTION("""COMPUTED_VALUE"""),"")</f>
        <v/>
      </c>
      <c r="U533" s="4" t="str">
        <f>IFERROR(__xludf.DUMMYFUNCTION("""COMPUTED_VALUE"""),"")</f>
        <v/>
      </c>
      <c r="V533" s="4" t="str">
        <f>IFERROR(__xludf.DUMMYFUNCTION("""COMPUTED_VALUE"""),"")</f>
        <v/>
      </c>
      <c r="W533" s="4" t="str">
        <f>IFERROR(__xludf.DUMMYFUNCTION("""COMPUTED_VALUE"""),"")</f>
        <v/>
      </c>
      <c r="X533" s="4" t="str">
        <f>IFERROR(__xludf.DUMMYFUNCTION("""COMPUTED_VALUE"""),"")</f>
        <v/>
      </c>
      <c r="Y533" s="4" t="str">
        <f>IFERROR(__xludf.DUMMYFUNCTION("""COMPUTED_VALUE"""),"")</f>
        <v/>
      </c>
    </row>
    <row r="534">
      <c r="A534" s="4" t="str">
        <f>IFERROR(__xludf.DUMMYFUNCTION("""COMPUTED_VALUE"""),"571 - Channel")</f>
        <v>571 - Channel</v>
      </c>
      <c r="B534" s="4" t="str">
        <f>IFERROR(__xludf.DUMMYFUNCTION("""COMPUTED_VALUE"""),"Channel 2")</f>
        <v>Channel 2</v>
      </c>
      <c r="C534" s="4" t="str">
        <f>IFERROR(__xludf.DUMMYFUNCTION("""COMPUTED_VALUE"""),"Day 2 - 24/06")</f>
        <v>Day 2 - 24/06</v>
      </c>
      <c r="D534" s="6">
        <f>IFERROR(__xludf.DUMMYFUNCTION("""COMPUTED_VALUE"""),0.5413425925925932)</f>
        <v>0.5413425926</v>
      </c>
      <c r="E534" s="6">
        <f>IFERROR(__xludf.DUMMYFUNCTION("""COMPUTED_VALUE"""),1.7361111111111112E-4)</f>
        <v>0.0001736111111</v>
      </c>
      <c r="F534" s="6">
        <f>IFERROR(__xludf.DUMMYFUNCTION("""COMPUTED_VALUE"""),0.5415162037037043)</f>
        <v>0.5415162037</v>
      </c>
      <c r="G534" s="4" t="str">
        <f>IFERROR(__xludf.DUMMYFUNCTION("""COMPUTED_VALUE"""),"P&amp;E")</f>
        <v>P&amp;E</v>
      </c>
      <c r="H534" s="4" t="str">
        <f>IFERROR(__xludf.DUMMYFUNCTION("""COMPUTED_VALUE"""),"")</f>
        <v/>
      </c>
      <c r="I534" s="4" t="str">
        <f>IFERROR(__xludf.DUMMYFUNCTION("""COMPUTED_VALUE"""),"")</f>
        <v/>
      </c>
      <c r="J534" s="4" t="str">
        <f>IFERROR(__xludf.DUMMYFUNCTION("""COMPUTED_VALUE"""),"Smart Cities")</f>
        <v>Smart Cities</v>
      </c>
      <c r="K534" s="4" t="str">
        <f>IFERROR(__xludf.DUMMYFUNCTION("""COMPUTED_VALUE"""),"Partner ad")</f>
        <v>Partner ad</v>
      </c>
      <c r="L534" s="4" t="str">
        <f>IFERROR(__xludf.DUMMYFUNCTION("""COMPUTED_VALUE"""),"")</f>
        <v/>
      </c>
      <c r="M534" s="4" t="str">
        <f>IFERROR(__xludf.DUMMYFUNCTION("""COMPUTED_VALUE"""),"Partner Adroll #3")</f>
        <v>Partner Adroll #3</v>
      </c>
      <c r="N534" s="4" t="str">
        <f>IFERROR(__xludf.DUMMYFUNCTION("""COMPUTED_VALUE"""),"")</f>
        <v/>
      </c>
      <c r="O534" s="4" t="str">
        <f>IFERROR(__xludf.DUMMYFUNCTION("""COMPUTED_VALUE"""),"")</f>
        <v/>
      </c>
      <c r="P534" s="4" t="str">
        <f>IFERROR(__xludf.DUMMYFUNCTION("""COMPUTED_VALUE"""),"")</f>
        <v/>
      </c>
      <c r="Q534" s="4" t="str">
        <f>IFERROR(__xludf.DUMMYFUNCTION("""COMPUTED_VALUE"""),"")</f>
        <v/>
      </c>
      <c r="R534" s="4" t="str">
        <f>IFERROR(__xludf.DUMMYFUNCTION("""COMPUTED_VALUE"""),"")</f>
        <v/>
      </c>
      <c r="S534" s="4" t="str">
        <f>IFERROR(__xludf.DUMMYFUNCTION("""COMPUTED_VALUE"""),"")</f>
        <v/>
      </c>
      <c r="T534" s="4" t="str">
        <f>IFERROR(__xludf.DUMMYFUNCTION("""COMPUTED_VALUE"""),"")</f>
        <v/>
      </c>
      <c r="U534" s="4" t="str">
        <f>IFERROR(__xludf.DUMMYFUNCTION("""COMPUTED_VALUE"""),"")</f>
        <v/>
      </c>
      <c r="V534" s="4" t="str">
        <f>IFERROR(__xludf.DUMMYFUNCTION("""COMPUTED_VALUE"""),"")</f>
        <v/>
      </c>
      <c r="W534" s="4" t="str">
        <f>IFERROR(__xludf.DUMMYFUNCTION("""COMPUTED_VALUE"""),"")</f>
        <v/>
      </c>
      <c r="X534" s="4" t="str">
        <f>IFERROR(__xludf.DUMMYFUNCTION("""COMPUTED_VALUE"""),"")</f>
        <v/>
      </c>
      <c r="Y534" s="4" t="str">
        <f>IFERROR(__xludf.DUMMYFUNCTION("""COMPUTED_VALUE"""),"")</f>
        <v/>
      </c>
    </row>
    <row r="535">
      <c r="A535" s="4" t="str">
        <f>IFERROR(__xludf.DUMMYFUNCTION("""COMPUTED_VALUE"""),"572 - Channel")</f>
        <v>572 - Channel</v>
      </c>
      <c r="B535" s="4" t="str">
        <f>IFERROR(__xludf.DUMMYFUNCTION("""COMPUTED_VALUE"""),"Channel 2")</f>
        <v>Channel 2</v>
      </c>
      <c r="C535" s="4" t="str">
        <f>IFERROR(__xludf.DUMMYFUNCTION("""COMPUTED_VALUE"""),"Day 2 - 24/06")</f>
        <v>Day 2 - 24/06</v>
      </c>
      <c r="D535" s="4" t="str">
        <f>IFERROR(__xludf.DUMMYFUNCTION("""COMPUTED_VALUE"""),"")</f>
        <v/>
      </c>
      <c r="E535" s="4" t="str">
        <f>IFERROR(__xludf.DUMMYFUNCTION("""COMPUTED_VALUE"""),"")</f>
        <v/>
      </c>
      <c r="F535" s="4" t="str">
        <f>IFERROR(__xludf.DUMMYFUNCTION("""COMPUTED_VALUE"""),"")</f>
        <v/>
      </c>
      <c r="G535" s="4" t="str">
        <f>IFERROR(__xludf.DUMMYFUNCTION("""COMPUTED_VALUE"""),"")</f>
        <v/>
      </c>
      <c r="H535" s="4" t="str">
        <f>IFERROR(__xludf.DUMMYFUNCTION("""COMPUTED_VALUE"""),"")</f>
        <v/>
      </c>
      <c r="I535" s="4" t="str">
        <f>IFERROR(__xludf.DUMMYFUNCTION("""COMPUTED_VALUE"""),"")</f>
        <v/>
      </c>
      <c r="J535" s="4" t="str">
        <f>IFERROR(__xludf.DUMMYFUNCTION("""COMPUTED_VALUE"""),"")</f>
        <v/>
      </c>
      <c r="K535" s="4" t="str">
        <f>IFERROR(__xludf.DUMMYFUNCTION("""COMPUTED_VALUE"""),"")</f>
        <v/>
      </c>
      <c r="L535" s="4" t="str">
        <f>IFERROR(__xludf.DUMMYFUNCTION("""COMPUTED_VALUE"""),"")</f>
        <v/>
      </c>
      <c r="M535" s="4" t="str">
        <f>IFERROR(__xludf.DUMMYFUNCTION("""COMPUTED_VALUE"""),"")</f>
        <v/>
      </c>
      <c r="N535" s="4" t="str">
        <f>IFERROR(__xludf.DUMMYFUNCTION("""COMPUTED_VALUE"""),"")</f>
        <v/>
      </c>
      <c r="O535" s="4" t="str">
        <f>IFERROR(__xludf.DUMMYFUNCTION("""COMPUTED_VALUE"""),"")</f>
        <v/>
      </c>
      <c r="P535" s="4" t="str">
        <f>IFERROR(__xludf.DUMMYFUNCTION("""COMPUTED_VALUE"""),"")</f>
        <v/>
      </c>
      <c r="Q535" s="4" t="str">
        <f>IFERROR(__xludf.DUMMYFUNCTION("""COMPUTED_VALUE"""),"")</f>
        <v/>
      </c>
      <c r="R535" s="4" t="str">
        <f>IFERROR(__xludf.DUMMYFUNCTION("""COMPUTED_VALUE"""),"")</f>
        <v/>
      </c>
      <c r="S535" s="4" t="str">
        <f>IFERROR(__xludf.DUMMYFUNCTION("""COMPUTED_VALUE"""),"")</f>
        <v/>
      </c>
      <c r="T535" s="4" t="str">
        <f>IFERROR(__xludf.DUMMYFUNCTION("""COMPUTED_VALUE"""),"")</f>
        <v/>
      </c>
      <c r="U535" s="4" t="str">
        <f>IFERROR(__xludf.DUMMYFUNCTION("""COMPUTED_VALUE"""),"")</f>
        <v/>
      </c>
      <c r="V535" s="4" t="str">
        <f>IFERROR(__xludf.DUMMYFUNCTION("""COMPUTED_VALUE"""),"")</f>
        <v/>
      </c>
      <c r="W535" s="4" t="str">
        <f>IFERROR(__xludf.DUMMYFUNCTION("""COMPUTED_VALUE"""),"")</f>
        <v/>
      </c>
      <c r="X535" s="4" t="str">
        <f>IFERROR(__xludf.DUMMYFUNCTION("""COMPUTED_VALUE"""),"")</f>
        <v/>
      </c>
      <c r="Y535" s="4" t="str">
        <f>IFERROR(__xludf.DUMMYFUNCTION("""COMPUTED_VALUE"""),"")</f>
        <v/>
      </c>
    </row>
    <row r="536">
      <c r="A536" s="4" t="str">
        <f>IFERROR(__xludf.DUMMYFUNCTION("""COMPUTED_VALUE"""),"573 - Channel")</f>
        <v>573 - Channel</v>
      </c>
      <c r="B536" s="4" t="str">
        <f>IFERROR(__xludf.DUMMYFUNCTION("""COMPUTED_VALUE"""),"Channel 2")</f>
        <v>Channel 2</v>
      </c>
      <c r="C536" s="4" t="str">
        <f>IFERROR(__xludf.DUMMYFUNCTION("""COMPUTED_VALUE"""),"Day 2 - 24/06")</f>
        <v>Day 2 - 24/06</v>
      </c>
      <c r="D536" s="6">
        <f>IFERROR(__xludf.DUMMYFUNCTION("""COMPUTED_VALUE"""),0.5415162037037043)</f>
        <v>0.5415162037</v>
      </c>
      <c r="E536" s="6">
        <f>IFERROR(__xludf.DUMMYFUNCTION("""COMPUTED_VALUE"""),1.7361111111111112E-4)</f>
        <v>0.0001736111111</v>
      </c>
      <c r="F536" s="6">
        <f>IFERROR(__xludf.DUMMYFUNCTION("""COMPUTED_VALUE"""),0.5416898148148155)</f>
        <v>0.5416898148</v>
      </c>
      <c r="G536" s="4" t="str">
        <f>IFERROR(__xludf.DUMMYFUNCTION("""COMPUTED_VALUE"""),"P&amp;E")</f>
        <v>P&amp;E</v>
      </c>
      <c r="H536" s="4" t="str">
        <f>IFERROR(__xludf.DUMMYFUNCTION("""COMPUTED_VALUE"""),"")</f>
        <v/>
      </c>
      <c r="I536" s="4" t="str">
        <f>IFERROR(__xludf.DUMMYFUNCTION("""COMPUTED_VALUE"""),"")</f>
        <v/>
      </c>
      <c r="J536" s="4" t="str">
        <f>IFERROR(__xludf.DUMMYFUNCTION("""COMPUTED_VALUE"""),"Health")</f>
        <v>Health</v>
      </c>
      <c r="K536" s="4" t="str">
        <f>IFERROR(__xludf.DUMMYFUNCTION("""COMPUTED_VALUE"""),"Partner ad")</f>
        <v>Partner ad</v>
      </c>
      <c r="L536" s="4" t="str">
        <f>IFERROR(__xludf.DUMMYFUNCTION("""COMPUTED_VALUE"""),"")</f>
        <v/>
      </c>
      <c r="M536" s="4" t="str">
        <f>IFERROR(__xludf.DUMMYFUNCTION("""COMPUTED_VALUE"""),"Partner Adroll #4")</f>
        <v>Partner Adroll #4</v>
      </c>
      <c r="N536" s="4" t="str">
        <f>IFERROR(__xludf.DUMMYFUNCTION("""COMPUTED_VALUE"""),"")</f>
        <v/>
      </c>
      <c r="O536" s="4" t="str">
        <f>IFERROR(__xludf.DUMMYFUNCTION("""COMPUTED_VALUE"""),"")</f>
        <v/>
      </c>
      <c r="P536" s="4" t="str">
        <f>IFERROR(__xludf.DUMMYFUNCTION("""COMPUTED_VALUE"""),"")</f>
        <v/>
      </c>
      <c r="Q536" s="4" t="str">
        <f>IFERROR(__xludf.DUMMYFUNCTION("""COMPUTED_VALUE"""),"")</f>
        <v/>
      </c>
      <c r="R536" s="4" t="str">
        <f>IFERROR(__xludf.DUMMYFUNCTION("""COMPUTED_VALUE"""),"")</f>
        <v/>
      </c>
      <c r="S536" s="4" t="str">
        <f>IFERROR(__xludf.DUMMYFUNCTION("""COMPUTED_VALUE"""),"")</f>
        <v/>
      </c>
      <c r="T536" s="4" t="str">
        <f>IFERROR(__xludf.DUMMYFUNCTION("""COMPUTED_VALUE"""),"")</f>
        <v/>
      </c>
      <c r="U536" s="4" t="str">
        <f>IFERROR(__xludf.DUMMYFUNCTION("""COMPUTED_VALUE"""),"")</f>
        <v/>
      </c>
      <c r="V536" s="4" t="str">
        <f>IFERROR(__xludf.DUMMYFUNCTION("""COMPUTED_VALUE"""),"")</f>
        <v/>
      </c>
      <c r="W536" s="4" t="str">
        <f>IFERROR(__xludf.DUMMYFUNCTION("""COMPUTED_VALUE"""),"")</f>
        <v/>
      </c>
      <c r="X536" s="4" t="str">
        <f>IFERROR(__xludf.DUMMYFUNCTION("""COMPUTED_VALUE"""),"")</f>
        <v/>
      </c>
      <c r="Y536" s="4" t="str">
        <f>IFERROR(__xludf.DUMMYFUNCTION("""COMPUTED_VALUE"""),"")</f>
        <v/>
      </c>
    </row>
    <row r="537">
      <c r="A537" s="4" t="str">
        <f>IFERROR(__xludf.DUMMYFUNCTION("""COMPUTED_VALUE"""),"574 - Channel")</f>
        <v>574 - Channel</v>
      </c>
      <c r="B537" s="4" t="str">
        <f>IFERROR(__xludf.DUMMYFUNCTION("""COMPUTED_VALUE"""),"Channel 2")</f>
        <v>Channel 2</v>
      </c>
      <c r="C537" s="4" t="str">
        <f>IFERROR(__xludf.DUMMYFUNCTION("""COMPUTED_VALUE"""),"Day 2 - 24/06")</f>
        <v>Day 2 - 24/06</v>
      </c>
      <c r="D537" s="6">
        <f>IFERROR(__xludf.DUMMYFUNCTION("""COMPUTED_VALUE"""),0.5416898148148155)</f>
        <v>0.5416898148</v>
      </c>
      <c r="E537" s="6">
        <f>IFERROR(__xludf.DUMMYFUNCTION("""COMPUTED_VALUE"""),3.4722222222222224E-4)</f>
        <v>0.0003472222222</v>
      </c>
      <c r="F537" s="6">
        <f>IFERROR(__xludf.DUMMYFUNCTION("""COMPUTED_VALUE"""),0.5420370370370378)</f>
        <v>0.542037037</v>
      </c>
      <c r="G537" s="4" t="str">
        <f>IFERROR(__xludf.DUMMYFUNCTION("""COMPUTED_VALUE"""),"Graphics")</f>
        <v>Graphics</v>
      </c>
      <c r="H537" s="4" t="str">
        <f>IFERROR(__xludf.DUMMYFUNCTION("""COMPUTED_VALUE"""),"")</f>
        <v/>
      </c>
      <c r="I537" s="4" t="str">
        <f>IFERROR(__xludf.DUMMYFUNCTION("""COMPUTED_VALUE"""),"")</f>
        <v/>
      </c>
      <c r="J537" s="4" t="str">
        <f>IFERROR(__xludf.DUMMYFUNCTION("""COMPUTED_VALUE"""),"Health")</f>
        <v>Health</v>
      </c>
      <c r="K537" s="4" t="str">
        <f>IFERROR(__xludf.DUMMYFUNCTION("""COMPUTED_VALUE"""),"Talk Intro")</f>
        <v>Talk Intro</v>
      </c>
      <c r="L537" s="4" t="str">
        <f>IFERROR(__xludf.DUMMYFUNCTION("""COMPUTED_VALUE"""),"")</f>
        <v/>
      </c>
      <c r="M537" s="4" t="str">
        <f>IFERROR(__xludf.DUMMYFUNCTION("""COMPUTED_VALUE"""),"Talk Intro")</f>
        <v>Talk Intro</v>
      </c>
      <c r="N537" s="4" t="str">
        <f>IFERROR(__xludf.DUMMYFUNCTION("""COMPUTED_VALUE"""),"")</f>
        <v/>
      </c>
      <c r="O537" s="4" t="str">
        <f>IFERROR(__xludf.DUMMYFUNCTION("""COMPUTED_VALUE"""),"")</f>
        <v/>
      </c>
      <c r="P537" s="4" t="str">
        <f>IFERROR(__xludf.DUMMYFUNCTION("""COMPUTED_VALUE"""),"")</f>
        <v/>
      </c>
      <c r="Q537" s="4" t="str">
        <f>IFERROR(__xludf.DUMMYFUNCTION("""COMPUTED_VALUE"""),"")</f>
        <v/>
      </c>
      <c r="R537" s="4" t="str">
        <f>IFERROR(__xludf.DUMMYFUNCTION("""COMPUTED_VALUE"""),"")</f>
        <v/>
      </c>
      <c r="S537" s="4" t="str">
        <f>IFERROR(__xludf.DUMMYFUNCTION("""COMPUTED_VALUE"""),"")</f>
        <v/>
      </c>
      <c r="T537" s="4" t="str">
        <f>IFERROR(__xludf.DUMMYFUNCTION("""COMPUTED_VALUE"""),"")</f>
        <v/>
      </c>
      <c r="U537" s="4" t="str">
        <f>IFERROR(__xludf.DUMMYFUNCTION("""COMPUTED_VALUE"""),"")</f>
        <v/>
      </c>
      <c r="V537" s="4" t="str">
        <f>IFERROR(__xludf.DUMMYFUNCTION("""COMPUTED_VALUE"""),"")</f>
        <v/>
      </c>
      <c r="W537" s="4" t="str">
        <f>IFERROR(__xludf.DUMMYFUNCTION("""COMPUTED_VALUE"""),"")</f>
        <v/>
      </c>
      <c r="X537" s="4" t="str">
        <f>IFERROR(__xludf.DUMMYFUNCTION("""COMPUTED_VALUE"""),"")</f>
        <v/>
      </c>
      <c r="Y537" s="4" t="str">
        <f>IFERROR(__xludf.DUMMYFUNCTION("""COMPUTED_VALUE"""),"")</f>
        <v/>
      </c>
    </row>
    <row r="538">
      <c r="A538" s="4" t="str">
        <f>IFERROR(__xludf.DUMMYFUNCTION("""COMPUTED_VALUE"""),"575 - Channel")</f>
        <v>575 - Channel</v>
      </c>
      <c r="B538" s="4" t="str">
        <f>IFERROR(__xludf.DUMMYFUNCTION("""COMPUTED_VALUE"""),"Channel 2")</f>
        <v>Channel 2</v>
      </c>
      <c r="C538" s="4" t="str">
        <f>IFERROR(__xludf.DUMMYFUNCTION("""COMPUTED_VALUE"""),"Day 2 - 24/06")</f>
        <v>Day 2 - 24/06</v>
      </c>
      <c r="D538" s="6">
        <f>IFERROR(__xludf.DUMMYFUNCTION("""COMPUTED_VALUE"""),0.5420370370370378)</f>
        <v>0.542037037</v>
      </c>
      <c r="E538" s="6">
        <f>IFERROR(__xludf.DUMMYFUNCTION("""COMPUTED_VALUE"""),0.009641203703703704)</f>
        <v>0.009641203704</v>
      </c>
      <c r="F538" s="6">
        <f>IFERROR(__xludf.DUMMYFUNCTION("""COMPUTED_VALUE"""),0.5516782407407415)</f>
        <v>0.5516782407</v>
      </c>
      <c r="G538" s="4" t="str">
        <f>IFERROR(__xludf.DUMMYFUNCTION("""COMPUTED_VALUE"""),"Yvonne")</f>
        <v>Yvonne</v>
      </c>
      <c r="H538" s="4" t="str">
        <f>IFERROR(__xludf.DUMMYFUNCTION("""COMPUTED_VALUE"""),"Haziq")</f>
        <v>Haziq</v>
      </c>
      <c r="I538" s="4" t="str">
        <f>IFERROR(__xludf.DUMMYFUNCTION("""COMPUTED_VALUE"""),"Lucia H.")</f>
        <v>Lucia H.</v>
      </c>
      <c r="J538" s="4" t="str">
        <f>IFERROR(__xludf.DUMMYFUNCTION("""COMPUTED_VALUE"""),"Health")</f>
        <v>Health</v>
      </c>
      <c r="K538" s="4" t="str">
        <f>IFERROR(__xludf.DUMMYFUNCTION("""COMPUTED_VALUE"""),"Panel")</f>
        <v>Panel</v>
      </c>
      <c r="L538" s="4" t="str">
        <f>IFERROR(__xludf.DUMMYFUNCTION("""COMPUTED_VALUE"""),"T- 5 - 18/05/2020")</f>
        <v>T- 5 - 18/05/2020</v>
      </c>
      <c r="M538" s="4" t="str">
        <f>IFERROR(__xludf.DUMMYFUNCTION("""COMPUTED_VALUE"""),"Self-care in a pandemic")</f>
        <v>Self-care in a pandemic</v>
      </c>
      <c r="N538" s="4" t="str">
        <f>IFERROR(__xludf.DUMMYFUNCTION("""COMPUTED_VALUE"""),"Neda Gould, Johns Hopkins School of Medicine")</f>
        <v>Neda Gould, Johns Hopkins School of Medicine</v>
      </c>
      <c r="O538" s="4" t="str">
        <f>IFERROR(__xludf.DUMMYFUNCTION("""COMPUTED_VALUE"""),"Ariel Garten, InteraXon")</f>
        <v>Ariel Garten, InteraXon</v>
      </c>
      <c r="P538" s="4" t="str">
        <f>IFERROR(__xludf.DUMMYFUNCTION("""COMPUTED_VALUE"""),"")</f>
        <v/>
      </c>
      <c r="Q538" s="4" t="str">
        <f>IFERROR(__xludf.DUMMYFUNCTION("""COMPUTED_VALUE"""),"")</f>
        <v/>
      </c>
      <c r="R538" s="4" t="str">
        <f>IFERROR(__xludf.DUMMYFUNCTION("""COMPUTED_VALUE"""),"Ruth Reader, Fast Company")</f>
        <v>Ruth Reader, Fast Company</v>
      </c>
      <c r="S538" s="4" t="str">
        <f>IFERROR(__xludf.DUMMYFUNCTION("""COMPUTED_VALUE"""),"Isolation, anxiety, grief, loss and a lack of general routine... Covid-19 is affecting us all in ways we're not even aware of. We've gathered world experts on mental health, wellness and self-care to advise on how best to protect your mind and body as you"&amp;" adjust to the new normal.")</f>
        <v>Isolation, anxiety, grief, loss and a lack of general routine... Covid-19 is affecting us all in ways we're not even aware of. We've gathered world experts on mental health, wellness and self-care to advise on how best to protect your mind and body as you adjust to the new normal.</v>
      </c>
      <c r="T538" s="4" t="str">
        <f>IFERROR(__xludf.DUMMYFUNCTION("""COMPUTED_VALUE"""),"NON-KEYNOTE 9 - COMPLETE")</f>
        <v>NON-KEYNOTE 9 - COMPLETE</v>
      </c>
      <c r="U538" s="23">
        <f>IFERROR(__xludf.DUMMYFUNCTION("""COMPUTED_VALUE"""),43972.0)</f>
        <v>43972</v>
      </c>
      <c r="V538" s="44">
        <f>IFERROR(__xludf.DUMMYFUNCTION("""COMPUTED_VALUE"""),0.8541666666666666)</f>
        <v>0.8541666667</v>
      </c>
      <c r="W538" s="4" t="str">
        <f>IFERROR(__xludf.DUMMYFUNCTION("""COMPUTED_VALUE"""),"COMPLETE")</f>
        <v>COMPLETE</v>
      </c>
      <c r="X538" s="4" t="str">
        <f>IFERROR(__xludf.DUMMYFUNCTION("""COMPUTED_VALUE"""),"Stephanie")</f>
        <v>Stephanie</v>
      </c>
      <c r="Y538" s="4" t="str">
        <f>IFERROR(__xludf.DUMMYFUNCTION("""COMPUTED_VALUE"""),"")</f>
        <v/>
      </c>
    </row>
    <row r="539">
      <c r="A539" s="4" t="str">
        <f>IFERROR(__xludf.DUMMYFUNCTION("""COMPUTED_VALUE"""),"577 - Channel")</f>
        <v>577 - Channel</v>
      </c>
      <c r="B539" s="4" t="str">
        <f>IFERROR(__xludf.DUMMYFUNCTION("""COMPUTED_VALUE"""),"Channel 2")</f>
        <v>Channel 2</v>
      </c>
      <c r="C539" s="4" t="str">
        <f>IFERROR(__xludf.DUMMYFUNCTION("""COMPUTED_VALUE"""),"Day 2 - 24/06")</f>
        <v>Day 2 - 24/06</v>
      </c>
      <c r="D539" s="6">
        <f>IFERROR(__xludf.DUMMYFUNCTION("""COMPUTED_VALUE"""),0.5516782407407415)</f>
        <v>0.5516782407</v>
      </c>
      <c r="E539" s="6">
        <f>IFERROR(__xludf.DUMMYFUNCTION("""COMPUTED_VALUE"""),3.4722222222222224E-4)</f>
        <v>0.0003472222222</v>
      </c>
      <c r="F539" s="6">
        <f>IFERROR(__xludf.DUMMYFUNCTION("""COMPUTED_VALUE"""),0.5520254629629637)</f>
        <v>0.552025463</v>
      </c>
      <c r="G539" s="4" t="str">
        <f>IFERROR(__xludf.DUMMYFUNCTION("""COMPUTED_VALUE"""),"Graphics")</f>
        <v>Graphics</v>
      </c>
      <c r="H539" s="4" t="str">
        <f>IFERROR(__xludf.DUMMYFUNCTION("""COMPUTED_VALUE"""),"")</f>
        <v/>
      </c>
      <c r="I539" s="4" t="str">
        <f>IFERROR(__xludf.DUMMYFUNCTION("""COMPUTED_VALUE"""),"")</f>
        <v/>
      </c>
      <c r="J539" s="4" t="str">
        <f>IFERROR(__xludf.DUMMYFUNCTION("""COMPUTED_VALUE"""),"Health")</f>
        <v>Health</v>
      </c>
      <c r="K539" s="4" t="str">
        <f>IFERROR(__xludf.DUMMYFUNCTION("""COMPUTED_VALUE"""),"Talk Intro")</f>
        <v>Talk Intro</v>
      </c>
      <c r="L539" s="4" t="str">
        <f>IFERROR(__xludf.DUMMYFUNCTION("""COMPUTED_VALUE"""),"")</f>
        <v/>
      </c>
      <c r="M539" s="4" t="str">
        <f>IFERROR(__xludf.DUMMYFUNCTION("""COMPUTED_VALUE"""),"Talk Intro")</f>
        <v>Talk Intro</v>
      </c>
      <c r="N539" s="4" t="str">
        <f>IFERROR(__xludf.DUMMYFUNCTION("""COMPUTED_VALUE"""),"")</f>
        <v/>
      </c>
      <c r="O539" s="4" t="str">
        <f>IFERROR(__xludf.DUMMYFUNCTION("""COMPUTED_VALUE"""),"")</f>
        <v/>
      </c>
      <c r="P539" s="4" t="str">
        <f>IFERROR(__xludf.DUMMYFUNCTION("""COMPUTED_VALUE"""),"")</f>
        <v/>
      </c>
      <c r="Q539" s="4" t="str">
        <f>IFERROR(__xludf.DUMMYFUNCTION("""COMPUTED_VALUE"""),"")</f>
        <v/>
      </c>
      <c r="R539" s="4" t="str">
        <f>IFERROR(__xludf.DUMMYFUNCTION("""COMPUTED_VALUE"""),"")</f>
        <v/>
      </c>
      <c r="S539" s="4" t="str">
        <f>IFERROR(__xludf.DUMMYFUNCTION("""COMPUTED_VALUE"""),"")</f>
        <v/>
      </c>
      <c r="T539" s="4" t="str">
        <f>IFERROR(__xludf.DUMMYFUNCTION("""COMPUTED_VALUE"""),"")</f>
        <v/>
      </c>
      <c r="U539" s="4" t="str">
        <f>IFERROR(__xludf.DUMMYFUNCTION("""COMPUTED_VALUE"""),"")</f>
        <v/>
      </c>
      <c r="V539" s="4" t="str">
        <f>IFERROR(__xludf.DUMMYFUNCTION("""COMPUTED_VALUE"""),"")</f>
        <v/>
      </c>
      <c r="W539" s="4" t="str">
        <f>IFERROR(__xludf.DUMMYFUNCTION("""COMPUTED_VALUE"""),"")</f>
        <v/>
      </c>
      <c r="X539" s="4" t="str">
        <f>IFERROR(__xludf.DUMMYFUNCTION("""COMPUTED_VALUE"""),"")</f>
        <v/>
      </c>
      <c r="Y539" s="4" t="str">
        <f>IFERROR(__xludf.DUMMYFUNCTION("""COMPUTED_VALUE"""),"")</f>
        <v/>
      </c>
    </row>
    <row r="540">
      <c r="A540" s="4" t="str">
        <f>IFERROR(__xludf.DUMMYFUNCTION("""COMPUTED_VALUE"""),"578 - Channel")</f>
        <v>578 - Channel</v>
      </c>
      <c r="B540" s="4" t="str">
        <f>IFERROR(__xludf.DUMMYFUNCTION("""COMPUTED_VALUE"""),"Channel 2")</f>
        <v>Channel 2</v>
      </c>
      <c r="C540" s="4" t="str">
        <f>IFERROR(__xludf.DUMMYFUNCTION("""COMPUTED_VALUE"""),"Day 2 - 24/06")</f>
        <v>Day 2 - 24/06</v>
      </c>
      <c r="D540" s="6">
        <f>IFERROR(__xludf.DUMMYFUNCTION("""COMPUTED_VALUE"""),0.5520254629629637)</f>
        <v>0.552025463</v>
      </c>
      <c r="E540" s="6">
        <f>IFERROR(__xludf.DUMMYFUNCTION("""COMPUTED_VALUE"""),0.009340277777777777)</f>
        <v>0.009340277778</v>
      </c>
      <c r="F540" s="6">
        <f>IFERROR(__xludf.DUMMYFUNCTION("""COMPUTED_VALUE"""),0.5613657407407415)</f>
        <v>0.5613657407</v>
      </c>
      <c r="G540" s="4" t="str">
        <f>IFERROR(__xludf.DUMMYFUNCTION("""COMPUTED_VALUE"""),"Yvonne")</f>
        <v>Yvonne</v>
      </c>
      <c r="H540" s="4" t="str">
        <f>IFERROR(__xludf.DUMMYFUNCTION("""COMPUTED_VALUE"""),"Haziq")</f>
        <v>Haziq</v>
      </c>
      <c r="I540" s="4" t="str">
        <f>IFERROR(__xludf.DUMMYFUNCTION("""COMPUTED_VALUE"""),"Lucia H.")</f>
        <v>Lucia H.</v>
      </c>
      <c r="J540" s="4" t="str">
        <f>IFERROR(__xludf.DUMMYFUNCTION("""COMPUTED_VALUE"""),"Health")</f>
        <v>Health</v>
      </c>
      <c r="K540" s="4" t="str">
        <f>IFERROR(__xludf.DUMMYFUNCTION("""COMPUTED_VALUE"""),"Super Fireside")</f>
        <v>Super Fireside</v>
      </c>
      <c r="L540" s="4" t="str">
        <f>IFERROR(__xludf.DUMMYFUNCTION("""COMPUTED_VALUE"""),"T- 4 - 25/05/2020")</f>
        <v>T- 4 - 25/05/2020</v>
      </c>
      <c r="M540" s="4" t="str">
        <f>IFERROR(__xludf.DUMMYFUNCTION("""COMPUTED_VALUE"""),"How to beat diabetes")</f>
        <v>How to beat diabetes</v>
      </c>
      <c r="N540" s="4" t="str">
        <f>IFERROR(__xludf.DUMMYFUNCTION("""COMPUTED_VALUE"""),"Max Domi, Montreal Canadiens")</f>
        <v>Max Domi, Montreal Canadiens</v>
      </c>
      <c r="O540" s="4" t="str">
        <f>IFERROR(__xludf.DUMMYFUNCTION("""COMPUTED_VALUE"""),"Laura Endres, Dexcom")</f>
        <v>Laura Endres, Dexcom</v>
      </c>
      <c r="P540" s="4" t="str">
        <f>IFERROR(__xludf.DUMMYFUNCTION("""COMPUTED_VALUE"""),"")</f>
        <v/>
      </c>
      <c r="Q540" s="4" t="str">
        <f>IFERROR(__xludf.DUMMYFUNCTION("""COMPUTED_VALUE"""),"")</f>
        <v/>
      </c>
      <c r="R540" s="4" t="str">
        <f>IFERROR(__xludf.DUMMYFUNCTION("""COMPUTED_VALUE"""),"Curtis Brainard, Scientific American")</f>
        <v>Curtis Brainard, Scientific American</v>
      </c>
      <c r="S540" s="4" t="str">
        <f>IFERROR(__xludf.DUMMYFUNCTION("""COMPUTED_VALUE"""),"Diabetes used to be a debilitating disease. It still is, for some. But it doesn't have to be. Canadian sports star Max Domi and Dexcom's Laura Endres come together for this revealing insight into disease management.")</f>
        <v>Diabetes used to be a debilitating disease. It still is, for some. But it doesn't have to be. Canadian sports star Max Domi and Dexcom's Laura Endres come together for this revealing insight into disease management.</v>
      </c>
      <c r="T540" s="4" t="str">
        <f>IFERROR(__xludf.DUMMYFUNCTION("""COMPUTED_VALUE"""),"NON-KEYNOTE 9 - COMPLETE")</f>
        <v>NON-KEYNOTE 9 - COMPLETE</v>
      </c>
      <c r="U540" s="23">
        <f>IFERROR(__xludf.DUMMYFUNCTION("""COMPUTED_VALUE"""),43976.0)</f>
        <v>43976</v>
      </c>
      <c r="V540" s="24">
        <f>IFERROR(__xludf.DUMMYFUNCTION("""COMPUTED_VALUE"""),0.9166666666666666)</f>
        <v>0.9166666667</v>
      </c>
      <c r="W540" s="4" t="str">
        <f>IFERROR(__xludf.DUMMYFUNCTION("""COMPUTED_VALUE"""),"COMPLETE")</f>
        <v>COMPLETE</v>
      </c>
      <c r="X540" s="4" t="str">
        <f>IFERROR(__xludf.DUMMYFUNCTION("""COMPUTED_VALUE"""),"Hugh")</f>
        <v>Hugh</v>
      </c>
      <c r="Y540" s="4" t="str">
        <f>IFERROR(__xludf.DUMMYFUNCTION("""COMPUTED_VALUE"""),"")</f>
        <v/>
      </c>
    </row>
    <row r="541">
      <c r="A541" s="4" t="str">
        <f>IFERROR(__xludf.DUMMYFUNCTION("""COMPUTED_VALUE"""),"581 - Channel")</f>
        <v>581 - Channel</v>
      </c>
      <c r="B541" s="4" t="str">
        <f>IFERROR(__xludf.DUMMYFUNCTION("""COMPUTED_VALUE"""),"Channel 2")</f>
        <v>Channel 2</v>
      </c>
      <c r="C541" s="4" t="str">
        <f>IFERROR(__xludf.DUMMYFUNCTION("""COMPUTED_VALUE"""),"Day 2 - 24/06")</f>
        <v>Day 2 - 24/06</v>
      </c>
      <c r="D541" s="6">
        <f>IFERROR(__xludf.DUMMYFUNCTION("""COMPUTED_VALUE"""),0.5613657407407415)</f>
        <v>0.5613657407</v>
      </c>
      <c r="E541" s="6">
        <f>IFERROR(__xludf.DUMMYFUNCTION("""COMPUTED_VALUE"""),3.4722222222222224E-4)</f>
        <v>0.0003472222222</v>
      </c>
      <c r="F541" s="6">
        <f>IFERROR(__xludf.DUMMYFUNCTION("""COMPUTED_VALUE"""),0.5617129629629638)</f>
        <v>0.561712963</v>
      </c>
      <c r="G541" s="4" t="str">
        <f>IFERROR(__xludf.DUMMYFUNCTION("""COMPUTED_VALUE"""),"Graphics")</f>
        <v>Graphics</v>
      </c>
      <c r="H541" s="4" t="str">
        <f>IFERROR(__xludf.DUMMYFUNCTION("""COMPUTED_VALUE"""),"")</f>
        <v/>
      </c>
      <c r="I541" s="4" t="str">
        <f>IFERROR(__xludf.DUMMYFUNCTION("""COMPUTED_VALUE"""),"")</f>
        <v/>
      </c>
      <c r="J541" s="4" t="str">
        <f>IFERROR(__xludf.DUMMYFUNCTION("""COMPUTED_VALUE"""),"Health")</f>
        <v>Health</v>
      </c>
      <c r="K541" s="4" t="str">
        <f>IFERROR(__xludf.DUMMYFUNCTION("""COMPUTED_VALUE"""),"Talk Intro")</f>
        <v>Talk Intro</v>
      </c>
      <c r="L541" s="4" t="str">
        <f>IFERROR(__xludf.DUMMYFUNCTION("""COMPUTED_VALUE"""),"")</f>
        <v/>
      </c>
      <c r="M541" s="4" t="str">
        <f>IFERROR(__xludf.DUMMYFUNCTION("""COMPUTED_VALUE"""),"Talk Intro")</f>
        <v>Talk Intro</v>
      </c>
      <c r="N541" s="4" t="str">
        <f>IFERROR(__xludf.DUMMYFUNCTION("""COMPUTED_VALUE"""),"")</f>
        <v/>
      </c>
      <c r="O541" s="4" t="str">
        <f>IFERROR(__xludf.DUMMYFUNCTION("""COMPUTED_VALUE"""),"")</f>
        <v/>
      </c>
      <c r="P541" s="4" t="str">
        <f>IFERROR(__xludf.DUMMYFUNCTION("""COMPUTED_VALUE"""),"")</f>
        <v/>
      </c>
      <c r="Q541" s="4" t="str">
        <f>IFERROR(__xludf.DUMMYFUNCTION("""COMPUTED_VALUE"""),"")</f>
        <v/>
      </c>
      <c r="R541" s="4" t="str">
        <f>IFERROR(__xludf.DUMMYFUNCTION("""COMPUTED_VALUE"""),"")</f>
        <v/>
      </c>
      <c r="S541" s="4" t="str">
        <f>IFERROR(__xludf.DUMMYFUNCTION("""COMPUTED_VALUE"""),"")</f>
        <v/>
      </c>
      <c r="T541" s="4" t="str">
        <f>IFERROR(__xludf.DUMMYFUNCTION("""COMPUTED_VALUE"""),"")</f>
        <v/>
      </c>
      <c r="U541" s="4" t="str">
        <f>IFERROR(__xludf.DUMMYFUNCTION("""COMPUTED_VALUE"""),"")</f>
        <v/>
      </c>
      <c r="V541" s="4" t="str">
        <f>IFERROR(__xludf.DUMMYFUNCTION("""COMPUTED_VALUE"""),"")</f>
        <v/>
      </c>
      <c r="W541" s="4" t="str">
        <f>IFERROR(__xludf.DUMMYFUNCTION("""COMPUTED_VALUE"""),"")</f>
        <v/>
      </c>
      <c r="X541" s="4" t="str">
        <f>IFERROR(__xludf.DUMMYFUNCTION("""COMPUTED_VALUE"""),"")</f>
        <v/>
      </c>
      <c r="Y541" s="4" t="str">
        <f>IFERROR(__xludf.DUMMYFUNCTION("""COMPUTED_VALUE"""),"")</f>
        <v/>
      </c>
    </row>
    <row r="542">
      <c r="A542" s="4" t="str">
        <f>IFERROR(__xludf.DUMMYFUNCTION("""COMPUTED_VALUE"""),"582 - Channel")</f>
        <v>582 - Channel</v>
      </c>
      <c r="B542" s="4" t="str">
        <f>IFERROR(__xludf.DUMMYFUNCTION("""COMPUTED_VALUE"""),"Channel 2")</f>
        <v>Channel 2</v>
      </c>
      <c r="C542" s="4" t="str">
        <f>IFERROR(__xludf.DUMMYFUNCTION("""COMPUTED_VALUE"""),"Day 2 - 24/06")</f>
        <v>Day 2 - 24/06</v>
      </c>
      <c r="D542" s="6">
        <f>IFERROR(__xludf.DUMMYFUNCTION("""COMPUTED_VALUE"""),0.5617129629629638)</f>
        <v>0.561712963</v>
      </c>
      <c r="E542" s="6">
        <f>IFERROR(__xludf.DUMMYFUNCTION("""COMPUTED_VALUE"""),0.008333333333333333)</f>
        <v>0.008333333333</v>
      </c>
      <c r="F542" s="6">
        <f>IFERROR(__xludf.DUMMYFUNCTION("""COMPUTED_VALUE"""),0.5700462962962971)</f>
        <v>0.5700462963</v>
      </c>
      <c r="G542" s="4" t="str">
        <f>IFERROR(__xludf.DUMMYFUNCTION("""COMPUTED_VALUE"""),"Yvonne")</f>
        <v>Yvonne</v>
      </c>
      <c r="H542" s="4" t="str">
        <f>IFERROR(__xludf.DUMMYFUNCTION("""COMPUTED_VALUE"""),"Haziq")</f>
        <v>Haziq</v>
      </c>
      <c r="I542" s="4" t="str">
        <f>IFERROR(__xludf.DUMMYFUNCTION("""COMPUTED_VALUE"""),"Lucia H.")</f>
        <v>Lucia H.</v>
      </c>
      <c r="J542" s="4" t="str">
        <f>IFERROR(__xludf.DUMMYFUNCTION("""COMPUTED_VALUE"""),"Health")</f>
        <v>Health</v>
      </c>
      <c r="K542" s="4" t="str">
        <f>IFERROR(__xludf.DUMMYFUNCTION("""COMPUTED_VALUE"""),"Super Fireside")</f>
        <v>Super Fireside</v>
      </c>
      <c r="L542" s="4" t="str">
        <f>IFERROR(__xludf.DUMMYFUNCTION("""COMPUTED_VALUE"""),"T- 5 - 18/05/2020")</f>
        <v>T- 5 - 18/05/2020</v>
      </c>
      <c r="M542" s="4" t="str">
        <f>IFERROR(__xludf.DUMMYFUNCTION("""COMPUTED_VALUE"""),"The death of disease?")</f>
        <v>The death of disease?</v>
      </c>
      <c r="N542" s="4" t="str">
        <f>IFERROR(__xludf.DUMMYFUNCTION("""COMPUTED_VALUE"""),"Sami Inkinen, Virta Health")</f>
        <v>Sami Inkinen, Virta Health</v>
      </c>
      <c r="O542" s="4" t="str">
        <f>IFERROR(__xludf.DUMMYFUNCTION("""COMPUTED_VALUE"""),"Mickey Kertesz, Karius")</f>
        <v>Mickey Kertesz, Karius</v>
      </c>
      <c r="P542" s="4" t="str">
        <f>IFERROR(__xludf.DUMMYFUNCTION("""COMPUTED_VALUE"""),"")</f>
        <v/>
      </c>
      <c r="Q542" s="4" t="str">
        <f>IFERROR(__xludf.DUMMYFUNCTION("""COMPUTED_VALUE"""),"")</f>
        <v/>
      </c>
      <c r="R542" s="4" t="str">
        <f>IFERROR(__xludf.DUMMYFUNCTION("""COMPUTED_VALUE"""),"Elizabeth O'Day, Olaris")</f>
        <v>Elizabeth O'Day, Olaris</v>
      </c>
      <c r="S542" s="4" t="str">
        <f>IFERROR(__xludf.DUMMYFUNCTION("""COMPUTED_VALUE"""),"We're the most dynamic species on the planet. But for all our tech, innovation and science, we can't dodge disease. Or can we? Two of the world's most eminent disease experts discuss the prospects of a disease-free world. ")</f>
        <v>We're the most dynamic species on the planet. But for all our tech, innovation and science, we can't dodge disease. Or can we? Two of the world's most eminent disease experts discuss the prospects of a disease-free world. </v>
      </c>
      <c r="T542" s="4" t="str">
        <f>IFERROR(__xludf.DUMMYFUNCTION("""COMPUTED_VALUE"""),"NON-KEYNOTE 9 - COMPLETE")</f>
        <v>NON-KEYNOTE 9 - COMPLETE</v>
      </c>
      <c r="U542" s="23">
        <f>IFERROR(__xludf.DUMMYFUNCTION("""COMPUTED_VALUE"""),43973.0)</f>
        <v>43973</v>
      </c>
      <c r="V542" s="44">
        <f>IFERROR(__xludf.DUMMYFUNCTION("""COMPUTED_VALUE"""),0.6666666666666666)</f>
        <v>0.6666666667</v>
      </c>
      <c r="W542" s="4" t="str">
        <f>IFERROR(__xludf.DUMMYFUNCTION("""COMPUTED_VALUE"""),"COMPLETE")</f>
        <v>COMPLETE</v>
      </c>
      <c r="X542" s="4" t="str">
        <f>IFERROR(__xludf.DUMMYFUNCTION("""COMPUTED_VALUE"""),"Darragh")</f>
        <v>Darragh</v>
      </c>
      <c r="Y542" s="4" t="str">
        <f>IFERROR(__xludf.DUMMYFUNCTION("""COMPUTED_VALUE"""),"")</f>
        <v/>
      </c>
    </row>
    <row r="543">
      <c r="A543" s="4" t="str">
        <f>IFERROR(__xludf.DUMMYFUNCTION("""COMPUTED_VALUE"""),"584 - Channel")</f>
        <v>584 - Channel</v>
      </c>
      <c r="B543" s="4" t="str">
        <f>IFERROR(__xludf.DUMMYFUNCTION("""COMPUTED_VALUE"""),"Channel 2")</f>
        <v>Channel 2</v>
      </c>
      <c r="C543" s="4" t="str">
        <f>IFERROR(__xludf.DUMMYFUNCTION("""COMPUTED_VALUE"""),"Day 2 - 24/06")</f>
        <v>Day 2 - 24/06</v>
      </c>
      <c r="D543" s="6">
        <f>IFERROR(__xludf.DUMMYFUNCTION("""COMPUTED_VALUE"""),0.5700462962962971)</f>
        <v>0.5700462963</v>
      </c>
      <c r="E543" s="6">
        <f>IFERROR(__xludf.DUMMYFUNCTION("""COMPUTED_VALUE"""),3.4722222222222224E-4)</f>
        <v>0.0003472222222</v>
      </c>
      <c r="F543" s="6">
        <f>IFERROR(__xludf.DUMMYFUNCTION("""COMPUTED_VALUE"""),0.5703935185185194)</f>
        <v>0.5703935185</v>
      </c>
      <c r="G543" s="4" t="str">
        <f>IFERROR(__xludf.DUMMYFUNCTION("""COMPUTED_VALUE"""),"Graphics")</f>
        <v>Graphics</v>
      </c>
      <c r="H543" s="4" t="str">
        <f>IFERROR(__xludf.DUMMYFUNCTION("""COMPUTED_VALUE"""),"")</f>
        <v/>
      </c>
      <c r="I543" s="4" t="str">
        <f>IFERROR(__xludf.DUMMYFUNCTION("""COMPUTED_VALUE"""),"")</f>
        <v/>
      </c>
      <c r="J543" s="4" t="str">
        <f>IFERROR(__xludf.DUMMYFUNCTION("""COMPUTED_VALUE"""),"Health")</f>
        <v>Health</v>
      </c>
      <c r="K543" s="4" t="str">
        <f>IFERROR(__xludf.DUMMYFUNCTION("""COMPUTED_VALUE"""),"Talk Intro")</f>
        <v>Talk Intro</v>
      </c>
      <c r="L543" s="4" t="str">
        <f>IFERROR(__xludf.DUMMYFUNCTION("""COMPUTED_VALUE"""),"")</f>
        <v/>
      </c>
      <c r="M543" s="4" t="str">
        <f>IFERROR(__xludf.DUMMYFUNCTION("""COMPUTED_VALUE"""),"Talk Intro")</f>
        <v>Talk Intro</v>
      </c>
      <c r="N543" s="4" t="str">
        <f>IFERROR(__xludf.DUMMYFUNCTION("""COMPUTED_VALUE"""),"")</f>
        <v/>
      </c>
      <c r="O543" s="4" t="str">
        <f>IFERROR(__xludf.DUMMYFUNCTION("""COMPUTED_VALUE"""),"")</f>
        <v/>
      </c>
      <c r="P543" s="4" t="str">
        <f>IFERROR(__xludf.DUMMYFUNCTION("""COMPUTED_VALUE"""),"")</f>
        <v/>
      </c>
      <c r="Q543" s="4" t="str">
        <f>IFERROR(__xludf.DUMMYFUNCTION("""COMPUTED_VALUE"""),"")</f>
        <v/>
      </c>
      <c r="R543" s="4" t="str">
        <f>IFERROR(__xludf.DUMMYFUNCTION("""COMPUTED_VALUE"""),"")</f>
        <v/>
      </c>
      <c r="S543" s="4" t="str">
        <f>IFERROR(__xludf.DUMMYFUNCTION("""COMPUTED_VALUE"""),"")</f>
        <v/>
      </c>
      <c r="T543" s="4" t="str">
        <f>IFERROR(__xludf.DUMMYFUNCTION("""COMPUTED_VALUE"""),"")</f>
        <v/>
      </c>
      <c r="U543" s="4" t="str">
        <f>IFERROR(__xludf.DUMMYFUNCTION("""COMPUTED_VALUE"""),"")</f>
        <v/>
      </c>
      <c r="V543" s="4" t="str">
        <f>IFERROR(__xludf.DUMMYFUNCTION("""COMPUTED_VALUE"""),"")</f>
        <v/>
      </c>
      <c r="W543" s="4" t="str">
        <f>IFERROR(__xludf.DUMMYFUNCTION("""COMPUTED_VALUE"""),"")</f>
        <v/>
      </c>
      <c r="X543" s="4" t="str">
        <f>IFERROR(__xludf.DUMMYFUNCTION("""COMPUTED_VALUE"""),"")</f>
        <v/>
      </c>
      <c r="Y543" s="4" t="str">
        <f>IFERROR(__xludf.DUMMYFUNCTION("""COMPUTED_VALUE"""),"")</f>
        <v/>
      </c>
    </row>
    <row r="544">
      <c r="A544" s="4" t="str">
        <f>IFERROR(__xludf.DUMMYFUNCTION("""COMPUTED_VALUE"""),"585 - Channel")</f>
        <v>585 - Channel</v>
      </c>
      <c r="B544" s="4" t="str">
        <f>IFERROR(__xludf.DUMMYFUNCTION("""COMPUTED_VALUE"""),"Channel 2")</f>
        <v>Channel 2</v>
      </c>
      <c r="C544" s="4" t="str">
        <f>IFERROR(__xludf.DUMMYFUNCTION("""COMPUTED_VALUE"""),"Day 2 - 24/06")</f>
        <v>Day 2 - 24/06</v>
      </c>
      <c r="D544" s="6">
        <f>IFERROR(__xludf.DUMMYFUNCTION("""COMPUTED_VALUE"""),0.5703935185185194)</f>
        <v>0.5703935185</v>
      </c>
      <c r="E544" s="6">
        <f>IFERROR(__xludf.DUMMYFUNCTION("""COMPUTED_VALUE"""),0.0125)</f>
        <v>0.0125</v>
      </c>
      <c r="F544" s="6">
        <f>IFERROR(__xludf.DUMMYFUNCTION("""COMPUTED_VALUE"""),0.5828935185185193)</f>
        <v>0.5828935185</v>
      </c>
      <c r="G544" s="4" t="str">
        <f>IFERROR(__xludf.DUMMYFUNCTION("""COMPUTED_VALUE"""),"Darren")</f>
        <v>Darren</v>
      </c>
      <c r="H544" s="4" t="str">
        <f>IFERROR(__xludf.DUMMYFUNCTION("""COMPUTED_VALUE"""),"Shauna")</f>
        <v>Shauna</v>
      </c>
      <c r="I544" s="4" t="str">
        <f>IFERROR(__xludf.DUMMYFUNCTION("""COMPUTED_VALUE"""),"Naomi")</f>
        <v>Naomi</v>
      </c>
      <c r="J544" s="4" t="str">
        <f>IFERROR(__xludf.DUMMYFUNCTION("""COMPUTED_VALUE"""),"Health")</f>
        <v>Health</v>
      </c>
      <c r="K544" s="4" t="str">
        <f>IFERROR(__xludf.DUMMYFUNCTION("""COMPUTED_VALUE"""),"Fireside")</f>
        <v>Fireside</v>
      </c>
      <c r="L544" s="4" t="str">
        <f>IFERROR(__xludf.DUMMYFUNCTION("""COMPUTED_VALUE"""),"T- 3 - 01/06/2020")</f>
        <v>T- 3 - 01/06/2020</v>
      </c>
      <c r="M544" s="4" t="str">
        <f>IFERROR(__xludf.DUMMYFUNCTION("""COMPUTED_VALUE"""),"The Super Bowl champion fighting COVID-19
")</f>
        <v>The Super Bowl champion fighting COVID-19
</v>
      </c>
      <c r="N544" s="4" t="str">
        <f>IFERROR(__xludf.DUMMYFUNCTION("""COMPUTED_VALUE"""),"Laurent Duvernay-Tardif, Kansas City Chiefs")</f>
        <v>Laurent Duvernay-Tardif, Kansas City Chiefs</v>
      </c>
      <c r="O544" s="4" t="str">
        <f>IFERROR(__xludf.DUMMYFUNCTION("""COMPUTED_VALUE"""),"")</f>
        <v/>
      </c>
      <c r="P544" s="4" t="str">
        <f>IFERROR(__xludf.DUMMYFUNCTION("""COMPUTED_VALUE"""),"")</f>
        <v/>
      </c>
      <c r="Q544" s="4" t="str">
        <f>IFERROR(__xludf.DUMMYFUNCTION("""COMPUTED_VALUE"""),"")</f>
        <v/>
      </c>
      <c r="R544" s="4" t="str">
        <f>IFERROR(__xludf.DUMMYFUNCTION("""COMPUTED_VALUE"""),"Sheinelle Jones, NBC News")</f>
        <v>Sheinelle Jones, NBC News</v>
      </c>
      <c r="S544" s="4" t="str">
        <f>IFERROR(__xludf.DUMMYFUNCTION("""COMPUTED_VALUE"""),"On February 2, 2020, Laurent Duvernay-Tardif helped the Kansas City Chiefs win the Super Bowl. Fast forward to today, and he's facing a far more difficult challenge: Covid-19. The NFL's only qualified doctor is currently working at a long-term care centre"&amp;". He'll tell us what life is like on the frontlines, and the challenges of restarting sports without a vaccine.")</f>
        <v>On February 2, 2020, Laurent Duvernay-Tardif helped the Kansas City Chiefs win the Super Bowl. Fast forward to today, and he's facing a far more difficult challenge: Covid-19. The NFL's only qualified doctor is currently working at a long-term care centre. He'll tell us what life is like on the frontlines, and the challenges of restarting sports without a vaccine.</v>
      </c>
      <c r="T544" s="4" t="str">
        <f>IFERROR(__xludf.DUMMYFUNCTION("""COMPUTED_VALUE"""),"NON-KEYNOTE 9 - COMPLETE")</f>
        <v>NON-KEYNOTE 9 - COMPLETE</v>
      </c>
      <c r="U544" s="23">
        <f>IFERROR(__xludf.DUMMYFUNCTION("""COMPUTED_VALUE"""),43985.0)</f>
        <v>43985</v>
      </c>
      <c r="V544" s="44">
        <f>IFERROR(__xludf.DUMMYFUNCTION("""COMPUTED_VALUE"""),0.625)</f>
        <v>0.625</v>
      </c>
      <c r="W544" s="4" t="str">
        <f>IFERROR(__xludf.DUMMYFUNCTION("""COMPUTED_VALUE"""),"COMPLETE")</f>
        <v>COMPLETE</v>
      </c>
      <c r="X544" s="4" t="str">
        <f>IFERROR(__xludf.DUMMYFUNCTION("""COMPUTED_VALUE"""),"Darren")</f>
        <v>Darren</v>
      </c>
      <c r="Y544" s="4" t="str">
        <f>IFERROR(__xludf.DUMMYFUNCTION("""COMPUTED_VALUE"""),"")</f>
        <v/>
      </c>
    </row>
    <row r="545">
      <c r="A545" s="4" t="str">
        <f>IFERROR(__xludf.DUMMYFUNCTION("""COMPUTED_VALUE"""),"1669 - Channel")</f>
        <v>1669 - Channel</v>
      </c>
      <c r="B545" s="4" t="str">
        <f>IFERROR(__xludf.DUMMYFUNCTION("""COMPUTED_VALUE"""),"")</f>
        <v/>
      </c>
      <c r="C545" s="4" t="str">
        <f>IFERROR(__xludf.DUMMYFUNCTION("""COMPUTED_VALUE"""),"")</f>
        <v/>
      </c>
      <c r="D545" s="4" t="str">
        <f>IFERROR(__xludf.DUMMYFUNCTION("""COMPUTED_VALUE"""),"")</f>
        <v/>
      </c>
      <c r="E545" s="4" t="str">
        <f>IFERROR(__xludf.DUMMYFUNCTION("""COMPUTED_VALUE"""),"")</f>
        <v/>
      </c>
      <c r="F545" s="4" t="str">
        <f>IFERROR(__xludf.DUMMYFUNCTION("""COMPUTED_VALUE"""),"")</f>
        <v/>
      </c>
      <c r="G545" s="4" t="str">
        <f>IFERROR(__xludf.DUMMYFUNCTION("""COMPUTED_VALUE"""),"")</f>
        <v/>
      </c>
      <c r="H545" s="4" t="str">
        <f>IFERROR(__xludf.DUMMYFUNCTION("""COMPUTED_VALUE"""),"")</f>
        <v/>
      </c>
      <c r="I545" s="4" t="str">
        <f>IFERROR(__xludf.DUMMYFUNCTION("""COMPUTED_VALUE"""),"")</f>
        <v/>
      </c>
      <c r="J545" s="4" t="str">
        <f>IFERROR(__xludf.DUMMYFUNCTION("""COMPUTED_VALUE"""),"")</f>
        <v/>
      </c>
      <c r="K545" s="4" t="str">
        <f>IFERROR(__xludf.DUMMYFUNCTION("""COMPUTED_VALUE"""),"")</f>
        <v/>
      </c>
      <c r="L545" s="4" t="str">
        <f>IFERROR(__xludf.DUMMYFUNCTION("""COMPUTED_VALUE"""),"")</f>
        <v/>
      </c>
      <c r="M545" s="4" t="str">
        <f>IFERROR(__xludf.DUMMYFUNCTION("""COMPUTED_VALUE"""),"")</f>
        <v/>
      </c>
      <c r="N545" s="4" t="str">
        <f>IFERROR(__xludf.DUMMYFUNCTION("""COMPUTED_VALUE"""),"")</f>
        <v/>
      </c>
      <c r="O545" s="4" t="str">
        <f>IFERROR(__xludf.DUMMYFUNCTION("""COMPUTED_VALUE"""),"")</f>
        <v/>
      </c>
      <c r="P545" s="4" t="str">
        <f>IFERROR(__xludf.DUMMYFUNCTION("""COMPUTED_VALUE"""),"")</f>
        <v/>
      </c>
      <c r="Q545" s="4" t="str">
        <f>IFERROR(__xludf.DUMMYFUNCTION("""COMPUTED_VALUE"""),"")</f>
        <v/>
      </c>
      <c r="R545" s="4" t="str">
        <f>IFERROR(__xludf.DUMMYFUNCTION("""COMPUTED_VALUE"""),"")</f>
        <v/>
      </c>
      <c r="S545" s="4" t="str">
        <f>IFERROR(__xludf.DUMMYFUNCTION("""COMPUTED_VALUE"""),"")</f>
        <v/>
      </c>
      <c r="T545" s="4" t="str">
        <f>IFERROR(__xludf.DUMMYFUNCTION("""COMPUTED_VALUE"""),"")</f>
        <v/>
      </c>
      <c r="U545" s="4" t="str">
        <f>IFERROR(__xludf.DUMMYFUNCTION("""COMPUTED_VALUE"""),"")</f>
        <v/>
      </c>
      <c r="V545" s="4" t="str">
        <f>IFERROR(__xludf.DUMMYFUNCTION("""COMPUTED_VALUE"""),"")</f>
        <v/>
      </c>
      <c r="W545" s="4" t="str">
        <f>IFERROR(__xludf.DUMMYFUNCTION("""COMPUTED_VALUE"""),"")</f>
        <v/>
      </c>
      <c r="X545" s="4" t="str">
        <f>IFERROR(__xludf.DUMMYFUNCTION("""COMPUTED_VALUE"""),"")</f>
        <v/>
      </c>
      <c r="Y545" s="4" t="str">
        <f>IFERROR(__xludf.DUMMYFUNCTION("""COMPUTED_VALUE"""),"")</f>
        <v/>
      </c>
    </row>
    <row r="546">
      <c r="A546" s="4" t="str">
        <f>IFERROR(__xludf.DUMMYFUNCTION("""COMPUTED_VALUE"""),"596 - Channel")</f>
        <v>596 - Channel</v>
      </c>
      <c r="B546" s="4" t="str">
        <f>IFERROR(__xludf.DUMMYFUNCTION("""COMPUTED_VALUE"""),"Channel 2")</f>
        <v>Channel 2</v>
      </c>
      <c r="C546" s="4" t="str">
        <f>IFERROR(__xludf.DUMMYFUNCTION("""COMPUTED_VALUE"""),"Day 2 - 24/06")</f>
        <v>Day 2 - 24/06</v>
      </c>
      <c r="D546" s="6">
        <f>IFERROR(__xludf.DUMMYFUNCTION("""COMPUTED_VALUE"""),0.5828935185185193)</f>
        <v>0.5828935185</v>
      </c>
      <c r="E546" s="6">
        <f>IFERROR(__xludf.DUMMYFUNCTION("""COMPUTED_VALUE"""),3.4722222222222224E-4)</f>
        <v>0.0003472222222</v>
      </c>
      <c r="F546" s="6">
        <f>IFERROR(__xludf.DUMMYFUNCTION("""COMPUTED_VALUE"""),0.5832407407407416)</f>
        <v>0.5832407407</v>
      </c>
      <c r="G546" s="4" t="str">
        <f>IFERROR(__xludf.DUMMYFUNCTION("""COMPUTED_VALUE"""),"Graphics")</f>
        <v>Graphics</v>
      </c>
      <c r="H546" s="4" t="str">
        <f>IFERROR(__xludf.DUMMYFUNCTION("""COMPUTED_VALUE"""),"")</f>
        <v/>
      </c>
      <c r="I546" s="4" t="str">
        <f>IFERROR(__xludf.DUMMYFUNCTION("""COMPUTED_VALUE"""),"")</f>
        <v/>
      </c>
      <c r="J546" s="4" t="str">
        <f>IFERROR(__xludf.DUMMYFUNCTION("""COMPUTED_VALUE"""),"Branding")</f>
        <v>Branding</v>
      </c>
      <c r="K546" s="4" t="str">
        <f>IFERROR(__xludf.DUMMYFUNCTION("""COMPUTED_VALUE"""),"Talk Intro")</f>
        <v>Talk Intro</v>
      </c>
      <c r="L546" s="4" t="str">
        <f>IFERROR(__xludf.DUMMYFUNCTION("""COMPUTED_VALUE"""),"")</f>
        <v/>
      </c>
      <c r="M546" s="4" t="str">
        <f>IFERROR(__xludf.DUMMYFUNCTION("""COMPUTED_VALUE"""),"Talk Intro")</f>
        <v>Talk Intro</v>
      </c>
      <c r="N546" s="4" t="str">
        <f>IFERROR(__xludf.DUMMYFUNCTION("""COMPUTED_VALUE"""),"")</f>
        <v/>
      </c>
      <c r="O546" s="4" t="str">
        <f>IFERROR(__xludf.DUMMYFUNCTION("""COMPUTED_VALUE"""),"")</f>
        <v/>
      </c>
      <c r="P546" s="4" t="str">
        <f>IFERROR(__xludf.DUMMYFUNCTION("""COMPUTED_VALUE"""),"")</f>
        <v/>
      </c>
      <c r="Q546" s="4" t="str">
        <f>IFERROR(__xludf.DUMMYFUNCTION("""COMPUTED_VALUE"""),"")</f>
        <v/>
      </c>
      <c r="R546" s="4" t="str">
        <f>IFERROR(__xludf.DUMMYFUNCTION("""COMPUTED_VALUE"""),"")</f>
        <v/>
      </c>
      <c r="S546" s="4" t="str">
        <f>IFERROR(__xludf.DUMMYFUNCTION("""COMPUTED_VALUE"""),"")</f>
        <v/>
      </c>
      <c r="T546" s="4" t="str">
        <f>IFERROR(__xludf.DUMMYFUNCTION("""COMPUTED_VALUE"""),"")</f>
        <v/>
      </c>
      <c r="U546" s="4" t="str">
        <f>IFERROR(__xludf.DUMMYFUNCTION("""COMPUTED_VALUE"""),"")</f>
        <v/>
      </c>
      <c r="V546" s="4" t="str">
        <f>IFERROR(__xludf.DUMMYFUNCTION("""COMPUTED_VALUE"""),"")</f>
        <v/>
      </c>
      <c r="W546" s="4" t="str">
        <f>IFERROR(__xludf.DUMMYFUNCTION("""COMPUTED_VALUE"""),"")</f>
        <v/>
      </c>
      <c r="X546" s="4" t="str">
        <f>IFERROR(__xludf.DUMMYFUNCTION("""COMPUTED_VALUE"""),"")</f>
        <v/>
      </c>
      <c r="Y546" s="4" t="str">
        <f>IFERROR(__xludf.DUMMYFUNCTION("""COMPUTED_VALUE"""),"")</f>
        <v/>
      </c>
    </row>
    <row r="547">
      <c r="A547" s="4" t="str">
        <f>IFERROR(__xludf.DUMMYFUNCTION("""COMPUTED_VALUE"""),"597 - Channel")</f>
        <v>597 - Channel</v>
      </c>
      <c r="B547" s="4" t="str">
        <f>IFERROR(__xludf.DUMMYFUNCTION("""COMPUTED_VALUE"""),"Channel 2")</f>
        <v>Channel 2</v>
      </c>
      <c r="C547" s="4" t="str">
        <f>IFERROR(__xludf.DUMMYFUNCTION("""COMPUTED_VALUE"""),"Day 2 - 24/06")</f>
        <v>Day 2 - 24/06</v>
      </c>
      <c r="D547" s="6">
        <f>IFERROR(__xludf.DUMMYFUNCTION("""COMPUTED_VALUE"""),0.5832407407407416)</f>
        <v>0.5832407407</v>
      </c>
      <c r="E547" s="6">
        <f>IFERROR(__xludf.DUMMYFUNCTION("""COMPUTED_VALUE"""),0.010231481481481482)</f>
        <v>0.01023148148</v>
      </c>
      <c r="F547" s="6">
        <f>IFERROR(__xludf.DUMMYFUNCTION("""COMPUTED_VALUE"""),0.5934722222222231)</f>
        <v>0.5934722222</v>
      </c>
      <c r="G547" s="4" t="str">
        <f>IFERROR(__xludf.DUMMYFUNCTION("""COMPUTED_VALUE"""),"Lucia G.")</f>
        <v>Lucia G.</v>
      </c>
      <c r="H547" s="4" t="str">
        <f>IFERROR(__xludf.DUMMYFUNCTION("""COMPUTED_VALUE"""),"N/A")</f>
        <v>N/A</v>
      </c>
      <c r="I547" s="4" t="str">
        <f>IFERROR(__xludf.DUMMYFUNCTION("""COMPUTED_VALUE"""),"Jack")</f>
        <v>Jack</v>
      </c>
      <c r="J547" s="4" t="str">
        <f>IFERROR(__xludf.DUMMYFUNCTION("""COMPUTED_VALUE"""),"Branding")</f>
        <v>Branding</v>
      </c>
      <c r="K547" s="4" t="str">
        <f>IFERROR(__xludf.DUMMYFUNCTION("""COMPUTED_VALUE"""),"Keynote")</f>
        <v>Keynote</v>
      </c>
      <c r="L547" s="4" t="str">
        <f>IFERROR(__xludf.DUMMYFUNCTION("""COMPUTED_VALUE"""),"T- 5 - 18/05/2020")</f>
        <v>T- 5 - 18/05/2020</v>
      </c>
      <c r="M547" s="4" t="str">
        <f>IFERROR(__xludf.DUMMYFUNCTION("""COMPUTED_VALUE"""),"Seek the hidden dragon")</f>
        <v>Seek the hidden dragon</v>
      </c>
      <c r="N547" s="4" t="str">
        <f>IFERROR(__xludf.DUMMYFUNCTION("""COMPUTED_VALUE"""),"Brian Collins, Collins")</f>
        <v>Brian Collins, Collins</v>
      </c>
      <c r="O547" s="4" t="str">
        <f>IFERROR(__xludf.DUMMYFUNCTION("""COMPUTED_VALUE"""),"")</f>
        <v/>
      </c>
      <c r="P547" s="4" t="str">
        <f>IFERROR(__xludf.DUMMYFUNCTION("""COMPUTED_VALUE"""),"")</f>
        <v/>
      </c>
      <c r="Q547" s="4" t="str">
        <f>IFERROR(__xludf.DUMMYFUNCTION("""COMPUTED_VALUE"""),"")</f>
        <v/>
      </c>
      <c r="R547" s="4" t="str">
        <f>IFERROR(__xludf.DUMMYFUNCTION("""COMPUTED_VALUE"""),"")</f>
        <v/>
      </c>
      <c r="S547" s="4" t="str">
        <f>IFERROR(__xludf.DUMMYFUNCTION("""COMPUTED_VALUE"""),"There is always another dragon. The recent crisis is a dragon that we've never faced before. When you look at the history of change, dragons take the form of disruptive technologies, unforeseen products, and competitors with unique advantages. In this new"&amp;" world, Brian explores what the role of the designer is in all this. In other words, what can designers learn from mythical hero Beowulf?")</f>
        <v>There is always another dragon. The recent crisis is a dragon that we've never faced before. When you look at the history of change, dragons take the form of disruptive technologies, unforeseen products, and competitors with unique advantages. In this new world, Brian explores what the role of the designer is in all this. In other words, what can designers learn from mythical hero Beowulf?</v>
      </c>
      <c r="T547" s="4" t="str">
        <f>IFERROR(__xludf.DUMMYFUNCTION("""COMPUTED_VALUE"""),"KEYNOTE 8 - COMPLETE")</f>
        <v>KEYNOTE 8 - COMPLETE</v>
      </c>
      <c r="U547" s="23">
        <f>IFERROR(__xludf.DUMMYFUNCTION("""COMPUTED_VALUE"""),43971.0)</f>
        <v>43971</v>
      </c>
      <c r="V547" s="24">
        <f>IFERROR(__xludf.DUMMYFUNCTION("""COMPUTED_VALUE"""),0.7083333333333334)</f>
        <v>0.7083333333</v>
      </c>
      <c r="W547" s="4" t="str">
        <f>IFERROR(__xludf.DUMMYFUNCTION("""COMPUTED_VALUE"""),"COMPLETE")</f>
        <v>COMPLETE</v>
      </c>
      <c r="X547" s="4" t="str">
        <f>IFERROR(__xludf.DUMMYFUNCTION("""COMPUTED_VALUE"""),"Lucia G.")</f>
        <v>Lucia G.</v>
      </c>
      <c r="Y547" s="4" t="str">
        <f>IFERROR(__xludf.DUMMYFUNCTION("""COMPUTED_VALUE"""),"")</f>
        <v/>
      </c>
    </row>
    <row r="548">
      <c r="A548" s="4" t="str">
        <f>IFERROR(__xludf.DUMMYFUNCTION("""COMPUTED_VALUE"""),"591 - Channel")</f>
        <v>591 - Channel</v>
      </c>
      <c r="B548" s="4" t="str">
        <f>IFERROR(__xludf.DUMMYFUNCTION("""COMPUTED_VALUE"""),"Channel 2")</f>
        <v>Channel 2</v>
      </c>
      <c r="C548" s="4" t="str">
        <f>IFERROR(__xludf.DUMMYFUNCTION("""COMPUTED_VALUE"""),"Day 2 - 24/06")</f>
        <v>Day 2 - 24/06</v>
      </c>
      <c r="D548" s="6">
        <f>IFERROR(__xludf.DUMMYFUNCTION("""COMPUTED_VALUE"""),0.5934722222222231)</f>
        <v>0.5934722222</v>
      </c>
      <c r="E548" s="6">
        <f>IFERROR(__xludf.DUMMYFUNCTION("""COMPUTED_VALUE"""),3.4722222222222224E-4)</f>
        <v>0.0003472222222</v>
      </c>
      <c r="F548" s="6">
        <f>IFERROR(__xludf.DUMMYFUNCTION("""COMPUTED_VALUE"""),0.5938194444444453)</f>
        <v>0.5938194444</v>
      </c>
      <c r="G548" s="4" t="str">
        <f>IFERROR(__xludf.DUMMYFUNCTION("""COMPUTED_VALUE"""),"")</f>
        <v/>
      </c>
      <c r="H548" s="4" t="str">
        <f>IFERROR(__xludf.DUMMYFUNCTION("""COMPUTED_VALUE"""),"")</f>
        <v/>
      </c>
      <c r="I548" s="4" t="str">
        <f>IFERROR(__xludf.DUMMYFUNCTION("""COMPUTED_VALUE"""),"")</f>
        <v/>
      </c>
      <c r="J548" s="4" t="str">
        <f>IFERROR(__xludf.DUMMYFUNCTION("""COMPUTED_VALUE"""),"Branding")</f>
        <v>Branding</v>
      </c>
      <c r="K548" s="4" t="str">
        <f>IFERROR(__xludf.DUMMYFUNCTION("""COMPUTED_VALUE"""),"Talk Intro")</f>
        <v>Talk Intro</v>
      </c>
      <c r="L548" s="4" t="str">
        <f>IFERROR(__xludf.DUMMYFUNCTION("""COMPUTED_VALUE"""),"")</f>
        <v/>
      </c>
      <c r="M548" s="4" t="str">
        <f>IFERROR(__xludf.DUMMYFUNCTION("""COMPUTED_VALUE"""),"Talk Intro")</f>
        <v>Talk Intro</v>
      </c>
      <c r="N548" s="4" t="str">
        <f>IFERROR(__xludf.DUMMYFUNCTION("""COMPUTED_VALUE"""),"")</f>
        <v/>
      </c>
      <c r="O548" s="4" t="str">
        <f>IFERROR(__xludf.DUMMYFUNCTION("""COMPUTED_VALUE"""),"")</f>
        <v/>
      </c>
      <c r="P548" s="4" t="str">
        <f>IFERROR(__xludf.DUMMYFUNCTION("""COMPUTED_VALUE"""),"")</f>
        <v/>
      </c>
      <c r="Q548" s="4" t="str">
        <f>IFERROR(__xludf.DUMMYFUNCTION("""COMPUTED_VALUE"""),"")</f>
        <v/>
      </c>
      <c r="R548" s="4" t="str">
        <f>IFERROR(__xludf.DUMMYFUNCTION("""COMPUTED_VALUE"""),"")</f>
        <v/>
      </c>
      <c r="S548" s="4" t="str">
        <f>IFERROR(__xludf.DUMMYFUNCTION("""COMPUTED_VALUE"""),"")</f>
        <v/>
      </c>
      <c r="T548" s="4" t="str">
        <f>IFERROR(__xludf.DUMMYFUNCTION("""COMPUTED_VALUE"""),"")</f>
        <v/>
      </c>
      <c r="U548" s="4" t="str">
        <f>IFERROR(__xludf.DUMMYFUNCTION("""COMPUTED_VALUE"""),"")</f>
        <v/>
      </c>
      <c r="V548" s="4" t="str">
        <f>IFERROR(__xludf.DUMMYFUNCTION("""COMPUTED_VALUE"""),"")</f>
        <v/>
      </c>
      <c r="W548" s="4" t="str">
        <f>IFERROR(__xludf.DUMMYFUNCTION("""COMPUTED_VALUE"""),"")</f>
        <v/>
      </c>
      <c r="X548" s="4" t="str">
        <f>IFERROR(__xludf.DUMMYFUNCTION("""COMPUTED_VALUE"""),"")</f>
        <v/>
      </c>
      <c r="Y548" s="4" t="str">
        <f>IFERROR(__xludf.DUMMYFUNCTION("""COMPUTED_VALUE"""),"")</f>
        <v/>
      </c>
    </row>
    <row r="549">
      <c r="A549" s="4" t="str">
        <f>IFERROR(__xludf.DUMMYFUNCTION("""COMPUTED_VALUE"""),"594 - Channel")</f>
        <v>594 - Channel</v>
      </c>
      <c r="B549" s="4" t="str">
        <f>IFERROR(__xludf.DUMMYFUNCTION("""COMPUTED_VALUE"""),"Channel 2")</f>
        <v>Channel 2</v>
      </c>
      <c r="C549" s="4" t="str">
        <f>IFERROR(__xludf.DUMMYFUNCTION("""COMPUTED_VALUE"""),"Day 2 - 24/06")</f>
        <v>Day 2 - 24/06</v>
      </c>
      <c r="D549" s="6">
        <f>IFERROR(__xludf.DUMMYFUNCTION("""COMPUTED_VALUE"""),0.5938194444444453)</f>
        <v>0.5938194444</v>
      </c>
      <c r="E549" s="6">
        <f>IFERROR(__xludf.DUMMYFUNCTION("""COMPUTED_VALUE"""),0.013888888888888888)</f>
        <v>0.01388888889</v>
      </c>
      <c r="F549" s="6">
        <f>IFERROR(__xludf.DUMMYFUNCTION("""COMPUTED_VALUE"""),0.6077083333333342)</f>
        <v>0.6077083333</v>
      </c>
      <c r="G549" s="4" t="str">
        <f>IFERROR(__xludf.DUMMYFUNCTION("""COMPUTED_VALUE"""),"Brian")</f>
        <v>Brian</v>
      </c>
      <c r="H549" s="4" t="str">
        <f>IFERROR(__xludf.DUMMYFUNCTION("""COMPUTED_VALUE"""),"")</f>
        <v/>
      </c>
      <c r="I549" s="4" t="str">
        <f>IFERROR(__xludf.DUMMYFUNCTION("""COMPUTED_VALUE"""),"Eabha")</f>
        <v>Eabha</v>
      </c>
      <c r="J549" s="4" t="str">
        <f>IFERROR(__xludf.DUMMYFUNCTION("""COMPUTED_VALUE"""),"Branding")</f>
        <v>Branding</v>
      </c>
      <c r="K549" s="4" t="str">
        <f>IFERROR(__xludf.DUMMYFUNCTION("""COMPUTED_VALUE"""),"Super Fireside")</f>
        <v>Super Fireside</v>
      </c>
      <c r="L549" s="4" t="str">
        <f>IFERROR(__xludf.DUMMYFUNCTION("""COMPUTED_VALUE"""),"T- 2 - 08/06/2020")</f>
        <v>T- 2 - 08/06/2020</v>
      </c>
      <c r="M549" s="4" t="str">
        <f>IFERROR(__xludf.DUMMYFUNCTION("""COMPUTED_VALUE"""),"How brands connect in a virtual world")</f>
        <v>How brands connect in a virtual world</v>
      </c>
      <c r="N549" s="4" t="str">
        <f>IFERROR(__xludf.DUMMYFUNCTION("""COMPUTED_VALUE"""),"Melissa Selcher, LinkedIn")</f>
        <v>Melissa Selcher, LinkedIn</v>
      </c>
      <c r="O549" s="4" t="str">
        <f>IFERROR(__xludf.DUMMYFUNCTION("""COMPUTED_VALUE"""),"")</f>
        <v/>
      </c>
      <c r="P549" s="4" t="str">
        <f>IFERROR(__xludf.DUMMYFUNCTION("""COMPUTED_VALUE"""),"")</f>
        <v/>
      </c>
      <c r="Q549" s="4" t="str">
        <f>IFERROR(__xludf.DUMMYFUNCTION("""COMPUTED_VALUE"""),"")</f>
        <v/>
      </c>
      <c r="R549" s="4" t="str">
        <f>IFERROR(__xludf.DUMMYFUNCTION("""COMPUTED_VALUE"""),"Neil Parker, co:collective")</f>
        <v>Neil Parker, co:collective</v>
      </c>
      <c r="S549" s="4" t="str">
        <f>IFERROR(__xludf.DUMMYFUNCTION("""COMPUTED_VALUE"""),"A conversation between LinkedIn CMO Mel Selcher and co:collective co-founder Neil Parker on how brands, teams and leaders are making meaningful virtual connections with their employees, customers and stakeholders at a time when community matters more than"&amp;" ever.")</f>
        <v>A conversation between LinkedIn CMO Mel Selcher and co:collective co-founder Neil Parker on how brands, teams and leaders are making meaningful virtual connections with their employees, customers and stakeholders at a time when community matters more than ever.</v>
      </c>
      <c r="T549" s="4" t="str">
        <f>IFERROR(__xludf.DUMMYFUNCTION("""COMPUTED_VALUE"""),"Recording MISSED/NEEDS TO BE RERECORDED/RESCHEDULED")</f>
        <v>Recording MISSED/NEEDS TO BE RERECORDED/RESCHEDULED</v>
      </c>
      <c r="U549" s="23">
        <f>IFERROR(__xludf.DUMMYFUNCTION("""COMPUTED_VALUE"""),43990.0)</f>
        <v>43990</v>
      </c>
      <c r="V549" s="24">
        <f>IFERROR(__xludf.DUMMYFUNCTION("""COMPUTED_VALUE"""),0.75)</f>
        <v>0.75</v>
      </c>
      <c r="W549" s="21" t="str">
        <f>IFERROR(__xludf.DUMMYFUNCTION("""COMPUTED_VALUE"""),"https://zoom.us/j/98284520930?pwd=US9DYW56Q05IMzVmMlZpcnVIWi9mQT09")</f>
        <v>https://zoom.us/j/98284520930?pwd=US9DYW56Q05IMzVmMlZpcnVIWi9mQT09</v>
      </c>
      <c r="X549" s="4" t="str">
        <f>IFERROR(__xludf.DUMMYFUNCTION("""COMPUTED_VALUE"""),"Eabha")</f>
        <v>Eabha</v>
      </c>
      <c r="Y549" s="4" t="str">
        <f>IFERROR(__xludf.DUMMYFUNCTION("""COMPUTED_VALUE"""),"")</f>
        <v/>
      </c>
    </row>
    <row r="550">
      <c r="A550" s="4" t="str">
        <f>IFERROR(__xludf.DUMMYFUNCTION("""COMPUTED_VALUE"""),"580 - Channel")</f>
        <v>580 - Channel</v>
      </c>
      <c r="B550" s="4" t="str">
        <f>IFERROR(__xludf.DUMMYFUNCTION("""COMPUTED_VALUE"""),"Channel 2")</f>
        <v>Channel 2</v>
      </c>
      <c r="C550" s="4" t="str">
        <f>IFERROR(__xludf.DUMMYFUNCTION("""COMPUTED_VALUE"""),"Day 2 - 24/06")</f>
        <v>Day 2 - 24/06</v>
      </c>
      <c r="D550" s="6">
        <f>IFERROR(__xludf.DUMMYFUNCTION("""COMPUTED_VALUE"""),0.6077083333333342)</f>
        <v>0.6077083333</v>
      </c>
      <c r="E550" s="6">
        <f>IFERROR(__xludf.DUMMYFUNCTION("""COMPUTED_VALUE"""),1.7361111111111112E-4)</f>
        <v>0.0001736111111</v>
      </c>
      <c r="F550" s="6">
        <f>IFERROR(__xludf.DUMMYFUNCTION("""COMPUTED_VALUE"""),0.6078819444444453)</f>
        <v>0.6078819444</v>
      </c>
      <c r="G550" s="4" t="str">
        <f>IFERROR(__xludf.DUMMYFUNCTION("""COMPUTED_VALUE"""),"P&amp;E")</f>
        <v>P&amp;E</v>
      </c>
      <c r="H550" s="4" t="str">
        <f>IFERROR(__xludf.DUMMYFUNCTION("""COMPUTED_VALUE"""),"")</f>
        <v/>
      </c>
      <c r="I550" s="4" t="str">
        <f>IFERROR(__xludf.DUMMYFUNCTION("""COMPUTED_VALUE"""),"")</f>
        <v/>
      </c>
      <c r="J550" s="4" t="str">
        <f>IFERROR(__xludf.DUMMYFUNCTION("""COMPUTED_VALUE"""),"Health")</f>
        <v>Health</v>
      </c>
      <c r="K550" s="4" t="str">
        <f>IFERROR(__xludf.DUMMYFUNCTION("""COMPUTED_VALUE"""),"Partner ad")</f>
        <v>Partner ad</v>
      </c>
      <c r="L550" s="4" t="str">
        <f>IFERROR(__xludf.DUMMYFUNCTION("""COMPUTED_VALUE"""),"")</f>
        <v/>
      </c>
      <c r="M550" s="4" t="str">
        <f>IFERROR(__xludf.DUMMYFUNCTION("""COMPUTED_VALUE"""),"Partner Adroll #5_AWS")</f>
        <v>Partner Adroll #5_AWS</v>
      </c>
      <c r="N550" s="4" t="str">
        <f>IFERROR(__xludf.DUMMYFUNCTION("""COMPUTED_VALUE"""),"")</f>
        <v/>
      </c>
      <c r="O550" s="4" t="str">
        <f>IFERROR(__xludf.DUMMYFUNCTION("""COMPUTED_VALUE"""),"")</f>
        <v/>
      </c>
      <c r="P550" s="4" t="str">
        <f>IFERROR(__xludf.DUMMYFUNCTION("""COMPUTED_VALUE"""),"")</f>
        <v/>
      </c>
      <c r="Q550" s="4" t="str">
        <f>IFERROR(__xludf.DUMMYFUNCTION("""COMPUTED_VALUE"""),"")</f>
        <v/>
      </c>
      <c r="R550" s="4" t="str">
        <f>IFERROR(__xludf.DUMMYFUNCTION("""COMPUTED_VALUE"""),"")</f>
        <v/>
      </c>
      <c r="S550" s="4" t="str">
        <f>IFERROR(__xludf.DUMMYFUNCTION("""COMPUTED_VALUE"""),"")</f>
        <v/>
      </c>
      <c r="T550" s="4" t="str">
        <f>IFERROR(__xludf.DUMMYFUNCTION("""COMPUTED_VALUE"""),"")</f>
        <v/>
      </c>
      <c r="U550" s="4" t="str">
        <f>IFERROR(__xludf.DUMMYFUNCTION("""COMPUTED_VALUE"""),"")</f>
        <v/>
      </c>
      <c r="V550" s="4" t="str">
        <f>IFERROR(__xludf.DUMMYFUNCTION("""COMPUTED_VALUE"""),"")</f>
        <v/>
      </c>
      <c r="W550" s="4" t="str">
        <f>IFERROR(__xludf.DUMMYFUNCTION("""COMPUTED_VALUE"""),"")</f>
        <v/>
      </c>
      <c r="X550" s="4" t="str">
        <f>IFERROR(__xludf.DUMMYFUNCTION("""COMPUTED_VALUE"""),"")</f>
        <v/>
      </c>
      <c r="Y550" s="4" t="str">
        <f>IFERROR(__xludf.DUMMYFUNCTION("""COMPUTED_VALUE"""),"")</f>
        <v/>
      </c>
    </row>
    <row r="551">
      <c r="A551" s="4" t="str">
        <f>IFERROR(__xludf.DUMMYFUNCTION("""COMPUTED_VALUE"""),"662 - Channel")</f>
        <v>662 - Channel</v>
      </c>
      <c r="B551" s="4" t="str">
        <f>IFERROR(__xludf.DUMMYFUNCTION("""COMPUTED_VALUE"""),"Channel 2")</f>
        <v>Channel 2</v>
      </c>
      <c r="C551" s="4" t="str">
        <f>IFERROR(__xludf.DUMMYFUNCTION("""COMPUTED_VALUE"""),"Day 2 - 24/06")</f>
        <v>Day 2 - 24/06</v>
      </c>
      <c r="D551" s="6">
        <f>IFERROR(__xludf.DUMMYFUNCTION("""COMPUTED_VALUE"""),0.6078819444444453)</f>
        <v>0.6078819444</v>
      </c>
      <c r="E551" s="6">
        <f>IFERROR(__xludf.DUMMYFUNCTION("""COMPUTED_VALUE"""),3.4722222222222224E-4)</f>
        <v>0.0003472222222</v>
      </c>
      <c r="F551" s="6">
        <f>IFERROR(__xludf.DUMMYFUNCTION("""COMPUTED_VALUE"""),0.6082291666666676)</f>
        <v>0.6082291667</v>
      </c>
      <c r="G551" s="4" t="str">
        <f>IFERROR(__xludf.DUMMYFUNCTION("""COMPUTED_VALUE"""),"Graphics")</f>
        <v>Graphics</v>
      </c>
      <c r="H551" s="4" t="str">
        <f>IFERROR(__xludf.DUMMYFUNCTION("""COMPUTED_VALUE"""),"")</f>
        <v/>
      </c>
      <c r="I551" s="4" t="str">
        <f>IFERROR(__xludf.DUMMYFUNCTION("""COMPUTED_VALUE"""),"")</f>
        <v/>
      </c>
      <c r="J551" s="4" t="str">
        <f>IFERROR(__xludf.DUMMYFUNCTION("""COMPUTED_VALUE"""),"AI")</f>
        <v>AI</v>
      </c>
      <c r="K551" s="4" t="str">
        <f>IFERROR(__xludf.DUMMYFUNCTION("""COMPUTED_VALUE"""),"Talk Intro")</f>
        <v>Talk Intro</v>
      </c>
      <c r="L551" s="4" t="str">
        <f>IFERROR(__xludf.DUMMYFUNCTION("""COMPUTED_VALUE"""),"")</f>
        <v/>
      </c>
      <c r="M551" s="4" t="str">
        <f>IFERROR(__xludf.DUMMYFUNCTION("""COMPUTED_VALUE"""),"Talk Intro")</f>
        <v>Talk Intro</v>
      </c>
      <c r="N551" s="4" t="str">
        <f>IFERROR(__xludf.DUMMYFUNCTION("""COMPUTED_VALUE"""),"")</f>
        <v/>
      </c>
      <c r="O551" s="4" t="str">
        <f>IFERROR(__xludf.DUMMYFUNCTION("""COMPUTED_VALUE"""),"")</f>
        <v/>
      </c>
      <c r="P551" s="4" t="str">
        <f>IFERROR(__xludf.DUMMYFUNCTION("""COMPUTED_VALUE"""),"")</f>
        <v/>
      </c>
      <c r="Q551" s="4" t="str">
        <f>IFERROR(__xludf.DUMMYFUNCTION("""COMPUTED_VALUE"""),"")</f>
        <v/>
      </c>
      <c r="R551" s="4" t="str">
        <f>IFERROR(__xludf.DUMMYFUNCTION("""COMPUTED_VALUE"""),"")</f>
        <v/>
      </c>
      <c r="S551" s="4" t="str">
        <f>IFERROR(__xludf.DUMMYFUNCTION("""COMPUTED_VALUE"""),"")</f>
        <v/>
      </c>
      <c r="T551" s="4" t="str">
        <f>IFERROR(__xludf.DUMMYFUNCTION("""COMPUTED_VALUE"""),"")</f>
        <v/>
      </c>
      <c r="U551" s="4" t="str">
        <f>IFERROR(__xludf.DUMMYFUNCTION("""COMPUTED_VALUE"""),"")</f>
        <v/>
      </c>
      <c r="V551" s="4" t="str">
        <f>IFERROR(__xludf.DUMMYFUNCTION("""COMPUTED_VALUE"""),"")</f>
        <v/>
      </c>
      <c r="W551" s="4" t="str">
        <f>IFERROR(__xludf.DUMMYFUNCTION("""COMPUTED_VALUE"""),"")</f>
        <v/>
      </c>
      <c r="X551" s="4" t="str">
        <f>IFERROR(__xludf.DUMMYFUNCTION("""COMPUTED_VALUE"""),"")</f>
        <v/>
      </c>
      <c r="Y551" s="4" t="str">
        <f>IFERROR(__xludf.DUMMYFUNCTION("""COMPUTED_VALUE"""),"")</f>
        <v/>
      </c>
    </row>
    <row r="552">
      <c r="A552" s="4" t="str">
        <f>IFERROR(__xludf.DUMMYFUNCTION("""COMPUTED_VALUE"""),"663 - Channel")</f>
        <v>663 - Channel</v>
      </c>
      <c r="B552" s="4" t="str">
        <f>IFERROR(__xludf.DUMMYFUNCTION("""COMPUTED_VALUE"""),"Channel 2")</f>
        <v>Channel 2</v>
      </c>
      <c r="C552" s="4" t="str">
        <f>IFERROR(__xludf.DUMMYFUNCTION("""COMPUTED_VALUE"""),"Day 2 - 24/06")</f>
        <v>Day 2 - 24/06</v>
      </c>
      <c r="D552" s="6">
        <f>IFERROR(__xludf.DUMMYFUNCTION("""COMPUTED_VALUE"""),0.6082291666666676)</f>
        <v>0.6082291667</v>
      </c>
      <c r="E552" s="6">
        <f>IFERROR(__xludf.DUMMYFUNCTION("""COMPUTED_VALUE"""),0.006944444444444444)</f>
        <v>0.006944444444</v>
      </c>
      <c r="F552" s="6">
        <f>IFERROR(__xludf.DUMMYFUNCTION("""COMPUTED_VALUE"""),0.615173611111112)</f>
        <v>0.6151736111</v>
      </c>
      <c r="G552" s="4" t="str">
        <f>IFERROR(__xludf.DUMMYFUNCTION("""COMPUTED_VALUE"""),"Laura")</f>
        <v>Laura</v>
      </c>
      <c r="H552" s="4" t="str">
        <f>IFERROR(__xludf.DUMMYFUNCTION("""COMPUTED_VALUE"""),"")</f>
        <v/>
      </c>
      <c r="I552" s="4" t="str">
        <f>IFERROR(__xludf.DUMMYFUNCTION("""COMPUTED_VALUE"""),"Eabha")</f>
        <v>Eabha</v>
      </c>
      <c r="J552" s="4" t="str">
        <f>IFERROR(__xludf.DUMMYFUNCTION("""COMPUTED_VALUE"""),"AI")</f>
        <v>AI</v>
      </c>
      <c r="K552" s="4" t="str">
        <f>IFERROR(__xludf.DUMMYFUNCTION("""COMPUTED_VALUE"""),"Keynote")</f>
        <v>Keynote</v>
      </c>
      <c r="L552" s="4" t="str">
        <f>IFERROR(__xludf.DUMMYFUNCTION("""COMPUTED_VALUE"""),"T- 7 - 04/05/2020")</f>
        <v>T- 7 - 04/05/2020</v>
      </c>
      <c r="M552" s="4" t="str">
        <f>IFERROR(__xludf.DUMMYFUNCTION("""COMPUTED_VALUE"""),"No hype: Deploying real-world machine learning ")</f>
        <v>No hype: Deploying real-world machine learning </v>
      </c>
      <c r="N552" s="4" t="str">
        <f>IFERROR(__xludf.DUMMYFUNCTION("""COMPUTED_VALUE"""),"Swami Sivasubramanian, Amazon Web Services")</f>
        <v>Swami Sivasubramanian, Amazon Web Services</v>
      </c>
      <c r="O552" s="4" t="str">
        <f>IFERROR(__xludf.DUMMYFUNCTION("""COMPUTED_VALUE"""),"")</f>
        <v/>
      </c>
      <c r="P552" s="4" t="str">
        <f>IFERROR(__xludf.DUMMYFUNCTION("""COMPUTED_VALUE"""),"")</f>
        <v/>
      </c>
      <c r="Q552" s="4" t="str">
        <f>IFERROR(__xludf.DUMMYFUNCTION("""COMPUTED_VALUE"""),"")</f>
        <v/>
      </c>
      <c r="R552" s="4" t="str">
        <f>IFERROR(__xludf.DUMMYFUNCTION("""COMPUTED_VALUE"""),"")</f>
        <v/>
      </c>
      <c r="S552" s="4" t="str">
        <f>IFERROR(__xludf.DUMMYFUNCTION("""COMPUTED_VALUE"""),"Amazon has been building and using real-world machine learning systems for decades, from personalized product recommendations to supply chain optimization and forecasting. Now, with an abundance of available data coupled with massive amounts of inexpensiv"&amp;"e compute in the cloud, hear how all developers can deploy machine learning into their applications, including through some of the same tech that powers Amazon.com.")</f>
        <v>Amazon has been building and using real-world machine learning systems for decades, from personalized product recommendations to supply chain optimization and forecasting. Now, with an abundance of available data coupled with massive amounts of inexpensive compute in the cloud, hear how all developers can deploy machine learning into their applications, including through some of the same tech that powers Amazon.com.</v>
      </c>
      <c r="T552" s="4" t="str">
        <f>IFERROR(__xludf.DUMMYFUNCTION("""COMPUTED_VALUE"""),"KEYNOTE 8 - COMPLETE")</f>
        <v>KEYNOTE 8 - COMPLETE</v>
      </c>
      <c r="U552" s="23">
        <f>IFERROR(__xludf.DUMMYFUNCTION("""COMPUTED_VALUE"""),43955.0)</f>
        <v>43955</v>
      </c>
      <c r="V552" s="24">
        <f>IFERROR(__xludf.DUMMYFUNCTION("""COMPUTED_VALUE"""),0.6666666666666666)</f>
        <v>0.6666666667</v>
      </c>
      <c r="W552" s="4" t="str">
        <f>IFERROR(__xludf.DUMMYFUNCTION("""COMPUTED_VALUE"""),"COMPLETE")</f>
        <v>COMPLETE</v>
      </c>
      <c r="X552" s="4" t="str">
        <f>IFERROR(__xludf.DUMMYFUNCTION("""COMPUTED_VALUE"""),"Laura")</f>
        <v>Laura</v>
      </c>
      <c r="Y552" s="4" t="str">
        <f>IFERROR(__xludf.DUMMYFUNCTION("""COMPUTED_VALUE"""),"4641026228435397041")</f>
        <v>4641026228435397041</v>
      </c>
    </row>
    <row r="553">
      <c r="A553" s="4" t="str">
        <f>IFERROR(__xludf.DUMMYFUNCTION("""COMPUTED_VALUE"""),"599 - Channel")</f>
        <v>599 - Channel</v>
      </c>
      <c r="B553" s="4" t="str">
        <f>IFERROR(__xludf.DUMMYFUNCTION("""COMPUTED_VALUE"""),"Channel 2")</f>
        <v>Channel 2</v>
      </c>
      <c r="C553" s="4" t="str">
        <f>IFERROR(__xludf.DUMMYFUNCTION("""COMPUTED_VALUE"""),"Day 2 - 24/06")</f>
        <v>Day 2 - 24/06</v>
      </c>
      <c r="D553" s="6">
        <f>IFERROR(__xludf.DUMMYFUNCTION("""COMPUTED_VALUE"""),0.615173611111112)</f>
        <v>0.6151736111</v>
      </c>
      <c r="E553" s="6">
        <f>IFERROR(__xludf.DUMMYFUNCTION("""COMPUTED_VALUE"""),3.4722222222222224E-4)</f>
        <v>0.0003472222222</v>
      </c>
      <c r="F553" s="6">
        <f>IFERROR(__xludf.DUMMYFUNCTION("""COMPUTED_VALUE"""),0.6155208333333343)</f>
        <v>0.6155208333</v>
      </c>
      <c r="G553" s="4" t="str">
        <f>IFERROR(__xludf.DUMMYFUNCTION("""COMPUTED_VALUE"""),"Graphics")</f>
        <v>Graphics</v>
      </c>
      <c r="H553" s="4" t="str">
        <f>IFERROR(__xludf.DUMMYFUNCTION("""COMPUTED_VALUE"""),"")</f>
        <v/>
      </c>
      <c r="I553" s="4" t="str">
        <f>IFERROR(__xludf.DUMMYFUNCTION("""COMPUTED_VALUE"""),"")</f>
        <v/>
      </c>
      <c r="J553" s="4" t="str">
        <f>IFERROR(__xludf.DUMMYFUNCTION("""COMPUTED_VALUE"""),"Branding")</f>
        <v>Branding</v>
      </c>
      <c r="K553" s="4" t="str">
        <f>IFERROR(__xludf.DUMMYFUNCTION("""COMPUTED_VALUE"""),"Talk Intro")</f>
        <v>Talk Intro</v>
      </c>
      <c r="L553" s="4" t="str">
        <f>IFERROR(__xludf.DUMMYFUNCTION("""COMPUTED_VALUE"""),"")</f>
        <v/>
      </c>
      <c r="M553" s="4" t="str">
        <f>IFERROR(__xludf.DUMMYFUNCTION("""COMPUTED_VALUE"""),"Talk Intro")</f>
        <v>Talk Intro</v>
      </c>
      <c r="N553" s="4" t="str">
        <f>IFERROR(__xludf.DUMMYFUNCTION("""COMPUTED_VALUE"""),"")</f>
        <v/>
      </c>
      <c r="O553" s="4" t="str">
        <f>IFERROR(__xludf.DUMMYFUNCTION("""COMPUTED_VALUE"""),"")</f>
        <v/>
      </c>
      <c r="P553" s="4" t="str">
        <f>IFERROR(__xludf.DUMMYFUNCTION("""COMPUTED_VALUE"""),"")</f>
        <v/>
      </c>
      <c r="Q553" s="4" t="str">
        <f>IFERROR(__xludf.DUMMYFUNCTION("""COMPUTED_VALUE"""),"")</f>
        <v/>
      </c>
      <c r="R553" s="4" t="str">
        <f>IFERROR(__xludf.DUMMYFUNCTION("""COMPUTED_VALUE"""),"")</f>
        <v/>
      </c>
      <c r="S553" s="4" t="str">
        <f>IFERROR(__xludf.DUMMYFUNCTION("""COMPUTED_VALUE"""),"")</f>
        <v/>
      </c>
      <c r="T553" s="4" t="str">
        <f>IFERROR(__xludf.DUMMYFUNCTION("""COMPUTED_VALUE"""),"")</f>
        <v/>
      </c>
      <c r="U553" s="4" t="str">
        <f>IFERROR(__xludf.DUMMYFUNCTION("""COMPUTED_VALUE"""),"")</f>
        <v/>
      </c>
      <c r="V553" s="4" t="str">
        <f>IFERROR(__xludf.DUMMYFUNCTION("""COMPUTED_VALUE"""),"")</f>
        <v/>
      </c>
      <c r="W553" s="4" t="str">
        <f>IFERROR(__xludf.DUMMYFUNCTION("""COMPUTED_VALUE"""),"")</f>
        <v/>
      </c>
      <c r="X553" s="4" t="str">
        <f>IFERROR(__xludf.DUMMYFUNCTION("""COMPUTED_VALUE"""),"")</f>
        <v/>
      </c>
      <c r="Y553" s="4" t="str">
        <f>IFERROR(__xludf.DUMMYFUNCTION("""COMPUTED_VALUE"""),"")</f>
        <v/>
      </c>
    </row>
    <row r="554">
      <c r="A554" s="4" t="str">
        <f>IFERROR(__xludf.DUMMYFUNCTION("""COMPUTED_VALUE"""),"600 - Channel")</f>
        <v>600 - Channel</v>
      </c>
      <c r="B554" s="4" t="str">
        <f>IFERROR(__xludf.DUMMYFUNCTION("""COMPUTED_VALUE"""),"Channel 2")</f>
        <v>Channel 2</v>
      </c>
      <c r="C554" s="4" t="str">
        <f>IFERROR(__xludf.DUMMYFUNCTION("""COMPUTED_VALUE"""),"Day 2 - 24/06")</f>
        <v>Day 2 - 24/06</v>
      </c>
      <c r="D554" s="6">
        <f>IFERROR(__xludf.DUMMYFUNCTION("""COMPUTED_VALUE"""),0.6155208333333343)</f>
        <v>0.6155208333</v>
      </c>
      <c r="E554" s="6">
        <f>IFERROR(__xludf.DUMMYFUNCTION("""COMPUTED_VALUE"""),0.008333333333333333)</f>
        <v>0.008333333333</v>
      </c>
      <c r="F554" s="6">
        <f>IFERROR(__xludf.DUMMYFUNCTION("""COMPUTED_VALUE"""),0.6238541666666676)</f>
        <v>0.6238541667</v>
      </c>
      <c r="G554" s="4" t="str">
        <f>IFERROR(__xludf.DUMMYFUNCTION("""COMPUTED_VALUE"""),"Dan")</f>
        <v>Dan</v>
      </c>
      <c r="H554" s="4" t="str">
        <f>IFERROR(__xludf.DUMMYFUNCTION("""COMPUTED_VALUE"""),"Shauna")</f>
        <v>Shauna</v>
      </c>
      <c r="I554" s="4" t="str">
        <f>IFERROR(__xludf.DUMMYFUNCTION("""COMPUTED_VALUE"""),"Jack")</f>
        <v>Jack</v>
      </c>
      <c r="J554" s="4" t="str">
        <f>IFERROR(__xludf.DUMMYFUNCTION("""COMPUTED_VALUE"""),"Branding")</f>
        <v>Branding</v>
      </c>
      <c r="K554" s="4" t="str">
        <f>IFERROR(__xludf.DUMMYFUNCTION("""COMPUTED_VALUE"""),"Fireside")</f>
        <v>Fireside</v>
      </c>
      <c r="L554" s="4" t="str">
        <f>IFERROR(__xludf.DUMMYFUNCTION("""COMPUTED_VALUE"""),"T- 2 - 08/06/2020")</f>
        <v>T- 2 - 08/06/2020</v>
      </c>
      <c r="M554" s="4" t="str">
        <f>IFERROR(__xludf.DUMMYFUNCTION("""COMPUTED_VALUE"""),"From Olympic hopeful to high-stakes poker")</f>
        <v>From Olympic hopeful to high-stakes poker</v>
      </c>
      <c r="N554" s="4" t="str">
        <f>IFERROR(__xludf.DUMMYFUNCTION("""COMPUTED_VALUE"""),"Molly Bloom, Molly's Game")</f>
        <v>Molly Bloom, Molly's Game</v>
      </c>
      <c r="O554" s="4" t="str">
        <f>IFERROR(__xludf.DUMMYFUNCTION("""COMPUTED_VALUE"""),"")</f>
        <v/>
      </c>
      <c r="P554" s="4" t="str">
        <f>IFERROR(__xludf.DUMMYFUNCTION("""COMPUTED_VALUE"""),"")</f>
        <v/>
      </c>
      <c r="Q554" s="4" t="str">
        <f>IFERROR(__xludf.DUMMYFUNCTION("""COMPUTED_VALUE"""),"")</f>
        <v/>
      </c>
      <c r="R554" s="4" t="str">
        <f>IFERROR(__xludf.DUMMYFUNCTION("""COMPUTED_VALUE"""),"Laurie Segall, Dot Dot Dot Media")</f>
        <v>Laurie Segall, Dot Dot Dot Media</v>
      </c>
      <c r="S554" s="4" t="str">
        <f>IFERROR(__xludf.DUMMYFUNCTION("""COMPUTED_VALUE"""),"Former Olympic hopeful Molly Bloom tells the incredible story of her life, which was adapted into Academy Award-nominated film Molly's Game by Aaron Sorkin. Molly will take us behind the curtain of running nosebleed-stakes games for some of the most famou"&amp;"s people in the world.")</f>
        <v>Former Olympic hopeful Molly Bloom tells the incredible story of her life, which was adapted into Academy Award-nominated film Molly's Game by Aaron Sorkin. Molly will take us behind the curtain of running nosebleed-stakes games for some of the most famous people in the world.</v>
      </c>
      <c r="T554" s="4" t="str">
        <f>IFERROR(__xludf.DUMMYFUNCTION("""COMPUTED_VALUE"""),"Recording MISSED/NEEDS TO BE RERECORDED/RESCHEDULED")</f>
        <v>Recording MISSED/NEEDS TO BE RERECORDED/RESCHEDULED</v>
      </c>
      <c r="U554" s="23">
        <f>IFERROR(__xludf.DUMMYFUNCTION("""COMPUTED_VALUE"""),43990.0)</f>
        <v>43990</v>
      </c>
      <c r="V554" s="24">
        <f>IFERROR(__xludf.DUMMYFUNCTION("""COMPUTED_VALUE"""),0.75)</f>
        <v>0.75</v>
      </c>
      <c r="W554" s="21" t="str">
        <f>IFERROR(__xludf.DUMMYFUNCTION("""COMPUTED_VALUE"""),"https://zoom.us/j/91622743075?pwd=VmZRNStiTkRmSDZFUStiZE9UZVJuZz09")</f>
        <v>https://zoom.us/j/91622743075?pwd=VmZRNStiTkRmSDZFUStiZE9UZVJuZz09</v>
      </c>
      <c r="X554" s="4" t="str">
        <f>IFERROR(__xludf.DUMMYFUNCTION("""COMPUTED_VALUE"""),"Dan")</f>
        <v>Dan</v>
      </c>
      <c r="Y554" s="4" t="str">
        <f>IFERROR(__xludf.DUMMYFUNCTION("""COMPUTED_VALUE"""),"")</f>
        <v/>
      </c>
    </row>
    <row r="555">
      <c r="A555" s="4" t="str">
        <f>IFERROR(__xludf.DUMMYFUNCTION("""COMPUTED_VALUE"""),"601 - Channel")</f>
        <v>601 - Channel</v>
      </c>
      <c r="B555" s="4" t="str">
        <f>IFERROR(__xludf.DUMMYFUNCTION("""COMPUTED_VALUE"""),"Channel 2")</f>
        <v>Channel 2</v>
      </c>
      <c r="C555" s="4" t="str">
        <f>IFERROR(__xludf.DUMMYFUNCTION("""COMPUTED_VALUE"""),"Day 2 - 24/06")</f>
        <v>Day 2 - 24/06</v>
      </c>
      <c r="D555" s="6">
        <f>IFERROR(__xludf.DUMMYFUNCTION("""COMPUTED_VALUE"""),0.6238541666666676)</f>
        <v>0.6238541667</v>
      </c>
      <c r="E555" s="6">
        <f>IFERROR(__xludf.DUMMYFUNCTION("""COMPUTED_VALUE"""),1.7361111111111112E-4)</f>
        <v>0.0001736111111</v>
      </c>
      <c r="F555" s="6">
        <f>IFERROR(__xludf.DUMMYFUNCTION("""COMPUTED_VALUE"""),0.6240277777777787)</f>
        <v>0.6240277778</v>
      </c>
      <c r="G555" s="4" t="str">
        <f>IFERROR(__xludf.DUMMYFUNCTION("""COMPUTED_VALUE"""),"Graphics")</f>
        <v>Graphics</v>
      </c>
      <c r="H555" s="4" t="str">
        <f>IFERROR(__xludf.DUMMYFUNCTION("""COMPUTED_VALUE"""),"")</f>
        <v/>
      </c>
      <c r="I555" s="4" t="str">
        <f>IFERROR(__xludf.DUMMYFUNCTION("""COMPUTED_VALUE"""),"")</f>
        <v/>
      </c>
      <c r="J555" s="4" t="str">
        <f>IFERROR(__xludf.DUMMYFUNCTION("""COMPUTED_VALUE"""),"Branding")</f>
        <v>Branding</v>
      </c>
      <c r="K555" s="4" t="str">
        <f>IFERROR(__xludf.DUMMYFUNCTION("""COMPUTED_VALUE"""),"Talk Outro")</f>
        <v>Talk Outro</v>
      </c>
      <c r="L555" s="4" t="str">
        <f>IFERROR(__xludf.DUMMYFUNCTION("""COMPUTED_VALUE"""),"")</f>
        <v/>
      </c>
      <c r="M555" s="4" t="str">
        <f>IFERROR(__xludf.DUMMYFUNCTION("""COMPUTED_VALUE"""),"Talk Outro")</f>
        <v>Talk Outro</v>
      </c>
      <c r="N555" s="4" t="str">
        <f>IFERROR(__xludf.DUMMYFUNCTION("""COMPUTED_VALUE"""),"")</f>
        <v/>
      </c>
      <c r="O555" s="4" t="str">
        <f>IFERROR(__xludf.DUMMYFUNCTION("""COMPUTED_VALUE"""),"")</f>
        <v/>
      </c>
      <c r="P555" s="4" t="str">
        <f>IFERROR(__xludf.DUMMYFUNCTION("""COMPUTED_VALUE"""),"")</f>
        <v/>
      </c>
      <c r="Q555" s="4" t="str">
        <f>IFERROR(__xludf.DUMMYFUNCTION("""COMPUTED_VALUE"""),"")</f>
        <v/>
      </c>
      <c r="R555" s="4" t="str">
        <f>IFERROR(__xludf.DUMMYFUNCTION("""COMPUTED_VALUE"""),"")</f>
        <v/>
      </c>
      <c r="S555" s="4" t="str">
        <f>IFERROR(__xludf.DUMMYFUNCTION("""COMPUTED_VALUE"""),"")</f>
        <v/>
      </c>
      <c r="T555" s="4" t="str">
        <f>IFERROR(__xludf.DUMMYFUNCTION("""COMPUTED_VALUE"""),"")</f>
        <v/>
      </c>
      <c r="U555" s="4" t="str">
        <f>IFERROR(__xludf.DUMMYFUNCTION("""COMPUTED_VALUE"""),"")</f>
        <v/>
      </c>
      <c r="V555" s="4" t="str">
        <f>IFERROR(__xludf.DUMMYFUNCTION("""COMPUTED_VALUE"""),"")</f>
        <v/>
      </c>
      <c r="W555" s="4" t="str">
        <f>IFERROR(__xludf.DUMMYFUNCTION("""COMPUTED_VALUE"""),"")</f>
        <v/>
      </c>
      <c r="X555" s="4" t="str">
        <f>IFERROR(__xludf.DUMMYFUNCTION("""COMPUTED_VALUE"""),"")</f>
        <v/>
      </c>
      <c r="Y555" s="4" t="str">
        <f>IFERROR(__xludf.DUMMYFUNCTION("""COMPUTED_VALUE"""),"")</f>
        <v/>
      </c>
    </row>
    <row r="556">
      <c r="A556" s="4" t="str">
        <f>IFERROR(__xludf.DUMMYFUNCTION("""COMPUTED_VALUE"""),"602 - Channel")</f>
        <v>602 - Channel</v>
      </c>
      <c r="B556" s="4" t="str">
        <f>IFERROR(__xludf.DUMMYFUNCTION("""COMPUTED_VALUE"""),"Channel 2")</f>
        <v>Channel 2</v>
      </c>
      <c r="C556" s="4" t="str">
        <f>IFERROR(__xludf.DUMMYFUNCTION("""COMPUTED_VALUE"""),"Day 2 - 24/06")</f>
        <v>Day 2 - 24/06</v>
      </c>
      <c r="D556" s="4" t="str">
        <f>IFERROR(__xludf.DUMMYFUNCTION("""COMPUTED_VALUE"""),"")</f>
        <v/>
      </c>
      <c r="E556" s="4" t="str">
        <f>IFERROR(__xludf.DUMMYFUNCTION("""COMPUTED_VALUE"""),"")</f>
        <v/>
      </c>
      <c r="F556" s="4" t="str">
        <f>IFERROR(__xludf.DUMMYFUNCTION("""COMPUTED_VALUE"""),"")</f>
        <v/>
      </c>
      <c r="G556" s="4" t="str">
        <f>IFERROR(__xludf.DUMMYFUNCTION("""COMPUTED_VALUE"""),"")</f>
        <v/>
      </c>
      <c r="H556" s="4" t="str">
        <f>IFERROR(__xludf.DUMMYFUNCTION("""COMPUTED_VALUE"""),"")</f>
        <v/>
      </c>
      <c r="I556" s="4" t="str">
        <f>IFERROR(__xludf.DUMMYFUNCTION("""COMPUTED_VALUE"""),"")</f>
        <v/>
      </c>
      <c r="J556" s="4" t="str">
        <f>IFERROR(__xludf.DUMMYFUNCTION("""COMPUTED_VALUE"""),"")</f>
        <v/>
      </c>
      <c r="K556" s="4" t="str">
        <f>IFERROR(__xludf.DUMMYFUNCTION("""COMPUTED_VALUE"""),"")</f>
        <v/>
      </c>
      <c r="L556" s="4" t="str">
        <f>IFERROR(__xludf.DUMMYFUNCTION("""COMPUTED_VALUE"""),"")</f>
        <v/>
      </c>
      <c r="M556" s="4" t="str">
        <f>IFERROR(__xludf.DUMMYFUNCTION("""COMPUTED_VALUE"""),"")</f>
        <v/>
      </c>
      <c r="N556" s="4" t="str">
        <f>IFERROR(__xludf.DUMMYFUNCTION("""COMPUTED_VALUE"""),"")</f>
        <v/>
      </c>
      <c r="O556" s="4" t="str">
        <f>IFERROR(__xludf.DUMMYFUNCTION("""COMPUTED_VALUE"""),"")</f>
        <v/>
      </c>
      <c r="P556" s="4" t="str">
        <f>IFERROR(__xludf.DUMMYFUNCTION("""COMPUTED_VALUE"""),"")</f>
        <v/>
      </c>
      <c r="Q556" s="4" t="str">
        <f>IFERROR(__xludf.DUMMYFUNCTION("""COMPUTED_VALUE"""),"")</f>
        <v/>
      </c>
      <c r="R556" s="4" t="str">
        <f>IFERROR(__xludf.DUMMYFUNCTION("""COMPUTED_VALUE"""),"")</f>
        <v/>
      </c>
      <c r="S556" s="4" t="str">
        <f>IFERROR(__xludf.DUMMYFUNCTION("""COMPUTED_VALUE"""),"")</f>
        <v/>
      </c>
      <c r="T556" s="4" t="str">
        <f>IFERROR(__xludf.DUMMYFUNCTION("""COMPUTED_VALUE"""),"")</f>
        <v/>
      </c>
      <c r="U556" s="4" t="str">
        <f>IFERROR(__xludf.DUMMYFUNCTION("""COMPUTED_VALUE"""),"")</f>
        <v/>
      </c>
      <c r="V556" s="4" t="str">
        <f>IFERROR(__xludf.DUMMYFUNCTION("""COMPUTED_VALUE"""),"")</f>
        <v/>
      </c>
      <c r="W556" s="4" t="str">
        <f>IFERROR(__xludf.DUMMYFUNCTION("""COMPUTED_VALUE"""),"")</f>
        <v/>
      </c>
      <c r="X556" s="4" t="str">
        <f>IFERROR(__xludf.DUMMYFUNCTION("""COMPUTED_VALUE"""),"")</f>
        <v/>
      </c>
      <c r="Y556" s="4" t="str">
        <f>IFERROR(__xludf.DUMMYFUNCTION("""COMPUTED_VALUE"""),"")</f>
        <v/>
      </c>
    </row>
    <row r="557">
      <c r="A557" s="4" t="str">
        <f>IFERROR(__xludf.DUMMYFUNCTION("""COMPUTED_VALUE"""),"526 - Channel")</f>
        <v>526 - Channel</v>
      </c>
      <c r="B557" s="4" t="str">
        <f>IFERROR(__xludf.DUMMYFUNCTION("""COMPUTED_VALUE"""),"Channel 2")</f>
        <v>Channel 2</v>
      </c>
      <c r="C557" s="4" t="str">
        <f>IFERROR(__xludf.DUMMYFUNCTION("""COMPUTED_VALUE"""),"Day 2 - 24/06")</f>
        <v>Day 2 - 24/06</v>
      </c>
      <c r="D557" s="6">
        <f>IFERROR(__xludf.DUMMYFUNCTION("""COMPUTED_VALUE"""),0.6240277777777787)</f>
        <v>0.6240277778</v>
      </c>
      <c r="E557" s="6">
        <f>IFERROR(__xludf.DUMMYFUNCTION("""COMPUTED_VALUE"""),3.4722222222222224E-4)</f>
        <v>0.0003472222222</v>
      </c>
      <c r="F557" s="6">
        <f>IFERROR(__xludf.DUMMYFUNCTION("""COMPUTED_VALUE"""),0.624375000000001)</f>
        <v>0.624375</v>
      </c>
      <c r="G557" s="4" t="str">
        <f>IFERROR(__xludf.DUMMYFUNCTION("""COMPUTED_VALUE"""),"Graphics")</f>
        <v>Graphics</v>
      </c>
      <c r="H557" s="4" t="str">
        <f>IFERROR(__xludf.DUMMYFUNCTION("""COMPUTED_VALUE"""),"")</f>
        <v/>
      </c>
      <c r="I557" s="4" t="str">
        <f>IFERROR(__xludf.DUMMYFUNCTION("""COMPUTED_VALUE"""),"")</f>
        <v/>
      </c>
      <c r="J557" s="4" t="str">
        <f>IFERROR(__xludf.DUMMYFUNCTION("""COMPUTED_VALUE"""),"Politics")</f>
        <v>Politics</v>
      </c>
      <c r="K557" s="4" t="str">
        <f>IFERROR(__xludf.DUMMYFUNCTION("""COMPUTED_VALUE"""),"Talk Intro")</f>
        <v>Talk Intro</v>
      </c>
      <c r="L557" s="4" t="str">
        <f>IFERROR(__xludf.DUMMYFUNCTION("""COMPUTED_VALUE"""),"")</f>
        <v/>
      </c>
      <c r="M557" s="4" t="str">
        <f>IFERROR(__xludf.DUMMYFUNCTION("""COMPUTED_VALUE"""),"Talk Intro")</f>
        <v>Talk Intro</v>
      </c>
      <c r="N557" s="4" t="str">
        <f>IFERROR(__xludf.DUMMYFUNCTION("""COMPUTED_VALUE"""),"")</f>
        <v/>
      </c>
      <c r="O557" s="4" t="str">
        <f>IFERROR(__xludf.DUMMYFUNCTION("""COMPUTED_VALUE"""),"")</f>
        <v/>
      </c>
      <c r="P557" s="4" t="str">
        <f>IFERROR(__xludf.DUMMYFUNCTION("""COMPUTED_VALUE"""),"")</f>
        <v/>
      </c>
      <c r="Q557" s="4" t="str">
        <f>IFERROR(__xludf.DUMMYFUNCTION("""COMPUTED_VALUE"""),"")</f>
        <v/>
      </c>
      <c r="R557" s="4" t="str">
        <f>IFERROR(__xludf.DUMMYFUNCTION("""COMPUTED_VALUE"""),"")</f>
        <v/>
      </c>
      <c r="S557" s="4" t="str">
        <f>IFERROR(__xludf.DUMMYFUNCTION("""COMPUTED_VALUE"""),"")</f>
        <v/>
      </c>
      <c r="T557" s="4" t="str">
        <f>IFERROR(__xludf.DUMMYFUNCTION("""COMPUTED_VALUE"""),"")</f>
        <v/>
      </c>
      <c r="U557" s="4" t="str">
        <f>IFERROR(__xludf.DUMMYFUNCTION("""COMPUTED_VALUE"""),"")</f>
        <v/>
      </c>
      <c r="V557" s="4" t="str">
        <f>IFERROR(__xludf.DUMMYFUNCTION("""COMPUTED_VALUE"""),"")</f>
        <v/>
      </c>
      <c r="W557" s="4" t="str">
        <f>IFERROR(__xludf.DUMMYFUNCTION("""COMPUTED_VALUE"""),"")</f>
        <v/>
      </c>
      <c r="X557" s="4" t="str">
        <f>IFERROR(__xludf.DUMMYFUNCTION("""COMPUTED_VALUE"""),"")</f>
        <v/>
      </c>
      <c r="Y557" s="4" t="str">
        <f>IFERROR(__xludf.DUMMYFUNCTION("""COMPUTED_VALUE"""),"")</f>
        <v/>
      </c>
    </row>
    <row r="558">
      <c r="A558" s="4" t="str">
        <f>IFERROR(__xludf.DUMMYFUNCTION("""COMPUTED_VALUE"""),"527 - Channel")</f>
        <v>527 - Channel</v>
      </c>
      <c r="B558" s="4" t="str">
        <f>IFERROR(__xludf.DUMMYFUNCTION("""COMPUTED_VALUE"""),"Channel 2")</f>
        <v>Channel 2</v>
      </c>
      <c r="C558" s="4" t="str">
        <f>IFERROR(__xludf.DUMMYFUNCTION("""COMPUTED_VALUE"""),"Day 2 - 24/06")</f>
        <v>Day 2 - 24/06</v>
      </c>
      <c r="D558" s="6">
        <f>IFERROR(__xludf.DUMMYFUNCTION("""COMPUTED_VALUE"""),0.624375000000001)</f>
        <v>0.624375</v>
      </c>
      <c r="E558" s="6">
        <f>IFERROR(__xludf.DUMMYFUNCTION("""COMPUTED_VALUE"""),0.008333333333333333)</f>
        <v>0.008333333333</v>
      </c>
      <c r="F558" s="6">
        <f>IFERROR(__xludf.DUMMYFUNCTION("""COMPUTED_VALUE"""),0.6327083333333343)</f>
        <v>0.6327083333</v>
      </c>
      <c r="G558" s="4" t="str">
        <f>IFERROR(__xludf.DUMMYFUNCTION("""COMPUTED_VALUE"""),"Gavin")</f>
        <v>Gavin</v>
      </c>
      <c r="H558" s="4" t="str">
        <f>IFERROR(__xludf.DUMMYFUNCTION("""COMPUTED_VALUE"""),"Eoghan")</f>
        <v>Eoghan</v>
      </c>
      <c r="I558" s="4" t="str">
        <f>IFERROR(__xludf.DUMMYFUNCTION("""COMPUTED_VALUE"""),"Lynn")</f>
        <v>Lynn</v>
      </c>
      <c r="J558" s="4" t="str">
        <f>IFERROR(__xludf.DUMMYFUNCTION("""COMPUTED_VALUE"""),"Politics")</f>
        <v>Politics</v>
      </c>
      <c r="K558" s="4" t="str">
        <f>IFERROR(__xludf.DUMMYFUNCTION("""COMPUTED_VALUE"""),"Super Fireside")</f>
        <v>Super Fireside</v>
      </c>
      <c r="L558" s="4" t="str">
        <f>IFERROR(__xludf.DUMMYFUNCTION("""COMPUTED_VALUE"""),"T- 2 - 08/06/2020")</f>
        <v>T- 2 - 08/06/2020</v>
      </c>
      <c r="M558" s="4" t="str">
        <f>IFERROR(__xludf.DUMMYFUNCTION("""COMPUTED_VALUE"""),"Is big tech killing the economy?")</f>
        <v>Is big tech killing the economy?</v>
      </c>
      <c r="N558" s="4" t="str">
        <f>IFERROR(__xludf.DUMMYFUNCTION("""COMPUTED_VALUE"""),"Matt Stoller, American Economic Liberties Project")</f>
        <v>Matt Stoller, American Economic Liberties Project</v>
      </c>
      <c r="O558" s="21" t="str">
        <f>IFERROR(__xludf.DUMMYFUNCTION("""COMPUTED_VALUE"""),"Camille Dundas, byblacks.com")</f>
        <v>Camille Dundas, byblacks.com</v>
      </c>
      <c r="P558" s="4" t="str">
        <f>IFERROR(__xludf.DUMMYFUNCTION("""COMPUTED_VALUE"""),"")</f>
        <v/>
      </c>
      <c r="Q558" s="4" t="str">
        <f>IFERROR(__xludf.DUMMYFUNCTION("""COMPUTED_VALUE"""),"")</f>
        <v/>
      </c>
      <c r="R558" s="4" t="str">
        <f>IFERROR(__xludf.DUMMYFUNCTION("""COMPUTED_VALUE"""),"Ryan Heath, POLITICO")</f>
        <v>Ryan Heath, POLITICO</v>
      </c>
      <c r="S558" s="4" t="str">
        <f>IFERROR(__xludf.DUMMYFUNCTION("""COMPUTED_VALUE"""),"Is the growth of big tech companies killing the American dream? Has the increase in monopoly power of companies such as Amazon, Google and Microsoft made radical inequality the new normal? What can we do to stop this and put money back in the hands of the"&amp;" people? ")</f>
        <v>Is the growth of big tech companies killing the American dream? Has the increase in monopoly power of companies such as Amazon, Google and Microsoft made radical inequality the new normal? What can we do to stop this and put money back in the hands of the people? </v>
      </c>
      <c r="T558" s="4" t="str">
        <f>IFERROR(__xludf.DUMMYFUNCTION("""COMPUTED_VALUE"""),"Recording MISSED/NEEDS TO BE RERECORDED/RESCHEDULED")</f>
        <v>Recording MISSED/NEEDS TO BE RERECORDED/RESCHEDULED</v>
      </c>
      <c r="U558" s="23">
        <f>IFERROR(__xludf.DUMMYFUNCTION("""COMPUTED_VALUE"""),43990.0)</f>
        <v>43990</v>
      </c>
      <c r="V558" s="24">
        <f>IFERROR(__xludf.DUMMYFUNCTION("""COMPUTED_VALUE"""),0.8333333333333334)</f>
        <v>0.8333333333</v>
      </c>
      <c r="W558" s="21" t="str">
        <f>IFERROR(__xludf.DUMMYFUNCTION("""COMPUTED_VALUE"""),"https://zoom.us/j/92745832289?pwd=UlNxdnlObFordjdjQ2ZvdDA4M2cwUT09")</f>
        <v>https://zoom.us/j/92745832289?pwd=UlNxdnlObFordjdjQ2ZvdDA4M2cwUT09</v>
      </c>
      <c r="X558" s="4" t="str">
        <f>IFERROR(__xludf.DUMMYFUNCTION("""COMPUTED_VALUE"""),"Gavin")</f>
        <v>Gavin</v>
      </c>
      <c r="Y558" s="4" t="str">
        <f>IFERROR(__xludf.DUMMYFUNCTION("""COMPUTED_VALUE"""),"")</f>
        <v/>
      </c>
    </row>
    <row r="559">
      <c r="A559" s="4" t="str">
        <f>IFERROR(__xludf.DUMMYFUNCTION("""COMPUTED_VALUE"""),"528 - Channel")</f>
        <v>528 - Channel</v>
      </c>
      <c r="B559" s="4" t="str">
        <f>IFERROR(__xludf.DUMMYFUNCTION("""COMPUTED_VALUE"""),"Channel 2")</f>
        <v>Channel 2</v>
      </c>
      <c r="C559" s="4" t="str">
        <f>IFERROR(__xludf.DUMMYFUNCTION("""COMPUTED_VALUE"""),"Day 2 - 24/06")</f>
        <v>Day 2 - 24/06</v>
      </c>
      <c r="D559" s="6">
        <f>IFERROR(__xludf.DUMMYFUNCTION("""COMPUTED_VALUE"""),0.6327083333333343)</f>
        <v>0.6327083333</v>
      </c>
      <c r="E559" s="6">
        <f>IFERROR(__xludf.DUMMYFUNCTION("""COMPUTED_VALUE"""),1.7361111111111112E-4)</f>
        <v>0.0001736111111</v>
      </c>
      <c r="F559" s="6">
        <f>IFERROR(__xludf.DUMMYFUNCTION("""COMPUTED_VALUE"""),0.6328819444444455)</f>
        <v>0.6328819444</v>
      </c>
      <c r="G559" s="4" t="str">
        <f>IFERROR(__xludf.DUMMYFUNCTION("""COMPUTED_VALUE"""),"Graphics")</f>
        <v>Graphics</v>
      </c>
      <c r="H559" s="4" t="str">
        <f>IFERROR(__xludf.DUMMYFUNCTION("""COMPUTED_VALUE"""),"")</f>
        <v/>
      </c>
      <c r="I559" s="4" t="str">
        <f>IFERROR(__xludf.DUMMYFUNCTION("""COMPUTED_VALUE"""),"")</f>
        <v/>
      </c>
      <c r="J559" s="4" t="str">
        <f>IFERROR(__xludf.DUMMYFUNCTION("""COMPUTED_VALUE"""),"Politics")</f>
        <v>Politics</v>
      </c>
      <c r="K559" s="4" t="str">
        <f>IFERROR(__xludf.DUMMYFUNCTION("""COMPUTED_VALUE"""),"Talk Outro")</f>
        <v>Talk Outro</v>
      </c>
      <c r="L559" s="4" t="str">
        <f>IFERROR(__xludf.DUMMYFUNCTION("""COMPUTED_VALUE"""),"")</f>
        <v/>
      </c>
      <c r="M559" s="4" t="str">
        <f>IFERROR(__xludf.DUMMYFUNCTION("""COMPUTED_VALUE"""),"Talk Outro")</f>
        <v>Talk Outro</v>
      </c>
      <c r="N559" s="4" t="str">
        <f>IFERROR(__xludf.DUMMYFUNCTION("""COMPUTED_VALUE"""),"")</f>
        <v/>
      </c>
      <c r="O559" s="4" t="str">
        <f>IFERROR(__xludf.DUMMYFUNCTION("""COMPUTED_VALUE"""),"")</f>
        <v/>
      </c>
      <c r="P559" s="4" t="str">
        <f>IFERROR(__xludf.DUMMYFUNCTION("""COMPUTED_VALUE"""),"")</f>
        <v/>
      </c>
      <c r="Q559" s="4" t="str">
        <f>IFERROR(__xludf.DUMMYFUNCTION("""COMPUTED_VALUE"""),"")</f>
        <v/>
      </c>
      <c r="R559" s="4" t="str">
        <f>IFERROR(__xludf.DUMMYFUNCTION("""COMPUTED_VALUE"""),"")</f>
        <v/>
      </c>
      <c r="S559" s="4" t="str">
        <f>IFERROR(__xludf.DUMMYFUNCTION("""COMPUTED_VALUE"""),"")</f>
        <v/>
      </c>
      <c r="T559" s="4" t="str">
        <f>IFERROR(__xludf.DUMMYFUNCTION("""COMPUTED_VALUE"""),"")</f>
        <v/>
      </c>
      <c r="U559" s="4" t="str">
        <f>IFERROR(__xludf.DUMMYFUNCTION("""COMPUTED_VALUE"""),"")</f>
        <v/>
      </c>
      <c r="V559" s="4" t="str">
        <f>IFERROR(__xludf.DUMMYFUNCTION("""COMPUTED_VALUE"""),"")</f>
        <v/>
      </c>
      <c r="W559" s="4" t="str">
        <f>IFERROR(__xludf.DUMMYFUNCTION("""COMPUTED_VALUE"""),"")</f>
        <v/>
      </c>
      <c r="X559" s="4" t="str">
        <f>IFERROR(__xludf.DUMMYFUNCTION("""COMPUTED_VALUE"""),"")</f>
        <v/>
      </c>
      <c r="Y559" s="4" t="str">
        <f>IFERROR(__xludf.DUMMYFUNCTION("""COMPUTED_VALUE"""),"")</f>
        <v/>
      </c>
    </row>
    <row r="560">
      <c r="A560" s="4" t="str">
        <f>IFERROR(__xludf.DUMMYFUNCTION("""COMPUTED_VALUE"""),"1456 - Channel")</f>
        <v>1456 - Channel</v>
      </c>
      <c r="B560" s="4" t="str">
        <f>IFERROR(__xludf.DUMMYFUNCTION("""COMPUTED_VALUE"""),"Channel 2")</f>
        <v>Channel 2</v>
      </c>
      <c r="C560" s="4" t="str">
        <f>IFERROR(__xludf.DUMMYFUNCTION("""COMPUTED_VALUE"""),"Day 2 - 24/06")</f>
        <v>Day 2 - 24/06</v>
      </c>
      <c r="D560" s="6">
        <f>IFERROR(__xludf.DUMMYFUNCTION("""COMPUTED_VALUE"""),0.6328819444444455)</f>
        <v>0.6328819444</v>
      </c>
      <c r="E560" s="6">
        <f>IFERROR(__xludf.DUMMYFUNCTION("""COMPUTED_VALUE"""),3.4722222222222224E-4)</f>
        <v>0.0003472222222</v>
      </c>
      <c r="F560" s="6">
        <f>IFERROR(__xludf.DUMMYFUNCTION("""COMPUTED_VALUE"""),0.6332291666666677)</f>
        <v>0.6332291667</v>
      </c>
      <c r="G560" s="4" t="str">
        <f>IFERROR(__xludf.DUMMYFUNCTION("""COMPUTED_VALUE"""),"")</f>
        <v/>
      </c>
      <c r="H560" s="4" t="str">
        <f>IFERROR(__xludf.DUMMYFUNCTION("""COMPUTED_VALUE"""),"")</f>
        <v/>
      </c>
      <c r="I560" s="4" t="str">
        <f>IFERROR(__xludf.DUMMYFUNCTION("""COMPUTED_VALUE"""),"")</f>
        <v/>
      </c>
      <c r="J560" s="4" t="str">
        <f>IFERROR(__xludf.DUMMYFUNCTION("""COMPUTED_VALUE"""),"Fundraising")</f>
        <v>Fundraising</v>
      </c>
      <c r="K560" s="4" t="str">
        <f>IFERROR(__xludf.DUMMYFUNCTION("""COMPUTED_VALUE"""),"Talk Intro")</f>
        <v>Talk Intro</v>
      </c>
      <c r="L560" s="4" t="str">
        <f>IFERROR(__xludf.DUMMYFUNCTION("""COMPUTED_VALUE"""),"")</f>
        <v/>
      </c>
      <c r="M560" s="4" t="str">
        <f>IFERROR(__xludf.DUMMYFUNCTION("""COMPUTED_VALUE"""),"Talk Intro")</f>
        <v>Talk Intro</v>
      </c>
      <c r="N560" s="4" t="str">
        <f>IFERROR(__xludf.DUMMYFUNCTION("""COMPUTED_VALUE"""),"")</f>
        <v/>
      </c>
      <c r="O560" s="4" t="str">
        <f>IFERROR(__xludf.DUMMYFUNCTION("""COMPUTED_VALUE"""),"")</f>
        <v/>
      </c>
      <c r="P560" s="4" t="str">
        <f>IFERROR(__xludf.DUMMYFUNCTION("""COMPUTED_VALUE"""),"")</f>
        <v/>
      </c>
      <c r="Q560" s="4" t="str">
        <f>IFERROR(__xludf.DUMMYFUNCTION("""COMPUTED_VALUE"""),"")</f>
        <v/>
      </c>
      <c r="R560" s="4" t="str">
        <f>IFERROR(__xludf.DUMMYFUNCTION("""COMPUTED_VALUE"""),"")</f>
        <v/>
      </c>
      <c r="S560" s="4" t="str">
        <f>IFERROR(__xludf.DUMMYFUNCTION("""COMPUTED_VALUE"""),"")</f>
        <v/>
      </c>
      <c r="T560" s="4" t="str">
        <f>IFERROR(__xludf.DUMMYFUNCTION("""COMPUTED_VALUE"""),"")</f>
        <v/>
      </c>
      <c r="U560" s="4" t="str">
        <f>IFERROR(__xludf.DUMMYFUNCTION("""COMPUTED_VALUE"""),"")</f>
        <v/>
      </c>
      <c r="V560" s="4" t="str">
        <f>IFERROR(__xludf.DUMMYFUNCTION("""COMPUTED_VALUE"""),"")</f>
        <v/>
      </c>
      <c r="W560" s="4" t="str">
        <f>IFERROR(__xludf.DUMMYFUNCTION("""COMPUTED_VALUE"""),"")</f>
        <v/>
      </c>
      <c r="X560" s="4" t="str">
        <f>IFERROR(__xludf.DUMMYFUNCTION("""COMPUTED_VALUE"""),"")</f>
        <v/>
      </c>
      <c r="Y560" s="4" t="str">
        <f>IFERROR(__xludf.DUMMYFUNCTION("""COMPUTED_VALUE"""),"")</f>
        <v/>
      </c>
    </row>
    <row r="561">
      <c r="A561" s="4" t="str">
        <f>IFERROR(__xludf.DUMMYFUNCTION("""COMPUTED_VALUE"""),"1457 - Channel")</f>
        <v>1457 - Channel</v>
      </c>
      <c r="B561" s="4" t="str">
        <f>IFERROR(__xludf.DUMMYFUNCTION("""COMPUTED_VALUE"""),"Channel 2")</f>
        <v>Channel 2</v>
      </c>
      <c r="C561" s="4" t="str">
        <f>IFERROR(__xludf.DUMMYFUNCTION("""COMPUTED_VALUE"""),"Day 2 - 24/06")</f>
        <v>Day 2 - 24/06</v>
      </c>
      <c r="D561" s="6">
        <f>IFERROR(__xludf.DUMMYFUNCTION("""COMPUTED_VALUE"""),0.6332291666666677)</f>
        <v>0.6332291667</v>
      </c>
      <c r="E561" s="6">
        <f>IFERROR(__xludf.DUMMYFUNCTION("""COMPUTED_VALUE"""),0.009027777777777777)</f>
        <v>0.009027777778</v>
      </c>
      <c r="F561" s="6">
        <f>IFERROR(__xludf.DUMMYFUNCTION("""COMPUTED_VALUE"""),0.6422569444444455)</f>
        <v>0.6422569444</v>
      </c>
      <c r="G561" s="4" t="str">
        <f>IFERROR(__xludf.DUMMYFUNCTION("""COMPUTED_VALUE"""),"Stephanie")</f>
        <v>Stephanie</v>
      </c>
      <c r="H561" s="4" t="str">
        <f>IFERROR(__xludf.DUMMYFUNCTION("""COMPUTED_VALUE"""),"Haziq")</f>
        <v>Haziq</v>
      </c>
      <c r="I561" s="4" t="str">
        <f>IFERROR(__xludf.DUMMYFUNCTION("""COMPUTED_VALUE"""),"Geoff")</f>
        <v>Geoff</v>
      </c>
      <c r="J561" s="4" t="str">
        <f>IFERROR(__xludf.DUMMYFUNCTION("""COMPUTED_VALUE"""),"Fundraising")</f>
        <v>Fundraising</v>
      </c>
      <c r="K561" s="4" t="str">
        <f>IFERROR(__xludf.DUMMYFUNCTION("""COMPUTED_VALUE"""),"Fireside")</f>
        <v>Fireside</v>
      </c>
      <c r="L561" s="4" t="str">
        <f>IFERROR(__xludf.DUMMYFUNCTION("""COMPUTED_VALUE"""),"T- 3 - 01/06/2020")</f>
        <v>T- 3 - 01/06/2020</v>
      </c>
      <c r="M561" s="4" t="str">
        <f>IFERROR(__xludf.DUMMYFUNCTION("""COMPUTED_VALUE"""),"Seeing opportunity in crisis")</f>
        <v>Seeing opportunity in crisis</v>
      </c>
      <c r="N561" s="4" t="str">
        <f>IFERROR(__xludf.DUMMYFUNCTION("""COMPUTED_VALUE"""),"Mike Volpi, Index Ventures")</f>
        <v>Mike Volpi, Index Ventures</v>
      </c>
      <c r="O561" s="4" t="str">
        <f>IFERROR(__xludf.DUMMYFUNCTION("""COMPUTED_VALUE"""),"")</f>
        <v/>
      </c>
      <c r="P561" s="4" t="str">
        <f>IFERROR(__xludf.DUMMYFUNCTION("""COMPUTED_VALUE"""),"")</f>
        <v/>
      </c>
      <c r="Q561" s="4" t="str">
        <f>IFERROR(__xludf.DUMMYFUNCTION("""COMPUTED_VALUE"""),"")</f>
        <v/>
      </c>
      <c r="R561" s="4" t="str">
        <f>IFERROR(__xludf.DUMMYFUNCTION("""COMPUTED_VALUE"""),"Zachary Karabell, Wired")</f>
        <v>Zachary Karabell, Wired</v>
      </c>
      <c r="S561" s="4" t="str">
        <f>IFERROR(__xludf.DUMMYFUNCTION("""COMPUTED_VALUE"""),"Some of the best startups emerge in economic downturns. While it may seem like an uncertain time to invest, keeping the money flowing is more important than ever. We talk to veteran VC Mike Volpi about seeing opportunity in a time of crisis.")</f>
        <v>Some of the best startups emerge in economic downturns. While it may seem like an uncertain time to invest, keeping the money flowing is more important than ever. We talk to veteran VC Mike Volpi about seeing opportunity in a time of crisis.</v>
      </c>
      <c r="T561" s="4" t="str">
        <f>IFERROR(__xludf.DUMMYFUNCTION("""COMPUTED_VALUE"""),"NON-KEYNOTE 9 - COMPLETE")</f>
        <v>NON-KEYNOTE 9 - COMPLETE</v>
      </c>
      <c r="U561" s="23">
        <f>IFERROR(__xludf.DUMMYFUNCTION("""COMPUTED_VALUE"""),43985.0)</f>
        <v>43985</v>
      </c>
      <c r="V561" s="44">
        <f>IFERROR(__xludf.DUMMYFUNCTION("""COMPUTED_VALUE"""),0.75)</f>
        <v>0.75</v>
      </c>
      <c r="W561" s="4" t="str">
        <f>IFERROR(__xludf.DUMMYFUNCTION("""COMPUTED_VALUE"""),"COMPLETE")</f>
        <v>COMPLETE</v>
      </c>
      <c r="X561" s="4" t="str">
        <f>IFERROR(__xludf.DUMMYFUNCTION("""COMPUTED_VALUE"""),"Stephanie")</f>
        <v>Stephanie</v>
      </c>
      <c r="Y561" s="4" t="str">
        <f>IFERROR(__xludf.DUMMYFUNCTION("""COMPUTED_VALUE"""),"")</f>
        <v/>
      </c>
    </row>
    <row r="562">
      <c r="A562" s="4" t="str">
        <f>IFERROR(__xludf.DUMMYFUNCTION("""COMPUTED_VALUE"""),"659 - Channel")</f>
        <v>659 - Channel</v>
      </c>
      <c r="B562" s="4" t="str">
        <f>IFERROR(__xludf.DUMMYFUNCTION("""COMPUTED_VALUE"""),"Channel 2")</f>
        <v>Channel 2</v>
      </c>
      <c r="C562" s="4" t="str">
        <f>IFERROR(__xludf.DUMMYFUNCTION("""COMPUTED_VALUE"""),"Day 2 - 24/06")</f>
        <v>Day 2 - 24/06</v>
      </c>
      <c r="D562" s="6">
        <f>IFERROR(__xludf.DUMMYFUNCTION("""COMPUTED_VALUE"""),0.6422569444444455)</f>
        <v>0.6422569444</v>
      </c>
      <c r="E562" s="6">
        <f>IFERROR(__xludf.DUMMYFUNCTION("""COMPUTED_VALUE"""),3.4722222222222224E-4)</f>
        <v>0.0003472222222</v>
      </c>
      <c r="F562" s="6">
        <f>IFERROR(__xludf.DUMMYFUNCTION("""COMPUTED_VALUE"""),0.6426041666666678)</f>
        <v>0.6426041667</v>
      </c>
      <c r="G562" s="4" t="str">
        <f>IFERROR(__xludf.DUMMYFUNCTION("""COMPUTED_VALUE"""),"Graphics")</f>
        <v>Graphics</v>
      </c>
      <c r="H562" s="4" t="str">
        <f>IFERROR(__xludf.DUMMYFUNCTION("""COMPUTED_VALUE"""),"")</f>
        <v/>
      </c>
      <c r="I562" s="4" t="str">
        <f>IFERROR(__xludf.DUMMYFUNCTION("""COMPUTED_VALUE"""),"")</f>
        <v/>
      </c>
      <c r="J562" s="4" t="str">
        <f>IFERROR(__xludf.DUMMYFUNCTION("""COMPUTED_VALUE"""),"Fundraising")</f>
        <v>Fundraising</v>
      </c>
      <c r="K562" s="4" t="str">
        <f>IFERROR(__xludf.DUMMYFUNCTION("""COMPUTED_VALUE"""),"Talk Intro")</f>
        <v>Talk Intro</v>
      </c>
      <c r="L562" s="4" t="str">
        <f>IFERROR(__xludf.DUMMYFUNCTION("""COMPUTED_VALUE"""),"")</f>
        <v/>
      </c>
      <c r="M562" s="4" t="str">
        <f>IFERROR(__xludf.DUMMYFUNCTION("""COMPUTED_VALUE"""),"Talk Intro")</f>
        <v>Talk Intro</v>
      </c>
      <c r="N562" s="4" t="str">
        <f>IFERROR(__xludf.DUMMYFUNCTION("""COMPUTED_VALUE"""),"")</f>
        <v/>
      </c>
      <c r="O562" s="4" t="str">
        <f>IFERROR(__xludf.DUMMYFUNCTION("""COMPUTED_VALUE"""),"")</f>
        <v/>
      </c>
      <c r="P562" s="4" t="str">
        <f>IFERROR(__xludf.DUMMYFUNCTION("""COMPUTED_VALUE"""),"")</f>
        <v/>
      </c>
      <c r="Q562" s="4" t="str">
        <f>IFERROR(__xludf.DUMMYFUNCTION("""COMPUTED_VALUE"""),"")</f>
        <v/>
      </c>
      <c r="R562" s="4" t="str">
        <f>IFERROR(__xludf.DUMMYFUNCTION("""COMPUTED_VALUE"""),"")</f>
        <v/>
      </c>
      <c r="S562" s="4" t="str">
        <f>IFERROR(__xludf.DUMMYFUNCTION("""COMPUTED_VALUE"""),"")</f>
        <v/>
      </c>
      <c r="T562" s="4" t="str">
        <f>IFERROR(__xludf.DUMMYFUNCTION("""COMPUTED_VALUE"""),"")</f>
        <v/>
      </c>
      <c r="U562" s="4" t="str">
        <f>IFERROR(__xludf.DUMMYFUNCTION("""COMPUTED_VALUE"""),"")</f>
        <v/>
      </c>
      <c r="V562" s="4" t="str">
        <f>IFERROR(__xludf.DUMMYFUNCTION("""COMPUTED_VALUE"""),"")</f>
        <v/>
      </c>
      <c r="W562" s="4" t="str">
        <f>IFERROR(__xludf.DUMMYFUNCTION("""COMPUTED_VALUE"""),"")</f>
        <v/>
      </c>
      <c r="X562" s="4" t="str">
        <f>IFERROR(__xludf.DUMMYFUNCTION("""COMPUTED_VALUE"""),"")</f>
        <v/>
      </c>
      <c r="Y562" s="4" t="str">
        <f>IFERROR(__xludf.DUMMYFUNCTION("""COMPUTED_VALUE"""),"")</f>
        <v/>
      </c>
    </row>
    <row r="563">
      <c r="A563" s="4" t="str">
        <f>IFERROR(__xludf.DUMMYFUNCTION("""COMPUTED_VALUE"""),"660 - Channel")</f>
        <v>660 - Channel</v>
      </c>
      <c r="B563" s="4" t="str">
        <f>IFERROR(__xludf.DUMMYFUNCTION("""COMPUTED_VALUE"""),"Channel 2")</f>
        <v>Channel 2</v>
      </c>
      <c r="C563" s="4" t="str">
        <f>IFERROR(__xludf.DUMMYFUNCTION("""COMPUTED_VALUE"""),"Day 2 - 24/06")</f>
        <v>Day 2 - 24/06</v>
      </c>
      <c r="D563" s="6">
        <f>IFERROR(__xludf.DUMMYFUNCTION("""COMPUTED_VALUE"""),0.6426041666666678)</f>
        <v>0.6426041667</v>
      </c>
      <c r="E563" s="6">
        <f>IFERROR(__xludf.DUMMYFUNCTION("""COMPUTED_VALUE"""),0.013888888888888888)</f>
        <v>0.01388888889</v>
      </c>
      <c r="F563" s="6">
        <f>IFERROR(__xludf.DUMMYFUNCTION("""COMPUTED_VALUE"""),0.6564930555555566)</f>
        <v>0.6564930556</v>
      </c>
      <c r="G563" s="4" t="str">
        <f>IFERROR(__xludf.DUMMYFUNCTION("""COMPUTED_VALUE"""),"Hugh")</f>
        <v>Hugh</v>
      </c>
      <c r="H563" s="4" t="str">
        <f>IFERROR(__xludf.DUMMYFUNCTION("""COMPUTED_VALUE"""),"Haziq")</f>
        <v>Haziq</v>
      </c>
      <c r="I563" s="4" t="str">
        <f>IFERROR(__xludf.DUMMYFUNCTION("""COMPUTED_VALUE"""),"Eabha")</f>
        <v>Eabha</v>
      </c>
      <c r="J563" s="4" t="str">
        <f>IFERROR(__xludf.DUMMYFUNCTION("""COMPUTED_VALUE"""),"Fundraising")</f>
        <v>Fundraising</v>
      </c>
      <c r="K563" s="4" t="str">
        <f>IFERROR(__xludf.DUMMYFUNCTION("""COMPUTED_VALUE"""),"Fireside")</f>
        <v>Fireside</v>
      </c>
      <c r="L563" s="4" t="str">
        <f>IFERROR(__xludf.DUMMYFUNCTION("""COMPUTED_VALUE"""),"T- 3 - 01/06/2020")</f>
        <v>T- 3 - 01/06/2020</v>
      </c>
      <c r="M563" s="4" t="str">
        <f>IFERROR(__xludf.DUMMYFUNCTION("""COMPUTED_VALUE"""),"The power of AI and voice post-pandemic")</f>
        <v>The power of AI and voice post-pandemic</v>
      </c>
      <c r="N563" s="4" t="str">
        <f>IFERROR(__xludf.DUMMYFUNCTION("""COMPUTED_VALUE"""),"Tom Taylor, Amazon")</f>
        <v>Tom Taylor, Amazon</v>
      </c>
      <c r="O563" s="4" t="str">
        <f>IFERROR(__xludf.DUMMYFUNCTION("""COMPUTED_VALUE"""),"")</f>
        <v/>
      </c>
      <c r="P563" s="4" t="str">
        <f>IFERROR(__xludf.DUMMYFUNCTION("""COMPUTED_VALUE"""),"")</f>
        <v/>
      </c>
      <c r="Q563" s="4" t="str">
        <f>IFERROR(__xludf.DUMMYFUNCTION("""COMPUTED_VALUE"""),"")</f>
        <v/>
      </c>
      <c r="R563" s="4" t="str">
        <f>IFERROR(__xludf.DUMMYFUNCTION("""COMPUTED_VALUE"""),"Harry McCracken, Fast Company")</f>
        <v>Harry McCracken, Fast Company</v>
      </c>
      <c r="S563" s="4" t="str">
        <f>IFERROR(__xludf.DUMMYFUNCTION("""COMPUTED_VALUE"""),"People around the globe are adjusting to a new normal, and engaging differently with the world around them. In this fireside chat with Tom Taylor, senior vice president of Amazon Alexa, we’ll explore how consumer interactions with voice services, smart de"&amp;"vices, and content have evolved as a result of the pandemic. We’ll also look at what the long-term impact could be, and how AI and voice computing will become even more transformational in everyday life.")</f>
        <v>People around the globe are adjusting to a new normal, and engaging differently with the world around them. In this fireside chat with Tom Taylor, senior vice president of Amazon Alexa, we’ll explore how consumer interactions with voice services, smart devices, and content have evolved as a result of the pandemic. We’ll also look at what the long-term impact could be, and how AI and voice computing will become even more transformational in everyday life.</v>
      </c>
      <c r="T563" s="4" t="str">
        <f>IFERROR(__xludf.DUMMYFUNCTION("""COMPUTED_VALUE"""),"NON-KEYNOTE 9 - COMPLETE")</f>
        <v>NON-KEYNOTE 9 - COMPLETE</v>
      </c>
      <c r="U563" s="23">
        <f>IFERROR(__xludf.DUMMYFUNCTION("""COMPUTED_VALUE"""),43987.0)</f>
        <v>43987</v>
      </c>
      <c r="V563" s="24">
        <f>IFERROR(__xludf.DUMMYFUNCTION("""COMPUTED_VALUE"""),0.7916666666666666)</f>
        <v>0.7916666667</v>
      </c>
      <c r="W563" s="4" t="str">
        <f>IFERROR(__xludf.DUMMYFUNCTION("""COMPUTED_VALUE"""),"COMPLETE")</f>
        <v>COMPLETE</v>
      </c>
      <c r="X563" s="4" t="str">
        <f>IFERROR(__xludf.DUMMYFUNCTION("""COMPUTED_VALUE"""),"Hugh")</f>
        <v>Hugh</v>
      </c>
      <c r="Y563" s="4" t="str">
        <f>IFERROR(__xludf.DUMMYFUNCTION("""COMPUTED_VALUE"""),"")</f>
        <v/>
      </c>
    </row>
    <row r="564">
      <c r="A564" s="4" t="str">
        <f>IFERROR(__xludf.DUMMYFUNCTION("""COMPUTED_VALUE"""),"686 - Channel")</f>
        <v>686 - Channel</v>
      </c>
      <c r="B564" s="4" t="str">
        <f>IFERROR(__xludf.DUMMYFUNCTION("""COMPUTED_VALUE"""),"Channel 2")</f>
        <v>Channel 2</v>
      </c>
      <c r="C564" s="4" t="str">
        <f>IFERROR(__xludf.DUMMYFUNCTION("""COMPUTED_VALUE"""),"Day 2 - 24/06")</f>
        <v>Day 2 - 24/06</v>
      </c>
      <c r="D564" s="6">
        <f>IFERROR(__xludf.DUMMYFUNCTION("""COMPUTED_VALUE"""),0.6564930555555566)</f>
        <v>0.6564930556</v>
      </c>
      <c r="E564" s="6">
        <f>IFERROR(__xludf.DUMMYFUNCTION("""COMPUTED_VALUE"""),3.4722222222222224E-4)</f>
        <v>0.0003472222222</v>
      </c>
      <c r="F564" s="6">
        <f>IFERROR(__xludf.DUMMYFUNCTION("""COMPUTED_VALUE"""),0.6568402777777789)</f>
        <v>0.6568402778</v>
      </c>
      <c r="G564" s="4" t="str">
        <f>IFERROR(__xludf.DUMMYFUNCTION("""COMPUTED_VALUE"""),"Graphics")</f>
        <v>Graphics</v>
      </c>
      <c r="H564" s="4" t="str">
        <f>IFERROR(__xludf.DUMMYFUNCTION("""COMPUTED_VALUE"""),"")</f>
        <v/>
      </c>
      <c r="I564" s="4" t="str">
        <f>IFERROR(__xludf.DUMMYFUNCTION("""COMPUTED_VALUE"""),"")</f>
        <v/>
      </c>
      <c r="J564" s="4" t="str">
        <f>IFERROR(__xludf.DUMMYFUNCTION("""COMPUTED_VALUE"""),"Leadership")</f>
        <v>Leadership</v>
      </c>
      <c r="K564" s="4" t="str">
        <f>IFERROR(__xludf.DUMMYFUNCTION("""COMPUTED_VALUE"""),"Talk Intro")</f>
        <v>Talk Intro</v>
      </c>
      <c r="L564" s="4" t="str">
        <f>IFERROR(__xludf.DUMMYFUNCTION("""COMPUTED_VALUE"""),"")</f>
        <v/>
      </c>
      <c r="M564" s="4" t="str">
        <f>IFERROR(__xludf.DUMMYFUNCTION("""COMPUTED_VALUE"""),"Talk Intro")</f>
        <v>Talk Intro</v>
      </c>
      <c r="N564" s="4" t="str">
        <f>IFERROR(__xludf.DUMMYFUNCTION("""COMPUTED_VALUE"""),"")</f>
        <v/>
      </c>
      <c r="O564" s="4" t="str">
        <f>IFERROR(__xludf.DUMMYFUNCTION("""COMPUTED_VALUE"""),"")</f>
        <v/>
      </c>
      <c r="P564" s="4" t="str">
        <f>IFERROR(__xludf.DUMMYFUNCTION("""COMPUTED_VALUE"""),"")</f>
        <v/>
      </c>
      <c r="Q564" s="4" t="str">
        <f>IFERROR(__xludf.DUMMYFUNCTION("""COMPUTED_VALUE"""),"")</f>
        <v/>
      </c>
      <c r="R564" s="4" t="str">
        <f>IFERROR(__xludf.DUMMYFUNCTION("""COMPUTED_VALUE"""),"")</f>
        <v/>
      </c>
      <c r="S564" s="4" t="str">
        <f>IFERROR(__xludf.DUMMYFUNCTION("""COMPUTED_VALUE"""),"")</f>
        <v/>
      </c>
      <c r="T564" s="4" t="str">
        <f>IFERROR(__xludf.DUMMYFUNCTION("""COMPUTED_VALUE"""),"")</f>
        <v/>
      </c>
      <c r="U564" s="4" t="str">
        <f>IFERROR(__xludf.DUMMYFUNCTION("""COMPUTED_VALUE"""),"")</f>
        <v/>
      </c>
      <c r="V564" s="4" t="str">
        <f>IFERROR(__xludf.DUMMYFUNCTION("""COMPUTED_VALUE"""),"")</f>
        <v/>
      </c>
      <c r="W564" s="4" t="str">
        <f>IFERROR(__xludf.DUMMYFUNCTION("""COMPUTED_VALUE"""),"")</f>
        <v/>
      </c>
      <c r="X564" s="4" t="str">
        <f>IFERROR(__xludf.DUMMYFUNCTION("""COMPUTED_VALUE"""),"")</f>
        <v/>
      </c>
      <c r="Y564" s="4" t="str">
        <f>IFERROR(__xludf.DUMMYFUNCTION("""COMPUTED_VALUE"""),"")</f>
        <v/>
      </c>
    </row>
    <row r="565">
      <c r="A565" s="4" t="str">
        <f>IFERROR(__xludf.DUMMYFUNCTION("""COMPUTED_VALUE"""),"687 - Channel")</f>
        <v>687 - Channel</v>
      </c>
      <c r="B565" s="4" t="str">
        <f>IFERROR(__xludf.DUMMYFUNCTION("""COMPUTED_VALUE"""),"Channel 2")</f>
        <v>Channel 2</v>
      </c>
      <c r="C565" s="4" t="str">
        <f>IFERROR(__xludf.DUMMYFUNCTION("""COMPUTED_VALUE"""),"Day 2 - 24/06")</f>
        <v>Day 2 - 24/06</v>
      </c>
      <c r="D565" s="6">
        <f>IFERROR(__xludf.DUMMYFUNCTION("""COMPUTED_VALUE"""),0.6568402777777789)</f>
        <v>0.6568402778</v>
      </c>
      <c r="E565" s="6">
        <f>IFERROR(__xludf.DUMMYFUNCTION("""COMPUTED_VALUE"""),0.010416666666666666)</f>
        <v>0.01041666667</v>
      </c>
      <c r="F565" s="6">
        <f>IFERROR(__xludf.DUMMYFUNCTION("""COMPUTED_VALUE"""),0.6672569444444455)</f>
        <v>0.6672569444</v>
      </c>
      <c r="G565" s="4" t="str">
        <f>IFERROR(__xludf.DUMMYFUNCTION("""COMPUTED_VALUE"""),"Luan")</f>
        <v>Luan</v>
      </c>
      <c r="H565" s="4" t="str">
        <f>IFERROR(__xludf.DUMMYFUNCTION("""COMPUTED_VALUE"""),"Stephen")</f>
        <v>Stephen</v>
      </c>
      <c r="I565" s="4" t="str">
        <f>IFERROR(__xludf.DUMMYFUNCTION("""COMPUTED_VALUE"""),"Manon")</f>
        <v>Manon</v>
      </c>
      <c r="J565" s="4" t="str">
        <f>IFERROR(__xludf.DUMMYFUNCTION("""COMPUTED_VALUE"""),"Leadership")</f>
        <v>Leadership</v>
      </c>
      <c r="K565" s="4" t="str">
        <f>IFERROR(__xludf.DUMMYFUNCTION("""COMPUTED_VALUE"""),"Super Fireside")</f>
        <v>Super Fireside</v>
      </c>
      <c r="L565" s="4" t="str">
        <f>IFERROR(__xludf.DUMMYFUNCTION("""COMPUTED_VALUE"""),"T- 3 - 01/06/2020")</f>
        <v>T- 3 - 01/06/2020</v>
      </c>
      <c r="M565" s="4" t="str">
        <f>IFERROR(__xludf.DUMMYFUNCTION("""COMPUTED_VALUE"""),"The void of ethical leadership")</f>
        <v>The void of ethical leadership</v>
      </c>
      <c r="N565" s="4" t="str">
        <f>IFERROR(__xludf.DUMMYFUNCTION("""COMPUTED_VALUE"""),"Harris Diamond, McCann Worldgroup")</f>
        <v>Harris Diamond, McCann Worldgroup</v>
      </c>
      <c r="O565" s="4" t="str">
        <f>IFERROR(__xludf.DUMMYFUNCTION("""COMPUTED_VALUE"""),"Diego Scotti, Verizon")</f>
        <v>Diego Scotti, Verizon</v>
      </c>
      <c r="P565" s="4" t="str">
        <f>IFERROR(__xludf.DUMMYFUNCTION("""COMPUTED_VALUE"""),"")</f>
        <v/>
      </c>
      <c r="Q565" s="4" t="str">
        <f>IFERROR(__xludf.DUMMYFUNCTION("""COMPUTED_VALUE"""),"")</f>
        <v/>
      </c>
      <c r="R565" s="4" t="str">
        <f>IFERROR(__xludf.DUMMYFUNCTION("""COMPUTED_VALUE"""),"Nicole Carroll, USA Today")</f>
        <v>Nicole Carroll, USA Today</v>
      </c>
      <c r="S565" s="4" t="str">
        <f>IFERROR(__xludf.DUMMYFUNCTION("""COMPUTED_VALUE"""),"McCann Worldgroup Chairman and CEO Harris Diamond and Verizon CMO Diego Scotti discuss how the Covid-19 crisis has shone a light on the many ways brands can be ethical leaders well beyond the pandemic. A specific emphasis will be placed on the many innova"&amp;"tive and impactful efforts Verizon has made in this regard.")</f>
        <v>McCann Worldgroup Chairman and CEO Harris Diamond and Verizon CMO Diego Scotti discuss how the Covid-19 crisis has shone a light on the many ways brands can be ethical leaders well beyond the pandemic. A specific emphasis will be placed on the many innovative and impactful efforts Verizon has made in this regard.</v>
      </c>
      <c r="T565" s="4" t="str">
        <f>IFERROR(__xludf.DUMMYFUNCTION("""COMPUTED_VALUE"""),"NON-KEYNOTE 9 - COMPLETE")</f>
        <v>NON-KEYNOTE 9 - COMPLETE</v>
      </c>
      <c r="U565" s="23">
        <f>IFERROR(__xludf.DUMMYFUNCTION("""COMPUTED_VALUE"""),43987.0)</f>
        <v>43987</v>
      </c>
      <c r="V565" s="44">
        <f>IFERROR(__xludf.DUMMYFUNCTION("""COMPUTED_VALUE"""),0.5833333333333334)</f>
        <v>0.5833333333</v>
      </c>
      <c r="W565" s="4" t="str">
        <f>IFERROR(__xludf.DUMMYFUNCTION("""COMPUTED_VALUE"""),"COMPLETE")</f>
        <v>COMPLETE</v>
      </c>
      <c r="X565" s="4" t="str">
        <f>IFERROR(__xludf.DUMMYFUNCTION("""COMPUTED_VALUE"""),"Hugh")</f>
        <v>Hugh</v>
      </c>
      <c r="Y565" s="4" t="str">
        <f>IFERROR(__xludf.DUMMYFUNCTION("""COMPUTED_VALUE"""),"")</f>
        <v/>
      </c>
    </row>
    <row r="566">
      <c r="A566" s="4" t="str">
        <f>IFERROR(__xludf.DUMMYFUNCTION("""COMPUTED_VALUE"""),"615 - Channel")</f>
        <v>615 - Channel</v>
      </c>
      <c r="B566" s="4" t="str">
        <f>IFERROR(__xludf.DUMMYFUNCTION("""COMPUTED_VALUE"""),"Channel 2")</f>
        <v>Channel 2</v>
      </c>
      <c r="C566" s="4" t="str">
        <f>IFERROR(__xludf.DUMMYFUNCTION("""COMPUTED_VALUE"""),"Day 2 - 24/06")</f>
        <v>Day 2 - 24/06</v>
      </c>
      <c r="D566" s="4" t="str">
        <f>IFERROR(__xludf.DUMMYFUNCTION("""COMPUTED_VALUE"""),"")</f>
        <v/>
      </c>
      <c r="E566" s="4" t="str">
        <f>IFERROR(__xludf.DUMMYFUNCTION("""COMPUTED_VALUE"""),"")</f>
        <v/>
      </c>
      <c r="F566" s="4" t="str">
        <f>IFERROR(__xludf.DUMMYFUNCTION("""COMPUTED_VALUE"""),"")</f>
        <v/>
      </c>
      <c r="G566" s="4" t="str">
        <f>IFERROR(__xludf.DUMMYFUNCTION("""COMPUTED_VALUE"""),"")</f>
        <v/>
      </c>
      <c r="H566" s="4" t="str">
        <f>IFERROR(__xludf.DUMMYFUNCTION("""COMPUTED_VALUE"""),"")</f>
        <v/>
      </c>
      <c r="I566" s="4" t="str">
        <f>IFERROR(__xludf.DUMMYFUNCTION("""COMPUTED_VALUE"""),"")</f>
        <v/>
      </c>
      <c r="J566" s="4" t="str">
        <f>IFERROR(__xludf.DUMMYFUNCTION("""COMPUTED_VALUE"""),"")</f>
        <v/>
      </c>
      <c r="K566" s="4" t="str">
        <f>IFERROR(__xludf.DUMMYFUNCTION("""COMPUTED_VALUE"""),"")</f>
        <v/>
      </c>
      <c r="L566" s="4" t="str">
        <f>IFERROR(__xludf.DUMMYFUNCTION("""COMPUTED_VALUE"""),"")</f>
        <v/>
      </c>
      <c r="M566" s="4" t="str">
        <f>IFERROR(__xludf.DUMMYFUNCTION("""COMPUTED_VALUE"""),"")</f>
        <v/>
      </c>
      <c r="N566" s="4" t="str">
        <f>IFERROR(__xludf.DUMMYFUNCTION("""COMPUTED_VALUE"""),"")</f>
        <v/>
      </c>
      <c r="O566" s="4" t="str">
        <f>IFERROR(__xludf.DUMMYFUNCTION("""COMPUTED_VALUE"""),"")</f>
        <v/>
      </c>
      <c r="P566" s="4" t="str">
        <f>IFERROR(__xludf.DUMMYFUNCTION("""COMPUTED_VALUE"""),"")</f>
        <v/>
      </c>
      <c r="Q566" s="4" t="str">
        <f>IFERROR(__xludf.DUMMYFUNCTION("""COMPUTED_VALUE"""),"")</f>
        <v/>
      </c>
      <c r="R566" s="4" t="str">
        <f>IFERROR(__xludf.DUMMYFUNCTION("""COMPUTED_VALUE"""),"")</f>
        <v/>
      </c>
      <c r="S566" s="4" t="str">
        <f>IFERROR(__xludf.DUMMYFUNCTION("""COMPUTED_VALUE"""),"")</f>
        <v/>
      </c>
      <c r="T566" s="4" t="str">
        <f>IFERROR(__xludf.DUMMYFUNCTION("""COMPUTED_VALUE"""),"")</f>
        <v/>
      </c>
      <c r="U566" s="4" t="str">
        <f>IFERROR(__xludf.DUMMYFUNCTION("""COMPUTED_VALUE"""),"")</f>
        <v/>
      </c>
      <c r="V566" s="4" t="str">
        <f>IFERROR(__xludf.DUMMYFUNCTION("""COMPUTED_VALUE"""),"")</f>
        <v/>
      </c>
      <c r="W566" s="4" t="str">
        <f>IFERROR(__xludf.DUMMYFUNCTION("""COMPUTED_VALUE"""),"")</f>
        <v/>
      </c>
      <c r="X566" s="4" t="str">
        <f>IFERROR(__xludf.DUMMYFUNCTION("""COMPUTED_VALUE"""),"")</f>
        <v/>
      </c>
      <c r="Y566" s="4" t="str">
        <f>IFERROR(__xludf.DUMMYFUNCTION("""COMPUTED_VALUE"""),"")</f>
        <v/>
      </c>
    </row>
    <row r="567">
      <c r="A567" s="4" t="str">
        <f>IFERROR(__xludf.DUMMYFUNCTION("""COMPUTED_VALUE"""),"593 - Channel")</f>
        <v>593 - Channel</v>
      </c>
      <c r="B567" s="4" t="str">
        <f>IFERROR(__xludf.DUMMYFUNCTION("""COMPUTED_VALUE"""),"Channel 2")</f>
        <v>Channel 2</v>
      </c>
      <c r="C567" s="4" t="str">
        <f>IFERROR(__xludf.DUMMYFUNCTION("""COMPUTED_VALUE"""),"Day 2 - 24/06")</f>
        <v>Day 2 - 24/06</v>
      </c>
      <c r="D567" s="6">
        <f>IFERROR(__xludf.DUMMYFUNCTION("""COMPUTED_VALUE"""),0.6672569444444455)</f>
        <v>0.6672569444</v>
      </c>
      <c r="E567" s="6">
        <f>IFERROR(__xludf.DUMMYFUNCTION("""COMPUTED_VALUE"""),3.4722222222222224E-4)</f>
        <v>0.0003472222222</v>
      </c>
      <c r="F567" s="6">
        <f>IFERROR(__xludf.DUMMYFUNCTION("""COMPUTED_VALUE"""),0.6676041666666678)</f>
        <v>0.6676041667</v>
      </c>
      <c r="G567" s="4" t="str">
        <f>IFERROR(__xludf.DUMMYFUNCTION("""COMPUTED_VALUE"""),"Startups")</f>
        <v>Startups</v>
      </c>
      <c r="H567" s="4" t="str">
        <f>IFERROR(__xludf.DUMMYFUNCTION("""COMPUTED_VALUE"""),"")</f>
        <v/>
      </c>
      <c r="I567" s="4" t="str">
        <f>IFERROR(__xludf.DUMMYFUNCTION("""COMPUTED_VALUE"""),"")</f>
        <v/>
      </c>
      <c r="J567" s="4" t="str">
        <f>IFERROR(__xludf.DUMMYFUNCTION("""COMPUTED_VALUE"""),"Privacy &amp; Security")</f>
        <v>Privacy &amp; Security</v>
      </c>
      <c r="K567" s="4" t="str">
        <f>IFERROR(__xludf.DUMMYFUNCTION("""COMPUTED_VALUE"""),"40 Words")</f>
        <v>40 Words</v>
      </c>
      <c r="L567" s="4" t="str">
        <f>IFERROR(__xludf.DUMMYFUNCTION("""COMPUTED_VALUE"""),"")</f>
        <v/>
      </c>
      <c r="M567" s="4" t="str">
        <f>IFERROR(__xludf.DUMMYFUNCTION("""COMPUTED_VALUE"""),"40 Words #")</f>
        <v>40 Words #</v>
      </c>
      <c r="N567" s="4" t="str">
        <f>IFERROR(__xludf.DUMMYFUNCTION("""COMPUTED_VALUE"""),"")</f>
        <v/>
      </c>
      <c r="O567" s="4" t="str">
        <f>IFERROR(__xludf.DUMMYFUNCTION("""COMPUTED_VALUE"""),"")</f>
        <v/>
      </c>
      <c r="P567" s="4" t="str">
        <f>IFERROR(__xludf.DUMMYFUNCTION("""COMPUTED_VALUE"""),"")</f>
        <v/>
      </c>
      <c r="Q567" s="4" t="str">
        <f>IFERROR(__xludf.DUMMYFUNCTION("""COMPUTED_VALUE"""),"")</f>
        <v/>
      </c>
      <c r="R567" s="4" t="str">
        <f>IFERROR(__xludf.DUMMYFUNCTION("""COMPUTED_VALUE"""),"")</f>
        <v/>
      </c>
      <c r="S567" s="4" t="str">
        <f>IFERROR(__xludf.DUMMYFUNCTION("""COMPUTED_VALUE"""),"")</f>
        <v/>
      </c>
      <c r="T567" s="4" t="str">
        <f>IFERROR(__xludf.DUMMYFUNCTION("""COMPUTED_VALUE"""),"")</f>
        <v/>
      </c>
      <c r="U567" s="4" t="str">
        <f>IFERROR(__xludf.DUMMYFUNCTION("""COMPUTED_VALUE"""),"")</f>
        <v/>
      </c>
      <c r="V567" s="4" t="str">
        <f>IFERROR(__xludf.DUMMYFUNCTION("""COMPUTED_VALUE"""),"")</f>
        <v/>
      </c>
      <c r="W567" s="4" t="str">
        <f>IFERROR(__xludf.DUMMYFUNCTION("""COMPUTED_VALUE"""),"")</f>
        <v/>
      </c>
      <c r="X567" s="4" t="str">
        <f>IFERROR(__xludf.DUMMYFUNCTION("""COMPUTED_VALUE"""),"")</f>
        <v/>
      </c>
      <c r="Y567" s="4" t="str">
        <f>IFERROR(__xludf.DUMMYFUNCTION("""COMPUTED_VALUE"""),"")</f>
        <v/>
      </c>
    </row>
    <row r="568">
      <c r="A568" s="4" t="str">
        <f>IFERROR(__xludf.DUMMYFUNCTION("""COMPUTED_VALUE"""),"617 - Channel")</f>
        <v>617 - Channel</v>
      </c>
      <c r="B568" s="4" t="str">
        <f>IFERROR(__xludf.DUMMYFUNCTION("""COMPUTED_VALUE"""),"Channel 2")</f>
        <v>Channel 2</v>
      </c>
      <c r="C568" s="4" t="str">
        <f>IFERROR(__xludf.DUMMYFUNCTION("""COMPUTED_VALUE"""),"Day 2 - 24/06")</f>
        <v>Day 2 - 24/06</v>
      </c>
      <c r="D568" s="6">
        <f>IFERROR(__xludf.DUMMYFUNCTION("""COMPUTED_VALUE"""),0.6676041666666678)</f>
        <v>0.6676041667</v>
      </c>
      <c r="E568" s="6">
        <f>IFERROR(__xludf.DUMMYFUNCTION("""COMPUTED_VALUE"""),3.4722222222222224E-4)</f>
        <v>0.0003472222222</v>
      </c>
      <c r="F568" s="6">
        <f>IFERROR(__xludf.DUMMYFUNCTION("""COMPUTED_VALUE"""),0.66795138888889)</f>
        <v>0.6679513889</v>
      </c>
      <c r="G568" s="4" t="str">
        <f>IFERROR(__xludf.DUMMYFUNCTION("""COMPUTED_VALUE"""),"Graphics")</f>
        <v>Graphics</v>
      </c>
      <c r="H568" s="4" t="str">
        <f>IFERROR(__xludf.DUMMYFUNCTION("""COMPUTED_VALUE"""),"")</f>
        <v/>
      </c>
      <c r="I568" s="4" t="str">
        <f>IFERROR(__xludf.DUMMYFUNCTION("""COMPUTED_VALUE"""),"")</f>
        <v/>
      </c>
      <c r="J568" s="4" t="str">
        <f>IFERROR(__xludf.DUMMYFUNCTION("""COMPUTED_VALUE"""),"Privacy &amp; Security")</f>
        <v>Privacy &amp; Security</v>
      </c>
      <c r="K568" s="4" t="str">
        <f>IFERROR(__xludf.DUMMYFUNCTION("""COMPUTED_VALUE"""),"Talk Intro")</f>
        <v>Talk Intro</v>
      </c>
      <c r="L568" s="4" t="str">
        <f>IFERROR(__xludf.DUMMYFUNCTION("""COMPUTED_VALUE"""),"")</f>
        <v/>
      </c>
      <c r="M568" s="4" t="str">
        <f>IFERROR(__xludf.DUMMYFUNCTION("""COMPUTED_VALUE"""),"Talk Intro")</f>
        <v>Talk Intro</v>
      </c>
      <c r="N568" s="4" t="str">
        <f>IFERROR(__xludf.DUMMYFUNCTION("""COMPUTED_VALUE"""),"")</f>
        <v/>
      </c>
      <c r="O568" s="4" t="str">
        <f>IFERROR(__xludf.DUMMYFUNCTION("""COMPUTED_VALUE"""),"")</f>
        <v/>
      </c>
      <c r="P568" s="4" t="str">
        <f>IFERROR(__xludf.DUMMYFUNCTION("""COMPUTED_VALUE"""),"")</f>
        <v/>
      </c>
      <c r="Q568" s="4" t="str">
        <f>IFERROR(__xludf.DUMMYFUNCTION("""COMPUTED_VALUE"""),"")</f>
        <v/>
      </c>
      <c r="R568" s="4" t="str">
        <f>IFERROR(__xludf.DUMMYFUNCTION("""COMPUTED_VALUE"""),"")</f>
        <v/>
      </c>
      <c r="S568" s="4" t="str">
        <f>IFERROR(__xludf.DUMMYFUNCTION("""COMPUTED_VALUE"""),"")</f>
        <v/>
      </c>
      <c r="T568" s="4" t="str">
        <f>IFERROR(__xludf.DUMMYFUNCTION("""COMPUTED_VALUE"""),"")</f>
        <v/>
      </c>
      <c r="U568" s="4" t="str">
        <f>IFERROR(__xludf.DUMMYFUNCTION("""COMPUTED_VALUE"""),"")</f>
        <v/>
      </c>
      <c r="V568" s="4" t="str">
        <f>IFERROR(__xludf.DUMMYFUNCTION("""COMPUTED_VALUE"""),"")</f>
        <v/>
      </c>
      <c r="W568" s="4" t="str">
        <f>IFERROR(__xludf.DUMMYFUNCTION("""COMPUTED_VALUE"""),"")</f>
        <v/>
      </c>
      <c r="X568" s="4" t="str">
        <f>IFERROR(__xludf.DUMMYFUNCTION("""COMPUTED_VALUE"""),"")</f>
        <v/>
      </c>
      <c r="Y568" s="4" t="str">
        <f>IFERROR(__xludf.DUMMYFUNCTION("""COMPUTED_VALUE"""),"")</f>
        <v/>
      </c>
    </row>
    <row r="569">
      <c r="A569" s="4" t="str">
        <f>IFERROR(__xludf.DUMMYFUNCTION("""COMPUTED_VALUE"""),"618 - Channel")</f>
        <v>618 - Channel</v>
      </c>
      <c r="B569" s="4" t="str">
        <f>IFERROR(__xludf.DUMMYFUNCTION("""COMPUTED_VALUE"""),"Channel 2")</f>
        <v>Channel 2</v>
      </c>
      <c r="C569" s="4" t="str">
        <f>IFERROR(__xludf.DUMMYFUNCTION("""COMPUTED_VALUE"""),"Day 2 - 24/06")</f>
        <v>Day 2 - 24/06</v>
      </c>
      <c r="D569" s="6">
        <f>IFERROR(__xludf.DUMMYFUNCTION("""COMPUTED_VALUE"""),0.66795138888889)</f>
        <v>0.6679513889</v>
      </c>
      <c r="E569" s="6">
        <f>IFERROR(__xludf.DUMMYFUNCTION("""COMPUTED_VALUE"""),0.008333333333333333)</f>
        <v>0.008333333333</v>
      </c>
      <c r="F569" s="6">
        <f>IFERROR(__xludf.DUMMYFUNCTION("""COMPUTED_VALUE"""),0.6762847222222234)</f>
        <v>0.6762847222</v>
      </c>
      <c r="G569" s="4" t="str">
        <f>IFERROR(__xludf.DUMMYFUNCTION("""COMPUTED_VALUE"""),"Ahmed")</f>
        <v>Ahmed</v>
      </c>
      <c r="H569" s="4" t="str">
        <f>IFERROR(__xludf.DUMMYFUNCTION("""COMPUTED_VALUE"""),"Lingyu")</f>
        <v>Lingyu</v>
      </c>
      <c r="I569" s="4" t="str">
        <f>IFERROR(__xludf.DUMMYFUNCTION("""COMPUTED_VALUE"""),"Francisca")</f>
        <v>Francisca</v>
      </c>
      <c r="J569" s="4" t="str">
        <f>IFERROR(__xludf.DUMMYFUNCTION("""COMPUTED_VALUE"""),"Privacy &amp; Security")</f>
        <v>Privacy &amp; Security</v>
      </c>
      <c r="K569" s="4" t="str">
        <f>IFERROR(__xludf.DUMMYFUNCTION("""COMPUTED_VALUE"""),"Super Fireside")</f>
        <v>Super Fireside</v>
      </c>
      <c r="L569" s="4" t="str">
        <f>IFERROR(__xludf.DUMMYFUNCTION("""COMPUTED_VALUE"""),"T- 4 - 25/05/2020")</f>
        <v>T- 4 - 25/05/2020</v>
      </c>
      <c r="M569" s="4" t="str">
        <f>IFERROR(__xludf.DUMMYFUNCTION("""COMPUTED_VALUE"""),"From the frontlines of cybersecurity")</f>
        <v>From the frontlines of cybersecurity</v>
      </c>
      <c r="N569" s="4" t="str">
        <f>IFERROR(__xludf.DUMMYFUNCTION("""COMPUTED_VALUE"""),"John Gilligan, Center for Internet Security")</f>
        <v>John Gilligan, Center for Internet Security</v>
      </c>
      <c r="O569" s="4" t="str">
        <f>IFERROR(__xludf.DUMMYFUNCTION("""COMPUTED_VALUE"""),"Steve Grobman, McAfee")</f>
        <v>Steve Grobman, McAfee</v>
      </c>
      <c r="P569" s="4" t="str">
        <f>IFERROR(__xludf.DUMMYFUNCTION("""COMPUTED_VALUE"""),"")</f>
        <v/>
      </c>
      <c r="Q569" s="4" t="str">
        <f>IFERROR(__xludf.DUMMYFUNCTION("""COMPUTED_VALUE"""),"")</f>
        <v/>
      </c>
      <c r="R569" s="4" t="str">
        <f>IFERROR(__xludf.DUMMYFUNCTION("""COMPUTED_VALUE"""),"Dave Gordon, Edge Leaders")</f>
        <v>Dave Gordon, Edge Leaders</v>
      </c>
      <c r="S569" s="4" t="str">
        <f>IFERROR(__xludf.DUMMYFUNCTION("""COMPUTED_VALUE"""),"Cyberattacks have become ever harder to trace as hackers use the latest industry developments to their own advantage. In addition, the pandemic has undoubtedly impacted the industry. This session brings together thought leaders to talk about the state of "&amp;"play and what trends companies need to look out for. ")</f>
        <v>Cyberattacks have become ever harder to trace as hackers use the latest industry developments to their own advantage. In addition, the pandemic has undoubtedly impacted the industry. This session brings together thought leaders to talk about the state of play and what trends companies need to look out for. </v>
      </c>
      <c r="T569" s="4" t="str">
        <f>IFERROR(__xludf.DUMMYFUNCTION("""COMPUTED_VALUE"""),"NON-KEYNOTE 9 - COMPLETE")</f>
        <v>NON-KEYNOTE 9 - COMPLETE</v>
      </c>
      <c r="U569" s="23">
        <f>IFERROR(__xludf.DUMMYFUNCTION("""COMPUTED_VALUE"""),43979.0)</f>
        <v>43979</v>
      </c>
      <c r="V569" s="24">
        <f>IFERROR(__xludf.DUMMYFUNCTION("""COMPUTED_VALUE"""),0.6666666666666666)</f>
        <v>0.6666666667</v>
      </c>
      <c r="W569" s="4" t="str">
        <f>IFERROR(__xludf.DUMMYFUNCTION("""COMPUTED_VALUE"""),"COMPLETE")</f>
        <v>COMPLETE</v>
      </c>
      <c r="X569" s="4" t="str">
        <f>IFERROR(__xludf.DUMMYFUNCTION("""COMPUTED_VALUE"""),"Francisca")</f>
        <v>Francisca</v>
      </c>
      <c r="Y569" s="4" t="str">
        <f>IFERROR(__xludf.DUMMYFUNCTION("""COMPUTED_VALUE"""),"")</f>
        <v/>
      </c>
    </row>
    <row r="570">
      <c r="A570" s="4" t="str">
        <f>IFERROR(__xludf.DUMMYFUNCTION("""COMPUTED_VALUE"""),"619 - Channel")</f>
        <v>619 - Channel</v>
      </c>
      <c r="B570" s="4" t="str">
        <f>IFERROR(__xludf.DUMMYFUNCTION("""COMPUTED_VALUE"""),"Channel 2")</f>
        <v>Channel 2</v>
      </c>
      <c r="C570" s="4" t="str">
        <f>IFERROR(__xludf.DUMMYFUNCTION("""COMPUTED_VALUE"""),"Day 2 - 24/06")</f>
        <v>Day 2 - 24/06</v>
      </c>
      <c r="D570" s="6">
        <f>IFERROR(__xludf.DUMMYFUNCTION("""COMPUTED_VALUE"""),0.6762847222222234)</f>
        <v>0.6762847222</v>
      </c>
      <c r="E570" s="6">
        <f>IFERROR(__xludf.DUMMYFUNCTION("""COMPUTED_VALUE"""),1.7361111111111112E-4)</f>
        <v>0.0001736111111</v>
      </c>
      <c r="F570" s="6">
        <f>IFERROR(__xludf.DUMMYFUNCTION("""COMPUTED_VALUE"""),0.6764583333333345)</f>
        <v>0.6764583333</v>
      </c>
      <c r="G570" s="4" t="str">
        <f>IFERROR(__xludf.DUMMYFUNCTION("""COMPUTED_VALUE"""),"Graphics")</f>
        <v>Graphics</v>
      </c>
      <c r="H570" s="4" t="str">
        <f>IFERROR(__xludf.DUMMYFUNCTION("""COMPUTED_VALUE"""),"")</f>
        <v/>
      </c>
      <c r="I570" s="4" t="str">
        <f>IFERROR(__xludf.DUMMYFUNCTION("""COMPUTED_VALUE"""),"")</f>
        <v/>
      </c>
      <c r="J570" s="4" t="str">
        <f>IFERROR(__xludf.DUMMYFUNCTION("""COMPUTED_VALUE"""),"Privacy &amp; Security")</f>
        <v>Privacy &amp; Security</v>
      </c>
      <c r="K570" s="4" t="str">
        <f>IFERROR(__xludf.DUMMYFUNCTION("""COMPUTED_VALUE"""),"Talk Outro")</f>
        <v>Talk Outro</v>
      </c>
      <c r="L570" s="4" t="str">
        <f>IFERROR(__xludf.DUMMYFUNCTION("""COMPUTED_VALUE"""),"")</f>
        <v/>
      </c>
      <c r="M570" s="4" t="str">
        <f>IFERROR(__xludf.DUMMYFUNCTION("""COMPUTED_VALUE"""),"Talk Outro")</f>
        <v>Talk Outro</v>
      </c>
      <c r="N570" s="4" t="str">
        <f>IFERROR(__xludf.DUMMYFUNCTION("""COMPUTED_VALUE"""),"")</f>
        <v/>
      </c>
      <c r="O570" s="4" t="str">
        <f>IFERROR(__xludf.DUMMYFUNCTION("""COMPUTED_VALUE"""),"")</f>
        <v/>
      </c>
      <c r="P570" s="4" t="str">
        <f>IFERROR(__xludf.DUMMYFUNCTION("""COMPUTED_VALUE"""),"")</f>
        <v/>
      </c>
      <c r="Q570" s="4" t="str">
        <f>IFERROR(__xludf.DUMMYFUNCTION("""COMPUTED_VALUE"""),"")</f>
        <v/>
      </c>
      <c r="R570" s="4" t="str">
        <f>IFERROR(__xludf.DUMMYFUNCTION("""COMPUTED_VALUE"""),"")</f>
        <v/>
      </c>
      <c r="S570" s="4" t="str">
        <f>IFERROR(__xludf.DUMMYFUNCTION("""COMPUTED_VALUE"""),"")</f>
        <v/>
      </c>
      <c r="T570" s="4" t="str">
        <f>IFERROR(__xludf.DUMMYFUNCTION("""COMPUTED_VALUE"""),"")</f>
        <v/>
      </c>
      <c r="U570" s="4" t="str">
        <f>IFERROR(__xludf.DUMMYFUNCTION("""COMPUTED_VALUE"""),"")</f>
        <v/>
      </c>
      <c r="V570" s="4" t="str">
        <f>IFERROR(__xludf.DUMMYFUNCTION("""COMPUTED_VALUE"""),"")</f>
        <v/>
      </c>
      <c r="W570" s="4" t="str">
        <f>IFERROR(__xludf.DUMMYFUNCTION("""COMPUTED_VALUE"""),"")</f>
        <v/>
      </c>
      <c r="X570" s="4" t="str">
        <f>IFERROR(__xludf.DUMMYFUNCTION("""COMPUTED_VALUE"""),"")</f>
        <v/>
      </c>
      <c r="Y570" s="4" t="str">
        <f>IFERROR(__xludf.DUMMYFUNCTION("""COMPUTED_VALUE"""),"")</f>
        <v/>
      </c>
    </row>
    <row r="571">
      <c r="A571" s="4" t="str">
        <f>IFERROR(__xludf.DUMMYFUNCTION("""COMPUTED_VALUE"""),"621 - Channel")</f>
        <v>621 - Channel</v>
      </c>
      <c r="B571" s="4" t="str">
        <f>IFERROR(__xludf.DUMMYFUNCTION("""COMPUTED_VALUE"""),"Channel 2")</f>
        <v>Channel 2</v>
      </c>
      <c r="C571" s="4" t="str">
        <f>IFERROR(__xludf.DUMMYFUNCTION("""COMPUTED_VALUE"""),"Day 2 - 24/06")</f>
        <v>Day 2 - 24/06</v>
      </c>
      <c r="D571" s="6">
        <f>IFERROR(__xludf.DUMMYFUNCTION("""COMPUTED_VALUE"""),0.6764583333333345)</f>
        <v>0.6764583333</v>
      </c>
      <c r="E571" s="6">
        <f>IFERROR(__xludf.DUMMYFUNCTION("""COMPUTED_VALUE"""),3.4722222222222224E-4)</f>
        <v>0.0003472222222</v>
      </c>
      <c r="F571" s="6">
        <f>IFERROR(__xludf.DUMMYFUNCTION("""COMPUTED_VALUE"""),0.6768055555555568)</f>
        <v>0.6768055556</v>
      </c>
      <c r="G571" s="4" t="str">
        <f>IFERROR(__xludf.DUMMYFUNCTION("""COMPUTED_VALUE"""),"Graphics")</f>
        <v>Graphics</v>
      </c>
      <c r="H571" s="4" t="str">
        <f>IFERROR(__xludf.DUMMYFUNCTION("""COMPUTED_VALUE"""),"")</f>
        <v/>
      </c>
      <c r="I571" s="4" t="str">
        <f>IFERROR(__xludf.DUMMYFUNCTION("""COMPUTED_VALUE"""),"")</f>
        <v/>
      </c>
      <c r="J571" s="4" t="str">
        <f>IFERROR(__xludf.DUMMYFUNCTION("""COMPUTED_VALUE"""),"Privacy &amp; Security")</f>
        <v>Privacy &amp; Security</v>
      </c>
      <c r="K571" s="4" t="str">
        <f>IFERROR(__xludf.DUMMYFUNCTION("""COMPUTED_VALUE"""),"Talk Intro")</f>
        <v>Talk Intro</v>
      </c>
      <c r="L571" s="4" t="str">
        <f>IFERROR(__xludf.DUMMYFUNCTION("""COMPUTED_VALUE"""),"")</f>
        <v/>
      </c>
      <c r="M571" s="4" t="str">
        <f>IFERROR(__xludf.DUMMYFUNCTION("""COMPUTED_VALUE"""),"Talk Intro")</f>
        <v>Talk Intro</v>
      </c>
      <c r="N571" s="4" t="str">
        <f>IFERROR(__xludf.DUMMYFUNCTION("""COMPUTED_VALUE"""),"")</f>
        <v/>
      </c>
      <c r="O571" s="4" t="str">
        <f>IFERROR(__xludf.DUMMYFUNCTION("""COMPUTED_VALUE"""),"")</f>
        <v/>
      </c>
      <c r="P571" s="4" t="str">
        <f>IFERROR(__xludf.DUMMYFUNCTION("""COMPUTED_VALUE"""),"")</f>
        <v/>
      </c>
      <c r="Q571" s="4" t="str">
        <f>IFERROR(__xludf.DUMMYFUNCTION("""COMPUTED_VALUE"""),"")</f>
        <v/>
      </c>
      <c r="R571" s="4" t="str">
        <f>IFERROR(__xludf.DUMMYFUNCTION("""COMPUTED_VALUE"""),"")</f>
        <v/>
      </c>
      <c r="S571" s="4" t="str">
        <f>IFERROR(__xludf.DUMMYFUNCTION("""COMPUTED_VALUE"""),"")</f>
        <v/>
      </c>
      <c r="T571" s="4" t="str">
        <f>IFERROR(__xludf.DUMMYFUNCTION("""COMPUTED_VALUE"""),"")</f>
        <v/>
      </c>
      <c r="U571" s="4" t="str">
        <f>IFERROR(__xludf.DUMMYFUNCTION("""COMPUTED_VALUE"""),"")</f>
        <v/>
      </c>
      <c r="V571" s="4" t="str">
        <f>IFERROR(__xludf.DUMMYFUNCTION("""COMPUTED_VALUE"""),"")</f>
        <v/>
      </c>
      <c r="W571" s="4" t="str">
        <f>IFERROR(__xludf.DUMMYFUNCTION("""COMPUTED_VALUE"""),"")</f>
        <v/>
      </c>
      <c r="X571" s="4" t="str">
        <f>IFERROR(__xludf.DUMMYFUNCTION("""COMPUTED_VALUE"""),"")</f>
        <v/>
      </c>
      <c r="Y571" s="4" t="str">
        <f>IFERROR(__xludf.DUMMYFUNCTION("""COMPUTED_VALUE"""),"")</f>
        <v/>
      </c>
    </row>
    <row r="572">
      <c r="A572" s="4" t="str">
        <f>IFERROR(__xludf.DUMMYFUNCTION("""COMPUTED_VALUE"""),"622 - Channel")</f>
        <v>622 - Channel</v>
      </c>
      <c r="B572" s="4" t="str">
        <f>IFERROR(__xludf.DUMMYFUNCTION("""COMPUTED_VALUE"""),"Channel 2")</f>
        <v>Channel 2</v>
      </c>
      <c r="C572" s="4" t="str">
        <f>IFERROR(__xludf.DUMMYFUNCTION("""COMPUTED_VALUE"""),"Day 2 - 24/06")</f>
        <v>Day 2 - 24/06</v>
      </c>
      <c r="D572" s="6">
        <f>IFERROR(__xludf.DUMMYFUNCTION("""COMPUTED_VALUE"""),0.6768055555555568)</f>
        <v>0.6768055556</v>
      </c>
      <c r="E572" s="6">
        <f>IFERROR(__xludf.DUMMYFUNCTION("""COMPUTED_VALUE"""),0.013888888888888888)</f>
        <v>0.01388888889</v>
      </c>
      <c r="F572" s="6">
        <f>IFERROR(__xludf.DUMMYFUNCTION("""COMPUTED_VALUE"""),0.6906944444444456)</f>
        <v>0.6906944444</v>
      </c>
      <c r="G572" s="4" t="str">
        <f>IFERROR(__xludf.DUMMYFUNCTION("""COMPUTED_VALUE"""),"Brian")</f>
        <v>Brian</v>
      </c>
      <c r="H572" s="4" t="str">
        <f>IFERROR(__xludf.DUMMYFUNCTION("""COMPUTED_VALUE"""),"")</f>
        <v/>
      </c>
      <c r="I572" s="4" t="str">
        <f>IFERROR(__xludf.DUMMYFUNCTION("""COMPUTED_VALUE"""),"Manon")</f>
        <v>Manon</v>
      </c>
      <c r="J572" s="4" t="str">
        <f>IFERROR(__xludf.DUMMYFUNCTION("""COMPUTED_VALUE"""),"Privacy &amp; Security")</f>
        <v>Privacy &amp; Security</v>
      </c>
      <c r="K572" s="4" t="str">
        <f>IFERROR(__xludf.DUMMYFUNCTION("""COMPUTED_VALUE"""),"Fireside")</f>
        <v>Fireside</v>
      </c>
      <c r="L572" s="4" t="str">
        <f>IFERROR(__xludf.DUMMYFUNCTION("""COMPUTED_VALUE"""),"T- 2 - 08/06/2020")</f>
        <v>T- 2 - 08/06/2020</v>
      </c>
      <c r="M572" s="4" t="str">
        <f>IFERROR(__xludf.DUMMYFUNCTION("""COMPUTED_VALUE"""),"Hack from Home")</f>
        <v>Hack from Home</v>
      </c>
      <c r="N572" s="4" t="str">
        <f>IFERROR(__xludf.DUMMYFUNCTION("""COMPUTED_VALUE"""),"Alex Stamos, Stanford University")</f>
        <v>Alex Stamos, Stanford University</v>
      </c>
      <c r="O572" s="4" t="str">
        <f>IFERROR(__xludf.DUMMYFUNCTION("""COMPUTED_VALUE"""),"")</f>
        <v/>
      </c>
      <c r="P572" s="4" t="str">
        <f>IFERROR(__xludf.DUMMYFUNCTION("""COMPUTED_VALUE"""),"")</f>
        <v/>
      </c>
      <c r="Q572" s="4" t="str">
        <f>IFERROR(__xludf.DUMMYFUNCTION("""COMPUTED_VALUE"""),"")</f>
        <v/>
      </c>
      <c r="R572" s="4" t="str">
        <f>IFERROR(__xludf.DUMMYFUNCTION("""COMPUTED_VALUE"""),"Nicholas Carlson, Insider")</f>
        <v>Nicholas Carlson, Insider</v>
      </c>
      <c r="S572" s="4" t="str">
        <f>IFERROR(__xludf.DUMMYFUNCTION("""COMPUTED_VALUE"""),"Alex Stamos – former chief security officer of Facebook, and current Zoom security adviser – discusses how Covid has upended cybersecurity and online propaganda for both attackers and defenders.")</f>
        <v>Alex Stamos – former chief security officer of Facebook, and current Zoom security adviser – discusses how Covid has upended cybersecurity and online propaganda for both attackers and defenders.</v>
      </c>
      <c r="T572" s="4" t="str">
        <f>IFERROR(__xludf.DUMMYFUNCTION("""COMPUTED_VALUE"""),"NON-KEYNOTE 7 - Video to be recorded")</f>
        <v>NON-KEYNOTE 7 - Video to be recorded</v>
      </c>
      <c r="U572" s="23">
        <f>IFERROR(__xludf.DUMMYFUNCTION("""COMPUTED_VALUE"""),43992.0)</f>
        <v>43992</v>
      </c>
      <c r="V572" s="44">
        <f>IFERROR(__xludf.DUMMYFUNCTION("""COMPUTED_VALUE"""),0.7291666666666666)</f>
        <v>0.7291666667</v>
      </c>
      <c r="W572" s="21" t="str">
        <f>IFERROR(__xludf.DUMMYFUNCTION("""COMPUTED_VALUE"""),"https://zoom.us/j/92315679132?pwd=OG9kWCt3bGk3cWcrVEUvbUtTdG1oZz09")</f>
        <v>https://zoom.us/j/92315679132?pwd=OG9kWCt3bGk3cWcrVEUvbUtTdG1oZz09</v>
      </c>
      <c r="X572" s="4" t="str">
        <f>IFERROR(__xludf.DUMMYFUNCTION("""COMPUTED_VALUE"""),"Brian")</f>
        <v>Brian</v>
      </c>
      <c r="Y572" s="4" t="str">
        <f>IFERROR(__xludf.DUMMYFUNCTION("""COMPUTED_VALUE"""),"")</f>
        <v/>
      </c>
    </row>
    <row r="573">
      <c r="A573" s="4" t="str">
        <f>IFERROR(__xludf.DUMMYFUNCTION("""COMPUTED_VALUE"""),"624 - Channel")</f>
        <v>624 - Channel</v>
      </c>
      <c r="B573" s="4" t="str">
        <f>IFERROR(__xludf.DUMMYFUNCTION("""COMPUTED_VALUE"""),"Channel 2")</f>
        <v>Channel 2</v>
      </c>
      <c r="C573" s="4" t="str">
        <f>IFERROR(__xludf.DUMMYFUNCTION("""COMPUTED_VALUE"""),"Day 2 - 24/06")</f>
        <v>Day 2 - 24/06</v>
      </c>
      <c r="D573" s="6">
        <f>IFERROR(__xludf.DUMMYFUNCTION("""COMPUTED_VALUE"""),0.6906944444444456)</f>
        <v>0.6906944444</v>
      </c>
      <c r="E573" s="6">
        <f>IFERROR(__xludf.DUMMYFUNCTION("""COMPUTED_VALUE"""),3.4722222222222224E-4)</f>
        <v>0.0003472222222</v>
      </c>
      <c r="F573" s="6">
        <f>IFERROR(__xludf.DUMMYFUNCTION("""COMPUTED_VALUE"""),0.6910416666666679)</f>
        <v>0.6910416667</v>
      </c>
      <c r="G573" s="4" t="str">
        <f>IFERROR(__xludf.DUMMYFUNCTION("""COMPUTED_VALUE"""),"Graphics")</f>
        <v>Graphics</v>
      </c>
      <c r="H573" s="4" t="str">
        <f>IFERROR(__xludf.DUMMYFUNCTION("""COMPUTED_VALUE"""),"")</f>
        <v/>
      </c>
      <c r="I573" s="4" t="str">
        <f>IFERROR(__xludf.DUMMYFUNCTION("""COMPUTED_VALUE"""),"")</f>
        <v/>
      </c>
      <c r="J573" s="4" t="str">
        <f>IFERROR(__xludf.DUMMYFUNCTION("""COMPUTED_VALUE"""),"Privacy &amp; Security")</f>
        <v>Privacy &amp; Security</v>
      </c>
      <c r="K573" s="4" t="str">
        <f>IFERROR(__xludf.DUMMYFUNCTION("""COMPUTED_VALUE"""),"Talk Intro")</f>
        <v>Talk Intro</v>
      </c>
      <c r="L573" s="4" t="str">
        <f>IFERROR(__xludf.DUMMYFUNCTION("""COMPUTED_VALUE"""),"")</f>
        <v/>
      </c>
      <c r="M573" s="4" t="str">
        <f>IFERROR(__xludf.DUMMYFUNCTION("""COMPUTED_VALUE"""),"Talk Intro")</f>
        <v>Talk Intro</v>
      </c>
      <c r="N573" s="4" t="str">
        <f>IFERROR(__xludf.DUMMYFUNCTION("""COMPUTED_VALUE"""),"")</f>
        <v/>
      </c>
      <c r="O573" s="4" t="str">
        <f>IFERROR(__xludf.DUMMYFUNCTION("""COMPUTED_VALUE"""),"")</f>
        <v/>
      </c>
      <c r="P573" s="4" t="str">
        <f>IFERROR(__xludf.DUMMYFUNCTION("""COMPUTED_VALUE"""),"")</f>
        <v/>
      </c>
      <c r="Q573" s="4" t="str">
        <f>IFERROR(__xludf.DUMMYFUNCTION("""COMPUTED_VALUE"""),"")</f>
        <v/>
      </c>
      <c r="R573" s="4" t="str">
        <f>IFERROR(__xludf.DUMMYFUNCTION("""COMPUTED_VALUE"""),"")</f>
        <v/>
      </c>
      <c r="S573" s="4" t="str">
        <f>IFERROR(__xludf.DUMMYFUNCTION("""COMPUTED_VALUE"""),"")</f>
        <v/>
      </c>
      <c r="T573" s="4" t="str">
        <f>IFERROR(__xludf.DUMMYFUNCTION("""COMPUTED_VALUE"""),"")</f>
        <v/>
      </c>
      <c r="U573" s="4" t="str">
        <f>IFERROR(__xludf.DUMMYFUNCTION("""COMPUTED_VALUE"""),"")</f>
        <v/>
      </c>
      <c r="V573" s="4" t="str">
        <f>IFERROR(__xludf.DUMMYFUNCTION("""COMPUTED_VALUE"""),"")</f>
        <v/>
      </c>
      <c r="W573" s="4" t="str">
        <f>IFERROR(__xludf.DUMMYFUNCTION("""COMPUTED_VALUE"""),"")</f>
        <v/>
      </c>
      <c r="X573" s="4" t="str">
        <f>IFERROR(__xludf.DUMMYFUNCTION("""COMPUTED_VALUE"""),"")</f>
        <v/>
      </c>
      <c r="Y573" s="4" t="str">
        <f>IFERROR(__xludf.DUMMYFUNCTION("""COMPUTED_VALUE"""),"")</f>
        <v/>
      </c>
    </row>
    <row r="574">
      <c r="A574" s="4" t="str">
        <f>IFERROR(__xludf.DUMMYFUNCTION("""COMPUTED_VALUE"""),"625 - Channel")</f>
        <v>625 - Channel</v>
      </c>
      <c r="B574" s="4" t="str">
        <f>IFERROR(__xludf.DUMMYFUNCTION("""COMPUTED_VALUE"""),"Channel 2")</f>
        <v>Channel 2</v>
      </c>
      <c r="C574" s="4" t="str">
        <f>IFERROR(__xludf.DUMMYFUNCTION("""COMPUTED_VALUE"""),"Day 2 - 24/06")</f>
        <v>Day 2 - 24/06</v>
      </c>
      <c r="D574" s="6">
        <f>IFERROR(__xludf.DUMMYFUNCTION("""COMPUTED_VALUE"""),0.6910416666666679)</f>
        <v>0.6910416667</v>
      </c>
      <c r="E574" s="6">
        <f>IFERROR(__xludf.DUMMYFUNCTION("""COMPUTED_VALUE"""),0.007974537037037037)</f>
        <v>0.007974537037</v>
      </c>
      <c r="F574" s="6">
        <f>IFERROR(__xludf.DUMMYFUNCTION("""COMPUTED_VALUE"""),0.6990162037037049)</f>
        <v>0.6990162037</v>
      </c>
      <c r="G574" s="4" t="str">
        <f>IFERROR(__xludf.DUMMYFUNCTION("""COMPUTED_VALUE"""),"Laura")</f>
        <v>Laura</v>
      </c>
      <c r="H574" s="4" t="str">
        <f>IFERROR(__xludf.DUMMYFUNCTION("""COMPUTED_VALUE"""),"Eoghan")</f>
        <v>Eoghan</v>
      </c>
      <c r="I574" s="4" t="str">
        <f>IFERROR(__xludf.DUMMYFUNCTION("""COMPUTED_VALUE"""),"Hannah")</f>
        <v>Hannah</v>
      </c>
      <c r="J574" s="4" t="str">
        <f>IFERROR(__xludf.DUMMYFUNCTION("""COMPUTED_VALUE"""),"Privacy &amp; Security")</f>
        <v>Privacy &amp; Security</v>
      </c>
      <c r="K574" s="4" t="str">
        <f>IFERROR(__xludf.DUMMYFUNCTION("""COMPUTED_VALUE"""),"Fireside")</f>
        <v>Fireside</v>
      </c>
      <c r="L574" s="4" t="str">
        <f>IFERROR(__xludf.DUMMYFUNCTION("""COMPUTED_VALUE"""),"T- 6 - 11/05/2020")</f>
        <v>T- 6 - 11/05/2020</v>
      </c>
      <c r="M574" s="4" t="str">
        <f>IFERROR(__xludf.DUMMYFUNCTION("""COMPUTED_VALUE"""),"The privacy spectrum")</f>
        <v>The privacy spectrum</v>
      </c>
      <c r="N574" s="4" t="str">
        <f>IFERROR(__xludf.DUMMYFUNCTION("""COMPUTED_VALUE"""),"Ondrej Vlcek, Avast")</f>
        <v>Ondrej Vlcek, Avast</v>
      </c>
      <c r="O574" s="4" t="str">
        <f>IFERROR(__xludf.DUMMYFUNCTION("""COMPUTED_VALUE"""),"")</f>
        <v/>
      </c>
      <c r="P574" s="4" t="str">
        <f>IFERROR(__xludf.DUMMYFUNCTION("""COMPUTED_VALUE"""),"")</f>
        <v/>
      </c>
      <c r="Q574" s="4" t="str">
        <f>IFERROR(__xludf.DUMMYFUNCTION("""COMPUTED_VALUE"""),"")</f>
        <v/>
      </c>
      <c r="R574" s="4" t="str">
        <f>IFERROR(__xludf.DUMMYFUNCTION("""COMPUTED_VALUE"""),"Steven Rosenbush, The Wall Street Journal")</f>
        <v>Steven Rosenbush, The Wall Street Journal</v>
      </c>
      <c r="S574" s="4" t="str">
        <f>IFERROR(__xludf.DUMMYFUNCTION("""COMPUTED_VALUE"""),"CEO of digital security company Avast, Ondrej Vlcek, explores the relationship between security and privacy – from anti-virus protection to big data – and asks whether Covid-19 has scrambled our understanding of their connection.")</f>
        <v>CEO of digital security company Avast, Ondrej Vlcek, explores the relationship between security and privacy – from anti-virus protection to big data – and asks whether Covid-19 has scrambled our understanding of their connection.</v>
      </c>
      <c r="T574" s="4" t="str">
        <f>IFERROR(__xludf.DUMMYFUNCTION("""COMPUTED_VALUE"""),"NON-KEYNOTE 9 - COMPLETE")</f>
        <v>NON-KEYNOTE 9 - COMPLETE</v>
      </c>
      <c r="U574" s="23">
        <f>IFERROR(__xludf.DUMMYFUNCTION("""COMPUTED_VALUE"""),43962.0)</f>
        <v>43962</v>
      </c>
      <c r="V574" s="24">
        <f>IFERROR(__xludf.DUMMYFUNCTION("""COMPUTED_VALUE"""),0.7083333333333334)</f>
        <v>0.7083333333</v>
      </c>
      <c r="W574" s="4" t="str">
        <f>IFERROR(__xludf.DUMMYFUNCTION("""COMPUTED_VALUE"""),"COMPLETE")</f>
        <v>COMPLETE</v>
      </c>
      <c r="X574" s="4" t="str">
        <f>IFERROR(__xludf.DUMMYFUNCTION("""COMPUTED_VALUE"""),"Laura")</f>
        <v>Laura</v>
      </c>
      <c r="Y574" s="4" t="str">
        <f>IFERROR(__xludf.DUMMYFUNCTION("""COMPUTED_VALUE"""),"")</f>
        <v/>
      </c>
    </row>
    <row r="575">
      <c r="A575" s="4" t="str">
        <f>IFERROR(__xludf.DUMMYFUNCTION("""COMPUTED_VALUE"""),"627 - Channel")</f>
        <v>627 - Channel</v>
      </c>
      <c r="B575" s="4" t="str">
        <f>IFERROR(__xludf.DUMMYFUNCTION("""COMPUTED_VALUE"""),"Channel 2")</f>
        <v>Channel 2</v>
      </c>
      <c r="C575" s="4" t="str">
        <f>IFERROR(__xludf.DUMMYFUNCTION("""COMPUTED_VALUE"""),"Day 2 - 24/06")</f>
        <v>Day 2 - 24/06</v>
      </c>
      <c r="D575" s="6">
        <f>IFERROR(__xludf.DUMMYFUNCTION("""COMPUTED_VALUE"""),0.6990162037037049)</f>
        <v>0.6990162037</v>
      </c>
      <c r="E575" s="6">
        <f>IFERROR(__xludf.DUMMYFUNCTION("""COMPUTED_VALUE"""),3.4722222222222224E-4)</f>
        <v>0.0003472222222</v>
      </c>
      <c r="F575" s="6">
        <f>IFERROR(__xludf.DUMMYFUNCTION("""COMPUTED_VALUE"""),0.6993634259259272)</f>
        <v>0.6993634259</v>
      </c>
      <c r="G575" s="4" t="str">
        <f>IFERROR(__xludf.DUMMYFUNCTION("""COMPUTED_VALUE"""),"Graphics")</f>
        <v>Graphics</v>
      </c>
      <c r="H575" s="4" t="str">
        <f>IFERROR(__xludf.DUMMYFUNCTION("""COMPUTED_VALUE"""),"")</f>
        <v/>
      </c>
      <c r="I575" s="4" t="str">
        <f>IFERROR(__xludf.DUMMYFUNCTION("""COMPUTED_VALUE"""),"")</f>
        <v/>
      </c>
      <c r="J575" s="4" t="str">
        <f>IFERROR(__xludf.DUMMYFUNCTION("""COMPUTED_VALUE"""),"Privacy &amp; Security")</f>
        <v>Privacy &amp; Security</v>
      </c>
      <c r="K575" s="4" t="str">
        <f>IFERROR(__xludf.DUMMYFUNCTION("""COMPUTED_VALUE"""),"Talk Intro")</f>
        <v>Talk Intro</v>
      </c>
      <c r="L575" s="4" t="str">
        <f>IFERROR(__xludf.DUMMYFUNCTION("""COMPUTED_VALUE"""),"")</f>
        <v/>
      </c>
      <c r="M575" s="4" t="str">
        <f>IFERROR(__xludf.DUMMYFUNCTION("""COMPUTED_VALUE"""),"Talk Intro")</f>
        <v>Talk Intro</v>
      </c>
      <c r="N575" s="4" t="str">
        <f>IFERROR(__xludf.DUMMYFUNCTION("""COMPUTED_VALUE"""),"")</f>
        <v/>
      </c>
      <c r="O575" s="4" t="str">
        <f>IFERROR(__xludf.DUMMYFUNCTION("""COMPUTED_VALUE"""),"")</f>
        <v/>
      </c>
      <c r="P575" s="4" t="str">
        <f>IFERROR(__xludf.DUMMYFUNCTION("""COMPUTED_VALUE"""),"")</f>
        <v/>
      </c>
      <c r="Q575" s="4" t="str">
        <f>IFERROR(__xludf.DUMMYFUNCTION("""COMPUTED_VALUE"""),"")</f>
        <v/>
      </c>
      <c r="R575" s="4" t="str">
        <f>IFERROR(__xludf.DUMMYFUNCTION("""COMPUTED_VALUE"""),"")</f>
        <v/>
      </c>
      <c r="S575" s="4" t="str">
        <f>IFERROR(__xludf.DUMMYFUNCTION("""COMPUTED_VALUE"""),"")</f>
        <v/>
      </c>
      <c r="T575" s="4" t="str">
        <f>IFERROR(__xludf.DUMMYFUNCTION("""COMPUTED_VALUE"""),"")</f>
        <v/>
      </c>
      <c r="U575" s="4" t="str">
        <f>IFERROR(__xludf.DUMMYFUNCTION("""COMPUTED_VALUE"""),"")</f>
        <v/>
      </c>
      <c r="V575" s="4" t="str">
        <f>IFERROR(__xludf.DUMMYFUNCTION("""COMPUTED_VALUE"""),"")</f>
        <v/>
      </c>
      <c r="W575" s="4" t="str">
        <f>IFERROR(__xludf.DUMMYFUNCTION("""COMPUTED_VALUE"""),"")</f>
        <v/>
      </c>
      <c r="X575" s="4" t="str">
        <f>IFERROR(__xludf.DUMMYFUNCTION("""COMPUTED_VALUE"""),"")</f>
        <v/>
      </c>
      <c r="Y575" s="4" t="str">
        <f>IFERROR(__xludf.DUMMYFUNCTION("""COMPUTED_VALUE"""),"")</f>
        <v/>
      </c>
    </row>
    <row r="576">
      <c r="A576" s="4" t="str">
        <f>IFERROR(__xludf.DUMMYFUNCTION("""COMPUTED_VALUE"""),"628 - Channel")</f>
        <v>628 - Channel</v>
      </c>
      <c r="B576" s="4" t="str">
        <f>IFERROR(__xludf.DUMMYFUNCTION("""COMPUTED_VALUE"""),"Channel 2")</f>
        <v>Channel 2</v>
      </c>
      <c r="C576" s="4" t="str">
        <f>IFERROR(__xludf.DUMMYFUNCTION("""COMPUTED_VALUE"""),"Day 2 - 24/06")</f>
        <v>Day 2 - 24/06</v>
      </c>
      <c r="D576" s="6">
        <f>IFERROR(__xludf.DUMMYFUNCTION("""COMPUTED_VALUE"""),0.6993634259259272)</f>
        <v>0.6993634259</v>
      </c>
      <c r="E576" s="6">
        <f>IFERROR(__xludf.DUMMYFUNCTION("""COMPUTED_VALUE"""),0.008078703703703704)</f>
        <v>0.008078703704</v>
      </c>
      <c r="F576" s="6">
        <f>IFERROR(__xludf.DUMMYFUNCTION("""COMPUTED_VALUE"""),0.7074421296296308)</f>
        <v>0.7074421296</v>
      </c>
      <c r="G576" s="4" t="str">
        <f>IFERROR(__xludf.DUMMYFUNCTION("""COMPUTED_VALUE"""),"Gavin")</f>
        <v>Gavin</v>
      </c>
      <c r="H576" s="4" t="str">
        <f>IFERROR(__xludf.DUMMYFUNCTION("""COMPUTED_VALUE"""),"Eoghan")</f>
        <v>Eoghan</v>
      </c>
      <c r="I576" s="4" t="str">
        <f>IFERROR(__xludf.DUMMYFUNCTION("""COMPUTED_VALUE"""),"Manon")</f>
        <v>Manon</v>
      </c>
      <c r="J576" s="4" t="str">
        <f>IFERROR(__xludf.DUMMYFUNCTION("""COMPUTED_VALUE"""),"Privacy &amp; Security")</f>
        <v>Privacy &amp; Security</v>
      </c>
      <c r="K576" s="4" t="str">
        <f>IFERROR(__xludf.DUMMYFUNCTION("""COMPUTED_VALUE"""),"Super Fireside")</f>
        <v>Super Fireside</v>
      </c>
      <c r="L576" s="4" t="str">
        <f>IFERROR(__xludf.DUMMYFUNCTION("""COMPUTED_VALUE"""),"T- 3 - 01/06/2020")</f>
        <v>T- 3 - 01/06/2020</v>
      </c>
      <c r="M576" s="4" t="str">
        <f>IFERROR(__xludf.DUMMYFUNCTION("""COMPUTED_VALUE"""),"Data protection post-Covid")</f>
        <v>Data protection post-Covid</v>
      </c>
      <c r="N576" s="4" t="str">
        <f>IFERROR(__xludf.DUMMYFUNCTION("""COMPUTED_VALUE"""),"Andrew Sullivan, Internet Society")</f>
        <v>Andrew Sullivan, Internet Society</v>
      </c>
      <c r="O576" s="4" t="str">
        <f>IFERROR(__xludf.DUMMYFUNCTION("""COMPUTED_VALUE"""),"Lee Rainie, Pew Research Center")</f>
        <v>Lee Rainie, Pew Research Center</v>
      </c>
      <c r="P576" s="4" t="str">
        <f>IFERROR(__xludf.DUMMYFUNCTION("""COMPUTED_VALUE"""),"")</f>
        <v/>
      </c>
      <c r="Q576" s="4" t="str">
        <f>IFERROR(__xludf.DUMMYFUNCTION("""COMPUTED_VALUE"""),"")</f>
        <v/>
      </c>
      <c r="R576" s="4" t="str">
        <f>IFERROR(__xludf.DUMMYFUNCTION("""COMPUTED_VALUE"""),"Steven Levy, Wired")</f>
        <v>Steven Levy, Wired</v>
      </c>
      <c r="S576" s="4" t="str">
        <f>IFERROR(__xludf.DUMMYFUNCTION("""COMPUTED_VALUE"""),"Privacy and data are two of the most important topics discussed in tech today. Protecting our data has never been more important, and is viewed as such by most people. However, legislators continue to offer up data policy that often fails to protect us. I"&amp;"n this session, we will hear from two experts in the area about how policy should be doing more to safeguard our privacy.")</f>
        <v>Privacy and data are two of the most important topics discussed in tech today. Protecting our data has never been more important, and is viewed as such by most people. However, legislators continue to offer up data policy that often fails to protect us. In this session, we will hear from two experts in the area about how policy should be doing more to safeguard our privacy.</v>
      </c>
      <c r="T576" s="4" t="str">
        <f>IFERROR(__xludf.DUMMYFUNCTION("""COMPUTED_VALUE"""),"NON-KEYNOTE 9 - COMPLETE")</f>
        <v>NON-KEYNOTE 9 - COMPLETE</v>
      </c>
      <c r="U576" s="23">
        <f>IFERROR(__xludf.DUMMYFUNCTION("""COMPUTED_VALUE"""),43983.0)</f>
        <v>43983</v>
      </c>
      <c r="V576" s="24">
        <f>IFERROR(__xludf.DUMMYFUNCTION("""COMPUTED_VALUE"""),0.5833333333333334)</f>
        <v>0.5833333333</v>
      </c>
      <c r="W576" s="4" t="str">
        <f>IFERROR(__xludf.DUMMYFUNCTION("""COMPUTED_VALUE"""),"COMPLETE")</f>
        <v>COMPLETE</v>
      </c>
      <c r="X576" s="4" t="str">
        <f>IFERROR(__xludf.DUMMYFUNCTION("""COMPUTED_VALUE"""),"Gavin")</f>
        <v>Gavin</v>
      </c>
      <c r="Y576" s="4" t="str">
        <f>IFERROR(__xludf.DUMMYFUNCTION("""COMPUTED_VALUE"""),"")</f>
        <v/>
      </c>
    </row>
    <row r="577">
      <c r="A577" s="4" t="str">
        <f>IFERROR(__xludf.DUMMYFUNCTION("""COMPUTED_VALUE"""),"631 - Channel")</f>
        <v>631 - Channel</v>
      </c>
      <c r="B577" s="4" t="str">
        <f>IFERROR(__xludf.DUMMYFUNCTION("""COMPUTED_VALUE"""),"Channel 2")</f>
        <v>Channel 2</v>
      </c>
      <c r="C577" s="4" t="str">
        <f>IFERROR(__xludf.DUMMYFUNCTION("""COMPUTED_VALUE"""),"Day 2 - 24/06")</f>
        <v>Day 2 - 24/06</v>
      </c>
      <c r="D577" s="6">
        <f>IFERROR(__xludf.DUMMYFUNCTION("""COMPUTED_VALUE"""),0.7074421296296308)</f>
        <v>0.7074421296</v>
      </c>
      <c r="E577" s="6">
        <f>IFERROR(__xludf.DUMMYFUNCTION("""COMPUTED_VALUE"""),3.4722222222222224E-4)</f>
        <v>0.0003472222222</v>
      </c>
      <c r="F577" s="6">
        <f>IFERROR(__xludf.DUMMYFUNCTION("""COMPUTED_VALUE"""),0.7077893518518531)</f>
        <v>0.7077893519</v>
      </c>
      <c r="G577" s="4" t="str">
        <f>IFERROR(__xludf.DUMMYFUNCTION("""COMPUTED_VALUE"""),"Graphics")</f>
        <v>Graphics</v>
      </c>
      <c r="H577" s="4" t="str">
        <f>IFERROR(__xludf.DUMMYFUNCTION("""COMPUTED_VALUE"""),"")</f>
        <v/>
      </c>
      <c r="I577" s="4" t="str">
        <f>IFERROR(__xludf.DUMMYFUNCTION("""COMPUTED_VALUE"""),"")</f>
        <v/>
      </c>
      <c r="J577" s="4" t="str">
        <f>IFERROR(__xludf.DUMMYFUNCTION("""COMPUTED_VALUE"""),"Privacy &amp; Security")</f>
        <v>Privacy &amp; Security</v>
      </c>
      <c r="K577" s="4" t="str">
        <f>IFERROR(__xludf.DUMMYFUNCTION("""COMPUTED_VALUE"""),"Collision From Home Day Outro")</f>
        <v>Collision From Home Day Outro</v>
      </c>
      <c r="L577" s="4" t="str">
        <f>IFERROR(__xludf.DUMMYFUNCTION("""COMPUTED_VALUE"""),"")</f>
        <v/>
      </c>
      <c r="M577" s="4" t="str">
        <f>IFERROR(__xludf.DUMMYFUNCTION("""COMPUTED_VALUE"""),"Collision From Home Day Outro")</f>
        <v>Collision From Home Day Outro</v>
      </c>
      <c r="N577" s="4" t="str">
        <f>IFERROR(__xludf.DUMMYFUNCTION("""COMPUTED_VALUE"""),"")</f>
        <v/>
      </c>
      <c r="O577" s="4" t="str">
        <f>IFERROR(__xludf.DUMMYFUNCTION("""COMPUTED_VALUE"""),"")</f>
        <v/>
      </c>
      <c r="P577" s="4" t="str">
        <f>IFERROR(__xludf.DUMMYFUNCTION("""COMPUTED_VALUE"""),"")</f>
        <v/>
      </c>
      <c r="Q577" s="4" t="str">
        <f>IFERROR(__xludf.DUMMYFUNCTION("""COMPUTED_VALUE"""),"")</f>
        <v/>
      </c>
      <c r="R577" s="4" t="str">
        <f>IFERROR(__xludf.DUMMYFUNCTION("""COMPUTED_VALUE"""),"")</f>
        <v/>
      </c>
      <c r="S577" s="4" t="str">
        <f>IFERROR(__xludf.DUMMYFUNCTION("""COMPUTED_VALUE"""),"")</f>
        <v/>
      </c>
      <c r="T577" s="4" t="str">
        <f>IFERROR(__xludf.DUMMYFUNCTION("""COMPUTED_VALUE"""),"")</f>
        <v/>
      </c>
      <c r="U577" s="4" t="str">
        <f>IFERROR(__xludf.DUMMYFUNCTION("""COMPUTED_VALUE"""),"")</f>
        <v/>
      </c>
      <c r="V577" s="4" t="str">
        <f>IFERROR(__xludf.DUMMYFUNCTION("""COMPUTED_VALUE"""),"")</f>
        <v/>
      </c>
      <c r="W577" s="4" t="str">
        <f>IFERROR(__xludf.DUMMYFUNCTION("""COMPUTED_VALUE"""),"")</f>
        <v/>
      </c>
      <c r="X577" s="4" t="str">
        <f>IFERROR(__xludf.DUMMYFUNCTION("""COMPUTED_VALUE"""),"")</f>
        <v/>
      </c>
      <c r="Y577" s="4" t="str">
        <f>IFERROR(__xludf.DUMMYFUNCTION("""COMPUTED_VALUE"""),"")</f>
        <v/>
      </c>
    </row>
    <row r="578">
      <c r="A578" s="4" t="str">
        <f>IFERROR(__xludf.DUMMYFUNCTION("""COMPUTED_VALUE"""),"632 - Channel")</f>
        <v>632 - Channel</v>
      </c>
      <c r="B578" s="4" t="str">
        <f>IFERROR(__xludf.DUMMYFUNCTION("""COMPUTED_VALUE"""),"Channel 2")</f>
        <v>Channel 2</v>
      </c>
      <c r="C578" s="4" t="str">
        <f>IFERROR(__xludf.DUMMYFUNCTION("""COMPUTED_VALUE"""),"")</f>
        <v/>
      </c>
      <c r="D578" s="4" t="str">
        <f>IFERROR(__xludf.DUMMYFUNCTION("""COMPUTED_VALUE"""),"")</f>
        <v/>
      </c>
      <c r="E578" s="4" t="str">
        <f>IFERROR(__xludf.DUMMYFUNCTION("""COMPUTED_VALUE"""),"")</f>
        <v/>
      </c>
      <c r="F578" s="4" t="str">
        <f>IFERROR(__xludf.DUMMYFUNCTION("""COMPUTED_VALUE"""),"")</f>
        <v/>
      </c>
      <c r="G578" s="4" t="str">
        <f>IFERROR(__xludf.DUMMYFUNCTION("""COMPUTED_VALUE"""),"")</f>
        <v/>
      </c>
      <c r="H578" s="4" t="str">
        <f>IFERROR(__xludf.DUMMYFUNCTION("""COMPUTED_VALUE"""),"")</f>
        <v/>
      </c>
      <c r="I578" s="4" t="str">
        <f>IFERROR(__xludf.DUMMYFUNCTION("""COMPUTED_VALUE"""),"")</f>
        <v/>
      </c>
      <c r="J578" s="4" t="str">
        <f>IFERROR(__xludf.DUMMYFUNCTION("""COMPUTED_VALUE"""),"")</f>
        <v/>
      </c>
      <c r="K578" s="4" t="str">
        <f>IFERROR(__xludf.DUMMYFUNCTION("""COMPUTED_VALUE"""),"")</f>
        <v/>
      </c>
      <c r="L578" s="4" t="str">
        <f>IFERROR(__xludf.DUMMYFUNCTION("""COMPUTED_VALUE"""),"")</f>
        <v/>
      </c>
      <c r="M578" s="4" t="str">
        <f>IFERROR(__xludf.DUMMYFUNCTION("""COMPUTED_VALUE"""),"")</f>
        <v/>
      </c>
      <c r="N578" s="4" t="str">
        <f>IFERROR(__xludf.DUMMYFUNCTION("""COMPUTED_VALUE"""),"")</f>
        <v/>
      </c>
      <c r="O578" s="4" t="str">
        <f>IFERROR(__xludf.DUMMYFUNCTION("""COMPUTED_VALUE"""),"")</f>
        <v/>
      </c>
      <c r="P578" s="4" t="str">
        <f>IFERROR(__xludf.DUMMYFUNCTION("""COMPUTED_VALUE"""),"")</f>
        <v/>
      </c>
      <c r="Q578" s="4" t="str">
        <f>IFERROR(__xludf.DUMMYFUNCTION("""COMPUTED_VALUE"""),"")</f>
        <v/>
      </c>
      <c r="R578" s="4" t="str">
        <f>IFERROR(__xludf.DUMMYFUNCTION("""COMPUTED_VALUE"""),"")</f>
        <v/>
      </c>
      <c r="S578" s="4" t="str">
        <f>IFERROR(__xludf.DUMMYFUNCTION("""COMPUTED_VALUE"""),"")</f>
        <v/>
      </c>
      <c r="T578" s="4" t="str">
        <f>IFERROR(__xludf.DUMMYFUNCTION("""COMPUTED_VALUE"""),"")</f>
        <v/>
      </c>
      <c r="U578" s="4" t="str">
        <f>IFERROR(__xludf.DUMMYFUNCTION("""COMPUTED_VALUE"""),"")</f>
        <v/>
      </c>
      <c r="V578" s="4" t="str">
        <f>IFERROR(__xludf.DUMMYFUNCTION("""COMPUTED_VALUE"""),"")</f>
        <v/>
      </c>
      <c r="W578" s="4" t="str">
        <f>IFERROR(__xludf.DUMMYFUNCTION("""COMPUTED_VALUE"""),"")</f>
        <v/>
      </c>
      <c r="X578" s="4" t="str">
        <f>IFERROR(__xludf.DUMMYFUNCTION("""COMPUTED_VALUE"""),"")</f>
        <v/>
      </c>
      <c r="Y578" s="4" t="str">
        <f>IFERROR(__xludf.DUMMYFUNCTION("""COMPUTED_VALUE"""),"")</f>
        <v/>
      </c>
    </row>
    <row r="579">
      <c r="A579" s="4" t="str">
        <f>IFERROR(__xludf.DUMMYFUNCTION("""COMPUTED_VALUE"""),"633 - Channel")</f>
        <v>633 - Channel</v>
      </c>
      <c r="B579" s="4" t="str">
        <f>IFERROR(__xludf.DUMMYFUNCTION("""COMPUTED_VALUE"""),"Channel 2")</f>
        <v>Channel 2</v>
      </c>
      <c r="C579" s="4" t="str">
        <f>IFERROR(__xludf.DUMMYFUNCTION("""COMPUTED_VALUE"""),"")</f>
        <v/>
      </c>
      <c r="D579" s="4" t="str">
        <f>IFERROR(__xludf.DUMMYFUNCTION("""COMPUTED_VALUE"""),"")</f>
        <v/>
      </c>
      <c r="E579" s="4" t="str">
        <f>IFERROR(__xludf.DUMMYFUNCTION("""COMPUTED_VALUE"""),"")</f>
        <v/>
      </c>
      <c r="F579" s="4" t="str">
        <f>IFERROR(__xludf.DUMMYFUNCTION("""COMPUTED_VALUE"""),"")</f>
        <v/>
      </c>
      <c r="G579" s="4" t="str">
        <f>IFERROR(__xludf.DUMMYFUNCTION("""COMPUTED_VALUE"""),"")</f>
        <v/>
      </c>
      <c r="H579" s="4" t="str">
        <f>IFERROR(__xludf.DUMMYFUNCTION("""COMPUTED_VALUE"""),"")</f>
        <v/>
      </c>
      <c r="I579" s="4" t="str">
        <f>IFERROR(__xludf.DUMMYFUNCTION("""COMPUTED_VALUE"""),"")</f>
        <v/>
      </c>
      <c r="J579" s="4" t="str">
        <f>IFERROR(__xludf.DUMMYFUNCTION("""COMPUTED_VALUE"""),"")</f>
        <v/>
      </c>
      <c r="K579" s="4" t="str">
        <f>IFERROR(__xludf.DUMMYFUNCTION("""COMPUTED_VALUE"""),"")</f>
        <v/>
      </c>
      <c r="L579" s="4" t="str">
        <f>IFERROR(__xludf.DUMMYFUNCTION("""COMPUTED_VALUE"""),"")</f>
        <v/>
      </c>
      <c r="M579" s="4" t="str">
        <f>IFERROR(__xludf.DUMMYFUNCTION("""COMPUTED_VALUE"""),"")</f>
        <v/>
      </c>
      <c r="N579" s="4" t="str">
        <f>IFERROR(__xludf.DUMMYFUNCTION("""COMPUTED_VALUE"""),"")</f>
        <v/>
      </c>
      <c r="O579" s="4" t="str">
        <f>IFERROR(__xludf.DUMMYFUNCTION("""COMPUTED_VALUE"""),"")</f>
        <v/>
      </c>
      <c r="P579" s="4" t="str">
        <f>IFERROR(__xludf.DUMMYFUNCTION("""COMPUTED_VALUE"""),"")</f>
        <v/>
      </c>
      <c r="Q579" s="4" t="str">
        <f>IFERROR(__xludf.DUMMYFUNCTION("""COMPUTED_VALUE"""),"")</f>
        <v/>
      </c>
      <c r="R579" s="4" t="str">
        <f>IFERROR(__xludf.DUMMYFUNCTION("""COMPUTED_VALUE"""),"")</f>
        <v/>
      </c>
      <c r="S579" s="4" t="str">
        <f>IFERROR(__xludf.DUMMYFUNCTION("""COMPUTED_VALUE"""),"")</f>
        <v/>
      </c>
      <c r="T579" s="4" t="str">
        <f>IFERROR(__xludf.DUMMYFUNCTION("""COMPUTED_VALUE"""),"")</f>
        <v/>
      </c>
      <c r="U579" s="4" t="str">
        <f>IFERROR(__xludf.DUMMYFUNCTION("""COMPUTED_VALUE"""),"")</f>
        <v/>
      </c>
      <c r="V579" s="4" t="str">
        <f>IFERROR(__xludf.DUMMYFUNCTION("""COMPUTED_VALUE"""),"")</f>
        <v/>
      </c>
      <c r="W579" s="4" t="str">
        <f>IFERROR(__xludf.DUMMYFUNCTION("""COMPUTED_VALUE"""),"")</f>
        <v/>
      </c>
      <c r="X579" s="4" t="str">
        <f>IFERROR(__xludf.DUMMYFUNCTION("""COMPUTED_VALUE"""),"")</f>
        <v/>
      </c>
      <c r="Y579" s="4" t="str">
        <f>IFERROR(__xludf.DUMMYFUNCTION("""COMPUTED_VALUE"""),"")</f>
        <v/>
      </c>
    </row>
    <row r="580">
      <c r="A580" s="4" t="str">
        <f>IFERROR(__xludf.DUMMYFUNCTION("""COMPUTED_VALUE"""),"634 - Channel")</f>
        <v>634 - Channel</v>
      </c>
      <c r="B580" s="4" t="str">
        <f>IFERROR(__xludf.DUMMYFUNCTION("""COMPUTED_VALUE"""),"DAY 3 - Thursday, 25 June")</f>
        <v>DAY 3 - Thursday, 25 June</v>
      </c>
      <c r="C580" s="4" t="str">
        <f>IFERROR(__xludf.DUMMYFUNCTION("""COMPUTED_VALUE"""),"")</f>
        <v/>
      </c>
      <c r="D580" s="4" t="str">
        <f>IFERROR(__xludf.DUMMYFUNCTION("""COMPUTED_VALUE"""),"")</f>
        <v/>
      </c>
      <c r="E580" s="4" t="str">
        <f>IFERROR(__xludf.DUMMYFUNCTION("""COMPUTED_VALUE"""),"")</f>
        <v/>
      </c>
      <c r="F580" s="4" t="str">
        <f>IFERROR(__xludf.DUMMYFUNCTION("""COMPUTED_VALUE"""),"")</f>
        <v/>
      </c>
      <c r="G580" s="4" t="str">
        <f>IFERROR(__xludf.DUMMYFUNCTION("""COMPUTED_VALUE"""),"")</f>
        <v/>
      </c>
      <c r="H580" s="4" t="str">
        <f>IFERROR(__xludf.DUMMYFUNCTION("""COMPUTED_VALUE"""),"")</f>
        <v/>
      </c>
      <c r="I580" s="4" t="str">
        <f>IFERROR(__xludf.DUMMYFUNCTION("""COMPUTED_VALUE"""),"")</f>
        <v/>
      </c>
      <c r="J580" s="4" t="str">
        <f>IFERROR(__xludf.DUMMYFUNCTION("""COMPUTED_VALUE"""),"")</f>
        <v/>
      </c>
      <c r="K580" s="4" t="str">
        <f>IFERROR(__xludf.DUMMYFUNCTION("""COMPUTED_VALUE"""),"")</f>
        <v/>
      </c>
      <c r="L580" s="4" t="str">
        <f>IFERROR(__xludf.DUMMYFUNCTION("""COMPUTED_VALUE"""),"")</f>
        <v/>
      </c>
      <c r="M580" s="4" t="str">
        <f>IFERROR(__xludf.DUMMYFUNCTION("""COMPUTED_VALUE"""),"")</f>
        <v/>
      </c>
      <c r="N580" s="4" t="str">
        <f>IFERROR(__xludf.DUMMYFUNCTION("""COMPUTED_VALUE"""),"")</f>
        <v/>
      </c>
      <c r="O580" s="4" t="str">
        <f>IFERROR(__xludf.DUMMYFUNCTION("""COMPUTED_VALUE"""),"")</f>
        <v/>
      </c>
      <c r="P580" s="4" t="str">
        <f>IFERROR(__xludf.DUMMYFUNCTION("""COMPUTED_VALUE"""),"")</f>
        <v/>
      </c>
      <c r="Q580" s="4" t="str">
        <f>IFERROR(__xludf.DUMMYFUNCTION("""COMPUTED_VALUE"""),"")</f>
        <v/>
      </c>
      <c r="R580" s="4" t="str">
        <f>IFERROR(__xludf.DUMMYFUNCTION("""COMPUTED_VALUE"""),"")</f>
        <v/>
      </c>
      <c r="S580" s="4" t="str">
        <f>IFERROR(__xludf.DUMMYFUNCTION("""COMPUTED_VALUE"""),"")</f>
        <v/>
      </c>
      <c r="T580" s="4" t="str">
        <f>IFERROR(__xludf.DUMMYFUNCTION("""COMPUTED_VALUE"""),"")</f>
        <v/>
      </c>
      <c r="U580" s="4" t="str">
        <f>IFERROR(__xludf.DUMMYFUNCTION("""COMPUTED_VALUE"""),"")</f>
        <v/>
      </c>
      <c r="V580" s="4" t="str">
        <f>IFERROR(__xludf.DUMMYFUNCTION("""COMPUTED_VALUE"""),"")</f>
        <v/>
      </c>
      <c r="W580" s="4" t="str">
        <f>IFERROR(__xludf.DUMMYFUNCTION("""COMPUTED_VALUE"""),"")</f>
        <v/>
      </c>
      <c r="X580" s="4" t="str">
        <f>IFERROR(__xludf.DUMMYFUNCTION("""COMPUTED_VALUE"""),"")</f>
        <v/>
      </c>
      <c r="Y580" s="4" t="str">
        <f>IFERROR(__xludf.DUMMYFUNCTION("""COMPUTED_VALUE"""),"")</f>
        <v/>
      </c>
    </row>
    <row r="581">
      <c r="A581" s="4" t="str">
        <f>IFERROR(__xludf.DUMMYFUNCTION("""COMPUTED_VALUE"""),"635 - Channel")</f>
        <v>635 - Channel</v>
      </c>
      <c r="B581" s="4" t="str">
        <f>IFERROR(__xludf.DUMMYFUNCTION("""COMPUTED_VALUE"""),"Channel 2")</f>
        <v>Channel 2</v>
      </c>
      <c r="C581" s="4" t="str">
        <f>IFERROR(__xludf.DUMMYFUNCTION("""COMPUTED_VALUE"""),"Day 3 - 25/06")</f>
        <v>Day 3 - 25/06</v>
      </c>
      <c r="D581" s="6">
        <f>IFERROR(__xludf.DUMMYFUNCTION("""COMPUTED_VALUE"""),0.4166666666666667)</f>
        <v>0.4166666667</v>
      </c>
      <c r="E581" s="6">
        <f>IFERROR(__xludf.DUMMYFUNCTION("""COMPUTED_VALUE"""),0.0010416666666666667)</f>
        <v>0.001041666667</v>
      </c>
      <c r="F581" s="6">
        <f>IFERROR(__xludf.DUMMYFUNCTION("""COMPUTED_VALUE"""),0.41770833333333335)</f>
        <v>0.4177083333</v>
      </c>
      <c r="G581" s="4" t="str">
        <f>IFERROR(__xludf.DUMMYFUNCTION("""COMPUTED_VALUE"""),"Graphics")</f>
        <v>Graphics</v>
      </c>
      <c r="H581" s="4" t="str">
        <f>IFERROR(__xludf.DUMMYFUNCTION("""COMPUTED_VALUE"""),"")</f>
        <v/>
      </c>
      <c r="I581" s="4" t="str">
        <f>IFERROR(__xludf.DUMMYFUNCTION("""COMPUTED_VALUE"""),"")</f>
        <v/>
      </c>
      <c r="J581" s="4" t="str">
        <f>IFERROR(__xludf.DUMMYFUNCTION("""COMPUTED_VALUE"""),"Remote working")</f>
        <v>Remote working</v>
      </c>
      <c r="K581" s="4" t="str">
        <f>IFERROR(__xludf.DUMMYFUNCTION("""COMPUTED_VALUE"""),"Collision From Home Day Intro")</f>
        <v>Collision From Home Day Intro</v>
      </c>
      <c r="L581" s="4" t="str">
        <f>IFERROR(__xludf.DUMMYFUNCTION("""COMPUTED_VALUE"""),"")</f>
        <v/>
      </c>
      <c r="M581" s="4" t="str">
        <f>IFERROR(__xludf.DUMMYFUNCTION("""COMPUTED_VALUE"""),"Collision From Home Day Intro")</f>
        <v>Collision From Home Day Intro</v>
      </c>
      <c r="N581" s="4" t="str">
        <f>IFERROR(__xludf.DUMMYFUNCTION("""COMPUTED_VALUE"""),"")</f>
        <v/>
      </c>
      <c r="O581" s="4" t="str">
        <f>IFERROR(__xludf.DUMMYFUNCTION("""COMPUTED_VALUE"""),"")</f>
        <v/>
      </c>
      <c r="P581" s="4" t="str">
        <f>IFERROR(__xludf.DUMMYFUNCTION("""COMPUTED_VALUE"""),"")</f>
        <v/>
      </c>
      <c r="Q581" s="4" t="str">
        <f>IFERROR(__xludf.DUMMYFUNCTION("""COMPUTED_VALUE"""),"")</f>
        <v/>
      </c>
      <c r="R581" s="4" t="str">
        <f>IFERROR(__xludf.DUMMYFUNCTION("""COMPUTED_VALUE"""),"")</f>
        <v/>
      </c>
      <c r="S581" s="4" t="str">
        <f>IFERROR(__xludf.DUMMYFUNCTION("""COMPUTED_VALUE"""),"")</f>
        <v/>
      </c>
      <c r="T581" s="4" t="str">
        <f>IFERROR(__xludf.DUMMYFUNCTION("""COMPUTED_VALUE"""),"")</f>
        <v/>
      </c>
      <c r="U581" s="4" t="str">
        <f>IFERROR(__xludf.DUMMYFUNCTION("""COMPUTED_VALUE"""),"")</f>
        <v/>
      </c>
      <c r="V581" s="4" t="str">
        <f>IFERROR(__xludf.DUMMYFUNCTION("""COMPUTED_VALUE"""),"")</f>
        <v/>
      </c>
      <c r="W581" s="4" t="str">
        <f>IFERROR(__xludf.DUMMYFUNCTION("""COMPUTED_VALUE"""),"")</f>
        <v/>
      </c>
      <c r="X581" s="4" t="str">
        <f>IFERROR(__xludf.DUMMYFUNCTION("""COMPUTED_VALUE"""),"")</f>
        <v/>
      </c>
      <c r="Y581" s="4" t="str">
        <f>IFERROR(__xludf.DUMMYFUNCTION("""COMPUTED_VALUE"""),"")</f>
        <v/>
      </c>
    </row>
    <row r="582">
      <c r="A582" s="4" t="str">
        <f>IFERROR(__xludf.DUMMYFUNCTION("""COMPUTED_VALUE"""),"636 - Channel")</f>
        <v>636 - Channel</v>
      </c>
      <c r="B582" s="4" t="str">
        <f>IFERROR(__xludf.DUMMYFUNCTION("""COMPUTED_VALUE"""),"Channel 2")</f>
        <v>Channel 2</v>
      </c>
      <c r="C582" s="4" t="str">
        <f>IFERROR(__xludf.DUMMYFUNCTION("""COMPUTED_VALUE"""),"Day 3 - 25/06")</f>
        <v>Day 3 - 25/06</v>
      </c>
      <c r="D582" s="6">
        <f>IFERROR(__xludf.DUMMYFUNCTION("""COMPUTED_VALUE"""),0.41770833333333335)</f>
        <v>0.4177083333</v>
      </c>
      <c r="E582" s="6">
        <f>IFERROR(__xludf.DUMMYFUNCTION("""COMPUTED_VALUE"""),1.7361111111111112E-4)</f>
        <v>0.0001736111111</v>
      </c>
      <c r="F582" s="6">
        <f>IFERROR(__xludf.DUMMYFUNCTION("""COMPUTED_VALUE"""),0.4178819444444445)</f>
        <v>0.4178819444</v>
      </c>
      <c r="G582" s="4" t="str">
        <f>IFERROR(__xludf.DUMMYFUNCTION("""COMPUTED_VALUE"""),"Graphics")</f>
        <v>Graphics</v>
      </c>
      <c r="H582" s="4" t="str">
        <f>IFERROR(__xludf.DUMMYFUNCTION("""COMPUTED_VALUE"""),"")</f>
        <v/>
      </c>
      <c r="I582" s="4" t="str">
        <f>IFERROR(__xludf.DUMMYFUNCTION("""COMPUTED_VALUE"""),"")</f>
        <v/>
      </c>
      <c r="J582" s="4" t="str">
        <f>IFERROR(__xludf.DUMMYFUNCTION("""COMPUTED_VALUE"""),"Remote working")</f>
        <v>Remote working</v>
      </c>
      <c r="K582" s="4" t="str">
        <f>IFERROR(__xludf.DUMMYFUNCTION("""COMPUTED_VALUE"""),"Talk Intro")</f>
        <v>Talk Intro</v>
      </c>
      <c r="L582" s="4" t="str">
        <f>IFERROR(__xludf.DUMMYFUNCTION("""COMPUTED_VALUE"""),"")</f>
        <v/>
      </c>
      <c r="M582" s="4" t="str">
        <f>IFERROR(__xludf.DUMMYFUNCTION("""COMPUTED_VALUE"""),"Talk Intro")</f>
        <v>Talk Intro</v>
      </c>
      <c r="N582" s="4" t="str">
        <f>IFERROR(__xludf.DUMMYFUNCTION("""COMPUTED_VALUE"""),"")</f>
        <v/>
      </c>
      <c r="O582" s="4" t="str">
        <f>IFERROR(__xludf.DUMMYFUNCTION("""COMPUTED_VALUE"""),"")</f>
        <v/>
      </c>
      <c r="P582" s="4" t="str">
        <f>IFERROR(__xludf.DUMMYFUNCTION("""COMPUTED_VALUE"""),"")</f>
        <v/>
      </c>
      <c r="Q582" s="4" t="str">
        <f>IFERROR(__xludf.DUMMYFUNCTION("""COMPUTED_VALUE"""),"")</f>
        <v/>
      </c>
      <c r="R582" s="4" t="str">
        <f>IFERROR(__xludf.DUMMYFUNCTION("""COMPUTED_VALUE"""),"")</f>
        <v/>
      </c>
      <c r="S582" s="4" t="str">
        <f>IFERROR(__xludf.DUMMYFUNCTION("""COMPUTED_VALUE"""),"")</f>
        <v/>
      </c>
      <c r="T582" s="4" t="str">
        <f>IFERROR(__xludf.DUMMYFUNCTION("""COMPUTED_VALUE"""),"")</f>
        <v/>
      </c>
      <c r="U582" s="4" t="str">
        <f>IFERROR(__xludf.DUMMYFUNCTION("""COMPUTED_VALUE"""),"")</f>
        <v/>
      </c>
      <c r="V582" s="4" t="str">
        <f>IFERROR(__xludf.DUMMYFUNCTION("""COMPUTED_VALUE"""),"")</f>
        <v/>
      </c>
      <c r="W582" s="4" t="str">
        <f>IFERROR(__xludf.DUMMYFUNCTION("""COMPUTED_VALUE"""),"")</f>
        <v/>
      </c>
      <c r="X582" s="4" t="str">
        <f>IFERROR(__xludf.DUMMYFUNCTION("""COMPUTED_VALUE"""),"")</f>
        <v/>
      </c>
      <c r="Y582" s="4" t="str">
        <f>IFERROR(__xludf.DUMMYFUNCTION("""COMPUTED_VALUE"""),"")</f>
        <v/>
      </c>
    </row>
    <row r="583">
      <c r="A583" s="4" t="str">
        <f>IFERROR(__xludf.DUMMYFUNCTION("""COMPUTED_VALUE"""),"637 - Channel")</f>
        <v>637 - Channel</v>
      </c>
      <c r="B583" s="4" t="str">
        <f>IFERROR(__xludf.DUMMYFUNCTION("""COMPUTED_VALUE"""),"Channel 2")</f>
        <v>Channel 2</v>
      </c>
      <c r="C583" s="4" t="str">
        <f>IFERROR(__xludf.DUMMYFUNCTION("""COMPUTED_VALUE"""),"Day 3 - 25/06")</f>
        <v>Day 3 - 25/06</v>
      </c>
      <c r="D583" s="6">
        <f>IFERROR(__xludf.DUMMYFUNCTION("""COMPUTED_VALUE"""),0.4178819444444445)</f>
        <v>0.4178819444</v>
      </c>
      <c r="E583" s="6">
        <f>IFERROR(__xludf.DUMMYFUNCTION("""COMPUTED_VALUE"""),0.011435185185185185)</f>
        <v>0.01143518519</v>
      </c>
      <c r="F583" s="6">
        <f>IFERROR(__xludf.DUMMYFUNCTION("""COMPUTED_VALUE"""),0.42931712962962965)</f>
        <v>0.4293171296</v>
      </c>
      <c r="G583" s="4" t="str">
        <f>IFERROR(__xludf.DUMMYFUNCTION("""COMPUTED_VALUE"""),"Ahmed")</f>
        <v>Ahmed</v>
      </c>
      <c r="H583" s="4" t="str">
        <f>IFERROR(__xludf.DUMMYFUNCTION("""COMPUTED_VALUE"""),"Lingyu")</f>
        <v>Lingyu</v>
      </c>
      <c r="I583" s="4" t="str">
        <f>IFERROR(__xludf.DUMMYFUNCTION("""COMPUTED_VALUE"""),"Francisca")</f>
        <v>Francisca</v>
      </c>
      <c r="J583" s="4" t="str">
        <f>IFERROR(__xludf.DUMMYFUNCTION("""COMPUTED_VALUE"""),"Remote working")</f>
        <v>Remote working</v>
      </c>
      <c r="K583" s="4" t="str">
        <f>IFERROR(__xludf.DUMMYFUNCTION("""COMPUTED_VALUE"""),"Panel")</f>
        <v>Panel</v>
      </c>
      <c r="L583" s="4" t="str">
        <f>IFERROR(__xludf.DUMMYFUNCTION("""COMPUTED_VALUE"""),"T- 5 - 18/05/2020")</f>
        <v>T- 5 - 18/05/2020</v>
      </c>
      <c r="M583" s="4" t="str">
        <f>IFERROR(__xludf.DUMMYFUNCTION("""COMPUTED_VALUE"""),"Post Covid-19: Can work ever be the same?")</f>
        <v>Post Covid-19: Can work ever be the same?</v>
      </c>
      <c r="N583" s="4" t="str">
        <f>IFERROR(__xludf.DUMMYFUNCTION("""COMPUTED_VALUE"""),"Dominique Malenfant, Wabtec")</f>
        <v>Dominique Malenfant, Wabtec</v>
      </c>
      <c r="O583" s="4" t="str">
        <f>IFERROR(__xludf.DUMMYFUNCTION("""COMPUTED_VALUE"""),"Marco Greenberg, Thunder 11")</f>
        <v>Marco Greenberg, Thunder 11</v>
      </c>
      <c r="P583" s="4" t="str">
        <f>IFERROR(__xludf.DUMMYFUNCTION("""COMPUTED_VALUE"""),"Akiko Naka, Wantedly")</f>
        <v>Akiko Naka, Wantedly</v>
      </c>
      <c r="Q583" s="4" t="str">
        <f>IFERROR(__xludf.DUMMYFUNCTION("""COMPUTED_VALUE"""),"")</f>
        <v/>
      </c>
      <c r="R583" s="4" t="str">
        <f>IFERROR(__xludf.DUMMYFUNCTION("""COMPUTED_VALUE"""),"Bari Weiss, The New York Times")</f>
        <v>Bari Weiss, The New York Times</v>
      </c>
      <c r="S583" s="4" t="str">
        <f>IFERROR(__xludf.DUMMYFUNCTION("""COMPUTED_VALUE"""),"How will the pandemic impact organisations in shaping the future of how we work? Will it accelerate inevitable developments or should digital transformation projects pause? Our panellists look towards the workforce of the future, analyzing the trends that"&amp;" we can expect and examining the ways in which innovation can flourish in spite of these difficult times.")</f>
        <v>How will the pandemic impact organisations in shaping the future of how we work? Will it accelerate inevitable developments or should digital transformation projects pause? Our panellists look towards the workforce of the future, analyzing the trends that we can expect and examining the ways in which innovation can flourish in spite of these difficult times.</v>
      </c>
      <c r="T583" s="4" t="str">
        <f>IFERROR(__xludf.DUMMYFUNCTION("""COMPUTED_VALUE"""),"NON-KEYNOTE 9 - COMPLETE")</f>
        <v>NON-KEYNOTE 9 - COMPLETE</v>
      </c>
      <c r="U583" s="23">
        <f>IFERROR(__xludf.DUMMYFUNCTION("""COMPUTED_VALUE"""),43970.0)</f>
        <v>43970</v>
      </c>
      <c r="V583" s="24">
        <f>IFERROR(__xludf.DUMMYFUNCTION("""COMPUTED_VALUE"""),0.9583333333333334)</f>
        <v>0.9583333333</v>
      </c>
      <c r="W583" s="4" t="str">
        <f>IFERROR(__xludf.DUMMYFUNCTION("""COMPUTED_VALUE"""),"COMPLETE")</f>
        <v>COMPLETE</v>
      </c>
      <c r="X583" s="4" t="str">
        <f>IFERROR(__xludf.DUMMYFUNCTION("""COMPUTED_VALUE"""),"Ahmed")</f>
        <v>Ahmed</v>
      </c>
      <c r="Y583" s="4" t="str">
        <f>IFERROR(__xludf.DUMMYFUNCTION("""COMPUTED_VALUE"""),"")</f>
        <v/>
      </c>
    </row>
    <row r="584">
      <c r="A584" s="4" t="str">
        <f>IFERROR(__xludf.DUMMYFUNCTION("""COMPUTED_VALUE"""),"638 - Channel")</f>
        <v>638 - Channel</v>
      </c>
      <c r="B584" s="4" t="str">
        <f>IFERROR(__xludf.DUMMYFUNCTION("""COMPUTED_VALUE"""),"Channel 2")</f>
        <v>Channel 2</v>
      </c>
      <c r="C584" s="4" t="str">
        <f>IFERROR(__xludf.DUMMYFUNCTION("""COMPUTED_VALUE"""),"Day 3 - 25/06")</f>
        <v>Day 3 - 25/06</v>
      </c>
      <c r="D584" s="6">
        <f>IFERROR(__xludf.DUMMYFUNCTION("""COMPUTED_VALUE"""),0.42931712962962965)</f>
        <v>0.4293171296</v>
      </c>
      <c r="E584" s="6">
        <f>IFERROR(__xludf.DUMMYFUNCTION("""COMPUTED_VALUE"""),1.7361111111111112E-4)</f>
        <v>0.0001736111111</v>
      </c>
      <c r="F584" s="6">
        <f>IFERROR(__xludf.DUMMYFUNCTION("""COMPUTED_VALUE"""),0.4294907407407408)</f>
        <v>0.4294907407</v>
      </c>
      <c r="G584" s="4" t="str">
        <f>IFERROR(__xludf.DUMMYFUNCTION("""COMPUTED_VALUE"""),"Graphics")</f>
        <v>Graphics</v>
      </c>
      <c r="H584" s="4" t="str">
        <f>IFERROR(__xludf.DUMMYFUNCTION("""COMPUTED_VALUE"""),"")</f>
        <v/>
      </c>
      <c r="I584" s="4" t="str">
        <f>IFERROR(__xludf.DUMMYFUNCTION("""COMPUTED_VALUE"""),"")</f>
        <v/>
      </c>
      <c r="J584" s="4" t="str">
        <f>IFERROR(__xludf.DUMMYFUNCTION("""COMPUTED_VALUE"""),"Remote working")</f>
        <v>Remote working</v>
      </c>
      <c r="K584" s="4" t="str">
        <f>IFERROR(__xludf.DUMMYFUNCTION("""COMPUTED_VALUE"""),"Talk Outro")</f>
        <v>Talk Outro</v>
      </c>
      <c r="L584" s="4" t="str">
        <f>IFERROR(__xludf.DUMMYFUNCTION("""COMPUTED_VALUE"""),"")</f>
        <v/>
      </c>
      <c r="M584" s="4" t="str">
        <f>IFERROR(__xludf.DUMMYFUNCTION("""COMPUTED_VALUE"""),"Talk Outro")</f>
        <v>Talk Outro</v>
      </c>
      <c r="N584" s="4" t="str">
        <f>IFERROR(__xludf.DUMMYFUNCTION("""COMPUTED_VALUE"""),"")</f>
        <v/>
      </c>
      <c r="O584" s="4" t="str">
        <f>IFERROR(__xludf.DUMMYFUNCTION("""COMPUTED_VALUE"""),"")</f>
        <v/>
      </c>
      <c r="P584" s="4" t="str">
        <f>IFERROR(__xludf.DUMMYFUNCTION("""COMPUTED_VALUE"""),"")</f>
        <v/>
      </c>
      <c r="Q584" s="4" t="str">
        <f>IFERROR(__xludf.DUMMYFUNCTION("""COMPUTED_VALUE"""),"")</f>
        <v/>
      </c>
      <c r="R584" s="4" t="str">
        <f>IFERROR(__xludf.DUMMYFUNCTION("""COMPUTED_VALUE"""),"")</f>
        <v/>
      </c>
      <c r="S584" s="4" t="str">
        <f>IFERROR(__xludf.DUMMYFUNCTION("""COMPUTED_VALUE"""),"")</f>
        <v/>
      </c>
      <c r="T584" s="4" t="str">
        <f>IFERROR(__xludf.DUMMYFUNCTION("""COMPUTED_VALUE"""),"")</f>
        <v/>
      </c>
      <c r="U584" s="4" t="str">
        <f>IFERROR(__xludf.DUMMYFUNCTION("""COMPUTED_VALUE"""),"")</f>
        <v/>
      </c>
      <c r="V584" s="4" t="str">
        <f>IFERROR(__xludf.DUMMYFUNCTION("""COMPUTED_VALUE"""),"")</f>
        <v/>
      </c>
      <c r="W584" s="4" t="str">
        <f>IFERROR(__xludf.DUMMYFUNCTION("""COMPUTED_VALUE"""),"")</f>
        <v/>
      </c>
      <c r="X584" s="4" t="str">
        <f>IFERROR(__xludf.DUMMYFUNCTION("""COMPUTED_VALUE"""),"")</f>
        <v/>
      </c>
      <c r="Y584" s="4" t="str">
        <f>IFERROR(__xludf.DUMMYFUNCTION("""COMPUTED_VALUE"""),"")</f>
        <v/>
      </c>
    </row>
    <row r="585">
      <c r="A585" s="4" t="str">
        <f>IFERROR(__xludf.DUMMYFUNCTION("""COMPUTED_VALUE"""),"639 - Channel")</f>
        <v>639 - Channel</v>
      </c>
      <c r="B585" s="4" t="str">
        <f>IFERROR(__xludf.DUMMYFUNCTION("""COMPUTED_VALUE"""),"Channel 2")</f>
        <v>Channel 2</v>
      </c>
      <c r="C585" s="4" t="str">
        <f>IFERROR(__xludf.DUMMYFUNCTION("""COMPUTED_VALUE"""),"Day 3 - 25/06")</f>
        <v>Day 3 - 25/06</v>
      </c>
      <c r="D585" s="6">
        <f>IFERROR(__xludf.DUMMYFUNCTION("""COMPUTED_VALUE"""),0.4294907407407408)</f>
        <v>0.4294907407</v>
      </c>
      <c r="E585" s="6">
        <f>IFERROR(__xludf.DUMMYFUNCTION("""COMPUTED_VALUE"""),3.4722222222222224E-4)</f>
        <v>0.0003472222222</v>
      </c>
      <c r="F585" s="6">
        <f>IFERROR(__xludf.DUMMYFUNCTION("""COMPUTED_VALUE"""),0.429837962962963)</f>
        <v>0.429837963</v>
      </c>
      <c r="G585" s="4" t="str">
        <f>IFERROR(__xludf.DUMMYFUNCTION("""COMPUTED_VALUE"""),"Graphics")</f>
        <v>Graphics</v>
      </c>
      <c r="H585" s="4" t="str">
        <f>IFERROR(__xludf.DUMMYFUNCTION("""COMPUTED_VALUE"""),"")</f>
        <v/>
      </c>
      <c r="I585" s="4" t="str">
        <f>IFERROR(__xludf.DUMMYFUNCTION("""COMPUTED_VALUE"""),"")</f>
        <v/>
      </c>
      <c r="J585" s="4" t="str">
        <f>IFERROR(__xludf.DUMMYFUNCTION("""COMPUTED_VALUE"""),"Remote working")</f>
        <v>Remote working</v>
      </c>
      <c r="K585" s="4" t="str">
        <f>IFERROR(__xludf.DUMMYFUNCTION("""COMPUTED_VALUE"""),"Talk Intro")</f>
        <v>Talk Intro</v>
      </c>
      <c r="L585" s="4" t="str">
        <f>IFERROR(__xludf.DUMMYFUNCTION("""COMPUTED_VALUE"""),"")</f>
        <v/>
      </c>
      <c r="M585" s="4" t="str">
        <f>IFERROR(__xludf.DUMMYFUNCTION("""COMPUTED_VALUE"""),"Talk Intro")</f>
        <v>Talk Intro</v>
      </c>
      <c r="N585" s="4" t="str">
        <f>IFERROR(__xludf.DUMMYFUNCTION("""COMPUTED_VALUE"""),"")</f>
        <v/>
      </c>
      <c r="O585" s="4" t="str">
        <f>IFERROR(__xludf.DUMMYFUNCTION("""COMPUTED_VALUE"""),"")</f>
        <v/>
      </c>
      <c r="P585" s="4" t="str">
        <f>IFERROR(__xludf.DUMMYFUNCTION("""COMPUTED_VALUE"""),"")</f>
        <v/>
      </c>
      <c r="Q585" s="4" t="str">
        <f>IFERROR(__xludf.DUMMYFUNCTION("""COMPUTED_VALUE"""),"")</f>
        <v/>
      </c>
      <c r="R585" s="4" t="str">
        <f>IFERROR(__xludf.DUMMYFUNCTION("""COMPUTED_VALUE"""),"")</f>
        <v/>
      </c>
      <c r="S585" s="4" t="str">
        <f>IFERROR(__xludf.DUMMYFUNCTION("""COMPUTED_VALUE"""),"")</f>
        <v/>
      </c>
      <c r="T585" s="4" t="str">
        <f>IFERROR(__xludf.DUMMYFUNCTION("""COMPUTED_VALUE"""),"")</f>
        <v/>
      </c>
      <c r="U585" s="4" t="str">
        <f>IFERROR(__xludf.DUMMYFUNCTION("""COMPUTED_VALUE"""),"")</f>
        <v/>
      </c>
      <c r="V585" s="4" t="str">
        <f>IFERROR(__xludf.DUMMYFUNCTION("""COMPUTED_VALUE"""),"")</f>
        <v/>
      </c>
      <c r="W585" s="4" t="str">
        <f>IFERROR(__xludf.DUMMYFUNCTION("""COMPUTED_VALUE"""),"")</f>
        <v/>
      </c>
      <c r="X585" s="4" t="str">
        <f>IFERROR(__xludf.DUMMYFUNCTION("""COMPUTED_VALUE"""),"")</f>
        <v/>
      </c>
      <c r="Y585" s="4" t="str">
        <f>IFERROR(__xludf.DUMMYFUNCTION("""COMPUTED_VALUE"""),"")</f>
        <v/>
      </c>
    </row>
    <row r="586">
      <c r="A586" s="4" t="str">
        <f>IFERROR(__xludf.DUMMYFUNCTION("""COMPUTED_VALUE"""),"640 - Channel")</f>
        <v>640 - Channel</v>
      </c>
      <c r="B586" s="4" t="str">
        <f>IFERROR(__xludf.DUMMYFUNCTION("""COMPUTED_VALUE"""),"Channel 2")</f>
        <v>Channel 2</v>
      </c>
      <c r="C586" s="4" t="str">
        <f>IFERROR(__xludf.DUMMYFUNCTION("""COMPUTED_VALUE"""),"Day 3 - 25/06")</f>
        <v>Day 3 - 25/06</v>
      </c>
      <c r="D586" s="6">
        <f>IFERROR(__xludf.DUMMYFUNCTION("""COMPUTED_VALUE"""),0.429837962962963)</f>
        <v>0.429837963</v>
      </c>
      <c r="E586" s="6">
        <f>IFERROR(__xludf.DUMMYFUNCTION("""COMPUTED_VALUE"""),0.01363425925925926)</f>
        <v>0.01363425926</v>
      </c>
      <c r="F586" s="6">
        <f>IFERROR(__xludf.DUMMYFUNCTION("""COMPUTED_VALUE"""),0.44347222222222227)</f>
        <v>0.4434722222</v>
      </c>
      <c r="G586" s="4" t="str">
        <f>IFERROR(__xludf.DUMMYFUNCTION("""COMPUTED_VALUE"""),"Lobna")</f>
        <v>Lobna</v>
      </c>
      <c r="H586" s="4" t="str">
        <f>IFERROR(__xludf.DUMMYFUNCTION("""COMPUTED_VALUE"""),"Stephen")</f>
        <v>Stephen</v>
      </c>
      <c r="I586" s="4" t="str">
        <f>IFERROR(__xludf.DUMMYFUNCTION("""COMPUTED_VALUE"""),"Geoff")</f>
        <v>Geoff</v>
      </c>
      <c r="J586" s="4" t="str">
        <f>IFERROR(__xludf.DUMMYFUNCTION("""COMPUTED_VALUE"""),"Remote working")</f>
        <v>Remote working</v>
      </c>
      <c r="K586" s="4" t="str">
        <f>IFERROR(__xludf.DUMMYFUNCTION("""COMPUTED_VALUE"""),"Fireside")</f>
        <v>Fireside</v>
      </c>
      <c r="L586" s="4" t="str">
        <f>IFERROR(__xludf.DUMMYFUNCTION("""COMPUTED_VALUE"""),"T- 5 - 18/05/2020")</f>
        <v>T- 5 - 18/05/2020</v>
      </c>
      <c r="M586" s="4" t="str">
        <f>IFERROR(__xludf.DUMMYFUNCTION("""COMPUTED_VALUE"""),"Feature film in a post-Covid world")</f>
        <v>Feature film in a post-Covid world</v>
      </c>
      <c r="N586" s="4" t="str">
        <f>IFERROR(__xludf.DUMMYFUNCTION("""COMPUTED_VALUE"""),"Kristine Belson, Sony Pictures Animation")</f>
        <v>Kristine Belson, Sony Pictures Animation</v>
      </c>
      <c r="O586" s="4" t="str">
        <f>IFERROR(__xludf.DUMMYFUNCTION("""COMPUTED_VALUE"""),"")</f>
        <v/>
      </c>
      <c r="P586" s="4" t="str">
        <f>IFERROR(__xludf.DUMMYFUNCTION("""COMPUTED_VALUE"""),"")</f>
        <v/>
      </c>
      <c r="Q586" s="4" t="str">
        <f>IFERROR(__xludf.DUMMYFUNCTION("""COMPUTED_VALUE"""),"")</f>
        <v/>
      </c>
      <c r="R586" s="4" t="str">
        <f>IFERROR(__xludf.DUMMYFUNCTION("""COMPUTED_VALUE"""),"Monica Drake, The New York Times")</f>
        <v>Monica Drake, The New York Times</v>
      </c>
      <c r="S586" s="4" t="str">
        <f>IFERROR(__xludf.DUMMYFUNCTION("""COMPUTED_VALUE"""),"Kristine Belson, president of the Academy Award-winning Sony Picture Animations, talks about how the studio's team is adapting to a distributed workflow while preparing for its next feature, Connected.")</f>
        <v>Kristine Belson, president of the Academy Award-winning Sony Picture Animations, talks about how the studio's team is adapting to a distributed workflow while preparing for its next feature, Connected.</v>
      </c>
      <c r="T586" s="4" t="str">
        <f>IFERROR(__xludf.DUMMYFUNCTION("""COMPUTED_VALUE"""),"NON-KEYNOTE 9 - COMPLETE")</f>
        <v>NON-KEYNOTE 9 - COMPLETE</v>
      </c>
      <c r="U586" s="23">
        <f>IFERROR(__xludf.DUMMYFUNCTION("""COMPUTED_VALUE"""),43972.0)</f>
        <v>43972</v>
      </c>
      <c r="V586" s="24">
        <f>IFERROR(__xludf.DUMMYFUNCTION("""COMPUTED_VALUE"""),0.8125)</f>
        <v>0.8125</v>
      </c>
      <c r="W586" s="4" t="str">
        <f>IFERROR(__xludf.DUMMYFUNCTION("""COMPUTED_VALUE"""),"COMPLETE")</f>
        <v>COMPLETE</v>
      </c>
      <c r="X586" s="4" t="str">
        <f>IFERROR(__xludf.DUMMYFUNCTION("""COMPUTED_VALUE"""),"Lobna")</f>
        <v>Lobna</v>
      </c>
      <c r="Y586" s="4" t="str">
        <f>IFERROR(__xludf.DUMMYFUNCTION("""COMPUTED_VALUE"""),"")</f>
        <v/>
      </c>
    </row>
    <row r="587">
      <c r="A587" s="4" t="str">
        <f>IFERROR(__xludf.DUMMYFUNCTION("""COMPUTED_VALUE"""),"641 - Channel")</f>
        <v>641 - Channel</v>
      </c>
      <c r="B587" s="4" t="str">
        <f>IFERROR(__xludf.DUMMYFUNCTION("""COMPUTED_VALUE"""),"Channel 2")</f>
        <v>Channel 2</v>
      </c>
      <c r="C587" s="4" t="str">
        <f>IFERROR(__xludf.DUMMYFUNCTION("""COMPUTED_VALUE"""),"Day 3 - 25/06")</f>
        <v>Day 3 - 25/06</v>
      </c>
      <c r="D587" s="6">
        <f>IFERROR(__xludf.DUMMYFUNCTION("""COMPUTED_VALUE"""),0.44347222222222227)</f>
        <v>0.4434722222</v>
      </c>
      <c r="E587" s="6">
        <f>IFERROR(__xludf.DUMMYFUNCTION("""COMPUTED_VALUE"""),3.4722222222222224E-4)</f>
        <v>0.0003472222222</v>
      </c>
      <c r="F587" s="6">
        <f>IFERROR(__xludf.DUMMYFUNCTION("""COMPUTED_VALUE"""),0.4438194444444445)</f>
        <v>0.4438194444</v>
      </c>
      <c r="G587" s="4" t="str">
        <f>IFERROR(__xludf.DUMMYFUNCTION("""COMPUTED_VALUE"""),"Graphics")</f>
        <v>Graphics</v>
      </c>
      <c r="H587" s="4" t="str">
        <f>IFERROR(__xludf.DUMMYFUNCTION("""COMPUTED_VALUE"""),"")</f>
        <v/>
      </c>
      <c r="I587" s="4" t="str">
        <f>IFERROR(__xludf.DUMMYFUNCTION("""COMPUTED_VALUE"""),"")</f>
        <v/>
      </c>
      <c r="J587" s="4" t="str">
        <f>IFERROR(__xludf.DUMMYFUNCTION("""COMPUTED_VALUE"""),"Remote working")</f>
        <v>Remote working</v>
      </c>
      <c r="K587" s="4" t="str">
        <f>IFERROR(__xludf.DUMMYFUNCTION("""COMPUTED_VALUE"""),"Talk Outro")</f>
        <v>Talk Outro</v>
      </c>
      <c r="L587" s="4" t="str">
        <f>IFERROR(__xludf.DUMMYFUNCTION("""COMPUTED_VALUE"""),"")</f>
        <v/>
      </c>
      <c r="M587" s="4" t="str">
        <f>IFERROR(__xludf.DUMMYFUNCTION("""COMPUTED_VALUE"""),"Talk Outro (Duration increased to balance out the hour)")</f>
        <v>Talk Outro (Duration increased to balance out the hour)</v>
      </c>
      <c r="N587" s="4" t="str">
        <f>IFERROR(__xludf.DUMMYFUNCTION("""COMPUTED_VALUE"""),"")</f>
        <v/>
      </c>
      <c r="O587" s="4" t="str">
        <f>IFERROR(__xludf.DUMMYFUNCTION("""COMPUTED_VALUE"""),"")</f>
        <v/>
      </c>
      <c r="P587" s="4" t="str">
        <f>IFERROR(__xludf.DUMMYFUNCTION("""COMPUTED_VALUE"""),"")</f>
        <v/>
      </c>
      <c r="Q587" s="4" t="str">
        <f>IFERROR(__xludf.DUMMYFUNCTION("""COMPUTED_VALUE"""),"")</f>
        <v/>
      </c>
      <c r="R587" s="4" t="str">
        <f>IFERROR(__xludf.DUMMYFUNCTION("""COMPUTED_VALUE"""),"")</f>
        <v/>
      </c>
      <c r="S587" s="4" t="str">
        <f>IFERROR(__xludf.DUMMYFUNCTION("""COMPUTED_VALUE"""),"")</f>
        <v/>
      </c>
      <c r="T587" s="4" t="str">
        <f>IFERROR(__xludf.DUMMYFUNCTION("""COMPUTED_VALUE"""),"")</f>
        <v/>
      </c>
      <c r="U587" s="4" t="str">
        <f>IFERROR(__xludf.DUMMYFUNCTION("""COMPUTED_VALUE"""),"")</f>
        <v/>
      </c>
      <c r="V587" s="4" t="str">
        <f>IFERROR(__xludf.DUMMYFUNCTION("""COMPUTED_VALUE"""),"")</f>
        <v/>
      </c>
      <c r="W587" s="4" t="str">
        <f>IFERROR(__xludf.DUMMYFUNCTION("""COMPUTED_VALUE"""),"")</f>
        <v/>
      </c>
      <c r="X587" s="4" t="str">
        <f>IFERROR(__xludf.DUMMYFUNCTION("""COMPUTED_VALUE"""),"")</f>
        <v/>
      </c>
      <c r="Y587" s="4" t="str">
        <f>IFERROR(__xludf.DUMMYFUNCTION("""COMPUTED_VALUE"""),"")</f>
        <v/>
      </c>
    </row>
    <row r="588">
      <c r="A588" s="4" t="str">
        <f>IFERROR(__xludf.DUMMYFUNCTION("""COMPUTED_VALUE"""),"643 - Channel")</f>
        <v>643 - Channel</v>
      </c>
      <c r="B588" s="4" t="str">
        <f>IFERROR(__xludf.DUMMYFUNCTION("""COMPUTED_VALUE"""),"Channel 2")</f>
        <v>Channel 2</v>
      </c>
      <c r="C588" s="4" t="str">
        <f>IFERROR(__xludf.DUMMYFUNCTION("""COMPUTED_VALUE"""),"Day 3 - 25/06")</f>
        <v>Day 3 - 25/06</v>
      </c>
      <c r="D588" s="6">
        <f>IFERROR(__xludf.DUMMYFUNCTION("""COMPUTED_VALUE"""),0.4438194444444445)</f>
        <v>0.4438194444</v>
      </c>
      <c r="E588" s="6">
        <f>IFERROR(__xludf.DUMMYFUNCTION("""COMPUTED_VALUE"""),1.7361111111111112E-4)</f>
        <v>0.0001736111111</v>
      </c>
      <c r="F588" s="6">
        <f>IFERROR(__xludf.DUMMYFUNCTION("""COMPUTED_VALUE"""),0.4439930555555556)</f>
        <v>0.4439930556</v>
      </c>
      <c r="G588" s="4" t="str">
        <f>IFERROR(__xludf.DUMMYFUNCTION("""COMPUTED_VALUE"""),"P&amp;E")</f>
        <v>P&amp;E</v>
      </c>
      <c r="H588" s="4" t="str">
        <f>IFERROR(__xludf.DUMMYFUNCTION("""COMPUTED_VALUE"""),"")</f>
        <v/>
      </c>
      <c r="I588" s="4" t="str">
        <f>IFERROR(__xludf.DUMMYFUNCTION("""COMPUTED_VALUE"""),"")</f>
        <v/>
      </c>
      <c r="J588" s="4" t="str">
        <f>IFERROR(__xludf.DUMMYFUNCTION("""COMPUTED_VALUE"""),"Remote working")</f>
        <v>Remote working</v>
      </c>
      <c r="K588" s="4" t="str">
        <f>IFERROR(__xludf.DUMMYFUNCTION("""COMPUTED_VALUE"""),"Partner ad")</f>
        <v>Partner ad</v>
      </c>
      <c r="L588" s="4" t="str">
        <f>IFERROR(__xludf.DUMMYFUNCTION("""COMPUTED_VALUE"""),"")</f>
        <v/>
      </c>
      <c r="M588" s="4" t="str">
        <f>IFERROR(__xludf.DUMMYFUNCTION("""COMPUTED_VALUE"""),"Partner Adroll #1")</f>
        <v>Partner Adroll #1</v>
      </c>
      <c r="N588" s="4" t="str">
        <f>IFERROR(__xludf.DUMMYFUNCTION("""COMPUTED_VALUE"""),"")</f>
        <v/>
      </c>
      <c r="O588" s="4" t="str">
        <f>IFERROR(__xludf.DUMMYFUNCTION("""COMPUTED_VALUE"""),"")</f>
        <v/>
      </c>
      <c r="P588" s="4" t="str">
        <f>IFERROR(__xludf.DUMMYFUNCTION("""COMPUTED_VALUE"""),"")</f>
        <v/>
      </c>
      <c r="Q588" s="4" t="str">
        <f>IFERROR(__xludf.DUMMYFUNCTION("""COMPUTED_VALUE"""),"")</f>
        <v/>
      </c>
      <c r="R588" s="4" t="str">
        <f>IFERROR(__xludf.DUMMYFUNCTION("""COMPUTED_VALUE"""),"")</f>
        <v/>
      </c>
      <c r="S588" s="4" t="str">
        <f>IFERROR(__xludf.DUMMYFUNCTION("""COMPUTED_VALUE"""),"")</f>
        <v/>
      </c>
      <c r="T588" s="4" t="str">
        <f>IFERROR(__xludf.DUMMYFUNCTION("""COMPUTED_VALUE"""),"")</f>
        <v/>
      </c>
      <c r="U588" s="4" t="str">
        <f>IFERROR(__xludf.DUMMYFUNCTION("""COMPUTED_VALUE"""),"")</f>
        <v/>
      </c>
      <c r="V588" s="4" t="str">
        <f>IFERROR(__xludf.DUMMYFUNCTION("""COMPUTED_VALUE"""),"")</f>
        <v/>
      </c>
      <c r="W588" s="4" t="str">
        <f>IFERROR(__xludf.DUMMYFUNCTION("""COMPUTED_VALUE"""),"")</f>
        <v/>
      </c>
      <c r="X588" s="4" t="str">
        <f>IFERROR(__xludf.DUMMYFUNCTION("""COMPUTED_VALUE"""),"")</f>
        <v/>
      </c>
      <c r="Y588" s="4" t="str">
        <f>IFERROR(__xludf.DUMMYFUNCTION("""COMPUTED_VALUE"""),"")</f>
        <v/>
      </c>
    </row>
    <row r="589">
      <c r="A589" s="4" t="str">
        <f>IFERROR(__xludf.DUMMYFUNCTION("""COMPUTED_VALUE"""),"644 - Channel")</f>
        <v>644 - Channel</v>
      </c>
      <c r="B589" s="4" t="str">
        <f>IFERROR(__xludf.DUMMYFUNCTION("""COMPUTED_VALUE"""),"Channel 2")</f>
        <v>Channel 2</v>
      </c>
      <c r="C589" s="4" t="str">
        <f>IFERROR(__xludf.DUMMYFUNCTION("""COMPUTED_VALUE"""),"Day 3 - 25/06")</f>
        <v>Day 3 - 25/06</v>
      </c>
      <c r="D589" s="6">
        <f>IFERROR(__xludf.DUMMYFUNCTION("""COMPUTED_VALUE"""),0.4439930555555556)</f>
        <v>0.4439930556</v>
      </c>
      <c r="E589" s="6">
        <f>IFERROR(__xludf.DUMMYFUNCTION("""COMPUTED_VALUE"""),3.4722222222222224E-4)</f>
        <v>0.0003472222222</v>
      </c>
      <c r="F589" s="6">
        <f>IFERROR(__xludf.DUMMYFUNCTION("""COMPUTED_VALUE"""),0.44434027777777785)</f>
        <v>0.4443402778</v>
      </c>
      <c r="G589" s="4" t="str">
        <f>IFERROR(__xludf.DUMMYFUNCTION("""COMPUTED_VALUE"""),"Graphics")</f>
        <v>Graphics</v>
      </c>
      <c r="H589" s="4" t="str">
        <f>IFERROR(__xludf.DUMMYFUNCTION("""COMPUTED_VALUE"""),"")</f>
        <v/>
      </c>
      <c r="I589" s="4" t="str">
        <f>IFERROR(__xludf.DUMMYFUNCTION("""COMPUTED_VALUE"""),"")</f>
        <v/>
      </c>
      <c r="J589" s="4" t="str">
        <f>IFERROR(__xludf.DUMMYFUNCTION("""COMPUTED_VALUE"""),"Remote working")</f>
        <v>Remote working</v>
      </c>
      <c r="K589" s="4" t="str">
        <f>IFERROR(__xludf.DUMMYFUNCTION("""COMPUTED_VALUE"""),"Talk Intro")</f>
        <v>Talk Intro</v>
      </c>
      <c r="L589" s="4" t="str">
        <f>IFERROR(__xludf.DUMMYFUNCTION("""COMPUTED_VALUE"""),"")</f>
        <v/>
      </c>
      <c r="M589" s="4" t="str">
        <f>IFERROR(__xludf.DUMMYFUNCTION("""COMPUTED_VALUE"""),"Talk Intro")</f>
        <v>Talk Intro</v>
      </c>
      <c r="N589" s="4" t="str">
        <f>IFERROR(__xludf.DUMMYFUNCTION("""COMPUTED_VALUE"""),"")</f>
        <v/>
      </c>
      <c r="O589" s="4" t="str">
        <f>IFERROR(__xludf.DUMMYFUNCTION("""COMPUTED_VALUE"""),"")</f>
        <v/>
      </c>
      <c r="P589" s="4" t="str">
        <f>IFERROR(__xludf.DUMMYFUNCTION("""COMPUTED_VALUE"""),"")</f>
        <v/>
      </c>
      <c r="Q589" s="4" t="str">
        <f>IFERROR(__xludf.DUMMYFUNCTION("""COMPUTED_VALUE"""),"")</f>
        <v/>
      </c>
      <c r="R589" s="4" t="str">
        <f>IFERROR(__xludf.DUMMYFUNCTION("""COMPUTED_VALUE"""),"")</f>
        <v/>
      </c>
      <c r="S589" s="4" t="str">
        <f>IFERROR(__xludf.DUMMYFUNCTION("""COMPUTED_VALUE"""),"")</f>
        <v/>
      </c>
      <c r="T589" s="4" t="str">
        <f>IFERROR(__xludf.DUMMYFUNCTION("""COMPUTED_VALUE"""),"")</f>
        <v/>
      </c>
      <c r="U589" s="4" t="str">
        <f>IFERROR(__xludf.DUMMYFUNCTION("""COMPUTED_VALUE"""),"")</f>
        <v/>
      </c>
      <c r="V589" s="4" t="str">
        <f>IFERROR(__xludf.DUMMYFUNCTION("""COMPUTED_VALUE"""),"")</f>
        <v/>
      </c>
      <c r="W589" s="4" t="str">
        <f>IFERROR(__xludf.DUMMYFUNCTION("""COMPUTED_VALUE"""),"")</f>
        <v/>
      </c>
      <c r="X589" s="4" t="str">
        <f>IFERROR(__xludf.DUMMYFUNCTION("""COMPUTED_VALUE"""),"")</f>
        <v/>
      </c>
      <c r="Y589" s="4" t="str">
        <f>IFERROR(__xludf.DUMMYFUNCTION("""COMPUTED_VALUE"""),"")</f>
        <v/>
      </c>
    </row>
    <row r="590">
      <c r="A590" s="4" t="str">
        <f>IFERROR(__xludf.DUMMYFUNCTION("""COMPUTED_VALUE"""),"645 - Channel")</f>
        <v>645 - Channel</v>
      </c>
      <c r="B590" s="4" t="str">
        <f>IFERROR(__xludf.DUMMYFUNCTION("""COMPUTED_VALUE"""),"Channel 2")</f>
        <v>Channel 2</v>
      </c>
      <c r="C590" s="4" t="str">
        <f>IFERROR(__xludf.DUMMYFUNCTION("""COMPUTED_VALUE"""),"Day 3 - 25/06")</f>
        <v>Day 3 - 25/06</v>
      </c>
      <c r="D590" s="6">
        <f>IFERROR(__xludf.DUMMYFUNCTION("""COMPUTED_VALUE"""),0.44434027777777785)</f>
        <v>0.4443402778</v>
      </c>
      <c r="E590" s="6">
        <f>IFERROR(__xludf.DUMMYFUNCTION("""COMPUTED_VALUE"""),0.0025)</f>
        <v>0.0025</v>
      </c>
      <c r="F590" s="6">
        <f>IFERROR(__xludf.DUMMYFUNCTION("""COMPUTED_VALUE"""),0.44684027777777785)</f>
        <v>0.4468402778</v>
      </c>
      <c r="G590" s="4" t="str">
        <f>IFERROR(__xludf.DUMMYFUNCTION("""COMPUTED_VALUE"""),"Dan")</f>
        <v>Dan</v>
      </c>
      <c r="H590" s="4" t="str">
        <f>IFERROR(__xludf.DUMMYFUNCTION("""COMPUTED_VALUE"""),"N/A")</f>
        <v>N/A</v>
      </c>
      <c r="I590" s="4" t="str">
        <f>IFERROR(__xludf.DUMMYFUNCTION("""COMPUTED_VALUE"""),"Jack")</f>
        <v>Jack</v>
      </c>
      <c r="J590" s="4" t="str">
        <f>IFERROR(__xludf.DUMMYFUNCTION("""COMPUTED_VALUE"""),"Remote working")</f>
        <v>Remote working</v>
      </c>
      <c r="K590" s="4" t="str">
        <f>IFERROR(__xludf.DUMMYFUNCTION("""COMPUTED_VALUE"""),"Keynote")</f>
        <v>Keynote</v>
      </c>
      <c r="L590" s="4" t="str">
        <f>IFERROR(__xludf.DUMMYFUNCTION("""COMPUTED_VALUE"""),"T- 8 - 27/04/2020")</f>
        <v>T- 8 - 27/04/2020</v>
      </c>
      <c r="M590" s="4" t="str">
        <f>IFERROR(__xludf.DUMMYFUNCTION("""COMPUTED_VALUE"""),"3 things that break during hyper-growth")</f>
        <v>3 things that break during hyper-growth</v>
      </c>
      <c r="N590" s="4" t="str">
        <f>IFERROR(__xludf.DUMMYFUNCTION("""COMPUTED_VALUE"""),"Christine Spang, Nylas")</f>
        <v>Christine Spang, Nylas</v>
      </c>
      <c r="O590" s="4" t="str">
        <f>IFERROR(__xludf.DUMMYFUNCTION("""COMPUTED_VALUE"""),"")</f>
        <v/>
      </c>
      <c r="P590" s="4" t="str">
        <f>IFERROR(__xludf.DUMMYFUNCTION("""COMPUTED_VALUE"""),"")</f>
        <v/>
      </c>
      <c r="Q590" s="4" t="str">
        <f>IFERROR(__xludf.DUMMYFUNCTION("""COMPUTED_VALUE"""),"")</f>
        <v/>
      </c>
      <c r="R590" s="4" t="str">
        <f>IFERROR(__xludf.DUMMYFUNCTION("""COMPUTED_VALUE"""),"")</f>
        <v/>
      </c>
      <c r="S590" s="4" t="str">
        <f>IFERROR(__xludf.DUMMYFUNCTION("""COMPUTED_VALUE"""),"Hear from Nylas co-founder Christine Spang on three things that break during a hyper-growth phase, and learn how to fix them.")</f>
        <v>Hear from Nylas co-founder Christine Spang on three things that break during a hyper-growth phase, and learn how to fix them.</v>
      </c>
      <c r="T590" s="4" t="str">
        <f>IFERROR(__xludf.DUMMYFUNCTION("""COMPUTED_VALUE"""),"KEYNOTE 8 - COMPLETE")</f>
        <v>KEYNOTE 8 - COMPLETE</v>
      </c>
      <c r="U590" s="23">
        <f>IFERROR(__xludf.DUMMYFUNCTION("""COMPUTED_VALUE"""),43948.0)</f>
        <v>43948</v>
      </c>
      <c r="V590" s="24">
        <f>IFERROR(__xludf.DUMMYFUNCTION("""COMPUTED_VALUE"""),0.7291666666666666)</f>
        <v>0.7291666667</v>
      </c>
      <c r="W590" s="4" t="str">
        <f>IFERROR(__xludf.DUMMYFUNCTION("""COMPUTED_VALUE"""),"COMPLETE")</f>
        <v>COMPLETE</v>
      </c>
      <c r="X590" s="4" t="str">
        <f>IFERROR(__xludf.DUMMYFUNCTION("""COMPUTED_VALUE"""),"Dan")</f>
        <v>Dan</v>
      </c>
      <c r="Y590" s="4" t="str">
        <f>IFERROR(__xludf.DUMMYFUNCTION("""COMPUTED_VALUE"""),"4627818626919355562")</f>
        <v>4627818626919355562</v>
      </c>
    </row>
    <row r="591">
      <c r="A591" s="4" t="str">
        <f>IFERROR(__xludf.DUMMYFUNCTION("""COMPUTED_VALUE"""),"646 - Channel")</f>
        <v>646 - Channel</v>
      </c>
      <c r="B591" s="4" t="str">
        <f>IFERROR(__xludf.DUMMYFUNCTION("""COMPUTED_VALUE"""),"Channel 2")</f>
        <v>Channel 2</v>
      </c>
      <c r="C591" s="4" t="str">
        <f>IFERROR(__xludf.DUMMYFUNCTION("""COMPUTED_VALUE"""),"Day 3 - 25/06")</f>
        <v>Day 3 - 25/06</v>
      </c>
      <c r="D591" s="6">
        <f>IFERROR(__xludf.DUMMYFUNCTION("""COMPUTED_VALUE"""),0.44684027777777785)</f>
        <v>0.4468402778</v>
      </c>
      <c r="E591" s="6">
        <f>IFERROR(__xludf.DUMMYFUNCTION("""COMPUTED_VALUE"""),1.7361111111111112E-4)</f>
        <v>0.0001736111111</v>
      </c>
      <c r="F591" s="6">
        <f>IFERROR(__xludf.DUMMYFUNCTION("""COMPUTED_VALUE"""),0.447013888888889)</f>
        <v>0.4470138889</v>
      </c>
      <c r="G591" s="4" t="str">
        <f>IFERROR(__xludf.DUMMYFUNCTION("""COMPUTED_VALUE"""),"Graphics")</f>
        <v>Graphics</v>
      </c>
      <c r="H591" s="4" t="str">
        <f>IFERROR(__xludf.DUMMYFUNCTION("""COMPUTED_VALUE"""),"")</f>
        <v/>
      </c>
      <c r="I591" s="4" t="str">
        <f>IFERROR(__xludf.DUMMYFUNCTION("""COMPUTED_VALUE"""),"")</f>
        <v/>
      </c>
      <c r="J591" s="4" t="str">
        <f>IFERROR(__xludf.DUMMYFUNCTION("""COMPUTED_VALUE"""),"Remote working")</f>
        <v>Remote working</v>
      </c>
      <c r="K591" s="4" t="str">
        <f>IFERROR(__xludf.DUMMYFUNCTION("""COMPUTED_VALUE"""),"Talk Outro")</f>
        <v>Talk Outro</v>
      </c>
      <c r="L591" s="4" t="str">
        <f>IFERROR(__xludf.DUMMYFUNCTION("""COMPUTED_VALUE"""),"")</f>
        <v/>
      </c>
      <c r="M591" s="4" t="str">
        <f>IFERROR(__xludf.DUMMYFUNCTION("""COMPUTED_VALUE"""),"Talk Outro")</f>
        <v>Talk Outro</v>
      </c>
      <c r="N591" s="4" t="str">
        <f>IFERROR(__xludf.DUMMYFUNCTION("""COMPUTED_VALUE"""),"")</f>
        <v/>
      </c>
      <c r="O591" s="4" t="str">
        <f>IFERROR(__xludf.DUMMYFUNCTION("""COMPUTED_VALUE"""),"")</f>
        <v/>
      </c>
      <c r="P591" s="4" t="str">
        <f>IFERROR(__xludf.DUMMYFUNCTION("""COMPUTED_VALUE"""),"")</f>
        <v/>
      </c>
      <c r="Q591" s="4" t="str">
        <f>IFERROR(__xludf.DUMMYFUNCTION("""COMPUTED_VALUE"""),"")</f>
        <v/>
      </c>
      <c r="R591" s="4" t="str">
        <f>IFERROR(__xludf.DUMMYFUNCTION("""COMPUTED_VALUE"""),"")</f>
        <v/>
      </c>
      <c r="S591" s="4" t="str">
        <f>IFERROR(__xludf.DUMMYFUNCTION("""COMPUTED_VALUE"""),"")</f>
        <v/>
      </c>
      <c r="T591" s="4" t="str">
        <f>IFERROR(__xludf.DUMMYFUNCTION("""COMPUTED_VALUE"""),"")</f>
        <v/>
      </c>
      <c r="U591" s="4" t="str">
        <f>IFERROR(__xludf.DUMMYFUNCTION("""COMPUTED_VALUE"""),"")</f>
        <v/>
      </c>
      <c r="V591" s="4" t="str">
        <f>IFERROR(__xludf.DUMMYFUNCTION("""COMPUTED_VALUE"""),"")</f>
        <v/>
      </c>
      <c r="W591" s="4" t="str">
        <f>IFERROR(__xludf.DUMMYFUNCTION("""COMPUTED_VALUE"""),"")</f>
        <v/>
      </c>
      <c r="X591" s="4" t="str">
        <f>IFERROR(__xludf.DUMMYFUNCTION("""COMPUTED_VALUE"""),"Dan")</f>
        <v>Dan</v>
      </c>
      <c r="Y591" s="4" t="str">
        <f>IFERROR(__xludf.DUMMYFUNCTION("""COMPUTED_VALUE"""),"")</f>
        <v/>
      </c>
    </row>
    <row r="592">
      <c r="A592" s="4" t="str">
        <f>IFERROR(__xludf.DUMMYFUNCTION("""COMPUTED_VALUE"""),"647 - Channel")</f>
        <v>647 - Channel</v>
      </c>
      <c r="B592" s="4" t="str">
        <f>IFERROR(__xludf.DUMMYFUNCTION("""COMPUTED_VALUE"""),"Channel 2")</f>
        <v>Channel 2</v>
      </c>
      <c r="C592" s="4" t="str">
        <f>IFERROR(__xludf.DUMMYFUNCTION("""COMPUTED_VALUE"""),"Day 3 - 25/06")</f>
        <v>Day 3 - 25/06</v>
      </c>
      <c r="D592" s="6">
        <f>IFERROR(__xludf.DUMMYFUNCTION("""COMPUTED_VALUE"""),0.447013888888889)</f>
        <v>0.4470138889</v>
      </c>
      <c r="E592" s="6">
        <f>IFERROR(__xludf.DUMMYFUNCTION("""COMPUTED_VALUE"""),3.4722222222222224E-4)</f>
        <v>0.0003472222222</v>
      </c>
      <c r="F592" s="6">
        <f>IFERROR(__xludf.DUMMYFUNCTION("""COMPUTED_VALUE"""),0.4473611111111112)</f>
        <v>0.4473611111</v>
      </c>
      <c r="G592" s="4" t="str">
        <f>IFERROR(__xludf.DUMMYFUNCTION("""COMPUTED_VALUE"""),"Startups")</f>
        <v>Startups</v>
      </c>
      <c r="H592" s="4" t="str">
        <f>IFERROR(__xludf.DUMMYFUNCTION("""COMPUTED_VALUE"""),"")</f>
        <v/>
      </c>
      <c r="I592" s="4" t="str">
        <f>IFERROR(__xludf.DUMMYFUNCTION("""COMPUTED_VALUE"""),"")</f>
        <v/>
      </c>
      <c r="J592" s="4" t="str">
        <f>IFERROR(__xludf.DUMMYFUNCTION("""COMPUTED_VALUE"""),"Remote working")</f>
        <v>Remote working</v>
      </c>
      <c r="K592" s="4" t="str">
        <f>IFERROR(__xludf.DUMMYFUNCTION("""COMPUTED_VALUE"""),"40 Words")</f>
        <v>40 Words</v>
      </c>
      <c r="L592" s="4" t="str">
        <f>IFERROR(__xludf.DUMMYFUNCTION("""COMPUTED_VALUE"""),"")</f>
        <v/>
      </c>
      <c r="M592" s="4" t="str">
        <f>IFERROR(__xludf.DUMMYFUNCTION("""COMPUTED_VALUE"""),"40 Words #")</f>
        <v>40 Words #</v>
      </c>
      <c r="N592" s="4" t="str">
        <f>IFERROR(__xludf.DUMMYFUNCTION("""COMPUTED_VALUE"""),"")</f>
        <v/>
      </c>
      <c r="O592" s="4" t="str">
        <f>IFERROR(__xludf.DUMMYFUNCTION("""COMPUTED_VALUE"""),"")</f>
        <v/>
      </c>
      <c r="P592" s="4" t="str">
        <f>IFERROR(__xludf.DUMMYFUNCTION("""COMPUTED_VALUE"""),"")</f>
        <v/>
      </c>
      <c r="Q592" s="4" t="str">
        <f>IFERROR(__xludf.DUMMYFUNCTION("""COMPUTED_VALUE"""),"")</f>
        <v/>
      </c>
      <c r="R592" s="4" t="str">
        <f>IFERROR(__xludf.DUMMYFUNCTION("""COMPUTED_VALUE"""),"")</f>
        <v/>
      </c>
      <c r="S592" s="4" t="str">
        <f>IFERROR(__xludf.DUMMYFUNCTION("""COMPUTED_VALUE"""),"")</f>
        <v/>
      </c>
      <c r="T592" s="4" t="str">
        <f>IFERROR(__xludf.DUMMYFUNCTION("""COMPUTED_VALUE"""),"")</f>
        <v/>
      </c>
      <c r="U592" s="4" t="str">
        <f>IFERROR(__xludf.DUMMYFUNCTION("""COMPUTED_VALUE"""),"")</f>
        <v/>
      </c>
      <c r="V592" s="4" t="str">
        <f>IFERROR(__xludf.DUMMYFUNCTION("""COMPUTED_VALUE"""),"")</f>
        <v/>
      </c>
      <c r="W592" s="4" t="str">
        <f>IFERROR(__xludf.DUMMYFUNCTION("""COMPUTED_VALUE"""),"")</f>
        <v/>
      </c>
      <c r="X592" s="4" t="str">
        <f>IFERROR(__xludf.DUMMYFUNCTION("""COMPUTED_VALUE"""),"")</f>
        <v/>
      </c>
      <c r="Y592" s="4" t="str">
        <f>IFERROR(__xludf.DUMMYFUNCTION("""COMPUTED_VALUE"""),"")</f>
        <v/>
      </c>
    </row>
    <row r="593">
      <c r="A593" s="4" t="str">
        <f>IFERROR(__xludf.DUMMYFUNCTION("""COMPUTED_VALUE"""),"648 - Channel")</f>
        <v>648 - Channel</v>
      </c>
      <c r="B593" s="4" t="str">
        <f>IFERROR(__xludf.DUMMYFUNCTION("""COMPUTED_VALUE"""),"Channel 2")</f>
        <v>Channel 2</v>
      </c>
      <c r="C593" s="4" t="str">
        <f>IFERROR(__xludf.DUMMYFUNCTION("""COMPUTED_VALUE"""),"Day 3 - 25/06")</f>
        <v>Day 3 - 25/06</v>
      </c>
      <c r="D593" s="6">
        <f>IFERROR(__xludf.DUMMYFUNCTION("""COMPUTED_VALUE"""),0.4473611111111112)</f>
        <v>0.4473611111</v>
      </c>
      <c r="E593" s="6">
        <f>IFERROR(__xludf.DUMMYFUNCTION("""COMPUTED_VALUE"""),3.4722222222222224E-4)</f>
        <v>0.0003472222222</v>
      </c>
      <c r="F593" s="6">
        <f>IFERROR(__xludf.DUMMYFUNCTION("""COMPUTED_VALUE"""),0.44770833333333343)</f>
        <v>0.4477083333</v>
      </c>
      <c r="G593" s="4" t="str">
        <f>IFERROR(__xludf.DUMMYFUNCTION("""COMPUTED_VALUE"""),"Graphics")</f>
        <v>Graphics</v>
      </c>
      <c r="H593" s="4" t="str">
        <f>IFERROR(__xludf.DUMMYFUNCTION("""COMPUTED_VALUE"""),"")</f>
        <v/>
      </c>
      <c r="I593" s="4" t="str">
        <f>IFERROR(__xludf.DUMMYFUNCTION("""COMPUTED_VALUE"""),"")</f>
        <v/>
      </c>
      <c r="J593" s="4" t="str">
        <f>IFERROR(__xludf.DUMMYFUNCTION("""COMPUTED_VALUE"""),"Remote working")</f>
        <v>Remote working</v>
      </c>
      <c r="K593" s="4" t="str">
        <f>IFERROR(__xludf.DUMMYFUNCTION("""COMPUTED_VALUE"""),"Talk Intro")</f>
        <v>Talk Intro</v>
      </c>
      <c r="L593" s="4" t="str">
        <f>IFERROR(__xludf.DUMMYFUNCTION("""COMPUTED_VALUE"""),"")</f>
        <v/>
      </c>
      <c r="M593" s="4" t="str">
        <f>IFERROR(__xludf.DUMMYFUNCTION("""COMPUTED_VALUE"""),"Talk Intro")</f>
        <v>Talk Intro</v>
      </c>
      <c r="N593" s="4" t="str">
        <f>IFERROR(__xludf.DUMMYFUNCTION("""COMPUTED_VALUE"""),"")</f>
        <v/>
      </c>
      <c r="O593" s="4" t="str">
        <f>IFERROR(__xludf.DUMMYFUNCTION("""COMPUTED_VALUE"""),"")</f>
        <v/>
      </c>
      <c r="P593" s="4" t="str">
        <f>IFERROR(__xludf.DUMMYFUNCTION("""COMPUTED_VALUE"""),"")</f>
        <v/>
      </c>
      <c r="Q593" s="4" t="str">
        <f>IFERROR(__xludf.DUMMYFUNCTION("""COMPUTED_VALUE"""),"")</f>
        <v/>
      </c>
      <c r="R593" s="4" t="str">
        <f>IFERROR(__xludf.DUMMYFUNCTION("""COMPUTED_VALUE"""),"")</f>
        <v/>
      </c>
      <c r="S593" s="4" t="str">
        <f>IFERROR(__xludf.DUMMYFUNCTION("""COMPUTED_VALUE"""),"")</f>
        <v/>
      </c>
      <c r="T593" s="4" t="str">
        <f>IFERROR(__xludf.DUMMYFUNCTION("""COMPUTED_VALUE"""),"")</f>
        <v/>
      </c>
      <c r="U593" s="4" t="str">
        <f>IFERROR(__xludf.DUMMYFUNCTION("""COMPUTED_VALUE"""),"")</f>
        <v/>
      </c>
      <c r="V593" s="4" t="str">
        <f>IFERROR(__xludf.DUMMYFUNCTION("""COMPUTED_VALUE"""),"")</f>
        <v/>
      </c>
      <c r="W593" s="4" t="str">
        <f>IFERROR(__xludf.DUMMYFUNCTION("""COMPUTED_VALUE"""),"")</f>
        <v/>
      </c>
      <c r="X593" s="4" t="str">
        <f>IFERROR(__xludf.DUMMYFUNCTION("""COMPUTED_VALUE"""),"")</f>
        <v/>
      </c>
      <c r="Y593" s="4" t="str">
        <f>IFERROR(__xludf.DUMMYFUNCTION("""COMPUTED_VALUE"""),"")</f>
        <v/>
      </c>
    </row>
    <row r="594">
      <c r="A594" s="4" t="str">
        <f>IFERROR(__xludf.DUMMYFUNCTION("""COMPUTED_VALUE"""),"649 - Channel")</f>
        <v>649 - Channel</v>
      </c>
      <c r="B594" s="4" t="str">
        <f>IFERROR(__xludf.DUMMYFUNCTION("""COMPUTED_VALUE"""),"Channel 2")</f>
        <v>Channel 2</v>
      </c>
      <c r="C594" s="4" t="str">
        <f>IFERROR(__xludf.DUMMYFUNCTION("""COMPUTED_VALUE"""),"Day 3 - 25/06")</f>
        <v>Day 3 - 25/06</v>
      </c>
      <c r="D594" s="6">
        <f>IFERROR(__xludf.DUMMYFUNCTION("""COMPUTED_VALUE"""),0.44770833333333343)</f>
        <v>0.4477083333</v>
      </c>
      <c r="E594" s="6">
        <f>IFERROR(__xludf.DUMMYFUNCTION("""COMPUTED_VALUE"""),0.007569444444444445)</f>
        <v>0.007569444444</v>
      </c>
      <c r="F594" s="6">
        <f>IFERROR(__xludf.DUMMYFUNCTION("""COMPUTED_VALUE"""),0.4552777777777779)</f>
        <v>0.4552777778</v>
      </c>
      <c r="G594" s="4" t="str">
        <f>IFERROR(__xludf.DUMMYFUNCTION("""COMPUTED_VALUE"""),"Laura")</f>
        <v>Laura</v>
      </c>
      <c r="H594" s="4" t="str">
        <f>IFERROR(__xludf.DUMMYFUNCTION("""COMPUTED_VALUE"""),"Lisa")</f>
        <v>Lisa</v>
      </c>
      <c r="I594" s="4" t="str">
        <f>IFERROR(__xludf.DUMMYFUNCTION("""COMPUTED_VALUE"""),"Hannah")</f>
        <v>Hannah</v>
      </c>
      <c r="J594" s="4" t="str">
        <f>IFERROR(__xludf.DUMMYFUNCTION("""COMPUTED_VALUE"""),"Remote working")</f>
        <v>Remote working</v>
      </c>
      <c r="K594" s="4" t="str">
        <f>IFERROR(__xludf.DUMMYFUNCTION("""COMPUTED_VALUE"""),"Super Fireside")</f>
        <v>Super Fireside</v>
      </c>
      <c r="L594" s="4" t="str">
        <f>IFERROR(__xludf.DUMMYFUNCTION("""COMPUTED_VALUE"""),"T- 6 - 11/05/2020")</f>
        <v>T- 6 - 11/05/2020</v>
      </c>
      <c r="M594" s="4" t="str">
        <f>IFERROR(__xludf.DUMMYFUNCTION("""COMPUTED_VALUE"""),"Winning at remote working")</f>
        <v>Winning at remote working</v>
      </c>
      <c r="N594" s="4" t="str">
        <f>IFERROR(__xludf.DUMMYFUNCTION("""COMPUTED_VALUE"""),"Prashanth Chandrasekar, Stack Overflow")</f>
        <v>Prashanth Chandrasekar, Stack Overflow</v>
      </c>
      <c r="O594" s="4" t="str">
        <f>IFERROR(__xludf.DUMMYFUNCTION("""COMPUTED_VALUE"""),"Jeff Shiner, 1password")</f>
        <v>Jeff Shiner, 1password</v>
      </c>
      <c r="P594" s="4" t="str">
        <f>IFERROR(__xludf.DUMMYFUNCTION("""COMPUTED_VALUE"""),"")</f>
        <v/>
      </c>
      <c r="Q594" s="4" t="str">
        <f>IFERROR(__xludf.DUMMYFUNCTION("""COMPUTED_VALUE"""),"")</f>
        <v/>
      </c>
      <c r="R594" s="4" t="str">
        <f>IFERROR(__xludf.DUMMYFUNCTION("""COMPUTED_VALUE"""),"John Wall, Trust Insights")</f>
        <v>John Wall, Trust Insights</v>
      </c>
      <c r="S594" s="4" t="str">
        <f>IFERROR(__xludf.DUMMYFUNCTION("""COMPUTED_VALUE"""),"Stack Overflow and 1Password both have remote culture built into their company DNA. Even before 2020, Stack Overflow employees – including 80 percent of their engineering team – worked remotely across 14 countries. 1Password has managed an almost entirely"&amp;" remote workforce for 14 years. Learn from the CEOs about the pros and cons of working remotely, and pick up tips and tricks on how to build and maintain culture while going remote.")</f>
        <v>Stack Overflow and 1Password both have remote culture built into their company DNA. Even before 2020, Stack Overflow employees – including 80 percent of their engineering team – worked remotely across 14 countries. 1Password has managed an almost entirely remote workforce for 14 years. Learn from the CEOs about the pros and cons of working remotely, and pick up tips and tricks on how to build and maintain culture while going remote.</v>
      </c>
      <c r="T594" s="4" t="str">
        <f>IFERROR(__xludf.DUMMYFUNCTION("""COMPUTED_VALUE"""),"NON-KEYNOTE 9 - COMPLETE")</f>
        <v>NON-KEYNOTE 9 - COMPLETE</v>
      </c>
      <c r="U594" s="23">
        <f>IFERROR(__xludf.DUMMYFUNCTION("""COMPUTED_VALUE"""),43965.0)</f>
        <v>43965</v>
      </c>
      <c r="V594" s="24">
        <f>IFERROR(__xludf.DUMMYFUNCTION("""COMPUTED_VALUE"""),0.625)</f>
        <v>0.625</v>
      </c>
      <c r="W594" s="4" t="str">
        <f>IFERROR(__xludf.DUMMYFUNCTION("""COMPUTED_VALUE"""),"COMPLETE")</f>
        <v>COMPLETE</v>
      </c>
      <c r="X594" s="4" t="str">
        <f>IFERROR(__xludf.DUMMYFUNCTION("""COMPUTED_VALUE"""),"Laura")</f>
        <v>Laura</v>
      </c>
      <c r="Y594" s="4" t="str">
        <f>IFERROR(__xludf.DUMMYFUNCTION("""COMPUTED_VALUE"""),"")</f>
        <v/>
      </c>
    </row>
    <row r="595">
      <c r="A595" s="4" t="str">
        <f>IFERROR(__xludf.DUMMYFUNCTION("""COMPUTED_VALUE"""),"650 - Channel")</f>
        <v>650 - Channel</v>
      </c>
      <c r="B595" s="4" t="str">
        <f>IFERROR(__xludf.DUMMYFUNCTION("""COMPUTED_VALUE"""),"Channel 2")</f>
        <v>Channel 2</v>
      </c>
      <c r="C595" s="4" t="str">
        <f>IFERROR(__xludf.DUMMYFUNCTION("""COMPUTED_VALUE"""),"Day 3 - 25/06")</f>
        <v>Day 3 - 25/06</v>
      </c>
      <c r="D595" s="6">
        <f>IFERROR(__xludf.DUMMYFUNCTION("""COMPUTED_VALUE"""),0.4552777777777779)</f>
        <v>0.4552777778</v>
      </c>
      <c r="E595" s="6">
        <f>IFERROR(__xludf.DUMMYFUNCTION("""COMPUTED_VALUE"""),1.7361111111111112E-4)</f>
        <v>0.0001736111111</v>
      </c>
      <c r="F595" s="6">
        <f>IFERROR(__xludf.DUMMYFUNCTION("""COMPUTED_VALUE"""),0.45545138888888903)</f>
        <v>0.4554513889</v>
      </c>
      <c r="G595" s="4" t="str">
        <f>IFERROR(__xludf.DUMMYFUNCTION("""COMPUTED_VALUE"""),"Graphics")</f>
        <v>Graphics</v>
      </c>
      <c r="H595" s="4" t="str">
        <f>IFERROR(__xludf.DUMMYFUNCTION("""COMPUTED_VALUE"""),"")</f>
        <v/>
      </c>
      <c r="I595" s="4" t="str">
        <f>IFERROR(__xludf.DUMMYFUNCTION("""COMPUTED_VALUE"""),"")</f>
        <v/>
      </c>
      <c r="J595" s="4" t="str">
        <f>IFERROR(__xludf.DUMMYFUNCTION("""COMPUTED_VALUE"""),"Remote working")</f>
        <v>Remote working</v>
      </c>
      <c r="K595" s="4" t="str">
        <f>IFERROR(__xludf.DUMMYFUNCTION("""COMPUTED_VALUE"""),"Talk Outro")</f>
        <v>Talk Outro</v>
      </c>
      <c r="L595" s="4" t="str">
        <f>IFERROR(__xludf.DUMMYFUNCTION("""COMPUTED_VALUE"""),"")</f>
        <v/>
      </c>
      <c r="M595" s="4" t="str">
        <f>IFERROR(__xludf.DUMMYFUNCTION("""COMPUTED_VALUE"""),"Talk Outro")</f>
        <v>Talk Outro</v>
      </c>
      <c r="N595" s="4" t="str">
        <f>IFERROR(__xludf.DUMMYFUNCTION("""COMPUTED_VALUE"""),"")</f>
        <v/>
      </c>
      <c r="O595" s="4" t="str">
        <f>IFERROR(__xludf.DUMMYFUNCTION("""COMPUTED_VALUE"""),"")</f>
        <v/>
      </c>
      <c r="P595" s="4" t="str">
        <f>IFERROR(__xludf.DUMMYFUNCTION("""COMPUTED_VALUE"""),"")</f>
        <v/>
      </c>
      <c r="Q595" s="4" t="str">
        <f>IFERROR(__xludf.DUMMYFUNCTION("""COMPUTED_VALUE"""),"")</f>
        <v/>
      </c>
      <c r="R595" s="4" t="str">
        <f>IFERROR(__xludf.DUMMYFUNCTION("""COMPUTED_VALUE"""),"")</f>
        <v/>
      </c>
      <c r="S595" s="4" t="str">
        <f>IFERROR(__xludf.DUMMYFUNCTION("""COMPUTED_VALUE"""),"")</f>
        <v/>
      </c>
      <c r="T595" s="4" t="str">
        <f>IFERROR(__xludf.DUMMYFUNCTION("""COMPUTED_VALUE"""),"")</f>
        <v/>
      </c>
      <c r="U595" s="4" t="str">
        <f>IFERROR(__xludf.DUMMYFUNCTION("""COMPUTED_VALUE"""),"")</f>
        <v/>
      </c>
      <c r="V595" s="4" t="str">
        <f>IFERROR(__xludf.DUMMYFUNCTION("""COMPUTED_VALUE"""),"")</f>
        <v/>
      </c>
      <c r="W595" s="21" t="str">
        <f>IFERROR(__xludf.DUMMYFUNCTION("""COMPUTED_VALUE"""),"https://us04web.zoom.us/j/74916885291?pwd=N0pGZGVVS0pEUFJrYmFMOENhbllqZz09")</f>
        <v>https://us04web.zoom.us/j/74916885291?pwd=N0pGZGVVS0pEUFJrYmFMOENhbllqZz09</v>
      </c>
      <c r="X595" s="4" t="str">
        <f>IFERROR(__xludf.DUMMYFUNCTION("""COMPUTED_VALUE"""),"")</f>
        <v/>
      </c>
      <c r="Y595" s="4" t="str">
        <f>IFERROR(__xludf.DUMMYFUNCTION("""COMPUTED_VALUE"""),"")</f>
        <v/>
      </c>
    </row>
    <row r="596">
      <c r="A596" s="4" t="str">
        <f>IFERROR(__xludf.DUMMYFUNCTION("""COMPUTED_VALUE"""),"652 - Channel")</f>
        <v>652 - Channel</v>
      </c>
      <c r="B596" s="4" t="str">
        <f>IFERROR(__xludf.DUMMYFUNCTION("""COMPUTED_VALUE"""),"Channel 2")</f>
        <v>Channel 2</v>
      </c>
      <c r="C596" s="4" t="str">
        <f>IFERROR(__xludf.DUMMYFUNCTION("""COMPUTED_VALUE"""),"Day 3 - 25/06")</f>
        <v>Day 3 - 25/06</v>
      </c>
      <c r="D596" s="6">
        <f>IFERROR(__xludf.DUMMYFUNCTION("""COMPUTED_VALUE"""),0.45545138888888903)</f>
        <v>0.4554513889</v>
      </c>
      <c r="E596" s="6">
        <f>IFERROR(__xludf.DUMMYFUNCTION("""COMPUTED_VALUE"""),1.7361111111111112E-4)</f>
        <v>0.0001736111111</v>
      </c>
      <c r="F596" s="6">
        <f>IFERROR(__xludf.DUMMYFUNCTION("""COMPUTED_VALUE"""),0.45562500000000017)</f>
        <v>0.455625</v>
      </c>
      <c r="G596" s="4" t="str">
        <f>IFERROR(__xludf.DUMMYFUNCTION("""COMPUTED_VALUE"""),"Startups")</f>
        <v>Startups</v>
      </c>
      <c r="H596" s="4" t="str">
        <f>IFERROR(__xludf.DUMMYFUNCTION("""COMPUTED_VALUE"""),"")</f>
        <v/>
      </c>
      <c r="I596" s="4" t="str">
        <f>IFERROR(__xludf.DUMMYFUNCTION("""COMPUTED_VALUE"""),"")</f>
        <v/>
      </c>
      <c r="J596" s="4" t="str">
        <f>IFERROR(__xludf.DUMMYFUNCTION("""COMPUTED_VALUE"""),"Remote working")</f>
        <v>Remote working</v>
      </c>
      <c r="K596" s="4" t="str">
        <f>IFERROR(__xludf.DUMMYFUNCTION("""COMPUTED_VALUE"""),"Partner ad")</f>
        <v>Partner ad</v>
      </c>
      <c r="L596" s="4" t="str">
        <f>IFERROR(__xludf.DUMMYFUNCTION("""COMPUTED_VALUE"""),"")</f>
        <v/>
      </c>
      <c r="M596" s="4" t="str">
        <f>IFERROR(__xludf.DUMMYFUNCTION("""COMPUTED_VALUE"""),"Partner Adroll #2")</f>
        <v>Partner Adroll #2</v>
      </c>
      <c r="N596" s="4" t="str">
        <f>IFERROR(__xludf.DUMMYFUNCTION("""COMPUTED_VALUE"""),"")</f>
        <v/>
      </c>
      <c r="O596" s="4" t="str">
        <f>IFERROR(__xludf.DUMMYFUNCTION("""COMPUTED_VALUE"""),"")</f>
        <v/>
      </c>
      <c r="P596" s="4" t="str">
        <f>IFERROR(__xludf.DUMMYFUNCTION("""COMPUTED_VALUE"""),"")</f>
        <v/>
      </c>
      <c r="Q596" s="4" t="str">
        <f>IFERROR(__xludf.DUMMYFUNCTION("""COMPUTED_VALUE"""),"")</f>
        <v/>
      </c>
      <c r="R596" s="4" t="str">
        <f>IFERROR(__xludf.DUMMYFUNCTION("""COMPUTED_VALUE"""),"")</f>
        <v/>
      </c>
      <c r="S596" s="4" t="str">
        <f>IFERROR(__xludf.DUMMYFUNCTION("""COMPUTED_VALUE"""),"")</f>
        <v/>
      </c>
      <c r="T596" s="4" t="str">
        <f>IFERROR(__xludf.DUMMYFUNCTION("""COMPUTED_VALUE"""),"")</f>
        <v/>
      </c>
      <c r="U596" s="4" t="str">
        <f>IFERROR(__xludf.DUMMYFUNCTION("""COMPUTED_VALUE"""),"")</f>
        <v/>
      </c>
      <c r="V596" s="4" t="str">
        <f>IFERROR(__xludf.DUMMYFUNCTION("""COMPUTED_VALUE"""),"")</f>
        <v/>
      </c>
      <c r="W596" s="4" t="str">
        <f>IFERROR(__xludf.DUMMYFUNCTION("""COMPUTED_VALUE"""),"")</f>
        <v/>
      </c>
      <c r="X596" s="4" t="str">
        <f>IFERROR(__xludf.DUMMYFUNCTION("""COMPUTED_VALUE"""),"")</f>
        <v/>
      </c>
      <c r="Y596" s="4" t="str">
        <f>IFERROR(__xludf.DUMMYFUNCTION("""COMPUTED_VALUE"""),"")</f>
        <v/>
      </c>
    </row>
    <row r="597">
      <c r="A597" s="4" t="str">
        <f>IFERROR(__xludf.DUMMYFUNCTION("""COMPUTED_VALUE"""),"653 - Channel")</f>
        <v>653 - Channel</v>
      </c>
      <c r="B597" s="4" t="str">
        <f>IFERROR(__xludf.DUMMYFUNCTION("""COMPUTED_VALUE"""),"Channel 2")</f>
        <v>Channel 2</v>
      </c>
      <c r="C597" s="4" t="str">
        <f>IFERROR(__xludf.DUMMYFUNCTION("""COMPUTED_VALUE"""),"Day 3 - 25/06")</f>
        <v>Day 3 - 25/06</v>
      </c>
      <c r="D597" s="6">
        <f>IFERROR(__xludf.DUMMYFUNCTION("""COMPUTED_VALUE"""),0.45562500000000017)</f>
        <v>0.455625</v>
      </c>
      <c r="E597" s="6">
        <f>IFERROR(__xludf.DUMMYFUNCTION("""COMPUTED_VALUE"""),3.4722222222222224E-4)</f>
        <v>0.0003472222222</v>
      </c>
      <c r="F597" s="6">
        <f>IFERROR(__xludf.DUMMYFUNCTION("""COMPUTED_VALUE"""),0.4559722222222224)</f>
        <v>0.4559722222</v>
      </c>
      <c r="G597" s="4" t="str">
        <f>IFERROR(__xludf.DUMMYFUNCTION("""COMPUTED_VALUE"""),"Graphics")</f>
        <v>Graphics</v>
      </c>
      <c r="H597" s="4" t="str">
        <f>IFERROR(__xludf.DUMMYFUNCTION("""COMPUTED_VALUE"""),"")</f>
        <v/>
      </c>
      <c r="I597" s="4" t="str">
        <f>IFERROR(__xludf.DUMMYFUNCTION("""COMPUTED_VALUE"""),"")</f>
        <v/>
      </c>
      <c r="J597" s="4" t="str">
        <f>IFERROR(__xludf.DUMMYFUNCTION("""COMPUTED_VALUE"""),"Remote working")</f>
        <v>Remote working</v>
      </c>
      <c r="K597" s="4" t="str">
        <f>IFERROR(__xludf.DUMMYFUNCTION("""COMPUTED_VALUE"""),"Talk Intro")</f>
        <v>Talk Intro</v>
      </c>
      <c r="L597" s="4" t="str">
        <f>IFERROR(__xludf.DUMMYFUNCTION("""COMPUTED_VALUE"""),"")</f>
        <v/>
      </c>
      <c r="M597" s="4" t="str">
        <f>IFERROR(__xludf.DUMMYFUNCTION("""COMPUTED_VALUE"""),"Talk Intro")</f>
        <v>Talk Intro</v>
      </c>
      <c r="N597" s="4" t="str">
        <f>IFERROR(__xludf.DUMMYFUNCTION("""COMPUTED_VALUE"""),"")</f>
        <v/>
      </c>
      <c r="O597" s="4" t="str">
        <f>IFERROR(__xludf.DUMMYFUNCTION("""COMPUTED_VALUE"""),"")</f>
        <v/>
      </c>
      <c r="P597" s="4" t="str">
        <f>IFERROR(__xludf.DUMMYFUNCTION("""COMPUTED_VALUE"""),"")</f>
        <v/>
      </c>
      <c r="Q597" s="4" t="str">
        <f>IFERROR(__xludf.DUMMYFUNCTION("""COMPUTED_VALUE"""),"")</f>
        <v/>
      </c>
      <c r="R597" s="4" t="str">
        <f>IFERROR(__xludf.DUMMYFUNCTION("""COMPUTED_VALUE"""),"")</f>
        <v/>
      </c>
      <c r="S597" s="4" t="str">
        <f>IFERROR(__xludf.DUMMYFUNCTION("""COMPUTED_VALUE"""),"")</f>
        <v/>
      </c>
      <c r="T597" s="4" t="str">
        <f>IFERROR(__xludf.DUMMYFUNCTION("""COMPUTED_VALUE"""),"")</f>
        <v/>
      </c>
      <c r="U597" s="4" t="str">
        <f>IFERROR(__xludf.DUMMYFUNCTION("""COMPUTED_VALUE"""),"")</f>
        <v/>
      </c>
      <c r="V597" s="4" t="str">
        <f>IFERROR(__xludf.DUMMYFUNCTION("""COMPUTED_VALUE"""),"")</f>
        <v/>
      </c>
      <c r="W597" s="4" t="str">
        <f>IFERROR(__xludf.DUMMYFUNCTION("""COMPUTED_VALUE"""),"")</f>
        <v/>
      </c>
      <c r="X597" s="4" t="str">
        <f>IFERROR(__xludf.DUMMYFUNCTION("""COMPUTED_VALUE"""),"")</f>
        <v/>
      </c>
      <c r="Y597" s="4" t="str">
        <f>IFERROR(__xludf.DUMMYFUNCTION("""COMPUTED_VALUE"""),"")</f>
        <v/>
      </c>
    </row>
    <row r="598">
      <c r="A598" s="4" t="str">
        <f>IFERROR(__xludf.DUMMYFUNCTION("""COMPUTED_VALUE"""),"654 - Channel")</f>
        <v>654 - Channel</v>
      </c>
      <c r="B598" s="4" t="str">
        <f>IFERROR(__xludf.DUMMYFUNCTION("""COMPUTED_VALUE"""),"Channel 2")</f>
        <v>Channel 2</v>
      </c>
      <c r="C598" s="4" t="str">
        <f>IFERROR(__xludf.DUMMYFUNCTION("""COMPUTED_VALUE"""),"Day 3 - 25/06")</f>
        <v>Day 3 - 25/06</v>
      </c>
      <c r="D598" s="6">
        <f>IFERROR(__xludf.DUMMYFUNCTION("""COMPUTED_VALUE"""),0.4559722222222224)</f>
        <v>0.4559722222</v>
      </c>
      <c r="E598" s="6">
        <f>IFERROR(__xludf.DUMMYFUNCTION("""COMPUTED_VALUE"""),0.0021064814814814813)</f>
        <v>0.002106481481</v>
      </c>
      <c r="F598" s="6">
        <f>IFERROR(__xludf.DUMMYFUNCTION("""COMPUTED_VALUE"""),0.45807870370370385)</f>
        <v>0.4580787037</v>
      </c>
      <c r="G598" s="4" t="str">
        <f>IFERROR(__xludf.DUMMYFUNCTION("""COMPUTED_VALUE"""),"Dan")</f>
        <v>Dan</v>
      </c>
      <c r="H598" s="4" t="str">
        <f>IFERROR(__xludf.DUMMYFUNCTION("""COMPUTED_VALUE"""),"N/A")</f>
        <v>N/A</v>
      </c>
      <c r="I598" s="4" t="str">
        <f>IFERROR(__xludf.DUMMYFUNCTION("""COMPUTED_VALUE"""),"Jack")</f>
        <v>Jack</v>
      </c>
      <c r="J598" s="4" t="str">
        <f>IFERROR(__xludf.DUMMYFUNCTION("""COMPUTED_VALUE"""),"Remote working")</f>
        <v>Remote working</v>
      </c>
      <c r="K598" s="4" t="str">
        <f>IFERROR(__xludf.DUMMYFUNCTION("""COMPUTED_VALUE"""),"Keynote")</f>
        <v>Keynote</v>
      </c>
      <c r="L598" s="4" t="str">
        <f>IFERROR(__xludf.DUMMYFUNCTION("""COMPUTED_VALUE"""),"T- 9 - 20/04/2020")</f>
        <v>T- 9 - 20/04/2020</v>
      </c>
      <c r="M598" s="4" t="str">
        <f>IFERROR(__xludf.DUMMYFUNCTION("""COMPUTED_VALUE"""),"Scaling a company 10-fold in four weeks")</f>
        <v>Scaling a company 10-fold in four weeks</v>
      </c>
      <c r="N598" s="4" t="str">
        <f>IFERROR(__xludf.DUMMYFUNCTION("""COMPUTED_VALUE"""),"Anna Chif, Dialogue")</f>
        <v>Anna Chif, Dialogue</v>
      </c>
      <c r="O598" s="4" t="str">
        <f>IFERROR(__xludf.DUMMYFUNCTION("""COMPUTED_VALUE"""),"")</f>
        <v/>
      </c>
      <c r="P598" s="4" t="str">
        <f>IFERROR(__xludf.DUMMYFUNCTION("""COMPUTED_VALUE"""),"")</f>
        <v/>
      </c>
      <c r="Q598" s="4" t="str">
        <f>IFERROR(__xludf.DUMMYFUNCTION("""COMPUTED_VALUE"""),"")</f>
        <v/>
      </c>
      <c r="R598" s="4" t="str">
        <f>IFERROR(__xludf.DUMMYFUNCTION("""COMPUTED_VALUE"""),"")</f>
        <v/>
      </c>
      <c r="S598" s="4" t="str">
        <f>IFERROR(__xludf.DUMMYFUNCTION("""COMPUTED_VALUE"""),"Hear from Dialogue's co-founder Anna Chif on how the healthcare organization became the largest and fastest-growing telemedicine company in Canada.")</f>
        <v>Hear from Dialogue's co-founder Anna Chif on how the healthcare organization became the largest and fastest-growing telemedicine company in Canada.</v>
      </c>
      <c r="T598" s="4" t="str">
        <f>IFERROR(__xludf.DUMMYFUNCTION("""COMPUTED_VALUE"""),"KEYNOTE 8 - COMPLETE")</f>
        <v>KEYNOTE 8 - COMPLETE</v>
      </c>
      <c r="U598" s="23">
        <f>IFERROR(__xludf.DUMMYFUNCTION("""COMPUTED_VALUE"""),43944.0)</f>
        <v>43944</v>
      </c>
      <c r="V598" s="24">
        <f>IFERROR(__xludf.DUMMYFUNCTION("""COMPUTED_VALUE"""),0.7291666666666666)</f>
        <v>0.7291666667</v>
      </c>
      <c r="W598" s="4" t="str">
        <f>IFERROR(__xludf.DUMMYFUNCTION("""COMPUTED_VALUE"""),"COMPLETE")</f>
        <v>COMPLETE</v>
      </c>
      <c r="X598" s="4" t="str">
        <f>IFERROR(__xludf.DUMMYFUNCTION("""COMPUTED_VALUE"""),"Dan")</f>
        <v>Dan</v>
      </c>
      <c r="Y598" s="4" t="str">
        <f>IFERROR(__xludf.DUMMYFUNCTION("""COMPUTED_VALUE"""),"4627982298027240307")</f>
        <v>4627982298027240307</v>
      </c>
    </row>
    <row r="599">
      <c r="A599" s="4" t="str">
        <f>IFERROR(__xludf.DUMMYFUNCTION("""COMPUTED_VALUE"""),"655 - Channel")</f>
        <v>655 - Channel</v>
      </c>
      <c r="B599" s="4" t="str">
        <f>IFERROR(__xludf.DUMMYFUNCTION("""COMPUTED_VALUE"""),"Channel 2")</f>
        <v>Channel 2</v>
      </c>
      <c r="C599" s="4" t="str">
        <f>IFERROR(__xludf.DUMMYFUNCTION("""COMPUTED_VALUE"""),"Day 3 - 25/06")</f>
        <v>Day 3 - 25/06</v>
      </c>
      <c r="D599" s="6">
        <f>IFERROR(__xludf.DUMMYFUNCTION("""COMPUTED_VALUE"""),0.45807870370370385)</f>
        <v>0.4580787037</v>
      </c>
      <c r="E599" s="6">
        <f>IFERROR(__xludf.DUMMYFUNCTION("""COMPUTED_VALUE"""),2.662037037037037E-4)</f>
        <v>0.0002662037037</v>
      </c>
      <c r="F599" s="6">
        <f>IFERROR(__xludf.DUMMYFUNCTION("""COMPUTED_VALUE"""),0.4583449074074076)</f>
        <v>0.4583449074</v>
      </c>
      <c r="G599" s="4" t="str">
        <f>IFERROR(__xludf.DUMMYFUNCTION("""COMPUTED_VALUE"""),"Graphics")</f>
        <v>Graphics</v>
      </c>
      <c r="H599" s="4" t="str">
        <f>IFERROR(__xludf.DUMMYFUNCTION("""COMPUTED_VALUE"""),"")</f>
        <v/>
      </c>
      <c r="I599" s="4" t="str">
        <f>IFERROR(__xludf.DUMMYFUNCTION("""COMPUTED_VALUE"""),"")</f>
        <v/>
      </c>
      <c r="J599" s="4" t="str">
        <f>IFERROR(__xludf.DUMMYFUNCTION("""COMPUTED_VALUE"""),"Remote working")</f>
        <v>Remote working</v>
      </c>
      <c r="K599" s="4" t="str">
        <f>IFERROR(__xludf.DUMMYFUNCTION("""COMPUTED_VALUE"""),"Talk Outro")</f>
        <v>Talk Outro</v>
      </c>
      <c r="L599" s="4" t="str">
        <f>IFERROR(__xludf.DUMMYFUNCTION("""COMPUTED_VALUE"""),"")</f>
        <v/>
      </c>
      <c r="M599" s="4" t="str">
        <f>IFERROR(__xludf.DUMMYFUNCTION("""COMPUTED_VALUE"""),"Talk Outro (Length increased to balance out the hour)")</f>
        <v>Talk Outro (Length increased to balance out the hour)</v>
      </c>
      <c r="N599" s="4" t="str">
        <f>IFERROR(__xludf.DUMMYFUNCTION("""COMPUTED_VALUE"""),"")</f>
        <v/>
      </c>
      <c r="O599" s="4" t="str">
        <f>IFERROR(__xludf.DUMMYFUNCTION("""COMPUTED_VALUE"""),"")</f>
        <v/>
      </c>
      <c r="P599" s="4" t="str">
        <f>IFERROR(__xludf.DUMMYFUNCTION("""COMPUTED_VALUE"""),"")</f>
        <v/>
      </c>
      <c r="Q599" s="4" t="str">
        <f>IFERROR(__xludf.DUMMYFUNCTION("""COMPUTED_VALUE"""),"")</f>
        <v/>
      </c>
      <c r="R599" s="4" t="str">
        <f>IFERROR(__xludf.DUMMYFUNCTION("""COMPUTED_VALUE"""),"")</f>
        <v/>
      </c>
      <c r="S599" s="4" t="str">
        <f>IFERROR(__xludf.DUMMYFUNCTION("""COMPUTED_VALUE"""),"")</f>
        <v/>
      </c>
      <c r="T599" s="4" t="str">
        <f>IFERROR(__xludf.DUMMYFUNCTION("""COMPUTED_VALUE"""),"")</f>
        <v/>
      </c>
      <c r="U599" s="4" t="str">
        <f>IFERROR(__xludf.DUMMYFUNCTION("""COMPUTED_VALUE"""),"")</f>
        <v/>
      </c>
      <c r="V599" s="4" t="str">
        <f>IFERROR(__xludf.DUMMYFUNCTION("""COMPUTED_VALUE"""),"")</f>
        <v/>
      </c>
      <c r="W599" s="4" t="str">
        <f>IFERROR(__xludf.DUMMYFUNCTION("""COMPUTED_VALUE"""),"")</f>
        <v/>
      </c>
      <c r="X599" s="4" t="str">
        <f>IFERROR(__xludf.DUMMYFUNCTION("""COMPUTED_VALUE"""),"")</f>
        <v/>
      </c>
      <c r="Y599" s="4" t="str">
        <f>IFERROR(__xludf.DUMMYFUNCTION("""COMPUTED_VALUE"""),"")</f>
        <v/>
      </c>
    </row>
    <row r="600">
      <c r="A600" s="4" t="str">
        <f>IFERROR(__xludf.DUMMYFUNCTION("""COMPUTED_VALUE"""),"656 - Channel")</f>
        <v>656 - Channel</v>
      </c>
      <c r="B600" s="4" t="str">
        <f>IFERROR(__xludf.DUMMYFUNCTION("""COMPUTED_VALUE"""),"Channel 2")</f>
        <v>Channel 2</v>
      </c>
      <c r="C600" s="4" t="str">
        <f>IFERROR(__xludf.DUMMYFUNCTION("""COMPUTED_VALUE"""),"Day 3 - 25/06")</f>
        <v>Day 3 - 25/06</v>
      </c>
      <c r="D600" s="6">
        <f>IFERROR(__xludf.DUMMYFUNCTION("""COMPUTED_VALUE"""),0.4583449074074076)</f>
        <v>0.4583449074</v>
      </c>
      <c r="E600" s="6">
        <f>IFERROR(__xludf.DUMMYFUNCTION("""COMPUTED_VALUE"""),3.4722222222222224E-4)</f>
        <v>0.0003472222222</v>
      </c>
      <c r="F600" s="6">
        <f>IFERROR(__xludf.DUMMYFUNCTION("""COMPUTED_VALUE"""),0.4586921296296298)</f>
        <v>0.4586921296</v>
      </c>
      <c r="G600" s="4" t="str">
        <f>IFERROR(__xludf.DUMMYFUNCTION("""COMPUTED_VALUE"""),"Graphics")</f>
        <v>Graphics</v>
      </c>
      <c r="H600" s="4" t="str">
        <f>IFERROR(__xludf.DUMMYFUNCTION("""COMPUTED_VALUE"""),"")</f>
        <v/>
      </c>
      <c r="I600" s="4" t="str">
        <f>IFERROR(__xludf.DUMMYFUNCTION("""COMPUTED_VALUE"""),"")</f>
        <v/>
      </c>
      <c r="J600" s="4" t="str">
        <f>IFERROR(__xludf.DUMMYFUNCTION("""COMPUTED_VALUE"""),"Remote working")</f>
        <v>Remote working</v>
      </c>
      <c r="K600" s="4" t="str">
        <f>IFERROR(__xludf.DUMMYFUNCTION("""COMPUTED_VALUE"""),"40 Words")</f>
        <v>40 Words</v>
      </c>
      <c r="L600" s="4" t="str">
        <f>IFERROR(__xludf.DUMMYFUNCTION("""COMPUTED_VALUE"""),"")</f>
        <v/>
      </c>
      <c r="M600" s="4" t="str">
        <f>IFERROR(__xludf.DUMMYFUNCTION("""COMPUTED_VALUE"""),"40 Words #")</f>
        <v>40 Words #</v>
      </c>
      <c r="N600" s="4" t="str">
        <f>IFERROR(__xludf.DUMMYFUNCTION("""COMPUTED_VALUE"""),"")</f>
        <v/>
      </c>
      <c r="O600" s="4" t="str">
        <f>IFERROR(__xludf.DUMMYFUNCTION("""COMPUTED_VALUE"""),"")</f>
        <v/>
      </c>
      <c r="P600" s="4" t="str">
        <f>IFERROR(__xludf.DUMMYFUNCTION("""COMPUTED_VALUE"""),"")</f>
        <v/>
      </c>
      <c r="Q600" s="4" t="str">
        <f>IFERROR(__xludf.DUMMYFUNCTION("""COMPUTED_VALUE"""),"")</f>
        <v/>
      </c>
      <c r="R600" s="4" t="str">
        <f>IFERROR(__xludf.DUMMYFUNCTION("""COMPUTED_VALUE"""),"")</f>
        <v/>
      </c>
      <c r="S600" s="4" t="str">
        <f>IFERROR(__xludf.DUMMYFUNCTION("""COMPUTED_VALUE"""),"")</f>
        <v/>
      </c>
      <c r="T600" s="4" t="str">
        <f>IFERROR(__xludf.DUMMYFUNCTION("""COMPUTED_VALUE"""),"")</f>
        <v/>
      </c>
      <c r="U600" s="4" t="str">
        <f>IFERROR(__xludf.DUMMYFUNCTION("""COMPUTED_VALUE"""),"")</f>
        <v/>
      </c>
      <c r="V600" s="4" t="str">
        <f>IFERROR(__xludf.DUMMYFUNCTION("""COMPUTED_VALUE"""),"")</f>
        <v/>
      </c>
      <c r="W600" s="4" t="str">
        <f>IFERROR(__xludf.DUMMYFUNCTION("""COMPUTED_VALUE"""),"")</f>
        <v/>
      </c>
      <c r="X600" s="4" t="str">
        <f>IFERROR(__xludf.DUMMYFUNCTION("""COMPUTED_VALUE"""),"")</f>
        <v/>
      </c>
      <c r="Y600" s="4" t="str">
        <f>IFERROR(__xludf.DUMMYFUNCTION("""COMPUTED_VALUE"""),"")</f>
        <v/>
      </c>
    </row>
    <row r="601">
      <c r="A601" s="4" t="str">
        <f>IFERROR(__xludf.DUMMYFUNCTION("""COMPUTED_VALUE"""),"658 - Channel")</f>
        <v>658 - Channel</v>
      </c>
      <c r="B601" s="4" t="str">
        <f>IFERROR(__xludf.DUMMYFUNCTION("""COMPUTED_VALUE"""),"Channel 2")</f>
        <v>Channel 2</v>
      </c>
      <c r="C601" s="4" t="str">
        <f>IFERROR(__xludf.DUMMYFUNCTION("""COMPUTED_VALUE"""),"Day 3 - 25/06")</f>
        <v>Day 3 - 25/06</v>
      </c>
      <c r="D601" s="4" t="str">
        <f>IFERROR(__xludf.DUMMYFUNCTION("""COMPUTED_VALUE"""),"")</f>
        <v/>
      </c>
      <c r="E601" s="4" t="str">
        <f>IFERROR(__xludf.DUMMYFUNCTION("""COMPUTED_VALUE"""),"")</f>
        <v/>
      </c>
      <c r="F601" s="4" t="str">
        <f>IFERROR(__xludf.DUMMYFUNCTION("""COMPUTED_VALUE"""),"")</f>
        <v/>
      </c>
      <c r="G601" s="4" t="str">
        <f>IFERROR(__xludf.DUMMYFUNCTION("""COMPUTED_VALUE"""),"")</f>
        <v/>
      </c>
      <c r="H601" s="4" t="str">
        <f>IFERROR(__xludf.DUMMYFUNCTION("""COMPUTED_VALUE"""),"")</f>
        <v/>
      </c>
      <c r="I601" s="4" t="str">
        <f>IFERROR(__xludf.DUMMYFUNCTION("""COMPUTED_VALUE"""),"")</f>
        <v/>
      </c>
      <c r="J601" s="4" t="str">
        <f>IFERROR(__xludf.DUMMYFUNCTION("""COMPUTED_VALUE"""),"")</f>
        <v/>
      </c>
      <c r="K601" s="4" t="str">
        <f>IFERROR(__xludf.DUMMYFUNCTION("""COMPUTED_VALUE"""),"")</f>
        <v/>
      </c>
      <c r="L601" s="4" t="str">
        <f>IFERROR(__xludf.DUMMYFUNCTION("""COMPUTED_VALUE"""),"")</f>
        <v/>
      </c>
      <c r="M601" s="4" t="str">
        <f>IFERROR(__xludf.DUMMYFUNCTION("""COMPUTED_VALUE"""),"")</f>
        <v/>
      </c>
      <c r="N601" s="4" t="str">
        <f>IFERROR(__xludf.DUMMYFUNCTION("""COMPUTED_VALUE"""),"")</f>
        <v/>
      </c>
      <c r="O601" s="4" t="str">
        <f>IFERROR(__xludf.DUMMYFUNCTION("""COMPUTED_VALUE"""),"")</f>
        <v/>
      </c>
      <c r="P601" s="4" t="str">
        <f>IFERROR(__xludf.DUMMYFUNCTION("""COMPUTED_VALUE"""),"")</f>
        <v/>
      </c>
      <c r="Q601" s="4" t="str">
        <f>IFERROR(__xludf.DUMMYFUNCTION("""COMPUTED_VALUE"""),"")</f>
        <v/>
      </c>
      <c r="R601" s="4" t="str">
        <f>IFERROR(__xludf.DUMMYFUNCTION("""COMPUTED_VALUE"""),"")</f>
        <v/>
      </c>
      <c r="S601" s="4" t="str">
        <f>IFERROR(__xludf.DUMMYFUNCTION("""COMPUTED_VALUE"""),"")</f>
        <v/>
      </c>
      <c r="T601" s="4" t="str">
        <f>IFERROR(__xludf.DUMMYFUNCTION("""COMPUTED_VALUE"""),"")</f>
        <v/>
      </c>
      <c r="U601" s="4" t="str">
        <f>IFERROR(__xludf.DUMMYFUNCTION("""COMPUTED_VALUE"""),"")</f>
        <v/>
      </c>
      <c r="V601" s="4" t="str">
        <f>IFERROR(__xludf.DUMMYFUNCTION("""COMPUTED_VALUE"""),"")</f>
        <v/>
      </c>
      <c r="W601" s="4" t="str">
        <f>IFERROR(__xludf.DUMMYFUNCTION("""COMPUTED_VALUE"""),"")</f>
        <v/>
      </c>
      <c r="X601" s="4" t="str">
        <f>IFERROR(__xludf.DUMMYFUNCTION("""COMPUTED_VALUE"""),"")</f>
        <v/>
      </c>
      <c r="Y601" s="4" t="str">
        <f>IFERROR(__xludf.DUMMYFUNCTION("""COMPUTED_VALUE"""),"")</f>
        <v/>
      </c>
    </row>
    <row r="602">
      <c r="A602" s="4" t="str">
        <f>IFERROR(__xludf.DUMMYFUNCTION("""COMPUTED_VALUE"""),"609 - Channel")</f>
        <v>609 - Channel</v>
      </c>
      <c r="B602" s="4" t="str">
        <f>IFERROR(__xludf.DUMMYFUNCTION("""COMPUTED_VALUE"""),"Channel 2")</f>
        <v>Channel 2</v>
      </c>
      <c r="C602" s="4" t="str">
        <f>IFERROR(__xludf.DUMMYFUNCTION("""COMPUTED_VALUE"""),"Day 3 - 25/06")</f>
        <v>Day 3 - 25/06</v>
      </c>
      <c r="D602" s="6">
        <f>IFERROR(__xludf.DUMMYFUNCTION("""COMPUTED_VALUE"""),0.4586921296296298)</f>
        <v>0.4586921296</v>
      </c>
      <c r="E602" s="6">
        <f>IFERROR(__xludf.DUMMYFUNCTION("""COMPUTED_VALUE"""),3.4722222222222224E-4)</f>
        <v>0.0003472222222</v>
      </c>
      <c r="F602" s="6">
        <f>IFERROR(__xludf.DUMMYFUNCTION("""COMPUTED_VALUE"""),0.459039351851852)</f>
        <v>0.4590393519</v>
      </c>
      <c r="G602" s="4" t="str">
        <f>IFERROR(__xludf.DUMMYFUNCTION("""COMPUTED_VALUE"""),"Graphics")</f>
        <v>Graphics</v>
      </c>
      <c r="H602" s="4" t="str">
        <f>IFERROR(__xludf.DUMMYFUNCTION("""COMPUTED_VALUE"""),"")</f>
        <v/>
      </c>
      <c r="I602" s="4" t="str">
        <f>IFERROR(__xludf.DUMMYFUNCTION("""COMPUTED_VALUE"""),"")</f>
        <v/>
      </c>
      <c r="J602" s="4" t="str">
        <f>IFERROR(__xludf.DUMMYFUNCTION("""COMPUTED_VALUE"""),"Fundraising")</f>
        <v>Fundraising</v>
      </c>
      <c r="K602" s="4" t="str">
        <f>IFERROR(__xludf.DUMMYFUNCTION("""COMPUTED_VALUE"""),"Talk Intro")</f>
        <v>Talk Intro</v>
      </c>
      <c r="L602" s="4" t="str">
        <f>IFERROR(__xludf.DUMMYFUNCTION("""COMPUTED_VALUE"""),"")</f>
        <v/>
      </c>
      <c r="M602" s="4" t="str">
        <f>IFERROR(__xludf.DUMMYFUNCTION("""COMPUTED_VALUE"""),"Talk Intro")</f>
        <v>Talk Intro</v>
      </c>
      <c r="N602" s="4" t="str">
        <f>IFERROR(__xludf.DUMMYFUNCTION("""COMPUTED_VALUE"""),"")</f>
        <v/>
      </c>
      <c r="O602" s="4" t="str">
        <f>IFERROR(__xludf.DUMMYFUNCTION("""COMPUTED_VALUE"""),"")</f>
        <v/>
      </c>
      <c r="P602" s="4" t="str">
        <f>IFERROR(__xludf.DUMMYFUNCTION("""COMPUTED_VALUE"""),"")</f>
        <v/>
      </c>
      <c r="Q602" s="4" t="str">
        <f>IFERROR(__xludf.DUMMYFUNCTION("""COMPUTED_VALUE"""),"")</f>
        <v/>
      </c>
      <c r="R602" s="4" t="str">
        <f>IFERROR(__xludf.DUMMYFUNCTION("""COMPUTED_VALUE"""),"")</f>
        <v/>
      </c>
      <c r="S602" s="4" t="str">
        <f>IFERROR(__xludf.DUMMYFUNCTION("""COMPUTED_VALUE"""),"")</f>
        <v/>
      </c>
      <c r="T602" s="4" t="str">
        <f>IFERROR(__xludf.DUMMYFUNCTION("""COMPUTED_VALUE"""),"")</f>
        <v/>
      </c>
      <c r="U602" s="4" t="str">
        <f>IFERROR(__xludf.DUMMYFUNCTION("""COMPUTED_VALUE"""),"")</f>
        <v/>
      </c>
      <c r="V602" s="4" t="str">
        <f>IFERROR(__xludf.DUMMYFUNCTION("""COMPUTED_VALUE"""),"")</f>
        <v/>
      </c>
      <c r="W602" s="4" t="str">
        <f>IFERROR(__xludf.DUMMYFUNCTION("""COMPUTED_VALUE"""),"")</f>
        <v/>
      </c>
      <c r="X602" s="4" t="str">
        <f>IFERROR(__xludf.DUMMYFUNCTION("""COMPUTED_VALUE"""),"")</f>
        <v/>
      </c>
      <c r="Y602" s="4" t="str">
        <f>IFERROR(__xludf.DUMMYFUNCTION("""COMPUTED_VALUE"""),"")</f>
        <v/>
      </c>
    </row>
    <row r="603">
      <c r="A603" s="4" t="str">
        <f>IFERROR(__xludf.DUMMYFUNCTION("""COMPUTED_VALUE"""),"610 - Channel")</f>
        <v>610 - Channel</v>
      </c>
      <c r="B603" s="4" t="str">
        <f>IFERROR(__xludf.DUMMYFUNCTION("""COMPUTED_VALUE"""),"Channel 2")</f>
        <v>Channel 2</v>
      </c>
      <c r="C603" s="4" t="str">
        <f>IFERROR(__xludf.DUMMYFUNCTION("""COMPUTED_VALUE"""),"Day 3 - 25/06")</f>
        <v>Day 3 - 25/06</v>
      </c>
      <c r="D603" s="6">
        <f>IFERROR(__xludf.DUMMYFUNCTION("""COMPUTED_VALUE"""),0.459039351851852)</f>
        <v>0.4590393519</v>
      </c>
      <c r="E603" s="6">
        <f>IFERROR(__xludf.DUMMYFUNCTION("""COMPUTED_VALUE"""),0.0125)</f>
        <v>0.0125</v>
      </c>
      <c r="F603" s="6">
        <f>IFERROR(__xludf.DUMMYFUNCTION("""COMPUTED_VALUE"""),0.47153935185185203)</f>
        <v>0.4715393519</v>
      </c>
      <c r="G603" s="4" t="str">
        <f>IFERROR(__xludf.DUMMYFUNCTION("""COMPUTED_VALUE"""),"Colm")</f>
        <v>Colm</v>
      </c>
      <c r="H603" s="4" t="str">
        <f>IFERROR(__xludf.DUMMYFUNCTION("""COMPUTED_VALUE"""),"Shauna")</f>
        <v>Shauna</v>
      </c>
      <c r="I603" s="4" t="str">
        <f>IFERROR(__xludf.DUMMYFUNCTION("""COMPUTED_VALUE"""),"Geoff")</f>
        <v>Geoff</v>
      </c>
      <c r="J603" s="4" t="str">
        <f>IFERROR(__xludf.DUMMYFUNCTION("""COMPUTED_VALUE"""),"Fundraising")</f>
        <v>Fundraising</v>
      </c>
      <c r="K603" s="4" t="str">
        <f>IFERROR(__xludf.DUMMYFUNCTION("""COMPUTED_VALUE"""),"Super Fireside")</f>
        <v>Super Fireside</v>
      </c>
      <c r="L603" s="4" t="str">
        <f>IFERROR(__xludf.DUMMYFUNCTION("""COMPUTED_VALUE"""),"T- 3 - 01/06/2020")</f>
        <v>T- 3 - 01/06/2020</v>
      </c>
      <c r="M603" s="4" t="str">
        <f>IFERROR(__xludf.DUMMYFUNCTION("""COMPUTED_VALUE"""),"LL Cool J rocks the bells")</f>
        <v>LL Cool J rocks the bells</v>
      </c>
      <c r="N603" s="4" t="str">
        <f>IFERROR(__xludf.DUMMYFUNCTION("""COMPUTED_VALUE""")," LL COOL J, Rock The Bells")</f>
        <v> LL COOL J, Rock The Bells</v>
      </c>
      <c r="O603" s="4" t="str">
        <f>IFERROR(__xludf.DUMMYFUNCTION("""COMPUTED_VALUE"""),"Geoff Yang, Redpoint Ventures")</f>
        <v>Geoff Yang, Redpoint Ventures</v>
      </c>
      <c r="P603" s="4" t="str">
        <f>IFERROR(__xludf.DUMMYFUNCTION("""COMPUTED_VALUE"""),"")</f>
        <v/>
      </c>
      <c r="Q603" s="4" t="str">
        <f>IFERROR(__xludf.DUMMYFUNCTION("""COMPUTED_VALUE"""),"")</f>
        <v/>
      </c>
      <c r="R603" s="4" t="str">
        <f>IFERROR(__xludf.DUMMYFUNCTION("""COMPUTED_VALUE"""),"Jemele Hill, The Atlantic")</f>
        <v>Jemele Hill, The Atlantic</v>
      </c>
      <c r="S603" s="4" t="str">
        <f>IFERROR(__xludf.DUMMYFUNCTION("""COMPUTED_VALUE"""),"In this talk, hip-hop icon LL COOL J – together with Redpoint Ventures' founding partner, Geoff Yang – will explore the intersection of content, commerce and real-life experiences that expertly engage gen X.")</f>
        <v>In this talk, hip-hop icon LL COOL J – together with Redpoint Ventures' founding partner, Geoff Yang – will explore the intersection of content, commerce and real-life experiences that expertly engage gen X.</v>
      </c>
      <c r="T603" s="4" t="str">
        <f>IFERROR(__xludf.DUMMYFUNCTION("""COMPUTED_VALUE"""),"NON-KEYNOTE 9 - COMPLETE")</f>
        <v>NON-KEYNOTE 9 - COMPLETE</v>
      </c>
      <c r="U603" s="23">
        <f>IFERROR(__xludf.DUMMYFUNCTION("""COMPUTED_VALUE"""),43986.0)</f>
        <v>43986</v>
      </c>
      <c r="V603" s="24">
        <f>IFERROR(__xludf.DUMMYFUNCTION("""COMPUTED_VALUE"""),0.6875)</f>
        <v>0.6875</v>
      </c>
      <c r="W603" s="4" t="str">
        <f>IFERROR(__xludf.DUMMYFUNCTION("""COMPUTED_VALUE"""),"COMPLETE")</f>
        <v>COMPLETE</v>
      </c>
      <c r="X603" s="4" t="str">
        <f>IFERROR(__xludf.DUMMYFUNCTION("""COMPUTED_VALUE"""),"Colm")</f>
        <v>Colm</v>
      </c>
      <c r="Y603" s="4" t="str">
        <f>IFERROR(__xludf.DUMMYFUNCTION("""COMPUTED_VALUE"""),"")</f>
        <v/>
      </c>
    </row>
    <row r="604">
      <c r="A604" s="4" t="str">
        <f>IFERROR(__xludf.DUMMYFUNCTION("""COMPUTED_VALUE"""),"611 - Channel")</f>
        <v>611 - Channel</v>
      </c>
      <c r="B604" s="4" t="str">
        <f>IFERROR(__xludf.DUMMYFUNCTION("""COMPUTED_VALUE"""),"Channel 2")</f>
        <v>Channel 2</v>
      </c>
      <c r="C604" s="4" t="str">
        <f>IFERROR(__xludf.DUMMYFUNCTION("""COMPUTED_VALUE"""),"Day 3 - 25/06")</f>
        <v>Day 3 - 25/06</v>
      </c>
      <c r="D604" s="6">
        <f>IFERROR(__xludf.DUMMYFUNCTION("""COMPUTED_VALUE"""),0.47153935185185203)</f>
        <v>0.4715393519</v>
      </c>
      <c r="E604" s="6">
        <f>IFERROR(__xludf.DUMMYFUNCTION("""COMPUTED_VALUE"""),1.7361111111111112E-4)</f>
        <v>0.0001736111111</v>
      </c>
      <c r="F604" s="6">
        <f>IFERROR(__xludf.DUMMYFUNCTION("""COMPUTED_VALUE"""),0.47171296296296317)</f>
        <v>0.471712963</v>
      </c>
      <c r="G604" s="4" t="str">
        <f>IFERROR(__xludf.DUMMYFUNCTION("""COMPUTED_VALUE"""),"Graphics")</f>
        <v>Graphics</v>
      </c>
      <c r="H604" s="4" t="str">
        <f>IFERROR(__xludf.DUMMYFUNCTION("""COMPUTED_VALUE"""),"")</f>
        <v/>
      </c>
      <c r="I604" s="4" t="str">
        <f>IFERROR(__xludf.DUMMYFUNCTION("""COMPUTED_VALUE"""),"")</f>
        <v/>
      </c>
      <c r="J604" s="4" t="str">
        <f>IFERROR(__xludf.DUMMYFUNCTION("""COMPUTED_VALUE"""),"Fundraising")</f>
        <v>Fundraising</v>
      </c>
      <c r="K604" s="4" t="str">
        <f>IFERROR(__xludf.DUMMYFUNCTION("""COMPUTED_VALUE"""),"Talk Outro")</f>
        <v>Talk Outro</v>
      </c>
      <c r="L604" s="4" t="str">
        <f>IFERROR(__xludf.DUMMYFUNCTION("""COMPUTED_VALUE"""),"")</f>
        <v/>
      </c>
      <c r="M604" s="4" t="str">
        <f>IFERROR(__xludf.DUMMYFUNCTION("""COMPUTED_VALUE"""),"Talk Outro")</f>
        <v>Talk Outro</v>
      </c>
      <c r="N604" s="4" t="str">
        <f>IFERROR(__xludf.DUMMYFUNCTION("""COMPUTED_VALUE"""),"")</f>
        <v/>
      </c>
      <c r="O604" s="4" t="str">
        <f>IFERROR(__xludf.DUMMYFUNCTION("""COMPUTED_VALUE"""),"")</f>
        <v/>
      </c>
      <c r="P604" s="4" t="str">
        <f>IFERROR(__xludf.DUMMYFUNCTION("""COMPUTED_VALUE"""),"")</f>
        <v/>
      </c>
      <c r="Q604" s="4" t="str">
        <f>IFERROR(__xludf.DUMMYFUNCTION("""COMPUTED_VALUE"""),"")</f>
        <v/>
      </c>
      <c r="R604" s="4" t="str">
        <f>IFERROR(__xludf.DUMMYFUNCTION("""COMPUTED_VALUE"""),"")</f>
        <v/>
      </c>
      <c r="S604" s="4" t="str">
        <f>IFERROR(__xludf.DUMMYFUNCTION("""COMPUTED_VALUE"""),"")</f>
        <v/>
      </c>
      <c r="T604" s="4" t="str">
        <f>IFERROR(__xludf.DUMMYFUNCTION("""COMPUTED_VALUE"""),"")</f>
        <v/>
      </c>
      <c r="U604" s="4" t="str">
        <f>IFERROR(__xludf.DUMMYFUNCTION("""COMPUTED_VALUE"""),"")</f>
        <v/>
      </c>
      <c r="V604" s="4" t="str">
        <f>IFERROR(__xludf.DUMMYFUNCTION("""COMPUTED_VALUE"""),"")</f>
        <v/>
      </c>
      <c r="W604" s="4" t="str">
        <f>IFERROR(__xludf.DUMMYFUNCTION("""COMPUTED_VALUE"""),"")</f>
        <v/>
      </c>
      <c r="X604" s="4" t="str">
        <f>IFERROR(__xludf.DUMMYFUNCTION("""COMPUTED_VALUE"""),"")</f>
        <v/>
      </c>
      <c r="Y604" s="4" t="str">
        <f>IFERROR(__xludf.DUMMYFUNCTION("""COMPUTED_VALUE"""),"")</f>
        <v/>
      </c>
    </row>
    <row r="605">
      <c r="A605" s="4" t="str">
        <f>IFERROR(__xludf.DUMMYFUNCTION("""COMPUTED_VALUE"""),"1391 - Channel")</f>
        <v>1391 - Channel</v>
      </c>
      <c r="B605" s="4" t="str">
        <f>IFERROR(__xludf.DUMMYFUNCTION("""COMPUTED_VALUE"""),"Channel 2")</f>
        <v>Channel 2</v>
      </c>
      <c r="C605" s="4" t="str">
        <f>IFERROR(__xludf.DUMMYFUNCTION("""COMPUTED_VALUE"""),"Day 3 - 25/06")</f>
        <v>Day 3 - 25/06</v>
      </c>
      <c r="D605" s="6">
        <f>IFERROR(__xludf.DUMMYFUNCTION("""COMPUTED_VALUE"""),0.47171296296296317)</f>
        <v>0.471712963</v>
      </c>
      <c r="E605" s="6">
        <f>IFERROR(__xludf.DUMMYFUNCTION("""COMPUTED_VALUE"""),3.4722222222222224E-4)</f>
        <v>0.0003472222222</v>
      </c>
      <c r="F605" s="6">
        <f>IFERROR(__xludf.DUMMYFUNCTION("""COMPUTED_VALUE"""),0.4720601851851854)</f>
        <v>0.4720601852</v>
      </c>
      <c r="G605" s="4" t="str">
        <f>IFERROR(__xludf.DUMMYFUNCTION("""COMPUTED_VALUE"""),"")</f>
        <v/>
      </c>
      <c r="H605" s="4" t="str">
        <f>IFERROR(__xludf.DUMMYFUNCTION("""COMPUTED_VALUE"""),"")</f>
        <v/>
      </c>
      <c r="I605" s="4" t="str">
        <f>IFERROR(__xludf.DUMMYFUNCTION("""COMPUTED_VALUE"""),"")</f>
        <v/>
      </c>
      <c r="J605" s="4" t="str">
        <f>IFERROR(__xludf.DUMMYFUNCTION("""COMPUTED_VALUE"""),"AI")</f>
        <v>AI</v>
      </c>
      <c r="K605" s="4" t="str">
        <f>IFERROR(__xludf.DUMMYFUNCTION("""COMPUTED_VALUE"""),"Talk Intro")</f>
        <v>Talk Intro</v>
      </c>
      <c r="L605" s="4" t="str">
        <f>IFERROR(__xludf.DUMMYFUNCTION("""COMPUTED_VALUE"""),"")</f>
        <v/>
      </c>
      <c r="M605" s="4" t="str">
        <f>IFERROR(__xludf.DUMMYFUNCTION("""COMPUTED_VALUE"""),"Talk Intro")</f>
        <v>Talk Intro</v>
      </c>
      <c r="N605" s="4" t="str">
        <f>IFERROR(__xludf.DUMMYFUNCTION("""COMPUTED_VALUE"""),"Sunil Sharma, Web Summit")</f>
        <v>Sunil Sharma, Web Summit</v>
      </c>
      <c r="O605" s="4" t="str">
        <f>IFERROR(__xludf.DUMMYFUNCTION("""COMPUTED_VALUE"""),"")</f>
        <v/>
      </c>
      <c r="P605" s="4" t="str">
        <f>IFERROR(__xludf.DUMMYFUNCTION("""COMPUTED_VALUE"""),"")</f>
        <v/>
      </c>
      <c r="Q605" s="4" t="str">
        <f>IFERROR(__xludf.DUMMYFUNCTION("""COMPUTED_VALUE"""),"")</f>
        <v/>
      </c>
      <c r="R605" s="4" t="str">
        <f>IFERROR(__xludf.DUMMYFUNCTION("""COMPUTED_VALUE"""),"")</f>
        <v/>
      </c>
      <c r="S605" s="4" t="str">
        <f>IFERROR(__xludf.DUMMYFUNCTION("""COMPUTED_VALUE"""),"")</f>
        <v/>
      </c>
      <c r="T605" s="4" t="str">
        <f>IFERROR(__xludf.DUMMYFUNCTION("""COMPUTED_VALUE"""),"")</f>
        <v/>
      </c>
      <c r="U605" s="4" t="str">
        <f>IFERROR(__xludf.DUMMYFUNCTION("""COMPUTED_VALUE"""),"")</f>
        <v/>
      </c>
      <c r="V605" s="4" t="str">
        <f>IFERROR(__xludf.DUMMYFUNCTION("""COMPUTED_VALUE"""),"")</f>
        <v/>
      </c>
      <c r="W605" s="4" t="str">
        <f>IFERROR(__xludf.DUMMYFUNCTION("""COMPUTED_VALUE"""),"")</f>
        <v/>
      </c>
      <c r="X605" s="4" t="str">
        <f>IFERROR(__xludf.DUMMYFUNCTION("""COMPUTED_VALUE"""),"")</f>
        <v/>
      </c>
      <c r="Y605" s="4" t="str">
        <f>IFERROR(__xludf.DUMMYFUNCTION("""COMPUTED_VALUE"""),"")</f>
        <v/>
      </c>
    </row>
    <row r="606">
      <c r="A606" s="4" t="str">
        <f>IFERROR(__xludf.DUMMYFUNCTION("""COMPUTED_VALUE"""),"1294 - Channel")</f>
        <v>1294 - Channel</v>
      </c>
      <c r="B606" s="4" t="str">
        <f>IFERROR(__xludf.DUMMYFUNCTION("""COMPUTED_VALUE"""),"Channel 2")</f>
        <v>Channel 2</v>
      </c>
      <c r="C606" s="4" t="str">
        <f>IFERROR(__xludf.DUMMYFUNCTION("""COMPUTED_VALUE"""),"Day 3 - 25/06")</f>
        <v>Day 3 - 25/06</v>
      </c>
      <c r="D606" s="6">
        <f>IFERROR(__xludf.DUMMYFUNCTION("""COMPUTED_VALUE"""),0.4720601851851854)</f>
        <v>0.4720601852</v>
      </c>
      <c r="E606" s="6">
        <f>IFERROR(__xludf.DUMMYFUNCTION("""COMPUTED_VALUE"""),0.010393518518518519)</f>
        <v>0.01039351852</v>
      </c>
      <c r="F606" s="6">
        <f>IFERROR(__xludf.DUMMYFUNCTION("""COMPUTED_VALUE"""),0.4824537037037039)</f>
        <v>0.4824537037</v>
      </c>
      <c r="G606" s="4" t="str">
        <f>IFERROR(__xludf.DUMMYFUNCTION("""COMPUTED_VALUE"""),"Stephanie")</f>
        <v>Stephanie</v>
      </c>
      <c r="H606" s="4" t="str">
        <f>IFERROR(__xludf.DUMMYFUNCTION("""COMPUTED_VALUE"""),"Haziq")</f>
        <v>Haziq</v>
      </c>
      <c r="I606" s="4" t="str">
        <f>IFERROR(__xludf.DUMMYFUNCTION("""COMPUTED_VALUE"""),"Geoff")</f>
        <v>Geoff</v>
      </c>
      <c r="J606" s="4" t="str">
        <f>IFERROR(__xludf.DUMMYFUNCTION("""COMPUTED_VALUE"""),"AI")</f>
        <v>AI</v>
      </c>
      <c r="K606" s="4" t="str">
        <f>IFERROR(__xludf.DUMMYFUNCTION("""COMPUTED_VALUE"""),"Panel")</f>
        <v>Panel</v>
      </c>
      <c r="L606" s="4" t="str">
        <f>IFERROR(__xludf.DUMMYFUNCTION("""COMPUTED_VALUE"""),"T- 9 - 20/04/2020")</f>
        <v>T- 9 - 20/04/2020</v>
      </c>
      <c r="M606" s="4" t="str">
        <f>IFERROR(__xludf.DUMMYFUNCTION("""COMPUTED_VALUE"""),"The democratisation of AI")</f>
        <v>The democratisation of AI</v>
      </c>
      <c r="N606" s="4" t="str">
        <f>IFERROR(__xludf.DUMMYFUNCTION("""COMPUTED_VALUE"""),"Jai Das, Sapphire Ventures")</f>
        <v>Jai Das, Sapphire Ventures</v>
      </c>
      <c r="O606" s="4" t="str">
        <f>IFERROR(__xludf.DUMMYFUNCTION("""COMPUTED_VALUE"""),"Lan Xuezhao, Basis Set Ventures")</f>
        <v>Lan Xuezhao, Basis Set Ventures</v>
      </c>
      <c r="P606" s="4" t="str">
        <f>IFERROR(__xludf.DUMMYFUNCTION("""COMPUTED_VALUE"""),"Sudheesh Nair, ThoughtSpot")</f>
        <v>Sudheesh Nair, ThoughtSpot</v>
      </c>
      <c r="Q606" s="4" t="str">
        <f>IFERROR(__xludf.DUMMYFUNCTION("""COMPUTED_VALUE"""),"")</f>
        <v/>
      </c>
      <c r="R606" s="4" t="str">
        <f>IFERROR(__xludf.DUMMYFUNCTION("""COMPUTED_VALUE"""),"Kevin Roose, The New York Times")</f>
        <v>Kevin Roose, The New York Times</v>
      </c>
      <c r="S606" s="4" t="str">
        <f>IFERROR(__xludf.DUMMYFUNCTION("""COMPUTED_VALUE"""),"AI is growing exponentially, and its innovations are changing the world we live in. But how can we expect it to be part of our everyday lives? AI-championing VCs Jai Das and Lan Xuezhao talk with data analytics unicorn CEO Sudheesh Nair.")</f>
        <v>AI is growing exponentially, and its innovations are changing the world we live in. But how can we expect it to be part of our everyday lives? AI-championing VCs Jai Das and Lan Xuezhao talk with data analytics unicorn CEO Sudheesh Nair.</v>
      </c>
      <c r="T606" s="54" t="str">
        <f>IFERROR(__xludf.DUMMYFUNCTION("""COMPUTED_VALUE"""),"NON-KEYNOTE 9 - COMPLETE")</f>
        <v>NON-KEYNOTE 9 - COMPLETE</v>
      </c>
      <c r="U606" s="23">
        <f>IFERROR(__xludf.DUMMYFUNCTION("""COMPUTED_VALUE"""),43944.0)</f>
        <v>43944</v>
      </c>
      <c r="V606" s="24">
        <f>IFERROR(__xludf.DUMMYFUNCTION("""COMPUTED_VALUE"""),0.75)</f>
        <v>0.75</v>
      </c>
      <c r="W606" s="4" t="str">
        <f>IFERROR(__xludf.DUMMYFUNCTION("""COMPUTED_VALUE"""),"COMPLETE")</f>
        <v>COMPLETE</v>
      </c>
      <c r="X606" s="4" t="str">
        <f>IFERROR(__xludf.DUMMYFUNCTION("""COMPUTED_VALUE"""),"Stephanie")</f>
        <v>Stephanie</v>
      </c>
      <c r="Y606" s="4" t="str">
        <f>IFERROR(__xludf.DUMMYFUNCTION("""COMPUTED_VALUE"""),"")</f>
        <v/>
      </c>
    </row>
    <row r="607">
      <c r="A607" s="4" t="str">
        <f>IFERROR(__xludf.DUMMYFUNCTION("""COMPUTED_VALUE"""),"181 - Channel")</f>
        <v>181 - Channel</v>
      </c>
      <c r="B607" s="4" t="str">
        <f>IFERROR(__xludf.DUMMYFUNCTION("""COMPUTED_VALUE"""),"Channel 2")</f>
        <v>Channel 2</v>
      </c>
      <c r="C607" s="4" t="str">
        <f>IFERROR(__xludf.DUMMYFUNCTION("""COMPUTED_VALUE"""),"Day 3 - 25/06")</f>
        <v>Day 3 - 25/06</v>
      </c>
      <c r="D607" s="6">
        <f>IFERROR(__xludf.DUMMYFUNCTION("""COMPUTED_VALUE"""),0.4824537037037039)</f>
        <v>0.4824537037</v>
      </c>
      <c r="E607" s="6">
        <f>IFERROR(__xludf.DUMMYFUNCTION("""COMPUTED_VALUE"""),1.7361111111111112E-4)</f>
        <v>0.0001736111111</v>
      </c>
      <c r="F607" s="6">
        <f>IFERROR(__xludf.DUMMYFUNCTION("""COMPUTED_VALUE"""),0.482627314814815)</f>
        <v>0.4826273148</v>
      </c>
      <c r="G607" s="4" t="str">
        <f>IFERROR(__xludf.DUMMYFUNCTION("""COMPUTED_VALUE"""),"")</f>
        <v/>
      </c>
      <c r="H607" s="4" t="str">
        <f>IFERROR(__xludf.DUMMYFUNCTION("""COMPUTED_VALUE"""),"")</f>
        <v/>
      </c>
      <c r="I607" s="4" t="str">
        <f>IFERROR(__xludf.DUMMYFUNCTION("""COMPUTED_VALUE"""),"")</f>
        <v/>
      </c>
      <c r="J607" s="4" t="str">
        <f>IFERROR(__xludf.DUMMYFUNCTION("""COMPUTED_VALUE"""),"AI")</f>
        <v>AI</v>
      </c>
      <c r="K607" s="4" t="str">
        <f>IFERROR(__xludf.DUMMYFUNCTION("""COMPUTED_VALUE"""),"Talk Outro")</f>
        <v>Talk Outro</v>
      </c>
      <c r="L607" s="4" t="str">
        <f>IFERROR(__xludf.DUMMYFUNCTION("""COMPUTED_VALUE"""),"")</f>
        <v/>
      </c>
      <c r="M607" s="4" t="str">
        <f>IFERROR(__xludf.DUMMYFUNCTION("""COMPUTED_VALUE"""),"Talk Outro")</f>
        <v>Talk Outro</v>
      </c>
      <c r="N607" s="4" t="str">
        <f>IFERROR(__xludf.DUMMYFUNCTION("""COMPUTED_VALUE"""),"Sunil Sharma, Web Summit")</f>
        <v>Sunil Sharma, Web Summit</v>
      </c>
      <c r="O607" s="4" t="str">
        <f>IFERROR(__xludf.DUMMYFUNCTION("""COMPUTED_VALUE"""),"")</f>
        <v/>
      </c>
      <c r="P607" s="4" t="str">
        <f>IFERROR(__xludf.DUMMYFUNCTION("""COMPUTED_VALUE"""),"")</f>
        <v/>
      </c>
      <c r="Q607" s="4" t="str">
        <f>IFERROR(__xludf.DUMMYFUNCTION("""COMPUTED_VALUE"""),"")</f>
        <v/>
      </c>
      <c r="R607" s="4" t="str">
        <f>IFERROR(__xludf.DUMMYFUNCTION("""COMPUTED_VALUE"""),"")</f>
        <v/>
      </c>
      <c r="S607" s="4" t="str">
        <f>IFERROR(__xludf.DUMMYFUNCTION("""COMPUTED_VALUE"""),"")</f>
        <v/>
      </c>
      <c r="T607" s="4" t="str">
        <f>IFERROR(__xludf.DUMMYFUNCTION("""COMPUTED_VALUE"""),"")</f>
        <v/>
      </c>
      <c r="U607" s="4" t="str">
        <f>IFERROR(__xludf.DUMMYFUNCTION("""COMPUTED_VALUE"""),"")</f>
        <v/>
      </c>
      <c r="V607" s="4" t="str">
        <f>IFERROR(__xludf.DUMMYFUNCTION("""COMPUTED_VALUE"""),"")</f>
        <v/>
      </c>
      <c r="W607" s="4" t="str">
        <f>IFERROR(__xludf.DUMMYFUNCTION("""COMPUTED_VALUE"""),"")</f>
        <v/>
      </c>
      <c r="X607" s="4" t="str">
        <f>IFERROR(__xludf.DUMMYFUNCTION("""COMPUTED_VALUE"""),"")</f>
        <v/>
      </c>
      <c r="Y607" s="4" t="str">
        <f>IFERROR(__xludf.DUMMYFUNCTION("""COMPUTED_VALUE"""),"")</f>
        <v/>
      </c>
    </row>
    <row r="608">
      <c r="A608" s="4" t="str">
        <f>IFERROR(__xludf.DUMMYFUNCTION("""COMPUTED_VALUE"""),"588 - Channel")</f>
        <v>588 - Channel</v>
      </c>
      <c r="B608" s="4" t="str">
        <f>IFERROR(__xludf.DUMMYFUNCTION("""COMPUTED_VALUE"""),"Channel 2")</f>
        <v>Channel 2</v>
      </c>
      <c r="C608" s="4" t="str">
        <f>IFERROR(__xludf.DUMMYFUNCTION("""COMPUTED_VALUE"""),"Day 3 - 25/06")</f>
        <v>Day 3 - 25/06</v>
      </c>
      <c r="D608" s="6">
        <f>IFERROR(__xludf.DUMMYFUNCTION("""COMPUTED_VALUE"""),0.482627314814815)</f>
        <v>0.4826273148</v>
      </c>
      <c r="E608" s="6">
        <f>IFERROR(__xludf.DUMMYFUNCTION("""COMPUTED_VALUE"""),3.4722222222222224E-4)</f>
        <v>0.0003472222222</v>
      </c>
      <c r="F608" s="6">
        <f>IFERROR(__xludf.DUMMYFUNCTION("""COMPUTED_VALUE"""),0.48297453703703724)</f>
        <v>0.482974537</v>
      </c>
      <c r="G608" s="4" t="str">
        <f>IFERROR(__xludf.DUMMYFUNCTION("""COMPUTED_VALUE"""),"Graphics")</f>
        <v>Graphics</v>
      </c>
      <c r="H608" s="4" t="str">
        <f>IFERROR(__xludf.DUMMYFUNCTION("""COMPUTED_VALUE"""),"")</f>
        <v/>
      </c>
      <c r="I608" s="4" t="str">
        <f>IFERROR(__xludf.DUMMYFUNCTION("""COMPUTED_VALUE"""),"")</f>
        <v/>
      </c>
      <c r="J608" s="4" t="str">
        <f>IFERROR(__xludf.DUMMYFUNCTION("""COMPUTED_VALUE"""),"Branding")</f>
        <v>Branding</v>
      </c>
      <c r="K608" s="4" t="str">
        <f>IFERROR(__xludf.DUMMYFUNCTION("""COMPUTED_VALUE"""),"Talk Intro")</f>
        <v>Talk Intro</v>
      </c>
      <c r="L608" s="4" t="str">
        <f>IFERROR(__xludf.DUMMYFUNCTION("""COMPUTED_VALUE"""),"")</f>
        <v/>
      </c>
      <c r="M608" s="4" t="str">
        <f>IFERROR(__xludf.DUMMYFUNCTION("""COMPUTED_VALUE"""),"Talk Intro")</f>
        <v>Talk Intro</v>
      </c>
      <c r="N608" s="4" t="str">
        <f>IFERROR(__xludf.DUMMYFUNCTION("""COMPUTED_VALUE"""),"")</f>
        <v/>
      </c>
      <c r="O608" s="4" t="str">
        <f>IFERROR(__xludf.DUMMYFUNCTION("""COMPUTED_VALUE"""),"")</f>
        <v/>
      </c>
      <c r="P608" s="4" t="str">
        <f>IFERROR(__xludf.DUMMYFUNCTION("""COMPUTED_VALUE"""),"")</f>
        <v/>
      </c>
      <c r="Q608" s="4" t="str">
        <f>IFERROR(__xludf.DUMMYFUNCTION("""COMPUTED_VALUE"""),"")</f>
        <v/>
      </c>
      <c r="R608" s="4" t="str">
        <f>IFERROR(__xludf.DUMMYFUNCTION("""COMPUTED_VALUE"""),"")</f>
        <v/>
      </c>
      <c r="S608" s="4" t="str">
        <f>IFERROR(__xludf.DUMMYFUNCTION("""COMPUTED_VALUE"""),"")</f>
        <v/>
      </c>
      <c r="T608" s="4" t="str">
        <f>IFERROR(__xludf.DUMMYFUNCTION("""COMPUTED_VALUE"""),"")</f>
        <v/>
      </c>
      <c r="U608" s="4" t="str">
        <f>IFERROR(__xludf.DUMMYFUNCTION("""COMPUTED_VALUE"""),"")</f>
        <v/>
      </c>
      <c r="V608" s="4" t="str">
        <f>IFERROR(__xludf.DUMMYFUNCTION("""COMPUTED_VALUE"""),"")</f>
        <v/>
      </c>
      <c r="W608" s="4" t="str">
        <f>IFERROR(__xludf.DUMMYFUNCTION("""COMPUTED_VALUE"""),"")</f>
        <v/>
      </c>
      <c r="X608" s="4" t="str">
        <f>IFERROR(__xludf.DUMMYFUNCTION("""COMPUTED_VALUE"""),"")</f>
        <v/>
      </c>
      <c r="Y608" s="4" t="str">
        <f>IFERROR(__xludf.DUMMYFUNCTION("""COMPUTED_VALUE"""),"")</f>
        <v/>
      </c>
    </row>
    <row r="609">
      <c r="A609" s="4" t="str">
        <f>IFERROR(__xludf.DUMMYFUNCTION("""COMPUTED_VALUE"""),"589 - Channel")</f>
        <v>589 - Channel</v>
      </c>
      <c r="B609" s="4" t="str">
        <f>IFERROR(__xludf.DUMMYFUNCTION("""COMPUTED_VALUE"""),"Channel 2")</f>
        <v>Channel 2</v>
      </c>
      <c r="C609" s="4" t="str">
        <f>IFERROR(__xludf.DUMMYFUNCTION("""COMPUTED_VALUE"""),"Day 3 - 25/06")</f>
        <v>Day 3 - 25/06</v>
      </c>
      <c r="D609" s="6">
        <f>IFERROR(__xludf.DUMMYFUNCTION("""COMPUTED_VALUE"""),0.48297453703703724)</f>
        <v>0.482974537</v>
      </c>
      <c r="E609" s="6">
        <f>IFERROR(__xludf.DUMMYFUNCTION("""COMPUTED_VALUE"""),0.008333333333333333)</f>
        <v>0.008333333333</v>
      </c>
      <c r="F609" s="6">
        <f>IFERROR(__xludf.DUMMYFUNCTION("""COMPUTED_VALUE"""),0.4913078703703706)</f>
        <v>0.4913078704</v>
      </c>
      <c r="G609" s="4" t="str">
        <f>IFERROR(__xludf.DUMMYFUNCTION("""COMPUTED_VALUE"""),"Lucia G.")</f>
        <v>Lucia G.</v>
      </c>
      <c r="H609" s="4" t="str">
        <f>IFERROR(__xludf.DUMMYFUNCTION("""COMPUTED_VALUE"""),"Lisa")</f>
        <v>Lisa</v>
      </c>
      <c r="I609" s="4" t="str">
        <f>IFERROR(__xludf.DUMMYFUNCTION("""COMPUTED_VALUE"""),"Jack")</f>
        <v>Jack</v>
      </c>
      <c r="J609" s="4" t="str">
        <f>IFERROR(__xludf.DUMMYFUNCTION("""COMPUTED_VALUE"""),"Branding")</f>
        <v>Branding</v>
      </c>
      <c r="K609" s="4" t="str">
        <f>IFERROR(__xludf.DUMMYFUNCTION("""COMPUTED_VALUE"""),"Super Fireside")</f>
        <v>Super Fireside</v>
      </c>
      <c r="L609" s="4" t="str">
        <f>IFERROR(__xludf.DUMMYFUNCTION("""COMPUTED_VALUE"""),"T- 4 - 25/05/2020")</f>
        <v>T- 4 - 25/05/2020</v>
      </c>
      <c r="M609" s="4" t="str">
        <f>IFERROR(__xludf.DUMMYFUNCTION("""COMPUTED_VALUE"""),"How not to be tone deaf")</f>
        <v>How not to be tone deaf</v>
      </c>
      <c r="N609" s="4" t="str">
        <f>IFERROR(__xludf.DUMMYFUNCTION("""COMPUTED_VALUE"""),"Margaret Molloy, Siegel+Gale")</f>
        <v>Margaret Molloy, Siegel+Gale</v>
      </c>
      <c r="O609" s="4" t="str">
        <f>IFERROR(__xludf.DUMMYFUNCTION("""COMPUTED_VALUE"""),"Rich Antoniello, Complex Networks")</f>
        <v>Rich Antoniello, Complex Networks</v>
      </c>
      <c r="P609" s="4" t="str">
        <f>IFERROR(__xludf.DUMMYFUNCTION("""COMPUTED_VALUE"""),"")</f>
        <v/>
      </c>
      <c r="Q609" s="4" t="str">
        <f>IFERROR(__xludf.DUMMYFUNCTION("""COMPUTED_VALUE"""),"")</f>
        <v/>
      </c>
      <c r="R609" s="4" t="str">
        <f>IFERROR(__xludf.DUMMYFUNCTION("""COMPUTED_VALUE"""),"Martin Swant Forbes")</f>
        <v>Martin Swant Forbes</v>
      </c>
      <c r="S609" s="4" t="str">
        <f>IFERROR(__xludf.DUMMYFUNCTION("""COMPUTED_VALUE"""),"Brands occasionally miss the mark when delivering creative work. These days, advertisers are grappling with how to sell and promote without coming across as gauche or opportunistic. Our panel will provide a list of dos and don'ts on how to strike the righ"&amp;"t tone in these unprecedented times.")</f>
        <v>Brands occasionally miss the mark when delivering creative work. These days, advertisers are grappling with how to sell and promote without coming across as gauche or opportunistic. Our panel will provide a list of dos and don'ts on how to strike the right tone in these unprecedented times.</v>
      </c>
      <c r="T609" s="4" t="str">
        <f>IFERROR(__xludf.DUMMYFUNCTION("""COMPUTED_VALUE"""),"NON-KEYNOTE 9 - COMPLETE")</f>
        <v>NON-KEYNOTE 9 - COMPLETE</v>
      </c>
      <c r="U609" s="23">
        <f>IFERROR(__xludf.DUMMYFUNCTION("""COMPUTED_VALUE"""),43984.0)</f>
        <v>43984</v>
      </c>
      <c r="V609" s="24">
        <f>IFERROR(__xludf.DUMMYFUNCTION("""COMPUTED_VALUE"""),0.625)</f>
        <v>0.625</v>
      </c>
      <c r="W609" s="4" t="str">
        <f>IFERROR(__xludf.DUMMYFUNCTION("""COMPUTED_VALUE"""),"COMPLETE")</f>
        <v>COMPLETE</v>
      </c>
      <c r="X609" s="4" t="str">
        <f>IFERROR(__xludf.DUMMYFUNCTION("""COMPUTED_VALUE"""),"Lucia G.")</f>
        <v>Lucia G.</v>
      </c>
      <c r="Y609" s="4" t="str">
        <f>IFERROR(__xludf.DUMMYFUNCTION("""COMPUTED_VALUE"""),"")</f>
        <v/>
      </c>
    </row>
    <row r="610">
      <c r="A610" s="4" t="str">
        <f>IFERROR(__xludf.DUMMYFUNCTION("""COMPUTED_VALUE"""),"590 - Channel")</f>
        <v>590 - Channel</v>
      </c>
      <c r="B610" s="4" t="str">
        <f>IFERROR(__xludf.DUMMYFUNCTION("""COMPUTED_VALUE"""),"Channel 2")</f>
        <v>Channel 2</v>
      </c>
      <c r="C610" s="4" t="str">
        <f>IFERROR(__xludf.DUMMYFUNCTION("""COMPUTED_VALUE"""),"Day 3 - 25/06")</f>
        <v>Day 3 - 25/06</v>
      </c>
      <c r="D610" s="6">
        <f>IFERROR(__xludf.DUMMYFUNCTION("""COMPUTED_VALUE"""),0.4913078703703706)</f>
        <v>0.4913078704</v>
      </c>
      <c r="E610" s="6">
        <f>IFERROR(__xludf.DUMMYFUNCTION("""COMPUTED_VALUE"""),1.7361111111111112E-4)</f>
        <v>0.0001736111111</v>
      </c>
      <c r="F610" s="6">
        <f>IFERROR(__xludf.DUMMYFUNCTION("""COMPUTED_VALUE"""),0.49148148148148174)</f>
        <v>0.4914814815</v>
      </c>
      <c r="G610" s="4" t="str">
        <f>IFERROR(__xludf.DUMMYFUNCTION("""COMPUTED_VALUE"""),"Graphics")</f>
        <v>Graphics</v>
      </c>
      <c r="H610" s="4" t="str">
        <f>IFERROR(__xludf.DUMMYFUNCTION("""COMPUTED_VALUE"""),"")</f>
        <v/>
      </c>
      <c r="I610" s="4" t="str">
        <f>IFERROR(__xludf.DUMMYFUNCTION("""COMPUTED_VALUE"""),"")</f>
        <v/>
      </c>
      <c r="J610" s="4" t="str">
        <f>IFERROR(__xludf.DUMMYFUNCTION("""COMPUTED_VALUE"""),"Branding")</f>
        <v>Branding</v>
      </c>
      <c r="K610" s="4" t="str">
        <f>IFERROR(__xludf.DUMMYFUNCTION("""COMPUTED_VALUE"""),"Talk Outro")</f>
        <v>Talk Outro</v>
      </c>
      <c r="L610" s="4" t="str">
        <f>IFERROR(__xludf.DUMMYFUNCTION("""COMPUTED_VALUE"""),"")</f>
        <v/>
      </c>
      <c r="M610" s="4" t="str">
        <f>IFERROR(__xludf.DUMMYFUNCTION("""COMPUTED_VALUE"""),"Talk Outro")</f>
        <v>Talk Outro</v>
      </c>
      <c r="N610" s="4" t="str">
        <f>IFERROR(__xludf.DUMMYFUNCTION("""COMPUTED_VALUE"""),"")</f>
        <v/>
      </c>
      <c r="O610" s="4" t="str">
        <f>IFERROR(__xludf.DUMMYFUNCTION("""COMPUTED_VALUE"""),"")</f>
        <v/>
      </c>
      <c r="P610" s="4" t="str">
        <f>IFERROR(__xludf.DUMMYFUNCTION("""COMPUTED_VALUE"""),"")</f>
        <v/>
      </c>
      <c r="Q610" s="4" t="str">
        <f>IFERROR(__xludf.DUMMYFUNCTION("""COMPUTED_VALUE"""),"")</f>
        <v/>
      </c>
      <c r="R610" s="4" t="str">
        <f>IFERROR(__xludf.DUMMYFUNCTION("""COMPUTED_VALUE"""),"")</f>
        <v/>
      </c>
      <c r="S610" s="4" t="str">
        <f>IFERROR(__xludf.DUMMYFUNCTION("""COMPUTED_VALUE"""),"")</f>
        <v/>
      </c>
      <c r="T610" s="4" t="str">
        <f>IFERROR(__xludf.DUMMYFUNCTION("""COMPUTED_VALUE"""),"")</f>
        <v/>
      </c>
      <c r="U610" s="4" t="str">
        <f>IFERROR(__xludf.DUMMYFUNCTION("""COMPUTED_VALUE"""),"")</f>
        <v/>
      </c>
      <c r="V610" s="4" t="str">
        <f>IFERROR(__xludf.DUMMYFUNCTION("""COMPUTED_VALUE"""),"")</f>
        <v/>
      </c>
      <c r="W610" s="4" t="str">
        <f>IFERROR(__xludf.DUMMYFUNCTION("""COMPUTED_VALUE"""),"")</f>
        <v/>
      </c>
      <c r="X610" s="4" t="str">
        <f>IFERROR(__xludf.DUMMYFUNCTION("""COMPUTED_VALUE"""),"")</f>
        <v/>
      </c>
      <c r="Y610" s="4" t="str">
        <f>IFERROR(__xludf.DUMMYFUNCTION("""COMPUTED_VALUE"""),"")</f>
        <v/>
      </c>
    </row>
    <row r="611">
      <c r="A611" s="4" t="str">
        <f>IFERROR(__xludf.DUMMYFUNCTION("""COMPUTED_VALUE"""),"668 - Channel")</f>
        <v>668 - Channel</v>
      </c>
      <c r="B611" s="4" t="str">
        <f>IFERROR(__xludf.DUMMYFUNCTION("""COMPUTED_VALUE"""),"Channel 2")</f>
        <v>Channel 2</v>
      </c>
      <c r="C611" s="4" t="str">
        <f>IFERROR(__xludf.DUMMYFUNCTION("""COMPUTED_VALUE"""),"Day 3 - 25/06")</f>
        <v>Day 3 - 25/06</v>
      </c>
      <c r="D611" s="6">
        <f>IFERROR(__xludf.DUMMYFUNCTION("""COMPUTED_VALUE"""),0.49148148148148174)</f>
        <v>0.4914814815</v>
      </c>
      <c r="E611" s="6">
        <f>IFERROR(__xludf.DUMMYFUNCTION("""COMPUTED_VALUE"""),3.4722222222222224E-4)</f>
        <v>0.0003472222222</v>
      </c>
      <c r="F611" s="6">
        <f>IFERROR(__xludf.DUMMYFUNCTION("""COMPUTED_VALUE"""),0.49182870370370396)</f>
        <v>0.4918287037</v>
      </c>
      <c r="G611" s="4" t="str">
        <f>IFERROR(__xludf.DUMMYFUNCTION("""COMPUTED_VALUE"""),"Graphics")</f>
        <v>Graphics</v>
      </c>
      <c r="H611" s="4" t="str">
        <f>IFERROR(__xludf.DUMMYFUNCTION("""COMPUTED_VALUE"""),"")</f>
        <v/>
      </c>
      <c r="I611" s="4" t="str">
        <f>IFERROR(__xludf.DUMMYFUNCTION("""COMPUTED_VALUE"""),"")</f>
        <v/>
      </c>
      <c r="J611" s="4" t="str">
        <f>IFERROR(__xludf.DUMMYFUNCTION("""COMPUTED_VALUE"""),"AI")</f>
        <v>AI</v>
      </c>
      <c r="K611" s="4" t="str">
        <f>IFERROR(__xludf.DUMMYFUNCTION("""COMPUTED_VALUE"""),"Talk Intro")</f>
        <v>Talk Intro</v>
      </c>
      <c r="L611" s="4" t="str">
        <f>IFERROR(__xludf.DUMMYFUNCTION("""COMPUTED_VALUE"""),"")</f>
        <v/>
      </c>
      <c r="M611" s="4" t="str">
        <f>IFERROR(__xludf.DUMMYFUNCTION("""COMPUTED_VALUE"""),"Talk Intro")</f>
        <v>Talk Intro</v>
      </c>
      <c r="N611" s="4" t="str">
        <f>IFERROR(__xludf.DUMMYFUNCTION("""COMPUTED_VALUE"""),"")</f>
        <v/>
      </c>
      <c r="O611" s="4" t="str">
        <f>IFERROR(__xludf.DUMMYFUNCTION("""COMPUTED_VALUE"""),"")</f>
        <v/>
      </c>
      <c r="P611" s="4" t="str">
        <f>IFERROR(__xludf.DUMMYFUNCTION("""COMPUTED_VALUE"""),"")</f>
        <v/>
      </c>
      <c r="Q611" s="4" t="str">
        <f>IFERROR(__xludf.DUMMYFUNCTION("""COMPUTED_VALUE"""),"")</f>
        <v/>
      </c>
      <c r="R611" s="4" t="str">
        <f>IFERROR(__xludf.DUMMYFUNCTION("""COMPUTED_VALUE"""),"")</f>
        <v/>
      </c>
      <c r="S611" s="4" t="str">
        <f>IFERROR(__xludf.DUMMYFUNCTION("""COMPUTED_VALUE"""),"")</f>
        <v/>
      </c>
      <c r="T611" s="4" t="str">
        <f>IFERROR(__xludf.DUMMYFUNCTION("""COMPUTED_VALUE"""),"")</f>
        <v/>
      </c>
      <c r="U611" s="4" t="str">
        <f>IFERROR(__xludf.DUMMYFUNCTION("""COMPUTED_VALUE"""),"")</f>
        <v/>
      </c>
      <c r="V611" s="4" t="str">
        <f>IFERROR(__xludf.DUMMYFUNCTION("""COMPUTED_VALUE"""),"")</f>
        <v/>
      </c>
      <c r="W611" s="4" t="str">
        <f>IFERROR(__xludf.DUMMYFUNCTION("""COMPUTED_VALUE"""),"")</f>
        <v/>
      </c>
      <c r="X611" s="4" t="str">
        <f>IFERROR(__xludf.DUMMYFUNCTION("""COMPUTED_VALUE"""),"")</f>
        <v/>
      </c>
      <c r="Y611" s="4" t="str">
        <f>IFERROR(__xludf.DUMMYFUNCTION("""COMPUTED_VALUE"""),"")</f>
        <v/>
      </c>
    </row>
    <row r="612">
      <c r="A612" s="4" t="str">
        <f>IFERROR(__xludf.DUMMYFUNCTION("""COMPUTED_VALUE"""),"669 - Channel")</f>
        <v>669 - Channel</v>
      </c>
      <c r="B612" s="4" t="str">
        <f>IFERROR(__xludf.DUMMYFUNCTION("""COMPUTED_VALUE"""),"Channel 2")</f>
        <v>Channel 2</v>
      </c>
      <c r="C612" s="4" t="str">
        <f>IFERROR(__xludf.DUMMYFUNCTION("""COMPUTED_VALUE"""),"Day 3 - 25/06")</f>
        <v>Day 3 - 25/06</v>
      </c>
      <c r="D612" s="6">
        <f>IFERROR(__xludf.DUMMYFUNCTION("""COMPUTED_VALUE"""),0.49182870370370396)</f>
        <v>0.4918287037</v>
      </c>
      <c r="E612" s="6">
        <f>IFERROR(__xludf.DUMMYFUNCTION("""COMPUTED_VALUE"""),0.007268518518518519)</f>
        <v>0.007268518519</v>
      </c>
      <c r="F612" s="6">
        <f>IFERROR(__xludf.DUMMYFUNCTION("""COMPUTED_VALUE"""),0.49909722222222247)</f>
        <v>0.4990972222</v>
      </c>
      <c r="G612" s="4" t="str">
        <f>IFERROR(__xludf.DUMMYFUNCTION("""COMPUTED_VALUE"""),"Laura")</f>
        <v>Laura</v>
      </c>
      <c r="H612" s="4" t="str">
        <f>IFERROR(__xludf.DUMMYFUNCTION("""COMPUTED_VALUE"""),"")</f>
        <v/>
      </c>
      <c r="I612" s="4" t="str">
        <f>IFERROR(__xludf.DUMMYFUNCTION("""COMPUTED_VALUE"""),"Hannah")</f>
        <v>Hannah</v>
      </c>
      <c r="J612" s="4" t="str">
        <f>IFERROR(__xludf.DUMMYFUNCTION("""COMPUTED_VALUE"""),"AI")</f>
        <v>AI</v>
      </c>
      <c r="K612" s="4" t="str">
        <f>IFERROR(__xludf.DUMMYFUNCTION("""COMPUTED_VALUE"""),"Keynote")</f>
        <v>Keynote</v>
      </c>
      <c r="L612" s="4" t="str">
        <f>IFERROR(__xludf.DUMMYFUNCTION("""COMPUTED_VALUE"""),"T- 5 - 18/05/2020")</f>
        <v>T- 5 - 18/05/2020</v>
      </c>
      <c r="M612" s="4" t="str">
        <f>IFERROR(__xludf.DUMMYFUNCTION("""COMPUTED_VALUE"""),"Privacy in a time of crisis")</f>
        <v>Privacy in a time of crisis</v>
      </c>
      <c r="N612" s="4" t="str">
        <f>IFERROR(__xludf.DUMMYFUNCTION("""COMPUTED_VALUE"""),"Garry Kasparov, Garry Kasparov")</f>
        <v>Garry Kasparov, Garry Kasparov</v>
      </c>
      <c r="O612" s="4" t="str">
        <f>IFERROR(__xludf.DUMMYFUNCTION("""COMPUTED_VALUE"""),"")</f>
        <v/>
      </c>
      <c r="P612" s="4" t="str">
        <f>IFERROR(__xludf.DUMMYFUNCTION("""COMPUTED_VALUE"""),"")</f>
        <v/>
      </c>
      <c r="Q612" s="4" t="str">
        <f>IFERROR(__xludf.DUMMYFUNCTION("""COMPUTED_VALUE"""),"")</f>
        <v/>
      </c>
      <c r="R612" s="4" t="str">
        <f>IFERROR(__xludf.DUMMYFUNCTION("""COMPUTED_VALUE"""),"")</f>
        <v/>
      </c>
      <c r="S612" s="4" t="str">
        <f>IFERROR(__xludf.DUMMYFUNCTION("""COMPUTED_VALUE"""),"There has always been fearmongering about AI and other advanced technologies, but the Covid-19 crisis is demonstrating that we don’t have time to waste on farfetched threats. If we want to stay free, safe and healthy, Kasparov claims, we have to embrace t"&amp;"ech progress instead of fretting about it. In his opinion, we have lost years – even decades – of research in tech that could have left us better prepared for the crisis.")</f>
        <v>There has always been fearmongering about AI and other advanced technologies, but the Covid-19 crisis is demonstrating that we don’t have time to waste on farfetched threats. If we want to stay free, safe and healthy, Kasparov claims, we have to embrace tech progress instead of fretting about it. In his opinion, we have lost years – even decades – of research in tech that could have left us better prepared for the crisis.</v>
      </c>
      <c r="T612" s="4" t="str">
        <f>IFERROR(__xludf.DUMMYFUNCTION("""COMPUTED_VALUE"""),"KEYNOTE 8 - COMPLETE")</f>
        <v>KEYNOTE 8 - COMPLETE</v>
      </c>
      <c r="U612" s="23">
        <f>IFERROR(__xludf.DUMMYFUNCTION("""COMPUTED_VALUE"""),43969.0)</f>
        <v>43969</v>
      </c>
      <c r="V612" s="24" t="str">
        <f>IFERROR(__xludf.DUMMYFUNCTION("""COMPUTED_VALUE"""),"Self recording")</f>
        <v>Self recording</v>
      </c>
      <c r="W612" s="4" t="str">
        <f>IFERROR(__xludf.DUMMYFUNCTION("""COMPUTED_VALUE"""),"COMPLETE")</f>
        <v>COMPLETE</v>
      </c>
      <c r="X612" s="4" t="str">
        <f>IFERROR(__xludf.DUMMYFUNCTION("""COMPUTED_VALUE"""),"Laura")</f>
        <v>Laura</v>
      </c>
      <c r="Y612" s="4" t="str">
        <f>IFERROR(__xludf.DUMMYFUNCTION("""COMPUTED_VALUE"""),"4652696648337529631")</f>
        <v>4652696648337529631</v>
      </c>
    </row>
    <row r="613">
      <c r="A613" s="4" t="str">
        <f>IFERROR(__xludf.DUMMYFUNCTION("""COMPUTED_VALUE"""),"670 - Channel")</f>
        <v>670 - Channel</v>
      </c>
      <c r="B613" s="4" t="str">
        <f>IFERROR(__xludf.DUMMYFUNCTION("""COMPUTED_VALUE"""),"Channel 2")</f>
        <v>Channel 2</v>
      </c>
      <c r="C613" s="4" t="str">
        <f>IFERROR(__xludf.DUMMYFUNCTION("""COMPUTED_VALUE"""),"Day 3 - 25/06")</f>
        <v>Day 3 - 25/06</v>
      </c>
      <c r="D613" s="6">
        <f>IFERROR(__xludf.DUMMYFUNCTION("""COMPUTED_VALUE"""),0.49909722222222247)</f>
        <v>0.4990972222</v>
      </c>
      <c r="E613" s="6">
        <f>IFERROR(__xludf.DUMMYFUNCTION("""COMPUTED_VALUE"""),1.7361111111111112E-4)</f>
        <v>0.0001736111111</v>
      </c>
      <c r="F613" s="6">
        <f>IFERROR(__xludf.DUMMYFUNCTION("""COMPUTED_VALUE"""),0.4992708333333336)</f>
        <v>0.4992708333</v>
      </c>
      <c r="G613" s="4" t="str">
        <f>IFERROR(__xludf.DUMMYFUNCTION("""COMPUTED_VALUE"""),"Graphics")</f>
        <v>Graphics</v>
      </c>
      <c r="H613" s="4" t="str">
        <f>IFERROR(__xludf.DUMMYFUNCTION("""COMPUTED_VALUE"""),"")</f>
        <v/>
      </c>
      <c r="I613" s="4" t="str">
        <f>IFERROR(__xludf.DUMMYFUNCTION("""COMPUTED_VALUE"""),"")</f>
        <v/>
      </c>
      <c r="J613" s="4" t="str">
        <f>IFERROR(__xludf.DUMMYFUNCTION("""COMPUTED_VALUE"""),"AI")</f>
        <v>AI</v>
      </c>
      <c r="K613" s="4" t="str">
        <f>IFERROR(__xludf.DUMMYFUNCTION("""COMPUTED_VALUE"""),"Talk Outro")</f>
        <v>Talk Outro</v>
      </c>
      <c r="L613" s="4" t="str">
        <f>IFERROR(__xludf.DUMMYFUNCTION("""COMPUTED_VALUE"""),"")</f>
        <v/>
      </c>
      <c r="M613" s="4" t="str">
        <f>IFERROR(__xludf.DUMMYFUNCTION("""COMPUTED_VALUE"""),"Talk Outro")</f>
        <v>Talk Outro</v>
      </c>
      <c r="N613" s="4" t="str">
        <f>IFERROR(__xludf.DUMMYFUNCTION("""COMPUTED_VALUE"""),"")</f>
        <v/>
      </c>
      <c r="O613" s="4" t="str">
        <f>IFERROR(__xludf.DUMMYFUNCTION("""COMPUTED_VALUE"""),"")</f>
        <v/>
      </c>
      <c r="P613" s="4" t="str">
        <f>IFERROR(__xludf.DUMMYFUNCTION("""COMPUTED_VALUE"""),"")</f>
        <v/>
      </c>
      <c r="Q613" s="4" t="str">
        <f>IFERROR(__xludf.DUMMYFUNCTION("""COMPUTED_VALUE"""),"")</f>
        <v/>
      </c>
      <c r="R613" s="4" t="str">
        <f>IFERROR(__xludf.DUMMYFUNCTION("""COMPUTED_VALUE"""),"")</f>
        <v/>
      </c>
      <c r="S613" s="4" t="str">
        <f>IFERROR(__xludf.DUMMYFUNCTION("""COMPUTED_VALUE"""),"")</f>
        <v/>
      </c>
      <c r="T613" s="4" t="str">
        <f>IFERROR(__xludf.DUMMYFUNCTION("""COMPUTED_VALUE"""),"")</f>
        <v/>
      </c>
      <c r="U613" s="4" t="str">
        <f>IFERROR(__xludf.DUMMYFUNCTION("""COMPUTED_VALUE"""),"")</f>
        <v/>
      </c>
      <c r="V613" s="4" t="str">
        <f>IFERROR(__xludf.DUMMYFUNCTION("""COMPUTED_VALUE"""),"")</f>
        <v/>
      </c>
      <c r="W613" s="4" t="str">
        <f>IFERROR(__xludf.DUMMYFUNCTION("""COMPUTED_VALUE"""),"")</f>
        <v/>
      </c>
      <c r="X613" s="4" t="str">
        <f>IFERROR(__xludf.DUMMYFUNCTION("""COMPUTED_VALUE"""),"")</f>
        <v/>
      </c>
      <c r="Y613" s="4" t="str">
        <f>IFERROR(__xludf.DUMMYFUNCTION("""COMPUTED_VALUE"""),"")</f>
        <v/>
      </c>
    </row>
    <row r="614">
      <c r="A614" s="4" t="str">
        <f>IFERROR(__xludf.DUMMYFUNCTION("""COMPUTED_VALUE"""),"671 - Channel")</f>
        <v>671 - Channel</v>
      </c>
      <c r="B614" s="4" t="str">
        <f>IFERROR(__xludf.DUMMYFUNCTION("""COMPUTED_VALUE"""),"Channel 2")</f>
        <v>Channel 2</v>
      </c>
      <c r="C614" s="4" t="str">
        <f>IFERROR(__xludf.DUMMYFUNCTION("""COMPUTED_VALUE"""),"Day 3 - 25/06")</f>
        <v>Day 3 - 25/06</v>
      </c>
      <c r="D614" s="4" t="str">
        <f>IFERROR(__xludf.DUMMYFUNCTION("""COMPUTED_VALUE"""),"")</f>
        <v/>
      </c>
      <c r="E614" s="4" t="str">
        <f>IFERROR(__xludf.DUMMYFUNCTION("""COMPUTED_VALUE"""),"")</f>
        <v/>
      </c>
      <c r="F614" s="4" t="str">
        <f>IFERROR(__xludf.DUMMYFUNCTION("""COMPUTED_VALUE"""),"")</f>
        <v/>
      </c>
      <c r="G614" s="4" t="str">
        <f>IFERROR(__xludf.DUMMYFUNCTION("""COMPUTED_VALUE"""),"")</f>
        <v/>
      </c>
      <c r="H614" s="4" t="str">
        <f>IFERROR(__xludf.DUMMYFUNCTION("""COMPUTED_VALUE"""),"")</f>
        <v/>
      </c>
      <c r="I614" s="4" t="str">
        <f>IFERROR(__xludf.DUMMYFUNCTION("""COMPUTED_VALUE"""),"")</f>
        <v/>
      </c>
      <c r="J614" s="4" t="str">
        <f>IFERROR(__xludf.DUMMYFUNCTION("""COMPUTED_VALUE"""),"")</f>
        <v/>
      </c>
      <c r="K614" s="4" t="str">
        <f>IFERROR(__xludf.DUMMYFUNCTION("""COMPUTED_VALUE"""),"")</f>
        <v/>
      </c>
      <c r="L614" s="4" t="str">
        <f>IFERROR(__xludf.DUMMYFUNCTION("""COMPUTED_VALUE"""),"")</f>
        <v/>
      </c>
      <c r="M614" s="4" t="str">
        <f>IFERROR(__xludf.DUMMYFUNCTION("""COMPUTED_VALUE"""),"")</f>
        <v/>
      </c>
      <c r="N614" s="4" t="str">
        <f>IFERROR(__xludf.DUMMYFUNCTION("""COMPUTED_VALUE"""),"")</f>
        <v/>
      </c>
      <c r="O614" s="4" t="str">
        <f>IFERROR(__xludf.DUMMYFUNCTION("""COMPUTED_VALUE"""),"")</f>
        <v/>
      </c>
      <c r="P614" s="4" t="str">
        <f>IFERROR(__xludf.DUMMYFUNCTION("""COMPUTED_VALUE"""),"")</f>
        <v/>
      </c>
      <c r="Q614" s="4" t="str">
        <f>IFERROR(__xludf.DUMMYFUNCTION("""COMPUTED_VALUE"""),"")</f>
        <v/>
      </c>
      <c r="R614" s="4" t="str">
        <f>IFERROR(__xludf.DUMMYFUNCTION("""COMPUTED_VALUE"""),"")</f>
        <v/>
      </c>
      <c r="S614" s="4" t="str">
        <f>IFERROR(__xludf.DUMMYFUNCTION("""COMPUTED_VALUE"""),"")</f>
        <v/>
      </c>
      <c r="T614" s="4" t="str">
        <f>IFERROR(__xludf.DUMMYFUNCTION("""COMPUTED_VALUE"""),"")</f>
        <v/>
      </c>
      <c r="U614" s="4" t="str">
        <f>IFERROR(__xludf.DUMMYFUNCTION("""COMPUTED_VALUE"""),"")</f>
        <v/>
      </c>
      <c r="V614" s="4" t="str">
        <f>IFERROR(__xludf.DUMMYFUNCTION("""COMPUTED_VALUE"""),"")</f>
        <v/>
      </c>
      <c r="W614" s="4" t="str">
        <f>IFERROR(__xludf.DUMMYFUNCTION("""COMPUTED_VALUE"""),"")</f>
        <v/>
      </c>
      <c r="X614" s="4" t="str">
        <f>IFERROR(__xludf.DUMMYFUNCTION("""COMPUTED_VALUE"""),"")</f>
        <v/>
      </c>
      <c r="Y614" s="4" t="str">
        <f>IFERROR(__xludf.DUMMYFUNCTION("""COMPUTED_VALUE"""),"")</f>
        <v/>
      </c>
    </row>
    <row r="615">
      <c r="A615" s="4" t="str">
        <f>IFERROR(__xludf.DUMMYFUNCTION("""COMPUTED_VALUE"""),"672 - Channel")</f>
        <v>672 - Channel</v>
      </c>
      <c r="B615" s="4" t="str">
        <f>IFERROR(__xludf.DUMMYFUNCTION("""COMPUTED_VALUE"""),"Channel 2")</f>
        <v>Channel 2</v>
      </c>
      <c r="C615" s="4" t="str">
        <f>IFERROR(__xludf.DUMMYFUNCTION("""COMPUTED_VALUE"""),"Day 3 - 25/06")</f>
        <v>Day 3 - 25/06</v>
      </c>
      <c r="D615" s="6">
        <f>IFERROR(__xludf.DUMMYFUNCTION("""COMPUTED_VALUE"""),0.4992708333333336)</f>
        <v>0.4992708333</v>
      </c>
      <c r="E615" s="6">
        <f>IFERROR(__xludf.DUMMYFUNCTION("""COMPUTED_VALUE"""),3.4722222222222224E-4)</f>
        <v>0.0003472222222</v>
      </c>
      <c r="F615" s="6">
        <f>IFERROR(__xludf.DUMMYFUNCTION("""COMPUTED_VALUE"""),0.49961805555555583)</f>
        <v>0.4996180556</v>
      </c>
      <c r="G615" s="4" t="str">
        <f>IFERROR(__xludf.DUMMYFUNCTION("""COMPUTED_VALUE"""),"Graphics")</f>
        <v>Graphics</v>
      </c>
      <c r="H615" s="4" t="str">
        <f>IFERROR(__xludf.DUMMYFUNCTION("""COMPUTED_VALUE"""),"")</f>
        <v/>
      </c>
      <c r="I615" s="4" t="str">
        <f>IFERROR(__xludf.DUMMYFUNCTION("""COMPUTED_VALUE"""),"")</f>
        <v/>
      </c>
      <c r="J615" s="4" t="str">
        <f>IFERROR(__xludf.DUMMYFUNCTION("""COMPUTED_VALUE"""),"Leadership")</f>
        <v>Leadership</v>
      </c>
      <c r="K615" s="4" t="str">
        <f>IFERROR(__xludf.DUMMYFUNCTION("""COMPUTED_VALUE"""),"Talk Intro")</f>
        <v>Talk Intro</v>
      </c>
      <c r="L615" s="4" t="str">
        <f>IFERROR(__xludf.DUMMYFUNCTION("""COMPUTED_VALUE"""),"")</f>
        <v/>
      </c>
      <c r="M615" s="4" t="str">
        <f>IFERROR(__xludf.DUMMYFUNCTION("""COMPUTED_VALUE"""),"Talk Intro")</f>
        <v>Talk Intro</v>
      </c>
      <c r="N615" s="4" t="str">
        <f>IFERROR(__xludf.DUMMYFUNCTION("""COMPUTED_VALUE"""),"")</f>
        <v/>
      </c>
      <c r="O615" s="4" t="str">
        <f>IFERROR(__xludf.DUMMYFUNCTION("""COMPUTED_VALUE"""),"")</f>
        <v/>
      </c>
      <c r="P615" s="4" t="str">
        <f>IFERROR(__xludf.DUMMYFUNCTION("""COMPUTED_VALUE"""),"")</f>
        <v/>
      </c>
      <c r="Q615" s="4" t="str">
        <f>IFERROR(__xludf.DUMMYFUNCTION("""COMPUTED_VALUE"""),"")</f>
        <v/>
      </c>
      <c r="R615" s="4" t="str">
        <f>IFERROR(__xludf.DUMMYFUNCTION("""COMPUTED_VALUE"""),"")</f>
        <v/>
      </c>
      <c r="S615" s="4" t="str">
        <f>IFERROR(__xludf.DUMMYFUNCTION("""COMPUTED_VALUE"""),"")</f>
        <v/>
      </c>
      <c r="T615" s="4" t="str">
        <f>IFERROR(__xludf.DUMMYFUNCTION("""COMPUTED_VALUE"""),"")</f>
        <v/>
      </c>
      <c r="U615" s="4" t="str">
        <f>IFERROR(__xludf.DUMMYFUNCTION("""COMPUTED_VALUE"""),"")</f>
        <v/>
      </c>
      <c r="V615" s="4" t="str">
        <f>IFERROR(__xludf.DUMMYFUNCTION("""COMPUTED_VALUE"""),"")</f>
        <v/>
      </c>
      <c r="W615" s="4" t="str">
        <f>IFERROR(__xludf.DUMMYFUNCTION("""COMPUTED_VALUE"""),"")</f>
        <v/>
      </c>
      <c r="X615" s="4" t="str">
        <f>IFERROR(__xludf.DUMMYFUNCTION("""COMPUTED_VALUE"""),"")</f>
        <v/>
      </c>
      <c r="Y615" s="4" t="str">
        <f>IFERROR(__xludf.DUMMYFUNCTION("""COMPUTED_VALUE"""),"")</f>
        <v/>
      </c>
    </row>
    <row r="616">
      <c r="A616" s="4" t="str">
        <f>IFERROR(__xludf.DUMMYFUNCTION("""COMPUTED_VALUE"""),"673 - Channel")</f>
        <v>673 - Channel</v>
      </c>
      <c r="B616" s="4" t="str">
        <f>IFERROR(__xludf.DUMMYFUNCTION("""COMPUTED_VALUE"""),"Channel 2")</f>
        <v>Channel 2</v>
      </c>
      <c r="C616" s="4" t="str">
        <f>IFERROR(__xludf.DUMMYFUNCTION("""COMPUTED_VALUE"""),"Day 3 - 25/06")</f>
        <v>Day 3 - 25/06</v>
      </c>
      <c r="D616" s="6">
        <f>IFERROR(__xludf.DUMMYFUNCTION("""COMPUTED_VALUE"""),0.49961805555555583)</f>
        <v>0.4996180556</v>
      </c>
      <c r="E616" s="6">
        <f>IFERROR(__xludf.DUMMYFUNCTION("""COMPUTED_VALUE"""),0.008854166666666666)</f>
        <v>0.008854166667</v>
      </c>
      <c r="F616" s="6">
        <f>IFERROR(__xludf.DUMMYFUNCTION("""COMPUTED_VALUE"""),0.5084722222222225)</f>
        <v>0.5084722222</v>
      </c>
      <c r="G616" s="4" t="str">
        <f>IFERROR(__xludf.DUMMYFUNCTION("""COMPUTED_VALUE"""),"Ahmed")</f>
        <v>Ahmed</v>
      </c>
      <c r="H616" s="4" t="str">
        <f>IFERROR(__xludf.DUMMYFUNCTION("""COMPUTED_VALUE"""),"Eoghan")</f>
        <v>Eoghan</v>
      </c>
      <c r="I616" s="4" t="str">
        <f>IFERROR(__xludf.DUMMYFUNCTION("""COMPUTED_VALUE"""),"Francisca")</f>
        <v>Francisca</v>
      </c>
      <c r="J616" s="4" t="str">
        <f>IFERROR(__xludf.DUMMYFUNCTION("""COMPUTED_VALUE"""),"Leadership")</f>
        <v>Leadership</v>
      </c>
      <c r="K616" s="4" t="str">
        <f>IFERROR(__xludf.DUMMYFUNCTION("""COMPUTED_VALUE"""),"Super Fireside")</f>
        <v>Super Fireside</v>
      </c>
      <c r="L616" s="4" t="str">
        <f>IFERROR(__xludf.DUMMYFUNCTION("""COMPUTED_VALUE"""),"T- 4 - 25/05/2020")</f>
        <v>T- 4 - 25/05/2020</v>
      </c>
      <c r="M616" s="4" t="str">
        <f>IFERROR(__xludf.DUMMYFUNCTION("""COMPUTED_VALUE"""),"Leadership in the time of Covid-19")</f>
        <v>Leadership in the time of Covid-19</v>
      </c>
      <c r="N616" s="4" t="str">
        <f>IFERROR(__xludf.DUMMYFUNCTION("""COMPUTED_VALUE"""),"John Blood, Anheuser-Busch InBev")</f>
        <v>John Blood, Anheuser-Busch InBev</v>
      </c>
      <c r="O616" s="4" t="str">
        <f>IFERROR(__xludf.DUMMYFUNCTION("""COMPUTED_VALUE"""),"Sairah Ashman, Wolff Olins")</f>
        <v>Sairah Ashman, Wolff Olins</v>
      </c>
      <c r="P616" s="4" t="str">
        <f>IFERROR(__xludf.DUMMYFUNCTION("""COMPUTED_VALUE"""),"")</f>
        <v/>
      </c>
      <c r="Q616" s="4" t="str">
        <f>IFERROR(__xludf.DUMMYFUNCTION("""COMPUTED_VALUE"""),"")</f>
        <v/>
      </c>
      <c r="R616" s="4" t="str">
        <f>IFERROR(__xludf.DUMMYFUNCTION("""COMPUTED_VALUE"""),"Paul Michelman, MIT Sloan Management Review")</f>
        <v>Paul Michelman, MIT Sloan Management Review</v>
      </c>
      <c r="S616" s="4" t="str">
        <f>IFERROR(__xludf.DUMMYFUNCTION("""COMPUTED_VALUE"""),"During crises like the Covid-19 pandemic is when leadership matters most. Most leaders don’t have direct experience of leading through a crisis of this magnitude, and there is value in synthesizing what we know about the challenges and opportunities.")</f>
        <v>During crises like the Covid-19 pandemic is when leadership matters most. Most leaders don’t have direct experience of leading through a crisis of this magnitude, and there is value in synthesizing what we know about the challenges and opportunities.</v>
      </c>
      <c r="T616" s="4" t="str">
        <f>IFERROR(__xludf.DUMMYFUNCTION("""COMPUTED_VALUE"""),"NON-KEYNOTE 9 - COMPLETE")</f>
        <v>NON-KEYNOTE 9 - COMPLETE</v>
      </c>
      <c r="U616" s="23">
        <f>IFERROR(__xludf.DUMMYFUNCTION("""COMPUTED_VALUE"""),43980.0)</f>
        <v>43980</v>
      </c>
      <c r="V616" s="24">
        <f>IFERROR(__xludf.DUMMYFUNCTION("""COMPUTED_VALUE"""),0.6666666666666666)</f>
        <v>0.6666666667</v>
      </c>
      <c r="W616" s="4" t="str">
        <f>IFERROR(__xludf.DUMMYFUNCTION("""COMPUTED_VALUE"""),"COMPLETE")</f>
        <v>COMPLETE</v>
      </c>
      <c r="X616" s="4" t="str">
        <f>IFERROR(__xludf.DUMMYFUNCTION("""COMPUTED_VALUE"""),"Ahmed")</f>
        <v>Ahmed</v>
      </c>
      <c r="Y616" s="4" t="str">
        <f>IFERROR(__xludf.DUMMYFUNCTION("""COMPUTED_VALUE"""),"")</f>
        <v/>
      </c>
    </row>
    <row r="617">
      <c r="A617" s="4" t="str">
        <f>IFERROR(__xludf.DUMMYFUNCTION("""COMPUTED_VALUE"""),"674 - Channel")</f>
        <v>674 - Channel</v>
      </c>
      <c r="B617" s="4" t="str">
        <f>IFERROR(__xludf.DUMMYFUNCTION("""COMPUTED_VALUE"""),"Channel 2")</f>
        <v>Channel 2</v>
      </c>
      <c r="C617" s="4" t="str">
        <f>IFERROR(__xludf.DUMMYFUNCTION("""COMPUTED_VALUE"""),"Day 3 - 25/06")</f>
        <v>Day 3 - 25/06</v>
      </c>
      <c r="D617" s="6">
        <f>IFERROR(__xludf.DUMMYFUNCTION("""COMPUTED_VALUE"""),0.5084722222222225)</f>
        <v>0.5084722222</v>
      </c>
      <c r="E617" s="6">
        <f>IFERROR(__xludf.DUMMYFUNCTION("""COMPUTED_VALUE"""),1.7361111111111112E-4)</f>
        <v>0.0001736111111</v>
      </c>
      <c r="F617" s="6">
        <f>IFERROR(__xludf.DUMMYFUNCTION("""COMPUTED_VALUE"""),0.5086458333333337)</f>
        <v>0.5086458333</v>
      </c>
      <c r="G617" s="4" t="str">
        <f>IFERROR(__xludf.DUMMYFUNCTION("""COMPUTED_VALUE"""),"Graphics")</f>
        <v>Graphics</v>
      </c>
      <c r="H617" s="4" t="str">
        <f>IFERROR(__xludf.DUMMYFUNCTION("""COMPUTED_VALUE"""),"")</f>
        <v/>
      </c>
      <c r="I617" s="4" t="str">
        <f>IFERROR(__xludf.DUMMYFUNCTION("""COMPUTED_VALUE"""),"")</f>
        <v/>
      </c>
      <c r="J617" s="4" t="str">
        <f>IFERROR(__xludf.DUMMYFUNCTION("""COMPUTED_VALUE"""),"Leadership")</f>
        <v>Leadership</v>
      </c>
      <c r="K617" s="4" t="str">
        <f>IFERROR(__xludf.DUMMYFUNCTION("""COMPUTED_VALUE"""),"Talk Outro")</f>
        <v>Talk Outro</v>
      </c>
      <c r="L617" s="4" t="str">
        <f>IFERROR(__xludf.DUMMYFUNCTION("""COMPUTED_VALUE"""),"")</f>
        <v/>
      </c>
      <c r="M617" s="4" t="str">
        <f>IFERROR(__xludf.DUMMYFUNCTION("""COMPUTED_VALUE"""),"Talk Outro")</f>
        <v>Talk Outro</v>
      </c>
      <c r="N617" s="4" t="str">
        <f>IFERROR(__xludf.DUMMYFUNCTION("""COMPUTED_VALUE"""),"")</f>
        <v/>
      </c>
      <c r="O617" s="4" t="str">
        <f>IFERROR(__xludf.DUMMYFUNCTION("""COMPUTED_VALUE"""),"")</f>
        <v/>
      </c>
      <c r="P617" s="4" t="str">
        <f>IFERROR(__xludf.DUMMYFUNCTION("""COMPUTED_VALUE"""),"")</f>
        <v/>
      </c>
      <c r="Q617" s="4" t="str">
        <f>IFERROR(__xludf.DUMMYFUNCTION("""COMPUTED_VALUE"""),"")</f>
        <v/>
      </c>
      <c r="R617" s="4" t="str">
        <f>IFERROR(__xludf.DUMMYFUNCTION("""COMPUTED_VALUE"""),"")</f>
        <v/>
      </c>
      <c r="S617" s="4" t="str">
        <f>IFERROR(__xludf.DUMMYFUNCTION("""COMPUTED_VALUE"""),"")</f>
        <v/>
      </c>
      <c r="T617" s="4" t="str">
        <f>IFERROR(__xludf.DUMMYFUNCTION("""COMPUTED_VALUE"""),"")</f>
        <v/>
      </c>
      <c r="U617" s="4" t="str">
        <f>IFERROR(__xludf.DUMMYFUNCTION("""COMPUTED_VALUE"""),"")</f>
        <v/>
      </c>
      <c r="V617" s="4" t="str">
        <f>IFERROR(__xludf.DUMMYFUNCTION("""COMPUTED_VALUE"""),"")</f>
        <v/>
      </c>
      <c r="W617" s="4" t="str">
        <f>IFERROR(__xludf.DUMMYFUNCTION("""COMPUTED_VALUE"""),"")</f>
        <v/>
      </c>
      <c r="X617" s="4" t="str">
        <f>IFERROR(__xludf.DUMMYFUNCTION("""COMPUTED_VALUE"""),"")</f>
        <v/>
      </c>
      <c r="Y617" s="4" t="str">
        <f>IFERROR(__xludf.DUMMYFUNCTION("""COMPUTED_VALUE"""),"")</f>
        <v/>
      </c>
    </row>
    <row r="618">
      <c r="A618" s="4" t="str">
        <f>IFERROR(__xludf.DUMMYFUNCTION("""COMPUTED_VALUE"""),"675 - Channel")</f>
        <v>675 - Channel</v>
      </c>
      <c r="B618" s="4" t="str">
        <f>IFERROR(__xludf.DUMMYFUNCTION("""COMPUTED_VALUE"""),"Channel 2")</f>
        <v>Channel 2</v>
      </c>
      <c r="C618" s="4" t="str">
        <f>IFERROR(__xludf.DUMMYFUNCTION("""COMPUTED_VALUE"""),"Day 3 - 25/06")</f>
        <v>Day 3 - 25/06</v>
      </c>
      <c r="D618" s="6">
        <f>IFERROR(__xludf.DUMMYFUNCTION("""COMPUTED_VALUE"""),0.5086458333333337)</f>
        <v>0.5086458333</v>
      </c>
      <c r="E618" s="6">
        <f>IFERROR(__xludf.DUMMYFUNCTION("""COMPUTED_VALUE"""),3.4722222222222224E-4)</f>
        <v>0.0003472222222</v>
      </c>
      <c r="F618" s="6">
        <f>IFERROR(__xludf.DUMMYFUNCTION("""COMPUTED_VALUE"""),0.508993055555556)</f>
        <v>0.5089930556</v>
      </c>
      <c r="G618" s="4" t="str">
        <f>IFERROR(__xludf.DUMMYFUNCTION("""COMPUTED_VALUE"""),"Graphics")</f>
        <v>Graphics</v>
      </c>
      <c r="H618" s="4" t="str">
        <f>IFERROR(__xludf.DUMMYFUNCTION("""COMPUTED_VALUE"""),"")</f>
        <v/>
      </c>
      <c r="I618" s="4" t="str">
        <f>IFERROR(__xludf.DUMMYFUNCTION("""COMPUTED_VALUE"""),"")</f>
        <v/>
      </c>
      <c r="J618" s="4" t="str">
        <f>IFERROR(__xludf.DUMMYFUNCTION("""COMPUTED_VALUE"""),"Leadership")</f>
        <v>Leadership</v>
      </c>
      <c r="K618" s="4" t="str">
        <f>IFERROR(__xludf.DUMMYFUNCTION("""COMPUTED_VALUE"""),"Speaker Intro Video")</f>
        <v>Speaker Intro Video</v>
      </c>
      <c r="L618" s="4" t="str">
        <f>IFERROR(__xludf.DUMMYFUNCTION("""COMPUTED_VALUE"""),"")</f>
        <v/>
      </c>
      <c r="M618" s="4" t="str">
        <f>IFERROR(__xludf.DUMMYFUNCTION("""COMPUTED_VALUE"""),"Speaker Intro Video")</f>
        <v>Speaker Intro Video</v>
      </c>
      <c r="N618" s="4" t="str">
        <f>IFERROR(__xludf.DUMMYFUNCTION("""COMPUTED_VALUE"""),"")</f>
        <v/>
      </c>
      <c r="O618" s="4" t="str">
        <f>IFERROR(__xludf.DUMMYFUNCTION("""COMPUTED_VALUE"""),"")</f>
        <v/>
      </c>
      <c r="P618" s="4" t="str">
        <f>IFERROR(__xludf.DUMMYFUNCTION("""COMPUTED_VALUE"""),"")</f>
        <v/>
      </c>
      <c r="Q618" s="4" t="str">
        <f>IFERROR(__xludf.DUMMYFUNCTION("""COMPUTED_VALUE"""),"")</f>
        <v/>
      </c>
      <c r="R618" s="4" t="str">
        <f>IFERROR(__xludf.DUMMYFUNCTION("""COMPUTED_VALUE"""),"")</f>
        <v/>
      </c>
      <c r="S618" s="4" t="str">
        <f>IFERROR(__xludf.DUMMYFUNCTION("""COMPUTED_VALUE"""),"")</f>
        <v/>
      </c>
      <c r="T618" s="4" t="str">
        <f>IFERROR(__xludf.DUMMYFUNCTION("""COMPUTED_VALUE"""),"")</f>
        <v/>
      </c>
      <c r="U618" s="4" t="str">
        <f>IFERROR(__xludf.DUMMYFUNCTION("""COMPUTED_VALUE"""),"")</f>
        <v/>
      </c>
      <c r="V618" s="4" t="str">
        <f>IFERROR(__xludf.DUMMYFUNCTION("""COMPUTED_VALUE"""),"")</f>
        <v/>
      </c>
      <c r="W618" s="4" t="str">
        <f>IFERROR(__xludf.DUMMYFUNCTION("""COMPUTED_VALUE"""),"")</f>
        <v/>
      </c>
      <c r="X618" s="4" t="str">
        <f>IFERROR(__xludf.DUMMYFUNCTION("""COMPUTED_VALUE"""),"")</f>
        <v/>
      </c>
      <c r="Y618" s="4" t="str">
        <f>IFERROR(__xludf.DUMMYFUNCTION("""COMPUTED_VALUE"""),"")</f>
        <v/>
      </c>
    </row>
    <row r="619">
      <c r="A619" s="4" t="str">
        <f>IFERROR(__xludf.DUMMYFUNCTION("""COMPUTED_VALUE"""),"676 - Channel")</f>
        <v>676 - Channel</v>
      </c>
      <c r="B619" s="4" t="str">
        <f>IFERROR(__xludf.DUMMYFUNCTION("""COMPUTED_VALUE"""),"Channel 2")</f>
        <v>Channel 2</v>
      </c>
      <c r="C619" s="4" t="str">
        <f>IFERROR(__xludf.DUMMYFUNCTION("""COMPUTED_VALUE"""),"Day 3 - 25/06")</f>
        <v>Day 3 - 25/06</v>
      </c>
      <c r="D619" s="6">
        <f>IFERROR(__xludf.DUMMYFUNCTION("""COMPUTED_VALUE"""),0.508993055555556)</f>
        <v>0.5089930556</v>
      </c>
      <c r="E619" s="6">
        <f>IFERROR(__xludf.DUMMYFUNCTION("""COMPUTED_VALUE"""),3.4722222222222224E-4)</f>
        <v>0.0003472222222</v>
      </c>
      <c r="F619" s="6">
        <f>IFERROR(__xludf.DUMMYFUNCTION("""COMPUTED_VALUE"""),0.5093402777777782)</f>
        <v>0.5093402778</v>
      </c>
      <c r="G619" s="4" t="str">
        <f>IFERROR(__xludf.DUMMYFUNCTION("""COMPUTED_VALUE"""),"Graphics")</f>
        <v>Graphics</v>
      </c>
      <c r="H619" s="4" t="str">
        <f>IFERROR(__xludf.DUMMYFUNCTION("""COMPUTED_VALUE"""),"")</f>
        <v/>
      </c>
      <c r="I619" s="4" t="str">
        <f>IFERROR(__xludf.DUMMYFUNCTION("""COMPUTED_VALUE"""),"")</f>
        <v/>
      </c>
      <c r="J619" s="4" t="str">
        <f>IFERROR(__xludf.DUMMYFUNCTION("""COMPUTED_VALUE"""),"Leadership")</f>
        <v>Leadership</v>
      </c>
      <c r="K619" s="4" t="str">
        <f>IFERROR(__xludf.DUMMYFUNCTION("""COMPUTED_VALUE"""),"Talk Intro")</f>
        <v>Talk Intro</v>
      </c>
      <c r="L619" s="4" t="str">
        <f>IFERROR(__xludf.DUMMYFUNCTION("""COMPUTED_VALUE"""),"")</f>
        <v/>
      </c>
      <c r="M619" s="4" t="str">
        <f>IFERROR(__xludf.DUMMYFUNCTION("""COMPUTED_VALUE"""),"Talk Intro")</f>
        <v>Talk Intro</v>
      </c>
      <c r="N619" s="4" t="str">
        <f>IFERROR(__xludf.DUMMYFUNCTION("""COMPUTED_VALUE"""),"")</f>
        <v/>
      </c>
      <c r="O619" s="4" t="str">
        <f>IFERROR(__xludf.DUMMYFUNCTION("""COMPUTED_VALUE"""),"")</f>
        <v/>
      </c>
      <c r="P619" s="4" t="str">
        <f>IFERROR(__xludf.DUMMYFUNCTION("""COMPUTED_VALUE"""),"")</f>
        <v/>
      </c>
      <c r="Q619" s="4" t="str">
        <f>IFERROR(__xludf.DUMMYFUNCTION("""COMPUTED_VALUE"""),"")</f>
        <v/>
      </c>
      <c r="R619" s="4" t="str">
        <f>IFERROR(__xludf.DUMMYFUNCTION("""COMPUTED_VALUE"""),"")</f>
        <v/>
      </c>
      <c r="S619" s="4" t="str">
        <f>IFERROR(__xludf.DUMMYFUNCTION("""COMPUTED_VALUE"""),"")</f>
        <v/>
      </c>
      <c r="T619" s="4" t="str">
        <f>IFERROR(__xludf.DUMMYFUNCTION("""COMPUTED_VALUE"""),"")</f>
        <v/>
      </c>
      <c r="U619" s="4" t="str">
        <f>IFERROR(__xludf.DUMMYFUNCTION("""COMPUTED_VALUE"""),"")</f>
        <v/>
      </c>
      <c r="V619" s="4" t="str">
        <f>IFERROR(__xludf.DUMMYFUNCTION("""COMPUTED_VALUE"""),"")</f>
        <v/>
      </c>
      <c r="W619" s="4" t="str">
        <f>IFERROR(__xludf.DUMMYFUNCTION("""COMPUTED_VALUE"""),"")</f>
        <v/>
      </c>
      <c r="X619" s="4" t="str">
        <f>IFERROR(__xludf.DUMMYFUNCTION("""COMPUTED_VALUE"""),"")</f>
        <v/>
      </c>
      <c r="Y619" s="4" t="str">
        <f>IFERROR(__xludf.DUMMYFUNCTION("""COMPUTED_VALUE"""),"")</f>
        <v/>
      </c>
    </row>
    <row r="620">
      <c r="A620" s="4" t="str">
        <f>IFERROR(__xludf.DUMMYFUNCTION("""COMPUTED_VALUE"""),"677 - Channel")</f>
        <v>677 - Channel</v>
      </c>
      <c r="B620" s="4" t="str">
        <f>IFERROR(__xludf.DUMMYFUNCTION("""COMPUTED_VALUE"""),"Channel 2")</f>
        <v>Channel 2</v>
      </c>
      <c r="C620" s="4" t="str">
        <f>IFERROR(__xludf.DUMMYFUNCTION("""COMPUTED_VALUE"""),"Day 3 - 25/06")</f>
        <v>Day 3 - 25/06</v>
      </c>
      <c r="D620" s="6">
        <f>IFERROR(__xludf.DUMMYFUNCTION("""COMPUTED_VALUE"""),0.5093402777777782)</f>
        <v>0.5093402778</v>
      </c>
      <c r="E620" s="6">
        <f>IFERROR(__xludf.DUMMYFUNCTION("""COMPUTED_VALUE"""),0.016574074074074074)</f>
        <v>0.01657407407</v>
      </c>
      <c r="F620" s="6">
        <f>IFERROR(__xludf.DUMMYFUNCTION("""COMPUTED_VALUE"""),0.5259143518518523)</f>
        <v>0.5259143519</v>
      </c>
      <c r="G620" s="4" t="str">
        <f>IFERROR(__xludf.DUMMYFUNCTION("""COMPUTED_VALUE"""),"Lobna")</f>
        <v>Lobna</v>
      </c>
      <c r="H620" s="4" t="str">
        <f>IFERROR(__xludf.DUMMYFUNCTION("""COMPUTED_VALUE"""),"Stephen")</f>
        <v>Stephen</v>
      </c>
      <c r="I620" s="4" t="str">
        <f>IFERROR(__xludf.DUMMYFUNCTION("""COMPUTED_VALUE"""),"Eabha")</f>
        <v>Eabha</v>
      </c>
      <c r="J620" s="4" t="str">
        <f>IFERROR(__xludf.DUMMYFUNCTION("""COMPUTED_VALUE"""),"Leadership")</f>
        <v>Leadership</v>
      </c>
      <c r="K620" s="4" t="str">
        <f>IFERROR(__xludf.DUMMYFUNCTION("""COMPUTED_VALUE"""),"Fireside")</f>
        <v>Fireside</v>
      </c>
      <c r="L620" s="4" t="str">
        <f>IFERROR(__xludf.DUMMYFUNCTION("""COMPUTED_VALUE"""),"T- 4 - 25/05/2020")</f>
        <v>T- 4 - 25/05/2020</v>
      </c>
      <c r="M620" s="4" t="str">
        <f>IFERROR(__xludf.DUMMYFUNCTION("""COMPUTED_VALUE"""),"In conversation with Margaret Atwood")</f>
        <v>In conversation with Margaret Atwood</v>
      </c>
      <c r="N620" s="4" t="str">
        <f>IFERROR(__xludf.DUMMYFUNCTION("""COMPUTED_VALUE"""),"Margaret Atwood, Margaret Atwood")</f>
        <v>Margaret Atwood, Margaret Atwood</v>
      </c>
      <c r="O620" s="4" t="str">
        <f>IFERROR(__xludf.DUMMYFUNCTION("""COMPUTED_VALUE"""),"")</f>
        <v/>
      </c>
      <c r="P620" s="4" t="str">
        <f>IFERROR(__xludf.DUMMYFUNCTION("""COMPUTED_VALUE"""),"")</f>
        <v/>
      </c>
      <c r="Q620" s="4" t="str">
        <f>IFERROR(__xludf.DUMMYFUNCTION("""COMPUTED_VALUE"""),"")</f>
        <v/>
      </c>
      <c r="R620" s="4" t="str">
        <f>IFERROR(__xludf.DUMMYFUNCTION("""COMPUTED_VALUE"""),"David Remnick, The New Yorker")</f>
        <v>David Remnick, The New Yorker</v>
      </c>
      <c r="S620" s="4" t="str">
        <f>IFERROR(__xludf.DUMMYFUNCTION("""COMPUTED_VALUE"""),"An in-depth conversation with one of the leading storytellers of our time.")</f>
        <v>An in-depth conversation with one of the leading storytellers of our time.</v>
      </c>
      <c r="T620" s="4" t="str">
        <f>IFERROR(__xludf.DUMMYFUNCTION("""COMPUTED_VALUE"""),"NON-KEYNOTE 9 - COMPLETE")</f>
        <v>NON-KEYNOTE 9 - COMPLETE</v>
      </c>
      <c r="U620" s="23">
        <f>IFERROR(__xludf.DUMMYFUNCTION("""COMPUTED_VALUE"""),43979.0)</f>
        <v>43979</v>
      </c>
      <c r="V620" s="24">
        <f>IFERROR(__xludf.DUMMYFUNCTION("""COMPUTED_VALUE"""),0.8125)</f>
        <v>0.8125</v>
      </c>
      <c r="W620" s="4" t="str">
        <f>IFERROR(__xludf.DUMMYFUNCTION("""COMPUTED_VALUE"""),"COMPLETE")</f>
        <v>COMPLETE</v>
      </c>
      <c r="X620" s="4" t="str">
        <f>IFERROR(__xludf.DUMMYFUNCTION("""COMPUTED_VALUE"""),"Lobna")</f>
        <v>Lobna</v>
      </c>
      <c r="Y620" s="4" t="str">
        <f>IFERROR(__xludf.DUMMYFUNCTION("""COMPUTED_VALUE"""),"")</f>
        <v/>
      </c>
    </row>
    <row r="621">
      <c r="A621" s="4" t="str">
        <f>IFERROR(__xludf.DUMMYFUNCTION("""COMPUTED_VALUE"""),"678 - Channel")</f>
        <v>678 - Channel</v>
      </c>
      <c r="B621" s="4" t="str">
        <f>IFERROR(__xludf.DUMMYFUNCTION("""COMPUTED_VALUE"""),"Channel 2")</f>
        <v>Channel 2</v>
      </c>
      <c r="C621" s="4" t="str">
        <f>IFERROR(__xludf.DUMMYFUNCTION("""COMPUTED_VALUE"""),"Day 3 - 25/06")</f>
        <v>Day 3 - 25/06</v>
      </c>
      <c r="D621" s="6">
        <f>IFERROR(__xludf.DUMMYFUNCTION("""COMPUTED_VALUE"""),0.5259143518518523)</f>
        <v>0.5259143519</v>
      </c>
      <c r="E621" s="6">
        <f>IFERROR(__xludf.DUMMYFUNCTION("""COMPUTED_VALUE"""),1.7361111111111112E-4)</f>
        <v>0.0001736111111</v>
      </c>
      <c r="F621" s="6">
        <f>IFERROR(__xludf.DUMMYFUNCTION("""COMPUTED_VALUE"""),0.5260879629629635)</f>
        <v>0.526087963</v>
      </c>
      <c r="G621" s="4" t="str">
        <f>IFERROR(__xludf.DUMMYFUNCTION("""COMPUTED_VALUE"""),"Graphics")</f>
        <v>Graphics</v>
      </c>
      <c r="H621" s="4" t="str">
        <f>IFERROR(__xludf.DUMMYFUNCTION("""COMPUTED_VALUE"""),"")</f>
        <v/>
      </c>
      <c r="I621" s="4" t="str">
        <f>IFERROR(__xludf.DUMMYFUNCTION("""COMPUTED_VALUE"""),"")</f>
        <v/>
      </c>
      <c r="J621" s="4" t="str">
        <f>IFERROR(__xludf.DUMMYFUNCTION("""COMPUTED_VALUE"""),"Leadership")</f>
        <v>Leadership</v>
      </c>
      <c r="K621" s="4" t="str">
        <f>IFERROR(__xludf.DUMMYFUNCTION("""COMPUTED_VALUE"""),"Talk Outro")</f>
        <v>Talk Outro</v>
      </c>
      <c r="L621" s="4" t="str">
        <f>IFERROR(__xludf.DUMMYFUNCTION("""COMPUTED_VALUE"""),"")</f>
        <v/>
      </c>
      <c r="M621" s="4" t="str">
        <f>IFERROR(__xludf.DUMMYFUNCTION("""COMPUTED_VALUE"""),"Talk Outro")</f>
        <v>Talk Outro</v>
      </c>
      <c r="N621" s="4" t="str">
        <f>IFERROR(__xludf.DUMMYFUNCTION("""COMPUTED_VALUE"""),"")</f>
        <v/>
      </c>
      <c r="O621" s="4" t="str">
        <f>IFERROR(__xludf.DUMMYFUNCTION("""COMPUTED_VALUE"""),"")</f>
        <v/>
      </c>
      <c r="P621" s="4" t="str">
        <f>IFERROR(__xludf.DUMMYFUNCTION("""COMPUTED_VALUE"""),"")</f>
        <v/>
      </c>
      <c r="Q621" s="4" t="str">
        <f>IFERROR(__xludf.DUMMYFUNCTION("""COMPUTED_VALUE"""),"")</f>
        <v/>
      </c>
      <c r="R621" s="4" t="str">
        <f>IFERROR(__xludf.DUMMYFUNCTION("""COMPUTED_VALUE"""),"")</f>
        <v/>
      </c>
      <c r="S621" s="4" t="str">
        <f>IFERROR(__xludf.DUMMYFUNCTION("""COMPUTED_VALUE"""),"")</f>
        <v/>
      </c>
      <c r="T621" s="4" t="str">
        <f>IFERROR(__xludf.DUMMYFUNCTION("""COMPUTED_VALUE"""),"")</f>
        <v/>
      </c>
      <c r="U621" s="4" t="str">
        <f>IFERROR(__xludf.DUMMYFUNCTION("""COMPUTED_VALUE"""),"")</f>
        <v/>
      </c>
      <c r="V621" s="4" t="str">
        <f>IFERROR(__xludf.DUMMYFUNCTION("""COMPUTED_VALUE"""),"")</f>
        <v/>
      </c>
      <c r="W621" s="4" t="str">
        <f>IFERROR(__xludf.DUMMYFUNCTION("""COMPUTED_VALUE"""),"")</f>
        <v/>
      </c>
      <c r="X621" s="4" t="str">
        <f>IFERROR(__xludf.DUMMYFUNCTION("""COMPUTED_VALUE"""),"")</f>
        <v/>
      </c>
      <c r="Y621" s="4" t="str">
        <f>IFERROR(__xludf.DUMMYFUNCTION("""COMPUTED_VALUE"""),"")</f>
        <v/>
      </c>
    </row>
    <row r="622">
      <c r="A622" s="4" t="str">
        <f>IFERROR(__xludf.DUMMYFUNCTION("""COMPUTED_VALUE"""),"679 - Channel")</f>
        <v>679 - Channel</v>
      </c>
      <c r="B622" s="4" t="str">
        <f>IFERROR(__xludf.DUMMYFUNCTION("""COMPUTED_VALUE"""),"Channel 2")</f>
        <v>Channel 2</v>
      </c>
      <c r="C622" s="4" t="str">
        <f>IFERROR(__xludf.DUMMYFUNCTION("""COMPUTED_VALUE"""),"Day 3 - 25/06")</f>
        <v>Day 3 - 25/06</v>
      </c>
      <c r="D622" s="6">
        <f>IFERROR(__xludf.DUMMYFUNCTION("""COMPUTED_VALUE"""),0.5260879629629635)</f>
        <v>0.526087963</v>
      </c>
      <c r="E622" s="6">
        <f>IFERROR(__xludf.DUMMYFUNCTION("""COMPUTED_VALUE"""),1.7361111111111112E-4)</f>
        <v>0.0001736111111</v>
      </c>
      <c r="F622" s="6">
        <f>IFERROR(__xludf.DUMMYFUNCTION("""COMPUTED_VALUE"""),0.5262615740740746)</f>
        <v>0.5262615741</v>
      </c>
      <c r="G622" s="4" t="str">
        <f>IFERROR(__xludf.DUMMYFUNCTION("""COMPUTED_VALUE"""),"Graphics")</f>
        <v>Graphics</v>
      </c>
      <c r="H622" s="4" t="str">
        <f>IFERROR(__xludf.DUMMYFUNCTION("""COMPUTED_VALUE"""),"")</f>
        <v/>
      </c>
      <c r="I622" s="4" t="str">
        <f>IFERROR(__xludf.DUMMYFUNCTION("""COMPUTED_VALUE"""),"")</f>
        <v/>
      </c>
      <c r="J622" s="4" t="str">
        <f>IFERROR(__xludf.DUMMYFUNCTION("""COMPUTED_VALUE"""),"Leadership")</f>
        <v>Leadership</v>
      </c>
      <c r="K622" s="4" t="str">
        <f>IFERROR(__xludf.DUMMYFUNCTION("""COMPUTED_VALUE"""),"Partner ad")</f>
        <v>Partner ad</v>
      </c>
      <c r="L622" s="4" t="str">
        <f>IFERROR(__xludf.DUMMYFUNCTION("""COMPUTED_VALUE"""),"")</f>
        <v/>
      </c>
      <c r="M622" s="4" t="str">
        <f>IFERROR(__xludf.DUMMYFUNCTION("""COMPUTED_VALUE"""),"Partner Adroll #3")</f>
        <v>Partner Adroll #3</v>
      </c>
      <c r="N622" s="4" t="str">
        <f>IFERROR(__xludf.DUMMYFUNCTION("""COMPUTED_VALUE"""),"")</f>
        <v/>
      </c>
      <c r="O622" s="4" t="str">
        <f>IFERROR(__xludf.DUMMYFUNCTION("""COMPUTED_VALUE"""),"")</f>
        <v/>
      </c>
      <c r="P622" s="4" t="str">
        <f>IFERROR(__xludf.DUMMYFUNCTION("""COMPUTED_VALUE"""),"")</f>
        <v/>
      </c>
      <c r="Q622" s="4" t="str">
        <f>IFERROR(__xludf.DUMMYFUNCTION("""COMPUTED_VALUE"""),"")</f>
        <v/>
      </c>
      <c r="R622" s="4" t="str">
        <f>IFERROR(__xludf.DUMMYFUNCTION("""COMPUTED_VALUE"""),"")</f>
        <v/>
      </c>
      <c r="S622" s="4" t="str">
        <f>IFERROR(__xludf.DUMMYFUNCTION("""COMPUTED_VALUE"""),"")</f>
        <v/>
      </c>
      <c r="T622" s="4" t="str">
        <f>IFERROR(__xludf.DUMMYFUNCTION("""COMPUTED_VALUE"""),"N/A")</f>
        <v>N/A</v>
      </c>
      <c r="U622" s="4" t="str">
        <f>IFERROR(__xludf.DUMMYFUNCTION("""COMPUTED_VALUE"""),"")</f>
        <v/>
      </c>
      <c r="V622" s="4" t="str">
        <f>IFERROR(__xludf.DUMMYFUNCTION("""COMPUTED_VALUE"""),"")</f>
        <v/>
      </c>
      <c r="W622" s="4" t="str">
        <f>IFERROR(__xludf.DUMMYFUNCTION("""COMPUTED_VALUE"""),"")</f>
        <v/>
      </c>
      <c r="X622" s="4" t="str">
        <f>IFERROR(__xludf.DUMMYFUNCTION("""COMPUTED_VALUE"""),"")</f>
        <v/>
      </c>
      <c r="Y622" s="4" t="str">
        <f>IFERROR(__xludf.DUMMYFUNCTION("""COMPUTED_VALUE"""),"")</f>
        <v/>
      </c>
    </row>
    <row r="623">
      <c r="A623" s="4" t="str">
        <f>IFERROR(__xludf.DUMMYFUNCTION("""COMPUTED_VALUE"""),"681 - Channel")</f>
        <v>681 - Channel</v>
      </c>
      <c r="B623" s="4" t="str">
        <f>IFERROR(__xludf.DUMMYFUNCTION("""COMPUTED_VALUE"""),"Channel 2")</f>
        <v>Channel 2</v>
      </c>
      <c r="C623" s="4" t="str">
        <f>IFERROR(__xludf.DUMMYFUNCTION("""COMPUTED_VALUE"""),"Day 3 - 25/06")</f>
        <v>Day 3 - 25/06</v>
      </c>
      <c r="D623" s="6">
        <f>IFERROR(__xludf.DUMMYFUNCTION("""COMPUTED_VALUE"""),0.5262615740740746)</f>
        <v>0.5262615741</v>
      </c>
      <c r="E623" s="6">
        <f>IFERROR(__xludf.DUMMYFUNCTION("""COMPUTED_VALUE"""),3.4722222222222224E-4)</f>
        <v>0.0003472222222</v>
      </c>
      <c r="F623" s="6">
        <f>IFERROR(__xludf.DUMMYFUNCTION("""COMPUTED_VALUE"""),0.5266087962962969)</f>
        <v>0.5266087963</v>
      </c>
      <c r="G623" s="4" t="str">
        <f>IFERROR(__xludf.DUMMYFUNCTION("""COMPUTED_VALUE"""),"Graphics")</f>
        <v>Graphics</v>
      </c>
      <c r="H623" s="4" t="str">
        <f>IFERROR(__xludf.DUMMYFUNCTION("""COMPUTED_VALUE"""),"")</f>
        <v/>
      </c>
      <c r="I623" s="4" t="str">
        <f>IFERROR(__xludf.DUMMYFUNCTION("""COMPUTED_VALUE"""),"")</f>
        <v/>
      </c>
      <c r="J623" s="4" t="str">
        <f>IFERROR(__xludf.DUMMYFUNCTION("""COMPUTED_VALUE"""),"Leadership")</f>
        <v>Leadership</v>
      </c>
      <c r="K623" s="4" t="str">
        <f>IFERROR(__xludf.DUMMYFUNCTION("""COMPUTED_VALUE"""),"Talk Intro")</f>
        <v>Talk Intro</v>
      </c>
      <c r="L623" s="4" t="str">
        <f>IFERROR(__xludf.DUMMYFUNCTION("""COMPUTED_VALUE"""),"")</f>
        <v/>
      </c>
      <c r="M623" s="4" t="str">
        <f>IFERROR(__xludf.DUMMYFUNCTION("""COMPUTED_VALUE"""),"Talk Intro")</f>
        <v>Talk Intro</v>
      </c>
      <c r="N623" s="4" t="str">
        <f>IFERROR(__xludf.DUMMYFUNCTION("""COMPUTED_VALUE"""),"")</f>
        <v/>
      </c>
      <c r="O623" s="4" t="str">
        <f>IFERROR(__xludf.DUMMYFUNCTION("""COMPUTED_VALUE"""),"")</f>
        <v/>
      </c>
      <c r="P623" s="4" t="str">
        <f>IFERROR(__xludf.DUMMYFUNCTION("""COMPUTED_VALUE"""),"")</f>
        <v/>
      </c>
      <c r="Q623" s="4" t="str">
        <f>IFERROR(__xludf.DUMMYFUNCTION("""COMPUTED_VALUE"""),"")</f>
        <v/>
      </c>
      <c r="R623" s="4" t="str">
        <f>IFERROR(__xludf.DUMMYFUNCTION("""COMPUTED_VALUE"""),"")</f>
        <v/>
      </c>
      <c r="S623" s="4" t="str">
        <f>IFERROR(__xludf.DUMMYFUNCTION("""COMPUTED_VALUE"""),"")</f>
        <v/>
      </c>
      <c r="T623" s="4" t="str">
        <f>IFERROR(__xludf.DUMMYFUNCTION("""COMPUTED_VALUE"""),"")</f>
        <v/>
      </c>
      <c r="U623" s="4" t="str">
        <f>IFERROR(__xludf.DUMMYFUNCTION("""COMPUTED_VALUE"""),"")</f>
        <v/>
      </c>
      <c r="V623" s="4" t="str">
        <f>IFERROR(__xludf.DUMMYFUNCTION("""COMPUTED_VALUE"""),"")</f>
        <v/>
      </c>
      <c r="W623" s="4" t="str">
        <f>IFERROR(__xludf.DUMMYFUNCTION("""COMPUTED_VALUE"""),"")</f>
        <v/>
      </c>
      <c r="X623" s="4" t="str">
        <f>IFERROR(__xludf.DUMMYFUNCTION("""COMPUTED_VALUE"""),"")</f>
        <v/>
      </c>
      <c r="Y623" s="4" t="str">
        <f>IFERROR(__xludf.DUMMYFUNCTION("""COMPUTED_VALUE"""),"")</f>
        <v/>
      </c>
    </row>
    <row r="624">
      <c r="A624" s="4" t="str">
        <f>IFERROR(__xludf.DUMMYFUNCTION("""COMPUTED_VALUE"""),"682 - Channel")</f>
        <v>682 - Channel</v>
      </c>
      <c r="B624" s="4" t="str">
        <f>IFERROR(__xludf.DUMMYFUNCTION("""COMPUTED_VALUE"""),"Channel 2")</f>
        <v>Channel 2</v>
      </c>
      <c r="C624" s="4" t="str">
        <f>IFERROR(__xludf.DUMMYFUNCTION("""COMPUTED_VALUE"""),"Day 3 - 25/06")</f>
        <v>Day 3 - 25/06</v>
      </c>
      <c r="D624" s="6">
        <f>IFERROR(__xludf.DUMMYFUNCTION("""COMPUTED_VALUE"""),0.5266087962962969)</f>
        <v>0.5266087963</v>
      </c>
      <c r="E624" s="6">
        <f>IFERROR(__xludf.DUMMYFUNCTION("""COMPUTED_VALUE"""),0.0023263888888888887)</f>
        <v>0.002326388889</v>
      </c>
      <c r="F624" s="6">
        <f>IFERROR(__xludf.DUMMYFUNCTION("""COMPUTED_VALUE"""),0.5289351851851858)</f>
        <v>0.5289351852</v>
      </c>
      <c r="G624" s="4" t="str">
        <f>IFERROR(__xludf.DUMMYFUNCTION("""COMPUTED_VALUE"""),"Dan")</f>
        <v>Dan</v>
      </c>
      <c r="H624" s="4" t="str">
        <f>IFERROR(__xludf.DUMMYFUNCTION("""COMPUTED_VALUE"""),"N/A")</f>
        <v>N/A</v>
      </c>
      <c r="I624" s="4" t="str">
        <f>IFERROR(__xludf.DUMMYFUNCTION("""COMPUTED_VALUE"""),"Jack")</f>
        <v>Jack</v>
      </c>
      <c r="J624" s="4" t="str">
        <f>IFERROR(__xludf.DUMMYFUNCTION("""COMPUTED_VALUE"""),"Leadership")</f>
        <v>Leadership</v>
      </c>
      <c r="K624" s="4" t="str">
        <f>IFERROR(__xludf.DUMMYFUNCTION("""COMPUTED_VALUE"""),"Keynote")</f>
        <v>Keynote</v>
      </c>
      <c r="L624" s="4" t="str">
        <f>IFERROR(__xludf.DUMMYFUNCTION("""COMPUTED_VALUE"""),"T- 7 - 04/05/2020")</f>
        <v>T- 7 - 04/05/2020</v>
      </c>
      <c r="M624" s="4" t="str">
        <f>IFERROR(__xludf.DUMMYFUNCTION("""COMPUTED_VALUE"""),"Building the health brand of the future")</f>
        <v>Building the health brand of the future</v>
      </c>
      <c r="N624" s="4" t="str">
        <f>IFERROR(__xludf.DUMMYFUNCTION("""COMPUTED_VALUE"""),"Alexandra Zatarain, Eight Sleep")</f>
        <v>Alexandra Zatarain, Eight Sleep</v>
      </c>
      <c r="O624" s="4" t="str">
        <f>IFERROR(__xludf.DUMMYFUNCTION("""COMPUTED_VALUE"""),"")</f>
        <v/>
      </c>
      <c r="P624" s="4" t="str">
        <f>IFERROR(__xludf.DUMMYFUNCTION("""COMPUTED_VALUE"""),"")</f>
        <v/>
      </c>
      <c r="Q624" s="4" t="str">
        <f>IFERROR(__xludf.DUMMYFUNCTION("""COMPUTED_VALUE"""),"")</f>
        <v/>
      </c>
      <c r="R624" s="4" t="str">
        <f>IFERROR(__xludf.DUMMYFUNCTION("""COMPUTED_VALUE"""),"")</f>
        <v/>
      </c>
      <c r="S624" s="4" t="str">
        <f>IFERROR(__xludf.DUMMYFUNCTION("""COMPUTED_VALUE"""),"Alexandra, co-founder of Eight Sleep, will outline how the company is enabling a sleep fitness movement that is making sleep cool again and, in the process, super-powering the company’s growth.")</f>
        <v>Alexandra, co-founder of Eight Sleep, will outline how the company is enabling a sleep fitness movement that is making sleep cool again and, in the process, super-powering the company’s growth.</v>
      </c>
      <c r="T624" s="4" t="str">
        <f>IFERROR(__xludf.DUMMYFUNCTION("""COMPUTED_VALUE"""),"KEYNOTE 8 - COMPLETE")</f>
        <v>KEYNOTE 8 - COMPLETE</v>
      </c>
      <c r="U624" s="23">
        <f>IFERROR(__xludf.DUMMYFUNCTION("""COMPUTED_VALUE"""),43949.0)</f>
        <v>43949</v>
      </c>
      <c r="V624" s="24">
        <f>IFERROR(__xludf.DUMMYFUNCTION("""COMPUTED_VALUE"""),0.625)</f>
        <v>0.625</v>
      </c>
      <c r="W624" s="4" t="str">
        <f>IFERROR(__xludf.DUMMYFUNCTION("""COMPUTED_VALUE"""),"COMPLETE")</f>
        <v>COMPLETE</v>
      </c>
      <c r="X624" s="4" t="str">
        <f>IFERROR(__xludf.DUMMYFUNCTION("""COMPUTED_VALUE"""),"Dan")</f>
        <v>Dan</v>
      </c>
      <c r="Y624" s="4" t="str">
        <f>IFERROR(__xludf.DUMMYFUNCTION("""COMPUTED_VALUE"""),"4659493881919077125")</f>
        <v>4659493881919077125</v>
      </c>
    </row>
    <row r="625">
      <c r="A625" s="4" t="str">
        <f>IFERROR(__xludf.DUMMYFUNCTION("""COMPUTED_VALUE"""),"683 - Channel")</f>
        <v>683 - Channel</v>
      </c>
      <c r="B625" s="4" t="str">
        <f>IFERROR(__xludf.DUMMYFUNCTION("""COMPUTED_VALUE"""),"Channel 2")</f>
        <v>Channel 2</v>
      </c>
      <c r="C625" s="4" t="str">
        <f>IFERROR(__xludf.DUMMYFUNCTION("""COMPUTED_VALUE"""),"Day 3 - 25/06")</f>
        <v>Day 3 - 25/06</v>
      </c>
      <c r="D625" s="6">
        <f>IFERROR(__xludf.DUMMYFUNCTION("""COMPUTED_VALUE"""),0.5289351851851858)</f>
        <v>0.5289351852</v>
      </c>
      <c r="E625" s="6">
        <f>IFERROR(__xludf.DUMMYFUNCTION("""COMPUTED_VALUE"""),1.7361111111111112E-4)</f>
        <v>0.0001736111111</v>
      </c>
      <c r="F625" s="6">
        <f>IFERROR(__xludf.DUMMYFUNCTION("""COMPUTED_VALUE"""),0.5291087962962969)</f>
        <v>0.5291087963</v>
      </c>
      <c r="G625" s="4" t="str">
        <f>IFERROR(__xludf.DUMMYFUNCTION("""COMPUTED_VALUE"""),"Graphics")</f>
        <v>Graphics</v>
      </c>
      <c r="H625" s="4" t="str">
        <f>IFERROR(__xludf.DUMMYFUNCTION("""COMPUTED_VALUE"""),"")</f>
        <v/>
      </c>
      <c r="I625" s="4" t="str">
        <f>IFERROR(__xludf.DUMMYFUNCTION("""COMPUTED_VALUE"""),"")</f>
        <v/>
      </c>
      <c r="J625" s="4" t="str">
        <f>IFERROR(__xludf.DUMMYFUNCTION("""COMPUTED_VALUE"""),"Leadership")</f>
        <v>Leadership</v>
      </c>
      <c r="K625" s="4" t="str">
        <f>IFERROR(__xludf.DUMMYFUNCTION("""COMPUTED_VALUE"""),"Talk Outro")</f>
        <v>Talk Outro</v>
      </c>
      <c r="L625" s="4" t="str">
        <f>IFERROR(__xludf.DUMMYFUNCTION("""COMPUTED_VALUE"""),"")</f>
        <v/>
      </c>
      <c r="M625" s="4" t="str">
        <f>IFERROR(__xludf.DUMMYFUNCTION("""COMPUTED_VALUE"""),"Talk Outro")</f>
        <v>Talk Outro</v>
      </c>
      <c r="N625" s="4" t="str">
        <f>IFERROR(__xludf.DUMMYFUNCTION("""COMPUTED_VALUE"""),"")</f>
        <v/>
      </c>
      <c r="O625" s="4" t="str">
        <f>IFERROR(__xludf.DUMMYFUNCTION("""COMPUTED_VALUE"""),"")</f>
        <v/>
      </c>
      <c r="P625" s="4" t="str">
        <f>IFERROR(__xludf.DUMMYFUNCTION("""COMPUTED_VALUE"""),"")</f>
        <v/>
      </c>
      <c r="Q625" s="4" t="str">
        <f>IFERROR(__xludf.DUMMYFUNCTION("""COMPUTED_VALUE"""),"")</f>
        <v/>
      </c>
      <c r="R625" s="4" t="str">
        <f>IFERROR(__xludf.DUMMYFUNCTION("""COMPUTED_VALUE"""),"")</f>
        <v/>
      </c>
      <c r="S625" s="4" t="str">
        <f>IFERROR(__xludf.DUMMYFUNCTION("""COMPUTED_VALUE"""),"")</f>
        <v/>
      </c>
      <c r="T625" s="4" t="str">
        <f>IFERROR(__xludf.DUMMYFUNCTION("""COMPUTED_VALUE"""),"")</f>
        <v/>
      </c>
      <c r="U625" s="4" t="str">
        <f>IFERROR(__xludf.DUMMYFUNCTION("""COMPUTED_VALUE"""),"")</f>
        <v/>
      </c>
      <c r="V625" s="4" t="str">
        <f>IFERROR(__xludf.DUMMYFUNCTION("""COMPUTED_VALUE"""),"")</f>
        <v/>
      </c>
      <c r="W625" s="4" t="str">
        <f>IFERROR(__xludf.DUMMYFUNCTION("""COMPUTED_VALUE"""),"")</f>
        <v/>
      </c>
      <c r="X625" s="4" t="str">
        <f>IFERROR(__xludf.DUMMYFUNCTION("""COMPUTED_VALUE"""),"")</f>
        <v/>
      </c>
      <c r="Y625" s="4" t="str">
        <f>IFERROR(__xludf.DUMMYFUNCTION("""COMPUTED_VALUE"""),"")</f>
        <v/>
      </c>
    </row>
    <row r="626">
      <c r="A626" s="4" t="str">
        <f>IFERROR(__xludf.DUMMYFUNCTION("""COMPUTED_VALUE"""),"684 - Channel")</f>
        <v>684 - Channel</v>
      </c>
      <c r="B626" s="4" t="str">
        <f>IFERROR(__xludf.DUMMYFUNCTION("""COMPUTED_VALUE"""),"Channel 2")</f>
        <v>Channel 2</v>
      </c>
      <c r="C626" s="4" t="str">
        <f>IFERROR(__xludf.DUMMYFUNCTION("""COMPUTED_VALUE"""),"Day 3 - 25/06")</f>
        <v>Day 3 - 25/06</v>
      </c>
      <c r="D626" s="6">
        <f>IFERROR(__xludf.DUMMYFUNCTION("""COMPUTED_VALUE"""),0.5291087962962969)</f>
        <v>0.5291087963</v>
      </c>
      <c r="E626" s="6">
        <f>IFERROR(__xludf.DUMMYFUNCTION("""COMPUTED_VALUE"""),1.7361111111111112E-4)</f>
        <v>0.0001736111111</v>
      </c>
      <c r="F626" s="6">
        <f>IFERROR(__xludf.DUMMYFUNCTION("""COMPUTED_VALUE"""),0.5292824074074081)</f>
        <v>0.5292824074</v>
      </c>
      <c r="G626" s="4" t="str">
        <f>IFERROR(__xludf.DUMMYFUNCTION("""COMPUTED_VALUE"""),"P&amp;E")</f>
        <v>P&amp;E</v>
      </c>
      <c r="H626" s="4" t="str">
        <f>IFERROR(__xludf.DUMMYFUNCTION("""COMPUTED_VALUE"""),"")</f>
        <v/>
      </c>
      <c r="I626" s="4" t="str">
        <f>IFERROR(__xludf.DUMMYFUNCTION("""COMPUTED_VALUE"""),"")</f>
        <v/>
      </c>
      <c r="J626" s="4" t="str">
        <f>IFERROR(__xludf.DUMMYFUNCTION("""COMPUTED_VALUE"""),"Leadership")</f>
        <v>Leadership</v>
      </c>
      <c r="K626" s="4" t="str">
        <f>IFERROR(__xludf.DUMMYFUNCTION("""COMPUTED_VALUE"""),"Partner ad")</f>
        <v>Partner ad</v>
      </c>
      <c r="L626" s="4" t="str">
        <f>IFERROR(__xludf.DUMMYFUNCTION("""COMPUTED_VALUE"""),"")</f>
        <v/>
      </c>
      <c r="M626" s="4" t="str">
        <f>IFERROR(__xludf.DUMMYFUNCTION("""COMPUTED_VALUE"""),"Partner Adroll #4 - ASSIGNED TO PITCHBOOK")</f>
        <v>Partner Adroll #4 - ASSIGNED TO PITCHBOOK</v>
      </c>
      <c r="N626" s="4" t="str">
        <f>IFERROR(__xludf.DUMMYFUNCTION("""COMPUTED_VALUE"""),"")</f>
        <v/>
      </c>
      <c r="O626" s="4" t="str">
        <f>IFERROR(__xludf.DUMMYFUNCTION("""COMPUTED_VALUE"""),"")</f>
        <v/>
      </c>
      <c r="P626" s="4" t="str">
        <f>IFERROR(__xludf.DUMMYFUNCTION("""COMPUTED_VALUE"""),"")</f>
        <v/>
      </c>
      <c r="Q626" s="4" t="str">
        <f>IFERROR(__xludf.DUMMYFUNCTION("""COMPUTED_VALUE"""),"")</f>
        <v/>
      </c>
      <c r="R626" s="4" t="str">
        <f>IFERROR(__xludf.DUMMYFUNCTION("""COMPUTED_VALUE"""),"")</f>
        <v/>
      </c>
      <c r="S626" s="4" t="str">
        <f>IFERROR(__xludf.DUMMYFUNCTION("""COMPUTED_VALUE"""),"")</f>
        <v/>
      </c>
      <c r="T626" s="4" t="str">
        <f>IFERROR(__xludf.DUMMYFUNCTION("""COMPUTED_VALUE"""),"")</f>
        <v/>
      </c>
      <c r="U626" s="4" t="str">
        <f>IFERROR(__xludf.DUMMYFUNCTION("""COMPUTED_VALUE"""),"")</f>
        <v/>
      </c>
      <c r="V626" s="4" t="str">
        <f>IFERROR(__xludf.DUMMYFUNCTION("""COMPUTED_VALUE"""),"")</f>
        <v/>
      </c>
      <c r="W626" s="4" t="str">
        <f>IFERROR(__xludf.DUMMYFUNCTION("""COMPUTED_VALUE"""),"")</f>
        <v/>
      </c>
      <c r="X626" s="4" t="str">
        <f>IFERROR(__xludf.DUMMYFUNCTION("""COMPUTED_VALUE"""),"")</f>
        <v/>
      </c>
      <c r="Y626" s="4" t="str">
        <f>IFERROR(__xludf.DUMMYFUNCTION("""COMPUTED_VALUE"""),"")</f>
        <v/>
      </c>
    </row>
    <row r="627">
      <c r="A627" s="4" t="str">
        <f>IFERROR(__xludf.DUMMYFUNCTION("""COMPUTED_VALUE"""),"685 - Channel")</f>
        <v>685 - Channel</v>
      </c>
      <c r="B627" s="4" t="str">
        <f>IFERROR(__xludf.DUMMYFUNCTION("""COMPUTED_VALUE"""),"Channel 2")</f>
        <v>Channel 2</v>
      </c>
      <c r="C627" s="4" t="str">
        <f>IFERROR(__xludf.DUMMYFUNCTION("""COMPUTED_VALUE"""),"Day 3 - 25/06")</f>
        <v>Day 3 - 25/06</v>
      </c>
      <c r="D627" s="6">
        <f>IFERROR(__xludf.DUMMYFUNCTION("""COMPUTED_VALUE"""),0.5292824074074081)</f>
        <v>0.5292824074</v>
      </c>
      <c r="E627" s="6">
        <f>IFERROR(__xludf.DUMMYFUNCTION("""COMPUTED_VALUE"""),3.4722222222222224E-4)</f>
        <v>0.0003472222222</v>
      </c>
      <c r="F627" s="6">
        <f>IFERROR(__xludf.DUMMYFUNCTION("""COMPUTED_VALUE"""),0.5296296296296303)</f>
        <v>0.5296296296</v>
      </c>
      <c r="G627" s="4" t="str">
        <f>IFERROR(__xludf.DUMMYFUNCTION("""COMPUTED_VALUE"""),"Startups")</f>
        <v>Startups</v>
      </c>
      <c r="H627" s="4" t="str">
        <f>IFERROR(__xludf.DUMMYFUNCTION("""COMPUTED_VALUE"""),"")</f>
        <v/>
      </c>
      <c r="I627" s="4" t="str">
        <f>IFERROR(__xludf.DUMMYFUNCTION("""COMPUTED_VALUE"""),"")</f>
        <v/>
      </c>
      <c r="J627" s="4" t="str">
        <f>IFERROR(__xludf.DUMMYFUNCTION("""COMPUTED_VALUE"""),"Leadership")</f>
        <v>Leadership</v>
      </c>
      <c r="K627" s="4" t="str">
        <f>IFERROR(__xludf.DUMMYFUNCTION("""COMPUTED_VALUE"""),"40 Words")</f>
        <v>40 Words</v>
      </c>
      <c r="L627" s="4" t="str">
        <f>IFERROR(__xludf.DUMMYFUNCTION("""COMPUTED_VALUE"""),"")</f>
        <v/>
      </c>
      <c r="M627" s="4" t="str">
        <f>IFERROR(__xludf.DUMMYFUNCTION("""COMPUTED_VALUE"""),"40 Words #")</f>
        <v>40 Words #</v>
      </c>
      <c r="N627" s="4" t="str">
        <f>IFERROR(__xludf.DUMMYFUNCTION("""COMPUTED_VALUE"""),"")</f>
        <v/>
      </c>
      <c r="O627" s="4" t="str">
        <f>IFERROR(__xludf.DUMMYFUNCTION("""COMPUTED_VALUE"""),"")</f>
        <v/>
      </c>
      <c r="P627" s="4" t="str">
        <f>IFERROR(__xludf.DUMMYFUNCTION("""COMPUTED_VALUE"""),"")</f>
        <v/>
      </c>
      <c r="Q627" s="4" t="str">
        <f>IFERROR(__xludf.DUMMYFUNCTION("""COMPUTED_VALUE"""),"")</f>
        <v/>
      </c>
      <c r="R627" s="4" t="str">
        <f>IFERROR(__xludf.DUMMYFUNCTION("""COMPUTED_VALUE"""),"")</f>
        <v/>
      </c>
      <c r="S627" s="4" t="str">
        <f>IFERROR(__xludf.DUMMYFUNCTION("""COMPUTED_VALUE"""),"")</f>
        <v/>
      </c>
      <c r="T627" s="4" t="str">
        <f>IFERROR(__xludf.DUMMYFUNCTION("""COMPUTED_VALUE"""),"")</f>
        <v/>
      </c>
      <c r="U627" s="4" t="str">
        <f>IFERROR(__xludf.DUMMYFUNCTION("""COMPUTED_VALUE"""),"")</f>
        <v/>
      </c>
      <c r="V627" s="4" t="str">
        <f>IFERROR(__xludf.DUMMYFUNCTION("""COMPUTED_VALUE"""),"")</f>
        <v/>
      </c>
      <c r="W627" s="4" t="str">
        <f>IFERROR(__xludf.DUMMYFUNCTION("""COMPUTED_VALUE"""),"")</f>
        <v/>
      </c>
      <c r="X627" s="4" t="str">
        <f>IFERROR(__xludf.DUMMYFUNCTION("""COMPUTED_VALUE"""),"")</f>
        <v/>
      </c>
      <c r="Y627" s="4" t="str">
        <f>IFERROR(__xludf.DUMMYFUNCTION("""COMPUTED_VALUE"""),"")</f>
        <v/>
      </c>
    </row>
    <row r="628">
      <c r="A628" s="4" t="str">
        <f>IFERROR(__xludf.DUMMYFUNCTION("""COMPUTED_VALUE"""),"612 - Channel")</f>
        <v>612 - Channel</v>
      </c>
      <c r="B628" s="4" t="str">
        <f>IFERROR(__xludf.DUMMYFUNCTION("""COMPUTED_VALUE"""),"Channel 2")</f>
        <v>Channel 2</v>
      </c>
      <c r="C628" s="4" t="str">
        <f>IFERROR(__xludf.DUMMYFUNCTION("""COMPUTED_VALUE"""),"Day 3 - 25/06")</f>
        <v>Day 3 - 25/06</v>
      </c>
      <c r="D628" s="6">
        <f>IFERROR(__xludf.DUMMYFUNCTION("""COMPUTED_VALUE"""),0.5296296296296303)</f>
        <v>0.5296296296</v>
      </c>
      <c r="E628" s="6">
        <f>IFERROR(__xludf.DUMMYFUNCTION("""COMPUTED_VALUE"""),3.4722222222222224E-4)</f>
        <v>0.0003472222222</v>
      </c>
      <c r="F628" s="6">
        <f>IFERROR(__xludf.DUMMYFUNCTION("""COMPUTED_VALUE"""),0.5299768518518526)</f>
        <v>0.5299768519</v>
      </c>
      <c r="G628" s="4" t="str">
        <f>IFERROR(__xludf.DUMMYFUNCTION("""COMPUTED_VALUE"""),"")</f>
        <v/>
      </c>
      <c r="H628" s="4" t="str">
        <f>IFERROR(__xludf.DUMMYFUNCTION("""COMPUTED_VALUE"""),"")</f>
        <v/>
      </c>
      <c r="I628" s="4" t="str">
        <f>IFERROR(__xludf.DUMMYFUNCTION("""COMPUTED_VALUE"""),"")</f>
        <v/>
      </c>
      <c r="J628" s="4" t="str">
        <f>IFERROR(__xludf.DUMMYFUNCTION("""COMPUTED_VALUE"""),"Fundraising")</f>
        <v>Fundraising</v>
      </c>
      <c r="K628" s="4" t="str">
        <f>IFERROR(__xludf.DUMMYFUNCTION("""COMPUTED_VALUE"""),"Talk Intro")</f>
        <v>Talk Intro</v>
      </c>
      <c r="L628" s="4" t="str">
        <f>IFERROR(__xludf.DUMMYFUNCTION("""COMPUTED_VALUE"""),"")</f>
        <v/>
      </c>
      <c r="M628" s="4" t="str">
        <f>IFERROR(__xludf.DUMMYFUNCTION("""COMPUTED_VALUE"""),"Talk Intro")</f>
        <v>Talk Intro</v>
      </c>
      <c r="N628" s="4" t="str">
        <f>IFERROR(__xludf.DUMMYFUNCTION("""COMPUTED_VALUE"""),"")</f>
        <v/>
      </c>
      <c r="O628" s="4" t="str">
        <f>IFERROR(__xludf.DUMMYFUNCTION("""COMPUTED_VALUE"""),"")</f>
        <v/>
      </c>
      <c r="P628" s="4" t="str">
        <f>IFERROR(__xludf.DUMMYFUNCTION("""COMPUTED_VALUE"""),"")</f>
        <v/>
      </c>
      <c r="Q628" s="4" t="str">
        <f>IFERROR(__xludf.DUMMYFUNCTION("""COMPUTED_VALUE"""),"")</f>
        <v/>
      </c>
      <c r="R628" s="4" t="str">
        <f>IFERROR(__xludf.DUMMYFUNCTION("""COMPUTED_VALUE"""),"")</f>
        <v/>
      </c>
      <c r="S628" s="4" t="str">
        <f>IFERROR(__xludf.DUMMYFUNCTION("""COMPUTED_VALUE"""),"")</f>
        <v/>
      </c>
      <c r="T628" s="4" t="str">
        <f>IFERROR(__xludf.DUMMYFUNCTION("""COMPUTED_VALUE"""),"")</f>
        <v/>
      </c>
      <c r="U628" s="4" t="str">
        <f>IFERROR(__xludf.DUMMYFUNCTION("""COMPUTED_VALUE"""),"")</f>
        <v/>
      </c>
      <c r="V628" s="4" t="str">
        <f>IFERROR(__xludf.DUMMYFUNCTION("""COMPUTED_VALUE"""),"")</f>
        <v/>
      </c>
      <c r="W628" s="4" t="str">
        <f>IFERROR(__xludf.DUMMYFUNCTION("""COMPUTED_VALUE"""),"")</f>
        <v/>
      </c>
      <c r="X628" s="4" t="str">
        <f>IFERROR(__xludf.DUMMYFUNCTION("""COMPUTED_VALUE"""),"")</f>
        <v/>
      </c>
      <c r="Y628" s="4" t="str">
        <f>IFERROR(__xludf.DUMMYFUNCTION("""COMPUTED_VALUE"""),"")</f>
        <v/>
      </c>
    </row>
    <row r="629">
      <c r="A629" s="4" t="str">
        <f>IFERROR(__xludf.DUMMYFUNCTION("""COMPUTED_VALUE"""),"613 - Channel")</f>
        <v>613 - Channel</v>
      </c>
      <c r="B629" s="4" t="str">
        <f>IFERROR(__xludf.DUMMYFUNCTION("""COMPUTED_VALUE"""),"Channel 2")</f>
        <v>Channel 2</v>
      </c>
      <c r="C629" s="4" t="str">
        <f>IFERROR(__xludf.DUMMYFUNCTION("""COMPUTED_VALUE"""),"Day 3 - 25/06")</f>
        <v>Day 3 - 25/06</v>
      </c>
      <c r="D629" s="6">
        <f>IFERROR(__xludf.DUMMYFUNCTION("""COMPUTED_VALUE"""),0.5299768518518526)</f>
        <v>0.5299768519</v>
      </c>
      <c r="E629" s="6">
        <f>IFERROR(__xludf.DUMMYFUNCTION("""COMPUTED_VALUE"""),0.010138888888888888)</f>
        <v>0.01013888889</v>
      </c>
      <c r="F629" s="6">
        <f>IFERROR(__xludf.DUMMYFUNCTION("""COMPUTED_VALUE"""),0.5401157407407415)</f>
        <v>0.5401157407</v>
      </c>
      <c r="G629" s="4" t="str">
        <f>IFERROR(__xludf.DUMMYFUNCTION("""COMPUTED_VALUE"""),"Stephanie")</f>
        <v>Stephanie</v>
      </c>
      <c r="H629" s="4" t="str">
        <f>IFERROR(__xludf.DUMMYFUNCTION("""COMPUTED_VALUE"""),"Haziq")</f>
        <v>Haziq</v>
      </c>
      <c r="I629" s="4" t="str">
        <f>IFERROR(__xludf.DUMMYFUNCTION("""COMPUTED_VALUE"""),"Geoff")</f>
        <v>Geoff</v>
      </c>
      <c r="J629" s="4" t="str">
        <f>IFERROR(__xludf.DUMMYFUNCTION("""COMPUTED_VALUE"""),"Fundraising")</f>
        <v>Fundraising</v>
      </c>
      <c r="K629" s="4" t="str">
        <f>IFERROR(__xludf.DUMMYFUNCTION("""COMPUTED_VALUE"""),"Panel")</f>
        <v>Panel</v>
      </c>
      <c r="L629" s="4" t="str">
        <f>IFERROR(__xludf.DUMMYFUNCTION("""COMPUTED_VALUE"""),"T- 5 - 18/05/2020")</f>
        <v>T- 5 - 18/05/2020</v>
      </c>
      <c r="M629" s="4" t="str">
        <f>IFERROR(__xludf.DUMMYFUNCTION("""COMPUTED_VALUE"""),"Shifting from growth times to endurance times")</f>
        <v>Shifting from growth times to endurance times</v>
      </c>
      <c r="N629" s="4" t="str">
        <f>IFERROR(__xludf.DUMMYFUNCTION("""COMPUTED_VALUE"""),"Asheem Chandna, Greylock Partners")</f>
        <v>Asheem Chandna, Greylock Partners</v>
      </c>
      <c r="O629" s="4" t="str">
        <f>IFERROR(__xludf.DUMMYFUNCTION("""COMPUTED_VALUE"""),"Chetan Puttagunta, Benchmark Capital")</f>
        <v>Chetan Puttagunta, Benchmark Capital</v>
      </c>
      <c r="P629" s="4" t="str">
        <f>IFERROR(__xludf.DUMMYFUNCTION("""COMPUTED_VALUE"""),"Nicole Quinn, Lightspeed Venture Partners")</f>
        <v>Nicole Quinn, Lightspeed Venture Partners</v>
      </c>
      <c r="Q629" s="4" t="str">
        <f>IFERROR(__xludf.DUMMYFUNCTION("""COMPUTED_VALUE"""),"")</f>
        <v/>
      </c>
      <c r="R629" s="4" t="str">
        <f>IFERROR(__xludf.DUMMYFUNCTION("""COMPUTED_VALUE"""),"Minda Zetlin, Inc.")</f>
        <v>Minda Zetlin, Inc.</v>
      </c>
      <c r="S629" s="4" t="str">
        <f>IFERROR(__xludf.DUMMYFUNCTION("""COMPUTED_VALUE"""),"Investors are more than just their cheque books. With an economic downturn underway, startups need their investors more than ever. Top Silicon Valley VCs discuss how to guide your portfolio company through these turbulent times. ")</f>
        <v>Investors are more than just their cheque books. With an economic downturn underway, startups need their investors more than ever. Top Silicon Valley VCs discuss how to guide your portfolio company through these turbulent times. </v>
      </c>
      <c r="T629" s="4" t="str">
        <f>IFERROR(__xludf.DUMMYFUNCTION("""COMPUTED_VALUE"""),"NON-KEYNOTE 9 - COMPLETE")</f>
        <v>NON-KEYNOTE 9 - COMPLETE</v>
      </c>
      <c r="U629" s="23">
        <f>IFERROR(__xludf.DUMMYFUNCTION("""COMPUTED_VALUE"""),43972.0)</f>
        <v>43972</v>
      </c>
      <c r="V629" s="24">
        <f>IFERROR(__xludf.DUMMYFUNCTION("""COMPUTED_VALUE"""),0.7916666666666666)</f>
        <v>0.7916666667</v>
      </c>
      <c r="W629" s="4" t="str">
        <f>IFERROR(__xludf.DUMMYFUNCTION("""COMPUTED_VALUE"""),"COMPLETE")</f>
        <v>COMPLETE</v>
      </c>
      <c r="X629" s="4" t="str">
        <f>IFERROR(__xludf.DUMMYFUNCTION("""COMPUTED_VALUE"""),"James")</f>
        <v>James</v>
      </c>
      <c r="Y629" s="4" t="str">
        <f>IFERROR(__xludf.DUMMYFUNCTION("""COMPUTED_VALUE"""),"")</f>
        <v/>
      </c>
    </row>
    <row r="630">
      <c r="A630" s="4" t="str">
        <f>IFERROR(__xludf.DUMMYFUNCTION("""COMPUTED_VALUE"""),"614 - Channel")</f>
        <v>614 - Channel</v>
      </c>
      <c r="B630" s="4" t="str">
        <f>IFERROR(__xludf.DUMMYFUNCTION("""COMPUTED_VALUE"""),"Channel 2")</f>
        <v>Channel 2</v>
      </c>
      <c r="C630" s="4" t="str">
        <f>IFERROR(__xludf.DUMMYFUNCTION("""COMPUTED_VALUE"""),"Day 3 - 25/06")</f>
        <v>Day 3 - 25/06</v>
      </c>
      <c r="D630" s="6">
        <f>IFERROR(__xludf.DUMMYFUNCTION("""COMPUTED_VALUE"""),0.5401157407407415)</f>
        <v>0.5401157407</v>
      </c>
      <c r="E630" s="6">
        <f>IFERROR(__xludf.DUMMYFUNCTION("""COMPUTED_VALUE"""),1.7361111111111112E-4)</f>
        <v>0.0001736111111</v>
      </c>
      <c r="F630" s="6">
        <f>IFERROR(__xludf.DUMMYFUNCTION("""COMPUTED_VALUE"""),0.5402893518518527)</f>
        <v>0.5402893519</v>
      </c>
      <c r="G630" s="4" t="str">
        <f>IFERROR(__xludf.DUMMYFUNCTION("""COMPUTED_VALUE"""),"")</f>
        <v/>
      </c>
      <c r="H630" s="4" t="str">
        <f>IFERROR(__xludf.DUMMYFUNCTION("""COMPUTED_VALUE"""),"")</f>
        <v/>
      </c>
      <c r="I630" s="4" t="str">
        <f>IFERROR(__xludf.DUMMYFUNCTION("""COMPUTED_VALUE"""),"")</f>
        <v/>
      </c>
      <c r="J630" s="4" t="str">
        <f>IFERROR(__xludf.DUMMYFUNCTION("""COMPUTED_VALUE"""),"Fundraising")</f>
        <v>Fundraising</v>
      </c>
      <c r="K630" s="4" t="str">
        <f>IFERROR(__xludf.DUMMYFUNCTION("""COMPUTED_VALUE"""),"Talk Outro")</f>
        <v>Talk Outro</v>
      </c>
      <c r="L630" s="4" t="str">
        <f>IFERROR(__xludf.DUMMYFUNCTION("""COMPUTED_VALUE"""),"")</f>
        <v/>
      </c>
      <c r="M630" s="4" t="str">
        <f>IFERROR(__xludf.DUMMYFUNCTION("""COMPUTED_VALUE"""),"Talk Outro")</f>
        <v>Talk Outro</v>
      </c>
      <c r="N630" s="4" t="str">
        <f>IFERROR(__xludf.DUMMYFUNCTION("""COMPUTED_VALUE"""),"")</f>
        <v/>
      </c>
      <c r="O630" s="4" t="str">
        <f>IFERROR(__xludf.DUMMYFUNCTION("""COMPUTED_VALUE"""),"")</f>
        <v/>
      </c>
      <c r="P630" s="4" t="str">
        <f>IFERROR(__xludf.DUMMYFUNCTION("""COMPUTED_VALUE"""),"")</f>
        <v/>
      </c>
      <c r="Q630" s="4" t="str">
        <f>IFERROR(__xludf.DUMMYFUNCTION("""COMPUTED_VALUE"""),"")</f>
        <v/>
      </c>
      <c r="R630" s="4" t="str">
        <f>IFERROR(__xludf.DUMMYFUNCTION("""COMPUTED_VALUE"""),"")</f>
        <v/>
      </c>
      <c r="S630" s="4" t="str">
        <f>IFERROR(__xludf.DUMMYFUNCTION("""COMPUTED_VALUE"""),"")</f>
        <v/>
      </c>
      <c r="T630" s="4" t="str">
        <f>IFERROR(__xludf.DUMMYFUNCTION("""COMPUTED_VALUE"""),"")</f>
        <v/>
      </c>
      <c r="U630" s="4" t="str">
        <f>IFERROR(__xludf.DUMMYFUNCTION("""COMPUTED_VALUE"""),"")</f>
        <v/>
      </c>
      <c r="V630" s="4" t="str">
        <f>IFERROR(__xludf.DUMMYFUNCTION("""COMPUTED_VALUE"""),"")</f>
        <v/>
      </c>
      <c r="W630" s="4" t="str">
        <f>IFERROR(__xludf.DUMMYFUNCTION("""COMPUTED_VALUE"""),"")</f>
        <v/>
      </c>
      <c r="X630" s="4" t="str">
        <f>IFERROR(__xludf.DUMMYFUNCTION("""COMPUTED_VALUE"""),"")</f>
        <v/>
      </c>
      <c r="Y630" s="4" t="str">
        <f>IFERROR(__xludf.DUMMYFUNCTION("""COMPUTED_VALUE"""),"")</f>
        <v/>
      </c>
    </row>
    <row r="631">
      <c r="A631" s="4" t="str">
        <f>IFERROR(__xludf.DUMMYFUNCTION("""COMPUTED_VALUE"""),"691 - Channel")</f>
        <v>691 - Channel</v>
      </c>
      <c r="B631" s="4" t="str">
        <f>IFERROR(__xludf.DUMMYFUNCTION("""COMPUTED_VALUE"""),"Channel 2")</f>
        <v>Channel 2</v>
      </c>
      <c r="C631" s="4" t="str">
        <f>IFERROR(__xludf.DUMMYFUNCTION("""COMPUTED_VALUE"""),"Day 3 - 25/06")</f>
        <v>Day 3 - 25/06</v>
      </c>
      <c r="D631" s="4" t="str">
        <f>IFERROR(__xludf.DUMMYFUNCTION("""COMPUTED_VALUE"""),"")</f>
        <v/>
      </c>
      <c r="E631" s="4" t="str">
        <f>IFERROR(__xludf.DUMMYFUNCTION("""COMPUTED_VALUE"""),"")</f>
        <v/>
      </c>
      <c r="F631" s="4" t="str">
        <f>IFERROR(__xludf.DUMMYFUNCTION("""COMPUTED_VALUE"""),"")</f>
        <v/>
      </c>
      <c r="G631" s="4" t="str">
        <f>IFERROR(__xludf.DUMMYFUNCTION("""COMPUTED_VALUE"""),"")</f>
        <v/>
      </c>
      <c r="H631" s="4" t="str">
        <f>IFERROR(__xludf.DUMMYFUNCTION("""COMPUTED_VALUE"""),"")</f>
        <v/>
      </c>
      <c r="I631" s="4" t="str">
        <f>IFERROR(__xludf.DUMMYFUNCTION("""COMPUTED_VALUE"""),"")</f>
        <v/>
      </c>
      <c r="J631" s="4" t="str">
        <f>IFERROR(__xludf.DUMMYFUNCTION("""COMPUTED_VALUE"""),"")</f>
        <v/>
      </c>
      <c r="K631" s="4" t="str">
        <f>IFERROR(__xludf.DUMMYFUNCTION("""COMPUTED_VALUE"""),"")</f>
        <v/>
      </c>
      <c r="L631" s="4" t="str">
        <f>IFERROR(__xludf.DUMMYFUNCTION("""COMPUTED_VALUE"""),"")</f>
        <v/>
      </c>
      <c r="M631" s="4" t="str">
        <f>IFERROR(__xludf.DUMMYFUNCTION("""COMPUTED_VALUE"""),"")</f>
        <v/>
      </c>
      <c r="N631" s="4" t="str">
        <f>IFERROR(__xludf.DUMMYFUNCTION("""COMPUTED_VALUE"""),"")</f>
        <v/>
      </c>
      <c r="O631" s="4" t="str">
        <f>IFERROR(__xludf.DUMMYFUNCTION("""COMPUTED_VALUE"""),"")</f>
        <v/>
      </c>
      <c r="P631" s="4" t="str">
        <f>IFERROR(__xludf.DUMMYFUNCTION("""COMPUTED_VALUE"""),"")</f>
        <v/>
      </c>
      <c r="Q631" s="4" t="str">
        <f>IFERROR(__xludf.DUMMYFUNCTION("""COMPUTED_VALUE"""),"")</f>
        <v/>
      </c>
      <c r="R631" s="4" t="str">
        <f>IFERROR(__xludf.DUMMYFUNCTION("""COMPUTED_VALUE"""),"")</f>
        <v/>
      </c>
      <c r="S631" s="4" t="str">
        <f>IFERROR(__xludf.DUMMYFUNCTION("""COMPUTED_VALUE"""),"")</f>
        <v/>
      </c>
      <c r="T631" s="4" t="str">
        <f>IFERROR(__xludf.DUMMYFUNCTION("""COMPUTED_VALUE"""),"")</f>
        <v/>
      </c>
      <c r="U631" s="4" t="str">
        <f>IFERROR(__xludf.DUMMYFUNCTION("""COMPUTED_VALUE"""),"")</f>
        <v/>
      </c>
      <c r="V631" s="4" t="str">
        <f>IFERROR(__xludf.DUMMYFUNCTION("""COMPUTED_VALUE"""),"")</f>
        <v/>
      </c>
      <c r="W631" s="4" t="str">
        <f>IFERROR(__xludf.DUMMYFUNCTION("""COMPUTED_VALUE"""),"")</f>
        <v/>
      </c>
      <c r="X631" s="4" t="str">
        <f>IFERROR(__xludf.DUMMYFUNCTION("""COMPUTED_VALUE"""),"")</f>
        <v/>
      </c>
      <c r="Y631" s="4" t="str">
        <f>IFERROR(__xludf.DUMMYFUNCTION("""COMPUTED_VALUE"""),"")</f>
        <v/>
      </c>
    </row>
    <row r="632">
      <c r="A632" s="4" t="str">
        <f>IFERROR(__xludf.DUMMYFUNCTION("""COMPUTED_VALUE"""),"692 - Channel")</f>
        <v>692 - Channel</v>
      </c>
      <c r="B632" s="4" t="str">
        <f>IFERROR(__xludf.DUMMYFUNCTION("""COMPUTED_VALUE"""),"Channel 2")</f>
        <v>Channel 2</v>
      </c>
      <c r="C632" s="4" t="str">
        <f>IFERROR(__xludf.DUMMYFUNCTION("""COMPUTED_VALUE"""),"Day 3 - 25/06")</f>
        <v>Day 3 - 25/06</v>
      </c>
      <c r="D632" s="6">
        <f>IFERROR(__xludf.DUMMYFUNCTION("""COMPUTED_VALUE"""),0.5402893518518527)</f>
        <v>0.5402893519</v>
      </c>
      <c r="E632" s="6">
        <f>IFERROR(__xludf.DUMMYFUNCTION("""COMPUTED_VALUE"""),3.4722222222222224E-4)</f>
        <v>0.0003472222222</v>
      </c>
      <c r="F632" s="6">
        <f>IFERROR(__xludf.DUMMYFUNCTION("""COMPUTED_VALUE"""),0.540636574074075)</f>
        <v>0.5406365741</v>
      </c>
      <c r="G632" s="4" t="str">
        <f>IFERROR(__xludf.DUMMYFUNCTION("""COMPUTED_VALUE"""),"Graphics")</f>
        <v>Graphics</v>
      </c>
      <c r="H632" s="4" t="str">
        <f>IFERROR(__xludf.DUMMYFUNCTION("""COMPUTED_VALUE"""),"")</f>
        <v/>
      </c>
      <c r="I632" s="4" t="str">
        <f>IFERROR(__xludf.DUMMYFUNCTION("""COMPUTED_VALUE"""),"")</f>
        <v/>
      </c>
      <c r="J632" s="4" t="str">
        <f>IFERROR(__xludf.DUMMYFUNCTION("""COMPUTED_VALUE"""),"Finance")</f>
        <v>Finance</v>
      </c>
      <c r="K632" s="4" t="str">
        <f>IFERROR(__xludf.DUMMYFUNCTION("""COMPUTED_VALUE"""),"Talk Intro")</f>
        <v>Talk Intro</v>
      </c>
      <c r="L632" s="4" t="str">
        <f>IFERROR(__xludf.DUMMYFUNCTION("""COMPUTED_VALUE"""),"")</f>
        <v/>
      </c>
      <c r="M632" s="4" t="str">
        <f>IFERROR(__xludf.DUMMYFUNCTION("""COMPUTED_VALUE"""),"Talk Intro")</f>
        <v>Talk Intro</v>
      </c>
      <c r="N632" s="4" t="str">
        <f>IFERROR(__xludf.DUMMYFUNCTION("""COMPUTED_VALUE"""),"")</f>
        <v/>
      </c>
      <c r="O632" s="4" t="str">
        <f>IFERROR(__xludf.DUMMYFUNCTION("""COMPUTED_VALUE"""),"")</f>
        <v/>
      </c>
      <c r="P632" s="4" t="str">
        <f>IFERROR(__xludf.DUMMYFUNCTION("""COMPUTED_VALUE"""),"")</f>
        <v/>
      </c>
      <c r="Q632" s="4" t="str">
        <f>IFERROR(__xludf.DUMMYFUNCTION("""COMPUTED_VALUE"""),"")</f>
        <v/>
      </c>
      <c r="R632" s="4" t="str">
        <f>IFERROR(__xludf.DUMMYFUNCTION("""COMPUTED_VALUE"""),"")</f>
        <v/>
      </c>
      <c r="S632" s="4" t="str">
        <f>IFERROR(__xludf.DUMMYFUNCTION("""COMPUTED_VALUE"""),"")</f>
        <v/>
      </c>
      <c r="T632" s="4" t="str">
        <f>IFERROR(__xludf.DUMMYFUNCTION("""COMPUTED_VALUE"""),"")</f>
        <v/>
      </c>
      <c r="U632" s="4" t="str">
        <f>IFERROR(__xludf.DUMMYFUNCTION("""COMPUTED_VALUE"""),"")</f>
        <v/>
      </c>
      <c r="V632" s="4" t="str">
        <f>IFERROR(__xludf.DUMMYFUNCTION("""COMPUTED_VALUE"""),"")</f>
        <v/>
      </c>
      <c r="W632" s="4" t="str">
        <f>IFERROR(__xludf.DUMMYFUNCTION("""COMPUTED_VALUE"""),"")</f>
        <v/>
      </c>
      <c r="X632" s="4" t="str">
        <f>IFERROR(__xludf.DUMMYFUNCTION("""COMPUTED_VALUE"""),"")</f>
        <v/>
      </c>
      <c r="Y632" s="4" t="str">
        <f>IFERROR(__xludf.DUMMYFUNCTION("""COMPUTED_VALUE"""),"")</f>
        <v/>
      </c>
    </row>
    <row r="633">
      <c r="A633" s="4" t="str">
        <f>IFERROR(__xludf.DUMMYFUNCTION("""COMPUTED_VALUE"""),"693 - Channel")</f>
        <v>693 - Channel</v>
      </c>
      <c r="B633" s="4" t="str">
        <f>IFERROR(__xludf.DUMMYFUNCTION("""COMPUTED_VALUE"""),"Channel 2")</f>
        <v>Channel 2</v>
      </c>
      <c r="C633" s="4" t="str">
        <f>IFERROR(__xludf.DUMMYFUNCTION("""COMPUTED_VALUE"""),"Day 3 - 25/06")</f>
        <v>Day 3 - 25/06</v>
      </c>
      <c r="D633" s="6">
        <f>IFERROR(__xludf.DUMMYFUNCTION("""COMPUTED_VALUE"""),0.540636574074075)</f>
        <v>0.5406365741</v>
      </c>
      <c r="E633" s="6">
        <f>IFERROR(__xludf.DUMMYFUNCTION("""COMPUTED_VALUE"""),0.010243055555555556)</f>
        <v>0.01024305556</v>
      </c>
      <c r="F633" s="6">
        <f>IFERROR(__xludf.DUMMYFUNCTION("""COMPUTED_VALUE"""),0.5508796296296306)</f>
        <v>0.5508796296</v>
      </c>
      <c r="G633" s="4" t="str">
        <f>IFERROR(__xludf.DUMMYFUNCTION("""COMPUTED_VALUE"""),"Carol")</f>
        <v>Carol</v>
      </c>
      <c r="H633" s="4" t="str">
        <f>IFERROR(__xludf.DUMMYFUNCTION("""COMPUTED_VALUE"""),"Shauna")</f>
        <v>Shauna</v>
      </c>
      <c r="I633" s="4" t="str">
        <f>IFERROR(__xludf.DUMMYFUNCTION("""COMPUTED_VALUE"""),"Jack")</f>
        <v>Jack</v>
      </c>
      <c r="J633" s="4" t="str">
        <f>IFERROR(__xludf.DUMMYFUNCTION("""COMPUTED_VALUE"""),"Finance")</f>
        <v>Finance</v>
      </c>
      <c r="K633" s="4" t="str">
        <f>IFERROR(__xludf.DUMMYFUNCTION("""COMPUTED_VALUE"""),"Super Fireside")</f>
        <v>Super Fireside</v>
      </c>
      <c r="L633" s="4" t="str">
        <f>IFERROR(__xludf.DUMMYFUNCTION("""COMPUTED_VALUE"""),"T- 5 - 18/05/2020")</f>
        <v>T- 5 - 18/05/2020</v>
      </c>
      <c r="M633" s="4" t="str">
        <f>IFERROR(__xludf.DUMMYFUNCTION("""COMPUTED_VALUE"""),"Surviving hibernation through innovation")</f>
        <v>Surviving hibernation through innovation</v>
      </c>
      <c r="N633" s="4" t="str">
        <f>IFERROR(__xludf.DUMMYFUNCTION("""COMPUTED_VALUE"""),"Hannah Qiu, OneConnect")</f>
        <v>Hannah Qiu, OneConnect</v>
      </c>
      <c r="O633" s="4" t="str">
        <f>IFERROR(__xludf.DUMMYFUNCTION("""COMPUTED_VALUE"""),"Wayne Shiong, China Growth Capital")</f>
        <v>Wayne Shiong, China Growth Capital</v>
      </c>
      <c r="P633" s="4" t="str">
        <f>IFERROR(__xludf.DUMMYFUNCTION("""COMPUTED_VALUE"""),"")</f>
        <v/>
      </c>
      <c r="Q633" s="4" t="str">
        <f>IFERROR(__xludf.DUMMYFUNCTION("""COMPUTED_VALUE"""),"")</f>
        <v/>
      </c>
      <c r="R633" s="4" t="str">
        <f>IFERROR(__xludf.DUMMYFUNCTION("""COMPUTED_VALUE"""),"Arjun Kharpal, CNBC")</f>
        <v>Arjun Kharpal, CNBC</v>
      </c>
      <c r="S633" s="4" t="str">
        <f>IFERROR(__xludf.DUMMYFUNCTION("""COMPUTED_VALUE"""),"As China’s VC-backed deals drop to a six-year low amid the Covid-19 crisis, what can the small and medium businesses in the country do to survive the hibernation? As we look ahead, two of the leading players shed light on what the tech investment environm"&amp;"ent looks like inside China.")</f>
        <v>As China’s VC-backed deals drop to a six-year low amid the Covid-19 crisis, what can the small and medium businesses in the country do to survive the hibernation? As we look ahead, two of the leading players shed light on what the tech investment environment looks like inside China.</v>
      </c>
      <c r="T633" s="4" t="str">
        <f>IFERROR(__xludf.DUMMYFUNCTION("""COMPUTED_VALUE"""),"NON-KEYNOTE 9 - COMPLETE")</f>
        <v>NON-KEYNOTE 9 - COMPLETE</v>
      </c>
      <c r="U633" s="23">
        <f>IFERROR(__xludf.DUMMYFUNCTION("""COMPUTED_VALUE"""),43970.0)</f>
        <v>43970</v>
      </c>
      <c r="V633" s="4" t="str">
        <f>IFERROR(__xludf.DUMMYFUNCTION("""COMPUTED_VALUE"""),"")</f>
        <v/>
      </c>
      <c r="W633" s="4" t="str">
        <f>IFERROR(__xludf.DUMMYFUNCTION("""COMPUTED_VALUE"""),"COMPLETE")</f>
        <v>COMPLETE</v>
      </c>
      <c r="X633" s="4" t="str">
        <f>IFERROR(__xludf.DUMMYFUNCTION("""COMPUTED_VALUE"""),"Carol")</f>
        <v>Carol</v>
      </c>
      <c r="Y633" s="4" t="str">
        <f>IFERROR(__xludf.DUMMYFUNCTION("""COMPUTED_VALUE"""),"")</f>
        <v/>
      </c>
    </row>
    <row r="634">
      <c r="A634" s="4" t="str">
        <f>IFERROR(__xludf.DUMMYFUNCTION("""COMPUTED_VALUE"""),"694 - Channel")</f>
        <v>694 - Channel</v>
      </c>
      <c r="B634" s="4" t="str">
        <f>IFERROR(__xludf.DUMMYFUNCTION("""COMPUTED_VALUE"""),"Channel 2")</f>
        <v>Channel 2</v>
      </c>
      <c r="C634" s="4" t="str">
        <f>IFERROR(__xludf.DUMMYFUNCTION("""COMPUTED_VALUE"""),"Day 3 - 25/06")</f>
        <v>Day 3 - 25/06</v>
      </c>
      <c r="D634" s="6">
        <f>IFERROR(__xludf.DUMMYFUNCTION("""COMPUTED_VALUE"""),0.5508796296296306)</f>
        <v>0.5508796296</v>
      </c>
      <c r="E634" s="6">
        <f>IFERROR(__xludf.DUMMYFUNCTION("""COMPUTED_VALUE"""),1.7361111111111112E-4)</f>
        <v>0.0001736111111</v>
      </c>
      <c r="F634" s="6">
        <f>IFERROR(__xludf.DUMMYFUNCTION("""COMPUTED_VALUE"""),0.5510532407407417)</f>
        <v>0.5510532407</v>
      </c>
      <c r="G634" s="4" t="str">
        <f>IFERROR(__xludf.DUMMYFUNCTION("""COMPUTED_VALUE"""),"Graphics")</f>
        <v>Graphics</v>
      </c>
      <c r="H634" s="4" t="str">
        <f>IFERROR(__xludf.DUMMYFUNCTION("""COMPUTED_VALUE"""),"")</f>
        <v/>
      </c>
      <c r="I634" s="4" t="str">
        <f>IFERROR(__xludf.DUMMYFUNCTION("""COMPUTED_VALUE"""),"")</f>
        <v/>
      </c>
      <c r="J634" s="4" t="str">
        <f>IFERROR(__xludf.DUMMYFUNCTION("""COMPUTED_VALUE"""),"Finance")</f>
        <v>Finance</v>
      </c>
      <c r="K634" s="4" t="str">
        <f>IFERROR(__xludf.DUMMYFUNCTION("""COMPUTED_VALUE"""),"Talk Outro")</f>
        <v>Talk Outro</v>
      </c>
      <c r="L634" s="4" t="str">
        <f>IFERROR(__xludf.DUMMYFUNCTION("""COMPUTED_VALUE"""),"")</f>
        <v/>
      </c>
      <c r="M634" s="4" t="str">
        <f>IFERROR(__xludf.DUMMYFUNCTION("""COMPUTED_VALUE"""),"Talk Outro")</f>
        <v>Talk Outro</v>
      </c>
      <c r="N634" s="4" t="str">
        <f>IFERROR(__xludf.DUMMYFUNCTION("""COMPUTED_VALUE"""),"")</f>
        <v/>
      </c>
      <c r="O634" s="4" t="str">
        <f>IFERROR(__xludf.DUMMYFUNCTION("""COMPUTED_VALUE"""),"")</f>
        <v/>
      </c>
      <c r="P634" s="4" t="str">
        <f>IFERROR(__xludf.DUMMYFUNCTION("""COMPUTED_VALUE"""),"")</f>
        <v/>
      </c>
      <c r="Q634" s="4" t="str">
        <f>IFERROR(__xludf.DUMMYFUNCTION("""COMPUTED_VALUE"""),"")</f>
        <v/>
      </c>
      <c r="R634" s="4" t="str">
        <f>IFERROR(__xludf.DUMMYFUNCTION("""COMPUTED_VALUE"""),"")</f>
        <v/>
      </c>
      <c r="S634" s="4" t="str">
        <f>IFERROR(__xludf.DUMMYFUNCTION("""COMPUTED_VALUE"""),"")</f>
        <v/>
      </c>
      <c r="T634" s="4" t="str">
        <f>IFERROR(__xludf.DUMMYFUNCTION("""COMPUTED_VALUE"""),"")</f>
        <v/>
      </c>
      <c r="U634" s="4" t="str">
        <f>IFERROR(__xludf.DUMMYFUNCTION("""COMPUTED_VALUE"""),"")</f>
        <v/>
      </c>
      <c r="V634" s="4" t="str">
        <f>IFERROR(__xludf.DUMMYFUNCTION("""COMPUTED_VALUE"""),"")</f>
        <v/>
      </c>
      <c r="W634" s="4" t="str">
        <f>IFERROR(__xludf.DUMMYFUNCTION("""COMPUTED_VALUE"""),"")</f>
        <v/>
      </c>
      <c r="X634" s="4" t="str">
        <f>IFERROR(__xludf.DUMMYFUNCTION("""COMPUTED_VALUE"""),"")</f>
        <v/>
      </c>
      <c r="Y634" s="4" t="str">
        <f>IFERROR(__xludf.DUMMYFUNCTION("""COMPUTED_VALUE"""),"")</f>
        <v/>
      </c>
    </row>
    <row r="635">
      <c r="A635" s="4" t="str">
        <f>IFERROR(__xludf.DUMMYFUNCTION("""COMPUTED_VALUE"""),"695 - Channel")</f>
        <v>695 - Channel</v>
      </c>
      <c r="B635" s="4" t="str">
        <f>IFERROR(__xludf.DUMMYFUNCTION("""COMPUTED_VALUE"""),"Channel 2")</f>
        <v>Channel 2</v>
      </c>
      <c r="C635" s="4" t="str">
        <f>IFERROR(__xludf.DUMMYFUNCTION("""COMPUTED_VALUE"""),"Day 3 - 25/06")</f>
        <v>Day 3 - 25/06</v>
      </c>
      <c r="D635" s="6">
        <f>IFERROR(__xludf.DUMMYFUNCTION("""COMPUTED_VALUE"""),0.5510532407407417)</f>
        <v>0.5510532407</v>
      </c>
      <c r="E635" s="6">
        <f>IFERROR(__xludf.DUMMYFUNCTION("""COMPUTED_VALUE"""),1.7361111111111112E-4)</f>
        <v>0.0001736111111</v>
      </c>
      <c r="F635" s="6">
        <f>IFERROR(__xludf.DUMMYFUNCTION("""COMPUTED_VALUE"""),0.5512268518518528)</f>
        <v>0.5512268519</v>
      </c>
      <c r="G635" s="4" t="str">
        <f>IFERROR(__xludf.DUMMYFUNCTION("""COMPUTED_VALUE"""),"P&amp;E")</f>
        <v>P&amp;E</v>
      </c>
      <c r="H635" s="4" t="str">
        <f>IFERROR(__xludf.DUMMYFUNCTION("""COMPUTED_VALUE"""),"")</f>
        <v/>
      </c>
      <c r="I635" s="4" t="str">
        <f>IFERROR(__xludf.DUMMYFUNCTION("""COMPUTED_VALUE"""),"")</f>
        <v/>
      </c>
      <c r="J635" s="4" t="str">
        <f>IFERROR(__xludf.DUMMYFUNCTION("""COMPUTED_VALUE"""),"Finance")</f>
        <v>Finance</v>
      </c>
      <c r="K635" s="4" t="str">
        <f>IFERROR(__xludf.DUMMYFUNCTION("""COMPUTED_VALUE"""),"Partner ad")</f>
        <v>Partner ad</v>
      </c>
      <c r="L635" s="4" t="str">
        <f>IFERROR(__xludf.DUMMYFUNCTION("""COMPUTED_VALUE"""),"")</f>
        <v/>
      </c>
      <c r="M635" s="4" t="str">
        <f>IFERROR(__xludf.DUMMYFUNCTION("""COMPUTED_VALUE"""),"Partner Adroll #5_TD Bank")</f>
        <v>Partner Adroll #5_TD Bank</v>
      </c>
      <c r="N635" s="4" t="str">
        <f>IFERROR(__xludf.DUMMYFUNCTION("""COMPUTED_VALUE"""),"")</f>
        <v/>
      </c>
      <c r="O635" s="4" t="str">
        <f>IFERROR(__xludf.DUMMYFUNCTION("""COMPUTED_VALUE"""),"")</f>
        <v/>
      </c>
      <c r="P635" s="4" t="str">
        <f>IFERROR(__xludf.DUMMYFUNCTION("""COMPUTED_VALUE"""),"")</f>
        <v/>
      </c>
      <c r="Q635" s="4" t="str">
        <f>IFERROR(__xludf.DUMMYFUNCTION("""COMPUTED_VALUE"""),"")</f>
        <v/>
      </c>
      <c r="R635" s="4" t="str">
        <f>IFERROR(__xludf.DUMMYFUNCTION("""COMPUTED_VALUE"""),"")</f>
        <v/>
      </c>
      <c r="S635" s="4" t="str">
        <f>IFERROR(__xludf.DUMMYFUNCTION("""COMPUTED_VALUE"""),"")</f>
        <v/>
      </c>
      <c r="T635" s="4" t="str">
        <f>IFERROR(__xludf.DUMMYFUNCTION("""COMPUTED_VALUE"""),"")</f>
        <v/>
      </c>
      <c r="U635" s="4" t="str">
        <f>IFERROR(__xludf.DUMMYFUNCTION("""COMPUTED_VALUE"""),"")</f>
        <v/>
      </c>
      <c r="V635" s="4" t="str">
        <f>IFERROR(__xludf.DUMMYFUNCTION("""COMPUTED_VALUE"""),"")</f>
        <v/>
      </c>
      <c r="W635" s="4" t="str">
        <f>IFERROR(__xludf.DUMMYFUNCTION("""COMPUTED_VALUE"""),"")</f>
        <v/>
      </c>
      <c r="X635" s="4" t="str">
        <f>IFERROR(__xludf.DUMMYFUNCTION("""COMPUTED_VALUE"""),"")</f>
        <v/>
      </c>
      <c r="Y635" s="4" t="str">
        <f>IFERROR(__xludf.DUMMYFUNCTION("""COMPUTED_VALUE"""),"")</f>
        <v/>
      </c>
    </row>
    <row r="636">
      <c r="A636" s="4" t="str">
        <f>IFERROR(__xludf.DUMMYFUNCTION("""COMPUTED_VALUE"""),"696 - Channel")</f>
        <v>696 - Channel</v>
      </c>
      <c r="B636" s="4" t="str">
        <f>IFERROR(__xludf.DUMMYFUNCTION("""COMPUTED_VALUE"""),"Channel 2")</f>
        <v>Channel 2</v>
      </c>
      <c r="C636" s="4" t="str">
        <f>IFERROR(__xludf.DUMMYFUNCTION("""COMPUTED_VALUE"""),"Day 3 - 25/06")</f>
        <v>Day 3 - 25/06</v>
      </c>
      <c r="D636" s="6">
        <f>IFERROR(__xludf.DUMMYFUNCTION("""COMPUTED_VALUE"""),0.5512268518518528)</f>
        <v>0.5512268519</v>
      </c>
      <c r="E636" s="6">
        <f>IFERROR(__xludf.DUMMYFUNCTION("""COMPUTED_VALUE"""),3.4722222222222224E-4)</f>
        <v>0.0003472222222</v>
      </c>
      <c r="F636" s="6">
        <f>IFERROR(__xludf.DUMMYFUNCTION("""COMPUTED_VALUE"""),0.5515740740740751)</f>
        <v>0.5515740741</v>
      </c>
      <c r="G636" s="4" t="str">
        <f>IFERROR(__xludf.DUMMYFUNCTION("""COMPUTED_VALUE"""),"Graphics")</f>
        <v>Graphics</v>
      </c>
      <c r="H636" s="4" t="str">
        <f>IFERROR(__xludf.DUMMYFUNCTION("""COMPUTED_VALUE"""),"")</f>
        <v/>
      </c>
      <c r="I636" s="4" t="str">
        <f>IFERROR(__xludf.DUMMYFUNCTION("""COMPUTED_VALUE"""),"")</f>
        <v/>
      </c>
      <c r="J636" s="4" t="str">
        <f>IFERROR(__xludf.DUMMYFUNCTION("""COMPUTED_VALUE"""),"Finance")</f>
        <v>Finance</v>
      </c>
      <c r="K636" s="4" t="str">
        <f>IFERROR(__xludf.DUMMYFUNCTION("""COMPUTED_VALUE"""),"Talk Intro")</f>
        <v>Talk Intro</v>
      </c>
      <c r="L636" s="4" t="str">
        <f>IFERROR(__xludf.DUMMYFUNCTION("""COMPUTED_VALUE"""),"")</f>
        <v/>
      </c>
      <c r="M636" s="4" t="str">
        <f>IFERROR(__xludf.DUMMYFUNCTION("""COMPUTED_VALUE"""),"Talk Intro")</f>
        <v>Talk Intro</v>
      </c>
      <c r="N636" s="4" t="str">
        <f>IFERROR(__xludf.DUMMYFUNCTION("""COMPUTED_VALUE"""),"")</f>
        <v/>
      </c>
      <c r="O636" s="4" t="str">
        <f>IFERROR(__xludf.DUMMYFUNCTION("""COMPUTED_VALUE"""),"")</f>
        <v/>
      </c>
      <c r="P636" s="4" t="str">
        <f>IFERROR(__xludf.DUMMYFUNCTION("""COMPUTED_VALUE"""),"")</f>
        <v/>
      </c>
      <c r="Q636" s="4" t="str">
        <f>IFERROR(__xludf.DUMMYFUNCTION("""COMPUTED_VALUE"""),"")</f>
        <v/>
      </c>
      <c r="R636" s="4" t="str">
        <f>IFERROR(__xludf.DUMMYFUNCTION("""COMPUTED_VALUE"""),"")</f>
        <v/>
      </c>
      <c r="S636" s="4" t="str">
        <f>IFERROR(__xludf.DUMMYFUNCTION("""COMPUTED_VALUE"""),"")</f>
        <v/>
      </c>
      <c r="T636" s="4" t="str">
        <f>IFERROR(__xludf.DUMMYFUNCTION("""COMPUTED_VALUE"""),"")</f>
        <v/>
      </c>
      <c r="U636" s="4" t="str">
        <f>IFERROR(__xludf.DUMMYFUNCTION("""COMPUTED_VALUE"""),"")</f>
        <v/>
      </c>
      <c r="V636" s="4" t="str">
        <f>IFERROR(__xludf.DUMMYFUNCTION("""COMPUTED_VALUE"""),"")</f>
        <v/>
      </c>
      <c r="W636" s="4" t="str">
        <f>IFERROR(__xludf.DUMMYFUNCTION("""COMPUTED_VALUE"""),"")</f>
        <v/>
      </c>
      <c r="X636" s="4" t="str">
        <f>IFERROR(__xludf.DUMMYFUNCTION("""COMPUTED_VALUE"""),"")</f>
        <v/>
      </c>
      <c r="Y636" s="4" t="str">
        <f>IFERROR(__xludf.DUMMYFUNCTION("""COMPUTED_VALUE"""),"")</f>
        <v/>
      </c>
    </row>
    <row r="637">
      <c r="A637" s="4" t="str">
        <f>IFERROR(__xludf.DUMMYFUNCTION("""COMPUTED_VALUE"""),"697 - Channel")</f>
        <v>697 - Channel</v>
      </c>
      <c r="B637" s="4" t="str">
        <f>IFERROR(__xludf.DUMMYFUNCTION("""COMPUTED_VALUE"""),"Channel 2")</f>
        <v>Channel 2</v>
      </c>
      <c r="C637" s="4" t="str">
        <f>IFERROR(__xludf.DUMMYFUNCTION("""COMPUTED_VALUE"""),"Day 3 - 25/06")</f>
        <v>Day 3 - 25/06</v>
      </c>
      <c r="D637" s="6">
        <f>IFERROR(__xludf.DUMMYFUNCTION("""COMPUTED_VALUE"""),0.5515740740740751)</f>
        <v>0.5515740741</v>
      </c>
      <c r="E637" s="6">
        <f>IFERROR(__xludf.DUMMYFUNCTION("""COMPUTED_VALUE"""),0.013888888888888888)</f>
        <v>0.01388888889</v>
      </c>
      <c r="F637" s="6">
        <f>IFERROR(__xludf.DUMMYFUNCTION("""COMPUTED_VALUE"""),0.5654629629629639)</f>
        <v>0.565462963</v>
      </c>
      <c r="G637" s="4" t="str">
        <f>IFERROR(__xludf.DUMMYFUNCTION("""COMPUTED_VALUE"""),"Lobna")</f>
        <v>Lobna</v>
      </c>
      <c r="H637" s="4" t="str">
        <f>IFERROR(__xludf.DUMMYFUNCTION("""COMPUTED_VALUE"""),"Stephen")</f>
        <v>Stephen</v>
      </c>
      <c r="I637" s="4" t="str">
        <f>IFERROR(__xludf.DUMMYFUNCTION("""COMPUTED_VALUE"""),"Manon")</f>
        <v>Manon</v>
      </c>
      <c r="J637" s="4" t="str">
        <f>IFERROR(__xludf.DUMMYFUNCTION("""COMPUTED_VALUE"""),"Finance")</f>
        <v>Finance</v>
      </c>
      <c r="K637" s="4" t="str">
        <f>IFERROR(__xludf.DUMMYFUNCTION("""COMPUTED_VALUE"""),"Fireside")</f>
        <v>Fireside</v>
      </c>
      <c r="L637" s="4" t="str">
        <f>IFERROR(__xludf.DUMMYFUNCTION("""COMPUTED_VALUE"""),"T- 2 - 08/06/2020")</f>
        <v>T- 2 - 08/06/2020</v>
      </c>
      <c r="M637" s="4" t="str">
        <f>IFERROR(__xludf.DUMMYFUNCTION("""COMPUTED_VALUE"""),"Consumer data post-Covid")</f>
        <v>Consumer data post-Covid</v>
      </c>
      <c r="N637" s="4" t="str">
        <f>IFERROR(__xludf.DUMMYFUNCTION("""COMPUTED_VALUE"""),"Max Levchin, Affirm")</f>
        <v>Max Levchin, Affirm</v>
      </c>
      <c r="O637" s="4" t="str">
        <f>IFERROR(__xludf.DUMMYFUNCTION("""COMPUTED_VALUE"""),"")</f>
        <v/>
      </c>
      <c r="P637" s="4" t="str">
        <f>IFERROR(__xludf.DUMMYFUNCTION("""COMPUTED_VALUE"""),"")</f>
        <v/>
      </c>
      <c r="Q637" s="4" t="str">
        <f>IFERROR(__xludf.DUMMYFUNCTION("""COMPUTED_VALUE"""),"")</f>
        <v/>
      </c>
      <c r="R637" s="4" t="str">
        <f>IFERROR(__xludf.DUMMYFUNCTION("""COMPUTED_VALUE"""),"Vicky Nguyen, NBC News")</f>
        <v>Vicky Nguyen, NBC News</v>
      </c>
      <c r="S637" s="4" t="str">
        <f>IFERROR(__xludf.DUMMYFUNCTION("""COMPUTED_VALUE"""),"From co-founding PayPal to backing Brex, fintech veteran Max Levchin shares his ethos on consumer data and startups that scale ethically.")</f>
        <v>From co-founding PayPal to backing Brex, fintech veteran Max Levchin shares his ethos on consumer data and startups that scale ethically.</v>
      </c>
      <c r="T637" s="4" t="str">
        <f>IFERROR(__xludf.DUMMYFUNCTION("""COMPUTED_VALUE"""),"NON-KEYNOTE 7 - Video to be recorded")</f>
        <v>NON-KEYNOTE 7 - Video to be recorded</v>
      </c>
      <c r="U637" s="23">
        <f>IFERROR(__xludf.DUMMYFUNCTION("""COMPUTED_VALUE"""),43991.0)</f>
        <v>43991</v>
      </c>
      <c r="V637" s="44">
        <f>IFERROR(__xludf.DUMMYFUNCTION("""COMPUTED_VALUE"""),0.7083333333333334)</f>
        <v>0.7083333333</v>
      </c>
      <c r="W637" s="21" t="str">
        <f>IFERROR(__xludf.DUMMYFUNCTION("""COMPUTED_VALUE"""),"https://zoom.us/j/98328829818")</f>
        <v>https://zoom.us/j/98328829818</v>
      </c>
      <c r="X637" s="4" t="str">
        <f>IFERROR(__xludf.DUMMYFUNCTION("""COMPUTED_VALUE"""),"Lobna")</f>
        <v>Lobna</v>
      </c>
      <c r="Y637" s="4" t="str">
        <f>IFERROR(__xludf.DUMMYFUNCTION("""COMPUTED_VALUE"""),"")</f>
        <v/>
      </c>
    </row>
    <row r="638">
      <c r="A638" s="4" t="str">
        <f>IFERROR(__xludf.DUMMYFUNCTION("""COMPUTED_VALUE"""),"698 - Channel")</f>
        <v>698 - Channel</v>
      </c>
      <c r="B638" s="4" t="str">
        <f>IFERROR(__xludf.DUMMYFUNCTION("""COMPUTED_VALUE"""),"Channel 2")</f>
        <v>Channel 2</v>
      </c>
      <c r="C638" s="4" t="str">
        <f>IFERROR(__xludf.DUMMYFUNCTION("""COMPUTED_VALUE"""),"Day 3 - 25/06")</f>
        <v>Day 3 - 25/06</v>
      </c>
      <c r="D638" s="6">
        <f>IFERROR(__xludf.DUMMYFUNCTION("""COMPUTED_VALUE"""),0.5654629629629639)</f>
        <v>0.565462963</v>
      </c>
      <c r="E638" s="6">
        <f>IFERROR(__xludf.DUMMYFUNCTION("""COMPUTED_VALUE"""),1.7361111111111112E-4)</f>
        <v>0.0001736111111</v>
      </c>
      <c r="F638" s="6">
        <f>IFERROR(__xludf.DUMMYFUNCTION("""COMPUTED_VALUE"""),0.5656365740740751)</f>
        <v>0.5656365741</v>
      </c>
      <c r="G638" s="4" t="str">
        <f>IFERROR(__xludf.DUMMYFUNCTION("""COMPUTED_VALUE"""),"Graphics")</f>
        <v>Graphics</v>
      </c>
      <c r="H638" s="4" t="str">
        <f>IFERROR(__xludf.DUMMYFUNCTION("""COMPUTED_VALUE"""),"")</f>
        <v/>
      </c>
      <c r="I638" s="4" t="str">
        <f>IFERROR(__xludf.DUMMYFUNCTION("""COMPUTED_VALUE"""),"")</f>
        <v/>
      </c>
      <c r="J638" s="4" t="str">
        <f>IFERROR(__xludf.DUMMYFUNCTION("""COMPUTED_VALUE"""),"Finance")</f>
        <v>Finance</v>
      </c>
      <c r="K638" s="4" t="str">
        <f>IFERROR(__xludf.DUMMYFUNCTION("""COMPUTED_VALUE"""),"Talk Outro")</f>
        <v>Talk Outro</v>
      </c>
      <c r="L638" s="4" t="str">
        <f>IFERROR(__xludf.DUMMYFUNCTION("""COMPUTED_VALUE"""),"")</f>
        <v/>
      </c>
      <c r="M638" s="4" t="str">
        <f>IFERROR(__xludf.DUMMYFUNCTION("""COMPUTED_VALUE"""),"Talk Outro")</f>
        <v>Talk Outro</v>
      </c>
      <c r="N638" s="4" t="str">
        <f>IFERROR(__xludf.DUMMYFUNCTION("""COMPUTED_VALUE"""),"")</f>
        <v/>
      </c>
      <c r="O638" s="4" t="str">
        <f>IFERROR(__xludf.DUMMYFUNCTION("""COMPUTED_VALUE"""),"")</f>
        <v/>
      </c>
      <c r="P638" s="4" t="str">
        <f>IFERROR(__xludf.DUMMYFUNCTION("""COMPUTED_VALUE"""),"")</f>
        <v/>
      </c>
      <c r="Q638" s="4" t="str">
        <f>IFERROR(__xludf.DUMMYFUNCTION("""COMPUTED_VALUE"""),"")</f>
        <v/>
      </c>
      <c r="R638" s="4" t="str">
        <f>IFERROR(__xludf.DUMMYFUNCTION("""COMPUTED_VALUE"""),"")</f>
        <v/>
      </c>
      <c r="S638" s="4" t="str">
        <f>IFERROR(__xludf.DUMMYFUNCTION("""COMPUTED_VALUE"""),"")</f>
        <v/>
      </c>
      <c r="T638" s="4" t="str">
        <f>IFERROR(__xludf.DUMMYFUNCTION("""COMPUTED_VALUE"""),"")</f>
        <v/>
      </c>
      <c r="U638" s="4" t="str">
        <f>IFERROR(__xludf.DUMMYFUNCTION("""COMPUTED_VALUE"""),"")</f>
        <v/>
      </c>
      <c r="V638" s="4" t="str">
        <f>IFERROR(__xludf.DUMMYFUNCTION("""COMPUTED_VALUE"""),"")</f>
        <v/>
      </c>
      <c r="W638" s="4" t="str">
        <f>IFERROR(__xludf.DUMMYFUNCTION("""COMPUTED_VALUE"""),"")</f>
        <v/>
      </c>
      <c r="X638" s="4" t="str">
        <f>IFERROR(__xludf.DUMMYFUNCTION("""COMPUTED_VALUE"""),"")</f>
        <v/>
      </c>
      <c r="Y638" s="4" t="str">
        <f>IFERROR(__xludf.DUMMYFUNCTION("""COMPUTED_VALUE"""),"")</f>
        <v/>
      </c>
    </row>
    <row r="639">
      <c r="A639" s="4" t="str">
        <f>IFERROR(__xludf.DUMMYFUNCTION("""COMPUTED_VALUE"""),"700 - Channel")</f>
        <v>700 - Channel</v>
      </c>
      <c r="B639" s="4" t="str">
        <f>IFERROR(__xludf.DUMMYFUNCTION("""COMPUTED_VALUE"""),"Channel 2")</f>
        <v>Channel 2</v>
      </c>
      <c r="C639" s="4" t="str">
        <f>IFERROR(__xludf.DUMMYFUNCTION("""COMPUTED_VALUE"""),"Day 3 - 25/06")</f>
        <v>Day 3 - 25/06</v>
      </c>
      <c r="D639" s="6">
        <f>IFERROR(__xludf.DUMMYFUNCTION("""COMPUTED_VALUE"""),0.5656365740740751)</f>
        <v>0.5656365741</v>
      </c>
      <c r="E639" s="6">
        <f>IFERROR(__xludf.DUMMYFUNCTION("""COMPUTED_VALUE"""),2.662037037037037E-4)</f>
        <v>0.0002662037037</v>
      </c>
      <c r="F639" s="6">
        <f>IFERROR(__xludf.DUMMYFUNCTION("""COMPUTED_VALUE"""),0.5659027777777788)</f>
        <v>0.5659027778</v>
      </c>
      <c r="G639" s="4" t="str">
        <f>IFERROR(__xludf.DUMMYFUNCTION("""COMPUTED_VALUE"""),"Graphics")</f>
        <v>Graphics</v>
      </c>
      <c r="H639" s="4" t="str">
        <f>IFERROR(__xludf.DUMMYFUNCTION("""COMPUTED_VALUE"""),"")</f>
        <v/>
      </c>
      <c r="I639" s="4" t="str">
        <f>IFERROR(__xludf.DUMMYFUNCTION("""COMPUTED_VALUE"""),"")</f>
        <v/>
      </c>
      <c r="J639" s="4" t="str">
        <f>IFERROR(__xludf.DUMMYFUNCTION("""COMPUTED_VALUE"""),"Finance")</f>
        <v>Finance</v>
      </c>
      <c r="K639" s="4" t="str">
        <f>IFERROR(__xludf.DUMMYFUNCTION("""COMPUTED_VALUE"""),"Talk Intro")</f>
        <v>Talk Intro</v>
      </c>
      <c r="L639" s="4" t="str">
        <f>IFERROR(__xludf.DUMMYFUNCTION("""COMPUTED_VALUE"""),"")</f>
        <v/>
      </c>
      <c r="M639" s="4" t="str">
        <f>IFERROR(__xludf.DUMMYFUNCTION("""COMPUTED_VALUE"""),"Talk Intro - decreased to allow for the overun in talk duration")</f>
        <v>Talk Intro - decreased to allow for the overun in talk duration</v>
      </c>
      <c r="N639" s="4" t="str">
        <f>IFERROR(__xludf.DUMMYFUNCTION("""COMPUTED_VALUE"""),"")</f>
        <v/>
      </c>
      <c r="O639" s="4" t="str">
        <f>IFERROR(__xludf.DUMMYFUNCTION("""COMPUTED_VALUE"""),"")</f>
        <v/>
      </c>
      <c r="P639" s="4" t="str">
        <f>IFERROR(__xludf.DUMMYFUNCTION("""COMPUTED_VALUE"""),"")</f>
        <v/>
      </c>
      <c r="Q639" s="4" t="str">
        <f>IFERROR(__xludf.DUMMYFUNCTION("""COMPUTED_VALUE"""),"")</f>
        <v/>
      </c>
      <c r="R639" s="4" t="str">
        <f>IFERROR(__xludf.DUMMYFUNCTION("""COMPUTED_VALUE"""),"")</f>
        <v/>
      </c>
      <c r="S639" s="4" t="str">
        <f>IFERROR(__xludf.DUMMYFUNCTION("""COMPUTED_VALUE"""),"")</f>
        <v/>
      </c>
      <c r="T639" s="4" t="str">
        <f>IFERROR(__xludf.DUMMYFUNCTION("""COMPUTED_VALUE"""),"")</f>
        <v/>
      </c>
      <c r="U639" s="4" t="str">
        <f>IFERROR(__xludf.DUMMYFUNCTION("""COMPUTED_VALUE"""),"")</f>
        <v/>
      </c>
      <c r="V639" s="4" t="str">
        <f>IFERROR(__xludf.DUMMYFUNCTION("""COMPUTED_VALUE"""),"")</f>
        <v/>
      </c>
      <c r="W639" s="4" t="str">
        <f>IFERROR(__xludf.DUMMYFUNCTION("""COMPUTED_VALUE"""),"")</f>
        <v/>
      </c>
      <c r="X639" s="4" t="str">
        <f>IFERROR(__xludf.DUMMYFUNCTION("""COMPUTED_VALUE"""),"")</f>
        <v/>
      </c>
      <c r="Y639" s="4" t="str">
        <f>IFERROR(__xludf.DUMMYFUNCTION("""COMPUTED_VALUE"""),"")</f>
        <v/>
      </c>
    </row>
    <row r="640">
      <c r="A640" s="4" t="str">
        <f>IFERROR(__xludf.DUMMYFUNCTION("""COMPUTED_VALUE"""),"701 - Channel")</f>
        <v>701 - Channel</v>
      </c>
      <c r="B640" s="4" t="str">
        <f>IFERROR(__xludf.DUMMYFUNCTION("""COMPUTED_VALUE"""),"Channel 2")</f>
        <v>Channel 2</v>
      </c>
      <c r="C640" s="4" t="str">
        <f>IFERROR(__xludf.DUMMYFUNCTION("""COMPUTED_VALUE"""),"Day 3 - 25/06")</f>
        <v>Day 3 - 25/06</v>
      </c>
      <c r="D640" s="6">
        <f>IFERROR(__xludf.DUMMYFUNCTION("""COMPUTED_VALUE"""),0.5659027777777788)</f>
        <v>0.5659027778</v>
      </c>
      <c r="E640" s="6">
        <f>IFERROR(__xludf.DUMMYFUNCTION("""COMPUTED_VALUE"""),0.0020949074074074073)</f>
        <v>0.002094907407</v>
      </c>
      <c r="F640" s="6">
        <f>IFERROR(__xludf.DUMMYFUNCTION("""COMPUTED_VALUE"""),0.5679976851851861)</f>
        <v>0.5679976852</v>
      </c>
      <c r="G640" s="4" t="str">
        <f>IFERROR(__xludf.DUMMYFUNCTION("""COMPUTED_VALUE"""),"Dan")</f>
        <v>Dan</v>
      </c>
      <c r="H640" s="4" t="str">
        <f>IFERROR(__xludf.DUMMYFUNCTION("""COMPUTED_VALUE"""),"N/A")</f>
        <v>N/A</v>
      </c>
      <c r="I640" s="4" t="str">
        <f>IFERROR(__xludf.DUMMYFUNCTION("""COMPUTED_VALUE"""),"Jack")</f>
        <v>Jack</v>
      </c>
      <c r="J640" s="4" t="str">
        <f>IFERROR(__xludf.DUMMYFUNCTION("""COMPUTED_VALUE"""),"Finance")</f>
        <v>Finance</v>
      </c>
      <c r="K640" s="4" t="str">
        <f>IFERROR(__xludf.DUMMYFUNCTION("""COMPUTED_VALUE"""),"Keynote")</f>
        <v>Keynote</v>
      </c>
      <c r="L640" s="4" t="str">
        <f>IFERROR(__xludf.DUMMYFUNCTION("""COMPUTED_VALUE"""),"T- 9 - 20/04/2020")</f>
        <v>T- 9 - 20/04/2020</v>
      </c>
      <c r="M640" s="4" t="str">
        <f>IFERROR(__xludf.DUMMYFUNCTION("""COMPUTED_VALUE"""),"Can startups survive 2020?")</f>
        <v>Can startups survive 2020?</v>
      </c>
      <c r="N640" s="4" t="str">
        <f>IFERROR(__xludf.DUMMYFUNCTION("""COMPUTED_VALUE"""),"Laura Hale, Ladder")</f>
        <v>Laura Hale, Ladder</v>
      </c>
      <c r="O640" s="4" t="str">
        <f>IFERROR(__xludf.DUMMYFUNCTION("""COMPUTED_VALUE"""),"")</f>
        <v/>
      </c>
      <c r="P640" s="4" t="str">
        <f>IFERROR(__xludf.DUMMYFUNCTION("""COMPUTED_VALUE"""),"")</f>
        <v/>
      </c>
      <c r="Q640" s="4" t="str">
        <f>IFERROR(__xludf.DUMMYFUNCTION("""COMPUTED_VALUE"""),"")</f>
        <v/>
      </c>
      <c r="R640" s="4" t="str">
        <f>IFERROR(__xludf.DUMMYFUNCTION("""COMPUTED_VALUE"""),"")</f>
        <v/>
      </c>
      <c r="S640" s="4" t="str">
        <f>IFERROR(__xludf.DUMMYFUNCTION("""COMPUTED_VALUE"""),"Ladder co-founder Laura Hale discusses how startups can use their superpowers to forge competitive advantage amid shifting market dynamics.")</f>
        <v>Ladder co-founder Laura Hale discusses how startups can use their superpowers to forge competitive advantage amid shifting market dynamics.</v>
      </c>
      <c r="T640" s="4" t="str">
        <f>IFERROR(__xludf.DUMMYFUNCTION("""COMPUTED_VALUE"""),"KEYNOTE 8 - COMPLETE")</f>
        <v>KEYNOTE 8 - COMPLETE</v>
      </c>
      <c r="U640" s="23">
        <f>IFERROR(__xludf.DUMMYFUNCTION("""COMPUTED_VALUE"""),43945.0)</f>
        <v>43945</v>
      </c>
      <c r="V640" s="24">
        <f>IFERROR(__xludf.DUMMYFUNCTION("""COMPUTED_VALUE"""),0.7708333333333334)</f>
        <v>0.7708333333</v>
      </c>
      <c r="W640" s="4" t="str">
        <f>IFERROR(__xludf.DUMMYFUNCTION("""COMPUTED_VALUE"""),"COMPLETE")</f>
        <v>COMPLETE</v>
      </c>
      <c r="X640" s="4" t="str">
        <f>IFERROR(__xludf.DUMMYFUNCTION("""COMPUTED_VALUE"""),"Dan")</f>
        <v>Dan</v>
      </c>
      <c r="Y640" s="4" t="str">
        <f>IFERROR(__xludf.DUMMYFUNCTION("""COMPUTED_VALUE"""),"4628262788713498866")</f>
        <v>4628262788713498866</v>
      </c>
    </row>
    <row r="641">
      <c r="A641" s="4" t="str">
        <f>IFERROR(__xludf.DUMMYFUNCTION("""COMPUTED_VALUE"""),"702 - Channel")</f>
        <v>702 - Channel</v>
      </c>
      <c r="B641" s="4" t="str">
        <f>IFERROR(__xludf.DUMMYFUNCTION("""COMPUTED_VALUE"""),"Channel 2")</f>
        <v>Channel 2</v>
      </c>
      <c r="C641" s="4" t="str">
        <f>IFERROR(__xludf.DUMMYFUNCTION("""COMPUTED_VALUE"""),"Day 3 - 25/06")</f>
        <v>Day 3 - 25/06</v>
      </c>
      <c r="D641" s="6">
        <f>IFERROR(__xludf.DUMMYFUNCTION("""COMPUTED_VALUE"""),0.5679976851851861)</f>
        <v>0.5679976852</v>
      </c>
      <c r="E641" s="6">
        <f>IFERROR(__xludf.DUMMYFUNCTION("""COMPUTED_VALUE"""),1.7361111111111112E-4)</f>
        <v>0.0001736111111</v>
      </c>
      <c r="F641" s="6">
        <f>IFERROR(__xludf.DUMMYFUNCTION("""COMPUTED_VALUE"""),0.5681712962962973)</f>
        <v>0.5681712963</v>
      </c>
      <c r="G641" s="4" t="str">
        <f>IFERROR(__xludf.DUMMYFUNCTION("""COMPUTED_VALUE"""),"Graphics")</f>
        <v>Graphics</v>
      </c>
      <c r="H641" s="4" t="str">
        <f>IFERROR(__xludf.DUMMYFUNCTION("""COMPUTED_VALUE"""),"")</f>
        <v/>
      </c>
      <c r="I641" s="4" t="str">
        <f>IFERROR(__xludf.DUMMYFUNCTION("""COMPUTED_VALUE"""),"")</f>
        <v/>
      </c>
      <c r="J641" s="4" t="str">
        <f>IFERROR(__xludf.DUMMYFUNCTION("""COMPUTED_VALUE"""),"Finance")</f>
        <v>Finance</v>
      </c>
      <c r="K641" s="4" t="str">
        <f>IFERROR(__xludf.DUMMYFUNCTION("""COMPUTED_VALUE"""),"Talk Outro")</f>
        <v>Talk Outro</v>
      </c>
      <c r="L641" s="4" t="str">
        <f>IFERROR(__xludf.DUMMYFUNCTION("""COMPUTED_VALUE"""),"")</f>
        <v/>
      </c>
      <c r="M641" s="4" t="str">
        <f>IFERROR(__xludf.DUMMYFUNCTION("""COMPUTED_VALUE"""),"Talk Outro")</f>
        <v>Talk Outro</v>
      </c>
      <c r="N641" s="4" t="str">
        <f>IFERROR(__xludf.DUMMYFUNCTION("""COMPUTED_VALUE"""),"")</f>
        <v/>
      </c>
      <c r="O641" s="4" t="str">
        <f>IFERROR(__xludf.DUMMYFUNCTION("""COMPUTED_VALUE"""),"")</f>
        <v/>
      </c>
      <c r="P641" s="4" t="str">
        <f>IFERROR(__xludf.DUMMYFUNCTION("""COMPUTED_VALUE"""),"")</f>
        <v/>
      </c>
      <c r="Q641" s="4" t="str">
        <f>IFERROR(__xludf.DUMMYFUNCTION("""COMPUTED_VALUE"""),"")</f>
        <v/>
      </c>
      <c r="R641" s="4" t="str">
        <f>IFERROR(__xludf.DUMMYFUNCTION("""COMPUTED_VALUE"""),"")</f>
        <v/>
      </c>
      <c r="S641" s="4" t="str">
        <f>IFERROR(__xludf.DUMMYFUNCTION("""COMPUTED_VALUE"""),"")</f>
        <v/>
      </c>
      <c r="T641" s="4" t="str">
        <f>IFERROR(__xludf.DUMMYFUNCTION("""COMPUTED_VALUE"""),"")</f>
        <v/>
      </c>
      <c r="U641" s="4" t="str">
        <f>IFERROR(__xludf.DUMMYFUNCTION("""COMPUTED_VALUE"""),"")</f>
        <v/>
      </c>
      <c r="V641" s="4" t="str">
        <f>IFERROR(__xludf.DUMMYFUNCTION("""COMPUTED_VALUE"""),"")</f>
        <v/>
      </c>
      <c r="W641" s="4" t="str">
        <f>IFERROR(__xludf.DUMMYFUNCTION("""COMPUTED_VALUE"""),"")</f>
        <v/>
      </c>
      <c r="X641" s="4" t="str">
        <f>IFERROR(__xludf.DUMMYFUNCTION("""COMPUTED_VALUE"""),"")</f>
        <v/>
      </c>
      <c r="Y641" s="4" t="str">
        <f>IFERROR(__xludf.DUMMYFUNCTION("""COMPUTED_VALUE"""),"")</f>
        <v/>
      </c>
    </row>
    <row r="642">
      <c r="A642" s="4" t="str">
        <f>IFERROR(__xludf.DUMMYFUNCTION("""COMPUTED_VALUE"""),"703 - Channel")</f>
        <v>703 - Channel</v>
      </c>
      <c r="B642" s="4" t="str">
        <f>IFERROR(__xludf.DUMMYFUNCTION("""COMPUTED_VALUE"""),"Channel 2")</f>
        <v>Channel 2</v>
      </c>
      <c r="C642" s="4" t="str">
        <f>IFERROR(__xludf.DUMMYFUNCTION("""COMPUTED_VALUE"""),"Day 3 - 25/06")</f>
        <v>Day 3 - 25/06</v>
      </c>
      <c r="D642" s="6">
        <f>IFERROR(__xludf.DUMMYFUNCTION("""COMPUTED_VALUE"""),0.5681712962962973)</f>
        <v>0.5681712963</v>
      </c>
      <c r="E642" s="6">
        <f>IFERROR(__xludf.DUMMYFUNCTION("""COMPUTED_VALUE"""),3.4722222222222224E-4)</f>
        <v>0.0003472222222</v>
      </c>
      <c r="F642" s="6">
        <f>IFERROR(__xludf.DUMMYFUNCTION("""COMPUTED_VALUE"""),0.5685185185185195)</f>
        <v>0.5685185185</v>
      </c>
      <c r="G642" s="4" t="str">
        <f>IFERROR(__xludf.DUMMYFUNCTION("""COMPUTED_VALUE"""),"Graphics")</f>
        <v>Graphics</v>
      </c>
      <c r="H642" s="4" t="str">
        <f>IFERROR(__xludf.DUMMYFUNCTION("""COMPUTED_VALUE"""),"")</f>
        <v/>
      </c>
      <c r="I642" s="4" t="str">
        <f>IFERROR(__xludf.DUMMYFUNCTION("""COMPUTED_VALUE"""),"")</f>
        <v/>
      </c>
      <c r="J642" s="4" t="str">
        <f>IFERROR(__xludf.DUMMYFUNCTION("""COMPUTED_VALUE"""),"Finance")</f>
        <v>Finance</v>
      </c>
      <c r="K642" s="4" t="str">
        <f>IFERROR(__xludf.DUMMYFUNCTION("""COMPUTED_VALUE"""),"Talk Intro")</f>
        <v>Talk Intro</v>
      </c>
      <c r="L642" s="4" t="str">
        <f>IFERROR(__xludf.DUMMYFUNCTION("""COMPUTED_VALUE"""),"")</f>
        <v/>
      </c>
      <c r="M642" s="4" t="str">
        <f>IFERROR(__xludf.DUMMYFUNCTION("""COMPUTED_VALUE"""),"Talk Intro")</f>
        <v>Talk Intro</v>
      </c>
      <c r="N642" s="4" t="str">
        <f>IFERROR(__xludf.DUMMYFUNCTION("""COMPUTED_VALUE"""),"")</f>
        <v/>
      </c>
      <c r="O642" s="4" t="str">
        <f>IFERROR(__xludf.DUMMYFUNCTION("""COMPUTED_VALUE"""),"")</f>
        <v/>
      </c>
      <c r="P642" s="4" t="str">
        <f>IFERROR(__xludf.DUMMYFUNCTION("""COMPUTED_VALUE"""),"")</f>
        <v/>
      </c>
      <c r="Q642" s="4" t="str">
        <f>IFERROR(__xludf.DUMMYFUNCTION("""COMPUTED_VALUE"""),"")</f>
        <v/>
      </c>
      <c r="R642" s="4" t="str">
        <f>IFERROR(__xludf.DUMMYFUNCTION("""COMPUTED_VALUE"""),"")</f>
        <v/>
      </c>
      <c r="S642" s="4" t="str">
        <f>IFERROR(__xludf.DUMMYFUNCTION("""COMPUTED_VALUE"""),"")</f>
        <v/>
      </c>
      <c r="T642" s="4" t="str">
        <f>IFERROR(__xludf.DUMMYFUNCTION("""COMPUTED_VALUE"""),"")</f>
        <v/>
      </c>
      <c r="U642" s="4" t="str">
        <f>IFERROR(__xludf.DUMMYFUNCTION("""COMPUTED_VALUE"""),"")</f>
        <v/>
      </c>
      <c r="V642" s="4" t="str">
        <f>IFERROR(__xludf.DUMMYFUNCTION("""COMPUTED_VALUE"""),"")</f>
        <v/>
      </c>
      <c r="W642" s="4" t="str">
        <f>IFERROR(__xludf.DUMMYFUNCTION("""COMPUTED_VALUE"""),"")</f>
        <v/>
      </c>
      <c r="X642" s="4" t="str">
        <f>IFERROR(__xludf.DUMMYFUNCTION("""COMPUTED_VALUE"""),"")</f>
        <v/>
      </c>
      <c r="Y642" s="4" t="str">
        <f>IFERROR(__xludf.DUMMYFUNCTION("""COMPUTED_VALUE"""),"")</f>
        <v/>
      </c>
    </row>
    <row r="643">
      <c r="A643" s="4" t="str">
        <f>IFERROR(__xludf.DUMMYFUNCTION("""COMPUTED_VALUE"""),"704 - Channel")</f>
        <v>704 - Channel</v>
      </c>
      <c r="B643" s="4" t="str">
        <f>IFERROR(__xludf.DUMMYFUNCTION("""COMPUTED_VALUE"""),"Channel 2")</f>
        <v>Channel 2</v>
      </c>
      <c r="C643" s="4" t="str">
        <f>IFERROR(__xludf.DUMMYFUNCTION("""COMPUTED_VALUE"""),"Day 3 - 25/06")</f>
        <v>Day 3 - 25/06</v>
      </c>
      <c r="D643" s="6">
        <f>IFERROR(__xludf.DUMMYFUNCTION("""COMPUTED_VALUE"""),0.5685185185185195)</f>
        <v>0.5685185185</v>
      </c>
      <c r="E643" s="6">
        <f>IFERROR(__xludf.DUMMYFUNCTION("""COMPUTED_VALUE"""),0.010324074074074074)</f>
        <v>0.01032407407</v>
      </c>
      <c r="F643" s="6">
        <f>IFERROR(__xludf.DUMMYFUNCTION("""COMPUTED_VALUE"""),0.5788425925925936)</f>
        <v>0.5788425926</v>
      </c>
      <c r="G643" s="4" t="str">
        <f>IFERROR(__xludf.DUMMYFUNCTION("""COMPUTED_VALUE"""),"Helen")</f>
        <v>Helen</v>
      </c>
      <c r="H643" s="4" t="str">
        <f>IFERROR(__xludf.DUMMYFUNCTION("""COMPUTED_VALUE"""),"Shauna")</f>
        <v>Shauna</v>
      </c>
      <c r="I643" s="4" t="str">
        <f>IFERROR(__xludf.DUMMYFUNCTION("""COMPUTED_VALUE"""),"Lucia H.")</f>
        <v>Lucia H.</v>
      </c>
      <c r="J643" s="4" t="str">
        <f>IFERROR(__xludf.DUMMYFUNCTION("""COMPUTED_VALUE"""),"Finance")</f>
        <v>Finance</v>
      </c>
      <c r="K643" s="4" t="str">
        <f>IFERROR(__xludf.DUMMYFUNCTION("""COMPUTED_VALUE"""),"Fireside")</f>
        <v>Fireside</v>
      </c>
      <c r="L643" s="4" t="str">
        <f>IFERROR(__xludf.DUMMYFUNCTION("""COMPUTED_VALUE"""),"T- 7 - 04/05/2020")</f>
        <v>T- 7 - 04/05/2020</v>
      </c>
      <c r="M643" s="4" t="str">
        <f>IFERROR(__xludf.DUMMYFUNCTION("""COMPUTED_VALUE"""),"Rethinking digital finance with Plaid")</f>
        <v>Rethinking digital finance with Plaid</v>
      </c>
      <c r="N643" s="4" t="str">
        <f>IFERROR(__xludf.DUMMYFUNCTION("""COMPUTED_VALUE"""),"Zach Perret, Plaid")</f>
        <v>Zach Perret, Plaid</v>
      </c>
      <c r="O643" s="4" t="str">
        <f>IFERROR(__xludf.DUMMYFUNCTION("""COMPUTED_VALUE"""),"")</f>
        <v/>
      </c>
      <c r="P643" s="4" t="str">
        <f>IFERROR(__xludf.DUMMYFUNCTION("""COMPUTED_VALUE"""),"")</f>
        <v/>
      </c>
      <c r="Q643" s="4" t="str">
        <f>IFERROR(__xludf.DUMMYFUNCTION("""COMPUTED_VALUE"""),"")</f>
        <v/>
      </c>
      <c r="R643" s="4" t="str">
        <f>IFERROR(__xludf.DUMMYFUNCTION("""COMPUTED_VALUE"""),"Robert Hackett, Fortune")</f>
        <v>Robert Hackett, Fortune</v>
      </c>
      <c r="S643" s="4" t="str">
        <f>IFERROR(__xludf.DUMMYFUNCTION("""COMPUTED_VALUE"""),"With an abundance of acquisitions, a wealth of enterprise companies exploring fintech strategies, and a host of digital banking shakeups at the hands of Covid-19, 2020 is proving to be an eventful year for fintech. Join Zach Perret, the co-founder and CEO"&amp;" of Plaid, as he discusses the global ecosystem's shift from open banking towards open finance, and how the new state of the world is forcing banks to rethink age-old strategies.")</f>
        <v>With an abundance of acquisitions, a wealth of enterprise companies exploring fintech strategies, and a host of digital banking shakeups at the hands of Covid-19, 2020 is proving to be an eventful year for fintech. Join Zach Perret, the co-founder and CEO of Plaid, as he discusses the global ecosystem's shift from open banking towards open finance, and how the new state of the world is forcing banks to rethink age-old strategies.</v>
      </c>
      <c r="T643" s="4" t="str">
        <f>IFERROR(__xludf.DUMMYFUNCTION("""COMPUTED_VALUE"""),"NON-KEYNOTE 9 - COMPLETE")</f>
        <v>NON-KEYNOTE 9 - COMPLETE</v>
      </c>
      <c r="U643" s="23">
        <f>IFERROR(__xludf.DUMMYFUNCTION("""COMPUTED_VALUE"""),43955.0)</f>
        <v>43955</v>
      </c>
      <c r="V643" s="24">
        <f>IFERROR(__xludf.DUMMYFUNCTION("""COMPUTED_VALUE"""),0.8333333333333334)</f>
        <v>0.8333333333</v>
      </c>
      <c r="W643" s="4" t="str">
        <f>IFERROR(__xludf.DUMMYFUNCTION("""COMPUTED_VALUE"""),"COMPLETE")</f>
        <v>COMPLETE</v>
      </c>
      <c r="X643" s="4" t="str">
        <f>IFERROR(__xludf.DUMMYFUNCTION("""COMPUTED_VALUE"""),"Helen")</f>
        <v>Helen</v>
      </c>
      <c r="Y643" s="4" t="str">
        <f>IFERROR(__xludf.DUMMYFUNCTION("""COMPUTED_VALUE"""),"")</f>
        <v/>
      </c>
    </row>
    <row r="644">
      <c r="A644" s="4" t="str">
        <f>IFERROR(__xludf.DUMMYFUNCTION("""COMPUTED_VALUE"""),"705 - Channel")</f>
        <v>705 - Channel</v>
      </c>
      <c r="B644" s="4" t="str">
        <f>IFERROR(__xludf.DUMMYFUNCTION("""COMPUTED_VALUE"""),"Channel 2")</f>
        <v>Channel 2</v>
      </c>
      <c r="C644" s="4" t="str">
        <f>IFERROR(__xludf.DUMMYFUNCTION("""COMPUTED_VALUE"""),"Day 3 - 25/06")</f>
        <v>Day 3 - 25/06</v>
      </c>
      <c r="D644" s="6">
        <f>IFERROR(__xludf.DUMMYFUNCTION("""COMPUTED_VALUE"""),0.5788425925925936)</f>
        <v>0.5788425926</v>
      </c>
      <c r="E644" s="6">
        <f>IFERROR(__xludf.DUMMYFUNCTION("""COMPUTED_VALUE"""),1.7361111111111112E-4)</f>
        <v>0.0001736111111</v>
      </c>
      <c r="F644" s="6">
        <f>IFERROR(__xludf.DUMMYFUNCTION("""COMPUTED_VALUE"""),0.5790162037037048)</f>
        <v>0.5790162037</v>
      </c>
      <c r="G644" s="4" t="str">
        <f>IFERROR(__xludf.DUMMYFUNCTION("""COMPUTED_VALUE"""),"Graphics")</f>
        <v>Graphics</v>
      </c>
      <c r="H644" s="4" t="str">
        <f>IFERROR(__xludf.DUMMYFUNCTION("""COMPUTED_VALUE"""),"")</f>
        <v/>
      </c>
      <c r="I644" s="4" t="str">
        <f>IFERROR(__xludf.DUMMYFUNCTION("""COMPUTED_VALUE"""),"")</f>
        <v/>
      </c>
      <c r="J644" s="4" t="str">
        <f>IFERROR(__xludf.DUMMYFUNCTION("""COMPUTED_VALUE"""),"Finance")</f>
        <v>Finance</v>
      </c>
      <c r="K644" s="4" t="str">
        <f>IFERROR(__xludf.DUMMYFUNCTION("""COMPUTED_VALUE"""),"Talk Outro")</f>
        <v>Talk Outro</v>
      </c>
      <c r="L644" s="4" t="str">
        <f>IFERROR(__xludf.DUMMYFUNCTION("""COMPUTED_VALUE"""),"")</f>
        <v/>
      </c>
      <c r="M644" s="4" t="str">
        <f>IFERROR(__xludf.DUMMYFUNCTION("""COMPUTED_VALUE"""),"Talk Outro")</f>
        <v>Talk Outro</v>
      </c>
      <c r="N644" s="4" t="str">
        <f>IFERROR(__xludf.DUMMYFUNCTION("""COMPUTED_VALUE"""),"")</f>
        <v/>
      </c>
      <c r="O644" s="4" t="str">
        <f>IFERROR(__xludf.DUMMYFUNCTION("""COMPUTED_VALUE"""),"")</f>
        <v/>
      </c>
      <c r="P644" s="4" t="str">
        <f>IFERROR(__xludf.DUMMYFUNCTION("""COMPUTED_VALUE"""),"")</f>
        <v/>
      </c>
      <c r="Q644" s="4" t="str">
        <f>IFERROR(__xludf.DUMMYFUNCTION("""COMPUTED_VALUE"""),"")</f>
        <v/>
      </c>
      <c r="R644" s="4" t="str">
        <f>IFERROR(__xludf.DUMMYFUNCTION("""COMPUTED_VALUE"""),"")</f>
        <v/>
      </c>
      <c r="S644" s="4" t="str">
        <f>IFERROR(__xludf.DUMMYFUNCTION("""COMPUTED_VALUE"""),"")</f>
        <v/>
      </c>
      <c r="T644" s="4" t="str">
        <f>IFERROR(__xludf.DUMMYFUNCTION("""COMPUTED_VALUE"""),"")</f>
        <v/>
      </c>
      <c r="U644" s="4" t="str">
        <f>IFERROR(__xludf.DUMMYFUNCTION("""COMPUTED_VALUE"""),"")</f>
        <v/>
      </c>
      <c r="V644" s="4" t="str">
        <f>IFERROR(__xludf.DUMMYFUNCTION("""COMPUTED_VALUE"""),"")</f>
        <v/>
      </c>
      <c r="W644" s="4" t="str">
        <f>IFERROR(__xludf.DUMMYFUNCTION("""COMPUTED_VALUE"""),"")</f>
        <v/>
      </c>
      <c r="X644" s="4" t="str">
        <f>IFERROR(__xludf.DUMMYFUNCTION("""COMPUTED_VALUE"""),"")</f>
        <v/>
      </c>
      <c r="Y644" s="4" t="str">
        <f>IFERROR(__xludf.DUMMYFUNCTION("""COMPUTED_VALUE"""),"")</f>
        <v/>
      </c>
    </row>
    <row r="645">
      <c r="A645" s="4" t="str">
        <f>IFERROR(__xludf.DUMMYFUNCTION("""COMPUTED_VALUE"""),"707 - Channel")</f>
        <v>707 - Channel</v>
      </c>
      <c r="B645" s="4" t="str">
        <f>IFERROR(__xludf.DUMMYFUNCTION("""COMPUTED_VALUE"""),"Channel 2")</f>
        <v>Channel 2</v>
      </c>
      <c r="C645" s="4" t="str">
        <f>IFERROR(__xludf.DUMMYFUNCTION("""COMPUTED_VALUE"""),"Day 3 - 25/06")</f>
        <v>Day 3 - 25/06</v>
      </c>
      <c r="D645" s="6">
        <f>IFERROR(__xludf.DUMMYFUNCTION("""COMPUTED_VALUE"""),0.5790162037037048)</f>
        <v>0.5790162037</v>
      </c>
      <c r="E645" s="6">
        <f>IFERROR(__xludf.DUMMYFUNCTION("""COMPUTED_VALUE"""),2.314814814814815E-4)</f>
        <v>0.0002314814815</v>
      </c>
      <c r="F645" s="6">
        <f>IFERROR(__xludf.DUMMYFUNCTION("""COMPUTED_VALUE"""),0.5792476851851862)</f>
        <v>0.5792476852</v>
      </c>
      <c r="G645" s="4" t="str">
        <f>IFERROR(__xludf.DUMMYFUNCTION("""COMPUTED_VALUE"""),"Graphics")</f>
        <v>Graphics</v>
      </c>
      <c r="H645" s="4" t="str">
        <f>IFERROR(__xludf.DUMMYFUNCTION("""COMPUTED_VALUE"""),"")</f>
        <v/>
      </c>
      <c r="I645" s="4" t="str">
        <f>IFERROR(__xludf.DUMMYFUNCTION("""COMPUTED_VALUE"""),"")</f>
        <v/>
      </c>
      <c r="J645" s="4" t="str">
        <f>IFERROR(__xludf.DUMMYFUNCTION("""COMPUTED_VALUE"""),"Finance")</f>
        <v>Finance</v>
      </c>
      <c r="K645" s="4" t="str">
        <f>IFERROR(__xludf.DUMMYFUNCTION("""COMPUTED_VALUE"""),"Talk Intro")</f>
        <v>Talk Intro</v>
      </c>
      <c r="L645" s="4" t="str">
        <f>IFERROR(__xludf.DUMMYFUNCTION("""COMPUTED_VALUE"""),"")</f>
        <v/>
      </c>
      <c r="M645" s="4" t="str">
        <f>IFERROR(__xludf.DUMMYFUNCTION("""COMPUTED_VALUE"""),"Talk Intro (Decreased in order to allow for overrun in talk duration)")</f>
        <v>Talk Intro (Decreased in order to allow for overrun in talk duration)</v>
      </c>
      <c r="N645" s="4" t="str">
        <f>IFERROR(__xludf.DUMMYFUNCTION("""COMPUTED_VALUE"""),"")</f>
        <v/>
      </c>
      <c r="O645" s="4" t="str">
        <f>IFERROR(__xludf.DUMMYFUNCTION("""COMPUTED_VALUE"""),"")</f>
        <v/>
      </c>
      <c r="P645" s="4" t="str">
        <f>IFERROR(__xludf.DUMMYFUNCTION("""COMPUTED_VALUE"""),"")</f>
        <v/>
      </c>
      <c r="Q645" s="4" t="str">
        <f>IFERROR(__xludf.DUMMYFUNCTION("""COMPUTED_VALUE"""),"")</f>
        <v/>
      </c>
      <c r="R645" s="4" t="str">
        <f>IFERROR(__xludf.DUMMYFUNCTION("""COMPUTED_VALUE"""),"")</f>
        <v/>
      </c>
      <c r="S645" s="4" t="str">
        <f>IFERROR(__xludf.DUMMYFUNCTION("""COMPUTED_VALUE"""),"")</f>
        <v/>
      </c>
      <c r="T645" s="4" t="str">
        <f>IFERROR(__xludf.DUMMYFUNCTION("""COMPUTED_VALUE"""),"")</f>
        <v/>
      </c>
      <c r="U645" s="4" t="str">
        <f>IFERROR(__xludf.DUMMYFUNCTION("""COMPUTED_VALUE"""),"")</f>
        <v/>
      </c>
      <c r="V645" s="4" t="str">
        <f>IFERROR(__xludf.DUMMYFUNCTION("""COMPUTED_VALUE"""),"")</f>
        <v/>
      </c>
      <c r="W645" s="4" t="str">
        <f>IFERROR(__xludf.DUMMYFUNCTION("""COMPUTED_VALUE"""),"")</f>
        <v/>
      </c>
      <c r="X645" s="4" t="str">
        <f>IFERROR(__xludf.DUMMYFUNCTION("""COMPUTED_VALUE"""),"")</f>
        <v/>
      </c>
      <c r="Y645" s="4" t="str">
        <f>IFERROR(__xludf.DUMMYFUNCTION("""COMPUTED_VALUE"""),"")</f>
        <v/>
      </c>
    </row>
    <row r="646">
      <c r="A646" s="4" t="str">
        <f>IFERROR(__xludf.DUMMYFUNCTION("""COMPUTED_VALUE"""),"708 - Channel")</f>
        <v>708 - Channel</v>
      </c>
      <c r="B646" s="4" t="str">
        <f>IFERROR(__xludf.DUMMYFUNCTION("""COMPUTED_VALUE"""),"Channel 2")</f>
        <v>Channel 2</v>
      </c>
      <c r="C646" s="4" t="str">
        <f>IFERROR(__xludf.DUMMYFUNCTION("""COMPUTED_VALUE"""),"Day 3 - 25/06")</f>
        <v>Day 3 - 25/06</v>
      </c>
      <c r="D646" s="6">
        <f>IFERROR(__xludf.DUMMYFUNCTION("""COMPUTED_VALUE"""),0.5792476851851862)</f>
        <v>0.5792476852</v>
      </c>
      <c r="E646" s="6">
        <f>IFERROR(__xludf.DUMMYFUNCTION("""COMPUTED_VALUE"""),0.0024421296296296296)</f>
        <v>0.00244212963</v>
      </c>
      <c r="F646" s="6">
        <f>IFERROR(__xludf.DUMMYFUNCTION("""COMPUTED_VALUE"""),0.5816898148148159)</f>
        <v>0.5816898148</v>
      </c>
      <c r="G646" s="4" t="str">
        <f>IFERROR(__xludf.DUMMYFUNCTION("""COMPUTED_VALUE"""),"Dan")</f>
        <v>Dan</v>
      </c>
      <c r="H646" s="4" t="str">
        <f>IFERROR(__xludf.DUMMYFUNCTION("""COMPUTED_VALUE"""),"N/A")</f>
        <v>N/A</v>
      </c>
      <c r="I646" s="4" t="str">
        <f>IFERROR(__xludf.DUMMYFUNCTION("""COMPUTED_VALUE"""),"Jack")</f>
        <v>Jack</v>
      </c>
      <c r="J646" s="4" t="str">
        <f>IFERROR(__xludf.DUMMYFUNCTION("""COMPUTED_VALUE"""),"Finance")</f>
        <v>Finance</v>
      </c>
      <c r="K646" s="4" t="str">
        <f>IFERROR(__xludf.DUMMYFUNCTION("""COMPUTED_VALUE"""),"Keynote")</f>
        <v>Keynote</v>
      </c>
      <c r="L646" s="4" t="str">
        <f>IFERROR(__xludf.DUMMYFUNCTION("""COMPUTED_VALUE"""),"T- 7 - 04/05/2020")</f>
        <v>T- 7 - 04/05/2020</v>
      </c>
      <c r="M646" s="4" t="str">
        <f>IFERROR(__xludf.DUMMYFUNCTION("""COMPUTED_VALUE"""),"The first million users")</f>
        <v>The first million users</v>
      </c>
      <c r="N646" s="4" t="str">
        <f>IFERROR(__xludf.DUMMYFUNCTION("""COMPUTED_VALUE"""),"Andrew Graham, Borrowell")</f>
        <v>Andrew Graham, Borrowell</v>
      </c>
      <c r="O646" s="4" t="str">
        <f>IFERROR(__xludf.DUMMYFUNCTION("""COMPUTED_VALUE"""),"")</f>
        <v/>
      </c>
      <c r="P646" s="4" t="str">
        <f>IFERROR(__xludf.DUMMYFUNCTION("""COMPUTED_VALUE"""),"")</f>
        <v/>
      </c>
      <c r="Q646" s="4" t="str">
        <f>IFERROR(__xludf.DUMMYFUNCTION("""COMPUTED_VALUE"""),"")</f>
        <v/>
      </c>
      <c r="R646" s="4" t="str">
        <f>IFERROR(__xludf.DUMMYFUNCTION("""COMPUTED_VALUE"""),"")</f>
        <v/>
      </c>
      <c r="S646" s="4" t="str">
        <f>IFERROR(__xludf.DUMMYFUNCTION("""COMPUTED_VALUE"""),"Hear Borrowell CEO Andrew Graham discuss the fintech's response to not getting enough traction on its paid product: creating a free one. Demand exploded. These are key lessons learned from that pivot.")</f>
        <v>Hear Borrowell CEO Andrew Graham discuss the fintech's response to not getting enough traction on its paid product: creating a free one. Demand exploded. These are key lessons learned from that pivot.</v>
      </c>
      <c r="T646" s="4" t="str">
        <f>IFERROR(__xludf.DUMMYFUNCTION("""COMPUTED_VALUE"""),"KEYNOTE 8 - COMPLETE")</f>
        <v>KEYNOTE 8 - COMPLETE</v>
      </c>
      <c r="U646" s="23">
        <f>IFERROR(__xludf.DUMMYFUNCTION("""COMPUTED_VALUE"""),43950.0)</f>
        <v>43950</v>
      </c>
      <c r="V646" s="24">
        <f>IFERROR(__xludf.DUMMYFUNCTION("""COMPUTED_VALUE"""),0.5833333333333334)</f>
        <v>0.5833333333</v>
      </c>
      <c r="W646" s="4" t="str">
        <f>IFERROR(__xludf.DUMMYFUNCTION("""COMPUTED_VALUE"""),"COMPLETE")</f>
        <v>COMPLETE</v>
      </c>
      <c r="X646" s="4" t="str">
        <f>IFERROR(__xludf.DUMMYFUNCTION("""COMPUTED_VALUE"""),"Dan")</f>
        <v>Dan</v>
      </c>
      <c r="Y646" s="4" t="str">
        <f>IFERROR(__xludf.DUMMYFUNCTION("""COMPUTED_VALUE"""),"4659494621911970800")</f>
        <v>4659494621911970800</v>
      </c>
    </row>
    <row r="647">
      <c r="A647" s="4" t="str">
        <f>IFERROR(__xludf.DUMMYFUNCTION("""COMPUTED_VALUE"""),"709 - Channel")</f>
        <v>709 - Channel</v>
      </c>
      <c r="B647" s="4" t="str">
        <f>IFERROR(__xludf.DUMMYFUNCTION("""COMPUTED_VALUE"""),"Channel 2")</f>
        <v>Channel 2</v>
      </c>
      <c r="C647" s="4" t="str">
        <f>IFERROR(__xludf.DUMMYFUNCTION("""COMPUTED_VALUE"""),"Day 3 - 25/06")</f>
        <v>Day 3 - 25/06</v>
      </c>
      <c r="D647" s="6">
        <f>IFERROR(__xludf.DUMMYFUNCTION("""COMPUTED_VALUE"""),0.5816898148148159)</f>
        <v>0.5816898148</v>
      </c>
      <c r="E647" s="6">
        <f>IFERROR(__xludf.DUMMYFUNCTION("""COMPUTED_VALUE"""),1.7361111111111112E-4)</f>
        <v>0.0001736111111</v>
      </c>
      <c r="F647" s="6">
        <f>IFERROR(__xludf.DUMMYFUNCTION("""COMPUTED_VALUE"""),0.581863425925927)</f>
        <v>0.5818634259</v>
      </c>
      <c r="G647" s="4" t="str">
        <f>IFERROR(__xludf.DUMMYFUNCTION("""COMPUTED_VALUE"""),"Graphics")</f>
        <v>Graphics</v>
      </c>
      <c r="H647" s="4" t="str">
        <f>IFERROR(__xludf.DUMMYFUNCTION("""COMPUTED_VALUE"""),"")</f>
        <v/>
      </c>
      <c r="I647" s="4" t="str">
        <f>IFERROR(__xludf.DUMMYFUNCTION("""COMPUTED_VALUE"""),"")</f>
        <v/>
      </c>
      <c r="J647" s="4" t="str">
        <f>IFERROR(__xludf.DUMMYFUNCTION("""COMPUTED_VALUE"""),"Finance")</f>
        <v>Finance</v>
      </c>
      <c r="K647" s="4" t="str">
        <f>IFERROR(__xludf.DUMMYFUNCTION("""COMPUTED_VALUE"""),"Talk Outro")</f>
        <v>Talk Outro</v>
      </c>
      <c r="L647" s="4" t="str">
        <f>IFERROR(__xludf.DUMMYFUNCTION("""COMPUTED_VALUE"""),"")</f>
        <v/>
      </c>
      <c r="M647" s="4" t="str">
        <f>IFERROR(__xludf.DUMMYFUNCTION("""COMPUTED_VALUE"""),"Talk Outro")</f>
        <v>Talk Outro</v>
      </c>
      <c r="N647" s="4" t="str">
        <f>IFERROR(__xludf.DUMMYFUNCTION("""COMPUTED_VALUE"""),"")</f>
        <v/>
      </c>
      <c r="O647" s="4" t="str">
        <f>IFERROR(__xludf.DUMMYFUNCTION("""COMPUTED_VALUE"""),"")</f>
        <v/>
      </c>
      <c r="P647" s="4" t="str">
        <f>IFERROR(__xludf.DUMMYFUNCTION("""COMPUTED_VALUE"""),"")</f>
        <v/>
      </c>
      <c r="Q647" s="4" t="str">
        <f>IFERROR(__xludf.DUMMYFUNCTION("""COMPUTED_VALUE"""),"")</f>
        <v/>
      </c>
      <c r="R647" s="4" t="str">
        <f>IFERROR(__xludf.DUMMYFUNCTION("""COMPUTED_VALUE"""),"")</f>
        <v/>
      </c>
      <c r="S647" s="4" t="str">
        <f>IFERROR(__xludf.DUMMYFUNCTION("""COMPUTED_VALUE"""),"")</f>
        <v/>
      </c>
      <c r="T647" s="4" t="str">
        <f>IFERROR(__xludf.DUMMYFUNCTION("""COMPUTED_VALUE"""),"")</f>
        <v/>
      </c>
      <c r="U647" s="4" t="str">
        <f>IFERROR(__xludf.DUMMYFUNCTION("""COMPUTED_VALUE"""),"")</f>
        <v/>
      </c>
      <c r="V647" s="4" t="str">
        <f>IFERROR(__xludf.DUMMYFUNCTION("""COMPUTED_VALUE"""),"")</f>
        <v/>
      </c>
      <c r="W647" s="4" t="str">
        <f>IFERROR(__xludf.DUMMYFUNCTION("""COMPUTED_VALUE"""),"")</f>
        <v/>
      </c>
      <c r="X647" s="4" t="str">
        <f>IFERROR(__xludf.DUMMYFUNCTION("""COMPUTED_VALUE"""),"")</f>
        <v/>
      </c>
      <c r="Y647" s="4" t="str">
        <f>IFERROR(__xludf.DUMMYFUNCTION("""COMPUTED_VALUE"""),"")</f>
        <v/>
      </c>
    </row>
    <row r="648">
      <c r="A648" s="4" t="str">
        <f>IFERROR(__xludf.DUMMYFUNCTION("""COMPUTED_VALUE"""),"710 - Channel")</f>
        <v>710 - Channel</v>
      </c>
      <c r="B648" s="4" t="str">
        <f>IFERROR(__xludf.DUMMYFUNCTION("""COMPUTED_VALUE"""),"Channel 2")</f>
        <v>Channel 2</v>
      </c>
      <c r="C648" s="4" t="str">
        <f>IFERROR(__xludf.DUMMYFUNCTION("""COMPUTED_VALUE"""),"Day 3 - 25/06")</f>
        <v>Day 3 - 25/06</v>
      </c>
      <c r="D648" s="4" t="str">
        <f>IFERROR(__xludf.DUMMYFUNCTION("""COMPUTED_VALUE"""),"")</f>
        <v/>
      </c>
      <c r="E648" s="4" t="str">
        <f>IFERROR(__xludf.DUMMYFUNCTION("""COMPUTED_VALUE"""),"")</f>
        <v/>
      </c>
      <c r="F648" s="4" t="str">
        <f>IFERROR(__xludf.DUMMYFUNCTION("""COMPUTED_VALUE"""),"")</f>
        <v/>
      </c>
      <c r="G648" s="4" t="str">
        <f>IFERROR(__xludf.DUMMYFUNCTION("""COMPUTED_VALUE"""),"")</f>
        <v/>
      </c>
      <c r="H648" s="4" t="str">
        <f>IFERROR(__xludf.DUMMYFUNCTION("""COMPUTED_VALUE"""),"")</f>
        <v/>
      </c>
      <c r="I648" s="4" t="str">
        <f>IFERROR(__xludf.DUMMYFUNCTION("""COMPUTED_VALUE"""),"")</f>
        <v/>
      </c>
      <c r="J648" s="4" t="str">
        <f>IFERROR(__xludf.DUMMYFUNCTION("""COMPUTED_VALUE"""),"")</f>
        <v/>
      </c>
      <c r="K648" s="4" t="str">
        <f>IFERROR(__xludf.DUMMYFUNCTION("""COMPUTED_VALUE"""),"")</f>
        <v/>
      </c>
      <c r="L648" s="4" t="str">
        <f>IFERROR(__xludf.DUMMYFUNCTION("""COMPUTED_VALUE"""),"")</f>
        <v/>
      </c>
      <c r="M648" s="4" t="str">
        <f>IFERROR(__xludf.DUMMYFUNCTION("""COMPUTED_VALUE"""),"")</f>
        <v/>
      </c>
      <c r="N648" s="4" t="str">
        <f>IFERROR(__xludf.DUMMYFUNCTION("""COMPUTED_VALUE"""),"")</f>
        <v/>
      </c>
      <c r="O648" s="4" t="str">
        <f>IFERROR(__xludf.DUMMYFUNCTION("""COMPUTED_VALUE"""),"")</f>
        <v/>
      </c>
      <c r="P648" s="4" t="str">
        <f>IFERROR(__xludf.DUMMYFUNCTION("""COMPUTED_VALUE"""),"")</f>
        <v/>
      </c>
      <c r="Q648" s="4" t="str">
        <f>IFERROR(__xludf.DUMMYFUNCTION("""COMPUTED_VALUE"""),"")</f>
        <v/>
      </c>
      <c r="R648" s="4" t="str">
        <f>IFERROR(__xludf.DUMMYFUNCTION("""COMPUTED_VALUE"""),"")</f>
        <v/>
      </c>
      <c r="S648" s="4" t="str">
        <f>IFERROR(__xludf.DUMMYFUNCTION("""COMPUTED_VALUE"""),"")</f>
        <v/>
      </c>
      <c r="T648" s="4" t="str">
        <f>IFERROR(__xludf.DUMMYFUNCTION("""COMPUTED_VALUE"""),"")</f>
        <v/>
      </c>
      <c r="U648" s="4" t="str">
        <f>IFERROR(__xludf.DUMMYFUNCTION("""COMPUTED_VALUE"""),"")</f>
        <v/>
      </c>
      <c r="V648" s="4" t="str">
        <f>IFERROR(__xludf.DUMMYFUNCTION("""COMPUTED_VALUE"""),"")</f>
        <v/>
      </c>
      <c r="W648" s="4" t="str">
        <f>IFERROR(__xludf.DUMMYFUNCTION("""COMPUTED_VALUE"""),"")</f>
        <v/>
      </c>
      <c r="X648" s="4" t="str">
        <f>IFERROR(__xludf.DUMMYFUNCTION("""COMPUTED_VALUE"""),"")</f>
        <v/>
      </c>
      <c r="Y648" s="4" t="str">
        <f>IFERROR(__xludf.DUMMYFUNCTION("""COMPUTED_VALUE"""),"")</f>
        <v/>
      </c>
    </row>
    <row r="649">
      <c r="A649" s="4" t="str">
        <f>IFERROR(__xludf.DUMMYFUNCTION("""COMPUTED_VALUE"""),"712 - Channel")</f>
        <v>712 - Channel</v>
      </c>
      <c r="B649" s="4" t="str">
        <f>IFERROR(__xludf.DUMMYFUNCTION("""COMPUTED_VALUE"""),"Channel 2")</f>
        <v>Channel 2</v>
      </c>
      <c r="C649" s="4" t="str">
        <f>IFERROR(__xludf.DUMMYFUNCTION("""COMPUTED_VALUE"""),"Day 3 - 25/06")</f>
        <v>Day 3 - 25/06</v>
      </c>
      <c r="D649" s="6">
        <f>IFERROR(__xludf.DUMMYFUNCTION("""COMPUTED_VALUE"""),0.581863425925927)</f>
        <v>0.5818634259</v>
      </c>
      <c r="E649" s="6">
        <f>IFERROR(__xludf.DUMMYFUNCTION("""COMPUTED_VALUE"""),3.4722222222222224E-4)</f>
        <v>0.0003472222222</v>
      </c>
      <c r="F649" s="6">
        <f>IFERROR(__xludf.DUMMYFUNCTION("""COMPUTED_VALUE"""),0.5822106481481493)</f>
        <v>0.5822106481</v>
      </c>
      <c r="G649" s="4" t="str">
        <f>IFERROR(__xludf.DUMMYFUNCTION("""COMPUTED_VALUE"""),"Graphics")</f>
        <v>Graphics</v>
      </c>
      <c r="H649" s="4" t="str">
        <f>IFERROR(__xludf.DUMMYFUNCTION("""COMPUTED_VALUE"""),"")</f>
        <v/>
      </c>
      <c r="I649" s="4" t="str">
        <f>IFERROR(__xludf.DUMMYFUNCTION("""COMPUTED_VALUE"""),"")</f>
        <v/>
      </c>
      <c r="J649" s="4" t="str">
        <f>IFERROR(__xludf.DUMMYFUNCTION("""COMPUTED_VALUE"""),"Climate")</f>
        <v>Climate</v>
      </c>
      <c r="K649" s="4" t="str">
        <f>IFERROR(__xludf.DUMMYFUNCTION("""COMPUTED_VALUE"""),"Talk Intro")</f>
        <v>Talk Intro</v>
      </c>
      <c r="L649" s="4" t="str">
        <f>IFERROR(__xludf.DUMMYFUNCTION("""COMPUTED_VALUE"""),"")</f>
        <v/>
      </c>
      <c r="M649" s="4" t="str">
        <f>IFERROR(__xludf.DUMMYFUNCTION("""COMPUTED_VALUE"""),"Talk Intro")</f>
        <v>Talk Intro</v>
      </c>
      <c r="N649" s="4" t="str">
        <f>IFERROR(__xludf.DUMMYFUNCTION("""COMPUTED_VALUE"""),"")</f>
        <v/>
      </c>
      <c r="O649" s="4" t="str">
        <f>IFERROR(__xludf.DUMMYFUNCTION("""COMPUTED_VALUE"""),"")</f>
        <v/>
      </c>
      <c r="P649" s="4" t="str">
        <f>IFERROR(__xludf.DUMMYFUNCTION("""COMPUTED_VALUE"""),"")</f>
        <v/>
      </c>
      <c r="Q649" s="4" t="str">
        <f>IFERROR(__xludf.DUMMYFUNCTION("""COMPUTED_VALUE"""),"")</f>
        <v/>
      </c>
      <c r="R649" s="4" t="str">
        <f>IFERROR(__xludf.DUMMYFUNCTION("""COMPUTED_VALUE"""),"")</f>
        <v/>
      </c>
      <c r="S649" s="4" t="str">
        <f>IFERROR(__xludf.DUMMYFUNCTION("""COMPUTED_VALUE"""),"")</f>
        <v/>
      </c>
      <c r="T649" s="4" t="str">
        <f>IFERROR(__xludf.DUMMYFUNCTION("""COMPUTED_VALUE"""),"")</f>
        <v/>
      </c>
      <c r="U649" s="4" t="str">
        <f>IFERROR(__xludf.DUMMYFUNCTION("""COMPUTED_VALUE"""),"")</f>
        <v/>
      </c>
      <c r="V649" s="4" t="str">
        <f>IFERROR(__xludf.DUMMYFUNCTION("""COMPUTED_VALUE"""),"")</f>
        <v/>
      </c>
      <c r="W649" s="4" t="str">
        <f>IFERROR(__xludf.DUMMYFUNCTION("""COMPUTED_VALUE"""),"")</f>
        <v/>
      </c>
      <c r="X649" s="4" t="str">
        <f>IFERROR(__xludf.DUMMYFUNCTION("""COMPUTED_VALUE"""),"")</f>
        <v/>
      </c>
      <c r="Y649" s="4" t="str">
        <f>IFERROR(__xludf.DUMMYFUNCTION("""COMPUTED_VALUE"""),"")</f>
        <v/>
      </c>
    </row>
    <row r="650">
      <c r="A650" s="4" t="str">
        <f>IFERROR(__xludf.DUMMYFUNCTION("""COMPUTED_VALUE"""),"713 - Channel")</f>
        <v>713 - Channel</v>
      </c>
      <c r="B650" s="4" t="str">
        <f>IFERROR(__xludf.DUMMYFUNCTION("""COMPUTED_VALUE"""),"Channel 2")</f>
        <v>Channel 2</v>
      </c>
      <c r="C650" s="4" t="str">
        <f>IFERROR(__xludf.DUMMYFUNCTION("""COMPUTED_VALUE"""),"Day 3 - 25/06")</f>
        <v>Day 3 - 25/06</v>
      </c>
      <c r="D650" s="6">
        <f>IFERROR(__xludf.DUMMYFUNCTION("""COMPUTED_VALUE"""),0.5822106481481493)</f>
        <v>0.5822106481</v>
      </c>
      <c r="E650" s="6">
        <f>IFERROR(__xludf.DUMMYFUNCTION("""COMPUTED_VALUE"""),0.0096875)</f>
        <v>0.0096875</v>
      </c>
      <c r="F650" s="6">
        <f>IFERROR(__xludf.DUMMYFUNCTION("""COMPUTED_VALUE"""),0.5918981481481492)</f>
        <v>0.5918981481</v>
      </c>
      <c r="G650" s="4" t="str">
        <f>IFERROR(__xludf.DUMMYFUNCTION("""COMPUTED_VALUE"""),"Lucia G.")</f>
        <v>Lucia G.</v>
      </c>
      <c r="H650" s="4" t="str">
        <f>IFERROR(__xludf.DUMMYFUNCTION("""COMPUTED_VALUE"""),"Shauna")</f>
        <v>Shauna</v>
      </c>
      <c r="I650" s="4" t="str">
        <f>IFERROR(__xludf.DUMMYFUNCTION("""COMPUTED_VALUE"""),"Jack")</f>
        <v>Jack</v>
      </c>
      <c r="J650" s="4" t="str">
        <f>IFERROR(__xludf.DUMMYFUNCTION("""COMPUTED_VALUE"""),"Climate")</f>
        <v>Climate</v>
      </c>
      <c r="K650" s="4" t="str">
        <f>IFERROR(__xludf.DUMMYFUNCTION("""COMPUTED_VALUE"""),"Panel")</f>
        <v>Panel</v>
      </c>
      <c r="L650" s="4" t="str">
        <f>IFERROR(__xludf.DUMMYFUNCTION("""COMPUTED_VALUE"""),"T- 5 - 18/05/2020")</f>
        <v>T- 5 - 18/05/2020</v>
      </c>
      <c r="M650" s="4" t="str">
        <f>IFERROR(__xludf.DUMMYFUNCTION("""COMPUTED_VALUE"""),"Can designers save the world?")</f>
        <v>Can designers save the world?</v>
      </c>
      <c r="N650" s="4" t="str">
        <f>IFERROR(__xludf.DUMMYFUNCTION("""COMPUTED_VALUE"""),"Karin Hibma, CRONAN")</f>
        <v>Karin Hibma, CRONAN</v>
      </c>
      <c r="O650" s="4" t="str">
        <f>IFERROR(__xludf.DUMMYFUNCTION("""COMPUTED_VALUE"""),"Karen Hofmann, ArtCenter College of Design")</f>
        <v>Karen Hofmann, ArtCenter College of Design</v>
      </c>
      <c r="P650" s="4" t="str">
        <f>IFERROR(__xludf.DUMMYFUNCTION("""COMPUTED_VALUE"""),"Elizabeth Heider, Skanska USA Inc.")</f>
        <v>Elizabeth Heider, Skanska USA Inc.</v>
      </c>
      <c r="Q650" s="4" t="str">
        <f>IFERROR(__xludf.DUMMYFUNCTION("""COMPUTED_VALUE"""),"")</f>
        <v/>
      </c>
      <c r="R650" s="4" t="str">
        <f>IFERROR(__xludf.DUMMYFUNCTION("""COMPUTED_VALUE"""),"Mark Russell, British Vogue")</f>
        <v>Mark Russell, British Vogue</v>
      </c>
      <c r="S650" s="4" t="str">
        <f>IFERROR(__xludf.DUMMYFUNCTION("""COMPUTED_VALUE"""),"Climate crisis, Covid-19, an ageing population... The world is facing an ever-growing list of problems that designers can play a critical role in solving. Meet leaders from three different industries who will offer their unique perspectives on where we ca"&amp;"n go from here.")</f>
        <v>Climate crisis, Covid-19, an ageing population... The world is facing an ever-growing list of problems that designers can play a critical role in solving. Meet leaders from three different industries who will offer their unique perspectives on where we can go from here.</v>
      </c>
      <c r="T650" s="4" t="str">
        <f>IFERROR(__xludf.DUMMYFUNCTION("""COMPUTED_VALUE"""),"NON-KEYNOTE 9 - COMPLETE")</f>
        <v>NON-KEYNOTE 9 - COMPLETE</v>
      </c>
      <c r="U650" s="23">
        <f>IFERROR(__xludf.DUMMYFUNCTION("""COMPUTED_VALUE"""),43969.0)</f>
        <v>43969</v>
      </c>
      <c r="V650" s="24">
        <f>IFERROR(__xludf.DUMMYFUNCTION("""COMPUTED_VALUE"""),0.7083333333333334)</f>
        <v>0.7083333333</v>
      </c>
      <c r="W650" s="4" t="str">
        <f>IFERROR(__xludf.DUMMYFUNCTION("""COMPUTED_VALUE"""),"COMPLETE")</f>
        <v>COMPLETE</v>
      </c>
      <c r="X650" s="4" t="str">
        <f>IFERROR(__xludf.DUMMYFUNCTION("""COMPUTED_VALUE"""),"Lucia G.")</f>
        <v>Lucia G.</v>
      </c>
      <c r="Y650" s="4" t="str">
        <f>IFERROR(__xludf.DUMMYFUNCTION("""COMPUTED_VALUE"""),"")</f>
        <v/>
      </c>
    </row>
    <row r="651">
      <c r="A651" s="4" t="str">
        <f>IFERROR(__xludf.DUMMYFUNCTION("""COMPUTED_VALUE"""),"714 - Channel")</f>
        <v>714 - Channel</v>
      </c>
      <c r="B651" s="4" t="str">
        <f>IFERROR(__xludf.DUMMYFUNCTION("""COMPUTED_VALUE"""),"Channel 2")</f>
        <v>Channel 2</v>
      </c>
      <c r="C651" s="4" t="str">
        <f>IFERROR(__xludf.DUMMYFUNCTION("""COMPUTED_VALUE"""),"Day 3 - 25/06")</f>
        <v>Day 3 - 25/06</v>
      </c>
      <c r="D651" s="6">
        <f>IFERROR(__xludf.DUMMYFUNCTION("""COMPUTED_VALUE"""),0.5918981481481492)</f>
        <v>0.5918981481</v>
      </c>
      <c r="E651" s="6">
        <f>IFERROR(__xludf.DUMMYFUNCTION("""COMPUTED_VALUE"""),1.7361111111111112E-4)</f>
        <v>0.0001736111111</v>
      </c>
      <c r="F651" s="6">
        <f>IFERROR(__xludf.DUMMYFUNCTION("""COMPUTED_VALUE"""),0.5920717592592604)</f>
        <v>0.5920717593</v>
      </c>
      <c r="G651" s="4" t="str">
        <f>IFERROR(__xludf.DUMMYFUNCTION("""COMPUTED_VALUE"""),"Graphics")</f>
        <v>Graphics</v>
      </c>
      <c r="H651" s="4" t="str">
        <f>IFERROR(__xludf.DUMMYFUNCTION("""COMPUTED_VALUE"""),"")</f>
        <v/>
      </c>
      <c r="I651" s="4" t="str">
        <f>IFERROR(__xludf.DUMMYFUNCTION("""COMPUTED_VALUE"""),"")</f>
        <v/>
      </c>
      <c r="J651" s="4" t="str">
        <f>IFERROR(__xludf.DUMMYFUNCTION("""COMPUTED_VALUE"""),"Climate")</f>
        <v>Climate</v>
      </c>
      <c r="K651" s="4" t="str">
        <f>IFERROR(__xludf.DUMMYFUNCTION("""COMPUTED_VALUE"""),"Talk Outro")</f>
        <v>Talk Outro</v>
      </c>
      <c r="L651" s="4" t="str">
        <f>IFERROR(__xludf.DUMMYFUNCTION("""COMPUTED_VALUE"""),"")</f>
        <v/>
      </c>
      <c r="M651" s="4" t="str">
        <f>IFERROR(__xludf.DUMMYFUNCTION("""COMPUTED_VALUE"""),"Talk Outro")</f>
        <v>Talk Outro</v>
      </c>
      <c r="N651" s="4" t="str">
        <f>IFERROR(__xludf.DUMMYFUNCTION("""COMPUTED_VALUE"""),"")</f>
        <v/>
      </c>
      <c r="O651" s="4" t="str">
        <f>IFERROR(__xludf.DUMMYFUNCTION("""COMPUTED_VALUE"""),"")</f>
        <v/>
      </c>
      <c r="P651" s="4" t="str">
        <f>IFERROR(__xludf.DUMMYFUNCTION("""COMPUTED_VALUE"""),"")</f>
        <v/>
      </c>
      <c r="Q651" s="4" t="str">
        <f>IFERROR(__xludf.DUMMYFUNCTION("""COMPUTED_VALUE"""),"")</f>
        <v/>
      </c>
      <c r="R651" s="4" t="str">
        <f>IFERROR(__xludf.DUMMYFUNCTION("""COMPUTED_VALUE"""),"")</f>
        <v/>
      </c>
      <c r="S651" s="4" t="str">
        <f>IFERROR(__xludf.DUMMYFUNCTION("""COMPUTED_VALUE"""),"")</f>
        <v/>
      </c>
      <c r="T651" s="4" t="str">
        <f>IFERROR(__xludf.DUMMYFUNCTION("""COMPUTED_VALUE"""),"")</f>
        <v/>
      </c>
      <c r="U651" s="4" t="str">
        <f>IFERROR(__xludf.DUMMYFUNCTION("""COMPUTED_VALUE"""),"")</f>
        <v/>
      </c>
      <c r="V651" s="4" t="str">
        <f>IFERROR(__xludf.DUMMYFUNCTION("""COMPUTED_VALUE"""),"")</f>
        <v/>
      </c>
      <c r="W651" s="4" t="str">
        <f>IFERROR(__xludf.DUMMYFUNCTION("""COMPUTED_VALUE"""),"")</f>
        <v/>
      </c>
      <c r="X651" s="4" t="str">
        <f>IFERROR(__xludf.DUMMYFUNCTION("""COMPUTED_VALUE"""),"")</f>
        <v/>
      </c>
      <c r="Y651" s="4" t="str">
        <f>IFERROR(__xludf.DUMMYFUNCTION("""COMPUTED_VALUE"""),"")</f>
        <v/>
      </c>
    </row>
    <row r="652">
      <c r="A652" s="4" t="str">
        <f>IFERROR(__xludf.DUMMYFUNCTION("""COMPUTED_VALUE"""),"715 - Channel")</f>
        <v>715 - Channel</v>
      </c>
      <c r="B652" s="4" t="str">
        <f>IFERROR(__xludf.DUMMYFUNCTION("""COMPUTED_VALUE"""),"Channel 2")</f>
        <v>Channel 2</v>
      </c>
      <c r="C652" s="4" t="str">
        <f>IFERROR(__xludf.DUMMYFUNCTION("""COMPUTED_VALUE"""),"Day 3 - 25/06")</f>
        <v>Day 3 - 25/06</v>
      </c>
      <c r="D652" s="6">
        <f>IFERROR(__xludf.DUMMYFUNCTION("""COMPUTED_VALUE"""),0.5920717592592604)</f>
        <v>0.5920717593</v>
      </c>
      <c r="E652" s="6">
        <f>IFERROR(__xludf.DUMMYFUNCTION("""COMPUTED_VALUE"""),3.4722222222222224E-4)</f>
        <v>0.0003472222222</v>
      </c>
      <c r="F652" s="6">
        <f>IFERROR(__xludf.DUMMYFUNCTION("""COMPUTED_VALUE"""),0.5924189814814826)</f>
        <v>0.5924189815</v>
      </c>
      <c r="G652" s="4" t="str">
        <f>IFERROR(__xludf.DUMMYFUNCTION("""COMPUTED_VALUE"""),"Graphics")</f>
        <v>Graphics</v>
      </c>
      <c r="H652" s="4" t="str">
        <f>IFERROR(__xludf.DUMMYFUNCTION("""COMPUTED_VALUE"""),"")</f>
        <v/>
      </c>
      <c r="I652" s="4" t="str">
        <f>IFERROR(__xludf.DUMMYFUNCTION("""COMPUTED_VALUE"""),"")</f>
        <v/>
      </c>
      <c r="J652" s="4" t="str">
        <f>IFERROR(__xludf.DUMMYFUNCTION("""COMPUTED_VALUE"""),"Climate")</f>
        <v>Climate</v>
      </c>
      <c r="K652" s="4" t="str">
        <f>IFERROR(__xludf.DUMMYFUNCTION("""COMPUTED_VALUE"""),"Talk Intro")</f>
        <v>Talk Intro</v>
      </c>
      <c r="L652" s="4" t="str">
        <f>IFERROR(__xludf.DUMMYFUNCTION("""COMPUTED_VALUE"""),"")</f>
        <v/>
      </c>
      <c r="M652" s="4" t="str">
        <f>IFERROR(__xludf.DUMMYFUNCTION("""COMPUTED_VALUE"""),"Talk Intro")</f>
        <v>Talk Intro</v>
      </c>
      <c r="N652" s="4" t="str">
        <f>IFERROR(__xludf.DUMMYFUNCTION("""COMPUTED_VALUE"""),"")</f>
        <v/>
      </c>
      <c r="O652" s="4" t="str">
        <f>IFERROR(__xludf.DUMMYFUNCTION("""COMPUTED_VALUE"""),"")</f>
        <v/>
      </c>
      <c r="P652" s="4" t="str">
        <f>IFERROR(__xludf.DUMMYFUNCTION("""COMPUTED_VALUE"""),"")</f>
        <v/>
      </c>
      <c r="Q652" s="4" t="str">
        <f>IFERROR(__xludf.DUMMYFUNCTION("""COMPUTED_VALUE"""),"")</f>
        <v/>
      </c>
      <c r="R652" s="4" t="str">
        <f>IFERROR(__xludf.DUMMYFUNCTION("""COMPUTED_VALUE"""),"")</f>
        <v/>
      </c>
      <c r="S652" s="4" t="str">
        <f>IFERROR(__xludf.DUMMYFUNCTION("""COMPUTED_VALUE"""),"")</f>
        <v/>
      </c>
      <c r="T652" s="4" t="str">
        <f>IFERROR(__xludf.DUMMYFUNCTION("""COMPUTED_VALUE"""),"")</f>
        <v/>
      </c>
      <c r="U652" s="4" t="str">
        <f>IFERROR(__xludf.DUMMYFUNCTION("""COMPUTED_VALUE"""),"")</f>
        <v/>
      </c>
      <c r="V652" s="4" t="str">
        <f>IFERROR(__xludf.DUMMYFUNCTION("""COMPUTED_VALUE"""),"")</f>
        <v/>
      </c>
      <c r="W652" s="4" t="str">
        <f>IFERROR(__xludf.DUMMYFUNCTION("""COMPUTED_VALUE"""),"")</f>
        <v/>
      </c>
      <c r="X652" s="4" t="str">
        <f>IFERROR(__xludf.DUMMYFUNCTION("""COMPUTED_VALUE"""),"")</f>
        <v/>
      </c>
      <c r="Y652" s="4" t="str">
        <f>IFERROR(__xludf.DUMMYFUNCTION("""COMPUTED_VALUE"""),"")</f>
        <v/>
      </c>
    </row>
    <row r="653">
      <c r="A653" s="4" t="str">
        <f>IFERROR(__xludf.DUMMYFUNCTION("""COMPUTED_VALUE"""),"716 - Channel")</f>
        <v>716 - Channel</v>
      </c>
      <c r="B653" s="4" t="str">
        <f>IFERROR(__xludf.DUMMYFUNCTION("""COMPUTED_VALUE"""),"Channel 2")</f>
        <v>Channel 2</v>
      </c>
      <c r="C653" s="4" t="str">
        <f>IFERROR(__xludf.DUMMYFUNCTION("""COMPUTED_VALUE"""),"Day 3 - 25/06")</f>
        <v>Day 3 - 25/06</v>
      </c>
      <c r="D653" s="6">
        <f>IFERROR(__xludf.DUMMYFUNCTION("""COMPUTED_VALUE"""),0.5924189814814826)</f>
        <v>0.5924189815</v>
      </c>
      <c r="E653" s="6">
        <f>IFERROR(__xludf.DUMMYFUNCTION("""COMPUTED_VALUE"""),0.014085648148148147)</f>
        <v>0.01408564815</v>
      </c>
      <c r="F653" s="6">
        <f>IFERROR(__xludf.DUMMYFUNCTION("""COMPUTED_VALUE"""),0.6065046296296308)</f>
        <v>0.6065046296</v>
      </c>
      <c r="G653" s="4" t="str">
        <f>IFERROR(__xludf.DUMMYFUNCTION("""COMPUTED_VALUE"""),"Luan")</f>
        <v>Luan</v>
      </c>
      <c r="H653" s="4" t="str">
        <f>IFERROR(__xludf.DUMMYFUNCTION("""COMPUTED_VALUE"""),"Eoghan")</f>
        <v>Eoghan</v>
      </c>
      <c r="I653" s="4" t="str">
        <f>IFERROR(__xludf.DUMMYFUNCTION("""COMPUTED_VALUE"""),"Manon")</f>
        <v>Manon</v>
      </c>
      <c r="J653" s="4" t="str">
        <f>IFERROR(__xludf.DUMMYFUNCTION("""COMPUTED_VALUE"""),"Climate")</f>
        <v>Climate</v>
      </c>
      <c r="K653" s="4" t="str">
        <f>IFERROR(__xludf.DUMMYFUNCTION("""COMPUTED_VALUE"""),"Super Fireside")</f>
        <v>Super Fireside</v>
      </c>
      <c r="L653" s="4" t="str">
        <f>IFERROR(__xludf.DUMMYFUNCTION("""COMPUTED_VALUE"""),"T- 7 - 04/05/2020")</f>
        <v>T- 7 - 04/05/2020</v>
      </c>
      <c r="M653" s="4" t="str">
        <f>IFERROR(__xludf.DUMMYFUNCTION("""COMPUTED_VALUE"""),"The Lion's Share: Protecting our endangered species")</f>
        <v>The Lion's Share: Protecting our endangered species</v>
      </c>
      <c r="N653" s="4" t="str">
        <f>IFERROR(__xludf.DUMMYFUNCTION("""COMPUTED_VALUE"""),"Nikolaj Coster-Waldau, Nikolaj Coster-Waldau")</f>
        <v>Nikolaj Coster-Waldau, Nikolaj Coster-Waldau</v>
      </c>
      <c r="O653" s="4" t="str">
        <f>IFERROR(__xludf.DUMMYFUNCTION("""COMPUTED_VALUE"""),"Achim Steiner, UNDP")</f>
        <v>Achim Steiner, UNDP</v>
      </c>
      <c r="P653" s="4" t="str">
        <f>IFERROR(__xludf.DUMMYFUNCTION("""COMPUTED_VALUE"""),"")</f>
        <v/>
      </c>
      <c r="Q653" s="4" t="str">
        <f>IFERROR(__xludf.DUMMYFUNCTION("""COMPUTED_VALUE"""),"")</f>
        <v/>
      </c>
      <c r="R653" s="4" t="str">
        <f>IFERROR(__xludf.DUMMYFUNCTION("""COMPUTED_VALUE"""),"Ana Kasparian, The Young Turks")</f>
        <v>Ana Kasparian, The Young Turks</v>
      </c>
      <c r="S653" s="4" t="str">
        <f>IFERROR(__xludf.DUMMYFUNCTION("""COMPUTED_VALUE"""),"The king slayer is here to tell us how to protect the world's endangered species. The UN is joining forces with some of the biggest brands in the world to make sure humankind pays its debts. ")</f>
        <v>The king slayer is here to tell us how to protect the world's endangered species. The UN is joining forces with some of the biggest brands in the world to make sure humankind pays its debts. </v>
      </c>
      <c r="T653" s="4" t="str">
        <f>IFERROR(__xludf.DUMMYFUNCTION("""COMPUTED_VALUE"""),"NON-KEYNOTE 9 - COMPLETE")</f>
        <v>NON-KEYNOTE 9 - COMPLETE</v>
      </c>
      <c r="U653" s="23">
        <f>IFERROR(__xludf.DUMMYFUNCTION("""COMPUTED_VALUE"""),43957.0)</f>
        <v>43957</v>
      </c>
      <c r="V653" s="24">
        <f>IFERROR(__xludf.DUMMYFUNCTION("""COMPUTED_VALUE"""),0.7083333333333334)</f>
        <v>0.7083333333</v>
      </c>
      <c r="W653" s="4" t="str">
        <f>IFERROR(__xludf.DUMMYFUNCTION("""COMPUTED_VALUE"""),"COMPLETE")</f>
        <v>COMPLETE</v>
      </c>
      <c r="X653" s="4" t="str">
        <f>IFERROR(__xludf.DUMMYFUNCTION("""COMPUTED_VALUE"""),"Luan")</f>
        <v>Luan</v>
      </c>
      <c r="Y653" s="4" t="str">
        <f>IFERROR(__xludf.DUMMYFUNCTION("""COMPUTED_VALUE"""),"")</f>
        <v/>
      </c>
    </row>
    <row r="654">
      <c r="A654" s="4" t="str">
        <f>IFERROR(__xludf.DUMMYFUNCTION("""COMPUTED_VALUE"""),"717 - Channel")</f>
        <v>717 - Channel</v>
      </c>
      <c r="B654" s="4" t="str">
        <f>IFERROR(__xludf.DUMMYFUNCTION("""COMPUTED_VALUE"""),"Channel 2")</f>
        <v>Channel 2</v>
      </c>
      <c r="C654" s="4" t="str">
        <f>IFERROR(__xludf.DUMMYFUNCTION("""COMPUTED_VALUE"""),"Day 3 - 25/06")</f>
        <v>Day 3 - 25/06</v>
      </c>
      <c r="D654" s="6">
        <f>IFERROR(__xludf.DUMMYFUNCTION("""COMPUTED_VALUE"""),0.6065046296296308)</f>
        <v>0.6065046296</v>
      </c>
      <c r="E654" s="6">
        <f>IFERROR(__xludf.DUMMYFUNCTION("""COMPUTED_VALUE"""),1.7361111111111112E-4)</f>
        <v>0.0001736111111</v>
      </c>
      <c r="F654" s="6">
        <f>IFERROR(__xludf.DUMMYFUNCTION("""COMPUTED_VALUE"""),0.606678240740742)</f>
        <v>0.6066782407</v>
      </c>
      <c r="G654" s="4" t="str">
        <f>IFERROR(__xludf.DUMMYFUNCTION("""COMPUTED_VALUE"""),"Graphics")</f>
        <v>Graphics</v>
      </c>
      <c r="H654" s="4" t="str">
        <f>IFERROR(__xludf.DUMMYFUNCTION("""COMPUTED_VALUE"""),"")</f>
        <v/>
      </c>
      <c r="I654" s="4" t="str">
        <f>IFERROR(__xludf.DUMMYFUNCTION("""COMPUTED_VALUE"""),"")</f>
        <v/>
      </c>
      <c r="J654" s="4" t="str">
        <f>IFERROR(__xludf.DUMMYFUNCTION("""COMPUTED_VALUE"""),"Climate")</f>
        <v>Climate</v>
      </c>
      <c r="K654" s="4" t="str">
        <f>IFERROR(__xludf.DUMMYFUNCTION("""COMPUTED_VALUE"""),"Talk Outro")</f>
        <v>Talk Outro</v>
      </c>
      <c r="L654" s="4" t="str">
        <f>IFERROR(__xludf.DUMMYFUNCTION("""COMPUTED_VALUE"""),"")</f>
        <v/>
      </c>
      <c r="M654" s="4" t="str">
        <f>IFERROR(__xludf.DUMMYFUNCTION("""COMPUTED_VALUE"""),"Talk Outro")</f>
        <v>Talk Outro</v>
      </c>
      <c r="N654" s="4" t="str">
        <f>IFERROR(__xludf.DUMMYFUNCTION("""COMPUTED_VALUE"""),"")</f>
        <v/>
      </c>
      <c r="O654" s="4" t="str">
        <f>IFERROR(__xludf.DUMMYFUNCTION("""COMPUTED_VALUE"""),"")</f>
        <v/>
      </c>
      <c r="P654" s="4" t="str">
        <f>IFERROR(__xludf.DUMMYFUNCTION("""COMPUTED_VALUE"""),"")</f>
        <v/>
      </c>
      <c r="Q654" s="4" t="str">
        <f>IFERROR(__xludf.DUMMYFUNCTION("""COMPUTED_VALUE"""),"")</f>
        <v/>
      </c>
      <c r="R654" s="4" t="str">
        <f>IFERROR(__xludf.DUMMYFUNCTION("""COMPUTED_VALUE"""),"")</f>
        <v/>
      </c>
      <c r="S654" s="4" t="str">
        <f>IFERROR(__xludf.DUMMYFUNCTION("""COMPUTED_VALUE"""),"")</f>
        <v/>
      </c>
      <c r="T654" s="4" t="str">
        <f>IFERROR(__xludf.DUMMYFUNCTION("""COMPUTED_VALUE"""),"")</f>
        <v/>
      </c>
      <c r="U654" s="4" t="str">
        <f>IFERROR(__xludf.DUMMYFUNCTION("""COMPUTED_VALUE"""),"")</f>
        <v/>
      </c>
      <c r="V654" s="4" t="str">
        <f>IFERROR(__xludf.DUMMYFUNCTION("""COMPUTED_VALUE"""),"")</f>
        <v/>
      </c>
      <c r="W654" s="4" t="str">
        <f>IFERROR(__xludf.DUMMYFUNCTION("""COMPUTED_VALUE"""),"")</f>
        <v/>
      </c>
      <c r="X654" s="4" t="str">
        <f>IFERROR(__xludf.DUMMYFUNCTION("""COMPUTED_VALUE"""),"")</f>
        <v/>
      </c>
      <c r="Y654" s="4" t="str">
        <f>IFERROR(__xludf.DUMMYFUNCTION("""COMPUTED_VALUE"""),"")</f>
        <v/>
      </c>
    </row>
    <row r="655">
      <c r="A655" s="4" t="str">
        <f>IFERROR(__xludf.DUMMYFUNCTION("""COMPUTED_VALUE"""),"718 - Channel")</f>
        <v>718 - Channel</v>
      </c>
      <c r="B655" s="4" t="str">
        <f>IFERROR(__xludf.DUMMYFUNCTION("""COMPUTED_VALUE"""),"Channel 2")</f>
        <v>Channel 2</v>
      </c>
      <c r="C655" s="4" t="str">
        <f>IFERROR(__xludf.DUMMYFUNCTION("""COMPUTED_VALUE"""),"Day 3 - 25/06")</f>
        <v>Day 3 - 25/06</v>
      </c>
      <c r="D655" s="6">
        <f>IFERROR(__xludf.DUMMYFUNCTION("""COMPUTED_VALUE"""),0.606678240740742)</f>
        <v>0.6066782407</v>
      </c>
      <c r="E655" s="6">
        <f>IFERROR(__xludf.DUMMYFUNCTION("""COMPUTED_VALUE"""),3.4722222222222224E-4)</f>
        <v>0.0003472222222</v>
      </c>
      <c r="F655" s="6">
        <f>IFERROR(__xludf.DUMMYFUNCTION("""COMPUTED_VALUE"""),0.6070254629629642)</f>
        <v>0.607025463</v>
      </c>
      <c r="G655" s="4" t="str">
        <f>IFERROR(__xludf.DUMMYFUNCTION("""COMPUTED_VALUE"""),"Graphics")</f>
        <v>Graphics</v>
      </c>
      <c r="H655" s="4" t="str">
        <f>IFERROR(__xludf.DUMMYFUNCTION("""COMPUTED_VALUE"""),"")</f>
        <v/>
      </c>
      <c r="I655" s="4" t="str">
        <f>IFERROR(__xludf.DUMMYFUNCTION("""COMPUTED_VALUE"""),"")</f>
        <v/>
      </c>
      <c r="J655" s="4" t="str">
        <f>IFERROR(__xludf.DUMMYFUNCTION("""COMPUTED_VALUE"""),"Climate")</f>
        <v>Climate</v>
      </c>
      <c r="K655" s="4" t="str">
        <f>IFERROR(__xludf.DUMMYFUNCTION("""COMPUTED_VALUE"""),"Web Summit Trailer - short")</f>
        <v>Web Summit Trailer - short</v>
      </c>
      <c r="L655" s="4" t="str">
        <f>IFERROR(__xludf.DUMMYFUNCTION("""COMPUTED_VALUE"""),"")</f>
        <v/>
      </c>
      <c r="M655" s="4" t="str">
        <f>IFERROR(__xludf.DUMMYFUNCTION("""COMPUTED_VALUE"""),"RISE Trailer - short")</f>
        <v>RISE Trailer - short</v>
      </c>
      <c r="N655" s="4" t="str">
        <f>IFERROR(__xludf.DUMMYFUNCTION("""COMPUTED_VALUE"""),"")</f>
        <v/>
      </c>
      <c r="O655" s="4" t="str">
        <f>IFERROR(__xludf.DUMMYFUNCTION("""COMPUTED_VALUE"""),"")</f>
        <v/>
      </c>
      <c r="P655" s="4" t="str">
        <f>IFERROR(__xludf.DUMMYFUNCTION("""COMPUTED_VALUE"""),"")</f>
        <v/>
      </c>
      <c r="Q655" s="4" t="str">
        <f>IFERROR(__xludf.DUMMYFUNCTION("""COMPUTED_VALUE"""),"")</f>
        <v/>
      </c>
      <c r="R655" s="4" t="str">
        <f>IFERROR(__xludf.DUMMYFUNCTION("""COMPUTED_VALUE"""),"")</f>
        <v/>
      </c>
      <c r="S655" s="4" t="str">
        <f>IFERROR(__xludf.DUMMYFUNCTION("""COMPUTED_VALUE"""),"")</f>
        <v/>
      </c>
      <c r="T655" s="4" t="str">
        <f>IFERROR(__xludf.DUMMYFUNCTION("""COMPUTED_VALUE"""),"")</f>
        <v/>
      </c>
      <c r="U655" s="4" t="str">
        <f>IFERROR(__xludf.DUMMYFUNCTION("""COMPUTED_VALUE"""),"")</f>
        <v/>
      </c>
      <c r="V655" s="4" t="str">
        <f>IFERROR(__xludf.DUMMYFUNCTION("""COMPUTED_VALUE"""),"")</f>
        <v/>
      </c>
      <c r="W655" s="4" t="str">
        <f>IFERROR(__xludf.DUMMYFUNCTION("""COMPUTED_VALUE"""),"")</f>
        <v/>
      </c>
      <c r="X655" s="4" t="str">
        <f>IFERROR(__xludf.DUMMYFUNCTION("""COMPUTED_VALUE"""),"")</f>
        <v/>
      </c>
      <c r="Y655" s="4" t="str">
        <f>IFERROR(__xludf.DUMMYFUNCTION("""COMPUTED_VALUE"""),"")</f>
        <v/>
      </c>
    </row>
    <row r="656">
      <c r="A656" s="4" t="str">
        <f>IFERROR(__xludf.DUMMYFUNCTION("""COMPUTED_VALUE"""),"719 - Channel")</f>
        <v>719 - Channel</v>
      </c>
      <c r="B656" s="4" t="str">
        <f>IFERROR(__xludf.DUMMYFUNCTION("""COMPUTED_VALUE"""),"Channel 2")</f>
        <v>Channel 2</v>
      </c>
      <c r="C656" s="4" t="str">
        <f>IFERROR(__xludf.DUMMYFUNCTION("""COMPUTED_VALUE"""),"Day 3 - 25/06")</f>
        <v>Day 3 - 25/06</v>
      </c>
      <c r="D656" s="6">
        <f>IFERROR(__xludf.DUMMYFUNCTION("""COMPUTED_VALUE"""),0.6070254629629642)</f>
        <v>0.607025463</v>
      </c>
      <c r="E656" s="6">
        <f>IFERROR(__xludf.DUMMYFUNCTION("""COMPUTED_VALUE"""),3.4722222222222224E-4)</f>
        <v>0.0003472222222</v>
      </c>
      <c r="F656" s="6">
        <f>IFERROR(__xludf.DUMMYFUNCTION("""COMPUTED_VALUE"""),0.6073726851851865)</f>
        <v>0.6073726852</v>
      </c>
      <c r="G656" s="4" t="str">
        <f>IFERROR(__xludf.DUMMYFUNCTION("""COMPUTED_VALUE"""),"Graphics")</f>
        <v>Graphics</v>
      </c>
      <c r="H656" s="4" t="str">
        <f>IFERROR(__xludf.DUMMYFUNCTION("""COMPUTED_VALUE"""),"")</f>
        <v/>
      </c>
      <c r="I656" s="4" t="str">
        <f>IFERROR(__xludf.DUMMYFUNCTION("""COMPUTED_VALUE"""),"")</f>
        <v/>
      </c>
      <c r="J656" s="4" t="str">
        <f>IFERROR(__xludf.DUMMYFUNCTION("""COMPUTED_VALUE"""),"Climate")</f>
        <v>Climate</v>
      </c>
      <c r="K656" s="4" t="str">
        <f>IFERROR(__xludf.DUMMYFUNCTION("""COMPUTED_VALUE"""),"Talk Intro")</f>
        <v>Talk Intro</v>
      </c>
      <c r="L656" s="4" t="str">
        <f>IFERROR(__xludf.DUMMYFUNCTION("""COMPUTED_VALUE"""),"")</f>
        <v/>
      </c>
      <c r="M656" s="4" t="str">
        <f>IFERROR(__xludf.DUMMYFUNCTION("""COMPUTED_VALUE"""),"Talk Intro")</f>
        <v>Talk Intro</v>
      </c>
      <c r="N656" s="4" t="str">
        <f>IFERROR(__xludf.DUMMYFUNCTION("""COMPUTED_VALUE"""),"")</f>
        <v/>
      </c>
      <c r="O656" s="4" t="str">
        <f>IFERROR(__xludf.DUMMYFUNCTION("""COMPUTED_VALUE"""),"")</f>
        <v/>
      </c>
      <c r="P656" s="4" t="str">
        <f>IFERROR(__xludf.DUMMYFUNCTION("""COMPUTED_VALUE"""),"")</f>
        <v/>
      </c>
      <c r="Q656" s="4" t="str">
        <f>IFERROR(__xludf.DUMMYFUNCTION("""COMPUTED_VALUE"""),"")</f>
        <v/>
      </c>
      <c r="R656" s="4" t="str">
        <f>IFERROR(__xludf.DUMMYFUNCTION("""COMPUTED_VALUE"""),"")</f>
        <v/>
      </c>
      <c r="S656" s="4" t="str">
        <f>IFERROR(__xludf.DUMMYFUNCTION("""COMPUTED_VALUE"""),"")</f>
        <v/>
      </c>
      <c r="T656" s="4" t="str">
        <f>IFERROR(__xludf.DUMMYFUNCTION("""COMPUTED_VALUE"""),"")</f>
        <v/>
      </c>
      <c r="U656" s="4" t="str">
        <f>IFERROR(__xludf.DUMMYFUNCTION("""COMPUTED_VALUE"""),"")</f>
        <v/>
      </c>
      <c r="V656" s="4" t="str">
        <f>IFERROR(__xludf.DUMMYFUNCTION("""COMPUTED_VALUE"""),"")</f>
        <v/>
      </c>
      <c r="W656" s="4" t="str">
        <f>IFERROR(__xludf.DUMMYFUNCTION("""COMPUTED_VALUE"""),"")</f>
        <v/>
      </c>
      <c r="X656" s="4" t="str">
        <f>IFERROR(__xludf.DUMMYFUNCTION("""COMPUTED_VALUE"""),"")</f>
        <v/>
      </c>
      <c r="Y656" s="4" t="str">
        <f>IFERROR(__xludf.DUMMYFUNCTION("""COMPUTED_VALUE"""),"")</f>
        <v/>
      </c>
    </row>
    <row r="657">
      <c r="A657" s="4" t="str">
        <f>IFERROR(__xludf.DUMMYFUNCTION("""COMPUTED_VALUE"""),"720 - Channel")</f>
        <v>720 - Channel</v>
      </c>
      <c r="B657" s="4" t="str">
        <f>IFERROR(__xludf.DUMMYFUNCTION("""COMPUTED_VALUE"""),"Channel 2")</f>
        <v>Channel 2</v>
      </c>
      <c r="C657" s="4" t="str">
        <f>IFERROR(__xludf.DUMMYFUNCTION("""COMPUTED_VALUE"""),"Day 3 - 25/06")</f>
        <v>Day 3 - 25/06</v>
      </c>
      <c r="D657" s="6">
        <f>IFERROR(__xludf.DUMMYFUNCTION("""COMPUTED_VALUE"""),0.6073726851851865)</f>
        <v>0.6073726852</v>
      </c>
      <c r="E657" s="6">
        <f>IFERROR(__xludf.DUMMYFUNCTION("""COMPUTED_VALUE"""),0.00798611111111111)</f>
        <v>0.007986111111</v>
      </c>
      <c r="F657" s="6">
        <f>IFERROR(__xludf.DUMMYFUNCTION("""COMPUTED_VALUE"""),0.6153587962962976)</f>
        <v>0.6153587963</v>
      </c>
      <c r="G657" s="4" t="str">
        <f>IFERROR(__xludf.DUMMYFUNCTION("""COMPUTED_VALUE"""),"Darragh")</f>
        <v>Darragh</v>
      </c>
      <c r="H657" s="4" t="str">
        <f>IFERROR(__xludf.DUMMYFUNCTION("""COMPUTED_VALUE"""),"N/A")</f>
        <v>N/A</v>
      </c>
      <c r="I657" s="4" t="str">
        <f>IFERROR(__xludf.DUMMYFUNCTION("""COMPUTED_VALUE"""),"Lynn")</f>
        <v>Lynn</v>
      </c>
      <c r="J657" s="4" t="str">
        <f>IFERROR(__xludf.DUMMYFUNCTION("""COMPUTED_VALUE"""),"Climate")</f>
        <v>Climate</v>
      </c>
      <c r="K657" s="4" t="str">
        <f>IFERROR(__xludf.DUMMYFUNCTION("""COMPUTED_VALUE"""),"Keynote")</f>
        <v>Keynote</v>
      </c>
      <c r="L657" s="4" t="str">
        <f>IFERROR(__xludf.DUMMYFUNCTION("""COMPUTED_VALUE"""),"T- 7 - 04/05/2020")</f>
        <v>T- 7 - 04/05/2020</v>
      </c>
      <c r="M657" s="4" t="str">
        <f>IFERROR(__xludf.DUMMYFUNCTION("""COMPUTED_VALUE"""),"Entrepreneurs can save our planet")</f>
        <v>Entrepreneurs can save our planet</v>
      </c>
      <c r="N657" s="4" t="str">
        <f>IFERROR(__xludf.DUMMYFUNCTION("""COMPUTED_VALUE"""),"Rick Ridgeway, Patagonia")</f>
        <v>Rick Ridgeway, Patagonia</v>
      </c>
      <c r="O657" s="4" t="str">
        <f>IFERROR(__xludf.DUMMYFUNCTION("""COMPUTED_VALUE"""),"")</f>
        <v/>
      </c>
      <c r="P657" s="4" t="str">
        <f>IFERROR(__xludf.DUMMYFUNCTION("""COMPUTED_VALUE"""),"")</f>
        <v/>
      </c>
      <c r="Q657" s="4" t="str">
        <f>IFERROR(__xludf.DUMMYFUNCTION("""COMPUTED_VALUE"""),"")</f>
        <v/>
      </c>
      <c r="R657" s="4" t="str">
        <f>IFERROR(__xludf.DUMMYFUNCTION("""COMPUTED_VALUE"""),"")</f>
        <v/>
      </c>
      <c r="S657" s="4" t="str">
        <f>IFERROR(__xludf.DUMMYFUNCTION("""COMPUTED_VALUE"""),"It is commonly said that you need to be the change you want to see in the world, but what does that mean for entrepreneurs and the environment? In this moving keynote, Rick Ridgeway tells us the story of what responsible leadership should look like.")</f>
        <v>It is commonly said that you need to be the change you want to see in the world, but what does that mean for entrepreneurs and the environment? In this moving keynote, Rick Ridgeway tells us the story of what responsible leadership should look like.</v>
      </c>
      <c r="T657" s="4" t="str">
        <f>IFERROR(__xludf.DUMMYFUNCTION("""COMPUTED_VALUE"""),"KEYNOTE 8 - COMPLETE")</f>
        <v>KEYNOTE 8 - COMPLETE</v>
      </c>
      <c r="U657" s="23">
        <f>IFERROR(__xludf.DUMMYFUNCTION("""COMPUTED_VALUE"""),43955.0)</f>
        <v>43955</v>
      </c>
      <c r="V657" s="4" t="str">
        <f>IFERROR(__xludf.DUMMYFUNCTION("""COMPUTED_VALUE"""),"")</f>
        <v/>
      </c>
      <c r="W657" s="4" t="str">
        <f>IFERROR(__xludf.DUMMYFUNCTION("""COMPUTED_VALUE"""),"COMPLETE")</f>
        <v>COMPLETE</v>
      </c>
      <c r="X657" s="4" t="str">
        <f>IFERROR(__xludf.DUMMYFUNCTION("""COMPUTED_VALUE"""),"")</f>
        <v/>
      </c>
      <c r="Y657" s="4" t="str">
        <f>IFERROR(__xludf.DUMMYFUNCTION("""COMPUTED_VALUE"""),"4636491431517223925")</f>
        <v>4636491431517223925</v>
      </c>
    </row>
    <row r="658">
      <c r="A658" s="4" t="str">
        <f>IFERROR(__xludf.DUMMYFUNCTION("""COMPUTED_VALUE"""),"721 - Channel")</f>
        <v>721 - Channel</v>
      </c>
      <c r="B658" s="4" t="str">
        <f>IFERROR(__xludf.DUMMYFUNCTION("""COMPUTED_VALUE"""),"Channel 2")</f>
        <v>Channel 2</v>
      </c>
      <c r="C658" s="4" t="str">
        <f>IFERROR(__xludf.DUMMYFUNCTION("""COMPUTED_VALUE"""),"Day 3 - 25/06")</f>
        <v>Day 3 - 25/06</v>
      </c>
      <c r="D658" s="6">
        <f>IFERROR(__xludf.DUMMYFUNCTION("""COMPUTED_VALUE"""),0.6153587962962976)</f>
        <v>0.6153587963</v>
      </c>
      <c r="E658" s="6">
        <f>IFERROR(__xludf.DUMMYFUNCTION("""COMPUTED_VALUE"""),1.7361111111111112E-4)</f>
        <v>0.0001736111111</v>
      </c>
      <c r="F658" s="6">
        <f>IFERROR(__xludf.DUMMYFUNCTION("""COMPUTED_VALUE"""),0.6155324074074088)</f>
        <v>0.6155324074</v>
      </c>
      <c r="G658" s="4" t="str">
        <f>IFERROR(__xludf.DUMMYFUNCTION("""COMPUTED_VALUE"""),"Graphics")</f>
        <v>Graphics</v>
      </c>
      <c r="H658" s="4" t="str">
        <f>IFERROR(__xludf.DUMMYFUNCTION("""COMPUTED_VALUE"""),"")</f>
        <v/>
      </c>
      <c r="I658" s="4" t="str">
        <f>IFERROR(__xludf.DUMMYFUNCTION("""COMPUTED_VALUE"""),"")</f>
        <v/>
      </c>
      <c r="J658" s="4" t="str">
        <f>IFERROR(__xludf.DUMMYFUNCTION("""COMPUTED_VALUE"""),"Climate")</f>
        <v>Climate</v>
      </c>
      <c r="K658" s="4" t="str">
        <f>IFERROR(__xludf.DUMMYFUNCTION("""COMPUTED_VALUE"""),"Talk Outro")</f>
        <v>Talk Outro</v>
      </c>
      <c r="L658" s="4" t="str">
        <f>IFERROR(__xludf.DUMMYFUNCTION("""COMPUTED_VALUE"""),"")</f>
        <v/>
      </c>
      <c r="M658" s="4" t="str">
        <f>IFERROR(__xludf.DUMMYFUNCTION("""COMPUTED_VALUE"""),"Talk Outro")</f>
        <v>Talk Outro</v>
      </c>
      <c r="N658" s="4" t="str">
        <f>IFERROR(__xludf.DUMMYFUNCTION("""COMPUTED_VALUE"""),"")</f>
        <v/>
      </c>
      <c r="O658" s="4" t="str">
        <f>IFERROR(__xludf.DUMMYFUNCTION("""COMPUTED_VALUE"""),"")</f>
        <v/>
      </c>
      <c r="P658" s="4" t="str">
        <f>IFERROR(__xludf.DUMMYFUNCTION("""COMPUTED_VALUE"""),"")</f>
        <v/>
      </c>
      <c r="Q658" s="4" t="str">
        <f>IFERROR(__xludf.DUMMYFUNCTION("""COMPUTED_VALUE"""),"")</f>
        <v/>
      </c>
      <c r="R658" s="4" t="str">
        <f>IFERROR(__xludf.DUMMYFUNCTION("""COMPUTED_VALUE"""),"")</f>
        <v/>
      </c>
      <c r="S658" s="4" t="str">
        <f>IFERROR(__xludf.DUMMYFUNCTION("""COMPUTED_VALUE"""),"")</f>
        <v/>
      </c>
      <c r="T658" s="4" t="str">
        <f>IFERROR(__xludf.DUMMYFUNCTION("""COMPUTED_VALUE"""),"")</f>
        <v/>
      </c>
      <c r="U658" s="4" t="str">
        <f>IFERROR(__xludf.DUMMYFUNCTION("""COMPUTED_VALUE"""),"")</f>
        <v/>
      </c>
      <c r="V658" s="4" t="str">
        <f>IFERROR(__xludf.DUMMYFUNCTION("""COMPUTED_VALUE"""),"")</f>
        <v/>
      </c>
      <c r="W658" s="4" t="str">
        <f>IFERROR(__xludf.DUMMYFUNCTION("""COMPUTED_VALUE"""),"")</f>
        <v/>
      </c>
      <c r="X658" s="4" t="str">
        <f>IFERROR(__xludf.DUMMYFUNCTION("""COMPUTED_VALUE"""),"")</f>
        <v/>
      </c>
      <c r="Y658" s="4" t="str">
        <f>IFERROR(__xludf.DUMMYFUNCTION("""COMPUTED_VALUE"""),"")</f>
        <v/>
      </c>
    </row>
    <row r="659">
      <c r="A659" s="4" t="str">
        <f>IFERROR(__xludf.DUMMYFUNCTION("""COMPUTED_VALUE"""),"722 - Channel")</f>
        <v>722 - Channel</v>
      </c>
      <c r="B659" s="4" t="str">
        <f>IFERROR(__xludf.DUMMYFUNCTION("""COMPUTED_VALUE"""),"Channel 2")</f>
        <v>Channel 2</v>
      </c>
      <c r="C659" s="4" t="str">
        <f>IFERROR(__xludf.DUMMYFUNCTION("""COMPUTED_VALUE"""),"Day 3 - 25/06")</f>
        <v>Day 3 - 25/06</v>
      </c>
      <c r="D659" s="6">
        <f>IFERROR(__xludf.DUMMYFUNCTION("""COMPUTED_VALUE"""),0.6155324074074088)</f>
        <v>0.6155324074</v>
      </c>
      <c r="E659" s="6">
        <f>IFERROR(__xludf.DUMMYFUNCTION("""COMPUTED_VALUE"""),3.4722222222222224E-4)</f>
        <v>0.0003472222222</v>
      </c>
      <c r="F659" s="6">
        <f>IFERROR(__xludf.DUMMYFUNCTION("""COMPUTED_VALUE"""),0.615879629629631)</f>
        <v>0.6158796296</v>
      </c>
      <c r="G659" s="4" t="str">
        <f>IFERROR(__xludf.DUMMYFUNCTION("""COMPUTED_VALUE"""),"Graphics")</f>
        <v>Graphics</v>
      </c>
      <c r="H659" s="4" t="str">
        <f>IFERROR(__xludf.DUMMYFUNCTION("""COMPUTED_VALUE"""),"")</f>
        <v/>
      </c>
      <c r="I659" s="4" t="str">
        <f>IFERROR(__xludf.DUMMYFUNCTION("""COMPUTED_VALUE"""),"")</f>
        <v/>
      </c>
      <c r="J659" s="4" t="str">
        <f>IFERROR(__xludf.DUMMYFUNCTION("""COMPUTED_VALUE"""),"Climate")</f>
        <v>Climate</v>
      </c>
      <c r="K659" s="4" t="str">
        <f>IFERROR(__xludf.DUMMYFUNCTION("""COMPUTED_VALUE"""),"Web Summit Trailer - short")</f>
        <v>Web Summit Trailer - short</v>
      </c>
      <c r="L659" s="4" t="str">
        <f>IFERROR(__xludf.DUMMYFUNCTION("""COMPUTED_VALUE"""),"")</f>
        <v/>
      </c>
      <c r="M659" s="4" t="str">
        <f>IFERROR(__xludf.DUMMYFUNCTION("""COMPUTED_VALUE"""),"Web Summit Trailer - short")</f>
        <v>Web Summit Trailer - short</v>
      </c>
      <c r="N659" s="4" t="str">
        <f>IFERROR(__xludf.DUMMYFUNCTION("""COMPUTED_VALUE"""),"")</f>
        <v/>
      </c>
      <c r="O659" s="4" t="str">
        <f>IFERROR(__xludf.DUMMYFUNCTION("""COMPUTED_VALUE"""),"")</f>
        <v/>
      </c>
      <c r="P659" s="4" t="str">
        <f>IFERROR(__xludf.DUMMYFUNCTION("""COMPUTED_VALUE"""),"")</f>
        <v/>
      </c>
      <c r="Q659" s="4" t="str">
        <f>IFERROR(__xludf.DUMMYFUNCTION("""COMPUTED_VALUE"""),"")</f>
        <v/>
      </c>
      <c r="R659" s="4" t="str">
        <f>IFERROR(__xludf.DUMMYFUNCTION("""COMPUTED_VALUE"""),"")</f>
        <v/>
      </c>
      <c r="S659" s="4" t="str">
        <f>IFERROR(__xludf.DUMMYFUNCTION("""COMPUTED_VALUE"""),"")</f>
        <v/>
      </c>
      <c r="T659" s="4" t="str">
        <f>IFERROR(__xludf.DUMMYFUNCTION("""COMPUTED_VALUE"""),"")</f>
        <v/>
      </c>
      <c r="U659" s="4" t="str">
        <f>IFERROR(__xludf.DUMMYFUNCTION("""COMPUTED_VALUE"""),"")</f>
        <v/>
      </c>
      <c r="V659" s="4" t="str">
        <f>IFERROR(__xludf.DUMMYFUNCTION("""COMPUTED_VALUE"""),"")</f>
        <v/>
      </c>
      <c r="W659" s="4" t="str">
        <f>IFERROR(__xludf.DUMMYFUNCTION("""COMPUTED_VALUE"""),"")</f>
        <v/>
      </c>
      <c r="X659" s="4" t="str">
        <f>IFERROR(__xludf.DUMMYFUNCTION("""COMPUTED_VALUE"""),"")</f>
        <v/>
      </c>
      <c r="Y659" s="4" t="str">
        <f>IFERROR(__xludf.DUMMYFUNCTION("""COMPUTED_VALUE"""),"")</f>
        <v/>
      </c>
    </row>
    <row r="660">
      <c r="A660" s="4" t="str">
        <f>IFERROR(__xludf.DUMMYFUNCTION("""COMPUTED_VALUE"""),"723 - Channel")</f>
        <v>723 - Channel</v>
      </c>
      <c r="B660" s="4" t="str">
        <f>IFERROR(__xludf.DUMMYFUNCTION("""COMPUTED_VALUE"""),"Channel 2")</f>
        <v>Channel 2</v>
      </c>
      <c r="C660" s="4" t="str">
        <f>IFERROR(__xludf.DUMMYFUNCTION("""COMPUTED_VALUE"""),"Day 3 - 25/06")</f>
        <v>Day 3 - 25/06</v>
      </c>
      <c r="D660" s="6">
        <f>IFERROR(__xludf.DUMMYFUNCTION("""COMPUTED_VALUE"""),0.615879629629631)</f>
        <v>0.6158796296</v>
      </c>
      <c r="E660" s="6">
        <f>IFERROR(__xludf.DUMMYFUNCTION("""COMPUTED_VALUE"""),3.4722222222222224E-4)</f>
        <v>0.0003472222222</v>
      </c>
      <c r="F660" s="6">
        <f>IFERROR(__xludf.DUMMYFUNCTION("""COMPUTED_VALUE"""),0.6162268518518533)</f>
        <v>0.6162268519</v>
      </c>
      <c r="G660" s="4" t="str">
        <f>IFERROR(__xludf.DUMMYFUNCTION("""COMPUTED_VALUE"""),"Graphics")</f>
        <v>Graphics</v>
      </c>
      <c r="H660" s="4" t="str">
        <f>IFERROR(__xludf.DUMMYFUNCTION("""COMPUTED_VALUE"""),"")</f>
        <v/>
      </c>
      <c r="I660" s="4" t="str">
        <f>IFERROR(__xludf.DUMMYFUNCTION("""COMPUTED_VALUE"""),"")</f>
        <v/>
      </c>
      <c r="J660" s="4" t="str">
        <f>IFERROR(__xludf.DUMMYFUNCTION("""COMPUTED_VALUE"""),"Climate")</f>
        <v>Climate</v>
      </c>
      <c r="K660" s="4" t="str">
        <f>IFERROR(__xludf.DUMMYFUNCTION("""COMPUTED_VALUE"""),"Talk Intro")</f>
        <v>Talk Intro</v>
      </c>
      <c r="L660" s="4" t="str">
        <f>IFERROR(__xludf.DUMMYFUNCTION("""COMPUTED_VALUE"""),"")</f>
        <v/>
      </c>
      <c r="M660" s="4" t="str">
        <f>IFERROR(__xludf.DUMMYFUNCTION("""COMPUTED_VALUE"""),"Talk Intro")</f>
        <v>Talk Intro</v>
      </c>
      <c r="N660" s="4" t="str">
        <f>IFERROR(__xludf.DUMMYFUNCTION("""COMPUTED_VALUE"""),"")</f>
        <v/>
      </c>
      <c r="O660" s="4" t="str">
        <f>IFERROR(__xludf.DUMMYFUNCTION("""COMPUTED_VALUE"""),"")</f>
        <v/>
      </c>
      <c r="P660" s="4" t="str">
        <f>IFERROR(__xludf.DUMMYFUNCTION("""COMPUTED_VALUE"""),"")</f>
        <v/>
      </c>
      <c r="Q660" s="4" t="str">
        <f>IFERROR(__xludf.DUMMYFUNCTION("""COMPUTED_VALUE"""),"")</f>
        <v/>
      </c>
      <c r="R660" s="4" t="str">
        <f>IFERROR(__xludf.DUMMYFUNCTION("""COMPUTED_VALUE"""),"")</f>
        <v/>
      </c>
      <c r="S660" s="4" t="str">
        <f>IFERROR(__xludf.DUMMYFUNCTION("""COMPUTED_VALUE"""),"")</f>
        <v/>
      </c>
      <c r="T660" s="4" t="str">
        <f>IFERROR(__xludf.DUMMYFUNCTION("""COMPUTED_VALUE"""),"")</f>
        <v/>
      </c>
      <c r="U660" s="4" t="str">
        <f>IFERROR(__xludf.DUMMYFUNCTION("""COMPUTED_VALUE"""),"")</f>
        <v/>
      </c>
      <c r="V660" s="4" t="str">
        <f>IFERROR(__xludf.DUMMYFUNCTION("""COMPUTED_VALUE"""),"")</f>
        <v/>
      </c>
      <c r="W660" s="4" t="str">
        <f>IFERROR(__xludf.DUMMYFUNCTION("""COMPUTED_VALUE"""),"")</f>
        <v/>
      </c>
      <c r="X660" s="4" t="str">
        <f>IFERROR(__xludf.DUMMYFUNCTION("""COMPUTED_VALUE"""),"")</f>
        <v/>
      </c>
      <c r="Y660" s="4" t="str">
        <f>IFERROR(__xludf.DUMMYFUNCTION("""COMPUTED_VALUE"""),"")</f>
        <v/>
      </c>
    </row>
    <row r="661">
      <c r="A661" s="4" t="str">
        <f>IFERROR(__xludf.DUMMYFUNCTION("""COMPUTED_VALUE"""),"724 - Channel")</f>
        <v>724 - Channel</v>
      </c>
      <c r="B661" s="4" t="str">
        <f>IFERROR(__xludf.DUMMYFUNCTION("""COMPUTED_VALUE"""),"Channel 2")</f>
        <v>Channel 2</v>
      </c>
      <c r="C661" s="4" t="str">
        <f>IFERROR(__xludf.DUMMYFUNCTION("""COMPUTED_VALUE"""),"Day 3 - 25/06")</f>
        <v>Day 3 - 25/06</v>
      </c>
      <c r="D661" s="6">
        <f>IFERROR(__xludf.DUMMYFUNCTION("""COMPUTED_VALUE"""),0.6162268518518533)</f>
        <v>0.6162268519</v>
      </c>
      <c r="E661" s="6">
        <f>IFERROR(__xludf.DUMMYFUNCTION("""COMPUTED_VALUE"""),0.006944444444444444)</f>
        <v>0.006944444444</v>
      </c>
      <c r="F661" s="6">
        <f>IFERROR(__xludf.DUMMYFUNCTION("""COMPUTED_VALUE"""),0.6231712962962977)</f>
        <v>0.6231712963</v>
      </c>
      <c r="G661" s="4" t="str">
        <f>IFERROR(__xludf.DUMMYFUNCTION("""COMPUTED_VALUE"""),"Kat")</f>
        <v>Kat</v>
      </c>
      <c r="H661" s="4" t="str">
        <f>IFERROR(__xludf.DUMMYFUNCTION("""COMPUTED_VALUE"""),"N/A")</f>
        <v>N/A</v>
      </c>
      <c r="I661" s="4" t="str">
        <f>IFERROR(__xludf.DUMMYFUNCTION("""COMPUTED_VALUE"""),"Lynn")</f>
        <v>Lynn</v>
      </c>
      <c r="J661" s="4" t="str">
        <f>IFERROR(__xludf.DUMMYFUNCTION("""COMPUTED_VALUE"""),"Climate")</f>
        <v>Climate</v>
      </c>
      <c r="K661" s="4" t="str">
        <f>IFERROR(__xludf.DUMMYFUNCTION("""COMPUTED_VALUE"""),"Keynote")</f>
        <v>Keynote</v>
      </c>
      <c r="L661" s="4" t="str">
        <f>IFERROR(__xludf.DUMMYFUNCTION("""COMPUTED_VALUE"""),"T- 3 - 01/06/2020")</f>
        <v>T- 3 - 01/06/2020</v>
      </c>
      <c r="M661" s="4" t="str">
        <f>IFERROR(__xludf.DUMMYFUNCTION("""COMPUTED_VALUE"""),"Carbon, pollution and the current pandemic")</f>
        <v>Carbon, pollution and the current pandemic</v>
      </c>
      <c r="N661" s="4" t="str">
        <f>IFERROR(__xludf.DUMMYFUNCTION("""COMPUTED_VALUE"""),"Davida Herzl, Aclima")</f>
        <v>Davida Herzl, Aclima</v>
      </c>
      <c r="O661" s="4" t="str">
        <f>IFERROR(__xludf.DUMMYFUNCTION("""COMPUTED_VALUE"""),"")</f>
        <v/>
      </c>
      <c r="P661" s="4" t="str">
        <f>IFERROR(__xludf.DUMMYFUNCTION("""COMPUTED_VALUE"""),"")</f>
        <v/>
      </c>
      <c r="Q661" s="4" t="str">
        <f>IFERROR(__xludf.DUMMYFUNCTION("""COMPUTED_VALUE"""),"")</f>
        <v/>
      </c>
      <c r="R661" s="4" t="str">
        <f>IFERROR(__xludf.DUMMYFUNCTION("""COMPUTED_VALUE"""),"")</f>
        <v/>
      </c>
      <c r="S661" s="4" t="str">
        <f>IFERROR(__xludf.DUMMYFUNCTION("""COMPUTED_VALUE"""),"In her keynote, the CEO of  air-quality data and insights company Davida shows how the Covid-19 restrictions are impacting levels of pollution across the globe.")</f>
        <v>In her keynote, the CEO of  air-quality data and insights company Davida shows how the Covid-19 restrictions are impacting levels of pollution across the globe.</v>
      </c>
      <c r="T661" s="4" t="str">
        <f>IFERROR(__xludf.DUMMYFUNCTION("""COMPUTED_VALUE"""),"Recording MISSED/NEEDS TO BE RERECORDED/RESCHEDULED")</f>
        <v>Recording MISSED/NEEDS TO BE RERECORDED/RESCHEDULED</v>
      </c>
      <c r="U661" s="23">
        <f>IFERROR(__xludf.DUMMYFUNCTION("""COMPUTED_VALUE"""),43992.0)</f>
        <v>43992</v>
      </c>
      <c r="V661" s="4" t="str">
        <f>IFERROR(__xludf.DUMMYFUNCTION("""COMPUTED_VALUE"""),"N/A")</f>
        <v>N/A</v>
      </c>
      <c r="W661" s="4" t="str">
        <f>IFERROR(__xludf.DUMMYFUNCTION("""COMPUTED_VALUE"""),"Speaker recording themselves")</f>
        <v>Speaker recording themselves</v>
      </c>
      <c r="X661" s="4" t="str">
        <f>IFERROR(__xludf.DUMMYFUNCTION("""COMPUTED_VALUE"""),"Kat")</f>
        <v>Kat</v>
      </c>
      <c r="Y661" s="4" t="str">
        <f>IFERROR(__xludf.DUMMYFUNCTION("""COMPUTED_VALUE"""),"")</f>
        <v/>
      </c>
    </row>
    <row r="662">
      <c r="A662" s="4" t="str">
        <f>IFERROR(__xludf.DUMMYFUNCTION("""COMPUTED_VALUE"""),"725 - Channel")</f>
        <v>725 - Channel</v>
      </c>
      <c r="B662" s="4" t="str">
        <f>IFERROR(__xludf.DUMMYFUNCTION("""COMPUTED_VALUE"""),"Channel 2")</f>
        <v>Channel 2</v>
      </c>
      <c r="C662" s="4" t="str">
        <f>IFERROR(__xludf.DUMMYFUNCTION("""COMPUTED_VALUE"""),"Day 3 - 25/06")</f>
        <v>Day 3 - 25/06</v>
      </c>
      <c r="D662" s="6">
        <f>IFERROR(__xludf.DUMMYFUNCTION("""COMPUTED_VALUE"""),0.6231712962962977)</f>
        <v>0.6231712963</v>
      </c>
      <c r="E662" s="6">
        <f>IFERROR(__xludf.DUMMYFUNCTION("""COMPUTED_VALUE"""),1.7361111111111112E-4)</f>
        <v>0.0001736111111</v>
      </c>
      <c r="F662" s="6">
        <f>IFERROR(__xludf.DUMMYFUNCTION("""COMPUTED_VALUE"""),0.6233449074074089)</f>
        <v>0.6233449074</v>
      </c>
      <c r="G662" s="4" t="str">
        <f>IFERROR(__xludf.DUMMYFUNCTION("""COMPUTED_VALUE"""),"Graphics")</f>
        <v>Graphics</v>
      </c>
      <c r="H662" s="4" t="str">
        <f>IFERROR(__xludf.DUMMYFUNCTION("""COMPUTED_VALUE"""),"")</f>
        <v/>
      </c>
      <c r="I662" s="4" t="str">
        <f>IFERROR(__xludf.DUMMYFUNCTION("""COMPUTED_VALUE"""),"")</f>
        <v/>
      </c>
      <c r="J662" s="4" t="str">
        <f>IFERROR(__xludf.DUMMYFUNCTION("""COMPUTED_VALUE"""),"Climate")</f>
        <v>Climate</v>
      </c>
      <c r="K662" s="4" t="str">
        <f>IFERROR(__xludf.DUMMYFUNCTION("""COMPUTED_VALUE"""),"Talk Outro")</f>
        <v>Talk Outro</v>
      </c>
      <c r="L662" s="4" t="str">
        <f>IFERROR(__xludf.DUMMYFUNCTION("""COMPUTED_VALUE"""),"")</f>
        <v/>
      </c>
      <c r="M662" s="4" t="str">
        <f>IFERROR(__xludf.DUMMYFUNCTION("""COMPUTED_VALUE"""),"Talk Outro")</f>
        <v>Talk Outro</v>
      </c>
      <c r="N662" s="4" t="str">
        <f>IFERROR(__xludf.DUMMYFUNCTION("""COMPUTED_VALUE"""),"")</f>
        <v/>
      </c>
      <c r="O662" s="4" t="str">
        <f>IFERROR(__xludf.DUMMYFUNCTION("""COMPUTED_VALUE"""),"")</f>
        <v/>
      </c>
      <c r="P662" s="4" t="str">
        <f>IFERROR(__xludf.DUMMYFUNCTION("""COMPUTED_VALUE"""),"")</f>
        <v/>
      </c>
      <c r="Q662" s="4" t="str">
        <f>IFERROR(__xludf.DUMMYFUNCTION("""COMPUTED_VALUE"""),"")</f>
        <v/>
      </c>
      <c r="R662" s="4" t="str">
        <f>IFERROR(__xludf.DUMMYFUNCTION("""COMPUTED_VALUE"""),"")</f>
        <v/>
      </c>
      <c r="S662" s="4" t="str">
        <f>IFERROR(__xludf.DUMMYFUNCTION("""COMPUTED_VALUE"""),"")</f>
        <v/>
      </c>
      <c r="T662" s="4" t="str">
        <f>IFERROR(__xludf.DUMMYFUNCTION("""COMPUTED_VALUE"""),"")</f>
        <v/>
      </c>
      <c r="U662" s="4" t="str">
        <f>IFERROR(__xludf.DUMMYFUNCTION("""COMPUTED_VALUE"""),"")</f>
        <v/>
      </c>
      <c r="V662" s="4" t="str">
        <f>IFERROR(__xludf.DUMMYFUNCTION("""COMPUTED_VALUE"""),"")</f>
        <v/>
      </c>
      <c r="W662" s="4" t="str">
        <f>IFERROR(__xludf.DUMMYFUNCTION("""COMPUTED_VALUE"""),"")</f>
        <v/>
      </c>
      <c r="X662" s="4" t="str">
        <f>IFERROR(__xludf.DUMMYFUNCTION("""COMPUTED_VALUE"""),"")</f>
        <v/>
      </c>
      <c r="Y662" s="4" t="str">
        <f>IFERROR(__xludf.DUMMYFUNCTION("""COMPUTED_VALUE"""),"")</f>
        <v/>
      </c>
    </row>
    <row r="663">
      <c r="A663" s="4" t="str">
        <f>IFERROR(__xludf.DUMMYFUNCTION("""COMPUTED_VALUE"""),"1579 - Channel")</f>
        <v>1579 - Channel</v>
      </c>
      <c r="B663" s="4" t="str">
        <f>IFERROR(__xludf.DUMMYFUNCTION("""COMPUTED_VALUE"""),"Channel 2")</f>
        <v>Channel 2</v>
      </c>
      <c r="C663" s="4" t="str">
        <f>IFERROR(__xludf.DUMMYFUNCTION("""COMPUTED_VALUE"""),"")</f>
        <v/>
      </c>
      <c r="D663" s="4" t="str">
        <f>IFERROR(__xludf.DUMMYFUNCTION("""COMPUTED_VALUE"""),"")</f>
        <v/>
      </c>
      <c r="E663" s="4" t="str">
        <f>IFERROR(__xludf.DUMMYFUNCTION("""COMPUTED_VALUE"""),"")</f>
        <v/>
      </c>
      <c r="F663" s="4" t="str">
        <f>IFERROR(__xludf.DUMMYFUNCTION("""COMPUTED_VALUE"""),"")</f>
        <v/>
      </c>
      <c r="G663" s="4" t="str">
        <f>IFERROR(__xludf.DUMMYFUNCTION("""COMPUTED_VALUE"""),"")</f>
        <v/>
      </c>
      <c r="H663" s="4" t="str">
        <f>IFERROR(__xludf.DUMMYFUNCTION("""COMPUTED_VALUE"""),"")</f>
        <v/>
      </c>
      <c r="I663" s="4" t="str">
        <f>IFERROR(__xludf.DUMMYFUNCTION("""COMPUTED_VALUE"""),"")</f>
        <v/>
      </c>
      <c r="J663" s="4" t="str">
        <f>IFERROR(__xludf.DUMMYFUNCTION("""COMPUTED_VALUE"""),"")</f>
        <v/>
      </c>
      <c r="K663" s="4" t="str">
        <f>IFERROR(__xludf.DUMMYFUNCTION("""COMPUTED_VALUE"""),"")</f>
        <v/>
      </c>
      <c r="L663" s="4" t="str">
        <f>IFERROR(__xludf.DUMMYFUNCTION("""COMPUTED_VALUE"""),"")</f>
        <v/>
      </c>
      <c r="M663" s="4" t="str">
        <f>IFERROR(__xludf.DUMMYFUNCTION("""COMPUTED_VALUE"""),"")</f>
        <v/>
      </c>
      <c r="N663" s="4" t="str">
        <f>IFERROR(__xludf.DUMMYFUNCTION("""COMPUTED_VALUE"""),"")</f>
        <v/>
      </c>
      <c r="O663" s="4" t="str">
        <f>IFERROR(__xludf.DUMMYFUNCTION("""COMPUTED_VALUE"""),"")</f>
        <v/>
      </c>
      <c r="P663" s="4" t="str">
        <f>IFERROR(__xludf.DUMMYFUNCTION("""COMPUTED_VALUE"""),"")</f>
        <v/>
      </c>
      <c r="Q663" s="4" t="str">
        <f>IFERROR(__xludf.DUMMYFUNCTION("""COMPUTED_VALUE"""),"")</f>
        <v/>
      </c>
      <c r="R663" s="4" t="str">
        <f>IFERROR(__xludf.DUMMYFUNCTION("""COMPUTED_VALUE"""),"")</f>
        <v/>
      </c>
      <c r="S663" s="4" t="str">
        <f>IFERROR(__xludf.DUMMYFUNCTION("""COMPUTED_VALUE"""),"")</f>
        <v/>
      </c>
      <c r="T663" s="4" t="str">
        <f>IFERROR(__xludf.DUMMYFUNCTION("""COMPUTED_VALUE"""),"")</f>
        <v/>
      </c>
      <c r="U663" s="4" t="str">
        <f>IFERROR(__xludf.DUMMYFUNCTION("""COMPUTED_VALUE"""),"")</f>
        <v/>
      </c>
      <c r="V663" s="4" t="str">
        <f>IFERROR(__xludf.DUMMYFUNCTION("""COMPUTED_VALUE"""),"")</f>
        <v/>
      </c>
      <c r="W663" s="4" t="str">
        <f>IFERROR(__xludf.DUMMYFUNCTION("""COMPUTED_VALUE"""),"")</f>
        <v/>
      </c>
      <c r="X663" s="4" t="str">
        <f>IFERROR(__xludf.DUMMYFUNCTION("""COMPUTED_VALUE"""),"")</f>
        <v/>
      </c>
      <c r="Y663" s="4" t="str">
        <f>IFERROR(__xludf.DUMMYFUNCTION("""COMPUTED_VALUE"""),"")</f>
        <v/>
      </c>
    </row>
    <row r="664">
      <c r="A664" s="4" t="str">
        <f>IFERROR(__xludf.DUMMYFUNCTION("""COMPUTED_VALUE"""),"754 - Channel")</f>
        <v>754 - Channel</v>
      </c>
      <c r="B664" s="4" t="str">
        <f>IFERROR(__xludf.DUMMYFUNCTION("""COMPUTED_VALUE"""),"Channel 2")</f>
        <v>Channel 2</v>
      </c>
      <c r="C664" s="4" t="str">
        <f>IFERROR(__xludf.DUMMYFUNCTION("""COMPUTED_VALUE"""),"Day 3 - 25/06")</f>
        <v>Day 3 - 25/06</v>
      </c>
      <c r="D664" s="6">
        <f>IFERROR(__xludf.DUMMYFUNCTION("""COMPUTED_VALUE"""),0.6233449074074089)</f>
        <v>0.6233449074</v>
      </c>
      <c r="E664" s="6">
        <f>IFERROR(__xludf.DUMMYFUNCTION("""COMPUTED_VALUE"""),3.4722222222222224E-4)</f>
        <v>0.0003472222222</v>
      </c>
      <c r="F664" s="6">
        <f>IFERROR(__xludf.DUMMYFUNCTION("""COMPUTED_VALUE"""),0.6236921296296312)</f>
        <v>0.6236921296</v>
      </c>
      <c r="G664" s="4" t="str">
        <f>IFERROR(__xludf.DUMMYFUNCTION("""COMPUTED_VALUE"""),"Graphics")</f>
        <v>Graphics</v>
      </c>
      <c r="H664" s="4" t="str">
        <f>IFERROR(__xludf.DUMMYFUNCTION("""COMPUTED_VALUE"""),"")</f>
        <v/>
      </c>
      <c r="I664" s="4" t="str">
        <f>IFERROR(__xludf.DUMMYFUNCTION("""COMPUTED_VALUE"""),"")</f>
        <v/>
      </c>
      <c r="J664" s="4" t="str">
        <f>IFERROR(__xludf.DUMMYFUNCTION("""COMPUTED_VALUE"""),"Cars")</f>
        <v>Cars</v>
      </c>
      <c r="K664" s="4" t="str">
        <f>IFERROR(__xludf.DUMMYFUNCTION("""COMPUTED_VALUE"""),"Talk Intro")</f>
        <v>Talk Intro</v>
      </c>
      <c r="L664" s="4" t="str">
        <f>IFERROR(__xludf.DUMMYFUNCTION("""COMPUTED_VALUE"""),"")</f>
        <v/>
      </c>
      <c r="M664" s="4" t="str">
        <f>IFERROR(__xludf.DUMMYFUNCTION("""COMPUTED_VALUE"""),"Talk Intro")</f>
        <v>Talk Intro</v>
      </c>
      <c r="N664" s="4" t="str">
        <f>IFERROR(__xludf.DUMMYFUNCTION("""COMPUTED_VALUE"""),"")</f>
        <v/>
      </c>
      <c r="O664" s="4" t="str">
        <f>IFERROR(__xludf.DUMMYFUNCTION("""COMPUTED_VALUE"""),"")</f>
        <v/>
      </c>
      <c r="P664" s="4" t="str">
        <f>IFERROR(__xludf.DUMMYFUNCTION("""COMPUTED_VALUE"""),"")</f>
        <v/>
      </c>
      <c r="Q664" s="4" t="str">
        <f>IFERROR(__xludf.DUMMYFUNCTION("""COMPUTED_VALUE"""),"")</f>
        <v/>
      </c>
      <c r="R664" s="4" t="str">
        <f>IFERROR(__xludf.DUMMYFUNCTION("""COMPUTED_VALUE"""),"")</f>
        <v/>
      </c>
      <c r="S664" s="4" t="str">
        <f>IFERROR(__xludf.DUMMYFUNCTION("""COMPUTED_VALUE"""),"")</f>
        <v/>
      </c>
      <c r="T664" s="4" t="str">
        <f>IFERROR(__xludf.DUMMYFUNCTION("""COMPUTED_VALUE"""),"")</f>
        <v/>
      </c>
      <c r="U664" s="4" t="str">
        <f>IFERROR(__xludf.DUMMYFUNCTION("""COMPUTED_VALUE"""),"")</f>
        <v/>
      </c>
      <c r="V664" s="4" t="str">
        <f>IFERROR(__xludf.DUMMYFUNCTION("""COMPUTED_VALUE"""),"")</f>
        <v/>
      </c>
      <c r="W664" s="4" t="str">
        <f>IFERROR(__xludf.DUMMYFUNCTION("""COMPUTED_VALUE"""),"")</f>
        <v/>
      </c>
      <c r="X664" s="4" t="str">
        <f>IFERROR(__xludf.DUMMYFUNCTION("""COMPUTED_VALUE"""),"")</f>
        <v/>
      </c>
      <c r="Y664" s="4" t="str">
        <f>IFERROR(__xludf.DUMMYFUNCTION("""COMPUTED_VALUE"""),"")</f>
        <v/>
      </c>
    </row>
    <row r="665">
      <c r="A665" s="4" t="str">
        <f>IFERROR(__xludf.DUMMYFUNCTION("""COMPUTED_VALUE"""),"755 - Channel")</f>
        <v>755 - Channel</v>
      </c>
      <c r="B665" s="4" t="str">
        <f>IFERROR(__xludf.DUMMYFUNCTION("""COMPUTED_VALUE"""),"Channel 2")</f>
        <v>Channel 2</v>
      </c>
      <c r="C665" s="4" t="str">
        <f>IFERROR(__xludf.DUMMYFUNCTION("""COMPUTED_VALUE"""),"Day 3 - 25/06")</f>
        <v>Day 3 - 25/06</v>
      </c>
      <c r="D665" s="6">
        <f>IFERROR(__xludf.DUMMYFUNCTION("""COMPUTED_VALUE"""),0.6236921296296312)</f>
        <v>0.6236921296</v>
      </c>
      <c r="E665" s="6">
        <f>IFERROR(__xludf.DUMMYFUNCTION("""COMPUTED_VALUE"""),0.007407407407407408)</f>
        <v>0.007407407407</v>
      </c>
      <c r="F665" s="6">
        <f>IFERROR(__xludf.DUMMYFUNCTION("""COMPUTED_VALUE"""),0.6310995370370386)</f>
        <v>0.631099537</v>
      </c>
      <c r="G665" s="4" t="str">
        <f>IFERROR(__xludf.DUMMYFUNCTION("""COMPUTED_VALUE"""),"Darragh")</f>
        <v>Darragh</v>
      </c>
      <c r="H665" s="4" t="str">
        <f>IFERROR(__xludf.DUMMYFUNCTION("""COMPUTED_VALUE"""),"N/A")</f>
        <v>N/A</v>
      </c>
      <c r="I665" s="4" t="str">
        <f>IFERROR(__xludf.DUMMYFUNCTION("""COMPUTED_VALUE"""),"Lynn")</f>
        <v>Lynn</v>
      </c>
      <c r="J665" s="4" t="str">
        <f>IFERROR(__xludf.DUMMYFUNCTION("""COMPUTED_VALUE"""),"Cars")</f>
        <v>Cars</v>
      </c>
      <c r="K665" s="4" t="str">
        <f>IFERROR(__xludf.DUMMYFUNCTION("""COMPUTED_VALUE"""),"Keynote")</f>
        <v>Keynote</v>
      </c>
      <c r="L665" s="4" t="str">
        <f>IFERROR(__xludf.DUMMYFUNCTION("""COMPUTED_VALUE"""),"T- 4 - 25/05/2020")</f>
        <v>T- 4 - 25/05/2020</v>
      </c>
      <c r="M665" s="4" t="str">
        <f>IFERROR(__xludf.DUMMYFUNCTION("""COMPUTED_VALUE"""),"Why 'metalbashers' will become software giants")</f>
        <v>Why 'metalbashers' will become software giants</v>
      </c>
      <c r="N665" s="4" t="str">
        <f>IFERROR(__xludf.DUMMYFUNCTION("""COMPUTED_VALUE"""),"Christopher Heiser, Renovo Auto")</f>
        <v>Christopher Heiser, Renovo Auto</v>
      </c>
      <c r="O665" s="4" t="str">
        <f>IFERROR(__xludf.DUMMYFUNCTION("""COMPUTED_VALUE"""),"")</f>
        <v/>
      </c>
      <c r="P665" s="4" t="str">
        <f>IFERROR(__xludf.DUMMYFUNCTION("""COMPUTED_VALUE"""),"")</f>
        <v/>
      </c>
      <c r="Q665" s="4" t="str">
        <f>IFERROR(__xludf.DUMMYFUNCTION("""COMPUTED_VALUE"""),"")</f>
        <v/>
      </c>
      <c r="R665" s="4" t="str">
        <f>IFERROR(__xludf.DUMMYFUNCTION("""COMPUTED_VALUE"""),"")</f>
        <v/>
      </c>
      <c r="S665" s="4" t="str">
        <f>IFERROR(__xludf.DUMMYFUNCTION("""COMPUTED_VALUE"""),"Automobiles will be part of our society for a long time, and consumers will continue to look to trusted brands for their cars. But early movers (such as Tesla) that are embracing advanced software, data and edge computing are beating their traditional riv"&amp;"als. In this talk we're going to learn why automakers need to join in or get out of the way,")</f>
        <v>Automobiles will be part of our society for a long time, and consumers will continue to look to trusted brands for their cars. But early movers (such as Tesla) that are embracing advanced software, data and edge computing are beating their traditional rivals. In this talk we're going to learn why automakers need to join in or get out of the way,</v>
      </c>
      <c r="T665" s="4" t="str">
        <f>IFERROR(__xludf.DUMMYFUNCTION("""COMPUTED_VALUE"""),"NON-KEYNOTE 9 - COMPLETE")</f>
        <v>NON-KEYNOTE 9 - COMPLETE</v>
      </c>
      <c r="U665" s="23">
        <f>IFERROR(__xludf.DUMMYFUNCTION("""COMPUTED_VALUE"""),43980.0)</f>
        <v>43980</v>
      </c>
      <c r="V665" s="4" t="str">
        <f>IFERROR(__xludf.DUMMYFUNCTION("""COMPUTED_VALUE"""),"Darragh editing at the moment")</f>
        <v>Darragh editing at the moment</v>
      </c>
      <c r="W665" s="4" t="str">
        <f>IFERROR(__xludf.DUMMYFUNCTION("""COMPUTED_VALUE"""),"COMPLETE")</f>
        <v>COMPLETE</v>
      </c>
      <c r="X665" s="4" t="str">
        <f>IFERROR(__xludf.DUMMYFUNCTION("""COMPUTED_VALUE"""),"NA")</f>
        <v>NA</v>
      </c>
      <c r="Y665" s="4" t="str">
        <f>IFERROR(__xludf.DUMMYFUNCTION("""COMPUTED_VALUE"""),"")</f>
        <v/>
      </c>
    </row>
    <row r="666">
      <c r="A666" s="4" t="str">
        <f>IFERROR(__xludf.DUMMYFUNCTION("""COMPUTED_VALUE"""),"756 - Channel")</f>
        <v>756 - Channel</v>
      </c>
      <c r="B666" s="4" t="str">
        <f>IFERROR(__xludf.DUMMYFUNCTION("""COMPUTED_VALUE"""),"Channel 2")</f>
        <v>Channel 2</v>
      </c>
      <c r="C666" s="4" t="str">
        <f>IFERROR(__xludf.DUMMYFUNCTION("""COMPUTED_VALUE"""),"Day 3 - 25/06")</f>
        <v>Day 3 - 25/06</v>
      </c>
      <c r="D666" s="6">
        <f>IFERROR(__xludf.DUMMYFUNCTION("""COMPUTED_VALUE"""),0.6310995370370386)</f>
        <v>0.631099537</v>
      </c>
      <c r="E666" s="6">
        <f>IFERROR(__xludf.DUMMYFUNCTION("""COMPUTED_VALUE"""),1.7361111111111112E-4)</f>
        <v>0.0001736111111</v>
      </c>
      <c r="F666" s="6">
        <f>IFERROR(__xludf.DUMMYFUNCTION("""COMPUTED_VALUE"""),0.6312731481481497)</f>
        <v>0.6312731481</v>
      </c>
      <c r="G666" s="4" t="str">
        <f>IFERROR(__xludf.DUMMYFUNCTION("""COMPUTED_VALUE"""),"Graphics")</f>
        <v>Graphics</v>
      </c>
      <c r="H666" s="4" t="str">
        <f>IFERROR(__xludf.DUMMYFUNCTION("""COMPUTED_VALUE"""),"")</f>
        <v/>
      </c>
      <c r="I666" s="4" t="str">
        <f>IFERROR(__xludf.DUMMYFUNCTION("""COMPUTED_VALUE"""),"")</f>
        <v/>
      </c>
      <c r="J666" s="4" t="str">
        <f>IFERROR(__xludf.DUMMYFUNCTION("""COMPUTED_VALUE"""),"Cars")</f>
        <v>Cars</v>
      </c>
      <c r="K666" s="4" t="str">
        <f>IFERROR(__xludf.DUMMYFUNCTION("""COMPUTED_VALUE"""),"Talk Outro")</f>
        <v>Talk Outro</v>
      </c>
      <c r="L666" s="4" t="str">
        <f>IFERROR(__xludf.DUMMYFUNCTION("""COMPUTED_VALUE"""),"")</f>
        <v/>
      </c>
      <c r="M666" s="4" t="str">
        <f>IFERROR(__xludf.DUMMYFUNCTION("""COMPUTED_VALUE"""),"Talk Outro")</f>
        <v>Talk Outro</v>
      </c>
      <c r="N666" s="4" t="str">
        <f>IFERROR(__xludf.DUMMYFUNCTION("""COMPUTED_VALUE"""),"")</f>
        <v/>
      </c>
      <c r="O666" s="4" t="str">
        <f>IFERROR(__xludf.DUMMYFUNCTION("""COMPUTED_VALUE"""),"")</f>
        <v/>
      </c>
      <c r="P666" s="4" t="str">
        <f>IFERROR(__xludf.DUMMYFUNCTION("""COMPUTED_VALUE"""),"")</f>
        <v/>
      </c>
      <c r="Q666" s="4" t="str">
        <f>IFERROR(__xludf.DUMMYFUNCTION("""COMPUTED_VALUE"""),"")</f>
        <v/>
      </c>
      <c r="R666" s="4" t="str">
        <f>IFERROR(__xludf.DUMMYFUNCTION("""COMPUTED_VALUE"""),"")</f>
        <v/>
      </c>
      <c r="S666" s="4" t="str">
        <f>IFERROR(__xludf.DUMMYFUNCTION("""COMPUTED_VALUE"""),"")</f>
        <v/>
      </c>
      <c r="T666" s="4" t="str">
        <f>IFERROR(__xludf.DUMMYFUNCTION("""COMPUTED_VALUE"""),"")</f>
        <v/>
      </c>
      <c r="U666" s="4" t="str">
        <f>IFERROR(__xludf.DUMMYFUNCTION("""COMPUTED_VALUE"""),"")</f>
        <v/>
      </c>
      <c r="V666" s="4" t="str">
        <f>IFERROR(__xludf.DUMMYFUNCTION("""COMPUTED_VALUE"""),"")</f>
        <v/>
      </c>
      <c r="W666" s="4" t="str">
        <f>IFERROR(__xludf.DUMMYFUNCTION("""COMPUTED_VALUE"""),"")</f>
        <v/>
      </c>
      <c r="X666" s="4" t="str">
        <f>IFERROR(__xludf.DUMMYFUNCTION("""COMPUTED_VALUE"""),"")</f>
        <v/>
      </c>
      <c r="Y666" s="4" t="str">
        <f>IFERROR(__xludf.DUMMYFUNCTION("""COMPUTED_VALUE"""),"")</f>
        <v/>
      </c>
    </row>
    <row r="667">
      <c r="A667" s="4" t="str">
        <f>IFERROR(__xludf.DUMMYFUNCTION("""COMPUTED_VALUE"""),"757 - Channel")</f>
        <v>757 - Channel</v>
      </c>
      <c r="B667" s="4" t="str">
        <f>IFERROR(__xludf.DUMMYFUNCTION("""COMPUTED_VALUE"""),"Channel 2")</f>
        <v>Channel 2</v>
      </c>
      <c r="C667" s="4" t="str">
        <f>IFERROR(__xludf.DUMMYFUNCTION("""COMPUTED_VALUE"""),"Day 3 - 25/06")</f>
        <v>Day 3 - 25/06</v>
      </c>
      <c r="D667" s="6">
        <f>IFERROR(__xludf.DUMMYFUNCTION("""COMPUTED_VALUE"""),0.6312731481481497)</f>
        <v>0.6312731481</v>
      </c>
      <c r="E667" s="6">
        <f>IFERROR(__xludf.DUMMYFUNCTION("""COMPUTED_VALUE"""),1.7361111111111112E-4)</f>
        <v>0.0001736111111</v>
      </c>
      <c r="F667" s="6">
        <f>IFERROR(__xludf.DUMMYFUNCTION("""COMPUTED_VALUE"""),0.6314467592592609)</f>
        <v>0.6314467593</v>
      </c>
      <c r="G667" s="4" t="str">
        <f>IFERROR(__xludf.DUMMYFUNCTION("""COMPUTED_VALUE"""),"P&amp;E")</f>
        <v>P&amp;E</v>
      </c>
      <c r="H667" s="4" t="str">
        <f>IFERROR(__xludf.DUMMYFUNCTION("""COMPUTED_VALUE"""),"")</f>
        <v/>
      </c>
      <c r="I667" s="4" t="str">
        <f>IFERROR(__xludf.DUMMYFUNCTION("""COMPUTED_VALUE"""),"")</f>
        <v/>
      </c>
      <c r="J667" s="4" t="str">
        <f>IFERROR(__xludf.DUMMYFUNCTION("""COMPUTED_VALUE"""),"Cars")</f>
        <v>Cars</v>
      </c>
      <c r="K667" s="4" t="str">
        <f>IFERROR(__xludf.DUMMYFUNCTION("""COMPUTED_VALUE"""),"Partner ad")</f>
        <v>Partner ad</v>
      </c>
      <c r="L667" s="4" t="str">
        <f>IFERROR(__xludf.DUMMYFUNCTION("""COMPUTED_VALUE"""),"")</f>
        <v/>
      </c>
      <c r="M667" s="4" t="str">
        <f>IFERROR(__xludf.DUMMYFUNCTION("""COMPUTED_VALUE"""),"Partner Adroll #6 - CITY OF LISBON")</f>
        <v>Partner Adroll #6 - CITY OF LISBON</v>
      </c>
      <c r="N667" s="4" t="str">
        <f>IFERROR(__xludf.DUMMYFUNCTION("""COMPUTED_VALUE"""),"")</f>
        <v/>
      </c>
      <c r="O667" s="4" t="str">
        <f>IFERROR(__xludf.DUMMYFUNCTION("""COMPUTED_VALUE"""),"")</f>
        <v/>
      </c>
      <c r="P667" s="4" t="str">
        <f>IFERROR(__xludf.DUMMYFUNCTION("""COMPUTED_VALUE"""),"")</f>
        <v/>
      </c>
      <c r="Q667" s="4" t="str">
        <f>IFERROR(__xludf.DUMMYFUNCTION("""COMPUTED_VALUE"""),"")</f>
        <v/>
      </c>
      <c r="R667" s="4" t="str">
        <f>IFERROR(__xludf.DUMMYFUNCTION("""COMPUTED_VALUE"""),"")</f>
        <v/>
      </c>
      <c r="S667" s="4" t="str">
        <f>IFERROR(__xludf.DUMMYFUNCTION("""COMPUTED_VALUE"""),"")</f>
        <v/>
      </c>
      <c r="T667" s="4" t="str">
        <f>IFERROR(__xludf.DUMMYFUNCTION("""COMPUTED_VALUE"""),"")</f>
        <v/>
      </c>
      <c r="U667" s="4" t="str">
        <f>IFERROR(__xludf.DUMMYFUNCTION("""COMPUTED_VALUE"""),"")</f>
        <v/>
      </c>
      <c r="V667" s="4" t="str">
        <f>IFERROR(__xludf.DUMMYFUNCTION("""COMPUTED_VALUE"""),"")</f>
        <v/>
      </c>
      <c r="W667" s="4" t="str">
        <f>IFERROR(__xludf.DUMMYFUNCTION("""COMPUTED_VALUE"""),"")</f>
        <v/>
      </c>
      <c r="X667" s="4" t="str">
        <f>IFERROR(__xludf.DUMMYFUNCTION("""COMPUTED_VALUE"""),"")</f>
        <v/>
      </c>
      <c r="Y667" s="4" t="str">
        <f>IFERROR(__xludf.DUMMYFUNCTION("""COMPUTED_VALUE"""),"")</f>
        <v/>
      </c>
    </row>
    <row r="668">
      <c r="A668" s="4" t="str">
        <f>IFERROR(__xludf.DUMMYFUNCTION("""COMPUTED_VALUE"""),"758 - Channel")</f>
        <v>758 - Channel</v>
      </c>
      <c r="B668" s="4" t="str">
        <f>IFERROR(__xludf.DUMMYFUNCTION("""COMPUTED_VALUE"""),"Channel 2")</f>
        <v>Channel 2</v>
      </c>
      <c r="C668" s="4" t="str">
        <f>IFERROR(__xludf.DUMMYFUNCTION("""COMPUTED_VALUE"""),"Day 3 - 25/06")</f>
        <v>Day 3 - 25/06</v>
      </c>
      <c r="D668" s="6">
        <f>IFERROR(__xludf.DUMMYFUNCTION("""COMPUTED_VALUE"""),0.6314467592592609)</f>
        <v>0.6314467593</v>
      </c>
      <c r="E668" s="6">
        <f>IFERROR(__xludf.DUMMYFUNCTION("""COMPUTED_VALUE"""),3.4722222222222224E-4)</f>
        <v>0.0003472222222</v>
      </c>
      <c r="F668" s="6">
        <f>IFERROR(__xludf.DUMMYFUNCTION("""COMPUTED_VALUE"""),0.6317939814814831)</f>
        <v>0.6317939815</v>
      </c>
      <c r="G668" s="4" t="str">
        <f>IFERROR(__xludf.DUMMYFUNCTION("""COMPUTED_VALUE"""),"Graphics")</f>
        <v>Graphics</v>
      </c>
      <c r="H668" s="4" t="str">
        <f>IFERROR(__xludf.DUMMYFUNCTION("""COMPUTED_VALUE"""),"")</f>
        <v/>
      </c>
      <c r="I668" s="4" t="str">
        <f>IFERROR(__xludf.DUMMYFUNCTION("""COMPUTED_VALUE"""),"")</f>
        <v/>
      </c>
      <c r="J668" s="4" t="str">
        <f>IFERROR(__xludf.DUMMYFUNCTION("""COMPUTED_VALUE"""),"Cars")</f>
        <v>Cars</v>
      </c>
      <c r="K668" s="4" t="str">
        <f>IFERROR(__xludf.DUMMYFUNCTION("""COMPUTED_VALUE"""),"Web Summit Trailer - short")</f>
        <v>Web Summit Trailer - short</v>
      </c>
      <c r="L668" s="4" t="str">
        <f>IFERROR(__xludf.DUMMYFUNCTION("""COMPUTED_VALUE"""),"")</f>
        <v/>
      </c>
      <c r="M668" s="4" t="str">
        <f>IFERROR(__xludf.DUMMYFUNCTION("""COMPUTED_VALUE"""),"Web Summit Trailer - short")</f>
        <v>Web Summit Trailer - short</v>
      </c>
      <c r="N668" s="4" t="str">
        <f>IFERROR(__xludf.DUMMYFUNCTION("""COMPUTED_VALUE"""),"")</f>
        <v/>
      </c>
      <c r="O668" s="4" t="str">
        <f>IFERROR(__xludf.DUMMYFUNCTION("""COMPUTED_VALUE"""),"")</f>
        <v/>
      </c>
      <c r="P668" s="4" t="str">
        <f>IFERROR(__xludf.DUMMYFUNCTION("""COMPUTED_VALUE"""),"")</f>
        <v/>
      </c>
      <c r="Q668" s="4" t="str">
        <f>IFERROR(__xludf.DUMMYFUNCTION("""COMPUTED_VALUE"""),"")</f>
        <v/>
      </c>
      <c r="R668" s="4" t="str">
        <f>IFERROR(__xludf.DUMMYFUNCTION("""COMPUTED_VALUE"""),"")</f>
        <v/>
      </c>
      <c r="S668" s="4" t="str">
        <f>IFERROR(__xludf.DUMMYFUNCTION("""COMPUTED_VALUE"""),"")</f>
        <v/>
      </c>
      <c r="T668" s="4" t="str">
        <f>IFERROR(__xludf.DUMMYFUNCTION("""COMPUTED_VALUE"""),"")</f>
        <v/>
      </c>
      <c r="U668" s="4" t="str">
        <f>IFERROR(__xludf.DUMMYFUNCTION("""COMPUTED_VALUE"""),"")</f>
        <v/>
      </c>
      <c r="V668" s="4" t="str">
        <f>IFERROR(__xludf.DUMMYFUNCTION("""COMPUTED_VALUE"""),"")</f>
        <v/>
      </c>
      <c r="W668" s="4" t="str">
        <f>IFERROR(__xludf.DUMMYFUNCTION("""COMPUTED_VALUE"""),"")</f>
        <v/>
      </c>
      <c r="X668" s="4" t="str">
        <f>IFERROR(__xludf.DUMMYFUNCTION("""COMPUTED_VALUE"""),"")</f>
        <v/>
      </c>
      <c r="Y668" s="4" t="str">
        <f>IFERROR(__xludf.DUMMYFUNCTION("""COMPUTED_VALUE"""),"")</f>
        <v/>
      </c>
    </row>
    <row r="669">
      <c r="A669" s="4" t="str">
        <f>IFERROR(__xludf.DUMMYFUNCTION("""COMPUTED_VALUE"""),"766 - Channel")</f>
        <v>766 - Channel</v>
      </c>
      <c r="B669" s="4" t="str">
        <f>IFERROR(__xludf.DUMMYFUNCTION("""COMPUTED_VALUE"""),"Channel 2")</f>
        <v>Channel 2</v>
      </c>
      <c r="C669" s="4" t="str">
        <f>IFERROR(__xludf.DUMMYFUNCTION("""COMPUTED_VALUE"""),"Day 3 - 25/06")</f>
        <v>Day 3 - 25/06</v>
      </c>
      <c r="D669" s="6">
        <f>IFERROR(__xludf.DUMMYFUNCTION("""COMPUTED_VALUE"""),0.6317939814814831)</f>
        <v>0.6317939815</v>
      </c>
      <c r="E669" s="6">
        <f>IFERROR(__xludf.DUMMYFUNCTION("""COMPUTED_VALUE"""),1.7361111111111112E-4)</f>
        <v>0.0001736111111</v>
      </c>
      <c r="F669" s="6">
        <f>IFERROR(__xludf.DUMMYFUNCTION("""COMPUTED_VALUE"""),0.6319675925925943)</f>
        <v>0.6319675926</v>
      </c>
      <c r="G669" s="4" t="str">
        <f>IFERROR(__xludf.DUMMYFUNCTION("""COMPUTED_VALUE"""),"P&amp;E")</f>
        <v>P&amp;E</v>
      </c>
      <c r="H669" s="4" t="str">
        <f>IFERROR(__xludf.DUMMYFUNCTION("""COMPUTED_VALUE"""),"")</f>
        <v/>
      </c>
      <c r="I669" s="4" t="str">
        <f>IFERROR(__xludf.DUMMYFUNCTION("""COMPUTED_VALUE"""),"")</f>
        <v/>
      </c>
      <c r="J669" s="4" t="str">
        <f>IFERROR(__xludf.DUMMYFUNCTION("""COMPUTED_VALUE"""),"Cars")</f>
        <v>Cars</v>
      </c>
      <c r="K669" s="4" t="str">
        <f>IFERROR(__xludf.DUMMYFUNCTION("""COMPUTED_VALUE"""),"Partner ad")</f>
        <v>Partner ad</v>
      </c>
      <c r="L669" s="4" t="str">
        <f>IFERROR(__xludf.DUMMYFUNCTION("""COMPUTED_VALUE"""),"")</f>
        <v/>
      </c>
      <c r="M669" s="4" t="str">
        <f>IFERROR(__xludf.DUMMYFUNCTION("""COMPUTED_VALUE"""),"Partner Adroll #7 - Hyundai")</f>
        <v>Partner Adroll #7 - Hyundai</v>
      </c>
      <c r="N669" s="4" t="str">
        <f>IFERROR(__xludf.DUMMYFUNCTION("""COMPUTED_VALUE"""),"")</f>
        <v/>
      </c>
      <c r="O669" s="4" t="str">
        <f>IFERROR(__xludf.DUMMYFUNCTION("""COMPUTED_VALUE"""),"")</f>
        <v/>
      </c>
      <c r="P669" s="4" t="str">
        <f>IFERROR(__xludf.DUMMYFUNCTION("""COMPUTED_VALUE"""),"")</f>
        <v/>
      </c>
      <c r="Q669" s="4" t="str">
        <f>IFERROR(__xludf.DUMMYFUNCTION("""COMPUTED_VALUE"""),"")</f>
        <v/>
      </c>
      <c r="R669" s="4" t="str">
        <f>IFERROR(__xludf.DUMMYFUNCTION("""COMPUTED_VALUE"""),"")</f>
        <v/>
      </c>
      <c r="S669" s="4" t="str">
        <f>IFERROR(__xludf.DUMMYFUNCTION("""COMPUTED_VALUE"""),"")</f>
        <v/>
      </c>
      <c r="T669" s="4" t="str">
        <f>IFERROR(__xludf.DUMMYFUNCTION("""COMPUTED_VALUE"""),"")</f>
        <v/>
      </c>
      <c r="U669" s="4" t="str">
        <f>IFERROR(__xludf.DUMMYFUNCTION("""COMPUTED_VALUE"""),"")</f>
        <v/>
      </c>
      <c r="V669" s="4" t="str">
        <f>IFERROR(__xludf.DUMMYFUNCTION("""COMPUTED_VALUE"""),"")</f>
        <v/>
      </c>
      <c r="W669" s="4" t="str">
        <f>IFERROR(__xludf.DUMMYFUNCTION("""COMPUTED_VALUE"""),"")</f>
        <v/>
      </c>
      <c r="X669" s="4" t="str">
        <f>IFERROR(__xludf.DUMMYFUNCTION("""COMPUTED_VALUE"""),"")</f>
        <v/>
      </c>
      <c r="Y669" s="4" t="str">
        <f>IFERROR(__xludf.DUMMYFUNCTION("""COMPUTED_VALUE"""),"")</f>
        <v/>
      </c>
    </row>
    <row r="670">
      <c r="A670" s="4" t="str">
        <f>IFERROR(__xludf.DUMMYFUNCTION("""COMPUTED_VALUE"""),"759 - Channel")</f>
        <v>759 - Channel</v>
      </c>
      <c r="B670" s="4" t="str">
        <f>IFERROR(__xludf.DUMMYFUNCTION("""COMPUTED_VALUE"""),"Channel 2")</f>
        <v>Channel 2</v>
      </c>
      <c r="C670" s="4" t="str">
        <f>IFERROR(__xludf.DUMMYFUNCTION("""COMPUTED_VALUE"""),"Day 3 - 25/06")</f>
        <v>Day 3 - 25/06</v>
      </c>
      <c r="D670" s="6">
        <f>IFERROR(__xludf.DUMMYFUNCTION("""COMPUTED_VALUE"""),0.6317939814814831)</f>
        <v>0.6317939815</v>
      </c>
      <c r="E670" s="6">
        <f>IFERROR(__xludf.DUMMYFUNCTION("""COMPUTED_VALUE"""),3.4722222222222224E-4)</f>
        <v>0.0003472222222</v>
      </c>
      <c r="F670" s="6">
        <f>IFERROR(__xludf.DUMMYFUNCTION("""COMPUTED_VALUE"""),0.6321412037037054)</f>
        <v>0.6321412037</v>
      </c>
      <c r="G670" s="4" t="str">
        <f>IFERROR(__xludf.DUMMYFUNCTION("""COMPUTED_VALUE"""),"Graphics")</f>
        <v>Graphics</v>
      </c>
      <c r="H670" s="4" t="str">
        <f>IFERROR(__xludf.DUMMYFUNCTION("""COMPUTED_VALUE"""),"")</f>
        <v/>
      </c>
      <c r="I670" s="4" t="str">
        <f>IFERROR(__xludf.DUMMYFUNCTION("""COMPUTED_VALUE"""),"")</f>
        <v/>
      </c>
      <c r="J670" s="4" t="str">
        <f>IFERROR(__xludf.DUMMYFUNCTION("""COMPUTED_VALUE"""),"Cars")</f>
        <v>Cars</v>
      </c>
      <c r="K670" s="4" t="str">
        <f>IFERROR(__xludf.DUMMYFUNCTION("""COMPUTED_VALUE"""),"Talk Intro")</f>
        <v>Talk Intro</v>
      </c>
      <c r="L670" s="4" t="str">
        <f>IFERROR(__xludf.DUMMYFUNCTION("""COMPUTED_VALUE"""),"")</f>
        <v/>
      </c>
      <c r="M670" s="4" t="str">
        <f>IFERROR(__xludf.DUMMYFUNCTION("""COMPUTED_VALUE"""),"Talk Intro")</f>
        <v>Talk Intro</v>
      </c>
      <c r="N670" s="4" t="str">
        <f>IFERROR(__xludf.DUMMYFUNCTION("""COMPUTED_VALUE"""),"")</f>
        <v/>
      </c>
      <c r="O670" s="4" t="str">
        <f>IFERROR(__xludf.DUMMYFUNCTION("""COMPUTED_VALUE"""),"")</f>
        <v/>
      </c>
      <c r="P670" s="4" t="str">
        <f>IFERROR(__xludf.DUMMYFUNCTION("""COMPUTED_VALUE"""),"")</f>
        <v/>
      </c>
      <c r="Q670" s="4" t="str">
        <f>IFERROR(__xludf.DUMMYFUNCTION("""COMPUTED_VALUE"""),"")</f>
        <v/>
      </c>
      <c r="R670" s="4" t="str">
        <f>IFERROR(__xludf.DUMMYFUNCTION("""COMPUTED_VALUE"""),"")</f>
        <v/>
      </c>
      <c r="S670" s="4" t="str">
        <f>IFERROR(__xludf.DUMMYFUNCTION("""COMPUTED_VALUE"""),"")</f>
        <v/>
      </c>
      <c r="T670" s="4" t="str">
        <f>IFERROR(__xludf.DUMMYFUNCTION("""COMPUTED_VALUE"""),"")</f>
        <v/>
      </c>
      <c r="U670" s="4" t="str">
        <f>IFERROR(__xludf.DUMMYFUNCTION("""COMPUTED_VALUE"""),"")</f>
        <v/>
      </c>
      <c r="V670" s="4" t="str">
        <f>IFERROR(__xludf.DUMMYFUNCTION("""COMPUTED_VALUE"""),"")</f>
        <v/>
      </c>
      <c r="W670" s="4" t="str">
        <f>IFERROR(__xludf.DUMMYFUNCTION("""COMPUTED_VALUE"""),"")</f>
        <v/>
      </c>
      <c r="X670" s="4" t="str">
        <f>IFERROR(__xludf.DUMMYFUNCTION("""COMPUTED_VALUE"""),"")</f>
        <v/>
      </c>
      <c r="Y670" s="4" t="str">
        <f>IFERROR(__xludf.DUMMYFUNCTION("""COMPUTED_VALUE"""),"")</f>
        <v/>
      </c>
    </row>
    <row r="671">
      <c r="A671" s="4" t="str">
        <f>IFERROR(__xludf.DUMMYFUNCTION("""COMPUTED_VALUE"""),"760 - Channel")</f>
        <v>760 - Channel</v>
      </c>
      <c r="B671" s="4" t="str">
        <f>IFERROR(__xludf.DUMMYFUNCTION("""COMPUTED_VALUE"""),"Channel 2")</f>
        <v>Channel 2</v>
      </c>
      <c r="C671" s="4" t="str">
        <f>IFERROR(__xludf.DUMMYFUNCTION("""COMPUTED_VALUE"""),"Day 3 - 25/06")</f>
        <v>Day 3 - 25/06</v>
      </c>
      <c r="D671" s="6">
        <f>IFERROR(__xludf.DUMMYFUNCTION("""COMPUTED_VALUE"""),0.6321412037037054)</f>
        <v>0.6321412037</v>
      </c>
      <c r="E671" s="6">
        <f>IFERROR(__xludf.DUMMYFUNCTION("""COMPUTED_VALUE"""),0.008333333333333333)</f>
        <v>0.008333333333</v>
      </c>
      <c r="F671" s="6">
        <f>IFERROR(__xludf.DUMMYFUNCTION("""COMPUTED_VALUE"""),0.6404745370370387)</f>
        <v>0.640474537</v>
      </c>
      <c r="G671" s="4" t="str">
        <f>IFERROR(__xludf.DUMMYFUNCTION("""COMPUTED_VALUE"""),"Darragh")</f>
        <v>Darragh</v>
      </c>
      <c r="H671" s="4" t="str">
        <f>IFERROR(__xludf.DUMMYFUNCTION("""COMPUTED_VALUE"""),"N/A")</f>
        <v>N/A</v>
      </c>
      <c r="I671" s="4" t="str">
        <f>IFERROR(__xludf.DUMMYFUNCTION("""COMPUTED_VALUE"""),"Lynn")</f>
        <v>Lynn</v>
      </c>
      <c r="J671" s="4" t="str">
        <f>IFERROR(__xludf.DUMMYFUNCTION("""COMPUTED_VALUE"""),"Cars")</f>
        <v>Cars</v>
      </c>
      <c r="K671" s="4" t="str">
        <f>IFERROR(__xludf.DUMMYFUNCTION("""COMPUTED_VALUE"""),"Keynote")</f>
        <v>Keynote</v>
      </c>
      <c r="L671" s="4" t="str">
        <f>IFERROR(__xludf.DUMMYFUNCTION("""COMPUTED_VALUE"""),"T- 2 - 08/06/2020")</f>
        <v>T- 2 - 08/06/2020</v>
      </c>
      <c r="M671" s="4" t="str">
        <f>IFERROR(__xludf.DUMMYFUNCTION("""COMPUTED_VALUE"""),"Humanizing mobility and innovation")</f>
        <v>Humanizing mobility and innovation</v>
      </c>
      <c r="N671" s="4" t="str">
        <f>IFERROR(__xludf.DUMMYFUNCTION("""COMPUTED_VALUE"""),"Youngcho Chi, Hyundai")</f>
        <v>Youngcho Chi, Hyundai</v>
      </c>
      <c r="O671" s="4" t="str">
        <f>IFERROR(__xludf.DUMMYFUNCTION("""COMPUTED_VALUE"""),"")</f>
        <v/>
      </c>
      <c r="P671" s="4" t="str">
        <f>IFERROR(__xludf.DUMMYFUNCTION("""COMPUTED_VALUE"""),"")</f>
        <v/>
      </c>
      <c r="Q671" s="4" t="str">
        <f>IFERROR(__xludf.DUMMYFUNCTION("""COMPUTED_VALUE"""),"")</f>
        <v/>
      </c>
      <c r="R671" s="4" t="str">
        <f>IFERROR(__xludf.DUMMYFUNCTION("""COMPUTED_VALUE"""),"")</f>
        <v/>
      </c>
      <c r="S671" s="4" t="str">
        <f>IFERROR(__xludf.DUMMYFUNCTION("""COMPUTED_VALUE"""),"The automotive industry has been radically changed, with transformative trends driven by digitalization and the need to become carbon neutral. In this talk, Hyundai CIO and president Youngcho Choi will describe Hyundai’s special approach to human-centered"&amp;" innovation for the future, and what transformation looks like for a smart mobility solution provider.")</f>
        <v>The automotive industry has been radically changed, with transformative trends driven by digitalization and the need to become carbon neutral. In this talk, Hyundai CIO and president Youngcho Choi will describe Hyundai’s special approach to human-centered innovation for the future, and what transformation looks like for a smart mobility solution provider.</v>
      </c>
      <c r="T671" s="4" t="str">
        <f>IFERROR(__xludf.DUMMYFUNCTION("""COMPUTED_VALUE"""),"KEYNOTE 6 - Video to be recorded")</f>
        <v>KEYNOTE 6 - Video to be recorded</v>
      </c>
      <c r="U671" s="23">
        <f>IFERROR(__xludf.DUMMYFUNCTION("""COMPUTED_VALUE"""),43993.0)</f>
        <v>43993</v>
      </c>
      <c r="V671" s="4" t="str">
        <f>IFERROR(__xludf.DUMMYFUNCTION("""COMPUTED_VALUE"""),"Sending themselves")</f>
        <v>Sending themselves</v>
      </c>
      <c r="W671" s="4" t="str">
        <f>IFERROR(__xludf.DUMMYFUNCTION("""COMPUTED_VALUE"""),"")</f>
        <v/>
      </c>
      <c r="X671" s="4" t="str">
        <f>IFERROR(__xludf.DUMMYFUNCTION("""COMPUTED_VALUE"""),"")</f>
        <v/>
      </c>
      <c r="Y671" s="4" t="str">
        <f>IFERROR(__xludf.DUMMYFUNCTION("""COMPUTED_VALUE"""),"")</f>
        <v/>
      </c>
    </row>
    <row r="672">
      <c r="A672" s="4" t="str">
        <f>IFERROR(__xludf.DUMMYFUNCTION("""COMPUTED_VALUE"""),"761 - Channel")</f>
        <v>761 - Channel</v>
      </c>
      <c r="B672" s="4" t="str">
        <f>IFERROR(__xludf.DUMMYFUNCTION("""COMPUTED_VALUE"""),"Channel 2")</f>
        <v>Channel 2</v>
      </c>
      <c r="C672" s="4" t="str">
        <f>IFERROR(__xludf.DUMMYFUNCTION("""COMPUTED_VALUE"""),"Day 3 - 25/06")</f>
        <v>Day 3 - 25/06</v>
      </c>
      <c r="D672" s="6">
        <f>IFERROR(__xludf.DUMMYFUNCTION("""COMPUTED_VALUE"""),0.6404745370370387)</f>
        <v>0.640474537</v>
      </c>
      <c r="E672" s="6">
        <f>IFERROR(__xludf.DUMMYFUNCTION("""COMPUTED_VALUE"""),1.7361111111111112E-4)</f>
        <v>0.0001736111111</v>
      </c>
      <c r="F672" s="6">
        <f>IFERROR(__xludf.DUMMYFUNCTION("""COMPUTED_VALUE"""),0.6406481481481499)</f>
        <v>0.6406481481</v>
      </c>
      <c r="G672" s="4" t="str">
        <f>IFERROR(__xludf.DUMMYFUNCTION("""COMPUTED_VALUE"""),"Graphics")</f>
        <v>Graphics</v>
      </c>
      <c r="H672" s="4" t="str">
        <f>IFERROR(__xludf.DUMMYFUNCTION("""COMPUTED_VALUE"""),"")</f>
        <v/>
      </c>
      <c r="I672" s="4" t="str">
        <f>IFERROR(__xludf.DUMMYFUNCTION("""COMPUTED_VALUE"""),"")</f>
        <v/>
      </c>
      <c r="J672" s="4" t="str">
        <f>IFERROR(__xludf.DUMMYFUNCTION("""COMPUTED_VALUE"""),"Cars")</f>
        <v>Cars</v>
      </c>
      <c r="K672" s="4" t="str">
        <f>IFERROR(__xludf.DUMMYFUNCTION("""COMPUTED_VALUE"""),"Talk Outro")</f>
        <v>Talk Outro</v>
      </c>
      <c r="L672" s="4" t="str">
        <f>IFERROR(__xludf.DUMMYFUNCTION("""COMPUTED_VALUE"""),"")</f>
        <v/>
      </c>
      <c r="M672" s="4" t="str">
        <f>IFERROR(__xludf.DUMMYFUNCTION("""COMPUTED_VALUE"""),"Talk Outro")</f>
        <v>Talk Outro</v>
      </c>
      <c r="N672" s="4" t="str">
        <f>IFERROR(__xludf.DUMMYFUNCTION("""COMPUTED_VALUE"""),"")</f>
        <v/>
      </c>
      <c r="O672" s="4" t="str">
        <f>IFERROR(__xludf.DUMMYFUNCTION("""COMPUTED_VALUE"""),"")</f>
        <v/>
      </c>
      <c r="P672" s="4" t="str">
        <f>IFERROR(__xludf.DUMMYFUNCTION("""COMPUTED_VALUE"""),"")</f>
        <v/>
      </c>
      <c r="Q672" s="4" t="str">
        <f>IFERROR(__xludf.DUMMYFUNCTION("""COMPUTED_VALUE"""),"")</f>
        <v/>
      </c>
      <c r="R672" s="4" t="str">
        <f>IFERROR(__xludf.DUMMYFUNCTION("""COMPUTED_VALUE"""),"")</f>
        <v/>
      </c>
      <c r="S672" s="4" t="str">
        <f>IFERROR(__xludf.DUMMYFUNCTION("""COMPUTED_VALUE"""),"")</f>
        <v/>
      </c>
      <c r="T672" s="4" t="str">
        <f>IFERROR(__xludf.DUMMYFUNCTION("""COMPUTED_VALUE"""),"")</f>
        <v/>
      </c>
      <c r="U672" s="4" t="str">
        <f>IFERROR(__xludf.DUMMYFUNCTION("""COMPUTED_VALUE"""),"")</f>
        <v/>
      </c>
      <c r="V672" s="4" t="str">
        <f>IFERROR(__xludf.DUMMYFUNCTION("""COMPUTED_VALUE"""),"")</f>
        <v/>
      </c>
      <c r="W672" s="4" t="str">
        <f>IFERROR(__xludf.DUMMYFUNCTION("""COMPUTED_VALUE"""),"")</f>
        <v/>
      </c>
      <c r="X672" s="4" t="str">
        <f>IFERROR(__xludf.DUMMYFUNCTION("""COMPUTED_VALUE"""),"")</f>
        <v/>
      </c>
      <c r="Y672" s="4" t="str">
        <f>IFERROR(__xludf.DUMMYFUNCTION("""COMPUTED_VALUE"""),"")</f>
        <v/>
      </c>
    </row>
    <row r="673">
      <c r="A673" s="4" t="str">
        <f>IFERROR(__xludf.DUMMYFUNCTION("""COMPUTED_VALUE"""),"762 - Channel")</f>
        <v>762 - Channel</v>
      </c>
      <c r="B673" s="4" t="str">
        <f>IFERROR(__xludf.DUMMYFUNCTION("""COMPUTED_VALUE"""),"Channel 2")</f>
        <v>Channel 2</v>
      </c>
      <c r="C673" s="4" t="str">
        <f>IFERROR(__xludf.DUMMYFUNCTION("""COMPUTED_VALUE"""),"Day 3 - 25/06")</f>
        <v>Day 3 - 25/06</v>
      </c>
      <c r="D673" s="6">
        <f>IFERROR(__xludf.DUMMYFUNCTION("""COMPUTED_VALUE"""),0.6406481481481499)</f>
        <v>0.6406481481</v>
      </c>
      <c r="E673" s="6">
        <f>IFERROR(__xludf.DUMMYFUNCTION("""COMPUTED_VALUE"""),3.4722222222222224E-4)</f>
        <v>0.0003472222222</v>
      </c>
      <c r="F673" s="6">
        <f>IFERROR(__xludf.DUMMYFUNCTION("""COMPUTED_VALUE"""),0.6409953703703721)</f>
        <v>0.6409953704</v>
      </c>
      <c r="G673" s="4" t="str">
        <f>IFERROR(__xludf.DUMMYFUNCTION("""COMPUTED_VALUE"""),"Startups")</f>
        <v>Startups</v>
      </c>
      <c r="H673" s="4" t="str">
        <f>IFERROR(__xludf.DUMMYFUNCTION("""COMPUTED_VALUE"""),"")</f>
        <v/>
      </c>
      <c r="I673" s="4" t="str">
        <f>IFERROR(__xludf.DUMMYFUNCTION("""COMPUTED_VALUE"""),"")</f>
        <v/>
      </c>
      <c r="J673" s="4" t="str">
        <f>IFERROR(__xludf.DUMMYFUNCTION("""COMPUTED_VALUE"""),"Cars")</f>
        <v>Cars</v>
      </c>
      <c r="K673" s="4" t="str">
        <f>IFERROR(__xludf.DUMMYFUNCTION("""COMPUTED_VALUE"""),"40 Words")</f>
        <v>40 Words</v>
      </c>
      <c r="L673" s="4" t="str">
        <f>IFERROR(__xludf.DUMMYFUNCTION("""COMPUTED_VALUE"""),"")</f>
        <v/>
      </c>
      <c r="M673" s="4" t="str">
        <f>IFERROR(__xludf.DUMMYFUNCTION("""COMPUTED_VALUE"""),"Partner Logo reel - 30 seconds - #1")</f>
        <v>Partner Logo reel - 30 seconds - #1</v>
      </c>
      <c r="N673" s="4" t="str">
        <f>IFERROR(__xludf.DUMMYFUNCTION("""COMPUTED_VALUE"""),"")</f>
        <v/>
      </c>
      <c r="O673" s="4" t="str">
        <f>IFERROR(__xludf.DUMMYFUNCTION("""COMPUTED_VALUE"""),"")</f>
        <v/>
      </c>
      <c r="P673" s="4" t="str">
        <f>IFERROR(__xludf.DUMMYFUNCTION("""COMPUTED_VALUE"""),"")</f>
        <v/>
      </c>
      <c r="Q673" s="4" t="str">
        <f>IFERROR(__xludf.DUMMYFUNCTION("""COMPUTED_VALUE"""),"")</f>
        <v/>
      </c>
      <c r="R673" s="4" t="str">
        <f>IFERROR(__xludf.DUMMYFUNCTION("""COMPUTED_VALUE"""),"")</f>
        <v/>
      </c>
      <c r="S673" s="4" t="str">
        <f>IFERROR(__xludf.DUMMYFUNCTION("""COMPUTED_VALUE"""),"")</f>
        <v/>
      </c>
      <c r="T673" s="4" t="str">
        <f>IFERROR(__xludf.DUMMYFUNCTION("""COMPUTED_VALUE"""),"")</f>
        <v/>
      </c>
      <c r="U673" s="4" t="str">
        <f>IFERROR(__xludf.DUMMYFUNCTION("""COMPUTED_VALUE"""),"")</f>
        <v/>
      </c>
      <c r="V673" s="4" t="str">
        <f>IFERROR(__xludf.DUMMYFUNCTION("""COMPUTED_VALUE"""),"")</f>
        <v/>
      </c>
      <c r="W673" s="4" t="str">
        <f>IFERROR(__xludf.DUMMYFUNCTION("""COMPUTED_VALUE"""),"")</f>
        <v/>
      </c>
      <c r="X673" s="4" t="str">
        <f>IFERROR(__xludf.DUMMYFUNCTION("""COMPUTED_VALUE"""),"")</f>
        <v/>
      </c>
      <c r="Y673" s="4" t="str">
        <f>IFERROR(__xludf.DUMMYFUNCTION("""COMPUTED_VALUE"""),"")</f>
        <v/>
      </c>
    </row>
    <row r="674">
      <c r="A674" s="4" t="str">
        <f>IFERROR(__xludf.DUMMYFUNCTION("""COMPUTED_VALUE"""),"763 - Channel")</f>
        <v>763 - Channel</v>
      </c>
      <c r="B674" s="4" t="str">
        <f>IFERROR(__xludf.DUMMYFUNCTION("""COMPUTED_VALUE"""),"Channel 2")</f>
        <v>Channel 2</v>
      </c>
      <c r="C674" s="4" t="str">
        <f>IFERROR(__xludf.DUMMYFUNCTION("""COMPUTED_VALUE"""),"Day 3 - 25/06")</f>
        <v>Day 3 - 25/06</v>
      </c>
      <c r="D674" s="6">
        <f>IFERROR(__xludf.DUMMYFUNCTION("""COMPUTED_VALUE"""),0.6409953703703721)</f>
        <v>0.6409953704</v>
      </c>
      <c r="E674" s="6">
        <f>IFERROR(__xludf.DUMMYFUNCTION("""COMPUTED_VALUE"""),3.4722222222222224E-4)</f>
        <v>0.0003472222222</v>
      </c>
      <c r="F674" s="6">
        <f>IFERROR(__xludf.DUMMYFUNCTION("""COMPUTED_VALUE"""),0.6413425925925944)</f>
        <v>0.6413425926</v>
      </c>
      <c r="G674" s="4" t="str">
        <f>IFERROR(__xludf.DUMMYFUNCTION("""COMPUTED_VALUE"""),"Graphics")</f>
        <v>Graphics</v>
      </c>
      <c r="H674" s="4" t="str">
        <f>IFERROR(__xludf.DUMMYFUNCTION("""COMPUTED_VALUE"""),"")</f>
        <v/>
      </c>
      <c r="I674" s="4" t="str">
        <f>IFERROR(__xludf.DUMMYFUNCTION("""COMPUTED_VALUE"""),"")</f>
        <v/>
      </c>
      <c r="J674" s="4" t="str">
        <f>IFERROR(__xludf.DUMMYFUNCTION("""COMPUTED_VALUE"""),"Cars")</f>
        <v>Cars</v>
      </c>
      <c r="K674" s="4" t="str">
        <f>IFERROR(__xludf.DUMMYFUNCTION("""COMPUTED_VALUE"""),"Talk Intro")</f>
        <v>Talk Intro</v>
      </c>
      <c r="L674" s="4" t="str">
        <f>IFERROR(__xludf.DUMMYFUNCTION("""COMPUTED_VALUE"""),"")</f>
        <v/>
      </c>
      <c r="M674" s="4" t="str">
        <f>IFERROR(__xludf.DUMMYFUNCTION("""COMPUTED_VALUE"""),"Talk Intro")</f>
        <v>Talk Intro</v>
      </c>
      <c r="N674" s="4" t="str">
        <f>IFERROR(__xludf.DUMMYFUNCTION("""COMPUTED_VALUE"""),"")</f>
        <v/>
      </c>
      <c r="O674" s="4" t="str">
        <f>IFERROR(__xludf.DUMMYFUNCTION("""COMPUTED_VALUE"""),"")</f>
        <v/>
      </c>
      <c r="P674" s="4" t="str">
        <f>IFERROR(__xludf.DUMMYFUNCTION("""COMPUTED_VALUE"""),"")</f>
        <v/>
      </c>
      <c r="Q674" s="4" t="str">
        <f>IFERROR(__xludf.DUMMYFUNCTION("""COMPUTED_VALUE"""),"")</f>
        <v/>
      </c>
      <c r="R674" s="4" t="str">
        <f>IFERROR(__xludf.DUMMYFUNCTION("""COMPUTED_VALUE"""),"")</f>
        <v/>
      </c>
      <c r="S674" s="4" t="str">
        <f>IFERROR(__xludf.DUMMYFUNCTION("""COMPUTED_VALUE"""),"")</f>
        <v/>
      </c>
      <c r="T674" s="4" t="str">
        <f>IFERROR(__xludf.DUMMYFUNCTION("""COMPUTED_VALUE"""),"")</f>
        <v/>
      </c>
      <c r="U674" s="4" t="str">
        <f>IFERROR(__xludf.DUMMYFUNCTION("""COMPUTED_VALUE"""),"")</f>
        <v/>
      </c>
      <c r="V674" s="4" t="str">
        <f>IFERROR(__xludf.DUMMYFUNCTION("""COMPUTED_VALUE"""),"")</f>
        <v/>
      </c>
      <c r="W674" s="4" t="str">
        <f>IFERROR(__xludf.DUMMYFUNCTION("""COMPUTED_VALUE"""),"")</f>
        <v/>
      </c>
      <c r="X674" s="4" t="str">
        <f>IFERROR(__xludf.DUMMYFUNCTION("""COMPUTED_VALUE"""),"")</f>
        <v/>
      </c>
      <c r="Y674" s="4" t="str">
        <f>IFERROR(__xludf.DUMMYFUNCTION("""COMPUTED_VALUE"""),"")</f>
        <v/>
      </c>
    </row>
    <row r="675">
      <c r="A675" s="4" t="str">
        <f>IFERROR(__xludf.DUMMYFUNCTION("""COMPUTED_VALUE"""),"764 - Channel")</f>
        <v>764 - Channel</v>
      </c>
      <c r="B675" s="4" t="str">
        <f>IFERROR(__xludf.DUMMYFUNCTION("""COMPUTED_VALUE"""),"Channel 2")</f>
        <v>Channel 2</v>
      </c>
      <c r="C675" s="4" t="str">
        <f>IFERROR(__xludf.DUMMYFUNCTION("""COMPUTED_VALUE"""),"Day 3 - 25/06")</f>
        <v>Day 3 - 25/06</v>
      </c>
      <c r="D675" s="6">
        <f>IFERROR(__xludf.DUMMYFUNCTION("""COMPUTED_VALUE"""),0.6413425925925944)</f>
        <v>0.6413425926</v>
      </c>
      <c r="E675" s="6">
        <f>IFERROR(__xludf.DUMMYFUNCTION("""COMPUTED_VALUE"""),0.010416666666666666)</f>
        <v>0.01041666667</v>
      </c>
      <c r="F675" s="6">
        <f>IFERROR(__xludf.DUMMYFUNCTION("""COMPUTED_VALUE"""),0.651759259259261)</f>
        <v>0.6517592593</v>
      </c>
      <c r="G675" s="4" t="str">
        <f>IFERROR(__xludf.DUMMYFUNCTION("""COMPUTED_VALUE"""),"Darragh")</f>
        <v>Darragh</v>
      </c>
      <c r="H675" s="4" t="str">
        <f>IFERROR(__xludf.DUMMYFUNCTION("""COMPUTED_VALUE"""),"Eoghan")</f>
        <v>Eoghan</v>
      </c>
      <c r="I675" s="4" t="str">
        <f>IFERROR(__xludf.DUMMYFUNCTION("""COMPUTED_VALUE"""),"Lynn")</f>
        <v>Lynn</v>
      </c>
      <c r="J675" s="4" t="str">
        <f>IFERROR(__xludf.DUMMYFUNCTION("""COMPUTED_VALUE"""),"Cars")</f>
        <v>Cars</v>
      </c>
      <c r="K675" s="4" t="str">
        <f>IFERROR(__xludf.DUMMYFUNCTION("""COMPUTED_VALUE"""),"Panel")</f>
        <v>Panel</v>
      </c>
      <c r="L675" s="4" t="str">
        <f>IFERROR(__xludf.DUMMYFUNCTION("""COMPUTED_VALUE"""),"T- 7 - 04/05/2020")</f>
        <v>T- 7 - 04/05/2020</v>
      </c>
      <c r="M675" s="4" t="str">
        <f>IFERROR(__xludf.DUMMYFUNCTION("""COMPUTED_VALUE"""),"Smart mobility: Lessons from Covid-19")</f>
        <v>Smart mobility: Lessons from Covid-19</v>
      </c>
      <c r="N675" s="4" t="str">
        <f>IFERROR(__xludf.DUMMYFUNCTION("""COMPUTED_VALUE"""),"Paul Asel, NGP Capital")</f>
        <v>Paul Asel, NGP Capital</v>
      </c>
      <c r="O675" s="4" t="str">
        <f>IFERROR(__xludf.DUMMYFUNCTION("""COMPUTED_VALUE"""),"Santosh Sankar, Dynamo")</f>
        <v>Santosh Sankar, Dynamo</v>
      </c>
      <c r="P675" s="4" t="str">
        <f>IFERROR(__xludf.DUMMYFUNCTION("""COMPUTED_VALUE"""),"Corinne Vigreux, Tom Tom")</f>
        <v>Corinne Vigreux, Tom Tom</v>
      </c>
      <c r="Q675" s="4" t="str">
        <f>IFERROR(__xludf.DUMMYFUNCTION("""COMPUTED_VALUE"""),"")</f>
        <v/>
      </c>
      <c r="R675" s="4" t="str">
        <f>IFERROR(__xludf.DUMMYFUNCTION("""COMPUTED_VALUE"""),"Jim Motavalli, The New York Times")</f>
        <v>Jim Motavalli, The New York Times</v>
      </c>
      <c r="S675" s="4" t="str">
        <f>IFERROR(__xludf.DUMMYFUNCTION("""COMPUTED_VALUE"""),"We have learned many things about ourselves during the global lockdown, but what can we take from it in relation to smart mobility? Imagine if we lived in a world where our cars could drive us to the hospital themselves... This panel debates what could ha"&amp;"ve been different if we had the tech ahead of time.")</f>
        <v>We have learned many things about ourselves during the global lockdown, but what can we take from it in relation to smart mobility? Imagine if we lived in a world where our cars could drive us to the hospital themselves... This panel debates what could have been different if we had the tech ahead of time.</v>
      </c>
      <c r="T675" s="4" t="str">
        <f>IFERROR(__xludf.DUMMYFUNCTION("""COMPUTED_VALUE"""),"NON-KEYNOTE 9 - COMPLETE")</f>
        <v>NON-KEYNOTE 9 - COMPLETE</v>
      </c>
      <c r="U675" s="23">
        <f>IFERROR(__xludf.DUMMYFUNCTION("""COMPUTED_VALUE"""),43986.0)</f>
        <v>43986</v>
      </c>
      <c r="V675" s="44">
        <f>IFERROR(__xludf.DUMMYFUNCTION("""COMPUTED_VALUE"""),0.6666666666666666)</f>
        <v>0.6666666667</v>
      </c>
      <c r="W675" s="4" t="str">
        <f>IFERROR(__xludf.DUMMYFUNCTION("""COMPUTED_VALUE"""),"COMPLETE")</f>
        <v>COMPLETE</v>
      </c>
      <c r="X675" s="4" t="str">
        <f>IFERROR(__xludf.DUMMYFUNCTION("""COMPUTED_VALUE"""),"Darragh")</f>
        <v>Darragh</v>
      </c>
      <c r="Y675" s="4" t="str">
        <f>IFERROR(__xludf.DUMMYFUNCTION("""COMPUTED_VALUE"""),"")</f>
        <v/>
      </c>
    </row>
    <row r="676">
      <c r="A676" s="4" t="str">
        <f>IFERROR(__xludf.DUMMYFUNCTION("""COMPUTED_VALUE"""),"765 - Channel")</f>
        <v>765 - Channel</v>
      </c>
      <c r="B676" s="4" t="str">
        <f>IFERROR(__xludf.DUMMYFUNCTION("""COMPUTED_VALUE"""),"Channel 2")</f>
        <v>Channel 2</v>
      </c>
      <c r="C676" s="4" t="str">
        <f>IFERROR(__xludf.DUMMYFUNCTION("""COMPUTED_VALUE"""),"Day 3 - 25/06")</f>
        <v>Day 3 - 25/06</v>
      </c>
      <c r="D676" s="6">
        <f>IFERROR(__xludf.DUMMYFUNCTION("""COMPUTED_VALUE"""),0.651759259259261)</f>
        <v>0.6517592593</v>
      </c>
      <c r="E676" s="6">
        <f>IFERROR(__xludf.DUMMYFUNCTION("""COMPUTED_VALUE"""),1.7361111111111112E-4)</f>
        <v>0.0001736111111</v>
      </c>
      <c r="F676" s="6">
        <f>IFERROR(__xludf.DUMMYFUNCTION("""COMPUTED_VALUE"""),0.6519328703703722)</f>
        <v>0.6519328704</v>
      </c>
      <c r="G676" s="4" t="str">
        <f>IFERROR(__xludf.DUMMYFUNCTION("""COMPUTED_VALUE"""),"Graphics")</f>
        <v>Graphics</v>
      </c>
      <c r="H676" s="4" t="str">
        <f>IFERROR(__xludf.DUMMYFUNCTION("""COMPUTED_VALUE"""),"")</f>
        <v/>
      </c>
      <c r="I676" s="4" t="str">
        <f>IFERROR(__xludf.DUMMYFUNCTION("""COMPUTED_VALUE"""),"")</f>
        <v/>
      </c>
      <c r="J676" s="4" t="str">
        <f>IFERROR(__xludf.DUMMYFUNCTION("""COMPUTED_VALUE"""),"Cars")</f>
        <v>Cars</v>
      </c>
      <c r="K676" s="4" t="str">
        <f>IFERROR(__xludf.DUMMYFUNCTION("""COMPUTED_VALUE"""),"Talk Outro")</f>
        <v>Talk Outro</v>
      </c>
      <c r="L676" s="4" t="str">
        <f>IFERROR(__xludf.DUMMYFUNCTION("""COMPUTED_VALUE"""),"")</f>
        <v/>
      </c>
      <c r="M676" s="4" t="str">
        <f>IFERROR(__xludf.DUMMYFUNCTION("""COMPUTED_VALUE"""),"Talk Outro")</f>
        <v>Talk Outro</v>
      </c>
      <c r="N676" s="4" t="str">
        <f>IFERROR(__xludf.DUMMYFUNCTION("""COMPUTED_VALUE"""),"")</f>
        <v/>
      </c>
      <c r="O676" s="4" t="str">
        <f>IFERROR(__xludf.DUMMYFUNCTION("""COMPUTED_VALUE"""),"")</f>
        <v/>
      </c>
      <c r="P676" s="4" t="str">
        <f>IFERROR(__xludf.DUMMYFUNCTION("""COMPUTED_VALUE"""),"")</f>
        <v/>
      </c>
      <c r="Q676" s="4" t="str">
        <f>IFERROR(__xludf.DUMMYFUNCTION("""COMPUTED_VALUE"""),"")</f>
        <v/>
      </c>
      <c r="R676" s="4" t="str">
        <f>IFERROR(__xludf.DUMMYFUNCTION("""COMPUTED_VALUE"""),"")</f>
        <v/>
      </c>
      <c r="S676" s="4" t="str">
        <f>IFERROR(__xludf.DUMMYFUNCTION("""COMPUTED_VALUE"""),"")</f>
        <v/>
      </c>
      <c r="T676" s="4" t="str">
        <f>IFERROR(__xludf.DUMMYFUNCTION("""COMPUTED_VALUE"""),"")</f>
        <v/>
      </c>
      <c r="U676" s="4" t="str">
        <f>IFERROR(__xludf.DUMMYFUNCTION("""COMPUTED_VALUE"""),"")</f>
        <v/>
      </c>
      <c r="V676" s="4" t="str">
        <f>IFERROR(__xludf.DUMMYFUNCTION("""COMPUTED_VALUE"""),"")</f>
        <v/>
      </c>
      <c r="W676" s="4" t="str">
        <f>IFERROR(__xludf.DUMMYFUNCTION("""COMPUTED_VALUE"""),"")</f>
        <v/>
      </c>
      <c r="X676" s="4" t="str">
        <f>IFERROR(__xludf.DUMMYFUNCTION("""COMPUTED_VALUE"""),"")</f>
        <v/>
      </c>
      <c r="Y676" s="4" t="str">
        <f>IFERROR(__xludf.DUMMYFUNCTION("""COMPUTED_VALUE"""),"")</f>
        <v/>
      </c>
    </row>
    <row r="677">
      <c r="A677" s="4" t="str">
        <f>IFERROR(__xludf.DUMMYFUNCTION("""COMPUTED_VALUE"""),"767 - Channel")</f>
        <v>767 - Channel</v>
      </c>
      <c r="B677" s="4" t="str">
        <f>IFERROR(__xludf.DUMMYFUNCTION("""COMPUTED_VALUE"""),"Channel 2")</f>
        <v>Channel 2</v>
      </c>
      <c r="C677" s="4" t="str">
        <f>IFERROR(__xludf.DUMMYFUNCTION("""COMPUTED_VALUE"""),"Day 3 - 25/06")</f>
        <v>Day 3 - 25/06</v>
      </c>
      <c r="D677" s="6">
        <f>IFERROR(__xludf.DUMMYFUNCTION("""COMPUTED_VALUE"""),0.6519328703703722)</f>
        <v>0.6519328704</v>
      </c>
      <c r="E677" s="6">
        <f>IFERROR(__xludf.DUMMYFUNCTION("""COMPUTED_VALUE"""),3.4722222222222224E-4)</f>
        <v>0.0003472222222</v>
      </c>
      <c r="F677" s="6">
        <f>IFERROR(__xludf.DUMMYFUNCTION("""COMPUTED_VALUE"""),0.6522800925925945)</f>
        <v>0.6522800926</v>
      </c>
      <c r="G677" s="4" t="str">
        <f>IFERROR(__xludf.DUMMYFUNCTION("""COMPUTED_VALUE"""),"Graphics")</f>
        <v>Graphics</v>
      </c>
      <c r="H677" s="4" t="str">
        <f>IFERROR(__xludf.DUMMYFUNCTION("""COMPUTED_VALUE"""),"")</f>
        <v/>
      </c>
      <c r="I677" s="4" t="str">
        <f>IFERROR(__xludf.DUMMYFUNCTION("""COMPUTED_VALUE"""),"")</f>
        <v/>
      </c>
      <c r="J677" s="4" t="str">
        <f>IFERROR(__xludf.DUMMYFUNCTION("""COMPUTED_VALUE"""),"Cars")</f>
        <v>Cars</v>
      </c>
      <c r="K677" s="4" t="str">
        <f>IFERROR(__xludf.DUMMYFUNCTION("""COMPUTED_VALUE"""),"Talk Intro")</f>
        <v>Talk Intro</v>
      </c>
      <c r="L677" s="4" t="str">
        <f>IFERROR(__xludf.DUMMYFUNCTION("""COMPUTED_VALUE"""),"")</f>
        <v/>
      </c>
      <c r="M677" s="4" t="str">
        <f>IFERROR(__xludf.DUMMYFUNCTION("""COMPUTED_VALUE"""),"Talk Intro")</f>
        <v>Talk Intro</v>
      </c>
      <c r="N677" s="4" t="str">
        <f>IFERROR(__xludf.DUMMYFUNCTION("""COMPUTED_VALUE"""),"")</f>
        <v/>
      </c>
      <c r="O677" s="4" t="str">
        <f>IFERROR(__xludf.DUMMYFUNCTION("""COMPUTED_VALUE"""),"")</f>
        <v/>
      </c>
      <c r="P677" s="4" t="str">
        <f>IFERROR(__xludf.DUMMYFUNCTION("""COMPUTED_VALUE"""),"")</f>
        <v/>
      </c>
      <c r="Q677" s="4" t="str">
        <f>IFERROR(__xludf.DUMMYFUNCTION("""COMPUTED_VALUE"""),"")</f>
        <v/>
      </c>
      <c r="R677" s="4" t="str">
        <f>IFERROR(__xludf.DUMMYFUNCTION("""COMPUTED_VALUE"""),"")</f>
        <v/>
      </c>
      <c r="S677" s="4" t="str">
        <f>IFERROR(__xludf.DUMMYFUNCTION("""COMPUTED_VALUE"""),"")</f>
        <v/>
      </c>
      <c r="T677" s="4" t="str">
        <f>IFERROR(__xludf.DUMMYFUNCTION("""COMPUTED_VALUE"""),"")</f>
        <v/>
      </c>
      <c r="U677" s="4" t="str">
        <f>IFERROR(__xludf.DUMMYFUNCTION("""COMPUTED_VALUE"""),"")</f>
        <v/>
      </c>
      <c r="V677" s="4" t="str">
        <f>IFERROR(__xludf.DUMMYFUNCTION("""COMPUTED_VALUE"""),"")</f>
        <v/>
      </c>
      <c r="W677" s="4" t="str">
        <f>IFERROR(__xludf.DUMMYFUNCTION("""COMPUTED_VALUE"""),"")</f>
        <v/>
      </c>
      <c r="X677" s="4" t="str">
        <f>IFERROR(__xludf.DUMMYFUNCTION("""COMPUTED_VALUE"""),"")</f>
        <v/>
      </c>
      <c r="Y677" s="4" t="str">
        <f>IFERROR(__xludf.DUMMYFUNCTION("""COMPUTED_VALUE"""),"")</f>
        <v/>
      </c>
    </row>
    <row r="678">
      <c r="A678" s="4" t="str">
        <f>IFERROR(__xludf.DUMMYFUNCTION("""COMPUTED_VALUE"""),"768 - Channel")</f>
        <v>768 - Channel</v>
      </c>
      <c r="B678" s="4" t="str">
        <f>IFERROR(__xludf.DUMMYFUNCTION("""COMPUTED_VALUE"""),"Channel 2")</f>
        <v>Channel 2</v>
      </c>
      <c r="C678" s="4" t="str">
        <f>IFERROR(__xludf.DUMMYFUNCTION("""COMPUTED_VALUE"""),"Day 3 - 25/06")</f>
        <v>Day 3 - 25/06</v>
      </c>
      <c r="D678" s="6">
        <f>IFERROR(__xludf.DUMMYFUNCTION("""COMPUTED_VALUE"""),0.6522800925925945)</f>
        <v>0.6522800926</v>
      </c>
      <c r="E678" s="6">
        <f>IFERROR(__xludf.DUMMYFUNCTION("""COMPUTED_VALUE"""),0.006030092592592593)</f>
        <v>0.006030092593</v>
      </c>
      <c r="F678" s="6">
        <f>IFERROR(__xludf.DUMMYFUNCTION("""COMPUTED_VALUE"""),0.658310185185187)</f>
        <v>0.6583101852</v>
      </c>
      <c r="G678" s="4" t="str">
        <f>IFERROR(__xludf.DUMMYFUNCTION("""COMPUTED_VALUE"""),"Darragh")</f>
        <v>Darragh</v>
      </c>
      <c r="H678" s="4" t="str">
        <f>IFERROR(__xludf.DUMMYFUNCTION("""COMPUTED_VALUE"""),"N/A")</f>
        <v>N/A</v>
      </c>
      <c r="I678" s="4" t="str">
        <f>IFERROR(__xludf.DUMMYFUNCTION("""COMPUTED_VALUE"""),"Lynn")</f>
        <v>Lynn</v>
      </c>
      <c r="J678" s="4" t="str">
        <f>IFERROR(__xludf.DUMMYFUNCTION("""COMPUTED_VALUE"""),"Cars")</f>
        <v>Cars</v>
      </c>
      <c r="K678" s="4" t="str">
        <f>IFERROR(__xludf.DUMMYFUNCTION("""COMPUTED_VALUE"""),"Keynote")</f>
        <v>Keynote</v>
      </c>
      <c r="L678" s="4" t="str">
        <f>IFERROR(__xludf.DUMMYFUNCTION("""COMPUTED_VALUE"""),"T- 4 - 25/05/2020")</f>
        <v>T- 4 - 25/05/2020</v>
      </c>
      <c r="M678" s="4" t="str">
        <f>IFERROR(__xludf.DUMMYFUNCTION("""COMPUTED_VALUE"""),"Economic uncertainty or opportunity? The story of Shift")</f>
        <v>Economic uncertainty or opportunity? The story of Shift</v>
      </c>
      <c r="N678" s="4" t="str">
        <f>IFERROR(__xludf.DUMMYFUNCTION("""COMPUTED_VALUE"""),"George Arison, Shift")</f>
        <v>George Arison, Shift</v>
      </c>
      <c r="O678" s="4" t="str">
        <f>IFERROR(__xludf.DUMMYFUNCTION("""COMPUTED_VALUE"""),"")</f>
        <v/>
      </c>
      <c r="P678" s="4" t="str">
        <f>IFERROR(__xludf.DUMMYFUNCTION("""COMPUTED_VALUE"""),"")</f>
        <v/>
      </c>
      <c r="Q678" s="4" t="str">
        <f>IFERROR(__xludf.DUMMYFUNCTION("""COMPUTED_VALUE"""),"")</f>
        <v/>
      </c>
      <c r="R678" s="4" t="str">
        <f>IFERROR(__xludf.DUMMYFUNCTION("""COMPUTED_VALUE"""),"")</f>
        <v/>
      </c>
      <c r="S678" s="4" t="str">
        <f>IFERROR(__xludf.DUMMYFUNCTION("""COMPUTED_VALUE"""),"When George Arrison set up Shift,  an online peer-to-peer marketplace for buying and selling used cars, the move was met with skepticism. Yet the company is still thriving. Are times of economic uncertainty actually the best time to set up a business?")</f>
        <v>When George Arrison set up Shift,  an online peer-to-peer marketplace for buying and selling used cars, the move was met with skepticism. Yet the company is still thriving. Are times of economic uncertainty actually the best time to set up a business?</v>
      </c>
      <c r="T678" s="4" t="str">
        <f>IFERROR(__xludf.DUMMYFUNCTION("""COMPUTED_VALUE"""),"KEYNOTE 8 - COMPLETE")</f>
        <v>KEYNOTE 8 - COMPLETE</v>
      </c>
      <c r="U678" s="23">
        <f>IFERROR(__xludf.DUMMYFUNCTION("""COMPUTED_VALUE"""),43976.0)</f>
        <v>43976</v>
      </c>
      <c r="V678" s="4" t="str">
        <f>IFERROR(__xludf.DUMMYFUNCTION("""COMPUTED_VALUE"""),"")</f>
        <v/>
      </c>
      <c r="W678" s="4" t="str">
        <f>IFERROR(__xludf.DUMMYFUNCTION("""COMPUTED_VALUE"""),"COMPLETE")</f>
        <v>COMPLETE</v>
      </c>
      <c r="X678" s="4" t="str">
        <f>IFERROR(__xludf.DUMMYFUNCTION("""COMPUTED_VALUE"""),"Darragh")</f>
        <v>Darragh</v>
      </c>
      <c r="Y678" s="4" t="str">
        <f>IFERROR(__xludf.DUMMYFUNCTION("""COMPUTED_VALUE"""),"4639959985423377668")</f>
        <v>4639959985423377668</v>
      </c>
    </row>
    <row r="679">
      <c r="A679" s="4" t="str">
        <f>IFERROR(__xludf.DUMMYFUNCTION("""COMPUTED_VALUE"""),"769 - Channel")</f>
        <v>769 - Channel</v>
      </c>
      <c r="B679" s="4" t="str">
        <f>IFERROR(__xludf.DUMMYFUNCTION("""COMPUTED_VALUE"""),"Channel 2")</f>
        <v>Channel 2</v>
      </c>
      <c r="C679" s="4" t="str">
        <f>IFERROR(__xludf.DUMMYFUNCTION("""COMPUTED_VALUE"""),"Day 3 - 25/06")</f>
        <v>Day 3 - 25/06</v>
      </c>
      <c r="D679" s="6">
        <f>IFERROR(__xludf.DUMMYFUNCTION("""COMPUTED_VALUE"""),0.658310185185187)</f>
        <v>0.6583101852</v>
      </c>
      <c r="E679" s="6">
        <f>IFERROR(__xludf.DUMMYFUNCTION("""COMPUTED_VALUE"""),1.7361111111111112E-4)</f>
        <v>0.0001736111111</v>
      </c>
      <c r="F679" s="6">
        <f>IFERROR(__xludf.DUMMYFUNCTION("""COMPUTED_VALUE"""),0.6584837962962982)</f>
        <v>0.6584837963</v>
      </c>
      <c r="G679" s="4" t="str">
        <f>IFERROR(__xludf.DUMMYFUNCTION("""COMPUTED_VALUE"""),"Graphics")</f>
        <v>Graphics</v>
      </c>
      <c r="H679" s="4" t="str">
        <f>IFERROR(__xludf.DUMMYFUNCTION("""COMPUTED_VALUE"""),"")</f>
        <v/>
      </c>
      <c r="I679" s="4" t="str">
        <f>IFERROR(__xludf.DUMMYFUNCTION("""COMPUTED_VALUE"""),"")</f>
        <v/>
      </c>
      <c r="J679" s="4" t="str">
        <f>IFERROR(__xludf.DUMMYFUNCTION("""COMPUTED_VALUE"""),"Cars")</f>
        <v>Cars</v>
      </c>
      <c r="K679" s="4" t="str">
        <f>IFERROR(__xludf.DUMMYFUNCTION("""COMPUTED_VALUE"""),"Talk Outro")</f>
        <v>Talk Outro</v>
      </c>
      <c r="L679" s="4" t="str">
        <f>IFERROR(__xludf.DUMMYFUNCTION("""COMPUTED_VALUE"""),"")</f>
        <v/>
      </c>
      <c r="M679" s="4" t="str">
        <f>IFERROR(__xludf.DUMMYFUNCTION("""COMPUTED_VALUE"""),"Talk Outro")</f>
        <v>Talk Outro</v>
      </c>
      <c r="N679" s="4" t="str">
        <f>IFERROR(__xludf.DUMMYFUNCTION("""COMPUTED_VALUE"""),"")</f>
        <v/>
      </c>
      <c r="O679" s="4" t="str">
        <f>IFERROR(__xludf.DUMMYFUNCTION("""COMPUTED_VALUE"""),"")</f>
        <v/>
      </c>
      <c r="P679" s="4" t="str">
        <f>IFERROR(__xludf.DUMMYFUNCTION("""COMPUTED_VALUE"""),"")</f>
        <v/>
      </c>
      <c r="Q679" s="4" t="str">
        <f>IFERROR(__xludf.DUMMYFUNCTION("""COMPUTED_VALUE"""),"")</f>
        <v/>
      </c>
      <c r="R679" s="4" t="str">
        <f>IFERROR(__xludf.DUMMYFUNCTION("""COMPUTED_VALUE"""),"")</f>
        <v/>
      </c>
      <c r="S679" s="4" t="str">
        <f>IFERROR(__xludf.DUMMYFUNCTION("""COMPUTED_VALUE"""),"")</f>
        <v/>
      </c>
      <c r="T679" s="4" t="str">
        <f>IFERROR(__xludf.DUMMYFUNCTION("""COMPUTED_VALUE"""),"")</f>
        <v/>
      </c>
      <c r="U679" s="4" t="str">
        <f>IFERROR(__xludf.DUMMYFUNCTION("""COMPUTED_VALUE"""),"")</f>
        <v/>
      </c>
      <c r="V679" s="4" t="str">
        <f>IFERROR(__xludf.DUMMYFUNCTION("""COMPUTED_VALUE"""),"")</f>
        <v/>
      </c>
      <c r="W679" s="4" t="str">
        <f>IFERROR(__xludf.DUMMYFUNCTION("""COMPUTED_VALUE"""),"")</f>
        <v/>
      </c>
      <c r="X679" s="4" t="str">
        <f>IFERROR(__xludf.DUMMYFUNCTION("""COMPUTED_VALUE"""),"")</f>
        <v/>
      </c>
      <c r="Y679" s="4" t="str">
        <f>IFERROR(__xludf.DUMMYFUNCTION("""COMPUTED_VALUE"""),"")</f>
        <v/>
      </c>
    </row>
    <row r="680">
      <c r="A680" s="4" t="str">
        <f>IFERROR(__xludf.DUMMYFUNCTION("""COMPUTED_VALUE"""),"1646 - Channel")</f>
        <v>1646 - Channel</v>
      </c>
      <c r="B680" s="4" t="str">
        <f>IFERROR(__xludf.DUMMYFUNCTION("""COMPUTED_VALUE"""),"Channel 2")</f>
        <v>Channel 2</v>
      </c>
      <c r="C680" s="4" t="str">
        <f>IFERROR(__xludf.DUMMYFUNCTION("""COMPUTED_VALUE"""),"Day 3 - 25/06")</f>
        <v>Day 3 - 25/06</v>
      </c>
      <c r="D680" s="6">
        <f>IFERROR(__xludf.DUMMYFUNCTION("""COMPUTED_VALUE"""),0.6584837962962982)</f>
        <v>0.6584837963</v>
      </c>
      <c r="E680" s="6">
        <f>IFERROR(__xludf.DUMMYFUNCTION("""COMPUTED_VALUE"""),3.4722222222222224E-4)</f>
        <v>0.0003472222222</v>
      </c>
      <c r="F680" s="6">
        <f>IFERROR(__xludf.DUMMYFUNCTION("""COMPUTED_VALUE"""),0.6588310185185204)</f>
        <v>0.6588310185</v>
      </c>
      <c r="G680" s="4" t="str">
        <f>IFERROR(__xludf.DUMMYFUNCTION("""COMPUTED_VALUE"""),"")</f>
        <v/>
      </c>
      <c r="H680" s="4" t="str">
        <f>IFERROR(__xludf.DUMMYFUNCTION("""COMPUTED_VALUE"""),"")</f>
        <v/>
      </c>
      <c r="I680" s="4" t="str">
        <f>IFERROR(__xludf.DUMMYFUNCTION("""COMPUTED_VALUE"""),"")</f>
        <v/>
      </c>
      <c r="J680" s="4" t="str">
        <f>IFERROR(__xludf.DUMMYFUNCTION("""COMPUTED_VALUE"""),"Cars")</f>
        <v>Cars</v>
      </c>
      <c r="K680" s="4" t="str">
        <f>IFERROR(__xludf.DUMMYFUNCTION("""COMPUTED_VALUE"""),"")</f>
        <v/>
      </c>
      <c r="L680" s="4" t="str">
        <f>IFERROR(__xludf.DUMMYFUNCTION("""COMPUTED_VALUE"""),"")</f>
        <v/>
      </c>
      <c r="M680" s="4" t="str">
        <f>IFERROR(__xludf.DUMMYFUNCTION("""COMPUTED_VALUE"""),"Talk Intro")</f>
        <v>Talk Intro</v>
      </c>
      <c r="N680" s="4" t="str">
        <f>IFERROR(__xludf.DUMMYFUNCTION("""COMPUTED_VALUE"""),"")</f>
        <v/>
      </c>
      <c r="O680" s="4" t="str">
        <f>IFERROR(__xludf.DUMMYFUNCTION("""COMPUTED_VALUE"""),"")</f>
        <v/>
      </c>
      <c r="P680" s="4" t="str">
        <f>IFERROR(__xludf.DUMMYFUNCTION("""COMPUTED_VALUE"""),"")</f>
        <v/>
      </c>
      <c r="Q680" s="4" t="str">
        <f>IFERROR(__xludf.DUMMYFUNCTION("""COMPUTED_VALUE"""),"")</f>
        <v/>
      </c>
      <c r="R680" s="4" t="str">
        <f>IFERROR(__xludf.DUMMYFUNCTION("""COMPUTED_VALUE"""),"")</f>
        <v/>
      </c>
      <c r="S680" s="4" t="str">
        <f>IFERROR(__xludf.DUMMYFUNCTION("""COMPUTED_VALUE"""),"")</f>
        <v/>
      </c>
      <c r="T680" s="4" t="str">
        <f>IFERROR(__xludf.DUMMYFUNCTION("""COMPUTED_VALUE"""),"")</f>
        <v/>
      </c>
      <c r="U680" s="4" t="str">
        <f>IFERROR(__xludf.DUMMYFUNCTION("""COMPUTED_VALUE"""),"")</f>
        <v/>
      </c>
      <c r="V680" s="4" t="str">
        <f>IFERROR(__xludf.DUMMYFUNCTION("""COMPUTED_VALUE"""),"")</f>
        <v/>
      </c>
      <c r="W680" s="4" t="str">
        <f>IFERROR(__xludf.DUMMYFUNCTION("""COMPUTED_VALUE"""),"")</f>
        <v/>
      </c>
      <c r="X680" s="4" t="str">
        <f>IFERROR(__xludf.DUMMYFUNCTION("""COMPUTED_VALUE"""),"")</f>
        <v/>
      </c>
      <c r="Y680" s="4" t="str">
        <f>IFERROR(__xludf.DUMMYFUNCTION("""COMPUTED_VALUE"""),"")</f>
        <v/>
      </c>
    </row>
    <row r="681">
      <c r="A681" s="4" t="str">
        <f>IFERROR(__xludf.DUMMYFUNCTION("""COMPUTED_VALUE"""),"770 - Channel")</f>
        <v>770 - Channel</v>
      </c>
      <c r="B681" s="4" t="str">
        <f>IFERROR(__xludf.DUMMYFUNCTION("""COMPUTED_VALUE"""),"Channel 2")</f>
        <v>Channel 2</v>
      </c>
      <c r="C681" s="4" t="str">
        <f>IFERROR(__xludf.DUMMYFUNCTION("""COMPUTED_VALUE"""),"Day 3 - 25/06")</f>
        <v>Day 3 - 25/06</v>
      </c>
      <c r="D681" s="6">
        <f>IFERROR(__xludf.DUMMYFUNCTION("""COMPUTED_VALUE"""),0.6588310185185204)</f>
        <v>0.6588310185</v>
      </c>
      <c r="E681" s="6">
        <f>IFERROR(__xludf.DUMMYFUNCTION("""COMPUTED_VALUE"""),0.005914351851851852)</f>
        <v>0.005914351852</v>
      </c>
      <c r="F681" s="6">
        <f>IFERROR(__xludf.DUMMYFUNCTION("""COMPUTED_VALUE"""),0.6647453703703723)</f>
        <v>0.6647453704</v>
      </c>
      <c r="G681" s="4" t="str">
        <f>IFERROR(__xludf.DUMMYFUNCTION("""COMPUTED_VALUE"""),"Carol")</f>
        <v>Carol</v>
      </c>
      <c r="H681" s="4" t="str">
        <f>IFERROR(__xludf.DUMMYFUNCTION("""COMPUTED_VALUE"""),"N/A")</f>
        <v>N/A</v>
      </c>
      <c r="I681" s="4" t="str">
        <f>IFERROR(__xludf.DUMMYFUNCTION("""COMPUTED_VALUE"""),"Jack")</f>
        <v>Jack</v>
      </c>
      <c r="J681" s="4" t="str">
        <f>IFERROR(__xludf.DUMMYFUNCTION("""COMPUTED_VALUE"""),"Cars")</f>
        <v>Cars</v>
      </c>
      <c r="K681" s="4" t="str">
        <f>IFERROR(__xludf.DUMMYFUNCTION("""COMPUTED_VALUE"""),"Keynote")</f>
        <v>Keynote</v>
      </c>
      <c r="L681" s="4" t="str">
        <f>IFERROR(__xludf.DUMMYFUNCTION("""COMPUTED_VALUE"""),"T- 3 - 01/06/2020")</f>
        <v>T- 3 - 01/06/2020</v>
      </c>
      <c r="M681" s="4" t="str">
        <f>IFERROR(__xludf.DUMMYFUNCTION("""COMPUTED_VALUE"""),"Make car ownership cool again")</f>
        <v>Make car ownership cool again</v>
      </c>
      <c r="N681" s="4" t="str">
        <f>IFERROR(__xludf.DUMMYFUNCTION("""COMPUTED_VALUE"""),"Cindy Wang, WM MOTOR")</f>
        <v>Cindy Wang, WM MOTOR</v>
      </c>
      <c r="O681" s="4" t="str">
        <f>IFERROR(__xludf.DUMMYFUNCTION("""COMPUTED_VALUE"""),"")</f>
        <v/>
      </c>
      <c r="P681" s="4" t="str">
        <f>IFERROR(__xludf.DUMMYFUNCTION("""COMPUTED_VALUE"""),"")</f>
        <v/>
      </c>
      <c r="Q681" s="4" t="str">
        <f>IFERROR(__xludf.DUMMYFUNCTION("""COMPUTED_VALUE"""),"")</f>
        <v/>
      </c>
      <c r="R681" s="4" t="str">
        <f>IFERROR(__xludf.DUMMYFUNCTION("""COMPUTED_VALUE"""),"")</f>
        <v/>
      </c>
      <c r="S681" s="4" t="str">
        <f>IFERROR(__xludf.DUMMYFUNCTION("""COMPUTED_VALUE"""),"As gen Z and generation Alpha re-shuffle their consumption priorities, car ownership isn’t being talked about in the same way that shared rides, rental cars and green transportation are. But WM Motor’s Cindy Wang is here to tell you how this young, smart "&amp;"auto brand is changing the discussion.")</f>
        <v>As gen Z and generation Alpha re-shuffle their consumption priorities, car ownership isn’t being talked about in the same way that shared rides, rental cars and green transportation are. But WM Motor’s Cindy Wang is here to tell you how this young, smart auto brand is changing the discussion.</v>
      </c>
      <c r="T681" s="4" t="str">
        <f>IFERROR(__xludf.DUMMYFUNCTION("""COMPUTED_VALUE"""),"KEYNOTE 8 - COMPLETE")</f>
        <v>KEYNOTE 8 - COMPLETE</v>
      </c>
      <c r="U681" s="23">
        <f>IFERROR(__xludf.DUMMYFUNCTION("""COMPUTED_VALUE"""),43984.0)</f>
        <v>43984</v>
      </c>
      <c r="V681" s="44">
        <f>IFERROR(__xludf.DUMMYFUNCTION("""COMPUTED_VALUE"""),0.4166666666666667)</f>
        <v>0.4166666667</v>
      </c>
      <c r="W681" s="4" t="str">
        <f>IFERROR(__xludf.DUMMYFUNCTION("""COMPUTED_VALUE"""),"COMPLETE")</f>
        <v>COMPLETE</v>
      </c>
      <c r="X681" s="4" t="str">
        <f>IFERROR(__xludf.DUMMYFUNCTION("""COMPUTED_VALUE"""),"Carol")</f>
        <v>Carol</v>
      </c>
      <c r="Y681" s="4" t="str">
        <f>IFERROR(__xludf.DUMMYFUNCTION("""COMPUTED_VALUE"""),"")</f>
        <v/>
      </c>
    </row>
    <row r="682">
      <c r="A682" s="4" t="str">
        <f>IFERROR(__xludf.DUMMYFUNCTION("""COMPUTED_VALUE"""),"1651 - Channel")</f>
        <v>1651 - Channel</v>
      </c>
      <c r="B682" s="4" t="str">
        <f>IFERROR(__xludf.DUMMYFUNCTION("""COMPUTED_VALUE"""),"Channel 2")</f>
        <v>Channel 2</v>
      </c>
      <c r="C682" s="4" t="str">
        <f>IFERROR(__xludf.DUMMYFUNCTION("""COMPUTED_VALUE"""),"Day 3 - 25/06")</f>
        <v>Day 3 - 25/06</v>
      </c>
      <c r="D682" s="6">
        <f>IFERROR(__xludf.DUMMYFUNCTION("""COMPUTED_VALUE"""),0.6647453703703723)</f>
        <v>0.6647453704</v>
      </c>
      <c r="E682" s="6">
        <f>IFERROR(__xludf.DUMMYFUNCTION("""COMPUTED_VALUE"""),1.7361111111111112E-4)</f>
        <v>0.0001736111111</v>
      </c>
      <c r="F682" s="6">
        <f>IFERROR(__xludf.DUMMYFUNCTION("""COMPUTED_VALUE"""),0.6649189814814834)</f>
        <v>0.6649189815</v>
      </c>
      <c r="G682" s="4" t="str">
        <f>IFERROR(__xludf.DUMMYFUNCTION("""COMPUTED_VALUE"""),"")</f>
        <v/>
      </c>
      <c r="H682" s="4" t="str">
        <f>IFERROR(__xludf.DUMMYFUNCTION("""COMPUTED_VALUE"""),"")</f>
        <v/>
      </c>
      <c r="I682" s="4" t="str">
        <f>IFERROR(__xludf.DUMMYFUNCTION("""COMPUTED_VALUE"""),"")</f>
        <v/>
      </c>
      <c r="J682" s="4" t="str">
        <f>IFERROR(__xludf.DUMMYFUNCTION("""COMPUTED_VALUE"""),"Cars")</f>
        <v>Cars</v>
      </c>
      <c r="K682" s="4" t="str">
        <f>IFERROR(__xludf.DUMMYFUNCTION("""COMPUTED_VALUE"""),"")</f>
        <v/>
      </c>
      <c r="L682" s="4" t="str">
        <f>IFERROR(__xludf.DUMMYFUNCTION("""COMPUTED_VALUE"""),"")</f>
        <v/>
      </c>
      <c r="M682" s="4" t="str">
        <f>IFERROR(__xludf.DUMMYFUNCTION("""COMPUTED_VALUE"""),"Talk Outro")</f>
        <v>Talk Outro</v>
      </c>
      <c r="N682" s="4" t="str">
        <f>IFERROR(__xludf.DUMMYFUNCTION("""COMPUTED_VALUE"""),"")</f>
        <v/>
      </c>
      <c r="O682" s="4" t="str">
        <f>IFERROR(__xludf.DUMMYFUNCTION("""COMPUTED_VALUE"""),"")</f>
        <v/>
      </c>
      <c r="P682" s="4" t="str">
        <f>IFERROR(__xludf.DUMMYFUNCTION("""COMPUTED_VALUE"""),"")</f>
        <v/>
      </c>
      <c r="Q682" s="4" t="str">
        <f>IFERROR(__xludf.DUMMYFUNCTION("""COMPUTED_VALUE"""),"")</f>
        <v/>
      </c>
      <c r="R682" s="4" t="str">
        <f>IFERROR(__xludf.DUMMYFUNCTION("""COMPUTED_VALUE"""),"")</f>
        <v/>
      </c>
      <c r="S682" s="4" t="str">
        <f>IFERROR(__xludf.DUMMYFUNCTION("""COMPUTED_VALUE"""),"")</f>
        <v/>
      </c>
      <c r="T682" s="4" t="str">
        <f>IFERROR(__xludf.DUMMYFUNCTION("""COMPUTED_VALUE"""),"")</f>
        <v/>
      </c>
      <c r="U682" s="4" t="str">
        <f>IFERROR(__xludf.DUMMYFUNCTION("""COMPUTED_VALUE"""),"")</f>
        <v/>
      </c>
      <c r="V682" s="4" t="str">
        <f>IFERROR(__xludf.DUMMYFUNCTION("""COMPUTED_VALUE"""),"")</f>
        <v/>
      </c>
      <c r="W682" s="4" t="str">
        <f>IFERROR(__xludf.DUMMYFUNCTION("""COMPUTED_VALUE"""),"")</f>
        <v/>
      </c>
      <c r="X682" s="4" t="str">
        <f>IFERROR(__xludf.DUMMYFUNCTION("""COMPUTED_VALUE"""),"")</f>
        <v/>
      </c>
      <c r="Y682" s="4" t="str">
        <f>IFERROR(__xludf.DUMMYFUNCTION("""COMPUTED_VALUE"""),"")</f>
        <v/>
      </c>
    </row>
    <row r="683">
      <c r="A683" s="4" t="str">
        <f>IFERROR(__xludf.DUMMYFUNCTION("""COMPUTED_VALUE"""),"727 - Channel")</f>
        <v>727 - Channel</v>
      </c>
      <c r="B683" s="4" t="str">
        <f>IFERROR(__xludf.DUMMYFUNCTION("""COMPUTED_VALUE"""),"Channel 2")</f>
        <v>Channel 2</v>
      </c>
      <c r="C683" s="4" t="str">
        <f>IFERROR(__xludf.DUMMYFUNCTION("""COMPUTED_VALUE"""),"Day 3 - 25/06")</f>
        <v>Day 3 - 25/06</v>
      </c>
      <c r="D683" s="4" t="str">
        <f>IFERROR(__xludf.DUMMYFUNCTION("""COMPUTED_VALUE"""),"")</f>
        <v/>
      </c>
      <c r="E683" s="4" t="str">
        <f>IFERROR(__xludf.DUMMYFUNCTION("""COMPUTED_VALUE"""),"")</f>
        <v/>
      </c>
      <c r="F683" s="4" t="str">
        <f>IFERROR(__xludf.DUMMYFUNCTION("""COMPUTED_VALUE"""),"")</f>
        <v/>
      </c>
      <c r="G683" s="4" t="str">
        <f>IFERROR(__xludf.DUMMYFUNCTION("""COMPUTED_VALUE"""),"")</f>
        <v/>
      </c>
      <c r="H683" s="4" t="str">
        <f>IFERROR(__xludf.DUMMYFUNCTION("""COMPUTED_VALUE"""),"")</f>
        <v/>
      </c>
      <c r="I683" s="4" t="str">
        <f>IFERROR(__xludf.DUMMYFUNCTION("""COMPUTED_VALUE"""),"")</f>
        <v/>
      </c>
      <c r="J683" s="4" t="str">
        <f>IFERROR(__xludf.DUMMYFUNCTION("""COMPUTED_VALUE"""),"")</f>
        <v/>
      </c>
      <c r="K683" s="4" t="str">
        <f>IFERROR(__xludf.DUMMYFUNCTION("""COMPUTED_VALUE"""),"")</f>
        <v/>
      </c>
      <c r="L683" s="4" t="str">
        <f>IFERROR(__xludf.DUMMYFUNCTION("""COMPUTED_VALUE"""),"")</f>
        <v/>
      </c>
      <c r="M683" s="4" t="str">
        <f>IFERROR(__xludf.DUMMYFUNCTION("""COMPUTED_VALUE"""),"")</f>
        <v/>
      </c>
      <c r="N683" s="4" t="str">
        <f>IFERROR(__xludf.DUMMYFUNCTION("""COMPUTED_VALUE"""),"")</f>
        <v/>
      </c>
      <c r="O683" s="4" t="str">
        <f>IFERROR(__xludf.DUMMYFUNCTION("""COMPUTED_VALUE"""),"")</f>
        <v/>
      </c>
      <c r="P683" s="4" t="str">
        <f>IFERROR(__xludf.DUMMYFUNCTION("""COMPUTED_VALUE"""),"")</f>
        <v/>
      </c>
      <c r="Q683" s="4" t="str">
        <f>IFERROR(__xludf.DUMMYFUNCTION("""COMPUTED_VALUE"""),"")</f>
        <v/>
      </c>
      <c r="R683" s="4" t="str">
        <f>IFERROR(__xludf.DUMMYFUNCTION("""COMPUTED_VALUE"""),"")</f>
        <v/>
      </c>
      <c r="S683" s="4" t="str">
        <f>IFERROR(__xludf.DUMMYFUNCTION("""COMPUTED_VALUE"""),"")</f>
        <v/>
      </c>
      <c r="T683" s="4" t="str">
        <f>IFERROR(__xludf.DUMMYFUNCTION("""COMPUTED_VALUE"""),"")</f>
        <v/>
      </c>
      <c r="U683" s="4" t="str">
        <f>IFERROR(__xludf.DUMMYFUNCTION("""COMPUTED_VALUE"""),"")</f>
        <v/>
      </c>
      <c r="V683" s="4" t="str">
        <f>IFERROR(__xludf.DUMMYFUNCTION("""COMPUTED_VALUE"""),"")</f>
        <v/>
      </c>
      <c r="W683" s="4" t="str">
        <f>IFERROR(__xludf.DUMMYFUNCTION("""COMPUTED_VALUE"""),"")</f>
        <v/>
      </c>
      <c r="X683" s="4" t="str">
        <f>IFERROR(__xludf.DUMMYFUNCTION("""COMPUTED_VALUE"""),"")</f>
        <v/>
      </c>
      <c r="Y683" s="4" t="str">
        <f>IFERROR(__xludf.DUMMYFUNCTION("""COMPUTED_VALUE"""),"")</f>
        <v/>
      </c>
    </row>
    <row r="684">
      <c r="A684" s="4" t="str">
        <f>IFERROR(__xludf.DUMMYFUNCTION("""COMPUTED_VALUE"""),"728 - Channel")</f>
        <v>728 - Channel</v>
      </c>
      <c r="B684" s="4" t="str">
        <f>IFERROR(__xludf.DUMMYFUNCTION("""COMPUTED_VALUE"""),"Channel 2")</f>
        <v>Channel 2</v>
      </c>
      <c r="C684" s="4" t="str">
        <f>IFERROR(__xludf.DUMMYFUNCTION("""COMPUTED_VALUE"""),"Day 3 - 25/06")</f>
        <v>Day 3 - 25/06</v>
      </c>
      <c r="D684" s="6">
        <f>IFERROR(__xludf.DUMMYFUNCTION("""COMPUTED_VALUE"""),0.6649189814814834)</f>
        <v>0.6649189815</v>
      </c>
      <c r="E684" s="6">
        <f>IFERROR(__xludf.DUMMYFUNCTION("""COMPUTED_VALUE"""),3.4722222222222224E-4)</f>
        <v>0.0003472222222</v>
      </c>
      <c r="F684" s="6">
        <f>IFERROR(__xludf.DUMMYFUNCTION("""COMPUTED_VALUE"""),0.6652662037037057)</f>
        <v>0.6652662037</v>
      </c>
      <c r="G684" s="4" t="str">
        <f>IFERROR(__xludf.DUMMYFUNCTION("""COMPUTED_VALUE"""),"Graphics")</f>
        <v>Graphics</v>
      </c>
      <c r="H684" s="4" t="str">
        <f>IFERROR(__xludf.DUMMYFUNCTION("""COMPUTED_VALUE"""),"")</f>
        <v/>
      </c>
      <c r="I684" s="4" t="str">
        <f>IFERROR(__xludf.DUMMYFUNCTION("""COMPUTED_VALUE"""),"")</f>
        <v/>
      </c>
      <c r="J684" s="4" t="str">
        <f>IFERROR(__xludf.DUMMYFUNCTION("""COMPUTED_VALUE"""),"Health")</f>
        <v>Health</v>
      </c>
      <c r="K684" s="4" t="str">
        <f>IFERROR(__xludf.DUMMYFUNCTION("""COMPUTED_VALUE"""),"Web Summit Trailer - short")</f>
        <v>Web Summit Trailer - short</v>
      </c>
      <c r="L684" s="4" t="str">
        <f>IFERROR(__xludf.DUMMYFUNCTION("""COMPUTED_VALUE"""),"")</f>
        <v/>
      </c>
      <c r="M684" s="4" t="str">
        <f>IFERROR(__xludf.DUMMYFUNCTION("""COMPUTED_VALUE"""),"Web Summit Trailer - short")</f>
        <v>Web Summit Trailer - short</v>
      </c>
      <c r="N684" s="4" t="str">
        <f>IFERROR(__xludf.DUMMYFUNCTION("""COMPUTED_VALUE"""),"")</f>
        <v/>
      </c>
      <c r="O684" s="4" t="str">
        <f>IFERROR(__xludf.DUMMYFUNCTION("""COMPUTED_VALUE"""),"")</f>
        <v/>
      </c>
      <c r="P684" s="4" t="str">
        <f>IFERROR(__xludf.DUMMYFUNCTION("""COMPUTED_VALUE"""),"")</f>
        <v/>
      </c>
      <c r="Q684" s="4" t="str">
        <f>IFERROR(__xludf.DUMMYFUNCTION("""COMPUTED_VALUE"""),"")</f>
        <v/>
      </c>
      <c r="R684" s="4" t="str">
        <f>IFERROR(__xludf.DUMMYFUNCTION("""COMPUTED_VALUE"""),"")</f>
        <v/>
      </c>
      <c r="S684" s="4" t="str">
        <f>IFERROR(__xludf.DUMMYFUNCTION("""COMPUTED_VALUE"""),"")</f>
        <v/>
      </c>
      <c r="T684" s="4" t="str">
        <f>IFERROR(__xludf.DUMMYFUNCTION("""COMPUTED_VALUE"""),"")</f>
        <v/>
      </c>
      <c r="U684" s="4" t="str">
        <f>IFERROR(__xludf.DUMMYFUNCTION("""COMPUTED_VALUE"""),"")</f>
        <v/>
      </c>
      <c r="V684" s="4" t="str">
        <f>IFERROR(__xludf.DUMMYFUNCTION("""COMPUTED_VALUE"""),"")</f>
        <v/>
      </c>
      <c r="W684" s="4" t="str">
        <f>IFERROR(__xludf.DUMMYFUNCTION("""COMPUTED_VALUE"""),"")</f>
        <v/>
      </c>
      <c r="X684" s="4" t="str">
        <f>IFERROR(__xludf.DUMMYFUNCTION("""COMPUTED_VALUE"""),"")</f>
        <v/>
      </c>
      <c r="Y684" s="4" t="str">
        <f>IFERROR(__xludf.DUMMYFUNCTION("""COMPUTED_VALUE"""),"")</f>
        <v/>
      </c>
    </row>
    <row r="685">
      <c r="A685" s="4" t="str">
        <f>IFERROR(__xludf.DUMMYFUNCTION("""COMPUTED_VALUE"""),"729 - Channel")</f>
        <v>729 - Channel</v>
      </c>
      <c r="B685" s="4" t="str">
        <f>IFERROR(__xludf.DUMMYFUNCTION("""COMPUTED_VALUE"""),"Channel 2")</f>
        <v>Channel 2</v>
      </c>
      <c r="C685" s="4" t="str">
        <f>IFERROR(__xludf.DUMMYFUNCTION("""COMPUTED_VALUE"""),"Day 3 - 25/06")</f>
        <v>Day 3 - 25/06</v>
      </c>
      <c r="D685" s="6">
        <f>IFERROR(__xludf.DUMMYFUNCTION("""COMPUTED_VALUE"""),0.6652662037037057)</f>
        <v>0.6652662037</v>
      </c>
      <c r="E685" s="6">
        <f>IFERROR(__xludf.DUMMYFUNCTION("""COMPUTED_VALUE"""),3.4722222222222224E-4)</f>
        <v>0.0003472222222</v>
      </c>
      <c r="F685" s="6">
        <f>IFERROR(__xludf.DUMMYFUNCTION("""COMPUTED_VALUE"""),0.665613425925928)</f>
        <v>0.6656134259</v>
      </c>
      <c r="G685" s="4" t="str">
        <f>IFERROR(__xludf.DUMMYFUNCTION("""COMPUTED_VALUE"""),"Graphics")</f>
        <v>Graphics</v>
      </c>
      <c r="H685" s="4" t="str">
        <f>IFERROR(__xludf.DUMMYFUNCTION("""COMPUTED_VALUE"""),"")</f>
        <v/>
      </c>
      <c r="I685" s="4" t="str">
        <f>IFERROR(__xludf.DUMMYFUNCTION("""COMPUTED_VALUE"""),"")</f>
        <v/>
      </c>
      <c r="J685" s="4" t="str">
        <f>IFERROR(__xludf.DUMMYFUNCTION("""COMPUTED_VALUE"""),"Health")</f>
        <v>Health</v>
      </c>
      <c r="K685" s="4" t="str">
        <f>IFERROR(__xludf.DUMMYFUNCTION("""COMPUTED_VALUE"""),"Talk Intro")</f>
        <v>Talk Intro</v>
      </c>
      <c r="L685" s="4" t="str">
        <f>IFERROR(__xludf.DUMMYFUNCTION("""COMPUTED_VALUE"""),"")</f>
        <v/>
      </c>
      <c r="M685" s="4" t="str">
        <f>IFERROR(__xludf.DUMMYFUNCTION("""COMPUTED_VALUE"""),"Talk Intro")</f>
        <v>Talk Intro</v>
      </c>
      <c r="N685" s="4" t="str">
        <f>IFERROR(__xludf.DUMMYFUNCTION("""COMPUTED_VALUE"""),"")</f>
        <v/>
      </c>
      <c r="O685" s="4" t="str">
        <f>IFERROR(__xludf.DUMMYFUNCTION("""COMPUTED_VALUE"""),"")</f>
        <v/>
      </c>
      <c r="P685" s="4" t="str">
        <f>IFERROR(__xludf.DUMMYFUNCTION("""COMPUTED_VALUE"""),"")</f>
        <v/>
      </c>
      <c r="Q685" s="4" t="str">
        <f>IFERROR(__xludf.DUMMYFUNCTION("""COMPUTED_VALUE"""),"")</f>
        <v/>
      </c>
      <c r="R685" s="4" t="str">
        <f>IFERROR(__xludf.DUMMYFUNCTION("""COMPUTED_VALUE"""),"")</f>
        <v/>
      </c>
      <c r="S685" s="4" t="str">
        <f>IFERROR(__xludf.DUMMYFUNCTION("""COMPUTED_VALUE"""),"")</f>
        <v/>
      </c>
      <c r="T685" s="4" t="str">
        <f>IFERROR(__xludf.DUMMYFUNCTION("""COMPUTED_VALUE"""),"")</f>
        <v/>
      </c>
      <c r="U685" s="4" t="str">
        <f>IFERROR(__xludf.DUMMYFUNCTION("""COMPUTED_VALUE"""),"")</f>
        <v/>
      </c>
      <c r="V685" s="4" t="str">
        <f>IFERROR(__xludf.DUMMYFUNCTION("""COMPUTED_VALUE"""),"")</f>
        <v/>
      </c>
      <c r="W685" s="4" t="str">
        <f>IFERROR(__xludf.DUMMYFUNCTION("""COMPUTED_VALUE"""),"")</f>
        <v/>
      </c>
      <c r="X685" s="4" t="str">
        <f>IFERROR(__xludf.DUMMYFUNCTION("""COMPUTED_VALUE"""),"")</f>
        <v/>
      </c>
      <c r="Y685" s="4" t="str">
        <f>IFERROR(__xludf.DUMMYFUNCTION("""COMPUTED_VALUE"""),"")</f>
        <v/>
      </c>
    </row>
    <row r="686">
      <c r="A686" s="4" t="str">
        <f>IFERROR(__xludf.DUMMYFUNCTION("""COMPUTED_VALUE"""),"730 - Channel")</f>
        <v>730 - Channel</v>
      </c>
      <c r="B686" s="4" t="str">
        <f>IFERROR(__xludf.DUMMYFUNCTION("""COMPUTED_VALUE"""),"Channel 2")</f>
        <v>Channel 2</v>
      </c>
      <c r="C686" s="4" t="str">
        <f>IFERROR(__xludf.DUMMYFUNCTION("""COMPUTED_VALUE"""),"Day 3 - 25/06")</f>
        <v>Day 3 - 25/06</v>
      </c>
      <c r="D686" s="6">
        <f>IFERROR(__xludf.DUMMYFUNCTION("""COMPUTED_VALUE"""),0.665613425925928)</f>
        <v>0.6656134259</v>
      </c>
      <c r="E686" s="6">
        <f>IFERROR(__xludf.DUMMYFUNCTION("""COMPUTED_VALUE"""),0.006944444444444444)</f>
        <v>0.006944444444</v>
      </c>
      <c r="F686" s="6">
        <f>IFERROR(__xludf.DUMMYFUNCTION("""COMPUTED_VALUE"""),0.6725578703703724)</f>
        <v>0.6725578704</v>
      </c>
      <c r="G686" s="4" t="str">
        <f>IFERROR(__xludf.DUMMYFUNCTION("""COMPUTED_VALUE"""),"Yvonne")</f>
        <v>Yvonne</v>
      </c>
      <c r="H686" s="4" t="str">
        <f>IFERROR(__xludf.DUMMYFUNCTION("""COMPUTED_VALUE"""),"N/A")</f>
        <v>N/A</v>
      </c>
      <c r="I686" s="4" t="str">
        <f>IFERROR(__xludf.DUMMYFUNCTION("""COMPUTED_VALUE"""),"Lucia H.")</f>
        <v>Lucia H.</v>
      </c>
      <c r="J686" s="4" t="str">
        <f>IFERROR(__xludf.DUMMYFUNCTION("""COMPUTED_VALUE"""),"Health")</f>
        <v>Health</v>
      </c>
      <c r="K686" s="4" t="str">
        <f>IFERROR(__xludf.DUMMYFUNCTION("""COMPUTED_VALUE"""),"Keynote")</f>
        <v>Keynote</v>
      </c>
      <c r="L686" s="4" t="str">
        <f>IFERROR(__xludf.DUMMYFUNCTION("""COMPUTED_VALUE"""),"T- 2 - 08/06/2020")</f>
        <v>T- 2 - 08/06/2020</v>
      </c>
      <c r="M686" s="4" t="str">
        <f>IFERROR(__xludf.DUMMYFUNCTION("""COMPUTED_VALUE"""),"Can psychedelics rebuild your brain?")</f>
        <v>Can psychedelics rebuild your brain?</v>
      </c>
      <c r="N686" s="4" t="str">
        <f>IFERROR(__xludf.DUMMYFUNCTION("""COMPUTED_VALUE"""),"Robin Carhart-Harris, Imperial College London")</f>
        <v>Robin Carhart-Harris, Imperial College London</v>
      </c>
      <c r="O686" s="4" t="str">
        <f>IFERROR(__xludf.DUMMYFUNCTION("""COMPUTED_VALUE"""),"")</f>
        <v/>
      </c>
      <c r="P686" s="4" t="str">
        <f>IFERROR(__xludf.DUMMYFUNCTION("""COMPUTED_VALUE"""),"")</f>
        <v/>
      </c>
      <c r="Q686" s="4" t="str">
        <f>IFERROR(__xludf.DUMMYFUNCTION("""COMPUTED_VALUE"""),"")</f>
        <v/>
      </c>
      <c r="R686" s="4" t="str">
        <f>IFERROR(__xludf.DUMMYFUNCTION("""COMPUTED_VALUE"""),"")</f>
        <v/>
      </c>
      <c r="S686" s="4" t="str">
        <f>IFERROR(__xludf.DUMMYFUNCTION("""COMPUTED_VALUE"""),"What would happen if the parts of our brain that function separately could work in a more integrated way? What cognitive doors would open that have so far remained closed? We meet a man renowned for his research on using psychedelics to find out just that"&amp;".")</f>
        <v>What would happen if the parts of our brain that function separately could work in a more integrated way? What cognitive doors would open that have so far remained closed? We meet a man renowned for his research on using psychedelics to find out just that.</v>
      </c>
      <c r="T686" s="4" t="str">
        <f>IFERROR(__xludf.DUMMYFUNCTION("""COMPUTED_VALUE"""),"Recording MISSED/NEEDS TO BE RERECORDED/RESCHEDULED")</f>
        <v>Recording MISSED/NEEDS TO BE RERECORDED/RESCHEDULED</v>
      </c>
      <c r="U686" s="23">
        <f>IFERROR(__xludf.DUMMYFUNCTION("""COMPUTED_VALUE"""),43991.0)</f>
        <v>43991</v>
      </c>
      <c r="V686" s="44">
        <f>IFERROR(__xludf.DUMMYFUNCTION("""COMPUTED_VALUE"""),0.5833333333333334)</f>
        <v>0.5833333333</v>
      </c>
      <c r="W686" s="21" t="str">
        <f>IFERROR(__xludf.DUMMYFUNCTION("""COMPUTED_VALUE"""),"https://zoom.us/j/93786883155?pwd=djZiMVJPV0Mwb3FXUXRRM1oxb0hkQT09")</f>
        <v>https://zoom.us/j/93786883155?pwd=djZiMVJPV0Mwb3FXUXRRM1oxb0hkQT09</v>
      </c>
      <c r="X686" s="4" t="str">
        <f>IFERROR(__xludf.DUMMYFUNCTION("""COMPUTED_VALUE"""),"Yvonne")</f>
        <v>Yvonne</v>
      </c>
      <c r="Y686" s="4" t="str">
        <f>IFERROR(__xludf.DUMMYFUNCTION("""COMPUTED_VALUE"""),"")</f>
        <v/>
      </c>
    </row>
    <row r="687">
      <c r="A687" s="4" t="str">
        <f>IFERROR(__xludf.DUMMYFUNCTION("""COMPUTED_VALUE"""),"731 - Channel")</f>
        <v>731 - Channel</v>
      </c>
      <c r="B687" s="4" t="str">
        <f>IFERROR(__xludf.DUMMYFUNCTION("""COMPUTED_VALUE"""),"Channel 2")</f>
        <v>Channel 2</v>
      </c>
      <c r="C687" s="4" t="str">
        <f>IFERROR(__xludf.DUMMYFUNCTION("""COMPUTED_VALUE"""),"Day 3 - 25/06")</f>
        <v>Day 3 - 25/06</v>
      </c>
      <c r="D687" s="6">
        <f>IFERROR(__xludf.DUMMYFUNCTION("""COMPUTED_VALUE"""),0.6725578703703724)</f>
        <v>0.6725578704</v>
      </c>
      <c r="E687" s="6">
        <f>IFERROR(__xludf.DUMMYFUNCTION("""COMPUTED_VALUE"""),1.7361111111111112E-4)</f>
        <v>0.0001736111111</v>
      </c>
      <c r="F687" s="6">
        <f>IFERROR(__xludf.DUMMYFUNCTION("""COMPUTED_VALUE"""),0.6727314814814835)</f>
        <v>0.6727314815</v>
      </c>
      <c r="G687" s="4" t="str">
        <f>IFERROR(__xludf.DUMMYFUNCTION("""COMPUTED_VALUE"""),"Graphics")</f>
        <v>Graphics</v>
      </c>
      <c r="H687" s="4" t="str">
        <f>IFERROR(__xludf.DUMMYFUNCTION("""COMPUTED_VALUE"""),"")</f>
        <v/>
      </c>
      <c r="I687" s="4" t="str">
        <f>IFERROR(__xludf.DUMMYFUNCTION("""COMPUTED_VALUE"""),"")</f>
        <v/>
      </c>
      <c r="J687" s="4" t="str">
        <f>IFERROR(__xludf.DUMMYFUNCTION("""COMPUTED_VALUE"""),"Health")</f>
        <v>Health</v>
      </c>
      <c r="K687" s="4" t="str">
        <f>IFERROR(__xludf.DUMMYFUNCTION("""COMPUTED_VALUE"""),"Talk Outro")</f>
        <v>Talk Outro</v>
      </c>
      <c r="L687" s="4" t="str">
        <f>IFERROR(__xludf.DUMMYFUNCTION("""COMPUTED_VALUE"""),"")</f>
        <v/>
      </c>
      <c r="M687" s="4" t="str">
        <f>IFERROR(__xludf.DUMMYFUNCTION("""COMPUTED_VALUE"""),"Talk Outro")</f>
        <v>Talk Outro</v>
      </c>
      <c r="N687" s="4" t="str">
        <f>IFERROR(__xludf.DUMMYFUNCTION("""COMPUTED_VALUE"""),"")</f>
        <v/>
      </c>
      <c r="O687" s="4" t="str">
        <f>IFERROR(__xludf.DUMMYFUNCTION("""COMPUTED_VALUE"""),"")</f>
        <v/>
      </c>
      <c r="P687" s="4" t="str">
        <f>IFERROR(__xludf.DUMMYFUNCTION("""COMPUTED_VALUE"""),"")</f>
        <v/>
      </c>
      <c r="Q687" s="4" t="str">
        <f>IFERROR(__xludf.DUMMYFUNCTION("""COMPUTED_VALUE"""),"")</f>
        <v/>
      </c>
      <c r="R687" s="4" t="str">
        <f>IFERROR(__xludf.DUMMYFUNCTION("""COMPUTED_VALUE"""),"")</f>
        <v/>
      </c>
      <c r="S687" s="4" t="str">
        <f>IFERROR(__xludf.DUMMYFUNCTION("""COMPUTED_VALUE"""),"")</f>
        <v/>
      </c>
      <c r="T687" s="4" t="str">
        <f>IFERROR(__xludf.DUMMYFUNCTION("""COMPUTED_VALUE"""),"")</f>
        <v/>
      </c>
      <c r="U687" s="4" t="str">
        <f>IFERROR(__xludf.DUMMYFUNCTION("""COMPUTED_VALUE"""),"")</f>
        <v/>
      </c>
      <c r="V687" s="4" t="str">
        <f>IFERROR(__xludf.DUMMYFUNCTION("""COMPUTED_VALUE"""),"")</f>
        <v/>
      </c>
      <c r="W687" s="4" t="str">
        <f>IFERROR(__xludf.DUMMYFUNCTION("""COMPUTED_VALUE"""),"")</f>
        <v/>
      </c>
      <c r="X687" s="4" t="str">
        <f>IFERROR(__xludf.DUMMYFUNCTION("""COMPUTED_VALUE"""),"")</f>
        <v/>
      </c>
      <c r="Y687" s="4" t="str">
        <f>IFERROR(__xludf.DUMMYFUNCTION("""COMPUTED_VALUE"""),"")</f>
        <v/>
      </c>
    </row>
    <row r="688">
      <c r="A688" s="4" t="str">
        <f>IFERROR(__xludf.DUMMYFUNCTION("""COMPUTED_VALUE"""),"733 - Channel")</f>
        <v>733 - Channel</v>
      </c>
      <c r="B688" s="4" t="str">
        <f>IFERROR(__xludf.DUMMYFUNCTION("""COMPUTED_VALUE"""),"Channel 2")</f>
        <v>Channel 2</v>
      </c>
      <c r="C688" s="4" t="str">
        <f>IFERROR(__xludf.DUMMYFUNCTION("""COMPUTED_VALUE"""),"Day 3 - 25/06")</f>
        <v>Day 3 - 25/06</v>
      </c>
      <c r="D688" s="6">
        <f>IFERROR(__xludf.DUMMYFUNCTION("""COMPUTED_VALUE"""),0.6727314814814835)</f>
        <v>0.6727314815</v>
      </c>
      <c r="E688" s="6">
        <f>IFERROR(__xludf.DUMMYFUNCTION("""COMPUTED_VALUE"""),3.4722222222222224E-4)</f>
        <v>0.0003472222222</v>
      </c>
      <c r="F688" s="6">
        <f>IFERROR(__xludf.DUMMYFUNCTION("""COMPUTED_VALUE"""),0.6730787037037058)</f>
        <v>0.6730787037</v>
      </c>
      <c r="G688" s="4" t="str">
        <f>IFERROR(__xludf.DUMMYFUNCTION("""COMPUTED_VALUE"""),"Graphics")</f>
        <v>Graphics</v>
      </c>
      <c r="H688" s="4" t="str">
        <f>IFERROR(__xludf.DUMMYFUNCTION("""COMPUTED_VALUE"""),"")</f>
        <v/>
      </c>
      <c r="I688" s="4" t="str">
        <f>IFERROR(__xludf.DUMMYFUNCTION("""COMPUTED_VALUE"""),"")</f>
        <v/>
      </c>
      <c r="J688" s="4" t="str">
        <f>IFERROR(__xludf.DUMMYFUNCTION("""COMPUTED_VALUE"""),"Health")</f>
        <v>Health</v>
      </c>
      <c r="K688" s="4" t="str">
        <f>IFERROR(__xludf.DUMMYFUNCTION("""COMPUTED_VALUE"""),"Talk Intro")</f>
        <v>Talk Intro</v>
      </c>
      <c r="L688" s="4" t="str">
        <f>IFERROR(__xludf.DUMMYFUNCTION("""COMPUTED_VALUE"""),"")</f>
        <v/>
      </c>
      <c r="M688" s="4" t="str">
        <f>IFERROR(__xludf.DUMMYFUNCTION("""COMPUTED_VALUE"""),"Talk Intro")</f>
        <v>Talk Intro</v>
      </c>
      <c r="N688" s="4" t="str">
        <f>IFERROR(__xludf.DUMMYFUNCTION("""COMPUTED_VALUE"""),"")</f>
        <v/>
      </c>
      <c r="O688" s="4" t="str">
        <f>IFERROR(__xludf.DUMMYFUNCTION("""COMPUTED_VALUE"""),"")</f>
        <v/>
      </c>
      <c r="P688" s="4" t="str">
        <f>IFERROR(__xludf.DUMMYFUNCTION("""COMPUTED_VALUE"""),"")</f>
        <v/>
      </c>
      <c r="Q688" s="4" t="str">
        <f>IFERROR(__xludf.DUMMYFUNCTION("""COMPUTED_VALUE"""),"")</f>
        <v/>
      </c>
      <c r="R688" s="4" t="str">
        <f>IFERROR(__xludf.DUMMYFUNCTION("""COMPUTED_VALUE"""),"")</f>
        <v/>
      </c>
      <c r="S688" s="4" t="str">
        <f>IFERROR(__xludf.DUMMYFUNCTION("""COMPUTED_VALUE"""),"")</f>
        <v/>
      </c>
      <c r="T688" s="4" t="str">
        <f>IFERROR(__xludf.DUMMYFUNCTION("""COMPUTED_VALUE"""),"")</f>
        <v/>
      </c>
      <c r="U688" s="4" t="str">
        <f>IFERROR(__xludf.DUMMYFUNCTION("""COMPUTED_VALUE"""),"")</f>
        <v/>
      </c>
      <c r="V688" s="4" t="str">
        <f>IFERROR(__xludf.DUMMYFUNCTION("""COMPUTED_VALUE"""),"")</f>
        <v/>
      </c>
      <c r="W688" s="4" t="str">
        <f>IFERROR(__xludf.DUMMYFUNCTION("""COMPUTED_VALUE"""),"")</f>
        <v/>
      </c>
      <c r="X688" s="4" t="str">
        <f>IFERROR(__xludf.DUMMYFUNCTION("""COMPUTED_VALUE"""),"")</f>
        <v/>
      </c>
      <c r="Y688" s="4" t="str">
        <f>IFERROR(__xludf.DUMMYFUNCTION("""COMPUTED_VALUE"""),"")</f>
        <v/>
      </c>
    </row>
    <row r="689">
      <c r="A689" s="4" t="str">
        <f>IFERROR(__xludf.DUMMYFUNCTION("""COMPUTED_VALUE"""),"734 - Channel")</f>
        <v>734 - Channel</v>
      </c>
      <c r="B689" s="4" t="str">
        <f>IFERROR(__xludf.DUMMYFUNCTION("""COMPUTED_VALUE"""),"Channel 2")</f>
        <v>Channel 2</v>
      </c>
      <c r="C689" s="4" t="str">
        <f>IFERROR(__xludf.DUMMYFUNCTION("""COMPUTED_VALUE"""),"Day 3 - 25/06")</f>
        <v>Day 3 - 25/06</v>
      </c>
      <c r="D689" s="6">
        <f>IFERROR(__xludf.DUMMYFUNCTION("""COMPUTED_VALUE"""),0.6730787037037058)</f>
        <v>0.6730787037</v>
      </c>
      <c r="E689" s="6">
        <f>IFERROR(__xludf.DUMMYFUNCTION("""COMPUTED_VALUE"""),0.008761574074074074)</f>
        <v>0.008761574074</v>
      </c>
      <c r="F689" s="6">
        <f>IFERROR(__xludf.DUMMYFUNCTION("""COMPUTED_VALUE"""),0.6818402777777799)</f>
        <v>0.6818402778</v>
      </c>
      <c r="G689" s="4" t="str">
        <f>IFERROR(__xludf.DUMMYFUNCTION("""COMPUTED_VALUE"""),"Yvonne")</f>
        <v>Yvonne</v>
      </c>
      <c r="H689" s="4" t="str">
        <f>IFERROR(__xludf.DUMMYFUNCTION("""COMPUTED_VALUE"""),"Haziq")</f>
        <v>Haziq</v>
      </c>
      <c r="I689" s="4" t="str">
        <f>IFERROR(__xludf.DUMMYFUNCTION("""COMPUTED_VALUE"""),"Lucia H.")</f>
        <v>Lucia H.</v>
      </c>
      <c r="J689" s="4" t="str">
        <f>IFERROR(__xludf.DUMMYFUNCTION("""COMPUTED_VALUE"""),"Health")</f>
        <v>Health</v>
      </c>
      <c r="K689" s="4" t="str">
        <f>IFERROR(__xludf.DUMMYFUNCTION("""COMPUTED_VALUE"""),"Super Fireside")</f>
        <v>Super Fireside</v>
      </c>
      <c r="L689" s="4" t="str">
        <f>IFERROR(__xludf.DUMMYFUNCTION("""COMPUTED_VALUE"""),"T- 5 - 18/05/2020")</f>
        <v>T- 5 - 18/05/2020</v>
      </c>
      <c r="M689" s="4" t="str">
        <f>IFERROR(__xludf.DUMMYFUNCTION("""COMPUTED_VALUE"""),"Digital health privacy in a pandemic")</f>
        <v>Digital health privacy in a pandemic</v>
      </c>
      <c r="N689" s="4" t="str">
        <f>IFERROR(__xludf.DUMMYFUNCTION("""COMPUTED_VALUE"""),"Patrice Harris, American Medical Association")</f>
        <v>Patrice Harris, American Medical Association</v>
      </c>
      <c r="O689" s="4" t="str">
        <f>IFERROR(__xludf.DUMMYFUNCTION("""COMPUTED_VALUE"""),"Morgan Reed, The App Association")</f>
        <v>Morgan Reed, The App Association</v>
      </c>
      <c r="P689" s="4" t="str">
        <f>IFERROR(__xludf.DUMMYFUNCTION("""COMPUTED_VALUE"""),"")</f>
        <v/>
      </c>
      <c r="Q689" s="4" t="str">
        <f>IFERROR(__xludf.DUMMYFUNCTION("""COMPUTED_VALUE"""),"")</f>
        <v/>
      </c>
      <c r="R689" s="4" t="str">
        <f>IFERROR(__xludf.DUMMYFUNCTION("""COMPUTED_VALUE"""),"Ali Rezai, Rockfeller Neuroscience Institute")</f>
        <v>Ali Rezai, Rockfeller Neuroscience Institute</v>
      </c>
      <c r="S689" s="4" t="str">
        <f>IFERROR(__xludf.DUMMYFUNCTION("""COMPUTED_VALUE"""),"Behind closed doors, in a white-paper forum led by the Rockefeller Neuroscience Institute, America's top healthcare experts converged to discuss the future of healthcare data governance and security. In a world exclusive, participants reveal the forum's f"&amp;"indings and insights on everything from ethics and AI to social media and regulation.")</f>
        <v>Behind closed doors, in a white-paper forum led by the Rockefeller Neuroscience Institute, America's top healthcare experts converged to discuss the future of healthcare data governance and security. In a world exclusive, participants reveal the forum's findings and insights on everything from ethics and AI to social media and regulation.</v>
      </c>
      <c r="T689" s="4" t="str">
        <f>IFERROR(__xludf.DUMMYFUNCTION("""COMPUTED_VALUE"""),"NON-KEYNOTE 9 - COMPLETE")</f>
        <v>NON-KEYNOTE 9 - COMPLETE</v>
      </c>
      <c r="U689" s="23">
        <f>IFERROR(__xludf.DUMMYFUNCTION("""COMPUTED_VALUE"""),43966.0)</f>
        <v>43966</v>
      </c>
      <c r="V689" s="24">
        <f>IFERROR(__xludf.DUMMYFUNCTION("""COMPUTED_VALUE"""),0.8125)</f>
        <v>0.8125</v>
      </c>
      <c r="W689" s="4" t="str">
        <f>IFERROR(__xludf.DUMMYFUNCTION("""COMPUTED_VALUE"""),"COMPLETE")</f>
        <v>COMPLETE</v>
      </c>
      <c r="X689" s="4" t="str">
        <f>IFERROR(__xludf.DUMMYFUNCTION("""COMPUTED_VALUE"""),"Darragh")</f>
        <v>Darragh</v>
      </c>
      <c r="Y689" s="4" t="str">
        <f>IFERROR(__xludf.DUMMYFUNCTION("""COMPUTED_VALUE"""),"")</f>
        <v/>
      </c>
    </row>
    <row r="690">
      <c r="A690" s="4" t="str">
        <f>IFERROR(__xludf.DUMMYFUNCTION("""COMPUTED_VALUE"""),"735 - Channel")</f>
        <v>735 - Channel</v>
      </c>
      <c r="B690" s="4" t="str">
        <f>IFERROR(__xludf.DUMMYFUNCTION("""COMPUTED_VALUE"""),"Channel 2")</f>
        <v>Channel 2</v>
      </c>
      <c r="C690" s="4" t="str">
        <f>IFERROR(__xludf.DUMMYFUNCTION("""COMPUTED_VALUE"""),"Day 3 - 25/06")</f>
        <v>Day 3 - 25/06</v>
      </c>
      <c r="D690" s="6">
        <f>IFERROR(__xludf.DUMMYFUNCTION("""COMPUTED_VALUE"""),0.6818402777777799)</f>
        <v>0.6818402778</v>
      </c>
      <c r="E690" s="6">
        <f>IFERROR(__xludf.DUMMYFUNCTION("""COMPUTED_VALUE"""),1.7361111111111112E-4)</f>
        <v>0.0001736111111</v>
      </c>
      <c r="F690" s="6">
        <f>IFERROR(__xludf.DUMMYFUNCTION("""COMPUTED_VALUE"""),0.682013888888891)</f>
        <v>0.6820138889</v>
      </c>
      <c r="G690" s="4" t="str">
        <f>IFERROR(__xludf.DUMMYFUNCTION("""COMPUTED_VALUE"""),"Graphics")</f>
        <v>Graphics</v>
      </c>
      <c r="H690" s="4" t="str">
        <f>IFERROR(__xludf.DUMMYFUNCTION("""COMPUTED_VALUE"""),"")</f>
        <v/>
      </c>
      <c r="I690" s="4" t="str">
        <f>IFERROR(__xludf.DUMMYFUNCTION("""COMPUTED_VALUE"""),"")</f>
        <v/>
      </c>
      <c r="J690" s="4" t="str">
        <f>IFERROR(__xludf.DUMMYFUNCTION("""COMPUTED_VALUE"""),"Health")</f>
        <v>Health</v>
      </c>
      <c r="K690" s="4" t="str">
        <f>IFERROR(__xludf.DUMMYFUNCTION("""COMPUTED_VALUE"""),"Talk Outro")</f>
        <v>Talk Outro</v>
      </c>
      <c r="L690" s="4" t="str">
        <f>IFERROR(__xludf.DUMMYFUNCTION("""COMPUTED_VALUE"""),"")</f>
        <v/>
      </c>
      <c r="M690" s="4" t="str">
        <f>IFERROR(__xludf.DUMMYFUNCTION("""COMPUTED_VALUE"""),"Talk Outro")</f>
        <v>Talk Outro</v>
      </c>
      <c r="N690" s="4" t="str">
        <f>IFERROR(__xludf.DUMMYFUNCTION("""COMPUTED_VALUE"""),"")</f>
        <v/>
      </c>
      <c r="O690" s="4" t="str">
        <f>IFERROR(__xludf.DUMMYFUNCTION("""COMPUTED_VALUE"""),"")</f>
        <v/>
      </c>
      <c r="P690" s="4" t="str">
        <f>IFERROR(__xludf.DUMMYFUNCTION("""COMPUTED_VALUE"""),"")</f>
        <v/>
      </c>
      <c r="Q690" s="4" t="str">
        <f>IFERROR(__xludf.DUMMYFUNCTION("""COMPUTED_VALUE"""),"")</f>
        <v/>
      </c>
      <c r="R690" s="4" t="str">
        <f>IFERROR(__xludf.DUMMYFUNCTION("""COMPUTED_VALUE"""),"")</f>
        <v/>
      </c>
      <c r="S690" s="4" t="str">
        <f>IFERROR(__xludf.DUMMYFUNCTION("""COMPUTED_VALUE"""),"")</f>
        <v/>
      </c>
      <c r="T690" s="4" t="str">
        <f>IFERROR(__xludf.DUMMYFUNCTION("""COMPUTED_VALUE"""),"")</f>
        <v/>
      </c>
      <c r="U690" s="4" t="str">
        <f>IFERROR(__xludf.DUMMYFUNCTION("""COMPUTED_VALUE"""),"")</f>
        <v/>
      </c>
      <c r="V690" s="4" t="str">
        <f>IFERROR(__xludf.DUMMYFUNCTION("""COMPUTED_VALUE"""),"")</f>
        <v/>
      </c>
      <c r="W690" s="4" t="str">
        <f>IFERROR(__xludf.DUMMYFUNCTION("""COMPUTED_VALUE"""),"")</f>
        <v/>
      </c>
      <c r="X690" s="4" t="str">
        <f>IFERROR(__xludf.DUMMYFUNCTION("""COMPUTED_VALUE"""),"")</f>
        <v/>
      </c>
      <c r="Y690" s="4" t="str">
        <f>IFERROR(__xludf.DUMMYFUNCTION("""COMPUTED_VALUE"""),"")</f>
        <v/>
      </c>
    </row>
    <row r="691">
      <c r="A691" s="4" t="str">
        <f>IFERROR(__xludf.DUMMYFUNCTION("""COMPUTED_VALUE"""),"736 - Channel")</f>
        <v>736 - Channel</v>
      </c>
      <c r="B691" s="4" t="str">
        <f>IFERROR(__xludf.DUMMYFUNCTION("""COMPUTED_VALUE"""),"Channel 2")</f>
        <v>Channel 2</v>
      </c>
      <c r="C691" s="4" t="str">
        <f>IFERROR(__xludf.DUMMYFUNCTION("""COMPUTED_VALUE"""),"Day 3 - 25/06")</f>
        <v>Day 3 - 25/06</v>
      </c>
      <c r="D691" s="6">
        <f>IFERROR(__xludf.DUMMYFUNCTION("""COMPUTED_VALUE"""),0.682013888888891)</f>
        <v>0.6820138889</v>
      </c>
      <c r="E691" s="6">
        <f>IFERROR(__xludf.DUMMYFUNCTION("""COMPUTED_VALUE"""),3.4722222222222224E-4)</f>
        <v>0.0003472222222</v>
      </c>
      <c r="F691" s="6">
        <f>IFERROR(__xludf.DUMMYFUNCTION("""COMPUTED_VALUE"""),0.6823611111111133)</f>
        <v>0.6823611111</v>
      </c>
      <c r="G691" s="4" t="str">
        <f>IFERROR(__xludf.DUMMYFUNCTION("""COMPUTED_VALUE"""),"Startups")</f>
        <v>Startups</v>
      </c>
      <c r="H691" s="4" t="str">
        <f>IFERROR(__xludf.DUMMYFUNCTION("""COMPUTED_VALUE"""),"")</f>
        <v/>
      </c>
      <c r="I691" s="4" t="str">
        <f>IFERROR(__xludf.DUMMYFUNCTION("""COMPUTED_VALUE"""),"")</f>
        <v/>
      </c>
      <c r="J691" s="4" t="str">
        <f>IFERROR(__xludf.DUMMYFUNCTION("""COMPUTED_VALUE"""),"Health")</f>
        <v>Health</v>
      </c>
      <c r="K691" s="4" t="str">
        <f>IFERROR(__xludf.DUMMYFUNCTION("""COMPUTED_VALUE"""),"40 Words")</f>
        <v>40 Words</v>
      </c>
      <c r="L691" s="4" t="str">
        <f>IFERROR(__xludf.DUMMYFUNCTION("""COMPUTED_VALUE"""),"")</f>
        <v/>
      </c>
      <c r="M691" s="4" t="str">
        <f>IFERROR(__xludf.DUMMYFUNCTION("""COMPUTED_VALUE"""),"Partner Logo Reel #2")</f>
        <v>Partner Logo Reel #2</v>
      </c>
      <c r="N691" s="4" t="str">
        <f>IFERROR(__xludf.DUMMYFUNCTION("""COMPUTED_VALUE"""),"")</f>
        <v/>
      </c>
      <c r="O691" s="4" t="str">
        <f>IFERROR(__xludf.DUMMYFUNCTION("""COMPUTED_VALUE"""),"")</f>
        <v/>
      </c>
      <c r="P691" s="4" t="str">
        <f>IFERROR(__xludf.DUMMYFUNCTION("""COMPUTED_VALUE"""),"")</f>
        <v/>
      </c>
      <c r="Q691" s="4" t="str">
        <f>IFERROR(__xludf.DUMMYFUNCTION("""COMPUTED_VALUE"""),"")</f>
        <v/>
      </c>
      <c r="R691" s="4" t="str">
        <f>IFERROR(__xludf.DUMMYFUNCTION("""COMPUTED_VALUE"""),"")</f>
        <v/>
      </c>
      <c r="S691" s="4" t="str">
        <f>IFERROR(__xludf.DUMMYFUNCTION("""COMPUTED_VALUE"""),"")</f>
        <v/>
      </c>
      <c r="T691" s="4" t="str">
        <f>IFERROR(__xludf.DUMMYFUNCTION("""COMPUTED_VALUE"""),"")</f>
        <v/>
      </c>
      <c r="U691" s="4" t="str">
        <f>IFERROR(__xludf.DUMMYFUNCTION("""COMPUTED_VALUE"""),"")</f>
        <v/>
      </c>
      <c r="V691" s="4" t="str">
        <f>IFERROR(__xludf.DUMMYFUNCTION("""COMPUTED_VALUE"""),"")</f>
        <v/>
      </c>
      <c r="W691" s="4" t="str">
        <f>IFERROR(__xludf.DUMMYFUNCTION("""COMPUTED_VALUE"""),"")</f>
        <v/>
      </c>
      <c r="X691" s="4" t="str">
        <f>IFERROR(__xludf.DUMMYFUNCTION("""COMPUTED_VALUE"""),"")</f>
        <v/>
      </c>
      <c r="Y691" s="4" t="str">
        <f>IFERROR(__xludf.DUMMYFUNCTION("""COMPUTED_VALUE"""),"")</f>
        <v/>
      </c>
    </row>
    <row r="692">
      <c r="A692" s="4" t="str">
        <f>IFERROR(__xludf.DUMMYFUNCTION("""COMPUTED_VALUE"""),"737 - Channel")</f>
        <v>737 - Channel</v>
      </c>
      <c r="B692" s="4" t="str">
        <f>IFERROR(__xludf.DUMMYFUNCTION("""COMPUTED_VALUE"""),"Channel 2")</f>
        <v>Channel 2</v>
      </c>
      <c r="C692" s="4" t="str">
        <f>IFERROR(__xludf.DUMMYFUNCTION("""COMPUTED_VALUE"""),"Day 3 - 25/06")</f>
        <v>Day 3 - 25/06</v>
      </c>
      <c r="D692" s="6">
        <f>IFERROR(__xludf.DUMMYFUNCTION("""COMPUTED_VALUE"""),0.6823611111111133)</f>
        <v>0.6823611111</v>
      </c>
      <c r="E692" s="6">
        <f>IFERROR(__xludf.DUMMYFUNCTION("""COMPUTED_VALUE"""),3.4722222222222224E-4)</f>
        <v>0.0003472222222</v>
      </c>
      <c r="F692" s="6">
        <f>IFERROR(__xludf.DUMMYFUNCTION("""COMPUTED_VALUE"""),0.6827083333333356)</f>
        <v>0.6827083333</v>
      </c>
      <c r="G692" s="4" t="str">
        <f>IFERROR(__xludf.DUMMYFUNCTION("""COMPUTED_VALUE"""),"Graphics")</f>
        <v>Graphics</v>
      </c>
      <c r="H692" s="4" t="str">
        <f>IFERROR(__xludf.DUMMYFUNCTION("""COMPUTED_VALUE"""),"")</f>
        <v/>
      </c>
      <c r="I692" s="4" t="str">
        <f>IFERROR(__xludf.DUMMYFUNCTION("""COMPUTED_VALUE"""),"")</f>
        <v/>
      </c>
      <c r="J692" s="4" t="str">
        <f>IFERROR(__xludf.DUMMYFUNCTION("""COMPUTED_VALUE"""),"Health")</f>
        <v>Health</v>
      </c>
      <c r="K692" s="4" t="str">
        <f>IFERROR(__xludf.DUMMYFUNCTION("""COMPUTED_VALUE"""),"Talk Intro")</f>
        <v>Talk Intro</v>
      </c>
      <c r="L692" s="4" t="str">
        <f>IFERROR(__xludf.DUMMYFUNCTION("""COMPUTED_VALUE"""),"")</f>
        <v/>
      </c>
      <c r="M692" s="4" t="str">
        <f>IFERROR(__xludf.DUMMYFUNCTION("""COMPUTED_VALUE"""),"Talk Intro")</f>
        <v>Talk Intro</v>
      </c>
      <c r="N692" s="4" t="str">
        <f>IFERROR(__xludf.DUMMYFUNCTION("""COMPUTED_VALUE"""),"")</f>
        <v/>
      </c>
      <c r="O692" s="4" t="str">
        <f>IFERROR(__xludf.DUMMYFUNCTION("""COMPUTED_VALUE"""),"")</f>
        <v/>
      </c>
      <c r="P692" s="4" t="str">
        <f>IFERROR(__xludf.DUMMYFUNCTION("""COMPUTED_VALUE"""),"")</f>
        <v/>
      </c>
      <c r="Q692" s="4" t="str">
        <f>IFERROR(__xludf.DUMMYFUNCTION("""COMPUTED_VALUE"""),"")</f>
        <v/>
      </c>
      <c r="R692" s="4" t="str">
        <f>IFERROR(__xludf.DUMMYFUNCTION("""COMPUTED_VALUE"""),"")</f>
        <v/>
      </c>
      <c r="S692" s="4" t="str">
        <f>IFERROR(__xludf.DUMMYFUNCTION("""COMPUTED_VALUE"""),"")</f>
        <v/>
      </c>
      <c r="T692" s="4" t="str">
        <f>IFERROR(__xludf.DUMMYFUNCTION("""COMPUTED_VALUE"""),"")</f>
        <v/>
      </c>
      <c r="U692" s="4" t="str">
        <f>IFERROR(__xludf.DUMMYFUNCTION("""COMPUTED_VALUE"""),"")</f>
        <v/>
      </c>
      <c r="V692" s="4" t="str">
        <f>IFERROR(__xludf.DUMMYFUNCTION("""COMPUTED_VALUE"""),"")</f>
        <v/>
      </c>
      <c r="W692" s="4" t="str">
        <f>IFERROR(__xludf.DUMMYFUNCTION("""COMPUTED_VALUE"""),"")</f>
        <v/>
      </c>
      <c r="X692" s="4" t="str">
        <f>IFERROR(__xludf.DUMMYFUNCTION("""COMPUTED_VALUE"""),"")</f>
        <v/>
      </c>
      <c r="Y692" s="4" t="str">
        <f>IFERROR(__xludf.DUMMYFUNCTION("""COMPUTED_VALUE"""),"")</f>
        <v/>
      </c>
    </row>
    <row r="693">
      <c r="A693" s="4" t="str">
        <f>IFERROR(__xludf.DUMMYFUNCTION("""COMPUTED_VALUE"""),"738 - Channel")</f>
        <v>738 - Channel</v>
      </c>
      <c r="B693" s="4" t="str">
        <f>IFERROR(__xludf.DUMMYFUNCTION("""COMPUTED_VALUE"""),"Channel 2")</f>
        <v>Channel 2</v>
      </c>
      <c r="C693" s="4" t="str">
        <f>IFERROR(__xludf.DUMMYFUNCTION("""COMPUTED_VALUE"""),"Day 3 - 25/06")</f>
        <v>Day 3 - 25/06</v>
      </c>
      <c r="D693" s="6">
        <f>IFERROR(__xludf.DUMMYFUNCTION("""COMPUTED_VALUE"""),0.6827083333333356)</f>
        <v>0.6827083333</v>
      </c>
      <c r="E693" s="6">
        <f>IFERROR(__xludf.DUMMYFUNCTION("""COMPUTED_VALUE"""),0.003472222222222222)</f>
        <v>0.003472222222</v>
      </c>
      <c r="F693" s="6">
        <f>IFERROR(__xludf.DUMMYFUNCTION("""COMPUTED_VALUE"""),0.6861805555555578)</f>
        <v>0.6861805556</v>
      </c>
      <c r="G693" s="4" t="str">
        <f>IFERROR(__xludf.DUMMYFUNCTION("""COMPUTED_VALUE"""),"Dan")</f>
        <v>Dan</v>
      </c>
      <c r="H693" s="4" t="str">
        <f>IFERROR(__xludf.DUMMYFUNCTION("""COMPUTED_VALUE"""),"N/A")</f>
        <v>N/A</v>
      </c>
      <c r="I693" s="4" t="str">
        <f>IFERROR(__xludf.DUMMYFUNCTION("""COMPUTED_VALUE"""),"Jack")</f>
        <v>Jack</v>
      </c>
      <c r="J693" s="4" t="str">
        <f>IFERROR(__xludf.DUMMYFUNCTION("""COMPUTED_VALUE"""),"Health")</f>
        <v>Health</v>
      </c>
      <c r="K693" s="4" t="str">
        <f>IFERROR(__xludf.DUMMYFUNCTION("""COMPUTED_VALUE"""),"Keynote")</f>
        <v>Keynote</v>
      </c>
      <c r="L693" s="4" t="str">
        <f>IFERROR(__xludf.DUMMYFUNCTION("""COMPUTED_VALUE"""),"T- 9 - 20/04/2020")</f>
        <v>T- 9 - 20/04/2020</v>
      </c>
      <c r="M693" s="4" t="str">
        <f>IFERROR(__xludf.DUMMYFUNCTION("""COMPUTED_VALUE"""),"The health game changer: Democratizing lab testing")</f>
        <v>The health game changer: Democratizing lab testing</v>
      </c>
      <c r="N693" s="4" t="str">
        <f>IFERROR(__xludf.DUMMYFUNCTION("""COMPUTED_VALUE"""),"Julia Taylor Cheek, EverlyWell")</f>
        <v>Julia Taylor Cheek, EverlyWell</v>
      </c>
      <c r="O693" s="4" t="str">
        <f>IFERROR(__xludf.DUMMYFUNCTION("""COMPUTED_VALUE"""),"")</f>
        <v/>
      </c>
      <c r="P693" s="4" t="str">
        <f>IFERROR(__xludf.DUMMYFUNCTION("""COMPUTED_VALUE"""),"")</f>
        <v/>
      </c>
      <c r="Q693" s="4" t="str">
        <f>IFERROR(__xludf.DUMMYFUNCTION("""COMPUTED_VALUE"""),"")</f>
        <v/>
      </c>
      <c r="R693" s="4" t="str">
        <f>IFERROR(__xludf.DUMMYFUNCTION("""COMPUTED_VALUE"""),"")</f>
        <v/>
      </c>
      <c r="S693" s="4" t="str">
        <f>IFERROR(__xludf.DUMMYFUNCTION("""COMPUTED_VALUE"""),"Hear from Everlywell founder Julia Taylor Cheek on how she built the home health testing company, which offers products that allow you to run your own lab tests from home – and has raised US$50 million.")</f>
        <v>Hear from Everlywell founder Julia Taylor Cheek on how she built the home health testing company, which offers products that allow you to run your own lab tests from home – and has raised US$50 million.</v>
      </c>
      <c r="T693" s="4" t="str">
        <f>IFERROR(__xludf.DUMMYFUNCTION("""COMPUTED_VALUE"""),"Recording MISSED/NEEDS TO BE RERECORDED/RESCHEDULED")</f>
        <v>Recording MISSED/NEEDS TO BE RERECORDED/RESCHEDULED</v>
      </c>
      <c r="U693" s="23">
        <f>IFERROR(__xludf.DUMMYFUNCTION("""COMPUTED_VALUE"""),43992.0)</f>
        <v>43992</v>
      </c>
      <c r="V693" s="24">
        <f>IFERROR(__xludf.DUMMYFUNCTION("""COMPUTED_VALUE"""),0.6666666666666666)</f>
        <v>0.6666666667</v>
      </c>
      <c r="W693" s="21" t="str">
        <f>IFERROR(__xludf.DUMMYFUNCTION("""COMPUTED_VALUE"""),"https://us02web.zoom.us/j/84165075971?pwd=MUw5b09kUGZSdE14RjRMNUJBNEFEZz09")</f>
        <v>https://us02web.zoom.us/j/84165075971?pwd=MUw5b09kUGZSdE14RjRMNUJBNEFEZz09</v>
      </c>
      <c r="X693" s="4" t="str">
        <f>IFERROR(__xludf.DUMMYFUNCTION("""COMPUTED_VALUE"""),"Dan")</f>
        <v>Dan</v>
      </c>
      <c r="Y693" s="4" t="str">
        <f>IFERROR(__xludf.DUMMYFUNCTION("""COMPUTED_VALUE"""),"4627937465022878552")</f>
        <v>4627937465022878552</v>
      </c>
    </row>
    <row r="694">
      <c r="A694" s="4" t="str">
        <f>IFERROR(__xludf.DUMMYFUNCTION("""COMPUTED_VALUE"""),"739 - Channel")</f>
        <v>739 - Channel</v>
      </c>
      <c r="B694" s="4" t="str">
        <f>IFERROR(__xludf.DUMMYFUNCTION("""COMPUTED_VALUE"""),"Channel 2")</f>
        <v>Channel 2</v>
      </c>
      <c r="C694" s="4" t="str">
        <f>IFERROR(__xludf.DUMMYFUNCTION("""COMPUTED_VALUE"""),"Day 3 - 25/06")</f>
        <v>Day 3 - 25/06</v>
      </c>
      <c r="D694" s="6">
        <f>IFERROR(__xludf.DUMMYFUNCTION("""COMPUTED_VALUE"""),0.6861805555555578)</f>
        <v>0.6861805556</v>
      </c>
      <c r="E694" s="6">
        <f>IFERROR(__xludf.DUMMYFUNCTION("""COMPUTED_VALUE"""),1.7361111111111112E-4)</f>
        <v>0.0001736111111</v>
      </c>
      <c r="F694" s="6">
        <f>IFERROR(__xludf.DUMMYFUNCTION("""COMPUTED_VALUE"""),0.6863541666666689)</f>
        <v>0.6863541667</v>
      </c>
      <c r="G694" s="4" t="str">
        <f>IFERROR(__xludf.DUMMYFUNCTION("""COMPUTED_VALUE"""),"Graphics")</f>
        <v>Graphics</v>
      </c>
      <c r="H694" s="4" t="str">
        <f>IFERROR(__xludf.DUMMYFUNCTION("""COMPUTED_VALUE"""),"")</f>
        <v/>
      </c>
      <c r="I694" s="4" t="str">
        <f>IFERROR(__xludf.DUMMYFUNCTION("""COMPUTED_VALUE"""),"")</f>
        <v/>
      </c>
      <c r="J694" s="4" t="str">
        <f>IFERROR(__xludf.DUMMYFUNCTION("""COMPUTED_VALUE"""),"Health")</f>
        <v>Health</v>
      </c>
      <c r="K694" s="4" t="str">
        <f>IFERROR(__xludf.DUMMYFUNCTION("""COMPUTED_VALUE"""),"Talk Outro")</f>
        <v>Talk Outro</v>
      </c>
      <c r="L694" s="4" t="str">
        <f>IFERROR(__xludf.DUMMYFUNCTION("""COMPUTED_VALUE"""),"")</f>
        <v/>
      </c>
      <c r="M694" s="4" t="str">
        <f>IFERROR(__xludf.DUMMYFUNCTION("""COMPUTED_VALUE"""),"Talk Outro")</f>
        <v>Talk Outro</v>
      </c>
      <c r="N694" s="4" t="str">
        <f>IFERROR(__xludf.DUMMYFUNCTION("""COMPUTED_VALUE"""),"")</f>
        <v/>
      </c>
      <c r="O694" s="4" t="str">
        <f>IFERROR(__xludf.DUMMYFUNCTION("""COMPUTED_VALUE"""),"")</f>
        <v/>
      </c>
      <c r="P694" s="4" t="str">
        <f>IFERROR(__xludf.DUMMYFUNCTION("""COMPUTED_VALUE"""),"")</f>
        <v/>
      </c>
      <c r="Q694" s="4" t="str">
        <f>IFERROR(__xludf.DUMMYFUNCTION("""COMPUTED_VALUE"""),"")</f>
        <v/>
      </c>
      <c r="R694" s="4" t="str">
        <f>IFERROR(__xludf.DUMMYFUNCTION("""COMPUTED_VALUE"""),"")</f>
        <v/>
      </c>
      <c r="S694" s="4" t="str">
        <f>IFERROR(__xludf.DUMMYFUNCTION("""COMPUTED_VALUE"""),"")</f>
        <v/>
      </c>
      <c r="T694" s="4" t="str">
        <f>IFERROR(__xludf.DUMMYFUNCTION("""COMPUTED_VALUE"""),"")</f>
        <v/>
      </c>
      <c r="U694" s="4" t="str">
        <f>IFERROR(__xludf.DUMMYFUNCTION("""COMPUTED_VALUE"""),"")</f>
        <v/>
      </c>
      <c r="V694" s="4" t="str">
        <f>IFERROR(__xludf.DUMMYFUNCTION("""COMPUTED_VALUE"""),"")</f>
        <v/>
      </c>
      <c r="W694" s="4" t="str">
        <f>IFERROR(__xludf.DUMMYFUNCTION("""COMPUTED_VALUE"""),"")</f>
        <v/>
      </c>
      <c r="X694" s="4" t="str">
        <f>IFERROR(__xludf.DUMMYFUNCTION("""COMPUTED_VALUE"""),"")</f>
        <v/>
      </c>
      <c r="Y694" s="4" t="str">
        <f>IFERROR(__xludf.DUMMYFUNCTION("""COMPUTED_VALUE"""),"")</f>
        <v/>
      </c>
    </row>
    <row r="695">
      <c r="A695" s="4" t="str">
        <f>IFERROR(__xludf.DUMMYFUNCTION("""COMPUTED_VALUE"""),"741 - Channel")</f>
        <v>741 - Channel</v>
      </c>
      <c r="B695" s="4" t="str">
        <f>IFERROR(__xludf.DUMMYFUNCTION("""COMPUTED_VALUE"""),"Channel 2")</f>
        <v>Channel 2</v>
      </c>
      <c r="C695" s="4" t="str">
        <f>IFERROR(__xludf.DUMMYFUNCTION("""COMPUTED_VALUE"""),"Day 3 - 25/06")</f>
        <v>Day 3 - 25/06</v>
      </c>
      <c r="D695" s="6">
        <f>IFERROR(__xludf.DUMMYFUNCTION("""COMPUTED_VALUE"""),0.6863541666666689)</f>
        <v>0.6863541667</v>
      </c>
      <c r="E695" s="6">
        <f>IFERROR(__xludf.DUMMYFUNCTION("""COMPUTED_VALUE"""),3.4722222222222224E-4)</f>
        <v>0.0003472222222</v>
      </c>
      <c r="F695" s="6">
        <f>IFERROR(__xludf.DUMMYFUNCTION("""COMPUTED_VALUE"""),0.6867013888888912)</f>
        <v>0.6867013889</v>
      </c>
      <c r="G695" s="4" t="str">
        <f>IFERROR(__xludf.DUMMYFUNCTION("""COMPUTED_VALUE"""),"Graphics")</f>
        <v>Graphics</v>
      </c>
      <c r="H695" s="4" t="str">
        <f>IFERROR(__xludf.DUMMYFUNCTION("""COMPUTED_VALUE"""),"")</f>
        <v/>
      </c>
      <c r="I695" s="4" t="str">
        <f>IFERROR(__xludf.DUMMYFUNCTION("""COMPUTED_VALUE"""),"")</f>
        <v/>
      </c>
      <c r="J695" s="4" t="str">
        <f>IFERROR(__xludf.DUMMYFUNCTION("""COMPUTED_VALUE"""),"Health")</f>
        <v>Health</v>
      </c>
      <c r="K695" s="4" t="str">
        <f>IFERROR(__xludf.DUMMYFUNCTION("""COMPUTED_VALUE"""),"Talk Intro")</f>
        <v>Talk Intro</v>
      </c>
      <c r="L695" s="4" t="str">
        <f>IFERROR(__xludf.DUMMYFUNCTION("""COMPUTED_VALUE"""),"")</f>
        <v/>
      </c>
      <c r="M695" s="4" t="str">
        <f>IFERROR(__xludf.DUMMYFUNCTION("""COMPUTED_VALUE"""),"Talk Intro")</f>
        <v>Talk Intro</v>
      </c>
      <c r="N695" s="4" t="str">
        <f>IFERROR(__xludf.DUMMYFUNCTION("""COMPUTED_VALUE"""),"")</f>
        <v/>
      </c>
      <c r="O695" s="4" t="str">
        <f>IFERROR(__xludf.DUMMYFUNCTION("""COMPUTED_VALUE"""),"")</f>
        <v/>
      </c>
      <c r="P695" s="4" t="str">
        <f>IFERROR(__xludf.DUMMYFUNCTION("""COMPUTED_VALUE"""),"")</f>
        <v/>
      </c>
      <c r="Q695" s="4" t="str">
        <f>IFERROR(__xludf.DUMMYFUNCTION("""COMPUTED_VALUE"""),"")</f>
        <v/>
      </c>
      <c r="R695" s="4" t="str">
        <f>IFERROR(__xludf.DUMMYFUNCTION("""COMPUTED_VALUE"""),"")</f>
        <v/>
      </c>
      <c r="S695" s="4" t="str">
        <f>IFERROR(__xludf.DUMMYFUNCTION("""COMPUTED_VALUE"""),"")</f>
        <v/>
      </c>
      <c r="T695" s="4" t="str">
        <f>IFERROR(__xludf.DUMMYFUNCTION("""COMPUTED_VALUE"""),"")</f>
        <v/>
      </c>
      <c r="U695" s="4" t="str">
        <f>IFERROR(__xludf.DUMMYFUNCTION("""COMPUTED_VALUE"""),"")</f>
        <v/>
      </c>
      <c r="V695" s="4" t="str">
        <f>IFERROR(__xludf.DUMMYFUNCTION("""COMPUTED_VALUE"""),"")</f>
        <v/>
      </c>
      <c r="W695" s="4" t="str">
        <f>IFERROR(__xludf.DUMMYFUNCTION("""COMPUTED_VALUE"""),"")</f>
        <v/>
      </c>
      <c r="X695" s="4" t="str">
        <f>IFERROR(__xludf.DUMMYFUNCTION("""COMPUTED_VALUE"""),"")</f>
        <v/>
      </c>
      <c r="Y695" s="4" t="str">
        <f>IFERROR(__xludf.DUMMYFUNCTION("""COMPUTED_VALUE"""),"")</f>
        <v/>
      </c>
    </row>
    <row r="696">
      <c r="A696" s="4" t="str">
        <f>IFERROR(__xludf.DUMMYFUNCTION("""COMPUTED_VALUE"""),"1446 - Channel")</f>
        <v>1446 - Channel</v>
      </c>
      <c r="B696" s="4" t="str">
        <f>IFERROR(__xludf.DUMMYFUNCTION("""COMPUTED_VALUE"""),"Channel 2")</f>
        <v>Channel 2</v>
      </c>
      <c r="C696" s="4" t="str">
        <f>IFERROR(__xludf.DUMMYFUNCTION("""COMPUTED_VALUE"""),"Day 3 - 25/06")</f>
        <v>Day 3 - 25/06</v>
      </c>
      <c r="D696" s="6">
        <f>IFERROR(__xludf.DUMMYFUNCTION("""COMPUTED_VALUE"""),0.6867013888888912)</f>
        <v>0.6867013889</v>
      </c>
      <c r="E696" s="6">
        <f>IFERROR(__xludf.DUMMYFUNCTION("""COMPUTED_VALUE"""),0.010416666666666666)</f>
        <v>0.01041666667</v>
      </c>
      <c r="F696" s="6">
        <f>IFERROR(__xludf.DUMMYFUNCTION("""COMPUTED_VALUE"""),0.6971180555555578)</f>
        <v>0.6971180556</v>
      </c>
      <c r="G696" s="4" t="str">
        <f>IFERROR(__xludf.DUMMYFUNCTION("""COMPUTED_VALUE"""),"Yvonne")</f>
        <v>Yvonne</v>
      </c>
      <c r="H696" s="4" t="str">
        <f>IFERROR(__xludf.DUMMYFUNCTION("""COMPUTED_VALUE"""),"Haziq")</f>
        <v>Haziq</v>
      </c>
      <c r="I696" s="4" t="str">
        <f>IFERROR(__xludf.DUMMYFUNCTION("""COMPUTED_VALUE"""),"Lucia H.")</f>
        <v>Lucia H.</v>
      </c>
      <c r="J696" s="4" t="str">
        <f>IFERROR(__xludf.DUMMYFUNCTION("""COMPUTED_VALUE"""),"Health")</f>
        <v>Health</v>
      </c>
      <c r="K696" s="4" t="str">
        <f>IFERROR(__xludf.DUMMYFUNCTION("""COMPUTED_VALUE"""),"Fireside")</f>
        <v>Fireside</v>
      </c>
      <c r="L696" s="4" t="str">
        <f>IFERROR(__xludf.DUMMYFUNCTION("""COMPUTED_VALUE"""),"T- 4 - 25/05/2020")</f>
        <v>T- 4 - 25/05/2020</v>
      </c>
      <c r="M696" s="4" t="str">
        <f>IFERROR(__xludf.DUMMYFUNCTION("""COMPUTED_VALUE"""),"How COVID-19 will change healthcare forever")</f>
        <v>How COVID-19 will change healthcare forever</v>
      </c>
      <c r="N696" s="4" t="str">
        <f>IFERROR(__xludf.DUMMYFUNCTION("""COMPUTED_VALUE"""),"Mario Schlosser, Oscar")</f>
        <v>Mario Schlosser, Oscar</v>
      </c>
      <c r="O696" s="4" t="str">
        <f>IFERROR(__xludf.DUMMYFUNCTION("""COMPUTED_VALUE"""),"")</f>
        <v/>
      </c>
      <c r="P696" s="4" t="str">
        <f>IFERROR(__xludf.DUMMYFUNCTION("""COMPUTED_VALUE"""),"")</f>
        <v/>
      </c>
      <c r="Q696" s="4" t="str">
        <f>IFERROR(__xludf.DUMMYFUNCTION("""COMPUTED_VALUE"""),"")</f>
        <v/>
      </c>
      <c r="R696" s="4" t="str">
        <f>IFERROR(__xludf.DUMMYFUNCTION("""COMPUTED_VALUE"""),"Lydia Ramsey, Business Insider")</f>
        <v>Lydia Ramsey, Business Insider</v>
      </c>
      <c r="S696" s="4" t="str">
        <f>IFERROR(__xludf.DUMMYFUNCTION("""COMPUTED_VALUE"""),"For now, all eyes are on Covid-19. But what happens to global healthcare post-pandemic? Oscar Health's CEO explores how tech and telehealth can rally to protect an under-pressure ecosystem and explains why a return to 'normal' won't be an option.")</f>
        <v>For now, all eyes are on Covid-19. But what happens to global healthcare post-pandemic? Oscar Health's CEO explores how tech and telehealth can rally to protect an under-pressure ecosystem and explains why a return to 'normal' won't be an option.</v>
      </c>
      <c r="T696" s="4" t="str">
        <f>IFERROR(__xludf.DUMMYFUNCTION("""COMPUTED_VALUE"""),"NON-KEYNOTE 9 - COMPLETE")</f>
        <v>NON-KEYNOTE 9 - COMPLETE</v>
      </c>
      <c r="U696" s="23">
        <f>IFERROR(__xludf.DUMMYFUNCTION("""COMPUTED_VALUE"""),43984.0)</f>
        <v>43984</v>
      </c>
      <c r="V696" s="44">
        <f>IFERROR(__xludf.DUMMYFUNCTION("""COMPUTED_VALUE"""),0.5833333333333334)</f>
        <v>0.5833333333</v>
      </c>
      <c r="W696" s="4" t="str">
        <f>IFERROR(__xludf.DUMMYFUNCTION("""COMPUTED_VALUE"""),"COMPLETE")</f>
        <v>COMPLETE</v>
      </c>
      <c r="X696" s="4" t="str">
        <f>IFERROR(__xludf.DUMMYFUNCTION("""COMPUTED_VALUE"""),"Ines")</f>
        <v>Ines</v>
      </c>
      <c r="Y696" s="4" t="str">
        <f>IFERROR(__xludf.DUMMYFUNCTION("""COMPUTED_VALUE"""),"")</f>
        <v/>
      </c>
    </row>
    <row r="697">
      <c r="A697" s="4" t="str">
        <f>IFERROR(__xludf.DUMMYFUNCTION("""COMPUTED_VALUE"""),"743 - Channel")</f>
        <v>743 - Channel</v>
      </c>
      <c r="B697" s="4" t="str">
        <f>IFERROR(__xludf.DUMMYFUNCTION("""COMPUTED_VALUE"""),"Channel 2")</f>
        <v>Channel 2</v>
      </c>
      <c r="C697" s="4" t="str">
        <f>IFERROR(__xludf.DUMMYFUNCTION("""COMPUTED_VALUE"""),"Day 3 - 25/06")</f>
        <v>Day 3 - 25/06</v>
      </c>
      <c r="D697" s="6">
        <f>IFERROR(__xludf.DUMMYFUNCTION("""COMPUTED_VALUE"""),0.6971180555555578)</f>
        <v>0.6971180556</v>
      </c>
      <c r="E697" s="6">
        <f>IFERROR(__xludf.DUMMYFUNCTION("""COMPUTED_VALUE"""),1.7361111111111112E-4)</f>
        <v>0.0001736111111</v>
      </c>
      <c r="F697" s="6">
        <f>IFERROR(__xludf.DUMMYFUNCTION("""COMPUTED_VALUE"""),0.697291666666669)</f>
        <v>0.6972916667</v>
      </c>
      <c r="G697" s="4" t="str">
        <f>IFERROR(__xludf.DUMMYFUNCTION("""COMPUTED_VALUE"""),"Graphics")</f>
        <v>Graphics</v>
      </c>
      <c r="H697" s="4" t="str">
        <f>IFERROR(__xludf.DUMMYFUNCTION("""COMPUTED_VALUE"""),"")</f>
        <v/>
      </c>
      <c r="I697" s="4" t="str">
        <f>IFERROR(__xludf.DUMMYFUNCTION("""COMPUTED_VALUE"""),"")</f>
        <v/>
      </c>
      <c r="J697" s="4" t="str">
        <f>IFERROR(__xludf.DUMMYFUNCTION("""COMPUTED_VALUE"""),"Health")</f>
        <v>Health</v>
      </c>
      <c r="K697" s="4" t="str">
        <f>IFERROR(__xludf.DUMMYFUNCTION("""COMPUTED_VALUE"""),"Talk Outro")</f>
        <v>Talk Outro</v>
      </c>
      <c r="L697" s="4" t="str">
        <f>IFERROR(__xludf.DUMMYFUNCTION("""COMPUTED_VALUE"""),"")</f>
        <v/>
      </c>
      <c r="M697" s="4" t="str">
        <f>IFERROR(__xludf.DUMMYFUNCTION("""COMPUTED_VALUE"""),"Talk Outro")</f>
        <v>Talk Outro</v>
      </c>
      <c r="N697" s="4" t="str">
        <f>IFERROR(__xludf.DUMMYFUNCTION("""COMPUTED_VALUE"""),"")</f>
        <v/>
      </c>
      <c r="O697" s="4" t="str">
        <f>IFERROR(__xludf.DUMMYFUNCTION("""COMPUTED_VALUE"""),"")</f>
        <v/>
      </c>
      <c r="P697" s="4" t="str">
        <f>IFERROR(__xludf.DUMMYFUNCTION("""COMPUTED_VALUE"""),"")</f>
        <v/>
      </c>
      <c r="Q697" s="4" t="str">
        <f>IFERROR(__xludf.DUMMYFUNCTION("""COMPUTED_VALUE"""),"")</f>
        <v/>
      </c>
      <c r="R697" s="4" t="str">
        <f>IFERROR(__xludf.DUMMYFUNCTION("""COMPUTED_VALUE"""),"")</f>
        <v/>
      </c>
      <c r="S697" s="4" t="str">
        <f>IFERROR(__xludf.DUMMYFUNCTION("""COMPUTED_VALUE"""),"")</f>
        <v/>
      </c>
      <c r="T697" s="4" t="str">
        <f>IFERROR(__xludf.DUMMYFUNCTION("""COMPUTED_VALUE"""),"")</f>
        <v/>
      </c>
      <c r="U697" s="4" t="str">
        <f>IFERROR(__xludf.DUMMYFUNCTION("""COMPUTED_VALUE"""),"")</f>
        <v/>
      </c>
      <c r="V697" s="4" t="str">
        <f>IFERROR(__xludf.DUMMYFUNCTION("""COMPUTED_VALUE"""),"")</f>
        <v/>
      </c>
      <c r="W697" s="4" t="str">
        <f>IFERROR(__xludf.DUMMYFUNCTION("""COMPUTED_VALUE"""),"")</f>
        <v/>
      </c>
      <c r="X697" s="4" t="str">
        <f>IFERROR(__xludf.DUMMYFUNCTION("""COMPUTED_VALUE"""),"")</f>
        <v/>
      </c>
      <c r="Y697" s="4" t="str">
        <f>IFERROR(__xludf.DUMMYFUNCTION("""COMPUTED_VALUE"""),"")</f>
        <v/>
      </c>
    </row>
    <row r="698">
      <c r="A698" s="4" t="str">
        <f>IFERROR(__xludf.DUMMYFUNCTION("""COMPUTED_VALUE"""),"1447 - Channel")</f>
        <v>1447 - Channel</v>
      </c>
      <c r="B698" s="4" t="str">
        <f>IFERROR(__xludf.DUMMYFUNCTION("""COMPUTED_VALUE"""),"Channel 2")</f>
        <v>Channel 2</v>
      </c>
      <c r="C698" s="4" t="str">
        <f>IFERROR(__xludf.DUMMYFUNCTION("""COMPUTED_VALUE"""),"Day 3 - 25/06")</f>
        <v>Day 3 - 25/06</v>
      </c>
      <c r="D698" s="6">
        <f>IFERROR(__xludf.DUMMYFUNCTION("""COMPUTED_VALUE"""),0.7059259259259284)</f>
        <v>0.7059259259</v>
      </c>
      <c r="E698" s="6">
        <f>IFERROR(__xludf.DUMMYFUNCTION("""COMPUTED_VALUE"""),3.4722222222222224E-4)</f>
        <v>0.0003472222222</v>
      </c>
      <c r="F698" s="6">
        <f>IFERROR(__xludf.DUMMYFUNCTION("""COMPUTED_VALUE"""),0.7062731481481507)</f>
        <v>0.7062731481</v>
      </c>
      <c r="G698" s="4" t="str">
        <f>IFERROR(__xludf.DUMMYFUNCTION("""COMPUTED_VALUE"""),"")</f>
        <v/>
      </c>
      <c r="H698" s="4" t="str">
        <f>IFERROR(__xludf.DUMMYFUNCTION("""COMPUTED_VALUE"""),"")</f>
        <v/>
      </c>
      <c r="I698" s="4" t="str">
        <f>IFERROR(__xludf.DUMMYFUNCTION("""COMPUTED_VALUE"""),"")</f>
        <v/>
      </c>
      <c r="J698" s="4" t="str">
        <f>IFERROR(__xludf.DUMMYFUNCTION("""COMPUTED_VALUE"""),"Health")</f>
        <v>Health</v>
      </c>
      <c r="K698" s="4" t="str">
        <f>IFERROR(__xludf.DUMMYFUNCTION("""COMPUTED_VALUE"""),"RISE Trailer")</f>
        <v>RISE Trailer</v>
      </c>
      <c r="L698" s="4" t="str">
        <f>IFERROR(__xludf.DUMMYFUNCTION("""COMPUTED_VALUE"""),"")</f>
        <v/>
      </c>
      <c r="M698" s="4" t="str">
        <f>IFERROR(__xludf.DUMMYFUNCTION("""COMPUTED_VALUE"""),"Rise Trailer - short")</f>
        <v>Rise Trailer - short</v>
      </c>
      <c r="N698" s="4" t="str">
        <f>IFERROR(__xludf.DUMMYFUNCTION("""COMPUTED_VALUE"""),"")</f>
        <v/>
      </c>
      <c r="O698" s="4" t="str">
        <f>IFERROR(__xludf.DUMMYFUNCTION("""COMPUTED_VALUE"""),"")</f>
        <v/>
      </c>
      <c r="P698" s="4" t="str">
        <f>IFERROR(__xludf.DUMMYFUNCTION("""COMPUTED_VALUE"""),"")</f>
        <v/>
      </c>
      <c r="Q698" s="4" t="str">
        <f>IFERROR(__xludf.DUMMYFUNCTION("""COMPUTED_VALUE"""),"")</f>
        <v/>
      </c>
      <c r="R698" s="4" t="str">
        <f>IFERROR(__xludf.DUMMYFUNCTION("""COMPUTED_VALUE"""),"")</f>
        <v/>
      </c>
      <c r="S698" s="4" t="str">
        <f>IFERROR(__xludf.DUMMYFUNCTION("""COMPUTED_VALUE"""),"")</f>
        <v/>
      </c>
      <c r="T698" s="4" t="str">
        <f>IFERROR(__xludf.DUMMYFUNCTION("""COMPUTED_VALUE"""),"")</f>
        <v/>
      </c>
      <c r="U698" s="4" t="str">
        <f>IFERROR(__xludf.DUMMYFUNCTION("""COMPUTED_VALUE"""),"")</f>
        <v/>
      </c>
      <c r="V698" s="4" t="str">
        <f>IFERROR(__xludf.DUMMYFUNCTION("""COMPUTED_VALUE"""),"")</f>
        <v/>
      </c>
      <c r="W698" s="4" t="str">
        <f>IFERROR(__xludf.DUMMYFUNCTION("""COMPUTED_VALUE"""),"")</f>
        <v/>
      </c>
      <c r="X698" s="4" t="str">
        <f>IFERROR(__xludf.DUMMYFUNCTION("""COMPUTED_VALUE"""),"")</f>
        <v/>
      </c>
      <c r="Y698" s="4" t="str">
        <f>IFERROR(__xludf.DUMMYFUNCTION("""COMPUTED_VALUE"""),"")</f>
        <v/>
      </c>
    </row>
    <row r="699">
      <c r="A699" s="4" t="str">
        <f>IFERROR(__xludf.DUMMYFUNCTION("""COMPUTED_VALUE"""),"745 - Channel")</f>
        <v>745 - Channel</v>
      </c>
      <c r="B699" s="4" t="str">
        <f>IFERROR(__xludf.DUMMYFUNCTION("""COMPUTED_VALUE"""),"Channel 2")</f>
        <v>Channel 2</v>
      </c>
      <c r="C699" s="4" t="str">
        <f>IFERROR(__xludf.DUMMYFUNCTION("""COMPUTED_VALUE"""),"Day 3 - 25/06")</f>
        <v>Day 3 - 25/06</v>
      </c>
      <c r="D699" s="6">
        <f>IFERROR(__xludf.DUMMYFUNCTION("""COMPUTED_VALUE"""),0.697291666666669)</f>
        <v>0.6972916667</v>
      </c>
      <c r="E699" s="6">
        <f>IFERROR(__xludf.DUMMYFUNCTION("""COMPUTED_VALUE"""),3.4722222222222224E-4)</f>
        <v>0.0003472222222</v>
      </c>
      <c r="F699" s="6">
        <f>IFERROR(__xludf.DUMMYFUNCTION("""COMPUTED_VALUE"""),0.6976388888888913)</f>
        <v>0.6976388889</v>
      </c>
      <c r="G699" s="4" t="str">
        <f>IFERROR(__xludf.DUMMYFUNCTION("""COMPUTED_VALUE"""),"Graphics")</f>
        <v>Graphics</v>
      </c>
      <c r="H699" s="4" t="str">
        <f>IFERROR(__xludf.DUMMYFUNCTION("""COMPUTED_VALUE"""),"")</f>
        <v/>
      </c>
      <c r="I699" s="4" t="str">
        <f>IFERROR(__xludf.DUMMYFUNCTION("""COMPUTED_VALUE"""),"")</f>
        <v/>
      </c>
      <c r="J699" s="4" t="str">
        <f>IFERROR(__xludf.DUMMYFUNCTION("""COMPUTED_VALUE"""),"Health")</f>
        <v>Health</v>
      </c>
      <c r="K699" s="4" t="str">
        <f>IFERROR(__xludf.DUMMYFUNCTION("""COMPUTED_VALUE"""),"Talk Intro")</f>
        <v>Talk Intro</v>
      </c>
      <c r="L699" s="4" t="str">
        <f>IFERROR(__xludf.DUMMYFUNCTION("""COMPUTED_VALUE"""),"")</f>
        <v/>
      </c>
      <c r="M699" s="4" t="str">
        <f>IFERROR(__xludf.DUMMYFUNCTION("""COMPUTED_VALUE"""),"Talk Intro")</f>
        <v>Talk Intro</v>
      </c>
      <c r="N699" s="4" t="str">
        <f>IFERROR(__xludf.DUMMYFUNCTION("""COMPUTED_VALUE"""),"")</f>
        <v/>
      </c>
      <c r="O699" s="4" t="str">
        <f>IFERROR(__xludf.DUMMYFUNCTION("""COMPUTED_VALUE"""),"")</f>
        <v/>
      </c>
      <c r="P699" s="4" t="str">
        <f>IFERROR(__xludf.DUMMYFUNCTION("""COMPUTED_VALUE"""),"")</f>
        <v/>
      </c>
      <c r="Q699" s="4" t="str">
        <f>IFERROR(__xludf.DUMMYFUNCTION("""COMPUTED_VALUE"""),"")</f>
        <v/>
      </c>
      <c r="R699" s="4" t="str">
        <f>IFERROR(__xludf.DUMMYFUNCTION("""COMPUTED_VALUE"""),"")</f>
        <v/>
      </c>
      <c r="S699" s="4" t="str">
        <f>IFERROR(__xludf.DUMMYFUNCTION("""COMPUTED_VALUE"""),"")</f>
        <v/>
      </c>
      <c r="T699" s="4" t="str">
        <f>IFERROR(__xludf.DUMMYFUNCTION("""COMPUTED_VALUE"""),"")</f>
        <v/>
      </c>
      <c r="U699" s="4" t="str">
        <f>IFERROR(__xludf.DUMMYFUNCTION("""COMPUTED_VALUE"""),"")</f>
        <v/>
      </c>
      <c r="V699" s="4" t="str">
        <f>IFERROR(__xludf.DUMMYFUNCTION("""COMPUTED_VALUE"""),"")</f>
        <v/>
      </c>
      <c r="W699" s="4" t="str">
        <f>IFERROR(__xludf.DUMMYFUNCTION("""COMPUTED_VALUE"""),"")</f>
        <v/>
      </c>
      <c r="X699" s="4" t="str">
        <f>IFERROR(__xludf.DUMMYFUNCTION("""COMPUTED_VALUE"""),"")</f>
        <v/>
      </c>
      <c r="Y699" s="4" t="str">
        <f>IFERROR(__xludf.DUMMYFUNCTION("""COMPUTED_VALUE"""),"")</f>
        <v/>
      </c>
    </row>
    <row r="700">
      <c r="A700" s="4" t="str">
        <f>IFERROR(__xludf.DUMMYFUNCTION("""COMPUTED_VALUE"""),"746 - Channel")</f>
        <v>746 - Channel</v>
      </c>
      <c r="B700" s="4" t="str">
        <f>IFERROR(__xludf.DUMMYFUNCTION("""COMPUTED_VALUE"""),"Channel 2")</f>
        <v>Channel 2</v>
      </c>
      <c r="C700" s="4" t="str">
        <f>IFERROR(__xludf.DUMMYFUNCTION("""COMPUTED_VALUE"""),"Day 3 - 25/06")</f>
        <v>Day 3 - 25/06</v>
      </c>
      <c r="D700" s="6">
        <f>IFERROR(__xludf.DUMMYFUNCTION("""COMPUTED_VALUE"""),0.6976388888888913)</f>
        <v>0.6976388889</v>
      </c>
      <c r="E700" s="6">
        <f>IFERROR(__xludf.DUMMYFUNCTION("""COMPUTED_VALUE"""),0.005555555555555556)</f>
        <v>0.005555555556</v>
      </c>
      <c r="F700" s="6">
        <f>IFERROR(__xludf.DUMMYFUNCTION("""COMPUTED_VALUE"""),0.7031944444444468)</f>
        <v>0.7031944444</v>
      </c>
      <c r="G700" s="4" t="str">
        <f>IFERROR(__xludf.DUMMYFUNCTION("""COMPUTED_VALUE"""),"Yvonne")</f>
        <v>Yvonne</v>
      </c>
      <c r="H700" s="4" t="str">
        <f>IFERROR(__xludf.DUMMYFUNCTION("""COMPUTED_VALUE"""),"N/A")</f>
        <v>N/A</v>
      </c>
      <c r="I700" s="4" t="str">
        <f>IFERROR(__xludf.DUMMYFUNCTION("""COMPUTED_VALUE"""),"Lucia H.")</f>
        <v>Lucia H.</v>
      </c>
      <c r="J700" s="4" t="str">
        <f>IFERROR(__xludf.DUMMYFUNCTION("""COMPUTED_VALUE"""),"Health")</f>
        <v>Health</v>
      </c>
      <c r="K700" s="4" t="str">
        <f>IFERROR(__xludf.DUMMYFUNCTION("""COMPUTED_VALUE"""),"Keynote")</f>
        <v>Keynote</v>
      </c>
      <c r="L700" s="4" t="str">
        <f>IFERROR(__xludf.DUMMYFUNCTION("""COMPUTED_VALUE"""),"T- 7 - 04/05/2020")</f>
        <v>T- 7 - 04/05/2020</v>
      </c>
      <c r="M700" s="4" t="str">
        <f>IFERROR(__xludf.DUMMYFUNCTION("""COMPUTED_VALUE"""),"Get younger as you age ")</f>
        <v>Get younger as you age </v>
      </c>
      <c r="N700" s="4" t="str">
        <f>IFERROR(__xludf.DUMMYFUNCTION("""COMPUTED_VALUE"""),"Steven Gundry, The Plant Paradox")</f>
        <v>Steven Gundry, The Plant Paradox</v>
      </c>
      <c r="O700" s="4" t="str">
        <f>IFERROR(__xludf.DUMMYFUNCTION("""COMPUTED_VALUE"""),"")</f>
        <v/>
      </c>
      <c r="P700" s="4" t="str">
        <f>IFERROR(__xludf.DUMMYFUNCTION("""COMPUTED_VALUE"""),"")</f>
        <v/>
      </c>
      <c r="Q700" s="4" t="str">
        <f>IFERROR(__xludf.DUMMYFUNCTION("""COMPUTED_VALUE"""),"")</f>
        <v/>
      </c>
      <c r="R700" s="4" t="str">
        <f>IFERROR(__xludf.DUMMYFUNCTION("""COMPUTED_VALUE"""),"")</f>
        <v/>
      </c>
      <c r="S700" s="4" t="str">
        <f>IFERROR(__xludf.DUMMYFUNCTION("""COMPUTED_VALUE"""),"Age is just a number. We've all heard the phrase, but have we seen it in action? Health and nutrition expert Steven Gundry guides us through what it means to age well – so well, in fact, that you'll feel younger than you did when you were... well, young!")</f>
        <v>Age is just a number. We've all heard the phrase, but have we seen it in action? Health and nutrition expert Steven Gundry guides us through what it means to age well – so well, in fact, that you'll feel younger than you did when you were... well, young!</v>
      </c>
      <c r="T700" s="4" t="str">
        <f>IFERROR(__xludf.DUMMYFUNCTION("""COMPUTED_VALUE"""),"KEYNOTE 8 - COMPLETE")</f>
        <v>KEYNOTE 8 - COMPLETE</v>
      </c>
      <c r="U700" s="23">
        <f>IFERROR(__xludf.DUMMYFUNCTION("""COMPUTED_VALUE"""),43954.0)</f>
        <v>43954</v>
      </c>
      <c r="V700" s="24">
        <f>IFERROR(__xludf.DUMMYFUNCTION("""COMPUTED_VALUE"""),0.6666666666666666)</f>
        <v>0.6666666667</v>
      </c>
      <c r="W700" s="4" t="str">
        <f>IFERROR(__xludf.DUMMYFUNCTION("""COMPUTED_VALUE"""),"COMPLETE")</f>
        <v>COMPLETE</v>
      </c>
      <c r="X700" s="4" t="str">
        <f>IFERROR(__xludf.DUMMYFUNCTION("""COMPUTED_VALUE"""),"Yvonne")</f>
        <v>Yvonne</v>
      </c>
      <c r="Y700" s="4" t="str">
        <f>IFERROR(__xludf.DUMMYFUNCTION("""COMPUTED_VALUE"""),"4639009290949827865")</f>
        <v>4639009290949827865</v>
      </c>
    </row>
    <row r="701">
      <c r="A701" s="4" t="str">
        <f>IFERROR(__xludf.DUMMYFUNCTION("""COMPUTED_VALUE"""),"747 - Channel")</f>
        <v>747 - Channel</v>
      </c>
      <c r="B701" s="4" t="str">
        <f>IFERROR(__xludf.DUMMYFUNCTION("""COMPUTED_VALUE"""),"Channel 2")</f>
        <v>Channel 2</v>
      </c>
      <c r="C701" s="4" t="str">
        <f>IFERROR(__xludf.DUMMYFUNCTION("""COMPUTED_VALUE"""),"Day 3 - 25/06")</f>
        <v>Day 3 - 25/06</v>
      </c>
      <c r="D701" s="6">
        <f>IFERROR(__xludf.DUMMYFUNCTION("""COMPUTED_VALUE"""),0.7031944444444468)</f>
        <v>0.7031944444</v>
      </c>
      <c r="E701" s="6">
        <f>IFERROR(__xludf.DUMMYFUNCTION("""COMPUTED_VALUE"""),1.7361111111111112E-4)</f>
        <v>0.0001736111111</v>
      </c>
      <c r="F701" s="6">
        <f>IFERROR(__xludf.DUMMYFUNCTION("""COMPUTED_VALUE"""),0.7033680555555579)</f>
        <v>0.7033680556</v>
      </c>
      <c r="G701" s="4" t="str">
        <f>IFERROR(__xludf.DUMMYFUNCTION("""COMPUTED_VALUE"""),"Graphics")</f>
        <v>Graphics</v>
      </c>
      <c r="H701" s="4" t="str">
        <f>IFERROR(__xludf.DUMMYFUNCTION("""COMPUTED_VALUE"""),"")</f>
        <v/>
      </c>
      <c r="I701" s="4" t="str">
        <f>IFERROR(__xludf.DUMMYFUNCTION("""COMPUTED_VALUE"""),"")</f>
        <v/>
      </c>
      <c r="J701" s="4" t="str">
        <f>IFERROR(__xludf.DUMMYFUNCTION("""COMPUTED_VALUE"""),"Health")</f>
        <v>Health</v>
      </c>
      <c r="K701" s="4" t="str">
        <f>IFERROR(__xludf.DUMMYFUNCTION("""COMPUTED_VALUE"""),"Talk Outro")</f>
        <v>Talk Outro</v>
      </c>
      <c r="L701" s="4" t="str">
        <f>IFERROR(__xludf.DUMMYFUNCTION("""COMPUTED_VALUE"""),"")</f>
        <v/>
      </c>
      <c r="M701" s="4" t="str">
        <f>IFERROR(__xludf.DUMMYFUNCTION("""COMPUTED_VALUE"""),"Talk Outro")</f>
        <v>Talk Outro</v>
      </c>
      <c r="N701" s="4" t="str">
        <f>IFERROR(__xludf.DUMMYFUNCTION("""COMPUTED_VALUE"""),"")</f>
        <v/>
      </c>
      <c r="O701" s="4" t="str">
        <f>IFERROR(__xludf.DUMMYFUNCTION("""COMPUTED_VALUE"""),"")</f>
        <v/>
      </c>
      <c r="P701" s="4" t="str">
        <f>IFERROR(__xludf.DUMMYFUNCTION("""COMPUTED_VALUE"""),"")</f>
        <v/>
      </c>
      <c r="Q701" s="4" t="str">
        <f>IFERROR(__xludf.DUMMYFUNCTION("""COMPUTED_VALUE"""),"")</f>
        <v/>
      </c>
      <c r="R701" s="4" t="str">
        <f>IFERROR(__xludf.DUMMYFUNCTION("""COMPUTED_VALUE"""),"")</f>
        <v/>
      </c>
      <c r="S701" s="4" t="str">
        <f>IFERROR(__xludf.DUMMYFUNCTION("""COMPUTED_VALUE"""),"")</f>
        <v/>
      </c>
      <c r="T701" s="4" t="str">
        <f>IFERROR(__xludf.DUMMYFUNCTION("""COMPUTED_VALUE"""),"")</f>
        <v/>
      </c>
      <c r="U701" s="4" t="str">
        <f>IFERROR(__xludf.DUMMYFUNCTION("""COMPUTED_VALUE"""),"")</f>
        <v/>
      </c>
      <c r="V701" s="4" t="str">
        <f>IFERROR(__xludf.DUMMYFUNCTION("""COMPUTED_VALUE"""),"")</f>
        <v/>
      </c>
      <c r="W701" s="4" t="str">
        <f>IFERROR(__xludf.DUMMYFUNCTION("""COMPUTED_VALUE"""),"")</f>
        <v/>
      </c>
      <c r="X701" s="4" t="str">
        <f>IFERROR(__xludf.DUMMYFUNCTION("""COMPUTED_VALUE"""),"")</f>
        <v/>
      </c>
      <c r="Y701" s="4" t="str">
        <f>IFERROR(__xludf.DUMMYFUNCTION("""COMPUTED_VALUE"""),"")</f>
        <v/>
      </c>
    </row>
    <row r="702">
      <c r="A702" s="4" t="str">
        <f>IFERROR(__xludf.DUMMYFUNCTION("""COMPUTED_VALUE"""),"749 - Channel")</f>
        <v>749 - Channel</v>
      </c>
      <c r="B702" s="4" t="str">
        <f>IFERROR(__xludf.DUMMYFUNCTION("""COMPUTED_VALUE"""),"Channel 2")</f>
        <v>Channel 2</v>
      </c>
      <c r="C702" s="4" t="str">
        <f>IFERROR(__xludf.DUMMYFUNCTION("""COMPUTED_VALUE"""),"Day 3 - 25/06")</f>
        <v>Day 3 - 25/06</v>
      </c>
      <c r="D702" s="6">
        <f>IFERROR(__xludf.DUMMYFUNCTION("""COMPUTED_VALUE"""),0.7033680555555579)</f>
        <v>0.7033680556</v>
      </c>
      <c r="E702" s="6">
        <f>IFERROR(__xludf.DUMMYFUNCTION("""COMPUTED_VALUE"""),3.4722222222222224E-4)</f>
        <v>0.0003472222222</v>
      </c>
      <c r="F702" s="6">
        <f>IFERROR(__xludf.DUMMYFUNCTION("""COMPUTED_VALUE"""),0.7037152777777802)</f>
        <v>0.7037152778</v>
      </c>
      <c r="G702" s="4" t="str">
        <f>IFERROR(__xludf.DUMMYFUNCTION("""COMPUTED_VALUE"""),"Graphics")</f>
        <v>Graphics</v>
      </c>
      <c r="H702" s="4" t="str">
        <f>IFERROR(__xludf.DUMMYFUNCTION("""COMPUTED_VALUE"""),"")</f>
        <v/>
      </c>
      <c r="I702" s="4" t="str">
        <f>IFERROR(__xludf.DUMMYFUNCTION("""COMPUTED_VALUE"""),"")</f>
        <v/>
      </c>
      <c r="J702" s="4" t="str">
        <f>IFERROR(__xludf.DUMMYFUNCTION("""COMPUTED_VALUE"""),"Health")</f>
        <v>Health</v>
      </c>
      <c r="K702" s="4" t="str">
        <f>IFERROR(__xludf.DUMMYFUNCTION("""COMPUTED_VALUE"""),"Talk Intro")</f>
        <v>Talk Intro</v>
      </c>
      <c r="L702" s="4" t="str">
        <f>IFERROR(__xludf.DUMMYFUNCTION("""COMPUTED_VALUE"""),"")</f>
        <v/>
      </c>
      <c r="M702" s="4" t="str">
        <f>IFERROR(__xludf.DUMMYFUNCTION("""COMPUTED_VALUE"""),"Talk Intro")</f>
        <v>Talk Intro</v>
      </c>
      <c r="N702" s="4" t="str">
        <f>IFERROR(__xludf.DUMMYFUNCTION("""COMPUTED_VALUE"""),"")</f>
        <v/>
      </c>
      <c r="O702" s="4" t="str">
        <f>IFERROR(__xludf.DUMMYFUNCTION("""COMPUTED_VALUE"""),"")</f>
        <v/>
      </c>
      <c r="P702" s="4" t="str">
        <f>IFERROR(__xludf.DUMMYFUNCTION("""COMPUTED_VALUE"""),"")</f>
        <v/>
      </c>
      <c r="Q702" s="4" t="str">
        <f>IFERROR(__xludf.DUMMYFUNCTION("""COMPUTED_VALUE"""),"")</f>
        <v/>
      </c>
      <c r="R702" s="4" t="str">
        <f>IFERROR(__xludf.DUMMYFUNCTION("""COMPUTED_VALUE"""),"")</f>
        <v/>
      </c>
      <c r="S702" s="4" t="str">
        <f>IFERROR(__xludf.DUMMYFUNCTION("""COMPUTED_VALUE"""),"")</f>
        <v/>
      </c>
      <c r="T702" s="4" t="str">
        <f>IFERROR(__xludf.DUMMYFUNCTION("""COMPUTED_VALUE"""),"")</f>
        <v/>
      </c>
      <c r="U702" s="4" t="str">
        <f>IFERROR(__xludf.DUMMYFUNCTION("""COMPUTED_VALUE"""),"")</f>
        <v/>
      </c>
      <c r="V702" s="4" t="str">
        <f>IFERROR(__xludf.DUMMYFUNCTION("""COMPUTED_VALUE"""),"")</f>
        <v/>
      </c>
      <c r="W702" s="4" t="str">
        <f>IFERROR(__xludf.DUMMYFUNCTION("""COMPUTED_VALUE"""),"")</f>
        <v/>
      </c>
      <c r="X702" s="4" t="str">
        <f>IFERROR(__xludf.DUMMYFUNCTION("""COMPUTED_VALUE"""),"")</f>
        <v/>
      </c>
      <c r="Y702" s="4" t="str">
        <f>IFERROR(__xludf.DUMMYFUNCTION("""COMPUTED_VALUE"""),"")</f>
        <v/>
      </c>
    </row>
    <row r="703">
      <c r="A703" s="4" t="str">
        <f>IFERROR(__xludf.DUMMYFUNCTION("""COMPUTED_VALUE"""),"750 - Channel")</f>
        <v>750 - Channel</v>
      </c>
      <c r="B703" s="4" t="str">
        <f>IFERROR(__xludf.DUMMYFUNCTION("""COMPUTED_VALUE"""),"Channel 2")</f>
        <v>Channel 2</v>
      </c>
      <c r="C703" s="4" t="str">
        <f>IFERROR(__xludf.DUMMYFUNCTION("""COMPUTED_VALUE"""),"Day 3 - 25/06")</f>
        <v>Day 3 - 25/06</v>
      </c>
      <c r="D703" s="6">
        <f>IFERROR(__xludf.DUMMYFUNCTION("""COMPUTED_VALUE"""),0.7037152777777802)</f>
        <v>0.7037152778</v>
      </c>
      <c r="E703" s="6">
        <f>IFERROR(__xludf.DUMMYFUNCTION("""COMPUTED_VALUE"""),0.002037037037037037)</f>
        <v>0.002037037037</v>
      </c>
      <c r="F703" s="6">
        <f>IFERROR(__xludf.DUMMYFUNCTION("""COMPUTED_VALUE"""),0.7057523148148173)</f>
        <v>0.7057523148</v>
      </c>
      <c r="G703" s="4" t="str">
        <f>IFERROR(__xludf.DUMMYFUNCTION("""COMPUTED_VALUE"""),"Dan")</f>
        <v>Dan</v>
      </c>
      <c r="H703" s="4" t="str">
        <f>IFERROR(__xludf.DUMMYFUNCTION("""COMPUTED_VALUE"""),"N/A")</f>
        <v>N/A</v>
      </c>
      <c r="I703" s="4" t="str">
        <f>IFERROR(__xludf.DUMMYFUNCTION("""COMPUTED_VALUE"""),"Jack")</f>
        <v>Jack</v>
      </c>
      <c r="J703" s="4" t="str">
        <f>IFERROR(__xludf.DUMMYFUNCTION("""COMPUTED_VALUE"""),"Health")</f>
        <v>Health</v>
      </c>
      <c r="K703" s="4" t="str">
        <f>IFERROR(__xludf.DUMMYFUNCTION("""COMPUTED_VALUE"""),"Keynote")</f>
        <v>Keynote</v>
      </c>
      <c r="L703" s="4" t="str">
        <f>IFERROR(__xludf.DUMMYFUNCTION("""COMPUTED_VALUE"""),"T- 8 - 27/04/2020")</f>
        <v>T- 8 - 27/04/2020</v>
      </c>
      <c r="M703" s="4" t="str">
        <f>IFERROR(__xludf.DUMMYFUNCTION("""COMPUTED_VALUE"""),"Reshaping healthcare delivery ")</f>
        <v>Reshaping healthcare delivery </v>
      </c>
      <c r="N703" s="4" t="str">
        <f>IFERROR(__xludf.DUMMYFUNCTION("""COMPUTED_VALUE"""),"Kate Rosenbluth, Cala Health")</f>
        <v>Kate Rosenbluth, Cala Health</v>
      </c>
      <c r="O703" s="4" t="str">
        <f>IFERROR(__xludf.DUMMYFUNCTION("""COMPUTED_VALUE"""),"")</f>
        <v/>
      </c>
      <c r="P703" s="4" t="str">
        <f>IFERROR(__xludf.DUMMYFUNCTION("""COMPUTED_VALUE"""),"")</f>
        <v/>
      </c>
      <c r="Q703" s="4" t="str">
        <f>IFERROR(__xludf.DUMMYFUNCTION("""COMPUTED_VALUE"""),"")</f>
        <v/>
      </c>
      <c r="R703" s="4" t="str">
        <f>IFERROR(__xludf.DUMMYFUNCTION("""COMPUTED_VALUE"""),"")</f>
        <v/>
      </c>
      <c r="S703" s="4" t="str">
        <f>IFERROR(__xludf.DUMMYFUNCTION("""COMPUTED_VALUE"""),"Hear first-hand how Cala Health is reshaping delivery of prescription therapies and bringing relief to patients sheltering in place.")</f>
        <v>Hear first-hand how Cala Health is reshaping delivery of prescription therapies and bringing relief to patients sheltering in place.</v>
      </c>
      <c r="T703" s="4" t="str">
        <f>IFERROR(__xludf.DUMMYFUNCTION("""COMPUTED_VALUE"""),"KEYNOTE 8 - COMPLETE")</f>
        <v>KEYNOTE 8 - COMPLETE</v>
      </c>
      <c r="U703" s="23">
        <f>IFERROR(__xludf.DUMMYFUNCTION("""COMPUTED_VALUE"""),43949.0)</f>
        <v>43949</v>
      </c>
      <c r="V703" s="24">
        <f>IFERROR(__xludf.DUMMYFUNCTION("""COMPUTED_VALUE"""),0.625)</f>
        <v>0.625</v>
      </c>
      <c r="W703" s="4" t="str">
        <f>IFERROR(__xludf.DUMMYFUNCTION("""COMPUTED_VALUE"""),"COMPLETE")</f>
        <v>COMPLETE</v>
      </c>
      <c r="X703" s="4" t="str">
        <f>IFERROR(__xludf.DUMMYFUNCTION("""COMPUTED_VALUE"""),"Dan")</f>
        <v>Dan</v>
      </c>
      <c r="Y703" s="4" t="str">
        <f>IFERROR(__xludf.DUMMYFUNCTION("""COMPUTED_VALUE"""),"4634333673229525043")</f>
        <v>4634333673229525043</v>
      </c>
    </row>
    <row r="704">
      <c r="A704" s="4" t="str">
        <f>IFERROR(__xludf.DUMMYFUNCTION("""COMPUTED_VALUE"""),"751 - Channel")</f>
        <v>751 - Channel</v>
      </c>
      <c r="B704" s="4" t="str">
        <f>IFERROR(__xludf.DUMMYFUNCTION("""COMPUTED_VALUE"""),"Channel 2")</f>
        <v>Channel 2</v>
      </c>
      <c r="C704" s="4" t="str">
        <f>IFERROR(__xludf.DUMMYFUNCTION("""COMPUTED_VALUE"""),"Day 3 - 25/06")</f>
        <v>Day 3 - 25/06</v>
      </c>
      <c r="D704" s="6">
        <f>IFERROR(__xludf.DUMMYFUNCTION("""COMPUTED_VALUE"""),0.7057523148148173)</f>
        <v>0.7057523148</v>
      </c>
      <c r="E704" s="6">
        <f>IFERROR(__xludf.DUMMYFUNCTION("""COMPUTED_VALUE"""),1.7361111111111112E-4)</f>
        <v>0.0001736111111</v>
      </c>
      <c r="F704" s="6">
        <f>IFERROR(__xludf.DUMMYFUNCTION("""COMPUTED_VALUE"""),0.7059259259259284)</f>
        <v>0.7059259259</v>
      </c>
      <c r="G704" s="4" t="str">
        <f>IFERROR(__xludf.DUMMYFUNCTION("""COMPUTED_VALUE"""),"Graphics")</f>
        <v>Graphics</v>
      </c>
      <c r="H704" s="4" t="str">
        <f>IFERROR(__xludf.DUMMYFUNCTION("""COMPUTED_VALUE"""),"")</f>
        <v/>
      </c>
      <c r="I704" s="4" t="str">
        <f>IFERROR(__xludf.DUMMYFUNCTION("""COMPUTED_VALUE"""),"")</f>
        <v/>
      </c>
      <c r="J704" s="4" t="str">
        <f>IFERROR(__xludf.DUMMYFUNCTION("""COMPUTED_VALUE"""),"Health")</f>
        <v>Health</v>
      </c>
      <c r="K704" s="4" t="str">
        <f>IFERROR(__xludf.DUMMYFUNCTION("""COMPUTED_VALUE"""),"Talk Outro")</f>
        <v>Talk Outro</v>
      </c>
      <c r="L704" s="4" t="str">
        <f>IFERROR(__xludf.DUMMYFUNCTION("""COMPUTED_VALUE"""),"")</f>
        <v/>
      </c>
      <c r="M704" s="4" t="str">
        <f>IFERROR(__xludf.DUMMYFUNCTION("""COMPUTED_VALUE"""),"Talk Outro")</f>
        <v>Talk Outro</v>
      </c>
      <c r="N704" s="4" t="str">
        <f>IFERROR(__xludf.DUMMYFUNCTION("""COMPUTED_VALUE"""),"")</f>
        <v/>
      </c>
      <c r="O704" s="4" t="str">
        <f>IFERROR(__xludf.DUMMYFUNCTION("""COMPUTED_VALUE"""),"")</f>
        <v/>
      </c>
      <c r="P704" s="4" t="str">
        <f>IFERROR(__xludf.DUMMYFUNCTION("""COMPUTED_VALUE"""),"")</f>
        <v/>
      </c>
      <c r="Q704" s="4" t="str">
        <f>IFERROR(__xludf.DUMMYFUNCTION("""COMPUTED_VALUE"""),"")</f>
        <v/>
      </c>
      <c r="R704" s="4" t="str">
        <f>IFERROR(__xludf.DUMMYFUNCTION("""COMPUTED_VALUE"""),"")</f>
        <v/>
      </c>
      <c r="S704" s="4" t="str">
        <f>IFERROR(__xludf.DUMMYFUNCTION("""COMPUTED_VALUE"""),"")</f>
        <v/>
      </c>
      <c r="T704" s="4" t="str">
        <f>IFERROR(__xludf.DUMMYFUNCTION("""COMPUTED_VALUE"""),"")</f>
        <v/>
      </c>
      <c r="U704" s="4" t="str">
        <f>IFERROR(__xludf.DUMMYFUNCTION("""COMPUTED_VALUE"""),"")</f>
        <v/>
      </c>
      <c r="V704" s="4" t="str">
        <f>IFERROR(__xludf.DUMMYFUNCTION("""COMPUTED_VALUE"""),"")</f>
        <v/>
      </c>
      <c r="W704" s="4" t="str">
        <f>IFERROR(__xludf.DUMMYFUNCTION("""COMPUTED_VALUE"""),"")</f>
        <v/>
      </c>
      <c r="X704" s="4" t="str">
        <f>IFERROR(__xludf.DUMMYFUNCTION("""COMPUTED_VALUE"""),"")</f>
        <v/>
      </c>
      <c r="Y704" s="4" t="str">
        <f>IFERROR(__xludf.DUMMYFUNCTION("""COMPUTED_VALUE"""),"")</f>
        <v/>
      </c>
    </row>
    <row r="705">
      <c r="A705" s="4" t="str">
        <f>IFERROR(__xludf.DUMMYFUNCTION("""COMPUTED_VALUE"""),"771 - Channel")</f>
        <v>771 - Channel</v>
      </c>
      <c r="B705" s="4" t="str">
        <f>IFERROR(__xludf.DUMMYFUNCTION("""COMPUTED_VALUE"""),"Channel 2")</f>
        <v>Channel 2</v>
      </c>
      <c r="C705" s="4" t="str">
        <f>IFERROR(__xludf.DUMMYFUNCTION("""COMPUTED_VALUE"""),"Day 3 - 25/06")</f>
        <v>Day 3 - 25/06</v>
      </c>
      <c r="D705" s="6">
        <f>IFERROR(__xludf.DUMMYFUNCTION("""COMPUTED_VALUE"""),0.7062731481481507)</f>
        <v>0.7062731481</v>
      </c>
      <c r="E705" s="6">
        <f>IFERROR(__xludf.DUMMYFUNCTION("""COMPUTED_VALUE"""),3.935185185185185E-4)</f>
        <v>0.0003935185185</v>
      </c>
      <c r="F705" s="6">
        <f>IFERROR(__xludf.DUMMYFUNCTION("""COMPUTED_VALUE"""),0.7066666666666692)</f>
        <v>0.7066666667</v>
      </c>
      <c r="G705" s="4" t="str">
        <f>IFERROR(__xludf.DUMMYFUNCTION("""COMPUTED_VALUE"""),"Graphics")</f>
        <v>Graphics</v>
      </c>
      <c r="H705" s="4" t="str">
        <f>IFERROR(__xludf.DUMMYFUNCTION("""COMPUTED_VALUE"""),"")</f>
        <v/>
      </c>
      <c r="I705" s="4" t="str">
        <f>IFERROR(__xludf.DUMMYFUNCTION("""COMPUTED_VALUE"""),"")</f>
        <v/>
      </c>
      <c r="J705" s="4" t="str">
        <f>IFERROR(__xludf.DUMMYFUNCTION("""COMPUTED_VALUE"""),"Cars")</f>
        <v>Cars</v>
      </c>
      <c r="K705" s="4" t="str">
        <f>IFERROR(__xludf.DUMMYFUNCTION("""COMPUTED_VALUE"""),"Collision From Home Day Outro")</f>
        <v>Collision From Home Day Outro</v>
      </c>
      <c r="L705" s="4" t="str">
        <f>IFERROR(__xludf.DUMMYFUNCTION("""COMPUTED_VALUE"""),"")</f>
        <v/>
      </c>
      <c r="M705" s="4" t="str">
        <f>IFERROR(__xludf.DUMMYFUNCTION("""COMPUTED_VALUE"""),"Collision From Home Day Outro")</f>
        <v>Collision From Home Day Outro</v>
      </c>
      <c r="N705" s="4" t="str">
        <f>IFERROR(__xludf.DUMMYFUNCTION("""COMPUTED_VALUE"""),"")</f>
        <v/>
      </c>
      <c r="O705" s="4" t="str">
        <f>IFERROR(__xludf.DUMMYFUNCTION("""COMPUTED_VALUE"""),"")</f>
        <v/>
      </c>
      <c r="P705" s="4" t="str">
        <f>IFERROR(__xludf.DUMMYFUNCTION("""COMPUTED_VALUE"""),"")</f>
        <v/>
      </c>
      <c r="Q705" s="4" t="str">
        <f>IFERROR(__xludf.DUMMYFUNCTION("""COMPUTED_VALUE"""),"")</f>
        <v/>
      </c>
      <c r="R705" s="4" t="str">
        <f>IFERROR(__xludf.DUMMYFUNCTION("""COMPUTED_VALUE"""),"")</f>
        <v/>
      </c>
      <c r="S705" s="4" t="str">
        <f>IFERROR(__xludf.DUMMYFUNCTION("""COMPUTED_VALUE"""),"")</f>
        <v/>
      </c>
      <c r="T705" s="4" t="str">
        <f>IFERROR(__xludf.DUMMYFUNCTION("""COMPUTED_VALUE"""),"")</f>
        <v/>
      </c>
      <c r="U705" s="4" t="str">
        <f>IFERROR(__xludf.DUMMYFUNCTION("""COMPUTED_VALUE"""),"")</f>
        <v/>
      </c>
      <c r="V705" s="4" t="str">
        <f>IFERROR(__xludf.DUMMYFUNCTION("""COMPUTED_VALUE"""),"")</f>
        <v/>
      </c>
      <c r="W705" s="4" t="str">
        <f>IFERROR(__xludf.DUMMYFUNCTION("""COMPUTED_VALUE"""),"")</f>
        <v/>
      </c>
      <c r="X705" s="4" t="str">
        <f>IFERROR(__xludf.DUMMYFUNCTION("""COMPUTED_VALUE"""),"")</f>
        <v/>
      </c>
      <c r="Y705" s="4" t="str">
        <f>IFERROR(__xludf.DUMMYFUNCTION("""COMPUTED_VALUE"""),"")</f>
        <v/>
      </c>
    </row>
    <row r="706">
      <c r="A706" s="4" t="str">
        <f>IFERROR(__xludf.DUMMYFUNCTION("""COMPUTED_VALUE"""),"772 - Channel")</f>
        <v>772 - Channel</v>
      </c>
      <c r="B706" s="4" t="str">
        <f>IFERROR(__xludf.DUMMYFUNCTION("""COMPUTED_VALUE"""),"Channel 2")</f>
        <v>Channel 2</v>
      </c>
      <c r="C706" s="4" t="str">
        <f>IFERROR(__xludf.DUMMYFUNCTION("""COMPUTED_VALUE"""),"")</f>
        <v/>
      </c>
      <c r="D706" s="4" t="str">
        <f>IFERROR(__xludf.DUMMYFUNCTION("""COMPUTED_VALUE"""),"")</f>
        <v/>
      </c>
      <c r="E706" s="4" t="str">
        <f>IFERROR(__xludf.DUMMYFUNCTION("""COMPUTED_VALUE"""),"")</f>
        <v/>
      </c>
      <c r="F706" s="4" t="str">
        <f>IFERROR(__xludf.DUMMYFUNCTION("""COMPUTED_VALUE"""),"")</f>
        <v/>
      </c>
      <c r="G706" s="4" t="str">
        <f>IFERROR(__xludf.DUMMYFUNCTION("""COMPUTED_VALUE"""),"")</f>
        <v/>
      </c>
      <c r="H706" s="4" t="str">
        <f>IFERROR(__xludf.DUMMYFUNCTION("""COMPUTED_VALUE"""),"")</f>
        <v/>
      </c>
      <c r="I706" s="4" t="str">
        <f>IFERROR(__xludf.DUMMYFUNCTION("""COMPUTED_VALUE"""),"")</f>
        <v/>
      </c>
      <c r="J706" s="4" t="str">
        <f>IFERROR(__xludf.DUMMYFUNCTION("""COMPUTED_VALUE"""),"")</f>
        <v/>
      </c>
      <c r="K706" s="4" t="str">
        <f>IFERROR(__xludf.DUMMYFUNCTION("""COMPUTED_VALUE"""),"")</f>
        <v/>
      </c>
      <c r="L706" s="4" t="str">
        <f>IFERROR(__xludf.DUMMYFUNCTION("""COMPUTED_VALUE"""),"")</f>
        <v/>
      </c>
      <c r="M706" s="4" t="str">
        <f>IFERROR(__xludf.DUMMYFUNCTION("""COMPUTED_VALUE"""),"")</f>
        <v/>
      </c>
      <c r="N706" s="4" t="str">
        <f>IFERROR(__xludf.DUMMYFUNCTION("""COMPUTED_VALUE"""),"")</f>
        <v/>
      </c>
      <c r="O706" s="4" t="str">
        <f>IFERROR(__xludf.DUMMYFUNCTION("""COMPUTED_VALUE"""),"")</f>
        <v/>
      </c>
      <c r="P706" s="4" t="str">
        <f>IFERROR(__xludf.DUMMYFUNCTION("""COMPUTED_VALUE"""),"")</f>
        <v/>
      </c>
      <c r="Q706" s="4" t="str">
        <f>IFERROR(__xludf.DUMMYFUNCTION("""COMPUTED_VALUE"""),"")</f>
        <v/>
      </c>
      <c r="R706" s="4" t="str">
        <f>IFERROR(__xludf.DUMMYFUNCTION("""COMPUTED_VALUE"""),"")</f>
        <v/>
      </c>
      <c r="S706" s="4" t="str">
        <f>IFERROR(__xludf.DUMMYFUNCTION("""COMPUTED_VALUE"""),"")</f>
        <v/>
      </c>
      <c r="T706" s="4" t="str">
        <f>IFERROR(__xludf.DUMMYFUNCTION("""COMPUTED_VALUE"""),"")</f>
        <v/>
      </c>
      <c r="U706" s="4" t="str">
        <f>IFERROR(__xludf.DUMMYFUNCTION("""COMPUTED_VALUE"""),"")</f>
        <v/>
      </c>
      <c r="V706" s="4" t="str">
        <f>IFERROR(__xludf.DUMMYFUNCTION("""COMPUTED_VALUE"""),"")</f>
        <v/>
      </c>
      <c r="W706" s="4" t="str">
        <f>IFERROR(__xludf.DUMMYFUNCTION("""COMPUTED_VALUE"""),"")</f>
        <v/>
      </c>
      <c r="X706" s="4" t="str">
        <f>IFERROR(__xludf.DUMMYFUNCTION("""COMPUTED_VALUE"""),"")</f>
        <v/>
      </c>
      <c r="Y706" s="4" t="str">
        <f>IFERROR(__xludf.DUMMYFUNCTION("""COMPUTED_VALUE"""),"")</f>
        <v/>
      </c>
    </row>
    <row r="707">
      <c r="A707" s="4" t="str">
        <f>IFERROR(__xludf.DUMMYFUNCTION("""COMPUTED_VALUE"""),"773 - Channel")</f>
        <v>773 - Channel</v>
      </c>
      <c r="B707" s="4" t="str">
        <f>IFERROR(__xludf.DUMMYFUNCTION("""COMPUTED_VALUE"""),"Channel 2")</f>
        <v>Channel 2</v>
      </c>
      <c r="C707" s="4" t="str">
        <f>IFERROR(__xludf.DUMMYFUNCTION("""COMPUTED_VALUE"""),"")</f>
        <v/>
      </c>
      <c r="D707" s="4" t="str">
        <f>IFERROR(__xludf.DUMMYFUNCTION("""COMPUTED_VALUE"""),"")</f>
        <v/>
      </c>
      <c r="E707" s="4" t="str">
        <f>IFERROR(__xludf.DUMMYFUNCTION("""COMPUTED_VALUE"""),"")</f>
        <v/>
      </c>
      <c r="F707" s="4" t="str">
        <f>IFERROR(__xludf.DUMMYFUNCTION("""COMPUTED_VALUE"""),"")</f>
        <v/>
      </c>
      <c r="G707" s="4" t="str">
        <f>IFERROR(__xludf.DUMMYFUNCTION("""COMPUTED_VALUE"""),"")</f>
        <v/>
      </c>
      <c r="H707" s="4" t="str">
        <f>IFERROR(__xludf.DUMMYFUNCTION("""COMPUTED_VALUE"""),"")</f>
        <v/>
      </c>
      <c r="I707" s="4" t="str">
        <f>IFERROR(__xludf.DUMMYFUNCTION("""COMPUTED_VALUE"""),"")</f>
        <v/>
      </c>
      <c r="J707" s="4" t="str">
        <f>IFERROR(__xludf.DUMMYFUNCTION("""COMPUTED_VALUE"""),"")</f>
        <v/>
      </c>
      <c r="K707" s="4" t="str">
        <f>IFERROR(__xludf.DUMMYFUNCTION("""COMPUTED_VALUE"""),"")</f>
        <v/>
      </c>
      <c r="L707" s="4" t="str">
        <f>IFERROR(__xludf.DUMMYFUNCTION("""COMPUTED_VALUE"""),"")</f>
        <v/>
      </c>
      <c r="M707" s="4" t="str">
        <f>IFERROR(__xludf.DUMMYFUNCTION("""COMPUTED_VALUE"""),"")</f>
        <v/>
      </c>
      <c r="N707" s="4" t="str">
        <f>IFERROR(__xludf.DUMMYFUNCTION("""COMPUTED_VALUE"""),"")</f>
        <v/>
      </c>
      <c r="O707" s="4" t="str">
        <f>IFERROR(__xludf.DUMMYFUNCTION("""COMPUTED_VALUE"""),"")</f>
        <v/>
      </c>
      <c r="P707" s="4" t="str">
        <f>IFERROR(__xludf.DUMMYFUNCTION("""COMPUTED_VALUE"""),"")</f>
        <v/>
      </c>
      <c r="Q707" s="4" t="str">
        <f>IFERROR(__xludf.DUMMYFUNCTION("""COMPUTED_VALUE"""),"")</f>
        <v/>
      </c>
      <c r="R707" s="4" t="str">
        <f>IFERROR(__xludf.DUMMYFUNCTION("""COMPUTED_VALUE"""),"")</f>
        <v/>
      </c>
      <c r="S707" s="4" t="str">
        <f>IFERROR(__xludf.DUMMYFUNCTION("""COMPUTED_VALUE"""),"")</f>
        <v/>
      </c>
      <c r="T707" s="4" t="str">
        <f>IFERROR(__xludf.DUMMYFUNCTION("""COMPUTED_VALUE"""),"")</f>
        <v/>
      </c>
      <c r="U707" s="4" t="str">
        <f>IFERROR(__xludf.DUMMYFUNCTION("""COMPUTED_VALUE"""),"")</f>
        <v/>
      </c>
      <c r="V707" s="4" t="str">
        <f>IFERROR(__xludf.DUMMYFUNCTION("""COMPUTED_VALUE"""),"")</f>
        <v/>
      </c>
      <c r="W707" s="4" t="str">
        <f>IFERROR(__xludf.DUMMYFUNCTION("""COMPUTED_VALUE"""),"")</f>
        <v/>
      </c>
      <c r="X707" s="4" t="str">
        <f>IFERROR(__xludf.DUMMYFUNCTION("""COMPUTED_VALUE"""),"")</f>
        <v/>
      </c>
      <c r="Y707" s="4" t="str">
        <f>IFERROR(__xludf.DUMMYFUNCTION("""COMPUTED_VALUE"""),"")</f>
        <v/>
      </c>
    </row>
    <row r="708">
      <c r="A708" s="4" t="str">
        <f>IFERROR(__xludf.DUMMYFUNCTION("""COMPUTED_VALUE"""),"774 - Channel")</f>
        <v>774 - Channel</v>
      </c>
      <c r="B708" s="4" t="str">
        <f>IFERROR(__xludf.DUMMYFUNCTION("""COMPUTED_VALUE"""),"Channel 2")</f>
        <v>Channel 2</v>
      </c>
      <c r="C708" s="4" t="str">
        <f>IFERROR(__xludf.DUMMYFUNCTION("""COMPUTED_VALUE"""),"")</f>
        <v/>
      </c>
      <c r="D708" s="4" t="str">
        <f>IFERROR(__xludf.DUMMYFUNCTION("""COMPUTED_VALUE"""),"")</f>
        <v/>
      </c>
      <c r="E708" s="4" t="str">
        <f>IFERROR(__xludf.DUMMYFUNCTION("""COMPUTED_VALUE"""),"")</f>
        <v/>
      </c>
      <c r="F708" s="4" t="str">
        <f>IFERROR(__xludf.DUMMYFUNCTION("""COMPUTED_VALUE"""),"")</f>
        <v/>
      </c>
      <c r="G708" s="4" t="str">
        <f>IFERROR(__xludf.DUMMYFUNCTION("""COMPUTED_VALUE"""),"")</f>
        <v/>
      </c>
      <c r="H708" s="4" t="str">
        <f>IFERROR(__xludf.DUMMYFUNCTION("""COMPUTED_VALUE"""),"")</f>
        <v/>
      </c>
      <c r="I708" s="4" t="str">
        <f>IFERROR(__xludf.DUMMYFUNCTION("""COMPUTED_VALUE"""),"")</f>
        <v/>
      </c>
      <c r="J708" s="4" t="str">
        <f>IFERROR(__xludf.DUMMYFUNCTION("""COMPUTED_VALUE"""),"")</f>
        <v/>
      </c>
      <c r="K708" s="4" t="str">
        <f>IFERROR(__xludf.DUMMYFUNCTION("""COMPUTED_VALUE"""),"")</f>
        <v/>
      </c>
      <c r="L708" s="4" t="str">
        <f>IFERROR(__xludf.DUMMYFUNCTION("""COMPUTED_VALUE"""),"")</f>
        <v/>
      </c>
      <c r="M708" s="4" t="str">
        <f>IFERROR(__xludf.DUMMYFUNCTION("""COMPUTED_VALUE"""),"")</f>
        <v/>
      </c>
      <c r="N708" s="4" t="str">
        <f>IFERROR(__xludf.DUMMYFUNCTION("""COMPUTED_VALUE"""),"")</f>
        <v/>
      </c>
      <c r="O708" s="4" t="str">
        <f>IFERROR(__xludf.DUMMYFUNCTION("""COMPUTED_VALUE"""),"")</f>
        <v/>
      </c>
      <c r="P708" s="4" t="str">
        <f>IFERROR(__xludf.DUMMYFUNCTION("""COMPUTED_VALUE"""),"")</f>
        <v/>
      </c>
      <c r="Q708" s="4" t="str">
        <f>IFERROR(__xludf.DUMMYFUNCTION("""COMPUTED_VALUE"""),"")</f>
        <v/>
      </c>
      <c r="R708" s="4" t="str">
        <f>IFERROR(__xludf.DUMMYFUNCTION("""COMPUTED_VALUE"""),"")</f>
        <v/>
      </c>
      <c r="S708" s="4" t="str">
        <f>IFERROR(__xludf.DUMMYFUNCTION("""COMPUTED_VALUE"""),"")</f>
        <v/>
      </c>
      <c r="T708" s="4" t="str">
        <f>IFERROR(__xludf.DUMMYFUNCTION("""COMPUTED_VALUE"""),"")</f>
        <v/>
      </c>
      <c r="U708" s="4" t="str">
        <f>IFERROR(__xludf.DUMMYFUNCTION("""COMPUTED_VALUE"""),"")</f>
        <v/>
      </c>
      <c r="V708" s="4" t="str">
        <f>IFERROR(__xludf.DUMMYFUNCTION("""COMPUTED_VALUE"""),"")</f>
        <v/>
      </c>
      <c r="W708" s="4" t="str">
        <f>IFERROR(__xludf.DUMMYFUNCTION("""COMPUTED_VALUE"""),"")</f>
        <v/>
      </c>
      <c r="X708" s="4" t="str">
        <f>IFERROR(__xludf.DUMMYFUNCTION("""COMPUTED_VALUE"""),"")</f>
        <v/>
      </c>
      <c r="Y708" s="4" t="str">
        <f>IFERROR(__xludf.DUMMYFUNCTION("""COMPUTED_VALUE"""),"")</f>
        <v/>
      </c>
    </row>
    <row r="709">
      <c r="A709" s="4" t="str">
        <f>IFERROR(__xludf.DUMMYFUNCTION("""COMPUTED_VALUE"""),"775 - Channel")</f>
        <v>775 - Channel</v>
      </c>
      <c r="B709" s="4" t="str">
        <f>IFERROR(__xludf.DUMMYFUNCTION("""COMPUTED_VALUE"""),"CHANNEL 3")</f>
        <v>CHANNEL 3</v>
      </c>
      <c r="C709" s="4" t="str">
        <f>IFERROR(__xludf.DUMMYFUNCTION("""COMPUTED_VALUE"""),"")</f>
        <v/>
      </c>
      <c r="D709" s="4" t="str">
        <f>IFERROR(__xludf.DUMMYFUNCTION("""COMPUTED_VALUE"""),"")</f>
        <v/>
      </c>
      <c r="E709" s="4" t="str">
        <f>IFERROR(__xludf.DUMMYFUNCTION("""COMPUTED_VALUE"""),"")</f>
        <v/>
      </c>
      <c r="F709" s="4" t="str">
        <f>IFERROR(__xludf.DUMMYFUNCTION("""COMPUTED_VALUE"""),"")</f>
        <v/>
      </c>
      <c r="G709" s="4" t="str">
        <f>IFERROR(__xludf.DUMMYFUNCTION("""COMPUTED_VALUE"""),"")</f>
        <v/>
      </c>
      <c r="H709" s="4" t="str">
        <f>IFERROR(__xludf.DUMMYFUNCTION("""COMPUTED_VALUE"""),"")</f>
        <v/>
      </c>
      <c r="I709" s="4" t="str">
        <f>IFERROR(__xludf.DUMMYFUNCTION("""COMPUTED_VALUE"""),"")</f>
        <v/>
      </c>
      <c r="J709" s="4" t="str">
        <f>IFERROR(__xludf.DUMMYFUNCTION("""COMPUTED_VALUE"""),"")</f>
        <v/>
      </c>
      <c r="K709" s="4" t="str">
        <f>IFERROR(__xludf.DUMMYFUNCTION("""COMPUTED_VALUE"""),"")</f>
        <v/>
      </c>
      <c r="L709" s="4" t="str">
        <f>IFERROR(__xludf.DUMMYFUNCTION("""COMPUTED_VALUE"""),"")</f>
        <v/>
      </c>
      <c r="M709" s="4" t="str">
        <f>IFERROR(__xludf.DUMMYFUNCTION("""COMPUTED_VALUE"""),"")</f>
        <v/>
      </c>
      <c r="N709" s="4" t="str">
        <f>IFERROR(__xludf.DUMMYFUNCTION("""COMPUTED_VALUE"""),"")</f>
        <v/>
      </c>
      <c r="O709" s="4" t="str">
        <f>IFERROR(__xludf.DUMMYFUNCTION("""COMPUTED_VALUE"""),"")</f>
        <v/>
      </c>
      <c r="P709" s="4" t="str">
        <f>IFERROR(__xludf.DUMMYFUNCTION("""COMPUTED_VALUE"""),"")</f>
        <v/>
      </c>
      <c r="Q709" s="4" t="str">
        <f>IFERROR(__xludf.DUMMYFUNCTION("""COMPUTED_VALUE"""),"")</f>
        <v/>
      </c>
      <c r="R709" s="4" t="str">
        <f>IFERROR(__xludf.DUMMYFUNCTION("""COMPUTED_VALUE"""),"")</f>
        <v/>
      </c>
      <c r="S709" s="4" t="str">
        <f>IFERROR(__xludf.DUMMYFUNCTION("""COMPUTED_VALUE"""),"")</f>
        <v/>
      </c>
      <c r="T709" s="4" t="str">
        <f>IFERROR(__xludf.DUMMYFUNCTION("""COMPUTED_VALUE"""),"")</f>
        <v/>
      </c>
      <c r="U709" s="4" t="str">
        <f>IFERROR(__xludf.DUMMYFUNCTION("""COMPUTED_VALUE"""),"")</f>
        <v/>
      </c>
      <c r="V709" s="4" t="str">
        <f>IFERROR(__xludf.DUMMYFUNCTION("""COMPUTED_VALUE"""),"")</f>
        <v/>
      </c>
      <c r="W709" s="4" t="str">
        <f>IFERROR(__xludf.DUMMYFUNCTION("""COMPUTED_VALUE"""),"")</f>
        <v/>
      </c>
      <c r="X709" s="4" t="str">
        <f>IFERROR(__xludf.DUMMYFUNCTION("""COMPUTED_VALUE"""),"")</f>
        <v/>
      </c>
      <c r="Y709" s="4" t="str">
        <f>IFERROR(__xludf.DUMMYFUNCTION("""COMPUTED_VALUE"""),"")</f>
        <v/>
      </c>
    </row>
    <row r="710">
      <c r="A710" s="4" t="str">
        <f>IFERROR(__xludf.DUMMYFUNCTION("""COMPUTED_VALUE"""),"776 - Channel")</f>
        <v>776 - Channel</v>
      </c>
      <c r="B710" s="4" t="str">
        <f>IFERROR(__xludf.DUMMYFUNCTION("""COMPUTED_VALUE"""),"DAY 1 - Tuesday, 23 June")</f>
        <v>DAY 1 - Tuesday, 23 June</v>
      </c>
      <c r="C710" s="4" t="str">
        <f>IFERROR(__xludf.DUMMYFUNCTION("""COMPUTED_VALUE"""),"")</f>
        <v/>
      </c>
      <c r="D710" s="4" t="str">
        <f>IFERROR(__xludf.DUMMYFUNCTION("""COMPUTED_VALUE"""),"")</f>
        <v/>
      </c>
      <c r="E710" s="4" t="str">
        <f>IFERROR(__xludf.DUMMYFUNCTION("""COMPUTED_VALUE"""),"")</f>
        <v/>
      </c>
      <c r="F710" s="4" t="str">
        <f>IFERROR(__xludf.DUMMYFUNCTION("""COMPUTED_VALUE"""),"")</f>
        <v/>
      </c>
      <c r="G710" s="4" t="str">
        <f>IFERROR(__xludf.DUMMYFUNCTION("""COMPUTED_VALUE"""),"")</f>
        <v/>
      </c>
      <c r="H710" s="4" t="str">
        <f>IFERROR(__xludf.DUMMYFUNCTION("""COMPUTED_VALUE"""),"")</f>
        <v/>
      </c>
      <c r="I710" s="4" t="str">
        <f>IFERROR(__xludf.DUMMYFUNCTION("""COMPUTED_VALUE"""),"")</f>
        <v/>
      </c>
      <c r="J710" s="4" t="str">
        <f>IFERROR(__xludf.DUMMYFUNCTION("""COMPUTED_VALUE"""),"")</f>
        <v/>
      </c>
      <c r="K710" s="4" t="str">
        <f>IFERROR(__xludf.DUMMYFUNCTION("""COMPUTED_VALUE"""),"")</f>
        <v/>
      </c>
      <c r="L710" s="4" t="str">
        <f>IFERROR(__xludf.DUMMYFUNCTION("""COMPUTED_VALUE"""),"")</f>
        <v/>
      </c>
      <c r="M710" s="4" t="str">
        <f>IFERROR(__xludf.DUMMYFUNCTION("""COMPUTED_VALUE"""),"")</f>
        <v/>
      </c>
      <c r="N710" s="4" t="str">
        <f>IFERROR(__xludf.DUMMYFUNCTION("""COMPUTED_VALUE"""),"")</f>
        <v/>
      </c>
      <c r="O710" s="4" t="str">
        <f>IFERROR(__xludf.DUMMYFUNCTION("""COMPUTED_VALUE"""),"")</f>
        <v/>
      </c>
      <c r="P710" s="4" t="str">
        <f>IFERROR(__xludf.DUMMYFUNCTION("""COMPUTED_VALUE"""),"")</f>
        <v/>
      </c>
      <c r="Q710" s="4" t="str">
        <f>IFERROR(__xludf.DUMMYFUNCTION("""COMPUTED_VALUE"""),"")</f>
        <v/>
      </c>
      <c r="R710" s="4" t="str">
        <f>IFERROR(__xludf.DUMMYFUNCTION("""COMPUTED_VALUE"""),"")</f>
        <v/>
      </c>
      <c r="S710" s="4" t="str">
        <f>IFERROR(__xludf.DUMMYFUNCTION("""COMPUTED_VALUE"""),"")</f>
        <v/>
      </c>
      <c r="T710" s="4" t="str">
        <f>IFERROR(__xludf.DUMMYFUNCTION("""COMPUTED_VALUE"""),"")</f>
        <v/>
      </c>
      <c r="U710" s="4" t="str">
        <f>IFERROR(__xludf.DUMMYFUNCTION("""COMPUTED_VALUE"""),"")</f>
        <v/>
      </c>
      <c r="V710" s="4" t="str">
        <f>IFERROR(__xludf.DUMMYFUNCTION("""COMPUTED_VALUE"""),"")</f>
        <v/>
      </c>
      <c r="W710" s="4" t="str">
        <f>IFERROR(__xludf.DUMMYFUNCTION("""COMPUTED_VALUE"""),"")</f>
        <v/>
      </c>
      <c r="X710" s="4" t="str">
        <f>IFERROR(__xludf.DUMMYFUNCTION("""COMPUTED_VALUE"""),"")</f>
        <v/>
      </c>
      <c r="Y710" s="4" t="str">
        <f>IFERROR(__xludf.DUMMYFUNCTION("""COMPUTED_VALUE"""),"")</f>
        <v/>
      </c>
    </row>
    <row r="711">
      <c r="A711" s="4" t="str">
        <f>IFERROR(__xludf.DUMMYFUNCTION("""COMPUTED_VALUE"""),"777 - Channel")</f>
        <v>777 - Channel</v>
      </c>
      <c r="B711" s="4" t="str">
        <f>IFERROR(__xludf.DUMMYFUNCTION("""COMPUTED_VALUE"""),"Channel 3")</f>
        <v>Channel 3</v>
      </c>
      <c r="C711" s="4" t="str">
        <f>IFERROR(__xludf.DUMMYFUNCTION("""COMPUTED_VALUE"""),"Day 1 - 23/06")</f>
        <v>Day 1 - 23/06</v>
      </c>
      <c r="D711" s="6">
        <f>IFERROR(__xludf.DUMMYFUNCTION("""COMPUTED_VALUE"""),0.4166666666666667)</f>
        <v>0.4166666667</v>
      </c>
      <c r="E711" s="6">
        <f>IFERROR(__xludf.DUMMYFUNCTION("""COMPUTED_VALUE"""),0.0010416666666666667)</f>
        <v>0.001041666667</v>
      </c>
      <c r="F711" s="6">
        <f>IFERROR(__xludf.DUMMYFUNCTION("""COMPUTED_VALUE"""),0.41770833333333335)</f>
        <v>0.4177083333</v>
      </c>
      <c r="G711" s="4" t="str">
        <f>IFERROR(__xludf.DUMMYFUNCTION("""COMPUTED_VALUE"""),"Graphics")</f>
        <v>Graphics</v>
      </c>
      <c r="H711" s="4" t="str">
        <f>IFERROR(__xludf.DUMMYFUNCTION("""COMPUTED_VALUE"""),"")</f>
        <v/>
      </c>
      <c r="I711" s="4" t="str">
        <f>IFERROR(__xludf.DUMMYFUNCTION("""COMPUTED_VALUE"""),"")</f>
        <v/>
      </c>
      <c r="J711" s="4" t="str">
        <f>IFERROR(__xludf.DUMMYFUNCTION("""COMPUTED_VALUE"""),"")</f>
        <v/>
      </c>
      <c r="K711" s="4" t="str">
        <f>IFERROR(__xludf.DUMMYFUNCTION("""COMPUTED_VALUE"""),"Collision From Home Day Intro")</f>
        <v>Collision From Home Day Intro</v>
      </c>
      <c r="L711" s="4" t="str">
        <f>IFERROR(__xludf.DUMMYFUNCTION("""COMPUTED_VALUE"""),"")</f>
        <v/>
      </c>
      <c r="M711" s="4" t="str">
        <f>IFERROR(__xludf.DUMMYFUNCTION("""COMPUTED_VALUE"""),"")</f>
        <v/>
      </c>
      <c r="N711" s="4" t="str">
        <f>IFERROR(__xludf.DUMMYFUNCTION("""COMPUTED_VALUE"""),"")</f>
        <v/>
      </c>
      <c r="O711" s="4" t="str">
        <f>IFERROR(__xludf.DUMMYFUNCTION("""COMPUTED_VALUE"""),"")</f>
        <v/>
      </c>
      <c r="P711" s="4" t="str">
        <f>IFERROR(__xludf.DUMMYFUNCTION("""COMPUTED_VALUE"""),"")</f>
        <v/>
      </c>
      <c r="Q711" s="4" t="str">
        <f>IFERROR(__xludf.DUMMYFUNCTION("""COMPUTED_VALUE"""),"")</f>
        <v/>
      </c>
      <c r="R711" s="4" t="str">
        <f>IFERROR(__xludf.DUMMYFUNCTION("""COMPUTED_VALUE"""),"")</f>
        <v/>
      </c>
      <c r="S711" s="4" t="str">
        <f>IFERROR(__xludf.DUMMYFUNCTION("""COMPUTED_VALUE"""),"")</f>
        <v/>
      </c>
      <c r="T711" s="4" t="str">
        <f>IFERROR(__xludf.DUMMYFUNCTION("""COMPUTED_VALUE"""),"")</f>
        <v/>
      </c>
      <c r="U711" s="4" t="str">
        <f>IFERROR(__xludf.DUMMYFUNCTION("""COMPUTED_VALUE"""),"")</f>
        <v/>
      </c>
      <c r="V711" s="4" t="str">
        <f>IFERROR(__xludf.DUMMYFUNCTION("""COMPUTED_VALUE"""),"")</f>
        <v/>
      </c>
      <c r="W711" s="4" t="str">
        <f>IFERROR(__xludf.DUMMYFUNCTION("""COMPUTED_VALUE"""),"")</f>
        <v/>
      </c>
      <c r="X711" s="4" t="str">
        <f>IFERROR(__xludf.DUMMYFUNCTION("""COMPUTED_VALUE"""),"")</f>
        <v/>
      </c>
      <c r="Y711" s="4" t="str">
        <f>IFERROR(__xludf.DUMMYFUNCTION("""COMPUTED_VALUE"""),"")</f>
        <v/>
      </c>
    </row>
    <row r="712">
      <c r="A712" s="4" t="str">
        <f>IFERROR(__xludf.DUMMYFUNCTION("""COMPUTED_VALUE"""),"794 - Channel")</f>
        <v>794 - Channel</v>
      </c>
      <c r="B712" s="4" t="str">
        <f>IFERROR(__xludf.DUMMYFUNCTION("""COMPUTED_VALUE"""),"Channel 3")</f>
        <v>Channel 3</v>
      </c>
      <c r="C712" s="4" t="str">
        <f>IFERROR(__xludf.DUMMYFUNCTION("""COMPUTED_VALUE"""),"Day 1 - 23/06")</f>
        <v>Day 1 - 23/06</v>
      </c>
      <c r="D712" s="6">
        <f>IFERROR(__xludf.DUMMYFUNCTION("""COMPUTED_VALUE"""),0.41770833333333335)</f>
        <v>0.4177083333</v>
      </c>
      <c r="E712" s="6">
        <f>IFERROR(__xludf.DUMMYFUNCTION("""COMPUTED_VALUE"""),1.7361111111111112E-4)</f>
        <v>0.0001736111111</v>
      </c>
      <c r="F712" s="6">
        <f>IFERROR(__xludf.DUMMYFUNCTION("""COMPUTED_VALUE"""),0.4178819444444445)</f>
        <v>0.4178819444</v>
      </c>
      <c r="G712" s="4" t="str">
        <f>IFERROR(__xludf.DUMMYFUNCTION("""COMPUTED_VALUE"""),"P&amp;E")</f>
        <v>P&amp;E</v>
      </c>
      <c r="H712" s="4" t="str">
        <f>IFERROR(__xludf.DUMMYFUNCTION("""COMPUTED_VALUE"""),"N/A")</f>
        <v>N/A</v>
      </c>
      <c r="I712" s="4" t="str">
        <f>IFERROR(__xludf.DUMMYFUNCTION("""COMPUTED_VALUE"""),"N/A")</f>
        <v>N/A</v>
      </c>
      <c r="J712" s="4" t="str">
        <f>IFERROR(__xludf.DUMMYFUNCTION("""COMPUTED_VALUE"""),"Remote working")</f>
        <v>Remote working</v>
      </c>
      <c r="K712" s="4" t="str">
        <f>IFERROR(__xludf.DUMMYFUNCTION("""COMPUTED_VALUE"""),"Partner ad")</f>
        <v>Partner ad</v>
      </c>
      <c r="L712" s="4" t="str">
        <f>IFERROR(__xludf.DUMMYFUNCTION("""COMPUTED_VALUE"""),"")</f>
        <v/>
      </c>
      <c r="M712" s="4" t="str">
        <f>IFERROR(__xludf.DUMMYFUNCTION("""COMPUTED_VALUE"""),"Partner ad - York Region")</f>
        <v>Partner ad - York Region</v>
      </c>
      <c r="N712" s="4" t="str">
        <f>IFERROR(__xludf.DUMMYFUNCTION("""COMPUTED_VALUE"""),"")</f>
        <v/>
      </c>
      <c r="O712" s="4" t="str">
        <f>IFERROR(__xludf.DUMMYFUNCTION("""COMPUTED_VALUE"""),"")</f>
        <v/>
      </c>
      <c r="P712" s="4" t="str">
        <f>IFERROR(__xludf.DUMMYFUNCTION("""COMPUTED_VALUE"""),"")</f>
        <v/>
      </c>
      <c r="Q712" s="4" t="str">
        <f>IFERROR(__xludf.DUMMYFUNCTION("""COMPUTED_VALUE"""),"")</f>
        <v/>
      </c>
      <c r="R712" s="4" t="str">
        <f>IFERROR(__xludf.DUMMYFUNCTION("""COMPUTED_VALUE"""),"")</f>
        <v/>
      </c>
      <c r="S712" s="4" t="str">
        <f>IFERROR(__xludf.DUMMYFUNCTION("""COMPUTED_VALUE"""),"")</f>
        <v/>
      </c>
      <c r="T712" s="4" t="str">
        <f>IFERROR(__xludf.DUMMYFUNCTION("""COMPUTED_VALUE"""),"")</f>
        <v/>
      </c>
      <c r="U712" s="4" t="str">
        <f>IFERROR(__xludf.DUMMYFUNCTION("""COMPUTED_VALUE"""),"")</f>
        <v/>
      </c>
      <c r="V712" s="4" t="str">
        <f>IFERROR(__xludf.DUMMYFUNCTION("""COMPUTED_VALUE"""),"")</f>
        <v/>
      </c>
      <c r="W712" s="4" t="str">
        <f>IFERROR(__xludf.DUMMYFUNCTION("""COMPUTED_VALUE"""),"")</f>
        <v/>
      </c>
      <c r="X712" s="4" t="str">
        <f>IFERROR(__xludf.DUMMYFUNCTION("""COMPUTED_VALUE"""),"")</f>
        <v/>
      </c>
      <c r="Y712" s="4" t="str">
        <f>IFERROR(__xludf.DUMMYFUNCTION("""COMPUTED_VALUE"""),"")</f>
        <v/>
      </c>
    </row>
    <row r="713">
      <c r="A713" s="4" t="str">
        <f>IFERROR(__xludf.DUMMYFUNCTION("""COMPUTED_VALUE"""),"789 - Channel")</f>
        <v>789 - Channel</v>
      </c>
      <c r="B713" s="4" t="str">
        <f>IFERROR(__xludf.DUMMYFUNCTION("""COMPUTED_VALUE"""),"Channel 3")</f>
        <v>Channel 3</v>
      </c>
      <c r="C713" s="4" t="str">
        <f>IFERROR(__xludf.DUMMYFUNCTION("""COMPUTED_VALUE"""),"Day 1 - 23/06")</f>
        <v>Day 1 - 23/06</v>
      </c>
      <c r="D713" s="6">
        <f>IFERROR(__xludf.DUMMYFUNCTION("""COMPUTED_VALUE"""),0.4178819444444445)</f>
        <v>0.4178819444</v>
      </c>
      <c r="E713" s="6">
        <f>IFERROR(__xludf.DUMMYFUNCTION("""COMPUTED_VALUE"""),3.4722222222222224E-4)</f>
        <v>0.0003472222222</v>
      </c>
      <c r="F713" s="6">
        <f>IFERROR(__xludf.DUMMYFUNCTION("""COMPUTED_VALUE"""),0.4182291666666667)</f>
        <v>0.4182291667</v>
      </c>
      <c r="G713" s="4" t="str">
        <f>IFERROR(__xludf.DUMMYFUNCTION("""COMPUTED_VALUE"""),"Graphics")</f>
        <v>Graphics</v>
      </c>
      <c r="H713" s="4" t="str">
        <f>IFERROR(__xludf.DUMMYFUNCTION("""COMPUTED_VALUE"""),"N/A")</f>
        <v>N/A</v>
      </c>
      <c r="I713" s="4" t="str">
        <f>IFERROR(__xludf.DUMMYFUNCTION("""COMPUTED_VALUE"""),"N/A")</f>
        <v>N/A</v>
      </c>
      <c r="J713" s="4" t="str">
        <f>IFERROR(__xludf.DUMMYFUNCTION("""COMPUTED_VALUE"""),"Remote working")</f>
        <v>Remote working</v>
      </c>
      <c r="K713" s="4" t="str">
        <f>IFERROR(__xludf.DUMMYFUNCTION("""COMPUTED_VALUE"""),"Talk Intro")</f>
        <v>Talk Intro</v>
      </c>
      <c r="L713" s="4" t="str">
        <f>IFERROR(__xludf.DUMMYFUNCTION("""COMPUTED_VALUE"""),"")</f>
        <v/>
      </c>
      <c r="M713" s="4" t="str">
        <f>IFERROR(__xludf.DUMMYFUNCTION("""COMPUTED_VALUE"""),"Talk Intro")</f>
        <v>Talk Intro</v>
      </c>
      <c r="N713" s="4" t="str">
        <f>IFERROR(__xludf.DUMMYFUNCTION("""COMPUTED_VALUE"""),"")</f>
        <v/>
      </c>
      <c r="O713" s="4" t="str">
        <f>IFERROR(__xludf.DUMMYFUNCTION("""COMPUTED_VALUE"""),"")</f>
        <v/>
      </c>
      <c r="P713" s="4" t="str">
        <f>IFERROR(__xludf.DUMMYFUNCTION("""COMPUTED_VALUE"""),"")</f>
        <v/>
      </c>
      <c r="Q713" s="4" t="str">
        <f>IFERROR(__xludf.DUMMYFUNCTION("""COMPUTED_VALUE"""),"")</f>
        <v/>
      </c>
      <c r="R713" s="4" t="str">
        <f>IFERROR(__xludf.DUMMYFUNCTION("""COMPUTED_VALUE"""),"")</f>
        <v/>
      </c>
      <c r="S713" s="4" t="str">
        <f>IFERROR(__xludf.DUMMYFUNCTION("""COMPUTED_VALUE"""),"")</f>
        <v/>
      </c>
      <c r="T713" s="4" t="str">
        <f>IFERROR(__xludf.DUMMYFUNCTION("""COMPUTED_VALUE"""),"")</f>
        <v/>
      </c>
      <c r="U713" s="4" t="str">
        <f>IFERROR(__xludf.DUMMYFUNCTION("""COMPUTED_VALUE"""),"")</f>
        <v/>
      </c>
      <c r="V713" s="4" t="str">
        <f>IFERROR(__xludf.DUMMYFUNCTION("""COMPUTED_VALUE"""),"")</f>
        <v/>
      </c>
      <c r="W713" s="4" t="str">
        <f>IFERROR(__xludf.DUMMYFUNCTION("""COMPUTED_VALUE"""),"")</f>
        <v/>
      </c>
      <c r="X713" s="4" t="str">
        <f>IFERROR(__xludf.DUMMYFUNCTION("""COMPUTED_VALUE"""),"")</f>
        <v/>
      </c>
      <c r="Y713" s="4" t="str">
        <f>IFERROR(__xludf.DUMMYFUNCTION("""COMPUTED_VALUE"""),"")</f>
        <v/>
      </c>
    </row>
    <row r="714">
      <c r="A714" s="4" t="str">
        <f>IFERROR(__xludf.DUMMYFUNCTION("""COMPUTED_VALUE"""),"790 - Channel")</f>
        <v>790 - Channel</v>
      </c>
      <c r="B714" s="4" t="str">
        <f>IFERROR(__xludf.DUMMYFUNCTION("""COMPUTED_VALUE"""),"Channel 3")</f>
        <v>Channel 3</v>
      </c>
      <c r="C714" s="4" t="str">
        <f>IFERROR(__xludf.DUMMYFUNCTION("""COMPUTED_VALUE"""),"Day 1 - 23/06")</f>
        <v>Day 1 - 23/06</v>
      </c>
      <c r="D714" s="6">
        <f>IFERROR(__xludf.DUMMYFUNCTION("""COMPUTED_VALUE"""),0.4182291666666667)</f>
        <v>0.4182291667</v>
      </c>
      <c r="E714" s="6">
        <f>IFERROR(__xludf.DUMMYFUNCTION("""COMPUTED_VALUE"""),0.009791666666666667)</f>
        <v>0.009791666667</v>
      </c>
      <c r="F714" s="6">
        <f>IFERROR(__xludf.DUMMYFUNCTION("""COMPUTED_VALUE"""),0.42802083333333335)</f>
        <v>0.4280208333</v>
      </c>
      <c r="G714" s="4" t="str">
        <f>IFERROR(__xludf.DUMMYFUNCTION("""COMPUTED_VALUE"""),"Kat")</f>
        <v>Kat</v>
      </c>
      <c r="H714" s="4" t="str">
        <f>IFERROR(__xludf.DUMMYFUNCTION("""COMPUTED_VALUE"""),"Eoghan")</f>
        <v>Eoghan</v>
      </c>
      <c r="I714" s="4" t="str">
        <f>IFERROR(__xludf.DUMMYFUNCTION("""COMPUTED_VALUE"""),"Lynn")</f>
        <v>Lynn</v>
      </c>
      <c r="J714" s="4" t="str">
        <f>IFERROR(__xludf.DUMMYFUNCTION("""COMPUTED_VALUE"""),"Remote working")</f>
        <v>Remote working</v>
      </c>
      <c r="K714" s="4" t="str">
        <f>IFERROR(__xludf.DUMMYFUNCTION("""COMPUTED_VALUE"""),"Fireside")</f>
        <v>Fireside</v>
      </c>
      <c r="L714" s="4" t="str">
        <f>IFERROR(__xludf.DUMMYFUNCTION("""COMPUTED_VALUE"""),"T- 4 - 25/05/2020")</f>
        <v>T- 4 - 25/05/2020</v>
      </c>
      <c r="M714" s="4" t="str">
        <f>IFERROR(__xludf.DUMMYFUNCTION("""COMPUTED_VALUE"""),"The future of tech in a post Covid-19 world")</f>
        <v>The future of tech in a post Covid-19 world</v>
      </c>
      <c r="N714" s="4" t="str">
        <f>IFERROR(__xludf.DUMMYFUNCTION("""COMPUTED_VALUE"""),"Anuj Kapur, Cisco Systems, Inc.")</f>
        <v>Anuj Kapur, Cisco Systems, Inc.</v>
      </c>
      <c r="O714" s="4" t="str">
        <f>IFERROR(__xludf.DUMMYFUNCTION("""COMPUTED_VALUE"""),"")</f>
        <v/>
      </c>
      <c r="P714" s="4" t="str">
        <f>IFERROR(__xludf.DUMMYFUNCTION("""COMPUTED_VALUE"""),"")</f>
        <v/>
      </c>
      <c r="Q714" s="4" t="str">
        <f>IFERROR(__xludf.DUMMYFUNCTION("""COMPUTED_VALUE"""),"")</f>
        <v/>
      </c>
      <c r="R714" s="4" t="str">
        <f>IFERROR(__xludf.DUMMYFUNCTION("""COMPUTED_VALUE"""),"Alex Kantrowitz, Freelance")</f>
        <v>Alex Kantrowitz, Freelance</v>
      </c>
      <c r="S714" s="4" t="str">
        <f>IFERROR(__xludf.DUMMYFUNCTION("""COMPUTED_VALUE"""),"What critical problems did we ignore leading up to 2020 that could have helped us be more prepared for a viral outbreak such as Covid-19? What can we do now to help minimize loss from potential future outbreaks? What role can the IT industry play? From ba"&amp;"ndwidth to the bottom-line, supply chain to security, and distance learning to direct sales, how can we re-engineer our infrastructure for faster recovery?")</f>
        <v>What critical problems did we ignore leading up to 2020 that could have helped us be more prepared for a viral outbreak such as Covid-19? What can we do now to help minimize loss from potential future outbreaks? What role can the IT industry play? From bandwidth to the bottom-line, supply chain to security, and distance learning to direct sales, how can we re-engineer our infrastructure for faster recovery?</v>
      </c>
      <c r="T714" s="4" t="str">
        <f>IFERROR(__xludf.DUMMYFUNCTION("""COMPUTED_VALUE"""),"NON-KEYNOTE 9 - COMPLETE")</f>
        <v>NON-KEYNOTE 9 - COMPLETE</v>
      </c>
      <c r="U714" s="23">
        <f>IFERROR(__xludf.DUMMYFUNCTION("""COMPUTED_VALUE"""),43980.0)</f>
        <v>43980</v>
      </c>
      <c r="V714" s="24">
        <f>IFERROR(__xludf.DUMMYFUNCTION("""COMPUTED_VALUE"""),0.6736111111111112)</f>
        <v>0.6736111111</v>
      </c>
      <c r="W714" s="4" t="str">
        <f>IFERROR(__xludf.DUMMYFUNCTION("""COMPUTED_VALUE"""),"COMPLETE")</f>
        <v>COMPLETE</v>
      </c>
      <c r="X714" s="4" t="str">
        <f>IFERROR(__xludf.DUMMYFUNCTION("""COMPUTED_VALUE"""),"Naomi")</f>
        <v>Naomi</v>
      </c>
      <c r="Y714" s="4" t="str">
        <f>IFERROR(__xludf.DUMMYFUNCTION("""COMPUTED_VALUE"""),"")</f>
        <v/>
      </c>
    </row>
    <row r="715">
      <c r="A715" s="4" t="str">
        <f>IFERROR(__xludf.DUMMYFUNCTION("""COMPUTED_VALUE"""),"782 - Channel")</f>
        <v>782 - Channel</v>
      </c>
      <c r="B715" s="4" t="str">
        <f>IFERROR(__xludf.DUMMYFUNCTION("""COMPUTED_VALUE"""),"Channel 3")</f>
        <v>Channel 3</v>
      </c>
      <c r="C715" s="4" t="str">
        <f>IFERROR(__xludf.DUMMYFUNCTION("""COMPUTED_VALUE"""),"Day 1 - 23/06")</f>
        <v>Day 1 - 23/06</v>
      </c>
      <c r="D715" s="6">
        <f>IFERROR(__xludf.DUMMYFUNCTION("""COMPUTED_VALUE"""),0.42802083333333335)</f>
        <v>0.4280208333</v>
      </c>
      <c r="E715" s="6">
        <f>IFERROR(__xludf.DUMMYFUNCTION("""COMPUTED_VALUE"""),2.314814814814815E-4)</f>
        <v>0.0002314814815</v>
      </c>
      <c r="F715" s="6">
        <f>IFERROR(__xludf.DUMMYFUNCTION("""COMPUTED_VALUE"""),0.42825231481481485)</f>
        <v>0.4282523148</v>
      </c>
      <c r="G715" s="4" t="str">
        <f>IFERROR(__xludf.DUMMYFUNCTION("""COMPUTED_VALUE"""),"Graphics")</f>
        <v>Graphics</v>
      </c>
      <c r="H715" s="4" t="str">
        <f>IFERROR(__xludf.DUMMYFUNCTION("""COMPUTED_VALUE"""),"")</f>
        <v/>
      </c>
      <c r="I715" s="4" t="str">
        <f>IFERROR(__xludf.DUMMYFUNCTION("""COMPUTED_VALUE"""),"")</f>
        <v/>
      </c>
      <c r="J715" s="4" t="str">
        <f>IFERROR(__xludf.DUMMYFUNCTION("""COMPUTED_VALUE"""),"Remote working")</f>
        <v>Remote working</v>
      </c>
      <c r="K715" s="4" t="str">
        <f>IFERROR(__xludf.DUMMYFUNCTION("""COMPUTED_VALUE"""),"Talk Intro")</f>
        <v>Talk Intro</v>
      </c>
      <c r="L715" s="4" t="str">
        <f>IFERROR(__xludf.DUMMYFUNCTION("""COMPUTED_VALUE"""),"")</f>
        <v/>
      </c>
      <c r="M715" s="4" t="str">
        <f>IFERROR(__xludf.DUMMYFUNCTION("""COMPUTED_VALUE"""),"Talk Intro")</f>
        <v>Talk Intro</v>
      </c>
      <c r="N715" s="4" t="str">
        <f>IFERROR(__xludf.DUMMYFUNCTION("""COMPUTED_VALUE"""),"")</f>
        <v/>
      </c>
      <c r="O715" s="4" t="str">
        <f>IFERROR(__xludf.DUMMYFUNCTION("""COMPUTED_VALUE"""),"")</f>
        <v/>
      </c>
      <c r="P715" s="4" t="str">
        <f>IFERROR(__xludf.DUMMYFUNCTION("""COMPUTED_VALUE"""),"")</f>
        <v/>
      </c>
      <c r="Q715" s="4" t="str">
        <f>IFERROR(__xludf.DUMMYFUNCTION("""COMPUTED_VALUE"""),"")</f>
        <v/>
      </c>
      <c r="R715" s="4" t="str">
        <f>IFERROR(__xludf.DUMMYFUNCTION("""COMPUTED_VALUE"""),"")</f>
        <v/>
      </c>
      <c r="S715" s="4" t="str">
        <f>IFERROR(__xludf.DUMMYFUNCTION("""COMPUTED_VALUE"""),"")</f>
        <v/>
      </c>
      <c r="T715" s="4" t="str">
        <f>IFERROR(__xludf.DUMMYFUNCTION("""COMPUTED_VALUE"""),"")</f>
        <v/>
      </c>
      <c r="U715" s="4" t="str">
        <f>IFERROR(__xludf.DUMMYFUNCTION("""COMPUTED_VALUE"""),"")</f>
        <v/>
      </c>
      <c r="V715" s="4" t="str">
        <f>IFERROR(__xludf.DUMMYFUNCTION("""COMPUTED_VALUE"""),"")</f>
        <v/>
      </c>
      <c r="W715" s="4" t="str">
        <f>IFERROR(__xludf.DUMMYFUNCTION("""COMPUTED_VALUE"""),"")</f>
        <v/>
      </c>
      <c r="X715" s="4" t="str">
        <f>IFERROR(__xludf.DUMMYFUNCTION("""COMPUTED_VALUE"""),"")</f>
        <v/>
      </c>
      <c r="Y715" s="4" t="str">
        <f>IFERROR(__xludf.DUMMYFUNCTION("""COMPUTED_VALUE"""),"")</f>
        <v/>
      </c>
    </row>
    <row r="716">
      <c r="A716" s="4" t="str">
        <f>IFERROR(__xludf.DUMMYFUNCTION("""COMPUTED_VALUE"""),"783 - Channel")</f>
        <v>783 - Channel</v>
      </c>
      <c r="B716" s="4" t="str">
        <f>IFERROR(__xludf.DUMMYFUNCTION("""COMPUTED_VALUE"""),"Channel 3")</f>
        <v>Channel 3</v>
      </c>
      <c r="C716" s="4" t="str">
        <f>IFERROR(__xludf.DUMMYFUNCTION("""COMPUTED_VALUE"""),"Day 1 - 23/06")</f>
        <v>Day 1 - 23/06</v>
      </c>
      <c r="D716" s="6">
        <f>IFERROR(__xludf.DUMMYFUNCTION("""COMPUTED_VALUE"""),0.42825231481481485)</f>
        <v>0.4282523148</v>
      </c>
      <c r="E716" s="6">
        <f>IFERROR(__xludf.DUMMYFUNCTION("""COMPUTED_VALUE"""),0.013888888888888888)</f>
        <v>0.01388888889</v>
      </c>
      <c r="F716" s="6">
        <f>IFERROR(__xludf.DUMMYFUNCTION("""COMPUTED_VALUE"""),0.44214120370370374)</f>
        <v>0.4421412037</v>
      </c>
      <c r="G716" s="4" t="str">
        <f>IFERROR(__xludf.DUMMYFUNCTION("""COMPUTED_VALUE"""),"Kat")</f>
        <v>Kat</v>
      </c>
      <c r="H716" s="4" t="str">
        <f>IFERROR(__xludf.DUMMYFUNCTION("""COMPUTED_VALUE"""),"Eoghan")</f>
        <v>Eoghan</v>
      </c>
      <c r="I716" s="4" t="str">
        <f>IFERROR(__xludf.DUMMYFUNCTION("""COMPUTED_VALUE"""),"Lynn")</f>
        <v>Lynn</v>
      </c>
      <c r="J716" s="4" t="str">
        <f>IFERROR(__xludf.DUMMYFUNCTION("""COMPUTED_VALUE"""),"Remote working")</f>
        <v>Remote working</v>
      </c>
      <c r="K716" s="4" t="str">
        <f>IFERROR(__xludf.DUMMYFUNCTION("""COMPUTED_VALUE"""),"Fireside")</f>
        <v>Fireside</v>
      </c>
      <c r="L716" s="4" t="str">
        <f>IFERROR(__xludf.DUMMYFUNCTION("""COMPUTED_VALUE"""),"T- 2 - 08/06/2020")</f>
        <v>T- 2 - 08/06/2020</v>
      </c>
      <c r="M716" s="4" t="str">
        <f>IFERROR(__xludf.DUMMYFUNCTION("""COMPUTED_VALUE"""),"How to navigate the world's largest WfH experiment")</f>
        <v>How to navigate the world's largest WfH experiment</v>
      </c>
      <c r="N716" s="4" t="str">
        <f>IFERROR(__xludf.DUMMYFUNCTION("""COMPUTED_VALUE"""),"Aaron Levie, Box")</f>
        <v>Aaron Levie, Box</v>
      </c>
      <c r="O716" s="4" t="str">
        <f>IFERROR(__xludf.DUMMYFUNCTION("""COMPUTED_VALUE"""),"")</f>
        <v/>
      </c>
      <c r="P716" s="4" t="str">
        <f>IFERROR(__xludf.DUMMYFUNCTION("""COMPUTED_VALUE"""),"")</f>
        <v/>
      </c>
      <c r="Q716" s="4" t="str">
        <f>IFERROR(__xludf.DUMMYFUNCTION("""COMPUTED_VALUE"""),"")</f>
        <v/>
      </c>
      <c r="R716" s="4" t="str">
        <f>IFERROR(__xludf.DUMMYFUNCTION("""COMPUTED_VALUE"""),"Alex Konrad, Forbes")</f>
        <v>Alex Konrad, Forbes</v>
      </c>
      <c r="S716" s="4" t="str">
        <f>IFERROR(__xludf.DUMMYFUNCTION("""COMPUTED_VALUE"""),"In conversation with Forbes' Alex Konrad, Box CEO Aaron Levie touches on the impact of Covid-19 on business; how enterprises can and should respond to the world's largest working-from-home experiment; the business of the future in a post-Covid world; and,"&amp;" of course, the importance of security when your workforce becomes fully dispersed ")</f>
        <v>In conversation with Forbes' Alex Konrad, Box CEO Aaron Levie touches on the impact of Covid-19 on business; how enterprises can and should respond to the world's largest working-from-home experiment; the business of the future in a post-Covid world; and, of course, the importance of security when your workforce becomes fully dispersed </v>
      </c>
      <c r="T716" s="4" t="str">
        <f>IFERROR(__xludf.DUMMYFUNCTION("""COMPUTED_VALUE"""),"Recording MISSED/NEEDS TO BE RERECORDED/RESCHEDULED")</f>
        <v>Recording MISSED/NEEDS TO BE RERECORDED/RESCHEDULED</v>
      </c>
      <c r="U716" s="23">
        <f>IFERROR(__xludf.DUMMYFUNCTION("""COMPUTED_VALUE"""),43994.0)</f>
        <v>43994</v>
      </c>
      <c r="V716" s="24">
        <f>IFERROR(__xludf.DUMMYFUNCTION("""COMPUTED_VALUE"""),0.7916666666666666)</f>
        <v>0.7916666667</v>
      </c>
      <c r="W716" s="21" t="str">
        <f>IFERROR(__xludf.DUMMYFUNCTION("""COMPUTED_VALUE"""),"https://us02web.zoom.us/j/86988484126?pwd=NlhGRk4vWkgyWWNhUjV0UmNEY0Zodz09")</f>
        <v>https://us02web.zoom.us/j/86988484126?pwd=NlhGRk4vWkgyWWNhUjV0UmNEY0Zodz09</v>
      </c>
      <c r="X716" s="4" t="str">
        <f>IFERROR(__xludf.DUMMYFUNCTION("""COMPUTED_VALUE"""),"Kat")</f>
        <v>Kat</v>
      </c>
      <c r="Y716" s="4" t="str">
        <f>IFERROR(__xludf.DUMMYFUNCTION("""COMPUTED_VALUE"""),"")</f>
        <v/>
      </c>
    </row>
    <row r="717">
      <c r="A717" s="4" t="str">
        <f>IFERROR(__xludf.DUMMYFUNCTION("""COMPUTED_VALUE"""),"784 - Channel")</f>
        <v>784 - Channel</v>
      </c>
      <c r="B717" s="4" t="str">
        <f>IFERROR(__xludf.DUMMYFUNCTION("""COMPUTED_VALUE"""),"Channel 3")</f>
        <v>Channel 3</v>
      </c>
      <c r="C717" s="4" t="str">
        <f>IFERROR(__xludf.DUMMYFUNCTION("""COMPUTED_VALUE"""),"Day 1 - 23/06")</f>
        <v>Day 1 - 23/06</v>
      </c>
      <c r="D717" s="6">
        <f>IFERROR(__xludf.DUMMYFUNCTION("""COMPUTED_VALUE"""),0.44214120370370374)</f>
        <v>0.4421412037</v>
      </c>
      <c r="E717" s="6">
        <f>IFERROR(__xludf.DUMMYFUNCTION("""COMPUTED_VALUE"""),1.7361111111111112E-4)</f>
        <v>0.0001736111111</v>
      </c>
      <c r="F717" s="6">
        <f>IFERROR(__xludf.DUMMYFUNCTION("""COMPUTED_VALUE"""),0.4423148148148149)</f>
        <v>0.4423148148</v>
      </c>
      <c r="G717" s="4" t="str">
        <f>IFERROR(__xludf.DUMMYFUNCTION("""COMPUTED_VALUE"""),"Graphics")</f>
        <v>Graphics</v>
      </c>
      <c r="H717" s="4" t="str">
        <f>IFERROR(__xludf.DUMMYFUNCTION("""COMPUTED_VALUE"""),"")</f>
        <v/>
      </c>
      <c r="I717" s="4" t="str">
        <f>IFERROR(__xludf.DUMMYFUNCTION("""COMPUTED_VALUE"""),"")</f>
        <v/>
      </c>
      <c r="J717" s="4" t="str">
        <f>IFERROR(__xludf.DUMMYFUNCTION("""COMPUTED_VALUE"""),"Remote working")</f>
        <v>Remote working</v>
      </c>
      <c r="K717" s="4" t="str">
        <f>IFERROR(__xludf.DUMMYFUNCTION("""COMPUTED_VALUE"""),"Talk Outro")</f>
        <v>Talk Outro</v>
      </c>
      <c r="L717" s="4" t="str">
        <f>IFERROR(__xludf.DUMMYFUNCTION("""COMPUTED_VALUE"""),"")</f>
        <v/>
      </c>
      <c r="M717" s="4" t="str">
        <f>IFERROR(__xludf.DUMMYFUNCTION("""COMPUTED_VALUE"""),"Talk Outro - KEEP")</f>
        <v>Talk Outro - KEEP</v>
      </c>
      <c r="N717" s="4" t="str">
        <f>IFERROR(__xludf.DUMMYFUNCTION("""COMPUTED_VALUE"""),"")</f>
        <v/>
      </c>
      <c r="O717" s="4" t="str">
        <f>IFERROR(__xludf.DUMMYFUNCTION("""COMPUTED_VALUE"""),"")</f>
        <v/>
      </c>
      <c r="P717" s="4" t="str">
        <f>IFERROR(__xludf.DUMMYFUNCTION("""COMPUTED_VALUE"""),"")</f>
        <v/>
      </c>
      <c r="Q717" s="4" t="str">
        <f>IFERROR(__xludf.DUMMYFUNCTION("""COMPUTED_VALUE"""),"")</f>
        <v/>
      </c>
      <c r="R717" s="4" t="str">
        <f>IFERROR(__xludf.DUMMYFUNCTION("""COMPUTED_VALUE"""),"")</f>
        <v/>
      </c>
      <c r="S717" s="4" t="str">
        <f>IFERROR(__xludf.DUMMYFUNCTION("""COMPUTED_VALUE"""),"")</f>
        <v/>
      </c>
      <c r="T717" s="4" t="str">
        <f>IFERROR(__xludf.DUMMYFUNCTION("""COMPUTED_VALUE"""),"")</f>
        <v/>
      </c>
      <c r="U717" s="4" t="str">
        <f>IFERROR(__xludf.DUMMYFUNCTION("""COMPUTED_VALUE"""),"")</f>
        <v/>
      </c>
      <c r="V717" s="4" t="str">
        <f>IFERROR(__xludf.DUMMYFUNCTION("""COMPUTED_VALUE"""),"")</f>
        <v/>
      </c>
      <c r="W717" s="4" t="str">
        <f>IFERROR(__xludf.DUMMYFUNCTION("""COMPUTED_VALUE"""),"")</f>
        <v/>
      </c>
      <c r="X717" s="4" t="str">
        <f>IFERROR(__xludf.DUMMYFUNCTION("""COMPUTED_VALUE"""),"")</f>
        <v/>
      </c>
      <c r="Y717" s="4" t="str">
        <f>IFERROR(__xludf.DUMMYFUNCTION("""COMPUTED_VALUE"""),"")</f>
        <v/>
      </c>
    </row>
    <row r="718">
      <c r="A718" s="4" t="str">
        <f>IFERROR(__xludf.DUMMYFUNCTION("""COMPUTED_VALUE"""),"785 - Channel")</f>
        <v>785 - Channel</v>
      </c>
      <c r="B718" s="4" t="str">
        <f>IFERROR(__xludf.DUMMYFUNCTION("""COMPUTED_VALUE"""),"Channel 3")</f>
        <v>Channel 3</v>
      </c>
      <c r="C718" s="4" t="str">
        <f>IFERROR(__xludf.DUMMYFUNCTION("""COMPUTED_VALUE"""),"Day 1 - 23/06")</f>
        <v>Day 1 - 23/06</v>
      </c>
      <c r="D718" s="6">
        <f>IFERROR(__xludf.DUMMYFUNCTION("""COMPUTED_VALUE"""),0.4423148148148149)</f>
        <v>0.4423148148</v>
      </c>
      <c r="E718" s="6">
        <f>IFERROR(__xludf.DUMMYFUNCTION("""COMPUTED_VALUE"""),2.314814814814815E-4)</f>
        <v>0.0002314814815</v>
      </c>
      <c r="F718" s="6">
        <f>IFERROR(__xludf.DUMMYFUNCTION("""COMPUTED_VALUE"""),0.4425462962962964)</f>
        <v>0.4425462963</v>
      </c>
      <c r="G718" s="4" t="str">
        <f>IFERROR(__xludf.DUMMYFUNCTION("""COMPUTED_VALUE"""),"Graphics")</f>
        <v>Graphics</v>
      </c>
      <c r="H718" s="4" t="str">
        <f>IFERROR(__xludf.DUMMYFUNCTION("""COMPUTED_VALUE"""),"N/A")</f>
        <v>N/A</v>
      </c>
      <c r="I718" s="4" t="str">
        <f>IFERROR(__xludf.DUMMYFUNCTION("""COMPUTED_VALUE"""),"N/A")</f>
        <v>N/A</v>
      </c>
      <c r="J718" s="4" t="str">
        <f>IFERROR(__xludf.DUMMYFUNCTION("""COMPUTED_VALUE"""),"Remote working")</f>
        <v>Remote working</v>
      </c>
      <c r="K718" s="4" t="str">
        <f>IFERROR(__xludf.DUMMYFUNCTION("""COMPUTED_VALUE"""),"Talk Intro")</f>
        <v>Talk Intro</v>
      </c>
      <c r="L718" s="4" t="str">
        <f>IFERROR(__xludf.DUMMYFUNCTION("""COMPUTED_VALUE"""),"")</f>
        <v/>
      </c>
      <c r="M718" s="4" t="str">
        <f>IFERROR(__xludf.DUMMYFUNCTION("""COMPUTED_VALUE"""),"Talk Intro")</f>
        <v>Talk Intro</v>
      </c>
      <c r="N718" s="4" t="str">
        <f>IFERROR(__xludf.DUMMYFUNCTION("""COMPUTED_VALUE"""),"")</f>
        <v/>
      </c>
      <c r="O718" s="4" t="str">
        <f>IFERROR(__xludf.DUMMYFUNCTION("""COMPUTED_VALUE"""),"")</f>
        <v/>
      </c>
      <c r="P718" s="4" t="str">
        <f>IFERROR(__xludf.DUMMYFUNCTION("""COMPUTED_VALUE"""),"")</f>
        <v/>
      </c>
      <c r="Q718" s="4" t="str">
        <f>IFERROR(__xludf.DUMMYFUNCTION("""COMPUTED_VALUE"""),"")</f>
        <v/>
      </c>
      <c r="R718" s="4" t="str">
        <f>IFERROR(__xludf.DUMMYFUNCTION("""COMPUTED_VALUE"""),"")</f>
        <v/>
      </c>
      <c r="S718" s="4" t="str">
        <f>IFERROR(__xludf.DUMMYFUNCTION("""COMPUTED_VALUE"""),"")</f>
        <v/>
      </c>
      <c r="T718" s="4" t="str">
        <f>IFERROR(__xludf.DUMMYFUNCTION("""COMPUTED_VALUE"""),"")</f>
        <v/>
      </c>
      <c r="U718" s="4" t="str">
        <f>IFERROR(__xludf.DUMMYFUNCTION("""COMPUTED_VALUE"""),"")</f>
        <v/>
      </c>
      <c r="V718" s="4" t="str">
        <f>IFERROR(__xludf.DUMMYFUNCTION("""COMPUTED_VALUE"""),"")</f>
        <v/>
      </c>
      <c r="W718" s="4" t="str">
        <f>IFERROR(__xludf.DUMMYFUNCTION("""COMPUTED_VALUE"""),"")</f>
        <v/>
      </c>
      <c r="X718" s="4" t="str">
        <f>IFERROR(__xludf.DUMMYFUNCTION("""COMPUTED_VALUE"""),"")</f>
        <v/>
      </c>
      <c r="Y718" s="4" t="str">
        <f>IFERROR(__xludf.DUMMYFUNCTION("""COMPUTED_VALUE"""),"")</f>
        <v/>
      </c>
    </row>
    <row r="719">
      <c r="A719" s="4" t="str">
        <f>IFERROR(__xludf.DUMMYFUNCTION("""COMPUTED_VALUE"""),"786 - Channel")</f>
        <v>786 - Channel</v>
      </c>
      <c r="B719" s="4" t="str">
        <f>IFERROR(__xludf.DUMMYFUNCTION("""COMPUTED_VALUE"""),"Channel 3")</f>
        <v>Channel 3</v>
      </c>
      <c r="C719" s="4" t="str">
        <f>IFERROR(__xludf.DUMMYFUNCTION("""COMPUTED_VALUE"""),"Day 1 - 23/06")</f>
        <v>Day 1 - 23/06</v>
      </c>
      <c r="D719" s="6">
        <f>IFERROR(__xludf.DUMMYFUNCTION("""COMPUTED_VALUE"""),0.4425462962962964)</f>
        <v>0.4425462963</v>
      </c>
      <c r="E719" s="6">
        <f>IFERROR(__xludf.DUMMYFUNCTION("""COMPUTED_VALUE"""),0.0018287037037037037)</f>
        <v>0.001828703704</v>
      </c>
      <c r="F719" s="6">
        <f>IFERROR(__xludf.DUMMYFUNCTION("""COMPUTED_VALUE"""),0.4443750000000001)</f>
        <v>0.444375</v>
      </c>
      <c r="G719" s="4" t="str">
        <f>IFERROR(__xludf.DUMMYFUNCTION("""COMPUTED_VALUE"""),"Dan")</f>
        <v>Dan</v>
      </c>
      <c r="H719" s="4" t="str">
        <f>IFERROR(__xludf.DUMMYFUNCTION("""COMPUTED_VALUE"""),"N/A")</f>
        <v>N/A</v>
      </c>
      <c r="I719" s="4" t="str">
        <f>IFERROR(__xludf.DUMMYFUNCTION("""COMPUTED_VALUE"""),"Jack")</f>
        <v>Jack</v>
      </c>
      <c r="J719" s="4" t="str">
        <f>IFERROR(__xludf.DUMMYFUNCTION("""COMPUTED_VALUE"""),"Remote working")</f>
        <v>Remote working</v>
      </c>
      <c r="K719" s="4" t="str">
        <f>IFERROR(__xludf.DUMMYFUNCTION("""COMPUTED_VALUE"""),"Keynote")</f>
        <v>Keynote</v>
      </c>
      <c r="L719" s="4" t="str">
        <f>IFERROR(__xludf.DUMMYFUNCTION("""COMPUTED_VALUE"""),"T- 4 - 25/05/2020")</f>
        <v>T- 4 - 25/05/2020</v>
      </c>
      <c r="M719" s="4" t="str">
        <f>IFERROR(__xludf.DUMMYFUNCTION("""COMPUTED_VALUE"""),"3 customer engagement strategies post-pandemic")</f>
        <v>3 customer engagement strategies post-pandemic</v>
      </c>
      <c r="N719" s="4" t="str">
        <f>IFERROR(__xludf.DUMMYFUNCTION("""COMPUTED_VALUE"""),"Sandi Lin, Skilljar")</f>
        <v>Sandi Lin, Skilljar</v>
      </c>
      <c r="O719" s="4" t="str">
        <f>IFERROR(__xludf.DUMMYFUNCTION("""COMPUTED_VALUE"""),"")</f>
        <v/>
      </c>
      <c r="P719" s="4" t="str">
        <f>IFERROR(__xludf.DUMMYFUNCTION("""COMPUTED_VALUE"""),"")</f>
        <v/>
      </c>
      <c r="Q719" s="4" t="str">
        <f>IFERROR(__xludf.DUMMYFUNCTION("""COMPUTED_VALUE"""),"")</f>
        <v/>
      </c>
      <c r="R719" s="4" t="str">
        <f>IFERROR(__xludf.DUMMYFUNCTION("""COMPUTED_VALUE"""),"")</f>
        <v/>
      </c>
      <c r="S719" s="4" t="str">
        <f>IFERROR(__xludf.DUMMYFUNCTION("""COMPUTED_VALUE"""),"In the age of Covid-19, engaging and retaining your existing customers is more important than ever before. What does that mean in practice, beyond risk assessments and health scores? Hear from Skilljar CEO Sandi Lin on three immediate and practical tactic"&amp;"s that Skilljar has implemented to get even closer to its customers.")</f>
        <v>In the age of Covid-19, engaging and retaining your existing customers is more important than ever before. What does that mean in practice, beyond risk assessments and health scores? Hear from Skilljar CEO Sandi Lin on three immediate and practical tactics that Skilljar has implemented to get even closer to its customers.</v>
      </c>
      <c r="T719" s="4" t="str">
        <f>IFERROR(__xludf.DUMMYFUNCTION("""COMPUTED_VALUE"""),"KEYNOTE 8 - COMPLETE")</f>
        <v>KEYNOTE 8 - COMPLETE</v>
      </c>
      <c r="U719" s="23">
        <f>IFERROR(__xludf.DUMMYFUNCTION("""COMPUTED_VALUE"""),43979.0)</f>
        <v>43979</v>
      </c>
      <c r="V719" s="24">
        <f>IFERROR(__xludf.DUMMYFUNCTION("""COMPUTED_VALUE"""),0.7083333333333334)</f>
        <v>0.7083333333</v>
      </c>
      <c r="W719" s="4" t="str">
        <f>IFERROR(__xludf.DUMMYFUNCTION("""COMPUTED_VALUE"""),"COMPLETE")</f>
        <v>COMPLETE</v>
      </c>
      <c r="X719" s="4" t="str">
        <f>IFERROR(__xludf.DUMMYFUNCTION("""COMPUTED_VALUE"""),"Dan")</f>
        <v>Dan</v>
      </c>
      <c r="Y719" s="4" t="str">
        <f>IFERROR(__xludf.DUMMYFUNCTION("""COMPUTED_VALUE"""),"")</f>
        <v/>
      </c>
    </row>
    <row r="720">
      <c r="A720" s="4" t="str">
        <f>IFERROR(__xludf.DUMMYFUNCTION("""COMPUTED_VALUE"""),"793 - Channel")</f>
        <v>793 - Channel</v>
      </c>
      <c r="B720" s="4" t="str">
        <f>IFERROR(__xludf.DUMMYFUNCTION("""COMPUTED_VALUE"""),"Channel 3")</f>
        <v>Channel 3</v>
      </c>
      <c r="C720" s="4" t="str">
        <f>IFERROR(__xludf.DUMMYFUNCTION("""COMPUTED_VALUE"""),"Day 1 - 23/06")</f>
        <v>Day 1 - 23/06</v>
      </c>
      <c r="D720" s="6">
        <f>IFERROR(__xludf.DUMMYFUNCTION("""COMPUTED_VALUE"""),0.4443750000000001)</f>
        <v>0.444375</v>
      </c>
      <c r="E720" s="6">
        <f>IFERROR(__xludf.DUMMYFUNCTION("""COMPUTED_VALUE"""),3.4722222222222224E-4)</f>
        <v>0.0003472222222</v>
      </c>
      <c r="F720" s="6">
        <f>IFERROR(__xludf.DUMMYFUNCTION("""COMPUTED_VALUE"""),0.4447222222222223)</f>
        <v>0.4447222222</v>
      </c>
      <c r="G720" s="4" t="str">
        <f>IFERROR(__xludf.DUMMYFUNCTION("""COMPUTED_VALUE"""),"Graphics")</f>
        <v>Graphics</v>
      </c>
      <c r="H720" s="4" t="str">
        <f>IFERROR(__xludf.DUMMYFUNCTION("""COMPUTED_VALUE"""),"")</f>
        <v/>
      </c>
      <c r="I720" s="4" t="str">
        <f>IFERROR(__xludf.DUMMYFUNCTION("""COMPUTED_VALUE"""),"")</f>
        <v/>
      </c>
      <c r="J720" s="4" t="str">
        <f>IFERROR(__xludf.DUMMYFUNCTION("""COMPUTED_VALUE"""),"Remote working")</f>
        <v>Remote working</v>
      </c>
      <c r="K720" s="4" t="str">
        <f>IFERROR(__xludf.DUMMYFUNCTION("""COMPUTED_VALUE"""),"Partner ad")</f>
        <v>Partner ad</v>
      </c>
      <c r="L720" s="4" t="str">
        <f>IFERROR(__xludf.DUMMYFUNCTION("""COMPUTED_VALUE"""),"")</f>
        <v/>
      </c>
      <c r="M720" s="4" t="str">
        <f>IFERROR(__xludf.DUMMYFUNCTION("""COMPUTED_VALUE"""),"Partner logos")</f>
        <v>Partner logos</v>
      </c>
      <c r="N720" s="4" t="str">
        <f>IFERROR(__xludf.DUMMYFUNCTION("""COMPUTED_VALUE"""),"")</f>
        <v/>
      </c>
      <c r="O720" s="4" t="str">
        <f>IFERROR(__xludf.DUMMYFUNCTION("""COMPUTED_VALUE"""),"")</f>
        <v/>
      </c>
      <c r="P720" s="4" t="str">
        <f>IFERROR(__xludf.DUMMYFUNCTION("""COMPUTED_VALUE"""),"")</f>
        <v/>
      </c>
      <c r="Q720" s="4" t="str">
        <f>IFERROR(__xludf.DUMMYFUNCTION("""COMPUTED_VALUE"""),"")</f>
        <v/>
      </c>
      <c r="R720" s="4" t="str">
        <f>IFERROR(__xludf.DUMMYFUNCTION("""COMPUTED_VALUE"""),"")</f>
        <v/>
      </c>
      <c r="S720" s="4" t="str">
        <f>IFERROR(__xludf.DUMMYFUNCTION("""COMPUTED_VALUE"""),"")</f>
        <v/>
      </c>
      <c r="T720" s="4" t="str">
        <f>IFERROR(__xludf.DUMMYFUNCTION("""COMPUTED_VALUE"""),"")</f>
        <v/>
      </c>
      <c r="U720" s="4" t="str">
        <f>IFERROR(__xludf.DUMMYFUNCTION("""COMPUTED_VALUE"""),"")</f>
        <v/>
      </c>
      <c r="V720" s="4" t="str">
        <f>IFERROR(__xludf.DUMMYFUNCTION("""COMPUTED_VALUE"""),"")</f>
        <v/>
      </c>
      <c r="W720" s="4" t="str">
        <f>IFERROR(__xludf.DUMMYFUNCTION("""COMPUTED_VALUE"""),"")</f>
        <v/>
      </c>
      <c r="X720" s="4" t="str">
        <f>IFERROR(__xludf.DUMMYFUNCTION("""COMPUTED_VALUE"""),"")</f>
        <v/>
      </c>
      <c r="Y720" s="4" t="str">
        <f>IFERROR(__xludf.DUMMYFUNCTION("""COMPUTED_VALUE"""),"")</f>
        <v/>
      </c>
    </row>
    <row r="721">
      <c r="A721" s="4" t="str">
        <f>IFERROR(__xludf.DUMMYFUNCTION("""COMPUTED_VALUE"""),"779 - Channel")</f>
        <v>779 - Channel</v>
      </c>
      <c r="B721" s="4" t="str">
        <f>IFERROR(__xludf.DUMMYFUNCTION("""COMPUTED_VALUE"""),"Channel 3")</f>
        <v>Channel 3</v>
      </c>
      <c r="C721" s="4" t="str">
        <f>IFERROR(__xludf.DUMMYFUNCTION("""COMPUTED_VALUE"""),"Day 1 - 23/06")</f>
        <v>Day 1 - 23/06</v>
      </c>
      <c r="D721" s="6">
        <f>IFERROR(__xludf.DUMMYFUNCTION("""COMPUTED_VALUE"""),0.4447222222222223)</f>
        <v>0.4447222222</v>
      </c>
      <c r="E721" s="6">
        <f>IFERROR(__xludf.DUMMYFUNCTION("""COMPUTED_VALUE"""),2.314814814814815E-4)</f>
        <v>0.0002314814815</v>
      </c>
      <c r="F721" s="6">
        <f>IFERROR(__xludf.DUMMYFUNCTION("""COMPUTED_VALUE"""),0.4449537037037038)</f>
        <v>0.4449537037</v>
      </c>
      <c r="G721" s="4" t="str">
        <f>IFERROR(__xludf.DUMMYFUNCTION("""COMPUTED_VALUE"""),"Graphics")</f>
        <v>Graphics</v>
      </c>
      <c r="H721" s="4" t="str">
        <f>IFERROR(__xludf.DUMMYFUNCTION("""COMPUTED_VALUE"""),"N/A")</f>
        <v>N/A</v>
      </c>
      <c r="I721" s="4" t="str">
        <f>IFERROR(__xludf.DUMMYFUNCTION("""COMPUTED_VALUE"""),"N/A")</f>
        <v>N/A</v>
      </c>
      <c r="J721" s="4" t="str">
        <f>IFERROR(__xludf.DUMMYFUNCTION("""COMPUTED_VALUE"""),"Remote working")</f>
        <v>Remote working</v>
      </c>
      <c r="K721" s="4" t="str">
        <f>IFERROR(__xludf.DUMMYFUNCTION("""COMPUTED_VALUE"""),"Talk Intro")</f>
        <v>Talk Intro</v>
      </c>
      <c r="L721" s="4" t="str">
        <f>IFERROR(__xludf.DUMMYFUNCTION("""COMPUTED_VALUE"""),"")</f>
        <v/>
      </c>
      <c r="M721" s="4" t="str">
        <f>IFERROR(__xludf.DUMMYFUNCTION("""COMPUTED_VALUE"""),"Talk Intro")</f>
        <v>Talk Intro</v>
      </c>
      <c r="N721" s="4" t="str">
        <f>IFERROR(__xludf.DUMMYFUNCTION("""COMPUTED_VALUE"""),"")</f>
        <v/>
      </c>
      <c r="O721" s="4" t="str">
        <f>IFERROR(__xludf.DUMMYFUNCTION("""COMPUTED_VALUE"""),"")</f>
        <v/>
      </c>
      <c r="P721" s="4" t="str">
        <f>IFERROR(__xludf.DUMMYFUNCTION("""COMPUTED_VALUE"""),"")</f>
        <v/>
      </c>
      <c r="Q721" s="4" t="str">
        <f>IFERROR(__xludf.DUMMYFUNCTION("""COMPUTED_VALUE"""),"")</f>
        <v/>
      </c>
      <c r="R721" s="4" t="str">
        <f>IFERROR(__xludf.DUMMYFUNCTION("""COMPUTED_VALUE"""),"")</f>
        <v/>
      </c>
      <c r="S721" s="4" t="str">
        <f>IFERROR(__xludf.DUMMYFUNCTION("""COMPUTED_VALUE"""),"")</f>
        <v/>
      </c>
      <c r="T721" s="4" t="str">
        <f>IFERROR(__xludf.DUMMYFUNCTION("""COMPUTED_VALUE"""),"")</f>
        <v/>
      </c>
      <c r="U721" s="4" t="str">
        <f>IFERROR(__xludf.DUMMYFUNCTION("""COMPUTED_VALUE"""),"")</f>
        <v/>
      </c>
      <c r="V721" s="4" t="str">
        <f>IFERROR(__xludf.DUMMYFUNCTION("""COMPUTED_VALUE"""),"")</f>
        <v/>
      </c>
      <c r="W721" s="4" t="str">
        <f>IFERROR(__xludf.DUMMYFUNCTION("""COMPUTED_VALUE"""),"")</f>
        <v/>
      </c>
      <c r="X721" s="4" t="str">
        <f>IFERROR(__xludf.DUMMYFUNCTION("""COMPUTED_VALUE"""),"")</f>
        <v/>
      </c>
      <c r="Y721" s="4" t="str">
        <f>IFERROR(__xludf.DUMMYFUNCTION("""COMPUTED_VALUE"""),"")</f>
        <v/>
      </c>
    </row>
    <row r="722">
      <c r="A722" s="4" t="str">
        <f>IFERROR(__xludf.DUMMYFUNCTION("""COMPUTED_VALUE"""),"780 - Channel")</f>
        <v>780 - Channel</v>
      </c>
      <c r="B722" s="4" t="str">
        <f>IFERROR(__xludf.DUMMYFUNCTION("""COMPUTED_VALUE"""),"Channel 3")</f>
        <v>Channel 3</v>
      </c>
      <c r="C722" s="4" t="str">
        <f>IFERROR(__xludf.DUMMYFUNCTION("""COMPUTED_VALUE"""),"Day 1 - 23/06")</f>
        <v>Day 1 - 23/06</v>
      </c>
      <c r="D722" s="6">
        <f>IFERROR(__xludf.DUMMYFUNCTION("""COMPUTED_VALUE"""),0.4449537037037038)</f>
        <v>0.4449537037</v>
      </c>
      <c r="E722" s="6">
        <f>IFERROR(__xludf.DUMMYFUNCTION("""COMPUTED_VALUE"""),0.009652777777777777)</f>
        <v>0.009652777778</v>
      </c>
      <c r="F722" s="6">
        <f>IFERROR(__xludf.DUMMYFUNCTION("""COMPUTED_VALUE"""),0.4546064814814816)</f>
        <v>0.4546064815</v>
      </c>
      <c r="G722" s="4" t="str">
        <f>IFERROR(__xludf.DUMMYFUNCTION("""COMPUTED_VALUE"""),"Stephanie")</f>
        <v>Stephanie</v>
      </c>
      <c r="H722" s="4" t="str">
        <f>IFERROR(__xludf.DUMMYFUNCTION("""COMPUTED_VALUE"""),"Haziq")</f>
        <v>Haziq</v>
      </c>
      <c r="I722" s="4" t="str">
        <f>IFERROR(__xludf.DUMMYFUNCTION("""COMPUTED_VALUE"""),"Geoff")</f>
        <v>Geoff</v>
      </c>
      <c r="J722" s="4" t="str">
        <f>IFERROR(__xludf.DUMMYFUNCTION("""COMPUTED_VALUE"""),"Remote working")</f>
        <v>Remote working</v>
      </c>
      <c r="K722" s="4" t="str">
        <f>IFERROR(__xludf.DUMMYFUNCTION("""COMPUTED_VALUE"""),"Super Fireside")</f>
        <v>Super Fireside</v>
      </c>
      <c r="L722" s="4" t="str">
        <f>IFERROR(__xludf.DUMMYFUNCTION("""COMPUTED_VALUE"""),"T- 4 - 25/05/2020")</f>
        <v>T- 4 - 25/05/2020</v>
      </c>
      <c r="M722" s="4" t="str">
        <f>IFERROR(__xludf.DUMMYFUNCTION("""COMPUTED_VALUE"""),"Every cloud has a silver lining")</f>
        <v>Every cloud has a silver lining</v>
      </c>
      <c r="N722" s="4" t="str">
        <f>IFERROR(__xludf.DUMMYFUNCTION("""COMPUTED_VALUE"""),"Matt Garratt, Salesforce Ventures")</f>
        <v>Matt Garratt, Salesforce Ventures</v>
      </c>
      <c r="O722" s="4" t="str">
        <f>IFERROR(__xludf.DUMMYFUNCTION("""COMPUTED_VALUE"""),"Rashmi Gopinath, B Capital Group")</f>
        <v>Rashmi Gopinath, B Capital Group</v>
      </c>
      <c r="P722" s="4" t="str">
        <f>IFERROR(__xludf.DUMMYFUNCTION("""COMPUTED_VALUE"""),"")</f>
        <v/>
      </c>
      <c r="Q722" s="4" t="str">
        <f>IFERROR(__xludf.DUMMYFUNCTION("""COMPUTED_VALUE"""),"")</f>
        <v/>
      </c>
      <c r="R722" s="4" t="str">
        <f>IFERROR(__xludf.DUMMYFUNCTION("""COMPUTED_VALUE"""),"Alex Konrad, Forbes")</f>
        <v>Alex Konrad, Forbes</v>
      </c>
      <c r="S722" s="4" t="str">
        <f>IFERROR(__xludf.DUMMYFUNCTION("""COMPUTED_VALUE"""),"Top investors in the SaaS and cloud computing industry share their predictions for 2020 and beyond. ")</f>
        <v>Top investors in the SaaS and cloud computing industry share their predictions for 2020 and beyond. </v>
      </c>
      <c r="T722" s="4" t="str">
        <f>IFERROR(__xludf.DUMMYFUNCTION("""COMPUTED_VALUE"""),"NON-KEYNOTE 9 - COMPLETE")</f>
        <v>NON-KEYNOTE 9 - COMPLETE</v>
      </c>
      <c r="U722" s="23">
        <f>IFERROR(__xludf.DUMMYFUNCTION("""COMPUTED_VALUE"""),43977.0)</f>
        <v>43977</v>
      </c>
      <c r="V722" s="24">
        <f>IFERROR(__xludf.DUMMYFUNCTION("""COMPUTED_VALUE"""),0.875)</f>
        <v>0.875</v>
      </c>
      <c r="W722" s="4" t="str">
        <f>IFERROR(__xludf.DUMMYFUNCTION("""COMPUTED_VALUE"""),"COMPLETE")</f>
        <v>COMPLETE</v>
      </c>
      <c r="X722" s="4" t="str">
        <f>IFERROR(__xludf.DUMMYFUNCTION("""COMPUTED_VALUE"""),"Stephanie")</f>
        <v>Stephanie</v>
      </c>
      <c r="Y722" s="4" t="str">
        <f>IFERROR(__xludf.DUMMYFUNCTION("""COMPUTED_VALUE"""),"")</f>
        <v/>
      </c>
    </row>
    <row r="723">
      <c r="A723" s="4" t="str">
        <f>IFERROR(__xludf.DUMMYFUNCTION("""COMPUTED_VALUE"""),"880 - Channel")</f>
        <v>880 - Channel</v>
      </c>
      <c r="B723" s="4" t="str">
        <f>IFERROR(__xludf.DUMMYFUNCTION("""COMPUTED_VALUE"""),"Channel 3")</f>
        <v>Channel 3</v>
      </c>
      <c r="C723" s="4" t="str">
        <f>IFERROR(__xludf.DUMMYFUNCTION("""COMPUTED_VALUE"""),"Day 1 - 23/06")</f>
        <v>Day 1 - 23/06</v>
      </c>
      <c r="D723" s="6">
        <f>IFERROR(__xludf.DUMMYFUNCTION("""COMPUTED_VALUE"""),0.4546064814814816)</f>
        <v>0.4546064815</v>
      </c>
      <c r="E723" s="6">
        <f>IFERROR(__xludf.DUMMYFUNCTION("""COMPUTED_VALUE"""),3.0092592592592595E-4)</f>
        <v>0.0003009259259</v>
      </c>
      <c r="F723" s="6">
        <f>IFERROR(__xludf.DUMMYFUNCTION("""COMPUTED_VALUE"""),0.4549074074074075)</f>
        <v>0.4549074074</v>
      </c>
      <c r="G723" s="4" t="str">
        <f>IFERROR(__xludf.DUMMYFUNCTION("""COMPUTED_VALUE"""),"Startups")</f>
        <v>Startups</v>
      </c>
      <c r="H723" s="4" t="str">
        <f>IFERROR(__xludf.DUMMYFUNCTION("""COMPUTED_VALUE"""),"N/A")</f>
        <v>N/A</v>
      </c>
      <c r="I723" s="4" t="str">
        <f>IFERROR(__xludf.DUMMYFUNCTION("""COMPUTED_VALUE"""),"N/A")</f>
        <v>N/A</v>
      </c>
      <c r="J723" s="4" t="str">
        <f>IFERROR(__xludf.DUMMYFUNCTION("""COMPUTED_VALUE"""),"Investment")</f>
        <v>Investment</v>
      </c>
      <c r="K723" s="4" t="str">
        <f>IFERROR(__xludf.DUMMYFUNCTION("""COMPUTED_VALUE"""),"40 Words")</f>
        <v>40 Words</v>
      </c>
      <c r="L723" s="4" t="str">
        <f>IFERROR(__xludf.DUMMYFUNCTION("""COMPUTED_VALUE"""),"")</f>
        <v/>
      </c>
      <c r="M723" s="4" t="str">
        <f>IFERROR(__xludf.DUMMYFUNCTION("""COMPUTED_VALUE"""),"40 Words #8 _Orai")</f>
        <v>40 Words #8 _Orai</v>
      </c>
      <c r="N723" s="4" t="str">
        <f>IFERROR(__xludf.DUMMYFUNCTION("""COMPUTED_VALUE"""),"")</f>
        <v/>
      </c>
      <c r="O723" s="4" t="str">
        <f>IFERROR(__xludf.DUMMYFUNCTION("""COMPUTED_VALUE"""),"")</f>
        <v/>
      </c>
      <c r="P723" s="4" t="str">
        <f>IFERROR(__xludf.DUMMYFUNCTION("""COMPUTED_VALUE"""),"")</f>
        <v/>
      </c>
      <c r="Q723" s="4" t="str">
        <f>IFERROR(__xludf.DUMMYFUNCTION("""COMPUTED_VALUE"""),"")</f>
        <v/>
      </c>
      <c r="R723" s="4" t="str">
        <f>IFERROR(__xludf.DUMMYFUNCTION("""COMPUTED_VALUE"""),"")</f>
        <v/>
      </c>
      <c r="S723" s="4" t="str">
        <f>IFERROR(__xludf.DUMMYFUNCTION("""COMPUTED_VALUE"""),"")</f>
        <v/>
      </c>
      <c r="T723" s="4" t="str">
        <f>IFERROR(__xludf.DUMMYFUNCTION("""COMPUTED_VALUE"""),"")</f>
        <v/>
      </c>
      <c r="U723" s="4" t="str">
        <f>IFERROR(__xludf.DUMMYFUNCTION("""COMPUTED_VALUE"""),"")</f>
        <v/>
      </c>
      <c r="V723" s="4" t="str">
        <f>IFERROR(__xludf.DUMMYFUNCTION("""COMPUTED_VALUE"""),"")</f>
        <v/>
      </c>
      <c r="W723" s="4" t="str">
        <f>IFERROR(__xludf.DUMMYFUNCTION("""COMPUTED_VALUE"""),"")</f>
        <v/>
      </c>
      <c r="X723" s="4" t="str">
        <f>IFERROR(__xludf.DUMMYFUNCTION("""COMPUTED_VALUE"""),"")</f>
        <v/>
      </c>
      <c r="Y723" s="4" t="str">
        <f>IFERROR(__xludf.DUMMYFUNCTION("""COMPUTED_VALUE"""),"")</f>
        <v/>
      </c>
    </row>
    <row r="724">
      <c r="A724" s="4" t="str">
        <f>IFERROR(__xludf.DUMMYFUNCTION("""COMPUTED_VALUE"""),"1039 - Channel")</f>
        <v>1039 - Channel</v>
      </c>
      <c r="B724" s="4" t="str">
        <f>IFERROR(__xludf.DUMMYFUNCTION("""COMPUTED_VALUE"""),"Channel 3")</f>
        <v>Channel 3</v>
      </c>
      <c r="C724" s="4" t="str">
        <f>IFERROR(__xludf.DUMMYFUNCTION("""COMPUTED_VALUE"""),"Day 3 - 25/06")</f>
        <v>Day 3 - 25/06</v>
      </c>
      <c r="D724" s="6">
        <f>IFERROR(__xludf.DUMMYFUNCTION("""COMPUTED_VALUE"""),0.4549074074074075)</f>
        <v>0.4549074074</v>
      </c>
      <c r="E724" s="6">
        <f>IFERROR(__xludf.DUMMYFUNCTION("""COMPUTED_VALUE"""),2.314814814814815E-4)</f>
        <v>0.0002314814815</v>
      </c>
      <c r="F724" s="6">
        <f>IFERROR(__xludf.DUMMYFUNCTION("""COMPUTED_VALUE"""),0.455138888888889)</f>
        <v>0.4551388889</v>
      </c>
      <c r="G724" s="4" t="str">
        <f>IFERROR(__xludf.DUMMYFUNCTION("""COMPUTED_VALUE"""),"Graphics")</f>
        <v>Graphics</v>
      </c>
      <c r="H724" s="4" t="str">
        <f>IFERROR(__xludf.DUMMYFUNCTION("""COMPUTED_VALUE"""),"N/A")</f>
        <v>N/A</v>
      </c>
      <c r="I724" s="4" t="str">
        <f>IFERROR(__xludf.DUMMYFUNCTION("""COMPUTED_VALUE"""),"N/A")</f>
        <v>N/A</v>
      </c>
      <c r="J724" s="4" t="str">
        <f>IFERROR(__xludf.DUMMYFUNCTION("""COMPUTED_VALUE"""),"SaaS")</f>
        <v>SaaS</v>
      </c>
      <c r="K724" s="4" t="str">
        <f>IFERROR(__xludf.DUMMYFUNCTION("""COMPUTED_VALUE"""),"Talk Intro")</f>
        <v>Talk Intro</v>
      </c>
      <c r="L724" s="4" t="str">
        <f>IFERROR(__xludf.DUMMYFUNCTION("""COMPUTED_VALUE"""),"")</f>
        <v/>
      </c>
      <c r="M724" s="4" t="str">
        <f>IFERROR(__xludf.DUMMYFUNCTION("""COMPUTED_VALUE"""),"Talk Intro")</f>
        <v>Talk Intro</v>
      </c>
      <c r="N724" s="4" t="str">
        <f>IFERROR(__xludf.DUMMYFUNCTION("""COMPUTED_VALUE"""),"")</f>
        <v/>
      </c>
      <c r="O724" s="4" t="str">
        <f>IFERROR(__xludf.DUMMYFUNCTION("""COMPUTED_VALUE"""),"")</f>
        <v/>
      </c>
      <c r="P724" s="4" t="str">
        <f>IFERROR(__xludf.DUMMYFUNCTION("""COMPUTED_VALUE"""),"")</f>
        <v/>
      </c>
      <c r="Q724" s="4" t="str">
        <f>IFERROR(__xludf.DUMMYFUNCTION("""COMPUTED_VALUE"""),"")</f>
        <v/>
      </c>
      <c r="R724" s="4" t="str">
        <f>IFERROR(__xludf.DUMMYFUNCTION("""COMPUTED_VALUE"""),"")</f>
        <v/>
      </c>
      <c r="S724" s="4" t="str">
        <f>IFERROR(__xludf.DUMMYFUNCTION("""COMPUTED_VALUE"""),"")</f>
        <v/>
      </c>
      <c r="T724" s="4" t="str">
        <f>IFERROR(__xludf.DUMMYFUNCTION("""COMPUTED_VALUE"""),"")</f>
        <v/>
      </c>
      <c r="U724" s="4" t="str">
        <f>IFERROR(__xludf.DUMMYFUNCTION("""COMPUTED_VALUE"""),"")</f>
        <v/>
      </c>
      <c r="V724" s="4" t="str">
        <f>IFERROR(__xludf.DUMMYFUNCTION("""COMPUTED_VALUE"""),"")</f>
        <v/>
      </c>
      <c r="W724" s="4" t="str">
        <f>IFERROR(__xludf.DUMMYFUNCTION("""COMPUTED_VALUE"""),"")</f>
        <v/>
      </c>
      <c r="X724" s="4" t="str">
        <f>IFERROR(__xludf.DUMMYFUNCTION("""COMPUTED_VALUE"""),"")</f>
        <v/>
      </c>
      <c r="Y724" s="4" t="str">
        <f>IFERROR(__xludf.DUMMYFUNCTION("""COMPUTED_VALUE"""),"")</f>
        <v/>
      </c>
    </row>
    <row r="725">
      <c r="A725" s="4" t="str">
        <f>IFERROR(__xludf.DUMMYFUNCTION("""COMPUTED_VALUE"""),"1040 - Channel")</f>
        <v>1040 - Channel</v>
      </c>
      <c r="B725" s="4" t="str">
        <f>IFERROR(__xludf.DUMMYFUNCTION("""COMPUTED_VALUE"""),"Channel 3")</f>
        <v>Channel 3</v>
      </c>
      <c r="C725" s="4" t="str">
        <f>IFERROR(__xludf.DUMMYFUNCTION("""COMPUTED_VALUE"""),"Day 3 - 25/06")</f>
        <v>Day 3 - 25/06</v>
      </c>
      <c r="D725" s="6">
        <f>IFERROR(__xludf.DUMMYFUNCTION("""COMPUTED_VALUE"""),0.455138888888889)</f>
        <v>0.4551388889</v>
      </c>
      <c r="E725" s="6">
        <f>IFERROR(__xludf.DUMMYFUNCTION("""COMPUTED_VALUE"""),0.0019560185185185184)</f>
        <v>0.001956018519</v>
      </c>
      <c r="F725" s="6">
        <f>IFERROR(__xludf.DUMMYFUNCTION("""COMPUTED_VALUE"""),0.4570949074074075)</f>
        <v>0.4570949074</v>
      </c>
      <c r="G725" s="4" t="str">
        <f>IFERROR(__xludf.DUMMYFUNCTION("""COMPUTED_VALUE"""),"Dan")</f>
        <v>Dan</v>
      </c>
      <c r="H725" s="4" t="str">
        <f>IFERROR(__xludf.DUMMYFUNCTION("""COMPUTED_VALUE"""),"N/A")</f>
        <v>N/A</v>
      </c>
      <c r="I725" s="4" t="str">
        <f>IFERROR(__xludf.DUMMYFUNCTION("""COMPUTED_VALUE"""),"Jack")</f>
        <v>Jack</v>
      </c>
      <c r="J725" s="4" t="str">
        <f>IFERROR(__xludf.DUMMYFUNCTION("""COMPUTED_VALUE"""),"SaaS")</f>
        <v>SaaS</v>
      </c>
      <c r="K725" s="4" t="str">
        <f>IFERROR(__xludf.DUMMYFUNCTION("""COMPUTED_VALUE"""),"Keynote")</f>
        <v>Keynote</v>
      </c>
      <c r="L725" s="4" t="str">
        <f>IFERROR(__xludf.DUMMYFUNCTION("""COMPUTED_VALUE"""),"T- 7 - 04/05/2020")</f>
        <v>T- 7 - 04/05/2020</v>
      </c>
      <c r="M725" s="4" t="str">
        <f>IFERROR(__xludf.DUMMYFUNCTION("""COMPUTED_VALUE"""),"Get radically personal")</f>
        <v>Get radically personal</v>
      </c>
      <c r="N725" s="4" t="str">
        <f>IFERROR(__xludf.DUMMYFUNCTION("""COMPUTED_VALUE"""),"Joseph Ansanelli, Gladly")</f>
        <v>Joseph Ansanelli, Gladly</v>
      </c>
      <c r="O725" s="4" t="str">
        <f>IFERROR(__xludf.DUMMYFUNCTION("""COMPUTED_VALUE"""),"")</f>
        <v/>
      </c>
      <c r="P725" s="4" t="str">
        <f>IFERROR(__xludf.DUMMYFUNCTION("""COMPUTED_VALUE"""),"")</f>
        <v/>
      </c>
      <c r="Q725" s="4" t="str">
        <f>IFERROR(__xludf.DUMMYFUNCTION("""COMPUTED_VALUE"""),"")</f>
        <v/>
      </c>
      <c r="R725" s="4" t="str">
        <f>IFERROR(__xludf.DUMMYFUNCTION("""COMPUTED_VALUE"""),"")</f>
        <v/>
      </c>
      <c r="S725" s="4" t="str">
        <f>IFERROR(__xludf.DUMMYFUNCTION("""COMPUTED_VALUE"""),"As we all know, the world has changed. We’re living in a world where we talk about social distancing and flattening the curve. And now, more than ever, people want to feel connected – to each other, to where they work, and to the companies they love.  Hea"&amp;"r from Gladly CEO, Joseph Ansanelli on how they put people at the center to keep them connected.")</f>
        <v>As we all know, the world has changed. We’re living in a world where we talk about social distancing and flattening the curve. And now, more than ever, people want to feel connected – to each other, to where they work, and to the companies they love.  Hear from Gladly CEO, Joseph Ansanelli on how they put people at the center to keep them connected.</v>
      </c>
      <c r="T725" s="4" t="str">
        <f>IFERROR(__xludf.DUMMYFUNCTION("""COMPUTED_VALUE"""),"KEYNOTE 8 - COMPLETE")</f>
        <v>KEYNOTE 8 - COMPLETE</v>
      </c>
      <c r="U725" s="23">
        <f>IFERROR(__xludf.DUMMYFUNCTION("""COMPUTED_VALUE"""),43959.0)</f>
        <v>43959</v>
      </c>
      <c r="V725" s="24">
        <f>IFERROR(__xludf.DUMMYFUNCTION("""COMPUTED_VALUE"""),0.7083333333333334)</f>
        <v>0.7083333333</v>
      </c>
      <c r="W725" s="4" t="str">
        <f>IFERROR(__xludf.DUMMYFUNCTION("""COMPUTED_VALUE"""),"COMPLETE")</f>
        <v>COMPLETE</v>
      </c>
      <c r="X725" s="4" t="str">
        <f>IFERROR(__xludf.DUMMYFUNCTION("""COMPUTED_VALUE"""),"Dan")</f>
        <v>Dan</v>
      </c>
      <c r="Y725" s="4" t="str">
        <f>IFERROR(__xludf.DUMMYFUNCTION("""COMPUTED_VALUE"""),"4638116456624626329")</f>
        <v>4638116456624626329</v>
      </c>
    </row>
    <row r="726">
      <c r="A726" s="4" t="str">
        <f>IFERROR(__xludf.DUMMYFUNCTION("""COMPUTED_VALUE"""),"1341 - Channel")</f>
        <v>1341 - Channel</v>
      </c>
      <c r="B726" s="4" t="str">
        <f>IFERROR(__xludf.DUMMYFUNCTION("""COMPUTED_VALUE"""),"Channel 3")</f>
        <v>Channel 3</v>
      </c>
      <c r="C726" s="4" t="str">
        <f>IFERROR(__xludf.DUMMYFUNCTION("""COMPUTED_VALUE"""),"Day 1 - 23/06")</f>
        <v>Day 1 - 23/06</v>
      </c>
      <c r="D726" s="4" t="str">
        <f>IFERROR(__xludf.DUMMYFUNCTION("""COMPUTED_VALUE"""),"")</f>
        <v/>
      </c>
      <c r="E726" s="4" t="str">
        <f>IFERROR(__xludf.DUMMYFUNCTION("""COMPUTED_VALUE"""),"")</f>
        <v/>
      </c>
      <c r="F726" s="4" t="str">
        <f>IFERROR(__xludf.DUMMYFUNCTION("""COMPUTED_VALUE"""),"")</f>
        <v/>
      </c>
      <c r="G726" s="4" t="str">
        <f>IFERROR(__xludf.DUMMYFUNCTION("""COMPUTED_VALUE"""),"")</f>
        <v/>
      </c>
      <c r="H726" s="4" t="str">
        <f>IFERROR(__xludf.DUMMYFUNCTION("""COMPUTED_VALUE"""),"")</f>
        <v/>
      </c>
      <c r="I726" s="4" t="str">
        <f>IFERROR(__xludf.DUMMYFUNCTION("""COMPUTED_VALUE"""),"")</f>
        <v/>
      </c>
      <c r="J726" s="4" t="str">
        <f>IFERROR(__xludf.DUMMYFUNCTION("""COMPUTED_VALUE"""),"")</f>
        <v/>
      </c>
      <c r="K726" s="4" t="str">
        <f>IFERROR(__xludf.DUMMYFUNCTION("""COMPUTED_VALUE"""),"")</f>
        <v/>
      </c>
      <c r="L726" s="4" t="str">
        <f>IFERROR(__xludf.DUMMYFUNCTION("""COMPUTED_VALUE"""),"")</f>
        <v/>
      </c>
      <c r="M726" s="4" t="str">
        <f>IFERROR(__xludf.DUMMYFUNCTION("""COMPUTED_VALUE"""),"")</f>
        <v/>
      </c>
      <c r="N726" s="4" t="str">
        <f>IFERROR(__xludf.DUMMYFUNCTION("""COMPUTED_VALUE"""),"")</f>
        <v/>
      </c>
      <c r="O726" s="4" t="str">
        <f>IFERROR(__xludf.DUMMYFUNCTION("""COMPUTED_VALUE"""),"")</f>
        <v/>
      </c>
      <c r="P726" s="4" t="str">
        <f>IFERROR(__xludf.DUMMYFUNCTION("""COMPUTED_VALUE"""),"")</f>
        <v/>
      </c>
      <c r="Q726" s="4" t="str">
        <f>IFERROR(__xludf.DUMMYFUNCTION("""COMPUTED_VALUE"""),"")</f>
        <v/>
      </c>
      <c r="R726" s="4" t="str">
        <f>IFERROR(__xludf.DUMMYFUNCTION("""COMPUTED_VALUE"""),"")</f>
        <v/>
      </c>
      <c r="S726" s="4" t="str">
        <f>IFERROR(__xludf.DUMMYFUNCTION("""COMPUTED_VALUE"""),"")</f>
        <v/>
      </c>
      <c r="T726" s="4" t="str">
        <f>IFERROR(__xludf.DUMMYFUNCTION("""COMPUTED_VALUE"""),"")</f>
        <v/>
      </c>
      <c r="U726" s="4" t="str">
        <f>IFERROR(__xludf.DUMMYFUNCTION("""COMPUTED_VALUE"""),"")</f>
        <v/>
      </c>
      <c r="V726" s="4" t="str">
        <f>IFERROR(__xludf.DUMMYFUNCTION("""COMPUTED_VALUE"""),"")</f>
        <v/>
      </c>
      <c r="W726" s="4" t="str">
        <f>IFERROR(__xludf.DUMMYFUNCTION("""COMPUTED_VALUE"""),"")</f>
        <v/>
      </c>
      <c r="X726" s="4" t="str">
        <f>IFERROR(__xludf.DUMMYFUNCTION("""COMPUTED_VALUE"""),"")</f>
        <v/>
      </c>
      <c r="Y726" s="4" t="str">
        <f>IFERROR(__xludf.DUMMYFUNCTION("""COMPUTED_VALUE"""),"")</f>
        <v/>
      </c>
    </row>
    <row r="727">
      <c r="A727" s="4" t="str">
        <f>IFERROR(__xludf.DUMMYFUNCTION("""COMPUTED_VALUE"""),"795 - Channel")</f>
        <v>795 - Channel</v>
      </c>
      <c r="B727" s="4" t="str">
        <f>IFERROR(__xludf.DUMMYFUNCTION("""COMPUTED_VALUE"""),"Channel 3")</f>
        <v>Channel 3</v>
      </c>
      <c r="C727" s="4" t="str">
        <f>IFERROR(__xludf.DUMMYFUNCTION("""COMPUTED_VALUE"""),"Day 1 - 23/06")</f>
        <v>Day 1 - 23/06</v>
      </c>
      <c r="D727" s="6">
        <f>IFERROR(__xludf.DUMMYFUNCTION("""COMPUTED_VALUE"""),0.4583333333333333)</f>
        <v>0.4583333333</v>
      </c>
      <c r="E727" s="6">
        <f>IFERROR(__xludf.DUMMYFUNCTION("""COMPUTED_VALUE"""),3.4722222222222224E-4)</f>
        <v>0.0003472222222</v>
      </c>
      <c r="F727" s="6">
        <f>IFERROR(__xludf.DUMMYFUNCTION("""COMPUTED_VALUE"""),0.45868055555555554)</f>
        <v>0.4586805556</v>
      </c>
      <c r="G727" s="4" t="str">
        <f>IFERROR(__xludf.DUMMYFUNCTION("""COMPUTED_VALUE"""),"Graphics")</f>
        <v>Graphics</v>
      </c>
      <c r="H727" s="4" t="str">
        <f>IFERROR(__xludf.DUMMYFUNCTION("""COMPUTED_VALUE"""),"N/A")</f>
        <v>N/A</v>
      </c>
      <c r="I727" s="4" t="str">
        <f>IFERROR(__xludf.DUMMYFUNCTION("""COMPUTED_VALUE"""),"N/A")</f>
        <v>N/A</v>
      </c>
      <c r="J727" s="4" t="str">
        <f>IFERROR(__xludf.DUMMYFUNCTION("""COMPUTED_VALUE"""),"Marketing")</f>
        <v>Marketing</v>
      </c>
      <c r="K727" s="4" t="str">
        <f>IFERROR(__xludf.DUMMYFUNCTION("""COMPUTED_VALUE"""),"Talk Intro")</f>
        <v>Talk Intro</v>
      </c>
      <c r="L727" s="4" t="str">
        <f>IFERROR(__xludf.DUMMYFUNCTION("""COMPUTED_VALUE"""),"")</f>
        <v/>
      </c>
      <c r="M727" s="4" t="str">
        <f>IFERROR(__xludf.DUMMYFUNCTION("""COMPUTED_VALUE"""),"Talk Intro")</f>
        <v>Talk Intro</v>
      </c>
      <c r="N727" s="4" t="str">
        <f>IFERROR(__xludf.DUMMYFUNCTION("""COMPUTED_VALUE"""),"")</f>
        <v/>
      </c>
      <c r="O727" s="4" t="str">
        <f>IFERROR(__xludf.DUMMYFUNCTION("""COMPUTED_VALUE"""),"")</f>
        <v/>
      </c>
      <c r="P727" s="4" t="str">
        <f>IFERROR(__xludf.DUMMYFUNCTION("""COMPUTED_VALUE"""),"")</f>
        <v/>
      </c>
      <c r="Q727" s="4" t="str">
        <f>IFERROR(__xludf.DUMMYFUNCTION("""COMPUTED_VALUE"""),"")</f>
        <v/>
      </c>
      <c r="R727" s="4" t="str">
        <f>IFERROR(__xludf.DUMMYFUNCTION("""COMPUTED_VALUE"""),"")</f>
        <v/>
      </c>
      <c r="S727" s="4" t="str">
        <f>IFERROR(__xludf.DUMMYFUNCTION("""COMPUTED_VALUE"""),"")</f>
        <v/>
      </c>
      <c r="T727" s="4" t="str">
        <f>IFERROR(__xludf.DUMMYFUNCTION("""COMPUTED_VALUE"""),"")</f>
        <v/>
      </c>
      <c r="U727" s="4" t="str">
        <f>IFERROR(__xludf.DUMMYFUNCTION("""COMPUTED_VALUE"""),"")</f>
        <v/>
      </c>
      <c r="V727" s="4" t="str">
        <f>IFERROR(__xludf.DUMMYFUNCTION("""COMPUTED_VALUE"""),"")</f>
        <v/>
      </c>
      <c r="W727" s="4" t="str">
        <f>IFERROR(__xludf.DUMMYFUNCTION("""COMPUTED_VALUE"""),"")</f>
        <v/>
      </c>
      <c r="X727" s="4" t="str">
        <f>IFERROR(__xludf.DUMMYFUNCTION("""COMPUTED_VALUE"""),"")</f>
        <v/>
      </c>
      <c r="Y727" s="4" t="str">
        <f>IFERROR(__xludf.DUMMYFUNCTION("""COMPUTED_VALUE"""),"")</f>
        <v/>
      </c>
    </row>
    <row r="728">
      <c r="A728" s="4" t="str">
        <f>IFERROR(__xludf.DUMMYFUNCTION("""COMPUTED_VALUE"""),"796 - Channel")</f>
        <v>796 - Channel</v>
      </c>
      <c r="B728" s="4" t="str">
        <f>IFERROR(__xludf.DUMMYFUNCTION("""COMPUTED_VALUE"""),"Channel 3")</f>
        <v>Channel 3</v>
      </c>
      <c r="C728" s="4" t="str">
        <f>IFERROR(__xludf.DUMMYFUNCTION("""COMPUTED_VALUE"""),"Day 1 - 23/06")</f>
        <v>Day 1 - 23/06</v>
      </c>
      <c r="D728" s="6">
        <f>IFERROR(__xludf.DUMMYFUNCTION("""COMPUTED_VALUE"""),0.45868055555555554)</f>
        <v>0.4586805556</v>
      </c>
      <c r="E728" s="6">
        <f>IFERROR(__xludf.DUMMYFUNCTION("""COMPUTED_VALUE"""),0.010833333333333334)</f>
        <v>0.01083333333</v>
      </c>
      <c r="F728" s="6">
        <f>IFERROR(__xludf.DUMMYFUNCTION("""COMPUTED_VALUE"""),0.4695138888888889)</f>
        <v>0.4695138889</v>
      </c>
      <c r="G728" s="4" t="str">
        <f>IFERROR(__xludf.DUMMYFUNCTION("""COMPUTED_VALUE"""),"Luan")</f>
        <v>Luan</v>
      </c>
      <c r="H728" s="4" t="str">
        <f>IFERROR(__xludf.DUMMYFUNCTION("""COMPUTED_VALUE"""),"Lisa")</f>
        <v>Lisa</v>
      </c>
      <c r="I728" s="4" t="str">
        <f>IFERROR(__xludf.DUMMYFUNCTION("""COMPUTED_VALUE"""),"Francisca")</f>
        <v>Francisca</v>
      </c>
      <c r="J728" s="4" t="str">
        <f>IFERROR(__xludf.DUMMYFUNCTION("""COMPUTED_VALUE"""),"Marketing")</f>
        <v>Marketing</v>
      </c>
      <c r="K728" s="4" t="str">
        <f>IFERROR(__xludf.DUMMYFUNCTION("""COMPUTED_VALUE"""),"Super Fireside")</f>
        <v>Super Fireside</v>
      </c>
      <c r="L728" s="4" t="str">
        <f>IFERROR(__xludf.DUMMYFUNCTION("""COMPUTED_VALUE"""),"T- 6 - 11/05/2020")</f>
        <v>T- 6 - 11/05/2020</v>
      </c>
      <c r="M728" s="4" t="str">
        <f>IFERROR(__xludf.DUMMYFUNCTION("""COMPUTED_VALUE"""),"Keeping communities healthy and happy")</f>
        <v>Keeping communities healthy and happy</v>
      </c>
      <c r="N728" s="4" t="str">
        <f>IFERROR(__xludf.DUMMYFUNCTION("""COMPUTED_VALUE"""),"Prakash Janakiraman, Nextdoor")</f>
        <v>Prakash Janakiraman, Nextdoor</v>
      </c>
      <c r="O728" s="4" t="str">
        <f>IFERROR(__xludf.DUMMYFUNCTION("""COMPUTED_VALUE"""),"Hilary Coles, Hers")</f>
        <v>Hilary Coles, Hers</v>
      </c>
      <c r="P728" s="4" t="str">
        <f>IFERROR(__xludf.DUMMYFUNCTION("""COMPUTED_VALUE"""),"")</f>
        <v/>
      </c>
      <c r="Q728" s="4" t="str">
        <f>IFERROR(__xludf.DUMMYFUNCTION("""COMPUTED_VALUE"""),"")</f>
        <v/>
      </c>
      <c r="R728" s="4" t="str">
        <f>IFERROR(__xludf.DUMMYFUNCTION("""COMPUTED_VALUE"""),"Kurt Wagner, Bloomberg")</f>
        <v>Kurt Wagner, Bloomberg</v>
      </c>
      <c r="S728" s="4" t="str">
        <f>IFERROR(__xludf.DUMMYFUNCTION("""COMPUTED_VALUE"""),"How do we keep communities healthy and happy when our behaviour has had to change fundamentally? ")</f>
        <v>How do we keep communities healthy and happy when our behaviour has had to change fundamentally? </v>
      </c>
      <c r="T728" s="4" t="str">
        <f>IFERROR(__xludf.DUMMYFUNCTION("""COMPUTED_VALUE"""),"NON-KEYNOTE 9 - COMPLETE")</f>
        <v>NON-KEYNOTE 9 - COMPLETE</v>
      </c>
      <c r="U728" s="23">
        <f>IFERROR(__xludf.DUMMYFUNCTION("""COMPUTED_VALUE"""),43964.0)</f>
        <v>43964</v>
      </c>
      <c r="V728" s="4" t="str">
        <f>IFERROR(__xludf.DUMMYFUNCTION("""COMPUTED_VALUE"""),"")</f>
        <v/>
      </c>
      <c r="W728" s="4" t="str">
        <f>IFERROR(__xludf.DUMMYFUNCTION("""COMPUTED_VALUE"""),"COMPLETE")</f>
        <v>COMPLETE</v>
      </c>
      <c r="X728" s="4" t="str">
        <f>IFERROR(__xludf.DUMMYFUNCTION("""COMPUTED_VALUE"""),"Gavin")</f>
        <v>Gavin</v>
      </c>
      <c r="Y728" s="4" t="str">
        <f>IFERROR(__xludf.DUMMYFUNCTION("""COMPUTED_VALUE"""),"")</f>
        <v/>
      </c>
    </row>
    <row r="729">
      <c r="A729" s="4" t="str">
        <f>IFERROR(__xludf.DUMMYFUNCTION("""COMPUTED_VALUE"""),"798 - Channel")</f>
        <v>798 - Channel</v>
      </c>
      <c r="B729" s="4" t="str">
        <f>IFERROR(__xludf.DUMMYFUNCTION("""COMPUTED_VALUE"""),"Channel 3")</f>
        <v>Channel 3</v>
      </c>
      <c r="C729" s="4" t="str">
        <f>IFERROR(__xludf.DUMMYFUNCTION("""COMPUTED_VALUE"""),"Day 1 - 23/06")</f>
        <v>Day 1 - 23/06</v>
      </c>
      <c r="D729" s="6">
        <f>IFERROR(__xludf.DUMMYFUNCTION("""COMPUTED_VALUE"""),0.4695138888888889)</f>
        <v>0.4695138889</v>
      </c>
      <c r="E729" s="6">
        <f>IFERROR(__xludf.DUMMYFUNCTION("""COMPUTED_VALUE"""),2.314814814814815E-4)</f>
        <v>0.0002314814815</v>
      </c>
      <c r="F729" s="6">
        <f>IFERROR(__xludf.DUMMYFUNCTION("""COMPUTED_VALUE"""),0.4697453703703704)</f>
        <v>0.4697453704</v>
      </c>
      <c r="G729" s="4" t="str">
        <f>IFERROR(__xludf.DUMMYFUNCTION("""COMPUTED_VALUE"""),"Graphics")</f>
        <v>Graphics</v>
      </c>
      <c r="H729" s="4" t="str">
        <f>IFERROR(__xludf.DUMMYFUNCTION("""COMPUTED_VALUE"""),"")</f>
        <v/>
      </c>
      <c r="I729" s="4" t="str">
        <f>IFERROR(__xludf.DUMMYFUNCTION("""COMPUTED_VALUE"""),"")</f>
        <v/>
      </c>
      <c r="J729" s="4" t="str">
        <f>IFERROR(__xludf.DUMMYFUNCTION("""COMPUTED_VALUE"""),"Marketing")</f>
        <v>Marketing</v>
      </c>
      <c r="K729" s="4" t="str">
        <f>IFERROR(__xludf.DUMMYFUNCTION("""COMPUTED_VALUE"""),"Talk Intro")</f>
        <v>Talk Intro</v>
      </c>
      <c r="L729" s="4" t="str">
        <f>IFERROR(__xludf.DUMMYFUNCTION("""COMPUTED_VALUE"""),"")</f>
        <v/>
      </c>
      <c r="M729" s="4" t="str">
        <f>IFERROR(__xludf.DUMMYFUNCTION("""COMPUTED_VALUE"""),"Talk Intro")</f>
        <v>Talk Intro</v>
      </c>
      <c r="N729" s="4" t="str">
        <f>IFERROR(__xludf.DUMMYFUNCTION("""COMPUTED_VALUE"""),"")</f>
        <v/>
      </c>
      <c r="O729" s="4" t="str">
        <f>IFERROR(__xludf.DUMMYFUNCTION("""COMPUTED_VALUE"""),"")</f>
        <v/>
      </c>
      <c r="P729" s="4" t="str">
        <f>IFERROR(__xludf.DUMMYFUNCTION("""COMPUTED_VALUE"""),"")</f>
        <v/>
      </c>
      <c r="Q729" s="4" t="str">
        <f>IFERROR(__xludf.DUMMYFUNCTION("""COMPUTED_VALUE"""),"")</f>
        <v/>
      </c>
      <c r="R729" s="4" t="str">
        <f>IFERROR(__xludf.DUMMYFUNCTION("""COMPUTED_VALUE"""),"")</f>
        <v/>
      </c>
      <c r="S729" s="4" t="str">
        <f>IFERROR(__xludf.DUMMYFUNCTION("""COMPUTED_VALUE"""),"")</f>
        <v/>
      </c>
      <c r="T729" s="4" t="str">
        <f>IFERROR(__xludf.DUMMYFUNCTION("""COMPUTED_VALUE"""),"")</f>
        <v/>
      </c>
      <c r="U729" s="4" t="str">
        <f>IFERROR(__xludf.DUMMYFUNCTION("""COMPUTED_VALUE"""),"")</f>
        <v/>
      </c>
      <c r="V729" s="4" t="str">
        <f>IFERROR(__xludf.DUMMYFUNCTION("""COMPUTED_VALUE"""),"")</f>
        <v/>
      </c>
      <c r="W729" s="4" t="str">
        <f>IFERROR(__xludf.DUMMYFUNCTION("""COMPUTED_VALUE"""),"")</f>
        <v/>
      </c>
      <c r="X729" s="4" t="str">
        <f>IFERROR(__xludf.DUMMYFUNCTION("""COMPUTED_VALUE"""),"")</f>
        <v/>
      </c>
      <c r="Y729" s="4" t="str">
        <f>IFERROR(__xludf.DUMMYFUNCTION("""COMPUTED_VALUE"""),"")</f>
        <v/>
      </c>
    </row>
    <row r="730">
      <c r="A730" s="4" t="str">
        <f>IFERROR(__xludf.DUMMYFUNCTION("""COMPUTED_VALUE"""),"799 - Channel")</f>
        <v>799 - Channel</v>
      </c>
      <c r="B730" s="4" t="str">
        <f>IFERROR(__xludf.DUMMYFUNCTION("""COMPUTED_VALUE"""),"Channel 3")</f>
        <v>Channel 3</v>
      </c>
      <c r="C730" s="4" t="str">
        <f>IFERROR(__xludf.DUMMYFUNCTION("""COMPUTED_VALUE"""),"Day 1 - 23/06")</f>
        <v>Day 1 - 23/06</v>
      </c>
      <c r="D730" s="6">
        <f>IFERROR(__xludf.DUMMYFUNCTION("""COMPUTED_VALUE"""),0.4697453703703704)</f>
        <v>0.4697453704</v>
      </c>
      <c r="E730" s="6">
        <f>IFERROR(__xludf.DUMMYFUNCTION("""COMPUTED_VALUE"""),0.007060185185185185)</f>
        <v>0.007060185185</v>
      </c>
      <c r="F730" s="6">
        <f>IFERROR(__xludf.DUMMYFUNCTION("""COMPUTED_VALUE"""),0.4768055555555556)</f>
        <v>0.4768055556</v>
      </c>
      <c r="G730" s="4" t="str">
        <f>IFERROR(__xludf.DUMMYFUNCTION("""COMPUTED_VALUE"""),"Luan")</f>
        <v>Luan</v>
      </c>
      <c r="H730" s="4" t="str">
        <f>IFERROR(__xludf.DUMMYFUNCTION("""COMPUTED_VALUE"""),"N/A")</f>
        <v>N/A</v>
      </c>
      <c r="I730" s="4" t="str">
        <f>IFERROR(__xludf.DUMMYFUNCTION("""COMPUTED_VALUE"""),"Francisca")</f>
        <v>Francisca</v>
      </c>
      <c r="J730" s="4" t="str">
        <f>IFERROR(__xludf.DUMMYFUNCTION("""COMPUTED_VALUE"""),"Marketing")</f>
        <v>Marketing</v>
      </c>
      <c r="K730" s="4" t="str">
        <f>IFERROR(__xludf.DUMMYFUNCTION("""COMPUTED_VALUE"""),"Keynote")</f>
        <v>Keynote</v>
      </c>
      <c r="L730" s="4" t="str">
        <f>IFERROR(__xludf.DUMMYFUNCTION("""COMPUTED_VALUE"""),"T- 5 - 18/05/2020")</f>
        <v>T- 5 - 18/05/2020</v>
      </c>
      <c r="M730" s="4" t="str">
        <f>IFERROR(__xludf.DUMMYFUNCTION("""COMPUTED_VALUE"""),"Digitally transforming a brand empire")</f>
        <v>Digitally transforming a brand empire</v>
      </c>
      <c r="N730" s="4" t="str">
        <f>IFERROR(__xludf.DUMMYFUNCTION("""COMPUTED_VALUE"""),"Sandeep Dadlani, Mars, Incorporated")</f>
        <v>Sandeep Dadlani, Mars, Incorporated</v>
      </c>
      <c r="O730" s="4" t="str">
        <f>IFERROR(__xludf.DUMMYFUNCTION("""COMPUTED_VALUE"""),"")</f>
        <v/>
      </c>
      <c r="P730" s="4" t="str">
        <f>IFERROR(__xludf.DUMMYFUNCTION("""COMPUTED_VALUE"""),"")</f>
        <v/>
      </c>
      <c r="Q730" s="4" t="str">
        <f>IFERROR(__xludf.DUMMYFUNCTION("""COMPUTED_VALUE"""),"")</f>
        <v/>
      </c>
      <c r="R730" s="4" t="str">
        <f>IFERROR(__xludf.DUMMYFUNCTION("""COMPUTED_VALUE"""),"")</f>
        <v/>
      </c>
      <c r="S730" s="4" t="str">
        <f>IFERROR(__xludf.DUMMYFUNCTION("""COMPUTED_VALUE"""),"Using analytics to propel Mars to work, rest and play faster than ever: How do you digitally transform one of the most recognisable brands on the planet?")</f>
        <v>Using analytics to propel Mars to work, rest and play faster than ever: How do you digitally transform one of the most recognisable brands on the planet?</v>
      </c>
      <c r="T730" s="4" t="str">
        <f>IFERROR(__xludf.DUMMYFUNCTION("""COMPUTED_VALUE"""),"KEYNOTE 8 - COMPLETE")</f>
        <v>KEYNOTE 8 - COMPLETE</v>
      </c>
      <c r="U730" s="55">
        <f>IFERROR(__xludf.DUMMYFUNCTION("""COMPUTED_VALUE"""),43976.0)</f>
        <v>43976</v>
      </c>
      <c r="V730" s="4" t="str">
        <f>IFERROR(__xludf.DUMMYFUNCTION("""COMPUTED_VALUE"""),"")</f>
        <v/>
      </c>
      <c r="W730" s="4" t="str">
        <f>IFERROR(__xludf.DUMMYFUNCTION("""COMPUTED_VALUE"""),"COMPLETE")</f>
        <v>COMPLETE</v>
      </c>
      <c r="X730" s="4" t="str">
        <f>IFERROR(__xludf.DUMMYFUNCTION("""COMPUTED_VALUE"""),"NA")</f>
        <v>NA</v>
      </c>
      <c r="Y730" s="4" t="str">
        <f>IFERROR(__xludf.DUMMYFUNCTION("""COMPUTED_VALUE"""),"")</f>
        <v/>
      </c>
    </row>
    <row r="731">
      <c r="A731" s="4" t="str">
        <f>IFERROR(__xludf.DUMMYFUNCTION("""COMPUTED_VALUE"""),"803 - Channel")</f>
        <v>803 - Channel</v>
      </c>
      <c r="B731" s="4" t="str">
        <f>IFERROR(__xludf.DUMMYFUNCTION("""COMPUTED_VALUE"""),"Channel 3")</f>
        <v>Channel 3</v>
      </c>
      <c r="C731" s="4" t="str">
        <f>IFERROR(__xludf.DUMMYFUNCTION("""COMPUTED_VALUE"""),"Day 1 - 23/06")</f>
        <v>Day 1 - 23/06</v>
      </c>
      <c r="D731" s="6">
        <f>IFERROR(__xludf.DUMMYFUNCTION("""COMPUTED_VALUE"""),0.4768055555555556)</f>
        <v>0.4768055556</v>
      </c>
      <c r="E731" s="6">
        <f>IFERROR(__xludf.DUMMYFUNCTION("""COMPUTED_VALUE"""),2.314814814814815E-4)</f>
        <v>0.0002314814815</v>
      </c>
      <c r="F731" s="6">
        <f>IFERROR(__xludf.DUMMYFUNCTION("""COMPUTED_VALUE"""),0.4770370370370371)</f>
        <v>0.477037037</v>
      </c>
      <c r="G731" s="4" t="str">
        <f>IFERROR(__xludf.DUMMYFUNCTION("""COMPUTED_VALUE"""),"Graphics")</f>
        <v>Graphics</v>
      </c>
      <c r="H731" s="4" t="str">
        <f>IFERROR(__xludf.DUMMYFUNCTION("""COMPUTED_VALUE"""),"N/A")</f>
        <v>N/A</v>
      </c>
      <c r="I731" s="4" t="str">
        <f>IFERROR(__xludf.DUMMYFUNCTION("""COMPUTED_VALUE"""),"N/A")</f>
        <v>N/A</v>
      </c>
      <c r="J731" s="4" t="str">
        <f>IFERROR(__xludf.DUMMYFUNCTION("""COMPUTED_VALUE"""),"Marketing")</f>
        <v>Marketing</v>
      </c>
      <c r="K731" s="4" t="str">
        <f>IFERROR(__xludf.DUMMYFUNCTION("""COMPUTED_VALUE"""),"Talk Intro")</f>
        <v>Talk Intro</v>
      </c>
      <c r="L731" s="4" t="str">
        <f>IFERROR(__xludf.DUMMYFUNCTION("""COMPUTED_VALUE"""),"")</f>
        <v/>
      </c>
      <c r="M731" s="4" t="str">
        <f>IFERROR(__xludf.DUMMYFUNCTION("""COMPUTED_VALUE"""),"Talk Intro")</f>
        <v>Talk Intro</v>
      </c>
      <c r="N731" s="4" t="str">
        <f>IFERROR(__xludf.DUMMYFUNCTION("""COMPUTED_VALUE"""),"")</f>
        <v/>
      </c>
      <c r="O731" s="4" t="str">
        <f>IFERROR(__xludf.DUMMYFUNCTION("""COMPUTED_VALUE"""),"")</f>
        <v/>
      </c>
      <c r="P731" s="4" t="str">
        <f>IFERROR(__xludf.DUMMYFUNCTION("""COMPUTED_VALUE"""),"")</f>
        <v/>
      </c>
      <c r="Q731" s="4" t="str">
        <f>IFERROR(__xludf.DUMMYFUNCTION("""COMPUTED_VALUE"""),"")</f>
        <v/>
      </c>
      <c r="R731" s="4" t="str">
        <f>IFERROR(__xludf.DUMMYFUNCTION("""COMPUTED_VALUE"""),"")</f>
        <v/>
      </c>
      <c r="S731" s="4" t="str">
        <f>IFERROR(__xludf.DUMMYFUNCTION("""COMPUTED_VALUE"""),"")</f>
        <v/>
      </c>
      <c r="T731" s="4" t="str">
        <f>IFERROR(__xludf.DUMMYFUNCTION("""COMPUTED_VALUE"""),"")</f>
        <v/>
      </c>
      <c r="U731" s="4" t="str">
        <f>IFERROR(__xludf.DUMMYFUNCTION("""COMPUTED_VALUE"""),"")</f>
        <v/>
      </c>
      <c r="V731" s="4" t="str">
        <f>IFERROR(__xludf.DUMMYFUNCTION("""COMPUTED_VALUE"""),"")</f>
        <v/>
      </c>
      <c r="W731" s="4" t="str">
        <f>IFERROR(__xludf.DUMMYFUNCTION("""COMPUTED_VALUE"""),"")</f>
        <v/>
      </c>
      <c r="X731" s="4" t="str">
        <f>IFERROR(__xludf.DUMMYFUNCTION("""COMPUTED_VALUE"""),"")</f>
        <v/>
      </c>
      <c r="Y731" s="4" t="str">
        <f>IFERROR(__xludf.DUMMYFUNCTION("""COMPUTED_VALUE"""),"")</f>
        <v/>
      </c>
    </row>
    <row r="732">
      <c r="A732" s="4" t="str">
        <f>IFERROR(__xludf.DUMMYFUNCTION("""COMPUTED_VALUE"""),"804 - Channel")</f>
        <v>804 - Channel</v>
      </c>
      <c r="B732" s="4" t="str">
        <f>IFERROR(__xludf.DUMMYFUNCTION("""COMPUTED_VALUE"""),"Channel 3")</f>
        <v>Channel 3</v>
      </c>
      <c r="C732" s="4" t="str">
        <f>IFERROR(__xludf.DUMMYFUNCTION("""COMPUTED_VALUE"""),"Day 1 - 23/06")</f>
        <v>Day 1 - 23/06</v>
      </c>
      <c r="D732" s="6">
        <f>IFERROR(__xludf.DUMMYFUNCTION("""COMPUTED_VALUE"""),0.4770370370370371)</f>
        <v>0.477037037</v>
      </c>
      <c r="E732" s="6">
        <f>IFERROR(__xludf.DUMMYFUNCTION("""COMPUTED_VALUE"""),3.4722222222222224E-4)</f>
        <v>0.0003472222222</v>
      </c>
      <c r="F732" s="6">
        <f>IFERROR(__xludf.DUMMYFUNCTION("""COMPUTED_VALUE"""),0.4773842592592593)</f>
        <v>0.4773842593</v>
      </c>
      <c r="G732" s="4" t="str">
        <f>IFERROR(__xludf.DUMMYFUNCTION("""COMPUTED_VALUE"""),"Graphics")</f>
        <v>Graphics</v>
      </c>
      <c r="H732" s="4" t="str">
        <f>IFERROR(__xludf.DUMMYFUNCTION("""COMPUTED_VALUE"""),"")</f>
        <v/>
      </c>
      <c r="I732" s="4" t="str">
        <f>IFERROR(__xludf.DUMMYFUNCTION("""COMPUTED_VALUE"""),"")</f>
        <v/>
      </c>
      <c r="J732" s="4" t="str">
        <f>IFERROR(__xludf.DUMMYFUNCTION("""COMPUTED_VALUE"""),"Marketing")</f>
        <v>Marketing</v>
      </c>
      <c r="K732" s="4" t="str">
        <f>IFERROR(__xludf.DUMMYFUNCTION("""COMPUTED_VALUE"""),"Speaker Intro Video")</f>
        <v>Speaker Intro Video</v>
      </c>
      <c r="L732" s="4" t="str">
        <f>IFERROR(__xludf.DUMMYFUNCTION("""COMPUTED_VALUE"""),"")</f>
        <v/>
      </c>
      <c r="M732" s="4" t="str">
        <f>IFERROR(__xludf.DUMMYFUNCTION("""COMPUTED_VALUE"""),"Speaker Intro Video")</f>
        <v>Speaker Intro Video</v>
      </c>
      <c r="N732" s="4" t="str">
        <f>IFERROR(__xludf.DUMMYFUNCTION("""COMPUTED_VALUE"""),"")</f>
        <v/>
      </c>
      <c r="O732" s="4" t="str">
        <f>IFERROR(__xludf.DUMMYFUNCTION("""COMPUTED_VALUE"""),"")</f>
        <v/>
      </c>
      <c r="P732" s="4" t="str">
        <f>IFERROR(__xludf.DUMMYFUNCTION("""COMPUTED_VALUE"""),"")</f>
        <v/>
      </c>
      <c r="Q732" s="4" t="str">
        <f>IFERROR(__xludf.DUMMYFUNCTION("""COMPUTED_VALUE"""),"")</f>
        <v/>
      </c>
      <c r="R732" s="4" t="str">
        <f>IFERROR(__xludf.DUMMYFUNCTION("""COMPUTED_VALUE"""),"")</f>
        <v/>
      </c>
      <c r="S732" s="4" t="str">
        <f>IFERROR(__xludf.DUMMYFUNCTION("""COMPUTED_VALUE"""),"")</f>
        <v/>
      </c>
      <c r="T732" s="4" t="str">
        <f>IFERROR(__xludf.DUMMYFUNCTION("""COMPUTED_VALUE"""),"")</f>
        <v/>
      </c>
      <c r="U732" s="4" t="str">
        <f>IFERROR(__xludf.DUMMYFUNCTION("""COMPUTED_VALUE"""),"")</f>
        <v/>
      </c>
      <c r="V732" s="4" t="str">
        <f>IFERROR(__xludf.DUMMYFUNCTION("""COMPUTED_VALUE"""),"")</f>
        <v/>
      </c>
      <c r="W732" s="4" t="str">
        <f>IFERROR(__xludf.DUMMYFUNCTION("""COMPUTED_VALUE"""),"")</f>
        <v/>
      </c>
      <c r="X732" s="4" t="str">
        <f>IFERROR(__xludf.DUMMYFUNCTION("""COMPUTED_VALUE"""),"")</f>
        <v/>
      </c>
      <c r="Y732" s="4" t="str">
        <f>IFERROR(__xludf.DUMMYFUNCTION("""COMPUTED_VALUE"""),"")</f>
        <v/>
      </c>
    </row>
    <row r="733">
      <c r="A733" s="4" t="str">
        <f>IFERROR(__xludf.DUMMYFUNCTION("""COMPUTED_VALUE"""),"805 - Channel")</f>
        <v>805 - Channel</v>
      </c>
      <c r="B733" s="4" t="str">
        <f>IFERROR(__xludf.DUMMYFUNCTION("""COMPUTED_VALUE"""),"Channel 3")</f>
        <v>Channel 3</v>
      </c>
      <c r="C733" s="4" t="str">
        <f>IFERROR(__xludf.DUMMYFUNCTION("""COMPUTED_VALUE"""),"Day 1 - 23/06")</f>
        <v>Day 1 - 23/06</v>
      </c>
      <c r="D733" s="6">
        <f>IFERROR(__xludf.DUMMYFUNCTION("""COMPUTED_VALUE"""),0.4773842592592593)</f>
        <v>0.4773842593</v>
      </c>
      <c r="E733" s="6">
        <f>IFERROR(__xludf.DUMMYFUNCTION("""COMPUTED_VALUE"""),0.011458333333333333)</f>
        <v>0.01145833333</v>
      </c>
      <c r="F733" s="6">
        <f>IFERROR(__xludf.DUMMYFUNCTION("""COMPUTED_VALUE"""),0.48884259259259266)</f>
        <v>0.4888425926</v>
      </c>
      <c r="G733" s="4" t="str">
        <f>IFERROR(__xludf.DUMMYFUNCTION("""COMPUTED_VALUE"""),"Luan")</f>
        <v>Luan</v>
      </c>
      <c r="H733" s="4" t="str">
        <f>IFERROR(__xludf.DUMMYFUNCTION("""COMPUTED_VALUE"""),"N/A")</f>
        <v>N/A</v>
      </c>
      <c r="I733" s="4" t="str">
        <f>IFERROR(__xludf.DUMMYFUNCTION("""COMPUTED_VALUE"""),"Manon")</f>
        <v>Manon</v>
      </c>
      <c r="J733" s="4" t="str">
        <f>IFERROR(__xludf.DUMMYFUNCTION("""COMPUTED_VALUE"""),"Marketing")</f>
        <v>Marketing</v>
      </c>
      <c r="K733" s="4" t="str">
        <f>IFERROR(__xludf.DUMMYFUNCTION("""COMPUTED_VALUE"""),"Keynote")</f>
        <v>Keynote</v>
      </c>
      <c r="L733" s="4" t="str">
        <f>IFERROR(__xludf.DUMMYFUNCTION("""COMPUTED_VALUE"""),"T- 3 - 01/06/2020")</f>
        <v>T- 3 - 01/06/2020</v>
      </c>
      <c r="M733" s="4" t="str">
        <f>IFERROR(__xludf.DUMMYFUNCTION("""COMPUTED_VALUE"""),"Technology’s subservience to culture")</f>
        <v>Technology’s subservience to culture</v>
      </c>
      <c r="N733" s="4" t="str">
        <f>IFERROR(__xludf.DUMMYFUNCTION("""COMPUTED_VALUE"""),"Eshan Ponnadurai, WhatsApp")</f>
        <v>Eshan Ponnadurai, WhatsApp</v>
      </c>
      <c r="O733" s="4" t="str">
        <f>IFERROR(__xludf.DUMMYFUNCTION("""COMPUTED_VALUE"""),"Alain Sylvain, Sylvain Labs")</f>
        <v>Alain Sylvain, Sylvain Labs</v>
      </c>
      <c r="P733" s="4" t="str">
        <f>IFERROR(__xludf.DUMMYFUNCTION("""COMPUTED_VALUE"""),"")</f>
        <v/>
      </c>
      <c r="Q733" s="4" t="str">
        <f>IFERROR(__xludf.DUMMYFUNCTION("""COMPUTED_VALUE"""),"")</f>
        <v/>
      </c>
      <c r="R733" s="4" t="str">
        <f>IFERROR(__xludf.DUMMYFUNCTION("""COMPUTED_VALUE"""),"")</f>
        <v/>
      </c>
      <c r="S733" s="4" t="str">
        <f>IFERROR(__xludf.DUMMYFUNCTION("""COMPUTED_VALUE"""),"Marketers, innovators and children of immigrants will tell us how culture influences creation. Does creativity change when our cultures are put on pause?")</f>
        <v>Marketers, innovators and children of immigrants will tell us how culture influences creation. Does creativity change when our cultures are put on pause?</v>
      </c>
      <c r="T733" s="4" t="str">
        <f>IFERROR(__xludf.DUMMYFUNCTION("""COMPUTED_VALUE"""),"KEYNOTE 8 - COMPLETE")</f>
        <v>KEYNOTE 8 - COMPLETE</v>
      </c>
      <c r="U733" s="23">
        <f>IFERROR(__xludf.DUMMYFUNCTION("""COMPUTED_VALUE"""),43986.0)</f>
        <v>43986</v>
      </c>
      <c r="V733" s="4" t="str">
        <f>IFERROR(__xludf.DUMMYFUNCTION("""COMPUTED_VALUE"""),"Self record")</f>
        <v>Self record</v>
      </c>
      <c r="W733" s="4" t="str">
        <f>IFERROR(__xludf.DUMMYFUNCTION("""COMPUTED_VALUE"""),"COMPLETE")</f>
        <v>COMPLETE</v>
      </c>
      <c r="X733" s="4" t="str">
        <f>IFERROR(__xludf.DUMMYFUNCTION("""COMPUTED_VALUE"""),"Luan")</f>
        <v>Luan</v>
      </c>
      <c r="Y733" s="4" t="str">
        <f>IFERROR(__xludf.DUMMYFUNCTION("""COMPUTED_VALUE"""),"")</f>
        <v/>
      </c>
    </row>
    <row r="734">
      <c r="A734" s="4" t="str">
        <f>IFERROR(__xludf.DUMMYFUNCTION("""COMPUTED_VALUE"""),"806 - Channel")</f>
        <v>806 - Channel</v>
      </c>
      <c r="B734" s="4" t="str">
        <f>IFERROR(__xludf.DUMMYFUNCTION("""COMPUTED_VALUE"""),"Channel 3")</f>
        <v>Channel 3</v>
      </c>
      <c r="C734" s="4" t="str">
        <f>IFERROR(__xludf.DUMMYFUNCTION("""COMPUTED_VALUE"""),"Day 1 - 23/06")</f>
        <v>Day 1 - 23/06</v>
      </c>
      <c r="D734" s="6">
        <f>IFERROR(__xludf.DUMMYFUNCTION("""COMPUTED_VALUE"""),0.48884259259259266)</f>
        <v>0.4888425926</v>
      </c>
      <c r="E734" s="6">
        <f>IFERROR(__xludf.DUMMYFUNCTION("""COMPUTED_VALUE"""),1.7361111111111112E-4)</f>
        <v>0.0001736111111</v>
      </c>
      <c r="F734" s="6">
        <f>IFERROR(__xludf.DUMMYFUNCTION("""COMPUTED_VALUE"""),0.4890162037037038)</f>
        <v>0.4890162037</v>
      </c>
      <c r="G734" s="4" t="str">
        <f>IFERROR(__xludf.DUMMYFUNCTION("""COMPUTED_VALUE"""),"Graphics")</f>
        <v>Graphics</v>
      </c>
      <c r="H734" s="4" t="str">
        <f>IFERROR(__xludf.DUMMYFUNCTION("""COMPUTED_VALUE"""),"")</f>
        <v/>
      </c>
      <c r="I734" s="4" t="str">
        <f>IFERROR(__xludf.DUMMYFUNCTION("""COMPUTED_VALUE"""),"")</f>
        <v/>
      </c>
      <c r="J734" s="4" t="str">
        <f>IFERROR(__xludf.DUMMYFUNCTION("""COMPUTED_VALUE"""),"Marketing")</f>
        <v>Marketing</v>
      </c>
      <c r="K734" s="4" t="str">
        <f>IFERROR(__xludf.DUMMYFUNCTION("""COMPUTED_VALUE"""),"Talk Outro")</f>
        <v>Talk Outro</v>
      </c>
      <c r="L734" s="4" t="str">
        <f>IFERROR(__xludf.DUMMYFUNCTION("""COMPUTED_VALUE"""),"")</f>
        <v/>
      </c>
      <c r="M734" s="4" t="str">
        <f>IFERROR(__xludf.DUMMYFUNCTION("""COMPUTED_VALUE"""),"Talk Outro - KEEP")</f>
        <v>Talk Outro - KEEP</v>
      </c>
      <c r="N734" s="4" t="str">
        <f>IFERROR(__xludf.DUMMYFUNCTION("""COMPUTED_VALUE"""),"")</f>
        <v/>
      </c>
      <c r="O734" s="4" t="str">
        <f>IFERROR(__xludf.DUMMYFUNCTION("""COMPUTED_VALUE"""),"")</f>
        <v/>
      </c>
      <c r="P734" s="4" t="str">
        <f>IFERROR(__xludf.DUMMYFUNCTION("""COMPUTED_VALUE"""),"")</f>
        <v/>
      </c>
      <c r="Q734" s="4" t="str">
        <f>IFERROR(__xludf.DUMMYFUNCTION("""COMPUTED_VALUE"""),"")</f>
        <v/>
      </c>
      <c r="R734" s="4" t="str">
        <f>IFERROR(__xludf.DUMMYFUNCTION("""COMPUTED_VALUE"""),"")</f>
        <v/>
      </c>
      <c r="S734" s="4" t="str">
        <f>IFERROR(__xludf.DUMMYFUNCTION("""COMPUTED_VALUE"""),"")</f>
        <v/>
      </c>
      <c r="T734" s="4" t="str">
        <f>IFERROR(__xludf.DUMMYFUNCTION("""COMPUTED_VALUE"""),"")</f>
        <v/>
      </c>
      <c r="U734" s="4" t="str">
        <f>IFERROR(__xludf.DUMMYFUNCTION("""COMPUTED_VALUE"""),"")</f>
        <v/>
      </c>
      <c r="V734" s="4" t="str">
        <f>IFERROR(__xludf.DUMMYFUNCTION("""COMPUTED_VALUE"""),"")</f>
        <v/>
      </c>
      <c r="W734" s="4" t="str">
        <f>IFERROR(__xludf.DUMMYFUNCTION("""COMPUTED_VALUE"""),"")</f>
        <v/>
      </c>
      <c r="X734" s="4" t="str">
        <f>IFERROR(__xludf.DUMMYFUNCTION("""COMPUTED_VALUE"""),"")</f>
        <v/>
      </c>
      <c r="Y734" s="4" t="str">
        <f>IFERROR(__xludf.DUMMYFUNCTION("""COMPUTED_VALUE"""),"")</f>
        <v/>
      </c>
    </row>
    <row r="735">
      <c r="A735" s="4" t="str">
        <f>IFERROR(__xludf.DUMMYFUNCTION("""COMPUTED_VALUE"""),"844 - Channel")</f>
        <v>844 - Channel</v>
      </c>
      <c r="B735" s="4" t="str">
        <f>IFERROR(__xludf.DUMMYFUNCTION("""COMPUTED_VALUE"""),"Channel 3")</f>
        <v>Channel 3</v>
      </c>
      <c r="C735" s="4" t="str">
        <f>IFERROR(__xludf.DUMMYFUNCTION("""COMPUTED_VALUE"""),"Day 1 - 23/06")</f>
        <v>Day 1 - 23/06</v>
      </c>
      <c r="D735" s="6">
        <f>IFERROR(__xludf.DUMMYFUNCTION("""COMPUTED_VALUE"""),0.4890162037037038)</f>
        <v>0.4890162037</v>
      </c>
      <c r="E735" s="6">
        <f>IFERROR(__xludf.DUMMYFUNCTION("""COMPUTED_VALUE"""),2.314814814814815E-4)</f>
        <v>0.0002314814815</v>
      </c>
      <c r="F735" s="6">
        <f>IFERROR(__xludf.DUMMYFUNCTION("""COMPUTED_VALUE"""),0.4892476851851853)</f>
        <v>0.4892476852</v>
      </c>
      <c r="G735" s="4" t="str">
        <f>IFERROR(__xludf.DUMMYFUNCTION("""COMPUTED_VALUE"""),"Graphics")</f>
        <v>Graphics</v>
      </c>
      <c r="H735" s="4" t="str">
        <f>IFERROR(__xludf.DUMMYFUNCTION("""COMPUTED_VALUE"""),"N/A")</f>
        <v>N/A</v>
      </c>
      <c r="I735" s="4" t="str">
        <f>IFERROR(__xludf.DUMMYFUNCTION("""COMPUTED_VALUE"""),"N/A")</f>
        <v>N/A</v>
      </c>
      <c r="J735" s="4" t="str">
        <f>IFERROR(__xludf.DUMMYFUNCTION("""COMPUTED_VALUE"""),"Climate")</f>
        <v>Climate</v>
      </c>
      <c r="K735" s="4" t="str">
        <f>IFERROR(__xludf.DUMMYFUNCTION("""COMPUTED_VALUE"""),"Talk Intro")</f>
        <v>Talk Intro</v>
      </c>
      <c r="L735" s="4" t="str">
        <f>IFERROR(__xludf.DUMMYFUNCTION("""COMPUTED_VALUE"""),"")</f>
        <v/>
      </c>
      <c r="M735" s="4" t="str">
        <f>IFERROR(__xludf.DUMMYFUNCTION("""COMPUTED_VALUE"""),"Talk Intro")</f>
        <v>Talk Intro</v>
      </c>
      <c r="N735" s="4" t="str">
        <f>IFERROR(__xludf.DUMMYFUNCTION("""COMPUTED_VALUE"""),"")</f>
        <v/>
      </c>
      <c r="O735" s="4" t="str">
        <f>IFERROR(__xludf.DUMMYFUNCTION("""COMPUTED_VALUE"""),"")</f>
        <v/>
      </c>
      <c r="P735" s="4" t="str">
        <f>IFERROR(__xludf.DUMMYFUNCTION("""COMPUTED_VALUE"""),"")</f>
        <v/>
      </c>
      <c r="Q735" s="4" t="str">
        <f>IFERROR(__xludf.DUMMYFUNCTION("""COMPUTED_VALUE"""),"")</f>
        <v/>
      </c>
      <c r="R735" s="4" t="str">
        <f>IFERROR(__xludf.DUMMYFUNCTION("""COMPUTED_VALUE"""),"")</f>
        <v/>
      </c>
      <c r="S735" s="4" t="str">
        <f>IFERROR(__xludf.DUMMYFUNCTION("""COMPUTED_VALUE"""),"")</f>
        <v/>
      </c>
      <c r="T735" s="4" t="str">
        <f>IFERROR(__xludf.DUMMYFUNCTION("""COMPUTED_VALUE"""),"")</f>
        <v/>
      </c>
      <c r="U735" s="4" t="str">
        <f>IFERROR(__xludf.DUMMYFUNCTION("""COMPUTED_VALUE"""),"")</f>
        <v/>
      </c>
      <c r="V735" s="4" t="str">
        <f>IFERROR(__xludf.DUMMYFUNCTION("""COMPUTED_VALUE"""),"")</f>
        <v/>
      </c>
      <c r="W735" s="4" t="str">
        <f>IFERROR(__xludf.DUMMYFUNCTION("""COMPUTED_VALUE"""),"")</f>
        <v/>
      </c>
      <c r="X735" s="4" t="str">
        <f>IFERROR(__xludf.DUMMYFUNCTION("""COMPUTED_VALUE"""),"")</f>
        <v/>
      </c>
      <c r="Y735" s="4" t="str">
        <f>IFERROR(__xludf.DUMMYFUNCTION("""COMPUTED_VALUE"""),"")</f>
        <v/>
      </c>
    </row>
    <row r="736">
      <c r="A736" s="4" t="str">
        <f>IFERROR(__xludf.DUMMYFUNCTION("""COMPUTED_VALUE"""),"1725 - Channel")</f>
        <v>1725 - Channel</v>
      </c>
      <c r="B736" s="4" t="str">
        <f>IFERROR(__xludf.DUMMYFUNCTION("""COMPUTED_VALUE"""),"Channel 3")</f>
        <v>Channel 3</v>
      </c>
      <c r="C736" s="4" t="str">
        <f>IFERROR(__xludf.DUMMYFUNCTION("""COMPUTED_VALUE"""),"Day 1 - 23/06")</f>
        <v>Day 1 - 23/06</v>
      </c>
      <c r="D736" s="6">
        <f>IFERROR(__xludf.DUMMYFUNCTION("""COMPUTED_VALUE"""),0.4892476851851853)</f>
        <v>0.4892476852</v>
      </c>
      <c r="E736" s="6">
        <f>IFERROR(__xludf.DUMMYFUNCTION("""COMPUTED_VALUE"""),0.0010416666666666667)</f>
        <v>0.001041666667</v>
      </c>
      <c r="F736" s="6">
        <f>IFERROR(__xludf.DUMMYFUNCTION("""COMPUTED_VALUE"""),0.49028935185185196)</f>
        <v>0.4902893519</v>
      </c>
      <c r="G736" s="4" t="str">
        <f>IFERROR(__xludf.DUMMYFUNCTION("""COMPUTED_VALUE"""),"Graphics")</f>
        <v>Graphics</v>
      </c>
      <c r="H736" s="4" t="str">
        <f>IFERROR(__xludf.DUMMYFUNCTION("""COMPUTED_VALUE"""),"")</f>
        <v/>
      </c>
      <c r="I736" s="4" t="str">
        <f>IFERROR(__xludf.DUMMYFUNCTION("""COMPUTED_VALUE"""),"")</f>
        <v/>
      </c>
      <c r="J736" s="4" t="str">
        <f>IFERROR(__xludf.DUMMYFUNCTION("""COMPUTED_VALUE"""),"")</f>
        <v/>
      </c>
      <c r="K736" s="4" t="str">
        <f>IFERROR(__xludf.DUMMYFUNCTION("""COMPUTED_VALUE"""),"Collision From Home Day Intro")</f>
        <v>Collision From Home Day Intro</v>
      </c>
      <c r="L736" s="4" t="str">
        <f>IFERROR(__xludf.DUMMYFUNCTION("""COMPUTED_VALUE"""),"")</f>
        <v/>
      </c>
      <c r="M736" s="4" t="str">
        <f>IFERROR(__xludf.DUMMYFUNCTION("""COMPUTED_VALUE"""),"Collision From Home Day Intro")</f>
        <v>Collision From Home Day Intro</v>
      </c>
      <c r="N736" s="4" t="str">
        <f>IFERROR(__xludf.DUMMYFUNCTION("""COMPUTED_VALUE"""),"")</f>
        <v/>
      </c>
      <c r="O736" s="4" t="str">
        <f>IFERROR(__xludf.DUMMYFUNCTION("""COMPUTED_VALUE"""),"")</f>
        <v/>
      </c>
      <c r="P736" s="4" t="str">
        <f>IFERROR(__xludf.DUMMYFUNCTION("""COMPUTED_VALUE"""),"")</f>
        <v/>
      </c>
      <c r="Q736" s="4" t="str">
        <f>IFERROR(__xludf.DUMMYFUNCTION("""COMPUTED_VALUE"""),"")</f>
        <v/>
      </c>
      <c r="R736" s="4" t="str">
        <f>IFERROR(__xludf.DUMMYFUNCTION("""COMPUTED_VALUE"""),"")</f>
        <v/>
      </c>
      <c r="S736" s="4" t="str">
        <f>IFERROR(__xludf.DUMMYFUNCTION("""COMPUTED_VALUE"""),"")</f>
        <v/>
      </c>
      <c r="T736" s="4" t="str">
        <f>IFERROR(__xludf.DUMMYFUNCTION("""COMPUTED_VALUE"""),"")</f>
        <v/>
      </c>
      <c r="U736" s="4" t="str">
        <f>IFERROR(__xludf.DUMMYFUNCTION("""COMPUTED_VALUE"""),"")</f>
        <v/>
      </c>
      <c r="V736" s="4" t="str">
        <f>IFERROR(__xludf.DUMMYFUNCTION("""COMPUTED_VALUE"""),"")</f>
        <v/>
      </c>
      <c r="W736" s="4" t="str">
        <f>IFERROR(__xludf.DUMMYFUNCTION("""COMPUTED_VALUE"""),"")</f>
        <v/>
      </c>
      <c r="X736" s="4" t="str">
        <f>IFERROR(__xludf.DUMMYFUNCTION("""COMPUTED_VALUE"""),"")</f>
        <v/>
      </c>
      <c r="Y736" s="4" t="str">
        <f>IFERROR(__xludf.DUMMYFUNCTION("""COMPUTED_VALUE"""),"")</f>
        <v/>
      </c>
    </row>
    <row r="737">
      <c r="A737" s="4" t="str">
        <f>IFERROR(__xludf.DUMMYFUNCTION("""COMPUTED_VALUE"""),"845 - Channel")</f>
        <v>845 - Channel</v>
      </c>
      <c r="B737" s="4" t="str">
        <f>IFERROR(__xludf.DUMMYFUNCTION("""COMPUTED_VALUE"""),"Channel 3")</f>
        <v>Channel 3</v>
      </c>
      <c r="C737" s="4" t="str">
        <f>IFERROR(__xludf.DUMMYFUNCTION("""COMPUTED_VALUE"""),"Day 1 - 23/06")</f>
        <v>Day 1 - 23/06</v>
      </c>
      <c r="D737" s="6">
        <f>IFERROR(__xludf.DUMMYFUNCTION("""COMPUTED_VALUE"""),0.49028935185185196)</f>
        <v>0.4902893519</v>
      </c>
      <c r="E737" s="6">
        <f>IFERROR(__xludf.DUMMYFUNCTION("""COMPUTED_VALUE"""),0.008587962962962962)</f>
        <v>0.008587962963</v>
      </c>
      <c r="F737" s="6">
        <f>IFERROR(__xludf.DUMMYFUNCTION("""COMPUTED_VALUE"""),0.4988773148148149)</f>
        <v>0.4988773148</v>
      </c>
      <c r="G737" s="4" t="str">
        <f>IFERROR(__xludf.DUMMYFUNCTION("""COMPUTED_VALUE"""),"Kat")</f>
        <v>Kat</v>
      </c>
      <c r="H737" s="4" t="str">
        <f>IFERROR(__xludf.DUMMYFUNCTION("""COMPUTED_VALUE"""),"Eoghan")</f>
        <v>Eoghan</v>
      </c>
      <c r="I737" s="4" t="str">
        <f>IFERROR(__xludf.DUMMYFUNCTION("""COMPUTED_VALUE"""),"Lynn")</f>
        <v>Lynn</v>
      </c>
      <c r="J737" s="4" t="str">
        <f>IFERROR(__xludf.DUMMYFUNCTION("""COMPUTED_VALUE"""),"Climate")</f>
        <v>Climate</v>
      </c>
      <c r="K737" s="4" t="str">
        <f>IFERROR(__xludf.DUMMYFUNCTION("""COMPUTED_VALUE"""),"Fireside")</f>
        <v>Fireside</v>
      </c>
      <c r="L737" s="4" t="str">
        <f>IFERROR(__xludf.DUMMYFUNCTION("""COMPUTED_VALUE"""),"T- 4 - 25/05/2020")</f>
        <v>T- 4 - 25/05/2020</v>
      </c>
      <c r="M737" s="4" t="str">
        <f>IFERROR(__xludf.DUMMYFUNCTION("""COMPUTED_VALUE"""),"A smart energy grid in the lockdown era")</f>
        <v>A smart energy grid in the lockdown era</v>
      </c>
      <c r="N737" s="4" t="str">
        <f>IFERROR(__xludf.DUMMYFUNCTION("""COMPUTED_VALUE"""),"Stephen Fitzpatrick, OVO Energy")</f>
        <v>Stephen Fitzpatrick, OVO Energy</v>
      </c>
      <c r="O737" s="4" t="str">
        <f>IFERROR(__xludf.DUMMYFUNCTION("""COMPUTED_VALUE"""),"")</f>
        <v/>
      </c>
      <c r="P737" s="4" t="str">
        <f>IFERROR(__xludf.DUMMYFUNCTION("""COMPUTED_VALUE"""),"")</f>
        <v/>
      </c>
      <c r="Q737" s="4" t="str">
        <f>IFERROR(__xludf.DUMMYFUNCTION("""COMPUTED_VALUE"""),"")</f>
        <v/>
      </c>
      <c r="R737" s="4" t="str">
        <f>IFERROR(__xludf.DUMMYFUNCTION("""COMPUTED_VALUE"""),"Sarah McFarlane, The Wall Street Journal")</f>
        <v>Sarah McFarlane, The Wall Street Journal</v>
      </c>
      <c r="S737" s="4" t="str">
        <f>IFERROR(__xludf.DUMMYFUNCTION("""COMPUTED_VALUE"""),"In conversation with the Wall Street Journal's Sarah McFarlane, Stephen discusses how the energy grid is changing in the Covid-19 era and how this will impact the future of energy supply.")</f>
        <v>In conversation with the Wall Street Journal's Sarah McFarlane, Stephen discusses how the energy grid is changing in the Covid-19 era and how this will impact the future of energy supply.</v>
      </c>
      <c r="T737" s="4" t="str">
        <f>IFERROR(__xludf.DUMMYFUNCTION("""COMPUTED_VALUE"""),"NON-KEYNOTE 9 - COMPLETE")</f>
        <v>NON-KEYNOTE 9 - COMPLETE</v>
      </c>
      <c r="U737" s="23">
        <f>IFERROR(__xludf.DUMMYFUNCTION("""COMPUTED_VALUE"""),43980.0)</f>
        <v>43980</v>
      </c>
      <c r="V737" s="24">
        <f>IFERROR(__xludf.DUMMYFUNCTION("""COMPUTED_VALUE"""),0.4791666666666667)</f>
        <v>0.4791666667</v>
      </c>
      <c r="W737" s="4" t="str">
        <f>IFERROR(__xludf.DUMMYFUNCTION("""COMPUTED_VALUE"""),"COMPLETE")</f>
        <v>COMPLETE</v>
      </c>
      <c r="X737" s="4" t="str">
        <f>IFERROR(__xludf.DUMMYFUNCTION("""COMPUTED_VALUE"""),"Kat")</f>
        <v>Kat</v>
      </c>
      <c r="Y737" s="4" t="str">
        <f>IFERROR(__xludf.DUMMYFUNCTION("""COMPUTED_VALUE"""),"")</f>
        <v/>
      </c>
    </row>
    <row r="738">
      <c r="A738" s="4" t="str">
        <f>IFERROR(__xludf.DUMMYFUNCTION("""COMPUTED_VALUE"""),"828 - Channel")</f>
        <v>828 - Channel</v>
      </c>
      <c r="B738" s="4" t="str">
        <f>IFERROR(__xludf.DUMMYFUNCTION("""COMPUTED_VALUE"""),"Channel 3")</f>
        <v>Channel 3</v>
      </c>
      <c r="C738" s="4" t="str">
        <f>IFERROR(__xludf.DUMMYFUNCTION("""COMPUTED_VALUE"""),"Day 1 - 23/06")</f>
        <v>Day 1 - 23/06</v>
      </c>
      <c r="D738" s="6">
        <f>IFERROR(__xludf.DUMMYFUNCTION("""COMPUTED_VALUE"""),0.4988773148148149)</f>
        <v>0.4988773148</v>
      </c>
      <c r="E738" s="6">
        <f>IFERROR(__xludf.DUMMYFUNCTION("""COMPUTED_VALUE"""),2.0833333333333335E-4)</f>
        <v>0.0002083333333</v>
      </c>
      <c r="F738" s="6">
        <f>IFERROR(__xludf.DUMMYFUNCTION("""COMPUTED_VALUE"""),0.4990856481481482)</f>
        <v>0.4990856481</v>
      </c>
      <c r="G738" s="4" t="str">
        <f>IFERROR(__xludf.DUMMYFUNCTION("""COMPUTED_VALUE"""),"Startups")</f>
        <v>Startups</v>
      </c>
      <c r="H738" s="4" t="str">
        <f>IFERROR(__xludf.DUMMYFUNCTION("""COMPUTED_VALUE"""),"N/A")</f>
        <v>N/A</v>
      </c>
      <c r="I738" s="4" t="str">
        <f>IFERROR(__xludf.DUMMYFUNCTION("""COMPUTED_VALUE"""),"N/A")</f>
        <v>N/A</v>
      </c>
      <c r="J738" s="4" t="str">
        <f>IFERROR(__xludf.DUMMYFUNCTION("""COMPUTED_VALUE"""),"Data")</f>
        <v>Data</v>
      </c>
      <c r="K738" s="4" t="str">
        <f>IFERROR(__xludf.DUMMYFUNCTION("""COMPUTED_VALUE"""),"40 Words")</f>
        <v>40 Words</v>
      </c>
      <c r="L738" s="4" t="str">
        <f>IFERROR(__xludf.DUMMYFUNCTION("""COMPUTED_VALUE"""),"")</f>
        <v/>
      </c>
      <c r="M738" s="4" t="str">
        <f>IFERROR(__xludf.DUMMYFUNCTION("""COMPUTED_VALUE"""),"40 Words #4 _Northflank")</f>
        <v>40 Words #4 _Northflank</v>
      </c>
      <c r="N738" s="4" t="str">
        <f>IFERROR(__xludf.DUMMYFUNCTION("""COMPUTED_VALUE"""),"")</f>
        <v/>
      </c>
      <c r="O738" s="4" t="str">
        <f>IFERROR(__xludf.DUMMYFUNCTION("""COMPUTED_VALUE"""),"")</f>
        <v/>
      </c>
      <c r="P738" s="4" t="str">
        <f>IFERROR(__xludf.DUMMYFUNCTION("""COMPUTED_VALUE"""),"")</f>
        <v/>
      </c>
      <c r="Q738" s="4" t="str">
        <f>IFERROR(__xludf.DUMMYFUNCTION("""COMPUTED_VALUE"""),"")</f>
        <v/>
      </c>
      <c r="R738" s="4" t="str">
        <f>IFERROR(__xludf.DUMMYFUNCTION("""COMPUTED_VALUE"""),"")</f>
        <v/>
      </c>
      <c r="S738" s="4" t="str">
        <f>IFERROR(__xludf.DUMMYFUNCTION("""COMPUTED_VALUE"""),"")</f>
        <v/>
      </c>
      <c r="T738" s="4" t="str">
        <f>IFERROR(__xludf.DUMMYFUNCTION("""COMPUTED_VALUE"""),"")</f>
        <v/>
      </c>
      <c r="U738" s="4" t="str">
        <f>IFERROR(__xludf.DUMMYFUNCTION("""COMPUTED_VALUE"""),"")</f>
        <v/>
      </c>
      <c r="V738" s="4" t="str">
        <f>IFERROR(__xludf.DUMMYFUNCTION("""COMPUTED_VALUE"""),"")</f>
        <v/>
      </c>
      <c r="W738" s="4" t="str">
        <f>IFERROR(__xludf.DUMMYFUNCTION("""COMPUTED_VALUE"""),"")</f>
        <v/>
      </c>
      <c r="X738" s="4" t="str">
        <f>IFERROR(__xludf.DUMMYFUNCTION("""COMPUTED_VALUE"""),"")</f>
        <v/>
      </c>
      <c r="Y738" s="4" t="str">
        <f>IFERROR(__xludf.DUMMYFUNCTION("""COMPUTED_VALUE"""),"")</f>
        <v/>
      </c>
    </row>
    <row r="739">
      <c r="A739" s="4" t="str">
        <f>IFERROR(__xludf.DUMMYFUNCTION("""COMPUTED_VALUE"""),"1342 - Channel")</f>
        <v>1342 - Channel</v>
      </c>
      <c r="B739" s="4" t="str">
        <f>IFERROR(__xludf.DUMMYFUNCTION("""COMPUTED_VALUE"""),"Channel 3")</f>
        <v>Channel 3</v>
      </c>
      <c r="C739" s="4" t="str">
        <f>IFERROR(__xludf.DUMMYFUNCTION("""COMPUTED_VALUE"""),"Day 1 - 23/06")</f>
        <v>Day 1 - 23/06</v>
      </c>
      <c r="D739" s="4" t="str">
        <f>IFERROR(__xludf.DUMMYFUNCTION("""COMPUTED_VALUE"""),"")</f>
        <v/>
      </c>
      <c r="E739" s="4" t="str">
        <f>IFERROR(__xludf.DUMMYFUNCTION("""COMPUTED_VALUE"""),"")</f>
        <v/>
      </c>
      <c r="F739" s="4" t="str">
        <f>IFERROR(__xludf.DUMMYFUNCTION("""COMPUTED_VALUE"""),"")</f>
        <v/>
      </c>
      <c r="G739" s="4" t="str">
        <f>IFERROR(__xludf.DUMMYFUNCTION("""COMPUTED_VALUE"""),"")</f>
        <v/>
      </c>
      <c r="H739" s="4" t="str">
        <f>IFERROR(__xludf.DUMMYFUNCTION("""COMPUTED_VALUE"""),"")</f>
        <v/>
      </c>
      <c r="I739" s="4" t="str">
        <f>IFERROR(__xludf.DUMMYFUNCTION("""COMPUTED_VALUE"""),"")</f>
        <v/>
      </c>
      <c r="J739" s="4" t="str">
        <f>IFERROR(__xludf.DUMMYFUNCTION("""COMPUTED_VALUE"""),"")</f>
        <v/>
      </c>
      <c r="K739" s="4" t="str">
        <f>IFERROR(__xludf.DUMMYFUNCTION("""COMPUTED_VALUE"""),"")</f>
        <v/>
      </c>
      <c r="L739" s="4" t="str">
        <f>IFERROR(__xludf.DUMMYFUNCTION("""COMPUTED_VALUE"""),"")</f>
        <v/>
      </c>
      <c r="M739" s="4" t="str">
        <f>IFERROR(__xludf.DUMMYFUNCTION("""COMPUTED_VALUE"""),"")</f>
        <v/>
      </c>
      <c r="N739" s="4" t="str">
        <f>IFERROR(__xludf.DUMMYFUNCTION("""COMPUTED_VALUE"""),"")</f>
        <v/>
      </c>
      <c r="O739" s="4" t="str">
        <f>IFERROR(__xludf.DUMMYFUNCTION("""COMPUTED_VALUE"""),"")</f>
        <v/>
      </c>
      <c r="P739" s="4" t="str">
        <f>IFERROR(__xludf.DUMMYFUNCTION("""COMPUTED_VALUE"""),"")</f>
        <v/>
      </c>
      <c r="Q739" s="4" t="str">
        <f>IFERROR(__xludf.DUMMYFUNCTION("""COMPUTED_VALUE"""),"")</f>
        <v/>
      </c>
      <c r="R739" s="4" t="str">
        <f>IFERROR(__xludf.DUMMYFUNCTION("""COMPUTED_VALUE"""),"")</f>
        <v/>
      </c>
      <c r="S739" s="4" t="str">
        <f>IFERROR(__xludf.DUMMYFUNCTION("""COMPUTED_VALUE"""),"")</f>
        <v/>
      </c>
      <c r="T739" s="4" t="str">
        <f>IFERROR(__xludf.DUMMYFUNCTION("""COMPUTED_VALUE"""),"")</f>
        <v/>
      </c>
      <c r="U739" s="4" t="str">
        <f>IFERROR(__xludf.DUMMYFUNCTION("""COMPUTED_VALUE"""),"")</f>
        <v/>
      </c>
      <c r="V739" s="4" t="str">
        <f>IFERROR(__xludf.DUMMYFUNCTION("""COMPUTED_VALUE"""),"")</f>
        <v/>
      </c>
      <c r="W739" s="4" t="str">
        <f>IFERROR(__xludf.DUMMYFUNCTION("""COMPUTED_VALUE"""),"")</f>
        <v/>
      </c>
      <c r="X739" s="4" t="str">
        <f>IFERROR(__xludf.DUMMYFUNCTION("""COMPUTED_VALUE"""),"")</f>
        <v/>
      </c>
      <c r="Y739" s="4" t="str">
        <f>IFERROR(__xludf.DUMMYFUNCTION("""COMPUTED_VALUE"""),"")</f>
        <v/>
      </c>
    </row>
    <row r="740">
      <c r="A740" s="4" t="str">
        <f>IFERROR(__xludf.DUMMYFUNCTION("""COMPUTED_VALUE"""),"811 - Channel")</f>
        <v>811 - Channel</v>
      </c>
      <c r="B740" s="4" t="str">
        <f>IFERROR(__xludf.DUMMYFUNCTION("""COMPUTED_VALUE"""),"Channel 3")</f>
        <v>Channel 3</v>
      </c>
      <c r="C740" s="4" t="str">
        <f>IFERROR(__xludf.DUMMYFUNCTION("""COMPUTED_VALUE"""),"Day 1 - 23/06")</f>
        <v>Day 1 - 23/06</v>
      </c>
      <c r="D740" s="6">
        <f>IFERROR(__xludf.DUMMYFUNCTION("""COMPUTED_VALUE"""),0.5)</f>
        <v>0.5</v>
      </c>
      <c r="E740" s="6">
        <f>IFERROR(__xludf.DUMMYFUNCTION("""COMPUTED_VALUE"""),3.4722222222222224E-4)</f>
        <v>0.0003472222222</v>
      </c>
      <c r="F740" s="6">
        <f>IFERROR(__xludf.DUMMYFUNCTION("""COMPUTED_VALUE"""),0.5003472222222223)</f>
        <v>0.5003472222</v>
      </c>
      <c r="G740" s="4" t="str">
        <f>IFERROR(__xludf.DUMMYFUNCTION("""COMPUTED_VALUE"""),"Graphics")</f>
        <v>Graphics</v>
      </c>
      <c r="H740" s="4" t="str">
        <f>IFERROR(__xludf.DUMMYFUNCTION("""COMPUTED_VALUE"""),"N/A")</f>
        <v>N/A</v>
      </c>
      <c r="I740" s="4" t="str">
        <f>IFERROR(__xludf.DUMMYFUNCTION("""COMPUTED_VALUE"""),"N/A")</f>
        <v>N/A</v>
      </c>
      <c r="J740" s="4" t="str">
        <f>IFERROR(__xludf.DUMMYFUNCTION("""COMPUTED_VALUE"""),"Design")</f>
        <v>Design</v>
      </c>
      <c r="K740" s="4" t="str">
        <f>IFERROR(__xludf.DUMMYFUNCTION("""COMPUTED_VALUE"""),"Talk Intro")</f>
        <v>Talk Intro</v>
      </c>
      <c r="L740" s="4" t="str">
        <f>IFERROR(__xludf.DUMMYFUNCTION("""COMPUTED_VALUE"""),"")</f>
        <v/>
      </c>
      <c r="M740" s="4" t="str">
        <f>IFERROR(__xludf.DUMMYFUNCTION("""COMPUTED_VALUE"""),"Talk Intro")</f>
        <v>Talk Intro</v>
      </c>
      <c r="N740" s="4" t="str">
        <f>IFERROR(__xludf.DUMMYFUNCTION("""COMPUTED_VALUE"""),"")</f>
        <v/>
      </c>
      <c r="O740" s="4" t="str">
        <f>IFERROR(__xludf.DUMMYFUNCTION("""COMPUTED_VALUE"""),"")</f>
        <v/>
      </c>
      <c r="P740" s="4" t="str">
        <f>IFERROR(__xludf.DUMMYFUNCTION("""COMPUTED_VALUE"""),"")</f>
        <v/>
      </c>
      <c r="Q740" s="4" t="str">
        <f>IFERROR(__xludf.DUMMYFUNCTION("""COMPUTED_VALUE"""),"")</f>
        <v/>
      </c>
      <c r="R740" s="4" t="str">
        <f>IFERROR(__xludf.DUMMYFUNCTION("""COMPUTED_VALUE"""),"")</f>
        <v/>
      </c>
      <c r="S740" s="4" t="str">
        <f>IFERROR(__xludf.DUMMYFUNCTION("""COMPUTED_VALUE"""),"")</f>
        <v/>
      </c>
      <c r="T740" s="4" t="str">
        <f>IFERROR(__xludf.DUMMYFUNCTION("""COMPUTED_VALUE"""),"")</f>
        <v/>
      </c>
      <c r="U740" s="4" t="str">
        <f>IFERROR(__xludf.DUMMYFUNCTION("""COMPUTED_VALUE"""),"")</f>
        <v/>
      </c>
      <c r="V740" s="4" t="str">
        <f>IFERROR(__xludf.DUMMYFUNCTION("""COMPUTED_VALUE"""),"")</f>
        <v/>
      </c>
      <c r="W740" s="4" t="str">
        <f>IFERROR(__xludf.DUMMYFUNCTION("""COMPUTED_VALUE"""),"")</f>
        <v/>
      </c>
      <c r="X740" s="4" t="str">
        <f>IFERROR(__xludf.DUMMYFUNCTION("""COMPUTED_VALUE"""),"")</f>
        <v/>
      </c>
      <c r="Y740" s="4" t="str">
        <f>IFERROR(__xludf.DUMMYFUNCTION("""COMPUTED_VALUE"""),"")</f>
        <v/>
      </c>
    </row>
    <row r="741">
      <c r="A741" s="4" t="str">
        <f>IFERROR(__xludf.DUMMYFUNCTION("""COMPUTED_VALUE"""),"812 - Channel")</f>
        <v>812 - Channel</v>
      </c>
      <c r="B741" s="4" t="str">
        <f>IFERROR(__xludf.DUMMYFUNCTION("""COMPUTED_VALUE"""),"Channel 3")</f>
        <v>Channel 3</v>
      </c>
      <c r="C741" s="4" t="str">
        <f>IFERROR(__xludf.DUMMYFUNCTION("""COMPUTED_VALUE"""),"Day 1 - 23/06")</f>
        <v>Day 1 - 23/06</v>
      </c>
      <c r="D741" s="6">
        <f>IFERROR(__xludf.DUMMYFUNCTION("""COMPUTED_VALUE"""),0.5003472222222223)</f>
        <v>0.5003472222</v>
      </c>
      <c r="E741" s="6">
        <f>IFERROR(__xludf.DUMMYFUNCTION("""COMPUTED_VALUE"""),0.006944444444444444)</f>
        <v>0.006944444444</v>
      </c>
      <c r="F741" s="6">
        <f>IFERROR(__xludf.DUMMYFUNCTION("""COMPUTED_VALUE"""),0.5072916666666667)</f>
        <v>0.5072916667</v>
      </c>
      <c r="G741" s="4" t="str">
        <f>IFERROR(__xludf.DUMMYFUNCTION("""COMPUTED_VALUE"""),"Lucia G.")</f>
        <v>Lucia G.</v>
      </c>
      <c r="H741" s="4" t="str">
        <f>IFERROR(__xludf.DUMMYFUNCTION("""COMPUTED_VALUE"""),"Shauna")</f>
        <v>Shauna</v>
      </c>
      <c r="I741" s="4" t="str">
        <f>IFERROR(__xludf.DUMMYFUNCTION("""COMPUTED_VALUE"""),"Jack")</f>
        <v>Jack</v>
      </c>
      <c r="J741" s="4" t="str">
        <f>IFERROR(__xludf.DUMMYFUNCTION("""COMPUTED_VALUE"""),"Design")</f>
        <v>Design</v>
      </c>
      <c r="K741" s="4" t="str">
        <f>IFERROR(__xludf.DUMMYFUNCTION("""COMPUTED_VALUE"""),"Fireside")</f>
        <v>Fireside</v>
      </c>
      <c r="L741" s="4" t="str">
        <f>IFERROR(__xludf.DUMMYFUNCTION("""COMPUTED_VALUE"""),"T- 6 - 11/05/2020")</f>
        <v>T- 6 - 11/05/2020</v>
      </c>
      <c r="M741" s="4" t="str">
        <f>IFERROR(__xludf.DUMMYFUNCTION("""COMPUTED_VALUE"""),"An abnormal beauty industry")</f>
        <v>An abnormal beauty industry</v>
      </c>
      <c r="N741" s="4" t="str">
        <f>IFERROR(__xludf.DUMMYFUNCTION("""COMPUTED_VALUE"""),"Nicola Kilner, DECIEM")</f>
        <v>Nicola Kilner, DECIEM</v>
      </c>
      <c r="O741" s="4" t="str">
        <f>IFERROR(__xludf.DUMMYFUNCTION("""COMPUTED_VALUE"""),"")</f>
        <v/>
      </c>
      <c r="P741" s="4" t="str">
        <f>IFERROR(__xludf.DUMMYFUNCTION("""COMPUTED_VALUE"""),"")</f>
        <v/>
      </c>
      <c r="Q741" s="4" t="str">
        <f>IFERROR(__xludf.DUMMYFUNCTION("""COMPUTED_VALUE"""),"")</f>
        <v/>
      </c>
      <c r="R741" s="4" t="str">
        <f>IFERROR(__xludf.DUMMYFUNCTION("""COMPUTED_VALUE"""),"Martina Fuchs, CGTN")</f>
        <v>Martina Fuchs, CGTN</v>
      </c>
      <c r="S741" s="4" t="str">
        <f>IFERROR(__xludf.DUMMYFUNCTION("""COMPUTED_VALUE"""),"Meet Nicola Kilner, CEO of a game-changing beauty company whose brand strategy has been anything but 'ordinary'. Join her as she discusses the evolving fate of one of the most valuable online industries in the world.")</f>
        <v>Meet Nicola Kilner, CEO of a game-changing beauty company whose brand strategy has been anything but 'ordinary'. Join her as she discusses the evolving fate of one of the most valuable online industries in the world.</v>
      </c>
      <c r="T741" s="4" t="str">
        <f>IFERROR(__xludf.DUMMYFUNCTION("""COMPUTED_VALUE"""),"NON-KEYNOTE 9 - COMPLETE")</f>
        <v>NON-KEYNOTE 9 - COMPLETE</v>
      </c>
      <c r="U741" s="23">
        <f>IFERROR(__xludf.DUMMYFUNCTION("""COMPUTED_VALUE"""),43985.0)</f>
        <v>43985</v>
      </c>
      <c r="V741" s="24">
        <f>IFERROR(__xludf.DUMMYFUNCTION("""COMPUTED_VALUE"""),0.625)</f>
        <v>0.625</v>
      </c>
      <c r="W741" s="4" t="str">
        <f>IFERROR(__xludf.DUMMYFUNCTION("""COMPUTED_VALUE"""),"")</f>
        <v/>
      </c>
      <c r="X741" s="4" t="str">
        <f>IFERROR(__xludf.DUMMYFUNCTION("""COMPUTED_VALUE"""),"Lucia G.")</f>
        <v>Lucia G.</v>
      </c>
      <c r="Y741" s="4" t="str">
        <f>IFERROR(__xludf.DUMMYFUNCTION("""COMPUTED_VALUE"""),"")</f>
        <v/>
      </c>
    </row>
    <row r="742">
      <c r="A742" s="4" t="str">
        <f>IFERROR(__xludf.DUMMYFUNCTION("""COMPUTED_VALUE"""),"1724 - Channel")</f>
        <v>1724 - Channel</v>
      </c>
      <c r="B742" s="4" t="str">
        <f>IFERROR(__xludf.DUMMYFUNCTION("""COMPUTED_VALUE"""),"Channel 3")</f>
        <v>Channel 3</v>
      </c>
      <c r="C742" s="4" t="str">
        <f>IFERROR(__xludf.DUMMYFUNCTION("""COMPUTED_VALUE"""),"Day 1 - 23/06")</f>
        <v>Day 1 - 23/06</v>
      </c>
      <c r="D742" s="6">
        <f>IFERROR(__xludf.DUMMYFUNCTION("""COMPUTED_VALUE"""),0.5072916666666667)</f>
        <v>0.5072916667</v>
      </c>
      <c r="E742" s="6">
        <f>IFERROR(__xludf.DUMMYFUNCTION("""COMPUTED_VALUE"""),5.208333333333333E-4)</f>
        <v>0.0005208333333</v>
      </c>
      <c r="F742" s="6">
        <f>IFERROR(__xludf.DUMMYFUNCTION("""COMPUTED_VALUE"""),0.5078125)</f>
        <v>0.5078125</v>
      </c>
      <c r="G742" s="4" t="str">
        <f>IFERROR(__xludf.DUMMYFUNCTION("""COMPUTED_VALUE"""),"Graphics")</f>
        <v>Graphics</v>
      </c>
      <c r="H742" s="4" t="str">
        <f>IFERROR(__xludf.DUMMYFUNCTION("""COMPUTED_VALUE"""),"")</f>
        <v/>
      </c>
      <c r="I742" s="4" t="str">
        <f>IFERROR(__xludf.DUMMYFUNCTION("""COMPUTED_VALUE"""),"")</f>
        <v/>
      </c>
      <c r="J742" s="4" t="str">
        <f>IFERROR(__xludf.DUMMYFUNCTION("""COMPUTED_VALUE"""),"")</f>
        <v/>
      </c>
      <c r="K742" s="4" t="str">
        <f>IFERROR(__xludf.DUMMYFUNCTION("""COMPUTED_VALUE"""),"Web Summit Trailer - full")</f>
        <v>Web Summit Trailer - full</v>
      </c>
      <c r="L742" s="4" t="str">
        <f>IFERROR(__xludf.DUMMYFUNCTION("""COMPUTED_VALUE"""),"")</f>
        <v/>
      </c>
      <c r="M742" s="4" t="str">
        <f>IFERROR(__xludf.DUMMYFUNCTION("""COMPUTED_VALUE"""),"Web Summit Trailer - full")</f>
        <v>Web Summit Trailer - full</v>
      </c>
      <c r="N742" s="4" t="str">
        <f>IFERROR(__xludf.DUMMYFUNCTION("""COMPUTED_VALUE"""),"")</f>
        <v/>
      </c>
      <c r="O742" s="4" t="str">
        <f>IFERROR(__xludf.DUMMYFUNCTION("""COMPUTED_VALUE"""),"")</f>
        <v/>
      </c>
      <c r="P742" s="4" t="str">
        <f>IFERROR(__xludf.DUMMYFUNCTION("""COMPUTED_VALUE"""),"")</f>
        <v/>
      </c>
      <c r="Q742" s="4" t="str">
        <f>IFERROR(__xludf.DUMMYFUNCTION("""COMPUTED_VALUE"""),"")</f>
        <v/>
      </c>
      <c r="R742" s="4" t="str">
        <f>IFERROR(__xludf.DUMMYFUNCTION("""COMPUTED_VALUE"""),"")</f>
        <v/>
      </c>
      <c r="S742" s="4" t="str">
        <f>IFERROR(__xludf.DUMMYFUNCTION("""COMPUTED_VALUE"""),"")</f>
        <v/>
      </c>
      <c r="T742" s="4" t="str">
        <f>IFERROR(__xludf.DUMMYFUNCTION("""COMPUTED_VALUE"""),"")</f>
        <v/>
      </c>
      <c r="U742" s="4" t="str">
        <f>IFERROR(__xludf.DUMMYFUNCTION("""COMPUTED_VALUE"""),"")</f>
        <v/>
      </c>
      <c r="V742" s="4" t="str">
        <f>IFERROR(__xludf.DUMMYFUNCTION("""COMPUTED_VALUE"""),"")</f>
        <v/>
      </c>
      <c r="W742" s="4" t="str">
        <f>IFERROR(__xludf.DUMMYFUNCTION("""COMPUTED_VALUE"""),"")</f>
        <v/>
      </c>
      <c r="X742" s="4" t="str">
        <f>IFERROR(__xludf.DUMMYFUNCTION("""COMPUTED_VALUE"""),"")</f>
        <v/>
      </c>
      <c r="Y742" s="4" t="str">
        <f>IFERROR(__xludf.DUMMYFUNCTION("""COMPUTED_VALUE"""),"")</f>
        <v/>
      </c>
    </row>
    <row r="743">
      <c r="A743" s="4" t="str">
        <f>IFERROR(__xludf.DUMMYFUNCTION("""COMPUTED_VALUE"""),"665 - Channel")</f>
        <v>665 - Channel</v>
      </c>
      <c r="B743" s="4" t="str">
        <f>IFERROR(__xludf.DUMMYFUNCTION("""COMPUTED_VALUE"""),"Channel 3")</f>
        <v>Channel 3</v>
      </c>
      <c r="C743" s="4" t="str">
        <f>IFERROR(__xludf.DUMMYFUNCTION("""COMPUTED_VALUE"""),"Day 1 - 23/06")</f>
        <v>Day 1 - 23/06</v>
      </c>
      <c r="D743" s="6">
        <f>IFERROR(__xludf.DUMMYFUNCTION("""COMPUTED_VALUE"""),0.5078125)</f>
        <v>0.5078125</v>
      </c>
      <c r="E743" s="6">
        <f>IFERROR(__xludf.DUMMYFUNCTION("""COMPUTED_VALUE"""),3.4722222222222224E-4)</f>
        <v>0.0003472222222</v>
      </c>
      <c r="F743" s="6">
        <f>IFERROR(__xludf.DUMMYFUNCTION("""COMPUTED_VALUE"""),0.5081597222222223)</f>
        <v>0.5081597222</v>
      </c>
      <c r="G743" s="4" t="str">
        <f>IFERROR(__xludf.DUMMYFUNCTION("""COMPUTED_VALUE"""),"Graphics")</f>
        <v>Graphics</v>
      </c>
      <c r="H743" s="4" t="str">
        <f>IFERROR(__xludf.DUMMYFUNCTION("""COMPUTED_VALUE"""),"")</f>
        <v/>
      </c>
      <c r="I743" s="4" t="str">
        <f>IFERROR(__xludf.DUMMYFUNCTION("""COMPUTED_VALUE"""),"")</f>
        <v/>
      </c>
      <c r="J743" s="4" t="str">
        <f>IFERROR(__xludf.DUMMYFUNCTION("""COMPUTED_VALUE"""),"AI")</f>
        <v>AI</v>
      </c>
      <c r="K743" s="4" t="str">
        <f>IFERROR(__xludf.DUMMYFUNCTION("""COMPUTED_VALUE"""),"Talk Intro")</f>
        <v>Talk Intro</v>
      </c>
      <c r="L743" s="4" t="str">
        <f>IFERROR(__xludf.DUMMYFUNCTION("""COMPUTED_VALUE"""),"")</f>
        <v/>
      </c>
      <c r="M743" s="4" t="str">
        <f>IFERROR(__xludf.DUMMYFUNCTION("""COMPUTED_VALUE"""),"Talk Intro")</f>
        <v>Talk Intro</v>
      </c>
      <c r="N743" s="4" t="str">
        <f>IFERROR(__xludf.DUMMYFUNCTION("""COMPUTED_VALUE"""),"")</f>
        <v/>
      </c>
      <c r="O743" s="4" t="str">
        <f>IFERROR(__xludf.DUMMYFUNCTION("""COMPUTED_VALUE"""),"")</f>
        <v/>
      </c>
      <c r="P743" s="4" t="str">
        <f>IFERROR(__xludf.DUMMYFUNCTION("""COMPUTED_VALUE"""),"")</f>
        <v/>
      </c>
      <c r="Q743" s="4" t="str">
        <f>IFERROR(__xludf.DUMMYFUNCTION("""COMPUTED_VALUE"""),"")</f>
        <v/>
      </c>
      <c r="R743" s="4" t="str">
        <f>IFERROR(__xludf.DUMMYFUNCTION("""COMPUTED_VALUE"""),"")</f>
        <v/>
      </c>
      <c r="S743" s="4" t="str">
        <f>IFERROR(__xludf.DUMMYFUNCTION("""COMPUTED_VALUE"""),"")</f>
        <v/>
      </c>
      <c r="T743" s="4" t="str">
        <f>IFERROR(__xludf.DUMMYFUNCTION("""COMPUTED_VALUE"""),"")</f>
        <v/>
      </c>
      <c r="U743" s="4" t="str">
        <f>IFERROR(__xludf.DUMMYFUNCTION("""COMPUTED_VALUE"""),"")</f>
        <v/>
      </c>
      <c r="V743" s="4" t="str">
        <f>IFERROR(__xludf.DUMMYFUNCTION("""COMPUTED_VALUE"""),"")</f>
        <v/>
      </c>
      <c r="W743" s="4" t="str">
        <f>IFERROR(__xludf.DUMMYFUNCTION("""COMPUTED_VALUE"""),"")</f>
        <v/>
      </c>
      <c r="X743" s="4" t="str">
        <f>IFERROR(__xludf.DUMMYFUNCTION("""COMPUTED_VALUE"""),"")</f>
        <v/>
      </c>
      <c r="Y743" s="4" t="str">
        <f>IFERROR(__xludf.DUMMYFUNCTION("""COMPUTED_VALUE"""),"")</f>
        <v/>
      </c>
    </row>
    <row r="744">
      <c r="A744" s="4" t="str">
        <f>IFERROR(__xludf.DUMMYFUNCTION("""COMPUTED_VALUE"""),"666 - Channel")</f>
        <v>666 - Channel</v>
      </c>
      <c r="B744" s="4" t="str">
        <f>IFERROR(__xludf.DUMMYFUNCTION("""COMPUTED_VALUE"""),"Channel 3")</f>
        <v>Channel 3</v>
      </c>
      <c r="C744" s="4" t="str">
        <f>IFERROR(__xludf.DUMMYFUNCTION("""COMPUTED_VALUE"""),"Day 1 - 23/06")</f>
        <v>Day 1 - 23/06</v>
      </c>
      <c r="D744" s="6">
        <f>IFERROR(__xludf.DUMMYFUNCTION("""COMPUTED_VALUE"""),0.5081597222222223)</f>
        <v>0.5081597222</v>
      </c>
      <c r="E744" s="6">
        <f>IFERROR(__xludf.DUMMYFUNCTION("""COMPUTED_VALUE"""),0.006805555555555555)</f>
        <v>0.006805555556</v>
      </c>
      <c r="F744" s="6">
        <f>IFERROR(__xludf.DUMMYFUNCTION("""COMPUTED_VALUE"""),0.5149652777777778)</f>
        <v>0.5149652778</v>
      </c>
      <c r="G744" s="4" t="str">
        <f>IFERROR(__xludf.DUMMYFUNCTION("""COMPUTED_VALUE"""),"Lucia G.")</f>
        <v>Lucia G.</v>
      </c>
      <c r="H744" s="4" t="str">
        <f>IFERROR(__xludf.DUMMYFUNCTION("""COMPUTED_VALUE"""),"Shauna")</f>
        <v>Shauna</v>
      </c>
      <c r="I744" s="4" t="str">
        <f>IFERROR(__xludf.DUMMYFUNCTION("""COMPUTED_VALUE"""),"Jack")</f>
        <v>Jack</v>
      </c>
      <c r="J744" s="4" t="str">
        <f>IFERROR(__xludf.DUMMYFUNCTION("""COMPUTED_VALUE"""),"AI")</f>
        <v>AI</v>
      </c>
      <c r="K744" s="4" t="str">
        <f>IFERROR(__xludf.DUMMYFUNCTION("""COMPUTED_VALUE"""),"Super Fireside")</f>
        <v>Super Fireside</v>
      </c>
      <c r="L744" s="4" t="str">
        <f>IFERROR(__xludf.DUMMYFUNCTION("""COMPUTED_VALUE"""),"T- 3 - 01/06/2020")</f>
        <v>T- 3 - 01/06/2020</v>
      </c>
      <c r="M744" s="4" t="str">
        <f>IFERROR(__xludf.DUMMYFUNCTION("""COMPUTED_VALUE"""),"AI and the death of empathy in design")</f>
        <v>AI and the death of empathy in design</v>
      </c>
      <c r="N744" s="4" t="str">
        <f>IFERROR(__xludf.DUMMYFUNCTION("""COMPUTED_VALUE"""),"Lizzy Sonenfeld, Two things")</f>
        <v>Lizzy Sonenfeld, Two things</v>
      </c>
      <c r="O744" s="4" t="str">
        <f>IFERROR(__xludf.DUMMYFUNCTION("""COMPUTED_VALUE"""),"Pamela Pavliscak, Change Sciences")</f>
        <v>Pamela Pavliscak, Change Sciences</v>
      </c>
      <c r="P744" s="4" t="str">
        <f>IFERROR(__xludf.DUMMYFUNCTION("""COMPUTED_VALUE"""),"")</f>
        <v/>
      </c>
      <c r="Q744" s="4" t="str">
        <f>IFERROR(__xludf.DUMMYFUNCTION("""COMPUTED_VALUE"""),"")</f>
        <v/>
      </c>
      <c r="R744" s="4" t="str">
        <f>IFERROR(__xludf.DUMMYFUNCTION("""COMPUTED_VALUE"""),"Margaret Molloy, Siegel+Gale")</f>
        <v>Margaret Molloy, Siegel+Gale</v>
      </c>
      <c r="S744" s="4" t="str">
        <f>IFERROR(__xludf.DUMMYFUNCTION("""COMPUTED_VALUE"""),"How can we use data and empathy to create a user experience that demonstrates understanding, as well as value for our customers? Our speakers discuss the latest developments in empathetic design.")</f>
        <v>How can we use data and empathy to create a user experience that demonstrates understanding, as well as value for our customers? Our speakers discuss the latest developments in empathetic design.</v>
      </c>
      <c r="T744" s="4" t="str">
        <f>IFERROR(__xludf.DUMMYFUNCTION("""COMPUTED_VALUE"""),"NON-KEYNOTE 9 - COMPLETE")</f>
        <v>NON-KEYNOTE 9 - COMPLETE</v>
      </c>
      <c r="U744" s="23">
        <f>IFERROR(__xludf.DUMMYFUNCTION("""COMPUTED_VALUE"""),43963.0)</f>
        <v>43963</v>
      </c>
      <c r="V744" s="24">
        <f>IFERROR(__xludf.DUMMYFUNCTION("""COMPUTED_VALUE"""),0.7083333333333334)</f>
        <v>0.7083333333</v>
      </c>
      <c r="W744" s="4" t="str">
        <f>IFERROR(__xludf.DUMMYFUNCTION("""COMPUTED_VALUE"""),"COMPLETE")</f>
        <v>COMPLETE</v>
      </c>
      <c r="X744" s="4" t="str">
        <f>IFERROR(__xludf.DUMMYFUNCTION("""COMPUTED_VALUE"""),"Lucia G.")</f>
        <v>Lucia G.</v>
      </c>
      <c r="Y744" s="4" t="str">
        <f>IFERROR(__xludf.DUMMYFUNCTION("""COMPUTED_VALUE"""),"")</f>
        <v/>
      </c>
    </row>
    <row r="745">
      <c r="A745" s="4" t="str">
        <f>IFERROR(__xludf.DUMMYFUNCTION("""COMPUTED_VALUE"""),"818 - Channel")</f>
        <v>818 - Channel</v>
      </c>
      <c r="B745" s="4" t="str">
        <f>IFERROR(__xludf.DUMMYFUNCTION("""COMPUTED_VALUE"""),"Channel 3")</f>
        <v>Channel 3</v>
      </c>
      <c r="C745" s="4" t="str">
        <f>IFERROR(__xludf.DUMMYFUNCTION("""COMPUTED_VALUE"""),"Day 1 - 23/06")</f>
        <v>Day 1 - 23/06</v>
      </c>
      <c r="D745" s="6">
        <f>IFERROR(__xludf.DUMMYFUNCTION("""COMPUTED_VALUE"""),0.5149652777777778)</f>
        <v>0.5149652778</v>
      </c>
      <c r="E745" s="53">
        <f>IFERROR(__xludf.DUMMYFUNCTION("""COMPUTED_VALUE"""),2.314814814814815E-4)</f>
        <v>0.0002314814815</v>
      </c>
      <c r="F745" s="6">
        <f>IFERROR(__xludf.DUMMYFUNCTION("""COMPUTED_VALUE"""),0.5151967592592592)</f>
        <v>0.5151967593</v>
      </c>
      <c r="G745" s="4" t="str">
        <f>IFERROR(__xludf.DUMMYFUNCTION("""COMPUTED_VALUE"""),"Graphics")</f>
        <v>Graphics</v>
      </c>
      <c r="H745" s="4" t="str">
        <f>IFERROR(__xludf.DUMMYFUNCTION("""COMPUTED_VALUE"""),"N/A")</f>
        <v>N/A</v>
      </c>
      <c r="I745" s="4" t="str">
        <f>IFERROR(__xludf.DUMMYFUNCTION("""COMPUTED_VALUE"""),"N/A")</f>
        <v>N/A</v>
      </c>
      <c r="J745" s="4" t="str">
        <f>IFERROR(__xludf.DUMMYFUNCTION("""COMPUTED_VALUE"""),"Design")</f>
        <v>Design</v>
      </c>
      <c r="K745" s="4" t="str">
        <f>IFERROR(__xludf.DUMMYFUNCTION("""COMPUTED_VALUE"""),"Talk Intro")</f>
        <v>Talk Intro</v>
      </c>
      <c r="L745" s="4" t="str">
        <f>IFERROR(__xludf.DUMMYFUNCTION("""COMPUTED_VALUE"""),"")</f>
        <v/>
      </c>
      <c r="M745" s="4" t="str">
        <f>IFERROR(__xludf.DUMMYFUNCTION("""COMPUTED_VALUE"""),"Talk Intro")</f>
        <v>Talk Intro</v>
      </c>
      <c r="N745" s="4" t="str">
        <f>IFERROR(__xludf.DUMMYFUNCTION("""COMPUTED_VALUE"""),"")</f>
        <v/>
      </c>
      <c r="O745" s="4" t="str">
        <f>IFERROR(__xludf.DUMMYFUNCTION("""COMPUTED_VALUE"""),"")</f>
        <v/>
      </c>
      <c r="P745" s="4" t="str">
        <f>IFERROR(__xludf.DUMMYFUNCTION("""COMPUTED_VALUE"""),"")</f>
        <v/>
      </c>
      <c r="Q745" s="4" t="str">
        <f>IFERROR(__xludf.DUMMYFUNCTION("""COMPUTED_VALUE"""),"")</f>
        <v/>
      </c>
      <c r="R745" s="4" t="str">
        <f>IFERROR(__xludf.DUMMYFUNCTION("""COMPUTED_VALUE"""),"")</f>
        <v/>
      </c>
      <c r="S745" s="4" t="str">
        <f>IFERROR(__xludf.DUMMYFUNCTION("""COMPUTED_VALUE"""),"")</f>
        <v/>
      </c>
      <c r="T745" s="4" t="str">
        <f>IFERROR(__xludf.DUMMYFUNCTION("""COMPUTED_VALUE"""),"")</f>
        <v/>
      </c>
      <c r="U745" s="4" t="str">
        <f>IFERROR(__xludf.DUMMYFUNCTION("""COMPUTED_VALUE"""),"")</f>
        <v/>
      </c>
      <c r="V745" s="4" t="str">
        <f>IFERROR(__xludf.DUMMYFUNCTION("""COMPUTED_VALUE"""),"")</f>
        <v/>
      </c>
      <c r="W745" s="4" t="str">
        <f>IFERROR(__xludf.DUMMYFUNCTION("""COMPUTED_VALUE"""),"")</f>
        <v/>
      </c>
      <c r="X745" s="4" t="str">
        <f>IFERROR(__xludf.DUMMYFUNCTION("""COMPUTED_VALUE"""),"")</f>
        <v/>
      </c>
      <c r="Y745" s="4" t="str">
        <f>IFERROR(__xludf.DUMMYFUNCTION("""COMPUTED_VALUE"""),"")</f>
        <v/>
      </c>
    </row>
    <row r="746">
      <c r="A746" s="4" t="str">
        <f>IFERROR(__xludf.DUMMYFUNCTION("""COMPUTED_VALUE"""),"819 - Channel")</f>
        <v>819 - Channel</v>
      </c>
      <c r="B746" s="4" t="str">
        <f>IFERROR(__xludf.DUMMYFUNCTION("""COMPUTED_VALUE"""),"Channel 3")</f>
        <v>Channel 3</v>
      </c>
      <c r="C746" s="4" t="str">
        <f>IFERROR(__xludf.DUMMYFUNCTION("""COMPUTED_VALUE"""),"Day 1 - 23/06")</f>
        <v>Day 1 - 23/06</v>
      </c>
      <c r="D746" s="6">
        <f>IFERROR(__xludf.DUMMYFUNCTION("""COMPUTED_VALUE"""),0.5151967592592592)</f>
        <v>0.5151967593</v>
      </c>
      <c r="E746" s="6">
        <f>IFERROR(__xludf.DUMMYFUNCTION("""COMPUTED_VALUE"""),0.0070023148148148145)</f>
        <v>0.007002314815</v>
      </c>
      <c r="F746" s="6">
        <f>IFERROR(__xludf.DUMMYFUNCTION("""COMPUTED_VALUE"""),0.5221990740740741)</f>
        <v>0.5221990741</v>
      </c>
      <c r="G746" s="4" t="str">
        <f>IFERROR(__xludf.DUMMYFUNCTION("""COMPUTED_VALUE"""),"Lucia G.")</f>
        <v>Lucia G.</v>
      </c>
      <c r="H746" s="4" t="str">
        <f>IFERROR(__xludf.DUMMYFUNCTION("""COMPUTED_VALUE"""),"N/A")</f>
        <v>N/A</v>
      </c>
      <c r="I746" s="4" t="str">
        <f>IFERROR(__xludf.DUMMYFUNCTION("""COMPUTED_VALUE"""),"Jack")</f>
        <v>Jack</v>
      </c>
      <c r="J746" s="4" t="str">
        <f>IFERROR(__xludf.DUMMYFUNCTION("""COMPUTED_VALUE"""),"Design")</f>
        <v>Design</v>
      </c>
      <c r="K746" s="4" t="str">
        <f>IFERROR(__xludf.DUMMYFUNCTION("""COMPUTED_VALUE"""),"Keynote")</f>
        <v>Keynote</v>
      </c>
      <c r="L746" s="4" t="str">
        <f>IFERROR(__xludf.DUMMYFUNCTION("""COMPUTED_VALUE"""),"T- 5 - 18/05/2020")</f>
        <v>T- 5 - 18/05/2020</v>
      </c>
      <c r="M746" s="4" t="str">
        <f>IFERROR(__xludf.DUMMYFUNCTION("""COMPUTED_VALUE"""),"Design your reinvention")</f>
        <v>Design your reinvention</v>
      </c>
      <c r="N746" s="4" t="str">
        <f>IFERROR(__xludf.DUMMYFUNCTION("""COMPUTED_VALUE"""),"Bracken Darrell, Logitech")</f>
        <v>Bracken Darrell, Logitech</v>
      </c>
      <c r="O746" s="4" t="str">
        <f>IFERROR(__xludf.DUMMYFUNCTION("""COMPUTED_VALUE"""),"")</f>
        <v/>
      </c>
      <c r="P746" s="4" t="str">
        <f>IFERROR(__xludf.DUMMYFUNCTION("""COMPUTED_VALUE"""),"")</f>
        <v/>
      </c>
      <c r="Q746" s="4" t="str">
        <f>IFERROR(__xludf.DUMMYFUNCTION("""COMPUTED_VALUE"""),"")</f>
        <v/>
      </c>
      <c r="R746" s="4" t="str">
        <f>IFERROR(__xludf.DUMMYFUNCTION("""COMPUTED_VALUE"""),"")</f>
        <v/>
      </c>
      <c r="S746" s="4" t="str">
        <f>IFERROR(__xludf.DUMMYFUNCTION("""COMPUTED_VALUE"""),"Cloud peripheral company Logitech's CEO, Bracken Darrell, discusses why a design culture is important in building a successful, adaptable business, especially in times of dramatic change.")</f>
        <v>Cloud peripheral company Logitech's CEO, Bracken Darrell, discusses why a design culture is important in building a successful, adaptable business, especially in times of dramatic change.</v>
      </c>
      <c r="T746" s="4" t="str">
        <f>IFERROR(__xludf.DUMMYFUNCTION("""COMPUTED_VALUE"""),"KEYNOTE 8 - COMPLETE")</f>
        <v>KEYNOTE 8 - COMPLETE</v>
      </c>
      <c r="U746" s="23">
        <f>IFERROR(__xludf.DUMMYFUNCTION("""COMPUTED_VALUE"""),43976.0)</f>
        <v>43976</v>
      </c>
      <c r="V746" s="24">
        <f>IFERROR(__xludf.DUMMYFUNCTION("""COMPUTED_VALUE"""),0.6666666666666666)</f>
        <v>0.6666666667</v>
      </c>
      <c r="W746" s="4" t="str">
        <f>IFERROR(__xludf.DUMMYFUNCTION("""COMPUTED_VALUE"""),"COMPLETE")</f>
        <v>COMPLETE</v>
      </c>
      <c r="X746" s="4" t="str">
        <f>IFERROR(__xludf.DUMMYFUNCTION("""COMPUTED_VALUE"""),"Lucia G.")</f>
        <v>Lucia G.</v>
      </c>
      <c r="Y746" s="4" t="str">
        <f>IFERROR(__xludf.DUMMYFUNCTION("""COMPUTED_VALUE"""),"4657768625389573035")</f>
        <v>4657768625389573035</v>
      </c>
    </row>
    <row r="747">
      <c r="A747" s="4" t="str">
        <f>IFERROR(__xludf.DUMMYFUNCTION("""COMPUTED_VALUE"""),"1671 - Channel")</f>
        <v>1671 - Channel</v>
      </c>
      <c r="B747" s="4" t="str">
        <f>IFERROR(__xludf.DUMMYFUNCTION("""COMPUTED_VALUE"""),"Channel 3")</f>
        <v>Channel 3</v>
      </c>
      <c r="C747" s="4" t="str">
        <f>IFERROR(__xludf.DUMMYFUNCTION("""COMPUTED_VALUE"""),"Day 1 - 23/06")</f>
        <v>Day 1 - 23/06</v>
      </c>
      <c r="D747" s="6">
        <f>IFERROR(__xludf.DUMMYFUNCTION("""COMPUTED_VALUE"""),0.5221990740740741)</f>
        <v>0.5221990741</v>
      </c>
      <c r="E747" s="6">
        <f>IFERROR(__xludf.DUMMYFUNCTION("""COMPUTED_VALUE"""),0.0010416666666666667)</f>
        <v>0.001041666667</v>
      </c>
      <c r="F747" s="6">
        <f>IFERROR(__xludf.DUMMYFUNCTION("""COMPUTED_VALUE"""),0.5232407407407408)</f>
        <v>0.5232407407</v>
      </c>
      <c r="G747" s="4" t="str">
        <f>IFERROR(__xludf.DUMMYFUNCTION("""COMPUTED_VALUE"""),"Graphics")</f>
        <v>Graphics</v>
      </c>
      <c r="H747" s="4" t="str">
        <f>IFERROR(__xludf.DUMMYFUNCTION("""COMPUTED_VALUE"""),"")</f>
        <v/>
      </c>
      <c r="I747" s="4" t="str">
        <f>IFERROR(__xludf.DUMMYFUNCTION("""COMPUTED_VALUE"""),"")</f>
        <v/>
      </c>
      <c r="J747" s="4" t="str">
        <f>IFERROR(__xludf.DUMMYFUNCTION("""COMPUTED_VALUE"""),"")</f>
        <v/>
      </c>
      <c r="K747" s="4" t="str">
        <f>IFERROR(__xludf.DUMMYFUNCTION("""COMPUTED_VALUE"""),"Collision From Home Day Intro")</f>
        <v>Collision From Home Day Intro</v>
      </c>
      <c r="L747" s="4" t="str">
        <f>IFERROR(__xludf.DUMMYFUNCTION("""COMPUTED_VALUE"""),"")</f>
        <v/>
      </c>
      <c r="M747" s="4" t="str">
        <f>IFERROR(__xludf.DUMMYFUNCTION("""COMPUTED_VALUE"""),"Collision From Home Day Intro")</f>
        <v>Collision From Home Day Intro</v>
      </c>
      <c r="N747" s="4" t="str">
        <f>IFERROR(__xludf.DUMMYFUNCTION("""COMPUTED_VALUE"""),"")</f>
        <v/>
      </c>
      <c r="O747" s="4" t="str">
        <f>IFERROR(__xludf.DUMMYFUNCTION("""COMPUTED_VALUE"""),"")</f>
        <v/>
      </c>
      <c r="P747" s="4" t="str">
        <f>IFERROR(__xludf.DUMMYFUNCTION("""COMPUTED_VALUE"""),"")</f>
        <v/>
      </c>
      <c r="Q747" s="4" t="str">
        <f>IFERROR(__xludf.DUMMYFUNCTION("""COMPUTED_VALUE"""),"")</f>
        <v/>
      </c>
      <c r="R747" s="4" t="str">
        <f>IFERROR(__xludf.DUMMYFUNCTION("""COMPUTED_VALUE"""),"")</f>
        <v/>
      </c>
      <c r="S747" s="4" t="str">
        <f>IFERROR(__xludf.DUMMYFUNCTION("""COMPUTED_VALUE"""),"")</f>
        <v/>
      </c>
      <c r="T747" s="4" t="str">
        <f>IFERROR(__xludf.DUMMYFUNCTION("""COMPUTED_VALUE"""),"")</f>
        <v/>
      </c>
      <c r="U747" s="4" t="str">
        <f>IFERROR(__xludf.DUMMYFUNCTION("""COMPUTED_VALUE"""),"")</f>
        <v/>
      </c>
      <c r="V747" s="4" t="str">
        <f>IFERROR(__xludf.DUMMYFUNCTION("""COMPUTED_VALUE"""),"")</f>
        <v/>
      </c>
      <c r="W747" s="4" t="str">
        <f>IFERROR(__xludf.DUMMYFUNCTION("""COMPUTED_VALUE"""),"")</f>
        <v/>
      </c>
      <c r="X747" s="4" t="str">
        <f>IFERROR(__xludf.DUMMYFUNCTION("""COMPUTED_VALUE"""),"")</f>
        <v/>
      </c>
      <c r="Y747" s="4" t="str">
        <f>IFERROR(__xludf.DUMMYFUNCTION("""COMPUTED_VALUE"""),"")</f>
        <v/>
      </c>
    </row>
    <row r="748">
      <c r="A748" s="4" t="str">
        <f>IFERROR(__xludf.DUMMYFUNCTION("""COMPUTED_VALUE"""),"822 - Channel")</f>
        <v>822 - Channel</v>
      </c>
      <c r="B748" s="4" t="str">
        <f>IFERROR(__xludf.DUMMYFUNCTION("""COMPUTED_VALUE"""),"Channel 3")</f>
        <v>Channel 3</v>
      </c>
      <c r="C748" s="4" t="str">
        <f>IFERROR(__xludf.DUMMYFUNCTION("""COMPUTED_VALUE"""),"Day 1 - 23/06")</f>
        <v>Day 1 - 23/06</v>
      </c>
      <c r="D748" s="6">
        <f>IFERROR(__xludf.DUMMYFUNCTION("""COMPUTED_VALUE"""),0.5232407407407408)</f>
        <v>0.5232407407</v>
      </c>
      <c r="E748" s="6">
        <f>IFERROR(__xludf.DUMMYFUNCTION("""COMPUTED_VALUE"""),2.314814814814815E-4)</f>
        <v>0.0002314814815</v>
      </c>
      <c r="F748" s="6">
        <f>IFERROR(__xludf.DUMMYFUNCTION("""COMPUTED_VALUE"""),0.5234722222222222)</f>
        <v>0.5234722222</v>
      </c>
      <c r="G748" s="4" t="str">
        <f>IFERROR(__xludf.DUMMYFUNCTION("""COMPUTED_VALUE"""),"Graphics")</f>
        <v>Graphics</v>
      </c>
      <c r="H748" s="4" t="str">
        <f>IFERROR(__xludf.DUMMYFUNCTION("""COMPUTED_VALUE"""),"N/A")</f>
        <v>N/A</v>
      </c>
      <c r="I748" s="4" t="str">
        <f>IFERROR(__xludf.DUMMYFUNCTION("""COMPUTED_VALUE"""),"N/A")</f>
        <v>N/A</v>
      </c>
      <c r="J748" s="4" t="str">
        <f>IFERROR(__xludf.DUMMYFUNCTION("""COMPUTED_VALUE"""),"Design")</f>
        <v>Design</v>
      </c>
      <c r="K748" s="4" t="str">
        <f>IFERROR(__xludf.DUMMYFUNCTION("""COMPUTED_VALUE"""),"Talk Intro")</f>
        <v>Talk Intro</v>
      </c>
      <c r="L748" s="4" t="str">
        <f>IFERROR(__xludf.DUMMYFUNCTION("""COMPUTED_VALUE"""),"")</f>
        <v/>
      </c>
      <c r="M748" s="4" t="str">
        <f>IFERROR(__xludf.DUMMYFUNCTION("""COMPUTED_VALUE"""),"Talk Intro")</f>
        <v>Talk Intro</v>
      </c>
      <c r="N748" s="4" t="str">
        <f>IFERROR(__xludf.DUMMYFUNCTION("""COMPUTED_VALUE"""),"")</f>
        <v/>
      </c>
      <c r="O748" s="4" t="str">
        <f>IFERROR(__xludf.DUMMYFUNCTION("""COMPUTED_VALUE"""),"")</f>
        <v/>
      </c>
      <c r="P748" s="4" t="str">
        <f>IFERROR(__xludf.DUMMYFUNCTION("""COMPUTED_VALUE"""),"")</f>
        <v/>
      </c>
      <c r="Q748" s="4" t="str">
        <f>IFERROR(__xludf.DUMMYFUNCTION("""COMPUTED_VALUE"""),"")</f>
        <v/>
      </c>
      <c r="R748" s="4" t="str">
        <f>IFERROR(__xludf.DUMMYFUNCTION("""COMPUTED_VALUE"""),"")</f>
        <v/>
      </c>
      <c r="S748" s="4" t="str">
        <f>IFERROR(__xludf.DUMMYFUNCTION("""COMPUTED_VALUE"""),"")</f>
        <v/>
      </c>
      <c r="T748" s="4" t="str">
        <f>IFERROR(__xludf.DUMMYFUNCTION("""COMPUTED_VALUE"""),"")</f>
        <v/>
      </c>
      <c r="U748" s="4" t="str">
        <f>IFERROR(__xludf.DUMMYFUNCTION("""COMPUTED_VALUE"""),"")</f>
        <v/>
      </c>
      <c r="V748" s="4" t="str">
        <f>IFERROR(__xludf.DUMMYFUNCTION("""COMPUTED_VALUE"""),"")</f>
        <v/>
      </c>
      <c r="W748" s="4" t="str">
        <f>IFERROR(__xludf.DUMMYFUNCTION("""COMPUTED_VALUE"""),"")</f>
        <v/>
      </c>
      <c r="X748" s="4" t="str">
        <f>IFERROR(__xludf.DUMMYFUNCTION("""COMPUTED_VALUE"""),"")</f>
        <v/>
      </c>
      <c r="Y748" s="4" t="str">
        <f>IFERROR(__xludf.DUMMYFUNCTION("""COMPUTED_VALUE"""),"")</f>
        <v/>
      </c>
    </row>
    <row r="749">
      <c r="A749" s="4" t="str">
        <f>IFERROR(__xludf.DUMMYFUNCTION("""COMPUTED_VALUE"""),"823 - Channel")</f>
        <v>823 - Channel</v>
      </c>
      <c r="B749" s="4" t="str">
        <f>IFERROR(__xludf.DUMMYFUNCTION("""COMPUTED_VALUE"""),"Channel 3")</f>
        <v>Channel 3</v>
      </c>
      <c r="C749" s="4" t="str">
        <f>IFERROR(__xludf.DUMMYFUNCTION("""COMPUTED_VALUE"""),"Day 1 - 23/06")</f>
        <v>Day 1 - 23/06</v>
      </c>
      <c r="D749" s="6">
        <f>IFERROR(__xludf.DUMMYFUNCTION("""COMPUTED_VALUE"""),0.5234722222222222)</f>
        <v>0.5234722222</v>
      </c>
      <c r="E749" s="6">
        <f>IFERROR(__xludf.DUMMYFUNCTION("""COMPUTED_VALUE"""),0.007453703703703704)</f>
        <v>0.007453703704</v>
      </c>
      <c r="F749" s="6">
        <f>IFERROR(__xludf.DUMMYFUNCTION("""COMPUTED_VALUE"""),0.5309259259259259)</f>
        <v>0.5309259259</v>
      </c>
      <c r="G749" s="4" t="str">
        <f>IFERROR(__xludf.DUMMYFUNCTION("""COMPUTED_VALUE"""),"Lucia G.")</f>
        <v>Lucia G.</v>
      </c>
      <c r="H749" s="4" t="str">
        <f>IFERROR(__xludf.DUMMYFUNCTION("""COMPUTED_VALUE"""),"Shauna")</f>
        <v>Shauna</v>
      </c>
      <c r="I749" s="4" t="str">
        <f>IFERROR(__xludf.DUMMYFUNCTION("""COMPUTED_VALUE"""),"Jack")</f>
        <v>Jack</v>
      </c>
      <c r="J749" s="4" t="str">
        <f>IFERROR(__xludf.DUMMYFUNCTION("""COMPUTED_VALUE"""),"Design")</f>
        <v>Design</v>
      </c>
      <c r="K749" s="4" t="str">
        <f>IFERROR(__xludf.DUMMYFUNCTION("""COMPUTED_VALUE"""),"Super Fireside")</f>
        <v>Super Fireside</v>
      </c>
      <c r="L749" s="4" t="str">
        <f>IFERROR(__xludf.DUMMYFUNCTION("""COMPUTED_VALUE"""),"T- 6 - 11/05/2020")</f>
        <v>T- 6 - 11/05/2020</v>
      </c>
      <c r="M749" s="4" t="str">
        <f>IFERROR(__xludf.DUMMYFUNCTION("""COMPUTED_VALUE"""),"Can a crisis fuel creativity?")</f>
        <v>Can a crisis fuel creativity?</v>
      </c>
      <c r="N749" s="4" t="str">
        <f>IFERROR(__xludf.DUMMYFUNCTION("""COMPUTED_VALUE"""),"Andrew Zimmerman, Frog Design")</f>
        <v>Andrew Zimmerman, Frog Design</v>
      </c>
      <c r="O749" s="4" t="str">
        <f>IFERROR(__xludf.DUMMYFUNCTION("""COMPUTED_VALUE"""),"Sean Carney, Philips")</f>
        <v>Sean Carney, Philips</v>
      </c>
      <c r="P749" s="4" t="str">
        <f>IFERROR(__xludf.DUMMYFUNCTION("""COMPUTED_VALUE"""),"")</f>
        <v/>
      </c>
      <c r="Q749" s="4" t="str">
        <f>IFERROR(__xludf.DUMMYFUNCTION("""COMPUTED_VALUE"""),"")</f>
        <v/>
      </c>
      <c r="R749" s="4" t="str">
        <f>IFERROR(__xludf.DUMMYFUNCTION("""COMPUTED_VALUE"""),"Jade Scipioni, NBCUniversal")</f>
        <v>Jade Scipioni, NBCUniversal</v>
      </c>
      <c r="S749" s="4" t="str">
        <f>IFERROR(__xludf.DUMMYFUNCTION("""COMPUTED_VALUE"""),"Netflix, Amazon, Lego and Apple are just some of the world’s most iconic brands turning reinvention into an artform. A successful company understands the need to reinvent itself every now and then to keep up with competition and changes in the market, tec"&amp;"h, and customer interest. But when is the right time for a change?")</f>
        <v>Netflix, Amazon, Lego and Apple are just some of the world’s most iconic brands turning reinvention into an artform. A successful company understands the need to reinvent itself every now and then to keep up with competition and changes in the market, tech, and customer interest. But when is the right time for a change?</v>
      </c>
      <c r="T749" s="4" t="str">
        <f>IFERROR(__xludf.DUMMYFUNCTION("""COMPUTED_VALUE"""),"KEYNOTE 8 - COMPLETE")</f>
        <v>KEYNOTE 8 - COMPLETE</v>
      </c>
      <c r="U749" s="23">
        <f>IFERROR(__xludf.DUMMYFUNCTION("""COMPUTED_VALUE"""),43965.0)</f>
        <v>43965</v>
      </c>
      <c r="V749" s="24">
        <f>IFERROR(__xludf.DUMMYFUNCTION("""COMPUTED_VALUE"""),0.625)</f>
        <v>0.625</v>
      </c>
      <c r="W749" s="4" t="str">
        <f>IFERROR(__xludf.DUMMYFUNCTION("""COMPUTED_VALUE"""),"COMPLETE")</f>
        <v>COMPLETE</v>
      </c>
      <c r="X749" s="4" t="str">
        <f>IFERROR(__xludf.DUMMYFUNCTION("""COMPUTED_VALUE"""),"Lucia G.")</f>
        <v>Lucia G.</v>
      </c>
      <c r="Y749" s="4" t="str">
        <f>IFERROR(__xludf.DUMMYFUNCTION("""COMPUTED_VALUE"""),"")</f>
        <v/>
      </c>
    </row>
    <row r="750">
      <c r="A750" s="4" t="str">
        <f>IFERROR(__xludf.DUMMYFUNCTION("""COMPUTED_VALUE"""),"825 - Channel")</f>
        <v>825 - Channel</v>
      </c>
      <c r="B750" s="4" t="str">
        <f>IFERROR(__xludf.DUMMYFUNCTION("""COMPUTED_VALUE"""),"Channel 3")</f>
        <v>Channel 3</v>
      </c>
      <c r="C750" s="4" t="str">
        <f>IFERROR(__xludf.DUMMYFUNCTION("""COMPUTED_VALUE"""),"Day 1 - 23/06")</f>
        <v>Day 1 - 23/06</v>
      </c>
      <c r="D750" s="6">
        <f>IFERROR(__xludf.DUMMYFUNCTION("""COMPUTED_VALUE"""),0.5309259259259259)</f>
        <v>0.5309259259</v>
      </c>
      <c r="E750" s="6">
        <f>IFERROR(__xludf.DUMMYFUNCTION("""COMPUTED_VALUE"""),2.314814814814815E-4)</f>
        <v>0.0002314814815</v>
      </c>
      <c r="F750" s="6">
        <f>IFERROR(__xludf.DUMMYFUNCTION("""COMPUTED_VALUE"""),0.5311574074074074)</f>
        <v>0.5311574074</v>
      </c>
      <c r="G750" s="4" t="str">
        <f>IFERROR(__xludf.DUMMYFUNCTION("""COMPUTED_VALUE"""),"Graphics")</f>
        <v>Graphics</v>
      </c>
      <c r="H750" s="4" t="str">
        <f>IFERROR(__xludf.DUMMYFUNCTION("""COMPUTED_VALUE"""),"N/A")</f>
        <v>N/A</v>
      </c>
      <c r="I750" s="4" t="str">
        <f>IFERROR(__xludf.DUMMYFUNCTION("""COMPUTED_VALUE"""),"N/A")</f>
        <v>N/A</v>
      </c>
      <c r="J750" s="4" t="str">
        <f>IFERROR(__xludf.DUMMYFUNCTION("""COMPUTED_VALUE"""),"Design")</f>
        <v>Design</v>
      </c>
      <c r="K750" s="4" t="str">
        <f>IFERROR(__xludf.DUMMYFUNCTION("""COMPUTED_VALUE"""),"Talk Intro")</f>
        <v>Talk Intro</v>
      </c>
      <c r="L750" s="4" t="str">
        <f>IFERROR(__xludf.DUMMYFUNCTION("""COMPUTED_VALUE"""),"")</f>
        <v/>
      </c>
      <c r="M750" s="4" t="str">
        <f>IFERROR(__xludf.DUMMYFUNCTION("""COMPUTED_VALUE"""),"Talk Intro")</f>
        <v>Talk Intro</v>
      </c>
      <c r="N750" s="4" t="str">
        <f>IFERROR(__xludf.DUMMYFUNCTION("""COMPUTED_VALUE"""),"")</f>
        <v/>
      </c>
      <c r="O750" s="4" t="str">
        <f>IFERROR(__xludf.DUMMYFUNCTION("""COMPUTED_VALUE"""),"")</f>
        <v/>
      </c>
      <c r="P750" s="4" t="str">
        <f>IFERROR(__xludf.DUMMYFUNCTION("""COMPUTED_VALUE"""),"")</f>
        <v/>
      </c>
      <c r="Q750" s="4" t="str">
        <f>IFERROR(__xludf.DUMMYFUNCTION("""COMPUTED_VALUE"""),"")</f>
        <v/>
      </c>
      <c r="R750" s="4" t="str">
        <f>IFERROR(__xludf.DUMMYFUNCTION("""COMPUTED_VALUE"""),"")</f>
        <v/>
      </c>
      <c r="S750" s="4" t="str">
        <f>IFERROR(__xludf.DUMMYFUNCTION("""COMPUTED_VALUE"""),"")</f>
        <v/>
      </c>
      <c r="T750" s="4" t="str">
        <f>IFERROR(__xludf.DUMMYFUNCTION("""COMPUTED_VALUE"""),"")</f>
        <v/>
      </c>
      <c r="U750" s="4" t="str">
        <f>IFERROR(__xludf.DUMMYFUNCTION("""COMPUTED_VALUE"""),"")</f>
        <v/>
      </c>
      <c r="V750" s="4" t="str">
        <f>IFERROR(__xludf.DUMMYFUNCTION("""COMPUTED_VALUE"""),"")</f>
        <v/>
      </c>
      <c r="W750" s="4" t="str">
        <f>IFERROR(__xludf.DUMMYFUNCTION("""COMPUTED_VALUE"""),"")</f>
        <v/>
      </c>
      <c r="X750" s="4" t="str">
        <f>IFERROR(__xludf.DUMMYFUNCTION("""COMPUTED_VALUE"""),"")</f>
        <v/>
      </c>
      <c r="Y750" s="4" t="str">
        <f>IFERROR(__xludf.DUMMYFUNCTION("""COMPUTED_VALUE"""),"")</f>
        <v/>
      </c>
    </row>
    <row r="751">
      <c r="A751" s="4" t="str">
        <f>IFERROR(__xludf.DUMMYFUNCTION("""COMPUTED_VALUE"""),"826 - Channel")</f>
        <v>826 - Channel</v>
      </c>
      <c r="B751" s="4" t="str">
        <f>IFERROR(__xludf.DUMMYFUNCTION("""COMPUTED_VALUE"""),"Channel 3")</f>
        <v>Channel 3</v>
      </c>
      <c r="C751" s="4" t="str">
        <f>IFERROR(__xludf.DUMMYFUNCTION("""COMPUTED_VALUE"""),"Day 1 - 23/06")</f>
        <v>Day 1 - 23/06</v>
      </c>
      <c r="D751" s="6">
        <f>IFERROR(__xludf.DUMMYFUNCTION("""COMPUTED_VALUE"""),0.5311574074074074)</f>
        <v>0.5311574074</v>
      </c>
      <c r="E751" s="6">
        <f>IFERROR(__xludf.DUMMYFUNCTION("""COMPUTED_VALUE"""),0.00931712962962963)</f>
        <v>0.00931712963</v>
      </c>
      <c r="F751" s="6">
        <f>IFERROR(__xludf.DUMMYFUNCTION("""COMPUTED_VALUE"""),0.540474537037037)</f>
        <v>0.540474537</v>
      </c>
      <c r="G751" s="4" t="str">
        <f>IFERROR(__xludf.DUMMYFUNCTION("""COMPUTED_VALUE"""),"Lucia G.")</f>
        <v>Lucia G.</v>
      </c>
      <c r="H751" s="4" t="str">
        <f>IFERROR(__xludf.DUMMYFUNCTION("""COMPUTED_VALUE"""),"Shauna")</f>
        <v>Shauna</v>
      </c>
      <c r="I751" s="4" t="str">
        <f>IFERROR(__xludf.DUMMYFUNCTION("""COMPUTED_VALUE"""),"Jack")</f>
        <v>Jack</v>
      </c>
      <c r="J751" s="4" t="str">
        <f>IFERROR(__xludf.DUMMYFUNCTION("""COMPUTED_VALUE"""),"Design")</f>
        <v>Design</v>
      </c>
      <c r="K751" s="4" t="str">
        <f>IFERROR(__xludf.DUMMYFUNCTION("""COMPUTED_VALUE"""),"Panel")</f>
        <v>Panel</v>
      </c>
      <c r="L751" s="4" t="str">
        <f>IFERROR(__xludf.DUMMYFUNCTION("""COMPUTED_VALUE"""),"T- 7 - 04/05/2020")</f>
        <v>T- 7 - 04/05/2020</v>
      </c>
      <c r="M751" s="4" t="str">
        <f>IFERROR(__xludf.DUMMYFUNCTION("""COMPUTED_VALUE"""),"Recession proofing your company with UI and UX")</f>
        <v>Recession proofing your company with UI and UX</v>
      </c>
      <c r="N751" s="4" t="str">
        <f>IFERROR(__xludf.DUMMYFUNCTION("""COMPUTED_VALUE"""),"Ilan Twig, TripActions")</f>
        <v>Ilan Twig, TripActions</v>
      </c>
      <c r="O751" s="4" t="str">
        <f>IFERROR(__xludf.DUMMYFUNCTION("""COMPUTED_VALUE"""),"Zack Onisko, Dribbble")</f>
        <v>Zack Onisko, Dribbble</v>
      </c>
      <c r="P751" s="4" t="str">
        <f>IFERROR(__xludf.DUMMYFUNCTION("""COMPUTED_VALUE"""),"Carey Jenkins, Substantial")</f>
        <v>Carey Jenkins, Substantial</v>
      </c>
      <c r="Q751" s="4" t="str">
        <f>IFERROR(__xludf.DUMMYFUNCTION("""COMPUTED_VALUE"""),"")</f>
        <v/>
      </c>
      <c r="R751" s="4" t="str">
        <f>IFERROR(__xludf.DUMMYFUNCTION("""COMPUTED_VALUE"""),"Katie Deighton, The Wall Street Journal")</f>
        <v>Katie Deighton, The Wall Street Journal</v>
      </c>
      <c r="S751" s="4" t="str">
        <f>IFERROR(__xludf.DUMMYFUNCTION("""COMPUTED_VALUE"""),"Three experts discuss best practices in UI and UX as we start what is already an extraordinary new decade.  How can emotion, ethics and AI co-habit to create the perfect user experience? Can a great UI help companies to navigate and survive this turbulent"&amp;" time?")</f>
        <v>Three experts discuss best practices in UI and UX as we start what is already an extraordinary new decade.  How can emotion, ethics and AI co-habit to create the perfect user experience? Can a great UI help companies to navigate and survive this turbulent time?</v>
      </c>
      <c r="T751" s="4" t="str">
        <f>IFERROR(__xludf.DUMMYFUNCTION("""COMPUTED_VALUE"""),"NON-KEYNOTE 9 - COMPLETE")</f>
        <v>NON-KEYNOTE 9 - COMPLETE</v>
      </c>
      <c r="U751" s="23">
        <f>IFERROR(__xludf.DUMMYFUNCTION("""COMPUTED_VALUE"""),43959.0)</f>
        <v>43959</v>
      </c>
      <c r="V751" s="24">
        <f>IFERROR(__xludf.DUMMYFUNCTION("""COMPUTED_VALUE"""),0.75)</f>
        <v>0.75</v>
      </c>
      <c r="W751" s="4" t="str">
        <f>IFERROR(__xludf.DUMMYFUNCTION("""COMPUTED_VALUE"""),"COMPLETE")</f>
        <v>COMPLETE</v>
      </c>
      <c r="X751" s="4" t="str">
        <f>IFERROR(__xludf.DUMMYFUNCTION("""COMPUTED_VALUE"""),"Lucia G.")</f>
        <v>Lucia G.</v>
      </c>
      <c r="Y751" s="4" t="str">
        <f>IFERROR(__xludf.DUMMYFUNCTION("""COMPUTED_VALUE"""),"")</f>
        <v/>
      </c>
    </row>
    <row r="752">
      <c r="A752" s="4" t="str">
        <f>IFERROR(__xludf.DUMMYFUNCTION("""COMPUTED_VALUE"""),"1343 - Channel")</f>
        <v>1343 - Channel</v>
      </c>
      <c r="B752" s="4" t="str">
        <f>IFERROR(__xludf.DUMMYFUNCTION("""COMPUTED_VALUE"""),"Channel 3")</f>
        <v>Channel 3</v>
      </c>
      <c r="C752" s="4" t="str">
        <f>IFERROR(__xludf.DUMMYFUNCTION("""COMPUTED_VALUE"""),"Day 1 - 23/06")</f>
        <v>Day 1 - 23/06</v>
      </c>
      <c r="D752" s="4" t="str">
        <f>IFERROR(__xludf.DUMMYFUNCTION("""COMPUTED_VALUE"""),"")</f>
        <v/>
      </c>
      <c r="E752" s="4" t="str">
        <f>IFERROR(__xludf.DUMMYFUNCTION("""COMPUTED_VALUE"""),"")</f>
        <v/>
      </c>
      <c r="F752" s="4" t="str">
        <f>IFERROR(__xludf.DUMMYFUNCTION("""COMPUTED_VALUE"""),"")</f>
        <v/>
      </c>
      <c r="G752" s="4" t="str">
        <f>IFERROR(__xludf.DUMMYFUNCTION("""COMPUTED_VALUE"""),"")</f>
        <v/>
      </c>
      <c r="H752" s="4" t="str">
        <f>IFERROR(__xludf.DUMMYFUNCTION("""COMPUTED_VALUE"""),"")</f>
        <v/>
      </c>
      <c r="I752" s="4" t="str">
        <f>IFERROR(__xludf.DUMMYFUNCTION("""COMPUTED_VALUE"""),"")</f>
        <v/>
      </c>
      <c r="J752" s="4" t="str">
        <f>IFERROR(__xludf.DUMMYFUNCTION("""COMPUTED_VALUE"""),"")</f>
        <v/>
      </c>
      <c r="K752" s="4" t="str">
        <f>IFERROR(__xludf.DUMMYFUNCTION("""COMPUTED_VALUE"""),"")</f>
        <v/>
      </c>
      <c r="L752" s="4" t="str">
        <f>IFERROR(__xludf.DUMMYFUNCTION("""COMPUTED_VALUE"""),"")</f>
        <v/>
      </c>
      <c r="M752" s="4" t="str">
        <f>IFERROR(__xludf.DUMMYFUNCTION("""COMPUTED_VALUE"""),"")</f>
        <v/>
      </c>
      <c r="N752" s="4" t="str">
        <f>IFERROR(__xludf.DUMMYFUNCTION("""COMPUTED_VALUE"""),"")</f>
        <v/>
      </c>
      <c r="O752" s="4" t="str">
        <f>IFERROR(__xludf.DUMMYFUNCTION("""COMPUTED_VALUE"""),"")</f>
        <v/>
      </c>
      <c r="P752" s="4" t="str">
        <f>IFERROR(__xludf.DUMMYFUNCTION("""COMPUTED_VALUE"""),"")</f>
        <v/>
      </c>
      <c r="Q752" s="4" t="str">
        <f>IFERROR(__xludf.DUMMYFUNCTION("""COMPUTED_VALUE"""),"")</f>
        <v/>
      </c>
      <c r="R752" s="4" t="str">
        <f>IFERROR(__xludf.DUMMYFUNCTION("""COMPUTED_VALUE"""),"")</f>
        <v/>
      </c>
      <c r="S752" s="4" t="str">
        <f>IFERROR(__xludf.DUMMYFUNCTION("""COMPUTED_VALUE"""),"")</f>
        <v/>
      </c>
      <c r="T752" s="4" t="str">
        <f>IFERROR(__xludf.DUMMYFUNCTION("""COMPUTED_VALUE"""),"")</f>
        <v/>
      </c>
      <c r="U752" s="4" t="str">
        <f>IFERROR(__xludf.DUMMYFUNCTION("""COMPUTED_VALUE"""),"")</f>
        <v/>
      </c>
      <c r="V752" s="4" t="str">
        <f>IFERROR(__xludf.DUMMYFUNCTION("""COMPUTED_VALUE"""),"")</f>
        <v/>
      </c>
      <c r="W752" s="4" t="str">
        <f>IFERROR(__xludf.DUMMYFUNCTION("""COMPUTED_VALUE"""),"")</f>
        <v/>
      </c>
      <c r="X752" s="4" t="str">
        <f>IFERROR(__xludf.DUMMYFUNCTION("""COMPUTED_VALUE"""),"")</f>
        <v/>
      </c>
      <c r="Y752" s="4" t="str">
        <f>IFERROR(__xludf.DUMMYFUNCTION("""COMPUTED_VALUE"""),"")</f>
        <v/>
      </c>
    </row>
    <row r="753">
      <c r="A753" s="4" t="str">
        <f>IFERROR(__xludf.DUMMYFUNCTION("""COMPUTED_VALUE"""),"836 - Channel")</f>
        <v>836 - Channel</v>
      </c>
      <c r="B753" s="4" t="str">
        <f>IFERROR(__xludf.DUMMYFUNCTION("""COMPUTED_VALUE"""),"Channel 3")</f>
        <v>Channel 3</v>
      </c>
      <c r="C753" s="4" t="str">
        <f>IFERROR(__xludf.DUMMYFUNCTION("""COMPUTED_VALUE"""),"Day 1 - 23/06")</f>
        <v>Day 1 - 23/06</v>
      </c>
      <c r="D753" s="6">
        <f>IFERROR(__xludf.DUMMYFUNCTION("""COMPUTED_VALUE"""),0.5416666666666666)</f>
        <v>0.5416666667</v>
      </c>
      <c r="E753" s="6">
        <f>IFERROR(__xludf.DUMMYFUNCTION("""COMPUTED_VALUE"""),3.4722222222222224E-4)</f>
        <v>0.0003472222222</v>
      </c>
      <c r="F753" s="6">
        <f>IFERROR(__xludf.DUMMYFUNCTION("""COMPUTED_VALUE"""),0.5420138888888889)</f>
        <v>0.5420138889</v>
      </c>
      <c r="G753" s="4" t="str">
        <f>IFERROR(__xludf.DUMMYFUNCTION("""COMPUTED_VALUE"""),"Graphics")</f>
        <v>Graphics</v>
      </c>
      <c r="H753" s="4" t="str">
        <f>IFERROR(__xludf.DUMMYFUNCTION("""COMPUTED_VALUE"""),"N/A")</f>
        <v>N/A</v>
      </c>
      <c r="I753" s="4" t="str">
        <f>IFERROR(__xludf.DUMMYFUNCTION("""COMPUTED_VALUE"""),"N/A")</f>
        <v>N/A</v>
      </c>
      <c r="J753" s="4" t="str">
        <f>IFERROR(__xludf.DUMMYFUNCTION("""COMPUTED_VALUE"""),"5G")</f>
        <v>5G</v>
      </c>
      <c r="K753" s="4" t="str">
        <f>IFERROR(__xludf.DUMMYFUNCTION("""COMPUTED_VALUE"""),"Talk Intro")</f>
        <v>Talk Intro</v>
      </c>
      <c r="L753" s="4" t="str">
        <f>IFERROR(__xludf.DUMMYFUNCTION("""COMPUTED_VALUE"""),"")</f>
        <v/>
      </c>
      <c r="M753" s="4" t="str">
        <f>IFERROR(__xludf.DUMMYFUNCTION("""COMPUTED_VALUE"""),"Talk Intro")</f>
        <v>Talk Intro</v>
      </c>
      <c r="N753" s="4" t="str">
        <f>IFERROR(__xludf.DUMMYFUNCTION("""COMPUTED_VALUE"""),"")</f>
        <v/>
      </c>
      <c r="O753" s="4" t="str">
        <f>IFERROR(__xludf.DUMMYFUNCTION("""COMPUTED_VALUE"""),"")</f>
        <v/>
      </c>
      <c r="P753" s="4" t="str">
        <f>IFERROR(__xludf.DUMMYFUNCTION("""COMPUTED_VALUE"""),"")</f>
        <v/>
      </c>
      <c r="Q753" s="4" t="str">
        <f>IFERROR(__xludf.DUMMYFUNCTION("""COMPUTED_VALUE"""),"")</f>
        <v/>
      </c>
      <c r="R753" s="4" t="str">
        <f>IFERROR(__xludf.DUMMYFUNCTION("""COMPUTED_VALUE"""),"")</f>
        <v/>
      </c>
      <c r="S753" s="4" t="str">
        <f>IFERROR(__xludf.DUMMYFUNCTION("""COMPUTED_VALUE"""),"")</f>
        <v/>
      </c>
      <c r="T753" s="4" t="str">
        <f>IFERROR(__xludf.DUMMYFUNCTION("""COMPUTED_VALUE"""),"")</f>
        <v/>
      </c>
      <c r="U753" s="4" t="str">
        <f>IFERROR(__xludf.DUMMYFUNCTION("""COMPUTED_VALUE"""),"")</f>
        <v/>
      </c>
      <c r="V753" s="4" t="str">
        <f>IFERROR(__xludf.DUMMYFUNCTION("""COMPUTED_VALUE"""),"")</f>
        <v/>
      </c>
      <c r="W753" s="4" t="str">
        <f>IFERROR(__xludf.DUMMYFUNCTION("""COMPUTED_VALUE"""),"")</f>
        <v/>
      </c>
      <c r="X753" s="4" t="str">
        <f>IFERROR(__xludf.DUMMYFUNCTION("""COMPUTED_VALUE"""),"")</f>
        <v/>
      </c>
      <c r="Y753" s="4" t="str">
        <f>IFERROR(__xludf.DUMMYFUNCTION("""COMPUTED_VALUE"""),"")</f>
        <v/>
      </c>
    </row>
    <row r="754">
      <c r="A754" s="4" t="str">
        <f>IFERROR(__xludf.DUMMYFUNCTION("""COMPUTED_VALUE"""),"837 - Channel")</f>
        <v>837 - Channel</v>
      </c>
      <c r="B754" s="4" t="str">
        <f>IFERROR(__xludf.DUMMYFUNCTION("""COMPUTED_VALUE"""),"Channel 3")</f>
        <v>Channel 3</v>
      </c>
      <c r="C754" s="4" t="str">
        <f>IFERROR(__xludf.DUMMYFUNCTION("""COMPUTED_VALUE"""),"Day 1 - 23/06")</f>
        <v>Day 1 - 23/06</v>
      </c>
      <c r="D754" s="6">
        <f>IFERROR(__xludf.DUMMYFUNCTION("""COMPUTED_VALUE"""),0.5420138888888889)</f>
        <v>0.5420138889</v>
      </c>
      <c r="E754" s="6">
        <f>IFERROR(__xludf.DUMMYFUNCTION("""COMPUTED_VALUE"""),0.008067129629629629)</f>
        <v>0.00806712963</v>
      </c>
      <c r="F754" s="6">
        <f>IFERROR(__xludf.DUMMYFUNCTION("""COMPUTED_VALUE"""),0.5500810185185185)</f>
        <v>0.5500810185</v>
      </c>
      <c r="G754" s="4" t="str">
        <f>IFERROR(__xludf.DUMMYFUNCTION("""COMPUTED_VALUE"""),"Ahmed")</f>
        <v>Ahmed</v>
      </c>
      <c r="H754" s="4" t="str">
        <f>IFERROR(__xludf.DUMMYFUNCTION("""COMPUTED_VALUE"""),"Stephen")</f>
        <v>Stephen</v>
      </c>
      <c r="I754" s="4" t="str">
        <f>IFERROR(__xludf.DUMMYFUNCTION("""COMPUTED_VALUE"""),"Manon")</f>
        <v>Manon</v>
      </c>
      <c r="J754" s="4" t="str">
        <f>IFERROR(__xludf.DUMMYFUNCTION("""COMPUTED_VALUE"""),"5G")</f>
        <v>5G</v>
      </c>
      <c r="K754" s="4" t="str">
        <f>IFERROR(__xludf.DUMMYFUNCTION("""COMPUTED_VALUE"""),"Fireside")</f>
        <v>Fireside</v>
      </c>
      <c r="L754" s="4" t="str">
        <f>IFERROR(__xludf.DUMMYFUNCTION("""COMPUTED_VALUE"""),"T- 3 - 01/06/2020")</f>
        <v>T- 3 - 01/06/2020</v>
      </c>
      <c r="M754" s="4" t="str">
        <f>IFERROR(__xludf.DUMMYFUNCTION("""COMPUTED_VALUE"""),"The societal impact of 5G")</f>
        <v>The societal impact of 5G</v>
      </c>
      <c r="N754" s="4" t="str">
        <f>IFERROR(__xludf.DUMMYFUNCTION("""COMPUTED_VALUE"""),"Rose Stuckey Kirk, Verizon")</f>
        <v>Rose Stuckey Kirk, Verizon</v>
      </c>
      <c r="O754" s="4" t="str">
        <f>IFERROR(__xludf.DUMMYFUNCTION("""COMPUTED_VALUE"""),"")</f>
        <v/>
      </c>
      <c r="P754" s="4" t="str">
        <f>IFERROR(__xludf.DUMMYFUNCTION("""COMPUTED_VALUE"""),"")</f>
        <v/>
      </c>
      <c r="Q754" s="4" t="str">
        <f>IFERROR(__xludf.DUMMYFUNCTION("""COMPUTED_VALUE"""),"")</f>
        <v/>
      </c>
      <c r="R754" s="4" t="str">
        <f>IFERROR(__xludf.DUMMYFUNCTION("""COMPUTED_VALUE"""),"Jeremy Kaplan, Digital Trends")</f>
        <v>Jeremy Kaplan, Digital Trends</v>
      </c>
      <c r="S754" s="4" t="str">
        <f>IFERROR(__xludf.DUMMYFUNCTION("""COMPUTED_VALUE"""),"5G will change the way we do business and the way we live, work and play. Where does the impact on society fit in to all of this? 5G will profoundly impact every human activity. It will accelerate innovation, connect communities and help secure our world.")</f>
        <v>5G will change the way we do business and the way we live, work and play. Where does the impact on society fit in to all of this? 5G will profoundly impact every human activity. It will accelerate innovation, connect communities and help secure our world.</v>
      </c>
      <c r="T754" s="4" t="str">
        <f>IFERROR(__xludf.DUMMYFUNCTION("""COMPUTED_VALUE"""),"NON-KEYNOTE 9 - COMPLETE")</f>
        <v>NON-KEYNOTE 9 - COMPLETE</v>
      </c>
      <c r="U754" s="23">
        <f>IFERROR(__xludf.DUMMYFUNCTION("""COMPUTED_VALUE"""),43986.0)</f>
        <v>43986</v>
      </c>
      <c r="V754" s="24">
        <f>IFERROR(__xludf.DUMMYFUNCTION("""COMPUTED_VALUE"""),0.5833333333333334)</f>
        <v>0.5833333333</v>
      </c>
      <c r="W754" s="21" t="str">
        <f>IFERROR(__xludf.DUMMYFUNCTION("""COMPUTED_VALUE"""),"https://www.google.com/url?q=https://zoom.us/j/93528014500&amp;sa=D&amp;ust=1590248701218000&amp;usg=AOvVaw3w0amwtus4CmLMiF9ebsiK")</f>
        <v>https://www.google.com/url?q=https://zoom.us/j/93528014500&amp;sa=D&amp;ust=1590248701218000&amp;usg=AOvVaw3w0amwtus4CmLMiF9ebsiK</v>
      </c>
      <c r="X754" s="4" t="str">
        <f>IFERROR(__xludf.DUMMYFUNCTION("""COMPUTED_VALUE"""),"Ahmed")</f>
        <v>Ahmed</v>
      </c>
      <c r="Y754" s="4" t="str">
        <f>IFERROR(__xludf.DUMMYFUNCTION("""COMPUTED_VALUE"""),"")</f>
        <v/>
      </c>
    </row>
    <row r="755">
      <c r="A755" s="4" t="str">
        <f>IFERROR(__xludf.DUMMYFUNCTION("""COMPUTED_VALUE"""),"833 - Channel")</f>
        <v>833 - Channel</v>
      </c>
      <c r="B755" s="4" t="str">
        <f>IFERROR(__xludf.DUMMYFUNCTION("""COMPUTED_VALUE"""),"Channel 3")</f>
        <v>Channel 3</v>
      </c>
      <c r="C755" s="4" t="str">
        <f>IFERROR(__xludf.DUMMYFUNCTION("""COMPUTED_VALUE"""),"Day 1 - 23/06")</f>
        <v>Day 1 - 23/06</v>
      </c>
      <c r="D755" s="6">
        <f>IFERROR(__xludf.DUMMYFUNCTION("""COMPUTED_VALUE"""),0.5500810185185185)</f>
        <v>0.5500810185</v>
      </c>
      <c r="E755" s="6">
        <f>IFERROR(__xludf.DUMMYFUNCTION("""COMPUTED_VALUE"""),2.314814814814815E-4)</f>
        <v>0.0002314814815</v>
      </c>
      <c r="F755" s="6">
        <f>IFERROR(__xludf.DUMMYFUNCTION("""COMPUTED_VALUE"""),0.5503125)</f>
        <v>0.5503125</v>
      </c>
      <c r="G755" s="4" t="str">
        <f>IFERROR(__xludf.DUMMYFUNCTION("""COMPUTED_VALUE"""),"Graphics")</f>
        <v>Graphics</v>
      </c>
      <c r="H755" s="4" t="str">
        <f>IFERROR(__xludf.DUMMYFUNCTION("""COMPUTED_VALUE"""),"N/A")</f>
        <v>N/A</v>
      </c>
      <c r="I755" s="4" t="str">
        <f>IFERROR(__xludf.DUMMYFUNCTION("""COMPUTED_VALUE"""),"N/A")</f>
        <v>N/A</v>
      </c>
      <c r="J755" s="4" t="str">
        <f>IFERROR(__xludf.DUMMYFUNCTION("""COMPUTED_VALUE"""),"5G")</f>
        <v>5G</v>
      </c>
      <c r="K755" s="4" t="str">
        <f>IFERROR(__xludf.DUMMYFUNCTION("""COMPUTED_VALUE"""),"Talk Intro")</f>
        <v>Talk Intro</v>
      </c>
      <c r="L755" s="4" t="str">
        <f>IFERROR(__xludf.DUMMYFUNCTION("""COMPUTED_VALUE"""),"")</f>
        <v/>
      </c>
      <c r="M755" s="4" t="str">
        <f>IFERROR(__xludf.DUMMYFUNCTION("""COMPUTED_VALUE"""),"Talk Intro")</f>
        <v>Talk Intro</v>
      </c>
      <c r="N755" s="4" t="str">
        <f>IFERROR(__xludf.DUMMYFUNCTION("""COMPUTED_VALUE"""),"")</f>
        <v/>
      </c>
      <c r="O755" s="4" t="str">
        <f>IFERROR(__xludf.DUMMYFUNCTION("""COMPUTED_VALUE"""),"")</f>
        <v/>
      </c>
      <c r="P755" s="4" t="str">
        <f>IFERROR(__xludf.DUMMYFUNCTION("""COMPUTED_VALUE"""),"")</f>
        <v/>
      </c>
      <c r="Q755" s="4" t="str">
        <f>IFERROR(__xludf.DUMMYFUNCTION("""COMPUTED_VALUE"""),"")</f>
        <v/>
      </c>
      <c r="R755" s="4" t="str">
        <f>IFERROR(__xludf.DUMMYFUNCTION("""COMPUTED_VALUE"""),"")</f>
        <v/>
      </c>
      <c r="S755" s="4" t="str">
        <f>IFERROR(__xludf.DUMMYFUNCTION("""COMPUTED_VALUE"""),"")</f>
        <v/>
      </c>
      <c r="T755" s="4" t="str">
        <f>IFERROR(__xludf.DUMMYFUNCTION("""COMPUTED_VALUE"""),"")</f>
        <v/>
      </c>
      <c r="U755" s="4" t="str">
        <f>IFERROR(__xludf.DUMMYFUNCTION("""COMPUTED_VALUE"""),"")</f>
        <v/>
      </c>
      <c r="V755" s="4" t="str">
        <f>IFERROR(__xludf.DUMMYFUNCTION("""COMPUTED_VALUE"""),"")</f>
        <v/>
      </c>
      <c r="W755" s="4" t="str">
        <f>IFERROR(__xludf.DUMMYFUNCTION("""COMPUTED_VALUE"""),"")</f>
        <v/>
      </c>
      <c r="X755" s="4" t="str">
        <f>IFERROR(__xludf.DUMMYFUNCTION("""COMPUTED_VALUE"""),"")</f>
        <v/>
      </c>
      <c r="Y755" s="4" t="str">
        <f>IFERROR(__xludf.DUMMYFUNCTION("""COMPUTED_VALUE"""),"")</f>
        <v/>
      </c>
    </row>
    <row r="756">
      <c r="A756" s="4" t="str">
        <f>IFERROR(__xludf.DUMMYFUNCTION("""COMPUTED_VALUE"""),"834 - Channel")</f>
        <v>834 - Channel</v>
      </c>
      <c r="B756" s="4" t="str">
        <f>IFERROR(__xludf.DUMMYFUNCTION("""COMPUTED_VALUE"""),"Channel 3")</f>
        <v>Channel 3</v>
      </c>
      <c r="C756" s="4" t="str">
        <f>IFERROR(__xludf.DUMMYFUNCTION("""COMPUTED_VALUE"""),"Day 1 - 23/06")</f>
        <v>Day 1 - 23/06</v>
      </c>
      <c r="D756" s="6">
        <f>IFERROR(__xludf.DUMMYFUNCTION("""COMPUTED_VALUE"""),0.5503125)</f>
        <v>0.5503125</v>
      </c>
      <c r="E756" s="6">
        <f>IFERROR(__xludf.DUMMYFUNCTION("""COMPUTED_VALUE"""),0.010416666666666666)</f>
        <v>0.01041666667</v>
      </c>
      <c r="F756" s="6">
        <f>IFERROR(__xludf.DUMMYFUNCTION("""COMPUTED_VALUE"""),0.5607291666666666)</f>
        <v>0.5607291667</v>
      </c>
      <c r="G756" s="4" t="str">
        <f>IFERROR(__xludf.DUMMYFUNCTION("""COMPUTED_VALUE"""),"Darragh")</f>
        <v>Darragh</v>
      </c>
      <c r="H756" s="4" t="str">
        <f>IFERROR(__xludf.DUMMYFUNCTION("""COMPUTED_VALUE"""),"Shauna")</f>
        <v>Shauna</v>
      </c>
      <c r="I756" s="4" t="str">
        <f>IFERROR(__xludf.DUMMYFUNCTION("""COMPUTED_VALUE"""),"Lynn")</f>
        <v>Lynn</v>
      </c>
      <c r="J756" s="4" t="str">
        <f>IFERROR(__xludf.DUMMYFUNCTION("""COMPUTED_VALUE"""),"5G")</f>
        <v>5G</v>
      </c>
      <c r="K756" s="4" t="str">
        <f>IFERROR(__xludf.DUMMYFUNCTION("""COMPUTED_VALUE"""),"Fireside")</f>
        <v>Fireside</v>
      </c>
      <c r="L756" s="4" t="str">
        <f>IFERROR(__xludf.DUMMYFUNCTION("""COMPUTED_VALUE"""),"T- 2 - 08/06/2020")</f>
        <v>T- 2 - 08/06/2020</v>
      </c>
      <c r="M756" s="4" t="str">
        <f>IFERROR(__xludf.DUMMYFUNCTION("""COMPUTED_VALUE"""),"5G and accelerating the fourth industrial revolution")</f>
        <v>5G and accelerating the fourth industrial revolution</v>
      </c>
      <c r="N756" s="4" t="str">
        <f>IFERROR(__xludf.DUMMYFUNCTION("""COMPUTED_VALUE"""),"Marcus Weldon, Nokia")</f>
        <v>Marcus Weldon, Nokia</v>
      </c>
      <c r="O756" s="4" t="str">
        <f>IFERROR(__xludf.DUMMYFUNCTION("""COMPUTED_VALUE"""),"")</f>
        <v/>
      </c>
      <c r="P756" s="4" t="str">
        <f>IFERROR(__xludf.DUMMYFUNCTION("""COMPUTED_VALUE"""),"")</f>
        <v/>
      </c>
      <c r="Q756" s="4" t="str">
        <f>IFERROR(__xludf.DUMMYFUNCTION("""COMPUTED_VALUE"""),"")</f>
        <v/>
      </c>
      <c r="R756" s="4" t="str">
        <f>IFERROR(__xludf.DUMMYFUNCTION("""COMPUTED_VALUE"""),"Michael Hainsworth, @Futurithmic")</f>
        <v>Michael Hainsworth, @Futurithmic</v>
      </c>
      <c r="S756" s="4" t="str">
        <f>IFERROR(__xludf.DUMMYFUNCTION("""COMPUTED_VALUE"""),"With the overnight ubiquity of remote working and the shared dismay of failing wifi, how can 5G help in accelerating the fourth industrial revolution? Join us in this fireside chat between one of the biggest players in the mobile world – Nokia CEO Rajeev "&amp;"Suri – and Michael Hainsworth.")</f>
        <v>With the overnight ubiquity of remote working and the shared dismay of failing wifi, how can 5G help in accelerating the fourth industrial revolution? Join us in this fireside chat between one of the biggest players in the mobile world – Nokia CEO Rajeev Suri – and Michael Hainsworth.</v>
      </c>
      <c r="T756" s="4" t="str">
        <f>IFERROR(__xludf.DUMMYFUNCTION("""COMPUTED_VALUE"""),"NON-KEYNOTE 7 - Video to be recorded")</f>
        <v>NON-KEYNOTE 7 - Video to be recorded</v>
      </c>
      <c r="U756" s="23">
        <f>IFERROR(__xludf.DUMMYFUNCTION("""COMPUTED_VALUE"""),43991.0)</f>
        <v>43991</v>
      </c>
      <c r="V756" s="44">
        <f>IFERROR(__xludf.DUMMYFUNCTION("""COMPUTED_VALUE"""),0.625)</f>
        <v>0.625</v>
      </c>
      <c r="W756" s="4" t="str">
        <f>IFERROR(__xludf.DUMMYFUNCTION("""COMPUTED_VALUE"""),"TBC")</f>
        <v>TBC</v>
      </c>
      <c r="X756" s="4" t="str">
        <f>IFERROR(__xludf.DUMMYFUNCTION("""COMPUTED_VALUE"""),"Darragh")</f>
        <v>Darragh</v>
      </c>
      <c r="Y756" s="4" t="str">
        <f>IFERROR(__xludf.DUMMYFUNCTION("""COMPUTED_VALUE"""),"")</f>
        <v/>
      </c>
    </row>
    <row r="757">
      <c r="A757" s="4" t="str">
        <f>IFERROR(__xludf.DUMMYFUNCTION("""COMPUTED_VALUE"""),"1382 - Channel")</f>
        <v>1382 - Channel</v>
      </c>
      <c r="B757" s="4" t="str">
        <f>IFERROR(__xludf.DUMMYFUNCTION("""COMPUTED_VALUE"""),"Channel 3")</f>
        <v>Channel 3</v>
      </c>
      <c r="C757" s="4" t="str">
        <f>IFERROR(__xludf.DUMMYFUNCTION("""COMPUTED_VALUE"""),"Day 1 - 23/06")</f>
        <v>Day 1 - 23/06</v>
      </c>
      <c r="D757" s="6">
        <f>IFERROR(__xludf.DUMMYFUNCTION("""COMPUTED_VALUE"""),0.5607291666666666)</f>
        <v>0.5607291667</v>
      </c>
      <c r="E757" s="6">
        <f>IFERROR(__xludf.DUMMYFUNCTION("""COMPUTED_VALUE"""),3.4722222222222224E-4)</f>
        <v>0.0003472222222</v>
      </c>
      <c r="F757" s="6">
        <f>IFERROR(__xludf.DUMMYFUNCTION("""COMPUTED_VALUE"""),0.5610763888888889)</f>
        <v>0.5610763889</v>
      </c>
      <c r="G757" s="4" t="str">
        <f>IFERROR(__xludf.DUMMYFUNCTION("""COMPUTED_VALUE"""),"Graphics")</f>
        <v>Graphics</v>
      </c>
      <c r="H757" s="4" t="str">
        <f>IFERROR(__xludf.DUMMYFUNCTION("""COMPUTED_VALUE"""),"N/A")</f>
        <v>N/A</v>
      </c>
      <c r="I757" s="4" t="str">
        <f>IFERROR(__xludf.DUMMYFUNCTION("""COMPUTED_VALUE"""),"N/A")</f>
        <v>N/A</v>
      </c>
      <c r="J757" s="4" t="str">
        <f>IFERROR(__xludf.DUMMYFUNCTION("""COMPUTED_VALUE"""),"5G")</f>
        <v>5G</v>
      </c>
      <c r="K757" s="4" t="str">
        <f>IFERROR(__xludf.DUMMYFUNCTION("""COMPUTED_VALUE"""),"Talk Intro")</f>
        <v>Talk Intro</v>
      </c>
      <c r="L757" s="4" t="str">
        <f>IFERROR(__xludf.DUMMYFUNCTION("""COMPUTED_VALUE"""),"")</f>
        <v/>
      </c>
      <c r="M757" s="4" t="str">
        <f>IFERROR(__xludf.DUMMYFUNCTION("""COMPUTED_VALUE"""),"Talk Intro")</f>
        <v>Talk Intro</v>
      </c>
      <c r="N757" s="4" t="str">
        <f>IFERROR(__xludf.DUMMYFUNCTION("""COMPUTED_VALUE"""),"")</f>
        <v/>
      </c>
      <c r="O757" s="4" t="str">
        <f>IFERROR(__xludf.DUMMYFUNCTION("""COMPUTED_VALUE"""),"")</f>
        <v/>
      </c>
      <c r="P757" s="4" t="str">
        <f>IFERROR(__xludf.DUMMYFUNCTION("""COMPUTED_VALUE"""),"")</f>
        <v/>
      </c>
      <c r="Q757" s="4" t="str">
        <f>IFERROR(__xludf.DUMMYFUNCTION("""COMPUTED_VALUE"""),"")</f>
        <v/>
      </c>
      <c r="R757" s="4" t="str">
        <f>IFERROR(__xludf.DUMMYFUNCTION("""COMPUTED_VALUE"""),"")</f>
        <v/>
      </c>
      <c r="S757" s="4" t="str">
        <f>IFERROR(__xludf.DUMMYFUNCTION("""COMPUTED_VALUE"""),"")</f>
        <v/>
      </c>
      <c r="T757" s="4" t="str">
        <f>IFERROR(__xludf.DUMMYFUNCTION("""COMPUTED_VALUE"""),"")</f>
        <v/>
      </c>
      <c r="U757" s="4" t="str">
        <f>IFERROR(__xludf.DUMMYFUNCTION("""COMPUTED_VALUE"""),"")</f>
        <v/>
      </c>
      <c r="V757" s="4" t="str">
        <f>IFERROR(__xludf.DUMMYFUNCTION("""COMPUTED_VALUE"""),"")</f>
        <v/>
      </c>
      <c r="W757" s="4" t="str">
        <f>IFERROR(__xludf.DUMMYFUNCTION("""COMPUTED_VALUE"""),"")</f>
        <v/>
      </c>
      <c r="X757" s="4" t="str">
        <f>IFERROR(__xludf.DUMMYFUNCTION("""COMPUTED_VALUE"""),"")</f>
        <v/>
      </c>
      <c r="Y757" s="4" t="str">
        <f>IFERROR(__xludf.DUMMYFUNCTION("""COMPUTED_VALUE"""),"")</f>
        <v/>
      </c>
    </row>
    <row r="758">
      <c r="A758" s="4" t="str">
        <f>IFERROR(__xludf.DUMMYFUNCTION("""COMPUTED_VALUE"""),"1383 - Channel")</f>
        <v>1383 - Channel</v>
      </c>
      <c r="B758" s="4" t="str">
        <f>IFERROR(__xludf.DUMMYFUNCTION("""COMPUTED_VALUE"""),"Channel 3")</f>
        <v>Channel 3</v>
      </c>
      <c r="C758" s="4" t="str">
        <f>IFERROR(__xludf.DUMMYFUNCTION("""COMPUTED_VALUE"""),"Day 1 - 23/06")</f>
        <v>Day 1 - 23/06</v>
      </c>
      <c r="D758" s="6">
        <f>IFERROR(__xludf.DUMMYFUNCTION("""COMPUTED_VALUE"""),0.5610763888888889)</f>
        <v>0.5610763889</v>
      </c>
      <c r="E758" s="6">
        <f>IFERROR(__xludf.DUMMYFUNCTION("""COMPUTED_VALUE"""),0.012025462962962963)</f>
        <v>0.01202546296</v>
      </c>
      <c r="F758" s="6">
        <f>IFERROR(__xludf.DUMMYFUNCTION("""COMPUTED_VALUE"""),0.5731018518518518)</f>
        <v>0.5731018519</v>
      </c>
      <c r="G758" s="4" t="str">
        <f>IFERROR(__xludf.DUMMYFUNCTION("""COMPUTED_VALUE"""),"Brian")</f>
        <v>Brian</v>
      </c>
      <c r="H758" s="4" t="str">
        <f>IFERROR(__xludf.DUMMYFUNCTION("""COMPUTED_VALUE"""),"")</f>
        <v/>
      </c>
      <c r="I758" s="4" t="str">
        <f>IFERROR(__xludf.DUMMYFUNCTION("""COMPUTED_VALUE"""),"Eabha")</f>
        <v>Eabha</v>
      </c>
      <c r="J758" s="4" t="str">
        <f>IFERROR(__xludf.DUMMYFUNCTION("""COMPUTED_VALUE"""),"5G")</f>
        <v>5G</v>
      </c>
      <c r="K758" s="4" t="str">
        <f>IFERROR(__xludf.DUMMYFUNCTION("""COMPUTED_VALUE"""),"Fireside")</f>
        <v>Fireside</v>
      </c>
      <c r="L758" s="4" t="str">
        <f>IFERROR(__xludf.DUMMYFUNCTION("""COMPUTED_VALUE"""),"T- 3 - 01/06/2020")</f>
        <v>T- 3 - 01/06/2020</v>
      </c>
      <c r="M758" s="4" t="str">
        <f>IFERROR(__xludf.DUMMYFUNCTION("""COMPUTED_VALUE"""),"Leading through Covid-19 and beyond")</f>
        <v>Leading through Covid-19 and beyond</v>
      </c>
      <c r="N758" s="4" t="str">
        <f>IFERROR(__xludf.DUMMYFUNCTION("""COMPUTED_VALUE"""),"Patrik Frisk, Under Armour")</f>
        <v>Patrik Frisk, Under Armour</v>
      </c>
      <c r="O758" s="4" t="str">
        <f>IFERROR(__xludf.DUMMYFUNCTION("""COMPUTED_VALUE"""),"")</f>
        <v/>
      </c>
      <c r="P758" s="4" t="str">
        <f>IFERROR(__xludf.DUMMYFUNCTION("""COMPUTED_VALUE"""),"")</f>
        <v/>
      </c>
      <c r="Q758" s="4" t="str">
        <f>IFERROR(__xludf.DUMMYFUNCTION("""COMPUTED_VALUE"""),"")</f>
        <v/>
      </c>
      <c r="R758" s="4" t="str">
        <f>IFERROR(__xludf.DUMMYFUNCTION("""COMPUTED_VALUE"""),"Ty Montague, co:collective")</f>
        <v>Ty Montague, co:collective</v>
      </c>
      <c r="S758" s="4" t="str">
        <f>IFERROR(__xludf.DUMMYFUNCTION("""COMPUTED_VALUE"""),"Under Armour CEO Patrik Frisk and co:collective co-founder and CEO Ty Montague will discuss what it’s like to be the CEO who chooses a different path – one that meets the needs of consumers, not only today, but tomorrow.")</f>
        <v>Under Armour CEO Patrik Frisk and co:collective co-founder and CEO Ty Montague will discuss what it’s like to be the CEO who chooses a different path – one that meets the needs of consumers, not only today, but tomorrow.</v>
      </c>
      <c r="T758" s="4" t="str">
        <f>IFERROR(__xludf.DUMMYFUNCTION("""COMPUTED_VALUE"""),"KEYNOTE 8 - COMPLETE")</f>
        <v>KEYNOTE 8 - COMPLETE</v>
      </c>
      <c r="U758" s="23">
        <f>IFERROR(__xludf.DUMMYFUNCTION("""COMPUTED_VALUE"""),43984.0)</f>
        <v>43984</v>
      </c>
      <c r="V758" s="24">
        <f>IFERROR(__xludf.DUMMYFUNCTION("""COMPUTED_VALUE"""),0.7916666666666666)</f>
        <v>0.7916666667</v>
      </c>
      <c r="W758" s="4" t="str">
        <f>IFERROR(__xludf.DUMMYFUNCTION("""COMPUTED_VALUE"""),"COMPLETE")</f>
        <v>COMPLETE</v>
      </c>
      <c r="X758" s="4" t="str">
        <f>IFERROR(__xludf.DUMMYFUNCTION("""COMPUTED_VALUE"""),"Eabha")</f>
        <v>Eabha</v>
      </c>
      <c r="Y758" s="4" t="str">
        <f>IFERROR(__xludf.DUMMYFUNCTION("""COMPUTED_VALUE"""),"")</f>
        <v/>
      </c>
    </row>
    <row r="759">
      <c r="A759" s="4" t="str">
        <f>IFERROR(__xludf.DUMMYFUNCTION("""COMPUTED_VALUE"""),"1384 - Channel ")</f>
        <v>1384 - Channel </v>
      </c>
      <c r="B759" s="4" t="str">
        <f>IFERROR(__xludf.DUMMYFUNCTION("""COMPUTED_VALUE"""),"Channel 3")</f>
        <v>Channel 3</v>
      </c>
      <c r="C759" s="4" t="str">
        <f>IFERROR(__xludf.DUMMYFUNCTION("""COMPUTED_VALUE"""),"Day 1 - 23/06")</f>
        <v>Day 1 - 23/06</v>
      </c>
      <c r="D759" s="6">
        <f>IFERROR(__xludf.DUMMYFUNCTION("""COMPUTED_VALUE"""),0.5731018518518518)</f>
        <v>0.5731018519</v>
      </c>
      <c r="E759" s="6">
        <f>IFERROR(__xludf.DUMMYFUNCTION("""COMPUTED_VALUE"""),1.7361111111111112E-4)</f>
        <v>0.0001736111111</v>
      </c>
      <c r="F759" s="6">
        <f>IFERROR(__xludf.DUMMYFUNCTION("""COMPUTED_VALUE"""),0.573275462962963)</f>
        <v>0.573275463</v>
      </c>
      <c r="G759" s="4" t="str">
        <f>IFERROR(__xludf.DUMMYFUNCTION("""COMPUTED_VALUE"""),"Graphics")</f>
        <v>Graphics</v>
      </c>
      <c r="H759" s="4" t="str">
        <f>IFERROR(__xludf.DUMMYFUNCTION("""COMPUTED_VALUE"""),"")</f>
        <v/>
      </c>
      <c r="I759" s="4" t="str">
        <f>IFERROR(__xludf.DUMMYFUNCTION("""COMPUTED_VALUE"""),"")</f>
        <v/>
      </c>
      <c r="J759" s="4" t="str">
        <f>IFERROR(__xludf.DUMMYFUNCTION("""COMPUTED_VALUE"""),"")</f>
        <v/>
      </c>
      <c r="K759" s="4" t="str">
        <f>IFERROR(__xludf.DUMMYFUNCTION("""COMPUTED_VALUE"""),"Talk Outro")</f>
        <v>Talk Outro</v>
      </c>
      <c r="L759" s="4" t="str">
        <f>IFERROR(__xludf.DUMMYFUNCTION("""COMPUTED_VALUE"""),"")</f>
        <v/>
      </c>
      <c r="M759" s="4" t="str">
        <f>IFERROR(__xludf.DUMMYFUNCTION("""COMPUTED_VALUE"""),"Talk outro - KEEP")</f>
        <v>Talk outro - KEEP</v>
      </c>
      <c r="N759" s="4" t="str">
        <f>IFERROR(__xludf.DUMMYFUNCTION("""COMPUTED_VALUE"""),"")</f>
        <v/>
      </c>
      <c r="O759" s="4" t="str">
        <f>IFERROR(__xludf.DUMMYFUNCTION("""COMPUTED_VALUE"""),"")</f>
        <v/>
      </c>
      <c r="P759" s="4" t="str">
        <f>IFERROR(__xludf.DUMMYFUNCTION("""COMPUTED_VALUE"""),"")</f>
        <v/>
      </c>
      <c r="Q759" s="4" t="str">
        <f>IFERROR(__xludf.DUMMYFUNCTION("""COMPUTED_VALUE"""),"")</f>
        <v/>
      </c>
      <c r="R759" s="4" t="str">
        <f>IFERROR(__xludf.DUMMYFUNCTION("""COMPUTED_VALUE"""),"")</f>
        <v/>
      </c>
      <c r="S759" s="4" t="str">
        <f>IFERROR(__xludf.DUMMYFUNCTION("""COMPUTED_VALUE"""),"")</f>
        <v/>
      </c>
      <c r="T759" s="4" t="str">
        <f>IFERROR(__xludf.DUMMYFUNCTION("""COMPUTED_VALUE"""),"")</f>
        <v/>
      </c>
      <c r="U759" s="4" t="str">
        <f>IFERROR(__xludf.DUMMYFUNCTION("""COMPUTED_VALUE"""),"")</f>
        <v/>
      </c>
      <c r="V759" s="4" t="str">
        <f>IFERROR(__xludf.DUMMYFUNCTION("""COMPUTED_VALUE"""),"")</f>
        <v/>
      </c>
      <c r="W759" s="4" t="str">
        <f>IFERROR(__xludf.DUMMYFUNCTION("""COMPUTED_VALUE"""),"")</f>
        <v/>
      </c>
      <c r="X759" s="4" t="str">
        <f>IFERROR(__xludf.DUMMYFUNCTION("""COMPUTED_VALUE"""),"")</f>
        <v/>
      </c>
      <c r="Y759" s="4" t="str">
        <f>IFERROR(__xludf.DUMMYFUNCTION("""COMPUTED_VALUE"""),"")</f>
        <v/>
      </c>
    </row>
    <row r="760">
      <c r="A760" s="4" t="str">
        <f>IFERROR(__xludf.DUMMYFUNCTION("""COMPUTED_VALUE"""),"1566 - Channel")</f>
        <v>1566 - Channel</v>
      </c>
      <c r="B760" s="4" t="str">
        <f>IFERROR(__xludf.DUMMYFUNCTION("""COMPUTED_VALUE"""),"Channel 3")</f>
        <v>Channel 3</v>
      </c>
      <c r="C760" s="4" t="str">
        <f>IFERROR(__xludf.DUMMYFUNCTION("""COMPUTED_VALUE"""),"Day 1 - 23/06")</f>
        <v>Day 1 - 23/06</v>
      </c>
      <c r="D760" s="6">
        <f>IFERROR(__xludf.DUMMYFUNCTION("""COMPUTED_VALUE"""),0.573275462962963)</f>
        <v>0.573275463</v>
      </c>
      <c r="E760" s="6">
        <f>IFERROR(__xludf.DUMMYFUNCTION("""COMPUTED_VALUE"""),1.7361111111111112E-4)</f>
        <v>0.0001736111111</v>
      </c>
      <c r="F760" s="6">
        <f>IFERROR(__xludf.DUMMYFUNCTION("""COMPUTED_VALUE"""),0.5734490740740741)</f>
        <v>0.5734490741</v>
      </c>
      <c r="G760" s="4" t="str">
        <f>IFERROR(__xludf.DUMMYFUNCTION("""COMPUTED_VALUE"""),"P&amp;E")</f>
        <v>P&amp;E</v>
      </c>
      <c r="H760" s="4" t="str">
        <f>IFERROR(__xludf.DUMMYFUNCTION("""COMPUTED_VALUE"""),"")</f>
        <v/>
      </c>
      <c r="I760" s="4" t="str">
        <f>IFERROR(__xludf.DUMMYFUNCTION("""COMPUTED_VALUE"""),"")</f>
        <v/>
      </c>
      <c r="J760" s="4" t="str">
        <f>IFERROR(__xludf.DUMMYFUNCTION("""COMPUTED_VALUE"""),"")</f>
        <v/>
      </c>
      <c r="K760" s="4" t="str">
        <f>IFERROR(__xludf.DUMMYFUNCTION("""COMPUTED_VALUE"""),"Partner ad")</f>
        <v>Partner ad</v>
      </c>
      <c r="L760" s="4" t="str">
        <f>IFERROR(__xludf.DUMMYFUNCTION("""COMPUTED_VALUE"""),"")</f>
        <v/>
      </c>
      <c r="M760" s="4" t="str">
        <f>IFERROR(__xludf.DUMMYFUNCTION("""COMPUTED_VALUE"""),"Partner ad")</f>
        <v>Partner ad</v>
      </c>
      <c r="N760" s="4" t="str">
        <f>IFERROR(__xludf.DUMMYFUNCTION("""COMPUTED_VALUE"""),"")</f>
        <v/>
      </c>
      <c r="O760" s="4" t="str">
        <f>IFERROR(__xludf.DUMMYFUNCTION("""COMPUTED_VALUE"""),"")</f>
        <v/>
      </c>
      <c r="P760" s="4" t="str">
        <f>IFERROR(__xludf.DUMMYFUNCTION("""COMPUTED_VALUE"""),"")</f>
        <v/>
      </c>
      <c r="Q760" s="4" t="str">
        <f>IFERROR(__xludf.DUMMYFUNCTION("""COMPUTED_VALUE"""),"")</f>
        <v/>
      </c>
      <c r="R760" s="4" t="str">
        <f>IFERROR(__xludf.DUMMYFUNCTION("""COMPUTED_VALUE"""),"")</f>
        <v/>
      </c>
      <c r="S760" s="4" t="str">
        <f>IFERROR(__xludf.DUMMYFUNCTION("""COMPUTED_VALUE"""),"")</f>
        <v/>
      </c>
      <c r="T760" s="4" t="str">
        <f>IFERROR(__xludf.DUMMYFUNCTION("""COMPUTED_VALUE"""),"")</f>
        <v/>
      </c>
      <c r="U760" s="4" t="str">
        <f>IFERROR(__xludf.DUMMYFUNCTION("""COMPUTED_VALUE"""),"")</f>
        <v/>
      </c>
      <c r="V760" s="4" t="str">
        <f>IFERROR(__xludf.DUMMYFUNCTION("""COMPUTED_VALUE"""),"")</f>
        <v/>
      </c>
      <c r="W760" s="4" t="str">
        <f>IFERROR(__xludf.DUMMYFUNCTION("""COMPUTED_VALUE"""),"")</f>
        <v/>
      </c>
      <c r="X760" s="4" t="str">
        <f>IFERROR(__xludf.DUMMYFUNCTION("""COMPUTED_VALUE"""),"")</f>
        <v/>
      </c>
      <c r="Y760" s="4" t="str">
        <f>IFERROR(__xludf.DUMMYFUNCTION("""COMPUTED_VALUE"""),"")</f>
        <v/>
      </c>
    </row>
    <row r="761">
      <c r="A761" s="4" t="str">
        <f>IFERROR(__xludf.DUMMYFUNCTION("""COMPUTED_VALUE"""),"839 - Channel")</f>
        <v>839 - Channel</v>
      </c>
      <c r="B761" s="4" t="str">
        <f>IFERROR(__xludf.DUMMYFUNCTION("""COMPUTED_VALUE"""),"Channel 3")</f>
        <v>Channel 3</v>
      </c>
      <c r="C761" s="4" t="str">
        <f>IFERROR(__xludf.DUMMYFUNCTION("""COMPUTED_VALUE"""),"Day 1 - 23/06")</f>
        <v>Day 1 - 23/06</v>
      </c>
      <c r="D761" s="6">
        <f>IFERROR(__xludf.DUMMYFUNCTION("""COMPUTED_VALUE"""),0.5734490740740741)</f>
        <v>0.5734490741</v>
      </c>
      <c r="E761" s="6">
        <f>IFERROR(__xludf.DUMMYFUNCTION("""COMPUTED_VALUE"""),2.314814814814815E-4)</f>
        <v>0.0002314814815</v>
      </c>
      <c r="F761" s="6">
        <f>IFERROR(__xludf.DUMMYFUNCTION("""COMPUTED_VALUE"""),0.5736805555555555)</f>
        <v>0.5736805556</v>
      </c>
      <c r="G761" s="4" t="str">
        <f>IFERROR(__xludf.DUMMYFUNCTION("""COMPUTED_VALUE"""),"Graphics")</f>
        <v>Graphics</v>
      </c>
      <c r="H761" s="4" t="str">
        <f>IFERROR(__xludf.DUMMYFUNCTION("""COMPUTED_VALUE"""),"N/A")</f>
        <v>N/A</v>
      </c>
      <c r="I761" s="4" t="str">
        <f>IFERROR(__xludf.DUMMYFUNCTION("""COMPUTED_VALUE"""),"N/A")</f>
        <v>N/A</v>
      </c>
      <c r="J761" s="4" t="str">
        <f>IFERROR(__xludf.DUMMYFUNCTION("""COMPUTED_VALUE"""),"5G")</f>
        <v>5G</v>
      </c>
      <c r="K761" s="4" t="str">
        <f>IFERROR(__xludf.DUMMYFUNCTION("""COMPUTED_VALUE"""),"Talk Intro")</f>
        <v>Talk Intro</v>
      </c>
      <c r="L761" s="4" t="str">
        <f>IFERROR(__xludf.DUMMYFUNCTION("""COMPUTED_VALUE"""),"")</f>
        <v/>
      </c>
      <c r="M761" s="4" t="str">
        <f>IFERROR(__xludf.DUMMYFUNCTION("""COMPUTED_VALUE"""),"Talk Intro")</f>
        <v>Talk Intro</v>
      </c>
      <c r="N761" s="4" t="str">
        <f>IFERROR(__xludf.DUMMYFUNCTION("""COMPUTED_VALUE"""),"")</f>
        <v/>
      </c>
      <c r="O761" s="4" t="str">
        <f>IFERROR(__xludf.DUMMYFUNCTION("""COMPUTED_VALUE"""),"")</f>
        <v/>
      </c>
      <c r="P761" s="4" t="str">
        <f>IFERROR(__xludf.DUMMYFUNCTION("""COMPUTED_VALUE"""),"")</f>
        <v/>
      </c>
      <c r="Q761" s="4" t="str">
        <f>IFERROR(__xludf.DUMMYFUNCTION("""COMPUTED_VALUE"""),"")</f>
        <v/>
      </c>
      <c r="R761" s="4" t="str">
        <f>IFERROR(__xludf.DUMMYFUNCTION("""COMPUTED_VALUE"""),"")</f>
        <v/>
      </c>
      <c r="S761" s="4" t="str">
        <f>IFERROR(__xludf.DUMMYFUNCTION("""COMPUTED_VALUE"""),"")</f>
        <v/>
      </c>
      <c r="T761" s="4" t="str">
        <f>IFERROR(__xludf.DUMMYFUNCTION("""COMPUTED_VALUE"""),"")</f>
        <v/>
      </c>
      <c r="U761" s="4" t="str">
        <f>IFERROR(__xludf.DUMMYFUNCTION("""COMPUTED_VALUE"""),"")</f>
        <v/>
      </c>
      <c r="V761" s="4" t="str">
        <f>IFERROR(__xludf.DUMMYFUNCTION("""COMPUTED_VALUE"""),"")</f>
        <v/>
      </c>
      <c r="W761" s="4" t="str">
        <f>IFERROR(__xludf.DUMMYFUNCTION("""COMPUTED_VALUE"""),"")</f>
        <v/>
      </c>
      <c r="X761" s="4" t="str">
        <f>IFERROR(__xludf.DUMMYFUNCTION("""COMPUTED_VALUE"""),"")</f>
        <v/>
      </c>
      <c r="Y761" s="4" t="str">
        <f>IFERROR(__xludf.DUMMYFUNCTION("""COMPUTED_VALUE"""),"")</f>
        <v/>
      </c>
    </row>
    <row r="762">
      <c r="A762" s="4" t="str">
        <f>IFERROR(__xludf.DUMMYFUNCTION("""COMPUTED_VALUE"""),"840 - Channel")</f>
        <v>840 - Channel</v>
      </c>
      <c r="B762" s="4" t="str">
        <f>IFERROR(__xludf.DUMMYFUNCTION("""COMPUTED_VALUE"""),"Channel 3")</f>
        <v>Channel 3</v>
      </c>
      <c r="C762" s="4" t="str">
        <f>IFERROR(__xludf.DUMMYFUNCTION("""COMPUTED_VALUE"""),"Day 1 - 23/06")</f>
        <v>Day 1 - 23/06</v>
      </c>
      <c r="D762" s="6">
        <f>IFERROR(__xludf.DUMMYFUNCTION("""COMPUTED_VALUE"""),0.5736805555555555)</f>
        <v>0.5736805556</v>
      </c>
      <c r="E762" s="6">
        <f>IFERROR(__xludf.DUMMYFUNCTION("""COMPUTED_VALUE"""),0.009097222222222222)</f>
        <v>0.009097222222</v>
      </c>
      <c r="F762" s="6">
        <f>IFERROR(__xludf.DUMMYFUNCTION("""COMPUTED_VALUE"""),0.5827777777777777)</f>
        <v>0.5827777778</v>
      </c>
      <c r="G762" s="4" t="str">
        <f>IFERROR(__xludf.DUMMYFUNCTION("""COMPUTED_VALUE"""),"Kat")</f>
        <v>Kat</v>
      </c>
      <c r="H762" s="4" t="str">
        <f>IFERROR(__xludf.DUMMYFUNCTION("""COMPUTED_VALUE"""),"Lingyu")</f>
        <v>Lingyu</v>
      </c>
      <c r="I762" s="4" t="str">
        <f>IFERROR(__xludf.DUMMYFUNCTION("""COMPUTED_VALUE"""),"Lynn")</f>
        <v>Lynn</v>
      </c>
      <c r="J762" s="4" t="str">
        <f>IFERROR(__xludf.DUMMYFUNCTION("""COMPUTED_VALUE"""),"5G")</f>
        <v>5G</v>
      </c>
      <c r="K762" s="4" t="str">
        <f>IFERROR(__xludf.DUMMYFUNCTION("""COMPUTED_VALUE"""),"Fireside")</f>
        <v>Fireside</v>
      </c>
      <c r="L762" s="4" t="str">
        <f>IFERROR(__xludf.DUMMYFUNCTION("""COMPUTED_VALUE"""),"T- 3 - 01/06/2020")</f>
        <v>T- 3 - 01/06/2020</v>
      </c>
      <c r="M762" s="4" t="str">
        <f>IFERROR(__xludf.DUMMYFUNCTION("""COMPUTED_VALUE"""),"5G to usher in brighter future")</f>
        <v>5G to usher in brighter future</v>
      </c>
      <c r="N762" s="4" t="str">
        <f>IFERROR(__xludf.DUMMYFUNCTION("""COMPUTED_VALUE"""),"Alex Rogers, Qualcomm")</f>
        <v>Alex Rogers, Qualcomm</v>
      </c>
      <c r="O762" s="4" t="str">
        <f>IFERROR(__xludf.DUMMYFUNCTION("""COMPUTED_VALUE"""),"")</f>
        <v/>
      </c>
      <c r="P762" s="4" t="str">
        <f>IFERROR(__xludf.DUMMYFUNCTION("""COMPUTED_VALUE"""),"")</f>
        <v/>
      </c>
      <c r="Q762" s="4" t="str">
        <f>IFERROR(__xludf.DUMMYFUNCTION("""COMPUTED_VALUE"""),"")</f>
        <v/>
      </c>
      <c r="R762" s="4" t="str">
        <f>IFERROR(__xludf.DUMMYFUNCTION("""COMPUTED_VALUE"""),"Patrick Moorhead, MOOR INSIGHTS &amp; STRATEGY")</f>
        <v>Patrick Moorhead, MOOR INSIGHTS &amp; STRATEGY</v>
      </c>
      <c r="S762" s="4" t="str">
        <f>IFERROR(__xludf.DUMMYFUNCTION("""COMPUTED_VALUE"""),"In conversation with Patrick Moorhead, Qualcomm's Alex Rogers discusses what 5G is going to bring us.")</f>
        <v>In conversation with Patrick Moorhead, Qualcomm's Alex Rogers discusses what 5G is going to bring us.</v>
      </c>
      <c r="T762" s="4" t="str">
        <f>IFERROR(__xludf.DUMMYFUNCTION("""COMPUTED_VALUE"""),"NON-KEYNOTE 9 - COMPLETE")</f>
        <v>NON-KEYNOTE 9 - COMPLETE</v>
      </c>
      <c r="U762" s="23">
        <f>IFERROR(__xludf.DUMMYFUNCTION("""COMPUTED_VALUE"""),43987.0)</f>
        <v>43987</v>
      </c>
      <c r="V762" s="4" t="str">
        <f>IFERROR(__xludf.DUMMYFUNCTION("""COMPUTED_VALUE"""),"")</f>
        <v/>
      </c>
      <c r="W762" s="4" t="str">
        <f>IFERROR(__xludf.DUMMYFUNCTION("""COMPUTED_VALUE"""),"Speaker recording themselves")</f>
        <v>Speaker recording themselves</v>
      </c>
      <c r="X762" s="4" t="str">
        <f>IFERROR(__xludf.DUMMYFUNCTION("""COMPUTED_VALUE"""),"Kat")</f>
        <v>Kat</v>
      </c>
      <c r="Y762" s="4" t="str">
        <f>IFERROR(__xludf.DUMMYFUNCTION("""COMPUTED_VALUE"""),"")</f>
        <v/>
      </c>
    </row>
    <row r="763">
      <c r="A763" s="4" t="str">
        <f>IFERROR(__xludf.DUMMYFUNCTION("""COMPUTED_VALUE"""),"1561 - Channel")</f>
        <v>1561 - Channel</v>
      </c>
      <c r="B763" s="4" t="str">
        <f>IFERROR(__xludf.DUMMYFUNCTION("""COMPUTED_VALUE"""),"Channel 3")</f>
        <v>Channel 3</v>
      </c>
      <c r="C763" s="4" t="str">
        <f>IFERROR(__xludf.DUMMYFUNCTION("""COMPUTED_VALUE"""),"Day 1 - 23/06")</f>
        <v>Day 1 - 23/06</v>
      </c>
      <c r="D763" s="4" t="str">
        <f>IFERROR(__xludf.DUMMYFUNCTION("""COMPUTED_VALUE"""),"")</f>
        <v/>
      </c>
      <c r="E763" s="4" t="str">
        <f>IFERROR(__xludf.DUMMYFUNCTION("""COMPUTED_VALUE"""),"")</f>
        <v/>
      </c>
      <c r="F763" s="4" t="str">
        <f>IFERROR(__xludf.DUMMYFUNCTION("""COMPUTED_VALUE"""),"")</f>
        <v/>
      </c>
      <c r="G763" s="4" t="str">
        <f>IFERROR(__xludf.DUMMYFUNCTION("""COMPUTED_VALUE"""),"")</f>
        <v/>
      </c>
      <c r="H763" s="4" t="str">
        <f>IFERROR(__xludf.DUMMYFUNCTION("""COMPUTED_VALUE"""),"")</f>
        <v/>
      </c>
      <c r="I763" s="4" t="str">
        <f>IFERROR(__xludf.DUMMYFUNCTION("""COMPUTED_VALUE"""),"")</f>
        <v/>
      </c>
      <c r="J763" s="4" t="str">
        <f>IFERROR(__xludf.DUMMYFUNCTION("""COMPUTED_VALUE"""),"")</f>
        <v/>
      </c>
      <c r="K763" s="4" t="str">
        <f>IFERROR(__xludf.DUMMYFUNCTION("""COMPUTED_VALUE"""),"")</f>
        <v/>
      </c>
      <c r="L763" s="4" t="str">
        <f>IFERROR(__xludf.DUMMYFUNCTION("""COMPUTED_VALUE"""),"")</f>
        <v/>
      </c>
      <c r="M763" s="4" t="str">
        <f>IFERROR(__xludf.DUMMYFUNCTION("""COMPUTED_VALUE"""),"")</f>
        <v/>
      </c>
      <c r="N763" s="4" t="str">
        <f>IFERROR(__xludf.DUMMYFUNCTION("""COMPUTED_VALUE"""),"")</f>
        <v/>
      </c>
      <c r="O763" s="4" t="str">
        <f>IFERROR(__xludf.DUMMYFUNCTION("""COMPUTED_VALUE"""),"")</f>
        <v/>
      </c>
      <c r="P763" s="4" t="str">
        <f>IFERROR(__xludf.DUMMYFUNCTION("""COMPUTED_VALUE"""),"")</f>
        <v/>
      </c>
      <c r="Q763" s="4" t="str">
        <f>IFERROR(__xludf.DUMMYFUNCTION("""COMPUTED_VALUE"""),"")</f>
        <v/>
      </c>
      <c r="R763" s="4" t="str">
        <f>IFERROR(__xludf.DUMMYFUNCTION("""COMPUTED_VALUE"""),"")</f>
        <v/>
      </c>
      <c r="S763" s="4" t="str">
        <f>IFERROR(__xludf.DUMMYFUNCTION("""COMPUTED_VALUE"""),"")</f>
        <v/>
      </c>
      <c r="T763" s="4" t="str">
        <f>IFERROR(__xludf.DUMMYFUNCTION("""COMPUTED_VALUE"""),"")</f>
        <v/>
      </c>
      <c r="U763" s="4" t="str">
        <f>IFERROR(__xludf.DUMMYFUNCTION("""COMPUTED_VALUE"""),"")</f>
        <v/>
      </c>
      <c r="V763" s="4" t="str">
        <f>IFERROR(__xludf.DUMMYFUNCTION("""COMPUTED_VALUE"""),"")</f>
        <v/>
      </c>
      <c r="W763" s="4" t="str">
        <f>IFERROR(__xludf.DUMMYFUNCTION("""COMPUTED_VALUE"""),"")</f>
        <v/>
      </c>
      <c r="X763" s="4" t="str">
        <f>IFERROR(__xludf.DUMMYFUNCTION("""COMPUTED_VALUE"""),"")</f>
        <v/>
      </c>
      <c r="Y763" s="4" t="str">
        <f>IFERROR(__xludf.DUMMYFUNCTION("""COMPUTED_VALUE"""),"")</f>
        <v/>
      </c>
    </row>
    <row r="764">
      <c r="A764" s="4" t="str">
        <f>IFERROR(__xludf.DUMMYFUNCTION("""COMPUTED_VALUE"""),"843 - Channel")</f>
        <v>843 - Channel</v>
      </c>
      <c r="B764" s="4" t="str">
        <f>IFERROR(__xludf.DUMMYFUNCTION("""COMPUTED_VALUE"""),"Channel 3")</f>
        <v>Channel 3</v>
      </c>
      <c r="C764" s="4" t="str">
        <f>IFERROR(__xludf.DUMMYFUNCTION("""COMPUTED_VALUE"""),"Day 1 - 23/06")</f>
        <v>Day 1 - 23/06</v>
      </c>
      <c r="D764" s="6">
        <f>IFERROR(__xludf.DUMMYFUNCTION("""COMPUTED_VALUE"""),0.5833333333333334)</f>
        <v>0.5833333333</v>
      </c>
      <c r="E764" s="6">
        <f>IFERROR(__xludf.DUMMYFUNCTION("""COMPUTED_VALUE"""),1.9675925925925926E-4)</f>
        <v>0.0001967592593</v>
      </c>
      <c r="F764" s="6">
        <f>IFERROR(__xludf.DUMMYFUNCTION("""COMPUTED_VALUE"""),0.5835300925925926)</f>
        <v>0.5835300926</v>
      </c>
      <c r="G764" s="4" t="str">
        <f>IFERROR(__xludf.DUMMYFUNCTION("""COMPUTED_VALUE"""),"Startups")</f>
        <v>Startups</v>
      </c>
      <c r="H764" s="4" t="str">
        <f>IFERROR(__xludf.DUMMYFUNCTION("""COMPUTED_VALUE"""),"N/A")</f>
        <v>N/A</v>
      </c>
      <c r="I764" s="4" t="str">
        <f>IFERROR(__xludf.DUMMYFUNCTION("""COMPUTED_VALUE"""),"N/A")</f>
        <v>N/A</v>
      </c>
      <c r="J764" s="4" t="str">
        <f>IFERROR(__xludf.DUMMYFUNCTION("""COMPUTED_VALUE"""),"Climate")</f>
        <v>Climate</v>
      </c>
      <c r="K764" s="4" t="str">
        <f>IFERROR(__xludf.DUMMYFUNCTION("""COMPUTED_VALUE"""),"40 Words")</f>
        <v>40 Words</v>
      </c>
      <c r="L764" s="4" t="str">
        <f>IFERROR(__xludf.DUMMYFUNCTION("""COMPUTED_VALUE"""),"")</f>
        <v/>
      </c>
      <c r="M764" s="4" t="str">
        <f>IFERROR(__xludf.DUMMYFUNCTION("""COMPUTED_VALUE"""),"40 Words #6 _Query Layer")</f>
        <v>40 Words #6 _Query Layer</v>
      </c>
      <c r="N764" s="4" t="str">
        <f>IFERROR(__xludf.DUMMYFUNCTION("""COMPUTED_VALUE"""),"")</f>
        <v/>
      </c>
      <c r="O764" s="4" t="str">
        <f>IFERROR(__xludf.DUMMYFUNCTION("""COMPUTED_VALUE"""),"")</f>
        <v/>
      </c>
      <c r="P764" s="4" t="str">
        <f>IFERROR(__xludf.DUMMYFUNCTION("""COMPUTED_VALUE"""),"")</f>
        <v/>
      </c>
      <c r="Q764" s="4" t="str">
        <f>IFERROR(__xludf.DUMMYFUNCTION("""COMPUTED_VALUE"""),"")</f>
        <v/>
      </c>
      <c r="R764" s="4" t="str">
        <f>IFERROR(__xludf.DUMMYFUNCTION("""COMPUTED_VALUE"""),"")</f>
        <v/>
      </c>
      <c r="S764" s="4" t="str">
        <f>IFERROR(__xludf.DUMMYFUNCTION("""COMPUTED_VALUE"""),"")</f>
        <v/>
      </c>
      <c r="T764" s="4" t="str">
        <f>IFERROR(__xludf.DUMMYFUNCTION("""COMPUTED_VALUE"""),"")</f>
        <v/>
      </c>
      <c r="U764" s="4" t="str">
        <f>IFERROR(__xludf.DUMMYFUNCTION("""COMPUTED_VALUE"""),"")</f>
        <v/>
      </c>
      <c r="V764" s="4" t="str">
        <f>IFERROR(__xludf.DUMMYFUNCTION("""COMPUTED_VALUE"""),"")</f>
        <v/>
      </c>
      <c r="W764" s="4" t="str">
        <f>IFERROR(__xludf.DUMMYFUNCTION("""COMPUTED_VALUE"""),"")</f>
        <v/>
      </c>
      <c r="X764" s="4" t="str">
        <f>IFERROR(__xludf.DUMMYFUNCTION("""COMPUTED_VALUE"""),"")</f>
        <v/>
      </c>
      <c r="Y764" s="4" t="str">
        <f>IFERROR(__xludf.DUMMYFUNCTION("""COMPUTED_VALUE"""),"")</f>
        <v/>
      </c>
    </row>
    <row r="765">
      <c r="A765" s="4" t="str">
        <f>IFERROR(__xludf.DUMMYFUNCTION("""COMPUTED_VALUE"""),"802 - Channel")</f>
        <v>802 - Channel</v>
      </c>
      <c r="B765" s="4" t="str">
        <f>IFERROR(__xludf.DUMMYFUNCTION("""COMPUTED_VALUE"""),"Channel 3")</f>
        <v>Channel 3</v>
      </c>
      <c r="C765" s="4" t="str">
        <f>IFERROR(__xludf.DUMMYFUNCTION("""COMPUTED_VALUE"""),"Day 1 - 23/06")</f>
        <v>Day 1 - 23/06</v>
      </c>
      <c r="D765" s="6">
        <f>IFERROR(__xludf.DUMMYFUNCTION("""COMPUTED_VALUE"""),0.5835300925925926)</f>
        <v>0.5835300926</v>
      </c>
      <c r="E765" s="6">
        <f>IFERROR(__xludf.DUMMYFUNCTION("""COMPUTED_VALUE"""),1.7361111111111112E-4)</f>
        <v>0.0001736111111</v>
      </c>
      <c r="F765" s="6">
        <f>IFERROR(__xludf.DUMMYFUNCTION("""COMPUTED_VALUE"""),0.5837037037037037)</f>
        <v>0.5837037037</v>
      </c>
      <c r="G765" s="4" t="str">
        <f>IFERROR(__xludf.DUMMYFUNCTION("""COMPUTED_VALUE"""),"P&amp;E")</f>
        <v>P&amp;E</v>
      </c>
      <c r="H765" s="4" t="str">
        <f>IFERROR(__xludf.DUMMYFUNCTION("""COMPUTED_VALUE"""),"N/A")</f>
        <v>N/A</v>
      </c>
      <c r="I765" s="4" t="str">
        <f>IFERROR(__xludf.DUMMYFUNCTION("""COMPUTED_VALUE"""),"N/A")</f>
        <v>N/A</v>
      </c>
      <c r="J765" s="4" t="str">
        <f>IFERROR(__xludf.DUMMYFUNCTION("""COMPUTED_VALUE"""),"Marketing")</f>
        <v>Marketing</v>
      </c>
      <c r="K765" s="4" t="str">
        <f>IFERROR(__xludf.DUMMYFUNCTION("""COMPUTED_VALUE"""),"Partner ad")</f>
        <v>Partner ad</v>
      </c>
      <c r="L765" s="4" t="str">
        <f>IFERROR(__xludf.DUMMYFUNCTION("""COMPUTED_VALUE"""),"")</f>
        <v/>
      </c>
      <c r="M765" s="4" t="str">
        <f>IFERROR(__xludf.DUMMYFUNCTION("""COMPUTED_VALUE"""),"Partner ad - TD Bank")</f>
        <v>Partner ad - TD Bank</v>
      </c>
      <c r="N765" s="4" t="str">
        <f>IFERROR(__xludf.DUMMYFUNCTION("""COMPUTED_VALUE"""),"")</f>
        <v/>
      </c>
      <c r="O765" s="4" t="str">
        <f>IFERROR(__xludf.DUMMYFUNCTION("""COMPUTED_VALUE"""),"")</f>
        <v/>
      </c>
      <c r="P765" s="4" t="str">
        <f>IFERROR(__xludf.DUMMYFUNCTION("""COMPUTED_VALUE"""),"")</f>
        <v/>
      </c>
      <c r="Q765" s="4" t="str">
        <f>IFERROR(__xludf.DUMMYFUNCTION("""COMPUTED_VALUE"""),"")</f>
        <v/>
      </c>
      <c r="R765" s="4" t="str">
        <f>IFERROR(__xludf.DUMMYFUNCTION("""COMPUTED_VALUE"""),"")</f>
        <v/>
      </c>
      <c r="S765" s="4" t="str">
        <f>IFERROR(__xludf.DUMMYFUNCTION("""COMPUTED_VALUE"""),"")</f>
        <v/>
      </c>
      <c r="T765" s="4" t="str">
        <f>IFERROR(__xludf.DUMMYFUNCTION("""COMPUTED_VALUE"""),"")</f>
        <v/>
      </c>
      <c r="U765" s="4" t="str">
        <f>IFERROR(__xludf.DUMMYFUNCTION("""COMPUTED_VALUE"""),"")</f>
        <v/>
      </c>
      <c r="V765" s="4" t="str">
        <f>IFERROR(__xludf.DUMMYFUNCTION("""COMPUTED_VALUE"""),"")</f>
        <v/>
      </c>
      <c r="W765" s="4" t="str">
        <f>IFERROR(__xludf.DUMMYFUNCTION("""COMPUTED_VALUE"""),"")</f>
        <v/>
      </c>
      <c r="X765" s="4" t="str">
        <f>IFERROR(__xludf.DUMMYFUNCTION("""COMPUTED_VALUE"""),"")</f>
        <v/>
      </c>
      <c r="Y765" s="4" t="str">
        <f>IFERROR(__xludf.DUMMYFUNCTION("""COMPUTED_VALUE"""),"")</f>
        <v/>
      </c>
    </row>
    <row r="766">
      <c r="A766" s="4" t="str">
        <f>IFERROR(__xludf.DUMMYFUNCTION("""COMPUTED_VALUE"""),"808 - Channel")</f>
        <v>808 - Channel</v>
      </c>
      <c r="B766" s="4" t="str">
        <f>IFERROR(__xludf.DUMMYFUNCTION("""COMPUTED_VALUE"""),"Channel 3")</f>
        <v>Channel 3</v>
      </c>
      <c r="C766" s="4" t="str">
        <f>IFERROR(__xludf.DUMMYFUNCTION("""COMPUTED_VALUE"""),"Day 1 - 23/06")</f>
        <v>Day 1 - 23/06</v>
      </c>
      <c r="D766" s="6">
        <f>IFERROR(__xludf.DUMMYFUNCTION("""COMPUTED_VALUE"""),0.5837037037037037)</f>
        <v>0.5837037037</v>
      </c>
      <c r="E766" s="6">
        <f>IFERROR(__xludf.DUMMYFUNCTION("""COMPUTED_VALUE"""),2.314814814814815E-4)</f>
        <v>0.0002314814815</v>
      </c>
      <c r="F766" s="6">
        <f>IFERROR(__xludf.DUMMYFUNCTION("""COMPUTED_VALUE"""),0.5839351851851852)</f>
        <v>0.5839351852</v>
      </c>
      <c r="G766" s="4" t="str">
        <f>IFERROR(__xludf.DUMMYFUNCTION("""COMPUTED_VALUE"""),"Graphics")</f>
        <v>Graphics</v>
      </c>
      <c r="H766" s="4" t="str">
        <f>IFERROR(__xludf.DUMMYFUNCTION("""COMPUTED_VALUE"""),"N/A")</f>
        <v>N/A</v>
      </c>
      <c r="I766" s="4" t="str">
        <f>IFERROR(__xludf.DUMMYFUNCTION("""COMPUTED_VALUE"""),"N/A")</f>
        <v>N/A</v>
      </c>
      <c r="J766" s="4" t="str">
        <f>IFERROR(__xludf.DUMMYFUNCTION("""COMPUTED_VALUE"""),"Marketing")</f>
        <v>Marketing</v>
      </c>
      <c r="K766" s="4" t="str">
        <f>IFERROR(__xludf.DUMMYFUNCTION("""COMPUTED_VALUE"""),"Talk Intro")</f>
        <v>Talk Intro</v>
      </c>
      <c r="L766" s="4" t="str">
        <f>IFERROR(__xludf.DUMMYFUNCTION("""COMPUTED_VALUE"""),"")</f>
        <v/>
      </c>
      <c r="M766" s="4" t="str">
        <f>IFERROR(__xludf.DUMMYFUNCTION("""COMPUTED_VALUE"""),"Talk Intro")</f>
        <v>Talk Intro</v>
      </c>
      <c r="N766" s="4" t="str">
        <f>IFERROR(__xludf.DUMMYFUNCTION("""COMPUTED_VALUE"""),"")</f>
        <v/>
      </c>
      <c r="O766" s="4" t="str">
        <f>IFERROR(__xludf.DUMMYFUNCTION("""COMPUTED_VALUE"""),"")</f>
        <v/>
      </c>
      <c r="P766" s="4" t="str">
        <f>IFERROR(__xludf.DUMMYFUNCTION("""COMPUTED_VALUE"""),"")</f>
        <v/>
      </c>
      <c r="Q766" s="4" t="str">
        <f>IFERROR(__xludf.DUMMYFUNCTION("""COMPUTED_VALUE"""),"")</f>
        <v/>
      </c>
      <c r="R766" s="4" t="str">
        <f>IFERROR(__xludf.DUMMYFUNCTION("""COMPUTED_VALUE"""),"")</f>
        <v/>
      </c>
      <c r="S766" s="4" t="str">
        <f>IFERROR(__xludf.DUMMYFUNCTION("""COMPUTED_VALUE"""),"")</f>
        <v/>
      </c>
      <c r="T766" s="4" t="str">
        <f>IFERROR(__xludf.DUMMYFUNCTION("""COMPUTED_VALUE"""),"")</f>
        <v/>
      </c>
      <c r="U766" s="4" t="str">
        <f>IFERROR(__xludf.DUMMYFUNCTION("""COMPUTED_VALUE"""),"")</f>
        <v/>
      </c>
      <c r="V766" s="4" t="str">
        <f>IFERROR(__xludf.DUMMYFUNCTION("""COMPUTED_VALUE"""),"")</f>
        <v/>
      </c>
      <c r="W766" s="4" t="str">
        <f>IFERROR(__xludf.DUMMYFUNCTION("""COMPUTED_VALUE"""),"")</f>
        <v/>
      </c>
      <c r="X766" s="4" t="str">
        <f>IFERROR(__xludf.DUMMYFUNCTION("""COMPUTED_VALUE"""),"")</f>
        <v/>
      </c>
      <c r="Y766" s="4" t="str">
        <f>IFERROR(__xludf.DUMMYFUNCTION("""COMPUTED_VALUE"""),"")</f>
        <v/>
      </c>
    </row>
    <row r="767">
      <c r="A767" s="4" t="str">
        <f>IFERROR(__xludf.DUMMYFUNCTION("""COMPUTED_VALUE"""),"809 - Channel")</f>
        <v>809 - Channel</v>
      </c>
      <c r="B767" s="4" t="str">
        <f>IFERROR(__xludf.DUMMYFUNCTION("""COMPUTED_VALUE"""),"Channel 3")</f>
        <v>Channel 3</v>
      </c>
      <c r="C767" s="4" t="str">
        <f>IFERROR(__xludf.DUMMYFUNCTION("""COMPUTED_VALUE"""),"Day 1 - 23/06")</f>
        <v>Day 1 - 23/06</v>
      </c>
      <c r="D767" s="6">
        <f>IFERROR(__xludf.DUMMYFUNCTION("""COMPUTED_VALUE"""),0.5839351851851852)</f>
        <v>0.5839351852</v>
      </c>
      <c r="E767" s="6">
        <f>IFERROR(__xludf.DUMMYFUNCTION("""COMPUTED_VALUE"""),0.009791666666666667)</f>
        <v>0.009791666667</v>
      </c>
      <c r="F767" s="6">
        <f>IFERROR(__xludf.DUMMYFUNCTION("""COMPUTED_VALUE"""),0.5937268518518518)</f>
        <v>0.5937268519</v>
      </c>
      <c r="G767" s="4" t="str">
        <f>IFERROR(__xludf.DUMMYFUNCTION("""COMPUTED_VALUE"""),"Luan")</f>
        <v>Luan</v>
      </c>
      <c r="H767" s="4" t="str">
        <f>IFERROR(__xludf.DUMMYFUNCTION("""COMPUTED_VALUE"""),"N/A")</f>
        <v>N/A</v>
      </c>
      <c r="I767" s="4" t="str">
        <f>IFERROR(__xludf.DUMMYFUNCTION("""COMPUTED_VALUE"""),"Hannah")</f>
        <v>Hannah</v>
      </c>
      <c r="J767" s="4" t="str">
        <f>IFERROR(__xludf.DUMMYFUNCTION("""COMPUTED_VALUE"""),"Marketing")</f>
        <v>Marketing</v>
      </c>
      <c r="K767" s="4" t="str">
        <f>IFERROR(__xludf.DUMMYFUNCTION("""COMPUTED_VALUE"""),"Keynote")</f>
        <v>Keynote</v>
      </c>
      <c r="L767" s="4" t="str">
        <f>IFERROR(__xludf.DUMMYFUNCTION("""COMPUTED_VALUE"""),"T- 4 - 25/05/2020")</f>
        <v>T- 4 - 25/05/2020</v>
      </c>
      <c r="M767" s="4" t="str">
        <f>IFERROR(__xludf.DUMMYFUNCTION("""COMPUTED_VALUE"""),"What will a return to normality look like?")</f>
        <v>What will a return to normality look like?</v>
      </c>
      <c r="N767" s="4" t="str">
        <f>IFERROR(__xludf.DUMMYFUNCTION("""COMPUTED_VALUE"""),"Alicia Tillman, SAP")</f>
        <v>Alicia Tillman, SAP</v>
      </c>
      <c r="O767" s="4" t="str">
        <f>IFERROR(__xludf.DUMMYFUNCTION("""COMPUTED_VALUE"""),"")</f>
        <v/>
      </c>
      <c r="P767" s="4" t="str">
        <f>IFERROR(__xludf.DUMMYFUNCTION("""COMPUTED_VALUE"""),"")</f>
        <v/>
      </c>
      <c r="Q767" s="4" t="str">
        <f>IFERROR(__xludf.DUMMYFUNCTION("""COMPUTED_VALUE"""),"")</f>
        <v/>
      </c>
      <c r="R767" s="4" t="str">
        <f>IFERROR(__xludf.DUMMYFUNCTION("""COMPUTED_VALUE"""),"")</f>
        <v/>
      </c>
      <c r="S767" s="4" t="str">
        <f>IFERROR(__xludf.DUMMYFUNCTION("""COMPUTED_VALUE"""),"The current global challenge has spurred numerous questions – including 'what does a return to normalcy look like?' – but it has also brought the demand for digital transformation front and centre. In this session, SAP’s global CMO, Alicia Tillman, will d"&amp;"iscuss how tech has become essential to business operations.")</f>
        <v>The current global challenge has spurred numerous questions – including 'what does a return to normalcy look like?' – but it has also brought the demand for digital transformation front and centre. In this session, SAP’s global CMO, Alicia Tillman, will discuss how tech has become essential to business operations.</v>
      </c>
      <c r="T767" s="4" t="str">
        <f>IFERROR(__xludf.DUMMYFUNCTION("""COMPUTED_VALUE"""),"KEYNOTE 8 - COMPLETE")</f>
        <v>KEYNOTE 8 - COMPLETE</v>
      </c>
      <c r="U767" s="23">
        <f>IFERROR(__xludf.DUMMYFUNCTION("""COMPUTED_VALUE"""),43980.0)</f>
        <v>43980</v>
      </c>
      <c r="V767" s="4" t="str">
        <f>IFERROR(__xludf.DUMMYFUNCTION("""COMPUTED_VALUE"""),"Self record")</f>
        <v>Self record</v>
      </c>
      <c r="W767" s="4" t="str">
        <f>IFERROR(__xludf.DUMMYFUNCTION("""COMPUTED_VALUE"""),"")</f>
        <v/>
      </c>
      <c r="X767" s="4" t="str">
        <f>IFERROR(__xludf.DUMMYFUNCTION("""COMPUTED_VALUE"""),"")</f>
        <v/>
      </c>
      <c r="Y767" s="4" t="str">
        <f>IFERROR(__xludf.DUMMYFUNCTION("""COMPUTED_VALUE"""),"")</f>
        <v/>
      </c>
    </row>
    <row r="768">
      <c r="A768" s="4" t="str">
        <f>IFERROR(__xludf.DUMMYFUNCTION("""COMPUTED_VALUE"""),"847 - Channel")</f>
        <v>847 - Channel</v>
      </c>
      <c r="B768" s="4" t="str">
        <f>IFERROR(__xludf.DUMMYFUNCTION("""COMPUTED_VALUE"""),"Channel 3")</f>
        <v>Channel 3</v>
      </c>
      <c r="C768" s="4" t="str">
        <f>IFERROR(__xludf.DUMMYFUNCTION("""COMPUTED_VALUE"""),"Day 1 - 23/06")</f>
        <v>Day 1 - 23/06</v>
      </c>
      <c r="D768" s="6">
        <f>IFERROR(__xludf.DUMMYFUNCTION("""COMPUTED_VALUE"""),0.5937268518518518)</f>
        <v>0.5937268519</v>
      </c>
      <c r="E768" s="6">
        <f>IFERROR(__xludf.DUMMYFUNCTION("""COMPUTED_VALUE"""),6.944444444444445E-4)</f>
        <v>0.0006944444444</v>
      </c>
      <c r="F768" s="6">
        <f>IFERROR(__xludf.DUMMYFUNCTION("""COMPUTED_VALUE"""),0.5944212962962963)</f>
        <v>0.5944212963</v>
      </c>
      <c r="G768" s="4" t="str">
        <f>IFERROR(__xludf.DUMMYFUNCTION("""COMPUTED_VALUE"""),"Graphics")</f>
        <v>Graphics</v>
      </c>
      <c r="H768" s="4" t="str">
        <f>IFERROR(__xludf.DUMMYFUNCTION("""COMPUTED_VALUE"""),"")</f>
        <v/>
      </c>
      <c r="I768" s="4" t="str">
        <f>IFERROR(__xludf.DUMMYFUNCTION("""COMPUTED_VALUE"""),"")</f>
        <v/>
      </c>
      <c r="J768" s="4" t="str">
        <f>IFERROR(__xludf.DUMMYFUNCTION("""COMPUTED_VALUE"""),"Climate")</f>
        <v>Climate</v>
      </c>
      <c r="K768" s="4" t="str">
        <f>IFERROR(__xludf.DUMMYFUNCTION("""COMPUTED_VALUE"""),"Laundry List/Lookaround")</f>
        <v>Laundry List/Lookaround</v>
      </c>
      <c r="L768" s="4" t="str">
        <f>IFERROR(__xludf.DUMMYFUNCTION("""COMPUTED_VALUE"""),"")</f>
        <v/>
      </c>
      <c r="M768" s="4" t="str">
        <f>IFERROR(__xludf.DUMMYFUNCTION("""COMPUTED_VALUE"""),"Laundry List/Lookaround")</f>
        <v>Laundry List/Lookaround</v>
      </c>
      <c r="N768" s="4" t="str">
        <f>IFERROR(__xludf.DUMMYFUNCTION("""COMPUTED_VALUE"""),"")</f>
        <v/>
      </c>
      <c r="O768" s="4" t="str">
        <f>IFERROR(__xludf.DUMMYFUNCTION("""COMPUTED_VALUE"""),"")</f>
        <v/>
      </c>
      <c r="P768" s="4" t="str">
        <f>IFERROR(__xludf.DUMMYFUNCTION("""COMPUTED_VALUE"""),"")</f>
        <v/>
      </c>
      <c r="Q768" s="4" t="str">
        <f>IFERROR(__xludf.DUMMYFUNCTION("""COMPUTED_VALUE"""),"")</f>
        <v/>
      </c>
      <c r="R768" s="4" t="str">
        <f>IFERROR(__xludf.DUMMYFUNCTION("""COMPUTED_VALUE"""),"")</f>
        <v/>
      </c>
      <c r="S768" s="4" t="str">
        <f>IFERROR(__xludf.DUMMYFUNCTION("""COMPUTED_VALUE"""),"")</f>
        <v/>
      </c>
      <c r="T768" s="4" t="str">
        <f>IFERROR(__xludf.DUMMYFUNCTION("""COMPUTED_VALUE"""),"")</f>
        <v/>
      </c>
      <c r="U768" s="4" t="str">
        <f>IFERROR(__xludf.DUMMYFUNCTION("""COMPUTED_VALUE"""),"")</f>
        <v/>
      </c>
      <c r="V768" s="4" t="str">
        <f>IFERROR(__xludf.DUMMYFUNCTION("""COMPUTED_VALUE"""),"")</f>
        <v/>
      </c>
      <c r="W768" s="4" t="str">
        <f>IFERROR(__xludf.DUMMYFUNCTION("""COMPUTED_VALUE"""),"")</f>
        <v/>
      </c>
      <c r="X768" s="4" t="str">
        <f>IFERROR(__xludf.DUMMYFUNCTION("""COMPUTED_VALUE"""),"")</f>
        <v/>
      </c>
      <c r="Y768" s="4" t="str">
        <f>IFERROR(__xludf.DUMMYFUNCTION("""COMPUTED_VALUE"""),"")</f>
        <v/>
      </c>
    </row>
    <row r="769">
      <c r="A769" s="4" t="str">
        <f>IFERROR(__xludf.DUMMYFUNCTION("""COMPUTED_VALUE"""),"848 - Channel")</f>
        <v>848 - Channel</v>
      </c>
      <c r="B769" s="4" t="str">
        <f>IFERROR(__xludf.DUMMYFUNCTION("""COMPUTED_VALUE"""),"Channel 3")</f>
        <v>Channel 3</v>
      </c>
      <c r="C769" s="4" t="str">
        <f>IFERROR(__xludf.DUMMYFUNCTION("""COMPUTED_VALUE"""),"Day 1 - 23/06")</f>
        <v>Day 1 - 23/06</v>
      </c>
      <c r="D769" s="6">
        <f>IFERROR(__xludf.DUMMYFUNCTION("""COMPUTED_VALUE"""),0.5944212962962963)</f>
        <v>0.5944212963</v>
      </c>
      <c r="E769" s="6">
        <f>IFERROR(__xludf.DUMMYFUNCTION("""COMPUTED_VALUE"""),2.314814814814815E-4)</f>
        <v>0.0002314814815</v>
      </c>
      <c r="F769" s="6">
        <f>IFERROR(__xludf.DUMMYFUNCTION("""COMPUTED_VALUE"""),0.5946527777777777)</f>
        <v>0.5946527778</v>
      </c>
      <c r="G769" s="4" t="str">
        <f>IFERROR(__xludf.DUMMYFUNCTION("""COMPUTED_VALUE"""),"Graphics")</f>
        <v>Graphics</v>
      </c>
      <c r="H769" s="4" t="str">
        <f>IFERROR(__xludf.DUMMYFUNCTION("""COMPUTED_VALUE"""),"N/A")</f>
        <v>N/A</v>
      </c>
      <c r="I769" s="4" t="str">
        <f>IFERROR(__xludf.DUMMYFUNCTION("""COMPUTED_VALUE"""),"N/A")</f>
        <v>N/A</v>
      </c>
      <c r="J769" s="4" t="str">
        <f>IFERROR(__xludf.DUMMYFUNCTION("""COMPUTED_VALUE"""),"Climate")</f>
        <v>Climate</v>
      </c>
      <c r="K769" s="4" t="str">
        <f>IFERROR(__xludf.DUMMYFUNCTION("""COMPUTED_VALUE"""),"Talk Intro")</f>
        <v>Talk Intro</v>
      </c>
      <c r="L769" s="4" t="str">
        <f>IFERROR(__xludf.DUMMYFUNCTION("""COMPUTED_VALUE"""),"")</f>
        <v/>
      </c>
      <c r="M769" s="4" t="str">
        <f>IFERROR(__xludf.DUMMYFUNCTION("""COMPUTED_VALUE"""),"Talk Intro")</f>
        <v>Talk Intro</v>
      </c>
      <c r="N769" s="4" t="str">
        <f>IFERROR(__xludf.DUMMYFUNCTION("""COMPUTED_VALUE"""),"")</f>
        <v/>
      </c>
      <c r="O769" s="4" t="str">
        <f>IFERROR(__xludf.DUMMYFUNCTION("""COMPUTED_VALUE"""),"")</f>
        <v/>
      </c>
      <c r="P769" s="4" t="str">
        <f>IFERROR(__xludf.DUMMYFUNCTION("""COMPUTED_VALUE"""),"")</f>
        <v/>
      </c>
      <c r="Q769" s="4" t="str">
        <f>IFERROR(__xludf.DUMMYFUNCTION("""COMPUTED_VALUE"""),"")</f>
        <v/>
      </c>
      <c r="R769" s="4" t="str">
        <f>IFERROR(__xludf.DUMMYFUNCTION("""COMPUTED_VALUE"""),"")</f>
        <v/>
      </c>
      <c r="S769" s="4" t="str">
        <f>IFERROR(__xludf.DUMMYFUNCTION("""COMPUTED_VALUE"""),"")</f>
        <v/>
      </c>
      <c r="T769" s="4" t="str">
        <f>IFERROR(__xludf.DUMMYFUNCTION("""COMPUTED_VALUE"""),"")</f>
        <v/>
      </c>
      <c r="U769" s="4" t="str">
        <f>IFERROR(__xludf.DUMMYFUNCTION("""COMPUTED_VALUE"""),"")</f>
        <v/>
      </c>
      <c r="V769" s="4" t="str">
        <f>IFERROR(__xludf.DUMMYFUNCTION("""COMPUTED_VALUE"""),"")</f>
        <v/>
      </c>
      <c r="W769" s="4" t="str">
        <f>IFERROR(__xludf.DUMMYFUNCTION("""COMPUTED_VALUE"""),"")</f>
        <v/>
      </c>
      <c r="X769" s="4" t="str">
        <f>IFERROR(__xludf.DUMMYFUNCTION("""COMPUTED_VALUE"""),"")</f>
        <v/>
      </c>
      <c r="Y769" s="4" t="str">
        <f>IFERROR(__xludf.DUMMYFUNCTION("""COMPUTED_VALUE"""),"")</f>
        <v/>
      </c>
    </row>
    <row r="770">
      <c r="A770" s="4" t="str">
        <f>IFERROR(__xludf.DUMMYFUNCTION("""COMPUTED_VALUE"""),"849 - Channel")</f>
        <v>849 - Channel</v>
      </c>
      <c r="B770" s="4" t="str">
        <f>IFERROR(__xludf.DUMMYFUNCTION("""COMPUTED_VALUE"""),"Channel 3")</f>
        <v>Channel 3</v>
      </c>
      <c r="C770" s="4" t="str">
        <f>IFERROR(__xludf.DUMMYFUNCTION("""COMPUTED_VALUE"""),"Day 1 - 23/06")</f>
        <v>Day 1 - 23/06</v>
      </c>
      <c r="D770" s="6">
        <f>IFERROR(__xludf.DUMMYFUNCTION("""COMPUTED_VALUE"""),0.5946527777777777)</f>
        <v>0.5946527778</v>
      </c>
      <c r="E770" s="6">
        <f>IFERROR(__xludf.DUMMYFUNCTION("""COMPUTED_VALUE"""),0.01380787037037037)</f>
        <v>0.01380787037</v>
      </c>
      <c r="F770" s="6">
        <f>IFERROR(__xludf.DUMMYFUNCTION("""COMPUTED_VALUE"""),0.608460648148148)</f>
        <v>0.6084606481</v>
      </c>
      <c r="G770" s="4" t="str">
        <f>IFERROR(__xludf.DUMMYFUNCTION("""COMPUTED_VALUE"""),"Kat")</f>
        <v>Kat</v>
      </c>
      <c r="H770" s="4" t="str">
        <f>IFERROR(__xludf.DUMMYFUNCTION("""COMPUTED_VALUE"""),"Eoghan")</f>
        <v>Eoghan</v>
      </c>
      <c r="I770" s="4" t="str">
        <f>IFERROR(__xludf.DUMMYFUNCTION("""COMPUTED_VALUE"""),"Manon")</f>
        <v>Manon</v>
      </c>
      <c r="J770" s="4" t="str">
        <f>IFERROR(__xludf.DUMMYFUNCTION("""COMPUTED_VALUE"""),"Climate")</f>
        <v>Climate</v>
      </c>
      <c r="K770" s="4" t="str">
        <f>IFERROR(__xludf.DUMMYFUNCTION("""COMPUTED_VALUE"""),"Fireside")</f>
        <v>Fireside</v>
      </c>
      <c r="L770" s="4" t="str">
        <f>IFERROR(__xludf.DUMMYFUNCTION("""COMPUTED_VALUE"""),"T- 3 - 01/06/2020")</f>
        <v>T- 3 - 01/06/2020</v>
      </c>
      <c r="M770" s="4" t="str">
        <f>IFERROR(__xludf.DUMMYFUNCTION("""COMPUTED_VALUE"""),"Combatting climate change post-Covid")</f>
        <v>Combatting climate change post-Covid</v>
      </c>
      <c r="N770" s="4" t="str">
        <f>IFERROR(__xludf.DUMMYFUNCTION("""COMPUTED_VALUE"""),"Kate Brandt, Google")</f>
        <v>Kate Brandt, Google</v>
      </c>
      <c r="O770" s="4" t="str">
        <f>IFERROR(__xludf.DUMMYFUNCTION("""COMPUTED_VALUE"""),"")</f>
        <v/>
      </c>
      <c r="P770" s="4" t="str">
        <f>IFERROR(__xludf.DUMMYFUNCTION("""COMPUTED_VALUE"""),"")</f>
        <v/>
      </c>
      <c r="Q770" s="4" t="str">
        <f>IFERROR(__xludf.DUMMYFUNCTION("""COMPUTED_VALUE"""),"")</f>
        <v/>
      </c>
      <c r="R770" s="4" t="str">
        <f>IFERROR(__xludf.DUMMYFUNCTION("""COMPUTED_VALUE"""),"Emily Holden, The Guardian")</f>
        <v>Emily Holden, The Guardian</v>
      </c>
      <c r="S770" s="4" t="str">
        <f>IFERROR(__xludf.DUMMYFUNCTION("""COMPUTED_VALUE"""),"If we can come together to tackle Covid-19, then we can do it for climate change. ")</f>
        <v>If we can come together to tackle Covid-19, then we can do it for climate change. </v>
      </c>
      <c r="T770" s="4" t="str">
        <f>IFERROR(__xludf.DUMMYFUNCTION("""COMPUTED_VALUE"""),"NON-KEYNOTE 9 - COMPLETE")</f>
        <v>NON-KEYNOTE 9 - COMPLETE</v>
      </c>
      <c r="U770" s="23">
        <f>IFERROR(__xludf.DUMMYFUNCTION("""COMPUTED_VALUE"""),43985.0)</f>
        <v>43985</v>
      </c>
      <c r="V770" s="24">
        <f>IFERROR(__xludf.DUMMYFUNCTION("""COMPUTED_VALUE"""),0.7708333333333334)</f>
        <v>0.7708333333</v>
      </c>
      <c r="W770" s="4" t="str">
        <f>IFERROR(__xludf.DUMMYFUNCTION("""COMPUTED_VALUE"""),"COMPLETE")</f>
        <v>COMPLETE</v>
      </c>
      <c r="X770" s="4" t="str">
        <f>IFERROR(__xludf.DUMMYFUNCTION("""COMPUTED_VALUE"""),"Brian")</f>
        <v>Brian</v>
      </c>
      <c r="Y770" s="4" t="str">
        <f>IFERROR(__xludf.DUMMYFUNCTION("""COMPUTED_VALUE"""),"")</f>
        <v/>
      </c>
    </row>
    <row r="771">
      <c r="A771" s="4" t="str">
        <f>IFERROR(__xludf.DUMMYFUNCTION("""COMPUTED_VALUE"""),"850 - Channel")</f>
        <v>850 - Channel</v>
      </c>
      <c r="B771" s="4" t="str">
        <f>IFERROR(__xludf.DUMMYFUNCTION("""COMPUTED_VALUE"""),"Channel 3")</f>
        <v>Channel 3</v>
      </c>
      <c r="C771" s="4" t="str">
        <f>IFERROR(__xludf.DUMMYFUNCTION("""COMPUTED_VALUE"""),"Day 1 - 23/06")</f>
        <v>Day 1 - 23/06</v>
      </c>
      <c r="D771" s="6">
        <f>IFERROR(__xludf.DUMMYFUNCTION("""COMPUTED_VALUE"""),0.608460648148148)</f>
        <v>0.6084606481</v>
      </c>
      <c r="E771" s="6">
        <f>IFERROR(__xludf.DUMMYFUNCTION("""COMPUTED_VALUE"""),1.7361111111111112E-4)</f>
        <v>0.0001736111111</v>
      </c>
      <c r="F771" s="6">
        <f>IFERROR(__xludf.DUMMYFUNCTION("""COMPUTED_VALUE"""),0.6086342592592592)</f>
        <v>0.6086342593</v>
      </c>
      <c r="G771" s="4" t="str">
        <f>IFERROR(__xludf.DUMMYFUNCTION("""COMPUTED_VALUE"""),"Graphics")</f>
        <v>Graphics</v>
      </c>
      <c r="H771" s="4" t="str">
        <f>IFERROR(__xludf.DUMMYFUNCTION("""COMPUTED_VALUE"""),"")</f>
        <v/>
      </c>
      <c r="I771" s="4" t="str">
        <f>IFERROR(__xludf.DUMMYFUNCTION("""COMPUTED_VALUE"""),"")</f>
        <v/>
      </c>
      <c r="J771" s="4" t="str">
        <f>IFERROR(__xludf.DUMMYFUNCTION("""COMPUTED_VALUE"""),"")</f>
        <v/>
      </c>
      <c r="K771" s="4" t="str">
        <f>IFERROR(__xludf.DUMMYFUNCTION("""COMPUTED_VALUE"""),"Talk Outro")</f>
        <v>Talk Outro</v>
      </c>
      <c r="L771" s="4" t="str">
        <f>IFERROR(__xludf.DUMMYFUNCTION("""COMPUTED_VALUE"""),"")</f>
        <v/>
      </c>
      <c r="M771" s="4" t="str">
        <f>IFERROR(__xludf.DUMMYFUNCTION("""COMPUTED_VALUE"""),"Talk outro - KEEP")</f>
        <v>Talk outro - KEEP</v>
      </c>
      <c r="N771" s="4" t="str">
        <f>IFERROR(__xludf.DUMMYFUNCTION("""COMPUTED_VALUE"""),"")</f>
        <v/>
      </c>
      <c r="O771" s="4" t="str">
        <f>IFERROR(__xludf.DUMMYFUNCTION("""COMPUTED_VALUE"""),"")</f>
        <v/>
      </c>
      <c r="P771" s="4" t="str">
        <f>IFERROR(__xludf.DUMMYFUNCTION("""COMPUTED_VALUE"""),"")</f>
        <v/>
      </c>
      <c r="Q771" s="4" t="str">
        <f>IFERROR(__xludf.DUMMYFUNCTION("""COMPUTED_VALUE"""),"")</f>
        <v/>
      </c>
      <c r="R771" s="4" t="str">
        <f>IFERROR(__xludf.DUMMYFUNCTION("""COMPUTED_VALUE"""),"")</f>
        <v/>
      </c>
      <c r="S771" s="4" t="str">
        <f>IFERROR(__xludf.DUMMYFUNCTION("""COMPUTED_VALUE"""),"")</f>
        <v/>
      </c>
      <c r="T771" s="4" t="str">
        <f>IFERROR(__xludf.DUMMYFUNCTION("""COMPUTED_VALUE"""),"")</f>
        <v/>
      </c>
      <c r="U771" s="4" t="str">
        <f>IFERROR(__xludf.DUMMYFUNCTION("""COMPUTED_VALUE"""),"")</f>
        <v/>
      </c>
      <c r="V771" s="4" t="str">
        <f>IFERROR(__xludf.DUMMYFUNCTION("""COMPUTED_VALUE"""),"")</f>
        <v/>
      </c>
      <c r="W771" s="4" t="str">
        <f>IFERROR(__xludf.DUMMYFUNCTION("""COMPUTED_VALUE"""),"")</f>
        <v/>
      </c>
      <c r="X771" s="4" t="str">
        <f>IFERROR(__xludf.DUMMYFUNCTION("""COMPUTED_VALUE"""),"")</f>
        <v/>
      </c>
      <c r="Y771" s="4" t="str">
        <f>IFERROR(__xludf.DUMMYFUNCTION("""COMPUTED_VALUE"""),"")</f>
        <v/>
      </c>
    </row>
    <row r="772">
      <c r="A772" s="4" t="str">
        <f>IFERROR(__xludf.DUMMYFUNCTION("""COMPUTED_VALUE"""),"1673 - Channel")</f>
        <v>1673 - Channel</v>
      </c>
      <c r="B772" s="4" t="str">
        <f>IFERROR(__xludf.DUMMYFUNCTION("""COMPUTED_VALUE"""),"Channel 3")</f>
        <v>Channel 3</v>
      </c>
      <c r="C772" s="4" t="str">
        <f>IFERROR(__xludf.DUMMYFUNCTION("""COMPUTED_VALUE"""),"Day 1 - 23/06")</f>
        <v>Day 1 - 23/06</v>
      </c>
      <c r="D772" s="6">
        <f>IFERROR(__xludf.DUMMYFUNCTION("""COMPUTED_VALUE"""),0.6086342592592592)</f>
        <v>0.6086342593</v>
      </c>
      <c r="E772" s="6">
        <f>IFERROR(__xludf.DUMMYFUNCTION("""COMPUTED_VALUE"""),3.4722222222222224E-4)</f>
        <v>0.0003472222222</v>
      </c>
      <c r="F772" s="6">
        <f>IFERROR(__xludf.DUMMYFUNCTION("""COMPUTED_VALUE"""),0.6089814814814815)</f>
        <v>0.6089814815</v>
      </c>
      <c r="G772" s="4" t="str">
        <f>IFERROR(__xludf.DUMMYFUNCTION("""COMPUTED_VALUE"""),"Graphics")</f>
        <v>Graphics</v>
      </c>
      <c r="H772" s="4" t="str">
        <f>IFERROR(__xludf.DUMMYFUNCTION("""COMPUTED_VALUE"""),"")</f>
        <v/>
      </c>
      <c r="I772" s="4" t="str">
        <f>IFERROR(__xludf.DUMMYFUNCTION("""COMPUTED_VALUE"""),"")</f>
        <v/>
      </c>
      <c r="J772" s="4" t="str">
        <f>IFERROR(__xludf.DUMMYFUNCTION("""COMPUTED_VALUE"""),"")</f>
        <v/>
      </c>
      <c r="K772" s="4" t="str">
        <f>IFERROR(__xludf.DUMMYFUNCTION("""COMPUTED_VALUE"""),"RISE Trailer")</f>
        <v>RISE Trailer</v>
      </c>
      <c r="L772" s="4" t="str">
        <f>IFERROR(__xludf.DUMMYFUNCTION("""COMPUTED_VALUE"""),"")</f>
        <v/>
      </c>
      <c r="M772" s="4" t="str">
        <f>IFERROR(__xludf.DUMMYFUNCTION("""COMPUTED_VALUE"""),"RISE Trailer")</f>
        <v>RISE Trailer</v>
      </c>
      <c r="N772" s="4" t="str">
        <f>IFERROR(__xludf.DUMMYFUNCTION("""COMPUTED_VALUE"""),"")</f>
        <v/>
      </c>
      <c r="O772" s="4" t="str">
        <f>IFERROR(__xludf.DUMMYFUNCTION("""COMPUTED_VALUE"""),"")</f>
        <v/>
      </c>
      <c r="P772" s="4" t="str">
        <f>IFERROR(__xludf.DUMMYFUNCTION("""COMPUTED_VALUE"""),"")</f>
        <v/>
      </c>
      <c r="Q772" s="4" t="str">
        <f>IFERROR(__xludf.DUMMYFUNCTION("""COMPUTED_VALUE"""),"")</f>
        <v/>
      </c>
      <c r="R772" s="4" t="str">
        <f>IFERROR(__xludf.DUMMYFUNCTION("""COMPUTED_VALUE"""),"")</f>
        <v/>
      </c>
      <c r="S772" s="4" t="str">
        <f>IFERROR(__xludf.DUMMYFUNCTION("""COMPUTED_VALUE"""),"")</f>
        <v/>
      </c>
      <c r="T772" s="4" t="str">
        <f>IFERROR(__xludf.DUMMYFUNCTION("""COMPUTED_VALUE"""),"")</f>
        <v/>
      </c>
      <c r="U772" s="4" t="str">
        <f>IFERROR(__xludf.DUMMYFUNCTION("""COMPUTED_VALUE"""),"")</f>
        <v/>
      </c>
      <c r="V772" s="4" t="str">
        <f>IFERROR(__xludf.DUMMYFUNCTION("""COMPUTED_VALUE"""),"")</f>
        <v/>
      </c>
      <c r="W772" s="4" t="str">
        <f>IFERROR(__xludf.DUMMYFUNCTION("""COMPUTED_VALUE"""),"")</f>
        <v/>
      </c>
      <c r="X772" s="4" t="str">
        <f>IFERROR(__xludf.DUMMYFUNCTION("""COMPUTED_VALUE"""),"")</f>
        <v/>
      </c>
      <c r="Y772" s="4" t="str">
        <f>IFERROR(__xludf.DUMMYFUNCTION("""COMPUTED_VALUE"""),"")</f>
        <v/>
      </c>
    </row>
    <row r="773">
      <c r="A773" s="4" t="str">
        <f>IFERROR(__xludf.DUMMYFUNCTION("""COMPUTED_VALUE"""),"864 - Channel")</f>
        <v>864 - Channel</v>
      </c>
      <c r="B773" s="4" t="str">
        <f>IFERROR(__xludf.DUMMYFUNCTION("""COMPUTED_VALUE"""),"Channel 3")</f>
        <v>Channel 3</v>
      </c>
      <c r="C773" s="4" t="str">
        <f>IFERROR(__xludf.DUMMYFUNCTION("""COMPUTED_VALUE"""),"Day 1 - 23/06")</f>
        <v>Day 1 - 23/06</v>
      </c>
      <c r="D773" s="6">
        <f>IFERROR(__xludf.DUMMYFUNCTION("""COMPUTED_VALUE"""),0.6089814814814815)</f>
        <v>0.6089814815</v>
      </c>
      <c r="E773" s="6">
        <f>IFERROR(__xludf.DUMMYFUNCTION("""COMPUTED_VALUE"""),2.4305555555555555E-4)</f>
        <v>0.0002430555556</v>
      </c>
      <c r="F773" s="6">
        <f>IFERROR(__xludf.DUMMYFUNCTION("""COMPUTED_VALUE"""),0.609224537037037)</f>
        <v>0.609224537</v>
      </c>
      <c r="G773" s="4" t="str">
        <f>IFERROR(__xludf.DUMMYFUNCTION("""COMPUTED_VALUE"""),"Startups")</f>
        <v>Startups</v>
      </c>
      <c r="H773" s="4" t="str">
        <f>IFERROR(__xludf.DUMMYFUNCTION("""COMPUTED_VALUE"""),"N/A")</f>
        <v>N/A</v>
      </c>
      <c r="I773" s="4" t="str">
        <f>IFERROR(__xludf.DUMMYFUNCTION("""COMPUTED_VALUE"""),"N/A")</f>
        <v>N/A</v>
      </c>
      <c r="J773" s="4" t="str">
        <f>IFERROR(__xludf.DUMMYFUNCTION("""COMPUTED_VALUE"""),"Data")</f>
        <v>Data</v>
      </c>
      <c r="K773" s="4" t="str">
        <f>IFERROR(__xludf.DUMMYFUNCTION("""COMPUTED_VALUE"""),"40 Words")</f>
        <v>40 Words</v>
      </c>
      <c r="L773" s="4" t="str">
        <f>IFERROR(__xludf.DUMMYFUNCTION("""COMPUTED_VALUE"""),"")</f>
        <v/>
      </c>
      <c r="M773" s="4" t="str">
        <f>IFERROR(__xludf.DUMMYFUNCTION("""COMPUTED_VALUE"""),"40 words  #2_Webiny")</f>
        <v>40 words  #2_Webiny</v>
      </c>
      <c r="N773" s="4" t="str">
        <f>IFERROR(__xludf.DUMMYFUNCTION("""COMPUTED_VALUE"""),"")</f>
        <v/>
      </c>
      <c r="O773" s="4" t="str">
        <f>IFERROR(__xludf.DUMMYFUNCTION("""COMPUTED_VALUE"""),"")</f>
        <v/>
      </c>
      <c r="P773" s="4" t="str">
        <f>IFERROR(__xludf.DUMMYFUNCTION("""COMPUTED_VALUE"""),"")</f>
        <v/>
      </c>
      <c r="Q773" s="4" t="str">
        <f>IFERROR(__xludf.DUMMYFUNCTION("""COMPUTED_VALUE"""),"")</f>
        <v/>
      </c>
      <c r="R773" s="4" t="str">
        <f>IFERROR(__xludf.DUMMYFUNCTION("""COMPUTED_VALUE"""),"")</f>
        <v/>
      </c>
      <c r="S773" s="4" t="str">
        <f>IFERROR(__xludf.DUMMYFUNCTION("""COMPUTED_VALUE"""),"")</f>
        <v/>
      </c>
      <c r="T773" s="4" t="str">
        <f>IFERROR(__xludf.DUMMYFUNCTION("""COMPUTED_VALUE"""),"")</f>
        <v/>
      </c>
      <c r="U773" s="4" t="str">
        <f>IFERROR(__xludf.DUMMYFUNCTION("""COMPUTED_VALUE"""),"")</f>
        <v/>
      </c>
      <c r="V773" s="4" t="str">
        <f>IFERROR(__xludf.DUMMYFUNCTION("""COMPUTED_VALUE"""),"")</f>
        <v/>
      </c>
      <c r="W773" s="4" t="str">
        <f>IFERROR(__xludf.DUMMYFUNCTION("""COMPUTED_VALUE"""),"")</f>
        <v/>
      </c>
      <c r="X773" s="4" t="str">
        <f>IFERROR(__xludf.DUMMYFUNCTION("""COMPUTED_VALUE"""),"")</f>
        <v/>
      </c>
      <c r="Y773" s="4" t="str">
        <f>IFERROR(__xludf.DUMMYFUNCTION("""COMPUTED_VALUE"""),"")</f>
        <v/>
      </c>
    </row>
    <row r="774">
      <c r="A774" s="4" t="str">
        <f>IFERROR(__xludf.DUMMYFUNCTION("""COMPUTED_VALUE"""),"1042 - Channel")</f>
        <v>1042 - Channel</v>
      </c>
      <c r="B774" s="4" t="str">
        <f>IFERROR(__xludf.DUMMYFUNCTION("""COMPUTED_VALUE"""),"Channel 3")</f>
        <v>Channel 3</v>
      </c>
      <c r="C774" s="4" t="str">
        <f>IFERROR(__xludf.DUMMYFUNCTION("""COMPUTED_VALUE"""),"Day 1 - 23/06")</f>
        <v>Day 1 - 23/06</v>
      </c>
      <c r="D774" s="6">
        <f>IFERROR(__xludf.DUMMYFUNCTION("""COMPUTED_VALUE"""),0.609224537037037)</f>
        <v>0.609224537</v>
      </c>
      <c r="E774" s="6">
        <f>IFERROR(__xludf.DUMMYFUNCTION("""COMPUTED_VALUE"""),2.314814814814815E-4)</f>
        <v>0.0002314814815</v>
      </c>
      <c r="F774" s="6">
        <f>IFERROR(__xludf.DUMMYFUNCTION("""COMPUTED_VALUE"""),0.6094560185185185)</f>
        <v>0.6094560185</v>
      </c>
      <c r="G774" s="4" t="str">
        <f>IFERROR(__xludf.DUMMYFUNCTION("""COMPUTED_VALUE"""),"Graphics")</f>
        <v>Graphics</v>
      </c>
      <c r="H774" s="4" t="str">
        <f>IFERROR(__xludf.DUMMYFUNCTION("""COMPUTED_VALUE"""),"N/A")</f>
        <v>N/A</v>
      </c>
      <c r="I774" s="4" t="str">
        <f>IFERROR(__xludf.DUMMYFUNCTION("""COMPUTED_VALUE"""),"N/A")</f>
        <v>N/A</v>
      </c>
      <c r="J774" s="4" t="str">
        <f>IFERROR(__xludf.DUMMYFUNCTION("""COMPUTED_VALUE"""),"SaaS")</f>
        <v>SaaS</v>
      </c>
      <c r="K774" s="4" t="str">
        <f>IFERROR(__xludf.DUMMYFUNCTION("""COMPUTED_VALUE"""),"Talk Intro")</f>
        <v>Talk Intro</v>
      </c>
      <c r="L774" s="4" t="str">
        <f>IFERROR(__xludf.DUMMYFUNCTION("""COMPUTED_VALUE"""),"")</f>
        <v/>
      </c>
      <c r="M774" s="4" t="str">
        <f>IFERROR(__xludf.DUMMYFUNCTION("""COMPUTED_VALUE"""),"Talk Intro")</f>
        <v>Talk Intro</v>
      </c>
      <c r="N774" s="4" t="str">
        <f>IFERROR(__xludf.DUMMYFUNCTION("""COMPUTED_VALUE"""),"")</f>
        <v/>
      </c>
      <c r="O774" s="4" t="str">
        <f>IFERROR(__xludf.DUMMYFUNCTION("""COMPUTED_VALUE"""),"")</f>
        <v/>
      </c>
      <c r="P774" s="4" t="str">
        <f>IFERROR(__xludf.DUMMYFUNCTION("""COMPUTED_VALUE"""),"")</f>
        <v/>
      </c>
      <c r="Q774" s="4" t="str">
        <f>IFERROR(__xludf.DUMMYFUNCTION("""COMPUTED_VALUE"""),"")</f>
        <v/>
      </c>
      <c r="R774" s="4" t="str">
        <f>IFERROR(__xludf.DUMMYFUNCTION("""COMPUTED_VALUE"""),"")</f>
        <v/>
      </c>
      <c r="S774" s="4" t="str">
        <f>IFERROR(__xludf.DUMMYFUNCTION("""COMPUTED_VALUE"""),"")</f>
        <v/>
      </c>
      <c r="T774" s="4" t="str">
        <f>IFERROR(__xludf.DUMMYFUNCTION("""COMPUTED_VALUE"""),"")</f>
        <v/>
      </c>
      <c r="U774" s="4" t="str">
        <f>IFERROR(__xludf.DUMMYFUNCTION("""COMPUTED_VALUE"""),"")</f>
        <v/>
      </c>
      <c r="V774" s="4" t="str">
        <f>IFERROR(__xludf.DUMMYFUNCTION("""COMPUTED_VALUE"""),"")</f>
        <v/>
      </c>
      <c r="W774" s="4" t="str">
        <f>IFERROR(__xludf.DUMMYFUNCTION("""COMPUTED_VALUE"""),"")</f>
        <v/>
      </c>
      <c r="X774" s="4" t="str">
        <f>IFERROR(__xludf.DUMMYFUNCTION("""COMPUTED_VALUE"""),"")</f>
        <v/>
      </c>
      <c r="Y774" s="4" t="str">
        <f>IFERROR(__xludf.DUMMYFUNCTION("""COMPUTED_VALUE"""),"")</f>
        <v/>
      </c>
    </row>
    <row r="775">
      <c r="A775" s="4" t="str">
        <f>IFERROR(__xludf.DUMMYFUNCTION("""COMPUTED_VALUE"""),"1043 - Channel")</f>
        <v>1043 - Channel</v>
      </c>
      <c r="B775" s="4" t="str">
        <f>IFERROR(__xludf.DUMMYFUNCTION("""COMPUTED_VALUE"""),"Channel 3")</f>
        <v>Channel 3</v>
      </c>
      <c r="C775" s="4" t="str">
        <f>IFERROR(__xludf.DUMMYFUNCTION("""COMPUTED_VALUE"""),"Day 1 - 23/06")</f>
        <v>Day 1 - 23/06</v>
      </c>
      <c r="D775" s="6">
        <f>IFERROR(__xludf.DUMMYFUNCTION("""COMPUTED_VALUE"""),0.6094560185185185)</f>
        <v>0.6094560185</v>
      </c>
      <c r="E775" s="6">
        <f>IFERROR(__xludf.DUMMYFUNCTION("""COMPUTED_VALUE"""),0.013888888888888888)</f>
        <v>0.01388888889</v>
      </c>
      <c r="F775" s="6">
        <f>IFERROR(__xludf.DUMMYFUNCTION("""COMPUTED_VALUE"""),0.6233449074074073)</f>
        <v>0.6233449074</v>
      </c>
      <c r="G775" s="4" t="str">
        <f>IFERROR(__xludf.DUMMYFUNCTION("""COMPUTED_VALUE"""),"Kat")</f>
        <v>Kat</v>
      </c>
      <c r="H775" s="4" t="str">
        <f>IFERROR(__xludf.DUMMYFUNCTION("""COMPUTED_VALUE"""),"Shauna")</f>
        <v>Shauna</v>
      </c>
      <c r="I775" s="4" t="str">
        <f>IFERROR(__xludf.DUMMYFUNCTION("""COMPUTED_VALUE"""),"Lynn")</f>
        <v>Lynn</v>
      </c>
      <c r="J775" s="4" t="str">
        <f>IFERROR(__xludf.DUMMYFUNCTION("""COMPUTED_VALUE"""),"SaaS")</f>
        <v>SaaS</v>
      </c>
      <c r="K775" s="4" t="str">
        <f>IFERROR(__xludf.DUMMYFUNCTION("""COMPUTED_VALUE"""),"Fireside")</f>
        <v>Fireside</v>
      </c>
      <c r="L775" s="4" t="str">
        <f>IFERROR(__xludf.DUMMYFUNCTION("""COMPUTED_VALUE"""),"T- 2 - 08/06/2020")</f>
        <v>T- 2 - 08/06/2020</v>
      </c>
      <c r="M775" s="4" t="str">
        <f>IFERROR(__xludf.DUMMYFUNCTION("""COMPUTED_VALUE"""),"Future of work after crisis")</f>
        <v>Future of work after crisis</v>
      </c>
      <c r="N775" s="4" t="str">
        <f>IFERROR(__xludf.DUMMYFUNCTION("""COMPUTED_VALUE"""),"Cal Henderson, Slack Technologies, Inc.")</f>
        <v>Cal Henderson, Slack Technologies, Inc.</v>
      </c>
      <c r="O775" s="4" t="str">
        <f>IFERROR(__xludf.DUMMYFUNCTION("""COMPUTED_VALUE"""),"")</f>
        <v/>
      </c>
      <c r="P775" s="4" t="str">
        <f>IFERROR(__xludf.DUMMYFUNCTION("""COMPUTED_VALUE"""),"")</f>
        <v/>
      </c>
      <c r="Q775" s="4" t="str">
        <f>IFERROR(__xludf.DUMMYFUNCTION("""COMPUTED_VALUE"""),"")</f>
        <v/>
      </c>
      <c r="R775" s="4" t="str">
        <f>IFERROR(__xludf.DUMMYFUNCTION("""COMPUTED_VALUE"""),"Lauren Goode, Wired")</f>
        <v>Lauren Goode, Wired</v>
      </c>
      <c r="S775" s="4" t="str">
        <f>IFERROR(__xludf.DUMMYFUNCTION("""COMPUTED_VALUE"""),"Overnight, businesses around the world have found themselves faced with a new way of working. Organizations are trying to adjust to this unfamiliar world of remote work and find alternative ways to get things done. In this fireside chat, Cal Henderson, co"&amp;"-founder and CTO at Slack, will discuss key aspects of this reformed style of work and how we can emerge stronger – with better methods of collaboration – once it's safe to return to the office. He’ll also discuss the implications of this changing landsca"&amp;"pe on Slack’s business.")</f>
        <v>Overnight, businesses around the world have found themselves faced with a new way of working. Organizations are trying to adjust to this unfamiliar world of remote work and find alternative ways to get things done. In this fireside chat, Cal Henderson, co-founder and CTO at Slack, will discuss key aspects of this reformed style of work and how we can emerge stronger – with better methods of collaboration – once it's safe to return to the office. He’ll also discuss the implications of this changing landscape on Slack’s business.</v>
      </c>
      <c r="T775" s="4" t="str">
        <f>IFERROR(__xludf.DUMMYFUNCTION("""COMPUTED_VALUE"""),"NON-KEYNOTE 7 - Video to be recorded")</f>
        <v>NON-KEYNOTE 7 - Video to be recorded</v>
      </c>
      <c r="U775" s="23">
        <f>IFERROR(__xludf.DUMMYFUNCTION("""COMPUTED_VALUE"""),43994.0)</f>
        <v>43994</v>
      </c>
      <c r="V775" s="24">
        <f>IFERROR(__xludf.DUMMYFUNCTION("""COMPUTED_VALUE"""),0.7083333333333334)</f>
        <v>0.7083333333</v>
      </c>
      <c r="W775" s="21" t="str">
        <f>IFERROR(__xludf.DUMMYFUNCTION("""COMPUTED_VALUE"""),"https://us02web.zoom.us/j/84266418691?pwd=V2NuNGx0ZlNDcVBOUEpKUUwvMkVsZz09")</f>
        <v>https://us02web.zoom.us/j/84266418691?pwd=V2NuNGx0ZlNDcVBOUEpKUUwvMkVsZz09</v>
      </c>
      <c r="X775" s="4" t="str">
        <f>IFERROR(__xludf.DUMMYFUNCTION("""COMPUTED_VALUE"""),"Kat")</f>
        <v>Kat</v>
      </c>
      <c r="Y775" s="4" t="str">
        <f>IFERROR(__xludf.DUMMYFUNCTION("""COMPUTED_VALUE"""),"")</f>
        <v/>
      </c>
    </row>
    <row r="776">
      <c r="A776" s="4" t="str">
        <f>IFERROR(__xludf.DUMMYFUNCTION("""COMPUTED_VALUE"""),"857 - Channel")</f>
        <v>857 - Channel</v>
      </c>
      <c r="B776" s="4" t="str">
        <f>IFERROR(__xludf.DUMMYFUNCTION("""COMPUTED_VALUE"""),"Channel 3")</f>
        <v>Channel 3</v>
      </c>
      <c r="C776" s="4" t="str">
        <f>IFERROR(__xludf.DUMMYFUNCTION("""COMPUTED_VALUE"""),"Day 1 - 23/06")</f>
        <v>Day 1 - 23/06</v>
      </c>
      <c r="D776" s="6">
        <f>IFERROR(__xludf.DUMMYFUNCTION("""COMPUTED_VALUE"""),0.6233449074074073)</f>
        <v>0.6233449074</v>
      </c>
      <c r="E776" s="6">
        <f>IFERROR(__xludf.DUMMYFUNCTION("""COMPUTED_VALUE"""),5.208333333333333E-4)</f>
        <v>0.0005208333333</v>
      </c>
      <c r="F776" s="6">
        <f>IFERROR(__xludf.DUMMYFUNCTION("""COMPUTED_VALUE"""),0.6238657407407406)</f>
        <v>0.6238657407</v>
      </c>
      <c r="G776" s="4" t="str">
        <f>IFERROR(__xludf.DUMMYFUNCTION("""COMPUTED_VALUE"""),"Graphics")</f>
        <v>Graphics</v>
      </c>
      <c r="H776" s="4" t="str">
        <f>IFERROR(__xludf.DUMMYFUNCTION("""COMPUTED_VALUE"""),"")</f>
        <v/>
      </c>
      <c r="I776" s="4" t="str">
        <f>IFERROR(__xludf.DUMMYFUNCTION("""COMPUTED_VALUE"""),"")</f>
        <v/>
      </c>
      <c r="J776" s="4" t="str">
        <f>IFERROR(__xludf.DUMMYFUNCTION("""COMPUTED_VALUE"""),"Climate")</f>
        <v>Climate</v>
      </c>
      <c r="K776" s="4" t="str">
        <f>IFERROR(__xludf.DUMMYFUNCTION("""COMPUTED_VALUE"""),"Web Summit Trailer - full")</f>
        <v>Web Summit Trailer - full</v>
      </c>
      <c r="L776" s="4" t="str">
        <f>IFERROR(__xludf.DUMMYFUNCTION("""COMPUTED_VALUE"""),"")</f>
        <v/>
      </c>
      <c r="M776" s="4" t="str">
        <f>IFERROR(__xludf.DUMMYFUNCTION("""COMPUTED_VALUE"""),"Web Summit Trailer - full")</f>
        <v>Web Summit Trailer - full</v>
      </c>
      <c r="N776" s="4" t="str">
        <f>IFERROR(__xludf.DUMMYFUNCTION("""COMPUTED_VALUE"""),"")</f>
        <v/>
      </c>
      <c r="O776" s="4" t="str">
        <f>IFERROR(__xludf.DUMMYFUNCTION("""COMPUTED_VALUE"""),"")</f>
        <v/>
      </c>
      <c r="P776" s="4" t="str">
        <f>IFERROR(__xludf.DUMMYFUNCTION("""COMPUTED_VALUE"""),"")</f>
        <v/>
      </c>
      <c r="Q776" s="4" t="str">
        <f>IFERROR(__xludf.DUMMYFUNCTION("""COMPUTED_VALUE"""),"")</f>
        <v/>
      </c>
      <c r="R776" s="4" t="str">
        <f>IFERROR(__xludf.DUMMYFUNCTION("""COMPUTED_VALUE"""),"")</f>
        <v/>
      </c>
      <c r="S776" s="4" t="str">
        <f>IFERROR(__xludf.DUMMYFUNCTION("""COMPUTED_VALUE"""),"")</f>
        <v/>
      </c>
      <c r="T776" s="4" t="str">
        <f>IFERROR(__xludf.DUMMYFUNCTION("""COMPUTED_VALUE"""),"")</f>
        <v/>
      </c>
      <c r="U776" s="4" t="str">
        <f>IFERROR(__xludf.DUMMYFUNCTION("""COMPUTED_VALUE"""),"")</f>
        <v/>
      </c>
      <c r="V776" s="4" t="str">
        <f>IFERROR(__xludf.DUMMYFUNCTION("""COMPUTED_VALUE"""),"")</f>
        <v/>
      </c>
      <c r="W776" s="4" t="str">
        <f>IFERROR(__xludf.DUMMYFUNCTION("""COMPUTED_VALUE"""),"")</f>
        <v/>
      </c>
      <c r="X776" s="4" t="str">
        <f>IFERROR(__xludf.DUMMYFUNCTION("""COMPUTED_VALUE"""),"")</f>
        <v/>
      </c>
      <c r="Y776" s="4" t="str">
        <f>IFERROR(__xludf.DUMMYFUNCTION("""COMPUTED_VALUE"""),"")</f>
        <v/>
      </c>
    </row>
    <row r="777">
      <c r="A777" s="4" t="str">
        <f>IFERROR(__xludf.DUMMYFUNCTION("""COMPUTED_VALUE"""),"1574 - Channel")</f>
        <v>1574 - Channel</v>
      </c>
      <c r="B777" s="4" t="str">
        <f>IFERROR(__xludf.DUMMYFUNCTION("""COMPUTED_VALUE"""),"Channel 3")</f>
        <v>Channel 3</v>
      </c>
      <c r="C777" s="4" t="str">
        <f>IFERROR(__xludf.DUMMYFUNCTION("""COMPUTED_VALUE"""),"Day 1 - 23/06")</f>
        <v>Day 1 - 23/06</v>
      </c>
      <c r="D777" s="6">
        <f>IFERROR(__xludf.DUMMYFUNCTION("""COMPUTED_VALUE"""),0.6238657407407406)</f>
        <v>0.6238657407</v>
      </c>
      <c r="E777" s="6">
        <f>IFERROR(__xludf.DUMMYFUNCTION("""COMPUTED_VALUE"""),3.4722222222222224E-4)</f>
        <v>0.0003472222222</v>
      </c>
      <c r="F777" s="6">
        <f>IFERROR(__xludf.DUMMYFUNCTION("""COMPUTED_VALUE"""),0.6242129629629629)</f>
        <v>0.624212963</v>
      </c>
      <c r="G777" s="4" t="str">
        <f>IFERROR(__xludf.DUMMYFUNCTION("""COMPUTED_VALUE"""),"P&amp;E")</f>
        <v>P&amp;E</v>
      </c>
      <c r="H777" s="4" t="str">
        <f>IFERROR(__xludf.DUMMYFUNCTION("""COMPUTED_VALUE"""),"")</f>
        <v/>
      </c>
      <c r="I777" s="4" t="str">
        <f>IFERROR(__xludf.DUMMYFUNCTION("""COMPUTED_VALUE"""),"")</f>
        <v/>
      </c>
      <c r="J777" s="4" t="str">
        <f>IFERROR(__xludf.DUMMYFUNCTION("""COMPUTED_VALUE"""),"")</f>
        <v/>
      </c>
      <c r="K777" s="4" t="str">
        <f>IFERROR(__xludf.DUMMYFUNCTION("""COMPUTED_VALUE"""),"Partner ad")</f>
        <v>Partner ad</v>
      </c>
      <c r="L777" s="4" t="str">
        <f>IFERROR(__xludf.DUMMYFUNCTION("""COMPUTED_VALUE"""),"")</f>
        <v/>
      </c>
      <c r="M777" s="4" t="str">
        <f>IFERROR(__xludf.DUMMYFUNCTION("""COMPUTED_VALUE"""),"Partner logos")</f>
        <v>Partner logos</v>
      </c>
      <c r="N777" s="4" t="str">
        <f>IFERROR(__xludf.DUMMYFUNCTION("""COMPUTED_VALUE"""),"")</f>
        <v/>
      </c>
      <c r="O777" s="4" t="str">
        <f>IFERROR(__xludf.DUMMYFUNCTION("""COMPUTED_VALUE"""),"")</f>
        <v/>
      </c>
      <c r="P777" s="4" t="str">
        <f>IFERROR(__xludf.DUMMYFUNCTION("""COMPUTED_VALUE"""),"")</f>
        <v/>
      </c>
      <c r="Q777" s="4" t="str">
        <f>IFERROR(__xludf.DUMMYFUNCTION("""COMPUTED_VALUE"""),"")</f>
        <v/>
      </c>
      <c r="R777" s="4" t="str">
        <f>IFERROR(__xludf.DUMMYFUNCTION("""COMPUTED_VALUE"""),"")</f>
        <v/>
      </c>
      <c r="S777" s="4" t="str">
        <f>IFERROR(__xludf.DUMMYFUNCTION("""COMPUTED_VALUE"""),"")</f>
        <v/>
      </c>
      <c r="T777" s="4" t="str">
        <f>IFERROR(__xludf.DUMMYFUNCTION("""COMPUTED_VALUE"""),"")</f>
        <v/>
      </c>
      <c r="U777" s="4" t="str">
        <f>IFERROR(__xludf.DUMMYFUNCTION("""COMPUTED_VALUE"""),"")</f>
        <v/>
      </c>
      <c r="V777" s="4" t="str">
        <f>IFERROR(__xludf.DUMMYFUNCTION("""COMPUTED_VALUE"""),"")</f>
        <v/>
      </c>
      <c r="W777" s="4" t="str">
        <f>IFERROR(__xludf.DUMMYFUNCTION("""COMPUTED_VALUE"""),"")</f>
        <v/>
      </c>
      <c r="X777" s="4" t="str">
        <f>IFERROR(__xludf.DUMMYFUNCTION("""COMPUTED_VALUE"""),"")</f>
        <v/>
      </c>
      <c r="Y777" s="4" t="str">
        <f>IFERROR(__xludf.DUMMYFUNCTION("""COMPUTED_VALUE"""),"")</f>
        <v/>
      </c>
    </row>
    <row r="778">
      <c r="A778" s="4" t="str">
        <f>IFERROR(__xludf.DUMMYFUNCTION("""COMPUTED_VALUE"""),"1643 - Channel")</f>
        <v>1643 - Channel</v>
      </c>
      <c r="B778" s="4" t="str">
        <f>IFERROR(__xludf.DUMMYFUNCTION("""COMPUTED_VALUE"""),"")</f>
        <v/>
      </c>
      <c r="C778" s="4" t="str">
        <f>IFERROR(__xludf.DUMMYFUNCTION("""COMPUTED_VALUE"""),"")</f>
        <v/>
      </c>
      <c r="D778" s="4" t="str">
        <f>IFERROR(__xludf.DUMMYFUNCTION("""COMPUTED_VALUE"""),"")</f>
        <v/>
      </c>
      <c r="E778" s="4" t="str">
        <f>IFERROR(__xludf.DUMMYFUNCTION("""COMPUTED_VALUE"""),"")</f>
        <v/>
      </c>
      <c r="F778" s="4" t="str">
        <f>IFERROR(__xludf.DUMMYFUNCTION("""COMPUTED_VALUE"""),"")</f>
        <v/>
      </c>
      <c r="G778" s="4" t="str">
        <f>IFERROR(__xludf.DUMMYFUNCTION("""COMPUTED_VALUE"""),"")</f>
        <v/>
      </c>
      <c r="H778" s="4" t="str">
        <f>IFERROR(__xludf.DUMMYFUNCTION("""COMPUTED_VALUE"""),"")</f>
        <v/>
      </c>
      <c r="I778" s="4" t="str">
        <f>IFERROR(__xludf.DUMMYFUNCTION("""COMPUTED_VALUE"""),"")</f>
        <v/>
      </c>
      <c r="J778" s="4" t="str">
        <f>IFERROR(__xludf.DUMMYFUNCTION("""COMPUTED_VALUE"""),"")</f>
        <v/>
      </c>
      <c r="K778" s="4" t="str">
        <f>IFERROR(__xludf.DUMMYFUNCTION("""COMPUTED_VALUE"""),"")</f>
        <v/>
      </c>
      <c r="L778" s="4" t="str">
        <f>IFERROR(__xludf.DUMMYFUNCTION("""COMPUTED_VALUE"""),"")</f>
        <v/>
      </c>
      <c r="M778" s="4" t="str">
        <f>IFERROR(__xludf.DUMMYFUNCTION("""COMPUTED_VALUE"""),"")</f>
        <v/>
      </c>
      <c r="N778" s="4" t="str">
        <f>IFERROR(__xludf.DUMMYFUNCTION("""COMPUTED_VALUE"""),"")</f>
        <v/>
      </c>
      <c r="O778" s="4" t="str">
        <f>IFERROR(__xludf.DUMMYFUNCTION("""COMPUTED_VALUE"""),"")</f>
        <v/>
      </c>
      <c r="P778" s="4" t="str">
        <f>IFERROR(__xludf.DUMMYFUNCTION("""COMPUTED_VALUE"""),"")</f>
        <v/>
      </c>
      <c r="Q778" s="4" t="str">
        <f>IFERROR(__xludf.DUMMYFUNCTION("""COMPUTED_VALUE"""),"")</f>
        <v/>
      </c>
      <c r="R778" s="4" t="str">
        <f>IFERROR(__xludf.DUMMYFUNCTION("""COMPUTED_VALUE"""),"")</f>
        <v/>
      </c>
      <c r="S778" s="4" t="str">
        <f>IFERROR(__xludf.DUMMYFUNCTION("""COMPUTED_VALUE"""),"")</f>
        <v/>
      </c>
      <c r="T778" s="4" t="str">
        <f>IFERROR(__xludf.DUMMYFUNCTION("""COMPUTED_VALUE"""),"")</f>
        <v/>
      </c>
      <c r="U778" s="4" t="str">
        <f>IFERROR(__xludf.DUMMYFUNCTION("""COMPUTED_VALUE"""),"")</f>
        <v/>
      </c>
      <c r="V778" s="4" t="str">
        <f>IFERROR(__xludf.DUMMYFUNCTION("""COMPUTED_VALUE"""),"")</f>
        <v/>
      </c>
      <c r="W778" s="4" t="str">
        <f>IFERROR(__xludf.DUMMYFUNCTION("""COMPUTED_VALUE"""),"")</f>
        <v/>
      </c>
      <c r="X778" s="4" t="str">
        <f>IFERROR(__xludf.DUMMYFUNCTION("""COMPUTED_VALUE"""),"")</f>
        <v/>
      </c>
      <c r="Y778" s="4" t="str">
        <f>IFERROR(__xludf.DUMMYFUNCTION("""COMPUTED_VALUE"""),"")</f>
        <v/>
      </c>
    </row>
    <row r="779">
      <c r="A779" s="4" t="str">
        <f>IFERROR(__xludf.DUMMYFUNCTION("""COMPUTED_VALUE"""),"858 - Channel")</f>
        <v>858 - Channel</v>
      </c>
      <c r="B779" s="4" t="str">
        <f>IFERROR(__xludf.DUMMYFUNCTION("""COMPUTED_VALUE"""),"Channel 3")</f>
        <v>Channel 3</v>
      </c>
      <c r="C779" s="4" t="str">
        <f>IFERROR(__xludf.DUMMYFUNCTION("""COMPUTED_VALUE"""),"Day 1 - 23/06")</f>
        <v>Day 1 - 23/06</v>
      </c>
      <c r="D779" s="6">
        <f>IFERROR(__xludf.DUMMYFUNCTION("""COMPUTED_VALUE"""),0.625)</f>
        <v>0.625</v>
      </c>
      <c r="E779" s="53">
        <f>IFERROR(__xludf.DUMMYFUNCTION("""COMPUTED_VALUE"""),3.4722222222222224E-4)</f>
        <v>0.0003472222222</v>
      </c>
      <c r="F779" s="6">
        <f>IFERROR(__xludf.DUMMYFUNCTION("""COMPUTED_VALUE"""),0.6253472222222223)</f>
        <v>0.6253472222</v>
      </c>
      <c r="G779" s="4" t="str">
        <f>IFERROR(__xludf.DUMMYFUNCTION("""COMPUTED_VALUE"""),"Graphics")</f>
        <v>Graphics</v>
      </c>
      <c r="H779" s="4" t="str">
        <f>IFERROR(__xludf.DUMMYFUNCTION("""COMPUTED_VALUE"""),"N/A")</f>
        <v>N/A</v>
      </c>
      <c r="I779" s="4" t="str">
        <f>IFERROR(__xludf.DUMMYFUNCTION("""COMPUTED_VALUE"""),"N/A")</f>
        <v>N/A</v>
      </c>
      <c r="J779" s="4" t="str">
        <f>IFERROR(__xludf.DUMMYFUNCTION("""COMPUTED_VALUE"""),"Data")</f>
        <v>Data</v>
      </c>
      <c r="K779" s="4" t="str">
        <f>IFERROR(__xludf.DUMMYFUNCTION("""COMPUTED_VALUE"""),"Talk Intro")</f>
        <v>Talk Intro</v>
      </c>
      <c r="L779" s="4" t="str">
        <f>IFERROR(__xludf.DUMMYFUNCTION("""COMPUTED_VALUE"""),"")</f>
        <v/>
      </c>
      <c r="M779" s="4" t="str">
        <f>IFERROR(__xludf.DUMMYFUNCTION("""COMPUTED_VALUE"""),"Talk Intro")</f>
        <v>Talk Intro</v>
      </c>
      <c r="N779" s="4" t="str">
        <f>IFERROR(__xludf.DUMMYFUNCTION("""COMPUTED_VALUE"""),"")</f>
        <v/>
      </c>
      <c r="O779" s="4" t="str">
        <f>IFERROR(__xludf.DUMMYFUNCTION("""COMPUTED_VALUE"""),"")</f>
        <v/>
      </c>
      <c r="P779" s="4" t="str">
        <f>IFERROR(__xludf.DUMMYFUNCTION("""COMPUTED_VALUE"""),"")</f>
        <v/>
      </c>
      <c r="Q779" s="4" t="str">
        <f>IFERROR(__xludf.DUMMYFUNCTION("""COMPUTED_VALUE"""),"")</f>
        <v/>
      </c>
      <c r="R779" s="4" t="str">
        <f>IFERROR(__xludf.DUMMYFUNCTION("""COMPUTED_VALUE"""),"")</f>
        <v/>
      </c>
      <c r="S779" s="4" t="str">
        <f>IFERROR(__xludf.DUMMYFUNCTION("""COMPUTED_VALUE"""),"")</f>
        <v/>
      </c>
      <c r="T779" s="4" t="str">
        <f>IFERROR(__xludf.DUMMYFUNCTION("""COMPUTED_VALUE"""),"")</f>
        <v/>
      </c>
      <c r="U779" s="4" t="str">
        <f>IFERROR(__xludf.DUMMYFUNCTION("""COMPUTED_VALUE"""),"")</f>
        <v/>
      </c>
      <c r="V779" s="4" t="str">
        <f>IFERROR(__xludf.DUMMYFUNCTION("""COMPUTED_VALUE"""),"")</f>
        <v/>
      </c>
      <c r="W779" s="4" t="str">
        <f>IFERROR(__xludf.DUMMYFUNCTION("""COMPUTED_VALUE"""),"")</f>
        <v/>
      </c>
      <c r="X779" s="4" t="str">
        <f>IFERROR(__xludf.DUMMYFUNCTION("""COMPUTED_VALUE"""),"")</f>
        <v/>
      </c>
      <c r="Y779" s="4" t="str">
        <f>IFERROR(__xludf.DUMMYFUNCTION("""COMPUTED_VALUE"""),"")</f>
        <v/>
      </c>
    </row>
    <row r="780">
      <c r="A780" s="4" t="str">
        <f>IFERROR(__xludf.DUMMYFUNCTION("""COMPUTED_VALUE"""),"859 - Channel")</f>
        <v>859 - Channel</v>
      </c>
      <c r="B780" s="4" t="str">
        <f>IFERROR(__xludf.DUMMYFUNCTION("""COMPUTED_VALUE"""),"Channel 3")</f>
        <v>Channel 3</v>
      </c>
      <c r="C780" s="4" t="str">
        <f>IFERROR(__xludf.DUMMYFUNCTION("""COMPUTED_VALUE"""),"Day 1 - 23/06")</f>
        <v>Day 1 - 23/06</v>
      </c>
      <c r="D780" s="6">
        <f>IFERROR(__xludf.DUMMYFUNCTION("""COMPUTED_VALUE"""),0.6253472222222223)</f>
        <v>0.6253472222</v>
      </c>
      <c r="E780" s="53">
        <f>IFERROR(__xludf.DUMMYFUNCTION("""COMPUTED_VALUE"""),0.009953703703703704)</f>
        <v>0.009953703704</v>
      </c>
      <c r="F780" s="6">
        <f>IFERROR(__xludf.DUMMYFUNCTION("""COMPUTED_VALUE"""),0.635300925925926)</f>
        <v>0.6353009259</v>
      </c>
      <c r="G780" s="4" t="str">
        <f>IFERROR(__xludf.DUMMYFUNCTION("""COMPUTED_VALUE"""),"Laura")</f>
        <v>Laura</v>
      </c>
      <c r="H780" s="4" t="str">
        <f>IFERROR(__xludf.DUMMYFUNCTION("""COMPUTED_VALUE"""),"Stephen")</f>
        <v>Stephen</v>
      </c>
      <c r="I780" s="4" t="str">
        <f>IFERROR(__xludf.DUMMYFUNCTION("""COMPUTED_VALUE"""),"Hannah")</f>
        <v>Hannah</v>
      </c>
      <c r="J780" s="4" t="str">
        <f>IFERROR(__xludf.DUMMYFUNCTION("""COMPUTED_VALUE"""),"Data")</f>
        <v>Data</v>
      </c>
      <c r="K780" s="4" t="str">
        <f>IFERROR(__xludf.DUMMYFUNCTION("""COMPUTED_VALUE"""),"Super Fireside")</f>
        <v>Super Fireside</v>
      </c>
      <c r="L780" s="4" t="str">
        <f>IFERROR(__xludf.DUMMYFUNCTION("""COMPUTED_VALUE"""),"T- 9 - 20/04/2020")</f>
        <v>T- 9 - 20/04/2020</v>
      </c>
      <c r="M780" s="4" t="str">
        <f>IFERROR(__xludf.DUMMYFUNCTION("""COMPUTED_VALUE"""),"Trends in the data: Cannabis")</f>
        <v>Trends in the data: Cannabis</v>
      </c>
      <c r="N780" s="4" t="str">
        <f>IFERROR(__xludf.DUMMYFUNCTION("""COMPUTED_VALUE"""),"Jeffrey Harris, springbig")</f>
        <v>Jeffrey Harris, springbig</v>
      </c>
      <c r="O780" s="4" t="str">
        <f>IFERROR(__xludf.DUMMYFUNCTION("""COMPUTED_VALUE"""),"Cy Scott, Headset")</f>
        <v>Cy Scott, Headset</v>
      </c>
      <c r="P780" s="4" t="str">
        <f>IFERROR(__xludf.DUMMYFUNCTION("""COMPUTED_VALUE"""),"")</f>
        <v/>
      </c>
      <c r="Q780" s="4" t="str">
        <f>IFERROR(__xludf.DUMMYFUNCTION("""COMPUTED_VALUE"""),"")</f>
        <v/>
      </c>
      <c r="R780" s="4" t="str">
        <f>IFERROR(__xludf.DUMMYFUNCTION("""COMPUTED_VALUE"""),"Ruth Reader, Fast Company")</f>
        <v>Ruth Reader, Fast Company</v>
      </c>
      <c r="S780" s="4" t="str">
        <f>IFERROR(__xludf.DUMMYFUNCTION("""COMPUTED_VALUE"""),"We explore the current trends and patterns seen in the cannabis industry with Headset and springbig.")</f>
        <v>We explore the current trends and patterns seen in the cannabis industry with Headset and springbig.</v>
      </c>
      <c r="T780" s="4" t="str">
        <f>IFERROR(__xludf.DUMMYFUNCTION("""COMPUTED_VALUE"""),"NON-KEYNOTE 9 - COMPLETE")</f>
        <v>NON-KEYNOTE 9 - COMPLETE</v>
      </c>
      <c r="U780" s="23">
        <f>IFERROR(__xludf.DUMMYFUNCTION("""COMPUTED_VALUE"""),43944.0)</f>
        <v>43944</v>
      </c>
      <c r="V780" s="4" t="str">
        <f>IFERROR(__xludf.DUMMYFUNCTION("""COMPUTED_VALUE"""),"")</f>
        <v/>
      </c>
      <c r="W780" s="4" t="str">
        <f>IFERROR(__xludf.DUMMYFUNCTION("""COMPUTED_VALUE"""),"COMPLETE")</f>
        <v>COMPLETE</v>
      </c>
      <c r="X780" s="4" t="str">
        <f>IFERROR(__xludf.DUMMYFUNCTION("""COMPUTED_VALUE"""),"Laura")</f>
        <v>Laura</v>
      </c>
      <c r="Y780" s="4" t="str">
        <f>IFERROR(__xludf.DUMMYFUNCTION("""COMPUTED_VALUE"""),"")</f>
        <v/>
      </c>
    </row>
    <row r="781">
      <c r="A781" s="4" t="str">
        <f>IFERROR(__xludf.DUMMYFUNCTION("""COMPUTED_VALUE"""),"861 - Channel")</f>
        <v>861 - Channel</v>
      </c>
      <c r="B781" s="4" t="str">
        <f>IFERROR(__xludf.DUMMYFUNCTION("""COMPUTED_VALUE"""),"Channel 3")</f>
        <v>Channel 3</v>
      </c>
      <c r="C781" s="4" t="str">
        <f>IFERROR(__xludf.DUMMYFUNCTION("""COMPUTED_VALUE"""),"Day 1 - 23/06")</f>
        <v>Day 1 - 23/06</v>
      </c>
      <c r="D781" s="6">
        <f>IFERROR(__xludf.DUMMYFUNCTION("""COMPUTED_VALUE"""),0.635300925925926)</f>
        <v>0.6353009259</v>
      </c>
      <c r="E781" s="6">
        <f>IFERROR(__xludf.DUMMYFUNCTION("""COMPUTED_VALUE"""),2.314814814814815E-4)</f>
        <v>0.0002314814815</v>
      </c>
      <c r="F781" s="6">
        <f>IFERROR(__xludf.DUMMYFUNCTION("""COMPUTED_VALUE"""),0.6355324074074075)</f>
        <v>0.6355324074</v>
      </c>
      <c r="G781" s="4" t="str">
        <f>IFERROR(__xludf.DUMMYFUNCTION("""COMPUTED_VALUE"""),"Graphics")</f>
        <v>Graphics</v>
      </c>
      <c r="H781" s="4" t="str">
        <f>IFERROR(__xludf.DUMMYFUNCTION("""COMPUTED_VALUE"""),"N/A")</f>
        <v>N/A</v>
      </c>
      <c r="I781" s="4" t="str">
        <f>IFERROR(__xludf.DUMMYFUNCTION("""COMPUTED_VALUE"""),"N/A")</f>
        <v>N/A</v>
      </c>
      <c r="J781" s="4" t="str">
        <f>IFERROR(__xludf.DUMMYFUNCTION("""COMPUTED_VALUE"""),"Data")</f>
        <v>Data</v>
      </c>
      <c r="K781" s="4" t="str">
        <f>IFERROR(__xludf.DUMMYFUNCTION("""COMPUTED_VALUE"""),"Talk Intro")</f>
        <v>Talk Intro</v>
      </c>
      <c r="L781" s="4" t="str">
        <f>IFERROR(__xludf.DUMMYFUNCTION("""COMPUTED_VALUE"""),"")</f>
        <v/>
      </c>
      <c r="M781" s="4" t="str">
        <f>IFERROR(__xludf.DUMMYFUNCTION("""COMPUTED_VALUE"""),"talk intro")</f>
        <v>talk intro</v>
      </c>
      <c r="N781" s="4" t="str">
        <f>IFERROR(__xludf.DUMMYFUNCTION("""COMPUTED_VALUE"""),"")</f>
        <v/>
      </c>
      <c r="O781" s="4" t="str">
        <f>IFERROR(__xludf.DUMMYFUNCTION("""COMPUTED_VALUE"""),"")</f>
        <v/>
      </c>
      <c r="P781" s="4" t="str">
        <f>IFERROR(__xludf.DUMMYFUNCTION("""COMPUTED_VALUE"""),"")</f>
        <v/>
      </c>
      <c r="Q781" s="4" t="str">
        <f>IFERROR(__xludf.DUMMYFUNCTION("""COMPUTED_VALUE"""),"")</f>
        <v/>
      </c>
      <c r="R781" s="4" t="str">
        <f>IFERROR(__xludf.DUMMYFUNCTION("""COMPUTED_VALUE"""),"")</f>
        <v/>
      </c>
      <c r="S781" s="4" t="str">
        <f>IFERROR(__xludf.DUMMYFUNCTION("""COMPUTED_VALUE"""),"")</f>
        <v/>
      </c>
      <c r="T781" s="4" t="str">
        <f>IFERROR(__xludf.DUMMYFUNCTION("""COMPUTED_VALUE"""),"")</f>
        <v/>
      </c>
      <c r="U781" s="4" t="str">
        <f>IFERROR(__xludf.DUMMYFUNCTION("""COMPUTED_VALUE"""),"")</f>
        <v/>
      </c>
      <c r="V781" s="4" t="str">
        <f>IFERROR(__xludf.DUMMYFUNCTION("""COMPUTED_VALUE"""),"")</f>
        <v/>
      </c>
      <c r="W781" s="4" t="str">
        <f>IFERROR(__xludf.DUMMYFUNCTION("""COMPUTED_VALUE"""),"")</f>
        <v/>
      </c>
      <c r="X781" s="4" t="str">
        <f>IFERROR(__xludf.DUMMYFUNCTION("""COMPUTED_VALUE"""),"")</f>
        <v/>
      </c>
      <c r="Y781" s="4" t="str">
        <f>IFERROR(__xludf.DUMMYFUNCTION("""COMPUTED_VALUE"""),"")</f>
        <v/>
      </c>
    </row>
    <row r="782">
      <c r="A782" s="4" t="str">
        <f>IFERROR(__xludf.DUMMYFUNCTION("""COMPUTED_VALUE"""),"862 - Channel")</f>
        <v>862 - Channel</v>
      </c>
      <c r="B782" s="4" t="str">
        <f>IFERROR(__xludf.DUMMYFUNCTION("""COMPUTED_VALUE"""),"Channel 3")</f>
        <v>Channel 3</v>
      </c>
      <c r="C782" s="4" t="str">
        <f>IFERROR(__xludf.DUMMYFUNCTION("""COMPUTED_VALUE"""),"Day 1 - 23/06")</f>
        <v>Day 1 - 23/06</v>
      </c>
      <c r="D782" s="6">
        <f>IFERROR(__xludf.DUMMYFUNCTION("""COMPUTED_VALUE"""),0.6355324074074075)</f>
        <v>0.6355324074</v>
      </c>
      <c r="E782" s="6">
        <f>IFERROR(__xludf.DUMMYFUNCTION("""COMPUTED_VALUE"""),0.0021527777777777778)</f>
        <v>0.002152777778</v>
      </c>
      <c r="F782" s="6">
        <f>IFERROR(__xludf.DUMMYFUNCTION("""COMPUTED_VALUE"""),0.6376851851851852)</f>
        <v>0.6376851852</v>
      </c>
      <c r="G782" s="4" t="str">
        <f>IFERROR(__xludf.DUMMYFUNCTION("""COMPUTED_VALUE"""),"Dan")</f>
        <v>Dan</v>
      </c>
      <c r="H782" s="4" t="str">
        <f>IFERROR(__xludf.DUMMYFUNCTION("""COMPUTED_VALUE"""),"N/A")</f>
        <v>N/A</v>
      </c>
      <c r="I782" s="4" t="str">
        <f>IFERROR(__xludf.DUMMYFUNCTION("""COMPUTED_VALUE"""),"Jack")</f>
        <v>Jack</v>
      </c>
      <c r="J782" s="4" t="str">
        <f>IFERROR(__xludf.DUMMYFUNCTION("""COMPUTED_VALUE"""),"Data")</f>
        <v>Data</v>
      </c>
      <c r="K782" s="4" t="str">
        <f>IFERROR(__xludf.DUMMYFUNCTION("""COMPUTED_VALUE"""),"Keynote")</f>
        <v>Keynote</v>
      </c>
      <c r="L782" s="4" t="str">
        <f>IFERROR(__xludf.DUMMYFUNCTION("""COMPUTED_VALUE"""),"T- 9 - 20/04/2020")</f>
        <v>T- 9 - 20/04/2020</v>
      </c>
      <c r="M782" s="4" t="str">
        <f>IFERROR(__xludf.DUMMYFUNCTION("""COMPUTED_VALUE"""),"Counting sleep")</f>
        <v>Counting sleep</v>
      </c>
      <c r="N782" s="4" t="str">
        <f>IFERROR(__xludf.DUMMYFUNCTION("""COMPUTED_VALUE"""),"Sarah McCollum Dorsett, Nanit")</f>
        <v>Sarah McCollum Dorsett, Nanit</v>
      </c>
      <c r="O782" s="4" t="str">
        <f>IFERROR(__xludf.DUMMYFUNCTION("""COMPUTED_VALUE"""),"")</f>
        <v/>
      </c>
      <c r="P782" s="4" t="str">
        <f>IFERROR(__xludf.DUMMYFUNCTION("""COMPUTED_VALUE"""),"")</f>
        <v/>
      </c>
      <c r="Q782" s="4" t="str">
        <f>IFERROR(__xludf.DUMMYFUNCTION("""COMPUTED_VALUE"""),"")</f>
        <v/>
      </c>
      <c r="R782" s="4" t="str">
        <f>IFERROR(__xludf.DUMMYFUNCTION("""COMPUTED_VALUE"""),"")</f>
        <v/>
      </c>
      <c r="S782" s="4" t="str">
        <f>IFERROR(__xludf.DUMMYFUNCTION("""COMPUTED_VALUE"""),"Hear from Nanit CEO Sarah Dorsett on how the startup is using technology and data to create products that help improve sleep for babies and the entire family.")</f>
        <v>Hear from Nanit CEO Sarah Dorsett on how the startup is using technology and data to create products that help improve sleep for babies and the entire family.</v>
      </c>
      <c r="T782" s="4" t="str">
        <f>IFERROR(__xludf.DUMMYFUNCTION("""COMPUTED_VALUE"""),"KEYNOTE 8 - COMPLETE")</f>
        <v>KEYNOTE 8 - COMPLETE</v>
      </c>
      <c r="U782" s="23">
        <f>IFERROR(__xludf.DUMMYFUNCTION("""COMPUTED_VALUE"""),43945.0)</f>
        <v>43945</v>
      </c>
      <c r="V782" s="24">
        <f>IFERROR(__xludf.DUMMYFUNCTION("""COMPUTED_VALUE"""),0.8333333333333334)</f>
        <v>0.8333333333</v>
      </c>
      <c r="W782" s="4" t="str">
        <f>IFERROR(__xludf.DUMMYFUNCTION("""COMPUTED_VALUE"""),"COMPLETE")</f>
        <v>COMPLETE</v>
      </c>
      <c r="X782" s="4" t="str">
        <f>IFERROR(__xludf.DUMMYFUNCTION("""COMPUTED_VALUE"""),"Dan")</f>
        <v>Dan</v>
      </c>
      <c r="Y782" s="4" t="str">
        <f>IFERROR(__xludf.DUMMYFUNCTION("""COMPUTED_VALUE"""),"4635574654615541519")</f>
        <v>4635574654615541519</v>
      </c>
    </row>
    <row r="783">
      <c r="A783" s="4" t="str">
        <f>IFERROR(__xludf.DUMMYFUNCTION("""COMPUTED_VALUE"""),"851 - Channel")</f>
        <v>851 - Channel</v>
      </c>
      <c r="B783" s="4" t="str">
        <f>IFERROR(__xludf.DUMMYFUNCTION("""COMPUTED_VALUE"""),"Channel 3")</f>
        <v>Channel 3</v>
      </c>
      <c r="C783" s="4" t="str">
        <f>IFERROR(__xludf.DUMMYFUNCTION("""COMPUTED_VALUE"""),"Day 1 - 23/06")</f>
        <v>Day 1 - 23/06</v>
      </c>
      <c r="D783" s="6">
        <f>IFERROR(__xludf.DUMMYFUNCTION("""COMPUTED_VALUE"""),0.6376851851851852)</f>
        <v>0.6376851852</v>
      </c>
      <c r="E783" s="6">
        <f>IFERROR(__xludf.DUMMYFUNCTION("""COMPUTED_VALUE"""),1.7361111111111112E-4)</f>
        <v>0.0001736111111</v>
      </c>
      <c r="F783" s="6">
        <f>IFERROR(__xludf.DUMMYFUNCTION("""COMPUTED_VALUE"""),0.6378587962962964)</f>
        <v>0.6378587963</v>
      </c>
      <c r="G783" s="4" t="str">
        <f>IFERROR(__xludf.DUMMYFUNCTION("""COMPUTED_VALUE"""),"P&amp;E")</f>
        <v>P&amp;E</v>
      </c>
      <c r="H783" s="4" t="str">
        <f>IFERROR(__xludf.DUMMYFUNCTION("""COMPUTED_VALUE"""),"N/A")</f>
        <v>N/A</v>
      </c>
      <c r="I783" s="4" t="str">
        <f>IFERROR(__xludf.DUMMYFUNCTION("""COMPUTED_VALUE"""),"N/A")</f>
        <v>N/A</v>
      </c>
      <c r="J783" s="4" t="str">
        <f>IFERROR(__xludf.DUMMYFUNCTION("""COMPUTED_VALUE"""),"Climate")</f>
        <v>Climate</v>
      </c>
      <c r="K783" s="4" t="str">
        <f>IFERROR(__xludf.DUMMYFUNCTION("""COMPUTED_VALUE"""),"Partner ad")</f>
        <v>Partner ad</v>
      </c>
      <c r="L783" s="4" t="str">
        <f>IFERROR(__xludf.DUMMYFUNCTION("""COMPUTED_VALUE"""),"")</f>
        <v/>
      </c>
      <c r="M783" s="4" t="str">
        <f>IFERROR(__xludf.DUMMYFUNCTION("""COMPUTED_VALUE"""),"Partner ad - UK DIT")</f>
        <v>Partner ad - UK DIT</v>
      </c>
      <c r="N783" s="4" t="str">
        <f>IFERROR(__xludf.DUMMYFUNCTION("""COMPUTED_VALUE"""),"")</f>
        <v/>
      </c>
      <c r="O783" s="4" t="str">
        <f>IFERROR(__xludf.DUMMYFUNCTION("""COMPUTED_VALUE"""),"")</f>
        <v/>
      </c>
      <c r="P783" s="4" t="str">
        <f>IFERROR(__xludf.DUMMYFUNCTION("""COMPUTED_VALUE"""),"")</f>
        <v/>
      </c>
      <c r="Q783" s="4" t="str">
        <f>IFERROR(__xludf.DUMMYFUNCTION("""COMPUTED_VALUE"""),"")</f>
        <v/>
      </c>
      <c r="R783" s="4" t="str">
        <f>IFERROR(__xludf.DUMMYFUNCTION("""COMPUTED_VALUE"""),"")</f>
        <v/>
      </c>
      <c r="S783" s="4" t="str">
        <f>IFERROR(__xludf.DUMMYFUNCTION("""COMPUTED_VALUE"""),"")</f>
        <v/>
      </c>
      <c r="T783" s="4" t="str">
        <f>IFERROR(__xludf.DUMMYFUNCTION("""COMPUTED_VALUE"""),"")</f>
        <v/>
      </c>
      <c r="U783" s="4" t="str">
        <f>IFERROR(__xludf.DUMMYFUNCTION("""COMPUTED_VALUE"""),"")</f>
        <v/>
      </c>
      <c r="V783" s="4" t="str">
        <f>IFERROR(__xludf.DUMMYFUNCTION("""COMPUTED_VALUE"""),"")</f>
        <v/>
      </c>
      <c r="W783" s="4" t="str">
        <f>IFERROR(__xludf.DUMMYFUNCTION("""COMPUTED_VALUE"""),"")</f>
        <v/>
      </c>
      <c r="X783" s="4" t="str">
        <f>IFERROR(__xludf.DUMMYFUNCTION("""COMPUTED_VALUE"""),"")</f>
        <v/>
      </c>
      <c r="Y783" s="4" t="str">
        <f>IFERROR(__xludf.DUMMYFUNCTION("""COMPUTED_VALUE"""),"")</f>
        <v/>
      </c>
    </row>
    <row r="784">
      <c r="A784" s="4" t="str">
        <f>IFERROR(__xludf.DUMMYFUNCTION("""COMPUTED_VALUE"""),"865 - Channel")</f>
        <v>865 - Channel</v>
      </c>
      <c r="B784" s="4" t="str">
        <f>IFERROR(__xludf.DUMMYFUNCTION("""COMPUTED_VALUE"""),"Channel 3")</f>
        <v>Channel 3</v>
      </c>
      <c r="C784" s="4" t="str">
        <f>IFERROR(__xludf.DUMMYFUNCTION("""COMPUTED_VALUE"""),"Day 1 - 23/06")</f>
        <v>Day 1 - 23/06</v>
      </c>
      <c r="D784" s="6">
        <f>IFERROR(__xludf.DUMMYFUNCTION("""COMPUTED_VALUE"""),0.6378587962962964)</f>
        <v>0.6378587963</v>
      </c>
      <c r="E784" s="6">
        <f>IFERROR(__xludf.DUMMYFUNCTION("""COMPUTED_VALUE"""),2.314814814814815E-4)</f>
        <v>0.0002314814815</v>
      </c>
      <c r="F784" s="6">
        <f>IFERROR(__xludf.DUMMYFUNCTION("""COMPUTED_VALUE"""),0.6380902777777778)</f>
        <v>0.6380902778</v>
      </c>
      <c r="G784" s="4" t="str">
        <f>IFERROR(__xludf.DUMMYFUNCTION("""COMPUTED_VALUE"""),"Graphics")</f>
        <v>Graphics</v>
      </c>
      <c r="H784" s="4" t="str">
        <f>IFERROR(__xludf.DUMMYFUNCTION("""COMPUTED_VALUE"""),"N/A")</f>
        <v>N/A</v>
      </c>
      <c r="I784" s="4" t="str">
        <f>IFERROR(__xludf.DUMMYFUNCTION("""COMPUTED_VALUE"""),"N/A")</f>
        <v>N/A</v>
      </c>
      <c r="J784" s="4" t="str">
        <f>IFERROR(__xludf.DUMMYFUNCTION("""COMPUTED_VALUE"""),"Data")</f>
        <v>Data</v>
      </c>
      <c r="K784" s="4" t="str">
        <f>IFERROR(__xludf.DUMMYFUNCTION("""COMPUTED_VALUE"""),"Talk Intro")</f>
        <v>Talk Intro</v>
      </c>
      <c r="L784" s="4" t="str">
        <f>IFERROR(__xludf.DUMMYFUNCTION("""COMPUTED_VALUE"""),"")</f>
        <v/>
      </c>
      <c r="M784" s="4" t="str">
        <f>IFERROR(__xludf.DUMMYFUNCTION("""COMPUTED_VALUE"""),"Talk Intro")</f>
        <v>Talk Intro</v>
      </c>
      <c r="N784" s="4" t="str">
        <f>IFERROR(__xludf.DUMMYFUNCTION("""COMPUTED_VALUE"""),"")</f>
        <v/>
      </c>
      <c r="O784" s="4" t="str">
        <f>IFERROR(__xludf.DUMMYFUNCTION("""COMPUTED_VALUE"""),"")</f>
        <v/>
      </c>
      <c r="P784" s="4" t="str">
        <f>IFERROR(__xludf.DUMMYFUNCTION("""COMPUTED_VALUE"""),"")</f>
        <v/>
      </c>
      <c r="Q784" s="4" t="str">
        <f>IFERROR(__xludf.DUMMYFUNCTION("""COMPUTED_VALUE"""),"")</f>
        <v/>
      </c>
      <c r="R784" s="4" t="str">
        <f>IFERROR(__xludf.DUMMYFUNCTION("""COMPUTED_VALUE"""),"")</f>
        <v/>
      </c>
      <c r="S784" s="4" t="str">
        <f>IFERROR(__xludf.DUMMYFUNCTION("""COMPUTED_VALUE"""),"")</f>
        <v/>
      </c>
      <c r="T784" s="4" t="str">
        <f>IFERROR(__xludf.DUMMYFUNCTION("""COMPUTED_VALUE"""),"")</f>
        <v/>
      </c>
      <c r="U784" s="4" t="str">
        <f>IFERROR(__xludf.DUMMYFUNCTION("""COMPUTED_VALUE"""),"")</f>
        <v/>
      </c>
      <c r="V784" s="4" t="str">
        <f>IFERROR(__xludf.DUMMYFUNCTION("""COMPUTED_VALUE"""),"")</f>
        <v/>
      </c>
      <c r="W784" s="4" t="str">
        <f>IFERROR(__xludf.DUMMYFUNCTION("""COMPUTED_VALUE"""),"")</f>
        <v/>
      </c>
      <c r="X784" s="4" t="str">
        <f>IFERROR(__xludf.DUMMYFUNCTION("""COMPUTED_VALUE"""),"")</f>
        <v/>
      </c>
      <c r="Y784" s="4" t="str">
        <f>IFERROR(__xludf.DUMMYFUNCTION("""COMPUTED_VALUE"""),"")</f>
        <v/>
      </c>
    </row>
    <row r="785">
      <c r="A785" s="4" t="str">
        <f>IFERROR(__xludf.DUMMYFUNCTION("""COMPUTED_VALUE"""),"866 - Channel")</f>
        <v>866 - Channel</v>
      </c>
      <c r="B785" s="4" t="str">
        <f>IFERROR(__xludf.DUMMYFUNCTION("""COMPUTED_VALUE"""),"Channel 3")</f>
        <v>Channel 3</v>
      </c>
      <c r="C785" s="4" t="str">
        <f>IFERROR(__xludf.DUMMYFUNCTION("""COMPUTED_VALUE"""),"Day 1 - 23/06")</f>
        <v>Day 1 - 23/06</v>
      </c>
      <c r="D785" s="6">
        <f>IFERROR(__xludf.DUMMYFUNCTION("""COMPUTED_VALUE"""),0.6380902777777778)</f>
        <v>0.6380902778</v>
      </c>
      <c r="E785" s="6">
        <f>IFERROR(__xludf.DUMMYFUNCTION("""COMPUTED_VALUE"""),0.009837962962962963)</f>
        <v>0.009837962963</v>
      </c>
      <c r="F785" s="6">
        <f>IFERROR(__xludf.DUMMYFUNCTION("""COMPUTED_VALUE"""),0.6479282407407407)</f>
        <v>0.6479282407</v>
      </c>
      <c r="G785" s="4" t="str">
        <f>IFERROR(__xludf.DUMMYFUNCTION("""COMPUTED_VALUE"""),"Gavin")</f>
        <v>Gavin</v>
      </c>
      <c r="H785" s="4" t="str">
        <f>IFERROR(__xludf.DUMMYFUNCTION("""COMPUTED_VALUE"""),"Stephen")</f>
        <v>Stephen</v>
      </c>
      <c r="I785" s="4" t="str">
        <f>IFERROR(__xludf.DUMMYFUNCTION("""COMPUTED_VALUE"""),"Manon")</f>
        <v>Manon</v>
      </c>
      <c r="J785" s="4" t="str">
        <f>IFERROR(__xludf.DUMMYFUNCTION("""COMPUTED_VALUE"""),"Data")</f>
        <v>Data</v>
      </c>
      <c r="K785" s="4" t="str">
        <f>IFERROR(__xludf.DUMMYFUNCTION("""COMPUTED_VALUE"""),"Fireside")</f>
        <v>Fireside</v>
      </c>
      <c r="L785" s="4" t="str">
        <f>IFERROR(__xludf.DUMMYFUNCTION("""COMPUTED_VALUE"""),"T- 4 - 25/05/2020")</f>
        <v>T- 4 - 25/05/2020</v>
      </c>
      <c r="M785" s="4" t="str">
        <f>IFERROR(__xludf.DUMMYFUNCTION("""COMPUTED_VALUE"""),"Building a better internet in the shadow of a pandemic")</f>
        <v>Building a better internet in the shadow of a pandemic</v>
      </c>
      <c r="N785" s="4" t="str">
        <f>IFERROR(__xludf.DUMMYFUNCTION("""COMPUTED_VALUE"""),"Mitchell Baker, Mozilla")</f>
        <v>Mitchell Baker, Mozilla</v>
      </c>
      <c r="O785" s="4" t="str">
        <f>IFERROR(__xludf.DUMMYFUNCTION("""COMPUTED_VALUE"""),"")</f>
        <v/>
      </c>
      <c r="P785" s="4" t="str">
        <f>IFERROR(__xludf.DUMMYFUNCTION("""COMPUTED_VALUE"""),"")</f>
        <v/>
      </c>
      <c r="Q785" s="4" t="str">
        <f>IFERROR(__xludf.DUMMYFUNCTION("""COMPUTED_VALUE"""),"")</f>
        <v/>
      </c>
      <c r="R785" s="4" t="str">
        <f>IFERROR(__xludf.DUMMYFUNCTION("""COMPUTED_VALUE"""),"Nicholas Thompson, Wired")</f>
        <v>Nicholas Thompson, Wired</v>
      </c>
      <c r="S785" s="4" t="str">
        <f>IFERROR(__xludf.DUMMYFUNCTION("""COMPUTED_VALUE"""),"As the challenges of Covid-19 grow, how will tech leaders meet them? The pandemic has thrust the power of the internet under a new spotlight. Mitchell Baker discusses how Mozilla is identifying the path towards making it a better resource, as even more pe"&amp;"ople rely on it for work and to connect with each other. She’ll address the dilemmas over consolidation of power, accountability, increased surveillance, misinformation and online scapegoating.")</f>
        <v>As the challenges of Covid-19 grow, how will tech leaders meet them? The pandemic has thrust the power of the internet under a new spotlight. Mitchell Baker discusses how Mozilla is identifying the path towards making it a better resource, as even more people rely on it for work and to connect with each other. She’ll address the dilemmas over consolidation of power, accountability, increased surveillance, misinformation and online scapegoating.</v>
      </c>
      <c r="T785" s="4" t="str">
        <f>IFERROR(__xludf.DUMMYFUNCTION("""COMPUTED_VALUE"""),"NON-KEYNOTE 9 - COMPLETE")</f>
        <v>NON-KEYNOTE 9 - COMPLETE</v>
      </c>
      <c r="U785" s="23">
        <f>IFERROR(__xludf.DUMMYFUNCTION("""COMPUTED_VALUE"""),43978.0)</f>
        <v>43978</v>
      </c>
      <c r="V785" s="24">
        <f>IFERROR(__xludf.DUMMYFUNCTION("""COMPUTED_VALUE"""),0.9166666666666666)</f>
        <v>0.9166666667</v>
      </c>
      <c r="W785" s="4" t="str">
        <f>IFERROR(__xludf.DUMMYFUNCTION("""COMPUTED_VALUE"""),"COMPLETE")</f>
        <v>COMPLETE</v>
      </c>
      <c r="X785" s="4" t="str">
        <f>IFERROR(__xludf.DUMMYFUNCTION("""COMPUTED_VALUE"""),"Gavin")</f>
        <v>Gavin</v>
      </c>
      <c r="Y785" s="4" t="str">
        <f>IFERROR(__xludf.DUMMYFUNCTION("""COMPUTED_VALUE"""),"")</f>
        <v/>
      </c>
    </row>
    <row r="786">
      <c r="A786" s="4" t="str">
        <f>IFERROR(__xludf.DUMMYFUNCTION("""COMPUTED_VALUE"""),"1672 - Channel")</f>
        <v>1672 - Channel</v>
      </c>
      <c r="B786" s="4" t="str">
        <f>IFERROR(__xludf.DUMMYFUNCTION("""COMPUTED_VALUE"""),"Channel 3")</f>
        <v>Channel 3</v>
      </c>
      <c r="C786" s="4" t="str">
        <f>IFERROR(__xludf.DUMMYFUNCTION("""COMPUTED_VALUE"""),"Day 1 - 23/06")</f>
        <v>Day 1 - 23/06</v>
      </c>
      <c r="D786" s="6">
        <f>IFERROR(__xludf.DUMMYFUNCTION("""COMPUTED_VALUE"""),0.6479282407407407)</f>
        <v>0.6479282407</v>
      </c>
      <c r="E786" s="6">
        <f>IFERROR(__xludf.DUMMYFUNCTION("""COMPUTED_VALUE"""),0.0010416666666666667)</f>
        <v>0.001041666667</v>
      </c>
      <c r="F786" s="6">
        <f>IFERROR(__xludf.DUMMYFUNCTION("""COMPUTED_VALUE"""),0.6489699074074075)</f>
        <v>0.6489699074</v>
      </c>
      <c r="G786" s="4" t="str">
        <f>IFERROR(__xludf.DUMMYFUNCTION("""COMPUTED_VALUE"""),"Graphics")</f>
        <v>Graphics</v>
      </c>
      <c r="H786" s="4" t="str">
        <f>IFERROR(__xludf.DUMMYFUNCTION("""COMPUTED_VALUE"""),"")</f>
        <v/>
      </c>
      <c r="I786" s="4" t="str">
        <f>IFERROR(__xludf.DUMMYFUNCTION("""COMPUTED_VALUE"""),"")</f>
        <v/>
      </c>
      <c r="J786" s="4" t="str">
        <f>IFERROR(__xludf.DUMMYFUNCTION("""COMPUTED_VALUE"""),"")</f>
        <v/>
      </c>
      <c r="K786" s="4" t="str">
        <f>IFERROR(__xludf.DUMMYFUNCTION("""COMPUTED_VALUE"""),"Collision From Home Day Intro")</f>
        <v>Collision From Home Day Intro</v>
      </c>
      <c r="L786" s="4" t="str">
        <f>IFERROR(__xludf.DUMMYFUNCTION("""COMPUTED_VALUE"""),"")</f>
        <v/>
      </c>
      <c r="M786" s="4" t="str">
        <f>IFERROR(__xludf.DUMMYFUNCTION("""COMPUTED_VALUE"""),"Collision From Home Day Intro")</f>
        <v>Collision From Home Day Intro</v>
      </c>
      <c r="N786" s="4" t="str">
        <f>IFERROR(__xludf.DUMMYFUNCTION("""COMPUTED_VALUE"""),"")</f>
        <v/>
      </c>
      <c r="O786" s="4" t="str">
        <f>IFERROR(__xludf.DUMMYFUNCTION("""COMPUTED_VALUE"""),"")</f>
        <v/>
      </c>
      <c r="P786" s="4" t="str">
        <f>IFERROR(__xludf.DUMMYFUNCTION("""COMPUTED_VALUE"""),"")</f>
        <v/>
      </c>
      <c r="Q786" s="4" t="str">
        <f>IFERROR(__xludf.DUMMYFUNCTION("""COMPUTED_VALUE"""),"")</f>
        <v/>
      </c>
      <c r="R786" s="4" t="str">
        <f>IFERROR(__xludf.DUMMYFUNCTION("""COMPUTED_VALUE"""),"")</f>
        <v/>
      </c>
      <c r="S786" s="4" t="str">
        <f>IFERROR(__xludf.DUMMYFUNCTION("""COMPUTED_VALUE"""),"")</f>
        <v/>
      </c>
      <c r="T786" s="4" t="str">
        <f>IFERROR(__xludf.DUMMYFUNCTION("""COMPUTED_VALUE"""),"")</f>
        <v/>
      </c>
      <c r="U786" s="4" t="str">
        <f>IFERROR(__xludf.DUMMYFUNCTION("""COMPUTED_VALUE"""),"")</f>
        <v/>
      </c>
      <c r="V786" s="4" t="str">
        <f>IFERROR(__xludf.DUMMYFUNCTION("""COMPUTED_VALUE"""),"")</f>
        <v/>
      </c>
      <c r="W786" s="4" t="str">
        <f>IFERROR(__xludf.DUMMYFUNCTION("""COMPUTED_VALUE"""),"")</f>
        <v/>
      </c>
      <c r="X786" s="4" t="str">
        <f>IFERROR(__xludf.DUMMYFUNCTION("""COMPUTED_VALUE"""),"")</f>
        <v/>
      </c>
      <c r="Y786" s="4" t="str">
        <f>IFERROR(__xludf.DUMMYFUNCTION("""COMPUTED_VALUE"""),"")</f>
        <v/>
      </c>
    </row>
    <row r="787">
      <c r="A787" s="4" t="str">
        <f>IFERROR(__xludf.DUMMYFUNCTION("""COMPUTED_VALUE"""),"868 - Channel")</f>
        <v>868 - Channel</v>
      </c>
      <c r="B787" s="4" t="str">
        <f>IFERROR(__xludf.DUMMYFUNCTION("""COMPUTED_VALUE"""),"Channel 3")</f>
        <v>Channel 3</v>
      </c>
      <c r="C787" s="4" t="str">
        <f>IFERROR(__xludf.DUMMYFUNCTION("""COMPUTED_VALUE"""),"Day 1 - 23/06")</f>
        <v>Day 1 - 23/06</v>
      </c>
      <c r="D787" s="6">
        <f>IFERROR(__xludf.DUMMYFUNCTION("""COMPUTED_VALUE"""),0.6489699074074075)</f>
        <v>0.6489699074</v>
      </c>
      <c r="E787" s="6">
        <f>IFERROR(__xludf.DUMMYFUNCTION("""COMPUTED_VALUE"""),2.314814814814815E-4)</f>
        <v>0.0002314814815</v>
      </c>
      <c r="F787" s="6">
        <f>IFERROR(__xludf.DUMMYFUNCTION("""COMPUTED_VALUE"""),0.6492013888888889)</f>
        <v>0.6492013889</v>
      </c>
      <c r="G787" s="4" t="str">
        <f>IFERROR(__xludf.DUMMYFUNCTION("""COMPUTED_VALUE"""),"Graphics")</f>
        <v>Graphics</v>
      </c>
      <c r="H787" s="4" t="str">
        <f>IFERROR(__xludf.DUMMYFUNCTION("""COMPUTED_VALUE"""),"N/A")</f>
        <v>N/A</v>
      </c>
      <c r="I787" s="4" t="str">
        <f>IFERROR(__xludf.DUMMYFUNCTION("""COMPUTED_VALUE"""),"N/A")</f>
        <v>N/A</v>
      </c>
      <c r="J787" s="4" t="str">
        <f>IFERROR(__xludf.DUMMYFUNCTION("""COMPUTED_VALUE"""),"Data")</f>
        <v>Data</v>
      </c>
      <c r="K787" s="4" t="str">
        <f>IFERROR(__xludf.DUMMYFUNCTION("""COMPUTED_VALUE"""),"Talk Intro")</f>
        <v>Talk Intro</v>
      </c>
      <c r="L787" s="4" t="str">
        <f>IFERROR(__xludf.DUMMYFUNCTION("""COMPUTED_VALUE"""),"")</f>
        <v/>
      </c>
      <c r="M787" s="4" t="str">
        <f>IFERROR(__xludf.DUMMYFUNCTION("""COMPUTED_VALUE"""),"Talk Intro")</f>
        <v>Talk Intro</v>
      </c>
      <c r="N787" s="4" t="str">
        <f>IFERROR(__xludf.DUMMYFUNCTION("""COMPUTED_VALUE"""),"")</f>
        <v/>
      </c>
      <c r="O787" s="4" t="str">
        <f>IFERROR(__xludf.DUMMYFUNCTION("""COMPUTED_VALUE"""),"")</f>
        <v/>
      </c>
      <c r="P787" s="4" t="str">
        <f>IFERROR(__xludf.DUMMYFUNCTION("""COMPUTED_VALUE"""),"")</f>
        <v/>
      </c>
      <c r="Q787" s="4" t="str">
        <f>IFERROR(__xludf.DUMMYFUNCTION("""COMPUTED_VALUE"""),"")</f>
        <v/>
      </c>
      <c r="R787" s="4" t="str">
        <f>IFERROR(__xludf.DUMMYFUNCTION("""COMPUTED_VALUE"""),"")</f>
        <v/>
      </c>
      <c r="S787" s="4" t="str">
        <f>IFERROR(__xludf.DUMMYFUNCTION("""COMPUTED_VALUE"""),"")</f>
        <v/>
      </c>
      <c r="T787" s="4" t="str">
        <f>IFERROR(__xludf.DUMMYFUNCTION("""COMPUTED_VALUE"""),"")</f>
        <v/>
      </c>
      <c r="U787" s="4" t="str">
        <f>IFERROR(__xludf.DUMMYFUNCTION("""COMPUTED_VALUE"""),"")</f>
        <v/>
      </c>
      <c r="V787" s="4" t="str">
        <f>IFERROR(__xludf.DUMMYFUNCTION("""COMPUTED_VALUE"""),"")</f>
        <v/>
      </c>
      <c r="W787" s="4" t="str">
        <f>IFERROR(__xludf.DUMMYFUNCTION("""COMPUTED_VALUE"""),"")</f>
        <v/>
      </c>
      <c r="X787" s="4" t="str">
        <f>IFERROR(__xludf.DUMMYFUNCTION("""COMPUTED_VALUE"""),"")</f>
        <v/>
      </c>
      <c r="Y787" s="4" t="str">
        <f>IFERROR(__xludf.DUMMYFUNCTION("""COMPUTED_VALUE"""),"")</f>
        <v/>
      </c>
    </row>
    <row r="788">
      <c r="A788" s="4" t="str">
        <f>IFERROR(__xludf.DUMMYFUNCTION("""COMPUTED_VALUE"""),"869 - Channel")</f>
        <v>869 - Channel</v>
      </c>
      <c r="B788" s="4" t="str">
        <f>IFERROR(__xludf.DUMMYFUNCTION("""COMPUTED_VALUE"""),"Channel 3")</f>
        <v>Channel 3</v>
      </c>
      <c r="C788" s="4" t="str">
        <f>IFERROR(__xludf.DUMMYFUNCTION("""COMPUTED_VALUE"""),"Day 1 - 23/06")</f>
        <v>Day 1 - 23/06</v>
      </c>
      <c r="D788" s="6">
        <f>IFERROR(__xludf.DUMMYFUNCTION("""COMPUTED_VALUE"""),0.6492013888888889)</f>
        <v>0.6492013889</v>
      </c>
      <c r="E788" s="6">
        <f>IFERROR(__xludf.DUMMYFUNCTION("""COMPUTED_VALUE"""),0.007893518518518518)</f>
        <v>0.007893518519</v>
      </c>
      <c r="F788" s="6">
        <f>IFERROR(__xludf.DUMMYFUNCTION("""COMPUTED_VALUE"""),0.6570949074074074)</f>
        <v>0.6570949074</v>
      </c>
      <c r="G788" s="4" t="str">
        <f>IFERROR(__xludf.DUMMYFUNCTION("""COMPUTED_VALUE"""),"Kat")</f>
        <v>Kat</v>
      </c>
      <c r="H788" s="4" t="str">
        <f>IFERROR(__xludf.DUMMYFUNCTION("""COMPUTED_VALUE"""),"Lingyu")</f>
        <v>Lingyu</v>
      </c>
      <c r="I788" s="4" t="str">
        <f>IFERROR(__xludf.DUMMYFUNCTION("""COMPUTED_VALUE"""),"Lynn")</f>
        <v>Lynn</v>
      </c>
      <c r="J788" s="4" t="str">
        <f>IFERROR(__xludf.DUMMYFUNCTION("""COMPUTED_VALUE"""),"Data")</f>
        <v>Data</v>
      </c>
      <c r="K788" s="4" t="str">
        <f>IFERROR(__xludf.DUMMYFUNCTION("""COMPUTED_VALUE"""),"Fireside")</f>
        <v>Fireside</v>
      </c>
      <c r="L788" s="4" t="str">
        <f>IFERROR(__xludf.DUMMYFUNCTION("""COMPUTED_VALUE"""),"T- 5 - 18/05/2020")</f>
        <v>T- 5 - 18/05/2020</v>
      </c>
      <c r="M788" s="4" t="str">
        <f>IFERROR(__xludf.DUMMYFUNCTION("""COMPUTED_VALUE"""),"Data-centric culture ")</f>
        <v>Data-centric culture </v>
      </c>
      <c r="N788" s="4" t="str">
        <f>IFERROR(__xludf.DUMMYFUNCTION("""COMPUTED_VALUE"""),"Stijn Christiaens, Collibra")</f>
        <v>Stijn Christiaens, Collibra</v>
      </c>
      <c r="O788" s="4" t="str">
        <f>IFERROR(__xludf.DUMMYFUNCTION("""COMPUTED_VALUE"""),"")</f>
        <v/>
      </c>
      <c r="P788" s="4" t="str">
        <f>IFERROR(__xludf.DUMMYFUNCTION("""COMPUTED_VALUE"""),"")</f>
        <v/>
      </c>
      <c r="Q788" s="4" t="str">
        <f>IFERROR(__xludf.DUMMYFUNCTION("""COMPUTED_VALUE"""),"")</f>
        <v/>
      </c>
      <c r="R788" s="4" t="str">
        <f>IFERROR(__xludf.DUMMYFUNCTION("""COMPUTED_VALUE"""),"Don Clark, The New York Times")</f>
        <v>Don Clark, The New York Times</v>
      </c>
      <c r="S788" s="4" t="str">
        <f>IFERROR(__xludf.DUMMYFUNCTION("""COMPUTED_VALUE"""),"Stijn will discuss the importance of data culture, how to build culture around data, and how to create a data culture based on data transparency.")</f>
        <v>Stijn will discuss the importance of data culture, how to build culture around data, and how to create a data culture based on data transparency.</v>
      </c>
      <c r="T788" s="4" t="str">
        <f>IFERROR(__xludf.DUMMYFUNCTION("""COMPUTED_VALUE"""),"NON-KEYNOTE 9 - COMPLETE")</f>
        <v>NON-KEYNOTE 9 - COMPLETE</v>
      </c>
      <c r="U788" s="23">
        <f>IFERROR(__xludf.DUMMYFUNCTION("""COMPUTED_VALUE"""),43971.0)</f>
        <v>43971</v>
      </c>
      <c r="V788" s="24">
        <f>IFERROR(__xludf.DUMMYFUNCTION("""COMPUTED_VALUE"""),0.6666666666666666)</f>
        <v>0.6666666667</v>
      </c>
      <c r="W788" s="4" t="str">
        <f>IFERROR(__xludf.DUMMYFUNCTION("""COMPUTED_VALUE"""),"COMPLETE")</f>
        <v>COMPLETE</v>
      </c>
      <c r="X788" s="4" t="str">
        <f>IFERROR(__xludf.DUMMYFUNCTION("""COMPUTED_VALUE"""),"Kat")</f>
        <v>Kat</v>
      </c>
      <c r="Y788" s="4" t="str">
        <f>IFERROR(__xludf.DUMMYFUNCTION("""COMPUTED_VALUE"""),"")</f>
        <v/>
      </c>
    </row>
    <row r="789">
      <c r="A789" s="4" t="str">
        <f>IFERROR(__xludf.DUMMYFUNCTION("""COMPUTED_VALUE"""),"940 - Channel")</f>
        <v>940 - Channel</v>
      </c>
      <c r="B789" s="4" t="str">
        <f>IFERROR(__xludf.DUMMYFUNCTION("""COMPUTED_VALUE"""),"Channel 3")</f>
        <v>Channel 3</v>
      </c>
      <c r="C789" s="4" t="str">
        <f>IFERROR(__xludf.DUMMYFUNCTION("""COMPUTED_VALUE"""),"Day 1 - 23/06")</f>
        <v>Day 1 - 23/06</v>
      </c>
      <c r="D789" s="6">
        <f>IFERROR(__xludf.DUMMYFUNCTION("""COMPUTED_VALUE"""),0.6570949074074074)</f>
        <v>0.6570949074</v>
      </c>
      <c r="E789" s="6">
        <f>IFERROR(__xludf.DUMMYFUNCTION("""COMPUTED_VALUE"""),3.4722222222222224E-4)</f>
        <v>0.0003472222222</v>
      </c>
      <c r="F789" s="6">
        <f>IFERROR(__xludf.DUMMYFUNCTION("""COMPUTED_VALUE"""),0.6574421296296297)</f>
        <v>0.6574421296</v>
      </c>
      <c r="G789" s="4" t="str">
        <f>IFERROR(__xludf.DUMMYFUNCTION("""COMPUTED_VALUE"""),"Startups")</f>
        <v>Startups</v>
      </c>
      <c r="H789" s="4" t="str">
        <f>IFERROR(__xludf.DUMMYFUNCTION("""COMPUTED_VALUE"""),"")</f>
        <v/>
      </c>
      <c r="I789" s="4" t="str">
        <f>IFERROR(__xludf.DUMMYFUNCTION("""COMPUTED_VALUE"""),"")</f>
        <v/>
      </c>
      <c r="J789" s="4" t="str">
        <f>IFERROR(__xludf.DUMMYFUNCTION("""COMPUTED_VALUE"""),"Gaming")</f>
        <v>Gaming</v>
      </c>
      <c r="K789" s="4" t="str">
        <f>IFERROR(__xludf.DUMMYFUNCTION("""COMPUTED_VALUE"""),"40 Words")</f>
        <v>40 Words</v>
      </c>
      <c r="L789" s="4" t="str">
        <f>IFERROR(__xludf.DUMMYFUNCTION("""COMPUTED_VALUE"""),"")</f>
        <v/>
      </c>
      <c r="M789" s="4" t="str">
        <f>IFERROR(__xludf.DUMMYFUNCTION("""COMPUTED_VALUE"""),"40 words #")</f>
        <v>40 words #</v>
      </c>
      <c r="N789" s="4" t="str">
        <f>IFERROR(__xludf.DUMMYFUNCTION("""COMPUTED_VALUE"""),"")</f>
        <v/>
      </c>
      <c r="O789" s="4" t="str">
        <f>IFERROR(__xludf.DUMMYFUNCTION("""COMPUTED_VALUE"""),"")</f>
        <v/>
      </c>
      <c r="P789" s="4" t="str">
        <f>IFERROR(__xludf.DUMMYFUNCTION("""COMPUTED_VALUE"""),"")</f>
        <v/>
      </c>
      <c r="Q789" s="4" t="str">
        <f>IFERROR(__xludf.DUMMYFUNCTION("""COMPUTED_VALUE"""),"")</f>
        <v/>
      </c>
      <c r="R789" s="4" t="str">
        <f>IFERROR(__xludf.DUMMYFUNCTION("""COMPUTED_VALUE"""),"")</f>
        <v/>
      </c>
      <c r="S789" s="4" t="str">
        <f>IFERROR(__xludf.DUMMYFUNCTION("""COMPUTED_VALUE"""),"")</f>
        <v/>
      </c>
      <c r="T789" s="4" t="str">
        <f>IFERROR(__xludf.DUMMYFUNCTION("""COMPUTED_VALUE"""),"")</f>
        <v/>
      </c>
      <c r="U789" s="4" t="str">
        <f>IFERROR(__xludf.DUMMYFUNCTION("""COMPUTED_VALUE"""),"")</f>
        <v/>
      </c>
      <c r="V789" s="4" t="str">
        <f>IFERROR(__xludf.DUMMYFUNCTION("""COMPUTED_VALUE"""),"")</f>
        <v/>
      </c>
      <c r="W789" s="4" t="str">
        <f>IFERROR(__xludf.DUMMYFUNCTION("""COMPUTED_VALUE"""),"")</f>
        <v/>
      </c>
      <c r="X789" s="4" t="str">
        <f>IFERROR(__xludf.DUMMYFUNCTION("""COMPUTED_VALUE"""),"")</f>
        <v/>
      </c>
      <c r="Y789" s="4" t="str">
        <f>IFERROR(__xludf.DUMMYFUNCTION("""COMPUTED_VALUE"""),"")</f>
        <v/>
      </c>
    </row>
    <row r="790">
      <c r="A790" s="4" t="str">
        <f>IFERROR(__xludf.DUMMYFUNCTION("""COMPUTED_VALUE"""),"871 - Channel")</f>
        <v>871 - Channel</v>
      </c>
      <c r="B790" s="4" t="str">
        <f>IFERROR(__xludf.DUMMYFUNCTION("""COMPUTED_VALUE"""),"Channel 3")</f>
        <v>Channel 3</v>
      </c>
      <c r="C790" s="4" t="str">
        <f>IFERROR(__xludf.DUMMYFUNCTION("""COMPUTED_VALUE"""),"Day 1 - 23/06")</f>
        <v>Day 1 - 23/06</v>
      </c>
      <c r="D790" s="6">
        <f>IFERROR(__xludf.DUMMYFUNCTION("""COMPUTED_VALUE"""),0.6574421296296297)</f>
        <v>0.6574421296</v>
      </c>
      <c r="E790" s="6">
        <f>IFERROR(__xludf.DUMMYFUNCTION("""COMPUTED_VALUE"""),2.314814814814815E-4)</f>
        <v>0.0002314814815</v>
      </c>
      <c r="F790" s="6">
        <f>IFERROR(__xludf.DUMMYFUNCTION("""COMPUTED_VALUE"""),0.6576736111111111)</f>
        <v>0.6576736111</v>
      </c>
      <c r="G790" s="4" t="str">
        <f>IFERROR(__xludf.DUMMYFUNCTION("""COMPUTED_VALUE"""),"Graphics")</f>
        <v>Graphics</v>
      </c>
      <c r="H790" s="4" t="str">
        <f>IFERROR(__xludf.DUMMYFUNCTION("""COMPUTED_VALUE"""),"N/A")</f>
        <v>N/A</v>
      </c>
      <c r="I790" s="4" t="str">
        <f>IFERROR(__xludf.DUMMYFUNCTION("""COMPUTED_VALUE"""),"N/A")</f>
        <v>N/A</v>
      </c>
      <c r="J790" s="4" t="str">
        <f>IFERROR(__xludf.DUMMYFUNCTION("""COMPUTED_VALUE"""),"Data")</f>
        <v>Data</v>
      </c>
      <c r="K790" s="4" t="str">
        <f>IFERROR(__xludf.DUMMYFUNCTION("""COMPUTED_VALUE"""),"Talk Intro")</f>
        <v>Talk Intro</v>
      </c>
      <c r="L790" s="4" t="str">
        <f>IFERROR(__xludf.DUMMYFUNCTION("""COMPUTED_VALUE"""),"")</f>
        <v/>
      </c>
      <c r="M790" s="4" t="str">
        <f>IFERROR(__xludf.DUMMYFUNCTION("""COMPUTED_VALUE"""),"Talk Intro")</f>
        <v>Talk Intro</v>
      </c>
      <c r="N790" s="4" t="str">
        <f>IFERROR(__xludf.DUMMYFUNCTION("""COMPUTED_VALUE"""),"")</f>
        <v/>
      </c>
      <c r="O790" s="4" t="str">
        <f>IFERROR(__xludf.DUMMYFUNCTION("""COMPUTED_VALUE"""),"")</f>
        <v/>
      </c>
      <c r="P790" s="4" t="str">
        <f>IFERROR(__xludf.DUMMYFUNCTION("""COMPUTED_VALUE"""),"")</f>
        <v/>
      </c>
      <c r="Q790" s="4" t="str">
        <f>IFERROR(__xludf.DUMMYFUNCTION("""COMPUTED_VALUE"""),"")</f>
        <v/>
      </c>
      <c r="R790" s="4" t="str">
        <f>IFERROR(__xludf.DUMMYFUNCTION("""COMPUTED_VALUE"""),"")</f>
        <v/>
      </c>
      <c r="S790" s="4" t="str">
        <f>IFERROR(__xludf.DUMMYFUNCTION("""COMPUTED_VALUE"""),"")</f>
        <v/>
      </c>
      <c r="T790" s="4" t="str">
        <f>IFERROR(__xludf.DUMMYFUNCTION("""COMPUTED_VALUE"""),"")</f>
        <v/>
      </c>
      <c r="U790" s="4" t="str">
        <f>IFERROR(__xludf.DUMMYFUNCTION("""COMPUTED_VALUE"""),"")</f>
        <v/>
      </c>
      <c r="V790" s="4" t="str">
        <f>IFERROR(__xludf.DUMMYFUNCTION("""COMPUTED_VALUE"""),"")</f>
        <v/>
      </c>
      <c r="W790" s="4" t="str">
        <f>IFERROR(__xludf.DUMMYFUNCTION("""COMPUTED_VALUE"""),"")</f>
        <v/>
      </c>
      <c r="X790" s="4" t="str">
        <f>IFERROR(__xludf.DUMMYFUNCTION("""COMPUTED_VALUE"""),"")</f>
        <v/>
      </c>
      <c r="Y790" s="4" t="str">
        <f>IFERROR(__xludf.DUMMYFUNCTION("""COMPUTED_VALUE"""),"")</f>
        <v/>
      </c>
    </row>
    <row r="791">
      <c r="A791" s="4" t="str">
        <f>IFERROR(__xludf.DUMMYFUNCTION("""COMPUTED_VALUE"""),"872 - Channel")</f>
        <v>872 - Channel</v>
      </c>
      <c r="B791" s="4" t="str">
        <f>IFERROR(__xludf.DUMMYFUNCTION("""COMPUTED_VALUE"""),"Channel 3")</f>
        <v>Channel 3</v>
      </c>
      <c r="C791" s="4" t="str">
        <f>IFERROR(__xludf.DUMMYFUNCTION("""COMPUTED_VALUE"""),"Day 1 - 23/06")</f>
        <v>Day 1 - 23/06</v>
      </c>
      <c r="D791" s="6">
        <f>IFERROR(__xludf.DUMMYFUNCTION("""COMPUTED_VALUE"""),0.6576736111111111)</f>
        <v>0.6576736111</v>
      </c>
      <c r="E791" s="6">
        <f>IFERROR(__xludf.DUMMYFUNCTION("""COMPUTED_VALUE"""),0.008518518518518519)</f>
        <v>0.008518518519</v>
      </c>
      <c r="F791" s="6">
        <f>IFERROR(__xludf.DUMMYFUNCTION("""COMPUTED_VALUE"""),0.6661921296296296)</f>
        <v>0.6661921296</v>
      </c>
      <c r="G791" s="4" t="str">
        <f>IFERROR(__xludf.DUMMYFUNCTION("""COMPUTED_VALUE"""),"Laura")</f>
        <v>Laura</v>
      </c>
      <c r="H791" s="4" t="str">
        <f>IFERROR(__xludf.DUMMYFUNCTION("""COMPUTED_VALUE"""),"Lisa")</f>
        <v>Lisa</v>
      </c>
      <c r="I791" s="4" t="str">
        <f>IFERROR(__xludf.DUMMYFUNCTION("""COMPUTED_VALUE"""),"Hannah")</f>
        <v>Hannah</v>
      </c>
      <c r="J791" s="4" t="str">
        <f>IFERROR(__xludf.DUMMYFUNCTION("""COMPUTED_VALUE"""),"Data")</f>
        <v>Data</v>
      </c>
      <c r="K791" s="4" t="str">
        <f>IFERROR(__xludf.DUMMYFUNCTION("""COMPUTED_VALUE"""),"Fireside")</f>
        <v>Fireside</v>
      </c>
      <c r="L791" s="4" t="str">
        <f>IFERROR(__xludf.DUMMYFUNCTION("""COMPUTED_VALUE"""),"T- 4 - 25/05/2020")</f>
        <v>T- 4 - 25/05/2020</v>
      </c>
      <c r="M791" s="4" t="str">
        <f>IFERROR(__xludf.DUMMYFUNCTION("""COMPUTED_VALUE"""),"Exploring the Covid-19 narrative in global news")</f>
        <v>Exploring the Covid-19 narrative in global news</v>
      </c>
      <c r="N791" s="4" t="str">
        <f>IFERROR(__xludf.DUMMYFUNCTION("""COMPUTED_VALUE"""),"Kalev Leetaru, GDELT")</f>
        <v>Kalev Leetaru, GDELT</v>
      </c>
      <c r="O791" s="4" t="str">
        <f>IFERROR(__xludf.DUMMYFUNCTION("""COMPUTED_VALUE"""),"Azeem Azhar, Exponential View")</f>
        <v>Azeem Azhar, Exponential View</v>
      </c>
      <c r="P791" s="4" t="str">
        <f>IFERROR(__xludf.DUMMYFUNCTION("""COMPUTED_VALUE"""),"")</f>
        <v/>
      </c>
      <c r="Q791" s="4" t="str">
        <f>IFERROR(__xludf.DUMMYFUNCTION("""COMPUTED_VALUE"""),"")</f>
        <v/>
      </c>
      <c r="R791" s="4" t="str">
        <f>IFERROR(__xludf.DUMMYFUNCTION("""COMPUTED_VALUE"""),"")</f>
        <v/>
      </c>
      <c r="S791" s="4" t="str">
        <f>IFERROR(__xludf.DUMMYFUNCTION("""COMPUTED_VALUE"""),"Global news media has an obsession with Covid-19 and its fallout. Where is our information coming from, and who are we listening to? Data collected from around the world can tell a story of our societies, and chart our changing mindset over time. Join two"&amp;" powerhouses of thought leadership and data science to explore.")</f>
        <v>Global news media has an obsession with Covid-19 and its fallout. Where is our information coming from, and who are we listening to? Data collected from around the world can tell a story of our societies, and chart our changing mindset over time. Join two powerhouses of thought leadership and data science to explore.</v>
      </c>
      <c r="T791" s="4" t="str">
        <f>IFERROR(__xludf.DUMMYFUNCTION("""COMPUTED_VALUE"""),"KEYNOTE 8 - COMPLETE")</f>
        <v>KEYNOTE 8 - COMPLETE</v>
      </c>
      <c r="U791" s="23">
        <f>IFERROR(__xludf.DUMMYFUNCTION("""COMPUTED_VALUE"""),43980.0)</f>
        <v>43980</v>
      </c>
      <c r="V791" s="24">
        <f>IFERROR(__xludf.DUMMYFUNCTION("""COMPUTED_VALUE"""),0.625)</f>
        <v>0.625</v>
      </c>
      <c r="W791" s="4" t="str">
        <f>IFERROR(__xludf.DUMMYFUNCTION("""COMPUTED_VALUE"""),"COMPLETE")</f>
        <v>COMPLETE</v>
      </c>
      <c r="X791" s="4" t="str">
        <f>IFERROR(__xludf.DUMMYFUNCTION("""COMPUTED_VALUE"""),"Laura")</f>
        <v>Laura</v>
      </c>
      <c r="Y791" s="4" t="str">
        <f>IFERROR(__xludf.DUMMYFUNCTION("""COMPUTED_VALUE"""),"")</f>
        <v/>
      </c>
    </row>
    <row r="792">
      <c r="A792" s="4" t="str">
        <f>IFERROR(__xludf.DUMMYFUNCTION("""COMPUTED_VALUE"""),"856 - Channel")</f>
        <v>856 - Channel</v>
      </c>
      <c r="B792" s="4" t="str">
        <f>IFERROR(__xludf.DUMMYFUNCTION("""COMPUTED_VALUE"""),"Channel 3")</f>
        <v>Channel 3</v>
      </c>
      <c r="C792" s="4" t="str">
        <f>IFERROR(__xludf.DUMMYFUNCTION("""COMPUTED_VALUE"""),"Day 1 - 23/06")</f>
        <v>Day 1 - 23/06</v>
      </c>
      <c r="D792" s="6">
        <f>IFERROR(__xludf.DUMMYFUNCTION("""COMPUTED_VALUE"""),0.6661921296296296)</f>
        <v>0.6661921296</v>
      </c>
      <c r="E792" s="6">
        <f>IFERROR(__xludf.DUMMYFUNCTION("""COMPUTED_VALUE"""),1.9675925925925926E-4)</f>
        <v>0.0001967592593</v>
      </c>
      <c r="F792" s="6">
        <f>IFERROR(__xludf.DUMMYFUNCTION("""COMPUTED_VALUE"""),0.6663888888888888)</f>
        <v>0.6663888889</v>
      </c>
      <c r="G792" s="4" t="str">
        <f>IFERROR(__xludf.DUMMYFUNCTION("""COMPUTED_VALUE"""),"Startups")</f>
        <v>Startups</v>
      </c>
      <c r="H792" s="4" t="str">
        <f>IFERROR(__xludf.DUMMYFUNCTION("""COMPUTED_VALUE"""),"")</f>
        <v/>
      </c>
      <c r="I792" s="4" t="str">
        <f>IFERROR(__xludf.DUMMYFUNCTION("""COMPUTED_VALUE"""),"")</f>
        <v/>
      </c>
      <c r="J792" s="4" t="str">
        <f>IFERROR(__xludf.DUMMYFUNCTION("""COMPUTED_VALUE"""),"Climate")</f>
        <v>Climate</v>
      </c>
      <c r="K792" s="4" t="str">
        <f>IFERROR(__xludf.DUMMYFUNCTION("""COMPUTED_VALUE"""),"40 Words")</f>
        <v>40 Words</v>
      </c>
      <c r="L792" s="4" t="str">
        <f>IFERROR(__xludf.DUMMYFUNCTION("""COMPUTED_VALUE"""),"")</f>
        <v/>
      </c>
      <c r="M792" s="4" t="str">
        <f>IFERROR(__xludf.DUMMYFUNCTION("""COMPUTED_VALUE"""),"40 Words #10_Brightlobe")</f>
        <v>40 Words #10_Brightlobe</v>
      </c>
      <c r="N792" s="4" t="str">
        <f>IFERROR(__xludf.DUMMYFUNCTION("""COMPUTED_VALUE"""),"")</f>
        <v/>
      </c>
      <c r="O792" s="4" t="str">
        <f>IFERROR(__xludf.DUMMYFUNCTION("""COMPUTED_VALUE"""),"")</f>
        <v/>
      </c>
      <c r="P792" s="4" t="str">
        <f>IFERROR(__xludf.DUMMYFUNCTION("""COMPUTED_VALUE"""),"")</f>
        <v/>
      </c>
      <c r="Q792" s="4" t="str">
        <f>IFERROR(__xludf.DUMMYFUNCTION("""COMPUTED_VALUE"""),"")</f>
        <v/>
      </c>
      <c r="R792" s="4" t="str">
        <f>IFERROR(__xludf.DUMMYFUNCTION("""COMPUTED_VALUE"""),"")</f>
        <v/>
      </c>
      <c r="S792" s="4" t="str">
        <f>IFERROR(__xludf.DUMMYFUNCTION("""COMPUTED_VALUE"""),"")</f>
        <v/>
      </c>
      <c r="T792" s="4" t="str">
        <f>IFERROR(__xludf.DUMMYFUNCTION("""COMPUTED_VALUE"""),"")</f>
        <v/>
      </c>
      <c r="U792" s="4" t="str">
        <f>IFERROR(__xludf.DUMMYFUNCTION("""COMPUTED_VALUE"""),"")</f>
        <v/>
      </c>
      <c r="V792" s="4" t="str">
        <f>IFERROR(__xludf.DUMMYFUNCTION("""COMPUTED_VALUE"""),"")</f>
        <v/>
      </c>
      <c r="W792" s="4" t="str">
        <f>IFERROR(__xludf.DUMMYFUNCTION("""COMPUTED_VALUE"""),"")</f>
        <v/>
      </c>
      <c r="X792" s="4" t="str">
        <f>IFERROR(__xludf.DUMMYFUNCTION("""COMPUTED_VALUE"""),"")</f>
        <v/>
      </c>
      <c r="Y792" s="4" t="str">
        <f>IFERROR(__xludf.DUMMYFUNCTION("""COMPUTED_VALUE"""),"")</f>
        <v/>
      </c>
    </row>
    <row r="793">
      <c r="A793" s="4" t="str">
        <f>IFERROR(__xludf.DUMMYFUNCTION("""COMPUTED_VALUE"""),"1346 - Channel")</f>
        <v>1346 - Channel</v>
      </c>
      <c r="B793" s="4" t="str">
        <f>IFERROR(__xludf.DUMMYFUNCTION("""COMPUTED_VALUE"""),"Channel 3")</f>
        <v>Channel 3</v>
      </c>
      <c r="C793" s="4" t="str">
        <f>IFERROR(__xludf.DUMMYFUNCTION("""COMPUTED_VALUE"""),"Day 1 - 23/06")</f>
        <v>Day 1 - 23/06</v>
      </c>
      <c r="D793" s="4" t="str">
        <f>IFERROR(__xludf.DUMMYFUNCTION("""COMPUTED_VALUE"""),"")</f>
        <v/>
      </c>
      <c r="E793" s="4" t="str">
        <f>IFERROR(__xludf.DUMMYFUNCTION("""COMPUTED_VALUE"""),"")</f>
        <v/>
      </c>
      <c r="F793" s="4" t="str">
        <f>IFERROR(__xludf.DUMMYFUNCTION("""COMPUTED_VALUE"""),"")</f>
        <v/>
      </c>
      <c r="G793" s="4" t="str">
        <f>IFERROR(__xludf.DUMMYFUNCTION("""COMPUTED_VALUE"""),"")</f>
        <v/>
      </c>
      <c r="H793" s="4" t="str">
        <f>IFERROR(__xludf.DUMMYFUNCTION("""COMPUTED_VALUE"""),"")</f>
        <v/>
      </c>
      <c r="I793" s="4" t="str">
        <f>IFERROR(__xludf.DUMMYFUNCTION("""COMPUTED_VALUE"""),"")</f>
        <v/>
      </c>
      <c r="J793" s="4" t="str">
        <f>IFERROR(__xludf.DUMMYFUNCTION("""COMPUTED_VALUE"""),"")</f>
        <v/>
      </c>
      <c r="K793" s="4" t="str">
        <f>IFERROR(__xludf.DUMMYFUNCTION("""COMPUTED_VALUE"""),"")</f>
        <v/>
      </c>
      <c r="L793" s="4" t="str">
        <f>IFERROR(__xludf.DUMMYFUNCTION("""COMPUTED_VALUE"""),"")</f>
        <v/>
      </c>
      <c r="M793" s="4" t="str">
        <f>IFERROR(__xludf.DUMMYFUNCTION("""COMPUTED_VALUE"""),"")</f>
        <v/>
      </c>
      <c r="N793" s="4" t="str">
        <f>IFERROR(__xludf.DUMMYFUNCTION("""COMPUTED_VALUE"""),"")</f>
        <v/>
      </c>
      <c r="O793" s="4" t="str">
        <f>IFERROR(__xludf.DUMMYFUNCTION("""COMPUTED_VALUE"""),"")</f>
        <v/>
      </c>
      <c r="P793" s="4" t="str">
        <f>IFERROR(__xludf.DUMMYFUNCTION("""COMPUTED_VALUE"""),"")</f>
        <v/>
      </c>
      <c r="Q793" s="4" t="str">
        <f>IFERROR(__xludf.DUMMYFUNCTION("""COMPUTED_VALUE"""),"")</f>
        <v/>
      </c>
      <c r="R793" s="4" t="str">
        <f>IFERROR(__xludf.DUMMYFUNCTION("""COMPUTED_VALUE"""),"")</f>
        <v/>
      </c>
      <c r="S793" s="4" t="str">
        <f>IFERROR(__xludf.DUMMYFUNCTION("""COMPUTED_VALUE"""),"")</f>
        <v/>
      </c>
      <c r="T793" s="4" t="str">
        <f>IFERROR(__xludf.DUMMYFUNCTION("""COMPUTED_VALUE"""),"")</f>
        <v/>
      </c>
      <c r="U793" s="4" t="str">
        <f>IFERROR(__xludf.DUMMYFUNCTION("""COMPUTED_VALUE"""),"")</f>
        <v/>
      </c>
      <c r="V793" s="4" t="str">
        <f>IFERROR(__xludf.DUMMYFUNCTION("""COMPUTED_VALUE"""),"")</f>
        <v/>
      </c>
      <c r="W793" s="4" t="str">
        <f>IFERROR(__xludf.DUMMYFUNCTION("""COMPUTED_VALUE"""),"")</f>
        <v/>
      </c>
      <c r="X793" s="4" t="str">
        <f>IFERROR(__xludf.DUMMYFUNCTION("""COMPUTED_VALUE"""),"")</f>
        <v/>
      </c>
      <c r="Y793" s="4" t="str">
        <f>IFERROR(__xludf.DUMMYFUNCTION("""COMPUTED_VALUE"""),"")</f>
        <v/>
      </c>
    </row>
    <row r="794">
      <c r="A794" s="4" t="str">
        <f>IFERROR(__xludf.DUMMYFUNCTION("""COMPUTED_VALUE"""),"1512 - Channel")</f>
        <v>1512 - Channel</v>
      </c>
      <c r="B794" s="4" t="str">
        <f>IFERROR(__xludf.DUMMYFUNCTION("""COMPUTED_VALUE"""),"Channel 3")</f>
        <v>Channel 3</v>
      </c>
      <c r="C794" s="4" t="str">
        <f>IFERROR(__xludf.DUMMYFUNCTION("""COMPUTED_VALUE"""),"Day 1 - 23/06")</f>
        <v>Day 1 - 23/06</v>
      </c>
      <c r="D794" s="6">
        <f>IFERROR(__xludf.DUMMYFUNCTION("""COMPUTED_VALUE"""),0.6666666666666666)</f>
        <v>0.6666666667</v>
      </c>
      <c r="E794" s="6">
        <f>IFERROR(__xludf.DUMMYFUNCTION("""COMPUTED_VALUE"""),1.7361111111111112E-4)</f>
        <v>0.0001736111111</v>
      </c>
      <c r="F794" s="6">
        <f>IFERROR(__xludf.DUMMYFUNCTION("""COMPUTED_VALUE"""),0.6668402777777778)</f>
        <v>0.6668402778</v>
      </c>
      <c r="G794" s="4" t="str">
        <f>IFERROR(__xludf.DUMMYFUNCTION("""COMPUTED_VALUE"""),"P&amp;E")</f>
        <v>P&amp;E</v>
      </c>
      <c r="H794" s="4" t="str">
        <f>IFERROR(__xludf.DUMMYFUNCTION("""COMPUTED_VALUE"""),"")</f>
        <v/>
      </c>
      <c r="I794" s="4" t="str">
        <f>IFERROR(__xludf.DUMMYFUNCTION("""COMPUTED_VALUE"""),"")</f>
        <v/>
      </c>
      <c r="J794" s="4" t="str">
        <f>IFERROR(__xludf.DUMMYFUNCTION("""COMPUTED_VALUE"""),"Investment")</f>
        <v>Investment</v>
      </c>
      <c r="K794" s="4" t="str">
        <f>IFERROR(__xludf.DUMMYFUNCTION("""COMPUTED_VALUE"""),"Partner ad")</f>
        <v>Partner ad</v>
      </c>
      <c r="L794" s="4" t="str">
        <f>IFERROR(__xludf.DUMMYFUNCTION("""COMPUTED_VALUE"""),"")</f>
        <v/>
      </c>
      <c r="M794" s="4" t="str">
        <f>IFERROR(__xludf.DUMMYFUNCTION("""COMPUTED_VALUE"""),"Partner ad - Pitchbook")</f>
        <v>Partner ad - Pitchbook</v>
      </c>
      <c r="N794" s="4" t="str">
        <f>IFERROR(__xludf.DUMMYFUNCTION("""COMPUTED_VALUE"""),"")</f>
        <v/>
      </c>
      <c r="O794" s="4" t="str">
        <f>IFERROR(__xludf.DUMMYFUNCTION("""COMPUTED_VALUE"""),"")</f>
        <v/>
      </c>
      <c r="P794" s="4" t="str">
        <f>IFERROR(__xludf.DUMMYFUNCTION("""COMPUTED_VALUE"""),"")</f>
        <v/>
      </c>
      <c r="Q794" s="4" t="str">
        <f>IFERROR(__xludf.DUMMYFUNCTION("""COMPUTED_VALUE"""),"")</f>
        <v/>
      </c>
      <c r="R794" s="4" t="str">
        <f>IFERROR(__xludf.DUMMYFUNCTION("""COMPUTED_VALUE"""),"")</f>
        <v/>
      </c>
      <c r="S794" s="4" t="str">
        <f>IFERROR(__xludf.DUMMYFUNCTION("""COMPUTED_VALUE"""),"")</f>
        <v/>
      </c>
      <c r="T794" s="4" t="str">
        <f>IFERROR(__xludf.DUMMYFUNCTION("""COMPUTED_VALUE"""),"")</f>
        <v/>
      </c>
      <c r="U794" s="4" t="str">
        <f>IFERROR(__xludf.DUMMYFUNCTION("""COMPUTED_VALUE"""),"")</f>
        <v/>
      </c>
      <c r="V794" s="4" t="str">
        <f>IFERROR(__xludf.DUMMYFUNCTION("""COMPUTED_VALUE"""),"")</f>
        <v/>
      </c>
      <c r="W794" s="4" t="str">
        <f>IFERROR(__xludf.DUMMYFUNCTION("""COMPUTED_VALUE"""),"")</f>
        <v/>
      </c>
      <c r="X794" s="4" t="str">
        <f>IFERROR(__xludf.DUMMYFUNCTION("""COMPUTED_VALUE"""),"")</f>
        <v/>
      </c>
      <c r="Y794" s="4" t="str">
        <f>IFERROR(__xludf.DUMMYFUNCTION("""COMPUTED_VALUE"""),"")</f>
        <v/>
      </c>
    </row>
    <row r="795">
      <c r="A795" s="4" t="str">
        <f>IFERROR(__xludf.DUMMYFUNCTION("""COMPUTED_VALUE"""),"874 - Channel")</f>
        <v>874 - Channel</v>
      </c>
      <c r="B795" s="4" t="str">
        <f>IFERROR(__xludf.DUMMYFUNCTION("""COMPUTED_VALUE"""),"Channel 3")</f>
        <v>Channel 3</v>
      </c>
      <c r="C795" s="4" t="str">
        <f>IFERROR(__xludf.DUMMYFUNCTION("""COMPUTED_VALUE"""),"Day 1 - 23/06")</f>
        <v>Day 1 - 23/06</v>
      </c>
      <c r="D795" s="6">
        <f>IFERROR(__xludf.DUMMYFUNCTION("""COMPUTED_VALUE"""),0.6668402777777778)</f>
        <v>0.6668402778</v>
      </c>
      <c r="E795" s="6">
        <f>IFERROR(__xludf.DUMMYFUNCTION("""COMPUTED_VALUE"""),3.4722222222222224E-4)</f>
        <v>0.0003472222222</v>
      </c>
      <c r="F795" s="6">
        <f>IFERROR(__xludf.DUMMYFUNCTION("""COMPUTED_VALUE"""),0.6671875)</f>
        <v>0.6671875</v>
      </c>
      <c r="G795" s="4" t="str">
        <f>IFERROR(__xludf.DUMMYFUNCTION("""COMPUTED_VALUE"""),"Graphics")</f>
        <v>Graphics</v>
      </c>
      <c r="H795" s="4" t="str">
        <f>IFERROR(__xludf.DUMMYFUNCTION("""COMPUTED_VALUE"""),"N/A")</f>
        <v>N/A</v>
      </c>
      <c r="I795" s="4" t="str">
        <f>IFERROR(__xludf.DUMMYFUNCTION("""COMPUTED_VALUE"""),"N/A")</f>
        <v>N/A</v>
      </c>
      <c r="J795" s="4" t="str">
        <f>IFERROR(__xludf.DUMMYFUNCTION("""COMPUTED_VALUE"""),"Investment")</f>
        <v>Investment</v>
      </c>
      <c r="K795" s="4" t="str">
        <f>IFERROR(__xludf.DUMMYFUNCTION("""COMPUTED_VALUE"""),"Talk Intro")</f>
        <v>Talk Intro</v>
      </c>
      <c r="L795" s="4" t="str">
        <f>IFERROR(__xludf.DUMMYFUNCTION("""COMPUTED_VALUE"""),"")</f>
        <v/>
      </c>
      <c r="M795" s="4" t="str">
        <f>IFERROR(__xludf.DUMMYFUNCTION("""COMPUTED_VALUE"""),"Talk Intro")</f>
        <v>Talk Intro</v>
      </c>
      <c r="N795" s="4" t="str">
        <f>IFERROR(__xludf.DUMMYFUNCTION("""COMPUTED_VALUE"""),"")</f>
        <v/>
      </c>
      <c r="O795" s="4" t="str">
        <f>IFERROR(__xludf.DUMMYFUNCTION("""COMPUTED_VALUE"""),"")</f>
        <v/>
      </c>
      <c r="P795" s="4" t="str">
        <f>IFERROR(__xludf.DUMMYFUNCTION("""COMPUTED_VALUE"""),"")</f>
        <v/>
      </c>
      <c r="Q795" s="4" t="str">
        <f>IFERROR(__xludf.DUMMYFUNCTION("""COMPUTED_VALUE"""),"")</f>
        <v/>
      </c>
      <c r="R795" s="4" t="str">
        <f>IFERROR(__xludf.DUMMYFUNCTION("""COMPUTED_VALUE"""),"")</f>
        <v/>
      </c>
      <c r="S795" s="4" t="str">
        <f>IFERROR(__xludf.DUMMYFUNCTION("""COMPUTED_VALUE"""),"")</f>
        <v/>
      </c>
      <c r="T795" s="4" t="str">
        <f>IFERROR(__xludf.DUMMYFUNCTION("""COMPUTED_VALUE"""),"")</f>
        <v/>
      </c>
      <c r="U795" s="4" t="str">
        <f>IFERROR(__xludf.DUMMYFUNCTION("""COMPUTED_VALUE"""),"")</f>
        <v/>
      </c>
      <c r="V795" s="4" t="str">
        <f>IFERROR(__xludf.DUMMYFUNCTION("""COMPUTED_VALUE"""),"")</f>
        <v/>
      </c>
      <c r="W795" s="4" t="str">
        <f>IFERROR(__xludf.DUMMYFUNCTION("""COMPUTED_VALUE"""),"")</f>
        <v/>
      </c>
      <c r="X795" s="4" t="str">
        <f>IFERROR(__xludf.DUMMYFUNCTION("""COMPUTED_VALUE"""),"")</f>
        <v/>
      </c>
      <c r="Y795" s="4" t="str">
        <f>IFERROR(__xludf.DUMMYFUNCTION("""COMPUTED_VALUE"""),"")</f>
        <v/>
      </c>
    </row>
    <row r="796">
      <c r="A796" s="4" t="str">
        <f>IFERROR(__xludf.DUMMYFUNCTION("""COMPUTED_VALUE"""),"875 - Channel")</f>
        <v>875 - Channel</v>
      </c>
      <c r="B796" s="4" t="str">
        <f>IFERROR(__xludf.DUMMYFUNCTION("""COMPUTED_VALUE"""),"Channel 3")</f>
        <v>Channel 3</v>
      </c>
      <c r="C796" s="4" t="str">
        <f>IFERROR(__xludf.DUMMYFUNCTION("""COMPUTED_VALUE"""),"Day 1 - 23/06")</f>
        <v>Day 1 - 23/06</v>
      </c>
      <c r="D796" s="6">
        <f>IFERROR(__xludf.DUMMYFUNCTION("""COMPUTED_VALUE"""),0.6671875)</f>
        <v>0.6671875</v>
      </c>
      <c r="E796" s="6">
        <f>IFERROR(__xludf.DUMMYFUNCTION("""COMPUTED_VALUE"""),0.010011574074074074)</f>
        <v>0.01001157407</v>
      </c>
      <c r="F796" s="6">
        <f>IFERROR(__xludf.DUMMYFUNCTION("""COMPUTED_VALUE"""),0.6771990740740741)</f>
        <v>0.6771990741</v>
      </c>
      <c r="G796" s="4" t="str">
        <f>IFERROR(__xludf.DUMMYFUNCTION("""COMPUTED_VALUE"""),"Stephanie")</f>
        <v>Stephanie</v>
      </c>
      <c r="H796" s="4" t="str">
        <f>IFERROR(__xludf.DUMMYFUNCTION("""COMPUTED_VALUE"""),"Haziq")</f>
        <v>Haziq</v>
      </c>
      <c r="I796" s="4" t="str">
        <f>IFERROR(__xludf.DUMMYFUNCTION("""COMPUTED_VALUE"""),"Geoff")</f>
        <v>Geoff</v>
      </c>
      <c r="J796" s="4" t="str">
        <f>IFERROR(__xludf.DUMMYFUNCTION("""COMPUTED_VALUE"""),"Investment")</f>
        <v>Investment</v>
      </c>
      <c r="K796" s="4" t="str">
        <f>IFERROR(__xludf.DUMMYFUNCTION("""COMPUTED_VALUE"""),"Super Fireside")</f>
        <v>Super Fireside</v>
      </c>
      <c r="L796" s="4" t="str">
        <f>IFERROR(__xludf.DUMMYFUNCTION("""COMPUTED_VALUE"""),"T- 6 - 11/05/2020")</f>
        <v>T- 6 - 11/05/2020</v>
      </c>
      <c r="M796" s="4" t="str">
        <f>IFERROR(__xludf.DUMMYFUNCTION("""COMPUTED_VALUE"""),"State of the VC nation")</f>
        <v>State of the VC nation</v>
      </c>
      <c r="N796" s="4" t="str">
        <f>IFERROR(__xludf.DUMMYFUNCTION("""COMPUTED_VALUE"""),"Jeff Clavier, Uncork Capital")</f>
        <v>Jeff Clavier, Uncork Capital</v>
      </c>
      <c r="O796" s="4" t="str">
        <f>IFERROR(__xludf.DUMMYFUNCTION("""COMPUTED_VALUE"""),"Wesley Chan, Felicis Ventures")</f>
        <v>Wesley Chan, Felicis Ventures</v>
      </c>
      <c r="P796" s="4" t="str">
        <f>IFERROR(__xludf.DUMMYFUNCTION("""COMPUTED_VALUE"""),"")</f>
        <v/>
      </c>
      <c r="Q796" s="4" t="str">
        <f>IFERROR(__xludf.DUMMYFUNCTION("""COMPUTED_VALUE"""),"")</f>
        <v/>
      </c>
      <c r="R796" s="4" t="str">
        <f>IFERROR(__xludf.DUMMYFUNCTION("""COMPUTED_VALUE"""),"Caleb Silver, Investopedia")</f>
        <v>Caleb Silver, Investopedia</v>
      </c>
      <c r="S796" s="4" t="str">
        <f>IFERROR(__xludf.DUMMYFUNCTION("""COMPUTED_VALUE"""),"In the last decade, venture-backed startups raised more than US$730 billion, almost doubling the $400 billion raised in the prior decade. What can the trends of the last year – and the last decade – tell us about what’s to come? Top Silicon Valley investo"&amp;"rs who have backed the likes of FitBit and Plaid give us their take. ")</f>
        <v>In the last decade, venture-backed startups raised more than US$730 billion, almost doubling the $400 billion raised in the prior decade. What can the trends of the last year – and the last decade – tell us about what’s to come? Top Silicon Valley investors who have backed the likes of FitBit and Plaid give us their take. </v>
      </c>
      <c r="T796" s="4" t="str">
        <f>IFERROR(__xludf.DUMMYFUNCTION("""COMPUTED_VALUE"""),"NON-KEYNOTE 9 - COMPLETE")</f>
        <v>NON-KEYNOTE 9 - COMPLETE</v>
      </c>
      <c r="U796" s="23">
        <f>IFERROR(__xludf.DUMMYFUNCTION("""COMPUTED_VALUE"""),43980.0)</f>
        <v>43980</v>
      </c>
      <c r="V796" s="24">
        <f>IFERROR(__xludf.DUMMYFUNCTION("""COMPUTED_VALUE"""),0.75)</f>
        <v>0.75</v>
      </c>
      <c r="W796" s="4" t="str">
        <f>IFERROR(__xludf.DUMMYFUNCTION("""COMPUTED_VALUE"""),"COMPLETE")</f>
        <v>COMPLETE</v>
      </c>
      <c r="X796" s="4" t="str">
        <f>IFERROR(__xludf.DUMMYFUNCTION("""COMPUTED_VALUE"""),"Stephanie")</f>
        <v>Stephanie</v>
      </c>
      <c r="Y796" s="4" t="str">
        <f>IFERROR(__xludf.DUMMYFUNCTION("""COMPUTED_VALUE"""),"")</f>
        <v/>
      </c>
    </row>
    <row r="797">
      <c r="A797" s="4" t="str">
        <f>IFERROR(__xludf.DUMMYFUNCTION("""COMPUTED_VALUE"""),"1510 - Channel")</f>
        <v>1510 - Channel</v>
      </c>
      <c r="B797" s="4" t="str">
        <f>IFERROR(__xludf.DUMMYFUNCTION("""COMPUTED_VALUE"""),"Channel 3")</f>
        <v>Channel 3</v>
      </c>
      <c r="C797" s="4" t="str">
        <f>IFERROR(__xludf.DUMMYFUNCTION("""COMPUTED_VALUE"""),"Day 1 - 23/06")</f>
        <v>Day 1 - 23/06</v>
      </c>
      <c r="D797" s="6">
        <f>IFERROR(__xludf.DUMMYFUNCTION("""COMPUTED_VALUE"""),0.6771990740740741)</f>
        <v>0.6771990741</v>
      </c>
      <c r="E797" s="6">
        <f>IFERROR(__xludf.DUMMYFUNCTION("""COMPUTED_VALUE"""),1.7361111111111112E-4)</f>
        <v>0.0001736111111</v>
      </c>
      <c r="F797" s="6">
        <f>IFERROR(__xludf.DUMMYFUNCTION("""COMPUTED_VALUE"""),0.6773726851851852)</f>
        <v>0.6773726852</v>
      </c>
      <c r="G797" s="4" t="str">
        <f>IFERROR(__xludf.DUMMYFUNCTION("""COMPUTED_VALUE"""),"P&amp;E")</f>
        <v>P&amp;E</v>
      </c>
      <c r="H797" s="4" t="str">
        <f>IFERROR(__xludf.DUMMYFUNCTION("""COMPUTED_VALUE"""),"")</f>
        <v/>
      </c>
      <c r="I797" s="4" t="str">
        <f>IFERROR(__xludf.DUMMYFUNCTION("""COMPUTED_VALUE"""),"")</f>
        <v/>
      </c>
      <c r="J797" s="4" t="str">
        <f>IFERROR(__xludf.DUMMYFUNCTION("""COMPUTED_VALUE"""),"Investment")</f>
        <v>Investment</v>
      </c>
      <c r="K797" s="4" t="str">
        <f>IFERROR(__xludf.DUMMYFUNCTION("""COMPUTED_VALUE"""),"Partner ad")</f>
        <v>Partner ad</v>
      </c>
      <c r="L797" s="4" t="str">
        <f>IFERROR(__xludf.DUMMYFUNCTION("""COMPUTED_VALUE"""),"")</f>
        <v/>
      </c>
      <c r="M797" s="4" t="str">
        <f>IFERROR(__xludf.DUMMYFUNCTION("""COMPUTED_VALUE""")," Partner ad - The Corporation of the City of Brampton")</f>
        <v> Partner ad - The Corporation of the City of Brampton</v>
      </c>
      <c r="N797" s="4" t="str">
        <f>IFERROR(__xludf.DUMMYFUNCTION("""COMPUTED_VALUE"""),"")</f>
        <v/>
      </c>
      <c r="O797" s="4" t="str">
        <f>IFERROR(__xludf.DUMMYFUNCTION("""COMPUTED_VALUE"""),"")</f>
        <v/>
      </c>
      <c r="P797" s="4" t="str">
        <f>IFERROR(__xludf.DUMMYFUNCTION("""COMPUTED_VALUE"""),"")</f>
        <v/>
      </c>
      <c r="Q797" s="4" t="str">
        <f>IFERROR(__xludf.DUMMYFUNCTION("""COMPUTED_VALUE"""),"")</f>
        <v/>
      </c>
      <c r="R797" s="4" t="str">
        <f>IFERROR(__xludf.DUMMYFUNCTION("""COMPUTED_VALUE"""),"")</f>
        <v/>
      </c>
      <c r="S797" s="4" t="str">
        <f>IFERROR(__xludf.DUMMYFUNCTION("""COMPUTED_VALUE"""),"")</f>
        <v/>
      </c>
      <c r="T797" s="4" t="str">
        <f>IFERROR(__xludf.DUMMYFUNCTION("""COMPUTED_VALUE"""),"")</f>
        <v/>
      </c>
      <c r="U797" s="4" t="str">
        <f>IFERROR(__xludf.DUMMYFUNCTION("""COMPUTED_VALUE"""),"")</f>
        <v/>
      </c>
      <c r="V797" s="4" t="str">
        <f>IFERROR(__xludf.DUMMYFUNCTION("""COMPUTED_VALUE"""),"")</f>
        <v/>
      </c>
      <c r="W797" s="4" t="str">
        <f>IFERROR(__xludf.DUMMYFUNCTION("""COMPUTED_VALUE"""),"")</f>
        <v/>
      </c>
      <c r="X797" s="4" t="str">
        <f>IFERROR(__xludf.DUMMYFUNCTION("""COMPUTED_VALUE"""),"")</f>
        <v/>
      </c>
      <c r="Y797" s="4" t="str">
        <f>IFERROR(__xludf.DUMMYFUNCTION("""COMPUTED_VALUE"""),"")</f>
        <v/>
      </c>
    </row>
    <row r="798">
      <c r="A798" s="4" t="str">
        <f>IFERROR(__xludf.DUMMYFUNCTION("""COMPUTED_VALUE"""),"877 - Channel")</f>
        <v>877 - Channel</v>
      </c>
      <c r="B798" s="4" t="str">
        <f>IFERROR(__xludf.DUMMYFUNCTION("""COMPUTED_VALUE"""),"Channel 3")</f>
        <v>Channel 3</v>
      </c>
      <c r="C798" s="4" t="str">
        <f>IFERROR(__xludf.DUMMYFUNCTION("""COMPUTED_VALUE"""),"Day 1 - 23/06")</f>
        <v>Day 1 - 23/06</v>
      </c>
      <c r="D798" s="6">
        <f>IFERROR(__xludf.DUMMYFUNCTION("""COMPUTED_VALUE"""),0.6773726851851852)</f>
        <v>0.6773726852</v>
      </c>
      <c r="E798" s="6">
        <f>IFERROR(__xludf.DUMMYFUNCTION("""COMPUTED_VALUE"""),2.314814814814815E-4)</f>
        <v>0.0002314814815</v>
      </c>
      <c r="F798" s="6">
        <f>IFERROR(__xludf.DUMMYFUNCTION("""COMPUTED_VALUE"""),0.6776041666666667)</f>
        <v>0.6776041667</v>
      </c>
      <c r="G798" s="4" t="str">
        <f>IFERROR(__xludf.DUMMYFUNCTION("""COMPUTED_VALUE"""),"Graphics")</f>
        <v>Graphics</v>
      </c>
      <c r="H798" s="4" t="str">
        <f>IFERROR(__xludf.DUMMYFUNCTION("""COMPUTED_VALUE"""),"N/A")</f>
        <v>N/A</v>
      </c>
      <c r="I798" s="4" t="str">
        <f>IFERROR(__xludf.DUMMYFUNCTION("""COMPUTED_VALUE"""),"N/A")</f>
        <v>N/A</v>
      </c>
      <c r="J798" s="4" t="str">
        <f>IFERROR(__xludf.DUMMYFUNCTION("""COMPUTED_VALUE"""),"Investment")</f>
        <v>Investment</v>
      </c>
      <c r="K798" s="4" t="str">
        <f>IFERROR(__xludf.DUMMYFUNCTION("""COMPUTED_VALUE"""),"Talk Intro")</f>
        <v>Talk Intro</v>
      </c>
      <c r="L798" s="4" t="str">
        <f>IFERROR(__xludf.DUMMYFUNCTION("""COMPUTED_VALUE"""),"")</f>
        <v/>
      </c>
      <c r="M798" s="4" t="str">
        <f>IFERROR(__xludf.DUMMYFUNCTION("""COMPUTED_VALUE"""),"Talk Intro")</f>
        <v>Talk Intro</v>
      </c>
      <c r="N798" s="4" t="str">
        <f>IFERROR(__xludf.DUMMYFUNCTION("""COMPUTED_VALUE"""),"")</f>
        <v/>
      </c>
      <c r="O798" s="4" t="str">
        <f>IFERROR(__xludf.DUMMYFUNCTION("""COMPUTED_VALUE"""),"")</f>
        <v/>
      </c>
      <c r="P798" s="4" t="str">
        <f>IFERROR(__xludf.DUMMYFUNCTION("""COMPUTED_VALUE"""),"")</f>
        <v/>
      </c>
      <c r="Q798" s="4" t="str">
        <f>IFERROR(__xludf.DUMMYFUNCTION("""COMPUTED_VALUE"""),"")</f>
        <v/>
      </c>
      <c r="R798" s="4" t="str">
        <f>IFERROR(__xludf.DUMMYFUNCTION("""COMPUTED_VALUE"""),"")</f>
        <v/>
      </c>
      <c r="S798" s="4" t="str">
        <f>IFERROR(__xludf.DUMMYFUNCTION("""COMPUTED_VALUE"""),"")</f>
        <v/>
      </c>
      <c r="T798" s="4" t="str">
        <f>IFERROR(__xludf.DUMMYFUNCTION("""COMPUTED_VALUE"""),"")</f>
        <v/>
      </c>
      <c r="U798" s="4" t="str">
        <f>IFERROR(__xludf.DUMMYFUNCTION("""COMPUTED_VALUE"""),"")</f>
        <v/>
      </c>
      <c r="V798" s="4" t="str">
        <f>IFERROR(__xludf.DUMMYFUNCTION("""COMPUTED_VALUE"""),"")</f>
        <v/>
      </c>
      <c r="W798" s="4" t="str">
        <f>IFERROR(__xludf.DUMMYFUNCTION("""COMPUTED_VALUE"""),"")</f>
        <v/>
      </c>
      <c r="X798" s="4" t="str">
        <f>IFERROR(__xludf.DUMMYFUNCTION("""COMPUTED_VALUE"""),"")</f>
        <v/>
      </c>
      <c r="Y798" s="4" t="str">
        <f>IFERROR(__xludf.DUMMYFUNCTION("""COMPUTED_VALUE"""),"")</f>
        <v/>
      </c>
    </row>
    <row r="799">
      <c r="A799" s="4" t="str">
        <f>IFERROR(__xludf.DUMMYFUNCTION("""COMPUTED_VALUE"""),"878 - Channel")</f>
        <v>878 - Channel</v>
      </c>
      <c r="B799" s="4" t="str">
        <f>IFERROR(__xludf.DUMMYFUNCTION("""COMPUTED_VALUE"""),"Channel 3")</f>
        <v>Channel 3</v>
      </c>
      <c r="C799" s="4" t="str">
        <f>IFERROR(__xludf.DUMMYFUNCTION("""COMPUTED_VALUE"""),"Day 1 - 23/06")</f>
        <v>Day 1 - 23/06</v>
      </c>
      <c r="D799" s="6">
        <f>IFERROR(__xludf.DUMMYFUNCTION("""COMPUTED_VALUE"""),0.6776041666666667)</f>
        <v>0.6776041667</v>
      </c>
      <c r="E799" s="6">
        <f>IFERROR(__xludf.DUMMYFUNCTION("""COMPUTED_VALUE"""),0.014849537037037038)</f>
        <v>0.01484953704</v>
      </c>
      <c r="F799" s="6">
        <f>IFERROR(__xludf.DUMMYFUNCTION("""COMPUTED_VALUE"""),0.6924537037037037)</f>
        <v>0.6924537037</v>
      </c>
      <c r="G799" s="4" t="str">
        <f>IFERROR(__xludf.DUMMYFUNCTION("""COMPUTED_VALUE"""),"Stephanie")</f>
        <v>Stephanie</v>
      </c>
      <c r="H799" s="4" t="str">
        <f>IFERROR(__xludf.DUMMYFUNCTION("""COMPUTED_VALUE"""),"Stephen")</f>
        <v>Stephen</v>
      </c>
      <c r="I799" s="4" t="str">
        <f>IFERROR(__xludf.DUMMYFUNCTION("""COMPUTED_VALUE"""),"Geoff")</f>
        <v>Geoff</v>
      </c>
      <c r="J799" s="4" t="str">
        <f>IFERROR(__xludf.DUMMYFUNCTION("""COMPUTED_VALUE"""),"Investment")</f>
        <v>Investment</v>
      </c>
      <c r="K799" s="4" t="str">
        <f>IFERROR(__xludf.DUMMYFUNCTION("""COMPUTED_VALUE"""),"Fireside")</f>
        <v>Fireside</v>
      </c>
      <c r="L799" s="4" t="str">
        <f>IFERROR(__xludf.DUMMYFUNCTION("""COMPUTED_VALUE"""),"T- 4 - 25/05/2020")</f>
        <v>T- 4 - 25/05/2020</v>
      </c>
      <c r="M799" s="4" t="str">
        <f>IFERROR(__xludf.DUMMYFUNCTION("""COMPUTED_VALUE"""),"The power of entrepreneurship")</f>
        <v>The power of entrepreneurship</v>
      </c>
      <c r="N799" s="4" t="str">
        <f>IFERROR(__xludf.DUMMYFUNCTION("""COMPUTED_VALUE"""),"Vinod Khosla, Khosla Ventures")</f>
        <v>Vinod Khosla, Khosla Ventures</v>
      </c>
      <c r="O799" s="4" t="str">
        <f>IFERROR(__xludf.DUMMYFUNCTION("""COMPUTED_VALUE"""),"")</f>
        <v/>
      </c>
      <c r="P799" s="4" t="str">
        <f>IFERROR(__xludf.DUMMYFUNCTION("""COMPUTED_VALUE"""),"")</f>
        <v/>
      </c>
      <c r="Q799" s="4" t="str">
        <f>IFERROR(__xludf.DUMMYFUNCTION("""COMPUTED_VALUE"""),"")</f>
        <v/>
      </c>
      <c r="R799" s="4" t="str">
        <f>IFERROR(__xludf.DUMMYFUNCTION("""COMPUTED_VALUE"""),"Jessica Lessin, The Information")</f>
        <v>Jessica Lessin, The Information</v>
      </c>
      <c r="S799" s="4" t="str">
        <f>IFERROR(__xludf.DUMMYFUNCTION("""COMPUTED_VALUE"""),"Tech is reinventing society by addressing our biggest needs and making them more accessible to all. Billionaire businessman and Midas List investor Vinod Khosla discusses the power of entrepreneurship. ")</f>
        <v>Tech is reinventing society by addressing our biggest needs and making them more accessible to all. Billionaire businessman and Midas List investor Vinod Khosla discusses the power of entrepreneurship. </v>
      </c>
      <c r="T799" s="4" t="str">
        <f>IFERROR(__xludf.DUMMYFUNCTION("""COMPUTED_VALUE"""),"KEYNOTE 8 - COMPLETE")</f>
        <v>KEYNOTE 8 - COMPLETE</v>
      </c>
      <c r="U799" s="23">
        <f>IFERROR(__xludf.DUMMYFUNCTION("""COMPUTED_VALUE"""),43979.0)</f>
        <v>43979</v>
      </c>
      <c r="V799" s="24">
        <f>IFERROR(__xludf.DUMMYFUNCTION("""COMPUTED_VALUE"""),0.7083333333333334)</f>
        <v>0.7083333333</v>
      </c>
      <c r="W799" s="4" t="str">
        <f>IFERROR(__xludf.DUMMYFUNCTION("""COMPUTED_VALUE"""),"COMPLETE")</f>
        <v>COMPLETE</v>
      </c>
      <c r="X799" s="4" t="str">
        <f>IFERROR(__xludf.DUMMYFUNCTION("""COMPUTED_VALUE"""),"Colm")</f>
        <v>Colm</v>
      </c>
      <c r="Y799" s="4" t="str">
        <f>IFERROR(__xludf.DUMMYFUNCTION("""COMPUTED_VALUE"""),"")</f>
        <v/>
      </c>
    </row>
    <row r="800">
      <c r="A800" s="4" t="str">
        <f>IFERROR(__xludf.DUMMYFUNCTION("""COMPUTED_VALUE"""),"1674 - Channel")</f>
        <v>1674 - Channel</v>
      </c>
      <c r="B800" s="4" t="str">
        <f>IFERROR(__xludf.DUMMYFUNCTION("""COMPUTED_VALUE"""),"Channel 3")</f>
        <v>Channel 3</v>
      </c>
      <c r="C800" s="4" t="str">
        <f>IFERROR(__xludf.DUMMYFUNCTION("""COMPUTED_VALUE"""),"Day 1 - 23/06")</f>
        <v>Day 1 - 23/06</v>
      </c>
      <c r="D800" s="6">
        <f>IFERROR(__xludf.DUMMYFUNCTION("""COMPUTED_VALUE"""),0.6924537037037037)</f>
        <v>0.6924537037</v>
      </c>
      <c r="E800" s="6">
        <f>IFERROR(__xludf.DUMMYFUNCTION("""COMPUTED_VALUE"""),3.4722222222222224E-4)</f>
        <v>0.0003472222222</v>
      </c>
      <c r="F800" s="6">
        <f>IFERROR(__xludf.DUMMYFUNCTION("""COMPUTED_VALUE"""),0.692800925925926)</f>
        <v>0.6928009259</v>
      </c>
      <c r="G800" s="4" t="str">
        <f>IFERROR(__xludf.DUMMYFUNCTION("""COMPUTED_VALUE"""),"Graphics")</f>
        <v>Graphics</v>
      </c>
      <c r="H800" s="4" t="str">
        <f>IFERROR(__xludf.DUMMYFUNCTION("""COMPUTED_VALUE"""),"")</f>
        <v/>
      </c>
      <c r="I800" s="4" t="str">
        <f>IFERROR(__xludf.DUMMYFUNCTION("""COMPUTED_VALUE"""),"")</f>
        <v/>
      </c>
      <c r="J800" s="4" t="str">
        <f>IFERROR(__xludf.DUMMYFUNCTION("""COMPUTED_VALUE"""),"")</f>
        <v/>
      </c>
      <c r="K800" s="4" t="str">
        <f>IFERROR(__xludf.DUMMYFUNCTION("""COMPUTED_VALUE"""),"Web Summit Trailer - short")</f>
        <v>Web Summit Trailer - short</v>
      </c>
      <c r="L800" s="4" t="str">
        <f>IFERROR(__xludf.DUMMYFUNCTION("""COMPUTED_VALUE"""),"")</f>
        <v/>
      </c>
      <c r="M800" s="4" t="str">
        <f>IFERROR(__xludf.DUMMYFUNCTION("""COMPUTED_VALUE"""),"Web Summit Trailer - short")</f>
        <v>Web Summit Trailer - short</v>
      </c>
      <c r="N800" s="4" t="str">
        <f>IFERROR(__xludf.DUMMYFUNCTION("""COMPUTED_VALUE"""),"")</f>
        <v/>
      </c>
      <c r="O800" s="4" t="str">
        <f>IFERROR(__xludf.DUMMYFUNCTION("""COMPUTED_VALUE"""),"")</f>
        <v/>
      </c>
      <c r="P800" s="4" t="str">
        <f>IFERROR(__xludf.DUMMYFUNCTION("""COMPUTED_VALUE"""),"")</f>
        <v/>
      </c>
      <c r="Q800" s="4" t="str">
        <f>IFERROR(__xludf.DUMMYFUNCTION("""COMPUTED_VALUE"""),"")</f>
        <v/>
      </c>
      <c r="R800" s="4" t="str">
        <f>IFERROR(__xludf.DUMMYFUNCTION("""COMPUTED_VALUE"""),"")</f>
        <v/>
      </c>
      <c r="S800" s="4" t="str">
        <f>IFERROR(__xludf.DUMMYFUNCTION("""COMPUTED_VALUE"""),"")</f>
        <v/>
      </c>
      <c r="T800" s="4" t="str">
        <f>IFERROR(__xludf.DUMMYFUNCTION("""COMPUTED_VALUE"""),"")</f>
        <v/>
      </c>
      <c r="U800" s="4" t="str">
        <f>IFERROR(__xludf.DUMMYFUNCTION("""COMPUTED_VALUE"""),"")</f>
        <v/>
      </c>
      <c r="V800" s="4" t="str">
        <f>IFERROR(__xludf.DUMMYFUNCTION("""COMPUTED_VALUE"""),"")</f>
        <v/>
      </c>
      <c r="W800" s="4" t="str">
        <f>IFERROR(__xludf.DUMMYFUNCTION("""COMPUTED_VALUE"""),"")</f>
        <v/>
      </c>
      <c r="X800" s="4" t="str">
        <f>IFERROR(__xludf.DUMMYFUNCTION("""COMPUTED_VALUE"""),"")</f>
        <v/>
      </c>
      <c r="Y800" s="4" t="str">
        <f>IFERROR(__xludf.DUMMYFUNCTION("""COMPUTED_VALUE"""),"")</f>
        <v/>
      </c>
    </row>
    <row r="801">
      <c r="A801" s="4" t="str">
        <f>IFERROR(__xludf.DUMMYFUNCTION("""COMPUTED_VALUE"""),"881 - Channel")</f>
        <v>881 - Channel</v>
      </c>
      <c r="B801" s="4" t="str">
        <f>IFERROR(__xludf.DUMMYFUNCTION("""COMPUTED_VALUE"""),"Channel 3")</f>
        <v>Channel 3</v>
      </c>
      <c r="C801" s="4" t="str">
        <f>IFERROR(__xludf.DUMMYFUNCTION("""COMPUTED_VALUE"""),"Day 1 - 23/06")</f>
        <v>Day 1 - 23/06</v>
      </c>
      <c r="D801" s="6">
        <f>IFERROR(__xludf.DUMMYFUNCTION("""COMPUTED_VALUE"""),0.692800925925926)</f>
        <v>0.6928009259</v>
      </c>
      <c r="E801" s="6">
        <f>IFERROR(__xludf.DUMMYFUNCTION("""COMPUTED_VALUE"""),2.314814814814815E-4)</f>
        <v>0.0002314814815</v>
      </c>
      <c r="F801" s="6">
        <f>IFERROR(__xludf.DUMMYFUNCTION("""COMPUTED_VALUE"""),0.6930324074074075)</f>
        <v>0.6930324074</v>
      </c>
      <c r="G801" s="4" t="str">
        <f>IFERROR(__xludf.DUMMYFUNCTION("""COMPUTED_VALUE"""),"Graphics")</f>
        <v>Graphics</v>
      </c>
      <c r="H801" s="4" t="str">
        <f>IFERROR(__xludf.DUMMYFUNCTION("""COMPUTED_VALUE"""),"N/A")</f>
        <v>N/A</v>
      </c>
      <c r="I801" s="4" t="str">
        <f>IFERROR(__xludf.DUMMYFUNCTION("""COMPUTED_VALUE"""),"N/A")</f>
        <v>N/A</v>
      </c>
      <c r="J801" s="4" t="str">
        <f>IFERROR(__xludf.DUMMYFUNCTION("""COMPUTED_VALUE"""),"Investment")</f>
        <v>Investment</v>
      </c>
      <c r="K801" s="4" t="str">
        <f>IFERROR(__xludf.DUMMYFUNCTION("""COMPUTED_VALUE"""),"Talk Intro")</f>
        <v>Talk Intro</v>
      </c>
      <c r="L801" s="4" t="str">
        <f>IFERROR(__xludf.DUMMYFUNCTION("""COMPUTED_VALUE"""),"")</f>
        <v/>
      </c>
      <c r="M801" s="4" t="str">
        <f>IFERROR(__xludf.DUMMYFUNCTION("""COMPUTED_VALUE"""),"Talk Intro")</f>
        <v>Talk Intro</v>
      </c>
      <c r="N801" s="4" t="str">
        <f>IFERROR(__xludf.DUMMYFUNCTION("""COMPUTED_VALUE"""),"")</f>
        <v/>
      </c>
      <c r="O801" s="4" t="str">
        <f>IFERROR(__xludf.DUMMYFUNCTION("""COMPUTED_VALUE"""),"")</f>
        <v/>
      </c>
      <c r="P801" s="4" t="str">
        <f>IFERROR(__xludf.DUMMYFUNCTION("""COMPUTED_VALUE"""),"")</f>
        <v/>
      </c>
      <c r="Q801" s="4" t="str">
        <f>IFERROR(__xludf.DUMMYFUNCTION("""COMPUTED_VALUE"""),"")</f>
        <v/>
      </c>
      <c r="R801" s="4" t="str">
        <f>IFERROR(__xludf.DUMMYFUNCTION("""COMPUTED_VALUE"""),"")</f>
        <v/>
      </c>
      <c r="S801" s="4" t="str">
        <f>IFERROR(__xludf.DUMMYFUNCTION("""COMPUTED_VALUE"""),"")</f>
        <v/>
      </c>
      <c r="T801" s="4" t="str">
        <f>IFERROR(__xludf.DUMMYFUNCTION("""COMPUTED_VALUE"""),"")</f>
        <v/>
      </c>
      <c r="U801" s="4" t="str">
        <f>IFERROR(__xludf.DUMMYFUNCTION("""COMPUTED_VALUE"""),"")</f>
        <v/>
      </c>
      <c r="V801" s="4" t="str">
        <f>IFERROR(__xludf.DUMMYFUNCTION("""COMPUTED_VALUE"""),"")</f>
        <v/>
      </c>
      <c r="W801" s="4" t="str">
        <f>IFERROR(__xludf.DUMMYFUNCTION("""COMPUTED_VALUE"""),"")</f>
        <v/>
      </c>
      <c r="X801" s="4" t="str">
        <f>IFERROR(__xludf.DUMMYFUNCTION("""COMPUTED_VALUE"""),"")</f>
        <v/>
      </c>
      <c r="Y801" s="4" t="str">
        <f>IFERROR(__xludf.DUMMYFUNCTION("""COMPUTED_VALUE"""),"")</f>
        <v/>
      </c>
    </row>
    <row r="802">
      <c r="A802" s="4" t="str">
        <f>IFERROR(__xludf.DUMMYFUNCTION("""COMPUTED_VALUE"""),"882 - Channel")</f>
        <v>882 - Channel</v>
      </c>
      <c r="B802" s="4" t="str">
        <f>IFERROR(__xludf.DUMMYFUNCTION("""COMPUTED_VALUE"""),"Channel 3")</f>
        <v>Channel 3</v>
      </c>
      <c r="C802" s="4" t="str">
        <f>IFERROR(__xludf.DUMMYFUNCTION("""COMPUTED_VALUE"""),"Day 1 - 23/06")</f>
        <v>Day 1 - 23/06</v>
      </c>
      <c r="D802" s="6">
        <f>IFERROR(__xludf.DUMMYFUNCTION("""COMPUTED_VALUE"""),0.6930324074074075)</f>
        <v>0.6930324074</v>
      </c>
      <c r="E802" s="6">
        <f>IFERROR(__xludf.DUMMYFUNCTION("""COMPUTED_VALUE"""),0.0020949074074074073)</f>
        <v>0.002094907407</v>
      </c>
      <c r="F802" s="6">
        <f>IFERROR(__xludf.DUMMYFUNCTION("""COMPUTED_VALUE"""),0.6951273148148148)</f>
        <v>0.6951273148</v>
      </c>
      <c r="G802" s="4" t="str">
        <f>IFERROR(__xludf.DUMMYFUNCTION("""COMPUTED_VALUE"""),"Dan")</f>
        <v>Dan</v>
      </c>
      <c r="H802" s="4" t="str">
        <f>IFERROR(__xludf.DUMMYFUNCTION("""COMPUTED_VALUE"""),"N/A")</f>
        <v>N/A</v>
      </c>
      <c r="I802" s="4" t="str">
        <f>IFERROR(__xludf.DUMMYFUNCTION("""COMPUTED_VALUE"""),"Jack")</f>
        <v>Jack</v>
      </c>
      <c r="J802" s="4" t="str">
        <f>IFERROR(__xludf.DUMMYFUNCTION("""COMPUTED_VALUE"""),"Investment")</f>
        <v>Investment</v>
      </c>
      <c r="K802" s="4" t="str">
        <f>IFERROR(__xludf.DUMMYFUNCTION("""COMPUTED_VALUE"""),"Keynote")</f>
        <v>Keynote</v>
      </c>
      <c r="L802" s="4" t="str">
        <f>IFERROR(__xludf.DUMMYFUNCTION("""COMPUTED_VALUE"""),"T- 9 - 20/04/2020")</f>
        <v>T- 9 - 20/04/2020</v>
      </c>
      <c r="M802" s="4" t="str">
        <f>IFERROR(__xludf.DUMMYFUNCTION("""COMPUTED_VALUE"""),"The new rules of VC fundraising")</f>
        <v>The new rules of VC fundraising</v>
      </c>
      <c r="N802" s="4" t="str">
        <f>IFERROR(__xludf.DUMMYFUNCTION("""COMPUTED_VALUE"""),"Russ Heddleston, DocSend")</f>
        <v>Russ Heddleston, DocSend</v>
      </c>
      <c r="O802" s="4" t="str">
        <f>IFERROR(__xludf.DUMMYFUNCTION("""COMPUTED_VALUE"""),"")</f>
        <v/>
      </c>
      <c r="P802" s="4" t="str">
        <f>IFERROR(__xludf.DUMMYFUNCTION("""COMPUTED_VALUE"""),"")</f>
        <v/>
      </c>
      <c r="Q802" s="4" t="str">
        <f>IFERROR(__xludf.DUMMYFUNCTION("""COMPUTED_VALUE"""),"")</f>
        <v/>
      </c>
      <c r="R802" s="4" t="str">
        <f>IFERROR(__xludf.DUMMYFUNCTION("""COMPUTED_VALUE"""),"")</f>
        <v/>
      </c>
      <c r="S802" s="4" t="str">
        <f>IFERROR(__xludf.DUMMYFUNCTION("""COMPUTED_VALUE"""),"A data-based look at how VCs raised their early funds, from anchor LPs to what parts of a pitch deck have the biggest impact on potential investors.")</f>
        <v>A data-based look at how VCs raised their early funds, from anchor LPs to what parts of a pitch deck have the biggest impact on potential investors.</v>
      </c>
      <c r="T802" s="4" t="str">
        <f>IFERROR(__xludf.DUMMYFUNCTION("""COMPUTED_VALUE"""),"KEYNOTE 8 - COMPLETE")</f>
        <v>KEYNOTE 8 - COMPLETE</v>
      </c>
      <c r="U802" s="23">
        <f>IFERROR(__xludf.DUMMYFUNCTION("""COMPUTED_VALUE"""),43944.0)</f>
        <v>43944</v>
      </c>
      <c r="V802" s="24">
        <f>IFERROR(__xludf.DUMMYFUNCTION("""COMPUTED_VALUE"""),0.7708333333333334)</f>
        <v>0.7708333333</v>
      </c>
      <c r="W802" s="4" t="str">
        <f>IFERROR(__xludf.DUMMYFUNCTION("""COMPUTED_VALUE"""),"COMPLETE")</f>
        <v>COMPLETE</v>
      </c>
      <c r="X802" s="4" t="str">
        <f>IFERROR(__xludf.DUMMYFUNCTION("""COMPUTED_VALUE"""),"Dan")</f>
        <v>Dan</v>
      </c>
      <c r="Y802" s="4" t="str">
        <f>IFERROR(__xludf.DUMMYFUNCTION("""COMPUTED_VALUE"""),"4627901225222435017")</f>
        <v>4627901225222435017</v>
      </c>
    </row>
    <row r="803">
      <c r="A803" s="4" t="str">
        <f>IFERROR(__xludf.DUMMYFUNCTION("""COMPUTED_VALUE"""),"1581 - Channel")</f>
        <v>1581 - Channel</v>
      </c>
      <c r="B803" s="4" t="str">
        <f>IFERROR(__xludf.DUMMYFUNCTION("""COMPUTED_VALUE"""),"Channel 3")</f>
        <v>Channel 3</v>
      </c>
      <c r="C803" s="4" t="str">
        <f>IFERROR(__xludf.DUMMYFUNCTION("""COMPUTED_VALUE"""),"Day 1 - 23/06")</f>
        <v>Day 1 - 23/06</v>
      </c>
      <c r="D803" s="6">
        <f>IFERROR(__xludf.DUMMYFUNCTION("""COMPUTED_VALUE"""),0.6951273148148148)</f>
        <v>0.6951273148</v>
      </c>
      <c r="E803" s="6">
        <f>IFERROR(__xludf.DUMMYFUNCTION("""COMPUTED_VALUE"""),1.7361111111111112E-4)</f>
        <v>0.0001736111111</v>
      </c>
      <c r="F803" s="6">
        <f>IFERROR(__xludf.DUMMYFUNCTION("""COMPUTED_VALUE"""),0.695300925925926)</f>
        <v>0.6953009259</v>
      </c>
      <c r="G803" s="4" t="str">
        <f>IFERROR(__xludf.DUMMYFUNCTION("""COMPUTED_VALUE"""),"P&amp;E")</f>
        <v>P&amp;E</v>
      </c>
      <c r="H803" s="4" t="str">
        <f>IFERROR(__xludf.DUMMYFUNCTION("""COMPUTED_VALUE"""),"")</f>
        <v/>
      </c>
      <c r="I803" s="4" t="str">
        <f>IFERROR(__xludf.DUMMYFUNCTION("""COMPUTED_VALUE"""),"")</f>
        <v/>
      </c>
      <c r="J803" s="4" t="str">
        <f>IFERROR(__xludf.DUMMYFUNCTION("""COMPUTED_VALUE"""),"")</f>
        <v/>
      </c>
      <c r="K803" s="4" t="str">
        <f>IFERROR(__xludf.DUMMYFUNCTION("""COMPUTED_VALUE"""),"Partner ad")</f>
        <v>Partner ad</v>
      </c>
      <c r="L803" s="4" t="str">
        <f>IFERROR(__xludf.DUMMYFUNCTION("""COMPUTED_VALUE"""),"")</f>
        <v/>
      </c>
      <c r="M803" s="4" t="str">
        <f>IFERROR(__xludf.DUMMYFUNCTION("""COMPUTED_VALUE"""),"Partner ad - UK DIT")</f>
        <v>Partner ad - UK DIT</v>
      </c>
      <c r="N803" s="4" t="str">
        <f>IFERROR(__xludf.DUMMYFUNCTION("""COMPUTED_VALUE"""),"")</f>
        <v/>
      </c>
      <c r="O803" s="4" t="str">
        <f>IFERROR(__xludf.DUMMYFUNCTION("""COMPUTED_VALUE"""),"")</f>
        <v/>
      </c>
      <c r="P803" s="4" t="str">
        <f>IFERROR(__xludf.DUMMYFUNCTION("""COMPUTED_VALUE"""),"")</f>
        <v/>
      </c>
      <c r="Q803" s="4" t="str">
        <f>IFERROR(__xludf.DUMMYFUNCTION("""COMPUTED_VALUE"""),"")</f>
        <v/>
      </c>
      <c r="R803" s="4" t="str">
        <f>IFERROR(__xludf.DUMMYFUNCTION("""COMPUTED_VALUE"""),"")</f>
        <v/>
      </c>
      <c r="S803" s="4" t="str">
        <f>IFERROR(__xludf.DUMMYFUNCTION("""COMPUTED_VALUE"""),"")</f>
        <v/>
      </c>
      <c r="T803" s="4" t="str">
        <f>IFERROR(__xludf.DUMMYFUNCTION("""COMPUTED_VALUE"""),"")</f>
        <v/>
      </c>
      <c r="U803" s="4" t="str">
        <f>IFERROR(__xludf.DUMMYFUNCTION("""COMPUTED_VALUE"""),"")</f>
        <v/>
      </c>
      <c r="V803" s="4" t="str">
        <f>IFERROR(__xludf.DUMMYFUNCTION("""COMPUTED_VALUE"""),"")</f>
        <v/>
      </c>
      <c r="W803" s="4" t="str">
        <f>IFERROR(__xludf.DUMMYFUNCTION("""COMPUTED_VALUE"""),"")</f>
        <v/>
      </c>
      <c r="X803" s="4" t="str">
        <f>IFERROR(__xludf.DUMMYFUNCTION("""COMPUTED_VALUE"""),"")</f>
        <v/>
      </c>
      <c r="Y803" s="4" t="str">
        <f>IFERROR(__xludf.DUMMYFUNCTION("""COMPUTED_VALUE"""),"")</f>
        <v/>
      </c>
    </row>
    <row r="804">
      <c r="A804" s="4" t="str">
        <f>IFERROR(__xludf.DUMMYFUNCTION("""COMPUTED_VALUE"""),"885 - Channel")</f>
        <v>885 - Channel</v>
      </c>
      <c r="B804" s="4" t="str">
        <f>IFERROR(__xludf.DUMMYFUNCTION("""COMPUTED_VALUE"""),"Channel 3")</f>
        <v>Channel 3</v>
      </c>
      <c r="C804" s="4" t="str">
        <f>IFERROR(__xludf.DUMMYFUNCTION("""COMPUTED_VALUE"""),"Day 1 - 23/06")</f>
        <v>Day 1 - 23/06</v>
      </c>
      <c r="D804" s="6">
        <f>IFERROR(__xludf.DUMMYFUNCTION("""COMPUTED_VALUE"""),0.695300925925926)</f>
        <v>0.6953009259</v>
      </c>
      <c r="E804" s="6">
        <f>IFERROR(__xludf.DUMMYFUNCTION("""COMPUTED_VALUE"""),2.314814814814815E-4)</f>
        <v>0.0002314814815</v>
      </c>
      <c r="F804" s="6">
        <f>IFERROR(__xludf.DUMMYFUNCTION("""COMPUTED_VALUE"""),0.6955324074074074)</f>
        <v>0.6955324074</v>
      </c>
      <c r="G804" s="4" t="str">
        <f>IFERROR(__xludf.DUMMYFUNCTION("""COMPUTED_VALUE"""),"Graphics")</f>
        <v>Graphics</v>
      </c>
      <c r="H804" s="4" t="str">
        <f>IFERROR(__xludf.DUMMYFUNCTION("""COMPUTED_VALUE"""),"N/A")</f>
        <v>N/A</v>
      </c>
      <c r="I804" s="4" t="str">
        <f>IFERROR(__xludf.DUMMYFUNCTION("""COMPUTED_VALUE"""),"N/A")</f>
        <v>N/A</v>
      </c>
      <c r="J804" s="4" t="str">
        <f>IFERROR(__xludf.DUMMYFUNCTION("""COMPUTED_VALUE"""),"Investment")</f>
        <v>Investment</v>
      </c>
      <c r="K804" s="4" t="str">
        <f>IFERROR(__xludf.DUMMYFUNCTION("""COMPUTED_VALUE"""),"Talk Intro")</f>
        <v>Talk Intro</v>
      </c>
      <c r="L804" s="4" t="str">
        <f>IFERROR(__xludf.DUMMYFUNCTION("""COMPUTED_VALUE"""),"")</f>
        <v/>
      </c>
      <c r="M804" s="4" t="str">
        <f>IFERROR(__xludf.DUMMYFUNCTION("""COMPUTED_VALUE"""),"Talk Intro")</f>
        <v>Talk Intro</v>
      </c>
      <c r="N804" s="4" t="str">
        <f>IFERROR(__xludf.DUMMYFUNCTION("""COMPUTED_VALUE"""),"")</f>
        <v/>
      </c>
      <c r="O804" s="4" t="str">
        <f>IFERROR(__xludf.DUMMYFUNCTION("""COMPUTED_VALUE"""),"")</f>
        <v/>
      </c>
      <c r="P804" s="4" t="str">
        <f>IFERROR(__xludf.DUMMYFUNCTION("""COMPUTED_VALUE"""),"")</f>
        <v/>
      </c>
      <c r="Q804" s="4" t="str">
        <f>IFERROR(__xludf.DUMMYFUNCTION("""COMPUTED_VALUE"""),"")</f>
        <v/>
      </c>
      <c r="R804" s="4" t="str">
        <f>IFERROR(__xludf.DUMMYFUNCTION("""COMPUTED_VALUE"""),"")</f>
        <v/>
      </c>
      <c r="S804" s="4" t="str">
        <f>IFERROR(__xludf.DUMMYFUNCTION("""COMPUTED_VALUE"""),"")</f>
        <v/>
      </c>
      <c r="T804" s="4" t="str">
        <f>IFERROR(__xludf.DUMMYFUNCTION("""COMPUTED_VALUE"""),"")</f>
        <v/>
      </c>
      <c r="U804" s="4" t="str">
        <f>IFERROR(__xludf.DUMMYFUNCTION("""COMPUTED_VALUE"""),"")</f>
        <v/>
      </c>
      <c r="V804" s="4" t="str">
        <f>IFERROR(__xludf.DUMMYFUNCTION("""COMPUTED_VALUE"""),"")</f>
        <v/>
      </c>
      <c r="W804" s="4" t="str">
        <f>IFERROR(__xludf.DUMMYFUNCTION("""COMPUTED_VALUE"""),"")</f>
        <v/>
      </c>
      <c r="X804" s="4" t="str">
        <f>IFERROR(__xludf.DUMMYFUNCTION("""COMPUTED_VALUE"""),"")</f>
        <v/>
      </c>
      <c r="Y804" s="4" t="str">
        <f>IFERROR(__xludf.DUMMYFUNCTION("""COMPUTED_VALUE"""),"")</f>
        <v/>
      </c>
    </row>
    <row r="805">
      <c r="A805" s="4" t="str">
        <f>IFERROR(__xludf.DUMMYFUNCTION("""COMPUTED_VALUE"""),"1337 - Channel")</f>
        <v>1337 - Channel</v>
      </c>
      <c r="B805" s="4" t="str">
        <f>IFERROR(__xludf.DUMMYFUNCTION("""COMPUTED_VALUE"""),"Channel 3")</f>
        <v>Channel 3</v>
      </c>
      <c r="C805" s="4" t="str">
        <f>IFERROR(__xludf.DUMMYFUNCTION("""COMPUTED_VALUE"""),"Day 1 - 23/06")</f>
        <v>Day 1 - 23/06</v>
      </c>
      <c r="D805" s="6">
        <f>IFERROR(__xludf.DUMMYFUNCTION("""COMPUTED_VALUE"""),0.6955324074074074)</f>
        <v>0.6955324074</v>
      </c>
      <c r="E805" s="6">
        <f>IFERROR(__xludf.DUMMYFUNCTION("""COMPUTED_VALUE"""),0.01238425925925926)</f>
        <v>0.01238425926</v>
      </c>
      <c r="F805" s="6">
        <f>IFERROR(__xludf.DUMMYFUNCTION("""COMPUTED_VALUE"""),0.7079166666666666)</f>
        <v>0.7079166667</v>
      </c>
      <c r="G805" s="4" t="str">
        <f>IFERROR(__xludf.DUMMYFUNCTION("""COMPUTED_VALUE"""),"Gavin")</f>
        <v>Gavin</v>
      </c>
      <c r="H805" s="4" t="str">
        <f>IFERROR(__xludf.DUMMYFUNCTION("""COMPUTED_VALUE"""),"N/A")</f>
        <v>N/A</v>
      </c>
      <c r="I805" s="4" t="str">
        <f>IFERROR(__xludf.DUMMYFUNCTION("""COMPUTED_VALUE"""),"Naomi")</f>
        <v>Naomi</v>
      </c>
      <c r="J805" s="4" t="str">
        <f>IFERROR(__xludf.DUMMYFUNCTION("""COMPUTED_VALUE"""),"Investment")</f>
        <v>Investment</v>
      </c>
      <c r="K805" s="4" t="str">
        <f>IFERROR(__xludf.DUMMYFUNCTION("""COMPUTED_VALUE"""),"Super Fireside")</f>
        <v>Super Fireside</v>
      </c>
      <c r="L805" s="4" t="str">
        <f>IFERROR(__xludf.DUMMYFUNCTION("""COMPUTED_VALUE"""),"T- 5 - 18/05/2020")</f>
        <v>T- 5 - 18/05/2020</v>
      </c>
      <c r="M805" s="4" t="str">
        <f>IFERROR(__xludf.DUMMYFUNCTION("""COMPUTED_VALUE"""),"Tech, governance and the fate of society as we know it")</f>
        <v>Tech, governance and the fate of society as we know it</v>
      </c>
      <c r="N805" s="4" t="str">
        <f>IFERROR(__xludf.DUMMYFUNCTION("""COMPUTED_VALUE"""),"Andrew Yang, Yang 2020")</f>
        <v>Andrew Yang, Yang 2020</v>
      </c>
      <c r="O805" s="4" t="str">
        <f>IFERROR(__xludf.DUMMYFUNCTION("""COMPUTED_VALUE"""),"Tristan Harris, The Center for Humane Technology")</f>
        <v>Tristan Harris, The Center for Humane Technology</v>
      </c>
      <c r="P805" s="4" t="str">
        <f>IFERROR(__xludf.DUMMYFUNCTION("""COMPUTED_VALUE"""),"")</f>
        <v/>
      </c>
      <c r="Q805" s="4" t="str">
        <f>IFERROR(__xludf.DUMMYFUNCTION("""COMPUTED_VALUE"""),"")</f>
        <v/>
      </c>
      <c r="R805" s="4" t="str">
        <f>IFERROR(__xludf.DUMMYFUNCTION("""COMPUTED_VALUE"""),"Alexander Schultz, Complete Labs")</f>
        <v>Alexander Schultz, Complete Labs</v>
      </c>
      <c r="S805" s="4" t="str">
        <f>IFERROR(__xludf.DUMMYFUNCTION("""COMPUTED_VALUE"""),"The impact of tech on society has been profound. With automation taking our jobs, and social media stealing our attention, it is more important than ever for government to be able to adapt to the shifting nature of society. Join us to hear from two of the"&amp;" leading ethical voices in tackling these changes: Silicon Valley's conscience, Tristan Harris; and former Democratic candidate for the US preisdency, Andrew Yang.")</f>
        <v>The impact of tech on society has been profound. With automation taking our jobs, and social media stealing our attention, it is more important than ever for government to be able to adapt to the shifting nature of society. Join us to hear from two of the leading ethical voices in tackling these changes: Silicon Valley's conscience, Tristan Harris; and former Democratic candidate for the US preisdency, Andrew Yang.</v>
      </c>
      <c r="T805" s="4" t="str">
        <f>IFERROR(__xludf.DUMMYFUNCTION("""COMPUTED_VALUE"""),"NON-KEYNOTE 9 - COMPLETE")</f>
        <v>NON-KEYNOTE 9 - COMPLETE</v>
      </c>
      <c r="U805" s="23">
        <f>IFERROR(__xludf.DUMMYFUNCTION("""COMPUTED_VALUE"""),43972.0)</f>
        <v>43972</v>
      </c>
      <c r="V805" s="24">
        <f>IFERROR(__xludf.DUMMYFUNCTION("""COMPUTED_VALUE"""),0.7083333333333334)</f>
        <v>0.7083333333</v>
      </c>
      <c r="W805" s="4" t="str">
        <f>IFERROR(__xludf.DUMMYFUNCTION("""COMPUTED_VALUE"""),"COMPLETE")</f>
        <v>COMPLETE</v>
      </c>
      <c r="X805" s="4" t="str">
        <f>IFERROR(__xludf.DUMMYFUNCTION("""COMPUTED_VALUE"""),"Gavin")</f>
        <v>Gavin</v>
      </c>
      <c r="Y805" s="4" t="str">
        <f>IFERROR(__xludf.DUMMYFUNCTION("""COMPUTED_VALUE"""),"")</f>
        <v/>
      </c>
    </row>
    <row r="806">
      <c r="A806" s="4" t="str">
        <f>IFERROR(__xludf.DUMMYFUNCTION("""COMPUTED_VALUE"""),"887 - Channel")</f>
        <v>887 - Channel</v>
      </c>
      <c r="B806" s="4" t="str">
        <f>IFERROR(__xludf.DUMMYFUNCTION("""COMPUTED_VALUE"""),"Channel 3")</f>
        <v>Channel 3</v>
      </c>
      <c r="C806" s="4" t="str">
        <f>IFERROR(__xludf.DUMMYFUNCTION("""COMPUTED_VALUE"""),"Day 1 - 23/06")</f>
        <v>Day 1 - 23/06</v>
      </c>
      <c r="D806" s="6">
        <f>IFERROR(__xludf.DUMMYFUNCTION("""COMPUTED_VALUE"""),0.7079166666666666)</f>
        <v>0.7079166667</v>
      </c>
      <c r="E806" s="6">
        <f>IFERROR(__xludf.DUMMYFUNCTION("""COMPUTED_VALUE"""),2.8935185185185184E-4)</f>
        <v>0.0002893518519</v>
      </c>
      <c r="F806" s="6">
        <f>IFERROR(__xludf.DUMMYFUNCTION("""COMPUTED_VALUE"""),0.7082060185185185)</f>
        <v>0.7082060185</v>
      </c>
      <c r="G806" s="4" t="str">
        <f>IFERROR(__xludf.DUMMYFUNCTION("""COMPUTED_VALUE"""),"")</f>
        <v/>
      </c>
      <c r="H806" s="4" t="str">
        <f>IFERROR(__xludf.DUMMYFUNCTION("""COMPUTED_VALUE"""),"")</f>
        <v/>
      </c>
      <c r="I806" s="4" t="str">
        <f>IFERROR(__xludf.DUMMYFUNCTION("""COMPUTED_VALUE"""),"")</f>
        <v/>
      </c>
      <c r="J806" s="4" t="str">
        <f>IFERROR(__xludf.DUMMYFUNCTION("""COMPUTED_VALUE"""),"")</f>
        <v/>
      </c>
      <c r="K806" s="4" t="str">
        <f>IFERROR(__xludf.DUMMYFUNCTION("""COMPUTED_VALUE"""),"Talk Outro")</f>
        <v>Talk Outro</v>
      </c>
      <c r="L806" s="4" t="str">
        <f>IFERROR(__xludf.DUMMYFUNCTION("""COMPUTED_VALUE"""),"")</f>
        <v/>
      </c>
      <c r="M806" s="4" t="str">
        <f>IFERROR(__xludf.DUMMYFUNCTION("""COMPUTED_VALUE"""),"Talk Outro")</f>
        <v>Talk Outro</v>
      </c>
      <c r="N806" s="4" t="str">
        <f>IFERROR(__xludf.DUMMYFUNCTION("""COMPUTED_VALUE"""),"")</f>
        <v/>
      </c>
      <c r="O806" s="4" t="str">
        <f>IFERROR(__xludf.DUMMYFUNCTION("""COMPUTED_VALUE"""),"")</f>
        <v/>
      </c>
      <c r="P806" s="4" t="str">
        <f>IFERROR(__xludf.DUMMYFUNCTION("""COMPUTED_VALUE"""),"")</f>
        <v/>
      </c>
      <c r="Q806" s="4" t="str">
        <f>IFERROR(__xludf.DUMMYFUNCTION("""COMPUTED_VALUE"""),"")</f>
        <v/>
      </c>
      <c r="R806" s="4" t="str">
        <f>IFERROR(__xludf.DUMMYFUNCTION("""COMPUTED_VALUE"""),"")</f>
        <v/>
      </c>
      <c r="S806" s="4" t="str">
        <f>IFERROR(__xludf.DUMMYFUNCTION("""COMPUTED_VALUE"""),"")</f>
        <v/>
      </c>
      <c r="T806" s="4" t="str">
        <f>IFERROR(__xludf.DUMMYFUNCTION("""COMPUTED_VALUE"""),"")</f>
        <v/>
      </c>
      <c r="U806" s="4" t="str">
        <f>IFERROR(__xludf.DUMMYFUNCTION("""COMPUTED_VALUE"""),"")</f>
        <v/>
      </c>
      <c r="V806" s="4" t="str">
        <f>IFERROR(__xludf.DUMMYFUNCTION("""COMPUTED_VALUE"""),"")</f>
        <v/>
      </c>
      <c r="W806" s="4" t="str">
        <f>IFERROR(__xludf.DUMMYFUNCTION("""COMPUTED_VALUE"""),"")</f>
        <v/>
      </c>
      <c r="X806" s="4" t="str">
        <f>IFERROR(__xludf.DUMMYFUNCTION("""COMPUTED_VALUE"""),"")</f>
        <v/>
      </c>
      <c r="Y806" s="4" t="str">
        <f>IFERROR(__xludf.DUMMYFUNCTION("""COMPUTED_VALUE"""),"")</f>
        <v/>
      </c>
    </row>
    <row r="807">
      <c r="A807" s="4" t="str">
        <f>IFERROR(__xludf.DUMMYFUNCTION("""COMPUTED_VALUE"""),"889 - Channel")</f>
        <v>889 - Channel</v>
      </c>
      <c r="B807" s="4" t="str">
        <f>IFERROR(__xludf.DUMMYFUNCTION("""COMPUTED_VALUE"""),"Channel 3")</f>
        <v>Channel 3</v>
      </c>
      <c r="C807" s="4" t="str">
        <f>IFERROR(__xludf.DUMMYFUNCTION("""COMPUTED_VALUE"""),"Day 1 - 23/06")</f>
        <v>Day 1 - 23/06</v>
      </c>
      <c r="D807" s="6">
        <f>IFERROR(__xludf.DUMMYFUNCTION("""COMPUTED_VALUE"""),0.7082060185185185)</f>
        <v>0.7082060185</v>
      </c>
      <c r="E807" s="6">
        <f>IFERROR(__xludf.DUMMYFUNCTION("""COMPUTED_VALUE"""),3.4722222222222224E-4)</f>
        <v>0.0003472222222</v>
      </c>
      <c r="F807" s="6">
        <f>IFERROR(__xludf.DUMMYFUNCTION("""COMPUTED_VALUE"""),0.7085532407407408)</f>
        <v>0.7085532407</v>
      </c>
      <c r="G807" s="4" t="str">
        <f>IFERROR(__xludf.DUMMYFUNCTION("""COMPUTED_VALUE"""),"Graphics")</f>
        <v>Graphics</v>
      </c>
      <c r="H807" s="4" t="str">
        <f>IFERROR(__xludf.DUMMYFUNCTION("""COMPUTED_VALUE"""),"")</f>
        <v/>
      </c>
      <c r="I807" s="4" t="str">
        <f>IFERROR(__xludf.DUMMYFUNCTION("""COMPUTED_VALUE"""),"")</f>
        <v/>
      </c>
      <c r="J807" s="4" t="str">
        <f>IFERROR(__xludf.DUMMYFUNCTION("""COMPUTED_VALUE"""),"")</f>
        <v/>
      </c>
      <c r="K807" s="4" t="str">
        <f>IFERROR(__xludf.DUMMYFUNCTION("""COMPUTED_VALUE"""),"Collision From Home Day Outro")</f>
        <v>Collision From Home Day Outro</v>
      </c>
      <c r="L807" s="4" t="str">
        <f>IFERROR(__xludf.DUMMYFUNCTION("""COMPUTED_VALUE"""),"")</f>
        <v/>
      </c>
      <c r="M807" s="4" t="str">
        <f>IFERROR(__xludf.DUMMYFUNCTION("""COMPUTED_VALUE"""),"CLOSE")</f>
        <v>CLOSE</v>
      </c>
      <c r="N807" s="4" t="str">
        <f>IFERROR(__xludf.DUMMYFUNCTION("""COMPUTED_VALUE"""),"")</f>
        <v/>
      </c>
      <c r="O807" s="4" t="str">
        <f>IFERROR(__xludf.DUMMYFUNCTION("""COMPUTED_VALUE"""),"")</f>
        <v/>
      </c>
      <c r="P807" s="4" t="str">
        <f>IFERROR(__xludf.DUMMYFUNCTION("""COMPUTED_VALUE"""),"")</f>
        <v/>
      </c>
      <c r="Q807" s="4" t="str">
        <f>IFERROR(__xludf.DUMMYFUNCTION("""COMPUTED_VALUE"""),"")</f>
        <v/>
      </c>
      <c r="R807" s="4" t="str">
        <f>IFERROR(__xludf.DUMMYFUNCTION("""COMPUTED_VALUE"""),"")</f>
        <v/>
      </c>
      <c r="S807" s="4" t="str">
        <f>IFERROR(__xludf.DUMMYFUNCTION("""COMPUTED_VALUE"""),"")</f>
        <v/>
      </c>
      <c r="T807" s="4" t="str">
        <f>IFERROR(__xludf.DUMMYFUNCTION("""COMPUTED_VALUE"""),"")</f>
        <v/>
      </c>
      <c r="U807" s="4" t="str">
        <f>IFERROR(__xludf.DUMMYFUNCTION("""COMPUTED_VALUE"""),"")</f>
        <v/>
      </c>
      <c r="V807" s="4" t="str">
        <f>IFERROR(__xludf.DUMMYFUNCTION("""COMPUTED_VALUE"""),"")</f>
        <v/>
      </c>
      <c r="W807" s="4" t="str">
        <f>IFERROR(__xludf.DUMMYFUNCTION("""COMPUTED_VALUE"""),"")</f>
        <v/>
      </c>
      <c r="X807" s="4" t="str">
        <f>IFERROR(__xludf.DUMMYFUNCTION("""COMPUTED_VALUE"""),"")</f>
        <v/>
      </c>
      <c r="Y807" s="4" t="str">
        <f>IFERROR(__xludf.DUMMYFUNCTION("""COMPUTED_VALUE"""),"")</f>
        <v/>
      </c>
    </row>
    <row r="808">
      <c r="A808" s="4" t="str">
        <f>IFERROR(__xludf.DUMMYFUNCTION("""COMPUTED_VALUE"""),"890 - Channel")</f>
        <v>890 - Channel</v>
      </c>
      <c r="B808" s="4" t="str">
        <f>IFERROR(__xludf.DUMMYFUNCTION("""COMPUTED_VALUE"""),"Channel 3")</f>
        <v>Channel 3</v>
      </c>
      <c r="C808" s="4" t="str">
        <f>IFERROR(__xludf.DUMMYFUNCTION("""COMPUTED_VALUE"""),"Day 1 - 23/06")</f>
        <v>Day 1 - 23/06</v>
      </c>
      <c r="D808" s="4" t="str">
        <f>IFERROR(__xludf.DUMMYFUNCTION("""COMPUTED_VALUE"""),"")</f>
        <v/>
      </c>
      <c r="E808" s="4" t="str">
        <f>IFERROR(__xludf.DUMMYFUNCTION("""COMPUTED_VALUE"""),"")</f>
        <v/>
      </c>
      <c r="F808" s="4" t="str">
        <f>IFERROR(__xludf.DUMMYFUNCTION("""COMPUTED_VALUE"""),"")</f>
        <v/>
      </c>
      <c r="G808" s="4" t="str">
        <f>IFERROR(__xludf.DUMMYFUNCTION("""COMPUTED_VALUE"""),"")</f>
        <v/>
      </c>
      <c r="H808" s="4" t="str">
        <f>IFERROR(__xludf.DUMMYFUNCTION("""COMPUTED_VALUE"""),"")</f>
        <v/>
      </c>
      <c r="I808" s="4" t="str">
        <f>IFERROR(__xludf.DUMMYFUNCTION("""COMPUTED_VALUE"""),"")</f>
        <v/>
      </c>
      <c r="J808" s="4" t="str">
        <f>IFERROR(__xludf.DUMMYFUNCTION("""COMPUTED_VALUE"""),"")</f>
        <v/>
      </c>
      <c r="K808" s="4" t="str">
        <f>IFERROR(__xludf.DUMMYFUNCTION("""COMPUTED_VALUE"""),"")</f>
        <v/>
      </c>
      <c r="L808" s="4" t="str">
        <f>IFERROR(__xludf.DUMMYFUNCTION("""COMPUTED_VALUE"""),"")</f>
        <v/>
      </c>
      <c r="M808" s="4" t="str">
        <f>IFERROR(__xludf.DUMMYFUNCTION("""COMPUTED_VALUE"""),"")</f>
        <v/>
      </c>
      <c r="N808" s="4" t="str">
        <f>IFERROR(__xludf.DUMMYFUNCTION("""COMPUTED_VALUE"""),"")</f>
        <v/>
      </c>
      <c r="O808" s="4" t="str">
        <f>IFERROR(__xludf.DUMMYFUNCTION("""COMPUTED_VALUE"""),"")</f>
        <v/>
      </c>
      <c r="P808" s="4" t="str">
        <f>IFERROR(__xludf.DUMMYFUNCTION("""COMPUTED_VALUE"""),"")</f>
        <v/>
      </c>
      <c r="Q808" s="4" t="str">
        <f>IFERROR(__xludf.DUMMYFUNCTION("""COMPUTED_VALUE"""),"")</f>
        <v/>
      </c>
      <c r="R808" s="4" t="str">
        <f>IFERROR(__xludf.DUMMYFUNCTION("""COMPUTED_VALUE"""),"")</f>
        <v/>
      </c>
      <c r="S808" s="4" t="str">
        <f>IFERROR(__xludf.DUMMYFUNCTION("""COMPUTED_VALUE"""),"")</f>
        <v/>
      </c>
      <c r="T808" s="4" t="str">
        <f>IFERROR(__xludf.DUMMYFUNCTION("""COMPUTED_VALUE"""),"")</f>
        <v/>
      </c>
      <c r="U808" s="4" t="str">
        <f>IFERROR(__xludf.DUMMYFUNCTION("""COMPUTED_VALUE"""),"")</f>
        <v/>
      </c>
      <c r="V808" s="4" t="str">
        <f>IFERROR(__xludf.DUMMYFUNCTION("""COMPUTED_VALUE"""),"")</f>
        <v/>
      </c>
      <c r="W808" s="4" t="str">
        <f>IFERROR(__xludf.DUMMYFUNCTION("""COMPUTED_VALUE"""),"")</f>
        <v/>
      </c>
      <c r="X808" s="4" t="str">
        <f>IFERROR(__xludf.DUMMYFUNCTION("""COMPUTED_VALUE"""),"")</f>
        <v/>
      </c>
      <c r="Y808" s="4" t="str">
        <f>IFERROR(__xludf.DUMMYFUNCTION("""COMPUTED_VALUE"""),"")</f>
        <v/>
      </c>
    </row>
    <row r="809">
      <c r="A809" s="4" t="str">
        <f>IFERROR(__xludf.DUMMYFUNCTION("""COMPUTED_VALUE"""),"891 - Channel")</f>
        <v>891 - Channel</v>
      </c>
      <c r="B809" s="4" t="str">
        <f>IFERROR(__xludf.DUMMYFUNCTION("""COMPUTED_VALUE"""),"Channel 3")</f>
        <v>Channel 3</v>
      </c>
      <c r="C809" s="4" t="str">
        <f>IFERROR(__xludf.DUMMYFUNCTION("""COMPUTED_VALUE"""),"Day 1 - 23/06")</f>
        <v>Day 1 - 23/06</v>
      </c>
      <c r="D809" s="4" t="str">
        <f>IFERROR(__xludf.DUMMYFUNCTION("""COMPUTED_VALUE"""),"")</f>
        <v/>
      </c>
      <c r="E809" s="4" t="str">
        <f>IFERROR(__xludf.DUMMYFUNCTION("""COMPUTED_VALUE"""),"")</f>
        <v/>
      </c>
      <c r="F809" s="4" t="str">
        <f>IFERROR(__xludf.DUMMYFUNCTION("""COMPUTED_VALUE"""),"")</f>
        <v/>
      </c>
      <c r="G809" s="4" t="str">
        <f>IFERROR(__xludf.DUMMYFUNCTION("""COMPUTED_VALUE"""),"")</f>
        <v/>
      </c>
      <c r="H809" s="4" t="str">
        <f>IFERROR(__xludf.DUMMYFUNCTION("""COMPUTED_VALUE"""),"")</f>
        <v/>
      </c>
      <c r="I809" s="4" t="str">
        <f>IFERROR(__xludf.DUMMYFUNCTION("""COMPUTED_VALUE"""),"")</f>
        <v/>
      </c>
      <c r="J809" s="4" t="str">
        <f>IFERROR(__xludf.DUMMYFUNCTION("""COMPUTED_VALUE"""),"")</f>
        <v/>
      </c>
      <c r="K809" s="4" t="str">
        <f>IFERROR(__xludf.DUMMYFUNCTION("""COMPUTED_VALUE"""),"")</f>
        <v/>
      </c>
      <c r="L809" s="4" t="str">
        <f>IFERROR(__xludf.DUMMYFUNCTION("""COMPUTED_VALUE"""),"")</f>
        <v/>
      </c>
      <c r="M809" s="4" t="str">
        <f>IFERROR(__xludf.DUMMYFUNCTION("""COMPUTED_VALUE"""),"")</f>
        <v/>
      </c>
      <c r="N809" s="4" t="str">
        <f>IFERROR(__xludf.DUMMYFUNCTION("""COMPUTED_VALUE"""),"")</f>
        <v/>
      </c>
      <c r="O809" s="4" t="str">
        <f>IFERROR(__xludf.DUMMYFUNCTION("""COMPUTED_VALUE"""),"")</f>
        <v/>
      </c>
      <c r="P809" s="4" t="str">
        <f>IFERROR(__xludf.DUMMYFUNCTION("""COMPUTED_VALUE"""),"")</f>
        <v/>
      </c>
      <c r="Q809" s="4" t="str">
        <f>IFERROR(__xludf.DUMMYFUNCTION("""COMPUTED_VALUE"""),"")</f>
        <v/>
      </c>
      <c r="R809" s="4" t="str">
        <f>IFERROR(__xludf.DUMMYFUNCTION("""COMPUTED_VALUE"""),"")</f>
        <v/>
      </c>
      <c r="S809" s="4" t="str">
        <f>IFERROR(__xludf.DUMMYFUNCTION("""COMPUTED_VALUE"""),"")</f>
        <v/>
      </c>
      <c r="T809" s="4" t="str">
        <f>IFERROR(__xludf.DUMMYFUNCTION("""COMPUTED_VALUE"""),"")</f>
        <v/>
      </c>
      <c r="U809" s="4" t="str">
        <f>IFERROR(__xludf.DUMMYFUNCTION("""COMPUTED_VALUE"""),"")</f>
        <v/>
      </c>
      <c r="V809" s="4" t="str">
        <f>IFERROR(__xludf.DUMMYFUNCTION("""COMPUTED_VALUE"""),"")</f>
        <v/>
      </c>
      <c r="W809" s="4" t="str">
        <f>IFERROR(__xludf.DUMMYFUNCTION("""COMPUTED_VALUE"""),"")</f>
        <v/>
      </c>
      <c r="X809" s="4" t="str">
        <f>IFERROR(__xludf.DUMMYFUNCTION("""COMPUTED_VALUE"""),"")</f>
        <v/>
      </c>
      <c r="Y809" s="4" t="str">
        <f>IFERROR(__xludf.DUMMYFUNCTION("""COMPUTED_VALUE"""),"")</f>
        <v/>
      </c>
    </row>
    <row r="810">
      <c r="A810" s="4" t="str">
        <f>IFERROR(__xludf.DUMMYFUNCTION("""COMPUTED_VALUE"""),"892 - Channel")</f>
        <v>892 - Channel</v>
      </c>
      <c r="B810" s="4" t="str">
        <f>IFERROR(__xludf.DUMMYFUNCTION("""COMPUTED_VALUE"""),"Channel 3")</f>
        <v>Channel 3</v>
      </c>
      <c r="C810" s="4" t="str">
        <f>IFERROR(__xludf.DUMMYFUNCTION("""COMPUTED_VALUE"""),"Day 1 - 23/06")</f>
        <v>Day 1 - 23/06</v>
      </c>
      <c r="D810" s="4" t="str">
        <f>IFERROR(__xludf.DUMMYFUNCTION("""COMPUTED_VALUE"""),"")</f>
        <v/>
      </c>
      <c r="E810" s="4" t="str">
        <f>IFERROR(__xludf.DUMMYFUNCTION("""COMPUTED_VALUE"""),"")</f>
        <v/>
      </c>
      <c r="F810" s="4" t="str">
        <f>IFERROR(__xludf.DUMMYFUNCTION("""COMPUTED_VALUE"""),"")</f>
        <v/>
      </c>
      <c r="G810" s="4" t="str">
        <f>IFERROR(__xludf.DUMMYFUNCTION("""COMPUTED_VALUE"""),"")</f>
        <v/>
      </c>
      <c r="H810" s="4" t="str">
        <f>IFERROR(__xludf.DUMMYFUNCTION("""COMPUTED_VALUE"""),"")</f>
        <v/>
      </c>
      <c r="I810" s="4" t="str">
        <f>IFERROR(__xludf.DUMMYFUNCTION("""COMPUTED_VALUE"""),"")</f>
        <v/>
      </c>
      <c r="J810" s="4" t="str">
        <f>IFERROR(__xludf.DUMMYFUNCTION("""COMPUTED_VALUE"""),"")</f>
        <v/>
      </c>
      <c r="K810" s="4" t="str">
        <f>IFERROR(__xludf.DUMMYFUNCTION("""COMPUTED_VALUE"""),"")</f>
        <v/>
      </c>
      <c r="L810" s="4" t="str">
        <f>IFERROR(__xludf.DUMMYFUNCTION("""COMPUTED_VALUE"""),"")</f>
        <v/>
      </c>
      <c r="M810" s="4" t="str">
        <f>IFERROR(__xludf.DUMMYFUNCTION("""COMPUTED_VALUE"""),"")</f>
        <v/>
      </c>
      <c r="N810" s="4" t="str">
        <f>IFERROR(__xludf.DUMMYFUNCTION("""COMPUTED_VALUE"""),"")</f>
        <v/>
      </c>
      <c r="O810" s="4" t="str">
        <f>IFERROR(__xludf.DUMMYFUNCTION("""COMPUTED_VALUE"""),"")</f>
        <v/>
      </c>
      <c r="P810" s="4" t="str">
        <f>IFERROR(__xludf.DUMMYFUNCTION("""COMPUTED_VALUE"""),"")</f>
        <v/>
      </c>
      <c r="Q810" s="4" t="str">
        <f>IFERROR(__xludf.DUMMYFUNCTION("""COMPUTED_VALUE"""),"")</f>
        <v/>
      </c>
      <c r="R810" s="4" t="str">
        <f>IFERROR(__xludf.DUMMYFUNCTION("""COMPUTED_VALUE"""),"")</f>
        <v/>
      </c>
      <c r="S810" s="4" t="str">
        <f>IFERROR(__xludf.DUMMYFUNCTION("""COMPUTED_VALUE"""),"")</f>
        <v/>
      </c>
      <c r="T810" s="4" t="str">
        <f>IFERROR(__xludf.DUMMYFUNCTION("""COMPUTED_VALUE"""),"")</f>
        <v/>
      </c>
      <c r="U810" s="4" t="str">
        <f>IFERROR(__xludf.DUMMYFUNCTION("""COMPUTED_VALUE"""),"")</f>
        <v/>
      </c>
      <c r="V810" s="4" t="str">
        <f>IFERROR(__xludf.DUMMYFUNCTION("""COMPUTED_VALUE"""),"")</f>
        <v/>
      </c>
      <c r="W810" s="4" t="str">
        <f>IFERROR(__xludf.DUMMYFUNCTION("""COMPUTED_VALUE"""),"")</f>
        <v/>
      </c>
      <c r="X810" s="4" t="str">
        <f>IFERROR(__xludf.DUMMYFUNCTION("""COMPUTED_VALUE"""),"")</f>
        <v/>
      </c>
      <c r="Y810" s="4" t="str">
        <f>IFERROR(__xludf.DUMMYFUNCTION("""COMPUTED_VALUE"""),"")</f>
        <v/>
      </c>
    </row>
    <row r="811">
      <c r="A811" s="4" t="str">
        <f>IFERROR(__xludf.DUMMYFUNCTION("""COMPUTED_VALUE"""),"893 - Channel")</f>
        <v>893 - Channel</v>
      </c>
      <c r="B811" s="4" t="str">
        <f>IFERROR(__xludf.DUMMYFUNCTION("""COMPUTED_VALUE"""),"Channel 3")</f>
        <v>Channel 3</v>
      </c>
      <c r="C811" s="4" t="str">
        <f>IFERROR(__xludf.DUMMYFUNCTION("""COMPUTED_VALUE"""),"Day 1 - 23/06")</f>
        <v>Day 1 - 23/06</v>
      </c>
      <c r="D811" s="4" t="str">
        <f>IFERROR(__xludf.DUMMYFUNCTION("""COMPUTED_VALUE"""),"")</f>
        <v/>
      </c>
      <c r="E811" s="4" t="str">
        <f>IFERROR(__xludf.DUMMYFUNCTION("""COMPUTED_VALUE"""),"")</f>
        <v/>
      </c>
      <c r="F811" s="4" t="str">
        <f>IFERROR(__xludf.DUMMYFUNCTION("""COMPUTED_VALUE"""),"")</f>
        <v/>
      </c>
      <c r="G811" s="4" t="str">
        <f>IFERROR(__xludf.DUMMYFUNCTION("""COMPUTED_VALUE"""),"")</f>
        <v/>
      </c>
      <c r="H811" s="4" t="str">
        <f>IFERROR(__xludf.DUMMYFUNCTION("""COMPUTED_VALUE"""),"")</f>
        <v/>
      </c>
      <c r="I811" s="4" t="str">
        <f>IFERROR(__xludf.DUMMYFUNCTION("""COMPUTED_VALUE"""),"")</f>
        <v/>
      </c>
      <c r="J811" s="4" t="str">
        <f>IFERROR(__xludf.DUMMYFUNCTION("""COMPUTED_VALUE"""),"")</f>
        <v/>
      </c>
      <c r="K811" s="4" t="str">
        <f>IFERROR(__xludf.DUMMYFUNCTION("""COMPUTED_VALUE"""),"")</f>
        <v/>
      </c>
      <c r="L811" s="4" t="str">
        <f>IFERROR(__xludf.DUMMYFUNCTION("""COMPUTED_VALUE"""),"")</f>
        <v/>
      </c>
      <c r="M811" s="4" t="str">
        <f>IFERROR(__xludf.DUMMYFUNCTION("""COMPUTED_VALUE"""),"")</f>
        <v/>
      </c>
      <c r="N811" s="4" t="str">
        <f>IFERROR(__xludf.DUMMYFUNCTION("""COMPUTED_VALUE"""),"")</f>
        <v/>
      </c>
      <c r="O811" s="4" t="str">
        <f>IFERROR(__xludf.DUMMYFUNCTION("""COMPUTED_VALUE"""),"")</f>
        <v/>
      </c>
      <c r="P811" s="4" t="str">
        <f>IFERROR(__xludf.DUMMYFUNCTION("""COMPUTED_VALUE"""),"")</f>
        <v/>
      </c>
      <c r="Q811" s="4" t="str">
        <f>IFERROR(__xludf.DUMMYFUNCTION("""COMPUTED_VALUE"""),"")</f>
        <v/>
      </c>
      <c r="R811" s="4" t="str">
        <f>IFERROR(__xludf.DUMMYFUNCTION("""COMPUTED_VALUE"""),"")</f>
        <v/>
      </c>
      <c r="S811" s="4" t="str">
        <f>IFERROR(__xludf.DUMMYFUNCTION("""COMPUTED_VALUE"""),"")</f>
        <v/>
      </c>
      <c r="T811" s="4" t="str">
        <f>IFERROR(__xludf.DUMMYFUNCTION("""COMPUTED_VALUE"""),"")</f>
        <v/>
      </c>
      <c r="U811" s="4" t="str">
        <f>IFERROR(__xludf.DUMMYFUNCTION("""COMPUTED_VALUE"""),"")</f>
        <v/>
      </c>
      <c r="V811" s="4" t="str">
        <f>IFERROR(__xludf.DUMMYFUNCTION("""COMPUTED_VALUE"""),"")</f>
        <v/>
      </c>
      <c r="W811" s="4" t="str">
        <f>IFERROR(__xludf.DUMMYFUNCTION("""COMPUTED_VALUE"""),"")</f>
        <v/>
      </c>
      <c r="X811" s="4" t="str">
        <f>IFERROR(__xludf.DUMMYFUNCTION("""COMPUTED_VALUE"""),"")</f>
        <v/>
      </c>
      <c r="Y811" s="4" t="str">
        <f>IFERROR(__xludf.DUMMYFUNCTION("""COMPUTED_VALUE"""),"")</f>
        <v/>
      </c>
    </row>
    <row r="812">
      <c r="A812" s="4" t="str">
        <f>IFERROR(__xludf.DUMMYFUNCTION("""COMPUTED_VALUE"""),"894 - Channel")</f>
        <v>894 - Channel</v>
      </c>
      <c r="B812" s="4" t="str">
        <f>IFERROR(__xludf.DUMMYFUNCTION("""COMPUTED_VALUE"""),"DAY 2 - Wednesday, 24 June")</f>
        <v>DAY 2 - Wednesday, 24 June</v>
      </c>
      <c r="C812" s="4" t="str">
        <f>IFERROR(__xludf.DUMMYFUNCTION("""COMPUTED_VALUE"""),"")</f>
        <v/>
      </c>
      <c r="D812" s="4" t="str">
        <f>IFERROR(__xludf.DUMMYFUNCTION("""COMPUTED_VALUE"""),"")</f>
        <v/>
      </c>
      <c r="E812" s="4" t="str">
        <f>IFERROR(__xludf.DUMMYFUNCTION("""COMPUTED_VALUE"""),"")</f>
        <v/>
      </c>
      <c r="F812" s="4" t="str">
        <f>IFERROR(__xludf.DUMMYFUNCTION("""COMPUTED_VALUE"""),"")</f>
        <v/>
      </c>
      <c r="G812" s="4" t="str">
        <f>IFERROR(__xludf.DUMMYFUNCTION("""COMPUTED_VALUE"""),"")</f>
        <v/>
      </c>
      <c r="H812" s="4" t="str">
        <f>IFERROR(__xludf.DUMMYFUNCTION("""COMPUTED_VALUE"""),"")</f>
        <v/>
      </c>
      <c r="I812" s="4" t="str">
        <f>IFERROR(__xludf.DUMMYFUNCTION("""COMPUTED_VALUE"""),"")</f>
        <v/>
      </c>
      <c r="J812" s="4" t="str">
        <f>IFERROR(__xludf.DUMMYFUNCTION("""COMPUTED_VALUE"""),"")</f>
        <v/>
      </c>
      <c r="K812" s="4" t="str">
        <f>IFERROR(__xludf.DUMMYFUNCTION("""COMPUTED_VALUE"""),"")</f>
        <v/>
      </c>
      <c r="L812" s="4" t="str">
        <f>IFERROR(__xludf.DUMMYFUNCTION("""COMPUTED_VALUE"""),"")</f>
        <v/>
      </c>
      <c r="M812" s="4" t="str">
        <f>IFERROR(__xludf.DUMMYFUNCTION("""COMPUTED_VALUE"""),"")</f>
        <v/>
      </c>
      <c r="N812" s="4" t="str">
        <f>IFERROR(__xludf.DUMMYFUNCTION("""COMPUTED_VALUE"""),"")</f>
        <v/>
      </c>
      <c r="O812" s="4" t="str">
        <f>IFERROR(__xludf.DUMMYFUNCTION("""COMPUTED_VALUE"""),"")</f>
        <v/>
      </c>
      <c r="P812" s="4" t="str">
        <f>IFERROR(__xludf.DUMMYFUNCTION("""COMPUTED_VALUE"""),"")</f>
        <v/>
      </c>
      <c r="Q812" s="4" t="str">
        <f>IFERROR(__xludf.DUMMYFUNCTION("""COMPUTED_VALUE"""),"")</f>
        <v/>
      </c>
      <c r="R812" s="4" t="str">
        <f>IFERROR(__xludf.DUMMYFUNCTION("""COMPUTED_VALUE"""),"")</f>
        <v/>
      </c>
      <c r="S812" s="4" t="str">
        <f>IFERROR(__xludf.DUMMYFUNCTION("""COMPUTED_VALUE"""),"")</f>
        <v/>
      </c>
      <c r="T812" s="4" t="str">
        <f>IFERROR(__xludf.DUMMYFUNCTION("""COMPUTED_VALUE"""),"")</f>
        <v/>
      </c>
      <c r="U812" s="4" t="str">
        <f>IFERROR(__xludf.DUMMYFUNCTION("""COMPUTED_VALUE"""),"")</f>
        <v/>
      </c>
      <c r="V812" s="4" t="str">
        <f>IFERROR(__xludf.DUMMYFUNCTION("""COMPUTED_VALUE"""),"")</f>
        <v/>
      </c>
      <c r="W812" s="4" t="str">
        <f>IFERROR(__xludf.DUMMYFUNCTION("""COMPUTED_VALUE"""),"")</f>
        <v/>
      </c>
      <c r="X812" s="4" t="str">
        <f>IFERROR(__xludf.DUMMYFUNCTION("""COMPUTED_VALUE"""),"")</f>
        <v/>
      </c>
      <c r="Y812" s="4" t="str">
        <f>IFERROR(__xludf.DUMMYFUNCTION("""COMPUTED_VALUE"""),"")</f>
        <v/>
      </c>
    </row>
    <row r="813">
      <c r="A813" s="4" t="str">
        <f>IFERROR(__xludf.DUMMYFUNCTION("""COMPUTED_VALUE"""),"895 - Channel")</f>
        <v>895 - Channel</v>
      </c>
      <c r="B813" s="4" t="str">
        <f>IFERROR(__xludf.DUMMYFUNCTION("""COMPUTED_VALUE"""),"Channel 3")</f>
        <v>Channel 3</v>
      </c>
      <c r="C813" s="4" t="str">
        <f>IFERROR(__xludf.DUMMYFUNCTION("""COMPUTED_VALUE"""),"Day 2 - 24/06")</f>
        <v>Day 2 - 24/06</v>
      </c>
      <c r="D813" s="6">
        <f>IFERROR(__xludf.DUMMYFUNCTION("""COMPUTED_VALUE"""),0.4166666666666667)</f>
        <v>0.4166666667</v>
      </c>
      <c r="E813" s="6">
        <f>IFERROR(__xludf.DUMMYFUNCTION("""COMPUTED_VALUE"""),0.0010416666666666667)</f>
        <v>0.001041666667</v>
      </c>
      <c r="F813" s="6">
        <f>IFERROR(__xludf.DUMMYFUNCTION("""COMPUTED_VALUE"""),0.41770833333333335)</f>
        <v>0.4177083333</v>
      </c>
      <c r="G813" s="4" t="str">
        <f>IFERROR(__xludf.DUMMYFUNCTION("""COMPUTED_VALUE"""),"")</f>
        <v/>
      </c>
      <c r="H813" s="4" t="str">
        <f>IFERROR(__xludf.DUMMYFUNCTION("""COMPUTED_VALUE"""),"")</f>
        <v/>
      </c>
      <c r="I813" s="4" t="str">
        <f>IFERROR(__xludf.DUMMYFUNCTION("""COMPUTED_VALUE"""),"")</f>
        <v/>
      </c>
      <c r="J813" s="4" t="str">
        <f>IFERROR(__xludf.DUMMYFUNCTION("""COMPUTED_VALUE"""),"Media")</f>
        <v>Media</v>
      </c>
      <c r="K813" s="4" t="str">
        <f>IFERROR(__xludf.DUMMYFUNCTION("""COMPUTED_VALUE"""),"Collision From Home Day Intro")</f>
        <v>Collision From Home Day Intro</v>
      </c>
      <c r="L813" s="4" t="str">
        <f>IFERROR(__xludf.DUMMYFUNCTION("""COMPUTED_VALUE"""),"")</f>
        <v/>
      </c>
      <c r="M813" s="4" t="str">
        <f>IFERROR(__xludf.DUMMYFUNCTION("""COMPUTED_VALUE"""),"Collision From Home Day Intro")</f>
        <v>Collision From Home Day Intro</v>
      </c>
      <c r="N813" s="4" t="str">
        <f>IFERROR(__xludf.DUMMYFUNCTION("""COMPUTED_VALUE"""),"")</f>
        <v/>
      </c>
      <c r="O813" s="4" t="str">
        <f>IFERROR(__xludf.DUMMYFUNCTION("""COMPUTED_VALUE"""),"")</f>
        <v/>
      </c>
      <c r="P813" s="4" t="str">
        <f>IFERROR(__xludf.DUMMYFUNCTION("""COMPUTED_VALUE"""),"")</f>
        <v/>
      </c>
      <c r="Q813" s="4" t="str">
        <f>IFERROR(__xludf.DUMMYFUNCTION("""COMPUTED_VALUE"""),"")</f>
        <v/>
      </c>
      <c r="R813" s="4" t="str">
        <f>IFERROR(__xludf.DUMMYFUNCTION("""COMPUTED_VALUE"""),"")</f>
        <v/>
      </c>
      <c r="S813" s="4" t="str">
        <f>IFERROR(__xludf.DUMMYFUNCTION("""COMPUTED_VALUE"""),"")</f>
        <v/>
      </c>
      <c r="T813" s="4" t="str">
        <f>IFERROR(__xludf.DUMMYFUNCTION("""COMPUTED_VALUE"""),"")</f>
        <v/>
      </c>
      <c r="U813" s="4" t="str">
        <f>IFERROR(__xludf.DUMMYFUNCTION("""COMPUTED_VALUE"""),"")</f>
        <v/>
      </c>
      <c r="V813" s="4" t="str">
        <f>IFERROR(__xludf.DUMMYFUNCTION("""COMPUTED_VALUE"""),"")</f>
        <v/>
      </c>
      <c r="W813" s="4" t="str">
        <f>IFERROR(__xludf.DUMMYFUNCTION("""COMPUTED_VALUE"""),"")</f>
        <v/>
      </c>
      <c r="X813" s="4" t="str">
        <f>IFERROR(__xludf.DUMMYFUNCTION("""COMPUTED_VALUE"""),"")</f>
        <v/>
      </c>
      <c r="Y813" s="4" t="str">
        <f>IFERROR(__xludf.DUMMYFUNCTION("""COMPUTED_VALUE"""),"")</f>
        <v/>
      </c>
    </row>
    <row r="814">
      <c r="A814" s="4" t="str">
        <f>IFERROR(__xludf.DUMMYFUNCTION("""COMPUTED_VALUE"""),"896 - Channel")</f>
        <v>896 - Channel</v>
      </c>
      <c r="B814" s="4" t="str">
        <f>IFERROR(__xludf.DUMMYFUNCTION("""COMPUTED_VALUE"""),"Channel 3")</f>
        <v>Channel 3</v>
      </c>
      <c r="C814" s="4" t="str">
        <f>IFERROR(__xludf.DUMMYFUNCTION("""COMPUTED_VALUE"""),"Day 2 - 24/06")</f>
        <v>Day 2 - 24/06</v>
      </c>
      <c r="D814" s="6">
        <f>IFERROR(__xludf.DUMMYFUNCTION("""COMPUTED_VALUE"""),0.41770833333333335)</f>
        <v>0.4177083333</v>
      </c>
      <c r="E814" s="6">
        <f>IFERROR(__xludf.DUMMYFUNCTION("""COMPUTED_VALUE"""),3.4722222222222224E-4)</f>
        <v>0.0003472222222</v>
      </c>
      <c r="F814" s="6">
        <f>IFERROR(__xludf.DUMMYFUNCTION("""COMPUTED_VALUE"""),0.41805555555555557)</f>
        <v>0.4180555556</v>
      </c>
      <c r="G814" s="4" t="str">
        <f>IFERROR(__xludf.DUMMYFUNCTION("""COMPUTED_VALUE"""),"Graphics")</f>
        <v>Graphics</v>
      </c>
      <c r="H814" s="4" t="str">
        <f>IFERROR(__xludf.DUMMYFUNCTION("""COMPUTED_VALUE"""),"N/A")</f>
        <v>N/A</v>
      </c>
      <c r="I814" s="4" t="str">
        <f>IFERROR(__xludf.DUMMYFUNCTION("""COMPUTED_VALUE"""),"N/A")</f>
        <v>N/A</v>
      </c>
      <c r="J814" s="4" t="str">
        <f>IFERROR(__xludf.DUMMYFUNCTION("""COMPUTED_VALUE"""),"Media")</f>
        <v>Media</v>
      </c>
      <c r="K814" s="4" t="str">
        <f>IFERROR(__xludf.DUMMYFUNCTION("""COMPUTED_VALUE"""),"Talk Intro")</f>
        <v>Talk Intro</v>
      </c>
      <c r="L814" s="4" t="str">
        <f>IFERROR(__xludf.DUMMYFUNCTION("""COMPUTED_VALUE"""),"")</f>
        <v/>
      </c>
      <c r="M814" s="4" t="str">
        <f>IFERROR(__xludf.DUMMYFUNCTION("""COMPUTED_VALUE"""),"Talk Intro")</f>
        <v>Talk Intro</v>
      </c>
      <c r="N814" s="4" t="str">
        <f>IFERROR(__xludf.DUMMYFUNCTION("""COMPUTED_VALUE"""),"")</f>
        <v/>
      </c>
      <c r="O814" s="4" t="str">
        <f>IFERROR(__xludf.DUMMYFUNCTION("""COMPUTED_VALUE"""),"")</f>
        <v/>
      </c>
      <c r="P814" s="4" t="str">
        <f>IFERROR(__xludf.DUMMYFUNCTION("""COMPUTED_VALUE"""),"")</f>
        <v/>
      </c>
      <c r="Q814" s="4" t="str">
        <f>IFERROR(__xludf.DUMMYFUNCTION("""COMPUTED_VALUE"""),"")</f>
        <v/>
      </c>
      <c r="R814" s="4" t="str">
        <f>IFERROR(__xludf.DUMMYFUNCTION("""COMPUTED_VALUE"""),"")</f>
        <v/>
      </c>
      <c r="S814" s="4" t="str">
        <f>IFERROR(__xludf.DUMMYFUNCTION("""COMPUTED_VALUE"""),"")</f>
        <v/>
      </c>
      <c r="T814" s="4" t="str">
        <f>IFERROR(__xludf.DUMMYFUNCTION("""COMPUTED_VALUE"""),"")</f>
        <v/>
      </c>
      <c r="U814" s="4" t="str">
        <f>IFERROR(__xludf.DUMMYFUNCTION("""COMPUTED_VALUE"""),"")</f>
        <v/>
      </c>
      <c r="V814" s="4" t="str">
        <f>IFERROR(__xludf.DUMMYFUNCTION("""COMPUTED_VALUE"""),"")</f>
        <v/>
      </c>
      <c r="W814" s="4" t="str">
        <f>IFERROR(__xludf.DUMMYFUNCTION("""COMPUTED_VALUE"""),"")</f>
        <v/>
      </c>
      <c r="X814" s="4" t="str">
        <f>IFERROR(__xludf.DUMMYFUNCTION("""COMPUTED_VALUE"""),"")</f>
        <v/>
      </c>
      <c r="Y814" s="4" t="str">
        <f>IFERROR(__xludf.DUMMYFUNCTION("""COMPUTED_VALUE"""),"")</f>
        <v/>
      </c>
    </row>
    <row r="815">
      <c r="A815" s="4" t="str">
        <f>IFERROR(__xludf.DUMMYFUNCTION("""COMPUTED_VALUE"""),"897 - Channel")</f>
        <v>897 - Channel</v>
      </c>
      <c r="B815" s="4" t="str">
        <f>IFERROR(__xludf.DUMMYFUNCTION("""COMPUTED_VALUE"""),"Channel 3")</f>
        <v>Channel 3</v>
      </c>
      <c r="C815" s="4" t="str">
        <f>IFERROR(__xludf.DUMMYFUNCTION("""COMPUTED_VALUE"""),"Day 2 - 24/06")</f>
        <v>Day 2 - 24/06</v>
      </c>
      <c r="D815" s="6">
        <f>IFERROR(__xludf.DUMMYFUNCTION("""COMPUTED_VALUE"""),0.41805555555555557)</f>
        <v>0.4180555556</v>
      </c>
      <c r="E815" s="6">
        <f>IFERROR(__xludf.DUMMYFUNCTION("""COMPUTED_VALUE"""),0.009895833333333333)</f>
        <v>0.009895833333</v>
      </c>
      <c r="F815" s="6">
        <f>IFERROR(__xludf.DUMMYFUNCTION("""COMPUTED_VALUE"""),0.4279513888888889)</f>
        <v>0.4279513889</v>
      </c>
      <c r="G815" s="4" t="str">
        <f>IFERROR(__xludf.DUMMYFUNCTION("""COMPUTED_VALUE"""),"Colm")</f>
        <v>Colm</v>
      </c>
      <c r="H815" s="4" t="str">
        <f>IFERROR(__xludf.DUMMYFUNCTION("""COMPUTED_VALUE"""),"Lisa")</f>
        <v>Lisa</v>
      </c>
      <c r="I815" s="4" t="str">
        <f>IFERROR(__xludf.DUMMYFUNCTION("""COMPUTED_VALUE"""),"Lucia H.")</f>
        <v>Lucia H.</v>
      </c>
      <c r="J815" s="4" t="str">
        <f>IFERROR(__xludf.DUMMYFUNCTION("""COMPUTED_VALUE"""),"Media")</f>
        <v>Media</v>
      </c>
      <c r="K815" s="4" t="str">
        <f>IFERROR(__xludf.DUMMYFUNCTION("""COMPUTED_VALUE"""),"Super Fireside")</f>
        <v>Super Fireside</v>
      </c>
      <c r="L815" s="4" t="str">
        <f>IFERROR(__xludf.DUMMYFUNCTION("""COMPUTED_VALUE"""),"T- 2 - 08/06/2020")</f>
        <v>T- 2 - 08/06/2020</v>
      </c>
      <c r="M815" s="4" t="str">
        <f>IFERROR(__xludf.DUMMYFUNCTION("""COMPUTED_VALUE"""),"Music tech that makes you move ")</f>
        <v>Music tech that makes you move </v>
      </c>
      <c r="N815" s="4" t="str">
        <f>IFERROR(__xludf.DUMMYFUNCTION("""COMPUTED_VALUE"""),"Oscar Höglund, Epidemic Sound")</f>
        <v>Oscar Höglund, Epidemic Sound</v>
      </c>
      <c r="O815" s="4" t="str">
        <f>IFERROR(__xludf.DUMMYFUNCTION("""COMPUTED_VALUE"""),"Susan Paley, DropLabs")</f>
        <v>Susan Paley, DropLabs</v>
      </c>
      <c r="P815" s="4" t="str">
        <f>IFERROR(__xludf.DUMMYFUNCTION("""COMPUTED_VALUE"""),"")</f>
        <v/>
      </c>
      <c r="Q815" s="4" t="str">
        <f>IFERROR(__xludf.DUMMYFUNCTION("""COMPUTED_VALUE"""),"")</f>
        <v/>
      </c>
      <c r="R815" s="4" t="str">
        <f>IFERROR(__xludf.DUMMYFUNCTION("""COMPUTED_VALUE"""),"Jennifer Crichton, Restless Magazine")</f>
        <v>Jennifer Crichton, Restless Magazine</v>
      </c>
      <c r="S815" s="4" t="str">
        <f>IFERROR(__xludf.DUMMYFUNCTION("""COMPUTED_VALUE"""),"Hear from two startups in the music industry who are changing the way we consume, create and interact with music. Droplabs and Epidemic Sound are pioneers in both consumer and B2B music tech. In this panel, get their take on what's hot, what's not and wha"&amp;"t's next.")</f>
        <v>Hear from two startups in the music industry who are changing the way we consume, create and interact with music. Droplabs and Epidemic Sound are pioneers in both consumer and B2B music tech. In this panel, get their take on what's hot, what's not and what's next.</v>
      </c>
      <c r="T815" s="4" t="str">
        <f>IFERROR(__xludf.DUMMYFUNCTION("""COMPUTED_VALUE"""),"NON-KEYNOTE 7 - Video to be recorded")</f>
        <v>NON-KEYNOTE 7 - Video to be recorded</v>
      </c>
      <c r="U815" s="23">
        <f>IFERROR(__xludf.DUMMYFUNCTION("""COMPUTED_VALUE"""),43991.0)</f>
        <v>43991</v>
      </c>
      <c r="V815" s="24">
        <f>IFERROR(__xludf.DUMMYFUNCTION("""COMPUTED_VALUE"""),0.75)</f>
        <v>0.75</v>
      </c>
      <c r="W815" s="21" t="str">
        <f>IFERROR(__xludf.DUMMYFUNCTION("""COMPUTED_VALUE"""),"https://us02web.zoom.us/j/81298284915?pwd=SDJvTWI2OXZBK01VT3YwMkNjaVRHQT09")</f>
        <v>https://us02web.zoom.us/j/81298284915?pwd=SDJvTWI2OXZBK01VT3YwMkNjaVRHQT09</v>
      </c>
      <c r="X815" s="4" t="str">
        <f>IFERROR(__xludf.DUMMYFUNCTION("""COMPUTED_VALUE"""),"Colm")</f>
        <v>Colm</v>
      </c>
      <c r="Y815" s="4" t="str">
        <f>IFERROR(__xludf.DUMMYFUNCTION("""COMPUTED_VALUE"""),"")</f>
        <v/>
      </c>
    </row>
    <row r="816">
      <c r="A816" s="4" t="str">
        <f>IFERROR(__xludf.DUMMYFUNCTION("""COMPUTED_VALUE"""),"1015 - Channel")</f>
        <v>1015 - Channel</v>
      </c>
      <c r="B816" s="4" t="str">
        <f>IFERROR(__xludf.DUMMYFUNCTION("""COMPUTED_VALUE"""),"Channel 3")</f>
        <v>Channel 3</v>
      </c>
      <c r="C816" s="4" t="str">
        <f>IFERROR(__xludf.DUMMYFUNCTION("""COMPUTED_VALUE"""),"Day 3 - 25/06")</f>
        <v>Day 3 - 25/06</v>
      </c>
      <c r="D816" s="6">
        <f>IFERROR(__xludf.DUMMYFUNCTION("""COMPUTED_VALUE"""),0.4279513888888889)</f>
        <v>0.4279513889</v>
      </c>
      <c r="E816" s="6">
        <f>IFERROR(__xludf.DUMMYFUNCTION("""COMPUTED_VALUE"""),1.7361111111111112E-4)</f>
        <v>0.0001736111111</v>
      </c>
      <c r="F816" s="6">
        <f>IFERROR(__xludf.DUMMYFUNCTION("""COMPUTED_VALUE"""),0.42812500000000003)</f>
        <v>0.428125</v>
      </c>
      <c r="G816" s="4" t="str">
        <f>IFERROR(__xludf.DUMMYFUNCTION("""COMPUTED_VALUE"""),"P&amp;E")</f>
        <v>P&amp;E</v>
      </c>
      <c r="H816" s="4" t="str">
        <f>IFERROR(__xludf.DUMMYFUNCTION("""COMPUTED_VALUE"""),"N/A")</f>
        <v>N/A</v>
      </c>
      <c r="I816" s="4" t="str">
        <f>IFERROR(__xludf.DUMMYFUNCTION("""COMPUTED_VALUE"""),"N/A")</f>
        <v>N/A</v>
      </c>
      <c r="J816" s="4" t="str">
        <f>IFERROR(__xludf.DUMMYFUNCTION("""COMPUTED_VALUE"""),"Social Media")</f>
        <v>Social Media</v>
      </c>
      <c r="K816" s="4" t="str">
        <f>IFERROR(__xludf.DUMMYFUNCTION("""COMPUTED_VALUE"""),"Partner ad")</f>
        <v>Partner ad</v>
      </c>
      <c r="L816" s="4" t="str">
        <f>IFERROR(__xludf.DUMMYFUNCTION("""COMPUTED_VALUE"""),"")</f>
        <v/>
      </c>
      <c r="M816" s="4" t="str">
        <f>IFERROR(__xludf.DUMMYFUNCTION("""COMPUTED_VALUE"""),"Partner ad - Yext")</f>
        <v>Partner ad - Yext</v>
      </c>
      <c r="N816" s="4" t="str">
        <f>IFERROR(__xludf.DUMMYFUNCTION("""COMPUTED_VALUE"""),"")</f>
        <v/>
      </c>
      <c r="O816" s="4" t="str">
        <f>IFERROR(__xludf.DUMMYFUNCTION("""COMPUTED_VALUE"""),"")</f>
        <v/>
      </c>
      <c r="P816" s="4" t="str">
        <f>IFERROR(__xludf.DUMMYFUNCTION("""COMPUTED_VALUE"""),"")</f>
        <v/>
      </c>
      <c r="Q816" s="4" t="str">
        <f>IFERROR(__xludf.DUMMYFUNCTION("""COMPUTED_VALUE"""),"")</f>
        <v/>
      </c>
      <c r="R816" s="4" t="str">
        <f>IFERROR(__xludf.DUMMYFUNCTION("""COMPUTED_VALUE"""),"")</f>
        <v/>
      </c>
      <c r="S816" s="4" t="str">
        <f>IFERROR(__xludf.DUMMYFUNCTION("""COMPUTED_VALUE"""),"")</f>
        <v/>
      </c>
      <c r="T816" s="4" t="str">
        <f>IFERROR(__xludf.DUMMYFUNCTION("""COMPUTED_VALUE"""),"")</f>
        <v/>
      </c>
      <c r="U816" s="4" t="str">
        <f>IFERROR(__xludf.DUMMYFUNCTION("""COMPUTED_VALUE"""),"")</f>
        <v/>
      </c>
      <c r="V816" s="4" t="str">
        <f>IFERROR(__xludf.DUMMYFUNCTION("""COMPUTED_VALUE"""),"")</f>
        <v/>
      </c>
      <c r="W816" s="4" t="str">
        <f>IFERROR(__xludf.DUMMYFUNCTION("""COMPUTED_VALUE"""),"")</f>
        <v/>
      </c>
      <c r="X816" s="4" t="str">
        <f>IFERROR(__xludf.DUMMYFUNCTION("""COMPUTED_VALUE"""),"")</f>
        <v/>
      </c>
      <c r="Y816" s="4" t="str">
        <f>IFERROR(__xludf.DUMMYFUNCTION("""COMPUTED_VALUE"""),"")</f>
        <v/>
      </c>
    </row>
    <row r="817">
      <c r="A817" s="4" t="str">
        <f>IFERROR(__xludf.DUMMYFUNCTION("""COMPUTED_VALUE"""),"899 - Channel")</f>
        <v>899 - Channel</v>
      </c>
      <c r="B817" s="4" t="str">
        <f>IFERROR(__xludf.DUMMYFUNCTION("""COMPUTED_VALUE"""),"Channel 3")</f>
        <v>Channel 3</v>
      </c>
      <c r="C817" s="4" t="str">
        <f>IFERROR(__xludf.DUMMYFUNCTION("""COMPUTED_VALUE"""),"Day 2 - 24/06")</f>
        <v>Day 2 - 24/06</v>
      </c>
      <c r="D817" s="6">
        <f>IFERROR(__xludf.DUMMYFUNCTION("""COMPUTED_VALUE"""),0.42812500000000003)</f>
        <v>0.428125</v>
      </c>
      <c r="E817" s="6">
        <f>IFERROR(__xludf.DUMMYFUNCTION("""COMPUTED_VALUE"""),2.314814814814815E-4)</f>
        <v>0.0002314814815</v>
      </c>
      <c r="F817" s="6">
        <f>IFERROR(__xludf.DUMMYFUNCTION("""COMPUTED_VALUE"""),0.42835648148148153)</f>
        <v>0.4283564815</v>
      </c>
      <c r="G817" s="4" t="str">
        <f>IFERROR(__xludf.DUMMYFUNCTION("""COMPUTED_VALUE"""),"Graphics")</f>
        <v>Graphics</v>
      </c>
      <c r="H817" s="4" t="str">
        <f>IFERROR(__xludf.DUMMYFUNCTION("""COMPUTED_VALUE"""),"")</f>
        <v/>
      </c>
      <c r="I817" s="4" t="str">
        <f>IFERROR(__xludf.DUMMYFUNCTION("""COMPUTED_VALUE"""),"")</f>
        <v/>
      </c>
      <c r="J817" s="4" t="str">
        <f>IFERROR(__xludf.DUMMYFUNCTION("""COMPUTED_VALUE"""),"Media")</f>
        <v>Media</v>
      </c>
      <c r="K817" s="4" t="str">
        <f>IFERROR(__xludf.DUMMYFUNCTION("""COMPUTED_VALUE"""),"Talk Intro")</f>
        <v>Talk Intro</v>
      </c>
      <c r="L817" s="4" t="str">
        <f>IFERROR(__xludf.DUMMYFUNCTION("""COMPUTED_VALUE"""),"")</f>
        <v/>
      </c>
      <c r="M817" s="4" t="str">
        <f>IFERROR(__xludf.DUMMYFUNCTION("""COMPUTED_VALUE"""),"Talk Intro")</f>
        <v>Talk Intro</v>
      </c>
      <c r="N817" s="4" t="str">
        <f>IFERROR(__xludf.DUMMYFUNCTION("""COMPUTED_VALUE"""),"")</f>
        <v/>
      </c>
      <c r="O817" s="4" t="str">
        <f>IFERROR(__xludf.DUMMYFUNCTION("""COMPUTED_VALUE"""),"")</f>
        <v/>
      </c>
      <c r="P817" s="4" t="str">
        <f>IFERROR(__xludf.DUMMYFUNCTION("""COMPUTED_VALUE"""),"")</f>
        <v/>
      </c>
      <c r="Q817" s="4" t="str">
        <f>IFERROR(__xludf.DUMMYFUNCTION("""COMPUTED_VALUE"""),"")</f>
        <v/>
      </c>
      <c r="R817" s="4" t="str">
        <f>IFERROR(__xludf.DUMMYFUNCTION("""COMPUTED_VALUE"""),"")</f>
        <v/>
      </c>
      <c r="S817" s="4" t="str">
        <f>IFERROR(__xludf.DUMMYFUNCTION("""COMPUTED_VALUE"""),"")</f>
        <v/>
      </c>
      <c r="T817" s="4" t="str">
        <f>IFERROR(__xludf.DUMMYFUNCTION("""COMPUTED_VALUE"""),"")</f>
        <v/>
      </c>
      <c r="U817" s="4" t="str">
        <f>IFERROR(__xludf.DUMMYFUNCTION("""COMPUTED_VALUE"""),"")</f>
        <v/>
      </c>
      <c r="V817" s="4" t="str">
        <f>IFERROR(__xludf.DUMMYFUNCTION("""COMPUTED_VALUE"""),"")</f>
        <v/>
      </c>
      <c r="W817" s="4" t="str">
        <f>IFERROR(__xludf.DUMMYFUNCTION("""COMPUTED_VALUE"""),"")</f>
        <v/>
      </c>
      <c r="X817" s="4" t="str">
        <f>IFERROR(__xludf.DUMMYFUNCTION("""COMPUTED_VALUE"""),"")</f>
        <v/>
      </c>
      <c r="Y817" s="4" t="str">
        <f>IFERROR(__xludf.DUMMYFUNCTION("""COMPUTED_VALUE"""),"")</f>
        <v/>
      </c>
    </row>
    <row r="818">
      <c r="A818" s="4" t="str">
        <f>IFERROR(__xludf.DUMMYFUNCTION("""COMPUTED_VALUE"""),"900 - Channel")</f>
        <v>900 - Channel</v>
      </c>
      <c r="B818" s="4" t="str">
        <f>IFERROR(__xludf.DUMMYFUNCTION("""COMPUTED_VALUE"""),"Channel 3")</f>
        <v>Channel 3</v>
      </c>
      <c r="C818" s="4" t="str">
        <f>IFERROR(__xludf.DUMMYFUNCTION("""COMPUTED_VALUE"""),"Day 2 - 24/06")</f>
        <v>Day 2 - 24/06</v>
      </c>
      <c r="D818" s="6">
        <f>IFERROR(__xludf.DUMMYFUNCTION("""COMPUTED_VALUE"""),0.42835648148148153)</f>
        <v>0.4283564815</v>
      </c>
      <c r="E818" s="6">
        <f>IFERROR(__xludf.DUMMYFUNCTION("""COMPUTED_VALUE"""),0.013888888888888888)</f>
        <v>0.01388888889</v>
      </c>
      <c r="F818" s="6">
        <f>IFERROR(__xludf.DUMMYFUNCTION("""COMPUTED_VALUE"""),0.4422453703703704)</f>
        <v>0.4422453704</v>
      </c>
      <c r="G818" s="4" t="str">
        <f>IFERROR(__xludf.DUMMYFUNCTION("""COMPUTED_VALUE"""),"Brian")</f>
        <v>Brian</v>
      </c>
      <c r="H818" s="4" t="str">
        <f>IFERROR(__xludf.DUMMYFUNCTION("""COMPUTED_VALUE"""),"Lisa")</f>
        <v>Lisa</v>
      </c>
      <c r="I818" s="4" t="str">
        <f>IFERROR(__xludf.DUMMYFUNCTION("""COMPUTED_VALUE"""),"Manon")</f>
        <v>Manon</v>
      </c>
      <c r="J818" s="4" t="str">
        <f>IFERROR(__xludf.DUMMYFUNCTION("""COMPUTED_VALUE"""),"Media")</f>
        <v>Media</v>
      </c>
      <c r="K818" s="4" t="str">
        <f>IFERROR(__xludf.DUMMYFUNCTION("""COMPUTED_VALUE"""),"Fireside")</f>
        <v>Fireside</v>
      </c>
      <c r="L818" s="4" t="str">
        <f>IFERROR(__xludf.DUMMYFUNCTION("""COMPUTED_VALUE"""),"T- 2 - 08/06/2020")</f>
        <v>T- 2 - 08/06/2020</v>
      </c>
      <c r="M818" s="4" t="str">
        <f>IFERROR(__xludf.DUMMYFUNCTION("""COMPUTED_VALUE"""),"Accuracy in the new age of information")</f>
        <v>Accuracy in the new age of information</v>
      </c>
      <c r="N818" s="4" t="str">
        <f>IFERROR(__xludf.DUMMYFUNCTION("""COMPUTED_VALUE"""),"Neal Mohan, YouTube")</f>
        <v>Neal Mohan, YouTube</v>
      </c>
      <c r="O818" s="4" t="str">
        <f>IFERROR(__xludf.DUMMYFUNCTION("""COMPUTED_VALUE"""),"")</f>
        <v/>
      </c>
      <c r="P818" s="4" t="str">
        <f>IFERROR(__xludf.DUMMYFUNCTION("""COMPUTED_VALUE"""),"")</f>
        <v/>
      </c>
      <c r="Q818" s="4" t="str">
        <f>IFERROR(__xludf.DUMMYFUNCTION("""COMPUTED_VALUE"""),"")</f>
        <v/>
      </c>
      <c r="R818" s="4" t="str">
        <f>IFERROR(__xludf.DUMMYFUNCTION("""COMPUTED_VALUE"""),"Dylan Byers, NBC News")</f>
        <v>Dylan Byers, NBC News</v>
      </c>
      <c r="S818" s="4" t="str">
        <f>IFERROR(__xludf.DUMMYFUNCTION("""COMPUTED_VALUE"""),"In a world of disinformation, YouTube is looking to combat fake news to keep people better informed.")</f>
        <v>In a world of disinformation, YouTube is looking to combat fake news to keep people better informed.</v>
      </c>
      <c r="T818" s="4" t="str">
        <f>IFERROR(__xludf.DUMMYFUNCTION("""COMPUTED_VALUE"""),"Recording MISSED/NEEDS TO BE RERECORDED/RESCHEDULED")</f>
        <v>Recording MISSED/NEEDS TO BE RERECORDED/RESCHEDULED</v>
      </c>
      <c r="U818" s="23">
        <f>IFERROR(__xludf.DUMMYFUNCTION("""COMPUTED_VALUE"""),43994.0)</f>
        <v>43994</v>
      </c>
      <c r="V818" s="24">
        <f>IFERROR(__xludf.DUMMYFUNCTION("""COMPUTED_VALUE"""),0.7222222222222222)</f>
        <v>0.7222222222</v>
      </c>
      <c r="W818" s="21" t="str">
        <f>IFERROR(__xludf.DUMMYFUNCTION("""COMPUTED_VALUE"""),"https://us04web.zoom.us/j/73850344224?pwd=RkROM1JEVTNIVWNQU20vZ1pFOWRhUT09")</f>
        <v>https://us04web.zoom.us/j/73850344224?pwd=RkROM1JEVTNIVWNQU20vZ1pFOWRhUT09</v>
      </c>
      <c r="X818" s="4" t="str">
        <f>IFERROR(__xludf.DUMMYFUNCTION("""COMPUTED_VALUE"""),"Brian")</f>
        <v>Brian</v>
      </c>
      <c r="Y818" s="4" t="str">
        <f>IFERROR(__xludf.DUMMYFUNCTION("""COMPUTED_VALUE"""),"")</f>
        <v/>
      </c>
    </row>
    <row r="819">
      <c r="A819" s="4" t="str">
        <f>IFERROR(__xludf.DUMMYFUNCTION("""COMPUTED_VALUE"""),"1558 - Channel")</f>
        <v>1558 - Channel</v>
      </c>
      <c r="B819" s="4" t="str">
        <f>IFERROR(__xludf.DUMMYFUNCTION("""COMPUTED_VALUE"""),"Channel 3")</f>
        <v>Channel 3</v>
      </c>
      <c r="C819" s="4" t="str">
        <f>IFERROR(__xludf.DUMMYFUNCTION("""COMPUTED_VALUE"""),"Day 2 - 24/06")</f>
        <v>Day 2 - 24/06</v>
      </c>
      <c r="D819" s="6">
        <f>IFERROR(__xludf.DUMMYFUNCTION("""COMPUTED_VALUE"""),0.4422453703703704)</f>
        <v>0.4422453704</v>
      </c>
      <c r="E819" s="6">
        <f>IFERROR(__xludf.DUMMYFUNCTION("""COMPUTED_VALUE"""),6.944444444444445E-4)</f>
        <v>0.0006944444444</v>
      </c>
      <c r="F819" s="6">
        <f>IFERROR(__xludf.DUMMYFUNCTION("""COMPUTED_VALUE"""),0.44293981481481487)</f>
        <v>0.4429398148</v>
      </c>
      <c r="G819" s="4" t="str">
        <f>IFERROR(__xludf.DUMMYFUNCTION("""COMPUTED_VALUE"""),"Graphics")</f>
        <v>Graphics</v>
      </c>
      <c r="H819" s="4" t="str">
        <f>IFERROR(__xludf.DUMMYFUNCTION("""COMPUTED_VALUE"""),"")</f>
        <v/>
      </c>
      <c r="I819" s="4" t="str">
        <f>IFERROR(__xludf.DUMMYFUNCTION("""COMPUTED_VALUE"""),"")</f>
        <v/>
      </c>
      <c r="J819" s="4" t="str">
        <f>IFERROR(__xludf.DUMMYFUNCTION("""COMPUTED_VALUE"""),"Media")</f>
        <v>Media</v>
      </c>
      <c r="K819" s="4" t="str">
        <f>IFERROR(__xludf.DUMMYFUNCTION("""COMPUTED_VALUE"""),"Web Summit Trailer - full")</f>
        <v>Web Summit Trailer - full</v>
      </c>
      <c r="L819" s="4" t="str">
        <f>IFERROR(__xludf.DUMMYFUNCTION("""COMPUTED_VALUE"""),"")</f>
        <v/>
      </c>
      <c r="M819" s="4" t="str">
        <f>IFERROR(__xludf.DUMMYFUNCTION("""COMPUTED_VALUE"""),"Web Summit Trailer - full")</f>
        <v>Web Summit Trailer - full</v>
      </c>
      <c r="N819" s="4" t="str">
        <f>IFERROR(__xludf.DUMMYFUNCTION("""COMPUTED_VALUE"""),"")</f>
        <v/>
      </c>
      <c r="O819" s="4" t="str">
        <f>IFERROR(__xludf.DUMMYFUNCTION("""COMPUTED_VALUE"""),"")</f>
        <v/>
      </c>
      <c r="P819" s="4" t="str">
        <f>IFERROR(__xludf.DUMMYFUNCTION("""COMPUTED_VALUE"""),"")</f>
        <v/>
      </c>
      <c r="Q819" s="4" t="str">
        <f>IFERROR(__xludf.DUMMYFUNCTION("""COMPUTED_VALUE"""),"")</f>
        <v/>
      </c>
      <c r="R819" s="4" t="str">
        <f>IFERROR(__xludf.DUMMYFUNCTION("""COMPUTED_VALUE"""),"")</f>
        <v/>
      </c>
      <c r="S819" s="4" t="str">
        <f>IFERROR(__xludf.DUMMYFUNCTION("""COMPUTED_VALUE"""),"")</f>
        <v/>
      </c>
      <c r="T819" s="4" t="str">
        <f>IFERROR(__xludf.DUMMYFUNCTION("""COMPUTED_VALUE"""),"")</f>
        <v/>
      </c>
      <c r="U819" s="4" t="str">
        <f>IFERROR(__xludf.DUMMYFUNCTION("""COMPUTED_VALUE"""),"")</f>
        <v/>
      </c>
      <c r="V819" s="4" t="str">
        <f>IFERROR(__xludf.DUMMYFUNCTION("""COMPUTED_VALUE"""),"")</f>
        <v/>
      </c>
      <c r="W819" s="4" t="str">
        <f>IFERROR(__xludf.DUMMYFUNCTION("""COMPUTED_VALUE"""),"")</f>
        <v/>
      </c>
      <c r="X819" s="4" t="str">
        <f>IFERROR(__xludf.DUMMYFUNCTION("""COMPUTED_VALUE"""),"")</f>
        <v/>
      </c>
      <c r="Y819" s="4" t="str">
        <f>IFERROR(__xludf.DUMMYFUNCTION("""COMPUTED_VALUE"""),"")</f>
        <v/>
      </c>
    </row>
    <row r="820">
      <c r="A820" s="4" t="str">
        <f>IFERROR(__xludf.DUMMYFUNCTION("""COMPUTED_VALUE"""),"906 - Channel")</f>
        <v>906 - Channel</v>
      </c>
      <c r="B820" s="4" t="str">
        <f>IFERROR(__xludf.DUMMYFUNCTION("""COMPUTED_VALUE"""),"Channel 3")</f>
        <v>Channel 3</v>
      </c>
      <c r="C820" s="4" t="str">
        <f>IFERROR(__xludf.DUMMYFUNCTION("""COMPUTED_VALUE"""),"Day 2 - 24/06")</f>
        <v>Day 2 - 24/06</v>
      </c>
      <c r="D820" s="6">
        <f>IFERROR(__xludf.DUMMYFUNCTION("""COMPUTED_VALUE"""),0.44293981481481487)</f>
        <v>0.4429398148</v>
      </c>
      <c r="E820" s="6">
        <f>IFERROR(__xludf.DUMMYFUNCTION("""COMPUTED_VALUE"""),1.6203703703703703E-4)</f>
        <v>0.000162037037</v>
      </c>
      <c r="F820" s="6">
        <f>IFERROR(__xludf.DUMMYFUNCTION("""COMPUTED_VALUE"""),0.4431018518518519)</f>
        <v>0.4431018519</v>
      </c>
      <c r="G820" s="4" t="str">
        <f>IFERROR(__xludf.DUMMYFUNCTION("""COMPUTED_VALUE"""),"Startups")</f>
        <v>Startups</v>
      </c>
      <c r="H820" s="4" t="str">
        <f>IFERROR(__xludf.DUMMYFUNCTION("""COMPUTED_VALUE"""),"N/A")</f>
        <v>N/A</v>
      </c>
      <c r="I820" s="4" t="str">
        <f>IFERROR(__xludf.DUMMYFUNCTION("""COMPUTED_VALUE"""),"N/A")</f>
        <v>N/A</v>
      </c>
      <c r="J820" s="4" t="str">
        <f>IFERROR(__xludf.DUMMYFUNCTION("""COMPUTED_VALUE"""),"Media")</f>
        <v>Media</v>
      </c>
      <c r="K820" s="4" t="str">
        <f>IFERROR(__xludf.DUMMYFUNCTION("""COMPUTED_VALUE"""),"40 Words")</f>
        <v>40 Words</v>
      </c>
      <c r="L820" s="4" t="str">
        <f>IFERROR(__xludf.DUMMYFUNCTION("""COMPUTED_VALUE"""),"")</f>
        <v/>
      </c>
      <c r="M820" s="4" t="str">
        <f>IFERROR(__xludf.DUMMYFUNCTION("""COMPUTED_VALUE"""),"40 Words #16_Sizle")</f>
        <v>40 Words #16_Sizle</v>
      </c>
      <c r="N820" s="4" t="str">
        <f>IFERROR(__xludf.DUMMYFUNCTION("""COMPUTED_VALUE"""),"")</f>
        <v/>
      </c>
      <c r="O820" s="4" t="str">
        <f>IFERROR(__xludf.DUMMYFUNCTION("""COMPUTED_VALUE"""),"")</f>
        <v/>
      </c>
      <c r="P820" s="4" t="str">
        <f>IFERROR(__xludf.DUMMYFUNCTION("""COMPUTED_VALUE"""),"")</f>
        <v/>
      </c>
      <c r="Q820" s="4" t="str">
        <f>IFERROR(__xludf.DUMMYFUNCTION("""COMPUTED_VALUE"""),"")</f>
        <v/>
      </c>
      <c r="R820" s="4" t="str">
        <f>IFERROR(__xludf.DUMMYFUNCTION("""COMPUTED_VALUE"""),"")</f>
        <v/>
      </c>
      <c r="S820" s="4" t="str">
        <f>IFERROR(__xludf.DUMMYFUNCTION("""COMPUTED_VALUE"""),"")</f>
        <v/>
      </c>
      <c r="T820" s="4" t="str">
        <f>IFERROR(__xludf.DUMMYFUNCTION("""COMPUTED_VALUE"""),"")</f>
        <v/>
      </c>
      <c r="U820" s="4" t="str">
        <f>IFERROR(__xludf.DUMMYFUNCTION("""COMPUTED_VALUE"""),"")</f>
        <v/>
      </c>
      <c r="V820" s="4" t="str">
        <f>IFERROR(__xludf.DUMMYFUNCTION("""COMPUTED_VALUE"""),"")</f>
        <v/>
      </c>
      <c r="W820" s="4" t="str">
        <f>IFERROR(__xludf.DUMMYFUNCTION("""COMPUTED_VALUE"""),"")</f>
        <v/>
      </c>
      <c r="X820" s="4" t="str">
        <f>IFERROR(__xludf.DUMMYFUNCTION("""COMPUTED_VALUE"""),"")</f>
        <v/>
      </c>
      <c r="Y820" s="4" t="str">
        <f>IFERROR(__xludf.DUMMYFUNCTION("""COMPUTED_VALUE"""),"")</f>
        <v/>
      </c>
    </row>
    <row r="821">
      <c r="A821" s="4" t="str">
        <f>IFERROR(__xludf.DUMMYFUNCTION("""COMPUTED_VALUE"""),"902 - Channel")</f>
        <v>902 - Channel</v>
      </c>
      <c r="B821" s="4" t="str">
        <f>IFERROR(__xludf.DUMMYFUNCTION("""COMPUTED_VALUE"""),"Channel 3")</f>
        <v>Channel 3</v>
      </c>
      <c r="C821" s="4" t="str">
        <f>IFERROR(__xludf.DUMMYFUNCTION("""COMPUTED_VALUE"""),"Day 2 - 24/06")</f>
        <v>Day 2 - 24/06</v>
      </c>
      <c r="D821" s="6">
        <f>IFERROR(__xludf.DUMMYFUNCTION("""COMPUTED_VALUE"""),0.4431018518518519)</f>
        <v>0.4431018519</v>
      </c>
      <c r="E821" s="6">
        <f>IFERROR(__xludf.DUMMYFUNCTION("""COMPUTED_VALUE"""),3.4722222222222224E-4)</f>
        <v>0.0003472222222</v>
      </c>
      <c r="F821" s="6">
        <f>IFERROR(__xludf.DUMMYFUNCTION("""COMPUTED_VALUE"""),0.44344907407407413)</f>
        <v>0.4434490741</v>
      </c>
      <c r="G821" s="4" t="str">
        <f>IFERROR(__xludf.DUMMYFUNCTION("""COMPUTED_VALUE"""),"Graphics")</f>
        <v>Graphics</v>
      </c>
      <c r="H821" s="4" t="str">
        <f>IFERROR(__xludf.DUMMYFUNCTION("""COMPUTED_VALUE"""),"N/A")</f>
        <v>N/A</v>
      </c>
      <c r="I821" s="4" t="str">
        <f>IFERROR(__xludf.DUMMYFUNCTION("""COMPUTED_VALUE"""),"N/A")</f>
        <v>N/A</v>
      </c>
      <c r="J821" s="4" t="str">
        <f>IFERROR(__xludf.DUMMYFUNCTION("""COMPUTED_VALUE"""),"Media")</f>
        <v>Media</v>
      </c>
      <c r="K821" s="4" t="str">
        <f>IFERROR(__xludf.DUMMYFUNCTION("""COMPUTED_VALUE"""),"Speaker Intro Video")</f>
        <v>Speaker Intro Video</v>
      </c>
      <c r="L821" s="4" t="str">
        <f>IFERROR(__xludf.DUMMYFUNCTION("""COMPUTED_VALUE"""),"")</f>
        <v/>
      </c>
      <c r="M821" s="4" t="str">
        <f>IFERROR(__xludf.DUMMYFUNCTION("""COMPUTED_VALUE"""),"Speaker intro")</f>
        <v>Speaker intro</v>
      </c>
      <c r="N821" s="4" t="str">
        <f>IFERROR(__xludf.DUMMYFUNCTION("""COMPUTED_VALUE"""),"")</f>
        <v/>
      </c>
      <c r="O821" s="4" t="str">
        <f>IFERROR(__xludf.DUMMYFUNCTION("""COMPUTED_VALUE"""),"")</f>
        <v/>
      </c>
      <c r="P821" s="4" t="str">
        <f>IFERROR(__xludf.DUMMYFUNCTION("""COMPUTED_VALUE"""),"")</f>
        <v/>
      </c>
      <c r="Q821" s="4" t="str">
        <f>IFERROR(__xludf.DUMMYFUNCTION("""COMPUTED_VALUE"""),"")</f>
        <v/>
      </c>
      <c r="R821" s="4" t="str">
        <f>IFERROR(__xludf.DUMMYFUNCTION("""COMPUTED_VALUE"""),"")</f>
        <v/>
      </c>
      <c r="S821" s="4" t="str">
        <f>IFERROR(__xludf.DUMMYFUNCTION("""COMPUTED_VALUE"""),"")</f>
        <v/>
      </c>
      <c r="T821" s="4" t="str">
        <f>IFERROR(__xludf.DUMMYFUNCTION("""COMPUTED_VALUE"""),"")</f>
        <v/>
      </c>
      <c r="U821" s="4" t="str">
        <f>IFERROR(__xludf.DUMMYFUNCTION("""COMPUTED_VALUE"""),"")</f>
        <v/>
      </c>
      <c r="V821" s="4" t="str">
        <f>IFERROR(__xludf.DUMMYFUNCTION("""COMPUTED_VALUE"""),"")</f>
        <v/>
      </c>
      <c r="W821" s="4" t="str">
        <f>IFERROR(__xludf.DUMMYFUNCTION("""COMPUTED_VALUE"""),"")</f>
        <v/>
      </c>
      <c r="X821" s="4" t="str">
        <f>IFERROR(__xludf.DUMMYFUNCTION("""COMPUTED_VALUE"""),"")</f>
        <v/>
      </c>
      <c r="Y821" s="4" t="str">
        <f>IFERROR(__xludf.DUMMYFUNCTION("""COMPUTED_VALUE"""),"")</f>
        <v/>
      </c>
    </row>
    <row r="822">
      <c r="A822" s="4" t="str">
        <f>IFERROR(__xludf.DUMMYFUNCTION("""COMPUTED_VALUE"""),"1108 - Channel")</f>
        <v>1108 - Channel</v>
      </c>
      <c r="B822" s="4" t="str">
        <f>IFERROR(__xludf.DUMMYFUNCTION("""COMPUTED_VALUE"""),"Channel 3")</f>
        <v>Channel 3</v>
      </c>
      <c r="C822" s="4" t="str">
        <f>IFERROR(__xludf.DUMMYFUNCTION("""COMPUTED_VALUE"""),"Day 2 - 24/06")</f>
        <v>Day 2 - 24/06</v>
      </c>
      <c r="D822" s="6">
        <f>IFERROR(__xludf.DUMMYFUNCTION("""COMPUTED_VALUE"""),0.44344907407407413)</f>
        <v>0.4434490741</v>
      </c>
      <c r="E822" s="6">
        <f>IFERROR(__xludf.DUMMYFUNCTION("""COMPUTED_VALUE"""),2.314814814814815E-4)</f>
        <v>0.0002314814815</v>
      </c>
      <c r="F822" s="6">
        <f>IFERROR(__xludf.DUMMYFUNCTION("""COMPUTED_VALUE"""),0.44368055555555563)</f>
        <v>0.4436805556</v>
      </c>
      <c r="G822" s="4" t="str">
        <f>IFERROR(__xludf.DUMMYFUNCTION("""COMPUTED_VALUE"""),"Graphics")</f>
        <v>Graphics</v>
      </c>
      <c r="H822" s="4" t="str">
        <f>IFERROR(__xludf.DUMMYFUNCTION("""COMPUTED_VALUE"""),"N/A")</f>
        <v>N/A</v>
      </c>
      <c r="I822" s="4" t="str">
        <f>IFERROR(__xludf.DUMMYFUNCTION("""COMPUTED_VALUE"""),"N/A")</f>
        <v>N/A</v>
      </c>
      <c r="J822" s="4" t="str">
        <f>IFERROR(__xludf.DUMMYFUNCTION("""COMPUTED_VALUE"""),"Mobility")</f>
        <v>Mobility</v>
      </c>
      <c r="K822" s="4" t="str">
        <f>IFERROR(__xludf.DUMMYFUNCTION("""COMPUTED_VALUE"""),"Talk Intro")</f>
        <v>Talk Intro</v>
      </c>
      <c r="L822" s="4" t="str">
        <f>IFERROR(__xludf.DUMMYFUNCTION("""COMPUTED_VALUE"""),"")</f>
        <v/>
      </c>
      <c r="M822" s="4" t="str">
        <f>IFERROR(__xludf.DUMMYFUNCTION("""COMPUTED_VALUE"""),"Talk Intro")</f>
        <v>Talk Intro</v>
      </c>
      <c r="N822" s="4" t="str">
        <f>IFERROR(__xludf.DUMMYFUNCTION("""COMPUTED_VALUE"""),"")</f>
        <v/>
      </c>
      <c r="O822" s="4" t="str">
        <f>IFERROR(__xludf.DUMMYFUNCTION("""COMPUTED_VALUE"""),"")</f>
        <v/>
      </c>
      <c r="P822" s="4" t="str">
        <f>IFERROR(__xludf.DUMMYFUNCTION("""COMPUTED_VALUE"""),"")</f>
        <v/>
      </c>
      <c r="Q822" s="4" t="str">
        <f>IFERROR(__xludf.DUMMYFUNCTION("""COMPUTED_VALUE"""),"")</f>
        <v/>
      </c>
      <c r="R822" s="4" t="str">
        <f>IFERROR(__xludf.DUMMYFUNCTION("""COMPUTED_VALUE"""),"")</f>
        <v/>
      </c>
      <c r="S822" s="4" t="str">
        <f>IFERROR(__xludf.DUMMYFUNCTION("""COMPUTED_VALUE"""),"")</f>
        <v/>
      </c>
      <c r="T822" s="4" t="str">
        <f>IFERROR(__xludf.DUMMYFUNCTION("""COMPUTED_VALUE"""),"")</f>
        <v/>
      </c>
      <c r="U822" s="4" t="str">
        <f>IFERROR(__xludf.DUMMYFUNCTION("""COMPUTED_VALUE"""),"")</f>
        <v/>
      </c>
      <c r="V822" s="4" t="str">
        <f>IFERROR(__xludf.DUMMYFUNCTION("""COMPUTED_VALUE"""),"")</f>
        <v/>
      </c>
      <c r="W822" s="4" t="str">
        <f>IFERROR(__xludf.DUMMYFUNCTION("""COMPUTED_VALUE"""),"")</f>
        <v/>
      </c>
      <c r="X822" s="4" t="str">
        <f>IFERROR(__xludf.DUMMYFUNCTION("""COMPUTED_VALUE"""),"")</f>
        <v/>
      </c>
      <c r="Y822" s="4" t="str">
        <f>IFERROR(__xludf.DUMMYFUNCTION("""COMPUTED_VALUE"""),"")</f>
        <v/>
      </c>
    </row>
    <row r="823">
      <c r="A823" s="4" t="str">
        <f>IFERROR(__xludf.DUMMYFUNCTION("""COMPUTED_VALUE"""),"1109 - Channel")</f>
        <v>1109 - Channel</v>
      </c>
      <c r="B823" s="4" t="str">
        <f>IFERROR(__xludf.DUMMYFUNCTION("""COMPUTED_VALUE"""),"Channel 3")</f>
        <v>Channel 3</v>
      </c>
      <c r="C823" s="4" t="str">
        <f>IFERROR(__xludf.DUMMYFUNCTION("""COMPUTED_VALUE"""),"Day 2 - 24/06")</f>
        <v>Day 2 - 24/06</v>
      </c>
      <c r="D823" s="6">
        <f>IFERROR(__xludf.DUMMYFUNCTION("""COMPUTED_VALUE"""),0.44368055555555563)</f>
        <v>0.4436805556</v>
      </c>
      <c r="E823" s="6">
        <f>IFERROR(__xludf.DUMMYFUNCTION("""COMPUTED_VALUE"""),0.013888888888888888)</f>
        <v>0.01388888889</v>
      </c>
      <c r="F823" s="6">
        <f>IFERROR(__xludf.DUMMYFUNCTION("""COMPUTED_VALUE"""),0.45756944444444453)</f>
        <v>0.4575694444</v>
      </c>
      <c r="G823" s="4" t="str">
        <f>IFERROR(__xludf.DUMMYFUNCTION("""COMPUTED_VALUE"""),"Hugh")</f>
        <v>Hugh</v>
      </c>
      <c r="H823" s="4" t="str">
        <f>IFERROR(__xludf.DUMMYFUNCTION("""COMPUTED_VALUE"""),"Stephen")</f>
        <v>Stephen</v>
      </c>
      <c r="I823" s="4" t="str">
        <f>IFERROR(__xludf.DUMMYFUNCTION("""COMPUTED_VALUE"""),"Eabha")</f>
        <v>Eabha</v>
      </c>
      <c r="J823" s="4" t="str">
        <f>IFERROR(__xludf.DUMMYFUNCTION("""COMPUTED_VALUE"""),"Mobility")</f>
        <v>Mobility</v>
      </c>
      <c r="K823" s="4" t="str">
        <f>IFERROR(__xludf.DUMMYFUNCTION("""COMPUTED_VALUE"""),"Fireside")</f>
        <v>Fireside</v>
      </c>
      <c r="L823" s="4" t="str">
        <f>IFERROR(__xludf.DUMMYFUNCTION("""COMPUTED_VALUE"""),"T- 2 - 08/06/2020")</f>
        <v>T- 2 - 08/06/2020</v>
      </c>
      <c r="M823" s="4" t="str">
        <f>IFERROR(__xludf.DUMMYFUNCTION("""COMPUTED_VALUE"""),"Life in the Paris lane")</f>
        <v>Life in the Paris lane</v>
      </c>
      <c r="N823" s="4" t="str">
        <f>IFERROR(__xludf.DUMMYFUNCTION("""COMPUTED_VALUE"""),"Paris Hilton, Paris Hilton")</f>
        <v>Paris Hilton, Paris Hilton</v>
      </c>
      <c r="O823" s="4" t="str">
        <f>IFERROR(__xludf.DUMMYFUNCTION("""COMPUTED_VALUE"""),"")</f>
        <v/>
      </c>
      <c r="P823" s="4" t="str">
        <f>IFERROR(__xludf.DUMMYFUNCTION("""COMPUTED_VALUE"""),"")</f>
        <v/>
      </c>
      <c r="Q823" s="4" t="str">
        <f>IFERROR(__xludf.DUMMYFUNCTION("""COMPUTED_VALUE"""),"")</f>
        <v/>
      </c>
      <c r="R823" s="4" t="str">
        <f>IFERROR(__xludf.DUMMYFUNCTION("""COMPUTED_VALUE"""),"Zack O'Malley Greenburg, Forbes")</f>
        <v>Zack O'Malley Greenburg, Forbes</v>
      </c>
      <c r="S823" s="4" t="str">
        <f>IFERROR(__xludf.DUMMYFUNCTION("""COMPUTED_VALUE"""),"Investor, reality star and heiress Paris Hilton talks about her life, career and plans for the future.")</f>
        <v>Investor, reality star and heiress Paris Hilton talks about her life, career and plans for the future.</v>
      </c>
      <c r="T823" s="4" t="str">
        <f>IFERROR(__xludf.DUMMYFUNCTION("""COMPUTED_VALUE"""),"Recording MISSED/NEEDS TO BE RERECORDED/RESCHEDULED")</f>
        <v>Recording MISSED/NEEDS TO BE RERECORDED/RESCHEDULED</v>
      </c>
      <c r="U823" s="23">
        <f>IFERROR(__xludf.DUMMYFUNCTION("""COMPUTED_VALUE"""),43992.0)</f>
        <v>43992</v>
      </c>
      <c r="V823" s="24">
        <f>IFERROR(__xludf.DUMMYFUNCTION("""COMPUTED_VALUE"""),0.9375)</f>
        <v>0.9375</v>
      </c>
      <c r="W823" s="21" t="str">
        <f>IFERROR(__xludf.DUMMYFUNCTION("""COMPUTED_VALUE"""),"https://zoom.us/j/99160157734?pwd=WVMwTmp5STN6U2xhMmN6K2tldklWdz09")</f>
        <v>https://zoom.us/j/99160157734?pwd=WVMwTmp5STN6U2xhMmN6K2tldklWdz09</v>
      </c>
      <c r="X823" s="4" t="str">
        <f>IFERROR(__xludf.DUMMYFUNCTION("""COMPUTED_VALUE"""),"Hugh")</f>
        <v>Hugh</v>
      </c>
      <c r="Y823" s="4" t="str">
        <f>IFERROR(__xludf.DUMMYFUNCTION("""COMPUTED_VALUE"""),"")</f>
        <v/>
      </c>
    </row>
    <row r="824">
      <c r="A824" s="4" t="str">
        <f>IFERROR(__xludf.DUMMYFUNCTION("""COMPUTED_VALUE"""),"1347 - Channel")</f>
        <v>1347 - Channel</v>
      </c>
      <c r="B824" s="4" t="str">
        <f>IFERROR(__xludf.DUMMYFUNCTION("""COMPUTED_VALUE"""),"Channel 3")</f>
        <v>Channel 3</v>
      </c>
      <c r="C824" s="4" t="str">
        <f>IFERROR(__xludf.DUMMYFUNCTION("""COMPUTED_VALUE"""),"Day 2 - 24/06")</f>
        <v>Day 2 - 24/06</v>
      </c>
      <c r="D824" s="4" t="str">
        <f>IFERROR(__xludf.DUMMYFUNCTION("""COMPUTED_VALUE"""),"")</f>
        <v/>
      </c>
      <c r="E824" s="4" t="str">
        <f>IFERROR(__xludf.DUMMYFUNCTION("""COMPUTED_VALUE"""),"")</f>
        <v/>
      </c>
      <c r="F824" s="4" t="str">
        <f>IFERROR(__xludf.DUMMYFUNCTION("""COMPUTED_VALUE"""),"")</f>
        <v/>
      </c>
      <c r="G824" s="4" t="str">
        <f>IFERROR(__xludf.DUMMYFUNCTION("""COMPUTED_VALUE"""),"")</f>
        <v/>
      </c>
      <c r="H824" s="4" t="str">
        <f>IFERROR(__xludf.DUMMYFUNCTION("""COMPUTED_VALUE"""),"")</f>
        <v/>
      </c>
      <c r="I824" s="4" t="str">
        <f>IFERROR(__xludf.DUMMYFUNCTION("""COMPUTED_VALUE"""),"")</f>
        <v/>
      </c>
      <c r="J824" s="4" t="str">
        <f>IFERROR(__xludf.DUMMYFUNCTION("""COMPUTED_VALUE"""),"")</f>
        <v/>
      </c>
      <c r="K824" s="4" t="str">
        <f>IFERROR(__xludf.DUMMYFUNCTION("""COMPUTED_VALUE"""),"")</f>
        <v/>
      </c>
      <c r="L824" s="4" t="str">
        <f>IFERROR(__xludf.DUMMYFUNCTION("""COMPUTED_VALUE"""),"")</f>
        <v/>
      </c>
      <c r="M824" s="4" t="str">
        <f>IFERROR(__xludf.DUMMYFUNCTION("""COMPUTED_VALUE"""),"")</f>
        <v/>
      </c>
      <c r="N824" s="4" t="str">
        <f>IFERROR(__xludf.DUMMYFUNCTION("""COMPUTED_VALUE"""),"")</f>
        <v/>
      </c>
      <c r="O824" s="4" t="str">
        <f>IFERROR(__xludf.DUMMYFUNCTION("""COMPUTED_VALUE"""),"")</f>
        <v/>
      </c>
      <c r="P824" s="4" t="str">
        <f>IFERROR(__xludf.DUMMYFUNCTION("""COMPUTED_VALUE"""),"")</f>
        <v/>
      </c>
      <c r="Q824" s="4" t="str">
        <f>IFERROR(__xludf.DUMMYFUNCTION("""COMPUTED_VALUE"""),"")</f>
        <v/>
      </c>
      <c r="R824" s="4" t="str">
        <f>IFERROR(__xludf.DUMMYFUNCTION("""COMPUTED_VALUE"""),"")</f>
        <v/>
      </c>
      <c r="S824" s="4" t="str">
        <f>IFERROR(__xludf.DUMMYFUNCTION("""COMPUTED_VALUE"""),"")</f>
        <v/>
      </c>
      <c r="T824" s="4" t="str">
        <f>IFERROR(__xludf.DUMMYFUNCTION("""COMPUTED_VALUE"""),"")</f>
        <v/>
      </c>
      <c r="U824" s="4" t="str">
        <f>IFERROR(__xludf.DUMMYFUNCTION("""COMPUTED_VALUE"""),"")</f>
        <v/>
      </c>
      <c r="V824" s="4" t="str">
        <f>IFERROR(__xludf.DUMMYFUNCTION("""COMPUTED_VALUE"""),"")</f>
        <v/>
      </c>
      <c r="W824" s="4" t="str">
        <f>IFERROR(__xludf.DUMMYFUNCTION("""COMPUTED_VALUE"""),"")</f>
        <v/>
      </c>
      <c r="X824" s="4" t="str">
        <f>IFERROR(__xludf.DUMMYFUNCTION("""COMPUTED_VALUE"""),"")</f>
        <v/>
      </c>
      <c r="Y824" s="4" t="str">
        <f>IFERROR(__xludf.DUMMYFUNCTION("""COMPUTED_VALUE"""),"")</f>
        <v/>
      </c>
    </row>
    <row r="825">
      <c r="A825" s="4" t="str">
        <f>IFERROR(__xludf.DUMMYFUNCTION("""COMPUTED_VALUE"""),"1723 - Channel")</f>
        <v>1723 - Channel</v>
      </c>
      <c r="B825" s="4" t="str">
        <f>IFERROR(__xludf.DUMMYFUNCTION("""COMPUTED_VALUE"""),"Channel 3")</f>
        <v>Channel 3</v>
      </c>
      <c r="C825" s="4" t="str">
        <f>IFERROR(__xludf.DUMMYFUNCTION("""COMPUTED_VALUE"""),"Day 2 - 24/06")</f>
        <v>Day 2 - 24/06</v>
      </c>
      <c r="D825" s="6">
        <f>IFERROR(__xludf.DUMMYFUNCTION("""COMPUTED_VALUE"""),0.4583333333333333)</f>
        <v>0.4583333333</v>
      </c>
      <c r="E825" s="6">
        <f>IFERROR(__xludf.DUMMYFUNCTION("""COMPUTED_VALUE"""),6.944444444444445E-4)</f>
        <v>0.0006944444444</v>
      </c>
      <c r="F825" s="6">
        <f>IFERROR(__xludf.DUMMYFUNCTION("""COMPUTED_VALUE"""),0.45902777777777776)</f>
        <v>0.4590277778</v>
      </c>
      <c r="G825" s="4" t="str">
        <f>IFERROR(__xludf.DUMMYFUNCTION("""COMPUTED_VALUE"""),"Graphics")</f>
        <v>Graphics</v>
      </c>
      <c r="H825" s="4" t="str">
        <f>IFERROR(__xludf.DUMMYFUNCTION("""COMPUTED_VALUE"""),"")</f>
        <v/>
      </c>
      <c r="I825" s="4" t="str">
        <f>IFERROR(__xludf.DUMMYFUNCTION("""COMPUTED_VALUE"""),"")</f>
        <v/>
      </c>
      <c r="J825" s="4" t="str">
        <f>IFERROR(__xludf.DUMMYFUNCTION("""COMPUTED_VALUE"""),"")</f>
        <v/>
      </c>
      <c r="K825" s="4" t="str">
        <f>IFERROR(__xludf.DUMMYFUNCTION("""COMPUTED_VALUE"""),"Laundry List/Lookaround")</f>
        <v>Laundry List/Lookaround</v>
      </c>
      <c r="L825" s="4" t="str">
        <f>IFERROR(__xludf.DUMMYFUNCTION("""COMPUTED_VALUE"""),"")</f>
        <v/>
      </c>
      <c r="M825" s="4" t="str">
        <f>IFERROR(__xludf.DUMMYFUNCTION("""COMPUTED_VALUE"""),"Laundry List/Lookaround")</f>
        <v>Laundry List/Lookaround</v>
      </c>
      <c r="N825" s="4" t="str">
        <f>IFERROR(__xludf.DUMMYFUNCTION("""COMPUTED_VALUE"""),"")</f>
        <v/>
      </c>
      <c r="O825" s="4" t="str">
        <f>IFERROR(__xludf.DUMMYFUNCTION("""COMPUTED_VALUE"""),"")</f>
        <v/>
      </c>
      <c r="P825" s="4" t="str">
        <f>IFERROR(__xludf.DUMMYFUNCTION("""COMPUTED_VALUE"""),"")</f>
        <v/>
      </c>
      <c r="Q825" s="4" t="str">
        <f>IFERROR(__xludf.DUMMYFUNCTION("""COMPUTED_VALUE"""),"")</f>
        <v/>
      </c>
      <c r="R825" s="4" t="str">
        <f>IFERROR(__xludf.DUMMYFUNCTION("""COMPUTED_VALUE"""),"")</f>
        <v/>
      </c>
      <c r="S825" s="4" t="str">
        <f>IFERROR(__xludf.DUMMYFUNCTION("""COMPUTED_VALUE"""),"")</f>
        <v/>
      </c>
      <c r="T825" s="4" t="str">
        <f>IFERROR(__xludf.DUMMYFUNCTION("""COMPUTED_VALUE"""),"")</f>
        <v/>
      </c>
      <c r="U825" s="4" t="str">
        <f>IFERROR(__xludf.DUMMYFUNCTION("""COMPUTED_VALUE"""),"")</f>
        <v/>
      </c>
      <c r="V825" s="4" t="str">
        <f>IFERROR(__xludf.DUMMYFUNCTION("""COMPUTED_VALUE"""),"")</f>
        <v/>
      </c>
      <c r="W825" s="4" t="str">
        <f>IFERROR(__xludf.DUMMYFUNCTION("""COMPUTED_VALUE"""),"")</f>
        <v/>
      </c>
      <c r="X825" s="4" t="str">
        <f>IFERROR(__xludf.DUMMYFUNCTION("""COMPUTED_VALUE"""),"")</f>
        <v/>
      </c>
      <c r="Y825" s="4" t="str">
        <f>IFERROR(__xludf.DUMMYFUNCTION("""COMPUTED_VALUE"""),"")</f>
        <v/>
      </c>
    </row>
    <row r="826">
      <c r="A826" s="4" t="str">
        <f>IFERROR(__xludf.DUMMYFUNCTION("""COMPUTED_VALUE"""),"1721 - Channel")</f>
        <v>1721 - Channel</v>
      </c>
      <c r="B826" s="4" t="str">
        <f>IFERROR(__xludf.DUMMYFUNCTION("""COMPUTED_VALUE"""),"Channel 3")</f>
        <v>Channel 3</v>
      </c>
      <c r="C826" s="4" t="str">
        <f>IFERROR(__xludf.DUMMYFUNCTION("""COMPUTED_VALUE"""),"Day 2 - 24/06")</f>
        <v>Day 2 - 24/06</v>
      </c>
      <c r="D826" s="6">
        <f>IFERROR(__xludf.DUMMYFUNCTION("""COMPUTED_VALUE"""),0.45902777777777776)</f>
        <v>0.4590277778</v>
      </c>
      <c r="E826" s="6">
        <f>IFERROR(__xludf.DUMMYFUNCTION("""COMPUTED_VALUE"""),3.4722222222222224E-4)</f>
        <v>0.0003472222222</v>
      </c>
      <c r="F826" s="6">
        <f>IFERROR(__xludf.DUMMYFUNCTION("""COMPUTED_VALUE"""),0.459375)</f>
        <v>0.459375</v>
      </c>
      <c r="G826" s="4" t="str">
        <f>IFERROR(__xludf.DUMMYFUNCTION("""COMPUTED_VALUE"""),"Graphics")</f>
        <v>Graphics</v>
      </c>
      <c r="H826" s="4" t="str">
        <f>IFERROR(__xludf.DUMMYFUNCTION("""COMPUTED_VALUE"""),"N/A")</f>
        <v>N/A</v>
      </c>
      <c r="I826" s="4" t="str">
        <f>IFERROR(__xludf.DUMMYFUNCTION("""COMPUTED_VALUE"""),"N/A")</f>
        <v>N/A</v>
      </c>
      <c r="J826" s="4" t="str">
        <f>IFERROR(__xludf.DUMMYFUNCTION("""COMPUTED_VALUE"""),"Society")</f>
        <v>Society</v>
      </c>
      <c r="K826" s="4" t="str">
        <f>IFERROR(__xludf.DUMMYFUNCTION("""COMPUTED_VALUE"""),"Talk Intro")</f>
        <v>Talk Intro</v>
      </c>
      <c r="L826" s="4" t="str">
        <f>IFERROR(__xludf.DUMMYFUNCTION("""COMPUTED_VALUE"""),"")</f>
        <v/>
      </c>
      <c r="M826" s="4" t="str">
        <f>IFERROR(__xludf.DUMMYFUNCTION("""COMPUTED_VALUE"""),"Talk Intro")</f>
        <v>Talk Intro</v>
      </c>
      <c r="N826" s="4" t="str">
        <f>IFERROR(__xludf.DUMMYFUNCTION("""COMPUTED_VALUE"""),"")</f>
        <v/>
      </c>
      <c r="O826" s="4" t="str">
        <f>IFERROR(__xludf.DUMMYFUNCTION("""COMPUTED_VALUE"""),"")</f>
        <v/>
      </c>
      <c r="P826" s="4" t="str">
        <f>IFERROR(__xludf.DUMMYFUNCTION("""COMPUTED_VALUE"""),"")</f>
        <v/>
      </c>
      <c r="Q826" s="4" t="str">
        <f>IFERROR(__xludf.DUMMYFUNCTION("""COMPUTED_VALUE"""),"")</f>
        <v/>
      </c>
      <c r="R826" s="4" t="str">
        <f>IFERROR(__xludf.DUMMYFUNCTION("""COMPUTED_VALUE"""),"")</f>
        <v/>
      </c>
      <c r="S826" s="4" t="str">
        <f>IFERROR(__xludf.DUMMYFUNCTION("""COMPUTED_VALUE"""),"")</f>
        <v/>
      </c>
      <c r="T826" s="4" t="str">
        <f>IFERROR(__xludf.DUMMYFUNCTION("""COMPUTED_VALUE"""),"")</f>
        <v/>
      </c>
      <c r="U826" s="4" t="str">
        <f>IFERROR(__xludf.DUMMYFUNCTION("""COMPUTED_VALUE"""),"")</f>
        <v/>
      </c>
      <c r="V826" s="4" t="str">
        <f>IFERROR(__xludf.DUMMYFUNCTION("""COMPUTED_VALUE"""),"")</f>
        <v/>
      </c>
      <c r="W826" s="4" t="str">
        <f>IFERROR(__xludf.DUMMYFUNCTION("""COMPUTED_VALUE"""),"")</f>
        <v/>
      </c>
      <c r="X826" s="4" t="str">
        <f>IFERROR(__xludf.DUMMYFUNCTION("""COMPUTED_VALUE"""),"")</f>
        <v/>
      </c>
      <c r="Y826" s="4" t="str">
        <f>IFERROR(__xludf.DUMMYFUNCTION("""COMPUTED_VALUE"""),"")</f>
        <v/>
      </c>
    </row>
    <row r="827">
      <c r="A827" s="4" t="str">
        <f>IFERROR(__xludf.DUMMYFUNCTION("""COMPUTED_VALUE"""),"1262 - Channel")</f>
        <v>1262 - Channel</v>
      </c>
      <c r="B827" s="4" t="str">
        <f>IFERROR(__xludf.DUMMYFUNCTION("""COMPUTED_VALUE"""),"Channel 3")</f>
        <v>Channel 3</v>
      </c>
      <c r="C827" s="4" t="str">
        <f>IFERROR(__xludf.DUMMYFUNCTION("""COMPUTED_VALUE"""),"Day 2 - 24/06")</f>
        <v>Day 2 - 24/06</v>
      </c>
      <c r="D827" s="6">
        <f>IFERROR(__xludf.DUMMYFUNCTION("""COMPUTED_VALUE"""),0.459375)</f>
        <v>0.459375</v>
      </c>
      <c r="E827" s="6">
        <f>IFERROR(__xludf.DUMMYFUNCTION("""COMPUTED_VALUE"""),0.006805555555555555)</f>
        <v>0.006805555556</v>
      </c>
      <c r="F827" s="6">
        <f>IFERROR(__xludf.DUMMYFUNCTION("""COMPUTED_VALUE"""),0.46618055555555554)</f>
        <v>0.4661805556</v>
      </c>
      <c r="G827" s="4" t="str">
        <f>IFERROR(__xludf.DUMMYFUNCTION("""COMPUTED_VALUE"""),"Carol")</f>
        <v>Carol</v>
      </c>
      <c r="H827" s="4" t="str">
        <f>IFERROR(__xludf.DUMMYFUNCTION("""COMPUTED_VALUE"""),"Lingyu")</f>
        <v>Lingyu</v>
      </c>
      <c r="I827" s="4" t="str">
        <f>IFERROR(__xludf.DUMMYFUNCTION("""COMPUTED_VALUE"""),"Jack")</f>
        <v>Jack</v>
      </c>
      <c r="J827" s="4" t="str">
        <f>IFERROR(__xludf.DUMMYFUNCTION("""COMPUTED_VALUE"""),"Education")</f>
        <v>Education</v>
      </c>
      <c r="K827" s="4" t="str">
        <f>IFERROR(__xludf.DUMMYFUNCTION("""COMPUTED_VALUE"""),"Super Fireside")</f>
        <v>Super Fireside</v>
      </c>
      <c r="L827" s="4" t="str">
        <f>IFERROR(__xludf.DUMMYFUNCTION("""COMPUTED_VALUE"""),"T- 6 - 11/05/2020")</f>
        <v>T- 6 - 11/05/2020</v>
      </c>
      <c r="M827" s="4" t="str">
        <f>IFERROR(__xludf.DUMMYFUNCTION("""COMPUTED_VALUE"""),"Decode empathy education")</f>
        <v>Decode empathy education</v>
      </c>
      <c r="N827" s="4" t="str">
        <f>IFERROR(__xludf.DUMMYFUNCTION("""COMPUTED_VALUE"""),"Mary Gordon, Roots of Empathy")</f>
        <v>Mary Gordon, Roots of Empathy</v>
      </c>
      <c r="O827" s="4" t="str">
        <f>IFERROR(__xludf.DUMMYFUNCTION("""COMPUTED_VALUE"""),"Tracey Welson-Rossman, TechGirlz")</f>
        <v>Tracey Welson-Rossman, TechGirlz</v>
      </c>
      <c r="P827" s="4" t="str">
        <f>IFERROR(__xludf.DUMMYFUNCTION("""COMPUTED_VALUE"""),"")</f>
        <v/>
      </c>
      <c r="Q827" s="4" t="str">
        <f>IFERROR(__xludf.DUMMYFUNCTION("""COMPUTED_VALUE"""),"")</f>
        <v/>
      </c>
      <c r="R827" s="4" t="str">
        <f>IFERROR(__xludf.DUMMYFUNCTION("""COMPUTED_VALUE"""),"Rachelle Akuffo, China Central Television")</f>
        <v>Rachelle Akuffo, China Central Television</v>
      </c>
      <c r="S827" s="4" t="str">
        <f>IFERROR(__xludf.DUMMYFUNCTION("""COMPUTED_VALUE"""),"There's not much gen Z and generation alpha can't find a tutorial for online – except for empathy. That's an entirely human intelligence. So how can educators teach empathy to digital natives? Tune in to this super-fireside to find out.")</f>
        <v>There's not much gen Z and generation alpha can't find a tutorial for online – except for empathy. That's an entirely human intelligence. So how can educators teach empathy to digital natives? Tune in to this super-fireside to find out.</v>
      </c>
      <c r="T827" s="4" t="str">
        <f>IFERROR(__xludf.DUMMYFUNCTION("""COMPUTED_VALUE"""),"NON-KEYNOTE 9 - COMPLETE")</f>
        <v>NON-KEYNOTE 9 - COMPLETE</v>
      </c>
      <c r="U827" s="23">
        <f>IFERROR(__xludf.DUMMYFUNCTION("""COMPUTED_VALUE"""),43965.0)</f>
        <v>43965</v>
      </c>
      <c r="V827" s="4" t="str">
        <f>IFERROR(__xludf.DUMMYFUNCTION("""COMPUTED_VALUE"""),"")</f>
        <v/>
      </c>
      <c r="W827" s="4" t="str">
        <f>IFERROR(__xludf.DUMMYFUNCTION("""COMPUTED_VALUE"""),"COMPLETE")</f>
        <v>COMPLETE</v>
      </c>
      <c r="X827" s="4" t="str">
        <f>IFERROR(__xludf.DUMMYFUNCTION("""COMPUTED_VALUE"""),"Carol")</f>
        <v>Carol</v>
      </c>
      <c r="Y827" s="4" t="str">
        <f>IFERROR(__xludf.DUMMYFUNCTION("""COMPUTED_VALUE"""),"")</f>
        <v/>
      </c>
    </row>
    <row r="828">
      <c r="A828" s="4" t="str">
        <f>IFERROR(__xludf.DUMMYFUNCTION("""COMPUTED_VALUE"""),"1722 - Channel")</f>
        <v>1722 - Channel</v>
      </c>
      <c r="B828" s="4" t="str">
        <f>IFERROR(__xludf.DUMMYFUNCTION("""COMPUTED_VALUE"""),"Channel 3")</f>
        <v>Channel 3</v>
      </c>
      <c r="C828" s="4" t="str">
        <f>IFERROR(__xludf.DUMMYFUNCTION("""COMPUTED_VALUE"""),"Day 2 - 24/06")</f>
        <v>Day 2 - 24/06</v>
      </c>
      <c r="D828" s="6">
        <f>IFERROR(__xludf.DUMMYFUNCTION("""COMPUTED_VALUE"""),0.46618055555555554)</f>
        <v>0.4661805556</v>
      </c>
      <c r="E828" s="6">
        <f>IFERROR(__xludf.DUMMYFUNCTION("""COMPUTED_VALUE"""),0.0010416666666666667)</f>
        <v>0.001041666667</v>
      </c>
      <c r="F828" s="6">
        <f>IFERROR(__xludf.DUMMYFUNCTION("""COMPUTED_VALUE"""),0.4672222222222222)</f>
        <v>0.4672222222</v>
      </c>
      <c r="G828" s="4" t="str">
        <f>IFERROR(__xludf.DUMMYFUNCTION("""COMPUTED_VALUE"""),"Graphics")</f>
        <v>Graphics</v>
      </c>
      <c r="H828" s="4" t="str">
        <f>IFERROR(__xludf.DUMMYFUNCTION("""COMPUTED_VALUE"""),"")</f>
        <v/>
      </c>
      <c r="I828" s="4" t="str">
        <f>IFERROR(__xludf.DUMMYFUNCTION("""COMPUTED_VALUE"""),"")</f>
        <v/>
      </c>
      <c r="J828" s="4" t="str">
        <f>IFERROR(__xludf.DUMMYFUNCTION("""COMPUTED_VALUE"""),"")</f>
        <v/>
      </c>
      <c r="K828" s="4" t="str">
        <f>IFERROR(__xludf.DUMMYFUNCTION("""COMPUTED_VALUE"""),"Collision From Home Day Intro")</f>
        <v>Collision From Home Day Intro</v>
      </c>
      <c r="L828" s="4" t="str">
        <f>IFERROR(__xludf.DUMMYFUNCTION("""COMPUTED_VALUE"""),"")</f>
        <v/>
      </c>
      <c r="M828" s="4" t="str">
        <f>IFERROR(__xludf.DUMMYFUNCTION("""COMPUTED_VALUE"""),"Collision From Home Day Intro")</f>
        <v>Collision From Home Day Intro</v>
      </c>
      <c r="N828" s="4" t="str">
        <f>IFERROR(__xludf.DUMMYFUNCTION("""COMPUTED_VALUE"""),"")</f>
        <v/>
      </c>
      <c r="O828" s="4" t="str">
        <f>IFERROR(__xludf.DUMMYFUNCTION("""COMPUTED_VALUE"""),"")</f>
        <v/>
      </c>
      <c r="P828" s="4" t="str">
        <f>IFERROR(__xludf.DUMMYFUNCTION("""COMPUTED_VALUE"""),"")</f>
        <v/>
      </c>
      <c r="Q828" s="4" t="str">
        <f>IFERROR(__xludf.DUMMYFUNCTION("""COMPUTED_VALUE"""),"")</f>
        <v/>
      </c>
      <c r="R828" s="4" t="str">
        <f>IFERROR(__xludf.DUMMYFUNCTION("""COMPUTED_VALUE"""),"")</f>
        <v/>
      </c>
      <c r="S828" s="4" t="str">
        <f>IFERROR(__xludf.DUMMYFUNCTION("""COMPUTED_VALUE"""),"")</f>
        <v/>
      </c>
      <c r="T828" s="4" t="str">
        <f>IFERROR(__xludf.DUMMYFUNCTION("""COMPUTED_VALUE"""),"")</f>
        <v/>
      </c>
      <c r="U828" s="4" t="str">
        <f>IFERROR(__xludf.DUMMYFUNCTION("""COMPUTED_VALUE"""),"")</f>
        <v/>
      </c>
      <c r="V828" s="4" t="str">
        <f>IFERROR(__xludf.DUMMYFUNCTION("""COMPUTED_VALUE"""),"")</f>
        <v/>
      </c>
      <c r="W828" s="4" t="str">
        <f>IFERROR(__xludf.DUMMYFUNCTION("""COMPUTED_VALUE"""),"")</f>
        <v/>
      </c>
      <c r="X828" s="4" t="str">
        <f>IFERROR(__xludf.DUMMYFUNCTION("""COMPUTED_VALUE"""),"")</f>
        <v/>
      </c>
      <c r="Y828" s="4" t="str">
        <f>IFERROR(__xludf.DUMMYFUNCTION("""COMPUTED_VALUE"""),"")</f>
        <v/>
      </c>
    </row>
    <row r="829">
      <c r="A829" s="4" t="str">
        <f>IFERROR(__xludf.DUMMYFUNCTION("""COMPUTED_VALUE"""),"910 - Channel")</f>
        <v>910 - Channel</v>
      </c>
      <c r="B829" s="4" t="str">
        <f>IFERROR(__xludf.DUMMYFUNCTION("""COMPUTED_VALUE"""),"Channel 3")</f>
        <v>Channel 3</v>
      </c>
      <c r="C829" s="4" t="str">
        <f>IFERROR(__xludf.DUMMYFUNCTION("""COMPUTED_VALUE"""),"Day 2 - 24/06")</f>
        <v>Day 2 - 24/06</v>
      </c>
      <c r="D829" s="6">
        <f>IFERROR(__xludf.DUMMYFUNCTION("""COMPUTED_VALUE"""),0.4672222222222222)</f>
        <v>0.4672222222</v>
      </c>
      <c r="E829" s="6">
        <f>IFERROR(__xludf.DUMMYFUNCTION("""COMPUTED_VALUE"""),1.7361111111111112E-4)</f>
        <v>0.0001736111111</v>
      </c>
      <c r="F829" s="6">
        <f>IFERROR(__xludf.DUMMYFUNCTION("""COMPUTED_VALUE"""),0.46739583333333334)</f>
        <v>0.4673958333</v>
      </c>
      <c r="G829" s="4" t="str">
        <f>IFERROR(__xludf.DUMMYFUNCTION("""COMPUTED_VALUE"""),"P&amp;E")</f>
        <v>P&amp;E</v>
      </c>
      <c r="H829" s="4" t="str">
        <f>IFERROR(__xludf.DUMMYFUNCTION("""COMPUTED_VALUE"""),"N/A")</f>
        <v>N/A</v>
      </c>
      <c r="I829" s="4" t="str">
        <f>IFERROR(__xludf.DUMMYFUNCTION("""COMPUTED_VALUE"""),"N/A")</f>
        <v>N/A</v>
      </c>
      <c r="J829" s="4" t="str">
        <f>IFERROR(__xludf.DUMMYFUNCTION("""COMPUTED_VALUE"""),"Society")</f>
        <v>Society</v>
      </c>
      <c r="K829" s="4" t="str">
        <f>IFERROR(__xludf.DUMMYFUNCTION("""COMPUTED_VALUE"""),"Partner ad")</f>
        <v>Partner ad</v>
      </c>
      <c r="L829" s="4" t="str">
        <f>IFERROR(__xludf.DUMMYFUNCTION("""COMPUTED_VALUE"""),"")</f>
        <v/>
      </c>
      <c r="M829" s="4" t="str">
        <f>IFERROR(__xludf.DUMMYFUNCTION("""COMPUTED_VALUE"""),"Partner ad - York Region")</f>
        <v>Partner ad - York Region</v>
      </c>
      <c r="N829" s="4" t="str">
        <f>IFERROR(__xludf.DUMMYFUNCTION("""COMPUTED_VALUE"""),"")</f>
        <v/>
      </c>
      <c r="O829" s="4" t="str">
        <f>IFERROR(__xludf.DUMMYFUNCTION("""COMPUTED_VALUE"""),"")</f>
        <v/>
      </c>
      <c r="P829" s="4" t="str">
        <f>IFERROR(__xludf.DUMMYFUNCTION("""COMPUTED_VALUE"""),"")</f>
        <v/>
      </c>
      <c r="Q829" s="4" t="str">
        <f>IFERROR(__xludf.DUMMYFUNCTION("""COMPUTED_VALUE"""),"")</f>
        <v/>
      </c>
      <c r="R829" s="4" t="str">
        <f>IFERROR(__xludf.DUMMYFUNCTION("""COMPUTED_VALUE"""),"")</f>
        <v/>
      </c>
      <c r="S829" s="4" t="str">
        <f>IFERROR(__xludf.DUMMYFUNCTION("""COMPUTED_VALUE"""),"")</f>
        <v/>
      </c>
      <c r="T829" s="4" t="str">
        <f>IFERROR(__xludf.DUMMYFUNCTION("""COMPUTED_VALUE"""),"")</f>
        <v/>
      </c>
      <c r="U829" s="4" t="str">
        <f>IFERROR(__xludf.DUMMYFUNCTION("""COMPUTED_VALUE"""),"")</f>
        <v/>
      </c>
      <c r="V829" s="4" t="str">
        <f>IFERROR(__xludf.DUMMYFUNCTION("""COMPUTED_VALUE"""),"")</f>
        <v/>
      </c>
      <c r="W829" s="4" t="str">
        <f>IFERROR(__xludf.DUMMYFUNCTION("""COMPUTED_VALUE"""),"")</f>
        <v/>
      </c>
      <c r="X829" s="4" t="str">
        <f>IFERROR(__xludf.DUMMYFUNCTION("""COMPUTED_VALUE"""),"")</f>
        <v/>
      </c>
      <c r="Y829" s="4" t="str">
        <f>IFERROR(__xludf.DUMMYFUNCTION("""COMPUTED_VALUE"""),"")</f>
        <v/>
      </c>
    </row>
    <row r="830">
      <c r="A830" s="4" t="str">
        <f>IFERROR(__xludf.DUMMYFUNCTION("""COMPUTED_VALUE"""),"911 - Channel")</f>
        <v>911 - Channel</v>
      </c>
      <c r="B830" s="4" t="str">
        <f>IFERROR(__xludf.DUMMYFUNCTION("""COMPUTED_VALUE"""),"Channel 3")</f>
        <v>Channel 3</v>
      </c>
      <c r="C830" s="4" t="str">
        <f>IFERROR(__xludf.DUMMYFUNCTION("""COMPUTED_VALUE"""),"Day 2 - 24/06")</f>
        <v>Day 2 - 24/06</v>
      </c>
      <c r="D830" s="6">
        <f>IFERROR(__xludf.DUMMYFUNCTION("""COMPUTED_VALUE"""),0.46739583333333334)</f>
        <v>0.4673958333</v>
      </c>
      <c r="E830" s="6">
        <f>IFERROR(__xludf.DUMMYFUNCTION("""COMPUTED_VALUE"""),2.314814814814815E-4)</f>
        <v>0.0002314814815</v>
      </c>
      <c r="F830" s="6">
        <f>IFERROR(__xludf.DUMMYFUNCTION("""COMPUTED_VALUE"""),0.46762731481481484)</f>
        <v>0.4676273148</v>
      </c>
      <c r="G830" s="4" t="str">
        <f>IFERROR(__xludf.DUMMYFUNCTION("""COMPUTED_VALUE"""),"Graphics")</f>
        <v>Graphics</v>
      </c>
      <c r="H830" s="4" t="str">
        <f>IFERROR(__xludf.DUMMYFUNCTION("""COMPUTED_VALUE"""),"N/A")</f>
        <v>N/A</v>
      </c>
      <c r="I830" s="4" t="str">
        <f>IFERROR(__xludf.DUMMYFUNCTION("""COMPUTED_VALUE"""),"N/A")</f>
        <v>N/A</v>
      </c>
      <c r="J830" s="4" t="str">
        <f>IFERROR(__xludf.DUMMYFUNCTION("""COMPUTED_VALUE"""),"Society")</f>
        <v>Society</v>
      </c>
      <c r="K830" s="4" t="str">
        <f>IFERROR(__xludf.DUMMYFUNCTION("""COMPUTED_VALUE"""),"Talk Intro")</f>
        <v>Talk Intro</v>
      </c>
      <c r="L830" s="4" t="str">
        <f>IFERROR(__xludf.DUMMYFUNCTION("""COMPUTED_VALUE"""),"")</f>
        <v/>
      </c>
      <c r="M830" s="4" t="str">
        <f>IFERROR(__xludf.DUMMYFUNCTION("""COMPUTED_VALUE"""),"Talk Intro")</f>
        <v>Talk Intro</v>
      </c>
      <c r="N830" s="4" t="str">
        <f>IFERROR(__xludf.DUMMYFUNCTION("""COMPUTED_VALUE"""),"")</f>
        <v/>
      </c>
      <c r="O830" s="4" t="str">
        <f>IFERROR(__xludf.DUMMYFUNCTION("""COMPUTED_VALUE"""),"")</f>
        <v/>
      </c>
      <c r="P830" s="4" t="str">
        <f>IFERROR(__xludf.DUMMYFUNCTION("""COMPUTED_VALUE"""),"")</f>
        <v/>
      </c>
      <c r="Q830" s="4" t="str">
        <f>IFERROR(__xludf.DUMMYFUNCTION("""COMPUTED_VALUE"""),"")</f>
        <v/>
      </c>
      <c r="R830" s="4" t="str">
        <f>IFERROR(__xludf.DUMMYFUNCTION("""COMPUTED_VALUE"""),"")</f>
        <v/>
      </c>
      <c r="S830" s="4" t="str">
        <f>IFERROR(__xludf.DUMMYFUNCTION("""COMPUTED_VALUE"""),"")</f>
        <v/>
      </c>
      <c r="T830" s="4" t="str">
        <f>IFERROR(__xludf.DUMMYFUNCTION("""COMPUTED_VALUE"""),"")</f>
        <v/>
      </c>
      <c r="U830" s="4" t="str">
        <f>IFERROR(__xludf.DUMMYFUNCTION("""COMPUTED_VALUE"""),"")</f>
        <v/>
      </c>
      <c r="V830" s="4" t="str">
        <f>IFERROR(__xludf.DUMMYFUNCTION("""COMPUTED_VALUE"""),"")</f>
        <v/>
      </c>
      <c r="W830" s="4" t="str">
        <f>IFERROR(__xludf.DUMMYFUNCTION("""COMPUTED_VALUE"""),"")</f>
        <v/>
      </c>
      <c r="X830" s="4" t="str">
        <f>IFERROR(__xludf.DUMMYFUNCTION("""COMPUTED_VALUE"""),"")</f>
        <v/>
      </c>
      <c r="Y830" s="4" t="str">
        <f>IFERROR(__xludf.DUMMYFUNCTION("""COMPUTED_VALUE"""),"")</f>
        <v/>
      </c>
    </row>
    <row r="831">
      <c r="A831" s="4" t="str">
        <f>IFERROR(__xludf.DUMMYFUNCTION("""COMPUTED_VALUE"""),"912 - Channel")</f>
        <v>912 - Channel</v>
      </c>
      <c r="B831" s="4" t="str">
        <f>IFERROR(__xludf.DUMMYFUNCTION("""COMPUTED_VALUE"""),"Channel 3")</f>
        <v>Channel 3</v>
      </c>
      <c r="C831" s="4" t="str">
        <f>IFERROR(__xludf.DUMMYFUNCTION("""COMPUTED_VALUE"""),"Day 2 - 24/06")</f>
        <v>Day 2 - 24/06</v>
      </c>
      <c r="D831" s="6">
        <f>IFERROR(__xludf.DUMMYFUNCTION("""COMPUTED_VALUE"""),0.46762731481481484)</f>
        <v>0.4676273148</v>
      </c>
      <c r="E831" s="6">
        <f>IFERROR(__xludf.DUMMYFUNCTION("""COMPUTED_VALUE"""),0.013888888888888888)</f>
        <v>0.01388888889</v>
      </c>
      <c r="F831" s="6">
        <f>IFERROR(__xludf.DUMMYFUNCTION("""COMPUTED_VALUE"""),0.48151620370370374)</f>
        <v>0.4815162037</v>
      </c>
      <c r="G831" s="4" t="str">
        <f>IFERROR(__xludf.DUMMYFUNCTION("""COMPUTED_VALUE"""),"Brian")</f>
        <v>Brian</v>
      </c>
      <c r="H831" s="4" t="str">
        <f>IFERROR(__xludf.DUMMYFUNCTION("""COMPUTED_VALUE"""),"N/A")</f>
        <v>N/A</v>
      </c>
      <c r="I831" s="4" t="str">
        <f>IFERROR(__xludf.DUMMYFUNCTION("""COMPUTED_VALUE"""),"Eabha")</f>
        <v>Eabha</v>
      </c>
      <c r="J831" s="4" t="str">
        <f>IFERROR(__xludf.DUMMYFUNCTION("""COMPUTED_VALUE"""),"Society")</f>
        <v>Society</v>
      </c>
      <c r="K831" s="4" t="str">
        <f>IFERROR(__xludf.DUMMYFUNCTION("""COMPUTED_VALUE"""),"Fireside")</f>
        <v>Fireside</v>
      </c>
      <c r="L831" s="4" t="str">
        <f>IFERROR(__xludf.DUMMYFUNCTION("""COMPUTED_VALUE"""),"T- 2 - 08/06/2020")</f>
        <v>T- 2 - 08/06/2020</v>
      </c>
      <c r="M831" s="4" t="str">
        <f>IFERROR(__xludf.DUMMYFUNCTION("""COMPUTED_VALUE"""),"Tech's role during the crisis")</f>
        <v>Tech's role during the crisis</v>
      </c>
      <c r="N831" s="4" t="str">
        <f>IFERROR(__xludf.DUMMYFUNCTION("""COMPUTED_VALUE"""),"Brad Smith, Microsoft")</f>
        <v>Brad Smith, Microsoft</v>
      </c>
      <c r="O831" s="4" t="str">
        <f>IFERROR(__xludf.DUMMYFUNCTION("""COMPUTED_VALUE"""),"")</f>
        <v/>
      </c>
      <c r="P831" s="4" t="str">
        <f>IFERROR(__xludf.DUMMYFUNCTION("""COMPUTED_VALUE"""),"")</f>
        <v/>
      </c>
      <c r="Q831" s="4" t="str">
        <f>IFERROR(__xludf.DUMMYFUNCTION("""COMPUTED_VALUE"""),"")</f>
        <v/>
      </c>
      <c r="R831" s="4" t="str">
        <f>IFERROR(__xludf.DUMMYFUNCTION("""COMPUTED_VALUE"""),"Steve Adler, Thomson Reuters")</f>
        <v>Steve Adler, Thomson Reuters</v>
      </c>
      <c r="S831" s="4" t="str">
        <f>IFERROR(__xludf.DUMMYFUNCTION("""COMPUTED_VALUE"""),"Fireside chat with Microsoft President Brad Smith")</f>
        <v>Fireside chat with Microsoft President Brad Smith</v>
      </c>
      <c r="T831" s="4" t="str">
        <f>IFERROR(__xludf.DUMMYFUNCTION("""COMPUTED_VALUE"""),"NON-KEYNOTE 7 - Video to be recorded")</f>
        <v>NON-KEYNOTE 7 - Video to be recorded</v>
      </c>
      <c r="U831" s="23">
        <f>IFERROR(__xludf.DUMMYFUNCTION("""COMPUTED_VALUE"""),43993.0)</f>
        <v>43993</v>
      </c>
      <c r="V831" s="24">
        <f>IFERROR(__xludf.DUMMYFUNCTION("""COMPUTED_VALUE"""),0.8958333333333334)</f>
        <v>0.8958333333</v>
      </c>
      <c r="W831" s="4" t="str">
        <f>IFERROR(__xludf.DUMMYFUNCTION("""COMPUTED_VALUE"""),"Recording themselves")</f>
        <v>Recording themselves</v>
      </c>
      <c r="X831" s="4" t="str">
        <f>IFERROR(__xludf.DUMMYFUNCTION("""COMPUTED_VALUE"""),"Brian")</f>
        <v>Brian</v>
      </c>
      <c r="Y831" s="4" t="str">
        <f>IFERROR(__xludf.DUMMYFUNCTION("""COMPUTED_VALUE"""),"")</f>
        <v/>
      </c>
    </row>
    <row r="832">
      <c r="A832" s="4" t="str">
        <f>IFERROR(__xludf.DUMMYFUNCTION("""COMPUTED_VALUE"""),"1658 - Channel")</f>
        <v>1658 - Channel</v>
      </c>
      <c r="B832" s="4" t="str">
        <f>IFERROR(__xludf.DUMMYFUNCTION("""COMPUTED_VALUE"""),"Channel 3")</f>
        <v>Channel 3</v>
      </c>
      <c r="C832" s="4" t="str">
        <f>IFERROR(__xludf.DUMMYFUNCTION("""COMPUTED_VALUE"""),"Day 2 - 24/06")</f>
        <v>Day 2 - 24/06</v>
      </c>
      <c r="D832" s="6">
        <f>IFERROR(__xludf.DUMMYFUNCTION("""COMPUTED_VALUE"""),0.48151620370370374)</f>
        <v>0.4815162037</v>
      </c>
      <c r="E832" s="6">
        <f>IFERROR(__xludf.DUMMYFUNCTION("""COMPUTED_VALUE"""),3.4722222222222224E-4)</f>
        <v>0.0003472222222</v>
      </c>
      <c r="F832" s="6">
        <f>IFERROR(__xludf.DUMMYFUNCTION("""COMPUTED_VALUE"""),0.48186342592592596)</f>
        <v>0.4818634259</v>
      </c>
      <c r="G832" s="4" t="str">
        <f>IFERROR(__xludf.DUMMYFUNCTION("""COMPUTED_VALUE"""),"")</f>
        <v/>
      </c>
      <c r="H832" s="4" t="str">
        <f>IFERROR(__xludf.DUMMYFUNCTION("""COMPUTED_VALUE"""),"")</f>
        <v/>
      </c>
      <c r="I832" s="4" t="str">
        <f>IFERROR(__xludf.DUMMYFUNCTION("""COMPUTED_VALUE"""),"")</f>
        <v/>
      </c>
      <c r="J832" s="4" t="str">
        <f>IFERROR(__xludf.DUMMYFUNCTION("""COMPUTED_VALUE"""),"")</f>
        <v/>
      </c>
      <c r="K832" s="4" t="str">
        <f>IFERROR(__xludf.DUMMYFUNCTION("""COMPUTED_VALUE"""),"Web Summit Trailer - short")</f>
        <v>Web Summit Trailer - short</v>
      </c>
      <c r="L832" s="4" t="str">
        <f>IFERROR(__xludf.DUMMYFUNCTION("""COMPUTED_VALUE"""),"")</f>
        <v/>
      </c>
      <c r="M832" s="4" t="str">
        <f>IFERROR(__xludf.DUMMYFUNCTION("""COMPUTED_VALUE"""),"Web Summit Trailer - short")</f>
        <v>Web Summit Trailer - short</v>
      </c>
      <c r="N832" s="4" t="str">
        <f>IFERROR(__xludf.DUMMYFUNCTION("""COMPUTED_VALUE"""),"")</f>
        <v/>
      </c>
      <c r="O832" s="4" t="str">
        <f>IFERROR(__xludf.DUMMYFUNCTION("""COMPUTED_VALUE"""),"")</f>
        <v/>
      </c>
      <c r="P832" s="4" t="str">
        <f>IFERROR(__xludf.DUMMYFUNCTION("""COMPUTED_VALUE"""),"")</f>
        <v/>
      </c>
      <c r="Q832" s="4" t="str">
        <f>IFERROR(__xludf.DUMMYFUNCTION("""COMPUTED_VALUE"""),"")</f>
        <v/>
      </c>
      <c r="R832" s="4" t="str">
        <f>IFERROR(__xludf.DUMMYFUNCTION("""COMPUTED_VALUE"""),"")</f>
        <v/>
      </c>
      <c r="S832" s="4" t="str">
        <f>IFERROR(__xludf.DUMMYFUNCTION("""COMPUTED_VALUE"""),"")</f>
        <v/>
      </c>
      <c r="T832" s="4" t="str">
        <f>IFERROR(__xludf.DUMMYFUNCTION("""COMPUTED_VALUE"""),"")</f>
        <v/>
      </c>
      <c r="U832" s="4" t="str">
        <f>IFERROR(__xludf.DUMMYFUNCTION("""COMPUTED_VALUE"""),"")</f>
        <v/>
      </c>
      <c r="V832" s="4" t="str">
        <f>IFERROR(__xludf.DUMMYFUNCTION("""COMPUTED_VALUE"""),"")</f>
        <v/>
      </c>
      <c r="W832" s="4" t="str">
        <f>IFERROR(__xludf.DUMMYFUNCTION("""COMPUTED_VALUE"""),"")</f>
        <v/>
      </c>
      <c r="X832" s="4" t="str">
        <f>IFERROR(__xludf.DUMMYFUNCTION("""COMPUTED_VALUE"""),"")</f>
        <v/>
      </c>
      <c r="Y832" s="4" t="str">
        <f>IFERROR(__xludf.DUMMYFUNCTION("""COMPUTED_VALUE"""),"")</f>
        <v/>
      </c>
    </row>
    <row r="833">
      <c r="A833" s="4" t="str">
        <f>IFERROR(__xludf.DUMMYFUNCTION("""COMPUTED_VALUE"""),"916 - Channel")</f>
        <v>916 - Channel</v>
      </c>
      <c r="B833" s="4" t="str">
        <f>IFERROR(__xludf.DUMMYFUNCTION("""COMPUTED_VALUE"""),"Channel 3")</f>
        <v>Channel 3</v>
      </c>
      <c r="C833" s="4" t="str">
        <f>IFERROR(__xludf.DUMMYFUNCTION("""COMPUTED_VALUE"""),"Day 2 - 24/06")</f>
        <v>Day 2 - 24/06</v>
      </c>
      <c r="D833" s="6">
        <f>IFERROR(__xludf.DUMMYFUNCTION("""COMPUTED_VALUE"""),0.48186342592592596)</f>
        <v>0.4818634259</v>
      </c>
      <c r="E833" s="6">
        <f>IFERROR(__xludf.DUMMYFUNCTION("""COMPUTED_VALUE"""),2.314814814814815E-4)</f>
        <v>0.0002314814815</v>
      </c>
      <c r="F833" s="6">
        <f>IFERROR(__xludf.DUMMYFUNCTION("""COMPUTED_VALUE"""),0.48209490740740746)</f>
        <v>0.4820949074</v>
      </c>
      <c r="G833" s="4" t="str">
        <f>IFERROR(__xludf.DUMMYFUNCTION("""COMPUTED_VALUE"""),"Graphics")</f>
        <v>Graphics</v>
      </c>
      <c r="H833" s="4" t="str">
        <f>IFERROR(__xludf.DUMMYFUNCTION("""COMPUTED_VALUE"""),"N/A")</f>
        <v>N/A</v>
      </c>
      <c r="I833" s="4" t="str">
        <f>IFERROR(__xludf.DUMMYFUNCTION("""COMPUTED_VALUE"""),"N/A")</f>
        <v>N/A</v>
      </c>
      <c r="J833" s="4" t="str">
        <f>IFERROR(__xludf.DUMMYFUNCTION("""COMPUTED_VALUE"""),"Society")</f>
        <v>Society</v>
      </c>
      <c r="K833" s="4" t="str">
        <f>IFERROR(__xludf.DUMMYFUNCTION("""COMPUTED_VALUE"""),"Talk Intro")</f>
        <v>Talk Intro</v>
      </c>
      <c r="L833" s="4" t="str">
        <f>IFERROR(__xludf.DUMMYFUNCTION("""COMPUTED_VALUE"""),"")</f>
        <v/>
      </c>
      <c r="M833" s="4" t="str">
        <f>IFERROR(__xludf.DUMMYFUNCTION("""COMPUTED_VALUE"""),"Talk Intro")</f>
        <v>Talk Intro</v>
      </c>
      <c r="N833" s="4" t="str">
        <f>IFERROR(__xludf.DUMMYFUNCTION("""COMPUTED_VALUE"""),"")</f>
        <v/>
      </c>
      <c r="O833" s="4" t="str">
        <f>IFERROR(__xludf.DUMMYFUNCTION("""COMPUTED_VALUE"""),"")</f>
        <v/>
      </c>
      <c r="P833" s="4" t="str">
        <f>IFERROR(__xludf.DUMMYFUNCTION("""COMPUTED_VALUE"""),"")</f>
        <v/>
      </c>
      <c r="Q833" s="4" t="str">
        <f>IFERROR(__xludf.DUMMYFUNCTION("""COMPUTED_VALUE"""),"")</f>
        <v/>
      </c>
      <c r="R833" s="4" t="str">
        <f>IFERROR(__xludf.DUMMYFUNCTION("""COMPUTED_VALUE"""),"")</f>
        <v/>
      </c>
      <c r="S833" s="4" t="str">
        <f>IFERROR(__xludf.DUMMYFUNCTION("""COMPUTED_VALUE"""),"")</f>
        <v/>
      </c>
      <c r="T833" s="4" t="str">
        <f>IFERROR(__xludf.DUMMYFUNCTION("""COMPUTED_VALUE"""),"")</f>
        <v/>
      </c>
      <c r="U833" s="4" t="str">
        <f>IFERROR(__xludf.DUMMYFUNCTION("""COMPUTED_VALUE"""),"")</f>
        <v/>
      </c>
      <c r="V833" s="4" t="str">
        <f>IFERROR(__xludf.DUMMYFUNCTION("""COMPUTED_VALUE"""),"")</f>
        <v/>
      </c>
      <c r="W833" s="4" t="str">
        <f>IFERROR(__xludf.DUMMYFUNCTION("""COMPUTED_VALUE"""),"")</f>
        <v/>
      </c>
      <c r="X833" s="4" t="str">
        <f>IFERROR(__xludf.DUMMYFUNCTION("""COMPUTED_VALUE"""),"")</f>
        <v/>
      </c>
      <c r="Y833" s="4" t="str">
        <f>IFERROR(__xludf.DUMMYFUNCTION("""COMPUTED_VALUE"""),"")</f>
        <v/>
      </c>
    </row>
    <row r="834">
      <c r="A834" s="4" t="str">
        <f>IFERROR(__xludf.DUMMYFUNCTION("""COMPUTED_VALUE"""),"917 - Channel")</f>
        <v>917 - Channel</v>
      </c>
      <c r="B834" s="4" t="str">
        <f>IFERROR(__xludf.DUMMYFUNCTION("""COMPUTED_VALUE"""),"Channel 3")</f>
        <v>Channel 3</v>
      </c>
      <c r="C834" s="4" t="str">
        <f>IFERROR(__xludf.DUMMYFUNCTION("""COMPUTED_VALUE"""),"Day 2 - 24/06")</f>
        <v>Day 2 - 24/06</v>
      </c>
      <c r="D834" s="6">
        <f>IFERROR(__xludf.DUMMYFUNCTION("""COMPUTED_VALUE"""),0.48209490740740746)</f>
        <v>0.4820949074</v>
      </c>
      <c r="E834" s="6">
        <f>IFERROR(__xludf.DUMMYFUNCTION("""COMPUTED_VALUE"""),0.014328703703703703)</f>
        <v>0.0143287037</v>
      </c>
      <c r="F834" s="6">
        <f>IFERROR(__xludf.DUMMYFUNCTION("""COMPUTED_VALUE"""),0.49642361111111116)</f>
        <v>0.4964236111</v>
      </c>
      <c r="G834" s="4" t="str">
        <f>IFERROR(__xludf.DUMMYFUNCTION("""COMPUTED_VALUE"""),"Colm")</f>
        <v>Colm</v>
      </c>
      <c r="H834" s="4" t="str">
        <f>IFERROR(__xludf.DUMMYFUNCTION("""COMPUTED_VALUE"""),"N/A")</f>
        <v>N/A</v>
      </c>
      <c r="I834" s="4" t="str">
        <f>IFERROR(__xludf.DUMMYFUNCTION("""COMPUTED_VALUE"""),"Manon")</f>
        <v>Manon</v>
      </c>
      <c r="J834" s="4" t="str">
        <f>IFERROR(__xludf.DUMMYFUNCTION("""COMPUTED_VALUE"""),"Society")</f>
        <v>Society</v>
      </c>
      <c r="K834" s="4" t="str">
        <f>IFERROR(__xludf.DUMMYFUNCTION("""COMPUTED_VALUE"""),"Fireside")</f>
        <v>Fireside</v>
      </c>
      <c r="L834" s="4" t="str">
        <f>IFERROR(__xludf.DUMMYFUNCTION("""COMPUTED_VALUE"""),"T- 5 - 18/05/2020")</f>
        <v>T- 5 - 18/05/2020</v>
      </c>
      <c r="M834" s="4" t="str">
        <f>IFERROR(__xludf.DUMMYFUNCTION("""COMPUTED_VALUE"""),"Is your head A-oki?")</f>
        <v>Is your head A-oki?</v>
      </c>
      <c r="N834" s="4" t="str">
        <f>IFERROR(__xludf.DUMMYFUNCTION("""COMPUTED_VALUE"""),"Steve Aoki, Steve Aoki")</f>
        <v>Steve Aoki, Steve Aoki</v>
      </c>
      <c r="O834" s="4" t="str">
        <f>IFERROR(__xludf.DUMMYFUNCTION("""COMPUTED_VALUE"""),"Rich Pierson, Headspace")</f>
        <v>Rich Pierson, Headspace</v>
      </c>
      <c r="P834" s="4" t="str">
        <f>IFERROR(__xludf.DUMMYFUNCTION("""COMPUTED_VALUE"""),"")</f>
        <v/>
      </c>
      <c r="Q834" s="4" t="str">
        <f>IFERROR(__xludf.DUMMYFUNCTION("""COMPUTED_VALUE"""),"")</f>
        <v/>
      </c>
      <c r="R834" s="4" t="str">
        <f>IFERROR(__xludf.DUMMYFUNCTION("""COMPUTED_VALUE"""),"")</f>
        <v/>
      </c>
      <c r="S834" s="4" t="str">
        <f>IFERROR(__xludf.DUMMYFUNCTION("""COMPUTED_VALUE"""),"World-renowned DJ, producer and entrepreneur Steve Aoki sits down with Headspace co-founder and CEO Rich Pierson to discuss mindfulness, meditation, creativity, and looking after your mental health.")</f>
        <v>World-renowned DJ, producer and entrepreneur Steve Aoki sits down with Headspace co-founder and CEO Rich Pierson to discuss mindfulness, meditation, creativity, and looking after your mental health.</v>
      </c>
      <c r="T834" s="4" t="str">
        <f>IFERROR(__xludf.DUMMYFUNCTION("""COMPUTED_VALUE"""),"NON-KEYNOTE 9 - COMPLETE")</f>
        <v>NON-KEYNOTE 9 - COMPLETE</v>
      </c>
      <c r="U834" s="23">
        <f>IFERROR(__xludf.DUMMYFUNCTION("""COMPUTED_VALUE"""),43971.0)</f>
        <v>43971</v>
      </c>
      <c r="V834" s="24">
        <f>IFERROR(__xludf.DUMMYFUNCTION("""COMPUTED_VALUE"""),0.9166666666666666)</f>
        <v>0.9166666667</v>
      </c>
      <c r="W834" s="4" t="str">
        <f>IFERROR(__xludf.DUMMYFUNCTION("""COMPUTED_VALUE"""),"COMPLETE")</f>
        <v>COMPLETE</v>
      </c>
      <c r="X834" s="4" t="str">
        <f>IFERROR(__xludf.DUMMYFUNCTION("""COMPUTED_VALUE"""),"Colm")</f>
        <v>Colm</v>
      </c>
      <c r="Y834" s="4" t="str">
        <f>IFERROR(__xludf.DUMMYFUNCTION("""COMPUTED_VALUE"""),"")</f>
        <v/>
      </c>
    </row>
    <row r="835">
      <c r="A835" s="4" t="str">
        <f>IFERROR(__xludf.DUMMYFUNCTION("""COMPUTED_VALUE"""),"919 - Channel")</f>
        <v>919 - Channel</v>
      </c>
      <c r="B835" s="4" t="str">
        <f>IFERROR(__xludf.DUMMYFUNCTION("""COMPUTED_VALUE"""),"Channel 3")</f>
        <v>Channel 3</v>
      </c>
      <c r="C835" s="4" t="str">
        <f>IFERROR(__xludf.DUMMYFUNCTION("""COMPUTED_VALUE"""),"Day 2 - 24/06")</f>
        <v>Day 2 - 24/06</v>
      </c>
      <c r="D835" s="6">
        <f>IFERROR(__xludf.DUMMYFUNCTION("""COMPUTED_VALUE"""),0.49642361111111116)</f>
        <v>0.4964236111</v>
      </c>
      <c r="E835" s="6">
        <f>IFERROR(__xludf.DUMMYFUNCTION("""COMPUTED_VALUE"""),3.4722222222222224E-4)</f>
        <v>0.0003472222222</v>
      </c>
      <c r="F835" s="6">
        <f>IFERROR(__xludf.DUMMYFUNCTION("""COMPUTED_VALUE"""),0.4967708333333334)</f>
        <v>0.4967708333</v>
      </c>
      <c r="G835" s="4" t="str">
        <f>IFERROR(__xludf.DUMMYFUNCTION("""COMPUTED_VALUE"""),"Graphics")</f>
        <v>Graphics</v>
      </c>
      <c r="H835" s="4" t="str">
        <f>IFERROR(__xludf.DUMMYFUNCTION("""COMPUTED_VALUE"""),"")</f>
        <v/>
      </c>
      <c r="I835" s="4" t="str">
        <f>IFERROR(__xludf.DUMMYFUNCTION("""COMPUTED_VALUE"""),"")</f>
        <v/>
      </c>
      <c r="J835" s="4" t="str">
        <f>IFERROR(__xludf.DUMMYFUNCTION("""COMPUTED_VALUE"""),"Society")</f>
        <v>Society</v>
      </c>
      <c r="K835" s="4" t="str">
        <f>IFERROR(__xludf.DUMMYFUNCTION("""COMPUTED_VALUE"""),"Partner ad")</f>
        <v>Partner ad</v>
      </c>
      <c r="L835" s="4" t="str">
        <f>IFERROR(__xludf.DUMMYFUNCTION("""COMPUTED_VALUE"""),"")</f>
        <v/>
      </c>
      <c r="M835" s="4" t="str">
        <f>IFERROR(__xludf.DUMMYFUNCTION("""COMPUTED_VALUE"""),"Partner logos")</f>
        <v>Partner logos</v>
      </c>
      <c r="N835" s="4" t="str">
        <f>IFERROR(__xludf.DUMMYFUNCTION("""COMPUTED_VALUE"""),"")</f>
        <v/>
      </c>
      <c r="O835" s="4" t="str">
        <f>IFERROR(__xludf.DUMMYFUNCTION("""COMPUTED_VALUE"""),"")</f>
        <v/>
      </c>
      <c r="P835" s="4" t="str">
        <f>IFERROR(__xludf.DUMMYFUNCTION("""COMPUTED_VALUE"""),"")</f>
        <v/>
      </c>
      <c r="Q835" s="4" t="str">
        <f>IFERROR(__xludf.DUMMYFUNCTION("""COMPUTED_VALUE"""),"")</f>
        <v/>
      </c>
      <c r="R835" s="4" t="str">
        <f>IFERROR(__xludf.DUMMYFUNCTION("""COMPUTED_VALUE"""),"")</f>
        <v/>
      </c>
      <c r="S835" s="4" t="str">
        <f>IFERROR(__xludf.DUMMYFUNCTION("""COMPUTED_VALUE"""),"")</f>
        <v/>
      </c>
      <c r="T835" s="4" t="str">
        <f>IFERROR(__xludf.DUMMYFUNCTION("""COMPUTED_VALUE"""),"")</f>
        <v/>
      </c>
      <c r="U835" s="4" t="str">
        <f>IFERROR(__xludf.DUMMYFUNCTION("""COMPUTED_VALUE"""),"")</f>
        <v/>
      </c>
      <c r="V835" s="4" t="str">
        <f>IFERROR(__xludf.DUMMYFUNCTION("""COMPUTED_VALUE"""),"")</f>
        <v/>
      </c>
      <c r="W835" s="4" t="str">
        <f>IFERROR(__xludf.DUMMYFUNCTION("""COMPUTED_VALUE"""),"")</f>
        <v/>
      </c>
      <c r="X835" s="4" t="str">
        <f>IFERROR(__xludf.DUMMYFUNCTION("""COMPUTED_VALUE"""),"")</f>
        <v/>
      </c>
      <c r="Y835" s="4" t="str">
        <f>IFERROR(__xludf.DUMMYFUNCTION("""COMPUTED_VALUE"""),"")</f>
        <v/>
      </c>
    </row>
    <row r="836">
      <c r="A836" s="4" t="str">
        <f>IFERROR(__xludf.DUMMYFUNCTION("""COMPUTED_VALUE"""),"952 - Channel")</f>
        <v>952 - Channel</v>
      </c>
      <c r="B836" s="4" t="str">
        <f>IFERROR(__xludf.DUMMYFUNCTION("""COMPUTED_VALUE"""),"Channel 3")</f>
        <v>Channel 3</v>
      </c>
      <c r="C836" s="4" t="str">
        <f>IFERROR(__xludf.DUMMYFUNCTION("""COMPUTED_VALUE"""),"Day 2 - 24/06")</f>
        <v>Day 2 - 24/06</v>
      </c>
      <c r="D836" s="6">
        <f>IFERROR(__xludf.DUMMYFUNCTION("""COMPUTED_VALUE"""),0.4967708333333334)</f>
        <v>0.4967708333</v>
      </c>
      <c r="E836" s="6">
        <f>IFERROR(__xludf.DUMMYFUNCTION("""COMPUTED_VALUE"""),3.4722222222222224E-4)</f>
        <v>0.0003472222222</v>
      </c>
      <c r="F836" s="6">
        <f>IFERROR(__xludf.DUMMYFUNCTION("""COMPUTED_VALUE"""),0.4971180555555556)</f>
        <v>0.4971180556</v>
      </c>
      <c r="G836" s="4" t="str">
        <f>IFERROR(__xludf.DUMMYFUNCTION("""COMPUTED_VALUE"""),"Startups")</f>
        <v>Startups</v>
      </c>
      <c r="H836" s="4" t="str">
        <f>IFERROR(__xludf.DUMMYFUNCTION("""COMPUTED_VALUE"""),"")</f>
        <v/>
      </c>
      <c r="I836" s="4" t="str">
        <f>IFERROR(__xludf.DUMMYFUNCTION("""COMPUTED_VALUE"""),"")</f>
        <v/>
      </c>
      <c r="J836" s="4" t="str">
        <f>IFERROR(__xludf.DUMMYFUNCTION("""COMPUTED_VALUE"""),"Gaming")</f>
        <v>Gaming</v>
      </c>
      <c r="K836" s="4" t="str">
        <f>IFERROR(__xludf.DUMMYFUNCTION("""COMPUTED_VALUE"""),"40 Words")</f>
        <v>40 Words</v>
      </c>
      <c r="L836" s="4" t="str">
        <f>IFERROR(__xludf.DUMMYFUNCTION("""COMPUTED_VALUE"""),"")</f>
        <v/>
      </c>
      <c r="M836" s="4" t="str">
        <f>IFERROR(__xludf.DUMMYFUNCTION("""COMPUTED_VALUE"""),"40 words #")</f>
        <v>40 words #</v>
      </c>
      <c r="N836" s="4" t="str">
        <f>IFERROR(__xludf.DUMMYFUNCTION("""COMPUTED_VALUE"""),"")</f>
        <v/>
      </c>
      <c r="O836" s="4" t="str">
        <f>IFERROR(__xludf.DUMMYFUNCTION("""COMPUTED_VALUE"""),"")</f>
        <v/>
      </c>
      <c r="P836" s="4" t="str">
        <f>IFERROR(__xludf.DUMMYFUNCTION("""COMPUTED_VALUE"""),"")</f>
        <v/>
      </c>
      <c r="Q836" s="4" t="str">
        <f>IFERROR(__xludf.DUMMYFUNCTION("""COMPUTED_VALUE"""),"")</f>
        <v/>
      </c>
      <c r="R836" s="4" t="str">
        <f>IFERROR(__xludf.DUMMYFUNCTION("""COMPUTED_VALUE"""),"")</f>
        <v/>
      </c>
      <c r="S836" s="4" t="str">
        <f>IFERROR(__xludf.DUMMYFUNCTION("""COMPUTED_VALUE"""),"")</f>
        <v/>
      </c>
      <c r="T836" s="4" t="str">
        <f>IFERROR(__xludf.DUMMYFUNCTION("""COMPUTED_VALUE"""),"")</f>
        <v/>
      </c>
      <c r="U836" s="4" t="str">
        <f>IFERROR(__xludf.DUMMYFUNCTION("""COMPUTED_VALUE"""),"")</f>
        <v/>
      </c>
      <c r="V836" s="4" t="str">
        <f>IFERROR(__xludf.DUMMYFUNCTION("""COMPUTED_VALUE"""),"")</f>
        <v/>
      </c>
      <c r="W836" s="4" t="str">
        <f>IFERROR(__xludf.DUMMYFUNCTION("""COMPUTED_VALUE"""),"")</f>
        <v/>
      </c>
      <c r="X836" s="4" t="str">
        <f>IFERROR(__xludf.DUMMYFUNCTION("""COMPUTED_VALUE"""),"")</f>
        <v/>
      </c>
      <c r="Y836" s="4" t="str">
        <f>IFERROR(__xludf.DUMMYFUNCTION("""COMPUTED_VALUE"""),"")</f>
        <v/>
      </c>
    </row>
    <row r="837">
      <c r="A837" s="4" t="str">
        <f>IFERROR(__xludf.DUMMYFUNCTION("""COMPUTED_VALUE"""),"1348 - Channel")</f>
        <v>1348 - Channel</v>
      </c>
      <c r="B837" s="4" t="str">
        <f>IFERROR(__xludf.DUMMYFUNCTION("""COMPUTED_VALUE"""),"Channel 3")</f>
        <v>Channel 3</v>
      </c>
      <c r="C837" s="4" t="str">
        <f>IFERROR(__xludf.DUMMYFUNCTION("""COMPUTED_VALUE"""),"Day 2 - 24/06")</f>
        <v>Day 2 - 24/06</v>
      </c>
      <c r="D837" s="4" t="str">
        <f>IFERROR(__xludf.DUMMYFUNCTION("""COMPUTED_VALUE"""),"")</f>
        <v/>
      </c>
      <c r="E837" s="4" t="str">
        <f>IFERROR(__xludf.DUMMYFUNCTION("""COMPUTED_VALUE"""),"")</f>
        <v/>
      </c>
      <c r="F837" s="4" t="str">
        <f>IFERROR(__xludf.DUMMYFUNCTION("""COMPUTED_VALUE"""),"")</f>
        <v/>
      </c>
      <c r="G837" s="4" t="str">
        <f>IFERROR(__xludf.DUMMYFUNCTION("""COMPUTED_VALUE"""),"")</f>
        <v/>
      </c>
      <c r="H837" s="4" t="str">
        <f>IFERROR(__xludf.DUMMYFUNCTION("""COMPUTED_VALUE"""),"")</f>
        <v/>
      </c>
      <c r="I837" s="4" t="str">
        <f>IFERROR(__xludf.DUMMYFUNCTION("""COMPUTED_VALUE"""),"")</f>
        <v/>
      </c>
      <c r="J837" s="4" t="str">
        <f>IFERROR(__xludf.DUMMYFUNCTION("""COMPUTED_VALUE"""),"")</f>
        <v/>
      </c>
      <c r="K837" s="4" t="str">
        <f>IFERROR(__xludf.DUMMYFUNCTION("""COMPUTED_VALUE"""),"")</f>
        <v/>
      </c>
      <c r="L837" s="4" t="str">
        <f>IFERROR(__xludf.DUMMYFUNCTION("""COMPUTED_VALUE"""),"")</f>
        <v/>
      </c>
      <c r="M837" s="4" t="str">
        <f>IFERROR(__xludf.DUMMYFUNCTION("""COMPUTED_VALUE"""),"")</f>
        <v/>
      </c>
      <c r="N837" s="4" t="str">
        <f>IFERROR(__xludf.DUMMYFUNCTION("""COMPUTED_VALUE"""),"")</f>
        <v/>
      </c>
      <c r="O837" s="4" t="str">
        <f>IFERROR(__xludf.DUMMYFUNCTION("""COMPUTED_VALUE"""),"")</f>
        <v/>
      </c>
      <c r="P837" s="4" t="str">
        <f>IFERROR(__xludf.DUMMYFUNCTION("""COMPUTED_VALUE"""),"")</f>
        <v/>
      </c>
      <c r="Q837" s="4" t="str">
        <f>IFERROR(__xludf.DUMMYFUNCTION("""COMPUTED_VALUE"""),"")</f>
        <v/>
      </c>
      <c r="R837" s="4" t="str">
        <f>IFERROR(__xludf.DUMMYFUNCTION("""COMPUTED_VALUE"""),"")</f>
        <v/>
      </c>
      <c r="S837" s="4" t="str">
        <f>IFERROR(__xludf.DUMMYFUNCTION("""COMPUTED_VALUE"""),"")</f>
        <v/>
      </c>
      <c r="T837" s="4" t="str">
        <f>IFERROR(__xludf.DUMMYFUNCTION("""COMPUTED_VALUE"""),"")</f>
        <v/>
      </c>
      <c r="U837" s="4" t="str">
        <f>IFERROR(__xludf.DUMMYFUNCTION("""COMPUTED_VALUE"""),"")</f>
        <v/>
      </c>
      <c r="V837" s="4" t="str">
        <f>IFERROR(__xludf.DUMMYFUNCTION("""COMPUTED_VALUE"""),"")</f>
        <v/>
      </c>
      <c r="W837" s="4" t="str">
        <f>IFERROR(__xludf.DUMMYFUNCTION("""COMPUTED_VALUE"""),"")</f>
        <v/>
      </c>
      <c r="X837" s="4" t="str">
        <f>IFERROR(__xludf.DUMMYFUNCTION("""COMPUTED_VALUE"""),"")</f>
        <v/>
      </c>
      <c r="Y837" s="4" t="str">
        <f>IFERROR(__xludf.DUMMYFUNCTION("""COMPUTED_VALUE"""),"")</f>
        <v/>
      </c>
    </row>
    <row r="838">
      <c r="A838" s="4" t="str">
        <f>IFERROR(__xludf.DUMMYFUNCTION("""COMPUTED_VALUE"""),"920 - Channel")</f>
        <v>920 - Channel</v>
      </c>
      <c r="B838" s="4" t="str">
        <f>IFERROR(__xludf.DUMMYFUNCTION("""COMPUTED_VALUE"""),"Channel 3")</f>
        <v>Channel 3</v>
      </c>
      <c r="C838" s="4" t="str">
        <f>IFERROR(__xludf.DUMMYFUNCTION("""COMPUTED_VALUE"""),"Day 2 - 24/06")</f>
        <v>Day 2 - 24/06</v>
      </c>
      <c r="D838" s="6">
        <f>IFERROR(__xludf.DUMMYFUNCTION("""COMPUTED_VALUE"""),0.5)</f>
        <v>0.5</v>
      </c>
      <c r="E838" s="6">
        <f>IFERROR(__xludf.DUMMYFUNCTION("""COMPUTED_VALUE"""),3.4722222222222224E-4)</f>
        <v>0.0003472222222</v>
      </c>
      <c r="F838" s="6">
        <f>IFERROR(__xludf.DUMMYFUNCTION("""COMPUTED_VALUE"""),0.5003472222222223)</f>
        <v>0.5003472222</v>
      </c>
      <c r="G838" s="4" t="str">
        <f>IFERROR(__xludf.DUMMYFUNCTION("""COMPUTED_VALUE"""),"Graphics")</f>
        <v>Graphics</v>
      </c>
      <c r="H838" s="4" t="str">
        <f>IFERROR(__xludf.DUMMYFUNCTION("""COMPUTED_VALUE"""),"N/A")</f>
        <v>N/A</v>
      </c>
      <c r="I838" s="4" t="str">
        <f>IFERROR(__xludf.DUMMYFUNCTION("""COMPUTED_VALUE"""),"N/A")</f>
        <v>N/A</v>
      </c>
      <c r="J838" s="4" t="str">
        <f>IFERROR(__xludf.DUMMYFUNCTION("""COMPUTED_VALUE"""),"Marketing")</f>
        <v>Marketing</v>
      </c>
      <c r="K838" s="4" t="str">
        <f>IFERROR(__xludf.DUMMYFUNCTION("""COMPUTED_VALUE"""),"Talk Intro")</f>
        <v>Talk Intro</v>
      </c>
      <c r="L838" s="4" t="str">
        <f>IFERROR(__xludf.DUMMYFUNCTION("""COMPUTED_VALUE"""),"")</f>
        <v/>
      </c>
      <c r="M838" s="4" t="str">
        <f>IFERROR(__xludf.DUMMYFUNCTION("""COMPUTED_VALUE"""),"Talk Intro")</f>
        <v>Talk Intro</v>
      </c>
      <c r="N838" s="4" t="str">
        <f>IFERROR(__xludf.DUMMYFUNCTION("""COMPUTED_VALUE"""),"")</f>
        <v/>
      </c>
      <c r="O838" s="4" t="str">
        <f>IFERROR(__xludf.DUMMYFUNCTION("""COMPUTED_VALUE"""),"")</f>
        <v/>
      </c>
      <c r="P838" s="4" t="str">
        <f>IFERROR(__xludf.DUMMYFUNCTION("""COMPUTED_VALUE"""),"")</f>
        <v/>
      </c>
      <c r="Q838" s="4" t="str">
        <f>IFERROR(__xludf.DUMMYFUNCTION("""COMPUTED_VALUE"""),"")</f>
        <v/>
      </c>
      <c r="R838" s="4" t="str">
        <f>IFERROR(__xludf.DUMMYFUNCTION("""COMPUTED_VALUE"""),"")</f>
        <v/>
      </c>
      <c r="S838" s="4" t="str">
        <f>IFERROR(__xludf.DUMMYFUNCTION("""COMPUTED_VALUE"""),"")</f>
        <v/>
      </c>
      <c r="T838" s="4" t="str">
        <f>IFERROR(__xludf.DUMMYFUNCTION("""COMPUTED_VALUE"""),"")</f>
        <v/>
      </c>
      <c r="U838" s="4" t="str">
        <f>IFERROR(__xludf.DUMMYFUNCTION("""COMPUTED_VALUE"""),"")</f>
        <v/>
      </c>
      <c r="V838" s="4" t="str">
        <f>IFERROR(__xludf.DUMMYFUNCTION("""COMPUTED_VALUE"""),"")</f>
        <v/>
      </c>
      <c r="W838" s="4" t="str">
        <f>IFERROR(__xludf.DUMMYFUNCTION("""COMPUTED_VALUE"""),"")</f>
        <v/>
      </c>
      <c r="X838" s="4" t="str">
        <f>IFERROR(__xludf.DUMMYFUNCTION("""COMPUTED_VALUE"""),"")</f>
        <v/>
      </c>
      <c r="Y838" s="4" t="str">
        <f>IFERROR(__xludf.DUMMYFUNCTION("""COMPUTED_VALUE"""),"")</f>
        <v/>
      </c>
    </row>
    <row r="839">
      <c r="A839" s="4" t="str">
        <f>IFERROR(__xludf.DUMMYFUNCTION("""COMPUTED_VALUE"""),"921 - Channel")</f>
        <v>921 - Channel</v>
      </c>
      <c r="B839" s="4" t="str">
        <f>IFERROR(__xludf.DUMMYFUNCTION("""COMPUTED_VALUE"""),"Channel 3")</f>
        <v>Channel 3</v>
      </c>
      <c r="C839" s="4" t="str">
        <f>IFERROR(__xludf.DUMMYFUNCTION("""COMPUTED_VALUE"""),"Day 2 - 24/06")</f>
        <v>Day 2 - 24/06</v>
      </c>
      <c r="D839" s="6">
        <f>IFERROR(__xludf.DUMMYFUNCTION("""COMPUTED_VALUE"""),0.5003472222222223)</f>
        <v>0.5003472222</v>
      </c>
      <c r="E839" s="6">
        <f>IFERROR(__xludf.DUMMYFUNCTION("""COMPUTED_VALUE"""),0.0096875)</f>
        <v>0.0096875</v>
      </c>
      <c r="F839" s="6">
        <f>IFERROR(__xludf.DUMMYFUNCTION("""COMPUTED_VALUE"""),0.5100347222222222)</f>
        <v>0.5100347222</v>
      </c>
      <c r="G839" s="4" t="str">
        <f>IFERROR(__xludf.DUMMYFUNCTION("""COMPUTED_VALUE"""),"Darragh")</f>
        <v>Darragh</v>
      </c>
      <c r="H839" s="4" t="str">
        <f>IFERROR(__xludf.DUMMYFUNCTION("""COMPUTED_VALUE"""),"Lisa")</f>
        <v>Lisa</v>
      </c>
      <c r="I839" s="4" t="str">
        <f>IFERROR(__xludf.DUMMYFUNCTION("""COMPUTED_VALUE"""),"Lynn")</f>
        <v>Lynn</v>
      </c>
      <c r="J839" s="4" t="str">
        <f>IFERROR(__xludf.DUMMYFUNCTION("""COMPUTED_VALUE"""),"Marketing")</f>
        <v>Marketing</v>
      </c>
      <c r="K839" s="4" t="str">
        <f>IFERROR(__xludf.DUMMYFUNCTION("""COMPUTED_VALUE"""),"Super Fireside")</f>
        <v>Super Fireside</v>
      </c>
      <c r="L839" s="4" t="str">
        <f>IFERROR(__xludf.DUMMYFUNCTION("""COMPUTED_VALUE"""),"T- 7 - 04/05/2020")</f>
        <v>T- 7 - 04/05/2020</v>
      </c>
      <c r="M839" s="4" t="str">
        <f>IFERROR(__xludf.DUMMYFUNCTION("""COMPUTED_VALUE"""),"Leading a legacy brand")</f>
        <v>Leading a legacy brand</v>
      </c>
      <c r="N839" s="4" t="str">
        <f>IFERROR(__xludf.DUMMYFUNCTION("""COMPUTED_VALUE"""),"Brad Hiranaga, General Mills")</f>
        <v>Brad Hiranaga, General Mills</v>
      </c>
      <c r="O839" s="4" t="str">
        <f>IFERROR(__xludf.DUMMYFUNCTION("""COMPUTED_VALUE"""),"Jessica Spence, Beam Suntory")</f>
        <v>Jessica Spence, Beam Suntory</v>
      </c>
      <c r="P839" s="4" t="str">
        <f>IFERROR(__xludf.DUMMYFUNCTION("""COMPUTED_VALUE"""),"")</f>
        <v/>
      </c>
      <c r="Q839" s="4" t="str">
        <f>IFERROR(__xludf.DUMMYFUNCTION("""COMPUTED_VALUE"""),"")</f>
        <v/>
      </c>
      <c r="R839" s="4" t="str">
        <f>IFERROR(__xludf.DUMMYFUNCTION("""COMPUTED_VALUE"""),"Ko Im, Adweek")</f>
        <v>Ko Im, Adweek</v>
      </c>
      <c r="S839" s="4" t="str">
        <f>IFERROR(__xludf.DUMMYFUNCTION("""COMPUTED_VALUE"""),"How do long-standing brands stay relevant in the digital age? Some of the world's top brands combine their heritage and culture with innovation and tech.")</f>
        <v>How do long-standing brands stay relevant in the digital age? Some of the world's top brands combine their heritage and culture with innovation and tech.</v>
      </c>
      <c r="T839" s="4" t="str">
        <f>IFERROR(__xludf.DUMMYFUNCTION("""COMPUTED_VALUE"""),"NON-KEYNOTE 9 - COMPLETE")</f>
        <v>NON-KEYNOTE 9 - COMPLETE</v>
      </c>
      <c r="U839" s="23">
        <f>IFERROR(__xludf.DUMMYFUNCTION("""COMPUTED_VALUE"""),43956.0)</f>
        <v>43956</v>
      </c>
      <c r="V839" s="24">
        <f>IFERROR(__xludf.DUMMYFUNCTION("""COMPUTED_VALUE"""),0.7083333333333334)</f>
        <v>0.7083333333</v>
      </c>
      <c r="W839" s="4" t="str">
        <f>IFERROR(__xludf.DUMMYFUNCTION("""COMPUTED_VALUE"""),"COMPLETE")</f>
        <v>COMPLETE</v>
      </c>
      <c r="X839" s="4" t="str">
        <f>IFERROR(__xludf.DUMMYFUNCTION("""COMPUTED_VALUE"""),"Darragh")</f>
        <v>Darragh</v>
      </c>
      <c r="Y839" s="4" t="str">
        <f>IFERROR(__xludf.DUMMYFUNCTION("""COMPUTED_VALUE"""),"")</f>
        <v/>
      </c>
    </row>
    <row r="840">
      <c r="A840" s="4" t="str">
        <f>IFERROR(__xludf.DUMMYFUNCTION("""COMPUTED_VALUE"""),"925 - Channel")</f>
        <v>925 - Channel</v>
      </c>
      <c r="B840" s="4" t="str">
        <f>IFERROR(__xludf.DUMMYFUNCTION("""COMPUTED_VALUE"""),"Channel 3")</f>
        <v>Channel 3</v>
      </c>
      <c r="C840" s="4" t="str">
        <f>IFERROR(__xludf.DUMMYFUNCTION("""COMPUTED_VALUE"""),"Day 2 - 24/06")</f>
        <v>Day 2 - 24/06</v>
      </c>
      <c r="D840" s="6">
        <f>IFERROR(__xludf.DUMMYFUNCTION("""COMPUTED_VALUE"""),0.5100347222222222)</f>
        <v>0.5100347222</v>
      </c>
      <c r="E840" s="6">
        <f>IFERROR(__xludf.DUMMYFUNCTION("""COMPUTED_VALUE"""),2.314814814814815E-4)</f>
        <v>0.0002314814815</v>
      </c>
      <c r="F840" s="6">
        <f>IFERROR(__xludf.DUMMYFUNCTION("""COMPUTED_VALUE"""),0.5102662037037037)</f>
        <v>0.5102662037</v>
      </c>
      <c r="G840" s="4" t="str">
        <f>IFERROR(__xludf.DUMMYFUNCTION("""COMPUTED_VALUE"""),"Graphics")</f>
        <v>Graphics</v>
      </c>
      <c r="H840" s="4" t="str">
        <f>IFERROR(__xludf.DUMMYFUNCTION("""COMPUTED_VALUE"""),"N/A")</f>
        <v>N/A</v>
      </c>
      <c r="I840" s="4" t="str">
        <f>IFERROR(__xludf.DUMMYFUNCTION("""COMPUTED_VALUE"""),"N/A")</f>
        <v>N/A</v>
      </c>
      <c r="J840" s="4" t="str">
        <f>IFERROR(__xludf.DUMMYFUNCTION("""COMPUTED_VALUE"""),"Marketing")</f>
        <v>Marketing</v>
      </c>
      <c r="K840" s="4" t="str">
        <f>IFERROR(__xludf.DUMMYFUNCTION("""COMPUTED_VALUE"""),"Talk Intro")</f>
        <v>Talk Intro</v>
      </c>
      <c r="L840" s="4" t="str">
        <f>IFERROR(__xludf.DUMMYFUNCTION("""COMPUTED_VALUE"""),"")</f>
        <v/>
      </c>
      <c r="M840" s="4" t="str">
        <f>IFERROR(__xludf.DUMMYFUNCTION("""COMPUTED_VALUE"""),"Talk Intro")</f>
        <v>Talk Intro</v>
      </c>
      <c r="N840" s="4" t="str">
        <f>IFERROR(__xludf.DUMMYFUNCTION("""COMPUTED_VALUE"""),"")</f>
        <v/>
      </c>
      <c r="O840" s="4" t="str">
        <f>IFERROR(__xludf.DUMMYFUNCTION("""COMPUTED_VALUE"""),"")</f>
        <v/>
      </c>
      <c r="P840" s="4" t="str">
        <f>IFERROR(__xludf.DUMMYFUNCTION("""COMPUTED_VALUE"""),"")</f>
        <v/>
      </c>
      <c r="Q840" s="4" t="str">
        <f>IFERROR(__xludf.DUMMYFUNCTION("""COMPUTED_VALUE"""),"")</f>
        <v/>
      </c>
      <c r="R840" s="4" t="str">
        <f>IFERROR(__xludf.DUMMYFUNCTION("""COMPUTED_VALUE"""),"")</f>
        <v/>
      </c>
      <c r="S840" s="4" t="str">
        <f>IFERROR(__xludf.DUMMYFUNCTION("""COMPUTED_VALUE"""),"")</f>
        <v/>
      </c>
      <c r="T840" s="4" t="str">
        <f>IFERROR(__xludf.DUMMYFUNCTION("""COMPUTED_VALUE"""),"")</f>
        <v/>
      </c>
      <c r="U840" s="4" t="str">
        <f>IFERROR(__xludf.DUMMYFUNCTION("""COMPUTED_VALUE"""),"")</f>
        <v/>
      </c>
      <c r="V840" s="4" t="str">
        <f>IFERROR(__xludf.DUMMYFUNCTION("""COMPUTED_VALUE"""),"")</f>
        <v/>
      </c>
      <c r="W840" s="4" t="str">
        <f>IFERROR(__xludf.DUMMYFUNCTION("""COMPUTED_VALUE"""),"")</f>
        <v/>
      </c>
      <c r="X840" s="4" t="str">
        <f>IFERROR(__xludf.DUMMYFUNCTION("""COMPUTED_VALUE"""),"")</f>
        <v/>
      </c>
      <c r="Y840" s="4" t="str">
        <f>IFERROR(__xludf.DUMMYFUNCTION("""COMPUTED_VALUE"""),"")</f>
        <v/>
      </c>
    </row>
    <row r="841">
      <c r="A841" s="4" t="str">
        <f>IFERROR(__xludf.DUMMYFUNCTION("""COMPUTED_VALUE"""),"926 - Channel")</f>
        <v>926 - Channel</v>
      </c>
      <c r="B841" s="4" t="str">
        <f>IFERROR(__xludf.DUMMYFUNCTION("""COMPUTED_VALUE"""),"Channel 3")</f>
        <v>Channel 3</v>
      </c>
      <c r="C841" s="4" t="str">
        <f>IFERROR(__xludf.DUMMYFUNCTION("""COMPUTED_VALUE"""),"Day 2 - 24/06")</f>
        <v>Day 2 - 24/06</v>
      </c>
      <c r="D841" s="6">
        <f>IFERROR(__xludf.DUMMYFUNCTION("""COMPUTED_VALUE"""),0.5102662037037037)</f>
        <v>0.5102662037</v>
      </c>
      <c r="E841" s="6">
        <f>IFERROR(__xludf.DUMMYFUNCTION("""COMPUTED_VALUE"""),0.013229166666666667)</f>
        <v>0.01322916667</v>
      </c>
      <c r="F841" s="6">
        <f>IFERROR(__xludf.DUMMYFUNCTION("""COMPUTED_VALUE"""),0.5234953703703703)</f>
        <v>0.5234953704</v>
      </c>
      <c r="G841" s="4" t="str">
        <f>IFERROR(__xludf.DUMMYFUNCTION("""COMPUTED_VALUE"""),"Helen")</f>
        <v>Helen</v>
      </c>
      <c r="H841" s="4" t="str">
        <f>IFERROR(__xludf.DUMMYFUNCTION("""COMPUTED_VALUE"""),"Lisa")</f>
        <v>Lisa</v>
      </c>
      <c r="I841" s="4" t="str">
        <f>IFERROR(__xludf.DUMMYFUNCTION("""COMPUTED_VALUE"""),"Lucia H.")</f>
        <v>Lucia H.</v>
      </c>
      <c r="J841" s="4" t="str">
        <f>IFERROR(__xludf.DUMMYFUNCTION("""COMPUTED_VALUE"""),"Marketing")</f>
        <v>Marketing</v>
      </c>
      <c r="K841" s="4" t="str">
        <f>IFERROR(__xludf.DUMMYFUNCTION("""COMPUTED_VALUE"""),"Fireside")</f>
        <v>Fireside</v>
      </c>
      <c r="L841" s="4" t="str">
        <f>IFERROR(__xludf.DUMMYFUNCTION("""COMPUTED_VALUE"""),"T- 4 - 25/05/2020")</f>
        <v>T- 4 - 25/05/2020</v>
      </c>
      <c r="M841" s="4" t="str">
        <f>IFERROR(__xludf.DUMMYFUNCTION("""COMPUTED_VALUE"""),"Sustainable business beyond greenwashing")</f>
        <v>Sustainable business beyond greenwashing</v>
      </c>
      <c r="N841" s="4" t="str">
        <f>IFERROR(__xludf.DUMMYFUNCTION("""COMPUTED_VALUE"""),"Anna Gedda, H&amp;M Group")</f>
        <v>Anna Gedda, H&amp;M Group</v>
      </c>
      <c r="O841" s="4" t="str">
        <f>IFERROR(__xludf.DUMMYFUNCTION("""COMPUTED_VALUE"""),"")</f>
        <v/>
      </c>
      <c r="P841" s="4" t="str">
        <f>IFERROR(__xludf.DUMMYFUNCTION("""COMPUTED_VALUE"""),"")</f>
        <v/>
      </c>
      <c r="Q841" s="4" t="str">
        <f>IFERROR(__xludf.DUMMYFUNCTION("""COMPUTED_VALUE"""),"")</f>
        <v/>
      </c>
      <c r="R841" s="4" t="str">
        <f>IFERROR(__xludf.DUMMYFUNCTION("""COMPUTED_VALUE"""),"Jennifer Crichton, The Flock")</f>
        <v>Jennifer Crichton, The Flock</v>
      </c>
      <c r="S841" s="4" t="str">
        <f>IFERROR(__xludf.DUMMYFUNCTION("""COMPUTED_VALUE"""),"As brands aim to be more socially responsible, how can you promise transparency and concious behaviour all the way down the supply chain? Join H&amp;M's chief sustainability officer in a discussion about circular business models.")</f>
        <v>As brands aim to be more socially responsible, how can you promise transparency and concious behaviour all the way down the supply chain? Join H&amp;M's chief sustainability officer in a discussion about circular business models.</v>
      </c>
      <c r="T841" s="4" t="str">
        <f>IFERROR(__xludf.DUMMYFUNCTION("""COMPUTED_VALUE"""),"NON-KEYNOTE 9 - COMPLETE")</f>
        <v>NON-KEYNOTE 9 - COMPLETE</v>
      </c>
      <c r="U841" s="23">
        <f>IFERROR(__xludf.DUMMYFUNCTION("""COMPUTED_VALUE"""),43979.0)</f>
        <v>43979</v>
      </c>
      <c r="V841" s="44">
        <f>IFERROR(__xludf.DUMMYFUNCTION("""COMPUTED_VALUE"""),0.5833333333333334)</f>
        <v>0.5833333333</v>
      </c>
      <c r="W841" s="4" t="str">
        <f>IFERROR(__xludf.DUMMYFUNCTION("""COMPUTED_VALUE"""),"COMPLETE")</f>
        <v>COMPLETE</v>
      </c>
      <c r="X841" s="4" t="str">
        <f>IFERROR(__xludf.DUMMYFUNCTION("""COMPUTED_VALUE"""),"Helen")</f>
        <v>Helen</v>
      </c>
      <c r="Y841" s="4" t="str">
        <f>IFERROR(__xludf.DUMMYFUNCTION("""COMPUTED_VALUE"""),"")</f>
        <v/>
      </c>
    </row>
    <row r="842">
      <c r="A842" s="4" t="str">
        <f>IFERROR(__xludf.DUMMYFUNCTION("""COMPUTED_VALUE"""),"1582 - Channel")</f>
        <v>1582 - Channel</v>
      </c>
      <c r="B842" s="4" t="str">
        <f>IFERROR(__xludf.DUMMYFUNCTION("""COMPUTED_VALUE"""),"Channel 3")</f>
        <v>Channel 3</v>
      </c>
      <c r="C842" s="4" t="str">
        <f>IFERROR(__xludf.DUMMYFUNCTION("""COMPUTED_VALUE"""),"Day 2 - 24/06")</f>
        <v>Day 2 - 24/06</v>
      </c>
      <c r="D842" s="6">
        <f>IFERROR(__xludf.DUMMYFUNCTION("""COMPUTED_VALUE"""),0.5234953703703703)</f>
        <v>0.5234953704</v>
      </c>
      <c r="E842" s="53">
        <f>IFERROR(__xludf.DUMMYFUNCTION("""COMPUTED_VALUE"""),2.314814814814815E-4)</f>
        <v>0.0002314814815</v>
      </c>
      <c r="F842" s="6">
        <f>IFERROR(__xludf.DUMMYFUNCTION("""COMPUTED_VALUE"""),0.5237268518518517)</f>
        <v>0.5237268519</v>
      </c>
      <c r="G842" s="4" t="str">
        <f>IFERROR(__xludf.DUMMYFUNCTION("""COMPUTED_VALUE"""),"Graphics")</f>
        <v>Graphics</v>
      </c>
      <c r="H842" s="4" t="str">
        <f>IFERROR(__xludf.DUMMYFUNCTION("""COMPUTED_VALUE"""),"")</f>
        <v/>
      </c>
      <c r="I842" s="4" t="str">
        <f>IFERROR(__xludf.DUMMYFUNCTION("""COMPUTED_VALUE"""),"")</f>
        <v/>
      </c>
      <c r="J842" s="4" t="str">
        <f>IFERROR(__xludf.DUMMYFUNCTION("""COMPUTED_VALUE"""),"")</f>
        <v/>
      </c>
      <c r="K842" s="4" t="str">
        <f>IFERROR(__xludf.DUMMYFUNCTION("""COMPUTED_VALUE"""),"Talk Intro")</f>
        <v>Talk Intro</v>
      </c>
      <c r="L842" s="4" t="str">
        <f>IFERROR(__xludf.DUMMYFUNCTION("""COMPUTED_VALUE"""),"")</f>
        <v/>
      </c>
      <c r="M842" s="4" t="str">
        <f>IFERROR(__xludf.DUMMYFUNCTION("""COMPUTED_VALUE"""),"Talk Intro")</f>
        <v>Talk Intro</v>
      </c>
      <c r="N842" s="4" t="str">
        <f>IFERROR(__xludf.DUMMYFUNCTION("""COMPUTED_VALUE"""),"")</f>
        <v/>
      </c>
      <c r="O842" s="4" t="str">
        <f>IFERROR(__xludf.DUMMYFUNCTION("""COMPUTED_VALUE"""),"")</f>
        <v/>
      </c>
      <c r="P842" s="4" t="str">
        <f>IFERROR(__xludf.DUMMYFUNCTION("""COMPUTED_VALUE"""),"")</f>
        <v/>
      </c>
      <c r="Q842" s="4" t="str">
        <f>IFERROR(__xludf.DUMMYFUNCTION("""COMPUTED_VALUE"""),"")</f>
        <v/>
      </c>
      <c r="R842" s="4" t="str">
        <f>IFERROR(__xludf.DUMMYFUNCTION("""COMPUTED_VALUE"""),"")</f>
        <v/>
      </c>
      <c r="S842" s="4" t="str">
        <f>IFERROR(__xludf.DUMMYFUNCTION("""COMPUTED_VALUE"""),"")</f>
        <v/>
      </c>
      <c r="T842" s="4" t="str">
        <f>IFERROR(__xludf.DUMMYFUNCTION("""COMPUTED_VALUE"""),"")</f>
        <v/>
      </c>
      <c r="U842" s="4" t="str">
        <f>IFERROR(__xludf.DUMMYFUNCTION("""COMPUTED_VALUE"""),"")</f>
        <v/>
      </c>
      <c r="V842" s="4" t="str">
        <f>IFERROR(__xludf.DUMMYFUNCTION("""COMPUTED_VALUE"""),"")</f>
        <v/>
      </c>
      <c r="W842" s="4" t="str">
        <f>IFERROR(__xludf.DUMMYFUNCTION("""COMPUTED_VALUE"""),"")</f>
        <v/>
      </c>
      <c r="X842" s="4" t="str">
        <f>IFERROR(__xludf.DUMMYFUNCTION("""COMPUTED_VALUE"""),"")</f>
        <v/>
      </c>
      <c r="Y842" s="4" t="str">
        <f>IFERROR(__xludf.DUMMYFUNCTION("""COMPUTED_VALUE"""),"")</f>
        <v/>
      </c>
    </row>
    <row r="843">
      <c r="A843" s="4" t="str">
        <f>IFERROR(__xludf.DUMMYFUNCTION("""COMPUTED_VALUE"""),"1583 - Channel")</f>
        <v>1583 - Channel</v>
      </c>
      <c r="B843" s="4" t="str">
        <f>IFERROR(__xludf.DUMMYFUNCTION("""COMPUTED_VALUE"""),"Channel 3")</f>
        <v>Channel 3</v>
      </c>
      <c r="C843" s="4" t="str">
        <f>IFERROR(__xludf.DUMMYFUNCTION("""COMPUTED_VALUE"""),"Day 2 - 24/06")</f>
        <v>Day 2 - 24/06</v>
      </c>
      <c r="D843" s="6">
        <f>IFERROR(__xludf.DUMMYFUNCTION("""COMPUTED_VALUE"""),0.5237268518518517)</f>
        <v>0.5237268519</v>
      </c>
      <c r="E843" s="6">
        <f>IFERROR(__xludf.DUMMYFUNCTION("""COMPUTED_VALUE"""),0.010416666666666666)</f>
        <v>0.01041666667</v>
      </c>
      <c r="F843" s="6">
        <f>IFERROR(__xludf.DUMMYFUNCTION("""COMPUTED_VALUE"""),0.5341435185185184)</f>
        <v>0.5341435185</v>
      </c>
      <c r="G843" s="4" t="str">
        <f>IFERROR(__xludf.DUMMYFUNCTION("""COMPUTED_VALUE"""),"Stephen")</f>
        <v>Stephen</v>
      </c>
      <c r="H843" s="4" t="str">
        <f>IFERROR(__xludf.DUMMYFUNCTION("""COMPUTED_VALUE"""),"")</f>
        <v/>
      </c>
      <c r="I843" s="4" t="str">
        <f>IFERROR(__xludf.DUMMYFUNCTION("""COMPUTED_VALUE"""),"Eabha")</f>
        <v>Eabha</v>
      </c>
      <c r="J843" s="4" t="str">
        <f>IFERROR(__xludf.DUMMYFUNCTION("""COMPUTED_VALUE"""),"")</f>
        <v/>
      </c>
      <c r="K843" s="4" t="str">
        <f>IFERROR(__xludf.DUMMYFUNCTION("""COMPUTED_VALUE"""),"Fireside")</f>
        <v>Fireside</v>
      </c>
      <c r="L843" s="4" t="str">
        <f>IFERROR(__xludf.DUMMYFUNCTION("""COMPUTED_VALUE"""),"T- 2 - 08/06/2020")</f>
        <v>T- 2 - 08/06/2020</v>
      </c>
      <c r="M843" s="4" t="str">
        <f>IFERROR(__xludf.DUMMYFUNCTION("""COMPUTED_VALUE"""),"Beyond the bombshell")</f>
        <v>Beyond the bombshell</v>
      </c>
      <c r="N843" s="4" t="str">
        <f>IFERROR(__xludf.DUMMYFUNCTION("""COMPUTED_VALUE"""),"Gretchen Carlson, Gretchen Carlson")</f>
        <v>Gretchen Carlson, Gretchen Carlson</v>
      </c>
      <c r="O843" s="4" t="str">
        <f>IFERROR(__xludf.DUMMYFUNCTION("""COMPUTED_VALUE"""),"")</f>
        <v/>
      </c>
      <c r="P843" s="4" t="str">
        <f>IFERROR(__xludf.DUMMYFUNCTION("""COMPUTED_VALUE"""),"")</f>
        <v/>
      </c>
      <c r="Q843" s="4" t="str">
        <f>IFERROR(__xludf.DUMMYFUNCTION("""COMPUTED_VALUE"""),"")</f>
        <v/>
      </c>
      <c r="R843" s="4" t="str">
        <f>IFERROR(__xludf.DUMMYFUNCTION("""COMPUTED_VALUE"""),"Samantha Barry, Glamour")</f>
        <v>Samantha Barry, Glamour</v>
      </c>
      <c r="S843" s="4" t="str">
        <f>IFERROR(__xludf.DUMMYFUNCTION("""COMPUTED_VALUE"""),"Journalist and whistleblower, Gretchen Carlson will talk paving the way for #MeToo and her continued advocacy for victims of sexual harassment.")</f>
        <v>Journalist and whistleblower, Gretchen Carlson will talk paving the way for #MeToo and her continued advocacy for victims of sexual harassment.</v>
      </c>
      <c r="T843" s="4" t="str">
        <f>IFERROR(__xludf.DUMMYFUNCTION("""COMPUTED_VALUE"""),"KEYNOTE 6 - Video to be recorded")</f>
        <v>KEYNOTE 6 - Video to be recorded</v>
      </c>
      <c r="U843" s="23">
        <f>IFERROR(__xludf.DUMMYFUNCTION("""COMPUTED_VALUE"""),43992.0)</f>
        <v>43992</v>
      </c>
      <c r="V843" s="44">
        <f>IFERROR(__xludf.DUMMYFUNCTION("""COMPUTED_VALUE"""),0.5625)</f>
        <v>0.5625</v>
      </c>
      <c r="W843" s="21" t="str">
        <f>IFERROR(__xludf.DUMMYFUNCTION("""COMPUTED_VALUE"""),"https://zoom.us/j/6206255996?pwd=Ykxjb3VncFVOTU9TUlhGaGlVRUQ5dz09")</f>
        <v>https://zoom.us/j/6206255996?pwd=Ykxjb3VncFVOTU9TUlhGaGlVRUQ5dz09</v>
      </c>
      <c r="X843" s="4" t="str">
        <f>IFERROR(__xludf.DUMMYFUNCTION("""COMPUTED_VALUE"""),"Stephen")</f>
        <v>Stephen</v>
      </c>
      <c r="Y843" s="4" t="str">
        <f>IFERROR(__xludf.DUMMYFUNCTION("""COMPUTED_VALUE"""),"")</f>
        <v/>
      </c>
    </row>
    <row r="844">
      <c r="A844" s="4" t="str">
        <f>IFERROR(__xludf.DUMMYFUNCTION("""COMPUTED_VALUE"""),"956 - Channel")</f>
        <v>956 - Channel</v>
      </c>
      <c r="B844" s="4" t="str">
        <f>IFERROR(__xludf.DUMMYFUNCTION("""COMPUTED_VALUE"""),"Channel 3")</f>
        <v>Channel 3</v>
      </c>
      <c r="C844" s="4" t="str">
        <f>IFERROR(__xludf.DUMMYFUNCTION("""COMPUTED_VALUE"""),"Day 2 - 24/06")</f>
        <v>Day 2 - 24/06</v>
      </c>
      <c r="D844" s="6">
        <f>IFERROR(__xludf.DUMMYFUNCTION("""COMPUTED_VALUE"""),0.5341435185185184)</f>
        <v>0.5341435185</v>
      </c>
      <c r="E844" s="6">
        <f>IFERROR(__xludf.DUMMYFUNCTION("""COMPUTED_VALUE"""),2.314814814814815E-4)</f>
        <v>0.0002314814815</v>
      </c>
      <c r="F844" s="6">
        <f>IFERROR(__xludf.DUMMYFUNCTION("""COMPUTED_VALUE"""),0.5343749999999998)</f>
        <v>0.534375</v>
      </c>
      <c r="G844" s="4" t="str">
        <f>IFERROR(__xludf.DUMMYFUNCTION("""COMPUTED_VALUE"""),"Graphics")</f>
        <v>Graphics</v>
      </c>
      <c r="H844" s="4" t="str">
        <f>IFERROR(__xludf.DUMMYFUNCTION("""COMPUTED_VALUE"""),"N/A")</f>
        <v>N/A</v>
      </c>
      <c r="I844" s="4" t="str">
        <f>IFERROR(__xludf.DUMMYFUNCTION("""COMPUTED_VALUE"""),"N/A")</f>
        <v>N/A</v>
      </c>
      <c r="J844" s="4" t="str">
        <f>IFERROR(__xludf.DUMMYFUNCTION("""COMPUTED_VALUE"""),"News")</f>
        <v>News</v>
      </c>
      <c r="K844" s="4" t="str">
        <f>IFERROR(__xludf.DUMMYFUNCTION("""COMPUTED_VALUE"""),"Talk Intro")</f>
        <v>Talk Intro</v>
      </c>
      <c r="L844" s="4" t="str">
        <f>IFERROR(__xludf.DUMMYFUNCTION("""COMPUTED_VALUE"""),"")</f>
        <v/>
      </c>
      <c r="M844" s="4" t="str">
        <f>IFERROR(__xludf.DUMMYFUNCTION("""COMPUTED_VALUE"""),"Talk Intro")</f>
        <v>Talk Intro</v>
      </c>
      <c r="N844" s="4" t="str">
        <f>IFERROR(__xludf.DUMMYFUNCTION("""COMPUTED_VALUE"""),"")</f>
        <v/>
      </c>
      <c r="O844" s="4" t="str">
        <f>IFERROR(__xludf.DUMMYFUNCTION("""COMPUTED_VALUE"""),"")</f>
        <v/>
      </c>
      <c r="P844" s="4" t="str">
        <f>IFERROR(__xludf.DUMMYFUNCTION("""COMPUTED_VALUE"""),"")</f>
        <v/>
      </c>
      <c r="Q844" s="4" t="str">
        <f>IFERROR(__xludf.DUMMYFUNCTION("""COMPUTED_VALUE"""),"")</f>
        <v/>
      </c>
      <c r="R844" s="4" t="str">
        <f>IFERROR(__xludf.DUMMYFUNCTION("""COMPUTED_VALUE"""),"")</f>
        <v/>
      </c>
      <c r="S844" s="4" t="str">
        <f>IFERROR(__xludf.DUMMYFUNCTION("""COMPUTED_VALUE"""),"")</f>
        <v/>
      </c>
      <c r="T844" s="4" t="str">
        <f>IFERROR(__xludf.DUMMYFUNCTION("""COMPUTED_VALUE"""),"")</f>
        <v/>
      </c>
      <c r="U844" s="4" t="str">
        <f>IFERROR(__xludf.DUMMYFUNCTION("""COMPUTED_VALUE"""),"")</f>
        <v/>
      </c>
      <c r="V844" s="4" t="str">
        <f>IFERROR(__xludf.DUMMYFUNCTION("""COMPUTED_VALUE"""),"")</f>
        <v/>
      </c>
      <c r="W844" s="4" t="str">
        <f>IFERROR(__xludf.DUMMYFUNCTION("""COMPUTED_VALUE"""),"")</f>
        <v/>
      </c>
      <c r="X844" s="4" t="str">
        <f>IFERROR(__xludf.DUMMYFUNCTION("""COMPUTED_VALUE"""),"")</f>
        <v/>
      </c>
      <c r="Y844" s="4" t="str">
        <f>IFERROR(__xludf.DUMMYFUNCTION("""COMPUTED_VALUE"""),"")</f>
        <v/>
      </c>
    </row>
    <row r="845">
      <c r="A845" s="4" t="str">
        <f>IFERROR(__xludf.DUMMYFUNCTION("""COMPUTED_VALUE"""),"957 - Channel")</f>
        <v>957 - Channel</v>
      </c>
      <c r="B845" s="4" t="str">
        <f>IFERROR(__xludf.DUMMYFUNCTION("""COMPUTED_VALUE"""),"Channel 3")</f>
        <v>Channel 3</v>
      </c>
      <c r="C845" s="4" t="str">
        <f>IFERROR(__xludf.DUMMYFUNCTION("""COMPUTED_VALUE"""),"Day 2 - 24/06")</f>
        <v>Day 2 - 24/06</v>
      </c>
      <c r="D845" s="6">
        <f>IFERROR(__xludf.DUMMYFUNCTION("""COMPUTED_VALUE"""),0.5343749999999998)</f>
        <v>0.534375</v>
      </c>
      <c r="E845" s="6">
        <f>IFERROR(__xludf.DUMMYFUNCTION("""COMPUTED_VALUE"""),0.007048611111111111)</f>
        <v>0.007048611111</v>
      </c>
      <c r="F845" s="6">
        <f>IFERROR(__xludf.DUMMYFUNCTION("""COMPUTED_VALUE"""),0.5414236111111109)</f>
        <v>0.5414236111</v>
      </c>
      <c r="G845" s="4" t="str">
        <f>IFERROR(__xludf.DUMMYFUNCTION("""COMPUTED_VALUE"""),"Yvonne")</f>
        <v>Yvonne</v>
      </c>
      <c r="H845" s="4" t="str">
        <f>IFERROR(__xludf.DUMMYFUNCTION("""COMPUTED_VALUE"""),"Stephen")</f>
        <v>Stephen</v>
      </c>
      <c r="I845" s="4" t="str">
        <f>IFERROR(__xludf.DUMMYFUNCTION("""COMPUTED_VALUE"""),"Lucia H.")</f>
        <v>Lucia H.</v>
      </c>
      <c r="J845" s="4" t="str">
        <f>IFERROR(__xludf.DUMMYFUNCTION("""COMPUTED_VALUE"""),"News")</f>
        <v>News</v>
      </c>
      <c r="K845" s="4" t="str">
        <f>IFERROR(__xludf.DUMMYFUNCTION("""COMPUTED_VALUE"""),"Fireside")</f>
        <v>Fireside</v>
      </c>
      <c r="L845" s="4" t="str">
        <f>IFERROR(__xludf.DUMMYFUNCTION("""COMPUTED_VALUE"""),"T- 3 - 01/06/2020")</f>
        <v>T- 3 - 01/06/2020</v>
      </c>
      <c r="M845" s="4" t="str">
        <f>IFERROR(__xludf.DUMMYFUNCTION("""COMPUTED_VALUE"""),"Brand new, brand you")</f>
        <v>Brand new, brand you</v>
      </c>
      <c r="N845" s="4" t="str">
        <f>IFERROR(__xludf.DUMMYFUNCTION("""COMPUTED_VALUE"""),"Larry Madowo, BBC")</f>
        <v>Larry Madowo, BBC</v>
      </c>
      <c r="O845" s="4" t="str">
        <f>IFERROR(__xludf.DUMMYFUNCTION("""COMPUTED_VALUE"""),"")</f>
        <v/>
      </c>
      <c r="P845" s="4" t="str">
        <f>IFERROR(__xludf.DUMMYFUNCTION("""COMPUTED_VALUE"""),"")</f>
        <v/>
      </c>
      <c r="Q845" s="4" t="str">
        <f>IFERROR(__xludf.DUMMYFUNCTION("""COMPUTED_VALUE"""),"")</f>
        <v/>
      </c>
      <c r="R845" s="4" t="str">
        <f>IFERROR(__xludf.DUMMYFUNCTION("""COMPUTED_VALUE"""),"Michelle Manafy, Digital Content Next")</f>
        <v>Michelle Manafy, Digital Content Next</v>
      </c>
      <c r="S845" s="4" t="str">
        <f>IFERROR(__xludf.DUMMYFUNCTION("""COMPUTED_VALUE"""),"Social media can power your journalistic brand and build affinity and trust with your audience. If you use it the right way. But what's the right way? We asked the hack racking up followers with apparent ease.")</f>
        <v>Social media can power your journalistic brand and build affinity and trust with your audience. If you use it the right way. But what's the right way? We asked the hack racking up followers with apparent ease.</v>
      </c>
      <c r="T845" s="4" t="str">
        <f>IFERROR(__xludf.DUMMYFUNCTION("""COMPUTED_VALUE"""),"NON-KEYNOTE 9 - COMPLETE")</f>
        <v>NON-KEYNOTE 9 - COMPLETE</v>
      </c>
      <c r="U845" s="23">
        <f>IFERROR(__xludf.DUMMYFUNCTION("""COMPUTED_VALUE"""),43987.0)</f>
        <v>43987</v>
      </c>
      <c r="V845" s="44">
        <f>IFERROR(__xludf.DUMMYFUNCTION("""COMPUTED_VALUE"""),0.5833333333333334)</f>
        <v>0.5833333333</v>
      </c>
      <c r="W845" s="4" t="str">
        <f>IFERROR(__xludf.DUMMYFUNCTION("""COMPUTED_VALUE"""),"COMPLETE")</f>
        <v>COMPLETE</v>
      </c>
      <c r="X845" s="4" t="str">
        <f>IFERROR(__xludf.DUMMYFUNCTION("""COMPUTED_VALUE"""),"Yvonne")</f>
        <v>Yvonne</v>
      </c>
      <c r="Y845" s="4" t="str">
        <f>IFERROR(__xludf.DUMMYFUNCTION("""COMPUTED_VALUE"""),"")</f>
        <v/>
      </c>
    </row>
    <row r="846">
      <c r="A846" s="4" t="str">
        <f>IFERROR(__xludf.DUMMYFUNCTION("""COMPUTED_VALUE"""),"1349 - Channel")</f>
        <v>1349 - Channel</v>
      </c>
      <c r="B846" s="4" t="str">
        <f>IFERROR(__xludf.DUMMYFUNCTION("""COMPUTED_VALUE"""),"Channel 3")</f>
        <v>Channel 3</v>
      </c>
      <c r="C846" s="4" t="str">
        <f>IFERROR(__xludf.DUMMYFUNCTION("""COMPUTED_VALUE"""),"")</f>
        <v/>
      </c>
      <c r="D846" s="4" t="str">
        <f>IFERROR(__xludf.DUMMYFUNCTION("""COMPUTED_VALUE"""),"")</f>
        <v/>
      </c>
      <c r="E846" s="4" t="str">
        <f>IFERROR(__xludf.DUMMYFUNCTION("""COMPUTED_VALUE"""),"")</f>
        <v/>
      </c>
      <c r="F846" s="4" t="str">
        <f>IFERROR(__xludf.DUMMYFUNCTION("""COMPUTED_VALUE"""),"")</f>
        <v/>
      </c>
      <c r="G846" s="4" t="str">
        <f>IFERROR(__xludf.DUMMYFUNCTION("""COMPUTED_VALUE"""),"")</f>
        <v/>
      </c>
      <c r="H846" s="4" t="str">
        <f>IFERROR(__xludf.DUMMYFUNCTION("""COMPUTED_VALUE"""),"")</f>
        <v/>
      </c>
      <c r="I846" s="4" t="str">
        <f>IFERROR(__xludf.DUMMYFUNCTION("""COMPUTED_VALUE"""),"")</f>
        <v/>
      </c>
      <c r="J846" s="4" t="str">
        <f>IFERROR(__xludf.DUMMYFUNCTION("""COMPUTED_VALUE"""),"")</f>
        <v/>
      </c>
      <c r="K846" s="4" t="str">
        <f>IFERROR(__xludf.DUMMYFUNCTION("""COMPUTED_VALUE"""),"")</f>
        <v/>
      </c>
      <c r="L846" s="4" t="str">
        <f>IFERROR(__xludf.DUMMYFUNCTION("""COMPUTED_VALUE"""),"")</f>
        <v/>
      </c>
      <c r="M846" s="4" t="str">
        <f>IFERROR(__xludf.DUMMYFUNCTION("""COMPUTED_VALUE"""),"")</f>
        <v/>
      </c>
      <c r="N846" s="4" t="str">
        <f>IFERROR(__xludf.DUMMYFUNCTION("""COMPUTED_VALUE"""),"")</f>
        <v/>
      </c>
      <c r="O846" s="4" t="str">
        <f>IFERROR(__xludf.DUMMYFUNCTION("""COMPUTED_VALUE"""),"")</f>
        <v/>
      </c>
      <c r="P846" s="4" t="str">
        <f>IFERROR(__xludf.DUMMYFUNCTION("""COMPUTED_VALUE"""),"")</f>
        <v/>
      </c>
      <c r="Q846" s="4" t="str">
        <f>IFERROR(__xludf.DUMMYFUNCTION("""COMPUTED_VALUE"""),"")</f>
        <v/>
      </c>
      <c r="R846" s="4" t="str">
        <f>IFERROR(__xludf.DUMMYFUNCTION("""COMPUTED_VALUE"""),"")</f>
        <v/>
      </c>
      <c r="S846" s="4" t="str">
        <f>IFERROR(__xludf.DUMMYFUNCTION("""COMPUTED_VALUE"""),"")</f>
        <v/>
      </c>
      <c r="T846" s="4" t="str">
        <f>IFERROR(__xludf.DUMMYFUNCTION("""COMPUTED_VALUE"""),"")</f>
        <v/>
      </c>
      <c r="U846" s="4" t="str">
        <f>IFERROR(__xludf.DUMMYFUNCTION("""COMPUTED_VALUE"""),"")</f>
        <v/>
      </c>
      <c r="V846" s="4" t="str">
        <f>IFERROR(__xludf.DUMMYFUNCTION("""COMPUTED_VALUE"""),"")</f>
        <v/>
      </c>
      <c r="W846" s="4" t="str">
        <f>IFERROR(__xludf.DUMMYFUNCTION("""COMPUTED_VALUE"""),"")</f>
        <v/>
      </c>
      <c r="X846" s="4" t="str">
        <f>IFERROR(__xludf.DUMMYFUNCTION("""COMPUTED_VALUE"""),"")</f>
        <v/>
      </c>
      <c r="Y846" s="4" t="str">
        <f>IFERROR(__xludf.DUMMYFUNCTION("""COMPUTED_VALUE"""),"")</f>
        <v/>
      </c>
    </row>
    <row r="847">
      <c r="A847" s="4" t="str">
        <f>IFERROR(__xludf.DUMMYFUNCTION("""COMPUTED_VALUE"""),"928 - Channel")</f>
        <v>928 - Channel</v>
      </c>
      <c r="B847" s="4" t="str">
        <f>IFERROR(__xludf.DUMMYFUNCTION("""COMPUTED_VALUE"""),"Channel 3")</f>
        <v>Channel 3</v>
      </c>
      <c r="C847" s="4" t="str">
        <f>IFERROR(__xludf.DUMMYFUNCTION("""COMPUTED_VALUE"""),"Day 2 - 24/06")</f>
        <v>Day 2 - 24/06</v>
      </c>
      <c r="D847" s="6">
        <f>IFERROR(__xludf.DUMMYFUNCTION("""COMPUTED_VALUE"""),0.5416666666666666)</f>
        <v>0.5416666667</v>
      </c>
      <c r="E847" s="6">
        <f>IFERROR(__xludf.DUMMYFUNCTION("""COMPUTED_VALUE"""),3.4722222222222224E-4)</f>
        <v>0.0003472222222</v>
      </c>
      <c r="F847" s="6">
        <f>IFERROR(__xludf.DUMMYFUNCTION("""COMPUTED_VALUE"""),0.5420138888888889)</f>
        <v>0.5420138889</v>
      </c>
      <c r="G847" s="4" t="str">
        <f>IFERROR(__xludf.DUMMYFUNCTION("""COMPUTED_VALUE"""),"Graphics")</f>
        <v>Graphics</v>
      </c>
      <c r="H847" s="4" t="str">
        <f>IFERROR(__xludf.DUMMYFUNCTION("""COMPUTED_VALUE"""),"N/A")</f>
        <v>N/A</v>
      </c>
      <c r="I847" s="4" t="str">
        <f>IFERROR(__xludf.DUMMYFUNCTION("""COMPUTED_VALUE"""),"N/A")</f>
        <v>N/A</v>
      </c>
      <c r="J847" s="4" t="str">
        <f>IFERROR(__xludf.DUMMYFUNCTION("""COMPUTED_VALUE"""),"Marketing")</f>
        <v>Marketing</v>
      </c>
      <c r="K847" s="4" t="str">
        <f>IFERROR(__xludf.DUMMYFUNCTION("""COMPUTED_VALUE"""),"Talk Intro")</f>
        <v>Talk Intro</v>
      </c>
      <c r="L847" s="4" t="str">
        <f>IFERROR(__xludf.DUMMYFUNCTION("""COMPUTED_VALUE"""),"")</f>
        <v/>
      </c>
      <c r="M847" s="4" t="str">
        <f>IFERROR(__xludf.DUMMYFUNCTION("""COMPUTED_VALUE"""),"Talk Intro")</f>
        <v>Talk Intro</v>
      </c>
      <c r="N847" s="4" t="str">
        <f>IFERROR(__xludf.DUMMYFUNCTION("""COMPUTED_VALUE"""),"")</f>
        <v/>
      </c>
      <c r="O847" s="4" t="str">
        <f>IFERROR(__xludf.DUMMYFUNCTION("""COMPUTED_VALUE"""),"")</f>
        <v/>
      </c>
      <c r="P847" s="4" t="str">
        <f>IFERROR(__xludf.DUMMYFUNCTION("""COMPUTED_VALUE"""),"")</f>
        <v/>
      </c>
      <c r="Q847" s="4" t="str">
        <f>IFERROR(__xludf.DUMMYFUNCTION("""COMPUTED_VALUE"""),"")</f>
        <v/>
      </c>
      <c r="R847" s="4" t="str">
        <f>IFERROR(__xludf.DUMMYFUNCTION("""COMPUTED_VALUE"""),"")</f>
        <v/>
      </c>
      <c r="S847" s="4" t="str">
        <f>IFERROR(__xludf.DUMMYFUNCTION("""COMPUTED_VALUE"""),"")</f>
        <v/>
      </c>
      <c r="T847" s="4" t="str">
        <f>IFERROR(__xludf.DUMMYFUNCTION("""COMPUTED_VALUE"""),"")</f>
        <v/>
      </c>
      <c r="U847" s="4" t="str">
        <f>IFERROR(__xludf.DUMMYFUNCTION("""COMPUTED_VALUE"""),"")</f>
        <v/>
      </c>
      <c r="V847" s="4" t="str">
        <f>IFERROR(__xludf.DUMMYFUNCTION("""COMPUTED_VALUE"""),"")</f>
        <v/>
      </c>
      <c r="W847" s="4" t="str">
        <f>IFERROR(__xludf.DUMMYFUNCTION("""COMPUTED_VALUE"""),"")</f>
        <v/>
      </c>
      <c r="X847" s="4" t="str">
        <f>IFERROR(__xludf.DUMMYFUNCTION("""COMPUTED_VALUE"""),"")</f>
        <v/>
      </c>
      <c r="Y847" s="4" t="str">
        <f>IFERROR(__xludf.DUMMYFUNCTION("""COMPUTED_VALUE"""),"")</f>
        <v/>
      </c>
    </row>
    <row r="848">
      <c r="A848" s="4" t="str">
        <f>IFERROR(__xludf.DUMMYFUNCTION("""COMPUTED_VALUE"""),"929 - Channel")</f>
        <v>929 - Channel</v>
      </c>
      <c r="B848" s="4" t="str">
        <f>IFERROR(__xludf.DUMMYFUNCTION("""COMPUTED_VALUE"""),"Channel 3")</f>
        <v>Channel 3</v>
      </c>
      <c r="C848" s="4" t="str">
        <f>IFERROR(__xludf.DUMMYFUNCTION("""COMPUTED_VALUE"""),"Day 2 - 24/06")</f>
        <v>Day 2 - 24/06</v>
      </c>
      <c r="D848" s="6">
        <f>IFERROR(__xludf.DUMMYFUNCTION("""COMPUTED_VALUE"""),0.5420138888888889)</f>
        <v>0.5420138889</v>
      </c>
      <c r="E848" s="6">
        <f>IFERROR(__xludf.DUMMYFUNCTION("""COMPUTED_VALUE"""),0.007662037037037037)</f>
        <v>0.007662037037</v>
      </c>
      <c r="F848" s="6">
        <f>IFERROR(__xludf.DUMMYFUNCTION("""COMPUTED_VALUE"""),0.549675925925926)</f>
        <v>0.5496759259</v>
      </c>
      <c r="G848" s="4" t="str">
        <f>IFERROR(__xludf.DUMMYFUNCTION("""COMPUTED_VALUE"""),"Luan")</f>
        <v>Luan</v>
      </c>
      <c r="H848" s="4" t="str">
        <f>IFERROR(__xludf.DUMMYFUNCTION("""COMPUTED_VALUE"""),"Lisa")</f>
        <v>Lisa</v>
      </c>
      <c r="I848" s="4" t="str">
        <f>IFERROR(__xludf.DUMMYFUNCTION("""COMPUTED_VALUE"""),"Francisca")</f>
        <v>Francisca</v>
      </c>
      <c r="J848" s="4" t="str">
        <f>IFERROR(__xludf.DUMMYFUNCTION("""COMPUTED_VALUE"""),"Marketing")</f>
        <v>Marketing</v>
      </c>
      <c r="K848" s="4" t="str">
        <f>IFERROR(__xludf.DUMMYFUNCTION("""COMPUTED_VALUE"""),"Fireside")</f>
        <v>Fireside</v>
      </c>
      <c r="L848" s="4" t="str">
        <f>IFERROR(__xludf.DUMMYFUNCTION("""COMPUTED_VALUE"""),"T- 5 - 18/05/2020")</f>
        <v>T- 5 - 18/05/2020</v>
      </c>
      <c r="M848" s="4" t="str">
        <f>IFERROR(__xludf.DUMMYFUNCTION("""COMPUTED_VALUE"""),"Responsible messaging during a pandemic")</f>
        <v>Responsible messaging during a pandemic</v>
      </c>
      <c r="N848" s="4" t="str">
        <f>IFERROR(__xludf.DUMMYFUNCTION("""COMPUTED_VALUE"""),"John Saunders, Fleishman Hillard")</f>
        <v>John Saunders, Fleishman Hillard</v>
      </c>
      <c r="O848" s="4" t="str">
        <f>IFERROR(__xludf.DUMMYFUNCTION("""COMPUTED_VALUE"""),"")</f>
        <v/>
      </c>
      <c r="P848" s="4" t="str">
        <f>IFERROR(__xludf.DUMMYFUNCTION("""COMPUTED_VALUE"""),"")</f>
        <v/>
      </c>
      <c r="Q848" s="4" t="str">
        <f>IFERROR(__xludf.DUMMYFUNCTION("""COMPUTED_VALUE"""),"")</f>
        <v/>
      </c>
      <c r="R848" s="4" t="str">
        <f>IFERROR(__xludf.DUMMYFUNCTION("""COMPUTED_VALUE"""),"George Slefo, Ad Age")</f>
        <v>George Slefo, Ad Age</v>
      </c>
      <c r="S848" s="4" t="str">
        <f>IFERROR(__xludf.DUMMYFUNCTION("""COMPUTED_VALUE"""),"The communication of accurate information is more important now than ever. It is saving lives. Big brands and companies have a responsibility to get their messaging in line. Let's find out how they can do that.")</f>
        <v>The communication of accurate information is more important now than ever. It is saving lives. Big brands and companies have a responsibility to get their messaging in line. Let's find out how they can do that.</v>
      </c>
      <c r="T848" s="4" t="str">
        <f>IFERROR(__xludf.DUMMYFUNCTION("""COMPUTED_VALUE"""),"NON-KEYNOTE 9 - COMPLETE")</f>
        <v>NON-KEYNOTE 9 - COMPLETE</v>
      </c>
      <c r="U848" s="23">
        <f>IFERROR(__xludf.DUMMYFUNCTION("""COMPUTED_VALUE"""),43972.0)</f>
        <v>43972</v>
      </c>
      <c r="V848" s="24">
        <f>IFERROR(__xludf.DUMMYFUNCTION("""COMPUTED_VALUE"""),0.7291666666666666)</f>
        <v>0.7291666667</v>
      </c>
      <c r="W848" s="4" t="str">
        <f>IFERROR(__xludf.DUMMYFUNCTION("""COMPUTED_VALUE"""),"COMPLETE")</f>
        <v>COMPLETE</v>
      </c>
      <c r="X848" s="4" t="str">
        <f>IFERROR(__xludf.DUMMYFUNCTION("""COMPUTED_VALUE"""),"Ines")</f>
        <v>Ines</v>
      </c>
      <c r="Y848" s="4" t="str">
        <f>IFERROR(__xludf.DUMMYFUNCTION("""COMPUTED_VALUE"""),"")</f>
        <v/>
      </c>
    </row>
    <row r="849">
      <c r="A849" s="4" t="str">
        <f>IFERROR(__xludf.DUMMYFUNCTION("""COMPUTED_VALUE"""),"1638 - Channel")</f>
        <v>1638 - Channel</v>
      </c>
      <c r="B849" s="4" t="str">
        <f>IFERROR(__xludf.DUMMYFUNCTION("""COMPUTED_VALUE"""),"Channel 3")</f>
        <v>Channel 3</v>
      </c>
      <c r="C849" s="4" t="str">
        <f>IFERROR(__xludf.DUMMYFUNCTION("""COMPUTED_VALUE"""),"Day 2 - 24/06")</f>
        <v>Day 2 - 24/06</v>
      </c>
      <c r="D849" s="6">
        <f>IFERROR(__xludf.DUMMYFUNCTION("""COMPUTED_VALUE"""),0.549675925925926)</f>
        <v>0.5496759259</v>
      </c>
      <c r="E849" s="6">
        <f>IFERROR(__xludf.DUMMYFUNCTION("""COMPUTED_VALUE"""),2.314814814814815E-4)</f>
        <v>0.0002314814815</v>
      </c>
      <c r="F849" s="6">
        <f>IFERROR(__xludf.DUMMYFUNCTION("""COMPUTED_VALUE"""),0.5499074074074074)</f>
        <v>0.5499074074</v>
      </c>
      <c r="G849" s="4" t="str">
        <f>IFERROR(__xludf.DUMMYFUNCTION("""COMPUTED_VALUE"""),"Graphics")</f>
        <v>Graphics</v>
      </c>
      <c r="H849" s="4" t="str">
        <f>IFERROR(__xludf.DUMMYFUNCTION("""COMPUTED_VALUE"""),"")</f>
        <v/>
      </c>
      <c r="I849" s="4" t="str">
        <f>IFERROR(__xludf.DUMMYFUNCTION("""COMPUTED_VALUE"""),"")</f>
        <v/>
      </c>
      <c r="J849" s="4" t="str">
        <f>IFERROR(__xludf.DUMMYFUNCTION("""COMPUTED_VALUE"""),"")</f>
        <v/>
      </c>
      <c r="K849" s="4" t="str">
        <f>IFERROR(__xludf.DUMMYFUNCTION("""COMPUTED_VALUE"""),"Talk Intro")</f>
        <v>Talk Intro</v>
      </c>
      <c r="L849" s="4" t="str">
        <f>IFERROR(__xludf.DUMMYFUNCTION("""COMPUTED_VALUE"""),"")</f>
        <v/>
      </c>
      <c r="M849" s="4" t="str">
        <f>IFERROR(__xludf.DUMMYFUNCTION("""COMPUTED_VALUE"""),"Talk Intro")</f>
        <v>Talk Intro</v>
      </c>
      <c r="N849" s="4" t="str">
        <f>IFERROR(__xludf.DUMMYFUNCTION("""COMPUTED_VALUE"""),"")</f>
        <v/>
      </c>
      <c r="O849" s="4" t="str">
        <f>IFERROR(__xludf.DUMMYFUNCTION("""COMPUTED_VALUE"""),"")</f>
        <v/>
      </c>
      <c r="P849" s="4" t="str">
        <f>IFERROR(__xludf.DUMMYFUNCTION("""COMPUTED_VALUE"""),"")</f>
        <v/>
      </c>
      <c r="Q849" s="4" t="str">
        <f>IFERROR(__xludf.DUMMYFUNCTION("""COMPUTED_VALUE"""),"")</f>
        <v/>
      </c>
      <c r="R849" s="4" t="str">
        <f>IFERROR(__xludf.DUMMYFUNCTION("""COMPUTED_VALUE"""),"")</f>
        <v/>
      </c>
      <c r="S849" s="4" t="str">
        <f>IFERROR(__xludf.DUMMYFUNCTION("""COMPUTED_VALUE"""),"")</f>
        <v/>
      </c>
      <c r="T849" s="4" t="str">
        <f>IFERROR(__xludf.DUMMYFUNCTION("""COMPUTED_VALUE"""),"")</f>
        <v/>
      </c>
      <c r="U849" s="4" t="str">
        <f>IFERROR(__xludf.DUMMYFUNCTION("""COMPUTED_VALUE"""),"")</f>
        <v/>
      </c>
      <c r="V849" s="4" t="str">
        <f>IFERROR(__xludf.DUMMYFUNCTION("""COMPUTED_VALUE"""),"")</f>
        <v/>
      </c>
      <c r="W849" s="4" t="str">
        <f>IFERROR(__xludf.DUMMYFUNCTION("""COMPUTED_VALUE"""),"")</f>
        <v/>
      </c>
      <c r="X849" s="4" t="str">
        <f>IFERROR(__xludf.DUMMYFUNCTION("""COMPUTED_VALUE"""),"")</f>
        <v/>
      </c>
      <c r="Y849" s="4" t="str">
        <f>IFERROR(__xludf.DUMMYFUNCTION("""COMPUTED_VALUE"""),"")</f>
        <v/>
      </c>
    </row>
    <row r="850">
      <c r="A850" s="4" t="str">
        <f>IFERROR(__xludf.DUMMYFUNCTION("""COMPUTED_VALUE"""),"1639 - Channel")</f>
        <v>1639 - Channel</v>
      </c>
      <c r="B850" s="4" t="str">
        <f>IFERROR(__xludf.DUMMYFUNCTION("""COMPUTED_VALUE"""),"Channel 3")</f>
        <v>Channel 3</v>
      </c>
      <c r="C850" s="4" t="str">
        <f>IFERROR(__xludf.DUMMYFUNCTION("""COMPUTED_VALUE"""),"Day 2 - 24/06")</f>
        <v>Day 2 - 24/06</v>
      </c>
      <c r="D850" s="6">
        <f>IFERROR(__xludf.DUMMYFUNCTION("""COMPUTED_VALUE"""),0.5499074074074074)</f>
        <v>0.5499074074</v>
      </c>
      <c r="E850" s="6">
        <f>IFERROR(__xludf.DUMMYFUNCTION("""COMPUTED_VALUE"""),0.0021412037037037038)</f>
        <v>0.002141203704</v>
      </c>
      <c r="F850" s="6">
        <f>IFERROR(__xludf.DUMMYFUNCTION("""COMPUTED_VALUE"""),0.5520486111111111)</f>
        <v>0.5520486111</v>
      </c>
      <c r="G850" s="4" t="str">
        <f>IFERROR(__xludf.DUMMYFUNCTION("""COMPUTED_VALUE"""),"Dan")</f>
        <v>Dan</v>
      </c>
      <c r="H850" s="4" t="str">
        <f>IFERROR(__xludf.DUMMYFUNCTION("""COMPUTED_VALUE"""),"")</f>
        <v/>
      </c>
      <c r="I850" s="4" t="str">
        <f>IFERROR(__xludf.DUMMYFUNCTION("""COMPUTED_VALUE"""),"Jack")</f>
        <v>Jack</v>
      </c>
      <c r="J850" s="4" t="str">
        <f>IFERROR(__xludf.DUMMYFUNCTION("""COMPUTED_VALUE"""),"Sales")</f>
        <v>Sales</v>
      </c>
      <c r="K850" s="4" t="str">
        <f>IFERROR(__xludf.DUMMYFUNCTION("""COMPUTED_VALUE"""),"Keynote")</f>
        <v>Keynote</v>
      </c>
      <c r="L850" s="4" t="str">
        <f>IFERROR(__xludf.DUMMYFUNCTION("""COMPUTED_VALUE"""),"")</f>
        <v/>
      </c>
      <c r="M850" s="4" t="str">
        <f>IFERROR(__xludf.DUMMYFUNCTION("""COMPUTED_VALUE"""),"Closing a sale when your customer is closed")</f>
        <v>Closing a sale when your customer is closed</v>
      </c>
      <c r="N850" s="4" t="str">
        <f>IFERROR(__xludf.DUMMYFUNCTION("""COMPUTED_VALUE"""),"Bryan O'Connell, Huckleberry")</f>
        <v>Bryan O'Connell, Huckleberry</v>
      </c>
      <c r="O850" s="4" t="str">
        <f>IFERROR(__xludf.DUMMYFUNCTION("""COMPUTED_VALUE"""),"")</f>
        <v/>
      </c>
      <c r="P850" s="4" t="str">
        <f>IFERROR(__xludf.DUMMYFUNCTION("""COMPUTED_VALUE"""),"")</f>
        <v/>
      </c>
      <c r="Q850" s="4" t="str">
        <f>IFERROR(__xludf.DUMMYFUNCTION("""COMPUTED_VALUE"""),"")</f>
        <v/>
      </c>
      <c r="R850" s="4" t="str">
        <f>IFERROR(__xludf.DUMMYFUNCTION("""COMPUTED_VALUE"""),"")</f>
        <v/>
      </c>
      <c r="S850" s="4" t="str">
        <f>IFERROR(__xludf.DUMMYFUNCTION("""COMPUTED_VALUE"""),"Hear from Huckleberry founder and CEO, Bryan O’Connell, on how to close a sale when your customer is closed.")</f>
        <v>Hear from Huckleberry founder and CEO, Bryan O’Connell, on how to close a sale when your customer is closed.</v>
      </c>
      <c r="T850" s="4" t="str">
        <f>IFERROR(__xludf.DUMMYFUNCTION("""COMPUTED_VALUE"""),"KEYNOTE 8 - COMPLETE")</f>
        <v>KEYNOTE 8 - COMPLETE</v>
      </c>
      <c r="U850" s="23">
        <f>IFERROR(__xludf.DUMMYFUNCTION("""COMPUTED_VALUE"""),43980.0)</f>
        <v>43980</v>
      </c>
      <c r="V850" s="24">
        <f>IFERROR(__xludf.DUMMYFUNCTION("""COMPUTED_VALUE"""),0.75)</f>
        <v>0.75</v>
      </c>
      <c r="W850" s="4" t="str">
        <f>IFERROR(__xludf.DUMMYFUNCTION("""COMPUTED_VALUE"""),"COMPLETE")</f>
        <v>COMPLETE</v>
      </c>
      <c r="X850" s="4" t="str">
        <f>IFERROR(__xludf.DUMMYFUNCTION("""COMPUTED_VALUE"""),"Dan")</f>
        <v>Dan</v>
      </c>
      <c r="Y850" s="4" t="str">
        <f>IFERROR(__xludf.DUMMYFUNCTION("""COMPUTED_VALUE"""),"")</f>
        <v/>
      </c>
    </row>
    <row r="851">
      <c r="A851" s="4" t="str">
        <f>IFERROR(__xludf.DUMMYFUNCTION("""COMPUTED_VALUE"""),"1676 - Channel")</f>
        <v>1676 - Channel</v>
      </c>
      <c r="B851" s="4" t="str">
        <f>IFERROR(__xludf.DUMMYFUNCTION("""COMPUTED_VALUE"""),"Channel 3")</f>
        <v>Channel 3</v>
      </c>
      <c r="C851" s="4" t="str">
        <f>IFERROR(__xludf.DUMMYFUNCTION("""COMPUTED_VALUE"""),"Day 2 - 24/06")</f>
        <v>Day 2 - 24/06</v>
      </c>
      <c r="D851" s="6">
        <f>IFERROR(__xludf.DUMMYFUNCTION("""COMPUTED_VALUE"""),0.5520486111111111)</f>
        <v>0.5520486111</v>
      </c>
      <c r="E851" s="6">
        <f>IFERROR(__xludf.DUMMYFUNCTION("""COMPUTED_VALUE"""),3.4722222222222224E-4)</f>
        <v>0.0003472222222</v>
      </c>
      <c r="F851" s="6">
        <f>IFERROR(__xludf.DUMMYFUNCTION("""COMPUTED_VALUE"""),0.5523958333333334)</f>
        <v>0.5523958333</v>
      </c>
      <c r="G851" s="4" t="str">
        <f>IFERROR(__xludf.DUMMYFUNCTION("""COMPUTED_VALUE"""),"Graphics")</f>
        <v>Graphics</v>
      </c>
      <c r="H851" s="4" t="str">
        <f>IFERROR(__xludf.DUMMYFUNCTION("""COMPUTED_VALUE"""),"")</f>
        <v/>
      </c>
      <c r="I851" s="4" t="str">
        <f>IFERROR(__xludf.DUMMYFUNCTION("""COMPUTED_VALUE"""),"")</f>
        <v/>
      </c>
      <c r="J851" s="4" t="str">
        <f>IFERROR(__xludf.DUMMYFUNCTION("""COMPUTED_VALUE"""),"")</f>
        <v/>
      </c>
      <c r="K851" s="4" t="str">
        <f>IFERROR(__xludf.DUMMYFUNCTION("""COMPUTED_VALUE"""),"RISE Trailer")</f>
        <v>RISE Trailer</v>
      </c>
      <c r="L851" s="4" t="str">
        <f>IFERROR(__xludf.DUMMYFUNCTION("""COMPUTED_VALUE"""),"")</f>
        <v/>
      </c>
      <c r="M851" s="4" t="str">
        <f>IFERROR(__xludf.DUMMYFUNCTION("""COMPUTED_VALUE"""),"RISE Trailer")</f>
        <v>RISE Trailer</v>
      </c>
      <c r="N851" s="4" t="str">
        <f>IFERROR(__xludf.DUMMYFUNCTION("""COMPUTED_VALUE"""),"")</f>
        <v/>
      </c>
      <c r="O851" s="4" t="str">
        <f>IFERROR(__xludf.DUMMYFUNCTION("""COMPUTED_VALUE"""),"")</f>
        <v/>
      </c>
      <c r="P851" s="4" t="str">
        <f>IFERROR(__xludf.DUMMYFUNCTION("""COMPUTED_VALUE"""),"")</f>
        <v/>
      </c>
      <c r="Q851" s="4" t="str">
        <f>IFERROR(__xludf.DUMMYFUNCTION("""COMPUTED_VALUE"""),"")</f>
        <v/>
      </c>
      <c r="R851" s="4" t="str">
        <f>IFERROR(__xludf.DUMMYFUNCTION("""COMPUTED_VALUE"""),"")</f>
        <v/>
      </c>
      <c r="S851" s="4" t="str">
        <f>IFERROR(__xludf.DUMMYFUNCTION("""COMPUTED_VALUE"""),"")</f>
        <v/>
      </c>
      <c r="T851" s="4" t="str">
        <f>IFERROR(__xludf.DUMMYFUNCTION("""COMPUTED_VALUE"""),"")</f>
        <v/>
      </c>
      <c r="U851" s="4" t="str">
        <f>IFERROR(__xludf.DUMMYFUNCTION("""COMPUTED_VALUE"""),"")</f>
        <v/>
      </c>
      <c r="V851" s="4" t="str">
        <f>IFERROR(__xludf.DUMMYFUNCTION("""COMPUTED_VALUE"""),"")</f>
        <v/>
      </c>
      <c r="W851" s="4" t="str">
        <f>IFERROR(__xludf.DUMMYFUNCTION("""COMPUTED_VALUE"""),"")</f>
        <v/>
      </c>
      <c r="X851" s="4" t="str">
        <f>IFERROR(__xludf.DUMMYFUNCTION("""COMPUTED_VALUE"""),"")</f>
        <v/>
      </c>
      <c r="Y851" s="4" t="str">
        <f>IFERROR(__xludf.DUMMYFUNCTION("""COMPUTED_VALUE"""),"")</f>
        <v/>
      </c>
    </row>
    <row r="852">
      <c r="A852" s="4" t="str">
        <f>IFERROR(__xludf.DUMMYFUNCTION("""COMPUTED_VALUE"""),"942 - Channel")</f>
        <v>942 - Channel</v>
      </c>
      <c r="B852" s="4" t="str">
        <f>IFERROR(__xludf.DUMMYFUNCTION("""COMPUTED_VALUE"""),"Channel 3")</f>
        <v>Channel 3</v>
      </c>
      <c r="C852" s="4" t="str">
        <f>IFERROR(__xludf.DUMMYFUNCTION("""COMPUTED_VALUE"""),"Day 2 - 24/06")</f>
        <v>Day 2 - 24/06</v>
      </c>
      <c r="D852" s="6">
        <f>IFERROR(__xludf.DUMMYFUNCTION("""COMPUTED_VALUE"""),0.5523958333333334)</f>
        <v>0.5523958333</v>
      </c>
      <c r="E852" s="6">
        <f>IFERROR(__xludf.DUMMYFUNCTION("""COMPUTED_VALUE"""),2.314814814814815E-4)</f>
        <v>0.0002314814815</v>
      </c>
      <c r="F852" s="6">
        <f>IFERROR(__xludf.DUMMYFUNCTION("""COMPUTED_VALUE"""),0.5526273148148149)</f>
        <v>0.5526273148</v>
      </c>
      <c r="G852" s="4" t="str">
        <f>IFERROR(__xludf.DUMMYFUNCTION("""COMPUTED_VALUE"""),"Graphics")</f>
        <v>Graphics</v>
      </c>
      <c r="H852" s="4" t="str">
        <f>IFERROR(__xludf.DUMMYFUNCTION("""COMPUTED_VALUE"""),"N/A")</f>
        <v>N/A</v>
      </c>
      <c r="I852" s="4" t="str">
        <f>IFERROR(__xludf.DUMMYFUNCTION("""COMPUTED_VALUE"""),"N/A")</f>
        <v>N/A</v>
      </c>
      <c r="J852" s="4" t="str">
        <f>IFERROR(__xludf.DUMMYFUNCTION("""COMPUTED_VALUE"""),"Gaming")</f>
        <v>Gaming</v>
      </c>
      <c r="K852" s="4" t="str">
        <f>IFERROR(__xludf.DUMMYFUNCTION("""COMPUTED_VALUE"""),"Talk Intro")</f>
        <v>Talk Intro</v>
      </c>
      <c r="L852" s="4" t="str">
        <f>IFERROR(__xludf.DUMMYFUNCTION("""COMPUTED_VALUE"""),"")</f>
        <v/>
      </c>
      <c r="M852" s="4" t="str">
        <f>IFERROR(__xludf.DUMMYFUNCTION("""COMPUTED_VALUE"""),"Talk Intro")</f>
        <v>Talk Intro</v>
      </c>
      <c r="N852" s="4" t="str">
        <f>IFERROR(__xludf.DUMMYFUNCTION("""COMPUTED_VALUE"""),"")</f>
        <v/>
      </c>
      <c r="O852" s="4" t="str">
        <f>IFERROR(__xludf.DUMMYFUNCTION("""COMPUTED_VALUE"""),"")</f>
        <v/>
      </c>
      <c r="P852" s="4" t="str">
        <f>IFERROR(__xludf.DUMMYFUNCTION("""COMPUTED_VALUE"""),"")</f>
        <v/>
      </c>
      <c r="Q852" s="4" t="str">
        <f>IFERROR(__xludf.DUMMYFUNCTION("""COMPUTED_VALUE"""),"")</f>
        <v/>
      </c>
      <c r="R852" s="4" t="str">
        <f>IFERROR(__xludf.DUMMYFUNCTION("""COMPUTED_VALUE"""),"")</f>
        <v/>
      </c>
      <c r="S852" s="4" t="str">
        <f>IFERROR(__xludf.DUMMYFUNCTION("""COMPUTED_VALUE"""),"")</f>
        <v/>
      </c>
      <c r="T852" s="4" t="str">
        <f>IFERROR(__xludf.DUMMYFUNCTION("""COMPUTED_VALUE"""),"")</f>
        <v/>
      </c>
      <c r="U852" s="4" t="str">
        <f>IFERROR(__xludf.DUMMYFUNCTION("""COMPUTED_VALUE"""),"")</f>
        <v/>
      </c>
      <c r="V852" s="4" t="str">
        <f>IFERROR(__xludf.DUMMYFUNCTION("""COMPUTED_VALUE"""),"")</f>
        <v/>
      </c>
      <c r="W852" s="4" t="str">
        <f>IFERROR(__xludf.DUMMYFUNCTION("""COMPUTED_VALUE"""),"")</f>
        <v/>
      </c>
      <c r="X852" s="4" t="str">
        <f>IFERROR(__xludf.DUMMYFUNCTION("""COMPUTED_VALUE"""),"")</f>
        <v/>
      </c>
      <c r="Y852" s="4" t="str">
        <f>IFERROR(__xludf.DUMMYFUNCTION("""COMPUTED_VALUE"""),"")</f>
        <v/>
      </c>
    </row>
    <row r="853">
      <c r="A853" s="4" t="str">
        <f>IFERROR(__xludf.DUMMYFUNCTION("""COMPUTED_VALUE"""),"943 - Channel")</f>
        <v>943 - Channel</v>
      </c>
      <c r="B853" s="4" t="str">
        <f>IFERROR(__xludf.DUMMYFUNCTION("""COMPUTED_VALUE"""),"Channel 3")</f>
        <v>Channel 3</v>
      </c>
      <c r="C853" s="4" t="str">
        <f>IFERROR(__xludf.DUMMYFUNCTION("""COMPUTED_VALUE"""),"Day 2 - 24/06")</f>
        <v>Day 2 - 24/06</v>
      </c>
      <c r="D853" s="6">
        <f>IFERROR(__xludf.DUMMYFUNCTION("""COMPUTED_VALUE"""),0.5526273148148149)</f>
        <v>0.5526273148</v>
      </c>
      <c r="E853" s="6">
        <f>IFERROR(__xludf.DUMMYFUNCTION("""COMPUTED_VALUE"""),0.013865740740740741)</f>
        <v>0.01386574074</v>
      </c>
      <c r="F853" s="6">
        <f>IFERROR(__xludf.DUMMYFUNCTION("""COMPUTED_VALUE"""),0.5664930555555556)</f>
        <v>0.5664930556</v>
      </c>
      <c r="G853" s="4" t="str">
        <f>IFERROR(__xludf.DUMMYFUNCTION("""COMPUTED_VALUE"""),"Colm")</f>
        <v>Colm</v>
      </c>
      <c r="H853" s="4" t="str">
        <f>IFERROR(__xludf.DUMMYFUNCTION("""COMPUTED_VALUE"""),"Lisa")</f>
        <v>Lisa</v>
      </c>
      <c r="I853" s="4" t="str">
        <f>IFERROR(__xludf.DUMMYFUNCTION("""COMPUTED_VALUE"""),"Lucia H.")</f>
        <v>Lucia H.</v>
      </c>
      <c r="J853" s="4" t="str">
        <f>IFERROR(__xludf.DUMMYFUNCTION("""COMPUTED_VALUE"""),"Gaming")</f>
        <v>Gaming</v>
      </c>
      <c r="K853" s="4" t="str">
        <f>IFERROR(__xludf.DUMMYFUNCTION("""COMPUTED_VALUE"""),"Fireside")</f>
        <v>Fireside</v>
      </c>
      <c r="L853" s="4" t="str">
        <f>IFERROR(__xludf.DUMMYFUNCTION("""COMPUTED_VALUE"""),"T- 5 - 18/05/2020")</f>
        <v>T- 5 - 18/05/2020</v>
      </c>
      <c r="M853" s="4" t="str">
        <f>IFERROR(__xludf.DUMMYFUNCTION("""COMPUTED_VALUE"""),"Answering the Call of Duty")</f>
        <v>Answering the Call of Duty</v>
      </c>
      <c r="N853" s="4" t="str">
        <f>IFERROR(__xludf.DUMMYFUNCTION("""COMPUTED_VALUE"""),"Johanna Faries, Activision Blizzard")</f>
        <v>Johanna Faries, Activision Blizzard</v>
      </c>
      <c r="O853" s="4" t="str">
        <f>IFERROR(__xludf.DUMMYFUNCTION("""COMPUTED_VALUE"""),"")</f>
        <v/>
      </c>
      <c r="P853" s="4" t="str">
        <f>IFERROR(__xludf.DUMMYFUNCTION("""COMPUTED_VALUE"""),"")</f>
        <v/>
      </c>
      <c r="Q853" s="4" t="str">
        <f>IFERROR(__xludf.DUMMYFUNCTION("""COMPUTED_VALUE"""),"")</f>
        <v/>
      </c>
      <c r="R853" s="4" t="str">
        <f>IFERROR(__xludf.DUMMYFUNCTION("""COMPUTED_VALUE"""),"Jason Abbruzzese, NBC News")</f>
        <v>Jason Abbruzzese, NBC News</v>
      </c>
      <c r="S853" s="4" t="str">
        <f>IFERROR(__xludf.DUMMYFUNCTION("""COMPUTED_VALUE"""),"Meet the first and only female commissioner of an eSports league. Activision Blizzard's Call of Duty commissioner Johanna will discuss launching the league and pivoting to online matches, and explain what it's like providing competitive eSports during a d"&amp;"rought of traditional live sports. ")</f>
        <v>Meet the first and only female commissioner of an eSports league. Activision Blizzard's Call of Duty commissioner Johanna will discuss launching the league and pivoting to online matches, and explain what it's like providing competitive eSports during a drought of traditional live sports. </v>
      </c>
      <c r="T853" s="4" t="str">
        <f>IFERROR(__xludf.DUMMYFUNCTION("""COMPUTED_VALUE"""),"NON-KEYNOTE 9 - COMPLETE")</f>
        <v>NON-KEYNOTE 9 - COMPLETE</v>
      </c>
      <c r="U853" s="23">
        <f>IFERROR(__xludf.DUMMYFUNCTION("""COMPUTED_VALUE"""),43972.0)</f>
        <v>43972</v>
      </c>
      <c r="V853" s="24">
        <f>IFERROR(__xludf.DUMMYFUNCTION("""COMPUTED_VALUE"""),0.9166666666666666)</f>
        <v>0.9166666667</v>
      </c>
      <c r="W853" s="4" t="str">
        <f>IFERROR(__xludf.DUMMYFUNCTION("""COMPUTED_VALUE"""),"COMPLETE")</f>
        <v>COMPLETE</v>
      </c>
      <c r="X853" s="4" t="str">
        <f>IFERROR(__xludf.DUMMYFUNCTION("""COMPUTED_VALUE"""),"Colm")</f>
        <v>Colm</v>
      </c>
      <c r="Y853" s="4" t="str">
        <f>IFERROR(__xludf.DUMMYFUNCTION("""COMPUTED_VALUE"""),"")</f>
        <v/>
      </c>
    </row>
    <row r="854">
      <c r="A854" s="4" t="str">
        <f>IFERROR(__xludf.DUMMYFUNCTION("""COMPUTED_VALUE"""),"935 - Channel")</f>
        <v>935 - Channel</v>
      </c>
      <c r="B854" s="4" t="str">
        <f>IFERROR(__xludf.DUMMYFUNCTION("""COMPUTED_VALUE"""),"Channel 3")</f>
        <v>Channel 3</v>
      </c>
      <c r="C854" s="4" t="str">
        <f>IFERROR(__xludf.DUMMYFUNCTION("""COMPUTED_VALUE"""),"Day 2 - 24/06")</f>
        <v>Day 2 - 24/06</v>
      </c>
      <c r="D854" s="6">
        <f>IFERROR(__xludf.DUMMYFUNCTION("""COMPUTED_VALUE"""),0.5664930555555556)</f>
        <v>0.5664930556</v>
      </c>
      <c r="E854" s="6">
        <f>IFERROR(__xludf.DUMMYFUNCTION("""COMPUTED_VALUE"""),2.314814814814815E-4)</f>
        <v>0.0002314814815</v>
      </c>
      <c r="F854" s="6">
        <f>IFERROR(__xludf.DUMMYFUNCTION("""COMPUTED_VALUE"""),0.5667245370370371)</f>
        <v>0.566724537</v>
      </c>
      <c r="G854" s="4" t="str">
        <f>IFERROR(__xludf.DUMMYFUNCTION("""COMPUTED_VALUE"""),"Graphics")</f>
        <v>Graphics</v>
      </c>
      <c r="H854" s="4" t="str">
        <f>IFERROR(__xludf.DUMMYFUNCTION("""COMPUTED_VALUE"""),"N/A")</f>
        <v>N/A</v>
      </c>
      <c r="I854" s="4" t="str">
        <f>IFERROR(__xludf.DUMMYFUNCTION("""COMPUTED_VALUE"""),"N/A")</f>
        <v>N/A</v>
      </c>
      <c r="J854" s="4" t="str">
        <f>IFERROR(__xludf.DUMMYFUNCTION("""COMPUTED_VALUE"""),"Gaming")</f>
        <v>Gaming</v>
      </c>
      <c r="K854" s="4" t="str">
        <f>IFERROR(__xludf.DUMMYFUNCTION("""COMPUTED_VALUE"""),"Talk Intro")</f>
        <v>Talk Intro</v>
      </c>
      <c r="L854" s="4" t="str">
        <f>IFERROR(__xludf.DUMMYFUNCTION("""COMPUTED_VALUE"""),"")</f>
        <v/>
      </c>
      <c r="M854" s="4" t="str">
        <f>IFERROR(__xludf.DUMMYFUNCTION("""COMPUTED_VALUE"""),"Talk Intro")</f>
        <v>Talk Intro</v>
      </c>
      <c r="N854" s="4" t="str">
        <f>IFERROR(__xludf.DUMMYFUNCTION("""COMPUTED_VALUE"""),"")</f>
        <v/>
      </c>
      <c r="O854" s="4" t="str">
        <f>IFERROR(__xludf.DUMMYFUNCTION("""COMPUTED_VALUE"""),"")</f>
        <v/>
      </c>
      <c r="P854" s="4" t="str">
        <f>IFERROR(__xludf.DUMMYFUNCTION("""COMPUTED_VALUE"""),"")</f>
        <v/>
      </c>
      <c r="Q854" s="4" t="str">
        <f>IFERROR(__xludf.DUMMYFUNCTION("""COMPUTED_VALUE"""),"")</f>
        <v/>
      </c>
      <c r="R854" s="4" t="str">
        <f>IFERROR(__xludf.DUMMYFUNCTION("""COMPUTED_VALUE"""),"")</f>
        <v/>
      </c>
      <c r="S854" s="4" t="str">
        <f>IFERROR(__xludf.DUMMYFUNCTION("""COMPUTED_VALUE"""),"")</f>
        <v/>
      </c>
      <c r="T854" s="4" t="str">
        <f>IFERROR(__xludf.DUMMYFUNCTION("""COMPUTED_VALUE"""),"")</f>
        <v/>
      </c>
      <c r="U854" s="4" t="str">
        <f>IFERROR(__xludf.DUMMYFUNCTION("""COMPUTED_VALUE"""),"")</f>
        <v/>
      </c>
      <c r="V854" s="4" t="str">
        <f>IFERROR(__xludf.DUMMYFUNCTION("""COMPUTED_VALUE"""),"")</f>
        <v/>
      </c>
      <c r="W854" s="4" t="str">
        <f>IFERROR(__xludf.DUMMYFUNCTION("""COMPUTED_VALUE"""),"")</f>
        <v/>
      </c>
      <c r="X854" s="4" t="str">
        <f>IFERROR(__xludf.DUMMYFUNCTION("""COMPUTED_VALUE"""),"")</f>
        <v/>
      </c>
      <c r="Y854" s="4" t="str">
        <f>IFERROR(__xludf.DUMMYFUNCTION("""COMPUTED_VALUE"""),"")</f>
        <v/>
      </c>
    </row>
    <row r="855">
      <c r="A855" s="4" t="str">
        <f>IFERROR(__xludf.DUMMYFUNCTION("""COMPUTED_VALUE"""),"936 - Channel")</f>
        <v>936 - Channel</v>
      </c>
      <c r="B855" s="4" t="str">
        <f>IFERROR(__xludf.DUMMYFUNCTION("""COMPUTED_VALUE"""),"Channel 3")</f>
        <v>Channel 3</v>
      </c>
      <c r="C855" s="4" t="str">
        <f>IFERROR(__xludf.DUMMYFUNCTION("""COMPUTED_VALUE"""),"Day 2 - 24/06")</f>
        <v>Day 2 - 24/06</v>
      </c>
      <c r="D855" s="6">
        <f>IFERROR(__xludf.DUMMYFUNCTION("""COMPUTED_VALUE"""),0.5667245370370371)</f>
        <v>0.566724537</v>
      </c>
      <c r="E855" s="6">
        <f>IFERROR(__xludf.DUMMYFUNCTION("""COMPUTED_VALUE"""),0.009039351851851852)</f>
        <v>0.009039351852</v>
      </c>
      <c r="F855" s="6">
        <f>IFERROR(__xludf.DUMMYFUNCTION("""COMPUTED_VALUE"""),0.575763888888889)</f>
        <v>0.5757638889</v>
      </c>
      <c r="G855" s="4" t="str">
        <f>IFERROR(__xludf.DUMMYFUNCTION("""COMPUTED_VALUE"""),"Kat")</f>
        <v>Kat</v>
      </c>
      <c r="H855" s="4" t="str">
        <f>IFERROR(__xludf.DUMMYFUNCTION("""COMPUTED_VALUE"""),"N/A")</f>
        <v>N/A</v>
      </c>
      <c r="I855" s="4" t="str">
        <f>IFERROR(__xludf.DUMMYFUNCTION("""COMPUTED_VALUE"""),"Lynn")</f>
        <v>Lynn</v>
      </c>
      <c r="J855" s="4" t="str">
        <f>IFERROR(__xludf.DUMMYFUNCTION("""COMPUTED_VALUE"""),"Gaming")</f>
        <v>Gaming</v>
      </c>
      <c r="K855" s="4" t="str">
        <f>IFERROR(__xludf.DUMMYFUNCTION("""COMPUTED_VALUE"""),"Keynote")</f>
        <v>Keynote</v>
      </c>
      <c r="L855" s="4" t="str">
        <f>IFERROR(__xludf.DUMMYFUNCTION("""COMPUTED_VALUE"""),"T- 4 - 25/05/2020")</f>
        <v>T- 4 - 25/05/2020</v>
      </c>
      <c r="M855" s="4" t="str">
        <f>IFERROR(__xludf.DUMMYFUNCTION("""COMPUTED_VALUE"""),"One-size-fits-none: Why CRM is no longer enough")</f>
        <v>One-size-fits-none: Why CRM is no longer enough</v>
      </c>
      <c r="N855" s="4" t="str">
        <f>IFERROR(__xludf.DUMMYFUNCTION("""COMPUTED_VALUE"""),"Peter Reinhardt, Segment.io")</f>
        <v>Peter Reinhardt, Segment.io</v>
      </c>
      <c r="O855" s="4" t="str">
        <f>IFERROR(__xludf.DUMMYFUNCTION("""COMPUTED_VALUE"""),"")</f>
        <v/>
      </c>
      <c r="P855" s="4" t="str">
        <f>IFERROR(__xludf.DUMMYFUNCTION("""COMPUTED_VALUE"""),"")</f>
        <v/>
      </c>
      <c r="Q855" s="4" t="str">
        <f>IFERROR(__xludf.DUMMYFUNCTION("""COMPUTED_VALUE"""),"")</f>
        <v/>
      </c>
      <c r="R855" s="4" t="str">
        <f>IFERROR(__xludf.DUMMYFUNCTION("""COMPUTED_VALUE"""),"")</f>
        <v/>
      </c>
      <c r="S855" s="4" t="str">
        <f>IFERROR(__xludf.DUMMYFUNCTION("""COMPUTED_VALUE"""),"In January, more than 200 companies came together to declare that legacy CRM is not enough for today’s digital world. Peter Reinhardt, co-founder and CEO of Segment, explains why CRM is no longer enough, why the Platform of Independents was created and ho"&amp;"w businesses should be free from the era of cloud suites, data silos and vendor lock-in.")</f>
        <v>In January, more than 200 companies came together to declare that legacy CRM is not enough for today’s digital world. Peter Reinhardt, co-founder and CEO of Segment, explains why CRM is no longer enough, why the Platform of Independents was created and how businesses should be free from the era of cloud suites, data silos and vendor lock-in.</v>
      </c>
      <c r="T855" s="4" t="str">
        <f>IFERROR(__xludf.DUMMYFUNCTION("""COMPUTED_VALUE"""),"KEYNOTE 8 - COMPLETE")</f>
        <v>KEYNOTE 8 - COMPLETE</v>
      </c>
      <c r="U855" s="23">
        <f>IFERROR(__xludf.DUMMYFUNCTION("""COMPUTED_VALUE"""),43980.0)</f>
        <v>43980</v>
      </c>
      <c r="V855" s="4" t="str">
        <f>IFERROR(__xludf.DUMMYFUNCTION("""COMPUTED_VALUE"""),"")</f>
        <v/>
      </c>
      <c r="W855" s="4" t="str">
        <f>IFERROR(__xludf.DUMMYFUNCTION("""COMPUTED_VALUE"""),"COMPLETE")</f>
        <v>COMPLETE</v>
      </c>
      <c r="X855" s="4" t="str">
        <f>IFERROR(__xludf.DUMMYFUNCTION("""COMPUTED_VALUE"""),"Kat")</f>
        <v>Kat</v>
      </c>
      <c r="Y855" s="4" t="str">
        <f>IFERROR(__xludf.DUMMYFUNCTION("""COMPUTED_VALUE"""),"")</f>
        <v/>
      </c>
    </row>
    <row r="856">
      <c r="A856" s="4" t="str">
        <f>IFERROR(__xludf.DUMMYFUNCTION("""COMPUTED_VALUE"""),"949 - Channel")</f>
        <v>949 - Channel</v>
      </c>
      <c r="B856" s="4" t="str">
        <f>IFERROR(__xludf.DUMMYFUNCTION("""COMPUTED_VALUE"""),"Channel 3")</f>
        <v>Channel 3</v>
      </c>
      <c r="C856" s="4" t="str">
        <f>IFERROR(__xludf.DUMMYFUNCTION("""COMPUTED_VALUE"""),"Day 2 - 24/06")</f>
        <v>Day 2 - 24/06</v>
      </c>
      <c r="D856" s="6">
        <f>IFERROR(__xludf.DUMMYFUNCTION("""COMPUTED_VALUE"""),0.575763888888889)</f>
        <v>0.5757638889</v>
      </c>
      <c r="E856" s="6">
        <f>IFERROR(__xludf.DUMMYFUNCTION("""COMPUTED_VALUE"""),2.314814814814815E-4)</f>
        <v>0.0002314814815</v>
      </c>
      <c r="F856" s="6">
        <f>IFERROR(__xludf.DUMMYFUNCTION("""COMPUTED_VALUE"""),0.5759953703703704)</f>
        <v>0.5759953704</v>
      </c>
      <c r="G856" s="4" t="str">
        <f>IFERROR(__xludf.DUMMYFUNCTION("""COMPUTED_VALUE"""),"Graphics")</f>
        <v>Graphics</v>
      </c>
      <c r="H856" s="4" t="str">
        <f>IFERROR(__xludf.DUMMYFUNCTION("""COMPUTED_VALUE"""),"")</f>
        <v/>
      </c>
      <c r="I856" s="4" t="str">
        <f>IFERROR(__xludf.DUMMYFUNCTION("""COMPUTED_VALUE"""),"")</f>
        <v/>
      </c>
      <c r="J856" s="4" t="str">
        <f>IFERROR(__xludf.DUMMYFUNCTION("""COMPUTED_VALUE"""),"")</f>
        <v/>
      </c>
      <c r="K856" s="4" t="str">
        <f>IFERROR(__xludf.DUMMYFUNCTION("""COMPUTED_VALUE"""),"Talk Intro")</f>
        <v>Talk Intro</v>
      </c>
      <c r="L856" s="4" t="str">
        <f>IFERROR(__xludf.DUMMYFUNCTION("""COMPUTED_VALUE"""),"")</f>
        <v/>
      </c>
      <c r="M856" s="4" t="str">
        <f>IFERROR(__xludf.DUMMYFUNCTION("""COMPUTED_VALUE"""),"Talk Intro")</f>
        <v>Talk Intro</v>
      </c>
      <c r="N856" s="4" t="str">
        <f>IFERROR(__xludf.DUMMYFUNCTION("""COMPUTED_VALUE"""),"")</f>
        <v/>
      </c>
      <c r="O856" s="4" t="str">
        <f>IFERROR(__xludf.DUMMYFUNCTION("""COMPUTED_VALUE"""),"")</f>
        <v/>
      </c>
      <c r="P856" s="4" t="str">
        <f>IFERROR(__xludf.DUMMYFUNCTION("""COMPUTED_VALUE"""),"")</f>
        <v/>
      </c>
      <c r="Q856" s="4" t="str">
        <f>IFERROR(__xludf.DUMMYFUNCTION("""COMPUTED_VALUE"""),"")</f>
        <v/>
      </c>
      <c r="R856" s="4" t="str">
        <f>IFERROR(__xludf.DUMMYFUNCTION("""COMPUTED_VALUE"""),"")</f>
        <v/>
      </c>
      <c r="S856" s="4" t="str">
        <f>IFERROR(__xludf.DUMMYFUNCTION("""COMPUTED_VALUE"""),"")</f>
        <v/>
      </c>
      <c r="T856" s="4" t="str">
        <f>IFERROR(__xludf.DUMMYFUNCTION("""COMPUTED_VALUE"""),"")</f>
        <v/>
      </c>
      <c r="U856" s="4" t="str">
        <f>IFERROR(__xludf.DUMMYFUNCTION("""COMPUTED_VALUE"""),"")</f>
        <v/>
      </c>
      <c r="V856" s="4" t="str">
        <f>IFERROR(__xludf.DUMMYFUNCTION("""COMPUTED_VALUE"""),"")</f>
        <v/>
      </c>
      <c r="W856" s="4" t="str">
        <f>IFERROR(__xludf.DUMMYFUNCTION("""COMPUTED_VALUE"""),"")</f>
        <v/>
      </c>
      <c r="X856" s="4" t="str">
        <f>IFERROR(__xludf.DUMMYFUNCTION("""COMPUTED_VALUE"""),"")</f>
        <v/>
      </c>
      <c r="Y856" s="4" t="str">
        <f>IFERROR(__xludf.DUMMYFUNCTION("""COMPUTED_VALUE"""),"")</f>
        <v/>
      </c>
    </row>
    <row r="857">
      <c r="A857" s="4" t="str">
        <f>IFERROR(__xludf.DUMMYFUNCTION("""COMPUTED_VALUE"""),"950 - Channel")</f>
        <v>950 - Channel</v>
      </c>
      <c r="B857" s="4" t="str">
        <f>IFERROR(__xludf.DUMMYFUNCTION("""COMPUTED_VALUE"""),"Channel 3")</f>
        <v>Channel 3</v>
      </c>
      <c r="C857" s="4" t="str">
        <f>IFERROR(__xludf.DUMMYFUNCTION("""COMPUTED_VALUE"""),"Day 2 - 24/06")</f>
        <v>Day 2 - 24/06</v>
      </c>
      <c r="D857" s="6">
        <f>IFERROR(__xludf.DUMMYFUNCTION("""COMPUTED_VALUE"""),0.5759953703703704)</f>
        <v>0.5759953704</v>
      </c>
      <c r="E857" s="6">
        <f>IFERROR(__xludf.DUMMYFUNCTION("""COMPUTED_VALUE"""),0.0069328703703703705)</f>
        <v>0.00693287037</v>
      </c>
      <c r="F857" s="6">
        <f>IFERROR(__xludf.DUMMYFUNCTION("""COMPUTED_VALUE"""),0.5829282407407408)</f>
        <v>0.5829282407</v>
      </c>
      <c r="G857" s="4" t="str">
        <f>IFERROR(__xludf.DUMMYFUNCTION("""COMPUTED_VALUE"""),"Lucia G.")</f>
        <v>Lucia G.</v>
      </c>
      <c r="H857" s="4" t="str">
        <f>IFERROR(__xludf.DUMMYFUNCTION("""COMPUTED_VALUE"""),"N/A")</f>
        <v>N/A</v>
      </c>
      <c r="I857" s="4" t="str">
        <f>IFERROR(__xludf.DUMMYFUNCTION("""COMPUTED_VALUE"""),"Jack")</f>
        <v>Jack</v>
      </c>
      <c r="J857" s="4" t="str">
        <f>IFERROR(__xludf.DUMMYFUNCTION("""COMPUTED_VALUE"""),"Gaming")</f>
        <v>Gaming</v>
      </c>
      <c r="K857" s="4" t="str">
        <f>IFERROR(__xludf.DUMMYFUNCTION("""COMPUTED_VALUE"""),"Keynote")</f>
        <v>Keynote</v>
      </c>
      <c r="L857" s="4" t="str">
        <f>IFERROR(__xludf.DUMMYFUNCTION("""COMPUTED_VALUE"""),"T- 4 - 25/05/2020")</f>
        <v>T- 4 - 25/05/2020</v>
      </c>
      <c r="M857" s="4" t="str">
        <f>IFERROR(__xludf.DUMMYFUNCTION("""COMPUTED_VALUE"""),"Nurturing a legend: 40 years of Pac-Man")</f>
        <v>Nurturing a legend: 40 years of Pac-Man</v>
      </c>
      <c r="N857" s="4" t="str">
        <f>IFERROR(__xludf.DUMMYFUNCTION("""COMPUTED_VALUE"""),"Yasuo Miyakawa, Bandai Namco Entertainment")</f>
        <v>Yasuo Miyakawa, Bandai Namco Entertainment</v>
      </c>
      <c r="O857" s="4" t="str">
        <f>IFERROR(__xludf.DUMMYFUNCTION("""COMPUTED_VALUE"""),"")</f>
        <v/>
      </c>
      <c r="P857" s="4" t="str">
        <f>IFERROR(__xludf.DUMMYFUNCTION("""COMPUTED_VALUE"""),"")</f>
        <v/>
      </c>
      <c r="Q857" s="4" t="str">
        <f>IFERROR(__xludf.DUMMYFUNCTION("""COMPUTED_VALUE"""),"")</f>
        <v/>
      </c>
      <c r="R857" s="4" t="str">
        <f>IFERROR(__xludf.DUMMYFUNCTION("""COMPUTED_VALUE"""),"")</f>
        <v/>
      </c>
      <c r="S857" s="4" t="str">
        <f>IFERROR(__xludf.DUMMYFUNCTION("""COMPUTED_VALUE"""),"The chief PAC-MAN officer and CEO of Bandai Entertainment discusses modernising an iconic brand after 40 years. He'll explore lessons from the success of the PAC-MAN legacy, and give insight into how Bandai is embracing technological transformations in an"&amp;"imation and gaming.")</f>
        <v>The chief PAC-MAN officer and CEO of Bandai Entertainment discusses modernising an iconic brand after 40 years. He'll explore lessons from the success of the PAC-MAN legacy, and give insight into how Bandai is embracing technological transformations in animation and gaming.</v>
      </c>
      <c r="T857" s="4" t="str">
        <f>IFERROR(__xludf.DUMMYFUNCTION("""COMPUTED_VALUE"""),"NON-KEYNOTE 9 - COMPLETE")</f>
        <v>NON-KEYNOTE 9 - COMPLETE</v>
      </c>
      <c r="U857" s="55">
        <f>IFERROR(__xludf.DUMMYFUNCTION("""COMPUTED_VALUE"""),43988.0)</f>
        <v>43988</v>
      </c>
      <c r="V857" s="4" t="str">
        <f>IFERROR(__xludf.DUMMYFUNCTION("""COMPUTED_VALUE"""),"Speaker recording themselves")</f>
        <v>Speaker recording themselves</v>
      </c>
      <c r="W857" s="4" t="str">
        <f>IFERROR(__xludf.DUMMYFUNCTION("""COMPUTED_VALUE"""),"Speaker recording themselves
Will be delivered after their own edit by June 6th.
NEEDS TO BE SUBTITLED")</f>
        <v>Speaker recording themselves
Will be delivered after their own edit by June 6th.
NEEDS TO BE SUBTITLED</v>
      </c>
      <c r="X857" s="4" t="str">
        <f>IFERROR(__xludf.DUMMYFUNCTION("""COMPUTED_VALUE"""),"N/A")</f>
        <v>N/A</v>
      </c>
      <c r="Y857" s="4" t="str">
        <f>IFERROR(__xludf.DUMMYFUNCTION("""COMPUTED_VALUE"""),"4641462302315693572")</f>
        <v>4641462302315693572</v>
      </c>
    </row>
    <row r="858">
      <c r="A858" s="4" t="str">
        <f>IFERROR(__xludf.DUMMYFUNCTION("""COMPUTED_VALUE"""),"962 - Channel")</f>
        <v>962 - Channel</v>
      </c>
      <c r="B858" s="4" t="str">
        <f>IFERROR(__xludf.DUMMYFUNCTION("""COMPUTED_VALUE"""),"Channel 3")</f>
        <v>Channel 3</v>
      </c>
      <c r="C858" s="4" t="str">
        <f>IFERROR(__xludf.DUMMYFUNCTION("""COMPUTED_VALUE"""),"Day 2 - 24/06")</f>
        <v>Day 2 - 24/06</v>
      </c>
      <c r="D858" s="6">
        <f>IFERROR(__xludf.DUMMYFUNCTION("""COMPUTED_VALUE"""),0.5829282407407408)</f>
        <v>0.5829282407</v>
      </c>
      <c r="E858" s="6">
        <f>IFERROR(__xludf.DUMMYFUNCTION("""COMPUTED_VALUE"""),3.4722222222222224E-4)</f>
        <v>0.0003472222222</v>
      </c>
      <c r="F858" s="6">
        <f>IFERROR(__xludf.DUMMYFUNCTION("""COMPUTED_VALUE"""),0.5832754629629631)</f>
        <v>0.583275463</v>
      </c>
      <c r="G858" s="4" t="str">
        <f>IFERROR(__xludf.DUMMYFUNCTION("""COMPUTED_VALUE"""),"Startups")</f>
        <v>Startups</v>
      </c>
      <c r="H858" s="4" t="str">
        <f>IFERROR(__xludf.DUMMYFUNCTION("""COMPUTED_VALUE"""),"N/A")</f>
        <v>N/A</v>
      </c>
      <c r="I858" s="4" t="str">
        <f>IFERROR(__xludf.DUMMYFUNCTION("""COMPUTED_VALUE"""),"N/A")</f>
        <v>N/A</v>
      </c>
      <c r="J858" s="4" t="str">
        <f>IFERROR(__xludf.DUMMYFUNCTION("""COMPUTED_VALUE"""),"News")</f>
        <v>News</v>
      </c>
      <c r="K858" s="4" t="str">
        <f>IFERROR(__xludf.DUMMYFUNCTION("""COMPUTED_VALUE"""),"40 Words")</f>
        <v>40 Words</v>
      </c>
      <c r="L858" s="4" t="str">
        <f>IFERROR(__xludf.DUMMYFUNCTION("""COMPUTED_VALUE"""),"")</f>
        <v/>
      </c>
      <c r="M858" s="4" t="str">
        <f>IFERROR(__xludf.DUMMYFUNCTION("""COMPUTED_VALUE"""),"40 words #")</f>
        <v>40 words #</v>
      </c>
      <c r="N858" s="4" t="str">
        <f>IFERROR(__xludf.DUMMYFUNCTION("""COMPUTED_VALUE"""),"")</f>
        <v/>
      </c>
      <c r="O858" s="4" t="str">
        <f>IFERROR(__xludf.DUMMYFUNCTION("""COMPUTED_VALUE"""),"")</f>
        <v/>
      </c>
      <c r="P858" s="4" t="str">
        <f>IFERROR(__xludf.DUMMYFUNCTION("""COMPUTED_VALUE"""),"")</f>
        <v/>
      </c>
      <c r="Q858" s="4" t="str">
        <f>IFERROR(__xludf.DUMMYFUNCTION("""COMPUTED_VALUE"""),"")</f>
        <v/>
      </c>
      <c r="R858" s="4" t="str">
        <f>IFERROR(__xludf.DUMMYFUNCTION("""COMPUTED_VALUE"""),"")</f>
        <v/>
      </c>
      <c r="S858" s="4" t="str">
        <f>IFERROR(__xludf.DUMMYFUNCTION("""COMPUTED_VALUE"""),"")</f>
        <v/>
      </c>
      <c r="T858" s="4" t="str">
        <f>IFERROR(__xludf.DUMMYFUNCTION("""COMPUTED_VALUE"""),"")</f>
        <v/>
      </c>
      <c r="U858" s="4" t="str">
        <f>IFERROR(__xludf.DUMMYFUNCTION("""COMPUTED_VALUE"""),"")</f>
        <v/>
      </c>
      <c r="V858" s="4" t="str">
        <f>IFERROR(__xludf.DUMMYFUNCTION("""COMPUTED_VALUE"""),"")</f>
        <v/>
      </c>
      <c r="W858" s="4" t="str">
        <f>IFERROR(__xludf.DUMMYFUNCTION("""COMPUTED_VALUE"""),"")</f>
        <v/>
      </c>
      <c r="X858" s="4" t="str">
        <f>IFERROR(__xludf.DUMMYFUNCTION("""COMPUTED_VALUE"""),"")</f>
        <v/>
      </c>
      <c r="Y858" s="4" t="str">
        <f>IFERROR(__xludf.DUMMYFUNCTION("""COMPUTED_VALUE"""),"")</f>
        <v/>
      </c>
    </row>
    <row r="859">
      <c r="A859" s="4" t="str">
        <f>IFERROR(__xludf.DUMMYFUNCTION("""COMPUTED_VALUE"""),"1350 - Channel")</f>
        <v>1350 - Channel</v>
      </c>
      <c r="B859" s="4" t="str">
        <f>IFERROR(__xludf.DUMMYFUNCTION("""COMPUTED_VALUE"""),"Channel 3")</f>
        <v>Channel 3</v>
      </c>
      <c r="C859" s="4" t="str">
        <f>IFERROR(__xludf.DUMMYFUNCTION("""COMPUTED_VALUE"""),"Day 2 - 24/06")</f>
        <v>Day 2 - 24/06</v>
      </c>
      <c r="D859" s="4" t="str">
        <f>IFERROR(__xludf.DUMMYFUNCTION("""COMPUTED_VALUE"""),"")</f>
        <v/>
      </c>
      <c r="E859" s="4" t="str">
        <f>IFERROR(__xludf.DUMMYFUNCTION("""COMPUTED_VALUE"""),"")</f>
        <v/>
      </c>
      <c r="F859" s="4" t="str">
        <f>IFERROR(__xludf.DUMMYFUNCTION("""COMPUTED_VALUE"""),"")</f>
        <v/>
      </c>
      <c r="G859" s="4" t="str">
        <f>IFERROR(__xludf.DUMMYFUNCTION("""COMPUTED_VALUE"""),"")</f>
        <v/>
      </c>
      <c r="H859" s="4" t="str">
        <f>IFERROR(__xludf.DUMMYFUNCTION("""COMPUTED_VALUE"""),"")</f>
        <v/>
      </c>
      <c r="I859" s="4" t="str">
        <f>IFERROR(__xludf.DUMMYFUNCTION("""COMPUTED_VALUE"""),"")</f>
        <v/>
      </c>
      <c r="J859" s="4" t="str">
        <f>IFERROR(__xludf.DUMMYFUNCTION("""COMPUTED_VALUE"""),"")</f>
        <v/>
      </c>
      <c r="K859" s="4" t="str">
        <f>IFERROR(__xludf.DUMMYFUNCTION("""COMPUTED_VALUE"""),"")</f>
        <v/>
      </c>
      <c r="L859" s="4" t="str">
        <f>IFERROR(__xludf.DUMMYFUNCTION("""COMPUTED_VALUE"""),"")</f>
        <v/>
      </c>
      <c r="M859" s="4" t="str">
        <f>IFERROR(__xludf.DUMMYFUNCTION("""COMPUTED_VALUE"""),"")</f>
        <v/>
      </c>
      <c r="N859" s="4" t="str">
        <f>IFERROR(__xludf.DUMMYFUNCTION("""COMPUTED_VALUE"""),"")</f>
        <v/>
      </c>
      <c r="O859" s="4" t="str">
        <f>IFERROR(__xludf.DUMMYFUNCTION("""COMPUTED_VALUE"""),"")</f>
        <v/>
      </c>
      <c r="P859" s="4" t="str">
        <f>IFERROR(__xludf.DUMMYFUNCTION("""COMPUTED_VALUE"""),"")</f>
        <v/>
      </c>
      <c r="Q859" s="4" t="str">
        <f>IFERROR(__xludf.DUMMYFUNCTION("""COMPUTED_VALUE"""),"")</f>
        <v/>
      </c>
      <c r="R859" s="4" t="str">
        <f>IFERROR(__xludf.DUMMYFUNCTION("""COMPUTED_VALUE"""),"")</f>
        <v/>
      </c>
      <c r="S859" s="4" t="str">
        <f>IFERROR(__xludf.DUMMYFUNCTION("""COMPUTED_VALUE"""),"")</f>
        <v/>
      </c>
      <c r="T859" s="4" t="str">
        <f>IFERROR(__xludf.DUMMYFUNCTION("""COMPUTED_VALUE"""),"")</f>
        <v/>
      </c>
      <c r="U859" s="4" t="str">
        <f>IFERROR(__xludf.DUMMYFUNCTION("""COMPUTED_VALUE"""),"")</f>
        <v/>
      </c>
      <c r="V859" s="4" t="str">
        <f>IFERROR(__xludf.DUMMYFUNCTION("""COMPUTED_VALUE"""),"")</f>
        <v/>
      </c>
      <c r="W859" s="4" t="str">
        <f>IFERROR(__xludf.DUMMYFUNCTION("""COMPUTED_VALUE"""),"")</f>
        <v/>
      </c>
      <c r="X859" s="4" t="str">
        <f>IFERROR(__xludf.DUMMYFUNCTION("""COMPUTED_VALUE"""),"")</f>
        <v/>
      </c>
      <c r="Y859" s="4" t="str">
        <f>IFERROR(__xludf.DUMMYFUNCTION("""COMPUTED_VALUE"""),"")</f>
        <v/>
      </c>
    </row>
    <row r="860">
      <c r="A860" s="4" t="str">
        <f>IFERROR(__xludf.DUMMYFUNCTION("""COMPUTED_VALUE"""),"953 - Channel")</f>
        <v>953 - Channel</v>
      </c>
      <c r="B860" s="4" t="str">
        <f>IFERROR(__xludf.DUMMYFUNCTION("""COMPUTED_VALUE"""),"Channel 3")</f>
        <v>Channel 3</v>
      </c>
      <c r="C860" s="4" t="str">
        <f>IFERROR(__xludf.DUMMYFUNCTION("""COMPUTED_VALUE"""),"Day 2 - 24/06")</f>
        <v>Day 2 - 24/06</v>
      </c>
      <c r="D860" s="6">
        <f>IFERROR(__xludf.DUMMYFUNCTION("""COMPUTED_VALUE"""),0.5833333333333334)</f>
        <v>0.5833333333</v>
      </c>
      <c r="E860" s="6">
        <f>IFERROR(__xludf.DUMMYFUNCTION("""COMPUTED_VALUE"""),3.4722222222222224E-4)</f>
        <v>0.0003472222222</v>
      </c>
      <c r="F860" s="6">
        <f>IFERROR(__xludf.DUMMYFUNCTION("""COMPUTED_VALUE"""),0.5836805555555556)</f>
        <v>0.5836805556</v>
      </c>
      <c r="G860" s="4" t="str">
        <f>IFERROR(__xludf.DUMMYFUNCTION("""COMPUTED_VALUE"""),"Graphics")</f>
        <v>Graphics</v>
      </c>
      <c r="H860" s="4" t="str">
        <f>IFERROR(__xludf.DUMMYFUNCTION("""COMPUTED_VALUE"""),"N/A")</f>
        <v>N/A</v>
      </c>
      <c r="I860" s="4" t="str">
        <f>IFERROR(__xludf.DUMMYFUNCTION("""COMPUTED_VALUE"""),"N/A")</f>
        <v>N/A</v>
      </c>
      <c r="J860" s="4" t="str">
        <f>IFERROR(__xludf.DUMMYFUNCTION("""COMPUTED_VALUE"""),"News")</f>
        <v>News</v>
      </c>
      <c r="K860" s="4" t="str">
        <f>IFERROR(__xludf.DUMMYFUNCTION("""COMPUTED_VALUE"""),"Talk Intro")</f>
        <v>Talk Intro</v>
      </c>
      <c r="L860" s="4" t="str">
        <f>IFERROR(__xludf.DUMMYFUNCTION("""COMPUTED_VALUE"""),"")</f>
        <v/>
      </c>
      <c r="M860" s="4" t="str">
        <f>IFERROR(__xludf.DUMMYFUNCTION("""COMPUTED_VALUE"""),"Talk Intro")</f>
        <v>Talk Intro</v>
      </c>
      <c r="N860" s="4" t="str">
        <f>IFERROR(__xludf.DUMMYFUNCTION("""COMPUTED_VALUE"""),"")</f>
        <v/>
      </c>
      <c r="O860" s="4" t="str">
        <f>IFERROR(__xludf.DUMMYFUNCTION("""COMPUTED_VALUE"""),"")</f>
        <v/>
      </c>
      <c r="P860" s="4" t="str">
        <f>IFERROR(__xludf.DUMMYFUNCTION("""COMPUTED_VALUE"""),"")</f>
        <v/>
      </c>
      <c r="Q860" s="4" t="str">
        <f>IFERROR(__xludf.DUMMYFUNCTION("""COMPUTED_VALUE"""),"")</f>
        <v/>
      </c>
      <c r="R860" s="4" t="str">
        <f>IFERROR(__xludf.DUMMYFUNCTION("""COMPUTED_VALUE"""),"")</f>
        <v/>
      </c>
      <c r="S860" s="4" t="str">
        <f>IFERROR(__xludf.DUMMYFUNCTION("""COMPUTED_VALUE"""),"")</f>
        <v/>
      </c>
      <c r="T860" s="4" t="str">
        <f>IFERROR(__xludf.DUMMYFUNCTION("""COMPUTED_VALUE"""),"")</f>
        <v/>
      </c>
      <c r="U860" s="4" t="str">
        <f>IFERROR(__xludf.DUMMYFUNCTION("""COMPUTED_VALUE"""),"")</f>
        <v/>
      </c>
      <c r="V860" s="4" t="str">
        <f>IFERROR(__xludf.DUMMYFUNCTION("""COMPUTED_VALUE"""),"")</f>
        <v/>
      </c>
      <c r="W860" s="4" t="str">
        <f>IFERROR(__xludf.DUMMYFUNCTION("""COMPUTED_VALUE"""),"")</f>
        <v/>
      </c>
      <c r="X860" s="4" t="str">
        <f>IFERROR(__xludf.DUMMYFUNCTION("""COMPUTED_VALUE"""),"")</f>
        <v/>
      </c>
      <c r="Y860" s="4" t="str">
        <f>IFERROR(__xludf.DUMMYFUNCTION("""COMPUTED_VALUE"""),"")</f>
        <v/>
      </c>
    </row>
    <row r="861">
      <c r="A861" s="4" t="str">
        <f>IFERROR(__xludf.DUMMYFUNCTION("""COMPUTED_VALUE"""),"954 - Channel")</f>
        <v>954 - Channel</v>
      </c>
      <c r="B861" s="4" t="str">
        <f>IFERROR(__xludf.DUMMYFUNCTION("""COMPUTED_VALUE"""),"Channel 3")</f>
        <v>Channel 3</v>
      </c>
      <c r="C861" s="4" t="str">
        <f>IFERROR(__xludf.DUMMYFUNCTION("""COMPUTED_VALUE"""),"Day 2 - 24/06")</f>
        <v>Day 2 - 24/06</v>
      </c>
      <c r="D861" s="6">
        <f>IFERROR(__xludf.DUMMYFUNCTION("""COMPUTED_VALUE"""),0.5836805555555556)</f>
        <v>0.5836805556</v>
      </c>
      <c r="E861" s="6">
        <f>IFERROR(__xludf.DUMMYFUNCTION("""COMPUTED_VALUE"""),0.00866898148148148)</f>
        <v>0.008668981481</v>
      </c>
      <c r="F861" s="6">
        <f>IFERROR(__xludf.DUMMYFUNCTION("""COMPUTED_VALUE"""),0.5923495370370371)</f>
        <v>0.592349537</v>
      </c>
      <c r="G861" s="4" t="str">
        <f>IFERROR(__xludf.DUMMYFUNCTION("""COMPUTED_VALUE"""),"Yvonne")</f>
        <v>Yvonne</v>
      </c>
      <c r="H861" s="4" t="str">
        <f>IFERROR(__xludf.DUMMYFUNCTION("""COMPUTED_VALUE"""),"Stephen")</f>
        <v>Stephen</v>
      </c>
      <c r="I861" s="4" t="str">
        <f>IFERROR(__xludf.DUMMYFUNCTION("""COMPUTED_VALUE"""),"Manon")</f>
        <v>Manon</v>
      </c>
      <c r="J861" s="4" t="str">
        <f>IFERROR(__xludf.DUMMYFUNCTION("""COMPUTED_VALUE"""),"News")</f>
        <v>News</v>
      </c>
      <c r="K861" s="4" t="str">
        <f>IFERROR(__xludf.DUMMYFUNCTION("""COMPUTED_VALUE"""),"Fireside")</f>
        <v>Fireside</v>
      </c>
      <c r="L861" s="4" t="str">
        <f>IFERROR(__xludf.DUMMYFUNCTION("""COMPUTED_VALUE"""),"T- 3 - 01/06/2020")</f>
        <v>T- 3 - 01/06/2020</v>
      </c>
      <c r="M861" s="4" t="str">
        <f>IFERROR(__xludf.DUMMYFUNCTION("""COMPUTED_VALUE"""),"Inside a news powerhouse")</f>
        <v>Inside a news powerhouse</v>
      </c>
      <c r="N861" s="4" t="str">
        <f>IFERROR(__xludf.DUMMYFUNCTION("""COMPUTED_VALUE"""),"Steve Adler, Thomson Reuters")</f>
        <v>Steve Adler, Thomson Reuters</v>
      </c>
      <c r="O861" s="4" t="str">
        <f>IFERROR(__xludf.DUMMYFUNCTION("""COMPUTED_VALUE"""),"")</f>
        <v/>
      </c>
      <c r="P861" s="4" t="str">
        <f>IFERROR(__xludf.DUMMYFUNCTION("""COMPUTED_VALUE"""),"")</f>
        <v/>
      </c>
      <c r="Q861" s="4" t="str">
        <f>IFERROR(__xludf.DUMMYFUNCTION("""COMPUTED_VALUE"""),"")</f>
        <v/>
      </c>
      <c r="R861" s="4" t="str">
        <f>IFERROR(__xludf.DUMMYFUNCTION("""COMPUTED_VALUE"""),"Emily Ragobeer, Freelance")</f>
        <v>Emily Ragobeer, Freelance</v>
      </c>
      <c r="S861" s="4" t="str">
        <f>IFERROR(__xludf.DUMMYFUNCTION("""COMPUTED_VALUE"""),"There's no denying the impact Thomson Reuters has had on the world's news. What does it take to run a powerhouse like it, with revenue pushing $6 billion and a staff of almost 26,000 people? Let's find out.")</f>
        <v>There's no denying the impact Thomson Reuters has had on the world's news. What does it take to run a powerhouse like it, with revenue pushing $6 billion and a staff of almost 26,000 people? Let's find out.</v>
      </c>
      <c r="T861" s="4" t="str">
        <f>IFERROR(__xludf.DUMMYFUNCTION("""COMPUTED_VALUE"""),"NON-KEYNOTE 9 - COMPLETE")</f>
        <v>NON-KEYNOTE 9 - COMPLETE</v>
      </c>
      <c r="U861" s="23">
        <f>IFERROR(__xludf.DUMMYFUNCTION("""COMPUTED_VALUE"""),43983.0)</f>
        <v>43983</v>
      </c>
      <c r="V861" s="24">
        <f>IFERROR(__xludf.DUMMYFUNCTION("""COMPUTED_VALUE"""),0.75)</f>
        <v>0.75</v>
      </c>
      <c r="W861" s="4" t="str">
        <f>IFERROR(__xludf.DUMMYFUNCTION("""COMPUTED_VALUE"""),"COMPLETE")</f>
        <v>COMPLETE</v>
      </c>
      <c r="X861" s="4" t="str">
        <f>IFERROR(__xludf.DUMMYFUNCTION("""COMPUTED_VALUE"""),"Yvonne")</f>
        <v>Yvonne</v>
      </c>
      <c r="Y861" s="4" t="str">
        <f>IFERROR(__xludf.DUMMYFUNCTION("""COMPUTED_VALUE"""),"")</f>
        <v/>
      </c>
    </row>
    <row r="862">
      <c r="A862" s="4" t="str">
        <f>IFERROR(__xludf.DUMMYFUNCTION("""COMPUTED_VALUE"""),"931 - Channel")</f>
        <v>931 - Channel</v>
      </c>
      <c r="B862" s="4" t="str">
        <f>IFERROR(__xludf.DUMMYFUNCTION("""COMPUTED_VALUE"""),"Channel 3")</f>
        <v>Channel 3</v>
      </c>
      <c r="C862" s="4" t="str">
        <f>IFERROR(__xludf.DUMMYFUNCTION("""COMPUTED_VALUE"""),"Day 2 - 24/06")</f>
        <v>Day 2 - 24/06</v>
      </c>
      <c r="D862" s="6">
        <f>IFERROR(__xludf.DUMMYFUNCTION("""COMPUTED_VALUE"""),0.5923495370370371)</f>
        <v>0.592349537</v>
      </c>
      <c r="E862" s="6">
        <f>IFERROR(__xludf.DUMMYFUNCTION("""COMPUTED_VALUE"""),2.314814814814815E-4)</f>
        <v>0.0002314814815</v>
      </c>
      <c r="F862" s="6">
        <f>IFERROR(__xludf.DUMMYFUNCTION("""COMPUTED_VALUE"""),0.5925810185185185)</f>
        <v>0.5925810185</v>
      </c>
      <c r="G862" s="4" t="str">
        <f>IFERROR(__xludf.DUMMYFUNCTION("""COMPUTED_VALUE"""),"Graphics")</f>
        <v>Graphics</v>
      </c>
      <c r="H862" s="4" t="str">
        <f>IFERROR(__xludf.DUMMYFUNCTION("""COMPUTED_VALUE"""),"N/A")</f>
        <v>N/A</v>
      </c>
      <c r="I862" s="4" t="str">
        <f>IFERROR(__xludf.DUMMYFUNCTION("""COMPUTED_VALUE"""),"N/A")</f>
        <v>N/A</v>
      </c>
      <c r="J862" s="4" t="str">
        <f>IFERROR(__xludf.DUMMYFUNCTION("""COMPUTED_VALUE"""),"Marketing")</f>
        <v>Marketing</v>
      </c>
      <c r="K862" s="4" t="str">
        <f>IFERROR(__xludf.DUMMYFUNCTION("""COMPUTED_VALUE"""),"Talk Intro")</f>
        <v>Talk Intro</v>
      </c>
      <c r="L862" s="4" t="str">
        <f>IFERROR(__xludf.DUMMYFUNCTION("""COMPUTED_VALUE"""),"")</f>
        <v/>
      </c>
      <c r="M862" s="4" t="str">
        <f>IFERROR(__xludf.DUMMYFUNCTION("""COMPUTED_VALUE"""),"Talk Intro")</f>
        <v>Talk Intro</v>
      </c>
      <c r="N862" s="4" t="str">
        <f>IFERROR(__xludf.DUMMYFUNCTION("""COMPUTED_VALUE"""),"")</f>
        <v/>
      </c>
      <c r="O862" s="4" t="str">
        <f>IFERROR(__xludf.DUMMYFUNCTION("""COMPUTED_VALUE"""),"")</f>
        <v/>
      </c>
      <c r="P862" s="4" t="str">
        <f>IFERROR(__xludf.DUMMYFUNCTION("""COMPUTED_VALUE"""),"")</f>
        <v/>
      </c>
      <c r="Q862" s="4" t="str">
        <f>IFERROR(__xludf.DUMMYFUNCTION("""COMPUTED_VALUE"""),"")</f>
        <v/>
      </c>
      <c r="R862" s="4" t="str">
        <f>IFERROR(__xludf.DUMMYFUNCTION("""COMPUTED_VALUE"""),"")</f>
        <v/>
      </c>
      <c r="S862" s="4" t="str">
        <f>IFERROR(__xludf.DUMMYFUNCTION("""COMPUTED_VALUE"""),"")</f>
        <v/>
      </c>
      <c r="T862" s="4" t="str">
        <f>IFERROR(__xludf.DUMMYFUNCTION("""COMPUTED_VALUE"""),"")</f>
        <v/>
      </c>
      <c r="U862" s="4" t="str">
        <f>IFERROR(__xludf.DUMMYFUNCTION("""COMPUTED_VALUE"""),"")</f>
        <v/>
      </c>
      <c r="V862" s="4" t="str">
        <f>IFERROR(__xludf.DUMMYFUNCTION("""COMPUTED_VALUE"""),"")</f>
        <v/>
      </c>
      <c r="W862" s="4" t="str">
        <f>IFERROR(__xludf.DUMMYFUNCTION("""COMPUTED_VALUE"""),"")</f>
        <v/>
      </c>
      <c r="X862" s="4" t="str">
        <f>IFERROR(__xludf.DUMMYFUNCTION("""COMPUTED_VALUE"""),"")</f>
        <v/>
      </c>
      <c r="Y862" s="4" t="str">
        <f>IFERROR(__xludf.DUMMYFUNCTION("""COMPUTED_VALUE"""),"")</f>
        <v/>
      </c>
    </row>
    <row r="863">
      <c r="A863" s="4" t="str">
        <f>IFERROR(__xludf.DUMMYFUNCTION("""COMPUTED_VALUE"""),"932 - Channel")</f>
        <v>932 - Channel</v>
      </c>
      <c r="B863" s="4" t="str">
        <f>IFERROR(__xludf.DUMMYFUNCTION("""COMPUTED_VALUE"""),"Channel 3")</f>
        <v>Channel 3</v>
      </c>
      <c r="C863" s="4" t="str">
        <f>IFERROR(__xludf.DUMMYFUNCTION("""COMPUTED_VALUE"""),"Day 2 - 24/06")</f>
        <v>Day 2 - 24/06</v>
      </c>
      <c r="D863" s="6">
        <f>IFERROR(__xludf.DUMMYFUNCTION("""COMPUTED_VALUE"""),0.5925810185185185)</f>
        <v>0.5925810185</v>
      </c>
      <c r="E863" s="6">
        <f>IFERROR(__xludf.DUMMYFUNCTION("""COMPUTED_VALUE"""),0.009236111111111112)</f>
        <v>0.009236111111</v>
      </c>
      <c r="F863" s="6">
        <f>IFERROR(__xludf.DUMMYFUNCTION("""COMPUTED_VALUE"""),0.6018171296296296)</f>
        <v>0.6018171296</v>
      </c>
      <c r="G863" s="4" t="str">
        <f>IFERROR(__xludf.DUMMYFUNCTION("""COMPUTED_VALUE"""),"Luan")</f>
        <v>Luan</v>
      </c>
      <c r="H863" s="4" t="str">
        <f>IFERROR(__xludf.DUMMYFUNCTION("""COMPUTED_VALUE"""),"Lisa")</f>
        <v>Lisa</v>
      </c>
      <c r="I863" s="4" t="str">
        <f>IFERROR(__xludf.DUMMYFUNCTION("""COMPUTED_VALUE"""),"Francisca")</f>
        <v>Francisca</v>
      </c>
      <c r="J863" s="4" t="str">
        <f>IFERROR(__xludf.DUMMYFUNCTION("""COMPUTED_VALUE"""),"Marketing")</f>
        <v>Marketing</v>
      </c>
      <c r="K863" s="4" t="str">
        <f>IFERROR(__xludf.DUMMYFUNCTION("""COMPUTED_VALUE"""),"Fireside")</f>
        <v>Fireside</v>
      </c>
      <c r="L863" s="4" t="str">
        <f>IFERROR(__xludf.DUMMYFUNCTION("""COMPUTED_VALUE"""),"T- 4 - 25/05/2020")</f>
        <v>T- 4 - 25/05/2020</v>
      </c>
      <c r="M863" s="4" t="str">
        <f>IFERROR(__xludf.DUMMYFUNCTION("""COMPUTED_VALUE"""),"Brand responsibility ")</f>
        <v>Brand responsibility </v>
      </c>
      <c r="N863" s="4" t="str">
        <f>IFERROR(__xludf.DUMMYFUNCTION("""COMPUTED_VALUE"""),"Frank Cooper, BlackRock")</f>
        <v>Frank Cooper, BlackRock</v>
      </c>
      <c r="O863" s="4" t="str">
        <f>IFERROR(__xludf.DUMMYFUNCTION("""COMPUTED_VALUE"""),"")</f>
        <v/>
      </c>
      <c r="P863" s="4" t="str">
        <f>IFERROR(__xludf.DUMMYFUNCTION("""COMPUTED_VALUE"""),"")</f>
        <v/>
      </c>
      <c r="Q863" s="4" t="str">
        <f>IFERROR(__xludf.DUMMYFUNCTION("""COMPUTED_VALUE"""),"")</f>
        <v/>
      </c>
      <c r="R863" s="4" t="str">
        <f>IFERROR(__xludf.DUMMYFUNCTION("""COMPUTED_VALUE"""),"Claire Atkinson, NBC News")</f>
        <v>Claire Atkinson, NBC News</v>
      </c>
      <c r="S863" s="4" t="str">
        <f>IFERROR(__xludf.DUMMYFUNCTION("""COMPUTED_VALUE"""),"What does purpose look like in times of crisis?")</f>
        <v>What does purpose look like in times of crisis?</v>
      </c>
      <c r="T863" s="4" t="str">
        <f>IFERROR(__xludf.DUMMYFUNCTION("""COMPUTED_VALUE"""),"NON-KEYNOTE 9 - COMPLETE")</f>
        <v>NON-KEYNOTE 9 - COMPLETE</v>
      </c>
      <c r="U863" s="23">
        <f>IFERROR(__xludf.DUMMYFUNCTION("""COMPUTED_VALUE"""),43978.0)</f>
        <v>43978</v>
      </c>
      <c r="V863" s="24">
        <f>IFERROR(__xludf.DUMMYFUNCTION("""COMPUTED_VALUE"""),0.7291666666666666)</f>
        <v>0.7291666667</v>
      </c>
      <c r="W863" s="4" t="str">
        <f>IFERROR(__xludf.DUMMYFUNCTION("""COMPUTED_VALUE"""),"COMPLETE")</f>
        <v>COMPLETE</v>
      </c>
      <c r="X863" s="4" t="str">
        <f>IFERROR(__xludf.DUMMYFUNCTION("""COMPUTED_VALUE"""),"James")</f>
        <v>James</v>
      </c>
      <c r="Y863" s="4" t="str">
        <f>IFERROR(__xludf.DUMMYFUNCTION("""COMPUTED_VALUE"""),"")</f>
        <v/>
      </c>
    </row>
    <row r="864">
      <c r="A864" s="4" t="str">
        <f>IFERROR(__xludf.DUMMYFUNCTION("""COMPUTED_VALUE"""),"959 - Channel")</f>
        <v>959 - Channel</v>
      </c>
      <c r="B864" s="4" t="str">
        <f>IFERROR(__xludf.DUMMYFUNCTION("""COMPUTED_VALUE"""),"Channel 3")</f>
        <v>Channel 3</v>
      </c>
      <c r="C864" s="4" t="str">
        <f>IFERROR(__xludf.DUMMYFUNCTION("""COMPUTED_VALUE"""),"Day 2 - 24/06")</f>
        <v>Day 2 - 24/06</v>
      </c>
      <c r="D864" s="6">
        <f>IFERROR(__xludf.DUMMYFUNCTION("""COMPUTED_VALUE"""),0.6018171296296296)</f>
        <v>0.6018171296</v>
      </c>
      <c r="E864" s="6">
        <f>IFERROR(__xludf.DUMMYFUNCTION("""COMPUTED_VALUE"""),2.314814814814815E-4)</f>
        <v>0.0002314814815</v>
      </c>
      <c r="F864" s="6">
        <f>IFERROR(__xludf.DUMMYFUNCTION("""COMPUTED_VALUE"""),0.6020486111111111)</f>
        <v>0.6020486111</v>
      </c>
      <c r="G864" s="4" t="str">
        <f>IFERROR(__xludf.DUMMYFUNCTION("""COMPUTED_VALUE"""),"Graphics")</f>
        <v>Graphics</v>
      </c>
      <c r="H864" s="4" t="str">
        <f>IFERROR(__xludf.DUMMYFUNCTION("""COMPUTED_VALUE"""),"N/A")</f>
        <v>N/A</v>
      </c>
      <c r="I864" s="4" t="str">
        <f>IFERROR(__xludf.DUMMYFUNCTION("""COMPUTED_VALUE"""),"N/A")</f>
        <v>N/A</v>
      </c>
      <c r="J864" s="4" t="str">
        <f>IFERROR(__xludf.DUMMYFUNCTION("""COMPUTED_VALUE"""),"News")</f>
        <v>News</v>
      </c>
      <c r="K864" s="4" t="str">
        <f>IFERROR(__xludf.DUMMYFUNCTION("""COMPUTED_VALUE"""),"Talk Intro")</f>
        <v>Talk Intro</v>
      </c>
      <c r="L864" s="4" t="str">
        <f>IFERROR(__xludf.DUMMYFUNCTION("""COMPUTED_VALUE"""),"")</f>
        <v/>
      </c>
      <c r="M864" s="4" t="str">
        <f>IFERROR(__xludf.DUMMYFUNCTION("""COMPUTED_VALUE"""),"Talk Intro")</f>
        <v>Talk Intro</v>
      </c>
      <c r="N864" s="4" t="str">
        <f>IFERROR(__xludf.DUMMYFUNCTION("""COMPUTED_VALUE"""),"")</f>
        <v/>
      </c>
      <c r="O864" s="4" t="str">
        <f>IFERROR(__xludf.DUMMYFUNCTION("""COMPUTED_VALUE"""),"")</f>
        <v/>
      </c>
      <c r="P864" s="4" t="str">
        <f>IFERROR(__xludf.DUMMYFUNCTION("""COMPUTED_VALUE"""),"")</f>
        <v/>
      </c>
      <c r="Q864" s="4" t="str">
        <f>IFERROR(__xludf.DUMMYFUNCTION("""COMPUTED_VALUE"""),"")</f>
        <v/>
      </c>
      <c r="R864" s="4" t="str">
        <f>IFERROR(__xludf.DUMMYFUNCTION("""COMPUTED_VALUE"""),"")</f>
        <v/>
      </c>
      <c r="S864" s="4" t="str">
        <f>IFERROR(__xludf.DUMMYFUNCTION("""COMPUTED_VALUE"""),"")</f>
        <v/>
      </c>
      <c r="T864" s="4" t="str">
        <f>IFERROR(__xludf.DUMMYFUNCTION("""COMPUTED_VALUE"""),"")</f>
        <v/>
      </c>
      <c r="U864" s="4" t="str">
        <f>IFERROR(__xludf.DUMMYFUNCTION("""COMPUTED_VALUE"""),"")</f>
        <v/>
      </c>
      <c r="V864" s="4" t="str">
        <f>IFERROR(__xludf.DUMMYFUNCTION("""COMPUTED_VALUE"""),"")</f>
        <v/>
      </c>
      <c r="W864" s="4" t="str">
        <f>IFERROR(__xludf.DUMMYFUNCTION("""COMPUTED_VALUE"""),"")</f>
        <v/>
      </c>
      <c r="X864" s="4" t="str">
        <f>IFERROR(__xludf.DUMMYFUNCTION("""COMPUTED_VALUE"""),"")</f>
        <v/>
      </c>
      <c r="Y864" s="4" t="str">
        <f>IFERROR(__xludf.DUMMYFUNCTION("""COMPUTED_VALUE"""),"")</f>
        <v/>
      </c>
    </row>
    <row r="865">
      <c r="A865" s="4" t="str">
        <f>IFERROR(__xludf.DUMMYFUNCTION("""COMPUTED_VALUE"""),"960 - Channel")</f>
        <v>960 - Channel</v>
      </c>
      <c r="B865" s="4" t="str">
        <f>IFERROR(__xludf.DUMMYFUNCTION("""COMPUTED_VALUE"""),"Channel 3")</f>
        <v>Channel 3</v>
      </c>
      <c r="C865" s="4" t="str">
        <f>IFERROR(__xludf.DUMMYFUNCTION("""COMPUTED_VALUE"""),"Day 2 - 24/06")</f>
        <v>Day 2 - 24/06</v>
      </c>
      <c r="D865" s="6">
        <f>IFERROR(__xludf.DUMMYFUNCTION("""COMPUTED_VALUE"""),0.6020486111111111)</f>
        <v>0.6020486111</v>
      </c>
      <c r="E865" s="6">
        <f>IFERROR(__xludf.DUMMYFUNCTION("""COMPUTED_VALUE"""),0.008263888888888888)</f>
        <v>0.008263888889</v>
      </c>
      <c r="F865" s="6">
        <f>IFERROR(__xludf.DUMMYFUNCTION("""COMPUTED_VALUE"""),0.6103124999999999)</f>
        <v>0.6103125</v>
      </c>
      <c r="G865" s="4" t="str">
        <f>IFERROR(__xludf.DUMMYFUNCTION("""COMPUTED_VALUE"""),"Yvonne")</f>
        <v>Yvonne</v>
      </c>
      <c r="H865" s="4" t="str">
        <f>IFERROR(__xludf.DUMMYFUNCTION("""COMPUTED_VALUE"""),"Stephen")</f>
        <v>Stephen</v>
      </c>
      <c r="I865" s="4" t="str">
        <f>IFERROR(__xludf.DUMMYFUNCTION("""COMPUTED_VALUE"""),"Manon")</f>
        <v>Manon</v>
      </c>
      <c r="J865" s="4" t="str">
        <f>IFERROR(__xludf.DUMMYFUNCTION("""COMPUTED_VALUE"""),"News")</f>
        <v>News</v>
      </c>
      <c r="K865" s="4" t="str">
        <f>IFERROR(__xludf.DUMMYFUNCTION("""COMPUTED_VALUE"""),"Fireside")</f>
        <v>Fireside</v>
      </c>
      <c r="L865" s="4" t="str">
        <f>IFERROR(__xludf.DUMMYFUNCTION("""COMPUTED_VALUE"""),"T- 3 - 01/06/2020")</f>
        <v>T- 3 - 01/06/2020</v>
      </c>
      <c r="M865" s="4" t="str">
        <f>IFERROR(__xludf.DUMMYFUNCTION("""COMPUTED_VALUE"""),"News and tech: The ultimate frenemies?")</f>
        <v>News and tech: The ultimate frenemies?</v>
      </c>
      <c r="N865" s="4" t="str">
        <f>IFERROR(__xludf.DUMMYFUNCTION("""COMPUTED_VALUE"""),"Jessica Lessin, The Information")</f>
        <v>Jessica Lessin, The Information</v>
      </c>
      <c r="O865" s="4" t="str">
        <f>IFERROR(__xludf.DUMMYFUNCTION("""COMPUTED_VALUE"""),"")</f>
        <v/>
      </c>
      <c r="P865" s="4" t="str">
        <f>IFERROR(__xludf.DUMMYFUNCTION("""COMPUTED_VALUE"""),"")</f>
        <v/>
      </c>
      <c r="Q865" s="4" t="str">
        <f>IFERROR(__xludf.DUMMYFUNCTION("""COMPUTED_VALUE"""),"")</f>
        <v/>
      </c>
      <c r="R865" s="4" t="str">
        <f>IFERROR(__xludf.DUMMYFUNCTION("""COMPUTED_VALUE"""),"David Rowan, Wired")</f>
        <v>David Rowan, Wired</v>
      </c>
      <c r="S865" s="4" t="str">
        <f>IFERROR(__xludf.DUMMYFUNCTION("""COMPUTED_VALUE"""),"As big tech grows ever more powerful, the term 'techlash' has become ever more popular. Is the media out to get big tech and its leading lights, or does critical reporting just reveal inconvenient truths for many of the tech elite?")</f>
        <v>As big tech grows ever more powerful, the term 'techlash' has become ever more popular. Is the media out to get big tech and its leading lights, or does critical reporting just reveal inconvenient truths for many of the tech elite?</v>
      </c>
      <c r="T865" s="4" t="str">
        <f>IFERROR(__xludf.DUMMYFUNCTION("""COMPUTED_VALUE"""),"NON-KEYNOTE 9 - COMPLETE")</f>
        <v>NON-KEYNOTE 9 - COMPLETE</v>
      </c>
      <c r="U865" s="23">
        <f>IFERROR(__xludf.DUMMYFUNCTION("""COMPUTED_VALUE"""),43972.0)</f>
        <v>43972</v>
      </c>
      <c r="V865" s="24">
        <f>IFERROR(__xludf.DUMMYFUNCTION("""COMPUTED_VALUE"""),0.7083333333333334)</f>
        <v>0.7083333333</v>
      </c>
      <c r="W865" s="4" t="str">
        <f>IFERROR(__xludf.DUMMYFUNCTION("""COMPUTED_VALUE"""),"COMPLETE")</f>
        <v>COMPLETE</v>
      </c>
      <c r="X865" s="4" t="str">
        <f>IFERROR(__xludf.DUMMYFUNCTION("""COMPUTED_VALUE"""),"Stephen")</f>
        <v>Stephen</v>
      </c>
      <c r="Y865" s="4" t="str">
        <f>IFERROR(__xludf.DUMMYFUNCTION("""COMPUTED_VALUE"""),"")</f>
        <v/>
      </c>
    </row>
    <row r="866">
      <c r="A866" s="4" t="str">
        <f>IFERROR(__xludf.DUMMYFUNCTION("""COMPUTED_VALUE"""),"963 - Channel")</f>
        <v>963 - Channel</v>
      </c>
      <c r="B866" s="4" t="str">
        <f>IFERROR(__xludf.DUMMYFUNCTION("""COMPUTED_VALUE"""),"Channel 3")</f>
        <v>Channel 3</v>
      </c>
      <c r="C866" s="4" t="str">
        <f>IFERROR(__xludf.DUMMYFUNCTION("""COMPUTED_VALUE"""),"Day 2 - 24/06")</f>
        <v>Day 2 - 24/06</v>
      </c>
      <c r="D866" s="6">
        <f>IFERROR(__xludf.DUMMYFUNCTION("""COMPUTED_VALUE"""),0.6103124999999999)</f>
        <v>0.6103125</v>
      </c>
      <c r="E866" s="6">
        <f>IFERROR(__xludf.DUMMYFUNCTION("""COMPUTED_VALUE"""),2.314814814814815E-4)</f>
        <v>0.0002314814815</v>
      </c>
      <c r="F866" s="6">
        <f>IFERROR(__xludf.DUMMYFUNCTION("""COMPUTED_VALUE"""),0.6105439814814814)</f>
        <v>0.6105439815</v>
      </c>
      <c r="G866" s="4" t="str">
        <f>IFERROR(__xludf.DUMMYFUNCTION("""COMPUTED_VALUE"""),"Graphics")</f>
        <v>Graphics</v>
      </c>
      <c r="H866" s="4" t="str">
        <f>IFERROR(__xludf.DUMMYFUNCTION("""COMPUTED_VALUE"""),"N/A")</f>
        <v>N/A</v>
      </c>
      <c r="I866" s="4" t="str">
        <f>IFERROR(__xludf.DUMMYFUNCTION("""COMPUTED_VALUE"""),"N/A")</f>
        <v>N/A</v>
      </c>
      <c r="J866" s="4" t="str">
        <f>IFERROR(__xludf.DUMMYFUNCTION("""COMPUTED_VALUE"""),"News")</f>
        <v>News</v>
      </c>
      <c r="K866" s="4" t="str">
        <f>IFERROR(__xludf.DUMMYFUNCTION("""COMPUTED_VALUE"""),"Talk Intro")</f>
        <v>Talk Intro</v>
      </c>
      <c r="L866" s="4" t="str">
        <f>IFERROR(__xludf.DUMMYFUNCTION("""COMPUTED_VALUE"""),"")</f>
        <v/>
      </c>
      <c r="M866" s="4" t="str">
        <f>IFERROR(__xludf.DUMMYFUNCTION("""COMPUTED_VALUE"""),"Talk Intro")</f>
        <v>Talk Intro</v>
      </c>
      <c r="N866" s="4" t="str">
        <f>IFERROR(__xludf.DUMMYFUNCTION("""COMPUTED_VALUE"""),"")</f>
        <v/>
      </c>
      <c r="O866" s="4" t="str">
        <f>IFERROR(__xludf.DUMMYFUNCTION("""COMPUTED_VALUE"""),"")</f>
        <v/>
      </c>
      <c r="P866" s="4" t="str">
        <f>IFERROR(__xludf.DUMMYFUNCTION("""COMPUTED_VALUE"""),"")</f>
        <v/>
      </c>
      <c r="Q866" s="4" t="str">
        <f>IFERROR(__xludf.DUMMYFUNCTION("""COMPUTED_VALUE"""),"")</f>
        <v/>
      </c>
      <c r="R866" s="4" t="str">
        <f>IFERROR(__xludf.DUMMYFUNCTION("""COMPUTED_VALUE"""),"")</f>
        <v/>
      </c>
      <c r="S866" s="4" t="str">
        <f>IFERROR(__xludf.DUMMYFUNCTION("""COMPUTED_VALUE"""),"")</f>
        <v/>
      </c>
      <c r="T866" s="4" t="str">
        <f>IFERROR(__xludf.DUMMYFUNCTION("""COMPUTED_VALUE"""),"")</f>
        <v/>
      </c>
      <c r="U866" s="4" t="str">
        <f>IFERROR(__xludf.DUMMYFUNCTION("""COMPUTED_VALUE"""),"")</f>
        <v/>
      </c>
      <c r="V866" s="4" t="str">
        <f>IFERROR(__xludf.DUMMYFUNCTION("""COMPUTED_VALUE"""),"")</f>
        <v/>
      </c>
      <c r="W866" s="4" t="str">
        <f>IFERROR(__xludf.DUMMYFUNCTION("""COMPUTED_VALUE"""),"")</f>
        <v/>
      </c>
      <c r="X866" s="4" t="str">
        <f>IFERROR(__xludf.DUMMYFUNCTION("""COMPUTED_VALUE"""),"")</f>
        <v/>
      </c>
      <c r="Y866" s="4" t="str">
        <f>IFERROR(__xludf.DUMMYFUNCTION("""COMPUTED_VALUE"""),"")</f>
        <v/>
      </c>
    </row>
    <row r="867">
      <c r="A867" s="4" t="str">
        <f>IFERROR(__xludf.DUMMYFUNCTION("""COMPUTED_VALUE"""),"964 - Channel")</f>
        <v>964 - Channel</v>
      </c>
      <c r="B867" s="4" t="str">
        <f>IFERROR(__xludf.DUMMYFUNCTION("""COMPUTED_VALUE"""),"Channel 3")</f>
        <v>Channel 3</v>
      </c>
      <c r="C867" s="4" t="str">
        <f>IFERROR(__xludf.DUMMYFUNCTION("""COMPUTED_VALUE"""),"Day 2 - 24/06")</f>
        <v>Day 2 - 24/06</v>
      </c>
      <c r="D867" s="6">
        <f>IFERROR(__xludf.DUMMYFUNCTION("""COMPUTED_VALUE"""),0.6105439814814814)</f>
        <v>0.6105439815</v>
      </c>
      <c r="E867" s="6">
        <f>IFERROR(__xludf.DUMMYFUNCTION("""COMPUTED_VALUE"""),0.007025462962962963)</f>
        <v>0.007025462963</v>
      </c>
      <c r="F867" s="6">
        <f>IFERROR(__xludf.DUMMYFUNCTION("""COMPUTED_VALUE"""),0.6175694444444443)</f>
        <v>0.6175694444</v>
      </c>
      <c r="G867" s="4" t="str">
        <f>IFERROR(__xludf.DUMMYFUNCTION("""COMPUTED_VALUE"""),"Yvonne")</f>
        <v>Yvonne</v>
      </c>
      <c r="H867" s="4" t="str">
        <f>IFERROR(__xludf.DUMMYFUNCTION("""COMPUTED_VALUE"""),"Stephen")</f>
        <v>Stephen</v>
      </c>
      <c r="I867" s="4" t="str">
        <f>IFERROR(__xludf.DUMMYFUNCTION("""COMPUTED_VALUE"""),"Lucia H.")</f>
        <v>Lucia H.</v>
      </c>
      <c r="J867" s="4" t="str">
        <f>IFERROR(__xludf.DUMMYFUNCTION("""COMPUTED_VALUE"""),"News")</f>
        <v>News</v>
      </c>
      <c r="K867" s="4" t="str">
        <f>IFERROR(__xludf.DUMMYFUNCTION("""COMPUTED_VALUE"""),"Fireside")</f>
        <v>Fireside</v>
      </c>
      <c r="L867" s="4" t="str">
        <f>IFERROR(__xludf.DUMMYFUNCTION("""COMPUTED_VALUE"""),"T- 5 - 18/05/2020")</f>
        <v>T- 5 - 18/05/2020</v>
      </c>
      <c r="M867" s="4" t="str">
        <f>IFERROR(__xludf.DUMMYFUNCTION("""COMPUTED_VALUE"""),"Post-Panama: The future of data journalism")</f>
        <v>Post-Panama: The future of data journalism</v>
      </c>
      <c r="N867" s="4" t="str">
        <f>IFERROR(__xludf.DUMMYFUNCTION("""COMPUTED_VALUE"""),"Frederik Obermaier, Suddeutschland Zeitung")</f>
        <v>Frederik Obermaier, Suddeutschland Zeitung</v>
      </c>
      <c r="O867" s="4" t="str">
        <f>IFERROR(__xludf.DUMMYFUNCTION("""COMPUTED_VALUE"""),"")</f>
        <v/>
      </c>
      <c r="P867" s="4" t="str">
        <f>IFERROR(__xludf.DUMMYFUNCTION("""COMPUTED_VALUE"""),"")</f>
        <v/>
      </c>
      <c r="Q867" s="4" t="str">
        <f>IFERROR(__xludf.DUMMYFUNCTION("""COMPUTED_VALUE"""),"")</f>
        <v/>
      </c>
      <c r="R867" s="4" t="str">
        <f>IFERROR(__xludf.DUMMYFUNCTION("""COMPUTED_VALUE"""),"James Ball, The Bureau of Investigative Journalism")</f>
        <v>James Ball, The Bureau of Investigative Journalism</v>
      </c>
      <c r="S867" s="4" t="str">
        <f>IFERROR(__xludf.DUMMYFUNCTION("""COMPUTED_VALUE"""),"It was the biggest leak in the history of data journalism. And its legacy lives on. One of the journalists behind the revelations explains why the Panama Papers are still affecting news coverage best practice four years on.")</f>
        <v>It was the biggest leak in the history of data journalism. And its legacy lives on. One of the journalists behind the revelations explains why the Panama Papers are still affecting news coverage best practice four years on.</v>
      </c>
      <c r="T867" s="4" t="str">
        <f>IFERROR(__xludf.DUMMYFUNCTION("""COMPUTED_VALUE"""),"NON-KEYNOTE 9 - COMPLETE")</f>
        <v>NON-KEYNOTE 9 - COMPLETE</v>
      </c>
      <c r="U867" s="23">
        <f>IFERROR(__xludf.DUMMYFUNCTION("""COMPUTED_VALUE"""),43973.0)</f>
        <v>43973</v>
      </c>
      <c r="V867" s="24">
        <f>IFERROR(__xludf.DUMMYFUNCTION("""COMPUTED_VALUE"""),0.7083333333333334)</f>
        <v>0.7083333333</v>
      </c>
      <c r="W867" s="4" t="str">
        <f>IFERROR(__xludf.DUMMYFUNCTION("""COMPUTED_VALUE"""),"COMPLETE")</f>
        <v>COMPLETE</v>
      </c>
      <c r="X867" s="4" t="str">
        <f>IFERROR(__xludf.DUMMYFUNCTION("""COMPUTED_VALUE"""),"Gavin")</f>
        <v>Gavin</v>
      </c>
      <c r="Y867" s="4" t="str">
        <f>IFERROR(__xludf.DUMMYFUNCTION("""COMPUTED_VALUE"""),"")</f>
        <v/>
      </c>
    </row>
    <row r="868">
      <c r="A868" s="4" t="str">
        <f>IFERROR(__xludf.DUMMYFUNCTION("""COMPUTED_VALUE"""),"966 - Channel")</f>
        <v>966 - Channel</v>
      </c>
      <c r="B868" s="4" t="str">
        <f>IFERROR(__xludf.DUMMYFUNCTION("""COMPUTED_VALUE"""),"Channel 3")</f>
        <v>Channel 3</v>
      </c>
      <c r="C868" s="4" t="str">
        <f>IFERROR(__xludf.DUMMYFUNCTION("""COMPUTED_VALUE"""),"Day 2 - 24/06")</f>
        <v>Day 2 - 24/06</v>
      </c>
      <c r="D868" s="6">
        <f>IFERROR(__xludf.DUMMYFUNCTION("""COMPUTED_VALUE"""),0.6175694444444443)</f>
        <v>0.6175694444</v>
      </c>
      <c r="E868" s="6">
        <f>IFERROR(__xludf.DUMMYFUNCTION("""COMPUTED_VALUE"""),2.314814814814815E-4)</f>
        <v>0.0002314814815</v>
      </c>
      <c r="F868" s="6">
        <f>IFERROR(__xludf.DUMMYFUNCTION("""COMPUTED_VALUE"""),0.6178009259259257)</f>
        <v>0.6178009259</v>
      </c>
      <c r="G868" s="4" t="str">
        <f>IFERROR(__xludf.DUMMYFUNCTION("""COMPUTED_VALUE"""),"Graphics")</f>
        <v>Graphics</v>
      </c>
      <c r="H868" s="4" t="str">
        <f>IFERROR(__xludf.DUMMYFUNCTION("""COMPUTED_VALUE"""),"N/A")</f>
        <v>N/A</v>
      </c>
      <c r="I868" s="4" t="str">
        <f>IFERROR(__xludf.DUMMYFUNCTION("""COMPUTED_VALUE"""),"N/A")</f>
        <v>N/A</v>
      </c>
      <c r="J868" s="4" t="str">
        <f>IFERROR(__xludf.DUMMYFUNCTION("""COMPUTED_VALUE"""),"News")</f>
        <v>News</v>
      </c>
      <c r="K868" s="4" t="str">
        <f>IFERROR(__xludf.DUMMYFUNCTION("""COMPUTED_VALUE"""),"Talk Intro")</f>
        <v>Talk Intro</v>
      </c>
      <c r="L868" s="4" t="str">
        <f>IFERROR(__xludf.DUMMYFUNCTION("""COMPUTED_VALUE"""),"")</f>
        <v/>
      </c>
      <c r="M868" s="4" t="str">
        <f>IFERROR(__xludf.DUMMYFUNCTION("""COMPUTED_VALUE"""),"Talk Intro")</f>
        <v>Talk Intro</v>
      </c>
      <c r="N868" s="4" t="str">
        <f>IFERROR(__xludf.DUMMYFUNCTION("""COMPUTED_VALUE"""),"")</f>
        <v/>
      </c>
      <c r="O868" s="4" t="str">
        <f>IFERROR(__xludf.DUMMYFUNCTION("""COMPUTED_VALUE"""),"")</f>
        <v/>
      </c>
      <c r="P868" s="4" t="str">
        <f>IFERROR(__xludf.DUMMYFUNCTION("""COMPUTED_VALUE"""),"")</f>
        <v/>
      </c>
      <c r="Q868" s="4" t="str">
        <f>IFERROR(__xludf.DUMMYFUNCTION("""COMPUTED_VALUE"""),"")</f>
        <v/>
      </c>
      <c r="R868" s="4" t="str">
        <f>IFERROR(__xludf.DUMMYFUNCTION("""COMPUTED_VALUE"""),"")</f>
        <v/>
      </c>
      <c r="S868" s="4" t="str">
        <f>IFERROR(__xludf.DUMMYFUNCTION("""COMPUTED_VALUE"""),"")</f>
        <v/>
      </c>
      <c r="T868" s="4" t="str">
        <f>IFERROR(__xludf.DUMMYFUNCTION("""COMPUTED_VALUE"""),"")</f>
        <v/>
      </c>
      <c r="U868" s="4" t="str">
        <f>IFERROR(__xludf.DUMMYFUNCTION("""COMPUTED_VALUE"""),"")</f>
        <v/>
      </c>
      <c r="V868" s="4" t="str">
        <f>IFERROR(__xludf.DUMMYFUNCTION("""COMPUTED_VALUE"""),"")</f>
        <v/>
      </c>
      <c r="W868" s="4" t="str">
        <f>IFERROR(__xludf.DUMMYFUNCTION("""COMPUTED_VALUE"""),"")</f>
        <v/>
      </c>
      <c r="X868" s="4" t="str">
        <f>IFERROR(__xludf.DUMMYFUNCTION("""COMPUTED_VALUE"""),"")</f>
        <v/>
      </c>
      <c r="Y868" s="4" t="str">
        <f>IFERROR(__xludf.DUMMYFUNCTION("""COMPUTED_VALUE"""),"")</f>
        <v/>
      </c>
    </row>
    <row r="869">
      <c r="A869" s="4" t="str">
        <f>IFERROR(__xludf.DUMMYFUNCTION("""COMPUTED_VALUE"""),"967 - Channel")</f>
        <v>967 - Channel</v>
      </c>
      <c r="B869" s="4" t="str">
        <f>IFERROR(__xludf.DUMMYFUNCTION("""COMPUTED_VALUE"""),"Channel 3")</f>
        <v>Channel 3</v>
      </c>
      <c r="C869" s="4" t="str">
        <f>IFERROR(__xludf.DUMMYFUNCTION("""COMPUTED_VALUE"""),"Day 2 - 24/06")</f>
        <v>Day 2 - 24/06</v>
      </c>
      <c r="D869" s="6">
        <f>IFERROR(__xludf.DUMMYFUNCTION("""COMPUTED_VALUE"""),0.6178009259259257)</f>
        <v>0.6178009259</v>
      </c>
      <c r="E869" s="6">
        <f>IFERROR(__xludf.DUMMYFUNCTION("""COMPUTED_VALUE"""),0.0077314814814814815)</f>
        <v>0.007731481481</v>
      </c>
      <c r="F869" s="6">
        <f>IFERROR(__xludf.DUMMYFUNCTION("""COMPUTED_VALUE"""),0.6255324074074072)</f>
        <v>0.6255324074</v>
      </c>
      <c r="G869" s="4" t="str">
        <f>IFERROR(__xludf.DUMMYFUNCTION("""COMPUTED_VALUE"""),"Yvonne")</f>
        <v>Yvonne</v>
      </c>
      <c r="H869" s="4" t="str">
        <f>IFERROR(__xludf.DUMMYFUNCTION("""COMPUTED_VALUE"""),"Stephen")</f>
        <v>Stephen</v>
      </c>
      <c r="I869" s="4" t="str">
        <f>IFERROR(__xludf.DUMMYFUNCTION("""COMPUTED_VALUE"""),"Lucia H.")</f>
        <v>Lucia H.</v>
      </c>
      <c r="J869" s="4" t="str">
        <f>IFERROR(__xludf.DUMMYFUNCTION("""COMPUTED_VALUE"""),"News")</f>
        <v>News</v>
      </c>
      <c r="K869" s="4" t="str">
        <f>IFERROR(__xludf.DUMMYFUNCTION("""COMPUTED_VALUE"""),"Super Fireside")</f>
        <v>Super Fireside</v>
      </c>
      <c r="L869" s="4" t="str">
        <f>IFERROR(__xludf.DUMMYFUNCTION("""COMPUTED_VALUE"""),"T- 5 - 18/05/2020")</f>
        <v>T- 5 - 18/05/2020</v>
      </c>
      <c r="M869" s="4" t="str">
        <f>IFERROR(__xludf.DUMMYFUNCTION("""COMPUTED_VALUE"""),"Who owns what, and what we're free to say")</f>
        <v>Who owns what, and what we're free to say</v>
      </c>
      <c r="N869" s="4" t="str">
        <f>IFERROR(__xludf.DUMMYFUNCTION("""COMPUTED_VALUE"""),"Monica Drake, The New York Times")</f>
        <v>Monica Drake, The New York Times</v>
      </c>
      <c r="O869" s="4" t="str">
        <f>IFERROR(__xludf.DUMMYFUNCTION("""COMPUTED_VALUE"""),"Stephen Engelberg, ProPublica")</f>
        <v>Stephen Engelberg, ProPublica</v>
      </c>
      <c r="P869" s="4" t="str">
        <f>IFERROR(__xludf.DUMMYFUNCTION("""COMPUTED_VALUE"""),"")</f>
        <v/>
      </c>
      <c r="Q869" s="4" t="str">
        <f>IFERROR(__xludf.DUMMYFUNCTION("""COMPUTED_VALUE"""),"")</f>
        <v/>
      </c>
      <c r="R869" s="4" t="str">
        <f>IFERROR(__xludf.DUMMYFUNCTION("""COMPUTED_VALUE"""),"Mathew Ingram, Columbia Journalism Review")</f>
        <v>Mathew Ingram, Columbia Journalism Review</v>
      </c>
      <c r="S869" s="4" t="str">
        <f>IFERROR(__xludf.DUMMYFUNCTION("""COMPUTED_VALUE"""),"Has tech democratised media ownership? Can it take down monopolies and protect true press freedom? Or is media-muzzling endemic, online and off? In the year of Covid-19, these questions have never been more pertinent, nor has it ever been more important t"&amp;"o know which outlets you can trust.")</f>
        <v>Has tech democratised media ownership? Can it take down monopolies and protect true press freedom? Or is media-muzzling endemic, online and off? In the year of Covid-19, these questions have never been more pertinent, nor has it ever been more important to know which outlets you can trust.</v>
      </c>
      <c r="T869" s="4" t="str">
        <f>IFERROR(__xludf.DUMMYFUNCTION("""COMPUTED_VALUE"""),"NON-KEYNOTE 9 - COMPLETE")</f>
        <v>NON-KEYNOTE 9 - COMPLETE</v>
      </c>
      <c r="U869" s="23">
        <f>IFERROR(__xludf.DUMMYFUNCTION("""COMPUTED_VALUE"""),43972.0)</f>
        <v>43972</v>
      </c>
      <c r="V869" s="24">
        <f>IFERROR(__xludf.DUMMYFUNCTION("""COMPUTED_VALUE"""),0.75)</f>
        <v>0.75</v>
      </c>
      <c r="W869" s="4" t="str">
        <f>IFERROR(__xludf.DUMMYFUNCTION("""COMPUTED_VALUE"""),"COMPLETE")</f>
        <v>COMPLETE</v>
      </c>
      <c r="X869" s="4" t="str">
        <f>IFERROR(__xludf.DUMMYFUNCTION("""COMPUTED_VALUE"""),"naomi")</f>
        <v>naomi</v>
      </c>
      <c r="Y869" s="4" t="str">
        <f>IFERROR(__xludf.DUMMYFUNCTION("""COMPUTED_VALUE"""),"")</f>
        <v/>
      </c>
    </row>
    <row r="870">
      <c r="A870" s="4" t="str">
        <f>IFERROR(__xludf.DUMMYFUNCTION("""COMPUTED_VALUE"""),"1351 - Channel")</f>
        <v>1351 - Channel</v>
      </c>
      <c r="B870" s="4" t="str">
        <f>IFERROR(__xludf.DUMMYFUNCTION("""COMPUTED_VALUE"""),"Channel 3")</f>
        <v>Channel 3</v>
      </c>
      <c r="C870" s="4" t="str">
        <f>IFERROR(__xludf.DUMMYFUNCTION("""COMPUTED_VALUE"""),"Day 2 - 24/06")</f>
        <v>Day 2 - 24/06</v>
      </c>
      <c r="D870" s="4" t="str">
        <f>IFERROR(__xludf.DUMMYFUNCTION("""COMPUTED_VALUE"""),"")</f>
        <v/>
      </c>
      <c r="E870" s="4" t="str">
        <f>IFERROR(__xludf.DUMMYFUNCTION("""COMPUTED_VALUE"""),"")</f>
        <v/>
      </c>
      <c r="F870" s="4" t="str">
        <f>IFERROR(__xludf.DUMMYFUNCTION("""COMPUTED_VALUE"""),"")</f>
        <v/>
      </c>
      <c r="G870" s="4" t="str">
        <f>IFERROR(__xludf.DUMMYFUNCTION("""COMPUTED_VALUE"""),"")</f>
        <v/>
      </c>
      <c r="H870" s="4" t="str">
        <f>IFERROR(__xludf.DUMMYFUNCTION("""COMPUTED_VALUE"""),"")</f>
        <v/>
      </c>
      <c r="I870" s="4" t="str">
        <f>IFERROR(__xludf.DUMMYFUNCTION("""COMPUTED_VALUE"""),"")</f>
        <v/>
      </c>
      <c r="J870" s="4" t="str">
        <f>IFERROR(__xludf.DUMMYFUNCTION("""COMPUTED_VALUE"""),"")</f>
        <v/>
      </c>
      <c r="K870" s="4" t="str">
        <f>IFERROR(__xludf.DUMMYFUNCTION("""COMPUTED_VALUE"""),"")</f>
        <v/>
      </c>
      <c r="L870" s="4" t="str">
        <f>IFERROR(__xludf.DUMMYFUNCTION("""COMPUTED_VALUE"""),"")</f>
        <v/>
      </c>
      <c r="M870" s="4" t="str">
        <f>IFERROR(__xludf.DUMMYFUNCTION("""COMPUTED_VALUE"""),"")</f>
        <v/>
      </c>
      <c r="N870" s="4" t="str">
        <f>IFERROR(__xludf.DUMMYFUNCTION("""COMPUTED_VALUE"""),"")</f>
        <v/>
      </c>
      <c r="O870" s="4" t="str">
        <f>IFERROR(__xludf.DUMMYFUNCTION("""COMPUTED_VALUE"""),"")</f>
        <v/>
      </c>
      <c r="P870" s="4" t="str">
        <f>IFERROR(__xludf.DUMMYFUNCTION("""COMPUTED_VALUE"""),"")</f>
        <v/>
      </c>
      <c r="Q870" s="4" t="str">
        <f>IFERROR(__xludf.DUMMYFUNCTION("""COMPUTED_VALUE"""),"")</f>
        <v/>
      </c>
      <c r="R870" s="4" t="str">
        <f>IFERROR(__xludf.DUMMYFUNCTION("""COMPUTED_VALUE"""),"")</f>
        <v/>
      </c>
      <c r="S870" s="4" t="str">
        <f>IFERROR(__xludf.DUMMYFUNCTION("""COMPUTED_VALUE"""),"")</f>
        <v/>
      </c>
      <c r="T870" s="4" t="str">
        <f>IFERROR(__xludf.DUMMYFUNCTION("""COMPUTED_VALUE"""),"")</f>
        <v/>
      </c>
      <c r="U870" s="4" t="str">
        <f>IFERROR(__xludf.DUMMYFUNCTION("""COMPUTED_VALUE"""),"")</f>
        <v/>
      </c>
      <c r="V870" s="4" t="str">
        <f>IFERROR(__xludf.DUMMYFUNCTION("""COMPUTED_VALUE"""),"")</f>
        <v/>
      </c>
      <c r="W870" s="4" t="str">
        <f>IFERROR(__xludf.DUMMYFUNCTION("""COMPUTED_VALUE"""),"")</f>
        <v/>
      </c>
      <c r="X870" s="4" t="str">
        <f>IFERROR(__xludf.DUMMYFUNCTION("""COMPUTED_VALUE"""),"")</f>
        <v/>
      </c>
      <c r="Y870" s="4" t="str">
        <f>IFERROR(__xludf.DUMMYFUNCTION("""COMPUTED_VALUE"""),"")</f>
        <v/>
      </c>
    </row>
    <row r="871">
      <c r="A871" s="4" t="str">
        <f>IFERROR(__xludf.DUMMYFUNCTION("""COMPUTED_VALUE"""),"986 - Channel")</f>
        <v>986 - Channel</v>
      </c>
      <c r="B871" s="4" t="str">
        <f>IFERROR(__xludf.DUMMYFUNCTION("""COMPUTED_VALUE"""),"Channel 3")</f>
        <v>Channel 3</v>
      </c>
      <c r="C871" s="4" t="str">
        <f>IFERROR(__xludf.DUMMYFUNCTION("""COMPUTED_VALUE"""),"Day 2 - 24/06")</f>
        <v>Day 2 - 24/06</v>
      </c>
      <c r="D871" s="6">
        <f>IFERROR(__xludf.DUMMYFUNCTION("""COMPUTED_VALUE"""),0.625)</f>
        <v>0.625</v>
      </c>
      <c r="E871" s="6">
        <f>IFERROR(__xludf.DUMMYFUNCTION("""COMPUTED_VALUE"""),3.4722222222222224E-4)</f>
        <v>0.0003472222222</v>
      </c>
      <c r="F871" s="6">
        <f>IFERROR(__xludf.DUMMYFUNCTION("""COMPUTED_VALUE"""),0.6253472222222223)</f>
        <v>0.6253472222</v>
      </c>
      <c r="G871" s="4" t="str">
        <f>IFERROR(__xludf.DUMMYFUNCTION("""COMPUTED_VALUE"""),"Graphics")</f>
        <v>Graphics</v>
      </c>
      <c r="H871" s="4" t="str">
        <f>IFERROR(__xludf.DUMMYFUNCTION("""COMPUTED_VALUE"""),"")</f>
        <v/>
      </c>
      <c r="I871" s="4" t="str">
        <f>IFERROR(__xludf.DUMMYFUNCTION("""COMPUTED_VALUE"""),"")</f>
        <v/>
      </c>
      <c r="J871" s="4" t="str">
        <f>IFERROR(__xludf.DUMMYFUNCTION("""COMPUTED_VALUE"""),"Payments")</f>
        <v>Payments</v>
      </c>
      <c r="K871" s="4" t="str">
        <f>IFERROR(__xludf.DUMMYFUNCTION("""COMPUTED_VALUE"""),"Talk Intro")</f>
        <v>Talk Intro</v>
      </c>
      <c r="L871" s="4" t="str">
        <f>IFERROR(__xludf.DUMMYFUNCTION("""COMPUTED_VALUE"""),"")</f>
        <v/>
      </c>
      <c r="M871" s="4" t="str">
        <f>IFERROR(__xludf.DUMMYFUNCTION("""COMPUTED_VALUE"""),"Talk Intro")</f>
        <v>Talk Intro</v>
      </c>
      <c r="N871" s="4" t="str">
        <f>IFERROR(__xludf.DUMMYFUNCTION("""COMPUTED_VALUE"""),"")</f>
        <v/>
      </c>
      <c r="O871" s="4" t="str">
        <f>IFERROR(__xludf.DUMMYFUNCTION("""COMPUTED_VALUE"""),"")</f>
        <v/>
      </c>
      <c r="P871" s="4" t="str">
        <f>IFERROR(__xludf.DUMMYFUNCTION("""COMPUTED_VALUE"""),"")</f>
        <v/>
      </c>
      <c r="Q871" s="4" t="str">
        <f>IFERROR(__xludf.DUMMYFUNCTION("""COMPUTED_VALUE"""),"")</f>
        <v/>
      </c>
      <c r="R871" s="4" t="str">
        <f>IFERROR(__xludf.DUMMYFUNCTION("""COMPUTED_VALUE"""),"")</f>
        <v/>
      </c>
      <c r="S871" s="4" t="str">
        <f>IFERROR(__xludf.DUMMYFUNCTION("""COMPUTED_VALUE"""),"")</f>
        <v/>
      </c>
      <c r="T871" s="4" t="str">
        <f>IFERROR(__xludf.DUMMYFUNCTION("""COMPUTED_VALUE"""),"")</f>
        <v/>
      </c>
      <c r="U871" s="4" t="str">
        <f>IFERROR(__xludf.DUMMYFUNCTION("""COMPUTED_VALUE"""),"")</f>
        <v/>
      </c>
      <c r="V871" s="4" t="str">
        <f>IFERROR(__xludf.DUMMYFUNCTION("""COMPUTED_VALUE"""),"")</f>
        <v/>
      </c>
      <c r="W871" s="4" t="str">
        <f>IFERROR(__xludf.DUMMYFUNCTION("""COMPUTED_VALUE"""),"")</f>
        <v/>
      </c>
      <c r="X871" s="4" t="str">
        <f>IFERROR(__xludf.DUMMYFUNCTION("""COMPUTED_VALUE"""),"")</f>
        <v/>
      </c>
      <c r="Y871" s="4" t="str">
        <f>IFERROR(__xludf.DUMMYFUNCTION("""COMPUTED_VALUE"""),"")</f>
        <v/>
      </c>
    </row>
    <row r="872">
      <c r="A872" s="4" t="str">
        <f>IFERROR(__xludf.DUMMYFUNCTION("""COMPUTED_VALUE"""),"987 - Channel")</f>
        <v>987 - Channel</v>
      </c>
      <c r="B872" s="4" t="str">
        <f>IFERROR(__xludf.DUMMYFUNCTION("""COMPUTED_VALUE"""),"Channel 3")</f>
        <v>Channel 3</v>
      </c>
      <c r="C872" s="4" t="str">
        <f>IFERROR(__xludf.DUMMYFUNCTION("""COMPUTED_VALUE"""),"Day 2 - 24/06")</f>
        <v>Day 2 - 24/06</v>
      </c>
      <c r="D872" s="6">
        <f>IFERROR(__xludf.DUMMYFUNCTION("""COMPUTED_VALUE"""),0.6253472222222223)</f>
        <v>0.6253472222</v>
      </c>
      <c r="E872" s="6">
        <f>IFERROR(__xludf.DUMMYFUNCTION("""COMPUTED_VALUE"""),0.010833333333333334)</f>
        <v>0.01083333333</v>
      </c>
      <c r="F872" s="6">
        <f>IFERROR(__xludf.DUMMYFUNCTION("""COMPUTED_VALUE"""),0.6361805555555556)</f>
        <v>0.6361805556</v>
      </c>
      <c r="G872" s="4" t="str">
        <f>IFERROR(__xludf.DUMMYFUNCTION("""COMPUTED_VALUE"""),"Helen")</f>
        <v>Helen</v>
      </c>
      <c r="H872" s="4" t="str">
        <f>IFERROR(__xludf.DUMMYFUNCTION("""COMPUTED_VALUE"""),"Shauna")</f>
        <v>Shauna</v>
      </c>
      <c r="I872" s="4" t="str">
        <f>IFERROR(__xludf.DUMMYFUNCTION("""COMPUTED_VALUE"""),"Lucia H.")</f>
        <v>Lucia H.</v>
      </c>
      <c r="J872" s="4" t="str">
        <f>IFERROR(__xludf.DUMMYFUNCTION("""COMPUTED_VALUE"""),"Payments")</f>
        <v>Payments</v>
      </c>
      <c r="K872" s="4" t="str">
        <f>IFERROR(__xludf.DUMMYFUNCTION("""COMPUTED_VALUE"""),"Fireside")</f>
        <v>Fireside</v>
      </c>
      <c r="L872" s="4" t="str">
        <f>IFERROR(__xludf.DUMMYFUNCTION("""COMPUTED_VALUE"""),"T- 6 - 11/05/2020")</f>
        <v>T- 6 - 11/05/2020</v>
      </c>
      <c r="M872" s="4" t="str">
        <f>IFERROR(__xludf.DUMMYFUNCTION("""COMPUTED_VALUE"""),"Finance will never be the same again ")</f>
        <v>Finance will never be the same again </v>
      </c>
      <c r="N872" s="4" t="str">
        <f>IFERROR(__xludf.DUMMYFUNCTION("""COMPUTED_VALUE"""),"Rishi Khosla, OakNorth")</f>
        <v>Rishi Khosla, OakNorth</v>
      </c>
      <c r="O872" s="4" t="str">
        <f>IFERROR(__xludf.DUMMYFUNCTION("""COMPUTED_VALUE"""),"")</f>
        <v/>
      </c>
      <c r="P872" s="4" t="str">
        <f>IFERROR(__xludf.DUMMYFUNCTION("""COMPUTED_VALUE"""),"")</f>
        <v/>
      </c>
      <c r="Q872" s="4" t="str">
        <f>IFERROR(__xludf.DUMMYFUNCTION("""COMPUTED_VALUE"""),"")</f>
        <v/>
      </c>
      <c r="R872" s="4" t="str">
        <f>IFERROR(__xludf.DUMMYFUNCTION("""COMPUTED_VALUE"""),"John Detrixhe, Quartz")</f>
        <v>John Detrixhe, Quartz</v>
      </c>
      <c r="S872" s="4" t="str">
        <f>IFERROR(__xludf.DUMMYFUNCTION("""COMPUTED_VALUE"""),"As an industry that serves small businesses, how can fintech safeguard your company when disaster strikes?")</f>
        <v>As an industry that serves small businesses, how can fintech safeguard your company when disaster strikes?</v>
      </c>
      <c r="T872" s="4" t="str">
        <f>IFERROR(__xludf.DUMMYFUNCTION("""COMPUTED_VALUE"""),"NON-KEYNOTE 9 - COMPLETE")</f>
        <v>NON-KEYNOTE 9 - COMPLETE</v>
      </c>
      <c r="U872" s="23">
        <f>IFERROR(__xludf.DUMMYFUNCTION("""COMPUTED_VALUE"""),43963.0)</f>
        <v>43963</v>
      </c>
      <c r="V872" s="4" t="str">
        <f>IFERROR(__xludf.DUMMYFUNCTION("""COMPUTED_VALUE"""),"")</f>
        <v/>
      </c>
      <c r="W872" s="4" t="str">
        <f>IFERROR(__xludf.DUMMYFUNCTION("""COMPUTED_VALUE"""),"COMPLETE")</f>
        <v>COMPLETE</v>
      </c>
      <c r="X872" s="4" t="str">
        <f>IFERROR(__xludf.DUMMYFUNCTION("""COMPUTED_VALUE"""),"Helen")</f>
        <v>Helen</v>
      </c>
      <c r="Y872" s="4" t="str">
        <f>IFERROR(__xludf.DUMMYFUNCTION("""COMPUTED_VALUE"""),"")</f>
        <v/>
      </c>
    </row>
    <row r="873">
      <c r="A873" s="4" t="str">
        <f>IFERROR(__xludf.DUMMYFUNCTION("""COMPUTED_VALUE"""),"973 - Channel")</f>
        <v>973 - Channel</v>
      </c>
      <c r="B873" s="4" t="str">
        <f>IFERROR(__xludf.DUMMYFUNCTION("""COMPUTED_VALUE"""),"Channel 3")</f>
        <v>Channel 3</v>
      </c>
      <c r="C873" s="4" t="str">
        <f>IFERROR(__xludf.DUMMYFUNCTION("""COMPUTED_VALUE"""),"Day 2 - 24/06")</f>
        <v>Day 2 - 24/06</v>
      </c>
      <c r="D873" s="6">
        <f>IFERROR(__xludf.DUMMYFUNCTION("""COMPUTED_VALUE"""),0.6361805555555556)</f>
        <v>0.6361805556</v>
      </c>
      <c r="E873" s="6">
        <f>IFERROR(__xludf.DUMMYFUNCTION("""COMPUTED_VALUE"""),2.314814814814815E-4)</f>
        <v>0.0002314814815</v>
      </c>
      <c r="F873" s="6">
        <f>IFERROR(__xludf.DUMMYFUNCTION("""COMPUTED_VALUE"""),0.6364120370370371)</f>
        <v>0.636412037</v>
      </c>
      <c r="G873" s="4" t="str">
        <f>IFERROR(__xludf.DUMMYFUNCTION("""COMPUTED_VALUE"""),"Graphics")</f>
        <v>Graphics</v>
      </c>
      <c r="H873" s="4" t="str">
        <f>IFERROR(__xludf.DUMMYFUNCTION("""COMPUTED_VALUE"""),"N/A")</f>
        <v>N/A</v>
      </c>
      <c r="I873" s="4" t="str">
        <f>IFERROR(__xludf.DUMMYFUNCTION("""COMPUTED_VALUE"""),"N/A")</f>
        <v>N/A</v>
      </c>
      <c r="J873" s="4" t="str">
        <f>IFERROR(__xludf.DUMMYFUNCTION("""COMPUTED_VALUE"""),"Retail")</f>
        <v>Retail</v>
      </c>
      <c r="K873" s="4" t="str">
        <f>IFERROR(__xludf.DUMMYFUNCTION("""COMPUTED_VALUE"""),"Talk Intro")</f>
        <v>Talk Intro</v>
      </c>
      <c r="L873" s="4" t="str">
        <f>IFERROR(__xludf.DUMMYFUNCTION("""COMPUTED_VALUE"""),"")</f>
        <v/>
      </c>
      <c r="M873" s="4" t="str">
        <f>IFERROR(__xludf.DUMMYFUNCTION("""COMPUTED_VALUE"""),"Talk Intro")</f>
        <v>Talk Intro</v>
      </c>
      <c r="N873" s="4" t="str">
        <f>IFERROR(__xludf.DUMMYFUNCTION("""COMPUTED_VALUE"""),"")</f>
        <v/>
      </c>
      <c r="O873" s="4" t="str">
        <f>IFERROR(__xludf.DUMMYFUNCTION("""COMPUTED_VALUE"""),"")</f>
        <v/>
      </c>
      <c r="P873" s="4" t="str">
        <f>IFERROR(__xludf.DUMMYFUNCTION("""COMPUTED_VALUE"""),"")</f>
        <v/>
      </c>
      <c r="Q873" s="4" t="str">
        <f>IFERROR(__xludf.DUMMYFUNCTION("""COMPUTED_VALUE"""),"")</f>
        <v/>
      </c>
      <c r="R873" s="4" t="str">
        <f>IFERROR(__xludf.DUMMYFUNCTION("""COMPUTED_VALUE"""),"")</f>
        <v/>
      </c>
      <c r="S873" s="4" t="str">
        <f>IFERROR(__xludf.DUMMYFUNCTION("""COMPUTED_VALUE"""),"")</f>
        <v/>
      </c>
      <c r="T873" s="4" t="str">
        <f>IFERROR(__xludf.DUMMYFUNCTION("""COMPUTED_VALUE"""),"")</f>
        <v/>
      </c>
      <c r="U873" s="4" t="str">
        <f>IFERROR(__xludf.DUMMYFUNCTION("""COMPUTED_VALUE"""),"")</f>
        <v/>
      </c>
      <c r="V873" s="4" t="str">
        <f>IFERROR(__xludf.DUMMYFUNCTION("""COMPUTED_VALUE"""),"")</f>
        <v/>
      </c>
      <c r="W873" s="4" t="str">
        <f>IFERROR(__xludf.DUMMYFUNCTION("""COMPUTED_VALUE"""),"")</f>
        <v/>
      </c>
      <c r="X873" s="4" t="str">
        <f>IFERROR(__xludf.DUMMYFUNCTION("""COMPUTED_VALUE"""),"")</f>
        <v/>
      </c>
      <c r="Y873" s="4" t="str">
        <f>IFERROR(__xludf.DUMMYFUNCTION("""COMPUTED_VALUE"""),"")</f>
        <v/>
      </c>
    </row>
    <row r="874">
      <c r="A874" s="4" t="str">
        <f>IFERROR(__xludf.DUMMYFUNCTION("""COMPUTED_VALUE"""),"974 - Channel")</f>
        <v>974 - Channel</v>
      </c>
      <c r="B874" s="4" t="str">
        <f>IFERROR(__xludf.DUMMYFUNCTION("""COMPUTED_VALUE"""),"Channel 3")</f>
        <v>Channel 3</v>
      </c>
      <c r="C874" s="4" t="str">
        <f>IFERROR(__xludf.DUMMYFUNCTION("""COMPUTED_VALUE"""),"Day 2 - 24/06")</f>
        <v>Day 2 - 24/06</v>
      </c>
      <c r="D874" s="6">
        <f>IFERROR(__xludf.DUMMYFUNCTION("""COMPUTED_VALUE"""),0.6364120370370371)</f>
        <v>0.636412037</v>
      </c>
      <c r="E874" s="6">
        <f>IFERROR(__xludf.DUMMYFUNCTION("""COMPUTED_VALUE"""),0.013888888888888888)</f>
        <v>0.01388888889</v>
      </c>
      <c r="F874" s="6">
        <f>IFERROR(__xludf.DUMMYFUNCTION("""COMPUTED_VALUE"""),0.6503009259259259)</f>
        <v>0.6503009259</v>
      </c>
      <c r="G874" s="4" t="str">
        <f>IFERROR(__xludf.DUMMYFUNCTION("""COMPUTED_VALUE"""),"Dan")</f>
        <v>Dan</v>
      </c>
      <c r="H874" s="4" t="str">
        <f>IFERROR(__xludf.DUMMYFUNCTION("""COMPUTED_VALUE"""),"Stephen")</f>
        <v>Stephen</v>
      </c>
      <c r="I874" s="4" t="str">
        <f>IFERROR(__xludf.DUMMYFUNCTION("""COMPUTED_VALUE"""),"Naomi")</f>
        <v>Naomi</v>
      </c>
      <c r="J874" s="4" t="str">
        <f>IFERROR(__xludf.DUMMYFUNCTION("""COMPUTED_VALUE"""),"Retail")</f>
        <v>Retail</v>
      </c>
      <c r="K874" s="4" t="str">
        <f>IFERROR(__xludf.DUMMYFUNCTION("""COMPUTED_VALUE"""),"Fireside")</f>
        <v>Fireside</v>
      </c>
      <c r="L874" s="4" t="str">
        <f>IFERROR(__xludf.DUMMYFUNCTION("""COMPUTED_VALUE"""),"T- 2 - 08/06/2020")</f>
        <v>T- 2 - 08/06/2020</v>
      </c>
      <c r="M874" s="4" t="str">
        <f>IFERROR(__xludf.DUMMYFUNCTION("""COMPUTED_VALUE"""),"From around the world to home BÉIS")</f>
        <v>From around the world to home BÉIS</v>
      </c>
      <c r="N874" s="4" t="str">
        <f>IFERROR(__xludf.DUMMYFUNCTION("""COMPUTED_VALUE"""),"Shay Mitchell, BÉIS")</f>
        <v>Shay Mitchell, BÉIS</v>
      </c>
      <c r="O874" s="4" t="str">
        <f>IFERROR(__xludf.DUMMYFUNCTION("""COMPUTED_VALUE"""),"")</f>
        <v/>
      </c>
      <c r="P874" s="4" t="str">
        <f>IFERROR(__xludf.DUMMYFUNCTION("""COMPUTED_VALUE"""),"")</f>
        <v/>
      </c>
      <c r="Q874" s="4" t="str">
        <f>IFERROR(__xludf.DUMMYFUNCTION("""COMPUTED_VALUE"""),"")</f>
        <v/>
      </c>
      <c r="R874" s="4" t="str">
        <f>IFERROR(__xludf.DUMMYFUNCTION("""COMPUTED_VALUE"""),"Samantha Barry, Glamour")</f>
        <v>Samantha Barry, Glamour</v>
      </c>
      <c r="S874" s="4" t="str">
        <f>IFERROR(__xludf.DUMMYFUNCTION("""COMPUTED_VALUE"""),"Shay Mitchell grew to stardom after appearing in hit TV shows such as Pretty Little Liars and Netflix's You, but she's not content to work in just one industry – she's also the founder and chief brand officer of her own travel accessory line, BÉIS. Hear f"&amp;"rom Shay on her acting career, her business and what’s next. ")</f>
        <v>Shay Mitchell grew to stardom after appearing in hit TV shows such as Pretty Little Liars and Netflix's You, but she's not content to work in just one industry – she's also the founder and chief brand officer of her own travel accessory line, BÉIS. Hear from Shay on her acting career, her business and what’s next. </v>
      </c>
      <c r="T874" s="4" t="str">
        <f>IFERROR(__xludf.DUMMYFUNCTION("""COMPUTED_VALUE"""),"NON-KEYNOTE 7 - Video to be recorded")</f>
        <v>NON-KEYNOTE 7 - Video to be recorded</v>
      </c>
      <c r="U874" s="23">
        <f>IFERROR(__xludf.DUMMYFUNCTION("""COMPUTED_VALUE"""),43990.0)</f>
        <v>43990</v>
      </c>
      <c r="V874" s="24">
        <f>IFERROR(__xludf.DUMMYFUNCTION("""COMPUTED_VALUE"""),0.7916666666666666)</f>
        <v>0.7916666667</v>
      </c>
      <c r="W874" s="21" t="str">
        <f>IFERROR(__xludf.DUMMYFUNCTION("""COMPUTED_VALUE"""),"https://zoom.us/j/97145144920?pwd=RGNLV0dxeVcrcEFSSFF2YmQzTWw2Zz09")</f>
        <v>https://zoom.us/j/97145144920?pwd=RGNLV0dxeVcrcEFSSFF2YmQzTWw2Zz09</v>
      </c>
      <c r="X874" s="4" t="str">
        <f>IFERROR(__xludf.DUMMYFUNCTION("""COMPUTED_VALUE"""),"Dan")</f>
        <v>Dan</v>
      </c>
      <c r="Y874" s="4" t="str">
        <f>IFERROR(__xludf.DUMMYFUNCTION("""COMPUTED_VALUE"""),"")</f>
        <v/>
      </c>
    </row>
    <row r="875">
      <c r="A875" s="4" t="str">
        <f>IFERROR(__xludf.DUMMYFUNCTION("""COMPUTED_VALUE"""),"978 - Channel")</f>
        <v>978 - Channel</v>
      </c>
      <c r="B875" s="4" t="str">
        <f>IFERROR(__xludf.DUMMYFUNCTION("""COMPUTED_VALUE"""),"Channel 3")</f>
        <v>Channel 3</v>
      </c>
      <c r="C875" s="4" t="str">
        <f>IFERROR(__xludf.DUMMYFUNCTION("""COMPUTED_VALUE"""),"Day 2 - 24/06")</f>
        <v>Day 2 - 24/06</v>
      </c>
      <c r="D875" s="6">
        <f>IFERROR(__xludf.DUMMYFUNCTION("""COMPUTED_VALUE"""),0.6503009259259259)</f>
        <v>0.6503009259</v>
      </c>
      <c r="E875" s="6">
        <f>IFERROR(__xludf.DUMMYFUNCTION("""COMPUTED_VALUE"""),2.314814814814815E-4)</f>
        <v>0.0002314814815</v>
      </c>
      <c r="F875" s="6">
        <f>IFERROR(__xludf.DUMMYFUNCTION("""COMPUTED_VALUE"""),0.6505324074074074)</f>
        <v>0.6505324074</v>
      </c>
      <c r="G875" s="4" t="str">
        <f>IFERROR(__xludf.DUMMYFUNCTION("""COMPUTED_VALUE"""),"Graphics")</f>
        <v>Graphics</v>
      </c>
      <c r="H875" s="4" t="str">
        <f>IFERROR(__xludf.DUMMYFUNCTION("""COMPUTED_VALUE"""),"N/A")</f>
        <v>N/A</v>
      </c>
      <c r="I875" s="4" t="str">
        <f>IFERROR(__xludf.DUMMYFUNCTION("""COMPUTED_VALUE"""),"N/A")</f>
        <v>N/A</v>
      </c>
      <c r="J875" s="4" t="str">
        <f>IFERROR(__xludf.DUMMYFUNCTION("""COMPUTED_VALUE"""),"Retail")</f>
        <v>Retail</v>
      </c>
      <c r="K875" s="4" t="str">
        <f>IFERROR(__xludf.DUMMYFUNCTION("""COMPUTED_VALUE"""),"Talk Intro")</f>
        <v>Talk Intro</v>
      </c>
      <c r="L875" s="4" t="str">
        <f>IFERROR(__xludf.DUMMYFUNCTION("""COMPUTED_VALUE"""),"")</f>
        <v/>
      </c>
      <c r="M875" s="4" t="str">
        <f>IFERROR(__xludf.DUMMYFUNCTION("""COMPUTED_VALUE"""),"Talk Intro")</f>
        <v>Talk Intro</v>
      </c>
      <c r="N875" s="4" t="str">
        <f>IFERROR(__xludf.DUMMYFUNCTION("""COMPUTED_VALUE"""),"")</f>
        <v/>
      </c>
      <c r="O875" s="4" t="str">
        <f>IFERROR(__xludf.DUMMYFUNCTION("""COMPUTED_VALUE"""),"")</f>
        <v/>
      </c>
      <c r="P875" s="4" t="str">
        <f>IFERROR(__xludf.DUMMYFUNCTION("""COMPUTED_VALUE"""),"")</f>
        <v/>
      </c>
      <c r="Q875" s="4" t="str">
        <f>IFERROR(__xludf.DUMMYFUNCTION("""COMPUTED_VALUE"""),"")</f>
        <v/>
      </c>
      <c r="R875" s="4" t="str">
        <f>IFERROR(__xludf.DUMMYFUNCTION("""COMPUTED_VALUE"""),"")</f>
        <v/>
      </c>
      <c r="S875" s="4" t="str">
        <f>IFERROR(__xludf.DUMMYFUNCTION("""COMPUTED_VALUE"""),"")</f>
        <v/>
      </c>
      <c r="T875" s="4" t="str">
        <f>IFERROR(__xludf.DUMMYFUNCTION("""COMPUTED_VALUE"""),"")</f>
        <v/>
      </c>
      <c r="U875" s="4" t="str">
        <f>IFERROR(__xludf.DUMMYFUNCTION("""COMPUTED_VALUE"""),"")</f>
        <v/>
      </c>
      <c r="V875" s="4" t="str">
        <f>IFERROR(__xludf.DUMMYFUNCTION("""COMPUTED_VALUE"""),"")</f>
        <v/>
      </c>
      <c r="W875" s="4" t="str">
        <f>IFERROR(__xludf.DUMMYFUNCTION("""COMPUTED_VALUE"""),"")</f>
        <v/>
      </c>
      <c r="X875" s="4" t="str">
        <f>IFERROR(__xludf.DUMMYFUNCTION("""COMPUTED_VALUE"""),"")</f>
        <v/>
      </c>
      <c r="Y875" s="4" t="str">
        <f>IFERROR(__xludf.DUMMYFUNCTION("""COMPUTED_VALUE"""),"")</f>
        <v/>
      </c>
    </row>
    <row r="876">
      <c r="A876" s="4" t="str">
        <f>IFERROR(__xludf.DUMMYFUNCTION("""COMPUTED_VALUE"""),"979 - Channel")</f>
        <v>979 - Channel</v>
      </c>
      <c r="B876" s="4" t="str">
        <f>IFERROR(__xludf.DUMMYFUNCTION("""COMPUTED_VALUE"""),"Channel 3")</f>
        <v>Channel 3</v>
      </c>
      <c r="C876" s="4" t="str">
        <f>IFERROR(__xludf.DUMMYFUNCTION("""COMPUTED_VALUE"""),"Day 2 - 24/06")</f>
        <v>Day 2 - 24/06</v>
      </c>
      <c r="D876" s="6">
        <f>IFERROR(__xludf.DUMMYFUNCTION("""COMPUTED_VALUE"""),0.6505324074074074)</f>
        <v>0.6505324074</v>
      </c>
      <c r="E876" s="6">
        <f>IFERROR(__xludf.DUMMYFUNCTION("""COMPUTED_VALUE"""),0.010439814814814815)</f>
        <v>0.01043981481</v>
      </c>
      <c r="F876" s="6">
        <f>IFERROR(__xludf.DUMMYFUNCTION("""COMPUTED_VALUE"""),0.6609722222222222)</f>
        <v>0.6609722222</v>
      </c>
      <c r="G876" s="4" t="str">
        <f>IFERROR(__xludf.DUMMYFUNCTION("""COMPUTED_VALUE"""),"Luan")</f>
        <v>Luan</v>
      </c>
      <c r="H876" s="4" t="str">
        <f>IFERROR(__xludf.DUMMYFUNCTION("""COMPUTED_VALUE"""),"Stephen")</f>
        <v>Stephen</v>
      </c>
      <c r="I876" s="4" t="str">
        <f>IFERROR(__xludf.DUMMYFUNCTION("""COMPUTED_VALUE"""),"Geoff")</f>
        <v>Geoff</v>
      </c>
      <c r="J876" s="4" t="str">
        <f>IFERROR(__xludf.DUMMYFUNCTION("""COMPUTED_VALUE"""),"Retail")</f>
        <v>Retail</v>
      </c>
      <c r="K876" s="4" t="str">
        <f>IFERROR(__xludf.DUMMYFUNCTION("""COMPUTED_VALUE"""),"Fireside")</f>
        <v>Fireside</v>
      </c>
      <c r="L876" s="4" t="str">
        <f>IFERROR(__xludf.DUMMYFUNCTION("""COMPUTED_VALUE"""),"T- 5 - 18/05/2020")</f>
        <v>T- 5 - 18/05/2020</v>
      </c>
      <c r="M876" s="4" t="str">
        <f>IFERROR(__xludf.DUMMYFUNCTION("""COMPUTED_VALUE"""),"Growing an ecommerce giant")</f>
        <v>Growing an ecommerce giant</v>
      </c>
      <c r="N876" s="4" t="str">
        <f>IFERROR(__xludf.DUMMYFUNCTION("""COMPUTED_VALUE"""),"Barbara Martin Coppola, IKEA")</f>
        <v>Barbara Martin Coppola, IKEA</v>
      </c>
      <c r="O876" s="4" t="str">
        <f>IFERROR(__xludf.DUMMYFUNCTION("""COMPUTED_VALUE"""),"")</f>
        <v/>
      </c>
      <c r="P876" s="4" t="str">
        <f>IFERROR(__xludf.DUMMYFUNCTION("""COMPUTED_VALUE"""),"")</f>
        <v/>
      </c>
      <c r="Q876" s="4" t="str">
        <f>IFERROR(__xludf.DUMMYFUNCTION("""COMPUTED_VALUE"""),"")</f>
        <v/>
      </c>
      <c r="R876" s="4" t="str">
        <f>IFERROR(__xludf.DUMMYFUNCTION("""COMPUTED_VALUE"""),"Brian Sozzi, Yahoo Finance")</f>
        <v>Brian Sozzi, Yahoo Finance</v>
      </c>
      <c r="S876" s="4" t="str">
        <f>IFERROR(__xludf.DUMMYFUNCTION("""COMPUTED_VALUE"""),"People normally wander around Ikea's warehouses; now they're buying online. How does one of the world's biggest retailers respond to this change in custom?")</f>
        <v>People normally wander around Ikea's warehouses; now they're buying online. How does one of the world's biggest retailers respond to this change in custom?</v>
      </c>
      <c r="T876" s="4" t="str">
        <f>IFERROR(__xludf.DUMMYFUNCTION("""COMPUTED_VALUE"""),"KEYNOTE 8 - COMPLETE")</f>
        <v>KEYNOTE 8 - COMPLETE</v>
      </c>
      <c r="U876" s="23">
        <f>IFERROR(__xludf.DUMMYFUNCTION("""COMPUTED_VALUE"""),43971.0)</f>
        <v>43971</v>
      </c>
      <c r="V876" s="24">
        <f>IFERROR(__xludf.DUMMYFUNCTION("""COMPUTED_VALUE"""),0.8333333333333334)</f>
        <v>0.8333333333</v>
      </c>
      <c r="W876" s="4" t="str">
        <f>IFERROR(__xludf.DUMMYFUNCTION("""COMPUTED_VALUE"""),"COMPLETE")</f>
        <v>COMPLETE</v>
      </c>
      <c r="X876" s="4" t="str">
        <f>IFERROR(__xludf.DUMMYFUNCTION("""COMPUTED_VALUE"""),"Brian")</f>
        <v>Brian</v>
      </c>
      <c r="Y876" s="4" t="str">
        <f>IFERROR(__xludf.DUMMYFUNCTION("""COMPUTED_VALUE"""),"")</f>
        <v/>
      </c>
    </row>
    <row r="877">
      <c r="A877" s="4" t="str">
        <f>IFERROR(__xludf.DUMMYFUNCTION("""COMPUTED_VALUE"""),"1675 - Channel")</f>
        <v>1675 - Channel</v>
      </c>
      <c r="B877" s="4" t="str">
        <f>IFERROR(__xludf.DUMMYFUNCTION("""COMPUTED_VALUE"""),"Channel 3")</f>
        <v>Channel 3</v>
      </c>
      <c r="C877" s="4" t="str">
        <f>IFERROR(__xludf.DUMMYFUNCTION("""COMPUTED_VALUE"""),"Day 2 - 24/06")</f>
        <v>Day 2 - 24/06</v>
      </c>
      <c r="D877" s="6">
        <f>IFERROR(__xludf.DUMMYFUNCTION("""COMPUTED_VALUE"""),0.6609722222222222)</f>
        <v>0.6609722222</v>
      </c>
      <c r="E877" s="6">
        <f>IFERROR(__xludf.DUMMYFUNCTION("""COMPUTED_VALUE"""),0.0010416666666666667)</f>
        <v>0.001041666667</v>
      </c>
      <c r="F877" s="6">
        <f>IFERROR(__xludf.DUMMYFUNCTION("""COMPUTED_VALUE"""),0.6620138888888889)</f>
        <v>0.6620138889</v>
      </c>
      <c r="G877" s="4" t="str">
        <f>IFERROR(__xludf.DUMMYFUNCTION("""COMPUTED_VALUE"""),"Graphics")</f>
        <v>Graphics</v>
      </c>
      <c r="H877" s="4" t="str">
        <f>IFERROR(__xludf.DUMMYFUNCTION("""COMPUTED_VALUE"""),"")</f>
        <v/>
      </c>
      <c r="I877" s="4" t="str">
        <f>IFERROR(__xludf.DUMMYFUNCTION("""COMPUTED_VALUE"""),"")</f>
        <v/>
      </c>
      <c r="J877" s="4" t="str">
        <f>IFERROR(__xludf.DUMMYFUNCTION("""COMPUTED_VALUE"""),"")</f>
        <v/>
      </c>
      <c r="K877" s="4" t="str">
        <f>IFERROR(__xludf.DUMMYFUNCTION("""COMPUTED_VALUE"""),"Collision From Home Day Intro")</f>
        <v>Collision From Home Day Intro</v>
      </c>
      <c r="L877" s="4" t="str">
        <f>IFERROR(__xludf.DUMMYFUNCTION("""COMPUTED_VALUE"""),"")</f>
        <v/>
      </c>
      <c r="M877" s="4" t="str">
        <f>IFERROR(__xludf.DUMMYFUNCTION("""COMPUTED_VALUE"""),"Collision From Home Day Intro")</f>
        <v>Collision From Home Day Intro</v>
      </c>
      <c r="N877" s="4" t="str">
        <f>IFERROR(__xludf.DUMMYFUNCTION("""COMPUTED_VALUE"""),"")</f>
        <v/>
      </c>
      <c r="O877" s="4" t="str">
        <f>IFERROR(__xludf.DUMMYFUNCTION("""COMPUTED_VALUE"""),"")</f>
        <v/>
      </c>
      <c r="P877" s="4" t="str">
        <f>IFERROR(__xludf.DUMMYFUNCTION("""COMPUTED_VALUE"""),"")</f>
        <v/>
      </c>
      <c r="Q877" s="4" t="str">
        <f>IFERROR(__xludf.DUMMYFUNCTION("""COMPUTED_VALUE"""),"")</f>
        <v/>
      </c>
      <c r="R877" s="4" t="str">
        <f>IFERROR(__xludf.DUMMYFUNCTION("""COMPUTED_VALUE"""),"")</f>
        <v/>
      </c>
      <c r="S877" s="4" t="str">
        <f>IFERROR(__xludf.DUMMYFUNCTION("""COMPUTED_VALUE"""),"")</f>
        <v/>
      </c>
      <c r="T877" s="4" t="str">
        <f>IFERROR(__xludf.DUMMYFUNCTION("""COMPUTED_VALUE"""),"")</f>
        <v/>
      </c>
      <c r="U877" s="4" t="str">
        <f>IFERROR(__xludf.DUMMYFUNCTION("""COMPUTED_VALUE"""),"")</f>
        <v/>
      </c>
      <c r="V877" s="4" t="str">
        <f>IFERROR(__xludf.DUMMYFUNCTION("""COMPUTED_VALUE"""),"")</f>
        <v/>
      </c>
      <c r="W877" s="4" t="str">
        <f>IFERROR(__xludf.DUMMYFUNCTION("""COMPUTED_VALUE"""),"")</f>
        <v/>
      </c>
      <c r="X877" s="4" t="str">
        <f>IFERROR(__xludf.DUMMYFUNCTION("""COMPUTED_VALUE"""),"")</f>
        <v/>
      </c>
      <c r="Y877" s="4" t="str">
        <f>IFERROR(__xludf.DUMMYFUNCTION("""COMPUTED_VALUE"""),"")</f>
        <v/>
      </c>
    </row>
    <row r="878">
      <c r="A878" s="4" t="str">
        <f>IFERROR(__xludf.DUMMYFUNCTION("""COMPUTED_VALUE"""),"990 - Channel")</f>
        <v>990 - Channel</v>
      </c>
      <c r="B878" s="4" t="str">
        <f>IFERROR(__xludf.DUMMYFUNCTION("""COMPUTED_VALUE"""),"Channel 3")</f>
        <v>Channel 3</v>
      </c>
      <c r="C878" s="4" t="str">
        <f>IFERROR(__xludf.DUMMYFUNCTION("""COMPUTED_VALUE"""),"Day 2 - 24/06")</f>
        <v>Day 2 - 24/06</v>
      </c>
      <c r="D878" s="6">
        <f>IFERROR(__xludf.DUMMYFUNCTION("""COMPUTED_VALUE"""),0.6620138888888889)</f>
        <v>0.6620138889</v>
      </c>
      <c r="E878" s="6">
        <f>IFERROR(__xludf.DUMMYFUNCTION("""COMPUTED_VALUE"""),2.314814814814815E-4)</f>
        <v>0.0002314814815</v>
      </c>
      <c r="F878" s="6">
        <f>IFERROR(__xludf.DUMMYFUNCTION("""COMPUTED_VALUE"""),0.6622453703703703)</f>
        <v>0.6622453704</v>
      </c>
      <c r="G878" s="4" t="str">
        <f>IFERROR(__xludf.DUMMYFUNCTION("""COMPUTED_VALUE"""),"Graphics")</f>
        <v>Graphics</v>
      </c>
      <c r="H878" s="4" t="str">
        <f>IFERROR(__xludf.DUMMYFUNCTION("""COMPUTED_VALUE"""),"N/A")</f>
        <v>N/A</v>
      </c>
      <c r="I878" s="4" t="str">
        <f>IFERROR(__xludf.DUMMYFUNCTION("""COMPUTED_VALUE"""),"N/A")</f>
        <v>N/A</v>
      </c>
      <c r="J878" s="4" t="str">
        <f>IFERROR(__xludf.DUMMYFUNCTION("""COMPUTED_VALUE"""),"Payments")</f>
        <v>Payments</v>
      </c>
      <c r="K878" s="4" t="str">
        <f>IFERROR(__xludf.DUMMYFUNCTION("""COMPUTED_VALUE"""),"Talk Intro")</f>
        <v>Talk Intro</v>
      </c>
      <c r="L878" s="4" t="str">
        <f>IFERROR(__xludf.DUMMYFUNCTION("""COMPUTED_VALUE"""),"")</f>
        <v/>
      </c>
      <c r="M878" s="4" t="str">
        <f>IFERROR(__xludf.DUMMYFUNCTION("""COMPUTED_VALUE"""),"Talk Intro")</f>
        <v>Talk Intro</v>
      </c>
      <c r="N878" s="4" t="str">
        <f>IFERROR(__xludf.DUMMYFUNCTION("""COMPUTED_VALUE"""),"")</f>
        <v/>
      </c>
      <c r="O878" s="4" t="str">
        <f>IFERROR(__xludf.DUMMYFUNCTION("""COMPUTED_VALUE"""),"")</f>
        <v/>
      </c>
      <c r="P878" s="4" t="str">
        <f>IFERROR(__xludf.DUMMYFUNCTION("""COMPUTED_VALUE"""),"")</f>
        <v/>
      </c>
      <c r="Q878" s="4" t="str">
        <f>IFERROR(__xludf.DUMMYFUNCTION("""COMPUTED_VALUE"""),"")</f>
        <v/>
      </c>
      <c r="R878" s="4" t="str">
        <f>IFERROR(__xludf.DUMMYFUNCTION("""COMPUTED_VALUE"""),"")</f>
        <v/>
      </c>
      <c r="S878" s="4" t="str">
        <f>IFERROR(__xludf.DUMMYFUNCTION("""COMPUTED_VALUE"""),"")</f>
        <v/>
      </c>
      <c r="T878" s="4" t="str">
        <f>IFERROR(__xludf.DUMMYFUNCTION("""COMPUTED_VALUE"""),"")</f>
        <v/>
      </c>
      <c r="U878" s="4" t="str">
        <f>IFERROR(__xludf.DUMMYFUNCTION("""COMPUTED_VALUE"""),"")</f>
        <v/>
      </c>
      <c r="V878" s="4" t="str">
        <f>IFERROR(__xludf.DUMMYFUNCTION("""COMPUTED_VALUE"""),"")</f>
        <v/>
      </c>
      <c r="W878" s="4" t="str">
        <f>IFERROR(__xludf.DUMMYFUNCTION("""COMPUTED_VALUE"""),"")</f>
        <v/>
      </c>
      <c r="X878" s="4" t="str">
        <f>IFERROR(__xludf.DUMMYFUNCTION("""COMPUTED_VALUE"""),"")</f>
        <v/>
      </c>
      <c r="Y878" s="4" t="str">
        <f>IFERROR(__xludf.DUMMYFUNCTION("""COMPUTED_VALUE"""),"")</f>
        <v/>
      </c>
    </row>
    <row r="879">
      <c r="A879" s="4" t="str">
        <f>IFERROR(__xludf.DUMMYFUNCTION("""COMPUTED_VALUE"""),"991 - Channel")</f>
        <v>991 - Channel</v>
      </c>
      <c r="B879" s="4" t="str">
        <f>IFERROR(__xludf.DUMMYFUNCTION("""COMPUTED_VALUE"""),"Channel 3")</f>
        <v>Channel 3</v>
      </c>
      <c r="C879" s="4" t="str">
        <f>IFERROR(__xludf.DUMMYFUNCTION("""COMPUTED_VALUE"""),"Day 2 - 24/06")</f>
        <v>Day 2 - 24/06</v>
      </c>
      <c r="D879" s="6">
        <f>IFERROR(__xludf.DUMMYFUNCTION("""COMPUTED_VALUE"""),0.6622453703703703)</f>
        <v>0.6622453704</v>
      </c>
      <c r="E879" s="6">
        <f>IFERROR(__xludf.DUMMYFUNCTION("""COMPUTED_VALUE"""),0.0022800925925925927)</f>
        <v>0.002280092593</v>
      </c>
      <c r="F879" s="6">
        <f>IFERROR(__xludf.DUMMYFUNCTION("""COMPUTED_VALUE"""),0.6645254629629629)</f>
        <v>0.664525463</v>
      </c>
      <c r="G879" s="4" t="str">
        <f>IFERROR(__xludf.DUMMYFUNCTION("""COMPUTED_VALUE"""),"Dan")</f>
        <v>Dan</v>
      </c>
      <c r="H879" s="4" t="str">
        <f>IFERROR(__xludf.DUMMYFUNCTION("""COMPUTED_VALUE"""),"N/A")</f>
        <v>N/A</v>
      </c>
      <c r="I879" s="4" t="str">
        <f>IFERROR(__xludf.DUMMYFUNCTION("""COMPUTED_VALUE"""),"Jack")</f>
        <v>Jack</v>
      </c>
      <c r="J879" s="4" t="str">
        <f>IFERROR(__xludf.DUMMYFUNCTION("""COMPUTED_VALUE"""),"Payments")</f>
        <v>Payments</v>
      </c>
      <c r="K879" s="4" t="str">
        <f>IFERROR(__xludf.DUMMYFUNCTION("""COMPUTED_VALUE"""),"Keynote")</f>
        <v>Keynote</v>
      </c>
      <c r="L879" s="4" t="str">
        <f>IFERROR(__xludf.DUMMYFUNCTION("""COMPUTED_VALUE"""),"T- 9 - 20/04/2020")</f>
        <v>T- 9 - 20/04/2020</v>
      </c>
      <c r="M879" s="4" t="str">
        <f>IFERROR(__xludf.DUMMYFUNCTION("""COMPUTED_VALUE"""),"How to manage growth")</f>
        <v>How to manage growth</v>
      </c>
      <c r="N879" s="4" t="str">
        <f>IFERROR(__xludf.DUMMYFUNCTION("""COMPUTED_VALUE"""),"Peter Colis, Ethos")</f>
        <v>Peter Colis, Ethos</v>
      </c>
      <c r="O879" s="4" t="str">
        <f>IFERROR(__xludf.DUMMYFUNCTION("""COMPUTED_VALUE"""),"")</f>
        <v/>
      </c>
      <c r="P879" s="4" t="str">
        <f>IFERROR(__xludf.DUMMYFUNCTION("""COMPUTED_VALUE"""),"")</f>
        <v/>
      </c>
      <c r="Q879" s="4" t="str">
        <f>IFERROR(__xludf.DUMMYFUNCTION("""COMPUTED_VALUE"""),"")</f>
        <v/>
      </c>
      <c r="R879" s="4" t="str">
        <f>IFERROR(__xludf.DUMMYFUNCTION("""COMPUTED_VALUE"""),"")</f>
        <v/>
      </c>
      <c r="S879" s="4" t="str">
        <f>IFERROR(__xludf.DUMMYFUNCTION("""COMPUTED_VALUE"""),"Peter will discuss how he led Ethos (a young startup) to a nearly $500 million valuation, and which elements have been key to fast and sustainable growth.")</f>
        <v>Peter will discuss how he led Ethos (a young startup) to a nearly $500 million valuation, and which elements have been key to fast and sustainable growth.</v>
      </c>
      <c r="T879" s="4" t="str">
        <f>IFERROR(__xludf.DUMMYFUNCTION("""COMPUTED_VALUE"""),"KEYNOTE 8 - COMPLETE")</f>
        <v>KEYNOTE 8 - COMPLETE</v>
      </c>
      <c r="U879" s="23">
        <f>IFERROR(__xludf.DUMMYFUNCTION("""COMPUTED_VALUE"""),43943.0)</f>
        <v>43943</v>
      </c>
      <c r="V879" s="24">
        <f>IFERROR(__xludf.DUMMYFUNCTION("""COMPUTED_VALUE"""),0.75)</f>
        <v>0.75</v>
      </c>
      <c r="W879" s="4" t="str">
        <f>IFERROR(__xludf.DUMMYFUNCTION("""COMPUTED_VALUE"""),"COMPLETE")</f>
        <v>COMPLETE</v>
      </c>
      <c r="X879" s="4" t="str">
        <f>IFERROR(__xludf.DUMMYFUNCTION("""COMPUTED_VALUE"""),"Dan")</f>
        <v>Dan</v>
      </c>
      <c r="Y879" s="4" t="str">
        <f>IFERROR(__xludf.DUMMYFUNCTION("""COMPUTED_VALUE"""),"4627185141382315770")</f>
        <v>4627185141382315770</v>
      </c>
    </row>
    <row r="880">
      <c r="A880" s="4" t="str">
        <f>IFERROR(__xludf.DUMMYFUNCTION("""COMPUTED_VALUE"""),"981 - Channel")</f>
        <v>981 - Channel</v>
      </c>
      <c r="B880" s="4" t="str">
        <f>IFERROR(__xludf.DUMMYFUNCTION("""COMPUTED_VALUE"""),"Channel 3")</f>
        <v>Channel 3</v>
      </c>
      <c r="C880" s="4" t="str">
        <f>IFERROR(__xludf.DUMMYFUNCTION("""COMPUTED_VALUE"""),"Day 2 - 24/06")</f>
        <v>Day 2 - 24/06</v>
      </c>
      <c r="D880" s="6">
        <f>IFERROR(__xludf.DUMMYFUNCTION("""COMPUTED_VALUE"""),0.6645254629629629)</f>
        <v>0.664525463</v>
      </c>
      <c r="E880" s="6">
        <f>IFERROR(__xludf.DUMMYFUNCTION("""COMPUTED_VALUE"""),2.314814814814815E-4)</f>
        <v>0.0002314814815</v>
      </c>
      <c r="F880" s="6">
        <f>IFERROR(__xludf.DUMMYFUNCTION("""COMPUTED_VALUE"""),0.6647569444444443)</f>
        <v>0.6647569444</v>
      </c>
      <c r="G880" s="4" t="str">
        <f>IFERROR(__xludf.DUMMYFUNCTION("""COMPUTED_VALUE"""),"Graphics")</f>
        <v>Graphics</v>
      </c>
      <c r="H880" s="4" t="str">
        <f>IFERROR(__xludf.DUMMYFUNCTION("""COMPUTED_VALUE"""),"")</f>
        <v/>
      </c>
      <c r="I880" s="4" t="str">
        <f>IFERROR(__xludf.DUMMYFUNCTION("""COMPUTED_VALUE"""),"")</f>
        <v/>
      </c>
      <c r="J880" s="4" t="str">
        <f>IFERROR(__xludf.DUMMYFUNCTION("""COMPUTED_VALUE"""),"Retail")</f>
        <v>Retail</v>
      </c>
      <c r="K880" s="4" t="str">
        <f>IFERROR(__xludf.DUMMYFUNCTION("""COMPUTED_VALUE"""),"Talk Intro")</f>
        <v>Talk Intro</v>
      </c>
      <c r="L880" s="4" t="str">
        <f>IFERROR(__xludf.DUMMYFUNCTION("""COMPUTED_VALUE"""),"")</f>
        <v/>
      </c>
      <c r="M880" s="4" t="str">
        <f>IFERROR(__xludf.DUMMYFUNCTION("""COMPUTED_VALUE"""),"Talk Intro")</f>
        <v>Talk Intro</v>
      </c>
      <c r="N880" s="4" t="str">
        <f>IFERROR(__xludf.DUMMYFUNCTION("""COMPUTED_VALUE"""),"")</f>
        <v/>
      </c>
      <c r="O880" s="4" t="str">
        <f>IFERROR(__xludf.DUMMYFUNCTION("""COMPUTED_VALUE"""),"")</f>
        <v/>
      </c>
      <c r="P880" s="4" t="str">
        <f>IFERROR(__xludf.DUMMYFUNCTION("""COMPUTED_VALUE"""),"")</f>
        <v/>
      </c>
      <c r="Q880" s="4" t="str">
        <f>IFERROR(__xludf.DUMMYFUNCTION("""COMPUTED_VALUE"""),"")</f>
        <v/>
      </c>
      <c r="R880" s="4" t="str">
        <f>IFERROR(__xludf.DUMMYFUNCTION("""COMPUTED_VALUE"""),"")</f>
        <v/>
      </c>
      <c r="S880" s="4" t="str">
        <f>IFERROR(__xludf.DUMMYFUNCTION("""COMPUTED_VALUE"""),"")</f>
        <v/>
      </c>
      <c r="T880" s="4" t="str">
        <f>IFERROR(__xludf.DUMMYFUNCTION("""COMPUTED_VALUE"""),"")</f>
        <v/>
      </c>
      <c r="U880" s="4" t="str">
        <f>IFERROR(__xludf.DUMMYFUNCTION("""COMPUTED_VALUE"""),"")</f>
        <v/>
      </c>
      <c r="V880" s="4" t="str">
        <f>IFERROR(__xludf.DUMMYFUNCTION("""COMPUTED_VALUE"""),"")</f>
        <v/>
      </c>
      <c r="W880" s="4" t="str">
        <f>IFERROR(__xludf.DUMMYFUNCTION("""COMPUTED_VALUE"""),"")</f>
        <v/>
      </c>
      <c r="X880" s="4" t="str">
        <f>IFERROR(__xludf.DUMMYFUNCTION("""COMPUTED_VALUE"""),"")</f>
        <v/>
      </c>
      <c r="Y880" s="4" t="str">
        <f>IFERROR(__xludf.DUMMYFUNCTION("""COMPUTED_VALUE"""),"")</f>
        <v/>
      </c>
    </row>
    <row r="881">
      <c r="A881" s="4" t="str">
        <f>IFERROR(__xludf.DUMMYFUNCTION("""COMPUTED_VALUE"""),"982 - Channel")</f>
        <v>982 - Channel</v>
      </c>
      <c r="B881" s="4" t="str">
        <f>IFERROR(__xludf.DUMMYFUNCTION("""COMPUTED_VALUE"""),"Channel 3")</f>
        <v>Channel 3</v>
      </c>
      <c r="C881" s="4" t="str">
        <f>IFERROR(__xludf.DUMMYFUNCTION("""COMPUTED_VALUE"""),"Day 2 - 24/06")</f>
        <v>Day 2 - 24/06</v>
      </c>
      <c r="D881" s="6">
        <f>IFERROR(__xludf.DUMMYFUNCTION("""COMPUTED_VALUE"""),0.6647569444444443)</f>
        <v>0.6647569444</v>
      </c>
      <c r="E881" s="6">
        <f>IFERROR(__xludf.DUMMYFUNCTION("""COMPUTED_VALUE"""),0.0018402777777777777)</f>
        <v>0.001840277778</v>
      </c>
      <c r="F881" s="6">
        <f>IFERROR(__xludf.DUMMYFUNCTION("""COMPUTED_VALUE"""),0.6665972222222221)</f>
        <v>0.6665972222</v>
      </c>
      <c r="G881" s="4" t="str">
        <f>IFERROR(__xludf.DUMMYFUNCTION("""COMPUTED_VALUE"""),"Dan")</f>
        <v>Dan</v>
      </c>
      <c r="H881" s="4" t="str">
        <f>IFERROR(__xludf.DUMMYFUNCTION("""COMPUTED_VALUE"""),"N/A")</f>
        <v>N/A</v>
      </c>
      <c r="I881" s="4" t="str">
        <f>IFERROR(__xludf.DUMMYFUNCTION("""COMPUTED_VALUE"""),"Jack")</f>
        <v>Jack</v>
      </c>
      <c r="J881" s="4" t="str">
        <f>IFERROR(__xludf.DUMMYFUNCTION("""COMPUTED_VALUE"""),"Retail")</f>
        <v>Retail</v>
      </c>
      <c r="K881" s="4" t="str">
        <f>IFERROR(__xludf.DUMMYFUNCTION("""COMPUTED_VALUE"""),"Keynote")</f>
        <v>Keynote</v>
      </c>
      <c r="L881" s="4" t="str">
        <f>IFERROR(__xludf.DUMMYFUNCTION("""COMPUTED_VALUE"""),"T- 6 - 11/05/2020")</f>
        <v>T- 6 - 11/05/2020</v>
      </c>
      <c r="M881" s="4" t="str">
        <f>IFERROR(__xludf.DUMMYFUNCTION("""COMPUTED_VALUE"""),"The future of photography")</f>
        <v>The future of photography</v>
      </c>
      <c r="N881" s="4" t="str">
        <f>IFERROR(__xludf.DUMMYFUNCTION("""COMPUTED_VALUE"""),"Dave Grannan, Light")</f>
        <v>Dave Grannan, Light</v>
      </c>
      <c r="O881" s="4" t="str">
        <f>IFERROR(__xludf.DUMMYFUNCTION("""COMPUTED_VALUE"""),"")</f>
        <v/>
      </c>
      <c r="P881" s="4" t="str">
        <f>IFERROR(__xludf.DUMMYFUNCTION("""COMPUTED_VALUE"""),"")</f>
        <v/>
      </c>
      <c r="Q881" s="4" t="str">
        <f>IFERROR(__xludf.DUMMYFUNCTION("""COMPUTED_VALUE"""),"")</f>
        <v/>
      </c>
      <c r="R881" s="4" t="str">
        <f>IFERROR(__xludf.DUMMYFUNCTION("""COMPUTED_VALUE"""),"")</f>
        <v/>
      </c>
      <c r="S881" s="4" t="str">
        <f>IFERROR(__xludf.DUMMYFUNCTION("""COMPUTED_VALUE"""),"The founder and CEO of leading imaging unicorn Light shares the startup's plans to transform the future of photography.")</f>
        <v>The founder and CEO of leading imaging unicorn Light shares the startup's plans to transform the future of photography.</v>
      </c>
      <c r="T881" s="4" t="str">
        <f>IFERROR(__xludf.DUMMYFUNCTION("""COMPUTED_VALUE"""),"KEYNOTE 8 - COMPLETE")</f>
        <v>KEYNOTE 8 - COMPLETE</v>
      </c>
      <c r="U881" s="23">
        <f>IFERROR(__xludf.DUMMYFUNCTION("""COMPUTED_VALUE"""),43965.0)</f>
        <v>43965</v>
      </c>
      <c r="V881" s="24">
        <f>IFERROR(__xludf.DUMMYFUNCTION("""COMPUTED_VALUE"""),0.7083333333333334)</f>
        <v>0.7083333333</v>
      </c>
      <c r="W881" s="4" t="str">
        <f>IFERROR(__xludf.DUMMYFUNCTION("""COMPUTED_VALUE"""),"COMPLETE")</f>
        <v>COMPLETE</v>
      </c>
      <c r="X881" s="4" t="str">
        <f>IFERROR(__xludf.DUMMYFUNCTION("""COMPUTED_VALUE"""),"Dan")</f>
        <v>Dan</v>
      </c>
      <c r="Y881" s="4" t="str">
        <f>IFERROR(__xludf.DUMMYFUNCTION("""COMPUTED_VALUE"""),"4659492801913761116")</f>
        <v>4659492801913761116</v>
      </c>
    </row>
    <row r="882">
      <c r="A882" s="4" t="str">
        <f>IFERROR(__xludf.DUMMYFUNCTION("""COMPUTED_VALUE"""),"1580 - Channel")</f>
        <v>1580 - Channel</v>
      </c>
      <c r="B882" s="4" t="str">
        <f>IFERROR(__xludf.DUMMYFUNCTION("""COMPUTED_VALUE"""),"Channel 3")</f>
        <v>Channel 3</v>
      </c>
      <c r="C882" s="4" t="str">
        <f>IFERROR(__xludf.DUMMYFUNCTION("""COMPUTED_VALUE"""),"")</f>
        <v/>
      </c>
      <c r="D882" s="4" t="str">
        <f>IFERROR(__xludf.DUMMYFUNCTION("""COMPUTED_VALUE"""),"")</f>
        <v/>
      </c>
      <c r="E882" s="4" t="str">
        <f>IFERROR(__xludf.DUMMYFUNCTION("""COMPUTED_VALUE"""),"")</f>
        <v/>
      </c>
      <c r="F882" s="4" t="str">
        <f>IFERROR(__xludf.DUMMYFUNCTION("""COMPUTED_VALUE"""),"")</f>
        <v/>
      </c>
      <c r="G882" s="4" t="str">
        <f>IFERROR(__xludf.DUMMYFUNCTION("""COMPUTED_VALUE"""),"")</f>
        <v/>
      </c>
      <c r="H882" s="4" t="str">
        <f>IFERROR(__xludf.DUMMYFUNCTION("""COMPUTED_VALUE"""),"")</f>
        <v/>
      </c>
      <c r="I882" s="4" t="str">
        <f>IFERROR(__xludf.DUMMYFUNCTION("""COMPUTED_VALUE"""),"")</f>
        <v/>
      </c>
      <c r="J882" s="4" t="str">
        <f>IFERROR(__xludf.DUMMYFUNCTION("""COMPUTED_VALUE"""),"")</f>
        <v/>
      </c>
      <c r="K882" s="4" t="str">
        <f>IFERROR(__xludf.DUMMYFUNCTION("""COMPUTED_VALUE"""),"")</f>
        <v/>
      </c>
      <c r="L882" s="4" t="str">
        <f>IFERROR(__xludf.DUMMYFUNCTION("""COMPUTED_VALUE"""),"")</f>
        <v/>
      </c>
      <c r="M882" s="4" t="str">
        <f>IFERROR(__xludf.DUMMYFUNCTION("""COMPUTED_VALUE"""),"")</f>
        <v/>
      </c>
      <c r="N882" s="4" t="str">
        <f>IFERROR(__xludf.DUMMYFUNCTION("""COMPUTED_VALUE"""),"")</f>
        <v/>
      </c>
      <c r="O882" s="4" t="str">
        <f>IFERROR(__xludf.DUMMYFUNCTION("""COMPUTED_VALUE"""),"")</f>
        <v/>
      </c>
      <c r="P882" s="4" t="str">
        <f>IFERROR(__xludf.DUMMYFUNCTION("""COMPUTED_VALUE"""),"")</f>
        <v/>
      </c>
      <c r="Q882" s="4" t="str">
        <f>IFERROR(__xludf.DUMMYFUNCTION("""COMPUTED_VALUE"""),"")</f>
        <v/>
      </c>
      <c r="R882" s="4" t="str">
        <f>IFERROR(__xludf.DUMMYFUNCTION("""COMPUTED_VALUE"""),"")</f>
        <v/>
      </c>
      <c r="S882" s="4" t="str">
        <f>IFERROR(__xludf.DUMMYFUNCTION("""COMPUTED_VALUE"""),"")</f>
        <v/>
      </c>
      <c r="T882" s="4" t="str">
        <f>IFERROR(__xludf.DUMMYFUNCTION("""COMPUTED_VALUE"""),"")</f>
        <v/>
      </c>
      <c r="U882" s="4" t="str">
        <f>IFERROR(__xludf.DUMMYFUNCTION("""COMPUTED_VALUE"""),"")</f>
        <v/>
      </c>
      <c r="V882" s="4" t="str">
        <f>IFERROR(__xludf.DUMMYFUNCTION("""COMPUTED_VALUE"""),"")</f>
        <v/>
      </c>
      <c r="W882" s="4" t="str">
        <f>IFERROR(__xludf.DUMMYFUNCTION("""COMPUTED_VALUE"""),"")</f>
        <v/>
      </c>
      <c r="X882" s="4" t="str">
        <f>IFERROR(__xludf.DUMMYFUNCTION("""COMPUTED_VALUE"""),"")</f>
        <v/>
      </c>
      <c r="Y882" s="4" t="str">
        <f>IFERROR(__xludf.DUMMYFUNCTION("""COMPUTED_VALUE"""),"")</f>
        <v/>
      </c>
    </row>
    <row r="883">
      <c r="A883" s="4" t="str">
        <f>IFERROR(__xludf.DUMMYFUNCTION("""COMPUTED_VALUE"""),"1562 - Channel")</f>
        <v>1562 - Channel</v>
      </c>
      <c r="B883" s="4" t="str">
        <f>IFERROR(__xludf.DUMMYFUNCTION("""COMPUTED_VALUE"""),"Channel 3")</f>
        <v>Channel 3</v>
      </c>
      <c r="C883" s="4" t="str">
        <f>IFERROR(__xludf.DUMMYFUNCTION("""COMPUTED_VALUE"""),"Day 2 - 24/06")</f>
        <v>Day 2 - 24/06</v>
      </c>
      <c r="D883" s="6">
        <f>IFERROR(__xludf.DUMMYFUNCTION("""COMPUTED_VALUE"""),0.6666666666666666)</f>
        <v>0.6666666667</v>
      </c>
      <c r="E883" s="6">
        <f>IFERROR(__xludf.DUMMYFUNCTION("""COMPUTED_VALUE"""),3.4722222222222224E-4)</f>
        <v>0.0003472222222</v>
      </c>
      <c r="F883" s="6">
        <f>IFERROR(__xludf.DUMMYFUNCTION("""COMPUTED_VALUE"""),0.6670138888888889)</f>
        <v>0.6670138889</v>
      </c>
      <c r="G883" s="4" t="str">
        <f>IFERROR(__xludf.DUMMYFUNCTION("""COMPUTED_VALUE"""),"")</f>
        <v/>
      </c>
      <c r="H883" s="4" t="str">
        <f>IFERROR(__xludf.DUMMYFUNCTION("""COMPUTED_VALUE"""),"")</f>
        <v/>
      </c>
      <c r="I883" s="4" t="str">
        <f>IFERROR(__xludf.DUMMYFUNCTION("""COMPUTED_VALUE"""),"")</f>
        <v/>
      </c>
      <c r="J883" s="4" t="str">
        <f>IFERROR(__xludf.DUMMYFUNCTION("""COMPUTED_VALUE"""),"")</f>
        <v/>
      </c>
      <c r="K883" s="4" t="str">
        <f>IFERROR(__xludf.DUMMYFUNCTION("""COMPUTED_VALUE"""),"Talk Intro")</f>
        <v>Talk Intro</v>
      </c>
      <c r="L883" s="4" t="str">
        <f>IFERROR(__xludf.DUMMYFUNCTION("""COMPUTED_VALUE"""),"")</f>
        <v/>
      </c>
      <c r="M883" s="4" t="str">
        <f>IFERROR(__xludf.DUMMYFUNCTION("""COMPUTED_VALUE"""),"talk intro")</f>
        <v>talk intro</v>
      </c>
      <c r="N883" s="4" t="str">
        <f>IFERROR(__xludf.DUMMYFUNCTION("""COMPUTED_VALUE"""),"")</f>
        <v/>
      </c>
      <c r="O883" s="4" t="str">
        <f>IFERROR(__xludf.DUMMYFUNCTION("""COMPUTED_VALUE"""),"")</f>
        <v/>
      </c>
      <c r="P883" s="4" t="str">
        <f>IFERROR(__xludf.DUMMYFUNCTION("""COMPUTED_VALUE"""),"")</f>
        <v/>
      </c>
      <c r="Q883" s="4" t="str">
        <f>IFERROR(__xludf.DUMMYFUNCTION("""COMPUTED_VALUE"""),"")</f>
        <v/>
      </c>
      <c r="R883" s="4" t="str">
        <f>IFERROR(__xludf.DUMMYFUNCTION("""COMPUTED_VALUE"""),"")</f>
        <v/>
      </c>
      <c r="S883" s="4" t="str">
        <f>IFERROR(__xludf.DUMMYFUNCTION("""COMPUTED_VALUE"""),"")</f>
        <v/>
      </c>
      <c r="T883" s="4" t="str">
        <f>IFERROR(__xludf.DUMMYFUNCTION("""COMPUTED_VALUE"""),"")</f>
        <v/>
      </c>
      <c r="U883" s="4" t="str">
        <f>IFERROR(__xludf.DUMMYFUNCTION("""COMPUTED_VALUE"""),"")</f>
        <v/>
      </c>
      <c r="V883" s="4" t="str">
        <f>IFERROR(__xludf.DUMMYFUNCTION("""COMPUTED_VALUE"""),"")</f>
        <v/>
      </c>
      <c r="W883" s="4" t="str">
        <f>IFERROR(__xludf.DUMMYFUNCTION("""COMPUTED_VALUE"""),"")</f>
        <v/>
      </c>
      <c r="X883" s="4" t="str">
        <f>IFERROR(__xludf.DUMMYFUNCTION("""COMPUTED_VALUE"""),"")</f>
        <v/>
      </c>
      <c r="Y883" s="4" t="str">
        <f>IFERROR(__xludf.DUMMYFUNCTION("""COMPUTED_VALUE"""),"")</f>
        <v/>
      </c>
    </row>
    <row r="884">
      <c r="A884" s="4" t="str">
        <f>IFERROR(__xludf.DUMMYFUNCTION("""COMPUTED_VALUE"""),"1264 - Channel")</f>
        <v>1264 - Channel</v>
      </c>
      <c r="B884" s="4" t="str">
        <f>IFERROR(__xludf.DUMMYFUNCTION("""COMPUTED_VALUE"""),"Channel 3")</f>
        <v>Channel 3</v>
      </c>
      <c r="C884" s="4" t="str">
        <f>IFERROR(__xludf.DUMMYFUNCTION("""COMPUTED_VALUE"""),"Day 2 - 24/06")</f>
        <v>Day 2 - 24/06</v>
      </c>
      <c r="D884" s="6">
        <f>IFERROR(__xludf.DUMMYFUNCTION("""COMPUTED_VALUE"""),0.6670138888888889)</f>
        <v>0.6670138889</v>
      </c>
      <c r="E884" s="6">
        <f>IFERROR(__xludf.DUMMYFUNCTION("""COMPUTED_VALUE"""),0.010416666666666666)</f>
        <v>0.01041666667</v>
      </c>
      <c r="F884" s="6">
        <f>IFERROR(__xludf.DUMMYFUNCTION("""COMPUTED_VALUE"""),0.6774305555555555)</f>
        <v>0.6774305556</v>
      </c>
      <c r="G884" s="4" t="str">
        <f>IFERROR(__xludf.DUMMYFUNCTION("""COMPUTED_VALUE"""),"Carol")</f>
        <v>Carol</v>
      </c>
      <c r="H884" s="4" t="str">
        <f>IFERROR(__xludf.DUMMYFUNCTION("""COMPUTED_VALUE"""),"Eoghan")</f>
        <v>Eoghan</v>
      </c>
      <c r="I884" s="4" t="str">
        <f>IFERROR(__xludf.DUMMYFUNCTION("""COMPUTED_VALUE"""),"Jack")</f>
        <v>Jack</v>
      </c>
      <c r="J884" s="4" t="str">
        <f>IFERROR(__xludf.DUMMYFUNCTION("""COMPUTED_VALUE"""),"Robotics")</f>
        <v>Robotics</v>
      </c>
      <c r="K884" s="4" t="str">
        <f>IFERROR(__xludf.DUMMYFUNCTION("""COMPUTED_VALUE"""),"Panel")</f>
        <v>Panel</v>
      </c>
      <c r="L884" s="4" t="str">
        <f>IFERROR(__xludf.DUMMYFUNCTION("""COMPUTED_VALUE"""),"T- 5 - 18/05/2020")</f>
        <v>T- 5 - 18/05/2020</v>
      </c>
      <c r="M884" s="4" t="str">
        <f>IFERROR(__xludf.DUMMYFUNCTION("""COMPUTED_VALUE"""),"50 shades of tech")</f>
        <v>50 shades of tech</v>
      </c>
      <c r="N884" s="4" t="str">
        <f>IFERROR(__xludf.DUMMYFUNCTION("""COMPUTED_VALUE"""),"Lora Haddock, Lora DiCarlo")</f>
        <v>Lora Haddock, Lora DiCarlo</v>
      </c>
      <c r="O884" s="4" t="str">
        <f>IFERROR(__xludf.DUMMYFUNCTION("""COMPUTED_VALUE"""),"Marianne Brandon, Massachusetts Psychological Association")</f>
        <v>Marianne Brandon, Massachusetts Psychological Association</v>
      </c>
      <c r="P884" s="4" t="str">
        <f>IFERROR(__xludf.DUMMYFUNCTION("""COMPUTED_VALUE"""),"")</f>
        <v/>
      </c>
      <c r="Q884" s="4" t="str">
        <f>IFERROR(__xludf.DUMMYFUNCTION("""COMPUTED_VALUE"""),"")</f>
        <v/>
      </c>
      <c r="R884" s="4" t="str">
        <f>IFERROR(__xludf.DUMMYFUNCTION("""COMPUTED_VALUE"""),"Martina Fuchs, CGTN")</f>
        <v>Martina Fuchs, CGTN</v>
      </c>
      <c r="S884" s="4" t="str">
        <f>IFERROR(__xludf.DUMMYFUNCTION("""COMPUTED_VALUE"""),"The latest discoveries in anatomy, neuroscience, psychology and AI might just be able to decipher our deepest sexual desires. In this super-fireside, the sex-tech experts are here to send a clear message that everyone – including astronauts, of course – d"&amp;"eserves pleasure and sexual wellbeing.")</f>
        <v>The latest discoveries in anatomy, neuroscience, psychology and AI might just be able to decipher our deepest sexual desires. In this super-fireside, the sex-tech experts are here to send a clear message that everyone – including astronauts, of course – deserves pleasure and sexual wellbeing.</v>
      </c>
      <c r="T884" s="4" t="str">
        <f>IFERROR(__xludf.DUMMYFUNCTION("""COMPUTED_VALUE"""),"NON-KEYNOTE 9 - COMPLETE")</f>
        <v>NON-KEYNOTE 9 - COMPLETE</v>
      </c>
      <c r="U884" s="23">
        <f>IFERROR(__xludf.DUMMYFUNCTION("""COMPUTED_VALUE"""),43970.0)</f>
        <v>43970</v>
      </c>
      <c r="V884" s="4" t="str">
        <f>IFERROR(__xludf.DUMMYFUNCTION("""COMPUTED_VALUE"""),"")</f>
        <v/>
      </c>
      <c r="W884" s="4" t="str">
        <f>IFERROR(__xludf.DUMMYFUNCTION("""COMPUTED_VALUE"""),"COMPLETE")</f>
        <v>COMPLETE</v>
      </c>
      <c r="X884" s="4" t="str">
        <f>IFERROR(__xludf.DUMMYFUNCTION("""COMPUTED_VALUE"""),"Carol")</f>
        <v>Carol</v>
      </c>
      <c r="Y884" s="4" t="str">
        <f>IFERROR(__xludf.DUMMYFUNCTION("""COMPUTED_VALUE"""),"")</f>
        <v/>
      </c>
    </row>
    <row r="885">
      <c r="A885" s="4" t="str">
        <f>IFERROR(__xludf.DUMMYFUNCTION("""COMPUTED_VALUE"""),"994 - Channel")</f>
        <v>994 - Channel</v>
      </c>
      <c r="B885" s="4" t="str">
        <f>IFERROR(__xludf.DUMMYFUNCTION("""COMPUTED_VALUE"""),"Channel 3")</f>
        <v>Channel 3</v>
      </c>
      <c r="C885" s="4" t="str">
        <f>IFERROR(__xludf.DUMMYFUNCTION("""COMPUTED_VALUE"""),"Day 2 - 24/06")</f>
        <v>Day 2 - 24/06</v>
      </c>
      <c r="D885" s="6">
        <f>IFERROR(__xludf.DUMMYFUNCTION("""COMPUTED_VALUE"""),0.6774305555555555)</f>
        <v>0.6774305556</v>
      </c>
      <c r="E885" s="6">
        <f>IFERROR(__xludf.DUMMYFUNCTION("""COMPUTED_VALUE"""),2.314814814814815E-4)</f>
        <v>0.0002314814815</v>
      </c>
      <c r="F885" s="6">
        <f>IFERROR(__xludf.DUMMYFUNCTION("""COMPUTED_VALUE"""),0.677662037037037)</f>
        <v>0.677662037</v>
      </c>
      <c r="G885" s="4" t="str">
        <f>IFERROR(__xludf.DUMMYFUNCTION("""COMPUTED_VALUE"""),"Graphics")</f>
        <v>Graphics</v>
      </c>
      <c r="H885" s="4" t="str">
        <f>IFERROR(__xludf.DUMMYFUNCTION("""COMPUTED_VALUE"""),"N/A")</f>
        <v>N/A</v>
      </c>
      <c r="I885" s="4" t="str">
        <f>IFERROR(__xludf.DUMMYFUNCTION("""COMPUTED_VALUE"""),"N/A")</f>
        <v>N/A</v>
      </c>
      <c r="J885" s="4" t="str">
        <f>IFERROR(__xludf.DUMMYFUNCTION("""COMPUTED_VALUE"""),"Payments")</f>
        <v>Payments</v>
      </c>
      <c r="K885" s="4" t="str">
        <f>IFERROR(__xludf.DUMMYFUNCTION("""COMPUTED_VALUE"""),"Talk Intro")</f>
        <v>Talk Intro</v>
      </c>
      <c r="L885" s="4" t="str">
        <f>IFERROR(__xludf.DUMMYFUNCTION("""COMPUTED_VALUE"""),"")</f>
        <v/>
      </c>
      <c r="M885" s="4" t="str">
        <f>IFERROR(__xludf.DUMMYFUNCTION("""COMPUTED_VALUE"""),"Talk Intro")</f>
        <v>Talk Intro</v>
      </c>
      <c r="N885" s="4" t="str">
        <f>IFERROR(__xludf.DUMMYFUNCTION("""COMPUTED_VALUE"""),"")</f>
        <v/>
      </c>
      <c r="O885" s="4" t="str">
        <f>IFERROR(__xludf.DUMMYFUNCTION("""COMPUTED_VALUE"""),"")</f>
        <v/>
      </c>
      <c r="P885" s="4" t="str">
        <f>IFERROR(__xludf.DUMMYFUNCTION("""COMPUTED_VALUE"""),"")</f>
        <v/>
      </c>
      <c r="Q885" s="4" t="str">
        <f>IFERROR(__xludf.DUMMYFUNCTION("""COMPUTED_VALUE"""),"")</f>
        <v/>
      </c>
      <c r="R885" s="4" t="str">
        <f>IFERROR(__xludf.DUMMYFUNCTION("""COMPUTED_VALUE"""),"")</f>
        <v/>
      </c>
      <c r="S885" s="4" t="str">
        <f>IFERROR(__xludf.DUMMYFUNCTION("""COMPUTED_VALUE"""),"")</f>
        <v/>
      </c>
      <c r="T885" s="4" t="str">
        <f>IFERROR(__xludf.DUMMYFUNCTION("""COMPUTED_VALUE"""),"")</f>
        <v/>
      </c>
      <c r="U885" s="4" t="str">
        <f>IFERROR(__xludf.DUMMYFUNCTION("""COMPUTED_VALUE"""),"")</f>
        <v/>
      </c>
      <c r="V885" s="4" t="str">
        <f>IFERROR(__xludf.DUMMYFUNCTION("""COMPUTED_VALUE"""),"")</f>
        <v/>
      </c>
      <c r="W885" s="4" t="str">
        <f>IFERROR(__xludf.DUMMYFUNCTION("""COMPUTED_VALUE"""),"")</f>
        <v/>
      </c>
      <c r="X885" s="4" t="str">
        <f>IFERROR(__xludf.DUMMYFUNCTION("""COMPUTED_VALUE"""),"")</f>
        <v/>
      </c>
      <c r="Y885" s="4" t="str">
        <f>IFERROR(__xludf.DUMMYFUNCTION("""COMPUTED_VALUE"""),"")</f>
        <v/>
      </c>
    </row>
    <row r="886">
      <c r="A886" s="4" t="str">
        <f>IFERROR(__xludf.DUMMYFUNCTION("""COMPUTED_VALUE"""),"995 - Channel")</f>
        <v>995 - Channel</v>
      </c>
      <c r="B886" s="4" t="str">
        <f>IFERROR(__xludf.DUMMYFUNCTION("""COMPUTED_VALUE"""),"Channel 3")</f>
        <v>Channel 3</v>
      </c>
      <c r="C886" s="4" t="str">
        <f>IFERROR(__xludf.DUMMYFUNCTION("""COMPUTED_VALUE"""),"Day 2 - 24/06")</f>
        <v>Day 2 - 24/06</v>
      </c>
      <c r="D886" s="6">
        <f>IFERROR(__xludf.DUMMYFUNCTION("""COMPUTED_VALUE"""),0.677662037037037)</f>
        <v>0.677662037</v>
      </c>
      <c r="E886" s="6">
        <f>IFERROR(__xludf.DUMMYFUNCTION("""COMPUTED_VALUE"""),0.014050925925925927)</f>
        <v>0.01405092593</v>
      </c>
      <c r="F886" s="6">
        <f>IFERROR(__xludf.DUMMYFUNCTION("""COMPUTED_VALUE"""),0.6917129629629629)</f>
        <v>0.691712963</v>
      </c>
      <c r="G886" s="4" t="str">
        <f>IFERROR(__xludf.DUMMYFUNCTION("""COMPUTED_VALUE"""),"Helen")</f>
        <v>Helen</v>
      </c>
      <c r="H886" s="4" t="str">
        <f>IFERROR(__xludf.DUMMYFUNCTION("""COMPUTED_VALUE"""),"Shauna")</f>
        <v>Shauna</v>
      </c>
      <c r="I886" s="4" t="str">
        <f>IFERROR(__xludf.DUMMYFUNCTION("""COMPUTED_VALUE"""),"Geoff")</f>
        <v>Geoff</v>
      </c>
      <c r="J886" s="4" t="str">
        <f>IFERROR(__xludf.DUMMYFUNCTION("""COMPUTED_VALUE"""),"Payments")</f>
        <v>Payments</v>
      </c>
      <c r="K886" s="4" t="str">
        <f>IFERROR(__xludf.DUMMYFUNCTION("""COMPUTED_VALUE"""),"Fireside")</f>
        <v>Fireside</v>
      </c>
      <c r="L886" s="4" t="str">
        <f>IFERROR(__xludf.DUMMYFUNCTION("""COMPUTED_VALUE"""),"T- 4 - 25/05/2020")</f>
        <v>T- 4 - 25/05/2020</v>
      </c>
      <c r="M886" s="4" t="str">
        <f>IFERROR(__xludf.DUMMYFUNCTION("""COMPUTED_VALUE"""),"Data, digitisation and the death of the card")</f>
        <v>Data, digitisation and the death of the card</v>
      </c>
      <c r="N886" s="4" t="str">
        <f>IFERROR(__xludf.DUMMYFUNCTION("""COMPUTED_VALUE"""),"Sri Shivananda, PayPal")</f>
        <v>Sri Shivananda, PayPal</v>
      </c>
      <c r="O886" s="4" t="str">
        <f>IFERROR(__xludf.DUMMYFUNCTION("""COMPUTED_VALUE"""),"")</f>
        <v/>
      </c>
      <c r="P886" s="4" t="str">
        <f>IFERROR(__xludf.DUMMYFUNCTION("""COMPUTED_VALUE"""),"")</f>
        <v/>
      </c>
      <c r="Q886" s="4" t="str">
        <f>IFERROR(__xludf.DUMMYFUNCTION("""COMPUTED_VALUE"""),"")</f>
        <v/>
      </c>
      <c r="R886" s="4" t="str">
        <f>IFERROR(__xludf.DUMMYFUNCTION("""COMPUTED_VALUE"""),"Felix Salmon, Axios")</f>
        <v>Felix Salmon, Axios</v>
      </c>
      <c r="S886" s="4" t="str">
        <f>IFERROR(__xludf.DUMMYFUNCTION("""COMPUTED_VALUE"""),"PayPal have been preparing for a completely digital financial universe. Learn from their CTO how the next era of online payments will leave brick and mortar finance in the dust. ")</f>
        <v>PayPal have been preparing for a completely digital financial universe. Learn from their CTO how the next era of online payments will leave brick and mortar finance in the dust. </v>
      </c>
      <c r="T886" s="4" t="str">
        <f>IFERROR(__xludf.DUMMYFUNCTION("""COMPUTED_VALUE"""),"NON-KEYNOTE 9 - COMPLETE")</f>
        <v>NON-KEYNOTE 9 - COMPLETE</v>
      </c>
      <c r="U886" s="23">
        <f>IFERROR(__xludf.DUMMYFUNCTION("""COMPUTED_VALUE"""),43977.0)</f>
        <v>43977</v>
      </c>
      <c r="V886" s="24">
        <f>IFERROR(__xludf.DUMMYFUNCTION("""COMPUTED_VALUE"""),0.7083333333333334)</f>
        <v>0.7083333333</v>
      </c>
      <c r="W886" s="4" t="str">
        <f>IFERROR(__xludf.DUMMYFUNCTION("""COMPUTED_VALUE"""),"COMPLETE")</f>
        <v>COMPLETE</v>
      </c>
      <c r="X886" s="4" t="str">
        <f>IFERROR(__xludf.DUMMYFUNCTION("""COMPUTED_VALUE"""),"Helen")</f>
        <v>Helen</v>
      </c>
      <c r="Y886" s="4" t="str">
        <f>IFERROR(__xludf.DUMMYFUNCTION("""COMPUTED_VALUE"""),"")</f>
        <v/>
      </c>
    </row>
    <row r="887">
      <c r="A887" s="4" t="str">
        <f>IFERROR(__xludf.DUMMYFUNCTION("""COMPUTED_VALUE"""),"1373 - Channel")</f>
        <v>1373 - Channel</v>
      </c>
      <c r="B887" s="4" t="str">
        <f>IFERROR(__xludf.DUMMYFUNCTION("""COMPUTED_VALUE"""),"Channel 3")</f>
        <v>Channel 3</v>
      </c>
      <c r="C887" s="4" t="str">
        <f>IFERROR(__xludf.DUMMYFUNCTION("""COMPUTED_VALUE"""),"Day 2 - 24/06")</f>
        <v>Day 2 - 24/06</v>
      </c>
      <c r="D887" s="6">
        <f>IFERROR(__xludf.DUMMYFUNCTION("""COMPUTED_VALUE"""),0.6917129629629629)</f>
        <v>0.691712963</v>
      </c>
      <c r="E887" s="6">
        <f>IFERROR(__xludf.DUMMYFUNCTION("""COMPUTED_VALUE"""),2.314814814814815E-4)</f>
        <v>0.0002314814815</v>
      </c>
      <c r="F887" s="6">
        <f>IFERROR(__xludf.DUMMYFUNCTION("""COMPUTED_VALUE"""),0.6919444444444444)</f>
        <v>0.6919444444</v>
      </c>
      <c r="G887" s="4" t="str">
        <f>IFERROR(__xludf.DUMMYFUNCTION("""COMPUTED_VALUE"""),"Graphics")</f>
        <v>Graphics</v>
      </c>
      <c r="H887" s="4" t="str">
        <f>IFERROR(__xludf.DUMMYFUNCTION("""COMPUTED_VALUE"""),"")</f>
        <v/>
      </c>
      <c r="I887" s="4" t="str">
        <f>IFERROR(__xludf.DUMMYFUNCTION("""COMPUTED_VALUE"""),"")</f>
        <v/>
      </c>
      <c r="J887" s="4" t="str">
        <f>IFERROR(__xludf.DUMMYFUNCTION("""COMPUTED_VALUE"""),"")</f>
        <v/>
      </c>
      <c r="K887" s="4" t="str">
        <f>IFERROR(__xludf.DUMMYFUNCTION("""COMPUTED_VALUE"""),"Talk Intro")</f>
        <v>Talk Intro</v>
      </c>
      <c r="L887" s="4" t="str">
        <f>IFERROR(__xludf.DUMMYFUNCTION("""COMPUTED_VALUE"""),"")</f>
        <v/>
      </c>
      <c r="M887" s="4" t="str">
        <f>IFERROR(__xludf.DUMMYFUNCTION("""COMPUTED_VALUE"""),"Talk Intro")</f>
        <v>Talk Intro</v>
      </c>
      <c r="N887" s="4" t="str">
        <f>IFERROR(__xludf.DUMMYFUNCTION("""COMPUTED_VALUE"""),"")</f>
        <v/>
      </c>
      <c r="O887" s="4" t="str">
        <f>IFERROR(__xludf.DUMMYFUNCTION("""COMPUTED_VALUE"""),"")</f>
        <v/>
      </c>
      <c r="P887" s="4" t="str">
        <f>IFERROR(__xludf.DUMMYFUNCTION("""COMPUTED_VALUE"""),"")</f>
        <v/>
      </c>
      <c r="Q887" s="4" t="str">
        <f>IFERROR(__xludf.DUMMYFUNCTION("""COMPUTED_VALUE"""),"")</f>
        <v/>
      </c>
      <c r="R887" s="4" t="str">
        <f>IFERROR(__xludf.DUMMYFUNCTION("""COMPUTED_VALUE"""),"")</f>
        <v/>
      </c>
      <c r="S887" s="4" t="str">
        <f>IFERROR(__xludf.DUMMYFUNCTION("""COMPUTED_VALUE"""),"")</f>
        <v/>
      </c>
      <c r="T887" s="4" t="str">
        <f>IFERROR(__xludf.DUMMYFUNCTION("""COMPUTED_VALUE"""),"")</f>
        <v/>
      </c>
      <c r="U887" s="4" t="str">
        <f>IFERROR(__xludf.DUMMYFUNCTION("""COMPUTED_VALUE"""),"")</f>
        <v/>
      </c>
      <c r="V887" s="4" t="str">
        <f>IFERROR(__xludf.DUMMYFUNCTION("""COMPUTED_VALUE"""),"")</f>
        <v/>
      </c>
      <c r="W887" s="4" t="str">
        <f>IFERROR(__xludf.DUMMYFUNCTION("""COMPUTED_VALUE"""),"")</f>
        <v/>
      </c>
      <c r="X887" s="4" t="str">
        <f>IFERROR(__xludf.DUMMYFUNCTION("""COMPUTED_VALUE"""),"")</f>
        <v/>
      </c>
      <c r="Y887" s="4" t="str">
        <f>IFERROR(__xludf.DUMMYFUNCTION("""COMPUTED_VALUE"""),"")</f>
        <v/>
      </c>
    </row>
    <row r="888">
      <c r="A888" s="4" t="str">
        <f>IFERROR(__xludf.DUMMYFUNCTION("""COMPUTED_VALUE"""),"250 - Channel")</f>
        <v>250 - Channel</v>
      </c>
      <c r="B888" s="4" t="str">
        <f>IFERROR(__xludf.DUMMYFUNCTION("""COMPUTED_VALUE"""),"Channel 3")</f>
        <v>Channel 3</v>
      </c>
      <c r="C888" s="4" t="str">
        <f>IFERROR(__xludf.DUMMYFUNCTION("""COMPUTED_VALUE"""),"Day 2 - 24/06")</f>
        <v>Day 2 - 24/06</v>
      </c>
      <c r="D888" s="6">
        <f>IFERROR(__xludf.DUMMYFUNCTION("""COMPUTED_VALUE"""),0.6919444444444444)</f>
        <v>0.6919444444</v>
      </c>
      <c r="E888" s="6">
        <f>IFERROR(__xludf.DUMMYFUNCTION("""COMPUTED_VALUE"""),0.008680555555555556)</f>
        <v>0.008680555556</v>
      </c>
      <c r="F888" s="6">
        <f>IFERROR(__xludf.DUMMYFUNCTION("""COMPUTED_VALUE"""),0.7006249999999999)</f>
        <v>0.700625</v>
      </c>
      <c r="G888" s="4" t="str">
        <f>IFERROR(__xludf.DUMMYFUNCTION("""COMPUTED_VALUE"""),"Darren")</f>
        <v>Darren</v>
      </c>
      <c r="H888" s="4" t="str">
        <f>IFERROR(__xludf.DUMMYFUNCTION("""COMPUTED_VALUE"""),"Haziq")</f>
        <v>Haziq</v>
      </c>
      <c r="I888" s="4" t="str">
        <f>IFERROR(__xludf.DUMMYFUNCTION("""COMPUTED_VALUE"""),"Lucia H.")</f>
        <v>Lucia H.</v>
      </c>
      <c r="J888" s="4" t="str">
        <f>IFERROR(__xludf.DUMMYFUNCTION("""COMPUTED_VALUE"""),"Sales")</f>
        <v>Sales</v>
      </c>
      <c r="K888" s="4" t="str">
        <f>IFERROR(__xludf.DUMMYFUNCTION("""COMPUTED_VALUE"""),"Super Fireside")</f>
        <v>Super Fireside</v>
      </c>
      <c r="L888" s="4" t="str">
        <f>IFERROR(__xludf.DUMMYFUNCTION("""COMPUTED_VALUE"""),"T- 5 - 18/05/2020")</f>
        <v>T- 5 - 18/05/2020</v>
      </c>
      <c r="M888" s="4" t="str">
        <f>IFERROR(__xludf.DUMMYFUNCTION("""COMPUTED_VALUE"""),"Has Covid-19 revealed the limits of bricks and mortar?")</f>
        <v>Has Covid-19 revealed the limits of bricks and mortar?</v>
      </c>
      <c r="N888" s="4" t="str">
        <f>IFERROR(__xludf.DUMMYFUNCTION("""COMPUTED_VALUE"""),"Scott Cutler, StockX")</f>
        <v>Scott Cutler, StockX</v>
      </c>
      <c r="O888" s="4" t="str">
        <f>IFERROR(__xludf.DUMMYFUNCTION("""COMPUTED_VALUE"""),"Tim Kobe, Eight Inc")</f>
        <v>Tim Kobe, Eight Inc</v>
      </c>
      <c r="P888" s="4" t="str">
        <f>IFERROR(__xludf.DUMMYFUNCTION("""COMPUTED_VALUE"""),"")</f>
        <v/>
      </c>
      <c r="Q888" s="4" t="str">
        <f>IFERROR(__xludf.DUMMYFUNCTION("""COMPUTED_VALUE"""),"")</f>
        <v/>
      </c>
      <c r="R888" s="4" t="str">
        <f>IFERROR(__xludf.DUMMYFUNCTION("""COMPUTED_VALUE"""),"Phil Wahba, Fortune Magazine")</f>
        <v>Phil Wahba, Fortune Magazine</v>
      </c>
      <c r="S888" s="4" t="str">
        <f>IFERROR(__xludf.DUMMYFUNCTION("""COMPUTED_VALUE"""),"Two visionaries in the retail space discuss the next frontier in the ever-evolving industry. Tim Kobe crafted the Apple store aesthetic, while Scott Cutler is reshaping the online marketplace with Stock X.")</f>
        <v>Two visionaries in the retail space discuss the next frontier in the ever-evolving industry. Tim Kobe crafted the Apple store aesthetic, while Scott Cutler is reshaping the online marketplace with Stock X.</v>
      </c>
      <c r="T888" s="4" t="str">
        <f>IFERROR(__xludf.DUMMYFUNCTION("""COMPUTED_VALUE"""),"NON-KEYNOTE 9 - COMPLETE")</f>
        <v>NON-KEYNOTE 9 - COMPLETE</v>
      </c>
      <c r="U888" s="23">
        <f>IFERROR(__xludf.DUMMYFUNCTION("""COMPUTED_VALUE"""),43973.0)</f>
        <v>43973</v>
      </c>
      <c r="V888" s="24">
        <f>IFERROR(__xludf.DUMMYFUNCTION("""COMPUTED_VALUE"""),0.5416666666666666)</f>
        <v>0.5416666667</v>
      </c>
      <c r="W888" s="4" t="str">
        <f>IFERROR(__xludf.DUMMYFUNCTION("""COMPUTED_VALUE"""),"COMPLETE")</f>
        <v>COMPLETE</v>
      </c>
      <c r="X888" s="4" t="str">
        <f>IFERROR(__xludf.DUMMYFUNCTION("""COMPUTED_VALUE"""),"Darren")</f>
        <v>Darren</v>
      </c>
      <c r="Y888" s="4" t="str">
        <f>IFERROR(__xludf.DUMMYFUNCTION("""COMPUTED_VALUE"""),"")</f>
        <v/>
      </c>
    </row>
    <row r="889">
      <c r="A889" s="4" t="str">
        <f>IFERROR(__xludf.DUMMYFUNCTION("""COMPUTED_VALUE"""),"1659 - Channel")</f>
        <v>1659 - Channel</v>
      </c>
      <c r="B889" s="4" t="str">
        <f>IFERROR(__xludf.DUMMYFUNCTION("""COMPUTED_VALUE"""),"Channel 3")</f>
        <v>Channel 3</v>
      </c>
      <c r="C889" s="4" t="str">
        <f>IFERROR(__xludf.DUMMYFUNCTION("""COMPUTED_VALUE"""),"Day 2 - 24/06")</f>
        <v>Day 2 - 24/06</v>
      </c>
      <c r="D889" s="6">
        <f>IFERROR(__xludf.DUMMYFUNCTION("""COMPUTED_VALUE"""),0.7006249999999999)</f>
        <v>0.700625</v>
      </c>
      <c r="E889" s="6">
        <f>IFERROR(__xludf.DUMMYFUNCTION("""COMPUTED_VALUE"""),1.7361111111111112E-4)</f>
        <v>0.0001736111111</v>
      </c>
      <c r="F889" s="6">
        <f>IFERROR(__xludf.DUMMYFUNCTION("""COMPUTED_VALUE"""),0.7007986111111111)</f>
        <v>0.7007986111</v>
      </c>
      <c r="G889" s="4" t="str">
        <f>IFERROR(__xludf.DUMMYFUNCTION("""COMPUTED_VALUE"""),"P&amp;E")</f>
        <v>P&amp;E</v>
      </c>
      <c r="H889" s="4" t="str">
        <f>IFERROR(__xludf.DUMMYFUNCTION("""COMPUTED_VALUE"""),"")</f>
        <v/>
      </c>
      <c r="I889" s="4" t="str">
        <f>IFERROR(__xludf.DUMMYFUNCTION("""COMPUTED_VALUE"""),"")</f>
        <v/>
      </c>
      <c r="J889" s="4" t="str">
        <f>IFERROR(__xludf.DUMMYFUNCTION("""COMPUTED_VALUE"""),"")</f>
        <v/>
      </c>
      <c r="K889" s="4" t="str">
        <f>IFERROR(__xludf.DUMMYFUNCTION("""COMPUTED_VALUE"""),"Partner ad")</f>
        <v>Partner ad</v>
      </c>
      <c r="L889" s="4" t="str">
        <f>IFERROR(__xludf.DUMMYFUNCTION("""COMPUTED_VALUE"""),"")</f>
        <v/>
      </c>
      <c r="M889" s="4" t="str">
        <f>IFERROR(__xludf.DUMMYFUNCTION("""COMPUTED_VALUE"""),"Partner ad - TD Bank")</f>
        <v>Partner ad - TD Bank</v>
      </c>
      <c r="N889" s="4" t="str">
        <f>IFERROR(__xludf.DUMMYFUNCTION("""COMPUTED_VALUE"""),"")</f>
        <v/>
      </c>
      <c r="O889" s="4" t="str">
        <f>IFERROR(__xludf.DUMMYFUNCTION("""COMPUTED_VALUE"""),"")</f>
        <v/>
      </c>
      <c r="P889" s="4" t="str">
        <f>IFERROR(__xludf.DUMMYFUNCTION("""COMPUTED_VALUE"""),"")</f>
        <v/>
      </c>
      <c r="Q889" s="4" t="str">
        <f>IFERROR(__xludf.DUMMYFUNCTION("""COMPUTED_VALUE"""),"")</f>
        <v/>
      </c>
      <c r="R889" s="4" t="str">
        <f>IFERROR(__xludf.DUMMYFUNCTION("""COMPUTED_VALUE"""),"")</f>
        <v/>
      </c>
      <c r="S889" s="4" t="str">
        <f>IFERROR(__xludf.DUMMYFUNCTION("""COMPUTED_VALUE"""),"")</f>
        <v/>
      </c>
      <c r="T889" s="4" t="str">
        <f>IFERROR(__xludf.DUMMYFUNCTION("""COMPUTED_VALUE"""),"")</f>
        <v/>
      </c>
      <c r="U889" s="4" t="str">
        <f>IFERROR(__xludf.DUMMYFUNCTION("""COMPUTED_VALUE"""),"")</f>
        <v/>
      </c>
      <c r="V889" s="4" t="str">
        <f>IFERROR(__xludf.DUMMYFUNCTION("""COMPUTED_VALUE"""),"")</f>
        <v/>
      </c>
      <c r="W889" s="4" t="str">
        <f>IFERROR(__xludf.DUMMYFUNCTION("""COMPUTED_VALUE"""),"")</f>
        <v/>
      </c>
      <c r="X889" s="4" t="str">
        <f>IFERROR(__xludf.DUMMYFUNCTION("""COMPUTED_VALUE"""),"")</f>
        <v/>
      </c>
      <c r="Y889" s="4" t="str">
        <f>IFERROR(__xludf.DUMMYFUNCTION("""COMPUTED_VALUE"""),"")</f>
        <v/>
      </c>
    </row>
    <row r="890">
      <c r="A890" s="4" t="str">
        <f>IFERROR(__xludf.DUMMYFUNCTION("""COMPUTED_VALUE"""),"1000 - Channel")</f>
        <v>1000 - Channel</v>
      </c>
      <c r="B890" s="4" t="str">
        <f>IFERROR(__xludf.DUMMYFUNCTION("""COMPUTED_VALUE"""),"Channel 3")</f>
        <v>Channel 3</v>
      </c>
      <c r="C890" s="4" t="str">
        <f>IFERROR(__xludf.DUMMYFUNCTION("""COMPUTED_VALUE"""),"Day 2 - 24/06")</f>
        <v>Day 2 - 24/06</v>
      </c>
      <c r="D890" s="6">
        <f>IFERROR(__xludf.DUMMYFUNCTION("""COMPUTED_VALUE"""),0.7007986111111111)</f>
        <v>0.7007986111</v>
      </c>
      <c r="E890" s="6">
        <f>IFERROR(__xludf.DUMMYFUNCTION("""COMPUTED_VALUE"""),2.314814814814815E-4)</f>
        <v>0.0002314814815</v>
      </c>
      <c r="F890" s="6">
        <f>IFERROR(__xludf.DUMMYFUNCTION("""COMPUTED_VALUE"""),0.7010300925925925)</f>
        <v>0.7010300926</v>
      </c>
      <c r="G890" s="4" t="str">
        <f>IFERROR(__xludf.DUMMYFUNCTION("""COMPUTED_VALUE"""),"Graphics")</f>
        <v>Graphics</v>
      </c>
      <c r="H890" s="4" t="str">
        <f>IFERROR(__xludf.DUMMYFUNCTION("""COMPUTED_VALUE"""),"N/A")</f>
        <v>N/A</v>
      </c>
      <c r="I890" s="4" t="str">
        <f>IFERROR(__xludf.DUMMYFUNCTION("""COMPUTED_VALUE"""),"N/A")</f>
        <v>N/A</v>
      </c>
      <c r="J890" s="4" t="str">
        <f>IFERROR(__xludf.DUMMYFUNCTION("""COMPUTED_VALUE"""),"Payments")</f>
        <v>Payments</v>
      </c>
      <c r="K890" s="4" t="str">
        <f>IFERROR(__xludf.DUMMYFUNCTION("""COMPUTED_VALUE"""),"Talk Intro")</f>
        <v>Talk Intro</v>
      </c>
      <c r="L890" s="4" t="str">
        <f>IFERROR(__xludf.DUMMYFUNCTION("""COMPUTED_VALUE"""),"")</f>
        <v/>
      </c>
      <c r="M890" s="4" t="str">
        <f>IFERROR(__xludf.DUMMYFUNCTION("""COMPUTED_VALUE"""),"Talk Intro")</f>
        <v>Talk Intro</v>
      </c>
      <c r="N890" s="4" t="str">
        <f>IFERROR(__xludf.DUMMYFUNCTION("""COMPUTED_VALUE"""),"")</f>
        <v/>
      </c>
      <c r="O890" s="4" t="str">
        <f>IFERROR(__xludf.DUMMYFUNCTION("""COMPUTED_VALUE"""),"")</f>
        <v/>
      </c>
      <c r="P890" s="4" t="str">
        <f>IFERROR(__xludf.DUMMYFUNCTION("""COMPUTED_VALUE"""),"")</f>
        <v/>
      </c>
      <c r="Q890" s="4" t="str">
        <f>IFERROR(__xludf.DUMMYFUNCTION("""COMPUTED_VALUE"""),"")</f>
        <v/>
      </c>
      <c r="R890" s="4" t="str">
        <f>IFERROR(__xludf.DUMMYFUNCTION("""COMPUTED_VALUE"""),"")</f>
        <v/>
      </c>
      <c r="S890" s="4" t="str">
        <f>IFERROR(__xludf.DUMMYFUNCTION("""COMPUTED_VALUE"""),"")</f>
        <v/>
      </c>
      <c r="T890" s="4" t="str">
        <f>IFERROR(__xludf.DUMMYFUNCTION("""COMPUTED_VALUE"""),"")</f>
        <v/>
      </c>
      <c r="U890" s="4" t="str">
        <f>IFERROR(__xludf.DUMMYFUNCTION("""COMPUTED_VALUE"""),"")</f>
        <v/>
      </c>
      <c r="V890" s="4" t="str">
        <f>IFERROR(__xludf.DUMMYFUNCTION("""COMPUTED_VALUE"""),"")</f>
        <v/>
      </c>
      <c r="W890" s="4" t="str">
        <f>IFERROR(__xludf.DUMMYFUNCTION("""COMPUTED_VALUE"""),"")</f>
        <v/>
      </c>
      <c r="X890" s="4" t="str">
        <f>IFERROR(__xludf.DUMMYFUNCTION("""COMPUTED_VALUE"""),"")</f>
        <v/>
      </c>
      <c r="Y890" s="4" t="str">
        <f>IFERROR(__xludf.DUMMYFUNCTION("""COMPUTED_VALUE"""),"")</f>
        <v/>
      </c>
    </row>
    <row r="891">
      <c r="A891" s="4" t="str">
        <f>IFERROR(__xludf.DUMMYFUNCTION("""COMPUTED_VALUE"""),"1001 - Channel")</f>
        <v>1001 - Channel</v>
      </c>
      <c r="B891" s="4" t="str">
        <f>IFERROR(__xludf.DUMMYFUNCTION("""COMPUTED_VALUE"""),"Channel 3")</f>
        <v>Channel 3</v>
      </c>
      <c r="C891" s="4" t="str">
        <f>IFERROR(__xludf.DUMMYFUNCTION("""COMPUTED_VALUE"""),"Day 2 - 24/06")</f>
        <v>Day 2 - 24/06</v>
      </c>
      <c r="D891" s="6">
        <f>IFERROR(__xludf.DUMMYFUNCTION("""COMPUTED_VALUE"""),0.7010300925925925)</f>
        <v>0.7010300926</v>
      </c>
      <c r="E891" s="6">
        <f>IFERROR(__xludf.DUMMYFUNCTION("""COMPUTED_VALUE"""),0.0068865740740740745)</f>
        <v>0.006886574074</v>
      </c>
      <c r="F891" s="6">
        <f>IFERROR(__xludf.DUMMYFUNCTION("""COMPUTED_VALUE"""),0.7079166666666666)</f>
        <v>0.7079166667</v>
      </c>
      <c r="G891" s="4" t="str">
        <f>IFERROR(__xludf.DUMMYFUNCTION("""COMPUTED_VALUE"""),"Helen")</f>
        <v>Helen</v>
      </c>
      <c r="H891" s="4" t="str">
        <f>IFERROR(__xludf.DUMMYFUNCTION("""COMPUTED_VALUE"""),"Shauna")</f>
        <v>Shauna</v>
      </c>
      <c r="I891" s="4" t="str">
        <f>IFERROR(__xludf.DUMMYFUNCTION("""COMPUTED_VALUE"""),"Lucia H.")</f>
        <v>Lucia H.</v>
      </c>
      <c r="J891" s="4" t="str">
        <f>IFERROR(__xludf.DUMMYFUNCTION("""COMPUTED_VALUE"""),"Payments")</f>
        <v>Payments</v>
      </c>
      <c r="K891" s="4" t="str">
        <f>IFERROR(__xludf.DUMMYFUNCTION("""COMPUTED_VALUE"""),"Fireside")</f>
        <v>Fireside</v>
      </c>
      <c r="L891" s="4" t="str">
        <f>IFERROR(__xludf.DUMMYFUNCTION("""COMPUTED_VALUE"""),"T- 5 - 18/05/2020")</f>
        <v>T- 5 - 18/05/2020</v>
      </c>
      <c r="M891" s="4" t="str">
        <f>IFERROR(__xludf.DUMMYFUNCTION("""COMPUTED_VALUE"""),"Cross-border payments: Tackling a moving target")</f>
        <v>Cross-border payments: Tackling a moving target</v>
      </c>
      <c r="N891" s="4" t="str">
        <f>IFERROR(__xludf.DUMMYFUNCTION("""COMPUTED_VALUE"""),"Lucy Liu, Airwallex")</f>
        <v>Lucy Liu, Airwallex</v>
      </c>
      <c r="O891" s="4" t="str">
        <f>IFERROR(__xludf.DUMMYFUNCTION("""COMPUTED_VALUE"""),"")</f>
        <v/>
      </c>
      <c r="P891" s="4" t="str">
        <f>IFERROR(__xludf.DUMMYFUNCTION("""COMPUTED_VALUE"""),"")</f>
        <v/>
      </c>
      <c r="Q891" s="4" t="str">
        <f>IFERROR(__xludf.DUMMYFUNCTION("""COMPUTED_VALUE"""),"")</f>
        <v/>
      </c>
      <c r="R891" s="4" t="str">
        <f>IFERROR(__xludf.DUMMYFUNCTION("""COMPUTED_VALUE"""),"Henny Sender, Financial Times")</f>
        <v>Henny Sender, Financial Times</v>
      </c>
      <c r="S891" s="4" t="str">
        <f>IFERROR(__xludf.DUMMYFUNCTION("""COMPUTED_VALUE"""),"As borders are built and broken across the world, how can fintechs serve a global market? Australian unicorn Airwallex, with customers including Tencent and JD.com, knows a thing or two about that. Join co-founder Lucy Liu as she discusses the next fronti"&amp;"er for cross-border payments. ")</f>
        <v>As borders are built and broken across the world, how can fintechs serve a global market? Australian unicorn Airwallex, with customers including Tencent and JD.com, knows a thing or two about that. Join co-founder Lucy Liu as she discusses the next frontier for cross-border payments. </v>
      </c>
      <c r="T891" s="4" t="str">
        <f>IFERROR(__xludf.DUMMYFUNCTION("""COMPUTED_VALUE"""),"KEYNOTE 8 - COMPLETE")</f>
        <v>KEYNOTE 8 - COMPLETE</v>
      </c>
      <c r="U891" s="23">
        <f>IFERROR(__xludf.DUMMYFUNCTION("""COMPUTED_VALUE"""),43972.0)</f>
        <v>43972</v>
      </c>
      <c r="V891" s="24">
        <f>IFERROR(__xludf.DUMMYFUNCTION("""COMPUTED_VALUE"""),0.375)</f>
        <v>0.375</v>
      </c>
      <c r="W891" s="4" t="str">
        <f>IFERROR(__xludf.DUMMYFUNCTION("""COMPUTED_VALUE"""),"COMPLETE")</f>
        <v>COMPLETE</v>
      </c>
      <c r="X891" s="4" t="str">
        <f>IFERROR(__xludf.DUMMYFUNCTION("""COMPUTED_VALUE"""),"Helen")</f>
        <v>Helen</v>
      </c>
      <c r="Y891" s="4" t="str">
        <f>IFERROR(__xludf.DUMMYFUNCTION("""COMPUTED_VALUE"""),"")</f>
        <v/>
      </c>
    </row>
    <row r="892">
      <c r="A892" s="4" t="str">
        <f>IFERROR(__xludf.DUMMYFUNCTION("""COMPUTED_VALUE"""),"1003 - Channel")</f>
        <v>1003 - Channel</v>
      </c>
      <c r="B892" s="4" t="str">
        <f>IFERROR(__xludf.DUMMYFUNCTION("""COMPUTED_VALUE"""),"Channel 3")</f>
        <v>Channel 3</v>
      </c>
      <c r="C892" s="4" t="str">
        <f>IFERROR(__xludf.DUMMYFUNCTION("""COMPUTED_VALUE"""),"Day 2 - 24/06")</f>
        <v>Day 2 - 24/06</v>
      </c>
      <c r="D892" s="6">
        <f>IFERROR(__xludf.DUMMYFUNCTION("""COMPUTED_VALUE"""),0.7079166666666666)</f>
        <v>0.7079166667</v>
      </c>
      <c r="E892" s="53">
        <f>IFERROR(__xludf.DUMMYFUNCTION("""COMPUTED_VALUE"""),3.4722222222222224E-4)</f>
        <v>0.0003472222222</v>
      </c>
      <c r="F892" s="6">
        <f>IFERROR(__xludf.DUMMYFUNCTION("""COMPUTED_VALUE"""),0.7082638888888889)</f>
        <v>0.7082638889</v>
      </c>
      <c r="G892" s="4" t="str">
        <f>IFERROR(__xludf.DUMMYFUNCTION("""COMPUTED_VALUE"""),"Graphics")</f>
        <v>Graphics</v>
      </c>
      <c r="H892" s="4" t="str">
        <f>IFERROR(__xludf.DUMMYFUNCTION("""COMPUTED_VALUE"""),"")</f>
        <v/>
      </c>
      <c r="I892" s="4" t="str">
        <f>IFERROR(__xludf.DUMMYFUNCTION("""COMPUTED_VALUE"""),"")</f>
        <v/>
      </c>
      <c r="J892" s="4" t="str">
        <f>IFERROR(__xludf.DUMMYFUNCTION("""COMPUTED_VALUE"""),"")</f>
        <v/>
      </c>
      <c r="K892" s="4" t="str">
        <f>IFERROR(__xludf.DUMMYFUNCTION("""COMPUTED_VALUE"""),"Collision From Home Day Outro")</f>
        <v>Collision From Home Day Outro</v>
      </c>
      <c r="L892" s="4" t="str">
        <f>IFERROR(__xludf.DUMMYFUNCTION("""COMPUTED_VALUE"""),"")</f>
        <v/>
      </c>
      <c r="M892" s="4" t="str">
        <f>IFERROR(__xludf.DUMMYFUNCTION("""COMPUTED_VALUE"""),"CLOSE")</f>
        <v>CLOSE</v>
      </c>
      <c r="N892" s="4" t="str">
        <f>IFERROR(__xludf.DUMMYFUNCTION("""COMPUTED_VALUE"""),"")</f>
        <v/>
      </c>
      <c r="O892" s="4" t="str">
        <f>IFERROR(__xludf.DUMMYFUNCTION("""COMPUTED_VALUE"""),"")</f>
        <v/>
      </c>
      <c r="P892" s="4" t="str">
        <f>IFERROR(__xludf.DUMMYFUNCTION("""COMPUTED_VALUE"""),"")</f>
        <v/>
      </c>
      <c r="Q892" s="4" t="str">
        <f>IFERROR(__xludf.DUMMYFUNCTION("""COMPUTED_VALUE"""),"")</f>
        <v/>
      </c>
      <c r="R892" s="4" t="str">
        <f>IFERROR(__xludf.DUMMYFUNCTION("""COMPUTED_VALUE"""),"")</f>
        <v/>
      </c>
      <c r="S892" s="4" t="str">
        <f>IFERROR(__xludf.DUMMYFUNCTION("""COMPUTED_VALUE"""),"")</f>
        <v/>
      </c>
      <c r="T892" s="4" t="str">
        <f>IFERROR(__xludf.DUMMYFUNCTION("""COMPUTED_VALUE"""),"")</f>
        <v/>
      </c>
      <c r="U892" s="4" t="str">
        <f>IFERROR(__xludf.DUMMYFUNCTION("""COMPUTED_VALUE"""),"")</f>
        <v/>
      </c>
      <c r="V892" s="4" t="str">
        <f>IFERROR(__xludf.DUMMYFUNCTION("""COMPUTED_VALUE"""),"")</f>
        <v/>
      </c>
      <c r="W892" s="4" t="str">
        <f>IFERROR(__xludf.DUMMYFUNCTION("""COMPUTED_VALUE"""),"")</f>
        <v/>
      </c>
      <c r="X892" s="4" t="str">
        <f>IFERROR(__xludf.DUMMYFUNCTION("""COMPUTED_VALUE"""),"")</f>
        <v/>
      </c>
      <c r="Y892" s="4" t="str">
        <f>IFERROR(__xludf.DUMMYFUNCTION("""COMPUTED_VALUE"""),"")</f>
        <v/>
      </c>
    </row>
    <row r="893">
      <c r="A893" s="4" t="str">
        <f>IFERROR(__xludf.DUMMYFUNCTION("""COMPUTED_VALUE"""),"1575 - Channel")</f>
        <v>1575 - Channel</v>
      </c>
      <c r="B893" s="4" t="str">
        <f>IFERROR(__xludf.DUMMYFUNCTION("""COMPUTED_VALUE"""),"Channel 3")</f>
        <v>Channel 3</v>
      </c>
      <c r="C893" s="4" t="str">
        <f>IFERROR(__xludf.DUMMYFUNCTION("""COMPUTED_VALUE"""),"Day 2 - 24/06")</f>
        <v>Day 2 - 24/06</v>
      </c>
      <c r="D893" s="4" t="str">
        <f>IFERROR(__xludf.DUMMYFUNCTION("""COMPUTED_VALUE"""),"")</f>
        <v/>
      </c>
      <c r="E893" s="4" t="str">
        <f>IFERROR(__xludf.DUMMYFUNCTION("""COMPUTED_VALUE"""),"")</f>
        <v/>
      </c>
      <c r="F893" s="4" t="str">
        <f>IFERROR(__xludf.DUMMYFUNCTION("""COMPUTED_VALUE"""),"")</f>
        <v/>
      </c>
      <c r="G893" s="4" t="str">
        <f>IFERROR(__xludf.DUMMYFUNCTION("""COMPUTED_VALUE"""),"")</f>
        <v/>
      </c>
      <c r="H893" s="4" t="str">
        <f>IFERROR(__xludf.DUMMYFUNCTION("""COMPUTED_VALUE"""),"")</f>
        <v/>
      </c>
      <c r="I893" s="4" t="str">
        <f>IFERROR(__xludf.DUMMYFUNCTION("""COMPUTED_VALUE"""),"")</f>
        <v/>
      </c>
      <c r="J893" s="4" t="str">
        <f>IFERROR(__xludf.DUMMYFUNCTION("""COMPUTED_VALUE"""),"")</f>
        <v/>
      </c>
      <c r="K893" s="4" t="str">
        <f>IFERROR(__xludf.DUMMYFUNCTION("""COMPUTED_VALUE"""),"")</f>
        <v/>
      </c>
      <c r="L893" s="4" t="str">
        <f>IFERROR(__xludf.DUMMYFUNCTION("""COMPUTED_VALUE"""),"")</f>
        <v/>
      </c>
      <c r="M893" s="4" t="str">
        <f>IFERROR(__xludf.DUMMYFUNCTION("""COMPUTED_VALUE"""),"")</f>
        <v/>
      </c>
      <c r="N893" s="4" t="str">
        <f>IFERROR(__xludf.DUMMYFUNCTION("""COMPUTED_VALUE"""),"")</f>
        <v/>
      </c>
      <c r="O893" s="4" t="str">
        <f>IFERROR(__xludf.DUMMYFUNCTION("""COMPUTED_VALUE"""),"")</f>
        <v/>
      </c>
      <c r="P893" s="4" t="str">
        <f>IFERROR(__xludf.DUMMYFUNCTION("""COMPUTED_VALUE"""),"")</f>
        <v/>
      </c>
      <c r="Q893" s="4" t="str">
        <f>IFERROR(__xludf.DUMMYFUNCTION("""COMPUTED_VALUE"""),"")</f>
        <v/>
      </c>
      <c r="R893" s="4" t="str">
        <f>IFERROR(__xludf.DUMMYFUNCTION("""COMPUTED_VALUE"""),"")</f>
        <v/>
      </c>
      <c r="S893" s="4" t="str">
        <f>IFERROR(__xludf.DUMMYFUNCTION("""COMPUTED_VALUE"""),"")</f>
        <v/>
      </c>
      <c r="T893" s="4" t="str">
        <f>IFERROR(__xludf.DUMMYFUNCTION("""COMPUTED_VALUE"""),"")</f>
        <v/>
      </c>
      <c r="U893" s="4" t="str">
        <f>IFERROR(__xludf.DUMMYFUNCTION("""COMPUTED_VALUE"""),"")</f>
        <v/>
      </c>
      <c r="V893" s="4" t="str">
        <f>IFERROR(__xludf.DUMMYFUNCTION("""COMPUTED_VALUE"""),"")</f>
        <v/>
      </c>
      <c r="W893" s="4" t="str">
        <f>IFERROR(__xludf.DUMMYFUNCTION("""COMPUTED_VALUE"""),"")</f>
        <v/>
      </c>
      <c r="X893" s="4" t="str">
        <f>IFERROR(__xludf.DUMMYFUNCTION("""COMPUTED_VALUE"""),"")</f>
        <v/>
      </c>
      <c r="Y893" s="4" t="str">
        <f>IFERROR(__xludf.DUMMYFUNCTION("""COMPUTED_VALUE"""),"")</f>
        <v/>
      </c>
    </row>
    <row r="894">
      <c r="A894" s="4" t="str">
        <f>IFERROR(__xludf.DUMMYFUNCTION("""COMPUTED_VALUE"""),"1004 - Channel")</f>
        <v>1004 - Channel</v>
      </c>
      <c r="B894" s="4" t="str">
        <f>IFERROR(__xludf.DUMMYFUNCTION("""COMPUTED_VALUE"""),"DAY 3 - Thursday, 25 June")</f>
        <v>DAY 3 - Thursday, 25 June</v>
      </c>
      <c r="C894" s="4" t="str">
        <f>IFERROR(__xludf.DUMMYFUNCTION("""COMPUTED_VALUE"""),"")</f>
        <v/>
      </c>
      <c r="D894" s="4" t="str">
        <f>IFERROR(__xludf.DUMMYFUNCTION("""COMPUTED_VALUE"""),"")</f>
        <v/>
      </c>
      <c r="E894" s="4" t="str">
        <f>IFERROR(__xludf.DUMMYFUNCTION("""COMPUTED_VALUE"""),"")</f>
        <v/>
      </c>
      <c r="F894" s="4" t="str">
        <f>IFERROR(__xludf.DUMMYFUNCTION("""COMPUTED_VALUE"""),"")</f>
        <v/>
      </c>
      <c r="G894" s="4" t="str">
        <f>IFERROR(__xludf.DUMMYFUNCTION("""COMPUTED_VALUE"""),"")</f>
        <v/>
      </c>
      <c r="H894" s="4" t="str">
        <f>IFERROR(__xludf.DUMMYFUNCTION("""COMPUTED_VALUE"""),"")</f>
        <v/>
      </c>
      <c r="I894" s="4" t="str">
        <f>IFERROR(__xludf.DUMMYFUNCTION("""COMPUTED_VALUE"""),"")</f>
        <v/>
      </c>
      <c r="J894" s="4" t="str">
        <f>IFERROR(__xludf.DUMMYFUNCTION("""COMPUTED_VALUE"""),"")</f>
        <v/>
      </c>
      <c r="K894" s="4" t="str">
        <f>IFERROR(__xludf.DUMMYFUNCTION("""COMPUTED_VALUE"""),"")</f>
        <v/>
      </c>
      <c r="L894" s="4" t="str">
        <f>IFERROR(__xludf.DUMMYFUNCTION("""COMPUTED_VALUE"""),"")</f>
        <v/>
      </c>
      <c r="M894" s="4" t="str">
        <f>IFERROR(__xludf.DUMMYFUNCTION("""COMPUTED_VALUE"""),"")</f>
        <v/>
      </c>
      <c r="N894" s="4" t="str">
        <f>IFERROR(__xludf.DUMMYFUNCTION("""COMPUTED_VALUE"""),"")</f>
        <v/>
      </c>
      <c r="O894" s="4" t="str">
        <f>IFERROR(__xludf.DUMMYFUNCTION("""COMPUTED_VALUE"""),"")</f>
        <v/>
      </c>
      <c r="P894" s="4" t="str">
        <f>IFERROR(__xludf.DUMMYFUNCTION("""COMPUTED_VALUE"""),"")</f>
        <v/>
      </c>
      <c r="Q894" s="4" t="str">
        <f>IFERROR(__xludf.DUMMYFUNCTION("""COMPUTED_VALUE"""),"")</f>
        <v/>
      </c>
      <c r="R894" s="4" t="str">
        <f>IFERROR(__xludf.DUMMYFUNCTION("""COMPUTED_VALUE"""),"")</f>
        <v/>
      </c>
      <c r="S894" s="4" t="str">
        <f>IFERROR(__xludf.DUMMYFUNCTION("""COMPUTED_VALUE"""),"")</f>
        <v/>
      </c>
      <c r="T894" s="4" t="str">
        <f>IFERROR(__xludf.DUMMYFUNCTION("""COMPUTED_VALUE"""),"")</f>
        <v/>
      </c>
      <c r="U894" s="4" t="str">
        <f>IFERROR(__xludf.DUMMYFUNCTION("""COMPUTED_VALUE"""),"")</f>
        <v/>
      </c>
      <c r="V894" s="4" t="str">
        <f>IFERROR(__xludf.DUMMYFUNCTION("""COMPUTED_VALUE"""),"")</f>
        <v/>
      </c>
      <c r="W894" s="4" t="str">
        <f>IFERROR(__xludf.DUMMYFUNCTION("""COMPUTED_VALUE"""),"")</f>
        <v/>
      </c>
      <c r="X894" s="4" t="str">
        <f>IFERROR(__xludf.DUMMYFUNCTION("""COMPUTED_VALUE"""),"")</f>
        <v/>
      </c>
      <c r="Y894" s="4" t="str">
        <f>IFERROR(__xludf.DUMMYFUNCTION("""COMPUTED_VALUE"""),"")</f>
        <v/>
      </c>
    </row>
    <row r="895">
      <c r="A895" s="4" t="str">
        <f>IFERROR(__xludf.DUMMYFUNCTION("""COMPUTED_VALUE"""),"1559 - Channel")</f>
        <v>1559 - Channel</v>
      </c>
      <c r="B895" s="4" t="str">
        <f>IFERROR(__xludf.DUMMYFUNCTION("""COMPUTED_VALUE"""),"Channel 3")</f>
        <v>Channel 3</v>
      </c>
      <c r="C895" s="4" t="str">
        <f>IFERROR(__xludf.DUMMYFUNCTION("""COMPUTED_VALUE"""),"Day 3 - 25/06")</f>
        <v>Day 3 - 25/06</v>
      </c>
      <c r="D895" s="6">
        <f>IFERROR(__xludf.DUMMYFUNCTION("""COMPUTED_VALUE"""),0.4166666666666667)</f>
        <v>0.4166666667</v>
      </c>
      <c r="E895" s="6">
        <f>IFERROR(__xludf.DUMMYFUNCTION("""COMPUTED_VALUE"""),0.0010416666666666667)</f>
        <v>0.001041666667</v>
      </c>
      <c r="F895" s="6">
        <f>IFERROR(__xludf.DUMMYFUNCTION("""COMPUTED_VALUE"""),0.41770833333333335)</f>
        <v>0.4177083333</v>
      </c>
      <c r="G895" s="4" t="str">
        <f>IFERROR(__xludf.DUMMYFUNCTION("""COMPUTED_VALUE"""),"")</f>
        <v/>
      </c>
      <c r="H895" s="4" t="str">
        <f>IFERROR(__xludf.DUMMYFUNCTION("""COMPUTED_VALUE"""),"")</f>
        <v/>
      </c>
      <c r="I895" s="4" t="str">
        <f>IFERROR(__xludf.DUMMYFUNCTION("""COMPUTED_VALUE"""),"")</f>
        <v/>
      </c>
      <c r="J895" s="4" t="str">
        <f>IFERROR(__xludf.DUMMYFUNCTION("""COMPUTED_VALUE"""),"")</f>
        <v/>
      </c>
      <c r="K895" s="4" t="str">
        <f>IFERROR(__xludf.DUMMYFUNCTION("""COMPUTED_VALUE"""),"Collision From Home Day Intro")</f>
        <v>Collision From Home Day Intro</v>
      </c>
      <c r="L895" s="4" t="str">
        <f>IFERROR(__xludf.DUMMYFUNCTION("""COMPUTED_VALUE"""),"")</f>
        <v/>
      </c>
      <c r="M895" s="4" t="str">
        <f>IFERROR(__xludf.DUMMYFUNCTION("""COMPUTED_VALUE"""),"Collision From Home Day Intro")</f>
        <v>Collision From Home Day Intro</v>
      </c>
      <c r="N895" s="4" t="str">
        <f>IFERROR(__xludf.DUMMYFUNCTION("""COMPUTED_VALUE"""),"")</f>
        <v/>
      </c>
      <c r="O895" s="4" t="str">
        <f>IFERROR(__xludf.DUMMYFUNCTION("""COMPUTED_VALUE"""),"")</f>
        <v/>
      </c>
      <c r="P895" s="4" t="str">
        <f>IFERROR(__xludf.DUMMYFUNCTION("""COMPUTED_VALUE"""),"")</f>
        <v/>
      </c>
      <c r="Q895" s="4" t="str">
        <f>IFERROR(__xludf.DUMMYFUNCTION("""COMPUTED_VALUE"""),"")</f>
        <v/>
      </c>
      <c r="R895" s="4" t="str">
        <f>IFERROR(__xludf.DUMMYFUNCTION("""COMPUTED_VALUE"""),"")</f>
        <v/>
      </c>
      <c r="S895" s="4" t="str">
        <f>IFERROR(__xludf.DUMMYFUNCTION("""COMPUTED_VALUE"""),"")</f>
        <v/>
      </c>
      <c r="T895" s="4" t="str">
        <f>IFERROR(__xludf.DUMMYFUNCTION("""COMPUTED_VALUE"""),"")</f>
        <v/>
      </c>
      <c r="U895" s="4" t="str">
        <f>IFERROR(__xludf.DUMMYFUNCTION("""COMPUTED_VALUE"""),"")</f>
        <v/>
      </c>
      <c r="V895" s="4" t="str">
        <f>IFERROR(__xludf.DUMMYFUNCTION("""COMPUTED_VALUE"""),"")</f>
        <v/>
      </c>
      <c r="W895" s="4" t="str">
        <f>IFERROR(__xludf.DUMMYFUNCTION("""COMPUTED_VALUE"""),"")</f>
        <v/>
      </c>
      <c r="X895" s="4" t="str">
        <f>IFERROR(__xludf.DUMMYFUNCTION("""COMPUTED_VALUE"""),"")</f>
        <v/>
      </c>
      <c r="Y895" s="4" t="str">
        <f>IFERROR(__xludf.DUMMYFUNCTION("""COMPUTED_VALUE"""),"")</f>
        <v/>
      </c>
    </row>
    <row r="896">
      <c r="A896" s="4" t="str">
        <f>IFERROR(__xludf.DUMMYFUNCTION("""COMPUTED_VALUE"""),"1011 - Channel")</f>
        <v>1011 - Channel</v>
      </c>
      <c r="B896" s="4" t="str">
        <f>IFERROR(__xludf.DUMMYFUNCTION("""COMPUTED_VALUE"""),"Channel 3")</f>
        <v>Channel 3</v>
      </c>
      <c r="C896" s="4" t="str">
        <f>IFERROR(__xludf.DUMMYFUNCTION("""COMPUTED_VALUE"""),"Day 3 - 25/06")</f>
        <v>Day 3 - 25/06</v>
      </c>
      <c r="D896" s="6">
        <f>IFERROR(__xludf.DUMMYFUNCTION("""COMPUTED_VALUE"""),0.41770833333333335)</f>
        <v>0.4177083333</v>
      </c>
      <c r="E896" s="6">
        <f>IFERROR(__xludf.DUMMYFUNCTION("""COMPUTED_VALUE"""),1.7361111111111112E-4)</f>
        <v>0.0001736111111</v>
      </c>
      <c r="F896" s="6">
        <f>IFERROR(__xludf.DUMMYFUNCTION("""COMPUTED_VALUE"""),0.4178819444444445)</f>
        <v>0.4178819444</v>
      </c>
      <c r="G896" s="4" t="str">
        <f>IFERROR(__xludf.DUMMYFUNCTION("""COMPUTED_VALUE"""),"P&amp;E")</f>
        <v>P&amp;E</v>
      </c>
      <c r="H896" s="4" t="str">
        <f>IFERROR(__xludf.DUMMYFUNCTION("""COMPUTED_VALUE"""),"N/A")</f>
        <v>N/A</v>
      </c>
      <c r="I896" s="4" t="str">
        <f>IFERROR(__xludf.DUMMYFUNCTION("""COMPUTED_VALUE"""),"N/A")</f>
        <v>N/A</v>
      </c>
      <c r="J896" s="4" t="str">
        <f>IFERROR(__xludf.DUMMYFUNCTION("""COMPUTED_VALUE"""),"Social Media")</f>
        <v>Social Media</v>
      </c>
      <c r="K896" s="4" t="str">
        <f>IFERROR(__xludf.DUMMYFUNCTION("""COMPUTED_VALUE"""),"Partner ad")</f>
        <v>Partner ad</v>
      </c>
      <c r="L896" s="4" t="str">
        <f>IFERROR(__xludf.DUMMYFUNCTION("""COMPUTED_VALUE"""),"")</f>
        <v/>
      </c>
      <c r="M896" s="4" t="str">
        <f>IFERROR(__xludf.DUMMYFUNCTION("""COMPUTED_VALUE"""),"Partner ad - City of Toronto")</f>
        <v>Partner ad - City of Toronto</v>
      </c>
      <c r="N896" s="4" t="str">
        <f>IFERROR(__xludf.DUMMYFUNCTION("""COMPUTED_VALUE"""),"")</f>
        <v/>
      </c>
      <c r="O896" s="4" t="str">
        <f>IFERROR(__xludf.DUMMYFUNCTION("""COMPUTED_VALUE"""),"")</f>
        <v/>
      </c>
      <c r="P896" s="4" t="str">
        <f>IFERROR(__xludf.DUMMYFUNCTION("""COMPUTED_VALUE"""),"")</f>
        <v/>
      </c>
      <c r="Q896" s="4" t="str">
        <f>IFERROR(__xludf.DUMMYFUNCTION("""COMPUTED_VALUE"""),"")</f>
        <v/>
      </c>
      <c r="R896" s="4" t="str">
        <f>IFERROR(__xludf.DUMMYFUNCTION("""COMPUTED_VALUE"""),"")</f>
        <v/>
      </c>
      <c r="S896" s="4" t="str">
        <f>IFERROR(__xludf.DUMMYFUNCTION("""COMPUTED_VALUE"""),"")</f>
        <v/>
      </c>
      <c r="T896" s="4" t="str">
        <f>IFERROR(__xludf.DUMMYFUNCTION("""COMPUTED_VALUE"""),"")</f>
        <v/>
      </c>
      <c r="U896" s="4" t="str">
        <f>IFERROR(__xludf.DUMMYFUNCTION("""COMPUTED_VALUE"""),"")</f>
        <v/>
      </c>
      <c r="V896" s="4" t="str">
        <f>IFERROR(__xludf.DUMMYFUNCTION("""COMPUTED_VALUE"""),"")</f>
        <v/>
      </c>
      <c r="W896" s="4" t="str">
        <f>IFERROR(__xludf.DUMMYFUNCTION("""COMPUTED_VALUE"""),"")</f>
        <v/>
      </c>
      <c r="X896" s="4" t="str">
        <f>IFERROR(__xludf.DUMMYFUNCTION("""COMPUTED_VALUE"""),"")</f>
        <v/>
      </c>
      <c r="Y896" s="4" t="str">
        <f>IFERROR(__xludf.DUMMYFUNCTION("""COMPUTED_VALUE"""),"")</f>
        <v/>
      </c>
    </row>
    <row r="897">
      <c r="A897" s="4" t="str">
        <f>IFERROR(__xludf.DUMMYFUNCTION("""COMPUTED_VALUE"""),"1005 - Channel")</f>
        <v>1005 - Channel</v>
      </c>
      <c r="B897" s="4" t="str">
        <f>IFERROR(__xludf.DUMMYFUNCTION("""COMPUTED_VALUE"""),"Channel 3")</f>
        <v>Channel 3</v>
      </c>
      <c r="C897" s="4" t="str">
        <f>IFERROR(__xludf.DUMMYFUNCTION("""COMPUTED_VALUE"""),"Day 3 - 25/06")</f>
        <v>Day 3 - 25/06</v>
      </c>
      <c r="D897" s="6">
        <f>IFERROR(__xludf.DUMMYFUNCTION("""COMPUTED_VALUE"""),0.4178819444444445)</f>
        <v>0.4178819444</v>
      </c>
      <c r="E897" s="6">
        <f>IFERROR(__xludf.DUMMYFUNCTION("""COMPUTED_VALUE"""),3.4722222222222224E-4)</f>
        <v>0.0003472222222</v>
      </c>
      <c r="F897" s="6">
        <f>IFERROR(__xludf.DUMMYFUNCTION("""COMPUTED_VALUE"""),0.4182291666666667)</f>
        <v>0.4182291667</v>
      </c>
      <c r="G897" s="4" t="str">
        <f>IFERROR(__xludf.DUMMYFUNCTION("""COMPUTED_VALUE"""),"Graphics")</f>
        <v>Graphics</v>
      </c>
      <c r="H897" s="4" t="str">
        <f>IFERROR(__xludf.DUMMYFUNCTION("""COMPUTED_VALUE"""),"N/A")</f>
        <v>N/A</v>
      </c>
      <c r="I897" s="4" t="str">
        <f>IFERROR(__xludf.DUMMYFUNCTION("""COMPUTED_VALUE"""),"N/A")</f>
        <v>N/A</v>
      </c>
      <c r="J897" s="4" t="str">
        <f>IFERROR(__xludf.DUMMYFUNCTION("""COMPUTED_VALUE"""),"Social Media")</f>
        <v>Social Media</v>
      </c>
      <c r="K897" s="4" t="str">
        <f>IFERROR(__xludf.DUMMYFUNCTION("""COMPUTED_VALUE"""),"Talk Intro")</f>
        <v>Talk Intro</v>
      </c>
      <c r="L897" s="4" t="str">
        <f>IFERROR(__xludf.DUMMYFUNCTION("""COMPUTED_VALUE"""),"")</f>
        <v/>
      </c>
      <c r="M897" s="4" t="str">
        <f>IFERROR(__xludf.DUMMYFUNCTION("""COMPUTED_VALUE"""),"Talk Intro")</f>
        <v>Talk Intro</v>
      </c>
      <c r="N897" s="4" t="str">
        <f>IFERROR(__xludf.DUMMYFUNCTION("""COMPUTED_VALUE"""),"")</f>
        <v/>
      </c>
      <c r="O897" s="4" t="str">
        <f>IFERROR(__xludf.DUMMYFUNCTION("""COMPUTED_VALUE"""),"")</f>
        <v/>
      </c>
      <c r="P897" s="4" t="str">
        <f>IFERROR(__xludf.DUMMYFUNCTION("""COMPUTED_VALUE"""),"")</f>
        <v/>
      </c>
      <c r="Q897" s="4" t="str">
        <f>IFERROR(__xludf.DUMMYFUNCTION("""COMPUTED_VALUE"""),"")</f>
        <v/>
      </c>
      <c r="R897" s="4" t="str">
        <f>IFERROR(__xludf.DUMMYFUNCTION("""COMPUTED_VALUE"""),"")</f>
        <v/>
      </c>
      <c r="S897" s="4" t="str">
        <f>IFERROR(__xludf.DUMMYFUNCTION("""COMPUTED_VALUE"""),"")</f>
        <v/>
      </c>
      <c r="T897" s="4" t="str">
        <f>IFERROR(__xludf.DUMMYFUNCTION("""COMPUTED_VALUE"""),"")</f>
        <v/>
      </c>
      <c r="U897" s="4" t="str">
        <f>IFERROR(__xludf.DUMMYFUNCTION("""COMPUTED_VALUE"""),"")</f>
        <v/>
      </c>
      <c r="V897" s="4" t="str">
        <f>IFERROR(__xludf.DUMMYFUNCTION("""COMPUTED_VALUE"""),"")</f>
        <v/>
      </c>
      <c r="W897" s="4" t="str">
        <f>IFERROR(__xludf.DUMMYFUNCTION("""COMPUTED_VALUE"""),"")</f>
        <v/>
      </c>
      <c r="X897" s="4" t="str">
        <f>IFERROR(__xludf.DUMMYFUNCTION("""COMPUTED_VALUE"""),"")</f>
        <v/>
      </c>
      <c r="Y897" s="4" t="str">
        <f>IFERROR(__xludf.DUMMYFUNCTION("""COMPUTED_VALUE"""),"")</f>
        <v/>
      </c>
    </row>
    <row r="898">
      <c r="A898" s="4" t="str">
        <f>IFERROR(__xludf.DUMMYFUNCTION("""COMPUTED_VALUE"""),"1006 - Channel")</f>
        <v>1006 - Channel</v>
      </c>
      <c r="B898" s="4" t="str">
        <f>IFERROR(__xludf.DUMMYFUNCTION("""COMPUTED_VALUE"""),"Channel 3")</f>
        <v>Channel 3</v>
      </c>
      <c r="C898" s="4" t="str">
        <f>IFERROR(__xludf.DUMMYFUNCTION("""COMPUTED_VALUE"""),"Day 3 - 25/06")</f>
        <v>Day 3 - 25/06</v>
      </c>
      <c r="D898" s="6">
        <f>IFERROR(__xludf.DUMMYFUNCTION("""COMPUTED_VALUE"""),0.4182291666666667)</f>
        <v>0.4182291667</v>
      </c>
      <c r="E898" s="6">
        <f>IFERROR(__xludf.DUMMYFUNCTION("""COMPUTED_VALUE"""),0.005104166666666667)</f>
        <v>0.005104166667</v>
      </c>
      <c r="F898" s="6">
        <f>IFERROR(__xludf.DUMMYFUNCTION("""COMPUTED_VALUE"""),0.4233333333333334)</f>
        <v>0.4233333333</v>
      </c>
      <c r="G898" s="4" t="str">
        <f>IFERROR(__xludf.DUMMYFUNCTION("""COMPUTED_VALUE"""),"Lobna")</f>
        <v>Lobna</v>
      </c>
      <c r="H898" s="4" t="str">
        <f>IFERROR(__xludf.DUMMYFUNCTION("""COMPUTED_VALUE"""),"")</f>
        <v/>
      </c>
      <c r="I898" s="4" t="str">
        <f>IFERROR(__xludf.DUMMYFUNCTION("""COMPUTED_VALUE"""),"Eabha")</f>
        <v>Eabha</v>
      </c>
      <c r="J898" s="4" t="str">
        <f>IFERROR(__xludf.DUMMYFUNCTION("""COMPUTED_VALUE"""),"Social Media")</f>
        <v>Social Media</v>
      </c>
      <c r="K898" s="4" t="str">
        <f>IFERROR(__xludf.DUMMYFUNCTION("""COMPUTED_VALUE"""),"Keynote")</f>
        <v>Keynote</v>
      </c>
      <c r="L898" s="4" t="str">
        <f>IFERROR(__xludf.DUMMYFUNCTION("""COMPUTED_VALUE"""),"T- 4 - 25/05/2020")</f>
        <v>T- 4 - 25/05/2020</v>
      </c>
      <c r="M898" s="4" t="str">
        <f>IFERROR(__xludf.DUMMYFUNCTION("""COMPUTED_VALUE"""),"What makes TikTok different")</f>
        <v>What makes TikTok different</v>
      </c>
      <c r="N898" s="4" t="str">
        <f>IFERROR(__xludf.DUMMYFUNCTION("""COMPUTED_VALUE"""),"Jacob Pace, Flighthouse")</f>
        <v>Jacob Pace, Flighthouse</v>
      </c>
      <c r="O898" s="4" t="str">
        <f>IFERROR(__xludf.DUMMYFUNCTION("""COMPUTED_VALUE"""),"")</f>
        <v/>
      </c>
      <c r="P898" s="4" t="str">
        <f>IFERROR(__xludf.DUMMYFUNCTION("""COMPUTED_VALUE"""),"")</f>
        <v/>
      </c>
      <c r="Q898" s="4" t="str">
        <f>IFERROR(__xludf.DUMMYFUNCTION("""COMPUTED_VALUE"""),"")</f>
        <v/>
      </c>
      <c r="R898" s="4" t="str">
        <f>IFERROR(__xludf.DUMMYFUNCTION("""COMPUTED_VALUE"""),"")</f>
        <v/>
      </c>
      <c r="S898" s="4" t="str">
        <f>IFERROR(__xludf.DUMMYFUNCTION("""COMPUTED_VALUE"""),"TikTok content powerhouse Flighthouse averages one billion views per month, and aims to become the premier content brand for gen Z. The company's 20-year-old CEO explains how.")</f>
        <v>TikTok content powerhouse Flighthouse averages one billion views per month, and aims to become the premier content brand for gen Z. The company's 20-year-old CEO explains how.</v>
      </c>
      <c r="T898" s="4" t="str">
        <f>IFERROR(__xludf.DUMMYFUNCTION("""COMPUTED_VALUE"""),"KEYNOTE 8 - COMPLETE")</f>
        <v>KEYNOTE 8 - COMPLETE</v>
      </c>
      <c r="U898" s="23">
        <f>IFERROR(__xludf.DUMMYFUNCTION("""COMPUTED_VALUE"""),43980.0)</f>
        <v>43980</v>
      </c>
      <c r="V898" s="4" t="str">
        <f>IFERROR(__xludf.DUMMYFUNCTION("""COMPUTED_VALUE"""),"")</f>
        <v/>
      </c>
      <c r="W898" s="4" t="str">
        <f>IFERROR(__xludf.DUMMYFUNCTION("""COMPUTED_VALUE"""),"COMPLETE")</f>
        <v>COMPLETE</v>
      </c>
      <c r="X898" s="4" t="str">
        <f>IFERROR(__xludf.DUMMYFUNCTION("""COMPUTED_VALUE"""),"Lobna")</f>
        <v>Lobna</v>
      </c>
      <c r="Y898" s="4" t="str">
        <f>IFERROR(__xludf.DUMMYFUNCTION("""COMPUTED_VALUE"""),"")</f>
        <v/>
      </c>
    </row>
    <row r="899">
      <c r="A899" s="4" t="str">
        <f>IFERROR(__xludf.DUMMYFUNCTION("""COMPUTED_VALUE"""),"1008 - Channel")</f>
        <v>1008 - Channel</v>
      </c>
      <c r="B899" s="4" t="str">
        <f>IFERROR(__xludf.DUMMYFUNCTION("""COMPUTED_VALUE"""),"Channel 3")</f>
        <v>Channel 3</v>
      </c>
      <c r="C899" s="4" t="str">
        <f>IFERROR(__xludf.DUMMYFUNCTION("""COMPUTED_VALUE"""),"Day 3 - 25/06")</f>
        <v>Day 3 - 25/06</v>
      </c>
      <c r="D899" s="6">
        <f>IFERROR(__xludf.DUMMYFUNCTION("""COMPUTED_VALUE"""),0.4233333333333334)</f>
        <v>0.4233333333</v>
      </c>
      <c r="E899" s="6">
        <f>IFERROR(__xludf.DUMMYFUNCTION("""COMPUTED_VALUE"""),2.314814814814815E-4)</f>
        <v>0.0002314814815</v>
      </c>
      <c r="F899" s="6">
        <f>IFERROR(__xludf.DUMMYFUNCTION("""COMPUTED_VALUE"""),0.4235648148148149)</f>
        <v>0.4235648148</v>
      </c>
      <c r="G899" s="4" t="str">
        <f>IFERROR(__xludf.DUMMYFUNCTION("""COMPUTED_VALUE"""),"Graphics")</f>
        <v>Graphics</v>
      </c>
      <c r="H899" s="4" t="str">
        <f>IFERROR(__xludf.DUMMYFUNCTION("""COMPUTED_VALUE"""),"N/A")</f>
        <v>N/A</v>
      </c>
      <c r="I899" s="4" t="str">
        <f>IFERROR(__xludf.DUMMYFUNCTION("""COMPUTED_VALUE"""),"N/A")</f>
        <v>N/A</v>
      </c>
      <c r="J899" s="4" t="str">
        <f>IFERROR(__xludf.DUMMYFUNCTION("""COMPUTED_VALUE"""),"Social Media")</f>
        <v>Social Media</v>
      </c>
      <c r="K899" s="4" t="str">
        <f>IFERROR(__xludf.DUMMYFUNCTION("""COMPUTED_VALUE"""),"Talk Intro")</f>
        <v>Talk Intro</v>
      </c>
      <c r="L899" s="4" t="str">
        <f>IFERROR(__xludf.DUMMYFUNCTION("""COMPUTED_VALUE"""),"")</f>
        <v/>
      </c>
      <c r="M899" s="4" t="str">
        <f>IFERROR(__xludf.DUMMYFUNCTION("""COMPUTED_VALUE"""),"Talk Intro")</f>
        <v>Talk Intro</v>
      </c>
      <c r="N899" s="4" t="str">
        <f>IFERROR(__xludf.DUMMYFUNCTION("""COMPUTED_VALUE"""),"")</f>
        <v/>
      </c>
      <c r="O899" s="4" t="str">
        <f>IFERROR(__xludf.DUMMYFUNCTION("""COMPUTED_VALUE"""),"")</f>
        <v/>
      </c>
      <c r="P899" s="4" t="str">
        <f>IFERROR(__xludf.DUMMYFUNCTION("""COMPUTED_VALUE"""),"")</f>
        <v/>
      </c>
      <c r="Q899" s="4" t="str">
        <f>IFERROR(__xludf.DUMMYFUNCTION("""COMPUTED_VALUE"""),"")</f>
        <v/>
      </c>
      <c r="R899" s="4" t="str">
        <f>IFERROR(__xludf.DUMMYFUNCTION("""COMPUTED_VALUE"""),"")</f>
        <v/>
      </c>
      <c r="S899" s="4" t="str">
        <f>IFERROR(__xludf.DUMMYFUNCTION("""COMPUTED_VALUE"""),"")</f>
        <v/>
      </c>
      <c r="T899" s="4" t="str">
        <f>IFERROR(__xludf.DUMMYFUNCTION("""COMPUTED_VALUE"""),"")</f>
        <v/>
      </c>
      <c r="U899" s="4" t="str">
        <f>IFERROR(__xludf.DUMMYFUNCTION("""COMPUTED_VALUE"""),"")</f>
        <v/>
      </c>
      <c r="V899" s="4" t="str">
        <f>IFERROR(__xludf.DUMMYFUNCTION("""COMPUTED_VALUE"""),"")</f>
        <v/>
      </c>
      <c r="W899" s="4" t="str">
        <f>IFERROR(__xludf.DUMMYFUNCTION("""COMPUTED_VALUE"""),"")</f>
        <v/>
      </c>
      <c r="X899" s="4" t="str">
        <f>IFERROR(__xludf.DUMMYFUNCTION("""COMPUTED_VALUE"""),"")</f>
        <v/>
      </c>
      <c r="Y899" s="4" t="str">
        <f>IFERROR(__xludf.DUMMYFUNCTION("""COMPUTED_VALUE"""),"")</f>
        <v/>
      </c>
    </row>
    <row r="900">
      <c r="A900" s="4" t="str">
        <f>IFERROR(__xludf.DUMMYFUNCTION("""COMPUTED_VALUE"""),"1007 - Channel ")</f>
        <v>1007 - Channel </v>
      </c>
      <c r="B900" s="4" t="str">
        <f>IFERROR(__xludf.DUMMYFUNCTION("""COMPUTED_VALUE"""),"Channel 3")</f>
        <v>Channel 3</v>
      </c>
      <c r="C900" s="4" t="str">
        <f>IFERROR(__xludf.DUMMYFUNCTION("""COMPUTED_VALUE"""),"Day 3 - 25/06")</f>
        <v>Day 3 - 25/06</v>
      </c>
      <c r="D900" s="6">
        <f>IFERROR(__xludf.DUMMYFUNCTION("""COMPUTED_VALUE"""),0.4235648148148149)</f>
        <v>0.4235648148</v>
      </c>
      <c r="E900" s="6">
        <f>IFERROR(__xludf.DUMMYFUNCTION("""COMPUTED_VALUE"""),1.7361111111111112E-4)</f>
        <v>0.0001736111111</v>
      </c>
      <c r="F900" s="6">
        <f>IFERROR(__xludf.DUMMYFUNCTION("""COMPUTED_VALUE"""),0.42373842592592603)</f>
        <v>0.4237384259</v>
      </c>
      <c r="G900" s="4" t="str">
        <f>IFERROR(__xludf.DUMMYFUNCTION("""COMPUTED_VALUE"""),"")</f>
        <v/>
      </c>
      <c r="H900" s="4" t="str">
        <f>IFERROR(__xludf.DUMMYFUNCTION("""COMPUTED_VALUE"""),"")</f>
        <v/>
      </c>
      <c r="I900" s="4" t="str">
        <f>IFERROR(__xludf.DUMMYFUNCTION("""COMPUTED_VALUE"""),"")</f>
        <v/>
      </c>
      <c r="J900" s="4" t="str">
        <f>IFERROR(__xludf.DUMMYFUNCTION("""COMPUTED_VALUE"""),"")</f>
        <v/>
      </c>
      <c r="K900" s="4" t="str">
        <f>IFERROR(__xludf.DUMMYFUNCTION("""COMPUTED_VALUE"""),"Talk Outro")</f>
        <v>Talk Outro</v>
      </c>
      <c r="L900" s="4" t="str">
        <f>IFERROR(__xludf.DUMMYFUNCTION("""COMPUTED_VALUE"""),"")</f>
        <v/>
      </c>
      <c r="M900" s="4" t="str">
        <f>IFERROR(__xludf.DUMMYFUNCTION("""COMPUTED_VALUE"""),"Talk outro KEEP")</f>
        <v>Talk outro KEEP</v>
      </c>
      <c r="N900" s="4" t="str">
        <f>IFERROR(__xludf.DUMMYFUNCTION("""COMPUTED_VALUE"""),"")</f>
        <v/>
      </c>
      <c r="O900" s="4" t="str">
        <f>IFERROR(__xludf.DUMMYFUNCTION("""COMPUTED_VALUE"""),"")</f>
        <v/>
      </c>
      <c r="P900" s="4" t="str">
        <f>IFERROR(__xludf.DUMMYFUNCTION("""COMPUTED_VALUE"""),"")</f>
        <v/>
      </c>
      <c r="Q900" s="4" t="str">
        <f>IFERROR(__xludf.DUMMYFUNCTION("""COMPUTED_VALUE"""),"")</f>
        <v/>
      </c>
      <c r="R900" s="4" t="str">
        <f>IFERROR(__xludf.DUMMYFUNCTION("""COMPUTED_VALUE"""),"")</f>
        <v/>
      </c>
      <c r="S900" s="4" t="str">
        <f>IFERROR(__xludf.DUMMYFUNCTION("""COMPUTED_VALUE"""),"")</f>
        <v/>
      </c>
      <c r="T900" s="4" t="str">
        <f>IFERROR(__xludf.DUMMYFUNCTION("""COMPUTED_VALUE"""),"")</f>
        <v/>
      </c>
      <c r="U900" s="4" t="str">
        <f>IFERROR(__xludf.DUMMYFUNCTION("""COMPUTED_VALUE"""),"")</f>
        <v/>
      </c>
      <c r="V900" s="4" t="str">
        <f>IFERROR(__xludf.DUMMYFUNCTION("""COMPUTED_VALUE"""),"")</f>
        <v/>
      </c>
      <c r="W900" s="4" t="str">
        <f>IFERROR(__xludf.DUMMYFUNCTION("""COMPUTED_VALUE"""),"")</f>
        <v/>
      </c>
      <c r="X900" s="4" t="str">
        <f>IFERROR(__xludf.DUMMYFUNCTION("""COMPUTED_VALUE"""),"")</f>
        <v/>
      </c>
      <c r="Y900" s="4" t="str">
        <f>IFERROR(__xludf.DUMMYFUNCTION("""COMPUTED_VALUE"""),"")</f>
        <v/>
      </c>
    </row>
    <row r="901">
      <c r="A901" s="4" t="str">
        <f>IFERROR(__xludf.DUMMYFUNCTION("""COMPUTED_VALUE"""),"1009 - Channel")</f>
        <v>1009 - Channel</v>
      </c>
      <c r="B901" s="4" t="str">
        <f>IFERROR(__xludf.DUMMYFUNCTION("""COMPUTED_VALUE"""),"Channel 3")</f>
        <v>Channel 3</v>
      </c>
      <c r="C901" s="4" t="str">
        <f>IFERROR(__xludf.DUMMYFUNCTION("""COMPUTED_VALUE"""),"Day 3 - 25/06")</f>
        <v>Day 3 - 25/06</v>
      </c>
      <c r="D901" s="6">
        <f>IFERROR(__xludf.DUMMYFUNCTION("""COMPUTED_VALUE"""),0.42373842592592603)</f>
        <v>0.4237384259</v>
      </c>
      <c r="E901" s="6">
        <f>IFERROR(__xludf.DUMMYFUNCTION("""COMPUTED_VALUE"""),0.008483796296296297)</f>
        <v>0.008483796296</v>
      </c>
      <c r="F901" s="6">
        <f>IFERROR(__xludf.DUMMYFUNCTION("""COMPUTED_VALUE"""),0.43222222222222234)</f>
        <v>0.4322222222</v>
      </c>
      <c r="G901" s="4" t="str">
        <f>IFERROR(__xludf.DUMMYFUNCTION("""COMPUTED_VALUE"""),"Lobna")</f>
        <v>Lobna</v>
      </c>
      <c r="H901" s="4" t="str">
        <f>IFERROR(__xludf.DUMMYFUNCTION("""COMPUTED_VALUE"""),"")</f>
        <v/>
      </c>
      <c r="I901" s="4" t="str">
        <f>IFERROR(__xludf.DUMMYFUNCTION("""COMPUTED_VALUE"""),"Lucia H.")</f>
        <v>Lucia H.</v>
      </c>
      <c r="J901" s="4" t="str">
        <f>IFERROR(__xludf.DUMMYFUNCTION("""COMPUTED_VALUE"""),"Social Media")</f>
        <v>Social Media</v>
      </c>
      <c r="K901" s="4" t="str">
        <f>IFERROR(__xludf.DUMMYFUNCTION("""COMPUTED_VALUE"""),"Keynote")</f>
        <v>Keynote</v>
      </c>
      <c r="L901" s="4" t="str">
        <f>IFERROR(__xludf.DUMMYFUNCTION("""COMPUTED_VALUE"""),"T- 3 - 01/06/2020")</f>
        <v>T- 3 - 01/06/2020</v>
      </c>
      <c r="M901" s="4" t="str">
        <f>IFERROR(__xludf.DUMMYFUNCTION("""COMPUTED_VALUE"""),"Nailing social media in the lockdown")</f>
        <v>Nailing social media in the lockdown</v>
      </c>
      <c r="N901" s="4" t="str">
        <f>IFERROR(__xludf.DUMMYFUNCTION("""COMPUTED_VALUE"""),"David Schneider, That Lot")</f>
        <v>David Schneider, That Lot</v>
      </c>
      <c r="O901" s="4" t="str">
        <f>IFERROR(__xludf.DUMMYFUNCTION("""COMPUTED_VALUE"""),"")</f>
        <v/>
      </c>
      <c r="P901" s="4" t="str">
        <f>IFERROR(__xludf.DUMMYFUNCTION("""COMPUTED_VALUE"""),"")</f>
        <v/>
      </c>
      <c r="Q901" s="4" t="str">
        <f>IFERROR(__xludf.DUMMYFUNCTION("""COMPUTED_VALUE"""),"")</f>
        <v/>
      </c>
      <c r="R901" s="4" t="str">
        <f>IFERROR(__xludf.DUMMYFUNCTION("""COMPUTED_VALUE"""),"")</f>
        <v/>
      </c>
      <c r="S901" s="4" t="str">
        <f>IFERROR(__xludf.DUMMYFUNCTION("""COMPUTED_VALUE"""),"The pandemic and subsequent lockdown have spawned some of best – and worst – of social media in the internet's history. With the help of exceptional (and a few woeful) examples from across all platforms, social creative agency That Lot will look at how br"&amp;"ands have reacted, how broadcasters have reacted, and how humans have reacted to the biggest global event of our lifetime")</f>
        <v>The pandemic and subsequent lockdown have spawned some of best – and worst – of social media in the internet's history. With the help of exceptional (and a few woeful) examples from across all platforms, social creative agency That Lot will look at how brands have reacted, how broadcasters have reacted, and how humans have reacted to the biggest global event of our lifetime</v>
      </c>
      <c r="T901" s="4" t="str">
        <f>IFERROR(__xludf.DUMMYFUNCTION("""COMPUTED_VALUE"""),"KEYNOTE 8 - COMPLETE")</f>
        <v>KEYNOTE 8 - COMPLETE</v>
      </c>
      <c r="U901" s="23">
        <f>IFERROR(__xludf.DUMMYFUNCTION("""COMPUTED_VALUE"""),43980.0)</f>
        <v>43980</v>
      </c>
      <c r="V901" s="4" t="str">
        <f>IFERROR(__xludf.DUMMYFUNCTION("""COMPUTED_VALUE"""),"")</f>
        <v/>
      </c>
      <c r="W901" s="4" t="str">
        <f>IFERROR(__xludf.DUMMYFUNCTION("""COMPUTED_VALUE"""),"COMPLETE")</f>
        <v>COMPLETE</v>
      </c>
      <c r="X901" s="4" t="str">
        <f>IFERROR(__xludf.DUMMYFUNCTION("""COMPUTED_VALUE"""),"")</f>
        <v/>
      </c>
      <c r="Y901" s="4" t="str">
        <f>IFERROR(__xludf.DUMMYFUNCTION("""COMPUTED_VALUE"""),"")</f>
        <v/>
      </c>
    </row>
    <row r="902">
      <c r="A902" s="4" t="str">
        <f>IFERROR(__xludf.DUMMYFUNCTION("""COMPUTED_VALUE"""),"1010 - Channel")</f>
        <v>1010 - Channel</v>
      </c>
      <c r="B902" s="4" t="str">
        <f>IFERROR(__xludf.DUMMYFUNCTION("""COMPUTED_VALUE"""),"Channel 3")</f>
        <v>Channel 3</v>
      </c>
      <c r="C902" s="4" t="str">
        <f>IFERROR(__xludf.DUMMYFUNCTION("""COMPUTED_VALUE"""),"Day 3 - 25/06")</f>
        <v>Day 3 - 25/06</v>
      </c>
      <c r="D902" s="6">
        <f>IFERROR(__xludf.DUMMYFUNCTION("""COMPUTED_VALUE"""),0.43222222222222234)</f>
        <v>0.4322222222</v>
      </c>
      <c r="E902" s="6">
        <f>IFERROR(__xludf.DUMMYFUNCTION("""COMPUTED_VALUE"""),1.7361111111111112E-4)</f>
        <v>0.0001736111111</v>
      </c>
      <c r="F902" s="6">
        <f>IFERROR(__xludf.DUMMYFUNCTION("""COMPUTED_VALUE"""),0.4323958333333335)</f>
        <v>0.4323958333</v>
      </c>
      <c r="G902" s="4" t="str">
        <f>IFERROR(__xludf.DUMMYFUNCTION("""COMPUTED_VALUE"""),"")</f>
        <v/>
      </c>
      <c r="H902" s="4" t="str">
        <f>IFERROR(__xludf.DUMMYFUNCTION("""COMPUTED_VALUE"""),"")</f>
        <v/>
      </c>
      <c r="I902" s="4" t="str">
        <f>IFERROR(__xludf.DUMMYFUNCTION("""COMPUTED_VALUE"""),"")</f>
        <v/>
      </c>
      <c r="J902" s="4" t="str">
        <f>IFERROR(__xludf.DUMMYFUNCTION("""COMPUTED_VALUE"""),"")</f>
        <v/>
      </c>
      <c r="K902" s="4" t="str">
        <f>IFERROR(__xludf.DUMMYFUNCTION("""COMPUTED_VALUE"""),"Talk Outro")</f>
        <v>Talk Outro</v>
      </c>
      <c r="L902" s="4" t="str">
        <f>IFERROR(__xludf.DUMMYFUNCTION("""COMPUTED_VALUE"""),"")</f>
        <v/>
      </c>
      <c r="M902" s="4" t="str">
        <f>IFERROR(__xludf.DUMMYFUNCTION("""COMPUTED_VALUE"""),"Talk outro -KEEP")</f>
        <v>Talk outro -KEEP</v>
      </c>
      <c r="N902" s="4" t="str">
        <f>IFERROR(__xludf.DUMMYFUNCTION("""COMPUTED_VALUE"""),"")</f>
        <v/>
      </c>
      <c r="O902" s="4" t="str">
        <f>IFERROR(__xludf.DUMMYFUNCTION("""COMPUTED_VALUE"""),"")</f>
        <v/>
      </c>
      <c r="P902" s="4" t="str">
        <f>IFERROR(__xludf.DUMMYFUNCTION("""COMPUTED_VALUE"""),"")</f>
        <v/>
      </c>
      <c r="Q902" s="4" t="str">
        <f>IFERROR(__xludf.DUMMYFUNCTION("""COMPUTED_VALUE"""),"")</f>
        <v/>
      </c>
      <c r="R902" s="4" t="str">
        <f>IFERROR(__xludf.DUMMYFUNCTION("""COMPUTED_VALUE"""),"")</f>
        <v/>
      </c>
      <c r="S902" s="4" t="str">
        <f>IFERROR(__xludf.DUMMYFUNCTION("""COMPUTED_VALUE"""),"")</f>
        <v/>
      </c>
      <c r="T902" s="4" t="str">
        <f>IFERROR(__xludf.DUMMYFUNCTION("""COMPUTED_VALUE"""),"")</f>
        <v/>
      </c>
      <c r="U902" s="4" t="str">
        <f>IFERROR(__xludf.DUMMYFUNCTION("""COMPUTED_VALUE"""),"")</f>
        <v/>
      </c>
      <c r="V902" s="4" t="str">
        <f>IFERROR(__xludf.DUMMYFUNCTION("""COMPUTED_VALUE"""),"")</f>
        <v/>
      </c>
      <c r="W902" s="4" t="str">
        <f>IFERROR(__xludf.DUMMYFUNCTION("""COMPUTED_VALUE"""),"")</f>
        <v/>
      </c>
      <c r="X902" s="4" t="str">
        <f>IFERROR(__xludf.DUMMYFUNCTION("""COMPUTED_VALUE"""),"")</f>
        <v/>
      </c>
      <c r="Y902" s="4" t="str">
        <f>IFERROR(__xludf.DUMMYFUNCTION("""COMPUTED_VALUE"""),"")</f>
        <v/>
      </c>
    </row>
    <row r="903">
      <c r="A903" s="4" t="str">
        <f>IFERROR(__xludf.DUMMYFUNCTION("""COMPUTED_VALUE"""),"1012 - Channel")</f>
        <v>1012 - Channel</v>
      </c>
      <c r="B903" s="4" t="str">
        <f>IFERROR(__xludf.DUMMYFUNCTION("""COMPUTED_VALUE"""),"Channel 3")</f>
        <v>Channel 3</v>
      </c>
      <c r="C903" s="4" t="str">
        <f>IFERROR(__xludf.DUMMYFUNCTION("""COMPUTED_VALUE"""),"Day 3 - 25/06")</f>
        <v>Day 3 - 25/06</v>
      </c>
      <c r="D903" s="6">
        <f>IFERROR(__xludf.DUMMYFUNCTION("""COMPUTED_VALUE"""),0.4323958333333335)</f>
        <v>0.4323958333</v>
      </c>
      <c r="E903" s="6">
        <f>IFERROR(__xludf.DUMMYFUNCTION("""COMPUTED_VALUE"""),2.314814814814815E-4)</f>
        <v>0.0002314814815</v>
      </c>
      <c r="F903" s="6">
        <f>IFERROR(__xludf.DUMMYFUNCTION("""COMPUTED_VALUE"""),0.432627314814815)</f>
        <v>0.4326273148</v>
      </c>
      <c r="G903" s="4" t="str">
        <f>IFERROR(__xludf.DUMMYFUNCTION("""COMPUTED_VALUE"""),"Graphics")</f>
        <v>Graphics</v>
      </c>
      <c r="H903" s="4" t="str">
        <f>IFERROR(__xludf.DUMMYFUNCTION("""COMPUTED_VALUE"""),"N/A")</f>
        <v>N/A</v>
      </c>
      <c r="I903" s="4" t="str">
        <f>IFERROR(__xludf.DUMMYFUNCTION("""COMPUTED_VALUE"""),"N/A")</f>
        <v>N/A</v>
      </c>
      <c r="J903" s="4" t="str">
        <f>IFERROR(__xludf.DUMMYFUNCTION("""COMPUTED_VALUE"""),"Social Media")</f>
        <v>Social Media</v>
      </c>
      <c r="K903" s="4" t="str">
        <f>IFERROR(__xludf.DUMMYFUNCTION("""COMPUTED_VALUE"""),"Talk Intro")</f>
        <v>Talk Intro</v>
      </c>
      <c r="L903" s="4" t="str">
        <f>IFERROR(__xludf.DUMMYFUNCTION("""COMPUTED_VALUE"""),"")</f>
        <v/>
      </c>
      <c r="M903" s="4" t="str">
        <f>IFERROR(__xludf.DUMMYFUNCTION("""COMPUTED_VALUE"""),"Talk Intro")</f>
        <v>Talk Intro</v>
      </c>
      <c r="N903" s="4" t="str">
        <f>IFERROR(__xludf.DUMMYFUNCTION("""COMPUTED_VALUE"""),"")</f>
        <v/>
      </c>
      <c r="O903" s="4" t="str">
        <f>IFERROR(__xludf.DUMMYFUNCTION("""COMPUTED_VALUE"""),"")</f>
        <v/>
      </c>
      <c r="P903" s="4" t="str">
        <f>IFERROR(__xludf.DUMMYFUNCTION("""COMPUTED_VALUE"""),"")</f>
        <v/>
      </c>
      <c r="Q903" s="4" t="str">
        <f>IFERROR(__xludf.DUMMYFUNCTION("""COMPUTED_VALUE"""),"")</f>
        <v/>
      </c>
      <c r="R903" s="4" t="str">
        <f>IFERROR(__xludf.DUMMYFUNCTION("""COMPUTED_VALUE"""),"")</f>
        <v/>
      </c>
      <c r="S903" s="4" t="str">
        <f>IFERROR(__xludf.DUMMYFUNCTION("""COMPUTED_VALUE"""),"")</f>
        <v/>
      </c>
      <c r="T903" s="4" t="str">
        <f>IFERROR(__xludf.DUMMYFUNCTION("""COMPUTED_VALUE"""),"")</f>
        <v/>
      </c>
      <c r="U903" s="4" t="str">
        <f>IFERROR(__xludf.DUMMYFUNCTION("""COMPUTED_VALUE"""),"")</f>
        <v/>
      </c>
      <c r="V903" s="4" t="str">
        <f>IFERROR(__xludf.DUMMYFUNCTION("""COMPUTED_VALUE"""),"")</f>
        <v/>
      </c>
      <c r="W903" s="4" t="str">
        <f>IFERROR(__xludf.DUMMYFUNCTION("""COMPUTED_VALUE"""),"")</f>
        <v/>
      </c>
      <c r="X903" s="4" t="str">
        <f>IFERROR(__xludf.DUMMYFUNCTION("""COMPUTED_VALUE"""),"")</f>
        <v/>
      </c>
      <c r="Y903" s="4" t="str">
        <f>IFERROR(__xludf.DUMMYFUNCTION("""COMPUTED_VALUE"""),"")</f>
        <v/>
      </c>
    </row>
    <row r="904">
      <c r="A904" s="4" t="str">
        <f>IFERROR(__xludf.DUMMYFUNCTION("""COMPUTED_VALUE"""),"1013 - Channel")</f>
        <v>1013 - Channel</v>
      </c>
      <c r="B904" s="4" t="str">
        <f>IFERROR(__xludf.DUMMYFUNCTION("""COMPUTED_VALUE"""),"Channel 3")</f>
        <v>Channel 3</v>
      </c>
      <c r="C904" s="4" t="str">
        <f>IFERROR(__xludf.DUMMYFUNCTION("""COMPUTED_VALUE"""),"Day 3 - 25/06")</f>
        <v>Day 3 - 25/06</v>
      </c>
      <c r="D904" s="6">
        <f>IFERROR(__xludf.DUMMYFUNCTION("""COMPUTED_VALUE"""),0.432627314814815)</f>
        <v>0.4326273148</v>
      </c>
      <c r="E904" s="6">
        <f>IFERROR(__xludf.DUMMYFUNCTION("""COMPUTED_VALUE"""),0.010902777777777779)</f>
        <v>0.01090277778</v>
      </c>
      <c r="F904" s="6">
        <f>IFERROR(__xludf.DUMMYFUNCTION("""COMPUTED_VALUE"""),0.44353009259259274)</f>
        <v>0.4435300926</v>
      </c>
      <c r="G904" s="4" t="str">
        <f>IFERROR(__xludf.DUMMYFUNCTION("""COMPUTED_VALUE"""),"Darren")</f>
        <v>Darren</v>
      </c>
      <c r="H904" s="4" t="str">
        <f>IFERROR(__xludf.DUMMYFUNCTION("""COMPUTED_VALUE"""),"Stephen")</f>
        <v>Stephen</v>
      </c>
      <c r="I904" s="4" t="str">
        <f>IFERROR(__xludf.DUMMYFUNCTION("""COMPUTED_VALUE"""),"Manon")</f>
        <v>Manon</v>
      </c>
      <c r="J904" s="4" t="str">
        <f>IFERROR(__xludf.DUMMYFUNCTION("""COMPUTED_VALUE"""),"Social Media")</f>
        <v>Social Media</v>
      </c>
      <c r="K904" s="4" t="str">
        <f>IFERROR(__xludf.DUMMYFUNCTION("""COMPUTED_VALUE"""),"Super Fireside")</f>
        <v>Super Fireside</v>
      </c>
      <c r="L904" s="4" t="str">
        <f>IFERROR(__xludf.DUMMYFUNCTION("""COMPUTED_VALUE"""),"T- 5 - 18/05/2020")</f>
        <v>T- 5 - 18/05/2020</v>
      </c>
      <c r="M904" s="4" t="str">
        <f>IFERROR(__xludf.DUMMYFUNCTION("""COMPUTED_VALUE"""),"An exit strategy for social media")</f>
        <v>An exit strategy for social media</v>
      </c>
      <c r="N904" s="4" t="str">
        <f>IFERROR(__xludf.DUMMYFUNCTION("""COMPUTED_VALUE"""),"Anthony Scaramucci, Sky Bridge Capital")</f>
        <v>Anthony Scaramucci, Sky Bridge Capital</v>
      </c>
      <c r="O904" s="4" t="str">
        <f>IFERROR(__xludf.DUMMYFUNCTION("""COMPUTED_VALUE"""),"Brittany Kaiser, Own Your Data")</f>
        <v>Brittany Kaiser, Own Your Data</v>
      </c>
      <c r="P904" s="4" t="str">
        <f>IFERROR(__xludf.DUMMYFUNCTION("""COMPUTED_VALUE"""),"")</f>
        <v/>
      </c>
      <c r="Q904" s="4" t="str">
        <f>IFERROR(__xludf.DUMMYFUNCTION("""COMPUTED_VALUE"""),"")</f>
        <v/>
      </c>
      <c r="R904" s="4" t="str">
        <f>IFERROR(__xludf.DUMMYFUNCTION("""COMPUTED_VALUE"""),"Steven Levy, Wired")</f>
        <v>Steven Levy, Wired</v>
      </c>
      <c r="S904" s="4" t="str">
        <f>IFERROR(__xludf.DUMMYFUNCTION("""COMPUTED_VALUE"""),"With social media polarization starker than ever, two 'insiders' share their views on how the current situation can be rectified")</f>
        <v>With social media polarization starker than ever, two 'insiders' share their views on how the current situation can be rectified</v>
      </c>
      <c r="T904" s="4" t="str">
        <f>IFERROR(__xludf.DUMMYFUNCTION("""COMPUTED_VALUE"""),"NON-KEYNOTE 9 - COMPLETE")</f>
        <v>NON-KEYNOTE 9 - COMPLETE</v>
      </c>
      <c r="U904" s="23">
        <f>IFERROR(__xludf.DUMMYFUNCTION("""COMPUTED_VALUE"""),43973.0)</f>
        <v>43973</v>
      </c>
      <c r="V904" s="24">
        <f>IFERROR(__xludf.DUMMYFUNCTION("""COMPUTED_VALUE"""),0.7083333333333334)</f>
        <v>0.7083333333</v>
      </c>
      <c r="W904" s="4" t="str">
        <f>IFERROR(__xludf.DUMMYFUNCTION("""COMPUTED_VALUE"""),"COMPLETE")</f>
        <v>COMPLETE</v>
      </c>
      <c r="X904" s="4" t="str">
        <f>IFERROR(__xludf.DUMMYFUNCTION("""COMPUTED_VALUE"""),"Darren")</f>
        <v>Darren</v>
      </c>
      <c r="Y904" s="4" t="str">
        <f>IFERROR(__xludf.DUMMYFUNCTION("""COMPUTED_VALUE"""),"")</f>
        <v/>
      </c>
    </row>
    <row r="905">
      <c r="A905" s="4" t="str">
        <f>IFERROR(__xludf.DUMMYFUNCTION("""COMPUTED_VALUE"""),"1014 - Channel")</f>
        <v>1014 - Channel</v>
      </c>
      <c r="B905" s="4" t="str">
        <f>IFERROR(__xludf.DUMMYFUNCTION("""COMPUTED_VALUE"""),"Channel 3")</f>
        <v>Channel 3</v>
      </c>
      <c r="C905" s="4" t="str">
        <f>IFERROR(__xludf.DUMMYFUNCTION("""COMPUTED_VALUE"""),"Day 3 - 25/06")</f>
        <v>Day 3 - 25/06</v>
      </c>
      <c r="D905" s="6">
        <f>IFERROR(__xludf.DUMMYFUNCTION("""COMPUTED_VALUE"""),0.44353009259259274)</f>
        <v>0.4435300926</v>
      </c>
      <c r="E905" s="6">
        <f>IFERROR(__xludf.DUMMYFUNCTION("""COMPUTED_VALUE"""),1.7361111111111112E-4)</f>
        <v>0.0001736111111</v>
      </c>
      <c r="F905" s="6">
        <f>IFERROR(__xludf.DUMMYFUNCTION("""COMPUTED_VALUE"""),0.4437037037037039)</f>
        <v>0.4437037037</v>
      </c>
      <c r="G905" s="4" t="str">
        <f>IFERROR(__xludf.DUMMYFUNCTION("""COMPUTED_VALUE"""),"Graphics")</f>
        <v>Graphics</v>
      </c>
      <c r="H905" s="4" t="str">
        <f>IFERROR(__xludf.DUMMYFUNCTION("""COMPUTED_VALUE"""),"N/A")</f>
        <v>N/A</v>
      </c>
      <c r="I905" s="4" t="str">
        <f>IFERROR(__xludf.DUMMYFUNCTION("""COMPUTED_VALUE"""),"N/A")</f>
        <v>N/A</v>
      </c>
      <c r="J905" s="4" t="str">
        <f>IFERROR(__xludf.DUMMYFUNCTION("""COMPUTED_VALUE"""),"Social Media")</f>
        <v>Social Media</v>
      </c>
      <c r="K905" s="4" t="str">
        <f>IFERROR(__xludf.DUMMYFUNCTION("""COMPUTED_VALUE"""),"Talk Outro")</f>
        <v>Talk Outro</v>
      </c>
      <c r="L905" s="4" t="str">
        <f>IFERROR(__xludf.DUMMYFUNCTION("""COMPUTED_VALUE"""),"")</f>
        <v/>
      </c>
      <c r="M905" s="4" t="str">
        <f>IFERROR(__xludf.DUMMYFUNCTION("""COMPUTED_VALUE"""),"Talk Outro")</f>
        <v>Talk Outro</v>
      </c>
      <c r="N905" s="4" t="str">
        <f>IFERROR(__xludf.DUMMYFUNCTION("""COMPUTED_VALUE"""),"")</f>
        <v/>
      </c>
      <c r="O905" s="4" t="str">
        <f>IFERROR(__xludf.DUMMYFUNCTION("""COMPUTED_VALUE"""),"")</f>
        <v/>
      </c>
      <c r="P905" s="4" t="str">
        <f>IFERROR(__xludf.DUMMYFUNCTION("""COMPUTED_VALUE"""),"")</f>
        <v/>
      </c>
      <c r="Q905" s="4" t="str">
        <f>IFERROR(__xludf.DUMMYFUNCTION("""COMPUTED_VALUE"""),"")</f>
        <v/>
      </c>
      <c r="R905" s="4" t="str">
        <f>IFERROR(__xludf.DUMMYFUNCTION("""COMPUTED_VALUE"""),"")</f>
        <v/>
      </c>
      <c r="S905" s="4" t="str">
        <f>IFERROR(__xludf.DUMMYFUNCTION("""COMPUTED_VALUE"""),"")</f>
        <v/>
      </c>
      <c r="T905" s="4" t="str">
        <f>IFERROR(__xludf.DUMMYFUNCTION("""COMPUTED_VALUE"""),"")</f>
        <v/>
      </c>
      <c r="U905" s="4" t="str">
        <f>IFERROR(__xludf.DUMMYFUNCTION("""COMPUTED_VALUE"""),"")</f>
        <v/>
      </c>
      <c r="V905" s="4" t="str">
        <f>IFERROR(__xludf.DUMMYFUNCTION("""COMPUTED_VALUE"""),"")</f>
        <v/>
      </c>
      <c r="W905" s="4" t="str">
        <f>IFERROR(__xludf.DUMMYFUNCTION("""COMPUTED_VALUE"""),"")</f>
        <v/>
      </c>
      <c r="X905" s="4" t="str">
        <f>IFERROR(__xludf.DUMMYFUNCTION("""COMPUTED_VALUE"""),"")</f>
        <v/>
      </c>
      <c r="Y905" s="4" t="str">
        <f>IFERROR(__xludf.DUMMYFUNCTION("""COMPUTED_VALUE"""),"")</f>
        <v/>
      </c>
    </row>
    <row r="906">
      <c r="A906" s="4" t="str">
        <f>IFERROR(__xludf.DUMMYFUNCTION("""COMPUTED_VALUE"""),"1016 - Channel")</f>
        <v>1016 - Channel</v>
      </c>
      <c r="B906" s="4" t="str">
        <f>IFERROR(__xludf.DUMMYFUNCTION("""COMPUTED_VALUE"""),"Channel 3")</f>
        <v>Channel 3</v>
      </c>
      <c r="C906" s="4" t="str">
        <f>IFERROR(__xludf.DUMMYFUNCTION("""COMPUTED_VALUE"""),"Day 3 - 25/06")</f>
        <v>Day 3 - 25/06</v>
      </c>
      <c r="D906" s="6">
        <f>IFERROR(__xludf.DUMMYFUNCTION("""COMPUTED_VALUE"""),0.4437037037037039)</f>
        <v>0.4437037037</v>
      </c>
      <c r="E906" s="6">
        <f>IFERROR(__xludf.DUMMYFUNCTION("""COMPUTED_VALUE"""),3.4722222222222224E-4)</f>
        <v>0.0003472222222</v>
      </c>
      <c r="F906" s="6">
        <f>IFERROR(__xludf.DUMMYFUNCTION("""COMPUTED_VALUE"""),0.4440509259259261)</f>
        <v>0.4440509259</v>
      </c>
      <c r="G906" s="4" t="str">
        <f>IFERROR(__xludf.DUMMYFUNCTION("""COMPUTED_VALUE"""),"Graphics")</f>
        <v>Graphics</v>
      </c>
      <c r="H906" s="4" t="str">
        <f>IFERROR(__xludf.DUMMYFUNCTION("""COMPUTED_VALUE"""),"N/A")</f>
        <v>N/A</v>
      </c>
      <c r="I906" s="4" t="str">
        <f>IFERROR(__xludf.DUMMYFUNCTION("""COMPUTED_VALUE"""),"N/A")</f>
        <v>N/A</v>
      </c>
      <c r="J906" s="4" t="str">
        <f>IFERROR(__xludf.DUMMYFUNCTION("""COMPUTED_VALUE"""),"Social Media")</f>
        <v>Social Media</v>
      </c>
      <c r="K906" s="4" t="str">
        <f>IFERROR(__xludf.DUMMYFUNCTION("""COMPUTED_VALUE"""),"Speaker Intro Video")</f>
        <v>Speaker Intro Video</v>
      </c>
      <c r="L906" s="4" t="str">
        <f>IFERROR(__xludf.DUMMYFUNCTION("""COMPUTED_VALUE"""),"")</f>
        <v/>
      </c>
      <c r="M906" s="4" t="str">
        <f>IFERROR(__xludf.DUMMYFUNCTION("""COMPUTED_VALUE"""),"Speaker Intro Video")</f>
        <v>Speaker Intro Video</v>
      </c>
      <c r="N906" s="4" t="str">
        <f>IFERROR(__xludf.DUMMYFUNCTION("""COMPUTED_VALUE"""),"")</f>
        <v/>
      </c>
      <c r="O906" s="4" t="str">
        <f>IFERROR(__xludf.DUMMYFUNCTION("""COMPUTED_VALUE"""),"")</f>
        <v/>
      </c>
      <c r="P906" s="4" t="str">
        <f>IFERROR(__xludf.DUMMYFUNCTION("""COMPUTED_VALUE"""),"")</f>
        <v/>
      </c>
      <c r="Q906" s="4" t="str">
        <f>IFERROR(__xludf.DUMMYFUNCTION("""COMPUTED_VALUE"""),"")</f>
        <v/>
      </c>
      <c r="R906" s="4" t="str">
        <f>IFERROR(__xludf.DUMMYFUNCTION("""COMPUTED_VALUE"""),"")</f>
        <v/>
      </c>
      <c r="S906" s="4" t="str">
        <f>IFERROR(__xludf.DUMMYFUNCTION("""COMPUTED_VALUE"""),"")</f>
        <v/>
      </c>
      <c r="T906" s="4" t="str">
        <f>IFERROR(__xludf.DUMMYFUNCTION("""COMPUTED_VALUE"""),"")</f>
        <v/>
      </c>
      <c r="U906" s="4" t="str">
        <f>IFERROR(__xludf.DUMMYFUNCTION("""COMPUTED_VALUE"""),"")</f>
        <v/>
      </c>
      <c r="V906" s="4" t="str">
        <f>IFERROR(__xludf.DUMMYFUNCTION("""COMPUTED_VALUE"""),"")</f>
        <v/>
      </c>
      <c r="W906" s="4" t="str">
        <f>IFERROR(__xludf.DUMMYFUNCTION("""COMPUTED_VALUE"""),"")</f>
        <v/>
      </c>
      <c r="X906" s="4" t="str">
        <f>IFERROR(__xludf.DUMMYFUNCTION("""COMPUTED_VALUE"""),"")</f>
        <v/>
      </c>
      <c r="Y906" s="4" t="str">
        <f>IFERROR(__xludf.DUMMYFUNCTION("""COMPUTED_VALUE"""),"")</f>
        <v/>
      </c>
    </row>
    <row r="907">
      <c r="A907" s="4" t="str">
        <f>IFERROR(__xludf.DUMMYFUNCTION("""COMPUTED_VALUE"""),"1017 - Channel")</f>
        <v>1017 - Channel</v>
      </c>
      <c r="B907" s="4" t="str">
        <f>IFERROR(__xludf.DUMMYFUNCTION("""COMPUTED_VALUE"""),"Channel 3")</f>
        <v>Channel 3</v>
      </c>
      <c r="C907" s="4" t="str">
        <f>IFERROR(__xludf.DUMMYFUNCTION("""COMPUTED_VALUE"""),"Day 3 - 25/06")</f>
        <v>Day 3 - 25/06</v>
      </c>
      <c r="D907" s="6">
        <f>IFERROR(__xludf.DUMMYFUNCTION("""COMPUTED_VALUE"""),0.4440509259259261)</f>
        <v>0.4440509259</v>
      </c>
      <c r="E907" s="6">
        <f>IFERROR(__xludf.DUMMYFUNCTION("""COMPUTED_VALUE"""),2.314814814814815E-4)</f>
        <v>0.0002314814815</v>
      </c>
      <c r="F907" s="6">
        <f>IFERROR(__xludf.DUMMYFUNCTION("""COMPUTED_VALUE"""),0.4442824074074076)</f>
        <v>0.4442824074</v>
      </c>
      <c r="G907" s="4" t="str">
        <f>IFERROR(__xludf.DUMMYFUNCTION("""COMPUTED_VALUE"""),"Graphics")</f>
        <v>Graphics</v>
      </c>
      <c r="H907" s="4" t="str">
        <f>IFERROR(__xludf.DUMMYFUNCTION("""COMPUTED_VALUE"""),"N/A")</f>
        <v>N/A</v>
      </c>
      <c r="I907" s="4" t="str">
        <f>IFERROR(__xludf.DUMMYFUNCTION("""COMPUTED_VALUE"""),"N/A")</f>
        <v>N/A</v>
      </c>
      <c r="J907" s="4" t="str">
        <f>IFERROR(__xludf.DUMMYFUNCTION("""COMPUTED_VALUE"""),"Social Media")</f>
        <v>Social Media</v>
      </c>
      <c r="K907" s="4" t="str">
        <f>IFERROR(__xludf.DUMMYFUNCTION("""COMPUTED_VALUE"""),"Talk Intro")</f>
        <v>Talk Intro</v>
      </c>
      <c r="L907" s="4" t="str">
        <f>IFERROR(__xludf.DUMMYFUNCTION("""COMPUTED_VALUE"""),"")</f>
        <v/>
      </c>
      <c r="M907" s="4" t="str">
        <f>IFERROR(__xludf.DUMMYFUNCTION("""COMPUTED_VALUE"""),"Talk Intro")</f>
        <v>Talk Intro</v>
      </c>
      <c r="N907" s="4" t="str">
        <f>IFERROR(__xludf.DUMMYFUNCTION("""COMPUTED_VALUE"""),"")</f>
        <v/>
      </c>
      <c r="O907" s="4" t="str">
        <f>IFERROR(__xludf.DUMMYFUNCTION("""COMPUTED_VALUE"""),"")</f>
        <v/>
      </c>
      <c r="P907" s="4" t="str">
        <f>IFERROR(__xludf.DUMMYFUNCTION("""COMPUTED_VALUE"""),"")</f>
        <v/>
      </c>
      <c r="Q907" s="4" t="str">
        <f>IFERROR(__xludf.DUMMYFUNCTION("""COMPUTED_VALUE"""),"")</f>
        <v/>
      </c>
      <c r="R907" s="4" t="str">
        <f>IFERROR(__xludf.DUMMYFUNCTION("""COMPUTED_VALUE"""),"")</f>
        <v/>
      </c>
      <c r="S907" s="4" t="str">
        <f>IFERROR(__xludf.DUMMYFUNCTION("""COMPUTED_VALUE"""),"")</f>
        <v/>
      </c>
      <c r="T907" s="4" t="str">
        <f>IFERROR(__xludf.DUMMYFUNCTION("""COMPUTED_VALUE"""),"")</f>
        <v/>
      </c>
      <c r="U907" s="4" t="str">
        <f>IFERROR(__xludf.DUMMYFUNCTION("""COMPUTED_VALUE"""),"")</f>
        <v/>
      </c>
      <c r="V907" s="4" t="str">
        <f>IFERROR(__xludf.DUMMYFUNCTION("""COMPUTED_VALUE"""),"")</f>
        <v/>
      </c>
      <c r="W907" s="4" t="str">
        <f>IFERROR(__xludf.DUMMYFUNCTION("""COMPUTED_VALUE"""),"")</f>
        <v/>
      </c>
      <c r="X907" s="4" t="str">
        <f>IFERROR(__xludf.DUMMYFUNCTION("""COMPUTED_VALUE"""),"")</f>
        <v/>
      </c>
      <c r="Y907" s="4" t="str">
        <f>IFERROR(__xludf.DUMMYFUNCTION("""COMPUTED_VALUE"""),"")</f>
        <v/>
      </c>
    </row>
    <row r="908">
      <c r="A908" s="4" t="str">
        <f>IFERROR(__xludf.DUMMYFUNCTION("""COMPUTED_VALUE"""),"1018 - Channel")</f>
        <v>1018 - Channel</v>
      </c>
      <c r="B908" s="4" t="str">
        <f>IFERROR(__xludf.DUMMYFUNCTION("""COMPUTED_VALUE"""),"Channel 3")</f>
        <v>Channel 3</v>
      </c>
      <c r="C908" s="4" t="str">
        <f>IFERROR(__xludf.DUMMYFUNCTION("""COMPUTED_VALUE"""),"Day 3 - 25/06")</f>
        <v>Day 3 - 25/06</v>
      </c>
      <c r="D908" s="6">
        <f>IFERROR(__xludf.DUMMYFUNCTION("""COMPUTED_VALUE"""),0.4442824074074076)</f>
        <v>0.4442824074</v>
      </c>
      <c r="E908" s="6">
        <f>IFERROR(__xludf.DUMMYFUNCTION("""COMPUTED_VALUE"""),0.00798611111111111)</f>
        <v>0.007986111111</v>
      </c>
      <c r="F908" s="6">
        <f>IFERROR(__xludf.DUMMYFUNCTION("""COMPUTED_VALUE"""),0.4522685185185187)</f>
        <v>0.4522685185</v>
      </c>
      <c r="G908" s="4" t="str">
        <f>IFERROR(__xludf.DUMMYFUNCTION("""COMPUTED_VALUE"""),"Helen")</f>
        <v>Helen</v>
      </c>
      <c r="H908" s="4" t="str">
        <f>IFERROR(__xludf.DUMMYFUNCTION("""COMPUTED_VALUE"""),"")</f>
        <v/>
      </c>
      <c r="I908" s="4" t="str">
        <f>IFERROR(__xludf.DUMMYFUNCTION("""COMPUTED_VALUE"""),"Lucia H.")</f>
        <v>Lucia H.</v>
      </c>
      <c r="J908" s="4" t="str">
        <f>IFERROR(__xludf.DUMMYFUNCTION("""COMPUTED_VALUE"""),"Social Media")</f>
        <v>Social Media</v>
      </c>
      <c r="K908" s="4" t="str">
        <f>IFERROR(__xludf.DUMMYFUNCTION("""COMPUTED_VALUE"""),"Fireside")</f>
        <v>Fireside</v>
      </c>
      <c r="L908" s="4" t="str">
        <f>IFERROR(__xludf.DUMMYFUNCTION("""COMPUTED_VALUE"""),"T- 4 - 25/05/2020")</f>
        <v>T- 4 - 25/05/2020</v>
      </c>
      <c r="M908" s="4" t="str">
        <f>IFERROR(__xludf.DUMMYFUNCTION("""COMPUTED_VALUE"""),"Tech and transparency in the branding era")</f>
        <v>Tech and transparency in the branding era</v>
      </c>
      <c r="N908" s="4" t="str">
        <f>IFERROR(__xludf.DUMMYFUNCTION("""COMPUTED_VALUE"""),"Christopher Wylie, H&amp;M Group")</f>
        <v>Christopher Wylie, H&amp;M Group</v>
      </c>
      <c r="O908" s="4" t="str">
        <f>IFERROR(__xludf.DUMMYFUNCTION("""COMPUTED_VALUE"""),"")</f>
        <v/>
      </c>
      <c r="P908" s="4" t="str">
        <f>IFERROR(__xludf.DUMMYFUNCTION("""COMPUTED_VALUE"""),"")</f>
        <v/>
      </c>
      <c r="Q908" s="4" t="str">
        <f>IFERROR(__xludf.DUMMYFUNCTION("""COMPUTED_VALUE"""),"")</f>
        <v/>
      </c>
      <c r="R908" s="4" t="str">
        <f>IFERROR(__xludf.DUMMYFUNCTION("""COMPUTED_VALUE"""),"James Ball, The Bureau of Investigative Journalism")</f>
        <v>James Ball, The Bureau of Investigative Journalism</v>
      </c>
      <c r="S908" s="4" t="str">
        <f>IFERROR(__xludf.DUMMYFUNCTION("""COMPUTED_VALUE"""),"Join whistleblower turned H&amp;M tech expert Christopher Wylie as he discusses the role of data, transparency and social media in the move towards brand social responsiblity. ")</f>
        <v>Join whistleblower turned H&amp;M tech expert Christopher Wylie as he discusses the role of data, transparency and social media in the move towards brand social responsiblity. </v>
      </c>
      <c r="T908" s="4" t="str">
        <f>IFERROR(__xludf.DUMMYFUNCTION("""COMPUTED_VALUE"""),"NON-KEYNOTE 9 - COMPLETE")</f>
        <v>NON-KEYNOTE 9 - COMPLETE</v>
      </c>
      <c r="U908" s="23">
        <f>IFERROR(__xludf.DUMMYFUNCTION("""COMPUTED_VALUE"""),43980.0)</f>
        <v>43980</v>
      </c>
      <c r="V908" s="24">
        <f>IFERROR(__xludf.DUMMYFUNCTION("""COMPUTED_VALUE"""),0.5)</f>
        <v>0.5</v>
      </c>
      <c r="W908" s="4" t="str">
        <f>IFERROR(__xludf.DUMMYFUNCTION("""COMPUTED_VALUE"""),"COMPLETE")</f>
        <v>COMPLETE</v>
      </c>
      <c r="X908" s="4" t="str">
        <f>IFERROR(__xludf.DUMMYFUNCTION("""COMPUTED_VALUE"""),"Hugh")</f>
        <v>Hugh</v>
      </c>
      <c r="Y908" s="4" t="str">
        <f>IFERROR(__xludf.DUMMYFUNCTION("""COMPUTED_VALUE"""),"")</f>
        <v/>
      </c>
    </row>
    <row r="909">
      <c r="A909" s="4" t="str">
        <f>IFERROR(__xludf.DUMMYFUNCTION("""COMPUTED_VALUE"""),"1576 - Channel")</f>
        <v>1576 - Channel</v>
      </c>
      <c r="B909" s="4" t="str">
        <f>IFERROR(__xludf.DUMMYFUNCTION("""COMPUTED_VALUE"""),"Channel 3")</f>
        <v>Channel 3</v>
      </c>
      <c r="C909" s="4" t="str">
        <f>IFERROR(__xludf.DUMMYFUNCTION("""COMPUTED_VALUE"""),"Day 3 - 25/06")</f>
        <v>Day 3 - 25/06</v>
      </c>
      <c r="D909" s="6">
        <f>IFERROR(__xludf.DUMMYFUNCTION("""COMPUTED_VALUE"""),0.4522685185185187)</f>
        <v>0.4522685185</v>
      </c>
      <c r="E909" s="6">
        <f>IFERROR(__xludf.DUMMYFUNCTION("""COMPUTED_VALUE"""),2.314814814814815E-4)</f>
        <v>0.0002314814815</v>
      </c>
      <c r="F909" s="6">
        <f>IFERROR(__xludf.DUMMYFUNCTION("""COMPUTED_VALUE"""),0.4525000000000002)</f>
        <v>0.4525</v>
      </c>
      <c r="G909" s="4" t="str">
        <f>IFERROR(__xludf.DUMMYFUNCTION("""COMPUTED_VALUE"""),"Graphics")</f>
        <v>Graphics</v>
      </c>
      <c r="H909" s="4" t="str">
        <f>IFERROR(__xludf.DUMMYFUNCTION("""COMPUTED_VALUE"""),"")</f>
        <v/>
      </c>
      <c r="I909" s="4" t="str">
        <f>IFERROR(__xludf.DUMMYFUNCTION("""COMPUTED_VALUE"""),"")</f>
        <v/>
      </c>
      <c r="J909" s="4" t="str">
        <f>IFERROR(__xludf.DUMMYFUNCTION("""COMPUTED_VALUE"""),"")</f>
        <v/>
      </c>
      <c r="K909" s="4" t="str">
        <f>IFERROR(__xludf.DUMMYFUNCTION("""COMPUTED_VALUE"""),"Talk Intro")</f>
        <v>Talk Intro</v>
      </c>
      <c r="L909" s="4" t="str">
        <f>IFERROR(__xludf.DUMMYFUNCTION("""COMPUTED_VALUE"""),"")</f>
        <v/>
      </c>
      <c r="M909" s="4" t="str">
        <f>IFERROR(__xludf.DUMMYFUNCTION("""COMPUTED_VALUE"""),"Talk Intro")</f>
        <v>Talk Intro</v>
      </c>
      <c r="N909" s="4" t="str">
        <f>IFERROR(__xludf.DUMMYFUNCTION("""COMPUTED_VALUE"""),"")</f>
        <v/>
      </c>
      <c r="O909" s="4" t="str">
        <f>IFERROR(__xludf.DUMMYFUNCTION("""COMPUTED_VALUE"""),"")</f>
        <v/>
      </c>
      <c r="P909" s="4" t="str">
        <f>IFERROR(__xludf.DUMMYFUNCTION("""COMPUTED_VALUE"""),"")</f>
        <v/>
      </c>
      <c r="Q909" s="4" t="str">
        <f>IFERROR(__xludf.DUMMYFUNCTION("""COMPUTED_VALUE"""),"")</f>
        <v/>
      </c>
      <c r="R909" s="4" t="str">
        <f>IFERROR(__xludf.DUMMYFUNCTION("""COMPUTED_VALUE"""),"")</f>
        <v/>
      </c>
      <c r="S909" s="4" t="str">
        <f>IFERROR(__xludf.DUMMYFUNCTION("""COMPUTED_VALUE"""),"")</f>
        <v/>
      </c>
      <c r="T909" s="4" t="str">
        <f>IFERROR(__xludf.DUMMYFUNCTION("""COMPUTED_VALUE"""),"")</f>
        <v/>
      </c>
      <c r="U909" s="4" t="str">
        <f>IFERROR(__xludf.DUMMYFUNCTION("""COMPUTED_VALUE"""),"")</f>
        <v/>
      </c>
      <c r="V909" s="4" t="str">
        <f>IFERROR(__xludf.DUMMYFUNCTION("""COMPUTED_VALUE"""),"")</f>
        <v/>
      </c>
      <c r="W909" s="4" t="str">
        <f>IFERROR(__xludf.DUMMYFUNCTION("""COMPUTED_VALUE"""),"")</f>
        <v/>
      </c>
      <c r="X909" s="4" t="str">
        <f>IFERROR(__xludf.DUMMYFUNCTION("""COMPUTED_VALUE"""),"")</f>
        <v/>
      </c>
      <c r="Y909" s="4" t="str">
        <f>IFERROR(__xludf.DUMMYFUNCTION("""COMPUTED_VALUE"""),"")</f>
        <v/>
      </c>
    </row>
    <row r="910">
      <c r="A910" s="4" t="str">
        <f>IFERROR(__xludf.DUMMYFUNCTION("""COMPUTED_VALUE"""),"984 - Channel")</f>
        <v>984 - Channel</v>
      </c>
      <c r="B910" s="4" t="str">
        <f>IFERROR(__xludf.DUMMYFUNCTION("""COMPUTED_VALUE"""),"Channel 3")</f>
        <v>Channel 3</v>
      </c>
      <c r="C910" s="4" t="str">
        <f>IFERROR(__xludf.DUMMYFUNCTION("""COMPUTED_VALUE"""),"Day 2 - 24/06")</f>
        <v>Day 2 - 24/06</v>
      </c>
      <c r="D910" s="6">
        <f>IFERROR(__xludf.DUMMYFUNCTION("""COMPUTED_VALUE"""),0.4525000000000002)</f>
        <v>0.4525</v>
      </c>
      <c r="E910" s="6">
        <f>IFERROR(__xludf.DUMMYFUNCTION("""COMPUTED_VALUE"""),0.00542824074074074)</f>
        <v>0.005428240741</v>
      </c>
      <c r="F910" s="6">
        <f>IFERROR(__xludf.DUMMYFUNCTION("""COMPUTED_VALUE"""),0.4579282407407409)</f>
        <v>0.4579282407</v>
      </c>
      <c r="G910" s="4" t="str">
        <f>IFERROR(__xludf.DUMMYFUNCTION("""COMPUTED_VALUE"""),"Kat")</f>
        <v>Kat</v>
      </c>
      <c r="H910" s="4" t="str">
        <f>IFERROR(__xludf.DUMMYFUNCTION("""COMPUTED_VALUE"""),"")</f>
        <v/>
      </c>
      <c r="I910" s="4" t="str">
        <f>IFERROR(__xludf.DUMMYFUNCTION("""COMPUTED_VALUE"""),"Lynn")</f>
        <v>Lynn</v>
      </c>
      <c r="J910" s="4" t="str">
        <f>IFERROR(__xludf.DUMMYFUNCTION("""COMPUTED_VALUE"""),"Retail")</f>
        <v>Retail</v>
      </c>
      <c r="K910" s="4" t="str">
        <f>IFERROR(__xludf.DUMMYFUNCTION("""COMPUTED_VALUE"""),"Keynote")</f>
        <v>Keynote</v>
      </c>
      <c r="L910" s="4" t="str">
        <f>IFERROR(__xludf.DUMMYFUNCTION("""COMPUTED_VALUE"""),"")</f>
        <v/>
      </c>
      <c r="M910" s="4" t="str">
        <f>IFERROR(__xludf.DUMMYFUNCTION("""COMPUTED_VALUE"""),"Overcoming operational challenges during a pandemic")</f>
        <v>Overcoming operational challenges during a pandemic</v>
      </c>
      <c r="N910" s="4" t="str">
        <f>IFERROR(__xludf.DUMMYFUNCTION("""COMPUTED_VALUE"""),"David Yang, ABBYY")</f>
        <v>David Yang, ABBYY</v>
      </c>
      <c r="O910" s="4" t="str">
        <f>IFERROR(__xludf.DUMMYFUNCTION("""COMPUTED_VALUE"""),"")</f>
        <v/>
      </c>
      <c r="P910" s="4" t="str">
        <f>IFERROR(__xludf.DUMMYFUNCTION("""COMPUTED_VALUE"""),"")</f>
        <v/>
      </c>
      <c r="Q910" s="4" t="str">
        <f>IFERROR(__xludf.DUMMYFUNCTION("""COMPUTED_VALUE"""),"")</f>
        <v/>
      </c>
      <c r="R910" s="4" t="str">
        <f>IFERROR(__xludf.DUMMYFUNCTION("""COMPUTED_VALUE"""),"")</f>
        <v/>
      </c>
      <c r="S910" s="4" t="str">
        <f>IFERROR(__xludf.DUMMYFUNCTION("""COMPUTED_VALUE"""),"ABBYY CEO David Yang talks about how to overcome operational challenges during a pandemic by using robotics process automation.")</f>
        <v>ABBYY CEO David Yang talks about how to overcome operational challenges during a pandemic by using robotics process automation.</v>
      </c>
      <c r="T910" s="4" t="str">
        <f>IFERROR(__xludf.DUMMYFUNCTION("""COMPUTED_VALUE"""),"NON-KEYNOTE 9 - COMPLETE")</f>
        <v>NON-KEYNOTE 9 - COMPLETE</v>
      </c>
      <c r="U910" s="55">
        <f>IFERROR(__xludf.DUMMYFUNCTION("""COMPUTED_VALUE"""),43983.0)</f>
        <v>43983</v>
      </c>
      <c r="V910" s="24">
        <f>IFERROR(__xludf.DUMMYFUNCTION("""COMPUTED_VALUE"""),0.7291666666666666)</f>
        <v>0.7291666667</v>
      </c>
      <c r="W910" s="4" t="str">
        <f>IFERROR(__xludf.DUMMYFUNCTION("""COMPUTED_VALUE"""),"COMPLETE")</f>
        <v>COMPLETE</v>
      </c>
      <c r="X910" s="4" t="str">
        <f>IFERROR(__xludf.DUMMYFUNCTION("""COMPUTED_VALUE"""),"Kat")</f>
        <v>Kat</v>
      </c>
      <c r="Y910" s="4" t="str">
        <f>IFERROR(__xludf.DUMMYFUNCTION("""COMPUTED_VALUE"""),"")</f>
        <v/>
      </c>
    </row>
    <row r="911">
      <c r="A911" s="4" t="str">
        <f>IFERROR(__xludf.DUMMYFUNCTION("""COMPUTED_VALUE"""),"1353 - Channel")</f>
        <v>1353 - Channel</v>
      </c>
      <c r="B911" s="4" t="str">
        <f>IFERROR(__xludf.DUMMYFUNCTION("""COMPUTED_VALUE"""),"Channel 3")</f>
        <v>Channel 3</v>
      </c>
      <c r="C911" s="4" t="str">
        <f>IFERROR(__xludf.DUMMYFUNCTION("""COMPUTED_VALUE"""),"Day 3 - 25/06")</f>
        <v>Day 3 - 25/06</v>
      </c>
      <c r="D911" s="4" t="str">
        <f>IFERROR(__xludf.DUMMYFUNCTION("""COMPUTED_VALUE"""),"")</f>
        <v/>
      </c>
      <c r="E911" s="4" t="str">
        <f>IFERROR(__xludf.DUMMYFUNCTION("""COMPUTED_VALUE"""),"")</f>
        <v/>
      </c>
      <c r="F911" s="4" t="str">
        <f>IFERROR(__xludf.DUMMYFUNCTION("""COMPUTED_VALUE"""),"")</f>
        <v/>
      </c>
      <c r="G911" s="4" t="str">
        <f>IFERROR(__xludf.DUMMYFUNCTION("""COMPUTED_VALUE"""),"")</f>
        <v/>
      </c>
      <c r="H911" s="4" t="str">
        <f>IFERROR(__xludf.DUMMYFUNCTION("""COMPUTED_VALUE"""),"")</f>
        <v/>
      </c>
      <c r="I911" s="4" t="str">
        <f>IFERROR(__xludf.DUMMYFUNCTION("""COMPUTED_VALUE"""),"")</f>
        <v/>
      </c>
      <c r="J911" s="4" t="str">
        <f>IFERROR(__xludf.DUMMYFUNCTION("""COMPUTED_VALUE"""),"")</f>
        <v/>
      </c>
      <c r="K911" s="4" t="str">
        <f>IFERROR(__xludf.DUMMYFUNCTION("""COMPUTED_VALUE"""),"")</f>
        <v/>
      </c>
      <c r="L911" s="4" t="str">
        <f>IFERROR(__xludf.DUMMYFUNCTION("""COMPUTED_VALUE"""),"")</f>
        <v/>
      </c>
      <c r="M911" s="4" t="str">
        <f>IFERROR(__xludf.DUMMYFUNCTION("""COMPUTED_VALUE"""),"")</f>
        <v/>
      </c>
      <c r="N911" s="4" t="str">
        <f>IFERROR(__xludf.DUMMYFUNCTION("""COMPUTED_VALUE"""),"")</f>
        <v/>
      </c>
      <c r="O911" s="4" t="str">
        <f>IFERROR(__xludf.DUMMYFUNCTION("""COMPUTED_VALUE"""),"")</f>
        <v/>
      </c>
      <c r="P911" s="4" t="str">
        <f>IFERROR(__xludf.DUMMYFUNCTION("""COMPUTED_VALUE"""),"")</f>
        <v/>
      </c>
      <c r="Q911" s="4" t="str">
        <f>IFERROR(__xludf.DUMMYFUNCTION("""COMPUTED_VALUE"""),"")</f>
        <v/>
      </c>
      <c r="R911" s="4" t="str">
        <f>IFERROR(__xludf.DUMMYFUNCTION("""COMPUTED_VALUE"""),"")</f>
        <v/>
      </c>
      <c r="S911" s="4" t="str">
        <f>IFERROR(__xludf.DUMMYFUNCTION("""COMPUTED_VALUE"""),"")</f>
        <v/>
      </c>
      <c r="T911" s="4" t="str">
        <f>IFERROR(__xludf.DUMMYFUNCTION("""COMPUTED_VALUE"""),"")</f>
        <v/>
      </c>
      <c r="U911" s="4" t="str">
        <f>IFERROR(__xludf.DUMMYFUNCTION("""COMPUTED_VALUE"""),"")</f>
        <v/>
      </c>
      <c r="V911" s="4" t="str">
        <f>IFERROR(__xludf.DUMMYFUNCTION("""COMPUTED_VALUE"""),"")</f>
        <v/>
      </c>
      <c r="W911" s="4" t="str">
        <f>IFERROR(__xludf.DUMMYFUNCTION("""COMPUTED_VALUE"""),"")</f>
        <v/>
      </c>
      <c r="X911" s="4" t="str">
        <f>IFERROR(__xludf.DUMMYFUNCTION("""COMPUTED_VALUE"""),"")</f>
        <v/>
      </c>
      <c r="Y911" s="4" t="str">
        <f>IFERROR(__xludf.DUMMYFUNCTION("""COMPUTED_VALUE"""),"")</f>
        <v/>
      </c>
    </row>
    <row r="912">
      <c r="A912" s="4" t="str">
        <f>IFERROR(__xludf.DUMMYFUNCTION("""COMPUTED_VALUE"""),"1657 - Channel")</f>
        <v>1657 - Channel</v>
      </c>
      <c r="B912" s="4" t="str">
        <f>IFERROR(__xludf.DUMMYFUNCTION("""COMPUTED_VALUE"""),"Channel 3")</f>
        <v>Channel 3</v>
      </c>
      <c r="C912" s="4" t="str">
        <f>IFERROR(__xludf.DUMMYFUNCTION("""COMPUTED_VALUE"""),"Day 3 - 25/06")</f>
        <v>Day 3 - 25/06</v>
      </c>
      <c r="D912" s="6">
        <f>IFERROR(__xludf.DUMMYFUNCTION("""COMPUTED_VALUE"""),0.4583333333333333)</f>
        <v>0.4583333333</v>
      </c>
      <c r="E912" s="6">
        <f>IFERROR(__xludf.DUMMYFUNCTION("""COMPUTED_VALUE"""),1.7361111111111112E-4)</f>
        <v>0.0001736111111</v>
      </c>
      <c r="F912" s="6">
        <f>IFERROR(__xludf.DUMMYFUNCTION("""COMPUTED_VALUE"""),0.45850694444444445)</f>
        <v>0.4585069444</v>
      </c>
      <c r="G912" s="4" t="str">
        <f>IFERROR(__xludf.DUMMYFUNCTION("""COMPUTED_VALUE"""),"Startups")</f>
        <v>Startups</v>
      </c>
      <c r="H912" s="4" t="str">
        <f>IFERROR(__xludf.DUMMYFUNCTION("""COMPUTED_VALUE"""),"N/A")</f>
        <v>N/A</v>
      </c>
      <c r="I912" s="4" t="str">
        <f>IFERROR(__xludf.DUMMYFUNCTION("""COMPUTED_VALUE"""),"N/A")</f>
        <v>N/A</v>
      </c>
      <c r="J912" s="4" t="str">
        <f>IFERROR(__xludf.DUMMYFUNCTION("""COMPUTED_VALUE"""),"Robotics")</f>
        <v>Robotics</v>
      </c>
      <c r="K912" s="4" t="str">
        <f>IFERROR(__xludf.DUMMYFUNCTION("""COMPUTED_VALUE"""),"Partner ad")</f>
        <v>Partner ad</v>
      </c>
      <c r="L912" s="4" t="str">
        <f>IFERROR(__xludf.DUMMYFUNCTION("""COMPUTED_VALUE"""),"")</f>
        <v/>
      </c>
      <c r="M912" s="4" t="str">
        <f>IFERROR(__xludf.DUMMYFUNCTION("""COMPUTED_VALUE"""),"Partner ad - City of Toronto")</f>
        <v>Partner ad - City of Toronto</v>
      </c>
      <c r="N912" s="4" t="str">
        <f>IFERROR(__xludf.DUMMYFUNCTION("""COMPUTED_VALUE"""),"")</f>
        <v/>
      </c>
      <c r="O912" s="4" t="str">
        <f>IFERROR(__xludf.DUMMYFUNCTION("""COMPUTED_VALUE"""),"")</f>
        <v/>
      </c>
      <c r="P912" s="4" t="str">
        <f>IFERROR(__xludf.DUMMYFUNCTION("""COMPUTED_VALUE"""),"")</f>
        <v/>
      </c>
      <c r="Q912" s="4" t="str">
        <f>IFERROR(__xludf.DUMMYFUNCTION("""COMPUTED_VALUE"""),"")</f>
        <v/>
      </c>
      <c r="R912" s="4" t="str">
        <f>IFERROR(__xludf.DUMMYFUNCTION("""COMPUTED_VALUE"""),"")</f>
        <v/>
      </c>
      <c r="S912" s="4" t="str">
        <f>IFERROR(__xludf.DUMMYFUNCTION("""COMPUTED_VALUE"""),"")</f>
        <v/>
      </c>
      <c r="T912" s="4" t="str">
        <f>IFERROR(__xludf.DUMMYFUNCTION("""COMPUTED_VALUE"""),"")</f>
        <v/>
      </c>
      <c r="U912" s="4" t="str">
        <f>IFERROR(__xludf.DUMMYFUNCTION("""COMPUTED_VALUE"""),"")</f>
        <v/>
      </c>
      <c r="V912" s="4" t="str">
        <f>IFERROR(__xludf.DUMMYFUNCTION("""COMPUTED_VALUE"""),"")</f>
        <v/>
      </c>
      <c r="W912" s="4" t="str">
        <f>IFERROR(__xludf.DUMMYFUNCTION("""COMPUTED_VALUE"""),"")</f>
        <v/>
      </c>
      <c r="X912" s="4" t="str">
        <f>IFERROR(__xludf.DUMMYFUNCTION("""COMPUTED_VALUE"""),"")</f>
        <v/>
      </c>
      <c r="Y912" s="4" t="str">
        <f>IFERROR(__xludf.DUMMYFUNCTION("""COMPUTED_VALUE"""),"")</f>
        <v/>
      </c>
    </row>
    <row r="913">
      <c r="A913" s="4" t="str">
        <f>IFERROR(__xludf.DUMMYFUNCTION("""COMPUTED_VALUE"""),"1021 - Channel")</f>
        <v>1021 - Channel</v>
      </c>
      <c r="B913" s="4" t="str">
        <f>IFERROR(__xludf.DUMMYFUNCTION("""COMPUTED_VALUE"""),"Channel 3")</f>
        <v>Channel 3</v>
      </c>
      <c r="C913" s="4" t="str">
        <f>IFERROR(__xludf.DUMMYFUNCTION("""COMPUTED_VALUE"""),"Day 3 - 25/06")</f>
        <v>Day 3 - 25/06</v>
      </c>
      <c r="D913" s="6">
        <f>IFERROR(__xludf.DUMMYFUNCTION("""COMPUTED_VALUE"""),0.45850694444444445)</f>
        <v>0.4585069444</v>
      </c>
      <c r="E913" s="6">
        <f>IFERROR(__xludf.DUMMYFUNCTION("""COMPUTED_VALUE"""),2.314814814814815E-4)</f>
        <v>0.0002314814815</v>
      </c>
      <c r="F913" s="6">
        <f>IFERROR(__xludf.DUMMYFUNCTION("""COMPUTED_VALUE"""),0.45873842592592595)</f>
        <v>0.4587384259</v>
      </c>
      <c r="G913" s="4" t="str">
        <f>IFERROR(__xludf.DUMMYFUNCTION("""COMPUTED_VALUE"""),"Graphics")</f>
        <v>Graphics</v>
      </c>
      <c r="H913" s="4" t="str">
        <f>IFERROR(__xludf.DUMMYFUNCTION("""COMPUTED_VALUE"""),"N/A")</f>
        <v>N/A</v>
      </c>
      <c r="I913" s="4" t="str">
        <f>IFERROR(__xludf.DUMMYFUNCTION("""COMPUTED_VALUE"""),"N/A")</f>
        <v>N/A</v>
      </c>
      <c r="J913" s="4" t="str">
        <f>IFERROR(__xludf.DUMMYFUNCTION("""COMPUTED_VALUE"""),"Robotics")</f>
        <v>Robotics</v>
      </c>
      <c r="K913" s="4" t="str">
        <f>IFERROR(__xludf.DUMMYFUNCTION("""COMPUTED_VALUE"""),"Talk Intro")</f>
        <v>Talk Intro</v>
      </c>
      <c r="L913" s="4" t="str">
        <f>IFERROR(__xludf.DUMMYFUNCTION("""COMPUTED_VALUE"""),"")</f>
        <v/>
      </c>
      <c r="M913" s="4" t="str">
        <f>IFERROR(__xludf.DUMMYFUNCTION("""COMPUTED_VALUE"""),"Talk Intro")</f>
        <v>Talk Intro</v>
      </c>
      <c r="N913" s="4" t="str">
        <f>IFERROR(__xludf.DUMMYFUNCTION("""COMPUTED_VALUE"""),"")</f>
        <v/>
      </c>
      <c r="O913" s="4" t="str">
        <f>IFERROR(__xludf.DUMMYFUNCTION("""COMPUTED_VALUE"""),"")</f>
        <v/>
      </c>
      <c r="P913" s="4" t="str">
        <f>IFERROR(__xludf.DUMMYFUNCTION("""COMPUTED_VALUE"""),"")</f>
        <v/>
      </c>
      <c r="Q913" s="4" t="str">
        <f>IFERROR(__xludf.DUMMYFUNCTION("""COMPUTED_VALUE"""),"")</f>
        <v/>
      </c>
      <c r="R913" s="4" t="str">
        <f>IFERROR(__xludf.DUMMYFUNCTION("""COMPUTED_VALUE"""),"")</f>
        <v/>
      </c>
      <c r="S913" s="4" t="str">
        <f>IFERROR(__xludf.DUMMYFUNCTION("""COMPUTED_VALUE"""),"")</f>
        <v/>
      </c>
      <c r="T913" s="4" t="str">
        <f>IFERROR(__xludf.DUMMYFUNCTION("""COMPUTED_VALUE"""),"")</f>
        <v/>
      </c>
      <c r="U913" s="4" t="str">
        <f>IFERROR(__xludf.DUMMYFUNCTION("""COMPUTED_VALUE"""),"")</f>
        <v/>
      </c>
      <c r="V913" s="4" t="str">
        <f>IFERROR(__xludf.DUMMYFUNCTION("""COMPUTED_VALUE"""),"")</f>
        <v/>
      </c>
      <c r="W913" s="4" t="str">
        <f>IFERROR(__xludf.DUMMYFUNCTION("""COMPUTED_VALUE"""),"")</f>
        <v/>
      </c>
      <c r="X913" s="4" t="str">
        <f>IFERROR(__xludf.DUMMYFUNCTION("""COMPUTED_VALUE"""),"")</f>
        <v/>
      </c>
      <c r="Y913" s="4" t="str">
        <f>IFERROR(__xludf.DUMMYFUNCTION("""COMPUTED_VALUE"""),"")</f>
        <v/>
      </c>
    </row>
    <row r="914">
      <c r="A914" s="4" t="str">
        <f>IFERROR(__xludf.DUMMYFUNCTION("""COMPUTED_VALUE"""),"1022 - Channel")</f>
        <v>1022 - Channel</v>
      </c>
      <c r="B914" s="4" t="str">
        <f>IFERROR(__xludf.DUMMYFUNCTION("""COMPUTED_VALUE"""),"Channel 3")</f>
        <v>Channel 3</v>
      </c>
      <c r="C914" s="4" t="str">
        <f>IFERROR(__xludf.DUMMYFUNCTION("""COMPUTED_VALUE"""),"Day 3 - 25/06")</f>
        <v>Day 3 - 25/06</v>
      </c>
      <c r="D914" s="6">
        <f>IFERROR(__xludf.DUMMYFUNCTION("""COMPUTED_VALUE"""),0.45873842592592595)</f>
        <v>0.4587384259</v>
      </c>
      <c r="E914" s="6">
        <f>IFERROR(__xludf.DUMMYFUNCTION("""COMPUTED_VALUE"""),0.008611111111111111)</f>
        <v>0.008611111111</v>
      </c>
      <c r="F914" s="6">
        <f>IFERROR(__xludf.DUMMYFUNCTION("""COMPUTED_VALUE"""),0.4673495370370371)</f>
        <v>0.467349537</v>
      </c>
      <c r="G914" s="4" t="str">
        <f>IFERROR(__xludf.DUMMYFUNCTION("""COMPUTED_VALUE"""),"Darragh")</f>
        <v>Darragh</v>
      </c>
      <c r="H914" s="4" t="str">
        <f>IFERROR(__xludf.DUMMYFUNCTION("""COMPUTED_VALUE"""),"N/A")</f>
        <v>N/A</v>
      </c>
      <c r="I914" s="4" t="str">
        <f>IFERROR(__xludf.DUMMYFUNCTION("""COMPUTED_VALUE"""),"Lynn")</f>
        <v>Lynn</v>
      </c>
      <c r="J914" s="4" t="str">
        <f>IFERROR(__xludf.DUMMYFUNCTION("""COMPUTED_VALUE"""),"Robotics")</f>
        <v>Robotics</v>
      </c>
      <c r="K914" s="4" t="str">
        <f>IFERROR(__xludf.DUMMYFUNCTION("""COMPUTED_VALUE"""),"Fireside")</f>
        <v>Fireside</v>
      </c>
      <c r="L914" s="4" t="str">
        <f>IFERROR(__xludf.DUMMYFUNCTION("""COMPUTED_VALUE"""),"T- 7 - 04/05/2020")</f>
        <v>T- 7 - 04/05/2020</v>
      </c>
      <c r="M914" s="4" t="str">
        <f>IFERROR(__xludf.DUMMYFUNCTION("""COMPUTED_VALUE"""),"Do robots understand pandemics?")</f>
        <v>Do robots understand pandemics?</v>
      </c>
      <c r="N914" s="4" t="str">
        <f>IFERROR(__xludf.DUMMYFUNCTION("""COMPUTED_VALUE"""),"David Hanson, Hanson Robotics")</f>
        <v>David Hanson, Hanson Robotics</v>
      </c>
      <c r="O914" s="4" t="str">
        <f>IFERROR(__xludf.DUMMYFUNCTION("""COMPUTED_VALUE"""),"Sophia The Robot, Hanson Robotics")</f>
        <v>Sophia The Robot, Hanson Robotics</v>
      </c>
      <c r="P914" s="4" t="str">
        <f>IFERROR(__xludf.DUMMYFUNCTION("""COMPUTED_VALUE"""),"")</f>
        <v/>
      </c>
      <c r="Q914" s="4" t="str">
        <f>IFERROR(__xludf.DUMMYFUNCTION("""COMPUTED_VALUE"""),"")</f>
        <v/>
      </c>
      <c r="R914" s="4" t="str">
        <f>IFERROR(__xludf.DUMMYFUNCTION("""COMPUTED_VALUE"""),"")</f>
        <v/>
      </c>
      <c r="S914" s="4" t="str">
        <f>IFERROR(__xludf.DUMMYFUNCTION("""COMPUTED_VALUE"""),"As the Covid-19 virus has fundamentally changed so much of the world around us, some are saying we can't return to normal... But can AI understand a world we couldn't have anticipated?")</f>
        <v>As the Covid-19 virus has fundamentally changed so much of the world around us, some are saying we can't return to normal... But can AI understand a world we couldn't have anticipated?</v>
      </c>
      <c r="T914" s="4" t="str">
        <f>IFERROR(__xludf.DUMMYFUNCTION("""COMPUTED_VALUE"""),"NON-KEYNOTE 9 - COMPLETE")</f>
        <v>NON-KEYNOTE 9 - COMPLETE</v>
      </c>
      <c r="U914" s="23">
        <f>IFERROR(__xludf.DUMMYFUNCTION("""COMPUTED_VALUE"""),43957.0)</f>
        <v>43957</v>
      </c>
      <c r="V914" s="24">
        <f>IFERROR(__xludf.DUMMYFUNCTION("""COMPUTED_VALUE"""),0.375)</f>
        <v>0.375</v>
      </c>
      <c r="W914" s="4" t="str">
        <f>IFERROR(__xludf.DUMMYFUNCTION("""COMPUTED_VALUE"""),"COMPLETE")</f>
        <v>COMPLETE</v>
      </c>
      <c r="X914" s="4" t="str">
        <f>IFERROR(__xludf.DUMMYFUNCTION("""COMPUTED_VALUE"""),"Darragh")</f>
        <v>Darragh</v>
      </c>
      <c r="Y914" s="4" t="str">
        <f>IFERROR(__xludf.DUMMYFUNCTION("""COMPUTED_VALUE"""),"")</f>
        <v/>
      </c>
    </row>
    <row r="915">
      <c r="A915" s="4" t="str">
        <f>IFERROR(__xludf.DUMMYFUNCTION("""COMPUTED_VALUE"""),"1024 - Channel")</f>
        <v>1024 - Channel</v>
      </c>
      <c r="B915" s="4" t="str">
        <f>IFERROR(__xludf.DUMMYFUNCTION("""COMPUTED_VALUE"""),"Channel 3")</f>
        <v>Channel 3</v>
      </c>
      <c r="C915" s="4" t="str">
        <f>IFERROR(__xludf.DUMMYFUNCTION("""COMPUTED_VALUE"""),"Day 3 - 25/06")</f>
        <v>Day 3 - 25/06</v>
      </c>
      <c r="D915" s="6">
        <f>IFERROR(__xludf.DUMMYFUNCTION("""COMPUTED_VALUE"""),0.4673495370370371)</f>
        <v>0.467349537</v>
      </c>
      <c r="E915" s="6">
        <f>IFERROR(__xludf.DUMMYFUNCTION("""COMPUTED_VALUE"""),1.7361111111111112E-4)</f>
        <v>0.0001736111111</v>
      </c>
      <c r="F915" s="6">
        <f>IFERROR(__xludf.DUMMYFUNCTION("""COMPUTED_VALUE"""),0.4675231481481482)</f>
        <v>0.4675231481</v>
      </c>
      <c r="G915" s="4" t="str">
        <f>IFERROR(__xludf.DUMMYFUNCTION("""COMPUTED_VALUE"""),"P&amp;E")</f>
        <v>P&amp;E</v>
      </c>
      <c r="H915" s="4" t="str">
        <f>IFERROR(__xludf.DUMMYFUNCTION("""COMPUTED_VALUE"""),"N/A")</f>
        <v>N/A</v>
      </c>
      <c r="I915" s="4" t="str">
        <f>IFERROR(__xludf.DUMMYFUNCTION("""COMPUTED_VALUE"""),"N/A")</f>
        <v>N/A</v>
      </c>
      <c r="J915" s="4" t="str">
        <f>IFERROR(__xludf.DUMMYFUNCTION("""COMPUTED_VALUE"""),"Robotics")</f>
        <v>Robotics</v>
      </c>
      <c r="K915" s="4" t="str">
        <f>IFERROR(__xludf.DUMMYFUNCTION("""COMPUTED_VALUE"""),"Partner ad")</f>
        <v>Partner ad</v>
      </c>
      <c r="L915" s="4" t="str">
        <f>IFERROR(__xludf.DUMMYFUNCTION("""COMPUTED_VALUE"""),"")</f>
        <v/>
      </c>
      <c r="M915" s="4" t="str">
        <f>IFERROR(__xludf.DUMMYFUNCTION("""COMPUTED_VALUE"""),"Partner logos")</f>
        <v>Partner logos</v>
      </c>
      <c r="N915" s="4" t="str">
        <f>IFERROR(__xludf.DUMMYFUNCTION("""COMPUTED_VALUE"""),"")</f>
        <v/>
      </c>
      <c r="O915" s="4" t="str">
        <f>IFERROR(__xludf.DUMMYFUNCTION("""COMPUTED_VALUE"""),"")</f>
        <v/>
      </c>
      <c r="P915" s="4" t="str">
        <f>IFERROR(__xludf.DUMMYFUNCTION("""COMPUTED_VALUE"""),"")</f>
        <v/>
      </c>
      <c r="Q915" s="4" t="str">
        <f>IFERROR(__xludf.DUMMYFUNCTION("""COMPUTED_VALUE"""),"")</f>
        <v/>
      </c>
      <c r="R915" s="4" t="str">
        <f>IFERROR(__xludf.DUMMYFUNCTION("""COMPUTED_VALUE"""),"")</f>
        <v/>
      </c>
      <c r="S915" s="4" t="str">
        <f>IFERROR(__xludf.DUMMYFUNCTION("""COMPUTED_VALUE"""),"")</f>
        <v/>
      </c>
      <c r="T915" s="4" t="str">
        <f>IFERROR(__xludf.DUMMYFUNCTION("""COMPUTED_VALUE"""),"")</f>
        <v/>
      </c>
      <c r="U915" s="4" t="str">
        <f>IFERROR(__xludf.DUMMYFUNCTION("""COMPUTED_VALUE"""),"")</f>
        <v/>
      </c>
      <c r="V915" s="4" t="str">
        <f>IFERROR(__xludf.DUMMYFUNCTION("""COMPUTED_VALUE"""),"")</f>
        <v/>
      </c>
      <c r="W915" s="4" t="str">
        <f>IFERROR(__xludf.DUMMYFUNCTION("""COMPUTED_VALUE"""),"")</f>
        <v/>
      </c>
      <c r="X915" s="4" t="str">
        <f>IFERROR(__xludf.DUMMYFUNCTION("""COMPUTED_VALUE"""),"")</f>
        <v/>
      </c>
      <c r="Y915" s="4" t="str">
        <f>IFERROR(__xludf.DUMMYFUNCTION("""COMPUTED_VALUE"""),"")</f>
        <v/>
      </c>
    </row>
    <row r="916">
      <c r="A916" s="4" t="str">
        <f>IFERROR(__xludf.DUMMYFUNCTION("""COMPUTED_VALUE"""),"1070 - Channel")</f>
        <v>1070 - Channel</v>
      </c>
      <c r="B916" s="4" t="str">
        <f>IFERROR(__xludf.DUMMYFUNCTION("""COMPUTED_VALUE"""),"Channel 3")</f>
        <v>Channel 3</v>
      </c>
      <c r="C916" s="4" t="str">
        <f>IFERROR(__xludf.DUMMYFUNCTION("""COMPUTED_VALUE"""),"Day 3 - 25/06")</f>
        <v>Day 3 - 25/06</v>
      </c>
      <c r="D916" s="6">
        <f>IFERROR(__xludf.DUMMYFUNCTION("""COMPUTED_VALUE"""),0.4675231481481482)</f>
        <v>0.4675231481</v>
      </c>
      <c r="E916" s="6">
        <f>IFERROR(__xludf.DUMMYFUNCTION("""COMPUTED_VALUE"""),3.4722222222222224E-4)</f>
        <v>0.0003472222222</v>
      </c>
      <c r="F916" s="6">
        <f>IFERROR(__xludf.DUMMYFUNCTION("""COMPUTED_VALUE"""),0.46787037037037044)</f>
        <v>0.4678703704</v>
      </c>
      <c r="G916" s="4" t="str">
        <f>IFERROR(__xludf.DUMMYFUNCTION("""COMPUTED_VALUE"""),"Startups")</f>
        <v>Startups</v>
      </c>
      <c r="H916" s="4" t="str">
        <f>IFERROR(__xludf.DUMMYFUNCTION("""COMPUTED_VALUE"""),"")</f>
        <v/>
      </c>
      <c r="I916" s="4" t="str">
        <f>IFERROR(__xludf.DUMMYFUNCTION("""COMPUTED_VALUE"""),"")</f>
        <v/>
      </c>
      <c r="J916" s="4" t="str">
        <f>IFERROR(__xludf.DUMMYFUNCTION("""COMPUTED_VALUE"""),"Developers")</f>
        <v>Developers</v>
      </c>
      <c r="K916" s="4" t="str">
        <f>IFERROR(__xludf.DUMMYFUNCTION("""COMPUTED_VALUE"""),"40 Words")</f>
        <v>40 Words</v>
      </c>
      <c r="L916" s="4" t="str">
        <f>IFERROR(__xludf.DUMMYFUNCTION("""COMPUTED_VALUE"""),"")</f>
        <v/>
      </c>
      <c r="M916" s="4" t="str">
        <f>IFERROR(__xludf.DUMMYFUNCTION("""COMPUTED_VALUE"""),"40 words #")</f>
        <v>40 words #</v>
      </c>
      <c r="N916" s="4" t="str">
        <f>IFERROR(__xludf.DUMMYFUNCTION("""COMPUTED_VALUE"""),"")</f>
        <v/>
      </c>
      <c r="O916" s="4" t="str">
        <f>IFERROR(__xludf.DUMMYFUNCTION("""COMPUTED_VALUE"""),"")</f>
        <v/>
      </c>
      <c r="P916" s="4" t="str">
        <f>IFERROR(__xludf.DUMMYFUNCTION("""COMPUTED_VALUE"""),"")</f>
        <v/>
      </c>
      <c r="Q916" s="4" t="str">
        <f>IFERROR(__xludf.DUMMYFUNCTION("""COMPUTED_VALUE"""),"")</f>
        <v/>
      </c>
      <c r="R916" s="4" t="str">
        <f>IFERROR(__xludf.DUMMYFUNCTION("""COMPUTED_VALUE"""),"")</f>
        <v/>
      </c>
      <c r="S916" s="4" t="str">
        <f>IFERROR(__xludf.DUMMYFUNCTION("""COMPUTED_VALUE"""),"")</f>
        <v/>
      </c>
      <c r="T916" s="4" t="str">
        <f>IFERROR(__xludf.DUMMYFUNCTION("""COMPUTED_VALUE"""),"")</f>
        <v/>
      </c>
      <c r="U916" s="4" t="str">
        <f>IFERROR(__xludf.DUMMYFUNCTION("""COMPUTED_VALUE"""),"")</f>
        <v/>
      </c>
      <c r="V916" s="4" t="str">
        <f>IFERROR(__xludf.DUMMYFUNCTION("""COMPUTED_VALUE"""),"")</f>
        <v/>
      </c>
      <c r="W916" s="4" t="str">
        <f>IFERROR(__xludf.DUMMYFUNCTION("""COMPUTED_VALUE"""),"")</f>
        <v/>
      </c>
      <c r="X916" s="4" t="str">
        <f>IFERROR(__xludf.DUMMYFUNCTION("""COMPUTED_VALUE"""),"")</f>
        <v/>
      </c>
      <c r="Y916" s="4" t="str">
        <f>IFERROR(__xludf.DUMMYFUNCTION("""COMPUTED_VALUE"""),"")</f>
        <v/>
      </c>
    </row>
    <row r="917">
      <c r="A917" s="4" t="str">
        <f>IFERROR(__xludf.DUMMYFUNCTION("""COMPUTED_VALUE"""),"1025 - Channel")</f>
        <v>1025 - Channel</v>
      </c>
      <c r="B917" s="4" t="str">
        <f>IFERROR(__xludf.DUMMYFUNCTION("""COMPUTED_VALUE"""),"Channel 3")</f>
        <v>Channel 3</v>
      </c>
      <c r="C917" s="4" t="str">
        <f>IFERROR(__xludf.DUMMYFUNCTION("""COMPUTED_VALUE"""),"Day 3 - 25/06")</f>
        <v>Day 3 - 25/06</v>
      </c>
      <c r="D917" s="6">
        <f>IFERROR(__xludf.DUMMYFUNCTION("""COMPUTED_VALUE"""),0.46787037037037044)</f>
        <v>0.4678703704</v>
      </c>
      <c r="E917" s="6">
        <f>IFERROR(__xludf.DUMMYFUNCTION("""COMPUTED_VALUE"""),3.4722222222222224E-4)</f>
        <v>0.0003472222222</v>
      </c>
      <c r="F917" s="6">
        <f>IFERROR(__xludf.DUMMYFUNCTION("""COMPUTED_VALUE"""),0.46821759259259266)</f>
        <v>0.4682175926</v>
      </c>
      <c r="G917" s="4" t="str">
        <f>IFERROR(__xludf.DUMMYFUNCTION("""COMPUTED_VALUE"""),"Graphics")</f>
        <v>Graphics</v>
      </c>
      <c r="H917" s="4" t="str">
        <f>IFERROR(__xludf.DUMMYFUNCTION("""COMPUTED_VALUE"""),"N/A")</f>
        <v>N/A</v>
      </c>
      <c r="I917" s="4" t="str">
        <f>IFERROR(__xludf.DUMMYFUNCTION("""COMPUTED_VALUE"""),"N/A")</f>
        <v>N/A</v>
      </c>
      <c r="J917" s="4" t="str">
        <f>IFERROR(__xludf.DUMMYFUNCTION("""COMPUTED_VALUE"""),"Robotics")</f>
        <v>Robotics</v>
      </c>
      <c r="K917" s="4" t="str">
        <f>IFERROR(__xludf.DUMMYFUNCTION("""COMPUTED_VALUE"""),"Speaker Intro Video")</f>
        <v>Speaker Intro Video</v>
      </c>
      <c r="L917" s="4" t="str">
        <f>IFERROR(__xludf.DUMMYFUNCTION("""COMPUTED_VALUE"""),"")</f>
        <v/>
      </c>
      <c r="M917" s="4" t="str">
        <f>IFERROR(__xludf.DUMMYFUNCTION("""COMPUTED_VALUE"""),"Speaker Intro Video")</f>
        <v>Speaker Intro Video</v>
      </c>
      <c r="N917" s="4" t="str">
        <f>IFERROR(__xludf.DUMMYFUNCTION("""COMPUTED_VALUE"""),"")</f>
        <v/>
      </c>
      <c r="O917" s="4" t="str">
        <f>IFERROR(__xludf.DUMMYFUNCTION("""COMPUTED_VALUE"""),"")</f>
        <v/>
      </c>
      <c r="P917" s="4" t="str">
        <f>IFERROR(__xludf.DUMMYFUNCTION("""COMPUTED_VALUE"""),"")</f>
        <v/>
      </c>
      <c r="Q917" s="4" t="str">
        <f>IFERROR(__xludf.DUMMYFUNCTION("""COMPUTED_VALUE"""),"")</f>
        <v/>
      </c>
      <c r="R917" s="4" t="str">
        <f>IFERROR(__xludf.DUMMYFUNCTION("""COMPUTED_VALUE"""),"")</f>
        <v/>
      </c>
      <c r="S917" s="4" t="str">
        <f>IFERROR(__xludf.DUMMYFUNCTION("""COMPUTED_VALUE"""),"")</f>
        <v/>
      </c>
      <c r="T917" s="4" t="str">
        <f>IFERROR(__xludf.DUMMYFUNCTION("""COMPUTED_VALUE"""),"")</f>
        <v/>
      </c>
      <c r="U917" s="4" t="str">
        <f>IFERROR(__xludf.DUMMYFUNCTION("""COMPUTED_VALUE"""),"")</f>
        <v/>
      </c>
      <c r="V917" s="4" t="str">
        <f>IFERROR(__xludf.DUMMYFUNCTION("""COMPUTED_VALUE"""),"")</f>
        <v/>
      </c>
      <c r="W917" s="4" t="str">
        <f>IFERROR(__xludf.DUMMYFUNCTION("""COMPUTED_VALUE"""),"")</f>
        <v/>
      </c>
      <c r="X917" s="4" t="str">
        <f>IFERROR(__xludf.DUMMYFUNCTION("""COMPUTED_VALUE"""),"")</f>
        <v/>
      </c>
      <c r="Y917" s="4" t="str">
        <f>IFERROR(__xludf.DUMMYFUNCTION("""COMPUTED_VALUE"""),"")</f>
        <v/>
      </c>
    </row>
    <row r="918">
      <c r="A918" s="4" t="str">
        <f>IFERROR(__xludf.DUMMYFUNCTION("""COMPUTED_VALUE"""),"1026 - Channel")</f>
        <v>1026 - Channel</v>
      </c>
      <c r="B918" s="4" t="str">
        <f>IFERROR(__xludf.DUMMYFUNCTION("""COMPUTED_VALUE"""),"Channel 3")</f>
        <v>Channel 3</v>
      </c>
      <c r="C918" s="4" t="str">
        <f>IFERROR(__xludf.DUMMYFUNCTION("""COMPUTED_VALUE"""),"Day 3 - 25/06")</f>
        <v>Day 3 - 25/06</v>
      </c>
      <c r="D918" s="6">
        <f>IFERROR(__xludf.DUMMYFUNCTION("""COMPUTED_VALUE"""),0.46821759259259266)</f>
        <v>0.4682175926</v>
      </c>
      <c r="E918" s="6">
        <f>IFERROR(__xludf.DUMMYFUNCTION("""COMPUTED_VALUE"""),2.314814814814815E-4)</f>
        <v>0.0002314814815</v>
      </c>
      <c r="F918" s="6">
        <f>IFERROR(__xludf.DUMMYFUNCTION("""COMPUTED_VALUE"""),0.46844907407407416)</f>
        <v>0.4684490741</v>
      </c>
      <c r="G918" s="4" t="str">
        <f>IFERROR(__xludf.DUMMYFUNCTION("""COMPUTED_VALUE"""),"Graphics")</f>
        <v>Graphics</v>
      </c>
      <c r="H918" s="4" t="str">
        <f>IFERROR(__xludf.DUMMYFUNCTION("""COMPUTED_VALUE"""),"N/A")</f>
        <v>N/A</v>
      </c>
      <c r="I918" s="4" t="str">
        <f>IFERROR(__xludf.DUMMYFUNCTION("""COMPUTED_VALUE"""),"N/A")</f>
        <v>N/A</v>
      </c>
      <c r="J918" s="4" t="str">
        <f>IFERROR(__xludf.DUMMYFUNCTION("""COMPUTED_VALUE"""),"Robotics")</f>
        <v>Robotics</v>
      </c>
      <c r="K918" s="4" t="str">
        <f>IFERROR(__xludf.DUMMYFUNCTION("""COMPUTED_VALUE"""),"Talk Intro")</f>
        <v>Talk Intro</v>
      </c>
      <c r="L918" s="4" t="str">
        <f>IFERROR(__xludf.DUMMYFUNCTION("""COMPUTED_VALUE"""),"")</f>
        <v/>
      </c>
      <c r="M918" s="4" t="str">
        <f>IFERROR(__xludf.DUMMYFUNCTION("""COMPUTED_VALUE"""),"Talk Intro")</f>
        <v>Talk Intro</v>
      </c>
      <c r="N918" s="4" t="str">
        <f>IFERROR(__xludf.DUMMYFUNCTION("""COMPUTED_VALUE"""),"")</f>
        <v/>
      </c>
      <c r="O918" s="4" t="str">
        <f>IFERROR(__xludf.DUMMYFUNCTION("""COMPUTED_VALUE"""),"")</f>
        <v/>
      </c>
      <c r="P918" s="4" t="str">
        <f>IFERROR(__xludf.DUMMYFUNCTION("""COMPUTED_VALUE"""),"")</f>
        <v/>
      </c>
      <c r="Q918" s="4" t="str">
        <f>IFERROR(__xludf.DUMMYFUNCTION("""COMPUTED_VALUE"""),"")</f>
        <v/>
      </c>
      <c r="R918" s="4" t="str">
        <f>IFERROR(__xludf.DUMMYFUNCTION("""COMPUTED_VALUE"""),"")</f>
        <v/>
      </c>
      <c r="S918" s="4" t="str">
        <f>IFERROR(__xludf.DUMMYFUNCTION("""COMPUTED_VALUE"""),"")</f>
        <v/>
      </c>
      <c r="T918" s="4" t="str">
        <f>IFERROR(__xludf.DUMMYFUNCTION("""COMPUTED_VALUE"""),"")</f>
        <v/>
      </c>
      <c r="U918" s="4" t="str">
        <f>IFERROR(__xludf.DUMMYFUNCTION("""COMPUTED_VALUE"""),"")</f>
        <v/>
      </c>
      <c r="V918" s="4" t="str">
        <f>IFERROR(__xludf.DUMMYFUNCTION("""COMPUTED_VALUE"""),"")</f>
        <v/>
      </c>
      <c r="W918" s="4" t="str">
        <f>IFERROR(__xludf.DUMMYFUNCTION("""COMPUTED_VALUE"""),"")</f>
        <v/>
      </c>
      <c r="X918" s="4" t="str">
        <f>IFERROR(__xludf.DUMMYFUNCTION("""COMPUTED_VALUE"""),"")</f>
        <v/>
      </c>
      <c r="Y918" s="4" t="str">
        <f>IFERROR(__xludf.DUMMYFUNCTION("""COMPUTED_VALUE"""),"")</f>
        <v/>
      </c>
    </row>
    <row r="919">
      <c r="A919" s="4" t="str">
        <f>IFERROR(__xludf.DUMMYFUNCTION("""COMPUTED_VALUE"""),"1027 - Channel")</f>
        <v>1027 - Channel</v>
      </c>
      <c r="B919" s="4" t="str">
        <f>IFERROR(__xludf.DUMMYFUNCTION("""COMPUTED_VALUE"""),"Channel 3")</f>
        <v>Channel 3</v>
      </c>
      <c r="C919" s="4" t="str">
        <f>IFERROR(__xludf.DUMMYFUNCTION("""COMPUTED_VALUE"""),"Day 3 - 25/06")</f>
        <v>Day 3 - 25/06</v>
      </c>
      <c r="D919" s="6">
        <f>IFERROR(__xludf.DUMMYFUNCTION("""COMPUTED_VALUE"""),0.46844907407407416)</f>
        <v>0.4684490741</v>
      </c>
      <c r="E919" s="6">
        <f>IFERROR(__xludf.DUMMYFUNCTION("""COMPUTED_VALUE"""),0.013888888888888888)</f>
        <v>0.01388888889</v>
      </c>
      <c r="F919" s="6">
        <f>IFERROR(__xludf.DUMMYFUNCTION("""COMPUTED_VALUE"""),0.48233796296296305)</f>
        <v>0.482337963</v>
      </c>
      <c r="G919" s="4" t="str">
        <f>IFERROR(__xludf.DUMMYFUNCTION("""COMPUTED_VALUE"""),"Darragh")</f>
        <v>Darragh</v>
      </c>
      <c r="H919" s="4" t="str">
        <f>IFERROR(__xludf.DUMMYFUNCTION("""COMPUTED_VALUE"""),"N/A")</f>
        <v>N/A</v>
      </c>
      <c r="I919" s="4" t="str">
        <f>IFERROR(__xludf.DUMMYFUNCTION("""COMPUTED_VALUE"""),"Lynn")</f>
        <v>Lynn</v>
      </c>
      <c r="J919" s="4" t="str">
        <f>IFERROR(__xludf.DUMMYFUNCTION("""COMPUTED_VALUE"""),"Robotics")</f>
        <v>Robotics</v>
      </c>
      <c r="K919" s="4" t="str">
        <f>IFERROR(__xludf.DUMMYFUNCTION("""COMPUTED_VALUE"""),"Keynote")</f>
        <v>Keynote</v>
      </c>
      <c r="L919" s="4" t="str">
        <f>IFERROR(__xludf.DUMMYFUNCTION("""COMPUTED_VALUE"""),"T- 2 - 08/06/2020")</f>
        <v>T- 2 - 08/06/2020</v>
      </c>
      <c r="M919" s="4" t="str">
        <f>IFERROR(__xludf.DUMMYFUNCTION("""COMPUTED_VALUE"""),"Working from home? Not for robots!")</f>
        <v>Working from home? Not for robots!</v>
      </c>
      <c r="N919" s="4" t="str">
        <f>IFERROR(__xludf.DUMMYFUNCTION("""COMPUTED_VALUE"""),"Marc Raibert, Boston Dynamics")</f>
        <v>Marc Raibert, Boston Dynamics</v>
      </c>
      <c r="O919" s="4" t="str">
        <f>IFERROR(__xludf.DUMMYFUNCTION("""COMPUTED_VALUE"""),"")</f>
        <v/>
      </c>
      <c r="P919" s="4" t="str">
        <f>IFERROR(__xludf.DUMMYFUNCTION("""COMPUTED_VALUE"""),"")</f>
        <v/>
      </c>
      <c r="Q919" s="4" t="str">
        <f>IFERROR(__xludf.DUMMYFUNCTION("""COMPUTED_VALUE"""),"")</f>
        <v/>
      </c>
      <c r="R919" s="4" t="str">
        <f>IFERROR(__xludf.DUMMYFUNCTION("""COMPUTED_VALUE"""),"")</f>
        <v/>
      </c>
      <c r="S919" s="4" t="str">
        <f>IFERROR(__xludf.DUMMYFUNCTION("""COMPUTED_VALUE"""),"In this talk, join Boston Dynamics' founder Marc Raibert as he explores how their newest addition Spot, can help aid in essential work that can't be done by humans.")</f>
        <v>In this talk, join Boston Dynamics' founder Marc Raibert as he explores how their newest addition Spot, can help aid in essential work that can't be done by humans.</v>
      </c>
      <c r="T919" s="4" t="str">
        <f>IFERROR(__xludf.DUMMYFUNCTION("""COMPUTED_VALUE"""),"KEYNOTE 3 - Slides to be submitted")</f>
        <v>KEYNOTE 3 - Slides to be submitted</v>
      </c>
      <c r="U919" s="23">
        <f>IFERROR(__xludf.DUMMYFUNCTION("""COMPUTED_VALUE"""),43991.0)</f>
        <v>43991</v>
      </c>
      <c r="V919" s="4" t="str">
        <f>IFERROR(__xludf.DUMMYFUNCTION("""COMPUTED_VALUE"""),"")</f>
        <v/>
      </c>
      <c r="W919" s="4" t="str">
        <f>IFERROR(__xludf.DUMMYFUNCTION("""COMPUTED_VALUE"""),"")</f>
        <v/>
      </c>
      <c r="X919" s="4" t="str">
        <f>IFERROR(__xludf.DUMMYFUNCTION("""COMPUTED_VALUE"""),"")</f>
        <v/>
      </c>
      <c r="Y919" s="4" t="str">
        <f>IFERROR(__xludf.DUMMYFUNCTION("""COMPUTED_VALUE"""),"")</f>
        <v/>
      </c>
    </row>
    <row r="920">
      <c r="A920" s="4" t="str">
        <f>IFERROR(__xludf.DUMMYFUNCTION("""COMPUTED_VALUE"""),"1680 - Channel")</f>
        <v>1680 - Channel</v>
      </c>
      <c r="B920" s="4" t="str">
        <f>IFERROR(__xludf.DUMMYFUNCTION("""COMPUTED_VALUE"""),"Channel 3")</f>
        <v>Channel 3</v>
      </c>
      <c r="C920" s="4" t="str">
        <f>IFERROR(__xludf.DUMMYFUNCTION("""COMPUTED_VALUE"""),"Day 3 - 25/06")</f>
        <v>Day 3 - 25/06</v>
      </c>
      <c r="D920" s="6">
        <f>IFERROR(__xludf.DUMMYFUNCTION("""COMPUTED_VALUE"""),0.48233796296296305)</f>
        <v>0.482337963</v>
      </c>
      <c r="E920" s="6">
        <f>IFERROR(__xludf.DUMMYFUNCTION("""COMPUTED_VALUE"""),0.0010416666666666667)</f>
        <v>0.001041666667</v>
      </c>
      <c r="F920" s="6">
        <f>IFERROR(__xludf.DUMMYFUNCTION("""COMPUTED_VALUE"""),0.4833796296296297)</f>
        <v>0.4833796296</v>
      </c>
      <c r="G920" s="4" t="str">
        <f>IFERROR(__xludf.DUMMYFUNCTION("""COMPUTED_VALUE"""),"Graphics")</f>
        <v>Graphics</v>
      </c>
      <c r="H920" s="4" t="str">
        <f>IFERROR(__xludf.DUMMYFUNCTION("""COMPUTED_VALUE"""),"")</f>
        <v/>
      </c>
      <c r="I920" s="4" t="str">
        <f>IFERROR(__xludf.DUMMYFUNCTION("""COMPUTED_VALUE"""),"")</f>
        <v/>
      </c>
      <c r="J920" s="4" t="str">
        <f>IFERROR(__xludf.DUMMYFUNCTION("""COMPUTED_VALUE"""),"")</f>
        <v/>
      </c>
      <c r="K920" s="4" t="str">
        <f>IFERROR(__xludf.DUMMYFUNCTION("""COMPUTED_VALUE"""),"Collision From Home Day Intro")</f>
        <v>Collision From Home Day Intro</v>
      </c>
      <c r="L920" s="4" t="str">
        <f>IFERROR(__xludf.DUMMYFUNCTION("""COMPUTED_VALUE"""),"")</f>
        <v/>
      </c>
      <c r="M920" s="4" t="str">
        <f>IFERROR(__xludf.DUMMYFUNCTION("""COMPUTED_VALUE"""),"Collision From Home Day Intro")</f>
        <v>Collision From Home Day Intro</v>
      </c>
      <c r="N920" s="4" t="str">
        <f>IFERROR(__xludf.DUMMYFUNCTION("""COMPUTED_VALUE"""),"")</f>
        <v/>
      </c>
      <c r="O920" s="4" t="str">
        <f>IFERROR(__xludf.DUMMYFUNCTION("""COMPUTED_VALUE"""),"")</f>
        <v/>
      </c>
      <c r="P920" s="4" t="str">
        <f>IFERROR(__xludf.DUMMYFUNCTION("""COMPUTED_VALUE"""),"")</f>
        <v/>
      </c>
      <c r="Q920" s="4" t="str">
        <f>IFERROR(__xludf.DUMMYFUNCTION("""COMPUTED_VALUE"""),"")</f>
        <v/>
      </c>
      <c r="R920" s="4" t="str">
        <f>IFERROR(__xludf.DUMMYFUNCTION("""COMPUTED_VALUE"""),"")</f>
        <v/>
      </c>
      <c r="S920" s="4" t="str">
        <f>IFERROR(__xludf.DUMMYFUNCTION("""COMPUTED_VALUE"""),"")</f>
        <v/>
      </c>
      <c r="T920" s="4" t="str">
        <f>IFERROR(__xludf.DUMMYFUNCTION("""COMPUTED_VALUE"""),"")</f>
        <v/>
      </c>
      <c r="U920" s="4" t="str">
        <f>IFERROR(__xludf.DUMMYFUNCTION("""COMPUTED_VALUE"""),"")</f>
        <v/>
      </c>
      <c r="V920" s="4" t="str">
        <f>IFERROR(__xludf.DUMMYFUNCTION("""COMPUTED_VALUE"""),"")</f>
        <v/>
      </c>
      <c r="W920" s="4" t="str">
        <f>IFERROR(__xludf.DUMMYFUNCTION("""COMPUTED_VALUE"""),"")</f>
        <v/>
      </c>
      <c r="X920" s="4" t="str">
        <f>IFERROR(__xludf.DUMMYFUNCTION("""COMPUTED_VALUE"""),"")</f>
        <v/>
      </c>
      <c r="Y920" s="4" t="str">
        <f>IFERROR(__xludf.DUMMYFUNCTION("""COMPUTED_VALUE"""),"")</f>
        <v/>
      </c>
    </row>
    <row r="921">
      <c r="A921" s="4" t="str">
        <f>IFERROR(__xludf.DUMMYFUNCTION("""COMPUTED_VALUE"""),"1029 - Channel")</f>
        <v>1029 - Channel</v>
      </c>
      <c r="B921" s="4" t="str">
        <f>IFERROR(__xludf.DUMMYFUNCTION("""COMPUTED_VALUE"""),"Channel 3")</f>
        <v>Channel 3</v>
      </c>
      <c r="C921" s="4" t="str">
        <f>IFERROR(__xludf.DUMMYFUNCTION("""COMPUTED_VALUE"""),"Day 3 - 25/06")</f>
        <v>Day 3 - 25/06</v>
      </c>
      <c r="D921" s="6">
        <f>IFERROR(__xludf.DUMMYFUNCTION("""COMPUTED_VALUE"""),0.4833796296296297)</f>
        <v>0.4833796296</v>
      </c>
      <c r="E921" s="6">
        <f>IFERROR(__xludf.DUMMYFUNCTION("""COMPUTED_VALUE"""),2.314814814814815E-4)</f>
        <v>0.0002314814815</v>
      </c>
      <c r="F921" s="6">
        <f>IFERROR(__xludf.DUMMYFUNCTION("""COMPUTED_VALUE"""),0.4836111111111112)</f>
        <v>0.4836111111</v>
      </c>
      <c r="G921" s="4" t="str">
        <f>IFERROR(__xludf.DUMMYFUNCTION("""COMPUTED_VALUE"""),"Graphics")</f>
        <v>Graphics</v>
      </c>
      <c r="H921" s="4" t="str">
        <f>IFERROR(__xludf.DUMMYFUNCTION("""COMPUTED_VALUE"""),"N/A")</f>
        <v>N/A</v>
      </c>
      <c r="I921" s="4" t="str">
        <f>IFERROR(__xludf.DUMMYFUNCTION("""COMPUTED_VALUE"""),"N/A")</f>
        <v>N/A</v>
      </c>
      <c r="J921" s="4" t="str">
        <f>IFERROR(__xludf.DUMMYFUNCTION("""COMPUTED_VALUE"""),"Robotics")</f>
        <v>Robotics</v>
      </c>
      <c r="K921" s="4" t="str">
        <f>IFERROR(__xludf.DUMMYFUNCTION("""COMPUTED_VALUE"""),"Talk Intro")</f>
        <v>Talk Intro</v>
      </c>
      <c r="L921" s="4" t="str">
        <f>IFERROR(__xludf.DUMMYFUNCTION("""COMPUTED_VALUE"""),"")</f>
        <v/>
      </c>
      <c r="M921" s="4" t="str">
        <f>IFERROR(__xludf.DUMMYFUNCTION("""COMPUTED_VALUE"""),"Talk Intro")</f>
        <v>Talk Intro</v>
      </c>
      <c r="N921" s="4" t="str">
        <f>IFERROR(__xludf.DUMMYFUNCTION("""COMPUTED_VALUE"""),"")</f>
        <v/>
      </c>
      <c r="O921" s="4" t="str">
        <f>IFERROR(__xludf.DUMMYFUNCTION("""COMPUTED_VALUE"""),"")</f>
        <v/>
      </c>
      <c r="P921" s="4" t="str">
        <f>IFERROR(__xludf.DUMMYFUNCTION("""COMPUTED_VALUE"""),"")</f>
        <v/>
      </c>
      <c r="Q921" s="4" t="str">
        <f>IFERROR(__xludf.DUMMYFUNCTION("""COMPUTED_VALUE"""),"")</f>
        <v/>
      </c>
      <c r="R921" s="4" t="str">
        <f>IFERROR(__xludf.DUMMYFUNCTION("""COMPUTED_VALUE"""),"")</f>
        <v/>
      </c>
      <c r="S921" s="4" t="str">
        <f>IFERROR(__xludf.DUMMYFUNCTION("""COMPUTED_VALUE"""),"")</f>
        <v/>
      </c>
      <c r="T921" s="4" t="str">
        <f>IFERROR(__xludf.DUMMYFUNCTION("""COMPUTED_VALUE"""),"")</f>
        <v/>
      </c>
      <c r="U921" s="4" t="str">
        <f>IFERROR(__xludf.DUMMYFUNCTION("""COMPUTED_VALUE"""),"")</f>
        <v/>
      </c>
      <c r="V921" s="4" t="str">
        <f>IFERROR(__xludf.DUMMYFUNCTION("""COMPUTED_VALUE"""),"")</f>
        <v/>
      </c>
      <c r="W921" s="4" t="str">
        <f>IFERROR(__xludf.DUMMYFUNCTION("""COMPUTED_VALUE"""),"")</f>
        <v/>
      </c>
      <c r="X921" s="4" t="str">
        <f>IFERROR(__xludf.DUMMYFUNCTION("""COMPUTED_VALUE"""),"")</f>
        <v/>
      </c>
      <c r="Y921" s="4" t="str">
        <f>IFERROR(__xludf.DUMMYFUNCTION("""COMPUTED_VALUE"""),"")</f>
        <v/>
      </c>
    </row>
    <row r="922">
      <c r="A922" s="4" t="str">
        <f>IFERROR(__xludf.DUMMYFUNCTION("""COMPUTED_VALUE"""),"1030 - Channel")</f>
        <v>1030 - Channel</v>
      </c>
      <c r="B922" s="4" t="str">
        <f>IFERROR(__xludf.DUMMYFUNCTION("""COMPUTED_VALUE"""),"Channel 3")</f>
        <v>Channel 3</v>
      </c>
      <c r="C922" s="4" t="str">
        <f>IFERROR(__xludf.DUMMYFUNCTION("""COMPUTED_VALUE"""),"Day 3 - 25/06")</f>
        <v>Day 3 - 25/06</v>
      </c>
      <c r="D922" s="6">
        <f>IFERROR(__xludf.DUMMYFUNCTION("""COMPUTED_VALUE"""),0.4836111111111112)</f>
        <v>0.4836111111</v>
      </c>
      <c r="E922" s="6">
        <f>IFERROR(__xludf.DUMMYFUNCTION("""COMPUTED_VALUE"""),0.009085648148148148)</f>
        <v>0.009085648148</v>
      </c>
      <c r="F922" s="6">
        <f>IFERROR(__xludf.DUMMYFUNCTION("""COMPUTED_VALUE"""),0.4926967592592594)</f>
        <v>0.4926967593</v>
      </c>
      <c r="G922" s="4" t="str">
        <f>IFERROR(__xludf.DUMMYFUNCTION("""COMPUTED_VALUE"""),"Darragh")</f>
        <v>Darragh</v>
      </c>
      <c r="H922" s="4" t="str">
        <f>IFERROR(__xludf.DUMMYFUNCTION("""COMPUTED_VALUE"""),"Eoghan")</f>
        <v>Eoghan</v>
      </c>
      <c r="I922" s="4" t="str">
        <f>IFERROR(__xludf.DUMMYFUNCTION("""COMPUTED_VALUE"""),"Lynn")</f>
        <v>Lynn</v>
      </c>
      <c r="J922" s="4" t="str">
        <f>IFERROR(__xludf.DUMMYFUNCTION("""COMPUTED_VALUE"""),"Robotics")</f>
        <v>Robotics</v>
      </c>
      <c r="K922" s="4" t="str">
        <f>IFERROR(__xludf.DUMMYFUNCTION("""COMPUTED_VALUE"""),"Fireside")</f>
        <v>Fireside</v>
      </c>
      <c r="L922" s="4" t="str">
        <f>IFERROR(__xludf.DUMMYFUNCTION("""COMPUTED_VALUE"""),"T- 5 - 18/05/2020")</f>
        <v>T- 5 - 18/05/2020</v>
      </c>
      <c r="M922" s="4" t="str">
        <f>IFERROR(__xludf.DUMMYFUNCTION("""COMPUTED_VALUE"""),"Developing robotics from your room")</f>
        <v>Developing robotics from your room</v>
      </c>
      <c r="N922" s="4" t="str">
        <f>IFERROR(__xludf.DUMMYFUNCTION("""COMPUTED_VALUE"""),"Ian Bernstein, Misty Robotics")</f>
        <v>Ian Bernstein, Misty Robotics</v>
      </c>
      <c r="O922" s="4" t="str">
        <f>IFERROR(__xludf.DUMMYFUNCTION("""COMPUTED_VALUE"""),"")</f>
        <v/>
      </c>
      <c r="P922" s="4" t="str">
        <f>IFERROR(__xludf.DUMMYFUNCTION("""COMPUTED_VALUE"""),"")</f>
        <v/>
      </c>
      <c r="Q922" s="4" t="str">
        <f>IFERROR(__xludf.DUMMYFUNCTION("""COMPUTED_VALUE"""),"")</f>
        <v/>
      </c>
      <c r="R922" s="4" t="str">
        <f>IFERROR(__xludf.DUMMYFUNCTION("""COMPUTED_VALUE"""),"Parmy Olson, The Wall Street Journal")</f>
        <v>Parmy Olson, The Wall Street Journal</v>
      </c>
      <c r="S922" s="4" t="str">
        <f>IFERROR(__xludf.DUMMYFUNCTION("""COMPUTED_VALUE"""),"How can budding roboticists continue to develop throughout an epidemic? In this fireside chat, we'll be exploring how it's possible to turn your living room into a robotics lab.")</f>
        <v>How can budding roboticists continue to develop throughout an epidemic? In this fireside chat, we'll be exploring how it's possible to turn your living room into a robotics lab.</v>
      </c>
      <c r="T922" s="4" t="str">
        <f>IFERROR(__xludf.DUMMYFUNCTION("""COMPUTED_VALUE"""),"NON-KEYNOTE 9 - COMPLETE")</f>
        <v>NON-KEYNOTE 9 - COMPLETE</v>
      </c>
      <c r="U922" s="23">
        <f>IFERROR(__xludf.DUMMYFUNCTION("""COMPUTED_VALUE"""),43970.0)</f>
        <v>43970</v>
      </c>
      <c r="V922" s="44">
        <f>IFERROR(__xludf.DUMMYFUNCTION("""COMPUTED_VALUE"""),0.7083333333333334)</f>
        <v>0.7083333333</v>
      </c>
      <c r="W922" s="4" t="str">
        <f>IFERROR(__xludf.DUMMYFUNCTION("""COMPUTED_VALUE"""),"COMPLETE")</f>
        <v>COMPLETE</v>
      </c>
      <c r="X922" s="4" t="str">
        <f>IFERROR(__xludf.DUMMYFUNCTION("""COMPUTED_VALUE"""),"Darragh")</f>
        <v>Darragh</v>
      </c>
      <c r="Y922" s="4" t="str">
        <f>IFERROR(__xludf.DUMMYFUNCTION("""COMPUTED_VALUE"""),"")</f>
        <v/>
      </c>
    </row>
    <row r="923">
      <c r="A923" s="4" t="str">
        <f>IFERROR(__xludf.DUMMYFUNCTION("""COMPUTED_VALUE"""),"1033 - Channel")</f>
        <v>1033 - Channel</v>
      </c>
      <c r="B923" s="4" t="str">
        <f>IFERROR(__xludf.DUMMYFUNCTION("""COMPUTED_VALUE"""),"Channel 3")</f>
        <v>Channel 3</v>
      </c>
      <c r="C923" s="4" t="str">
        <f>IFERROR(__xludf.DUMMYFUNCTION("""COMPUTED_VALUE"""),"Day 3 - 25/06")</f>
        <v>Day 3 - 25/06</v>
      </c>
      <c r="D923" s="6">
        <f>IFERROR(__xludf.DUMMYFUNCTION("""COMPUTED_VALUE"""),0.4926967592592594)</f>
        <v>0.4926967593</v>
      </c>
      <c r="E923" s="6">
        <f>IFERROR(__xludf.DUMMYFUNCTION("""COMPUTED_VALUE"""),2.314814814814815E-4)</f>
        <v>0.0002314814815</v>
      </c>
      <c r="F923" s="6">
        <f>IFERROR(__xludf.DUMMYFUNCTION("""COMPUTED_VALUE"""),0.4929282407407409)</f>
        <v>0.4929282407</v>
      </c>
      <c r="G923" s="4" t="str">
        <f>IFERROR(__xludf.DUMMYFUNCTION("""COMPUTED_VALUE"""),"Graphics")</f>
        <v>Graphics</v>
      </c>
      <c r="H923" s="4" t="str">
        <f>IFERROR(__xludf.DUMMYFUNCTION("""COMPUTED_VALUE"""),"N/A")</f>
        <v>N/A</v>
      </c>
      <c r="I923" s="4" t="str">
        <f>IFERROR(__xludf.DUMMYFUNCTION("""COMPUTED_VALUE"""),"N/A")</f>
        <v>N/A</v>
      </c>
      <c r="J923" s="4" t="str">
        <f>IFERROR(__xludf.DUMMYFUNCTION("""COMPUTED_VALUE"""),"Robotics")</f>
        <v>Robotics</v>
      </c>
      <c r="K923" s="4" t="str">
        <f>IFERROR(__xludf.DUMMYFUNCTION("""COMPUTED_VALUE"""),"Talk Intro")</f>
        <v>Talk Intro</v>
      </c>
      <c r="L923" s="4" t="str">
        <f>IFERROR(__xludf.DUMMYFUNCTION("""COMPUTED_VALUE"""),"")</f>
        <v/>
      </c>
      <c r="M923" s="4" t="str">
        <f>IFERROR(__xludf.DUMMYFUNCTION("""COMPUTED_VALUE"""),"Talk Intro")</f>
        <v>Talk Intro</v>
      </c>
      <c r="N923" s="4" t="str">
        <f>IFERROR(__xludf.DUMMYFUNCTION("""COMPUTED_VALUE"""),"")</f>
        <v/>
      </c>
      <c r="O923" s="4" t="str">
        <f>IFERROR(__xludf.DUMMYFUNCTION("""COMPUTED_VALUE"""),"")</f>
        <v/>
      </c>
      <c r="P923" s="4" t="str">
        <f>IFERROR(__xludf.DUMMYFUNCTION("""COMPUTED_VALUE"""),"")</f>
        <v/>
      </c>
      <c r="Q923" s="4" t="str">
        <f>IFERROR(__xludf.DUMMYFUNCTION("""COMPUTED_VALUE"""),"")</f>
        <v/>
      </c>
      <c r="R923" s="4" t="str">
        <f>IFERROR(__xludf.DUMMYFUNCTION("""COMPUTED_VALUE"""),"")</f>
        <v/>
      </c>
      <c r="S923" s="4" t="str">
        <f>IFERROR(__xludf.DUMMYFUNCTION("""COMPUTED_VALUE"""),"")</f>
        <v/>
      </c>
      <c r="T923" s="4" t="str">
        <f>IFERROR(__xludf.DUMMYFUNCTION("""COMPUTED_VALUE"""),"")</f>
        <v/>
      </c>
      <c r="U923" s="4" t="str">
        <f>IFERROR(__xludf.DUMMYFUNCTION("""COMPUTED_VALUE"""),"")</f>
        <v/>
      </c>
      <c r="V923" s="4" t="str">
        <f>IFERROR(__xludf.DUMMYFUNCTION("""COMPUTED_VALUE"""),"")</f>
        <v/>
      </c>
      <c r="W923" s="4" t="str">
        <f>IFERROR(__xludf.DUMMYFUNCTION("""COMPUTED_VALUE"""),"")</f>
        <v/>
      </c>
      <c r="X923" s="4" t="str">
        <f>IFERROR(__xludf.DUMMYFUNCTION("""COMPUTED_VALUE"""),"")</f>
        <v/>
      </c>
      <c r="Y923" s="4" t="str">
        <f>IFERROR(__xludf.DUMMYFUNCTION("""COMPUTED_VALUE"""),"")</f>
        <v/>
      </c>
    </row>
    <row r="924">
      <c r="A924" s="4" t="str">
        <f>IFERROR(__xludf.DUMMYFUNCTION("""COMPUTED_VALUE"""),"1034 - Channel")</f>
        <v>1034 - Channel</v>
      </c>
      <c r="B924" s="4" t="str">
        <f>IFERROR(__xludf.DUMMYFUNCTION("""COMPUTED_VALUE"""),"Channel 3")</f>
        <v>Channel 3</v>
      </c>
      <c r="C924" s="4" t="str">
        <f>IFERROR(__xludf.DUMMYFUNCTION("""COMPUTED_VALUE"""),"Day 3 - 25/06")</f>
        <v>Day 3 - 25/06</v>
      </c>
      <c r="D924" s="6">
        <f>IFERROR(__xludf.DUMMYFUNCTION("""COMPUTED_VALUE"""),0.4929282407407409)</f>
        <v>0.4929282407</v>
      </c>
      <c r="E924" s="6">
        <f>IFERROR(__xludf.DUMMYFUNCTION("""COMPUTED_VALUE"""),0.006597222222222222)</f>
        <v>0.006597222222</v>
      </c>
      <c r="F924" s="6">
        <f>IFERROR(__xludf.DUMMYFUNCTION("""COMPUTED_VALUE"""),0.4995254629629631)</f>
        <v>0.499525463</v>
      </c>
      <c r="G924" s="4" t="str">
        <f>IFERROR(__xludf.DUMMYFUNCTION("""COMPUTED_VALUE"""),"Carol")</f>
        <v>Carol</v>
      </c>
      <c r="H924" s="4" t="str">
        <f>IFERROR(__xludf.DUMMYFUNCTION("""COMPUTED_VALUE"""),"N/A")</f>
        <v>N/A</v>
      </c>
      <c r="I924" s="4" t="str">
        <f>IFERROR(__xludf.DUMMYFUNCTION("""COMPUTED_VALUE"""),"Jack")</f>
        <v>Jack</v>
      </c>
      <c r="J924" s="4" t="str">
        <f>IFERROR(__xludf.DUMMYFUNCTION("""COMPUTED_VALUE"""),"Robotics")</f>
        <v>Robotics</v>
      </c>
      <c r="K924" s="4" t="str">
        <f>IFERROR(__xludf.DUMMYFUNCTION("""COMPUTED_VALUE"""),"Keynote")</f>
        <v>Keynote</v>
      </c>
      <c r="L924" s="4" t="str">
        <f>IFERROR(__xludf.DUMMYFUNCTION("""COMPUTED_VALUE"""),"T- 6 - 11/05/2020")</f>
        <v>T- 6 - 11/05/2020</v>
      </c>
      <c r="M924" s="4" t="str">
        <f>IFERROR(__xludf.DUMMYFUNCTION("""COMPUTED_VALUE"""),"Safeguard a healthier future with AI and robots")</f>
        <v>Safeguard a healthier future with AI and robots</v>
      </c>
      <c r="N924" s="4" t="str">
        <f>IFERROR(__xludf.DUMMYFUNCTION("""COMPUTED_VALUE"""),"Michael Tam, UBTECH")</f>
        <v>Michael Tam, UBTECH</v>
      </c>
      <c r="O924" s="4" t="str">
        <f>IFERROR(__xludf.DUMMYFUNCTION("""COMPUTED_VALUE"""),"")</f>
        <v/>
      </c>
      <c r="P924" s="4" t="str">
        <f>IFERROR(__xludf.DUMMYFUNCTION("""COMPUTED_VALUE"""),"")</f>
        <v/>
      </c>
      <c r="Q924" s="4" t="str">
        <f>IFERROR(__xludf.DUMMYFUNCTION("""COMPUTED_VALUE"""),"")</f>
        <v/>
      </c>
      <c r="R924" s="4" t="str">
        <f>IFERROR(__xludf.DUMMYFUNCTION("""COMPUTED_VALUE"""),"")</f>
        <v/>
      </c>
      <c r="S924" s="4" t="str">
        <f>IFERROR(__xludf.DUMMYFUNCTION("""COMPUTED_VALUE"""),"The current pandemic is accelerating the integration timeline for AI and robots in our everyday lives. Michael Tam, chief brand officer of UBTECH, says the virus has pushed people to consider more opportunities for using robots to keep our lives healthier"&amp;" and safer.")</f>
        <v>The current pandemic is accelerating the integration timeline for AI and robots in our everyday lives. Michael Tam, chief brand officer of UBTECH, says the virus has pushed people to consider more opportunities for using robots to keep our lives healthier and safer.</v>
      </c>
      <c r="T924" s="4" t="str">
        <f>IFERROR(__xludf.DUMMYFUNCTION("""COMPUTED_VALUE"""),"KEYNOTE 8 - COMPLETE")</f>
        <v>KEYNOTE 8 - COMPLETE</v>
      </c>
      <c r="U924" s="23">
        <f>IFERROR(__xludf.DUMMYFUNCTION("""COMPUTED_VALUE"""),43966.0)</f>
        <v>43966</v>
      </c>
      <c r="V924" s="4" t="str">
        <f>IFERROR(__xludf.DUMMYFUNCTION("""COMPUTED_VALUE"""),"")</f>
        <v/>
      </c>
      <c r="W924" s="4" t="str">
        <f>IFERROR(__xludf.DUMMYFUNCTION("""COMPUTED_VALUE"""),"COMPLETE")</f>
        <v>COMPLETE</v>
      </c>
      <c r="X924" s="4" t="str">
        <f>IFERROR(__xludf.DUMMYFUNCTION("""COMPUTED_VALUE"""),"Carol")</f>
        <v>Carol</v>
      </c>
      <c r="Y924" s="4" t="str">
        <f>IFERROR(__xludf.DUMMYFUNCTION("""COMPUTED_VALUE"""),"4651822295419109573")</f>
        <v>4651822295419109573</v>
      </c>
    </row>
    <row r="925">
      <c r="A925" s="4" t="str">
        <f>IFERROR(__xludf.DUMMYFUNCTION("""COMPUTED_VALUE"""),"1020 - Channel")</f>
        <v>1020 - Channel</v>
      </c>
      <c r="B925" s="4" t="str">
        <f>IFERROR(__xludf.DUMMYFUNCTION("""COMPUTED_VALUE"""),"Channel 3")</f>
        <v>Channel 3</v>
      </c>
      <c r="C925" s="4" t="str">
        <f>IFERROR(__xludf.DUMMYFUNCTION("""COMPUTED_VALUE"""),"Day 3 - 25/06")</f>
        <v>Day 3 - 25/06</v>
      </c>
      <c r="D925" s="6">
        <f>IFERROR(__xludf.DUMMYFUNCTION("""COMPUTED_VALUE"""),0.4995254629629631)</f>
        <v>0.499525463</v>
      </c>
      <c r="E925" s="6">
        <f>IFERROR(__xludf.DUMMYFUNCTION("""COMPUTED_VALUE"""),2.777777777777778E-4)</f>
        <v>0.0002777777778</v>
      </c>
      <c r="F925" s="6">
        <f>IFERROR(__xludf.DUMMYFUNCTION("""COMPUTED_VALUE"""),0.49980324074074084)</f>
        <v>0.4998032407</v>
      </c>
      <c r="G925" s="4" t="str">
        <f>IFERROR(__xludf.DUMMYFUNCTION("""COMPUTED_VALUE"""),"Startups")</f>
        <v>Startups</v>
      </c>
      <c r="H925" s="4" t="str">
        <f>IFERROR(__xludf.DUMMYFUNCTION("""COMPUTED_VALUE"""),"N/A")</f>
        <v>N/A</v>
      </c>
      <c r="I925" s="4" t="str">
        <f>IFERROR(__xludf.DUMMYFUNCTION("""COMPUTED_VALUE"""),"N/A")</f>
        <v>N/A</v>
      </c>
      <c r="J925" s="4" t="str">
        <f>IFERROR(__xludf.DUMMYFUNCTION("""COMPUTED_VALUE"""),"Robotics")</f>
        <v>Robotics</v>
      </c>
      <c r="K925" s="4" t="str">
        <f>IFERROR(__xludf.DUMMYFUNCTION("""COMPUTED_VALUE"""),"40 Words")</f>
        <v>40 Words</v>
      </c>
      <c r="L925" s="4" t="str">
        <f>IFERROR(__xludf.DUMMYFUNCTION("""COMPUTED_VALUE"""),"")</f>
        <v/>
      </c>
      <c r="M925" s="4" t="str">
        <f>IFERROR(__xludf.DUMMYFUNCTION("""COMPUTED_VALUE"""),"40 Words #12_Demodesk")</f>
        <v>40 Words #12_Demodesk</v>
      </c>
      <c r="N925" s="4" t="str">
        <f>IFERROR(__xludf.DUMMYFUNCTION("""COMPUTED_VALUE"""),"")</f>
        <v/>
      </c>
      <c r="O925" s="4" t="str">
        <f>IFERROR(__xludf.DUMMYFUNCTION("""COMPUTED_VALUE"""),"")</f>
        <v/>
      </c>
      <c r="P925" s="4" t="str">
        <f>IFERROR(__xludf.DUMMYFUNCTION("""COMPUTED_VALUE"""),"")</f>
        <v/>
      </c>
      <c r="Q925" s="4" t="str">
        <f>IFERROR(__xludf.DUMMYFUNCTION("""COMPUTED_VALUE"""),"")</f>
        <v/>
      </c>
      <c r="R925" s="4" t="str">
        <f>IFERROR(__xludf.DUMMYFUNCTION("""COMPUTED_VALUE"""),"")</f>
        <v/>
      </c>
      <c r="S925" s="4" t="str">
        <f>IFERROR(__xludf.DUMMYFUNCTION("""COMPUTED_VALUE"""),"")</f>
        <v/>
      </c>
      <c r="T925" s="4" t="str">
        <f>IFERROR(__xludf.DUMMYFUNCTION("""COMPUTED_VALUE"""),"")</f>
        <v/>
      </c>
      <c r="U925" s="4" t="str">
        <f>IFERROR(__xludf.DUMMYFUNCTION("""COMPUTED_VALUE"""),"")</f>
        <v/>
      </c>
      <c r="V925" s="4" t="str">
        <f>IFERROR(__xludf.DUMMYFUNCTION("""COMPUTED_VALUE"""),"")</f>
        <v/>
      </c>
      <c r="W925" s="4" t="str">
        <f>IFERROR(__xludf.DUMMYFUNCTION("""COMPUTED_VALUE"""),"")</f>
        <v/>
      </c>
      <c r="X925" s="4" t="str">
        <f>IFERROR(__xludf.DUMMYFUNCTION("""COMPUTED_VALUE"""),"")</f>
        <v/>
      </c>
      <c r="Y925" s="4" t="str">
        <f>IFERROR(__xludf.DUMMYFUNCTION("""COMPUTED_VALUE"""),"")</f>
        <v/>
      </c>
    </row>
    <row r="926">
      <c r="A926" s="4" t="str">
        <f>IFERROR(__xludf.DUMMYFUNCTION("""COMPUTED_VALUE"""),"1354 - Channel")</f>
        <v>1354 - Channel</v>
      </c>
      <c r="B926" s="4" t="str">
        <f>IFERROR(__xludf.DUMMYFUNCTION("""COMPUTED_VALUE"""),"Channel 3")</f>
        <v>Channel 3</v>
      </c>
      <c r="C926" s="4" t="str">
        <f>IFERROR(__xludf.DUMMYFUNCTION("""COMPUTED_VALUE"""),"Day 3 - 25/06")</f>
        <v>Day 3 - 25/06</v>
      </c>
      <c r="D926" s="4" t="str">
        <f>IFERROR(__xludf.DUMMYFUNCTION("""COMPUTED_VALUE"""),"")</f>
        <v/>
      </c>
      <c r="E926" s="4" t="str">
        <f>IFERROR(__xludf.DUMMYFUNCTION("""COMPUTED_VALUE"""),"")</f>
        <v/>
      </c>
      <c r="F926" s="4" t="str">
        <f>IFERROR(__xludf.DUMMYFUNCTION("""COMPUTED_VALUE"""),"")</f>
        <v/>
      </c>
      <c r="G926" s="4" t="str">
        <f>IFERROR(__xludf.DUMMYFUNCTION("""COMPUTED_VALUE"""),"")</f>
        <v/>
      </c>
      <c r="H926" s="4" t="str">
        <f>IFERROR(__xludf.DUMMYFUNCTION("""COMPUTED_VALUE"""),"")</f>
        <v/>
      </c>
      <c r="I926" s="4" t="str">
        <f>IFERROR(__xludf.DUMMYFUNCTION("""COMPUTED_VALUE"""),"")</f>
        <v/>
      </c>
      <c r="J926" s="4" t="str">
        <f>IFERROR(__xludf.DUMMYFUNCTION("""COMPUTED_VALUE"""),"")</f>
        <v/>
      </c>
      <c r="K926" s="4" t="str">
        <f>IFERROR(__xludf.DUMMYFUNCTION("""COMPUTED_VALUE"""),"")</f>
        <v/>
      </c>
      <c r="L926" s="4" t="str">
        <f>IFERROR(__xludf.DUMMYFUNCTION("""COMPUTED_VALUE"""),"")</f>
        <v/>
      </c>
      <c r="M926" s="4" t="str">
        <f>IFERROR(__xludf.DUMMYFUNCTION("""COMPUTED_VALUE"""),"")</f>
        <v/>
      </c>
      <c r="N926" s="4" t="str">
        <f>IFERROR(__xludf.DUMMYFUNCTION("""COMPUTED_VALUE"""),"")</f>
        <v/>
      </c>
      <c r="O926" s="4" t="str">
        <f>IFERROR(__xludf.DUMMYFUNCTION("""COMPUTED_VALUE"""),"")</f>
        <v/>
      </c>
      <c r="P926" s="4" t="str">
        <f>IFERROR(__xludf.DUMMYFUNCTION("""COMPUTED_VALUE"""),"")</f>
        <v/>
      </c>
      <c r="Q926" s="4" t="str">
        <f>IFERROR(__xludf.DUMMYFUNCTION("""COMPUTED_VALUE"""),"")</f>
        <v/>
      </c>
      <c r="R926" s="4" t="str">
        <f>IFERROR(__xludf.DUMMYFUNCTION("""COMPUTED_VALUE"""),"")</f>
        <v/>
      </c>
      <c r="S926" s="4" t="str">
        <f>IFERROR(__xludf.DUMMYFUNCTION("""COMPUTED_VALUE"""),"")</f>
        <v/>
      </c>
      <c r="T926" s="4" t="str">
        <f>IFERROR(__xludf.DUMMYFUNCTION("""COMPUTED_VALUE"""),"")</f>
        <v/>
      </c>
      <c r="U926" s="4" t="str">
        <f>IFERROR(__xludf.DUMMYFUNCTION("""COMPUTED_VALUE"""),"")</f>
        <v/>
      </c>
      <c r="V926" s="4" t="str">
        <f>IFERROR(__xludf.DUMMYFUNCTION("""COMPUTED_VALUE"""),"")</f>
        <v/>
      </c>
      <c r="W926" s="4" t="str">
        <f>IFERROR(__xludf.DUMMYFUNCTION("""COMPUTED_VALUE"""),"")</f>
        <v/>
      </c>
      <c r="X926" s="4" t="str">
        <f>IFERROR(__xludf.DUMMYFUNCTION("""COMPUTED_VALUE"""),"")</f>
        <v/>
      </c>
      <c r="Y926" s="4" t="str">
        <f>IFERROR(__xludf.DUMMYFUNCTION("""COMPUTED_VALUE"""),"")</f>
        <v/>
      </c>
    </row>
    <row r="927">
      <c r="A927" s="4" t="str">
        <f>IFERROR(__xludf.DUMMYFUNCTION("""COMPUTED_VALUE"""),"1670 - Channel")</f>
        <v>1670 - Channel</v>
      </c>
      <c r="B927" s="4" t="str">
        <f>IFERROR(__xludf.DUMMYFUNCTION("""COMPUTED_VALUE"""),"Channel 3")</f>
        <v>Channel 3</v>
      </c>
      <c r="C927" s="4" t="str">
        <f>IFERROR(__xludf.DUMMYFUNCTION("""COMPUTED_VALUE"""),"Day 3 - 25/06")</f>
        <v>Day 3 - 25/06</v>
      </c>
      <c r="D927" s="6">
        <f>IFERROR(__xludf.DUMMYFUNCTION("""COMPUTED_VALUE"""),0.5)</f>
        <v>0.5</v>
      </c>
      <c r="E927" s="6">
        <f>IFERROR(__xludf.DUMMYFUNCTION("""COMPUTED_VALUE"""),1.7361111111111112E-4)</f>
        <v>0.0001736111111</v>
      </c>
      <c r="F927" s="6">
        <f>IFERROR(__xludf.DUMMYFUNCTION("""COMPUTED_VALUE"""),0.5001736111111111)</f>
        <v>0.5001736111</v>
      </c>
      <c r="G927" s="4" t="str">
        <f>IFERROR(__xludf.DUMMYFUNCTION("""COMPUTED_VALUE"""),"P&amp;E")</f>
        <v>P&amp;E</v>
      </c>
      <c r="H927" s="4" t="str">
        <f>IFERROR(__xludf.DUMMYFUNCTION("""COMPUTED_VALUE"""),"")</f>
        <v/>
      </c>
      <c r="I927" s="4" t="str">
        <f>IFERROR(__xludf.DUMMYFUNCTION("""COMPUTED_VALUE"""),"")</f>
        <v/>
      </c>
      <c r="J927" s="4" t="str">
        <f>IFERROR(__xludf.DUMMYFUNCTION("""COMPUTED_VALUE"""),"")</f>
        <v/>
      </c>
      <c r="K927" s="4" t="str">
        <f>IFERROR(__xludf.DUMMYFUNCTION("""COMPUTED_VALUE"""),"Partner ad")</f>
        <v>Partner ad</v>
      </c>
      <c r="L927" s="4" t="str">
        <f>IFERROR(__xludf.DUMMYFUNCTION("""COMPUTED_VALUE"""),"")</f>
        <v/>
      </c>
      <c r="M927" s="4" t="str">
        <f>IFERROR(__xludf.DUMMYFUNCTION("""COMPUTED_VALUE"""),"Partner ad - Startup Portugal")</f>
        <v>Partner ad - Startup Portugal</v>
      </c>
      <c r="N927" s="4" t="str">
        <f>IFERROR(__xludf.DUMMYFUNCTION("""COMPUTED_VALUE"""),"")</f>
        <v/>
      </c>
      <c r="O927" s="4" t="str">
        <f>IFERROR(__xludf.DUMMYFUNCTION("""COMPUTED_VALUE"""),"")</f>
        <v/>
      </c>
      <c r="P927" s="4" t="str">
        <f>IFERROR(__xludf.DUMMYFUNCTION("""COMPUTED_VALUE"""),"")</f>
        <v/>
      </c>
      <c r="Q927" s="4" t="str">
        <f>IFERROR(__xludf.DUMMYFUNCTION("""COMPUTED_VALUE"""),"")</f>
        <v/>
      </c>
      <c r="R927" s="4" t="str">
        <f>IFERROR(__xludf.DUMMYFUNCTION("""COMPUTED_VALUE"""),"")</f>
        <v/>
      </c>
      <c r="S927" s="4" t="str">
        <f>IFERROR(__xludf.DUMMYFUNCTION("""COMPUTED_VALUE"""),"")</f>
        <v/>
      </c>
      <c r="T927" s="4" t="str">
        <f>IFERROR(__xludf.DUMMYFUNCTION("""COMPUTED_VALUE"""),"")</f>
        <v/>
      </c>
      <c r="U927" s="4" t="str">
        <f>IFERROR(__xludf.DUMMYFUNCTION("""COMPUTED_VALUE"""),"")</f>
        <v/>
      </c>
      <c r="V927" s="4" t="str">
        <f>IFERROR(__xludf.DUMMYFUNCTION("""COMPUTED_VALUE"""),"")</f>
        <v/>
      </c>
      <c r="W927" s="4" t="str">
        <f>IFERROR(__xludf.DUMMYFUNCTION("""COMPUTED_VALUE"""),"")</f>
        <v/>
      </c>
      <c r="X927" s="4" t="str">
        <f>IFERROR(__xludf.DUMMYFUNCTION("""COMPUTED_VALUE"""),"")</f>
        <v/>
      </c>
      <c r="Y927" s="4" t="str">
        <f>IFERROR(__xludf.DUMMYFUNCTION("""COMPUTED_VALUE"""),"")</f>
        <v/>
      </c>
    </row>
    <row r="928">
      <c r="A928" s="4" t="str">
        <f>IFERROR(__xludf.DUMMYFUNCTION("""COMPUTED_VALUE"""),"1036 - Channel")</f>
        <v>1036 - Channel</v>
      </c>
      <c r="B928" s="4" t="str">
        <f>IFERROR(__xludf.DUMMYFUNCTION("""COMPUTED_VALUE"""),"Channel 3")</f>
        <v>Channel 3</v>
      </c>
      <c r="C928" s="4" t="str">
        <f>IFERROR(__xludf.DUMMYFUNCTION("""COMPUTED_VALUE"""),"Day 3 - 25/06")</f>
        <v>Day 3 - 25/06</v>
      </c>
      <c r="D928" s="6">
        <f>IFERROR(__xludf.DUMMYFUNCTION("""COMPUTED_VALUE"""),0.5001736111111111)</f>
        <v>0.5001736111</v>
      </c>
      <c r="E928" s="6">
        <f>IFERROR(__xludf.DUMMYFUNCTION("""COMPUTED_VALUE"""),3.4722222222222224E-4)</f>
        <v>0.0003472222222</v>
      </c>
      <c r="F928" s="6">
        <f>IFERROR(__xludf.DUMMYFUNCTION("""COMPUTED_VALUE"""),0.5005208333333334)</f>
        <v>0.5005208333</v>
      </c>
      <c r="G928" s="4" t="str">
        <f>IFERROR(__xludf.DUMMYFUNCTION("""COMPUTED_VALUE"""),"Graphics")</f>
        <v>Graphics</v>
      </c>
      <c r="H928" s="4" t="str">
        <f>IFERROR(__xludf.DUMMYFUNCTION("""COMPUTED_VALUE"""),"N/A")</f>
        <v>N/A</v>
      </c>
      <c r="I928" s="4" t="str">
        <f>IFERROR(__xludf.DUMMYFUNCTION("""COMPUTED_VALUE"""),"N/A")</f>
        <v>N/A</v>
      </c>
      <c r="J928" s="4" t="str">
        <f>IFERROR(__xludf.DUMMYFUNCTION("""COMPUTED_VALUE"""),"SaaS")</f>
        <v>SaaS</v>
      </c>
      <c r="K928" s="4" t="str">
        <f>IFERROR(__xludf.DUMMYFUNCTION("""COMPUTED_VALUE"""),"Talk Intro")</f>
        <v>Talk Intro</v>
      </c>
      <c r="L928" s="4" t="str">
        <f>IFERROR(__xludf.DUMMYFUNCTION("""COMPUTED_VALUE"""),"")</f>
        <v/>
      </c>
      <c r="M928" s="4" t="str">
        <f>IFERROR(__xludf.DUMMYFUNCTION("""COMPUTED_VALUE"""),"Talk Intro")</f>
        <v>Talk Intro</v>
      </c>
      <c r="N928" s="4" t="str">
        <f>IFERROR(__xludf.DUMMYFUNCTION("""COMPUTED_VALUE"""),"")</f>
        <v/>
      </c>
      <c r="O928" s="4" t="str">
        <f>IFERROR(__xludf.DUMMYFUNCTION("""COMPUTED_VALUE"""),"")</f>
        <v/>
      </c>
      <c r="P928" s="4" t="str">
        <f>IFERROR(__xludf.DUMMYFUNCTION("""COMPUTED_VALUE"""),"")</f>
        <v/>
      </c>
      <c r="Q928" s="4" t="str">
        <f>IFERROR(__xludf.DUMMYFUNCTION("""COMPUTED_VALUE"""),"")</f>
        <v/>
      </c>
      <c r="R928" s="4" t="str">
        <f>IFERROR(__xludf.DUMMYFUNCTION("""COMPUTED_VALUE"""),"")</f>
        <v/>
      </c>
      <c r="S928" s="4" t="str">
        <f>IFERROR(__xludf.DUMMYFUNCTION("""COMPUTED_VALUE"""),"")</f>
        <v/>
      </c>
      <c r="T928" s="4" t="str">
        <f>IFERROR(__xludf.DUMMYFUNCTION("""COMPUTED_VALUE"""),"")</f>
        <v/>
      </c>
      <c r="U928" s="4" t="str">
        <f>IFERROR(__xludf.DUMMYFUNCTION("""COMPUTED_VALUE"""),"")</f>
        <v/>
      </c>
      <c r="V928" s="4" t="str">
        <f>IFERROR(__xludf.DUMMYFUNCTION("""COMPUTED_VALUE"""),"")</f>
        <v/>
      </c>
      <c r="W928" s="4" t="str">
        <f>IFERROR(__xludf.DUMMYFUNCTION("""COMPUTED_VALUE"""),"")</f>
        <v/>
      </c>
      <c r="X928" s="4" t="str">
        <f>IFERROR(__xludf.DUMMYFUNCTION("""COMPUTED_VALUE"""),"")</f>
        <v/>
      </c>
      <c r="Y928" s="4" t="str">
        <f>IFERROR(__xludf.DUMMYFUNCTION("""COMPUTED_VALUE"""),"")</f>
        <v/>
      </c>
    </row>
    <row r="929">
      <c r="A929" s="4" t="str">
        <f>IFERROR(__xludf.DUMMYFUNCTION("""COMPUTED_VALUE"""),"1037 - Channel")</f>
        <v>1037 - Channel</v>
      </c>
      <c r="B929" s="4" t="str">
        <f>IFERROR(__xludf.DUMMYFUNCTION("""COMPUTED_VALUE"""),"Channel 3")</f>
        <v>Channel 3</v>
      </c>
      <c r="C929" s="4" t="str">
        <f>IFERROR(__xludf.DUMMYFUNCTION("""COMPUTED_VALUE"""),"Day 3 - 25/06")</f>
        <v>Day 3 - 25/06</v>
      </c>
      <c r="D929" s="6">
        <f>IFERROR(__xludf.DUMMYFUNCTION("""COMPUTED_VALUE"""),0.5005208333333334)</f>
        <v>0.5005208333</v>
      </c>
      <c r="E929" s="6">
        <f>IFERROR(__xludf.DUMMYFUNCTION("""COMPUTED_VALUE"""),0.0090625)</f>
        <v>0.0090625</v>
      </c>
      <c r="F929" s="6">
        <f>IFERROR(__xludf.DUMMYFUNCTION("""COMPUTED_VALUE"""),0.5095833333333334)</f>
        <v>0.5095833333</v>
      </c>
      <c r="G929" s="4" t="str">
        <f>IFERROR(__xludf.DUMMYFUNCTION("""COMPUTED_VALUE"""),"Kat")</f>
        <v>Kat</v>
      </c>
      <c r="H929" s="4" t="str">
        <f>IFERROR(__xludf.DUMMYFUNCTION("""COMPUTED_VALUE"""),"Lingyu")</f>
        <v>Lingyu</v>
      </c>
      <c r="I929" s="4" t="str">
        <f>IFERROR(__xludf.DUMMYFUNCTION("""COMPUTED_VALUE"""),"Lynn")</f>
        <v>Lynn</v>
      </c>
      <c r="J929" s="4" t="str">
        <f>IFERROR(__xludf.DUMMYFUNCTION("""COMPUTED_VALUE"""),"SaaS")</f>
        <v>SaaS</v>
      </c>
      <c r="K929" s="4" t="str">
        <f>IFERROR(__xludf.DUMMYFUNCTION("""COMPUTED_VALUE"""),"Super Fireside")</f>
        <v>Super Fireside</v>
      </c>
      <c r="L929" s="4" t="str">
        <f>IFERROR(__xludf.DUMMYFUNCTION("""COMPUTED_VALUE"""),"T- 4 - 25/05/2020")</f>
        <v>T- 4 - 25/05/2020</v>
      </c>
      <c r="M929" s="4" t="str">
        <f>IFERROR(__xludf.DUMMYFUNCTION("""COMPUTED_VALUE"""),"To scale or not to scale, and how?")</f>
        <v>To scale or not to scale, and how?</v>
      </c>
      <c r="N929" s="4" t="str">
        <f>IFERROR(__xludf.DUMMYFUNCTION("""COMPUTED_VALUE"""),"Yancey Spruill, DigitalOcean")</f>
        <v>Yancey Spruill, DigitalOcean</v>
      </c>
      <c r="O929" s="4" t="str">
        <f>IFERROR(__xludf.DUMMYFUNCTION("""COMPUTED_VALUE"""),"Leela Srinivasan, SurveyMonkey")</f>
        <v>Leela Srinivasan, SurveyMonkey</v>
      </c>
      <c r="P929" s="4" t="str">
        <f>IFERROR(__xludf.DUMMYFUNCTION("""COMPUTED_VALUE"""),"")</f>
        <v/>
      </c>
      <c r="Q929" s="4" t="str">
        <f>IFERROR(__xludf.DUMMYFUNCTION("""COMPUTED_VALUE"""),"")</f>
        <v/>
      </c>
      <c r="R929" s="4" t="str">
        <f>IFERROR(__xludf.DUMMYFUNCTION("""COMPUTED_VALUE"""),"Ben Gilbert, Acquired Podcast")</f>
        <v>Ben Gilbert, Acquired Podcast</v>
      </c>
      <c r="S929" s="4" t="str">
        <f>IFERROR(__xludf.DUMMYFUNCTION("""COMPUTED_VALUE"""),"The startup world is a fast-growing, responsive one. The majority of founders will, at some point, face a dilemma of whether or not to scale their business. Join this panel to find out more.")</f>
        <v>The startup world is a fast-growing, responsive one. The majority of founders will, at some point, face a dilemma of whether or not to scale their business. Join this panel to find out more.</v>
      </c>
      <c r="T929" s="4" t="str">
        <f>IFERROR(__xludf.DUMMYFUNCTION("""COMPUTED_VALUE"""),"NON-KEYNOTE 9 - COMPLETE")</f>
        <v>NON-KEYNOTE 9 - COMPLETE</v>
      </c>
      <c r="U929" s="23">
        <f>IFERROR(__xludf.DUMMYFUNCTION("""COMPUTED_VALUE"""),43980.0)</f>
        <v>43980</v>
      </c>
      <c r="V929" s="24">
        <f>IFERROR(__xludf.DUMMYFUNCTION("""COMPUTED_VALUE"""),0.71875)</f>
        <v>0.71875</v>
      </c>
      <c r="W929" s="4" t="str">
        <f>IFERROR(__xludf.DUMMYFUNCTION("""COMPUTED_VALUE"""),"COMPLETE")</f>
        <v>COMPLETE</v>
      </c>
      <c r="X929" s="4" t="str">
        <f>IFERROR(__xludf.DUMMYFUNCTION("""COMPUTED_VALUE"""),"Kat")</f>
        <v>Kat</v>
      </c>
      <c r="Y929" s="4" t="str">
        <f>IFERROR(__xludf.DUMMYFUNCTION("""COMPUTED_VALUE"""),"")</f>
        <v/>
      </c>
    </row>
    <row r="930">
      <c r="A930" s="4" t="str">
        <f>IFERROR(__xludf.DUMMYFUNCTION("""COMPUTED_VALUE"""),"1048 - Channel")</f>
        <v>1048 - Channel</v>
      </c>
      <c r="B930" s="4" t="str">
        <f>IFERROR(__xludf.DUMMYFUNCTION("""COMPUTED_VALUE"""),"Channel 3")</f>
        <v>Channel 3</v>
      </c>
      <c r="C930" s="4" t="str">
        <f>IFERROR(__xludf.DUMMYFUNCTION("""COMPUTED_VALUE"""),"Day 3 - 25/06")</f>
        <v>Day 3 - 25/06</v>
      </c>
      <c r="D930" s="6">
        <f>IFERROR(__xludf.DUMMYFUNCTION("""COMPUTED_VALUE"""),0.5095833333333334)</f>
        <v>0.5095833333</v>
      </c>
      <c r="E930" s="6">
        <f>IFERROR(__xludf.DUMMYFUNCTION("""COMPUTED_VALUE"""),2.314814814814815E-4)</f>
        <v>0.0002314814815</v>
      </c>
      <c r="F930" s="6">
        <f>IFERROR(__xludf.DUMMYFUNCTION("""COMPUTED_VALUE"""),0.5098148148148148)</f>
        <v>0.5098148148</v>
      </c>
      <c r="G930" s="4" t="str">
        <f>IFERROR(__xludf.DUMMYFUNCTION("""COMPUTED_VALUE"""),"Graphics")</f>
        <v>Graphics</v>
      </c>
      <c r="H930" s="4" t="str">
        <f>IFERROR(__xludf.DUMMYFUNCTION("""COMPUTED_VALUE"""),"N/A")</f>
        <v>N/A</v>
      </c>
      <c r="I930" s="4" t="str">
        <f>IFERROR(__xludf.DUMMYFUNCTION("""COMPUTED_VALUE"""),"N/A")</f>
        <v>N/A</v>
      </c>
      <c r="J930" s="4" t="str">
        <f>IFERROR(__xludf.DUMMYFUNCTION("""COMPUTED_VALUE"""),"SaaS")</f>
        <v>SaaS</v>
      </c>
      <c r="K930" s="4" t="str">
        <f>IFERROR(__xludf.DUMMYFUNCTION("""COMPUTED_VALUE"""),"Talk Intro")</f>
        <v>Talk Intro</v>
      </c>
      <c r="L930" s="4" t="str">
        <f>IFERROR(__xludf.DUMMYFUNCTION("""COMPUTED_VALUE"""),"")</f>
        <v/>
      </c>
      <c r="M930" s="4" t="str">
        <f>IFERROR(__xludf.DUMMYFUNCTION("""COMPUTED_VALUE"""),"Talk Intro")</f>
        <v>Talk Intro</v>
      </c>
      <c r="N930" s="4" t="str">
        <f>IFERROR(__xludf.DUMMYFUNCTION("""COMPUTED_VALUE"""),"")</f>
        <v/>
      </c>
      <c r="O930" s="4" t="str">
        <f>IFERROR(__xludf.DUMMYFUNCTION("""COMPUTED_VALUE"""),"")</f>
        <v/>
      </c>
      <c r="P930" s="4" t="str">
        <f>IFERROR(__xludf.DUMMYFUNCTION("""COMPUTED_VALUE"""),"")</f>
        <v/>
      </c>
      <c r="Q930" s="4" t="str">
        <f>IFERROR(__xludf.DUMMYFUNCTION("""COMPUTED_VALUE"""),"")</f>
        <v/>
      </c>
      <c r="R930" s="4" t="str">
        <f>IFERROR(__xludf.DUMMYFUNCTION("""COMPUTED_VALUE"""),"")</f>
        <v/>
      </c>
      <c r="S930" s="4" t="str">
        <f>IFERROR(__xludf.DUMMYFUNCTION("""COMPUTED_VALUE"""),"")</f>
        <v/>
      </c>
      <c r="T930" s="4" t="str">
        <f>IFERROR(__xludf.DUMMYFUNCTION("""COMPUTED_VALUE"""),"")</f>
        <v/>
      </c>
      <c r="U930" s="4" t="str">
        <f>IFERROR(__xludf.DUMMYFUNCTION("""COMPUTED_VALUE"""),"")</f>
        <v/>
      </c>
      <c r="V930" s="4" t="str">
        <f>IFERROR(__xludf.DUMMYFUNCTION("""COMPUTED_VALUE"""),"")</f>
        <v/>
      </c>
      <c r="W930" s="4" t="str">
        <f>IFERROR(__xludf.DUMMYFUNCTION("""COMPUTED_VALUE"""),"")</f>
        <v/>
      </c>
      <c r="X930" s="4" t="str">
        <f>IFERROR(__xludf.DUMMYFUNCTION("""COMPUTED_VALUE"""),"")</f>
        <v/>
      </c>
      <c r="Y930" s="4" t="str">
        <f>IFERROR(__xludf.DUMMYFUNCTION("""COMPUTED_VALUE"""),"")</f>
        <v/>
      </c>
    </row>
    <row r="931">
      <c r="A931" s="4" t="str">
        <f>IFERROR(__xludf.DUMMYFUNCTION("""COMPUTED_VALUE"""),"1049 - Channel")</f>
        <v>1049 - Channel</v>
      </c>
      <c r="B931" s="4" t="str">
        <f>IFERROR(__xludf.DUMMYFUNCTION("""COMPUTED_VALUE"""),"Channel 3")</f>
        <v>Channel 3</v>
      </c>
      <c r="C931" s="4" t="str">
        <f>IFERROR(__xludf.DUMMYFUNCTION("""COMPUTED_VALUE"""),"Day 3 - 25/06")</f>
        <v>Day 3 - 25/06</v>
      </c>
      <c r="D931" s="6">
        <f>IFERROR(__xludf.DUMMYFUNCTION("""COMPUTED_VALUE"""),0.5098148148148148)</f>
        <v>0.5098148148</v>
      </c>
      <c r="E931" s="6">
        <f>IFERROR(__xludf.DUMMYFUNCTION("""COMPUTED_VALUE"""),0.0077777777777777776)</f>
        <v>0.007777777778</v>
      </c>
      <c r="F931" s="6">
        <f>IFERROR(__xludf.DUMMYFUNCTION("""COMPUTED_VALUE"""),0.5175925925925926)</f>
        <v>0.5175925926</v>
      </c>
      <c r="G931" s="4" t="str">
        <f>IFERROR(__xludf.DUMMYFUNCTION("""COMPUTED_VALUE"""),"Kat")</f>
        <v>Kat</v>
      </c>
      <c r="H931" s="4" t="str">
        <f>IFERROR(__xludf.DUMMYFUNCTION("""COMPUTED_VALUE"""),"N/A")</f>
        <v>N/A</v>
      </c>
      <c r="I931" s="4" t="str">
        <f>IFERROR(__xludf.DUMMYFUNCTION("""COMPUTED_VALUE"""),"Lynn")</f>
        <v>Lynn</v>
      </c>
      <c r="J931" s="4" t="str">
        <f>IFERROR(__xludf.DUMMYFUNCTION("""COMPUTED_VALUE"""),"SaaS")</f>
        <v>SaaS</v>
      </c>
      <c r="K931" s="4" t="str">
        <f>IFERROR(__xludf.DUMMYFUNCTION("""COMPUTED_VALUE"""),"Keynote")</f>
        <v>Keynote</v>
      </c>
      <c r="L931" s="4" t="str">
        <f>IFERROR(__xludf.DUMMYFUNCTION("""COMPUTED_VALUE"""),"T- 8 - 27/04/2020")</f>
        <v>T- 8 - 27/04/2020</v>
      </c>
      <c r="M931" s="4" t="str">
        <f>IFERROR(__xludf.DUMMYFUNCTION("""COMPUTED_VALUE"""),"Into the clouds")</f>
        <v>Into the clouds</v>
      </c>
      <c r="N931" s="4" t="str">
        <f>IFERROR(__xludf.DUMMYFUNCTION("""COMPUTED_VALUE"""),"Daniel Saks, AppDirect")</f>
        <v>Daniel Saks, AppDirect</v>
      </c>
      <c r="O931" s="4" t="str">
        <f>IFERROR(__xludf.DUMMYFUNCTION("""COMPUTED_VALUE"""),"")</f>
        <v/>
      </c>
      <c r="P931" s="4" t="str">
        <f>IFERROR(__xludf.DUMMYFUNCTION("""COMPUTED_VALUE"""),"")</f>
        <v/>
      </c>
      <c r="Q931" s="4" t="str">
        <f>IFERROR(__xludf.DUMMYFUNCTION("""COMPUTED_VALUE"""),"")</f>
        <v/>
      </c>
      <c r="R931" s="4" t="str">
        <f>IFERROR(__xludf.DUMMYFUNCTION("""COMPUTED_VALUE"""),"")</f>
        <v/>
      </c>
      <c r="S931" s="4" t="str">
        <f>IFERROR(__xludf.DUMMYFUNCTION("""COMPUTED_VALUE"""),"To scale or not to scale")</f>
        <v>To scale or not to scale</v>
      </c>
      <c r="T931" s="4" t="str">
        <f>IFERROR(__xludf.DUMMYFUNCTION("""COMPUTED_VALUE"""),"KEYNOTE 8 - COMPLETE")</f>
        <v>KEYNOTE 8 - COMPLETE</v>
      </c>
      <c r="U931" s="23">
        <f>IFERROR(__xludf.DUMMYFUNCTION("""COMPUTED_VALUE"""),43952.0)</f>
        <v>43952</v>
      </c>
      <c r="V931" s="24">
        <f>IFERROR(__xludf.DUMMYFUNCTION("""COMPUTED_VALUE"""),0.8333333333333334)</f>
        <v>0.8333333333</v>
      </c>
      <c r="W931" s="4" t="str">
        <f>IFERROR(__xludf.DUMMYFUNCTION("""COMPUTED_VALUE"""),"COMPLETE")</f>
        <v>COMPLETE</v>
      </c>
      <c r="X931" s="4" t="str">
        <f>IFERROR(__xludf.DUMMYFUNCTION("""COMPUTED_VALUE"""),"Kat")</f>
        <v>Kat</v>
      </c>
      <c r="Y931" s="4" t="str">
        <f>IFERROR(__xludf.DUMMYFUNCTION("""COMPUTED_VALUE"""),"4641101319727976891")</f>
        <v>4641101319727976891</v>
      </c>
    </row>
    <row r="932">
      <c r="A932" s="4" t="str">
        <f>IFERROR(__xludf.DUMMYFUNCTION("""COMPUTED_VALUE"""),"1045 - Channel")</f>
        <v>1045 - Channel</v>
      </c>
      <c r="B932" s="4" t="str">
        <f>IFERROR(__xludf.DUMMYFUNCTION("""COMPUTED_VALUE"""),"Channel 3")</f>
        <v>Channel 3</v>
      </c>
      <c r="C932" s="4" t="str">
        <f>IFERROR(__xludf.DUMMYFUNCTION("""COMPUTED_VALUE"""),"Day 3 - 25/06")</f>
        <v>Day 3 - 25/06</v>
      </c>
      <c r="D932" s="6">
        <f>IFERROR(__xludf.DUMMYFUNCTION("""COMPUTED_VALUE"""),0.5175925925925926)</f>
        <v>0.5175925926</v>
      </c>
      <c r="E932" s="6">
        <f>IFERROR(__xludf.DUMMYFUNCTION("""COMPUTED_VALUE"""),2.314814814814815E-4)</f>
        <v>0.0002314814815</v>
      </c>
      <c r="F932" s="6">
        <f>IFERROR(__xludf.DUMMYFUNCTION("""COMPUTED_VALUE"""),0.517824074074074)</f>
        <v>0.5178240741</v>
      </c>
      <c r="G932" s="4" t="str">
        <f>IFERROR(__xludf.DUMMYFUNCTION("""COMPUTED_VALUE"""),"Graphics")</f>
        <v>Graphics</v>
      </c>
      <c r="H932" s="4" t="str">
        <f>IFERROR(__xludf.DUMMYFUNCTION("""COMPUTED_VALUE"""),"N/A")</f>
        <v>N/A</v>
      </c>
      <c r="I932" s="4" t="str">
        <f>IFERROR(__xludf.DUMMYFUNCTION("""COMPUTED_VALUE"""),"N/A")</f>
        <v>N/A</v>
      </c>
      <c r="J932" s="4" t="str">
        <f>IFERROR(__xludf.DUMMYFUNCTION("""COMPUTED_VALUE"""),"SaaS")</f>
        <v>SaaS</v>
      </c>
      <c r="K932" s="4" t="str">
        <f>IFERROR(__xludf.DUMMYFUNCTION("""COMPUTED_VALUE"""),"Talk Intro")</f>
        <v>Talk Intro</v>
      </c>
      <c r="L932" s="4" t="str">
        <f>IFERROR(__xludf.DUMMYFUNCTION("""COMPUTED_VALUE"""),"")</f>
        <v/>
      </c>
      <c r="M932" s="4" t="str">
        <f>IFERROR(__xludf.DUMMYFUNCTION("""COMPUTED_VALUE"""),"Talk Intro")</f>
        <v>Talk Intro</v>
      </c>
      <c r="N932" s="4" t="str">
        <f>IFERROR(__xludf.DUMMYFUNCTION("""COMPUTED_VALUE"""),"")</f>
        <v/>
      </c>
      <c r="O932" s="4" t="str">
        <f>IFERROR(__xludf.DUMMYFUNCTION("""COMPUTED_VALUE"""),"")</f>
        <v/>
      </c>
      <c r="P932" s="4" t="str">
        <f>IFERROR(__xludf.DUMMYFUNCTION("""COMPUTED_VALUE"""),"")</f>
        <v/>
      </c>
      <c r="Q932" s="4" t="str">
        <f>IFERROR(__xludf.DUMMYFUNCTION("""COMPUTED_VALUE"""),"")</f>
        <v/>
      </c>
      <c r="R932" s="4" t="str">
        <f>IFERROR(__xludf.DUMMYFUNCTION("""COMPUTED_VALUE"""),"")</f>
        <v/>
      </c>
      <c r="S932" s="4" t="str">
        <f>IFERROR(__xludf.DUMMYFUNCTION("""COMPUTED_VALUE"""),"")</f>
        <v/>
      </c>
      <c r="T932" s="4" t="str">
        <f>IFERROR(__xludf.DUMMYFUNCTION("""COMPUTED_VALUE"""),"")</f>
        <v/>
      </c>
      <c r="U932" s="4" t="str">
        <f>IFERROR(__xludf.DUMMYFUNCTION("""COMPUTED_VALUE"""),"")</f>
        <v/>
      </c>
      <c r="V932" s="4" t="str">
        <f>IFERROR(__xludf.DUMMYFUNCTION("""COMPUTED_VALUE"""),"")</f>
        <v/>
      </c>
      <c r="W932" s="4" t="str">
        <f>IFERROR(__xludf.DUMMYFUNCTION("""COMPUTED_VALUE"""),"")</f>
        <v/>
      </c>
      <c r="X932" s="4" t="str">
        <f>IFERROR(__xludf.DUMMYFUNCTION("""COMPUTED_VALUE"""),"")</f>
        <v/>
      </c>
      <c r="Y932" s="4" t="str">
        <f>IFERROR(__xludf.DUMMYFUNCTION("""COMPUTED_VALUE"""),"")</f>
        <v/>
      </c>
    </row>
    <row r="933">
      <c r="A933" s="4" t="str">
        <f>IFERROR(__xludf.DUMMYFUNCTION("""COMPUTED_VALUE"""),"1046 - Channel")</f>
        <v>1046 - Channel</v>
      </c>
      <c r="B933" s="4" t="str">
        <f>IFERROR(__xludf.DUMMYFUNCTION("""COMPUTED_VALUE"""),"Channel 3")</f>
        <v>Channel 3</v>
      </c>
      <c r="C933" s="4" t="str">
        <f>IFERROR(__xludf.DUMMYFUNCTION("""COMPUTED_VALUE"""),"Day 3 - 25/06")</f>
        <v>Day 3 - 25/06</v>
      </c>
      <c r="D933" s="6">
        <f>IFERROR(__xludf.DUMMYFUNCTION("""COMPUTED_VALUE"""),0.517824074074074)</f>
        <v>0.5178240741</v>
      </c>
      <c r="E933" s="6">
        <f>IFERROR(__xludf.DUMMYFUNCTION("""COMPUTED_VALUE"""),0.0077777777777777776)</f>
        <v>0.007777777778</v>
      </c>
      <c r="F933" s="6">
        <f>IFERROR(__xludf.DUMMYFUNCTION("""COMPUTED_VALUE"""),0.5256018518518518)</f>
        <v>0.5256018519</v>
      </c>
      <c r="G933" s="4" t="str">
        <f>IFERROR(__xludf.DUMMYFUNCTION("""COMPUTED_VALUE"""),"Kat")</f>
        <v>Kat</v>
      </c>
      <c r="H933" s="4" t="str">
        <f>IFERROR(__xludf.DUMMYFUNCTION("""COMPUTED_VALUE"""),"Lingyu")</f>
        <v>Lingyu</v>
      </c>
      <c r="I933" s="4" t="str">
        <f>IFERROR(__xludf.DUMMYFUNCTION("""COMPUTED_VALUE"""),"Lynn")</f>
        <v>Lynn</v>
      </c>
      <c r="J933" s="4" t="str">
        <f>IFERROR(__xludf.DUMMYFUNCTION("""COMPUTED_VALUE"""),"SaaS")</f>
        <v>SaaS</v>
      </c>
      <c r="K933" s="4" t="str">
        <f>IFERROR(__xludf.DUMMYFUNCTION("""COMPUTED_VALUE"""),"Fireside")</f>
        <v>Fireside</v>
      </c>
      <c r="L933" s="4" t="str">
        <f>IFERROR(__xludf.DUMMYFUNCTION("""COMPUTED_VALUE"""),"T- 4 - 25/05/2020")</f>
        <v>T- 4 - 25/05/2020</v>
      </c>
      <c r="M933" s="4" t="str">
        <f>IFERROR(__xludf.DUMMYFUNCTION("""COMPUTED_VALUE"""),"SaaS &amp; remote-centric culture")</f>
        <v>SaaS &amp; remote-centric culture</v>
      </c>
      <c r="N933" s="4" t="str">
        <f>IFERROR(__xludf.DUMMYFUNCTION("""COMPUTED_VALUE"""),"Eugenio Pace, Auth0")</f>
        <v>Eugenio Pace, Auth0</v>
      </c>
      <c r="O933" s="4" t="str">
        <f>IFERROR(__xludf.DUMMYFUNCTION("""COMPUTED_VALUE"""),"")</f>
        <v/>
      </c>
      <c r="P933" s="4" t="str">
        <f>IFERROR(__xludf.DUMMYFUNCTION("""COMPUTED_VALUE"""),"")</f>
        <v/>
      </c>
      <c r="Q933" s="4" t="str">
        <f>IFERROR(__xludf.DUMMYFUNCTION("""COMPUTED_VALUE"""),"")</f>
        <v/>
      </c>
      <c r="R933" s="4" t="str">
        <f>IFERROR(__xludf.DUMMYFUNCTION("""COMPUTED_VALUE"""),"Dave Smith, Business Insider")</f>
        <v>Dave Smith, Business Insider</v>
      </c>
      <c r="S933" s="4" t="str">
        <f>IFERROR(__xludf.DUMMYFUNCTION("""COMPUTED_VALUE"""),"In a new era of open source, SaaS and cloud computing, technology needs to adapt to help businesses move towards the cloud.")</f>
        <v>In a new era of open source, SaaS and cloud computing, technology needs to adapt to help businesses move towards the cloud.</v>
      </c>
      <c r="T933" s="4" t="str">
        <f>IFERROR(__xludf.DUMMYFUNCTION("""COMPUTED_VALUE"""),"NON-KEYNOTE 9 - COMPLETE")</f>
        <v>NON-KEYNOTE 9 - COMPLETE</v>
      </c>
      <c r="U933" s="23">
        <f>IFERROR(__xludf.DUMMYFUNCTION("""COMPUTED_VALUE"""),43978.0)</f>
        <v>43978</v>
      </c>
      <c r="V933" s="24">
        <f>IFERROR(__xludf.DUMMYFUNCTION("""COMPUTED_VALUE"""),0.7916666666666666)</f>
        <v>0.7916666667</v>
      </c>
      <c r="W933" s="4" t="str">
        <f>IFERROR(__xludf.DUMMYFUNCTION("""COMPUTED_VALUE"""),"COMPLETE")</f>
        <v>COMPLETE</v>
      </c>
      <c r="X933" s="4" t="str">
        <f>IFERROR(__xludf.DUMMYFUNCTION("""COMPUTED_VALUE"""),"Kat")</f>
        <v>Kat</v>
      </c>
      <c r="Y933" s="4" t="str">
        <f>IFERROR(__xludf.DUMMYFUNCTION("""COMPUTED_VALUE"""),"")</f>
        <v/>
      </c>
    </row>
    <row r="934">
      <c r="A934" s="4" t="str">
        <f>IFERROR(__xludf.DUMMYFUNCTION("""COMPUTED_VALUE"""),"903 - Channel")</f>
        <v>903 - Channel</v>
      </c>
      <c r="B934" s="4" t="str">
        <f>IFERROR(__xludf.DUMMYFUNCTION("""COMPUTED_VALUE"""),"Channel 3")</f>
        <v>Channel 3</v>
      </c>
      <c r="C934" s="4" t="str">
        <f>IFERROR(__xludf.DUMMYFUNCTION("""COMPUTED_VALUE"""),"Day 3 - 25/06")</f>
        <v>Day 3 - 25/06</v>
      </c>
      <c r="D934" s="6">
        <f>IFERROR(__xludf.DUMMYFUNCTION("""COMPUTED_VALUE"""),0.5256018518518518)</f>
        <v>0.5256018519</v>
      </c>
      <c r="E934" s="6">
        <f>IFERROR(__xludf.DUMMYFUNCTION("""COMPUTED_VALUE"""),0.0)</f>
        <v>0</v>
      </c>
      <c r="F934" s="6">
        <f>IFERROR(__xludf.DUMMYFUNCTION("""COMPUTED_VALUE"""),0.5256018518518518)</f>
        <v>0.5256018519</v>
      </c>
      <c r="G934" s="4" t="str">
        <f>IFERROR(__xludf.DUMMYFUNCTION("""COMPUTED_VALUE"""),"Graphics")</f>
        <v>Graphics</v>
      </c>
      <c r="H934" s="4" t="str">
        <f>IFERROR(__xludf.DUMMYFUNCTION("""COMPUTED_VALUE"""),"")</f>
        <v/>
      </c>
      <c r="I934" s="4" t="str">
        <f>IFERROR(__xludf.DUMMYFUNCTION("""COMPUTED_VALUE"""),"")</f>
        <v/>
      </c>
      <c r="J934" s="4" t="str">
        <f>IFERROR(__xludf.DUMMYFUNCTION("""COMPUTED_VALUE"""),"Media")</f>
        <v>Media</v>
      </c>
      <c r="K934" s="4" t="str">
        <f>IFERROR(__xludf.DUMMYFUNCTION("""COMPUTED_VALUE"""),"Talk Intro")</f>
        <v>Talk Intro</v>
      </c>
      <c r="L934" s="4" t="str">
        <f>IFERROR(__xludf.DUMMYFUNCTION("""COMPUTED_VALUE"""),"")</f>
        <v/>
      </c>
      <c r="M934" s="4" t="str">
        <f>IFERROR(__xludf.DUMMYFUNCTION("""COMPUTED_VALUE"""),"Talk Intro")</f>
        <v>Talk Intro</v>
      </c>
      <c r="N934" s="4" t="str">
        <f>IFERROR(__xludf.DUMMYFUNCTION("""COMPUTED_VALUE"""),"")</f>
        <v/>
      </c>
      <c r="O934" s="4" t="str">
        <f>IFERROR(__xludf.DUMMYFUNCTION("""COMPUTED_VALUE"""),"")</f>
        <v/>
      </c>
      <c r="P934" s="4" t="str">
        <f>IFERROR(__xludf.DUMMYFUNCTION("""COMPUTED_VALUE"""),"")</f>
        <v/>
      </c>
      <c r="Q934" s="4" t="str">
        <f>IFERROR(__xludf.DUMMYFUNCTION("""COMPUTED_VALUE"""),"")</f>
        <v/>
      </c>
      <c r="R934" s="4" t="str">
        <f>IFERROR(__xludf.DUMMYFUNCTION("""COMPUTED_VALUE"""),"")</f>
        <v/>
      </c>
      <c r="S934" s="4" t="str">
        <f>IFERROR(__xludf.DUMMYFUNCTION("""COMPUTED_VALUE"""),"")</f>
        <v/>
      </c>
      <c r="T934" s="4" t="str">
        <f>IFERROR(__xludf.DUMMYFUNCTION("""COMPUTED_VALUE"""),"")</f>
        <v/>
      </c>
      <c r="U934" s="4" t="str">
        <f>IFERROR(__xludf.DUMMYFUNCTION("""COMPUTED_VALUE"""),"")</f>
        <v/>
      </c>
      <c r="V934" s="4" t="str">
        <f>IFERROR(__xludf.DUMMYFUNCTION("""COMPUTED_VALUE"""),"")</f>
        <v/>
      </c>
      <c r="W934" s="4" t="str">
        <f>IFERROR(__xludf.DUMMYFUNCTION("""COMPUTED_VALUE"""),"")</f>
        <v/>
      </c>
      <c r="X934" s="4" t="str">
        <f>IFERROR(__xludf.DUMMYFUNCTION("""COMPUTED_VALUE"""),"")</f>
        <v/>
      </c>
      <c r="Y934" s="4" t="str">
        <f>IFERROR(__xludf.DUMMYFUNCTION("""COMPUTED_VALUE"""),"")</f>
        <v/>
      </c>
    </row>
    <row r="935">
      <c r="A935" s="4" t="str">
        <f>IFERROR(__xludf.DUMMYFUNCTION("""COMPUTED_VALUE"""),"904 - Channel")</f>
        <v>904 - Channel</v>
      </c>
      <c r="B935" s="4" t="str">
        <f>IFERROR(__xludf.DUMMYFUNCTION("""COMPUTED_VALUE"""),"Channel 3")</f>
        <v>Channel 3</v>
      </c>
      <c r="C935" s="4" t="str">
        <f>IFERROR(__xludf.DUMMYFUNCTION("""COMPUTED_VALUE"""),"Day 3 - 25/06")</f>
        <v>Day 3 - 25/06</v>
      </c>
      <c r="D935" s="6">
        <f>IFERROR(__xludf.DUMMYFUNCTION("""COMPUTED_VALUE"""),0.5256018518518518)</f>
        <v>0.5256018519</v>
      </c>
      <c r="E935" s="6">
        <f>IFERROR(__xludf.DUMMYFUNCTION("""COMPUTED_VALUE"""),0.01355324074074074)</f>
        <v>0.01355324074</v>
      </c>
      <c r="F935" s="6">
        <f>IFERROR(__xludf.DUMMYFUNCTION("""COMPUTED_VALUE"""),0.5391550925925925)</f>
        <v>0.5391550926</v>
      </c>
      <c r="G935" s="4" t="str">
        <f>IFERROR(__xludf.DUMMYFUNCTION("""COMPUTED_VALUE"""),"Stephanie")</f>
        <v>Stephanie</v>
      </c>
      <c r="H935" s="4" t="str">
        <f>IFERROR(__xludf.DUMMYFUNCTION("""COMPUTED_VALUE"""),"Stephen")</f>
        <v>Stephen</v>
      </c>
      <c r="I935" s="4" t="str">
        <f>IFERROR(__xludf.DUMMYFUNCTION("""COMPUTED_VALUE"""),"Geoff")</f>
        <v>Geoff</v>
      </c>
      <c r="J935" s="4" t="str">
        <f>IFERROR(__xludf.DUMMYFUNCTION("""COMPUTED_VALUE"""),"Media")</f>
        <v>Media</v>
      </c>
      <c r="K935" s="4" t="str">
        <f>IFERROR(__xludf.DUMMYFUNCTION("""COMPUTED_VALUE"""),"Fireside")</f>
        <v>Fireside</v>
      </c>
      <c r="L935" s="4" t="str">
        <f>IFERROR(__xludf.DUMMYFUNCTION("""COMPUTED_VALUE"""),"T- 3 - 01/06/2020")</f>
        <v>T- 3 - 01/06/2020</v>
      </c>
      <c r="M935" s="4" t="str">
        <f>IFERROR(__xludf.DUMMYFUNCTION("""COMPUTED_VALUE"""),"Leading BuzzFeed through Covid-19")</f>
        <v>Leading BuzzFeed through Covid-19</v>
      </c>
      <c r="N935" s="4" t="str">
        <f>IFERROR(__xludf.DUMMYFUNCTION("""COMPUTED_VALUE"""),"Jonah Peretti, BuzzFeed")</f>
        <v>Jonah Peretti, BuzzFeed</v>
      </c>
      <c r="O935" s="4" t="str">
        <f>IFERROR(__xludf.DUMMYFUNCTION("""COMPUTED_VALUE"""),"")</f>
        <v/>
      </c>
      <c r="P935" s="4" t="str">
        <f>IFERROR(__xludf.DUMMYFUNCTION("""COMPUTED_VALUE"""),"")</f>
        <v/>
      </c>
      <c r="Q935" s="4" t="str">
        <f>IFERROR(__xludf.DUMMYFUNCTION("""COMPUTED_VALUE"""),"")</f>
        <v/>
      </c>
      <c r="R935" s="4" t="str">
        <f>IFERROR(__xludf.DUMMYFUNCTION("""COMPUTED_VALUE"""),"Eric Hippeau, Lerer Hippeau")</f>
        <v>Eric Hippeau, Lerer Hippeau</v>
      </c>
      <c r="S935" s="4" t="str">
        <f>IFERROR(__xludf.DUMMYFUNCTION("""COMPUTED_VALUE"""),"The pandemic has had a ripple effect across sectors, including digital media businesses. BuzzFeed CEO Jonah Peretti discusses with top NYC investor Eric Hippeau the emerging trends brought on by the Covid crisis and how BuzzFeed is managing during this ch"&amp;"allenging time. ")</f>
        <v>The pandemic has had a ripple effect across sectors, including digital media businesses. BuzzFeed CEO Jonah Peretti discusses with top NYC investor Eric Hippeau the emerging trends brought on by the Covid crisis and how BuzzFeed is managing during this challenging time. </v>
      </c>
      <c r="T935" s="4" t="str">
        <f>IFERROR(__xludf.DUMMYFUNCTION("""COMPUTED_VALUE"""),"NON-KEYNOTE 9 - COMPLETE")</f>
        <v>NON-KEYNOTE 9 - COMPLETE</v>
      </c>
      <c r="U935" s="23">
        <f>IFERROR(__xludf.DUMMYFUNCTION("""COMPUTED_VALUE"""),43986.0)</f>
        <v>43986</v>
      </c>
      <c r="V935" s="24">
        <f>IFERROR(__xludf.DUMMYFUNCTION("""COMPUTED_VALUE"""),0.7916666666666666)</f>
        <v>0.7916666667</v>
      </c>
      <c r="W935" s="4" t="str">
        <f>IFERROR(__xludf.DUMMYFUNCTION("""COMPUTED_VALUE"""),"COMPLETE")</f>
        <v>COMPLETE</v>
      </c>
      <c r="X935" s="4" t="str">
        <f>IFERROR(__xludf.DUMMYFUNCTION("""COMPUTED_VALUE"""),"Stephanie")</f>
        <v>Stephanie</v>
      </c>
      <c r="Y935" s="4" t="str">
        <f>IFERROR(__xludf.DUMMYFUNCTION("""COMPUTED_VALUE"""),"")</f>
        <v/>
      </c>
    </row>
    <row r="936">
      <c r="A936" s="4" t="str">
        <f>IFERROR(__xludf.DUMMYFUNCTION("""COMPUTED_VALUE"""),"905 - Channel")</f>
        <v>905 - Channel</v>
      </c>
      <c r="B936" s="4" t="str">
        <f>IFERROR(__xludf.DUMMYFUNCTION("""COMPUTED_VALUE"""),"Channel 3")</f>
        <v>Channel 3</v>
      </c>
      <c r="C936" s="4" t="str">
        <f>IFERROR(__xludf.DUMMYFUNCTION("""COMPUTED_VALUE"""),"Day 3 - 25/06")</f>
        <v>Day 3 - 25/06</v>
      </c>
      <c r="D936" s="6">
        <f>IFERROR(__xludf.DUMMYFUNCTION("""COMPUTED_VALUE"""),0.5391550925925925)</f>
        <v>0.5391550926</v>
      </c>
      <c r="E936" s="6">
        <f>IFERROR(__xludf.DUMMYFUNCTION("""COMPUTED_VALUE"""),1.7361111111111112E-4)</f>
        <v>0.0001736111111</v>
      </c>
      <c r="F936" s="6">
        <f>IFERROR(__xludf.DUMMYFUNCTION("""COMPUTED_VALUE"""),0.5393287037037037)</f>
        <v>0.5393287037</v>
      </c>
      <c r="G936" s="4" t="str">
        <f>IFERROR(__xludf.DUMMYFUNCTION("""COMPUTED_VALUE"""),"Graphics")</f>
        <v>Graphics</v>
      </c>
      <c r="H936" s="4" t="str">
        <f>IFERROR(__xludf.DUMMYFUNCTION("""COMPUTED_VALUE"""),"N/A")</f>
        <v>N/A</v>
      </c>
      <c r="I936" s="4" t="str">
        <f>IFERROR(__xludf.DUMMYFUNCTION("""COMPUTED_VALUE"""),"N/A")</f>
        <v>N/A</v>
      </c>
      <c r="J936" s="4" t="str">
        <f>IFERROR(__xludf.DUMMYFUNCTION("""COMPUTED_VALUE"""),"Media")</f>
        <v>Media</v>
      </c>
      <c r="K936" s="4" t="str">
        <f>IFERROR(__xludf.DUMMYFUNCTION("""COMPUTED_VALUE"""),"Talk Outro")</f>
        <v>Talk Outro</v>
      </c>
      <c r="L936" s="4" t="str">
        <f>IFERROR(__xludf.DUMMYFUNCTION("""COMPUTED_VALUE"""),"")</f>
        <v/>
      </c>
      <c r="M936" s="4" t="str">
        <f>IFERROR(__xludf.DUMMYFUNCTION("""COMPUTED_VALUE"""),"Talk Outro")</f>
        <v>Talk Outro</v>
      </c>
      <c r="N936" s="4" t="str">
        <f>IFERROR(__xludf.DUMMYFUNCTION("""COMPUTED_VALUE"""),"")</f>
        <v/>
      </c>
      <c r="O936" s="4" t="str">
        <f>IFERROR(__xludf.DUMMYFUNCTION("""COMPUTED_VALUE"""),"")</f>
        <v/>
      </c>
      <c r="P936" s="4" t="str">
        <f>IFERROR(__xludf.DUMMYFUNCTION("""COMPUTED_VALUE"""),"")</f>
        <v/>
      </c>
      <c r="Q936" s="4" t="str">
        <f>IFERROR(__xludf.DUMMYFUNCTION("""COMPUTED_VALUE"""),"")</f>
        <v/>
      </c>
      <c r="R936" s="4" t="str">
        <f>IFERROR(__xludf.DUMMYFUNCTION("""COMPUTED_VALUE"""),"")</f>
        <v/>
      </c>
      <c r="S936" s="4" t="str">
        <f>IFERROR(__xludf.DUMMYFUNCTION("""COMPUTED_VALUE"""),"")</f>
        <v/>
      </c>
      <c r="T936" s="4" t="str">
        <f>IFERROR(__xludf.DUMMYFUNCTION("""COMPUTED_VALUE"""),"")</f>
        <v/>
      </c>
      <c r="U936" s="4" t="str">
        <f>IFERROR(__xludf.DUMMYFUNCTION("""COMPUTED_VALUE"""),"")</f>
        <v/>
      </c>
      <c r="V936" s="4" t="str">
        <f>IFERROR(__xludf.DUMMYFUNCTION("""COMPUTED_VALUE"""),"")</f>
        <v/>
      </c>
      <c r="W936" s="4" t="str">
        <f>IFERROR(__xludf.DUMMYFUNCTION("""COMPUTED_VALUE"""),"")</f>
        <v/>
      </c>
      <c r="X936" s="4" t="str">
        <f>IFERROR(__xludf.DUMMYFUNCTION("""COMPUTED_VALUE"""),"")</f>
        <v/>
      </c>
      <c r="Y936" s="4" t="str">
        <f>IFERROR(__xludf.DUMMYFUNCTION("""COMPUTED_VALUE"""),"")</f>
        <v/>
      </c>
    </row>
    <row r="937">
      <c r="A937" s="4" t="str">
        <f>IFERROR(__xludf.DUMMYFUNCTION("""COMPUTED_VALUE"""),"1355 - Channel")</f>
        <v>1355 - Channel</v>
      </c>
      <c r="B937" s="4" t="str">
        <f>IFERROR(__xludf.DUMMYFUNCTION("""COMPUTED_VALUE"""),"Channel 3")</f>
        <v>Channel 3</v>
      </c>
      <c r="C937" s="4" t="str">
        <f>IFERROR(__xludf.DUMMYFUNCTION("""COMPUTED_VALUE"""),"Day 3 - 25/06")</f>
        <v>Day 3 - 25/06</v>
      </c>
      <c r="D937" s="4" t="str">
        <f>IFERROR(__xludf.DUMMYFUNCTION("""COMPUTED_VALUE"""),"")</f>
        <v/>
      </c>
      <c r="E937" s="4" t="str">
        <f>IFERROR(__xludf.DUMMYFUNCTION("""COMPUTED_VALUE"""),"")</f>
        <v/>
      </c>
      <c r="F937" s="4" t="str">
        <f>IFERROR(__xludf.DUMMYFUNCTION("""COMPUTED_VALUE"""),"")</f>
        <v/>
      </c>
      <c r="G937" s="4" t="str">
        <f>IFERROR(__xludf.DUMMYFUNCTION("""COMPUTED_VALUE"""),"")</f>
        <v/>
      </c>
      <c r="H937" s="4" t="str">
        <f>IFERROR(__xludf.DUMMYFUNCTION("""COMPUTED_VALUE"""),"")</f>
        <v/>
      </c>
      <c r="I937" s="4" t="str">
        <f>IFERROR(__xludf.DUMMYFUNCTION("""COMPUTED_VALUE"""),"")</f>
        <v/>
      </c>
      <c r="J937" s="4" t="str">
        <f>IFERROR(__xludf.DUMMYFUNCTION("""COMPUTED_VALUE"""),"")</f>
        <v/>
      </c>
      <c r="K937" s="4" t="str">
        <f>IFERROR(__xludf.DUMMYFUNCTION("""COMPUTED_VALUE"""),"")</f>
        <v/>
      </c>
      <c r="L937" s="4" t="str">
        <f>IFERROR(__xludf.DUMMYFUNCTION("""COMPUTED_VALUE"""),"")</f>
        <v/>
      </c>
      <c r="M937" s="4" t="str">
        <f>IFERROR(__xludf.DUMMYFUNCTION("""COMPUTED_VALUE"""),"")</f>
        <v/>
      </c>
      <c r="N937" s="4" t="str">
        <f>IFERROR(__xludf.DUMMYFUNCTION("""COMPUTED_VALUE"""),"")</f>
        <v/>
      </c>
      <c r="O937" s="4" t="str">
        <f>IFERROR(__xludf.DUMMYFUNCTION("""COMPUTED_VALUE"""),"")</f>
        <v/>
      </c>
      <c r="P937" s="4" t="str">
        <f>IFERROR(__xludf.DUMMYFUNCTION("""COMPUTED_VALUE"""),"")</f>
        <v/>
      </c>
      <c r="Q937" s="4" t="str">
        <f>IFERROR(__xludf.DUMMYFUNCTION("""COMPUTED_VALUE"""),"")</f>
        <v/>
      </c>
      <c r="R937" s="4" t="str">
        <f>IFERROR(__xludf.DUMMYFUNCTION("""COMPUTED_VALUE"""),"")</f>
        <v/>
      </c>
      <c r="S937" s="4" t="str">
        <f>IFERROR(__xludf.DUMMYFUNCTION("""COMPUTED_VALUE"""),"")</f>
        <v/>
      </c>
      <c r="T937" s="4" t="str">
        <f>IFERROR(__xludf.DUMMYFUNCTION("""COMPUTED_VALUE"""),"")</f>
        <v/>
      </c>
      <c r="U937" s="4" t="str">
        <f>IFERROR(__xludf.DUMMYFUNCTION("""COMPUTED_VALUE"""),"")</f>
        <v/>
      </c>
      <c r="V937" s="4" t="str">
        <f>IFERROR(__xludf.DUMMYFUNCTION("""COMPUTED_VALUE"""),"")</f>
        <v/>
      </c>
      <c r="W937" s="4" t="str">
        <f>IFERROR(__xludf.DUMMYFUNCTION("""COMPUTED_VALUE"""),"")</f>
        <v/>
      </c>
      <c r="X937" s="4" t="str">
        <f>IFERROR(__xludf.DUMMYFUNCTION("""COMPUTED_VALUE"""),"")</f>
        <v/>
      </c>
      <c r="Y937" s="4" t="str">
        <f>IFERROR(__xludf.DUMMYFUNCTION("""COMPUTED_VALUE"""),"")</f>
        <v/>
      </c>
    </row>
    <row r="938">
      <c r="A938" s="4" t="str">
        <f>IFERROR(__xludf.DUMMYFUNCTION("""COMPUTED_VALUE"""),"1051 - Channel")</f>
        <v>1051 - Channel</v>
      </c>
      <c r="B938" s="4" t="str">
        <f>IFERROR(__xludf.DUMMYFUNCTION("""COMPUTED_VALUE"""),"Channel 3")</f>
        <v>Channel 3</v>
      </c>
      <c r="C938" s="4" t="str">
        <f>IFERROR(__xludf.DUMMYFUNCTION("""COMPUTED_VALUE"""),"Day 3 - 25/06")</f>
        <v>Day 3 - 25/06</v>
      </c>
      <c r="D938" s="6">
        <f>IFERROR(__xludf.DUMMYFUNCTION("""COMPUTED_VALUE"""),0.5416666666666666)</f>
        <v>0.5416666667</v>
      </c>
      <c r="E938" s="6">
        <f>IFERROR(__xludf.DUMMYFUNCTION("""COMPUTED_VALUE"""),3.4722222222222224E-4)</f>
        <v>0.0003472222222</v>
      </c>
      <c r="F938" s="6">
        <f>IFERROR(__xludf.DUMMYFUNCTION("""COMPUTED_VALUE"""),0.5420138888888889)</f>
        <v>0.5420138889</v>
      </c>
      <c r="G938" s="4" t="str">
        <f>IFERROR(__xludf.DUMMYFUNCTION("""COMPUTED_VALUE"""),"Graphics")</f>
        <v>Graphics</v>
      </c>
      <c r="H938" s="4" t="str">
        <f>IFERROR(__xludf.DUMMYFUNCTION("""COMPUTED_VALUE"""),"")</f>
        <v/>
      </c>
      <c r="I938" s="4" t="str">
        <f>IFERROR(__xludf.DUMMYFUNCTION("""COMPUTED_VALUE"""),"")</f>
        <v/>
      </c>
      <c r="J938" s="4" t="str">
        <f>IFERROR(__xludf.DUMMYFUNCTION("""COMPUTED_VALUE"""),"Sport")</f>
        <v>Sport</v>
      </c>
      <c r="K938" s="4" t="str">
        <f>IFERROR(__xludf.DUMMYFUNCTION("""COMPUTED_VALUE"""),"Talk Intro")</f>
        <v>Talk Intro</v>
      </c>
      <c r="L938" s="4" t="str">
        <f>IFERROR(__xludf.DUMMYFUNCTION("""COMPUTED_VALUE"""),"")</f>
        <v/>
      </c>
      <c r="M938" s="4" t="str">
        <f>IFERROR(__xludf.DUMMYFUNCTION("""COMPUTED_VALUE"""),"Talk Intro")</f>
        <v>Talk Intro</v>
      </c>
      <c r="N938" s="4" t="str">
        <f>IFERROR(__xludf.DUMMYFUNCTION("""COMPUTED_VALUE"""),"")</f>
        <v/>
      </c>
      <c r="O938" s="4" t="str">
        <f>IFERROR(__xludf.DUMMYFUNCTION("""COMPUTED_VALUE"""),"")</f>
        <v/>
      </c>
      <c r="P938" s="4" t="str">
        <f>IFERROR(__xludf.DUMMYFUNCTION("""COMPUTED_VALUE"""),"")</f>
        <v/>
      </c>
      <c r="Q938" s="4" t="str">
        <f>IFERROR(__xludf.DUMMYFUNCTION("""COMPUTED_VALUE"""),"")</f>
        <v/>
      </c>
      <c r="R938" s="4" t="str">
        <f>IFERROR(__xludf.DUMMYFUNCTION("""COMPUTED_VALUE"""),"")</f>
        <v/>
      </c>
      <c r="S938" s="4" t="str">
        <f>IFERROR(__xludf.DUMMYFUNCTION("""COMPUTED_VALUE"""),"")</f>
        <v/>
      </c>
      <c r="T938" s="4" t="str">
        <f>IFERROR(__xludf.DUMMYFUNCTION("""COMPUTED_VALUE"""),"")</f>
        <v/>
      </c>
      <c r="U938" s="4" t="str">
        <f>IFERROR(__xludf.DUMMYFUNCTION("""COMPUTED_VALUE"""),"")</f>
        <v/>
      </c>
      <c r="V938" s="4" t="str">
        <f>IFERROR(__xludf.DUMMYFUNCTION("""COMPUTED_VALUE"""),"")</f>
        <v/>
      </c>
      <c r="W938" s="4" t="str">
        <f>IFERROR(__xludf.DUMMYFUNCTION("""COMPUTED_VALUE"""),"")</f>
        <v/>
      </c>
      <c r="X938" s="4" t="str">
        <f>IFERROR(__xludf.DUMMYFUNCTION("""COMPUTED_VALUE"""),"")</f>
        <v/>
      </c>
      <c r="Y938" s="4" t="str">
        <f>IFERROR(__xludf.DUMMYFUNCTION("""COMPUTED_VALUE"""),"")</f>
        <v/>
      </c>
    </row>
    <row r="939">
      <c r="A939" s="4" t="str">
        <f>IFERROR(__xludf.DUMMYFUNCTION("""COMPUTED_VALUE"""),"1052 - Channel")</f>
        <v>1052 - Channel</v>
      </c>
      <c r="B939" s="4" t="str">
        <f>IFERROR(__xludf.DUMMYFUNCTION("""COMPUTED_VALUE"""),"Channel 3")</f>
        <v>Channel 3</v>
      </c>
      <c r="C939" s="4" t="str">
        <f>IFERROR(__xludf.DUMMYFUNCTION("""COMPUTED_VALUE"""),"Day 3 - 25/06")</f>
        <v>Day 3 - 25/06</v>
      </c>
      <c r="D939" s="6">
        <f>IFERROR(__xludf.DUMMYFUNCTION("""COMPUTED_VALUE"""),0.5420138888888889)</f>
        <v>0.5420138889</v>
      </c>
      <c r="E939" s="6">
        <f>IFERROR(__xludf.DUMMYFUNCTION("""COMPUTED_VALUE"""),0.010717592592592593)</f>
        <v>0.01071759259</v>
      </c>
      <c r="F939" s="6">
        <f>IFERROR(__xludf.DUMMYFUNCTION("""COMPUTED_VALUE"""),0.5527314814814815)</f>
        <v>0.5527314815</v>
      </c>
      <c r="G939" s="4" t="str">
        <f>IFERROR(__xludf.DUMMYFUNCTION("""COMPUTED_VALUE"""),"Darren")</f>
        <v>Darren</v>
      </c>
      <c r="H939" s="4" t="str">
        <f>IFERROR(__xludf.DUMMYFUNCTION("""COMPUTED_VALUE"""),"Shauna")</f>
        <v>Shauna</v>
      </c>
      <c r="I939" s="4" t="str">
        <f>IFERROR(__xludf.DUMMYFUNCTION("""COMPUTED_VALUE"""),"Lucia H.")</f>
        <v>Lucia H.</v>
      </c>
      <c r="J939" s="4" t="str">
        <f>IFERROR(__xludf.DUMMYFUNCTION("""COMPUTED_VALUE"""),"Sport")</f>
        <v>Sport</v>
      </c>
      <c r="K939" s="4" t="str">
        <f>IFERROR(__xludf.DUMMYFUNCTION("""COMPUTED_VALUE"""),"Fireside")</f>
        <v>Fireside</v>
      </c>
      <c r="L939" s="4" t="str">
        <f>IFERROR(__xludf.DUMMYFUNCTION("""COMPUTED_VALUE"""),"T- 6 - 11/05/2020")</f>
        <v>T- 6 - 11/05/2020</v>
      </c>
      <c r="M939" s="4" t="str">
        <f>IFERROR(__xludf.DUMMYFUNCTION("""COMPUTED_VALUE"""),"A champion's guide to conquering the world")</f>
        <v>A champion's guide to conquering the world</v>
      </c>
      <c r="N939" s="4" t="str">
        <f>IFERROR(__xludf.DUMMYFUNCTION("""COMPUTED_VALUE"""),"Gilberto Silva, Brazil")</f>
        <v>Gilberto Silva, Brazil</v>
      </c>
      <c r="O939" s="4" t="str">
        <f>IFERROR(__xludf.DUMMYFUNCTION("""COMPUTED_VALUE"""),"")</f>
        <v/>
      </c>
      <c r="P939" s="4" t="str">
        <f>IFERROR(__xludf.DUMMYFUNCTION("""COMPUTED_VALUE"""),"")</f>
        <v/>
      </c>
      <c r="Q939" s="4" t="str">
        <f>IFERROR(__xludf.DUMMYFUNCTION("""COMPUTED_VALUE"""),"")</f>
        <v/>
      </c>
      <c r="R939" s="4" t="str">
        <f>IFERROR(__xludf.DUMMYFUNCTION("""COMPUTED_VALUE"""),"Tim Chase, TruChallenge")</f>
        <v>Tim Chase, TruChallenge</v>
      </c>
      <c r="S939" s="4" t="str">
        <f>IFERROR(__xludf.DUMMYFUNCTION("""COMPUTED_VALUE"""),"Gilberto Silva is a football icon. A legend in the famous colours of Brazil, he had a distinguished career at home, as well as spells in England and Greece. A World Cup winner in 2002, Gilberto also has the unique honour of being called an Arsenal Invinci"&amp;"ble, part of the undefeated 2003-2004 squad. In this talk, Gilberto outlines the next chapter of his storied career.")</f>
        <v>Gilberto Silva is a football icon. A legend in the famous colours of Brazil, he had a distinguished career at home, as well as spells in England and Greece. A World Cup winner in 2002, Gilberto also has the unique honour of being called an Arsenal Invincible, part of the undefeated 2003-2004 squad. In this talk, Gilberto outlines the next chapter of his storied career.</v>
      </c>
      <c r="T939" s="4" t="str">
        <f>IFERROR(__xludf.DUMMYFUNCTION("""COMPUTED_VALUE"""),"NON-KEYNOTE 9 - COMPLETE")</f>
        <v>NON-KEYNOTE 9 - COMPLETE</v>
      </c>
      <c r="U939" s="23">
        <f>IFERROR(__xludf.DUMMYFUNCTION("""COMPUTED_VALUE"""),43965.0)</f>
        <v>43965</v>
      </c>
      <c r="V939" s="4" t="str">
        <f>IFERROR(__xludf.DUMMYFUNCTION("""COMPUTED_VALUE"""),"")</f>
        <v/>
      </c>
      <c r="W939" s="4" t="str">
        <f>IFERROR(__xludf.DUMMYFUNCTION("""COMPUTED_VALUE"""),"COMPLETE")</f>
        <v>COMPLETE</v>
      </c>
      <c r="X939" s="4" t="str">
        <f>IFERROR(__xludf.DUMMYFUNCTION("""COMPUTED_VALUE"""),"")</f>
        <v/>
      </c>
      <c r="Y939" s="4" t="str">
        <f>IFERROR(__xludf.DUMMYFUNCTION("""COMPUTED_VALUE"""),"")</f>
        <v/>
      </c>
    </row>
    <row r="940">
      <c r="A940" s="4" t="str">
        <f>IFERROR(__xludf.DUMMYFUNCTION("""COMPUTED_VALUE"""),"1055 - Channel")</f>
        <v>1055 - Channel</v>
      </c>
      <c r="B940" s="4" t="str">
        <f>IFERROR(__xludf.DUMMYFUNCTION("""COMPUTED_VALUE"""),"Channel 3")</f>
        <v>Channel 3</v>
      </c>
      <c r="C940" s="4" t="str">
        <f>IFERROR(__xludf.DUMMYFUNCTION("""COMPUTED_VALUE"""),"Day 3 - 25/06")</f>
        <v>Day 3 - 25/06</v>
      </c>
      <c r="D940" s="6">
        <f>IFERROR(__xludf.DUMMYFUNCTION("""COMPUTED_VALUE"""),0.5527314814814815)</f>
        <v>0.5527314815</v>
      </c>
      <c r="E940" s="6">
        <f>IFERROR(__xludf.DUMMYFUNCTION("""COMPUTED_VALUE"""),2.314814814814815E-4)</f>
        <v>0.0002314814815</v>
      </c>
      <c r="F940" s="6">
        <f>IFERROR(__xludf.DUMMYFUNCTION("""COMPUTED_VALUE"""),0.552962962962963)</f>
        <v>0.552962963</v>
      </c>
      <c r="G940" s="4" t="str">
        <f>IFERROR(__xludf.DUMMYFUNCTION("""COMPUTED_VALUE"""),"Graphics")</f>
        <v>Graphics</v>
      </c>
      <c r="H940" s="4" t="str">
        <f>IFERROR(__xludf.DUMMYFUNCTION("""COMPUTED_VALUE"""),"N/A")</f>
        <v>N/A</v>
      </c>
      <c r="I940" s="4" t="str">
        <f>IFERROR(__xludf.DUMMYFUNCTION("""COMPUTED_VALUE"""),"N/A")</f>
        <v>N/A</v>
      </c>
      <c r="J940" s="4" t="str">
        <f>IFERROR(__xludf.DUMMYFUNCTION("""COMPUTED_VALUE"""),"Sport")</f>
        <v>Sport</v>
      </c>
      <c r="K940" s="4" t="str">
        <f>IFERROR(__xludf.DUMMYFUNCTION("""COMPUTED_VALUE"""),"Talk Intro")</f>
        <v>Talk Intro</v>
      </c>
      <c r="L940" s="4" t="str">
        <f>IFERROR(__xludf.DUMMYFUNCTION("""COMPUTED_VALUE"""),"")</f>
        <v/>
      </c>
      <c r="M940" s="4" t="str">
        <f>IFERROR(__xludf.DUMMYFUNCTION("""COMPUTED_VALUE"""),"Talk Intro")</f>
        <v>Talk Intro</v>
      </c>
      <c r="N940" s="4" t="str">
        <f>IFERROR(__xludf.DUMMYFUNCTION("""COMPUTED_VALUE"""),"")</f>
        <v/>
      </c>
      <c r="O940" s="4" t="str">
        <f>IFERROR(__xludf.DUMMYFUNCTION("""COMPUTED_VALUE"""),"")</f>
        <v/>
      </c>
      <c r="P940" s="4" t="str">
        <f>IFERROR(__xludf.DUMMYFUNCTION("""COMPUTED_VALUE"""),"")</f>
        <v/>
      </c>
      <c r="Q940" s="4" t="str">
        <f>IFERROR(__xludf.DUMMYFUNCTION("""COMPUTED_VALUE"""),"")</f>
        <v/>
      </c>
      <c r="R940" s="4" t="str">
        <f>IFERROR(__xludf.DUMMYFUNCTION("""COMPUTED_VALUE"""),"")</f>
        <v/>
      </c>
      <c r="S940" s="4" t="str">
        <f>IFERROR(__xludf.DUMMYFUNCTION("""COMPUTED_VALUE"""),"")</f>
        <v/>
      </c>
      <c r="T940" s="4" t="str">
        <f>IFERROR(__xludf.DUMMYFUNCTION("""COMPUTED_VALUE"""),"")</f>
        <v/>
      </c>
      <c r="U940" s="4" t="str">
        <f>IFERROR(__xludf.DUMMYFUNCTION("""COMPUTED_VALUE"""),"")</f>
        <v/>
      </c>
      <c r="V940" s="4" t="str">
        <f>IFERROR(__xludf.DUMMYFUNCTION("""COMPUTED_VALUE"""),"")</f>
        <v/>
      </c>
      <c r="W940" s="4" t="str">
        <f>IFERROR(__xludf.DUMMYFUNCTION("""COMPUTED_VALUE"""),"")</f>
        <v/>
      </c>
      <c r="X940" s="4" t="str">
        <f>IFERROR(__xludf.DUMMYFUNCTION("""COMPUTED_VALUE"""),"")</f>
        <v/>
      </c>
      <c r="Y940" s="4" t="str">
        <f>IFERROR(__xludf.DUMMYFUNCTION("""COMPUTED_VALUE"""),"")</f>
        <v/>
      </c>
    </row>
    <row r="941">
      <c r="A941" s="4" t="str">
        <f>IFERROR(__xludf.DUMMYFUNCTION("""COMPUTED_VALUE"""),"1361 - Channel")</f>
        <v>1361 - Channel</v>
      </c>
      <c r="B941" s="4" t="str">
        <f>IFERROR(__xludf.DUMMYFUNCTION("""COMPUTED_VALUE"""),"Channel 3")</f>
        <v>Channel 3</v>
      </c>
      <c r="C941" s="4" t="str">
        <f>IFERROR(__xludf.DUMMYFUNCTION("""COMPUTED_VALUE"""),"Day 3 - 25/06")</f>
        <v>Day 3 - 25/06</v>
      </c>
      <c r="D941" s="6">
        <f>IFERROR(__xludf.DUMMYFUNCTION("""COMPUTED_VALUE"""),0.552962962962963)</f>
        <v>0.552962963</v>
      </c>
      <c r="E941" s="6">
        <f>IFERROR(__xludf.DUMMYFUNCTION("""COMPUTED_VALUE"""),0.012152777777777778)</f>
        <v>0.01215277778</v>
      </c>
      <c r="F941" s="6">
        <f>IFERROR(__xludf.DUMMYFUNCTION("""COMPUTED_VALUE"""),0.5651157407407408)</f>
        <v>0.5651157407</v>
      </c>
      <c r="G941" s="4" t="str">
        <f>IFERROR(__xludf.DUMMYFUNCTION("""COMPUTED_VALUE"""),"Darren")</f>
        <v>Darren</v>
      </c>
      <c r="H941" s="4" t="str">
        <f>IFERROR(__xludf.DUMMYFUNCTION("""COMPUTED_VALUE"""),"Shauna")</f>
        <v>Shauna</v>
      </c>
      <c r="I941" s="4" t="str">
        <f>IFERROR(__xludf.DUMMYFUNCTION("""COMPUTED_VALUE"""),"Manon")</f>
        <v>Manon</v>
      </c>
      <c r="J941" s="4" t="str">
        <f>IFERROR(__xludf.DUMMYFUNCTION("""COMPUTED_VALUE"""),"Sport")</f>
        <v>Sport</v>
      </c>
      <c r="K941" s="4" t="str">
        <f>IFERROR(__xludf.DUMMYFUNCTION("""COMPUTED_VALUE"""),"Panel")</f>
        <v>Panel</v>
      </c>
      <c r="L941" s="4" t="str">
        <f>IFERROR(__xludf.DUMMYFUNCTION("""COMPUTED_VALUE"""),"T- 3 - 01/06/2020")</f>
        <v>T- 3 - 01/06/2020</v>
      </c>
      <c r="M941" s="4" t="str">
        <f>IFERROR(__xludf.DUMMYFUNCTION("""COMPUTED_VALUE"""),"The Gronkowski's guide to building a business empire")</f>
        <v>The Gronkowski's guide to building a business empire</v>
      </c>
      <c r="N941" s="4" t="str">
        <f>IFERROR(__xludf.DUMMYFUNCTION("""COMPUTED_VALUE"""),"Rob Gronkowski, The Gronk")</f>
        <v>Rob Gronkowski, The Gronk</v>
      </c>
      <c r="O941" s="4" t="str">
        <f>IFERROR(__xludf.DUMMYFUNCTION("""COMPUTED_VALUE"""),"Gordie Gronkowski, Gronk Fitness")</f>
        <v>Gordie Gronkowski, Gronk Fitness</v>
      </c>
      <c r="P941" s="4" t="str">
        <f>IFERROR(__xludf.DUMMYFUNCTION("""COMPUTED_VALUE"""),"Dan Gronkowski, InSite Media")</f>
        <v>Dan Gronkowski, InSite Media</v>
      </c>
      <c r="Q941" s="4" t="str">
        <f>IFERROR(__xludf.DUMMYFUNCTION("""COMPUTED_VALUE"""),"Glenn Gronkowski, Complex SE")</f>
        <v>Glenn Gronkowski, Complex SE</v>
      </c>
      <c r="R941" s="4" t="str">
        <f>IFERROR(__xludf.DUMMYFUNCTION("""COMPUTED_VALUE"""),"Ger Gilroy, Off The Ball")</f>
        <v>Ger Gilroy, Off The Ball</v>
      </c>
      <c r="S941" s="4" t="str">
        <f>IFERROR(__xludf.DUMMYFUNCTION("""COMPUTED_VALUE"""),"The Gronkowski brothers are renowned for their success in the sporting arena, but in this talk, the spotlight is on their entrepreneurial endeavors. Learn how the accomplished business builders, Glenn, Gordie, Dan, Chris, and Rob, are winning off the fiel"&amp;"d of play")</f>
        <v>The Gronkowski brothers are renowned for their success in the sporting arena, but in this talk, the spotlight is on their entrepreneurial endeavors. Learn how the accomplished business builders, Glenn, Gordie, Dan, Chris, and Rob, are winning off the field of play</v>
      </c>
      <c r="T941" s="4" t="str">
        <f>IFERROR(__xludf.DUMMYFUNCTION("""COMPUTED_VALUE"""),"NON-KEYNOTE 9 - COMPLETE")</f>
        <v>NON-KEYNOTE 9 - COMPLETE</v>
      </c>
      <c r="U941" s="23">
        <f>IFERROR(__xludf.DUMMYFUNCTION("""COMPUTED_VALUE"""),43984.0)</f>
        <v>43984</v>
      </c>
      <c r="V941" s="44">
        <f>IFERROR(__xludf.DUMMYFUNCTION("""COMPUTED_VALUE"""),0.7291666666666666)</f>
        <v>0.7291666667</v>
      </c>
      <c r="W941" s="4" t="str">
        <f>IFERROR(__xludf.DUMMYFUNCTION("""COMPUTED_VALUE"""),"COMPLETE")</f>
        <v>COMPLETE</v>
      </c>
      <c r="X941" s="4" t="str">
        <f>IFERROR(__xludf.DUMMYFUNCTION("""COMPUTED_VALUE"""),"Darren")</f>
        <v>Darren</v>
      </c>
      <c r="Y941" s="4" t="str">
        <f>IFERROR(__xludf.DUMMYFUNCTION("""COMPUTED_VALUE"""),"")</f>
        <v/>
      </c>
    </row>
    <row r="942">
      <c r="A942" s="4" t="str">
        <f>IFERROR(__xludf.DUMMYFUNCTION("""COMPUTED_VALUE"""),"1061 - Channel")</f>
        <v>1061 - Channel</v>
      </c>
      <c r="B942" s="4" t="str">
        <f>IFERROR(__xludf.DUMMYFUNCTION("""COMPUTED_VALUE"""),"Channel 3")</f>
        <v>Channel 3</v>
      </c>
      <c r="C942" s="4" t="str">
        <f>IFERROR(__xludf.DUMMYFUNCTION("""COMPUTED_VALUE"""),"Day 3 - 25/06")</f>
        <v>Day 3 - 25/06</v>
      </c>
      <c r="D942" s="6">
        <f>IFERROR(__xludf.DUMMYFUNCTION("""COMPUTED_VALUE"""),0.5651157407407408)</f>
        <v>0.5651157407</v>
      </c>
      <c r="E942" s="6">
        <f>IFERROR(__xludf.DUMMYFUNCTION("""COMPUTED_VALUE"""),2.314814814814815E-4)</f>
        <v>0.0002314814815</v>
      </c>
      <c r="F942" s="6">
        <f>IFERROR(__xludf.DUMMYFUNCTION("""COMPUTED_VALUE"""),0.5653472222222222)</f>
        <v>0.5653472222</v>
      </c>
      <c r="G942" s="4" t="str">
        <f>IFERROR(__xludf.DUMMYFUNCTION("""COMPUTED_VALUE"""),"Graphics")</f>
        <v>Graphics</v>
      </c>
      <c r="H942" s="4" t="str">
        <f>IFERROR(__xludf.DUMMYFUNCTION("""COMPUTED_VALUE"""),"N/A")</f>
        <v>N/A</v>
      </c>
      <c r="I942" s="4" t="str">
        <f>IFERROR(__xludf.DUMMYFUNCTION("""COMPUTED_VALUE"""),"N/A")</f>
        <v>N/A</v>
      </c>
      <c r="J942" s="4" t="str">
        <f>IFERROR(__xludf.DUMMYFUNCTION("""COMPUTED_VALUE"""),"Sport")</f>
        <v>Sport</v>
      </c>
      <c r="K942" s="4" t="str">
        <f>IFERROR(__xludf.DUMMYFUNCTION("""COMPUTED_VALUE"""),"Talk Intro")</f>
        <v>Talk Intro</v>
      </c>
      <c r="L942" s="4" t="str">
        <f>IFERROR(__xludf.DUMMYFUNCTION("""COMPUTED_VALUE"""),"")</f>
        <v/>
      </c>
      <c r="M942" s="4" t="str">
        <f>IFERROR(__xludf.DUMMYFUNCTION("""COMPUTED_VALUE"""),"Talk Intro")</f>
        <v>Talk Intro</v>
      </c>
      <c r="N942" s="4" t="str">
        <f>IFERROR(__xludf.DUMMYFUNCTION("""COMPUTED_VALUE"""),"")</f>
        <v/>
      </c>
      <c r="O942" s="4" t="str">
        <f>IFERROR(__xludf.DUMMYFUNCTION("""COMPUTED_VALUE"""),"")</f>
        <v/>
      </c>
      <c r="P942" s="4" t="str">
        <f>IFERROR(__xludf.DUMMYFUNCTION("""COMPUTED_VALUE"""),"")</f>
        <v/>
      </c>
      <c r="Q942" s="4" t="str">
        <f>IFERROR(__xludf.DUMMYFUNCTION("""COMPUTED_VALUE"""),"")</f>
        <v/>
      </c>
      <c r="R942" s="4" t="str">
        <f>IFERROR(__xludf.DUMMYFUNCTION("""COMPUTED_VALUE"""),"")</f>
        <v/>
      </c>
      <c r="S942" s="4" t="str">
        <f>IFERROR(__xludf.DUMMYFUNCTION("""COMPUTED_VALUE"""),"")</f>
        <v/>
      </c>
      <c r="T942" s="4" t="str">
        <f>IFERROR(__xludf.DUMMYFUNCTION("""COMPUTED_VALUE"""),"")</f>
        <v/>
      </c>
      <c r="U942" s="4" t="str">
        <f>IFERROR(__xludf.DUMMYFUNCTION("""COMPUTED_VALUE"""),"")</f>
        <v/>
      </c>
      <c r="V942" s="4" t="str">
        <f>IFERROR(__xludf.DUMMYFUNCTION("""COMPUTED_VALUE"""),"")</f>
        <v/>
      </c>
      <c r="W942" s="4" t="str">
        <f>IFERROR(__xludf.DUMMYFUNCTION("""COMPUTED_VALUE"""),"")</f>
        <v/>
      </c>
      <c r="X942" s="4" t="str">
        <f>IFERROR(__xludf.DUMMYFUNCTION("""COMPUTED_VALUE"""),"")</f>
        <v/>
      </c>
      <c r="Y942" s="4" t="str">
        <f>IFERROR(__xludf.DUMMYFUNCTION("""COMPUTED_VALUE"""),"")</f>
        <v/>
      </c>
    </row>
    <row r="943">
      <c r="A943" s="4" t="str">
        <f>IFERROR(__xludf.DUMMYFUNCTION("""COMPUTED_VALUE"""),"1062 - Channel")</f>
        <v>1062 - Channel</v>
      </c>
      <c r="B943" s="4" t="str">
        <f>IFERROR(__xludf.DUMMYFUNCTION("""COMPUTED_VALUE"""),"Channel 3")</f>
        <v>Channel 3</v>
      </c>
      <c r="C943" s="4" t="str">
        <f>IFERROR(__xludf.DUMMYFUNCTION("""COMPUTED_VALUE"""),"Day 3 - 25/06")</f>
        <v>Day 3 - 25/06</v>
      </c>
      <c r="D943" s="6">
        <f>IFERROR(__xludf.DUMMYFUNCTION("""COMPUTED_VALUE"""),0.5653472222222222)</f>
        <v>0.5653472222</v>
      </c>
      <c r="E943" s="6">
        <f>IFERROR(__xludf.DUMMYFUNCTION("""COMPUTED_VALUE"""),0.008078703703703704)</f>
        <v>0.008078703704</v>
      </c>
      <c r="F943" s="6">
        <f>IFERROR(__xludf.DUMMYFUNCTION("""COMPUTED_VALUE"""),0.5734259259259259)</f>
        <v>0.5734259259</v>
      </c>
      <c r="G943" s="4" t="str">
        <f>IFERROR(__xludf.DUMMYFUNCTION("""COMPUTED_VALUE"""),"Darren")</f>
        <v>Darren</v>
      </c>
      <c r="H943" s="4" t="str">
        <f>IFERROR(__xludf.DUMMYFUNCTION("""COMPUTED_VALUE"""),"Shauna")</f>
        <v>Shauna</v>
      </c>
      <c r="I943" s="4" t="str">
        <f>IFERROR(__xludf.DUMMYFUNCTION("""COMPUTED_VALUE"""),"Lucia H.")</f>
        <v>Lucia H.</v>
      </c>
      <c r="J943" s="4" t="str">
        <f>IFERROR(__xludf.DUMMYFUNCTION("""COMPUTED_VALUE"""),"Sport")</f>
        <v>Sport</v>
      </c>
      <c r="K943" s="4" t="str">
        <f>IFERROR(__xludf.DUMMYFUNCTION("""COMPUTED_VALUE"""),"Super Fireside")</f>
        <v>Super Fireside</v>
      </c>
      <c r="L943" s="4" t="str">
        <f>IFERROR(__xludf.DUMMYFUNCTION("""COMPUTED_VALUE"""),"T- 5 - 18/05/2020")</f>
        <v>T- 5 - 18/05/2020</v>
      </c>
      <c r="M943" s="4" t="str">
        <f>IFERROR(__xludf.DUMMYFUNCTION("""COMPUTED_VALUE"""),"The science of elite performance")</f>
        <v>The science of elite performance</v>
      </c>
      <c r="N943" s="4" t="str">
        <f>IFERROR(__xludf.DUMMYFUNCTION("""COMPUTED_VALUE"""),"Steve Gera, Gains Group")</f>
        <v>Steve Gera, Gains Group</v>
      </c>
      <c r="O943" s="4" t="str">
        <f>IFERROR(__xludf.DUMMYFUNCTION("""COMPUTED_VALUE"""),"Steve Lacroix, Minnesota Vikings")</f>
        <v>Steve Lacroix, Minnesota Vikings</v>
      </c>
      <c r="P943" s="4" t="str">
        <f>IFERROR(__xludf.DUMMYFUNCTION("""COMPUTED_VALUE"""),"")</f>
        <v/>
      </c>
      <c r="Q943" s="4" t="str">
        <f>IFERROR(__xludf.DUMMYFUNCTION("""COMPUTED_VALUE"""),"")</f>
        <v/>
      </c>
      <c r="R943" s="4" t="str">
        <f>IFERROR(__xludf.DUMMYFUNCTION("""COMPUTED_VALUE"""),"Aaron Korolnek, TSN Sports")</f>
        <v>Aaron Korolnek, TSN Sports</v>
      </c>
      <c r="S943" s="4" t="str">
        <f>IFERROR(__xludf.DUMMYFUNCTION("""COMPUTED_VALUE"""),"Sports science has unlocked advantages that have increased the maximum level of human performance. Have we reached the peak or will the next generation of athletes be superhuman?")</f>
        <v>Sports science has unlocked advantages that have increased the maximum level of human performance. Have we reached the peak or will the next generation of athletes be superhuman?</v>
      </c>
      <c r="T943" s="4" t="str">
        <f>IFERROR(__xludf.DUMMYFUNCTION("""COMPUTED_VALUE"""),"NON-KEYNOTE 9 - COMPLETE")</f>
        <v>NON-KEYNOTE 9 - COMPLETE</v>
      </c>
      <c r="U943" s="23">
        <f>IFERROR(__xludf.DUMMYFUNCTION("""COMPUTED_VALUE"""),43971.0)</f>
        <v>43971</v>
      </c>
      <c r="V943" s="24">
        <f>IFERROR(__xludf.DUMMYFUNCTION("""COMPUTED_VALUE"""),0.75)</f>
        <v>0.75</v>
      </c>
      <c r="W943" s="4" t="str">
        <f>IFERROR(__xludf.DUMMYFUNCTION("""COMPUTED_VALUE"""),"COMPLETE")</f>
        <v>COMPLETE</v>
      </c>
      <c r="X943" s="4" t="str">
        <f>IFERROR(__xludf.DUMMYFUNCTION("""COMPUTED_VALUE"""),"Gavin")</f>
        <v>Gavin</v>
      </c>
      <c r="Y943" s="4" t="str">
        <f>IFERROR(__xludf.DUMMYFUNCTION("""COMPUTED_VALUE"""),"")</f>
        <v/>
      </c>
    </row>
    <row r="944">
      <c r="A944" s="4" t="str">
        <f>IFERROR(__xludf.DUMMYFUNCTION("""COMPUTED_VALUE"""),"1058 - Channel")</f>
        <v>1058 - Channel</v>
      </c>
      <c r="B944" s="4" t="str">
        <f>IFERROR(__xludf.DUMMYFUNCTION("""COMPUTED_VALUE"""),"Channel 3")</f>
        <v>Channel 3</v>
      </c>
      <c r="C944" s="4" t="str">
        <f>IFERROR(__xludf.DUMMYFUNCTION("""COMPUTED_VALUE"""),"Day 3 - 25/06")</f>
        <v>Day 3 - 25/06</v>
      </c>
      <c r="D944" s="6">
        <f>IFERROR(__xludf.DUMMYFUNCTION("""COMPUTED_VALUE"""),0.5734259259259259)</f>
        <v>0.5734259259</v>
      </c>
      <c r="E944" s="6">
        <f>IFERROR(__xludf.DUMMYFUNCTION("""COMPUTED_VALUE"""),2.314814814814815E-4)</f>
        <v>0.0002314814815</v>
      </c>
      <c r="F944" s="6">
        <f>IFERROR(__xludf.DUMMYFUNCTION("""COMPUTED_VALUE"""),0.5736574074074073)</f>
        <v>0.5736574074</v>
      </c>
      <c r="G944" s="4" t="str">
        <f>IFERROR(__xludf.DUMMYFUNCTION("""COMPUTED_VALUE"""),"Graphics")</f>
        <v>Graphics</v>
      </c>
      <c r="H944" s="4" t="str">
        <f>IFERROR(__xludf.DUMMYFUNCTION("""COMPUTED_VALUE"""),"N/A")</f>
        <v>N/A</v>
      </c>
      <c r="I944" s="4" t="str">
        <f>IFERROR(__xludf.DUMMYFUNCTION("""COMPUTED_VALUE"""),"N/A")</f>
        <v>N/A</v>
      </c>
      <c r="J944" s="4" t="str">
        <f>IFERROR(__xludf.DUMMYFUNCTION("""COMPUTED_VALUE"""),"Sport")</f>
        <v>Sport</v>
      </c>
      <c r="K944" s="4" t="str">
        <f>IFERROR(__xludf.DUMMYFUNCTION("""COMPUTED_VALUE"""),"Talk Intro")</f>
        <v>Talk Intro</v>
      </c>
      <c r="L944" s="4" t="str">
        <f>IFERROR(__xludf.DUMMYFUNCTION("""COMPUTED_VALUE"""),"")</f>
        <v/>
      </c>
      <c r="M944" s="4" t="str">
        <f>IFERROR(__xludf.DUMMYFUNCTION("""COMPUTED_VALUE"""),"Talk Intro")</f>
        <v>Talk Intro</v>
      </c>
      <c r="N944" s="4" t="str">
        <f>IFERROR(__xludf.DUMMYFUNCTION("""COMPUTED_VALUE"""),"")</f>
        <v/>
      </c>
      <c r="O944" s="4" t="str">
        <f>IFERROR(__xludf.DUMMYFUNCTION("""COMPUTED_VALUE"""),"")</f>
        <v/>
      </c>
      <c r="P944" s="4" t="str">
        <f>IFERROR(__xludf.DUMMYFUNCTION("""COMPUTED_VALUE"""),"")</f>
        <v/>
      </c>
      <c r="Q944" s="4" t="str">
        <f>IFERROR(__xludf.DUMMYFUNCTION("""COMPUTED_VALUE"""),"")</f>
        <v/>
      </c>
      <c r="R944" s="4" t="str">
        <f>IFERROR(__xludf.DUMMYFUNCTION("""COMPUTED_VALUE"""),"")</f>
        <v/>
      </c>
      <c r="S944" s="4" t="str">
        <f>IFERROR(__xludf.DUMMYFUNCTION("""COMPUTED_VALUE"""),"")</f>
        <v/>
      </c>
      <c r="T944" s="4" t="str">
        <f>IFERROR(__xludf.DUMMYFUNCTION("""COMPUTED_VALUE"""),"")</f>
        <v/>
      </c>
      <c r="U944" s="4" t="str">
        <f>IFERROR(__xludf.DUMMYFUNCTION("""COMPUTED_VALUE"""),"")</f>
        <v/>
      </c>
      <c r="V944" s="4" t="str">
        <f>IFERROR(__xludf.DUMMYFUNCTION("""COMPUTED_VALUE"""),"")</f>
        <v/>
      </c>
      <c r="W944" s="4" t="str">
        <f>IFERROR(__xludf.DUMMYFUNCTION("""COMPUTED_VALUE"""),"")</f>
        <v/>
      </c>
      <c r="X944" s="4" t="str">
        <f>IFERROR(__xludf.DUMMYFUNCTION("""COMPUTED_VALUE"""),"")</f>
        <v/>
      </c>
      <c r="Y944" s="4" t="str">
        <f>IFERROR(__xludf.DUMMYFUNCTION("""COMPUTED_VALUE"""),"")</f>
        <v/>
      </c>
    </row>
    <row r="945">
      <c r="A945" s="4" t="str">
        <f>IFERROR(__xludf.DUMMYFUNCTION("""COMPUTED_VALUE"""),"1059 - Channel")</f>
        <v>1059 - Channel</v>
      </c>
      <c r="B945" s="4" t="str">
        <f>IFERROR(__xludf.DUMMYFUNCTION("""COMPUTED_VALUE"""),"Channel 3")</f>
        <v>Channel 3</v>
      </c>
      <c r="C945" s="4" t="str">
        <f>IFERROR(__xludf.DUMMYFUNCTION("""COMPUTED_VALUE"""),"Day 3 - 25/06")</f>
        <v>Day 3 - 25/06</v>
      </c>
      <c r="D945" s="6">
        <f>IFERROR(__xludf.DUMMYFUNCTION("""COMPUTED_VALUE"""),0.5736574074074073)</f>
        <v>0.5736574074</v>
      </c>
      <c r="E945" s="6">
        <f>IFERROR(__xludf.DUMMYFUNCTION("""COMPUTED_VALUE"""),0.008333333333333333)</f>
        <v>0.008333333333</v>
      </c>
      <c r="F945" s="6">
        <f>IFERROR(__xludf.DUMMYFUNCTION("""COMPUTED_VALUE"""),0.5819907407407406)</f>
        <v>0.5819907407</v>
      </c>
      <c r="G945" s="4" t="str">
        <f>IFERROR(__xludf.DUMMYFUNCTION("""COMPUTED_VALUE"""),"Darren")</f>
        <v>Darren</v>
      </c>
      <c r="H945" s="4" t="str">
        <f>IFERROR(__xludf.DUMMYFUNCTION("""COMPUTED_VALUE"""),"Shauna")</f>
        <v>Shauna</v>
      </c>
      <c r="I945" s="4" t="str">
        <f>IFERROR(__xludf.DUMMYFUNCTION("""COMPUTED_VALUE"""),"Naomi")</f>
        <v>Naomi</v>
      </c>
      <c r="J945" s="4" t="str">
        <f>IFERROR(__xludf.DUMMYFUNCTION("""COMPUTED_VALUE"""),"Sport")</f>
        <v>Sport</v>
      </c>
      <c r="K945" s="4" t="str">
        <f>IFERROR(__xludf.DUMMYFUNCTION("""COMPUTED_VALUE"""),"Fireside")</f>
        <v>Fireside</v>
      </c>
      <c r="L945" s="4" t="str">
        <f>IFERROR(__xludf.DUMMYFUNCTION("""COMPUTED_VALUE"""),"T- 2 - 08/06/2020")</f>
        <v>T- 2 - 08/06/2020</v>
      </c>
      <c r="M945" s="4" t="str">
        <f>IFERROR(__xludf.DUMMYFUNCTION("""COMPUTED_VALUE"""),"Bouncing back: The new normal for sport")</f>
        <v>Bouncing back: The new normal for sport</v>
      </c>
      <c r="N945" s="4" t="str">
        <f>IFERROR(__xludf.DUMMYFUNCTION("""COMPUTED_VALUE"""),"Angela Ruggiero, Sports Innovation Lab")</f>
        <v>Angela Ruggiero, Sports Innovation Lab</v>
      </c>
      <c r="O945" s="4" t="str">
        <f>IFERROR(__xludf.DUMMYFUNCTION("""COMPUTED_VALUE"""),"Kayla Alexander, WNBA")</f>
        <v>Kayla Alexander, WNBA</v>
      </c>
      <c r="P945" s="4" t="str">
        <f>IFERROR(__xludf.DUMMYFUNCTION("""COMPUTED_VALUE"""),"")</f>
        <v/>
      </c>
      <c r="Q945" s="4" t="str">
        <f>IFERROR(__xludf.DUMMYFUNCTION("""COMPUTED_VALUE"""),"")</f>
        <v/>
      </c>
      <c r="R945" s="4" t="str">
        <f>IFERROR(__xludf.DUMMYFUNCTION("""COMPUTED_VALUE"""),"Aaron Korolnek, TSN Sports")</f>
        <v>Aaron Korolnek, TSN Sports</v>
      </c>
      <c r="S945" s="4" t="str">
        <f>IFERROR(__xludf.DUMMYFUNCTION("""COMPUTED_VALUE"""),"Olympic gold medalist Angela Ruggiero is a leader in the sports world. Outside of playing, she is an educator, administrator, advisor and board member of the International Olympic Committee. Here, she shares her insights into unlocking peak performance on"&amp;" an athletic and personal front.
")</f>
        <v>Olympic gold medalist Angela Ruggiero is a leader in the sports world. Outside of playing, she is an educator, administrator, advisor and board member of the International Olympic Committee. Here, she shares her insights into unlocking peak performance on an athletic and personal front.
</v>
      </c>
      <c r="T945" s="4" t="str">
        <f>IFERROR(__xludf.DUMMYFUNCTION("""COMPUTED_VALUE"""),"NON-KEYNOTE 6 - Send Zoom calendar invite")</f>
        <v>NON-KEYNOTE 6 - Send Zoom calendar invite</v>
      </c>
      <c r="U945" s="55">
        <f>IFERROR(__xludf.DUMMYFUNCTION("""COMPUTED_VALUE"""),43993.0)</f>
        <v>43993</v>
      </c>
      <c r="V945" s="24">
        <f>IFERROR(__xludf.DUMMYFUNCTION("""COMPUTED_VALUE"""),0.6666666666666666)</f>
        <v>0.6666666667</v>
      </c>
      <c r="W945" s="21" t="str">
        <f>IFERROR(__xludf.DUMMYFUNCTION("""COMPUTED_VALUE"""),"https://zoom.us/j/97797083444")</f>
        <v>https://zoom.us/j/97797083444</v>
      </c>
      <c r="X945" s="4" t="str">
        <f>IFERROR(__xludf.DUMMYFUNCTION("""COMPUTED_VALUE"""),"Darren")</f>
        <v>Darren</v>
      </c>
      <c r="Y945" s="4" t="str">
        <f>IFERROR(__xludf.DUMMYFUNCTION("""COMPUTED_VALUE"""),"")</f>
        <v/>
      </c>
    </row>
    <row r="946">
      <c r="A946" s="4" t="str">
        <f>IFERROR(__xludf.DUMMYFUNCTION("""COMPUTED_VALUE"""),"1356 - Channel")</f>
        <v>1356 - Channel</v>
      </c>
      <c r="B946" s="4" t="str">
        <f>IFERROR(__xludf.DUMMYFUNCTION("""COMPUTED_VALUE"""),"Channel 3")</f>
        <v>Channel 3</v>
      </c>
      <c r="C946" s="4" t="str">
        <f>IFERROR(__xludf.DUMMYFUNCTION("""COMPUTED_VALUE"""),"Day 3 - 25/06")</f>
        <v>Day 3 - 25/06</v>
      </c>
      <c r="D946" s="4" t="str">
        <f>IFERROR(__xludf.DUMMYFUNCTION("""COMPUTED_VALUE"""),"")</f>
        <v/>
      </c>
      <c r="E946" s="4" t="str">
        <f>IFERROR(__xludf.DUMMYFUNCTION("""COMPUTED_VALUE"""),"")</f>
        <v/>
      </c>
      <c r="F946" s="4" t="str">
        <f>IFERROR(__xludf.DUMMYFUNCTION("""COMPUTED_VALUE"""),"")</f>
        <v/>
      </c>
      <c r="G946" s="4" t="str">
        <f>IFERROR(__xludf.DUMMYFUNCTION("""COMPUTED_VALUE"""),"")</f>
        <v/>
      </c>
      <c r="H946" s="4" t="str">
        <f>IFERROR(__xludf.DUMMYFUNCTION("""COMPUTED_VALUE"""),"")</f>
        <v/>
      </c>
      <c r="I946" s="4" t="str">
        <f>IFERROR(__xludf.DUMMYFUNCTION("""COMPUTED_VALUE"""),"")</f>
        <v/>
      </c>
      <c r="J946" s="4" t="str">
        <f>IFERROR(__xludf.DUMMYFUNCTION("""COMPUTED_VALUE"""),"")</f>
        <v/>
      </c>
      <c r="K946" s="4" t="str">
        <f>IFERROR(__xludf.DUMMYFUNCTION("""COMPUTED_VALUE"""),"")</f>
        <v/>
      </c>
      <c r="L946" s="4" t="str">
        <f>IFERROR(__xludf.DUMMYFUNCTION("""COMPUTED_VALUE"""),"")</f>
        <v/>
      </c>
      <c r="M946" s="4" t="str">
        <f>IFERROR(__xludf.DUMMYFUNCTION("""COMPUTED_VALUE"""),"")</f>
        <v/>
      </c>
      <c r="N946" s="4" t="str">
        <f>IFERROR(__xludf.DUMMYFUNCTION("""COMPUTED_VALUE"""),"")</f>
        <v/>
      </c>
      <c r="O946" s="4" t="str">
        <f>IFERROR(__xludf.DUMMYFUNCTION("""COMPUTED_VALUE"""),"")</f>
        <v/>
      </c>
      <c r="P946" s="4" t="str">
        <f>IFERROR(__xludf.DUMMYFUNCTION("""COMPUTED_VALUE"""),"")</f>
        <v/>
      </c>
      <c r="Q946" s="4" t="str">
        <f>IFERROR(__xludf.DUMMYFUNCTION("""COMPUTED_VALUE"""),"")</f>
        <v/>
      </c>
      <c r="R946" s="4" t="str">
        <f>IFERROR(__xludf.DUMMYFUNCTION("""COMPUTED_VALUE"""),"")</f>
        <v/>
      </c>
      <c r="S946" s="4" t="str">
        <f>IFERROR(__xludf.DUMMYFUNCTION("""COMPUTED_VALUE"""),"")</f>
        <v/>
      </c>
      <c r="T946" s="4" t="str">
        <f>IFERROR(__xludf.DUMMYFUNCTION("""COMPUTED_VALUE"""),"")</f>
        <v/>
      </c>
      <c r="U946" s="4" t="str">
        <f>IFERROR(__xludf.DUMMYFUNCTION("""COMPUTED_VALUE"""),"")</f>
        <v/>
      </c>
      <c r="V946" s="4" t="str">
        <f>IFERROR(__xludf.DUMMYFUNCTION("""COMPUTED_VALUE"""),"")</f>
        <v/>
      </c>
      <c r="W946" s="4" t="str">
        <f>IFERROR(__xludf.DUMMYFUNCTION("""COMPUTED_VALUE"""),"")</f>
        <v/>
      </c>
      <c r="X946" s="4" t="str">
        <f>IFERROR(__xludf.DUMMYFUNCTION("""COMPUTED_VALUE"""),"")</f>
        <v/>
      </c>
      <c r="Y946" s="4" t="str">
        <f>IFERROR(__xludf.DUMMYFUNCTION("""COMPUTED_VALUE"""),"")</f>
        <v/>
      </c>
    </row>
    <row r="947">
      <c r="A947" s="4" t="str">
        <f>IFERROR(__xludf.DUMMYFUNCTION("""COMPUTED_VALUE"""),"1564 - Channel")</f>
        <v>1564 - Channel</v>
      </c>
      <c r="B947" s="4" t="str">
        <f>IFERROR(__xludf.DUMMYFUNCTION("""COMPUTED_VALUE"""),"Channel 3")</f>
        <v>Channel 3</v>
      </c>
      <c r="C947" s="4" t="str">
        <f>IFERROR(__xludf.DUMMYFUNCTION("""COMPUTED_VALUE"""),"Day 3 - 25/06")</f>
        <v>Day 3 - 25/06</v>
      </c>
      <c r="D947" s="6">
        <f>IFERROR(__xludf.DUMMYFUNCTION("""COMPUTED_VALUE"""),0.5833333333333334)</f>
        <v>0.5833333333</v>
      </c>
      <c r="E947" s="6">
        <f>IFERROR(__xludf.DUMMYFUNCTION("""COMPUTED_VALUE"""),3.4722222222222224E-4)</f>
        <v>0.0003472222222</v>
      </c>
      <c r="F947" s="6">
        <f>IFERROR(__xludf.DUMMYFUNCTION("""COMPUTED_VALUE"""),0.5836805555555556)</f>
        <v>0.5836805556</v>
      </c>
      <c r="G947" s="4" t="str">
        <f>IFERROR(__xludf.DUMMYFUNCTION("""COMPUTED_VALUE"""),"Graphics")</f>
        <v>Graphics</v>
      </c>
      <c r="H947" s="4" t="str">
        <f>IFERROR(__xludf.DUMMYFUNCTION("""COMPUTED_VALUE"""),"")</f>
        <v/>
      </c>
      <c r="I947" s="4" t="str">
        <f>IFERROR(__xludf.DUMMYFUNCTION("""COMPUTED_VALUE"""),"")</f>
        <v/>
      </c>
      <c r="J947" s="4" t="str">
        <f>IFERROR(__xludf.DUMMYFUNCTION("""COMPUTED_VALUE"""),"")</f>
        <v/>
      </c>
      <c r="K947" s="4" t="str">
        <f>IFERROR(__xludf.DUMMYFUNCTION("""COMPUTED_VALUE"""),"Talk Intro")</f>
        <v>Talk Intro</v>
      </c>
      <c r="L947" s="4" t="str">
        <f>IFERROR(__xludf.DUMMYFUNCTION("""COMPUTED_VALUE"""),"")</f>
        <v/>
      </c>
      <c r="M947" s="4" t="str">
        <f>IFERROR(__xludf.DUMMYFUNCTION("""COMPUTED_VALUE"""),"Talk Intro")</f>
        <v>Talk Intro</v>
      </c>
      <c r="N947" s="4" t="str">
        <f>IFERROR(__xludf.DUMMYFUNCTION("""COMPUTED_VALUE"""),"")</f>
        <v/>
      </c>
      <c r="O947" s="4" t="str">
        <f>IFERROR(__xludf.DUMMYFUNCTION("""COMPUTED_VALUE"""),"")</f>
        <v/>
      </c>
      <c r="P947" s="4" t="str">
        <f>IFERROR(__xludf.DUMMYFUNCTION("""COMPUTED_VALUE"""),"")</f>
        <v/>
      </c>
      <c r="Q947" s="4" t="str">
        <f>IFERROR(__xludf.DUMMYFUNCTION("""COMPUTED_VALUE"""),"")</f>
        <v/>
      </c>
      <c r="R947" s="4" t="str">
        <f>IFERROR(__xludf.DUMMYFUNCTION("""COMPUTED_VALUE"""),"")</f>
        <v/>
      </c>
      <c r="S947" s="4" t="str">
        <f>IFERROR(__xludf.DUMMYFUNCTION("""COMPUTED_VALUE"""),"")</f>
        <v/>
      </c>
      <c r="T947" s="4" t="str">
        <f>IFERROR(__xludf.DUMMYFUNCTION("""COMPUTED_VALUE"""),"")</f>
        <v/>
      </c>
      <c r="U947" s="4" t="str">
        <f>IFERROR(__xludf.DUMMYFUNCTION("""COMPUTED_VALUE"""),"")</f>
        <v/>
      </c>
      <c r="V947" s="4" t="str">
        <f>IFERROR(__xludf.DUMMYFUNCTION("""COMPUTED_VALUE"""),"")</f>
        <v/>
      </c>
      <c r="W947" s="4" t="str">
        <f>IFERROR(__xludf.DUMMYFUNCTION("""COMPUTED_VALUE"""),"")</f>
        <v/>
      </c>
      <c r="X947" s="4" t="str">
        <f>IFERROR(__xludf.DUMMYFUNCTION("""COMPUTED_VALUE"""),"")</f>
        <v/>
      </c>
      <c r="Y947" s="4" t="str">
        <f>IFERROR(__xludf.DUMMYFUNCTION("""COMPUTED_VALUE"""),"")</f>
        <v/>
      </c>
    </row>
    <row r="948">
      <c r="A948" s="4" t="str">
        <f>IFERROR(__xludf.DUMMYFUNCTION("""COMPUTED_VALUE"""),"1261 - Channel")</f>
        <v>1261 - Channel</v>
      </c>
      <c r="B948" s="4" t="str">
        <f>IFERROR(__xludf.DUMMYFUNCTION("""COMPUTED_VALUE"""),"Channel 3")</f>
        <v>Channel 3</v>
      </c>
      <c r="C948" s="4" t="str">
        <f>IFERROR(__xludf.DUMMYFUNCTION("""COMPUTED_VALUE"""),"Day 3 - 25/06")</f>
        <v>Day 3 - 25/06</v>
      </c>
      <c r="D948" s="6">
        <f>IFERROR(__xludf.DUMMYFUNCTION("""COMPUTED_VALUE"""),0.5836805555555556)</f>
        <v>0.5836805556</v>
      </c>
      <c r="E948" s="6">
        <f>IFERROR(__xludf.DUMMYFUNCTION("""COMPUTED_VALUE"""),0.009699074074074074)</f>
        <v>0.009699074074</v>
      </c>
      <c r="F948" s="6">
        <f>IFERROR(__xludf.DUMMYFUNCTION("""COMPUTED_VALUE"""),0.5933796296296298)</f>
        <v>0.5933796296</v>
      </c>
      <c r="G948" s="4" t="str">
        <f>IFERROR(__xludf.DUMMYFUNCTION("""COMPUTED_VALUE"""),"Kat")</f>
        <v>Kat</v>
      </c>
      <c r="H948" s="4" t="str">
        <f>IFERROR(__xludf.DUMMYFUNCTION("""COMPUTED_VALUE"""),"Eoghan")</f>
        <v>Eoghan</v>
      </c>
      <c r="I948" s="4" t="str">
        <f>IFERROR(__xludf.DUMMYFUNCTION("""COMPUTED_VALUE"""),"Lynn")</f>
        <v>Lynn</v>
      </c>
      <c r="J948" s="4" t="str">
        <f>IFERROR(__xludf.DUMMYFUNCTION("""COMPUTED_VALUE"""),"Climate")</f>
        <v>Climate</v>
      </c>
      <c r="K948" s="4" t="str">
        <f>IFERROR(__xludf.DUMMYFUNCTION("""COMPUTED_VALUE"""),"Super Fireside")</f>
        <v>Super Fireside</v>
      </c>
      <c r="L948" s="4" t="str">
        <f>IFERROR(__xludf.DUMMYFUNCTION("""COMPUTED_VALUE"""),"T- 8 - 27/04/2020")</f>
        <v>T- 8 - 27/04/2020</v>
      </c>
      <c r="M948" s="4" t="str">
        <f>IFERROR(__xludf.DUMMYFUNCTION("""COMPUTED_VALUE"""),"Innovative materials")</f>
        <v>Innovative materials</v>
      </c>
      <c r="N948" s="4" t="str">
        <f>IFERROR(__xludf.DUMMYFUNCTION("""COMPUTED_VALUE"""),"Mike Thaman, UBQ Materials")</f>
        <v>Mike Thaman, UBQ Materials</v>
      </c>
      <c r="O948" s="4" t="str">
        <f>IFERROR(__xludf.DUMMYFUNCTION("""COMPUTED_VALUE"""),"Daphna Nissenbaum, Tipa")</f>
        <v>Daphna Nissenbaum, Tipa</v>
      </c>
      <c r="P948" s="4" t="str">
        <f>IFERROR(__xludf.DUMMYFUNCTION("""COMPUTED_VALUE"""),"")</f>
        <v/>
      </c>
      <c r="Q948" s="4" t="str">
        <f>IFERROR(__xludf.DUMMYFUNCTION("""COMPUTED_VALUE"""),"")</f>
        <v/>
      </c>
      <c r="R948" s="4" t="str">
        <f>IFERROR(__xludf.DUMMYFUNCTION("""COMPUTED_VALUE"""),"Jade Scipioni, NBCUniversal")</f>
        <v>Jade Scipioni, NBCUniversal</v>
      </c>
      <c r="S948" s="4" t="str">
        <f>IFERROR(__xludf.DUMMYFUNCTION("""COMPUTED_VALUE"""),"The CEOs of UBQ and Tipa discuss how they aim to revolutionize the packaging market, and how companies, cities and governments can work together to ensure the measures that have been taken during Covid-19 can be adapted to help achieve sustainability and "&amp;"climate goals on a global level.")</f>
        <v>The CEOs of UBQ and Tipa discuss how they aim to revolutionize the packaging market, and how companies, cities and governments can work together to ensure the measures that have been taken during Covid-19 can be adapted to help achieve sustainability and climate goals on a global level.</v>
      </c>
      <c r="T948" s="4" t="str">
        <f>IFERROR(__xludf.DUMMYFUNCTION("""COMPUTED_VALUE"""),"KEYNOTE 8 - COMPLETE")</f>
        <v>KEYNOTE 8 - COMPLETE</v>
      </c>
      <c r="U948" s="23">
        <f>IFERROR(__xludf.DUMMYFUNCTION("""COMPUTED_VALUE"""),43948.0)</f>
        <v>43948</v>
      </c>
      <c r="V948" s="24">
        <f>IFERROR(__xludf.DUMMYFUNCTION("""COMPUTED_VALUE"""),0.6666666666666666)</f>
        <v>0.6666666667</v>
      </c>
      <c r="W948" s="4" t="str">
        <f>IFERROR(__xludf.DUMMYFUNCTION("""COMPUTED_VALUE"""),"COMPLETE")</f>
        <v>COMPLETE</v>
      </c>
      <c r="X948" s="4" t="str">
        <f>IFERROR(__xludf.DUMMYFUNCTION("""COMPUTED_VALUE"""),"Kat")</f>
        <v>Kat</v>
      </c>
      <c r="Y948" s="4" t="str">
        <f>IFERROR(__xludf.DUMMYFUNCTION("""COMPUTED_VALUE"""),"")</f>
        <v/>
      </c>
    </row>
    <row r="949">
      <c r="A949" s="4" t="str">
        <f>IFERROR(__xludf.DUMMYFUNCTION("""COMPUTED_VALUE"""),"1067 - Channel")</f>
        <v>1067 - Channel</v>
      </c>
      <c r="B949" s="4" t="str">
        <f>IFERROR(__xludf.DUMMYFUNCTION("""COMPUTED_VALUE"""),"Channel 3")</f>
        <v>Channel 3</v>
      </c>
      <c r="C949" s="4" t="str">
        <f>IFERROR(__xludf.DUMMYFUNCTION("""COMPUTED_VALUE"""),"Day 3 - 25/06")</f>
        <v>Day 3 - 25/06</v>
      </c>
      <c r="D949" s="6">
        <f>IFERROR(__xludf.DUMMYFUNCTION("""COMPUTED_VALUE"""),0.5933796296296298)</f>
        <v>0.5933796296</v>
      </c>
      <c r="E949" s="6">
        <f>IFERROR(__xludf.DUMMYFUNCTION("""COMPUTED_VALUE"""),2.314814814814815E-4)</f>
        <v>0.0002314814815</v>
      </c>
      <c r="F949" s="6">
        <f>IFERROR(__xludf.DUMMYFUNCTION("""COMPUTED_VALUE"""),0.5936111111111112)</f>
        <v>0.5936111111</v>
      </c>
      <c r="G949" s="4" t="str">
        <f>IFERROR(__xludf.DUMMYFUNCTION("""COMPUTED_VALUE"""),"Graphics")</f>
        <v>Graphics</v>
      </c>
      <c r="H949" s="4" t="str">
        <f>IFERROR(__xludf.DUMMYFUNCTION("""COMPUTED_VALUE"""),"N/A")</f>
        <v>N/A</v>
      </c>
      <c r="I949" s="4" t="str">
        <f>IFERROR(__xludf.DUMMYFUNCTION("""COMPUTED_VALUE"""),"N/A")</f>
        <v>N/A</v>
      </c>
      <c r="J949" s="4" t="str">
        <f>IFERROR(__xludf.DUMMYFUNCTION("""COMPUTED_VALUE"""),"Developers")</f>
        <v>Developers</v>
      </c>
      <c r="K949" s="4" t="str">
        <f>IFERROR(__xludf.DUMMYFUNCTION("""COMPUTED_VALUE"""),"Talk Intro")</f>
        <v>Talk Intro</v>
      </c>
      <c r="L949" s="4" t="str">
        <f>IFERROR(__xludf.DUMMYFUNCTION("""COMPUTED_VALUE"""),"")</f>
        <v/>
      </c>
      <c r="M949" s="4" t="str">
        <f>IFERROR(__xludf.DUMMYFUNCTION("""COMPUTED_VALUE"""),"Talk Intro")</f>
        <v>Talk Intro</v>
      </c>
      <c r="N949" s="4" t="str">
        <f>IFERROR(__xludf.DUMMYFUNCTION("""COMPUTED_VALUE"""),"")</f>
        <v/>
      </c>
      <c r="O949" s="4" t="str">
        <f>IFERROR(__xludf.DUMMYFUNCTION("""COMPUTED_VALUE"""),"")</f>
        <v/>
      </c>
      <c r="P949" s="4" t="str">
        <f>IFERROR(__xludf.DUMMYFUNCTION("""COMPUTED_VALUE"""),"")</f>
        <v/>
      </c>
      <c r="Q949" s="4" t="str">
        <f>IFERROR(__xludf.DUMMYFUNCTION("""COMPUTED_VALUE"""),"")</f>
        <v/>
      </c>
      <c r="R949" s="4" t="str">
        <f>IFERROR(__xludf.DUMMYFUNCTION("""COMPUTED_VALUE"""),"")</f>
        <v/>
      </c>
      <c r="S949" s="4" t="str">
        <f>IFERROR(__xludf.DUMMYFUNCTION("""COMPUTED_VALUE"""),"")</f>
        <v/>
      </c>
      <c r="T949" s="4" t="str">
        <f>IFERROR(__xludf.DUMMYFUNCTION("""COMPUTED_VALUE"""),"")</f>
        <v/>
      </c>
      <c r="U949" s="4" t="str">
        <f>IFERROR(__xludf.DUMMYFUNCTION("""COMPUTED_VALUE"""),"")</f>
        <v/>
      </c>
      <c r="V949" s="4" t="str">
        <f>IFERROR(__xludf.DUMMYFUNCTION("""COMPUTED_VALUE"""),"")</f>
        <v/>
      </c>
      <c r="W949" s="4" t="str">
        <f>IFERROR(__xludf.DUMMYFUNCTION("""COMPUTED_VALUE"""),"")</f>
        <v/>
      </c>
      <c r="X949" s="4" t="str">
        <f>IFERROR(__xludf.DUMMYFUNCTION("""COMPUTED_VALUE"""),"")</f>
        <v/>
      </c>
      <c r="Y949" s="4" t="str">
        <f>IFERROR(__xludf.DUMMYFUNCTION("""COMPUTED_VALUE"""),"")</f>
        <v/>
      </c>
    </row>
    <row r="950">
      <c r="A950" s="4" t="str">
        <f>IFERROR(__xludf.DUMMYFUNCTION("""COMPUTED_VALUE"""),"1068 - Channel")</f>
        <v>1068 - Channel</v>
      </c>
      <c r="B950" s="4" t="str">
        <f>IFERROR(__xludf.DUMMYFUNCTION("""COMPUTED_VALUE"""),"Channel 3")</f>
        <v>Channel 3</v>
      </c>
      <c r="C950" s="4" t="str">
        <f>IFERROR(__xludf.DUMMYFUNCTION("""COMPUTED_VALUE"""),"Day 3 - 25/06")</f>
        <v>Day 3 - 25/06</v>
      </c>
      <c r="D950" s="6">
        <f>IFERROR(__xludf.DUMMYFUNCTION("""COMPUTED_VALUE"""),0.5936111111111112)</f>
        <v>0.5936111111</v>
      </c>
      <c r="E950" s="6">
        <f>IFERROR(__xludf.DUMMYFUNCTION("""COMPUTED_VALUE"""),0.0021064814814814813)</f>
        <v>0.002106481481</v>
      </c>
      <c r="F950" s="6">
        <f>IFERROR(__xludf.DUMMYFUNCTION("""COMPUTED_VALUE"""),0.5957175925925927)</f>
        <v>0.5957175926</v>
      </c>
      <c r="G950" s="4" t="str">
        <f>IFERROR(__xludf.DUMMYFUNCTION("""COMPUTED_VALUE"""),"Dan")</f>
        <v>Dan</v>
      </c>
      <c r="H950" s="4" t="str">
        <f>IFERROR(__xludf.DUMMYFUNCTION("""COMPUTED_VALUE"""),"N/A")</f>
        <v>N/A</v>
      </c>
      <c r="I950" s="4" t="str">
        <f>IFERROR(__xludf.DUMMYFUNCTION("""COMPUTED_VALUE"""),"Jack")</f>
        <v>Jack</v>
      </c>
      <c r="J950" s="4" t="str">
        <f>IFERROR(__xludf.DUMMYFUNCTION("""COMPUTED_VALUE"""),"Developers")</f>
        <v>Developers</v>
      </c>
      <c r="K950" s="4" t="str">
        <f>IFERROR(__xludf.DUMMYFUNCTION("""COMPUTED_VALUE"""),"Keynote")</f>
        <v>Keynote</v>
      </c>
      <c r="L950" s="4" t="str">
        <f>IFERROR(__xludf.DUMMYFUNCTION("""COMPUTED_VALUE"""),"T- 6 - 11/05/2020")</f>
        <v>T- 6 - 11/05/2020</v>
      </c>
      <c r="M950" s="4" t="str">
        <f>IFERROR(__xludf.DUMMYFUNCTION("""COMPUTED_VALUE"""),"Accelerating digital transformation")</f>
        <v>Accelerating digital transformation</v>
      </c>
      <c r="N950" s="4" t="str">
        <f>IFERROR(__xludf.DUMMYFUNCTION("""COMPUTED_VALUE"""),"Duncan Greatwood, Xage Security")</f>
        <v>Duncan Greatwood, Xage Security</v>
      </c>
      <c r="O950" s="4" t="str">
        <f>IFERROR(__xludf.DUMMYFUNCTION("""COMPUTED_VALUE"""),"")</f>
        <v/>
      </c>
      <c r="P950" s="4" t="str">
        <f>IFERROR(__xludf.DUMMYFUNCTION("""COMPUTED_VALUE"""),"")</f>
        <v/>
      </c>
      <c r="Q950" s="4" t="str">
        <f>IFERROR(__xludf.DUMMYFUNCTION("""COMPUTED_VALUE"""),"")</f>
        <v/>
      </c>
      <c r="R950" s="4" t="str">
        <f>IFERROR(__xludf.DUMMYFUNCTION("""COMPUTED_VALUE"""),"")</f>
        <v/>
      </c>
      <c r="S950" s="4" t="str">
        <f>IFERROR(__xludf.DUMMYFUNCTION("""COMPUTED_VALUE"""),"Hear from Duncan Greatwood, the CEO of Xage Security, on what industries across the globe are doing to become more flexible and more efficient as the fate of their business depends on it.")</f>
        <v>Hear from Duncan Greatwood, the CEO of Xage Security, on what industries across the globe are doing to become more flexible and more efficient as the fate of their business depends on it.</v>
      </c>
      <c r="T950" s="4" t="str">
        <f>IFERROR(__xludf.DUMMYFUNCTION("""COMPUTED_VALUE"""),"KEYNOTE 8 - COMPLETE")</f>
        <v>KEYNOTE 8 - COMPLETE</v>
      </c>
      <c r="U950" s="23">
        <f>IFERROR(__xludf.DUMMYFUNCTION("""COMPUTED_VALUE"""),43966.0)</f>
        <v>43966</v>
      </c>
      <c r="V950" s="24">
        <f>IFERROR(__xludf.DUMMYFUNCTION("""COMPUTED_VALUE"""),0.7083333333333334)</f>
        <v>0.7083333333</v>
      </c>
      <c r="W950" s="4" t="str">
        <f>IFERROR(__xludf.DUMMYFUNCTION("""COMPUTED_VALUE"""),"COMPLETE")</f>
        <v>COMPLETE</v>
      </c>
      <c r="X950" s="4" t="str">
        <f>IFERROR(__xludf.DUMMYFUNCTION("""COMPUTED_VALUE"""),"Dan")</f>
        <v>Dan</v>
      </c>
      <c r="Y950" s="4" t="str">
        <f>IFERROR(__xludf.DUMMYFUNCTION("""COMPUTED_VALUE"""),"4659495631914426617")</f>
        <v>4659495631914426617</v>
      </c>
    </row>
    <row r="951">
      <c r="A951" s="4" t="str">
        <f>IFERROR(__xludf.DUMMYFUNCTION("""COMPUTED_VALUE"""),"1071 - Channel")</f>
        <v>1071 - Channel</v>
      </c>
      <c r="B951" s="4" t="str">
        <f>IFERROR(__xludf.DUMMYFUNCTION("""COMPUTED_VALUE"""),"Channel 3")</f>
        <v>Channel 3</v>
      </c>
      <c r="C951" s="4" t="str">
        <f>IFERROR(__xludf.DUMMYFUNCTION("""COMPUTED_VALUE"""),"Day 3 - 25/06")</f>
        <v>Day 3 - 25/06</v>
      </c>
      <c r="D951" s="6">
        <f>IFERROR(__xludf.DUMMYFUNCTION("""COMPUTED_VALUE"""),0.5957175925925927)</f>
        <v>0.5957175926</v>
      </c>
      <c r="E951" s="6">
        <f>IFERROR(__xludf.DUMMYFUNCTION("""COMPUTED_VALUE"""),2.314814814814815E-4)</f>
        <v>0.0002314814815</v>
      </c>
      <c r="F951" s="6">
        <f>IFERROR(__xludf.DUMMYFUNCTION("""COMPUTED_VALUE"""),0.5959490740740742)</f>
        <v>0.5959490741</v>
      </c>
      <c r="G951" s="4" t="str">
        <f>IFERROR(__xludf.DUMMYFUNCTION("""COMPUTED_VALUE"""),"Graphics")</f>
        <v>Graphics</v>
      </c>
      <c r="H951" s="4" t="str">
        <f>IFERROR(__xludf.DUMMYFUNCTION("""COMPUTED_VALUE"""),"N/A")</f>
        <v>N/A</v>
      </c>
      <c r="I951" s="4" t="str">
        <f>IFERROR(__xludf.DUMMYFUNCTION("""COMPUTED_VALUE"""),"N/A")</f>
        <v>N/A</v>
      </c>
      <c r="J951" s="4" t="str">
        <f>IFERROR(__xludf.DUMMYFUNCTION("""COMPUTED_VALUE"""),"Developers")</f>
        <v>Developers</v>
      </c>
      <c r="K951" s="4" t="str">
        <f>IFERROR(__xludf.DUMMYFUNCTION("""COMPUTED_VALUE"""),"Talk Intro")</f>
        <v>Talk Intro</v>
      </c>
      <c r="L951" s="4" t="str">
        <f>IFERROR(__xludf.DUMMYFUNCTION("""COMPUTED_VALUE"""),"")</f>
        <v/>
      </c>
      <c r="M951" s="4" t="str">
        <f>IFERROR(__xludf.DUMMYFUNCTION("""COMPUTED_VALUE"""),"Talk Intro")</f>
        <v>Talk Intro</v>
      </c>
      <c r="N951" s="4" t="str">
        <f>IFERROR(__xludf.DUMMYFUNCTION("""COMPUTED_VALUE"""),"")</f>
        <v/>
      </c>
      <c r="O951" s="4" t="str">
        <f>IFERROR(__xludf.DUMMYFUNCTION("""COMPUTED_VALUE"""),"")</f>
        <v/>
      </c>
      <c r="P951" s="4" t="str">
        <f>IFERROR(__xludf.DUMMYFUNCTION("""COMPUTED_VALUE"""),"")</f>
        <v/>
      </c>
      <c r="Q951" s="4" t="str">
        <f>IFERROR(__xludf.DUMMYFUNCTION("""COMPUTED_VALUE"""),"")</f>
        <v/>
      </c>
      <c r="R951" s="4" t="str">
        <f>IFERROR(__xludf.DUMMYFUNCTION("""COMPUTED_VALUE"""),"")</f>
        <v/>
      </c>
      <c r="S951" s="4" t="str">
        <f>IFERROR(__xludf.DUMMYFUNCTION("""COMPUTED_VALUE"""),"")</f>
        <v/>
      </c>
      <c r="T951" s="4" t="str">
        <f>IFERROR(__xludf.DUMMYFUNCTION("""COMPUTED_VALUE"""),"")</f>
        <v/>
      </c>
      <c r="U951" s="4" t="str">
        <f>IFERROR(__xludf.DUMMYFUNCTION("""COMPUTED_VALUE"""),"")</f>
        <v/>
      </c>
      <c r="V951" s="4" t="str">
        <f>IFERROR(__xludf.DUMMYFUNCTION("""COMPUTED_VALUE"""),"")</f>
        <v/>
      </c>
      <c r="W951" s="4" t="str">
        <f>IFERROR(__xludf.DUMMYFUNCTION("""COMPUTED_VALUE"""),"")</f>
        <v/>
      </c>
      <c r="X951" s="4" t="str">
        <f>IFERROR(__xludf.DUMMYFUNCTION("""COMPUTED_VALUE"""),"")</f>
        <v/>
      </c>
      <c r="Y951" s="4" t="str">
        <f>IFERROR(__xludf.DUMMYFUNCTION("""COMPUTED_VALUE"""),"")</f>
        <v/>
      </c>
    </row>
    <row r="952">
      <c r="A952" s="4" t="str">
        <f>IFERROR(__xludf.DUMMYFUNCTION("""COMPUTED_VALUE"""),"1072 - Channel")</f>
        <v>1072 - Channel</v>
      </c>
      <c r="B952" s="4" t="str">
        <f>IFERROR(__xludf.DUMMYFUNCTION("""COMPUTED_VALUE"""),"Channel 3")</f>
        <v>Channel 3</v>
      </c>
      <c r="C952" s="4" t="str">
        <f>IFERROR(__xludf.DUMMYFUNCTION("""COMPUTED_VALUE"""),"Day 3 - 25/06")</f>
        <v>Day 3 - 25/06</v>
      </c>
      <c r="D952" s="6">
        <f>IFERROR(__xludf.DUMMYFUNCTION("""COMPUTED_VALUE"""),0.5959490740740742)</f>
        <v>0.5959490741</v>
      </c>
      <c r="E952" s="6">
        <f>IFERROR(__xludf.DUMMYFUNCTION("""COMPUTED_VALUE"""),0.005613425925925926)</f>
        <v>0.005613425926</v>
      </c>
      <c r="F952" s="6">
        <f>IFERROR(__xludf.DUMMYFUNCTION("""COMPUTED_VALUE"""),0.6015625000000001)</f>
        <v>0.6015625</v>
      </c>
      <c r="G952" s="4" t="str">
        <f>IFERROR(__xludf.DUMMYFUNCTION("""COMPUTED_VALUE"""),"Laura")</f>
        <v>Laura</v>
      </c>
      <c r="H952" s="4" t="str">
        <f>IFERROR(__xludf.DUMMYFUNCTION("""COMPUTED_VALUE"""),"")</f>
        <v/>
      </c>
      <c r="I952" s="4" t="str">
        <f>IFERROR(__xludf.DUMMYFUNCTION("""COMPUTED_VALUE"""),"Hannah")</f>
        <v>Hannah</v>
      </c>
      <c r="J952" s="4" t="str">
        <f>IFERROR(__xludf.DUMMYFUNCTION("""COMPUTED_VALUE"""),"Developers")</f>
        <v>Developers</v>
      </c>
      <c r="K952" s="4" t="str">
        <f>IFERROR(__xludf.DUMMYFUNCTION("""COMPUTED_VALUE"""),"Keynote")</f>
        <v>Keynote</v>
      </c>
      <c r="L952" s="4" t="str">
        <f>IFERROR(__xludf.DUMMYFUNCTION("""COMPUTED_VALUE"""),"T- 7 - 04/05/2020")</f>
        <v>T- 7 - 04/05/2020</v>
      </c>
      <c r="M952" s="4" t="str">
        <f>IFERROR(__xludf.DUMMYFUNCTION("""COMPUTED_VALUE"""),"Unlocking the black box of machine learning")</f>
        <v>Unlocking the black box of machine learning</v>
      </c>
      <c r="N952" s="4" t="str">
        <f>IFERROR(__xludf.DUMMYFUNCTION("""COMPUTED_VALUE"""),"Rebecca Parsons, ThoughtWorks")</f>
        <v>Rebecca Parsons, ThoughtWorks</v>
      </c>
      <c r="O952" s="4" t="str">
        <f>IFERROR(__xludf.DUMMYFUNCTION("""COMPUTED_VALUE"""),"")</f>
        <v/>
      </c>
      <c r="P952" s="4" t="str">
        <f>IFERROR(__xludf.DUMMYFUNCTION("""COMPUTED_VALUE"""),"")</f>
        <v/>
      </c>
      <c r="Q952" s="4" t="str">
        <f>IFERROR(__xludf.DUMMYFUNCTION("""COMPUTED_VALUE"""),"")</f>
        <v/>
      </c>
      <c r="R952" s="4" t="str">
        <f>IFERROR(__xludf.DUMMYFUNCTION("""COMPUTED_VALUE"""),"")</f>
        <v/>
      </c>
      <c r="S952" s="4" t="str">
        <f>IFERROR(__xludf.DUMMYFUNCTION("""COMPUTED_VALUE"""),"Machine learning systems are responsible for more decisions than ever, but many of these systems’ models are opaque. This can be problematic in situations where humans have a right to know how a decision was made. Lack of transparency also introduces the "&amp;"potential for the introduction of prejudice, and sampling or algorithmic bias. Here, Rebecca explores increasing machine learning transparency, and why assembling a diverse team of developers is essential.")</f>
        <v>Machine learning systems are responsible for more decisions than ever, but many of these systems’ models are opaque. This can be problematic in situations where humans have a right to know how a decision was made. Lack of transparency also introduces the potential for the introduction of prejudice, and sampling or algorithmic bias. Here, Rebecca explores increasing machine learning transparency, and why assembling a diverse team of developers is essential.</v>
      </c>
      <c r="T952" s="4" t="str">
        <f>IFERROR(__xludf.DUMMYFUNCTION("""COMPUTED_VALUE"""),"KEYNOTE 8 - COMPLETE")</f>
        <v>KEYNOTE 8 - COMPLETE</v>
      </c>
      <c r="U952" s="23">
        <f>IFERROR(__xludf.DUMMYFUNCTION("""COMPUTED_VALUE"""),43958.0)</f>
        <v>43958</v>
      </c>
      <c r="V952" s="24">
        <f>IFERROR(__xludf.DUMMYFUNCTION("""COMPUTED_VALUE"""),0.7083333333333334)</f>
        <v>0.7083333333</v>
      </c>
      <c r="W952" s="4" t="str">
        <f>IFERROR(__xludf.DUMMYFUNCTION("""COMPUTED_VALUE"""),"COMPLETE")</f>
        <v>COMPLETE</v>
      </c>
      <c r="X952" s="4" t="str">
        <f>IFERROR(__xludf.DUMMYFUNCTION("""COMPUTED_VALUE"""),"Laura")</f>
        <v>Laura</v>
      </c>
      <c r="Y952" s="4" t="str">
        <f>IFERROR(__xludf.DUMMYFUNCTION("""COMPUTED_VALUE"""),"4640662137028194666")</f>
        <v>4640662137028194666</v>
      </c>
    </row>
    <row r="953">
      <c r="A953" s="4" t="str">
        <f>IFERROR(__xludf.DUMMYFUNCTION("""COMPUTED_VALUE"""),"1074 - Channel")</f>
        <v>1074 - Channel</v>
      </c>
      <c r="B953" s="4" t="str">
        <f>IFERROR(__xludf.DUMMYFUNCTION("""COMPUTED_VALUE"""),"Channel 3")</f>
        <v>Channel 3</v>
      </c>
      <c r="C953" s="4" t="str">
        <f>IFERROR(__xludf.DUMMYFUNCTION("""COMPUTED_VALUE"""),"Day 3 - 25/06")</f>
        <v>Day 3 - 25/06</v>
      </c>
      <c r="D953" s="6">
        <f>IFERROR(__xludf.DUMMYFUNCTION("""COMPUTED_VALUE"""),0.6015625000000001)</f>
        <v>0.6015625</v>
      </c>
      <c r="E953" s="6">
        <f>IFERROR(__xludf.DUMMYFUNCTION("""COMPUTED_VALUE"""),2.314814814814815E-4)</f>
        <v>0.0002314814815</v>
      </c>
      <c r="F953" s="6">
        <f>IFERROR(__xludf.DUMMYFUNCTION("""COMPUTED_VALUE"""),0.6017939814814816)</f>
        <v>0.6017939815</v>
      </c>
      <c r="G953" s="4" t="str">
        <f>IFERROR(__xludf.DUMMYFUNCTION("""COMPUTED_VALUE"""),"Graphics")</f>
        <v>Graphics</v>
      </c>
      <c r="H953" s="4" t="str">
        <f>IFERROR(__xludf.DUMMYFUNCTION("""COMPUTED_VALUE"""),"N/A")</f>
        <v>N/A</v>
      </c>
      <c r="I953" s="4" t="str">
        <f>IFERROR(__xludf.DUMMYFUNCTION("""COMPUTED_VALUE"""),"N/A")</f>
        <v>N/A</v>
      </c>
      <c r="J953" s="4" t="str">
        <f>IFERROR(__xludf.DUMMYFUNCTION("""COMPUTED_VALUE"""),"Developers")</f>
        <v>Developers</v>
      </c>
      <c r="K953" s="4" t="str">
        <f>IFERROR(__xludf.DUMMYFUNCTION("""COMPUTED_VALUE"""),"Talk Intro")</f>
        <v>Talk Intro</v>
      </c>
      <c r="L953" s="4" t="str">
        <f>IFERROR(__xludf.DUMMYFUNCTION("""COMPUTED_VALUE"""),"")</f>
        <v/>
      </c>
      <c r="M953" s="4" t="str">
        <f>IFERROR(__xludf.DUMMYFUNCTION("""COMPUTED_VALUE"""),"Talk Intro")</f>
        <v>Talk Intro</v>
      </c>
      <c r="N953" s="4" t="str">
        <f>IFERROR(__xludf.DUMMYFUNCTION("""COMPUTED_VALUE"""),"")</f>
        <v/>
      </c>
      <c r="O953" s="4" t="str">
        <f>IFERROR(__xludf.DUMMYFUNCTION("""COMPUTED_VALUE"""),"")</f>
        <v/>
      </c>
      <c r="P953" s="4" t="str">
        <f>IFERROR(__xludf.DUMMYFUNCTION("""COMPUTED_VALUE"""),"")</f>
        <v/>
      </c>
      <c r="Q953" s="4" t="str">
        <f>IFERROR(__xludf.DUMMYFUNCTION("""COMPUTED_VALUE"""),"")</f>
        <v/>
      </c>
      <c r="R953" s="4" t="str">
        <f>IFERROR(__xludf.DUMMYFUNCTION("""COMPUTED_VALUE"""),"")</f>
        <v/>
      </c>
      <c r="S953" s="4" t="str">
        <f>IFERROR(__xludf.DUMMYFUNCTION("""COMPUTED_VALUE"""),"")</f>
        <v/>
      </c>
      <c r="T953" s="4" t="str">
        <f>IFERROR(__xludf.DUMMYFUNCTION("""COMPUTED_VALUE"""),"")</f>
        <v/>
      </c>
      <c r="U953" s="4" t="str">
        <f>IFERROR(__xludf.DUMMYFUNCTION("""COMPUTED_VALUE"""),"")</f>
        <v/>
      </c>
      <c r="V953" s="4" t="str">
        <f>IFERROR(__xludf.DUMMYFUNCTION("""COMPUTED_VALUE"""),"")</f>
        <v/>
      </c>
      <c r="W953" s="4" t="str">
        <f>IFERROR(__xludf.DUMMYFUNCTION("""COMPUTED_VALUE"""),"")</f>
        <v/>
      </c>
      <c r="X953" s="4" t="str">
        <f>IFERROR(__xludf.DUMMYFUNCTION("""COMPUTED_VALUE"""),"")</f>
        <v/>
      </c>
      <c r="Y953" s="4" t="str">
        <f>IFERROR(__xludf.DUMMYFUNCTION("""COMPUTED_VALUE"""),"")</f>
        <v/>
      </c>
    </row>
    <row r="954">
      <c r="A954" s="4" t="str">
        <f>IFERROR(__xludf.DUMMYFUNCTION("""COMPUTED_VALUE"""),"1075 - Channel")</f>
        <v>1075 - Channel</v>
      </c>
      <c r="B954" s="4" t="str">
        <f>IFERROR(__xludf.DUMMYFUNCTION("""COMPUTED_VALUE"""),"Channel 3")</f>
        <v>Channel 3</v>
      </c>
      <c r="C954" s="4" t="str">
        <f>IFERROR(__xludf.DUMMYFUNCTION("""COMPUTED_VALUE"""),"Day 3 - 25/06")</f>
        <v>Day 3 - 25/06</v>
      </c>
      <c r="D954" s="6">
        <f>IFERROR(__xludf.DUMMYFUNCTION("""COMPUTED_VALUE"""),0.6017939814814816)</f>
        <v>0.6017939815</v>
      </c>
      <c r="E954" s="6">
        <f>IFERROR(__xludf.DUMMYFUNCTION("""COMPUTED_VALUE"""),0.007361111111111111)</f>
        <v>0.007361111111</v>
      </c>
      <c r="F954" s="6">
        <f>IFERROR(__xludf.DUMMYFUNCTION("""COMPUTED_VALUE"""),0.6091550925925927)</f>
        <v>0.6091550926</v>
      </c>
      <c r="G954" s="4" t="str">
        <f>IFERROR(__xludf.DUMMYFUNCTION("""COMPUTED_VALUE"""),"Laura")</f>
        <v>Laura</v>
      </c>
      <c r="H954" s="4" t="str">
        <f>IFERROR(__xludf.DUMMYFUNCTION("""COMPUTED_VALUE"""),"Lisa")</f>
        <v>Lisa</v>
      </c>
      <c r="I954" s="4" t="str">
        <f>IFERROR(__xludf.DUMMYFUNCTION("""COMPUTED_VALUE"""),"Hannah")</f>
        <v>Hannah</v>
      </c>
      <c r="J954" s="4" t="str">
        <f>IFERROR(__xludf.DUMMYFUNCTION("""COMPUTED_VALUE"""),"Developers")</f>
        <v>Developers</v>
      </c>
      <c r="K954" s="4" t="str">
        <f>IFERROR(__xludf.DUMMYFUNCTION("""COMPUTED_VALUE"""),"Super Fireside")</f>
        <v>Super Fireside</v>
      </c>
      <c r="L954" s="4" t="str">
        <f>IFERROR(__xludf.DUMMYFUNCTION("""COMPUTED_VALUE"""),"T- 6 - 11/05/2020")</f>
        <v>T- 6 - 11/05/2020</v>
      </c>
      <c r="M954" s="4" t="str">
        <f>IFERROR(__xludf.DUMMYFUNCTION("""COMPUTED_VALUE"""),"Ambient technology")</f>
        <v>Ambient technology</v>
      </c>
      <c r="N954" s="4" t="str">
        <f>IFERROR(__xludf.DUMMYFUNCTION("""COMPUTED_VALUE"""),"Linden Tibbets, IFTTT")</f>
        <v>Linden Tibbets, IFTTT</v>
      </c>
      <c r="O954" s="4" t="str">
        <f>IFERROR(__xludf.DUMMYFUNCTION("""COMPUTED_VALUE"""),"Matthew Calkins, Appian")</f>
        <v>Matthew Calkins, Appian</v>
      </c>
      <c r="P954" s="4" t="str">
        <f>IFERROR(__xludf.DUMMYFUNCTION("""COMPUTED_VALUE"""),"")</f>
        <v/>
      </c>
      <c r="Q954" s="4" t="str">
        <f>IFERROR(__xludf.DUMMYFUNCTION("""COMPUTED_VALUE"""),"")</f>
        <v/>
      </c>
      <c r="R954" s="4" t="str">
        <f>IFERROR(__xludf.DUMMYFUNCTION("""COMPUTED_VALUE"""),"Adrian Weckler, Irish  Independent")</f>
        <v>Adrian Weckler, Irish  Independent</v>
      </c>
      <c r="S954" s="4" t="str">
        <f>IFERROR(__xludf.DUMMYFUNCTION("""COMPUTED_VALUE"""),"Our connected – and sometimes unseen – devices are a huge part of modern life. Explore our networked environments and the weird, wonderful and helpful connections that exist within it.")</f>
        <v>Our connected – and sometimes unseen – devices are a huge part of modern life. Explore our networked environments and the weird, wonderful and helpful connections that exist within it.</v>
      </c>
      <c r="T954" s="4" t="str">
        <f>IFERROR(__xludf.DUMMYFUNCTION("""COMPUTED_VALUE"""),"KEYNOTE 8 - COMPLETE")</f>
        <v>KEYNOTE 8 - COMPLETE</v>
      </c>
      <c r="U954" s="23">
        <f>IFERROR(__xludf.DUMMYFUNCTION("""COMPUTED_VALUE"""),43966.0)</f>
        <v>43966</v>
      </c>
      <c r="V954" s="24">
        <f>IFERROR(__xludf.DUMMYFUNCTION("""COMPUTED_VALUE"""),0.7916666666666666)</f>
        <v>0.7916666667</v>
      </c>
      <c r="W954" s="4" t="str">
        <f>IFERROR(__xludf.DUMMYFUNCTION("""COMPUTED_VALUE"""),"COMPLETE")</f>
        <v>COMPLETE</v>
      </c>
      <c r="X954" s="4" t="str">
        <f>IFERROR(__xludf.DUMMYFUNCTION("""COMPUTED_VALUE"""),"Laura")</f>
        <v>Laura</v>
      </c>
      <c r="Y954" s="4" t="str">
        <f>IFERROR(__xludf.DUMMYFUNCTION("""COMPUTED_VALUE"""),"")</f>
        <v/>
      </c>
    </row>
    <row r="955">
      <c r="A955" s="4" t="str">
        <f>IFERROR(__xludf.DUMMYFUNCTION("""COMPUTED_VALUE"""),"1077 - Channel")</f>
        <v>1077 - Channel</v>
      </c>
      <c r="B955" s="4" t="str">
        <f>IFERROR(__xludf.DUMMYFUNCTION("""COMPUTED_VALUE"""),"Channel 3")</f>
        <v>Channel 3</v>
      </c>
      <c r="C955" s="4" t="str">
        <f>IFERROR(__xludf.DUMMYFUNCTION("""COMPUTED_VALUE"""),"Day 3 - 25/06")</f>
        <v>Day 3 - 25/06</v>
      </c>
      <c r="D955" s="6">
        <f>IFERROR(__xludf.DUMMYFUNCTION("""COMPUTED_VALUE"""),0.6091550925925927)</f>
        <v>0.6091550926</v>
      </c>
      <c r="E955" s="6">
        <f>IFERROR(__xludf.DUMMYFUNCTION("""COMPUTED_VALUE"""),2.314814814814815E-4)</f>
        <v>0.0002314814815</v>
      </c>
      <c r="F955" s="6">
        <f>IFERROR(__xludf.DUMMYFUNCTION("""COMPUTED_VALUE"""),0.6093865740740741)</f>
        <v>0.6093865741</v>
      </c>
      <c r="G955" s="4" t="str">
        <f>IFERROR(__xludf.DUMMYFUNCTION("""COMPUTED_VALUE"""),"Graphics")</f>
        <v>Graphics</v>
      </c>
      <c r="H955" s="4" t="str">
        <f>IFERROR(__xludf.DUMMYFUNCTION("""COMPUTED_VALUE"""),"N/A")</f>
        <v>N/A</v>
      </c>
      <c r="I955" s="4" t="str">
        <f>IFERROR(__xludf.DUMMYFUNCTION("""COMPUTED_VALUE"""),"N/A")</f>
        <v>N/A</v>
      </c>
      <c r="J955" s="4" t="str">
        <f>IFERROR(__xludf.DUMMYFUNCTION("""COMPUTED_VALUE"""),"Developers")</f>
        <v>Developers</v>
      </c>
      <c r="K955" s="4" t="str">
        <f>IFERROR(__xludf.DUMMYFUNCTION("""COMPUTED_VALUE"""),"Talk Intro")</f>
        <v>Talk Intro</v>
      </c>
      <c r="L955" s="4" t="str">
        <f>IFERROR(__xludf.DUMMYFUNCTION("""COMPUTED_VALUE"""),"")</f>
        <v/>
      </c>
      <c r="M955" s="4" t="str">
        <f>IFERROR(__xludf.DUMMYFUNCTION("""COMPUTED_VALUE"""),"Talk Intro")</f>
        <v>Talk Intro</v>
      </c>
      <c r="N955" s="4" t="str">
        <f>IFERROR(__xludf.DUMMYFUNCTION("""COMPUTED_VALUE"""),"")</f>
        <v/>
      </c>
      <c r="O955" s="4" t="str">
        <f>IFERROR(__xludf.DUMMYFUNCTION("""COMPUTED_VALUE"""),"")</f>
        <v/>
      </c>
      <c r="P955" s="4" t="str">
        <f>IFERROR(__xludf.DUMMYFUNCTION("""COMPUTED_VALUE"""),"")</f>
        <v/>
      </c>
      <c r="Q955" s="4" t="str">
        <f>IFERROR(__xludf.DUMMYFUNCTION("""COMPUTED_VALUE"""),"")</f>
        <v/>
      </c>
      <c r="R955" s="4" t="str">
        <f>IFERROR(__xludf.DUMMYFUNCTION("""COMPUTED_VALUE"""),"")</f>
        <v/>
      </c>
      <c r="S955" s="4" t="str">
        <f>IFERROR(__xludf.DUMMYFUNCTION("""COMPUTED_VALUE"""),"")</f>
        <v/>
      </c>
      <c r="T955" s="4" t="str">
        <f>IFERROR(__xludf.DUMMYFUNCTION("""COMPUTED_VALUE"""),"")</f>
        <v/>
      </c>
      <c r="U955" s="4" t="str">
        <f>IFERROR(__xludf.DUMMYFUNCTION("""COMPUTED_VALUE"""),"")</f>
        <v/>
      </c>
      <c r="V955" s="4" t="str">
        <f>IFERROR(__xludf.DUMMYFUNCTION("""COMPUTED_VALUE"""),"")</f>
        <v/>
      </c>
      <c r="W955" s="4" t="str">
        <f>IFERROR(__xludf.DUMMYFUNCTION("""COMPUTED_VALUE"""),"")</f>
        <v/>
      </c>
      <c r="X955" s="4" t="str">
        <f>IFERROR(__xludf.DUMMYFUNCTION("""COMPUTED_VALUE"""),"")</f>
        <v/>
      </c>
      <c r="Y955" s="4" t="str">
        <f>IFERROR(__xludf.DUMMYFUNCTION("""COMPUTED_VALUE"""),"")</f>
        <v/>
      </c>
    </row>
    <row r="956">
      <c r="A956" s="4" t="str">
        <f>IFERROR(__xludf.DUMMYFUNCTION("""COMPUTED_VALUE"""),"1078 - Channel")</f>
        <v>1078 - Channel</v>
      </c>
      <c r="B956" s="4" t="str">
        <f>IFERROR(__xludf.DUMMYFUNCTION("""COMPUTED_VALUE"""),"Channel 3")</f>
        <v>Channel 3</v>
      </c>
      <c r="C956" s="4" t="str">
        <f>IFERROR(__xludf.DUMMYFUNCTION("""COMPUTED_VALUE"""),"Day 3 - 25/06")</f>
        <v>Day 3 - 25/06</v>
      </c>
      <c r="D956" s="6">
        <f>IFERROR(__xludf.DUMMYFUNCTION("""COMPUTED_VALUE"""),0.6093865740740741)</f>
        <v>0.6093865741</v>
      </c>
      <c r="E956" s="6">
        <f>IFERROR(__xludf.DUMMYFUNCTION("""COMPUTED_VALUE"""),0.006944444444444444)</f>
        <v>0.006944444444</v>
      </c>
      <c r="F956" s="6">
        <f>IFERROR(__xludf.DUMMYFUNCTION("""COMPUTED_VALUE"""),0.6163310185185186)</f>
        <v>0.6163310185</v>
      </c>
      <c r="G956" s="4" t="str">
        <f>IFERROR(__xludf.DUMMYFUNCTION("""COMPUTED_VALUE"""),"Carol")</f>
        <v>Carol</v>
      </c>
      <c r="H956" s="4" t="str">
        <f>IFERROR(__xludf.DUMMYFUNCTION("""COMPUTED_VALUE"""),"N/A")</f>
        <v>N/A</v>
      </c>
      <c r="I956" s="4" t="str">
        <f>IFERROR(__xludf.DUMMYFUNCTION("""COMPUTED_VALUE"""),"Hannah")</f>
        <v>Hannah</v>
      </c>
      <c r="J956" s="4" t="str">
        <f>IFERROR(__xludf.DUMMYFUNCTION("""COMPUTED_VALUE"""),"Developers")</f>
        <v>Developers</v>
      </c>
      <c r="K956" s="4" t="str">
        <f>IFERROR(__xludf.DUMMYFUNCTION("""COMPUTED_VALUE"""),"Keynote")</f>
        <v>Keynote</v>
      </c>
      <c r="L956" s="4" t="str">
        <f>IFERROR(__xludf.DUMMYFUNCTION("""COMPUTED_VALUE"""),"T- 2 - 08/06/2020")</f>
        <v>T- 2 - 08/06/2020</v>
      </c>
      <c r="M956" s="4" t="str">
        <f>IFERROR(__xludf.DUMMYFUNCTION("""COMPUTED_VALUE"""),"The role of tech in a post-Covid world")</f>
        <v>The role of tech in a post-Covid world</v>
      </c>
      <c r="N956" s="4" t="str">
        <f>IFERROR(__xludf.DUMMYFUNCTION("""COMPUTED_VALUE"""),"Simon Segars, ARM")</f>
        <v>Simon Segars, ARM</v>
      </c>
      <c r="O956" s="4" t="str">
        <f>IFERROR(__xludf.DUMMYFUNCTION("""COMPUTED_VALUE"""),"")</f>
        <v/>
      </c>
      <c r="P956" s="4" t="str">
        <f>IFERROR(__xludf.DUMMYFUNCTION("""COMPUTED_VALUE"""),"")</f>
        <v/>
      </c>
      <c r="Q956" s="4" t="str">
        <f>IFERROR(__xludf.DUMMYFUNCTION("""COMPUTED_VALUE"""),"")</f>
        <v/>
      </c>
      <c r="R956" s="4" t="str">
        <f>IFERROR(__xludf.DUMMYFUNCTION("""COMPUTED_VALUE"""),"")</f>
        <v/>
      </c>
      <c r="S956" s="4" t="str">
        <f>IFERROR(__xludf.DUMMYFUNCTION("""COMPUTED_VALUE"""),"Facing a global crisis unlike anything else we have seen in our lifetime, the action we take now is crucial to set us on the right course into the future.")</f>
        <v>Facing a global crisis unlike anything else we have seen in our lifetime, the action we take now is crucial to set us on the right course into the future.</v>
      </c>
      <c r="T956" s="4" t="str">
        <f>IFERROR(__xludf.DUMMYFUNCTION("""COMPUTED_VALUE"""),"KEYNOTE 6 - Video to be recorded")</f>
        <v>KEYNOTE 6 - Video to be recorded</v>
      </c>
      <c r="U956" s="23">
        <f>IFERROR(__xludf.DUMMYFUNCTION("""COMPUTED_VALUE"""),43992.0)</f>
        <v>43992</v>
      </c>
      <c r="V956" s="4" t="str">
        <f>IFERROR(__xludf.DUMMYFUNCTION("""COMPUTED_VALUE"""),"edited video to be delivered to us by 0800 pst")</f>
        <v>edited video to be delivered to us by 0800 pst</v>
      </c>
      <c r="W956" s="21" t="str">
        <f>IFERROR(__xludf.DUMMYFUNCTION("""COMPUTED_VALUE"""),"https://zoom.us/j/93611382862?pwd=KzRUeTZ4elF5cVZnYklGM2JIZ0NuQT09")</f>
        <v>https://zoom.us/j/93611382862?pwd=KzRUeTZ4elF5cVZnYklGM2JIZ0NuQT09</v>
      </c>
      <c r="X956" s="4" t="str">
        <f>IFERROR(__xludf.DUMMYFUNCTION("""COMPUTED_VALUE"""),"Carol")</f>
        <v>Carol</v>
      </c>
      <c r="Y956" s="4" t="str">
        <f>IFERROR(__xludf.DUMMYFUNCTION("""COMPUTED_VALUE"""),"")</f>
        <v/>
      </c>
    </row>
    <row r="957">
      <c r="A957" s="4" t="str">
        <f>IFERROR(__xludf.DUMMYFUNCTION("""COMPUTED_VALUE"""),"1080 - Channel")</f>
        <v>1080 - Channel</v>
      </c>
      <c r="B957" s="4" t="str">
        <f>IFERROR(__xludf.DUMMYFUNCTION("""COMPUTED_VALUE"""),"Channel 3")</f>
        <v>Channel 3</v>
      </c>
      <c r="C957" s="4" t="str">
        <f>IFERROR(__xludf.DUMMYFUNCTION("""COMPUTED_VALUE"""),"Day 3 - 25/06")</f>
        <v>Day 3 - 25/06</v>
      </c>
      <c r="D957" s="6">
        <f>IFERROR(__xludf.DUMMYFUNCTION("""COMPUTED_VALUE"""),0.6163310185185186)</f>
        <v>0.6163310185</v>
      </c>
      <c r="E957" s="6">
        <f>IFERROR(__xludf.DUMMYFUNCTION("""COMPUTED_VALUE"""),2.314814814814815E-4)</f>
        <v>0.0002314814815</v>
      </c>
      <c r="F957" s="6">
        <f>IFERROR(__xludf.DUMMYFUNCTION("""COMPUTED_VALUE"""),0.6165625)</f>
        <v>0.6165625</v>
      </c>
      <c r="G957" s="4" t="str">
        <f>IFERROR(__xludf.DUMMYFUNCTION("""COMPUTED_VALUE"""),"Graphics")</f>
        <v>Graphics</v>
      </c>
      <c r="H957" s="4" t="str">
        <f>IFERROR(__xludf.DUMMYFUNCTION("""COMPUTED_VALUE"""),"N/A")</f>
        <v>N/A</v>
      </c>
      <c r="I957" s="4" t="str">
        <f>IFERROR(__xludf.DUMMYFUNCTION("""COMPUTED_VALUE"""),"N/A")</f>
        <v>N/A</v>
      </c>
      <c r="J957" s="4" t="str">
        <f>IFERROR(__xludf.DUMMYFUNCTION("""COMPUTED_VALUE"""),"Developers")</f>
        <v>Developers</v>
      </c>
      <c r="K957" s="4" t="str">
        <f>IFERROR(__xludf.DUMMYFUNCTION("""COMPUTED_VALUE"""),"Talk Intro")</f>
        <v>Talk Intro</v>
      </c>
      <c r="L957" s="4" t="str">
        <f>IFERROR(__xludf.DUMMYFUNCTION("""COMPUTED_VALUE"""),"")</f>
        <v/>
      </c>
      <c r="M957" s="4" t="str">
        <f>IFERROR(__xludf.DUMMYFUNCTION("""COMPUTED_VALUE"""),"Talk Intro")</f>
        <v>Talk Intro</v>
      </c>
      <c r="N957" s="4" t="str">
        <f>IFERROR(__xludf.DUMMYFUNCTION("""COMPUTED_VALUE"""),"")</f>
        <v/>
      </c>
      <c r="O957" s="4" t="str">
        <f>IFERROR(__xludf.DUMMYFUNCTION("""COMPUTED_VALUE"""),"")</f>
        <v/>
      </c>
      <c r="P957" s="4" t="str">
        <f>IFERROR(__xludf.DUMMYFUNCTION("""COMPUTED_VALUE"""),"")</f>
        <v/>
      </c>
      <c r="Q957" s="4" t="str">
        <f>IFERROR(__xludf.DUMMYFUNCTION("""COMPUTED_VALUE"""),"")</f>
        <v/>
      </c>
      <c r="R957" s="4" t="str">
        <f>IFERROR(__xludf.DUMMYFUNCTION("""COMPUTED_VALUE"""),"")</f>
        <v/>
      </c>
      <c r="S957" s="4" t="str">
        <f>IFERROR(__xludf.DUMMYFUNCTION("""COMPUTED_VALUE"""),"")</f>
        <v/>
      </c>
      <c r="T957" s="4" t="str">
        <f>IFERROR(__xludf.DUMMYFUNCTION("""COMPUTED_VALUE"""),"")</f>
        <v/>
      </c>
      <c r="U957" s="4" t="str">
        <f>IFERROR(__xludf.DUMMYFUNCTION("""COMPUTED_VALUE"""),"")</f>
        <v/>
      </c>
      <c r="V957" s="4" t="str">
        <f>IFERROR(__xludf.DUMMYFUNCTION("""COMPUTED_VALUE"""),"")</f>
        <v/>
      </c>
      <c r="W957" s="4" t="str">
        <f>IFERROR(__xludf.DUMMYFUNCTION("""COMPUTED_VALUE"""),"")</f>
        <v/>
      </c>
      <c r="X957" s="4" t="str">
        <f>IFERROR(__xludf.DUMMYFUNCTION("""COMPUTED_VALUE"""),"")</f>
        <v/>
      </c>
      <c r="Y957" s="4" t="str">
        <f>IFERROR(__xludf.DUMMYFUNCTION("""COMPUTED_VALUE"""),"")</f>
        <v/>
      </c>
    </row>
    <row r="958">
      <c r="A958" s="4" t="str">
        <f>IFERROR(__xludf.DUMMYFUNCTION("""COMPUTED_VALUE"""),"1081 - Channel")</f>
        <v>1081 - Channel</v>
      </c>
      <c r="B958" s="4" t="str">
        <f>IFERROR(__xludf.DUMMYFUNCTION("""COMPUTED_VALUE"""),"Channel 3")</f>
        <v>Channel 3</v>
      </c>
      <c r="C958" s="4" t="str">
        <f>IFERROR(__xludf.DUMMYFUNCTION("""COMPUTED_VALUE"""),"Day 3 - 25/06")</f>
        <v>Day 3 - 25/06</v>
      </c>
      <c r="D958" s="6">
        <f>IFERROR(__xludf.DUMMYFUNCTION("""COMPUTED_VALUE"""),0.6165625)</f>
        <v>0.6165625</v>
      </c>
      <c r="E958" s="6">
        <f>IFERROR(__xludf.DUMMYFUNCTION("""COMPUTED_VALUE"""),0.007523148148148148)</f>
        <v>0.007523148148</v>
      </c>
      <c r="F958" s="6">
        <f>IFERROR(__xludf.DUMMYFUNCTION("""COMPUTED_VALUE"""),0.6240856481481482)</f>
        <v>0.6240856481</v>
      </c>
      <c r="G958" s="4" t="str">
        <f>IFERROR(__xludf.DUMMYFUNCTION("""COMPUTED_VALUE"""),"Laura")</f>
        <v>Laura</v>
      </c>
      <c r="H958" s="4" t="str">
        <f>IFERROR(__xludf.DUMMYFUNCTION("""COMPUTED_VALUE"""),"")</f>
        <v/>
      </c>
      <c r="I958" s="4" t="str">
        <f>IFERROR(__xludf.DUMMYFUNCTION("""COMPUTED_VALUE"""),"Hannah")</f>
        <v>Hannah</v>
      </c>
      <c r="J958" s="4" t="str">
        <f>IFERROR(__xludf.DUMMYFUNCTION("""COMPUTED_VALUE"""),"Developers")</f>
        <v>Developers</v>
      </c>
      <c r="K958" s="4" t="str">
        <f>IFERROR(__xludf.DUMMYFUNCTION("""COMPUTED_VALUE"""),"Fireside")</f>
        <v>Fireside</v>
      </c>
      <c r="L958" s="4" t="str">
        <f>IFERROR(__xludf.DUMMYFUNCTION("""COMPUTED_VALUE"""),"T- 8 - 27/04/2020")</f>
        <v>T- 8 - 27/04/2020</v>
      </c>
      <c r="M958" s="4" t="str">
        <f>IFERROR(__xludf.DUMMYFUNCTION("""COMPUTED_VALUE"""),"Progressive delivery")</f>
        <v>Progressive delivery</v>
      </c>
      <c r="N958" s="4" t="str">
        <f>IFERROR(__xludf.DUMMYFUNCTION("""COMPUTED_VALUE"""),"Edith Harbaugh, LaunchDarkly")</f>
        <v>Edith Harbaugh, LaunchDarkly</v>
      </c>
      <c r="O958" s="4" t="str">
        <f>IFERROR(__xludf.DUMMYFUNCTION("""COMPUTED_VALUE"""),"")</f>
        <v/>
      </c>
      <c r="P958" s="4" t="str">
        <f>IFERROR(__xludf.DUMMYFUNCTION("""COMPUTED_VALUE"""),"")</f>
        <v/>
      </c>
      <c r="Q958" s="4" t="str">
        <f>IFERROR(__xludf.DUMMYFUNCTION("""COMPUTED_VALUE"""),"")</f>
        <v/>
      </c>
      <c r="R958" s="4" t="str">
        <f>IFERROR(__xludf.DUMMYFUNCTION("""COMPUTED_VALUE"""),"Scott Raney, Redpoint Ventures")</f>
        <v>Scott Raney, Redpoint Ventures</v>
      </c>
      <c r="S958" s="4" t="str">
        <f>IFERROR(__xludf.DUMMYFUNCTION("""COMPUTED_VALUE"""),"In a fast-changing world, deploying quickly has become ever more important. Learn more on progressive delivery from LaunchDarkly's Edith Harbaugh and Redpoint Venture's Scott Raney.")</f>
        <v>In a fast-changing world, deploying quickly has become ever more important. Learn more on progressive delivery from LaunchDarkly's Edith Harbaugh and Redpoint Venture's Scott Raney.</v>
      </c>
      <c r="T958" s="4" t="str">
        <f>IFERROR(__xludf.DUMMYFUNCTION("""COMPUTED_VALUE"""),"NON-KEYNOTE 9 - COMPLETE")</f>
        <v>NON-KEYNOTE 9 - COMPLETE</v>
      </c>
      <c r="U958" s="23">
        <f>IFERROR(__xludf.DUMMYFUNCTION("""COMPUTED_VALUE"""),43950.0)</f>
        <v>43950</v>
      </c>
      <c r="V958" s="24">
        <f>IFERROR(__xludf.DUMMYFUNCTION("""COMPUTED_VALUE"""),0.7083333333333334)</f>
        <v>0.7083333333</v>
      </c>
      <c r="W958" s="4" t="str">
        <f>IFERROR(__xludf.DUMMYFUNCTION("""COMPUTED_VALUE"""),"COMPLETE")</f>
        <v>COMPLETE</v>
      </c>
      <c r="X958" s="4" t="str">
        <f>IFERROR(__xludf.DUMMYFUNCTION("""COMPUTED_VALUE"""),"Laura")</f>
        <v>Laura</v>
      </c>
      <c r="Y958" s="4" t="str">
        <f>IFERROR(__xludf.DUMMYFUNCTION("""COMPUTED_VALUE"""),"")</f>
        <v/>
      </c>
    </row>
    <row r="959">
      <c r="A959" s="4" t="str">
        <f>IFERROR(__xludf.DUMMYFUNCTION("""COMPUTED_VALUE"""),"1357 - Channel")</f>
        <v>1357 - Channel</v>
      </c>
      <c r="B959" s="4" t="str">
        <f>IFERROR(__xludf.DUMMYFUNCTION("""COMPUTED_VALUE"""),"Channel 3")</f>
        <v>Channel 3</v>
      </c>
      <c r="C959" s="4" t="str">
        <f>IFERROR(__xludf.DUMMYFUNCTION("""COMPUTED_VALUE"""),"Day 3 - 25/06")</f>
        <v>Day 3 - 25/06</v>
      </c>
      <c r="D959" s="4" t="str">
        <f>IFERROR(__xludf.DUMMYFUNCTION("""COMPUTED_VALUE"""),"")</f>
        <v/>
      </c>
      <c r="E959" s="4" t="str">
        <f>IFERROR(__xludf.DUMMYFUNCTION("""COMPUTED_VALUE"""),"")</f>
        <v/>
      </c>
      <c r="F959" s="4" t="str">
        <f>IFERROR(__xludf.DUMMYFUNCTION("""COMPUTED_VALUE"""),"")</f>
        <v/>
      </c>
      <c r="G959" s="4" t="str">
        <f>IFERROR(__xludf.DUMMYFUNCTION("""COMPUTED_VALUE"""),"")</f>
        <v/>
      </c>
      <c r="H959" s="4" t="str">
        <f>IFERROR(__xludf.DUMMYFUNCTION("""COMPUTED_VALUE"""),"")</f>
        <v/>
      </c>
      <c r="I959" s="4" t="str">
        <f>IFERROR(__xludf.DUMMYFUNCTION("""COMPUTED_VALUE"""),"")</f>
        <v/>
      </c>
      <c r="J959" s="4" t="str">
        <f>IFERROR(__xludf.DUMMYFUNCTION("""COMPUTED_VALUE"""),"")</f>
        <v/>
      </c>
      <c r="K959" s="4" t="str">
        <f>IFERROR(__xludf.DUMMYFUNCTION("""COMPUTED_VALUE"""),"")</f>
        <v/>
      </c>
      <c r="L959" s="4" t="str">
        <f>IFERROR(__xludf.DUMMYFUNCTION("""COMPUTED_VALUE"""),"")</f>
        <v/>
      </c>
      <c r="M959" s="4" t="str">
        <f>IFERROR(__xludf.DUMMYFUNCTION("""COMPUTED_VALUE"""),"")</f>
        <v/>
      </c>
      <c r="N959" s="4" t="str">
        <f>IFERROR(__xludf.DUMMYFUNCTION("""COMPUTED_VALUE"""),"")</f>
        <v/>
      </c>
      <c r="O959" s="4" t="str">
        <f>IFERROR(__xludf.DUMMYFUNCTION("""COMPUTED_VALUE"""),"")</f>
        <v/>
      </c>
      <c r="P959" s="4" t="str">
        <f>IFERROR(__xludf.DUMMYFUNCTION("""COMPUTED_VALUE"""),"")</f>
        <v/>
      </c>
      <c r="Q959" s="4" t="str">
        <f>IFERROR(__xludf.DUMMYFUNCTION("""COMPUTED_VALUE"""),"")</f>
        <v/>
      </c>
      <c r="R959" s="4" t="str">
        <f>IFERROR(__xludf.DUMMYFUNCTION("""COMPUTED_VALUE"""),"")</f>
        <v/>
      </c>
      <c r="S959" s="4" t="str">
        <f>IFERROR(__xludf.DUMMYFUNCTION("""COMPUTED_VALUE"""),"")</f>
        <v/>
      </c>
      <c r="T959" s="4" t="str">
        <f>IFERROR(__xludf.DUMMYFUNCTION("""COMPUTED_VALUE"""),"")</f>
        <v/>
      </c>
      <c r="U959" s="4" t="str">
        <f>IFERROR(__xludf.DUMMYFUNCTION("""COMPUTED_VALUE"""),"")</f>
        <v/>
      </c>
      <c r="V959" s="4" t="str">
        <f>IFERROR(__xludf.DUMMYFUNCTION("""COMPUTED_VALUE"""),"")</f>
        <v/>
      </c>
      <c r="W959" s="4" t="str">
        <f>IFERROR(__xludf.DUMMYFUNCTION("""COMPUTED_VALUE"""),"")</f>
        <v/>
      </c>
      <c r="X959" s="4" t="str">
        <f>IFERROR(__xludf.DUMMYFUNCTION("""COMPUTED_VALUE"""),"")</f>
        <v/>
      </c>
      <c r="Y959" s="4" t="str">
        <f>IFERROR(__xludf.DUMMYFUNCTION("""COMPUTED_VALUE"""),"")</f>
        <v/>
      </c>
    </row>
    <row r="960">
      <c r="A960" s="4" t="str">
        <f>IFERROR(__xludf.DUMMYFUNCTION("""COMPUTED_VALUE"""),"1086 - Channel")</f>
        <v>1086 - Channel</v>
      </c>
      <c r="B960" s="4" t="str">
        <f>IFERROR(__xludf.DUMMYFUNCTION("""COMPUTED_VALUE"""),"Channel 3")</f>
        <v>Channel 3</v>
      </c>
      <c r="C960" s="4" t="str">
        <f>IFERROR(__xludf.DUMMYFUNCTION("""COMPUTED_VALUE"""),"Day 3 - 25/06")</f>
        <v>Day 3 - 25/06</v>
      </c>
      <c r="D960" s="6">
        <f>IFERROR(__xludf.DUMMYFUNCTION("""COMPUTED_VALUE"""),0.625)</f>
        <v>0.625</v>
      </c>
      <c r="E960" s="6">
        <f>IFERROR(__xludf.DUMMYFUNCTION("""COMPUTED_VALUE"""),3.4722222222222224E-4)</f>
        <v>0.0003472222222</v>
      </c>
      <c r="F960" s="6">
        <f>IFERROR(__xludf.DUMMYFUNCTION("""COMPUTED_VALUE"""),0.6253472222222223)</f>
        <v>0.6253472222</v>
      </c>
      <c r="G960" s="4" t="str">
        <f>IFERROR(__xludf.DUMMYFUNCTION("""COMPUTED_VALUE"""),"Graphics")</f>
        <v>Graphics</v>
      </c>
      <c r="H960" s="4" t="str">
        <f>IFERROR(__xludf.DUMMYFUNCTION("""COMPUTED_VALUE"""),"")</f>
        <v/>
      </c>
      <c r="I960" s="4" t="str">
        <f>IFERROR(__xludf.DUMMYFUNCTION("""COMPUTED_VALUE"""),"")</f>
        <v/>
      </c>
      <c r="J960" s="4" t="str">
        <f>IFERROR(__xludf.DUMMYFUNCTION("""COMPUTED_VALUE"""),"Trade")</f>
        <v>Trade</v>
      </c>
      <c r="K960" s="4" t="str">
        <f>IFERROR(__xludf.DUMMYFUNCTION("""COMPUTED_VALUE"""),"Talk Intro")</f>
        <v>Talk Intro</v>
      </c>
      <c r="L960" s="4" t="str">
        <f>IFERROR(__xludf.DUMMYFUNCTION("""COMPUTED_VALUE"""),"")</f>
        <v/>
      </c>
      <c r="M960" s="4" t="str">
        <f>IFERROR(__xludf.DUMMYFUNCTION("""COMPUTED_VALUE"""),"Talk Intro")</f>
        <v>Talk Intro</v>
      </c>
      <c r="N960" s="4" t="str">
        <f>IFERROR(__xludf.DUMMYFUNCTION("""COMPUTED_VALUE"""),"")</f>
        <v/>
      </c>
      <c r="O960" s="4" t="str">
        <f>IFERROR(__xludf.DUMMYFUNCTION("""COMPUTED_VALUE"""),"")</f>
        <v/>
      </c>
      <c r="P960" s="4" t="str">
        <f>IFERROR(__xludf.DUMMYFUNCTION("""COMPUTED_VALUE"""),"")</f>
        <v/>
      </c>
      <c r="Q960" s="4" t="str">
        <f>IFERROR(__xludf.DUMMYFUNCTION("""COMPUTED_VALUE"""),"")</f>
        <v/>
      </c>
      <c r="R960" s="4" t="str">
        <f>IFERROR(__xludf.DUMMYFUNCTION("""COMPUTED_VALUE"""),"")</f>
        <v/>
      </c>
      <c r="S960" s="4" t="str">
        <f>IFERROR(__xludf.DUMMYFUNCTION("""COMPUTED_VALUE"""),"")</f>
        <v/>
      </c>
      <c r="T960" s="4" t="str">
        <f>IFERROR(__xludf.DUMMYFUNCTION("""COMPUTED_VALUE"""),"")</f>
        <v/>
      </c>
      <c r="U960" s="4" t="str">
        <f>IFERROR(__xludf.DUMMYFUNCTION("""COMPUTED_VALUE"""),"")</f>
        <v/>
      </c>
      <c r="V960" s="4" t="str">
        <f>IFERROR(__xludf.DUMMYFUNCTION("""COMPUTED_VALUE"""),"")</f>
        <v/>
      </c>
      <c r="W960" s="4" t="str">
        <f>IFERROR(__xludf.DUMMYFUNCTION("""COMPUTED_VALUE"""),"")</f>
        <v/>
      </c>
      <c r="X960" s="4" t="str">
        <f>IFERROR(__xludf.DUMMYFUNCTION("""COMPUTED_VALUE"""),"")</f>
        <v/>
      </c>
      <c r="Y960" s="4" t="str">
        <f>IFERROR(__xludf.DUMMYFUNCTION("""COMPUTED_VALUE"""),"")</f>
        <v/>
      </c>
    </row>
    <row r="961">
      <c r="A961" s="4" t="str">
        <f>IFERROR(__xludf.DUMMYFUNCTION("""COMPUTED_VALUE"""),"1087 - Channel")</f>
        <v>1087 - Channel</v>
      </c>
      <c r="B961" s="4" t="str">
        <f>IFERROR(__xludf.DUMMYFUNCTION("""COMPUTED_VALUE"""),"Channel 3")</f>
        <v>Channel 3</v>
      </c>
      <c r="C961" s="4" t="str">
        <f>IFERROR(__xludf.DUMMYFUNCTION("""COMPUTED_VALUE"""),"Day 3 - 25/06")</f>
        <v>Day 3 - 25/06</v>
      </c>
      <c r="D961" s="6">
        <f>IFERROR(__xludf.DUMMYFUNCTION("""COMPUTED_VALUE"""),0.6253472222222223)</f>
        <v>0.6253472222</v>
      </c>
      <c r="E961" s="6">
        <f>IFERROR(__xludf.DUMMYFUNCTION("""COMPUTED_VALUE"""),0.010590277777777778)</f>
        <v>0.01059027778</v>
      </c>
      <c r="F961" s="6">
        <f>IFERROR(__xludf.DUMMYFUNCTION("""COMPUTED_VALUE"""),0.6359375)</f>
        <v>0.6359375</v>
      </c>
      <c r="G961" s="4" t="str">
        <f>IFERROR(__xludf.DUMMYFUNCTION("""COMPUTED_VALUE"""),"Gavin")</f>
        <v>Gavin</v>
      </c>
      <c r="H961" s="4" t="str">
        <f>IFERROR(__xludf.DUMMYFUNCTION("""COMPUTED_VALUE"""),"Stephen")</f>
        <v>Stephen</v>
      </c>
      <c r="I961" s="4" t="str">
        <f>IFERROR(__xludf.DUMMYFUNCTION("""COMPUTED_VALUE"""),"Lynn")</f>
        <v>Lynn</v>
      </c>
      <c r="J961" s="4" t="str">
        <f>IFERROR(__xludf.DUMMYFUNCTION("""COMPUTED_VALUE"""),"Trade")</f>
        <v>Trade</v>
      </c>
      <c r="K961" s="4" t="str">
        <f>IFERROR(__xludf.DUMMYFUNCTION("""COMPUTED_VALUE"""),"Fireside")</f>
        <v>Fireside</v>
      </c>
      <c r="L961" s="4" t="str">
        <f>IFERROR(__xludf.DUMMYFUNCTION("""COMPUTED_VALUE"""),"T- 3 - 01/06/2020")</f>
        <v>T- 3 - 01/06/2020</v>
      </c>
      <c r="M961" s="4" t="str">
        <f>IFERROR(__xludf.DUMMYFUNCTION("""COMPUTED_VALUE"""),"Do we need a new global economic system?")</f>
        <v>Do we need a new global economic system?</v>
      </c>
      <c r="N961" s="4" t="str">
        <f>IFERROR(__xludf.DUMMYFUNCTION("""COMPUTED_VALUE"""),"Pascal Saint-Amans, OECD")</f>
        <v>Pascal Saint-Amans, OECD</v>
      </c>
      <c r="O961" s="4" t="str">
        <f>IFERROR(__xludf.DUMMYFUNCTION("""COMPUTED_VALUE"""),"")</f>
        <v/>
      </c>
      <c r="P961" s="4" t="str">
        <f>IFERROR(__xludf.DUMMYFUNCTION("""COMPUTED_VALUE"""),"")</f>
        <v/>
      </c>
      <c r="Q961" s="4" t="str">
        <f>IFERROR(__xludf.DUMMYFUNCTION("""COMPUTED_VALUE"""),"")</f>
        <v/>
      </c>
      <c r="R961" s="4" t="str">
        <f>IFERROR(__xludf.DUMMYFUNCTION("""COMPUTED_VALUE"""),"Gillian Tett, Financial Times")</f>
        <v>Gillian Tett, Financial Times</v>
      </c>
      <c r="S961" s="4" t="str">
        <f>IFERROR(__xludf.DUMMYFUNCTION("""COMPUTED_VALUE"""),"The Bretton Woods conference took place in 1944, a year before WWII was over. It set out an economic order that has survived until today. Technology has wrought huge change since then. In the face of this pandemic, is now the time to reimagine the future "&amp;"of the global economy?")</f>
        <v>The Bretton Woods conference took place in 1944, a year before WWII was over. It set out an economic order that has survived until today. Technology has wrought huge change since then. In the face of this pandemic, is now the time to reimagine the future of the global economy?</v>
      </c>
      <c r="T961" s="4" t="str">
        <f>IFERROR(__xludf.DUMMYFUNCTION("""COMPUTED_VALUE"""),"NON-KEYNOTE 9 - COMPLETE")</f>
        <v>NON-KEYNOTE 9 - COMPLETE</v>
      </c>
      <c r="U961" s="23">
        <f>IFERROR(__xludf.DUMMYFUNCTION("""COMPUTED_VALUE"""),43987.0)</f>
        <v>43987</v>
      </c>
      <c r="V961" s="24">
        <f>IFERROR(__xludf.DUMMYFUNCTION("""COMPUTED_VALUE"""),0.625)</f>
        <v>0.625</v>
      </c>
      <c r="W961" s="21" t="str">
        <f>IFERROR(__xludf.DUMMYFUNCTION("""COMPUTED_VALUE"""),"https://us02web.zoom.us/j/86798823484?pwd=WkdEbllRQzlac2MvVnkwaEVlSXlkQT09")</f>
        <v>https://us02web.zoom.us/j/86798823484?pwd=WkdEbllRQzlac2MvVnkwaEVlSXlkQT09</v>
      </c>
      <c r="X961" s="4" t="str">
        <f>IFERROR(__xludf.DUMMYFUNCTION("""COMPUTED_VALUE"""),"Gavin")</f>
        <v>Gavin</v>
      </c>
      <c r="Y961" s="4" t="str">
        <f>IFERROR(__xludf.DUMMYFUNCTION("""COMPUTED_VALUE"""),"")</f>
        <v/>
      </c>
    </row>
    <row r="962">
      <c r="A962" s="4" t="str">
        <f>IFERROR(__xludf.DUMMYFUNCTION("""COMPUTED_VALUE"""),"1032 - Channel")</f>
        <v>1032 - Channel</v>
      </c>
      <c r="B962" s="4" t="str">
        <f>IFERROR(__xludf.DUMMYFUNCTION("""COMPUTED_VALUE"""),"Channel 3")</f>
        <v>Channel 3</v>
      </c>
      <c r="C962" s="4" t="str">
        <f>IFERROR(__xludf.DUMMYFUNCTION("""COMPUTED_VALUE"""),"Day 3 - 25/06")</f>
        <v>Day 3 - 25/06</v>
      </c>
      <c r="D962" s="6">
        <f>IFERROR(__xludf.DUMMYFUNCTION("""COMPUTED_VALUE"""),0.6359375)</f>
        <v>0.6359375</v>
      </c>
      <c r="E962" s="6">
        <f>IFERROR(__xludf.DUMMYFUNCTION("""COMPUTED_VALUE"""),1.7361111111111112E-4)</f>
        <v>0.0001736111111</v>
      </c>
      <c r="F962" s="6">
        <f>IFERROR(__xludf.DUMMYFUNCTION("""COMPUTED_VALUE"""),0.6361111111111112)</f>
        <v>0.6361111111</v>
      </c>
      <c r="G962" s="4" t="str">
        <f>IFERROR(__xludf.DUMMYFUNCTION("""COMPUTED_VALUE"""),"P&amp;E")</f>
        <v>P&amp;E</v>
      </c>
      <c r="H962" s="4" t="str">
        <f>IFERROR(__xludf.DUMMYFUNCTION("""COMPUTED_VALUE"""),"N/A")</f>
        <v>N/A</v>
      </c>
      <c r="I962" s="4" t="str">
        <f>IFERROR(__xludf.DUMMYFUNCTION("""COMPUTED_VALUE"""),"N/A")</f>
        <v>N/A</v>
      </c>
      <c r="J962" s="4" t="str">
        <f>IFERROR(__xludf.DUMMYFUNCTION("""COMPUTED_VALUE"""),"Robotics")</f>
        <v>Robotics</v>
      </c>
      <c r="K962" s="4" t="str">
        <f>IFERROR(__xludf.DUMMYFUNCTION("""COMPUTED_VALUE"""),"Partner ad")</f>
        <v>Partner ad</v>
      </c>
      <c r="L962" s="4" t="str">
        <f>IFERROR(__xludf.DUMMYFUNCTION("""COMPUTED_VALUE"""),"")</f>
        <v/>
      </c>
      <c r="M962" s="4" t="str">
        <f>IFERROR(__xludf.DUMMYFUNCTION("""COMPUTED_VALUE"""),"Partner ad Invest in Canada")</f>
        <v>Partner ad Invest in Canada</v>
      </c>
      <c r="N962" s="4" t="str">
        <f>IFERROR(__xludf.DUMMYFUNCTION("""COMPUTED_VALUE"""),"")</f>
        <v/>
      </c>
      <c r="O962" s="4" t="str">
        <f>IFERROR(__xludf.DUMMYFUNCTION("""COMPUTED_VALUE"""),"")</f>
        <v/>
      </c>
      <c r="P962" s="4" t="str">
        <f>IFERROR(__xludf.DUMMYFUNCTION("""COMPUTED_VALUE"""),"")</f>
        <v/>
      </c>
      <c r="Q962" s="4" t="str">
        <f>IFERROR(__xludf.DUMMYFUNCTION("""COMPUTED_VALUE"""),"")</f>
        <v/>
      </c>
      <c r="R962" s="4" t="str">
        <f>IFERROR(__xludf.DUMMYFUNCTION("""COMPUTED_VALUE"""),"")</f>
        <v/>
      </c>
      <c r="S962" s="4" t="str">
        <f>IFERROR(__xludf.DUMMYFUNCTION("""COMPUTED_VALUE"""),"")</f>
        <v/>
      </c>
      <c r="T962" s="4" t="str">
        <f>IFERROR(__xludf.DUMMYFUNCTION("""COMPUTED_VALUE"""),"")</f>
        <v/>
      </c>
      <c r="U962" s="4" t="str">
        <f>IFERROR(__xludf.DUMMYFUNCTION("""COMPUTED_VALUE"""),"")</f>
        <v/>
      </c>
      <c r="V962" s="4" t="str">
        <f>IFERROR(__xludf.DUMMYFUNCTION("""COMPUTED_VALUE"""),"")</f>
        <v/>
      </c>
      <c r="W962" s="4" t="str">
        <f>IFERROR(__xludf.DUMMYFUNCTION("""COMPUTED_VALUE"""),"")</f>
        <v/>
      </c>
      <c r="X962" s="4" t="str">
        <f>IFERROR(__xludf.DUMMYFUNCTION("""COMPUTED_VALUE"""),"")</f>
        <v/>
      </c>
      <c r="Y962" s="4" t="str">
        <f>IFERROR(__xludf.DUMMYFUNCTION("""COMPUTED_VALUE"""),"")</f>
        <v/>
      </c>
    </row>
    <row r="963">
      <c r="A963" s="4" t="str">
        <f>IFERROR(__xludf.DUMMYFUNCTION("""COMPUTED_VALUE"""),"1089 - Channel")</f>
        <v>1089 - Channel</v>
      </c>
      <c r="B963" s="4" t="str">
        <f>IFERROR(__xludf.DUMMYFUNCTION("""COMPUTED_VALUE"""),"Channel 3")</f>
        <v>Channel 3</v>
      </c>
      <c r="C963" s="4" t="str">
        <f>IFERROR(__xludf.DUMMYFUNCTION("""COMPUTED_VALUE"""),"Day 3 - 25/06")</f>
        <v>Day 3 - 25/06</v>
      </c>
      <c r="D963" s="6">
        <f>IFERROR(__xludf.DUMMYFUNCTION("""COMPUTED_VALUE"""),0.6361111111111112)</f>
        <v>0.6361111111</v>
      </c>
      <c r="E963" s="6">
        <f>IFERROR(__xludf.DUMMYFUNCTION("""COMPUTED_VALUE"""),2.314814814814815E-4)</f>
        <v>0.0002314814815</v>
      </c>
      <c r="F963" s="6">
        <f>IFERROR(__xludf.DUMMYFUNCTION("""COMPUTED_VALUE"""),0.6363425925925926)</f>
        <v>0.6363425926</v>
      </c>
      <c r="G963" s="4" t="str">
        <f>IFERROR(__xludf.DUMMYFUNCTION("""COMPUTED_VALUE"""),"Graphics")</f>
        <v>Graphics</v>
      </c>
      <c r="H963" s="4" t="str">
        <f>IFERROR(__xludf.DUMMYFUNCTION("""COMPUTED_VALUE"""),"N/A")</f>
        <v>N/A</v>
      </c>
      <c r="I963" s="4" t="str">
        <f>IFERROR(__xludf.DUMMYFUNCTION("""COMPUTED_VALUE"""),"N/A")</f>
        <v>N/A</v>
      </c>
      <c r="J963" s="4" t="str">
        <f>IFERROR(__xludf.DUMMYFUNCTION("""COMPUTED_VALUE"""),"Trade")</f>
        <v>Trade</v>
      </c>
      <c r="K963" s="4" t="str">
        <f>IFERROR(__xludf.DUMMYFUNCTION("""COMPUTED_VALUE"""),"Talk Intro")</f>
        <v>Talk Intro</v>
      </c>
      <c r="L963" s="4" t="str">
        <f>IFERROR(__xludf.DUMMYFUNCTION("""COMPUTED_VALUE"""),"")</f>
        <v/>
      </c>
      <c r="M963" s="4" t="str">
        <f>IFERROR(__xludf.DUMMYFUNCTION("""COMPUTED_VALUE"""),"Talk Intro")</f>
        <v>Talk Intro</v>
      </c>
      <c r="N963" s="4" t="str">
        <f>IFERROR(__xludf.DUMMYFUNCTION("""COMPUTED_VALUE"""),"")</f>
        <v/>
      </c>
      <c r="O963" s="4" t="str">
        <f>IFERROR(__xludf.DUMMYFUNCTION("""COMPUTED_VALUE"""),"")</f>
        <v/>
      </c>
      <c r="P963" s="4" t="str">
        <f>IFERROR(__xludf.DUMMYFUNCTION("""COMPUTED_VALUE"""),"")</f>
        <v/>
      </c>
      <c r="Q963" s="4" t="str">
        <f>IFERROR(__xludf.DUMMYFUNCTION("""COMPUTED_VALUE"""),"")</f>
        <v/>
      </c>
      <c r="R963" s="4" t="str">
        <f>IFERROR(__xludf.DUMMYFUNCTION("""COMPUTED_VALUE"""),"")</f>
        <v/>
      </c>
      <c r="S963" s="4" t="str">
        <f>IFERROR(__xludf.DUMMYFUNCTION("""COMPUTED_VALUE"""),"")</f>
        <v/>
      </c>
      <c r="T963" s="4" t="str">
        <f>IFERROR(__xludf.DUMMYFUNCTION("""COMPUTED_VALUE"""),"")</f>
        <v/>
      </c>
      <c r="U963" s="4" t="str">
        <f>IFERROR(__xludf.DUMMYFUNCTION("""COMPUTED_VALUE"""),"")</f>
        <v/>
      </c>
      <c r="V963" s="4" t="str">
        <f>IFERROR(__xludf.DUMMYFUNCTION("""COMPUTED_VALUE"""),"")</f>
        <v/>
      </c>
      <c r="W963" s="4" t="str">
        <f>IFERROR(__xludf.DUMMYFUNCTION("""COMPUTED_VALUE"""),"")</f>
        <v/>
      </c>
      <c r="X963" s="4" t="str">
        <f>IFERROR(__xludf.DUMMYFUNCTION("""COMPUTED_VALUE"""),"")</f>
        <v/>
      </c>
      <c r="Y963" s="4" t="str">
        <f>IFERROR(__xludf.DUMMYFUNCTION("""COMPUTED_VALUE"""),"")</f>
        <v/>
      </c>
    </row>
    <row r="964">
      <c r="A964" s="4" t="str">
        <f>IFERROR(__xludf.DUMMYFUNCTION("""COMPUTED_VALUE"""),"1090 - Channel")</f>
        <v>1090 - Channel</v>
      </c>
      <c r="B964" s="4" t="str">
        <f>IFERROR(__xludf.DUMMYFUNCTION("""COMPUTED_VALUE"""),"Channel 3")</f>
        <v>Channel 3</v>
      </c>
      <c r="C964" s="4" t="str">
        <f>IFERROR(__xludf.DUMMYFUNCTION("""COMPUTED_VALUE"""),"Day 3 - 25/06")</f>
        <v>Day 3 - 25/06</v>
      </c>
      <c r="D964" s="6">
        <f>IFERROR(__xludf.DUMMYFUNCTION("""COMPUTED_VALUE"""),0.6363425925925926)</f>
        <v>0.6363425926</v>
      </c>
      <c r="E964" s="6">
        <f>IFERROR(__xludf.DUMMYFUNCTION("""COMPUTED_VALUE"""),0.013888888888888888)</f>
        <v>0.01388888889</v>
      </c>
      <c r="F964" s="6">
        <f>IFERROR(__xludf.DUMMYFUNCTION("""COMPUTED_VALUE"""),0.6502314814814815)</f>
        <v>0.6502314815</v>
      </c>
      <c r="G964" s="4" t="str">
        <f>IFERROR(__xludf.DUMMYFUNCTION("""COMPUTED_VALUE"""),"Gavin")</f>
        <v>Gavin</v>
      </c>
      <c r="H964" s="4" t="str">
        <f>IFERROR(__xludf.DUMMYFUNCTION("""COMPUTED_VALUE"""),"Eoghan")</f>
        <v>Eoghan</v>
      </c>
      <c r="I964" s="4" t="str">
        <f>IFERROR(__xludf.DUMMYFUNCTION("""COMPUTED_VALUE"""),"Manon")</f>
        <v>Manon</v>
      </c>
      <c r="J964" s="4" t="str">
        <f>IFERROR(__xludf.DUMMYFUNCTION("""COMPUTED_VALUE"""),"Trade")</f>
        <v>Trade</v>
      </c>
      <c r="K964" s="4" t="str">
        <f>IFERROR(__xludf.DUMMYFUNCTION("""COMPUTED_VALUE"""),"Super Fireside")</f>
        <v>Super Fireside</v>
      </c>
      <c r="L964" s="4" t="str">
        <f>IFERROR(__xludf.DUMMYFUNCTION("""COMPUTED_VALUE"""),"T- 3 - 01/06/2020")</f>
        <v>T- 3 - 01/06/2020</v>
      </c>
      <c r="M964" s="4" t="str">
        <f>IFERROR(__xludf.DUMMYFUNCTION("""COMPUTED_VALUE"""),"Government and business: Addressing global challenges")</f>
        <v>Government and business: Addressing global challenges</v>
      </c>
      <c r="N964" s="4" t="str">
        <f>IFERROR(__xludf.DUMMYFUNCTION("""COMPUTED_VALUE"""),"Ailish Campbell, Global Affairs Canada")</f>
        <v>Ailish Campbell, Global Affairs Canada</v>
      </c>
      <c r="O964" s="4" t="str">
        <f>IFERROR(__xludf.DUMMYFUNCTION("""COMPUTED_VALUE"""),"David Wallerstein, Tencent Holdings")</f>
        <v>David Wallerstein, Tencent Holdings</v>
      </c>
      <c r="P964" s="4" t="str">
        <f>IFERROR(__xludf.DUMMYFUNCTION("""COMPUTED_VALUE"""),"")</f>
        <v/>
      </c>
      <c r="Q964" s="4" t="str">
        <f>IFERROR(__xludf.DUMMYFUNCTION("""COMPUTED_VALUE"""),"")</f>
        <v/>
      </c>
      <c r="R964" s="4" t="str">
        <f>IFERROR(__xludf.DUMMYFUNCTION("""COMPUTED_VALUE"""),"Ryan Heath, POLITICO")</f>
        <v>Ryan Heath, POLITICO</v>
      </c>
      <c r="S964" s="4" t="str">
        <f>IFERROR(__xludf.DUMMYFUNCTION("""COMPUTED_VALUE"""),"Cooperation between governments and the private sector are vital for a healthy economy. In this time of great economic difficulty, keeping these lines of cooperation open has never been more important. This discussion will explore how government and corpo"&amp;"rations can better work together to promote growth and stability.")</f>
        <v>Cooperation between governments and the private sector are vital for a healthy economy. In this time of great economic difficulty, keeping these lines of cooperation open has never been more important. This discussion will explore how government and corporations can better work together to promote growth and stability.</v>
      </c>
      <c r="T964" s="4" t="str">
        <f>IFERROR(__xludf.DUMMYFUNCTION("""COMPUTED_VALUE"""),"NON-KEYNOTE 9 - COMPLETE")</f>
        <v>NON-KEYNOTE 9 - COMPLETE</v>
      </c>
      <c r="U964" s="23">
        <f>IFERROR(__xludf.DUMMYFUNCTION("""COMPUTED_VALUE"""),43985.0)</f>
        <v>43985</v>
      </c>
      <c r="V964" s="24">
        <f>IFERROR(__xludf.DUMMYFUNCTION("""COMPUTED_VALUE"""),0.5416666666666666)</f>
        <v>0.5416666667</v>
      </c>
      <c r="W964" s="4" t="str">
        <f>IFERROR(__xludf.DUMMYFUNCTION("""COMPUTED_VALUE"""),"COMPLETE")</f>
        <v>COMPLETE</v>
      </c>
      <c r="X964" s="4" t="str">
        <f>IFERROR(__xludf.DUMMYFUNCTION("""COMPUTED_VALUE"""),"Gavin")</f>
        <v>Gavin</v>
      </c>
      <c r="Y964" s="4" t="str">
        <f>IFERROR(__xludf.DUMMYFUNCTION("""COMPUTED_VALUE"""),"")</f>
        <v/>
      </c>
    </row>
    <row r="965">
      <c r="A965" s="4" t="str">
        <f>IFERROR(__xludf.DUMMYFUNCTION("""COMPUTED_VALUE"""),"1681 - Channel")</f>
        <v>1681 - Channel</v>
      </c>
      <c r="B965" s="4" t="str">
        <f>IFERROR(__xludf.DUMMYFUNCTION("""COMPUTED_VALUE"""),"Channel 3")</f>
        <v>Channel 3</v>
      </c>
      <c r="C965" s="4" t="str">
        <f>IFERROR(__xludf.DUMMYFUNCTION("""COMPUTED_VALUE"""),"Day 3 - 25/06")</f>
        <v>Day 3 - 25/06</v>
      </c>
      <c r="D965" s="6">
        <f>IFERROR(__xludf.DUMMYFUNCTION("""COMPUTED_VALUE"""),0.6502314814814815)</f>
        <v>0.6502314815</v>
      </c>
      <c r="E965" s="6">
        <f>IFERROR(__xludf.DUMMYFUNCTION("""COMPUTED_VALUE"""),0.0010416666666666667)</f>
        <v>0.001041666667</v>
      </c>
      <c r="F965" s="6">
        <f>IFERROR(__xludf.DUMMYFUNCTION("""COMPUTED_VALUE"""),0.6512731481481482)</f>
        <v>0.6512731481</v>
      </c>
      <c r="G965" s="4" t="str">
        <f>IFERROR(__xludf.DUMMYFUNCTION("""COMPUTED_VALUE"""),"Graphics")</f>
        <v>Graphics</v>
      </c>
      <c r="H965" s="4" t="str">
        <f>IFERROR(__xludf.DUMMYFUNCTION("""COMPUTED_VALUE"""),"")</f>
        <v/>
      </c>
      <c r="I965" s="4" t="str">
        <f>IFERROR(__xludf.DUMMYFUNCTION("""COMPUTED_VALUE"""),"")</f>
        <v/>
      </c>
      <c r="J965" s="4" t="str">
        <f>IFERROR(__xludf.DUMMYFUNCTION("""COMPUTED_VALUE"""),"")</f>
        <v/>
      </c>
      <c r="K965" s="4" t="str">
        <f>IFERROR(__xludf.DUMMYFUNCTION("""COMPUTED_VALUE"""),"Collision From Home Day Intro")</f>
        <v>Collision From Home Day Intro</v>
      </c>
      <c r="L965" s="4" t="str">
        <f>IFERROR(__xludf.DUMMYFUNCTION("""COMPUTED_VALUE"""),"")</f>
        <v/>
      </c>
      <c r="M965" s="4" t="str">
        <f>IFERROR(__xludf.DUMMYFUNCTION("""COMPUTED_VALUE"""),"Collision From Home Day Intro")</f>
        <v>Collision From Home Day Intro</v>
      </c>
      <c r="N965" s="4" t="str">
        <f>IFERROR(__xludf.DUMMYFUNCTION("""COMPUTED_VALUE"""),"")</f>
        <v/>
      </c>
      <c r="O965" s="4" t="str">
        <f>IFERROR(__xludf.DUMMYFUNCTION("""COMPUTED_VALUE"""),"")</f>
        <v/>
      </c>
      <c r="P965" s="4" t="str">
        <f>IFERROR(__xludf.DUMMYFUNCTION("""COMPUTED_VALUE"""),"")</f>
        <v/>
      </c>
      <c r="Q965" s="4" t="str">
        <f>IFERROR(__xludf.DUMMYFUNCTION("""COMPUTED_VALUE"""),"")</f>
        <v/>
      </c>
      <c r="R965" s="4" t="str">
        <f>IFERROR(__xludf.DUMMYFUNCTION("""COMPUTED_VALUE"""),"")</f>
        <v/>
      </c>
      <c r="S965" s="4" t="str">
        <f>IFERROR(__xludf.DUMMYFUNCTION("""COMPUTED_VALUE"""),"")</f>
        <v/>
      </c>
      <c r="T965" s="4" t="str">
        <f>IFERROR(__xludf.DUMMYFUNCTION("""COMPUTED_VALUE"""),"")</f>
        <v/>
      </c>
      <c r="U965" s="4" t="str">
        <f>IFERROR(__xludf.DUMMYFUNCTION("""COMPUTED_VALUE"""),"")</f>
        <v/>
      </c>
      <c r="V965" s="4" t="str">
        <f>IFERROR(__xludf.DUMMYFUNCTION("""COMPUTED_VALUE"""),"")</f>
        <v/>
      </c>
      <c r="W965" s="4" t="str">
        <f>IFERROR(__xludf.DUMMYFUNCTION("""COMPUTED_VALUE"""),"")</f>
        <v/>
      </c>
      <c r="X965" s="4" t="str">
        <f>IFERROR(__xludf.DUMMYFUNCTION("""COMPUTED_VALUE"""),"")</f>
        <v/>
      </c>
      <c r="Y965" s="4" t="str">
        <f>IFERROR(__xludf.DUMMYFUNCTION("""COMPUTED_VALUE"""),"")</f>
        <v/>
      </c>
    </row>
    <row r="966">
      <c r="A966" s="4" t="str">
        <f>IFERROR(__xludf.DUMMYFUNCTION("""COMPUTED_VALUE"""),"1368 - Channel")</f>
        <v>1368 - Channel</v>
      </c>
      <c r="B966" s="4" t="str">
        <f>IFERROR(__xludf.DUMMYFUNCTION("""COMPUTED_VALUE"""),"Channel 3")</f>
        <v>Channel 3</v>
      </c>
      <c r="C966" s="4" t="str">
        <f>IFERROR(__xludf.DUMMYFUNCTION("""COMPUTED_VALUE"""),"Day 3 - 25/06")</f>
        <v>Day 3 - 25/06</v>
      </c>
      <c r="D966" s="6">
        <f>IFERROR(__xludf.DUMMYFUNCTION("""COMPUTED_VALUE"""),0.6512731481481482)</f>
        <v>0.6512731481</v>
      </c>
      <c r="E966" s="6">
        <f>IFERROR(__xludf.DUMMYFUNCTION("""COMPUTED_VALUE"""),2.314814814814815E-4)</f>
        <v>0.0002314814815</v>
      </c>
      <c r="F966" s="6">
        <f>IFERROR(__xludf.DUMMYFUNCTION("""COMPUTED_VALUE"""),0.6515046296296296)</f>
        <v>0.6515046296</v>
      </c>
      <c r="G966" s="4" t="str">
        <f>IFERROR(__xludf.DUMMYFUNCTION("""COMPUTED_VALUE"""),"Graphics")</f>
        <v>Graphics</v>
      </c>
      <c r="H966" s="4" t="str">
        <f>IFERROR(__xludf.DUMMYFUNCTION("""COMPUTED_VALUE"""),"")</f>
        <v/>
      </c>
      <c r="I966" s="4" t="str">
        <f>IFERROR(__xludf.DUMMYFUNCTION("""COMPUTED_VALUE"""),"")</f>
        <v/>
      </c>
      <c r="J966" s="4" t="str">
        <f>IFERROR(__xludf.DUMMYFUNCTION("""COMPUTED_VALUE"""),"Trade")</f>
        <v>Trade</v>
      </c>
      <c r="K966" s="4" t="str">
        <f>IFERROR(__xludf.DUMMYFUNCTION("""COMPUTED_VALUE"""),"Talk Intro")</f>
        <v>Talk Intro</v>
      </c>
      <c r="L966" s="4" t="str">
        <f>IFERROR(__xludf.DUMMYFUNCTION("""COMPUTED_VALUE"""),"")</f>
        <v/>
      </c>
      <c r="M966" s="4" t="str">
        <f>IFERROR(__xludf.DUMMYFUNCTION("""COMPUTED_VALUE"""),"Talk Intro")</f>
        <v>Talk Intro</v>
      </c>
      <c r="N966" s="4" t="str">
        <f>IFERROR(__xludf.DUMMYFUNCTION("""COMPUTED_VALUE"""),"")</f>
        <v/>
      </c>
      <c r="O966" s="4" t="str">
        <f>IFERROR(__xludf.DUMMYFUNCTION("""COMPUTED_VALUE"""),"")</f>
        <v/>
      </c>
      <c r="P966" s="4" t="str">
        <f>IFERROR(__xludf.DUMMYFUNCTION("""COMPUTED_VALUE"""),"")</f>
        <v/>
      </c>
      <c r="Q966" s="4" t="str">
        <f>IFERROR(__xludf.DUMMYFUNCTION("""COMPUTED_VALUE"""),"")</f>
        <v/>
      </c>
      <c r="R966" s="4" t="str">
        <f>IFERROR(__xludf.DUMMYFUNCTION("""COMPUTED_VALUE"""),"")</f>
        <v/>
      </c>
      <c r="S966" s="4" t="str">
        <f>IFERROR(__xludf.DUMMYFUNCTION("""COMPUTED_VALUE"""),"")</f>
        <v/>
      </c>
      <c r="T966" s="4" t="str">
        <f>IFERROR(__xludf.DUMMYFUNCTION("""COMPUTED_VALUE"""),"")</f>
        <v/>
      </c>
      <c r="U966" s="4" t="str">
        <f>IFERROR(__xludf.DUMMYFUNCTION("""COMPUTED_VALUE"""),"")</f>
        <v/>
      </c>
      <c r="V966" s="4" t="str">
        <f>IFERROR(__xludf.DUMMYFUNCTION("""COMPUTED_VALUE"""),"")</f>
        <v/>
      </c>
      <c r="W966" s="4" t="str">
        <f>IFERROR(__xludf.DUMMYFUNCTION("""COMPUTED_VALUE"""),"")</f>
        <v/>
      </c>
      <c r="X966" s="4" t="str">
        <f>IFERROR(__xludf.DUMMYFUNCTION("""COMPUTED_VALUE"""),"")</f>
        <v/>
      </c>
      <c r="Y966" s="4" t="str">
        <f>IFERROR(__xludf.DUMMYFUNCTION("""COMPUTED_VALUE"""),"")</f>
        <v/>
      </c>
    </row>
    <row r="967">
      <c r="A967" s="4" t="str">
        <f>IFERROR(__xludf.DUMMYFUNCTION("""COMPUTED_VALUE"""),"1273 - Channel")</f>
        <v>1273 - Channel</v>
      </c>
      <c r="B967" s="4" t="str">
        <f>IFERROR(__xludf.DUMMYFUNCTION("""COMPUTED_VALUE"""),"Channel 3")</f>
        <v>Channel 3</v>
      </c>
      <c r="C967" s="4" t="str">
        <f>IFERROR(__xludf.DUMMYFUNCTION("""COMPUTED_VALUE"""),"Day 3 - 25/06")</f>
        <v>Day 3 - 25/06</v>
      </c>
      <c r="D967" s="6">
        <f>IFERROR(__xludf.DUMMYFUNCTION("""COMPUTED_VALUE"""),0.6515046296296296)</f>
        <v>0.6515046296</v>
      </c>
      <c r="E967" s="6">
        <f>IFERROR(__xludf.DUMMYFUNCTION("""COMPUTED_VALUE"""),0.0020833333333333333)</f>
        <v>0.002083333333</v>
      </c>
      <c r="F967" s="6">
        <f>IFERROR(__xludf.DUMMYFUNCTION("""COMPUTED_VALUE"""),0.653587962962963)</f>
        <v>0.653587963</v>
      </c>
      <c r="G967" s="4" t="str">
        <f>IFERROR(__xludf.DUMMYFUNCTION("""COMPUTED_VALUE"""),"Dan")</f>
        <v>Dan</v>
      </c>
      <c r="H967" s="4" t="str">
        <f>IFERROR(__xludf.DUMMYFUNCTION("""COMPUTED_VALUE"""),"N/A")</f>
        <v>N/A</v>
      </c>
      <c r="I967" s="4" t="str">
        <f>IFERROR(__xludf.DUMMYFUNCTION("""COMPUTED_VALUE"""),"Jack")</f>
        <v>Jack</v>
      </c>
      <c r="J967" s="4" t="str">
        <f>IFERROR(__xludf.DUMMYFUNCTION("""COMPUTED_VALUE"""),"Health")</f>
        <v>Health</v>
      </c>
      <c r="K967" s="4" t="str">
        <f>IFERROR(__xludf.DUMMYFUNCTION("""COMPUTED_VALUE"""),"Keynote")</f>
        <v>Keynote</v>
      </c>
      <c r="L967" s="4" t="str">
        <f>IFERROR(__xludf.DUMMYFUNCTION("""COMPUTED_VALUE"""),"T- 8 - 27/04/2020")</f>
        <v>T- 8 - 27/04/2020</v>
      </c>
      <c r="M967" s="4" t="str">
        <f>IFERROR(__xludf.DUMMYFUNCTION("""COMPUTED_VALUE"""),"Revolutionizing employee healthcare")</f>
        <v>Revolutionizing employee healthcare</v>
      </c>
      <c r="N967" s="4" t="str">
        <f>IFERROR(__xludf.DUMMYFUNCTION("""COMPUTED_VALUE"""),"Michael Serbinis, League Inc")</f>
        <v>Michael Serbinis, League Inc</v>
      </c>
      <c r="O967" s="4" t="str">
        <f>IFERROR(__xludf.DUMMYFUNCTION("""COMPUTED_VALUE"""),"")</f>
        <v/>
      </c>
      <c r="P967" s="4" t="str">
        <f>IFERROR(__xludf.DUMMYFUNCTION("""COMPUTED_VALUE"""),"")</f>
        <v/>
      </c>
      <c r="Q967" s="4" t="str">
        <f>IFERROR(__xludf.DUMMYFUNCTION("""COMPUTED_VALUE"""),"")</f>
        <v/>
      </c>
      <c r="R967" s="4" t="str">
        <f>IFERROR(__xludf.DUMMYFUNCTION("""COMPUTED_VALUE"""),"")</f>
        <v/>
      </c>
      <c r="S967" s="4" t="str">
        <f>IFERROR(__xludf.DUMMYFUNCTION("""COMPUTED_VALUE"""),"Michael Serbinis, the CEO of health benefits platform League, outlines how the company is revolutionizing employee healthcare.")</f>
        <v>Michael Serbinis, the CEO of health benefits platform League, outlines how the company is revolutionizing employee healthcare.</v>
      </c>
      <c r="T967" s="4" t="str">
        <f>IFERROR(__xludf.DUMMYFUNCTION("""COMPUTED_VALUE"""),"KEYNOTE 8 - COMPLETE")</f>
        <v>KEYNOTE 8 - COMPLETE</v>
      </c>
      <c r="U967" s="23">
        <f>IFERROR(__xludf.DUMMYFUNCTION("""COMPUTED_VALUE"""),43952.0)</f>
        <v>43952</v>
      </c>
      <c r="V967" s="24">
        <f>IFERROR(__xludf.DUMMYFUNCTION("""COMPUTED_VALUE"""),0.7083333333333334)</f>
        <v>0.7083333333</v>
      </c>
      <c r="W967" s="4" t="str">
        <f>IFERROR(__xludf.DUMMYFUNCTION("""COMPUTED_VALUE"""),"COMPLETE")</f>
        <v>COMPLETE</v>
      </c>
      <c r="X967" s="4" t="str">
        <f>IFERROR(__xludf.DUMMYFUNCTION("""COMPUTED_VALUE"""),"Dan")</f>
        <v>Dan</v>
      </c>
      <c r="Y967" s="4" t="str">
        <f>IFERROR(__xludf.DUMMYFUNCTION("""COMPUTED_VALUE"""),"4640575248019698983")</f>
        <v>4640575248019698983</v>
      </c>
    </row>
    <row r="968">
      <c r="A968" s="4" t="str">
        <f>IFERROR(__xludf.DUMMYFUNCTION("""COMPUTED_VALUE"""),"985 - Channel")</f>
        <v>985 - Channel</v>
      </c>
      <c r="B968" s="4" t="str">
        <f>IFERROR(__xludf.DUMMYFUNCTION("""COMPUTED_VALUE"""),"Channel 3")</f>
        <v>Channel 3</v>
      </c>
      <c r="C968" s="4" t="str">
        <f>IFERROR(__xludf.DUMMYFUNCTION("""COMPUTED_VALUE"""),"Day 3 - 25/06")</f>
        <v>Day 3 - 25/06</v>
      </c>
      <c r="D968" s="6">
        <f>IFERROR(__xludf.DUMMYFUNCTION("""COMPUTED_VALUE"""),0.653587962962963)</f>
        <v>0.653587963</v>
      </c>
      <c r="E968" s="6">
        <f>IFERROR(__xludf.DUMMYFUNCTION("""COMPUTED_VALUE"""),1.7361111111111112E-4)</f>
        <v>0.0001736111111</v>
      </c>
      <c r="F968" s="6">
        <f>IFERROR(__xludf.DUMMYFUNCTION("""COMPUTED_VALUE"""),0.6537615740740741)</f>
        <v>0.6537615741</v>
      </c>
      <c r="G968" s="4" t="str">
        <f>IFERROR(__xludf.DUMMYFUNCTION("""COMPUTED_VALUE"""),"P&amp;E")</f>
        <v>P&amp;E</v>
      </c>
      <c r="H968" s="4" t="str">
        <f>IFERROR(__xludf.DUMMYFUNCTION("""COMPUTED_VALUE"""),"")</f>
        <v/>
      </c>
      <c r="I968" s="4" t="str">
        <f>IFERROR(__xludf.DUMMYFUNCTION("""COMPUTED_VALUE"""),"")</f>
        <v/>
      </c>
      <c r="J968" s="4" t="str">
        <f>IFERROR(__xludf.DUMMYFUNCTION("""COMPUTED_VALUE"""),"Payments")</f>
        <v>Payments</v>
      </c>
      <c r="K968" s="4" t="str">
        <f>IFERROR(__xludf.DUMMYFUNCTION("""COMPUTED_VALUE"""),"Partner ad")</f>
        <v>Partner ad</v>
      </c>
      <c r="L968" s="4" t="str">
        <f>IFERROR(__xludf.DUMMYFUNCTION("""COMPUTED_VALUE"""),"")</f>
        <v/>
      </c>
      <c r="M968" s="4" t="str">
        <f>IFERROR(__xludf.DUMMYFUNCTION("""COMPUTED_VALUE"""),"Partner ad - It is for the partner - Invest in Canada")</f>
        <v>Partner ad - It is for the partner - Invest in Canada</v>
      </c>
      <c r="N968" s="4" t="str">
        <f>IFERROR(__xludf.DUMMYFUNCTION("""COMPUTED_VALUE"""),"")</f>
        <v/>
      </c>
      <c r="O968" s="4" t="str">
        <f>IFERROR(__xludf.DUMMYFUNCTION("""COMPUTED_VALUE"""),"")</f>
        <v/>
      </c>
      <c r="P968" s="4" t="str">
        <f>IFERROR(__xludf.DUMMYFUNCTION("""COMPUTED_VALUE"""),"")</f>
        <v/>
      </c>
      <c r="Q968" s="4" t="str">
        <f>IFERROR(__xludf.DUMMYFUNCTION("""COMPUTED_VALUE"""),"")</f>
        <v/>
      </c>
      <c r="R968" s="4" t="str">
        <f>IFERROR(__xludf.DUMMYFUNCTION("""COMPUTED_VALUE"""),"")</f>
        <v/>
      </c>
      <c r="S968" s="4" t="str">
        <f>IFERROR(__xludf.DUMMYFUNCTION("""COMPUTED_VALUE"""),"")</f>
        <v/>
      </c>
      <c r="T968" s="4" t="str">
        <f>IFERROR(__xludf.DUMMYFUNCTION("""COMPUTED_VALUE"""),"")</f>
        <v/>
      </c>
      <c r="U968" s="4" t="str">
        <f>IFERROR(__xludf.DUMMYFUNCTION("""COMPUTED_VALUE"""),"")</f>
        <v/>
      </c>
      <c r="V968" s="4" t="str">
        <f>IFERROR(__xludf.DUMMYFUNCTION("""COMPUTED_VALUE"""),"")</f>
        <v/>
      </c>
      <c r="W968" s="4" t="str">
        <f>IFERROR(__xludf.DUMMYFUNCTION("""COMPUTED_VALUE"""),"")</f>
        <v/>
      </c>
      <c r="X968" s="4" t="str">
        <f>IFERROR(__xludf.DUMMYFUNCTION("""COMPUTED_VALUE"""),"")</f>
        <v/>
      </c>
      <c r="Y968" s="4" t="str">
        <f>IFERROR(__xludf.DUMMYFUNCTION("""COMPUTED_VALUE"""),"")</f>
        <v/>
      </c>
    </row>
    <row r="969">
      <c r="A969" s="4" t="str">
        <f>IFERROR(__xludf.DUMMYFUNCTION("""COMPUTED_VALUE"""),"1098 - Channel")</f>
        <v>1098 - Channel</v>
      </c>
      <c r="B969" s="4" t="str">
        <f>IFERROR(__xludf.DUMMYFUNCTION("""COMPUTED_VALUE"""),"Channel 3")</f>
        <v>Channel 3</v>
      </c>
      <c r="C969" s="4" t="str">
        <f>IFERROR(__xludf.DUMMYFUNCTION("""COMPUTED_VALUE"""),"Day 3 - 25/06")</f>
        <v>Day 3 - 25/06</v>
      </c>
      <c r="D969" s="6">
        <f>IFERROR(__xludf.DUMMYFUNCTION("""COMPUTED_VALUE"""),0.6537615740740741)</f>
        <v>0.6537615741</v>
      </c>
      <c r="E969" s="6">
        <f>IFERROR(__xludf.DUMMYFUNCTION("""COMPUTED_VALUE"""),2.314814814814815E-4)</f>
        <v>0.0002314814815</v>
      </c>
      <c r="F969" s="6">
        <f>IFERROR(__xludf.DUMMYFUNCTION("""COMPUTED_VALUE"""),0.6539930555555555)</f>
        <v>0.6539930556</v>
      </c>
      <c r="G969" s="4" t="str">
        <f>IFERROR(__xludf.DUMMYFUNCTION("""COMPUTED_VALUE"""),"Graphics")</f>
        <v>Graphics</v>
      </c>
      <c r="H969" s="4" t="str">
        <f>IFERROR(__xludf.DUMMYFUNCTION("""COMPUTED_VALUE"""),"N/A")</f>
        <v>N/A</v>
      </c>
      <c r="I969" s="4" t="str">
        <f>IFERROR(__xludf.DUMMYFUNCTION("""COMPUTED_VALUE"""),"N/A")</f>
        <v>N/A</v>
      </c>
      <c r="J969" s="4" t="str">
        <f>IFERROR(__xludf.DUMMYFUNCTION("""COMPUTED_VALUE"""),"Trade")</f>
        <v>Trade</v>
      </c>
      <c r="K969" s="4" t="str">
        <f>IFERROR(__xludf.DUMMYFUNCTION("""COMPUTED_VALUE"""),"Talk Intro")</f>
        <v>Talk Intro</v>
      </c>
      <c r="L969" s="4" t="str">
        <f>IFERROR(__xludf.DUMMYFUNCTION("""COMPUTED_VALUE"""),"")</f>
        <v/>
      </c>
      <c r="M969" s="4" t="str">
        <f>IFERROR(__xludf.DUMMYFUNCTION("""COMPUTED_VALUE"""),"Talk Intro")</f>
        <v>Talk Intro</v>
      </c>
      <c r="N969" s="4" t="str">
        <f>IFERROR(__xludf.DUMMYFUNCTION("""COMPUTED_VALUE"""),"")</f>
        <v/>
      </c>
      <c r="O969" s="4" t="str">
        <f>IFERROR(__xludf.DUMMYFUNCTION("""COMPUTED_VALUE"""),"")</f>
        <v/>
      </c>
      <c r="P969" s="4" t="str">
        <f>IFERROR(__xludf.DUMMYFUNCTION("""COMPUTED_VALUE"""),"")</f>
        <v/>
      </c>
      <c r="Q969" s="4" t="str">
        <f>IFERROR(__xludf.DUMMYFUNCTION("""COMPUTED_VALUE"""),"")</f>
        <v/>
      </c>
      <c r="R969" s="4" t="str">
        <f>IFERROR(__xludf.DUMMYFUNCTION("""COMPUTED_VALUE"""),"")</f>
        <v/>
      </c>
      <c r="S969" s="4" t="str">
        <f>IFERROR(__xludf.DUMMYFUNCTION("""COMPUTED_VALUE"""),"")</f>
        <v/>
      </c>
      <c r="T969" s="4" t="str">
        <f>IFERROR(__xludf.DUMMYFUNCTION("""COMPUTED_VALUE"""),"")</f>
        <v/>
      </c>
      <c r="U969" s="4" t="str">
        <f>IFERROR(__xludf.DUMMYFUNCTION("""COMPUTED_VALUE"""),"")</f>
        <v/>
      </c>
      <c r="V969" s="4" t="str">
        <f>IFERROR(__xludf.DUMMYFUNCTION("""COMPUTED_VALUE"""),"")</f>
        <v/>
      </c>
      <c r="W969" s="4" t="str">
        <f>IFERROR(__xludf.DUMMYFUNCTION("""COMPUTED_VALUE"""),"")</f>
        <v/>
      </c>
      <c r="X969" s="4" t="str">
        <f>IFERROR(__xludf.DUMMYFUNCTION("""COMPUTED_VALUE"""),"")</f>
        <v/>
      </c>
      <c r="Y969" s="4" t="str">
        <f>IFERROR(__xludf.DUMMYFUNCTION("""COMPUTED_VALUE"""),"")</f>
        <v/>
      </c>
    </row>
    <row r="970">
      <c r="A970" s="4" t="str">
        <f>IFERROR(__xludf.DUMMYFUNCTION("""COMPUTED_VALUE"""),"1099 - Channel")</f>
        <v>1099 - Channel</v>
      </c>
      <c r="B970" s="4" t="str">
        <f>IFERROR(__xludf.DUMMYFUNCTION("""COMPUTED_VALUE"""),"Channel 3")</f>
        <v>Channel 3</v>
      </c>
      <c r="C970" s="4" t="str">
        <f>IFERROR(__xludf.DUMMYFUNCTION("""COMPUTED_VALUE"""),"Day 3 - 25/06")</f>
        <v>Day 3 - 25/06</v>
      </c>
      <c r="D970" s="6">
        <f>IFERROR(__xludf.DUMMYFUNCTION("""COMPUTED_VALUE"""),0.6539930555555555)</f>
        <v>0.6539930556</v>
      </c>
      <c r="E970" s="6">
        <f>IFERROR(__xludf.DUMMYFUNCTION("""COMPUTED_VALUE"""),0.010069444444444445)</f>
        <v>0.01006944444</v>
      </c>
      <c r="F970" s="6">
        <f>IFERROR(__xludf.DUMMYFUNCTION("""COMPUTED_VALUE"""),0.6640625)</f>
        <v>0.6640625</v>
      </c>
      <c r="G970" s="4" t="str">
        <f>IFERROR(__xludf.DUMMYFUNCTION("""COMPUTED_VALUE"""),"Gavin")</f>
        <v>Gavin</v>
      </c>
      <c r="H970" s="4" t="str">
        <f>IFERROR(__xludf.DUMMYFUNCTION("""COMPUTED_VALUE"""),"Eoghan")</f>
        <v>Eoghan</v>
      </c>
      <c r="I970" s="4" t="str">
        <f>IFERROR(__xludf.DUMMYFUNCTION("""COMPUTED_VALUE"""),"Naomi")</f>
        <v>Naomi</v>
      </c>
      <c r="J970" s="4" t="str">
        <f>IFERROR(__xludf.DUMMYFUNCTION("""COMPUTED_VALUE"""),"Trade")</f>
        <v>Trade</v>
      </c>
      <c r="K970" s="4" t="str">
        <f>IFERROR(__xludf.DUMMYFUNCTION("""COMPUTED_VALUE"""),"Super Fireside")</f>
        <v>Super Fireside</v>
      </c>
      <c r="L970" s="4" t="str">
        <f>IFERROR(__xludf.DUMMYFUNCTION("""COMPUTED_VALUE"""),"T- 3 - 01/06/2020")</f>
        <v>T- 3 - 01/06/2020</v>
      </c>
      <c r="M970" s="4" t="str">
        <f>IFERROR(__xludf.DUMMYFUNCTION("""COMPUTED_VALUE"""),"How to bust the post-Covid recession")</f>
        <v>How to bust the post-Covid recession</v>
      </c>
      <c r="N970" s="4" t="str">
        <f>IFERROR(__xludf.DUMMYFUNCTION("""COMPUTED_VALUE"""),"Mary NG, Government of Canada")</f>
        <v>Mary NG, Government of Canada</v>
      </c>
      <c r="O970" s="4" t="str">
        <f>IFERROR(__xludf.DUMMYFUNCTION("""COMPUTED_VALUE"""),"Pedro Siza Vieira, Government of Portugal")</f>
        <v>Pedro Siza Vieira, Government of Portugal</v>
      </c>
      <c r="P970" s="4" t="str">
        <f>IFERROR(__xludf.DUMMYFUNCTION("""COMPUTED_VALUE"""),"")</f>
        <v/>
      </c>
      <c r="Q970" s="4" t="str">
        <f>IFERROR(__xludf.DUMMYFUNCTION("""COMPUTED_VALUE"""),"")</f>
        <v/>
      </c>
      <c r="R970" s="4" t="str">
        <f>IFERROR(__xludf.DUMMYFUNCTION("""COMPUTED_VALUE"""),"Brian O'Donovan, RTÉ")</f>
        <v>Brian O'Donovan, RTÉ</v>
      </c>
      <c r="S970" s="4" t="str">
        <f>IFERROR(__xludf.DUMMYFUNCTION("""COMPUTED_VALUE"""),"International cooperation has become even more important in the wake of the COVID-19 pandemic. Keeping strong connections between nations will help promote economic recovery. In this session we will explore how trade and innovation will help us to beat th"&amp;"e pandemic induced recession.")</f>
        <v>International cooperation has become even more important in the wake of the COVID-19 pandemic. Keeping strong connections between nations will help promote economic recovery. In this session we will explore how trade and innovation will help us to beat the pandemic induced recession.</v>
      </c>
      <c r="T970" s="4" t="str">
        <f>IFERROR(__xludf.DUMMYFUNCTION("""COMPUTED_VALUE"""),"NON-KEYNOTE 9 - COMPLETE")</f>
        <v>NON-KEYNOTE 9 - COMPLETE</v>
      </c>
      <c r="U970" s="23">
        <f>IFERROR(__xludf.DUMMYFUNCTION("""COMPUTED_VALUE"""),43987.0)</f>
        <v>43987</v>
      </c>
      <c r="V970" s="24">
        <f>IFERROR(__xludf.DUMMYFUNCTION("""COMPUTED_VALUE"""),0.5833333333333334)</f>
        <v>0.5833333333</v>
      </c>
      <c r="W970" s="4" t="str">
        <f>IFERROR(__xludf.DUMMYFUNCTION("""COMPUTED_VALUE"""),"COMPLETE")</f>
        <v>COMPLETE</v>
      </c>
      <c r="X970" s="4" t="str">
        <f>IFERROR(__xludf.DUMMYFUNCTION("""COMPUTED_VALUE"""),"Hugh")</f>
        <v>Hugh</v>
      </c>
      <c r="Y970" s="4" t="str">
        <f>IFERROR(__xludf.DUMMYFUNCTION("""COMPUTED_VALUE"""),"")</f>
        <v/>
      </c>
    </row>
    <row r="971">
      <c r="A971" s="4" t="str">
        <f>IFERROR(__xludf.DUMMYFUNCTION("""COMPUTED_VALUE"""),"1101 - Channel")</f>
        <v>1101 - Channel</v>
      </c>
      <c r="B971" s="4" t="str">
        <f>IFERROR(__xludf.DUMMYFUNCTION("""COMPUTED_VALUE"""),"Channel 3")</f>
        <v>Channel 3</v>
      </c>
      <c r="C971" s="4" t="str">
        <f>IFERROR(__xludf.DUMMYFUNCTION("""COMPUTED_VALUE"""),"Day 3 - 25/06")</f>
        <v>Day 3 - 25/06</v>
      </c>
      <c r="D971" s="6">
        <f>IFERROR(__xludf.DUMMYFUNCTION("""COMPUTED_VALUE"""),0.6640625)</f>
        <v>0.6640625</v>
      </c>
      <c r="E971" s="6">
        <f>IFERROR(__xludf.DUMMYFUNCTION("""COMPUTED_VALUE"""),1.7361111111111112E-4)</f>
        <v>0.0001736111111</v>
      </c>
      <c r="F971" s="6">
        <f>IFERROR(__xludf.DUMMYFUNCTION("""COMPUTED_VALUE"""),0.6642361111111111)</f>
        <v>0.6642361111</v>
      </c>
      <c r="G971" s="4" t="str">
        <f>IFERROR(__xludf.DUMMYFUNCTION("""COMPUTED_VALUE"""),"Startups")</f>
        <v>Startups</v>
      </c>
      <c r="H971" s="4" t="str">
        <f>IFERROR(__xludf.DUMMYFUNCTION("""COMPUTED_VALUE"""),"N/A")</f>
        <v>N/A</v>
      </c>
      <c r="I971" s="4" t="str">
        <f>IFERROR(__xludf.DUMMYFUNCTION("""COMPUTED_VALUE"""),"N/A")</f>
        <v>N/A</v>
      </c>
      <c r="J971" s="4" t="str">
        <f>IFERROR(__xludf.DUMMYFUNCTION("""COMPUTED_VALUE"""),"Trade")</f>
        <v>Trade</v>
      </c>
      <c r="K971" s="4" t="str">
        <f>IFERROR(__xludf.DUMMYFUNCTION("""COMPUTED_VALUE"""),"40 Words")</f>
        <v>40 Words</v>
      </c>
      <c r="L971" s="4" t="str">
        <f>IFERROR(__xludf.DUMMYFUNCTION("""COMPUTED_VALUE"""),"")</f>
        <v/>
      </c>
      <c r="M971" s="4" t="str">
        <f>IFERROR(__xludf.DUMMYFUNCTION("""COMPUTED_VALUE"""),"40 words #14 _Cheapskate")</f>
        <v>40 words #14 _Cheapskate</v>
      </c>
      <c r="N971" s="4" t="str">
        <f>IFERROR(__xludf.DUMMYFUNCTION("""COMPUTED_VALUE"""),"")</f>
        <v/>
      </c>
      <c r="O971" s="4" t="str">
        <f>IFERROR(__xludf.DUMMYFUNCTION("""COMPUTED_VALUE"""),"")</f>
        <v/>
      </c>
      <c r="P971" s="4" t="str">
        <f>IFERROR(__xludf.DUMMYFUNCTION("""COMPUTED_VALUE"""),"")</f>
        <v/>
      </c>
      <c r="Q971" s="4" t="str">
        <f>IFERROR(__xludf.DUMMYFUNCTION("""COMPUTED_VALUE"""),"")</f>
        <v/>
      </c>
      <c r="R971" s="4" t="str">
        <f>IFERROR(__xludf.DUMMYFUNCTION("""COMPUTED_VALUE"""),"")</f>
        <v/>
      </c>
      <c r="S971" s="4" t="str">
        <f>IFERROR(__xludf.DUMMYFUNCTION("""COMPUTED_VALUE"""),"")</f>
        <v/>
      </c>
      <c r="T971" s="4" t="str">
        <f>IFERROR(__xludf.DUMMYFUNCTION("""COMPUTED_VALUE"""),"")</f>
        <v/>
      </c>
      <c r="U971" s="4" t="str">
        <f>IFERROR(__xludf.DUMMYFUNCTION("""COMPUTED_VALUE"""),"")</f>
        <v/>
      </c>
      <c r="V971" s="4" t="str">
        <f>IFERROR(__xludf.DUMMYFUNCTION("""COMPUTED_VALUE"""),"")</f>
        <v/>
      </c>
      <c r="W971" s="4" t="str">
        <f>IFERROR(__xludf.DUMMYFUNCTION("""COMPUTED_VALUE"""),"")</f>
        <v/>
      </c>
      <c r="X971" s="4" t="str">
        <f>IFERROR(__xludf.DUMMYFUNCTION("""COMPUTED_VALUE"""),"")</f>
        <v/>
      </c>
      <c r="Y971" s="4" t="str">
        <f>IFERROR(__xludf.DUMMYFUNCTION("""COMPUTED_VALUE"""),"")</f>
        <v/>
      </c>
    </row>
    <row r="972">
      <c r="A972" s="4" t="str">
        <f>IFERROR(__xludf.DUMMYFUNCTION("""COMPUTED_VALUE"""),"1083 - Channel")</f>
        <v>1083 - Channel</v>
      </c>
      <c r="B972" s="4" t="str">
        <f>IFERROR(__xludf.DUMMYFUNCTION("""COMPUTED_VALUE"""),"Channel 3")</f>
        <v>Channel 3</v>
      </c>
      <c r="C972" s="4" t="str">
        <f>IFERROR(__xludf.DUMMYFUNCTION("""COMPUTED_VALUE"""),"Day 3 - 25/06")</f>
        <v>Day 3 - 25/06</v>
      </c>
      <c r="D972" s="6">
        <f>IFERROR(__xludf.DUMMYFUNCTION("""COMPUTED_VALUE"""),0.6642361111111111)</f>
        <v>0.6642361111</v>
      </c>
      <c r="E972" s="6">
        <f>IFERROR(__xludf.DUMMYFUNCTION("""COMPUTED_VALUE"""),2.314814814814815E-4)</f>
        <v>0.0002314814815</v>
      </c>
      <c r="F972" s="6">
        <f>IFERROR(__xludf.DUMMYFUNCTION("""COMPUTED_VALUE"""),0.6644675925925926)</f>
        <v>0.6644675926</v>
      </c>
      <c r="G972" s="4" t="str">
        <f>IFERROR(__xludf.DUMMYFUNCTION("""COMPUTED_VALUE"""),"Graphics")</f>
        <v>Graphics</v>
      </c>
      <c r="H972" s="4" t="str">
        <f>IFERROR(__xludf.DUMMYFUNCTION("""COMPUTED_VALUE"""),"N/A")</f>
        <v>N/A</v>
      </c>
      <c r="I972" s="4" t="str">
        <f>IFERROR(__xludf.DUMMYFUNCTION("""COMPUTED_VALUE"""),"N/A")</f>
        <v>N/A</v>
      </c>
      <c r="J972" s="4" t="str">
        <f>IFERROR(__xludf.DUMMYFUNCTION("""COMPUTED_VALUE"""),"Trade")</f>
        <v>Trade</v>
      </c>
      <c r="K972" s="4" t="str">
        <f>IFERROR(__xludf.DUMMYFUNCTION("""COMPUTED_VALUE"""),"Talk Intro")</f>
        <v>Talk Intro</v>
      </c>
      <c r="L972" s="4" t="str">
        <f>IFERROR(__xludf.DUMMYFUNCTION("""COMPUTED_VALUE"""),"")</f>
        <v/>
      </c>
      <c r="M972" s="4" t="str">
        <f>IFERROR(__xludf.DUMMYFUNCTION("""COMPUTED_VALUE"""),"Talk Intro")</f>
        <v>Talk Intro</v>
      </c>
      <c r="N972" s="4" t="str">
        <f>IFERROR(__xludf.DUMMYFUNCTION("""COMPUTED_VALUE"""),"")</f>
        <v/>
      </c>
      <c r="O972" s="4" t="str">
        <f>IFERROR(__xludf.DUMMYFUNCTION("""COMPUTED_VALUE"""),"")</f>
        <v/>
      </c>
      <c r="P972" s="4" t="str">
        <f>IFERROR(__xludf.DUMMYFUNCTION("""COMPUTED_VALUE"""),"")</f>
        <v/>
      </c>
      <c r="Q972" s="4" t="str">
        <f>IFERROR(__xludf.DUMMYFUNCTION("""COMPUTED_VALUE"""),"")</f>
        <v/>
      </c>
      <c r="R972" s="4" t="str">
        <f>IFERROR(__xludf.DUMMYFUNCTION("""COMPUTED_VALUE"""),"")</f>
        <v/>
      </c>
      <c r="S972" s="4" t="str">
        <f>IFERROR(__xludf.DUMMYFUNCTION("""COMPUTED_VALUE"""),"")</f>
        <v/>
      </c>
      <c r="T972" s="4" t="str">
        <f>IFERROR(__xludf.DUMMYFUNCTION("""COMPUTED_VALUE"""),"")</f>
        <v/>
      </c>
      <c r="U972" s="4" t="str">
        <f>IFERROR(__xludf.DUMMYFUNCTION("""COMPUTED_VALUE"""),"")</f>
        <v/>
      </c>
      <c r="V972" s="4" t="str">
        <f>IFERROR(__xludf.DUMMYFUNCTION("""COMPUTED_VALUE"""),"")</f>
        <v/>
      </c>
      <c r="W972" s="4" t="str">
        <f>IFERROR(__xludf.DUMMYFUNCTION("""COMPUTED_VALUE"""),"")</f>
        <v/>
      </c>
      <c r="X972" s="4" t="str">
        <f>IFERROR(__xludf.DUMMYFUNCTION("""COMPUTED_VALUE"""),"")</f>
        <v/>
      </c>
      <c r="Y972" s="4" t="str">
        <f>IFERROR(__xludf.DUMMYFUNCTION("""COMPUTED_VALUE"""),"")</f>
        <v/>
      </c>
    </row>
    <row r="973">
      <c r="A973" s="4" t="str">
        <f>IFERROR(__xludf.DUMMYFUNCTION("""COMPUTED_VALUE"""),"1084 - Channel")</f>
        <v>1084 - Channel</v>
      </c>
      <c r="B973" s="4" t="str">
        <f>IFERROR(__xludf.DUMMYFUNCTION("""COMPUTED_VALUE"""),"Channel 3")</f>
        <v>Channel 3</v>
      </c>
      <c r="C973" s="4" t="str">
        <f>IFERROR(__xludf.DUMMYFUNCTION("""COMPUTED_VALUE"""),"Day 3 - 25/06")</f>
        <v>Day 3 - 25/06</v>
      </c>
      <c r="D973" s="6">
        <f>IFERROR(__xludf.DUMMYFUNCTION("""COMPUTED_VALUE"""),0.6644675925925926)</f>
        <v>0.6644675926</v>
      </c>
      <c r="E973" s="6">
        <f>IFERROR(__xludf.DUMMYFUNCTION("""COMPUTED_VALUE"""),0.001990740740740741)</f>
        <v>0.001990740741</v>
      </c>
      <c r="F973" s="6">
        <f>IFERROR(__xludf.DUMMYFUNCTION("""COMPUTED_VALUE"""),0.6664583333333334)</f>
        <v>0.6664583333</v>
      </c>
      <c r="G973" s="4" t="str">
        <f>IFERROR(__xludf.DUMMYFUNCTION("""COMPUTED_VALUE"""),"Dan")</f>
        <v>Dan</v>
      </c>
      <c r="H973" s="4" t="str">
        <f>IFERROR(__xludf.DUMMYFUNCTION("""COMPUTED_VALUE"""),"N/A")</f>
        <v>N/A</v>
      </c>
      <c r="I973" s="4" t="str">
        <f>IFERROR(__xludf.DUMMYFUNCTION("""COMPUTED_VALUE"""),"Jack")</f>
        <v>Jack</v>
      </c>
      <c r="J973" s="4" t="str">
        <f>IFERROR(__xludf.DUMMYFUNCTION("""COMPUTED_VALUE"""),"Trade")</f>
        <v>Trade</v>
      </c>
      <c r="K973" s="4" t="str">
        <f>IFERROR(__xludf.DUMMYFUNCTION("""COMPUTED_VALUE"""),"Keynote")</f>
        <v>Keynote</v>
      </c>
      <c r="L973" s="4" t="str">
        <f>IFERROR(__xludf.DUMMYFUNCTION("""COMPUTED_VALUE"""),"T- 7 - 04/05/2020")</f>
        <v>T- 7 - 04/05/2020</v>
      </c>
      <c r="M973" s="4" t="str">
        <f>IFERROR(__xludf.DUMMYFUNCTION("""COMPUTED_VALUE"""),"Connecting the DoTs")</f>
        <v>Connecting the DoTs</v>
      </c>
      <c r="N973" s="4" t="str">
        <f>IFERROR(__xludf.DUMMYFUNCTION("""COMPUTED_VALUE"""),"Aba Schubert, Dorae")</f>
        <v>Aba Schubert, Dorae</v>
      </c>
      <c r="O973" s="4" t="str">
        <f>IFERROR(__xludf.DUMMYFUNCTION("""COMPUTED_VALUE"""),"")</f>
        <v/>
      </c>
      <c r="P973" s="4" t="str">
        <f>IFERROR(__xludf.DUMMYFUNCTION("""COMPUTED_VALUE"""),"")</f>
        <v/>
      </c>
      <c r="Q973" s="4" t="str">
        <f>IFERROR(__xludf.DUMMYFUNCTION("""COMPUTED_VALUE"""),"")</f>
        <v/>
      </c>
      <c r="R973" s="4" t="str">
        <f>IFERROR(__xludf.DUMMYFUNCTION("""COMPUTED_VALUE"""),"")</f>
        <v/>
      </c>
      <c r="S973" s="4" t="str">
        <f>IFERROR(__xludf.DUMMYFUNCTION("""COMPUTED_VALUE"""),"Aba, CEO of Dorae, will talk about using technology to push boundaries and improve the world")</f>
        <v>Aba, CEO of Dorae, will talk about using technology to push boundaries and improve the world</v>
      </c>
      <c r="T973" s="4" t="str">
        <f>IFERROR(__xludf.DUMMYFUNCTION("""COMPUTED_VALUE"""),"KEYNOTE 8 - COMPLETE")</f>
        <v>KEYNOTE 8 - COMPLETE</v>
      </c>
      <c r="U973" s="23">
        <f>IFERROR(__xludf.DUMMYFUNCTION("""COMPUTED_VALUE"""),43959.0)</f>
        <v>43959</v>
      </c>
      <c r="V973" s="24">
        <f>IFERROR(__xludf.DUMMYFUNCTION("""COMPUTED_VALUE"""),0.5833333333333334)</f>
        <v>0.5833333333</v>
      </c>
      <c r="W973" s="4" t="str">
        <f>IFERROR(__xludf.DUMMYFUNCTION("""COMPUTED_VALUE"""),"COMPLETE")</f>
        <v>COMPLETE</v>
      </c>
      <c r="X973" s="4" t="str">
        <f>IFERROR(__xludf.DUMMYFUNCTION("""COMPUTED_VALUE"""),"Dan")</f>
        <v>Dan</v>
      </c>
      <c r="Y973" s="4" t="str">
        <f>IFERROR(__xludf.DUMMYFUNCTION("""COMPUTED_VALUE"""),"4659491771918120246")</f>
        <v>4659491771918120246</v>
      </c>
    </row>
    <row r="974">
      <c r="A974" s="4" t="str">
        <f>IFERROR(__xludf.DUMMYFUNCTION("""COMPUTED_VALUE"""),"1358 - Channel")</f>
        <v>1358 - Channel</v>
      </c>
      <c r="B974" s="4" t="str">
        <f>IFERROR(__xludf.DUMMYFUNCTION("""COMPUTED_VALUE"""),"Channel 3")</f>
        <v>Channel 3</v>
      </c>
      <c r="C974" s="4" t="str">
        <f>IFERROR(__xludf.DUMMYFUNCTION("""COMPUTED_VALUE"""),"Day 3 - 25/06")</f>
        <v>Day 3 - 25/06</v>
      </c>
      <c r="D974" s="4" t="str">
        <f>IFERROR(__xludf.DUMMYFUNCTION("""COMPUTED_VALUE"""),"")</f>
        <v/>
      </c>
      <c r="E974" s="4" t="str">
        <f>IFERROR(__xludf.DUMMYFUNCTION("""COMPUTED_VALUE"""),"")</f>
        <v/>
      </c>
      <c r="F974" s="4" t="str">
        <f>IFERROR(__xludf.DUMMYFUNCTION("""COMPUTED_VALUE"""),"")</f>
        <v/>
      </c>
      <c r="G974" s="4" t="str">
        <f>IFERROR(__xludf.DUMMYFUNCTION("""COMPUTED_VALUE"""),"")</f>
        <v/>
      </c>
      <c r="H974" s="4" t="str">
        <f>IFERROR(__xludf.DUMMYFUNCTION("""COMPUTED_VALUE"""),"")</f>
        <v/>
      </c>
      <c r="I974" s="4" t="str">
        <f>IFERROR(__xludf.DUMMYFUNCTION("""COMPUTED_VALUE"""),"")</f>
        <v/>
      </c>
      <c r="J974" s="4" t="str">
        <f>IFERROR(__xludf.DUMMYFUNCTION("""COMPUTED_VALUE"""),"")</f>
        <v/>
      </c>
      <c r="K974" s="4" t="str">
        <f>IFERROR(__xludf.DUMMYFUNCTION("""COMPUTED_VALUE"""),"")</f>
        <v/>
      </c>
      <c r="L974" s="4" t="str">
        <f>IFERROR(__xludf.DUMMYFUNCTION("""COMPUTED_VALUE"""),"")</f>
        <v/>
      </c>
      <c r="M974" s="4" t="str">
        <f>IFERROR(__xludf.DUMMYFUNCTION("""COMPUTED_VALUE"""),"")</f>
        <v/>
      </c>
      <c r="N974" s="4" t="str">
        <f>IFERROR(__xludf.DUMMYFUNCTION("""COMPUTED_VALUE"""),"")</f>
        <v/>
      </c>
      <c r="O974" s="4" t="str">
        <f>IFERROR(__xludf.DUMMYFUNCTION("""COMPUTED_VALUE"""),"")</f>
        <v/>
      </c>
      <c r="P974" s="4" t="str">
        <f>IFERROR(__xludf.DUMMYFUNCTION("""COMPUTED_VALUE"""),"")</f>
        <v/>
      </c>
      <c r="Q974" s="4" t="str">
        <f>IFERROR(__xludf.DUMMYFUNCTION("""COMPUTED_VALUE"""),"")</f>
        <v/>
      </c>
      <c r="R974" s="4" t="str">
        <f>IFERROR(__xludf.DUMMYFUNCTION("""COMPUTED_VALUE"""),"")</f>
        <v/>
      </c>
      <c r="S974" s="4" t="str">
        <f>IFERROR(__xludf.DUMMYFUNCTION("""COMPUTED_VALUE"""),"")</f>
        <v/>
      </c>
      <c r="T974" s="4" t="str">
        <f>IFERROR(__xludf.DUMMYFUNCTION("""COMPUTED_VALUE"""),"")</f>
        <v/>
      </c>
      <c r="U974" s="4" t="str">
        <f>IFERROR(__xludf.DUMMYFUNCTION("""COMPUTED_VALUE"""),"")</f>
        <v/>
      </c>
      <c r="V974" s="4" t="str">
        <f>IFERROR(__xludf.DUMMYFUNCTION("""COMPUTED_VALUE"""),"")</f>
        <v/>
      </c>
      <c r="W974" s="4" t="str">
        <f>IFERROR(__xludf.DUMMYFUNCTION("""COMPUTED_VALUE"""),"")</f>
        <v/>
      </c>
      <c r="X974" s="4" t="str">
        <f>IFERROR(__xludf.DUMMYFUNCTION("""COMPUTED_VALUE"""),"")</f>
        <v/>
      </c>
      <c r="Y974" s="4" t="str">
        <f>IFERROR(__xludf.DUMMYFUNCTION("""COMPUTED_VALUE"""),"")</f>
        <v/>
      </c>
    </row>
    <row r="975">
      <c r="A975" s="4" t="str">
        <f>IFERROR(__xludf.DUMMYFUNCTION("""COMPUTED_VALUE"""),"1102 - Channel")</f>
        <v>1102 - Channel</v>
      </c>
      <c r="B975" s="4" t="str">
        <f>IFERROR(__xludf.DUMMYFUNCTION("""COMPUTED_VALUE"""),"Channel 3")</f>
        <v>Channel 3</v>
      </c>
      <c r="C975" s="4" t="str">
        <f>IFERROR(__xludf.DUMMYFUNCTION("""COMPUTED_VALUE"""),"Day 3 - 25/06")</f>
        <v>Day 3 - 25/06</v>
      </c>
      <c r="D975" s="6">
        <f>IFERROR(__xludf.DUMMYFUNCTION("""COMPUTED_VALUE"""),0.6666666666666666)</f>
        <v>0.6666666667</v>
      </c>
      <c r="E975" s="6">
        <f>IFERROR(__xludf.DUMMYFUNCTION("""COMPUTED_VALUE"""),3.4722222222222224E-4)</f>
        <v>0.0003472222222</v>
      </c>
      <c r="F975" s="6">
        <f>IFERROR(__xludf.DUMMYFUNCTION("""COMPUTED_VALUE"""),0.6670138888888889)</f>
        <v>0.6670138889</v>
      </c>
      <c r="G975" s="4" t="str">
        <f>IFERROR(__xludf.DUMMYFUNCTION("""COMPUTED_VALUE"""),"Graphics")</f>
        <v>Graphics</v>
      </c>
      <c r="H975" s="4" t="str">
        <f>IFERROR(__xludf.DUMMYFUNCTION("""COMPUTED_VALUE"""),"N/A")</f>
        <v>N/A</v>
      </c>
      <c r="I975" s="4" t="str">
        <f>IFERROR(__xludf.DUMMYFUNCTION("""COMPUTED_VALUE"""),"N/A")</f>
        <v>N/A</v>
      </c>
      <c r="J975" s="4" t="str">
        <f>IFERROR(__xludf.DUMMYFUNCTION("""COMPUTED_VALUE"""),"Mobility")</f>
        <v>Mobility</v>
      </c>
      <c r="K975" s="4" t="str">
        <f>IFERROR(__xludf.DUMMYFUNCTION("""COMPUTED_VALUE"""),"Talk Intro")</f>
        <v>Talk Intro</v>
      </c>
      <c r="L975" s="4" t="str">
        <f>IFERROR(__xludf.DUMMYFUNCTION("""COMPUTED_VALUE"""),"")</f>
        <v/>
      </c>
      <c r="M975" s="4" t="str">
        <f>IFERROR(__xludf.DUMMYFUNCTION("""COMPUTED_VALUE"""),"Talk Intro")</f>
        <v>Talk Intro</v>
      </c>
      <c r="N975" s="4" t="str">
        <f>IFERROR(__xludf.DUMMYFUNCTION("""COMPUTED_VALUE"""),"")</f>
        <v/>
      </c>
      <c r="O975" s="4" t="str">
        <f>IFERROR(__xludf.DUMMYFUNCTION("""COMPUTED_VALUE"""),"")</f>
        <v/>
      </c>
      <c r="P975" s="4" t="str">
        <f>IFERROR(__xludf.DUMMYFUNCTION("""COMPUTED_VALUE"""),"")</f>
        <v/>
      </c>
      <c r="Q975" s="4" t="str">
        <f>IFERROR(__xludf.DUMMYFUNCTION("""COMPUTED_VALUE"""),"")</f>
        <v/>
      </c>
      <c r="R975" s="4" t="str">
        <f>IFERROR(__xludf.DUMMYFUNCTION("""COMPUTED_VALUE"""),"")</f>
        <v/>
      </c>
      <c r="S975" s="4" t="str">
        <f>IFERROR(__xludf.DUMMYFUNCTION("""COMPUTED_VALUE"""),"")</f>
        <v/>
      </c>
      <c r="T975" s="4" t="str">
        <f>IFERROR(__xludf.DUMMYFUNCTION("""COMPUTED_VALUE"""),"")</f>
        <v/>
      </c>
      <c r="U975" s="4" t="str">
        <f>IFERROR(__xludf.DUMMYFUNCTION("""COMPUTED_VALUE"""),"")</f>
        <v/>
      </c>
      <c r="V975" s="4" t="str">
        <f>IFERROR(__xludf.DUMMYFUNCTION("""COMPUTED_VALUE"""),"")</f>
        <v/>
      </c>
      <c r="W975" s="4" t="str">
        <f>IFERROR(__xludf.DUMMYFUNCTION("""COMPUTED_VALUE"""),"")</f>
        <v/>
      </c>
      <c r="X975" s="4" t="str">
        <f>IFERROR(__xludf.DUMMYFUNCTION("""COMPUTED_VALUE"""),"")</f>
        <v/>
      </c>
      <c r="Y975" s="4" t="str">
        <f>IFERROR(__xludf.DUMMYFUNCTION("""COMPUTED_VALUE"""),"")</f>
        <v/>
      </c>
    </row>
    <row r="976">
      <c r="A976" s="4" t="str">
        <f>IFERROR(__xludf.DUMMYFUNCTION("""COMPUTED_VALUE"""),"1103 - Channel")</f>
        <v>1103 - Channel</v>
      </c>
      <c r="B976" s="4" t="str">
        <f>IFERROR(__xludf.DUMMYFUNCTION("""COMPUTED_VALUE"""),"Channel 3")</f>
        <v>Channel 3</v>
      </c>
      <c r="C976" s="4" t="str">
        <f>IFERROR(__xludf.DUMMYFUNCTION("""COMPUTED_VALUE"""),"Day 3 - 25/06")</f>
        <v>Day 3 - 25/06</v>
      </c>
      <c r="D976" s="6">
        <f>IFERROR(__xludf.DUMMYFUNCTION("""COMPUTED_VALUE"""),0.6670138888888889)</f>
        <v>0.6670138889</v>
      </c>
      <c r="E976" s="53">
        <f>IFERROR(__xludf.DUMMYFUNCTION("""COMPUTED_VALUE"""),0.008217592592592592)</f>
        <v>0.008217592593</v>
      </c>
      <c r="F976" s="6">
        <f>IFERROR(__xludf.DUMMYFUNCTION("""COMPUTED_VALUE"""),0.6752314814814815)</f>
        <v>0.6752314815</v>
      </c>
      <c r="G976" s="4" t="str">
        <f>IFERROR(__xludf.DUMMYFUNCTION("""COMPUTED_VALUE"""),"Darragh")</f>
        <v>Darragh</v>
      </c>
      <c r="H976" s="4" t="str">
        <f>IFERROR(__xludf.DUMMYFUNCTION("""COMPUTED_VALUE"""),"Eoghan")</f>
        <v>Eoghan</v>
      </c>
      <c r="I976" s="4" t="str">
        <f>IFERROR(__xludf.DUMMYFUNCTION("""COMPUTED_VALUE"""),"Lynn")</f>
        <v>Lynn</v>
      </c>
      <c r="J976" s="4" t="str">
        <f>IFERROR(__xludf.DUMMYFUNCTION("""COMPUTED_VALUE"""),"Mobility")</f>
        <v>Mobility</v>
      </c>
      <c r="K976" s="4" t="str">
        <f>IFERROR(__xludf.DUMMYFUNCTION("""COMPUTED_VALUE"""),"Fireside")</f>
        <v>Fireside</v>
      </c>
      <c r="L976" s="4" t="str">
        <f>IFERROR(__xludf.DUMMYFUNCTION("""COMPUTED_VALUE"""),"T- 7 - 04/05/2020")</f>
        <v>T- 7 - 04/05/2020</v>
      </c>
      <c r="M976" s="4" t="str">
        <f>IFERROR(__xludf.DUMMYFUNCTION("""COMPUTED_VALUE"""),"The future of urban mobility")</f>
        <v>The future of urban mobility</v>
      </c>
      <c r="N976" s="4" t="str">
        <f>IFERROR(__xludf.DUMMYFUNCTION("""COMPUTED_VALUE"""),"Markus Villig, Bolt")</f>
        <v>Markus Villig, Bolt</v>
      </c>
      <c r="O976" s="4" t="str">
        <f>IFERROR(__xludf.DUMMYFUNCTION("""COMPUTED_VALUE"""),"")</f>
        <v/>
      </c>
      <c r="P976" s="4" t="str">
        <f>IFERROR(__xludf.DUMMYFUNCTION("""COMPUTED_VALUE"""),"")</f>
        <v/>
      </c>
      <c r="Q976" s="4" t="str">
        <f>IFERROR(__xludf.DUMMYFUNCTION("""COMPUTED_VALUE"""),"")</f>
        <v/>
      </c>
      <c r="R976" s="4" t="str">
        <f>IFERROR(__xludf.DUMMYFUNCTION("""COMPUTED_VALUE"""),"Tim Stevens, CNET")</f>
        <v>Tim Stevens, CNET</v>
      </c>
      <c r="S976" s="4" t="str">
        <f>IFERROR(__xludf.DUMMYFUNCTION("""COMPUTED_VALUE"""),"In the 21st century, we like to get around. Yet with mounting problems in an industry that has proven difficult to scale sustainibly, what is the future of urban mobility?")</f>
        <v>In the 21st century, we like to get around. Yet with mounting problems in an industry that has proven difficult to scale sustainibly, what is the future of urban mobility?</v>
      </c>
      <c r="T976" s="4" t="str">
        <f>IFERROR(__xludf.DUMMYFUNCTION("""COMPUTED_VALUE"""),"NON-KEYNOTE 9 - COMPLETE")</f>
        <v>NON-KEYNOTE 9 - COMPLETE</v>
      </c>
      <c r="U976" s="23">
        <f>IFERROR(__xludf.DUMMYFUNCTION("""COMPUTED_VALUE"""),43962.0)</f>
        <v>43962</v>
      </c>
      <c r="V976" s="4" t="str">
        <f>IFERROR(__xludf.DUMMYFUNCTION("""COMPUTED_VALUE"""),"")</f>
        <v/>
      </c>
      <c r="W976" s="4" t="str">
        <f>IFERROR(__xludf.DUMMYFUNCTION("""COMPUTED_VALUE"""),"COMPLETE")</f>
        <v>COMPLETE</v>
      </c>
      <c r="X976" s="4" t="str">
        <f>IFERROR(__xludf.DUMMYFUNCTION("""COMPUTED_VALUE"""),"Darragh")</f>
        <v>Darragh</v>
      </c>
      <c r="Y976" s="4" t="str">
        <f>IFERROR(__xludf.DUMMYFUNCTION("""COMPUTED_VALUE"""),"")</f>
        <v/>
      </c>
    </row>
    <row r="977">
      <c r="A977" s="4" t="str">
        <f>IFERROR(__xludf.DUMMYFUNCTION("""COMPUTED_VALUE"""),"1105 - Channel")</f>
        <v>1105 - Channel</v>
      </c>
      <c r="B977" s="4" t="str">
        <f>IFERROR(__xludf.DUMMYFUNCTION("""COMPUTED_VALUE"""),"Channel 3")</f>
        <v>Channel 3</v>
      </c>
      <c r="C977" s="4" t="str">
        <f>IFERROR(__xludf.DUMMYFUNCTION("""COMPUTED_VALUE"""),"Day 3 - 25/06")</f>
        <v>Day 3 - 25/06</v>
      </c>
      <c r="D977" s="6">
        <f>IFERROR(__xludf.DUMMYFUNCTION("""COMPUTED_VALUE"""),0.6752314814814815)</f>
        <v>0.6752314815</v>
      </c>
      <c r="E977" s="6">
        <f>IFERROR(__xludf.DUMMYFUNCTION("""COMPUTED_VALUE"""),2.314814814814815E-4)</f>
        <v>0.0002314814815</v>
      </c>
      <c r="F977" s="6">
        <f>IFERROR(__xludf.DUMMYFUNCTION("""COMPUTED_VALUE"""),0.6754629629629629)</f>
        <v>0.675462963</v>
      </c>
      <c r="G977" s="4" t="str">
        <f>IFERROR(__xludf.DUMMYFUNCTION("""COMPUTED_VALUE"""),"Startups")</f>
        <v>Startups</v>
      </c>
      <c r="H977" s="4" t="str">
        <f>IFERROR(__xludf.DUMMYFUNCTION("""COMPUTED_VALUE"""),"N/A")</f>
        <v>N/A</v>
      </c>
      <c r="I977" s="4" t="str">
        <f>IFERROR(__xludf.DUMMYFUNCTION("""COMPUTED_VALUE"""),"N/A")</f>
        <v>N/A</v>
      </c>
      <c r="J977" s="4" t="str">
        <f>IFERROR(__xludf.DUMMYFUNCTION("""COMPUTED_VALUE"""),"Mobility")</f>
        <v>Mobility</v>
      </c>
      <c r="K977" s="4" t="str">
        <f>IFERROR(__xludf.DUMMYFUNCTION("""COMPUTED_VALUE"""),"40 Words")</f>
        <v>40 Words</v>
      </c>
      <c r="L977" s="4" t="str">
        <f>IFERROR(__xludf.DUMMYFUNCTION("""COMPUTED_VALUE"""),"")</f>
        <v/>
      </c>
      <c r="M977" s="4" t="str">
        <f>IFERROR(__xludf.DUMMYFUNCTION("""COMPUTED_VALUE"""),"40 words #")</f>
        <v>40 words #</v>
      </c>
      <c r="N977" s="4" t="str">
        <f>IFERROR(__xludf.DUMMYFUNCTION("""COMPUTED_VALUE"""),"")</f>
        <v/>
      </c>
      <c r="O977" s="4" t="str">
        <f>IFERROR(__xludf.DUMMYFUNCTION("""COMPUTED_VALUE"""),"")</f>
        <v/>
      </c>
      <c r="P977" s="4" t="str">
        <f>IFERROR(__xludf.DUMMYFUNCTION("""COMPUTED_VALUE"""),"")</f>
        <v/>
      </c>
      <c r="Q977" s="4" t="str">
        <f>IFERROR(__xludf.DUMMYFUNCTION("""COMPUTED_VALUE"""),"")</f>
        <v/>
      </c>
      <c r="R977" s="4" t="str">
        <f>IFERROR(__xludf.DUMMYFUNCTION("""COMPUTED_VALUE"""),"")</f>
        <v/>
      </c>
      <c r="S977" s="4" t="str">
        <f>IFERROR(__xludf.DUMMYFUNCTION("""COMPUTED_VALUE"""),"")</f>
        <v/>
      </c>
      <c r="T977" s="4" t="str">
        <f>IFERROR(__xludf.DUMMYFUNCTION("""COMPUTED_VALUE"""),"")</f>
        <v/>
      </c>
      <c r="U977" s="4" t="str">
        <f>IFERROR(__xludf.DUMMYFUNCTION("""COMPUTED_VALUE"""),"")</f>
        <v/>
      </c>
      <c r="V977" s="4" t="str">
        <f>IFERROR(__xludf.DUMMYFUNCTION("""COMPUTED_VALUE"""),"")</f>
        <v/>
      </c>
      <c r="W977" s="4" t="str">
        <f>IFERROR(__xludf.DUMMYFUNCTION("""COMPUTED_VALUE"""),"")</f>
        <v/>
      </c>
      <c r="X977" s="4" t="str">
        <f>IFERROR(__xludf.DUMMYFUNCTION("""COMPUTED_VALUE"""),"")</f>
        <v/>
      </c>
      <c r="Y977" s="4" t="str">
        <f>IFERROR(__xludf.DUMMYFUNCTION("""COMPUTED_VALUE"""),"")</f>
        <v/>
      </c>
    </row>
    <row r="978">
      <c r="A978" s="4" t="str">
        <f>IFERROR(__xludf.DUMMYFUNCTION("""COMPUTED_VALUE"""),"1106 - Channel")</f>
        <v>1106 - Channel</v>
      </c>
      <c r="B978" s="4" t="str">
        <f>IFERROR(__xludf.DUMMYFUNCTION("""COMPUTED_VALUE"""),"Channel 3")</f>
        <v>Channel 3</v>
      </c>
      <c r="C978" s="4" t="str">
        <f>IFERROR(__xludf.DUMMYFUNCTION("""COMPUTED_VALUE"""),"Day 3 - 25/06")</f>
        <v>Day 3 - 25/06</v>
      </c>
      <c r="D978" s="6">
        <f>IFERROR(__xludf.DUMMYFUNCTION("""COMPUTED_VALUE"""),0.6754629629629629)</f>
        <v>0.675462963</v>
      </c>
      <c r="E978" s="6">
        <f>IFERROR(__xludf.DUMMYFUNCTION("""COMPUTED_VALUE"""),3.4722222222222224E-4)</f>
        <v>0.0003472222222</v>
      </c>
      <c r="F978" s="6">
        <f>IFERROR(__xludf.DUMMYFUNCTION("""COMPUTED_VALUE"""),0.6758101851851852)</f>
        <v>0.6758101852</v>
      </c>
      <c r="G978" s="4" t="str">
        <f>IFERROR(__xludf.DUMMYFUNCTION("""COMPUTED_VALUE"""),"Graphics")</f>
        <v>Graphics</v>
      </c>
      <c r="H978" s="4" t="str">
        <f>IFERROR(__xludf.DUMMYFUNCTION("""COMPUTED_VALUE"""),"")</f>
        <v/>
      </c>
      <c r="I978" s="4" t="str">
        <f>IFERROR(__xludf.DUMMYFUNCTION("""COMPUTED_VALUE"""),"")</f>
        <v/>
      </c>
      <c r="J978" s="4" t="str">
        <f>IFERROR(__xludf.DUMMYFUNCTION("""COMPUTED_VALUE"""),"Mobility")</f>
        <v>Mobility</v>
      </c>
      <c r="K978" s="4" t="str">
        <f>IFERROR(__xludf.DUMMYFUNCTION("""COMPUTED_VALUE"""),"Web Summit Trailer - short")</f>
        <v>Web Summit Trailer - short</v>
      </c>
      <c r="L978" s="4" t="str">
        <f>IFERROR(__xludf.DUMMYFUNCTION("""COMPUTED_VALUE"""),"")</f>
        <v/>
      </c>
      <c r="M978" s="4" t="str">
        <f>IFERROR(__xludf.DUMMYFUNCTION("""COMPUTED_VALUE"""),"Web Summit Trailer - short")</f>
        <v>Web Summit Trailer - short</v>
      </c>
      <c r="N978" s="4" t="str">
        <f>IFERROR(__xludf.DUMMYFUNCTION("""COMPUTED_VALUE"""),"")</f>
        <v/>
      </c>
      <c r="O978" s="4" t="str">
        <f>IFERROR(__xludf.DUMMYFUNCTION("""COMPUTED_VALUE"""),"")</f>
        <v/>
      </c>
      <c r="P978" s="4" t="str">
        <f>IFERROR(__xludf.DUMMYFUNCTION("""COMPUTED_VALUE"""),"")</f>
        <v/>
      </c>
      <c r="Q978" s="4" t="str">
        <f>IFERROR(__xludf.DUMMYFUNCTION("""COMPUTED_VALUE"""),"")</f>
        <v/>
      </c>
      <c r="R978" s="4" t="str">
        <f>IFERROR(__xludf.DUMMYFUNCTION("""COMPUTED_VALUE"""),"")</f>
        <v/>
      </c>
      <c r="S978" s="4" t="str">
        <f>IFERROR(__xludf.DUMMYFUNCTION("""COMPUTED_VALUE"""),"")</f>
        <v/>
      </c>
      <c r="T978" s="4" t="str">
        <f>IFERROR(__xludf.DUMMYFUNCTION("""COMPUTED_VALUE"""),"")</f>
        <v/>
      </c>
      <c r="U978" s="4" t="str">
        <f>IFERROR(__xludf.DUMMYFUNCTION("""COMPUTED_VALUE"""),"")</f>
        <v/>
      </c>
      <c r="V978" s="4" t="str">
        <f>IFERROR(__xludf.DUMMYFUNCTION("""COMPUTED_VALUE"""),"")</f>
        <v/>
      </c>
      <c r="W978" s="4" t="str">
        <f>IFERROR(__xludf.DUMMYFUNCTION("""COMPUTED_VALUE"""),"")</f>
        <v/>
      </c>
      <c r="X978" s="4" t="str">
        <f>IFERROR(__xludf.DUMMYFUNCTION("""COMPUTED_VALUE"""),"")</f>
        <v/>
      </c>
      <c r="Y978" s="4" t="str">
        <f>IFERROR(__xludf.DUMMYFUNCTION("""COMPUTED_VALUE"""),"")</f>
        <v/>
      </c>
    </row>
    <row r="979">
      <c r="A979" s="4" t="str">
        <f>IFERROR(__xludf.DUMMYFUNCTION("""COMPUTED_VALUE"""),"1107 - Channel")</f>
        <v>1107 - Channel</v>
      </c>
      <c r="B979" s="4" t="str">
        <f>IFERROR(__xludf.DUMMYFUNCTION("""COMPUTED_VALUE"""),"Channel 3")</f>
        <v>Channel 3</v>
      </c>
      <c r="C979" s="4" t="str">
        <f>IFERROR(__xludf.DUMMYFUNCTION("""COMPUTED_VALUE"""),"Day 3 - 25/06")</f>
        <v>Day 3 - 25/06</v>
      </c>
      <c r="D979" s="6">
        <f>IFERROR(__xludf.DUMMYFUNCTION("""COMPUTED_VALUE"""),0.6758101851851852)</f>
        <v>0.6758101852</v>
      </c>
      <c r="E979" s="6">
        <f>IFERROR(__xludf.DUMMYFUNCTION("""COMPUTED_VALUE"""),6.944444444444445E-4)</f>
        <v>0.0006944444444</v>
      </c>
      <c r="F979" s="6">
        <f>IFERROR(__xludf.DUMMYFUNCTION("""COMPUTED_VALUE"""),0.6765046296296297)</f>
        <v>0.6765046296</v>
      </c>
      <c r="G979" s="4" t="str">
        <f>IFERROR(__xludf.DUMMYFUNCTION("""COMPUTED_VALUE"""),"Graphics")</f>
        <v>Graphics</v>
      </c>
      <c r="H979" s="4" t="str">
        <f>IFERROR(__xludf.DUMMYFUNCTION("""COMPUTED_VALUE"""),"N/A")</f>
        <v>N/A</v>
      </c>
      <c r="I979" s="4" t="str">
        <f>IFERROR(__xludf.DUMMYFUNCTION("""COMPUTED_VALUE"""),"N/A")</f>
        <v>N/A</v>
      </c>
      <c r="J979" s="4" t="str">
        <f>IFERROR(__xludf.DUMMYFUNCTION("""COMPUTED_VALUE"""),"Mobility")</f>
        <v>Mobility</v>
      </c>
      <c r="K979" s="4" t="str">
        <f>IFERROR(__xludf.DUMMYFUNCTION("""COMPUTED_VALUE"""),"Laundry List/Lookaround")</f>
        <v>Laundry List/Lookaround</v>
      </c>
      <c r="L979" s="4" t="str">
        <f>IFERROR(__xludf.DUMMYFUNCTION("""COMPUTED_VALUE"""),"")</f>
        <v/>
      </c>
      <c r="M979" s="4" t="str">
        <f>IFERROR(__xludf.DUMMYFUNCTION("""COMPUTED_VALUE"""),"Laundry List/Lookaround")</f>
        <v>Laundry List/Lookaround</v>
      </c>
      <c r="N979" s="4" t="str">
        <f>IFERROR(__xludf.DUMMYFUNCTION("""COMPUTED_VALUE"""),"")</f>
        <v/>
      </c>
      <c r="O979" s="4" t="str">
        <f>IFERROR(__xludf.DUMMYFUNCTION("""COMPUTED_VALUE"""),"")</f>
        <v/>
      </c>
      <c r="P979" s="4" t="str">
        <f>IFERROR(__xludf.DUMMYFUNCTION("""COMPUTED_VALUE"""),"")</f>
        <v/>
      </c>
      <c r="Q979" s="4" t="str">
        <f>IFERROR(__xludf.DUMMYFUNCTION("""COMPUTED_VALUE"""),"")</f>
        <v/>
      </c>
      <c r="R979" s="4" t="str">
        <f>IFERROR(__xludf.DUMMYFUNCTION("""COMPUTED_VALUE"""),"")</f>
        <v/>
      </c>
      <c r="S979" s="4" t="str">
        <f>IFERROR(__xludf.DUMMYFUNCTION("""COMPUTED_VALUE"""),"")</f>
        <v/>
      </c>
      <c r="T979" s="4" t="str">
        <f>IFERROR(__xludf.DUMMYFUNCTION("""COMPUTED_VALUE"""),"")</f>
        <v/>
      </c>
      <c r="U979" s="4" t="str">
        <f>IFERROR(__xludf.DUMMYFUNCTION("""COMPUTED_VALUE"""),"")</f>
        <v/>
      </c>
      <c r="V979" s="4" t="str">
        <f>IFERROR(__xludf.DUMMYFUNCTION("""COMPUTED_VALUE"""),"")</f>
        <v/>
      </c>
      <c r="W979" s="4" t="str">
        <f>IFERROR(__xludf.DUMMYFUNCTION("""COMPUTED_VALUE"""),"")</f>
        <v/>
      </c>
      <c r="X979" s="4" t="str">
        <f>IFERROR(__xludf.DUMMYFUNCTION("""COMPUTED_VALUE"""),"")</f>
        <v/>
      </c>
      <c r="Y979" s="4" t="str">
        <f>IFERROR(__xludf.DUMMYFUNCTION("""COMPUTED_VALUE"""),"")</f>
        <v/>
      </c>
    </row>
    <row r="980">
      <c r="A980" s="4" t="str">
        <f>IFERROR(__xludf.DUMMYFUNCTION("""COMPUTED_VALUE"""),"852 - Channel")</f>
        <v>852 - Channel</v>
      </c>
      <c r="B980" s="4" t="str">
        <f>IFERROR(__xludf.DUMMYFUNCTION("""COMPUTED_VALUE"""),"Channel 3")</f>
        <v>Channel 3</v>
      </c>
      <c r="C980" s="4" t="str">
        <f>IFERROR(__xludf.DUMMYFUNCTION("""COMPUTED_VALUE"""),"Day 3 - 25/06")</f>
        <v>Day 3 - 25/06</v>
      </c>
      <c r="D980" s="6">
        <f>IFERROR(__xludf.DUMMYFUNCTION("""COMPUTED_VALUE"""),0.6765046296296297)</f>
        <v>0.6765046296</v>
      </c>
      <c r="E980" s="6">
        <f>IFERROR(__xludf.DUMMYFUNCTION("""COMPUTED_VALUE"""),2.314814814814815E-4)</f>
        <v>0.0002314814815</v>
      </c>
      <c r="F980" s="6">
        <f>IFERROR(__xludf.DUMMYFUNCTION("""COMPUTED_VALUE"""),0.6767361111111111)</f>
        <v>0.6767361111</v>
      </c>
      <c r="G980" s="4" t="str">
        <f>IFERROR(__xludf.DUMMYFUNCTION("""COMPUTED_VALUE"""),"Graphics")</f>
        <v>Graphics</v>
      </c>
      <c r="H980" s="4" t="str">
        <f>IFERROR(__xludf.DUMMYFUNCTION("""COMPUTED_VALUE"""),"N/A")</f>
        <v>N/A</v>
      </c>
      <c r="I980" s="4" t="str">
        <f>IFERROR(__xludf.DUMMYFUNCTION("""COMPUTED_VALUE"""),"N/A")</f>
        <v>N/A</v>
      </c>
      <c r="J980" s="4" t="str">
        <f>IFERROR(__xludf.DUMMYFUNCTION("""COMPUTED_VALUE"""),"Climate")</f>
        <v>Climate</v>
      </c>
      <c r="K980" s="4" t="str">
        <f>IFERROR(__xludf.DUMMYFUNCTION("""COMPUTED_VALUE"""),"Talk Intro")</f>
        <v>Talk Intro</v>
      </c>
      <c r="L980" s="4" t="str">
        <f>IFERROR(__xludf.DUMMYFUNCTION("""COMPUTED_VALUE"""),"")</f>
        <v/>
      </c>
      <c r="M980" s="4" t="str">
        <f>IFERROR(__xludf.DUMMYFUNCTION("""COMPUTED_VALUE"""),"Talk Intro")</f>
        <v>Talk Intro</v>
      </c>
      <c r="N980" s="4" t="str">
        <f>IFERROR(__xludf.DUMMYFUNCTION("""COMPUTED_VALUE"""),"")</f>
        <v/>
      </c>
      <c r="O980" s="4" t="str">
        <f>IFERROR(__xludf.DUMMYFUNCTION("""COMPUTED_VALUE"""),"")</f>
        <v/>
      </c>
      <c r="P980" s="4" t="str">
        <f>IFERROR(__xludf.DUMMYFUNCTION("""COMPUTED_VALUE"""),"")</f>
        <v/>
      </c>
      <c r="Q980" s="4" t="str">
        <f>IFERROR(__xludf.DUMMYFUNCTION("""COMPUTED_VALUE"""),"")</f>
        <v/>
      </c>
      <c r="R980" s="4" t="str">
        <f>IFERROR(__xludf.DUMMYFUNCTION("""COMPUTED_VALUE"""),"")</f>
        <v/>
      </c>
      <c r="S980" s="4" t="str">
        <f>IFERROR(__xludf.DUMMYFUNCTION("""COMPUTED_VALUE"""),"")</f>
        <v/>
      </c>
      <c r="T980" s="4" t="str">
        <f>IFERROR(__xludf.DUMMYFUNCTION("""COMPUTED_VALUE"""),"")</f>
        <v/>
      </c>
      <c r="U980" s="4" t="str">
        <f>IFERROR(__xludf.DUMMYFUNCTION("""COMPUTED_VALUE"""),"")</f>
        <v/>
      </c>
      <c r="V980" s="4" t="str">
        <f>IFERROR(__xludf.DUMMYFUNCTION("""COMPUTED_VALUE"""),"")</f>
        <v/>
      </c>
      <c r="W980" s="4" t="str">
        <f>IFERROR(__xludf.DUMMYFUNCTION("""COMPUTED_VALUE"""),"")</f>
        <v/>
      </c>
      <c r="X980" s="4" t="str">
        <f>IFERROR(__xludf.DUMMYFUNCTION("""COMPUTED_VALUE"""),"")</f>
        <v/>
      </c>
      <c r="Y980" s="4" t="str">
        <f>IFERROR(__xludf.DUMMYFUNCTION("""COMPUTED_VALUE"""),"")</f>
        <v/>
      </c>
    </row>
    <row r="981">
      <c r="A981" s="4" t="str">
        <f>IFERROR(__xludf.DUMMYFUNCTION("""COMPUTED_VALUE"""),"853 - Channel")</f>
        <v>853 - Channel</v>
      </c>
      <c r="B981" s="4" t="str">
        <f>IFERROR(__xludf.DUMMYFUNCTION("""COMPUTED_VALUE"""),"Channel 3")</f>
        <v>Channel 3</v>
      </c>
      <c r="C981" s="4" t="str">
        <f>IFERROR(__xludf.DUMMYFUNCTION("""COMPUTED_VALUE"""),"Day 3 - 25/06")</f>
        <v>Day 3 - 25/06</v>
      </c>
      <c r="D981" s="6">
        <f>IFERROR(__xludf.DUMMYFUNCTION("""COMPUTED_VALUE"""),0.6767361111111111)</f>
        <v>0.6767361111</v>
      </c>
      <c r="E981" s="6">
        <f>IFERROR(__xludf.DUMMYFUNCTION("""COMPUTED_VALUE"""),0.015011574074074075)</f>
        <v>0.01501157407</v>
      </c>
      <c r="F981" s="6">
        <f>IFERROR(__xludf.DUMMYFUNCTION("""COMPUTED_VALUE"""),0.6917476851851851)</f>
        <v>0.6917476852</v>
      </c>
      <c r="G981" s="4" t="str">
        <f>IFERROR(__xludf.DUMMYFUNCTION("""COMPUTED_VALUE"""),"Kat")</f>
        <v>Kat</v>
      </c>
      <c r="H981" s="4" t="str">
        <f>IFERROR(__xludf.DUMMYFUNCTION("""COMPUTED_VALUE"""),"Eoghan")</f>
        <v>Eoghan</v>
      </c>
      <c r="I981" s="4" t="str">
        <f>IFERROR(__xludf.DUMMYFUNCTION("""COMPUTED_VALUE"""),"Lynn")</f>
        <v>Lynn</v>
      </c>
      <c r="J981" s="4" t="str">
        <f>IFERROR(__xludf.DUMMYFUNCTION("""COMPUTED_VALUE"""),"Climate")</f>
        <v>Climate</v>
      </c>
      <c r="K981" s="4" t="str">
        <f>IFERROR(__xludf.DUMMYFUNCTION("""COMPUTED_VALUE"""),"Fireside")</f>
        <v>Fireside</v>
      </c>
      <c r="L981" s="4" t="str">
        <f>IFERROR(__xludf.DUMMYFUNCTION("""COMPUTED_VALUE"""),"T- 4 - 25/05/2020")</f>
        <v>T- 4 - 25/05/2020</v>
      </c>
      <c r="M981" s="4" t="str">
        <f>IFERROR(__xludf.DUMMYFUNCTION("""COMPUTED_VALUE"""),"The future we choose")</f>
        <v>The future we choose</v>
      </c>
      <c r="N981" s="4" t="str">
        <f>IFERROR(__xludf.DUMMYFUNCTION("""COMPUTED_VALUE"""),"Christiana Figueres, Mission2020")</f>
        <v>Christiana Figueres, Mission2020</v>
      </c>
      <c r="O981" s="4" t="str">
        <f>IFERROR(__xludf.DUMMYFUNCTION("""COMPUTED_VALUE"""),"")</f>
        <v/>
      </c>
      <c r="P981" s="4" t="str">
        <f>IFERROR(__xludf.DUMMYFUNCTION("""COMPUTED_VALUE"""),"")</f>
        <v/>
      </c>
      <c r="Q981" s="4" t="str">
        <f>IFERROR(__xludf.DUMMYFUNCTION("""COMPUTED_VALUE"""),"")</f>
        <v/>
      </c>
      <c r="R981" s="4" t="str">
        <f>IFERROR(__xludf.DUMMYFUNCTION("""COMPUTED_VALUE"""),"Philip Crowther, Associated Press")</f>
        <v>Philip Crowther, Associated Press</v>
      </c>
      <c r="S981" s="4" t="str">
        <f>IFERROR(__xludf.DUMMYFUNCTION("""COMPUTED_VALUE"""),"Is the climate catastrophe unavoidable or is there a chance for us to change our course and prevent it? Christiana Figueres, a world-renowned leader on climate change policy and action, will talk about how and why we're going to do it.")</f>
        <v>Is the climate catastrophe unavoidable or is there a chance for us to change our course and prevent it? Christiana Figueres, a world-renowned leader on climate change policy and action, will talk about how and why we're going to do it.</v>
      </c>
      <c r="T981" s="4" t="str">
        <f>IFERROR(__xludf.DUMMYFUNCTION("""COMPUTED_VALUE"""),"NON-KEYNOTE 9 - COMPLETE")</f>
        <v>NON-KEYNOTE 9 - COMPLETE</v>
      </c>
      <c r="U981" s="23">
        <f>IFERROR(__xludf.DUMMYFUNCTION("""COMPUTED_VALUE"""),43977.0)</f>
        <v>43977</v>
      </c>
      <c r="V981" s="24">
        <f>IFERROR(__xludf.DUMMYFUNCTION("""COMPUTED_VALUE"""),0.7916666666666666)</f>
        <v>0.7916666667</v>
      </c>
      <c r="W981" s="4" t="str">
        <f>IFERROR(__xludf.DUMMYFUNCTION("""COMPUTED_VALUE"""),"COMPLETE")</f>
        <v>COMPLETE</v>
      </c>
      <c r="X981" s="4" t="str">
        <f>IFERROR(__xludf.DUMMYFUNCTION("""COMPUTED_VALUE"""),"Kat")</f>
        <v>Kat</v>
      </c>
      <c r="Y981" s="4" t="str">
        <f>IFERROR(__xludf.DUMMYFUNCTION("""COMPUTED_VALUE"""),"")</f>
        <v/>
      </c>
    </row>
    <row r="982">
      <c r="A982" s="4" t="str">
        <f>IFERROR(__xludf.DUMMYFUNCTION("""COMPUTED_VALUE"""),"1682 - Channel")</f>
        <v>1682 - Channel</v>
      </c>
      <c r="B982" s="4" t="str">
        <f>IFERROR(__xludf.DUMMYFUNCTION("""COMPUTED_VALUE"""),"Channel 3")</f>
        <v>Channel 3</v>
      </c>
      <c r="C982" s="4" t="str">
        <f>IFERROR(__xludf.DUMMYFUNCTION("""COMPUTED_VALUE"""),"Day 3 - 25/06")</f>
        <v>Day 3 - 25/06</v>
      </c>
      <c r="D982" s="6">
        <f>IFERROR(__xludf.DUMMYFUNCTION("""COMPUTED_VALUE"""),0.6917476851851851)</f>
        <v>0.6917476852</v>
      </c>
      <c r="E982" s="6">
        <f>IFERROR(__xludf.DUMMYFUNCTION("""COMPUTED_VALUE"""),3.4722222222222224E-4)</f>
        <v>0.0003472222222</v>
      </c>
      <c r="F982" s="6">
        <f>IFERROR(__xludf.DUMMYFUNCTION("""COMPUTED_VALUE"""),0.6920949074074074)</f>
        <v>0.6920949074</v>
      </c>
      <c r="G982" s="4" t="str">
        <f>IFERROR(__xludf.DUMMYFUNCTION("""COMPUTED_VALUE"""),"Graphics")</f>
        <v>Graphics</v>
      </c>
      <c r="H982" s="4" t="str">
        <f>IFERROR(__xludf.DUMMYFUNCTION("""COMPUTED_VALUE"""),"")</f>
        <v/>
      </c>
      <c r="I982" s="4" t="str">
        <f>IFERROR(__xludf.DUMMYFUNCTION("""COMPUTED_VALUE"""),"")</f>
        <v/>
      </c>
      <c r="J982" s="4" t="str">
        <f>IFERROR(__xludf.DUMMYFUNCTION("""COMPUTED_VALUE"""),"")</f>
        <v/>
      </c>
      <c r="K982" s="4" t="str">
        <f>IFERROR(__xludf.DUMMYFUNCTION("""COMPUTED_VALUE"""),"RISE Trailer")</f>
        <v>RISE Trailer</v>
      </c>
      <c r="L982" s="4" t="str">
        <f>IFERROR(__xludf.DUMMYFUNCTION("""COMPUTED_VALUE"""),"")</f>
        <v/>
      </c>
      <c r="M982" s="4" t="str">
        <f>IFERROR(__xludf.DUMMYFUNCTION("""COMPUTED_VALUE"""),"RISE Trailer")</f>
        <v>RISE Trailer</v>
      </c>
      <c r="N982" s="4" t="str">
        <f>IFERROR(__xludf.DUMMYFUNCTION("""COMPUTED_VALUE"""),"")</f>
        <v/>
      </c>
      <c r="O982" s="4" t="str">
        <f>IFERROR(__xludf.DUMMYFUNCTION("""COMPUTED_VALUE"""),"")</f>
        <v/>
      </c>
      <c r="P982" s="4" t="str">
        <f>IFERROR(__xludf.DUMMYFUNCTION("""COMPUTED_VALUE"""),"")</f>
        <v/>
      </c>
      <c r="Q982" s="4" t="str">
        <f>IFERROR(__xludf.DUMMYFUNCTION("""COMPUTED_VALUE"""),"")</f>
        <v/>
      </c>
      <c r="R982" s="4" t="str">
        <f>IFERROR(__xludf.DUMMYFUNCTION("""COMPUTED_VALUE"""),"")</f>
        <v/>
      </c>
      <c r="S982" s="4" t="str">
        <f>IFERROR(__xludf.DUMMYFUNCTION("""COMPUTED_VALUE"""),"")</f>
        <v/>
      </c>
      <c r="T982" s="4" t="str">
        <f>IFERROR(__xludf.DUMMYFUNCTION("""COMPUTED_VALUE"""),"")</f>
        <v/>
      </c>
      <c r="U982" s="4" t="str">
        <f>IFERROR(__xludf.DUMMYFUNCTION("""COMPUTED_VALUE"""),"")</f>
        <v/>
      </c>
      <c r="V982" s="4" t="str">
        <f>IFERROR(__xludf.DUMMYFUNCTION("""COMPUTED_VALUE"""),"")</f>
        <v/>
      </c>
      <c r="W982" s="4" t="str">
        <f>IFERROR(__xludf.DUMMYFUNCTION("""COMPUTED_VALUE"""),"")</f>
        <v/>
      </c>
      <c r="X982" s="4" t="str">
        <f>IFERROR(__xludf.DUMMYFUNCTION("""COMPUTED_VALUE"""),"")</f>
        <v/>
      </c>
      <c r="Y982" s="4" t="str">
        <f>IFERROR(__xludf.DUMMYFUNCTION("""COMPUTED_VALUE"""),"")</f>
        <v/>
      </c>
    </row>
    <row r="983">
      <c r="A983" s="4" t="str">
        <f>IFERROR(__xludf.DUMMYFUNCTION("""COMPUTED_VALUE"""),"1111 - Channel")</f>
        <v>1111 - Channel</v>
      </c>
      <c r="B983" s="4" t="str">
        <f>IFERROR(__xludf.DUMMYFUNCTION("""COMPUTED_VALUE"""),"Channel 3")</f>
        <v>Channel 3</v>
      </c>
      <c r="C983" s="4" t="str">
        <f>IFERROR(__xludf.DUMMYFUNCTION("""COMPUTED_VALUE"""),"Day 3 - 25/06")</f>
        <v>Day 3 - 25/06</v>
      </c>
      <c r="D983" s="6">
        <f>IFERROR(__xludf.DUMMYFUNCTION("""COMPUTED_VALUE"""),0.6920949074074074)</f>
        <v>0.6920949074</v>
      </c>
      <c r="E983" s="6">
        <f>IFERROR(__xludf.DUMMYFUNCTION("""COMPUTED_VALUE"""),2.314814814814815E-4)</f>
        <v>0.0002314814815</v>
      </c>
      <c r="F983" s="6">
        <f>IFERROR(__xludf.DUMMYFUNCTION("""COMPUTED_VALUE"""),0.6923263888888889)</f>
        <v>0.6923263889</v>
      </c>
      <c r="G983" s="4" t="str">
        <f>IFERROR(__xludf.DUMMYFUNCTION("""COMPUTED_VALUE"""),"Graphics")</f>
        <v>Graphics</v>
      </c>
      <c r="H983" s="4" t="str">
        <f>IFERROR(__xludf.DUMMYFUNCTION("""COMPUTED_VALUE"""),"N/A")</f>
        <v>N/A</v>
      </c>
      <c r="I983" s="4" t="str">
        <f>IFERROR(__xludf.DUMMYFUNCTION("""COMPUTED_VALUE"""),"N/A")</f>
        <v>N/A</v>
      </c>
      <c r="J983" s="4" t="str">
        <f>IFERROR(__xludf.DUMMYFUNCTION("""COMPUTED_VALUE"""),"Mobility")</f>
        <v>Mobility</v>
      </c>
      <c r="K983" s="4" t="str">
        <f>IFERROR(__xludf.DUMMYFUNCTION("""COMPUTED_VALUE"""),"Talk Intro")</f>
        <v>Talk Intro</v>
      </c>
      <c r="L983" s="4" t="str">
        <f>IFERROR(__xludf.DUMMYFUNCTION("""COMPUTED_VALUE"""),"")</f>
        <v/>
      </c>
      <c r="M983" s="4" t="str">
        <f>IFERROR(__xludf.DUMMYFUNCTION("""COMPUTED_VALUE"""),"Talk Intro")</f>
        <v>Talk Intro</v>
      </c>
      <c r="N983" s="4" t="str">
        <f>IFERROR(__xludf.DUMMYFUNCTION("""COMPUTED_VALUE"""),"")</f>
        <v/>
      </c>
      <c r="O983" s="4" t="str">
        <f>IFERROR(__xludf.DUMMYFUNCTION("""COMPUTED_VALUE"""),"")</f>
        <v/>
      </c>
      <c r="P983" s="4" t="str">
        <f>IFERROR(__xludf.DUMMYFUNCTION("""COMPUTED_VALUE"""),"")</f>
        <v/>
      </c>
      <c r="Q983" s="4" t="str">
        <f>IFERROR(__xludf.DUMMYFUNCTION("""COMPUTED_VALUE"""),"")</f>
        <v/>
      </c>
      <c r="R983" s="4" t="str">
        <f>IFERROR(__xludf.DUMMYFUNCTION("""COMPUTED_VALUE"""),"")</f>
        <v/>
      </c>
      <c r="S983" s="4" t="str">
        <f>IFERROR(__xludf.DUMMYFUNCTION("""COMPUTED_VALUE"""),"")</f>
        <v/>
      </c>
      <c r="T983" s="4" t="str">
        <f>IFERROR(__xludf.DUMMYFUNCTION("""COMPUTED_VALUE"""),"")</f>
        <v/>
      </c>
      <c r="U983" s="4" t="str">
        <f>IFERROR(__xludf.DUMMYFUNCTION("""COMPUTED_VALUE"""),"")</f>
        <v/>
      </c>
      <c r="V983" s="4" t="str">
        <f>IFERROR(__xludf.DUMMYFUNCTION("""COMPUTED_VALUE"""),"")</f>
        <v/>
      </c>
      <c r="W983" s="4" t="str">
        <f>IFERROR(__xludf.DUMMYFUNCTION("""COMPUTED_VALUE"""),"")</f>
        <v/>
      </c>
      <c r="X983" s="4" t="str">
        <f>IFERROR(__xludf.DUMMYFUNCTION("""COMPUTED_VALUE"""),"")</f>
        <v/>
      </c>
      <c r="Y983" s="4" t="str">
        <f>IFERROR(__xludf.DUMMYFUNCTION("""COMPUTED_VALUE"""),"")</f>
        <v/>
      </c>
    </row>
    <row r="984">
      <c r="A984" s="4" t="str">
        <f>IFERROR(__xludf.DUMMYFUNCTION("""COMPUTED_VALUE"""),"1298 - Channel")</f>
        <v>1298 - Channel</v>
      </c>
      <c r="B984" s="4" t="str">
        <f>IFERROR(__xludf.DUMMYFUNCTION("""COMPUTED_VALUE"""),"Channel 3")</f>
        <v>Channel 3</v>
      </c>
      <c r="C984" s="4" t="str">
        <f>IFERROR(__xludf.DUMMYFUNCTION("""COMPUTED_VALUE"""),"Day 3 - 25/06")</f>
        <v>Day 3 - 25/06</v>
      </c>
      <c r="D984" s="6">
        <f>IFERROR(__xludf.DUMMYFUNCTION("""COMPUTED_VALUE"""),0.6923263888888889)</f>
        <v>0.6923263889</v>
      </c>
      <c r="E984" s="6">
        <f>IFERROR(__xludf.DUMMYFUNCTION("""COMPUTED_VALUE"""),0.006782407407407407)</f>
        <v>0.006782407407</v>
      </c>
      <c r="F984" s="6">
        <f>IFERROR(__xludf.DUMMYFUNCTION("""COMPUTED_VALUE"""),0.6991087962962963)</f>
        <v>0.6991087963</v>
      </c>
      <c r="G984" s="4" t="str">
        <f>IFERROR(__xludf.DUMMYFUNCTION("""COMPUTED_VALUE"""),"Gavin")</f>
        <v>Gavin</v>
      </c>
      <c r="H984" s="4" t="str">
        <f>IFERROR(__xludf.DUMMYFUNCTION("""COMPUTED_VALUE"""),"Eoghan")</f>
        <v>Eoghan</v>
      </c>
      <c r="I984" s="4" t="str">
        <f>IFERROR(__xludf.DUMMYFUNCTION("""COMPUTED_VALUE"""),"Lynn")</f>
        <v>Lynn</v>
      </c>
      <c r="J984" s="4" t="str">
        <f>IFERROR(__xludf.DUMMYFUNCTION("""COMPUTED_VALUE"""),"Education")</f>
        <v>Education</v>
      </c>
      <c r="K984" s="4" t="str">
        <f>IFERROR(__xludf.DUMMYFUNCTION("""COMPUTED_VALUE"""),"Panel")</f>
        <v>Panel</v>
      </c>
      <c r="L984" s="4" t="str">
        <f>IFERROR(__xludf.DUMMYFUNCTION("""COMPUTED_VALUE"""),"T- 9 - 20/04/2020")</f>
        <v>T- 9 - 20/04/2020</v>
      </c>
      <c r="M984" s="4" t="str">
        <f>IFERROR(__xludf.DUMMYFUNCTION("""COMPUTED_VALUE"""),"The science of tomorrow")</f>
        <v>The science of tomorrow</v>
      </c>
      <c r="N984" s="4" t="str">
        <f>IFERROR(__xludf.DUMMYFUNCTION("""COMPUTED_VALUE"""),"Sofia Qureshi, The Knowledge Society")</f>
        <v>Sofia Qureshi, The Knowledge Society</v>
      </c>
      <c r="O984" s="4" t="str">
        <f>IFERROR(__xludf.DUMMYFUNCTION("""COMPUTED_VALUE"""),"Adam Omarali, The Knowledge Society")</f>
        <v>Adam Omarali, The Knowledge Society</v>
      </c>
      <c r="P984" s="4" t="str">
        <f>IFERROR(__xludf.DUMMYFUNCTION("""COMPUTED_VALUE"""),"Hana Ahmad, The Knowledge Society")</f>
        <v>Hana Ahmad, The Knowledge Society</v>
      </c>
      <c r="Q984" s="4" t="str">
        <f>IFERROR(__xludf.DUMMYFUNCTION("""COMPUTED_VALUE"""),"")</f>
        <v/>
      </c>
      <c r="R984" s="4" t="str">
        <f>IFERROR(__xludf.DUMMYFUNCTION("""COMPUTED_VALUE"""),"Manjula Selvarajah, CBC Radio")</f>
        <v>Manjula Selvarajah, CBC Radio</v>
      </c>
      <c r="S984" s="4" t="str">
        <f>IFERROR(__xludf.DUMMYFUNCTION("""COMPUTED_VALUE"""),"The scientific discoveries of the future will transform how we live our lives in ways that we cannot predict. In this session we will hear from three of the young scientists who will be striving to make those discoveries in fields such as bioengineering, "&amp;"green tech, and AI.")</f>
        <v>The scientific discoveries of the future will transform how we live our lives in ways that we cannot predict. In this session we will hear from three of the young scientists who will be striving to make those discoveries in fields such as bioengineering, green tech, and AI.</v>
      </c>
      <c r="T984" s="4" t="str">
        <f>IFERROR(__xludf.DUMMYFUNCTION("""COMPUTED_VALUE"""),"NON-KEYNOTE 9 - COMPLETE")</f>
        <v>NON-KEYNOTE 9 - COMPLETE</v>
      </c>
      <c r="U984" s="23">
        <f>IFERROR(__xludf.DUMMYFUNCTION("""COMPUTED_VALUE"""),43945.0)</f>
        <v>43945</v>
      </c>
      <c r="V984" s="24">
        <f>IFERROR(__xludf.DUMMYFUNCTION("""COMPUTED_VALUE"""),0.9895833333333334)</f>
        <v>0.9895833333</v>
      </c>
      <c r="W984" s="4" t="str">
        <f>IFERROR(__xludf.DUMMYFUNCTION("""COMPUTED_VALUE"""),"COMPLETE")</f>
        <v>COMPLETE</v>
      </c>
      <c r="X984" s="4" t="str">
        <f>IFERROR(__xludf.DUMMYFUNCTION("""COMPUTED_VALUE"""),"Gavin")</f>
        <v>Gavin</v>
      </c>
      <c r="Y984" s="4" t="str">
        <f>IFERROR(__xludf.DUMMYFUNCTION("""COMPUTED_VALUE"""),"")</f>
        <v/>
      </c>
    </row>
    <row r="985">
      <c r="A985" s="4" t="str">
        <f>IFERROR(__xludf.DUMMYFUNCTION("""COMPUTED_VALUE"""),"1114 - Channel")</f>
        <v>1114 - Channel</v>
      </c>
      <c r="B985" s="4" t="str">
        <f>IFERROR(__xludf.DUMMYFUNCTION("""COMPUTED_VALUE"""),"Channel 3")</f>
        <v>Channel 3</v>
      </c>
      <c r="C985" s="4" t="str">
        <f>IFERROR(__xludf.DUMMYFUNCTION("""COMPUTED_VALUE"""),"Day 3 - 25/06")</f>
        <v>Day 3 - 25/06</v>
      </c>
      <c r="D985" s="6">
        <f>IFERROR(__xludf.DUMMYFUNCTION("""COMPUTED_VALUE"""),0.6991087962962963)</f>
        <v>0.6991087963</v>
      </c>
      <c r="E985" s="6">
        <f>IFERROR(__xludf.DUMMYFUNCTION("""COMPUTED_VALUE"""),2.314814814814815E-4)</f>
        <v>0.0002314814815</v>
      </c>
      <c r="F985" s="6">
        <f>IFERROR(__xludf.DUMMYFUNCTION("""COMPUTED_VALUE"""),0.6993402777777777)</f>
        <v>0.6993402778</v>
      </c>
      <c r="G985" s="4" t="str">
        <f>IFERROR(__xludf.DUMMYFUNCTION("""COMPUTED_VALUE"""),"Graphics")</f>
        <v>Graphics</v>
      </c>
      <c r="H985" s="4" t="str">
        <f>IFERROR(__xludf.DUMMYFUNCTION("""COMPUTED_VALUE"""),"N/A")</f>
        <v>N/A</v>
      </c>
      <c r="I985" s="4" t="str">
        <f>IFERROR(__xludf.DUMMYFUNCTION("""COMPUTED_VALUE"""),"N/A")</f>
        <v>N/A</v>
      </c>
      <c r="J985" s="4" t="str">
        <f>IFERROR(__xludf.DUMMYFUNCTION("""COMPUTED_VALUE"""),"Mobility")</f>
        <v>Mobility</v>
      </c>
      <c r="K985" s="4" t="str">
        <f>IFERROR(__xludf.DUMMYFUNCTION("""COMPUTED_VALUE"""),"Talk Intro")</f>
        <v>Talk Intro</v>
      </c>
      <c r="L985" s="4" t="str">
        <f>IFERROR(__xludf.DUMMYFUNCTION("""COMPUTED_VALUE"""),"")</f>
        <v/>
      </c>
      <c r="M985" s="4" t="str">
        <f>IFERROR(__xludf.DUMMYFUNCTION("""COMPUTED_VALUE"""),"Talk Intro")</f>
        <v>Talk Intro</v>
      </c>
      <c r="N985" s="4" t="str">
        <f>IFERROR(__xludf.DUMMYFUNCTION("""COMPUTED_VALUE"""),"")</f>
        <v/>
      </c>
      <c r="O985" s="4" t="str">
        <f>IFERROR(__xludf.DUMMYFUNCTION("""COMPUTED_VALUE"""),"")</f>
        <v/>
      </c>
      <c r="P985" s="4" t="str">
        <f>IFERROR(__xludf.DUMMYFUNCTION("""COMPUTED_VALUE"""),"")</f>
        <v/>
      </c>
      <c r="Q985" s="4" t="str">
        <f>IFERROR(__xludf.DUMMYFUNCTION("""COMPUTED_VALUE"""),"")</f>
        <v/>
      </c>
      <c r="R985" s="4" t="str">
        <f>IFERROR(__xludf.DUMMYFUNCTION("""COMPUTED_VALUE"""),"")</f>
        <v/>
      </c>
      <c r="S985" s="4" t="str">
        <f>IFERROR(__xludf.DUMMYFUNCTION("""COMPUTED_VALUE"""),"")</f>
        <v/>
      </c>
      <c r="T985" s="4" t="str">
        <f>IFERROR(__xludf.DUMMYFUNCTION("""COMPUTED_VALUE"""),"")</f>
        <v/>
      </c>
      <c r="U985" s="4" t="str">
        <f>IFERROR(__xludf.DUMMYFUNCTION("""COMPUTED_VALUE"""),"")</f>
        <v/>
      </c>
      <c r="V985" s="4" t="str">
        <f>IFERROR(__xludf.DUMMYFUNCTION("""COMPUTED_VALUE"""),"")</f>
        <v/>
      </c>
      <c r="W985" s="4" t="str">
        <f>IFERROR(__xludf.DUMMYFUNCTION("""COMPUTED_VALUE"""),"")</f>
        <v/>
      </c>
      <c r="X985" s="4" t="str">
        <f>IFERROR(__xludf.DUMMYFUNCTION("""COMPUTED_VALUE"""),"")</f>
        <v/>
      </c>
      <c r="Y985" s="4" t="str">
        <f>IFERROR(__xludf.DUMMYFUNCTION("""COMPUTED_VALUE"""),"")</f>
        <v/>
      </c>
    </row>
    <row r="986">
      <c r="A986" s="4" t="str">
        <f>IFERROR(__xludf.DUMMYFUNCTION("""COMPUTED_VALUE"""),"1115 - Channel")</f>
        <v>1115 - Channel</v>
      </c>
      <c r="B986" s="4" t="str">
        <f>IFERROR(__xludf.DUMMYFUNCTION("""COMPUTED_VALUE"""),"Channel 3")</f>
        <v>Channel 3</v>
      </c>
      <c r="C986" s="4" t="str">
        <f>IFERROR(__xludf.DUMMYFUNCTION("""COMPUTED_VALUE"""),"Day 3 - 25/06")</f>
        <v>Day 3 - 25/06</v>
      </c>
      <c r="D986" s="6">
        <f>IFERROR(__xludf.DUMMYFUNCTION("""COMPUTED_VALUE"""),0.6993402777777777)</f>
        <v>0.6993402778</v>
      </c>
      <c r="E986" s="6">
        <f>IFERROR(__xludf.DUMMYFUNCTION("""COMPUTED_VALUE"""),0.0078125)</f>
        <v>0.0078125</v>
      </c>
      <c r="F986" s="6">
        <f>IFERROR(__xludf.DUMMYFUNCTION("""COMPUTED_VALUE"""),0.7071527777777777)</f>
        <v>0.7071527778</v>
      </c>
      <c r="G986" s="4" t="str">
        <f>IFERROR(__xludf.DUMMYFUNCTION("""COMPUTED_VALUE"""),"Darragh")</f>
        <v>Darragh</v>
      </c>
      <c r="H986" s="4" t="str">
        <f>IFERROR(__xludf.DUMMYFUNCTION("""COMPUTED_VALUE"""),"Eoghan")</f>
        <v>Eoghan</v>
      </c>
      <c r="I986" s="4" t="str">
        <f>IFERROR(__xludf.DUMMYFUNCTION("""COMPUTED_VALUE"""),"Lynn")</f>
        <v>Lynn</v>
      </c>
      <c r="J986" s="4" t="str">
        <f>IFERROR(__xludf.DUMMYFUNCTION("""COMPUTED_VALUE"""),"Mobility")</f>
        <v>Mobility</v>
      </c>
      <c r="K986" s="4" t="str">
        <f>IFERROR(__xludf.DUMMYFUNCTION("""COMPUTED_VALUE"""),"Fireside")</f>
        <v>Fireside</v>
      </c>
      <c r="L986" s="4" t="str">
        <f>IFERROR(__xludf.DUMMYFUNCTION("""COMPUTED_VALUE"""),"T- 7 - 04/05/2020")</f>
        <v>T- 7 - 04/05/2020</v>
      </c>
      <c r="M986" s="4" t="str">
        <f>IFERROR(__xludf.DUMMYFUNCTION("""COMPUTED_VALUE"""),"AI-way or the highway")</f>
        <v>AI-way or the highway</v>
      </c>
      <c r="N986" s="4" t="str">
        <f>IFERROR(__xludf.DUMMYFUNCTION("""COMPUTED_VALUE"""),"Jon Foster, Zoox")</f>
        <v>Jon Foster, Zoox</v>
      </c>
      <c r="O986" s="4" t="str">
        <f>IFERROR(__xludf.DUMMYFUNCTION("""COMPUTED_VALUE"""),"")</f>
        <v/>
      </c>
      <c r="P986" s="4" t="str">
        <f>IFERROR(__xludf.DUMMYFUNCTION("""COMPUTED_VALUE"""),"")</f>
        <v/>
      </c>
      <c r="Q986" s="4" t="str">
        <f>IFERROR(__xludf.DUMMYFUNCTION("""COMPUTED_VALUE"""),"")</f>
        <v/>
      </c>
      <c r="R986" s="4" t="str">
        <f>IFERROR(__xludf.DUMMYFUNCTION("""COMPUTED_VALUE"""),"Tim Stevens, CNET")</f>
        <v>Tim Stevens, CNET</v>
      </c>
      <c r="S986" s="4" t="str">
        <f>IFERROR(__xludf.DUMMYFUNCTION("""COMPUTED_VALUE"""),"Look where you're going! Easy to say to a human, but what about to our cars? Could future driving AI change the game?")</f>
        <v>Look where you're going! Easy to say to a human, but what about to our cars? Could future driving AI change the game?</v>
      </c>
      <c r="T986" s="4" t="str">
        <f>IFERROR(__xludf.DUMMYFUNCTION("""COMPUTED_VALUE"""),"NON-KEYNOTE 9 - COMPLETE")</f>
        <v>NON-KEYNOTE 9 - COMPLETE</v>
      </c>
      <c r="U986" s="23">
        <f>IFERROR(__xludf.DUMMYFUNCTION("""COMPUTED_VALUE"""),43962.0)</f>
        <v>43962</v>
      </c>
      <c r="V986" s="4" t="str">
        <f>IFERROR(__xludf.DUMMYFUNCTION("""COMPUTED_VALUE"""),"")</f>
        <v/>
      </c>
      <c r="W986" s="4" t="str">
        <f>IFERROR(__xludf.DUMMYFUNCTION("""COMPUTED_VALUE"""),"COMPLETE")</f>
        <v>COMPLETE</v>
      </c>
      <c r="X986" s="4" t="str">
        <f>IFERROR(__xludf.DUMMYFUNCTION("""COMPUTED_VALUE"""),"Darragh")</f>
        <v>Darragh</v>
      </c>
      <c r="Y986" s="4" t="str">
        <f>IFERROR(__xludf.DUMMYFUNCTION("""COMPUTED_VALUE"""),"")</f>
        <v/>
      </c>
    </row>
    <row r="987">
      <c r="A987" s="4" t="str">
        <f>IFERROR(__xludf.DUMMYFUNCTION("""COMPUTED_VALUE"""),"1117 - Channel")</f>
        <v>1117 - Channel</v>
      </c>
      <c r="B987" s="4" t="str">
        <f>IFERROR(__xludf.DUMMYFUNCTION("""COMPUTED_VALUE"""),"Channel 3")</f>
        <v>Channel 3</v>
      </c>
      <c r="C987" s="4" t="str">
        <f>IFERROR(__xludf.DUMMYFUNCTION("""COMPUTED_VALUE"""),"Day 3 - 25/06")</f>
        <v>Day 3 - 25/06</v>
      </c>
      <c r="D987" s="6">
        <f>IFERROR(__xludf.DUMMYFUNCTION("""COMPUTED_VALUE"""),0.7071527777777777)</f>
        <v>0.7071527778</v>
      </c>
      <c r="E987" s="6">
        <f>IFERROR(__xludf.DUMMYFUNCTION("""COMPUTED_VALUE"""),3.4722222222222224E-4)</f>
        <v>0.0003472222222</v>
      </c>
      <c r="F987" s="6">
        <f>IFERROR(__xludf.DUMMYFUNCTION("""COMPUTED_VALUE"""),0.7075)</f>
        <v>0.7075</v>
      </c>
      <c r="G987" s="4" t="str">
        <f>IFERROR(__xludf.DUMMYFUNCTION("""COMPUTED_VALUE"""),"")</f>
        <v/>
      </c>
      <c r="H987" s="4" t="str">
        <f>IFERROR(__xludf.DUMMYFUNCTION("""COMPUTED_VALUE"""),"")</f>
        <v/>
      </c>
      <c r="I987" s="4" t="str">
        <f>IFERROR(__xludf.DUMMYFUNCTION("""COMPUTED_VALUE"""),"")</f>
        <v/>
      </c>
      <c r="J987" s="4" t="str">
        <f>IFERROR(__xludf.DUMMYFUNCTION("""COMPUTED_VALUE"""),"Mobility")</f>
        <v>Mobility</v>
      </c>
      <c r="K987" s="4" t="str">
        <f>IFERROR(__xludf.DUMMYFUNCTION("""COMPUTED_VALUE"""),"Collision From Home Day Outro")</f>
        <v>Collision From Home Day Outro</v>
      </c>
      <c r="L987" s="4" t="str">
        <f>IFERROR(__xludf.DUMMYFUNCTION("""COMPUTED_VALUE"""),"")</f>
        <v/>
      </c>
      <c r="M987" s="4" t="str">
        <f>IFERROR(__xludf.DUMMYFUNCTION("""COMPUTED_VALUE"""),"CLOSE")</f>
        <v>CLOSE</v>
      </c>
      <c r="N987" s="4" t="str">
        <f>IFERROR(__xludf.DUMMYFUNCTION("""COMPUTED_VALUE"""),"")</f>
        <v/>
      </c>
      <c r="O987" s="4" t="str">
        <f>IFERROR(__xludf.DUMMYFUNCTION("""COMPUTED_VALUE"""),"")</f>
        <v/>
      </c>
      <c r="P987" s="4" t="str">
        <f>IFERROR(__xludf.DUMMYFUNCTION("""COMPUTED_VALUE"""),"")</f>
        <v/>
      </c>
      <c r="Q987" s="4" t="str">
        <f>IFERROR(__xludf.DUMMYFUNCTION("""COMPUTED_VALUE"""),"")</f>
        <v/>
      </c>
      <c r="R987" s="4" t="str">
        <f>IFERROR(__xludf.DUMMYFUNCTION("""COMPUTED_VALUE"""),"")</f>
        <v/>
      </c>
      <c r="S987" s="4" t="str">
        <f>IFERROR(__xludf.DUMMYFUNCTION("""COMPUTED_VALUE"""),"")</f>
        <v/>
      </c>
      <c r="T987" s="4" t="str">
        <f>IFERROR(__xludf.DUMMYFUNCTION("""COMPUTED_VALUE"""),"")</f>
        <v/>
      </c>
      <c r="U987" s="4" t="str">
        <f>IFERROR(__xludf.DUMMYFUNCTION("""COMPUTED_VALUE"""),"")</f>
        <v/>
      </c>
      <c r="V987" s="4" t="str">
        <f>IFERROR(__xludf.DUMMYFUNCTION("""COMPUTED_VALUE"""),"")</f>
        <v/>
      </c>
      <c r="W987" s="4" t="str">
        <f>IFERROR(__xludf.DUMMYFUNCTION("""COMPUTED_VALUE"""),"")</f>
        <v/>
      </c>
      <c r="X987" s="4" t="str">
        <f>IFERROR(__xludf.DUMMYFUNCTION("""COMPUTED_VALUE"""),"")</f>
        <v/>
      </c>
      <c r="Y987" s="4" t="str">
        <f>IFERROR(__xludf.DUMMYFUNCTION("""COMPUTED_VALUE"""),"")</f>
        <v/>
      </c>
    </row>
    <row r="988">
      <c r="A988" s="4" t="str">
        <f>IFERROR(__xludf.DUMMYFUNCTION("""COMPUTED_VALUE"""),"1118 - Channel")</f>
        <v>1118 - Channel</v>
      </c>
      <c r="B988" s="4" t="str">
        <f>IFERROR(__xludf.DUMMYFUNCTION("""COMPUTED_VALUE"""),"Channel 3")</f>
        <v>Channel 3</v>
      </c>
      <c r="C988" s="4" t="str">
        <f>IFERROR(__xludf.DUMMYFUNCTION("""COMPUTED_VALUE"""),"Day 3 - 25/06")</f>
        <v>Day 3 - 25/06</v>
      </c>
      <c r="D988" s="4" t="str">
        <f>IFERROR(__xludf.DUMMYFUNCTION("""COMPUTED_VALUE"""),"")</f>
        <v/>
      </c>
      <c r="E988" s="4" t="str">
        <f>IFERROR(__xludf.DUMMYFUNCTION("""COMPUTED_VALUE"""),"")</f>
        <v/>
      </c>
      <c r="F988" s="4" t="str">
        <f>IFERROR(__xludf.DUMMYFUNCTION("""COMPUTED_VALUE"""),"")</f>
        <v/>
      </c>
      <c r="G988" s="4" t="str">
        <f>IFERROR(__xludf.DUMMYFUNCTION("""COMPUTED_VALUE"""),"")</f>
        <v/>
      </c>
      <c r="H988" s="4" t="str">
        <f>IFERROR(__xludf.DUMMYFUNCTION("""COMPUTED_VALUE"""),"")</f>
        <v/>
      </c>
      <c r="I988" s="4" t="str">
        <f>IFERROR(__xludf.DUMMYFUNCTION("""COMPUTED_VALUE"""),"")</f>
        <v/>
      </c>
      <c r="J988" s="4" t="str">
        <f>IFERROR(__xludf.DUMMYFUNCTION("""COMPUTED_VALUE"""),"")</f>
        <v/>
      </c>
      <c r="K988" s="4" t="str">
        <f>IFERROR(__xludf.DUMMYFUNCTION("""COMPUTED_VALUE"""),"")</f>
        <v/>
      </c>
      <c r="L988" s="4" t="str">
        <f>IFERROR(__xludf.DUMMYFUNCTION("""COMPUTED_VALUE"""),"")</f>
        <v/>
      </c>
      <c r="M988" s="4" t="str">
        <f>IFERROR(__xludf.DUMMYFUNCTION("""COMPUTED_VALUE"""),"")</f>
        <v/>
      </c>
      <c r="N988" s="4" t="str">
        <f>IFERROR(__xludf.DUMMYFUNCTION("""COMPUTED_VALUE"""),"")</f>
        <v/>
      </c>
      <c r="O988" s="4" t="str">
        <f>IFERROR(__xludf.DUMMYFUNCTION("""COMPUTED_VALUE"""),"")</f>
        <v/>
      </c>
      <c r="P988" s="4" t="str">
        <f>IFERROR(__xludf.DUMMYFUNCTION("""COMPUTED_VALUE"""),"")</f>
        <v/>
      </c>
      <c r="Q988" s="4" t="str">
        <f>IFERROR(__xludf.DUMMYFUNCTION("""COMPUTED_VALUE"""),"")</f>
        <v/>
      </c>
      <c r="R988" s="4" t="str">
        <f>IFERROR(__xludf.DUMMYFUNCTION("""COMPUTED_VALUE"""),"")</f>
        <v/>
      </c>
      <c r="S988" s="4" t="str">
        <f>IFERROR(__xludf.DUMMYFUNCTION("""COMPUTED_VALUE"""),"")</f>
        <v/>
      </c>
      <c r="T988" s="4" t="str">
        <f>IFERROR(__xludf.DUMMYFUNCTION("""COMPUTED_VALUE"""),"")</f>
        <v/>
      </c>
      <c r="U988" s="4" t="str">
        <f>IFERROR(__xludf.DUMMYFUNCTION("""COMPUTED_VALUE"""),"")</f>
        <v/>
      </c>
      <c r="V988" s="4" t="str">
        <f>IFERROR(__xludf.DUMMYFUNCTION("""COMPUTED_VALUE"""),"")</f>
        <v/>
      </c>
      <c r="W988" s="4" t="str">
        <f>IFERROR(__xludf.DUMMYFUNCTION("""COMPUTED_VALUE"""),"")</f>
        <v/>
      </c>
      <c r="X988" s="4" t="str">
        <f>IFERROR(__xludf.DUMMYFUNCTION("""COMPUTED_VALUE"""),"")</f>
        <v/>
      </c>
      <c r="Y988" s="4" t="str">
        <f>IFERROR(__xludf.DUMMYFUNCTION("""COMPUTED_VALUE"""),"")</f>
        <v/>
      </c>
    </row>
    <row r="989">
      <c r="A989" s="4" t="str">
        <f>IFERROR(__xludf.DUMMYFUNCTION("""COMPUTED_VALUE"""),"1119 - Channel")</f>
        <v>1119 - Channel</v>
      </c>
      <c r="B989" s="4" t="str">
        <f>IFERROR(__xludf.DUMMYFUNCTION("""COMPUTED_VALUE"""),"Channel 3")</f>
        <v>Channel 3</v>
      </c>
      <c r="C989" s="4" t="str">
        <f>IFERROR(__xludf.DUMMYFUNCTION("""COMPUTED_VALUE"""),"Day 3 - 25/06")</f>
        <v>Day 3 - 25/06</v>
      </c>
      <c r="D989" s="4" t="str">
        <f>IFERROR(__xludf.DUMMYFUNCTION("""COMPUTED_VALUE"""),"")</f>
        <v/>
      </c>
      <c r="E989" s="4" t="str">
        <f>IFERROR(__xludf.DUMMYFUNCTION("""COMPUTED_VALUE"""),"")</f>
        <v/>
      </c>
      <c r="F989" s="4" t="str">
        <f>IFERROR(__xludf.DUMMYFUNCTION("""COMPUTED_VALUE"""),"")</f>
        <v/>
      </c>
      <c r="G989" s="4" t="str">
        <f>IFERROR(__xludf.DUMMYFUNCTION("""COMPUTED_VALUE"""),"")</f>
        <v/>
      </c>
      <c r="H989" s="4" t="str">
        <f>IFERROR(__xludf.DUMMYFUNCTION("""COMPUTED_VALUE"""),"")</f>
        <v/>
      </c>
      <c r="I989" s="4" t="str">
        <f>IFERROR(__xludf.DUMMYFUNCTION("""COMPUTED_VALUE"""),"")</f>
        <v/>
      </c>
      <c r="J989" s="4" t="str">
        <f>IFERROR(__xludf.DUMMYFUNCTION("""COMPUTED_VALUE"""),"")</f>
        <v/>
      </c>
      <c r="K989" s="4" t="str">
        <f>IFERROR(__xludf.DUMMYFUNCTION("""COMPUTED_VALUE"""),"")</f>
        <v/>
      </c>
      <c r="L989" s="4" t="str">
        <f>IFERROR(__xludf.DUMMYFUNCTION("""COMPUTED_VALUE"""),"")</f>
        <v/>
      </c>
      <c r="M989" s="4" t="str">
        <f>IFERROR(__xludf.DUMMYFUNCTION("""COMPUTED_VALUE"""),"")</f>
        <v/>
      </c>
      <c r="N989" s="4" t="str">
        <f>IFERROR(__xludf.DUMMYFUNCTION("""COMPUTED_VALUE"""),"")</f>
        <v/>
      </c>
      <c r="O989" s="4" t="str">
        <f>IFERROR(__xludf.DUMMYFUNCTION("""COMPUTED_VALUE"""),"")</f>
        <v/>
      </c>
      <c r="P989" s="4" t="str">
        <f>IFERROR(__xludf.DUMMYFUNCTION("""COMPUTED_VALUE"""),"")</f>
        <v/>
      </c>
      <c r="Q989" s="4" t="str">
        <f>IFERROR(__xludf.DUMMYFUNCTION("""COMPUTED_VALUE"""),"")</f>
        <v/>
      </c>
      <c r="R989" s="4" t="str">
        <f>IFERROR(__xludf.DUMMYFUNCTION("""COMPUTED_VALUE"""),"")</f>
        <v/>
      </c>
      <c r="S989" s="4" t="str">
        <f>IFERROR(__xludf.DUMMYFUNCTION("""COMPUTED_VALUE"""),"")</f>
        <v/>
      </c>
      <c r="T989" s="4" t="str">
        <f>IFERROR(__xludf.DUMMYFUNCTION("""COMPUTED_VALUE"""),"")</f>
        <v/>
      </c>
      <c r="U989" s="4" t="str">
        <f>IFERROR(__xludf.DUMMYFUNCTION("""COMPUTED_VALUE"""),"")</f>
        <v/>
      </c>
      <c r="V989" s="4" t="str">
        <f>IFERROR(__xludf.DUMMYFUNCTION("""COMPUTED_VALUE"""),"")</f>
        <v/>
      </c>
      <c r="W989" s="4" t="str">
        <f>IFERROR(__xludf.DUMMYFUNCTION("""COMPUTED_VALUE"""),"")</f>
        <v/>
      </c>
      <c r="X989" s="4" t="str">
        <f>IFERROR(__xludf.DUMMYFUNCTION("""COMPUTED_VALUE"""),"")</f>
        <v/>
      </c>
      <c r="Y989" s="4" t="str">
        <f>IFERROR(__xludf.DUMMYFUNCTION("""COMPUTED_VALUE"""),"")</f>
        <v/>
      </c>
    </row>
    <row r="990">
      <c r="A990" s="4" t="str">
        <f>IFERROR(__xludf.DUMMYFUNCTION("""COMPUTED_VALUE"""),"1120 - Channel")</f>
        <v>1120 - Channel</v>
      </c>
      <c r="B990" s="4" t="str">
        <f>IFERROR(__xludf.DUMMYFUNCTION("""COMPUTED_VALUE"""),"Channel 3")</f>
        <v>Channel 3</v>
      </c>
      <c r="C990" s="4" t="str">
        <f>IFERROR(__xludf.DUMMYFUNCTION("""COMPUTED_VALUE"""),"Day 3 - 25/06")</f>
        <v>Day 3 - 25/06</v>
      </c>
      <c r="D990" s="4" t="str">
        <f>IFERROR(__xludf.DUMMYFUNCTION("""COMPUTED_VALUE"""),"")</f>
        <v/>
      </c>
      <c r="E990" s="4" t="str">
        <f>IFERROR(__xludf.DUMMYFUNCTION("""COMPUTED_VALUE"""),"")</f>
        <v/>
      </c>
      <c r="F990" s="4" t="str">
        <f>IFERROR(__xludf.DUMMYFUNCTION("""COMPUTED_VALUE"""),"")</f>
        <v/>
      </c>
      <c r="G990" s="4" t="str">
        <f>IFERROR(__xludf.DUMMYFUNCTION("""COMPUTED_VALUE"""),"")</f>
        <v/>
      </c>
      <c r="H990" s="4" t="str">
        <f>IFERROR(__xludf.DUMMYFUNCTION("""COMPUTED_VALUE"""),"")</f>
        <v/>
      </c>
      <c r="I990" s="4" t="str">
        <f>IFERROR(__xludf.DUMMYFUNCTION("""COMPUTED_VALUE"""),"")</f>
        <v/>
      </c>
      <c r="J990" s="4" t="str">
        <f>IFERROR(__xludf.DUMMYFUNCTION("""COMPUTED_VALUE"""),"")</f>
        <v/>
      </c>
      <c r="K990" s="4" t="str">
        <f>IFERROR(__xludf.DUMMYFUNCTION("""COMPUTED_VALUE"""),"")</f>
        <v/>
      </c>
      <c r="L990" s="4" t="str">
        <f>IFERROR(__xludf.DUMMYFUNCTION("""COMPUTED_VALUE"""),"")</f>
        <v/>
      </c>
      <c r="M990" s="4" t="str">
        <f>IFERROR(__xludf.DUMMYFUNCTION("""COMPUTED_VALUE"""),"")</f>
        <v/>
      </c>
      <c r="N990" s="4" t="str">
        <f>IFERROR(__xludf.DUMMYFUNCTION("""COMPUTED_VALUE"""),"")</f>
        <v/>
      </c>
      <c r="O990" s="4" t="str">
        <f>IFERROR(__xludf.DUMMYFUNCTION("""COMPUTED_VALUE"""),"")</f>
        <v/>
      </c>
      <c r="P990" s="4" t="str">
        <f>IFERROR(__xludf.DUMMYFUNCTION("""COMPUTED_VALUE"""),"")</f>
        <v/>
      </c>
      <c r="Q990" s="4" t="str">
        <f>IFERROR(__xludf.DUMMYFUNCTION("""COMPUTED_VALUE"""),"")</f>
        <v/>
      </c>
      <c r="R990" s="4" t="str">
        <f>IFERROR(__xludf.DUMMYFUNCTION("""COMPUTED_VALUE"""),"")</f>
        <v/>
      </c>
      <c r="S990" s="4" t="str">
        <f>IFERROR(__xludf.DUMMYFUNCTION("""COMPUTED_VALUE"""),"")</f>
        <v/>
      </c>
      <c r="T990" s="4" t="str">
        <f>IFERROR(__xludf.DUMMYFUNCTION("""COMPUTED_VALUE"""),"")</f>
        <v/>
      </c>
      <c r="U990" s="4" t="str">
        <f>IFERROR(__xludf.DUMMYFUNCTION("""COMPUTED_VALUE"""),"")</f>
        <v/>
      </c>
      <c r="V990" s="4" t="str">
        <f>IFERROR(__xludf.DUMMYFUNCTION("""COMPUTED_VALUE"""),"")</f>
        <v/>
      </c>
      <c r="W990" s="4" t="str">
        <f>IFERROR(__xludf.DUMMYFUNCTION("""COMPUTED_VALUE"""),"")</f>
        <v/>
      </c>
      <c r="X990" s="4" t="str">
        <f>IFERROR(__xludf.DUMMYFUNCTION("""COMPUTED_VALUE"""),"")</f>
        <v/>
      </c>
      <c r="Y990" s="4" t="str">
        <f>IFERROR(__xludf.DUMMYFUNCTION("""COMPUTED_VALUE"""),"")</f>
        <v/>
      </c>
    </row>
    <row r="991">
      <c r="A991" s="4" t="str">
        <f>IFERROR(__xludf.DUMMYFUNCTION("""COMPUTED_VALUE"""),"1121 - Channel")</f>
        <v>1121 - Channel</v>
      </c>
      <c r="B991" s="4" t="str">
        <f>IFERROR(__xludf.DUMMYFUNCTION("""COMPUTED_VALUE"""),"CHANNEL 4")</f>
        <v>CHANNEL 4</v>
      </c>
      <c r="C991" s="4" t="str">
        <f>IFERROR(__xludf.DUMMYFUNCTION("""COMPUTED_VALUE"""),"")</f>
        <v/>
      </c>
      <c r="D991" s="4" t="str">
        <f>IFERROR(__xludf.DUMMYFUNCTION("""COMPUTED_VALUE"""),"")</f>
        <v/>
      </c>
      <c r="E991" s="4" t="str">
        <f>IFERROR(__xludf.DUMMYFUNCTION("""COMPUTED_VALUE"""),"")</f>
        <v/>
      </c>
      <c r="F991" s="4" t="str">
        <f>IFERROR(__xludf.DUMMYFUNCTION("""COMPUTED_VALUE"""),"")</f>
        <v/>
      </c>
      <c r="G991" s="4" t="str">
        <f>IFERROR(__xludf.DUMMYFUNCTION("""COMPUTED_VALUE"""),"")</f>
        <v/>
      </c>
      <c r="H991" s="4" t="str">
        <f>IFERROR(__xludf.DUMMYFUNCTION("""COMPUTED_VALUE"""),"")</f>
        <v/>
      </c>
      <c r="I991" s="4" t="str">
        <f>IFERROR(__xludf.DUMMYFUNCTION("""COMPUTED_VALUE"""),"")</f>
        <v/>
      </c>
      <c r="J991" s="4" t="str">
        <f>IFERROR(__xludf.DUMMYFUNCTION("""COMPUTED_VALUE"""),"")</f>
        <v/>
      </c>
      <c r="K991" s="4" t="str">
        <f>IFERROR(__xludf.DUMMYFUNCTION("""COMPUTED_VALUE"""),"")</f>
        <v/>
      </c>
      <c r="L991" s="4" t="str">
        <f>IFERROR(__xludf.DUMMYFUNCTION("""COMPUTED_VALUE"""),"")</f>
        <v/>
      </c>
      <c r="M991" s="4" t="str">
        <f>IFERROR(__xludf.DUMMYFUNCTION("""COMPUTED_VALUE"""),"")</f>
        <v/>
      </c>
      <c r="N991" s="4" t="str">
        <f>IFERROR(__xludf.DUMMYFUNCTION("""COMPUTED_VALUE"""),"")</f>
        <v/>
      </c>
      <c r="O991" s="4" t="str">
        <f>IFERROR(__xludf.DUMMYFUNCTION("""COMPUTED_VALUE"""),"")</f>
        <v/>
      </c>
      <c r="P991" s="4" t="str">
        <f>IFERROR(__xludf.DUMMYFUNCTION("""COMPUTED_VALUE"""),"")</f>
        <v/>
      </c>
      <c r="Q991" s="4" t="str">
        <f>IFERROR(__xludf.DUMMYFUNCTION("""COMPUTED_VALUE"""),"")</f>
        <v/>
      </c>
      <c r="R991" s="4" t="str">
        <f>IFERROR(__xludf.DUMMYFUNCTION("""COMPUTED_VALUE"""),"")</f>
        <v/>
      </c>
      <c r="S991" s="4" t="str">
        <f>IFERROR(__xludf.DUMMYFUNCTION("""COMPUTED_VALUE"""),"")</f>
        <v/>
      </c>
      <c r="T991" s="4" t="str">
        <f>IFERROR(__xludf.DUMMYFUNCTION("""COMPUTED_VALUE"""),"")</f>
        <v/>
      </c>
      <c r="U991" s="4" t="str">
        <f>IFERROR(__xludf.DUMMYFUNCTION("""COMPUTED_VALUE"""),"")</f>
        <v/>
      </c>
      <c r="V991" s="4" t="str">
        <f>IFERROR(__xludf.DUMMYFUNCTION("""COMPUTED_VALUE"""),"")</f>
        <v/>
      </c>
      <c r="W991" s="4" t="str">
        <f>IFERROR(__xludf.DUMMYFUNCTION("""COMPUTED_VALUE"""),"")</f>
        <v/>
      </c>
      <c r="X991" s="4" t="str">
        <f>IFERROR(__xludf.DUMMYFUNCTION("""COMPUTED_VALUE"""),"")</f>
        <v/>
      </c>
      <c r="Y991" s="4" t="str">
        <f>IFERROR(__xludf.DUMMYFUNCTION("""COMPUTED_VALUE"""),"")</f>
        <v/>
      </c>
    </row>
    <row r="992">
      <c r="A992" s="4" t="str">
        <f>IFERROR(__xludf.DUMMYFUNCTION("""COMPUTED_VALUE"""),"1122 - Channel")</f>
        <v>1122 - Channel</v>
      </c>
      <c r="B992" s="4" t="str">
        <f>IFERROR(__xludf.DUMMYFUNCTION("""COMPUTED_VALUE"""),"DAY 1 - Tuesday, 23 June")</f>
        <v>DAY 1 - Tuesday, 23 June</v>
      </c>
      <c r="C992" s="4" t="str">
        <f>IFERROR(__xludf.DUMMYFUNCTION("""COMPUTED_VALUE"""),"")</f>
        <v/>
      </c>
      <c r="D992" s="4" t="str">
        <f>IFERROR(__xludf.DUMMYFUNCTION("""COMPUTED_VALUE"""),"")</f>
        <v/>
      </c>
      <c r="E992" s="4" t="str">
        <f>IFERROR(__xludf.DUMMYFUNCTION("""COMPUTED_VALUE"""),"")</f>
        <v/>
      </c>
      <c r="F992" s="4" t="str">
        <f>IFERROR(__xludf.DUMMYFUNCTION("""COMPUTED_VALUE"""),"")</f>
        <v/>
      </c>
      <c r="G992" s="4" t="str">
        <f>IFERROR(__xludf.DUMMYFUNCTION("""COMPUTED_VALUE"""),"")</f>
        <v/>
      </c>
      <c r="H992" s="4" t="str">
        <f>IFERROR(__xludf.DUMMYFUNCTION("""COMPUTED_VALUE"""),"")</f>
        <v/>
      </c>
      <c r="I992" s="4" t="str">
        <f>IFERROR(__xludf.DUMMYFUNCTION("""COMPUTED_VALUE"""),"")</f>
        <v/>
      </c>
      <c r="J992" s="4" t="str">
        <f>IFERROR(__xludf.DUMMYFUNCTION("""COMPUTED_VALUE"""),"")</f>
        <v/>
      </c>
      <c r="K992" s="4" t="str">
        <f>IFERROR(__xludf.DUMMYFUNCTION("""COMPUTED_VALUE"""),"")</f>
        <v/>
      </c>
      <c r="L992" s="4" t="str">
        <f>IFERROR(__xludf.DUMMYFUNCTION("""COMPUTED_VALUE"""),"")</f>
        <v/>
      </c>
      <c r="M992" s="4" t="str">
        <f>IFERROR(__xludf.DUMMYFUNCTION("""COMPUTED_VALUE"""),"")</f>
        <v/>
      </c>
      <c r="N992" s="4" t="str">
        <f>IFERROR(__xludf.DUMMYFUNCTION("""COMPUTED_VALUE"""),"")</f>
        <v/>
      </c>
      <c r="O992" s="4" t="str">
        <f>IFERROR(__xludf.DUMMYFUNCTION("""COMPUTED_VALUE"""),"")</f>
        <v/>
      </c>
      <c r="P992" s="4" t="str">
        <f>IFERROR(__xludf.DUMMYFUNCTION("""COMPUTED_VALUE"""),"")</f>
        <v/>
      </c>
      <c r="Q992" s="4" t="str">
        <f>IFERROR(__xludf.DUMMYFUNCTION("""COMPUTED_VALUE"""),"")</f>
        <v/>
      </c>
      <c r="R992" s="4" t="str">
        <f>IFERROR(__xludf.DUMMYFUNCTION("""COMPUTED_VALUE"""),"")</f>
        <v/>
      </c>
      <c r="S992" s="4" t="str">
        <f>IFERROR(__xludf.DUMMYFUNCTION("""COMPUTED_VALUE"""),"")</f>
        <v/>
      </c>
      <c r="T992" s="4" t="str">
        <f>IFERROR(__xludf.DUMMYFUNCTION("""COMPUTED_VALUE"""),"")</f>
        <v/>
      </c>
      <c r="U992" s="4" t="str">
        <f>IFERROR(__xludf.DUMMYFUNCTION("""COMPUTED_VALUE"""),"")</f>
        <v/>
      </c>
      <c r="V992" s="4" t="str">
        <f>IFERROR(__xludf.DUMMYFUNCTION("""COMPUTED_VALUE"""),"")</f>
        <v/>
      </c>
      <c r="W992" s="4" t="str">
        <f>IFERROR(__xludf.DUMMYFUNCTION("""COMPUTED_VALUE"""),"")</f>
        <v/>
      </c>
      <c r="X992" s="4" t="str">
        <f>IFERROR(__xludf.DUMMYFUNCTION("""COMPUTED_VALUE"""),"")</f>
        <v/>
      </c>
      <c r="Y992" s="4" t="str">
        <f>IFERROR(__xludf.DUMMYFUNCTION("""COMPUTED_VALUE"""),"")</f>
        <v/>
      </c>
    </row>
    <row r="993">
      <c r="A993" s="4" t="str">
        <f>IFERROR(__xludf.DUMMYFUNCTION("""COMPUTED_VALUE"""),"1123 - Channel")</f>
        <v>1123 - Channel</v>
      </c>
      <c r="B993" s="4" t="str">
        <f>IFERROR(__xludf.DUMMYFUNCTION("""COMPUTED_VALUE"""),"Channel 4")</f>
        <v>Channel 4</v>
      </c>
      <c r="C993" s="4" t="str">
        <f>IFERROR(__xludf.DUMMYFUNCTION("""COMPUTED_VALUE"""),"Day 1 - 23/06")</f>
        <v>Day 1 - 23/06</v>
      </c>
      <c r="D993" s="6">
        <f>IFERROR(__xludf.DUMMYFUNCTION("""COMPUTED_VALUE"""),0.4166666666666667)</f>
        <v>0.4166666667</v>
      </c>
      <c r="E993" s="6">
        <f>IFERROR(__xludf.DUMMYFUNCTION("""COMPUTED_VALUE"""),0.001388888888888889)</f>
        <v>0.001388888889</v>
      </c>
      <c r="F993" s="6">
        <f>IFERROR(__xludf.DUMMYFUNCTION("""COMPUTED_VALUE"""),0.41805555555555557)</f>
        <v>0.4180555556</v>
      </c>
      <c r="G993" s="4" t="str">
        <f>IFERROR(__xludf.DUMMYFUNCTION("""COMPUTED_VALUE"""),"")</f>
        <v/>
      </c>
      <c r="H993" s="4" t="str">
        <f>IFERROR(__xludf.DUMMYFUNCTION("""COMPUTED_VALUE"""),"")</f>
        <v/>
      </c>
      <c r="I993" s="4" t="str">
        <f>IFERROR(__xludf.DUMMYFUNCTION("""COMPUTED_VALUE"""),"")</f>
        <v/>
      </c>
      <c r="J993" s="4" t="str">
        <f>IFERROR(__xludf.DUMMYFUNCTION("""COMPUTED_VALUE"""),"")</f>
        <v/>
      </c>
      <c r="K993" s="4" t="str">
        <f>IFERROR(__xludf.DUMMYFUNCTION("""COMPUTED_VALUE"""),"Web Summit Trailer - full")</f>
        <v>Web Summit Trailer - full</v>
      </c>
      <c r="L993" s="4" t="str">
        <f>IFERROR(__xludf.DUMMYFUNCTION("""COMPUTED_VALUE"""),"")</f>
        <v/>
      </c>
      <c r="M993" s="4" t="str">
        <f>IFERROR(__xludf.DUMMYFUNCTION("""COMPUTED_VALUE"""),"Collision From Home Promo")</f>
        <v>Collision From Home Promo</v>
      </c>
      <c r="N993" s="4" t="str">
        <f>IFERROR(__xludf.DUMMYFUNCTION("""COMPUTED_VALUE"""),"")</f>
        <v/>
      </c>
      <c r="O993" s="4" t="str">
        <f>IFERROR(__xludf.DUMMYFUNCTION("""COMPUTED_VALUE"""),"")</f>
        <v/>
      </c>
      <c r="P993" s="4" t="str">
        <f>IFERROR(__xludf.DUMMYFUNCTION("""COMPUTED_VALUE"""),"")</f>
        <v/>
      </c>
      <c r="Q993" s="4" t="str">
        <f>IFERROR(__xludf.DUMMYFUNCTION("""COMPUTED_VALUE"""),"")</f>
        <v/>
      </c>
      <c r="R993" s="4" t="str">
        <f>IFERROR(__xludf.DUMMYFUNCTION("""COMPUTED_VALUE"""),"")</f>
        <v/>
      </c>
      <c r="S993" s="4" t="str">
        <f>IFERROR(__xludf.DUMMYFUNCTION("""COMPUTED_VALUE"""),"")</f>
        <v/>
      </c>
      <c r="T993" s="4" t="str">
        <f>IFERROR(__xludf.DUMMYFUNCTION("""COMPUTED_VALUE"""),"")</f>
        <v/>
      </c>
      <c r="U993" s="4" t="str">
        <f>IFERROR(__xludf.DUMMYFUNCTION("""COMPUTED_VALUE"""),"")</f>
        <v/>
      </c>
      <c r="V993" s="4" t="str">
        <f>IFERROR(__xludf.DUMMYFUNCTION("""COMPUTED_VALUE"""),"")</f>
        <v/>
      </c>
      <c r="W993" s="4" t="str">
        <f>IFERROR(__xludf.DUMMYFUNCTION("""COMPUTED_VALUE"""),"")</f>
        <v/>
      </c>
      <c r="X993" s="4" t="str">
        <f>IFERROR(__xludf.DUMMYFUNCTION("""COMPUTED_VALUE"""),"")</f>
        <v/>
      </c>
      <c r="Y993" s="4" t="str">
        <f>IFERROR(__xludf.DUMMYFUNCTION("""COMPUTED_VALUE"""),"")</f>
        <v/>
      </c>
    </row>
    <row r="994">
      <c r="A994" s="4" t="str">
        <f>IFERROR(__xludf.DUMMYFUNCTION("""COMPUTED_VALUE"""),"1175 - Channel")</f>
        <v>1175 - Channel</v>
      </c>
      <c r="B994" s="4" t="str">
        <f>IFERROR(__xludf.DUMMYFUNCTION("""COMPUTED_VALUE"""),"Channel 4")</f>
        <v>Channel 4</v>
      </c>
      <c r="C994" s="4" t="str">
        <f>IFERROR(__xludf.DUMMYFUNCTION("""COMPUTED_VALUE"""),"Day 1 - 23/06")</f>
        <v>Day 1 - 23/06</v>
      </c>
      <c r="D994" s="6">
        <f>IFERROR(__xludf.DUMMYFUNCTION("""COMPUTED_VALUE"""),0.41805555555555557)</f>
        <v>0.4180555556</v>
      </c>
      <c r="E994" s="6">
        <f>IFERROR(__xludf.DUMMYFUNCTION("""COMPUTED_VALUE"""),3.4722222222222224E-4)</f>
        <v>0.0003472222222</v>
      </c>
      <c r="F994" s="6">
        <f>IFERROR(__xludf.DUMMYFUNCTION("""COMPUTED_VALUE"""),0.4184027777777778)</f>
        <v>0.4184027778</v>
      </c>
      <c r="G994" s="4" t="str">
        <f>IFERROR(__xludf.DUMMYFUNCTION("""COMPUTED_VALUE"""),"")</f>
        <v/>
      </c>
      <c r="H994" s="4" t="str">
        <f>IFERROR(__xludf.DUMMYFUNCTION("""COMPUTED_VALUE"""),"")</f>
        <v/>
      </c>
      <c r="I994" s="4" t="str">
        <f>IFERROR(__xludf.DUMMYFUNCTION("""COMPUTED_VALUE"""),"")</f>
        <v/>
      </c>
      <c r="J994" s="4" t="str">
        <f>IFERROR(__xludf.DUMMYFUNCTION("""COMPUTED_VALUE"""),"")</f>
        <v/>
      </c>
      <c r="K994" s="4" t="str">
        <f>IFERROR(__xludf.DUMMYFUNCTION("""COMPUTED_VALUE"""),"Talk Intro")</f>
        <v>Talk Intro</v>
      </c>
      <c r="L994" s="4" t="str">
        <f>IFERROR(__xludf.DUMMYFUNCTION("""COMPUTED_VALUE"""),"")</f>
        <v/>
      </c>
      <c r="M994" s="4" t="str">
        <f>IFERROR(__xludf.DUMMYFUNCTION("""COMPUTED_VALUE"""),"MC Intro")</f>
        <v>MC Intro</v>
      </c>
      <c r="N994" s="4" t="str">
        <f>IFERROR(__xludf.DUMMYFUNCTION("""COMPUTED_VALUE"""),"")</f>
        <v/>
      </c>
      <c r="O994" s="4" t="str">
        <f>IFERROR(__xludf.DUMMYFUNCTION("""COMPUTED_VALUE"""),"")</f>
        <v/>
      </c>
      <c r="P994" s="4" t="str">
        <f>IFERROR(__xludf.DUMMYFUNCTION("""COMPUTED_VALUE"""),"")</f>
        <v/>
      </c>
      <c r="Q994" s="4" t="str">
        <f>IFERROR(__xludf.DUMMYFUNCTION("""COMPUTED_VALUE"""),"")</f>
        <v/>
      </c>
      <c r="R994" s="4" t="str">
        <f>IFERROR(__xludf.DUMMYFUNCTION("""COMPUTED_VALUE"""),"")</f>
        <v/>
      </c>
      <c r="S994" s="4" t="str">
        <f>IFERROR(__xludf.DUMMYFUNCTION("""COMPUTED_VALUE"""),"")</f>
        <v/>
      </c>
      <c r="T994" s="4" t="str">
        <f>IFERROR(__xludf.DUMMYFUNCTION("""COMPUTED_VALUE"""),"")</f>
        <v/>
      </c>
      <c r="U994" s="4" t="str">
        <f>IFERROR(__xludf.DUMMYFUNCTION("""COMPUTED_VALUE"""),"")</f>
        <v/>
      </c>
      <c r="V994" s="4" t="str">
        <f>IFERROR(__xludf.DUMMYFUNCTION("""COMPUTED_VALUE"""),"")</f>
        <v/>
      </c>
      <c r="W994" s="4" t="str">
        <f>IFERROR(__xludf.DUMMYFUNCTION("""COMPUTED_VALUE"""),"")</f>
        <v/>
      </c>
      <c r="X994" s="4" t="str">
        <f>IFERROR(__xludf.DUMMYFUNCTION("""COMPUTED_VALUE"""),"")</f>
        <v/>
      </c>
      <c r="Y994" s="4" t="str">
        <f>IFERROR(__xludf.DUMMYFUNCTION("""COMPUTED_VALUE"""),"")</f>
        <v/>
      </c>
    </row>
    <row r="995">
      <c r="A995" s="4" t="str">
        <f>IFERROR(__xludf.DUMMYFUNCTION("""COMPUTED_VALUE"""),"1176 - Channel")</f>
        <v>1176 - Channel</v>
      </c>
      <c r="B995" s="4" t="str">
        <f>IFERROR(__xludf.DUMMYFUNCTION("""COMPUTED_VALUE"""),"Channel 4")</f>
        <v>Channel 4</v>
      </c>
      <c r="C995" s="4" t="str">
        <f>IFERROR(__xludf.DUMMYFUNCTION("""COMPUTED_VALUE"""),"Day 1 - 23/06")</f>
        <v>Day 1 - 23/06</v>
      </c>
      <c r="D995" s="6">
        <f>IFERROR(__xludf.DUMMYFUNCTION("""COMPUTED_VALUE"""),0.4184027777777778)</f>
        <v>0.4184027778</v>
      </c>
      <c r="E995" s="6">
        <f>IFERROR(__xludf.DUMMYFUNCTION("""COMPUTED_VALUE"""),0.03280092592592593)</f>
        <v>0.03280092593</v>
      </c>
      <c r="F995" s="6">
        <f>IFERROR(__xludf.DUMMYFUNCTION("""COMPUTED_VALUE"""),0.4512037037037037)</f>
        <v>0.4512037037</v>
      </c>
      <c r="G995" s="4" t="str">
        <f>IFERROR(__xludf.DUMMYFUNCTION("""COMPUTED_VALUE"""),"Colm")</f>
        <v>Colm</v>
      </c>
      <c r="H995" s="4" t="str">
        <f>IFERROR(__xludf.DUMMYFUNCTION("""COMPUTED_VALUE"""),"Stephen")</f>
        <v>Stephen</v>
      </c>
      <c r="I995" s="4" t="str">
        <f>IFERROR(__xludf.DUMMYFUNCTION("""COMPUTED_VALUE"""),"Lucia H.")</f>
        <v>Lucia H.</v>
      </c>
      <c r="J995" s="4" t="str">
        <f>IFERROR(__xludf.DUMMYFUNCTION("""COMPUTED_VALUE"""),"")</f>
        <v/>
      </c>
      <c r="K995" s="4" t="str">
        <f>IFERROR(__xludf.DUMMYFUNCTION("""COMPUTED_VALUE"""),"Podcast")</f>
        <v>Podcast</v>
      </c>
      <c r="L995" s="4" t="str">
        <f>IFERROR(__xludf.DUMMYFUNCTION("""COMPUTED_VALUE"""),"T- 5 - 18/05/2020")</f>
        <v>T- 5 - 18/05/2020</v>
      </c>
      <c r="M995" s="4" t="str">
        <f>IFERROR(__xludf.DUMMYFUNCTION("""COMPUTED_VALUE"""),"In depth: John Chambers ")</f>
        <v>In depth: John Chambers </v>
      </c>
      <c r="N995" s="4" t="str">
        <f>IFERROR(__xludf.DUMMYFUNCTION("""COMPUTED_VALUE"""),"John Chambers, JC2 Ventures")</f>
        <v>John Chambers, JC2 Ventures</v>
      </c>
      <c r="O995" s="4" t="str">
        <f>IFERROR(__xludf.DUMMYFUNCTION("""COMPUTED_VALUE"""),"")</f>
        <v/>
      </c>
      <c r="P995" s="4" t="str">
        <f>IFERROR(__xludf.DUMMYFUNCTION("""COMPUTED_VALUE"""),"")</f>
        <v/>
      </c>
      <c r="Q995" s="4" t="str">
        <f>IFERROR(__xludf.DUMMYFUNCTION("""COMPUTED_VALUE"""),"")</f>
        <v/>
      </c>
      <c r="R995" s="4" t="str">
        <f>IFERROR(__xludf.DUMMYFUNCTION("""COMPUTED_VALUE"""),"Casey Lau, Web Summit")</f>
        <v>Casey Lau, Web Summit</v>
      </c>
      <c r="S995" s="4" t="str">
        <f>IFERROR(__xludf.DUMMYFUNCTION("""COMPUTED_VALUE"""),"John is the founder and CEO of JC2 Ventures, where he focuses on helping disruptive startups worldwide to build and scale, promoting broader development of startup innovation. He was formerly executive chairman at Cisco Systems. Here he is in conversation"&amp;" with Collision's Casey Lau.")</f>
        <v>John is the founder and CEO of JC2 Ventures, where he focuses on helping disruptive startups worldwide to build and scale, promoting broader development of startup innovation. He was formerly executive chairman at Cisco Systems. Here he is in conversation with Collision's Casey Lau.</v>
      </c>
      <c r="T995" s="4" t="str">
        <f>IFERROR(__xludf.DUMMYFUNCTION("""COMPUTED_VALUE"""),"NON-KEYNOTE 9 - COMPLETE")</f>
        <v>NON-KEYNOTE 9 - COMPLETE</v>
      </c>
      <c r="U995" s="23">
        <f>IFERROR(__xludf.DUMMYFUNCTION("""COMPUTED_VALUE"""),43969.0)</f>
        <v>43969</v>
      </c>
      <c r="V995" s="24">
        <f>IFERROR(__xludf.DUMMYFUNCTION("""COMPUTED_VALUE"""),0.75)</f>
        <v>0.75</v>
      </c>
      <c r="W995" s="4" t="str">
        <f>IFERROR(__xludf.DUMMYFUNCTION("""COMPUTED_VALUE"""),"COMPLETE")</f>
        <v>COMPLETE</v>
      </c>
      <c r="X995" s="4" t="str">
        <f>IFERROR(__xludf.DUMMYFUNCTION("""COMPUTED_VALUE"""),"Colm")</f>
        <v>Colm</v>
      </c>
      <c r="Y995" s="4" t="str">
        <f>IFERROR(__xludf.DUMMYFUNCTION("""COMPUTED_VALUE"""),"")</f>
        <v/>
      </c>
    </row>
    <row r="996">
      <c r="A996" s="4" t="str">
        <f>IFERROR(__xludf.DUMMYFUNCTION("""COMPUTED_VALUE"""),"1177 - Channel")</f>
        <v>1177 - Channel</v>
      </c>
      <c r="B996" s="4" t="str">
        <f>IFERROR(__xludf.DUMMYFUNCTION("""COMPUTED_VALUE"""),"Channel 4")</f>
        <v>Channel 4</v>
      </c>
      <c r="C996" s="4" t="str">
        <f>IFERROR(__xludf.DUMMYFUNCTION("""COMPUTED_VALUE"""),"Day 1 - 23/06")</f>
        <v>Day 1 - 23/06</v>
      </c>
      <c r="D996" s="6">
        <f>IFERROR(__xludf.DUMMYFUNCTION("""COMPUTED_VALUE"""),0.4512037037037037)</f>
        <v>0.4512037037</v>
      </c>
      <c r="E996" s="6">
        <f>IFERROR(__xludf.DUMMYFUNCTION("""COMPUTED_VALUE"""),0.0012037037037037038)</f>
        <v>0.001203703704</v>
      </c>
      <c r="F996" s="6">
        <f>IFERROR(__xludf.DUMMYFUNCTION("""COMPUTED_VALUE"""),0.4524074074074074)</f>
        <v>0.4524074074</v>
      </c>
      <c r="G996" s="4" t="str">
        <f>IFERROR(__xludf.DUMMYFUNCTION("""COMPUTED_VALUE"""),"")</f>
        <v/>
      </c>
      <c r="H996" s="4" t="str">
        <f>IFERROR(__xludf.DUMMYFUNCTION("""COMPUTED_VALUE"""),"")</f>
        <v/>
      </c>
      <c r="I996" s="4" t="str">
        <f>IFERROR(__xludf.DUMMYFUNCTION("""COMPUTED_VALUE"""),"")</f>
        <v/>
      </c>
      <c r="J996" s="4" t="str">
        <f>IFERROR(__xludf.DUMMYFUNCTION("""COMPUTED_VALUE"""),"")</f>
        <v/>
      </c>
      <c r="K996" s="4" t="str">
        <f>IFERROR(__xludf.DUMMYFUNCTION("""COMPUTED_VALUE"""),"Web Summit Trailer - full")</f>
        <v>Web Summit Trailer - full</v>
      </c>
      <c r="L996" s="4" t="str">
        <f>IFERROR(__xludf.DUMMYFUNCTION("""COMPUTED_VALUE"""),"")</f>
        <v/>
      </c>
      <c r="M996" s="4" t="str">
        <f>IFERROR(__xludf.DUMMYFUNCTION("""COMPUTED_VALUE"""),"Collision From Home Promo")</f>
        <v>Collision From Home Promo</v>
      </c>
      <c r="N996" s="4" t="str">
        <f>IFERROR(__xludf.DUMMYFUNCTION("""COMPUTED_VALUE"""),"")</f>
        <v/>
      </c>
      <c r="O996" s="4" t="str">
        <f>IFERROR(__xludf.DUMMYFUNCTION("""COMPUTED_VALUE"""),"")</f>
        <v/>
      </c>
      <c r="P996" s="4" t="str">
        <f>IFERROR(__xludf.DUMMYFUNCTION("""COMPUTED_VALUE"""),"")</f>
        <v/>
      </c>
      <c r="Q996" s="4" t="str">
        <f>IFERROR(__xludf.DUMMYFUNCTION("""COMPUTED_VALUE"""),"")</f>
        <v/>
      </c>
      <c r="R996" s="4" t="str">
        <f>IFERROR(__xludf.DUMMYFUNCTION("""COMPUTED_VALUE"""),"")</f>
        <v/>
      </c>
      <c r="S996" s="4" t="str">
        <f>IFERROR(__xludf.DUMMYFUNCTION("""COMPUTED_VALUE"""),"")</f>
        <v/>
      </c>
      <c r="T996" s="4" t="str">
        <f>IFERROR(__xludf.DUMMYFUNCTION("""COMPUTED_VALUE"""),"")</f>
        <v/>
      </c>
      <c r="U996" s="4" t="str">
        <f>IFERROR(__xludf.DUMMYFUNCTION("""COMPUTED_VALUE"""),"")</f>
        <v/>
      </c>
      <c r="V996" s="4" t="str">
        <f>IFERROR(__xludf.DUMMYFUNCTION("""COMPUTED_VALUE"""),"")</f>
        <v/>
      </c>
      <c r="W996" s="4" t="str">
        <f>IFERROR(__xludf.DUMMYFUNCTION("""COMPUTED_VALUE"""),"")</f>
        <v/>
      </c>
      <c r="X996" s="4" t="str">
        <f>IFERROR(__xludf.DUMMYFUNCTION("""COMPUTED_VALUE"""),"")</f>
        <v/>
      </c>
      <c r="Y996" s="4" t="str">
        <f>IFERROR(__xludf.DUMMYFUNCTION("""COMPUTED_VALUE"""),"")</f>
        <v/>
      </c>
    </row>
    <row r="997">
      <c r="A997" s="4" t="str">
        <f>IFERROR(__xludf.DUMMYFUNCTION("""COMPUTED_VALUE"""),"1145 - Channel")</f>
        <v>1145 - Channel</v>
      </c>
      <c r="B997" s="4" t="str">
        <f>IFERROR(__xludf.DUMMYFUNCTION("""COMPUTED_VALUE"""),"Channel 4")</f>
        <v>Channel 4</v>
      </c>
      <c r="C997" s="4" t="str">
        <f>IFERROR(__xludf.DUMMYFUNCTION("""COMPUTED_VALUE"""),"Day 1 - 23/06")</f>
        <v>Day 1 - 23/06</v>
      </c>
      <c r="D997" s="6">
        <f>IFERROR(__xludf.DUMMYFUNCTION("""COMPUTED_VALUE"""),0.4524074074074074)</f>
        <v>0.4524074074</v>
      </c>
      <c r="E997" s="6">
        <f>IFERROR(__xludf.DUMMYFUNCTION("""COMPUTED_VALUE"""),3.4722222222222224E-4)</f>
        <v>0.0003472222222</v>
      </c>
      <c r="F997" s="6">
        <f>IFERROR(__xludf.DUMMYFUNCTION("""COMPUTED_VALUE"""),0.45275462962962965)</f>
        <v>0.4527546296</v>
      </c>
      <c r="G997" s="4" t="str">
        <f>IFERROR(__xludf.DUMMYFUNCTION("""COMPUTED_VALUE"""),"")</f>
        <v/>
      </c>
      <c r="H997" s="4" t="str">
        <f>IFERROR(__xludf.DUMMYFUNCTION("""COMPUTED_VALUE"""),"")</f>
        <v/>
      </c>
      <c r="I997" s="4" t="str">
        <f>IFERROR(__xludf.DUMMYFUNCTION("""COMPUTED_VALUE"""),"")</f>
        <v/>
      </c>
      <c r="J997" s="4" t="str">
        <f>IFERROR(__xludf.DUMMYFUNCTION("""COMPUTED_VALUE"""),"")</f>
        <v/>
      </c>
      <c r="K997" s="4" t="str">
        <f>IFERROR(__xludf.DUMMYFUNCTION("""COMPUTED_VALUE"""),"Talk Intro")</f>
        <v>Talk Intro</v>
      </c>
      <c r="L997" s="4" t="str">
        <f>IFERROR(__xludf.DUMMYFUNCTION("""COMPUTED_VALUE"""),"")</f>
        <v/>
      </c>
      <c r="M997" s="4" t="str">
        <f>IFERROR(__xludf.DUMMYFUNCTION("""COMPUTED_VALUE"""),"MC Intro")</f>
        <v>MC Intro</v>
      </c>
      <c r="N997" s="4" t="str">
        <f>IFERROR(__xludf.DUMMYFUNCTION("""COMPUTED_VALUE"""),"")</f>
        <v/>
      </c>
      <c r="O997" s="4" t="str">
        <f>IFERROR(__xludf.DUMMYFUNCTION("""COMPUTED_VALUE"""),"")</f>
        <v/>
      </c>
      <c r="P997" s="4" t="str">
        <f>IFERROR(__xludf.DUMMYFUNCTION("""COMPUTED_VALUE"""),"")</f>
        <v/>
      </c>
      <c r="Q997" s="4" t="str">
        <f>IFERROR(__xludf.DUMMYFUNCTION("""COMPUTED_VALUE"""),"")</f>
        <v/>
      </c>
      <c r="R997" s="4" t="str">
        <f>IFERROR(__xludf.DUMMYFUNCTION("""COMPUTED_VALUE"""),"")</f>
        <v/>
      </c>
      <c r="S997" s="4" t="str">
        <f>IFERROR(__xludf.DUMMYFUNCTION("""COMPUTED_VALUE"""),"")</f>
        <v/>
      </c>
      <c r="T997" s="4" t="str">
        <f>IFERROR(__xludf.DUMMYFUNCTION("""COMPUTED_VALUE"""),"")</f>
        <v/>
      </c>
      <c r="U997" s="4" t="str">
        <f>IFERROR(__xludf.DUMMYFUNCTION("""COMPUTED_VALUE"""),"")</f>
        <v/>
      </c>
      <c r="V997" s="4" t="str">
        <f>IFERROR(__xludf.DUMMYFUNCTION("""COMPUTED_VALUE"""),"")</f>
        <v/>
      </c>
      <c r="W997" s="4" t="str">
        <f>IFERROR(__xludf.DUMMYFUNCTION("""COMPUTED_VALUE"""),"")</f>
        <v/>
      </c>
      <c r="X997" s="4" t="str">
        <f>IFERROR(__xludf.DUMMYFUNCTION("""COMPUTED_VALUE"""),"")</f>
        <v/>
      </c>
      <c r="Y997" s="4" t="str">
        <f>IFERROR(__xludf.DUMMYFUNCTION("""COMPUTED_VALUE"""),"")</f>
        <v/>
      </c>
    </row>
    <row r="998">
      <c r="A998" s="4" t="str">
        <f>IFERROR(__xludf.DUMMYFUNCTION("""COMPUTED_VALUE"""),"1146 - Channel")</f>
        <v>1146 - Channel</v>
      </c>
      <c r="B998" s="4" t="str">
        <f>IFERROR(__xludf.DUMMYFUNCTION("""COMPUTED_VALUE"""),"Channel 4")</f>
        <v>Channel 4</v>
      </c>
      <c r="C998" s="4" t="str">
        <f>IFERROR(__xludf.DUMMYFUNCTION("""COMPUTED_VALUE"""),"Day 1 - 23/06")</f>
        <v>Day 1 - 23/06</v>
      </c>
      <c r="D998" s="6">
        <f>IFERROR(__xludf.DUMMYFUNCTION("""COMPUTED_VALUE"""),0.45275462962962965)</f>
        <v>0.4527546296</v>
      </c>
      <c r="E998" s="6">
        <f>IFERROR(__xludf.DUMMYFUNCTION("""COMPUTED_VALUE"""),0.026319444444444444)</f>
        <v>0.02631944444</v>
      </c>
      <c r="F998" s="6">
        <f>IFERROR(__xludf.DUMMYFUNCTION("""COMPUTED_VALUE"""),0.4790740740740741)</f>
        <v>0.4790740741</v>
      </c>
      <c r="G998" s="4" t="str">
        <f>IFERROR(__xludf.DUMMYFUNCTION("""COMPUTED_VALUE"""),"Colm")</f>
        <v>Colm</v>
      </c>
      <c r="H998" s="4" t="str">
        <f>IFERROR(__xludf.DUMMYFUNCTION("""COMPUTED_VALUE"""),"Stephen")</f>
        <v>Stephen</v>
      </c>
      <c r="I998" s="4" t="str">
        <f>IFERROR(__xludf.DUMMYFUNCTION("""COMPUTED_VALUE"""),"Lucia H.")</f>
        <v>Lucia H.</v>
      </c>
      <c r="J998" s="4" t="str">
        <f>IFERROR(__xludf.DUMMYFUNCTION("""COMPUTED_VALUE"""),"")</f>
        <v/>
      </c>
      <c r="K998" s="4" t="str">
        <f>IFERROR(__xludf.DUMMYFUNCTION("""COMPUTED_VALUE"""),"Podcast")</f>
        <v>Podcast</v>
      </c>
      <c r="L998" s="4" t="str">
        <f>IFERROR(__xludf.DUMMYFUNCTION("""COMPUTED_VALUE"""),"T- 4 - 25/05/2020")</f>
        <v>T- 4 - 25/05/2020</v>
      </c>
      <c r="M998" s="4" t="str">
        <f>IFERROR(__xludf.DUMMYFUNCTION("""COMPUTED_VALUE"""),"In depth: Gary Liu")</f>
        <v>In depth: Gary Liu</v>
      </c>
      <c r="N998" s="4" t="str">
        <f>IFERROR(__xludf.DUMMYFUNCTION("""COMPUTED_VALUE"""),"Gary Liu, South China Morning Post")</f>
        <v>Gary Liu, South China Morning Post</v>
      </c>
      <c r="O998" s="4" t="str">
        <f>IFERROR(__xludf.DUMMYFUNCTION("""COMPUTED_VALUE"""),"")</f>
        <v/>
      </c>
      <c r="P998" s="4" t="str">
        <f>IFERROR(__xludf.DUMMYFUNCTION("""COMPUTED_VALUE"""),"")</f>
        <v/>
      </c>
      <c r="Q998" s="4" t="str">
        <f>IFERROR(__xludf.DUMMYFUNCTION("""COMPUTED_VALUE"""),"")</f>
        <v/>
      </c>
      <c r="R998" s="4" t="str">
        <f>IFERROR(__xludf.DUMMYFUNCTION("""COMPUTED_VALUE"""),"Peter Kafka, Recode")</f>
        <v>Peter Kafka, Recode</v>
      </c>
      <c r="S998" s="4" t="str">
        <f>IFERROR(__xludf.DUMMYFUNCTION("""COMPUTED_VALUE"""),"Gary Liu is CEO of the South China Morning Post (SCMP), a global news media company that has reported on China and Asia for more than a century. In this podcast, hear about the SCMP's transformation from a local entity to a global digital force, their cov"&amp;"erage of the Covid-19 pandemic, and the current challenges facing the media industry – including independence and press freedom – in a conversation with Recode's Peter Kafka.")</f>
        <v>Gary Liu is CEO of the South China Morning Post (SCMP), a global news media company that has reported on China and Asia for more than a century. In this podcast, hear about the SCMP's transformation from a local entity to a global digital force, their coverage of the Covid-19 pandemic, and the current challenges facing the media industry – including independence and press freedom – in a conversation with Recode's Peter Kafka.</v>
      </c>
      <c r="T998" s="4" t="str">
        <f>IFERROR(__xludf.DUMMYFUNCTION("""COMPUTED_VALUE"""),"NON-KEYNOTE 9 - COMPLETE")</f>
        <v>NON-KEYNOTE 9 - COMPLETE</v>
      </c>
      <c r="U998" s="23">
        <f>IFERROR(__xludf.DUMMYFUNCTION("""COMPUTED_VALUE"""),43983.0)</f>
        <v>43983</v>
      </c>
      <c r="V998" s="24">
        <f>IFERROR(__xludf.DUMMYFUNCTION("""COMPUTED_VALUE"""),0.5416666666666666)</f>
        <v>0.5416666667</v>
      </c>
      <c r="W998" s="4" t="str">
        <f>IFERROR(__xludf.DUMMYFUNCTION("""COMPUTED_VALUE"""),"COMPLETE")</f>
        <v>COMPLETE</v>
      </c>
      <c r="X998" s="4" t="str">
        <f>IFERROR(__xludf.DUMMYFUNCTION("""COMPUTED_VALUE"""),"Colm")</f>
        <v>Colm</v>
      </c>
      <c r="Y998" s="4" t="str">
        <f>IFERROR(__xludf.DUMMYFUNCTION("""COMPUTED_VALUE"""),"")</f>
        <v/>
      </c>
    </row>
    <row r="999">
      <c r="A999" s="4" t="str">
        <f>IFERROR(__xludf.DUMMYFUNCTION("""COMPUTED_VALUE"""),"1147 - Channel")</f>
        <v>1147 - Channel</v>
      </c>
      <c r="B999" s="4" t="str">
        <f>IFERROR(__xludf.DUMMYFUNCTION("""COMPUTED_VALUE"""),"Channel 4")</f>
        <v>Channel 4</v>
      </c>
      <c r="C999" s="4" t="str">
        <f>IFERROR(__xludf.DUMMYFUNCTION("""COMPUTED_VALUE"""),"Day 1 - 23/06")</f>
        <v>Day 1 - 23/06</v>
      </c>
      <c r="D999" s="6">
        <f>IFERROR(__xludf.DUMMYFUNCTION("""COMPUTED_VALUE"""),0.4790740740740741)</f>
        <v>0.4790740741</v>
      </c>
      <c r="E999" s="6">
        <f>IFERROR(__xludf.DUMMYFUNCTION("""COMPUTED_VALUE"""),0.0012037037037037038)</f>
        <v>0.001203703704</v>
      </c>
      <c r="F999" s="6">
        <f>IFERROR(__xludf.DUMMYFUNCTION("""COMPUTED_VALUE"""),0.4802777777777778)</f>
        <v>0.4802777778</v>
      </c>
      <c r="G999" s="4" t="str">
        <f>IFERROR(__xludf.DUMMYFUNCTION("""COMPUTED_VALUE"""),"")</f>
        <v/>
      </c>
      <c r="H999" s="4" t="str">
        <f>IFERROR(__xludf.DUMMYFUNCTION("""COMPUTED_VALUE"""),"")</f>
        <v/>
      </c>
      <c r="I999" s="4" t="str">
        <f>IFERROR(__xludf.DUMMYFUNCTION("""COMPUTED_VALUE"""),"")</f>
        <v/>
      </c>
      <c r="J999" s="4" t="str">
        <f>IFERROR(__xludf.DUMMYFUNCTION("""COMPUTED_VALUE"""),"")</f>
        <v/>
      </c>
      <c r="K999" s="4" t="str">
        <f>IFERROR(__xludf.DUMMYFUNCTION("""COMPUTED_VALUE"""),"Web Summit Trailer - full")</f>
        <v>Web Summit Trailer - full</v>
      </c>
      <c r="L999" s="4" t="str">
        <f>IFERROR(__xludf.DUMMYFUNCTION("""COMPUTED_VALUE"""),"")</f>
        <v/>
      </c>
      <c r="M999" s="4" t="str">
        <f>IFERROR(__xludf.DUMMYFUNCTION("""COMPUTED_VALUE"""),"Collision From Home Promo")</f>
        <v>Collision From Home Promo</v>
      </c>
      <c r="N999" s="4" t="str">
        <f>IFERROR(__xludf.DUMMYFUNCTION("""COMPUTED_VALUE"""),"")</f>
        <v/>
      </c>
      <c r="O999" s="4" t="str">
        <f>IFERROR(__xludf.DUMMYFUNCTION("""COMPUTED_VALUE"""),"")</f>
        <v/>
      </c>
      <c r="P999" s="4" t="str">
        <f>IFERROR(__xludf.DUMMYFUNCTION("""COMPUTED_VALUE"""),"")</f>
        <v/>
      </c>
      <c r="Q999" s="4" t="str">
        <f>IFERROR(__xludf.DUMMYFUNCTION("""COMPUTED_VALUE"""),"")</f>
        <v/>
      </c>
      <c r="R999" s="4" t="str">
        <f>IFERROR(__xludf.DUMMYFUNCTION("""COMPUTED_VALUE"""),"")</f>
        <v/>
      </c>
      <c r="S999" s="4" t="str">
        <f>IFERROR(__xludf.DUMMYFUNCTION("""COMPUTED_VALUE"""),"")</f>
        <v/>
      </c>
      <c r="T999" s="4" t="str">
        <f>IFERROR(__xludf.DUMMYFUNCTION("""COMPUTED_VALUE"""),"")</f>
        <v/>
      </c>
      <c r="U999" s="4" t="str">
        <f>IFERROR(__xludf.DUMMYFUNCTION("""COMPUTED_VALUE"""),"")</f>
        <v/>
      </c>
      <c r="V999" s="4" t="str">
        <f>IFERROR(__xludf.DUMMYFUNCTION("""COMPUTED_VALUE"""),"")</f>
        <v/>
      </c>
      <c r="W999" s="4" t="str">
        <f>IFERROR(__xludf.DUMMYFUNCTION("""COMPUTED_VALUE"""),"")</f>
        <v/>
      </c>
      <c r="X999" s="4" t="str">
        <f>IFERROR(__xludf.DUMMYFUNCTION("""COMPUTED_VALUE"""),"")</f>
        <v/>
      </c>
      <c r="Y999" s="4" t="str">
        <f>IFERROR(__xludf.DUMMYFUNCTION("""COMPUTED_VALUE"""),"")</f>
        <v/>
      </c>
    </row>
    <row r="1000">
      <c r="A1000" s="4" t="str">
        <f>IFERROR(__xludf.DUMMYFUNCTION("""COMPUTED_VALUE"""),"1130 - Channel")</f>
        <v>1130 - Channel</v>
      </c>
      <c r="B1000" s="4" t="str">
        <f>IFERROR(__xludf.DUMMYFUNCTION("""COMPUTED_VALUE"""),"Channel 4")</f>
        <v>Channel 4</v>
      </c>
      <c r="C1000" s="4" t="str">
        <f>IFERROR(__xludf.DUMMYFUNCTION("""COMPUTED_VALUE"""),"Day 1 - 23/06")</f>
        <v>Day 1 - 23/06</v>
      </c>
      <c r="D1000" s="6">
        <f>IFERROR(__xludf.DUMMYFUNCTION("""COMPUTED_VALUE"""),0.4802777777777778)</f>
        <v>0.4802777778</v>
      </c>
      <c r="E1000" s="6">
        <f>IFERROR(__xludf.DUMMYFUNCTION("""COMPUTED_VALUE"""),3.4722222222222224E-4)</f>
        <v>0.0003472222222</v>
      </c>
      <c r="F1000" s="6">
        <f>IFERROR(__xludf.DUMMYFUNCTION("""COMPUTED_VALUE"""),0.480625)</f>
        <v>0.480625</v>
      </c>
      <c r="G1000" s="4" t="str">
        <f>IFERROR(__xludf.DUMMYFUNCTION("""COMPUTED_VALUE"""),"")</f>
        <v/>
      </c>
      <c r="H1000" s="4" t="str">
        <f>IFERROR(__xludf.DUMMYFUNCTION("""COMPUTED_VALUE"""),"")</f>
        <v/>
      </c>
      <c r="I1000" s="4" t="str">
        <f>IFERROR(__xludf.DUMMYFUNCTION("""COMPUTED_VALUE"""),"")</f>
        <v/>
      </c>
      <c r="J1000" s="4" t="str">
        <f>IFERROR(__xludf.DUMMYFUNCTION("""COMPUTED_VALUE"""),"")</f>
        <v/>
      </c>
      <c r="K1000" s="4" t="str">
        <f>IFERROR(__xludf.DUMMYFUNCTION("""COMPUTED_VALUE"""),"Talk Intro")</f>
        <v>Talk Intro</v>
      </c>
      <c r="L1000" s="4" t="str">
        <f>IFERROR(__xludf.DUMMYFUNCTION("""COMPUTED_VALUE"""),"")</f>
        <v/>
      </c>
      <c r="M1000" s="4" t="str">
        <f>IFERROR(__xludf.DUMMYFUNCTION("""COMPUTED_VALUE"""),"MC Intro")</f>
        <v>MC Intro</v>
      </c>
      <c r="N1000" s="4" t="str">
        <f>IFERROR(__xludf.DUMMYFUNCTION("""COMPUTED_VALUE"""),"")</f>
        <v/>
      </c>
      <c r="O1000" s="4" t="str">
        <f>IFERROR(__xludf.DUMMYFUNCTION("""COMPUTED_VALUE"""),"")</f>
        <v/>
      </c>
      <c r="P1000" s="4" t="str">
        <f>IFERROR(__xludf.DUMMYFUNCTION("""COMPUTED_VALUE"""),"")</f>
        <v/>
      </c>
      <c r="Q1000" s="4" t="str">
        <f>IFERROR(__xludf.DUMMYFUNCTION("""COMPUTED_VALUE"""),"")</f>
        <v/>
      </c>
      <c r="R1000" s="4" t="str">
        <f>IFERROR(__xludf.DUMMYFUNCTION("""COMPUTED_VALUE"""),"")</f>
        <v/>
      </c>
      <c r="S1000" s="4" t="str">
        <f>IFERROR(__xludf.DUMMYFUNCTION("""COMPUTED_VALUE"""),"")</f>
        <v/>
      </c>
      <c r="T1000" s="4" t="str">
        <f>IFERROR(__xludf.DUMMYFUNCTION("""COMPUTED_VALUE"""),"")</f>
        <v/>
      </c>
      <c r="U1000" s="4" t="str">
        <f>IFERROR(__xludf.DUMMYFUNCTION("""COMPUTED_VALUE"""),"")</f>
        <v/>
      </c>
      <c r="V1000" s="4" t="str">
        <f>IFERROR(__xludf.DUMMYFUNCTION("""COMPUTED_VALUE"""),"")</f>
        <v/>
      </c>
      <c r="W1000" s="4" t="str">
        <f>IFERROR(__xludf.DUMMYFUNCTION("""COMPUTED_VALUE"""),"")</f>
        <v/>
      </c>
      <c r="X1000" s="4" t="str">
        <f>IFERROR(__xludf.DUMMYFUNCTION("""COMPUTED_VALUE"""),"")</f>
        <v/>
      </c>
      <c r="Y1000" s="4" t="str">
        <f>IFERROR(__xludf.DUMMYFUNCTION("""COMPUTED_VALUE"""),"")</f>
        <v/>
      </c>
    </row>
    <row r="1001">
      <c r="A1001" s="4" t="str">
        <f>IFERROR(__xludf.DUMMYFUNCTION("""COMPUTED_VALUE"""),"1131 - Channel")</f>
        <v>1131 - Channel</v>
      </c>
      <c r="B1001" s="4" t="str">
        <f>IFERROR(__xludf.DUMMYFUNCTION("""COMPUTED_VALUE"""),"Channel 4")</f>
        <v>Channel 4</v>
      </c>
      <c r="C1001" s="4" t="str">
        <f>IFERROR(__xludf.DUMMYFUNCTION("""COMPUTED_VALUE"""),"Day 1 - 23/06")</f>
        <v>Day 1 - 23/06</v>
      </c>
      <c r="D1001" s="6">
        <f>IFERROR(__xludf.DUMMYFUNCTION("""COMPUTED_VALUE"""),0.480625)</f>
        <v>0.480625</v>
      </c>
      <c r="E1001" s="6">
        <f>IFERROR(__xludf.DUMMYFUNCTION("""COMPUTED_VALUE"""),0.04774305555555555)</f>
        <v>0.04774305556</v>
      </c>
      <c r="F1001" s="6">
        <f>IFERROR(__xludf.DUMMYFUNCTION("""COMPUTED_VALUE"""),0.5283680555555555)</f>
        <v>0.5283680556</v>
      </c>
      <c r="G1001" s="4" t="str">
        <f>IFERROR(__xludf.DUMMYFUNCTION("""COMPUTED_VALUE"""),"Darren")</f>
        <v>Darren</v>
      </c>
      <c r="H1001" s="4" t="str">
        <f>IFERROR(__xludf.DUMMYFUNCTION("""COMPUTED_VALUE"""),"Stephen")</f>
        <v>Stephen</v>
      </c>
      <c r="I1001" s="4" t="str">
        <f>IFERROR(__xludf.DUMMYFUNCTION("""COMPUTED_VALUE"""),"Lucia H.")</f>
        <v>Lucia H.</v>
      </c>
      <c r="J1001" s="4" t="str">
        <f>IFERROR(__xludf.DUMMYFUNCTION("""COMPUTED_VALUE"""),"")</f>
        <v/>
      </c>
      <c r="K1001" s="4" t="str">
        <f>IFERROR(__xludf.DUMMYFUNCTION("""COMPUTED_VALUE"""),"Podcast")</f>
        <v>Podcast</v>
      </c>
      <c r="L1001" s="4" t="str">
        <f>IFERROR(__xludf.DUMMYFUNCTION("""COMPUTED_VALUE"""),"T- 5 - 18/05/2020")</f>
        <v>T- 5 - 18/05/2020</v>
      </c>
      <c r="M1001" s="4" t="str">
        <f>IFERROR(__xludf.DUMMYFUNCTION("""COMPUTED_VALUE"""),"In depth: Brittany Kaiser ")</f>
        <v>In depth: Brittany Kaiser </v>
      </c>
      <c r="N1001" s="4" t="str">
        <f>IFERROR(__xludf.DUMMYFUNCTION("""COMPUTED_VALUE"""),"Brittany Kaiser, Own Your Data")</f>
        <v>Brittany Kaiser, Own Your Data</v>
      </c>
      <c r="O1001" s="4" t="str">
        <f>IFERROR(__xludf.DUMMYFUNCTION("""COMPUTED_VALUE"""),"")</f>
        <v/>
      </c>
      <c r="P1001" s="4" t="str">
        <f>IFERROR(__xludf.DUMMYFUNCTION("""COMPUTED_VALUE"""),"")</f>
        <v/>
      </c>
      <c r="Q1001" s="4" t="str">
        <f>IFERROR(__xludf.DUMMYFUNCTION("""COMPUTED_VALUE"""),"")</f>
        <v/>
      </c>
      <c r="R1001" s="4" t="str">
        <f>IFERROR(__xludf.DUMMYFUNCTION("""COMPUTED_VALUE"""),"Brian McCullough, Techmeme")</f>
        <v>Brian McCullough, Techmeme</v>
      </c>
      <c r="S1001" s="4" t="str">
        <f>IFERROR(__xludf.DUMMYFUNCTION("""COMPUTED_VALUE"""),"Listen in for a deep dive on the Cambridge Analytica scandal from one of the whistleblowers at the centre of the story. Brittany is the founder of the Own Your Data Foundation and #OwnYourData campaign, promoting digital literacy and data rights training."&amp;" She is the subject of Netflix's documentary The Great Hack, and also wrote the book Targeted.")</f>
        <v>Listen in for a deep dive on the Cambridge Analytica scandal from one of the whistleblowers at the centre of the story. Brittany is the founder of the Own Your Data Foundation and #OwnYourData campaign, promoting digital literacy and data rights training. She is the subject of Netflix's documentary The Great Hack, and also wrote the book Targeted.</v>
      </c>
      <c r="T1001" s="4" t="str">
        <f>IFERROR(__xludf.DUMMYFUNCTION("""COMPUTED_VALUE"""),"NON-KEYNOTE 9 - COMPLETE")</f>
        <v>NON-KEYNOTE 9 - COMPLETE</v>
      </c>
      <c r="U1001" s="23">
        <f>IFERROR(__xludf.DUMMYFUNCTION("""COMPUTED_VALUE"""),43970.0)</f>
        <v>43970</v>
      </c>
      <c r="V1001" s="24">
        <f>IFERROR(__xludf.DUMMYFUNCTION("""COMPUTED_VALUE"""),0.6666666666666666)</f>
        <v>0.6666666667</v>
      </c>
      <c r="W1001" s="4" t="str">
        <f>IFERROR(__xludf.DUMMYFUNCTION("""COMPUTED_VALUE"""),"COMPLETE")</f>
        <v>COMPLETE</v>
      </c>
      <c r="X1001" s="4" t="str">
        <f>IFERROR(__xludf.DUMMYFUNCTION("""COMPUTED_VALUE"""),"Darren")</f>
        <v>Darren</v>
      </c>
      <c r="Y1001" s="4" t="str">
        <f>IFERROR(__xludf.DUMMYFUNCTION("""COMPUTED_VALUE"""),"")</f>
        <v/>
      </c>
    </row>
    <row r="1002">
      <c r="A1002" s="4" t="str">
        <f>IFERROR(__xludf.DUMMYFUNCTION("""COMPUTED_VALUE"""),"1132 - Channel")</f>
        <v>1132 - Channel</v>
      </c>
      <c r="B1002" s="4" t="str">
        <f>IFERROR(__xludf.DUMMYFUNCTION("""COMPUTED_VALUE"""),"Channel 4")</f>
        <v>Channel 4</v>
      </c>
      <c r="C1002" s="4" t="str">
        <f>IFERROR(__xludf.DUMMYFUNCTION("""COMPUTED_VALUE"""),"Day 1 - 23/06")</f>
        <v>Day 1 - 23/06</v>
      </c>
      <c r="D1002" s="6">
        <f>IFERROR(__xludf.DUMMYFUNCTION("""COMPUTED_VALUE"""),0.5283680555555555)</f>
        <v>0.5283680556</v>
      </c>
      <c r="E1002" s="6">
        <f>IFERROR(__xludf.DUMMYFUNCTION("""COMPUTED_VALUE"""),0.0012037037037037038)</f>
        <v>0.001203703704</v>
      </c>
      <c r="F1002" s="6">
        <f>IFERROR(__xludf.DUMMYFUNCTION("""COMPUTED_VALUE"""),0.5295717592592593)</f>
        <v>0.5295717593</v>
      </c>
      <c r="G1002" s="4" t="str">
        <f>IFERROR(__xludf.DUMMYFUNCTION("""COMPUTED_VALUE"""),"")</f>
        <v/>
      </c>
      <c r="H1002" s="4" t="str">
        <f>IFERROR(__xludf.DUMMYFUNCTION("""COMPUTED_VALUE"""),"")</f>
        <v/>
      </c>
      <c r="I1002" s="4" t="str">
        <f>IFERROR(__xludf.DUMMYFUNCTION("""COMPUTED_VALUE"""),"")</f>
        <v/>
      </c>
      <c r="J1002" s="4" t="str">
        <f>IFERROR(__xludf.DUMMYFUNCTION("""COMPUTED_VALUE"""),"")</f>
        <v/>
      </c>
      <c r="K1002" s="4" t="str">
        <f>IFERROR(__xludf.DUMMYFUNCTION("""COMPUTED_VALUE"""),"Web Summit Trailer - full")</f>
        <v>Web Summit Trailer - full</v>
      </c>
      <c r="L1002" s="4" t="str">
        <f>IFERROR(__xludf.DUMMYFUNCTION("""COMPUTED_VALUE"""),"")</f>
        <v/>
      </c>
      <c r="M1002" s="4" t="str">
        <f>IFERROR(__xludf.DUMMYFUNCTION("""COMPUTED_VALUE"""),"Collision From Home Promo")</f>
        <v>Collision From Home Promo</v>
      </c>
      <c r="N1002" s="4" t="str">
        <f>IFERROR(__xludf.DUMMYFUNCTION("""COMPUTED_VALUE"""),"")</f>
        <v/>
      </c>
      <c r="O1002" s="4" t="str">
        <f>IFERROR(__xludf.DUMMYFUNCTION("""COMPUTED_VALUE"""),"")</f>
        <v/>
      </c>
      <c r="P1002" s="4" t="str">
        <f>IFERROR(__xludf.DUMMYFUNCTION("""COMPUTED_VALUE"""),"")</f>
        <v/>
      </c>
      <c r="Q1002" s="4" t="str">
        <f>IFERROR(__xludf.DUMMYFUNCTION("""COMPUTED_VALUE"""),"")</f>
        <v/>
      </c>
      <c r="R1002" s="4" t="str">
        <f>IFERROR(__xludf.DUMMYFUNCTION("""COMPUTED_VALUE"""),"")</f>
        <v/>
      </c>
      <c r="S1002" s="4" t="str">
        <f>IFERROR(__xludf.DUMMYFUNCTION("""COMPUTED_VALUE"""),"")</f>
        <v/>
      </c>
      <c r="T1002" s="4" t="str">
        <f>IFERROR(__xludf.DUMMYFUNCTION("""COMPUTED_VALUE"""),"")</f>
        <v/>
      </c>
      <c r="U1002" s="4" t="str">
        <f>IFERROR(__xludf.DUMMYFUNCTION("""COMPUTED_VALUE"""),"")</f>
        <v/>
      </c>
      <c r="V1002" s="4" t="str">
        <f>IFERROR(__xludf.DUMMYFUNCTION("""COMPUTED_VALUE"""),"")</f>
        <v/>
      </c>
      <c r="W1002" s="4" t="str">
        <f>IFERROR(__xludf.DUMMYFUNCTION("""COMPUTED_VALUE"""),"")</f>
        <v/>
      </c>
      <c r="X1002" s="4" t="str">
        <f>IFERROR(__xludf.DUMMYFUNCTION("""COMPUTED_VALUE"""),"")</f>
        <v/>
      </c>
      <c r="Y1002" s="4" t="str">
        <f>IFERROR(__xludf.DUMMYFUNCTION("""COMPUTED_VALUE"""),"")</f>
        <v/>
      </c>
    </row>
    <row r="1003">
      <c r="A1003" s="4" t="str">
        <f>IFERROR(__xludf.DUMMYFUNCTION("""COMPUTED_VALUE"""),"1222 - Channel")</f>
        <v>1222 - Channel</v>
      </c>
      <c r="B1003" s="4" t="str">
        <f>IFERROR(__xludf.DUMMYFUNCTION("""COMPUTED_VALUE"""),"Channel 4")</f>
        <v>Channel 4</v>
      </c>
      <c r="C1003" s="4" t="str">
        <f>IFERROR(__xludf.DUMMYFUNCTION("""COMPUTED_VALUE"""),"Day 1 - 23/06")</f>
        <v>Day 1 - 23/06</v>
      </c>
      <c r="D1003" s="6">
        <f>IFERROR(__xludf.DUMMYFUNCTION("""COMPUTED_VALUE"""),0.5295717592592593)</f>
        <v>0.5295717593</v>
      </c>
      <c r="E1003" s="6">
        <f>IFERROR(__xludf.DUMMYFUNCTION("""COMPUTED_VALUE"""),3.4722222222222224E-4)</f>
        <v>0.0003472222222</v>
      </c>
      <c r="F1003" s="6">
        <f>IFERROR(__xludf.DUMMYFUNCTION("""COMPUTED_VALUE"""),0.5299189814814815)</f>
        <v>0.5299189815</v>
      </c>
      <c r="G1003" s="4" t="str">
        <f>IFERROR(__xludf.DUMMYFUNCTION("""COMPUTED_VALUE"""),"")</f>
        <v/>
      </c>
      <c r="H1003" s="4" t="str">
        <f>IFERROR(__xludf.DUMMYFUNCTION("""COMPUTED_VALUE"""),"")</f>
        <v/>
      </c>
      <c r="I1003" s="4" t="str">
        <f>IFERROR(__xludf.DUMMYFUNCTION("""COMPUTED_VALUE"""),"")</f>
        <v/>
      </c>
      <c r="J1003" s="4" t="str">
        <f>IFERROR(__xludf.DUMMYFUNCTION("""COMPUTED_VALUE"""),"")</f>
        <v/>
      </c>
      <c r="K1003" s="4" t="str">
        <f>IFERROR(__xludf.DUMMYFUNCTION("""COMPUTED_VALUE"""),"Talk Intro")</f>
        <v>Talk Intro</v>
      </c>
      <c r="L1003" s="4" t="str">
        <f>IFERROR(__xludf.DUMMYFUNCTION("""COMPUTED_VALUE"""),"")</f>
        <v/>
      </c>
      <c r="M1003" s="4" t="str">
        <f>IFERROR(__xludf.DUMMYFUNCTION("""COMPUTED_VALUE"""),"MC Intro")</f>
        <v>MC Intro</v>
      </c>
      <c r="N1003" s="4" t="str">
        <f>IFERROR(__xludf.DUMMYFUNCTION("""COMPUTED_VALUE"""),"")</f>
        <v/>
      </c>
      <c r="O1003" s="4" t="str">
        <f>IFERROR(__xludf.DUMMYFUNCTION("""COMPUTED_VALUE"""),"")</f>
        <v/>
      </c>
      <c r="P1003" s="4" t="str">
        <f>IFERROR(__xludf.DUMMYFUNCTION("""COMPUTED_VALUE"""),"")</f>
        <v/>
      </c>
      <c r="Q1003" s="4" t="str">
        <f>IFERROR(__xludf.DUMMYFUNCTION("""COMPUTED_VALUE"""),"")</f>
        <v/>
      </c>
      <c r="R1003" s="4" t="str">
        <f>IFERROR(__xludf.DUMMYFUNCTION("""COMPUTED_VALUE"""),"")</f>
        <v/>
      </c>
      <c r="S1003" s="4" t="str">
        <f>IFERROR(__xludf.DUMMYFUNCTION("""COMPUTED_VALUE"""),"")</f>
        <v/>
      </c>
      <c r="T1003" s="4" t="str">
        <f>IFERROR(__xludf.DUMMYFUNCTION("""COMPUTED_VALUE"""),"")</f>
        <v/>
      </c>
      <c r="U1003" s="4" t="str">
        <f>IFERROR(__xludf.DUMMYFUNCTION("""COMPUTED_VALUE"""),"")</f>
        <v/>
      </c>
      <c r="V1003" s="4" t="str">
        <f>IFERROR(__xludf.DUMMYFUNCTION("""COMPUTED_VALUE"""),"")</f>
        <v/>
      </c>
      <c r="W1003" s="4" t="str">
        <f>IFERROR(__xludf.DUMMYFUNCTION("""COMPUTED_VALUE"""),"")</f>
        <v/>
      </c>
      <c r="X1003" s="4" t="str">
        <f>IFERROR(__xludf.DUMMYFUNCTION("""COMPUTED_VALUE"""),"")</f>
        <v/>
      </c>
      <c r="Y1003" s="4" t="str">
        <f>IFERROR(__xludf.DUMMYFUNCTION("""COMPUTED_VALUE"""),"")</f>
        <v/>
      </c>
    </row>
    <row r="1004">
      <c r="A1004" s="4" t="str">
        <f>IFERROR(__xludf.DUMMYFUNCTION("""COMPUTED_VALUE"""),"1223 - Channel")</f>
        <v>1223 - Channel</v>
      </c>
      <c r="B1004" s="4" t="str">
        <f>IFERROR(__xludf.DUMMYFUNCTION("""COMPUTED_VALUE"""),"Channel 4")</f>
        <v>Channel 4</v>
      </c>
      <c r="C1004" s="4" t="str">
        <f>IFERROR(__xludf.DUMMYFUNCTION("""COMPUTED_VALUE"""),"Day 1 - 23/06")</f>
        <v>Day 1 - 23/06</v>
      </c>
      <c r="D1004" s="6">
        <f>IFERROR(__xludf.DUMMYFUNCTION("""COMPUTED_VALUE"""),0.5299189814814815)</f>
        <v>0.5299189815</v>
      </c>
      <c r="E1004" s="6">
        <f>IFERROR(__xludf.DUMMYFUNCTION("""COMPUTED_VALUE"""),0.025208333333333333)</f>
        <v>0.02520833333</v>
      </c>
      <c r="F1004" s="6">
        <f>IFERROR(__xludf.DUMMYFUNCTION("""COMPUTED_VALUE"""),0.5551273148148148)</f>
        <v>0.5551273148</v>
      </c>
      <c r="G1004" s="4" t="str">
        <f>IFERROR(__xludf.DUMMYFUNCTION("""COMPUTED_VALUE"""),"Colm")</f>
        <v>Colm</v>
      </c>
      <c r="H1004" s="4" t="str">
        <f>IFERROR(__xludf.DUMMYFUNCTION("""COMPUTED_VALUE"""),"Stephen")</f>
        <v>Stephen</v>
      </c>
      <c r="I1004" s="4" t="str">
        <f>IFERROR(__xludf.DUMMYFUNCTION("""COMPUTED_VALUE"""),"Lucia H.")</f>
        <v>Lucia H.</v>
      </c>
      <c r="J1004" s="4" t="str">
        <f>IFERROR(__xludf.DUMMYFUNCTION("""COMPUTED_VALUE"""),"")</f>
        <v/>
      </c>
      <c r="K1004" s="4" t="str">
        <f>IFERROR(__xludf.DUMMYFUNCTION("""COMPUTED_VALUE"""),"Podcast")</f>
        <v>Podcast</v>
      </c>
      <c r="L1004" s="4" t="str">
        <f>IFERROR(__xludf.DUMMYFUNCTION("""COMPUTED_VALUE"""),"T- 5 - 18/05/2020")</f>
        <v>T- 5 - 18/05/2020</v>
      </c>
      <c r="M1004" s="4" t="str">
        <f>IFERROR(__xludf.DUMMYFUNCTION("""COMPUTED_VALUE"""),"In depth: Nicola Kilner")</f>
        <v>In depth: Nicola Kilner</v>
      </c>
      <c r="N1004" s="4" t="str">
        <f>IFERROR(__xludf.DUMMYFUNCTION("""COMPUTED_VALUE"""),"Nicola Kilner, DECIEM")</f>
        <v>Nicola Kilner, DECIEM</v>
      </c>
      <c r="O1004" s="4" t="str">
        <f>IFERROR(__xludf.DUMMYFUNCTION("""COMPUTED_VALUE"""),"")</f>
        <v/>
      </c>
      <c r="P1004" s="4" t="str">
        <f>IFERROR(__xludf.DUMMYFUNCTION("""COMPUTED_VALUE"""),"")</f>
        <v/>
      </c>
      <c r="Q1004" s="4" t="str">
        <f>IFERROR(__xludf.DUMMYFUNCTION("""COMPUTED_VALUE"""),"")</f>
        <v/>
      </c>
      <c r="R1004" s="4" t="str">
        <f>IFERROR(__xludf.DUMMYFUNCTION("""COMPUTED_VALUE"""),"Elizabeth Paton, The New York Times")</f>
        <v>Elizabeth Paton, The New York Times</v>
      </c>
      <c r="S1004" s="4" t="str">
        <f>IFERROR(__xludf.DUMMYFUNCTION("""COMPUTED_VALUE"""),"Nicola is CEO at The Abnormal Beauty Company, which creates a host of cosmetics ranges that are currently transforming the beauty industry. In this podcast, hear about the unexpected twists and turns on her incredible journey to the top.")</f>
        <v>Nicola is CEO at The Abnormal Beauty Company, which creates a host of cosmetics ranges that are currently transforming the beauty industry. In this podcast, hear about the unexpected twists and turns on her incredible journey to the top.</v>
      </c>
      <c r="T1004" s="4" t="str">
        <f>IFERROR(__xludf.DUMMYFUNCTION("""COMPUTED_VALUE"""),"NON-KEYNOTE 9 - COMPLETE")</f>
        <v>NON-KEYNOTE 9 - COMPLETE</v>
      </c>
      <c r="U1004" s="23">
        <f>IFERROR(__xludf.DUMMYFUNCTION("""COMPUTED_VALUE"""),43972.0)</f>
        <v>43972</v>
      </c>
      <c r="V1004" s="24">
        <f>IFERROR(__xludf.DUMMYFUNCTION("""COMPUTED_VALUE"""),0.625)</f>
        <v>0.625</v>
      </c>
      <c r="W1004" s="4" t="str">
        <f>IFERROR(__xludf.DUMMYFUNCTION("""COMPUTED_VALUE"""),"COMPLETE")</f>
        <v>COMPLETE</v>
      </c>
      <c r="X1004" s="4" t="str">
        <f>IFERROR(__xludf.DUMMYFUNCTION("""COMPUTED_VALUE"""),"Colm")</f>
        <v>Colm</v>
      </c>
      <c r="Y1004" s="4" t="str">
        <f>IFERROR(__xludf.DUMMYFUNCTION("""COMPUTED_VALUE"""),"")</f>
        <v/>
      </c>
    </row>
    <row r="1005">
      <c r="A1005" s="4" t="str">
        <f>IFERROR(__xludf.DUMMYFUNCTION("""COMPUTED_VALUE"""),"1135 - Channel")</f>
        <v>1135 - Channel</v>
      </c>
      <c r="B1005" s="4" t="str">
        <f>IFERROR(__xludf.DUMMYFUNCTION("""COMPUTED_VALUE"""),"Channel 4")</f>
        <v>Channel 4</v>
      </c>
      <c r="C1005" s="4" t="str">
        <f>IFERROR(__xludf.DUMMYFUNCTION("""COMPUTED_VALUE"""),"Day 1 - 23/06")</f>
        <v>Day 1 - 23/06</v>
      </c>
      <c r="D1005" s="6">
        <f>IFERROR(__xludf.DUMMYFUNCTION("""COMPUTED_VALUE"""),0.5551273148148148)</f>
        <v>0.5551273148</v>
      </c>
      <c r="E1005" s="6">
        <f>IFERROR(__xludf.DUMMYFUNCTION("""COMPUTED_VALUE"""),0.0012037037037037038)</f>
        <v>0.001203703704</v>
      </c>
      <c r="F1005" s="6">
        <f>IFERROR(__xludf.DUMMYFUNCTION("""COMPUTED_VALUE"""),0.5563310185185185)</f>
        <v>0.5563310185</v>
      </c>
      <c r="G1005" s="4" t="str">
        <f>IFERROR(__xludf.DUMMYFUNCTION("""COMPUTED_VALUE"""),"")</f>
        <v/>
      </c>
      <c r="H1005" s="4" t="str">
        <f>IFERROR(__xludf.DUMMYFUNCTION("""COMPUTED_VALUE"""),"")</f>
        <v/>
      </c>
      <c r="I1005" s="4" t="str">
        <f>IFERROR(__xludf.DUMMYFUNCTION("""COMPUTED_VALUE"""),"")</f>
        <v/>
      </c>
      <c r="J1005" s="4" t="str">
        <f>IFERROR(__xludf.DUMMYFUNCTION("""COMPUTED_VALUE"""),"")</f>
        <v/>
      </c>
      <c r="K1005" s="4" t="str">
        <f>IFERROR(__xludf.DUMMYFUNCTION("""COMPUTED_VALUE"""),"Web Summit Trailer - full")</f>
        <v>Web Summit Trailer - full</v>
      </c>
      <c r="L1005" s="4" t="str">
        <f>IFERROR(__xludf.DUMMYFUNCTION("""COMPUTED_VALUE"""),"")</f>
        <v/>
      </c>
      <c r="M1005" s="4" t="str">
        <f>IFERROR(__xludf.DUMMYFUNCTION("""COMPUTED_VALUE"""),"Collision From Home Promo")</f>
        <v>Collision From Home Promo</v>
      </c>
      <c r="N1005" s="4" t="str">
        <f>IFERROR(__xludf.DUMMYFUNCTION("""COMPUTED_VALUE"""),"")</f>
        <v/>
      </c>
      <c r="O1005" s="4" t="str">
        <f>IFERROR(__xludf.DUMMYFUNCTION("""COMPUTED_VALUE"""),"")</f>
        <v/>
      </c>
      <c r="P1005" s="4" t="str">
        <f>IFERROR(__xludf.DUMMYFUNCTION("""COMPUTED_VALUE"""),"")</f>
        <v/>
      </c>
      <c r="Q1005" s="4" t="str">
        <f>IFERROR(__xludf.DUMMYFUNCTION("""COMPUTED_VALUE"""),"")</f>
        <v/>
      </c>
      <c r="R1005" s="4" t="str">
        <f>IFERROR(__xludf.DUMMYFUNCTION("""COMPUTED_VALUE"""),"")</f>
        <v/>
      </c>
      <c r="S1005" s="4" t="str">
        <f>IFERROR(__xludf.DUMMYFUNCTION("""COMPUTED_VALUE"""),"")</f>
        <v/>
      </c>
      <c r="T1005" s="4" t="str">
        <f>IFERROR(__xludf.DUMMYFUNCTION("""COMPUTED_VALUE"""),"")</f>
        <v/>
      </c>
      <c r="U1005" s="4" t="str">
        <f>IFERROR(__xludf.DUMMYFUNCTION("""COMPUTED_VALUE"""),"")</f>
        <v/>
      </c>
      <c r="V1005" s="4" t="str">
        <f>IFERROR(__xludf.DUMMYFUNCTION("""COMPUTED_VALUE"""),"")</f>
        <v/>
      </c>
      <c r="W1005" s="4" t="str">
        <f>IFERROR(__xludf.DUMMYFUNCTION("""COMPUTED_VALUE"""),"")</f>
        <v/>
      </c>
      <c r="X1005" s="4" t="str">
        <f>IFERROR(__xludf.DUMMYFUNCTION("""COMPUTED_VALUE"""),"")</f>
        <v/>
      </c>
      <c r="Y1005" s="4" t="str">
        <f>IFERROR(__xludf.DUMMYFUNCTION("""COMPUTED_VALUE"""),"")</f>
        <v/>
      </c>
    </row>
    <row r="1006">
      <c r="A1006" s="4" t="str">
        <f>IFERROR(__xludf.DUMMYFUNCTION("""COMPUTED_VALUE"""),"1136 - Channel")</f>
        <v>1136 - Channel</v>
      </c>
      <c r="B1006" s="4" t="str">
        <f>IFERROR(__xludf.DUMMYFUNCTION("""COMPUTED_VALUE"""),"Channel 4")</f>
        <v>Channel 4</v>
      </c>
      <c r="C1006" s="4" t="str">
        <f>IFERROR(__xludf.DUMMYFUNCTION("""COMPUTED_VALUE"""),"Day 1 - 23/06")</f>
        <v>Day 1 - 23/06</v>
      </c>
      <c r="D1006" s="6">
        <f>IFERROR(__xludf.DUMMYFUNCTION("""COMPUTED_VALUE"""),0.5563310185185185)</f>
        <v>0.5563310185</v>
      </c>
      <c r="E1006" s="6">
        <f>IFERROR(__xludf.DUMMYFUNCTION("""COMPUTED_VALUE"""),3.4722222222222224E-4)</f>
        <v>0.0003472222222</v>
      </c>
      <c r="F1006" s="6">
        <f>IFERROR(__xludf.DUMMYFUNCTION("""COMPUTED_VALUE"""),0.5566782407407408)</f>
        <v>0.5566782407</v>
      </c>
      <c r="G1006" s="4" t="str">
        <f>IFERROR(__xludf.DUMMYFUNCTION("""COMPUTED_VALUE"""),"")</f>
        <v/>
      </c>
      <c r="H1006" s="4" t="str">
        <f>IFERROR(__xludf.DUMMYFUNCTION("""COMPUTED_VALUE"""),"")</f>
        <v/>
      </c>
      <c r="I1006" s="4" t="str">
        <f>IFERROR(__xludf.DUMMYFUNCTION("""COMPUTED_VALUE"""),"")</f>
        <v/>
      </c>
      <c r="J1006" s="4" t="str">
        <f>IFERROR(__xludf.DUMMYFUNCTION("""COMPUTED_VALUE"""),"")</f>
        <v/>
      </c>
      <c r="K1006" s="4" t="str">
        <f>IFERROR(__xludf.DUMMYFUNCTION("""COMPUTED_VALUE"""),"Talk Intro")</f>
        <v>Talk Intro</v>
      </c>
      <c r="L1006" s="4" t="str">
        <f>IFERROR(__xludf.DUMMYFUNCTION("""COMPUTED_VALUE"""),"")</f>
        <v/>
      </c>
      <c r="M1006" s="4" t="str">
        <f>IFERROR(__xludf.DUMMYFUNCTION("""COMPUTED_VALUE"""),"MC Intro")</f>
        <v>MC Intro</v>
      </c>
      <c r="N1006" s="4" t="str">
        <f>IFERROR(__xludf.DUMMYFUNCTION("""COMPUTED_VALUE"""),"")</f>
        <v/>
      </c>
      <c r="O1006" s="4" t="str">
        <f>IFERROR(__xludf.DUMMYFUNCTION("""COMPUTED_VALUE"""),"")</f>
        <v/>
      </c>
      <c r="P1006" s="4" t="str">
        <f>IFERROR(__xludf.DUMMYFUNCTION("""COMPUTED_VALUE"""),"")</f>
        <v/>
      </c>
      <c r="Q1006" s="4" t="str">
        <f>IFERROR(__xludf.DUMMYFUNCTION("""COMPUTED_VALUE"""),"")</f>
        <v/>
      </c>
      <c r="R1006" s="4" t="str">
        <f>IFERROR(__xludf.DUMMYFUNCTION("""COMPUTED_VALUE"""),"")</f>
        <v/>
      </c>
      <c r="S1006" s="4" t="str">
        <f>IFERROR(__xludf.DUMMYFUNCTION("""COMPUTED_VALUE"""),"")</f>
        <v/>
      </c>
      <c r="T1006" s="4" t="str">
        <f>IFERROR(__xludf.DUMMYFUNCTION("""COMPUTED_VALUE"""),"")</f>
        <v/>
      </c>
      <c r="U1006" s="4" t="str">
        <f>IFERROR(__xludf.DUMMYFUNCTION("""COMPUTED_VALUE"""),"")</f>
        <v/>
      </c>
      <c r="V1006" s="4" t="str">
        <f>IFERROR(__xludf.DUMMYFUNCTION("""COMPUTED_VALUE"""),"")</f>
        <v/>
      </c>
      <c r="W1006" s="4" t="str">
        <f>IFERROR(__xludf.DUMMYFUNCTION("""COMPUTED_VALUE"""),"")</f>
        <v/>
      </c>
      <c r="X1006" s="4" t="str">
        <f>IFERROR(__xludf.DUMMYFUNCTION("""COMPUTED_VALUE"""),"")</f>
        <v/>
      </c>
      <c r="Y1006" s="4" t="str">
        <f>IFERROR(__xludf.DUMMYFUNCTION("""COMPUTED_VALUE"""),"")</f>
        <v/>
      </c>
    </row>
    <row r="1007">
      <c r="A1007" s="4" t="str">
        <f>IFERROR(__xludf.DUMMYFUNCTION("""COMPUTED_VALUE"""),"1137 - Channel")</f>
        <v>1137 - Channel</v>
      </c>
      <c r="B1007" s="4" t="str">
        <f>IFERROR(__xludf.DUMMYFUNCTION("""COMPUTED_VALUE"""),"Channel 4")</f>
        <v>Channel 4</v>
      </c>
      <c r="C1007" s="4" t="str">
        <f>IFERROR(__xludf.DUMMYFUNCTION("""COMPUTED_VALUE"""),"Day 1 - 23/06")</f>
        <v>Day 1 - 23/06</v>
      </c>
      <c r="D1007" s="6">
        <f>IFERROR(__xludf.DUMMYFUNCTION("""COMPUTED_VALUE"""),0.5566782407407408)</f>
        <v>0.5566782407</v>
      </c>
      <c r="E1007" s="6">
        <f>IFERROR(__xludf.DUMMYFUNCTION("""COMPUTED_VALUE"""),0.04164351851851852)</f>
        <v>0.04164351852</v>
      </c>
      <c r="F1007" s="6">
        <f>IFERROR(__xludf.DUMMYFUNCTION("""COMPUTED_VALUE"""),0.5983217592592593)</f>
        <v>0.5983217593</v>
      </c>
      <c r="G1007" s="4" t="str">
        <f>IFERROR(__xludf.DUMMYFUNCTION("""COMPUTED_VALUE"""),"Darren")</f>
        <v>Darren</v>
      </c>
      <c r="H1007" s="4" t="str">
        <f>IFERROR(__xludf.DUMMYFUNCTION("""COMPUTED_VALUE"""),"Stephen")</f>
        <v>Stephen</v>
      </c>
      <c r="I1007" s="4" t="str">
        <f>IFERROR(__xludf.DUMMYFUNCTION("""COMPUTED_VALUE"""),"Lucia H.")</f>
        <v>Lucia H.</v>
      </c>
      <c r="J1007" s="4" t="str">
        <f>IFERROR(__xludf.DUMMYFUNCTION("""COMPUTED_VALUE"""),"")</f>
        <v/>
      </c>
      <c r="K1007" s="4" t="str">
        <f>IFERROR(__xludf.DUMMYFUNCTION("""COMPUTED_VALUE"""),"Podcast")</f>
        <v>Podcast</v>
      </c>
      <c r="L1007" s="4" t="str">
        <f>IFERROR(__xludf.DUMMYFUNCTION("""COMPUTED_VALUE"""),"T- 6 - 11/05/2020")</f>
        <v>T- 6 - 11/05/2020</v>
      </c>
      <c r="M1007" s="4" t="str">
        <f>IFERROR(__xludf.DUMMYFUNCTION("""COMPUTED_VALUE"""),"In depth: Gilberto Silva")</f>
        <v>In depth: Gilberto Silva</v>
      </c>
      <c r="N1007" s="4" t="str">
        <f>IFERROR(__xludf.DUMMYFUNCTION("""COMPUTED_VALUE"""),"Gilberto Silva, Brazil")</f>
        <v>Gilberto Silva, Brazil</v>
      </c>
      <c r="O1007" s="4" t="str">
        <f>IFERROR(__xludf.DUMMYFUNCTION("""COMPUTED_VALUE"""),"")</f>
        <v/>
      </c>
      <c r="P1007" s="4" t="str">
        <f>IFERROR(__xludf.DUMMYFUNCTION("""COMPUTED_VALUE"""),"")</f>
        <v/>
      </c>
      <c r="Q1007" s="4" t="str">
        <f>IFERROR(__xludf.DUMMYFUNCTION("""COMPUTED_VALUE"""),"")</f>
        <v/>
      </c>
      <c r="R1007" s="4" t="str">
        <f>IFERROR(__xludf.DUMMYFUNCTION("""COMPUTED_VALUE"""),"Tim Chase, TruChallenge")</f>
        <v>Tim Chase, TruChallenge</v>
      </c>
      <c r="S1007" s="4" t="str">
        <f>IFERROR(__xludf.DUMMYFUNCTION("""COMPUTED_VALUE"""),"Gilberto is a former footballer who had a distinguished career with teams in England, Greece and his native Brazil. He won the World Cup with Brazil in 2002, and is one of the Arsenal Invicibles, the team that went the 2003–2004 season unbeaten. Here, in "&amp;"conversation with Tim Chase, he talks about his life, career and what challenges lie ahead.")</f>
        <v>Gilberto is a former footballer who had a distinguished career with teams in England, Greece and his native Brazil. He won the World Cup with Brazil in 2002, and is one of the Arsenal Invicibles, the team that went the 2003–2004 season unbeaten. Here, in conversation with Tim Chase, he talks about his life, career and what challenges lie ahead.</v>
      </c>
      <c r="T1007" s="4" t="str">
        <f>IFERROR(__xludf.DUMMYFUNCTION("""COMPUTED_VALUE"""),"NON-KEYNOTE 9 - COMPLETE")</f>
        <v>NON-KEYNOTE 9 - COMPLETE</v>
      </c>
      <c r="U1007" s="23">
        <f>IFERROR(__xludf.DUMMYFUNCTION("""COMPUTED_VALUE"""),43965.0)</f>
        <v>43965</v>
      </c>
      <c r="V1007" s="4" t="str">
        <f>IFERROR(__xludf.DUMMYFUNCTION("""COMPUTED_VALUE"""),"")</f>
        <v/>
      </c>
      <c r="W1007" s="4" t="str">
        <f>IFERROR(__xludf.DUMMYFUNCTION("""COMPUTED_VALUE"""),"COMPLETE")</f>
        <v>COMPLETE</v>
      </c>
      <c r="X1007" s="4" t="str">
        <f>IFERROR(__xludf.DUMMYFUNCTION("""COMPUTED_VALUE"""),"Darren")</f>
        <v>Darren</v>
      </c>
      <c r="Y1007" s="4" t="str">
        <f>IFERROR(__xludf.DUMMYFUNCTION("""COMPUTED_VALUE"""),"")</f>
        <v/>
      </c>
    </row>
    <row r="1008">
      <c r="A1008" s="4" t="str">
        <f>IFERROR(__xludf.DUMMYFUNCTION("""COMPUTED_VALUE"""),"1138 - Channel")</f>
        <v>1138 - Channel</v>
      </c>
      <c r="B1008" s="4" t="str">
        <f>IFERROR(__xludf.DUMMYFUNCTION("""COMPUTED_VALUE"""),"Channel 4")</f>
        <v>Channel 4</v>
      </c>
      <c r="C1008" s="4" t="str">
        <f>IFERROR(__xludf.DUMMYFUNCTION("""COMPUTED_VALUE"""),"Day 1 - 23/06")</f>
        <v>Day 1 - 23/06</v>
      </c>
      <c r="D1008" s="6">
        <f>IFERROR(__xludf.DUMMYFUNCTION("""COMPUTED_VALUE"""),0.5983217592592593)</f>
        <v>0.5983217593</v>
      </c>
      <c r="E1008" s="6">
        <f>IFERROR(__xludf.DUMMYFUNCTION("""COMPUTED_VALUE"""),0.0012037037037037038)</f>
        <v>0.001203703704</v>
      </c>
      <c r="F1008" s="6">
        <f>IFERROR(__xludf.DUMMYFUNCTION("""COMPUTED_VALUE"""),0.599525462962963)</f>
        <v>0.599525463</v>
      </c>
      <c r="G1008" s="4" t="str">
        <f>IFERROR(__xludf.DUMMYFUNCTION("""COMPUTED_VALUE"""),"")</f>
        <v/>
      </c>
      <c r="H1008" s="4" t="str">
        <f>IFERROR(__xludf.DUMMYFUNCTION("""COMPUTED_VALUE"""),"")</f>
        <v/>
      </c>
      <c r="I1008" s="4" t="str">
        <f>IFERROR(__xludf.DUMMYFUNCTION("""COMPUTED_VALUE"""),"")</f>
        <v/>
      </c>
      <c r="J1008" s="4" t="str">
        <f>IFERROR(__xludf.DUMMYFUNCTION("""COMPUTED_VALUE"""),"")</f>
        <v/>
      </c>
      <c r="K1008" s="4" t="str">
        <f>IFERROR(__xludf.DUMMYFUNCTION("""COMPUTED_VALUE"""),"Web Summit Trailer - full")</f>
        <v>Web Summit Trailer - full</v>
      </c>
      <c r="L1008" s="4" t="str">
        <f>IFERROR(__xludf.DUMMYFUNCTION("""COMPUTED_VALUE"""),"")</f>
        <v/>
      </c>
      <c r="M1008" s="4" t="str">
        <f>IFERROR(__xludf.DUMMYFUNCTION("""COMPUTED_VALUE"""),"Collision From Home Promo")</f>
        <v>Collision From Home Promo</v>
      </c>
      <c r="N1008" s="4" t="str">
        <f>IFERROR(__xludf.DUMMYFUNCTION("""COMPUTED_VALUE"""),"")</f>
        <v/>
      </c>
      <c r="O1008" s="4" t="str">
        <f>IFERROR(__xludf.DUMMYFUNCTION("""COMPUTED_VALUE"""),"")</f>
        <v/>
      </c>
      <c r="P1008" s="4" t="str">
        <f>IFERROR(__xludf.DUMMYFUNCTION("""COMPUTED_VALUE"""),"")</f>
        <v/>
      </c>
      <c r="Q1008" s="4" t="str">
        <f>IFERROR(__xludf.DUMMYFUNCTION("""COMPUTED_VALUE"""),"")</f>
        <v/>
      </c>
      <c r="R1008" s="4" t="str">
        <f>IFERROR(__xludf.DUMMYFUNCTION("""COMPUTED_VALUE"""),"")</f>
        <v/>
      </c>
      <c r="S1008" s="4" t="str">
        <f>IFERROR(__xludf.DUMMYFUNCTION("""COMPUTED_VALUE"""),"")</f>
        <v/>
      </c>
      <c r="T1008" s="4" t="str">
        <f>IFERROR(__xludf.DUMMYFUNCTION("""COMPUTED_VALUE"""),"")</f>
        <v/>
      </c>
      <c r="U1008" s="4" t="str">
        <f>IFERROR(__xludf.DUMMYFUNCTION("""COMPUTED_VALUE"""),"")</f>
        <v/>
      </c>
      <c r="V1008" s="4" t="str">
        <f>IFERROR(__xludf.DUMMYFUNCTION("""COMPUTED_VALUE"""),"")</f>
        <v/>
      </c>
      <c r="W1008" s="4" t="str">
        <f>IFERROR(__xludf.DUMMYFUNCTION("""COMPUTED_VALUE"""),"")</f>
        <v/>
      </c>
      <c r="X1008" s="4" t="str">
        <f>IFERROR(__xludf.DUMMYFUNCTION("""COMPUTED_VALUE"""),"")</f>
        <v/>
      </c>
      <c r="Y1008" s="4" t="str">
        <f>IFERROR(__xludf.DUMMYFUNCTION("""COMPUTED_VALUE"""),"")</f>
        <v/>
      </c>
    </row>
    <row r="1009">
      <c r="A1009" s="4" t="str">
        <f>IFERROR(__xludf.DUMMYFUNCTION("""COMPUTED_VALUE"""),"1193 - Channel")</f>
        <v>1193 - Channel</v>
      </c>
      <c r="B1009" s="4" t="str">
        <f>IFERROR(__xludf.DUMMYFUNCTION("""COMPUTED_VALUE"""),"Channel 4")</f>
        <v>Channel 4</v>
      </c>
      <c r="C1009" s="4" t="str">
        <f>IFERROR(__xludf.DUMMYFUNCTION("""COMPUTED_VALUE"""),"Day 1 - 23/06")</f>
        <v>Day 1 - 23/06</v>
      </c>
      <c r="D1009" s="6">
        <f>IFERROR(__xludf.DUMMYFUNCTION("""COMPUTED_VALUE"""),0.599525462962963)</f>
        <v>0.599525463</v>
      </c>
      <c r="E1009" s="6">
        <f>IFERROR(__xludf.DUMMYFUNCTION("""COMPUTED_VALUE"""),3.4722222222222224E-4)</f>
        <v>0.0003472222222</v>
      </c>
      <c r="F1009" s="6">
        <f>IFERROR(__xludf.DUMMYFUNCTION("""COMPUTED_VALUE"""),0.5998726851851853)</f>
        <v>0.5998726852</v>
      </c>
      <c r="G1009" s="4" t="str">
        <f>IFERROR(__xludf.DUMMYFUNCTION("""COMPUTED_VALUE"""),"")</f>
        <v/>
      </c>
      <c r="H1009" s="4" t="str">
        <f>IFERROR(__xludf.DUMMYFUNCTION("""COMPUTED_VALUE"""),"")</f>
        <v/>
      </c>
      <c r="I1009" s="4" t="str">
        <f>IFERROR(__xludf.DUMMYFUNCTION("""COMPUTED_VALUE"""),"")</f>
        <v/>
      </c>
      <c r="J1009" s="4" t="str">
        <f>IFERROR(__xludf.DUMMYFUNCTION("""COMPUTED_VALUE"""),"")</f>
        <v/>
      </c>
      <c r="K1009" s="4" t="str">
        <f>IFERROR(__xludf.DUMMYFUNCTION("""COMPUTED_VALUE"""),"Talk Intro")</f>
        <v>Talk Intro</v>
      </c>
      <c r="L1009" s="4" t="str">
        <f>IFERROR(__xludf.DUMMYFUNCTION("""COMPUTED_VALUE"""),"")</f>
        <v/>
      </c>
      <c r="M1009" s="4" t="str">
        <f>IFERROR(__xludf.DUMMYFUNCTION("""COMPUTED_VALUE"""),"MC Intro")</f>
        <v>MC Intro</v>
      </c>
      <c r="N1009" s="4" t="str">
        <f>IFERROR(__xludf.DUMMYFUNCTION("""COMPUTED_VALUE"""),"")</f>
        <v/>
      </c>
      <c r="O1009" s="4" t="str">
        <f>IFERROR(__xludf.DUMMYFUNCTION("""COMPUTED_VALUE"""),"")</f>
        <v/>
      </c>
      <c r="P1009" s="4" t="str">
        <f>IFERROR(__xludf.DUMMYFUNCTION("""COMPUTED_VALUE"""),"")</f>
        <v/>
      </c>
      <c r="Q1009" s="4" t="str">
        <f>IFERROR(__xludf.DUMMYFUNCTION("""COMPUTED_VALUE"""),"")</f>
        <v/>
      </c>
      <c r="R1009" s="4" t="str">
        <f>IFERROR(__xludf.DUMMYFUNCTION("""COMPUTED_VALUE"""),"")</f>
        <v/>
      </c>
      <c r="S1009" s="4" t="str">
        <f>IFERROR(__xludf.DUMMYFUNCTION("""COMPUTED_VALUE"""),"")</f>
        <v/>
      </c>
      <c r="T1009" s="4" t="str">
        <f>IFERROR(__xludf.DUMMYFUNCTION("""COMPUTED_VALUE"""),"")</f>
        <v/>
      </c>
      <c r="U1009" s="4" t="str">
        <f>IFERROR(__xludf.DUMMYFUNCTION("""COMPUTED_VALUE"""),"")</f>
        <v/>
      </c>
      <c r="V1009" s="4" t="str">
        <f>IFERROR(__xludf.DUMMYFUNCTION("""COMPUTED_VALUE"""),"")</f>
        <v/>
      </c>
      <c r="W1009" s="4" t="str">
        <f>IFERROR(__xludf.DUMMYFUNCTION("""COMPUTED_VALUE"""),"")</f>
        <v/>
      </c>
      <c r="X1009" s="4" t="str">
        <f>IFERROR(__xludf.DUMMYFUNCTION("""COMPUTED_VALUE"""),"")</f>
        <v/>
      </c>
      <c r="Y1009" s="4" t="str">
        <f>IFERROR(__xludf.DUMMYFUNCTION("""COMPUTED_VALUE"""),"")</f>
        <v/>
      </c>
    </row>
    <row r="1010">
      <c r="A1010" s="4" t="str">
        <f>IFERROR(__xludf.DUMMYFUNCTION("""COMPUTED_VALUE"""),"1194 - Channel")</f>
        <v>1194 - Channel</v>
      </c>
      <c r="B1010" s="4" t="str">
        <f>IFERROR(__xludf.DUMMYFUNCTION("""COMPUTED_VALUE"""),"Channel 4")</f>
        <v>Channel 4</v>
      </c>
      <c r="C1010" s="4" t="str">
        <f>IFERROR(__xludf.DUMMYFUNCTION("""COMPUTED_VALUE"""),"Day 1 - 23/06")</f>
        <v>Day 1 - 23/06</v>
      </c>
      <c r="D1010" s="6">
        <f>IFERROR(__xludf.DUMMYFUNCTION("""COMPUTED_VALUE"""),0.5998726851851853)</f>
        <v>0.5998726852</v>
      </c>
      <c r="E1010" s="6">
        <f>IFERROR(__xludf.DUMMYFUNCTION("""COMPUTED_VALUE"""),0.032442129629629626)</f>
        <v>0.03244212963</v>
      </c>
      <c r="F1010" s="6">
        <f>IFERROR(__xludf.DUMMYFUNCTION("""COMPUTED_VALUE"""),0.632314814814815)</f>
        <v>0.6323148148</v>
      </c>
      <c r="G1010" s="4" t="str">
        <f>IFERROR(__xludf.DUMMYFUNCTION("""COMPUTED_VALUE"""),"Darren")</f>
        <v>Darren</v>
      </c>
      <c r="H1010" s="4" t="str">
        <f>IFERROR(__xludf.DUMMYFUNCTION("""COMPUTED_VALUE"""),"Stephen")</f>
        <v>Stephen</v>
      </c>
      <c r="I1010" s="4" t="str">
        <f>IFERROR(__xludf.DUMMYFUNCTION("""COMPUTED_VALUE"""),"Lucia H.")</f>
        <v>Lucia H.</v>
      </c>
      <c r="J1010" s="4" t="str">
        <f>IFERROR(__xludf.DUMMYFUNCTION("""COMPUTED_VALUE"""),"")</f>
        <v/>
      </c>
      <c r="K1010" s="4" t="str">
        <f>IFERROR(__xludf.DUMMYFUNCTION("""COMPUTED_VALUE"""),"Podcast")</f>
        <v>Podcast</v>
      </c>
      <c r="L1010" s="4" t="str">
        <f>IFERROR(__xludf.DUMMYFUNCTION("""COMPUTED_VALUE"""),"T- 5 - 18/05/2020")</f>
        <v>T- 5 - 18/05/2020</v>
      </c>
      <c r="M1010" s="4" t="str">
        <f>IFERROR(__xludf.DUMMYFUNCTION("""COMPUTED_VALUE"""),"In depth: The Future of Sport")</f>
        <v>In depth: The Future of Sport</v>
      </c>
      <c r="N1010" s="4" t="str">
        <f>IFERROR(__xludf.DUMMYFUNCTION("""COMPUTED_VALUE"""),"Rob Knesaurek, NHL")</f>
        <v>Rob Knesaurek, NHL</v>
      </c>
      <c r="O1010" s="4" t="str">
        <f>IFERROR(__xludf.DUMMYFUNCTION("""COMPUTED_VALUE"""),"Jesse Lovejoy, San Francisco 49ers")</f>
        <v>Jesse Lovejoy, San Francisco 49ers</v>
      </c>
      <c r="P1010" s="4" t="str">
        <f>IFERROR(__xludf.DUMMYFUNCTION("""COMPUTED_VALUE"""),"Mark Parkman, IOC")</f>
        <v>Mark Parkman, IOC</v>
      </c>
      <c r="Q1010" s="4" t="str">
        <f>IFERROR(__xludf.DUMMYFUNCTION("""COMPUTED_VALUE"""),"")</f>
        <v/>
      </c>
      <c r="R1010" s="4" t="str">
        <f>IFERROR(__xludf.DUMMYFUNCTION("""COMPUTED_VALUE"""),"Alexandra Chalat, Beyond Sport")</f>
        <v>Alexandra Chalat, Beyond Sport</v>
      </c>
      <c r="S1010" s="4" t="str">
        <f>IFERROR(__xludf.DUMMYFUNCTION("""COMPUTED_VALUE"""),"Sports organizations around the world are racing to get things back to normal as the financial pressure of the pandemic continues to mount. Empty arenas, reduced schedules, what does the future of sport hold? Four stakeholders from the business of sport c"&amp;"ome together to share their insights.")</f>
        <v>Sports organizations around the world are racing to get things back to normal as the financial pressure of the pandemic continues to mount. Empty arenas, reduced schedules, what does the future of sport hold? Four stakeholders from the business of sport come together to share their insights.</v>
      </c>
      <c r="T1010" s="4" t="str">
        <f>IFERROR(__xludf.DUMMYFUNCTION("""COMPUTED_VALUE"""),"NON-KEYNOTE 9 - COMPLETE")</f>
        <v>NON-KEYNOTE 9 - COMPLETE</v>
      </c>
      <c r="U1010" s="23">
        <f>IFERROR(__xludf.DUMMYFUNCTION("""COMPUTED_VALUE"""),43971.0)</f>
        <v>43971</v>
      </c>
      <c r="V1010" s="24">
        <f>IFERROR(__xludf.DUMMYFUNCTION("""COMPUTED_VALUE"""),0.7916666666666666)</f>
        <v>0.7916666667</v>
      </c>
      <c r="W1010" s="4" t="str">
        <f>IFERROR(__xludf.DUMMYFUNCTION("""COMPUTED_VALUE"""),"COMPLETE")</f>
        <v>COMPLETE</v>
      </c>
      <c r="X1010" s="4" t="str">
        <f>IFERROR(__xludf.DUMMYFUNCTION("""COMPUTED_VALUE"""),"Darren")</f>
        <v>Darren</v>
      </c>
      <c r="Y1010" s="4" t="str">
        <f>IFERROR(__xludf.DUMMYFUNCTION("""COMPUTED_VALUE"""),"")</f>
        <v/>
      </c>
    </row>
    <row r="1011">
      <c r="A1011" s="4" t="str">
        <f>IFERROR(__xludf.DUMMYFUNCTION("""COMPUTED_VALUE"""),"1195 - Channel")</f>
        <v>1195 - Channel</v>
      </c>
      <c r="B1011" s="4" t="str">
        <f>IFERROR(__xludf.DUMMYFUNCTION("""COMPUTED_VALUE"""),"Channel 4")</f>
        <v>Channel 4</v>
      </c>
      <c r="C1011" s="4" t="str">
        <f>IFERROR(__xludf.DUMMYFUNCTION("""COMPUTED_VALUE"""),"Day 1 - 23/06")</f>
        <v>Day 1 - 23/06</v>
      </c>
      <c r="D1011" s="6">
        <f>IFERROR(__xludf.DUMMYFUNCTION("""COMPUTED_VALUE"""),0.632314814814815)</f>
        <v>0.6323148148</v>
      </c>
      <c r="E1011" s="6">
        <f>IFERROR(__xludf.DUMMYFUNCTION("""COMPUTED_VALUE"""),0.0012037037037037038)</f>
        <v>0.001203703704</v>
      </c>
      <c r="F1011" s="6">
        <f>IFERROR(__xludf.DUMMYFUNCTION("""COMPUTED_VALUE"""),0.6335185185185187)</f>
        <v>0.6335185185</v>
      </c>
      <c r="G1011" s="4" t="str">
        <f>IFERROR(__xludf.DUMMYFUNCTION("""COMPUTED_VALUE"""),"")</f>
        <v/>
      </c>
      <c r="H1011" s="4" t="str">
        <f>IFERROR(__xludf.DUMMYFUNCTION("""COMPUTED_VALUE"""),"")</f>
        <v/>
      </c>
      <c r="I1011" s="4" t="str">
        <f>IFERROR(__xludf.DUMMYFUNCTION("""COMPUTED_VALUE"""),"")</f>
        <v/>
      </c>
      <c r="J1011" s="4" t="str">
        <f>IFERROR(__xludf.DUMMYFUNCTION("""COMPUTED_VALUE"""),"")</f>
        <v/>
      </c>
      <c r="K1011" s="4" t="str">
        <f>IFERROR(__xludf.DUMMYFUNCTION("""COMPUTED_VALUE"""),"Web Summit Trailer - full")</f>
        <v>Web Summit Trailer - full</v>
      </c>
      <c r="L1011" s="4" t="str">
        <f>IFERROR(__xludf.DUMMYFUNCTION("""COMPUTED_VALUE"""),"")</f>
        <v/>
      </c>
      <c r="M1011" s="4" t="str">
        <f>IFERROR(__xludf.DUMMYFUNCTION("""COMPUTED_VALUE"""),"Collision From Home Promo")</f>
        <v>Collision From Home Promo</v>
      </c>
      <c r="N1011" s="4" t="str">
        <f>IFERROR(__xludf.DUMMYFUNCTION("""COMPUTED_VALUE"""),"")</f>
        <v/>
      </c>
      <c r="O1011" s="4" t="str">
        <f>IFERROR(__xludf.DUMMYFUNCTION("""COMPUTED_VALUE"""),"")</f>
        <v/>
      </c>
      <c r="P1011" s="4" t="str">
        <f>IFERROR(__xludf.DUMMYFUNCTION("""COMPUTED_VALUE"""),"")</f>
        <v/>
      </c>
      <c r="Q1011" s="4" t="str">
        <f>IFERROR(__xludf.DUMMYFUNCTION("""COMPUTED_VALUE"""),"")</f>
        <v/>
      </c>
      <c r="R1011" s="4" t="str">
        <f>IFERROR(__xludf.DUMMYFUNCTION("""COMPUTED_VALUE"""),"")</f>
        <v/>
      </c>
      <c r="S1011" s="4" t="str">
        <f>IFERROR(__xludf.DUMMYFUNCTION("""COMPUTED_VALUE"""),"")</f>
        <v/>
      </c>
      <c r="T1011" s="4" t="str">
        <f>IFERROR(__xludf.DUMMYFUNCTION("""COMPUTED_VALUE"""),"")</f>
        <v/>
      </c>
      <c r="U1011" s="4" t="str">
        <f>IFERROR(__xludf.DUMMYFUNCTION("""COMPUTED_VALUE"""),"")</f>
        <v/>
      </c>
      <c r="V1011" s="4" t="str">
        <f>IFERROR(__xludf.DUMMYFUNCTION("""COMPUTED_VALUE"""),"")</f>
        <v/>
      </c>
      <c r="W1011" s="4" t="str">
        <f>IFERROR(__xludf.DUMMYFUNCTION("""COMPUTED_VALUE"""),"")</f>
        <v/>
      </c>
      <c r="X1011" s="4" t="str">
        <f>IFERROR(__xludf.DUMMYFUNCTION("""COMPUTED_VALUE"""),"")</f>
        <v/>
      </c>
      <c r="Y1011" s="4" t="str">
        <f>IFERROR(__xludf.DUMMYFUNCTION("""COMPUTED_VALUE"""),"")</f>
        <v/>
      </c>
    </row>
    <row r="1012">
      <c r="A1012" s="4" t="str">
        <f>IFERROR(__xludf.DUMMYFUNCTION("""COMPUTED_VALUE"""),"1190 - Channel")</f>
        <v>1190 - Channel</v>
      </c>
      <c r="B1012" s="4" t="str">
        <f>IFERROR(__xludf.DUMMYFUNCTION("""COMPUTED_VALUE"""),"Channel 4")</f>
        <v>Channel 4</v>
      </c>
      <c r="C1012" s="4" t="str">
        <f>IFERROR(__xludf.DUMMYFUNCTION("""COMPUTED_VALUE"""),"Day 1 - 23/06")</f>
        <v>Day 1 - 23/06</v>
      </c>
      <c r="D1012" s="6">
        <f>IFERROR(__xludf.DUMMYFUNCTION("""COMPUTED_VALUE"""),0.6335185185185187)</f>
        <v>0.6335185185</v>
      </c>
      <c r="E1012" s="6">
        <f>IFERROR(__xludf.DUMMYFUNCTION("""COMPUTED_VALUE"""),3.4722222222222224E-4)</f>
        <v>0.0003472222222</v>
      </c>
      <c r="F1012" s="6">
        <f>IFERROR(__xludf.DUMMYFUNCTION("""COMPUTED_VALUE"""),0.633865740740741)</f>
        <v>0.6338657407</v>
      </c>
      <c r="G1012" s="4" t="str">
        <f>IFERROR(__xludf.DUMMYFUNCTION("""COMPUTED_VALUE"""),"")</f>
        <v/>
      </c>
      <c r="H1012" s="4" t="str">
        <f>IFERROR(__xludf.DUMMYFUNCTION("""COMPUTED_VALUE"""),"")</f>
        <v/>
      </c>
      <c r="I1012" s="4" t="str">
        <f>IFERROR(__xludf.DUMMYFUNCTION("""COMPUTED_VALUE"""),"")</f>
        <v/>
      </c>
      <c r="J1012" s="4" t="str">
        <f>IFERROR(__xludf.DUMMYFUNCTION("""COMPUTED_VALUE"""),"")</f>
        <v/>
      </c>
      <c r="K1012" s="4" t="str">
        <f>IFERROR(__xludf.DUMMYFUNCTION("""COMPUTED_VALUE"""),"Talk Intro")</f>
        <v>Talk Intro</v>
      </c>
      <c r="L1012" s="4" t="str">
        <f>IFERROR(__xludf.DUMMYFUNCTION("""COMPUTED_VALUE"""),"")</f>
        <v/>
      </c>
      <c r="M1012" s="4" t="str">
        <f>IFERROR(__xludf.DUMMYFUNCTION("""COMPUTED_VALUE"""),"MC Intro")</f>
        <v>MC Intro</v>
      </c>
      <c r="N1012" s="4" t="str">
        <f>IFERROR(__xludf.DUMMYFUNCTION("""COMPUTED_VALUE"""),"")</f>
        <v/>
      </c>
      <c r="O1012" s="4" t="str">
        <f>IFERROR(__xludf.DUMMYFUNCTION("""COMPUTED_VALUE"""),"")</f>
        <v/>
      </c>
      <c r="P1012" s="4" t="str">
        <f>IFERROR(__xludf.DUMMYFUNCTION("""COMPUTED_VALUE"""),"")</f>
        <v/>
      </c>
      <c r="Q1012" s="4" t="str">
        <f>IFERROR(__xludf.DUMMYFUNCTION("""COMPUTED_VALUE"""),"")</f>
        <v/>
      </c>
      <c r="R1012" s="4" t="str">
        <f>IFERROR(__xludf.DUMMYFUNCTION("""COMPUTED_VALUE"""),"")</f>
        <v/>
      </c>
      <c r="S1012" s="4" t="str">
        <f>IFERROR(__xludf.DUMMYFUNCTION("""COMPUTED_VALUE"""),"")</f>
        <v/>
      </c>
      <c r="T1012" s="4" t="str">
        <f>IFERROR(__xludf.DUMMYFUNCTION("""COMPUTED_VALUE"""),"")</f>
        <v/>
      </c>
      <c r="U1012" s="4" t="str">
        <f>IFERROR(__xludf.DUMMYFUNCTION("""COMPUTED_VALUE"""),"")</f>
        <v/>
      </c>
      <c r="V1012" s="4" t="str">
        <f>IFERROR(__xludf.DUMMYFUNCTION("""COMPUTED_VALUE"""),"")</f>
        <v/>
      </c>
      <c r="W1012" s="4" t="str">
        <f>IFERROR(__xludf.DUMMYFUNCTION("""COMPUTED_VALUE"""),"")</f>
        <v/>
      </c>
      <c r="X1012" s="4" t="str">
        <f>IFERROR(__xludf.DUMMYFUNCTION("""COMPUTED_VALUE"""),"")</f>
        <v/>
      </c>
      <c r="Y1012" s="4" t="str">
        <f>IFERROR(__xludf.DUMMYFUNCTION("""COMPUTED_VALUE"""),"")</f>
        <v/>
      </c>
    </row>
    <row r="1013">
      <c r="A1013" s="4" t="str">
        <f>IFERROR(__xludf.DUMMYFUNCTION("""COMPUTED_VALUE"""),"1191 - Channel")</f>
        <v>1191 - Channel</v>
      </c>
      <c r="B1013" s="4" t="str">
        <f>IFERROR(__xludf.DUMMYFUNCTION("""COMPUTED_VALUE"""),"Channel 4")</f>
        <v>Channel 4</v>
      </c>
      <c r="C1013" s="4" t="str">
        <f>IFERROR(__xludf.DUMMYFUNCTION("""COMPUTED_VALUE"""),"Day 1 - 23/06")</f>
        <v>Day 1 - 23/06</v>
      </c>
      <c r="D1013" s="6">
        <f>IFERROR(__xludf.DUMMYFUNCTION("""COMPUTED_VALUE"""),0.633865740740741)</f>
        <v>0.6338657407</v>
      </c>
      <c r="E1013" s="6">
        <f>IFERROR(__xludf.DUMMYFUNCTION("""COMPUTED_VALUE"""),0.029166666666666667)</f>
        <v>0.02916666667</v>
      </c>
      <c r="F1013" s="6">
        <f>IFERROR(__xludf.DUMMYFUNCTION("""COMPUTED_VALUE"""),0.6630324074074077)</f>
        <v>0.6630324074</v>
      </c>
      <c r="G1013" s="4" t="str">
        <f>IFERROR(__xludf.DUMMYFUNCTION("""COMPUTED_VALUE"""),"Stephen")</f>
        <v>Stephen</v>
      </c>
      <c r="H1013" s="4" t="str">
        <f>IFERROR(__xludf.DUMMYFUNCTION("""COMPUTED_VALUE"""),"Stephen")</f>
        <v>Stephen</v>
      </c>
      <c r="I1013" s="4" t="str">
        <f>IFERROR(__xludf.DUMMYFUNCTION("""COMPUTED_VALUE"""),"Manon")</f>
        <v>Manon</v>
      </c>
      <c r="J1013" s="4" t="str">
        <f>IFERROR(__xludf.DUMMYFUNCTION("""COMPUTED_VALUE"""),"")</f>
        <v/>
      </c>
      <c r="K1013" s="4" t="str">
        <f>IFERROR(__xludf.DUMMYFUNCTION("""COMPUTED_VALUE"""),"Podcast")</f>
        <v>Podcast</v>
      </c>
      <c r="L1013" s="4" t="str">
        <f>IFERROR(__xludf.DUMMYFUNCTION("""COMPUTED_VALUE"""),"T- 3 - 01/06/2020")</f>
        <v>T- 3 - 01/06/2020</v>
      </c>
      <c r="M1013" s="4" t="str">
        <f>IFERROR(__xludf.DUMMYFUNCTION("""COMPUTED_VALUE"""),"In depth: Editors' roundtable")</f>
        <v>In depth: Editors' roundtable</v>
      </c>
      <c r="N1013" s="4" t="str">
        <f>IFERROR(__xludf.DUMMYFUNCTION("""COMPUTED_VALUE"""),"Stephanie Mehta, Fast Company")</f>
        <v>Stephanie Mehta, Fast Company</v>
      </c>
      <c r="O1013" s="4" t="str">
        <f>IFERROR(__xludf.DUMMYFUNCTION("""COMPUTED_VALUE"""),"Betsy Reed, The Intercept")</f>
        <v>Betsy Reed, The Intercept</v>
      </c>
      <c r="P1013" s="4" t="str">
        <f>IFERROR(__xludf.DUMMYFUNCTION("""COMPUTED_VALUE"""),"")</f>
        <v/>
      </c>
      <c r="Q1013" s="4" t="str">
        <f>IFERROR(__xludf.DUMMYFUNCTION("""COMPUTED_VALUE"""),"")</f>
        <v/>
      </c>
      <c r="R1013" s="4" t="str">
        <f>IFERROR(__xludf.DUMMYFUNCTION("""COMPUTED_VALUE"""),"Nicole Carroll, USA Today")</f>
        <v>Nicole Carroll, USA Today</v>
      </c>
      <c r="S1013" s="4" t="str">
        <f>IFERROR(__xludf.DUMMYFUNCTION("""COMPUTED_VALUE"""),"The importance of the media is evident now more than ever, afflicting the comfortable and comforting the afflicted. The fourth estate is crucial to a functioning democracy and it is facing unprecedented threats from this pandemic. Hear how the media is na"&amp;"vigating these turbulent times.")</f>
        <v>The importance of the media is evident now more than ever, afflicting the comfortable and comforting the afflicted. The fourth estate is crucial to a functioning democracy and it is facing unprecedented threats from this pandemic. Hear how the media is navigating these turbulent times.</v>
      </c>
      <c r="T1013" s="4" t="str">
        <f>IFERROR(__xludf.DUMMYFUNCTION("""COMPUTED_VALUE"""),"NON-KEYNOTE 9 - COMPLETE")</f>
        <v>NON-KEYNOTE 9 - COMPLETE</v>
      </c>
      <c r="U1013" s="23">
        <f>IFERROR(__xludf.DUMMYFUNCTION("""COMPUTED_VALUE"""),43984.0)</f>
        <v>43984</v>
      </c>
      <c r="V1013" s="24">
        <f>IFERROR(__xludf.DUMMYFUNCTION("""COMPUTED_VALUE"""),0.7083333333333334)</f>
        <v>0.7083333333</v>
      </c>
      <c r="W1013" s="4" t="str">
        <f>IFERROR(__xludf.DUMMYFUNCTION("""COMPUTED_VALUE"""),"COMPLETE")</f>
        <v>COMPLETE</v>
      </c>
      <c r="X1013" s="4" t="str">
        <f>IFERROR(__xludf.DUMMYFUNCTION("""COMPUTED_VALUE"""),"Stephen")</f>
        <v>Stephen</v>
      </c>
      <c r="Y1013" s="4" t="str">
        <f>IFERROR(__xludf.DUMMYFUNCTION("""COMPUTED_VALUE"""),"")</f>
        <v/>
      </c>
    </row>
    <row r="1014">
      <c r="A1014" s="4" t="str">
        <f>IFERROR(__xludf.DUMMYFUNCTION("""COMPUTED_VALUE"""),"1192 - Channel")</f>
        <v>1192 - Channel</v>
      </c>
      <c r="B1014" s="4" t="str">
        <f>IFERROR(__xludf.DUMMYFUNCTION("""COMPUTED_VALUE"""),"Channel 4")</f>
        <v>Channel 4</v>
      </c>
      <c r="C1014" s="4" t="str">
        <f>IFERROR(__xludf.DUMMYFUNCTION("""COMPUTED_VALUE"""),"Day 1 - 23/06")</f>
        <v>Day 1 - 23/06</v>
      </c>
      <c r="D1014" s="6">
        <f>IFERROR(__xludf.DUMMYFUNCTION("""COMPUTED_VALUE"""),0.6630324074074077)</f>
        <v>0.6630324074</v>
      </c>
      <c r="E1014" s="6">
        <f>IFERROR(__xludf.DUMMYFUNCTION("""COMPUTED_VALUE"""),0.0012037037037037038)</f>
        <v>0.001203703704</v>
      </c>
      <c r="F1014" s="6">
        <f>IFERROR(__xludf.DUMMYFUNCTION("""COMPUTED_VALUE"""),0.6642361111111114)</f>
        <v>0.6642361111</v>
      </c>
      <c r="G1014" s="4" t="str">
        <f>IFERROR(__xludf.DUMMYFUNCTION("""COMPUTED_VALUE"""),"")</f>
        <v/>
      </c>
      <c r="H1014" s="4" t="str">
        <f>IFERROR(__xludf.DUMMYFUNCTION("""COMPUTED_VALUE"""),"")</f>
        <v/>
      </c>
      <c r="I1014" s="4" t="str">
        <f>IFERROR(__xludf.DUMMYFUNCTION("""COMPUTED_VALUE"""),"")</f>
        <v/>
      </c>
      <c r="J1014" s="4" t="str">
        <f>IFERROR(__xludf.DUMMYFUNCTION("""COMPUTED_VALUE"""),"")</f>
        <v/>
      </c>
      <c r="K1014" s="4" t="str">
        <f>IFERROR(__xludf.DUMMYFUNCTION("""COMPUTED_VALUE"""),"Web Summit Trailer - full")</f>
        <v>Web Summit Trailer - full</v>
      </c>
      <c r="L1014" s="4" t="str">
        <f>IFERROR(__xludf.DUMMYFUNCTION("""COMPUTED_VALUE"""),"")</f>
        <v/>
      </c>
      <c r="M1014" s="4" t="str">
        <f>IFERROR(__xludf.DUMMYFUNCTION("""COMPUTED_VALUE"""),"Collision From Home Promo")</f>
        <v>Collision From Home Promo</v>
      </c>
      <c r="N1014" s="4" t="str">
        <f>IFERROR(__xludf.DUMMYFUNCTION("""COMPUTED_VALUE"""),"")</f>
        <v/>
      </c>
      <c r="O1014" s="4" t="str">
        <f>IFERROR(__xludf.DUMMYFUNCTION("""COMPUTED_VALUE"""),"")</f>
        <v/>
      </c>
      <c r="P1014" s="4" t="str">
        <f>IFERROR(__xludf.DUMMYFUNCTION("""COMPUTED_VALUE"""),"")</f>
        <v/>
      </c>
      <c r="Q1014" s="4" t="str">
        <f>IFERROR(__xludf.DUMMYFUNCTION("""COMPUTED_VALUE"""),"")</f>
        <v/>
      </c>
      <c r="R1014" s="4" t="str">
        <f>IFERROR(__xludf.DUMMYFUNCTION("""COMPUTED_VALUE"""),"")</f>
        <v/>
      </c>
      <c r="S1014" s="4" t="str">
        <f>IFERROR(__xludf.DUMMYFUNCTION("""COMPUTED_VALUE"""),"")</f>
        <v/>
      </c>
      <c r="T1014" s="4" t="str">
        <f>IFERROR(__xludf.DUMMYFUNCTION("""COMPUTED_VALUE"""),"")</f>
        <v/>
      </c>
      <c r="U1014" s="4" t="str">
        <f>IFERROR(__xludf.DUMMYFUNCTION("""COMPUTED_VALUE"""),"")</f>
        <v/>
      </c>
      <c r="V1014" s="4" t="str">
        <f>IFERROR(__xludf.DUMMYFUNCTION("""COMPUTED_VALUE"""),"")</f>
        <v/>
      </c>
      <c r="W1014" s="4" t="str">
        <f>IFERROR(__xludf.DUMMYFUNCTION("""COMPUTED_VALUE"""),"")</f>
        <v/>
      </c>
      <c r="X1014" s="4" t="str">
        <f>IFERROR(__xludf.DUMMYFUNCTION("""COMPUTED_VALUE"""),"")</f>
        <v/>
      </c>
      <c r="Y1014" s="4" t="str">
        <f>IFERROR(__xludf.DUMMYFUNCTION("""COMPUTED_VALUE"""),"")</f>
        <v/>
      </c>
    </row>
    <row r="1015">
      <c r="A1015" s="4" t="str">
        <f>IFERROR(__xludf.DUMMYFUNCTION("""COMPUTED_VALUE"""),"1127 - Channel")</f>
        <v>1127 - Channel</v>
      </c>
      <c r="B1015" s="4" t="str">
        <f>IFERROR(__xludf.DUMMYFUNCTION("""COMPUTED_VALUE"""),"Channel 4")</f>
        <v>Channel 4</v>
      </c>
      <c r="C1015" s="4" t="str">
        <f>IFERROR(__xludf.DUMMYFUNCTION("""COMPUTED_VALUE"""),"Day 1 - 23/06")</f>
        <v>Day 1 - 23/06</v>
      </c>
      <c r="D1015" s="6">
        <f>IFERROR(__xludf.DUMMYFUNCTION("""COMPUTED_VALUE"""),0.6642361111111114)</f>
        <v>0.6642361111</v>
      </c>
      <c r="E1015" s="6">
        <f>IFERROR(__xludf.DUMMYFUNCTION("""COMPUTED_VALUE"""),3.4722222222222224E-4)</f>
        <v>0.0003472222222</v>
      </c>
      <c r="F1015" s="6">
        <f>IFERROR(__xludf.DUMMYFUNCTION("""COMPUTED_VALUE"""),0.6645833333333336)</f>
        <v>0.6645833333</v>
      </c>
      <c r="G1015" s="4" t="str">
        <f>IFERROR(__xludf.DUMMYFUNCTION("""COMPUTED_VALUE"""),"")</f>
        <v/>
      </c>
      <c r="H1015" s="4" t="str">
        <f>IFERROR(__xludf.DUMMYFUNCTION("""COMPUTED_VALUE"""),"")</f>
        <v/>
      </c>
      <c r="I1015" s="4" t="str">
        <f>IFERROR(__xludf.DUMMYFUNCTION("""COMPUTED_VALUE"""),"")</f>
        <v/>
      </c>
      <c r="J1015" s="4" t="str">
        <f>IFERROR(__xludf.DUMMYFUNCTION("""COMPUTED_VALUE"""),"")</f>
        <v/>
      </c>
      <c r="K1015" s="4" t="str">
        <f>IFERROR(__xludf.DUMMYFUNCTION("""COMPUTED_VALUE"""),"Talk Intro")</f>
        <v>Talk Intro</v>
      </c>
      <c r="L1015" s="4" t="str">
        <f>IFERROR(__xludf.DUMMYFUNCTION("""COMPUTED_VALUE"""),"")</f>
        <v/>
      </c>
      <c r="M1015" s="4" t="str">
        <f>IFERROR(__xludf.DUMMYFUNCTION("""COMPUTED_VALUE"""),"MC Intro")</f>
        <v>MC Intro</v>
      </c>
      <c r="N1015" s="4" t="str">
        <f>IFERROR(__xludf.DUMMYFUNCTION("""COMPUTED_VALUE"""),"")</f>
        <v/>
      </c>
      <c r="O1015" s="4" t="str">
        <f>IFERROR(__xludf.DUMMYFUNCTION("""COMPUTED_VALUE"""),"")</f>
        <v/>
      </c>
      <c r="P1015" s="4" t="str">
        <f>IFERROR(__xludf.DUMMYFUNCTION("""COMPUTED_VALUE"""),"")</f>
        <v/>
      </c>
      <c r="Q1015" s="4" t="str">
        <f>IFERROR(__xludf.DUMMYFUNCTION("""COMPUTED_VALUE"""),"")</f>
        <v/>
      </c>
      <c r="R1015" s="4" t="str">
        <f>IFERROR(__xludf.DUMMYFUNCTION("""COMPUTED_VALUE"""),"")</f>
        <v/>
      </c>
      <c r="S1015" s="4" t="str">
        <f>IFERROR(__xludf.DUMMYFUNCTION("""COMPUTED_VALUE"""),"")</f>
        <v/>
      </c>
      <c r="T1015" s="4" t="str">
        <f>IFERROR(__xludf.DUMMYFUNCTION("""COMPUTED_VALUE"""),"")</f>
        <v/>
      </c>
      <c r="U1015" s="4" t="str">
        <f>IFERROR(__xludf.DUMMYFUNCTION("""COMPUTED_VALUE"""),"")</f>
        <v/>
      </c>
      <c r="V1015" s="4" t="str">
        <f>IFERROR(__xludf.DUMMYFUNCTION("""COMPUTED_VALUE"""),"")</f>
        <v/>
      </c>
      <c r="W1015" s="4" t="str">
        <f>IFERROR(__xludf.DUMMYFUNCTION("""COMPUTED_VALUE"""),"")</f>
        <v/>
      </c>
      <c r="X1015" s="4" t="str">
        <f>IFERROR(__xludf.DUMMYFUNCTION("""COMPUTED_VALUE"""),"")</f>
        <v/>
      </c>
      <c r="Y1015" s="4" t="str">
        <f>IFERROR(__xludf.DUMMYFUNCTION("""COMPUTED_VALUE"""),"")</f>
        <v/>
      </c>
    </row>
    <row r="1016">
      <c r="A1016" s="4" t="str">
        <f>IFERROR(__xludf.DUMMYFUNCTION("""COMPUTED_VALUE"""),"1128 - Channel")</f>
        <v>1128 - Channel</v>
      </c>
      <c r="B1016" s="4" t="str">
        <f>IFERROR(__xludf.DUMMYFUNCTION("""COMPUTED_VALUE"""),"Channel 4")</f>
        <v>Channel 4</v>
      </c>
      <c r="C1016" s="4" t="str">
        <f>IFERROR(__xludf.DUMMYFUNCTION("""COMPUTED_VALUE"""),"Day 1 - 23/06")</f>
        <v>Day 1 - 23/06</v>
      </c>
      <c r="D1016" s="6">
        <f>IFERROR(__xludf.DUMMYFUNCTION("""COMPUTED_VALUE"""),0.6645833333333336)</f>
        <v>0.6645833333</v>
      </c>
      <c r="E1016" s="6">
        <f>IFERROR(__xludf.DUMMYFUNCTION("""COMPUTED_VALUE"""),0.017326388888888888)</f>
        <v>0.01732638889</v>
      </c>
      <c r="F1016" s="6">
        <f>IFERROR(__xludf.DUMMYFUNCTION("""COMPUTED_VALUE"""),0.6819097222222226)</f>
        <v>0.6819097222</v>
      </c>
      <c r="G1016" s="4" t="str">
        <f>IFERROR(__xludf.DUMMYFUNCTION("""COMPUTED_VALUE"""),"Colm")</f>
        <v>Colm</v>
      </c>
      <c r="H1016" s="4" t="str">
        <f>IFERROR(__xludf.DUMMYFUNCTION("""COMPUTED_VALUE"""),"Stephen")</f>
        <v>Stephen</v>
      </c>
      <c r="I1016" s="4" t="str">
        <f>IFERROR(__xludf.DUMMYFUNCTION("""COMPUTED_VALUE"""),"Lucia H.")</f>
        <v>Lucia H.</v>
      </c>
      <c r="J1016" s="4" t="str">
        <f>IFERROR(__xludf.DUMMYFUNCTION("""COMPUTED_VALUE"""),"")</f>
        <v/>
      </c>
      <c r="K1016" s="4" t="str">
        <f>IFERROR(__xludf.DUMMYFUNCTION("""COMPUTED_VALUE"""),"Podcast")</f>
        <v>Podcast</v>
      </c>
      <c r="L1016" s="4" t="str">
        <f>IFERROR(__xludf.DUMMYFUNCTION("""COMPUTED_VALUE"""),"T- 4 - 25/05/2020")</f>
        <v>T- 4 - 25/05/2020</v>
      </c>
      <c r="M1016" s="4" t="str">
        <f>IFERROR(__xludf.DUMMYFUNCTION("""COMPUTED_VALUE"""),"In depth: Rana el Kaliouby")</f>
        <v>In depth: Rana el Kaliouby</v>
      </c>
      <c r="N1016" s="4" t="str">
        <f>IFERROR(__xludf.DUMMYFUNCTION("""COMPUTED_VALUE"""),"Rana el Kaliouby, Affectiva")</f>
        <v>Rana el Kaliouby, Affectiva</v>
      </c>
      <c r="O1016" s="4" t="str">
        <f>IFERROR(__xludf.DUMMYFUNCTION("""COMPUTED_VALUE"""),"")</f>
        <v/>
      </c>
      <c r="P1016" s="4" t="str">
        <f>IFERROR(__xludf.DUMMYFUNCTION("""COMPUTED_VALUE"""),"")</f>
        <v/>
      </c>
      <c r="Q1016" s="4" t="str">
        <f>IFERROR(__xludf.DUMMYFUNCTION("""COMPUTED_VALUE"""),"")</f>
        <v/>
      </c>
      <c r="R1016" s="4" t="str">
        <f>IFERROR(__xludf.DUMMYFUNCTION("""COMPUTED_VALUE"""),"Khari Johnson, VentureBeat")</f>
        <v>Khari Johnson, VentureBeat</v>
      </c>
      <c r="S1016" s="4" t="str">
        <f>IFERROR(__xludf.DUMMYFUNCTION("""COMPUTED_VALUE"""),"A pioneer in emotion-based AI, Rana is co-founder and CEO of Affectiva, and author of the book Girl Decoded. In this podcast, she will talk about her life's work to ""humanise technology, before it dehumanises us."" ")</f>
        <v>A pioneer in emotion-based AI, Rana is co-founder and CEO of Affectiva, and author of the book Girl Decoded. In this podcast, she will talk about her life's work to "humanise technology, before it dehumanises us." </v>
      </c>
      <c r="T1016" s="4" t="str">
        <f>IFERROR(__xludf.DUMMYFUNCTION("""COMPUTED_VALUE"""),"NON-KEYNOTE 9 - COMPLETE")</f>
        <v>NON-KEYNOTE 9 - COMPLETE</v>
      </c>
      <c r="U1016" s="23">
        <f>IFERROR(__xludf.DUMMYFUNCTION("""COMPUTED_VALUE"""),43976.0)</f>
        <v>43976</v>
      </c>
      <c r="V1016" s="24">
        <f>IFERROR(__xludf.DUMMYFUNCTION("""COMPUTED_VALUE"""),0.625)</f>
        <v>0.625</v>
      </c>
      <c r="W1016" s="4" t="str">
        <f>IFERROR(__xludf.DUMMYFUNCTION("""COMPUTED_VALUE"""),"COMPLETE")</f>
        <v>COMPLETE</v>
      </c>
      <c r="X1016" s="4" t="str">
        <f>IFERROR(__xludf.DUMMYFUNCTION("""COMPUTED_VALUE"""),"Colm")</f>
        <v>Colm</v>
      </c>
      <c r="Y1016" s="4" t="str">
        <f>IFERROR(__xludf.DUMMYFUNCTION("""COMPUTED_VALUE"""),"")</f>
        <v/>
      </c>
    </row>
    <row r="1017">
      <c r="A1017" s="4" t="str">
        <f>IFERROR(__xludf.DUMMYFUNCTION("""COMPUTED_VALUE"""),"1129 - Channel")</f>
        <v>1129 - Channel</v>
      </c>
      <c r="B1017" s="4" t="str">
        <f>IFERROR(__xludf.DUMMYFUNCTION("""COMPUTED_VALUE"""),"Channel 4")</f>
        <v>Channel 4</v>
      </c>
      <c r="C1017" s="4" t="str">
        <f>IFERROR(__xludf.DUMMYFUNCTION("""COMPUTED_VALUE"""),"Day 1 - 23/06")</f>
        <v>Day 1 - 23/06</v>
      </c>
      <c r="D1017" s="6">
        <f>IFERROR(__xludf.DUMMYFUNCTION("""COMPUTED_VALUE"""),0.6819097222222226)</f>
        <v>0.6819097222</v>
      </c>
      <c r="E1017" s="6">
        <f>IFERROR(__xludf.DUMMYFUNCTION("""COMPUTED_VALUE"""),0.0012037037037037038)</f>
        <v>0.001203703704</v>
      </c>
      <c r="F1017" s="6">
        <f>IFERROR(__xludf.DUMMYFUNCTION("""COMPUTED_VALUE"""),0.6831134259259263)</f>
        <v>0.6831134259</v>
      </c>
      <c r="G1017" s="4" t="str">
        <f>IFERROR(__xludf.DUMMYFUNCTION("""COMPUTED_VALUE"""),"")</f>
        <v/>
      </c>
      <c r="H1017" s="4" t="str">
        <f>IFERROR(__xludf.DUMMYFUNCTION("""COMPUTED_VALUE"""),"")</f>
        <v/>
      </c>
      <c r="I1017" s="4" t="str">
        <f>IFERROR(__xludf.DUMMYFUNCTION("""COMPUTED_VALUE"""),"")</f>
        <v/>
      </c>
      <c r="J1017" s="4" t="str">
        <f>IFERROR(__xludf.DUMMYFUNCTION("""COMPUTED_VALUE"""),"")</f>
        <v/>
      </c>
      <c r="K1017" s="4" t="str">
        <f>IFERROR(__xludf.DUMMYFUNCTION("""COMPUTED_VALUE"""),"Web Summit Trailer - full")</f>
        <v>Web Summit Trailer - full</v>
      </c>
      <c r="L1017" s="4" t="str">
        <f>IFERROR(__xludf.DUMMYFUNCTION("""COMPUTED_VALUE"""),"")</f>
        <v/>
      </c>
      <c r="M1017" s="4" t="str">
        <f>IFERROR(__xludf.DUMMYFUNCTION("""COMPUTED_VALUE"""),"Collision From Home Promo")</f>
        <v>Collision From Home Promo</v>
      </c>
      <c r="N1017" s="4" t="str">
        <f>IFERROR(__xludf.DUMMYFUNCTION("""COMPUTED_VALUE"""),"")</f>
        <v/>
      </c>
      <c r="O1017" s="4" t="str">
        <f>IFERROR(__xludf.DUMMYFUNCTION("""COMPUTED_VALUE"""),"")</f>
        <v/>
      </c>
      <c r="P1017" s="4" t="str">
        <f>IFERROR(__xludf.DUMMYFUNCTION("""COMPUTED_VALUE"""),"")</f>
        <v/>
      </c>
      <c r="Q1017" s="4" t="str">
        <f>IFERROR(__xludf.DUMMYFUNCTION("""COMPUTED_VALUE"""),"")</f>
        <v/>
      </c>
      <c r="R1017" s="4" t="str">
        <f>IFERROR(__xludf.DUMMYFUNCTION("""COMPUTED_VALUE"""),"")</f>
        <v/>
      </c>
      <c r="S1017" s="4" t="str">
        <f>IFERROR(__xludf.DUMMYFUNCTION("""COMPUTED_VALUE"""),"")</f>
        <v/>
      </c>
      <c r="T1017" s="4" t="str">
        <f>IFERROR(__xludf.DUMMYFUNCTION("""COMPUTED_VALUE"""),"")</f>
        <v/>
      </c>
      <c r="U1017" s="4" t="str">
        <f>IFERROR(__xludf.DUMMYFUNCTION("""COMPUTED_VALUE"""),"")</f>
        <v/>
      </c>
      <c r="V1017" s="4" t="str">
        <f>IFERROR(__xludf.DUMMYFUNCTION("""COMPUTED_VALUE"""),"")</f>
        <v/>
      </c>
      <c r="W1017" s="4" t="str">
        <f>IFERROR(__xludf.DUMMYFUNCTION("""COMPUTED_VALUE"""),"")</f>
        <v/>
      </c>
      <c r="X1017" s="4" t="str">
        <f>IFERROR(__xludf.DUMMYFUNCTION("""COMPUTED_VALUE"""),"")</f>
        <v/>
      </c>
      <c r="Y1017" s="4" t="str">
        <f>IFERROR(__xludf.DUMMYFUNCTION("""COMPUTED_VALUE"""),"")</f>
        <v/>
      </c>
    </row>
    <row r="1018">
      <c r="A1018" s="4" t="str">
        <f>IFERROR(__xludf.DUMMYFUNCTION("""COMPUTED_VALUE"""),"1663 - Channel")</f>
        <v>1663 - Channel</v>
      </c>
      <c r="B1018" s="4" t="str">
        <f>IFERROR(__xludf.DUMMYFUNCTION("""COMPUTED_VALUE"""),"Channel 4")</f>
        <v>Channel 4</v>
      </c>
      <c r="C1018" s="4" t="str">
        <f>IFERROR(__xludf.DUMMYFUNCTION("""COMPUTED_VALUE"""),"Day 1 - 23/06")</f>
        <v>Day 1 - 23/06</v>
      </c>
      <c r="D1018" s="6">
        <f>IFERROR(__xludf.DUMMYFUNCTION("""COMPUTED_VALUE"""),0.6831134259259263)</f>
        <v>0.6831134259</v>
      </c>
      <c r="E1018" s="6">
        <f>IFERROR(__xludf.DUMMYFUNCTION("""COMPUTED_VALUE"""),3.4722222222222224E-4)</f>
        <v>0.0003472222222</v>
      </c>
      <c r="F1018" s="6">
        <f>IFERROR(__xludf.DUMMYFUNCTION("""COMPUTED_VALUE"""),0.6834606481481486)</f>
        <v>0.6834606481</v>
      </c>
      <c r="G1018" s="4" t="str">
        <f>IFERROR(__xludf.DUMMYFUNCTION("""COMPUTED_VALUE"""),"")</f>
        <v/>
      </c>
      <c r="H1018" s="4" t="str">
        <f>IFERROR(__xludf.DUMMYFUNCTION("""COMPUTED_VALUE"""),"")</f>
        <v/>
      </c>
      <c r="I1018" s="4" t="str">
        <f>IFERROR(__xludf.DUMMYFUNCTION("""COMPUTED_VALUE"""),"")</f>
        <v/>
      </c>
      <c r="J1018" s="4" t="str">
        <f>IFERROR(__xludf.DUMMYFUNCTION("""COMPUTED_VALUE"""),"")</f>
        <v/>
      </c>
      <c r="K1018" s="4" t="str">
        <f>IFERROR(__xludf.DUMMYFUNCTION("""COMPUTED_VALUE"""),"Talk Intro")</f>
        <v>Talk Intro</v>
      </c>
      <c r="L1018" s="4" t="str">
        <f>IFERROR(__xludf.DUMMYFUNCTION("""COMPUTED_VALUE"""),"")</f>
        <v/>
      </c>
      <c r="M1018" s="4" t="str">
        <f>IFERROR(__xludf.DUMMYFUNCTION("""COMPUTED_VALUE"""),"MC Intro")</f>
        <v>MC Intro</v>
      </c>
      <c r="N1018" s="4" t="str">
        <f>IFERROR(__xludf.DUMMYFUNCTION("""COMPUTED_VALUE"""),"")</f>
        <v/>
      </c>
      <c r="O1018" s="4" t="str">
        <f>IFERROR(__xludf.DUMMYFUNCTION("""COMPUTED_VALUE"""),"")</f>
        <v/>
      </c>
      <c r="P1018" s="4" t="str">
        <f>IFERROR(__xludf.DUMMYFUNCTION("""COMPUTED_VALUE"""),"")</f>
        <v/>
      </c>
      <c r="Q1018" s="4" t="str">
        <f>IFERROR(__xludf.DUMMYFUNCTION("""COMPUTED_VALUE"""),"")</f>
        <v/>
      </c>
      <c r="R1018" s="4" t="str">
        <f>IFERROR(__xludf.DUMMYFUNCTION("""COMPUTED_VALUE"""),"")</f>
        <v/>
      </c>
      <c r="S1018" s="4" t="str">
        <f>IFERROR(__xludf.DUMMYFUNCTION("""COMPUTED_VALUE"""),"")</f>
        <v/>
      </c>
      <c r="T1018" s="4" t="str">
        <f>IFERROR(__xludf.DUMMYFUNCTION("""COMPUTED_VALUE"""),"")</f>
        <v/>
      </c>
      <c r="U1018" s="4" t="str">
        <f>IFERROR(__xludf.DUMMYFUNCTION("""COMPUTED_VALUE"""),"")</f>
        <v/>
      </c>
      <c r="V1018" s="4" t="str">
        <f>IFERROR(__xludf.DUMMYFUNCTION("""COMPUTED_VALUE"""),"")</f>
        <v/>
      </c>
      <c r="W1018" s="4" t="str">
        <f>IFERROR(__xludf.DUMMYFUNCTION("""COMPUTED_VALUE"""),"")</f>
        <v/>
      </c>
      <c r="X1018" s="4" t="str">
        <f>IFERROR(__xludf.DUMMYFUNCTION("""COMPUTED_VALUE"""),"")</f>
        <v/>
      </c>
      <c r="Y1018" s="4" t="str">
        <f>IFERROR(__xludf.DUMMYFUNCTION("""COMPUTED_VALUE"""),"")</f>
        <v/>
      </c>
    </row>
    <row r="1019">
      <c r="A1019" s="4" t="str">
        <f>IFERROR(__xludf.DUMMYFUNCTION("""COMPUTED_VALUE"""),"1664 - Channel")</f>
        <v>1664 - Channel</v>
      </c>
      <c r="B1019" s="4" t="str">
        <f>IFERROR(__xludf.DUMMYFUNCTION("""COMPUTED_VALUE"""),"Channel 4")</f>
        <v>Channel 4</v>
      </c>
      <c r="C1019" s="4" t="str">
        <f>IFERROR(__xludf.DUMMYFUNCTION("""COMPUTED_VALUE"""),"Day 1 - 23/06")</f>
        <v>Day 1 - 23/06</v>
      </c>
      <c r="D1019" s="6">
        <f>IFERROR(__xludf.DUMMYFUNCTION("""COMPUTED_VALUE"""),0.6834606481481486)</f>
        <v>0.6834606481</v>
      </c>
      <c r="E1019" s="6">
        <f>IFERROR(__xludf.DUMMYFUNCTION("""COMPUTED_VALUE"""),0.018055555555555554)</f>
        <v>0.01805555556</v>
      </c>
      <c r="F1019" s="6">
        <f>IFERROR(__xludf.DUMMYFUNCTION("""COMPUTED_VALUE"""),0.7015162037037042)</f>
        <v>0.7015162037</v>
      </c>
      <c r="G1019" s="4" t="str">
        <f>IFERROR(__xludf.DUMMYFUNCTION("""COMPUTED_VALUE"""),"Darren")</f>
        <v>Darren</v>
      </c>
      <c r="H1019" s="4" t="str">
        <f>IFERROR(__xludf.DUMMYFUNCTION("""COMPUTED_VALUE"""),"")</f>
        <v/>
      </c>
      <c r="I1019" s="4" t="str">
        <f>IFERROR(__xludf.DUMMYFUNCTION("""COMPUTED_VALUE"""),"")</f>
        <v/>
      </c>
      <c r="J1019" s="4" t="str">
        <f>IFERROR(__xludf.DUMMYFUNCTION("""COMPUTED_VALUE"""),"")</f>
        <v/>
      </c>
      <c r="K1019" s="4" t="str">
        <f>IFERROR(__xludf.DUMMYFUNCTION("""COMPUTED_VALUE"""),"Podcast")</f>
        <v>Podcast</v>
      </c>
      <c r="L1019" s="4" t="str">
        <f>IFERROR(__xludf.DUMMYFUNCTION("""COMPUTED_VALUE"""),"T- 3 - 01/06/2020")</f>
        <v>T- 3 - 01/06/2020</v>
      </c>
      <c r="M1019" s="4" t="str">
        <f>IFERROR(__xludf.DUMMYFUNCTION("""COMPUTED_VALUE"""),"Hoop Dreams: Meet the NBA stars turned entrepreneurs")</f>
        <v>Hoop Dreams: Meet the NBA stars turned entrepreneurs</v>
      </c>
      <c r="N1019" s="4" t="str">
        <f>IFERROR(__xludf.DUMMYFUNCTION("""COMPUTED_VALUE"""),"Al Harrington, NBA")</f>
        <v>Al Harrington, NBA</v>
      </c>
      <c r="O1019" s="4" t="str">
        <f>IFERROR(__xludf.DUMMYFUNCTION("""COMPUTED_VALUE"""),"Langston Galloway, Detroit Pistons")</f>
        <v>Langston Galloway, Detroit Pistons</v>
      </c>
      <c r="P1019" s="4" t="str">
        <f>IFERROR(__xludf.DUMMYFUNCTION("""COMPUTED_VALUE"""),"Rondae Hollis Jefferson, Toronto Raptors")</f>
        <v>Rondae Hollis Jefferson, Toronto Raptors</v>
      </c>
      <c r="Q1019" s="4" t="str">
        <f>IFERROR(__xludf.DUMMYFUNCTION("""COMPUTED_VALUE"""),"")</f>
        <v/>
      </c>
      <c r="R1019" s="4" t="str">
        <f>IFERROR(__xludf.DUMMYFUNCTION("""COMPUTED_VALUE"""),"Randy Osei, Rozaay Management")</f>
        <v>Randy Osei, Rozaay Management</v>
      </c>
      <c r="S1019" s="4" t="str">
        <f>IFERROR(__xludf.DUMMYFUNCTION("""COMPUTED_VALUE"""),"In this specially extended session, NBA stars Al Harrington, Langston Galloway and Rondae Hollis discuss their entrepreneurial endeavours")</f>
        <v>In this specially extended session, NBA stars Al Harrington, Langston Galloway and Rondae Hollis discuss their entrepreneurial endeavours</v>
      </c>
      <c r="T1019" s="4" t="str">
        <f>IFERROR(__xludf.DUMMYFUNCTION("""COMPUTED_VALUE"""),"NON-KEYNOTE 9 - COMPLETE")</f>
        <v>NON-KEYNOTE 9 - COMPLETE</v>
      </c>
      <c r="U1019" s="23">
        <f>IFERROR(__xludf.DUMMYFUNCTION("""COMPUTED_VALUE"""),43980.0)</f>
        <v>43980</v>
      </c>
      <c r="V1019" s="4" t="str">
        <f>IFERROR(__xludf.DUMMYFUNCTION("""COMPUTED_VALUE"""),"")</f>
        <v/>
      </c>
      <c r="W1019" s="4" t="str">
        <f>IFERROR(__xludf.DUMMYFUNCTION("""COMPUTED_VALUE"""),"COMPLETE")</f>
        <v>COMPLETE</v>
      </c>
      <c r="X1019" s="4" t="str">
        <f>IFERROR(__xludf.DUMMYFUNCTION("""COMPUTED_VALUE"""),"")</f>
        <v/>
      </c>
      <c r="Y1019" s="4" t="str">
        <f>IFERROR(__xludf.DUMMYFUNCTION("""COMPUTED_VALUE"""),"")</f>
        <v/>
      </c>
    </row>
    <row r="1020">
      <c r="A1020" s="4" t="str">
        <f>IFERROR(__xludf.DUMMYFUNCTION("""COMPUTED_VALUE"""),"1665 - Channel")</f>
        <v>1665 - Channel</v>
      </c>
      <c r="B1020" s="4" t="str">
        <f>IFERROR(__xludf.DUMMYFUNCTION("""COMPUTED_VALUE"""),"Channel 4")</f>
        <v>Channel 4</v>
      </c>
      <c r="C1020" s="4" t="str">
        <f>IFERROR(__xludf.DUMMYFUNCTION("""COMPUTED_VALUE"""),"Day 1 - 23/06")</f>
        <v>Day 1 - 23/06</v>
      </c>
      <c r="D1020" s="6">
        <f>IFERROR(__xludf.DUMMYFUNCTION("""COMPUTED_VALUE"""),0.7015162037037042)</f>
        <v>0.7015162037</v>
      </c>
      <c r="E1020" s="6">
        <f>IFERROR(__xludf.DUMMYFUNCTION("""COMPUTED_VALUE"""),0.0012037037037037038)</f>
        <v>0.001203703704</v>
      </c>
      <c r="F1020" s="6">
        <f>IFERROR(__xludf.DUMMYFUNCTION("""COMPUTED_VALUE"""),0.7027199074074079)</f>
        <v>0.7027199074</v>
      </c>
      <c r="G1020" s="4" t="str">
        <f>IFERROR(__xludf.DUMMYFUNCTION("""COMPUTED_VALUE"""),"")</f>
        <v/>
      </c>
      <c r="H1020" s="4" t="str">
        <f>IFERROR(__xludf.DUMMYFUNCTION("""COMPUTED_VALUE"""),"")</f>
        <v/>
      </c>
      <c r="I1020" s="4" t="str">
        <f>IFERROR(__xludf.DUMMYFUNCTION("""COMPUTED_VALUE"""),"")</f>
        <v/>
      </c>
      <c r="J1020" s="4" t="str">
        <f>IFERROR(__xludf.DUMMYFUNCTION("""COMPUTED_VALUE"""),"")</f>
        <v/>
      </c>
      <c r="K1020" s="4" t="str">
        <f>IFERROR(__xludf.DUMMYFUNCTION("""COMPUTED_VALUE"""),"Web Summit Trailer - full")</f>
        <v>Web Summit Trailer - full</v>
      </c>
      <c r="L1020" s="4" t="str">
        <f>IFERROR(__xludf.DUMMYFUNCTION("""COMPUTED_VALUE"""),"")</f>
        <v/>
      </c>
      <c r="M1020" s="4" t="str">
        <f>IFERROR(__xludf.DUMMYFUNCTION("""COMPUTED_VALUE"""),"Collision From Home Promo")</f>
        <v>Collision From Home Promo</v>
      </c>
      <c r="N1020" s="4" t="str">
        <f>IFERROR(__xludf.DUMMYFUNCTION("""COMPUTED_VALUE"""),"")</f>
        <v/>
      </c>
      <c r="O1020" s="4" t="str">
        <f>IFERROR(__xludf.DUMMYFUNCTION("""COMPUTED_VALUE"""),"")</f>
        <v/>
      </c>
      <c r="P1020" s="4" t="str">
        <f>IFERROR(__xludf.DUMMYFUNCTION("""COMPUTED_VALUE"""),"")</f>
        <v/>
      </c>
      <c r="Q1020" s="4" t="str">
        <f>IFERROR(__xludf.DUMMYFUNCTION("""COMPUTED_VALUE"""),"")</f>
        <v/>
      </c>
      <c r="R1020" s="4" t="str">
        <f>IFERROR(__xludf.DUMMYFUNCTION("""COMPUTED_VALUE"""),"")</f>
        <v/>
      </c>
      <c r="S1020" s="4" t="str">
        <f>IFERROR(__xludf.DUMMYFUNCTION("""COMPUTED_VALUE"""),"")</f>
        <v/>
      </c>
      <c r="T1020" s="4" t="str">
        <f>IFERROR(__xludf.DUMMYFUNCTION("""COMPUTED_VALUE"""),"")</f>
        <v/>
      </c>
      <c r="U1020" s="4" t="str">
        <f>IFERROR(__xludf.DUMMYFUNCTION("""COMPUTED_VALUE"""),"")</f>
        <v/>
      </c>
      <c r="V1020" s="4" t="str">
        <f>IFERROR(__xludf.DUMMYFUNCTION("""COMPUTED_VALUE"""),"")</f>
        <v/>
      </c>
      <c r="W1020" s="4" t="str">
        <f>IFERROR(__xludf.DUMMYFUNCTION("""COMPUTED_VALUE"""),"")</f>
        <v/>
      </c>
      <c r="X1020" s="4" t="str">
        <f>IFERROR(__xludf.DUMMYFUNCTION("""COMPUTED_VALUE"""),"")</f>
        <v/>
      </c>
      <c r="Y1020" s="4" t="str">
        <f>IFERROR(__xludf.DUMMYFUNCTION("""COMPUTED_VALUE"""),"")</f>
        <v/>
      </c>
    </row>
    <row r="1021">
      <c r="A1021" s="4" t="str">
        <f>IFERROR(__xludf.DUMMYFUNCTION("""COMPUTED_VALUE"""),"1151 - Channel")</f>
        <v>1151 - Channel</v>
      </c>
      <c r="B1021" s="4" t="str">
        <f>IFERROR(__xludf.DUMMYFUNCTION("""COMPUTED_VALUE"""),"Channel 4")</f>
        <v>Channel 4</v>
      </c>
      <c r="C1021" s="4" t="str">
        <f>IFERROR(__xludf.DUMMYFUNCTION("""COMPUTED_VALUE"""),"Day 1 - 23/06")</f>
        <v>Day 1 - 23/06</v>
      </c>
      <c r="D1021" s="6">
        <f>IFERROR(__xludf.DUMMYFUNCTION("""COMPUTED_VALUE"""),0.6831134259259263)</f>
        <v>0.6831134259</v>
      </c>
      <c r="E1021" s="6">
        <f>IFERROR(__xludf.DUMMYFUNCTION("""COMPUTED_VALUE"""),0.0)</f>
        <v>0</v>
      </c>
      <c r="F1021" s="6">
        <f>IFERROR(__xludf.DUMMYFUNCTION("""COMPUTED_VALUE"""),0.6831134259259263)</f>
        <v>0.6831134259</v>
      </c>
      <c r="G1021" s="4" t="str">
        <f>IFERROR(__xludf.DUMMYFUNCTION("""COMPUTED_VALUE"""),"")</f>
        <v/>
      </c>
      <c r="H1021" s="4" t="str">
        <f>IFERROR(__xludf.DUMMYFUNCTION("""COMPUTED_VALUE"""),"")</f>
        <v/>
      </c>
      <c r="I1021" s="4" t="str">
        <f>IFERROR(__xludf.DUMMYFUNCTION("""COMPUTED_VALUE"""),"")</f>
        <v/>
      </c>
      <c r="J1021" s="4" t="str">
        <f>IFERROR(__xludf.DUMMYFUNCTION("""COMPUTED_VALUE"""),"")</f>
        <v/>
      </c>
      <c r="K1021" s="4" t="str">
        <f>IFERROR(__xludf.DUMMYFUNCTION("""COMPUTED_VALUE"""),"Talk Outro")</f>
        <v>Talk Outro</v>
      </c>
      <c r="L1021" s="4" t="str">
        <f>IFERROR(__xludf.DUMMYFUNCTION("""COMPUTED_VALUE"""),"")</f>
        <v/>
      </c>
      <c r="M1021" s="4" t="str">
        <f>IFERROR(__xludf.DUMMYFUNCTION("""COMPUTED_VALUE"""),"MC Outro")</f>
        <v>MC Outro</v>
      </c>
      <c r="N1021" s="4" t="str">
        <f>IFERROR(__xludf.DUMMYFUNCTION("""COMPUTED_VALUE"""),"")</f>
        <v/>
      </c>
      <c r="O1021" s="4" t="str">
        <f>IFERROR(__xludf.DUMMYFUNCTION("""COMPUTED_VALUE"""),"")</f>
        <v/>
      </c>
      <c r="P1021" s="4" t="str">
        <f>IFERROR(__xludf.DUMMYFUNCTION("""COMPUTED_VALUE"""),"")</f>
        <v/>
      </c>
      <c r="Q1021" s="4" t="str">
        <f>IFERROR(__xludf.DUMMYFUNCTION("""COMPUTED_VALUE"""),"")</f>
        <v/>
      </c>
      <c r="R1021" s="4" t="str">
        <f>IFERROR(__xludf.DUMMYFUNCTION("""COMPUTED_VALUE"""),"")</f>
        <v/>
      </c>
      <c r="S1021" s="4" t="str">
        <f>IFERROR(__xludf.DUMMYFUNCTION("""COMPUTED_VALUE"""),"")</f>
        <v/>
      </c>
      <c r="T1021" s="4" t="str">
        <f>IFERROR(__xludf.DUMMYFUNCTION("""COMPUTED_VALUE"""),"")</f>
        <v/>
      </c>
      <c r="U1021" s="4" t="str">
        <f>IFERROR(__xludf.DUMMYFUNCTION("""COMPUTED_VALUE"""),"")</f>
        <v/>
      </c>
      <c r="V1021" s="4" t="str">
        <f>IFERROR(__xludf.DUMMYFUNCTION("""COMPUTED_VALUE"""),"")</f>
        <v/>
      </c>
      <c r="W1021" s="4" t="str">
        <f>IFERROR(__xludf.DUMMYFUNCTION("""COMPUTED_VALUE"""),"")</f>
        <v/>
      </c>
      <c r="X1021" s="4" t="str">
        <f>IFERROR(__xludf.DUMMYFUNCTION("""COMPUTED_VALUE"""),"")</f>
        <v/>
      </c>
      <c r="Y1021" s="4" t="str">
        <f>IFERROR(__xludf.DUMMYFUNCTION("""COMPUTED_VALUE"""),"")</f>
        <v/>
      </c>
    </row>
    <row r="1022">
      <c r="A1022" s="4" t="str">
        <f>IFERROR(__xludf.DUMMYFUNCTION("""COMPUTED_VALUE"""),"1152 - Channel")</f>
        <v>1152 - Channel</v>
      </c>
      <c r="B1022" s="4" t="str">
        <f>IFERROR(__xludf.DUMMYFUNCTION("""COMPUTED_VALUE"""),"Channel 4")</f>
        <v>Channel 4</v>
      </c>
      <c r="C1022" s="4" t="str">
        <f>IFERROR(__xludf.DUMMYFUNCTION("""COMPUTED_VALUE"""),"Day 1 - 23/06")</f>
        <v>Day 1 - 23/06</v>
      </c>
      <c r="D1022" s="6">
        <f>IFERROR(__xludf.DUMMYFUNCTION("""COMPUTED_VALUE"""),0.6831134259259263)</f>
        <v>0.6831134259</v>
      </c>
      <c r="E1022" s="6">
        <f>IFERROR(__xludf.DUMMYFUNCTION("""COMPUTED_VALUE"""),0.0)</f>
        <v>0</v>
      </c>
      <c r="F1022" s="6">
        <f>IFERROR(__xludf.DUMMYFUNCTION("""COMPUTED_VALUE"""),0.6831134259259263)</f>
        <v>0.6831134259</v>
      </c>
      <c r="G1022" s="4" t="str">
        <f>IFERROR(__xludf.DUMMYFUNCTION("""COMPUTED_VALUE"""),"")</f>
        <v/>
      </c>
      <c r="H1022" s="4" t="str">
        <f>IFERROR(__xludf.DUMMYFUNCTION("""COMPUTED_VALUE"""),"")</f>
        <v/>
      </c>
      <c r="I1022" s="4" t="str">
        <f>IFERROR(__xludf.DUMMYFUNCTION("""COMPUTED_VALUE"""),"")</f>
        <v/>
      </c>
      <c r="J1022" s="4" t="str">
        <f>IFERROR(__xludf.DUMMYFUNCTION("""COMPUTED_VALUE"""),"")</f>
        <v/>
      </c>
      <c r="K1022" s="4" t="str">
        <f>IFERROR(__xludf.DUMMYFUNCTION("""COMPUTED_VALUE"""),"")</f>
        <v/>
      </c>
      <c r="L1022" s="4" t="str">
        <f>IFERROR(__xludf.DUMMYFUNCTION("""COMPUTED_VALUE"""),"")</f>
        <v/>
      </c>
      <c r="M1022" s="4" t="str">
        <f>IFERROR(__xludf.DUMMYFUNCTION("""COMPUTED_VALUE"""),"")</f>
        <v/>
      </c>
      <c r="N1022" s="4" t="str">
        <f>IFERROR(__xludf.DUMMYFUNCTION("""COMPUTED_VALUE"""),"")</f>
        <v/>
      </c>
      <c r="O1022" s="4" t="str">
        <f>IFERROR(__xludf.DUMMYFUNCTION("""COMPUTED_VALUE"""),"")</f>
        <v/>
      </c>
      <c r="P1022" s="4" t="str">
        <f>IFERROR(__xludf.DUMMYFUNCTION("""COMPUTED_VALUE"""),"")</f>
        <v/>
      </c>
      <c r="Q1022" s="4" t="str">
        <f>IFERROR(__xludf.DUMMYFUNCTION("""COMPUTED_VALUE"""),"")</f>
        <v/>
      </c>
      <c r="R1022" s="4" t="str">
        <f>IFERROR(__xludf.DUMMYFUNCTION("""COMPUTED_VALUE"""),"")</f>
        <v/>
      </c>
      <c r="S1022" s="4" t="str">
        <f>IFERROR(__xludf.DUMMYFUNCTION("""COMPUTED_VALUE"""),"")</f>
        <v/>
      </c>
      <c r="T1022" s="4" t="str">
        <f>IFERROR(__xludf.DUMMYFUNCTION("""COMPUTED_VALUE"""),"")</f>
        <v/>
      </c>
      <c r="U1022" s="4" t="str">
        <f>IFERROR(__xludf.DUMMYFUNCTION("""COMPUTED_VALUE"""),"")</f>
        <v/>
      </c>
      <c r="V1022" s="4" t="str">
        <f>IFERROR(__xludf.DUMMYFUNCTION("""COMPUTED_VALUE"""),"")</f>
        <v/>
      </c>
      <c r="W1022" s="4" t="str">
        <f>IFERROR(__xludf.DUMMYFUNCTION("""COMPUTED_VALUE"""),"")</f>
        <v/>
      </c>
      <c r="X1022" s="4" t="str">
        <f>IFERROR(__xludf.DUMMYFUNCTION("""COMPUTED_VALUE"""),"")</f>
        <v/>
      </c>
      <c r="Y1022" s="4" t="str">
        <f>IFERROR(__xludf.DUMMYFUNCTION("""COMPUTED_VALUE"""),"")</f>
        <v/>
      </c>
    </row>
    <row r="1023">
      <c r="A1023" s="4" t="str">
        <f>IFERROR(__xludf.DUMMYFUNCTION("""COMPUTED_VALUE"""),"1153 - Channel")</f>
        <v>1153 - Channel</v>
      </c>
      <c r="B1023" s="4" t="str">
        <f>IFERROR(__xludf.DUMMYFUNCTION("""COMPUTED_VALUE"""),"Channel 4")</f>
        <v>Channel 4</v>
      </c>
      <c r="C1023" s="4" t="str">
        <f>IFERROR(__xludf.DUMMYFUNCTION("""COMPUTED_VALUE"""),"Day 1 - 23/06")</f>
        <v>Day 1 - 23/06</v>
      </c>
      <c r="D1023" s="6">
        <f>IFERROR(__xludf.DUMMYFUNCTION("""COMPUTED_VALUE"""),0.6831134259259263)</f>
        <v>0.6831134259</v>
      </c>
      <c r="E1023" s="6">
        <f>IFERROR(__xludf.DUMMYFUNCTION("""COMPUTED_VALUE"""),0.0)</f>
        <v>0</v>
      </c>
      <c r="F1023" s="6">
        <f>IFERROR(__xludf.DUMMYFUNCTION("""COMPUTED_VALUE"""),0.6831134259259263)</f>
        <v>0.6831134259</v>
      </c>
      <c r="G1023" s="4" t="str">
        <f>IFERROR(__xludf.DUMMYFUNCTION("""COMPUTED_VALUE"""),"")</f>
        <v/>
      </c>
      <c r="H1023" s="4" t="str">
        <f>IFERROR(__xludf.DUMMYFUNCTION("""COMPUTED_VALUE"""),"")</f>
        <v/>
      </c>
      <c r="I1023" s="4" t="str">
        <f>IFERROR(__xludf.DUMMYFUNCTION("""COMPUTED_VALUE"""),"")</f>
        <v/>
      </c>
      <c r="J1023" s="4" t="str">
        <f>IFERROR(__xludf.DUMMYFUNCTION("""COMPUTED_VALUE"""),"")</f>
        <v/>
      </c>
      <c r="K1023" s="4" t="str">
        <f>IFERROR(__xludf.DUMMYFUNCTION("""COMPUTED_VALUE"""),"")</f>
        <v/>
      </c>
      <c r="L1023" s="4" t="str">
        <f>IFERROR(__xludf.DUMMYFUNCTION("""COMPUTED_VALUE"""),"")</f>
        <v/>
      </c>
      <c r="M1023" s="4" t="str">
        <f>IFERROR(__xludf.DUMMYFUNCTION("""COMPUTED_VALUE"""),"")</f>
        <v/>
      </c>
      <c r="N1023" s="4" t="str">
        <f>IFERROR(__xludf.DUMMYFUNCTION("""COMPUTED_VALUE"""),"")</f>
        <v/>
      </c>
      <c r="O1023" s="4" t="str">
        <f>IFERROR(__xludf.DUMMYFUNCTION("""COMPUTED_VALUE"""),"")</f>
        <v/>
      </c>
      <c r="P1023" s="4" t="str">
        <f>IFERROR(__xludf.DUMMYFUNCTION("""COMPUTED_VALUE"""),"")</f>
        <v/>
      </c>
      <c r="Q1023" s="4" t="str">
        <f>IFERROR(__xludf.DUMMYFUNCTION("""COMPUTED_VALUE"""),"")</f>
        <v/>
      </c>
      <c r="R1023" s="4" t="str">
        <f>IFERROR(__xludf.DUMMYFUNCTION("""COMPUTED_VALUE"""),"")</f>
        <v/>
      </c>
      <c r="S1023" s="4" t="str">
        <f>IFERROR(__xludf.DUMMYFUNCTION("""COMPUTED_VALUE"""),"")</f>
        <v/>
      </c>
      <c r="T1023" s="4" t="str">
        <f>IFERROR(__xludf.DUMMYFUNCTION("""COMPUTED_VALUE"""),"")</f>
        <v/>
      </c>
      <c r="U1023" s="4" t="str">
        <f>IFERROR(__xludf.DUMMYFUNCTION("""COMPUTED_VALUE"""),"")</f>
        <v/>
      </c>
      <c r="V1023" s="4" t="str">
        <f>IFERROR(__xludf.DUMMYFUNCTION("""COMPUTED_VALUE"""),"")</f>
        <v/>
      </c>
      <c r="W1023" s="4" t="str">
        <f>IFERROR(__xludf.DUMMYFUNCTION("""COMPUTED_VALUE"""),"")</f>
        <v/>
      </c>
      <c r="X1023" s="4" t="str">
        <f>IFERROR(__xludf.DUMMYFUNCTION("""COMPUTED_VALUE"""),"")</f>
        <v/>
      </c>
      <c r="Y1023" s="4" t="str">
        <f>IFERROR(__xludf.DUMMYFUNCTION("""COMPUTED_VALUE"""),"")</f>
        <v/>
      </c>
    </row>
    <row r="1024">
      <c r="A1024" s="4" t="str">
        <f>IFERROR(__xludf.DUMMYFUNCTION("""COMPUTED_VALUE"""),"1154 - Channel")</f>
        <v>1154 - Channel</v>
      </c>
      <c r="B1024" s="4" t="str">
        <f>IFERROR(__xludf.DUMMYFUNCTION("""COMPUTED_VALUE"""),"Channel 4")</f>
        <v>Channel 4</v>
      </c>
      <c r="C1024" s="4" t="str">
        <f>IFERROR(__xludf.DUMMYFUNCTION("""COMPUTED_VALUE"""),"Day 1 - 23/06")</f>
        <v>Day 1 - 23/06</v>
      </c>
      <c r="D1024" s="6">
        <f>IFERROR(__xludf.DUMMYFUNCTION("""COMPUTED_VALUE"""),0.6831134259259263)</f>
        <v>0.6831134259</v>
      </c>
      <c r="E1024" s="6">
        <f>IFERROR(__xludf.DUMMYFUNCTION("""COMPUTED_VALUE"""),0.0)</f>
        <v>0</v>
      </c>
      <c r="F1024" s="6">
        <f>IFERROR(__xludf.DUMMYFUNCTION("""COMPUTED_VALUE"""),0.6831134259259263)</f>
        <v>0.6831134259</v>
      </c>
      <c r="G1024" s="4" t="str">
        <f>IFERROR(__xludf.DUMMYFUNCTION("""COMPUTED_VALUE"""),"")</f>
        <v/>
      </c>
      <c r="H1024" s="4" t="str">
        <f>IFERROR(__xludf.DUMMYFUNCTION("""COMPUTED_VALUE"""),"")</f>
        <v/>
      </c>
      <c r="I1024" s="4" t="str">
        <f>IFERROR(__xludf.DUMMYFUNCTION("""COMPUTED_VALUE"""),"")</f>
        <v/>
      </c>
      <c r="J1024" s="4" t="str">
        <f>IFERROR(__xludf.DUMMYFUNCTION("""COMPUTED_VALUE"""),"")</f>
        <v/>
      </c>
      <c r="K1024" s="4" t="str">
        <f>IFERROR(__xludf.DUMMYFUNCTION("""COMPUTED_VALUE"""),"")</f>
        <v/>
      </c>
      <c r="L1024" s="4" t="str">
        <f>IFERROR(__xludf.DUMMYFUNCTION("""COMPUTED_VALUE"""),"")</f>
        <v/>
      </c>
      <c r="M1024" s="4" t="str">
        <f>IFERROR(__xludf.DUMMYFUNCTION("""COMPUTED_VALUE"""),"")</f>
        <v/>
      </c>
      <c r="N1024" s="4" t="str">
        <f>IFERROR(__xludf.DUMMYFUNCTION("""COMPUTED_VALUE"""),"")</f>
        <v/>
      </c>
      <c r="O1024" s="4" t="str">
        <f>IFERROR(__xludf.DUMMYFUNCTION("""COMPUTED_VALUE"""),"")</f>
        <v/>
      </c>
      <c r="P1024" s="4" t="str">
        <f>IFERROR(__xludf.DUMMYFUNCTION("""COMPUTED_VALUE"""),"")</f>
        <v/>
      </c>
      <c r="Q1024" s="4" t="str">
        <f>IFERROR(__xludf.DUMMYFUNCTION("""COMPUTED_VALUE"""),"")</f>
        <v/>
      </c>
      <c r="R1024" s="4" t="str">
        <f>IFERROR(__xludf.DUMMYFUNCTION("""COMPUTED_VALUE"""),"")</f>
        <v/>
      </c>
      <c r="S1024" s="4" t="str">
        <f>IFERROR(__xludf.DUMMYFUNCTION("""COMPUTED_VALUE"""),"")</f>
        <v/>
      </c>
      <c r="T1024" s="4" t="str">
        <f>IFERROR(__xludf.DUMMYFUNCTION("""COMPUTED_VALUE"""),"")</f>
        <v/>
      </c>
      <c r="U1024" s="4" t="str">
        <f>IFERROR(__xludf.DUMMYFUNCTION("""COMPUTED_VALUE"""),"")</f>
        <v/>
      </c>
      <c r="V1024" s="4" t="str">
        <f>IFERROR(__xludf.DUMMYFUNCTION("""COMPUTED_VALUE"""),"")</f>
        <v/>
      </c>
      <c r="W1024" s="4" t="str">
        <f>IFERROR(__xludf.DUMMYFUNCTION("""COMPUTED_VALUE"""),"")</f>
        <v/>
      </c>
      <c r="X1024" s="4" t="str">
        <f>IFERROR(__xludf.DUMMYFUNCTION("""COMPUTED_VALUE"""),"")</f>
        <v/>
      </c>
      <c r="Y1024" s="4" t="str">
        <f>IFERROR(__xludf.DUMMYFUNCTION("""COMPUTED_VALUE"""),"")</f>
        <v/>
      </c>
    </row>
    <row r="1025">
      <c r="A1025" s="4" t="str">
        <f>IFERROR(__xludf.DUMMYFUNCTION("""COMPUTED_VALUE"""),"1155 - Channel")</f>
        <v>1155 - Channel</v>
      </c>
      <c r="B1025" s="4" t="str">
        <f>IFERROR(__xludf.DUMMYFUNCTION("""COMPUTED_VALUE"""),"Channel 4")</f>
        <v>Channel 4</v>
      </c>
      <c r="C1025" s="4" t="str">
        <f>IFERROR(__xludf.DUMMYFUNCTION("""COMPUTED_VALUE"""),"Day 1 - 23/06")</f>
        <v>Day 1 - 23/06</v>
      </c>
      <c r="D1025" s="6">
        <f>IFERROR(__xludf.DUMMYFUNCTION("""COMPUTED_VALUE"""),0.6831134259259263)</f>
        <v>0.6831134259</v>
      </c>
      <c r="E1025" s="6">
        <f>IFERROR(__xludf.DUMMYFUNCTION("""COMPUTED_VALUE"""),0.0)</f>
        <v>0</v>
      </c>
      <c r="F1025" s="6">
        <f>IFERROR(__xludf.DUMMYFUNCTION("""COMPUTED_VALUE"""),0.6831134259259263)</f>
        <v>0.6831134259</v>
      </c>
      <c r="G1025" s="4" t="str">
        <f>IFERROR(__xludf.DUMMYFUNCTION("""COMPUTED_VALUE"""),"")</f>
        <v/>
      </c>
      <c r="H1025" s="4" t="str">
        <f>IFERROR(__xludf.DUMMYFUNCTION("""COMPUTED_VALUE"""),"")</f>
        <v/>
      </c>
      <c r="I1025" s="4" t="str">
        <f>IFERROR(__xludf.DUMMYFUNCTION("""COMPUTED_VALUE"""),"")</f>
        <v/>
      </c>
      <c r="J1025" s="4" t="str">
        <f>IFERROR(__xludf.DUMMYFUNCTION("""COMPUTED_VALUE"""),"")</f>
        <v/>
      </c>
      <c r="K1025" s="4" t="str">
        <f>IFERROR(__xludf.DUMMYFUNCTION("""COMPUTED_VALUE"""),"")</f>
        <v/>
      </c>
      <c r="L1025" s="4" t="str">
        <f>IFERROR(__xludf.DUMMYFUNCTION("""COMPUTED_VALUE"""),"")</f>
        <v/>
      </c>
      <c r="M1025" s="4" t="str">
        <f>IFERROR(__xludf.DUMMYFUNCTION("""COMPUTED_VALUE"""),"")</f>
        <v/>
      </c>
      <c r="N1025" s="4" t="str">
        <f>IFERROR(__xludf.DUMMYFUNCTION("""COMPUTED_VALUE"""),"")</f>
        <v/>
      </c>
      <c r="O1025" s="4" t="str">
        <f>IFERROR(__xludf.DUMMYFUNCTION("""COMPUTED_VALUE"""),"")</f>
        <v/>
      </c>
      <c r="P1025" s="4" t="str">
        <f>IFERROR(__xludf.DUMMYFUNCTION("""COMPUTED_VALUE"""),"")</f>
        <v/>
      </c>
      <c r="Q1025" s="4" t="str">
        <f>IFERROR(__xludf.DUMMYFUNCTION("""COMPUTED_VALUE"""),"")</f>
        <v/>
      </c>
      <c r="R1025" s="4" t="str">
        <f>IFERROR(__xludf.DUMMYFUNCTION("""COMPUTED_VALUE"""),"")</f>
        <v/>
      </c>
      <c r="S1025" s="4" t="str">
        <f>IFERROR(__xludf.DUMMYFUNCTION("""COMPUTED_VALUE"""),"")</f>
        <v/>
      </c>
      <c r="T1025" s="4" t="str">
        <f>IFERROR(__xludf.DUMMYFUNCTION("""COMPUTED_VALUE"""),"")</f>
        <v/>
      </c>
      <c r="U1025" s="4" t="str">
        <f>IFERROR(__xludf.DUMMYFUNCTION("""COMPUTED_VALUE"""),"")</f>
        <v/>
      </c>
      <c r="V1025" s="4" t="str">
        <f>IFERROR(__xludf.DUMMYFUNCTION("""COMPUTED_VALUE"""),"")</f>
        <v/>
      </c>
      <c r="W1025" s="4" t="str">
        <f>IFERROR(__xludf.DUMMYFUNCTION("""COMPUTED_VALUE"""),"")</f>
        <v/>
      </c>
      <c r="X1025" s="4" t="str">
        <f>IFERROR(__xludf.DUMMYFUNCTION("""COMPUTED_VALUE"""),"")</f>
        <v/>
      </c>
      <c r="Y1025" s="4" t="str">
        <f>IFERROR(__xludf.DUMMYFUNCTION("""COMPUTED_VALUE"""),"")</f>
        <v/>
      </c>
    </row>
    <row r="1026">
      <c r="A1026" s="4" t="str">
        <f>IFERROR(__xludf.DUMMYFUNCTION("""COMPUTED_VALUE"""),"1156 - Channel")</f>
        <v>1156 - Channel</v>
      </c>
      <c r="B1026" s="4" t="str">
        <f>IFERROR(__xludf.DUMMYFUNCTION("""COMPUTED_VALUE"""),"Channel 4")</f>
        <v>Channel 4</v>
      </c>
      <c r="C1026" s="4" t="str">
        <f>IFERROR(__xludf.DUMMYFUNCTION("""COMPUTED_VALUE"""),"Day 1 - 23/06")</f>
        <v>Day 1 - 23/06</v>
      </c>
      <c r="D1026" s="6">
        <f>IFERROR(__xludf.DUMMYFUNCTION("""COMPUTED_VALUE"""),0.6831134259259263)</f>
        <v>0.6831134259</v>
      </c>
      <c r="E1026" s="6">
        <f>IFERROR(__xludf.DUMMYFUNCTION("""COMPUTED_VALUE"""),0.0)</f>
        <v>0</v>
      </c>
      <c r="F1026" s="6">
        <f>IFERROR(__xludf.DUMMYFUNCTION("""COMPUTED_VALUE"""),0.6831134259259263)</f>
        <v>0.6831134259</v>
      </c>
      <c r="G1026" s="4" t="str">
        <f>IFERROR(__xludf.DUMMYFUNCTION("""COMPUTED_VALUE"""),"")</f>
        <v/>
      </c>
      <c r="H1026" s="4" t="str">
        <f>IFERROR(__xludf.DUMMYFUNCTION("""COMPUTED_VALUE"""),"")</f>
        <v/>
      </c>
      <c r="I1026" s="4" t="str">
        <f>IFERROR(__xludf.DUMMYFUNCTION("""COMPUTED_VALUE"""),"")</f>
        <v/>
      </c>
      <c r="J1026" s="4" t="str">
        <f>IFERROR(__xludf.DUMMYFUNCTION("""COMPUTED_VALUE"""),"")</f>
        <v/>
      </c>
      <c r="K1026" s="4" t="str">
        <f>IFERROR(__xludf.DUMMYFUNCTION("""COMPUTED_VALUE"""),"")</f>
        <v/>
      </c>
      <c r="L1026" s="4" t="str">
        <f>IFERROR(__xludf.DUMMYFUNCTION("""COMPUTED_VALUE"""),"")</f>
        <v/>
      </c>
      <c r="M1026" s="4" t="str">
        <f>IFERROR(__xludf.DUMMYFUNCTION("""COMPUTED_VALUE"""),"")</f>
        <v/>
      </c>
      <c r="N1026" s="4" t="str">
        <f>IFERROR(__xludf.DUMMYFUNCTION("""COMPUTED_VALUE"""),"")</f>
        <v/>
      </c>
      <c r="O1026" s="4" t="str">
        <f>IFERROR(__xludf.DUMMYFUNCTION("""COMPUTED_VALUE"""),"")</f>
        <v/>
      </c>
      <c r="P1026" s="4" t="str">
        <f>IFERROR(__xludf.DUMMYFUNCTION("""COMPUTED_VALUE"""),"")</f>
        <v/>
      </c>
      <c r="Q1026" s="4" t="str">
        <f>IFERROR(__xludf.DUMMYFUNCTION("""COMPUTED_VALUE"""),"")</f>
        <v/>
      </c>
      <c r="R1026" s="4" t="str">
        <f>IFERROR(__xludf.DUMMYFUNCTION("""COMPUTED_VALUE"""),"")</f>
        <v/>
      </c>
      <c r="S1026" s="4" t="str">
        <f>IFERROR(__xludf.DUMMYFUNCTION("""COMPUTED_VALUE"""),"")</f>
        <v/>
      </c>
      <c r="T1026" s="4" t="str">
        <f>IFERROR(__xludf.DUMMYFUNCTION("""COMPUTED_VALUE"""),"")</f>
        <v/>
      </c>
      <c r="U1026" s="4" t="str">
        <f>IFERROR(__xludf.DUMMYFUNCTION("""COMPUTED_VALUE"""),"")</f>
        <v/>
      </c>
      <c r="V1026" s="4" t="str">
        <f>IFERROR(__xludf.DUMMYFUNCTION("""COMPUTED_VALUE"""),"")</f>
        <v/>
      </c>
      <c r="W1026" s="4" t="str">
        <f>IFERROR(__xludf.DUMMYFUNCTION("""COMPUTED_VALUE"""),"")</f>
        <v/>
      </c>
      <c r="X1026" s="4" t="str">
        <f>IFERROR(__xludf.DUMMYFUNCTION("""COMPUTED_VALUE"""),"")</f>
        <v/>
      </c>
      <c r="Y1026" s="4" t="str">
        <f>IFERROR(__xludf.DUMMYFUNCTION("""COMPUTED_VALUE"""),"")</f>
        <v/>
      </c>
    </row>
    <row r="1027">
      <c r="A1027" s="4" t="str">
        <f>IFERROR(__xludf.DUMMYFUNCTION("""COMPUTED_VALUE"""),"1157 - Channel")</f>
        <v>1157 - Channel</v>
      </c>
      <c r="B1027" s="4" t="str">
        <f>IFERROR(__xludf.DUMMYFUNCTION("""COMPUTED_VALUE"""),"Channel 4")</f>
        <v>Channel 4</v>
      </c>
      <c r="C1027" s="4" t="str">
        <f>IFERROR(__xludf.DUMMYFUNCTION("""COMPUTED_VALUE"""),"Day 1 - 23/06")</f>
        <v>Day 1 - 23/06</v>
      </c>
      <c r="D1027" s="6">
        <f>IFERROR(__xludf.DUMMYFUNCTION("""COMPUTED_VALUE"""),0.6831134259259263)</f>
        <v>0.6831134259</v>
      </c>
      <c r="E1027" s="6">
        <f>IFERROR(__xludf.DUMMYFUNCTION("""COMPUTED_VALUE"""),0.0)</f>
        <v>0</v>
      </c>
      <c r="F1027" s="6">
        <f>IFERROR(__xludf.DUMMYFUNCTION("""COMPUTED_VALUE"""),0.6831134259259263)</f>
        <v>0.6831134259</v>
      </c>
      <c r="G1027" s="4" t="str">
        <f>IFERROR(__xludf.DUMMYFUNCTION("""COMPUTED_VALUE"""),"")</f>
        <v/>
      </c>
      <c r="H1027" s="4" t="str">
        <f>IFERROR(__xludf.DUMMYFUNCTION("""COMPUTED_VALUE"""),"")</f>
        <v/>
      </c>
      <c r="I1027" s="4" t="str">
        <f>IFERROR(__xludf.DUMMYFUNCTION("""COMPUTED_VALUE"""),"")</f>
        <v/>
      </c>
      <c r="J1027" s="4" t="str">
        <f>IFERROR(__xludf.DUMMYFUNCTION("""COMPUTED_VALUE"""),"")</f>
        <v/>
      </c>
      <c r="K1027" s="4" t="str">
        <f>IFERROR(__xludf.DUMMYFUNCTION("""COMPUTED_VALUE"""),"")</f>
        <v/>
      </c>
      <c r="L1027" s="4" t="str">
        <f>IFERROR(__xludf.DUMMYFUNCTION("""COMPUTED_VALUE"""),"")</f>
        <v/>
      </c>
      <c r="M1027" s="4" t="str">
        <f>IFERROR(__xludf.DUMMYFUNCTION("""COMPUTED_VALUE"""),"")</f>
        <v/>
      </c>
      <c r="N1027" s="4" t="str">
        <f>IFERROR(__xludf.DUMMYFUNCTION("""COMPUTED_VALUE"""),"")</f>
        <v/>
      </c>
      <c r="O1027" s="4" t="str">
        <f>IFERROR(__xludf.DUMMYFUNCTION("""COMPUTED_VALUE"""),"")</f>
        <v/>
      </c>
      <c r="P1027" s="4" t="str">
        <f>IFERROR(__xludf.DUMMYFUNCTION("""COMPUTED_VALUE"""),"")</f>
        <v/>
      </c>
      <c r="Q1027" s="4" t="str">
        <f>IFERROR(__xludf.DUMMYFUNCTION("""COMPUTED_VALUE"""),"")</f>
        <v/>
      </c>
      <c r="R1027" s="4" t="str">
        <f>IFERROR(__xludf.DUMMYFUNCTION("""COMPUTED_VALUE"""),"")</f>
        <v/>
      </c>
      <c r="S1027" s="4" t="str">
        <f>IFERROR(__xludf.DUMMYFUNCTION("""COMPUTED_VALUE"""),"")</f>
        <v/>
      </c>
      <c r="T1027" s="4" t="str">
        <f>IFERROR(__xludf.DUMMYFUNCTION("""COMPUTED_VALUE"""),"")</f>
        <v/>
      </c>
      <c r="U1027" s="4" t="str">
        <f>IFERROR(__xludf.DUMMYFUNCTION("""COMPUTED_VALUE"""),"")</f>
        <v/>
      </c>
      <c r="V1027" s="4" t="str">
        <f>IFERROR(__xludf.DUMMYFUNCTION("""COMPUTED_VALUE"""),"")</f>
        <v/>
      </c>
      <c r="W1027" s="4" t="str">
        <f>IFERROR(__xludf.DUMMYFUNCTION("""COMPUTED_VALUE"""),"")</f>
        <v/>
      </c>
      <c r="X1027" s="4" t="str">
        <f>IFERROR(__xludf.DUMMYFUNCTION("""COMPUTED_VALUE"""),"")</f>
        <v/>
      </c>
      <c r="Y1027" s="4" t="str">
        <f>IFERROR(__xludf.DUMMYFUNCTION("""COMPUTED_VALUE"""),"")</f>
        <v/>
      </c>
    </row>
    <row r="1028">
      <c r="A1028" s="4" t="str">
        <f>IFERROR(__xludf.DUMMYFUNCTION("""COMPUTED_VALUE"""),"1158 - Channel")</f>
        <v>1158 - Channel</v>
      </c>
      <c r="B1028" s="4" t="str">
        <f>IFERROR(__xludf.DUMMYFUNCTION("""COMPUTED_VALUE"""),"Channel 4")</f>
        <v>Channel 4</v>
      </c>
      <c r="C1028" s="4" t="str">
        <f>IFERROR(__xludf.DUMMYFUNCTION("""COMPUTED_VALUE"""),"Day 1 - 23/06")</f>
        <v>Day 1 - 23/06</v>
      </c>
      <c r="D1028" s="6">
        <f>IFERROR(__xludf.DUMMYFUNCTION("""COMPUTED_VALUE"""),0.6831134259259263)</f>
        <v>0.6831134259</v>
      </c>
      <c r="E1028" s="6">
        <f>IFERROR(__xludf.DUMMYFUNCTION("""COMPUTED_VALUE"""),0.0)</f>
        <v>0</v>
      </c>
      <c r="F1028" s="6">
        <f>IFERROR(__xludf.DUMMYFUNCTION("""COMPUTED_VALUE"""),0.6831134259259263)</f>
        <v>0.6831134259</v>
      </c>
      <c r="G1028" s="4" t="str">
        <f>IFERROR(__xludf.DUMMYFUNCTION("""COMPUTED_VALUE"""),"")</f>
        <v/>
      </c>
      <c r="H1028" s="4" t="str">
        <f>IFERROR(__xludf.DUMMYFUNCTION("""COMPUTED_VALUE"""),"")</f>
        <v/>
      </c>
      <c r="I1028" s="4" t="str">
        <f>IFERROR(__xludf.DUMMYFUNCTION("""COMPUTED_VALUE"""),"")</f>
        <v/>
      </c>
      <c r="J1028" s="4" t="str">
        <f>IFERROR(__xludf.DUMMYFUNCTION("""COMPUTED_VALUE"""),"")</f>
        <v/>
      </c>
      <c r="K1028" s="4" t="str">
        <f>IFERROR(__xludf.DUMMYFUNCTION("""COMPUTED_VALUE"""),"")</f>
        <v/>
      </c>
      <c r="L1028" s="4" t="str">
        <f>IFERROR(__xludf.DUMMYFUNCTION("""COMPUTED_VALUE"""),"")</f>
        <v/>
      </c>
      <c r="M1028" s="4" t="str">
        <f>IFERROR(__xludf.DUMMYFUNCTION("""COMPUTED_VALUE"""),"")</f>
        <v/>
      </c>
      <c r="N1028" s="4" t="str">
        <f>IFERROR(__xludf.DUMMYFUNCTION("""COMPUTED_VALUE"""),"")</f>
        <v/>
      </c>
      <c r="O1028" s="4" t="str">
        <f>IFERROR(__xludf.DUMMYFUNCTION("""COMPUTED_VALUE"""),"")</f>
        <v/>
      </c>
      <c r="P1028" s="4" t="str">
        <f>IFERROR(__xludf.DUMMYFUNCTION("""COMPUTED_VALUE"""),"")</f>
        <v/>
      </c>
      <c r="Q1028" s="4" t="str">
        <f>IFERROR(__xludf.DUMMYFUNCTION("""COMPUTED_VALUE"""),"")</f>
        <v/>
      </c>
      <c r="R1028" s="4" t="str">
        <f>IFERROR(__xludf.DUMMYFUNCTION("""COMPUTED_VALUE"""),"")</f>
        <v/>
      </c>
      <c r="S1028" s="4" t="str">
        <f>IFERROR(__xludf.DUMMYFUNCTION("""COMPUTED_VALUE"""),"")</f>
        <v/>
      </c>
      <c r="T1028" s="4" t="str">
        <f>IFERROR(__xludf.DUMMYFUNCTION("""COMPUTED_VALUE"""),"")</f>
        <v/>
      </c>
      <c r="U1028" s="4" t="str">
        <f>IFERROR(__xludf.DUMMYFUNCTION("""COMPUTED_VALUE"""),"")</f>
        <v/>
      </c>
      <c r="V1028" s="4" t="str">
        <f>IFERROR(__xludf.DUMMYFUNCTION("""COMPUTED_VALUE"""),"")</f>
        <v/>
      </c>
      <c r="W1028" s="4" t="str">
        <f>IFERROR(__xludf.DUMMYFUNCTION("""COMPUTED_VALUE"""),"")</f>
        <v/>
      </c>
      <c r="X1028" s="4" t="str">
        <f>IFERROR(__xludf.DUMMYFUNCTION("""COMPUTED_VALUE"""),"")</f>
        <v/>
      </c>
      <c r="Y1028" s="4" t="str">
        <f>IFERROR(__xludf.DUMMYFUNCTION("""COMPUTED_VALUE"""),"")</f>
        <v/>
      </c>
    </row>
    <row r="1029">
      <c r="A1029" s="4" t="str">
        <f>IFERROR(__xludf.DUMMYFUNCTION("""COMPUTED_VALUE"""),"1159 - Channel")</f>
        <v>1159 - Channel</v>
      </c>
      <c r="B1029" s="4" t="str">
        <f>IFERROR(__xludf.DUMMYFUNCTION("""COMPUTED_VALUE"""),"Channel 4")</f>
        <v>Channel 4</v>
      </c>
      <c r="C1029" s="4" t="str">
        <f>IFERROR(__xludf.DUMMYFUNCTION("""COMPUTED_VALUE"""),"Day 1 - 23/06")</f>
        <v>Day 1 - 23/06</v>
      </c>
      <c r="D1029" s="6">
        <f>IFERROR(__xludf.DUMMYFUNCTION("""COMPUTED_VALUE"""),0.6831134259259263)</f>
        <v>0.6831134259</v>
      </c>
      <c r="E1029" s="6">
        <f>IFERROR(__xludf.DUMMYFUNCTION("""COMPUTED_VALUE"""),0.0)</f>
        <v>0</v>
      </c>
      <c r="F1029" s="6">
        <f>IFERROR(__xludf.DUMMYFUNCTION("""COMPUTED_VALUE"""),0.6831134259259263)</f>
        <v>0.6831134259</v>
      </c>
      <c r="G1029" s="4" t="str">
        <f>IFERROR(__xludf.DUMMYFUNCTION("""COMPUTED_VALUE"""),"")</f>
        <v/>
      </c>
      <c r="H1029" s="4" t="str">
        <f>IFERROR(__xludf.DUMMYFUNCTION("""COMPUTED_VALUE"""),"")</f>
        <v/>
      </c>
      <c r="I1029" s="4" t="str">
        <f>IFERROR(__xludf.DUMMYFUNCTION("""COMPUTED_VALUE"""),"")</f>
        <v/>
      </c>
      <c r="J1029" s="4" t="str">
        <f>IFERROR(__xludf.DUMMYFUNCTION("""COMPUTED_VALUE"""),"")</f>
        <v/>
      </c>
      <c r="K1029" s="4" t="str">
        <f>IFERROR(__xludf.DUMMYFUNCTION("""COMPUTED_VALUE"""),"")</f>
        <v/>
      </c>
      <c r="L1029" s="4" t="str">
        <f>IFERROR(__xludf.DUMMYFUNCTION("""COMPUTED_VALUE"""),"")</f>
        <v/>
      </c>
      <c r="M1029" s="4" t="str">
        <f>IFERROR(__xludf.DUMMYFUNCTION("""COMPUTED_VALUE"""),"")</f>
        <v/>
      </c>
      <c r="N1029" s="4" t="str">
        <f>IFERROR(__xludf.DUMMYFUNCTION("""COMPUTED_VALUE"""),"")</f>
        <v/>
      </c>
      <c r="O1029" s="4" t="str">
        <f>IFERROR(__xludf.DUMMYFUNCTION("""COMPUTED_VALUE"""),"")</f>
        <v/>
      </c>
      <c r="P1029" s="4" t="str">
        <f>IFERROR(__xludf.DUMMYFUNCTION("""COMPUTED_VALUE"""),"")</f>
        <v/>
      </c>
      <c r="Q1029" s="4" t="str">
        <f>IFERROR(__xludf.DUMMYFUNCTION("""COMPUTED_VALUE"""),"")</f>
        <v/>
      </c>
      <c r="R1029" s="4" t="str">
        <f>IFERROR(__xludf.DUMMYFUNCTION("""COMPUTED_VALUE"""),"")</f>
        <v/>
      </c>
      <c r="S1029" s="4" t="str">
        <f>IFERROR(__xludf.DUMMYFUNCTION("""COMPUTED_VALUE"""),"")</f>
        <v/>
      </c>
      <c r="T1029" s="4" t="str">
        <f>IFERROR(__xludf.DUMMYFUNCTION("""COMPUTED_VALUE"""),"")</f>
        <v/>
      </c>
      <c r="U1029" s="4" t="str">
        <f>IFERROR(__xludf.DUMMYFUNCTION("""COMPUTED_VALUE"""),"")</f>
        <v/>
      </c>
      <c r="V1029" s="4" t="str">
        <f>IFERROR(__xludf.DUMMYFUNCTION("""COMPUTED_VALUE"""),"")</f>
        <v/>
      </c>
      <c r="W1029" s="4" t="str">
        <f>IFERROR(__xludf.DUMMYFUNCTION("""COMPUTED_VALUE"""),"")</f>
        <v/>
      </c>
      <c r="X1029" s="4" t="str">
        <f>IFERROR(__xludf.DUMMYFUNCTION("""COMPUTED_VALUE"""),"")</f>
        <v/>
      </c>
      <c r="Y1029" s="4" t="str">
        <f>IFERROR(__xludf.DUMMYFUNCTION("""COMPUTED_VALUE"""),"")</f>
        <v/>
      </c>
    </row>
    <row r="1030">
      <c r="A1030" s="4" t="str">
        <f>IFERROR(__xludf.DUMMYFUNCTION("""COMPUTED_VALUE"""),"1160 - Channel")</f>
        <v>1160 - Channel</v>
      </c>
      <c r="B1030" s="4" t="str">
        <f>IFERROR(__xludf.DUMMYFUNCTION("""COMPUTED_VALUE"""),"Channel 4")</f>
        <v>Channel 4</v>
      </c>
      <c r="C1030" s="4" t="str">
        <f>IFERROR(__xludf.DUMMYFUNCTION("""COMPUTED_VALUE"""),"Day 1 - 23/06")</f>
        <v>Day 1 - 23/06</v>
      </c>
      <c r="D1030" s="6">
        <f>IFERROR(__xludf.DUMMYFUNCTION("""COMPUTED_VALUE"""),0.6831134259259263)</f>
        <v>0.6831134259</v>
      </c>
      <c r="E1030" s="6">
        <f>IFERROR(__xludf.DUMMYFUNCTION("""COMPUTED_VALUE"""),0.0)</f>
        <v>0</v>
      </c>
      <c r="F1030" s="6">
        <f>IFERROR(__xludf.DUMMYFUNCTION("""COMPUTED_VALUE"""),0.6831134259259263)</f>
        <v>0.6831134259</v>
      </c>
      <c r="G1030" s="4" t="str">
        <f>IFERROR(__xludf.DUMMYFUNCTION("""COMPUTED_VALUE"""),"")</f>
        <v/>
      </c>
      <c r="H1030" s="4" t="str">
        <f>IFERROR(__xludf.DUMMYFUNCTION("""COMPUTED_VALUE"""),"")</f>
        <v/>
      </c>
      <c r="I1030" s="4" t="str">
        <f>IFERROR(__xludf.DUMMYFUNCTION("""COMPUTED_VALUE"""),"")</f>
        <v/>
      </c>
      <c r="J1030" s="4" t="str">
        <f>IFERROR(__xludf.DUMMYFUNCTION("""COMPUTED_VALUE"""),"")</f>
        <v/>
      </c>
      <c r="K1030" s="4" t="str">
        <f>IFERROR(__xludf.DUMMYFUNCTION("""COMPUTED_VALUE"""),"")</f>
        <v/>
      </c>
      <c r="L1030" s="4" t="str">
        <f>IFERROR(__xludf.DUMMYFUNCTION("""COMPUTED_VALUE"""),"")</f>
        <v/>
      </c>
      <c r="M1030" s="4" t="str">
        <f>IFERROR(__xludf.DUMMYFUNCTION("""COMPUTED_VALUE"""),"")</f>
        <v/>
      </c>
      <c r="N1030" s="4" t="str">
        <f>IFERROR(__xludf.DUMMYFUNCTION("""COMPUTED_VALUE"""),"")</f>
        <v/>
      </c>
      <c r="O1030" s="4" t="str">
        <f>IFERROR(__xludf.DUMMYFUNCTION("""COMPUTED_VALUE"""),"")</f>
        <v/>
      </c>
      <c r="P1030" s="4" t="str">
        <f>IFERROR(__xludf.DUMMYFUNCTION("""COMPUTED_VALUE"""),"")</f>
        <v/>
      </c>
      <c r="Q1030" s="4" t="str">
        <f>IFERROR(__xludf.DUMMYFUNCTION("""COMPUTED_VALUE"""),"")</f>
        <v/>
      </c>
      <c r="R1030" s="4" t="str">
        <f>IFERROR(__xludf.DUMMYFUNCTION("""COMPUTED_VALUE"""),"")</f>
        <v/>
      </c>
      <c r="S1030" s="4" t="str">
        <f>IFERROR(__xludf.DUMMYFUNCTION("""COMPUTED_VALUE"""),"")</f>
        <v/>
      </c>
      <c r="T1030" s="4" t="str">
        <f>IFERROR(__xludf.DUMMYFUNCTION("""COMPUTED_VALUE"""),"")</f>
        <v/>
      </c>
      <c r="U1030" s="4" t="str">
        <f>IFERROR(__xludf.DUMMYFUNCTION("""COMPUTED_VALUE"""),"")</f>
        <v/>
      </c>
      <c r="V1030" s="4" t="str">
        <f>IFERROR(__xludf.DUMMYFUNCTION("""COMPUTED_VALUE"""),"")</f>
        <v/>
      </c>
      <c r="W1030" s="4" t="str">
        <f>IFERROR(__xludf.DUMMYFUNCTION("""COMPUTED_VALUE"""),"")</f>
        <v/>
      </c>
      <c r="X1030" s="4" t="str">
        <f>IFERROR(__xludf.DUMMYFUNCTION("""COMPUTED_VALUE"""),"")</f>
        <v/>
      </c>
      <c r="Y1030" s="4" t="str">
        <f>IFERROR(__xludf.DUMMYFUNCTION("""COMPUTED_VALUE"""),"")</f>
        <v/>
      </c>
    </row>
    <row r="1031">
      <c r="A1031" s="4" t="str">
        <f>IFERROR(__xludf.DUMMYFUNCTION("""COMPUTED_VALUE"""),"1161 - Channel")</f>
        <v>1161 - Channel</v>
      </c>
      <c r="B1031" s="4" t="str">
        <f>IFERROR(__xludf.DUMMYFUNCTION("""COMPUTED_VALUE"""),"Channel 4")</f>
        <v>Channel 4</v>
      </c>
      <c r="C1031" s="4" t="str">
        <f>IFERROR(__xludf.DUMMYFUNCTION("""COMPUTED_VALUE"""),"Day 1 - 23/06")</f>
        <v>Day 1 - 23/06</v>
      </c>
      <c r="D1031" s="4" t="str">
        <f>IFERROR(__xludf.DUMMYFUNCTION("""COMPUTED_VALUE"""),"")</f>
        <v/>
      </c>
      <c r="E1031" s="4" t="str">
        <f>IFERROR(__xludf.DUMMYFUNCTION("""COMPUTED_VALUE"""),"")</f>
        <v/>
      </c>
      <c r="F1031" s="4" t="str">
        <f>IFERROR(__xludf.DUMMYFUNCTION("""COMPUTED_VALUE"""),"")</f>
        <v/>
      </c>
      <c r="G1031" s="4" t="str">
        <f>IFERROR(__xludf.DUMMYFUNCTION("""COMPUTED_VALUE"""),"")</f>
        <v/>
      </c>
      <c r="H1031" s="4" t="str">
        <f>IFERROR(__xludf.DUMMYFUNCTION("""COMPUTED_VALUE"""),"")</f>
        <v/>
      </c>
      <c r="I1031" s="4" t="str">
        <f>IFERROR(__xludf.DUMMYFUNCTION("""COMPUTED_VALUE"""),"")</f>
        <v/>
      </c>
      <c r="J1031" s="4" t="str">
        <f>IFERROR(__xludf.DUMMYFUNCTION("""COMPUTED_VALUE"""),"")</f>
        <v/>
      </c>
      <c r="K1031" s="4" t="str">
        <f>IFERROR(__xludf.DUMMYFUNCTION("""COMPUTED_VALUE"""),"")</f>
        <v/>
      </c>
      <c r="L1031" s="4" t="str">
        <f>IFERROR(__xludf.DUMMYFUNCTION("""COMPUTED_VALUE"""),"")</f>
        <v/>
      </c>
      <c r="M1031" s="4" t="str">
        <f>IFERROR(__xludf.DUMMYFUNCTION("""COMPUTED_VALUE"""),"")</f>
        <v/>
      </c>
      <c r="N1031" s="4" t="str">
        <f>IFERROR(__xludf.DUMMYFUNCTION("""COMPUTED_VALUE"""),"")</f>
        <v/>
      </c>
      <c r="O1031" s="4" t="str">
        <f>IFERROR(__xludf.DUMMYFUNCTION("""COMPUTED_VALUE"""),"")</f>
        <v/>
      </c>
      <c r="P1031" s="4" t="str">
        <f>IFERROR(__xludf.DUMMYFUNCTION("""COMPUTED_VALUE"""),"")</f>
        <v/>
      </c>
      <c r="Q1031" s="4" t="str">
        <f>IFERROR(__xludf.DUMMYFUNCTION("""COMPUTED_VALUE"""),"")</f>
        <v/>
      </c>
      <c r="R1031" s="4" t="str">
        <f>IFERROR(__xludf.DUMMYFUNCTION("""COMPUTED_VALUE"""),"")</f>
        <v/>
      </c>
      <c r="S1031" s="4" t="str">
        <f>IFERROR(__xludf.DUMMYFUNCTION("""COMPUTED_VALUE"""),"")</f>
        <v/>
      </c>
      <c r="T1031" s="4" t="str">
        <f>IFERROR(__xludf.DUMMYFUNCTION("""COMPUTED_VALUE"""),"")</f>
        <v/>
      </c>
      <c r="U1031" s="4" t="str">
        <f>IFERROR(__xludf.DUMMYFUNCTION("""COMPUTED_VALUE"""),"")</f>
        <v/>
      </c>
      <c r="V1031" s="4" t="str">
        <f>IFERROR(__xludf.DUMMYFUNCTION("""COMPUTED_VALUE"""),"")</f>
        <v/>
      </c>
      <c r="W1031" s="4" t="str">
        <f>IFERROR(__xludf.DUMMYFUNCTION("""COMPUTED_VALUE"""),"")</f>
        <v/>
      </c>
      <c r="X1031" s="4" t="str">
        <f>IFERROR(__xludf.DUMMYFUNCTION("""COMPUTED_VALUE"""),"")</f>
        <v/>
      </c>
      <c r="Y1031" s="4" t="str">
        <f>IFERROR(__xludf.DUMMYFUNCTION("""COMPUTED_VALUE"""),"")</f>
        <v/>
      </c>
    </row>
    <row r="1032">
      <c r="A1032" s="4" t="str">
        <f>IFERROR(__xludf.DUMMYFUNCTION("""COMPUTED_VALUE"""),"1162 - Channel")</f>
        <v>1162 - Channel</v>
      </c>
      <c r="B1032" s="4" t="str">
        <f>IFERROR(__xludf.DUMMYFUNCTION("""COMPUTED_VALUE"""),"Channel 4")</f>
        <v>Channel 4</v>
      </c>
      <c r="C1032" s="4" t="str">
        <f>IFERROR(__xludf.DUMMYFUNCTION("""COMPUTED_VALUE"""),"Day 1 - 23/06")</f>
        <v>Day 1 - 23/06</v>
      </c>
      <c r="D1032" s="4" t="str">
        <f>IFERROR(__xludf.DUMMYFUNCTION("""COMPUTED_VALUE"""),"")</f>
        <v/>
      </c>
      <c r="E1032" s="4" t="str">
        <f>IFERROR(__xludf.DUMMYFUNCTION("""COMPUTED_VALUE"""),"")</f>
        <v/>
      </c>
      <c r="F1032" s="4" t="str">
        <f>IFERROR(__xludf.DUMMYFUNCTION("""COMPUTED_VALUE"""),"")</f>
        <v/>
      </c>
      <c r="G1032" s="4" t="str">
        <f>IFERROR(__xludf.DUMMYFUNCTION("""COMPUTED_VALUE"""),"")</f>
        <v/>
      </c>
      <c r="H1032" s="4" t="str">
        <f>IFERROR(__xludf.DUMMYFUNCTION("""COMPUTED_VALUE"""),"")</f>
        <v/>
      </c>
      <c r="I1032" s="4" t="str">
        <f>IFERROR(__xludf.DUMMYFUNCTION("""COMPUTED_VALUE"""),"")</f>
        <v/>
      </c>
      <c r="J1032" s="4" t="str">
        <f>IFERROR(__xludf.DUMMYFUNCTION("""COMPUTED_VALUE"""),"")</f>
        <v/>
      </c>
      <c r="K1032" s="4" t="str">
        <f>IFERROR(__xludf.DUMMYFUNCTION("""COMPUTED_VALUE"""),"")</f>
        <v/>
      </c>
      <c r="L1032" s="4" t="str">
        <f>IFERROR(__xludf.DUMMYFUNCTION("""COMPUTED_VALUE"""),"")</f>
        <v/>
      </c>
      <c r="M1032" s="4" t="str">
        <f>IFERROR(__xludf.DUMMYFUNCTION("""COMPUTED_VALUE"""),"")</f>
        <v/>
      </c>
      <c r="N1032" s="4" t="str">
        <f>IFERROR(__xludf.DUMMYFUNCTION("""COMPUTED_VALUE"""),"")</f>
        <v/>
      </c>
      <c r="O1032" s="4" t="str">
        <f>IFERROR(__xludf.DUMMYFUNCTION("""COMPUTED_VALUE"""),"")</f>
        <v/>
      </c>
      <c r="P1032" s="4" t="str">
        <f>IFERROR(__xludf.DUMMYFUNCTION("""COMPUTED_VALUE"""),"")</f>
        <v/>
      </c>
      <c r="Q1032" s="4" t="str">
        <f>IFERROR(__xludf.DUMMYFUNCTION("""COMPUTED_VALUE"""),"")</f>
        <v/>
      </c>
      <c r="R1032" s="4" t="str">
        <f>IFERROR(__xludf.DUMMYFUNCTION("""COMPUTED_VALUE"""),"")</f>
        <v/>
      </c>
      <c r="S1032" s="4" t="str">
        <f>IFERROR(__xludf.DUMMYFUNCTION("""COMPUTED_VALUE"""),"")</f>
        <v/>
      </c>
      <c r="T1032" s="4" t="str">
        <f>IFERROR(__xludf.DUMMYFUNCTION("""COMPUTED_VALUE"""),"")</f>
        <v/>
      </c>
      <c r="U1032" s="4" t="str">
        <f>IFERROR(__xludf.DUMMYFUNCTION("""COMPUTED_VALUE"""),"")</f>
        <v/>
      </c>
      <c r="V1032" s="4" t="str">
        <f>IFERROR(__xludf.DUMMYFUNCTION("""COMPUTED_VALUE"""),"")</f>
        <v/>
      </c>
      <c r="W1032" s="4" t="str">
        <f>IFERROR(__xludf.DUMMYFUNCTION("""COMPUTED_VALUE"""),"")</f>
        <v/>
      </c>
      <c r="X1032" s="4" t="str">
        <f>IFERROR(__xludf.DUMMYFUNCTION("""COMPUTED_VALUE"""),"")</f>
        <v/>
      </c>
      <c r="Y1032" s="4" t="str">
        <f>IFERROR(__xludf.DUMMYFUNCTION("""COMPUTED_VALUE"""),"")</f>
        <v/>
      </c>
    </row>
    <row r="1033">
      <c r="A1033" s="4" t="str">
        <f>IFERROR(__xludf.DUMMYFUNCTION("""COMPUTED_VALUE"""),"1163 - Channel")</f>
        <v>1163 - Channel</v>
      </c>
      <c r="B1033" s="4" t="str">
        <f>IFERROR(__xludf.DUMMYFUNCTION("""COMPUTED_VALUE"""),"Channel 4")</f>
        <v>Channel 4</v>
      </c>
      <c r="C1033" s="4" t="str">
        <f>IFERROR(__xludf.DUMMYFUNCTION("""COMPUTED_VALUE"""),"Day 1 - 23/06")</f>
        <v>Day 1 - 23/06</v>
      </c>
      <c r="D1033" s="4" t="str">
        <f>IFERROR(__xludf.DUMMYFUNCTION("""COMPUTED_VALUE"""),"")</f>
        <v/>
      </c>
      <c r="E1033" s="4" t="str">
        <f>IFERROR(__xludf.DUMMYFUNCTION("""COMPUTED_VALUE"""),"")</f>
        <v/>
      </c>
      <c r="F1033" s="4" t="str">
        <f>IFERROR(__xludf.DUMMYFUNCTION("""COMPUTED_VALUE"""),"")</f>
        <v/>
      </c>
      <c r="G1033" s="4" t="str">
        <f>IFERROR(__xludf.DUMMYFUNCTION("""COMPUTED_VALUE"""),"")</f>
        <v/>
      </c>
      <c r="H1033" s="4" t="str">
        <f>IFERROR(__xludf.DUMMYFUNCTION("""COMPUTED_VALUE"""),"")</f>
        <v/>
      </c>
      <c r="I1033" s="4" t="str">
        <f>IFERROR(__xludf.DUMMYFUNCTION("""COMPUTED_VALUE"""),"")</f>
        <v/>
      </c>
      <c r="J1033" s="4" t="str">
        <f>IFERROR(__xludf.DUMMYFUNCTION("""COMPUTED_VALUE"""),"")</f>
        <v/>
      </c>
      <c r="K1033" s="4" t="str">
        <f>IFERROR(__xludf.DUMMYFUNCTION("""COMPUTED_VALUE"""),"")</f>
        <v/>
      </c>
      <c r="L1033" s="4" t="str">
        <f>IFERROR(__xludf.DUMMYFUNCTION("""COMPUTED_VALUE"""),"")</f>
        <v/>
      </c>
      <c r="M1033" s="4" t="str">
        <f>IFERROR(__xludf.DUMMYFUNCTION("""COMPUTED_VALUE"""),"")</f>
        <v/>
      </c>
      <c r="N1033" s="4" t="str">
        <f>IFERROR(__xludf.DUMMYFUNCTION("""COMPUTED_VALUE"""),"")</f>
        <v/>
      </c>
      <c r="O1033" s="4" t="str">
        <f>IFERROR(__xludf.DUMMYFUNCTION("""COMPUTED_VALUE"""),"")</f>
        <v/>
      </c>
      <c r="P1033" s="4" t="str">
        <f>IFERROR(__xludf.DUMMYFUNCTION("""COMPUTED_VALUE"""),"")</f>
        <v/>
      </c>
      <c r="Q1033" s="4" t="str">
        <f>IFERROR(__xludf.DUMMYFUNCTION("""COMPUTED_VALUE"""),"")</f>
        <v/>
      </c>
      <c r="R1033" s="4" t="str">
        <f>IFERROR(__xludf.DUMMYFUNCTION("""COMPUTED_VALUE"""),"")</f>
        <v/>
      </c>
      <c r="S1033" s="4" t="str">
        <f>IFERROR(__xludf.DUMMYFUNCTION("""COMPUTED_VALUE"""),"")</f>
        <v/>
      </c>
      <c r="T1033" s="4" t="str">
        <f>IFERROR(__xludf.DUMMYFUNCTION("""COMPUTED_VALUE"""),"")</f>
        <v/>
      </c>
      <c r="U1033" s="4" t="str">
        <f>IFERROR(__xludf.DUMMYFUNCTION("""COMPUTED_VALUE"""),"")</f>
        <v/>
      </c>
      <c r="V1033" s="4" t="str">
        <f>IFERROR(__xludf.DUMMYFUNCTION("""COMPUTED_VALUE"""),"")</f>
        <v/>
      </c>
      <c r="W1033" s="4" t="str">
        <f>IFERROR(__xludf.DUMMYFUNCTION("""COMPUTED_VALUE"""),"")</f>
        <v/>
      </c>
      <c r="X1033" s="4" t="str">
        <f>IFERROR(__xludf.DUMMYFUNCTION("""COMPUTED_VALUE"""),"")</f>
        <v/>
      </c>
      <c r="Y1033" s="4" t="str">
        <f>IFERROR(__xludf.DUMMYFUNCTION("""COMPUTED_VALUE"""),"")</f>
        <v/>
      </c>
    </row>
    <row r="1034">
      <c r="A1034" s="4" t="str">
        <f>IFERROR(__xludf.DUMMYFUNCTION("""COMPUTED_VALUE"""),"1164 - Channel")</f>
        <v>1164 - Channel</v>
      </c>
      <c r="B1034" s="4" t="str">
        <f>IFERROR(__xludf.DUMMYFUNCTION("""COMPUTED_VALUE"""),"Channel 4")</f>
        <v>Channel 4</v>
      </c>
      <c r="C1034" s="4" t="str">
        <f>IFERROR(__xludf.DUMMYFUNCTION("""COMPUTED_VALUE"""),"Day 1 - 23/06")</f>
        <v>Day 1 - 23/06</v>
      </c>
      <c r="D1034" s="4" t="str">
        <f>IFERROR(__xludf.DUMMYFUNCTION("""COMPUTED_VALUE"""),"")</f>
        <v/>
      </c>
      <c r="E1034" s="4" t="str">
        <f>IFERROR(__xludf.DUMMYFUNCTION("""COMPUTED_VALUE"""),"")</f>
        <v/>
      </c>
      <c r="F1034" s="4" t="str">
        <f>IFERROR(__xludf.DUMMYFUNCTION("""COMPUTED_VALUE"""),"")</f>
        <v/>
      </c>
      <c r="G1034" s="4" t="str">
        <f>IFERROR(__xludf.DUMMYFUNCTION("""COMPUTED_VALUE"""),"")</f>
        <v/>
      </c>
      <c r="H1034" s="4" t="str">
        <f>IFERROR(__xludf.DUMMYFUNCTION("""COMPUTED_VALUE"""),"")</f>
        <v/>
      </c>
      <c r="I1034" s="4" t="str">
        <f>IFERROR(__xludf.DUMMYFUNCTION("""COMPUTED_VALUE"""),"")</f>
        <v/>
      </c>
      <c r="J1034" s="4" t="str">
        <f>IFERROR(__xludf.DUMMYFUNCTION("""COMPUTED_VALUE"""),"")</f>
        <v/>
      </c>
      <c r="K1034" s="4" t="str">
        <f>IFERROR(__xludf.DUMMYFUNCTION("""COMPUTED_VALUE"""),"")</f>
        <v/>
      </c>
      <c r="L1034" s="4" t="str">
        <f>IFERROR(__xludf.DUMMYFUNCTION("""COMPUTED_VALUE"""),"")</f>
        <v/>
      </c>
      <c r="M1034" s="4" t="str">
        <f>IFERROR(__xludf.DUMMYFUNCTION("""COMPUTED_VALUE"""),"")</f>
        <v/>
      </c>
      <c r="N1034" s="4" t="str">
        <f>IFERROR(__xludf.DUMMYFUNCTION("""COMPUTED_VALUE"""),"")</f>
        <v/>
      </c>
      <c r="O1034" s="4" t="str">
        <f>IFERROR(__xludf.DUMMYFUNCTION("""COMPUTED_VALUE"""),"")</f>
        <v/>
      </c>
      <c r="P1034" s="4" t="str">
        <f>IFERROR(__xludf.DUMMYFUNCTION("""COMPUTED_VALUE"""),"")</f>
        <v/>
      </c>
      <c r="Q1034" s="4" t="str">
        <f>IFERROR(__xludf.DUMMYFUNCTION("""COMPUTED_VALUE"""),"")</f>
        <v/>
      </c>
      <c r="R1034" s="4" t="str">
        <f>IFERROR(__xludf.DUMMYFUNCTION("""COMPUTED_VALUE"""),"")</f>
        <v/>
      </c>
      <c r="S1034" s="4" t="str">
        <f>IFERROR(__xludf.DUMMYFUNCTION("""COMPUTED_VALUE"""),"")</f>
        <v/>
      </c>
      <c r="T1034" s="4" t="str">
        <f>IFERROR(__xludf.DUMMYFUNCTION("""COMPUTED_VALUE"""),"")</f>
        <v/>
      </c>
      <c r="U1034" s="4" t="str">
        <f>IFERROR(__xludf.DUMMYFUNCTION("""COMPUTED_VALUE"""),"")</f>
        <v/>
      </c>
      <c r="V1034" s="4" t="str">
        <f>IFERROR(__xludf.DUMMYFUNCTION("""COMPUTED_VALUE"""),"")</f>
        <v/>
      </c>
      <c r="W1034" s="4" t="str">
        <f>IFERROR(__xludf.DUMMYFUNCTION("""COMPUTED_VALUE"""),"")</f>
        <v/>
      </c>
      <c r="X1034" s="4" t="str">
        <f>IFERROR(__xludf.DUMMYFUNCTION("""COMPUTED_VALUE"""),"")</f>
        <v/>
      </c>
      <c r="Y1034" s="4" t="str">
        <f>IFERROR(__xludf.DUMMYFUNCTION("""COMPUTED_VALUE"""),"")</f>
        <v/>
      </c>
    </row>
    <row r="1035">
      <c r="A1035" s="4" t="str">
        <f>IFERROR(__xludf.DUMMYFUNCTION("""COMPUTED_VALUE"""),"1165 - Channel")</f>
        <v>1165 - Channel</v>
      </c>
      <c r="B1035" s="4" t="str">
        <f>IFERROR(__xludf.DUMMYFUNCTION("""COMPUTED_VALUE"""),"Channel 4")</f>
        <v>Channel 4</v>
      </c>
      <c r="C1035" s="4" t="str">
        <f>IFERROR(__xludf.DUMMYFUNCTION("""COMPUTED_VALUE"""),"Day 1 - 23/06")</f>
        <v>Day 1 - 23/06</v>
      </c>
      <c r="D1035" s="4" t="str">
        <f>IFERROR(__xludf.DUMMYFUNCTION("""COMPUTED_VALUE"""),"")</f>
        <v/>
      </c>
      <c r="E1035" s="4" t="str">
        <f>IFERROR(__xludf.DUMMYFUNCTION("""COMPUTED_VALUE"""),"")</f>
        <v/>
      </c>
      <c r="F1035" s="4" t="str">
        <f>IFERROR(__xludf.DUMMYFUNCTION("""COMPUTED_VALUE"""),"")</f>
        <v/>
      </c>
      <c r="G1035" s="4" t="str">
        <f>IFERROR(__xludf.DUMMYFUNCTION("""COMPUTED_VALUE"""),"")</f>
        <v/>
      </c>
      <c r="H1035" s="4" t="str">
        <f>IFERROR(__xludf.DUMMYFUNCTION("""COMPUTED_VALUE"""),"")</f>
        <v/>
      </c>
      <c r="I1035" s="4" t="str">
        <f>IFERROR(__xludf.DUMMYFUNCTION("""COMPUTED_VALUE"""),"")</f>
        <v/>
      </c>
      <c r="J1035" s="4" t="str">
        <f>IFERROR(__xludf.DUMMYFUNCTION("""COMPUTED_VALUE"""),"")</f>
        <v/>
      </c>
      <c r="K1035" s="4" t="str">
        <f>IFERROR(__xludf.DUMMYFUNCTION("""COMPUTED_VALUE"""),"")</f>
        <v/>
      </c>
      <c r="L1035" s="4" t="str">
        <f>IFERROR(__xludf.DUMMYFUNCTION("""COMPUTED_VALUE"""),"")</f>
        <v/>
      </c>
      <c r="M1035" s="4" t="str">
        <f>IFERROR(__xludf.DUMMYFUNCTION("""COMPUTED_VALUE"""),"")</f>
        <v/>
      </c>
      <c r="N1035" s="4" t="str">
        <f>IFERROR(__xludf.DUMMYFUNCTION("""COMPUTED_VALUE"""),"")</f>
        <v/>
      </c>
      <c r="O1035" s="4" t="str">
        <f>IFERROR(__xludf.DUMMYFUNCTION("""COMPUTED_VALUE"""),"")</f>
        <v/>
      </c>
      <c r="P1035" s="4" t="str">
        <f>IFERROR(__xludf.DUMMYFUNCTION("""COMPUTED_VALUE"""),"")</f>
        <v/>
      </c>
      <c r="Q1035" s="4" t="str">
        <f>IFERROR(__xludf.DUMMYFUNCTION("""COMPUTED_VALUE"""),"")</f>
        <v/>
      </c>
      <c r="R1035" s="4" t="str">
        <f>IFERROR(__xludf.DUMMYFUNCTION("""COMPUTED_VALUE"""),"")</f>
        <v/>
      </c>
      <c r="S1035" s="4" t="str">
        <f>IFERROR(__xludf.DUMMYFUNCTION("""COMPUTED_VALUE"""),"")</f>
        <v/>
      </c>
      <c r="T1035" s="4" t="str">
        <f>IFERROR(__xludf.DUMMYFUNCTION("""COMPUTED_VALUE"""),"")</f>
        <v/>
      </c>
      <c r="U1035" s="4" t="str">
        <f>IFERROR(__xludf.DUMMYFUNCTION("""COMPUTED_VALUE"""),"")</f>
        <v/>
      </c>
      <c r="V1035" s="4" t="str">
        <f>IFERROR(__xludf.DUMMYFUNCTION("""COMPUTED_VALUE"""),"")</f>
        <v/>
      </c>
      <c r="W1035" s="4" t="str">
        <f>IFERROR(__xludf.DUMMYFUNCTION("""COMPUTED_VALUE"""),"")</f>
        <v/>
      </c>
      <c r="X1035" s="4" t="str">
        <f>IFERROR(__xludf.DUMMYFUNCTION("""COMPUTED_VALUE"""),"")</f>
        <v/>
      </c>
      <c r="Y1035" s="4" t="str">
        <f>IFERROR(__xludf.DUMMYFUNCTION("""COMPUTED_VALUE"""),"")</f>
        <v/>
      </c>
    </row>
    <row r="1036">
      <c r="A1036" s="4" t="str">
        <f>IFERROR(__xludf.DUMMYFUNCTION("""COMPUTED_VALUE"""),"1166 - Channel")</f>
        <v>1166 - Channel</v>
      </c>
      <c r="B1036" s="4" t="str">
        <f>IFERROR(__xludf.DUMMYFUNCTION("""COMPUTED_VALUE"""),"Channel 4")</f>
        <v>Channel 4</v>
      </c>
      <c r="C1036" s="4" t="str">
        <f>IFERROR(__xludf.DUMMYFUNCTION("""COMPUTED_VALUE"""),"Day 1 - 23/06")</f>
        <v>Day 1 - 23/06</v>
      </c>
      <c r="D1036" s="4" t="str">
        <f>IFERROR(__xludf.DUMMYFUNCTION("""COMPUTED_VALUE"""),"")</f>
        <v/>
      </c>
      <c r="E1036" s="4" t="str">
        <f>IFERROR(__xludf.DUMMYFUNCTION("""COMPUTED_VALUE"""),"")</f>
        <v/>
      </c>
      <c r="F1036" s="4" t="str">
        <f>IFERROR(__xludf.DUMMYFUNCTION("""COMPUTED_VALUE"""),"")</f>
        <v/>
      </c>
      <c r="G1036" s="4" t="str">
        <f>IFERROR(__xludf.DUMMYFUNCTION("""COMPUTED_VALUE"""),"")</f>
        <v/>
      </c>
      <c r="H1036" s="4" t="str">
        <f>IFERROR(__xludf.DUMMYFUNCTION("""COMPUTED_VALUE"""),"")</f>
        <v/>
      </c>
      <c r="I1036" s="4" t="str">
        <f>IFERROR(__xludf.DUMMYFUNCTION("""COMPUTED_VALUE"""),"")</f>
        <v/>
      </c>
      <c r="J1036" s="4" t="str">
        <f>IFERROR(__xludf.DUMMYFUNCTION("""COMPUTED_VALUE"""),"")</f>
        <v/>
      </c>
      <c r="K1036" s="4" t="str">
        <f>IFERROR(__xludf.DUMMYFUNCTION("""COMPUTED_VALUE"""),"")</f>
        <v/>
      </c>
      <c r="L1036" s="4" t="str">
        <f>IFERROR(__xludf.DUMMYFUNCTION("""COMPUTED_VALUE"""),"")</f>
        <v/>
      </c>
      <c r="M1036" s="4" t="str">
        <f>IFERROR(__xludf.DUMMYFUNCTION("""COMPUTED_VALUE"""),"")</f>
        <v/>
      </c>
      <c r="N1036" s="4" t="str">
        <f>IFERROR(__xludf.DUMMYFUNCTION("""COMPUTED_VALUE"""),"")</f>
        <v/>
      </c>
      <c r="O1036" s="4" t="str">
        <f>IFERROR(__xludf.DUMMYFUNCTION("""COMPUTED_VALUE"""),"")</f>
        <v/>
      </c>
      <c r="P1036" s="4" t="str">
        <f>IFERROR(__xludf.DUMMYFUNCTION("""COMPUTED_VALUE"""),"")</f>
        <v/>
      </c>
      <c r="Q1036" s="4" t="str">
        <f>IFERROR(__xludf.DUMMYFUNCTION("""COMPUTED_VALUE"""),"")</f>
        <v/>
      </c>
      <c r="R1036" s="4" t="str">
        <f>IFERROR(__xludf.DUMMYFUNCTION("""COMPUTED_VALUE"""),"")</f>
        <v/>
      </c>
      <c r="S1036" s="4" t="str">
        <f>IFERROR(__xludf.DUMMYFUNCTION("""COMPUTED_VALUE"""),"")</f>
        <v/>
      </c>
      <c r="T1036" s="4" t="str">
        <f>IFERROR(__xludf.DUMMYFUNCTION("""COMPUTED_VALUE"""),"")</f>
        <v/>
      </c>
      <c r="U1036" s="4" t="str">
        <f>IFERROR(__xludf.DUMMYFUNCTION("""COMPUTED_VALUE"""),"")</f>
        <v/>
      </c>
      <c r="V1036" s="4" t="str">
        <f>IFERROR(__xludf.DUMMYFUNCTION("""COMPUTED_VALUE"""),"")</f>
        <v/>
      </c>
      <c r="W1036" s="4" t="str">
        <f>IFERROR(__xludf.DUMMYFUNCTION("""COMPUTED_VALUE"""),"")</f>
        <v/>
      </c>
      <c r="X1036" s="4" t="str">
        <f>IFERROR(__xludf.DUMMYFUNCTION("""COMPUTED_VALUE"""),"")</f>
        <v/>
      </c>
      <c r="Y1036" s="4" t="str">
        <f>IFERROR(__xludf.DUMMYFUNCTION("""COMPUTED_VALUE"""),"")</f>
        <v/>
      </c>
    </row>
    <row r="1037">
      <c r="A1037" s="4" t="str">
        <f>IFERROR(__xludf.DUMMYFUNCTION("""COMPUTED_VALUE"""),"1167 - Channel")</f>
        <v>1167 - Channel</v>
      </c>
      <c r="B1037" s="4" t="str">
        <f>IFERROR(__xludf.DUMMYFUNCTION("""COMPUTED_VALUE"""),"Channel 4")</f>
        <v>Channel 4</v>
      </c>
      <c r="C1037" s="4" t="str">
        <f>IFERROR(__xludf.DUMMYFUNCTION("""COMPUTED_VALUE"""),"Day 1 - 23/06")</f>
        <v>Day 1 - 23/06</v>
      </c>
      <c r="D1037" s="4" t="str">
        <f>IFERROR(__xludf.DUMMYFUNCTION("""COMPUTED_VALUE"""),"")</f>
        <v/>
      </c>
      <c r="E1037" s="4" t="str">
        <f>IFERROR(__xludf.DUMMYFUNCTION("""COMPUTED_VALUE"""),"")</f>
        <v/>
      </c>
      <c r="F1037" s="4" t="str">
        <f>IFERROR(__xludf.DUMMYFUNCTION("""COMPUTED_VALUE"""),"")</f>
        <v/>
      </c>
      <c r="G1037" s="4" t="str">
        <f>IFERROR(__xludf.DUMMYFUNCTION("""COMPUTED_VALUE"""),"")</f>
        <v/>
      </c>
      <c r="H1037" s="4" t="str">
        <f>IFERROR(__xludf.DUMMYFUNCTION("""COMPUTED_VALUE"""),"")</f>
        <v/>
      </c>
      <c r="I1037" s="4" t="str">
        <f>IFERROR(__xludf.DUMMYFUNCTION("""COMPUTED_VALUE"""),"")</f>
        <v/>
      </c>
      <c r="J1037" s="4" t="str">
        <f>IFERROR(__xludf.DUMMYFUNCTION("""COMPUTED_VALUE"""),"")</f>
        <v/>
      </c>
      <c r="K1037" s="4" t="str">
        <f>IFERROR(__xludf.DUMMYFUNCTION("""COMPUTED_VALUE"""),"")</f>
        <v/>
      </c>
      <c r="L1037" s="4" t="str">
        <f>IFERROR(__xludf.DUMMYFUNCTION("""COMPUTED_VALUE"""),"")</f>
        <v/>
      </c>
      <c r="M1037" s="4" t="str">
        <f>IFERROR(__xludf.DUMMYFUNCTION("""COMPUTED_VALUE"""),"")</f>
        <v/>
      </c>
      <c r="N1037" s="4" t="str">
        <f>IFERROR(__xludf.DUMMYFUNCTION("""COMPUTED_VALUE"""),"")</f>
        <v/>
      </c>
      <c r="O1037" s="4" t="str">
        <f>IFERROR(__xludf.DUMMYFUNCTION("""COMPUTED_VALUE"""),"")</f>
        <v/>
      </c>
      <c r="P1037" s="4" t="str">
        <f>IFERROR(__xludf.DUMMYFUNCTION("""COMPUTED_VALUE"""),"")</f>
        <v/>
      </c>
      <c r="Q1037" s="4" t="str">
        <f>IFERROR(__xludf.DUMMYFUNCTION("""COMPUTED_VALUE"""),"")</f>
        <v/>
      </c>
      <c r="R1037" s="4" t="str">
        <f>IFERROR(__xludf.DUMMYFUNCTION("""COMPUTED_VALUE"""),"")</f>
        <v/>
      </c>
      <c r="S1037" s="4" t="str">
        <f>IFERROR(__xludf.DUMMYFUNCTION("""COMPUTED_VALUE"""),"")</f>
        <v/>
      </c>
      <c r="T1037" s="4" t="str">
        <f>IFERROR(__xludf.DUMMYFUNCTION("""COMPUTED_VALUE"""),"")</f>
        <v/>
      </c>
      <c r="U1037" s="4" t="str">
        <f>IFERROR(__xludf.DUMMYFUNCTION("""COMPUTED_VALUE"""),"")</f>
        <v/>
      </c>
      <c r="V1037" s="4" t="str">
        <f>IFERROR(__xludf.DUMMYFUNCTION("""COMPUTED_VALUE"""),"")</f>
        <v/>
      </c>
      <c r="W1037" s="4" t="str">
        <f>IFERROR(__xludf.DUMMYFUNCTION("""COMPUTED_VALUE"""),"")</f>
        <v/>
      </c>
      <c r="X1037" s="4" t="str">
        <f>IFERROR(__xludf.DUMMYFUNCTION("""COMPUTED_VALUE"""),"")</f>
        <v/>
      </c>
      <c r="Y1037" s="4" t="str">
        <f>IFERROR(__xludf.DUMMYFUNCTION("""COMPUTED_VALUE"""),"")</f>
        <v/>
      </c>
    </row>
    <row r="1038">
      <c r="A1038" s="4" t="str">
        <f>IFERROR(__xludf.DUMMYFUNCTION("""COMPUTED_VALUE"""),"1168 - Channel")</f>
        <v>1168 - Channel</v>
      </c>
      <c r="B1038" s="4" t="str">
        <f>IFERROR(__xludf.DUMMYFUNCTION("""COMPUTED_VALUE"""),"Channel 4")</f>
        <v>Channel 4</v>
      </c>
      <c r="C1038" s="4" t="str">
        <f>IFERROR(__xludf.DUMMYFUNCTION("""COMPUTED_VALUE"""),"Day 1 - 23/06")</f>
        <v>Day 1 - 23/06</v>
      </c>
      <c r="D1038" s="4" t="str">
        <f>IFERROR(__xludf.DUMMYFUNCTION("""COMPUTED_VALUE"""),"")</f>
        <v/>
      </c>
      <c r="E1038" s="4" t="str">
        <f>IFERROR(__xludf.DUMMYFUNCTION("""COMPUTED_VALUE"""),"")</f>
        <v/>
      </c>
      <c r="F1038" s="4" t="str">
        <f>IFERROR(__xludf.DUMMYFUNCTION("""COMPUTED_VALUE"""),"")</f>
        <v/>
      </c>
      <c r="G1038" s="4" t="str">
        <f>IFERROR(__xludf.DUMMYFUNCTION("""COMPUTED_VALUE"""),"")</f>
        <v/>
      </c>
      <c r="H1038" s="4" t="str">
        <f>IFERROR(__xludf.DUMMYFUNCTION("""COMPUTED_VALUE"""),"")</f>
        <v/>
      </c>
      <c r="I1038" s="4" t="str">
        <f>IFERROR(__xludf.DUMMYFUNCTION("""COMPUTED_VALUE"""),"")</f>
        <v/>
      </c>
      <c r="J1038" s="4" t="str">
        <f>IFERROR(__xludf.DUMMYFUNCTION("""COMPUTED_VALUE"""),"")</f>
        <v/>
      </c>
      <c r="K1038" s="4" t="str">
        <f>IFERROR(__xludf.DUMMYFUNCTION("""COMPUTED_VALUE"""),"")</f>
        <v/>
      </c>
      <c r="L1038" s="4" t="str">
        <f>IFERROR(__xludf.DUMMYFUNCTION("""COMPUTED_VALUE"""),"")</f>
        <v/>
      </c>
      <c r="M1038" s="4" t="str">
        <f>IFERROR(__xludf.DUMMYFUNCTION("""COMPUTED_VALUE"""),"")</f>
        <v/>
      </c>
      <c r="N1038" s="4" t="str">
        <f>IFERROR(__xludf.DUMMYFUNCTION("""COMPUTED_VALUE"""),"")</f>
        <v/>
      </c>
      <c r="O1038" s="4" t="str">
        <f>IFERROR(__xludf.DUMMYFUNCTION("""COMPUTED_VALUE"""),"")</f>
        <v/>
      </c>
      <c r="P1038" s="4" t="str">
        <f>IFERROR(__xludf.DUMMYFUNCTION("""COMPUTED_VALUE"""),"")</f>
        <v/>
      </c>
      <c r="Q1038" s="4" t="str">
        <f>IFERROR(__xludf.DUMMYFUNCTION("""COMPUTED_VALUE"""),"")</f>
        <v/>
      </c>
      <c r="R1038" s="4" t="str">
        <f>IFERROR(__xludf.DUMMYFUNCTION("""COMPUTED_VALUE"""),"")</f>
        <v/>
      </c>
      <c r="S1038" s="4" t="str">
        <f>IFERROR(__xludf.DUMMYFUNCTION("""COMPUTED_VALUE"""),"")</f>
        <v/>
      </c>
      <c r="T1038" s="4" t="str">
        <f>IFERROR(__xludf.DUMMYFUNCTION("""COMPUTED_VALUE"""),"")</f>
        <v/>
      </c>
      <c r="U1038" s="4" t="str">
        <f>IFERROR(__xludf.DUMMYFUNCTION("""COMPUTED_VALUE"""),"")</f>
        <v/>
      </c>
      <c r="V1038" s="4" t="str">
        <f>IFERROR(__xludf.DUMMYFUNCTION("""COMPUTED_VALUE"""),"")</f>
        <v/>
      </c>
      <c r="W1038" s="4" t="str">
        <f>IFERROR(__xludf.DUMMYFUNCTION("""COMPUTED_VALUE"""),"")</f>
        <v/>
      </c>
      <c r="X1038" s="4" t="str">
        <f>IFERROR(__xludf.DUMMYFUNCTION("""COMPUTED_VALUE"""),"")</f>
        <v/>
      </c>
      <c r="Y1038" s="4" t="str">
        <f>IFERROR(__xludf.DUMMYFUNCTION("""COMPUTED_VALUE"""),"")</f>
        <v/>
      </c>
    </row>
    <row r="1039">
      <c r="A1039" s="4" t="str">
        <f>IFERROR(__xludf.DUMMYFUNCTION("""COMPUTED_VALUE"""),"1169 - Channel")</f>
        <v>1169 - Channel</v>
      </c>
      <c r="B1039" s="4" t="str">
        <f>IFERROR(__xludf.DUMMYFUNCTION("""COMPUTED_VALUE"""),"Channel 4")</f>
        <v>Channel 4</v>
      </c>
      <c r="C1039" s="4" t="str">
        <f>IFERROR(__xludf.DUMMYFUNCTION("""COMPUTED_VALUE"""),"Day 1 - 23/06")</f>
        <v>Day 1 - 23/06</v>
      </c>
      <c r="D1039" s="4" t="str">
        <f>IFERROR(__xludf.DUMMYFUNCTION("""COMPUTED_VALUE"""),"")</f>
        <v/>
      </c>
      <c r="E1039" s="4" t="str">
        <f>IFERROR(__xludf.DUMMYFUNCTION("""COMPUTED_VALUE"""),"")</f>
        <v/>
      </c>
      <c r="F1039" s="4" t="str">
        <f>IFERROR(__xludf.DUMMYFUNCTION("""COMPUTED_VALUE"""),"")</f>
        <v/>
      </c>
      <c r="G1039" s="4" t="str">
        <f>IFERROR(__xludf.DUMMYFUNCTION("""COMPUTED_VALUE"""),"")</f>
        <v/>
      </c>
      <c r="H1039" s="4" t="str">
        <f>IFERROR(__xludf.DUMMYFUNCTION("""COMPUTED_VALUE"""),"")</f>
        <v/>
      </c>
      <c r="I1039" s="4" t="str">
        <f>IFERROR(__xludf.DUMMYFUNCTION("""COMPUTED_VALUE"""),"")</f>
        <v/>
      </c>
      <c r="J1039" s="4" t="str">
        <f>IFERROR(__xludf.DUMMYFUNCTION("""COMPUTED_VALUE"""),"")</f>
        <v/>
      </c>
      <c r="K1039" s="4" t="str">
        <f>IFERROR(__xludf.DUMMYFUNCTION("""COMPUTED_VALUE"""),"")</f>
        <v/>
      </c>
      <c r="L1039" s="4" t="str">
        <f>IFERROR(__xludf.DUMMYFUNCTION("""COMPUTED_VALUE"""),"")</f>
        <v/>
      </c>
      <c r="M1039" s="4" t="str">
        <f>IFERROR(__xludf.DUMMYFUNCTION("""COMPUTED_VALUE"""),"")</f>
        <v/>
      </c>
      <c r="N1039" s="4" t="str">
        <f>IFERROR(__xludf.DUMMYFUNCTION("""COMPUTED_VALUE"""),"")</f>
        <v/>
      </c>
      <c r="O1039" s="4" t="str">
        <f>IFERROR(__xludf.DUMMYFUNCTION("""COMPUTED_VALUE"""),"")</f>
        <v/>
      </c>
      <c r="P1039" s="4" t="str">
        <f>IFERROR(__xludf.DUMMYFUNCTION("""COMPUTED_VALUE"""),"")</f>
        <v/>
      </c>
      <c r="Q1039" s="4" t="str">
        <f>IFERROR(__xludf.DUMMYFUNCTION("""COMPUTED_VALUE"""),"")</f>
        <v/>
      </c>
      <c r="R1039" s="4" t="str">
        <f>IFERROR(__xludf.DUMMYFUNCTION("""COMPUTED_VALUE"""),"")</f>
        <v/>
      </c>
      <c r="S1039" s="4" t="str">
        <f>IFERROR(__xludf.DUMMYFUNCTION("""COMPUTED_VALUE"""),"")</f>
        <v/>
      </c>
      <c r="T1039" s="4" t="str">
        <f>IFERROR(__xludf.DUMMYFUNCTION("""COMPUTED_VALUE"""),"")</f>
        <v/>
      </c>
      <c r="U1039" s="4" t="str">
        <f>IFERROR(__xludf.DUMMYFUNCTION("""COMPUTED_VALUE"""),"")</f>
        <v/>
      </c>
      <c r="V1039" s="4" t="str">
        <f>IFERROR(__xludf.DUMMYFUNCTION("""COMPUTED_VALUE"""),"")</f>
        <v/>
      </c>
      <c r="W1039" s="4" t="str">
        <f>IFERROR(__xludf.DUMMYFUNCTION("""COMPUTED_VALUE"""),"")</f>
        <v/>
      </c>
      <c r="X1039" s="4" t="str">
        <f>IFERROR(__xludf.DUMMYFUNCTION("""COMPUTED_VALUE"""),"")</f>
        <v/>
      </c>
      <c r="Y1039" s="4" t="str">
        <f>IFERROR(__xludf.DUMMYFUNCTION("""COMPUTED_VALUE"""),"")</f>
        <v/>
      </c>
    </row>
    <row r="1040">
      <c r="A1040" s="4" t="str">
        <f>IFERROR(__xludf.DUMMYFUNCTION("""COMPUTED_VALUE"""),"1170 - Channel")</f>
        <v>1170 - Channel</v>
      </c>
      <c r="B1040" s="4" t="str">
        <f>IFERROR(__xludf.DUMMYFUNCTION("""COMPUTED_VALUE"""),"Channel 4")</f>
        <v>Channel 4</v>
      </c>
      <c r="C1040" s="4" t="str">
        <f>IFERROR(__xludf.DUMMYFUNCTION("""COMPUTED_VALUE"""),"Day 1 - 23/06")</f>
        <v>Day 1 - 23/06</v>
      </c>
      <c r="D1040" s="4" t="str">
        <f>IFERROR(__xludf.DUMMYFUNCTION("""COMPUTED_VALUE"""),"")</f>
        <v/>
      </c>
      <c r="E1040" s="4" t="str">
        <f>IFERROR(__xludf.DUMMYFUNCTION("""COMPUTED_VALUE"""),"")</f>
        <v/>
      </c>
      <c r="F1040" s="4" t="str">
        <f>IFERROR(__xludf.DUMMYFUNCTION("""COMPUTED_VALUE"""),"")</f>
        <v/>
      </c>
      <c r="G1040" s="4" t="str">
        <f>IFERROR(__xludf.DUMMYFUNCTION("""COMPUTED_VALUE"""),"")</f>
        <v/>
      </c>
      <c r="H1040" s="4" t="str">
        <f>IFERROR(__xludf.DUMMYFUNCTION("""COMPUTED_VALUE"""),"")</f>
        <v/>
      </c>
      <c r="I1040" s="4" t="str">
        <f>IFERROR(__xludf.DUMMYFUNCTION("""COMPUTED_VALUE"""),"")</f>
        <v/>
      </c>
      <c r="J1040" s="4" t="str">
        <f>IFERROR(__xludf.DUMMYFUNCTION("""COMPUTED_VALUE"""),"")</f>
        <v/>
      </c>
      <c r="K1040" s="4" t="str">
        <f>IFERROR(__xludf.DUMMYFUNCTION("""COMPUTED_VALUE"""),"")</f>
        <v/>
      </c>
      <c r="L1040" s="4" t="str">
        <f>IFERROR(__xludf.DUMMYFUNCTION("""COMPUTED_VALUE"""),"")</f>
        <v/>
      </c>
      <c r="M1040" s="4" t="str">
        <f>IFERROR(__xludf.DUMMYFUNCTION("""COMPUTED_VALUE"""),"")</f>
        <v/>
      </c>
      <c r="N1040" s="4" t="str">
        <f>IFERROR(__xludf.DUMMYFUNCTION("""COMPUTED_VALUE"""),"")</f>
        <v/>
      </c>
      <c r="O1040" s="4" t="str">
        <f>IFERROR(__xludf.DUMMYFUNCTION("""COMPUTED_VALUE"""),"")</f>
        <v/>
      </c>
      <c r="P1040" s="4" t="str">
        <f>IFERROR(__xludf.DUMMYFUNCTION("""COMPUTED_VALUE"""),"")</f>
        <v/>
      </c>
      <c r="Q1040" s="4" t="str">
        <f>IFERROR(__xludf.DUMMYFUNCTION("""COMPUTED_VALUE"""),"")</f>
        <v/>
      </c>
      <c r="R1040" s="4" t="str">
        <f>IFERROR(__xludf.DUMMYFUNCTION("""COMPUTED_VALUE"""),"")</f>
        <v/>
      </c>
      <c r="S1040" s="4" t="str">
        <f>IFERROR(__xludf.DUMMYFUNCTION("""COMPUTED_VALUE"""),"")</f>
        <v/>
      </c>
      <c r="T1040" s="4" t="str">
        <f>IFERROR(__xludf.DUMMYFUNCTION("""COMPUTED_VALUE"""),"")</f>
        <v/>
      </c>
      <c r="U1040" s="4" t="str">
        <f>IFERROR(__xludf.DUMMYFUNCTION("""COMPUTED_VALUE"""),"")</f>
        <v/>
      </c>
      <c r="V1040" s="4" t="str">
        <f>IFERROR(__xludf.DUMMYFUNCTION("""COMPUTED_VALUE"""),"")</f>
        <v/>
      </c>
      <c r="W1040" s="4" t="str">
        <f>IFERROR(__xludf.DUMMYFUNCTION("""COMPUTED_VALUE"""),"")</f>
        <v/>
      </c>
      <c r="X1040" s="4" t="str">
        <f>IFERROR(__xludf.DUMMYFUNCTION("""COMPUTED_VALUE"""),"")</f>
        <v/>
      </c>
      <c r="Y1040" s="4" t="str">
        <f>IFERROR(__xludf.DUMMYFUNCTION("""COMPUTED_VALUE"""),"")</f>
        <v/>
      </c>
    </row>
    <row r="1041">
      <c r="A1041" s="4" t="str">
        <f>IFERROR(__xludf.DUMMYFUNCTION("""COMPUTED_VALUE"""),"1171 - Channel")</f>
        <v>1171 - Channel</v>
      </c>
      <c r="B1041" s="4" t="str">
        <f>IFERROR(__xludf.DUMMYFUNCTION("""COMPUTED_VALUE"""),"Channel 4")</f>
        <v>Channel 4</v>
      </c>
      <c r="C1041" s="4" t="str">
        <f>IFERROR(__xludf.DUMMYFUNCTION("""COMPUTED_VALUE"""),"Day 1 - 23/06")</f>
        <v>Day 1 - 23/06</v>
      </c>
      <c r="D1041" s="4" t="str">
        <f>IFERROR(__xludf.DUMMYFUNCTION("""COMPUTED_VALUE"""),"")</f>
        <v/>
      </c>
      <c r="E1041" s="4" t="str">
        <f>IFERROR(__xludf.DUMMYFUNCTION("""COMPUTED_VALUE"""),"")</f>
        <v/>
      </c>
      <c r="F1041" s="4" t="str">
        <f>IFERROR(__xludf.DUMMYFUNCTION("""COMPUTED_VALUE"""),"")</f>
        <v/>
      </c>
      <c r="G1041" s="4" t="str">
        <f>IFERROR(__xludf.DUMMYFUNCTION("""COMPUTED_VALUE"""),"")</f>
        <v/>
      </c>
      <c r="H1041" s="4" t="str">
        <f>IFERROR(__xludf.DUMMYFUNCTION("""COMPUTED_VALUE"""),"")</f>
        <v/>
      </c>
      <c r="I1041" s="4" t="str">
        <f>IFERROR(__xludf.DUMMYFUNCTION("""COMPUTED_VALUE"""),"")</f>
        <v/>
      </c>
      <c r="J1041" s="4" t="str">
        <f>IFERROR(__xludf.DUMMYFUNCTION("""COMPUTED_VALUE"""),"")</f>
        <v/>
      </c>
      <c r="K1041" s="4" t="str">
        <f>IFERROR(__xludf.DUMMYFUNCTION("""COMPUTED_VALUE"""),"")</f>
        <v/>
      </c>
      <c r="L1041" s="4" t="str">
        <f>IFERROR(__xludf.DUMMYFUNCTION("""COMPUTED_VALUE"""),"")</f>
        <v/>
      </c>
      <c r="M1041" s="4" t="str">
        <f>IFERROR(__xludf.DUMMYFUNCTION("""COMPUTED_VALUE"""),"")</f>
        <v/>
      </c>
      <c r="N1041" s="4" t="str">
        <f>IFERROR(__xludf.DUMMYFUNCTION("""COMPUTED_VALUE"""),"")</f>
        <v/>
      </c>
      <c r="O1041" s="4" t="str">
        <f>IFERROR(__xludf.DUMMYFUNCTION("""COMPUTED_VALUE"""),"")</f>
        <v/>
      </c>
      <c r="P1041" s="4" t="str">
        <f>IFERROR(__xludf.DUMMYFUNCTION("""COMPUTED_VALUE"""),"")</f>
        <v/>
      </c>
      <c r="Q1041" s="4" t="str">
        <f>IFERROR(__xludf.DUMMYFUNCTION("""COMPUTED_VALUE"""),"")</f>
        <v/>
      </c>
      <c r="R1041" s="4" t="str">
        <f>IFERROR(__xludf.DUMMYFUNCTION("""COMPUTED_VALUE"""),"")</f>
        <v/>
      </c>
      <c r="S1041" s="4" t="str">
        <f>IFERROR(__xludf.DUMMYFUNCTION("""COMPUTED_VALUE"""),"")</f>
        <v/>
      </c>
      <c r="T1041" s="4" t="str">
        <f>IFERROR(__xludf.DUMMYFUNCTION("""COMPUTED_VALUE"""),"")</f>
        <v/>
      </c>
      <c r="U1041" s="4" t="str">
        <f>IFERROR(__xludf.DUMMYFUNCTION("""COMPUTED_VALUE"""),"")</f>
        <v/>
      </c>
      <c r="V1041" s="4" t="str">
        <f>IFERROR(__xludf.DUMMYFUNCTION("""COMPUTED_VALUE"""),"")</f>
        <v/>
      </c>
      <c r="W1041" s="4" t="str">
        <f>IFERROR(__xludf.DUMMYFUNCTION("""COMPUTED_VALUE"""),"")</f>
        <v/>
      </c>
      <c r="X1041" s="4" t="str">
        <f>IFERROR(__xludf.DUMMYFUNCTION("""COMPUTED_VALUE"""),"")</f>
        <v/>
      </c>
      <c r="Y1041" s="4" t="str">
        <f>IFERROR(__xludf.DUMMYFUNCTION("""COMPUTED_VALUE"""),"")</f>
        <v/>
      </c>
    </row>
    <row r="1042">
      <c r="A1042" s="4" t="str">
        <f>IFERROR(__xludf.DUMMYFUNCTION("""COMPUTED_VALUE"""),"1172 - Channel")</f>
        <v>1172 - Channel</v>
      </c>
      <c r="B1042" s="4" t="str">
        <f>IFERROR(__xludf.DUMMYFUNCTION("""COMPUTED_VALUE"""),"Channel 4")</f>
        <v>Channel 4</v>
      </c>
      <c r="C1042" s="4" t="str">
        <f>IFERROR(__xludf.DUMMYFUNCTION("""COMPUTED_VALUE"""),"Day 1 - 23/06")</f>
        <v>Day 1 - 23/06</v>
      </c>
      <c r="D1042" s="4" t="str">
        <f>IFERROR(__xludf.DUMMYFUNCTION("""COMPUTED_VALUE"""),"")</f>
        <v/>
      </c>
      <c r="E1042" s="4" t="str">
        <f>IFERROR(__xludf.DUMMYFUNCTION("""COMPUTED_VALUE"""),"")</f>
        <v/>
      </c>
      <c r="F1042" s="4" t="str">
        <f>IFERROR(__xludf.DUMMYFUNCTION("""COMPUTED_VALUE"""),"")</f>
        <v/>
      </c>
      <c r="G1042" s="4" t="str">
        <f>IFERROR(__xludf.DUMMYFUNCTION("""COMPUTED_VALUE"""),"")</f>
        <v/>
      </c>
      <c r="H1042" s="4" t="str">
        <f>IFERROR(__xludf.DUMMYFUNCTION("""COMPUTED_VALUE"""),"")</f>
        <v/>
      </c>
      <c r="I1042" s="4" t="str">
        <f>IFERROR(__xludf.DUMMYFUNCTION("""COMPUTED_VALUE"""),"")</f>
        <v/>
      </c>
      <c r="J1042" s="4" t="str">
        <f>IFERROR(__xludf.DUMMYFUNCTION("""COMPUTED_VALUE"""),"")</f>
        <v/>
      </c>
      <c r="K1042" s="4" t="str">
        <f>IFERROR(__xludf.DUMMYFUNCTION("""COMPUTED_VALUE"""),"")</f>
        <v/>
      </c>
      <c r="L1042" s="4" t="str">
        <f>IFERROR(__xludf.DUMMYFUNCTION("""COMPUTED_VALUE"""),"")</f>
        <v/>
      </c>
      <c r="M1042" s="4" t="str">
        <f>IFERROR(__xludf.DUMMYFUNCTION("""COMPUTED_VALUE"""),"")</f>
        <v/>
      </c>
      <c r="N1042" s="4" t="str">
        <f>IFERROR(__xludf.DUMMYFUNCTION("""COMPUTED_VALUE"""),"")</f>
        <v/>
      </c>
      <c r="O1042" s="4" t="str">
        <f>IFERROR(__xludf.DUMMYFUNCTION("""COMPUTED_VALUE"""),"")</f>
        <v/>
      </c>
      <c r="P1042" s="4" t="str">
        <f>IFERROR(__xludf.DUMMYFUNCTION("""COMPUTED_VALUE"""),"")</f>
        <v/>
      </c>
      <c r="Q1042" s="4" t="str">
        <f>IFERROR(__xludf.DUMMYFUNCTION("""COMPUTED_VALUE"""),"")</f>
        <v/>
      </c>
      <c r="R1042" s="4" t="str">
        <f>IFERROR(__xludf.DUMMYFUNCTION("""COMPUTED_VALUE"""),"")</f>
        <v/>
      </c>
      <c r="S1042" s="4" t="str">
        <f>IFERROR(__xludf.DUMMYFUNCTION("""COMPUTED_VALUE"""),"")</f>
        <v/>
      </c>
      <c r="T1042" s="4" t="str">
        <f>IFERROR(__xludf.DUMMYFUNCTION("""COMPUTED_VALUE"""),"")</f>
        <v/>
      </c>
      <c r="U1042" s="4" t="str">
        <f>IFERROR(__xludf.DUMMYFUNCTION("""COMPUTED_VALUE"""),"")</f>
        <v/>
      </c>
      <c r="V1042" s="4" t="str">
        <f>IFERROR(__xludf.DUMMYFUNCTION("""COMPUTED_VALUE"""),"")</f>
        <v/>
      </c>
      <c r="W1042" s="4" t="str">
        <f>IFERROR(__xludf.DUMMYFUNCTION("""COMPUTED_VALUE"""),"")</f>
        <v/>
      </c>
      <c r="X1042" s="4" t="str">
        <f>IFERROR(__xludf.DUMMYFUNCTION("""COMPUTED_VALUE"""),"")</f>
        <v/>
      </c>
      <c r="Y1042" s="4" t="str">
        <f>IFERROR(__xludf.DUMMYFUNCTION("""COMPUTED_VALUE"""),"")</f>
        <v/>
      </c>
    </row>
    <row r="1043">
      <c r="A1043" s="4" t="str">
        <f>IFERROR(__xludf.DUMMYFUNCTION("""COMPUTED_VALUE"""),"1173 - Channel")</f>
        <v>1173 - Channel</v>
      </c>
      <c r="B1043" s="4" t="str">
        <f>IFERROR(__xludf.DUMMYFUNCTION("""COMPUTED_VALUE"""),"DAY 2 - Wednesday, 24 June")</f>
        <v>DAY 2 - Wednesday, 24 June</v>
      </c>
      <c r="C1043" s="4" t="str">
        <f>IFERROR(__xludf.DUMMYFUNCTION("""COMPUTED_VALUE"""),"")</f>
        <v/>
      </c>
      <c r="D1043" s="4" t="str">
        <f>IFERROR(__xludf.DUMMYFUNCTION("""COMPUTED_VALUE"""),"")</f>
        <v/>
      </c>
      <c r="E1043" s="4" t="str">
        <f>IFERROR(__xludf.DUMMYFUNCTION("""COMPUTED_VALUE"""),"")</f>
        <v/>
      </c>
      <c r="F1043" s="4" t="str">
        <f>IFERROR(__xludf.DUMMYFUNCTION("""COMPUTED_VALUE"""),"")</f>
        <v/>
      </c>
      <c r="G1043" s="4" t="str">
        <f>IFERROR(__xludf.DUMMYFUNCTION("""COMPUTED_VALUE"""),"")</f>
        <v/>
      </c>
      <c r="H1043" s="4" t="str">
        <f>IFERROR(__xludf.DUMMYFUNCTION("""COMPUTED_VALUE"""),"")</f>
        <v/>
      </c>
      <c r="I1043" s="4" t="str">
        <f>IFERROR(__xludf.DUMMYFUNCTION("""COMPUTED_VALUE"""),"")</f>
        <v/>
      </c>
      <c r="J1043" s="4" t="str">
        <f>IFERROR(__xludf.DUMMYFUNCTION("""COMPUTED_VALUE"""),"")</f>
        <v/>
      </c>
      <c r="K1043" s="4" t="str">
        <f>IFERROR(__xludf.DUMMYFUNCTION("""COMPUTED_VALUE"""),"")</f>
        <v/>
      </c>
      <c r="L1043" s="4" t="str">
        <f>IFERROR(__xludf.DUMMYFUNCTION("""COMPUTED_VALUE"""),"")</f>
        <v/>
      </c>
      <c r="M1043" s="4" t="str">
        <f>IFERROR(__xludf.DUMMYFUNCTION("""COMPUTED_VALUE"""),"")</f>
        <v/>
      </c>
      <c r="N1043" s="4" t="str">
        <f>IFERROR(__xludf.DUMMYFUNCTION("""COMPUTED_VALUE"""),"")</f>
        <v/>
      </c>
      <c r="O1043" s="4" t="str">
        <f>IFERROR(__xludf.DUMMYFUNCTION("""COMPUTED_VALUE"""),"")</f>
        <v/>
      </c>
      <c r="P1043" s="4" t="str">
        <f>IFERROR(__xludf.DUMMYFUNCTION("""COMPUTED_VALUE"""),"")</f>
        <v/>
      </c>
      <c r="Q1043" s="4" t="str">
        <f>IFERROR(__xludf.DUMMYFUNCTION("""COMPUTED_VALUE"""),"")</f>
        <v/>
      </c>
      <c r="R1043" s="4" t="str">
        <f>IFERROR(__xludf.DUMMYFUNCTION("""COMPUTED_VALUE"""),"")</f>
        <v/>
      </c>
      <c r="S1043" s="4" t="str">
        <f>IFERROR(__xludf.DUMMYFUNCTION("""COMPUTED_VALUE"""),"")</f>
        <v/>
      </c>
      <c r="T1043" s="4" t="str">
        <f>IFERROR(__xludf.DUMMYFUNCTION("""COMPUTED_VALUE"""),"")</f>
        <v/>
      </c>
      <c r="U1043" s="4" t="str">
        <f>IFERROR(__xludf.DUMMYFUNCTION("""COMPUTED_VALUE"""),"")</f>
        <v/>
      </c>
      <c r="V1043" s="4" t="str">
        <f>IFERROR(__xludf.DUMMYFUNCTION("""COMPUTED_VALUE"""),"")</f>
        <v/>
      </c>
      <c r="W1043" s="4" t="str">
        <f>IFERROR(__xludf.DUMMYFUNCTION("""COMPUTED_VALUE"""),"")</f>
        <v/>
      </c>
      <c r="X1043" s="4" t="str">
        <f>IFERROR(__xludf.DUMMYFUNCTION("""COMPUTED_VALUE"""),"")</f>
        <v/>
      </c>
      <c r="Y1043" s="4" t="str">
        <f>IFERROR(__xludf.DUMMYFUNCTION("""COMPUTED_VALUE"""),"")</f>
        <v/>
      </c>
    </row>
    <row r="1044">
      <c r="A1044" s="4" t="str">
        <f>IFERROR(__xludf.DUMMYFUNCTION("""COMPUTED_VALUE"""),"1174 - Channel")</f>
        <v>1174 - Channel</v>
      </c>
      <c r="B1044" s="4" t="str">
        <f>IFERROR(__xludf.DUMMYFUNCTION("""COMPUTED_VALUE"""),"Channel 4")</f>
        <v>Channel 4</v>
      </c>
      <c r="C1044" s="4" t="str">
        <f>IFERROR(__xludf.DUMMYFUNCTION("""COMPUTED_VALUE"""),"Day 2 - 24/06")</f>
        <v>Day 2 - 24/06</v>
      </c>
      <c r="D1044" s="6">
        <f>IFERROR(__xludf.DUMMYFUNCTION("""COMPUTED_VALUE"""),0.4166666666666667)</f>
        <v>0.4166666667</v>
      </c>
      <c r="E1044" s="6">
        <f>IFERROR(__xludf.DUMMYFUNCTION("""COMPUTED_VALUE"""),0.0012037037037037038)</f>
        <v>0.001203703704</v>
      </c>
      <c r="F1044" s="6">
        <f>IFERROR(__xludf.DUMMYFUNCTION("""COMPUTED_VALUE"""),0.4178703703703704)</f>
        <v>0.4178703704</v>
      </c>
      <c r="G1044" s="4" t="str">
        <f>IFERROR(__xludf.DUMMYFUNCTION("""COMPUTED_VALUE"""),"")</f>
        <v/>
      </c>
      <c r="H1044" s="4" t="str">
        <f>IFERROR(__xludf.DUMMYFUNCTION("""COMPUTED_VALUE"""),"")</f>
        <v/>
      </c>
      <c r="I1044" s="4" t="str">
        <f>IFERROR(__xludf.DUMMYFUNCTION("""COMPUTED_VALUE"""),"")</f>
        <v/>
      </c>
      <c r="J1044" s="4" t="str">
        <f>IFERROR(__xludf.DUMMYFUNCTION("""COMPUTED_VALUE"""),"")</f>
        <v/>
      </c>
      <c r="K1044" s="4" t="str">
        <f>IFERROR(__xludf.DUMMYFUNCTION("""COMPUTED_VALUE"""),"Web Summit Trailer - full")</f>
        <v>Web Summit Trailer - full</v>
      </c>
      <c r="L1044" s="4" t="str">
        <f>IFERROR(__xludf.DUMMYFUNCTION("""COMPUTED_VALUE"""),"")</f>
        <v/>
      </c>
      <c r="M1044" s="4" t="str">
        <f>IFERROR(__xludf.DUMMYFUNCTION("""COMPUTED_VALUE"""),"Collision From Home Promo")</f>
        <v>Collision From Home Promo</v>
      </c>
      <c r="N1044" s="4" t="str">
        <f>IFERROR(__xludf.DUMMYFUNCTION("""COMPUTED_VALUE"""),"")</f>
        <v/>
      </c>
      <c r="O1044" s="4" t="str">
        <f>IFERROR(__xludf.DUMMYFUNCTION("""COMPUTED_VALUE"""),"")</f>
        <v/>
      </c>
      <c r="P1044" s="4" t="str">
        <f>IFERROR(__xludf.DUMMYFUNCTION("""COMPUTED_VALUE"""),"")</f>
        <v/>
      </c>
      <c r="Q1044" s="4" t="str">
        <f>IFERROR(__xludf.DUMMYFUNCTION("""COMPUTED_VALUE"""),"")</f>
        <v/>
      </c>
      <c r="R1044" s="4" t="str">
        <f>IFERROR(__xludf.DUMMYFUNCTION("""COMPUTED_VALUE"""),"")</f>
        <v/>
      </c>
      <c r="S1044" s="4" t="str">
        <f>IFERROR(__xludf.DUMMYFUNCTION("""COMPUTED_VALUE"""),"")</f>
        <v/>
      </c>
      <c r="T1044" s="4" t="str">
        <f>IFERROR(__xludf.DUMMYFUNCTION("""COMPUTED_VALUE"""),"")</f>
        <v/>
      </c>
      <c r="U1044" s="4" t="str">
        <f>IFERROR(__xludf.DUMMYFUNCTION("""COMPUTED_VALUE"""),"")</f>
        <v/>
      </c>
      <c r="V1044" s="4" t="str">
        <f>IFERROR(__xludf.DUMMYFUNCTION("""COMPUTED_VALUE"""),"")</f>
        <v/>
      </c>
      <c r="W1044" s="4" t="str">
        <f>IFERROR(__xludf.DUMMYFUNCTION("""COMPUTED_VALUE"""),"")</f>
        <v/>
      </c>
      <c r="X1044" s="4" t="str">
        <f>IFERROR(__xludf.DUMMYFUNCTION("""COMPUTED_VALUE"""),"")</f>
        <v/>
      </c>
      <c r="Y1044" s="4" t="str">
        <f>IFERROR(__xludf.DUMMYFUNCTION("""COMPUTED_VALUE"""),"")</f>
        <v/>
      </c>
    </row>
    <row r="1045">
      <c r="A1045" s="4" t="str">
        <f>IFERROR(__xludf.DUMMYFUNCTION("""COMPUTED_VALUE"""),"1124 - Channel")</f>
        <v>1124 - Channel</v>
      </c>
      <c r="B1045" s="4" t="str">
        <f>IFERROR(__xludf.DUMMYFUNCTION("""COMPUTED_VALUE"""),"Channel 4")</f>
        <v>Channel 4</v>
      </c>
      <c r="C1045" s="4" t="str">
        <f>IFERROR(__xludf.DUMMYFUNCTION("""COMPUTED_VALUE"""),"Day 2 - 24/06")</f>
        <v>Day 2 - 24/06</v>
      </c>
      <c r="D1045" s="6">
        <f>IFERROR(__xludf.DUMMYFUNCTION("""COMPUTED_VALUE"""),0.4178703703703704)</f>
        <v>0.4178703704</v>
      </c>
      <c r="E1045" s="6">
        <f>IFERROR(__xludf.DUMMYFUNCTION("""COMPUTED_VALUE"""),3.4722222222222224E-4)</f>
        <v>0.0003472222222</v>
      </c>
      <c r="F1045" s="6">
        <f>IFERROR(__xludf.DUMMYFUNCTION("""COMPUTED_VALUE"""),0.4182175925925926)</f>
        <v>0.4182175926</v>
      </c>
      <c r="G1045" s="4" t="str">
        <f>IFERROR(__xludf.DUMMYFUNCTION("""COMPUTED_VALUE"""),"")</f>
        <v/>
      </c>
      <c r="H1045" s="4" t="str">
        <f>IFERROR(__xludf.DUMMYFUNCTION("""COMPUTED_VALUE"""),"")</f>
        <v/>
      </c>
      <c r="I1045" s="4" t="str">
        <f>IFERROR(__xludf.DUMMYFUNCTION("""COMPUTED_VALUE"""),"")</f>
        <v/>
      </c>
      <c r="J1045" s="4" t="str">
        <f>IFERROR(__xludf.DUMMYFUNCTION("""COMPUTED_VALUE"""),"")</f>
        <v/>
      </c>
      <c r="K1045" s="4" t="str">
        <f>IFERROR(__xludf.DUMMYFUNCTION("""COMPUTED_VALUE"""),"Talk Intro")</f>
        <v>Talk Intro</v>
      </c>
      <c r="L1045" s="4" t="str">
        <f>IFERROR(__xludf.DUMMYFUNCTION("""COMPUTED_VALUE"""),"")</f>
        <v/>
      </c>
      <c r="M1045" s="4" t="str">
        <f>IFERROR(__xludf.DUMMYFUNCTION("""COMPUTED_VALUE"""),"MC intro")</f>
        <v>MC intro</v>
      </c>
      <c r="N1045" s="4" t="str">
        <f>IFERROR(__xludf.DUMMYFUNCTION("""COMPUTED_VALUE"""),"")</f>
        <v/>
      </c>
      <c r="O1045" s="4" t="str">
        <f>IFERROR(__xludf.DUMMYFUNCTION("""COMPUTED_VALUE"""),"")</f>
        <v/>
      </c>
      <c r="P1045" s="4" t="str">
        <f>IFERROR(__xludf.DUMMYFUNCTION("""COMPUTED_VALUE"""),"")</f>
        <v/>
      </c>
      <c r="Q1045" s="4" t="str">
        <f>IFERROR(__xludf.DUMMYFUNCTION("""COMPUTED_VALUE"""),"")</f>
        <v/>
      </c>
      <c r="R1045" s="4" t="str">
        <f>IFERROR(__xludf.DUMMYFUNCTION("""COMPUTED_VALUE"""),"")</f>
        <v/>
      </c>
      <c r="S1045" s="4" t="str">
        <f>IFERROR(__xludf.DUMMYFUNCTION("""COMPUTED_VALUE"""),"")</f>
        <v/>
      </c>
      <c r="T1045" s="4" t="str">
        <f>IFERROR(__xludf.DUMMYFUNCTION("""COMPUTED_VALUE"""),"")</f>
        <v/>
      </c>
      <c r="U1045" s="4" t="str">
        <f>IFERROR(__xludf.DUMMYFUNCTION("""COMPUTED_VALUE"""),"")</f>
        <v/>
      </c>
      <c r="V1045" s="4" t="str">
        <f>IFERROR(__xludf.DUMMYFUNCTION("""COMPUTED_VALUE"""),"")</f>
        <v/>
      </c>
      <c r="W1045" s="4" t="str">
        <f>IFERROR(__xludf.DUMMYFUNCTION("""COMPUTED_VALUE"""),"")</f>
        <v/>
      </c>
      <c r="X1045" s="4" t="str">
        <f>IFERROR(__xludf.DUMMYFUNCTION("""COMPUTED_VALUE"""),"")</f>
        <v/>
      </c>
      <c r="Y1045" s="4" t="str">
        <f>IFERROR(__xludf.DUMMYFUNCTION("""COMPUTED_VALUE"""),"")</f>
        <v/>
      </c>
    </row>
    <row r="1046">
      <c r="A1046" s="4" t="str">
        <f>IFERROR(__xludf.DUMMYFUNCTION("""COMPUTED_VALUE"""),"1125 - Channel")</f>
        <v>1125 - Channel</v>
      </c>
      <c r="B1046" s="4" t="str">
        <f>IFERROR(__xludf.DUMMYFUNCTION("""COMPUTED_VALUE"""),"Channel 4")</f>
        <v>Channel 4</v>
      </c>
      <c r="C1046" s="4" t="str">
        <f>IFERROR(__xludf.DUMMYFUNCTION("""COMPUTED_VALUE"""),"Day 2 - 24/06")</f>
        <v>Day 2 - 24/06</v>
      </c>
      <c r="D1046" s="6">
        <f>IFERROR(__xludf.DUMMYFUNCTION("""COMPUTED_VALUE"""),0.4182175925925926)</f>
        <v>0.4182175926</v>
      </c>
      <c r="E1046" s="6">
        <f>IFERROR(__xludf.DUMMYFUNCTION("""COMPUTED_VALUE"""),0.02048611111111111)</f>
        <v>0.02048611111</v>
      </c>
      <c r="F1046" s="6">
        <f>IFERROR(__xludf.DUMMYFUNCTION("""COMPUTED_VALUE"""),0.4387037037037037)</f>
        <v>0.4387037037</v>
      </c>
      <c r="G1046" s="4" t="str">
        <f>IFERROR(__xludf.DUMMYFUNCTION("""COMPUTED_VALUE"""),"Colm")</f>
        <v>Colm</v>
      </c>
      <c r="H1046" s="4" t="str">
        <f>IFERROR(__xludf.DUMMYFUNCTION("""COMPUTED_VALUE"""),"Stephen")</f>
        <v>Stephen</v>
      </c>
      <c r="I1046" s="4" t="str">
        <f>IFERROR(__xludf.DUMMYFUNCTION("""COMPUTED_VALUE"""),"Geoff")</f>
        <v>Geoff</v>
      </c>
      <c r="J1046" s="4" t="str">
        <f>IFERROR(__xludf.DUMMYFUNCTION("""COMPUTED_VALUE"""),"")</f>
        <v/>
      </c>
      <c r="K1046" s="4" t="str">
        <f>IFERROR(__xludf.DUMMYFUNCTION("""COMPUTED_VALUE"""),"Podcast")</f>
        <v>Podcast</v>
      </c>
      <c r="L1046" s="4" t="str">
        <f>IFERROR(__xludf.DUMMYFUNCTION("""COMPUTED_VALUE"""),"T- 4 - 25/05/2020")</f>
        <v>T- 4 - 25/05/2020</v>
      </c>
      <c r="M1046" s="4" t="str">
        <f>IFERROR(__xludf.DUMMYFUNCTION("""COMPUTED_VALUE"""),"In depth: Vinod Khosla ")</f>
        <v>In depth: Vinod Khosla </v>
      </c>
      <c r="N1046" s="4" t="str">
        <f>IFERROR(__xludf.DUMMYFUNCTION("""COMPUTED_VALUE"""),"Vinod Khosla, Khosla Ventures")</f>
        <v>Vinod Khosla, Khosla Ventures</v>
      </c>
      <c r="O1046" s="4" t="str">
        <f>IFERROR(__xludf.DUMMYFUNCTION("""COMPUTED_VALUE"""),"")</f>
        <v/>
      </c>
      <c r="P1046" s="4" t="str">
        <f>IFERROR(__xludf.DUMMYFUNCTION("""COMPUTED_VALUE"""),"")</f>
        <v/>
      </c>
      <c r="Q1046" s="4" t="str">
        <f>IFERROR(__xludf.DUMMYFUNCTION("""COMPUTED_VALUE"""),"")</f>
        <v/>
      </c>
      <c r="R1046" s="4" t="str">
        <f>IFERROR(__xludf.DUMMYFUNCTION("""COMPUTED_VALUE"""),"Jessica Lessin, The Information")</f>
        <v>Jessica Lessin, The Information</v>
      </c>
      <c r="S1046" s="4" t="str">
        <f>IFERROR(__xludf.DUMMYFUNCTION("""COMPUTED_VALUE"""),"V​inod offers an in depth and revealing look into his life and career as an entrepreneur, investor and tech fan. He charts the rise of his company, Khosla Ventures, a VC focused on impactful investments in software, AI, robotics, 3D printing, healthcare a"&amp;"nd other tech-related industries​.")</f>
        <v>V​inod offers an in depth and revealing look into his life and career as an entrepreneur, investor and tech fan. He charts the rise of his company, Khosla Ventures, a VC focused on impactful investments in software, AI, robotics, 3D printing, healthcare and other tech-related industries​.</v>
      </c>
      <c r="T1046" s="4" t="str">
        <f>IFERROR(__xludf.DUMMYFUNCTION("""COMPUTED_VALUE"""),"NON-KEYNOTE 9 - COMPLETE")</f>
        <v>NON-KEYNOTE 9 - COMPLETE</v>
      </c>
      <c r="U1046" s="23">
        <f>IFERROR(__xludf.DUMMYFUNCTION("""COMPUTED_VALUE"""),43979.0)</f>
        <v>43979</v>
      </c>
      <c r="V1046" s="24">
        <f>IFERROR(__xludf.DUMMYFUNCTION("""COMPUTED_VALUE"""),0.7083333333333334)</f>
        <v>0.7083333333</v>
      </c>
      <c r="W1046" s="4" t="str">
        <f>IFERROR(__xludf.DUMMYFUNCTION("""COMPUTED_VALUE"""),"COMPLETE")</f>
        <v>COMPLETE</v>
      </c>
      <c r="X1046" s="4" t="str">
        <f>IFERROR(__xludf.DUMMYFUNCTION("""COMPUTED_VALUE"""),"Colm")</f>
        <v>Colm</v>
      </c>
      <c r="Y1046" s="4" t="str">
        <f>IFERROR(__xludf.DUMMYFUNCTION("""COMPUTED_VALUE"""),"")</f>
        <v/>
      </c>
    </row>
    <row r="1047">
      <c r="A1047" s="4" t="str">
        <f>IFERROR(__xludf.DUMMYFUNCTION("""COMPUTED_VALUE"""),"1445 - Channel")</f>
        <v>1445 - Channel</v>
      </c>
      <c r="B1047" s="4" t="str">
        <f>IFERROR(__xludf.DUMMYFUNCTION("""COMPUTED_VALUE"""),"Channel 4")</f>
        <v>Channel 4</v>
      </c>
      <c r="C1047" s="4" t="str">
        <f>IFERROR(__xludf.DUMMYFUNCTION("""COMPUTED_VALUE"""),"Day 2 - 24/06")</f>
        <v>Day 2 - 24/06</v>
      </c>
      <c r="D1047" s="6">
        <f>IFERROR(__xludf.DUMMYFUNCTION("""COMPUTED_VALUE"""),0.4387037037037037)</f>
        <v>0.4387037037</v>
      </c>
      <c r="E1047" s="6">
        <f>IFERROR(__xludf.DUMMYFUNCTION("""COMPUTED_VALUE"""),0.0012037037037037038)</f>
        <v>0.001203703704</v>
      </c>
      <c r="F1047" s="6">
        <f>IFERROR(__xludf.DUMMYFUNCTION("""COMPUTED_VALUE"""),0.4399074074074074)</f>
        <v>0.4399074074</v>
      </c>
      <c r="G1047" s="4" t="str">
        <f>IFERROR(__xludf.DUMMYFUNCTION("""COMPUTED_VALUE"""),"")</f>
        <v/>
      </c>
      <c r="H1047" s="4" t="str">
        <f>IFERROR(__xludf.DUMMYFUNCTION("""COMPUTED_VALUE"""),"")</f>
        <v/>
      </c>
      <c r="I1047" s="4" t="str">
        <f>IFERROR(__xludf.DUMMYFUNCTION("""COMPUTED_VALUE"""),"")</f>
        <v/>
      </c>
      <c r="J1047" s="4" t="str">
        <f>IFERROR(__xludf.DUMMYFUNCTION("""COMPUTED_VALUE"""),"")</f>
        <v/>
      </c>
      <c r="K1047" s="4" t="str">
        <f>IFERROR(__xludf.DUMMYFUNCTION("""COMPUTED_VALUE"""),"Web Summit Trailer - full")</f>
        <v>Web Summit Trailer - full</v>
      </c>
      <c r="L1047" s="4" t="str">
        <f>IFERROR(__xludf.DUMMYFUNCTION("""COMPUTED_VALUE"""),"")</f>
        <v/>
      </c>
      <c r="M1047" s="4" t="str">
        <f>IFERROR(__xludf.DUMMYFUNCTION("""COMPUTED_VALUE"""),"Collision From Home Promo")</f>
        <v>Collision From Home Promo</v>
      </c>
      <c r="N1047" s="4" t="str">
        <f>IFERROR(__xludf.DUMMYFUNCTION("""COMPUTED_VALUE"""),"")</f>
        <v/>
      </c>
      <c r="O1047" s="4" t="str">
        <f>IFERROR(__xludf.DUMMYFUNCTION("""COMPUTED_VALUE"""),"")</f>
        <v/>
      </c>
      <c r="P1047" s="4" t="str">
        <f>IFERROR(__xludf.DUMMYFUNCTION("""COMPUTED_VALUE"""),"")</f>
        <v/>
      </c>
      <c r="Q1047" s="4" t="str">
        <f>IFERROR(__xludf.DUMMYFUNCTION("""COMPUTED_VALUE"""),"")</f>
        <v/>
      </c>
      <c r="R1047" s="4" t="str">
        <f>IFERROR(__xludf.DUMMYFUNCTION("""COMPUTED_VALUE"""),"")</f>
        <v/>
      </c>
      <c r="S1047" s="4" t="str">
        <f>IFERROR(__xludf.DUMMYFUNCTION("""COMPUTED_VALUE"""),"")</f>
        <v/>
      </c>
      <c r="T1047" s="4" t="str">
        <f>IFERROR(__xludf.DUMMYFUNCTION("""COMPUTED_VALUE"""),"")</f>
        <v/>
      </c>
      <c r="U1047" s="4" t="str">
        <f>IFERROR(__xludf.DUMMYFUNCTION("""COMPUTED_VALUE"""),"")</f>
        <v/>
      </c>
      <c r="V1047" s="4" t="str">
        <f>IFERROR(__xludf.DUMMYFUNCTION("""COMPUTED_VALUE"""),"")</f>
        <v/>
      </c>
      <c r="W1047" s="4" t="str">
        <f>IFERROR(__xludf.DUMMYFUNCTION("""COMPUTED_VALUE"""),"")</f>
        <v/>
      </c>
      <c r="X1047" s="4" t="str">
        <f>IFERROR(__xludf.DUMMYFUNCTION("""COMPUTED_VALUE"""),"")</f>
        <v/>
      </c>
      <c r="Y1047" s="4" t="str">
        <f>IFERROR(__xludf.DUMMYFUNCTION("""COMPUTED_VALUE"""),"")</f>
        <v/>
      </c>
    </row>
    <row r="1048">
      <c r="A1048" s="4" t="str">
        <f>IFERROR(__xludf.DUMMYFUNCTION("""COMPUTED_VALUE"""),"1181 - Channel")</f>
        <v>1181 - Channel</v>
      </c>
      <c r="B1048" s="4" t="str">
        <f>IFERROR(__xludf.DUMMYFUNCTION("""COMPUTED_VALUE"""),"Channel 4")</f>
        <v>Channel 4</v>
      </c>
      <c r="C1048" s="4" t="str">
        <f>IFERROR(__xludf.DUMMYFUNCTION("""COMPUTED_VALUE"""),"Day 2 - 24/06")</f>
        <v>Day 2 - 24/06</v>
      </c>
      <c r="D1048" s="6">
        <f>IFERROR(__xludf.DUMMYFUNCTION("""COMPUTED_VALUE"""),0.4399074074074074)</f>
        <v>0.4399074074</v>
      </c>
      <c r="E1048" s="6">
        <f>IFERROR(__xludf.DUMMYFUNCTION("""COMPUTED_VALUE"""),3.4722222222222224E-4)</f>
        <v>0.0003472222222</v>
      </c>
      <c r="F1048" s="6">
        <f>IFERROR(__xludf.DUMMYFUNCTION("""COMPUTED_VALUE"""),0.44025462962962963)</f>
        <v>0.4402546296</v>
      </c>
      <c r="G1048" s="4" t="str">
        <f>IFERROR(__xludf.DUMMYFUNCTION("""COMPUTED_VALUE"""),"")</f>
        <v/>
      </c>
      <c r="H1048" s="4" t="str">
        <f>IFERROR(__xludf.DUMMYFUNCTION("""COMPUTED_VALUE"""),"")</f>
        <v/>
      </c>
      <c r="I1048" s="4" t="str">
        <f>IFERROR(__xludf.DUMMYFUNCTION("""COMPUTED_VALUE"""),"")</f>
        <v/>
      </c>
      <c r="J1048" s="4" t="str">
        <f>IFERROR(__xludf.DUMMYFUNCTION("""COMPUTED_VALUE"""),"")</f>
        <v/>
      </c>
      <c r="K1048" s="4" t="str">
        <f>IFERROR(__xludf.DUMMYFUNCTION("""COMPUTED_VALUE"""),"Talk Intro")</f>
        <v>Talk Intro</v>
      </c>
      <c r="L1048" s="4" t="str">
        <f>IFERROR(__xludf.DUMMYFUNCTION("""COMPUTED_VALUE"""),"")</f>
        <v/>
      </c>
      <c r="M1048" s="4" t="str">
        <f>IFERROR(__xludf.DUMMYFUNCTION("""COMPUTED_VALUE"""),"MC Intro")</f>
        <v>MC Intro</v>
      </c>
      <c r="N1048" s="4" t="str">
        <f>IFERROR(__xludf.DUMMYFUNCTION("""COMPUTED_VALUE"""),"")</f>
        <v/>
      </c>
      <c r="O1048" s="4" t="str">
        <f>IFERROR(__xludf.DUMMYFUNCTION("""COMPUTED_VALUE"""),"")</f>
        <v/>
      </c>
      <c r="P1048" s="4" t="str">
        <f>IFERROR(__xludf.DUMMYFUNCTION("""COMPUTED_VALUE"""),"")</f>
        <v/>
      </c>
      <c r="Q1048" s="4" t="str">
        <f>IFERROR(__xludf.DUMMYFUNCTION("""COMPUTED_VALUE"""),"")</f>
        <v/>
      </c>
      <c r="R1048" s="4" t="str">
        <f>IFERROR(__xludf.DUMMYFUNCTION("""COMPUTED_VALUE"""),"")</f>
        <v/>
      </c>
      <c r="S1048" s="4" t="str">
        <f>IFERROR(__xludf.DUMMYFUNCTION("""COMPUTED_VALUE"""),"")</f>
        <v/>
      </c>
      <c r="T1048" s="4" t="str">
        <f>IFERROR(__xludf.DUMMYFUNCTION("""COMPUTED_VALUE"""),"")</f>
        <v/>
      </c>
      <c r="U1048" s="4" t="str">
        <f>IFERROR(__xludf.DUMMYFUNCTION("""COMPUTED_VALUE"""),"")</f>
        <v/>
      </c>
      <c r="V1048" s="4" t="str">
        <f>IFERROR(__xludf.DUMMYFUNCTION("""COMPUTED_VALUE"""),"")</f>
        <v/>
      </c>
      <c r="W1048" s="4" t="str">
        <f>IFERROR(__xludf.DUMMYFUNCTION("""COMPUTED_VALUE"""),"")</f>
        <v/>
      </c>
      <c r="X1048" s="4" t="str">
        <f>IFERROR(__xludf.DUMMYFUNCTION("""COMPUTED_VALUE"""),"")</f>
        <v/>
      </c>
      <c r="Y1048" s="4" t="str">
        <f>IFERROR(__xludf.DUMMYFUNCTION("""COMPUTED_VALUE"""),"")</f>
        <v/>
      </c>
    </row>
    <row r="1049">
      <c r="A1049" s="4" t="str">
        <f>IFERROR(__xludf.DUMMYFUNCTION("""COMPUTED_VALUE"""),"1182 - Channel")</f>
        <v>1182 - Channel</v>
      </c>
      <c r="B1049" s="4" t="str">
        <f>IFERROR(__xludf.DUMMYFUNCTION("""COMPUTED_VALUE"""),"Channel 4")</f>
        <v>Channel 4</v>
      </c>
      <c r="C1049" s="4" t="str">
        <f>IFERROR(__xludf.DUMMYFUNCTION("""COMPUTED_VALUE"""),"Day 2 - 24/06")</f>
        <v>Day 2 - 24/06</v>
      </c>
      <c r="D1049" s="6">
        <f>IFERROR(__xludf.DUMMYFUNCTION("""COMPUTED_VALUE"""),0.44025462962962963)</f>
        <v>0.4402546296</v>
      </c>
      <c r="E1049" s="6">
        <f>IFERROR(__xludf.DUMMYFUNCTION("""COMPUTED_VALUE"""),0.03009259259259259)</f>
        <v>0.03009259259</v>
      </c>
      <c r="F1049" s="6">
        <f>IFERROR(__xludf.DUMMYFUNCTION("""COMPUTED_VALUE"""),0.47034722222222225)</f>
        <v>0.4703472222</v>
      </c>
      <c r="G1049" s="4" t="str">
        <f>IFERROR(__xludf.DUMMYFUNCTION("""COMPUTED_VALUE"""),"Darren")</f>
        <v>Darren</v>
      </c>
      <c r="H1049" s="4" t="str">
        <f>IFERROR(__xludf.DUMMYFUNCTION("""COMPUTED_VALUE"""),"Stephen")</f>
        <v>Stephen</v>
      </c>
      <c r="I1049" s="4" t="str">
        <f>IFERROR(__xludf.DUMMYFUNCTION("""COMPUTED_VALUE"""),"Lucia H.")</f>
        <v>Lucia H.</v>
      </c>
      <c r="J1049" s="4" t="str">
        <f>IFERROR(__xludf.DUMMYFUNCTION("""COMPUTED_VALUE"""),"")</f>
        <v/>
      </c>
      <c r="K1049" s="4" t="str">
        <f>IFERROR(__xludf.DUMMYFUNCTION("""COMPUTED_VALUE"""),"Podcast")</f>
        <v>Podcast</v>
      </c>
      <c r="L1049" s="4" t="str">
        <f>IFERROR(__xludf.DUMMYFUNCTION("""COMPUTED_VALUE"""),"T- 4 - 25/05/2020")</f>
        <v>T- 4 - 25/05/2020</v>
      </c>
      <c r="M1049" s="4" t="str">
        <f>IFERROR(__xludf.DUMMYFUNCTION("""COMPUTED_VALUE"""),"In depth: Anthony Scaramucci ")</f>
        <v>In depth: Anthony Scaramucci </v>
      </c>
      <c r="N1049" s="4" t="str">
        <f>IFERROR(__xludf.DUMMYFUNCTION("""COMPUTED_VALUE"""),"Anthony Scaramucci, Sky Bridge Capital")</f>
        <v>Anthony Scaramucci, Sky Bridge Capital</v>
      </c>
      <c r="O1049" s="4" t="str">
        <f>IFERROR(__xludf.DUMMYFUNCTION("""COMPUTED_VALUE"""),"")</f>
        <v/>
      </c>
      <c r="P1049" s="4" t="str">
        <f>IFERROR(__xludf.DUMMYFUNCTION("""COMPUTED_VALUE"""),"")</f>
        <v/>
      </c>
      <c r="Q1049" s="4" t="str">
        <f>IFERROR(__xludf.DUMMYFUNCTION("""COMPUTED_VALUE"""),"")</f>
        <v/>
      </c>
      <c r="R1049" s="4" t="str">
        <f>IFERROR(__xludf.DUMMYFUNCTION("""COMPUTED_VALUE"""),"Sabrina Siddiqui, The Wall Street Journal")</f>
        <v>Sabrina Siddiqui, The Wall Street Journal</v>
      </c>
      <c r="S1049" s="4" t="str">
        <f>IFERROR(__xludf.DUMMYFUNCTION("""COMPUTED_VALUE"""),"Anthony founded investment firm Skybridge Capital in 2005, and is also the founder of Oscar Capital Management. Prior to that, he worked in Goldman Sachs' investment banking, equities and private wealth management divisions. Anthony will give the inside s"&amp;"tory of his turbulent time at the White House, where he served as director of communications for President Trump from July 21 to July 31.")</f>
        <v>Anthony founded investment firm Skybridge Capital in 2005, and is also the founder of Oscar Capital Management. Prior to that, he worked in Goldman Sachs' investment banking, equities and private wealth management divisions. Anthony will give the inside story of his turbulent time at the White House, where he served as director of communications for President Trump from July 21 to July 31.</v>
      </c>
      <c r="T1049" s="4" t="str">
        <f>IFERROR(__xludf.DUMMYFUNCTION("""COMPUTED_VALUE"""),"NON-KEYNOTE 9 - COMPLETE")</f>
        <v>NON-KEYNOTE 9 - COMPLETE</v>
      </c>
      <c r="U1049" s="23">
        <f>IFERROR(__xludf.DUMMYFUNCTION("""COMPUTED_VALUE"""),43978.0)</f>
        <v>43978</v>
      </c>
      <c r="V1049" s="24">
        <f>IFERROR(__xludf.DUMMYFUNCTION("""COMPUTED_VALUE"""),0.6666666666666666)</f>
        <v>0.6666666667</v>
      </c>
      <c r="W1049" s="4" t="str">
        <f>IFERROR(__xludf.DUMMYFUNCTION("""COMPUTED_VALUE"""),"COMPLETE")</f>
        <v>COMPLETE</v>
      </c>
      <c r="X1049" s="4" t="str">
        <f>IFERROR(__xludf.DUMMYFUNCTION("""COMPUTED_VALUE"""),"Darren")</f>
        <v>Darren</v>
      </c>
      <c r="Y1049" s="4" t="str">
        <f>IFERROR(__xludf.DUMMYFUNCTION("""COMPUTED_VALUE"""),"")</f>
        <v/>
      </c>
    </row>
    <row r="1050">
      <c r="A1050" s="4" t="str">
        <f>IFERROR(__xludf.DUMMYFUNCTION("""COMPUTED_VALUE"""),"1183 - Channel")</f>
        <v>1183 - Channel</v>
      </c>
      <c r="B1050" s="4" t="str">
        <f>IFERROR(__xludf.DUMMYFUNCTION("""COMPUTED_VALUE"""),"Channel 4")</f>
        <v>Channel 4</v>
      </c>
      <c r="C1050" s="4" t="str">
        <f>IFERROR(__xludf.DUMMYFUNCTION("""COMPUTED_VALUE"""),"Day 2 - 24/06")</f>
        <v>Day 2 - 24/06</v>
      </c>
      <c r="D1050" s="6">
        <f>IFERROR(__xludf.DUMMYFUNCTION("""COMPUTED_VALUE"""),0.47034722222222225)</f>
        <v>0.4703472222</v>
      </c>
      <c r="E1050" s="6">
        <f>IFERROR(__xludf.DUMMYFUNCTION("""COMPUTED_VALUE"""),0.0012037037037037038)</f>
        <v>0.001203703704</v>
      </c>
      <c r="F1050" s="6">
        <f>IFERROR(__xludf.DUMMYFUNCTION("""COMPUTED_VALUE"""),0.47155092592592596)</f>
        <v>0.4715509259</v>
      </c>
      <c r="G1050" s="4" t="str">
        <f>IFERROR(__xludf.DUMMYFUNCTION("""COMPUTED_VALUE"""),"")</f>
        <v/>
      </c>
      <c r="H1050" s="4" t="str">
        <f>IFERROR(__xludf.DUMMYFUNCTION("""COMPUTED_VALUE"""),"")</f>
        <v/>
      </c>
      <c r="I1050" s="4" t="str">
        <f>IFERROR(__xludf.DUMMYFUNCTION("""COMPUTED_VALUE"""),"")</f>
        <v/>
      </c>
      <c r="J1050" s="4" t="str">
        <f>IFERROR(__xludf.DUMMYFUNCTION("""COMPUTED_VALUE"""),"")</f>
        <v/>
      </c>
      <c r="K1050" s="4" t="str">
        <f>IFERROR(__xludf.DUMMYFUNCTION("""COMPUTED_VALUE"""),"Web Summit Trailer - full")</f>
        <v>Web Summit Trailer - full</v>
      </c>
      <c r="L1050" s="4" t="str">
        <f>IFERROR(__xludf.DUMMYFUNCTION("""COMPUTED_VALUE"""),"")</f>
        <v/>
      </c>
      <c r="M1050" s="4" t="str">
        <f>IFERROR(__xludf.DUMMYFUNCTION("""COMPUTED_VALUE"""),"Collision From Home Promo")</f>
        <v>Collision From Home Promo</v>
      </c>
      <c r="N1050" s="4" t="str">
        <f>IFERROR(__xludf.DUMMYFUNCTION("""COMPUTED_VALUE"""),"")</f>
        <v/>
      </c>
      <c r="O1050" s="4" t="str">
        <f>IFERROR(__xludf.DUMMYFUNCTION("""COMPUTED_VALUE"""),"")</f>
        <v/>
      </c>
      <c r="P1050" s="4" t="str">
        <f>IFERROR(__xludf.DUMMYFUNCTION("""COMPUTED_VALUE"""),"")</f>
        <v/>
      </c>
      <c r="Q1050" s="4" t="str">
        <f>IFERROR(__xludf.DUMMYFUNCTION("""COMPUTED_VALUE"""),"")</f>
        <v/>
      </c>
      <c r="R1050" s="4" t="str">
        <f>IFERROR(__xludf.DUMMYFUNCTION("""COMPUTED_VALUE"""),"")</f>
        <v/>
      </c>
      <c r="S1050" s="4" t="str">
        <f>IFERROR(__xludf.DUMMYFUNCTION("""COMPUTED_VALUE"""),"")</f>
        <v/>
      </c>
      <c r="T1050" s="4" t="str">
        <f>IFERROR(__xludf.DUMMYFUNCTION("""COMPUTED_VALUE"""),"")</f>
        <v/>
      </c>
      <c r="U1050" s="4" t="str">
        <f>IFERROR(__xludf.DUMMYFUNCTION("""COMPUTED_VALUE"""),"")</f>
        <v/>
      </c>
      <c r="V1050" s="4" t="str">
        <f>IFERROR(__xludf.DUMMYFUNCTION("""COMPUTED_VALUE"""),"")</f>
        <v/>
      </c>
      <c r="W1050" s="4" t="str">
        <f>IFERROR(__xludf.DUMMYFUNCTION("""COMPUTED_VALUE"""),"")</f>
        <v/>
      </c>
      <c r="X1050" s="4" t="str">
        <f>IFERROR(__xludf.DUMMYFUNCTION("""COMPUTED_VALUE"""),"")</f>
        <v/>
      </c>
      <c r="Y1050" s="4" t="str">
        <f>IFERROR(__xludf.DUMMYFUNCTION("""COMPUTED_VALUE"""),"")</f>
        <v/>
      </c>
    </row>
    <row r="1051">
      <c r="A1051" s="4" t="str">
        <f>IFERROR(__xludf.DUMMYFUNCTION("""COMPUTED_VALUE"""),"1683 - Channel")</f>
        <v>1683 - Channel</v>
      </c>
      <c r="B1051" s="4" t="str">
        <f>IFERROR(__xludf.DUMMYFUNCTION("""COMPUTED_VALUE"""),"Channel 4")</f>
        <v>Channel 4</v>
      </c>
      <c r="C1051" s="4" t="str">
        <f>IFERROR(__xludf.DUMMYFUNCTION("""COMPUTED_VALUE"""),"Day 2 - 24/06")</f>
        <v>Day 2 - 24/06</v>
      </c>
      <c r="D1051" s="6">
        <f>IFERROR(__xludf.DUMMYFUNCTION("""COMPUTED_VALUE"""),0.47155092592592596)</f>
        <v>0.4715509259</v>
      </c>
      <c r="E1051" s="6">
        <f>IFERROR(__xludf.DUMMYFUNCTION("""COMPUTED_VALUE"""),3.4722222222222224E-4)</f>
        <v>0.0003472222222</v>
      </c>
      <c r="F1051" s="6">
        <f>IFERROR(__xludf.DUMMYFUNCTION("""COMPUTED_VALUE"""),0.4718981481481482)</f>
        <v>0.4718981481</v>
      </c>
      <c r="G1051" s="4" t="str">
        <f>IFERROR(__xludf.DUMMYFUNCTION("""COMPUTED_VALUE"""),"")</f>
        <v/>
      </c>
      <c r="H1051" s="4" t="str">
        <f>IFERROR(__xludf.DUMMYFUNCTION("""COMPUTED_VALUE"""),"")</f>
        <v/>
      </c>
      <c r="I1051" s="4" t="str">
        <f>IFERROR(__xludf.DUMMYFUNCTION("""COMPUTED_VALUE"""),"")</f>
        <v/>
      </c>
      <c r="J1051" s="4" t="str">
        <f>IFERROR(__xludf.DUMMYFUNCTION("""COMPUTED_VALUE"""),"")</f>
        <v/>
      </c>
      <c r="K1051" s="4" t="str">
        <f>IFERROR(__xludf.DUMMYFUNCTION("""COMPUTED_VALUE"""),"Talk Intro")</f>
        <v>Talk Intro</v>
      </c>
      <c r="L1051" s="4" t="str">
        <f>IFERROR(__xludf.DUMMYFUNCTION("""COMPUTED_VALUE"""),"")</f>
        <v/>
      </c>
      <c r="M1051" s="4" t="str">
        <f>IFERROR(__xludf.DUMMYFUNCTION("""COMPUTED_VALUE"""),"MC Intro")</f>
        <v>MC Intro</v>
      </c>
      <c r="N1051" s="4" t="str">
        <f>IFERROR(__xludf.DUMMYFUNCTION("""COMPUTED_VALUE"""),"")</f>
        <v/>
      </c>
      <c r="O1051" s="4" t="str">
        <f>IFERROR(__xludf.DUMMYFUNCTION("""COMPUTED_VALUE"""),"")</f>
        <v/>
      </c>
      <c r="P1051" s="4" t="str">
        <f>IFERROR(__xludf.DUMMYFUNCTION("""COMPUTED_VALUE"""),"")</f>
        <v/>
      </c>
      <c r="Q1051" s="4" t="str">
        <f>IFERROR(__xludf.DUMMYFUNCTION("""COMPUTED_VALUE"""),"")</f>
        <v/>
      </c>
      <c r="R1051" s="4" t="str">
        <f>IFERROR(__xludf.DUMMYFUNCTION("""COMPUTED_VALUE"""),"")</f>
        <v/>
      </c>
      <c r="S1051" s="4" t="str">
        <f>IFERROR(__xludf.DUMMYFUNCTION("""COMPUTED_VALUE"""),"")</f>
        <v/>
      </c>
      <c r="T1051" s="4" t="str">
        <f>IFERROR(__xludf.DUMMYFUNCTION("""COMPUTED_VALUE"""),"")</f>
        <v/>
      </c>
      <c r="U1051" s="4" t="str">
        <f>IFERROR(__xludf.DUMMYFUNCTION("""COMPUTED_VALUE"""),"")</f>
        <v/>
      </c>
      <c r="V1051" s="4" t="str">
        <f>IFERROR(__xludf.DUMMYFUNCTION("""COMPUTED_VALUE"""),"")</f>
        <v/>
      </c>
      <c r="W1051" s="4" t="str">
        <f>IFERROR(__xludf.DUMMYFUNCTION("""COMPUTED_VALUE"""),"")</f>
        <v/>
      </c>
      <c r="X1051" s="4" t="str">
        <f>IFERROR(__xludf.DUMMYFUNCTION("""COMPUTED_VALUE"""),"")</f>
        <v/>
      </c>
      <c r="Y1051" s="4" t="str">
        <f>IFERROR(__xludf.DUMMYFUNCTION("""COMPUTED_VALUE"""),"")</f>
        <v/>
      </c>
    </row>
    <row r="1052">
      <c r="A1052" s="4" t="str">
        <f>IFERROR(__xludf.DUMMYFUNCTION("""COMPUTED_VALUE"""),"1684 - Channel")</f>
        <v>1684 - Channel</v>
      </c>
      <c r="B1052" s="4" t="str">
        <f>IFERROR(__xludf.DUMMYFUNCTION("""COMPUTED_VALUE"""),"Channel 4")</f>
        <v>Channel 4</v>
      </c>
      <c r="C1052" s="4" t="str">
        <f>IFERROR(__xludf.DUMMYFUNCTION("""COMPUTED_VALUE"""),"Day 2 - 24/06")</f>
        <v>Day 2 - 24/06</v>
      </c>
      <c r="D1052" s="6">
        <f>IFERROR(__xludf.DUMMYFUNCTION("""COMPUTED_VALUE"""),0.4718981481481482)</f>
        <v>0.4718981481</v>
      </c>
      <c r="E1052" s="6">
        <f>IFERROR(__xludf.DUMMYFUNCTION("""COMPUTED_VALUE"""),0.012546296296296297)</f>
        <v>0.0125462963</v>
      </c>
      <c r="F1052" s="6">
        <f>IFERROR(__xludf.DUMMYFUNCTION("""COMPUTED_VALUE"""),0.48444444444444446)</f>
        <v>0.4844444444</v>
      </c>
      <c r="G1052" s="4" t="str">
        <f>IFERROR(__xludf.DUMMYFUNCTION("""COMPUTED_VALUE"""),"")</f>
        <v/>
      </c>
      <c r="H1052" s="4" t="str">
        <f>IFERROR(__xludf.DUMMYFUNCTION("""COMPUTED_VALUE"""),"")</f>
        <v/>
      </c>
      <c r="I1052" s="4" t="str">
        <f>IFERROR(__xludf.DUMMYFUNCTION("""COMPUTED_VALUE"""),"")</f>
        <v/>
      </c>
      <c r="J1052" s="4" t="str">
        <f>IFERROR(__xludf.DUMMYFUNCTION("""COMPUTED_VALUE"""),"")</f>
        <v/>
      </c>
      <c r="K1052" s="4" t="str">
        <f>IFERROR(__xludf.DUMMYFUNCTION("""COMPUTED_VALUE"""),"Panel")</f>
        <v>Panel</v>
      </c>
      <c r="L1052" s="4" t="str">
        <f>IFERROR(__xludf.DUMMYFUNCTION("""COMPUTED_VALUE"""),"")</f>
        <v/>
      </c>
      <c r="M1052" s="4" t="str">
        <f>IFERROR(__xludf.DUMMYFUNCTION("""COMPUTED_VALUE"""),"Grit city: How tough is New York's startup scene?")</f>
        <v>Grit city: How tough is New York's startup scene?</v>
      </c>
      <c r="N1052" s="4" t="str">
        <f>IFERROR(__xludf.DUMMYFUNCTION("""COMPUTED_VALUE"""),"John Elton, Greycroft")</f>
        <v>John Elton, Greycroft</v>
      </c>
      <c r="O1052" s="4" t="str">
        <f>IFERROR(__xludf.DUMMYFUNCTION("""COMPUTED_VALUE"""),"Jenny Fielding, Techstars")</f>
        <v>Jenny Fielding, Techstars</v>
      </c>
      <c r="P1052" s="4" t="str">
        <f>IFERROR(__xludf.DUMMYFUNCTION("""COMPUTED_VALUE"""),"Sean O'Sullivan, SOSV")</f>
        <v>Sean O'Sullivan, SOSV</v>
      </c>
      <c r="Q1052" s="4" t="str">
        <f>IFERROR(__xludf.DUMMYFUNCTION("""COMPUTED_VALUE"""),"")</f>
        <v/>
      </c>
      <c r="R1052" s="4" t="str">
        <f>IFERROR(__xludf.DUMMYFUNCTION("""COMPUTED_VALUE"""),"Alex Wilhelm, TechCrunch")</f>
        <v>Alex Wilhelm, TechCrunch</v>
      </c>
      <c r="S1052" s="4" t="str">
        <f>IFERROR(__xludf.DUMMYFUNCTION("""COMPUTED_VALUE"""),"New York City is one of the areas in the US hardest hit by Covid-19. How will the tech startup and VC scenes recover as New York's resilience is put to the test? A top VC and two of the most active accelerators in New York discuss. ")</f>
        <v>New York City is one of the areas in the US hardest hit by Covid-19. How will the tech startup and VC scenes recover as New York's resilience is put to the test? A top VC and two of the most active accelerators in New York discuss. </v>
      </c>
      <c r="T1052" s="4" t="str">
        <f>IFERROR(__xludf.DUMMYFUNCTION("""COMPUTED_VALUE"""),"NON-KEYNOTE 9 - COMPLETE")</f>
        <v>NON-KEYNOTE 9 - COMPLETE</v>
      </c>
      <c r="U1052" s="4" t="str">
        <f>IFERROR(__xludf.DUMMYFUNCTION("""COMPUTED_VALUE"""),"")</f>
        <v/>
      </c>
      <c r="V1052" s="4" t="str">
        <f>IFERROR(__xludf.DUMMYFUNCTION("""COMPUTED_VALUE"""),"")</f>
        <v/>
      </c>
      <c r="W1052" s="4" t="str">
        <f>IFERROR(__xludf.DUMMYFUNCTION("""COMPUTED_VALUE"""),"COMPLETE")</f>
        <v>COMPLETE</v>
      </c>
      <c r="X1052" s="4" t="str">
        <f>IFERROR(__xludf.DUMMYFUNCTION("""COMPUTED_VALUE"""),"")</f>
        <v/>
      </c>
      <c r="Y1052" s="4" t="str">
        <f>IFERROR(__xludf.DUMMYFUNCTION("""COMPUTED_VALUE"""),"")</f>
        <v/>
      </c>
    </row>
    <row r="1053">
      <c r="A1053" s="4" t="str">
        <f>IFERROR(__xludf.DUMMYFUNCTION("""COMPUTED_VALUE"""),"1685 - Channel")</f>
        <v>1685 - Channel</v>
      </c>
      <c r="B1053" s="4" t="str">
        <f>IFERROR(__xludf.DUMMYFUNCTION("""COMPUTED_VALUE"""),"Channel 4")</f>
        <v>Channel 4</v>
      </c>
      <c r="C1053" s="4" t="str">
        <f>IFERROR(__xludf.DUMMYFUNCTION("""COMPUTED_VALUE"""),"Day 2 - 24/06")</f>
        <v>Day 2 - 24/06</v>
      </c>
      <c r="D1053" s="6">
        <f>IFERROR(__xludf.DUMMYFUNCTION("""COMPUTED_VALUE"""),0.48444444444444446)</f>
        <v>0.4844444444</v>
      </c>
      <c r="E1053" s="6">
        <f>IFERROR(__xludf.DUMMYFUNCTION("""COMPUTED_VALUE"""),0.0012037037037037038)</f>
        <v>0.001203703704</v>
      </c>
      <c r="F1053" s="6">
        <f>IFERROR(__xludf.DUMMYFUNCTION("""COMPUTED_VALUE"""),0.48564814814814816)</f>
        <v>0.4856481481</v>
      </c>
      <c r="G1053" s="4" t="str">
        <f>IFERROR(__xludf.DUMMYFUNCTION("""COMPUTED_VALUE"""),"")</f>
        <v/>
      </c>
      <c r="H1053" s="4" t="str">
        <f>IFERROR(__xludf.DUMMYFUNCTION("""COMPUTED_VALUE"""),"")</f>
        <v/>
      </c>
      <c r="I1053" s="4" t="str">
        <f>IFERROR(__xludf.DUMMYFUNCTION("""COMPUTED_VALUE"""),"")</f>
        <v/>
      </c>
      <c r="J1053" s="4" t="str">
        <f>IFERROR(__xludf.DUMMYFUNCTION("""COMPUTED_VALUE"""),"")</f>
        <v/>
      </c>
      <c r="K1053" s="4" t="str">
        <f>IFERROR(__xludf.DUMMYFUNCTION("""COMPUTED_VALUE"""),"Web Summit Trailer - full")</f>
        <v>Web Summit Trailer - full</v>
      </c>
      <c r="L1053" s="4" t="str">
        <f>IFERROR(__xludf.DUMMYFUNCTION("""COMPUTED_VALUE"""),"")</f>
        <v/>
      </c>
      <c r="M1053" s="4" t="str">
        <f>IFERROR(__xludf.DUMMYFUNCTION("""COMPUTED_VALUE"""),"Collision From Home Promo")</f>
        <v>Collision From Home Promo</v>
      </c>
      <c r="N1053" s="4" t="str">
        <f>IFERROR(__xludf.DUMMYFUNCTION("""COMPUTED_VALUE"""),"")</f>
        <v/>
      </c>
      <c r="O1053" s="4" t="str">
        <f>IFERROR(__xludf.DUMMYFUNCTION("""COMPUTED_VALUE"""),"")</f>
        <v/>
      </c>
      <c r="P1053" s="4" t="str">
        <f>IFERROR(__xludf.DUMMYFUNCTION("""COMPUTED_VALUE"""),"")</f>
        <v/>
      </c>
      <c r="Q1053" s="4" t="str">
        <f>IFERROR(__xludf.DUMMYFUNCTION("""COMPUTED_VALUE"""),"")</f>
        <v/>
      </c>
      <c r="R1053" s="4" t="str">
        <f>IFERROR(__xludf.DUMMYFUNCTION("""COMPUTED_VALUE"""),"")</f>
        <v/>
      </c>
      <c r="S1053" s="4" t="str">
        <f>IFERROR(__xludf.DUMMYFUNCTION("""COMPUTED_VALUE"""),"")</f>
        <v/>
      </c>
      <c r="T1053" s="4" t="str">
        <f>IFERROR(__xludf.DUMMYFUNCTION("""COMPUTED_VALUE"""),"")</f>
        <v/>
      </c>
      <c r="U1053" s="4" t="str">
        <f>IFERROR(__xludf.DUMMYFUNCTION("""COMPUTED_VALUE"""),"")</f>
        <v/>
      </c>
      <c r="V1053" s="4" t="str">
        <f>IFERROR(__xludf.DUMMYFUNCTION("""COMPUTED_VALUE"""),"")</f>
        <v/>
      </c>
      <c r="W1053" s="4" t="str">
        <f>IFERROR(__xludf.DUMMYFUNCTION("""COMPUTED_VALUE"""),"")</f>
        <v/>
      </c>
      <c r="X1053" s="4" t="str">
        <f>IFERROR(__xludf.DUMMYFUNCTION("""COMPUTED_VALUE"""),"")</f>
        <v/>
      </c>
      <c r="Y1053" s="4" t="str">
        <f>IFERROR(__xludf.DUMMYFUNCTION("""COMPUTED_VALUE"""),"")</f>
        <v/>
      </c>
    </row>
    <row r="1054">
      <c r="A1054" s="4" t="str">
        <f>IFERROR(__xludf.DUMMYFUNCTION("""COMPUTED_VALUE"""),"1213 - Channel")</f>
        <v>1213 - Channel</v>
      </c>
      <c r="B1054" s="4" t="str">
        <f>IFERROR(__xludf.DUMMYFUNCTION("""COMPUTED_VALUE"""),"Channel 4")</f>
        <v>Channel 4</v>
      </c>
      <c r="C1054" s="4" t="str">
        <f>IFERROR(__xludf.DUMMYFUNCTION("""COMPUTED_VALUE"""),"Day 2 - 24/06")</f>
        <v>Day 2 - 24/06</v>
      </c>
      <c r="D1054" s="6">
        <f>IFERROR(__xludf.DUMMYFUNCTION("""COMPUTED_VALUE"""),0.48564814814814816)</f>
        <v>0.4856481481</v>
      </c>
      <c r="E1054" s="6">
        <f>IFERROR(__xludf.DUMMYFUNCTION("""COMPUTED_VALUE"""),3.4722222222222224E-4)</f>
        <v>0.0003472222222</v>
      </c>
      <c r="F1054" s="6">
        <f>IFERROR(__xludf.DUMMYFUNCTION("""COMPUTED_VALUE"""),0.4859953703703704)</f>
        <v>0.4859953704</v>
      </c>
      <c r="G1054" s="4" t="str">
        <f>IFERROR(__xludf.DUMMYFUNCTION("""COMPUTED_VALUE"""),"")</f>
        <v/>
      </c>
      <c r="H1054" s="4" t="str">
        <f>IFERROR(__xludf.DUMMYFUNCTION("""COMPUTED_VALUE"""),"")</f>
        <v/>
      </c>
      <c r="I1054" s="4" t="str">
        <f>IFERROR(__xludf.DUMMYFUNCTION("""COMPUTED_VALUE"""),"")</f>
        <v/>
      </c>
      <c r="J1054" s="4" t="str">
        <f>IFERROR(__xludf.DUMMYFUNCTION("""COMPUTED_VALUE"""),"")</f>
        <v/>
      </c>
      <c r="K1054" s="4" t="str">
        <f>IFERROR(__xludf.DUMMYFUNCTION("""COMPUTED_VALUE"""),"Talk Intro")</f>
        <v>Talk Intro</v>
      </c>
      <c r="L1054" s="4" t="str">
        <f>IFERROR(__xludf.DUMMYFUNCTION("""COMPUTED_VALUE"""),"")</f>
        <v/>
      </c>
      <c r="M1054" s="4" t="str">
        <f>IFERROR(__xludf.DUMMYFUNCTION("""COMPUTED_VALUE"""),"MC Intro")</f>
        <v>MC Intro</v>
      </c>
      <c r="N1054" s="4" t="str">
        <f>IFERROR(__xludf.DUMMYFUNCTION("""COMPUTED_VALUE"""),"")</f>
        <v/>
      </c>
      <c r="O1054" s="4" t="str">
        <f>IFERROR(__xludf.DUMMYFUNCTION("""COMPUTED_VALUE"""),"")</f>
        <v/>
      </c>
      <c r="P1054" s="4" t="str">
        <f>IFERROR(__xludf.DUMMYFUNCTION("""COMPUTED_VALUE"""),"")</f>
        <v/>
      </c>
      <c r="Q1054" s="4" t="str">
        <f>IFERROR(__xludf.DUMMYFUNCTION("""COMPUTED_VALUE"""),"")</f>
        <v/>
      </c>
      <c r="R1054" s="4" t="str">
        <f>IFERROR(__xludf.DUMMYFUNCTION("""COMPUTED_VALUE"""),"")</f>
        <v/>
      </c>
      <c r="S1054" s="4" t="str">
        <f>IFERROR(__xludf.DUMMYFUNCTION("""COMPUTED_VALUE"""),"")</f>
        <v/>
      </c>
      <c r="T1054" s="4" t="str">
        <f>IFERROR(__xludf.DUMMYFUNCTION("""COMPUTED_VALUE"""),"")</f>
        <v/>
      </c>
      <c r="U1054" s="4" t="str">
        <f>IFERROR(__xludf.DUMMYFUNCTION("""COMPUTED_VALUE"""),"")</f>
        <v/>
      </c>
      <c r="V1054" s="4" t="str">
        <f>IFERROR(__xludf.DUMMYFUNCTION("""COMPUTED_VALUE"""),"")</f>
        <v/>
      </c>
      <c r="W1054" s="4" t="str">
        <f>IFERROR(__xludf.DUMMYFUNCTION("""COMPUTED_VALUE"""),"")</f>
        <v/>
      </c>
      <c r="X1054" s="4" t="str">
        <f>IFERROR(__xludf.DUMMYFUNCTION("""COMPUTED_VALUE"""),"")</f>
        <v/>
      </c>
      <c r="Y1054" s="4" t="str">
        <f>IFERROR(__xludf.DUMMYFUNCTION("""COMPUTED_VALUE"""),"")</f>
        <v/>
      </c>
    </row>
    <row r="1055">
      <c r="A1055" s="4" t="str">
        <f>IFERROR(__xludf.DUMMYFUNCTION("""COMPUTED_VALUE"""),"1214 - Channel")</f>
        <v>1214 - Channel</v>
      </c>
      <c r="B1055" s="4" t="str">
        <f>IFERROR(__xludf.DUMMYFUNCTION("""COMPUTED_VALUE"""),"Channel 4")</f>
        <v>Channel 4</v>
      </c>
      <c r="C1055" s="4" t="str">
        <f>IFERROR(__xludf.DUMMYFUNCTION("""COMPUTED_VALUE"""),"Day 2 - 24/06")</f>
        <v>Day 2 - 24/06</v>
      </c>
      <c r="D1055" s="6">
        <f>IFERROR(__xludf.DUMMYFUNCTION("""COMPUTED_VALUE"""),0.4859953703703704)</f>
        <v>0.4859953704</v>
      </c>
      <c r="E1055" s="6">
        <f>IFERROR(__xludf.DUMMYFUNCTION("""COMPUTED_VALUE"""),0.02971064814814815)</f>
        <v>0.02971064815</v>
      </c>
      <c r="F1055" s="6">
        <f>IFERROR(__xludf.DUMMYFUNCTION("""COMPUTED_VALUE"""),0.5157060185185185)</f>
        <v>0.5157060185</v>
      </c>
      <c r="G1055" s="4" t="str">
        <f>IFERROR(__xludf.DUMMYFUNCTION("""COMPUTED_VALUE"""),"Colm")</f>
        <v>Colm</v>
      </c>
      <c r="H1055" s="4" t="str">
        <f>IFERROR(__xludf.DUMMYFUNCTION("""COMPUTED_VALUE"""),"Stephen")</f>
        <v>Stephen</v>
      </c>
      <c r="I1055" s="4" t="str">
        <f>IFERROR(__xludf.DUMMYFUNCTION("""COMPUTED_VALUE"""),"Lucia H.")</f>
        <v>Lucia H.</v>
      </c>
      <c r="J1055" s="4" t="str">
        <f>IFERROR(__xludf.DUMMYFUNCTION("""COMPUTED_VALUE"""),"")</f>
        <v/>
      </c>
      <c r="K1055" s="4" t="str">
        <f>IFERROR(__xludf.DUMMYFUNCTION("""COMPUTED_VALUE"""),"Podcast")</f>
        <v>Podcast</v>
      </c>
      <c r="L1055" s="4" t="str">
        <f>IFERROR(__xludf.DUMMYFUNCTION("""COMPUTED_VALUE"""),"T- 4 - 25/05/2020")</f>
        <v>T- 4 - 25/05/2020</v>
      </c>
      <c r="M1055" s="4" t="str">
        <f>IFERROR(__xludf.DUMMYFUNCTION("""COMPUTED_VALUE"""),"In depth: Emily Oberman")</f>
        <v>In depth: Emily Oberman</v>
      </c>
      <c r="N1055" s="4" t="str">
        <f>IFERROR(__xludf.DUMMYFUNCTION("""COMPUTED_VALUE"""),"Emily Oberman, Pentagram")</f>
        <v>Emily Oberman, Pentagram</v>
      </c>
      <c r="O1055" s="4" t="str">
        <f>IFERROR(__xludf.DUMMYFUNCTION("""COMPUTED_VALUE"""),"")</f>
        <v/>
      </c>
      <c r="P1055" s="4" t="str">
        <f>IFERROR(__xludf.DUMMYFUNCTION("""COMPUTED_VALUE"""),"")</f>
        <v/>
      </c>
      <c r="Q1055" s="4" t="str">
        <f>IFERROR(__xludf.DUMMYFUNCTION("""COMPUTED_VALUE"""),"")</f>
        <v/>
      </c>
      <c r="R1055" s="4" t="str">
        <f>IFERROR(__xludf.DUMMYFUNCTION("""COMPUTED_VALUE"""),"Stephanie Mehta, Fast Company")</f>
        <v>Stephanie Mehta, Fast Company</v>
      </c>
      <c r="S1055" s="4" t="str">
        <f>IFERROR(__xludf.DUMMYFUNCTION("""COMPUTED_VALUE"""),"In this podcast Emily will discuss life as a partner in Pentagram, the world's largest independent design consultancy. She'll describe her work with media brand behemoths like NBC Universal, DC Entertainment and Warner Bros. ")</f>
        <v>In this podcast Emily will discuss life as a partner in Pentagram, the world's largest independent design consultancy. She'll describe her work with media brand behemoths like NBC Universal, DC Entertainment and Warner Bros. </v>
      </c>
      <c r="T1055" s="4" t="str">
        <f>IFERROR(__xludf.DUMMYFUNCTION("""COMPUTED_VALUE"""),"NON-KEYNOTE 9 - COMPLETE")</f>
        <v>NON-KEYNOTE 9 - COMPLETE</v>
      </c>
      <c r="U1055" s="23">
        <f>IFERROR(__xludf.DUMMYFUNCTION("""COMPUTED_VALUE"""),43977.0)</f>
        <v>43977</v>
      </c>
      <c r="V1055" s="24">
        <f>IFERROR(__xludf.DUMMYFUNCTION("""COMPUTED_VALUE"""),0.9166666666666666)</f>
        <v>0.9166666667</v>
      </c>
      <c r="W1055" s="4" t="str">
        <f>IFERROR(__xludf.DUMMYFUNCTION("""COMPUTED_VALUE"""),"COMPLETE")</f>
        <v>COMPLETE</v>
      </c>
      <c r="X1055" s="4" t="str">
        <f>IFERROR(__xludf.DUMMYFUNCTION("""COMPUTED_VALUE"""),"Colm")</f>
        <v>Colm</v>
      </c>
      <c r="Y1055" s="4" t="str">
        <f>IFERROR(__xludf.DUMMYFUNCTION("""COMPUTED_VALUE"""),"")</f>
        <v/>
      </c>
    </row>
    <row r="1056">
      <c r="A1056" s="4" t="str">
        <f>IFERROR(__xludf.DUMMYFUNCTION("""COMPUTED_VALUE"""),"1215 - Channel")</f>
        <v>1215 - Channel</v>
      </c>
      <c r="B1056" s="4" t="str">
        <f>IFERROR(__xludf.DUMMYFUNCTION("""COMPUTED_VALUE"""),"Channel 4")</f>
        <v>Channel 4</v>
      </c>
      <c r="C1056" s="4" t="str">
        <f>IFERROR(__xludf.DUMMYFUNCTION("""COMPUTED_VALUE"""),"Day 2 - 24/06")</f>
        <v>Day 2 - 24/06</v>
      </c>
      <c r="D1056" s="6">
        <f>IFERROR(__xludf.DUMMYFUNCTION("""COMPUTED_VALUE"""),0.5157060185185185)</f>
        <v>0.5157060185</v>
      </c>
      <c r="E1056" s="6">
        <f>IFERROR(__xludf.DUMMYFUNCTION("""COMPUTED_VALUE"""),0.0012037037037037038)</f>
        <v>0.001203703704</v>
      </c>
      <c r="F1056" s="6">
        <f>IFERROR(__xludf.DUMMYFUNCTION("""COMPUTED_VALUE"""),0.5169097222222222)</f>
        <v>0.5169097222</v>
      </c>
      <c r="G1056" s="4" t="str">
        <f>IFERROR(__xludf.DUMMYFUNCTION("""COMPUTED_VALUE"""),"")</f>
        <v/>
      </c>
      <c r="H1056" s="4" t="str">
        <f>IFERROR(__xludf.DUMMYFUNCTION("""COMPUTED_VALUE"""),"")</f>
        <v/>
      </c>
      <c r="I1056" s="4" t="str">
        <f>IFERROR(__xludf.DUMMYFUNCTION("""COMPUTED_VALUE"""),"")</f>
        <v/>
      </c>
      <c r="J1056" s="4" t="str">
        <f>IFERROR(__xludf.DUMMYFUNCTION("""COMPUTED_VALUE"""),"")</f>
        <v/>
      </c>
      <c r="K1056" s="4" t="str">
        <f>IFERROR(__xludf.DUMMYFUNCTION("""COMPUTED_VALUE"""),"Web Summit Trailer - full")</f>
        <v>Web Summit Trailer - full</v>
      </c>
      <c r="L1056" s="4" t="str">
        <f>IFERROR(__xludf.DUMMYFUNCTION("""COMPUTED_VALUE"""),"")</f>
        <v/>
      </c>
      <c r="M1056" s="4" t="str">
        <f>IFERROR(__xludf.DUMMYFUNCTION("""COMPUTED_VALUE"""),"Collision From Home Promo")</f>
        <v>Collision From Home Promo</v>
      </c>
      <c r="N1056" s="4" t="str">
        <f>IFERROR(__xludf.DUMMYFUNCTION("""COMPUTED_VALUE"""),"")</f>
        <v/>
      </c>
      <c r="O1056" s="4" t="str">
        <f>IFERROR(__xludf.DUMMYFUNCTION("""COMPUTED_VALUE"""),"")</f>
        <v/>
      </c>
      <c r="P1056" s="4" t="str">
        <f>IFERROR(__xludf.DUMMYFUNCTION("""COMPUTED_VALUE"""),"")</f>
        <v/>
      </c>
      <c r="Q1056" s="4" t="str">
        <f>IFERROR(__xludf.DUMMYFUNCTION("""COMPUTED_VALUE"""),"")</f>
        <v/>
      </c>
      <c r="R1056" s="4" t="str">
        <f>IFERROR(__xludf.DUMMYFUNCTION("""COMPUTED_VALUE"""),"")</f>
        <v/>
      </c>
      <c r="S1056" s="4" t="str">
        <f>IFERROR(__xludf.DUMMYFUNCTION("""COMPUTED_VALUE"""),"")</f>
        <v/>
      </c>
      <c r="T1056" s="4" t="str">
        <f>IFERROR(__xludf.DUMMYFUNCTION("""COMPUTED_VALUE"""),"")</f>
        <v/>
      </c>
      <c r="U1056" s="4" t="str">
        <f>IFERROR(__xludf.DUMMYFUNCTION("""COMPUTED_VALUE"""),"")</f>
        <v/>
      </c>
      <c r="V1056" s="4" t="str">
        <f>IFERROR(__xludf.DUMMYFUNCTION("""COMPUTED_VALUE"""),"")</f>
        <v/>
      </c>
      <c r="W1056" s="4" t="str">
        <f>IFERROR(__xludf.DUMMYFUNCTION("""COMPUTED_VALUE"""),"")</f>
        <v/>
      </c>
      <c r="X1056" s="4" t="str">
        <f>IFERROR(__xludf.DUMMYFUNCTION("""COMPUTED_VALUE"""),"")</f>
        <v/>
      </c>
      <c r="Y1056" s="4" t="str">
        <f>IFERROR(__xludf.DUMMYFUNCTION("""COMPUTED_VALUE"""),"")</f>
        <v/>
      </c>
    </row>
    <row r="1057">
      <c r="A1057" s="4" t="str">
        <f>IFERROR(__xludf.DUMMYFUNCTION("""COMPUTED_VALUE"""),"1187 - Channel")</f>
        <v>1187 - Channel</v>
      </c>
      <c r="B1057" s="4" t="str">
        <f>IFERROR(__xludf.DUMMYFUNCTION("""COMPUTED_VALUE"""),"Channel 4")</f>
        <v>Channel 4</v>
      </c>
      <c r="C1057" s="4" t="str">
        <f>IFERROR(__xludf.DUMMYFUNCTION("""COMPUTED_VALUE"""),"Day 2 - 24/06")</f>
        <v>Day 2 - 24/06</v>
      </c>
      <c r="D1057" s="6">
        <f>IFERROR(__xludf.DUMMYFUNCTION("""COMPUTED_VALUE"""),0.5169097222222222)</f>
        <v>0.5169097222</v>
      </c>
      <c r="E1057" s="6">
        <f>IFERROR(__xludf.DUMMYFUNCTION("""COMPUTED_VALUE"""),3.4722222222222224E-4)</f>
        <v>0.0003472222222</v>
      </c>
      <c r="F1057" s="6">
        <f>IFERROR(__xludf.DUMMYFUNCTION("""COMPUTED_VALUE"""),0.5172569444444445)</f>
        <v>0.5172569444</v>
      </c>
      <c r="G1057" s="4" t="str">
        <f>IFERROR(__xludf.DUMMYFUNCTION("""COMPUTED_VALUE"""),"")</f>
        <v/>
      </c>
      <c r="H1057" s="4" t="str">
        <f>IFERROR(__xludf.DUMMYFUNCTION("""COMPUTED_VALUE"""),"")</f>
        <v/>
      </c>
      <c r="I1057" s="4" t="str">
        <f>IFERROR(__xludf.DUMMYFUNCTION("""COMPUTED_VALUE"""),"")</f>
        <v/>
      </c>
      <c r="J1057" s="4" t="str">
        <f>IFERROR(__xludf.DUMMYFUNCTION("""COMPUTED_VALUE"""),"")</f>
        <v/>
      </c>
      <c r="K1057" s="4" t="str">
        <f>IFERROR(__xludf.DUMMYFUNCTION("""COMPUTED_VALUE"""),"Talk Intro")</f>
        <v>Talk Intro</v>
      </c>
      <c r="L1057" s="4" t="str">
        <f>IFERROR(__xludf.DUMMYFUNCTION("""COMPUTED_VALUE"""),"")</f>
        <v/>
      </c>
      <c r="M1057" s="4" t="str">
        <f>IFERROR(__xludf.DUMMYFUNCTION("""COMPUTED_VALUE"""),"MC Intro")</f>
        <v>MC Intro</v>
      </c>
      <c r="N1057" s="4" t="str">
        <f>IFERROR(__xludf.DUMMYFUNCTION("""COMPUTED_VALUE"""),"")</f>
        <v/>
      </c>
      <c r="O1057" s="4" t="str">
        <f>IFERROR(__xludf.DUMMYFUNCTION("""COMPUTED_VALUE"""),"")</f>
        <v/>
      </c>
      <c r="P1057" s="4" t="str">
        <f>IFERROR(__xludf.DUMMYFUNCTION("""COMPUTED_VALUE"""),"")</f>
        <v/>
      </c>
      <c r="Q1057" s="4" t="str">
        <f>IFERROR(__xludf.DUMMYFUNCTION("""COMPUTED_VALUE"""),"")</f>
        <v/>
      </c>
      <c r="R1057" s="4" t="str">
        <f>IFERROR(__xludf.DUMMYFUNCTION("""COMPUTED_VALUE"""),"")</f>
        <v/>
      </c>
      <c r="S1057" s="4" t="str">
        <f>IFERROR(__xludf.DUMMYFUNCTION("""COMPUTED_VALUE"""),"")</f>
        <v/>
      </c>
      <c r="T1057" s="4" t="str">
        <f>IFERROR(__xludf.DUMMYFUNCTION("""COMPUTED_VALUE"""),"")</f>
        <v/>
      </c>
      <c r="U1057" s="4" t="str">
        <f>IFERROR(__xludf.DUMMYFUNCTION("""COMPUTED_VALUE"""),"")</f>
        <v/>
      </c>
      <c r="V1057" s="4" t="str">
        <f>IFERROR(__xludf.DUMMYFUNCTION("""COMPUTED_VALUE"""),"")</f>
        <v/>
      </c>
      <c r="W1057" s="4" t="str">
        <f>IFERROR(__xludf.DUMMYFUNCTION("""COMPUTED_VALUE"""),"")</f>
        <v/>
      </c>
      <c r="X1057" s="4" t="str">
        <f>IFERROR(__xludf.DUMMYFUNCTION("""COMPUTED_VALUE"""),"")</f>
        <v/>
      </c>
      <c r="Y1057" s="4" t="str">
        <f>IFERROR(__xludf.DUMMYFUNCTION("""COMPUTED_VALUE"""),"")</f>
        <v/>
      </c>
    </row>
    <row r="1058">
      <c r="A1058" s="4" t="str">
        <f>IFERROR(__xludf.DUMMYFUNCTION("""COMPUTED_VALUE"""),"1188 - Channel")</f>
        <v>1188 - Channel</v>
      </c>
      <c r="B1058" s="4" t="str">
        <f>IFERROR(__xludf.DUMMYFUNCTION("""COMPUTED_VALUE"""),"Channel 4")</f>
        <v>Channel 4</v>
      </c>
      <c r="C1058" s="4" t="str">
        <f>IFERROR(__xludf.DUMMYFUNCTION("""COMPUTED_VALUE"""),"Day 2 - 24/06")</f>
        <v>Day 2 - 24/06</v>
      </c>
      <c r="D1058" s="6">
        <f>IFERROR(__xludf.DUMMYFUNCTION("""COMPUTED_VALUE"""),0.5172569444444445)</f>
        <v>0.5172569444</v>
      </c>
      <c r="E1058" s="6">
        <f>IFERROR(__xludf.DUMMYFUNCTION("""COMPUTED_VALUE"""),0.03125)</f>
        <v>0.03125</v>
      </c>
      <c r="F1058" s="6">
        <f>IFERROR(__xludf.DUMMYFUNCTION("""COMPUTED_VALUE"""),0.5485069444444445)</f>
        <v>0.5485069444</v>
      </c>
      <c r="G1058" s="4" t="str">
        <f>IFERROR(__xludf.DUMMYFUNCTION("""COMPUTED_VALUE"""),"Colm")</f>
        <v>Colm</v>
      </c>
      <c r="H1058" s="4" t="str">
        <f>IFERROR(__xludf.DUMMYFUNCTION("""COMPUTED_VALUE"""),"Stephen")</f>
        <v>Stephen</v>
      </c>
      <c r="I1058" s="4" t="str">
        <f>IFERROR(__xludf.DUMMYFUNCTION("""COMPUTED_VALUE"""),"Lucia H.")</f>
        <v>Lucia H.</v>
      </c>
      <c r="J1058" s="4" t="str">
        <f>IFERROR(__xludf.DUMMYFUNCTION("""COMPUTED_VALUE"""),"")</f>
        <v/>
      </c>
      <c r="K1058" s="4" t="str">
        <f>IFERROR(__xludf.DUMMYFUNCTION("""COMPUTED_VALUE"""),"Podcast")</f>
        <v>Podcast</v>
      </c>
      <c r="L1058" s="4" t="str">
        <f>IFERROR(__xludf.DUMMYFUNCTION("""COMPUTED_VALUE"""),"T- 3 - 01/06/2020")</f>
        <v>T- 3 - 01/06/2020</v>
      </c>
      <c r="M1058" s="4" t="str">
        <f>IFERROR(__xludf.DUMMYFUNCTION("""COMPUTED_VALUE"""),"In depth: Ali Rezai ")</f>
        <v>In depth: Ali Rezai </v>
      </c>
      <c r="N1058" s="4" t="str">
        <f>IFERROR(__xludf.DUMMYFUNCTION("""COMPUTED_VALUE"""),"Ali Rezai, Rockefeller Neuroscience Institute")</f>
        <v>Ali Rezai, Rockefeller Neuroscience Institute</v>
      </c>
      <c r="O1058" s="4" t="str">
        <f>IFERROR(__xludf.DUMMYFUNCTION("""COMPUTED_VALUE"""),"")</f>
        <v/>
      </c>
      <c r="P1058" s="4" t="str">
        <f>IFERROR(__xludf.DUMMYFUNCTION("""COMPUTED_VALUE"""),"")</f>
        <v/>
      </c>
      <c r="Q1058" s="4" t="str">
        <f>IFERROR(__xludf.DUMMYFUNCTION("""COMPUTED_VALUE"""),"")</f>
        <v/>
      </c>
      <c r="R1058" s="4" t="str">
        <f>IFERROR(__xludf.DUMMYFUNCTION("""COMPUTED_VALUE"""),"Matthew Hutson, Scientific American")</f>
        <v>Matthew Hutson, Scientific American</v>
      </c>
      <c r="S1058" s="4" t="str">
        <f>IFERROR(__xludf.DUMMYFUNCTION("""COMPUTED_VALUE"""),"Ali is the executive chair of the Rockefeller Neuroscience Institute at West Virginia University. In this podcast, learn about how he has inserted chip implants into the brains of addicts to combat the opioid crisis in the US, and how this research is hel"&amp;"ping in the fight against Covid-19. ")</f>
        <v>Ali is the executive chair of the Rockefeller Neuroscience Institute at West Virginia University. In this podcast, learn about how he has inserted chip implants into the brains of addicts to combat the opioid crisis in the US, and how this research is helping in the fight against Covid-19. </v>
      </c>
      <c r="T1058" s="4" t="str">
        <f>IFERROR(__xludf.DUMMYFUNCTION("""COMPUTED_VALUE"""),"NON-KEYNOTE 9 - COMPLETE")</f>
        <v>NON-KEYNOTE 9 - COMPLETE</v>
      </c>
      <c r="U1058" s="23">
        <f>IFERROR(__xludf.DUMMYFUNCTION("""COMPUTED_VALUE"""),43984.0)</f>
        <v>43984</v>
      </c>
      <c r="V1058" s="24">
        <f>IFERROR(__xludf.DUMMYFUNCTION("""COMPUTED_VALUE"""),0.625)</f>
        <v>0.625</v>
      </c>
      <c r="W1058" s="4" t="str">
        <f>IFERROR(__xludf.DUMMYFUNCTION("""COMPUTED_VALUE"""),"COMPLETE")</f>
        <v>COMPLETE</v>
      </c>
      <c r="X1058" s="4" t="str">
        <f>IFERROR(__xludf.DUMMYFUNCTION("""COMPUTED_VALUE"""),"Colm")</f>
        <v>Colm</v>
      </c>
      <c r="Y1058" s="4" t="str">
        <f>IFERROR(__xludf.DUMMYFUNCTION("""COMPUTED_VALUE"""),"")</f>
        <v/>
      </c>
    </row>
    <row r="1059">
      <c r="A1059" s="4" t="str">
        <f>IFERROR(__xludf.DUMMYFUNCTION("""COMPUTED_VALUE"""),"1189 - Channel")</f>
        <v>1189 - Channel</v>
      </c>
      <c r="B1059" s="4" t="str">
        <f>IFERROR(__xludf.DUMMYFUNCTION("""COMPUTED_VALUE"""),"Channel 4")</f>
        <v>Channel 4</v>
      </c>
      <c r="C1059" s="4" t="str">
        <f>IFERROR(__xludf.DUMMYFUNCTION("""COMPUTED_VALUE"""),"Day 2 - 24/06")</f>
        <v>Day 2 - 24/06</v>
      </c>
      <c r="D1059" s="6">
        <f>IFERROR(__xludf.DUMMYFUNCTION("""COMPUTED_VALUE"""),0.5485069444444445)</f>
        <v>0.5485069444</v>
      </c>
      <c r="E1059" s="6">
        <f>IFERROR(__xludf.DUMMYFUNCTION("""COMPUTED_VALUE"""),0.0012037037037037038)</f>
        <v>0.001203703704</v>
      </c>
      <c r="F1059" s="6">
        <f>IFERROR(__xludf.DUMMYFUNCTION("""COMPUTED_VALUE"""),0.5497106481481482)</f>
        <v>0.5497106481</v>
      </c>
      <c r="G1059" s="4" t="str">
        <f>IFERROR(__xludf.DUMMYFUNCTION("""COMPUTED_VALUE"""),"")</f>
        <v/>
      </c>
      <c r="H1059" s="4" t="str">
        <f>IFERROR(__xludf.DUMMYFUNCTION("""COMPUTED_VALUE"""),"")</f>
        <v/>
      </c>
      <c r="I1059" s="4" t="str">
        <f>IFERROR(__xludf.DUMMYFUNCTION("""COMPUTED_VALUE"""),"")</f>
        <v/>
      </c>
      <c r="J1059" s="4" t="str">
        <f>IFERROR(__xludf.DUMMYFUNCTION("""COMPUTED_VALUE"""),"")</f>
        <v/>
      </c>
      <c r="K1059" s="4" t="str">
        <f>IFERROR(__xludf.DUMMYFUNCTION("""COMPUTED_VALUE"""),"Web Summit Trailer - full")</f>
        <v>Web Summit Trailer - full</v>
      </c>
      <c r="L1059" s="4" t="str">
        <f>IFERROR(__xludf.DUMMYFUNCTION("""COMPUTED_VALUE"""),"")</f>
        <v/>
      </c>
      <c r="M1059" s="4" t="str">
        <f>IFERROR(__xludf.DUMMYFUNCTION("""COMPUTED_VALUE"""),"Collision From Home Promo")</f>
        <v>Collision From Home Promo</v>
      </c>
      <c r="N1059" s="4" t="str">
        <f>IFERROR(__xludf.DUMMYFUNCTION("""COMPUTED_VALUE"""),"")</f>
        <v/>
      </c>
      <c r="O1059" s="4" t="str">
        <f>IFERROR(__xludf.DUMMYFUNCTION("""COMPUTED_VALUE"""),"")</f>
        <v/>
      </c>
      <c r="P1059" s="4" t="str">
        <f>IFERROR(__xludf.DUMMYFUNCTION("""COMPUTED_VALUE"""),"")</f>
        <v/>
      </c>
      <c r="Q1059" s="4" t="str">
        <f>IFERROR(__xludf.DUMMYFUNCTION("""COMPUTED_VALUE"""),"")</f>
        <v/>
      </c>
      <c r="R1059" s="4" t="str">
        <f>IFERROR(__xludf.DUMMYFUNCTION("""COMPUTED_VALUE"""),"")</f>
        <v/>
      </c>
      <c r="S1059" s="4" t="str">
        <f>IFERROR(__xludf.DUMMYFUNCTION("""COMPUTED_VALUE"""),"")</f>
        <v/>
      </c>
      <c r="T1059" s="4" t="str">
        <f>IFERROR(__xludf.DUMMYFUNCTION("""COMPUTED_VALUE"""),"")</f>
        <v/>
      </c>
      <c r="U1059" s="4" t="str">
        <f>IFERROR(__xludf.DUMMYFUNCTION("""COMPUTED_VALUE"""),"")</f>
        <v/>
      </c>
      <c r="V1059" s="4" t="str">
        <f>IFERROR(__xludf.DUMMYFUNCTION("""COMPUTED_VALUE"""),"")</f>
        <v/>
      </c>
      <c r="W1059" s="4" t="str">
        <f>IFERROR(__xludf.DUMMYFUNCTION("""COMPUTED_VALUE"""),"")</f>
        <v/>
      </c>
      <c r="X1059" s="4" t="str">
        <f>IFERROR(__xludf.DUMMYFUNCTION("""COMPUTED_VALUE"""),"")</f>
        <v/>
      </c>
      <c r="Y1059" s="4" t="str">
        <f>IFERROR(__xludf.DUMMYFUNCTION("""COMPUTED_VALUE"""),"")</f>
        <v/>
      </c>
    </row>
    <row r="1060">
      <c r="A1060" s="4" t="str">
        <f>IFERROR(__xludf.DUMMYFUNCTION("""COMPUTED_VALUE"""),"1142 - Channel")</f>
        <v>1142 - Channel</v>
      </c>
      <c r="B1060" s="4" t="str">
        <f>IFERROR(__xludf.DUMMYFUNCTION("""COMPUTED_VALUE"""),"Channel 4")</f>
        <v>Channel 4</v>
      </c>
      <c r="C1060" s="4" t="str">
        <f>IFERROR(__xludf.DUMMYFUNCTION("""COMPUTED_VALUE"""),"Day 2 - 24/06")</f>
        <v>Day 2 - 24/06</v>
      </c>
      <c r="D1060" s="6">
        <f>IFERROR(__xludf.DUMMYFUNCTION("""COMPUTED_VALUE"""),0.5497106481481482)</f>
        <v>0.5497106481</v>
      </c>
      <c r="E1060" s="6">
        <f>IFERROR(__xludf.DUMMYFUNCTION("""COMPUTED_VALUE"""),3.4722222222222224E-4)</f>
        <v>0.0003472222222</v>
      </c>
      <c r="F1060" s="6">
        <f>IFERROR(__xludf.DUMMYFUNCTION("""COMPUTED_VALUE"""),0.5500578703703705)</f>
        <v>0.5500578704</v>
      </c>
      <c r="G1060" s="4" t="str">
        <f>IFERROR(__xludf.DUMMYFUNCTION("""COMPUTED_VALUE"""),"")</f>
        <v/>
      </c>
      <c r="H1060" s="4" t="str">
        <f>IFERROR(__xludf.DUMMYFUNCTION("""COMPUTED_VALUE"""),"")</f>
        <v/>
      </c>
      <c r="I1060" s="4" t="str">
        <f>IFERROR(__xludf.DUMMYFUNCTION("""COMPUTED_VALUE"""),"")</f>
        <v/>
      </c>
      <c r="J1060" s="4" t="str">
        <f>IFERROR(__xludf.DUMMYFUNCTION("""COMPUTED_VALUE"""),"")</f>
        <v/>
      </c>
      <c r="K1060" s="4" t="str">
        <f>IFERROR(__xludf.DUMMYFUNCTION("""COMPUTED_VALUE"""),"Talk Intro")</f>
        <v>Talk Intro</v>
      </c>
      <c r="L1060" s="4" t="str">
        <f>IFERROR(__xludf.DUMMYFUNCTION("""COMPUTED_VALUE"""),"")</f>
        <v/>
      </c>
      <c r="M1060" s="4" t="str">
        <f>IFERROR(__xludf.DUMMYFUNCTION("""COMPUTED_VALUE"""),"MC Intro")</f>
        <v>MC Intro</v>
      </c>
      <c r="N1060" s="4" t="str">
        <f>IFERROR(__xludf.DUMMYFUNCTION("""COMPUTED_VALUE"""),"")</f>
        <v/>
      </c>
      <c r="O1060" s="4" t="str">
        <f>IFERROR(__xludf.DUMMYFUNCTION("""COMPUTED_VALUE"""),"")</f>
        <v/>
      </c>
      <c r="P1060" s="4" t="str">
        <f>IFERROR(__xludf.DUMMYFUNCTION("""COMPUTED_VALUE"""),"")</f>
        <v/>
      </c>
      <c r="Q1060" s="4" t="str">
        <f>IFERROR(__xludf.DUMMYFUNCTION("""COMPUTED_VALUE"""),"")</f>
        <v/>
      </c>
      <c r="R1060" s="4" t="str">
        <f>IFERROR(__xludf.DUMMYFUNCTION("""COMPUTED_VALUE"""),"")</f>
        <v/>
      </c>
      <c r="S1060" s="4" t="str">
        <f>IFERROR(__xludf.DUMMYFUNCTION("""COMPUTED_VALUE"""),"")</f>
        <v/>
      </c>
      <c r="T1060" s="4" t="str">
        <f>IFERROR(__xludf.DUMMYFUNCTION("""COMPUTED_VALUE"""),"")</f>
        <v/>
      </c>
      <c r="U1060" s="4" t="str">
        <f>IFERROR(__xludf.DUMMYFUNCTION("""COMPUTED_VALUE"""),"")</f>
        <v/>
      </c>
      <c r="V1060" s="4" t="str">
        <f>IFERROR(__xludf.DUMMYFUNCTION("""COMPUTED_VALUE"""),"")</f>
        <v/>
      </c>
      <c r="W1060" s="4" t="str">
        <f>IFERROR(__xludf.DUMMYFUNCTION("""COMPUTED_VALUE"""),"")</f>
        <v/>
      </c>
      <c r="X1060" s="4" t="str">
        <f>IFERROR(__xludf.DUMMYFUNCTION("""COMPUTED_VALUE"""),"")</f>
        <v/>
      </c>
      <c r="Y1060" s="4" t="str">
        <f>IFERROR(__xludf.DUMMYFUNCTION("""COMPUTED_VALUE"""),"")</f>
        <v/>
      </c>
    </row>
    <row r="1061">
      <c r="A1061" s="4" t="str">
        <f>IFERROR(__xludf.DUMMYFUNCTION("""COMPUTED_VALUE"""),"1143 - Channel")</f>
        <v>1143 - Channel</v>
      </c>
      <c r="B1061" s="4" t="str">
        <f>IFERROR(__xludf.DUMMYFUNCTION("""COMPUTED_VALUE"""),"Channel 4")</f>
        <v>Channel 4</v>
      </c>
      <c r="C1061" s="4" t="str">
        <f>IFERROR(__xludf.DUMMYFUNCTION("""COMPUTED_VALUE"""),"Day 2 - 24/06")</f>
        <v>Day 2 - 24/06</v>
      </c>
      <c r="D1061" s="6">
        <f>IFERROR(__xludf.DUMMYFUNCTION("""COMPUTED_VALUE"""),0.5500578703703705)</f>
        <v>0.5500578704</v>
      </c>
      <c r="E1061" s="6">
        <f>IFERROR(__xludf.DUMMYFUNCTION("""COMPUTED_VALUE"""),0.029675925925925925)</f>
        <v>0.02967592593</v>
      </c>
      <c r="F1061" s="6">
        <f>IFERROR(__xludf.DUMMYFUNCTION("""COMPUTED_VALUE"""),0.5797337962962964)</f>
        <v>0.5797337963</v>
      </c>
      <c r="G1061" s="4" t="str">
        <f>IFERROR(__xludf.DUMMYFUNCTION("""COMPUTED_VALUE"""),"Colm")</f>
        <v>Colm</v>
      </c>
      <c r="H1061" s="4" t="str">
        <f>IFERROR(__xludf.DUMMYFUNCTION("""COMPUTED_VALUE"""),"Stephen")</f>
        <v>Stephen</v>
      </c>
      <c r="I1061" s="4" t="str">
        <f>IFERROR(__xludf.DUMMYFUNCTION("""COMPUTED_VALUE"""),"Lucia H.")</f>
        <v>Lucia H.</v>
      </c>
      <c r="J1061" s="4" t="str">
        <f>IFERROR(__xludf.DUMMYFUNCTION("""COMPUTED_VALUE"""),"")</f>
        <v/>
      </c>
      <c r="K1061" s="4" t="str">
        <f>IFERROR(__xludf.DUMMYFUNCTION("""COMPUTED_VALUE"""),"Podcast")</f>
        <v>Podcast</v>
      </c>
      <c r="L1061" s="4" t="str">
        <f>IFERROR(__xludf.DUMMYFUNCTION("""COMPUTED_VALUE"""),"T- 3 - 01/06/2020")</f>
        <v>T- 3 - 01/06/2020</v>
      </c>
      <c r="M1061" s="4" t="str">
        <f>IFERROR(__xludf.DUMMYFUNCTION("""COMPUTED_VALUE"""),"In depth: Sid Sijbrandij")</f>
        <v>In depth: Sid Sijbrandij</v>
      </c>
      <c r="N1061" s="4" t="str">
        <f>IFERROR(__xludf.DUMMYFUNCTION("""COMPUTED_VALUE"""),"Sid Sijbrandij, GitLab")</f>
        <v>Sid Sijbrandij, GitLab</v>
      </c>
      <c r="O1061" s="4" t="str">
        <f>IFERROR(__xludf.DUMMYFUNCTION("""COMPUTED_VALUE"""),"")</f>
        <v/>
      </c>
      <c r="P1061" s="4" t="str">
        <f>IFERROR(__xludf.DUMMYFUNCTION("""COMPUTED_VALUE"""),"")</f>
        <v/>
      </c>
      <c r="Q1061" s="4" t="str">
        <f>IFERROR(__xludf.DUMMYFUNCTION("""COMPUTED_VALUE"""),"")</f>
        <v/>
      </c>
      <c r="R1061" s="4" t="str">
        <f>IFERROR(__xludf.DUMMYFUNCTION("""COMPUTED_VALUE"""),"Ron Miller, TechCrunch")</f>
        <v>Ron Miller, TechCrunch</v>
      </c>
      <c r="S1061" s="4" t="str">
        <f>IFERROR(__xludf.DUMMYFUNCTION("""COMPUTED_VALUE"""),"Sid Sijbrandij is the co-founder and CEO of GitLab, the open core company behind the DevOps lifecycle platform of the same name. In this podcast, hear about the origins of the company and its inexorable journey to unicorn status. ")</f>
        <v>Sid Sijbrandij is the co-founder and CEO of GitLab, the open core company behind the DevOps lifecycle platform of the same name. In this podcast, hear about the origins of the company and its inexorable journey to unicorn status. </v>
      </c>
      <c r="T1061" s="4" t="str">
        <f>IFERROR(__xludf.DUMMYFUNCTION("""COMPUTED_VALUE"""),"NON-KEYNOTE 9 - COMPLETE")</f>
        <v>NON-KEYNOTE 9 - COMPLETE</v>
      </c>
      <c r="U1061" s="23">
        <f>IFERROR(__xludf.DUMMYFUNCTION("""COMPUTED_VALUE"""),43985.0)</f>
        <v>43985</v>
      </c>
      <c r="V1061" s="24">
        <f>IFERROR(__xludf.DUMMYFUNCTION("""COMPUTED_VALUE"""),0.7083333333333334)</f>
        <v>0.7083333333</v>
      </c>
      <c r="W1061" s="4" t="str">
        <f>IFERROR(__xludf.DUMMYFUNCTION("""COMPUTED_VALUE"""),"COMPLETE")</f>
        <v>COMPLETE</v>
      </c>
      <c r="X1061" s="4" t="str">
        <f>IFERROR(__xludf.DUMMYFUNCTION("""COMPUTED_VALUE"""),"Colm")</f>
        <v>Colm</v>
      </c>
      <c r="Y1061" s="4" t="str">
        <f>IFERROR(__xludf.DUMMYFUNCTION("""COMPUTED_VALUE"""),"")</f>
        <v/>
      </c>
    </row>
    <row r="1062">
      <c r="A1062" s="4" t="str">
        <f>IFERROR(__xludf.DUMMYFUNCTION("""COMPUTED_VALUE"""),"1144 - Channel")</f>
        <v>1144 - Channel</v>
      </c>
      <c r="B1062" s="4" t="str">
        <f>IFERROR(__xludf.DUMMYFUNCTION("""COMPUTED_VALUE"""),"Channel 4")</f>
        <v>Channel 4</v>
      </c>
      <c r="C1062" s="4" t="str">
        <f>IFERROR(__xludf.DUMMYFUNCTION("""COMPUTED_VALUE"""),"Day 2 - 24/06")</f>
        <v>Day 2 - 24/06</v>
      </c>
      <c r="D1062" s="6">
        <f>IFERROR(__xludf.DUMMYFUNCTION("""COMPUTED_VALUE"""),0.5797337962962964)</f>
        <v>0.5797337963</v>
      </c>
      <c r="E1062" s="6">
        <f>IFERROR(__xludf.DUMMYFUNCTION("""COMPUTED_VALUE"""),0.0012037037037037038)</f>
        <v>0.001203703704</v>
      </c>
      <c r="F1062" s="6">
        <f>IFERROR(__xludf.DUMMYFUNCTION("""COMPUTED_VALUE"""),0.5809375000000001)</f>
        <v>0.5809375</v>
      </c>
      <c r="G1062" s="4" t="str">
        <f>IFERROR(__xludf.DUMMYFUNCTION("""COMPUTED_VALUE"""),"")</f>
        <v/>
      </c>
      <c r="H1062" s="4" t="str">
        <f>IFERROR(__xludf.DUMMYFUNCTION("""COMPUTED_VALUE"""),"")</f>
        <v/>
      </c>
      <c r="I1062" s="4" t="str">
        <f>IFERROR(__xludf.DUMMYFUNCTION("""COMPUTED_VALUE"""),"")</f>
        <v/>
      </c>
      <c r="J1062" s="4" t="str">
        <f>IFERROR(__xludf.DUMMYFUNCTION("""COMPUTED_VALUE"""),"")</f>
        <v/>
      </c>
      <c r="K1062" s="4" t="str">
        <f>IFERROR(__xludf.DUMMYFUNCTION("""COMPUTED_VALUE"""),"Web Summit Trailer - full")</f>
        <v>Web Summit Trailer - full</v>
      </c>
      <c r="L1062" s="4" t="str">
        <f>IFERROR(__xludf.DUMMYFUNCTION("""COMPUTED_VALUE"""),"")</f>
        <v/>
      </c>
      <c r="M1062" s="4" t="str">
        <f>IFERROR(__xludf.DUMMYFUNCTION("""COMPUTED_VALUE"""),"Collision From Home")</f>
        <v>Collision From Home</v>
      </c>
      <c r="N1062" s="4" t="str">
        <f>IFERROR(__xludf.DUMMYFUNCTION("""COMPUTED_VALUE"""),"")</f>
        <v/>
      </c>
      <c r="O1062" s="4" t="str">
        <f>IFERROR(__xludf.DUMMYFUNCTION("""COMPUTED_VALUE"""),"")</f>
        <v/>
      </c>
      <c r="P1062" s="4" t="str">
        <f>IFERROR(__xludf.DUMMYFUNCTION("""COMPUTED_VALUE"""),"")</f>
        <v/>
      </c>
      <c r="Q1062" s="4" t="str">
        <f>IFERROR(__xludf.DUMMYFUNCTION("""COMPUTED_VALUE"""),"")</f>
        <v/>
      </c>
      <c r="R1062" s="4" t="str">
        <f>IFERROR(__xludf.DUMMYFUNCTION("""COMPUTED_VALUE"""),"")</f>
        <v/>
      </c>
      <c r="S1062" s="4" t="str">
        <f>IFERROR(__xludf.DUMMYFUNCTION("""COMPUTED_VALUE"""),"")</f>
        <v/>
      </c>
      <c r="T1062" s="4" t="str">
        <f>IFERROR(__xludf.DUMMYFUNCTION("""COMPUTED_VALUE"""),"")</f>
        <v/>
      </c>
      <c r="U1062" s="4" t="str">
        <f>IFERROR(__xludf.DUMMYFUNCTION("""COMPUTED_VALUE"""),"")</f>
        <v/>
      </c>
      <c r="V1062" s="4" t="str">
        <f>IFERROR(__xludf.DUMMYFUNCTION("""COMPUTED_VALUE"""),"")</f>
        <v/>
      </c>
      <c r="W1062" s="4" t="str">
        <f>IFERROR(__xludf.DUMMYFUNCTION("""COMPUTED_VALUE"""),"")</f>
        <v/>
      </c>
      <c r="X1062" s="4" t="str">
        <f>IFERROR(__xludf.DUMMYFUNCTION("""COMPUTED_VALUE"""),"")</f>
        <v/>
      </c>
      <c r="Y1062" s="4" t="str">
        <f>IFERROR(__xludf.DUMMYFUNCTION("""COMPUTED_VALUE"""),"")</f>
        <v/>
      </c>
    </row>
    <row r="1063">
      <c r="A1063" s="4" t="str">
        <f>IFERROR(__xludf.DUMMYFUNCTION("""COMPUTED_VALUE"""),"1139 - Channel")</f>
        <v>1139 - Channel</v>
      </c>
      <c r="B1063" s="4" t="str">
        <f>IFERROR(__xludf.DUMMYFUNCTION("""COMPUTED_VALUE"""),"Channel 4")</f>
        <v>Channel 4</v>
      </c>
      <c r="C1063" s="4" t="str">
        <f>IFERROR(__xludf.DUMMYFUNCTION("""COMPUTED_VALUE"""),"Day 2 - 24/06")</f>
        <v>Day 2 - 24/06</v>
      </c>
      <c r="D1063" s="6">
        <f>IFERROR(__xludf.DUMMYFUNCTION("""COMPUTED_VALUE"""),0.5809375000000001)</f>
        <v>0.5809375</v>
      </c>
      <c r="E1063" s="6">
        <f>IFERROR(__xludf.DUMMYFUNCTION("""COMPUTED_VALUE"""),3.4722222222222224E-4)</f>
        <v>0.0003472222222</v>
      </c>
      <c r="F1063" s="6">
        <f>IFERROR(__xludf.DUMMYFUNCTION("""COMPUTED_VALUE"""),0.5812847222222224)</f>
        <v>0.5812847222</v>
      </c>
      <c r="G1063" s="4" t="str">
        <f>IFERROR(__xludf.DUMMYFUNCTION("""COMPUTED_VALUE"""),"")</f>
        <v/>
      </c>
      <c r="H1063" s="4" t="str">
        <f>IFERROR(__xludf.DUMMYFUNCTION("""COMPUTED_VALUE"""),"")</f>
        <v/>
      </c>
      <c r="I1063" s="4" t="str">
        <f>IFERROR(__xludf.DUMMYFUNCTION("""COMPUTED_VALUE"""),"")</f>
        <v/>
      </c>
      <c r="J1063" s="4" t="str">
        <f>IFERROR(__xludf.DUMMYFUNCTION("""COMPUTED_VALUE"""),"")</f>
        <v/>
      </c>
      <c r="K1063" s="4" t="str">
        <f>IFERROR(__xludf.DUMMYFUNCTION("""COMPUTED_VALUE"""),"Talk Intro")</f>
        <v>Talk Intro</v>
      </c>
      <c r="L1063" s="4" t="str">
        <f>IFERROR(__xludf.DUMMYFUNCTION("""COMPUTED_VALUE"""),"")</f>
        <v/>
      </c>
      <c r="M1063" s="4" t="str">
        <f>IFERROR(__xludf.DUMMYFUNCTION("""COMPUTED_VALUE"""),"MC Intro")</f>
        <v>MC Intro</v>
      </c>
      <c r="N1063" s="4" t="str">
        <f>IFERROR(__xludf.DUMMYFUNCTION("""COMPUTED_VALUE"""),"")</f>
        <v/>
      </c>
      <c r="O1063" s="4" t="str">
        <f>IFERROR(__xludf.DUMMYFUNCTION("""COMPUTED_VALUE"""),"")</f>
        <v/>
      </c>
      <c r="P1063" s="4" t="str">
        <f>IFERROR(__xludf.DUMMYFUNCTION("""COMPUTED_VALUE"""),"")</f>
        <v/>
      </c>
      <c r="Q1063" s="4" t="str">
        <f>IFERROR(__xludf.DUMMYFUNCTION("""COMPUTED_VALUE"""),"")</f>
        <v/>
      </c>
      <c r="R1063" s="4" t="str">
        <f>IFERROR(__xludf.DUMMYFUNCTION("""COMPUTED_VALUE"""),"")</f>
        <v/>
      </c>
      <c r="S1063" s="4" t="str">
        <f>IFERROR(__xludf.DUMMYFUNCTION("""COMPUTED_VALUE"""),"")</f>
        <v/>
      </c>
      <c r="T1063" s="4" t="str">
        <f>IFERROR(__xludf.DUMMYFUNCTION("""COMPUTED_VALUE"""),"")</f>
        <v/>
      </c>
      <c r="U1063" s="4" t="str">
        <f>IFERROR(__xludf.DUMMYFUNCTION("""COMPUTED_VALUE"""),"")</f>
        <v/>
      </c>
      <c r="V1063" s="4" t="str">
        <f>IFERROR(__xludf.DUMMYFUNCTION("""COMPUTED_VALUE"""),"")</f>
        <v/>
      </c>
      <c r="W1063" s="4" t="str">
        <f>IFERROR(__xludf.DUMMYFUNCTION("""COMPUTED_VALUE"""),"")</f>
        <v/>
      </c>
      <c r="X1063" s="4" t="str">
        <f>IFERROR(__xludf.DUMMYFUNCTION("""COMPUTED_VALUE"""),"")</f>
        <v/>
      </c>
      <c r="Y1063" s="4" t="str">
        <f>IFERROR(__xludf.DUMMYFUNCTION("""COMPUTED_VALUE"""),"")</f>
        <v/>
      </c>
    </row>
    <row r="1064">
      <c r="A1064" s="4" t="str">
        <f>IFERROR(__xludf.DUMMYFUNCTION("""COMPUTED_VALUE"""),"1140 - Channel")</f>
        <v>1140 - Channel</v>
      </c>
      <c r="B1064" s="4" t="str">
        <f>IFERROR(__xludf.DUMMYFUNCTION("""COMPUTED_VALUE"""),"Channel 4")</f>
        <v>Channel 4</v>
      </c>
      <c r="C1064" s="4" t="str">
        <f>IFERROR(__xludf.DUMMYFUNCTION("""COMPUTED_VALUE"""),"Day 2 - 24/06")</f>
        <v>Day 2 - 24/06</v>
      </c>
      <c r="D1064" s="6">
        <f>IFERROR(__xludf.DUMMYFUNCTION("""COMPUTED_VALUE"""),0.5812847222222224)</f>
        <v>0.5812847222</v>
      </c>
      <c r="E1064" s="6">
        <f>IFERROR(__xludf.DUMMYFUNCTION("""COMPUTED_VALUE"""),0.040671296296296296)</f>
        <v>0.0406712963</v>
      </c>
      <c r="F1064" s="6">
        <f>IFERROR(__xludf.DUMMYFUNCTION("""COMPUTED_VALUE"""),0.6219560185185187)</f>
        <v>0.6219560185</v>
      </c>
      <c r="G1064" s="4" t="str">
        <f>IFERROR(__xludf.DUMMYFUNCTION("""COMPUTED_VALUE"""),"Darren")</f>
        <v>Darren</v>
      </c>
      <c r="H1064" s="4" t="str">
        <f>IFERROR(__xludf.DUMMYFUNCTION("""COMPUTED_VALUE"""),"Stephen")</f>
        <v>Stephen</v>
      </c>
      <c r="I1064" s="4" t="str">
        <f>IFERROR(__xludf.DUMMYFUNCTION("""COMPUTED_VALUE"""),"Lucia H.")</f>
        <v>Lucia H.</v>
      </c>
      <c r="J1064" s="4" t="str">
        <f>IFERROR(__xludf.DUMMYFUNCTION("""COMPUTED_VALUE"""),"")</f>
        <v/>
      </c>
      <c r="K1064" s="4" t="str">
        <f>IFERROR(__xludf.DUMMYFUNCTION("""COMPUTED_VALUE"""),"Podcast")</f>
        <v>Podcast</v>
      </c>
      <c r="L1064" s="4" t="str">
        <f>IFERROR(__xludf.DUMMYFUNCTION("""COMPUTED_VALUE"""),"T- 5 - 18/05/2020")</f>
        <v>T- 5 - 18/05/2020</v>
      </c>
      <c r="M1064" s="4" t="str">
        <f>IFERROR(__xludf.DUMMYFUNCTION("""COMPUTED_VALUE"""),"In depth: Mitchell Baker")</f>
        <v>In depth: Mitchell Baker</v>
      </c>
      <c r="N1064" s="4" t="str">
        <f>IFERROR(__xludf.DUMMYFUNCTION("""COMPUTED_VALUE"""),"Mitchell Baker, Mozilla")</f>
        <v>Mitchell Baker, Mozilla</v>
      </c>
      <c r="O1064" s="4" t="str">
        <f>IFERROR(__xludf.DUMMYFUNCTION("""COMPUTED_VALUE"""),"")</f>
        <v/>
      </c>
      <c r="P1064" s="4" t="str">
        <f>IFERROR(__xludf.DUMMYFUNCTION("""COMPUTED_VALUE"""),"")</f>
        <v/>
      </c>
      <c r="Q1064" s="4" t="str">
        <f>IFERROR(__xludf.DUMMYFUNCTION("""COMPUTED_VALUE"""),"")</f>
        <v/>
      </c>
      <c r="R1064" s="4" t="str">
        <f>IFERROR(__xludf.DUMMYFUNCTION("""COMPUTED_VALUE"""),"Steve Clemons, The Hill")</f>
        <v>Steve Clemons, The Hill</v>
      </c>
      <c r="S1064" s="4" t="str">
        <f>IFERROR(__xludf.DUMMYFUNCTION("""COMPUTED_VALUE"""),"In this podcast, hear from the new CEO of Mozilla, Mitchell Baker, as she discusses her life's work and her commitment to building the internet as a global public resource, open and accessible to all.")</f>
        <v>In this podcast, hear from the new CEO of Mozilla, Mitchell Baker, as she discusses her life's work and her commitment to building the internet as a global public resource, open and accessible to all.</v>
      </c>
      <c r="T1064" s="4" t="str">
        <f>IFERROR(__xludf.DUMMYFUNCTION("""COMPUTED_VALUE"""),"NON-KEYNOTE 9 - COMPLETE")</f>
        <v>NON-KEYNOTE 9 - COMPLETE</v>
      </c>
      <c r="U1064" s="23">
        <f>IFERROR(__xludf.DUMMYFUNCTION("""COMPUTED_VALUE"""),43971.0)</f>
        <v>43971</v>
      </c>
      <c r="V1064" s="24">
        <f>IFERROR(__xludf.DUMMYFUNCTION("""COMPUTED_VALUE"""),0.75)</f>
        <v>0.75</v>
      </c>
      <c r="W1064" s="4" t="str">
        <f>IFERROR(__xludf.DUMMYFUNCTION("""COMPUTED_VALUE"""),"COMPLETE")</f>
        <v>COMPLETE</v>
      </c>
      <c r="X1064" s="4" t="str">
        <f>IFERROR(__xludf.DUMMYFUNCTION("""COMPUTED_VALUE"""),"Darren")</f>
        <v>Darren</v>
      </c>
      <c r="Y1064" s="4" t="str">
        <f>IFERROR(__xludf.DUMMYFUNCTION("""COMPUTED_VALUE"""),"")</f>
        <v/>
      </c>
    </row>
    <row r="1065">
      <c r="A1065" s="4" t="str">
        <f>IFERROR(__xludf.DUMMYFUNCTION("""COMPUTED_VALUE"""),"1141 - Channel")</f>
        <v>1141 - Channel</v>
      </c>
      <c r="B1065" s="4" t="str">
        <f>IFERROR(__xludf.DUMMYFUNCTION("""COMPUTED_VALUE"""),"Channel 4")</f>
        <v>Channel 4</v>
      </c>
      <c r="C1065" s="4" t="str">
        <f>IFERROR(__xludf.DUMMYFUNCTION("""COMPUTED_VALUE"""),"Day 2 - 24/06")</f>
        <v>Day 2 - 24/06</v>
      </c>
      <c r="D1065" s="6">
        <f>IFERROR(__xludf.DUMMYFUNCTION("""COMPUTED_VALUE"""),0.6219560185185187)</f>
        <v>0.6219560185</v>
      </c>
      <c r="E1065" s="6">
        <f>IFERROR(__xludf.DUMMYFUNCTION("""COMPUTED_VALUE"""),0.0012037037037037038)</f>
        <v>0.001203703704</v>
      </c>
      <c r="F1065" s="6">
        <f>IFERROR(__xludf.DUMMYFUNCTION("""COMPUTED_VALUE"""),0.6231597222222224)</f>
        <v>0.6231597222</v>
      </c>
      <c r="G1065" s="4" t="str">
        <f>IFERROR(__xludf.DUMMYFUNCTION("""COMPUTED_VALUE"""),"")</f>
        <v/>
      </c>
      <c r="H1065" s="4" t="str">
        <f>IFERROR(__xludf.DUMMYFUNCTION("""COMPUTED_VALUE"""),"")</f>
        <v/>
      </c>
      <c r="I1065" s="4" t="str">
        <f>IFERROR(__xludf.DUMMYFUNCTION("""COMPUTED_VALUE"""),"")</f>
        <v/>
      </c>
      <c r="J1065" s="4" t="str">
        <f>IFERROR(__xludf.DUMMYFUNCTION("""COMPUTED_VALUE"""),"")</f>
        <v/>
      </c>
      <c r="K1065" s="4" t="str">
        <f>IFERROR(__xludf.DUMMYFUNCTION("""COMPUTED_VALUE"""),"Web Summit Trailer - full")</f>
        <v>Web Summit Trailer - full</v>
      </c>
      <c r="L1065" s="4" t="str">
        <f>IFERROR(__xludf.DUMMYFUNCTION("""COMPUTED_VALUE"""),"")</f>
        <v/>
      </c>
      <c r="M1065" s="4" t="str">
        <f>IFERROR(__xludf.DUMMYFUNCTION("""COMPUTED_VALUE"""),"Collision From Home Promo")</f>
        <v>Collision From Home Promo</v>
      </c>
      <c r="N1065" s="4" t="str">
        <f>IFERROR(__xludf.DUMMYFUNCTION("""COMPUTED_VALUE"""),"")</f>
        <v/>
      </c>
      <c r="O1065" s="4" t="str">
        <f>IFERROR(__xludf.DUMMYFUNCTION("""COMPUTED_VALUE"""),"")</f>
        <v/>
      </c>
      <c r="P1065" s="4" t="str">
        <f>IFERROR(__xludf.DUMMYFUNCTION("""COMPUTED_VALUE"""),"")</f>
        <v/>
      </c>
      <c r="Q1065" s="4" t="str">
        <f>IFERROR(__xludf.DUMMYFUNCTION("""COMPUTED_VALUE"""),"")</f>
        <v/>
      </c>
      <c r="R1065" s="4" t="str">
        <f>IFERROR(__xludf.DUMMYFUNCTION("""COMPUTED_VALUE"""),"")</f>
        <v/>
      </c>
      <c r="S1065" s="4" t="str">
        <f>IFERROR(__xludf.DUMMYFUNCTION("""COMPUTED_VALUE"""),"")</f>
        <v/>
      </c>
      <c r="T1065" s="4" t="str">
        <f>IFERROR(__xludf.DUMMYFUNCTION("""COMPUTED_VALUE"""),"")</f>
        <v/>
      </c>
      <c r="U1065" s="4" t="str">
        <f>IFERROR(__xludf.DUMMYFUNCTION("""COMPUTED_VALUE"""),"")</f>
        <v/>
      </c>
      <c r="V1065" s="4" t="str">
        <f>IFERROR(__xludf.DUMMYFUNCTION("""COMPUTED_VALUE"""),"")</f>
        <v/>
      </c>
      <c r="W1065" s="4" t="str">
        <f>IFERROR(__xludf.DUMMYFUNCTION("""COMPUTED_VALUE"""),"")</f>
        <v/>
      </c>
      <c r="X1065" s="4" t="str">
        <f>IFERROR(__xludf.DUMMYFUNCTION("""COMPUTED_VALUE"""),"")</f>
        <v/>
      </c>
      <c r="Y1065" s="4" t="str">
        <f>IFERROR(__xludf.DUMMYFUNCTION("""COMPUTED_VALUE"""),"")</f>
        <v/>
      </c>
    </row>
    <row r="1066">
      <c r="A1066" s="4" t="str">
        <f>IFERROR(__xludf.DUMMYFUNCTION("""COMPUTED_VALUE"""),"1196 - Channel")</f>
        <v>1196 - Channel</v>
      </c>
      <c r="B1066" s="4" t="str">
        <f>IFERROR(__xludf.DUMMYFUNCTION("""COMPUTED_VALUE"""),"Channel 4")</f>
        <v>Channel 4</v>
      </c>
      <c r="C1066" s="4" t="str">
        <f>IFERROR(__xludf.DUMMYFUNCTION("""COMPUTED_VALUE"""),"Day 2 - 24/06")</f>
        <v>Day 2 - 24/06</v>
      </c>
      <c r="D1066" s="6">
        <f>IFERROR(__xludf.DUMMYFUNCTION("""COMPUTED_VALUE"""),0.6231597222222224)</f>
        <v>0.6231597222</v>
      </c>
      <c r="E1066" s="6">
        <f>IFERROR(__xludf.DUMMYFUNCTION("""COMPUTED_VALUE"""),3.472222222222222E-5)</f>
        <v>0.00003472222222</v>
      </c>
      <c r="F1066" s="6">
        <f>IFERROR(__xludf.DUMMYFUNCTION("""COMPUTED_VALUE"""),0.6231944444444446)</f>
        <v>0.6231944444</v>
      </c>
      <c r="G1066" s="4" t="str">
        <f>IFERROR(__xludf.DUMMYFUNCTION("""COMPUTED_VALUE"""),"")</f>
        <v/>
      </c>
      <c r="H1066" s="4" t="str">
        <f>IFERROR(__xludf.DUMMYFUNCTION("""COMPUTED_VALUE"""),"")</f>
        <v/>
      </c>
      <c r="I1066" s="4" t="str">
        <f>IFERROR(__xludf.DUMMYFUNCTION("""COMPUTED_VALUE"""),"")</f>
        <v/>
      </c>
      <c r="J1066" s="4" t="str">
        <f>IFERROR(__xludf.DUMMYFUNCTION("""COMPUTED_VALUE"""),"")</f>
        <v/>
      </c>
      <c r="K1066" s="4" t="str">
        <f>IFERROR(__xludf.DUMMYFUNCTION("""COMPUTED_VALUE"""),"Talk Intro")</f>
        <v>Talk Intro</v>
      </c>
      <c r="L1066" s="4" t="str">
        <f>IFERROR(__xludf.DUMMYFUNCTION("""COMPUTED_VALUE"""),"")</f>
        <v/>
      </c>
      <c r="M1066" s="4" t="str">
        <f>IFERROR(__xludf.DUMMYFUNCTION("""COMPUTED_VALUE"""),"MC Intro")</f>
        <v>MC Intro</v>
      </c>
      <c r="N1066" s="4" t="str">
        <f>IFERROR(__xludf.DUMMYFUNCTION("""COMPUTED_VALUE"""),"")</f>
        <v/>
      </c>
      <c r="O1066" s="4" t="str">
        <f>IFERROR(__xludf.DUMMYFUNCTION("""COMPUTED_VALUE"""),"")</f>
        <v/>
      </c>
      <c r="P1066" s="4" t="str">
        <f>IFERROR(__xludf.DUMMYFUNCTION("""COMPUTED_VALUE"""),"")</f>
        <v/>
      </c>
      <c r="Q1066" s="4" t="str">
        <f>IFERROR(__xludf.DUMMYFUNCTION("""COMPUTED_VALUE"""),"")</f>
        <v/>
      </c>
      <c r="R1066" s="4" t="str">
        <f>IFERROR(__xludf.DUMMYFUNCTION("""COMPUTED_VALUE"""),"")</f>
        <v/>
      </c>
      <c r="S1066" s="4" t="str">
        <f>IFERROR(__xludf.DUMMYFUNCTION("""COMPUTED_VALUE"""),"")</f>
        <v/>
      </c>
      <c r="T1066" s="4" t="str">
        <f>IFERROR(__xludf.DUMMYFUNCTION("""COMPUTED_VALUE"""),"")</f>
        <v/>
      </c>
      <c r="U1066" s="4" t="str">
        <f>IFERROR(__xludf.DUMMYFUNCTION("""COMPUTED_VALUE"""),"")</f>
        <v/>
      </c>
      <c r="V1066" s="4" t="str">
        <f>IFERROR(__xludf.DUMMYFUNCTION("""COMPUTED_VALUE"""),"")</f>
        <v/>
      </c>
      <c r="W1066" s="4" t="str">
        <f>IFERROR(__xludf.DUMMYFUNCTION("""COMPUTED_VALUE"""),"")</f>
        <v/>
      </c>
      <c r="X1066" s="4" t="str">
        <f>IFERROR(__xludf.DUMMYFUNCTION("""COMPUTED_VALUE"""),"")</f>
        <v/>
      </c>
      <c r="Y1066" s="4" t="str">
        <f>IFERROR(__xludf.DUMMYFUNCTION("""COMPUTED_VALUE"""),"")</f>
        <v/>
      </c>
    </row>
    <row r="1067">
      <c r="A1067" s="4" t="str">
        <f>IFERROR(__xludf.DUMMYFUNCTION("""COMPUTED_VALUE"""),"1197 - Channel")</f>
        <v>1197 - Channel</v>
      </c>
      <c r="B1067" s="4" t="str">
        <f>IFERROR(__xludf.DUMMYFUNCTION("""COMPUTED_VALUE"""),"Channel 4")</f>
        <v>Channel 4</v>
      </c>
      <c r="C1067" s="4" t="str">
        <f>IFERROR(__xludf.DUMMYFUNCTION("""COMPUTED_VALUE"""),"Day 2 - 24/06")</f>
        <v>Day 2 - 24/06</v>
      </c>
      <c r="D1067" s="6">
        <f>IFERROR(__xludf.DUMMYFUNCTION("""COMPUTED_VALUE"""),0.6231944444444446)</f>
        <v>0.6231944444</v>
      </c>
      <c r="E1067" s="6">
        <f>IFERROR(__xludf.DUMMYFUNCTION("""COMPUTED_VALUE"""),0.034826388888888886)</f>
        <v>0.03482638889</v>
      </c>
      <c r="F1067" s="6">
        <f>IFERROR(__xludf.DUMMYFUNCTION("""COMPUTED_VALUE"""),0.6580208333333335)</f>
        <v>0.6580208333</v>
      </c>
      <c r="G1067" s="4" t="str">
        <f>IFERROR(__xludf.DUMMYFUNCTION("""COMPUTED_VALUE"""),"Darren")</f>
        <v>Darren</v>
      </c>
      <c r="H1067" s="4" t="str">
        <f>IFERROR(__xludf.DUMMYFUNCTION("""COMPUTED_VALUE"""),"Stephen")</f>
        <v>Stephen</v>
      </c>
      <c r="I1067" s="4" t="str">
        <f>IFERROR(__xludf.DUMMYFUNCTION("""COMPUTED_VALUE"""),"Lucia H.")</f>
        <v>Lucia H.</v>
      </c>
      <c r="J1067" s="4" t="str">
        <f>IFERROR(__xludf.DUMMYFUNCTION("""COMPUTED_VALUE"""),"")</f>
        <v/>
      </c>
      <c r="K1067" s="4" t="str">
        <f>IFERROR(__xludf.DUMMYFUNCTION("""COMPUTED_VALUE"""),"Podcast")</f>
        <v>Podcast</v>
      </c>
      <c r="L1067" s="4" t="str">
        <f>IFERROR(__xludf.DUMMYFUNCTION("""COMPUTED_VALUE"""),"T- 4 - 25/05/2020")</f>
        <v>T- 4 - 25/05/2020</v>
      </c>
      <c r="M1067" s="4" t="str">
        <f>IFERROR(__xludf.DUMMYFUNCTION("""COMPUTED_VALUE"""),"In depth: Alissa White-Gluz")</f>
        <v>In depth: Alissa White-Gluz</v>
      </c>
      <c r="N1067" s="4" t="str">
        <f>IFERROR(__xludf.DUMMYFUNCTION("""COMPUTED_VALUE"""),"Alissa White-Gluz, Patreon")</f>
        <v>Alissa White-Gluz, Patreon</v>
      </c>
      <c r="O1067" s="4" t="str">
        <f>IFERROR(__xludf.DUMMYFUNCTION("""COMPUTED_VALUE"""),"")</f>
        <v/>
      </c>
      <c r="P1067" s="4" t="str">
        <f>IFERROR(__xludf.DUMMYFUNCTION("""COMPUTED_VALUE"""),"")</f>
        <v/>
      </c>
      <c r="Q1067" s="4" t="str">
        <f>IFERROR(__xludf.DUMMYFUNCTION("""COMPUTED_VALUE"""),"")</f>
        <v/>
      </c>
      <c r="R1067" s="4" t="str">
        <f>IFERROR(__xludf.DUMMYFUNCTION("""COMPUTED_VALUE"""),"Kerri Pollard, Patreon")</f>
        <v>Kerri Pollard, Patreon</v>
      </c>
      <c r="S1067" s="4" t="str">
        <f>IFERROR(__xludf.DUMMYFUNCTION("""COMPUTED_VALUE"""),"Patreon is a membership platform that makes it easy for artists and creators to get paid. As Covid-19 restrictions have decimated the live entertainment industry, creators of all shapes and sizes have turned to Patreon to help survive the crisis. In this "&amp;"session, hear about the importance of financial autonomy for artists in a time of uncertainty.")</f>
        <v>Patreon is a membership platform that makes it easy for artists and creators to get paid. As Covid-19 restrictions have decimated the live entertainment industry, creators of all shapes and sizes have turned to Patreon to help survive the crisis. In this session, hear about the importance of financial autonomy for artists in a time of uncertainty.</v>
      </c>
      <c r="T1067" s="4" t="str">
        <f>IFERROR(__xludf.DUMMYFUNCTION("""COMPUTED_VALUE"""),"NON-KEYNOTE 9 - COMPLETE")</f>
        <v>NON-KEYNOTE 9 - COMPLETE</v>
      </c>
      <c r="U1067" s="23">
        <f>IFERROR(__xludf.DUMMYFUNCTION("""COMPUTED_VALUE"""),43978.0)</f>
        <v>43978</v>
      </c>
      <c r="V1067" s="24">
        <f>IFERROR(__xludf.DUMMYFUNCTION("""COMPUTED_VALUE"""),0.7916666666666666)</f>
        <v>0.7916666667</v>
      </c>
      <c r="W1067" s="4" t="str">
        <f>IFERROR(__xludf.DUMMYFUNCTION("""COMPUTED_VALUE"""),"COMPLETE")</f>
        <v>COMPLETE</v>
      </c>
      <c r="X1067" s="4" t="str">
        <f>IFERROR(__xludf.DUMMYFUNCTION("""COMPUTED_VALUE"""),"Darren")</f>
        <v>Darren</v>
      </c>
      <c r="Y1067" s="4" t="str">
        <f>IFERROR(__xludf.DUMMYFUNCTION("""COMPUTED_VALUE"""),"")</f>
        <v/>
      </c>
    </row>
    <row r="1068">
      <c r="A1068" s="4" t="str">
        <f>IFERROR(__xludf.DUMMYFUNCTION("""COMPUTED_VALUE"""),"1198 - Channel")</f>
        <v>1198 - Channel</v>
      </c>
      <c r="B1068" s="4" t="str">
        <f>IFERROR(__xludf.DUMMYFUNCTION("""COMPUTED_VALUE"""),"Channel 4")</f>
        <v>Channel 4</v>
      </c>
      <c r="C1068" s="4" t="str">
        <f>IFERROR(__xludf.DUMMYFUNCTION("""COMPUTED_VALUE"""),"Day 2 - 24/06")</f>
        <v>Day 2 - 24/06</v>
      </c>
      <c r="D1068" s="6">
        <f>IFERROR(__xludf.DUMMYFUNCTION("""COMPUTED_VALUE"""),0.6580208333333335)</f>
        <v>0.6580208333</v>
      </c>
      <c r="E1068" s="6">
        <f>IFERROR(__xludf.DUMMYFUNCTION("""COMPUTED_VALUE"""),0.0012037037037037038)</f>
        <v>0.001203703704</v>
      </c>
      <c r="F1068" s="6">
        <f>IFERROR(__xludf.DUMMYFUNCTION("""COMPUTED_VALUE"""),0.6592245370370372)</f>
        <v>0.659224537</v>
      </c>
      <c r="G1068" s="4" t="str">
        <f>IFERROR(__xludf.DUMMYFUNCTION("""COMPUTED_VALUE"""),"")</f>
        <v/>
      </c>
      <c r="H1068" s="4" t="str">
        <f>IFERROR(__xludf.DUMMYFUNCTION("""COMPUTED_VALUE"""),"")</f>
        <v/>
      </c>
      <c r="I1068" s="4" t="str">
        <f>IFERROR(__xludf.DUMMYFUNCTION("""COMPUTED_VALUE"""),"")</f>
        <v/>
      </c>
      <c r="J1068" s="4" t="str">
        <f>IFERROR(__xludf.DUMMYFUNCTION("""COMPUTED_VALUE"""),"")</f>
        <v/>
      </c>
      <c r="K1068" s="4" t="str">
        <f>IFERROR(__xludf.DUMMYFUNCTION("""COMPUTED_VALUE"""),"Web Summit Trailer - full")</f>
        <v>Web Summit Trailer - full</v>
      </c>
      <c r="L1068" s="4" t="str">
        <f>IFERROR(__xludf.DUMMYFUNCTION("""COMPUTED_VALUE"""),"")</f>
        <v/>
      </c>
      <c r="M1068" s="4" t="str">
        <f>IFERROR(__xludf.DUMMYFUNCTION("""COMPUTED_VALUE"""),"Collision From Home Promo")</f>
        <v>Collision From Home Promo</v>
      </c>
      <c r="N1068" s="4" t="str">
        <f>IFERROR(__xludf.DUMMYFUNCTION("""COMPUTED_VALUE"""),"")</f>
        <v/>
      </c>
      <c r="O1068" s="4" t="str">
        <f>IFERROR(__xludf.DUMMYFUNCTION("""COMPUTED_VALUE"""),"")</f>
        <v/>
      </c>
      <c r="P1068" s="4" t="str">
        <f>IFERROR(__xludf.DUMMYFUNCTION("""COMPUTED_VALUE"""),"")</f>
        <v/>
      </c>
      <c r="Q1068" s="4" t="str">
        <f>IFERROR(__xludf.DUMMYFUNCTION("""COMPUTED_VALUE"""),"")</f>
        <v/>
      </c>
      <c r="R1068" s="4" t="str">
        <f>IFERROR(__xludf.DUMMYFUNCTION("""COMPUTED_VALUE"""),"")</f>
        <v/>
      </c>
      <c r="S1068" s="4" t="str">
        <f>IFERROR(__xludf.DUMMYFUNCTION("""COMPUTED_VALUE"""),"")</f>
        <v/>
      </c>
      <c r="T1068" s="4" t="str">
        <f>IFERROR(__xludf.DUMMYFUNCTION("""COMPUTED_VALUE"""),"")</f>
        <v/>
      </c>
      <c r="U1068" s="4" t="str">
        <f>IFERROR(__xludf.DUMMYFUNCTION("""COMPUTED_VALUE"""),"")</f>
        <v/>
      </c>
      <c r="V1068" s="4" t="str">
        <f>IFERROR(__xludf.DUMMYFUNCTION("""COMPUTED_VALUE"""),"")</f>
        <v/>
      </c>
      <c r="W1068" s="4" t="str">
        <f>IFERROR(__xludf.DUMMYFUNCTION("""COMPUTED_VALUE"""),"")</f>
        <v/>
      </c>
      <c r="X1068" s="4" t="str">
        <f>IFERROR(__xludf.DUMMYFUNCTION("""COMPUTED_VALUE"""),"")</f>
        <v/>
      </c>
      <c r="Y1068" s="4" t="str">
        <f>IFERROR(__xludf.DUMMYFUNCTION("""COMPUTED_VALUE"""),"")</f>
        <v/>
      </c>
    </row>
    <row r="1069">
      <c r="A1069" s="4" t="str">
        <f>IFERROR(__xludf.DUMMYFUNCTION("""COMPUTED_VALUE"""),"1199 - Channel")</f>
        <v>1199 - Channel</v>
      </c>
      <c r="B1069" s="4" t="str">
        <f>IFERROR(__xludf.DUMMYFUNCTION("""COMPUTED_VALUE"""),"Channel 4")</f>
        <v>Channel 4</v>
      </c>
      <c r="C1069" s="4" t="str">
        <f>IFERROR(__xludf.DUMMYFUNCTION("""COMPUTED_VALUE"""),"Day 2 - 24/06")</f>
        <v>Day 2 - 24/06</v>
      </c>
      <c r="D1069" s="6">
        <f>IFERROR(__xludf.DUMMYFUNCTION("""COMPUTED_VALUE"""),0.6592245370370372)</f>
        <v>0.659224537</v>
      </c>
      <c r="E1069" s="6">
        <f>IFERROR(__xludf.DUMMYFUNCTION("""COMPUTED_VALUE"""),3.4722222222222224E-4)</f>
        <v>0.0003472222222</v>
      </c>
      <c r="F1069" s="6">
        <f>IFERROR(__xludf.DUMMYFUNCTION("""COMPUTED_VALUE"""),0.6595717592592595)</f>
        <v>0.6595717593</v>
      </c>
      <c r="G1069" s="4" t="str">
        <f>IFERROR(__xludf.DUMMYFUNCTION("""COMPUTED_VALUE"""),"")</f>
        <v/>
      </c>
      <c r="H1069" s="4" t="str">
        <f>IFERROR(__xludf.DUMMYFUNCTION("""COMPUTED_VALUE"""),"")</f>
        <v/>
      </c>
      <c r="I1069" s="4" t="str">
        <f>IFERROR(__xludf.DUMMYFUNCTION("""COMPUTED_VALUE"""),"")</f>
        <v/>
      </c>
      <c r="J1069" s="4" t="str">
        <f>IFERROR(__xludf.DUMMYFUNCTION("""COMPUTED_VALUE"""),"")</f>
        <v/>
      </c>
      <c r="K1069" s="4" t="str">
        <f>IFERROR(__xludf.DUMMYFUNCTION("""COMPUTED_VALUE"""),"Talk Intro")</f>
        <v>Talk Intro</v>
      </c>
      <c r="L1069" s="4" t="str">
        <f>IFERROR(__xludf.DUMMYFUNCTION("""COMPUTED_VALUE"""),"")</f>
        <v/>
      </c>
      <c r="M1069" s="4" t="str">
        <f>IFERROR(__xludf.DUMMYFUNCTION("""COMPUTED_VALUE"""),"MC Intro")</f>
        <v>MC Intro</v>
      </c>
      <c r="N1069" s="4" t="str">
        <f>IFERROR(__xludf.DUMMYFUNCTION("""COMPUTED_VALUE"""),"")</f>
        <v/>
      </c>
      <c r="O1069" s="4" t="str">
        <f>IFERROR(__xludf.DUMMYFUNCTION("""COMPUTED_VALUE"""),"")</f>
        <v/>
      </c>
      <c r="P1069" s="4" t="str">
        <f>IFERROR(__xludf.DUMMYFUNCTION("""COMPUTED_VALUE"""),"")</f>
        <v/>
      </c>
      <c r="Q1069" s="4" t="str">
        <f>IFERROR(__xludf.DUMMYFUNCTION("""COMPUTED_VALUE"""),"")</f>
        <v/>
      </c>
      <c r="R1069" s="4" t="str">
        <f>IFERROR(__xludf.DUMMYFUNCTION("""COMPUTED_VALUE"""),"")</f>
        <v/>
      </c>
      <c r="S1069" s="4" t="str">
        <f>IFERROR(__xludf.DUMMYFUNCTION("""COMPUTED_VALUE"""),"")</f>
        <v/>
      </c>
      <c r="T1069" s="4" t="str">
        <f>IFERROR(__xludf.DUMMYFUNCTION("""COMPUTED_VALUE"""),"")</f>
        <v/>
      </c>
      <c r="U1069" s="4" t="str">
        <f>IFERROR(__xludf.DUMMYFUNCTION("""COMPUTED_VALUE"""),"")</f>
        <v/>
      </c>
      <c r="V1069" s="4" t="str">
        <f>IFERROR(__xludf.DUMMYFUNCTION("""COMPUTED_VALUE"""),"")</f>
        <v/>
      </c>
      <c r="W1069" s="4" t="str">
        <f>IFERROR(__xludf.DUMMYFUNCTION("""COMPUTED_VALUE"""),"")</f>
        <v/>
      </c>
      <c r="X1069" s="4" t="str">
        <f>IFERROR(__xludf.DUMMYFUNCTION("""COMPUTED_VALUE"""),"")</f>
        <v/>
      </c>
      <c r="Y1069" s="4" t="str">
        <f>IFERROR(__xludf.DUMMYFUNCTION("""COMPUTED_VALUE"""),"")</f>
        <v/>
      </c>
    </row>
    <row r="1070">
      <c r="A1070" s="4" t="str">
        <f>IFERROR(__xludf.DUMMYFUNCTION("""COMPUTED_VALUE"""),"1200 - Channel")</f>
        <v>1200 - Channel</v>
      </c>
      <c r="B1070" s="4" t="str">
        <f>IFERROR(__xludf.DUMMYFUNCTION("""COMPUTED_VALUE"""),"Channel 4")</f>
        <v>Channel 4</v>
      </c>
      <c r="C1070" s="4" t="str">
        <f>IFERROR(__xludf.DUMMYFUNCTION("""COMPUTED_VALUE"""),"Day 2 - 24/06")</f>
        <v>Day 2 - 24/06</v>
      </c>
      <c r="D1070" s="6">
        <f>IFERROR(__xludf.DUMMYFUNCTION("""COMPUTED_VALUE"""),0.6595717592592595)</f>
        <v>0.6595717593</v>
      </c>
      <c r="E1070" s="6">
        <f>IFERROR(__xludf.DUMMYFUNCTION("""COMPUTED_VALUE"""),0.01766203703703704)</f>
        <v>0.01766203704</v>
      </c>
      <c r="F1070" s="6">
        <f>IFERROR(__xludf.DUMMYFUNCTION("""COMPUTED_VALUE"""),0.6772337962962965)</f>
        <v>0.6772337963</v>
      </c>
      <c r="G1070" s="4" t="str">
        <f>IFERROR(__xludf.DUMMYFUNCTION("""COMPUTED_VALUE"""),"Colm")</f>
        <v>Colm</v>
      </c>
      <c r="H1070" s="4" t="str">
        <f>IFERROR(__xludf.DUMMYFUNCTION("""COMPUTED_VALUE"""),"Stephen")</f>
        <v>Stephen</v>
      </c>
      <c r="I1070" s="4" t="str">
        <f>IFERROR(__xludf.DUMMYFUNCTION("""COMPUTED_VALUE"""),"Lucia H.")</f>
        <v>Lucia H.</v>
      </c>
      <c r="J1070" s="4" t="str">
        <f>IFERROR(__xludf.DUMMYFUNCTION("""COMPUTED_VALUE"""),"")</f>
        <v/>
      </c>
      <c r="K1070" s="4" t="str">
        <f>IFERROR(__xludf.DUMMYFUNCTION("""COMPUTED_VALUE"""),"Podcast")</f>
        <v>Podcast</v>
      </c>
      <c r="L1070" s="4" t="str">
        <f>IFERROR(__xludf.DUMMYFUNCTION("""COMPUTED_VALUE"""),"T- 4 - 25/05/2020")</f>
        <v>T- 4 - 25/05/2020</v>
      </c>
      <c r="M1070" s="4" t="str">
        <f>IFERROR(__xludf.DUMMYFUNCTION("""COMPUTED_VALUE"""),"In depth: Jeremy Zimmer")</f>
        <v>In depth: Jeremy Zimmer</v>
      </c>
      <c r="N1070" s="4" t="str">
        <f>IFERROR(__xludf.DUMMYFUNCTION("""COMPUTED_VALUE"""),"Jeremy Zimmer, United Talent Agency")</f>
        <v>Jeremy Zimmer, United Talent Agency</v>
      </c>
      <c r="O1070" s="4" t="str">
        <f>IFERROR(__xludf.DUMMYFUNCTION("""COMPUTED_VALUE"""),"")</f>
        <v/>
      </c>
      <c r="P1070" s="4" t="str">
        <f>IFERROR(__xludf.DUMMYFUNCTION("""COMPUTED_VALUE"""),"")</f>
        <v/>
      </c>
      <c r="Q1070" s="4" t="str">
        <f>IFERROR(__xludf.DUMMYFUNCTION("""COMPUTED_VALUE"""),"")</f>
        <v/>
      </c>
      <c r="R1070" s="4" t="str">
        <f>IFERROR(__xludf.DUMMYFUNCTION("""COMPUTED_VALUE"""),"Dylan Byers, NBCUniversal")</f>
        <v>Dylan Byers, NBCUniversal</v>
      </c>
      <c r="S1070" s="4" t="str">
        <f>IFERROR(__xludf.DUMMYFUNCTION("""COMPUTED_VALUE"""),"Jeremy Zimmer is a genuine Hollywood insider. Co-founder and CEO of the United Talent Agency, Jeremy represents some of entertainment’s biggest stars, including Chris Pratt, Harrison Ford, Kevin Hart and Angelina Jolie. In this talk, get his take on what’"&amp;"s next for the entertainment industry as it continues to grapple with the fallout from the Covid-19 pandemic.")</f>
        <v>Jeremy Zimmer is a genuine Hollywood insider. Co-founder and CEO of the United Talent Agency, Jeremy represents some of entertainment’s biggest stars, including Chris Pratt, Harrison Ford, Kevin Hart and Angelina Jolie. In this talk, get his take on what’s next for the entertainment industry as it continues to grapple with the fallout from the Covid-19 pandemic.</v>
      </c>
      <c r="T1070" s="4" t="str">
        <f>IFERROR(__xludf.DUMMYFUNCTION("""COMPUTED_VALUE"""),"NON-KEYNOTE 9 - COMPLETE")</f>
        <v>NON-KEYNOTE 9 - COMPLETE</v>
      </c>
      <c r="U1070" s="23">
        <f>IFERROR(__xludf.DUMMYFUNCTION("""COMPUTED_VALUE"""),43980.0)</f>
        <v>43980</v>
      </c>
      <c r="V1070" s="24">
        <f>IFERROR(__xludf.DUMMYFUNCTION("""COMPUTED_VALUE"""),0.7083333333333334)</f>
        <v>0.7083333333</v>
      </c>
      <c r="W1070" s="4" t="str">
        <f>IFERROR(__xludf.DUMMYFUNCTION("""COMPUTED_VALUE"""),"COMPLETE")</f>
        <v>COMPLETE</v>
      </c>
      <c r="X1070" s="4" t="str">
        <f>IFERROR(__xludf.DUMMYFUNCTION("""COMPUTED_VALUE"""),"Lobna")</f>
        <v>Lobna</v>
      </c>
      <c r="Y1070" s="4" t="str">
        <f>IFERROR(__xludf.DUMMYFUNCTION("""COMPUTED_VALUE"""),"")</f>
        <v/>
      </c>
    </row>
    <row r="1071">
      <c r="A1071" s="4" t="str">
        <f>IFERROR(__xludf.DUMMYFUNCTION("""COMPUTED_VALUE"""),"1201 - Channel")</f>
        <v>1201 - Channel</v>
      </c>
      <c r="B1071" s="4" t="str">
        <f>IFERROR(__xludf.DUMMYFUNCTION("""COMPUTED_VALUE"""),"Channel 4")</f>
        <v>Channel 4</v>
      </c>
      <c r="C1071" s="4" t="str">
        <f>IFERROR(__xludf.DUMMYFUNCTION("""COMPUTED_VALUE"""),"Day 2 - 24/06")</f>
        <v>Day 2 - 24/06</v>
      </c>
      <c r="D1071" s="6">
        <f>IFERROR(__xludf.DUMMYFUNCTION("""COMPUTED_VALUE"""),0.6772337962962965)</f>
        <v>0.6772337963</v>
      </c>
      <c r="E1071" s="6">
        <f>IFERROR(__xludf.DUMMYFUNCTION("""COMPUTED_VALUE"""),0.0012037037037037038)</f>
        <v>0.001203703704</v>
      </c>
      <c r="F1071" s="6">
        <f>IFERROR(__xludf.DUMMYFUNCTION("""COMPUTED_VALUE"""),0.6784375000000002)</f>
        <v>0.6784375</v>
      </c>
      <c r="G1071" s="4" t="str">
        <f>IFERROR(__xludf.DUMMYFUNCTION("""COMPUTED_VALUE"""),"")</f>
        <v/>
      </c>
      <c r="H1071" s="4" t="str">
        <f>IFERROR(__xludf.DUMMYFUNCTION("""COMPUTED_VALUE"""),"")</f>
        <v/>
      </c>
      <c r="I1071" s="4" t="str">
        <f>IFERROR(__xludf.DUMMYFUNCTION("""COMPUTED_VALUE"""),"")</f>
        <v/>
      </c>
      <c r="J1071" s="4" t="str">
        <f>IFERROR(__xludf.DUMMYFUNCTION("""COMPUTED_VALUE"""),"")</f>
        <v/>
      </c>
      <c r="K1071" s="4" t="str">
        <f>IFERROR(__xludf.DUMMYFUNCTION("""COMPUTED_VALUE"""),"Web Summit Trailer - full")</f>
        <v>Web Summit Trailer - full</v>
      </c>
      <c r="L1071" s="4" t="str">
        <f>IFERROR(__xludf.DUMMYFUNCTION("""COMPUTED_VALUE"""),"")</f>
        <v/>
      </c>
      <c r="M1071" s="4" t="str">
        <f>IFERROR(__xludf.DUMMYFUNCTION("""COMPUTED_VALUE"""),"Collision From Home Promo")</f>
        <v>Collision From Home Promo</v>
      </c>
      <c r="N1071" s="4" t="str">
        <f>IFERROR(__xludf.DUMMYFUNCTION("""COMPUTED_VALUE"""),"")</f>
        <v/>
      </c>
      <c r="O1071" s="4" t="str">
        <f>IFERROR(__xludf.DUMMYFUNCTION("""COMPUTED_VALUE"""),"")</f>
        <v/>
      </c>
      <c r="P1071" s="4" t="str">
        <f>IFERROR(__xludf.DUMMYFUNCTION("""COMPUTED_VALUE"""),"")</f>
        <v/>
      </c>
      <c r="Q1071" s="4" t="str">
        <f>IFERROR(__xludf.DUMMYFUNCTION("""COMPUTED_VALUE"""),"")</f>
        <v/>
      </c>
      <c r="R1071" s="4" t="str">
        <f>IFERROR(__xludf.DUMMYFUNCTION("""COMPUTED_VALUE"""),"")</f>
        <v/>
      </c>
      <c r="S1071" s="4" t="str">
        <f>IFERROR(__xludf.DUMMYFUNCTION("""COMPUTED_VALUE"""),"")</f>
        <v/>
      </c>
      <c r="T1071" s="4" t="str">
        <f>IFERROR(__xludf.DUMMYFUNCTION("""COMPUTED_VALUE"""),"")</f>
        <v/>
      </c>
      <c r="U1071" s="4" t="str">
        <f>IFERROR(__xludf.DUMMYFUNCTION("""COMPUTED_VALUE"""),"")</f>
        <v/>
      </c>
      <c r="V1071" s="4" t="str">
        <f>IFERROR(__xludf.DUMMYFUNCTION("""COMPUTED_VALUE"""),"")</f>
        <v/>
      </c>
      <c r="W1071" s="4" t="str">
        <f>IFERROR(__xludf.DUMMYFUNCTION("""COMPUTED_VALUE"""),"")</f>
        <v/>
      </c>
      <c r="X1071" s="4" t="str">
        <f>IFERROR(__xludf.DUMMYFUNCTION("""COMPUTED_VALUE"""),"")</f>
        <v/>
      </c>
      <c r="Y1071" s="4" t="str">
        <f>IFERROR(__xludf.DUMMYFUNCTION("""COMPUTED_VALUE"""),"")</f>
        <v/>
      </c>
    </row>
    <row r="1072">
      <c r="A1072" s="4" t="str">
        <f>IFERROR(__xludf.DUMMYFUNCTION("""COMPUTED_VALUE"""),"1660 - Channel")</f>
        <v>1660 - Channel</v>
      </c>
      <c r="B1072" s="4" t="str">
        <f>IFERROR(__xludf.DUMMYFUNCTION("""COMPUTED_VALUE"""),"Channel 4")</f>
        <v>Channel 4</v>
      </c>
      <c r="C1072" s="4" t="str">
        <f>IFERROR(__xludf.DUMMYFUNCTION("""COMPUTED_VALUE"""),"Day 2 - 24/06")</f>
        <v>Day 2 - 24/06</v>
      </c>
      <c r="D1072" s="6">
        <f>IFERROR(__xludf.DUMMYFUNCTION("""COMPUTED_VALUE"""),0.6784375000000002)</f>
        <v>0.6784375</v>
      </c>
      <c r="E1072" s="6">
        <f>IFERROR(__xludf.DUMMYFUNCTION("""COMPUTED_VALUE"""),3.4722222222222224E-4)</f>
        <v>0.0003472222222</v>
      </c>
      <c r="F1072" s="6">
        <f>IFERROR(__xludf.DUMMYFUNCTION("""COMPUTED_VALUE"""),0.6787847222222225)</f>
        <v>0.6787847222</v>
      </c>
      <c r="G1072" s="4" t="str">
        <f>IFERROR(__xludf.DUMMYFUNCTION("""COMPUTED_VALUE"""),"")</f>
        <v/>
      </c>
      <c r="H1072" s="4" t="str">
        <f>IFERROR(__xludf.DUMMYFUNCTION("""COMPUTED_VALUE"""),"")</f>
        <v/>
      </c>
      <c r="I1072" s="4" t="str">
        <f>IFERROR(__xludf.DUMMYFUNCTION("""COMPUTED_VALUE"""),"")</f>
        <v/>
      </c>
      <c r="J1072" s="4" t="str">
        <f>IFERROR(__xludf.DUMMYFUNCTION("""COMPUTED_VALUE"""),"")</f>
        <v/>
      </c>
      <c r="K1072" s="4" t="str">
        <f>IFERROR(__xludf.DUMMYFUNCTION("""COMPUTED_VALUE"""),"Talk Intro")</f>
        <v>Talk Intro</v>
      </c>
      <c r="L1072" s="4" t="str">
        <f>IFERROR(__xludf.DUMMYFUNCTION("""COMPUTED_VALUE"""),"")</f>
        <v/>
      </c>
      <c r="M1072" s="4" t="str">
        <f>IFERROR(__xludf.DUMMYFUNCTION("""COMPUTED_VALUE"""),"MC Intro")</f>
        <v>MC Intro</v>
      </c>
      <c r="N1072" s="4" t="str">
        <f>IFERROR(__xludf.DUMMYFUNCTION("""COMPUTED_VALUE"""),"")</f>
        <v/>
      </c>
      <c r="O1072" s="4" t="str">
        <f>IFERROR(__xludf.DUMMYFUNCTION("""COMPUTED_VALUE"""),"")</f>
        <v/>
      </c>
      <c r="P1072" s="4" t="str">
        <f>IFERROR(__xludf.DUMMYFUNCTION("""COMPUTED_VALUE"""),"")</f>
        <v/>
      </c>
      <c r="Q1072" s="4" t="str">
        <f>IFERROR(__xludf.DUMMYFUNCTION("""COMPUTED_VALUE"""),"")</f>
        <v/>
      </c>
      <c r="R1072" s="4" t="str">
        <f>IFERROR(__xludf.DUMMYFUNCTION("""COMPUTED_VALUE"""),"")</f>
        <v/>
      </c>
      <c r="S1072" s="4" t="str">
        <f>IFERROR(__xludf.DUMMYFUNCTION("""COMPUTED_VALUE"""),"")</f>
        <v/>
      </c>
      <c r="T1072" s="4" t="str">
        <f>IFERROR(__xludf.DUMMYFUNCTION("""COMPUTED_VALUE"""),"")</f>
        <v/>
      </c>
      <c r="U1072" s="4" t="str">
        <f>IFERROR(__xludf.DUMMYFUNCTION("""COMPUTED_VALUE"""),"")</f>
        <v/>
      </c>
      <c r="V1072" s="4" t="str">
        <f>IFERROR(__xludf.DUMMYFUNCTION("""COMPUTED_VALUE"""),"")</f>
        <v/>
      </c>
      <c r="W1072" s="4" t="str">
        <f>IFERROR(__xludf.DUMMYFUNCTION("""COMPUTED_VALUE"""),"")</f>
        <v/>
      </c>
      <c r="X1072" s="4" t="str">
        <f>IFERROR(__xludf.DUMMYFUNCTION("""COMPUTED_VALUE"""),"")</f>
        <v/>
      </c>
      <c r="Y1072" s="4" t="str">
        <f>IFERROR(__xludf.DUMMYFUNCTION("""COMPUTED_VALUE"""),"")</f>
        <v/>
      </c>
    </row>
    <row r="1073">
      <c r="A1073" s="4" t="str">
        <f>IFERROR(__xludf.DUMMYFUNCTION("""COMPUTED_VALUE"""),"1661 - Channel")</f>
        <v>1661 - Channel</v>
      </c>
      <c r="B1073" s="4" t="str">
        <f>IFERROR(__xludf.DUMMYFUNCTION("""COMPUTED_VALUE"""),"Channel 4")</f>
        <v>Channel 4</v>
      </c>
      <c r="C1073" s="4" t="str">
        <f>IFERROR(__xludf.DUMMYFUNCTION("""COMPUTED_VALUE"""),"Day 2 - 24/06")</f>
        <v>Day 2 - 24/06</v>
      </c>
      <c r="D1073" s="6">
        <f>IFERROR(__xludf.DUMMYFUNCTION("""COMPUTED_VALUE"""),0.6787847222222225)</f>
        <v>0.6787847222</v>
      </c>
      <c r="E1073" s="6">
        <f>IFERROR(__xludf.DUMMYFUNCTION("""COMPUTED_VALUE"""),0.027777777777777776)</f>
        <v>0.02777777778</v>
      </c>
      <c r="F1073" s="6">
        <f>IFERROR(__xludf.DUMMYFUNCTION("""COMPUTED_VALUE"""),0.7065625000000003)</f>
        <v>0.7065625</v>
      </c>
      <c r="G1073" s="4" t="str">
        <f>IFERROR(__xludf.DUMMYFUNCTION("""COMPUTED_VALUE"""),"Stephen")</f>
        <v>Stephen</v>
      </c>
      <c r="H1073" s="4" t="str">
        <f>IFERROR(__xludf.DUMMYFUNCTION("""COMPUTED_VALUE"""),"Stephen")</f>
        <v>Stephen</v>
      </c>
      <c r="I1073" s="4" t="str">
        <f>IFERROR(__xludf.DUMMYFUNCTION("""COMPUTED_VALUE"""),"")</f>
        <v/>
      </c>
      <c r="J1073" s="4" t="str">
        <f>IFERROR(__xludf.DUMMYFUNCTION("""COMPUTED_VALUE"""),"")</f>
        <v/>
      </c>
      <c r="K1073" s="4" t="str">
        <f>IFERROR(__xludf.DUMMYFUNCTION("""COMPUTED_VALUE"""),"Podcast")</f>
        <v>Podcast</v>
      </c>
      <c r="L1073" s="4" t="str">
        <f>IFERROR(__xludf.DUMMYFUNCTION("""COMPUTED_VALUE"""),"T- 2 - 08/06/2020")</f>
        <v>T- 2 - 08/06/2020</v>
      </c>
      <c r="M1073" s="4" t="str">
        <f>IFERROR(__xludf.DUMMYFUNCTION("""COMPUTED_VALUE"""),"In depth: Gretchen Carlson")</f>
        <v>In depth: Gretchen Carlson</v>
      </c>
      <c r="N1073" s="4" t="str">
        <f>IFERROR(__xludf.DUMMYFUNCTION("""COMPUTED_VALUE"""),"Gretchen Carlson, Gretchen Carlson")</f>
        <v>Gretchen Carlson, Gretchen Carlson</v>
      </c>
      <c r="O1073" s="4" t="str">
        <f>IFERROR(__xludf.DUMMYFUNCTION("""COMPUTED_VALUE"""),"")</f>
        <v/>
      </c>
      <c r="P1073" s="4" t="str">
        <f>IFERROR(__xludf.DUMMYFUNCTION("""COMPUTED_VALUE"""),"")</f>
        <v/>
      </c>
      <c r="Q1073" s="4" t="str">
        <f>IFERROR(__xludf.DUMMYFUNCTION("""COMPUTED_VALUE"""),"")</f>
        <v/>
      </c>
      <c r="R1073" s="4" t="str">
        <f>IFERROR(__xludf.DUMMYFUNCTION("""COMPUTED_VALUE"""),"Samantha Barry, Glamour")</f>
        <v>Samantha Barry, Glamour</v>
      </c>
      <c r="S1073" s="4" t="str">
        <f>IFERROR(__xludf.DUMMYFUNCTION("""COMPUTED_VALUE"""),"Journalist and whistleblower, Gretchen Carlson will talk paving the way for #MeToo and her continued advocacy for victims of sexual harassment.")</f>
        <v>Journalist and whistleblower, Gretchen Carlson will talk paving the way for #MeToo and her continued advocacy for victims of sexual harassment.</v>
      </c>
      <c r="T1073" s="4" t="str">
        <f>IFERROR(__xludf.DUMMYFUNCTION("""COMPUTED_VALUE"""),"NON-KEYNOTE 7 - Video to be recorded")</f>
        <v>NON-KEYNOTE 7 - Video to be recorded</v>
      </c>
      <c r="U1073" s="23">
        <f>IFERROR(__xludf.DUMMYFUNCTION("""COMPUTED_VALUE"""),43992.0)</f>
        <v>43992</v>
      </c>
      <c r="V1073" s="24">
        <f>IFERROR(__xludf.DUMMYFUNCTION("""COMPUTED_VALUE"""),0.5625)</f>
        <v>0.5625</v>
      </c>
      <c r="W1073" s="21" t="str">
        <f>IFERROR(__xludf.DUMMYFUNCTION("""COMPUTED_VALUE"""),"https://zoom.us/j/6206255996?pwd=Ykxjb3VncFVOTU9TUlhGaGlVRUQ5dz09")</f>
        <v>https://zoom.us/j/6206255996?pwd=Ykxjb3VncFVOTU9TUlhGaGlVRUQ5dz09</v>
      </c>
      <c r="X1073" s="4" t="str">
        <f>IFERROR(__xludf.DUMMYFUNCTION("""COMPUTED_VALUE"""),"Stephen")</f>
        <v>Stephen</v>
      </c>
      <c r="Y1073" s="4" t="str">
        <f>IFERROR(__xludf.DUMMYFUNCTION("""COMPUTED_VALUE"""),"")</f>
        <v/>
      </c>
    </row>
    <row r="1074">
      <c r="A1074" s="4" t="str">
        <f>IFERROR(__xludf.DUMMYFUNCTION("""COMPUTED_VALUE"""),"1662 - Channel")</f>
        <v>1662 - Channel</v>
      </c>
      <c r="B1074" s="4" t="str">
        <f>IFERROR(__xludf.DUMMYFUNCTION("""COMPUTED_VALUE"""),"Channel 4")</f>
        <v>Channel 4</v>
      </c>
      <c r="C1074" s="4" t="str">
        <f>IFERROR(__xludf.DUMMYFUNCTION("""COMPUTED_VALUE"""),"Day 2 - 24/06")</f>
        <v>Day 2 - 24/06</v>
      </c>
      <c r="D1074" s="6">
        <f>IFERROR(__xludf.DUMMYFUNCTION("""COMPUTED_VALUE"""),0.7065625000000003)</f>
        <v>0.7065625</v>
      </c>
      <c r="E1074" s="6">
        <f>IFERROR(__xludf.DUMMYFUNCTION("""COMPUTED_VALUE"""),0.0012037037037037038)</f>
        <v>0.001203703704</v>
      </c>
      <c r="F1074" s="6">
        <f>IFERROR(__xludf.DUMMYFUNCTION("""COMPUTED_VALUE"""),0.707766203703704)</f>
        <v>0.7077662037</v>
      </c>
      <c r="G1074" s="4" t="str">
        <f>IFERROR(__xludf.DUMMYFUNCTION("""COMPUTED_VALUE"""),"")</f>
        <v/>
      </c>
      <c r="H1074" s="4" t="str">
        <f>IFERROR(__xludf.DUMMYFUNCTION("""COMPUTED_VALUE"""),"")</f>
        <v/>
      </c>
      <c r="I1074" s="4" t="str">
        <f>IFERROR(__xludf.DUMMYFUNCTION("""COMPUTED_VALUE"""),"")</f>
        <v/>
      </c>
      <c r="J1074" s="4" t="str">
        <f>IFERROR(__xludf.DUMMYFUNCTION("""COMPUTED_VALUE"""),"")</f>
        <v/>
      </c>
      <c r="K1074" s="4" t="str">
        <f>IFERROR(__xludf.DUMMYFUNCTION("""COMPUTED_VALUE"""),"Web Summit Trailer - full")</f>
        <v>Web Summit Trailer - full</v>
      </c>
      <c r="L1074" s="4" t="str">
        <f>IFERROR(__xludf.DUMMYFUNCTION("""COMPUTED_VALUE"""),"")</f>
        <v/>
      </c>
      <c r="M1074" s="4" t="str">
        <f>IFERROR(__xludf.DUMMYFUNCTION("""COMPUTED_VALUE"""),"Collision From Home Promo")</f>
        <v>Collision From Home Promo</v>
      </c>
      <c r="N1074" s="4" t="str">
        <f>IFERROR(__xludf.DUMMYFUNCTION("""COMPUTED_VALUE"""),"")</f>
        <v/>
      </c>
      <c r="O1074" s="4" t="str">
        <f>IFERROR(__xludf.DUMMYFUNCTION("""COMPUTED_VALUE"""),"")</f>
        <v/>
      </c>
      <c r="P1074" s="4" t="str">
        <f>IFERROR(__xludf.DUMMYFUNCTION("""COMPUTED_VALUE"""),"")</f>
        <v/>
      </c>
      <c r="Q1074" s="4" t="str">
        <f>IFERROR(__xludf.DUMMYFUNCTION("""COMPUTED_VALUE"""),"")</f>
        <v/>
      </c>
      <c r="R1074" s="4" t="str">
        <f>IFERROR(__xludf.DUMMYFUNCTION("""COMPUTED_VALUE"""),"")</f>
        <v/>
      </c>
      <c r="S1074" s="4" t="str">
        <f>IFERROR(__xludf.DUMMYFUNCTION("""COMPUTED_VALUE"""),"")</f>
        <v/>
      </c>
      <c r="T1074" s="4" t="str">
        <f>IFERROR(__xludf.DUMMYFUNCTION("""COMPUTED_VALUE"""),"")</f>
        <v/>
      </c>
      <c r="U1074" s="4" t="str">
        <f>IFERROR(__xludf.DUMMYFUNCTION("""COMPUTED_VALUE"""),"")</f>
        <v/>
      </c>
      <c r="V1074" s="4" t="str">
        <f>IFERROR(__xludf.DUMMYFUNCTION("""COMPUTED_VALUE"""),"")</f>
        <v/>
      </c>
      <c r="W1074" s="4" t="str">
        <f>IFERROR(__xludf.DUMMYFUNCTION("""COMPUTED_VALUE"""),"")</f>
        <v/>
      </c>
      <c r="X1074" s="4" t="str">
        <f>IFERROR(__xludf.DUMMYFUNCTION("""COMPUTED_VALUE"""),"")</f>
        <v/>
      </c>
      <c r="Y1074" s="4" t="str">
        <f>IFERROR(__xludf.DUMMYFUNCTION("""COMPUTED_VALUE"""),"")</f>
        <v/>
      </c>
    </row>
    <row r="1075">
      <c r="A1075" s="4" t="str">
        <f>IFERROR(__xludf.DUMMYFUNCTION("""COMPUTED_VALUE"""),"1202 - Channel")</f>
        <v>1202 - Channel</v>
      </c>
      <c r="B1075" s="4" t="str">
        <f>IFERROR(__xludf.DUMMYFUNCTION("""COMPUTED_VALUE"""),"Channel 4")</f>
        <v>Channel 4</v>
      </c>
      <c r="C1075" s="4" t="str">
        <f>IFERROR(__xludf.DUMMYFUNCTION("""COMPUTED_VALUE"""),"Day 2 - 24/06")</f>
        <v>Day 2 - 24/06</v>
      </c>
      <c r="D1075" s="6">
        <f>IFERROR(__xludf.DUMMYFUNCTION("""COMPUTED_VALUE"""),0.707766203703704)</f>
        <v>0.7077662037</v>
      </c>
      <c r="E1075" s="6">
        <f>IFERROR(__xludf.DUMMYFUNCTION("""COMPUTED_VALUE"""),3.4722222222222224E-4)</f>
        <v>0.0003472222222</v>
      </c>
      <c r="F1075" s="6">
        <f>IFERROR(__xludf.DUMMYFUNCTION("""COMPUTED_VALUE"""),0.7081134259259263)</f>
        <v>0.7081134259</v>
      </c>
      <c r="G1075" s="4" t="str">
        <f>IFERROR(__xludf.DUMMYFUNCTION("""COMPUTED_VALUE"""),"")</f>
        <v/>
      </c>
      <c r="H1075" s="4" t="str">
        <f>IFERROR(__xludf.DUMMYFUNCTION("""COMPUTED_VALUE"""),"")</f>
        <v/>
      </c>
      <c r="I1075" s="4" t="str">
        <f>IFERROR(__xludf.DUMMYFUNCTION("""COMPUTED_VALUE"""),"")</f>
        <v/>
      </c>
      <c r="J1075" s="4" t="str">
        <f>IFERROR(__xludf.DUMMYFUNCTION("""COMPUTED_VALUE"""),"")</f>
        <v/>
      </c>
      <c r="K1075" s="4" t="str">
        <f>IFERROR(__xludf.DUMMYFUNCTION("""COMPUTED_VALUE"""),"Talk Outro")</f>
        <v>Talk Outro</v>
      </c>
      <c r="L1075" s="4" t="str">
        <f>IFERROR(__xludf.DUMMYFUNCTION("""COMPUTED_VALUE"""),"")</f>
        <v/>
      </c>
      <c r="M1075" s="4" t="str">
        <f>IFERROR(__xludf.DUMMYFUNCTION("""COMPUTED_VALUE"""),"MC Outro")</f>
        <v>MC Outro</v>
      </c>
      <c r="N1075" s="4" t="str">
        <f>IFERROR(__xludf.DUMMYFUNCTION("""COMPUTED_VALUE"""),"")</f>
        <v/>
      </c>
      <c r="O1075" s="4" t="str">
        <f>IFERROR(__xludf.DUMMYFUNCTION("""COMPUTED_VALUE"""),"")</f>
        <v/>
      </c>
      <c r="P1075" s="4" t="str">
        <f>IFERROR(__xludf.DUMMYFUNCTION("""COMPUTED_VALUE"""),"")</f>
        <v/>
      </c>
      <c r="Q1075" s="4" t="str">
        <f>IFERROR(__xludf.DUMMYFUNCTION("""COMPUTED_VALUE"""),"")</f>
        <v/>
      </c>
      <c r="R1075" s="4" t="str">
        <f>IFERROR(__xludf.DUMMYFUNCTION("""COMPUTED_VALUE"""),"")</f>
        <v/>
      </c>
      <c r="S1075" s="4" t="str">
        <f>IFERROR(__xludf.DUMMYFUNCTION("""COMPUTED_VALUE"""),"")</f>
        <v/>
      </c>
      <c r="T1075" s="4" t="str">
        <f>IFERROR(__xludf.DUMMYFUNCTION("""COMPUTED_VALUE"""),"")</f>
        <v/>
      </c>
      <c r="U1075" s="4" t="str">
        <f>IFERROR(__xludf.DUMMYFUNCTION("""COMPUTED_VALUE"""),"")</f>
        <v/>
      </c>
      <c r="V1075" s="4" t="str">
        <f>IFERROR(__xludf.DUMMYFUNCTION("""COMPUTED_VALUE"""),"")</f>
        <v/>
      </c>
      <c r="W1075" s="4" t="str">
        <f>IFERROR(__xludf.DUMMYFUNCTION("""COMPUTED_VALUE"""),"")</f>
        <v/>
      </c>
      <c r="X1075" s="4" t="str">
        <f>IFERROR(__xludf.DUMMYFUNCTION("""COMPUTED_VALUE"""),"")</f>
        <v/>
      </c>
      <c r="Y1075" s="4" t="str">
        <f>IFERROR(__xludf.DUMMYFUNCTION("""COMPUTED_VALUE"""),"")</f>
        <v/>
      </c>
    </row>
    <row r="1076">
      <c r="A1076" s="4" t="str">
        <f>IFERROR(__xludf.DUMMYFUNCTION("""COMPUTED_VALUE"""),"1203 - Channel")</f>
        <v>1203 - Channel</v>
      </c>
      <c r="B1076" s="4" t="str">
        <f>IFERROR(__xludf.DUMMYFUNCTION("""COMPUTED_VALUE"""),"Channel 4")</f>
        <v>Channel 4</v>
      </c>
      <c r="C1076" s="4" t="str">
        <f>IFERROR(__xludf.DUMMYFUNCTION("""COMPUTED_VALUE"""),"Day 2 - 24/06")</f>
        <v>Day 2 - 24/06</v>
      </c>
      <c r="D1076" s="6">
        <f>IFERROR(__xludf.DUMMYFUNCTION("""COMPUTED_VALUE"""),0.7081134259259263)</f>
        <v>0.7081134259</v>
      </c>
      <c r="E1076" s="6">
        <f>IFERROR(__xludf.DUMMYFUNCTION("""COMPUTED_VALUE"""),0.0)</f>
        <v>0</v>
      </c>
      <c r="F1076" s="6">
        <f>IFERROR(__xludf.DUMMYFUNCTION("""COMPUTED_VALUE"""),0.7081134259259263)</f>
        <v>0.7081134259</v>
      </c>
      <c r="G1076" s="4" t="str">
        <f>IFERROR(__xludf.DUMMYFUNCTION("""COMPUTED_VALUE"""),"")</f>
        <v/>
      </c>
      <c r="H1076" s="4" t="str">
        <f>IFERROR(__xludf.DUMMYFUNCTION("""COMPUTED_VALUE"""),"")</f>
        <v/>
      </c>
      <c r="I1076" s="4" t="str">
        <f>IFERROR(__xludf.DUMMYFUNCTION("""COMPUTED_VALUE"""),"")</f>
        <v/>
      </c>
      <c r="J1076" s="4" t="str">
        <f>IFERROR(__xludf.DUMMYFUNCTION("""COMPUTED_VALUE"""),"")</f>
        <v/>
      </c>
      <c r="K1076" s="4" t="str">
        <f>IFERROR(__xludf.DUMMYFUNCTION("""COMPUTED_VALUE"""),"")</f>
        <v/>
      </c>
      <c r="L1076" s="4" t="str">
        <f>IFERROR(__xludf.DUMMYFUNCTION("""COMPUTED_VALUE"""),"")</f>
        <v/>
      </c>
      <c r="M1076" s="4" t="str">
        <f>IFERROR(__xludf.DUMMYFUNCTION("""COMPUTED_VALUE"""),"")</f>
        <v/>
      </c>
      <c r="N1076" s="4" t="str">
        <f>IFERROR(__xludf.DUMMYFUNCTION("""COMPUTED_VALUE"""),"")</f>
        <v/>
      </c>
      <c r="O1076" s="4" t="str">
        <f>IFERROR(__xludf.DUMMYFUNCTION("""COMPUTED_VALUE"""),"")</f>
        <v/>
      </c>
      <c r="P1076" s="4" t="str">
        <f>IFERROR(__xludf.DUMMYFUNCTION("""COMPUTED_VALUE"""),"")</f>
        <v/>
      </c>
      <c r="Q1076" s="4" t="str">
        <f>IFERROR(__xludf.DUMMYFUNCTION("""COMPUTED_VALUE"""),"")</f>
        <v/>
      </c>
      <c r="R1076" s="4" t="str">
        <f>IFERROR(__xludf.DUMMYFUNCTION("""COMPUTED_VALUE"""),"")</f>
        <v/>
      </c>
      <c r="S1076" s="4" t="str">
        <f>IFERROR(__xludf.DUMMYFUNCTION("""COMPUTED_VALUE"""),"")</f>
        <v/>
      </c>
      <c r="T1076" s="4" t="str">
        <f>IFERROR(__xludf.DUMMYFUNCTION("""COMPUTED_VALUE"""),"")</f>
        <v/>
      </c>
      <c r="U1076" s="4" t="str">
        <f>IFERROR(__xludf.DUMMYFUNCTION("""COMPUTED_VALUE"""),"")</f>
        <v/>
      </c>
      <c r="V1076" s="4" t="str">
        <f>IFERROR(__xludf.DUMMYFUNCTION("""COMPUTED_VALUE"""),"")</f>
        <v/>
      </c>
      <c r="W1076" s="4" t="str">
        <f>IFERROR(__xludf.DUMMYFUNCTION("""COMPUTED_VALUE"""),"")</f>
        <v/>
      </c>
      <c r="X1076" s="4" t="str">
        <f>IFERROR(__xludf.DUMMYFUNCTION("""COMPUTED_VALUE"""),"")</f>
        <v/>
      </c>
      <c r="Y1076" s="4" t="str">
        <f>IFERROR(__xludf.DUMMYFUNCTION("""COMPUTED_VALUE"""),"")</f>
        <v/>
      </c>
    </row>
    <row r="1077">
      <c r="A1077" s="4" t="str">
        <f>IFERROR(__xludf.DUMMYFUNCTION("""COMPUTED_VALUE"""),"1204 - Channel")</f>
        <v>1204 - Channel</v>
      </c>
      <c r="B1077" s="4" t="str">
        <f>IFERROR(__xludf.DUMMYFUNCTION("""COMPUTED_VALUE"""),"Channel 4")</f>
        <v>Channel 4</v>
      </c>
      <c r="C1077" s="4" t="str">
        <f>IFERROR(__xludf.DUMMYFUNCTION("""COMPUTED_VALUE"""),"Day 2 - 24/06")</f>
        <v>Day 2 - 24/06</v>
      </c>
      <c r="D1077" s="6">
        <f>IFERROR(__xludf.DUMMYFUNCTION("""COMPUTED_VALUE"""),0.7081134259259263)</f>
        <v>0.7081134259</v>
      </c>
      <c r="E1077" s="6">
        <f>IFERROR(__xludf.DUMMYFUNCTION("""COMPUTED_VALUE"""),0.0)</f>
        <v>0</v>
      </c>
      <c r="F1077" s="6">
        <f>IFERROR(__xludf.DUMMYFUNCTION("""COMPUTED_VALUE"""),0.7081134259259263)</f>
        <v>0.7081134259</v>
      </c>
      <c r="G1077" s="4" t="str">
        <f>IFERROR(__xludf.DUMMYFUNCTION("""COMPUTED_VALUE"""),"")</f>
        <v/>
      </c>
      <c r="H1077" s="4" t="str">
        <f>IFERROR(__xludf.DUMMYFUNCTION("""COMPUTED_VALUE"""),"")</f>
        <v/>
      </c>
      <c r="I1077" s="4" t="str">
        <f>IFERROR(__xludf.DUMMYFUNCTION("""COMPUTED_VALUE"""),"")</f>
        <v/>
      </c>
      <c r="J1077" s="4" t="str">
        <f>IFERROR(__xludf.DUMMYFUNCTION("""COMPUTED_VALUE"""),"")</f>
        <v/>
      </c>
      <c r="K1077" s="4" t="str">
        <f>IFERROR(__xludf.DUMMYFUNCTION("""COMPUTED_VALUE"""),"")</f>
        <v/>
      </c>
      <c r="L1077" s="4" t="str">
        <f>IFERROR(__xludf.DUMMYFUNCTION("""COMPUTED_VALUE"""),"")</f>
        <v/>
      </c>
      <c r="M1077" s="4" t="str">
        <f>IFERROR(__xludf.DUMMYFUNCTION("""COMPUTED_VALUE"""),"")</f>
        <v/>
      </c>
      <c r="N1077" s="4" t="str">
        <f>IFERROR(__xludf.DUMMYFUNCTION("""COMPUTED_VALUE"""),"")</f>
        <v/>
      </c>
      <c r="O1077" s="4" t="str">
        <f>IFERROR(__xludf.DUMMYFUNCTION("""COMPUTED_VALUE"""),"")</f>
        <v/>
      </c>
      <c r="P1077" s="4" t="str">
        <f>IFERROR(__xludf.DUMMYFUNCTION("""COMPUTED_VALUE"""),"")</f>
        <v/>
      </c>
      <c r="Q1077" s="4" t="str">
        <f>IFERROR(__xludf.DUMMYFUNCTION("""COMPUTED_VALUE"""),"")</f>
        <v/>
      </c>
      <c r="R1077" s="4" t="str">
        <f>IFERROR(__xludf.DUMMYFUNCTION("""COMPUTED_VALUE"""),"")</f>
        <v/>
      </c>
      <c r="S1077" s="4" t="str">
        <f>IFERROR(__xludf.DUMMYFUNCTION("""COMPUTED_VALUE"""),"")</f>
        <v/>
      </c>
      <c r="T1077" s="4" t="str">
        <f>IFERROR(__xludf.DUMMYFUNCTION("""COMPUTED_VALUE"""),"")</f>
        <v/>
      </c>
      <c r="U1077" s="4" t="str">
        <f>IFERROR(__xludf.DUMMYFUNCTION("""COMPUTED_VALUE"""),"")</f>
        <v/>
      </c>
      <c r="V1077" s="4" t="str">
        <f>IFERROR(__xludf.DUMMYFUNCTION("""COMPUTED_VALUE"""),"")</f>
        <v/>
      </c>
      <c r="W1077" s="4" t="str">
        <f>IFERROR(__xludf.DUMMYFUNCTION("""COMPUTED_VALUE"""),"")</f>
        <v/>
      </c>
      <c r="X1077" s="4" t="str">
        <f>IFERROR(__xludf.DUMMYFUNCTION("""COMPUTED_VALUE"""),"")</f>
        <v/>
      </c>
      <c r="Y1077" s="4" t="str">
        <f>IFERROR(__xludf.DUMMYFUNCTION("""COMPUTED_VALUE"""),"")</f>
        <v/>
      </c>
    </row>
    <row r="1078">
      <c r="A1078" s="4" t="str">
        <f>IFERROR(__xludf.DUMMYFUNCTION("""COMPUTED_VALUE"""),"1205 - Channel")</f>
        <v>1205 - Channel</v>
      </c>
      <c r="B1078" s="4" t="str">
        <f>IFERROR(__xludf.DUMMYFUNCTION("""COMPUTED_VALUE"""),"Channel 4")</f>
        <v>Channel 4</v>
      </c>
      <c r="C1078" s="4" t="str">
        <f>IFERROR(__xludf.DUMMYFUNCTION("""COMPUTED_VALUE"""),"Day 2 - 24/06")</f>
        <v>Day 2 - 24/06</v>
      </c>
      <c r="D1078" s="6">
        <f>IFERROR(__xludf.DUMMYFUNCTION("""COMPUTED_VALUE"""),0.7081134259259263)</f>
        <v>0.7081134259</v>
      </c>
      <c r="E1078" s="6">
        <f>IFERROR(__xludf.DUMMYFUNCTION("""COMPUTED_VALUE"""),0.0)</f>
        <v>0</v>
      </c>
      <c r="F1078" s="6">
        <f>IFERROR(__xludf.DUMMYFUNCTION("""COMPUTED_VALUE"""),0.7081134259259263)</f>
        <v>0.7081134259</v>
      </c>
      <c r="G1078" s="4" t="str">
        <f>IFERROR(__xludf.DUMMYFUNCTION("""COMPUTED_VALUE"""),"")</f>
        <v/>
      </c>
      <c r="H1078" s="4" t="str">
        <f>IFERROR(__xludf.DUMMYFUNCTION("""COMPUTED_VALUE"""),"")</f>
        <v/>
      </c>
      <c r="I1078" s="4" t="str">
        <f>IFERROR(__xludf.DUMMYFUNCTION("""COMPUTED_VALUE"""),"")</f>
        <v/>
      </c>
      <c r="J1078" s="4" t="str">
        <f>IFERROR(__xludf.DUMMYFUNCTION("""COMPUTED_VALUE"""),"")</f>
        <v/>
      </c>
      <c r="K1078" s="4" t="str">
        <f>IFERROR(__xludf.DUMMYFUNCTION("""COMPUTED_VALUE"""),"")</f>
        <v/>
      </c>
      <c r="L1078" s="4" t="str">
        <f>IFERROR(__xludf.DUMMYFUNCTION("""COMPUTED_VALUE"""),"")</f>
        <v/>
      </c>
      <c r="M1078" s="4" t="str">
        <f>IFERROR(__xludf.DUMMYFUNCTION("""COMPUTED_VALUE"""),"")</f>
        <v/>
      </c>
      <c r="N1078" s="4" t="str">
        <f>IFERROR(__xludf.DUMMYFUNCTION("""COMPUTED_VALUE"""),"")</f>
        <v/>
      </c>
      <c r="O1078" s="4" t="str">
        <f>IFERROR(__xludf.DUMMYFUNCTION("""COMPUTED_VALUE"""),"")</f>
        <v/>
      </c>
      <c r="P1078" s="4" t="str">
        <f>IFERROR(__xludf.DUMMYFUNCTION("""COMPUTED_VALUE"""),"")</f>
        <v/>
      </c>
      <c r="Q1078" s="4" t="str">
        <f>IFERROR(__xludf.DUMMYFUNCTION("""COMPUTED_VALUE"""),"")</f>
        <v/>
      </c>
      <c r="R1078" s="4" t="str">
        <f>IFERROR(__xludf.DUMMYFUNCTION("""COMPUTED_VALUE"""),"")</f>
        <v/>
      </c>
      <c r="S1078" s="4" t="str">
        <f>IFERROR(__xludf.DUMMYFUNCTION("""COMPUTED_VALUE"""),"")</f>
        <v/>
      </c>
      <c r="T1078" s="4" t="str">
        <f>IFERROR(__xludf.DUMMYFUNCTION("""COMPUTED_VALUE"""),"")</f>
        <v/>
      </c>
      <c r="U1078" s="4" t="str">
        <f>IFERROR(__xludf.DUMMYFUNCTION("""COMPUTED_VALUE"""),"")</f>
        <v/>
      </c>
      <c r="V1078" s="4" t="str">
        <f>IFERROR(__xludf.DUMMYFUNCTION("""COMPUTED_VALUE"""),"")</f>
        <v/>
      </c>
      <c r="W1078" s="4" t="str">
        <f>IFERROR(__xludf.DUMMYFUNCTION("""COMPUTED_VALUE"""),"")</f>
        <v/>
      </c>
      <c r="X1078" s="4" t="str">
        <f>IFERROR(__xludf.DUMMYFUNCTION("""COMPUTED_VALUE"""),"")</f>
        <v/>
      </c>
      <c r="Y1078" s="4" t="str">
        <f>IFERROR(__xludf.DUMMYFUNCTION("""COMPUTED_VALUE"""),"")</f>
        <v/>
      </c>
    </row>
    <row r="1079">
      <c r="A1079" s="4" t="str">
        <f>IFERROR(__xludf.DUMMYFUNCTION("""COMPUTED_VALUE"""),"1206 - Channel")</f>
        <v>1206 - Channel</v>
      </c>
      <c r="B1079" s="4" t="str">
        <f>IFERROR(__xludf.DUMMYFUNCTION("""COMPUTED_VALUE"""),"Channel 4")</f>
        <v>Channel 4</v>
      </c>
      <c r="C1079" s="4" t="str">
        <f>IFERROR(__xludf.DUMMYFUNCTION("""COMPUTED_VALUE"""),"Day 2 - 24/06")</f>
        <v>Day 2 - 24/06</v>
      </c>
      <c r="D1079" s="6">
        <f>IFERROR(__xludf.DUMMYFUNCTION("""COMPUTED_VALUE"""),0.7081134259259263)</f>
        <v>0.7081134259</v>
      </c>
      <c r="E1079" s="6">
        <f>IFERROR(__xludf.DUMMYFUNCTION("""COMPUTED_VALUE"""),0.0)</f>
        <v>0</v>
      </c>
      <c r="F1079" s="6">
        <f>IFERROR(__xludf.DUMMYFUNCTION("""COMPUTED_VALUE"""),0.7081134259259263)</f>
        <v>0.7081134259</v>
      </c>
      <c r="G1079" s="4" t="str">
        <f>IFERROR(__xludf.DUMMYFUNCTION("""COMPUTED_VALUE"""),"")</f>
        <v/>
      </c>
      <c r="H1079" s="4" t="str">
        <f>IFERROR(__xludf.DUMMYFUNCTION("""COMPUTED_VALUE"""),"")</f>
        <v/>
      </c>
      <c r="I1079" s="4" t="str">
        <f>IFERROR(__xludf.DUMMYFUNCTION("""COMPUTED_VALUE"""),"")</f>
        <v/>
      </c>
      <c r="J1079" s="4" t="str">
        <f>IFERROR(__xludf.DUMMYFUNCTION("""COMPUTED_VALUE"""),"")</f>
        <v/>
      </c>
      <c r="K1079" s="4" t="str">
        <f>IFERROR(__xludf.DUMMYFUNCTION("""COMPUTED_VALUE"""),"")</f>
        <v/>
      </c>
      <c r="L1079" s="4" t="str">
        <f>IFERROR(__xludf.DUMMYFUNCTION("""COMPUTED_VALUE"""),"")</f>
        <v/>
      </c>
      <c r="M1079" s="4" t="str">
        <f>IFERROR(__xludf.DUMMYFUNCTION("""COMPUTED_VALUE"""),"")</f>
        <v/>
      </c>
      <c r="N1079" s="4" t="str">
        <f>IFERROR(__xludf.DUMMYFUNCTION("""COMPUTED_VALUE"""),"")</f>
        <v/>
      </c>
      <c r="O1079" s="4" t="str">
        <f>IFERROR(__xludf.DUMMYFUNCTION("""COMPUTED_VALUE"""),"")</f>
        <v/>
      </c>
      <c r="P1079" s="4" t="str">
        <f>IFERROR(__xludf.DUMMYFUNCTION("""COMPUTED_VALUE"""),"")</f>
        <v/>
      </c>
      <c r="Q1079" s="4" t="str">
        <f>IFERROR(__xludf.DUMMYFUNCTION("""COMPUTED_VALUE"""),"")</f>
        <v/>
      </c>
      <c r="R1079" s="4" t="str">
        <f>IFERROR(__xludf.DUMMYFUNCTION("""COMPUTED_VALUE"""),"")</f>
        <v/>
      </c>
      <c r="S1079" s="4" t="str">
        <f>IFERROR(__xludf.DUMMYFUNCTION("""COMPUTED_VALUE"""),"")</f>
        <v/>
      </c>
      <c r="T1079" s="4" t="str">
        <f>IFERROR(__xludf.DUMMYFUNCTION("""COMPUTED_VALUE"""),"")</f>
        <v/>
      </c>
      <c r="U1079" s="4" t="str">
        <f>IFERROR(__xludf.DUMMYFUNCTION("""COMPUTED_VALUE"""),"")</f>
        <v/>
      </c>
      <c r="V1079" s="4" t="str">
        <f>IFERROR(__xludf.DUMMYFUNCTION("""COMPUTED_VALUE"""),"")</f>
        <v/>
      </c>
      <c r="W1079" s="4" t="str">
        <f>IFERROR(__xludf.DUMMYFUNCTION("""COMPUTED_VALUE"""),"")</f>
        <v/>
      </c>
      <c r="X1079" s="4" t="str">
        <f>IFERROR(__xludf.DUMMYFUNCTION("""COMPUTED_VALUE"""),"")</f>
        <v/>
      </c>
      <c r="Y1079" s="4" t="str">
        <f>IFERROR(__xludf.DUMMYFUNCTION("""COMPUTED_VALUE"""),"")</f>
        <v/>
      </c>
    </row>
    <row r="1080">
      <c r="A1080" s="4" t="str">
        <f>IFERROR(__xludf.DUMMYFUNCTION("""COMPUTED_VALUE"""),"1207 - Channel")</f>
        <v>1207 - Channel</v>
      </c>
      <c r="B1080" s="4" t="str">
        <f>IFERROR(__xludf.DUMMYFUNCTION("""COMPUTED_VALUE"""),"Channel 4")</f>
        <v>Channel 4</v>
      </c>
      <c r="C1080" s="4" t="str">
        <f>IFERROR(__xludf.DUMMYFUNCTION("""COMPUTED_VALUE"""),"Day 2 - 24/06")</f>
        <v>Day 2 - 24/06</v>
      </c>
      <c r="D1080" s="6">
        <f>IFERROR(__xludf.DUMMYFUNCTION("""COMPUTED_VALUE"""),0.7081134259259263)</f>
        <v>0.7081134259</v>
      </c>
      <c r="E1080" s="6">
        <f>IFERROR(__xludf.DUMMYFUNCTION("""COMPUTED_VALUE"""),0.0)</f>
        <v>0</v>
      </c>
      <c r="F1080" s="6">
        <f>IFERROR(__xludf.DUMMYFUNCTION("""COMPUTED_VALUE"""),0.7081134259259263)</f>
        <v>0.7081134259</v>
      </c>
      <c r="G1080" s="4" t="str">
        <f>IFERROR(__xludf.DUMMYFUNCTION("""COMPUTED_VALUE"""),"")</f>
        <v/>
      </c>
      <c r="H1080" s="4" t="str">
        <f>IFERROR(__xludf.DUMMYFUNCTION("""COMPUTED_VALUE"""),"")</f>
        <v/>
      </c>
      <c r="I1080" s="4" t="str">
        <f>IFERROR(__xludf.DUMMYFUNCTION("""COMPUTED_VALUE"""),"")</f>
        <v/>
      </c>
      <c r="J1080" s="4" t="str">
        <f>IFERROR(__xludf.DUMMYFUNCTION("""COMPUTED_VALUE"""),"")</f>
        <v/>
      </c>
      <c r="K1080" s="4" t="str">
        <f>IFERROR(__xludf.DUMMYFUNCTION("""COMPUTED_VALUE"""),"")</f>
        <v/>
      </c>
      <c r="L1080" s="4" t="str">
        <f>IFERROR(__xludf.DUMMYFUNCTION("""COMPUTED_VALUE"""),"")</f>
        <v/>
      </c>
      <c r="M1080" s="4" t="str">
        <f>IFERROR(__xludf.DUMMYFUNCTION("""COMPUTED_VALUE"""),"")</f>
        <v/>
      </c>
      <c r="N1080" s="4" t="str">
        <f>IFERROR(__xludf.DUMMYFUNCTION("""COMPUTED_VALUE"""),"")</f>
        <v/>
      </c>
      <c r="O1080" s="4" t="str">
        <f>IFERROR(__xludf.DUMMYFUNCTION("""COMPUTED_VALUE"""),"")</f>
        <v/>
      </c>
      <c r="P1080" s="4" t="str">
        <f>IFERROR(__xludf.DUMMYFUNCTION("""COMPUTED_VALUE"""),"")</f>
        <v/>
      </c>
      <c r="Q1080" s="4" t="str">
        <f>IFERROR(__xludf.DUMMYFUNCTION("""COMPUTED_VALUE"""),"")</f>
        <v/>
      </c>
      <c r="R1080" s="4" t="str">
        <f>IFERROR(__xludf.DUMMYFUNCTION("""COMPUTED_VALUE"""),"")</f>
        <v/>
      </c>
      <c r="S1080" s="4" t="str">
        <f>IFERROR(__xludf.DUMMYFUNCTION("""COMPUTED_VALUE"""),"")</f>
        <v/>
      </c>
      <c r="T1080" s="4" t="str">
        <f>IFERROR(__xludf.DUMMYFUNCTION("""COMPUTED_VALUE"""),"")</f>
        <v/>
      </c>
      <c r="U1080" s="4" t="str">
        <f>IFERROR(__xludf.DUMMYFUNCTION("""COMPUTED_VALUE"""),"")</f>
        <v/>
      </c>
      <c r="V1080" s="4" t="str">
        <f>IFERROR(__xludf.DUMMYFUNCTION("""COMPUTED_VALUE"""),"")</f>
        <v/>
      </c>
      <c r="W1080" s="4" t="str">
        <f>IFERROR(__xludf.DUMMYFUNCTION("""COMPUTED_VALUE"""),"")</f>
        <v/>
      </c>
      <c r="X1080" s="4" t="str">
        <f>IFERROR(__xludf.DUMMYFUNCTION("""COMPUTED_VALUE"""),"")</f>
        <v/>
      </c>
      <c r="Y1080" s="4" t="str">
        <f>IFERROR(__xludf.DUMMYFUNCTION("""COMPUTED_VALUE"""),"")</f>
        <v/>
      </c>
    </row>
    <row r="1081">
      <c r="A1081" s="4" t="str">
        <f>IFERROR(__xludf.DUMMYFUNCTION("""COMPUTED_VALUE"""),"1208 - Channel")</f>
        <v>1208 - Channel</v>
      </c>
      <c r="B1081" s="4" t="str">
        <f>IFERROR(__xludf.DUMMYFUNCTION("""COMPUTED_VALUE"""),"DAY 3 - Thursday, 25 June")</f>
        <v>DAY 3 - Thursday, 25 June</v>
      </c>
      <c r="C1081" s="4" t="str">
        <f>IFERROR(__xludf.DUMMYFUNCTION("""COMPUTED_VALUE"""),"")</f>
        <v/>
      </c>
      <c r="D1081" s="4" t="str">
        <f>IFERROR(__xludf.DUMMYFUNCTION("""COMPUTED_VALUE"""),"")</f>
        <v/>
      </c>
      <c r="E1081" s="4" t="str">
        <f>IFERROR(__xludf.DUMMYFUNCTION("""COMPUTED_VALUE"""),"")</f>
        <v/>
      </c>
      <c r="F1081" s="4" t="str">
        <f>IFERROR(__xludf.DUMMYFUNCTION("""COMPUTED_VALUE"""),"")</f>
        <v/>
      </c>
      <c r="G1081" s="4" t="str">
        <f>IFERROR(__xludf.DUMMYFUNCTION("""COMPUTED_VALUE"""),"")</f>
        <v/>
      </c>
      <c r="H1081" s="4" t="str">
        <f>IFERROR(__xludf.DUMMYFUNCTION("""COMPUTED_VALUE"""),"")</f>
        <v/>
      </c>
      <c r="I1081" s="4" t="str">
        <f>IFERROR(__xludf.DUMMYFUNCTION("""COMPUTED_VALUE"""),"")</f>
        <v/>
      </c>
      <c r="J1081" s="4" t="str">
        <f>IFERROR(__xludf.DUMMYFUNCTION("""COMPUTED_VALUE"""),"")</f>
        <v/>
      </c>
      <c r="K1081" s="4" t="str">
        <f>IFERROR(__xludf.DUMMYFUNCTION("""COMPUTED_VALUE"""),"")</f>
        <v/>
      </c>
      <c r="L1081" s="4" t="str">
        <f>IFERROR(__xludf.DUMMYFUNCTION("""COMPUTED_VALUE"""),"")</f>
        <v/>
      </c>
      <c r="M1081" s="4" t="str">
        <f>IFERROR(__xludf.DUMMYFUNCTION("""COMPUTED_VALUE"""),"")</f>
        <v/>
      </c>
      <c r="N1081" s="4" t="str">
        <f>IFERROR(__xludf.DUMMYFUNCTION("""COMPUTED_VALUE"""),"")</f>
        <v/>
      </c>
      <c r="O1081" s="4" t="str">
        <f>IFERROR(__xludf.DUMMYFUNCTION("""COMPUTED_VALUE"""),"")</f>
        <v/>
      </c>
      <c r="P1081" s="4" t="str">
        <f>IFERROR(__xludf.DUMMYFUNCTION("""COMPUTED_VALUE"""),"")</f>
        <v/>
      </c>
      <c r="Q1081" s="4" t="str">
        <f>IFERROR(__xludf.DUMMYFUNCTION("""COMPUTED_VALUE"""),"")</f>
        <v/>
      </c>
      <c r="R1081" s="4" t="str">
        <f>IFERROR(__xludf.DUMMYFUNCTION("""COMPUTED_VALUE"""),"")</f>
        <v/>
      </c>
      <c r="S1081" s="4" t="str">
        <f>IFERROR(__xludf.DUMMYFUNCTION("""COMPUTED_VALUE"""),"")</f>
        <v/>
      </c>
      <c r="T1081" s="4" t="str">
        <f>IFERROR(__xludf.DUMMYFUNCTION("""COMPUTED_VALUE"""),"")</f>
        <v/>
      </c>
      <c r="U1081" s="4" t="str">
        <f>IFERROR(__xludf.DUMMYFUNCTION("""COMPUTED_VALUE"""),"")</f>
        <v/>
      </c>
      <c r="V1081" s="4" t="str">
        <f>IFERROR(__xludf.DUMMYFUNCTION("""COMPUTED_VALUE"""),"")</f>
        <v/>
      </c>
      <c r="W1081" s="4" t="str">
        <f>IFERROR(__xludf.DUMMYFUNCTION("""COMPUTED_VALUE"""),"")</f>
        <v/>
      </c>
      <c r="X1081" s="4" t="str">
        <f>IFERROR(__xludf.DUMMYFUNCTION("""COMPUTED_VALUE"""),"")</f>
        <v/>
      </c>
      <c r="Y1081" s="4" t="str">
        <f>IFERROR(__xludf.DUMMYFUNCTION("""COMPUTED_VALUE"""),"")</f>
        <v/>
      </c>
    </row>
    <row r="1082">
      <c r="A1082" s="4" t="str">
        <f>IFERROR(__xludf.DUMMYFUNCTION("""COMPUTED_VALUE"""),"1209 - Channel")</f>
        <v>1209 - Channel</v>
      </c>
      <c r="B1082" s="4" t="str">
        <f>IFERROR(__xludf.DUMMYFUNCTION("""COMPUTED_VALUE"""),"Channel 4")</f>
        <v>Channel 4</v>
      </c>
      <c r="C1082" s="4" t="str">
        <f>IFERROR(__xludf.DUMMYFUNCTION("""COMPUTED_VALUE"""),"Day 3 - 25/06")</f>
        <v>Day 3 - 25/06</v>
      </c>
      <c r="D1082" s="6">
        <f>IFERROR(__xludf.DUMMYFUNCTION("""COMPUTED_VALUE"""),0.4166666666666667)</f>
        <v>0.4166666667</v>
      </c>
      <c r="E1082" s="6">
        <f>IFERROR(__xludf.DUMMYFUNCTION("""COMPUTED_VALUE"""),0.0012037037037037038)</f>
        <v>0.001203703704</v>
      </c>
      <c r="F1082" s="6">
        <f>IFERROR(__xludf.DUMMYFUNCTION("""COMPUTED_VALUE"""),0.4178703703703704)</f>
        <v>0.4178703704</v>
      </c>
      <c r="G1082" s="4" t="str">
        <f>IFERROR(__xludf.DUMMYFUNCTION("""COMPUTED_VALUE"""),"")</f>
        <v/>
      </c>
      <c r="H1082" s="4" t="str">
        <f>IFERROR(__xludf.DUMMYFUNCTION("""COMPUTED_VALUE"""),"")</f>
        <v/>
      </c>
      <c r="I1082" s="4" t="str">
        <f>IFERROR(__xludf.DUMMYFUNCTION("""COMPUTED_VALUE"""),"")</f>
        <v/>
      </c>
      <c r="J1082" s="4" t="str">
        <f>IFERROR(__xludf.DUMMYFUNCTION("""COMPUTED_VALUE"""),"")</f>
        <v/>
      </c>
      <c r="K1082" s="4" t="str">
        <f>IFERROR(__xludf.DUMMYFUNCTION("""COMPUTED_VALUE"""),"Web Summit Trailer - full")</f>
        <v>Web Summit Trailer - full</v>
      </c>
      <c r="L1082" s="4" t="str">
        <f>IFERROR(__xludf.DUMMYFUNCTION("""COMPUTED_VALUE"""),"")</f>
        <v/>
      </c>
      <c r="M1082" s="4" t="str">
        <f>IFERROR(__xludf.DUMMYFUNCTION("""COMPUTED_VALUE"""),"Collision From Home Promo")</f>
        <v>Collision From Home Promo</v>
      </c>
      <c r="N1082" s="4" t="str">
        <f>IFERROR(__xludf.DUMMYFUNCTION("""COMPUTED_VALUE"""),"")</f>
        <v/>
      </c>
      <c r="O1082" s="4" t="str">
        <f>IFERROR(__xludf.DUMMYFUNCTION("""COMPUTED_VALUE"""),"")</f>
        <v/>
      </c>
      <c r="P1082" s="4" t="str">
        <f>IFERROR(__xludf.DUMMYFUNCTION("""COMPUTED_VALUE"""),"")</f>
        <v/>
      </c>
      <c r="Q1082" s="4" t="str">
        <f>IFERROR(__xludf.DUMMYFUNCTION("""COMPUTED_VALUE"""),"")</f>
        <v/>
      </c>
      <c r="R1082" s="4" t="str">
        <f>IFERROR(__xludf.DUMMYFUNCTION("""COMPUTED_VALUE"""),"")</f>
        <v/>
      </c>
      <c r="S1082" s="4" t="str">
        <f>IFERROR(__xludf.DUMMYFUNCTION("""COMPUTED_VALUE"""),"")</f>
        <v/>
      </c>
      <c r="T1082" s="4" t="str">
        <f>IFERROR(__xludf.DUMMYFUNCTION("""COMPUTED_VALUE"""),"")</f>
        <v/>
      </c>
      <c r="U1082" s="4" t="str">
        <f>IFERROR(__xludf.DUMMYFUNCTION("""COMPUTED_VALUE"""),"")</f>
        <v/>
      </c>
      <c r="V1082" s="4" t="str">
        <f>IFERROR(__xludf.DUMMYFUNCTION("""COMPUTED_VALUE"""),"")</f>
        <v/>
      </c>
      <c r="W1082" s="4" t="str">
        <f>IFERROR(__xludf.DUMMYFUNCTION("""COMPUTED_VALUE"""),"")</f>
        <v/>
      </c>
      <c r="X1082" s="4" t="str">
        <f>IFERROR(__xludf.DUMMYFUNCTION("""COMPUTED_VALUE"""),"")</f>
        <v/>
      </c>
      <c r="Y1082" s="4" t="str">
        <f>IFERROR(__xludf.DUMMYFUNCTION("""COMPUTED_VALUE"""),"")</f>
        <v/>
      </c>
    </row>
    <row r="1083">
      <c r="A1083" s="4" t="str">
        <f>IFERROR(__xludf.DUMMYFUNCTION("""COMPUTED_VALUE"""),"1686 - Channel")</f>
        <v>1686 - Channel</v>
      </c>
      <c r="B1083" s="4" t="str">
        <f>IFERROR(__xludf.DUMMYFUNCTION("""COMPUTED_VALUE"""),"Channel 4")</f>
        <v>Channel 4</v>
      </c>
      <c r="C1083" s="4" t="str">
        <f>IFERROR(__xludf.DUMMYFUNCTION("""COMPUTED_VALUE"""),"Day 3 - 25/06")</f>
        <v>Day 3 - 25/06</v>
      </c>
      <c r="D1083" s="6">
        <f>IFERROR(__xludf.DUMMYFUNCTION("""COMPUTED_VALUE"""),0.4178703703703704)</f>
        <v>0.4178703704</v>
      </c>
      <c r="E1083" s="6">
        <f>IFERROR(__xludf.DUMMYFUNCTION("""COMPUTED_VALUE"""),3.4722222222222224E-4)</f>
        <v>0.0003472222222</v>
      </c>
      <c r="F1083" s="6">
        <f>IFERROR(__xludf.DUMMYFUNCTION("""COMPUTED_VALUE"""),0.4182175925925926)</f>
        <v>0.4182175926</v>
      </c>
      <c r="G1083" s="4" t="str">
        <f>IFERROR(__xludf.DUMMYFUNCTION("""COMPUTED_VALUE"""),"")</f>
        <v/>
      </c>
      <c r="H1083" s="4" t="str">
        <f>IFERROR(__xludf.DUMMYFUNCTION("""COMPUTED_VALUE"""),"")</f>
        <v/>
      </c>
      <c r="I1083" s="4" t="str">
        <f>IFERROR(__xludf.DUMMYFUNCTION("""COMPUTED_VALUE"""),"")</f>
        <v/>
      </c>
      <c r="J1083" s="4" t="str">
        <f>IFERROR(__xludf.DUMMYFUNCTION("""COMPUTED_VALUE"""),"")</f>
        <v/>
      </c>
      <c r="K1083" s="4" t="str">
        <f>IFERROR(__xludf.DUMMYFUNCTION("""COMPUTED_VALUE"""),"Talk Intro")</f>
        <v>Talk Intro</v>
      </c>
      <c r="L1083" s="4" t="str">
        <f>IFERROR(__xludf.DUMMYFUNCTION("""COMPUTED_VALUE"""),"")</f>
        <v/>
      </c>
      <c r="M1083" s="4" t="str">
        <f>IFERROR(__xludf.DUMMYFUNCTION("""COMPUTED_VALUE"""),"MC Intro")</f>
        <v>MC Intro</v>
      </c>
      <c r="N1083" s="4" t="str">
        <f>IFERROR(__xludf.DUMMYFUNCTION("""COMPUTED_VALUE"""),"")</f>
        <v/>
      </c>
      <c r="O1083" s="4" t="str">
        <f>IFERROR(__xludf.DUMMYFUNCTION("""COMPUTED_VALUE"""),"")</f>
        <v/>
      </c>
      <c r="P1083" s="4" t="str">
        <f>IFERROR(__xludf.DUMMYFUNCTION("""COMPUTED_VALUE"""),"")</f>
        <v/>
      </c>
      <c r="Q1083" s="4" t="str">
        <f>IFERROR(__xludf.DUMMYFUNCTION("""COMPUTED_VALUE"""),"")</f>
        <v/>
      </c>
      <c r="R1083" s="4" t="str">
        <f>IFERROR(__xludf.DUMMYFUNCTION("""COMPUTED_VALUE"""),"")</f>
        <v/>
      </c>
      <c r="S1083" s="4" t="str">
        <f>IFERROR(__xludf.DUMMYFUNCTION("""COMPUTED_VALUE"""),"")</f>
        <v/>
      </c>
      <c r="T1083" s="4" t="str">
        <f>IFERROR(__xludf.DUMMYFUNCTION("""COMPUTED_VALUE"""),"")</f>
        <v/>
      </c>
      <c r="U1083" s="4" t="str">
        <f>IFERROR(__xludf.DUMMYFUNCTION("""COMPUTED_VALUE"""),"")</f>
        <v/>
      </c>
      <c r="V1083" s="4" t="str">
        <f>IFERROR(__xludf.DUMMYFUNCTION("""COMPUTED_VALUE"""),"")</f>
        <v/>
      </c>
      <c r="W1083" s="4" t="str">
        <f>IFERROR(__xludf.DUMMYFUNCTION("""COMPUTED_VALUE"""),"")</f>
        <v/>
      </c>
      <c r="X1083" s="4" t="str">
        <f>IFERROR(__xludf.DUMMYFUNCTION("""COMPUTED_VALUE"""),"")</f>
        <v/>
      </c>
      <c r="Y1083" s="4" t="str">
        <f>IFERROR(__xludf.DUMMYFUNCTION("""COMPUTED_VALUE"""),"")</f>
        <v/>
      </c>
    </row>
    <row r="1084">
      <c r="A1084" s="4" t="str">
        <f>IFERROR(__xludf.DUMMYFUNCTION("""COMPUTED_VALUE"""),"1687 - Channel")</f>
        <v>1687 - Channel</v>
      </c>
      <c r="B1084" s="4" t="str">
        <f>IFERROR(__xludf.DUMMYFUNCTION("""COMPUTED_VALUE"""),"Channel 4")</f>
        <v>Channel 4</v>
      </c>
      <c r="C1084" s="4" t="str">
        <f>IFERROR(__xludf.DUMMYFUNCTION("""COMPUTED_VALUE"""),"Day 3 - 25/06")</f>
        <v>Day 3 - 25/06</v>
      </c>
      <c r="D1084" s="6">
        <f>IFERROR(__xludf.DUMMYFUNCTION("""COMPUTED_VALUE"""),0.4182175925925926)</f>
        <v>0.4182175926</v>
      </c>
      <c r="E1084" s="6">
        <f>IFERROR(__xludf.DUMMYFUNCTION("""COMPUTED_VALUE"""),0.009189814814814816)</f>
        <v>0.009189814815</v>
      </c>
      <c r="F1084" s="6">
        <f>IFERROR(__xludf.DUMMYFUNCTION("""COMPUTED_VALUE"""),0.4274074074074074)</f>
        <v>0.4274074074</v>
      </c>
      <c r="G1084" s="4" t="str">
        <f>IFERROR(__xludf.DUMMYFUNCTION("""COMPUTED_VALUE"""),"")</f>
        <v/>
      </c>
      <c r="H1084" s="4" t="str">
        <f>IFERROR(__xludf.DUMMYFUNCTION("""COMPUTED_VALUE"""),"")</f>
        <v/>
      </c>
      <c r="I1084" s="4" t="str">
        <f>IFERROR(__xludf.DUMMYFUNCTION("""COMPUTED_VALUE"""),"")</f>
        <v/>
      </c>
      <c r="J1084" s="4" t="str">
        <f>IFERROR(__xludf.DUMMYFUNCTION("""COMPUTED_VALUE"""),"")</f>
        <v/>
      </c>
      <c r="K1084" s="4" t="str">
        <f>IFERROR(__xludf.DUMMYFUNCTION("""COMPUTED_VALUE"""),"Super Fireside")</f>
        <v>Super Fireside</v>
      </c>
      <c r="L1084" s="4" t="str">
        <f>IFERROR(__xludf.DUMMYFUNCTION("""COMPUTED_VALUE"""),"")</f>
        <v/>
      </c>
      <c r="M1084" s="4" t="str">
        <f>IFERROR(__xludf.DUMMYFUNCTION("""COMPUTED_VALUE"""),"How to win the digital news war")</f>
        <v>How to win the digital news war</v>
      </c>
      <c r="N1084" s="4" t="str">
        <f>IFERROR(__xludf.DUMMYFUNCTION("""COMPUTED_VALUE"""),"Nicholas Carlson, Insider")</f>
        <v>Nicholas Carlson, Insider</v>
      </c>
      <c r="O1084" s="4" t="str">
        <f>IFERROR(__xludf.DUMMYFUNCTION("""COMPUTED_VALUE"""),"Jay Yarow, CNBC")</f>
        <v>Jay Yarow, CNBC</v>
      </c>
      <c r="P1084" s="4" t="str">
        <f>IFERROR(__xludf.DUMMYFUNCTION("""COMPUTED_VALUE"""),"")</f>
        <v/>
      </c>
      <c r="Q1084" s="4" t="str">
        <f>IFERROR(__xludf.DUMMYFUNCTION("""COMPUTED_VALUE"""),"")</f>
        <v/>
      </c>
      <c r="R1084" s="4" t="str">
        <f>IFERROR(__xludf.DUMMYFUNCTION("""COMPUTED_VALUE"""),"Eric Schurenberg, Inc. &amp; Fast Company")</f>
        <v>Eric Schurenberg, Inc. &amp; Fast Company</v>
      </c>
      <c r="S1084" s="4" t="str">
        <f>IFERROR(__xludf.DUMMYFUNCTION("""COMPUTED_VALUE"""),"In the face of continuously shrinking attention spans, how do you keep your views and clicks high while not compromising your content? ")</f>
        <v>In the face of continuously shrinking attention spans, how do you keep your views and clicks high while not compromising your content? </v>
      </c>
      <c r="T1084" s="4" t="str">
        <f>IFERROR(__xludf.DUMMYFUNCTION("""COMPUTED_VALUE"""),"NON-KEYNOTE 9 - COMPLETE")</f>
        <v>NON-KEYNOTE 9 - COMPLETE</v>
      </c>
      <c r="U1084" s="4" t="str">
        <f>IFERROR(__xludf.DUMMYFUNCTION("""COMPUTED_VALUE"""),"")</f>
        <v/>
      </c>
      <c r="V1084" s="4" t="str">
        <f>IFERROR(__xludf.DUMMYFUNCTION("""COMPUTED_VALUE"""),"")</f>
        <v/>
      </c>
      <c r="W1084" s="4" t="str">
        <f>IFERROR(__xludf.DUMMYFUNCTION("""COMPUTED_VALUE"""),"COMPLETE")</f>
        <v>COMPLETE</v>
      </c>
      <c r="X1084" s="4" t="str">
        <f>IFERROR(__xludf.DUMMYFUNCTION("""COMPUTED_VALUE"""),"")</f>
        <v/>
      </c>
      <c r="Y1084" s="4" t="str">
        <f>IFERROR(__xludf.DUMMYFUNCTION("""COMPUTED_VALUE"""),"")</f>
        <v/>
      </c>
    </row>
    <row r="1085">
      <c r="A1085" s="4" t="str">
        <f>IFERROR(__xludf.DUMMYFUNCTION("""COMPUTED_VALUE"""),"1688 - Channel")</f>
        <v>1688 - Channel</v>
      </c>
      <c r="B1085" s="4" t="str">
        <f>IFERROR(__xludf.DUMMYFUNCTION("""COMPUTED_VALUE"""),"Channel 4")</f>
        <v>Channel 4</v>
      </c>
      <c r="C1085" s="4" t="str">
        <f>IFERROR(__xludf.DUMMYFUNCTION("""COMPUTED_VALUE"""),"Day 3 - 25/06")</f>
        <v>Day 3 - 25/06</v>
      </c>
      <c r="D1085" s="6">
        <f>IFERROR(__xludf.DUMMYFUNCTION("""COMPUTED_VALUE"""),0.4274074074074074)</f>
        <v>0.4274074074</v>
      </c>
      <c r="E1085" s="6">
        <f>IFERROR(__xludf.DUMMYFUNCTION("""COMPUTED_VALUE"""),0.0012037037037037038)</f>
        <v>0.001203703704</v>
      </c>
      <c r="F1085" s="6">
        <f>IFERROR(__xludf.DUMMYFUNCTION("""COMPUTED_VALUE"""),0.4286111111111111)</f>
        <v>0.4286111111</v>
      </c>
      <c r="G1085" s="4" t="str">
        <f>IFERROR(__xludf.DUMMYFUNCTION("""COMPUTED_VALUE"""),"")</f>
        <v/>
      </c>
      <c r="H1085" s="4" t="str">
        <f>IFERROR(__xludf.DUMMYFUNCTION("""COMPUTED_VALUE"""),"")</f>
        <v/>
      </c>
      <c r="I1085" s="4" t="str">
        <f>IFERROR(__xludf.DUMMYFUNCTION("""COMPUTED_VALUE"""),"")</f>
        <v/>
      </c>
      <c r="J1085" s="4" t="str">
        <f>IFERROR(__xludf.DUMMYFUNCTION("""COMPUTED_VALUE"""),"")</f>
        <v/>
      </c>
      <c r="K1085" s="4" t="str">
        <f>IFERROR(__xludf.DUMMYFUNCTION("""COMPUTED_VALUE"""),"Web Summit Trailer - full")</f>
        <v>Web Summit Trailer - full</v>
      </c>
      <c r="L1085" s="4" t="str">
        <f>IFERROR(__xludf.DUMMYFUNCTION("""COMPUTED_VALUE"""),"")</f>
        <v/>
      </c>
      <c r="M1085" s="4" t="str">
        <f>IFERROR(__xludf.DUMMYFUNCTION("""COMPUTED_VALUE"""),"Collision From Home Promo")</f>
        <v>Collision From Home Promo</v>
      </c>
      <c r="N1085" s="4" t="str">
        <f>IFERROR(__xludf.DUMMYFUNCTION("""COMPUTED_VALUE"""),"")</f>
        <v/>
      </c>
      <c r="O1085" s="4" t="str">
        <f>IFERROR(__xludf.DUMMYFUNCTION("""COMPUTED_VALUE"""),"")</f>
        <v/>
      </c>
      <c r="P1085" s="4" t="str">
        <f>IFERROR(__xludf.DUMMYFUNCTION("""COMPUTED_VALUE"""),"")</f>
        <v/>
      </c>
      <c r="Q1085" s="4" t="str">
        <f>IFERROR(__xludf.DUMMYFUNCTION("""COMPUTED_VALUE"""),"")</f>
        <v/>
      </c>
      <c r="R1085" s="4" t="str">
        <f>IFERROR(__xludf.DUMMYFUNCTION("""COMPUTED_VALUE"""),"")</f>
        <v/>
      </c>
      <c r="S1085" s="4" t="str">
        <f>IFERROR(__xludf.DUMMYFUNCTION("""COMPUTED_VALUE"""),"")</f>
        <v/>
      </c>
      <c r="T1085" s="4" t="str">
        <f>IFERROR(__xludf.DUMMYFUNCTION("""COMPUTED_VALUE"""),"")</f>
        <v/>
      </c>
      <c r="U1085" s="4" t="str">
        <f>IFERROR(__xludf.DUMMYFUNCTION("""COMPUTED_VALUE"""),"")</f>
        <v/>
      </c>
      <c r="V1085" s="4" t="str">
        <f>IFERROR(__xludf.DUMMYFUNCTION("""COMPUTED_VALUE"""),"")</f>
        <v/>
      </c>
      <c r="W1085" s="4" t="str">
        <f>IFERROR(__xludf.DUMMYFUNCTION("""COMPUTED_VALUE"""),"")</f>
        <v/>
      </c>
      <c r="X1085" s="4" t="str">
        <f>IFERROR(__xludf.DUMMYFUNCTION("""COMPUTED_VALUE"""),"")</f>
        <v/>
      </c>
      <c r="Y1085" s="4" t="str">
        <f>IFERROR(__xludf.DUMMYFUNCTION("""COMPUTED_VALUE"""),"")</f>
        <v/>
      </c>
    </row>
    <row r="1086">
      <c r="A1086" s="4" t="str">
        <f>IFERROR(__xludf.DUMMYFUNCTION("""COMPUTED_VALUE"""),"1689 - Channel")</f>
        <v>1689 - Channel</v>
      </c>
      <c r="B1086" s="4" t="str">
        <f>IFERROR(__xludf.DUMMYFUNCTION("""COMPUTED_VALUE"""),"Channel 4")</f>
        <v>Channel 4</v>
      </c>
      <c r="C1086" s="4" t="str">
        <f>IFERROR(__xludf.DUMMYFUNCTION("""COMPUTED_VALUE"""),"Day 3 - 25/06")</f>
        <v>Day 3 - 25/06</v>
      </c>
      <c r="D1086" s="6">
        <f>IFERROR(__xludf.DUMMYFUNCTION("""COMPUTED_VALUE"""),0.4286111111111111)</f>
        <v>0.4286111111</v>
      </c>
      <c r="E1086" s="6">
        <f>IFERROR(__xludf.DUMMYFUNCTION("""COMPUTED_VALUE"""),3.4722222222222224E-4)</f>
        <v>0.0003472222222</v>
      </c>
      <c r="F1086" s="6">
        <f>IFERROR(__xludf.DUMMYFUNCTION("""COMPUTED_VALUE"""),0.42895833333333333)</f>
        <v>0.4289583333</v>
      </c>
      <c r="G1086" s="4" t="str">
        <f>IFERROR(__xludf.DUMMYFUNCTION("""COMPUTED_VALUE"""),"")</f>
        <v/>
      </c>
      <c r="H1086" s="4" t="str">
        <f>IFERROR(__xludf.DUMMYFUNCTION("""COMPUTED_VALUE"""),"")</f>
        <v/>
      </c>
      <c r="I1086" s="4" t="str">
        <f>IFERROR(__xludf.DUMMYFUNCTION("""COMPUTED_VALUE"""),"")</f>
        <v/>
      </c>
      <c r="J1086" s="4" t="str">
        <f>IFERROR(__xludf.DUMMYFUNCTION("""COMPUTED_VALUE"""),"")</f>
        <v/>
      </c>
      <c r="K1086" s="4" t="str">
        <f>IFERROR(__xludf.DUMMYFUNCTION("""COMPUTED_VALUE"""),"Talk Intro")</f>
        <v>Talk Intro</v>
      </c>
      <c r="L1086" s="4" t="str">
        <f>IFERROR(__xludf.DUMMYFUNCTION("""COMPUTED_VALUE"""),"")</f>
        <v/>
      </c>
      <c r="M1086" s="4" t="str">
        <f>IFERROR(__xludf.DUMMYFUNCTION("""COMPUTED_VALUE"""),"MC Intro")</f>
        <v>MC Intro</v>
      </c>
      <c r="N1086" s="4" t="str">
        <f>IFERROR(__xludf.DUMMYFUNCTION("""COMPUTED_VALUE"""),"")</f>
        <v/>
      </c>
      <c r="O1086" s="4" t="str">
        <f>IFERROR(__xludf.DUMMYFUNCTION("""COMPUTED_VALUE"""),"")</f>
        <v/>
      </c>
      <c r="P1086" s="4" t="str">
        <f>IFERROR(__xludf.DUMMYFUNCTION("""COMPUTED_VALUE"""),"")</f>
        <v/>
      </c>
      <c r="Q1086" s="4" t="str">
        <f>IFERROR(__xludf.DUMMYFUNCTION("""COMPUTED_VALUE"""),"")</f>
        <v/>
      </c>
      <c r="R1086" s="4" t="str">
        <f>IFERROR(__xludf.DUMMYFUNCTION("""COMPUTED_VALUE"""),"")</f>
        <v/>
      </c>
      <c r="S1086" s="4" t="str">
        <f>IFERROR(__xludf.DUMMYFUNCTION("""COMPUTED_VALUE"""),"")</f>
        <v/>
      </c>
      <c r="T1086" s="4" t="str">
        <f>IFERROR(__xludf.DUMMYFUNCTION("""COMPUTED_VALUE"""),"")</f>
        <v/>
      </c>
      <c r="U1086" s="4" t="str">
        <f>IFERROR(__xludf.DUMMYFUNCTION("""COMPUTED_VALUE"""),"")</f>
        <v/>
      </c>
      <c r="V1086" s="4" t="str">
        <f>IFERROR(__xludf.DUMMYFUNCTION("""COMPUTED_VALUE"""),"")</f>
        <v/>
      </c>
      <c r="W1086" s="4" t="str">
        <f>IFERROR(__xludf.DUMMYFUNCTION("""COMPUTED_VALUE"""),"")</f>
        <v/>
      </c>
      <c r="X1086" s="4" t="str">
        <f>IFERROR(__xludf.DUMMYFUNCTION("""COMPUTED_VALUE"""),"")</f>
        <v/>
      </c>
      <c r="Y1086" s="4" t="str">
        <f>IFERROR(__xludf.DUMMYFUNCTION("""COMPUTED_VALUE"""),"")</f>
        <v/>
      </c>
    </row>
    <row r="1087">
      <c r="A1087" s="4" t="str">
        <f>IFERROR(__xludf.DUMMYFUNCTION("""COMPUTED_VALUE"""),"1690 - Channel")</f>
        <v>1690 - Channel</v>
      </c>
      <c r="B1087" s="4" t="str">
        <f>IFERROR(__xludf.DUMMYFUNCTION("""COMPUTED_VALUE"""),"Channel 4")</f>
        <v>Channel 4</v>
      </c>
      <c r="C1087" s="4" t="str">
        <f>IFERROR(__xludf.DUMMYFUNCTION("""COMPUTED_VALUE"""),"Day 3 - 25/06")</f>
        <v>Day 3 - 25/06</v>
      </c>
      <c r="D1087" s="6">
        <f>IFERROR(__xludf.DUMMYFUNCTION("""COMPUTED_VALUE"""),0.42895833333333333)</f>
        <v>0.4289583333</v>
      </c>
      <c r="E1087" s="6">
        <f>IFERROR(__xludf.DUMMYFUNCTION("""COMPUTED_VALUE"""),0.010416666666666666)</f>
        <v>0.01041666667</v>
      </c>
      <c r="F1087" s="6">
        <f>IFERROR(__xludf.DUMMYFUNCTION("""COMPUTED_VALUE"""),0.439375)</f>
        <v>0.439375</v>
      </c>
      <c r="G1087" s="4" t="str">
        <f>IFERROR(__xludf.DUMMYFUNCTION("""COMPUTED_VALUE"""),"")</f>
        <v/>
      </c>
      <c r="H1087" s="4" t="str">
        <f>IFERROR(__xludf.DUMMYFUNCTION("""COMPUTED_VALUE"""),"")</f>
        <v/>
      </c>
      <c r="I1087" s="4" t="str">
        <f>IFERROR(__xludf.DUMMYFUNCTION("""COMPUTED_VALUE"""),"")</f>
        <v/>
      </c>
      <c r="J1087" s="4" t="str">
        <f>IFERROR(__xludf.DUMMYFUNCTION("""COMPUTED_VALUE"""),"")</f>
        <v/>
      </c>
      <c r="K1087" s="4" t="str">
        <f>IFERROR(__xludf.DUMMYFUNCTION("""COMPUTED_VALUE"""),"Panel")</f>
        <v>Panel</v>
      </c>
      <c r="L1087" s="4" t="str">
        <f>IFERROR(__xludf.DUMMYFUNCTION("""COMPUTED_VALUE"""),"")</f>
        <v/>
      </c>
      <c r="M1087" s="4" t="str">
        <f>IFERROR(__xludf.DUMMYFUNCTION("""COMPUTED_VALUE"""),"It's all about the story")</f>
        <v>It's all about the story</v>
      </c>
      <c r="N1087" s="4" t="str">
        <f>IFERROR(__xludf.DUMMYFUNCTION("""COMPUTED_VALUE"""),"Jake Brennan, Disgraceland")</f>
        <v>Jake Brennan, Disgraceland</v>
      </c>
      <c r="O1087" s="4" t="str">
        <f>IFERROR(__xludf.DUMMYFUNCTION("""COMPUTED_VALUE"""),"Donald Albright, Tenderfoot TV")</f>
        <v>Donald Albright, Tenderfoot TV</v>
      </c>
      <c r="P1087" s="4" t="str">
        <f>IFERROR(__xludf.DUMMYFUNCTION("""COMPUTED_VALUE"""),"Payne Lindsey, Tenderfoot TV")</f>
        <v>Payne Lindsey, Tenderfoot TV</v>
      </c>
      <c r="Q1087" s="4" t="str">
        <f>IFERROR(__xludf.DUMMYFUNCTION("""COMPUTED_VALUE"""),"")</f>
        <v/>
      </c>
      <c r="R1087" s="4" t="str">
        <f>IFERROR(__xludf.DUMMYFUNCTION("""COMPUTED_VALUE"""),"Lara O'Reilly, Digiday")</f>
        <v>Lara O'Reilly, Digiday</v>
      </c>
      <c r="S1087" s="4" t="str">
        <f>IFERROR(__xludf.DUMMYFUNCTION("""COMPUTED_VALUE"""),"From the inception of the creative idea, to the nuts and bolts of making content, podcast company Tenderfoot TV strive to accomplish one goal, to make something impactful,.")</f>
        <v>From the inception of the creative idea, to the nuts and bolts of making content, podcast company Tenderfoot TV strive to accomplish one goal, to make something impactful,.</v>
      </c>
      <c r="T1087" s="4" t="str">
        <f>IFERROR(__xludf.DUMMYFUNCTION("""COMPUTED_VALUE"""),"NON-KEYNOTE 9 - COMPLETE")</f>
        <v>NON-KEYNOTE 9 - COMPLETE</v>
      </c>
      <c r="U1087" s="4" t="str">
        <f>IFERROR(__xludf.DUMMYFUNCTION("""COMPUTED_VALUE"""),"")</f>
        <v/>
      </c>
      <c r="V1087" s="4" t="str">
        <f>IFERROR(__xludf.DUMMYFUNCTION("""COMPUTED_VALUE"""),"")</f>
        <v/>
      </c>
      <c r="W1087" s="4" t="str">
        <f>IFERROR(__xludf.DUMMYFUNCTION("""COMPUTED_VALUE"""),"COMPLETE")</f>
        <v>COMPLETE</v>
      </c>
      <c r="X1087" s="4" t="str">
        <f>IFERROR(__xludf.DUMMYFUNCTION("""COMPUTED_VALUE"""),"")</f>
        <v/>
      </c>
      <c r="Y1087" s="4" t="str">
        <f>IFERROR(__xludf.DUMMYFUNCTION("""COMPUTED_VALUE"""),"")</f>
        <v/>
      </c>
    </row>
    <row r="1088">
      <c r="A1088" s="4" t="str">
        <f>IFERROR(__xludf.DUMMYFUNCTION("""COMPUTED_VALUE"""),"1691 - Channel")</f>
        <v>1691 - Channel</v>
      </c>
      <c r="B1088" s="4" t="str">
        <f>IFERROR(__xludf.DUMMYFUNCTION("""COMPUTED_VALUE"""),"Channel 4")</f>
        <v>Channel 4</v>
      </c>
      <c r="C1088" s="4" t="str">
        <f>IFERROR(__xludf.DUMMYFUNCTION("""COMPUTED_VALUE"""),"Day 3 - 25/06")</f>
        <v>Day 3 - 25/06</v>
      </c>
      <c r="D1088" s="6">
        <f>IFERROR(__xludf.DUMMYFUNCTION("""COMPUTED_VALUE"""),0.439375)</f>
        <v>0.439375</v>
      </c>
      <c r="E1088" s="6">
        <f>IFERROR(__xludf.DUMMYFUNCTION("""COMPUTED_VALUE"""),0.0012037037037037038)</f>
        <v>0.001203703704</v>
      </c>
      <c r="F1088" s="6">
        <f>IFERROR(__xludf.DUMMYFUNCTION("""COMPUTED_VALUE"""),0.4405787037037037)</f>
        <v>0.4405787037</v>
      </c>
      <c r="G1088" s="4" t="str">
        <f>IFERROR(__xludf.DUMMYFUNCTION("""COMPUTED_VALUE"""),"")</f>
        <v/>
      </c>
      <c r="H1088" s="4" t="str">
        <f>IFERROR(__xludf.DUMMYFUNCTION("""COMPUTED_VALUE"""),"")</f>
        <v/>
      </c>
      <c r="I1088" s="4" t="str">
        <f>IFERROR(__xludf.DUMMYFUNCTION("""COMPUTED_VALUE"""),"")</f>
        <v/>
      </c>
      <c r="J1088" s="4" t="str">
        <f>IFERROR(__xludf.DUMMYFUNCTION("""COMPUTED_VALUE"""),"")</f>
        <v/>
      </c>
      <c r="K1088" s="4" t="str">
        <f>IFERROR(__xludf.DUMMYFUNCTION("""COMPUTED_VALUE"""),"Web Summit Trailer - full")</f>
        <v>Web Summit Trailer - full</v>
      </c>
      <c r="L1088" s="4" t="str">
        <f>IFERROR(__xludf.DUMMYFUNCTION("""COMPUTED_VALUE"""),"")</f>
        <v/>
      </c>
      <c r="M1088" s="4" t="str">
        <f>IFERROR(__xludf.DUMMYFUNCTION("""COMPUTED_VALUE"""),"Collision From Home Promo")</f>
        <v>Collision From Home Promo</v>
      </c>
      <c r="N1088" s="4" t="str">
        <f>IFERROR(__xludf.DUMMYFUNCTION("""COMPUTED_VALUE"""),"")</f>
        <v/>
      </c>
      <c r="O1088" s="4" t="str">
        <f>IFERROR(__xludf.DUMMYFUNCTION("""COMPUTED_VALUE"""),"")</f>
        <v/>
      </c>
      <c r="P1088" s="4" t="str">
        <f>IFERROR(__xludf.DUMMYFUNCTION("""COMPUTED_VALUE"""),"")</f>
        <v/>
      </c>
      <c r="Q1088" s="4" t="str">
        <f>IFERROR(__xludf.DUMMYFUNCTION("""COMPUTED_VALUE"""),"")</f>
        <v/>
      </c>
      <c r="R1088" s="4" t="str">
        <f>IFERROR(__xludf.DUMMYFUNCTION("""COMPUTED_VALUE"""),"")</f>
        <v/>
      </c>
      <c r="S1088" s="4" t="str">
        <f>IFERROR(__xludf.DUMMYFUNCTION("""COMPUTED_VALUE"""),"")</f>
        <v/>
      </c>
      <c r="T1088" s="4" t="str">
        <f>IFERROR(__xludf.DUMMYFUNCTION("""COMPUTED_VALUE"""),"")</f>
        <v/>
      </c>
      <c r="U1088" s="4" t="str">
        <f>IFERROR(__xludf.DUMMYFUNCTION("""COMPUTED_VALUE"""),"")</f>
        <v/>
      </c>
      <c r="V1088" s="4" t="str">
        <f>IFERROR(__xludf.DUMMYFUNCTION("""COMPUTED_VALUE"""),"")</f>
        <v/>
      </c>
      <c r="W1088" s="4" t="str">
        <f>IFERROR(__xludf.DUMMYFUNCTION("""COMPUTED_VALUE"""),"")</f>
        <v/>
      </c>
      <c r="X1088" s="4" t="str">
        <f>IFERROR(__xludf.DUMMYFUNCTION("""COMPUTED_VALUE"""),"")</f>
        <v/>
      </c>
      <c r="Y1088" s="4" t="str">
        <f>IFERROR(__xludf.DUMMYFUNCTION("""COMPUTED_VALUE"""),"")</f>
        <v/>
      </c>
    </row>
    <row r="1089">
      <c r="A1089" s="4" t="str">
        <f>IFERROR(__xludf.DUMMYFUNCTION("""COMPUTED_VALUE"""),"1148 - Channel")</f>
        <v>1148 - Channel</v>
      </c>
      <c r="B1089" s="4" t="str">
        <f>IFERROR(__xludf.DUMMYFUNCTION("""COMPUTED_VALUE"""),"Channel 4")</f>
        <v>Channel 4</v>
      </c>
      <c r="C1089" s="4" t="str">
        <f>IFERROR(__xludf.DUMMYFUNCTION("""COMPUTED_VALUE"""),"Day 3 - 25/06")</f>
        <v>Day 3 - 25/06</v>
      </c>
      <c r="D1089" s="6">
        <f>IFERROR(__xludf.DUMMYFUNCTION("""COMPUTED_VALUE"""),0.4405787037037037)</f>
        <v>0.4405787037</v>
      </c>
      <c r="E1089" s="6">
        <f>IFERROR(__xludf.DUMMYFUNCTION("""COMPUTED_VALUE"""),3.4722222222222224E-4)</f>
        <v>0.0003472222222</v>
      </c>
      <c r="F1089" s="6">
        <f>IFERROR(__xludf.DUMMYFUNCTION("""COMPUTED_VALUE"""),0.44092592592592594)</f>
        <v>0.4409259259</v>
      </c>
      <c r="G1089" s="4" t="str">
        <f>IFERROR(__xludf.DUMMYFUNCTION("""COMPUTED_VALUE"""),"")</f>
        <v/>
      </c>
      <c r="H1089" s="4" t="str">
        <f>IFERROR(__xludf.DUMMYFUNCTION("""COMPUTED_VALUE"""),"")</f>
        <v/>
      </c>
      <c r="I1089" s="4" t="str">
        <f>IFERROR(__xludf.DUMMYFUNCTION("""COMPUTED_VALUE"""),"")</f>
        <v/>
      </c>
      <c r="J1089" s="4" t="str">
        <f>IFERROR(__xludf.DUMMYFUNCTION("""COMPUTED_VALUE"""),"")</f>
        <v/>
      </c>
      <c r="K1089" s="4" t="str">
        <f>IFERROR(__xludf.DUMMYFUNCTION("""COMPUTED_VALUE"""),"Talk Intro")</f>
        <v>Talk Intro</v>
      </c>
      <c r="L1089" s="4" t="str">
        <f>IFERROR(__xludf.DUMMYFUNCTION("""COMPUTED_VALUE"""),"")</f>
        <v/>
      </c>
      <c r="M1089" s="4" t="str">
        <f>IFERROR(__xludf.DUMMYFUNCTION("""COMPUTED_VALUE"""),"MC Intro")</f>
        <v>MC Intro</v>
      </c>
      <c r="N1089" s="4" t="str">
        <f>IFERROR(__xludf.DUMMYFUNCTION("""COMPUTED_VALUE"""),"")</f>
        <v/>
      </c>
      <c r="O1089" s="4" t="str">
        <f>IFERROR(__xludf.DUMMYFUNCTION("""COMPUTED_VALUE"""),"")</f>
        <v/>
      </c>
      <c r="P1089" s="4" t="str">
        <f>IFERROR(__xludf.DUMMYFUNCTION("""COMPUTED_VALUE"""),"")</f>
        <v/>
      </c>
      <c r="Q1089" s="4" t="str">
        <f>IFERROR(__xludf.DUMMYFUNCTION("""COMPUTED_VALUE"""),"")</f>
        <v/>
      </c>
      <c r="R1089" s="4" t="str">
        <f>IFERROR(__xludf.DUMMYFUNCTION("""COMPUTED_VALUE"""),"")</f>
        <v/>
      </c>
      <c r="S1089" s="4" t="str">
        <f>IFERROR(__xludf.DUMMYFUNCTION("""COMPUTED_VALUE"""),"")</f>
        <v/>
      </c>
      <c r="T1089" s="4" t="str">
        <f>IFERROR(__xludf.DUMMYFUNCTION("""COMPUTED_VALUE"""),"")</f>
        <v/>
      </c>
      <c r="U1089" s="4" t="str">
        <f>IFERROR(__xludf.DUMMYFUNCTION("""COMPUTED_VALUE"""),"")</f>
        <v/>
      </c>
      <c r="V1089" s="4" t="str">
        <f>IFERROR(__xludf.DUMMYFUNCTION("""COMPUTED_VALUE"""),"")</f>
        <v/>
      </c>
      <c r="W1089" s="4" t="str">
        <f>IFERROR(__xludf.DUMMYFUNCTION("""COMPUTED_VALUE"""),"")</f>
        <v/>
      </c>
      <c r="X1089" s="4" t="str">
        <f>IFERROR(__xludf.DUMMYFUNCTION("""COMPUTED_VALUE"""),"")</f>
        <v/>
      </c>
      <c r="Y1089" s="4" t="str">
        <f>IFERROR(__xludf.DUMMYFUNCTION("""COMPUTED_VALUE"""),"")</f>
        <v/>
      </c>
    </row>
    <row r="1090">
      <c r="A1090" s="4" t="str">
        <f>IFERROR(__xludf.DUMMYFUNCTION("""COMPUTED_VALUE"""),"1149 - Channel")</f>
        <v>1149 - Channel</v>
      </c>
      <c r="B1090" s="4" t="str">
        <f>IFERROR(__xludf.DUMMYFUNCTION("""COMPUTED_VALUE"""),"Channel 4")</f>
        <v>Channel 4</v>
      </c>
      <c r="C1090" s="4" t="str">
        <f>IFERROR(__xludf.DUMMYFUNCTION("""COMPUTED_VALUE"""),"Day 3 - 25/06")</f>
        <v>Day 3 - 25/06</v>
      </c>
      <c r="D1090" s="6">
        <f>IFERROR(__xludf.DUMMYFUNCTION("""COMPUTED_VALUE"""),0.44092592592592594)</f>
        <v>0.4409259259</v>
      </c>
      <c r="E1090" s="6">
        <f>IFERROR(__xludf.DUMMYFUNCTION("""COMPUTED_VALUE"""),0.03125)</f>
        <v>0.03125</v>
      </c>
      <c r="F1090" s="6">
        <f>IFERROR(__xludf.DUMMYFUNCTION("""COMPUTED_VALUE"""),0.47217592592592594)</f>
        <v>0.4721759259</v>
      </c>
      <c r="G1090" s="4" t="str">
        <f>IFERROR(__xludf.DUMMYFUNCTION("""COMPUTED_VALUE"""),"Colm")</f>
        <v>Colm</v>
      </c>
      <c r="H1090" s="4" t="str">
        <f>IFERROR(__xludf.DUMMYFUNCTION("""COMPUTED_VALUE"""),"Stephen")</f>
        <v>Stephen</v>
      </c>
      <c r="I1090" s="4" t="str">
        <f>IFERROR(__xludf.DUMMYFUNCTION("""COMPUTED_VALUE"""),"Lucia H.")</f>
        <v>Lucia H.</v>
      </c>
      <c r="J1090" s="4" t="str">
        <f>IFERROR(__xludf.DUMMYFUNCTION("""COMPUTED_VALUE"""),"")</f>
        <v/>
      </c>
      <c r="K1090" s="4" t="str">
        <f>IFERROR(__xludf.DUMMYFUNCTION("""COMPUTED_VALUE"""),"Podcast")</f>
        <v>Podcast</v>
      </c>
      <c r="L1090" s="4" t="str">
        <f>IFERROR(__xludf.DUMMYFUNCTION("""COMPUTED_VALUE"""),"T- 2 - 08/06/2020")</f>
        <v>T- 2 - 08/06/2020</v>
      </c>
      <c r="M1090" s="4" t="str">
        <f>IFERROR(__xludf.DUMMYFUNCTION("""COMPUTED_VALUE"""),"In depth: Lily Cole")</f>
        <v>In depth: Lily Cole</v>
      </c>
      <c r="N1090" s="4" t="str">
        <f>IFERROR(__xludf.DUMMYFUNCTION("""COMPUTED_VALUE"""),"Lily Cole, Impossible")</f>
        <v>Lily Cole, Impossible</v>
      </c>
      <c r="O1090" s="4" t="str">
        <f>IFERROR(__xludf.DUMMYFUNCTION("""COMPUTED_VALUE"""),"")</f>
        <v/>
      </c>
      <c r="P1090" s="4" t="str">
        <f>IFERROR(__xludf.DUMMYFUNCTION("""COMPUTED_VALUE"""),"")</f>
        <v/>
      </c>
      <c r="Q1090" s="4" t="str">
        <f>IFERROR(__xludf.DUMMYFUNCTION("""COMPUTED_VALUE"""),"")</f>
        <v/>
      </c>
      <c r="R1090" s="4" t="str">
        <f>IFERROR(__xludf.DUMMYFUNCTION("""COMPUTED_VALUE"""),"Jade Scipioni, NBCUniversal")</f>
        <v>Jade Scipioni, NBCUniversal</v>
      </c>
      <c r="S1090" s="4" t="str">
        <f>IFERROR(__xludf.DUMMYFUNCTION("""COMPUTED_VALUE"""),"Lily Cole is an English model, actress and entrepreneur who, in 2009, was listed by Vogue Paris as one of the top 30 models of the 2000s. In this podcast, hear about her journey to the catwalk and to life after fashion, and the foundation of her innovatio"&amp;"n group and incubator, Impossible.")</f>
        <v>Lily Cole is an English model, actress and entrepreneur who, in 2009, was listed by Vogue Paris as one of the top 30 models of the 2000s. In this podcast, hear about her journey to the catwalk and to life after fashion, and the foundation of her innovation group and incubator, Impossible.</v>
      </c>
      <c r="T1090" s="4" t="str">
        <f>IFERROR(__xludf.DUMMYFUNCTION("""COMPUTED_VALUE"""),"NON-KEYNOTE 6 - Send Zoom calendar invite")</f>
        <v>NON-KEYNOTE 6 - Send Zoom calendar invite</v>
      </c>
      <c r="U1090" s="23">
        <f>IFERROR(__xludf.DUMMYFUNCTION("""COMPUTED_VALUE"""),43994.0)</f>
        <v>43994</v>
      </c>
      <c r="V1090" s="4" t="str">
        <f>IFERROR(__xludf.DUMMYFUNCTION("""COMPUTED_VALUE"""),"")</f>
        <v/>
      </c>
      <c r="W1090" s="4" t="str">
        <f>IFERROR(__xludf.DUMMYFUNCTION("""COMPUTED_VALUE"""),"")</f>
        <v/>
      </c>
      <c r="X1090" s="4" t="str">
        <f>IFERROR(__xludf.DUMMYFUNCTION("""COMPUTED_VALUE"""),"Colm")</f>
        <v>Colm</v>
      </c>
      <c r="Y1090" s="4" t="str">
        <f>IFERROR(__xludf.DUMMYFUNCTION("""COMPUTED_VALUE"""),"")</f>
        <v/>
      </c>
    </row>
    <row r="1091">
      <c r="A1091" s="4" t="str">
        <f>IFERROR(__xludf.DUMMYFUNCTION("""COMPUTED_VALUE"""),"1150 - Channel")</f>
        <v>1150 - Channel</v>
      </c>
      <c r="B1091" s="4" t="str">
        <f>IFERROR(__xludf.DUMMYFUNCTION("""COMPUTED_VALUE"""),"Channel 4")</f>
        <v>Channel 4</v>
      </c>
      <c r="C1091" s="4" t="str">
        <f>IFERROR(__xludf.DUMMYFUNCTION("""COMPUTED_VALUE"""),"Day 3 - 25/06")</f>
        <v>Day 3 - 25/06</v>
      </c>
      <c r="D1091" s="6">
        <f>IFERROR(__xludf.DUMMYFUNCTION("""COMPUTED_VALUE"""),0.47217592592592594)</f>
        <v>0.4721759259</v>
      </c>
      <c r="E1091" s="6">
        <f>IFERROR(__xludf.DUMMYFUNCTION("""COMPUTED_VALUE"""),0.001388888888888889)</f>
        <v>0.001388888889</v>
      </c>
      <c r="F1091" s="6">
        <f>IFERROR(__xludf.DUMMYFUNCTION("""COMPUTED_VALUE"""),0.4735648148148148)</f>
        <v>0.4735648148</v>
      </c>
      <c r="G1091" s="4" t="str">
        <f>IFERROR(__xludf.DUMMYFUNCTION("""COMPUTED_VALUE"""),"")</f>
        <v/>
      </c>
      <c r="H1091" s="4" t="str">
        <f>IFERROR(__xludf.DUMMYFUNCTION("""COMPUTED_VALUE"""),"")</f>
        <v/>
      </c>
      <c r="I1091" s="4" t="str">
        <f>IFERROR(__xludf.DUMMYFUNCTION("""COMPUTED_VALUE"""),"")</f>
        <v/>
      </c>
      <c r="J1091" s="4" t="str">
        <f>IFERROR(__xludf.DUMMYFUNCTION("""COMPUTED_VALUE"""),"")</f>
        <v/>
      </c>
      <c r="K1091" s="4" t="str">
        <f>IFERROR(__xludf.DUMMYFUNCTION("""COMPUTED_VALUE"""),"Web Summit Trailer - full")</f>
        <v>Web Summit Trailer - full</v>
      </c>
      <c r="L1091" s="4" t="str">
        <f>IFERROR(__xludf.DUMMYFUNCTION("""COMPUTED_VALUE"""),"")</f>
        <v/>
      </c>
      <c r="M1091" s="4" t="str">
        <f>IFERROR(__xludf.DUMMYFUNCTION("""COMPUTED_VALUE"""),"Collision From Home Promo")</f>
        <v>Collision From Home Promo</v>
      </c>
      <c r="N1091" s="4" t="str">
        <f>IFERROR(__xludf.DUMMYFUNCTION("""COMPUTED_VALUE"""),"")</f>
        <v/>
      </c>
      <c r="O1091" s="4" t="str">
        <f>IFERROR(__xludf.DUMMYFUNCTION("""COMPUTED_VALUE"""),"")</f>
        <v/>
      </c>
      <c r="P1091" s="4" t="str">
        <f>IFERROR(__xludf.DUMMYFUNCTION("""COMPUTED_VALUE"""),"")</f>
        <v/>
      </c>
      <c r="Q1091" s="4" t="str">
        <f>IFERROR(__xludf.DUMMYFUNCTION("""COMPUTED_VALUE"""),"")</f>
        <v/>
      </c>
      <c r="R1091" s="4" t="str">
        <f>IFERROR(__xludf.DUMMYFUNCTION("""COMPUTED_VALUE"""),"")</f>
        <v/>
      </c>
      <c r="S1091" s="4" t="str">
        <f>IFERROR(__xludf.DUMMYFUNCTION("""COMPUTED_VALUE"""),"")</f>
        <v/>
      </c>
      <c r="T1091" s="4" t="str">
        <f>IFERROR(__xludf.DUMMYFUNCTION("""COMPUTED_VALUE"""),"")</f>
        <v/>
      </c>
      <c r="U1091" s="4" t="str">
        <f>IFERROR(__xludf.DUMMYFUNCTION("""COMPUTED_VALUE"""),"")</f>
        <v/>
      </c>
      <c r="V1091" s="4" t="str">
        <f>IFERROR(__xludf.DUMMYFUNCTION("""COMPUTED_VALUE"""),"")</f>
        <v/>
      </c>
      <c r="W1091" s="4" t="str">
        <f>IFERROR(__xludf.DUMMYFUNCTION("""COMPUTED_VALUE"""),"")</f>
        <v/>
      </c>
      <c r="X1091" s="4" t="str">
        <f>IFERROR(__xludf.DUMMYFUNCTION("""COMPUTED_VALUE"""),"")</f>
        <v/>
      </c>
      <c r="Y1091" s="4" t="str">
        <f>IFERROR(__xludf.DUMMYFUNCTION("""COMPUTED_VALUE"""),"")</f>
        <v/>
      </c>
    </row>
    <row r="1092">
      <c r="A1092" s="4" t="str">
        <f>IFERROR(__xludf.DUMMYFUNCTION("""COMPUTED_VALUE"""),"1184 - Channel")</f>
        <v>1184 - Channel</v>
      </c>
      <c r="B1092" s="4" t="str">
        <f>IFERROR(__xludf.DUMMYFUNCTION("""COMPUTED_VALUE"""),"Channel 4")</f>
        <v>Channel 4</v>
      </c>
      <c r="C1092" s="4" t="str">
        <f>IFERROR(__xludf.DUMMYFUNCTION("""COMPUTED_VALUE"""),"Day 3 - 25/06")</f>
        <v>Day 3 - 25/06</v>
      </c>
      <c r="D1092" s="6">
        <f>IFERROR(__xludf.DUMMYFUNCTION("""COMPUTED_VALUE"""),0.4735648148148148)</f>
        <v>0.4735648148</v>
      </c>
      <c r="E1092" s="6">
        <f>IFERROR(__xludf.DUMMYFUNCTION("""COMPUTED_VALUE"""),3.4722222222222224E-4)</f>
        <v>0.0003472222222</v>
      </c>
      <c r="F1092" s="6">
        <f>IFERROR(__xludf.DUMMYFUNCTION("""COMPUTED_VALUE"""),0.47391203703703705)</f>
        <v>0.473912037</v>
      </c>
      <c r="G1092" s="4" t="str">
        <f>IFERROR(__xludf.DUMMYFUNCTION("""COMPUTED_VALUE"""),"")</f>
        <v/>
      </c>
      <c r="H1092" s="4" t="str">
        <f>IFERROR(__xludf.DUMMYFUNCTION("""COMPUTED_VALUE"""),"")</f>
        <v/>
      </c>
      <c r="I1092" s="4" t="str">
        <f>IFERROR(__xludf.DUMMYFUNCTION("""COMPUTED_VALUE"""),"")</f>
        <v/>
      </c>
      <c r="J1092" s="4" t="str">
        <f>IFERROR(__xludf.DUMMYFUNCTION("""COMPUTED_VALUE"""),"")</f>
        <v/>
      </c>
      <c r="K1092" s="4" t="str">
        <f>IFERROR(__xludf.DUMMYFUNCTION("""COMPUTED_VALUE"""),"Talk Intro")</f>
        <v>Talk Intro</v>
      </c>
      <c r="L1092" s="4" t="str">
        <f>IFERROR(__xludf.DUMMYFUNCTION("""COMPUTED_VALUE"""),"")</f>
        <v/>
      </c>
      <c r="M1092" s="4" t="str">
        <f>IFERROR(__xludf.DUMMYFUNCTION("""COMPUTED_VALUE"""),"MC Intro")</f>
        <v>MC Intro</v>
      </c>
      <c r="N1092" s="4" t="str">
        <f>IFERROR(__xludf.DUMMYFUNCTION("""COMPUTED_VALUE"""),"")</f>
        <v/>
      </c>
      <c r="O1092" s="4" t="str">
        <f>IFERROR(__xludf.DUMMYFUNCTION("""COMPUTED_VALUE"""),"")</f>
        <v/>
      </c>
      <c r="P1092" s="4" t="str">
        <f>IFERROR(__xludf.DUMMYFUNCTION("""COMPUTED_VALUE"""),"")</f>
        <v/>
      </c>
      <c r="Q1092" s="4" t="str">
        <f>IFERROR(__xludf.DUMMYFUNCTION("""COMPUTED_VALUE"""),"")</f>
        <v/>
      </c>
      <c r="R1092" s="4" t="str">
        <f>IFERROR(__xludf.DUMMYFUNCTION("""COMPUTED_VALUE"""),"")</f>
        <v/>
      </c>
      <c r="S1092" s="4" t="str">
        <f>IFERROR(__xludf.DUMMYFUNCTION("""COMPUTED_VALUE"""),"")</f>
        <v/>
      </c>
      <c r="T1092" s="4" t="str">
        <f>IFERROR(__xludf.DUMMYFUNCTION("""COMPUTED_VALUE"""),"")</f>
        <v/>
      </c>
      <c r="U1092" s="4" t="str">
        <f>IFERROR(__xludf.DUMMYFUNCTION("""COMPUTED_VALUE"""),"")</f>
        <v/>
      </c>
      <c r="V1092" s="4" t="str">
        <f>IFERROR(__xludf.DUMMYFUNCTION("""COMPUTED_VALUE"""),"")</f>
        <v/>
      </c>
      <c r="W1092" s="4" t="str">
        <f>IFERROR(__xludf.DUMMYFUNCTION("""COMPUTED_VALUE"""),"")</f>
        <v/>
      </c>
      <c r="X1092" s="4" t="str">
        <f>IFERROR(__xludf.DUMMYFUNCTION("""COMPUTED_VALUE"""),"")</f>
        <v/>
      </c>
      <c r="Y1092" s="4" t="str">
        <f>IFERROR(__xludf.DUMMYFUNCTION("""COMPUTED_VALUE"""),"")</f>
        <v/>
      </c>
    </row>
    <row r="1093">
      <c r="A1093" s="4" t="str">
        <f>IFERROR(__xludf.DUMMYFUNCTION("""COMPUTED_VALUE"""),"1185 - Channel")</f>
        <v>1185 - Channel</v>
      </c>
      <c r="B1093" s="4" t="str">
        <f>IFERROR(__xludf.DUMMYFUNCTION("""COMPUTED_VALUE"""),"Channel 4")</f>
        <v>Channel 4</v>
      </c>
      <c r="C1093" s="4" t="str">
        <f>IFERROR(__xludf.DUMMYFUNCTION("""COMPUTED_VALUE"""),"Day 3 - 25/06")</f>
        <v>Day 3 - 25/06</v>
      </c>
      <c r="D1093" s="6">
        <f>IFERROR(__xludf.DUMMYFUNCTION("""COMPUTED_VALUE"""),0.47391203703703705)</f>
        <v>0.473912037</v>
      </c>
      <c r="E1093" s="6">
        <f>IFERROR(__xludf.DUMMYFUNCTION("""COMPUTED_VALUE"""),0.026354166666666668)</f>
        <v>0.02635416667</v>
      </c>
      <c r="F1093" s="6">
        <f>IFERROR(__xludf.DUMMYFUNCTION("""COMPUTED_VALUE"""),0.5002662037037037)</f>
        <v>0.5002662037</v>
      </c>
      <c r="G1093" s="4" t="str">
        <f>IFERROR(__xludf.DUMMYFUNCTION("""COMPUTED_VALUE"""),"Darren")</f>
        <v>Darren</v>
      </c>
      <c r="H1093" s="4" t="str">
        <f>IFERROR(__xludf.DUMMYFUNCTION("""COMPUTED_VALUE"""),"Stephen")</f>
        <v>Stephen</v>
      </c>
      <c r="I1093" s="4" t="str">
        <f>IFERROR(__xludf.DUMMYFUNCTION("""COMPUTED_VALUE"""),"Lucia H.")</f>
        <v>Lucia H.</v>
      </c>
      <c r="J1093" s="4" t="str">
        <f>IFERROR(__xludf.DUMMYFUNCTION("""COMPUTED_VALUE"""),"")</f>
        <v/>
      </c>
      <c r="K1093" s="4" t="str">
        <f>IFERROR(__xludf.DUMMYFUNCTION("""COMPUTED_VALUE"""),"Podcast")</f>
        <v>Podcast</v>
      </c>
      <c r="L1093" s="4" t="str">
        <f>IFERROR(__xludf.DUMMYFUNCTION("""COMPUTED_VALUE"""),"T- 7 - 04/05/2020")</f>
        <v>T- 7 - 04/05/2020</v>
      </c>
      <c r="M1093" s="4" t="str">
        <f>IFERROR(__xludf.DUMMYFUNCTION("""COMPUTED_VALUE"""),"In depth: Rick Ridgeway ")</f>
        <v>In depth: Rick Ridgeway </v>
      </c>
      <c r="N1093" s="4" t="str">
        <f>IFERROR(__xludf.DUMMYFUNCTION("""COMPUTED_VALUE"""),"Rick Ridgeway, Patagonia")</f>
        <v>Rick Ridgeway, Patagonia</v>
      </c>
      <c r="O1093" s="4" t="str">
        <f>IFERROR(__xludf.DUMMYFUNCTION("""COMPUTED_VALUE"""),"")</f>
        <v/>
      </c>
      <c r="P1093" s="4" t="str">
        <f>IFERROR(__xludf.DUMMYFUNCTION("""COMPUTED_VALUE"""),"")</f>
        <v/>
      </c>
      <c r="Q1093" s="4" t="str">
        <f>IFERROR(__xludf.DUMMYFUNCTION("""COMPUTED_VALUE"""),"")</f>
        <v/>
      </c>
      <c r="R1093" s="4" t="str">
        <f>IFERROR(__xludf.DUMMYFUNCTION("""COMPUTED_VALUE"""),"Jon Bowermaster, Ocean 8 Films")</f>
        <v>Jon Bowermaster, Ocean 8 Films</v>
      </c>
      <c r="S1093" s="4" t="str">
        <f>IFERROR(__xludf.DUMMYFUNCTION("""COMPUTED_VALUE"""),"Rick is one of Patagonia’s  key spokespeople. A keen environmentalist and explorer, he represents and promotes the company’s mission to 'Save our Home Planet'. Hear him swap stories with film-maker, adventurer and friend Jon Bowermaster of Ocean 8 Films. ")</f>
        <v>Rick is one of Patagonia’s  key spokespeople. A keen environmentalist and explorer, he represents and promotes the company’s mission to 'Save our Home Planet'. Hear him swap stories with film-maker, adventurer and friend Jon Bowermaster of Ocean 8 Films. </v>
      </c>
      <c r="T1093" s="4" t="str">
        <f>IFERROR(__xludf.DUMMYFUNCTION("""COMPUTED_VALUE"""),"NON-KEYNOTE 9 - COMPLETE")</f>
        <v>NON-KEYNOTE 9 - COMPLETE</v>
      </c>
      <c r="U1093" s="23">
        <f>IFERROR(__xludf.DUMMYFUNCTION("""COMPUTED_VALUE"""),43958.0)</f>
        <v>43958</v>
      </c>
      <c r="V1093" s="4" t="str">
        <f>IFERROR(__xludf.DUMMYFUNCTION("""COMPUTED_VALUE"""),"")</f>
        <v/>
      </c>
      <c r="W1093" s="4" t="str">
        <f>IFERROR(__xludf.DUMMYFUNCTION("""COMPUTED_VALUE"""),"COMPLETE")</f>
        <v>COMPLETE</v>
      </c>
      <c r="X1093" s="4" t="str">
        <f>IFERROR(__xludf.DUMMYFUNCTION("""COMPUTED_VALUE"""),"Darren")</f>
        <v>Darren</v>
      </c>
      <c r="Y1093" s="4" t="str">
        <f>IFERROR(__xludf.DUMMYFUNCTION("""COMPUTED_VALUE"""),"")</f>
        <v/>
      </c>
    </row>
    <row r="1094">
      <c r="A1094" s="4" t="str">
        <f>IFERROR(__xludf.DUMMYFUNCTION("""COMPUTED_VALUE"""),"1186 - Channel")</f>
        <v>1186 - Channel</v>
      </c>
      <c r="B1094" s="4" t="str">
        <f>IFERROR(__xludf.DUMMYFUNCTION("""COMPUTED_VALUE"""),"Channel 4")</f>
        <v>Channel 4</v>
      </c>
      <c r="C1094" s="4" t="str">
        <f>IFERROR(__xludf.DUMMYFUNCTION("""COMPUTED_VALUE"""),"Day 3 - 25/06")</f>
        <v>Day 3 - 25/06</v>
      </c>
      <c r="D1094" s="6">
        <f>IFERROR(__xludf.DUMMYFUNCTION("""COMPUTED_VALUE"""),0.5002662037037037)</f>
        <v>0.5002662037</v>
      </c>
      <c r="E1094" s="6">
        <f>IFERROR(__xludf.DUMMYFUNCTION("""COMPUTED_VALUE"""),0.001388888888888889)</f>
        <v>0.001388888889</v>
      </c>
      <c r="F1094" s="6">
        <f>IFERROR(__xludf.DUMMYFUNCTION("""COMPUTED_VALUE"""),0.5016550925925926)</f>
        <v>0.5016550926</v>
      </c>
      <c r="G1094" s="4" t="str">
        <f>IFERROR(__xludf.DUMMYFUNCTION("""COMPUTED_VALUE"""),"")</f>
        <v/>
      </c>
      <c r="H1094" s="4" t="str">
        <f>IFERROR(__xludf.DUMMYFUNCTION("""COMPUTED_VALUE"""),"")</f>
        <v/>
      </c>
      <c r="I1094" s="4" t="str">
        <f>IFERROR(__xludf.DUMMYFUNCTION("""COMPUTED_VALUE"""),"")</f>
        <v/>
      </c>
      <c r="J1094" s="4" t="str">
        <f>IFERROR(__xludf.DUMMYFUNCTION("""COMPUTED_VALUE"""),"")</f>
        <v/>
      </c>
      <c r="K1094" s="4" t="str">
        <f>IFERROR(__xludf.DUMMYFUNCTION("""COMPUTED_VALUE"""),"Web Summit Trailer - full")</f>
        <v>Web Summit Trailer - full</v>
      </c>
      <c r="L1094" s="4" t="str">
        <f>IFERROR(__xludf.DUMMYFUNCTION("""COMPUTED_VALUE"""),"")</f>
        <v/>
      </c>
      <c r="M1094" s="4" t="str">
        <f>IFERROR(__xludf.DUMMYFUNCTION("""COMPUTED_VALUE"""),"Collision From Home Promo")</f>
        <v>Collision From Home Promo</v>
      </c>
      <c r="N1094" s="4" t="str">
        <f>IFERROR(__xludf.DUMMYFUNCTION("""COMPUTED_VALUE"""),"")</f>
        <v/>
      </c>
      <c r="O1094" s="4" t="str">
        <f>IFERROR(__xludf.DUMMYFUNCTION("""COMPUTED_VALUE"""),"")</f>
        <v/>
      </c>
      <c r="P1094" s="4" t="str">
        <f>IFERROR(__xludf.DUMMYFUNCTION("""COMPUTED_VALUE"""),"")</f>
        <v/>
      </c>
      <c r="Q1094" s="4" t="str">
        <f>IFERROR(__xludf.DUMMYFUNCTION("""COMPUTED_VALUE"""),"")</f>
        <v/>
      </c>
      <c r="R1094" s="4" t="str">
        <f>IFERROR(__xludf.DUMMYFUNCTION("""COMPUTED_VALUE"""),"")</f>
        <v/>
      </c>
      <c r="S1094" s="4" t="str">
        <f>IFERROR(__xludf.DUMMYFUNCTION("""COMPUTED_VALUE"""),"")</f>
        <v/>
      </c>
      <c r="T1094" s="4" t="str">
        <f>IFERROR(__xludf.DUMMYFUNCTION("""COMPUTED_VALUE"""),"")</f>
        <v/>
      </c>
      <c r="U1094" s="4" t="str">
        <f>IFERROR(__xludf.DUMMYFUNCTION("""COMPUTED_VALUE"""),"")</f>
        <v/>
      </c>
      <c r="V1094" s="4" t="str">
        <f>IFERROR(__xludf.DUMMYFUNCTION("""COMPUTED_VALUE"""),"")</f>
        <v/>
      </c>
      <c r="W1094" s="4" t="str">
        <f>IFERROR(__xludf.DUMMYFUNCTION("""COMPUTED_VALUE"""),"")</f>
        <v/>
      </c>
      <c r="X1094" s="4" t="str">
        <f>IFERROR(__xludf.DUMMYFUNCTION("""COMPUTED_VALUE"""),"")</f>
        <v/>
      </c>
      <c r="Y1094" s="4" t="str">
        <f>IFERROR(__xludf.DUMMYFUNCTION("""COMPUTED_VALUE"""),"")</f>
        <v/>
      </c>
    </row>
    <row r="1095">
      <c r="A1095" s="4" t="str">
        <f>IFERROR(__xludf.DUMMYFUNCTION("""COMPUTED_VALUE"""),"1219 - Channel")</f>
        <v>1219 - Channel</v>
      </c>
      <c r="B1095" s="4" t="str">
        <f>IFERROR(__xludf.DUMMYFUNCTION("""COMPUTED_VALUE"""),"Channel 4")</f>
        <v>Channel 4</v>
      </c>
      <c r="C1095" s="4" t="str">
        <f>IFERROR(__xludf.DUMMYFUNCTION("""COMPUTED_VALUE"""),"Day 3 - 25/06")</f>
        <v>Day 3 - 25/06</v>
      </c>
      <c r="D1095" s="6">
        <f>IFERROR(__xludf.DUMMYFUNCTION("""COMPUTED_VALUE"""),0.5016550925925926)</f>
        <v>0.5016550926</v>
      </c>
      <c r="E1095" s="6">
        <f>IFERROR(__xludf.DUMMYFUNCTION("""COMPUTED_VALUE"""),3.4722222222222224E-4)</f>
        <v>0.0003472222222</v>
      </c>
      <c r="F1095" s="6">
        <f>IFERROR(__xludf.DUMMYFUNCTION("""COMPUTED_VALUE"""),0.5020023148148148)</f>
        <v>0.5020023148</v>
      </c>
      <c r="G1095" s="4" t="str">
        <f>IFERROR(__xludf.DUMMYFUNCTION("""COMPUTED_VALUE"""),"")</f>
        <v/>
      </c>
      <c r="H1095" s="4" t="str">
        <f>IFERROR(__xludf.DUMMYFUNCTION("""COMPUTED_VALUE"""),"")</f>
        <v/>
      </c>
      <c r="I1095" s="4" t="str">
        <f>IFERROR(__xludf.DUMMYFUNCTION("""COMPUTED_VALUE"""),"")</f>
        <v/>
      </c>
      <c r="J1095" s="4" t="str">
        <f>IFERROR(__xludf.DUMMYFUNCTION("""COMPUTED_VALUE"""),"")</f>
        <v/>
      </c>
      <c r="K1095" s="4" t="str">
        <f>IFERROR(__xludf.DUMMYFUNCTION("""COMPUTED_VALUE"""),"Talk Intro")</f>
        <v>Talk Intro</v>
      </c>
      <c r="L1095" s="4" t="str">
        <f>IFERROR(__xludf.DUMMYFUNCTION("""COMPUTED_VALUE"""),"")</f>
        <v/>
      </c>
      <c r="M1095" s="4" t="str">
        <f>IFERROR(__xludf.DUMMYFUNCTION("""COMPUTED_VALUE"""),"MC Intro")</f>
        <v>MC Intro</v>
      </c>
      <c r="N1095" s="4" t="str">
        <f>IFERROR(__xludf.DUMMYFUNCTION("""COMPUTED_VALUE"""),"")</f>
        <v/>
      </c>
      <c r="O1095" s="4" t="str">
        <f>IFERROR(__xludf.DUMMYFUNCTION("""COMPUTED_VALUE"""),"")</f>
        <v/>
      </c>
      <c r="P1095" s="4" t="str">
        <f>IFERROR(__xludf.DUMMYFUNCTION("""COMPUTED_VALUE"""),"")</f>
        <v/>
      </c>
      <c r="Q1095" s="4" t="str">
        <f>IFERROR(__xludf.DUMMYFUNCTION("""COMPUTED_VALUE"""),"")</f>
        <v/>
      </c>
      <c r="R1095" s="4" t="str">
        <f>IFERROR(__xludf.DUMMYFUNCTION("""COMPUTED_VALUE"""),"")</f>
        <v/>
      </c>
      <c r="S1095" s="4" t="str">
        <f>IFERROR(__xludf.DUMMYFUNCTION("""COMPUTED_VALUE"""),"")</f>
        <v/>
      </c>
      <c r="T1095" s="4" t="str">
        <f>IFERROR(__xludf.DUMMYFUNCTION("""COMPUTED_VALUE"""),"")</f>
        <v/>
      </c>
      <c r="U1095" s="4" t="str">
        <f>IFERROR(__xludf.DUMMYFUNCTION("""COMPUTED_VALUE"""),"")</f>
        <v/>
      </c>
      <c r="V1095" s="4" t="str">
        <f>IFERROR(__xludf.DUMMYFUNCTION("""COMPUTED_VALUE"""),"")</f>
        <v/>
      </c>
      <c r="W1095" s="4" t="str">
        <f>IFERROR(__xludf.DUMMYFUNCTION("""COMPUTED_VALUE"""),"")</f>
        <v/>
      </c>
      <c r="X1095" s="4" t="str">
        <f>IFERROR(__xludf.DUMMYFUNCTION("""COMPUTED_VALUE"""),"")</f>
        <v/>
      </c>
      <c r="Y1095" s="4" t="str">
        <f>IFERROR(__xludf.DUMMYFUNCTION("""COMPUTED_VALUE"""),"")</f>
        <v/>
      </c>
    </row>
    <row r="1096">
      <c r="A1096" s="4" t="str">
        <f>IFERROR(__xludf.DUMMYFUNCTION("""COMPUTED_VALUE"""),"1220 - Channel")</f>
        <v>1220 - Channel</v>
      </c>
      <c r="B1096" s="4" t="str">
        <f>IFERROR(__xludf.DUMMYFUNCTION("""COMPUTED_VALUE"""),"Channel 4")</f>
        <v>Channel 4</v>
      </c>
      <c r="C1096" s="4" t="str">
        <f>IFERROR(__xludf.DUMMYFUNCTION("""COMPUTED_VALUE"""),"Day 3 - 25/06")</f>
        <v>Day 3 - 25/06</v>
      </c>
      <c r="D1096" s="6">
        <f>IFERROR(__xludf.DUMMYFUNCTION("""COMPUTED_VALUE"""),0.5020023148148148)</f>
        <v>0.5020023148</v>
      </c>
      <c r="E1096" s="6">
        <f>IFERROR(__xludf.DUMMYFUNCTION("""COMPUTED_VALUE"""),0.037141203703703704)</f>
        <v>0.0371412037</v>
      </c>
      <c r="F1096" s="6">
        <f>IFERROR(__xludf.DUMMYFUNCTION("""COMPUTED_VALUE"""),0.5391435185185185)</f>
        <v>0.5391435185</v>
      </c>
      <c r="G1096" s="4" t="str">
        <f>IFERROR(__xludf.DUMMYFUNCTION("""COMPUTED_VALUE"""),"Colm")</f>
        <v>Colm</v>
      </c>
      <c r="H1096" s="4" t="str">
        <f>IFERROR(__xludf.DUMMYFUNCTION("""COMPUTED_VALUE"""),"Stephen")</f>
        <v>Stephen</v>
      </c>
      <c r="I1096" s="4" t="str">
        <f>IFERROR(__xludf.DUMMYFUNCTION("""COMPUTED_VALUE"""),"Lucia H.")</f>
        <v>Lucia H.</v>
      </c>
      <c r="J1096" s="4" t="str">
        <f>IFERROR(__xludf.DUMMYFUNCTION("""COMPUTED_VALUE"""),"")</f>
        <v/>
      </c>
      <c r="K1096" s="4" t="str">
        <f>IFERROR(__xludf.DUMMYFUNCTION("""COMPUTED_VALUE"""),"Podcast")</f>
        <v>Podcast</v>
      </c>
      <c r="L1096" s="4" t="str">
        <f>IFERROR(__xludf.DUMMYFUNCTION("""COMPUTED_VALUE"""),"T- 6 - 11/05/2020")</f>
        <v>T- 6 - 11/05/2020</v>
      </c>
      <c r="M1096" s="4" t="str">
        <f>IFERROR(__xludf.DUMMYFUNCTION("""COMPUTED_VALUE"""),"In depth: Brian Collins ")</f>
        <v>In depth: Brian Collins </v>
      </c>
      <c r="N1096" s="4" t="str">
        <f>IFERROR(__xludf.DUMMYFUNCTION("""COMPUTED_VALUE"""),"Brian Collins, Collins")</f>
        <v>Brian Collins, Collins</v>
      </c>
      <c r="O1096" s="4" t="str">
        <f>IFERROR(__xludf.DUMMYFUNCTION("""COMPUTED_VALUE"""),"")</f>
        <v/>
      </c>
      <c r="P1096" s="4" t="str">
        <f>IFERROR(__xludf.DUMMYFUNCTION("""COMPUTED_VALUE"""),"")</f>
        <v/>
      </c>
      <c r="Q1096" s="4" t="str">
        <f>IFERROR(__xludf.DUMMYFUNCTION("""COMPUTED_VALUE"""),"")</f>
        <v/>
      </c>
      <c r="R1096" s="4" t="str">
        <f>IFERROR(__xludf.DUMMYFUNCTION("""COMPUTED_VALUE"""),"Debbie Millman, Design Matters")</f>
        <v>Debbie Millman, Design Matters</v>
      </c>
      <c r="S1096" s="4" t="str">
        <f>IFERROR(__xludf.DUMMYFUNCTION("""COMPUTED_VALUE"""),"In this in-depth podcast, Brian reflects on his life and career, discussing his experience as the founder and chief creative officer at his New York design firm, Collins.")</f>
        <v>In this in-depth podcast, Brian reflects on his life and career, discussing his experience as the founder and chief creative officer at his New York design firm, Collins.</v>
      </c>
      <c r="T1096" s="4" t="str">
        <f>IFERROR(__xludf.DUMMYFUNCTION("""COMPUTED_VALUE"""),"NON-KEYNOTE 9 - COMPLETE")</f>
        <v>NON-KEYNOTE 9 - COMPLETE</v>
      </c>
      <c r="U1096" s="23">
        <f>IFERROR(__xludf.DUMMYFUNCTION("""COMPUTED_VALUE"""),43963.0)</f>
        <v>43963</v>
      </c>
      <c r="V1096" s="24">
        <f>IFERROR(__xludf.DUMMYFUNCTION("""COMPUTED_VALUE"""),0.75)</f>
        <v>0.75</v>
      </c>
      <c r="W1096" s="4" t="str">
        <f>IFERROR(__xludf.DUMMYFUNCTION("""COMPUTED_VALUE"""),"COMPLETE")</f>
        <v>COMPLETE</v>
      </c>
      <c r="X1096" s="4" t="str">
        <f>IFERROR(__xludf.DUMMYFUNCTION("""COMPUTED_VALUE"""),"Colm")</f>
        <v>Colm</v>
      </c>
      <c r="Y1096" s="4" t="str">
        <f>IFERROR(__xludf.DUMMYFUNCTION("""COMPUTED_VALUE"""),"")</f>
        <v/>
      </c>
    </row>
    <row r="1097">
      <c r="A1097" s="4" t="str">
        <f>IFERROR(__xludf.DUMMYFUNCTION("""COMPUTED_VALUE"""),"1221 - Channel")</f>
        <v>1221 - Channel</v>
      </c>
      <c r="B1097" s="4" t="str">
        <f>IFERROR(__xludf.DUMMYFUNCTION("""COMPUTED_VALUE"""),"Channel 4")</f>
        <v>Channel 4</v>
      </c>
      <c r="C1097" s="4" t="str">
        <f>IFERROR(__xludf.DUMMYFUNCTION("""COMPUTED_VALUE"""),"Day 3 - 25/06")</f>
        <v>Day 3 - 25/06</v>
      </c>
      <c r="D1097" s="6">
        <f>IFERROR(__xludf.DUMMYFUNCTION("""COMPUTED_VALUE"""),0.5391435185185185)</f>
        <v>0.5391435185</v>
      </c>
      <c r="E1097" s="6">
        <f>IFERROR(__xludf.DUMMYFUNCTION("""COMPUTED_VALUE"""),0.001388888888888889)</f>
        <v>0.001388888889</v>
      </c>
      <c r="F1097" s="6">
        <f>IFERROR(__xludf.DUMMYFUNCTION("""COMPUTED_VALUE"""),0.5405324074074074)</f>
        <v>0.5405324074</v>
      </c>
      <c r="G1097" s="4" t="str">
        <f>IFERROR(__xludf.DUMMYFUNCTION("""COMPUTED_VALUE"""),"")</f>
        <v/>
      </c>
      <c r="H1097" s="4" t="str">
        <f>IFERROR(__xludf.DUMMYFUNCTION("""COMPUTED_VALUE"""),"")</f>
        <v/>
      </c>
      <c r="I1097" s="4" t="str">
        <f>IFERROR(__xludf.DUMMYFUNCTION("""COMPUTED_VALUE"""),"")</f>
        <v/>
      </c>
      <c r="J1097" s="4" t="str">
        <f>IFERROR(__xludf.DUMMYFUNCTION("""COMPUTED_VALUE"""),"")</f>
        <v/>
      </c>
      <c r="K1097" s="4" t="str">
        <f>IFERROR(__xludf.DUMMYFUNCTION("""COMPUTED_VALUE"""),"Web Summit Trailer - full")</f>
        <v>Web Summit Trailer - full</v>
      </c>
      <c r="L1097" s="4" t="str">
        <f>IFERROR(__xludf.DUMMYFUNCTION("""COMPUTED_VALUE"""),"")</f>
        <v/>
      </c>
      <c r="M1097" s="4" t="str">
        <f>IFERROR(__xludf.DUMMYFUNCTION("""COMPUTED_VALUE"""),"Collision From Home Promo")</f>
        <v>Collision From Home Promo</v>
      </c>
      <c r="N1097" s="4" t="str">
        <f>IFERROR(__xludf.DUMMYFUNCTION("""COMPUTED_VALUE"""),"")</f>
        <v/>
      </c>
      <c r="O1097" s="4" t="str">
        <f>IFERROR(__xludf.DUMMYFUNCTION("""COMPUTED_VALUE"""),"")</f>
        <v/>
      </c>
      <c r="P1097" s="4" t="str">
        <f>IFERROR(__xludf.DUMMYFUNCTION("""COMPUTED_VALUE"""),"")</f>
        <v/>
      </c>
      <c r="Q1097" s="4" t="str">
        <f>IFERROR(__xludf.DUMMYFUNCTION("""COMPUTED_VALUE"""),"")</f>
        <v/>
      </c>
      <c r="R1097" s="4" t="str">
        <f>IFERROR(__xludf.DUMMYFUNCTION("""COMPUTED_VALUE"""),"")</f>
        <v/>
      </c>
      <c r="S1097" s="4" t="str">
        <f>IFERROR(__xludf.DUMMYFUNCTION("""COMPUTED_VALUE"""),"")</f>
        <v/>
      </c>
      <c r="T1097" s="4" t="str">
        <f>IFERROR(__xludf.DUMMYFUNCTION("""COMPUTED_VALUE"""),"")</f>
        <v/>
      </c>
      <c r="U1097" s="4" t="str">
        <f>IFERROR(__xludf.DUMMYFUNCTION("""COMPUTED_VALUE"""),"")</f>
        <v/>
      </c>
      <c r="V1097" s="4" t="str">
        <f>IFERROR(__xludf.DUMMYFUNCTION("""COMPUTED_VALUE"""),"")</f>
        <v/>
      </c>
      <c r="W1097" s="4" t="str">
        <f>IFERROR(__xludf.DUMMYFUNCTION("""COMPUTED_VALUE"""),"")</f>
        <v/>
      </c>
      <c r="X1097" s="4" t="str">
        <f>IFERROR(__xludf.DUMMYFUNCTION("""COMPUTED_VALUE"""),"")</f>
        <v/>
      </c>
      <c r="Y1097" s="4" t="str">
        <f>IFERROR(__xludf.DUMMYFUNCTION("""COMPUTED_VALUE"""),"")</f>
        <v/>
      </c>
    </row>
    <row r="1098">
      <c r="A1098" s="4" t="str">
        <f>IFERROR(__xludf.DUMMYFUNCTION("""COMPUTED_VALUE"""),"1225 - Channel")</f>
        <v>1225 - Channel</v>
      </c>
      <c r="B1098" s="4" t="str">
        <f>IFERROR(__xludf.DUMMYFUNCTION("""COMPUTED_VALUE"""),"Channel 4")</f>
        <v>Channel 4</v>
      </c>
      <c r="C1098" s="4" t="str">
        <f>IFERROR(__xludf.DUMMYFUNCTION("""COMPUTED_VALUE"""),"Day 3 - 25/06")</f>
        <v>Day 3 - 25/06</v>
      </c>
      <c r="D1098" s="6">
        <f>IFERROR(__xludf.DUMMYFUNCTION("""COMPUTED_VALUE"""),0.5405324074074074)</f>
        <v>0.5405324074</v>
      </c>
      <c r="E1098" s="6">
        <f>IFERROR(__xludf.DUMMYFUNCTION("""COMPUTED_VALUE"""),3.4722222222222224E-4)</f>
        <v>0.0003472222222</v>
      </c>
      <c r="F1098" s="6">
        <f>IFERROR(__xludf.DUMMYFUNCTION("""COMPUTED_VALUE"""),0.5408796296296297)</f>
        <v>0.5408796296</v>
      </c>
      <c r="G1098" s="4" t="str">
        <f>IFERROR(__xludf.DUMMYFUNCTION("""COMPUTED_VALUE"""),"")</f>
        <v/>
      </c>
      <c r="H1098" s="4" t="str">
        <f>IFERROR(__xludf.DUMMYFUNCTION("""COMPUTED_VALUE"""),"")</f>
        <v/>
      </c>
      <c r="I1098" s="4" t="str">
        <f>IFERROR(__xludf.DUMMYFUNCTION("""COMPUTED_VALUE"""),"")</f>
        <v/>
      </c>
      <c r="J1098" s="4" t="str">
        <f>IFERROR(__xludf.DUMMYFUNCTION("""COMPUTED_VALUE"""),"")</f>
        <v/>
      </c>
      <c r="K1098" s="4" t="str">
        <f>IFERROR(__xludf.DUMMYFUNCTION("""COMPUTED_VALUE"""),"Talk Intro")</f>
        <v>Talk Intro</v>
      </c>
      <c r="L1098" s="4" t="str">
        <f>IFERROR(__xludf.DUMMYFUNCTION("""COMPUTED_VALUE"""),"")</f>
        <v/>
      </c>
      <c r="M1098" s="4" t="str">
        <f>IFERROR(__xludf.DUMMYFUNCTION("""COMPUTED_VALUE"""),"MC Intro")</f>
        <v>MC Intro</v>
      </c>
      <c r="N1098" s="4" t="str">
        <f>IFERROR(__xludf.DUMMYFUNCTION("""COMPUTED_VALUE"""),"")</f>
        <v/>
      </c>
      <c r="O1098" s="4" t="str">
        <f>IFERROR(__xludf.DUMMYFUNCTION("""COMPUTED_VALUE"""),"")</f>
        <v/>
      </c>
      <c r="P1098" s="4" t="str">
        <f>IFERROR(__xludf.DUMMYFUNCTION("""COMPUTED_VALUE"""),"")</f>
        <v/>
      </c>
      <c r="Q1098" s="4" t="str">
        <f>IFERROR(__xludf.DUMMYFUNCTION("""COMPUTED_VALUE"""),"")</f>
        <v/>
      </c>
      <c r="R1098" s="4" t="str">
        <f>IFERROR(__xludf.DUMMYFUNCTION("""COMPUTED_VALUE"""),"")</f>
        <v/>
      </c>
      <c r="S1098" s="4" t="str">
        <f>IFERROR(__xludf.DUMMYFUNCTION("""COMPUTED_VALUE"""),"")</f>
        <v/>
      </c>
      <c r="T1098" s="4" t="str">
        <f>IFERROR(__xludf.DUMMYFUNCTION("""COMPUTED_VALUE"""),"")</f>
        <v/>
      </c>
      <c r="U1098" s="4" t="str">
        <f>IFERROR(__xludf.DUMMYFUNCTION("""COMPUTED_VALUE"""),"")</f>
        <v/>
      </c>
      <c r="V1098" s="4" t="str">
        <f>IFERROR(__xludf.DUMMYFUNCTION("""COMPUTED_VALUE"""),"")</f>
        <v/>
      </c>
      <c r="W1098" s="4" t="str">
        <f>IFERROR(__xludf.DUMMYFUNCTION("""COMPUTED_VALUE"""),"")</f>
        <v/>
      </c>
      <c r="X1098" s="4" t="str">
        <f>IFERROR(__xludf.DUMMYFUNCTION("""COMPUTED_VALUE"""),"")</f>
        <v/>
      </c>
      <c r="Y1098" s="4" t="str">
        <f>IFERROR(__xludf.DUMMYFUNCTION("""COMPUTED_VALUE"""),"")</f>
        <v/>
      </c>
    </row>
    <row r="1099">
      <c r="A1099" s="4" t="str">
        <f>IFERROR(__xludf.DUMMYFUNCTION("""COMPUTED_VALUE"""),"1226 - Channel")</f>
        <v>1226 - Channel</v>
      </c>
      <c r="B1099" s="4" t="str">
        <f>IFERROR(__xludf.DUMMYFUNCTION("""COMPUTED_VALUE"""),"Channel 4")</f>
        <v>Channel 4</v>
      </c>
      <c r="C1099" s="4" t="str">
        <f>IFERROR(__xludf.DUMMYFUNCTION("""COMPUTED_VALUE"""),"Day 3 - 25/06")</f>
        <v>Day 3 - 25/06</v>
      </c>
      <c r="D1099" s="6">
        <f>IFERROR(__xludf.DUMMYFUNCTION("""COMPUTED_VALUE"""),0.5408796296296297)</f>
        <v>0.5408796296</v>
      </c>
      <c r="E1099" s="6">
        <f>IFERROR(__xludf.DUMMYFUNCTION("""COMPUTED_VALUE"""),0.02746527777777778)</f>
        <v>0.02746527778</v>
      </c>
      <c r="F1099" s="6">
        <f>IFERROR(__xludf.DUMMYFUNCTION("""COMPUTED_VALUE"""),0.5683449074074074)</f>
        <v>0.5683449074</v>
      </c>
      <c r="G1099" s="4" t="str">
        <f>IFERROR(__xludf.DUMMYFUNCTION("""COMPUTED_VALUE"""),"Darren")</f>
        <v>Darren</v>
      </c>
      <c r="H1099" s="4" t="str">
        <f>IFERROR(__xludf.DUMMYFUNCTION("""COMPUTED_VALUE"""),"Stephen")</f>
        <v>Stephen</v>
      </c>
      <c r="I1099" s="4" t="str">
        <f>IFERROR(__xludf.DUMMYFUNCTION("""COMPUTED_VALUE"""),"Lucia H.")</f>
        <v>Lucia H.</v>
      </c>
      <c r="J1099" s="4" t="str">
        <f>IFERROR(__xludf.DUMMYFUNCTION("""COMPUTED_VALUE"""),"")</f>
        <v/>
      </c>
      <c r="K1099" s="4" t="str">
        <f>IFERROR(__xludf.DUMMYFUNCTION("""COMPUTED_VALUE"""),"Podcast")</f>
        <v>Podcast</v>
      </c>
      <c r="L1099" s="4" t="str">
        <f>IFERROR(__xludf.DUMMYFUNCTION("""COMPUTED_VALUE"""),"T- 4 - 25/05/2020")</f>
        <v>T- 4 - 25/05/2020</v>
      </c>
      <c r="M1099" s="4" t="str">
        <f>IFERROR(__xludf.DUMMYFUNCTION("""COMPUTED_VALUE"""),"In depth: Josh Luber")</f>
        <v>In depth: Josh Luber</v>
      </c>
      <c r="N1099" s="4" t="str">
        <f>IFERROR(__xludf.DUMMYFUNCTION("""COMPUTED_VALUE"""),"Josh Luber, StockX")</f>
        <v>Josh Luber, StockX</v>
      </c>
      <c r="O1099" s="4" t="str">
        <f>IFERROR(__xludf.DUMMYFUNCTION("""COMPUTED_VALUE"""),"")</f>
        <v/>
      </c>
      <c r="P1099" s="4" t="str">
        <f>IFERROR(__xludf.DUMMYFUNCTION("""COMPUTED_VALUE"""),"")</f>
        <v/>
      </c>
      <c r="Q1099" s="4" t="str">
        <f>IFERROR(__xludf.DUMMYFUNCTION("""COMPUTED_VALUE"""),"")</f>
        <v/>
      </c>
      <c r="R1099" s="4" t="str">
        <f>IFERROR(__xludf.DUMMYFUNCTION("""COMPUTED_VALUE"""),"Reggie Wade, Yahoo Finance")</f>
        <v>Reggie Wade, Yahoo Finance</v>
      </c>
      <c r="S1099" s="4" t="str">
        <f>IFERROR(__xludf.DUMMYFUNCTION("""COMPUTED_VALUE"""),"Josh Luber transformed his passion for sneakers into a billion dollar business. The self confessed sneakerhead co-founded StockX, an online marketplace and clothing reseller company that has transformed the fashion industry. In this talk, he’ll tell the s"&amp;"tory of how he created the world’s first sneaker stock market and let us know what makes him tick.")</f>
        <v>Josh Luber transformed his passion for sneakers into a billion dollar business. The self confessed sneakerhead co-founded StockX, an online marketplace and clothing reseller company that has transformed the fashion industry. In this talk, he’ll tell the story of how he created the world’s first sneaker stock market and let us know what makes him tick.</v>
      </c>
      <c r="T1099" s="4" t="str">
        <f>IFERROR(__xludf.DUMMYFUNCTION("""COMPUTED_VALUE"""),"NON-KEYNOTE 9 - COMPLETE")</f>
        <v>NON-KEYNOTE 9 - COMPLETE</v>
      </c>
      <c r="U1099" s="23">
        <f>IFERROR(__xludf.DUMMYFUNCTION("""COMPUTED_VALUE"""),43979.0)</f>
        <v>43979</v>
      </c>
      <c r="V1099" s="44">
        <f>IFERROR(__xludf.DUMMYFUNCTION("""COMPUTED_VALUE"""),0.625)</f>
        <v>0.625</v>
      </c>
      <c r="W1099" s="4" t="str">
        <f>IFERROR(__xludf.DUMMYFUNCTION("""COMPUTED_VALUE"""),"COMPLETE")</f>
        <v>COMPLETE</v>
      </c>
      <c r="X1099" s="4" t="str">
        <f>IFERROR(__xludf.DUMMYFUNCTION("""COMPUTED_VALUE"""),"Darren")</f>
        <v>Darren</v>
      </c>
      <c r="Y1099" s="4" t="str">
        <f>IFERROR(__xludf.DUMMYFUNCTION("""COMPUTED_VALUE"""),"")</f>
        <v/>
      </c>
    </row>
    <row r="1100">
      <c r="A1100" s="4" t="str">
        <f>IFERROR(__xludf.DUMMYFUNCTION("""COMPUTED_VALUE"""),"1227 - Channel")</f>
        <v>1227 - Channel</v>
      </c>
      <c r="B1100" s="4" t="str">
        <f>IFERROR(__xludf.DUMMYFUNCTION("""COMPUTED_VALUE"""),"Channel 4")</f>
        <v>Channel 4</v>
      </c>
      <c r="C1100" s="4" t="str">
        <f>IFERROR(__xludf.DUMMYFUNCTION("""COMPUTED_VALUE"""),"Day 3 - 25/06")</f>
        <v>Day 3 - 25/06</v>
      </c>
      <c r="D1100" s="6">
        <f>IFERROR(__xludf.DUMMYFUNCTION("""COMPUTED_VALUE"""),0.5683449074074074)</f>
        <v>0.5683449074</v>
      </c>
      <c r="E1100" s="6">
        <f>IFERROR(__xludf.DUMMYFUNCTION("""COMPUTED_VALUE"""),0.001388888888888889)</f>
        <v>0.001388888889</v>
      </c>
      <c r="F1100" s="6">
        <f>IFERROR(__xludf.DUMMYFUNCTION("""COMPUTED_VALUE"""),0.5697337962962963)</f>
        <v>0.5697337963</v>
      </c>
      <c r="G1100" s="4" t="str">
        <f>IFERROR(__xludf.DUMMYFUNCTION("""COMPUTED_VALUE"""),"")</f>
        <v/>
      </c>
      <c r="H1100" s="4" t="str">
        <f>IFERROR(__xludf.DUMMYFUNCTION("""COMPUTED_VALUE"""),"")</f>
        <v/>
      </c>
      <c r="I1100" s="4" t="str">
        <f>IFERROR(__xludf.DUMMYFUNCTION("""COMPUTED_VALUE"""),"")</f>
        <v/>
      </c>
      <c r="J1100" s="4" t="str">
        <f>IFERROR(__xludf.DUMMYFUNCTION("""COMPUTED_VALUE"""),"")</f>
        <v/>
      </c>
      <c r="K1100" s="4" t="str">
        <f>IFERROR(__xludf.DUMMYFUNCTION("""COMPUTED_VALUE"""),"Web Summit Trailer - full")</f>
        <v>Web Summit Trailer - full</v>
      </c>
      <c r="L1100" s="4" t="str">
        <f>IFERROR(__xludf.DUMMYFUNCTION("""COMPUTED_VALUE"""),"")</f>
        <v/>
      </c>
      <c r="M1100" s="4" t="str">
        <f>IFERROR(__xludf.DUMMYFUNCTION("""COMPUTED_VALUE"""),"Collision From Home Promo")</f>
        <v>Collision From Home Promo</v>
      </c>
      <c r="N1100" s="4" t="str">
        <f>IFERROR(__xludf.DUMMYFUNCTION("""COMPUTED_VALUE"""),"")</f>
        <v/>
      </c>
      <c r="O1100" s="4" t="str">
        <f>IFERROR(__xludf.DUMMYFUNCTION("""COMPUTED_VALUE"""),"")</f>
        <v/>
      </c>
      <c r="P1100" s="4" t="str">
        <f>IFERROR(__xludf.DUMMYFUNCTION("""COMPUTED_VALUE"""),"")</f>
        <v/>
      </c>
      <c r="Q1100" s="4" t="str">
        <f>IFERROR(__xludf.DUMMYFUNCTION("""COMPUTED_VALUE"""),"")</f>
        <v/>
      </c>
      <c r="R1100" s="4" t="str">
        <f>IFERROR(__xludf.DUMMYFUNCTION("""COMPUTED_VALUE"""),"")</f>
        <v/>
      </c>
      <c r="S1100" s="4" t="str">
        <f>IFERROR(__xludf.DUMMYFUNCTION("""COMPUTED_VALUE"""),"")</f>
        <v/>
      </c>
      <c r="T1100" s="4" t="str">
        <f>IFERROR(__xludf.DUMMYFUNCTION("""COMPUTED_VALUE"""),"")</f>
        <v/>
      </c>
      <c r="U1100" s="4" t="str">
        <f>IFERROR(__xludf.DUMMYFUNCTION("""COMPUTED_VALUE"""),"")</f>
        <v/>
      </c>
      <c r="V1100" s="4" t="str">
        <f>IFERROR(__xludf.DUMMYFUNCTION("""COMPUTED_VALUE"""),"")</f>
        <v/>
      </c>
      <c r="W1100" s="4" t="str">
        <f>IFERROR(__xludf.DUMMYFUNCTION("""COMPUTED_VALUE"""),"")</f>
        <v/>
      </c>
      <c r="X1100" s="4" t="str">
        <f>IFERROR(__xludf.DUMMYFUNCTION("""COMPUTED_VALUE"""),"")</f>
        <v/>
      </c>
      <c r="Y1100" s="4" t="str">
        <f>IFERROR(__xludf.DUMMYFUNCTION("""COMPUTED_VALUE"""),"")</f>
        <v/>
      </c>
    </row>
    <row r="1101">
      <c r="A1101" s="4" t="str">
        <f>IFERROR(__xludf.DUMMYFUNCTION("""COMPUTED_VALUE"""),"1178 - Channel")</f>
        <v>1178 - Channel</v>
      </c>
      <c r="B1101" s="4" t="str">
        <f>IFERROR(__xludf.DUMMYFUNCTION("""COMPUTED_VALUE"""),"Channel 4")</f>
        <v>Channel 4</v>
      </c>
      <c r="C1101" s="4" t="str">
        <f>IFERROR(__xludf.DUMMYFUNCTION("""COMPUTED_VALUE"""),"Day 3 - 25/06")</f>
        <v>Day 3 - 25/06</v>
      </c>
      <c r="D1101" s="6">
        <f>IFERROR(__xludf.DUMMYFUNCTION("""COMPUTED_VALUE"""),0.5697337962962963)</f>
        <v>0.5697337963</v>
      </c>
      <c r="E1101" s="6">
        <f>IFERROR(__xludf.DUMMYFUNCTION("""COMPUTED_VALUE"""),3.4722222222222224E-4)</f>
        <v>0.0003472222222</v>
      </c>
      <c r="F1101" s="6">
        <f>IFERROR(__xludf.DUMMYFUNCTION("""COMPUTED_VALUE"""),0.5700810185185186)</f>
        <v>0.5700810185</v>
      </c>
      <c r="G1101" s="4" t="str">
        <f>IFERROR(__xludf.DUMMYFUNCTION("""COMPUTED_VALUE"""),"")</f>
        <v/>
      </c>
      <c r="H1101" s="4" t="str">
        <f>IFERROR(__xludf.DUMMYFUNCTION("""COMPUTED_VALUE"""),"")</f>
        <v/>
      </c>
      <c r="I1101" s="4" t="str">
        <f>IFERROR(__xludf.DUMMYFUNCTION("""COMPUTED_VALUE"""),"")</f>
        <v/>
      </c>
      <c r="J1101" s="4" t="str">
        <f>IFERROR(__xludf.DUMMYFUNCTION("""COMPUTED_VALUE"""),"")</f>
        <v/>
      </c>
      <c r="K1101" s="4" t="str">
        <f>IFERROR(__xludf.DUMMYFUNCTION("""COMPUTED_VALUE"""),"Talk Intro")</f>
        <v>Talk Intro</v>
      </c>
      <c r="L1101" s="4" t="str">
        <f>IFERROR(__xludf.DUMMYFUNCTION("""COMPUTED_VALUE"""),"")</f>
        <v/>
      </c>
      <c r="M1101" s="4" t="str">
        <f>IFERROR(__xludf.DUMMYFUNCTION("""COMPUTED_VALUE"""),"MC Intro")</f>
        <v>MC Intro</v>
      </c>
      <c r="N1101" s="4" t="str">
        <f>IFERROR(__xludf.DUMMYFUNCTION("""COMPUTED_VALUE"""),"")</f>
        <v/>
      </c>
      <c r="O1101" s="4" t="str">
        <f>IFERROR(__xludf.DUMMYFUNCTION("""COMPUTED_VALUE"""),"")</f>
        <v/>
      </c>
      <c r="P1101" s="4" t="str">
        <f>IFERROR(__xludf.DUMMYFUNCTION("""COMPUTED_VALUE"""),"")</f>
        <v/>
      </c>
      <c r="Q1101" s="4" t="str">
        <f>IFERROR(__xludf.DUMMYFUNCTION("""COMPUTED_VALUE"""),"")</f>
        <v/>
      </c>
      <c r="R1101" s="4" t="str">
        <f>IFERROR(__xludf.DUMMYFUNCTION("""COMPUTED_VALUE"""),"")</f>
        <v/>
      </c>
      <c r="S1101" s="4" t="str">
        <f>IFERROR(__xludf.DUMMYFUNCTION("""COMPUTED_VALUE"""),"")</f>
        <v/>
      </c>
      <c r="T1101" s="4" t="str">
        <f>IFERROR(__xludf.DUMMYFUNCTION("""COMPUTED_VALUE"""),"")</f>
        <v/>
      </c>
      <c r="U1101" s="4" t="str">
        <f>IFERROR(__xludf.DUMMYFUNCTION("""COMPUTED_VALUE"""),"")</f>
        <v/>
      </c>
      <c r="V1101" s="4" t="str">
        <f>IFERROR(__xludf.DUMMYFUNCTION("""COMPUTED_VALUE"""),"")</f>
        <v/>
      </c>
      <c r="W1101" s="4" t="str">
        <f>IFERROR(__xludf.DUMMYFUNCTION("""COMPUTED_VALUE"""),"")</f>
        <v/>
      </c>
      <c r="X1101" s="4" t="str">
        <f>IFERROR(__xludf.DUMMYFUNCTION("""COMPUTED_VALUE"""),"")</f>
        <v/>
      </c>
      <c r="Y1101" s="4" t="str">
        <f>IFERROR(__xludf.DUMMYFUNCTION("""COMPUTED_VALUE"""),"")</f>
        <v/>
      </c>
    </row>
    <row r="1102">
      <c r="A1102" s="4" t="str">
        <f>IFERROR(__xludf.DUMMYFUNCTION("""COMPUTED_VALUE"""),"1179 - Channel")</f>
        <v>1179 - Channel</v>
      </c>
      <c r="B1102" s="4" t="str">
        <f>IFERROR(__xludf.DUMMYFUNCTION("""COMPUTED_VALUE"""),"Channel 4")</f>
        <v>Channel 4</v>
      </c>
      <c r="C1102" s="4" t="str">
        <f>IFERROR(__xludf.DUMMYFUNCTION("""COMPUTED_VALUE"""),"Day 3 - 25/06")</f>
        <v>Day 3 - 25/06</v>
      </c>
      <c r="D1102" s="6">
        <f>IFERROR(__xludf.DUMMYFUNCTION("""COMPUTED_VALUE"""),0.5700810185185186)</f>
        <v>0.5700810185</v>
      </c>
      <c r="E1102" s="6">
        <f>IFERROR(__xludf.DUMMYFUNCTION("""COMPUTED_VALUE"""),0.03125)</f>
        <v>0.03125</v>
      </c>
      <c r="F1102" s="6">
        <f>IFERROR(__xludf.DUMMYFUNCTION("""COMPUTED_VALUE"""),0.6013310185185186)</f>
        <v>0.6013310185</v>
      </c>
      <c r="G1102" s="4" t="str">
        <f>IFERROR(__xludf.DUMMYFUNCTION("""COMPUTED_VALUE"""),"Darren")</f>
        <v>Darren</v>
      </c>
      <c r="H1102" s="4" t="str">
        <f>IFERROR(__xludf.DUMMYFUNCTION("""COMPUTED_VALUE"""),"Stephen")</f>
        <v>Stephen</v>
      </c>
      <c r="I1102" s="4" t="str">
        <f>IFERROR(__xludf.DUMMYFUNCTION("""COMPUTED_VALUE"""),"Manon")</f>
        <v>Manon</v>
      </c>
      <c r="J1102" s="4" t="str">
        <f>IFERROR(__xludf.DUMMYFUNCTION("""COMPUTED_VALUE"""),"")</f>
        <v/>
      </c>
      <c r="K1102" s="4" t="str">
        <f>IFERROR(__xludf.DUMMYFUNCTION("""COMPUTED_VALUE"""),"Podcast")</f>
        <v>Podcast</v>
      </c>
      <c r="L1102" s="4" t="str">
        <f>IFERROR(__xludf.DUMMYFUNCTION("""COMPUTED_VALUE"""),"T- 3 - 01/06/2020")</f>
        <v>T- 3 - 01/06/2020</v>
      </c>
      <c r="M1102" s="4" t="str">
        <f>IFERROR(__xludf.DUMMYFUNCTION("""COMPUTED_VALUE"""),"In depth: Molly Bloom")</f>
        <v>In depth: Molly Bloom</v>
      </c>
      <c r="N1102" s="4" t="str">
        <f>IFERROR(__xludf.DUMMYFUNCTION("""COMPUTED_VALUE"""),"Molly Bloom, Molly's Game")</f>
        <v>Molly Bloom, Molly's Game</v>
      </c>
      <c r="O1102" s="4" t="str">
        <f>IFERROR(__xludf.DUMMYFUNCTION("""COMPUTED_VALUE"""),"")</f>
        <v/>
      </c>
      <c r="P1102" s="4" t="str">
        <f>IFERROR(__xludf.DUMMYFUNCTION("""COMPUTED_VALUE"""),"")</f>
        <v/>
      </c>
      <c r="Q1102" s="4" t="str">
        <f>IFERROR(__xludf.DUMMYFUNCTION("""COMPUTED_VALUE"""),"")</f>
        <v/>
      </c>
      <c r="R1102" s="4" t="str">
        <f>IFERROR(__xludf.DUMMYFUNCTION("""COMPUTED_VALUE"""),"Samantha Barry, Glamour")</f>
        <v>Samantha Barry, Glamour</v>
      </c>
      <c r="S1102" s="4" t="str">
        <f>IFERROR(__xludf.DUMMYFUNCTION("""COMPUTED_VALUE"""),"Molly is author of the bestselling memoir Molly’s Game, which was adapted into an award-winning film of the same name directed by Aaron Sorkin. In this podcast interview, Molly tells the true story behind the most exclusive, high-stakes underground poker "&amp;"game in the world.")</f>
        <v>Molly is author of the bestselling memoir Molly’s Game, which was adapted into an award-winning film of the same name directed by Aaron Sorkin. In this podcast interview, Molly tells the true story behind the most exclusive, high-stakes underground poker game in the world.</v>
      </c>
      <c r="T1102" s="4" t="str">
        <f>IFERROR(__xludf.DUMMYFUNCTION("""COMPUTED_VALUE"""),"NON-KEYNOTE 9 - COMPLETE")</f>
        <v>NON-KEYNOTE 9 - COMPLETE</v>
      </c>
      <c r="U1102" s="23">
        <f>IFERROR(__xludf.DUMMYFUNCTION("""COMPUTED_VALUE"""),43985.0)</f>
        <v>43985</v>
      </c>
      <c r="V1102" s="44">
        <f>IFERROR(__xludf.DUMMYFUNCTION("""COMPUTED_VALUE"""),0.3541666666666667)</f>
        <v>0.3541666667</v>
      </c>
      <c r="W1102" s="4" t="str">
        <f>IFERROR(__xludf.DUMMYFUNCTION("""COMPUTED_VALUE"""),"COMPLETE")</f>
        <v>COMPLETE</v>
      </c>
      <c r="X1102" s="4" t="str">
        <f>IFERROR(__xludf.DUMMYFUNCTION("""COMPUTED_VALUE"""),"Darren")</f>
        <v>Darren</v>
      </c>
      <c r="Y1102" s="4" t="str">
        <f>IFERROR(__xludf.DUMMYFUNCTION("""COMPUTED_VALUE"""),"")</f>
        <v/>
      </c>
    </row>
    <row r="1103">
      <c r="A1103" s="4" t="str">
        <f>IFERROR(__xludf.DUMMYFUNCTION("""COMPUTED_VALUE"""),"1180 - Channel")</f>
        <v>1180 - Channel</v>
      </c>
      <c r="B1103" s="4" t="str">
        <f>IFERROR(__xludf.DUMMYFUNCTION("""COMPUTED_VALUE"""),"Channel 4")</f>
        <v>Channel 4</v>
      </c>
      <c r="C1103" s="4" t="str">
        <f>IFERROR(__xludf.DUMMYFUNCTION("""COMPUTED_VALUE"""),"Day 3 - 25/06")</f>
        <v>Day 3 - 25/06</v>
      </c>
      <c r="D1103" s="6">
        <f>IFERROR(__xludf.DUMMYFUNCTION("""COMPUTED_VALUE"""),0.6013310185185186)</f>
        <v>0.6013310185</v>
      </c>
      <c r="E1103" s="6">
        <f>IFERROR(__xludf.DUMMYFUNCTION("""COMPUTED_VALUE"""),0.001388888888888889)</f>
        <v>0.001388888889</v>
      </c>
      <c r="F1103" s="6">
        <f>IFERROR(__xludf.DUMMYFUNCTION("""COMPUTED_VALUE"""),0.6027199074074074)</f>
        <v>0.6027199074</v>
      </c>
      <c r="G1103" s="4" t="str">
        <f>IFERROR(__xludf.DUMMYFUNCTION("""COMPUTED_VALUE"""),"")</f>
        <v/>
      </c>
      <c r="H1103" s="4" t="str">
        <f>IFERROR(__xludf.DUMMYFUNCTION("""COMPUTED_VALUE"""),"")</f>
        <v/>
      </c>
      <c r="I1103" s="4" t="str">
        <f>IFERROR(__xludf.DUMMYFUNCTION("""COMPUTED_VALUE"""),"")</f>
        <v/>
      </c>
      <c r="J1103" s="4" t="str">
        <f>IFERROR(__xludf.DUMMYFUNCTION("""COMPUTED_VALUE"""),"")</f>
        <v/>
      </c>
      <c r="K1103" s="4" t="str">
        <f>IFERROR(__xludf.DUMMYFUNCTION("""COMPUTED_VALUE"""),"Web Summit Trailer - full")</f>
        <v>Web Summit Trailer - full</v>
      </c>
      <c r="L1103" s="4" t="str">
        <f>IFERROR(__xludf.DUMMYFUNCTION("""COMPUTED_VALUE"""),"")</f>
        <v/>
      </c>
      <c r="M1103" s="4" t="str">
        <f>IFERROR(__xludf.DUMMYFUNCTION("""COMPUTED_VALUE"""),"Collision From Home Promo")</f>
        <v>Collision From Home Promo</v>
      </c>
      <c r="N1103" s="4" t="str">
        <f>IFERROR(__xludf.DUMMYFUNCTION("""COMPUTED_VALUE"""),"")</f>
        <v/>
      </c>
      <c r="O1103" s="4" t="str">
        <f>IFERROR(__xludf.DUMMYFUNCTION("""COMPUTED_VALUE"""),"")</f>
        <v/>
      </c>
      <c r="P1103" s="4" t="str">
        <f>IFERROR(__xludf.DUMMYFUNCTION("""COMPUTED_VALUE"""),"")</f>
        <v/>
      </c>
      <c r="Q1103" s="4" t="str">
        <f>IFERROR(__xludf.DUMMYFUNCTION("""COMPUTED_VALUE"""),"")</f>
        <v/>
      </c>
      <c r="R1103" s="4" t="str">
        <f>IFERROR(__xludf.DUMMYFUNCTION("""COMPUTED_VALUE"""),"")</f>
        <v/>
      </c>
      <c r="S1103" s="4" t="str">
        <f>IFERROR(__xludf.DUMMYFUNCTION("""COMPUTED_VALUE"""),"")</f>
        <v/>
      </c>
      <c r="T1103" s="4" t="str">
        <f>IFERROR(__xludf.DUMMYFUNCTION("""COMPUTED_VALUE"""),"")</f>
        <v/>
      </c>
      <c r="U1103" s="4" t="str">
        <f>IFERROR(__xludf.DUMMYFUNCTION("""COMPUTED_VALUE"""),"")</f>
        <v/>
      </c>
      <c r="V1103" s="4" t="str">
        <f>IFERROR(__xludf.DUMMYFUNCTION("""COMPUTED_VALUE"""),"")</f>
        <v/>
      </c>
      <c r="W1103" s="4" t="str">
        <f>IFERROR(__xludf.DUMMYFUNCTION("""COMPUTED_VALUE"""),"")</f>
        <v/>
      </c>
      <c r="X1103" s="4" t="str">
        <f>IFERROR(__xludf.DUMMYFUNCTION("""COMPUTED_VALUE"""),"")</f>
        <v/>
      </c>
      <c r="Y1103" s="4" t="str">
        <f>IFERROR(__xludf.DUMMYFUNCTION("""COMPUTED_VALUE"""),"")</f>
        <v/>
      </c>
    </row>
    <row r="1104">
      <c r="A1104" s="4" t="str">
        <f>IFERROR(__xludf.DUMMYFUNCTION("""COMPUTED_VALUE"""),"1231 - Channel")</f>
        <v>1231 - Channel</v>
      </c>
      <c r="B1104" s="4" t="str">
        <f>IFERROR(__xludf.DUMMYFUNCTION("""COMPUTED_VALUE"""),"Channel 4")</f>
        <v>Channel 4</v>
      </c>
      <c r="C1104" s="4" t="str">
        <f>IFERROR(__xludf.DUMMYFUNCTION("""COMPUTED_VALUE"""),"Day 3 - 25/06")</f>
        <v>Day 3 - 25/06</v>
      </c>
      <c r="D1104" s="6">
        <f>IFERROR(__xludf.DUMMYFUNCTION("""COMPUTED_VALUE"""),0.6027199074074074)</f>
        <v>0.6027199074</v>
      </c>
      <c r="E1104" s="6">
        <f>IFERROR(__xludf.DUMMYFUNCTION("""COMPUTED_VALUE"""),3.4722222222222224E-4)</f>
        <v>0.0003472222222</v>
      </c>
      <c r="F1104" s="6">
        <f>IFERROR(__xludf.DUMMYFUNCTION("""COMPUTED_VALUE"""),0.6030671296296297)</f>
        <v>0.6030671296</v>
      </c>
      <c r="G1104" s="4" t="str">
        <f>IFERROR(__xludf.DUMMYFUNCTION("""COMPUTED_VALUE"""),"")</f>
        <v/>
      </c>
      <c r="H1104" s="4" t="str">
        <f>IFERROR(__xludf.DUMMYFUNCTION("""COMPUTED_VALUE"""),"")</f>
        <v/>
      </c>
      <c r="I1104" s="4" t="str">
        <f>IFERROR(__xludf.DUMMYFUNCTION("""COMPUTED_VALUE"""),"")</f>
        <v/>
      </c>
      <c r="J1104" s="4" t="str">
        <f>IFERROR(__xludf.DUMMYFUNCTION("""COMPUTED_VALUE"""),"")</f>
        <v/>
      </c>
      <c r="K1104" s="4" t="str">
        <f>IFERROR(__xludf.DUMMYFUNCTION("""COMPUTED_VALUE"""),"Talk Intro")</f>
        <v>Talk Intro</v>
      </c>
      <c r="L1104" s="4" t="str">
        <f>IFERROR(__xludf.DUMMYFUNCTION("""COMPUTED_VALUE"""),"")</f>
        <v/>
      </c>
      <c r="M1104" s="4" t="str">
        <f>IFERROR(__xludf.DUMMYFUNCTION("""COMPUTED_VALUE"""),"MC Intro")</f>
        <v>MC Intro</v>
      </c>
      <c r="N1104" s="4" t="str">
        <f>IFERROR(__xludf.DUMMYFUNCTION("""COMPUTED_VALUE"""),"")</f>
        <v/>
      </c>
      <c r="O1104" s="4" t="str">
        <f>IFERROR(__xludf.DUMMYFUNCTION("""COMPUTED_VALUE"""),"")</f>
        <v/>
      </c>
      <c r="P1104" s="4" t="str">
        <f>IFERROR(__xludf.DUMMYFUNCTION("""COMPUTED_VALUE"""),"")</f>
        <v/>
      </c>
      <c r="Q1104" s="4" t="str">
        <f>IFERROR(__xludf.DUMMYFUNCTION("""COMPUTED_VALUE"""),"")</f>
        <v/>
      </c>
      <c r="R1104" s="4" t="str">
        <f>IFERROR(__xludf.DUMMYFUNCTION("""COMPUTED_VALUE"""),"")</f>
        <v/>
      </c>
      <c r="S1104" s="4" t="str">
        <f>IFERROR(__xludf.DUMMYFUNCTION("""COMPUTED_VALUE"""),"")</f>
        <v/>
      </c>
      <c r="T1104" s="4" t="str">
        <f>IFERROR(__xludf.DUMMYFUNCTION("""COMPUTED_VALUE"""),"")</f>
        <v/>
      </c>
      <c r="U1104" s="4" t="str">
        <f>IFERROR(__xludf.DUMMYFUNCTION("""COMPUTED_VALUE"""),"")</f>
        <v/>
      </c>
      <c r="V1104" s="4" t="str">
        <f>IFERROR(__xludf.DUMMYFUNCTION("""COMPUTED_VALUE"""),"")</f>
        <v/>
      </c>
      <c r="W1104" s="4" t="str">
        <f>IFERROR(__xludf.DUMMYFUNCTION("""COMPUTED_VALUE"""),"")</f>
        <v/>
      </c>
      <c r="X1104" s="4" t="str">
        <f>IFERROR(__xludf.DUMMYFUNCTION("""COMPUTED_VALUE"""),"")</f>
        <v/>
      </c>
      <c r="Y1104" s="4" t="str">
        <f>IFERROR(__xludf.DUMMYFUNCTION("""COMPUTED_VALUE"""),"")</f>
        <v/>
      </c>
    </row>
    <row r="1105">
      <c r="A1105" s="4" t="str">
        <f>IFERROR(__xludf.DUMMYFUNCTION("""COMPUTED_VALUE"""),"1232 - Channel")</f>
        <v>1232 - Channel</v>
      </c>
      <c r="B1105" s="4" t="str">
        <f>IFERROR(__xludf.DUMMYFUNCTION("""COMPUTED_VALUE"""),"Channel 4")</f>
        <v>Channel 4</v>
      </c>
      <c r="C1105" s="4" t="str">
        <f>IFERROR(__xludf.DUMMYFUNCTION("""COMPUTED_VALUE"""),"Day 3 - 25/06")</f>
        <v>Day 3 - 25/06</v>
      </c>
      <c r="D1105" s="6">
        <f>IFERROR(__xludf.DUMMYFUNCTION("""COMPUTED_VALUE"""),0.6030671296296297)</f>
        <v>0.6030671296</v>
      </c>
      <c r="E1105" s="6">
        <f>IFERROR(__xludf.DUMMYFUNCTION("""COMPUTED_VALUE"""),0.021041666666666667)</f>
        <v>0.02104166667</v>
      </c>
      <c r="F1105" s="6">
        <f>IFERROR(__xludf.DUMMYFUNCTION("""COMPUTED_VALUE"""),0.6241087962962963)</f>
        <v>0.6241087963</v>
      </c>
      <c r="G1105" s="4" t="str">
        <f>IFERROR(__xludf.DUMMYFUNCTION("""COMPUTED_VALUE"""),"Colm")</f>
        <v>Colm</v>
      </c>
      <c r="H1105" s="4" t="str">
        <f>IFERROR(__xludf.DUMMYFUNCTION("""COMPUTED_VALUE"""),"")</f>
        <v/>
      </c>
      <c r="I1105" s="4" t="str">
        <f>IFERROR(__xludf.DUMMYFUNCTION("""COMPUTED_VALUE"""),"Eabha")</f>
        <v>Eabha</v>
      </c>
      <c r="J1105" s="4" t="str">
        <f>IFERROR(__xludf.DUMMYFUNCTION("""COMPUTED_VALUE"""),"")</f>
        <v/>
      </c>
      <c r="K1105" s="4" t="str">
        <f>IFERROR(__xludf.DUMMYFUNCTION("""COMPUTED_VALUE"""),"Podcast")</f>
        <v>Podcast</v>
      </c>
      <c r="L1105" s="4" t="str">
        <f>IFERROR(__xludf.DUMMYFUNCTION("""COMPUTED_VALUE"""),"T- 4 - 25/05/2020")</f>
        <v>T- 4 - 25/05/2020</v>
      </c>
      <c r="M1105" s="4" t="str">
        <f>IFERROR(__xludf.DUMMYFUNCTION("""COMPUTED_VALUE"""),"Margaret Atwood on Radio Collision ")</f>
        <v>Margaret Atwood on Radio Collision </v>
      </c>
      <c r="N1105" s="4" t="str">
        <f>IFERROR(__xludf.DUMMYFUNCTION("""COMPUTED_VALUE"""),"Margaret Atwood, Margaret Atwood")</f>
        <v>Margaret Atwood, Margaret Atwood</v>
      </c>
      <c r="O1105" s="4" t="str">
        <f>IFERROR(__xludf.DUMMYFUNCTION("""COMPUTED_VALUE"""),"")</f>
        <v/>
      </c>
      <c r="P1105" s="4" t="str">
        <f>IFERROR(__xludf.DUMMYFUNCTION("""COMPUTED_VALUE"""),"")</f>
        <v/>
      </c>
      <c r="Q1105" s="4" t="str">
        <f>IFERROR(__xludf.DUMMYFUNCTION("""COMPUTED_VALUE"""),"")</f>
        <v/>
      </c>
      <c r="R1105" s="4" t="str">
        <f>IFERROR(__xludf.DUMMYFUNCTION("""COMPUTED_VALUE"""),"David Remnick, The New Yorker")</f>
        <v>David Remnick, The New Yorker</v>
      </c>
      <c r="S1105" s="4" t="str">
        <f>IFERROR(__xludf.DUMMYFUNCTION("""COMPUTED_VALUE"""),"An extended, in-depth conversation with one of the leading storytellers of our time.")</f>
        <v>An extended, in-depth conversation with one of the leading storytellers of our time.</v>
      </c>
      <c r="T1105" s="4" t="str">
        <f>IFERROR(__xludf.DUMMYFUNCTION("""COMPUTED_VALUE"""),"NON-KEYNOTE 9 - COMPLETE")</f>
        <v>NON-KEYNOTE 9 - COMPLETE</v>
      </c>
      <c r="U1105" s="23">
        <f>IFERROR(__xludf.DUMMYFUNCTION("""COMPUTED_VALUE"""),43979.0)</f>
        <v>43979</v>
      </c>
      <c r="V1105" s="4" t="str">
        <f>IFERROR(__xludf.DUMMYFUNCTION("""COMPUTED_VALUE"""),"rip from video")</f>
        <v>rip from video</v>
      </c>
      <c r="W1105" s="4" t="str">
        <f>IFERROR(__xludf.DUMMYFUNCTION("""COMPUTED_VALUE"""),"COMPLETE")</f>
        <v>COMPLETE</v>
      </c>
      <c r="X1105" s="4" t="str">
        <f>IFERROR(__xludf.DUMMYFUNCTION("""COMPUTED_VALUE"""),"")</f>
        <v/>
      </c>
      <c r="Y1105" s="4" t="str">
        <f>IFERROR(__xludf.DUMMYFUNCTION("""COMPUTED_VALUE"""),"")</f>
        <v/>
      </c>
    </row>
    <row r="1106">
      <c r="A1106" s="4" t="str">
        <f>IFERROR(__xludf.DUMMYFUNCTION("""COMPUTED_VALUE"""),"1233 - Channel")</f>
        <v>1233 - Channel</v>
      </c>
      <c r="B1106" s="4" t="str">
        <f>IFERROR(__xludf.DUMMYFUNCTION("""COMPUTED_VALUE"""),"Channel 4")</f>
        <v>Channel 4</v>
      </c>
      <c r="C1106" s="4" t="str">
        <f>IFERROR(__xludf.DUMMYFUNCTION("""COMPUTED_VALUE"""),"Day 3 - 25/06")</f>
        <v>Day 3 - 25/06</v>
      </c>
      <c r="D1106" s="6">
        <f>IFERROR(__xludf.DUMMYFUNCTION("""COMPUTED_VALUE"""),0.6241087962962963)</f>
        <v>0.6241087963</v>
      </c>
      <c r="E1106" s="6">
        <f>IFERROR(__xludf.DUMMYFUNCTION("""COMPUTED_VALUE"""),0.001388888888888889)</f>
        <v>0.001388888889</v>
      </c>
      <c r="F1106" s="6">
        <f>IFERROR(__xludf.DUMMYFUNCTION("""COMPUTED_VALUE"""),0.6254976851851852)</f>
        <v>0.6254976852</v>
      </c>
      <c r="G1106" s="4" t="str">
        <f>IFERROR(__xludf.DUMMYFUNCTION("""COMPUTED_VALUE"""),"")</f>
        <v/>
      </c>
      <c r="H1106" s="4" t="str">
        <f>IFERROR(__xludf.DUMMYFUNCTION("""COMPUTED_VALUE"""),"")</f>
        <v/>
      </c>
      <c r="I1106" s="4" t="str">
        <f>IFERROR(__xludf.DUMMYFUNCTION("""COMPUTED_VALUE"""),"")</f>
        <v/>
      </c>
      <c r="J1106" s="4" t="str">
        <f>IFERROR(__xludf.DUMMYFUNCTION("""COMPUTED_VALUE"""),"")</f>
        <v/>
      </c>
      <c r="K1106" s="4" t="str">
        <f>IFERROR(__xludf.DUMMYFUNCTION("""COMPUTED_VALUE"""),"Web Summit Trailer - full")</f>
        <v>Web Summit Trailer - full</v>
      </c>
      <c r="L1106" s="4" t="str">
        <f>IFERROR(__xludf.DUMMYFUNCTION("""COMPUTED_VALUE"""),"")</f>
        <v/>
      </c>
      <c r="M1106" s="4" t="str">
        <f>IFERROR(__xludf.DUMMYFUNCTION("""COMPUTED_VALUE"""),"Collision From Home Promo")</f>
        <v>Collision From Home Promo</v>
      </c>
      <c r="N1106" s="4" t="str">
        <f>IFERROR(__xludf.DUMMYFUNCTION("""COMPUTED_VALUE"""),"")</f>
        <v/>
      </c>
      <c r="O1106" s="4" t="str">
        <f>IFERROR(__xludf.DUMMYFUNCTION("""COMPUTED_VALUE"""),"")</f>
        <v/>
      </c>
      <c r="P1106" s="4" t="str">
        <f>IFERROR(__xludf.DUMMYFUNCTION("""COMPUTED_VALUE"""),"")</f>
        <v/>
      </c>
      <c r="Q1106" s="4" t="str">
        <f>IFERROR(__xludf.DUMMYFUNCTION("""COMPUTED_VALUE"""),"")</f>
        <v/>
      </c>
      <c r="R1106" s="4" t="str">
        <f>IFERROR(__xludf.DUMMYFUNCTION("""COMPUTED_VALUE"""),"")</f>
        <v/>
      </c>
      <c r="S1106" s="4" t="str">
        <f>IFERROR(__xludf.DUMMYFUNCTION("""COMPUTED_VALUE"""),"")</f>
        <v/>
      </c>
      <c r="T1106" s="4" t="str">
        <f>IFERROR(__xludf.DUMMYFUNCTION("""COMPUTED_VALUE"""),"")</f>
        <v/>
      </c>
      <c r="U1106" s="4" t="str">
        <f>IFERROR(__xludf.DUMMYFUNCTION("""COMPUTED_VALUE"""),"")</f>
        <v/>
      </c>
      <c r="V1106" s="4" t="str">
        <f>IFERROR(__xludf.DUMMYFUNCTION("""COMPUTED_VALUE"""),"")</f>
        <v/>
      </c>
      <c r="W1106" s="4" t="str">
        <f>IFERROR(__xludf.DUMMYFUNCTION("""COMPUTED_VALUE"""),"")</f>
        <v/>
      </c>
      <c r="X1106" s="4" t="str">
        <f>IFERROR(__xludf.DUMMYFUNCTION("""COMPUTED_VALUE"""),"")</f>
        <v/>
      </c>
      <c r="Y1106" s="4" t="str">
        <f>IFERROR(__xludf.DUMMYFUNCTION("""COMPUTED_VALUE"""),"")</f>
        <v/>
      </c>
    </row>
    <row r="1107">
      <c r="A1107" s="4" t="str">
        <f>IFERROR(__xludf.DUMMYFUNCTION("""COMPUTED_VALUE"""),"1210 - Channel")</f>
        <v>1210 - Channel</v>
      </c>
      <c r="B1107" s="4" t="str">
        <f>IFERROR(__xludf.DUMMYFUNCTION("""COMPUTED_VALUE"""),"Channel 4")</f>
        <v>Channel 4</v>
      </c>
      <c r="C1107" s="4" t="str">
        <f>IFERROR(__xludf.DUMMYFUNCTION("""COMPUTED_VALUE"""),"Day 3 - 25/06")</f>
        <v>Day 3 - 25/06</v>
      </c>
      <c r="D1107" s="6">
        <f>IFERROR(__xludf.DUMMYFUNCTION("""COMPUTED_VALUE"""),0.6254976851851852)</f>
        <v>0.6254976852</v>
      </c>
      <c r="E1107" s="6">
        <f>IFERROR(__xludf.DUMMYFUNCTION("""COMPUTED_VALUE"""),3.4722222222222224E-4)</f>
        <v>0.0003472222222</v>
      </c>
      <c r="F1107" s="6">
        <f>IFERROR(__xludf.DUMMYFUNCTION("""COMPUTED_VALUE"""),0.6258449074074075)</f>
        <v>0.6258449074</v>
      </c>
      <c r="G1107" s="4" t="str">
        <f>IFERROR(__xludf.DUMMYFUNCTION("""COMPUTED_VALUE"""),"")</f>
        <v/>
      </c>
      <c r="H1107" s="4" t="str">
        <f>IFERROR(__xludf.DUMMYFUNCTION("""COMPUTED_VALUE"""),"")</f>
        <v/>
      </c>
      <c r="I1107" s="4" t="str">
        <f>IFERROR(__xludf.DUMMYFUNCTION("""COMPUTED_VALUE"""),"")</f>
        <v/>
      </c>
      <c r="J1107" s="4" t="str">
        <f>IFERROR(__xludf.DUMMYFUNCTION("""COMPUTED_VALUE"""),"")</f>
        <v/>
      </c>
      <c r="K1107" s="4" t="str">
        <f>IFERROR(__xludf.DUMMYFUNCTION("""COMPUTED_VALUE"""),"Talk Intro")</f>
        <v>Talk Intro</v>
      </c>
      <c r="L1107" s="4" t="str">
        <f>IFERROR(__xludf.DUMMYFUNCTION("""COMPUTED_VALUE"""),"")</f>
        <v/>
      </c>
      <c r="M1107" s="4" t="str">
        <f>IFERROR(__xludf.DUMMYFUNCTION("""COMPUTED_VALUE"""),"MC Intro")</f>
        <v>MC Intro</v>
      </c>
      <c r="N1107" s="4" t="str">
        <f>IFERROR(__xludf.DUMMYFUNCTION("""COMPUTED_VALUE"""),"")</f>
        <v/>
      </c>
      <c r="O1107" s="4" t="str">
        <f>IFERROR(__xludf.DUMMYFUNCTION("""COMPUTED_VALUE"""),"")</f>
        <v/>
      </c>
      <c r="P1107" s="4" t="str">
        <f>IFERROR(__xludf.DUMMYFUNCTION("""COMPUTED_VALUE"""),"")</f>
        <v/>
      </c>
      <c r="Q1107" s="4" t="str">
        <f>IFERROR(__xludf.DUMMYFUNCTION("""COMPUTED_VALUE"""),"")</f>
        <v/>
      </c>
      <c r="R1107" s="4" t="str">
        <f>IFERROR(__xludf.DUMMYFUNCTION("""COMPUTED_VALUE"""),"")</f>
        <v/>
      </c>
      <c r="S1107" s="4" t="str">
        <f>IFERROR(__xludf.DUMMYFUNCTION("""COMPUTED_VALUE"""),"")</f>
        <v/>
      </c>
      <c r="T1107" s="4" t="str">
        <f>IFERROR(__xludf.DUMMYFUNCTION("""COMPUTED_VALUE"""),"")</f>
        <v/>
      </c>
      <c r="U1107" s="4" t="str">
        <f>IFERROR(__xludf.DUMMYFUNCTION("""COMPUTED_VALUE"""),"")</f>
        <v/>
      </c>
      <c r="V1107" s="4" t="str">
        <f>IFERROR(__xludf.DUMMYFUNCTION("""COMPUTED_VALUE"""),"")</f>
        <v/>
      </c>
      <c r="W1107" s="4" t="str">
        <f>IFERROR(__xludf.DUMMYFUNCTION("""COMPUTED_VALUE"""),"")</f>
        <v/>
      </c>
      <c r="X1107" s="4" t="str">
        <f>IFERROR(__xludf.DUMMYFUNCTION("""COMPUTED_VALUE"""),"")</f>
        <v/>
      </c>
      <c r="Y1107" s="4" t="str">
        <f>IFERROR(__xludf.DUMMYFUNCTION("""COMPUTED_VALUE"""),"")</f>
        <v/>
      </c>
    </row>
    <row r="1108">
      <c r="A1108" s="4" t="str">
        <f>IFERROR(__xludf.DUMMYFUNCTION("""COMPUTED_VALUE"""),"1211 - Channel")</f>
        <v>1211 - Channel</v>
      </c>
      <c r="B1108" s="4" t="str">
        <f>IFERROR(__xludf.DUMMYFUNCTION("""COMPUTED_VALUE"""),"Channel 4")</f>
        <v>Channel 4</v>
      </c>
      <c r="C1108" s="4" t="str">
        <f>IFERROR(__xludf.DUMMYFUNCTION("""COMPUTED_VALUE"""),"Day 3 - 25/06")</f>
        <v>Day 3 - 25/06</v>
      </c>
      <c r="D1108" s="6">
        <f>IFERROR(__xludf.DUMMYFUNCTION("""COMPUTED_VALUE"""),0.6258449074074075)</f>
        <v>0.6258449074</v>
      </c>
      <c r="E1108" s="6">
        <f>IFERROR(__xludf.DUMMYFUNCTION("""COMPUTED_VALUE"""),0.025185185185185185)</f>
        <v>0.02518518519</v>
      </c>
      <c r="F1108" s="6">
        <f>IFERROR(__xludf.DUMMYFUNCTION("""COMPUTED_VALUE"""),0.6510300925925927)</f>
        <v>0.6510300926</v>
      </c>
      <c r="G1108" s="4" t="str">
        <f>IFERROR(__xludf.DUMMYFUNCTION("""COMPUTED_VALUE"""),"Colm")</f>
        <v>Colm</v>
      </c>
      <c r="H1108" s="4" t="str">
        <f>IFERROR(__xludf.DUMMYFUNCTION("""COMPUTED_VALUE"""),"Stephen")</f>
        <v>Stephen</v>
      </c>
      <c r="I1108" s="4" t="str">
        <f>IFERROR(__xludf.DUMMYFUNCTION("""COMPUTED_VALUE"""),"Manon")</f>
        <v>Manon</v>
      </c>
      <c r="J1108" s="4" t="str">
        <f>IFERROR(__xludf.DUMMYFUNCTION("""COMPUTED_VALUE"""),"")</f>
        <v/>
      </c>
      <c r="K1108" s="4" t="str">
        <f>IFERROR(__xludf.DUMMYFUNCTION("""COMPUTED_VALUE"""),"Podcast")</f>
        <v>Podcast</v>
      </c>
      <c r="L1108" s="4" t="str">
        <f>IFERROR(__xludf.DUMMYFUNCTION("""COMPUTED_VALUE"""),"T- 7 - 04/05/2020")</f>
        <v>T- 7 - 04/05/2020</v>
      </c>
      <c r="M1108" s="4" t="str">
        <f>IFERROR(__xludf.DUMMYFUNCTION("""COMPUTED_VALUE"""),"In depth: Nikolaj Coster-Waldau")</f>
        <v>In depth: Nikolaj Coster-Waldau</v>
      </c>
      <c r="N1108" s="4" t="str">
        <f>IFERROR(__xludf.DUMMYFUNCTION("""COMPUTED_VALUE"""),"Nikolaj Coster-Waldau, Nikolaj Coster-Waldau")</f>
        <v>Nikolaj Coster-Waldau, Nikolaj Coster-Waldau</v>
      </c>
      <c r="O1108" s="4" t="str">
        <f>IFERROR(__xludf.DUMMYFUNCTION("""COMPUTED_VALUE"""),"Achim Steiner, UNDP")</f>
        <v>Achim Steiner, UNDP</v>
      </c>
      <c r="P1108" s="4" t="str">
        <f>IFERROR(__xludf.DUMMYFUNCTION("""COMPUTED_VALUE"""),"")</f>
        <v/>
      </c>
      <c r="Q1108" s="4" t="str">
        <f>IFERROR(__xludf.DUMMYFUNCTION("""COMPUTED_VALUE"""),"")</f>
        <v/>
      </c>
      <c r="R1108" s="4" t="str">
        <f>IFERROR(__xludf.DUMMYFUNCTION("""COMPUTED_VALUE"""),"Ana Kasparian, The Young Turks")</f>
        <v>Ana Kasparian, The Young Turks</v>
      </c>
      <c r="S1108" s="4" t="str">
        <f>IFERROR(__xludf.DUMMYFUNCTION("""COMPUTED_VALUE"""),"Nikolaj is best known for his role as Jaime Lannister in HBO’s Game of Thrones. Outside of acting, he is a UNDP Goodwill Ambassador and a passionate advocate for climate action and gender equality.")</f>
        <v>Nikolaj is best known for his role as Jaime Lannister in HBO’s Game of Thrones. Outside of acting, he is a UNDP Goodwill Ambassador and a passionate advocate for climate action and gender equality.</v>
      </c>
      <c r="T1108" s="4" t="str">
        <f>IFERROR(__xludf.DUMMYFUNCTION("""COMPUTED_VALUE"""),"NON-KEYNOTE 9 - COMPLETE")</f>
        <v>NON-KEYNOTE 9 - COMPLETE</v>
      </c>
      <c r="U1108" s="23">
        <f>IFERROR(__xludf.DUMMYFUNCTION("""COMPUTED_VALUE"""),43957.0)</f>
        <v>43957</v>
      </c>
      <c r="V1108" s="24">
        <f>IFERROR(__xludf.DUMMYFUNCTION("""COMPUTED_VALUE"""),0.7291666666666666)</f>
        <v>0.7291666667</v>
      </c>
      <c r="W1108" s="4" t="str">
        <f>IFERROR(__xludf.DUMMYFUNCTION("""COMPUTED_VALUE"""),"COMPLETE")</f>
        <v>COMPLETE</v>
      </c>
      <c r="X1108" s="4" t="str">
        <f>IFERROR(__xludf.DUMMYFUNCTION("""COMPUTED_VALUE"""),"Colm")</f>
        <v>Colm</v>
      </c>
      <c r="Y1108" s="4" t="str">
        <f>IFERROR(__xludf.DUMMYFUNCTION("""COMPUTED_VALUE"""),"")</f>
        <v/>
      </c>
    </row>
    <row r="1109">
      <c r="A1109" s="4" t="str">
        <f>IFERROR(__xludf.DUMMYFUNCTION("""COMPUTED_VALUE"""),"1230 - Channel")</f>
        <v>1230 - Channel</v>
      </c>
      <c r="B1109" s="4" t="str">
        <f>IFERROR(__xludf.DUMMYFUNCTION("""COMPUTED_VALUE"""),"Channel 4")</f>
        <v>Channel 4</v>
      </c>
      <c r="C1109" s="4" t="str">
        <f>IFERROR(__xludf.DUMMYFUNCTION("""COMPUTED_VALUE"""),"Day 3 - 25/06")</f>
        <v>Day 3 - 25/06</v>
      </c>
      <c r="D1109" s="6">
        <f>IFERROR(__xludf.DUMMYFUNCTION("""COMPUTED_VALUE"""),0.6510300925925927)</f>
        <v>0.6510300926</v>
      </c>
      <c r="E1109" s="6">
        <f>IFERROR(__xludf.DUMMYFUNCTION("""COMPUTED_VALUE"""),0.001388888888888889)</f>
        <v>0.001388888889</v>
      </c>
      <c r="F1109" s="6">
        <f>IFERROR(__xludf.DUMMYFUNCTION("""COMPUTED_VALUE"""),0.6524189814814816)</f>
        <v>0.6524189815</v>
      </c>
      <c r="G1109" s="4" t="str">
        <f>IFERROR(__xludf.DUMMYFUNCTION("""COMPUTED_VALUE"""),"")</f>
        <v/>
      </c>
      <c r="H1109" s="4" t="str">
        <f>IFERROR(__xludf.DUMMYFUNCTION("""COMPUTED_VALUE"""),"")</f>
        <v/>
      </c>
      <c r="I1109" s="4" t="str">
        <f>IFERROR(__xludf.DUMMYFUNCTION("""COMPUTED_VALUE"""),"")</f>
        <v/>
      </c>
      <c r="J1109" s="4" t="str">
        <f>IFERROR(__xludf.DUMMYFUNCTION("""COMPUTED_VALUE"""),"")</f>
        <v/>
      </c>
      <c r="K1109" s="4" t="str">
        <f>IFERROR(__xludf.DUMMYFUNCTION("""COMPUTED_VALUE"""),"Web Summit Trailer - full")</f>
        <v>Web Summit Trailer - full</v>
      </c>
      <c r="L1109" s="4" t="str">
        <f>IFERROR(__xludf.DUMMYFUNCTION("""COMPUTED_VALUE"""),"")</f>
        <v/>
      </c>
      <c r="M1109" s="4" t="str">
        <f>IFERROR(__xludf.DUMMYFUNCTION("""COMPUTED_VALUE"""),"Collision From Home Promo")</f>
        <v>Collision From Home Promo</v>
      </c>
      <c r="N1109" s="4" t="str">
        <f>IFERROR(__xludf.DUMMYFUNCTION("""COMPUTED_VALUE"""),"")</f>
        <v/>
      </c>
      <c r="O1109" s="4" t="str">
        <f>IFERROR(__xludf.DUMMYFUNCTION("""COMPUTED_VALUE"""),"")</f>
        <v/>
      </c>
      <c r="P1109" s="4" t="str">
        <f>IFERROR(__xludf.DUMMYFUNCTION("""COMPUTED_VALUE"""),"")</f>
        <v/>
      </c>
      <c r="Q1109" s="4" t="str">
        <f>IFERROR(__xludf.DUMMYFUNCTION("""COMPUTED_VALUE"""),"")</f>
        <v/>
      </c>
      <c r="R1109" s="4" t="str">
        <f>IFERROR(__xludf.DUMMYFUNCTION("""COMPUTED_VALUE"""),"")</f>
        <v/>
      </c>
      <c r="S1109" s="4" t="str">
        <f>IFERROR(__xludf.DUMMYFUNCTION("""COMPUTED_VALUE"""),"")</f>
        <v/>
      </c>
      <c r="T1109" s="4" t="str">
        <f>IFERROR(__xludf.DUMMYFUNCTION("""COMPUTED_VALUE"""),"")</f>
        <v/>
      </c>
      <c r="U1109" s="4" t="str">
        <f>IFERROR(__xludf.DUMMYFUNCTION("""COMPUTED_VALUE"""),"")</f>
        <v/>
      </c>
      <c r="V1109" s="4" t="str">
        <f>IFERROR(__xludf.DUMMYFUNCTION("""COMPUTED_VALUE"""),"")</f>
        <v/>
      </c>
      <c r="W1109" s="4" t="str">
        <f>IFERROR(__xludf.DUMMYFUNCTION("""COMPUTED_VALUE"""),"")</f>
        <v/>
      </c>
      <c r="X1109" s="4" t="str">
        <f>IFERROR(__xludf.DUMMYFUNCTION("""COMPUTED_VALUE"""),"")</f>
        <v/>
      </c>
      <c r="Y1109" s="4" t="str">
        <f>IFERROR(__xludf.DUMMYFUNCTION("""COMPUTED_VALUE"""),"")</f>
        <v/>
      </c>
    </row>
    <row r="1110">
      <c r="A1110" s="4" t="str">
        <f>IFERROR(__xludf.DUMMYFUNCTION("""COMPUTED_VALUE"""),"1693 - Channel")</f>
        <v>1693 - Channel</v>
      </c>
      <c r="B1110" s="4" t="str">
        <f>IFERROR(__xludf.DUMMYFUNCTION("""COMPUTED_VALUE"""),"Channel 4")</f>
        <v>Channel 4</v>
      </c>
      <c r="C1110" s="4" t="str">
        <f>IFERROR(__xludf.DUMMYFUNCTION("""COMPUTED_VALUE"""),"Day 3 - 25/06")</f>
        <v>Day 3 - 25/06</v>
      </c>
      <c r="D1110" s="6">
        <f>IFERROR(__xludf.DUMMYFUNCTION("""COMPUTED_VALUE"""),0.6524189814814816)</f>
        <v>0.6524189815</v>
      </c>
      <c r="E1110" s="6">
        <f>IFERROR(__xludf.DUMMYFUNCTION("""COMPUTED_VALUE"""),3.4722222222222224E-4)</f>
        <v>0.0003472222222</v>
      </c>
      <c r="F1110" s="6">
        <f>IFERROR(__xludf.DUMMYFUNCTION("""COMPUTED_VALUE"""),0.6527662037037039)</f>
        <v>0.6527662037</v>
      </c>
      <c r="G1110" s="4" t="str">
        <f>IFERROR(__xludf.DUMMYFUNCTION("""COMPUTED_VALUE"""),"")</f>
        <v/>
      </c>
      <c r="H1110" s="4" t="str">
        <f>IFERROR(__xludf.DUMMYFUNCTION("""COMPUTED_VALUE"""),"")</f>
        <v/>
      </c>
      <c r="I1110" s="4" t="str">
        <f>IFERROR(__xludf.DUMMYFUNCTION("""COMPUTED_VALUE"""),"")</f>
        <v/>
      </c>
      <c r="J1110" s="4" t="str">
        <f>IFERROR(__xludf.DUMMYFUNCTION("""COMPUTED_VALUE"""),"")</f>
        <v/>
      </c>
      <c r="K1110" s="4" t="str">
        <f>IFERROR(__xludf.DUMMYFUNCTION("""COMPUTED_VALUE"""),"Talk Intro")</f>
        <v>Talk Intro</v>
      </c>
      <c r="L1110" s="4" t="str">
        <f>IFERROR(__xludf.DUMMYFUNCTION("""COMPUTED_VALUE"""),"")</f>
        <v/>
      </c>
      <c r="M1110" s="4" t="str">
        <f>IFERROR(__xludf.DUMMYFUNCTION("""COMPUTED_VALUE"""),"MC Intro")</f>
        <v>MC Intro</v>
      </c>
      <c r="N1110" s="4" t="str">
        <f>IFERROR(__xludf.DUMMYFUNCTION("""COMPUTED_VALUE"""),"")</f>
        <v/>
      </c>
      <c r="O1110" s="4" t="str">
        <f>IFERROR(__xludf.DUMMYFUNCTION("""COMPUTED_VALUE"""),"")</f>
        <v/>
      </c>
      <c r="P1110" s="4" t="str">
        <f>IFERROR(__xludf.DUMMYFUNCTION("""COMPUTED_VALUE"""),"")</f>
        <v/>
      </c>
      <c r="Q1110" s="4" t="str">
        <f>IFERROR(__xludf.DUMMYFUNCTION("""COMPUTED_VALUE"""),"")</f>
        <v/>
      </c>
      <c r="R1110" s="4" t="str">
        <f>IFERROR(__xludf.DUMMYFUNCTION("""COMPUTED_VALUE"""),"")</f>
        <v/>
      </c>
      <c r="S1110" s="4" t="str">
        <f>IFERROR(__xludf.DUMMYFUNCTION("""COMPUTED_VALUE"""),"")</f>
        <v/>
      </c>
      <c r="T1110" s="4" t="str">
        <f>IFERROR(__xludf.DUMMYFUNCTION("""COMPUTED_VALUE"""),"")</f>
        <v/>
      </c>
      <c r="U1110" s="4" t="str">
        <f>IFERROR(__xludf.DUMMYFUNCTION("""COMPUTED_VALUE"""),"")</f>
        <v/>
      </c>
      <c r="V1110" s="4" t="str">
        <f>IFERROR(__xludf.DUMMYFUNCTION("""COMPUTED_VALUE"""),"")</f>
        <v/>
      </c>
      <c r="W1110" s="4" t="str">
        <f>IFERROR(__xludf.DUMMYFUNCTION("""COMPUTED_VALUE"""),"")</f>
        <v/>
      </c>
      <c r="X1110" s="4" t="str">
        <f>IFERROR(__xludf.DUMMYFUNCTION("""COMPUTED_VALUE"""),"")</f>
        <v/>
      </c>
      <c r="Y1110" s="4" t="str">
        <f>IFERROR(__xludf.DUMMYFUNCTION("""COMPUTED_VALUE"""),"")</f>
        <v/>
      </c>
    </row>
    <row r="1111">
      <c r="A1111" s="4" t="str">
        <f>IFERROR(__xludf.DUMMYFUNCTION("""COMPUTED_VALUE"""),"1694 - Channel")</f>
        <v>1694 - Channel</v>
      </c>
      <c r="B1111" s="4" t="str">
        <f>IFERROR(__xludf.DUMMYFUNCTION("""COMPUTED_VALUE"""),"Channel 4")</f>
        <v>Channel 4</v>
      </c>
      <c r="C1111" s="4" t="str">
        <f>IFERROR(__xludf.DUMMYFUNCTION("""COMPUTED_VALUE"""),"Day 3 - 25/06")</f>
        <v>Day 3 - 25/06</v>
      </c>
      <c r="D1111" s="6">
        <f>IFERROR(__xludf.DUMMYFUNCTION("""COMPUTED_VALUE"""),0.6527662037037039)</f>
        <v>0.6527662037</v>
      </c>
      <c r="E1111" s="6">
        <f>IFERROR(__xludf.DUMMYFUNCTION("""COMPUTED_VALUE"""),0.00712962962962963)</f>
        <v>0.00712962963</v>
      </c>
      <c r="F1111" s="6">
        <f>IFERROR(__xludf.DUMMYFUNCTION("""COMPUTED_VALUE"""),0.6598958333333335)</f>
        <v>0.6598958333</v>
      </c>
      <c r="G1111" s="4" t="str">
        <f>IFERROR(__xludf.DUMMYFUNCTION("""COMPUTED_VALUE"""),"")</f>
        <v/>
      </c>
      <c r="H1111" s="4" t="str">
        <f>IFERROR(__xludf.DUMMYFUNCTION("""COMPUTED_VALUE"""),"")</f>
        <v/>
      </c>
      <c r="I1111" s="4" t="str">
        <f>IFERROR(__xludf.DUMMYFUNCTION("""COMPUTED_VALUE"""),"")</f>
        <v/>
      </c>
      <c r="J1111" s="4" t="str">
        <f>IFERROR(__xludf.DUMMYFUNCTION("""COMPUTED_VALUE"""),"")</f>
        <v/>
      </c>
      <c r="K1111" s="4" t="str">
        <f>IFERROR(__xludf.DUMMYFUNCTION("""COMPUTED_VALUE"""),"Fireside")</f>
        <v>Fireside</v>
      </c>
      <c r="L1111" s="4" t="str">
        <f>IFERROR(__xludf.DUMMYFUNCTION("""COMPUTED_VALUE"""),"")</f>
        <v/>
      </c>
      <c r="M1111" s="4" t="str">
        <f>IFERROR(__xludf.DUMMYFUNCTION("""COMPUTED_VALUE"""),"To pay or not to pay: What content should be free")</f>
        <v>To pay or not to pay: What content should be free</v>
      </c>
      <c r="N1111" s="4" t="str">
        <f>IFERROR(__xludf.DUMMYFUNCTION("""COMPUTED_VALUE"""),"Tom Ryan, Pluto Tv")</f>
        <v>Tom Ryan, Pluto Tv</v>
      </c>
      <c r="O1111" s="4" t="str">
        <f>IFERROR(__xludf.DUMMYFUNCTION("""COMPUTED_VALUE"""),"")</f>
        <v/>
      </c>
      <c r="P1111" s="4" t="str">
        <f>IFERROR(__xludf.DUMMYFUNCTION("""COMPUTED_VALUE"""),"")</f>
        <v/>
      </c>
      <c r="Q1111" s="4" t="str">
        <f>IFERROR(__xludf.DUMMYFUNCTION("""COMPUTED_VALUE"""),"")</f>
        <v/>
      </c>
      <c r="R1111" s="4" t="str">
        <f>IFERROR(__xludf.DUMMYFUNCTION("""COMPUTED_VALUE"""),"Lisa Bragg, MediaFace")</f>
        <v>Lisa Bragg, MediaFace</v>
      </c>
      <c r="S1111" s="4" t="str">
        <f>IFERROR(__xludf.DUMMYFUNCTION("""COMPUTED_VALUE"""),"Will the future of TV be defined by the ubiquitous paid subscription service or the free advertising-based linear model? Can they co-exist, or will one format dominate? With a $340 million sale to Viacom and more than 22 million monthly users, Pluto TV is"&amp;" an OTT streaming service which is betting big on a future of being free.")</f>
        <v>Will the future of TV be defined by the ubiquitous paid subscription service or the free advertising-based linear model? Can they co-exist, or will one format dominate? With a $340 million sale to Viacom and more than 22 million monthly users, Pluto TV is an OTT streaming service which is betting big on a future of being free.</v>
      </c>
      <c r="T1111" s="4" t="str">
        <f>IFERROR(__xludf.DUMMYFUNCTION("""COMPUTED_VALUE"""),"NON-KEYNOTE 9 - COMPLETE")</f>
        <v>NON-KEYNOTE 9 - COMPLETE</v>
      </c>
      <c r="U1111" s="4" t="str">
        <f>IFERROR(__xludf.DUMMYFUNCTION("""COMPUTED_VALUE"""),"")</f>
        <v/>
      </c>
      <c r="V1111" s="4" t="str">
        <f>IFERROR(__xludf.DUMMYFUNCTION("""COMPUTED_VALUE"""),"")</f>
        <v/>
      </c>
      <c r="W1111" s="4" t="str">
        <f>IFERROR(__xludf.DUMMYFUNCTION("""COMPUTED_VALUE"""),"COMPLETE")</f>
        <v>COMPLETE</v>
      </c>
      <c r="X1111" s="4" t="str">
        <f>IFERROR(__xludf.DUMMYFUNCTION("""COMPUTED_VALUE"""),"")</f>
        <v/>
      </c>
      <c r="Y1111" s="4" t="str">
        <f>IFERROR(__xludf.DUMMYFUNCTION("""COMPUTED_VALUE"""),"")</f>
        <v/>
      </c>
    </row>
    <row r="1112">
      <c r="A1112" s="4" t="str">
        <f>IFERROR(__xludf.DUMMYFUNCTION("""COMPUTED_VALUE"""),"1695 - Channel")</f>
        <v>1695 - Channel</v>
      </c>
      <c r="B1112" s="4" t="str">
        <f>IFERROR(__xludf.DUMMYFUNCTION("""COMPUTED_VALUE"""),"Channel 4")</f>
        <v>Channel 4</v>
      </c>
      <c r="C1112" s="4" t="str">
        <f>IFERROR(__xludf.DUMMYFUNCTION("""COMPUTED_VALUE"""),"Day 3 - 25/06")</f>
        <v>Day 3 - 25/06</v>
      </c>
      <c r="D1112" s="6">
        <f>IFERROR(__xludf.DUMMYFUNCTION("""COMPUTED_VALUE"""),0.6598958333333335)</f>
        <v>0.6598958333</v>
      </c>
      <c r="E1112" s="6">
        <f>IFERROR(__xludf.DUMMYFUNCTION("""COMPUTED_VALUE"""),0.0012037037037037038)</f>
        <v>0.001203703704</v>
      </c>
      <c r="F1112" s="6">
        <f>IFERROR(__xludf.DUMMYFUNCTION("""COMPUTED_VALUE"""),0.6610995370370372)</f>
        <v>0.661099537</v>
      </c>
      <c r="G1112" s="4" t="str">
        <f>IFERROR(__xludf.DUMMYFUNCTION("""COMPUTED_VALUE"""),"")</f>
        <v/>
      </c>
      <c r="H1112" s="4" t="str">
        <f>IFERROR(__xludf.DUMMYFUNCTION("""COMPUTED_VALUE"""),"")</f>
        <v/>
      </c>
      <c r="I1112" s="4" t="str">
        <f>IFERROR(__xludf.DUMMYFUNCTION("""COMPUTED_VALUE"""),"")</f>
        <v/>
      </c>
      <c r="J1112" s="4" t="str">
        <f>IFERROR(__xludf.DUMMYFUNCTION("""COMPUTED_VALUE"""),"")</f>
        <v/>
      </c>
      <c r="K1112" s="4" t="str">
        <f>IFERROR(__xludf.DUMMYFUNCTION("""COMPUTED_VALUE"""),"Web Summit Trailer - full")</f>
        <v>Web Summit Trailer - full</v>
      </c>
      <c r="L1112" s="4" t="str">
        <f>IFERROR(__xludf.DUMMYFUNCTION("""COMPUTED_VALUE"""),"")</f>
        <v/>
      </c>
      <c r="M1112" s="4" t="str">
        <f>IFERROR(__xludf.DUMMYFUNCTION("""COMPUTED_VALUE"""),"Collision From Home Promo")</f>
        <v>Collision From Home Promo</v>
      </c>
      <c r="N1112" s="4" t="str">
        <f>IFERROR(__xludf.DUMMYFUNCTION("""COMPUTED_VALUE"""),"")</f>
        <v/>
      </c>
      <c r="O1112" s="4" t="str">
        <f>IFERROR(__xludf.DUMMYFUNCTION("""COMPUTED_VALUE"""),"")</f>
        <v/>
      </c>
      <c r="P1112" s="4" t="str">
        <f>IFERROR(__xludf.DUMMYFUNCTION("""COMPUTED_VALUE"""),"")</f>
        <v/>
      </c>
      <c r="Q1112" s="4" t="str">
        <f>IFERROR(__xludf.DUMMYFUNCTION("""COMPUTED_VALUE"""),"")</f>
        <v/>
      </c>
      <c r="R1112" s="4" t="str">
        <f>IFERROR(__xludf.DUMMYFUNCTION("""COMPUTED_VALUE"""),"")</f>
        <v/>
      </c>
      <c r="S1112" s="4" t="str">
        <f>IFERROR(__xludf.DUMMYFUNCTION("""COMPUTED_VALUE"""),"")</f>
        <v/>
      </c>
      <c r="T1112" s="4" t="str">
        <f>IFERROR(__xludf.DUMMYFUNCTION("""COMPUTED_VALUE"""),"")</f>
        <v/>
      </c>
      <c r="U1112" s="4" t="str">
        <f>IFERROR(__xludf.DUMMYFUNCTION("""COMPUTED_VALUE"""),"")</f>
        <v/>
      </c>
      <c r="V1112" s="4" t="str">
        <f>IFERROR(__xludf.DUMMYFUNCTION("""COMPUTED_VALUE"""),"")</f>
        <v/>
      </c>
      <c r="W1112" s="4" t="str">
        <f>IFERROR(__xludf.DUMMYFUNCTION("""COMPUTED_VALUE"""),"")</f>
        <v/>
      </c>
      <c r="X1112" s="4" t="str">
        <f>IFERROR(__xludf.DUMMYFUNCTION("""COMPUTED_VALUE"""),"")</f>
        <v/>
      </c>
      <c r="Y1112" s="4" t="str">
        <f>IFERROR(__xludf.DUMMYFUNCTION("""COMPUTED_VALUE"""),"")</f>
        <v/>
      </c>
    </row>
    <row r="1113">
      <c r="A1113" s="4" t="str">
        <f>IFERROR(__xludf.DUMMYFUNCTION("""COMPUTED_VALUE"""),"1696 - Channel")</f>
        <v>1696 - Channel</v>
      </c>
      <c r="B1113" s="4" t="str">
        <f>IFERROR(__xludf.DUMMYFUNCTION("""COMPUTED_VALUE"""),"Channel 4")</f>
        <v>Channel 4</v>
      </c>
      <c r="C1113" s="4" t="str">
        <f>IFERROR(__xludf.DUMMYFUNCTION("""COMPUTED_VALUE"""),"Day 3 - 25/06")</f>
        <v>Day 3 - 25/06</v>
      </c>
      <c r="D1113" s="6">
        <f>IFERROR(__xludf.DUMMYFUNCTION("""COMPUTED_VALUE"""),0.6610995370370372)</f>
        <v>0.661099537</v>
      </c>
      <c r="E1113" s="6">
        <f>IFERROR(__xludf.DUMMYFUNCTION("""COMPUTED_VALUE"""),3.4722222222222224E-4)</f>
        <v>0.0003472222222</v>
      </c>
      <c r="F1113" s="6">
        <f>IFERROR(__xludf.DUMMYFUNCTION("""COMPUTED_VALUE"""),0.6614467592592594)</f>
        <v>0.6614467593</v>
      </c>
      <c r="G1113" s="4" t="str">
        <f>IFERROR(__xludf.DUMMYFUNCTION("""COMPUTED_VALUE"""),"")</f>
        <v/>
      </c>
      <c r="H1113" s="4" t="str">
        <f>IFERROR(__xludf.DUMMYFUNCTION("""COMPUTED_VALUE"""),"")</f>
        <v/>
      </c>
      <c r="I1113" s="4" t="str">
        <f>IFERROR(__xludf.DUMMYFUNCTION("""COMPUTED_VALUE"""),"")</f>
        <v/>
      </c>
      <c r="J1113" s="4" t="str">
        <f>IFERROR(__xludf.DUMMYFUNCTION("""COMPUTED_VALUE"""),"")</f>
        <v/>
      </c>
      <c r="K1113" s="4" t="str">
        <f>IFERROR(__xludf.DUMMYFUNCTION("""COMPUTED_VALUE"""),"Talk Intro")</f>
        <v>Talk Intro</v>
      </c>
      <c r="L1113" s="4" t="str">
        <f>IFERROR(__xludf.DUMMYFUNCTION("""COMPUTED_VALUE"""),"")</f>
        <v/>
      </c>
      <c r="M1113" s="4" t="str">
        <f>IFERROR(__xludf.DUMMYFUNCTION("""COMPUTED_VALUE"""),"MC Intro")</f>
        <v>MC Intro</v>
      </c>
      <c r="N1113" s="4" t="str">
        <f>IFERROR(__xludf.DUMMYFUNCTION("""COMPUTED_VALUE"""),"")</f>
        <v/>
      </c>
      <c r="O1113" s="4" t="str">
        <f>IFERROR(__xludf.DUMMYFUNCTION("""COMPUTED_VALUE"""),"")</f>
        <v/>
      </c>
      <c r="P1113" s="4" t="str">
        <f>IFERROR(__xludf.DUMMYFUNCTION("""COMPUTED_VALUE"""),"")</f>
        <v/>
      </c>
      <c r="Q1113" s="4" t="str">
        <f>IFERROR(__xludf.DUMMYFUNCTION("""COMPUTED_VALUE"""),"")</f>
        <v/>
      </c>
      <c r="R1113" s="4" t="str">
        <f>IFERROR(__xludf.DUMMYFUNCTION("""COMPUTED_VALUE"""),"")</f>
        <v/>
      </c>
      <c r="S1113" s="4" t="str">
        <f>IFERROR(__xludf.DUMMYFUNCTION("""COMPUTED_VALUE"""),"")</f>
        <v/>
      </c>
      <c r="T1113" s="4" t="str">
        <f>IFERROR(__xludf.DUMMYFUNCTION("""COMPUTED_VALUE"""),"")</f>
        <v/>
      </c>
      <c r="U1113" s="4" t="str">
        <f>IFERROR(__xludf.DUMMYFUNCTION("""COMPUTED_VALUE"""),"")</f>
        <v/>
      </c>
      <c r="V1113" s="4" t="str">
        <f>IFERROR(__xludf.DUMMYFUNCTION("""COMPUTED_VALUE"""),"")</f>
        <v/>
      </c>
      <c r="W1113" s="4" t="str">
        <f>IFERROR(__xludf.DUMMYFUNCTION("""COMPUTED_VALUE"""),"")</f>
        <v/>
      </c>
      <c r="X1113" s="4" t="str">
        <f>IFERROR(__xludf.DUMMYFUNCTION("""COMPUTED_VALUE"""),"")</f>
        <v/>
      </c>
      <c r="Y1113" s="4" t="str">
        <f>IFERROR(__xludf.DUMMYFUNCTION("""COMPUTED_VALUE"""),"")</f>
        <v/>
      </c>
    </row>
    <row r="1114">
      <c r="A1114" s="4" t="str">
        <f>IFERROR(__xludf.DUMMYFUNCTION("""COMPUTED_VALUE"""),"1697 - Channel")</f>
        <v>1697 - Channel</v>
      </c>
      <c r="B1114" s="4" t="str">
        <f>IFERROR(__xludf.DUMMYFUNCTION("""COMPUTED_VALUE"""),"Channel 4")</f>
        <v>Channel 4</v>
      </c>
      <c r="C1114" s="4" t="str">
        <f>IFERROR(__xludf.DUMMYFUNCTION("""COMPUTED_VALUE"""),"Day 3 - 25/06")</f>
        <v>Day 3 - 25/06</v>
      </c>
      <c r="D1114" s="6">
        <f>IFERROR(__xludf.DUMMYFUNCTION("""COMPUTED_VALUE"""),0.6614467592592594)</f>
        <v>0.6614467593</v>
      </c>
      <c r="E1114" s="6">
        <f>IFERROR(__xludf.DUMMYFUNCTION("""COMPUTED_VALUE"""),0.010416666666666666)</f>
        <v>0.01041666667</v>
      </c>
      <c r="F1114" s="6">
        <f>IFERROR(__xludf.DUMMYFUNCTION("""COMPUTED_VALUE"""),0.6718634259259261)</f>
        <v>0.6718634259</v>
      </c>
      <c r="G1114" s="4" t="str">
        <f>IFERROR(__xludf.DUMMYFUNCTION("""COMPUTED_VALUE"""),"")</f>
        <v/>
      </c>
      <c r="H1114" s="4" t="str">
        <f>IFERROR(__xludf.DUMMYFUNCTION("""COMPUTED_VALUE"""),"")</f>
        <v/>
      </c>
      <c r="I1114" s="4" t="str">
        <f>IFERROR(__xludf.DUMMYFUNCTION("""COMPUTED_VALUE"""),"")</f>
        <v/>
      </c>
      <c r="J1114" s="4" t="str">
        <f>IFERROR(__xludf.DUMMYFUNCTION("""COMPUTED_VALUE"""),"")</f>
        <v/>
      </c>
      <c r="K1114" s="4" t="str">
        <f>IFERROR(__xludf.DUMMYFUNCTION("""COMPUTED_VALUE"""),"Fireside")</f>
        <v>Fireside</v>
      </c>
      <c r="L1114" s="4" t="str">
        <f>IFERROR(__xludf.DUMMYFUNCTION("""COMPUTED_VALUE"""),"")</f>
        <v/>
      </c>
      <c r="M1114" s="4" t="str">
        <f>IFERROR(__xludf.DUMMYFUNCTION("""COMPUTED_VALUE"""),"Autonomy during a pandemic")</f>
        <v>Autonomy during a pandemic</v>
      </c>
      <c r="N1114" s="4" t="str">
        <f>IFERROR(__xludf.DUMMYFUNCTION("""COMPUTED_VALUE"""),"Chuck Price, TuSimple")</f>
        <v>Chuck Price, TuSimple</v>
      </c>
      <c r="O1114" s="4" t="str">
        <f>IFERROR(__xludf.DUMMYFUNCTION("""COMPUTED_VALUE"""),"")</f>
        <v/>
      </c>
      <c r="P1114" s="4" t="str">
        <f>IFERROR(__xludf.DUMMYFUNCTION("""COMPUTED_VALUE"""),"")</f>
        <v/>
      </c>
      <c r="Q1114" s="4" t="str">
        <f>IFERROR(__xludf.DUMMYFUNCTION("""COMPUTED_VALUE"""),"")</f>
        <v/>
      </c>
      <c r="R1114" s="4" t="str">
        <f>IFERROR(__xludf.DUMMYFUNCTION("""COMPUTED_VALUE"""),"Kirsten Korosec, TechCrunch")</f>
        <v>Kirsten Korosec, TechCrunch</v>
      </c>
      <c r="S1114" s="4" t="str">
        <f>IFERROR(__xludf.DUMMYFUNCTION("""COMPUTED_VALUE"""),"Now more than ever, how can we keep logistics ticking over with everyone stuck indoors? Autonomous logistics is hitting its stride.")</f>
        <v>Now more than ever, how can we keep logistics ticking over with everyone stuck indoors? Autonomous logistics is hitting its stride.</v>
      </c>
      <c r="T1114" s="4" t="str">
        <f>IFERROR(__xludf.DUMMYFUNCTION("""COMPUTED_VALUE"""),"NON-KEYNOTE 9 - COMPLETE")</f>
        <v>NON-KEYNOTE 9 - COMPLETE</v>
      </c>
      <c r="U1114" s="4" t="str">
        <f>IFERROR(__xludf.DUMMYFUNCTION("""COMPUTED_VALUE"""),"")</f>
        <v/>
      </c>
      <c r="V1114" s="4" t="str">
        <f>IFERROR(__xludf.DUMMYFUNCTION("""COMPUTED_VALUE"""),"")</f>
        <v/>
      </c>
      <c r="W1114" s="4" t="str">
        <f>IFERROR(__xludf.DUMMYFUNCTION("""COMPUTED_VALUE"""),"COMPLETE")</f>
        <v>COMPLETE</v>
      </c>
      <c r="X1114" s="4" t="str">
        <f>IFERROR(__xludf.DUMMYFUNCTION("""COMPUTED_VALUE"""),"")</f>
        <v/>
      </c>
      <c r="Y1114" s="4" t="str">
        <f>IFERROR(__xludf.DUMMYFUNCTION("""COMPUTED_VALUE"""),"")</f>
        <v/>
      </c>
    </row>
    <row r="1115">
      <c r="A1115" s="4" t="str">
        <f>IFERROR(__xludf.DUMMYFUNCTION("""COMPUTED_VALUE"""),"1698 - Channel")</f>
        <v>1698 - Channel</v>
      </c>
      <c r="B1115" s="4" t="str">
        <f>IFERROR(__xludf.DUMMYFUNCTION("""COMPUTED_VALUE"""),"Channel 4")</f>
        <v>Channel 4</v>
      </c>
      <c r="C1115" s="4" t="str">
        <f>IFERROR(__xludf.DUMMYFUNCTION("""COMPUTED_VALUE"""),"Day 3 - 25/06")</f>
        <v>Day 3 - 25/06</v>
      </c>
      <c r="D1115" s="6">
        <f>IFERROR(__xludf.DUMMYFUNCTION("""COMPUTED_VALUE"""),0.6718634259259261)</f>
        <v>0.6718634259</v>
      </c>
      <c r="E1115" s="6">
        <f>IFERROR(__xludf.DUMMYFUNCTION("""COMPUTED_VALUE"""),0.0012037037037037038)</f>
        <v>0.001203703704</v>
      </c>
      <c r="F1115" s="6">
        <f>IFERROR(__xludf.DUMMYFUNCTION("""COMPUTED_VALUE"""),0.6730671296296298)</f>
        <v>0.6730671296</v>
      </c>
      <c r="G1115" s="4" t="str">
        <f>IFERROR(__xludf.DUMMYFUNCTION("""COMPUTED_VALUE"""),"")</f>
        <v/>
      </c>
      <c r="H1115" s="4" t="str">
        <f>IFERROR(__xludf.DUMMYFUNCTION("""COMPUTED_VALUE"""),"")</f>
        <v/>
      </c>
      <c r="I1115" s="4" t="str">
        <f>IFERROR(__xludf.DUMMYFUNCTION("""COMPUTED_VALUE"""),"")</f>
        <v/>
      </c>
      <c r="J1115" s="4" t="str">
        <f>IFERROR(__xludf.DUMMYFUNCTION("""COMPUTED_VALUE"""),"")</f>
        <v/>
      </c>
      <c r="K1115" s="4" t="str">
        <f>IFERROR(__xludf.DUMMYFUNCTION("""COMPUTED_VALUE"""),"Web Summit Trailer - full")</f>
        <v>Web Summit Trailer - full</v>
      </c>
      <c r="L1115" s="4" t="str">
        <f>IFERROR(__xludf.DUMMYFUNCTION("""COMPUTED_VALUE"""),"")</f>
        <v/>
      </c>
      <c r="M1115" s="4" t="str">
        <f>IFERROR(__xludf.DUMMYFUNCTION("""COMPUTED_VALUE"""),"Collision From Home Promo")</f>
        <v>Collision From Home Promo</v>
      </c>
      <c r="N1115" s="4" t="str">
        <f>IFERROR(__xludf.DUMMYFUNCTION("""COMPUTED_VALUE"""),"")</f>
        <v/>
      </c>
      <c r="O1115" s="4" t="str">
        <f>IFERROR(__xludf.DUMMYFUNCTION("""COMPUTED_VALUE"""),"")</f>
        <v/>
      </c>
      <c r="P1115" s="4" t="str">
        <f>IFERROR(__xludf.DUMMYFUNCTION("""COMPUTED_VALUE"""),"")</f>
        <v/>
      </c>
      <c r="Q1115" s="4" t="str">
        <f>IFERROR(__xludf.DUMMYFUNCTION("""COMPUTED_VALUE"""),"")</f>
        <v/>
      </c>
      <c r="R1115" s="4" t="str">
        <f>IFERROR(__xludf.DUMMYFUNCTION("""COMPUTED_VALUE"""),"")</f>
        <v/>
      </c>
      <c r="S1115" s="4" t="str">
        <f>IFERROR(__xludf.DUMMYFUNCTION("""COMPUTED_VALUE"""),"")</f>
        <v/>
      </c>
      <c r="T1115" s="4" t="str">
        <f>IFERROR(__xludf.DUMMYFUNCTION("""COMPUTED_VALUE"""),"")</f>
        <v/>
      </c>
      <c r="U1115" s="4" t="str">
        <f>IFERROR(__xludf.DUMMYFUNCTION("""COMPUTED_VALUE"""),"")</f>
        <v/>
      </c>
      <c r="V1115" s="4" t="str">
        <f>IFERROR(__xludf.DUMMYFUNCTION("""COMPUTED_VALUE"""),"")</f>
        <v/>
      </c>
      <c r="W1115" s="4" t="str">
        <f>IFERROR(__xludf.DUMMYFUNCTION("""COMPUTED_VALUE"""),"")</f>
        <v/>
      </c>
      <c r="X1115" s="4" t="str">
        <f>IFERROR(__xludf.DUMMYFUNCTION("""COMPUTED_VALUE"""),"")</f>
        <v/>
      </c>
      <c r="Y1115" s="4" t="str">
        <f>IFERROR(__xludf.DUMMYFUNCTION("""COMPUTED_VALUE"""),"")</f>
        <v/>
      </c>
    </row>
    <row r="1116">
      <c r="A1116" s="4" t="str">
        <f>IFERROR(__xludf.DUMMYFUNCTION("""COMPUTED_VALUE"""),"1699 - Channel")</f>
        <v>1699 - Channel</v>
      </c>
      <c r="B1116" s="4" t="str">
        <f>IFERROR(__xludf.DUMMYFUNCTION("""COMPUTED_VALUE"""),"Channel 4")</f>
        <v>Channel 4</v>
      </c>
      <c r="C1116" s="4" t="str">
        <f>IFERROR(__xludf.DUMMYFUNCTION("""COMPUTED_VALUE"""),"Day 3 - 25/06")</f>
        <v>Day 3 - 25/06</v>
      </c>
      <c r="D1116" s="6">
        <f>IFERROR(__xludf.DUMMYFUNCTION("""COMPUTED_VALUE"""),0.6730671296296298)</f>
        <v>0.6730671296</v>
      </c>
      <c r="E1116" s="6">
        <f>IFERROR(__xludf.DUMMYFUNCTION("""COMPUTED_VALUE"""),3.4722222222222224E-4)</f>
        <v>0.0003472222222</v>
      </c>
      <c r="F1116" s="6">
        <f>IFERROR(__xludf.DUMMYFUNCTION("""COMPUTED_VALUE"""),0.673414351851852)</f>
        <v>0.6734143519</v>
      </c>
      <c r="G1116" s="4" t="str">
        <f>IFERROR(__xludf.DUMMYFUNCTION("""COMPUTED_VALUE"""),"")</f>
        <v/>
      </c>
      <c r="H1116" s="4" t="str">
        <f>IFERROR(__xludf.DUMMYFUNCTION("""COMPUTED_VALUE"""),"")</f>
        <v/>
      </c>
      <c r="I1116" s="4" t="str">
        <f>IFERROR(__xludf.DUMMYFUNCTION("""COMPUTED_VALUE"""),"")</f>
        <v/>
      </c>
      <c r="J1116" s="4" t="str">
        <f>IFERROR(__xludf.DUMMYFUNCTION("""COMPUTED_VALUE"""),"")</f>
        <v/>
      </c>
      <c r="K1116" s="4" t="str">
        <f>IFERROR(__xludf.DUMMYFUNCTION("""COMPUTED_VALUE"""),"Talk Intro")</f>
        <v>Talk Intro</v>
      </c>
      <c r="L1116" s="4" t="str">
        <f>IFERROR(__xludf.DUMMYFUNCTION("""COMPUTED_VALUE"""),"")</f>
        <v/>
      </c>
      <c r="M1116" s="4" t="str">
        <f>IFERROR(__xludf.DUMMYFUNCTION("""COMPUTED_VALUE"""),"MC Intro")</f>
        <v>MC Intro</v>
      </c>
      <c r="N1116" s="4" t="str">
        <f>IFERROR(__xludf.DUMMYFUNCTION("""COMPUTED_VALUE"""),"")</f>
        <v/>
      </c>
      <c r="O1116" s="4" t="str">
        <f>IFERROR(__xludf.DUMMYFUNCTION("""COMPUTED_VALUE"""),"")</f>
        <v/>
      </c>
      <c r="P1116" s="4" t="str">
        <f>IFERROR(__xludf.DUMMYFUNCTION("""COMPUTED_VALUE"""),"")</f>
        <v/>
      </c>
      <c r="Q1116" s="4" t="str">
        <f>IFERROR(__xludf.DUMMYFUNCTION("""COMPUTED_VALUE"""),"")</f>
        <v/>
      </c>
      <c r="R1116" s="4" t="str">
        <f>IFERROR(__xludf.DUMMYFUNCTION("""COMPUTED_VALUE"""),"")</f>
        <v/>
      </c>
      <c r="S1116" s="4" t="str">
        <f>IFERROR(__xludf.DUMMYFUNCTION("""COMPUTED_VALUE"""),"")</f>
        <v/>
      </c>
      <c r="T1116" s="4" t="str">
        <f>IFERROR(__xludf.DUMMYFUNCTION("""COMPUTED_VALUE"""),"")</f>
        <v/>
      </c>
      <c r="U1116" s="4" t="str">
        <f>IFERROR(__xludf.DUMMYFUNCTION("""COMPUTED_VALUE"""),"")</f>
        <v/>
      </c>
      <c r="V1116" s="4" t="str">
        <f>IFERROR(__xludf.DUMMYFUNCTION("""COMPUTED_VALUE"""),"")</f>
        <v/>
      </c>
      <c r="W1116" s="4" t="str">
        <f>IFERROR(__xludf.DUMMYFUNCTION("""COMPUTED_VALUE"""),"")</f>
        <v/>
      </c>
      <c r="X1116" s="4" t="str">
        <f>IFERROR(__xludf.DUMMYFUNCTION("""COMPUTED_VALUE"""),"")</f>
        <v/>
      </c>
      <c r="Y1116" s="4" t="str">
        <f>IFERROR(__xludf.DUMMYFUNCTION("""COMPUTED_VALUE"""),"")</f>
        <v/>
      </c>
    </row>
    <row r="1117">
      <c r="A1117" s="4" t="str">
        <f>IFERROR(__xludf.DUMMYFUNCTION("""COMPUTED_VALUE"""),"1700 - Channel")</f>
        <v>1700 - Channel</v>
      </c>
      <c r="B1117" s="4" t="str">
        <f>IFERROR(__xludf.DUMMYFUNCTION("""COMPUTED_VALUE"""),"Channel 4")</f>
        <v>Channel 4</v>
      </c>
      <c r="C1117" s="4" t="str">
        <f>IFERROR(__xludf.DUMMYFUNCTION("""COMPUTED_VALUE"""),"Day 3 - 25/06")</f>
        <v>Day 3 - 25/06</v>
      </c>
      <c r="D1117" s="6">
        <f>IFERROR(__xludf.DUMMYFUNCTION("""COMPUTED_VALUE"""),0.673414351851852)</f>
        <v>0.6734143519</v>
      </c>
      <c r="E1117" s="6">
        <f>IFERROR(__xludf.DUMMYFUNCTION("""COMPUTED_VALUE"""),0.008333333333333333)</f>
        <v>0.008333333333</v>
      </c>
      <c r="F1117" s="6">
        <f>IFERROR(__xludf.DUMMYFUNCTION("""COMPUTED_VALUE"""),0.6817476851851854)</f>
        <v>0.6817476852</v>
      </c>
      <c r="G1117" s="4" t="str">
        <f>IFERROR(__xludf.DUMMYFUNCTION("""COMPUTED_VALUE"""),"")</f>
        <v/>
      </c>
      <c r="H1117" s="4" t="str">
        <f>IFERROR(__xludf.DUMMYFUNCTION("""COMPUTED_VALUE"""),"")</f>
        <v/>
      </c>
      <c r="I1117" s="4" t="str">
        <f>IFERROR(__xludf.DUMMYFUNCTION("""COMPUTED_VALUE"""),"")</f>
        <v/>
      </c>
      <c r="J1117" s="4" t="str">
        <f>IFERROR(__xludf.DUMMYFUNCTION("""COMPUTED_VALUE"""),"")</f>
        <v/>
      </c>
      <c r="K1117" s="4" t="str">
        <f>IFERROR(__xludf.DUMMYFUNCTION("""COMPUTED_VALUE"""),"Fireside")</f>
        <v>Fireside</v>
      </c>
      <c r="L1117" s="4" t="str">
        <f>IFERROR(__xludf.DUMMYFUNCTION("""COMPUTED_VALUE"""),"")</f>
        <v/>
      </c>
      <c r="M1117" s="4" t="str">
        <f>IFERROR(__xludf.DUMMYFUNCTION("""COMPUTED_VALUE"""),"Investing through the chaos")</f>
        <v>Investing through the chaos</v>
      </c>
      <c r="N1117" s="4" t="str">
        <f>IFERROR(__xludf.DUMMYFUNCTION("""COMPUTED_VALUE"""),"Dmitry Grishin, Grishin Robotics")</f>
        <v>Dmitry Grishin, Grishin Robotics</v>
      </c>
      <c r="O1117" s="4" t="str">
        <f>IFERROR(__xludf.DUMMYFUNCTION("""COMPUTED_VALUE"""),"")</f>
        <v/>
      </c>
      <c r="P1117" s="4" t="str">
        <f>IFERROR(__xludf.DUMMYFUNCTION("""COMPUTED_VALUE"""),"")</f>
        <v/>
      </c>
      <c r="Q1117" s="4" t="str">
        <f>IFERROR(__xludf.DUMMYFUNCTION("""COMPUTED_VALUE"""),"")</f>
        <v/>
      </c>
      <c r="R1117" s="4" t="str">
        <f>IFERROR(__xludf.DUMMYFUNCTION("""COMPUTED_VALUE"""),"Jeremy Kaplan, Digital Trends")</f>
        <v>Jeremy Kaplan, Digital Trends</v>
      </c>
      <c r="S1117" s="4" t="str">
        <f>IFERROR(__xludf.DUMMYFUNCTION("""COMPUTED_VALUE"""),"With supply chains broken and consumer behaviours changing globally, some investment firms are rearranging their structures to stay ahead of the game – and the global crisis. In this fireside chat, Grishin Robotics founder Dmitry Grishin will discuss his "&amp;"plan for investing through the global epidemic.")</f>
        <v>With supply chains broken and consumer behaviours changing globally, some investment firms are rearranging their structures to stay ahead of the game – and the global crisis. In this fireside chat, Grishin Robotics founder Dmitry Grishin will discuss his plan for investing through the global epidemic.</v>
      </c>
      <c r="T1117" s="4" t="str">
        <f>IFERROR(__xludf.DUMMYFUNCTION("""COMPUTED_VALUE"""),"NON-KEYNOTE 9 - COMPLETE")</f>
        <v>NON-KEYNOTE 9 - COMPLETE</v>
      </c>
      <c r="U1117" s="4" t="str">
        <f>IFERROR(__xludf.DUMMYFUNCTION("""COMPUTED_VALUE"""),"")</f>
        <v/>
      </c>
      <c r="V1117" s="4" t="str">
        <f>IFERROR(__xludf.DUMMYFUNCTION("""COMPUTED_VALUE"""),"")</f>
        <v/>
      </c>
      <c r="W1117" s="4" t="str">
        <f>IFERROR(__xludf.DUMMYFUNCTION("""COMPUTED_VALUE"""),"COMPLETE")</f>
        <v>COMPLETE</v>
      </c>
      <c r="X1117" s="4" t="str">
        <f>IFERROR(__xludf.DUMMYFUNCTION("""COMPUTED_VALUE"""),"")</f>
        <v/>
      </c>
      <c r="Y1117" s="4" t="str">
        <f>IFERROR(__xludf.DUMMYFUNCTION("""COMPUTED_VALUE"""),"")</f>
        <v/>
      </c>
    </row>
    <row r="1118">
      <c r="A1118" s="4" t="str">
        <f>IFERROR(__xludf.DUMMYFUNCTION("""COMPUTED_VALUE"""),"1701 - Channel")</f>
        <v>1701 - Channel</v>
      </c>
      <c r="B1118" s="4" t="str">
        <f>IFERROR(__xludf.DUMMYFUNCTION("""COMPUTED_VALUE"""),"Channel 4")</f>
        <v>Channel 4</v>
      </c>
      <c r="C1118" s="4" t="str">
        <f>IFERROR(__xludf.DUMMYFUNCTION("""COMPUTED_VALUE"""),"Day 3 - 25/06")</f>
        <v>Day 3 - 25/06</v>
      </c>
      <c r="D1118" s="6">
        <f>IFERROR(__xludf.DUMMYFUNCTION("""COMPUTED_VALUE"""),0.6817476851851854)</f>
        <v>0.6817476852</v>
      </c>
      <c r="E1118" s="6">
        <f>IFERROR(__xludf.DUMMYFUNCTION("""COMPUTED_VALUE"""),0.0012037037037037038)</f>
        <v>0.001203703704</v>
      </c>
      <c r="F1118" s="6">
        <f>IFERROR(__xludf.DUMMYFUNCTION("""COMPUTED_VALUE"""),0.6829513888888891)</f>
        <v>0.6829513889</v>
      </c>
      <c r="G1118" s="4" t="str">
        <f>IFERROR(__xludf.DUMMYFUNCTION("""COMPUTED_VALUE"""),"")</f>
        <v/>
      </c>
      <c r="H1118" s="4" t="str">
        <f>IFERROR(__xludf.DUMMYFUNCTION("""COMPUTED_VALUE"""),"")</f>
        <v/>
      </c>
      <c r="I1118" s="4" t="str">
        <f>IFERROR(__xludf.DUMMYFUNCTION("""COMPUTED_VALUE"""),"")</f>
        <v/>
      </c>
      <c r="J1118" s="4" t="str">
        <f>IFERROR(__xludf.DUMMYFUNCTION("""COMPUTED_VALUE"""),"")</f>
        <v/>
      </c>
      <c r="K1118" s="4" t="str">
        <f>IFERROR(__xludf.DUMMYFUNCTION("""COMPUTED_VALUE"""),"Web Summit Trailer - full")</f>
        <v>Web Summit Trailer - full</v>
      </c>
      <c r="L1118" s="4" t="str">
        <f>IFERROR(__xludf.DUMMYFUNCTION("""COMPUTED_VALUE"""),"")</f>
        <v/>
      </c>
      <c r="M1118" s="4" t="str">
        <f>IFERROR(__xludf.DUMMYFUNCTION("""COMPUTED_VALUE"""),"Collision From Home Promo")</f>
        <v>Collision From Home Promo</v>
      </c>
      <c r="N1118" s="4" t="str">
        <f>IFERROR(__xludf.DUMMYFUNCTION("""COMPUTED_VALUE"""),"")</f>
        <v/>
      </c>
      <c r="O1118" s="4" t="str">
        <f>IFERROR(__xludf.DUMMYFUNCTION("""COMPUTED_VALUE"""),"")</f>
        <v/>
      </c>
      <c r="P1118" s="4" t="str">
        <f>IFERROR(__xludf.DUMMYFUNCTION("""COMPUTED_VALUE"""),"")</f>
        <v/>
      </c>
      <c r="Q1118" s="4" t="str">
        <f>IFERROR(__xludf.DUMMYFUNCTION("""COMPUTED_VALUE"""),"")</f>
        <v/>
      </c>
      <c r="R1118" s="4" t="str">
        <f>IFERROR(__xludf.DUMMYFUNCTION("""COMPUTED_VALUE"""),"")</f>
        <v/>
      </c>
      <c r="S1118" s="4" t="str">
        <f>IFERROR(__xludf.DUMMYFUNCTION("""COMPUTED_VALUE"""),"")</f>
        <v/>
      </c>
      <c r="T1118" s="4" t="str">
        <f>IFERROR(__xludf.DUMMYFUNCTION("""COMPUTED_VALUE"""),"")</f>
        <v/>
      </c>
      <c r="U1118" s="4" t="str">
        <f>IFERROR(__xludf.DUMMYFUNCTION("""COMPUTED_VALUE"""),"")</f>
        <v/>
      </c>
      <c r="V1118" s="4" t="str">
        <f>IFERROR(__xludf.DUMMYFUNCTION("""COMPUTED_VALUE"""),"")</f>
        <v/>
      </c>
      <c r="W1118" s="4" t="str">
        <f>IFERROR(__xludf.DUMMYFUNCTION("""COMPUTED_VALUE"""),"")</f>
        <v/>
      </c>
      <c r="X1118" s="4" t="str">
        <f>IFERROR(__xludf.DUMMYFUNCTION("""COMPUTED_VALUE"""),"")</f>
        <v/>
      </c>
      <c r="Y1118" s="4" t="str">
        <f>IFERROR(__xludf.DUMMYFUNCTION("""COMPUTED_VALUE"""),"")</f>
        <v/>
      </c>
    </row>
    <row r="1119">
      <c r="A1119" s="4" t="str">
        <f>IFERROR(__xludf.DUMMYFUNCTION("""COMPUTED_VALUE"""),"1702 - Channel")</f>
        <v>1702 - Channel</v>
      </c>
      <c r="B1119" s="4" t="str">
        <f>IFERROR(__xludf.DUMMYFUNCTION("""COMPUTED_VALUE"""),"Channel 4")</f>
        <v>Channel 4</v>
      </c>
      <c r="C1119" s="4" t="str">
        <f>IFERROR(__xludf.DUMMYFUNCTION("""COMPUTED_VALUE"""),"Day 3 - 25/06")</f>
        <v>Day 3 - 25/06</v>
      </c>
      <c r="D1119" s="6">
        <f>IFERROR(__xludf.DUMMYFUNCTION("""COMPUTED_VALUE"""),0.6829513888888891)</f>
        <v>0.6829513889</v>
      </c>
      <c r="E1119" s="6">
        <f>IFERROR(__xludf.DUMMYFUNCTION("""COMPUTED_VALUE"""),3.4722222222222224E-4)</f>
        <v>0.0003472222222</v>
      </c>
      <c r="F1119" s="6">
        <f>IFERROR(__xludf.DUMMYFUNCTION("""COMPUTED_VALUE"""),0.6832986111111113)</f>
        <v>0.6832986111</v>
      </c>
      <c r="G1119" s="4" t="str">
        <f>IFERROR(__xludf.DUMMYFUNCTION("""COMPUTED_VALUE"""),"")</f>
        <v/>
      </c>
      <c r="H1119" s="4" t="str">
        <f>IFERROR(__xludf.DUMMYFUNCTION("""COMPUTED_VALUE"""),"")</f>
        <v/>
      </c>
      <c r="I1119" s="4" t="str">
        <f>IFERROR(__xludf.DUMMYFUNCTION("""COMPUTED_VALUE"""),"")</f>
        <v/>
      </c>
      <c r="J1119" s="4" t="str">
        <f>IFERROR(__xludf.DUMMYFUNCTION("""COMPUTED_VALUE"""),"")</f>
        <v/>
      </c>
      <c r="K1119" s="4" t="str">
        <f>IFERROR(__xludf.DUMMYFUNCTION("""COMPUTED_VALUE"""),"Talk Intro")</f>
        <v>Talk Intro</v>
      </c>
      <c r="L1119" s="4" t="str">
        <f>IFERROR(__xludf.DUMMYFUNCTION("""COMPUTED_VALUE"""),"")</f>
        <v/>
      </c>
      <c r="M1119" s="4" t="str">
        <f>IFERROR(__xludf.DUMMYFUNCTION("""COMPUTED_VALUE"""),"MC Intro")</f>
        <v>MC Intro</v>
      </c>
      <c r="N1119" s="4" t="str">
        <f>IFERROR(__xludf.DUMMYFUNCTION("""COMPUTED_VALUE"""),"")</f>
        <v/>
      </c>
      <c r="O1119" s="4" t="str">
        <f>IFERROR(__xludf.DUMMYFUNCTION("""COMPUTED_VALUE"""),"")</f>
        <v/>
      </c>
      <c r="P1119" s="4" t="str">
        <f>IFERROR(__xludf.DUMMYFUNCTION("""COMPUTED_VALUE"""),"")</f>
        <v/>
      </c>
      <c r="Q1119" s="4" t="str">
        <f>IFERROR(__xludf.DUMMYFUNCTION("""COMPUTED_VALUE"""),"")</f>
        <v/>
      </c>
      <c r="R1119" s="4" t="str">
        <f>IFERROR(__xludf.DUMMYFUNCTION("""COMPUTED_VALUE"""),"")</f>
        <v/>
      </c>
      <c r="S1119" s="4" t="str">
        <f>IFERROR(__xludf.DUMMYFUNCTION("""COMPUTED_VALUE"""),"")</f>
        <v/>
      </c>
      <c r="T1119" s="4" t="str">
        <f>IFERROR(__xludf.DUMMYFUNCTION("""COMPUTED_VALUE"""),"")</f>
        <v/>
      </c>
      <c r="U1119" s="4" t="str">
        <f>IFERROR(__xludf.DUMMYFUNCTION("""COMPUTED_VALUE"""),"")</f>
        <v/>
      </c>
      <c r="V1119" s="4" t="str">
        <f>IFERROR(__xludf.DUMMYFUNCTION("""COMPUTED_VALUE"""),"")</f>
        <v/>
      </c>
      <c r="W1119" s="4" t="str">
        <f>IFERROR(__xludf.DUMMYFUNCTION("""COMPUTED_VALUE"""),"")</f>
        <v/>
      </c>
      <c r="X1119" s="4" t="str">
        <f>IFERROR(__xludf.DUMMYFUNCTION("""COMPUTED_VALUE"""),"")</f>
        <v/>
      </c>
      <c r="Y1119" s="4" t="str">
        <f>IFERROR(__xludf.DUMMYFUNCTION("""COMPUTED_VALUE"""),"")</f>
        <v/>
      </c>
    </row>
    <row r="1120">
      <c r="A1120" s="4" t="str">
        <f>IFERROR(__xludf.DUMMYFUNCTION("""COMPUTED_VALUE"""),"1703 - Channel")</f>
        <v>1703 - Channel</v>
      </c>
      <c r="B1120" s="4" t="str">
        <f>IFERROR(__xludf.DUMMYFUNCTION("""COMPUTED_VALUE"""),"Channel 4")</f>
        <v>Channel 4</v>
      </c>
      <c r="C1120" s="4" t="str">
        <f>IFERROR(__xludf.DUMMYFUNCTION("""COMPUTED_VALUE"""),"Day 3 - 25/06")</f>
        <v>Day 3 - 25/06</v>
      </c>
      <c r="D1120" s="6">
        <f>IFERROR(__xludf.DUMMYFUNCTION("""COMPUTED_VALUE"""),0.6832986111111113)</f>
        <v>0.6832986111</v>
      </c>
      <c r="E1120" s="6">
        <f>IFERROR(__xludf.DUMMYFUNCTION("""COMPUTED_VALUE"""),0.010416666666666666)</f>
        <v>0.01041666667</v>
      </c>
      <c r="F1120" s="6">
        <f>IFERROR(__xludf.DUMMYFUNCTION("""COMPUTED_VALUE"""),0.693715277777778)</f>
        <v>0.6937152778</v>
      </c>
      <c r="G1120" s="4" t="str">
        <f>IFERROR(__xludf.DUMMYFUNCTION("""COMPUTED_VALUE"""),"")</f>
        <v/>
      </c>
      <c r="H1120" s="4" t="str">
        <f>IFERROR(__xludf.DUMMYFUNCTION("""COMPUTED_VALUE"""),"")</f>
        <v/>
      </c>
      <c r="I1120" s="4" t="str">
        <f>IFERROR(__xludf.DUMMYFUNCTION("""COMPUTED_VALUE"""),"")</f>
        <v/>
      </c>
      <c r="J1120" s="4" t="str">
        <f>IFERROR(__xludf.DUMMYFUNCTION("""COMPUTED_VALUE"""),"")</f>
        <v/>
      </c>
      <c r="K1120" s="4" t="str">
        <f>IFERROR(__xludf.DUMMYFUNCTION("""COMPUTED_VALUE"""),"Panel")</f>
        <v>Panel</v>
      </c>
      <c r="L1120" s="4" t="str">
        <f>IFERROR(__xludf.DUMMYFUNCTION("""COMPUTED_VALUE"""),"")</f>
        <v/>
      </c>
      <c r="M1120" s="4" t="str">
        <f>IFERROR(__xludf.DUMMYFUNCTION("""COMPUTED_VALUE"""),"Impact investing for resilient communities")</f>
        <v>Impact investing for resilient communities</v>
      </c>
      <c r="N1120" s="4" t="str">
        <f>IFERROR(__xludf.DUMMYFUNCTION("""COMPUTED_VALUE"""),"Michael Schlein, Accion")</f>
        <v>Michael Schlein, Accion</v>
      </c>
      <c r="O1120" s="4" t="str">
        <f>IFERROR(__xludf.DUMMYFUNCTION("""COMPUTED_VALUE"""),"Brian Rich, Catalyst Investors")</f>
        <v>Brian Rich, Catalyst Investors</v>
      </c>
      <c r="P1120" s="4" t="str">
        <f>IFERROR(__xludf.DUMMYFUNCTION("""COMPUTED_VALUE"""),"Aaron Fu, Catalyst Fund")</f>
        <v>Aaron Fu, Catalyst Fund</v>
      </c>
      <c r="Q1120" s="4" t="str">
        <f>IFERROR(__xludf.DUMMYFUNCTION("""COMPUTED_VALUE"""),"")</f>
        <v/>
      </c>
      <c r="R1120" s="4" t="str">
        <f>IFERROR(__xludf.DUMMYFUNCTION("""COMPUTED_VALUE"""),"Minda Zetlin, Inc.")</f>
        <v>Minda Zetlin, Inc.</v>
      </c>
      <c r="S1120" s="4" t="str">
        <f>IFERROR(__xludf.DUMMYFUNCTION("""COMPUTED_VALUE"""),"Impact investing can play a key role in helping communities build resilience to future challenges, including climate change and other shocks. This panel of impact investors discusses why we must back innovators addressing these factors.")</f>
        <v>Impact investing can play a key role in helping communities build resilience to future challenges, including climate change and other shocks. This panel of impact investors discusses why we must back innovators addressing these factors.</v>
      </c>
      <c r="T1120" s="4" t="str">
        <f>IFERROR(__xludf.DUMMYFUNCTION("""COMPUTED_VALUE"""),"NON-KEYNOTE 9 - COMPLETE")</f>
        <v>NON-KEYNOTE 9 - COMPLETE</v>
      </c>
      <c r="U1120" s="4" t="str">
        <f>IFERROR(__xludf.DUMMYFUNCTION("""COMPUTED_VALUE"""),"")</f>
        <v/>
      </c>
      <c r="V1120" s="4" t="str">
        <f>IFERROR(__xludf.DUMMYFUNCTION("""COMPUTED_VALUE"""),"")</f>
        <v/>
      </c>
      <c r="W1120" s="4" t="str">
        <f>IFERROR(__xludf.DUMMYFUNCTION("""COMPUTED_VALUE"""),"COMPLETE")</f>
        <v>COMPLETE</v>
      </c>
      <c r="X1120" s="4" t="str">
        <f>IFERROR(__xludf.DUMMYFUNCTION("""COMPUTED_VALUE"""),"")</f>
        <v/>
      </c>
      <c r="Y1120" s="4" t="str">
        <f>IFERROR(__xludf.DUMMYFUNCTION("""COMPUTED_VALUE"""),"")</f>
        <v/>
      </c>
    </row>
    <row r="1121">
      <c r="A1121" s="4" t="str">
        <f>IFERROR(__xludf.DUMMYFUNCTION("""COMPUTED_VALUE"""),"1704 - Channel")</f>
        <v>1704 - Channel</v>
      </c>
      <c r="B1121" s="4" t="str">
        <f>IFERROR(__xludf.DUMMYFUNCTION("""COMPUTED_VALUE"""),"Channel 4")</f>
        <v>Channel 4</v>
      </c>
      <c r="C1121" s="4" t="str">
        <f>IFERROR(__xludf.DUMMYFUNCTION("""COMPUTED_VALUE"""),"Day 3 - 25/06")</f>
        <v>Day 3 - 25/06</v>
      </c>
      <c r="D1121" s="6">
        <f>IFERROR(__xludf.DUMMYFUNCTION("""COMPUTED_VALUE"""),0.693715277777778)</f>
        <v>0.6937152778</v>
      </c>
      <c r="E1121" s="6">
        <f>IFERROR(__xludf.DUMMYFUNCTION("""COMPUTED_VALUE"""),0.0012037037037037038)</f>
        <v>0.001203703704</v>
      </c>
      <c r="F1121" s="6">
        <f>IFERROR(__xludf.DUMMYFUNCTION("""COMPUTED_VALUE"""),0.6949189814814817)</f>
        <v>0.6949189815</v>
      </c>
      <c r="G1121" s="4" t="str">
        <f>IFERROR(__xludf.DUMMYFUNCTION("""COMPUTED_VALUE"""),"")</f>
        <v/>
      </c>
      <c r="H1121" s="4" t="str">
        <f>IFERROR(__xludf.DUMMYFUNCTION("""COMPUTED_VALUE"""),"")</f>
        <v/>
      </c>
      <c r="I1121" s="4" t="str">
        <f>IFERROR(__xludf.DUMMYFUNCTION("""COMPUTED_VALUE"""),"")</f>
        <v/>
      </c>
      <c r="J1121" s="4" t="str">
        <f>IFERROR(__xludf.DUMMYFUNCTION("""COMPUTED_VALUE"""),"")</f>
        <v/>
      </c>
      <c r="K1121" s="4" t="str">
        <f>IFERROR(__xludf.DUMMYFUNCTION("""COMPUTED_VALUE"""),"Web Summit Trailer - full")</f>
        <v>Web Summit Trailer - full</v>
      </c>
      <c r="L1121" s="4" t="str">
        <f>IFERROR(__xludf.DUMMYFUNCTION("""COMPUTED_VALUE"""),"")</f>
        <v/>
      </c>
      <c r="M1121" s="4" t="str">
        <f>IFERROR(__xludf.DUMMYFUNCTION("""COMPUTED_VALUE"""),"Collision From Home Promo")</f>
        <v>Collision From Home Promo</v>
      </c>
      <c r="N1121" s="4" t="str">
        <f>IFERROR(__xludf.DUMMYFUNCTION("""COMPUTED_VALUE"""),"")</f>
        <v/>
      </c>
      <c r="O1121" s="4" t="str">
        <f>IFERROR(__xludf.DUMMYFUNCTION("""COMPUTED_VALUE"""),"")</f>
        <v/>
      </c>
      <c r="P1121" s="4" t="str">
        <f>IFERROR(__xludf.DUMMYFUNCTION("""COMPUTED_VALUE"""),"")</f>
        <v/>
      </c>
      <c r="Q1121" s="4" t="str">
        <f>IFERROR(__xludf.DUMMYFUNCTION("""COMPUTED_VALUE"""),"")</f>
        <v/>
      </c>
      <c r="R1121" s="4" t="str">
        <f>IFERROR(__xludf.DUMMYFUNCTION("""COMPUTED_VALUE"""),"")</f>
        <v/>
      </c>
      <c r="S1121" s="4" t="str">
        <f>IFERROR(__xludf.DUMMYFUNCTION("""COMPUTED_VALUE"""),"")</f>
        <v/>
      </c>
      <c r="T1121" s="4" t="str">
        <f>IFERROR(__xludf.DUMMYFUNCTION("""COMPUTED_VALUE"""),"")</f>
        <v/>
      </c>
      <c r="U1121" s="4" t="str">
        <f>IFERROR(__xludf.DUMMYFUNCTION("""COMPUTED_VALUE"""),"")</f>
        <v/>
      </c>
      <c r="V1121" s="4" t="str">
        <f>IFERROR(__xludf.DUMMYFUNCTION("""COMPUTED_VALUE"""),"")</f>
        <v/>
      </c>
      <c r="W1121" s="4" t="str">
        <f>IFERROR(__xludf.DUMMYFUNCTION("""COMPUTED_VALUE"""),"")</f>
        <v/>
      </c>
      <c r="X1121" s="4" t="str">
        <f>IFERROR(__xludf.DUMMYFUNCTION("""COMPUTED_VALUE"""),"")</f>
        <v/>
      </c>
      <c r="Y1121" s="4" t="str">
        <f>IFERROR(__xludf.DUMMYFUNCTION("""COMPUTED_VALUE"""),"")</f>
        <v/>
      </c>
    </row>
    <row r="1122">
      <c r="A1122" s="4" t="str">
        <f>IFERROR(__xludf.DUMMYFUNCTION("""COMPUTED_VALUE"""),"1705 - Channel")</f>
        <v>1705 - Channel</v>
      </c>
      <c r="B1122" s="4" t="str">
        <f>IFERROR(__xludf.DUMMYFUNCTION("""COMPUTED_VALUE"""),"Channel 4")</f>
        <v>Channel 4</v>
      </c>
      <c r="C1122" s="4" t="str">
        <f>IFERROR(__xludf.DUMMYFUNCTION("""COMPUTED_VALUE"""),"Day 3 - 25/06")</f>
        <v>Day 3 - 25/06</v>
      </c>
      <c r="D1122" s="6">
        <f>IFERROR(__xludf.DUMMYFUNCTION("""COMPUTED_VALUE"""),0.6949189814814817)</f>
        <v>0.6949189815</v>
      </c>
      <c r="E1122" s="6">
        <f>IFERROR(__xludf.DUMMYFUNCTION("""COMPUTED_VALUE"""),3.4722222222222224E-4)</f>
        <v>0.0003472222222</v>
      </c>
      <c r="F1122" s="6">
        <f>IFERROR(__xludf.DUMMYFUNCTION("""COMPUTED_VALUE"""),0.695266203703704)</f>
        <v>0.6952662037</v>
      </c>
      <c r="G1122" s="4" t="str">
        <f>IFERROR(__xludf.DUMMYFUNCTION("""COMPUTED_VALUE"""),"")</f>
        <v/>
      </c>
      <c r="H1122" s="4" t="str">
        <f>IFERROR(__xludf.DUMMYFUNCTION("""COMPUTED_VALUE"""),"")</f>
        <v/>
      </c>
      <c r="I1122" s="4" t="str">
        <f>IFERROR(__xludf.DUMMYFUNCTION("""COMPUTED_VALUE"""),"")</f>
        <v/>
      </c>
      <c r="J1122" s="4" t="str">
        <f>IFERROR(__xludf.DUMMYFUNCTION("""COMPUTED_VALUE"""),"")</f>
        <v/>
      </c>
      <c r="K1122" s="4" t="str">
        <f>IFERROR(__xludf.DUMMYFUNCTION("""COMPUTED_VALUE"""),"Talk Intro")</f>
        <v>Talk Intro</v>
      </c>
      <c r="L1122" s="4" t="str">
        <f>IFERROR(__xludf.DUMMYFUNCTION("""COMPUTED_VALUE"""),"")</f>
        <v/>
      </c>
      <c r="M1122" s="4" t="str">
        <f>IFERROR(__xludf.DUMMYFUNCTION("""COMPUTED_VALUE"""),"MC Intro")</f>
        <v>MC Intro</v>
      </c>
      <c r="N1122" s="4" t="str">
        <f>IFERROR(__xludf.DUMMYFUNCTION("""COMPUTED_VALUE"""),"")</f>
        <v/>
      </c>
      <c r="O1122" s="4" t="str">
        <f>IFERROR(__xludf.DUMMYFUNCTION("""COMPUTED_VALUE"""),"")</f>
        <v/>
      </c>
      <c r="P1122" s="4" t="str">
        <f>IFERROR(__xludf.DUMMYFUNCTION("""COMPUTED_VALUE"""),"")</f>
        <v/>
      </c>
      <c r="Q1122" s="4" t="str">
        <f>IFERROR(__xludf.DUMMYFUNCTION("""COMPUTED_VALUE"""),"")</f>
        <v/>
      </c>
      <c r="R1122" s="4" t="str">
        <f>IFERROR(__xludf.DUMMYFUNCTION("""COMPUTED_VALUE"""),"")</f>
        <v/>
      </c>
      <c r="S1122" s="4" t="str">
        <f>IFERROR(__xludf.DUMMYFUNCTION("""COMPUTED_VALUE"""),"")</f>
        <v/>
      </c>
      <c r="T1122" s="4" t="str">
        <f>IFERROR(__xludf.DUMMYFUNCTION("""COMPUTED_VALUE"""),"")</f>
        <v/>
      </c>
      <c r="U1122" s="4" t="str">
        <f>IFERROR(__xludf.DUMMYFUNCTION("""COMPUTED_VALUE"""),"")</f>
        <v/>
      </c>
      <c r="V1122" s="4" t="str">
        <f>IFERROR(__xludf.DUMMYFUNCTION("""COMPUTED_VALUE"""),"")</f>
        <v/>
      </c>
      <c r="W1122" s="4" t="str">
        <f>IFERROR(__xludf.DUMMYFUNCTION("""COMPUTED_VALUE"""),"")</f>
        <v/>
      </c>
      <c r="X1122" s="4" t="str">
        <f>IFERROR(__xludf.DUMMYFUNCTION("""COMPUTED_VALUE"""),"")</f>
        <v/>
      </c>
      <c r="Y1122" s="4" t="str">
        <f>IFERROR(__xludf.DUMMYFUNCTION("""COMPUTED_VALUE"""),"")</f>
        <v/>
      </c>
    </row>
    <row r="1123">
      <c r="A1123" s="4" t="str">
        <f>IFERROR(__xludf.DUMMYFUNCTION("""COMPUTED_VALUE"""),"1706 - Channel")</f>
        <v>1706 - Channel</v>
      </c>
      <c r="B1123" s="4" t="str">
        <f>IFERROR(__xludf.DUMMYFUNCTION("""COMPUTED_VALUE"""),"Channel 4")</f>
        <v>Channel 4</v>
      </c>
      <c r="C1123" s="4" t="str">
        <f>IFERROR(__xludf.DUMMYFUNCTION("""COMPUTED_VALUE"""),"Day 3 - 25/06")</f>
        <v>Day 3 - 25/06</v>
      </c>
      <c r="D1123" s="6">
        <f>IFERROR(__xludf.DUMMYFUNCTION("""COMPUTED_VALUE"""),0.695266203703704)</f>
        <v>0.6952662037</v>
      </c>
      <c r="E1123" s="6">
        <f>IFERROR(__xludf.DUMMYFUNCTION("""COMPUTED_VALUE"""),0.008333333333333333)</f>
        <v>0.008333333333</v>
      </c>
      <c r="F1123" s="6">
        <f>IFERROR(__xludf.DUMMYFUNCTION("""COMPUTED_VALUE"""),0.7035995370370373)</f>
        <v>0.703599537</v>
      </c>
      <c r="G1123" s="4" t="str">
        <f>IFERROR(__xludf.DUMMYFUNCTION("""COMPUTED_VALUE"""),"")</f>
        <v/>
      </c>
      <c r="H1123" s="4" t="str">
        <f>IFERROR(__xludf.DUMMYFUNCTION("""COMPUTED_VALUE"""),"")</f>
        <v/>
      </c>
      <c r="I1123" s="4" t="str">
        <f>IFERROR(__xludf.DUMMYFUNCTION("""COMPUTED_VALUE"""),"")</f>
        <v/>
      </c>
      <c r="J1123" s="4" t="str">
        <f>IFERROR(__xludf.DUMMYFUNCTION("""COMPUTED_VALUE"""),"")</f>
        <v/>
      </c>
      <c r="K1123" s="4" t="str">
        <f>IFERROR(__xludf.DUMMYFUNCTION("""COMPUTED_VALUE"""),"Super Fireside")</f>
        <v>Super Fireside</v>
      </c>
      <c r="L1123" s="4" t="str">
        <f>IFERROR(__xludf.DUMMYFUNCTION("""COMPUTED_VALUE"""),"")</f>
        <v/>
      </c>
      <c r="M1123" s="4" t="str">
        <f>IFERROR(__xludf.DUMMYFUNCTION("""COMPUTED_VALUE"""),"Sowing the seeds of recovery")</f>
        <v>Sowing the seeds of recovery</v>
      </c>
      <c r="N1123" s="4" t="str">
        <f>IFERROR(__xludf.DUMMYFUNCTION("""COMPUTED_VALUE"""),"Carlos Eduardo Espinal, Seedcamp")</f>
        <v>Carlos Eduardo Espinal, Seedcamp</v>
      </c>
      <c r="O1123" s="4" t="str">
        <f>IFERROR(__xludf.DUMMYFUNCTION("""COMPUTED_VALUE"""),"Eamonn Carey, Techstars")</f>
        <v>Eamonn Carey, Techstars</v>
      </c>
      <c r="P1123" s="4" t="str">
        <f>IFERROR(__xludf.DUMMYFUNCTION("""COMPUTED_VALUE"""),"")</f>
        <v/>
      </c>
      <c r="Q1123" s="4" t="str">
        <f>IFERROR(__xludf.DUMMYFUNCTION("""COMPUTED_VALUE"""),"")</f>
        <v/>
      </c>
      <c r="R1123" s="4" t="str">
        <f>IFERROR(__xludf.DUMMYFUNCTION("""COMPUTED_VALUE"""),"Rohit Puri, EY")</f>
        <v>Rohit Puri, EY</v>
      </c>
      <c r="S1123" s="4" t="str">
        <f>IFERROR(__xludf.DUMMYFUNCTION("""COMPUTED_VALUE"""),"What role does early stage investment play in keeping the economy afloat?  And, as a mammoth recession reportedly approaches, what will change?")</f>
        <v>What role does early stage investment play in keeping the economy afloat?  And, as a mammoth recession reportedly approaches, what will change?</v>
      </c>
      <c r="T1123" s="4" t="str">
        <f>IFERROR(__xludf.DUMMYFUNCTION("""COMPUTED_VALUE"""),"NON-KEYNOTE 9 - COMPLETE")</f>
        <v>NON-KEYNOTE 9 - COMPLETE</v>
      </c>
      <c r="U1123" s="4" t="str">
        <f>IFERROR(__xludf.DUMMYFUNCTION("""COMPUTED_VALUE"""),"")</f>
        <v/>
      </c>
      <c r="V1123" s="4" t="str">
        <f>IFERROR(__xludf.DUMMYFUNCTION("""COMPUTED_VALUE"""),"")</f>
        <v/>
      </c>
      <c r="W1123" s="4" t="str">
        <f>IFERROR(__xludf.DUMMYFUNCTION("""COMPUTED_VALUE"""),"COMPLETE")</f>
        <v>COMPLETE</v>
      </c>
      <c r="X1123" s="4" t="str">
        <f>IFERROR(__xludf.DUMMYFUNCTION("""COMPUTED_VALUE"""),"")</f>
        <v/>
      </c>
      <c r="Y1123" s="4" t="str">
        <f>IFERROR(__xludf.DUMMYFUNCTION("""COMPUTED_VALUE"""),"")</f>
        <v/>
      </c>
    </row>
    <row r="1124">
      <c r="A1124" s="4" t="str">
        <f>IFERROR(__xludf.DUMMYFUNCTION("""COMPUTED_VALUE"""),"1707 - Channel")</f>
        <v>1707 - Channel</v>
      </c>
      <c r="B1124" s="4" t="str">
        <f>IFERROR(__xludf.DUMMYFUNCTION("""COMPUTED_VALUE"""),"Channel 4")</f>
        <v>Channel 4</v>
      </c>
      <c r="C1124" s="4" t="str">
        <f>IFERROR(__xludf.DUMMYFUNCTION("""COMPUTED_VALUE"""),"Day 3 - 25/06")</f>
        <v>Day 3 - 25/06</v>
      </c>
      <c r="D1124" s="6">
        <f>IFERROR(__xludf.DUMMYFUNCTION("""COMPUTED_VALUE"""),0.7035995370370373)</f>
        <v>0.703599537</v>
      </c>
      <c r="E1124" s="6">
        <f>IFERROR(__xludf.DUMMYFUNCTION("""COMPUTED_VALUE"""),0.0012037037037037038)</f>
        <v>0.001203703704</v>
      </c>
      <c r="F1124" s="6">
        <f>IFERROR(__xludf.DUMMYFUNCTION("""COMPUTED_VALUE"""),0.704803240740741)</f>
        <v>0.7048032407</v>
      </c>
      <c r="G1124" s="4" t="str">
        <f>IFERROR(__xludf.DUMMYFUNCTION("""COMPUTED_VALUE"""),"")</f>
        <v/>
      </c>
      <c r="H1124" s="4" t="str">
        <f>IFERROR(__xludf.DUMMYFUNCTION("""COMPUTED_VALUE"""),"")</f>
        <v/>
      </c>
      <c r="I1124" s="4" t="str">
        <f>IFERROR(__xludf.DUMMYFUNCTION("""COMPUTED_VALUE"""),"")</f>
        <v/>
      </c>
      <c r="J1124" s="4" t="str">
        <f>IFERROR(__xludf.DUMMYFUNCTION("""COMPUTED_VALUE"""),"")</f>
        <v/>
      </c>
      <c r="K1124" s="4" t="str">
        <f>IFERROR(__xludf.DUMMYFUNCTION("""COMPUTED_VALUE"""),"Web Summit Trailer - full")</f>
        <v>Web Summit Trailer - full</v>
      </c>
      <c r="L1124" s="4" t="str">
        <f>IFERROR(__xludf.DUMMYFUNCTION("""COMPUTED_VALUE"""),"")</f>
        <v/>
      </c>
      <c r="M1124" s="4" t="str">
        <f>IFERROR(__xludf.DUMMYFUNCTION("""COMPUTED_VALUE"""),"Collision From Home Promo")</f>
        <v>Collision From Home Promo</v>
      </c>
      <c r="N1124" s="4" t="str">
        <f>IFERROR(__xludf.DUMMYFUNCTION("""COMPUTED_VALUE"""),"")</f>
        <v/>
      </c>
      <c r="O1124" s="4" t="str">
        <f>IFERROR(__xludf.DUMMYFUNCTION("""COMPUTED_VALUE"""),"")</f>
        <v/>
      </c>
      <c r="P1124" s="4" t="str">
        <f>IFERROR(__xludf.DUMMYFUNCTION("""COMPUTED_VALUE"""),"")</f>
        <v/>
      </c>
      <c r="Q1124" s="4" t="str">
        <f>IFERROR(__xludf.DUMMYFUNCTION("""COMPUTED_VALUE"""),"")</f>
        <v/>
      </c>
      <c r="R1124" s="4" t="str">
        <f>IFERROR(__xludf.DUMMYFUNCTION("""COMPUTED_VALUE"""),"")</f>
        <v/>
      </c>
      <c r="S1124" s="4" t="str">
        <f>IFERROR(__xludf.DUMMYFUNCTION("""COMPUTED_VALUE"""),"")</f>
        <v/>
      </c>
      <c r="T1124" s="4" t="str">
        <f>IFERROR(__xludf.DUMMYFUNCTION("""COMPUTED_VALUE"""),"")</f>
        <v/>
      </c>
      <c r="U1124" s="4" t="str">
        <f>IFERROR(__xludf.DUMMYFUNCTION("""COMPUTED_VALUE"""),"")</f>
        <v/>
      </c>
      <c r="V1124" s="4" t="str">
        <f>IFERROR(__xludf.DUMMYFUNCTION("""COMPUTED_VALUE"""),"")</f>
        <v/>
      </c>
      <c r="W1124" s="4" t="str">
        <f>IFERROR(__xludf.DUMMYFUNCTION("""COMPUTED_VALUE"""),"")</f>
        <v/>
      </c>
      <c r="X1124" s="4" t="str">
        <f>IFERROR(__xludf.DUMMYFUNCTION("""COMPUTED_VALUE"""),"")</f>
        <v/>
      </c>
      <c r="Y1124" s="4" t="str">
        <f>IFERROR(__xludf.DUMMYFUNCTION("""COMPUTED_VALUE"""),"")</f>
        <v/>
      </c>
    </row>
    <row r="1125">
      <c r="A1125" s="4" t="str">
        <f>IFERROR(__xludf.DUMMYFUNCTION("""COMPUTED_VALUE"""),"1246 - Channel")</f>
        <v>1246 - Channel</v>
      </c>
      <c r="B1125" s="4" t="str">
        <f>IFERROR(__xludf.DUMMYFUNCTION("""COMPUTED_VALUE"""),"Channel 4")</f>
        <v>Channel 4</v>
      </c>
      <c r="C1125" s="4" t="str">
        <f>IFERROR(__xludf.DUMMYFUNCTION("""COMPUTED_VALUE"""),"Day 3 - 25/06")</f>
        <v>Day 3 - 25/06</v>
      </c>
      <c r="D1125" s="6">
        <f>IFERROR(__xludf.DUMMYFUNCTION("""COMPUTED_VALUE"""),0.704803240740741)</f>
        <v>0.7048032407</v>
      </c>
      <c r="E1125" s="6">
        <f>IFERROR(__xludf.DUMMYFUNCTION("""COMPUTED_VALUE"""),3.4722222222222224E-4)</f>
        <v>0.0003472222222</v>
      </c>
      <c r="F1125" s="6">
        <f>IFERROR(__xludf.DUMMYFUNCTION("""COMPUTED_VALUE"""),0.7051504629629632)</f>
        <v>0.705150463</v>
      </c>
      <c r="G1125" s="4" t="str">
        <f>IFERROR(__xludf.DUMMYFUNCTION("""COMPUTED_VALUE"""),"")</f>
        <v/>
      </c>
      <c r="H1125" s="4" t="str">
        <f>IFERROR(__xludf.DUMMYFUNCTION("""COMPUTED_VALUE"""),"")</f>
        <v/>
      </c>
      <c r="I1125" s="4" t="str">
        <f>IFERROR(__xludf.DUMMYFUNCTION("""COMPUTED_VALUE"""),"")</f>
        <v/>
      </c>
      <c r="J1125" s="4" t="str">
        <f>IFERROR(__xludf.DUMMYFUNCTION("""COMPUTED_VALUE"""),"")</f>
        <v/>
      </c>
      <c r="K1125" s="4" t="str">
        <f>IFERROR(__xludf.DUMMYFUNCTION("""COMPUTED_VALUE"""),"Teaser Outro")</f>
        <v>Teaser Outro</v>
      </c>
      <c r="L1125" s="4" t="str">
        <f>IFERROR(__xludf.DUMMYFUNCTION("""COMPUTED_VALUE"""),"")</f>
        <v/>
      </c>
      <c r="M1125" s="4" t="str">
        <f>IFERROR(__xludf.DUMMYFUNCTION("""COMPUTED_VALUE"""),"Talk Outro")</f>
        <v>Talk Outro</v>
      </c>
      <c r="N1125" s="4" t="str">
        <f>IFERROR(__xludf.DUMMYFUNCTION("""COMPUTED_VALUE"""),"")</f>
        <v/>
      </c>
      <c r="O1125" s="4" t="str">
        <f>IFERROR(__xludf.DUMMYFUNCTION("""COMPUTED_VALUE"""),"")</f>
        <v/>
      </c>
      <c r="P1125" s="4" t="str">
        <f>IFERROR(__xludf.DUMMYFUNCTION("""COMPUTED_VALUE"""),"")</f>
        <v/>
      </c>
      <c r="Q1125" s="4" t="str">
        <f>IFERROR(__xludf.DUMMYFUNCTION("""COMPUTED_VALUE"""),"")</f>
        <v/>
      </c>
      <c r="R1125" s="4" t="str">
        <f>IFERROR(__xludf.DUMMYFUNCTION("""COMPUTED_VALUE"""),"")</f>
        <v/>
      </c>
      <c r="S1125" s="4" t="str">
        <f>IFERROR(__xludf.DUMMYFUNCTION("""COMPUTED_VALUE"""),"")</f>
        <v/>
      </c>
      <c r="T1125" s="4" t="str">
        <f>IFERROR(__xludf.DUMMYFUNCTION("""COMPUTED_VALUE"""),"")</f>
        <v/>
      </c>
      <c r="U1125" s="4" t="str">
        <f>IFERROR(__xludf.DUMMYFUNCTION("""COMPUTED_VALUE"""),"")</f>
        <v/>
      </c>
      <c r="V1125" s="4" t="str">
        <f>IFERROR(__xludf.DUMMYFUNCTION("""COMPUTED_VALUE"""),"")</f>
        <v/>
      </c>
      <c r="W1125" s="4" t="str">
        <f>IFERROR(__xludf.DUMMYFUNCTION("""COMPUTED_VALUE"""),"")</f>
        <v/>
      </c>
      <c r="X1125" s="4" t="str">
        <f>IFERROR(__xludf.DUMMYFUNCTION("""COMPUTED_VALUE"""),"")</f>
        <v/>
      </c>
      <c r="Y1125" s="4" t="str">
        <f>IFERROR(__xludf.DUMMYFUNCTION("""COMPUTED_VALUE"""),"")</f>
        <v/>
      </c>
    </row>
    <row r="1126">
      <c r="A1126" s="4" t="str">
        <f>IFERROR(__xludf.DUMMYFUNCTION("""COMPUTED_VALUE"""),"1247 - Channel")</f>
        <v>1247 - Channel</v>
      </c>
      <c r="B1126" s="4" t="str">
        <f>IFERROR(__xludf.DUMMYFUNCTION("""COMPUTED_VALUE"""),"Channel 4")</f>
        <v>Channel 4</v>
      </c>
      <c r="C1126" s="4" t="str">
        <f>IFERROR(__xludf.DUMMYFUNCTION("""COMPUTED_VALUE"""),"Day 3 - 25/06")</f>
        <v>Day 3 - 25/06</v>
      </c>
      <c r="D1126" s="6">
        <f>IFERROR(__xludf.DUMMYFUNCTION("""COMPUTED_VALUE"""),0.7051504629629632)</f>
        <v>0.705150463</v>
      </c>
      <c r="E1126" s="4" t="str">
        <f>IFERROR(__xludf.DUMMYFUNCTION("""COMPUTED_VALUE"""),"")</f>
        <v/>
      </c>
      <c r="F1126" s="6">
        <f>IFERROR(__xludf.DUMMYFUNCTION("""COMPUTED_VALUE"""),0.7051504629629632)</f>
        <v>0.705150463</v>
      </c>
      <c r="G1126" s="4" t="str">
        <f>IFERROR(__xludf.DUMMYFUNCTION("""COMPUTED_VALUE"""),"")</f>
        <v/>
      </c>
      <c r="H1126" s="4" t="str">
        <f>IFERROR(__xludf.DUMMYFUNCTION("""COMPUTED_VALUE"""),"")</f>
        <v/>
      </c>
      <c r="I1126" s="4" t="str">
        <f>IFERROR(__xludf.DUMMYFUNCTION("""COMPUTED_VALUE"""),"")</f>
        <v/>
      </c>
      <c r="J1126" s="4" t="str">
        <f>IFERROR(__xludf.DUMMYFUNCTION("""COMPUTED_VALUE"""),"")</f>
        <v/>
      </c>
      <c r="K1126" s="4" t="str">
        <f>IFERROR(__xludf.DUMMYFUNCTION("""COMPUTED_VALUE"""),"")</f>
        <v/>
      </c>
      <c r="L1126" s="4" t="str">
        <f>IFERROR(__xludf.DUMMYFUNCTION("""COMPUTED_VALUE"""),"")</f>
        <v/>
      </c>
      <c r="M1126" s="4" t="str">
        <f>IFERROR(__xludf.DUMMYFUNCTION("""COMPUTED_VALUE"""),"")</f>
        <v/>
      </c>
      <c r="N1126" s="4" t="str">
        <f>IFERROR(__xludf.DUMMYFUNCTION("""COMPUTED_VALUE"""),"")</f>
        <v/>
      </c>
      <c r="O1126" s="4" t="str">
        <f>IFERROR(__xludf.DUMMYFUNCTION("""COMPUTED_VALUE"""),"")</f>
        <v/>
      </c>
      <c r="P1126" s="4" t="str">
        <f>IFERROR(__xludf.DUMMYFUNCTION("""COMPUTED_VALUE"""),"")</f>
        <v/>
      </c>
      <c r="Q1126" s="4" t="str">
        <f>IFERROR(__xludf.DUMMYFUNCTION("""COMPUTED_VALUE"""),"")</f>
        <v/>
      </c>
      <c r="R1126" s="4" t="str">
        <f>IFERROR(__xludf.DUMMYFUNCTION("""COMPUTED_VALUE"""),"")</f>
        <v/>
      </c>
      <c r="S1126" s="4" t="str">
        <f>IFERROR(__xludf.DUMMYFUNCTION("""COMPUTED_VALUE"""),"")</f>
        <v/>
      </c>
      <c r="T1126" s="4" t="str">
        <f>IFERROR(__xludf.DUMMYFUNCTION("""COMPUTED_VALUE"""),"")</f>
        <v/>
      </c>
      <c r="U1126" s="4" t="str">
        <f>IFERROR(__xludf.DUMMYFUNCTION("""COMPUTED_VALUE"""),"")</f>
        <v/>
      </c>
      <c r="V1126" s="4" t="str">
        <f>IFERROR(__xludf.DUMMYFUNCTION("""COMPUTED_VALUE"""),"")</f>
        <v/>
      </c>
      <c r="W1126" s="4" t="str">
        <f>IFERROR(__xludf.DUMMYFUNCTION("""COMPUTED_VALUE"""),"")</f>
        <v/>
      </c>
      <c r="X1126" s="4" t="str">
        <f>IFERROR(__xludf.DUMMYFUNCTION("""COMPUTED_VALUE"""),"")</f>
        <v/>
      </c>
      <c r="Y1126" s="4" t="str">
        <f>IFERROR(__xludf.DUMMYFUNCTION("""COMPUTED_VALUE"""),"")</f>
        <v/>
      </c>
    </row>
    <row r="1127">
      <c r="A1127" s="4" t="str">
        <f>IFERROR(__xludf.DUMMYFUNCTION("""COMPUTED_VALUE"""),"1248 - Channel")</f>
        <v>1248 - Channel</v>
      </c>
      <c r="B1127" s="4" t="str">
        <f>IFERROR(__xludf.DUMMYFUNCTION("""COMPUTED_VALUE"""),"Channel 4")</f>
        <v>Channel 4</v>
      </c>
      <c r="C1127" s="4" t="str">
        <f>IFERROR(__xludf.DUMMYFUNCTION("""COMPUTED_VALUE"""),"Day 3 - 25/06")</f>
        <v>Day 3 - 25/06</v>
      </c>
      <c r="D1127" s="6">
        <f>IFERROR(__xludf.DUMMYFUNCTION("""COMPUTED_VALUE"""),0.7051504629629632)</f>
        <v>0.705150463</v>
      </c>
      <c r="E1127" s="4" t="str">
        <f>IFERROR(__xludf.DUMMYFUNCTION("""COMPUTED_VALUE"""),"")</f>
        <v/>
      </c>
      <c r="F1127" s="6">
        <f>IFERROR(__xludf.DUMMYFUNCTION("""COMPUTED_VALUE"""),0.7051504629629632)</f>
        <v>0.705150463</v>
      </c>
      <c r="G1127" s="4" t="str">
        <f>IFERROR(__xludf.DUMMYFUNCTION("""COMPUTED_VALUE"""),"")</f>
        <v/>
      </c>
      <c r="H1127" s="4" t="str">
        <f>IFERROR(__xludf.DUMMYFUNCTION("""COMPUTED_VALUE"""),"")</f>
        <v/>
      </c>
      <c r="I1127" s="4" t="str">
        <f>IFERROR(__xludf.DUMMYFUNCTION("""COMPUTED_VALUE"""),"")</f>
        <v/>
      </c>
      <c r="J1127" s="4" t="str">
        <f>IFERROR(__xludf.DUMMYFUNCTION("""COMPUTED_VALUE"""),"")</f>
        <v/>
      </c>
      <c r="K1127" s="4" t="str">
        <f>IFERROR(__xludf.DUMMYFUNCTION("""COMPUTED_VALUE"""),"")</f>
        <v/>
      </c>
      <c r="L1127" s="4" t="str">
        <f>IFERROR(__xludf.DUMMYFUNCTION("""COMPUTED_VALUE"""),"")</f>
        <v/>
      </c>
      <c r="M1127" s="4" t="str">
        <f>IFERROR(__xludf.DUMMYFUNCTION("""COMPUTED_VALUE"""),"")</f>
        <v/>
      </c>
      <c r="N1127" s="4" t="str">
        <f>IFERROR(__xludf.DUMMYFUNCTION("""COMPUTED_VALUE"""),"")</f>
        <v/>
      </c>
      <c r="O1127" s="4" t="str">
        <f>IFERROR(__xludf.DUMMYFUNCTION("""COMPUTED_VALUE"""),"")</f>
        <v/>
      </c>
      <c r="P1127" s="4" t="str">
        <f>IFERROR(__xludf.DUMMYFUNCTION("""COMPUTED_VALUE"""),"")</f>
        <v/>
      </c>
      <c r="Q1127" s="4" t="str">
        <f>IFERROR(__xludf.DUMMYFUNCTION("""COMPUTED_VALUE"""),"")</f>
        <v/>
      </c>
      <c r="R1127" s="4" t="str">
        <f>IFERROR(__xludf.DUMMYFUNCTION("""COMPUTED_VALUE"""),"")</f>
        <v/>
      </c>
      <c r="S1127" s="4" t="str">
        <f>IFERROR(__xludf.DUMMYFUNCTION("""COMPUTED_VALUE"""),"")</f>
        <v/>
      </c>
      <c r="T1127" s="4" t="str">
        <f>IFERROR(__xludf.DUMMYFUNCTION("""COMPUTED_VALUE"""),"")</f>
        <v/>
      </c>
      <c r="U1127" s="4" t="str">
        <f>IFERROR(__xludf.DUMMYFUNCTION("""COMPUTED_VALUE"""),"")</f>
        <v/>
      </c>
      <c r="V1127" s="4" t="str">
        <f>IFERROR(__xludf.DUMMYFUNCTION("""COMPUTED_VALUE"""),"")</f>
        <v/>
      </c>
      <c r="W1127" s="4" t="str">
        <f>IFERROR(__xludf.DUMMYFUNCTION("""COMPUTED_VALUE"""),"")</f>
        <v/>
      </c>
      <c r="X1127" s="4" t="str">
        <f>IFERROR(__xludf.DUMMYFUNCTION("""COMPUTED_VALUE"""),"")</f>
        <v/>
      </c>
      <c r="Y1127" s="4" t="str">
        <f>IFERROR(__xludf.DUMMYFUNCTION("""COMPUTED_VALUE"""),"")</f>
        <v/>
      </c>
    </row>
    <row r="1128">
      <c r="A1128" s="4" t="str">
        <f>IFERROR(__xludf.DUMMYFUNCTION("""COMPUTED_VALUE"""),"1249 - Channel")</f>
        <v>1249 - Channel</v>
      </c>
      <c r="B1128" s="4" t="str">
        <f>IFERROR(__xludf.DUMMYFUNCTION("""COMPUTED_VALUE"""),"Channel 4")</f>
        <v>Channel 4</v>
      </c>
      <c r="C1128" s="4" t="str">
        <f>IFERROR(__xludf.DUMMYFUNCTION("""COMPUTED_VALUE"""),"Day 3 - 25/06")</f>
        <v>Day 3 - 25/06</v>
      </c>
      <c r="D1128" s="6">
        <f>IFERROR(__xludf.DUMMYFUNCTION("""COMPUTED_VALUE"""),0.7051504629629632)</f>
        <v>0.705150463</v>
      </c>
      <c r="E1128" s="4" t="str">
        <f>IFERROR(__xludf.DUMMYFUNCTION("""COMPUTED_VALUE"""),"")</f>
        <v/>
      </c>
      <c r="F1128" s="6">
        <f>IFERROR(__xludf.DUMMYFUNCTION("""COMPUTED_VALUE"""),0.7051504629629632)</f>
        <v>0.705150463</v>
      </c>
      <c r="G1128" s="4" t="str">
        <f>IFERROR(__xludf.DUMMYFUNCTION("""COMPUTED_VALUE"""),"")</f>
        <v/>
      </c>
      <c r="H1128" s="4" t="str">
        <f>IFERROR(__xludf.DUMMYFUNCTION("""COMPUTED_VALUE"""),"")</f>
        <v/>
      </c>
      <c r="I1128" s="4" t="str">
        <f>IFERROR(__xludf.DUMMYFUNCTION("""COMPUTED_VALUE"""),"")</f>
        <v/>
      </c>
      <c r="J1128" s="4" t="str">
        <f>IFERROR(__xludf.DUMMYFUNCTION("""COMPUTED_VALUE"""),"")</f>
        <v/>
      </c>
      <c r="K1128" s="4" t="str">
        <f>IFERROR(__xludf.DUMMYFUNCTION("""COMPUTED_VALUE"""),"")</f>
        <v/>
      </c>
      <c r="L1128" s="4" t="str">
        <f>IFERROR(__xludf.DUMMYFUNCTION("""COMPUTED_VALUE"""),"")</f>
        <v/>
      </c>
      <c r="M1128" s="4" t="str">
        <f>IFERROR(__xludf.DUMMYFUNCTION("""COMPUTED_VALUE"""),"")</f>
        <v/>
      </c>
      <c r="N1128" s="4" t="str">
        <f>IFERROR(__xludf.DUMMYFUNCTION("""COMPUTED_VALUE"""),"")</f>
        <v/>
      </c>
      <c r="O1128" s="4" t="str">
        <f>IFERROR(__xludf.DUMMYFUNCTION("""COMPUTED_VALUE"""),"")</f>
        <v/>
      </c>
      <c r="P1128" s="4" t="str">
        <f>IFERROR(__xludf.DUMMYFUNCTION("""COMPUTED_VALUE"""),"")</f>
        <v/>
      </c>
      <c r="Q1128" s="4" t="str">
        <f>IFERROR(__xludf.DUMMYFUNCTION("""COMPUTED_VALUE"""),"")</f>
        <v/>
      </c>
      <c r="R1128" s="4" t="str">
        <f>IFERROR(__xludf.DUMMYFUNCTION("""COMPUTED_VALUE"""),"")</f>
        <v/>
      </c>
      <c r="S1128" s="4" t="str">
        <f>IFERROR(__xludf.DUMMYFUNCTION("""COMPUTED_VALUE"""),"")</f>
        <v/>
      </c>
      <c r="T1128" s="4" t="str">
        <f>IFERROR(__xludf.DUMMYFUNCTION("""COMPUTED_VALUE"""),"")</f>
        <v/>
      </c>
      <c r="U1128" s="4" t="str">
        <f>IFERROR(__xludf.DUMMYFUNCTION("""COMPUTED_VALUE"""),"")</f>
        <v/>
      </c>
      <c r="V1128" s="4" t="str">
        <f>IFERROR(__xludf.DUMMYFUNCTION("""COMPUTED_VALUE"""),"")</f>
        <v/>
      </c>
      <c r="W1128" s="4" t="str">
        <f>IFERROR(__xludf.DUMMYFUNCTION("""COMPUTED_VALUE"""),"")</f>
        <v/>
      </c>
      <c r="X1128" s="4" t="str">
        <f>IFERROR(__xludf.DUMMYFUNCTION("""COMPUTED_VALUE"""),"")</f>
        <v/>
      </c>
      <c r="Y1128" s="4" t="str">
        <f>IFERROR(__xludf.DUMMYFUNCTION("""COMPUTED_VALUE"""),"")</f>
        <v/>
      </c>
    </row>
    <row r="1129">
      <c r="A1129" s="4" t="str">
        <f>IFERROR(__xludf.DUMMYFUNCTION("""COMPUTED_VALUE"""),"1250 - Channel")</f>
        <v>1250 - Channel</v>
      </c>
      <c r="B1129" s="4" t="str">
        <f>IFERROR(__xludf.DUMMYFUNCTION("""COMPUTED_VALUE"""),"Channel 4")</f>
        <v>Channel 4</v>
      </c>
      <c r="C1129" s="4" t="str">
        <f>IFERROR(__xludf.DUMMYFUNCTION("""COMPUTED_VALUE"""),"Day 3 - 25/06")</f>
        <v>Day 3 - 25/06</v>
      </c>
      <c r="D1129" s="6">
        <f>IFERROR(__xludf.DUMMYFUNCTION("""COMPUTED_VALUE"""),0.7051504629629632)</f>
        <v>0.705150463</v>
      </c>
      <c r="E1129" s="4" t="str">
        <f>IFERROR(__xludf.DUMMYFUNCTION("""COMPUTED_VALUE"""),"")</f>
        <v/>
      </c>
      <c r="F1129" s="6">
        <f>IFERROR(__xludf.DUMMYFUNCTION("""COMPUTED_VALUE"""),0.7051504629629632)</f>
        <v>0.705150463</v>
      </c>
      <c r="G1129" s="4" t="str">
        <f>IFERROR(__xludf.DUMMYFUNCTION("""COMPUTED_VALUE"""),"")</f>
        <v/>
      </c>
      <c r="H1129" s="4" t="str">
        <f>IFERROR(__xludf.DUMMYFUNCTION("""COMPUTED_VALUE"""),"")</f>
        <v/>
      </c>
      <c r="I1129" s="4" t="str">
        <f>IFERROR(__xludf.DUMMYFUNCTION("""COMPUTED_VALUE"""),"")</f>
        <v/>
      </c>
      <c r="J1129" s="4" t="str">
        <f>IFERROR(__xludf.DUMMYFUNCTION("""COMPUTED_VALUE"""),"")</f>
        <v/>
      </c>
      <c r="K1129" s="4" t="str">
        <f>IFERROR(__xludf.DUMMYFUNCTION("""COMPUTED_VALUE"""),"")</f>
        <v/>
      </c>
      <c r="L1129" s="4" t="str">
        <f>IFERROR(__xludf.DUMMYFUNCTION("""COMPUTED_VALUE"""),"")</f>
        <v/>
      </c>
      <c r="M1129" s="4" t="str">
        <f>IFERROR(__xludf.DUMMYFUNCTION("""COMPUTED_VALUE"""),"")</f>
        <v/>
      </c>
      <c r="N1129" s="4" t="str">
        <f>IFERROR(__xludf.DUMMYFUNCTION("""COMPUTED_VALUE"""),"")</f>
        <v/>
      </c>
      <c r="O1129" s="4" t="str">
        <f>IFERROR(__xludf.DUMMYFUNCTION("""COMPUTED_VALUE"""),"")</f>
        <v/>
      </c>
      <c r="P1129" s="4" t="str">
        <f>IFERROR(__xludf.DUMMYFUNCTION("""COMPUTED_VALUE"""),"")</f>
        <v/>
      </c>
      <c r="Q1129" s="4" t="str">
        <f>IFERROR(__xludf.DUMMYFUNCTION("""COMPUTED_VALUE"""),"")</f>
        <v/>
      </c>
      <c r="R1129" s="4" t="str">
        <f>IFERROR(__xludf.DUMMYFUNCTION("""COMPUTED_VALUE"""),"")</f>
        <v/>
      </c>
      <c r="S1129" s="4" t="str">
        <f>IFERROR(__xludf.DUMMYFUNCTION("""COMPUTED_VALUE"""),"")</f>
        <v/>
      </c>
      <c r="T1129" s="4" t="str">
        <f>IFERROR(__xludf.DUMMYFUNCTION("""COMPUTED_VALUE"""),"")</f>
        <v/>
      </c>
      <c r="U1129" s="4" t="str">
        <f>IFERROR(__xludf.DUMMYFUNCTION("""COMPUTED_VALUE"""),"")</f>
        <v/>
      </c>
      <c r="V1129" s="4" t="str">
        <f>IFERROR(__xludf.DUMMYFUNCTION("""COMPUTED_VALUE"""),"")</f>
        <v/>
      </c>
      <c r="W1129" s="4" t="str">
        <f>IFERROR(__xludf.DUMMYFUNCTION("""COMPUTED_VALUE"""),"")</f>
        <v/>
      </c>
      <c r="X1129" s="4" t="str">
        <f>IFERROR(__xludf.DUMMYFUNCTION("""COMPUTED_VALUE"""),"")</f>
        <v/>
      </c>
      <c r="Y1129" s="4" t="str">
        <f>IFERROR(__xludf.DUMMYFUNCTION("""COMPUTED_VALUE"""),"")</f>
        <v/>
      </c>
    </row>
    <row r="1130">
      <c r="A1130" s="4" t="str">
        <f>IFERROR(__xludf.DUMMYFUNCTION("""COMPUTED_VALUE"""),"1251 - Channel")</f>
        <v>1251 - Channel</v>
      </c>
      <c r="B1130" s="4" t="str">
        <f>IFERROR(__xludf.DUMMYFUNCTION("""COMPUTED_VALUE"""),"Channel 4")</f>
        <v>Channel 4</v>
      </c>
      <c r="C1130" s="4" t="str">
        <f>IFERROR(__xludf.DUMMYFUNCTION("""COMPUTED_VALUE"""),"Day 3 - 25/06")</f>
        <v>Day 3 - 25/06</v>
      </c>
      <c r="D1130" s="6">
        <f>IFERROR(__xludf.DUMMYFUNCTION("""COMPUTED_VALUE"""),0.7051504629629632)</f>
        <v>0.705150463</v>
      </c>
      <c r="E1130" s="4" t="str">
        <f>IFERROR(__xludf.DUMMYFUNCTION("""COMPUTED_VALUE"""),"")</f>
        <v/>
      </c>
      <c r="F1130" s="6">
        <f>IFERROR(__xludf.DUMMYFUNCTION("""COMPUTED_VALUE"""),0.7051504629629632)</f>
        <v>0.705150463</v>
      </c>
      <c r="G1130" s="4" t="str">
        <f>IFERROR(__xludf.DUMMYFUNCTION("""COMPUTED_VALUE"""),"")</f>
        <v/>
      </c>
      <c r="H1130" s="4" t="str">
        <f>IFERROR(__xludf.DUMMYFUNCTION("""COMPUTED_VALUE"""),"")</f>
        <v/>
      </c>
      <c r="I1130" s="4" t="str">
        <f>IFERROR(__xludf.DUMMYFUNCTION("""COMPUTED_VALUE"""),"")</f>
        <v/>
      </c>
      <c r="J1130" s="4" t="str">
        <f>IFERROR(__xludf.DUMMYFUNCTION("""COMPUTED_VALUE"""),"")</f>
        <v/>
      </c>
      <c r="K1130" s="4" t="str">
        <f>IFERROR(__xludf.DUMMYFUNCTION("""COMPUTED_VALUE"""),"")</f>
        <v/>
      </c>
      <c r="L1130" s="4" t="str">
        <f>IFERROR(__xludf.DUMMYFUNCTION("""COMPUTED_VALUE"""),"")</f>
        <v/>
      </c>
      <c r="M1130" s="4" t="str">
        <f>IFERROR(__xludf.DUMMYFUNCTION("""COMPUTED_VALUE"""),"")</f>
        <v/>
      </c>
      <c r="N1130" s="4" t="str">
        <f>IFERROR(__xludf.DUMMYFUNCTION("""COMPUTED_VALUE"""),"")</f>
        <v/>
      </c>
      <c r="O1130" s="4" t="str">
        <f>IFERROR(__xludf.DUMMYFUNCTION("""COMPUTED_VALUE"""),"")</f>
        <v/>
      </c>
      <c r="P1130" s="4" t="str">
        <f>IFERROR(__xludf.DUMMYFUNCTION("""COMPUTED_VALUE"""),"")</f>
        <v/>
      </c>
      <c r="Q1130" s="4" t="str">
        <f>IFERROR(__xludf.DUMMYFUNCTION("""COMPUTED_VALUE"""),"")</f>
        <v/>
      </c>
      <c r="R1130" s="4" t="str">
        <f>IFERROR(__xludf.DUMMYFUNCTION("""COMPUTED_VALUE"""),"")</f>
        <v/>
      </c>
      <c r="S1130" s="4" t="str">
        <f>IFERROR(__xludf.DUMMYFUNCTION("""COMPUTED_VALUE"""),"")</f>
        <v/>
      </c>
      <c r="T1130" s="4" t="str">
        <f>IFERROR(__xludf.DUMMYFUNCTION("""COMPUTED_VALUE"""),"")</f>
        <v/>
      </c>
      <c r="U1130" s="4" t="str">
        <f>IFERROR(__xludf.DUMMYFUNCTION("""COMPUTED_VALUE"""),"")</f>
        <v/>
      </c>
      <c r="V1130" s="4" t="str">
        <f>IFERROR(__xludf.DUMMYFUNCTION("""COMPUTED_VALUE"""),"")</f>
        <v/>
      </c>
      <c r="W1130" s="4" t="str">
        <f>IFERROR(__xludf.DUMMYFUNCTION("""COMPUTED_VALUE"""),"")</f>
        <v/>
      </c>
      <c r="X1130" s="4" t="str">
        <f>IFERROR(__xludf.DUMMYFUNCTION("""COMPUTED_VALUE"""),"")</f>
        <v/>
      </c>
      <c r="Y1130" s="4" t="str">
        <f>IFERROR(__xludf.DUMMYFUNCTION("""COMPUTED_VALUE"""),"")</f>
        <v/>
      </c>
    </row>
    <row r="1131">
      <c r="A1131" s="4" t="str">
        <f>IFERROR(__xludf.DUMMYFUNCTION("""COMPUTED_VALUE"""),"1252 - Channel")</f>
        <v>1252 - Channel</v>
      </c>
      <c r="B1131" s="4" t="str">
        <f>IFERROR(__xludf.DUMMYFUNCTION("""COMPUTED_VALUE"""),"Channel 4")</f>
        <v>Channel 4</v>
      </c>
      <c r="C1131" s="4" t="str">
        <f>IFERROR(__xludf.DUMMYFUNCTION("""COMPUTED_VALUE"""),"Day 3 - 25/06")</f>
        <v>Day 3 - 25/06</v>
      </c>
      <c r="D1131" s="6">
        <f>IFERROR(__xludf.DUMMYFUNCTION("""COMPUTED_VALUE"""),0.7051504629629632)</f>
        <v>0.705150463</v>
      </c>
      <c r="E1131" s="4" t="str">
        <f>IFERROR(__xludf.DUMMYFUNCTION("""COMPUTED_VALUE"""),"")</f>
        <v/>
      </c>
      <c r="F1131" s="6">
        <f>IFERROR(__xludf.DUMMYFUNCTION("""COMPUTED_VALUE"""),0.7051504629629632)</f>
        <v>0.705150463</v>
      </c>
      <c r="G1131" s="4" t="str">
        <f>IFERROR(__xludf.DUMMYFUNCTION("""COMPUTED_VALUE"""),"")</f>
        <v/>
      </c>
      <c r="H1131" s="4" t="str">
        <f>IFERROR(__xludf.DUMMYFUNCTION("""COMPUTED_VALUE"""),"")</f>
        <v/>
      </c>
      <c r="I1131" s="4" t="str">
        <f>IFERROR(__xludf.DUMMYFUNCTION("""COMPUTED_VALUE"""),"")</f>
        <v/>
      </c>
      <c r="J1131" s="4" t="str">
        <f>IFERROR(__xludf.DUMMYFUNCTION("""COMPUTED_VALUE"""),"")</f>
        <v/>
      </c>
      <c r="K1131" s="4" t="str">
        <f>IFERROR(__xludf.DUMMYFUNCTION("""COMPUTED_VALUE"""),"")</f>
        <v/>
      </c>
      <c r="L1131" s="4" t="str">
        <f>IFERROR(__xludf.DUMMYFUNCTION("""COMPUTED_VALUE"""),"")</f>
        <v/>
      </c>
      <c r="M1131" s="4" t="str">
        <f>IFERROR(__xludf.DUMMYFUNCTION("""COMPUTED_VALUE"""),"")</f>
        <v/>
      </c>
      <c r="N1131" s="4" t="str">
        <f>IFERROR(__xludf.DUMMYFUNCTION("""COMPUTED_VALUE"""),"")</f>
        <v/>
      </c>
      <c r="O1131" s="4" t="str">
        <f>IFERROR(__xludf.DUMMYFUNCTION("""COMPUTED_VALUE"""),"")</f>
        <v/>
      </c>
      <c r="P1131" s="4" t="str">
        <f>IFERROR(__xludf.DUMMYFUNCTION("""COMPUTED_VALUE"""),"")</f>
        <v/>
      </c>
      <c r="Q1131" s="4" t="str">
        <f>IFERROR(__xludf.DUMMYFUNCTION("""COMPUTED_VALUE"""),"")</f>
        <v/>
      </c>
      <c r="R1131" s="4" t="str">
        <f>IFERROR(__xludf.DUMMYFUNCTION("""COMPUTED_VALUE"""),"")</f>
        <v/>
      </c>
      <c r="S1131" s="4" t="str">
        <f>IFERROR(__xludf.DUMMYFUNCTION("""COMPUTED_VALUE"""),"")</f>
        <v/>
      </c>
      <c r="T1131" s="4" t="str">
        <f>IFERROR(__xludf.DUMMYFUNCTION("""COMPUTED_VALUE"""),"")</f>
        <v/>
      </c>
      <c r="U1131" s="4" t="str">
        <f>IFERROR(__xludf.DUMMYFUNCTION("""COMPUTED_VALUE"""),"")</f>
        <v/>
      </c>
      <c r="V1131" s="4" t="str">
        <f>IFERROR(__xludf.DUMMYFUNCTION("""COMPUTED_VALUE"""),"")</f>
        <v/>
      </c>
      <c r="W1131" s="4" t="str">
        <f>IFERROR(__xludf.DUMMYFUNCTION("""COMPUTED_VALUE"""),"")</f>
        <v/>
      </c>
      <c r="X1131" s="4" t="str">
        <f>IFERROR(__xludf.DUMMYFUNCTION("""COMPUTED_VALUE"""),"")</f>
        <v/>
      </c>
      <c r="Y1131" s="4" t="str">
        <f>IFERROR(__xludf.DUMMYFUNCTION("""COMPUTED_VALUE"""),"")</f>
        <v/>
      </c>
    </row>
    <row r="1132">
      <c r="A1132" s="4" t="str">
        <f>IFERROR(__xludf.DUMMYFUNCTION("""COMPUTED_VALUE"""),"1253 - Channel")</f>
        <v>1253 - Channel</v>
      </c>
      <c r="B1132" s="4" t="str">
        <f>IFERROR(__xludf.DUMMYFUNCTION("""COMPUTED_VALUE"""),"Channel 4")</f>
        <v>Channel 4</v>
      </c>
      <c r="C1132" s="4" t="str">
        <f>IFERROR(__xludf.DUMMYFUNCTION("""COMPUTED_VALUE"""),"")</f>
        <v/>
      </c>
      <c r="D1132" s="4" t="str">
        <f>IFERROR(__xludf.DUMMYFUNCTION("""COMPUTED_VALUE"""),"")</f>
        <v/>
      </c>
      <c r="E1132" s="4" t="str">
        <f>IFERROR(__xludf.DUMMYFUNCTION("""COMPUTED_VALUE"""),"")</f>
        <v/>
      </c>
      <c r="F1132" s="4" t="str">
        <f>IFERROR(__xludf.DUMMYFUNCTION("""COMPUTED_VALUE"""),"")</f>
        <v/>
      </c>
      <c r="G1132" s="4" t="str">
        <f>IFERROR(__xludf.DUMMYFUNCTION("""COMPUTED_VALUE"""),"")</f>
        <v/>
      </c>
      <c r="H1132" s="4" t="str">
        <f>IFERROR(__xludf.DUMMYFUNCTION("""COMPUTED_VALUE"""),"")</f>
        <v/>
      </c>
      <c r="I1132" s="4" t="str">
        <f>IFERROR(__xludf.DUMMYFUNCTION("""COMPUTED_VALUE"""),"")</f>
        <v/>
      </c>
      <c r="J1132" s="4" t="str">
        <f>IFERROR(__xludf.DUMMYFUNCTION("""COMPUTED_VALUE"""),"")</f>
        <v/>
      </c>
      <c r="K1132" s="4" t="str">
        <f>IFERROR(__xludf.DUMMYFUNCTION("""COMPUTED_VALUE"""),"")</f>
        <v/>
      </c>
      <c r="L1132" s="4" t="str">
        <f>IFERROR(__xludf.DUMMYFUNCTION("""COMPUTED_VALUE"""),"")</f>
        <v/>
      </c>
      <c r="M1132" s="4" t="str">
        <f>IFERROR(__xludf.DUMMYFUNCTION("""COMPUTED_VALUE"""),"")</f>
        <v/>
      </c>
      <c r="N1132" s="4" t="str">
        <f>IFERROR(__xludf.DUMMYFUNCTION("""COMPUTED_VALUE"""),"")</f>
        <v/>
      </c>
      <c r="O1132" s="4" t="str">
        <f>IFERROR(__xludf.DUMMYFUNCTION("""COMPUTED_VALUE"""),"")</f>
        <v/>
      </c>
      <c r="P1132" s="4" t="str">
        <f>IFERROR(__xludf.DUMMYFUNCTION("""COMPUTED_VALUE"""),"")</f>
        <v/>
      </c>
      <c r="Q1132" s="4" t="str">
        <f>IFERROR(__xludf.DUMMYFUNCTION("""COMPUTED_VALUE"""),"")</f>
        <v/>
      </c>
      <c r="R1132" s="4" t="str">
        <f>IFERROR(__xludf.DUMMYFUNCTION("""COMPUTED_VALUE"""),"")</f>
        <v/>
      </c>
      <c r="S1132" s="4" t="str">
        <f>IFERROR(__xludf.DUMMYFUNCTION("""COMPUTED_VALUE"""),"")</f>
        <v/>
      </c>
      <c r="T1132" s="4" t="str">
        <f>IFERROR(__xludf.DUMMYFUNCTION("""COMPUTED_VALUE"""),"")</f>
        <v/>
      </c>
      <c r="U1132" s="4" t="str">
        <f>IFERROR(__xludf.DUMMYFUNCTION("""COMPUTED_VALUE"""),"")</f>
        <v/>
      </c>
      <c r="V1132" s="4" t="str">
        <f>IFERROR(__xludf.DUMMYFUNCTION("""COMPUTED_VALUE"""),"")</f>
        <v/>
      </c>
      <c r="W1132" s="4" t="str">
        <f>IFERROR(__xludf.DUMMYFUNCTION("""COMPUTED_VALUE"""),"")</f>
        <v/>
      </c>
      <c r="X1132" s="4" t="str">
        <f>IFERROR(__xludf.DUMMYFUNCTION("""COMPUTED_VALUE"""),"")</f>
        <v/>
      </c>
      <c r="Y1132" s="4" t="str">
        <f>IFERROR(__xludf.DUMMYFUNCTION("""COMPUTED_VALUE"""),"")</f>
        <v/>
      </c>
    </row>
    <row r="1133">
      <c r="A1133" s="4" t="str">
        <f>IFERROR(__xludf.DUMMYFUNCTION("""COMPUTED_VALUE"""),"1254 - Channel")</f>
        <v>1254 - Channel</v>
      </c>
      <c r="B1133" s="4" t="str">
        <f>IFERROR(__xludf.DUMMYFUNCTION("""COMPUTED_VALUE"""),"SURPLUS TALKS")</f>
        <v>SURPLUS TALKS</v>
      </c>
      <c r="C1133" s="4" t="str">
        <f>IFERROR(__xludf.DUMMYFUNCTION("""COMPUTED_VALUE"""),"")</f>
        <v/>
      </c>
      <c r="D1133" s="4" t="str">
        <f>IFERROR(__xludf.DUMMYFUNCTION("""COMPUTED_VALUE"""),"")</f>
        <v/>
      </c>
      <c r="E1133" s="4" t="str">
        <f>IFERROR(__xludf.DUMMYFUNCTION("""COMPUTED_VALUE"""),"")</f>
        <v/>
      </c>
      <c r="F1133" s="4" t="str">
        <f>IFERROR(__xludf.DUMMYFUNCTION("""COMPUTED_VALUE"""),"")</f>
        <v/>
      </c>
      <c r="G1133" s="4" t="str">
        <f>IFERROR(__xludf.DUMMYFUNCTION("""COMPUTED_VALUE"""),"")</f>
        <v/>
      </c>
      <c r="H1133" s="4" t="str">
        <f>IFERROR(__xludf.DUMMYFUNCTION("""COMPUTED_VALUE"""),"")</f>
        <v/>
      </c>
      <c r="I1133" s="4" t="str">
        <f>IFERROR(__xludf.DUMMYFUNCTION("""COMPUTED_VALUE"""),"")</f>
        <v/>
      </c>
      <c r="J1133" s="4" t="str">
        <f>IFERROR(__xludf.DUMMYFUNCTION("""COMPUTED_VALUE"""),"")</f>
        <v/>
      </c>
      <c r="K1133" s="4" t="str">
        <f>IFERROR(__xludf.DUMMYFUNCTION("""COMPUTED_VALUE"""),"")</f>
        <v/>
      </c>
      <c r="L1133" s="4" t="str">
        <f>IFERROR(__xludf.DUMMYFUNCTION("""COMPUTED_VALUE"""),"")</f>
        <v/>
      </c>
      <c r="M1133" s="4" t="str">
        <f>IFERROR(__xludf.DUMMYFUNCTION("""COMPUTED_VALUE"""),"")</f>
        <v/>
      </c>
      <c r="N1133" s="4" t="str">
        <f>IFERROR(__xludf.DUMMYFUNCTION("""COMPUTED_VALUE"""),"")</f>
        <v/>
      </c>
      <c r="O1133" s="4" t="str">
        <f>IFERROR(__xludf.DUMMYFUNCTION("""COMPUTED_VALUE"""),"")</f>
        <v/>
      </c>
      <c r="P1133" s="4" t="str">
        <f>IFERROR(__xludf.DUMMYFUNCTION("""COMPUTED_VALUE"""),"")</f>
        <v/>
      </c>
      <c r="Q1133" s="4" t="str">
        <f>IFERROR(__xludf.DUMMYFUNCTION("""COMPUTED_VALUE"""),"")</f>
        <v/>
      </c>
      <c r="R1133" s="4" t="str">
        <f>IFERROR(__xludf.DUMMYFUNCTION("""COMPUTED_VALUE"""),"")</f>
        <v/>
      </c>
      <c r="S1133" s="4" t="str">
        <f>IFERROR(__xludf.DUMMYFUNCTION("""COMPUTED_VALUE"""),"")</f>
        <v/>
      </c>
      <c r="T1133" s="4" t="str">
        <f>IFERROR(__xludf.DUMMYFUNCTION("""COMPUTED_VALUE"""),"")</f>
        <v/>
      </c>
      <c r="U1133" s="4" t="str">
        <f>IFERROR(__xludf.DUMMYFUNCTION("""COMPUTED_VALUE"""),"")</f>
        <v/>
      </c>
      <c r="V1133" s="4" t="str">
        <f>IFERROR(__xludf.DUMMYFUNCTION("""COMPUTED_VALUE"""),"")</f>
        <v/>
      </c>
      <c r="W1133" s="4" t="str">
        <f>IFERROR(__xludf.DUMMYFUNCTION("""COMPUTED_VALUE"""),"")</f>
        <v/>
      </c>
      <c r="X1133" s="4" t="str">
        <f>IFERROR(__xludf.DUMMYFUNCTION("""COMPUTED_VALUE"""),"")</f>
        <v/>
      </c>
      <c r="Y1133" s="4" t="str">
        <f>IFERROR(__xludf.DUMMYFUNCTION("""COMPUTED_VALUE"""),"")</f>
        <v/>
      </c>
    </row>
    <row r="1134">
      <c r="A1134" s="4" t="str">
        <f>IFERROR(__xludf.DUMMYFUNCTION("""COMPUTED_VALUE"""),"1255 - Channel")</f>
        <v>1255 - Channel</v>
      </c>
      <c r="B1134" s="4" t="str">
        <f>IFERROR(__xludf.DUMMYFUNCTION("""COMPUTED_VALUE"""),"")</f>
        <v/>
      </c>
      <c r="C1134" s="4" t="str">
        <f>IFERROR(__xludf.DUMMYFUNCTION("""COMPUTED_VALUE"""),"")</f>
        <v/>
      </c>
      <c r="D1134" s="4" t="str">
        <f>IFERROR(__xludf.DUMMYFUNCTION("""COMPUTED_VALUE"""),"")</f>
        <v/>
      </c>
      <c r="E1134" s="4" t="str">
        <f>IFERROR(__xludf.DUMMYFUNCTION("""COMPUTED_VALUE"""),"")</f>
        <v/>
      </c>
      <c r="F1134" s="4" t="str">
        <f>IFERROR(__xludf.DUMMYFUNCTION("""COMPUTED_VALUE"""),"")</f>
        <v/>
      </c>
      <c r="G1134" s="4" t="str">
        <f>IFERROR(__xludf.DUMMYFUNCTION("""COMPUTED_VALUE"""),"")</f>
        <v/>
      </c>
      <c r="H1134" s="4" t="str">
        <f>IFERROR(__xludf.DUMMYFUNCTION("""COMPUTED_VALUE"""),"")</f>
        <v/>
      </c>
      <c r="I1134" s="4" t="str">
        <f>IFERROR(__xludf.DUMMYFUNCTION("""COMPUTED_VALUE"""),"")</f>
        <v/>
      </c>
      <c r="J1134" s="4" t="str">
        <f>IFERROR(__xludf.DUMMYFUNCTION("""COMPUTED_VALUE"""),"")</f>
        <v/>
      </c>
      <c r="K1134" s="4" t="str">
        <f>IFERROR(__xludf.DUMMYFUNCTION("""COMPUTED_VALUE"""),"")</f>
        <v/>
      </c>
      <c r="L1134" s="4" t="str">
        <f>IFERROR(__xludf.DUMMYFUNCTION("""COMPUTED_VALUE"""),"")</f>
        <v/>
      </c>
      <c r="M1134" s="4" t="str">
        <f>IFERROR(__xludf.DUMMYFUNCTION("""COMPUTED_VALUE"""),"")</f>
        <v/>
      </c>
      <c r="N1134" s="4" t="str">
        <f>IFERROR(__xludf.DUMMYFUNCTION("""COMPUTED_VALUE"""),"")</f>
        <v/>
      </c>
      <c r="O1134" s="4" t="str">
        <f>IFERROR(__xludf.DUMMYFUNCTION("""COMPUTED_VALUE"""),"")</f>
        <v/>
      </c>
      <c r="P1134" s="4" t="str">
        <f>IFERROR(__xludf.DUMMYFUNCTION("""COMPUTED_VALUE"""),"")</f>
        <v/>
      </c>
      <c r="Q1134" s="4" t="str">
        <f>IFERROR(__xludf.DUMMYFUNCTION("""COMPUTED_VALUE"""),"")</f>
        <v/>
      </c>
      <c r="R1134" s="4" t="str">
        <f>IFERROR(__xludf.DUMMYFUNCTION("""COMPUTED_VALUE"""),"")</f>
        <v/>
      </c>
      <c r="S1134" s="4" t="str">
        <f>IFERROR(__xludf.DUMMYFUNCTION("""COMPUTED_VALUE"""),"")</f>
        <v/>
      </c>
      <c r="T1134" s="4" t="str">
        <f>IFERROR(__xludf.DUMMYFUNCTION("""COMPUTED_VALUE"""),"")</f>
        <v/>
      </c>
      <c r="U1134" s="4" t="str">
        <f>IFERROR(__xludf.DUMMYFUNCTION("""COMPUTED_VALUE"""),"")</f>
        <v/>
      </c>
      <c r="V1134" s="4" t="str">
        <f>IFERROR(__xludf.DUMMYFUNCTION("""COMPUTED_VALUE"""),"")</f>
        <v/>
      </c>
      <c r="W1134" s="4" t="str">
        <f>IFERROR(__xludf.DUMMYFUNCTION("""COMPUTED_VALUE"""),"")</f>
        <v/>
      </c>
      <c r="X1134" s="4" t="str">
        <f>IFERROR(__xludf.DUMMYFUNCTION("""COMPUTED_VALUE"""),"")</f>
        <v/>
      </c>
      <c r="Y1134" s="4" t="str">
        <f>IFERROR(__xludf.DUMMYFUNCTION("""COMPUTED_VALUE"""),"")</f>
        <v/>
      </c>
    </row>
    <row r="1135">
      <c r="A1135" s="4" t="str">
        <f>IFERROR(__xludf.DUMMYFUNCTION("""COMPUTED_VALUE"""),"1256 - Channel")</f>
        <v>1256 - Channel</v>
      </c>
      <c r="B1135" s="4" t="str">
        <f>IFERROR(__xludf.DUMMYFUNCTION("""COMPUTED_VALUE"""),"Surplus ch.")</f>
        <v>Surplus ch.</v>
      </c>
      <c r="C1135" s="4" t="str">
        <f>IFERROR(__xludf.DUMMYFUNCTION("""COMPUTED_VALUE"""),"Day 1 - 23/06")</f>
        <v>Day 1 - 23/06</v>
      </c>
      <c r="D1135" s="6">
        <f>IFERROR(__xludf.DUMMYFUNCTION("""COMPUTED_VALUE"""),0.4166666666666667)</f>
        <v>0.4166666667</v>
      </c>
      <c r="E1135" s="6">
        <f>IFERROR(__xludf.DUMMYFUNCTION("""COMPUTED_VALUE"""),0.010416666666666666)</f>
        <v>0.01041666667</v>
      </c>
      <c r="F1135" s="6">
        <f>IFERROR(__xludf.DUMMYFUNCTION("""COMPUTED_VALUE"""),0.42708333333333337)</f>
        <v>0.4270833333</v>
      </c>
      <c r="G1135" s="4" t="str">
        <f>IFERROR(__xludf.DUMMYFUNCTION("""COMPUTED_VALUE"""),"Helen")</f>
        <v>Helen</v>
      </c>
      <c r="H1135" s="4" t="str">
        <f>IFERROR(__xludf.DUMMYFUNCTION("""COMPUTED_VALUE"""),"Shauna")</f>
        <v>Shauna</v>
      </c>
      <c r="I1135" s="4" t="str">
        <f>IFERROR(__xludf.DUMMYFUNCTION("""COMPUTED_VALUE"""),"Lucia H.")</f>
        <v>Lucia H.</v>
      </c>
      <c r="J1135" s="4" t="str">
        <f>IFERROR(__xludf.DUMMYFUNCTION("""COMPUTED_VALUE"""),"Health")</f>
        <v>Health</v>
      </c>
      <c r="K1135" s="4" t="str">
        <f>IFERROR(__xludf.DUMMYFUNCTION("""COMPUTED_VALUE"""),"Super Fireside")</f>
        <v>Super Fireside</v>
      </c>
      <c r="L1135" s="4" t="str">
        <f>IFERROR(__xludf.DUMMYFUNCTION("""COMPUTED_VALUE"""),"T- 6 - 11/05/2020")</f>
        <v>T- 6 - 11/05/2020</v>
      </c>
      <c r="M1135" s="4" t="str">
        <f>IFERROR(__xludf.DUMMYFUNCTION("""COMPUTED_VALUE"""),"CH 3 - The cost of health: Insurtech in a pandemic")</f>
        <v>CH 3 - The cost of health: Insurtech in a pandemic</v>
      </c>
      <c r="N1135" s="4" t="str">
        <f>IFERROR(__xludf.DUMMYFUNCTION("""COMPUTED_VALUE"""),"Yashish Dahiya, PolicyBazaar")</f>
        <v>Yashish Dahiya, PolicyBazaar</v>
      </c>
      <c r="O1135" s="4" t="str">
        <f>IFERROR(__xludf.DUMMYFUNCTION("""COMPUTED_VALUE"""),"Grace Park, DocDoc")</f>
        <v>Grace Park, DocDoc</v>
      </c>
      <c r="P1135" s="4" t="str">
        <f>IFERROR(__xludf.DUMMYFUNCTION("""COMPUTED_VALUE"""),"")</f>
        <v/>
      </c>
      <c r="Q1135" s="4" t="str">
        <f>IFERROR(__xludf.DUMMYFUNCTION("""COMPUTED_VALUE"""),"")</f>
        <v/>
      </c>
      <c r="R1135" s="4" t="str">
        <f>IFERROR(__xludf.DUMMYFUNCTION("""COMPUTED_VALUE"""),"John Armstrong, KPMG")</f>
        <v>John Armstrong, KPMG</v>
      </c>
      <c r="S1135" s="4" t="str">
        <f>IFERROR(__xludf.DUMMYFUNCTION("""COMPUTED_VALUE"""),"Insurance, a notoriously backwards industry, has had to adapt fast to save lives. Join an insurtech unicorn and Asia's leading patient empowerment company in conversation about the future of life insurance and policy-making following a global pandemic.")</f>
        <v>Insurance, a notoriously backwards industry, has had to adapt fast to save lives. Join an insurtech unicorn and Asia's leading patient empowerment company in conversation about the future of life insurance and policy-making following a global pandemic.</v>
      </c>
      <c r="T1135" s="4" t="str">
        <f>IFERROR(__xludf.DUMMYFUNCTION("""COMPUTED_VALUE"""),"NON-KEYNOTE 9 - COMPLETE")</f>
        <v>NON-KEYNOTE 9 - COMPLETE</v>
      </c>
      <c r="U1135" s="23">
        <f>IFERROR(__xludf.DUMMYFUNCTION("""COMPUTED_VALUE"""),43976.0)</f>
        <v>43976</v>
      </c>
      <c r="V1135" s="24">
        <f>IFERROR(__xludf.DUMMYFUNCTION("""COMPUTED_VALUE"""),0.5416666666666666)</f>
        <v>0.5416666667</v>
      </c>
      <c r="W1135" s="4" t="str">
        <f>IFERROR(__xludf.DUMMYFUNCTION("""COMPUTED_VALUE"""),"COMPLETE")</f>
        <v>COMPLETE</v>
      </c>
      <c r="X1135" s="4" t="str">
        <f>IFERROR(__xludf.DUMMYFUNCTION("""COMPUTED_VALUE"""),"Helen")</f>
        <v>Helen</v>
      </c>
      <c r="Y1135" s="4" t="str">
        <f>IFERROR(__xludf.DUMMYFUNCTION("""COMPUTED_VALUE"""),"")</f>
        <v/>
      </c>
    </row>
    <row r="1136">
      <c r="A1136" s="4" t="str">
        <f>IFERROR(__xludf.DUMMYFUNCTION("""COMPUTED_VALUE"""),"1258 - Channel")</f>
        <v>1258 - Channel</v>
      </c>
      <c r="B1136" s="4" t="str">
        <f>IFERROR(__xludf.DUMMYFUNCTION("""COMPUTED_VALUE"""),"Surplus ch.")</f>
        <v>Surplus ch.</v>
      </c>
      <c r="C1136" s="4" t="str">
        <f>IFERROR(__xludf.DUMMYFUNCTION("""COMPUTED_VALUE"""),"Day 1 - 23/06")</f>
        <v>Day 1 - 23/06</v>
      </c>
      <c r="D1136" s="6">
        <f>IFERROR(__xludf.DUMMYFUNCTION("""COMPUTED_VALUE"""),0.42708333333333337)</f>
        <v>0.4270833333</v>
      </c>
      <c r="E1136" s="6">
        <f>IFERROR(__xludf.DUMMYFUNCTION("""COMPUTED_VALUE"""),0.010416666666666666)</f>
        <v>0.01041666667</v>
      </c>
      <c r="F1136" s="6">
        <f>IFERROR(__xludf.DUMMYFUNCTION("""COMPUTED_VALUE"""),0.43750000000000006)</f>
        <v>0.4375</v>
      </c>
      <c r="G1136" s="4" t="str">
        <f>IFERROR(__xludf.DUMMYFUNCTION("""COMPUTED_VALUE"""),"Colm")</f>
        <v>Colm</v>
      </c>
      <c r="H1136" s="4" t="str">
        <f>IFERROR(__xludf.DUMMYFUNCTION("""COMPUTED_VALUE"""),"Lisa")</f>
        <v>Lisa</v>
      </c>
      <c r="I1136" s="4" t="str">
        <f>IFERROR(__xludf.DUMMYFUNCTION("""COMPUTED_VALUE"""),"Lucia H.")</f>
        <v>Lucia H.</v>
      </c>
      <c r="J1136" s="4" t="str">
        <f>IFERROR(__xludf.DUMMYFUNCTION("""COMPUTED_VALUE"""),"Media")</f>
        <v>Media</v>
      </c>
      <c r="K1136" s="4" t="str">
        <f>IFERROR(__xludf.DUMMYFUNCTION("""COMPUTED_VALUE"""),"Panel")</f>
        <v>Panel</v>
      </c>
      <c r="L1136" s="4" t="str">
        <f>IFERROR(__xludf.DUMMYFUNCTION("""COMPUTED_VALUE"""),"T- 5 - 18/05/2020")</f>
        <v>T- 5 - 18/05/2020</v>
      </c>
      <c r="M1136" s="4" t="str">
        <f>IFERROR(__xludf.DUMMYFUNCTION("""COMPUTED_VALUE"""),"CH2 - It's all about the story")</f>
        <v>CH2 - It's all about the story</v>
      </c>
      <c r="N1136" s="4" t="str">
        <f>IFERROR(__xludf.DUMMYFUNCTION("""COMPUTED_VALUE"""),"Jake Brennan, Disgraceland")</f>
        <v>Jake Brennan, Disgraceland</v>
      </c>
      <c r="O1136" s="4" t="str">
        <f>IFERROR(__xludf.DUMMYFUNCTION("""COMPUTED_VALUE"""),"Donald Albright, Tenderfoot TV")</f>
        <v>Donald Albright, Tenderfoot TV</v>
      </c>
      <c r="P1136" s="4" t="str">
        <f>IFERROR(__xludf.DUMMYFUNCTION("""COMPUTED_VALUE"""),"Payne Lindsey, Tenderfoot TV")</f>
        <v>Payne Lindsey, Tenderfoot TV</v>
      </c>
      <c r="Q1136" s="4" t="str">
        <f>IFERROR(__xludf.DUMMYFUNCTION("""COMPUTED_VALUE"""),"")</f>
        <v/>
      </c>
      <c r="R1136" s="4" t="str">
        <f>IFERROR(__xludf.DUMMYFUNCTION("""COMPUTED_VALUE"""),"Lara O'Reilly, Digiday")</f>
        <v>Lara O'Reilly, Digiday</v>
      </c>
      <c r="S1136" s="4" t="str">
        <f>IFERROR(__xludf.DUMMYFUNCTION("""COMPUTED_VALUE"""),"From the inception of the creative idea, to the nuts and bolts of making content, podcast company Tenderfoot TV strive to accomplish one goal, to make something impactful,.")</f>
        <v>From the inception of the creative idea, to the nuts and bolts of making content, podcast company Tenderfoot TV strive to accomplish one goal, to make something impactful,.</v>
      </c>
      <c r="T1136" s="4" t="str">
        <f>IFERROR(__xludf.DUMMYFUNCTION("""COMPUTED_VALUE"""),"NON-KEYNOTE 9 - COMPLETE")</f>
        <v>NON-KEYNOTE 9 - COMPLETE</v>
      </c>
      <c r="U1136" s="23">
        <f>IFERROR(__xludf.DUMMYFUNCTION("""COMPUTED_VALUE"""),43971.0)</f>
        <v>43971</v>
      </c>
      <c r="V1136" s="24">
        <f>IFERROR(__xludf.DUMMYFUNCTION("""COMPUTED_VALUE"""),0.625)</f>
        <v>0.625</v>
      </c>
      <c r="W1136" s="4" t="str">
        <f>IFERROR(__xludf.DUMMYFUNCTION("""COMPUTED_VALUE"""),"COMPLETE")</f>
        <v>COMPLETE</v>
      </c>
      <c r="X1136" s="4" t="str">
        <f>IFERROR(__xludf.DUMMYFUNCTION("""COMPUTED_VALUE"""),"Colm")</f>
        <v>Colm</v>
      </c>
      <c r="Y1136" s="4" t="str">
        <f>IFERROR(__xludf.DUMMYFUNCTION("""COMPUTED_VALUE"""),"")</f>
        <v/>
      </c>
    </row>
    <row r="1137">
      <c r="A1137" s="4" t="str">
        <f>IFERROR(__xludf.DUMMYFUNCTION("""COMPUTED_VALUE"""),"1260 - Channel")</f>
        <v>1260 - Channel</v>
      </c>
      <c r="B1137" s="4" t="str">
        <f>IFERROR(__xludf.DUMMYFUNCTION("""COMPUTED_VALUE"""),"Surplus ch.")</f>
        <v>Surplus ch.</v>
      </c>
      <c r="C1137" s="4" t="str">
        <f>IFERROR(__xludf.DUMMYFUNCTION("""COMPUTED_VALUE"""),"Day 1 - 23/06")</f>
        <v>Day 1 - 23/06</v>
      </c>
      <c r="D1137" s="6">
        <f>IFERROR(__xludf.DUMMYFUNCTION("""COMPUTED_VALUE"""),0.43750000000000006)</f>
        <v>0.4375</v>
      </c>
      <c r="E1137" s="6">
        <f>IFERROR(__xludf.DUMMYFUNCTION("""COMPUTED_VALUE"""),0.010416666666666666)</f>
        <v>0.01041666667</v>
      </c>
      <c r="F1137" s="6">
        <f>IFERROR(__xludf.DUMMYFUNCTION("""COMPUTED_VALUE"""),0.44791666666666674)</f>
        <v>0.4479166667</v>
      </c>
      <c r="G1137" s="4" t="str">
        <f>IFERROR(__xludf.DUMMYFUNCTION("""COMPUTED_VALUE"""),"Yvonne")</f>
        <v>Yvonne</v>
      </c>
      <c r="H1137" s="4" t="str">
        <f>IFERROR(__xludf.DUMMYFUNCTION("""COMPUTED_VALUE"""),"Haziq")</f>
        <v>Haziq</v>
      </c>
      <c r="I1137" s="4" t="str">
        <f>IFERROR(__xludf.DUMMYFUNCTION("""COMPUTED_VALUE"""),"Lucia H.")</f>
        <v>Lucia H.</v>
      </c>
      <c r="J1137" s="4" t="str">
        <f>IFERROR(__xludf.DUMMYFUNCTION("""COMPUTED_VALUE"""),"Health")</f>
        <v>Health</v>
      </c>
      <c r="K1137" s="4" t="str">
        <f>IFERROR(__xludf.DUMMYFUNCTION("""COMPUTED_VALUE"""),"Panel")</f>
        <v>Panel</v>
      </c>
      <c r="L1137" s="4" t="str">
        <f>IFERROR(__xludf.DUMMYFUNCTION("""COMPUTED_VALUE"""),"T- 7 - 04/05/2020")</f>
        <v>T- 7 - 04/05/2020</v>
      </c>
      <c r="M1137" s="4" t="str">
        <f>IFERROR(__xludf.DUMMYFUNCTION("""COMPUTED_VALUE"""),"CH1 - Inside the hospitals of tomorrow")</f>
        <v>CH1 - Inside the hospitals of tomorrow</v>
      </c>
      <c r="N1137" s="4" t="str">
        <f>IFERROR(__xludf.DUMMYFUNCTION("""COMPUTED_VALUE"""),"Riya Mehta, The Knowledge Society")</f>
        <v>Riya Mehta, The Knowledge Society</v>
      </c>
      <c r="O1137" s="4" t="str">
        <f>IFERROR(__xludf.DUMMYFUNCTION("""COMPUTED_VALUE"""),"Jordan Nof, Tusk Ventures Partners")</f>
        <v>Jordan Nof, Tusk Ventures Partners</v>
      </c>
      <c r="P1137" s="4" t="str">
        <f>IFERROR(__xludf.DUMMYFUNCTION("""COMPUTED_VALUE"""),"Harold Paz, The Ohio State University Wexner Medical Center")</f>
        <v>Harold Paz, The Ohio State University Wexner Medical Center</v>
      </c>
      <c r="Q1137" s="4" t="str">
        <f>IFERROR(__xludf.DUMMYFUNCTION("""COMPUTED_VALUE"""),"")</f>
        <v/>
      </c>
      <c r="R1137" s="4" t="str">
        <f>IFERROR(__xludf.DUMMYFUNCTION("""COMPUTED_VALUE"""),"Curtis Brainard, Scientific American")</f>
        <v>Curtis Brainard, Scientific American</v>
      </c>
      <c r="S1137" s="4" t="str">
        <f>IFERROR(__xludf.DUMMYFUNCTION("""COMPUTED_VALUE"""),"As the world faces an unprecedented health crisis, we ask the experts how today's hospitals are holding up and what primary care centers of the future will do differently and/or better.")</f>
        <v>As the world faces an unprecedented health crisis, we ask the experts how today's hospitals are holding up and what primary care centers of the future will do differently and/or better.</v>
      </c>
      <c r="T1137" s="4" t="str">
        <f>IFERROR(__xludf.DUMMYFUNCTION("""COMPUTED_VALUE"""),"NON-KEYNOTE 9 - COMPLETE")</f>
        <v>NON-KEYNOTE 9 - COMPLETE</v>
      </c>
      <c r="U1137" s="23">
        <f>IFERROR(__xludf.DUMMYFUNCTION("""COMPUTED_VALUE"""),43956.0)</f>
        <v>43956</v>
      </c>
      <c r="V1137" s="24">
        <f>IFERROR(__xludf.DUMMYFUNCTION("""COMPUTED_VALUE"""),0.7916666666666666)</f>
        <v>0.7916666667</v>
      </c>
      <c r="W1137" s="4" t="str">
        <f>IFERROR(__xludf.DUMMYFUNCTION("""COMPUTED_VALUE"""),"COMPLETE")</f>
        <v>COMPLETE</v>
      </c>
      <c r="X1137" s="4" t="str">
        <f>IFERROR(__xludf.DUMMYFUNCTION("""COMPUTED_VALUE"""),"Yvonne")</f>
        <v>Yvonne</v>
      </c>
      <c r="Y1137" s="4" t="str">
        <f>IFERROR(__xludf.DUMMYFUNCTION("""COMPUTED_VALUE"""),"")</f>
        <v/>
      </c>
    </row>
    <row r="1138">
      <c r="A1138" s="4" t="str">
        <f>IFERROR(__xludf.DUMMYFUNCTION("""COMPUTED_VALUE"""),"1263 - Channel")</f>
        <v>1263 - Channel</v>
      </c>
      <c r="B1138" s="4" t="str">
        <f>IFERROR(__xludf.DUMMYFUNCTION("""COMPUTED_VALUE"""),"Surplus ch.")</f>
        <v>Surplus ch.</v>
      </c>
      <c r="C1138" s="4" t="str">
        <f>IFERROR(__xludf.DUMMYFUNCTION("""COMPUTED_VALUE"""),"Day 1 - 23/06")</f>
        <v>Day 1 - 23/06</v>
      </c>
      <c r="D1138" s="6">
        <f>IFERROR(__xludf.DUMMYFUNCTION("""COMPUTED_VALUE"""),0.44791666666666674)</f>
        <v>0.4479166667</v>
      </c>
      <c r="E1138" s="6">
        <f>IFERROR(__xludf.DUMMYFUNCTION("""COMPUTED_VALUE"""),0.007638888888888889)</f>
        <v>0.007638888889</v>
      </c>
      <c r="F1138" s="6">
        <f>IFERROR(__xludf.DUMMYFUNCTION("""COMPUTED_VALUE"""),0.4555555555555556)</f>
        <v>0.4555555556</v>
      </c>
      <c r="G1138" s="4" t="str">
        <f>IFERROR(__xludf.DUMMYFUNCTION("""COMPUTED_VALUE"""),"Ahmed")</f>
        <v>Ahmed</v>
      </c>
      <c r="H1138" s="4" t="str">
        <f>IFERROR(__xludf.DUMMYFUNCTION("""COMPUTED_VALUE"""),"Lingyu")</f>
        <v>Lingyu</v>
      </c>
      <c r="I1138" s="4" t="str">
        <f>IFERROR(__xludf.DUMMYFUNCTION("""COMPUTED_VALUE"""),"Francisca")</f>
        <v>Francisca</v>
      </c>
      <c r="J1138" s="4" t="str">
        <f>IFERROR(__xludf.DUMMYFUNCTION("""COMPUTED_VALUE"""),"Education")</f>
        <v>Education</v>
      </c>
      <c r="K1138" s="4" t="str">
        <f>IFERROR(__xludf.DUMMYFUNCTION("""COMPUTED_VALUE"""),"Super Fireside")</f>
        <v>Super Fireside</v>
      </c>
      <c r="L1138" s="4" t="str">
        <f>IFERROR(__xludf.DUMMYFUNCTION("""COMPUTED_VALUE"""),"T- 4 - 25/05/2020")</f>
        <v>T- 4 - 25/05/2020</v>
      </c>
      <c r="M1138" s="4" t="str">
        <f>IFERROR(__xludf.DUMMYFUNCTION("""COMPUTED_VALUE"""),"CH 2 - Digital literacy for the community")</f>
        <v>CH 2 - Digital literacy for the community</v>
      </c>
      <c r="N1138" s="4" t="str">
        <f>IFERROR(__xludf.DUMMYFUNCTION("""COMPUTED_VALUE"""),"Dinanath Kholkar, Tata Consultancy Services")</f>
        <v>Dinanath Kholkar, Tata Consultancy Services</v>
      </c>
      <c r="O1138" s="4" t="str">
        <f>IFERROR(__xludf.DUMMYFUNCTION("""COMPUTED_VALUE"""),"Ganesh Iyer, dotin.us")</f>
        <v>Ganesh Iyer, dotin.us</v>
      </c>
      <c r="P1138" s="4" t="str">
        <f>IFERROR(__xludf.DUMMYFUNCTION("""COMPUTED_VALUE"""),"")</f>
        <v/>
      </c>
      <c r="Q1138" s="4" t="str">
        <f>IFERROR(__xludf.DUMMYFUNCTION("""COMPUTED_VALUE"""),"")</f>
        <v/>
      </c>
      <c r="R1138" s="4" t="str">
        <f>IFERROR(__xludf.DUMMYFUNCTION("""COMPUTED_VALUE"""),"Amber Mac, CTV")</f>
        <v>Amber Mac, CTV</v>
      </c>
      <c r="S1138" s="4" t="str">
        <f>IFERROR(__xludf.DUMMYFUNCTION("""COMPUTED_VALUE"""),"The shift to the digital world that we're currently experiencing is certain to outlive the threat of the virus. This transformation has been implemented at different levels around the world. How do we ensure developing communities are progressively evolvi"&amp;"ng with the digital world? How can we achieve equal opportunity? This session will delve deeper into the challenges and opportunities that lie ahead for developing communities.")</f>
        <v>The shift to the digital world that we're currently experiencing is certain to outlive the threat of the virus. This transformation has been implemented at different levels around the world. How do we ensure developing communities are progressively evolving with the digital world? How can we achieve equal opportunity? This session will delve deeper into the challenges and opportunities that lie ahead for developing communities.</v>
      </c>
      <c r="T1138" s="54" t="str">
        <f>IFERROR(__xludf.DUMMYFUNCTION("""COMPUTED_VALUE"""),"NON-KEYNOTE 9 - COMPLETE")</f>
        <v>NON-KEYNOTE 9 - COMPLETE</v>
      </c>
      <c r="U1138" s="23">
        <f>IFERROR(__xludf.DUMMYFUNCTION("""COMPUTED_VALUE"""),43977.0)</f>
        <v>43977</v>
      </c>
      <c r="V1138" s="24">
        <f>IFERROR(__xludf.DUMMYFUNCTION("""COMPUTED_VALUE"""),0.6666666666666666)</f>
        <v>0.6666666667</v>
      </c>
      <c r="W1138" s="4" t="str">
        <f>IFERROR(__xludf.DUMMYFUNCTION("""COMPUTED_VALUE"""),"COMPLETE")</f>
        <v>COMPLETE</v>
      </c>
      <c r="X1138" s="4" t="str">
        <f>IFERROR(__xludf.DUMMYFUNCTION("""COMPUTED_VALUE"""),"Ahmed")</f>
        <v>Ahmed</v>
      </c>
      <c r="Y1138" s="4" t="str">
        <f>IFERROR(__xludf.DUMMYFUNCTION("""COMPUTED_VALUE"""),"")</f>
        <v/>
      </c>
    </row>
    <row r="1139">
      <c r="A1139" s="4" t="str">
        <f>IFERROR(__xludf.DUMMYFUNCTION("""COMPUTED_VALUE"""),"1267 - Channel")</f>
        <v>1267 - Channel</v>
      </c>
      <c r="B1139" s="4" t="str">
        <f>IFERROR(__xludf.DUMMYFUNCTION("""COMPUTED_VALUE"""),"Surplus ch.")</f>
        <v>Surplus ch.</v>
      </c>
      <c r="C1139" s="4" t="str">
        <f>IFERROR(__xludf.DUMMYFUNCTION("""COMPUTED_VALUE"""),"Day 1 - 23/06")</f>
        <v>Day 1 - 23/06</v>
      </c>
      <c r="D1139" s="6">
        <f>IFERROR(__xludf.DUMMYFUNCTION("""COMPUTED_VALUE"""),0.4555555555555556)</f>
        <v>0.4555555556</v>
      </c>
      <c r="E1139" s="6">
        <f>IFERROR(__xludf.DUMMYFUNCTION("""COMPUTED_VALUE"""),0.005555555555555556)</f>
        <v>0.005555555556</v>
      </c>
      <c r="F1139" s="6">
        <f>IFERROR(__xludf.DUMMYFUNCTION("""COMPUTED_VALUE"""),0.46111111111111114)</f>
        <v>0.4611111111</v>
      </c>
      <c r="G1139" s="4" t="str">
        <f>IFERROR(__xludf.DUMMYFUNCTION("""COMPUTED_VALUE"""),"Luan")</f>
        <v>Luan</v>
      </c>
      <c r="H1139" s="4" t="str">
        <f>IFERROR(__xludf.DUMMYFUNCTION("""COMPUTED_VALUE"""),"N/A")</f>
        <v>N/A</v>
      </c>
      <c r="I1139" s="4" t="str">
        <f>IFERROR(__xludf.DUMMYFUNCTION("""COMPUTED_VALUE"""),"Francisca")</f>
        <v>Francisca</v>
      </c>
      <c r="J1139" s="4" t="str">
        <f>IFERROR(__xludf.DUMMYFUNCTION("""COMPUTED_VALUE"""),"Marketing")</f>
        <v>Marketing</v>
      </c>
      <c r="K1139" s="4" t="str">
        <f>IFERROR(__xludf.DUMMYFUNCTION("""COMPUTED_VALUE"""),"Keynote")</f>
        <v>Keynote</v>
      </c>
      <c r="L1139" s="4" t="str">
        <f>IFERROR(__xludf.DUMMYFUNCTION("""COMPUTED_VALUE"""),"T- 6 - 11/05/2020")</f>
        <v>T- 6 - 11/05/2020</v>
      </c>
      <c r="M1139" s="4" t="str">
        <f>IFERROR(__xludf.DUMMYFUNCTION("""COMPUTED_VALUE"""),"CH4: The marketing plays you need to know about")</f>
        <v>CH4: The marketing plays you need to know about</v>
      </c>
      <c r="N1139" s="4" t="str">
        <f>IFERROR(__xludf.DUMMYFUNCTION("""COMPUTED_VALUE"""),"David Meltzer, Sports1Marketing")</f>
        <v>David Meltzer, Sports1Marketing</v>
      </c>
      <c r="O1139" s="4" t="str">
        <f>IFERROR(__xludf.DUMMYFUNCTION("""COMPUTED_VALUE"""),"")</f>
        <v/>
      </c>
      <c r="P1139" s="4" t="str">
        <f>IFERROR(__xludf.DUMMYFUNCTION("""COMPUTED_VALUE"""),"")</f>
        <v/>
      </c>
      <c r="Q1139" s="4" t="str">
        <f>IFERROR(__xludf.DUMMYFUNCTION("""COMPUTED_VALUE"""),"")</f>
        <v/>
      </c>
      <c r="R1139" s="4" t="str">
        <f>IFERROR(__xludf.DUMMYFUNCTION("""COMPUTED_VALUE"""),"")</f>
        <v/>
      </c>
      <c r="S1139" s="4" t="str">
        <f>IFERROR(__xludf.DUMMYFUNCTION("""COMPUTED_VALUE"""),"a look inside how agencies are innovating in unusual times")</f>
        <v>a look inside how agencies are innovating in unusual times</v>
      </c>
      <c r="T1139" s="4" t="str">
        <f>IFERROR(__xludf.DUMMYFUNCTION("""COMPUTED_VALUE"""),"KEYNOTE 8 - COMPLETE")</f>
        <v>KEYNOTE 8 - COMPLETE</v>
      </c>
      <c r="U1139" s="23">
        <f>IFERROR(__xludf.DUMMYFUNCTION("""COMPUTED_VALUE"""),43963.0)</f>
        <v>43963</v>
      </c>
      <c r="V1139" s="4" t="str">
        <f>IFERROR(__xludf.DUMMYFUNCTION("""COMPUTED_VALUE"""),"")</f>
        <v/>
      </c>
      <c r="W1139" s="4" t="str">
        <f>IFERROR(__xludf.DUMMYFUNCTION("""COMPUTED_VALUE"""),"COMPLETE")</f>
        <v>COMPLETE</v>
      </c>
      <c r="X1139" s="4" t="str">
        <f>IFERROR(__xludf.DUMMYFUNCTION("""COMPUTED_VALUE"""),"SELF RECORD")</f>
        <v>SELF RECORD</v>
      </c>
      <c r="Y1139" s="4" t="str">
        <f>IFERROR(__xludf.DUMMYFUNCTION("""COMPUTED_VALUE"""),"")</f>
        <v/>
      </c>
    </row>
    <row r="1140">
      <c r="A1140" s="4" t="str">
        <f>IFERROR(__xludf.DUMMYFUNCTION("""COMPUTED_VALUE"""),"1268 - Channel")</f>
        <v>1268 - Channel</v>
      </c>
      <c r="B1140" s="4" t="str">
        <f>IFERROR(__xludf.DUMMYFUNCTION("""COMPUTED_VALUE"""),"Surplus ch.")</f>
        <v>Surplus ch.</v>
      </c>
      <c r="C1140" s="4" t="str">
        <f>IFERROR(__xludf.DUMMYFUNCTION("""COMPUTED_VALUE"""),"Day 1 - 23/06")</f>
        <v>Day 1 - 23/06</v>
      </c>
      <c r="D1140" s="6">
        <f>IFERROR(__xludf.DUMMYFUNCTION("""COMPUTED_VALUE"""),0.46111111111111114)</f>
        <v>0.4611111111</v>
      </c>
      <c r="E1140" s="6">
        <f>IFERROR(__xludf.DUMMYFUNCTION("""COMPUTED_VALUE"""),0.008333333333333333)</f>
        <v>0.008333333333</v>
      </c>
      <c r="F1140" s="6">
        <f>IFERROR(__xludf.DUMMYFUNCTION("""COMPUTED_VALUE"""),0.4694444444444445)</f>
        <v>0.4694444444</v>
      </c>
      <c r="G1140" s="4" t="str">
        <f>IFERROR(__xludf.DUMMYFUNCTION("""COMPUTED_VALUE"""),"Darren")</f>
        <v>Darren</v>
      </c>
      <c r="H1140" s="4" t="str">
        <f>IFERROR(__xludf.DUMMYFUNCTION("""COMPUTED_VALUE"""),"Eoghan")</f>
        <v>Eoghan</v>
      </c>
      <c r="I1140" s="4" t="str">
        <f>IFERROR(__xludf.DUMMYFUNCTION("""COMPUTED_VALUE"""),"Lucia H.")</f>
        <v>Lucia H.</v>
      </c>
      <c r="J1140" s="4" t="str">
        <f>IFERROR(__xludf.DUMMYFUNCTION("""COMPUTED_VALUE"""),"Society")</f>
        <v>Society</v>
      </c>
      <c r="K1140" s="4" t="str">
        <f>IFERROR(__xludf.DUMMYFUNCTION("""COMPUTED_VALUE"""),"Super Fireside")</f>
        <v>Super Fireside</v>
      </c>
      <c r="L1140" s="4" t="str">
        <f>IFERROR(__xludf.DUMMYFUNCTION("""COMPUTED_VALUE"""),"T- 5 - 18/05/2020")</f>
        <v>T- 5 - 18/05/2020</v>
      </c>
      <c r="M1140" s="4" t="str">
        <f>IFERROR(__xludf.DUMMYFUNCTION("""COMPUTED_VALUE"""),"CH. 3 Reducing your environmental impact
")</f>
        <v>CH. 3 Reducing your environmental impact
</v>
      </c>
      <c r="N1140" s="4" t="str">
        <f>IFERROR(__xludf.DUMMYFUNCTION("""COMPUTED_VALUE"""),"Ethan Song, Frank And Oak")</f>
        <v>Ethan Song, Frank And Oak</v>
      </c>
      <c r="O1140" s="4" t="str">
        <f>IFERROR(__xludf.DUMMYFUNCTION("""COMPUTED_VALUE"""),"Brian Bushell, By Humankind")</f>
        <v>Brian Bushell, By Humankind</v>
      </c>
      <c r="P1140" s="4" t="str">
        <f>IFERROR(__xludf.DUMMYFUNCTION("""COMPUTED_VALUE"""),"")</f>
        <v/>
      </c>
      <c r="Q1140" s="4" t="str">
        <f>IFERROR(__xludf.DUMMYFUNCTION("""COMPUTED_VALUE"""),"")</f>
        <v/>
      </c>
      <c r="R1140" s="21" t="str">
        <f>IFERROR(__xludf.DUMMYFUNCTION("""COMPUTED_VALUE"""),"Britta Muzyk-Tikovsky, Capscovil.Com")</f>
        <v>Britta Muzyk-Tikovsky, Capscovil.Com</v>
      </c>
      <c r="S1140" s="4" t="str">
        <f>IFERROR(__xludf.DUMMYFUNCTION("""COMPUTED_VALUE"""),"ByHumanKind believes a single routine change can shape our planet’s future, join their CEO Brian Bushell and Ethan Song, CEO of Frank &amp; Oak for a talk that will tackle the need for companies and individuals to take personal responsibility in tackling the "&amp;"crisis while learning how small changes to habits can make a real difference.")</f>
        <v>ByHumanKind believes a single routine change can shape our planet’s future, join their CEO Brian Bushell and Ethan Song, CEO of Frank &amp; Oak for a talk that will tackle the need for companies and individuals to take personal responsibility in tackling the crisis while learning how small changes to habits can make a real difference.</v>
      </c>
      <c r="T1140" s="4" t="str">
        <f>IFERROR(__xludf.DUMMYFUNCTION("""COMPUTED_VALUE"""),"NON-KEYNOTE 9 - COMPLETE")</f>
        <v>NON-KEYNOTE 9 - COMPLETE</v>
      </c>
      <c r="U1140" s="23">
        <f>IFERROR(__xludf.DUMMYFUNCTION("""COMPUTED_VALUE"""),43973.0)</f>
        <v>43973</v>
      </c>
      <c r="V1140" s="44">
        <f>IFERROR(__xludf.DUMMYFUNCTION("""COMPUTED_VALUE"""),0.5833333333333334)</f>
        <v>0.5833333333</v>
      </c>
      <c r="W1140" s="4" t="str">
        <f>IFERROR(__xludf.DUMMYFUNCTION("""COMPUTED_VALUE"""),"COMPLETE")</f>
        <v>COMPLETE</v>
      </c>
      <c r="X1140" s="4" t="str">
        <f>IFERROR(__xludf.DUMMYFUNCTION("""COMPUTED_VALUE"""),"Ines")</f>
        <v>Ines</v>
      </c>
      <c r="Y1140" s="4" t="str">
        <f>IFERROR(__xludf.DUMMYFUNCTION("""COMPUTED_VALUE"""),"")</f>
        <v/>
      </c>
    </row>
    <row r="1141">
      <c r="A1141" s="4" t="str">
        <f>IFERROR(__xludf.DUMMYFUNCTION("""COMPUTED_VALUE"""),"1269 - Channel")</f>
        <v>1269 - Channel</v>
      </c>
      <c r="B1141" s="4" t="str">
        <f>IFERROR(__xludf.DUMMYFUNCTION("""COMPUTED_VALUE"""),"Surplus ch.")</f>
        <v>Surplus ch.</v>
      </c>
      <c r="C1141" s="4" t="str">
        <f>IFERROR(__xludf.DUMMYFUNCTION("""COMPUTED_VALUE"""),"Day 1 - 23/06")</f>
        <v>Day 1 - 23/06</v>
      </c>
      <c r="D1141" s="6">
        <f>IFERROR(__xludf.DUMMYFUNCTION("""COMPUTED_VALUE"""),0.4694444444444445)</f>
        <v>0.4694444444</v>
      </c>
      <c r="E1141" s="6">
        <f>IFERROR(__xludf.DUMMYFUNCTION("""COMPUTED_VALUE"""),0.010416666666666666)</f>
        <v>0.01041666667</v>
      </c>
      <c r="F1141" s="6">
        <f>IFERROR(__xludf.DUMMYFUNCTION("""COMPUTED_VALUE"""),0.4798611111111112)</f>
        <v>0.4798611111</v>
      </c>
      <c r="G1141" s="4" t="str">
        <f>IFERROR(__xludf.DUMMYFUNCTION("""COMPUTED_VALUE"""),"Kat")</f>
        <v>Kat</v>
      </c>
      <c r="H1141" s="4" t="str">
        <f>IFERROR(__xludf.DUMMYFUNCTION("""COMPUTED_VALUE"""),"Eoghan")</f>
        <v>Eoghan</v>
      </c>
      <c r="I1141" s="4" t="str">
        <f>IFERROR(__xludf.DUMMYFUNCTION("""COMPUTED_VALUE"""),"Lynn")</f>
        <v>Lynn</v>
      </c>
      <c r="J1141" s="4" t="str">
        <f>IFERROR(__xludf.DUMMYFUNCTION("""COMPUTED_VALUE"""),"Climate")</f>
        <v>Climate</v>
      </c>
      <c r="K1141" s="4" t="str">
        <f>IFERROR(__xludf.DUMMYFUNCTION("""COMPUTED_VALUE"""),"Super Fireside")</f>
        <v>Super Fireside</v>
      </c>
      <c r="L1141" s="4" t="str">
        <f>IFERROR(__xludf.DUMMYFUNCTION("""COMPUTED_VALUE"""),"T- 7 - 04/05/2020")</f>
        <v>T- 7 - 04/05/2020</v>
      </c>
      <c r="M1141" s="4" t="str">
        <f>IFERROR(__xludf.DUMMYFUNCTION("""COMPUTED_VALUE"""),"CH2: Plates and the planet: How to eco-feed the world")</f>
        <v>CH2: Plates and the planet: How to eco-feed the world</v>
      </c>
      <c r="N1141" s="4" t="str">
        <f>IFERROR(__xludf.DUMMYFUNCTION("""COMPUTED_VALUE"""),"Vandana Tilak, Akshaya Patra")</f>
        <v>Vandana Tilak, Akshaya Patra</v>
      </c>
      <c r="O1141" s="4" t="str">
        <f>IFERROR(__xludf.DUMMYFUNCTION("""COMPUTED_VALUE"""),"Vince Lu, ZhenMeat")</f>
        <v>Vince Lu, ZhenMeat</v>
      </c>
      <c r="P1141" s="4" t="str">
        <f>IFERROR(__xludf.DUMMYFUNCTION("""COMPUTED_VALUE"""),"")</f>
        <v/>
      </c>
      <c r="Q1141" s="4" t="str">
        <f>IFERROR(__xludf.DUMMYFUNCTION("""COMPUTED_VALUE"""),"")</f>
        <v/>
      </c>
      <c r="R1141" s="4" t="str">
        <f>IFERROR(__xludf.DUMMYFUNCTION("""COMPUTED_VALUE"""),"Andrew Freedman, Washington Post")</f>
        <v>Andrew Freedman, Washington Post</v>
      </c>
      <c r="S1141" s="4" t="str">
        <f>IFERROR(__xludf.DUMMYFUNCTION("""COMPUTED_VALUE"""),"A growing population means more mouths to feed. And there are a shrinking number of solutions, especially sustainable ones. Where to next for those who fight world hunger? And can tech step in to stop the spread?")</f>
        <v>A growing population means more mouths to feed. And there are a shrinking number of solutions, especially sustainable ones. Where to next for those who fight world hunger? And can tech step in to stop the spread?</v>
      </c>
      <c r="T1141" s="54" t="str">
        <f>IFERROR(__xludf.DUMMYFUNCTION("""COMPUTED_VALUE"""),"NON-KEYNOTE 9 - COMPLETE")</f>
        <v>NON-KEYNOTE 9 - COMPLETE</v>
      </c>
      <c r="U1141" s="23">
        <f>IFERROR(__xludf.DUMMYFUNCTION("""COMPUTED_VALUE"""),43957.0)</f>
        <v>43957</v>
      </c>
      <c r="V1141" s="4" t="str">
        <f>IFERROR(__xludf.DUMMYFUNCTION("""COMPUTED_VALUE"""),"")</f>
        <v/>
      </c>
      <c r="W1141" s="4" t="str">
        <f>IFERROR(__xludf.DUMMYFUNCTION("""COMPUTED_VALUE"""),"COMPLETE")</f>
        <v>COMPLETE</v>
      </c>
      <c r="X1141" s="4" t="str">
        <f>IFERROR(__xludf.DUMMYFUNCTION("""COMPUTED_VALUE"""),"Kat")</f>
        <v>Kat</v>
      </c>
      <c r="Y1141" s="4" t="str">
        <f>IFERROR(__xludf.DUMMYFUNCTION("""COMPUTED_VALUE"""),"")</f>
        <v/>
      </c>
    </row>
    <row r="1142">
      <c r="A1142" s="4" t="str">
        <f>IFERROR(__xludf.DUMMYFUNCTION("""COMPUTED_VALUE"""),"1270 - Channel")</f>
        <v>1270 - Channel</v>
      </c>
      <c r="B1142" s="4" t="str">
        <f>IFERROR(__xludf.DUMMYFUNCTION("""COMPUTED_VALUE"""),"Surplus ch.")</f>
        <v>Surplus ch.</v>
      </c>
      <c r="C1142" s="4" t="str">
        <f>IFERROR(__xludf.DUMMYFUNCTION("""COMPUTED_VALUE"""),"Day 1 - 23/06")</f>
        <v>Day 1 - 23/06</v>
      </c>
      <c r="D1142" s="6">
        <f>IFERROR(__xludf.DUMMYFUNCTION("""COMPUTED_VALUE"""),0.4798611111111112)</f>
        <v>0.4798611111</v>
      </c>
      <c r="E1142" s="6">
        <f>IFERROR(__xludf.DUMMYFUNCTION("""COMPUTED_VALUE"""),0.010416666666666666)</f>
        <v>0.01041666667</v>
      </c>
      <c r="F1142" s="6">
        <f>IFERROR(__xludf.DUMMYFUNCTION("""COMPUTED_VALUE"""),0.49027777777777787)</f>
        <v>0.4902777778</v>
      </c>
      <c r="G1142" s="4" t="str">
        <f>IFERROR(__xludf.DUMMYFUNCTION("""COMPUTED_VALUE"""),"Ahmed")</f>
        <v>Ahmed</v>
      </c>
      <c r="H1142" s="4" t="str">
        <f>IFERROR(__xludf.DUMMYFUNCTION("""COMPUTED_VALUE"""),"Lingyu")</f>
        <v>Lingyu</v>
      </c>
      <c r="I1142" s="4" t="str">
        <f>IFERROR(__xludf.DUMMYFUNCTION("""COMPUTED_VALUE"""),"Francisca")</f>
        <v>Francisca</v>
      </c>
      <c r="J1142" s="4" t="str">
        <f>IFERROR(__xludf.DUMMYFUNCTION("""COMPUTED_VALUE"""),"Privacy &amp; Security")</f>
        <v>Privacy &amp; Security</v>
      </c>
      <c r="K1142" s="4" t="str">
        <f>IFERROR(__xludf.DUMMYFUNCTION("""COMPUTED_VALUE"""),"Panel")</f>
        <v>Panel</v>
      </c>
      <c r="L1142" s="4" t="str">
        <f>IFERROR(__xludf.DUMMYFUNCTION("""COMPUTED_VALUE"""),"T- 5 - 18/05/2020")</f>
        <v>T- 5 - 18/05/2020</v>
      </c>
      <c r="M1142" s="4" t="str">
        <f>IFERROR(__xludf.DUMMYFUNCTION("""COMPUTED_VALUE"""),"CH2: Building a paradigm of trust")</f>
        <v>CH2: Building a paradigm of trust</v>
      </c>
      <c r="N1142" s="4" t="str">
        <f>IFERROR(__xludf.DUMMYFUNCTION("""COMPUTED_VALUE"""),"Mani Sundaram, Akamai")</f>
        <v>Mani Sundaram, Akamai</v>
      </c>
      <c r="O1142" s="4" t="str">
        <f>IFERROR(__xludf.DUMMYFUNCTION("""COMPUTED_VALUE"""),"George Gerchow, Sumo Logic")</f>
        <v>George Gerchow, Sumo Logic</v>
      </c>
      <c r="P1142" s="4" t="str">
        <f>IFERROR(__xludf.DUMMYFUNCTION("""COMPUTED_VALUE"""),"Sheila Jordan, Honeywell International")</f>
        <v>Sheila Jordan, Honeywell International</v>
      </c>
      <c r="Q1142" s="4" t="str">
        <f>IFERROR(__xludf.DUMMYFUNCTION("""COMPUTED_VALUE"""),"")</f>
        <v/>
      </c>
      <c r="R1142" s="4" t="str">
        <f>IFERROR(__xludf.DUMMYFUNCTION("""COMPUTED_VALUE"""),"Rob Pegoraro, USA Today")</f>
        <v>Rob Pegoraro, USA Today</v>
      </c>
      <c r="S1142" s="4" t="str">
        <f>IFERROR(__xludf.DUMMYFUNCTION("""COMPUTED_VALUE"""),"Companies are increasingly investing in cybersecurity experts to keep their data safe. But as the tech world evolves at a rapid rate, the security measures we rely on today may become obsolete tomorrow. How will 5G impact cybersecurity? We'll discuss how "&amp;"companies can get ahead of the game instead of perpetually playing catch up. ")</f>
        <v>Companies are increasingly investing in cybersecurity experts to keep their data safe. But as the tech world evolves at a rapid rate, the security measures we rely on today may become obsolete tomorrow. How will 5G impact cybersecurity? We'll discuss how companies can get ahead of the game instead of perpetually playing catch up. </v>
      </c>
      <c r="T1142" s="54" t="str">
        <f>IFERROR(__xludf.DUMMYFUNCTION("""COMPUTED_VALUE"""),"KEYNOTE 8 - COMPLETE")</f>
        <v>KEYNOTE 8 - COMPLETE</v>
      </c>
      <c r="U1142" s="23">
        <f>IFERROR(__xludf.DUMMYFUNCTION("""COMPUTED_VALUE"""),43970.0)</f>
        <v>43970</v>
      </c>
      <c r="V1142" s="44">
        <f>IFERROR(__xludf.DUMMYFUNCTION("""COMPUTED_VALUE"""),0.3541666666666667)</f>
        <v>0.3541666667</v>
      </c>
      <c r="W1142" s="4" t="str">
        <f>IFERROR(__xludf.DUMMYFUNCTION("""COMPUTED_VALUE"""),"COMPLETE")</f>
        <v>COMPLETE</v>
      </c>
      <c r="X1142" s="4" t="str">
        <f>IFERROR(__xludf.DUMMYFUNCTION("""COMPUTED_VALUE"""),"Ahmed")</f>
        <v>Ahmed</v>
      </c>
      <c r="Y1142" s="4" t="str">
        <f>IFERROR(__xludf.DUMMYFUNCTION("""COMPUTED_VALUE"""),"")</f>
        <v/>
      </c>
    </row>
    <row r="1143">
      <c r="A1143" s="4" t="str">
        <f>IFERROR(__xludf.DUMMYFUNCTION("""COMPUTED_VALUE"""),"1271 - Channel")</f>
        <v>1271 - Channel</v>
      </c>
      <c r="B1143" s="4" t="str">
        <f>IFERROR(__xludf.DUMMYFUNCTION("""COMPUTED_VALUE"""),"Surplus ch.")</f>
        <v>Surplus ch.</v>
      </c>
      <c r="C1143" s="4" t="str">
        <f>IFERROR(__xludf.DUMMYFUNCTION("""COMPUTED_VALUE"""),"Day 1 - 23/06")</f>
        <v>Day 1 - 23/06</v>
      </c>
      <c r="D1143" s="6">
        <f>IFERROR(__xludf.DUMMYFUNCTION("""COMPUTED_VALUE"""),0.49027777777777787)</f>
        <v>0.4902777778</v>
      </c>
      <c r="E1143" s="6">
        <f>IFERROR(__xludf.DUMMYFUNCTION("""COMPUTED_VALUE"""),0.010416666666666666)</f>
        <v>0.01041666667</v>
      </c>
      <c r="F1143" s="6">
        <f>IFERROR(__xludf.DUMMYFUNCTION("""COMPUTED_VALUE"""),0.5006944444444446)</f>
        <v>0.5006944444</v>
      </c>
      <c r="G1143" s="4" t="str">
        <f>IFERROR(__xludf.DUMMYFUNCTION("""COMPUTED_VALUE"""),"Darren")</f>
        <v>Darren</v>
      </c>
      <c r="H1143" s="4" t="str">
        <f>IFERROR(__xludf.DUMMYFUNCTION("""COMPUTED_VALUE"""),"Haziq")</f>
        <v>Haziq</v>
      </c>
      <c r="I1143" s="4" t="str">
        <f>IFERROR(__xludf.DUMMYFUNCTION("""COMPUTED_VALUE"""),"Lucia H.")</f>
        <v>Lucia H.</v>
      </c>
      <c r="J1143" s="4" t="str">
        <f>IFERROR(__xludf.DUMMYFUNCTION("""COMPUTED_VALUE"""),"Sales")</f>
        <v>Sales</v>
      </c>
      <c r="K1143" s="4" t="str">
        <f>IFERROR(__xludf.DUMMYFUNCTION("""COMPUTED_VALUE"""),"Panel")</f>
        <v>Panel</v>
      </c>
      <c r="L1143" s="4" t="str">
        <f>IFERROR(__xludf.DUMMYFUNCTION("""COMPUTED_VALUE"""),"T- 7 - 04/05/2020")</f>
        <v>T- 7 - 04/05/2020</v>
      </c>
      <c r="M1143" s="4" t="str">
        <f>IFERROR(__xludf.DUMMYFUNCTION("""COMPUTED_VALUE"""),"CH 2: Pushing the retail boundaries")</f>
        <v>CH 2: Pushing the retail boundaries</v>
      </c>
      <c r="N1143" s="4" t="str">
        <f>IFERROR(__xludf.DUMMYFUNCTION("""COMPUTED_VALUE"""),"Fernando Madeira, IPSY")</f>
        <v>Fernando Madeira, IPSY</v>
      </c>
      <c r="O1143" s="4" t="str">
        <f>IFERROR(__xludf.DUMMYFUNCTION("""COMPUTED_VALUE"""),"Ashvin Kumar, Tophatter")</f>
        <v>Ashvin Kumar, Tophatter</v>
      </c>
      <c r="P1143" s="4" t="str">
        <f>IFERROR(__xludf.DUMMYFUNCTION("""COMPUTED_VALUE"""),"")</f>
        <v/>
      </c>
      <c r="Q1143" s="4" t="str">
        <f>IFERROR(__xludf.DUMMYFUNCTION("""COMPUTED_VALUE"""),"")</f>
        <v/>
      </c>
      <c r="R1143" s="4" t="str">
        <f>IFERROR(__xludf.DUMMYFUNCTION("""COMPUTED_VALUE"""),"Cale Guthrie Weissman, Modern Retail")</f>
        <v>Cale Guthrie Weissman, Modern Retail</v>
      </c>
      <c r="S1143" s="4" t="str">
        <f>IFERROR(__xludf.DUMMYFUNCTION("""COMPUTED_VALUE"""),"Since the birth of modern retail, merchants have decided what products consumers need in their life. Now, the power is shifting from the curators to the community. In this talk, find out how two industry leaders are pushing the retail boundaries, and how "&amp;"active listening and inclusion are critical to success in an ever-changing landscape.")</f>
        <v>Since the birth of modern retail, merchants have decided what products consumers need in their life. Now, the power is shifting from the curators to the community. In this talk, find out how two industry leaders are pushing the retail boundaries, and how active listening and inclusion are critical to success in an ever-changing landscape.</v>
      </c>
      <c r="T1143" s="54" t="str">
        <f>IFERROR(__xludf.DUMMYFUNCTION("""COMPUTED_VALUE"""),"NON-KEYNOTE 9 - COMPLETE")</f>
        <v>NON-KEYNOTE 9 - COMPLETE</v>
      </c>
      <c r="U1143" s="23">
        <f>IFERROR(__xludf.DUMMYFUNCTION("""COMPUTED_VALUE"""),43958.0)</f>
        <v>43958</v>
      </c>
      <c r="V1143" s="4" t="str">
        <f>IFERROR(__xludf.DUMMYFUNCTION("""COMPUTED_VALUE"""),"")</f>
        <v/>
      </c>
      <c r="W1143" s="4" t="str">
        <f>IFERROR(__xludf.DUMMYFUNCTION("""COMPUTED_VALUE"""),"COMPLETE")</f>
        <v>COMPLETE</v>
      </c>
      <c r="X1143" s="4" t="str">
        <f>IFERROR(__xludf.DUMMYFUNCTION("""COMPUTED_VALUE"""),"Darren")</f>
        <v>Darren</v>
      </c>
      <c r="Y1143" s="4" t="str">
        <f>IFERROR(__xludf.DUMMYFUNCTION("""COMPUTED_VALUE"""),"")</f>
        <v/>
      </c>
    </row>
    <row r="1144">
      <c r="A1144" s="4" t="str">
        <f>IFERROR(__xludf.DUMMYFUNCTION("""COMPUTED_VALUE"""),"1274 - Channel")</f>
        <v>1274 - Channel</v>
      </c>
      <c r="B1144" s="4" t="str">
        <f>IFERROR(__xludf.DUMMYFUNCTION("""COMPUTED_VALUE"""),"Surplus ch.")</f>
        <v>Surplus ch.</v>
      </c>
      <c r="C1144" s="4" t="str">
        <f>IFERROR(__xludf.DUMMYFUNCTION("""COMPUTED_VALUE"""),"Day 1 - 23/06")</f>
        <v>Day 1 - 23/06</v>
      </c>
      <c r="D1144" s="6">
        <f>IFERROR(__xludf.DUMMYFUNCTION("""COMPUTED_VALUE"""),0.5006944444444446)</f>
        <v>0.5006944444</v>
      </c>
      <c r="E1144" s="6">
        <f>IFERROR(__xludf.DUMMYFUNCTION("""COMPUTED_VALUE"""),0.008333333333333333)</f>
        <v>0.008333333333</v>
      </c>
      <c r="F1144" s="6">
        <f>IFERROR(__xludf.DUMMYFUNCTION("""COMPUTED_VALUE"""),0.5090277777777779)</f>
        <v>0.5090277778</v>
      </c>
      <c r="G1144" s="4" t="str">
        <f>IFERROR(__xludf.DUMMYFUNCTION("""COMPUTED_VALUE"""),"Helen")</f>
        <v>Helen</v>
      </c>
      <c r="H1144" s="4" t="str">
        <f>IFERROR(__xludf.DUMMYFUNCTION("""COMPUTED_VALUE"""),"Shauna")</f>
        <v>Shauna</v>
      </c>
      <c r="I1144" s="4" t="str">
        <f>IFERROR(__xludf.DUMMYFUNCTION("""COMPUTED_VALUE"""),"Geoff")</f>
        <v>Geoff</v>
      </c>
      <c r="J1144" s="4" t="str">
        <f>IFERROR(__xludf.DUMMYFUNCTION("""COMPUTED_VALUE"""),"Trade")</f>
        <v>Trade</v>
      </c>
      <c r="K1144" s="4" t="str">
        <f>IFERROR(__xludf.DUMMYFUNCTION("""COMPUTED_VALUE"""),"Super Fireside")</f>
        <v>Super Fireside</v>
      </c>
      <c r="L1144" s="4" t="str">
        <f>IFERROR(__xludf.DUMMYFUNCTION("""COMPUTED_VALUE"""),"T- 3 - 01/06/2020")</f>
        <v>T- 3 - 01/06/2020</v>
      </c>
      <c r="M1144" s="4" t="str">
        <f>IFERROR(__xludf.DUMMYFUNCTION("""COMPUTED_VALUE"""),"CH 3 Sowing the seeds of recovery")</f>
        <v>CH 3 Sowing the seeds of recovery</v>
      </c>
      <c r="N1144" s="4" t="str">
        <f>IFERROR(__xludf.DUMMYFUNCTION("""COMPUTED_VALUE"""),"Carlos Eduardo Espinal, Seedcamp")</f>
        <v>Carlos Eduardo Espinal, Seedcamp</v>
      </c>
      <c r="O1144" s="4" t="str">
        <f>IFERROR(__xludf.DUMMYFUNCTION("""COMPUTED_VALUE"""),"Eamonn Carey, Techstars")</f>
        <v>Eamonn Carey, Techstars</v>
      </c>
      <c r="P1144" s="4" t="str">
        <f>IFERROR(__xludf.DUMMYFUNCTION("""COMPUTED_VALUE"""),"")</f>
        <v/>
      </c>
      <c r="Q1144" s="4" t="str">
        <f>IFERROR(__xludf.DUMMYFUNCTION("""COMPUTED_VALUE"""),"")</f>
        <v/>
      </c>
      <c r="R1144" s="4" t="str">
        <f>IFERROR(__xludf.DUMMYFUNCTION("""COMPUTED_VALUE"""),"Rohit Puri, EY")</f>
        <v>Rohit Puri, EY</v>
      </c>
      <c r="S1144" s="4" t="str">
        <f>IFERROR(__xludf.DUMMYFUNCTION("""COMPUTED_VALUE"""),"What role does early stage investment play in keeping the economy afloat?  And, as a mammoth recession reportedly approaches, what will change?")</f>
        <v>What role does early stage investment play in keeping the economy afloat?  And, as a mammoth recession reportedly approaches, what will change?</v>
      </c>
      <c r="T1144" s="4" t="str">
        <f>IFERROR(__xludf.DUMMYFUNCTION("""COMPUTED_VALUE"""),"KEYNOTE 8 - COMPLETE")</f>
        <v>KEYNOTE 8 - COMPLETE</v>
      </c>
      <c r="U1144" s="55">
        <f>IFERROR(__xludf.DUMMYFUNCTION("""COMPUTED_VALUE"""),43980.0)</f>
        <v>43980</v>
      </c>
      <c r="V1144" s="44">
        <f>IFERROR(__xludf.DUMMYFUNCTION("""COMPUTED_VALUE"""),0.7083333333333334)</f>
        <v>0.7083333333</v>
      </c>
      <c r="W1144" s="4" t="str">
        <f>IFERROR(__xludf.DUMMYFUNCTION("""COMPUTED_VALUE"""),"COMPLETE")</f>
        <v>COMPLETE</v>
      </c>
      <c r="X1144" s="4" t="str">
        <f>IFERROR(__xludf.DUMMYFUNCTION("""COMPUTED_VALUE"""),"Helen")</f>
        <v>Helen</v>
      </c>
      <c r="Y1144" s="4" t="str">
        <f>IFERROR(__xludf.DUMMYFUNCTION("""COMPUTED_VALUE"""),"")</f>
        <v/>
      </c>
    </row>
    <row r="1145">
      <c r="A1145" s="4" t="str">
        <f>IFERROR(__xludf.DUMMYFUNCTION("""COMPUTED_VALUE"""),"1278 - Channel")</f>
        <v>1278 - Channel</v>
      </c>
      <c r="B1145" s="4" t="str">
        <f>IFERROR(__xludf.DUMMYFUNCTION("""COMPUTED_VALUE"""),"Surplus ch.")</f>
        <v>Surplus ch.</v>
      </c>
      <c r="C1145" s="4" t="str">
        <f>IFERROR(__xludf.DUMMYFUNCTION("""COMPUTED_VALUE"""),"Day 2 - 24/06")</f>
        <v>Day 2 - 24/06</v>
      </c>
      <c r="D1145" s="6">
        <f>IFERROR(__xludf.DUMMYFUNCTION("""COMPUTED_VALUE"""),0.5090277777777779)</f>
        <v>0.5090277778</v>
      </c>
      <c r="E1145" s="6">
        <f>IFERROR(__xludf.DUMMYFUNCTION("""COMPUTED_VALUE"""),0.010416666666666666)</f>
        <v>0.01041666667</v>
      </c>
      <c r="F1145" s="6">
        <f>IFERROR(__xludf.DUMMYFUNCTION("""COMPUTED_VALUE"""),0.5194444444444445)</f>
        <v>0.5194444444</v>
      </c>
      <c r="G1145" s="4" t="str">
        <f>IFERROR(__xludf.DUMMYFUNCTION("""COMPUTED_VALUE"""),"Stephanie")</f>
        <v>Stephanie</v>
      </c>
      <c r="H1145" s="4" t="str">
        <f>IFERROR(__xludf.DUMMYFUNCTION("""COMPUTED_VALUE"""),"Haziq")</f>
        <v>Haziq</v>
      </c>
      <c r="I1145" s="4" t="str">
        <f>IFERROR(__xludf.DUMMYFUNCTION("""COMPUTED_VALUE"""),"James")</f>
        <v>James</v>
      </c>
      <c r="J1145" s="4" t="str">
        <f>IFERROR(__xludf.DUMMYFUNCTION("""COMPUTED_VALUE"""),"Fundraising")</f>
        <v>Fundraising</v>
      </c>
      <c r="K1145" s="4" t="str">
        <f>IFERROR(__xludf.DUMMYFUNCTION("""COMPUTED_VALUE"""),"Panel")</f>
        <v>Panel</v>
      </c>
      <c r="L1145" s="4" t="str">
        <f>IFERROR(__xludf.DUMMYFUNCTION("""COMPUTED_VALUE"""),"T- 8 - 27/04/2020")</f>
        <v>T- 8 - 27/04/2020</v>
      </c>
      <c r="M1145" s="4" t="str">
        <f>IFERROR(__xludf.DUMMYFUNCTION("""COMPUTED_VALUE"""),"CH2: Investing in Europe post-pandemic")</f>
        <v>CH2: Investing in Europe post-pandemic</v>
      </c>
      <c r="N1145" s="4" t="str">
        <f>IFERROR(__xludf.DUMMYFUNCTION("""COMPUTED_VALUE"""),"Christian Nagel, Earlybird Venture Capital")</f>
        <v>Christian Nagel, Earlybird Venture Capital</v>
      </c>
      <c r="O1145" s="4" t="str">
        <f>IFERROR(__xludf.DUMMYFUNCTION("""COMPUTED_VALUE"""),"Stephan Morais, Indico Capital Partners")</f>
        <v>Stephan Morais, Indico Capital Partners</v>
      </c>
      <c r="P1145" s="4" t="str">
        <f>IFERROR(__xludf.DUMMYFUNCTION("""COMPUTED_VALUE"""),"Daniel Keiper-Knorr, Speedinvest")</f>
        <v>Daniel Keiper-Knorr, Speedinvest</v>
      </c>
      <c r="Q1145" s="4" t="str">
        <f>IFERROR(__xludf.DUMMYFUNCTION("""COMPUTED_VALUE"""),"")</f>
        <v/>
      </c>
      <c r="R1145" s="4" t="str">
        <f>IFERROR(__xludf.DUMMYFUNCTION("""COMPUTED_VALUE"""),"Jordan French, Gritdaily")</f>
        <v>Jordan French, Gritdaily</v>
      </c>
      <c r="S1145" s="4" t="str">
        <f>IFERROR(__xludf.DUMMYFUNCTION("""COMPUTED_VALUE"""),"Venture capital deals in the US and China tend to get the most attention, but VC dollars flowing to Europe have quietly been on the rise. This panel of European investors guides us through the risks and rewards of investing in Europe. ")</f>
        <v>Venture capital deals in the US and China tend to get the most attention, but VC dollars flowing to Europe have quietly been on the rise. This panel of European investors guides us through the risks and rewards of investing in Europe. </v>
      </c>
      <c r="T1145" s="54" t="str">
        <f>IFERROR(__xludf.DUMMYFUNCTION("""COMPUTED_VALUE"""),"NON-KEYNOTE 9 - COMPLETE")</f>
        <v>NON-KEYNOTE 9 - COMPLETE</v>
      </c>
      <c r="U1145" s="23">
        <f>IFERROR(__xludf.DUMMYFUNCTION("""COMPUTED_VALUE"""),43951.0)</f>
        <v>43951</v>
      </c>
      <c r="V1145" s="24">
        <f>IFERROR(__xludf.DUMMYFUNCTION("""COMPUTED_VALUE"""),0.6666666666666666)</f>
        <v>0.6666666667</v>
      </c>
      <c r="W1145" s="4" t="str">
        <f>IFERROR(__xludf.DUMMYFUNCTION("""COMPUTED_VALUE"""),"COMPLETE")</f>
        <v>COMPLETE</v>
      </c>
      <c r="X1145" s="4" t="str">
        <f>IFERROR(__xludf.DUMMYFUNCTION("""COMPUTED_VALUE"""),"Stephanie")</f>
        <v>Stephanie</v>
      </c>
      <c r="Y1145" s="4" t="str">
        <f>IFERROR(__xludf.DUMMYFUNCTION("""COMPUTED_VALUE"""),"")</f>
        <v/>
      </c>
    </row>
    <row r="1146">
      <c r="A1146" s="4" t="str">
        <f>IFERROR(__xludf.DUMMYFUNCTION("""COMPUTED_VALUE"""),"1282 - Channel")</f>
        <v>1282 - Channel</v>
      </c>
      <c r="B1146" s="4" t="str">
        <f>IFERROR(__xludf.DUMMYFUNCTION("""COMPUTED_VALUE"""),"Surplus ch.")</f>
        <v>Surplus ch.</v>
      </c>
      <c r="C1146" s="4" t="str">
        <f>IFERROR(__xludf.DUMMYFUNCTION("""COMPUTED_VALUE"""),"Day 2 - 24/06")</f>
        <v>Day 2 - 24/06</v>
      </c>
      <c r="D1146" s="6">
        <f>IFERROR(__xludf.DUMMYFUNCTION("""COMPUTED_VALUE"""),0.5194444444444445)</f>
        <v>0.5194444444</v>
      </c>
      <c r="E1146" s="6">
        <f>IFERROR(__xludf.DUMMYFUNCTION("""COMPUTED_VALUE"""),0.007638888888888889)</f>
        <v>0.007638888889</v>
      </c>
      <c r="F1146" s="6">
        <f>IFERROR(__xludf.DUMMYFUNCTION("""COMPUTED_VALUE"""),0.5270833333333333)</f>
        <v>0.5270833333</v>
      </c>
      <c r="G1146" s="4" t="str">
        <f>IFERROR(__xludf.DUMMYFUNCTION("""COMPUTED_VALUE"""),"Darren")</f>
        <v>Darren</v>
      </c>
      <c r="H1146" s="4" t="str">
        <f>IFERROR(__xludf.DUMMYFUNCTION("""COMPUTED_VALUE"""),"Haziq")</f>
        <v>Haziq</v>
      </c>
      <c r="I1146" s="4" t="str">
        <f>IFERROR(__xludf.DUMMYFUNCTION("""COMPUTED_VALUE"""),"Lucia H.")</f>
        <v>Lucia H.</v>
      </c>
      <c r="J1146" s="4" t="str">
        <f>IFERROR(__xludf.DUMMYFUNCTION("""COMPUTED_VALUE"""),"Retail")</f>
        <v>Retail</v>
      </c>
      <c r="K1146" s="4" t="str">
        <f>IFERROR(__xludf.DUMMYFUNCTION("""COMPUTED_VALUE"""),"Fireside")</f>
        <v>Fireside</v>
      </c>
      <c r="L1146" s="4" t="str">
        <f>IFERROR(__xludf.DUMMYFUNCTION("""COMPUTED_VALUE"""),"T- 5 - 18/05/2020")</f>
        <v>T- 5 - 18/05/2020</v>
      </c>
      <c r="M1146" s="4" t="str">
        <f>IFERROR(__xludf.DUMMYFUNCTION("""COMPUTED_VALUE"""),"CH4: Rebuilding the retail sector")</f>
        <v>CH4: Rebuilding the retail sector</v>
      </c>
      <c r="N1146" s="4" t="str">
        <f>IFERROR(__xludf.DUMMYFUNCTION("""COMPUTED_VALUE"""),"Doug Stephens, Retail Prophet")</f>
        <v>Doug Stephens, Retail Prophet</v>
      </c>
      <c r="O1146" s="4" t="str">
        <f>IFERROR(__xludf.DUMMYFUNCTION("""COMPUTED_VALUE"""),"")</f>
        <v/>
      </c>
      <c r="P1146" s="4" t="str">
        <f>IFERROR(__xludf.DUMMYFUNCTION("""COMPUTED_VALUE"""),"")</f>
        <v/>
      </c>
      <c r="Q1146" s="4" t="str">
        <f>IFERROR(__xludf.DUMMYFUNCTION("""COMPUTED_VALUE"""),"")</f>
        <v/>
      </c>
      <c r="R1146" s="4" t="str">
        <f>IFERROR(__xludf.DUMMYFUNCTION("""COMPUTED_VALUE"""),"Jacqueline Leung, Daily Hive")</f>
        <v>Jacqueline Leung, Daily Hive</v>
      </c>
      <c r="S1146" s="4" t="str">
        <f>IFERROR(__xludf.DUMMYFUNCTION("""COMPUTED_VALUE"""),"Time is measured by BC and AD, and soon by PC (post Covid-19). Retailers and brands face a fight for survival during this pandemic. Doug Stephens tries to answer the question the world is asking: what will the new landscape look like for brands and retail"&amp;"ers in the post Covid-19 world?")</f>
        <v>Time is measured by BC and AD, and soon by PC (post Covid-19). Retailers and brands face a fight for survival during this pandemic. Doug Stephens tries to answer the question the world is asking: what will the new landscape look like for brands and retailers in the post Covid-19 world?</v>
      </c>
      <c r="T1146" s="4" t="str">
        <f>IFERROR(__xludf.DUMMYFUNCTION("""COMPUTED_VALUE"""),"NON-KEYNOTE 9 - COMPLETE")</f>
        <v>NON-KEYNOTE 9 - COMPLETE</v>
      </c>
      <c r="U1146" s="23">
        <f>IFERROR(__xludf.DUMMYFUNCTION("""COMPUTED_VALUE"""),43972.0)</f>
        <v>43972</v>
      </c>
      <c r="V1146" s="24">
        <f>IFERROR(__xludf.DUMMYFUNCTION("""COMPUTED_VALUE"""),0.625)</f>
        <v>0.625</v>
      </c>
      <c r="W1146" s="4" t="str">
        <f>IFERROR(__xludf.DUMMYFUNCTION("""COMPUTED_VALUE"""),"COMPLETE")</f>
        <v>COMPLETE</v>
      </c>
      <c r="X1146" s="4" t="str">
        <f>IFERROR(__xludf.DUMMYFUNCTION("""COMPUTED_VALUE"""),"Ahmed")</f>
        <v>Ahmed</v>
      </c>
      <c r="Y1146" s="4" t="str">
        <f>IFERROR(__xludf.DUMMYFUNCTION("""COMPUTED_VALUE"""),"")</f>
        <v/>
      </c>
    </row>
    <row r="1147">
      <c r="A1147" s="4" t="str">
        <f>IFERROR(__xludf.DUMMYFUNCTION("""COMPUTED_VALUE"""),"1283 - Channel")</f>
        <v>1283 - Channel</v>
      </c>
      <c r="B1147" s="4" t="str">
        <f>IFERROR(__xludf.DUMMYFUNCTION("""COMPUTED_VALUE"""),"Surplus ch.")</f>
        <v>Surplus ch.</v>
      </c>
      <c r="C1147" s="4" t="str">
        <f>IFERROR(__xludf.DUMMYFUNCTION("""COMPUTED_VALUE"""),"Day 3 - 25/06")</f>
        <v>Day 3 - 25/06</v>
      </c>
      <c r="D1147" s="6">
        <f>IFERROR(__xludf.DUMMYFUNCTION("""COMPUTED_VALUE"""),0.5270833333333333)</f>
        <v>0.5270833333</v>
      </c>
      <c r="E1147" s="6">
        <f>IFERROR(__xludf.DUMMYFUNCTION("""COMPUTED_VALUE"""),0.0)</f>
        <v>0</v>
      </c>
      <c r="F1147" s="6">
        <f>IFERROR(__xludf.DUMMYFUNCTION("""COMPUTED_VALUE"""),0.5270833333333333)</f>
        <v>0.5270833333</v>
      </c>
      <c r="G1147" s="4" t="str">
        <f>IFERROR(__xludf.DUMMYFUNCTION("""COMPUTED_VALUE"""),"Darragh")</f>
        <v>Darragh</v>
      </c>
      <c r="H1147" s="4" t="str">
        <f>IFERROR(__xludf.DUMMYFUNCTION("""COMPUTED_VALUE"""),"Eoghan")</f>
        <v>Eoghan</v>
      </c>
      <c r="I1147" s="4" t="str">
        <f>IFERROR(__xludf.DUMMYFUNCTION("""COMPUTED_VALUE"""),"Lynn")</f>
        <v>Lynn</v>
      </c>
      <c r="J1147" s="4" t="str">
        <f>IFERROR(__xludf.DUMMYFUNCTION("""COMPUTED_VALUE"""),"Smart Cities")</f>
        <v>Smart Cities</v>
      </c>
      <c r="K1147" s="4" t="str">
        <f>IFERROR(__xludf.DUMMYFUNCTION("""COMPUTED_VALUE"""),"Fireside")</f>
        <v>Fireside</v>
      </c>
      <c r="L1147" s="4" t="str">
        <f>IFERROR(__xludf.DUMMYFUNCTION("""COMPUTED_VALUE"""),"T- 4 - 25/05/2020")</f>
        <v>T- 4 - 25/05/2020</v>
      </c>
      <c r="M1147" s="4" t="str">
        <f>IFERROR(__xludf.DUMMYFUNCTION("""COMPUTED_VALUE"""),"CH 1 - Autonomy during a pandemic")</f>
        <v>CH 1 - Autonomy during a pandemic</v>
      </c>
      <c r="N1147" s="4" t="str">
        <f>IFERROR(__xludf.DUMMYFUNCTION("""COMPUTED_VALUE"""),"Chuck Price, TuSimple")</f>
        <v>Chuck Price, TuSimple</v>
      </c>
      <c r="O1147" s="4" t="str">
        <f>IFERROR(__xludf.DUMMYFUNCTION("""COMPUTED_VALUE"""),"")</f>
        <v/>
      </c>
      <c r="P1147" s="4" t="str">
        <f>IFERROR(__xludf.DUMMYFUNCTION("""COMPUTED_VALUE"""),"")</f>
        <v/>
      </c>
      <c r="Q1147" s="4" t="str">
        <f>IFERROR(__xludf.DUMMYFUNCTION("""COMPUTED_VALUE"""),"")</f>
        <v/>
      </c>
      <c r="R1147" s="4" t="str">
        <f>IFERROR(__xludf.DUMMYFUNCTION("""COMPUTED_VALUE"""),"Kristen Korosec, TechCrunch")</f>
        <v>Kristen Korosec, TechCrunch</v>
      </c>
      <c r="S1147" s="4" t="str">
        <f>IFERROR(__xludf.DUMMYFUNCTION("""COMPUTED_VALUE"""),"Now more than ever, how can we keep logistics ticking over with everyone stuck indoors? Autonomous logistics is hitting its stride.")</f>
        <v>Now more than ever, how can we keep logistics ticking over with everyone stuck indoors? Autonomous logistics is hitting its stride.</v>
      </c>
      <c r="T1147" s="4" t="str">
        <f>IFERROR(__xludf.DUMMYFUNCTION("""COMPUTED_VALUE"""),"NON-KEYNOTE 9 - COMPLETE")</f>
        <v>NON-KEYNOTE 9 - COMPLETE</v>
      </c>
      <c r="U1147" s="23">
        <f>IFERROR(__xludf.DUMMYFUNCTION("""COMPUTED_VALUE"""),43977.0)</f>
        <v>43977</v>
      </c>
      <c r="V1147" s="44">
        <f>IFERROR(__xludf.DUMMYFUNCTION("""COMPUTED_VALUE"""),0.2708333333333333)</f>
        <v>0.2708333333</v>
      </c>
      <c r="W1147" s="4" t="str">
        <f>IFERROR(__xludf.DUMMYFUNCTION("""COMPUTED_VALUE"""),"COMPLETE")</f>
        <v>COMPLETE</v>
      </c>
      <c r="X1147" s="4" t="str">
        <f>IFERROR(__xludf.DUMMYFUNCTION("""COMPUTED_VALUE"""),"Darragh")</f>
        <v>Darragh</v>
      </c>
      <c r="Y1147" s="4" t="str">
        <f>IFERROR(__xludf.DUMMYFUNCTION("""COMPUTED_VALUE"""),"")</f>
        <v/>
      </c>
    </row>
    <row r="1148">
      <c r="A1148" s="4" t="str">
        <f>IFERROR(__xludf.DUMMYFUNCTION("""COMPUTED_VALUE"""),"1289 - Channel")</f>
        <v>1289 - Channel</v>
      </c>
      <c r="B1148" s="4" t="str">
        <f>IFERROR(__xludf.DUMMYFUNCTION("""COMPUTED_VALUE"""),"Surplus ch.")</f>
        <v>Surplus ch.</v>
      </c>
      <c r="C1148" s="4" t="str">
        <f>IFERROR(__xludf.DUMMYFUNCTION("""COMPUTED_VALUE"""),"Day 2 - 24/06")</f>
        <v>Day 2 - 24/06</v>
      </c>
      <c r="D1148" s="6">
        <f>IFERROR(__xludf.DUMMYFUNCTION("""COMPUTED_VALUE"""),0.5270833333333333)</f>
        <v>0.5270833333</v>
      </c>
      <c r="E1148" s="6">
        <f>IFERROR(__xludf.DUMMYFUNCTION("""COMPUTED_VALUE"""),0.010416666666666666)</f>
        <v>0.01041666667</v>
      </c>
      <c r="F1148" s="6">
        <f>IFERROR(__xludf.DUMMYFUNCTION("""COMPUTED_VALUE"""),0.5375)</f>
        <v>0.5375</v>
      </c>
      <c r="G1148" s="4" t="str">
        <f>IFERROR(__xludf.DUMMYFUNCTION("""COMPUTED_VALUE"""),"Helen")</f>
        <v>Helen</v>
      </c>
      <c r="H1148" s="4" t="str">
        <f>IFERROR(__xludf.DUMMYFUNCTION("""COMPUTED_VALUE"""),"Shauna")</f>
        <v>Shauna</v>
      </c>
      <c r="I1148" s="4" t="str">
        <f>IFERROR(__xludf.DUMMYFUNCTION("""COMPUTED_VALUE"""),"Lucia H.")</f>
        <v>Lucia H.</v>
      </c>
      <c r="J1148" s="4" t="str">
        <f>IFERROR(__xludf.DUMMYFUNCTION("""COMPUTED_VALUE"""),"Leadership")</f>
        <v>Leadership</v>
      </c>
      <c r="K1148" s="4" t="str">
        <f>IFERROR(__xludf.DUMMYFUNCTION("""COMPUTED_VALUE"""),"Panel")</f>
        <v>Panel</v>
      </c>
      <c r="L1148" s="4" t="str">
        <f>IFERROR(__xludf.DUMMYFUNCTION("""COMPUTED_VALUE"""),"T- 3 - 01/06/2020")</f>
        <v>T- 3 - 01/06/2020</v>
      </c>
      <c r="M1148" s="4" t="str">
        <f>IFERROR(__xludf.DUMMYFUNCTION("""COMPUTED_VALUE""")," CH3 - Has 2020 redefined leadership?
")</f>
        <v> CH3 - Has 2020 redefined leadership?
</v>
      </c>
      <c r="N1148" s="4" t="str">
        <f>IFERROR(__xludf.DUMMYFUNCTION("""COMPUTED_VALUE"""),"Emmanuel Lagarrigue, Schneider Electric")</f>
        <v>Emmanuel Lagarrigue, Schneider Electric</v>
      </c>
      <c r="O1148" s="4" t="str">
        <f>IFERROR(__xludf.DUMMYFUNCTION("""COMPUTED_VALUE"""),"Magnus Grimeland, Antler")</f>
        <v>Magnus Grimeland, Antler</v>
      </c>
      <c r="P1148" s="4" t="str">
        <f>IFERROR(__xludf.DUMMYFUNCTION("""COMPUTED_VALUE"""),"Mathilde Collin, Front")</f>
        <v>Mathilde Collin, Front</v>
      </c>
      <c r="Q1148" s="4" t="str">
        <f>IFERROR(__xludf.DUMMYFUNCTION("""COMPUTED_VALUE"""),"")</f>
        <v/>
      </c>
      <c r="R1148" s="4" t="str">
        <f>IFERROR(__xludf.DUMMYFUNCTION("""COMPUTED_VALUE"""),"Wang Guan, CGTN")</f>
        <v>Wang Guan, CGTN</v>
      </c>
      <c r="S1148" s="4" t="str">
        <f>IFERROR(__xludf.DUMMYFUNCTION("""COMPUTED_VALUE"""),"How do you lead a team through the trenches? Join this panel of trailblazers as they discuss what it means to be a leader during a period of uncertainty - and whether that meaning will change over the coming year.")</f>
        <v>How do you lead a team through the trenches? Join this panel of trailblazers as they discuss what it means to be a leader during a period of uncertainty - and whether that meaning will change over the coming year.</v>
      </c>
      <c r="T1148" s="4" t="str">
        <f>IFERROR(__xludf.DUMMYFUNCTION("""COMPUTED_VALUE"""),"Recording MISSED/NEEDS TO BE RERECORDED/RESCHEDULED")</f>
        <v>Recording MISSED/NEEDS TO BE RERECORDED/RESCHEDULED</v>
      </c>
      <c r="U1148" s="23">
        <f>IFERROR(__xludf.DUMMYFUNCTION("""COMPUTED_VALUE"""),43978.0)</f>
        <v>43978</v>
      </c>
      <c r="V1148" s="24">
        <f>IFERROR(__xludf.DUMMYFUNCTION("""COMPUTED_VALUE"""),0.625)</f>
        <v>0.625</v>
      </c>
      <c r="W1148" s="21" t="str">
        <f>IFERROR(__xludf.DUMMYFUNCTION("""COMPUTED_VALUE"""),"https://zoom.us/j/92726800939?pwd=RGtLV1Q4TmE1cExyTlBtNjJHeDFBdz09 ")</f>
        <v>https://zoom.us/j/92726800939?pwd=RGtLV1Q4TmE1cExyTlBtNjJHeDFBdz09 </v>
      </c>
      <c r="X1148" s="4" t="str">
        <f>IFERROR(__xludf.DUMMYFUNCTION("""COMPUTED_VALUE"""),"Helen")</f>
        <v>Helen</v>
      </c>
      <c r="Y1148" s="4" t="str">
        <f>IFERROR(__xludf.DUMMYFUNCTION("""COMPUTED_VALUE"""),"")</f>
        <v/>
      </c>
    </row>
    <row r="1149">
      <c r="A1149" s="4" t="str">
        <f>IFERROR(__xludf.DUMMYFUNCTION("""COMPUTED_VALUE"""),"164 - Channel")</f>
        <v>164 - Channel</v>
      </c>
      <c r="B1149" s="4" t="str">
        <f>IFERROR(__xludf.DUMMYFUNCTION("""COMPUTED_VALUE"""),"Surplus ch.")</f>
        <v>Surplus ch.</v>
      </c>
      <c r="C1149" s="4" t="str">
        <f>IFERROR(__xludf.DUMMYFUNCTION("""COMPUTED_VALUE"""),"Day 2 - 24/06")</f>
        <v>Day 2 - 24/06</v>
      </c>
      <c r="D1149" s="6">
        <f>IFERROR(__xludf.DUMMYFUNCTION("""COMPUTED_VALUE"""),0.5375)</f>
        <v>0.5375</v>
      </c>
      <c r="E1149" s="6">
        <f>IFERROR(__xludf.DUMMYFUNCTION("""COMPUTED_VALUE"""),0.005729166666666666)</f>
        <v>0.005729166667</v>
      </c>
      <c r="F1149" s="6">
        <f>IFERROR(__xludf.DUMMYFUNCTION("""COMPUTED_VALUE"""),0.5432291666666667)</f>
        <v>0.5432291667</v>
      </c>
      <c r="G1149" s="4" t="str">
        <f>IFERROR(__xludf.DUMMYFUNCTION("""COMPUTED_VALUE"""),"Colm")</f>
        <v>Colm</v>
      </c>
      <c r="H1149" s="4" t="str">
        <f>IFERROR(__xludf.DUMMYFUNCTION("""COMPUTED_VALUE"""),"")</f>
        <v/>
      </c>
      <c r="I1149" s="4" t="str">
        <f>IFERROR(__xludf.DUMMYFUNCTION("""COMPUTED_VALUE"""),"Lucia H.")</f>
        <v>Lucia H.</v>
      </c>
      <c r="J1149" s="4" t="str">
        <f>IFERROR(__xludf.DUMMYFUNCTION("""COMPUTED_VALUE"""),"Media")</f>
        <v>Media</v>
      </c>
      <c r="K1149" s="4" t="str">
        <f>IFERROR(__xludf.DUMMYFUNCTION("""COMPUTED_VALUE"""),"Keynote")</f>
        <v>Keynote</v>
      </c>
      <c r="L1149" s="4" t="str">
        <f>IFERROR(__xludf.DUMMYFUNCTION("""COMPUTED_VALUE"""),"T- 7 - 04/05/2020")</f>
        <v>T- 7 - 04/05/2020</v>
      </c>
      <c r="M1149" s="4" t="str">
        <f>IFERROR(__xludf.DUMMYFUNCTION("""COMPUTED_VALUE"""),"CH 1 - Streaming wars: The new world order")</f>
        <v>CH 1 - Streaming wars: The new world order</v>
      </c>
      <c r="N1149" s="4" t="str">
        <f>IFERROR(__xludf.DUMMYFUNCTION("""COMPUTED_VALUE"""),"Ashkan Karbasfrooshan, WatchMojo")</f>
        <v>Ashkan Karbasfrooshan, WatchMojo</v>
      </c>
      <c r="O1149" s="4" t="str">
        <f>IFERROR(__xludf.DUMMYFUNCTION("""COMPUTED_VALUE"""),"")</f>
        <v/>
      </c>
      <c r="P1149" s="4" t="str">
        <f>IFERROR(__xludf.DUMMYFUNCTION("""COMPUTED_VALUE"""),"")</f>
        <v/>
      </c>
      <c r="Q1149" s="4" t="str">
        <f>IFERROR(__xludf.DUMMYFUNCTION("""COMPUTED_VALUE"""),"")</f>
        <v/>
      </c>
      <c r="R1149" s="4" t="str">
        <f>IFERROR(__xludf.DUMMYFUNCTION("""COMPUTED_VALUE"""),"")</f>
        <v/>
      </c>
      <c r="S1149" s="4" t="str">
        <f>IFERROR(__xludf.DUMMYFUNCTION("""COMPUTED_VALUE"""),"Learn how the 'new world order' in the media landscape is creating new opportunities for entrepreneurs, executives, incumbents and challengers.")</f>
        <v>Learn how the 'new world order' in the media landscape is creating new opportunities for entrepreneurs, executives, incumbents and challengers.</v>
      </c>
      <c r="T1149" s="4" t="str">
        <f>IFERROR(__xludf.DUMMYFUNCTION("""COMPUTED_VALUE"""),"Recording MISSED/NEEDS TO BE RERECORDED/RESCHEDULED")</f>
        <v>Recording MISSED/NEEDS TO BE RERECORDED/RESCHEDULED</v>
      </c>
      <c r="U1149" s="23">
        <f>IFERROR(__xludf.DUMMYFUNCTION("""COMPUTED_VALUE"""),43958.0)</f>
        <v>43958</v>
      </c>
      <c r="V1149" s="4" t="str">
        <f>IFERROR(__xludf.DUMMYFUNCTION("""COMPUTED_VALUE"""),"")</f>
        <v/>
      </c>
      <c r="W1149" s="4" t="str">
        <f>IFERROR(__xludf.DUMMYFUNCTION("""COMPUTED_VALUE"""),"TBC")</f>
        <v>TBC</v>
      </c>
      <c r="X1149" s="4" t="str">
        <f>IFERROR(__xludf.DUMMYFUNCTION("""COMPUTED_VALUE"""),"Colm")</f>
        <v>Colm</v>
      </c>
      <c r="Y1149" s="4" t="str">
        <f>IFERROR(__xludf.DUMMYFUNCTION("""COMPUTED_VALUE"""),"4645311197617407158")</f>
        <v>4645311197617407158</v>
      </c>
    </row>
    <row r="1150">
      <c r="A1150" s="4" t="str">
        <f>IFERROR(__xludf.DUMMYFUNCTION("""COMPUTED_VALUE"""),"1286 - Channel")</f>
        <v>1286 - Channel</v>
      </c>
      <c r="B1150" s="4" t="str">
        <f>IFERROR(__xludf.DUMMYFUNCTION("""COMPUTED_VALUE"""),"Surplus ch.")</f>
        <v>Surplus ch.</v>
      </c>
      <c r="C1150" s="4" t="str">
        <f>IFERROR(__xludf.DUMMYFUNCTION("""COMPUTED_VALUE"""),"Day 3 - 25/06")</f>
        <v>Day 3 - 25/06</v>
      </c>
      <c r="D1150" s="6">
        <f>IFERROR(__xludf.DUMMYFUNCTION("""COMPUTED_VALUE"""),0.5432291666666667)</f>
        <v>0.5432291667</v>
      </c>
      <c r="E1150" s="6">
        <f>IFERROR(__xludf.DUMMYFUNCTION("""COMPUTED_VALUE"""),0.010416666666666666)</f>
        <v>0.01041666667</v>
      </c>
      <c r="F1150" s="6">
        <f>IFERROR(__xludf.DUMMYFUNCTION("""COMPUTED_VALUE"""),0.5536458333333333)</f>
        <v>0.5536458333</v>
      </c>
      <c r="G1150" s="4" t="str">
        <f>IFERROR(__xludf.DUMMYFUNCTION("""COMPUTED_VALUE"""),"Helen")</f>
        <v>Helen</v>
      </c>
      <c r="H1150" s="4" t="str">
        <f>IFERROR(__xludf.DUMMYFUNCTION("""COMPUTED_VALUE"""),"Haziq")</f>
        <v>Haziq</v>
      </c>
      <c r="I1150" s="4" t="str">
        <f>IFERROR(__xludf.DUMMYFUNCTION("""COMPUTED_VALUE"""),"Lucia H.")</f>
        <v>Lucia H.</v>
      </c>
      <c r="J1150" s="4" t="str">
        <f>IFERROR(__xludf.DUMMYFUNCTION("""COMPUTED_VALUE"""),"Investment")</f>
        <v>Investment</v>
      </c>
      <c r="K1150" s="4" t="str">
        <f>IFERROR(__xludf.DUMMYFUNCTION("""COMPUTED_VALUE"""),"Panel")</f>
        <v>Panel</v>
      </c>
      <c r="L1150" s="4" t="str">
        <f>IFERROR(__xludf.DUMMYFUNCTION("""COMPUTED_VALUE"""),"T- 4 - 25/05/2020")</f>
        <v>T- 4 - 25/05/2020</v>
      </c>
      <c r="M1150" s="4" t="str">
        <f>IFERROR(__xludf.DUMMYFUNCTION("""COMPUTED_VALUE""")," CH 3 - Smart investments in a pandemic")</f>
        <v> CH 3 - Smart investments in a pandemic</v>
      </c>
      <c r="N1150" s="4" t="str">
        <f>IFERROR(__xludf.DUMMYFUNCTION("""COMPUTED_VALUE"""),"Lu Zhang, Fusion Fund")</f>
        <v>Lu Zhang, Fusion Fund</v>
      </c>
      <c r="O1150" s="4" t="str">
        <f>IFERROR(__xludf.DUMMYFUNCTION("""COMPUTED_VALUE"""),"Chris Howard, Fuel Capital")</f>
        <v>Chris Howard, Fuel Capital</v>
      </c>
      <c r="P1150" s="4" t="str">
        <f>IFERROR(__xludf.DUMMYFUNCTION("""COMPUTED_VALUE"""),"Nicholas Chirls, Notation Capital")</f>
        <v>Nicholas Chirls, Notation Capital</v>
      </c>
      <c r="Q1150" s="4" t="str">
        <f>IFERROR(__xludf.DUMMYFUNCTION("""COMPUTED_VALUE"""),"")</f>
        <v/>
      </c>
      <c r="R1150" s="4" t="str">
        <f>IFERROR(__xludf.DUMMYFUNCTION("""COMPUTED_VALUE"""),"Scott Rozansky, Dentons Venture Technology Group")</f>
        <v>Scott Rozansky, Dentons Venture Technology Group</v>
      </c>
      <c r="S1150" s="4" t="str">
        <f>IFERROR(__xludf.DUMMYFUNCTION("""COMPUTED_VALUE"""),"Investors are becoming more careful with where they put their money. With industries like health-tech, e-commerce and delivery services experiencing an unprecedented boom, how can you identify a ""smart investment"" during a pandemic? ")</f>
        <v>Investors are becoming more careful with where they put their money. With industries like health-tech, e-commerce and delivery services experiencing an unprecedented boom, how can you identify a "smart investment" during a pandemic? </v>
      </c>
      <c r="T1150" s="4" t="str">
        <f>IFERROR(__xludf.DUMMYFUNCTION("""COMPUTED_VALUE"""),"NON-KEYNOTE 9 - COMPLETE")</f>
        <v>NON-KEYNOTE 9 - COMPLETE</v>
      </c>
      <c r="U1150" s="23">
        <f>IFERROR(__xludf.DUMMYFUNCTION("""COMPUTED_VALUE"""),43978.0)</f>
        <v>43978</v>
      </c>
      <c r="V1150" s="24">
        <f>IFERROR(__xludf.DUMMYFUNCTION("""COMPUTED_VALUE"""),0.8958333333333334)</f>
        <v>0.8958333333</v>
      </c>
      <c r="W1150" s="4" t="str">
        <f>IFERROR(__xludf.DUMMYFUNCTION("""COMPUTED_VALUE"""),"COMPLETE")</f>
        <v>COMPLETE</v>
      </c>
      <c r="X1150" s="4" t="str">
        <f>IFERROR(__xludf.DUMMYFUNCTION("""COMPUTED_VALUE"""),"Helen")</f>
        <v>Helen</v>
      </c>
      <c r="Y1150" s="4" t="str">
        <f>IFERROR(__xludf.DUMMYFUNCTION("""COMPUTED_VALUE"""),"")</f>
        <v/>
      </c>
    </row>
    <row r="1151">
      <c r="A1151" s="4" t="str">
        <f>IFERROR(__xludf.DUMMYFUNCTION("""COMPUTED_VALUE"""),"1288 - Channel")</f>
        <v>1288 - Channel</v>
      </c>
      <c r="B1151" s="4" t="str">
        <f>IFERROR(__xludf.DUMMYFUNCTION("""COMPUTED_VALUE"""),"Surplus ch.")</f>
        <v>Surplus ch.</v>
      </c>
      <c r="C1151" s="4" t="str">
        <f>IFERROR(__xludf.DUMMYFUNCTION("""COMPUTED_VALUE"""),"Day 2 - 24/06")</f>
        <v>Day 2 - 24/06</v>
      </c>
      <c r="D1151" s="6">
        <f>IFERROR(__xludf.DUMMYFUNCTION("""COMPUTED_VALUE"""),0.5536458333333333)</f>
        <v>0.5536458333</v>
      </c>
      <c r="E1151" s="6">
        <f>IFERROR(__xludf.DUMMYFUNCTION("""COMPUTED_VALUE"""),0.010416666666666666)</f>
        <v>0.01041666667</v>
      </c>
      <c r="F1151" s="6">
        <f>IFERROR(__xludf.DUMMYFUNCTION("""COMPUTED_VALUE"""),0.5640624999999999)</f>
        <v>0.5640625</v>
      </c>
      <c r="G1151" s="4" t="str">
        <f>IFERROR(__xludf.DUMMYFUNCTION("""COMPUTED_VALUE"""),"Helen")</f>
        <v>Helen</v>
      </c>
      <c r="H1151" s="4" t="str">
        <f>IFERROR(__xludf.DUMMYFUNCTION("""COMPUTED_VALUE"""),"Shauna")</f>
        <v>Shauna</v>
      </c>
      <c r="I1151" s="4" t="str">
        <f>IFERROR(__xludf.DUMMYFUNCTION("""COMPUTED_VALUE"""),"Lucia H.")</f>
        <v>Lucia H.</v>
      </c>
      <c r="J1151" s="4" t="str">
        <f>IFERROR(__xludf.DUMMYFUNCTION("""COMPUTED_VALUE"""),"Leadership")</f>
        <v>Leadership</v>
      </c>
      <c r="K1151" s="4" t="str">
        <f>IFERROR(__xludf.DUMMYFUNCTION("""COMPUTED_VALUE"""),"Panel")</f>
        <v>Panel</v>
      </c>
      <c r="L1151" s="4" t="str">
        <f>IFERROR(__xludf.DUMMYFUNCTION("""COMPUTED_VALUE"""),"T- 4 - 25/05/2020")</f>
        <v>T- 4 - 25/05/2020</v>
      </c>
      <c r="M1151" s="4" t="str">
        <f>IFERROR(__xludf.DUMMYFUNCTION("""COMPUTED_VALUE"""),"CH 1- Does a recession breed innovation?")</f>
        <v>CH 1- Does a recession breed innovation?</v>
      </c>
      <c r="N1151" s="4" t="str">
        <f>IFERROR(__xludf.DUMMYFUNCTION("""COMPUTED_VALUE"""),"Erin Bradner, Autodesk")</f>
        <v>Erin Bradner, Autodesk</v>
      </c>
      <c r="O1151" s="4" t="str">
        <f>IFERROR(__xludf.DUMMYFUNCTION("""COMPUTED_VALUE"""),"Jamie Paik, EPFL")</f>
        <v>Jamie Paik, EPFL</v>
      </c>
      <c r="P1151" s="4" t="str">
        <f>IFERROR(__xludf.DUMMYFUNCTION("""COMPUTED_VALUE"""),"Reza Malekzadeh, Partech Ventures")</f>
        <v>Reza Malekzadeh, Partech Ventures</v>
      </c>
      <c r="Q1151" s="4" t="str">
        <f>IFERROR(__xludf.DUMMYFUNCTION("""COMPUTED_VALUE"""),"")</f>
        <v/>
      </c>
      <c r="R1151" s="4" t="str">
        <f>IFERROR(__xludf.DUMMYFUNCTION("""COMPUTED_VALUE"""),"Lei Cheng CGTN")</f>
        <v>Lei Cheng CGTN</v>
      </c>
      <c r="S1151" s="4" t="str">
        <f>IFERROR(__xludf.DUMMYFUNCTION("""COMPUTED_VALUE"""),"Some of the worlds greatest ideas have been born in a crisis. How can a period of economic instability, inspire creativity? Can difficult times offer companies and consumers alike a new perspective on the world around us?")</f>
        <v>Some of the worlds greatest ideas have been born in a crisis. How can a period of economic instability, inspire creativity? Can difficult times offer companies and consumers alike a new perspective on the world around us?</v>
      </c>
      <c r="T1151" s="4" t="str">
        <f>IFERROR(__xludf.DUMMYFUNCTION("""COMPUTED_VALUE"""),"NON-KEYNOTE 9 - COMPLETE")</f>
        <v>NON-KEYNOTE 9 - COMPLETE</v>
      </c>
      <c r="U1151" s="23">
        <f>IFERROR(__xludf.DUMMYFUNCTION("""COMPUTED_VALUE"""),43979.0)</f>
        <v>43979</v>
      </c>
      <c r="V1151" s="44">
        <f>IFERROR(__xludf.DUMMYFUNCTION("""COMPUTED_VALUE"""),0.4166666666666667)</f>
        <v>0.4166666667</v>
      </c>
      <c r="W1151" s="4" t="str">
        <f>IFERROR(__xludf.DUMMYFUNCTION("""COMPUTED_VALUE"""),"COMPLETE")</f>
        <v>COMPLETE</v>
      </c>
      <c r="X1151" s="4" t="str">
        <f>IFERROR(__xludf.DUMMYFUNCTION("""COMPUTED_VALUE"""),"Helen")</f>
        <v>Helen</v>
      </c>
      <c r="Y1151" s="4" t="str">
        <f>IFERROR(__xludf.DUMMYFUNCTION("""COMPUTED_VALUE"""),"")</f>
        <v/>
      </c>
    </row>
    <row r="1152">
      <c r="A1152" s="4" t="str">
        <f>IFERROR(__xludf.DUMMYFUNCTION("""COMPUTED_VALUE"""),"1290 - Channel")</f>
        <v>1290 - Channel</v>
      </c>
      <c r="B1152" s="4" t="str">
        <f>IFERROR(__xludf.DUMMYFUNCTION("""COMPUTED_VALUE"""),"Surplus ch.")</f>
        <v>Surplus ch.</v>
      </c>
      <c r="C1152" s="4" t="str">
        <f>IFERROR(__xludf.DUMMYFUNCTION("""COMPUTED_VALUE"""),"Day 2 - 24/06")</f>
        <v>Day 2 - 24/06</v>
      </c>
      <c r="D1152" s="6">
        <f>IFERROR(__xludf.DUMMYFUNCTION("""COMPUTED_VALUE"""),0.5375)</f>
        <v>0.5375</v>
      </c>
      <c r="E1152" s="6">
        <f>IFERROR(__xludf.DUMMYFUNCTION("""COMPUTED_VALUE"""),0.010416666666666666)</f>
        <v>0.01041666667</v>
      </c>
      <c r="F1152" s="6">
        <f>IFERROR(__xludf.DUMMYFUNCTION("""COMPUTED_VALUE"""),0.5479166666666666)</f>
        <v>0.5479166667</v>
      </c>
      <c r="G1152" s="4" t="str">
        <f>IFERROR(__xludf.DUMMYFUNCTION("""COMPUTED_VALUE"""),"Kat")</f>
        <v>Kat</v>
      </c>
      <c r="H1152" s="4" t="str">
        <f>IFERROR(__xludf.DUMMYFUNCTION("""COMPUTED_VALUE"""),"Eoghan")</f>
        <v>Eoghan</v>
      </c>
      <c r="I1152" s="4" t="str">
        <f>IFERROR(__xludf.DUMMYFUNCTION("""COMPUTED_VALUE"""),"Lynn")</f>
        <v>Lynn</v>
      </c>
      <c r="J1152" s="4" t="str">
        <f>IFERROR(__xludf.DUMMYFUNCTION("""COMPUTED_VALUE"""),"Climate")</f>
        <v>Climate</v>
      </c>
      <c r="K1152" s="4" t="str">
        <f>IFERROR(__xludf.DUMMYFUNCTION("""COMPUTED_VALUE"""),"Fireside")</f>
        <v>Fireside</v>
      </c>
      <c r="L1152" s="4" t="str">
        <f>IFERROR(__xludf.DUMMYFUNCTION("""COMPUTED_VALUE"""),"T- 4 - 25/05/2020")</f>
        <v>T- 4 - 25/05/2020</v>
      </c>
      <c r="M1152" s="4" t="str">
        <f>IFERROR(__xludf.DUMMYFUNCTION("""COMPUTED_VALUE"""),"CH2: Conservation, science and climate ")</f>
        <v>CH2: Conservation, science and climate </v>
      </c>
      <c r="N1152" s="4" t="str">
        <f>IFERROR(__xludf.DUMMYFUNCTION("""COMPUTED_VALUE"""),"Shyla Raghav, Conservational International")</f>
        <v>Shyla Raghav, Conservational International</v>
      </c>
      <c r="O1152" s="4" t="str">
        <f>IFERROR(__xludf.DUMMYFUNCTION("""COMPUTED_VALUE"""),"Peter Li, Humane Society International, University of Houston-Downtown")</f>
        <v>Peter Li, Humane Society International, University of Houston-Downtown</v>
      </c>
      <c r="P1152" s="4" t="str">
        <f>IFERROR(__xludf.DUMMYFUNCTION("""COMPUTED_VALUE"""),"")</f>
        <v/>
      </c>
      <c r="Q1152" s="4" t="str">
        <f>IFERROR(__xludf.DUMMYFUNCTION("""COMPUTED_VALUE"""),"")</f>
        <v/>
      </c>
      <c r="R1152" s="4" t="str">
        <f>IFERROR(__xludf.DUMMYFUNCTION("""COMPUTED_VALUE"""),"Andrew Freedman, Washington Post")</f>
        <v>Andrew Freedman, Washington Post</v>
      </c>
      <c r="S1152" s="4" t="str">
        <f>IFERROR(__xludf.DUMMYFUNCTION("""COMPUTED_VALUE"""),"Whether saving trees, saving primates or saving the Sumatran forests, extinction is a war-zone and in this session Shyla discusses what's being done to preserve nature's legacy, claws, tusks and all, before time runs out.")</f>
        <v>Whether saving trees, saving primates or saving the Sumatran forests, extinction is a war-zone and in this session Shyla discusses what's being done to preserve nature's legacy, claws, tusks and all, before time runs out.</v>
      </c>
      <c r="T1152" s="4" t="str">
        <f>IFERROR(__xludf.DUMMYFUNCTION("""COMPUTED_VALUE"""),"NON-KEYNOTE 9 - COMPLETE")</f>
        <v>NON-KEYNOTE 9 - COMPLETE</v>
      </c>
      <c r="U1152" s="23">
        <f>IFERROR(__xludf.DUMMYFUNCTION("""COMPUTED_VALUE"""),43978.0)</f>
        <v>43978</v>
      </c>
      <c r="V1152" s="24">
        <f>IFERROR(__xludf.DUMMYFUNCTION("""COMPUTED_VALUE"""),0.75)</f>
        <v>0.75</v>
      </c>
      <c r="W1152" s="4" t="str">
        <f>IFERROR(__xludf.DUMMYFUNCTION("""COMPUTED_VALUE"""),"COMPLETE")</f>
        <v>COMPLETE</v>
      </c>
      <c r="X1152" s="4" t="str">
        <f>IFERROR(__xludf.DUMMYFUNCTION("""COMPUTED_VALUE"""),"Kat")</f>
        <v>Kat</v>
      </c>
      <c r="Y1152" s="4" t="str">
        <f>IFERROR(__xludf.DUMMYFUNCTION("""COMPUTED_VALUE"""),"")</f>
        <v/>
      </c>
    </row>
    <row r="1153">
      <c r="A1153" s="4" t="str">
        <f>IFERROR(__xludf.DUMMYFUNCTION("""COMPUTED_VALUE"""),"1291 - Channel")</f>
        <v>1291 - Channel</v>
      </c>
      <c r="B1153" s="4" t="str">
        <f>IFERROR(__xludf.DUMMYFUNCTION("""COMPUTED_VALUE"""),"Surplus ch.")</f>
        <v>Surplus ch.</v>
      </c>
      <c r="C1153" s="4" t="str">
        <f>IFERROR(__xludf.DUMMYFUNCTION("""COMPUTED_VALUE"""),"Day 3 - 25/06")</f>
        <v>Day 3 - 25/06</v>
      </c>
      <c r="D1153" s="6">
        <f>IFERROR(__xludf.DUMMYFUNCTION("""COMPUTED_VALUE"""),0.5479166666666666)</f>
        <v>0.5479166667</v>
      </c>
      <c r="E1153" s="6">
        <f>IFERROR(__xludf.DUMMYFUNCTION("""COMPUTED_VALUE"""),0.011111111111111112)</f>
        <v>0.01111111111</v>
      </c>
      <c r="F1153" s="6">
        <f>IFERROR(__xludf.DUMMYFUNCTION("""COMPUTED_VALUE"""),0.5590277777777777)</f>
        <v>0.5590277778</v>
      </c>
      <c r="G1153" s="4" t="str">
        <f>IFERROR(__xludf.DUMMYFUNCTION("""COMPUTED_VALUE"""),"Ahmed")</f>
        <v>Ahmed</v>
      </c>
      <c r="H1153" s="4" t="str">
        <f>IFERROR(__xludf.DUMMYFUNCTION("""COMPUTED_VALUE"""),"Eoghan")</f>
        <v>Eoghan</v>
      </c>
      <c r="I1153" s="4" t="str">
        <f>IFERROR(__xludf.DUMMYFUNCTION("""COMPUTED_VALUE"""),"Francisca")</f>
        <v>Francisca</v>
      </c>
      <c r="J1153" s="4" t="str">
        <f>IFERROR(__xludf.DUMMYFUNCTION("""COMPUTED_VALUE"""),"Leadership")</f>
        <v>Leadership</v>
      </c>
      <c r="K1153" s="4" t="str">
        <f>IFERROR(__xludf.DUMMYFUNCTION("""COMPUTED_VALUE"""),"Panel")</f>
        <v>Panel</v>
      </c>
      <c r="L1153" s="4" t="str">
        <f>IFERROR(__xludf.DUMMYFUNCTION("""COMPUTED_VALUE"""),"T- 8 - 27/04/2020")</f>
        <v>T- 8 - 27/04/2020</v>
      </c>
      <c r="M1153" s="4" t="str">
        <f>IFERROR(__xludf.DUMMYFUNCTION("""COMPUTED_VALUE"""),"CH2 - Leading outside the box")</f>
        <v>CH2 - Leading outside the box</v>
      </c>
      <c r="N1153" s="4" t="str">
        <f>IFERROR(__xludf.DUMMYFUNCTION("""COMPUTED_VALUE"""),"Mark Vernooij, THNK School of Creative Leadership")</f>
        <v>Mark Vernooij, THNK School of Creative Leadership</v>
      </c>
      <c r="O1153" s="4" t="str">
        <f>IFERROR(__xludf.DUMMYFUNCTION("""COMPUTED_VALUE"""),"Jessica Nordlander, Thoughtexchange")</f>
        <v>Jessica Nordlander, Thoughtexchange</v>
      </c>
      <c r="P1153" s="4" t="str">
        <f>IFERROR(__xludf.DUMMYFUNCTION("""COMPUTED_VALUE"""),"Eric Schurenberg, Inc. &amp; Fast Company")</f>
        <v>Eric Schurenberg, Inc. &amp; Fast Company</v>
      </c>
      <c r="Q1153" s="4" t="str">
        <f>IFERROR(__xludf.DUMMYFUNCTION("""COMPUTED_VALUE"""),"")</f>
        <v/>
      </c>
      <c r="R1153" s="4" t="str">
        <f>IFERROR(__xludf.DUMMYFUNCTION("""COMPUTED_VALUE"""),"Jared Lindzon, The Globe And Mail")</f>
        <v>Jared Lindzon, The Globe And Mail</v>
      </c>
      <c r="S1153" s="4" t="str">
        <f>IFERROR(__xludf.DUMMYFUNCTION("""COMPUTED_VALUE"""),"Leaders who drive creativity forge environments that promote innovative thinking and mission-driven entrepreneurship. This talk looks at the components needed for disruptive leaders to address large-scale projects creatively. ")</f>
        <v>Leaders who drive creativity forge environments that promote innovative thinking and mission-driven entrepreneurship. This talk looks at the components needed for disruptive leaders to address large-scale projects creatively. </v>
      </c>
      <c r="T1153" s="54" t="str">
        <f>IFERROR(__xludf.DUMMYFUNCTION("""COMPUTED_VALUE"""),"NON-KEYNOTE 9 - COMPLETE")</f>
        <v>NON-KEYNOTE 9 - COMPLETE</v>
      </c>
      <c r="U1153" s="23">
        <f>IFERROR(__xludf.DUMMYFUNCTION("""COMPUTED_VALUE"""),43952.0)</f>
        <v>43952</v>
      </c>
      <c r="V1153" s="24">
        <f>IFERROR(__xludf.DUMMYFUNCTION("""COMPUTED_VALUE"""),0.75)</f>
        <v>0.75</v>
      </c>
      <c r="W1153" s="4" t="str">
        <f>IFERROR(__xludf.DUMMYFUNCTION("""COMPUTED_VALUE"""),"COMPLETE")</f>
        <v>COMPLETE</v>
      </c>
      <c r="X1153" s="4" t="str">
        <f>IFERROR(__xludf.DUMMYFUNCTION("""COMPUTED_VALUE"""),"Ahmed")</f>
        <v>Ahmed</v>
      </c>
      <c r="Y1153" s="4" t="str">
        <f>IFERROR(__xludf.DUMMYFUNCTION("""COMPUTED_VALUE"""),"")</f>
        <v/>
      </c>
    </row>
    <row r="1154">
      <c r="A1154" s="4" t="str">
        <f>IFERROR(__xludf.DUMMYFUNCTION("""COMPUTED_VALUE"""),"167 - Channel")</f>
        <v>167 - Channel</v>
      </c>
      <c r="B1154" s="4" t="str">
        <f>IFERROR(__xludf.DUMMYFUNCTION("""COMPUTED_VALUE"""),"Surplus ch.")</f>
        <v>Surplus ch.</v>
      </c>
      <c r="C1154" s="4" t="str">
        <f>IFERROR(__xludf.DUMMYFUNCTION("""COMPUTED_VALUE"""),"Day 2 - 24/06")</f>
        <v>Day 2 - 24/06</v>
      </c>
      <c r="D1154" s="6">
        <f>IFERROR(__xludf.DUMMYFUNCTION("""COMPUTED_VALUE"""),0.5590277777777777)</f>
        <v>0.5590277778</v>
      </c>
      <c r="E1154" s="6">
        <f>IFERROR(__xludf.DUMMYFUNCTION("""COMPUTED_VALUE"""),0.009189814814814816)</f>
        <v>0.009189814815</v>
      </c>
      <c r="F1154" s="6">
        <f>IFERROR(__xludf.DUMMYFUNCTION("""COMPUTED_VALUE"""),0.5682175925925925)</f>
        <v>0.5682175926</v>
      </c>
      <c r="G1154" s="4" t="str">
        <f>IFERROR(__xludf.DUMMYFUNCTION("""COMPUTED_VALUE"""),"Yvonne")</f>
        <v>Yvonne</v>
      </c>
      <c r="H1154" s="4" t="str">
        <f>IFERROR(__xludf.DUMMYFUNCTION("""COMPUTED_VALUE"""),"Stephen")</f>
        <v>Stephen</v>
      </c>
      <c r="I1154" s="4" t="str">
        <f>IFERROR(__xludf.DUMMYFUNCTION("""COMPUTED_VALUE"""),"Lucia H.")</f>
        <v>Lucia H.</v>
      </c>
      <c r="J1154" s="4" t="str">
        <f>IFERROR(__xludf.DUMMYFUNCTION("""COMPUTED_VALUE"""),"News")</f>
        <v>News</v>
      </c>
      <c r="K1154" s="4" t="str">
        <f>IFERROR(__xludf.DUMMYFUNCTION("""COMPUTED_VALUE"""),"Super Fireside")</f>
        <v>Super Fireside</v>
      </c>
      <c r="L1154" s="4" t="str">
        <f>IFERROR(__xludf.DUMMYFUNCTION("""COMPUTED_VALUE"""),"T- 6 - 11/05/2020")</f>
        <v>T- 6 - 11/05/2020</v>
      </c>
      <c r="M1154" s="4" t="str">
        <f>IFERROR(__xludf.DUMMYFUNCTION("""COMPUTED_VALUE"""),"CH 1- How to win the digital news war")</f>
        <v>CH 1- How to win the digital news war</v>
      </c>
      <c r="N1154" s="4" t="str">
        <f>IFERROR(__xludf.DUMMYFUNCTION("""COMPUTED_VALUE"""),"Nicholas Carlson, Insider")</f>
        <v>Nicholas Carlson, Insider</v>
      </c>
      <c r="O1154" s="4" t="str">
        <f>IFERROR(__xludf.DUMMYFUNCTION("""COMPUTED_VALUE"""),"Jay Yarow, CNBC")</f>
        <v>Jay Yarow, CNBC</v>
      </c>
      <c r="P1154" s="4" t="str">
        <f>IFERROR(__xludf.DUMMYFUNCTION("""COMPUTED_VALUE"""),"")</f>
        <v/>
      </c>
      <c r="Q1154" s="4" t="str">
        <f>IFERROR(__xludf.DUMMYFUNCTION("""COMPUTED_VALUE"""),"")</f>
        <v/>
      </c>
      <c r="R1154" s="4" t="str">
        <f>IFERROR(__xludf.DUMMYFUNCTION("""COMPUTED_VALUE"""),"Eric Schurenberg, Inc. &amp; Fast Company")</f>
        <v>Eric Schurenberg, Inc. &amp; Fast Company</v>
      </c>
      <c r="S1154" s="4" t="str">
        <f>IFERROR(__xludf.DUMMYFUNCTION("""COMPUTED_VALUE"""),"In the face of continuously shrinking attention spans, how do you keep your views and clicks high while not compromising your content? ")</f>
        <v>In the face of continuously shrinking attention spans, how do you keep your views and clicks high while not compromising your content? </v>
      </c>
      <c r="T1154" s="4" t="str">
        <f>IFERROR(__xludf.DUMMYFUNCTION("""COMPUTED_VALUE"""),"NON-KEYNOTE 9 - COMPLETE")</f>
        <v>NON-KEYNOTE 9 - COMPLETE</v>
      </c>
      <c r="U1154" s="23">
        <f>IFERROR(__xludf.DUMMYFUNCTION("""COMPUTED_VALUE"""),43962.0)</f>
        <v>43962</v>
      </c>
      <c r="V1154" s="24">
        <f>IFERROR(__xludf.DUMMYFUNCTION("""COMPUTED_VALUE"""),0.7708333333333334)</f>
        <v>0.7708333333</v>
      </c>
      <c r="W1154" s="4" t="str">
        <f>IFERROR(__xludf.DUMMYFUNCTION("""COMPUTED_VALUE"""),"COMPLETE")</f>
        <v>COMPLETE</v>
      </c>
      <c r="X1154" s="4" t="str">
        <f>IFERROR(__xludf.DUMMYFUNCTION("""COMPUTED_VALUE"""),"Gavin")</f>
        <v>Gavin</v>
      </c>
      <c r="Y1154" s="4" t="str">
        <f>IFERROR(__xludf.DUMMYFUNCTION("""COMPUTED_VALUE"""),"")</f>
        <v/>
      </c>
    </row>
    <row r="1155">
      <c r="A1155" s="4" t="str">
        <f>IFERROR(__xludf.DUMMYFUNCTION("""COMPUTED_VALUE"""),"886 - Channel")</f>
        <v>886 - Channel</v>
      </c>
      <c r="B1155" s="4" t="str">
        <f>IFERROR(__xludf.DUMMYFUNCTION("""COMPUTED_VALUE"""),"Surplus ch.")</f>
        <v>Surplus ch.</v>
      </c>
      <c r="C1155" s="4" t="str">
        <f>IFERROR(__xludf.DUMMYFUNCTION("""COMPUTED_VALUE"""),"Day 1 - 23/06")</f>
        <v>Day 1 - 23/06</v>
      </c>
      <c r="D1155" s="6">
        <f>IFERROR(__xludf.DUMMYFUNCTION("""COMPUTED_VALUE"""),0.5682175925925925)</f>
        <v>0.5682175926</v>
      </c>
      <c r="E1155" s="6">
        <f>IFERROR(__xludf.DUMMYFUNCTION("""COMPUTED_VALUE"""),0.011979166666666667)</f>
        <v>0.01197916667</v>
      </c>
      <c r="F1155" s="6">
        <f>IFERROR(__xludf.DUMMYFUNCTION("""COMPUTED_VALUE"""),0.5801967592592592)</f>
        <v>0.5801967593</v>
      </c>
      <c r="G1155" s="4" t="str">
        <f>IFERROR(__xludf.DUMMYFUNCTION("""COMPUTED_VALUE"""),"Carol")</f>
        <v>Carol</v>
      </c>
      <c r="H1155" s="4" t="str">
        <f>IFERROR(__xludf.DUMMYFUNCTION("""COMPUTED_VALUE"""),"Haziq")</f>
        <v>Haziq</v>
      </c>
      <c r="I1155" s="4" t="str">
        <f>IFERROR(__xludf.DUMMYFUNCTION("""COMPUTED_VALUE"""),"James")</f>
        <v>James</v>
      </c>
      <c r="J1155" s="4" t="str">
        <f>IFERROR(__xludf.DUMMYFUNCTION("""COMPUTED_VALUE"""),"Investment")</f>
        <v>Investment</v>
      </c>
      <c r="K1155" s="4" t="str">
        <f>IFERROR(__xludf.DUMMYFUNCTION("""COMPUTED_VALUE"""),"Panel")</f>
        <v>Panel</v>
      </c>
      <c r="L1155" s="4" t="str">
        <f>IFERROR(__xludf.DUMMYFUNCTION("""COMPUTED_VALUE"""),"T- 7 - 04/05/2020")</f>
        <v>T- 7 - 04/05/2020</v>
      </c>
      <c r="M1155" s="4" t="str">
        <f>IFERROR(__xludf.DUMMYFUNCTION("""COMPUTED_VALUE"""),"CH 3- Reinventing the VC model")</f>
        <v>CH 3- Reinventing the VC model</v>
      </c>
      <c r="N1155" s="4" t="str">
        <f>IFERROR(__xludf.DUMMYFUNCTION("""COMPUTED_VALUE"""),"Chris Farmer, SignalFire")</f>
        <v>Chris Farmer, SignalFire</v>
      </c>
      <c r="O1155" s="4" t="str">
        <f>IFERROR(__xludf.DUMMYFUNCTION("""COMPUTED_VALUE"""),"Dror Berman, Innovation Endeavors")</f>
        <v>Dror Berman, Innovation Endeavors</v>
      </c>
      <c r="P1155" s="4" t="str">
        <f>IFERROR(__xludf.DUMMYFUNCTION("""COMPUTED_VALUE"""),"Alireza Masrour, Plug and Play Tech Center")</f>
        <v>Alireza Masrour, Plug and Play Tech Center</v>
      </c>
      <c r="Q1155" s="4" t="str">
        <f>IFERROR(__xludf.DUMMYFUNCTION("""COMPUTED_VALUE"""),"")</f>
        <v/>
      </c>
      <c r="R1155" s="4" t="str">
        <f>IFERROR(__xludf.DUMMYFUNCTION("""COMPUTED_VALUE"""),"Sarah McBride, Bloomberg")</f>
        <v>Sarah McBride, Bloomberg</v>
      </c>
      <c r="S1155" s="4" t="str">
        <f>IFERROR(__xludf.DUMMYFUNCTION("""COMPUTED_VALUE"""),"The VC world has become increasingly saturated and competitive. Funds have to diversify and reinvent their model to stand out and succeed. This panel discusses their individual approaches. ")</f>
        <v>The VC world has become increasingly saturated and competitive. Funds have to diversify and reinvent their model to stand out and succeed. This panel discusses their individual approaches. </v>
      </c>
      <c r="T1155" s="4" t="str">
        <f>IFERROR(__xludf.DUMMYFUNCTION("""COMPUTED_VALUE"""),"NON-KEYNOTE 9 - COMPLETE")</f>
        <v>NON-KEYNOTE 9 - COMPLETE</v>
      </c>
      <c r="U1155" s="23">
        <f>IFERROR(__xludf.DUMMYFUNCTION("""COMPUTED_VALUE"""),43958.0)</f>
        <v>43958</v>
      </c>
      <c r="V1155" s="4" t="str">
        <f>IFERROR(__xludf.DUMMYFUNCTION("""COMPUTED_VALUE"""),"")</f>
        <v/>
      </c>
      <c r="W1155" s="4" t="str">
        <f>IFERROR(__xludf.DUMMYFUNCTION("""COMPUTED_VALUE"""),"COMPLETE")</f>
        <v>COMPLETE</v>
      </c>
      <c r="X1155" s="4" t="str">
        <f>IFERROR(__xludf.DUMMYFUNCTION("""COMPUTED_VALUE"""),"Carol")</f>
        <v>Carol</v>
      </c>
      <c r="Y1155" s="4" t="str">
        <f>IFERROR(__xludf.DUMMYFUNCTION("""COMPUTED_VALUE"""),"")</f>
        <v/>
      </c>
    </row>
    <row r="1156">
      <c r="A1156" s="4" t="str">
        <f>IFERROR(__xludf.DUMMYFUNCTION("""COMPUTED_VALUE"""),"1092 - Channel")</f>
        <v>1092 - Channel</v>
      </c>
      <c r="B1156" s="4" t="str">
        <f>IFERROR(__xludf.DUMMYFUNCTION("""COMPUTED_VALUE"""),"Surplus ch.")</f>
        <v>Surplus ch.</v>
      </c>
      <c r="C1156" s="4" t="str">
        <f>IFERROR(__xludf.DUMMYFUNCTION("""COMPUTED_VALUE"""),"Day 3 - 25/06")</f>
        <v>Day 3 - 25/06</v>
      </c>
      <c r="D1156" s="6">
        <f>IFERROR(__xludf.DUMMYFUNCTION("""COMPUTED_VALUE"""),0.5801967592592592)</f>
        <v>0.5801967593</v>
      </c>
      <c r="E1156" s="6">
        <f>IFERROR(__xludf.DUMMYFUNCTION("""COMPUTED_VALUE"""),3.4722222222222224E-4)</f>
        <v>0.0003472222222</v>
      </c>
      <c r="F1156" s="6">
        <f>IFERROR(__xludf.DUMMYFUNCTION("""COMPUTED_VALUE"""),0.5805439814814815)</f>
        <v>0.5805439815</v>
      </c>
      <c r="G1156" s="4" t="str">
        <f>IFERROR(__xludf.DUMMYFUNCTION("""COMPUTED_VALUE"""),"Graphics")</f>
        <v>Graphics</v>
      </c>
      <c r="H1156" s="4" t="str">
        <f>IFERROR(__xludf.DUMMYFUNCTION("""COMPUTED_VALUE"""),"")</f>
        <v/>
      </c>
      <c r="I1156" s="4" t="str">
        <f>IFERROR(__xludf.DUMMYFUNCTION("""COMPUTED_VALUE"""),"")</f>
        <v/>
      </c>
      <c r="J1156" s="4" t="str">
        <f>IFERROR(__xludf.DUMMYFUNCTION("""COMPUTED_VALUE"""),"Trade")</f>
        <v>Trade</v>
      </c>
      <c r="K1156" s="4" t="str">
        <f>IFERROR(__xludf.DUMMYFUNCTION("""COMPUTED_VALUE"""),"Talk Intro")</f>
        <v>Talk Intro</v>
      </c>
      <c r="L1156" s="4" t="str">
        <f>IFERROR(__xludf.DUMMYFUNCTION("""COMPUTED_VALUE"""),"")</f>
        <v/>
      </c>
      <c r="M1156" s="4" t="str">
        <f>IFERROR(__xludf.DUMMYFUNCTION("""COMPUTED_VALUE"""),"Talk Intro")</f>
        <v>Talk Intro</v>
      </c>
      <c r="N1156" s="4" t="str">
        <f>IFERROR(__xludf.DUMMYFUNCTION("""COMPUTED_VALUE"""),"")</f>
        <v/>
      </c>
      <c r="O1156" s="4" t="str">
        <f>IFERROR(__xludf.DUMMYFUNCTION("""COMPUTED_VALUE"""),"")</f>
        <v/>
      </c>
      <c r="P1156" s="4" t="str">
        <f>IFERROR(__xludf.DUMMYFUNCTION("""COMPUTED_VALUE"""),"")</f>
        <v/>
      </c>
      <c r="Q1156" s="4" t="str">
        <f>IFERROR(__xludf.DUMMYFUNCTION("""COMPUTED_VALUE"""),"")</f>
        <v/>
      </c>
      <c r="R1156" s="4" t="str">
        <f>IFERROR(__xludf.DUMMYFUNCTION("""COMPUTED_VALUE"""),"")</f>
        <v/>
      </c>
      <c r="S1156" s="4" t="str">
        <f>IFERROR(__xludf.DUMMYFUNCTION("""COMPUTED_VALUE"""),"")</f>
        <v/>
      </c>
      <c r="T1156" s="4" t="str">
        <f>IFERROR(__xludf.DUMMYFUNCTION("""COMPUTED_VALUE"""),"")</f>
        <v/>
      </c>
      <c r="U1156" s="4" t="str">
        <f>IFERROR(__xludf.DUMMYFUNCTION("""COMPUTED_VALUE"""),"")</f>
        <v/>
      </c>
      <c r="V1156" s="4" t="str">
        <f>IFERROR(__xludf.DUMMYFUNCTION("""COMPUTED_VALUE"""),"")</f>
        <v/>
      </c>
      <c r="W1156" s="4" t="str">
        <f>IFERROR(__xludf.DUMMYFUNCTION("""COMPUTED_VALUE"""),"")</f>
        <v/>
      </c>
      <c r="X1156" s="4" t="str">
        <f>IFERROR(__xludf.DUMMYFUNCTION("""COMPUTED_VALUE"""),"")</f>
        <v/>
      </c>
      <c r="Y1156" s="4" t="str">
        <f>IFERROR(__xludf.DUMMYFUNCTION("""COMPUTED_VALUE"""),"")</f>
        <v/>
      </c>
    </row>
    <row r="1157">
      <c r="A1157" s="4" t="str">
        <f>IFERROR(__xludf.DUMMYFUNCTION("""COMPUTED_VALUE"""),"1093 - Channel")</f>
        <v>1093 - Channel</v>
      </c>
      <c r="B1157" s="4" t="str">
        <f>IFERROR(__xludf.DUMMYFUNCTION("""COMPUTED_VALUE"""),"Surplus ch.")</f>
        <v>Surplus ch.</v>
      </c>
      <c r="C1157" s="4" t="str">
        <f>IFERROR(__xludf.DUMMYFUNCTION("""COMPUTED_VALUE"""),"Day 3 - 25/06")</f>
        <v>Day 3 - 25/06</v>
      </c>
      <c r="D1157" s="6">
        <f>IFERROR(__xludf.DUMMYFUNCTION("""COMPUTED_VALUE"""),0.5805439814814815)</f>
        <v>0.5805439815</v>
      </c>
      <c r="E1157" s="6">
        <f>IFERROR(__xludf.DUMMYFUNCTION("""COMPUTED_VALUE"""),0.0020833333333333333)</f>
        <v>0.002083333333</v>
      </c>
      <c r="F1157" s="6">
        <f>IFERROR(__xludf.DUMMYFUNCTION("""COMPUTED_VALUE"""),0.5826273148148148)</f>
        <v>0.5826273148</v>
      </c>
      <c r="G1157" s="4" t="str">
        <f>IFERROR(__xludf.DUMMYFUNCTION("""COMPUTED_VALUE"""),"Dan")</f>
        <v>Dan</v>
      </c>
      <c r="H1157" s="4" t="str">
        <f>IFERROR(__xludf.DUMMYFUNCTION("""COMPUTED_VALUE"""),"N/A")</f>
        <v>N/A</v>
      </c>
      <c r="I1157" s="4" t="str">
        <f>IFERROR(__xludf.DUMMYFUNCTION("""COMPUTED_VALUE"""),"Jack")</f>
        <v>Jack</v>
      </c>
      <c r="J1157" s="4" t="str">
        <f>IFERROR(__xludf.DUMMYFUNCTION("""COMPUTED_VALUE"""),"Trade")</f>
        <v>Trade</v>
      </c>
      <c r="K1157" s="4" t="str">
        <f>IFERROR(__xludf.DUMMYFUNCTION("""COMPUTED_VALUE"""),"Keynote")</f>
        <v>Keynote</v>
      </c>
      <c r="L1157" s="4" t="str">
        <f>IFERROR(__xludf.DUMMYFUNCTION("""COMPUTED_VALUE"""),"T- 9 - 20/04/2020")</f>
        <v>T- 9 - 20/04/2020</v>
      </c>
      <c r="M1157" s="4" t="str">
        <f>IFERROR(__xludf.DUMMYFUNCTION("""COMPUTED_VALUE"""),"CH3: Loyalty in our new reality")</f>
        <v>CH3: Loyalty in our new reality</v>
      </c>
      <c r="N1157" s="4" t="str">
        <f>IFERROR(__xludf.DUMMYFUNCTION("""COMPUTED_VALUE"""),"Jonathan Legge, &amp;Open")</f>
        <v>Jonathan Legge, &amp;Open</v>
      </c>
      <c r="O1157" s="4" t="str">
        <f>IFERROR(__xludf.DUMMYFUNCTION("""COMPUTED_VALUE"""),"")</f>
        <v/>
      </c>
      <c r="P1157" s="4" t="str">
        <f>IFERROR(__xludf.DUMMYFUNCTION("""COMPUTED_VALUE"""),"")</f>
        <v/>
      </c>
      <c r="Q1157" s="4" t="str">
        <f>IFERROR(__xludf.DUMMYFUNCTION("""COMPUTED_VALUE"""),"")</f>
        <v/>
      </c>
      <c r="R1157" s="4" t="str">
        <f>IFERROR(__xludf.DUMMYFUNCTION("""COMPUTED_VALUE"""),"")</f>
        <v/>
      </c>
      <c r="S1157" s="4" t="str">
        <f>IFERROR(__xludf.DUMMYFUNCTION("""COMPUTED_VALUE"""),"As we emerge into a changed landscape, as revival begins - how do brands re-activate their customers, and what does loyalty really mean post-pandemic?")</f>
        <v>As we emerge into a changed landscape, as revival begins - how do brands re-activate their customers, and what does loyalty really mean post-pandemic?</v>
      </c>
      <c r="T1157" s="4" t="str">
        <f>IFERROR(__xludf.DUMMYFUNCTION("""COMPUTED_VALUE"""),"KEYNOTE 8 - COMPLETE")</f>
        <v>KEYNOTE 8 - COMPLETE</v>
      </c>
      <c r="U1157" s="23">
        <f>IFERROR(__xludf.DUMMYFUNCTION("""COMPUTED_VALUE"""),43943.0)</f>
        <v>43943</v>
      </c>
      <c r="V1157" s="24">
        <f>IFERROR(__xludf.DUMMYFUNCTION("""COMPUTED_VALUE"""),0.625)</f>
        <v>0.625</v>
      </c>
      <c r="W1157" s="4" t="str">
        <f>IFERROR(__xludf.DUMMYFUNCTION("""COMPUTED_VALUE"""),"COMPLETE")</f>
        <v>COMPLETE</v>
      </c>
      <c r="X1157" s="4" t="str">
        <f>IFERROR(__xludf.DUMMYFUNCTION("""COMPUTED_VALUE"""),"Dan")</f>
        <v>Dan</v>
      </c>
      <c r="Y1157" s="4" t="str">
        <f>IFERROR(__xludf.DUMMYFUNCTION("""COMPUTED_VALUE"""),"4629261925016368711")</f>
        <v>4629261925016368711</v>
      </c>
    </row>
    <row r="1158">
      <c r="A1158" s="4" t="str">
        <f>IFERROR(__xludf.DUMMYFUNCTION("""COMPUTED_VALUE"""),"1094 - Channel")</f>
        <v>1094 - Channel</v>
      </c>
      <c r="B1158" s="4" t="str">
        <f>IFERROR(__xludf.DUMMYFUNCTION("""COMPUTED_VALUE"""),"Surplus ch.")</f>
        <v>Surplus ch.</v>
      </c>
      <c r="C1158" s="4" t="str">
        <f>IFERROR(__xludf.DUMMYFUNCTION("""COMPUTED_VALUE"""),"Day 3 - 25/06")</f>
        <v>Day 3 - 25/06</v>
      </c>
      <c r="D1158" s="6">
        <f>IFERROR(__xludf.DUMMYFUNCTION("""COMPUTED_VALUE"""),0.5826273148148148)</f>
        <v>0.5826273148</v>
      </c>
      <c r="E1158" s="6">
        <f>IFERROR(__xludf.DUMMYFUNCTION("""COMPUTED_VALUE"""),1.7361111111111112E-4)</f>
        <v>0.0001736111111</v>
      </c>
      <c r="F1158" s="6">
        <f>IFERROR(__xludf.DUMMYFUNCTION("""COMPUTED_VALUE"""),0.5828009259259259)</f>
        <v>0.5828009259</v>
      </c>
      <c r="G1158" s="4" t="str">
        <f>IFERROR(__xludf.DUMMYFUNCTION("""COMPUTED_VALUE"""),"Graphics")</f>
        <v>Graphics</v>
      </c>
      <c r="H1158" s="4" t="str">
        <f>IFERROR(__xludf.DUMMYFUNCTION("""COMPUTED_VALUE"""),"")</f>
        <v/>
      </c>
      <c r="I1158" s="4" t="str">
        <f>IFERROR(__xludf.DUMMYFUNCTION("""COMPUTED_VALUE"""),"")</f>
        <v/>
      </c>
      <c r="J1158" s="4" t="str">
        <f>IFERROR(__xludf.DUMMYFUNCTION("""COMPUTED_VALUE"""),"Trade")</f>
        <v>Trade</v>
      </c>
      <c r="K1158" s="4" t="str">
        <f>IFERROR(__xludf.DUMMYFUNCTION("""COMPUTED_VALUE"""),"Talk Outro")</f>
        <v>Talk Outro</v>
      </c>
      <c r="L1158" s="4" t="str">
        <f>IFERROR(__xludf.DUMMYFUNCTION("""COMPUTED_VALUE"""),"")</f>
        <v/>
      </c>
      <c r="M1158" s="4" t="str">
        <f>IFERROR(__xludf.DUMMYFUNCTION("""COMPUTED_VALUE"""),"Talk Outro")</f>
        <v>Talk Outro</v>
      </c>
      <c r="N1158" s="4" t="str">
        <f>IFERROR(__xludf.DUMMYFUNCTION("""COMPUTED_VALUE"""),"")</f>
        <v/>
      </c>
      <c r="O1158" s="4" t="str">
        <f>IFERROR(__xludf.DUMMYFUNCTION("""COMPUTED_VALUE"""),"")</f>
        <v/>
      </c>
      <c r="P1158" s="4" t="str">
        <f>IFERROR(__xludf.DUMMYFUNCTION("""COMPUTED_VALUE"""),"")</f>
        <v/>
      </c>
      <c r="Q1158" s="4" t="str">
        <f>IFERROR(__xludf.DUMMYFUNCTION("""COMPUTED_VALUE"""),"")</f>
        <v/>
      </c>
      <c r="R1158" s="4" t="str">
        <f>IFERROR(__xludf.DUMMYFUNCTION("""COMPUTED_VALUE"""),"")</f>
        <v/>
      </c>
      <c r="S1158" s="4" t="str">
        <f>IFERROR(__xludf.DUMMYFUNCTION("""COMPUTED_VALUE"""),"")</f>
        <v/>
      </c>
      <c r="T1158" s="4" t="str">
        <f>IFERROR(__xludf.DUMMYFUNCTION("""COMPUTED_VALUE"""),"")</f>
        <v/>
      </c>
      <c r="U1158" s="4" t="str">
        <f>IFERROR(__xludf.DUMMYFUNCTION("""COMPUTED_VALUE"""),"")</f>
        <v/>
      </c>
      <c r="V1158" s="4" t="str">
        <f>IFERROR(__xludf.DUMMYFUNCTION("""COMPUTED_VALUE"""),"")</f>
        <v/>
      </c>
      <c r="W1158" s="4" t="str">
        <f>IFERROR(__xludf.DUMMYFUNCTION("""COMPUTED_VALUE"""),"")</f>
        <v/>
      </c>
      <c r="X1158" s="4" t="str">
        <f>IFERROR(__xludf.DUMMYFUNCTION("""COMPUTED_VALUE"""),"")</f>
        <v/>
      </c>
      <c r="Y1158" s="4" t="str">
        <f>IFERROR(__xludf.DUMMYFUNCTION("""COMPUTED_VALUE"""),"")</f>
        <v/>
      </c>
    </row>
    <row r="1159">
      <c r="A1159" s="4" t="str">
        <f>IFERROR(__xludf.DUMMYFUNCTION("""COMPUTED_VALUE"""),"209 - Channel")</f>
        <v>209 - Channel</v>
      </c>
      <c r="B1159" s="4" t="str">
        <f>IFERROR(__xludf.DUMMYFUNCTION("""COMPUTED_VALUE"""),"Surplus ch.")</f>
        <v>Surplus ch.</v>
      </c>
      <c r="C1159" s="4" t="str">
        <f>IFERROR(__xludf.DUMMYFUNCTION("""COMPUTED_VALUE"""),"Day 2 - 24/06")</f>
        <v>Day 2 - 24/06</v>
      </c>
      <c r="D1159" s="6">
        <f>IFERROR(__xludf.DUMMYFUNCTION("""COMPUTED_VALUE"""),0.5828009259259259)</f>
        <v>0.5828009259</v>
      </c>
      <c r="E1159" s="6">
        <f>IFERROR(__xludf.DUMMYFUNCTION("""COMPUTED_VALUE"""),0.00712962962962963)</f>
        <v>0.00712962963</v>
      </c>
      <c r="F1159" s="6">
        <f>IFERROR(__xludf.DUMMYFUNCTION("""COMPUTED_VALUE"""),0.5899305555555555)</f>
        <v>0.5899305556</v>
      </c>
      <c r="G1159" s="4" t="str">
        <f>IFERROR(__xludf.DUMMYFUNCTION("""COMPUTED_VALUE"""),"Colm")</f>
        <v>Colm</v>
      </c>
      <c r="H1159" s="4" t="str">
        <f>IFERROR(__xludf.DUMMYFUNCTION("""COMPUTED_VALUE"""),"")</f>
        <v/>
      </c>
      <c r="I1159" s="4" t="str">
        <f>IFERROR(__xludf.DUMMYFUNCTION("""COMPUTED_VALUE"""),"Lucia H.")</f>
        <v>Lucia H.</v>
      </c>
      <c r="J1159" s="4" t="str">
        <f>IFERROR(__xludf.DUMMYFUNCTION("""COMPUTED_VALUE"""),"Sales")</f>
        <v>Sales</v>
      </c>
      <c r="K1159" s="4" t="str">
        <f>IFERROR(__xludf.DUMMYFUNCTION("""COMPUTED_VALUE"""),"Fireside")</f>
        <v>Fireside</v>
      </c>
      <c r="L1159" s="4" t="str">
        <f>IFERROR(__xludf.DUMMYFUNCTION("""COMPUTED_VALUE"""),"T- 8 - 27/04/2020")</f>
        <v>T- 8 - 27/04/2020</v>
      </c>
      <c r="M1159" s="4" t="str">
        <f>IFERROR(__xludf.DUMMYFUNCTION("""COMPUTED_VALUE"""),"ch 1 - To pay or not to pay: What content should be free")</f>
        <v>ch 1 - To pay or not to pay: What content should be free</v>
      </c>
      <c r="N1159" s="4" t="str">
        <f>IFERROR(__xludf.DUMMYFUNCTION("""COMPUTED_VALUE"""),"Tom Ryan, Pluto Tv")</f>
        <v>Tom Ryan, Pluto Tv</v>
      </c>
      <c r="O1159" s="4" t="str">
        <f>IFERROR(__xludf.DUMMYFUNCTION("""COMPUTED_VALUE"""),"")</f>
        <v/>
      </c>
      <c r="P1159" s="4" t="str">
        <f>IFERROR(__xludf.DUMMYFUNCTION("""COMPUTED_VALUE"""),"")</f>
        <v/>
      </c>
      <c r="Q1159" s="4" t="str">
        <f>IFERROR(__xludf.DUMMYFUNCTION("""COMPUTED_VALUE"""),"")</f>
        <v/>
      </c>
      <c r="R1159" s="4" t="str">
        <f>IFERROR(__xludf.DUMMYFUNCTION("""COMPUTED_VALUE"""),"Lisa Bragg, MediaFace")</f>
        <v>Lisa Bragg, MediaFace</v>
      </c>
      <c r="S1159" s="4" t="str">
        <f>IFERROR(__xludf.DUMMYFUNCTION("""COMPUTED_VALUE"""),"Will the future of TV be defined by the ubiquitous paid subscription service or the free advertising-based linear model? Can they co-exist, or will one format dominate? With a $340 million sale to Viacom and more than 22 million monthly users, Pluto TV is"&amp;" an OTT streaming service which is betting big on a future of being free.")</f>
        <v>Will the future of TV be defined by the ubiquitous paid subscription service or the free advertising-based linear model? Can they co-exist, or will one format dominate? With a $340 million sale to Viacom and more than 22 million monthly users, Pluto TV is an OTT streaming service which is betting big on a future of being free.</v>
      </c>
      <c r="T1159" s="4" t="str">
        <f>IFERROR(__xludf.DUMMYFUNCTION("""COMPUTED_VALUE"""),"NON-KEYNOTE 9 - COMPLETE")</f>
        <v>NON-KEYNOTE 9 - COMPLETE</v>
      </c>
      <c r="U1159" s="23">
        <f>IFERROR(__xludf.DUMMYFUNCTION("""COMPUTED_VALUE"""),43951.0)</f>
        <v>43951</v>
      </c>
      <c r="V1159" s="24">
        <f>IFERROR(__xludf.DUMMYFUNCTION("""COMPUTED_VALUE"""),0.75)</f>
        <v>0.75</v>
      </c>
      <c r="W1159" s="4" t="str">
        <f>IFERROR(__xludf.DUMMYFUNCTION("""COMPUTED_VALUE"""),"COMPLETE")</f>
        <v>COMPLETE</v>
      </c>
      <c r="X1159" s="4" t="str">
        <f>IFERROR(__xludf.DUMMYFUNCTION("""COMPUTED_VALUE"""),"Colm")</f>
        <v>Colm</v>
      </c>
      <c r="Y1159" s="4" t="str">
        <f>IFERROR(__xludf.DUMMYFUNCTION("""COMPUTED_VALUE"""),"")</f>
        <v/>
      </c>
    </row>
    <row r="1160">
      <c r="A1160" s="4" t="str">
        <f>IFERROR(__xludf.DUMMYFUNCTION("""COMPUTED_VALUE"""),"48 - Channel")</f>
        <v>48 - Channel</v>
      </c>
      <c r="B1160" s="4" t="str">
        <f>IFERROR(__xludf.DUMMYFUNCTION("""COMPUTED_VALUE"""),"Surplus ch.")</f>
        <v>Surplus ch.</v>
      </c>
      <c r="C1160" s="4" t="str">
        <f>IFERROR(__xludf.DUMMYFUNCTION("""COMPUTED_VALUE"""),"Day 1 - 23/06")</f>
        <v>Day 1 - 23/06</v>
      </c>
      <c r="D1160" s="6">
        <f>IFERROR(__xludf.DUMMYFUNCTION("""COMPUTED_VALUE"""),0.5899305555555555)</f>
        <v>0.5899305556</v>
      </c>
      <c r="E1160" s="6">
        <f>IFERROR(__xludf.DUMMYFUNCTION("""COMPUTED_VALUE"""),0.012546296296296297)</f>
        <v>0.0125462963</v>
      </c>
      <c r="F1160" s="6">
        <f>IFERROR(__xludf.DUMMYFUNCTION("""COMPUTED_VALUE"""),0.6024768518518518)</f>
        <v>0.6024768519</v>
      </c>
      <c r="G1160" s="4" t="str">
        <f>IFERROR(__xludf.DUMMYFUNCTION("""COMPUTED_VALUE"""),"Carol")</f>
        <v>Carol</v>
      </c>
      <c r="H1160" s="4" t="str">
        <f>IFERROR(__xludf.DUMMYFUNCTION("""COMPUTED_VALUE"""),"Haziq")</f>
        <v>Haziq</v>
      </c>
      <c r="I1160" s="4" t="str">
        <f>IFERROR(__xludf.DUMMYFUNCTION("""COMPUTED_VALUE"""),"Jack")</f>
        <v>Jack</v>
      </c>
      <c r="J1160" s="4" t="str">
        <f>IFERROR(__xludf.DUMMYFUNCTION("""COMPUTED_VALUE"""),"")</f>
        <v/>
      </c>
      <c r="K1160" s="4" t="str">
        <f>IFERROR(__xludf.DUMMYFUNCTION("""COMPUTED_VALUE"""),"Panel")</f>
        <v>Panel</v>
      </c>
      <c r="L1160" s="4" t="str">
        <f>IFERROR(__xludf.DUMMYFUNCTION("""COMPUTED_VALUE"""),"T- 7 - 04/05/2020")</f>
        <v>T- 7 - 04/05/2020</v>
      </c>
      <c r="M1160" s="4" t="str">
        <f>IFERROR(__xludf.DUMMYFUNCTION("""COMPUTED_VALUE"""),"ch -1 Grit city: How tough is New York's startup scene?")</f>
        <v>ch -1 Grit city: How tough is New York's startup scene?</v>
      </c>
      <c r="N1160" s="4" t="str">
        <f>IFERROR(__xludf.DUMMYFUNCTION("""COMPUTED_VALUE"""),"John Elton, Greycroft")</f>
        <v>John Elton, Greycroft</v>
      </c>
      <c r="O1160" s="4" t="str">
        <f>IFERROR(__xludf.DUMMYFUNCTION("""COMPUTED_VALUE"""),"Jenny Fielding, Techstars")</f>
        <v>Jenny Fielding, Techstars</v>
      </c>
      <c r="P1160" s="4" t="str">
        <f>IFERROR(__xludf.DUMMYFUNCTION("""COMPUTED_VALUE"""),"Sean O'Sullivan, SOSV")</f>
        <v>Sean O'Sullivan, SOSV</v>
      </c>
      <c r="Q1160" s="4" t="str">
        <f>IFERROR(__xludf.DUMMYFUNCTION("""COMPUTED_VALUE"""),"")</f>
        <v/>
      </c>
      <c r="R1160" s="4" t="str">
        <f>IFERROR(__xludf.DUMMYFUNCTION("""COMPUTED_VALUE"""),"Alex Wilhelm, TechCrunch")</f>
        <v>Alex Wilhelm, TechCrunch</v>
      </c>
      <c r="S1160" s="4" t="str">
        <f>IFERROR(__xludf.DUMMYFUNCTION("""COMPUTED_VALUE"""),"New York City is one of the areas in the US hardest hit by Covid-19. How will the tech startup and VC scenes recover as New York's resilience is put to the test? A top VC and two of the most active accelerators in New York discuss. ")</f>
        <v>New York City is one of the areas in the US hardest hit by Covid-19. How will the tech startup and VC scenes recover as New York's resilience is put to the test? A top VC and two of the most active accelerators in New York discuss. </v>
      </c>
      <c r="T1160" s="4" t="str">
        <f>IFERROR(__xludf.DUMMYFUNCTION("""COMPUTED_VALUE"""),"NON-KEYNOTE 9 - COMPLETE")</f>
        <v>NON-KEYNOTE 9 - COMPLETE</v>
      </c>
      <c r="U1160" s="23">
        <f>IFERROR(__xludf.DUMMYFUNCTION("""COMPUTED_VALUE"""),43958.0)</f>
        <v>43958</v>
      </c>
      <c r="V1160" s="4" t="str">
        <f>IFERROR(__xludf.DUMMYFUNCTION("""COMPUTED_VALUE"""),"")</f>
        <v/>
      </c>
      <c r="W1160" s="4" t="str">
        <f>IFERROR(__xludf.DUMMYFUNCTION("""COMPUTED_VALUE"""),"COMPLETE")</f>
        <v>COMPLETE</v>
      </c>
      <c r="X1160" s="4" t="str">
        <f>IFERROR(__xludf.DUMMYFUNCTION("""COMPUTED_VALUE"""),"Carol")</f>
        <v>Carol</v>
      </c>
      <c r="Y1160" s="4" t="str">
        <f>IFERROR(__xludf.DUMMYFUNCTION("""COMPUTED_VALUE"""),"")</f>
        <v/>
      </c>
    </row>
    <row r="1161">
      <c r="A1161" s="4" t="str">
        <f>IFERROR(__xludf.DUMMYFUNCTION("""COMPUTED_VALUE"""),"124 - Channel")</f>
        <v>124 - Channel</v>
      </c>
      <c r="B1161" s="4" t="str">
        <f>IFERROR(__xludf.DUMMYFUNCTION("""COMPUTED_VALUE"""),"Surplus ch.")</f>
        <v>Surplus ch.</v>
      </c>
      <c r="C1161" s="4" t="str">
        <f>IFERROR(__xludf.DUMMYFUNCTION("""COMPUTED_VALUE"""),"Day 1 - 23/06")</f>
        <v>Day 1 - 23/06</v>
      </c>
      <c r="D1161" s="6">
        <f>IFERROR(__xludf.DUMMYFUNCTION("""COMPUTED_VALUE"""),0.6024768518518518)</f>
        <v>0.6024768519</v>
      </c>
      <c r="E1161" s="6">
        <f>IFERROR(__xludf.DUMMYFUNCTION("""COMPUTED_VALUE"""),0.010416666666666666)</f>
        <v>0.01041666667</v>
      </c>
      <c r="F1161" s="6">
        <f>IFERROR(__xludf.DUMMYFUNCTION("""COMPUTED_VALUE"""),0.6128935185185185)</f>
        <v>0.6128935185</v>
      </c>
      <c r="G1161" s="4" t="str">
        <f>IFERROR(__xludf.DUMMYFUNCTION("""COMPUTED_VALUE"""),"Yvonne")</f>
        <v>Yvonne</v>
      </c>
      <c r="H1161" s="4" t="str">
        <f>IFERROR(__xludf.DUMMYFUNCTION("""COMPUTED_VALUE"""),"Stephen")</f>
        <v>Stephen</v>
      </c>
      <c r="I1161" s="4" t="str">
        <f>IFERROR(__xludf.DUMMYFUNCTION("""COMPUTED_VALUE"""),"Lucia H.")</f>
        <v>Lucia H.</v>
      </c>
      <c r="J1161" s="4" t="str">
        <f>IFERROR(__xludf.DUMMYFUNCTION("""COMPUTED_VALUE"""),"News")</f>
        <v>News</v>
      </c>
      <c r="K1161" s="4" t="str">
        <f>IFERROR(__xludf.DUMMYFUNCTION("""COMPUTED_VALUE"""),"Super Fireside")</f>
        <v>Super Fireside</v>
      </c>
      <c r="L1161" s="4" t="str">
        <f>IFERROR(__xludf.DUMMYFUNCTION("""COMPUTED_VALUE"""),"T- 5 - 18/05/2020")</f>
        <v>T- 5 - 18/05/2020</v>
      </c>
      <c r="M1161" s="4" t="str">
        <f>IFERROR(__xludf.DUMMYFUNCTION("""COMPUTED_VALUE"""),"CH - 1Reinventing news: Reporting from home ")</f>
        <v>CH - 1Reinventing news: Reporting from home </v>
      </c>
      <c r="N1161" s="4" t="str">
        <f>IFERROR(__xludf.DUMMYFUNCTION("""COMPUTED_VALUE"""),"Carlos Watson, ozy")</f>
        <v>Carlos Watson, ozy</v>
      </c>
      <c r="O1161" s="4" t="str">
        <f>IFERROR(__xludf.DUMMYFUNCTION("""COMPUTED_VALUE"""),"Connie Guglielmo, CNET")</f>
        <v>Connie Guglielmo, CNET</v>
      </c>
      <c r="P1161" s="4" t="str">
        <f>IFERROR(__xludf.DUMMYFUNCTION("""COMPUTED_VALUE"""),"")</f>
        <v/>
      </c>
      <c r="Q1161" s="4" t="str">
        <f>IFERROR(__xludf.DUMMYFUNCTION("""COMPUTED_VALUE"""),"")</f>
        <v/>
      </c>
      <c r="R1161" s="4" t="str">
        <f>IFERROR(__xludf.DUMMYFUNCTION("""COMPUTED_VALUE"""),"Justin Hendrix, NYC Media Lab")</f>
        <v>Justin Hendrix, NYC Media Lab</v>
      </c>
      <c r="S1161" s="4" t="str">
        <f>IFERROR(__xludf.DUMMYFUNCTION("""COMPUTED_VALUE"""),"News hasn't been immune to the working from home revolution brought about by this global pandemic. But it's been a tough transition, highlighting the strengths, weaknesses and resilience of the industry.")</f>
        <v>News hasn't been immune to the working from home revolution brought about by this global pandemic. But it's been a tough transition, highlighting the strengths, weaknesses and resilience of the industry.</v>
      </c>
      <c r="T1161" s="4" t="str">
        <f>IFERROR(__xludf.DUMMYFUNCTION("""COMPUTED_VALUE"""),"NON-KEYNOTE 9 - COMPLETE")</f>
        <v>NON-KEYNOTE 9 - COMPLETE</v>
      </c>
      <c r="U1161" s="23">
        <f>IFERROR(__xludf.DUMMYFUNCTION("""COMPUTED_VALUE"""),43963.0)</f>
        <v>43963</v>
      </c>
      <c r="V1161" s="4" t="str">
        <f>IFERROR(__xludf.DUMMYFUNCTION("""COMPUTED_VALUE"""),"")</f>
        <v/>
      </c>
      <c r="W1161" s="4" t="str">
        <f>IFERROR(__xludf.DUMMYFUNCTION("""COMPUTED_VALUE"""),"COMPLETE")</f>
        <v>COMPLETE</v>
      </c>
      <c r="X1161" s="4" t="str">
        <f>IFERROR(__xludf.DUMMYFUNCTION("""COMPUTED_VALUE"""),"Carol")</f>
        <v>Carol</v>
      </c>
      <c r="Y1161" s="4" t="str">
        <f>IFERROR(__xludf.DUMMYFUNCTION("""COMPUTED_VALUE"""),"")</f>
        <v/>
      </c>
    </row>
    <row r="1162">
      <c r="A1162" s="4" t="str">
        <f>IFERROR(__xludf.DUMMYFUNCTION("""COMPUTED_VALUE"""),"420 - Channel")</f>
        <v>420 - Channel</v>
      </c>
      <c r="B1162" s="4" t="str">
        <f>IFERROR(__xludf.DUMMYFUNCTION("""COMPUTED_VALUE"""),"Surplus ch.")</f>
        <v>Surplus ch.</v>
      </c>
      <c r="C1162" s="4" t="str">
        <f>IFERROR(__xludf.DUMMYFUNCTION("""COMPUTED_VALUE"""),"Day 1 - 23/06")</f>
        <v>Day 1 - 23/06</v>
      </c>
      <c r="D1162" s="6">
        <f>IFERROR(__xludf.DUMMYFUNCTION("""COMPUTED_VALUE"""),0.6128935185185185)</f>
        <v>0.6128935185</v>
      </c>
      <c r="E1162" s="6">
        <f>IFERROR(__xludf.DUMMYFUNCTION("""COMPUTED_VALUE"""),0.005555555555555556)</f>
        <v>0.005555555556</v>
      </c>
      <c r="F1162" s="6">
        <f>IFERROR(__xludf.DUMMYFUNCTION("""COMPUTED_VALUE"""),0.618449074074074)</f>
        <v>0.6184490741</v>
      </c>
      <c r="G1162" s="4" t="str">
        <f>IFERROR(__xludf.DUMMYFUNCTION("""COMPUTED_VALUE"""),"Colm")</f>
        <v>Colm</v>
      </c>
      <c r="H1162" s="4" t="str">
        <f>IFERROR(__xludf.DUMMYFUNCTION("""COMPUTED_VALUE"""),"N/A")</f>
        <v>N/A</v>
      </c>
      <c r="I1162" s="4" t="str">
        <f>IFERROR(__xludf.DUMMYFUNCTION("""COMPUTED_VALUE"""),"Lucia H.")</f>
        <v>Lucia H.</v>
      </c>
      <c r="J1162" s="4" t="str">
        <f>IFERROR(__xludf.DUMMYFUNCTION("""COMPUTED_VALUE"""),"Media")</f>
        <v>Media</v>
      </c>
      <c r="K1162" s="4" t="str">
        <f>IFERROR(__xludf.DUMMYFUNCTION("""COMPUTED_VALUE"""),"Keynote")</f>
        <v>Keynote</v>
      </c>
      <c r="L1162" s="4" t="str">
        <f>IFERROR(__xludf.DUMMYFUNCTION("""COMPUTED_VALUE"""),"T- 5 - 18/05/2020")</f>
        <v>T- 5 - 18/05/2020</v>
      </c>
      <c r="M1162" s="4" t="str">
        <f>IFERROR(__xludf.DUMMYFUNCTION("""COMPUTED_VALUE"""),"ch 2 - Sustaining a viral hit")</f>
        <v>ch 2 - Sustaining a viral hit</v>
      </c>
      <c r="N1162" s="4" t="str">
        <f>IFERROR(__xludf.DUMMYFUNCTION("""COMPUTED_VALUE"""),"Ryan Lee, Pinkfong")</f>
        <v>Ryan Lee, Pinkfong</v>
      </c>
      <c r="O1162" s="4" t="str">
        <f>IFERROR(__xludf.DUMMYFUNCTION("""COMPUTED_VALUE"""),"")</f>
        <v/>
      </c>
      <c r="P1162" s="4" t="str">
        <f>IFERROR(__xludf.DUMMYFUNCTION("""COMPUTED_VALUE"""),"")</f>
        <v/>
      </c>
      <c r="Q1162" s="4" t="str">
        <f>IFERROR(__xludf.DUMMYFUNCTION("""COMPUTED_VALUE"""),"")</f>
        <v/>
      </c>
      <c r="R1162" s="4" t="str">
        <f>IFERROR(__xludf.DUMMYFUNCTION("""COMPUTED_VALUE"""),"")</f>
        <v/>
      </c>
      <c r="S1162" s="4" t="str">
        <f>IFERROR(__xludf.DUMMYFUNCTION("""COMPUTED_VALUE"""),"Baby Shark has more than 5 billion plays across all streaming platforms, making it the most-viewed educational video of all time. Find out from the creators how to make a viral hit and capitalise on it.")</f>
        <v>Baby Shark has more than 5 billion plays across all streaming platforms, making it the most-viewed educational video of all time. Find out from the creators how to make a viral hit and capitalise on it.</v>
      </c>
      <c r="T1162" s="4" t="str">
        <f>IFERROR(__xludf.DUMMYFUNCTION("""COMPUTED_VALUE"""),"KEYNOTE 8 - COMPLETE")</f>
        <v>KEYNOTE 8 - COMPLETE</v>
      </c>
      <c r="U1162" s="23">
        <f>IFERROR(__xludf.DUMMYFUNCTION("""COMPUTED_VALUE"""),43969.0)</f>
        <v>43969</v>
      </c>
      <c r="V1162" s="4" t="str">
        <f>IFERROR(__xludf.DUMMYFUNCTION("""COMPUTED_VALUE"""),"")</f>
        <v/>
      </c>
      <c r="W1162" s="4" t="str">
        <f>IFERROR(__xludf.DUMMYFUNCTION("""COMPUTED_VALUE"""),"COMPLETE")</f>
        <v>COMPLETE</v>
      </c>
      <c r="X1162" s="4" t="str">
        <f>IFERROR(__xludf.DUMMYFUNCTION("""COMPUTED_VALUE"""),"")</f>
        <v/>
      </c>
      <c r="Y1162" s="4" t="str">
        <f>IFERROR(__xludf.DUMMYFUNCTION("""COMPUTED_VALUE"""),"4647410034378559310")</f>
        <v>4647410034378559310</v>
      </c>
    </row>
    <row r="1163">
      <c r="A1163" s="4" t="str">
        <f>IFERROR(__xludf.DUMMYFUNCTION("""COMPUTED_VALUE"""),"103 - Channel")</f>
        <v>103 - Channel</v>
      </c>
      <c r="B1163" s="4" t="str">
        <f>IFERROR(__xludf.DUMMYFUNCTION("""COMPUTED_VALUE"""),"Surplus ch.")</f>
        <v>Surplus ch.</v>
      </c>
      <c r="C1163" s="4" t="str">
        <f>IFERROR(__xludf.DUMMYFUNCTION("""COMPUTED_VALUE"""),"Day 1 - 23/06")</f>
        <v>Day 1 - 23/06</v>
      </c>
      <c r="D1163" s="6">
        <f>IFERROR(__xludf.DUMMYFUNCTION("""COMPUTED_VALUE"""),0.618449074074074)</f>
        <v>0.6184490741</v>
      </c>
      <c r="E1163" s="6">
        <f>IFERROR(__xludf.DUMMYFUNCTION("""COMPUTED_VALUE"""),3.4722222222222224E-4)</f>
        <v>0.0003472222222</v>
      </c>
      <c r="F1163" s="6">
        <f>IFERROR(__xludf.DUMMYFUNCTION("""COMPUTED_VALUE"""),0.6187962962962963)</f>
        <v>0.6187962963</v>
      </c>
      <c r="G1163" s="4" t="str">
        <f>IFERROR(__xludf.DUMMYFUNCTION("""COMPUTED_VALUE"""),"")</f>
        <v/>
      </c>
      <c r="H1163" s="4" t="str">
        <f>IFERROR(__xludf.DUMMYFUNCTION("""COMPUTED_VALUE"""),"")</f>
        <v/>
      </c>
      <c r="I1163" s="4" t="str">
        <f>IFERROR(__xludf.DUMMYFUNCTION("""COMPUTED_VALUE"""),"")</f>
        <v/>
      </c>
      <c r="J1163" s="4" t="str">
        <f>IFERROR(__xludf.DUMMYFUNCTION("""COMPUTED_VALUE"""),"")</f>
        <v/>
      </c>
      <c r="K1163" s="4" t="str">
        <f>IFERROR(__xludf.DUMMYFUNCTION("""COMPUTED_VALUE"""),"Talk Intro")</f>
        <v>Talk Intro</v>
      </c>
      <c r="L1163" s="4" t="str">
        <f>IFERROR(__xludf.DUMMYFUNCTION("""COMPUTED_VALUE"""),"")</f>
        <v/>
      </c>
      <c r="M1163" s="4" t="str">
        <f>IFERROR(__xludf.DUMMYFUNCTION("""COMPUTED_VALUE"""),"Talk Intro")</f>
        <v>Talk Intro</v>
      </c>
      <c r="N1163" s="4" t="str">
        <f>IFERROR(__xludf.DUMMYFUNCTION("""COMPUTED_VALUE"""),"Casey Lau, Web Summit")</f>
        <v>Casey Lau, Web Summit</v>
      </c>
      <c r="O1163" s="4" t="str">
        <f>IFERROR(__xludf.DUMMYFUNCTION("""COMPUTED_VALUE"""),"")</f>
        <v/>
      </c>
      <c r="P1163" s="4" t="str">
        <f>IFERROR(__xludf.DUMMYFUNCTION("""COMPUTED_VALUE"""),"")</f>
        <v/>
      </c>
      <c r="Q1163" s="4" t="str">
        <f>IFERROR(__xludf.DUMMYFUNCTION("""COMPUTED_VALUE"""),"")</f>
        <v/>
      </c>
      <c r="R1163" s="4" t="str">
        <f>IFERROR(__xludf.DUMMYFUNCTION("""COMPUTED_VALUE"""),"")</f>
        <v/>
      </c>
      <c r="S1163" s="4" t="str">
        <f>IFERROR(__xludf.DUMMYFUNCTION("""COMPUTED_VALUE"""),"")</f>
        <v/>
      </c>
      <c r="T1163" s="4" t="str">
        <f>IFERROR(__xludf.DUMMYFUNCTION("""COMPUTED_VALUE"""),"")</f>
        <v/>
      </c>
      <c r="U1163" s="4" t="str">
        <f>IFERROR(__xludf.DUMMYFUNCTION("""COMPUTED_VALUE"""),"")</f>
        <v/>
      </c>
      <c r="V1163" s="4" t="str">
        <f>IFERROR(__xludf.DUMMYFUNCTION("""COMPUTED_VALUE"""),"")</f>
        <v/>
      </c>
      <c r="W1163" s="4" t="str">
        <f>IFERROR(__xludf.DUMMYFUNCTION("""COMPUTED_VALUE"""),"")</f>
        <v/>
      </c>
      <c r="X1163" s="4" t="str">
        <f>IFERROR(__xludf.DUMMYFUNCTION("""COMPUTED_VALUE"""),"")</f>
        <v/>
      </c>
      <c r="Y1163" s="4" t="str">
        <f>IFERROR(__xludf.DUMMYFUNCTION("""COMPUTED_VALUE"""),"")</f>
        <v/>
      </c>
    </row>
    <row r="1164">
      <c r="A1164" s="4" t="str">
        <f>IFERROR(__xludf.DUMMYFUNCTION("""COMPUTED_VALUE"""),"301 - Channel")</f>
        <v>301 - Channel</v>
      </c>
      <c r="B1164" s="4" t="str">
        <f>IFERROR(__xludf.DUMMYFUNCTION("""COMPUTED_VALUE"""),"Surplus ch.")</f>
        <v>Surplus ch.</v>
      </c>
      <c r="C1164" s="4" t="str">
        <f>IFERROR(__xludf.DUMMYFUNCTION("""COMPUTED_VALUE"""),"Day 1 - 23/06")</f>
        <v>Day 1 - 23/06</v>
      </c>
      <c r="D1164" s="6">
        <f>IFERROR(__xludf.DUMMYFUNCTION("""COMPUTED_VALUE"""),0.618449074074074)</f>
        <v>0.6184490741</v>
      </c>
      <c r="E1164" s="6">
        <f>IFERROR(__xludf.DUMMYFUNCTION("""COMPUTED_VALUE"""),0.008333333333333333)</f>
        <v>0.008333333333</v>
      </c>
      <c r="F1164" s="6">
        <f>IFERROR(__xludf.DUMMYFUNCTION("""COMPUTED_VALUE"""),0.6267824074074073)</f>
        <v>0.6267824074</v>
      </c>
      <c r="G1164" s="4" t="str">
        <f>IFERROR(__xludf.DUMMYFUNCTION("""COMPUTED_VALUE"""),"Darragh")</f>
        <v>Darragh</v>
      </c>
      <c r="H1164" s="4" t="str">
        <f>IFERROR(__xludf.DUMMYFUNCTION("""COMPUTED_VALUE"""),"Stephen")</f>
        <v>Stephen</v>
      </c>
      <c r="I1164" s="4" t="str">
        <f>IFERROR(__xludf.DUMMYFUNCTION("""COMPUTED_VALUE"""),"Lynn")</f>
        <v>Lynn</v>
      </c>
      <c r="J1164" s="4" t="str">
        <f>IFERROR(__xludf.DUMMYFUNCTION("""COMPUTED_VALUE"""),"")</f>
        <v/>
      </c>
      <c r="K1164" s="4" t="str">
        <f>IFERROR(__xludf.DUMMYFUNCTION("""COMPUTED_VALUE"""),"Fireside")</f>
        <v>Fireside</v>
      </c>
      <c r="L1164" s="4" t="str">
        <f>IFERROR(__xludf.DUMMYFUNCTION("""COMPUTED_VALUE"""),"T- 6 - 11/05/2020")</f>
        <v>T- 6 - 11/05/2020</v>
      </c>
      <c r="M1164" s="4" t="str">
        <f>IFERROR(__xludf.DUMMYFUNCTION("""COMPUTED_VALUE"""),"CH 1 - Investing through the chaos")</f>
        <v>CH 1 - Investing through the chaos</v>
      </c>
      <c r="N1164" s="4" t="str">
        <f>IFERROR(__xludf.DUMMYFUNCTION("""COMPUTED_VALUE"""),"Dmitry Grishin, Mail.ru")</f>
        <v>Dmitry Grishin, Mail.ru</v>
      </c>
      <c r="O1164" s="4" t="str">
        <f>IFERROR(__xludf.DUMMYFUNCTION("""COMPUTED_VALUE"""),"")</f>
        <v/>
      </c>
      <c r="P1164" s="4" t="str">
        <f>IFERROR(__xludf.DUMMYFUNCTION("""COMPUTED_VALUE"""),"")</f>
        <v/>
      </c>
      <c r="Q1164" s="4" t="str">
        <f>IFERROR(__xludf.DUMMYFUNCTION("""COMPUTED_VALUE"""),"")</f>
        <v/>
      </c>
      <c r="R1164" s="4" t="str">
        <f>IFERROR(__xludf.DUMMYFUNCTION("""COMPUTED_VALUE"""),"Jeremy Kaplan, Digital Trends")</f>
        <v>Jeremy Kaplan, Digital Trends</v>
      </c>
      <c r="S1164" s="4" t="str">
        <f>IFERROR(__xludf.DUMMYFUNCTION("""COMPUTED_VALUE"""),"With supply chains broken and consumer behaviours changing globally, some investment firms are rearranging their structures to stay ahead of the game – and the global crisis. In this fireside chat, Grishin Robotics founder Dmitry Grishin will discuss his "&amp;"plan for investing through the global epidemic.")</f>
        <v>With supply chains broken and consumer behaviours changing globally, some investment firms are rearranging their structures to stay ahead of the game – and the global crisis. In this fireside chat, Grishin Robotics founder Dmitry Grishin will discuss his plan for investing through the global epidemic.</v>
      </c>
      <c r="T1164" s="4" t="str">
        <f>IFERROR(__xludf.DUMMYFUNCTION("""COMPUTED_VALUE"""),"NON-KEYNOTE 9 - COMPLETE")</f>
        <v>NON-KEYNOTE 9 - COMPLETE</v>
      </c>
      <c r="U1164" s="23">
        <f>IFERROR(__xludf.DUMMYFUNCTION("""COMPUTED_VALUE"""),43965.0)</f>
        <v>43965</v>
      </c>
      <c r="V1164" s="24">
        <f>IFERROR(__xludf.DUMMYFUNCTION("""COMPUTED_VALUE"""),0.7083333333333334)</f>
        <v>0.7083333333</v>
      </c>
      <c r="W1164" s="4" t="str">
        <f>IFERROR(__xludf.DUMMYFUNCTION("""COMPUTED_VALUE"""),"COMPLETE")</f>
        <v>COMPLETE</v>
      </c>
      <c r="X1164" s="4" t="str">
        <f>IFERROR(__xludf.DUMMYFUNCTION("""COMPUTED_VALUE"""),"Gavin")</f>
        <v>Gavin</v>
      </c>
      <c r="Y1164" s="4" t="str">
        <f>IFERROR(__xludf.DUMMYFUNCTION("""COMPUTED_VALUE"""),"")</f>
        <v/>
      </c>
    </row>
    <row r="1165">
      <c r="A1165" s="4" t="str">
        <f>IFERROR(__xludf.DUMMYFUNCTION("""COMPUTED_VALUE"""),"105 - Channel")</f>
        <v>105 - Channel</v>
      </c>
      <c r="B1165" s="4" t="str">
        <f>IFERROR(__xludf.DUMMYFUNCTION("""COMPUTED_VALUE"""),"Surplus ch.")</f>
        <v>Surplus ch.</v>
      </c>
      <c r="C1165" s="4" t="str">
        <f>IFERROR(__xludf.DUMMYFUNCTION("""COMPUTED_VALUE"""),"Day 1 - 23/06")</f>
        <v>Day 1 - 23/06</v>
      </c>
      <c r="D1165" s="6">
        <f>IFERROR(__xludf.DUMMYFUNCTION("""COMPUTED_VALUE"""),0.6267824074074073)</f>
        <v>0.6267824074</v>
      </c>
      <c r="E1165" s="6">
        <f>IFERROR(__xludf.DUMMYFUNCTION("""COMPUTED_VALUE"""),1.7361111111111112E-4)</f>
        <v>0.0001736111111</v>
      </c>
      <c r="F1165" s="6">
        <f>IFERROR(__xludf.DUMMYFUNCTION("""COMPUTED_VALUE"""),0.6269560185185185)</f>
        <v>0.6269560185</v>
      </c>
      <c r="G1165" s="4" t="str">
        <f>IFERROR(__xludf.DUMMYFUNCTION("""COMPUTED_VALUE"""),"")</f>
        <v/>
      </c>
      <c r="H1165" s="4" t="str">
        <f>IFERROR(__xludf.DUMMYFUNCTION("""COMPUTED_VALUE"""),"")</f>
        <v/>
      </c>
      <c r="I1165" s="4" t="str">
        <f>IFERROR(__xludf.DUMMYFUNCTION("""COMPUTED_VALUE"""),"")</f>
        <v/>
      </c>
      <c r="J1165" s="4" t="str">
        <f>IFERROR(__xludf.DUMMYFUNCTION("""COMPUTED_VALUE"""),"")</f>
        <v/>
      </c>
      <c r="K1165" s="4" t="str">
        <f>IFERROR(__xludf.DUMMYFUNCTION("""COMPUTED_VALUE"""),"Talk Outro")</f>
        <v>Talk Outro</v>
      </c>
      <c r="L1165" s="4" t="str">
        <f>IFERROR(__xludf.DUMMYFUNCTION("""COMPUTED_VALUE"""),"")</f>
        <v/>
      </c>
      <c r="M1165" s="4" t="str">
        <f>IFERROR(__xludf.DUMMYFUNCTION("""COMPUTED_VALUE"""),"Talk outro ")</f>
        <v>Talk outro </v>
      </c>
      <c r="N1165" s="4" t="str">
        <f>IFERROR(__xludf.DUMMYFUNCTION("""COMPUTED_VALUE"""),"Yvonne Redmond, Web Summit")</f>
        <v>Yvonne Redmond, Web Summit</v>
      </c>
      <c r="O1165" s="4" t="str">
        <f>IFERROR(__xludf.DUMMYFUNCTION("""COMPUTED_VALUE"""),"")</f>
        <v/>
      </c>
      <c r="P1165" s="4" t="str">
        <f>IFERROR(__xludf.DUMMYFUNCTION("""COMPUTED_VALUE"""),"")</f>
        <v/>
      </c>
      <c r="Q1165" s="4" t="str">
        <f>IFERROR(__xludf.DUMMYFUNCTION("""COMPUTED_VALUE"""),"")</f>
        <v/>
      </c>
      <c r="R1165" s="4" t="str">
        <f>IFERROR(__xludf.DUMMYFUNCTION("""COMPUTED_VALUE"""),"")</f>
        <v/>
      </c>
      <c r="S1165" s="4" t="str">
        <f>IFERROR(__xludf.DUMMYFUNCTION("""COMPUTED_VALUE"""),"")</f>
        <v/>
      </c>
      <c r="T1165" s="4" t="str">
        <f>IFERROR(__xludf.DUMMYFUNCTION("""COMPUTED_VALUE"""),"")</f>
        <v/>
      </c>
      <c r="U1165" s="4" t="str">
        <f>IFERROR(__xludf.DUMMYFUNCTION("""COMPUTED_VALUE"""),"")</f>
        <v/>
      </c>
      <c r="V1165" s="4" t="str">
        <f>IFERROR(__xludf.DUMMYFUNCTION("""COMPUTED_VALUE"""),"")</f>
        <v/>
      </c>
      <c r="W1165" s="4" t="str">
        <f>IFERROR(__xludf.DUMMYFUNCTION("""COMPUTED_VALUE"""),"")</f>
        <v/>
      </c>
      <c r="X1165" s="4" t="str">
        <f>IFERROR(__xludf.DUMMYFUNCTION("""COMPUTED_VALUE"""),"")</f>
        <v/>
      </c>
      <c r="Y1165" s="4" t="str">
        <f>IFERROR(__xludf.DUMMYFUNCTION("""COMPUTED_VALUE"""),"")</f>
        <v/>
      </c>
    </row>
    <row r="1166">
      <c r="A1166" s="4" t="str">
        <f>IFERROR(__xludf.DUMMYFUNCTION("""COMPUTED_VALUE"""),"271 - Channel")</f>
        <v>271 - Channel</v>
      </c>
      <c r="B1166" s="4" t="str">
        <f>IFERROR(__xludf.DUMMYFUNCTION("""COMPUTED_VALUE"""),"Surplus ch.")</f>
        <v>Surplus ch.</v>
      </c>
      <c r="C1166" s="4" t="str">
        <f>IFERROR(__xludf.DUMMYFUNCTION("""COMPUTED_VALUE"""),"Day 3 - 25/06")</f>
        <v>Day 3 - 25/06</v>
      </c>
      <c r="D1166" s="6">
        <f>IFERROR(__xludf.DUMMYFUNCTION("""COMPUTED_VALUE"""),0.6269560185185185)</f>
        <v>0.6269560185</v>
      </c>
      <c r="E1166" s="6">
        <f>IFERROR(__xludf.DUMMYFUNCTION("""COMPUTED_VALUE"""),3.4722222222222224E-4)</f>
        <v>0.0003472222222</v>
      </c>
      <c r="F1166" s="6">
        <f>IFERROR(__xludf.DUMMYFUNCTION("""COMPUTED_VALUE"""),0.6273032407407407)</f>
        <v>0.6273032407</v>
      </c>
      <c r="G1166" s="4" t="str">
        <f>IFERROR(__xludf.DUMMYFUNCTION("""COMPUTED_VALUE"""),"")</f>
        <v/>
      </c>
      <c r="H1166" s="4" t="str">
        <f>IFERROR(__xludf.DUMMYFUNCTION("""COMPUTED_VALUE"""),"N/A")</f>
        <v>N/A</v>
      </c>
      <c r="I1166" s="4" t="str">
        <f>IFERROR(__xludf.DUMMYFUNCTION("""COMPUTED_VALUE"""),"N/A")</f>
        <v>N/A</v>
      </c>
      <c r="J1166" s="4" t="str">
        <f>IFERROR(__xludf.DUMMYFUNCTION("""COMPUTED_VALUE"""),"N/A")</f>
        <v>N/A</v>
      </c>
      <c r="K1166" s="4" t="str">
        <f>IFERROR(__xludf.DUMMYFUNCTION("""COMPUTED_VALUE"""),"Talk Intro")</f>
        <v>Talk Intro</v>
      </c>
      <c r="L1166" s="4" t="str">
        <f>IFERROR(__xludf.DUMMYFUNCTION("""COMPUTED_VALUE"""),"")</f>
        <v/>
      </c>
      <c r="M1166" s="4" t="str">
        <f>IFERROR(__xludf.DUMMYFUNCTION("""COMPUTED_VALUE"""),"Talk Intro")</f>
        <v>Talk Intro</v>
      </c>
      <c r="N1166" s="4" t="str">
        <f>IFERROR(__xludf.DUMMYFUNCTION("""COMPUTED_VALUE"""),"Casey Lau, Web Summit")</f>
        <v>Casey Lau, Web Summit</v>
      </c>
      <c r="O1166" s="4" t="str">
        <f>IFERROR(__xludf.DUMMYFUNCTION("""COMPUTED_VALUE"""),"")</f>
        <v/>
      </c>
      <c r="P1166" s="4" t="str">
        <f>IFERROR(__xludf.DUMMYFUNCTION("""COMPUTED_VALUE"""),"")</f>
        <v/>
      </c>
      <c r="Q1166" s="4" t="str">
        <f>IFERROR(__xludf.DUMMYFUNCTION("""COMPUTED_VALUE"""),"")</f>
        <v/>
      </c>
      <c r="R1166" s="4" t="str">
        <f>IFERROR(__xludf.DUMMYFUNCTION("""COMPUTED_VALUE"""),"")</f>
        <v/>
      </c>
      <c r="S1166" s="4" t="str">
        <f>IFERROR(__xludf.DUMMYFUNCTION("""COMPUTED_VALUE"""),"")</f>
        <v/>
      </c>
      <c r="T1166" s="4" t="str">
        <f>IFERROR(__xludf.DUMMYFUNCTION("""COMPUTED_VALUE"""),"")</f>
        <v/>
      </c>
      <c r="U1166" s="4" t="str">
        <f>IFERROR(__xludf.DUMMYFUNCTION("""COMPUTED_VALUE"""),"")</f>
        <v/>
      </c>
      <c r="V1166" s="4" t="str">
        <f>IFERROR(__xludf.DUMMYFUNCTION("""COMPUTED_VALUE"""),"")</f>
        <v/>
      </c>
      <c r="W1166" s="4" t="str">
        <f>IFERROR(__xludf.DUMMYFUNCTION("""COMPUTED_VALUE"""),"")</f>
        <v/>
      </c>
      <c r="X1166" s="4" t="str">
        <f>IFERROR(__xludf.DUMMYFUNCTION("""COMPUTED_VALUE"""),"")</f>
        <v/>
      </c>
      <c r="Y1166" s="4" t="str">
        <f>IFERROR(__xludf.DUMMYFUNCTION("""COMPUTED_VALUE"""),"")</f>
        <v/>
      </c>
    </row>
    <row r="1167">
      <c r="A1167" s="4" t="str">
        <f>IFERROR(__xludf.DUMMYFUNCTION("""COMPUTED_VALUE"""),"272 - Channel")</f>
        <v>272 - Channel</v>
      </c>
      <c r="B1167" s="4" t="str">
        <f>IFERROR(__xludf.DUMMYFUNCTION("""COMPUTED_VALUE"""),"Surplus ch.")</f>
        <v>Surplus ch.</v>
      </c>
      <c r="C1167" s="4" t="str">
        <f>IFERROR(__xludf.DUMMYFUNCTION("""COMPUTED_VALUE"""),"Day 3 - 25/06")</f>
        <v>Day 3 - 25/06</v>
      </c>
      <c r="D1167" s="6">
        <f>IFERROR(__xludf.DUMMYFUNCTION("""COMPUTED_VALUE"""),0.6273032407407407)</f>
        <v>0.6273032407</v>
      </c>
      <c r="E1167" s="6">
        <f>IFERROR(__xludf.DUMMYFUNCTION("""COMPUTED_VALUE"""),0.01423611111111111)</f>
        <v>0.01423611111</v>
      </c>
      <c r="F1167" s="6">
        <f>IFERROR(__xludf.DUMMYFUNCTION("""COMPUTED_VALUE"""),0.6415393518518518)</f>
        <v>0.6415393519</v>
      </c>
      <c r="G1167" s="4" t="str">
        <f>IFERROR(__xludf.DUMMYFUNCTION("""COMPUTED_VALUE"""),"Ahmed")</f>
        <v>Ahmed</v>
      </c>
      <c r="H1167" s="4" t="str">
        <f>IFERROR(__xludf.DUMMYFUNCTION("""COMPUTED_VALUE"""),"Eoghan")</f>
        <v>Eoghan</v>
      </c>
      <c r="I1167" s="4" t="str">
        <f>IFERROR(__xludf.DUMMYFUNCTION("""COMPUTED_VALUE"""),"Francisca")</f>
        <v>Francisca</v>
      </c>
      <c r="J1167" s="4" t="str">
        <f>IFERROR(__xludf.DUMMYFUNCTION("""COMPUTED_VALUE"""),"Smart Cities")</f>
        <v>Smart Cities</v>
      </c>
      <c r="K1167" s="4" t="str">
        <f>IFERROR(__xludf.DUMMYFUNCTION("""COMPUTED_VALUE"""),"Panel")</f>
        <v>Panel</v>
      </c>
      <c r="L1167" s="4" t="str">
        <f>IFERROR(__xludf.DUMMYFUNCTION("""COMPUTED_VALUE"""),"T- 8 - 27/04/2020")</f>
        <v>T- 8 - 27/04/2020</v>
      </c>
      <c r="M1167" s="4" t="str">
        <f>IFERROR(__xludf.DUMMYFUNCTION("""COMPUTED_VALUE"""),"CH 1 - Are circular cities safer?")</f>
        <v>CH 1 - Are circular cities safer?</v>
      </c>
      <c r="N1167" s="4" t="str">
        <f>IFERROR(__xludf.DUMMYFUNCTION("""COMPUTED_VALUE"""),"Greg Morrisett, Cornell Tech")</f>
        <v>Greg Morrisett, Cornell Tech</v>
      </c>
      <c r="O1167" s="4" t="str">
        <f>IFERROR(__xludf.DUMMYFUNCTION("""COMPUTED_VALUE"""),"Stefaan Verhulst, The GovLab")</f>
        <v>Stefaan Verhulst, The GovLab</v>
      </c>
      <c r="P1167" s="4" t="str">
        <f>IFERROR(__xludf.DUMMYFUNCTION("""COMPUTED_VALUE"""),"Tara Pham, Numina")</f>
        <v>Tara Pham, Numina</v>
      </c>
      <c r="Q1167" s="4" t="str">
        <f>IFERROR(__xludf.DUMMYFUNCTION("""COMPUTED_VALUE"""),"Shaun Stewart, New Lab")</f>
        <v>Shaun Stewart, New Lab</v>
      </c>
      <c r="R1167" s="4" t="str">
        <f>IFERROR(__xludf.DUMMYFUNCTION("""COMPUTED_VALUE"""),"Daniel Oberhaus, Wired")</f>
        <v>Daniel Oberhaus, Wired</v>
      </c>
      <c r="S1167" s="4" t="str">
        <f>IFERROR(__xludf.DUMMYFUNCTION("""COMPUTED_VALUE"""),"The reality is that, through technology, we can transition to a fully circular economy; a closed-loop system in which pollution is eliminated and resources are kept in circulation through reuse, regeneration and recycling. Academic researchers, policy exp"&amp;"erts and city stakeholders come together in this session to address the increasingly urgent and complex challenges facing cities. 
")</f>
        <v>The reality is that, through technology, we can transition to a fully circular economy; a closed-loop system in which pollution is eliminated and resources are kept in circulation through reuse, regeneration and recycling. Academic researchers, policy experts and city stakeholders come together in this session to address the increasingly urgent and complex challenges facing cities. 
</v>
      </c>
      <c r="T1167" s="4" t="str">
        <f>IFERROR(__xludf.DUMMYFUNCTION("""COMPUTED_VALUE"""),"NON-KEYNOTE 9 - COMPLETE")</f>
        <v>NON-KEYNOTE 9 - COMPLETE</v>
      </c>
      <c r="U1167" s="23">
        <f>IFERROR(__xludf.DUMMYFUNCTION("""COMPUTED_VALUE"""),43952.0)</f>
        <v>43952</v>
      </c>
      <c r="V1167" s="24">
        <f>IFERROR(__xludf.DUMMYFUNCTION("""COMPUTED_VALUE"""),0.875)</f>
        <v>0.875</v>
      </c>
      <c r="W1167" s="4" t="str">
        <f>IFERROR(__xludf.DUMMYFUNCTION("""COMPUTED_VALUE"""),"COMPLETE")</f>
        <v>COMPLETE</v>
      </c>
      <c r="X1167" s="4" t="str">
        <f>IFERROR(__xludf.DUMMYFUNCTION("""COMPUTED_VALUE"""),"Ahmed")</f>
        <v>Ahmed</v>
      </c>
      <c r="Y1167" s="4" t="str">
        <f>IFERROR(__xludf.DUMMYFUNCTION("""COMPUTED_VALUE"""),"")</f>
        <v/>
      </c>
    </row>
    <row r="1168">
      <c r="A1168" s="4" t="str">
        <f>IFERROR(__xludf.DUMMYFUNCTION("""COMPUTED_VALUE"""),"273 - Channel")</f>
        <v>273 - Channel</v>
      </c>
      <c r="B1168" s="4" t="str">
        <f>IFERROR(__xludf.DUMMYFUNCTION("""COMPUTED_VALUE"""),"Surplus ch.")</f>
        <v>Surplus ch.</v>
      </c>
      <c r="C1168" s="4" t="str">
        <f>IFERROR(__xludf.DUMMYFUNCTION("""COMPUTED_VALUE"""),"Day 3 - 25/06")</f>
        <v>Day 3 - 25/06</v>
      </c>
      <c r="D1168" s="6">
        <f>IFERROR(__xludf.DUMMYFUNCTION("""COMPUTED_VALUE"""),0.6415393518518518)</f>
        <v>0.6415393519</v>
      </c>
      <c r="E1168" s="6">
        <f>IFERROR(__xludf.DUMMYFUNCTION("""COMPUTED_VALUE"""),1.7361111111111112E-4)</f>
        <v>0.0001736111111</v>
      </c>
      <c r="F1168" s="6">
        <f>IFERROR(__xludf.DUMMYFUNCTION("""COMPUTED_VALUE"""),0.641712962962963)</f>
        <v>0.641712963</v>
      </c>
      <c r="G1168" s="4" t="str">
        <f>IFERROR(__xludf.DUMMYFUNCTION("""COMPUTED_VALUE"""),"")</f>
        <v/>
      </c>
      <c r="H1168" s="4" t="str">
        <f>IFERROR(__xludf.DUMMYFUNCTION("""COMPUTED_VALUE"""),"N/A")</f>
        <v>N/A</v>
      </c>
      <c r="I1168" s="4" t="str">
        <f>IFERROR(__xludf.DUMMYFUNCTION("""COMPUTED_VALUE"""),"N/A")</f>
        <v>N/A</v>
      </c>
      <c r="J1168" s="4" t="str">
        <f>IFERROR(__xludf.DUMMYFUNCTION("""COMPUTED_VALUE"""),"N/A")</f>
        <v>N/A</v>
      </c>
      <c r="K1168" s="4" t="str">
        <f>IFERROR(__xludf.DUMMYFUNCTION("""COMPUTED_VALUE"""),"Talk Outro")</f>
        <v>Talk Outro</v>
      </c>
      <c r="L1168" s="4" t="str">
        <f>IFERROR(__xludf.DUMMYFUNCTION("""COMPUTED_VALUE"""),"")</f>
        <v/>
      </c>
      <c r="M1168" s="4" t="str">
        <f>IFERROR(__xludf.DUMMYFUNCTION("""COMPUTED_VALUE"""),"Talk Outro")</f>
        <v>Talk Outro</v>
      </c>
      <c r="N1168" s="4" t="str">
        <f>IFERROR(__xludf.DUMMYFUNCTION("""COMPUTED_VALUE"""),"Yvonne Redmond, Web Summit")</f>
        <v>Yvonne Redmond, Web Summit</v>
      </c>
      <c r="O1168" s="4" t="str">
        <f>IFERROR(__xludf.DUMMYFUNCTION("""COMPUTED_VALUE"""),"")</f>
        <v/>
      </c>
      <c r="P1168" s="4" t="str">
        <f>IFERROR(__xludf.DUMMYFUNCTION("""COMPUTED_VALUE"""),"")</f>
        <v/>
      </c>
      <c r="Q1168" s="4" t="str">
        <f>IFERROR(__xludf.DUMMYFUNCTION("""COMPUTED_VALUE"""),"")</f>
        <v/>
      </c>
      <c r="R1168" s="4" t="str">
        <f>IFERROR(__xludf.DUMMYFUNCTION("""COMPUTED_VALUE"""),"")</f>
        <v/>
      </c>
      <c r="S1168" s="4" t="str">
        <f>IFERROR(__xludf.DUMMYFUNCTION("""COMPUTED_VALUE"""),"")</f>
        <v/>
      </c>
      <c r="T1168" s="4" t="str">
        <f>IFERROR(__xludf.DUMMYFUNCTION("""COMPUTED_VALUE"""),"")</f>
        <v/>
      </c>
      <c r="U1168" s="4" t="str">
        <f>IFERROR(__xludf.DUMMYFUNCTION("""COMPUTED_VALUE"""),"")</f>
        <v/>
      </c>
      <c r="V1168" s="4" t="str">
        <f>IFERROR(__xludf.DUMMYFUNCTION("""COMPUTED_VALUE"""),"")</f>
        <v/>
      </c>
      <c r="W1168" s="4" t="str">
        <f>IFERROR(__xludf.DUMMYFUNCTION("""COMPUTED_VALUE"""),"")</f>
        <v/>
      </c>
      <c r="X1168" s="4" t="str">
        <f>IFERROR(__xludf.DUMMYFUNCTION("""COMPUTED_VALUE"""),"")</f>
        <v/>
      </c>
      <c r="Y1168" s="4" t="str">
        <f>IFERROR(__xludf.DUMMYFUNCTION("""COMPUTED_VALUE"""),"")</f>
        <v/>
      </c>
    </row>
    <row r="1169">
      <c r="A1169" s="4" t="str">
        <f>IFERROR(__xludf.DUMMYFUNCTION("""COMPUTED_VALUE"""),"607 - Channel")</f>
        <v>607 - Channel</v>
      </c>
      <c r="B1169" s="4" t="str">
        <f>IFERROR(__xludf.DUMMYFUNCTION("""COMPUTED_VALUE"""),"Surplus ch.")</f>
        <v>Surplus ch.</v>
      </c>
      <c r="C1169" s="4" t="str">
        <f>IFERROR(__xludf.DUMMYFUNCTION("""COMPUTED_VALUE"""),"Day 2 - 24/06")</f>
        <v>Day 2 - 24/06</v>
      </c>
      <c r="D1169" s="6">
        <f>IFERROR(__xludf.DUMMYFUNCTION("""COMPUTED_VALUE"""),0.641712962962963)</f>
        <v>0.641712963</v>
      </c>
      <c r="E1169" s="6">
        <f>IFERROR(__xludf.DUMMYFUNCTION("""COMPUTED_VALUE"""),1.7361111111111112E-4)</f>
        <v>0.0001736111111</v>
      </c>
      <c r="F1169" s="6">
        <f>IFERROR(__xludf.DUMMYFUNCTION("""COMPUTED_VALUE"""),0.6418865740740741)</f>
        <v>0.6418865741</v>
      </c>
      <c r="G1169" s="4" t="str">
        <f>IFERROR(__xludf.DUMMYFUNCTION("""COMPUTED_VALUE"""),"Stephanie")</f>
        <v>Stephanie</v>
      </c>
      <c r="H1169" s="4" t="str">
        <f>IFERROR(__xludf.DUMMYFUNCTION("""COMPUTED_VALUE"""),"Haziq")</f>
        <v>Haziq</v>
      </c>
      <c r="I1169" s="4" t="str">
        <f>IFERROR(__xludf.DUMMYFUNCTION("""COMPUTED_VALUE"""),"James")</f>
        <v>James</v>
      </c>
      <c r="J1169" s="4" t="str">
        <f>IFERROR(__xludf.DUMMYFUNCTION("""COMPUTED_VALUE"""),"Fundraising")</f>
        <v>Fundraising</v>
      </c>
      <c r="K1169" s="4" t="str">
        <f>IFERROR(__xludf.DUMMYFUNCTION("""COMPUTED_VALUE"""),"Panel")</f>
        <v>Panel</v>
      </c>
      <c r="L1169" s="4" t="str">
        <f>IFERROR(__xludf.DUMMYFUNCTION("""COMPUTED_VALUE"""),"T- 6 - 11/05/2020")</f>
        <v>T- 6 - 11/05/2020</v>
      </c>
      <c r="M1169" s="4" t="str">
        <f>IFERROR(__xludf.DUMMYFUNCTION("""COMPUTED_VALUE"""),"CH2: Impact investing for resilient communities")</f>
        <v>CH2: Impact investing for resilient communities</v>
      </c>
      <c r="N1169" s="4" t="str">
        <f>IFERROR(__xludf.DUMMYFUNCTION("""COMPUTED_VALUE"""),"Michael Schlein, Accion")</f>
        <v>Michael Schlein, Accion</v>
      </c>
      <c r="O1169" s="4" t="str">
        <f>IFERROR(__xludf.DUMMYFUNCTION("""COMPUTED_VALUE"""),"Brian Rich, Catalyst Investors")</f>
        <v>Brian Rich, Catalyst Investors</v>
      </c>
      <c r="P1169" s="4" t="str">
        <f>IFERROR(__xludf.DUMMYFUNCTION("""COMPUTED_VALUE"""),"Aaron Fu, Catalyst Fund")</f>
        <v>Aaron Fu, Catalyst Fund</v>
      </c>
      <c r="Q1169" s="4" t="str">
        <f>IFERROR(__xludf.DUMMYFUNCTION("""COMPUTED_VALUE"""),"")</f>
        <v/>
      </c>
      <c r="R1169" s="4" t="str">
        <f>IFERROR(__xludf.DUMMYFUNCTION("""COMPUTED_VALUE"""),"Minda Zetlin, Inc.")</f>
        <v>Minda Zetlin, Inc.</v>
      </c>
      <c r="S1169" s="4" t="str">
        <f>IFERROR(__xludf.DUMMYFUNCTION("""COMPUTED_VALUE"""),"Impact investing can play a key role in helping communities build resilience to future challenges, including climate change and other shocks. This panel of impact investors discusses why we must back innovators addressing these factors.")</f>
        <v>Impact investing can play a key role in helping communities build resilience to future challenges, including climate change and other shocks. This panel of impact investors discusses why we must back innovators addressing these factors.</v>
      </c>
      <c r="T1169" s="4" t="str">
        <f>IFERROR(__xludf.DUMMYFUNCTION("""COMPUTED_VALUE"""),"NON-KEYNOTE 9 - COMPLETE")</f>
        <v>NON-KEYNOTE 9 - COMPLETE</v>
      </c>
      <c r="U1169" s="23">
        <f>IFERROR(__xludf.DUMMYFUNCTION("""COMPUTED_VALUE"""),43963.0)</f>
        <v>43963</v>
      </c>
      <c r="V1169" s="24">
        <f>IFERROR(__xludf.DUMMYFUNCTION("""COMPUTED_VALUE"""),0.6666666666666666)</f>
        <v>0.6666666667</v>
      </c>
      <c r="W1169" s="4" t="str">
        <f>IFERROR(__xludf.DUMMYFUNCTION("""COMPUTED_VALUE"""),"COMPLETE")</f>
        <v>COMPLETE</v>
      </c>
      <c r="X1169" s="4" t="str">
        <f>IFERROR(__xludf.DUMMYFUNCTION("""COMPUTED_VALUE"""),"Stephanie")</f>
        <v>Stephanie</v>
      </c>
      <c r="Y1169" s="4" t="str">
        <f>IFERROR(__xludf.DUMMYFUNCTION("""COMPUTED_VALUE"""),"")</f>
        <v/>
      </c>
    </row>
    <row r="1170">
      <c r="A1170" s="4" t="str">
        <f>IFERROR(__xludf.DUMMYFUNCTION("""COMPUTED_VALUE"""),"1437 - Channel")</f>
        <v>1437 - Channel</v>
      </c>
      <c r="B1170" s="4" t="str">
        <f>IFERROR(__xludf.DUMMYFUNCTION("""COMPUTED_VALUE"""),"Surplus ch.")</f>
        <v>Surplus ch.</v>
      </c>
      <c r="C1170" s="4" t="str">
        <f>IFERROR(__xludf.DUMMYFUNCTION("""COMPUTED_VALUE"""),"Day 1 - 23/06")</f>
        <v>Day 1 - 23/06</v>
      </c>
      <c r="D1170" s="6">
        <f>IFERROR(__xludf.DUMMYFUNCTION("""COMPUTED_VALUE"""),0.6418865740740741)</f>
        <v>0.6418865741</v>
      </c>
      <c r="E1170" s="6">
        <f>IFERROR(__xludf.DUMMYFUNCTION("""COMPUTED_VALUE"""),3.4722222222222224E-4)</f>
        <v>0.0003472222222</v>
      </c>
      <c r="F1170" s="6">
        <f>IFERROR(__xludf.DUMMYFUNCTION("""COMPUTED_VALUE"""),0.6422337962962964)</f>
        <v>0.6422337963</v>
      </c>
      <c r="G1170" s="4" t="str">
        <f>IFERROR(__xludf.DUMMYFUNCTION("""COMPUTED_VALUE"""),"")</f>
        <v/>
      </c>
      <c r="H1170" s="4" t="str">
        <f>IFERROR(__xludf.DUMMYFUNCTION("""COMPUTED_VALUE"""),"")</f>
        <v/>
      </c>
      <c r="I1170" s="4" t="str">
        <f>IFERROR(__xludf.DUMMYFUNCTION("""COMPUTED_VALUE"""),"")</f>
        <v/>
      </c>
      <c r="J1170" s="4" t="str">
        <f>IFERROR(__xludf.DUMMYFUNCTION("""COMPUTED_VALUE"""),"")</f>
        <v/>
      </c>
      <c r="K1170" s="4" t="str">
        <f>IFERROR(__xludf.DUMMYFUNCTION("""COMPUTED_VALUE"""),"Talk Intro")</f>
        <v>Talk Intro</v>
      </c>
      <c r="L1170" s="4" t="str">
        <f>IFERROR(__xludf.DUMMYFUNCTION("""COMPUTED_VALUE"""),"")</f>
        <v/>
      </c>
      <c r="M1170" s="4" t="str">
        <f>IFERROR(__xludf.DUMMYFUNCTION("""COMPUTED_VALUE"""),"Talk Intro")</f>
        <v>Talk Intro</v>
      </c>
      <c r="N1170" s="4" t="str">
        <f>IFERROR(__xludf.DUMMYFUNCTION("""COMPUTED_VALUE"""),"Yvonne Redmond, Web Summit")</f>
        <v>Yvonne Redmond, Web Summit</v>
      </c>
      <c r="O1170" s="4" t="str">
        <f>IFERROR(__xludf.DUMMYFUNCTION("""COMPUTED_VALUE"""),"")</f>
        <v/>
      </c>
      <c r="P1170" s="4" t="str">
        <f>IFERROR(__xludf.DUMMYFUNCTION("""COMPUTED_VALUE"""),"")</f>
        <v/>
      </c>
      <c r="Q1170" s="4" t="str">
        <f>IFERROR(__xludf.DUMMYFUNCTION("""COMPUTED_VALUE"""),"")</f>
        <v/>
      </c>
      <c r="R1170" s="4" t="str">
        <f>IFERROR(__xludf.DUMMYFUNCTION("""COMPUTED_VALUE"""),"")</f>
        <v/>
      </c>
      <c r="S1170" s="4" t="str">
        <f>IFERROR(__xludf.DUMMYFUNCTION("""COMPUTED_VALUE"""),"")</f>
        <v/>
      </c>
      <c r="T1170" s="4" t="str">
        <f>IFERROR(__xludf.DUMMYFUNCTION("""COMPUTED_VALUE"""),"")</f>
        <v/>
      </c>
      <c r="U1170" s="4" t="str">
        <f>IFERROR(__xludf.DUMMYFUNCTION("""COMPUTED_VALUE"""),"")</f>
        <v/>
      </c>
      <c r="V1170" s="4" t="str">
        <f>IFERROR(__xludf.DUMMYFUNCTION("""COMPUTED_VALUE"""),"")</f>
        <v/>
      </c>
      <c r="W1170" s="4" t="str">
        <f>IFERROR(__xludf.DUMMYFUNCTION("""COMPUTED_VALUE"""),"")</f>
        <v/>
      </c>
      <c r="X1170" s="4" t="str">
        <f>IFERROR(__xludf.DUMMYFUNCTION("""COMPUTED_VALUE"""),"")</f>
        <v/>
      </c>
      <c r="Y1170" s="4" t="str">
        <f>IFERROR(__xludf.DUMMYFUNCTION("""COMPUTED_VALUE"""),"")</f>
        <v/>
      </c>
    </row>
    <row r="1171">
      <c r="A1171" s="4" t="str">
        <f>IFERROR(__xludf.DUMMYFUNCTION("""COMPUTED_VALUE"""),"127 - Channel")</f>
        <v>127 - Channel</v>
      </c>
      <c r="B1171" s="4" t="str">
        <f>IFERROR(__xludf.DUMMYFUNCTION("""COMPUTED_VALUE"""),"Surplus ch.")</f>
        <v>Surplus ch.</v>
      </c>
      <c r="C1171" s="4" t="str">
        <f>IFERROR(__xludf.DUMMYFUNCTION("""COMPUTED_VALUE"""),"Day 1 - 23/06")</f>
        <v>Day 1 - 23/06</v>
      </c>
      <c r="D1171" s="6">
        <f>IFERROR(__xludf.DUMMYFUNCTION("""COMPUTED_VALUE"""),0.6422337962962964)</f>
        <v>0.6422337963</v>
      </c>
      <c r="E1171" s="6">
        <f>IFERROR(__xludf.DUMMYFUNCTION("""COMPUTED_VALUE"""),0.0020833333333333333)</f>
        <v>0.002083333333</v>
      </c>
      <c r="F1171" s="6">
        <f>IFERROR(__xludf.DUMMYFUNCTION("""COMPUTED_VALUE"""),0.6443171296296297)</f>
        <v>0.6443171296</v>
      </c>
      <c r="G1171" s="4" t="str">
        <f>IFERROR(__xludf.DUMMYFUNCTION("""COMPUTED_VALUE"""),"Dan")</f>
        <v>Dan</v>
      </c>
      <c r="H1171" s="4" t="str">
        <f>IFERROR(__xludf.DUMMYFUNCTION("""COMPUTED_VALUE"""),"")</f>
        <v/>
      </c>
      <c r="I1171" s="4" t="str">
        <f>IFERROR(__xludf.DUMMYFUNCTION("""COMPUTED_VALUE"""),"Jack")</f>
        <v>Jack</v>
      </c>
      <c r="J1171" s="4" t="str">
        <f>IFERROR(__xludf.DUMMYFUNCTION("""COMPUTED_VALUE"""),"AI")</f>
        <v>AI</v>
      </c>
      <c r="K1171" s="4" t="str">
        <f>IFERROR(__xludf.DUMMYFUNCTION("""COMPUTED_VALUE"""),"Keynote")</f>
        <v>Keynote</v>
      </c>
      <c r="L1171" s="4" t="str">
        <f>IFERROR(__xludf.DUMMYFUNCTION("""COMPUTED_VALUE"""),"T- 5 - 18/05/2020")</f>
        <v>T- 5 - 18/05/2020</v>
      </c>
      <c r="M1171" s="4" t="str">
        <f>IFERROR(__xludf.DUMMYFUNCTION("""COMPUTED_VALUE"""),"CH 1-Edge AI will be key in the post-Covid world")</f>
        <v>CH 1-Edge AI will be key in the post-Covid world</v>
      </c>
      <c r="N1171" s="4" t="str">
        <f>IFERROR(__xludf.DUMMYFUNCTION("""COMPUTED_VALUE"""),"Albert Liu, Kneron")</f>
        <v>Albert Liu, Kneron</v>
      </c>
      <c r="O1171" s="4" t="str">
        <f>IFERROR(__xludf.DUMMYFUNCTION("""COMPUTED_VALUE"""),"")</f>
        <v/>
      </c>
      <c r="P1171" s="4" t="str">
        <f>IFERROR(__xludf.DUMMYFUNCTION("""COMPUTED_VALUE"""),"")</f>
        <v/>
      </c>
      <c r="Q1171" s="4" t="str">
        <f>IFERROR(__xludf.DUMMYFUNCTION("""COMPUTED_VALUE"""),"")</f>
        <v/>
      </c>
      <c r="R1171" s="4" t="str">
        <f>IFERROR(__xludf.DUMMYFUNCTION("""COMPUTED_VALUE"""),"")</f>
        <v/>
      </c>
      <c r="S1171" s="4" t="str">
        <f>IFERROR(__xludf.DUMMYFUNCTION("""COMPUTED_VALUE"""),"Hear from Kneron founder and CEO, Albert Liu, on how edge AI is going to increase health security (while ensuring data privacy) to combat pandemics in a post Covid-19 world.")</f>
        <v>Hear from Kneron founder and CEO, Albert Liu, on how edge AI is going to increase health security (while ensuring data privacy) to combat pandemics in a post Covid-19 world.</v>
      </c>
      <c r="T1171" s="4" t="str">
        <f>IFERROR(__xludf.DUMMYFUNCTION("""COMPUTED_VALUE"""),"KEYNOTE 8 - COMPLETE")</f>
        <v>KEYNOTE 8 - COMPLETE</v>
      </c>
      <c r="U1171" s="23">
        <f>IFERROR(__xludf.DUMMYFUNCTION("""COMPUTED_VALUE"""),43972.0)</f>
        <v>43972</v>
      </c>
      <c r="V1171" s="24">
        <f>IFERROR(__xludf.DUMMYFUNCTION("""COMPUTED_VALUE"""),0.5416666666666666)</f>
        <v>0.5416666667</v>
      </c>
      <c r="W1171" s="4" t="str">
        <f>IFERROR(__xludf.DUMMYFUNCTION("""COMPUTED_VALUE"""),"COMPLETE")</f>
        <v>COMPLETE</v>
      </c>
      <c r="X1171" s="4" t="str">
        <f>IFERROR(__xludf.DUMMYFUNCTION("""COMPUTED_VALUE"""),"Dan")</f>
        <v>Dan</v>
      </c>
      <c r="Y1171" s="4" t="str">
        <f>IFERROR(__xludf.DUMMYFUNCTION("""COMPUTED_VALUE"""),"4658532933311111081")</f>
        <v>4658532933311111081</v>
      </c>
    </row>
    <row r="1172">
      <c r="A1172" s="4" t="str">
        <f>IFERROR(__xludf.DUMMYFUNCTION("""COMPUTED_VALUE"""),"128 - Channel")</f>
        <v>128 - Channel</v>
      </c>
      <c r="B1172" s="4" t="str">
        <f>IFERROR(__xludf.DUMMYFUNCTION("""COMPUTED_VALUE"""),"Surplus ch.")</f>
        <v>Surplus ch.</v>
      </c>
      <c r="C1172" s="4" t="str">
        <f>IFERROR(__xludf.DUMMYFUNCTION("""COMPUTED_VALUE"""),"Day 1 - 23/06")</f>
        <v>Day 1 - 23/06</v>
      </c>
      <c r="D1172" s="6">
        <f>IFERROR(__xludf.DUMMYFUNCTION("""COMPUTED_VALUE"""),0.6443171296296297)</f>
        <v>0.6443171296</v>
      </c>
      <c r="E1172" s="6">
        <f>IFERROR(__xludf.DUMMYFUNCTION("""COMPUTED_VALUE"""),3.4722222222222224E-4)</f>
        <v>0.0003472222222</v>
      </c>
      <c r="F1172" s="6">
        <f>IFERROR(__xludf.DUMMYFUNCTION("""COMPUTED_VALUE"""),0.644664351851852)</f>
        <v>0.6446643519</v>
      </c>
      <c r="G1172" s="4" t="str">
        <f>IFERROR(__xludf.DUMMYFUNCTION("""COMPUTED_VALUE"""),"")</f>
        <v/>
      </c>
      <c r="H1172" s="4" t="str">
        <f>IFERROR(__xludf.DUMMYFUNCTION("""COMPUTED_VALUE"""),"")</f>
        <v/>
      </c>
      <c r="I1172" s="4" t="str">
        <f>IFERROR(__xludf.DUMMYFUNCTION("""COMPUTED_VALUE"""),"")</f>
        <v/>
      </c>
      <c r="J1172" s="4" t="str">
        <f>IFERROR(__xludf.DUMMYFUNCTION("""COMPUTED_VALUE"""),"")</f>
        <v/>
      </c>
      <c r="K1172" s="4" t="str">
        <f>IFERROR(__xludf.DUMMYFUNCTION("""COMPUTED_VALUE"""),"Talk Intro")</f>
        <v>Talk Intro</v>
      </c>
      <c r="L1172" s="4" t="str">
        <f>IFERROR(__xludf.DUMMYFUNCTION("""COMPUTED_VALUE"""),"")</f>
        <v/>
      </c>
      <c r="M1172" s="4" t="str">
        <f>IFERROR(__xludf.DUMMYFUNCTION("""COMPUTED_VALUE"""),"talk outro ")</f>
        <v>talk outro </v>
      </c>
      <c r="N1172" s="4" t="str">
        <f>IFERROR(__xludf.DUMMYFUNCTION("""COMPUTED_VALUE"""),"Sunil Sharma, Web Summit")</f>
        <v>Sunil Sharma, Web Summit</v>
      </c>
      <c r="O1172" s="4" t="str">
        <f>IFERROR(__xludf.DUMMYFUNCTION("""COMPUTED_VALUE"""),"")</f>
        <v/>
      </c>
      <c r="P1172" s="4" t="str">
        <f>IFERROR(__xludf.DUMMYFUNCTION("""COMPUTED_VALUE"""),"")</f>
        <v/>
      </c>
      <c r="Q1172" s="4" t="str">
        <f>IFERROR(__xludf.DUMMYFUNCTION("""COMPUTED_VALUE"""),"")</f>
        <v/>
      </c>
      <c r="R1172" s="4" t="str">
        <f>IFERROR(__xludf.DUMMYFUNCTION("""COMPUTED_VALUE"""),"")</f>
        <v/>
      </c>
      <c r="S1172" s="4" t="str">
        <f>IFERROR(__xludf.DUMMYFUNCTION("""COMPUTED_VALUE"""),"")</f>
        <v/>
      </c>
      <c r="T1172" s="4" t="str">
        <f>IFERROR(__xludf.DUMMYFUNCTION("""COMPUTED_VALUE"""),"")</f>
        <v/>
      </c>
      <c r="U1172" s="4" t="str">
        <f>IFERROR(__xludf.DUMMYFUNCTION("""COMPUTED_VALUE"""),"")</f>
        <v/>
      </c>
      <c r="V1172" s="4" t="str">
        <f>IFERROR(__xludf.DUMMYFUNCTION("""COMPUTED_VALUE"""),"")</f>
        <v/>
      </c>
      <c r="W1172" s="4" t="str">
        <f>IFERROR(__xludf.DUMMYFUNCTION("""COMPUTED_VALUE"""),"")</f>
        <v/>
      </c>
      <c r="X1172" s="4" t="str">
        <f>IFERROR(__xludf.DUMMYFUNCTION("""COMPUTED_VALUE"""),"")</f>
        <v/>
      </c>
      <c r="Y1172" s="4" t="str">
        <f>IFERROR(__xludf.DUMMYFUNCTION("""COMPUTED_VALUE"""),"")</f>
        <v/>
      </c>
    </row>
    <row r="1173">
      <c r="A1173" s="4" t="str">
        <f>IFERROR(__xludf.DUMMYFUNCTION("""COMPUTED_VALUE"""),"359 - Channel")</f>
        <v>359 - Channel</v>
      </c>
      <c r="B1173" s="4" t="str">
        <f>IFERROR(__xludf.DUMMYFUNCTION("""COMPUTED_VALUE"""),"Surplus ch.")</f>
        <v>Surplus ch.</v>
      </c>
      <c r="C1173" s="4" t="str">
        <f>IFERROR(__xludf.DUMMYFUNCTION("""COMPUTED_VALUE"""),"Day 3 - 25/06")</f>
        <v>Day 3 - 25/06</v>
      </c>
      <c r="D1173" s="6">
        <f>IFERROR(__xludf.DUMMYFUNCTION("""COMPUTED_VALUE"""),0.644664351851852)</f>
        <v>0.6446643519</v>
      </c>
      <c r="E1173" s="6">
        <f>IFERROR(__xludf.DUMMYFUNCTION("""COMPUTED_VALUE"""),3.4722222222222224E-4)</f>
        <v>0.0003472222222</v>
      </c>
      <c r="F1173" s="6">
        <f>IFERROR(__xludf.DUMMYFUNCTION("""COMPUTED_VALUE"""),0.6450115740740743)</f>
        <v>0.6450115741</v>
      </c>
      <c r="G1173" s="4" t="str">
        <f>IFERROR(__xludf.DUMMYFUNCTION("""COMPUTED_VALUE"""),"")</f>
        <v/>
      </c>
      <c r="H1173" s="4" t="str">
        <f>IFERROR(__xludf.DUMMYFUNCTION("""COMPUTED_VALUE"""),"")</f>
        <v/>
      </c>
      <c r="I1173" s="4" t="str">
        <f>IFERROR(__xludf.DUMMYFUNCTION("""COMPUTED_VALUE"""),"")</f>
        <v/>
      </c>
      <c r="J1173" s="4" t="str">
        <f>IFERROR(__xludf.DUMMYFUNCTION("""COMPUTED_VALUE"""),"")</f>
        <v/>
      </c>
      <c r="K1173" s="4" t="str">
        <f>IFERROR(__xludf.DUMMYFUNCTION("""COMPUTED_VALUE"""),"Talk Intro")</f>
        <v>Talk Intro</v>
      </c>
      <c r="L1173" s="4" t="str">
        <f>IFERROR(__xludf.DUMMYFUNCTION("""COMPUTED_VALUE"""),"")</f>
        <v/>
      </c>
      <c r="M1173" s="4" t="str">
        <f>IFERROR(__xludf.DUMMYFUNCTION("""COMPUTED_VALUE"""),"Talk Intro")</f>
        <v>Talk Intro</v>
      </c>
      <c r="N1173" s="4" t="str">
        <f>IFERROR(__xludf.DUMMYFUNCTION("""COMPUTED_VALUE"""),"")</f>
        <v/>
      </c>
      <c r="O1173" s="4" t="str">
        <f>IFERROR(__xludf.DUMMYFUNCTION("""COMPUTED_VALUE"""),"")</f>
        <v/>
      </c>
      <c r="P1173" s="4" t="str">
        <f>IFERROR(__xludf.DUMMYFUNCTION("""COMPUTED_VALUE"""),"")</f>
        <v/>
      </c>
      <c r="Q1173" s="4" t="str">
        <f>IFERROR(__xludf.DUMMYFUNCTION("""COMPUTED_VALUE"""),"")</f>
        <v/>
      </c>
      <c r="R1173" s="4" t="str">
        <f>IFERROR(__xludf.DUMMYFUNCTION("""COMPUTED_VALUE"""),"")</f>
        <v/>
      </c>
      <c r="S1173" s="4" t="str">
        <f>IFERROR(__xludf.DUMMYFUNCTION("""COMPUTED_VALUE"""),"")</f>
        <v/>
      </c>
      <c r="T1173" s="4" t="str">
        <f>IFERROR(__xludf.DUMMYFUNCTION("""COMPUTED_VALUE"""),"")</f>
        <v/>
      </c>
      <c r="U1173" s="4" t="str">
        <f>IFERROR(__xludf.DUMMYFUNCTION("""COMPUTED_VALUE"""),"")</f>
        <v/>
      </c>
      <c r="V1173" s="4" t="str">
        <f>IFERROR(__xludf.DUMMYFUNCTION("""COMPUTED_VALUE"""),"")</f>
        <v/>
      </c>
      <c r="W1173" s="4" t="str">
        <f>IFERROR(__xludf.DUMMYFUNCTION("""COMPUTED_VALUE"""),"")</f>
        <v/>
      </c>
      <c r="X1173" s="4" t="str">
        <f>IFERROR(__xludf.DUMMYFUNCTION("""COMPUTED_VALUE"""),"")</f>
        <v/>
      </c>
      <c r="Y1173" s="4" t="str">
        <f>IFERROR(__xludf.DUMMYFUNCTION("""COMPUTED_VALUE"""),"")</f>
        <v/>
      </c>
    </row>
    <row r="1174">
      <c r="A1174" s="4" t="str">
        <f>IFERROR(__xludf.DUMMYFUNCTION("""COMPUTED_VALUE"""),"360 - Channel")</f>
        <v>360 - Channel</v>
      </c>
      <c r="B1174" s="4" t="str">
        <f>IFERROR(__xludf.DUMMYFUNCTION("""COMPUTED_VALUE"""),"Surplus ch.")</f>
        <v>Surplus ch.</v>
      </c>
      <c r="C1174" s="4" t="str">
        <f>IFERROR(__xludf.DUMMYFUNCTION("""COMPUTED_VALUE"""),"Day 3 - 25/06")</f>
        <v>Day 3 - 25/06</v>
      </c>
      <c r="D1174" s="6">
        <f>IFERROR(__xludf.DUMMYFUNCTION("""COMPUTED_VALUE"""),0.6450115740740743)</f>
        <v>0.6450115741</v>
      </c>
      <c r="E1174" s="6">
        <f>IFERROR(__xludf.DUMMYFUNCTION("""COMPUTED_VALUE"""),0.006944444444444444)</f>
        <v>0.006944444444</v>
      </c>
      <c r="F1174" s="6">
        <f>IFERROR(__xludf.DUMMYFUNCTION("""COMPUTED_VALUE"""),0.6519560185185187)</f>
        <v>0.6519560185</v>
      </c>
      <c r="G1174" s="4" t="str">
        <f>IFERROR(__xludf.DUMMYFUNCTION("""COMPUTED_VALUE"""),"Colm")</f>
        <v>Colm</v>
      </c>
      <c r="H1174" s="4" t="str">
        <f>IFERROR(__xludf.DUMMYFUNCTION("""COMPUTED_VALUE"""),"")</f>
        <v/>
      </c>
      <c r="I1174" s="4" t="str">
        <f>IFERROR(__xludf.DUMMYFUNCTION("""COMPUTED_VALUE"""),"Lucia H.")</f>
        <v>Lucia H.</v>
      </c>
      <c r="J1174" s="4" t="str">
        <f>IFERROR(__xludf.DUMMYFUNCTION("""COMPUTED_VALUE"""),"")</f>
        <v/>
      </c>
      <c r="K1174" s="4" t="str">
        <f>IFERROR(__xludf.DUMMYFUNCTION("""COMPUTED_VALUE"""),"Keynote")</f>
        <v>Keynote</v>
      </c>
      <c r="L1174" s="4" t="str">
        <f>IFERROR(__xludf.DUMMYFUNCTION("""COMPUTED_VALUE"""),"T- 4 - 25/05/2020")</f>
        <v>T- 4 - 25/05/2020</v>
      </c>
      <c r="M1174" s="4" t="str">
        <f>IFERROR(__xludf.DUMMYFUNCTION("""COMPUTED_VALUE"""),"Guilt-free binge watching")</f>
        <v>Guilt-free binge watching</v>
      </c>
      <c r="N1174" s="4" t="str">
        <f>IFERROR(__xludf.DUMMYFUNCTION("""COMPUTED_VALUE"""),"Clint Stinchcomb, CuriosityStream")</f>
        <v>Clint Stinchcomb, CuriosityStream</v>
      </c>
      <c r="O1174" s="4" t="str">
        <f>IFERROR(__xludf.DUMMYFUNCTION("""COMPUTED_VALUE"""),"")</f>
        <v/>
      </c>
      <c r="P1174" s="4" t="str">
        <f>IFERROR(__xludf.DUMMYFUNCTION("""COMPUTED_VALUE"""),"")</f>
        <v/>
      </c>
      <c r="Q1174" s="4" t="str">
        <f>IFERROR(__xludf.DUMMYFUNCTION("""COMPUTED_VALUE"""),"")</f>
        <v/>
      </c>
      <c r="R1174" s="4" t="str">
        <f>IFERROR(__xludf.DUMMYFUNCTION("""COMPUTED_VALUE"""),"")</f>
        <v/>
      </c>
      <c r="S1174" s="4" t="str">
        <f>IFERROR(__xludf.DUMMYFUNCTION("""COMPUTED_VALUE"""),"Having seen an uptick during the worldwide Covid-19 pandemic, video-on-demand service Curiosity Stream is on a shopping spree for more content, signalling a boom for non-fiction, education and documentary-style programming. In this keynote, hear from CEO "&amp;"Clint Stinchcomb on how to deliver intellectually stimulating output without dumbing down.")</f>
        <v>Having seen an uptick during the worldwide Covid-19 pandemic, video-on-demand service Curiosity Stream is on a shopping spree for more content, signalling a boom for non-fiction, education and documentary-style programming. In this keynote, hear from CEO Clint Stinchcomb on how to deliver intellectually stimulating output without dumbing down.</v>
      </c>
      <c r="T1174" s="4" t="str">
        <f>IFERROR(__xludf.DUMMYFUNCTION("""COMPUTED_VALUE"""),"KEYNOTE 8 - COMPLETE")</f>
        <v>KEYNOTE 8 - COMPLETE</v>
      </c>
      <c r="U1174" s="23">
        <f>IFERROR(__xludf.DUMMYFUNCTION("""COMPUTED_VALUE"""),43977.0)</f>
        <v>43977</v>
      </c>
      <c r="V1174" s="24">
        <f>IFERROR(__xludf.DUMMYFUNCTION("""COMPUTED_VALUE"""),0.6041666666666666)</f>
        <v>0.6041666667</v>
      </c>
      <c r="W1174" s="4" t="str">
        <f>IFERROR(__xludf.DUMMYFUNCTION("""COMPUTED_VALUE"""),"COMPLETE")</f>
        <v>COMPLETE</v>
      </c>
      <c r="X1174" s="4" t="str">
        <f>IFERROR(__xludf.DUMMYFUNCTION("""COMPUTED_VALUE"""),"Colm")</f>
        <v>Colm</v>
      </c>
      <c r="Y1174" s="4" t="str">
        <f>IFERROR(__xludf.DUMMYFUNCTION("""COMPUTED_VALUE"""),"4656264628424916053")</f>
        <v>4656264628424916053</v>
      </c>
    </row>
    <row r="1175">
      <c r="A1175" s="4" t="str">
        <f>IFERROR(__xludf.DUMMYFUNCTION("""COMPUTED_VALUE"""),"361 - Channel")</f>
        <v>361 - Channel</v>
      </c>
      <c r="B1175" s="4" t="str">
        <f>IFERROR(__xludf.DUMMYFUNCTION("""COMPUTED_VALUE"""),"Surplus ch.")</f>
        <v>Surplus ch.</v>
      </c>
      <c r="C1175" s="4" t="str">
        <f>IFERROR(__xludf.DUMMYFUNCTION("""COMPUTED_VALUE"""),"Day 3 - 25/06")</f>
        <v>Day 3 - 25/06</v>
      </c>
      <c r="D1175" s="6">
        <f>IFERROR(__xludf.DUMMYFUNCTION("""COMPUTED_VALUE"""),0.6519560185185187)</f>
        <v>0.6519560185</v>
      </c>
      <c r="E1175" s="6">
        <f>IFERROR(__xludf.DUMMYFUNCTION("""COMPUTED_VALUE"""),1.7361111111111112E-4)</f>
        <v>0.0001736111111</v>
      </c>
      <c r="F1175" s="6">
        <f>IFERROR(__xludf.DUMMYFUNCTION("""COMPUTED_VALUE"""),0.6521296296296298)</f>
        <v>0.6521296296</v>
      </c>
      <c r="G1175" s="4" t="str">
        <f>IFERROR(__xludf.DUMMYFUNCTION("""COMPUTED_VALUE"""),"")</f>
        <v/>
      </c>
      <c r="H1175" s="4" t="str">
        <f>IFERROR(__xludf.DUMMYFUNCTION("""COMPUTED_VALUE"""),"")</f>
        <v/>
      </c>
      <c r="I1175" s="4" t="str">
        <f>IFERROR(__xludf.DUMMYFUNCTION("""COMPUTED_VALUE"""),"")</f>
        <v/>
      </c>
      <c r="J1175" s="4" t="str">
        <f>IFERROR(__xludf.DUMMYFUNCTION("""COMPUTED_VALUE"""),"")</f>
        <v/>
      </c>
      <c r="K1175" s="4" t="str">
        <f>IFERROR(__xludf.DUMMYFUNCTION("""COMPUTED_VALUE"""),"Talk Outro")</f>
        <v>Talk Outro</v>
      </c>
      <c r="L1175" s="4" t="str">
        <f>IFERROR(__xludf.DUMMYFUNCTION("""COMPUTED_VALUE"""),"")</f>
        <v/>
      </c>
      <c r="M1175" s="4" t="str">
        <f>IFERROR(__xludf.DUMMYFUNCTION("""COMPUTED_VALUE"""),"Talk Outro")</f>
        <v>Talk Outro</v>
      </c>
      <c r="N1175" s="4" t="str">
        <f>IFERROR(__xludf.DUMMYFUNCTION("""COMPUTED_VALUE"""),"")</f>
        <v/>
      </c>
      <c r="O1175" s="4" t="str">
        <f>IFERROR(__xludf.DUMMYFUNCTION("""COMPUTED_VALUE"""),"")</f>
        <v/>
      </c>
      <c r="P1175" s="4" t="str">
        <f>IFERROR(__xludf.DUMMYFUNCTION("""COMPUTED_VALUE"""),"")</f>
        <v/>
      </c>
      <c r="Q1175" s="4" t="str">
        <f>IFERROR(__xludf.DUMMYFUNCTION("""COMPUTED_VALUE"""),"")</f>
        <v/>
      </c>
      <c r="R1175" s="4" t="str">
        <f>IFERROR(__xludf.DUMMYFUNCTION("""COMPUTED_VALUE"""),"")</f>
        <v/>
      </c>
      <c r="S1175" s="4" t="str">
        <f>IFERROR(__xludf.DUMMYFUNCTION("""COMPUTED_VALUE"""),"")</f>
        <v/>
      </c>
      <c r="T1175" s="4" t="str">
        <f>IFERROR(__xludf.DUMMYFUNCTION("""COMPUTED_VALUE"""),"")</f>
        <v/>
      </c>
      <c r="U1175" s="4" t="str">
        <f>IFERROR(__xludf.DUMMYFUNCTION("""COMPUTED_VALUE"""),"")</f>
        <v/>
      </c>
      <c r="V1175" s="4" t="str">
        <f>IFERROR(__xludf.DUMMYFUNCTION("""COMPUTED_VALUE"""),"")</f>
        <v/>
      </c>
      <c r="W1175" s="4" t="str">
        <f>IFERROR(__xludf.DUMMYFUNCTION("""COMPUTED_VALUE"""),"")</f>
        <v/>
      </c>
      <c r="X1175" s="4" t="str">
        <f>IFERROR(__xludf.DUMMYFUNCTION("""COMPUTED_VALUE"""),"")</f>
        <v/>
      </c>
      <c r="Y1175" s="4" t="str">
        <f>IFERROR(__xludf.DUMMYFUNCTION("""COMPUTED_VALUE"""),"")</f>
        <v/>
      </c>
    </row>
    <row r="1176">
      <c r="A1176" s="4" t="str">
        <f>IFERROR(__xludf.DUMMYFUNCTION("""COMPUTED_VALUE"""),"366 - Channel")</f>
        <v>366 - Channel</v>
      </c>
      <c r="B1176" s="4" t="str">
        <f>IFERROR(__xludf.DUMMYFUNCTION("""COMPUTED_VALUE"""),"Surplus ch.")</f>
        <v>Surplus ch.</v>
      </c>
      <c r="C1176" s="4" t="str">
        <f>IFERROR(__xludf.DUMMYFUNCTION("""COMPUTED_VALUE"""),"Day 3 - 25/06")</f>
        <v>Day 3 - 25/06</v>
      </c>
      <c r="D1176" s="6">
        <f>IFERROR(__xludf.DUMMYFUNCTION("""COMPUTED_VALUE"""),0.6521296296296298)</f>
        <v>0.6521296296</v>
      </c>
      <c r="E1176" s="6">
        <f>IFERROR(__xludf.DUMMYFUNCTION("""COMPUTED_VALUE"""),3.4722222222222224E-4)</f>
        <v>0.0003472222222</v>
      </c>
      <c r="F1176" s="6">
        <f>IFERROR(__xludf.DUMMYFUNCTION("""COMPUTED_VALUE"""),0.6524768518518521)</f>
        <v>0.6524768519</v>
      </c>
      <c r="G1176" s="4" t="str">
        <f>IFERROR(__xludf.DUMMYFUNCTION("""COMPUTED_VALUE"""),"")</f>
        <v/>
      </c>
      <c r="H1176" s="4" t="str">
        <f>IFERROR(__xludf.DUMMYFUNCTION("""COMPUTED_VALUE"""),"")</f>
        <v/>
      </c>
      <c r="I1176" s="4" t="str">
        <f>IFERROR(__xludf.DUMMYFUNCTION("""COMPUTED_VALUE"""),"")</f>
        <v/>
      </c>
      <c r="J1176" s="4" t="str">
        <f>IFERROR(__xludf.DUMMYFUNCTION("""COMPUTED_VALUE"""),"")</f>
        <v/>
      </c>
      <c r="K1176" s="4" t="str">
        <f>IFERROR(__xludf.DUMMYFUNCTION("""COMPUTED_VALUE"""),"Talk Intro")</f>
        <v>Talk Intro</v>
      </c>
      <c r="L1176" s="4" t="str">
        <f>IFERROR(__xludf.DUMMYFUNCTION("""COMPUTED_VALUE"""),"")</f>
        <v/>
      </c>
      <c r="M1176" s="4" t="str">
        <f>IFERROR(__xludf.DUMMYFUNCTION("""COMPUTED_VALUE"""),"Talk Intro")</f>
        <v>Talk Intro</v>
      </c>
      <c r="N1176" s="4" t="str">
        <f>IFERROR(__xludf.DUMMYFUNCTION("""COMPUTED_VALUE"""),"")</f>
        <v/>
      </c>
      <c r="O1176" s="4" t="str">
        <f>IFERROR(__xludf.DUMMYFUNCTION("""COMPUTED_VALUE"""),"")</f>
        <v/>
      </c>
      <c r="P1176" s="4" t="str">
        <f>IFERROR(__xludf.DUMMYFUNCTION("""COMPUTED_VALUE"""),"")</f>
        <v/>
      </c>
      <c r="Q1176" s="4" t="str">
        <f>IFERROR(__xludf.DUMMYFUNCTION("""COMPUTED_VALUE"""),"")</f>
        <v/>
      </c>
      <c r="R1176" s="4" t="str">
        <f>IFERROR(__xludf.DUMMYFUNCTION("""COMPUTED_VALUE"""),"")</f>
        <v/>
      </c>
      <c r="S1176" s="4" t="str">
        <f>IFERROR(__xludf.DUMMYFUNCTION("""COMPUTED_VALUE"""),"")</f>
        <v/>
      </c>
      <c r="T1176" s="4" t="str">
        <f>IFERROR(__xludf.DUMMYFUNCTION("""COMPUTED_VALUE"""),"")</f>
        <v/>
      </c>
      <c r="U1176" s="4" t="str">
        <f>IFERROR(__xludf.DUMMYFUNCTION("""COMPUTED_VALUE"""),"")</f>
        <v/>
      </c>
      <c r="V1176" s="4" t="str">
        <f>IFERROR(__xludf.DUMMYFUNCTION("""COMPUTED_VALUE"""),"")</f>
        <v/>
      </c>
      <c r="W1176" s="4" t="str">
        <f>IFERROR(__xludf.DUMMYFUNCTION("""COMPUTED_VALUE"""),"")</f>
        <v/>
      </c>
      <c r="X1176" s="4" t="str">
        <f>IFERROR(__xludf.DUMMYFUNCTION("""COMPUTED_VALUE"""),"")</f>
        <v/>
      </c>
      <c r="Y1176" s="4" t="str">
        <f>IFERROR(__xludf.DUMMYFUNCTION("""COMPUTED_VALUE"""),"")</f>
        <v/>
      </c>
    </row>
    <row r="1177">
      <c r="A1177" s="4" t="str">
        <f>IFERROR(__xludf.DUMMYFUNCTION("""COMPUTED_VALUE"""),"367 - Channel")</f>
        <v>367 - Channel</v>
      </c>
      <c r="B1177" s="4" t="str">
        <f>IFERROR(__xludf.DUMMYFUNCTION("""COMPUTED_VALUE"""),"Surplus ch.")</f>
        <v>Surplus ch.</v>
      </c>
      <c r="C1177" s="4" t="str">
        <f>IFERROR(__xludf.DUMMYFUNCTION("""COMPUTED_VALUE"""),"Day 3 - 25/06")</f>
        <v>Day 3 - 25/06</v>
      </c>
      <c r="D1177" s="6">
        <f>IFERROR(__xludf.DUMMYFUNCTION("""COMPUTED_VALUE"""),0.6524768518518521)</f>
        <v>0.6524768519</v>
      </c>
      <c r="E1177" s="6">
        <f>IFERROR(__xludf.DUMMYFUNCTION("""COMPUTED_VALUE"""),0.010416666666666666)</f>
        <v>0.01041666667</v>
      </c>
      <c r="F1177" s="6">
        <f>IFERROR(__xludf.DUMMYFUNCTION("""COMPUTED_VALUE"""),0.6628935185185187)</f>
        <v>0.6628935185</v>
      </c>
      <c r="G1177" s="4" t="str">
        <f>IFERROR(__xludf.DUMMYFUNCTION("""COMPUTED_VALUE"""),"Laura")</f>
        <v>Laura</v>
      </c>
      <c r="H1177" s="4" t="str">
        <f>IFERROR(__xludf.DUMMYFUNCTION("""COMPUTED_VALUE"""),"Eoghan")</f>
        <v>Eoghan</v>
      </c>
      <c r="I1177" s="4" t="str">
        <f>IFERROR(__xludf.DUMMYFUNCTION("""COMPUTED_VALUE"""),"Hannah")</f>
        <v>Hannah</v>
      </c>
      <c r="J1177" s="4" t="str">
        <f>IFERROR(__xludf.DUMMYFUNCTION("""COMPUTED_VALUE"""),"Health")</f>
        <v>Health</v>
      </c>
      <c r="K1177" s="4" t="str">
        <f>IFERROR(__xludf.DUMMYFUNCTION("""COMPUTED_VALUE"""),"Panel")</f>
        <v>Panel</v>
      </c>
      <c r="L1177" s="4" t="str">
        <f>IFERROR(__xludf.DUMMYFUNCTION("""COMPUTED_VALUE"""),"T- 7 - 04/05/2020")</f>
        <v>T- 7 - 04/05/2020</v>
      </c>
      <c r="M1177" s="4" t="str">
        <f>IFERROR(__xludf.DUMMYFUNCTION("""COMPUTED_VALUE"""),"CH 1-The state of cannabusiness")</f>
        <v>CH 1-The state of cannabusiness</v>
      </c>
      <c r="N1177" s="4" t="str">
        <f>IFERROR(__xludf.DUMMYFUNCTION("""COMPUTED_VALUE"""),"Narbe Alexandrian, Canopy Rivers")</f>
        <v>Narbe Alexandrian, Canopy Rivers</v>
      </c>
      <c r="O1177" s="4" t="str">
        <f>IFERROR(__xludf.DUMMYFUNCTION("""COMPUTED_VALUE"""),"Tahira Rehmatullah, T3 Ventures")</f>
        <v>Tahira Rehmatullah, T3 Ventures</v>
      </c>
      <c r="P1177" s="4" t="str">
        <f>IFERROR(__xludf.DUMMYFUNCTION("""COMPUTED_VALUE"""),"Adam Miron, HEXO Corp")</f>
        <v>Adam Miron, HEXO Corp</v>
      </c>
      <c r="Q1177" s="4" t="str">
        <f>IFERROR(__xludf.DUMMYFUNCTION("""COMPUTED_VALUE"""),"")</f>
        <v/>
      </c>
      <c r="R1177" s="4" t="str">
        <f>IFERROR(__xludf.DUMMYFUNCTION("""COMPUTED_VALUE"""),"Anne Gaviola, VICE Canada")</f>
        <v>Anne Gaviola, VICE Canada</v>
      </c>
      <c r="S1177" s="4" t="str">
        <f>IFERROR(__xludf.DUMMYFUNCTION("""COMPUTED_VALUE"""),"It's gone from budding to booming. What next for an industry emerging as a flower among the weeds?")</f>
        <v>It's gone from budding to booming. What next for an industry emerging as a flower among the weeds?</v>
      </c>
      <c r="T1177" s="4" t="str">
        <f>IFERROR(__xludf.DUMMYFUNCTION("""COMPUTED_VALUE"""),"NON-KEYNOTE 9 - COMPLETE")</f>
        <v>NON-KEYNOTE 9 - COMPLETE</v>
      </c>
      <c r="U1177" s="23">
        <f>IFERROR(__xludf.DUMMYFUNCTION("""COMPUTED_VALUE"""),43956.0)</f>
        <v>43956</v>
      </c>
      <c r="V1177" s="24">
        <f>IFERROR(__xludf.DUMMYFUNCTION("""COMPUTED_VALUE"""),0.75)</f>
        <v>0.75</v>
      </c>
      <c r="W1177" s="4" t="str">
        <f>IFERROR(__xludf.DUMMYFUNCTION("""COMPUTED_VALUE"""),"COMPLETE")</f>
        <v>COMPLETE</v>
      </c>
      <c r="X1177" s="4" t="str">
        <f>IFERROR(__xludf.DUMMYFUNCTION("""COMPUTED_VALUE"""),"Laura")</f>
        <v>Laura</v>
      </c>
      <c r="Y1177" s="4" t="str">
        <f>IFERROR(__xludf.DUMMYFUNCTION("""COMPUTED_VALUE"""),"")</f>
        <v/>
      </c>
    </row>
    <row r="1178">
      <c r="A1178" s="4" t="str">
        <f>IFERROR(__xludf.DUMMYFUNCTION("""COMPUTED_VALUE"""),"368 - Channel")</f>
        <v>368 - Channel</v>
      </c>
      <c r="B1178" s="4" t="str">
        <f>IFERROR(__xludf.DUMMYFUNCTION("""COMPUTED_VALUE"""),"Surplus ch.")</f>
        <v>Surplus ch.</v>
      </c>
      <c r="C1178" s="4" t="str">
        <f>IFERROR(__xludf.DUMMYFUNCTION("""COMPUTED_VALUE"""),"Day 3 - 25/06")</f>
        <v>Day 3 - 25/06</v>
      </c>
      <c r="D1178" s="6">
        <f>IFERROR(__xludf.DUMMYFUNCTION("""COMPUTED_VALUE"""),0.6628935185185187)</f>
        <v>0.6628935185</v>
      </c>
      <c r="E1178" s="6">
        <f>IFERROR(__xludf.DUMMYFUNCTION("""COMPUTED_VALUE"""),1.7361111111111112E-4)</f>
        <v>0.0001736111111</v>
      </c>
      <c r="F1178" s="6">
        <f>IFERROR(__xludf.DUMMYFUNCTION("""COMPUTED_VALUE"""),0.6630671296296299)</f>
        <v>0.6630671296</v>
      </c>
      <c r="G1178" s="4" t="str">
        <f>IFERROR(__xludf.DUMMYFUNCTION("""COMPUTED_VALUE"""),"")</f>
        <v/>
      </c>
      <c r="H1178" s="4" t="str">
        <f>IFERROR(__xludf.DUMMYFUNCTION("""COMPUTED_VALUE"""),"")</f>
        <v/>
      </c>
      <c r="I1178" s="4" t="str">
        <f>IFERROR(__xludf.DUMMYFUNCTION("""COMPUTED_VALUE"""),"")</f>
        <v/>
      </c>
      <c r="J1178" s="4" t="str">
        <f>IFERROR(__xludf.DUMMYFUNCTION("""COMPUTED_VALUE"""),"")</f>
        <v/>
      </c>
      <c r="K1178" s="4" t="str">
        <f>IFERROR(__xludf.DUMMYFUNCTION("""COMPUTED_VALUE"""),"")</f>
        <v/>
      </c>
      <c r="L1178" s="4" t="str">
        <f>IFERROR(__xludf.DUMMYFUNCTION("""COMPUTED_VALUE"""),"")</f>
        <v/>
      </c>
      <c r="M1178" s="4" t="str">
        <f>IFERROR(__xludf.DUMMYFUNCTION("""COMPUTED_VALUE"""),"")</f>
        <v/>
      </c>
      <c r="N1178" s="4" t="str">
        <f>IFERROR(__xludf.DUMMYFUNCTION("""COMPUTED_VALUE"""),"")</f>
        <v/>
      </c>
      <c r="O1178" s="4" t="str">
        <f>IFERROR(__xludf.DUMMYFUNCTION("""COMPUTED_VALUE"""),"")</f>
        <v/>
      </c>
      <c r="P1178" s="4" t="str">
        <f>IFERROR(__xludf.DUMMYFUNCTION("""COMPUTED_VALUE"""),"")</f>
        <v/>
      </c>
      <c r="Q1178" s="4" t="str">
        <f>IFERROR(__xludf.DUMMYFUNCTION("""COMPUTED_VALUE"""),"")</f>
        <v/>
      </c>
      <c r="R1178" s="4" t="str">
        <f>IFERROR(__xludf.DUMMYFUNCTION("""COMPUTED_VALUE"""),"")</f>
        <v/>
      </c>
      <c r="S1178" s="4" t="str">
        <f>IFERROR(__xludf.DUMMYFUNCTION("""COMPUTED_VALUE"""),"")</f>
        <v/>
      </c>
      <c r="T1178" s="4" t="str">
        <f>IFERROR(__xludf.DUMMYFUNCTION("""COMPUTED_VALUE"""),"")</f>
        <v/>
      </c>
      <c r="U1178" s="4" t="str">
        <f>IFERROR(__xludf.DUMMYFUNCTION("""COMPUTED_VALUE"""),"")</f>
        <v/>
      </c>
      <c r="V1178" s="4" t="str">
        <f>IFERROR(__xludf.DUMMYFUNCTION("""COMPUTED_VALUE"""),"")</f>
        <v/>
      </c>
      <c r="W1178" s="4" t="str">
        <f>IFERROR(__xludf.DUMMYFUNCTION("""COMPUTED_VALUE"""),"")</f>
        <v/>
      </c>
      <c r="X1178" s="4" t="str">
        <f>IFERROR(__xludf.DUMMYFUNCTION("""COMPUTED_VALUE"""),"")</f>
        <v/>
      </c>
      <c r="Y1178" s="4" t="str">
        <f>IFERROR(__xludf.DUMMYFUNCTION("""COMPUTED_VALUE"""),"")</f>
        <v/>
      </c>
    </row>
    <row r="1179">
      <c r="A1179" s="4" t="str">
        <f>IFERROR(__xludf.DUMMYFUNCTION("""COMPUTED_VALUE"""),"92 - Channel")</f>
        <v>92 - Channel</v>
      </c>
      <c r="B1179" s="4" t="str">
        <f>IFERROR(__xludf.DUMMYFUNCTION("""COMPUTED_VALUE"""),"Surplus ch.")</f>
        <v>Surplus ch.</v>
      </c>
      <c r="C1179" s="4" t="str">
        <f>IFERROR(__xludf.DUMMYFUNCTION("""COMPUTED_VALUE"""),"Day 3 - 25/06")</f>
        <v>Day 3 - 25/06</v>
      </c>
      <c r="D1179" s="6">
        <f>IFERROR(__xludf.DUMMYFUNCTION("""COMPUTED_VALUE"""),0.6630671296296299)</f>
        <v>0.6630671296</v>
      </c>
      <c r="E1179" s="6">
        <f>IFERROR(__xludf.DUMMYFUNCTION("""COMPUTED_VALUE"""),3.4722222222222224E-4)</f>
        <v>0.0003472222222</v>
      </c>
      <c r="F1179" s="6">
        <f>IFERROR(__xludf.DUMMYFUNCTION("""COMPUTED_VALUE"""),0.6634143518518522)</f>
        <v>0.6634143519</v>
      </c>
      <c r="G1179" s="4" t="str">
        <f>IFERROR(__xludf.DUMMYFUNCTION("""COMPUTED_VALUE"""),"")</f>
        <v/>
      </c>
      <c r="H1179" s="4" t="str">
        <f>IFERROR(__xludf.DUMMYFUNCTION("""COMPUTED_VALUE"""),"")</f>
        <v/>
      </c>
      <c r="I1179" s="4" t="str">
        <f>IFERROR(__xludf.DUMMYFUNCTION("""COMPUTED_VALUE"""),"")</f>
        <v/>
      </c>
      <c r="J1179" s="4" t="str">
        <f>IFERROR(__xludf.DUMMYFUNCTION("""COMPUTED_VALUE"""),"")</f>
        <v/>
      </c>
      <c r="K1179" s="4" t="str">
        <f>IFERROR(__xludf.DUMMYFUNCTION("""COMPUTED_VALUE"""),"Talk Intro")</f>
        <v>Talk Intro</v>
      </c>
      <c r="L1179" s="4" t="str">
        <f>IFERROR(__xludf.DUMMYFUNCTION("""COMPUTED_VALUE"""),"")</f>
        <v/>
      </c>
      <c r="M1179" s="4" t="str">
        <f>IFERROR(__xludf.DUMMYFUNCTION("""COMPUTED_VALUE"""),"Talk Intro")</f>
        <v>Talk Intro</v>
      </c>
      <c r="N1179" s="4" t="str">
        <f>IFERROR(__xludf.DUMMYFUNCTION("""COMPUTED_VALUE"""),"Sunil Sharma, Web Summit")</f>
        <v>Sunil Sharma, Web Summit</v>
      </c>
      <c r="O1179" s="4" t="str">
        <f>IFERROR(__xludf.DUMMYFUNCTION("""COMPUTED_VALUE"""),"")</f>
        <v/>
      </c>
      <c r="P1179" s="4" t="str">
        <f>IFERROR(__xludf.DUMMYFUNCTION("""COMPUTED_VALUE"""),"")</f>
        <v/>
      </c>
      <c r="Q1179" s="4" t="str">
        <f>IFERROR(__xludf.DUMMYFUNCTION("""COMPUTED_VALUE"""),"")</f>
        <v/>
      </c>
      <c r="R1179" s="4" t="str">
        <f>IFERROR(__xludf.DUMMYFUNCTION("""COMPUTED_VALUE"""),"")</f>
        <v/>
      </c>
      <c r="S1179" s="4" t="str">
        <f>IFERROR(__xludf.DUMMYFUNCTION("""COMPUTED_VALUE"""),"")</f>
        <v/>
      </c>
      <c r="T1179" s="4" t="str">
        <f>IFERROR(__xludf.DUMMYFUNCTION("""COMPUTED_VALUE"""),"")</f>
        <v/>
      </c>
      <c r="U1179" s="4" t="str">
        <f>IFERROR(__xludf.DUMMYFUNCTION("""COMPUTED_VALUE"""),"")</f>
        <v/>
      </c>
      <c r="V1179" s="4" t="str">
        <f>IFERROR(__xludf.DUMMYFUNCTION("""COMPUTED_VALUE"""),"")</f>
        <v/>
      </c>
      <c r="W1179" s="4" t="str">
        <f>IFERROR(__xludf.DUMMYFUNCTION("""COMPUTED_VALUE"""),"")</f>
        <v/>
      </c>
      <c r="X1179" s="4" t="str">
        <f>IFERROR(__xludf.DUMMYFUNCTION("""COMPUTED_VALUE"""),"")</f>
        <v/>
      </c>
      <c r="Y1179" s="4" t="str">
        <f>IFERROR(__xludf.DUMMYFUNCTION("""COMPUTED_VALUE"""),"")</f>
        <v/>
      </c>
    </row>
    <row r="1180">
      <c r="A1180" s="4" t="str">
        <f>IFERROR(__xludf.DUMMYFUNCTION("""COMPUTED_VALUE"""),"190 - Channel")</f>
        <v>190 - Channel</v>
      </c>
      <c r="B1180" s="4" t="str">
        <f>IFERROR(__xludf.DUMMYFUNCTION("""COMPUTED_VALUE"""),"Surplus ch.")</f>
        <v>Surplus ch.</v>
      </c>
      <c r="C1180" s="4" t="str">
        <f>IFERROR(__xludf.DUMMYFUNCTION("""COMPUTED_VALUE"""),"Day 3 - 25/06")</f>
        <v>Day 3 - 25/06</v>
      </c>
      <c r="D1180" s="6">
        <f>IFERROR(__xludf.DUMMYFUNCTION("""COMPUTED_VALUE"""),0.6634143518518522)</f>
        <v>0.6634143519</v>
      </c>
      <c r="E1180" s="6">
        <f>IFERROR(__xludf.DUMMYFUNCTION("""COMPUTED_VALUE"""),0.006944444444444444)</f>
        <v>0.006944444444</v>
      </c>
      <c r="F1180" s="6">
        <f>IFERROR(__xludf.DUMMYFUNCTION("""COMPUTED_VALUE"""),0.6703587962962966)</f>
        <v>0.6703587963</v>
      </c>
      <c r="G1180" s="4" t="str">
        <f>IFERROR(__xludf.DUMMYFUNCTION("""COMPUTED_VALUE"""),"Helen")</f>
        <v>Helen</v>
      </c>
      <c r="H1180" s="4" t="str">
        <f>IFERROR(__xludf.DUMMYFUNCTION("""COMPUTED_VALUE"""),"")</f>
        <v/>
      </c>
      <c r="I1180" s="4" t="str">
        <f>IFERROR(__xludf.DUMMYFUNCTION("""COMPUTED_VALUE"""),"Lucia H.")</f>
        <v>Lucia H.</v>
      </c>
      <c r="J1180" s="4" t="str">
        <f>IFERROR(__xludf.DUMMYFUNCTION("""COMPUTED_VALUE"""),"")</f>
        <v/>
      </c>
      <c r="K1180" s="4" t="str">
        <f>IFERROR(__xludf.DUMMYFUNCTION("""COMPUTED_VALUE"""),"Keynote")</f>
        <v>Keynote</v>
      </c>
      <c r="L1180" s="4" t="str">
        <f>IFERROR(__xludf.DUMMYFUNCTION("""COMPUTED_VALUE"""),"T- 4 - 25/05/2020")</f>
        <v>T- 4 - 25/05/2020</v>
      </c>
      <c r="M1180" s="4" t="str">
        <f>IFERROR(__xludf.DUMMYFUNCTION("""COMPUTED_VALUE"""),"CH 1- The fate of retail lies with the consumer")</f>
        <v>CH 1- The fate of retail lies with the consumer</v>
      </c>
      <c r="N1180" s="4" t="str">
        <f>IFERROR(__xludf.DUMMYFUNCTION("""COMPUTED_VALUE"""),"Sebastian Siemiatkowski, Klarna")</f>
        <v>Sebastian Siemiatkowski, Klarna</v>
      </c>
      <c r="O1180" s="4" t="str">
        <f>IFERROR(__xludf.DUMMYFUNCTION("""COMPUTED_VALUE"""),"")</f>
        <v/>
      </c>
      <c r="P1180" s="4" t="str">
        <f>IFERROR(__xludf.DUMMYFUNCTION("""COMPUTED_VALUE"""),"")</f>
        <v/>
      </c>
      <c r="Q1180" s="4" t="str">
        <f>IFERROR(__xludf.DUMMYFUNCTION("""COMPUTED_VALUE"""),"")</f>
        <v/>
      </c>
      <c r="R1180" s="4" t="str">
        <f>IFERROR(__xludf.DUMMYFUNCTION("""COMPUTED_VALUE"""),"")</f>
        <v/>
      </c>
      <c r="S1180" s="23" t="str">
        <f>IFERROR(__xludf.DUMMYFUNCTION("""COMPUTED_VALUE"""),"Consumer spending is shrinking. Join the CEO of payments unicorn Klarna – hailing from the cashless city of Stockholm – as he discusses the fate of online payments and ecommerce.")</f>
        <v>Consumer spending is shrinking. Join the CEO of payments unicorn Klarna – hailing from the cashless city of Stockholm – as he discusses the fate of online payments and ecommerce.</v>
      </c>
      <c r="T1180" s="4" t="str">
        <f>IFERROR(__xludf.DUMMYFUNCTION("""COMPUTED_VALUE"""),"KEYNOTE 8 - COMPLETE")</f>
        <v>KEYNOTE 8 - COMPLETE</v>
      </c>
      <c r="U1180" s="23">
        <f>IFERROR(__xludf.DUMMYFUNCTION("""COMPUTED_VALUE"""),43978.0)</f>
        <v>43978</v>
      </c>
      <c r="V1180" s="24">
        <f>IFERROR(__xludf.DUMMYFUNCTION("""COMPUTED_VALUE"""),0.3958333333333333)</f>
        <v>0.3958333333</v>
      </c>
      <c r="W1180" s="4" t="str">
        <f>IFERROR(__xludf.DUMMYFUNCTION("""COMPUTED_VALUE"""),"COMPLETE")</f>
        <v>COMPLETE</v>
      </c>
      <c r="X1180" s="4" t="str">
        <f>IFERROR(__xludf.DUMMYFUNCTION("""COMPUTED_VALUE"""),"Helen")</f>
        <v>Helen</v>
      </c>
      <c r="Y1180" s="4" t="str">
        <f>IFERROR(__xludf.DUMMYFUNCTION("""COMPUTED_VALUE"""),"")</f>
        <v/>
      </c>
    </row>
    <row r="1181">
      <c r="A1181" s="4" t="str">
        <f>IFERROR(__xludf.DUMMYFUNCTION("""COMPUTED_VALUE"""),"94 - Channel")</f>
        <v>94 - Channel</v>
      </c>
      <c r="B1181" s="4" t="str">
        <f>IFERROR(__xludf.DUMMYFUNCTION("""COMPUTED_VALUE"""),"Surplus ch.")</f>
        <v>Surplus ch.</v>
      </c>
      <c r="C1181" s="4" t="str">
        <f>IFERROR(__xludf.DUMMYFUNCTION("""COMPUTED_VALUE"""),"Day 3 - 25/06")</f>
        <v>Day 3 - 25/06</v>
      </c>
      <c r="D1181" s="6">
        <f>IFERROR(__xludf.DUMMYFUNCTION("""COMPUTED_VALUE"""),0.6703587962962966)</f>
        <v>0.6703587963</v>
      </c>
      <c r="E1181" s="6">
        <f>IFERROR(__xludf.DUMMYFUNCTION("""COMPUTED_VALUE"""),1.7361111111111112E-4)</f>
        <v>0.0001736111111</v>
      </c>
      <c r="F1181" s="6">
        <f>IFERROR(__xludf.DUMMYFUNCTION("""COMPUTED_VALUE"""),0.6705324074074077)</f>
        <v>0.6705324074</v>
      </c>
      <c r="G1181" s="4" t="str">
        <f>IFERROR(__xludf.DUMMYFUNCTION("""COMPUTED_VALUE"""),"")</f>
        <v/>
      </c>
      <c r="H1181" s="4" t="str">
        <f>IFERROR(__xludf.DUMMYFUNCTION("""COMPUTED_VALUE"""),"")</f>
        <v/>
      </c>
      <c r="I1181" s="4" t="str">
        <f>IFERROR(__xludf.DUMMYFUNCTION("""COMPUTED_VALUE"""),"")</f>
        <v/>
      </c>
      <c r="J1181" s="4" t="str">
        <f>IFERROR(__xludf.DUMMYFUNCTION("""COMPUTED_VALUE"""),"")</f>
        <v/>
      </c>
      <c r="K1181" s="4" t="str">
        <f>IFERROR(__xludf.DUMMYFUNCTION("""COMPUTED_VALUE"""),"Talk Outro")</f>
        <v>Talk Outro</v>
      </c>
      <c r="L1181" s="4" t="str">
        <f>IFERROR(__xludf.DUMMYFUNCTION("""COMPUTED_VALUE"""),"")</f>
        <v/>
      </c>
      <c r="M1181" s="4" t="str">
        <f>IFERROR(__xludf.DUMMYFUNCTION("""COMPUTED_VALUE"""),"talk outro ")</f>
        <v>talk outro </v>
      </c>
      <c r="N1181" s="4" t="str">
        <f>IFERROR(__xludf.DUMMYFUNCTION("""COMPUTED_VALUE"""),"Yvonne Redmond, Web Summit")</f>
        <v>Yvonne Redmond, Web Summit</v>
      </c>
      <c r="O1181" s="4" t="str">
        <f>IFERROR(__xludf.DUMMYFUNCTION("""COMPUTED_VALUE"""),"")</f>
        <v/>
      </c>
      <c r="P1181" s="4" t="str">
        <f>IFERROR(__xludf.DUMMYFUNCTION("""COMPUTED_VALUE"""),"")</f>
        <v/>
      </c>
      <c r="Q1181" s="4" t="str">
        <f>IFERROR(__xludf.DUMMYFUNCTION("""COMPUTED_VALUE"""),"")</f>
        <v/>
      </c>
      <c r="R1181" s="4" t="str">
        <f>IFERROR(__xludf.DUMMYFUNCTION("""COMPUTED_VALUE"""),"")</f>
        <v/>
      </c>
      <c r="S1181" s="4" t="str">
        <f>IFERROR(__xludf.DUMMYFUNCTION("""COMPUTED_VALUE"""),"")</f>
        <v/>
      </c>
      <c r="T1181" s="4" t="str">
        <f>IFERROR(__xludf.DUMMYFUNCTION("""COMPUTED_VALUE"""),"")</f>
        <v/>
      </c>
      <c r="U1181" s="4" t="str">
        <f>IFERROR(__xludf.DUMMYFUNCTION("""COMPUTED_VALUE"""),"")</f>
        <v/>
      </c>
      <c r="V1181" s="4" t="str">
        <f>IFERROR(__xludf.DUMMYFUNCTION("""COMPUTED_VALUE"""),"")</f>
        <v/>
      </c>
      <c r="W1181" s="4" t="str">
        <f>IFERROR(__xludf.DUMMYFUNCTION("""COMPUTED_VALUE"""),"")</f>
        <v/>
      </c>
      <c r="X1181" s="4" t="str">
        <f>IFERROR(__xludf.DUMMYFUNCTION("""COMPUTED_VALUE"""),"")</f>
        <v/>
      </c>
      <c r="Y1181" s="4" t="str">
        <f>IFERROR(__xludf.DUMMYFUNCTION("""COMPUTED_VALUE"""),"")</f>
        <v/>
      </c>
    </row>
    <row r="1182">
      <c r="A1182" s="4" t="str">
        <f>IFERROR(__xludf.DUMMYFUNCTION("""COMPUTED_VALUE"""),"280 - Channel")</f>
        <v>280 - Channel</v>
      </c>
      <c r="B1182" s="4" t="str">
        <f>IFERROR(__xludf.DUMMYFUNCTION("""COMPUTED_VALUE"""),"Surplus ch.")</f>
        <v>Surplus ch.</v>
      </c>
      <c r="C1182" s="4" t="str">
        <f>IFERROR(__xludf.DUMMYFUNCTION("""COMPUTED_VALUE"""),"Day 3 - 25/06")</f>
        <v>Day 3 - 25/06</v>
      </c>
      <c r="D1182" s="6">
        <f>IFERROR(__xludf.DUMMYFUNCTION("""COMPUTED_VALUE"""),0.6705324074074077)</f>
        <v>0.6705324074</v>
      </c>
      <c r="E1182" s="6">
        <f>IFERROR(__xludf.DUMMYFUNCTION("""COMPUTED_VALUE"""),3.4722222222222224E-4)</f>
        <v>0.0003472222222</v>
      </c>
      <c r="F1182" s="6">
        <f>IFERROR(__xludf.DUMMYFUNCTION("""COMPUTED_VALUE"""),0.67087962962963)</f>
        <v>0.6708796296</v>
      </c>
      <c r="G1182" s="4" t="str">
        <f>IFERROR(__xludf.DUMMYFUNCTION("""COMPUTED_VALUE"""),"")</f>
        <v/>
      </c>
      <c r="H1182" s="4" t="str">
        <f>IFERROR(__xludf.DUMMYFUNCTION("""COMPUTED_VALUE"""),"N/A")</f>
        <v>N/A</v>
      </c>
      <c r="I1182" s="4" t="str">
        <f>IFERROR(__xludf.DUMMYFUNCTION("""COMPUTED_VALUE"""),"N/A")</f>
        <v>N/A</v>
      </c>
      <c r="J1182" s="4" t="str">
        <f>IFERROR(__xludf.DUMMYFUNCTION("""COMPUTED_VALUE"""),"N/A")</f>
        <v>N/A</v>
      </c>
      <c r="K1182" s="4" t="str">
        <f>IFERROR(__xludf.DUMMYFUNCTION("""COMPUTED_VALUE"""),"Talk Intro")</f>
        <v>Talk Intro</v>
      </c>
      <c r="L1182" s="4" t="str">
        <f>IFERROR(__xludf.DUMMYFUNCTION("""COMPUTED_VALUE"""),"")</f>
        <v/>
      </c>
      <c r="M1182" s="4" t="str">
        <f>IFERROR(__xludf.DUMMYFUNCTION("""COMPUTED_VALUE"""),"Talk Intro")</f>
        <v>Talk Intro</v>
      </c>
      <c r="N1182" s="4" t="str">
        <f>IFERROR(__xludf.DUMMYFUNCTION("""COMPUTED_VALUE"""),"Yvonne Redmond, Web Summit")</f>
        <v>Yvonne Redmond, Web Summit</v>
      </c>
      <c r="O1182" s="4" t="str">
        <f>IFERROR(__xludf.DUMMYFUNCTION("""COMPUTED_VALUE"""),"")</f>
        <v/>
      </c>
      <c r="P1182" s="4" t="str">
        <f>IFERROR(__xludf.DUMMYFUNCTION("""COMPUTED_VALUE"""),"")</f>
        <v/>
      </c>
      <c r="Q1182" s="4" t="str">
        <f>IFERROR(__xludf.DUMMYFUNCTION("""COMPUTED_VALUE"""),"")</f>
        <v/>
      </c>
      <c r="R1182" s="4" t="str">
        <f>IFERROR(__xludf.DUMMYFUNCTION("""COMPUTED_VALUE"""),"")</f>
        <v/>
      </c>
      <c r="S1182" s="4" t="str">
        <f>IFERROR(__xludf.DUMMYFUNCTION("""COMPUTED_VALUE"""),"")</f>
        <v/>
      </c>
      <c r="T1182" s="4" t="str">
        <f>IFERROR(__xludf.DUMMYFUNCTION("""COMPUTED_VALUE"""),"")</f>
        <v/>
      </c>
      <c r="U1182" s="4" t="str">
        <f>IFERROR(__xludf.DUMMYFUNCTION("""COMPUTED_VALUE"""),"")</f>
        <v/>
      </c>
      <c r="V1182" s="4" t="str">
        <f>IFERROR(__xludf.DUMMYFUNCTION("""COMPUTED_VALUE"""),"")</f>
        <v/>
      </c>
      <c r="W1182" s="4" t="str">
        <f>IFERROR(__xludf.DUMMYFUNCTION("""COMPUTED_VALUE"""),"")</f>
        <v/>
      </c>
      <c r="X1182" s="4" t="str">
        <f>IFERROR(__xludf.DUMMYFUNCTION("""COMPUTED_VALUE"""),"")</f>
        <v/>
      </c>
      <c r="Y1182" s="4" t="str">
        <f>IFERROR(__xludf.DUMMYFUNCTION("""COMPUTED_VALUE"""),"")</f>
        <v/>
      </c>
    </row>
    <row r="1183">
      <c r="A1183" s="4" t="str">
        <f>IFERROR(__xludf.DUMMYFUNCTION("""COMPUTED_VALUE"""),"281 - Channel")</f>
        <v>281 - Channel</v>
      </c>
      <c r="B1183" s="4" t="str">
        <f>IFERROR(__xludf.DUMMYFUNCTION("""COMPUTED_VALUE"""),"Surplus ch.")</f>
        <v>Surplus ch.</v>
      </c>
      <c r="C1183" s="4" t="str">
        <f>IFERROR(__xludf.DUMMYFUNCTION("""COMPUTED_VALUE"""),"Day 3 - 25/06")</f>
        <v>Day 3 - 25/06</v>
      </c>
      <c r="D1183" s="6">
        <f>IFERROR(__xludf.DUMMYFUNCTION("""COMPUTED_VALUE"""),0.67087962962963)</f>
        <v>0.6708796296</v>
      </c>
      <c r="E1183" s="6">
        <f>IFERROR(__xludf.DUMMYFUNCTION("""COMPUTED_VALUE"""),0.008055555555555555)</f>
        <v>0.008055555556</v>
      </c>
      <c r="F1183" s="6">
        <f>IFERROR(__xludf.DUMMYFUNCTION("""COMPUTED_VALUE"""),0.6789351851851856)</f>
        <v>0.6789351852</v>
      </c>
      <c r="G1183" s="4" t="str">
        <f>IFERROR(__xludf.DUMMYFUNCTION("""COMPUTED_VALUE"""),"Carol")</f>
        <v>Carol</v>
      </c>
      <c r="H1183" s="4" t="str">
        <f>IFERROR(__xludf.DUMMYFUNCTION("""COMPUTED_VALUE"""),"Stephen")</f>
        <v>Stephen</v>
      </c>
      <c r="I1183" s="4" t="str">
        <f>IFERROR(__xludf.DUMMYFUNCTION("""COMPUTED_VALUE"""),"Jack")</f>
        <v>Jack</v>
      </c>
      <c r="J1183" s="4" t="str">
        <f>IFERROR(__xludf.DUMMYFUNCTION("""COMPUTED_VALUE"""),"Data")</f>
        <v>Data</v>
      </c>
      <c r="K1183" s="4" t="str">
        <f>IFERROR(__xludf.DUMMYFUNCTION("""COMPUTED_VALUE"""),"Super Fireside")</f>
        <v>Super Fireside</v>
      </c>
      <c r="L1183" s="4" t="str">
        <f>IFERROR(__xludf.DUMMYFUNCTION("""COMPUTED_VALUE"""),"T- 7 - 04/05/2020")</f>
        <v>T- 7 - 04/05/2020</v>
      </c>
      <c r="M1183" s="4" t="str">
        <f>IFERROR(__xludf.DUMMYFUNCTION("""COMPUTED_VALUE"""),"CH 1-What can data do in a crisis?")</f>
        <v>CH 1-What can data do in a crisis?</v>
      </c>
      <c r="N1183" s="4" t="str">
        <f>IFERROR(__xludf.DUMMYFUNCTION("""COMPUTED_VALUE"""),"Sarah Gerweck, AtScale")</f>
        <v>Sarah Gerweck, AtScale</v>
      </c>
      <c r="O1183" s="4" t="str">
        <f>IFERROR(__xludf.DUMMYFUNCTION("""COMPUTED_VALUE"""),"Carolina Bessega, Stradigi AI")</f>
        <v>Carolina Bessega, Stradigi AI</v>
      </c>
      <c r="P1183" s="4" t="str">
        <f>IFERROR(__xludf.DUMMYFUNCTION("""COMPUTED_VALUE"""),"")</f>
        <v/>
      </c>
      <c r="Q1183" s="4" t="str">
        <f>IFERROR(__xludf.DUMMYFUNCTION("""COMPUTED_VALUE"""),"")</f>
        <v/>
      </c>
      <c r="R1183" s="4" t="str">
        <f>IFERROR(__xludf.DUMMYFUNCTION("""COMPUTED_VALUE"""),"Marc Saltzman, USA Today")</f>
        <v>Marc Saltzman, USA Today</v>
      </c>
      <c r="S1183" s="4" t="str">
        <f>IFERROR(__xludf.DUMMYFUNCTION("""COMPUTED_VALUE"""),"Our experts discuss how data can – and cannot – improve a company's resilience in turbulent times.")</f>
        <v>Our experts discuss how data can – and cannot – improve a company's resilience in turbulent times.</v>
      </c>
      <c r="T1183" s="4" t="str">
        <f>IFERROR(__xludf.DUMMYFUNCTION("""COMPUTED_VALUE"""),"NON-KEYNOTE 9 - COMPLETE")</f>
        <v>NON-KEYNOTE 9 - COMPLETE</v>
      </c>
      <c r="U1183" s="23">
        <f>IFERROR(__xludf.DUMMYFUNCTION("""COMPUTED_VALUE"""),43958.0)</f>
        <v>43958</v>
      </c>
      <c r="V1183" s="4" t="str">
        <f>IFERROR(__xludf.DUMMYFUNCTION("""COMPUTED_VALUE"""),"")</f>
        <v/>
      </c>
      <c r="W1183" s="4" t="str">
        <f>IFERROR(__xludf.DUMMYFUNCTION("""COMPUTED_VALUE"""),"COMPLETE")</f>
        <v>COMPLETE</v>
      </c>
      <c r="X1183" s="4" t="str">
        <f>IFERROR(__xludf.DUMMYFUNCTION("""COMPUTED_VALUE"""),"Carol")</f>
        <v>Carol</v>
      </c>
      <c r="Y1183" s="4" t="str">
        <f>IFERROR(__xludf.DUMMYFUNCTION("""COMPUTED_VALUE"""),"")</f>
        <v/>
      </c>
    </row>
    <row r="1184">
      <c r="A1184" s="4" t="str">
        <f>IFERROR(__xludf.DUMMYFUNCTION("""COMPUTED_VALUE"""),"282 - Channel")</f>
        <v>282 - Channel</v>
      </c>
      <c r="B1184" s="4" t="str">
        <f>IFERROR(__xludf.DUMMYFUNCTION("""COMPUTED_VALUE"""),"Surplus ch.")</f>
        <v>Surplus ch.</v>
      </c>
      <c r="C1184" s="4" t="str">
        <f>IFERROR(__xludf.DUMMYFUNCTION("""COMPUTED_VALUE"""),"Day 3 - 25/06")</f>
        <v>Day 3 - 25/06</v>
      </c>
      <c r="D1184" s="6">
        <f>IFERROR(__xludf.DUMMYFUNCTION("""COMPUTED_VALUE"""),0.6789351851851856)</f>
        <v>0.6789351852</v>
      </c>
      <c r="E1184" s="6">
        <f>IFERROR(__xludf.DUMMYFUNCTION("""COMPUTED_VALUE"""),1.7361111111111112E-4)</f>
        <v>0.0001736111111</v>
      </c>
      <c r="F1184" s="6">
        <f>IFERROR(__xludf.DUMMYFUNCTION("""COMPUTED_VALUE"""),0.6791087962962967)</f>
        <v>0.6791087963</v>
      </c>
      <c r="G1184" s="4" t="str">
        <f>IFERROR(__xludf.DUMMYFUNCTION("""COMPUTED_VALUE"""),"")</f>
        <v/>
      </c>
      <c r="H1184" s="4" t="str">
        <f>IFERROR(__xludf.DUMMYFUNCTION("""COMPUTED_VALUE"""),"N/A")</f>
        <v>N/A</v>
      </c>
      <c r="I1184" s="4" t="str">
        <f>IFERROR(__xludf.DUMMYFUNCTION("""COMPUTED_VALUE"""),"N/A")</f>
        <v>N/A</v>
      </c>
      <c r="J1184" s="4" t="str">
        <f>IFERROR(__xludf.DUMMYFUNCTION("""COMPUTED_VALUE"""),"N/A")</f>
        <v>N/A</v>
      </c>
      <c r="K1184" s="4" t="str">
        <f>IFERROR(__xludf.DUMMYFUNCTION("""COMPUTED_VALUE"""),"Talk Outro")</f>
        <v>Talk Outro</v>
      </c>
      <c r="L1184" s="4" t="str">
        <f>IFERROR(__xludf.DUMMYFUNCTION("""COMPUTED_VALUE"""),"")</f>
        <v/>
      </c>
      <c r="M1184" s="4" t="str">
        <f>IFERROR(__xludf.DUMMYFUNCTION("""COMPUTED_VALUE"""),"Talk Outro")</f>
        <v>Talk Outro</v>
      </c>
      <c r="N1184" s="4" t="str">
        <f>IFERROR(__xludf.DUMMYFUNCTION("""COMPUTED_VALUE"""),"Yvonne Redmond, Web Summit")</f>
        <v>Yvonne Redmond, Web Summit</v>
      </c>
      <c r="O1184" s="4" t="str">
        <f>IFERROR(__xludf.DUMMYFUNCTION("""COMPUTED_VALUE"""),"")</f>
        <v/>
      </c>
      <c r="P1184" s="4" t="str">
        <f>IFERROR(__xludf.DUMMYFUNCTION("""COMPUTED_VALUE"""),"")</f>
        <v/>
      </c>
      <c r="Q1184" s="4" t="str">
        <f>IFERROR(__xludf.DUMMYFUNCTION("""COMPUTED_VALUE"""),"")</f>
        <v/>
      </c>
      <c r="R1184" s="4" t="str">
        <f>IFERROR(__xludf.DUMMYFUNCTION("""COMPUTED_VALUE"""),"")</f>
        <v/>
      </c>
      <c r="S1184" s="4" t="str">
        <f>IFERROR(__xludf.DUMMYFUNCTION("""COMPUTED_VALUE"""),"")</f>
        <v/>
      </c>
      <c r="T1184" s="4" t="str">
        <f>IFERROR(__xludf.DUMMYFUNCTION("""COMPUTED_VALUE"""),"")</f>
        <v/>
      </c>
      <c r="U1184" s="4" t="str">
        <f>IFERROR(__xludf.DUMMYFUNCTION("""COMPUTED_VALUE"""),"")</f>
        <v/>
      </c>
      <c r="V1184" s="4" t="str">
        <f>IFERROR(__xludf.DUMMYFUNCTION("""COMPUTED_VALUE"""),"")</f>
        <v/>
      </c>
      <c r="W1184" s="4" t="str">
        <f>IFERROR(__xludf.DUMMYFUNCTION("""COMPUTED_VALUE"""),"")</f>
        <v/>
      </c>
      <c r="X1184" s="4" t="str">
        <f>IFERROR(__xludf.DUMMYFUNCTION("""COMPUTED_VALUE"""),"")</f>
        <v/>
      </c>
      <c r="Y1184" s="4" t="str">
        <f>IFERROR(__xludf.DUMMYFUNCTION("""COMPUTED_VALUE"""),"")</f>
        <v/>
      </c>
    </row>
    <row r="1185">
      <c r="A1185" s="4" t="str">
        <f>IFERROR(__xludf.DUMMYFUNCTION("""COMPUTED_VALUE"""),"325 - Channel")</f>
        <v>325 - Channel</v>
      </c>
      <c r="B1185" s="4" t="str">
        <f>IFERROR(__xludf.DUMMYFUNCTION("""COMPUTED_VALUE"""),"Surplus ch.")</f>
        <v>Surplus ch.</v>
      </c>
      <c r="C1185" s="4" t="str">
        <f>IFERROR(__xludf.DUMMYFUNCTION("""COMPUTED_VALUE"""),"Day 3 - 25/06")</f>
        <v>Day 3 - 25/06</v>
      </c>
      <c r="D1185" s="6">
        <f>IFERROR(__xludf.DUMMYFUNCTION("""COMPUTED_VALUE"""),0.6791087962962967)</f>
        <v>0.6791087963</v>
      </c>
      <c r="E1185" s="6">
        <f>IFERROR(__xludf.DUMMYFUNCTION("""COMPUTED_VALUE"""),0.006944444444444444)</f>
        <v>0.006944444444</v>
      </c>
      <c r="F1185" s="6">
        <f>IFERROR(__xludf.DUMMYFUNCTION("""COMPUTED_VALUE"""),0.6860532407407411)</f>
        <v>0.6860532407</v>
      </c>
      <c r="G1185" s="4" t="str">
        <f>IFERROR(__xludf.DUMMYFUNCTION("""COMPUTED_VALUE"""),"Colm")</f>
        <v>Colm</v>
      </c>
      <c r="H1185" s="4" t="str">
        <f>IFERROR(__xludf.DUMMYFUNCTION("""COMPUTED_VALUE"""),"")</f>
        <v/>
      </c>
      <c r="I1185" s="4" t="str">
        <f>IFERROR(__xludf.DUMMYFUNCTION("""COMPUTED_VALUE"""),"Lucia H.")</f>
        <v>Lucia H.</v>
      </c>
      <c r="J1185" s="4" t="str">
        <f>IFERROR(__xludf.DUMMYFUNCTION("""COMPUTED_VALUE"""),"")</f>
        <v/>
      </c>
      <c r="K1185" s="4" t="str">
        <f>IFERROR(__xludf.DUMMYFUNCTION("""COMPUTED_VALUE"""),"Keynote")</f>
        <v>Keynote</v>
      </c>
      <c r="L1185" s="4" t="str">
        <f>IFERROR(__xludf.DUMMYFUNCTION("""COMPUTED_VALUE"""),"T- 3 - 01/06/2020")</f>
        <v>T- 3 - 01/06/2020</v>
      </c>
      <c r="M1185" s="4" t="str">
        <f>IFERROR(__xludf.DUMMYFUNCTION("""COMPUTED_VALUE"""),"ch. 1 Journalism in the age of pandemic")</f>
        <v>ch. 1 Journalism in the age of pandemic</v>
      </c>
      <c r="N1185" s="4" t="str">
        <f>IFERROR(__xludf.DUMMYFUNCTION("""COMPUTED_VALUE"""),"Dinara Toktosunova, Ruptly")</f>
        <v>Dinara Toktosunova, Ruptly</v>
      </c>
      <c r="O1185" s="4" t="str">
        <f>IFERROR(__xludf.DUMMYFUNCTION("""COMPUTED_VALUE"""),"")</f>
        <v/>
      </c>
      <c r="P1185" s="4" t="str">
        <f>IFERROR(__xludf.DUMMYFUNCTION("""COMPUTED_VALUE"""),"")</f>
        <v/>
      </c>
      <c r="Q1185" s="4" t="str">
        <f>IFERROR(__xludf.DUMMYFUNCTION("""COMPUTED_VALUE"""),"")</f>
        <v/>
      </c>
      <c r="R1185" s="4" t="str">
        <f>IFERROR(__xludf.DUMMYFUNCTION("""COMPUTED_VALUE"""),"")</f>
        <v/>
      </c>
      <c r="S1185" s="4" t="str">
        <f>IFERROR(__xludf.DUMMYFUNCTION("""COMPUTED_VALUE"""),"In a time of global pandemic, the demand for accurate information is greater than ever, but so is the challenge of delivering it. In this keynote presentation, the Ruptly CEO assesses the impact Covid-19 has already had on how news is gathered and distrib"&amp;"uted, the economic fallout of the current situation, and the threats and opportunities the news industry will face in the post Covid-19 landscape.")</f>
        <v>In a time of global pandemic, the demand for accurate information is greater than ever, but so is the challenge of delivering it. In this keynote presentation, the Ruptly CEO assesses the impact Covid-19 has already had on how news is gathered and distributed, the economic fallout of the current situation, and the threats and opportunities the news industry will face in the post Covid-19 landscape.</v>
      </c>
      <c r="T1185" s="4" t="str">
        <f>IFERROR(__xludf.DUMMYFUNCTION("""COMPUTED_VALUE"""),"KEYNOTE 8 - COMPLETE")</f>
        <v>KEYNOTE 8 - COMPLETE</v>
      </c>
      <c r="U1185" s="23">
        <f>IFERROR(__xludf.DUMMYFUNCTION("""COMPUTED_VALUE"""),43985.0)</f>
        <v>43985</v>
      </c>
      <c r="V1185" s="4" t="str">
        <f>IFERROR(__xludf.DUMMYFUNCTION("""COMPUTED_VALUE"""),"")</f>
        <v/>
      </c>
      <c r="W1185" s="4" t="str">
        <f>IFERROR(__xludf.DUMMYFUNCTION("""COMPUTED_VALUE"""),"COMPLETE")</f>
        <v>COMPLETE</v>
      </c>
      <c r="X1185" s="4" t="str">
        <f>IFERROR(__xludf.DUMMYFUNCTION("""COMPUTED_VALUE"""),"Colm")</f>
        <v>Colm</v>
      </c>
      <c r="Y1185" s="4" t="str">
        <f>IFERROR(__xludf.DUMMYFUNCTION("""COMPUTED_VALUE"""),"")</f>
        <v/>
      </c>
    </row>
    <row r="1186">
      <c r="A1186" s="4" t="str">
        <f>IFERROR(__xludf.DUMMYFUNCTION("""COMPUTED_VALUE"""),"326 - Channel")</f>
        <v>326 - Channel</v>
      </c>
      <c r="B1186" s="4" t="str">
        <f>IFERROR(__xludf.DUMMYFUNCTION("""COMPUTED_VALUE"""),"Surplus ch.")</f>
        <v>Surplus ch.</v>
      </c>
      <c r="C1186" s="4" t="str">
        <f>IFERROR(__xludf.DUMMYFUNCTION("""COMPUTED_VALUE"""),"Day 3 - 25/06")</f>
        <v>Day 3 - 25/06</v>
      </c>
      <c r="D1186" s="6">
        <f>IFERROR(__xludf.DUMMYFUNCTION("""COMPUTED_VALUE"""),0.6860532407407411)</f>
        <v>0.6860532407</v>
      </c>
      <c r="E1186" s="6">
        <f>IFERROR(__xludf.DUMMYFUNCTION("""COMPUTED_VALUE"""),1.7361111111111112E-4)</f>
        <v>0.0001736111111</v>
      </c>
      <c r="F1186" s="6">
        <f>IFERROR(__xludf.DUMMYFUNCTION("""COMPUTED_VALUE"""),0.6862268518518523)</f>
        <v>0.6862268519</v>
      </c>
      <c r="G1186" s="4" t="str">
        <f>IFERROR(__xludf.DUMMYFUNCTION("""COMPUTED_VALUE"""),"")</f>
        <v/>
      </c>
      <c r="H1186" s="4" t="str">
        <f>IFERROR(__xludf.DUMMYFUNCTION("""COMPUTED_VALUE"""),"")</f>
        <v/>
      </c>
      <c r="I1186" s="4" t="str">
        <f>IFERROR(__xludf.DUMMYFUNCTION("""COMPUTED_VALUE"""),"")</f>
        <v/>
      </c>
      <c r="J1186" s="4" t="str">
        <f>IFERROR(__xludf.DUMMYFUNCTION("""COMPUTED_VALUE"""),"")</f>
        <v/>
      </c>
      <c r="K1186" s="4" t="str">
        <f>IFERROR(__xludf.DUMMYFUNCTION("""COMPUTED_VALUE"""),"Talk Outro")</f>
        <v>Talk Outro</v>
      </c>
      <c r="L1186" s="4" t="str">
        <f>IFERROR(__xludf.DUMMYFUNCTION("""COMPUTED_VALUE"""),"")</f>
        <v/>
      </c>
      <c r="M1186" s="4" t="str">
        <f>IFERROR(__xludf.DUMMYFUNCTION("""COMPUTED_VALUE"""),"Talk Outro")</f>
        <v>Talk Outro</v>
      </c>
      <c r="N1186" s="4" t="str">
        <f>IFERROR(__xludf.DUMMYFUNCTION("""COMPUTED_VALUE"""),"Yvonne Redmond, Web Summit")</f>
        <v>Yvonne Redmond, Web Summit</v>
      </c>
      <c r="O1186" s="4" t="str">
        <f>IFERROR(__xludf.DUMMYFUNCTION("""COMPUTED_VALUE"""),"")</f>
        <v/>
      </c>
      <c r="P1186" s="4" t="str">
        <f>IFERROR(__xludf.DUMMYFUNCTION("""COMPUTED_VALUE"""),"")</f>
        <v/>
      </c>
      <c r="Q1186" s="4" t="str">
        <f>IFERROR(__xludf.DUMMYFUNCTION("""COMPUTED_VALUE"""),"")</f>
        <v/>
      </c>
      <c r="R1186" s="4" t="str">
        <f>IFERROR(__xludf.DUMMYFUNCTION("""COMPUTED_VALUE"""),"")</f>
        <v/>
      </c>
      <c r="S1186" s="4" t="str">
        <f>IFERROR(__xludf.DUMMYFUNCTION("""COMPUTED_VALUE"""),"")</f>
        <v/>
      </c>
      <c r="T1186" s="4" t="str">
        <f>IFERROR(__xludf.DUMMYFUNCTION("""COMPUTED_VALUE"""),"")</f>
        <v/>
      </c>
      <c r="U1186" s="4" t="str">
        <f>IFERROR(__xludf.DUMMYFUNCTION("""COMPUTED_VALUE"""),"")</f>
        <v/>
      </c>
      <c r="V1186" s="4" t="str">
        <f>IFERROR(__xludf.DUMMYFUNCTION("""COMPUTED_VALUE"""),"")</f>
        <v/>
      </c>
      <c r="W1186" s="4" t="str">
        <f>IFERROR(__xludf.DUMMYFUNCTION("""COMPUTED_VALUE"""),"")</f>
        <v/>
      </c>
      <c r="X1186" s="4" t="str">
        <f>IFERROR(__xludf.DUMMYFUNCTION("""COMPUTED_VALUE"""),"")</f>
        <v/>
      </c>
      <c r="Y1186" s="4" t="str">
        <f>IFERROR(__xludf.DUMMYFUNCTION("""COMPUTED_VALUE"""),"")</f>
        <v/>
      </c>
    </row>
    <row r="1187">
      <c r="A1187" s="4" t="str">
        <f>IFERROR(__xludf.DUMMYFUNCTION("""COMPUTED_VALUE"""),"353 - Channel")</f>
        <v>353 - Channel</v>
      </c>
      <c r="B1187" s="4" t="str">
        <f>IFERROR(__xludf.DUMMYFUNCTION("""COMPUTED_VALUE"""),"Surplus ch.")</f>
        <v>Surplus ch.</v>
      </c>
      <c r="C1187" s="4" t="str">
        <f>IFERROR(__xludf.DUMMYFUNCTION("""COMPUTED_VALUE"""),"Day 3 - 25/06")</f>
        <v>Day 3 - 25/06</v>
      </c>
      <c r="D1187" s="6">
        <f>IFERROR(__xludf.DUMMYFUNCTION("""COMPUTED_VALUE"""),0.6862268518518523)</f>
        <v>0.6862268519</v>
      </c>
      <c r="E1187" s="6">
        <f>IFERROR(__xludf.DUMMYFUNCTION("""COMPUTED_VALUE"""),3.4722222222222224E-4)</f>
        <v>0.0003472222222</v>
      </c>
      <c r="F1187" s="6">
        <f>IFERROR(__xludf.DUMMYFUNCTION("""COMPUTED_VALUE"""),0.6865740740740746)</f>
        <v>0.6865740741</v>
      </c>
      <c r="G1187" s="4" t="str">
        <f>IFERROR(__xludf.DUMMYFUNCTION("""COMPUTED_VALUE"""),"")</f>
        <v/>
      </c>
      <c r="H1187" s="4" t="str">
        <f>IFERROR(__xludf.DUMMYFUNCTION("""COMPUTED_VALUE"""),"N/A")</f>
        <v>N/A</v>
      </c>
      <c r="I1187" s="4" t="str">
        <f>IFERROR(__xludf.DUMMYFUNCTION("""COMPUTED_VALUE"""),"N/A")</f>
        <v>N/A</v>
      </c>
      <c r="J1187" s="4" t="str">
        <f>IFERROR(__xludf.DUMMYFUNCTION("""COMPUTED_VALUE"""),"N/A")</f>
        <v>N/A</v>
      </c>
      <c r="K1187" s="4" t="str">
        <f>IFERROR(__xludf.DUMMYFUNCTION("""COMPUTED_VALUE"""),"Talk Intro")</f>
        <v>Talk Intro</v>
      </c>
      <c r="L1187" s="4" t="str">
        <f>IFERROR(__xludf.DUMMYFUNCTION("""COMPUTED_VALUE"""),"")</f>
        <v/>
      </c>
      <c r="M1187" s="4" t="str">
        <f>IFERROR(__xludf.DUMMYFUNCTION("""COMPUTED_VALUE"""),"Talk Intro")</f>
        <v>Talk Intro</v>
      </c>
      <c r="N1187" s="4" t="str">
        <f>IFERROR(__xludf.DUMMYFUNCTION("""COMPUTED_VALUE"""),"Yvonne Redmond, Web Summit")</f>
        <v>Yvonne Redmond, Web Summit</v>
      </c>
      <c r="O1187" s="4" t="str">
        <f>IFERROR(__xludf.DUMMYFUNCTION("""COMPUTED_VALUE"""),"")</f>
        <v/>
      </c>
      <c r="P1187" s="4" t="str">
        <f>IFERROR(__xludf.DUMMYFUNCTION("""COMPUTED_VALUE"""),"")</f>
        <v/>
      </c>
      <c r="Q1187" s="4" t="str">
        <f>IFERROR(__xludf.DUMMYFUNCTION("""COMPUTED_VALUE"""),"")</f>
        <v/>
      </c>
      <c r="R1187" s="4" t="str">
        <f>IFERROR(__xludf.DUMMYFUNCTION("""COMPUTED_VALUE"""),"")</f>
        <v/>
      </c>
      <c r="S1187" s="4" t="str">
        <f>IFERROR(__xludf.DUMMYFUNCTION("""COMPUTED_VALUE"""),"")</f>
        <v/>
      </c>
      <c r="T1187" s="4" t="str">
        <f>IFERROR(__xludf.DUMMYFUNCTION("""COMPUTED_VALUE"""),"")</f>
        <v/>
      </c>
      <c r="U1187" s="4" t="str">
        <f>IFERROR(__xludf.DUMMYFUNCTION("""COMPUTED_VALUE"""),"")</f>
        <v/>
      </c>
      <c r="V1187" s="4" t="str">
        <f>IFERROR(__xludf.DUMMYFUNCTION("""COMPUTED_VALUE"""),"")</f>
        <v/>
      </c>
      <c r="W1187" s="4" t="str">
        <f>IFERROR(__xludf.DUMMYFUNCTION("""COMPUTED_VALUE"""),"")</f>
        <v/>
      </c>
      <c r="X1187" s="4" t="str">
        <f>IFERROR(__xludf.DUMMYFUNCTION("""COMPUTED_VALUE"""),"")</f>
        <v/>
      </c>
      <c r="Y1187" s="4" t="str">
        <f>IFERROR(__xludf.DUMMYFUNCTION("""COMPUTED_VALUE"""),"")</f>
        <v/>
      </c>
    </row>
    <row r="1188">
      <c r="A1188" s="4" t="str">
        <f>IFERROR(__xludf.DUMMYFUNCTION("""COMPUTED_VALUE"""),"354 - Channel")</f>
        <v>354 - Channel</v>
      </c>
      <c r="B1188" s="4" t="str">
        <f>IFERROR(__xludf.DUMMYFUNCTION("""COMPUTED_VALUE"""),"Surplus ch.")</f>
        <v>Surplus ch.</v>
      </c>
      <c r="C1188" s="4" t="str">
        <f>IFERROR(__xludf.DUMMYFUNCTION("""COMPUTED_VALUE"""),"Day 3 - 25/06")</f>
        <v>Day 3 - 25/06</v>
      </c>
      <c r="D1188" s="6">
        <f>IFERROR(__xludf.DUMMYFUNCTION("""COMPUTED_VALUE"""),0.6865740740740746)</f>
        <v>0.6865740741</v>
      </c>
      <c r="E1188" s="6">
        <f>IFERROR(__xludf.DUMMYFUNCTION("""COMPUTED_VALUE"""),0.008333333333333333)</f>
        <v>0.008333333333</v>
      </c>
      <c r="F1188" s="6">
        <f>IFERROR(__xludf.DUMMYFUNCTION("""COMPUTED_VALUE"""),0.6949074074074079)</f>
        <v>0.6949074074</v>
      </c>
      <c r="G1188" s="4" t="str">
        <f>IFERROR(__xludf.DUMMYFUNCTION("""COMPUTED_VALUE"""),"Kat")</f>
        <v>Kat</v>
      </c>
      <c r="H1188" s="4" t="str">
        <f>IFERROR(__xludf.DUMMYFUNCTION("""COMPUTED_VALUE"""),"")</f>
        <v/>
      </c>
      <c r="I1188" s="4" t="str">
        <f>IFERROR(__xludf.DUMMYFUNCTION("""COMPUTED_VALUE"""),"Lynn")</f>
        <v>Lynn</v>
      </c>
      <c r="J1188" s="4" t="str">
        <f>IFERROR(__xludf.DUMMYFUNCTION("""COMPUTED_VALUE"""),"Education")</f>
        <v>Education</v>
      </c>
      <c r="K1188" s="4" t="str">
        <f>IFERROR(__xludf.DUMMYFUNCTION("""COMPUTED_VALUE"""),"Keynote")</f>
        <v>Keynote</v>
      </c>
      <c r="L1188" s="4" t="str">
        <f>IFERROR(__xludf.DUMMYFUNCTION("""COMPUTED_VALUE"""),"T- 5 - 18/05/2020")</f>
        <v>T- 5 - 18/05/2020</v>
      </c>
      <c r="M1188" s="4" t="str">
        <f>IFERROR(__xludf.DUMMYFUNCTION("""COMPUTED_VALUE"""),"cH. 1- China's edtech revolution: AI teachers in lockdown")</f>
        <v>cH. 1- China's edtech revolution: AI teachers in lockdown</v>
      </c>
      <c r="N1188" s="4" t="str">
        <f>IFERROR(__xludf.DUMMYFUNCTION("""COMPUTED_VALUE"""),"Derek Haoyang Li, Squirrel AI")</f>
        <v>Derek Haoyang Li, Squirrel AI</v>
      </c>
      <c r="O1188" s="4" t="str">
        <f>IFERROR(__xludf.DUMMYFUNCTION("""COMPUTED_VALUE"""),"")</f>
        <v/>
      </c>
      <c r="P1188" s="4" t="str">
        <f>IFERROR(__xludf.DUMMYFUNCTION("""COMPUTED_VALUE"""),"")</f>
        <v/>
      </c>
      <c r="Q1188" s="4" t="str">
        <f>IFERROR(__xludf.DUMMYFUNCTION("""COMPUTED_VALUE"""),"")</f>
        <v/>
      </c>
      <c r="R1188" s="4" t="str">
        <f>IFERROR(__xludf.DUMMYFUNCTION("""COMPUTED_VALUE"""),"")</f>
        <v/>
      </c>
      <c r="S1188" s="4" t="str">
        <f>IFERROR(__xludf.DUMMYFUNCTION("""COMPUTED_VALUE"""),"Can I enable a new generation of teachers to educate students – especially in the current climate – more effectively? Join Derek to find out more.")</f>
        <v>Can I enable a new generation of teachers to educate students – especially in the current climate – more effectively? Join Derek to find out more.</v>
      </c>
      <c r="T1188" s="4" t="str">
        <f>IFERROR(__xludf.DUMMYFUNCTION("""COMPUTED_VALUE"""),"KEYNOTE 8 - COMPLETE")</f>
        <v>KEYNOTE 8 - COMPLETE</v>
      </c>
      <c r="U1188" s="23">
        <f>IFERROR(__xludf.DUMMYFUNCTION("""COMPUTED_VALUE"""),43971.0)</f>
        <v>43971</v>
      </c>
      <c r="V1188" s="4" t="str">
        <f>IFERROR(__xludf.DUMMYFUNCTION("""COMPUTED_VALUE"""),"")</f>
        <v/>
      </c>
      <c r="W1188" s="4" t="str">
        <f>IFERROR(__xludf.DUMMYFUNCTION("""COMPUTED_VALUE"""),"COMPLETE")</f>
        <v>COMPLETE</v>
      </c>
      <c r="X1188" s="4" t="str">
        <f>IFERROR(__xludf.DUMMYFUNCTION("""COMPUTED_VALUE"""),"Kat")</f>
        <v>Kat</v>
      </c>
      <c r="Y1188" s="4" t="str">
        <f>IFERROR(__xludf.DUMMYFUNCTION("""COMPUTED_VALUE"""),"4639738492299928602")</f>
        <v>4639738492299928602</v>
      </c>
    </row>
    <row r="1189">
      <c r="A1189" s="4" t="str">
        <f>IFERROR(__xludf.DUMMYFUNCTION("""COMPUTED_VALUE"""),"355 - Channel")</f>
        <v>355 - Channel</v>
      </c>
      <c r="B1189" s="4" t="str">
        <f>IFERROR(__xludf.DUMMYFUNCTION("""COMPUTED_VALUE"""),"Surplus ch.")</f>
        <v>Surplus ch.</v>
      </c>
      <c r="C1189" s="4" t="str">
        <f>IFERROR(__xludf.DUMMYFUNCTION("""COMPUTED_VALUE"""),"Day 3 - 25/06")</f>
        <v>Day 3 - 25/06</v>
      </c>
      <c r="D1189" s="6">
        <f>IFERROR(__xludf.DUMMYFUNCTION("""COMPUTED_VALUE"""),0.6949074074074079)</f>
        <v>0.6949074074</v>
      </c>
      <c r="E1189" s="6">
        <f>IFERROR(__xludf.DUMMYFUNCTION("""COMPUTED_VALUE"""),1.7361111111111112E-4)</f>
        <v>0.0001736111111</v>
      </c>
      <c r="F1189" s="6">
        <f>IFERROR(__xludf.DUMMYFUNCTION("""COMPUTED_VALUE"""),0.695081018518519)</f>
        <v>0.6950810185</v>
      </c>
      <c r="G1189" s="4" t="str">
        <f>IFERROR(__xludf.DUMMYFUNCTION("""COMPUTED_VALUE"""),"")</f>
        <v/>
      </c>
      <c r="H1189" s="4" t="str">
        <f>IFERROR(__xludf.DUMMYFUNCTION("""COMPUTED_VALUE"""),"")</f>
        <v/>
      </c>
      <c r="I1189" s="4" t="str">
        <f>IFERROR(__xludf.DUMMYFUNCTION("""COMPUTED_VALUE"""),"")</f>
        <v/>
      </c>
      <c r="J1189" s="4" t="str">
        <f>IFERROR(__xludf.DUMMYFUNCTION("""COMPUTED_VALUE"""),"")</f>
        <v/>
      </c>
      <c r="K1189" s="4" t="str">
        <f>IFERROR(__xludf.DUMMYFUNCTION("""COMPUTED_VALUE"""),"Talk Outro")</f>
        <v>Talk Outro</v>
      </c>
      <c r="L1189" s="4" t="str">
        <f>IFERROR(__xludf.DUMMYFUNCTION("""COMPUTED_VALUE"""),"")</f>
        <v/>
      </c>
      <c r="M1189" s="4" t="str">
        <f>IFERROR(__xludf.DUMMYFUNCTION("""COMPUTED_VALUE"""),"Talk Outro")</f>
        <v>Talk Outro</v>
      </c>
      <c r="N1189" s="4" t="str">
        <f>IFERROR(__xludf.DUMMYFUNCTION("""COMPUTED_VALUE"""),"Casey Lau, Web Summit")</f>
        <v>Casey Lau, Web Summit</v>
      </c>
      <c r="O1189" s="4" t="str">
        <f>IFERROR(__xludf.DUMMYFUNCTION("""COMPUTED_VALUE"""),"")</f>
        <v/>
      </c>
      <c r="P1189" s="4" t="str">
        <f>IFERROR(__xludf.DUMMYFUNCTION("""COMPUTED_VALUE"""),"")</f>
        <v/>
      </c>
      <c r="Q1189" s="4" t="str">
        <f>IFERROR(__xludf.DUMMYFUNCTION("""COMPUTED_VALUE"""),"")</f>
        <v/>
      </c>
      <c r="R1189" s="4" t="str">
        <f>IFERROR(__xludf.DUMMYFUNCTION("""COMPUTED_VALUE"""),"")</f>
        <v/>
      </c>
      <c r="S1189" s="4" t="str">
        <f>IFERROR(__xludf.DUMMYFUNCTION("""COMPUTED_VALUE"""),"")</f>
        <v/>
      </c>
      <c r="T1189" s="4" t="str">
        <f>IFERROR(__xludf.DUMMYFUNCTION("""COMPUTED_VALUE"""),"")</f>
        <v/>
      </c>
      <c r="U1189" s="4" t="str">
        <f>IFERROR(__xludf.DUMMYFUNCTION("""COMPUTED_VALUE"""),"")</f>
        <v/>
      </c>
      <c r="V1189" s="4" t="str">
        <f>IFERROR(__xludf.DUMMYFUNCTION("""COMPUTED_VALUE"""),"")</f>
        <v/>
      </c>
      <c r="W1189" s="4" t="str">
        <f>IFERROR(__xludf.DUMMYFUNCTION("""COMPUTED_VALUE"""),"")</f>
        <v/>
      </c>
      <c r="X1189" s="4" t="str">
        <f>IFERROR(__xludf.DUMMYFUNCTION("""COMPUTED_VALUE"""),"")</f>
        <v/>
      </c>
      <c r="Y1189" s="4" t="str">
        <f>IFERROR(__xludf.DUMMYFUNCTION("""COMPUTED_VALUE"""),"")</f>
        <v/>
      </c>
    </row>
    <row r="1190">
      <c r="A1190" s="4" t="str">
        <f>IFERROR(__xludf.DUMMYFUNCTION("""COMPUTED_VALUE"""),"997 - Channel")</f>
        <v>997 - Channel</v>
      </c>
      <c r="B1190" s="4" t="str">
        <f>IFERROR(__xludf.DUMMYFUNCTION("""COMPUTED_VALUE"""),"Surplus ch.")</f>
        <v>Surplus ch.</v>
      </c>
      <c r="C1190" s="4" t="str">
        <f>IFERROR(__xludf.DUMMYFUNCTION("""COMPUTED_VALUE"""),"Day 2 - 24/06")</f>
        <v>Day 2 - 24/06</v>
      </c>
      <c r="D1190" s="6">
        <f>IFERROR(__xludf.DUMMYFUNCTION("""COMPUTED_VALUE"""),0.695081018518519)</f>
        <v>0.6950810185</v>
      </c>
      <c r="E1190" s="6">
        <f>IFERROR(__xludf.DUMMYFUNCTION("""COMPUTED_VALUE"""),3.4722222222222224E-4)</f>
        <v>0.0003472222222</v>
      </c>
      <c r="F1190" s="6">
        <f>IFERROR(__xludf.DUMMYFUNCTION("""COMPUTED_VALUE"""),0.6954282407407413)</f>
        <v>0.6954282407</v>
      </c>
      <c r="G1190" s="4" t="str">
        <f>IFERROR(__xludf.DUMMYFUNCTION("""COMPUTED_VALUE"""),"Graphics")</f>
        <v>Graphics</v>
      </c>
      <c r="H1190" s="4" t="str">
        <f>IFERROR(__xludf.DUMMYFUNCTION("""COMPUTED_VALUE"""),"N/A")</f>
        <v>N/A</v>
      </c>
      <c r="I1190" s="4" t="str">
        <f>IFERROR(__xludf.DUMMYFUNCTION("""COMPUTED_VALUE"""),"N/A")</f>
        <v>N/A</v>
      </c>
      <c r="J1190" s="4" t="str">
        <f>IFERROR(__xludf.DUMMYFUNCTION("""COMPUTED_VALUE"""),"Payments")</f>
        <v>Payments</v>
      </c>
      <c r="K1190" s="4" t="str">
        <f>IFERROR(__xludf.DUMMYFUNCTION("""COMPUTED_VALUE"""),"Talk Intro")</f>
        <v>Talk Intro</v>
      </c>
      <c r="L1190" s="4" t="str">
        <f>IFERROR(__xludf.DUMMYFUNCTION("""COMPUTED_VALUE"""),"")</f>
        <v/>
      </c>
      <c r="M1190" s="4" t="str">
        <f>IFERROR(__xludf.DUMMYFUNCTION("""COMPUTED_VALUE"""),"Talk Intro")</f>
        <v>Talk Intro</v>
      </c>
      <c r="N1190" s="4" t="str">
        <f>IFERROR(__xludf.DUMMYFUNCTION("""COMPUTED_VALUE"""),"")</f>
        <v/>
      </c>
      <c r="O1190" s="4" t="str">
        <f>IFERROR(__xludf.DUMMYFUNCTION("""COMPUTED_VALUE"""),"")</f>
        <v/>
      </c>
      <c r="P1190" s="4" t="str">
        <f>IFERROR(__xludf.DUMMYFUNCTION("""COMPUTED_VALUE"""),"")</f>
        <v/>
      </c>
      <c r="Q1190" s="4" t="str">
        <f>IFERROR(__xludf.DUMMYFUNCTION("""COMPUTED_VALUE"""),"")</f>
        <v/>
      </c>
      <c r="R1190" s="4" t="str">
        <f>IFERROR(__xludf.DUMMYFUNCTION("""COMPUTED_VALUE"""),"")</f>
        <v/>
      </c>
      <c r="S1190" s="4" t="str">
        <f>IFERROR(__xludf.DUMMYFUNCTION("""COMPUTED_VALUE"""),"")</f>
        <v/>
      </c>
      <c r="T1190" s="4" t="str">
        <f>IFERROR(__xludf.DUMMYFUNCTION("""COMPUTED_VALUE"""),"")</f>
        <v/>
      </c>
      <c r="U1190" s="4" t="str">
        <f>IFERROR(__xludf.DUMMYFUNCTION("""COMPUTED_VALUE"""),"")</f>
        <v/>
      </c>
      <c r="V1190" s="4" t="str">
        <f>IFERROR(__xludf.DUMMYFUNCTION("""COMPUTED_VALUE"""),"")</f>
        <v/>
      </c>
      <c r="W1190" s="4" t="str">
        <f>IFERROR(__xludf.DUMMYFUNCTION("""COMPUTED_VALUE"""),"")</f>
        <v/>
      </c>
      <c r="X1190" s="4" t="str">
        <f>IFERROR(__xludf.DUMMYFUNCTION("""COMPUTED_VALUE"""),"")</f>
        <v/>
      </c>
      <c r="Y1190" s="4" t="str">
        <f>IFERROR(__xludf.DUMMYFUNCTION("""COMPUTED_VALUE"""),"")</f>
        <v/>
      </c>
    </row>
    <row r="1191">
      <c r="A1191" s="4" t="str">
        <f>IFERROR(__xludf.DUMMYFUNCTION("""COMPUTED_VALUE"""),"998 - Channel")</f>
        <v>998 - Channel</v>
      </c>
      <c r="B1191" s="4" t="str">
        <f>IFERROR(__xludf.DUMMYFUNCTION("""COMPUTED_VALUE"""),"Surplus ch.")</f>
        <v>Surplus ch.</v>
      </c>
      <c r="C1191" s="4" t="str">
        <f>IFERROR(__xludf.DUMMYFUNCTION("""COMPUTED_VALUE"""),"Day 2 - 24/06")</f>
        <v>Day 2 - 24/06</v>
      </c>
      <c r="D1191" s="6">
        <f>IFERROR(__xludf.DUMMYFUNCTION("""COMPUTED_VALUE"""),0.6954282407407413)</f>
        <v>0.6954282407</v>
      </c>
      <c r="E1191" s="6">
        <f>IFERROR(__xludf.DUMMYFUNCTION("""COMPUTED_VALUE"""),0.008333333333333333)</f>
        <v>0.008333333333</v>
      </c>
      <c r="F1191" s="6">
        <f>IFERROR(__xludf.DUMMYFUNCTION("""COMPUTED_VALUE"""),0.7037615740740746)</f>
        <v>0.7037615741</v>
      </c>
      <c r="G1191" s="4" t="str">
        <f>IFERROR(__xludf.DUMMYFUNCTION("""COMPUTED_VALUE"""),"Helen")</f>
        <v>Helen</v>
      </c>
      <c r="H1191" s="4" t="str">
        <f>IFERROR(__xludf.DUMMYFUNCTION("""COMPUTED_VALUE"""),"Shauna")</f>
        <v>Shauna</v>
      </c>
      <c r="I1191" s="4" t="str">
        <f>IFERROR(__xludf.DUMMYFUNCTION("""COMPUTED_VALUE"""),"Lucia H.")</f>
        <v>Lucia H.</v>
      </c>
      <c r="J1191" s="4" t="str">
        <f>IFERROR(__xludf.DUMMYFUNCTION("""COMPUTED_VALUE"""),"Payments")</f>
        <v>Payments</v>
      </c>
      <c r="K1191" s="4" t="str">
        <f>IFERROR(__xludf.DUMMYFUNCTION("""COMPUTED_VALUE"""),"Super Fireside")</f>
        <v>Super Fireside</v>
      </c>
      <c r="L1191" s="4" t="str">
        <f>IFERROR(__xludf.DUMMYFUNCTION("""COMPUTED_VALUE"""),"T- 8 - 27/04/2020")</f>
        <v>T- 8 - 27/04/2020</v>
      </c>
      <c r="M1191" s="4" t="str">
        <f>IFERROR(__xludf.DUMMYFUNCTION("""COMPUTED_VALUE"""),"Ch 3 Is inclusive finance in the US a pipe dream?")</f>
        <v>Ch 3 Is inclusive finance in the US a pipe dream?</v>
      </c>
      <c r="N1191" s="4" t="str">
        <f>IFERROR(__xludf.DUMMYFUNCTION("""COMPUTED_VALUE"""),"Brandon Krieg, Stash")</f>
        <v>Brandon Krieg, Stash</v>
      </c>
      <c r="O1191" s="4" t="str">
        <f>IFERROR(__xludf.DUMMYFUNCTION("""COMPUTED_VALUE"""),"Katica Roy, Pipeline Equity")</f>
        <v>Katica Roy, Pipeline Equity</v>
      </c>
      <c r="P1191" s="4" t="str">
        <f>IFERROR(__xludf.DUMMYFUNCTION("""COMPUTED_VALUE"""),"")</f>
        <v/>
      </c>
      <c r="Q1191" s="4" t="str">
        <f>IFERROR(__xludf.DUMMYFUNCTION("""COMPUTED_VALUE"""),"")</f>
        <v/>
      </c>
      <c r="R1191" s="4" t="str">
        <f>IFERROR(__xludf.DUMMYFUNCTION("""COMPUTED_VALUE"""),"Anne Gaviola, VICE Canada")</f>
        <v>Anne Gaviola, VICE Canada</v>
      </c>
      <c r="S1191" s="4" t="str">
        <f>IFERROR(__xludf.DUMMYFUNCTION("""COMPUTED_VALUE"""),"As fintechs race towards a one-size-fits-all mobile wallet in a divided US market, how can you ensure your product remains inclusive? ")</f>
        <v>As fintechs race towards a one-size-fits-all mobile wallet in a divided US market, how can you ensure your product remains inclusive? </v>
      </c>
      <c r="T1191" s="4" t="str">
        <f>IFERROR(__xludf.DUMMYFUNCTION("""COMPUTED_VALUE"""),"NON-KEYNOTE 9 - COMPLETE")</f>
        <v>NON-KEYNOTE 9 - COMPLETE</v>
      </c>
      <c r="U1191" s="23">
        <f>IFERROR(__xludf.DUMMYFUNCTION("""COMPUTED_VALUE"""),43980.0)</f>
        <v>43980</v>
      </c>
      <c r="V1191" s="24">
        <f>IFERROR(__xludf.DUMMYFUNCTION("""COMPUTED_VALUE"""),0.8125)</f>
        <v>0.8125</v>
      </c>
      <c r="W1191" s="4" t="str">
        <f>IFERROR(__xludf.DUMMYFUNCTION("""COMPUTED_VALUE"""),"COMPLETE")</f>
        <v>COMPLETE</v>
      </c>
      <c r="X1191" s="4" t="str">
        <f>IFERROR(__xludf.DUMMYFUNCTION("""COMPUTED_VALUE"""),"Helen")</f>
        <v>Helen</v>
      </c>
      <c r="Y1191" s="4" t="str">
        <f>IFERROR(__xludf.DUMMYFUNCTION("""COMPUTED_VALUE"""),"")</f>
        <v/>
      </c>
    </row>
    <row r="1192">
      <c r="A1192" s="4" t="str">
        <f>IFERROR(__xludf.DUMMYFUNCTION("""COMPUTED_VALUE"""),"999 - Channel")</f>
        <v>999 - Channel</v>
      </c>
      <c r="B1192" s="4" t="str">
        <f>IFERROR(__xludf.DUMMYFUNCTION("""COMPUTED_VALUE"""),"Surplus ch.")</f>
        <v>Surplus ch.</v>
      </c>
      <c r="C1192" s="4" t="str">
        <f>IFERROR(__xludf.DUMMYFUNCTION("""COMPUTED_VALUE"""),"Day 2 - 24/06")</f>
        <v>Day 2 - 24/06</v>
      </c>
      <c r="D1192" s="6">
        <f>IFERROR(__xludf.DUMMYFUNCTION("""COMPUTED_VALUE"""),0.7037615740740746)</f>
        <v>0.7037615741</v>
      </c>
      <c r="E1192" s="6">
        <f>IFERROR(__xludf.DUMMYFUNCTION("""COMPUTED_VALUE"""),1.7361111111111112E-4)</f>
        <v>0.0001736111111</v>
      </c>
      <c r="F1192" s="6">
        <f>IFERROR(__xludf.DUMMYFUNCTION("""COMPUTED_VALUE"""),0.7039351851851857)</f>
        <v>0.7039351852</v>
      </c>
      <c r="G1192" s="4" t="str">
        <f>IFERROR(__xludf.DUMMYFUNCTION("""COMPUTED_VALUE"""),"Graphics")</f>
        <v>Graphics</v>
      </c>
      <c r="H1192" s="4" t="str">
        <f>IFERROR(__xludf.DUMMYFUNCTION("""COMPUTED_VALUE"""),"N/A")</f>
        <v>N/A</v>
      </c>
      <c r="I1192" s="4" t="str">
        <f>IFERROR(__xludf.DUMMYFUNCTION("""COMPUTED_VALUE"""),"N/A")</f>
        <v>N/A</v>
      </c>
      <c r="J1192" s="4" t="str">
        <f>IFERROR(__xludf.DUMMYFUNCTION("""COMPUTED_VALUE"""),"Payments")</f>
        <v>Payments</v>
      </c>
      <c r="K1192" s="4" t="str">
        <f>IFERROR(__xludf.DUMMYFUNCTION("""COMPUTED_VALUE"""),"Talk Outro")</f>
        <v>Talk Outro</v>
      </c>
      <c r="L1192" s="4" t="str">
        <f>IFERROR(__xludf.DUMMYFUNCTION("""COMPUTED_VALUE"""),"")</f>
        <v/>
      </c>
      <c r="M1192" s="4" t="str">
        <f>IFERROR(__xludf.DUMMYFUNCTION("""COMPUTED_VALUE"""),"Talk Outro")</f>
        <v>Talk Outro</v>
      </c>
      <c r="N1192" s="4" t="str">
        <f>IFERROR(__xludf.DUMMYFUNCTION("""COMPUTED_VALUE"""),"")</f>
        <v/>
      </c>
      <c r="O1192" s="4" t="str">
        <f>IFERROR(__xludf.DUMMYFUNCTION("""COMPUTED_VALUE"""),"")</f>
        <v/>
      </c>
      <c r="P1192" s="4" t="str">
        <f>IFERROR(__xludf.DUMMYFUNCTION("""COMPUTED_VALUE"""),"")</f>
        <v/>
      </c>
      <c r="Q1192" s="4" t="str">
        <f>IFERROR(__xludf.DUMMYFUNCTION("""COMPUTED_VALUE"""),"")</f>
        <v/>
      </c>
      <c r="R1192" s="4" t="str">
        <f>IFERROR(__xludf.DUMMYFUNCTION("""COMPUTED_VALUE"""),"")</f>
        <v/>
      </c>
      <c r="S1192" s="4" t="str">
        <f>IFERROR(__xludf.DUMMYFUNCTION("""COMPUTED_VALUE"""),"")</f>
        <v/>
      </c>
      <c r="T1192" s="4" t="str">
        <f>IFERROR(__xludf.DUMMYFUNCTION("""COMPUTED_VALUE"""),"")</f>
        <v/>
      </c>
      <c r="U1192" s="4" t="str">
        <f>IFERROR(__xludf.DUMMYFUNCTION("""COMPUTED_VALUE"""),"")</f>
        <v/>
      </c>
      <c r="V1192" s="4" t="str">
        <f>IFERROR(__xludf.DUMMYFUNCTION("""COMPUTED_VALUE"""),"")</f>
        <v/>
      </c>
      <c r="W1192" s="4" t="str">
        <f>IFERROR(__xludf.DUMMYFUNCTION("""COMPUTED_VALUE"""),"")</f>
        <v/>
      </c>
      <c r="X1192" s="4" t="str">
        <f>IFERROR(__xludf.DUMMYFUNCTION("""COMPUTED_VALUE"""),"")</f>
        <v/>
      </c>
      <c r="Y1192" s="4" t="str">
        <f>IFERROR(__xludf.DUMMYFUNCTION("""COMPUTED_VALUE"""),"")</f>
        <v/>
      </c>
    </row>
    <row r="1193">
      <c r="A1193" s="4" t="str">
        <f>IFERROR(__xludf.DUMMYFUNCTION("""COMPUTED_VALUE"""),"1064 - Channel")</f>
        <v>1064 - Channel</v>
      </c>
      <c r="B1193" s="4" t="str">
        <f>IFERROR(__xludf.DUMMYFUNCTION("""COMPUTED_VALUE"""),"Surplus ch.")</f>
        <v>Surplus ch.</v>
      </c>
      <c r="C1193" s="4" t="str">
        <f>IFERROR(__xludf.DUMMYFUNCTION("""COMPUTED_VALUE"""),"Day 3 - 25/06")</f>
        <v>Day 3 - 25/06</v>
      </c>
      <c r="D1193" s="6">
        <f>IFERROR(__xludf.DUMMYFUNCTION("""COMPUTED_VALUE"""),0.7039351851851857)</f>
        <v>0.7039351852</v>
      </c>
      <c r="E1193" s="6">
        <f>IFERROR(__xludf.DUMMYFUNCTION("""COMPUTED_VALUE"""),3.4722222222222224E-4)</f>
        <v>0.0003472222222</v>
      </c>
      <c r="F1193" s="6">
        <f>IFERROR(__xludf.DUMMYFUNCTION("""COMPUTED_VALUE"""),0.704282407407408)</f>
        <v>0.7042824074</v>
      </c>
      <c r="G1193" s="4" t="str">
        <f>IFERROR(__xludf.DUMMYFUNCTION("""COMPUTED_VALUE"""),"Graphics")</f>
        <v>Graphics</v>
      </c>
      <c r="H1193" s="4" t="str">
        <f>IFERROR(__xludf.DUMMYFUNCTION("""COMPUTED_VALUE"""),"N/A")</f>
        <v>N/A</v>
      </c>
      <c r="I1193" s="4" t="str">
        <f>IFERROR(__xludf.DUMMYFUNCTION("""COMPUTED_VALUE"""),"N/A")</f>
        <v>N/A</v>
      </c>
      <c r="J1193" s="4" t="str">
        <f>IFERROR(__xludf.DUMMYFUNCTION("""COMPUTED_VALUE"""),"Developers")</f>
        <v>Developers</v>
      </c>
      <c r="K1193" s="4" t="str">
        <f>IFERROR(__xludf.DUMMYFUNCTION("""COMPUTED_VALUE"""),"Talk Intro")</f>
        <v>Talk Intro</v>
      </c>
      <c r="L1193" s="4" t="str">
        <f>IFERROR(__xludf.DUMMYFUNCTION("""COMPUTED_VALUE"""),"")</f>
        <v/>
      </c>
      <c r="M1193" s="4" t="str">
        <f>IFERROR(__xludf.DUMMYFUNCTION("""COMPUTED_VALUE"""),"Talk Intro")</f>
        <v>Talk Intro</v>
      </c>
      <c r="N1193" s="4" t="str">
        <f>IFERROR(__xludf.DUMMYFUNCTION("""COMPUTED_VALUE"""),"")</f>
        <v/>
      </c>
      <c r="O1193" s="4" t="str">
        <f>IFERROR(__xludf.DUMMYFUNCTION("""COMPUTED_VALUE"""),"")</f>
        <v/>
      </c>
      <c r="P1193" s="4" t="str">
        <f>IFERROR(__xludf.DUMMYFUNCTION("""COMPUTED_VALUE"""),"")</f>
        <v/>
      </c>
      <c r="Q1193" s="4" t="str">
        <f>IFERROR(__xludf.DUMMYFUNCTION("""COMPUTED_VALUE"""),"")</f>
        <v/>
      </c>
      <c r="R1193" s="4" t="str">
        <f>IFERROR(__xludf.DUMMYFUNCTION("""COMPUTED_VALUE"""),"")</f>
        <v/>
      </c>
      <c r="S1193" s="4" t="str">
        <f>IFERROR(__xludf.DUMMYFUNCTION("""COMPUTED_VALUE"""),"")</f>
        <v/>
      </c>
      <c r="T1193" s="4" t="str">
        <f>IFERROR(__xludf.DUMMYFUNCTION("""COMPUTED_VALUE"""),"")</f>
        <v/>
      </c>
      <c r="U1193" s="4" t="str">
        <f>IFERROR(__xludf.DUMMYFUNCTION("""COMPUTED_VALUE"""),"")</f>
        <v/>
      </c>
      <c r="V1193" s="4" t="str">
        <f>IFERROR(__xludf.DUMMYFUNCTION("""COMPUTED_VALUE"""),"")</f>
        <v/>
      </c>
      <c r="W1193" s="4" t="str">
        <f>IFERROR(__xludf.DUMMYFUNCTION("""COMPUTED_VALUE"""),"")</f>
        <v/>
      </c>
      <c r="X1193" s="4" t="str">
        <f>IFERROR(__xludf.DUMMYFUNCTION("""COMPUTED_VALUE"""),"")</f>
        <v/>
      </c>
      <c r="Y1193" s="4" t="str">
        <f>IFERROR(__xludf.DUMMYFUNCTION("""COMPUTED_VALUE"""),"")</f>
        <v/>
      </c>
    </row>
    <row r="1194">
      <c r="A1194" s="4" t="str">
        <f>IFERROR(__xludf.DUMMYFUNCTION("""COMPUTED_VALUE"""),"1065 - Channel")</f>
        <v>1065 - Channel</v>
      </c>
      <c r="B1194" s="4" t="str">
        <f>IFERROR(__xludf.DUMMYFUNCTION("""COMPUTED_VALUE"""),"Surplus ch.")</f>
        <v>Surplus ch.</v>
      </c>
      <c r="C1194" s="4" t="str">
        <f>IFERROR(__xludf.DUMMYFUNCTION("""COMPUTED_VALUE"""),"Day 3 - 25/06")</f>
        <v>Day 3 - 25/06</v>
      </c>
      <c r="D1194" s="6">
        <f>IFERROR(__xludf.DUMMYFUNCTION("""COMPUTED_VALUE"""),0.704282407407408)</f>
        <v>0.7042824074</v>
      </c>
      <c r="E1194" s="6">
        <f>IFERROR(__xludf.DUMMYFUNCTION("""COMPUTED_VALUE"""),0.007326388888888889)</f>
        <v>0.007326388889</v>
      </c>
      <c r="F1194" s="6">
        <f>IFERROR(__xludf.DUMMYFUNCTION("""COMPUTED_VALUE"""),0.7116087962962969)</f>
        <v>0.7116087963</v>
      </c>
      <c r="G1194" s="4" t="str">
        <f>IFERROR(__xludf.DUMMYFUNCTION("""COMPUTED_VALUE"""),"Laura")</f>
        <v>Laura</v>
      </c>
      <c r="H1194" s="4" t="str">
        <f>IFERROR(__xludf.DUMMYFUNCTION("""COMPUTED_VALUE"""),"")</f>
        <v/>
      </c>
      <c r="I1194" s="4" t="str">
        <f>IFERROR(__xludf.DUMMYFUNCTION("""COMPUTED_VALUE"""),"Hannah")</f>
        <v>Hannah</v>
      </c>
      <c r="J1194" s="4" t="str">
        <f>IFERROR(__xludf.DUMMYFUNCTION("""COMPUTED_VALUE"""),"Developers")</f>
        <v>Developers</v>
      </c>
      <c r="K1194" s="4" t="str">
        <f>IFERROR(__xludf.DUMMYFUNCTION("""COMPUTED_VALUE"""),"Keynote")</f>
        <v>Keynote</v>
      </c>
      <c r="L1194" s="4" t="str">
        <f>IFERROR(__xludf.DUMMYFUNCTION("""COMPUTED_VALUE"""),"T- 9 - 20/04/2020")</f>
        <v>T- 9 - 20/04/2020</v>
      </c>
      <c r="M1194" s="4" t="str">
        <f>IFERROR(__xludf.DUMMYFUNCTION("""COMPUTED_VALUE"""),"ch 3 Kubernetes: Seed to a universal control plane")</f>
        <v>ch 3 Kubernetes: Seed to a universal control plane</v>
      </c>
      <c r="N1194" s="4" t="str">
        <f>IFERROR(__xludf.DUMMYFUNCTION("""COMPUTED_VALUE"""),"Joe Beda, VMware")</f>
        <v>Joe Beda, VMware</v>
      </c>
      <c r="O1194" s="4" t="str">
        <f>IFERROR(__xludf.DUMMYFUNCTION("""COMPUTED_VALUE"""),"")</f>
        <v/>
      </c>
      <c r="P1194" s="4" t="str">
        <f>IFERROR(__xludf.DUMMYFUNCTION("""COMPUTED_VALUE"""),"")</f>
        <v/>
      </c>
      <c r="Q1194" s="4" t="str">
        <f>IFERROR(__xludf.DUMMYFUNCTION("""COMPUTED_VALUE"""),"")</f>
        <v/>
      </c>
      <c r="R1194" s="4" t="str">
        <f>IFERROR(__xludf.DUMMYFUNCTION("""COMPUTED_VALUE"""),"")</f>
        <v/>
      </c>
      <c r="S1194" s="4" t="str">
        <f>IFERROR(__xludf.DUMMYFUNCTION("""COMPUTED_VALUE"""),"Hold on tight while Kubernetes founder Joe Beda gives you a whirlwind tour of how the container-orchestration system works, and explains how it's set up to do so much more than just run some containers. Joe will also explore some of the company's history "&amp;"and and take a look at where innovation in the ecosystem is now.")</f>
        <v>Hold on tight while Kubernetes founder Joe Beda gives you a whirlwind tour of how the container-orchestration system works, and explains how it's set up to do so much more than just run some containers. Joe will also explore some of the company's history and and take a look at where innovation in the ecosystem is now.</v>
      </c>
      <c r="T1194" s="4" t="str">
        <f>IFERROR(__xludf.DUMMYFUNCTION("""COMPUTED_VALUE"""),"NON-KEYNOTE 9 - COMPLETE")</f>
        <v>NON-KEYNOTE 9 - COMPLETE</v>
      </c>
      <c r="U1194" s="23">
        <f>IFERROR(__xludf.DUMMYFUNCTION("""COMPUTED_VALUE"""),43945.0)</f>
        <v>43945</v>
      </c>
      <c r="V1194" s="24">
        <f>IFERROR(__xludf.DUMMYFUNCTION("""COMPUTED_VALUE"""),0.625)</f>
        <v>0.625</v>
      </c>
      <c r="W1194" s="4" t="str">
        <f>IFERROR(__xludf.DUMMYFUNCTION("""COMPUTED_VALUE"""),"COMPLETE")</f>
        <v>COMPLETE</v>
      </c>
      <c r="X1194" s="4" t="str">
        <f>IFERROR(__xludf.DUMMYFUNCTION("""COMPUTED_VALUE"""),"Laura")</f>
        <v>Laura</v>
      </c>
      <c r="Y1194" s="4" t="str">
        <f>IFERROR(__xludf.DUMMYFUNCTION("""COMPUTED_VALUE"""),"4634594316714754172")</f>
        <v>4634594316714754172</v>
      </c>
    </row>
    <row r="1195">
      <c r="A1195" s="4" t="str">
        <f>IFERROR(__xludf.DUMMYFUNCTION("""COMPUTED_VALUE"""),"1066 - Channel")</f>
        <v>1066 - Channel</v>
      </c>
      <c r="B1195" s="4" t="str">
        <f>IFERROR(__xludf.DUMMYFUNCTION("""COMPUTED_VALUE"""),"Surplus ch.")</f>
        <v>Surplus ch.</v>
      </c>
      <c r="C1195" s="4" t="str">
        <f>IFERROR(__xludf.DUMMYFUNCTION("""COMPUTED_VALUE"""),"Day 3 - 25/06")</f>
        <v>Day 3 - 25/06</v>
      </c>
      <c r="D1195" s="6">
        <f>IFERROR(__xludf.DUMMYFUNCTION("""COMPUTED_VALUE"""),0.7116087962962969)</f>
        <v>0.7116087963</v>
      </c>
      <c r="E1195" s="6">
        <f>IFERROR(__xludf.DUMMYFUNCTION("""COMPUTED_VALUE"""),1.7361111111111112E-4)</f>
        <v>0.0001736111111</v>
      </c>
      <c r="F1195" s="6">
        <f>IFERROR(__xludf.DUMMYFUNCTION("""COMPUTED_VALUE"""),0.7117824074074081)</f>
        <v>0.7117824074</v>
      </c>
      <c r="G1195" s="4" t="str">
        <f>IFERROR(__xludf.DUMMYFUNCTION("""COMPUTED_VALUE"""),"Graphics")</f>
        <v>Graphics</v>
      </c>
      <c r="H1195" s="4" t="str">
        <f>IFERROR(__xludf.DUMMYFUNCTION("""COMPUTED_VALUE"""),"N/A")</f>
        <v>N/A</v>
      </c>
      <c r="I1195" s="4" t="str">
        <f>IFERROR(__xludf.DUMMYFUNCTION("""COMPUTED_VALUE"""),"N/A")</f>
        <v>N/A</v>
      </c>
      <c r="J1195" s="4" t="str">
        <f>IFERROR(__xludf.DUMMYFUNCTION("""COMPUTED_VALUE"""),"Developers")</f>
        <v>Developers</v>
      </c>
      <c r="K1195" s="4" t="str">
        <f>IFERROR(__xludf.DUMMYFUNCTION("""COMPUTED_VALUE"""),"Talk Outro")</f>
        <v>Talk Outro</v>
      </c>
      <c r="L1195" s="4" t="str">
        <f>IFERROR(__xludf.DUMMYFUNCTION("""COMPUTED_VALUE"""),"")</f>
        <v/>
      </c>
      <c r="M1195" s="4" t="str">
        <f>IFERROR(__xludf.DUMMYFUNCTION("""COMPUTED_VALUE"""),"Talk Outro")</f>
        <v>Talk Outro</v>
      </c>
      <c r="N1195" s="4" t="str">
        <f>IFERROR(__xludf.DUMMYFUNCTION("""COMPUTED_VALUE"""),"")</f>
        <v/>
      </c>
      <c r="O1195" s="4" t="str">
        <f>IFERROR(__xludf.DUMMYFUNCTION("""COMPUTED_VALUE"""),"")</f>
        <v/>
      </c>
      <c r="P1195" s="4" t="str">
        <f>IFERROR(__xludf.DUMMYFUNCTION("""COMPUTED_VALUE"""),"")</f>
        <v/>
      </c>
      <c r="Q1195" s="4" t="str">
        <f>IFERROR(__xludf.DUMMYFUNCTION("""COMPUTED_VALUE"""),"")</f>
        <v/>
      </c>
      <c r="R1195" s="4" t="str">
        <f>IFERROR(__xludf.DUMMYFUNCTION("""COMPUTED_VALUE"""),"")</f>
        <v/>
      </c>
      <c r="S1195" s="4" t="str">
        <f>IFERROR(__xludf.DUMMYFUNCTION("""COMPUTED_VALUE"""),"")</f>
        <v/>
      </c>
      <c r="T1195" s="4" t="str">
        <f>IFERROR(__xludf.DUMMYFUNCTION("""COMPUTED_VALUE"""),"")</f>
        <v/>
      </c>
      <c r="U1195" s="4" t="str">
        <f>IFERROR(__xludf.DUMMYFUNCTION("""COMPUTED_VALUE"""),"")</f>
        <v/>
      </c>
      <c r="V1195" s="4" t="str">
        <f>IFERROR(__xludf.DUMMYFUNCTION("""COMPUTED_VALUE"""),"")</f>
        <v/>
      </c>
      <c r="W1195" s="4" t="str">
        <f>IFERROR(__xludf.DUMMYFUNCTION("""COMPUTED_VALUE"""),"")</f>
        <v/>
      </c>
      <c r="X1195" s="4" t="str">
        <f>IFERROR(__xludf.DUMMYFUNCTION("""COMPUTED_VALUE"""),"")</f>
        <v/>
      </c>
      <c r="Y1195" s="4" t="str">
        <f>IFERROR(__xludf.DUMMYFUNCTION("""COMPUTED_VALUE"""),"")</f>
        <v/>
      </c>
    </row>
    <row r="1196">
      <c r="A1196" s="4" t="str">
        <f>IFERROR(__xludf.DUMMYFUNCTION("""COMPUTED_VALUE"""),"945 - Channel")</f>
        <v>945 - Channel</v>
      </c>
      <c r="B1196" s="4" t="str">
        <f>IFERROR(__xludf.DUMMYFUNCTION("""COMPUTED_VALUE"""),"Surplus ch.")</f>
        <v>Surplus ch.</v>
      </c>
      <c r="C1196" s="4" t="str">
        <f>IFERROR(__xludf.DUMMYFUNCTION("""COMPUTED_VALUE"""),"Day 2 - 24/06")</f>
        <v>Day 2 - 24/06</v>
      </c>
      <c r="D1196" s="6">
        <f>IFERROR(__xludf.DUMMYFUNCTION("""COMPUTED_VALUE"""),0.7117824074074081)</f>
        <v>0.7117824074</v>
      </c>
      <c r="E1196" s="53">
        <f>IFERROR(__xludf.DUMMYFUNCTION("""COMPUTED_VALUE"""),3.4722222222222224E-4)</f>
        <v>0.0003472222222</v>
      </c>
      <c r="F1196" s="6">
        <f>IFERROR(__xludf.DUMMYFUNCTION("""COMPUTED_VALUE"""),0.7121296296296303)</f>
        <v>0.7121296296</v>
      </c>
      <c r="G1196" s="4" t="str">
        <f>IFERROR(__xludf.DUMMYFUNCTION("""COMPUTED_VALUE"""),"Graphics")</f>
        <v>Graphics</v>
      </c>
      <c r="H1196" s="4" t="str">
        <f>IFERROR(__xludf.DUMMYFUNCTION("""COMPUTED_VALUE"""),"N/A")</f>
        <v>N/A</v>
      </c>
      <c r="I1196" s="4" t="str">
        <f>IFERROR(__xludf.DUMMYFUNCTION("""COMPUTED_VALUE"""),"N/A")</f>
        <v>N/A</v>
      </c>
      <c r="J1196" s="4" t="str">
        <f>IFERROR(__xludf.DUMMYFUNCTION("""COMPUTED_VALUE"""),"Gaming")</f>
        <v>Gaming</v>
      </c>
      <c r="K1196" s="4" t="str">
        <f>IFERROR(__xludf.DUMMYFUNCTION("""COMPUTED_VALUE"""),"Talk Intro")</f>
        <v>Talk Intro</v>
      </c>
      <c r="L1196" s="4" t="str">
        <f>IFERROR(__xludf.DUMMYFUNCTION("""COMPUTED_VALUE"""),"")</f>
        <v/>
      </c>
      <c r="M1196" s="4" t="str">
        <f>IFERROR(__xludf.DUMMYFUNCTION("""COMPUTED_VALUE"""),"Talk Intro")</f>
        <v>Talk Intro</v>
      </c>
      <c r="N1196" s="4" t="str">
        <f>IFERROR(__xludf.DUMMYFUNCTION("""COMPUTED_VALUE"""),"")</f>
        <v/>
      </c>
      <c r="O1196" s="4" t="str">
        <f>IFERROR(__xludf.DUMMYFUNCTION("""COMPUTED_VALUE"""),"")</f>
        <v/>
      </c>
      <c r="P1196" s="4" t="str">
        <f>IFERROR(__xludf.DUMMYFUNCTION("""COMPUTED_VALUE"""),"")</f>
        <v/>
      </c>
      <c r="Q1196" s="4" t="str">
        <f>IFERROR(__xludf.DUMMYFUNCTION("""COMPUTED_VALUE"""),"")</f>
        <v/>
      </c>
      <c r="R1196" s="4" t="str">
        <f>IFERROR(__xludf.DUMMYFUNCTION("""COMPUTED_VALUE"""),"")</f>
        <v/>
      </c>
      <c r="S1196" s="4" t="str">
        <f>IFERROR(__xludf.DUMMYFUNCTION("""COMPUTED_VALUE"""),"")</f>
        <v/>
      </c>
      <c r="T1196" s="4" t="str">
        <f>IFERROR(__xludf.DUMMYFUNCTION("""COMPUTED_VALUE"""),"")</f>
        <v/>
      </c>
      <c r="U1196" s="4" t="str">
        <f>IFERROR(__xludf.DUMMYFUNCTION("""COMPUTED_VALUE"""),"")</f>
        <v/>
      </c>
      <c r="V1196" s="4" t="str">
        <f>IFERROR(__xludf.DUMMYFUNCTION("""COMPUTED_VALUE"""),"")</f>
        <v/>
      </c>
      <c r="W1196" s="4" t="str">
        <f>IFERROR(__xludf.DUMMYFUNCTION("""COMPUTED_VALUE"""),"")</f>
        <v/>
      </c>
      <c r="X1196" s="4" t="str">
        <f>IFERROR(__xludf.DUMMYFUNCTION("""COMPUTED_VALUE"""),"")</f>
        <v/>
      </c>
      <c r="Y1196" s="4" t="str">
        <f>IFERROR(__xludf.DUMMYFUNCTION("""COMPUTED_VALUE"""),"")</f>
        <v/>
      </c>
    </row>
    <row r="1197">
      <c r="A1197" s="4" t="str">
        <f>IFERROR(__xludf.DUMMYFUNCTION("""COMPUTED_VALUE"""),"946 - Channel")</f>
        <v>946 - Channel</v>
      </c>
      <c r="B1197" s="4" t="str">
        <f>IFERROR(__xludf.DUMMYFUNCTION("""COMPUTED_VALUE"""),"Surplus ch.")</f>
        <v>Surplus ch.</v>
      </c>
      <c r="C1197" s="4" t="str">
        <f>IFERROR(__xludf.DUMMYFUNCTION("""COMPUTED_VALUE"""),"Day 2 - 24/06")</f>
        <v>Day 2 - 24/06</v>
      </c>
      <c r="D1197" s="6">
        <f>IFERROR(__xludf.DUMMYFUNCTION("""COMPUTED_VALUE"""),0.7121296296296303)</f>
        <v>0.7121296296</v>
      </c>
      <c r="E1197" s="6">
        <f>IFERROR(__xludf.DUMMYFUNCTION("""COMPUTED_VALUE"""),0.007638888888888889)</f>
        <v>0.007638888889</v>
      </c>
      <c r="F1197" s="6">
        <f>IFERROR(__xludf.DUMMYFUNCTION("""COMPUTED_VALUE"""),0.7197685185185192)</f>
        <v>0.7197685185</v>
      </c>
      <c r="G1197" s="4" t="str">
        <f>IFERROR(__xludf.DUMMYFUNCTION("""COMPUTED_VALUE"""),"Darragh")</f>
        <v>Darragh</v>
      </c>
      <c r="H1197" s="4" t="str">
        <f>IFERROR(__xludf.DUMMYFUNCTION("""COMPUTED_VALUE"""),"N/A")</f>
        <v>N/A</v>
      </c>
      <c r="I1197" s="4" t="str">
        <f>IFERROR(__xludf.DUMMYFUNCTION("""COMPUTED_VALUE"""),"Lynn")</f>
        <v>Lynn</v>
      </c>
      <c r="J1197" s="4" t="str">
        <f>IFERROR(__xludf.DUMMYFUNCTION("""COMPUTED_VALUE"""),"Gaming")</f>
        <v>Gaming</v>
      </c>
      <c r="K1197" s="4" t="str">
        <f>IFERROR(__xludf.DUMMYFUNCTION("""COMPUTED_VALUE"""),"Keynote")</f>
        <v>Keynote</v>
      </c>
      <c r="L1197" s="4" t="str">
        <f>IFERROR(__xludf.DUMMYFUNCTION("""COMPUTED_VALUE"""),"T- 2 - 08/06/2020")</f>
        <v>T- 2 - 08/06/2020</v>
      </c>
      <c r="M1197" s="4" t="str">
        <f>IFERROR(__xludf.DUMMYFUNCTION("""COMPUTED_VALUE"""),"Microprocessing: The race is on")</f>
        <v>Microprocessing: The race is on</v>
      </c>
      <c r="N1197" s="4" t="str">
        <f>IFERROR(__xludf.DUMMYFUNCTION("""COMPUTED_VALUE"""),"Mark Papermaster, Advanced Micro Devices")</f>
        <v>Mark Papermaster, Advanced Micro Devices</v>
      </c>
      <c r="O1197" s="4" t="str">
        <f>IFERROR(__xludf.DUMMYFUNCTION("""COMPUTED_VALUE"""),"")</f>
        <v/>
      </c>
      <c r="P1197" s="4" t="str">
        <f>IFERROR(__xludf.DUMMYFUNCTION("""COMPUTED_VALUE"""),"")</f>
        <v/>
      </c>
      <c r="Q1197" s="4" t="str">
        <f>IFERROR(__xludf.DUMMYFUNCTION("""COMPUTED_VALUE"""),"")</f>
        <v/>
      </c>
      <c r="R1197" s="4" t="str">
        <f>IFERROR(__xludf.DUMMYFUNCTION("""COMPUTED_VALUE"""),"")</f>
        <v/>
      </c>
      <c r="S1197" s="4" t="str">
        <f>IFERROR(__xludf.DUMMYFUNCTION("""COMPUTED_VALUE"""),"Hear from AMD's CTO about the race to design, make and ship the best microprocessors on the planet.")</f>
        <v>Hear from AMD's CTO about the race to design, make and ship the best microprocessors on the planet.</v>
      </c>
      <c r="T1197" s="4" t="str">
        <f>IFERROR(__xludf.DUMMYFUNCTION("""COMPUTED_VALUE"""),"Recording MISSED/NEEDS TO BE RERECORDED/RESCHEDULED")</f>
        <v>Recording MISSED/NEEDS TO BE RERECORDED/RESCHEDULED</v>
      </c>
      <c r="U1197" s="23">
        <f>IFERROR(__xludf.DUMMYFUNCTION("""COMPUTED_VALUE"""),43990.0)</f>
        <v>43990</v>
      </c>
      <c r="V1197" s="4" t="str">
        <f>IFERROR(__xludf.DUMMYFUNCTION("""COMPUTED_VALUE"""),"Recording themselves")</f>
        <v>Recording themselves</v>
      </c>
      <c r="W1197" s="4" t="str">
        <f>IFERROR(__xludf.DUMMYFUNCTION("""COMPUTED_VALUE"""),"TBC")</f>
        <v>TBC</v>
      </c>
      <c r="X1197" s="4" t="str">
        <f>IFERROR(__xludf.DUMMYFUNCTION("""COMPUTED_VALUE"""),"Darragh")</f>
        <v>Darragh</v>
      </c>
      <c r="Y1197" s="4" t="str">
        <f>IFERROR(__xludf.DUMMYFUNCTION("""COMPUTED_VALUE"""),"")</f>
        <v/>
      </c>
    </row>
    <row r="1198">
      <c r="A1198" s="4" t="str">
        <f>IFERROR(__xludf.DUMMYFUNCTION("""COMPUTED_VALUE"""),"947 - Channel")</f>
        <v>947 - Channel</v>
      </c>
      <c r="B1198" s="4" t="str">
        <f>IFERROR(__xludf.DUMMYFUNCTION("""COMPUTED_VALUE"""),"Surplus ch.")</f>
        <v>Surplus ch.</v>
      </c>
      <c r="C1198" s="4" t="str">
        <f>IFERROR(__xludf.DUMMYFUNCTION("""COMPUTED_VALUE"""),"Day 2 - 24/06")</f>
        <v>Day 2 - 24/06</v>
      </c>
      <c r="D1198" s="6">
        <f>IFERROR(__xludf.DUMMYFUNCTION("""COMPUTED_VALUE"""),0.7197685185185192)</f>
        <v>0.7197685185</v>
      </c>
      <c r="E1198" s="6">
        <f>IFERROR(__xludf.DUMMYFUNCTION("""COMPUTED_VALUE"""),1.7361111111111112E-4)</f>
        <v>0.0001736111111</v>
      </c>
      <c r="F1198" s="6">
        <f>IFERROR(__xludf.DUMMYFUNCTION("""COMPUTED_VALUE"""),0.7199421296296303)</f>
        <v>0.7199421296</v>
      </c>
      <c r="G1198" s="4" t="str">
        <f>IFERROR(__xludf.DUMMYFUNCTION("""COMPUTED_VALUE"""),"Graphics")</f>
        <v>Graphics</v>
      </c>
      <c r="H1198" s="4" t="str">
        <f>IFERROR(__xludf.DUMMYFUNCTION("""COMPUTED_VALUE"""),"")</f>
        <v/>
      </c>
      <c r="I1198" s="4" t="str">
        <f>IFERROR(__xludf.DUMMYFUNCTION("""COMPUTED_VALUE"""),"")</f>
        <v/>
      </c>
      <c r="J1198" s="4" t="str">
        <f>IFERROR(__xludf.DUMMYFUNCTION("""COMPUTED_VALUE"""),"Gaming")</f>
        <v>Gaming</v>
      </c>
      <c r="K1198" s="4" t="str">
        <f>IFERROR(__xludf.DUMMYFUNCTION("""COMPUTED_VALUE"""),"Talk Outro")</f>
        <v>Talk Outro</v>
      </c>
      <c r="L1198" s="4" t="str">
        <f>IFERROR(__xludf.DUMMYFUNCTION("""COMPUTED_VALUE"""),"")</f>
        <v/>
      </c>
      <c r="M1198" s="4" t="str">
        <f>IFERROR(__xludf.DUMMYFUNCTION("""COMPUTED_VALUE"""),"Talk Outro")</f>
        <v>Talk Outro</v>
      </c>
      <c r="N1198" s="4" t="str">
        <f>IFERROR(__xludf.DUMMYFUNCTION("""COMPUTED_VALUE"""),"")</f>
        <v/>
      </c>
      <c r="O1198" s="4" t="str">
        <f>IFERROR(__xludf.DUMMYFUNCTION("""COMPUTED_VALUE"""),"")</f>
        <v/>
      </c>
      <c r="P1198" s="4" t="str">
        <f>IFERROR(__xludf.DUMMYFUNCTION("""COMPUTED_VALUE"""),"")</f>
        <v/>
      </c>
      <c r="Q1198" s="4" t="str">
        <f>IFERROR(__xludf.DUMMYFUNCTION("""COMPUTED_VALUE"""),"")</f>
        <v/>
      </c>
      <c r="R1198" s="4" t="str">
        <f>IFERROR(__xludf.DUMMYFUNCTION("""COMPUTED_VALUE"""),"")</f>
        <v/>
      </c>
      <c r="S1198" s="4" t="str">
        <f>IFERROR(__xludf.DUMMYFUNCTION("""COMPUTED_VALUE"""),"")</f>
        <v/>
      </c>
      <c r="T1198" s="4" t="str">
        <f>IFERROR(__xludf.DUMMYFUNCTION("""COMPUTED_VALUE"""),"")</f>
        <v/>
      </c>
      <c r="U1198" s="4" t="str">
        <f>IFERROR(__xludf.DUMMYFUNCTION("""COMPUTED_VALUE"""),"")</f>
        <v/>
      </c>
      <c r="V1198" s="4" t="str">
        <f>IFERROR(__xludf.DUMMYFUNCTION("""COMPUTED_VALUE"""),"")</f>
        <v/>
      </c>
      <c r="W1198" s="4" t="str">
        <f>IFERROR(__xludf.DUMMYFUNCTION("""COMPUTED_VALUE"""),"")</f>
        <v/>
      </c>
      <c r="X1198" s="4" t="str">
        <f>IFERROR(__xludf.DUMMYFUNCTION("""COMPUTED_VALUE"""),"")</f>
        <v/>
      </c>
      <c r="Y1198" s="4" t="str">
        <f>IFERROR(__xludf.DUMMYFUNCTION("""COMPUTED_VALUE"""),"")</f>
        <v/>
      </c>
    </row>
    <row r="1199">
      <c r="A1199" s="4" t="str">
        <f>IFERROR(__xludf.DUMMYFUNCTION("""COMPUTED_VALUE"""),"419 - Channel")</f>
        <v>419 - Channel</v>
      </c>
      <c r="B1199" s="4" t="str">
        <f>IFERROR(__xludf.DUMMYFUNCTION("""COMPUTED_VALUE"""),"Surplus ch.")</f>
        <v>Surplus ch.</v>
      </c>
      <c r="C1199" s="4" t="str">
        <f>IFERROR(__xludf.DUMMYFUNCTION("""COMPUTED_VALUE"""),"Day 1 - 23/06")</f>
        <v>Day 1 - 23/06</v>
      </c>
      <c r="D1199" s="4">
        <f>IFERROR(__xludf.DUMMYFUNCTION("""COMPUTED_VALUE"""),0.49224537037037047)</f>
        <v>0.4922453704</v>
      </c>
      <c r="E1199" s="6">
        <f>IFERROR(__xludf.DUMMYFUNCTION("""COMPUTED_VALUE"""),3.4722222222222224E-4)</f>
        <v>0.0003472222222</v>
      </c>
      <c r="F1199" s="6">
        <f>IFERROR(__xludf.DUMMYFUNCTION("""COMPUTED_VALUE"""),0.4925925925925927)</f>
        <v>0.4925925926</v>
      </c>
      <c r="G1199" s="4" t="str">
        <f>IFERROR(__xludf.DUMMYFUNCTION("""COMPUTED_VALUE"""),"Graphics")</f>
        <v>Graphics</v>
      </c>
      <c r="H1199" s="4" t="str">
        <f>IFERROR(__xludf.DUMMYFUNCTION("""COMPUTED_VALUE"""),"")</f>
        <v/>
      </c>
      <c r="I1199" s="4" t="str">
        <f>IFERROR(__xludf.DUMMYFUNCTION("""COMPUTED_VALUE"""),"")</f>
        <v/>
      </c>
      <c r="J1199" s="4" t="str">
        <f>IFERROR(__xludf.DUMMYFUNCTION("""COMPUTED_VALUE"""),"Media")</f>
        <v>Media</v>
      </c>
      <c r="K1199" s="4" t="str">
        <f>IFERROR(__xludf.DUMMYFUNCTION("""COMPUTED_VALUE"""),"Talk Intro")</f>
        <v>Talk Intro</v>
      </c>
      <c r="L1199" s="4" t="str">
        <f>IFERROR(__xludf.DUMMYFUNCTION("""COMPUTED_VALUE"""),"")</f>
        <v/>
      </c>
      <c r="M1199" s="4" t="str">
        <f>IFERROR(__xludf.DUMMYFUNCTION("""COMPUTED_VALUE"""),"Talk Intro")</f>
        <v>Talk Intro</v>
      </c>
      <c r="N1199" s="4" t="str">
        <f>IFERROR(__xludf.DUMMYFUNCTION("""COMPUTED_VALUE"""),"")</f>
        <v/>
      </c>
      <c r="O1199" s="4" t="str">
        <f>IFERROR(__xludf.DUMMYFUNCTION("""COMPUTED_VALUE"""),"")</f>
        <v/>
      </c>
      <c r="P1199" s="4" t="str">
        <f>IFERROR(__xludf.DUMMYFUNCTION("""COMPUTED_VALUE"""),"")</f>
        <v/>
      </c>
      <c r="Q1199" s="4" t="str">
        <f>IFERROR(__xludf.DUMMYFUNCTION("""COMPUTED_VALUE"""),"")</f>
        <v/>
      </c>
      <c r="R1199" s="4" t="str">
        <f>IFERROR(__xludf.DUMMYFUNCTION("""COMPUTED_VALUE"""),"")</f>
        <v/>
      </c>
      <c r="S1199" s="4" t="str">
        <f>IFERROR(__xludf.DUMMYFUNCTION("""COMPUTED_VALUE"""),"")</f>
        <v/>
      </c>
      <c r="T1199" s="4" t="str">
        <f>IFERROR(__xludf.DUMMYFUNCTION("""COMPUTED_VALUE"""),"")</f>
        <v/>
      </c>
      <c r="U1199" s="4" t="str">
        <f>IFERROR(__xludf.DUMMYFUNCTION("""COMPUTED_VALUE"""),"")</f>
        <v/>
      </c>
      <c r="V1199" s="4" t="str">
        <f>IFERROR(__xludf.DUMMYFUNCTION("""COMPUTED_VALUE"""),"")</f>
        <v/>
      </c>
      <c r="W1199" s="4" t="str">
        <f>IFERROR(__xludf.DUMMYFUNCTION("""COMPUTED_VALUE"""),"")</f>
        <v/>
      </c>
      <c r="X1199" s="4" t="str">
        <f>IFERROR(__xludf.DUMMYFUNCTION("""COMPUTED_VALUE"""),"")</f>
        <v/>
      </c>
      <c r="Y1199" s="4" t="str">
        <f>IFERROR(__xludf.DUMMYFUNCTION("""COMPUTED_VALUE"""),"")</f>
        <v/>
      </c>
    </row>
    <row r="1200">
      <c r="A1200" s="4" t="str">
        <f>IFERROR(__xludf.DUMMYFUNCTION("""COMPUTED_VALUE"""),"742 - Channel")</f>
        <v>742 - Channel</v>
      </c>
      <c r="B1200" s="4" t="str">
        <f>IFERROR(__xludf.DUMMYFUNCTION("""COMPUTED_VALUE"""),"Surplus ch.")</f>
        <v>Surplus ch.</v>
      </c>
      <c r="C1200" s="4" t="str">
        <f>IFERROR(__xludf.DUMMYFUNCTION("""COMPUTED_VALUE"""),"Day 1 - 23/06")</f>
        <v>Day 1 - 23/06</v>
      </c>
      <c r="D1200" s="4">
        <f>IFERROR(__xludf.DUMMYFUNCTION("""COMPUTED_VALUE"""),0.4925925925925927)</f>
        <v>0.4925925926</v>
      </c>
      <c r="E1200" s="6">
        <f>IFERROR(__xludf.DUMMYFUNCTION("""COMPUTED_VALUE"""),0.006944444444444444)</f>
        <v>0.006944444444</v>
      </c>
      <c r="F1200" s="6">
        <f>IFERROR(__xludf.DUMMYFUNCTION("""COMPUTED_VALUE"""),0.4995370370370371)</f>
        <v>0.499537037</v>
      </c>
      <c r="G1200" s="4" t="str">
        <f>IFERROR(__xludf.DUMMYFUNCTION("""COMPUTED_VALUE"""),"Yvonne")</f>
        <v>Yvonne</v>
      </c>
      <c r="H1200" s="4" t="str">
        <f>IFERROR(__xludf.DUMMYFUNCTION("""COMPUTED_VALUE"""),"N/A")</f>
        <v>N/A</v>
      </c>
      <c r="I1200" s="4" t="str">
        <f>IFERROR(__xludf.DUMMYFUNCTION("""COMPUTED_VALUE"""),"Lucia H.")</f>
        <v>Lucia H.</v>
      </c>
      <c r="J1200" s="4" t="str">
        <f>IFERROR(__xludf.DUMMYFUNCTION("""COMPUTED_VALUE"""),"Media")</f>
        <v>Media</v>
      </c>
      <c r="K1200" s="4" t="str">
        <f>IFERROR(__xludf.DUMMYFUNCTION("""COMPUTED_VALUE"""),"Keynote")</f>
        <v>Keynote</v>
      </c>
      <c r="L1200" s="4" t="str">
        <f>IFERROR(__xludf.DUMMYFUNCTION("""COMPUTED_VALUE"""),"T- 4 - 25/05/2020")</f>
        <v>T- 4 - 25/05/2020</v>
      </c>
      <c r="M1200" s="4" t="str">
        <f>IFERROR(__xludf.DUMMYFUNCTION("""COMPUTED_VALUE"""),"Health for all, hunger for none – how AI can help")</f>
        <v>Health for all, hunger for none – how AI can help</v>
      </c>
      <c r="N1200" s="4" t="str">
        <f>IFERROR(__xludf.DUMMYFUNCTION("""COMPUTED_VALUE"""),"Saskia Steinacker, Bayer Group")</f>
        <v>Saskia Steinacker, Bayer Group</v>
      </c>
      <c r="O1200" s="4" t="str">
        <f>IFERROR(__xludf.DUMMYFUNCTION("""COMPUTED_VALUE"""),"")</f>
        <v/>
      </c>
      <c r="P1200" s="4" t="str">
        <f>IFERROR(__xludf.DUMMYFUNCTION("""COMPUTED_VALUE"""),"")</f>
        <v/>
      </c>
      <c r="Q1200" s="4" t="str">
        <f>IFERROR(__xludf.DUMMYFUNCTION("""COMPUTED_VALUE"""),"")</f>
        <v/>
      </c>
      <c r="R1200" s="4" t="str">
        <f>IFERROR(__xludf.DUMMYFUNCTION("""COMPUTED_VALUE"""),"")</f>
        <v/>
      </c>
      <c r="S1200" s="4" t="str">
        <f>IFERROR(__xludf.DUMMYFUNCTION("""COMPUTED_VALUE"""),"As the world's population grows and ages, we need better, more sustainable solutions for health and food supply. Bayer's AI expert explains why life sciences holds the key. ")</f>
        <v>As the world's population grows and ages, we need better, more sustainable solutions for health and food supply. Bayer's AI expert explains why life sciences holds the key. </v>
      </c>
      <c r="T1200" s="4" t="str">
        <f>IFERROR(__xludf.DUMMYFUNCTION("""COMPUTED_VALUE"""),"KEYNOTE 8 - COMPLETE")</f>
        <v>KEYNOTE 8 - COMPLETE</v>
      </c>
      <c r="U1200" s="23">
        <f>IFERROR(__xludf.DUMMYFUNCTION("""COMPUTED_VALUE"""),43980.0)</f>
        <v>43980</v>
      </c>
      <c r="V1200" s="24">
        <f>IFERROR(__xludf.DUMMYFUNCTION("""COMPUTED_VALUE"""),0.5833333333333334)</f>
        <v>0.5833333333</v>
      </c>
      <c r="W1200" s="4" t="str">
        <f>IFERROR(__xludf.DUMMYFUNCTION("""COMPUTED_VALUE"""),"COMPLETE")</f>
        <v>COMPLETE</v>
      </c>
      <c r="X1200" s="4" t="str">
        <f>IFERROR(__xludf.DUMMYFUNCTION("""COMPUTED_VALUE"""),"Hugh")</f>
        <v>Hugh</v>
      </c>
      <c r="Y1200" s="4" t="str">
        <f>IFERROR(__xludf.DUMMYFUNCTION("""COMPUTED_VALUE"""),"4640559520247474272")</f>
        <v>4640559520247474272</v>
      </c>
    </row>
    <row r="1201">
      <c r="A1201" s="4" t="str">
        <f>IFERROR(__xludf.DUMMYFUNCTION("""COMPUTED_VALUE"""),"421 - Channel")</f>
        <v>421 - Channel</v>
      </c>
      <c r="B1201" s="4" t="str">
        <f>IFERROR(__xludf.DUMMYFUNCTION("""COMPUTED_VALUE"""),"Surplus ch.")</f>
        <v>Surplus ch.</v>
      </c>
      <c r="C1201" s="4" t="str">
        <f>IFERROR(__xludf.DUMMYFUNCTION("""COMPUTED_VALUE"""),"Day 1 - 23/06")</f>
        <v>Day 1 - 23/06</v>
      </c>
      <c r="D1201" s="4">
        <f>IFERROR(__xludf.DUMMYFUNCTION("""COMPUTED_VALUE"""),0.4995370370370371)</f>
        <v>0.499537037</v>
      </c>
      <c r="E1201" s="6">
        <f>IFERROR(__xludf.DUMMYFUNCTION("""COMPUTED_VALUE"""),1.7361111111111112E-4)</f>
        <v>0.0001736111111</v>
      </c>
      <c r="F1201" s="6">
        <f>IFERROR(__xludf.DUMMYFUNCTION("""COMPUTED_VALUE"""),0.49971064814814825)</f>
        <v>0.4997106481</v>
      </c>
      <c r="G1201" s="4" t="str">
        <f>IFERROR(__xludf.DUMMYFUNCTION("""COMPUTED_VALUE"""),"Graphics")</f>
        <v>Graphics</v>
      </c>
      <c r="H1201" s="4" t="str">
        <f>IFERROR(__xludf.DUMMYFUNCTION("""COMPUTED_VALUE"""),"")</f>
        <v/>
      </c>
      <c r="I1201" s="4" t="str">
        <f>IFERROR(__xludf.DUMMYFUNCTION("""COMPUTED_VALUE"""),"")</f>
        <v/>
      </c>
      <c r="J1201" s="4" t="str">
        <f>IFERROR(__xludf.DUMMYFUNCTION("""COMPUTED_VALUE"""),"Media")</f>
        <v>Media</v>
      </c>
      <c r="K1201" s="4" t="str">
        <f>IFERROR(__xludf.DUMMYFUNCTION("""COMPUTED_VALUE"""),"Talk Outro")</f>
        <v>Talk Outro</v>
      </c>
      <c r="L1201" s="4" t="str">
        <f>IFERROR(__xludf.DUMMYFUNCTION("""COMPUTED_VALUE"""),"")</f>
        <v/>
      </c>
      <c r="M1201" s="4" t="str">
        <f>IFERROR(__xludf.DUMMYFUNCTION("""COMPUTED_VALUE"""),"Talk Outro")</f>
        <v>Talk Outro</v>
      </c>
      <c r="N1201" s="4" t="str">
        <f>IFERROR(__xludf.DUMMYFUNCTION("""COMPUTED_VALUE"""),"")</f>
        <v/>
      </c>
      <c r="O1201" s="4" t="str">
        <f>IFERROR(__xludf.DUMMYFUNCTION("""COMPUTED_VALUE"""),"")</f>
        <v/>
      </c>
      <c r="P1201" s="4" t="str">
        <f>IFERROR(__xludf.DUMMYFUNCTION("""COMPUTED_VALUE"""),"")</f>
        <v/>
      </c>
      <c r="Q1201" s="4" t="str">
        <f>IFERROR(__xludf.DUMMYFUNCTION("""COMPUTED_VALUE"""),"")</f>
        <v/>
      </c>
      <c r="R1201" s="4" t="str">
        <f>IFERROR(__xludf.DUMMYFUNCTION("""COMPUTED_VALUE"""),"")</f>
        <v/>
      </c>
      <c r="S1201" s="4" t="str">
        <f>IFERROR(__xludf.DUMMYFUNCTION("""COMPUTED_VALUE"""),"")</f>
        <v/>
      </c>
      <c r="T1201" s="4" t="str">
        <f>IFERROR(__xludf.DUMMYFUNCTION("""COMPUTED_VALUE"""),"")</f>
        <v/>
      </c>
      <c r="U1201" s="4" t="str">
        <f>IFERROR(__xludf.DUMMYFUNCTION("""COMPUTED_VALUE"""),"")</f>
        <v/>
      </c>
      <c r="V1201" s="4" t="str">
        <f>IFERROR(__xludf.DUMMYFUNCTION("""COMPUTED_VALUE"""),"")</f>
        <v/>
      </c>
      <c r="W1201" s="4" t="str">
        <f>IFERROR(__xludf.DUMMYFUNCTION("""COMPUTED_VALUE"""),"")</f>
        <v/>
      </c>
      <c r="X1201" s="4" t="str">
        <f>IFERROR(__xludf.DUMMYFUNCTION("""COMPUTED_VALUE"""),"")</f>
        <v/>
      </c>
      <c r="Y1201" s="4" t="str">
        <f>IFERROR(__xludf.DUMMYFUNCTION("""COMPUTED_VALUE"""),"")</f>
        <v/>
      </c>
    </row>
    <row r="1202">
      <c r="A1202" s="4" t="str">
        <f>IFERROR(__xludf.DUMMYFUNCTION("""COMPUTED_VALUE"""),"549 - Channel")</f>
        <v>549 - Channel</v>
      </c>
      <c r="B1202" s="4" t="str">
        <f>IFERROR(__xludf.DUMMYFUNCTION("""COMPUTED_VALUE"""),"Surplus ch.")</f>
        <v>Surplus ch.</v>
      </c>
      <c r="C1202" s="4" t="str">
        <f>IFERROR(__xludf.DUMMYFUNCTION("""COMPUTED_VALUE"""),"Day 2 - 24/06")</f>
        <v>Day 2 - 24/06</v>
      </c>
      <c r="D1202" s="6">
        <f>IFERROR(__xludf.DUMMYFUNCTION("""COMPUTED_VALUE"""),0.498078703703704)</f>
        <v>0.4980787037</v>
      </c>
      <c r="E1202" s="6">
        <f>IFERROR(__xludf.DUMMYFUNCTION("""COMPUTED_VALUE"""),3.4722222222222224E-4)</f>
        <v>0.0003472222222</v>
      </c>
      <c r="F1202" s="6">
        <f>IFERROR(__xludf.DUMMYFUNCTION("""COMPUTED_VALUE"""),0.4984259259259262)</f>
        <v>0.4984259259</v>
      </c>
      <c r="G1202" s="4" t="str">
        <f>IFERROR(__xludf.DUMMYFUNCTION("""COMPUTED_VALUE"""),"Graphics")</f>
        <v>Graphics</v>
      </c>
      <c r="H1202" s="4" t="str">
        <f>IFERROR(__xludf.DUMMYFUNCTION("""COMPUTED_VALUE"""),"")</f>
        <v/>
      </c>
      <c r="I1202" s="4" t="str">
        <f>IFERROR(__xludf.DUMMYFUNCTION("""COMPUTED_VALUE"""),"")</f>
        <v/>
      </c>
      <c r="J1202" s="4" t="str">
        <f>IFERROR(__xludf.DUMMYFUNCTION("""COMPUTED_VALUE"""),"AI")</f>
        <v>AI</v>
      </c>
      <c r="K1202" s="4" t="str">
        <f>IFERROR(__xludf.DUMMYFUNCTION("""COMPUTED_VALUE"""),"Talk Intro")</f>
        <v>Talk Intro</v>
      </c>
      <c r="L1202" s="4" t="str">
        <f>IFERROR(__xludf.DUMMYFUNCTION("""COMPUTED_VALUE"""),"")</f>
        <v/>
      </c>
      <c r="M1202" s="4" t="str">
        <f>IFERROR(__xludf.DUMMYFUNCTION("""COMPUTED_VALUE"""),"Talk Intro")</f>
        <v>Talk Intro</v>
      </c>
      <c r="N1202" s="4" t="str">
        <f>IFERROR(__xludf.DUMMYFUNCTION("""COMPUTED_VALUE"""),"")</f>
        <v/>
      </c>
      <c r="O1202" s="4" t="str">
        <f>IFERROR(__xludf.DUMMYFUNCTION("""COMPUTED_VALUE"""),"")</f>
        <v/>
      </c>
      <c r="P1202" s="4" t="str">
        <f>IFERROR(__xludf.DUMMYFUNCTION("""COMPUTED_VALUE"""),"")</f>
        <v/>
      </c>
      <c r="Q1202" s="4" t="str">
        <f>IFERROR(__xludf.DUMMYFUNCTION("""COMPUTED_VALUE"""),"")</f>
        <v/>
      </c>
      <c r="R1202" s="4" t="str">
        <f>IFERROR(__xludf.DUMMYFUNCTION("""COMPUTED_VALUE"""),"")</f>
        <v/>
      </c>
      <c r="S1202" s="4" t="str">
        <f>IFERROR(__xludf.DUMMYFUNCTION("""COMPUTED_VALUE"""),"")</f>
        <v/>
      </c>
      <c r="T1202" s="4" t="str">
        <f>IFERROR(__xludf.DUMMYFUNCTION("""COMPUTED_VALUE"""),"")</f>
        <v/>
      </c>
      <c r="U1202" s="4" t="str">
        <f>IFERROR(__xludf.DUMMYFUNCTION("""COMPUTED_VALUE"""),"")</f>
        <v/>
      </c>
      <c r="V1202" s="4" t="str">
        <f>IFERROR(__xludf.DUMMYFUNCTION("""COMPUTED_VALUE"""),"")</f>
        <v/>
      </c>
      <c r="W1202" s="4" t="str">
        <f>IFERROR(__xludf.DUMMYFUNCTION("""COMPUTED_VALUE"""),"")</f>
        <v/>
      </c>
      <c r="X1202" s="4" t="str">
        <f>IFERROR(__xludf.DUMMYFUNCTION("""COMPUTED_VALUE"""),"")</f>
        <v/>
      </c>
      <c r="Y1202" s="4" t="str">
        <f>IFERROR(__xludf.DUMMYFUNCTION("""COMPUTED_VALUE"""),"")</f>
        <v/>
      </c>
    </row>
    <row r="1203">
      <c r="A1203" s="4" t="str">
        <f>IFERROR(__xludf.DUMMYFUNCTION("""COMPUTED_VALUE"""),"550 - Channel")</f>
        <v>550 - Channel</v>
      </c>
      <c r="B1203" s="4" t="str">
        <f>IFERROR(__xludf.DUMMYFUNCTION("""COMPUTED_VALUE"""),"Surplus ch.")</f>
        <v>Surplus ch.</v>
      </c>
      <c r="C1203" s="4" t="str">
        <f>IFERROR(__xludf.DUMMYFUNCTION("""COMPUTED_VALUE"""),"Day 2 - 24/06")</f>
        <v>Day 2 - 24/06</v>
      </c>
      <c r="D1203" s="6">
        <f>IFERROR(__xludf.DUMMYFUNCTION("""COMPUTED_VALUE"""),0.4984259259259262)</f>
        <v>0.4984259259</v>
      </c>
      <c r="E1203" s="6">
        <f>IFERROR(__xludf.DUMMYFUNCTION("""COMPUTED_VALUE"""),0.0020833333333333333)</f>
        <v>0.002083333333</v>
      </c>
      <c r="F1203" s="6">
        <f>IFERROR(__xludf.DUMMYFUNCTION("""COMPUTED_VALUE"""),0.5005092592592596)</f>
        <v>0.5005092593</v>
      </c>
      <c r="G1203" s="4" t="str">
        <f>IFERROR(__xludf.DUMMYFUNCTION("""COMPUTED_VALUE"""),"Dan")</f>
        <v>Dan</v>
      </c>
      <c r="H1203" s="4" t="str">
        <f>IFERROR(__xludf.DUMMYFUNCTION("""COMPUTED_VALUE"""),"N/A")</f>
        <v>N/A</v>
      </c>
      <c r="I1203" s="4" t="str">
        <f>IFERROR(__xludf.DUMMYFUNCTION("""COMPUTED_VALUE"""),"Jack")</f>
        <v>Jack</v>
      </c>
      <c r="J1203" s="4" t="str">
        <f>IFERROR(__xludf.DUMMYFUNCTION("""COMPUTED_VALUE"""),"AI")</f>
        <v>AI</v>
      </c>
      <c r="K1203" s="4" t="str">
        <f>IFERROR(__xludf.DUMMYFUNCTION("""COMPUTED_VALUE"""),"Keynote")</f>
        <v>Keynote</v>
      </c>
      <c r="L1203" s="4" t="str">
        <f>IFERROR(__xludf.DUMMYFUNCTION("""COMPUTED_VALUE"""),"T- 7 - 04/05/2020")</f>
        <v>T- 7 - 04/05/2020</v>
      </c>
      <c r="M1203" s="4" t="str">
        <f>IFERROR(__xludf.DUMMYFUNCTION("""COMPUTED_VALUE"""),"CH2: Let ‘em run with AI")</f>
        <v>CH2: Let ‘em run with AI</v>
      </c>
      <c r="N1203" s="4" t="str">
        <f>IFERROR(__xludf.DUMMYFUNCTION("""COMPUTED_VALUE"""),"Oleg Rogynskyy, People.ai")</f>
        <v>Oleg Rogynskyy, People.ai</v>
      </c>
      <c r="O1203" s="4" t="str">
        <f>IFERROR(__xludf.DUMMYFUNCTION("""COMPUTED_VALUE"""),"")</f>
        <v/>
      </c>
      <c r="P1203" s="4" t="str">
        <f>IFERROR(__xludf.DUMMYFUNCTION("""COMPUTED_VALUE"""),"")</f>
        <v/>
      </c>
      <c r="Q1203" s="4" t="str">
        <f>IFERROR(__xludf.DUMMYFUNCTION("""COMPUTED_VALUE"""),"")</f>
        <v/>
      </c>
      <c r="R1203" s="4" t="str">
        <f>IFERROR(__xludf.DUMMYFUNCTION("""COMPUTED_VALUE"""),"")</f>
        <v/>
      </c>
      <c r="S1203" s="4" t="str">
        <f>IFERROR(__xludf.DUMMYFUNCTION("""COMPUTED_VALUE"""),"People.ai founder and CEO Oleg Rogynskyy talks about how AI will help unleash human potential by improving the way we work and, more importantly, by improving how we manage and run teams. ")</f>
        <v>People.ai founder and CEO Oleg Rogynskyy talks about how AI will help unleash human potential by improving the way we work and, more importantly, by improving how we manage and run teams. </v>
      </c>
      <c r="T1203" s="4" t="str">
        <f>IFERROR(__xludf.DUMMYFUNCTION("""COMPUTED_VALUE"""),"KEYNOTE 8 - COMPLETE")</f>
        <v>KEYNOTE 8 - COMPLETE</v>
      </c>
      <c r="U1203" s="23">
        <f>IFERROR(__xludf.DUMMYFUNCTION("""COMPUTED_VALUE"""),43956.0)</f>
        <v>43956</v>
      </c>
      <c r="V1203" s="24">
        <f>IFERROR(__xludf.DUMMYFUNCTION("""COMPUTED_VALUE"""),0.6666666666666666)</f>
        <v>0.6666666667</v>
      </c>
      <c r="W1203" s="4" t="str">
        <f>IFERROR(__xludf.DUMMYFUNCTION("""COMPUTED_VALUE"""),"COMPLETE")</f>
        <v>COMPLETE</v>
      </c>
      <c r="X1203" s="4" t="str">
        <f>IFERROR(__xludf.DUMMYFUNCTION("""COMPUTED_VALUE"""),"Dan")</f>
        <v>Dan</v>
      </c>
      <c r="Y1203" s="4" t="str">
        <f>IFERROR(__xludf.DUMMYFUNCTION("""COMPUTED_VALUE"""),"4644979999616971689")</f>
        <v>4644979999616971689</v>
      </c>
    </row>
    <row r="1204">
      <c r="A1204" s="4" t="str">
        <f>IFERROR(__xludf.DUMMYFUNCTION("""COMPUTED_VALUE"""),"551 - Channel")</f>
        <v>551 - Channel</v>
      </c>
      <c r="B1204" s="4" t="str">
        <f>IFERROR(__xludf.DUMMYFUNCTION("""COMPUTED_VALUE"""),"Surplus ch.")</f>
        <v>Surplus ch.</v>
      </c>
      <c r="C1204" s="4" t="str">
        <f>IFERROR(__xludf.DUMMYFUNCTION("""COMPUTED_VALUE"""),"Day 2 - 24/06")</f>
        <v>Day 2 - 24/06</v>
      </c>
      <c r="D1204" s="6">
        <f>IFERROR(__xludf.DUMMYFUNCTION("""COMPUTED_VALUE"""),0.5005092592592596)</f>
        <v>0.5005092593</v>
      </c>
      <c r="E1204" s="6">
        <f>IFERROR(__xludf.DUMMYFUNCTION("""COMPUTED_VALUE"""),2.4305555555555555E-4)</f>
        <v>0.0002430555556</v>
      </c>
      <c r="F1204" s="6">
        <f>IFERROR(__xludf.DUMMYFUNCTION("""COMPUTED_VALUE"""),0.5007523148148152)</f>
        <v>0.5007523148</v>
      </c>
      <c r="G1204" s="4" t="str">
        <f>IFERROR(__xludf.DUMMYFUNCTION("""COMPUTED_VALUE"""),"Graphics")</f>
        <v>Graphics</v>
      </c>
      <c r="H1204" s="4" t="str">
        <f>IFERROR(__xludf.DUMMYFUNCTION("""COMPUTED_VALUE"""),"")</f>
        <v/>
      </c>
      <c r="I1204" s="4" t="str">
        <f>IFERROR(__xludf.DUMMYFUNCTION("""COMPUTED_VALUE"""),"")</f>
        <v/>
      </c>
      <c r="J1204" s="4" t="str">
        <f>IFERROR(__xludf.DUMMYFUNCTION("""COMPUTED_VALUE"""),"AI")</f>
        <v>AI</v>
      </c>
      <c r="K1204" s="4" t="str">
        <f>IFERROR(__xludf.DUMMYFUNCTION("""COMPUTED_VALUE"""),"Talk Outro")</f>
        <v>Talk Outro</v>
      </c>
      <c r="L1204" s="4" t="str">
        <f>IFERROR(__xludf.DUMMYFUNCTION("""COMPUTED_VALUE"""),"")</f>
        <v/>
      </c>
      <c r="M1204" s="4" t="str">
        <f>IFERROR(__xludf.DUMMYFUNCTION("""COMPUTED_VALUE"""),"Talk Outro - LENGTH INCREASED TO BALANCE OUT THE HOUR")</f>
        <v>Talk Outro - LENGTH INCREASED TO BALANCE OUT THE HOUR</v>
      </c>
      <c r="N1204" s="4" t="str">
        <f>IFERROR(__xludf.DUMMYFUNCTION("""COMPUTED_VALUE"""),"")</f>
        <v/>
      </c>
      <c r="O1204" s="4" t="str">
        <f>IFERROR(__xludf.DUMMYFUNCTION("""COMPUTED_VALUE"""),"")</f>
        <v/>
      </c>
      <c r="P1204" s="4" t="str">
        <f>IFERROR(__xludf.DUMMYFUNCTION("""COMPUTED_VALUE"""),"")</f>
        <v/>
      </c>
      <c r="Q1204" s="4" t="str">
        <f>IFERROR(__xludf.DUMMYFUNCTION("""COMPUTED_VALUE"""),"")</f>
        <v/>
      </c>
      <c r="R1204" s="4" t="str">
        <f>IFERROR(__xludf.DUMMYFUNCTION("""COMPUTED_VALUE"""),"")</f>
        <v/>
      </c>
      <c r="S1204" s="4" t="str">
        <f>IFERROR(__xludf.DUMMYFUNCTION("""COMPUTED_VALUE"""),"")</f>
        <v/>
      </c>
      <c r="T1204" s="4" t="str">
        <f>IFERROR(__xludf.DUMMYFUNCTION("""COMPUTED_VALUE"""),"")</f>
        <v/>
      </c>
      <c r="U1204" s="4" t="str">
        <f>IFERROR(__xludf.DUMMYFUNCTION("""COMPUTED_VALUE"""),"")</f>
        <v/>
      </c>
      <c r="V1204" s="4" t="str">
        <f>IFERROR(__xludf.DUMMYFUNCTION("""COMPUTED_VALUE"""),"")</f>
        <v/>
      </c>
      <c r="W1204" s="4" t="str">
        <f>IFERROR(__xludf.DUMMYFUNCTION("""COMPUTED_VALUE"""),"")</f>
        <v/>
      </c>
      <c r="X1204" s="4" t="str">
        <f>IFERROR(__xludf.DUMMYFUNCTION("""COMPUTED_VALUE"""),"")</f>
        <v/>
      </c>
      <c r="Y1204" s="4" t="str">
        <f>IFERROR(__xludf.DUMMYFUNCTION("""COMPUTED_VALUE"""),"")</f>
        <v/>
      </c>
    </row>
    <row r="1205">
      <c r="A1205" s="4" t="str">
        <f>IFERROR(__xludf.DUMMYFUNCTION("""COMPUTED_VALUE"""),"1234 - Channel")</f>
        <v>1234 - Channel</v>
      </c>
      <c r="B1205" s="4" t="str">
        <f>IFERROR(__xludf.DUMMYFUNCTION("""COMPUTED_VALUE"""),"Surplus ch.")</f>
        <v>Surplus ch.</v>
      </c>
      <c r="C1205" s="4" t="str">
        <f>IFERROR(__xludf.DUMMYFUNCTION("""COMPUTED_VALUE"""),"Day 3 - 25/06")</f>
        <v>Day 3 - 25/06</v>
      </c>
      <c r="D1205" s="6">
        <f>IFERROR(__xludf.DUMMYFUNCTION("""COMPUTED_VALUE"""),0.5007523148148152)</f>
        <v>0.5007523148</v>
      </c>
      <c r="E1205" s="6">
        <f>IFERROR(__xludf.DUMMYFUNCTION("""COMPUTED_VALUE"""),3.4722222222222224E-4)</f>
        <v>0.0003472222222</v>
      </c>
      <c r="F1205" s="6">
        <f>IFERROR(__xludf.DUMMYFUNCTION("""COMPUTED_VALUE"""),0.5010995370370375)</f>
        <v>0.501099537</v>
      </c>
      <c r="G1205" s="4" t="str">
        <f>IFERROR(__xludf.DUMMYFUNCTION("""COMPUTED_VALUE"""),"")</f>
        <v/>
      </c>
      <c r="H1205" s="4" t="str">
        <f>IFERROR(__xludf.DUMMYFUNCTION("""COMPUTED_VALUE"""),"")</f>
        <v/>
      </c>
      <c r="I1205" s="4" t="str">
        <f>IFERROR(__xludf.DUMMYFUNCTION("""COMPUTED_VALUE"""),"")</f>
        <v/>
      </c>
      <c r="J1205" s="4" t="str">
        <f>IFERROR(__xludf.DUMMYFUNCTION("""COMPUTED_VALUE"""),"")</f>
        <v/>
      </c>
      <c r="K1205" s="4" t="str">
        <f>IFERROR(__xludf.DUMMYFUNCTION("""COMPUTED_VALUE"""),"Talk Intro")</f>
        <v>Talk Intro</v>
      </c>
      <c r="L1205" s="4" t="str">
        <f>IFERROR(__xludf.DUMMYFUNCTION("""COMPUTED_VALUE"""),"")</f>
        <v/>
      </c>
      <c r="M1205" s="4" t="str">
        <f>IFERROR(__xludf.DUMMYFUNCTION("""COMPUTED_VALUE"""),"MC Intro")</f>
        <v>MC Intro</v>
      </c>
      <c r="N1205" s="4" t="str">
        <f>IFERROR(__xludf.DUMMYFUNCTION("""COMPUTED_VALUE"""),"")</f>
        <v/>
      </c>
      <c r="O1205" s="4" t="str">
        <f>IFERROR(__xludf.DUMMYFUNCTION("""COMPUTED_VALUE"""),"")</f>
        <v/>
      </c>
      <c r="P1205" s="4" t="str">
        <f>IFERROR(__xludf.DUMMYFUNCTION("""COMPUTED_VALUE"""),"")</f>
        <v/>
      </c>
      <c r="Q1205" s="4" t="str">
        <f>IFERROR(__xludf.DUMMYFUNCTION("""COMPUTED_VALUE"""),"")</f>
        <v/>
      </c>
      <c r="R1205" s="4" t="str">
        <f>IFERROR(__xludf.DUMMYFUNCTION("""COMPUTED_VALUE"""),"")</f>
        <v/>
      </c>
      <c r="S1205" s="4" t="str">
        <f>IFERROR(__xludf.DUMMYFUNCTION("""COMPUTED_VALUE"""),"")</f>
        <v/>
      </c>
      <c r="T1205" s="4" t="str">
        <f>IFERROR(__xludf.DUMMYFUNCTION("""COMPUTED_VALUE"""),"")</f>
        <v/>
      </c>
      <c r="U1205" s="4" t="str">
        <f>IFERROR(__xludf.DUMMYFUNCTION("""COMPUTED_VALUE"""),"")</f>
        <v/>
      </c>
      <c r="V1205" s="4" t="str">
        <f>IFERROR(__xludf.DUMMYFUNCTION("""COMPUTED_VALUE"""),"")</f>
        <v/>
      </c>
      <c r="W1205" s="4" t="str">
        <f>IFERROR(__xludf.DUMMYFUNCTION("""COMPUTED_VALUE"""),"")</f>
        <v/>
      </c>
      <c r="X1205" s="4" t="str">
        <f>IFERROR(__xludf.DUMMYFUNCTION("""COMPUTED_VALUE"""),"")</f>
        <v/>
      </c>
      <c r="Y1205" s="4" t="str">
        <f>IFERROR(__xludf.DUMMYFUNCTION("""COMPUTED_VALUE"""),"")</f>
        <v/>
      </c>
    </row>
    <row r="1206">
      <c r="A1206" s="4" t="str">
        <f>IFERROR(__xludf.DUMMYFUNCTION("""COMPUTED_VALUE"""),"1235 - Channel")</f>
        <v>1235 - Channel</v>
      </c>
      <c r="B1206" s="4" t="str">
        <f>IFERROR(__xludf.DUMMYFUNCTION("""COMPUTED_VALUE"""),"Surplus ch.")</f>
        <v>Surplus ch.</v>
      </c>
      <c r="C1206" s="4" t="str">
        <f>IFERROR(__xludf.DUMMYFUNCTION("""COMPUTED_VALUE"""),"Day 3 - 25/06")</f>
        <v>Day 3 - 25/06</v>
      </c>
      <c r="D1206" s="6">
        <f>IFERROR(__xludf.DUMMYFUNCTION("""COMPUTED_VALUE"""),0.5010995370370375)</f>
        <v>0.501099537</v>
      </c>
      <c r="E1206" s="6">
        <f>IFERROR(__xludf.DUMMYFUNCTION("""COMPUTED_VALUE"""),0.014155092592592592)</f>
        <v>0.01415509259</v>
      </c>
      <c r="F1206" s="6">
        <f>IFERROR(__xludf.DUMMYFUNCTION("""COMPUTED_VALUE"""),0.5152546296296301)</f>
        <v>0.5152546296</v>
      </c>
      <c r="G1206" s="4" t="str">
        <f>IFERROR(__xludf.DUMMYFUNCTION("""COMPUTED_VALUE"""),"TBC")</f>
        <v>TBC</v>
      </c>
      <c r="H1206" s="4" t="str">
        <f>IFERROR(__xludf.DUMMYFUNCTION("""COMPUTED_VALUE"""),"")</f>
        <v/>
      </c>
      <c r="I1206" s="4" t="str">
        <f>IFERROR(__xludf.DUMMYFUNCTION("""COMPUTED_VALUE"""),"Eabha")</f>
        <v>Eabha</v>
      </c>
      <c r="J1206" s="4" t="str">
        <f>IFERROR(__xludf.DUMMYFUNCTION("""COMPUTED_VALUE"""),"")</f>
        <v/>
      </c>
      <c r="K1206" s="4" t="str">
        <f>IFERROR(__xludf.DUMMYFUNCTION("""COMPUTED_VALUE"""),"Podcast")</f>
        <v>Podcast</v>
      </c>
      <c r="L1206" s="4" t="str">
        <f>IFERROR(__xludf.DUMMYFUNCTION("""COMPUTED_VALUE"""),"T- 5 - 18/05/2020")</f>
        <v>T- 5 - 18/05/2020</v>
      </c>
      <c r="M1206" s="4" t="str">
        <f>IFERROR(__xludf.DUMMYFUNCTION("""COMPUTED_VALUE"""),"Arianna Huffington on Radio Collision ")</f>
        <v>Arianna Huffington on Radio Collision </v>
      </c>
      <c r="N1206" s="4" t="str">
        <f>IFERROR(__xludf.DUMMYFUNCTION("""COMPUTED_VALUE"""),"Arianna Huffington, Thrive Global")</f>
        <v>Arianna Huffington, Thrive Global</v>
      </c>
      <c r="O1206" s="4" t="str">
        <f>IFERROR(__xludf.DUMMYFUNCTION("""COMPUTED_VALUE"""),"")</f>
        <v/>
      </c>
      <c r="P1206" s="4" t="str">
        <f>IFERROR(__xludf.DUMMYFUNCTION("""COMPUTED_VALUE"""),"")</f>
        <v/>
      </c>
      <c r="Q1206" s="4" t="str">
        <f>IFERROR(__xludf.DUMMYFUNCTION("""COMPUTED_VALUE"""),"")</f>
        <v/>
      </c>
      <c r="R1206" s="4" t="str">
        <f>IFERROR(__xludf.DUMMYFUNCTION("""COMPUTED_VALUE"""),"Stephanie Mehta, Fast Company")</f>
        <v>Stephanie Mehta, Fast Company</v>
      </c>
      <c r="S1206" s="4" t="str">
        <f>IFERROR(__xludf.DUMMYFUNCTION("""COMPUTED_VALUE"""),"")</f>
        <v/>
      </c>
      <c r="T1206" s="4" t="str">
        <f>IFERROR(__xludf.DUMMYFUNCTION("""COMPUTED_VALUE"""),"NON-KEYNOTE 9 - COMPLETE")</f>
        <v>NON-KEYNOTE 9 - COMPLETE</v>
      </c>
      <c r="U1206" s="23">
        <f>IFERROR(__xludf.DUMMYFUNCTION("""COMPUTED_VALUE"""),43971.0)</f>
        <v>43971</v>
      </c>
      <c r="V1206" s="4" t="str">
        <f>IFERROR(__xludf.DUMMYFUNCTION("""COMPUTED_VALUE"""),"rip from video")</f>
        <v>rip from video</v>
      </c>
      <c r="W1206" s="4" t="str">
        <f>IFERROR(__xludf.DUMMYFUNCTION("""COMPUTED_VALUE"""),"rip from video")</f>
        <v>rip from video</v>
      </c>
      <c r="X1206" s="4" t="str">
        <f>IFERROR(__xludf.DUMMYFUNCTION("""COMPUTED_VALUE"""),"")</f>
        <v/>
      </c>
      <c r="Y1206" s="4" t="str">
        <f>IFERROR(__xludf.DUMMYFUNCTION("""COMPUTED_VALUE"""),"")</f>
        <v/>
      </c>
    </row>
    <row r="1207">
      <c r="A1207" s="4" t="str">
        <f>IFERROR(__xludf.DUMMYFUNCTION("""COMPUTED_VALUE"""),"1656 - Channel")</f>
        <v>1656 - Channel</v>
      </c>
      <c r="B1207" s="4" t="str">
        <f>IFERROR(__xludf.DUMMYFUNCTION("""COMPUTED_VALUE"""),"Surplus ch.")</f>
        <v>Surplus ch.</v>
      </c>
      <c r="C1207" s="4" t="str">
        <f>IFERROR(__xludf.DUMMYFUNCTION("""COMPUTED_VALUE"""),"Day 3 - 25/06")</f>
        <v>Day 3 - 25/06</v>
      </c>
      <c r="D1207" s="6">
        <f>IFERROR(__xludf.DUMMYFUNCTION("""COMPUTED_VALUE"""),0.5152546296296301)</f>
        <v>0.5152546296</v>
      </c>
      <c r="E1207" s="6">
        <f>IFERROR(__xludf.DUMMYFUNCTION("""COMPUTED_VALUE"""),0.001388888888888889)</f>
        <v>0.001388888889</v>
      </c>
      <c r="F1207" s="6">
        <f>IFERROR(__xludf.DUMMYFUNCTION("""COMPUTED_VALUE"""),0.516643518518519)</f>
        <v>0.5166435185</v>
      </c>
      <c r="G1207" s="4" t="str">
        <f>IFERROR(__xludf.DUMMYFUNCTION("""COMPUTED_VALUE"""),"")</f>
        <v/>
      </c>
      <c r="H1207" s="4" t="str">
        <f>IFERROR(__xludf.DUMMYFUNCTION("""COMPUTED_VALUE"""),"")</f>
        <v/>
      </c>
      <c r="I1207" s="4" t="str">
        <f>IFERROR(__xludf.DUMMYFUNCTION("""COMPUTED_VALUE"""),"")</f>
        <v/>
      </c>
      <c r="J1207" s="4" t="str">
        <f>IFERROR(__xludf.DUMMYFUNCTION("""COMPUTED_VALUE"""),"")</f>
        <v/>
      </c>
      <c r="K1207" s="4" t="str">
        <f>IFERROR(__xludf.DUMMYFUNCTION("""COMPUTED_VALUE"""),"Web Summit Trailer - full")</f>
        <v>Web Summit Trailer - full</v>
      </c>
      <c r="L1207" s="4" t="str">
        <f>IFERROR(__xludf.DUMMYFUNCTION("""COMPUTED_VALUE"""),"")</f>
        <v/>
      </c>
      <c r="M1207" s="4" t="str">
        <f>IFERROR(__xludf.DUMMYFUNCTION("""COMPUTED_VALUE"""),"Collision From Home Promo")</f>
        <v>Collision From Home Promo</v>
      </c>
      <c r="N1207" s="4" t="str">
        <f>IFERROR(__xludf.DUMMYFUNCTION("""COMPUTED_VALUE"""),"")</f>
        <v/>
      </c>
      <c r="O1207" s="4" t="str">
        <f>IFERROR(__xludf.DUMMYFUNCTION("""COMPUTED_VALUE"""),"")</f>
        <v/>
      </c>
      <c r="P1207" s="4" t="str">
        <f>IFERROR(__xludf.DUMMYFUNCTION("""COMPUTED_VALUE"""),"")</f>
        <v/>
      </c>
      <c r="Q1207" s="4" t="str">
        <f>IFERROR(__xludf.DUMMYFUNCTION("""COMPUTED_VALUE"""),"")</f>
        <v/>
      </c>
      <c r="R1207" s="4" t="str">
        <f>IFERROR(__xludf.DUMMYFUNCTION("""COMPUTED_VALUE"""),"")</f>
        <v/>
      </c>
      <c r="S1207" s="4" t="str">
        <f>IFERROR(__xludf.DUMMYFUNCTION("""COMPUTED_VALUE"""),"")</f>
        <v/>
      </c>
      <c r="T1207" s="4" t="str">
        <f>IFERROR(__xludf.DUMMYFUNCTION("""COMPUTED_VALUE"""),"")</f>
        <v/>
      </c>
      <c r="U1207" s="4" t="str">
        <f>IFERROR(__xludf.DUMMYFUNCTION("""COMPUTED_VALUE"""),"")</f>
        <v/>
      </c>
      <c r="V1207" s="4" t="str">
        <f>IFERROR(__xludf.DUMMYFUNCTION("""COMPUTED_VALUE"""),"")</f>
        <v/>
      </c>
      <c r="W1207" s="4" t="str">
        <f>IFERROR(__xludf.DUMMYFUNCTION("""COMPUTED_VALUE"""),"")</f>
        <v/>
      </c>
      <c r="X1207" s="4" t="str">
        <f>IFERROR(__xludf.DUMMYFUNCTION("""COMPUTED_VALUE"""),"")</f>
        <v/>
      </c>
      <c r="Y1207" s="4" t="str">
        <f>IFERROR(__xludf.DUMMYFUNCTION("""COMPUTED_VALUE"""),"")</f>
        <v/>
      </c>
    </row>
    <row r="1208">
      <c r="A1208" s="4" t="str">
        <f>IFERROR(__xludf.DUMMYFUNCTION("""COMPUTED_VALUE"""),"1243 - Channel")</f>
        <v>1243 - Channel</v>
      </c>
      <c r="B1208" s="4" t="str">
        <f>IFERROR(__xludf.DUMMYFUNCTION("""COMPUTED_VALUE"""),"Surplus ch.")</f>
        <v>Surplus ch.</v>
      </c>
      <c r="C1208" s="4" t="str">
        <f>IFERROR(__xludf.DUMMYFUNCTION("""COMPUTED_VALUE"""),"Day 2 - 24/06")</f>
        <v>Day 2 - 24/06</v>
      </c>
      <c r="D1208" s="6">
        <f>IFERROR(__xludf.DUMMYFUNCTION("""COMPUTED_VALUE"""),0.5007523148148152)</f>
        <v>0.5007523148</v>
      </c>
      <c r="E1208" s="6">
        <f>IFERROR(__xludf.DUMMYFUNCTION("""COMPUTED_VALUE"""),3.4722222222222224E-4)</f>
        <v>0.0003472222222</v>
      </c>
      <c r="F1208" s="6">
        <f>IFERROR(__xludf.DUMMYFUNCTION("""COMPUTED_VALUE"""),0.5010995370370375)</f>
        <v>0.501099537</v>
      </c>
      <c r="G1208" s="4" t="str">
        <f>IFERROR(__xludf.DUMMYFUNCTION("""COMPUTED_VALUE"""),"")</f>
        <v/>
      </c>
      <c r="H1208" s="4" t="str">
        <f>IFERROR(__xludf.DUMMYFUNCTION("""COMPUTED_VALUE"""),"")</f>
        <v/>
      </c>
      <c r="I1208" s="4" t="str">
        <f>IFERROR(__xludf.DUMMYFUNCTION("""COMPUTED_VALUE"""),"")</f>
        <v/>
      </c>
      <c r="J1208" s="4" t="str">
        <f>IFERROR(__xludf.DUMMYFUNCTION("""COMPUTED_VALUE"""),"")</f>
        <v/>
      </c>
      <c r="K1208" s="4" t="str">
        <f>IFERROR(__xludf.DUMMYFUNCTION("""COMPUTED_VALUE"""),"Talk Intro")</f>
        <v>Talk Intro</v>
      </c>
      <c r="L1208" s="4" t="str">
        <f>IFERROR(__xludf.DUMMYFUNCTION("""COMPUTED_VALUE"""),"")</f>
        <v/>
      </c>
      <c r="M1208" s="4" t="str">
        <f>IFERROR(__xludf.DUMMYFUNCTION("""COMPUTED_VALUE"""),"MC Intro")</f>
        <v>MC Intro</v>
      </c>
      <c r="N1208" s="4" t="str">
        <f>IFERROR(__xludf.DUMMYFUNCTION("""COMPUTED_VALUE"""),"")</f>
        <v/>
      </c>
      <c r="O1208" s="4" t="str">
        <f>IFERROR(__xludf.DUMMYFUNCTION("""COMPUTED_VALUE"""),"")</f>
        <v/>
      </c>
      <c r="P1208" s="4" t="str">
        <f>IFERROR(__xludf.DUMMYFUNCTION("""COMPUTED_VALUE"""),"")</f>
        <v/>
      </c>
      <c r="Q1208" s="4" t="str">
        <f>IFERROR(__xludf.DUMMYFUNCTION("""COMPUTED_VALUE"""),"")</f>
        <v/>
      </c>
      <c r="R1208" s="4" t="str">
        <f>IFERROR(__xludf.DUMMYFUNCTION("""COMPUTED_VALUE"""),"")</f>
        <v/>
      </c>
      <c r="S1208" s="4" t="str">
        <f>IFERROR(__xludf.DUMMYFUNCTION("""COMPUTED_VALUE"""),"")</f>
        <v/>
      </c>
      <c r="T1208" s="4" t="str">
        <f>IFERROR(__xludf.DUMMYFUNCTION("""COMPUTED_VALUE"""),"")</f>
        <v/>
      </c>
      <c r="U1208" s="4" t="str">
        <f>IFERROR(__xludf.DUMMYFUNCTION("""COMPUTED_VALUE"""),"")</f>
        <v/>
      </c>
      <c r="V1208" s="4" t="str">
        <f>IFERROR(__xludf.DUMMYFUNCTION("""COMPUTED_VALUE"""),"")</f>
        <v/>
      </c>
      <c r="W1208" s="4" t="str">
        <f>IFERROR(__xludf.DUMMYFUNCTION("""COMPUTED_VALUE"""),"")</f>
        <v/>
      </c>
      <c r="X1208" s="4" t="str">
        <f>IFERROR(__xludf.DUMMYFUNCTION("""COMPUTED_VALUE"""),"")</f>
        <v/>
      </c>
      <c r="Y1208" s="4" t="str">
        <f>IFERROR(__xludf.DUMMYFUNCTION("""COMPUTED_VALUE"""),"")</f>
        <v/>
      </c>
    </row>
    <row r="1209">
      <c r="A1209" s="4" t="str">
        <f>IFERROR(__xludf.DUMMYFUNCTION("""COMPUTED_VALUE"""),"1244 - Channel")</f>
        <v>1244 - Channel</v>
      </c>
      <c r="B1209" s="4" t="str">
        <f>IFERROR(__xludf.DUMMYFUNCTION("""COMPUTED_VALUE"""),"Surplus ch.")</f>
        <v>Surplus ch.</v>
      </c>
      <c r="C1209" s="4" t="str">
        <f>IFERROR(__xludf.DUMMYFUNCTION("""COMPUTED_VALUE"""),"Day 2 - 24/06")</f>
        <v>Day 2 - 24/06</v>
      </c>
      <c r="D1209" s="6">
        <f>IFERROR(__xludf.DUMMYFUNCTION("""COMPUTED_VALUE"""),0.5010995370370375)</f>
        <v>0.501099537</v>
      </c>
      <c r="E1209" s="6">
        <f>IFERROR(__xludf.DUMMYFUNCTION("""COMPUTED_VALUE"""),0.013888888888888888)</f>
        <v>0.01388888889</v>
      </c>
      <c r="F1209" s="6">
        <f>IFERROR(__xludf.DUMMYFUNCTION("""COMPUTED_VALUE"""),0.5149884259259263)</f>
        <v>0.5149884259</v>
      </c>
      <c r="G1209" s="4" t="str">
        <f>IFERROR(__xludf.DUMMYFUNCTION("""COMPUTED_VALUE"""),"TBC")</f>
        <v>TBC</v>
      </c>
      <c r="H1209" s="4" t="str">
        <f>IFERROR(__xludf.DUMMYFUNCTION("""COMPUTED_VALUE"""),"")</f>
        <v/>
      </c>
      <c r="I1209" s="4" t="str">
        <f>IFERROR(__xludf.DUMMYFUNCTION("""COMPUTED_VALUE"""),"Eabha")</f>
        <v>Eabha</v>
      </c>
      <c r="J1209" s="4" t="str">
        <f>IFERROR(__xludf.DUMMYFUNCTION("""COMPUTED_VALUE"""),"")</f>
        <v/>
      </c>
      <c r="K1209" s="4" t="str">
        <f>IFERROR(__xludf.DUMMYFUNCTION("""COMPUTED_VALUE"""),"Podcast")</f>
        <v>Podcast</v>
      </c>
      <c r="L1209" s="4" t="str">
        <f>IFERROR(__xludf.DUMMYFUNCTION("""COMPUTED_VALUE"""),"")</f>
        <v/>
      </c>
      <c r="M1209" s="4" t="str">
        <f>IFERROR(__xludf.DUMMYFUNCTION("""COMPUTED_VALUE"""),"Paris Hilton on Radio Collision ")</f>
        <v>Paris Hilton on Radio Collision </v>
      </c>
      <c r="N1209" s="4" t="str">
        <f>IFERROR(__xludf.DUMMYFUNCTION("""COMPUTED_VALUE"""),"Paris Hilton, Paris Hilton")</f>
        <v>Paris Hilton, Paris Hilton</v>
      </c>
      <c r="O1209" s="4" t="str">
        <f>IFERROR(__xludf.DUMMYFUNCTION("""COMPUTED_VALUE"""),"")</f>
        <v/>
      </c>
      <c r="P1209" s="4" t="str">
        <f>IFERROR(__xludf.DUMMYFUNCTION("""COMPUTED_VALUE"""),"")</f>
        <v/>
      </c>
      <c r="Q1209" s="4" t="str">
        <f>IFERROR(__xludf.DUMMYFUNCTION("""COMPUTED_VALUE"""),"")</f>
        <v/>
      </c>
      <c r="R1209" s="4" t="str">
        <f>IFERROR(__xludf.DUMMYFUNCTION("""COMPUTED_VALUE"""),"Zack O'Malley Greenburg, Forbes")</f>
        <v>Zack O'Malley Greenburg, Forbes</v>
      </c>
      <c r="S1209" s="4" t="str">
        <f>IFERROR(__xludf.DUMMYFUNCTION("""COMPUTED_VALUE"""),"")</f>
        <v/>
      </c>
      <c r="T1209" s="4" t="str">
        <f>IFERROR(__xludf.DUMMYFUNCTION("""COMPUTED_VALUE"""),"NON-KEYNOTE 9 - COMPLETE")</f>
        <v>NON-KEYNOTE 9 - COMPLETE</v>
      </c>
      <c r="U1209" s="4" t="str">
        <f>IFERROR(__xludf.DUMMYFUNCTION("""COMPUTED_VALUE"""),"")</f>
        <v/>
      </c>
      <c r="V1209" s="4" t="str">
        <f>IFERROR(__xludf.DUMMYFUNCTION("""COMPUTED_VALUE"""),"")</f>
        <v/>
      </c>
      <c r="W1209" s="4" t="str">
        <f>IFERROR(__xludf.DUMMYFUNCTION("""COMPUTED_VALUE"""),"rip from video")</f>
        <v>rip from video</v>
      </c>
      <c r="X1209" s="4" t="str">
        <f>IFERROR(__xludf.DUMMYFUNCTION("""COMPUTED_VALUE"""),"")</f>
        <v/>
      </c>
      <c r="Y1209" s="4" t="str">
        <f>IFERROR(__xludf.DUMMYFUNCTION("""COMPUTED_VALUE"""),"")</f>
        <v/>
      </c>
    </row>
    <row r="1210">
      <c r="A1210" s="4" t="str">
        <f>IFERROR(__xludf.DUMMYFUNCTION("""COMPUTED_VALUE"""),"1653 - Channel")</f>
        <v>1653 - Channel</v>
      </c>
      <c r="B1210" s="4" t="str">
        <f>IFERROR(__xludf.DUMMYFUNCTION("""COMPUTED_VALUE"""),"Surplus ch.")</f>
        <v>Surplus ch.</v>
      </c>
      <c r="C1210" s="4" t="str">
        <f>IFERROR(__xludf.DUMMYFUNCTION("""COMPUTED_VALUE"""),"Day 2 - 24/06")</f>
        <v>Day 2 - 24/06</v>
      </c>
      <c r="D1210" s="6">
        <f>IFERROR(__xludf.DUMMYFUNCTION("""COMPUTED_VALUE"""),0.5149884259259263)</f>
        <v>0.5149884259</v>
      </c>
      <c r="E1210" s="6">
        <f>IFERROR(__xludf.DUMMYFUNCTION("""COMPUTED_VALUE"""),0.001388888888888889)</f>
        <v>0.001388888889</v>
      </c>
      <c r="F1210" s="6">
        <f>IFERROR(__xludf.DUMMYFUNCTION("""COMPUTED_VALUE"""),0.5163773148148152)</f>
        <v>0.5163773148</v>
      </c>
      <c r="G1210" s="4" t="str">
        <f>IFERROR(__xludf.DUMMYFUNCTION("""COMPUTED_VALUE"""),"")</f>
        <v/>
      </c>
      <c r="H1210" s="4" t="str">
        <f>IFERROR(__xludf.DUMMYFUNCTION("""COMPUTED_VALUE"""),"")</f>
        <v/>
      </c>
      <c r="I1210" s="4" t="str">
        <f>IFERROR(__xludf.DUMMYFUNCTION("""COMPUTED_VALUE"""),"")</f>
        <v/>
      </c>
      <c r="J1210" s="4" t="str">
        <f>IFERROR(__xludf.DUMMYFUNCTION("""COMPUTED_VALUE"""),"")</f>
        <v/>
      </c>
      <c r="K1210" s="4" t="str">
        <f>IFERROR(__xludf.DUMMYFUNCTION("""COMPUTED_VALUE"""),"Web Summit Trailer - full")</f>
        <v>Web Summit Trailer - full</v>
      </c>
      <c r="L1210" s="4" t="str">
        <f>IFERROR(__xludf.DUMMYFUNCTION("""COMPUTED_VALUE"""),"")</f>
        <v/>
      </c>
      <c r="M1210" s="4" t="str">
        <f>IFERROR(__xludf.DUMMYFUNCTION("""COMPUTED_VALUE"""),"Collision From Home Promo")</f>
        <v>Collision From Home Promo</v>
      </c>
      <c r="N1210" s="4" t="str">
        <f>IFERROR(__xludf.DUMMYFUNCTION("""COMPUTED_VALUE"""),"")</f>
        <v/>
      </c>
      <c r="O1210" s="4" t="str">
        <f>IFERROR(__xludf.DUMMYFUNCTION("""COMPUTED_VALUE"""),"")</f>
        <v/>
      </c>
      <c r="P1210" s="4" t="str">
        <f>IFERROR(__xludf.DUMMYFUNCTION("""COMPUTED_VALUE"""),"")</f>
        <v/>
      </c>
      <c r="Q1210" s="4" t="str">
        <f>IFERROR(__xludf.DUMMYFUNCTION("""COMPUTED_VALUE"""),"")</f>
        <v/>
      </c>
      <c r="R1210" s="4" t="str">
        <f>IFERROR(__xludf.DUMMYFUNCTION("""COMPUTED_VALUE"""),"")</f>
        <v/>
      </c>
      <c r="S1210" s="4" t="str">
        <f>IFERROR(__xludf.DUMMYFUNCTION("""COMPUTED_VALUE"""),"")</f>
        <v/>
      </c>
      <c r="T1210" s="4" t="str">
        <f>IFERROR(__xludf.DUMMYFUNCTION("""COMPUTED_VALUE"""),"")</f>
        <v/>
      </c>
      <c r="U1210" s="4" t="str">
        <f>IFERROR(__xludf.DUMMYFUNCTION("""COMPUTED_VALUE"""),"")</f>
        <v/>
      </c>
      <c r="V1210" s="4" t="str">
        <f>IFERROR(__xludf.DUMMYFUNCTION("""COMPUTED_VALUE"""),"")</f>
        <v/>
      </c>
      <c r="W1210" s="4" t="str">
        <f>IFERROR(__xludf.DUMMYFUNCTION("""COMPUTED_VALUE"""),"")</f>
        <v/>
      </c>
      <c r="X1210" s="4" t="str">
        <f>IFERROR(__xludf.DUMMYFUNCTION("""COMPUTED_VALUE"""),"")</f>
        <v/>
      </c>
      <c r="Y1210" s="4" t="str">
        <f>IFERROR(__xludf.DUMMYFUNCTION("""COMPUTED_VALUE"""),"")</f>
        <v/>
      </c>
    </row>
    <row r="1211">
      <c r="A1211" s="4" t="str">
        <f>IFERROR(__xludf.DUMMYFUNCTION("""COMPUTED_VALUE"""),"1237 - Channel")</f>
        <v>1237 - Channel</v>
      </c>
      <c r="B1211" s="4" t="str">
        <f>IFERROR(__xludf.DUMMYFUNCTION("""COMPUTED_VALUE"""),"Surplus ch.")</f>
        <v>Surplus ch.</v>
      </c>
      <c r="C1211" s="4" t="str">
        <f>IFERROR(__xludf.DUMMYFUNCTION("""COMPUTED_VALUE"""),"Day 1 - 23/06")</f>
        <v>Day 1 - 23/06</v>
      </c>
      <c r="D1211" s="6">
        <f>IFERROR(__xludf.DUMMYFUNCTION("""COMPUTED_VALUE"""),0.516643518518519)</f>
        <v>0.5166435185</v>
      </c>
      <c r="E1211" s="6">
        <f>IFERROR(__xludf.DUMMYFUNCTION("""COMPUTED_VALUE"""),3.4722222222222224E-4)</f>
        <v>0.0003472222222</v>
      </c>
      <c r="F1211" s="6">
        <f>IFERROR(__xludf.DUMMYFUNCTION("""COMPUTED_VALUE"""),0.5169907407407413)</f>
        <v>0.5169907407</v>
      </c>
      <c r="G1211" s="4" t="str">
        <f>IFERROR(__xludf.DUMMYFUNCTION("""COMPUTED_VALUE"""),"")</f>
        <v/>
      </c>
      <c r="H1211" s="4" t="str">
        <f>IFERROR(__xludf.DUMMYFUNCTION("""COMPUTED_VALUE"""),"")</f>
        <v/>
      </c>
      <c r="I1211" s="4" t="str">
        <f>IFERROR(__xludf.DUMMYFUNCTION("""COMPUTED_VALUE"""),"")</f>
        <v/>
      </c>
      <c r="J1211" s="4" t="str">
        <f>IFERROR(__xludf.DUMMYFUNCTION("""COMPUTED_VALUE"""),"")</f>
        <v/>
      </c>
      <c r="K1211" s="4" t="str">
        <f>IFERROR(__xludf.DUMMYFUNCTION("""COMPUTED_VALUE"""),"Talk Intro")</f>
        <v>Talk Intro</v>
      </c>
      <c r="L1211" s="4" t="str">
        <f>IFERROR(__xludf.DUMMYFUNCTION("""COMPUTED_VALUE"""),"")</f>
        <v/>
      </c>
      <c r="M1211" s="4" t="str">
        <f>IFERROR(__xludf.DUMMYFUNCTION("""COMPUTED_VALUE"""),"MC Intro")</f>
        <v>MC Intro</v>
      </c>
      <c r="N1211" s="4" t="str">
        <f>IFERROR(__xludf.DUMMYFUNCTION("""COMPUTED_VALUE"""),"")</f>
        <v/>
      </c>
      <c r="O1211" s="4" t="str">
        <f>IFERROR(__xludf.DUMMYFUNCTION("""COMPUTED_VALUE"""),"")</f>
        <v/>
      </c>
      <c r="P1211" s="4" t="str">
        <f>IFERROR(__xludf.DUMMYFUNCTION("""COMPUTED_VALUE"""),"")</f>
        <v/>
      </c>
      <c r="Q1211" s="4" t="str">
        <f>IFERROR(__xludf.DUMMYFUNCTION("""COMPUTED_VALUE"""),"")</f>
        <v/>
      </c>
      <c r="R1211" s="4" t="str">
        <f>IFERROR(__xludf.DUMMYFUNCTION("""COMPUTED_VALUE"""),"")</f>
        <v/>
      </c>
      <c r="S1211" s="4" t="str">
        <f>IFERROR(__xludf.DUMMYFUNCTION("""COMPUTED_VALUE"""),"")</f>
        <v/>
      </c>
      <c r="T1211" s="4" t="str">
        <f>IFERROR(__xludf.DUMMYFUNCTION("""COMPUTED_VALUE"""),"")</f>
        <v/>
      </c>
      <c r="U1211" s="4" t="str">
        <f>IFERROR(__xludf.DUMMYFUNCTION("""COMPUTED_VALUE"""),"")</f>
        <v/>
      </c>
      <c r="V1211" s="4" t="str">
        <f>IFERROR(__xludf.DUMMYFUNCTION("""COMPUTED_VALUE"""),"")</f>
        <v/>
      </c>
      <c r="W1211" s="4" t="str">
        <f>IFERROR(__xludf.DUMMYFUNCTION("""COMPUTED_VALUE"""),"")</f>
        <v/>
      </c>
      <c r="X1211" s="4" t="str">
        <f>IFERROR(__xludf.DUMMYFUNCTION("""COMPUTED_VALUE"""),"")</f>
        <v/>
      </c>
      <c r="Y1211" s="4" t="str">
        <f>IFERROR(__xludf.DUMMYFUNCTION("""COMPUTED_VALUE"""),"")</f>
        <v/>
      </c>
    </row>
    <row r="1212">
      <c r="A1212" s="4" t="str">
        <f>IFERROR(__xludf.DUMMYFUNCTION("""COMPUTED_VALUE"""),"1238 - Channel")</f>
        <v>1238 - Channel</v>
      </c>
      <c r="B1212" s="4" t="str">
        <f>IFERROR(__xludf.DUMMYFUNCTION("""COMPUTED_VALUE"""),"Surplus ch.")</f>
        <v>Surplus ch.</v>
      </c>
      <c r="C1212" s="4" t="str">
        <f>IFERROR(__xludf.DUMMYFUNCTION("""COMPUTED_VALUE"""),"Day 1 - 23/06")</f>
        <v>Day 1 - 23/06</v>
      </c>
      <c r="D1212" s="6">
        <f>IFERROR(__xludf.DUMMYFUNCTION("""COMPUTED_VALUE"""),0.5169907407407413)</f>
        <v>0.5169907407</v>
      </c>
      <c r="E1212" s="6">
        <f>IFERROR(__xludf.DUMMYFUNCTION("""COMPUTED_VALUE"""),0.013888888888888888)</f>
        <v>0.01388888889</v>
      </c>
      <c r="F1212" s="6">
        <f>IFERROR(__xludf.DUMMYFUNCTION("""COMPUTED_VALUE"""),0.5308796296296301)</f>
        <v>0.5308796296</v>
      </c>
      <c r="G1212" s="4" t="str">
        <f>IFERROR(__xludf.DUMMYFUNCTION("""COMPUTED_VALUE"""),"Colm")</f>
        <v>Colm</v>
      </c>
      <c r="H1212" s="4" t="str">
        <f>IFERROR(__xludf.DUMMYFUNCTION("""COMPUTED_VALUE"""),"")</f>
        <v/>
      </c>
      <c r="I1212" s="4" t="str">
        <f>IFERROR(__xludf.DUMMYFUNCTION("""COMPUTED_VALUE"""),"Eabha")</f>
        <v>Eabha</v>
      </c>
      <c r="J1212" s="4" t="str">
        <f>IFERROR(__xludf.DUMMYFUNCTION("""COMPUTED_VALUE"""),"")</f>
        <v/>
      </c>
      <c r="K1212" s="4" t="str">
        <f>IFERROR(__xludf.DUMMYFUNCTION("""COMPUTED_VALUE"""),"Podcast")</f>
        <v>Podcast</v>
      </c>
      <c r="L1212" s="4" t="str">
        <f>IFERROR(__xludf.DUMMYFUNCTION("""COMPUTED_VALUE"""),"T- 3 - 01/06/2020")</f>
        <v>T- 3 - 01/06/2020</v>
      </c>
      <c r="M1212" s="4" t="str">
        <f>IFERROR(__xludf.DUMMYFUNCTION("""COMPUTED_VALUE"""),"Dawn Ostroff on Radio Collision ")</f>
        <v>Dawn Ostroff on Radio Collision </v>
      </c>
      <c r="N1212" s="4" t="str">
        <f>IFERROR(__xludf.DUMMYFUNCTION("""COMPUTED_VALUE"""),"Dawn Ostroff, Spotify")</f>
        <v>Dawn Ostroff, Spotify</v>
      </c>
      <c r="O1212" s="4" t="str">
        <f>IFERROR(__xludf.DUMMYFUNCTION("""COMPUTED_VALUE"""),"")</f>
        <v/>
      </c>
      <c r="P1212" s="4" t="str">
        <f>IFERROR(__xludf.DUMMYFUNCTION("""COMPUTED_VALUE"""),"")</f>
        <v/>
      </c>
      <c r="Q1212" s="4" t="str">
        <f>IFERROR(__xludf.DUMMYFUNCTION("""COMPUTED_VALUE"""),"")</f>
        <v/>
      </c>
      <c r="R1212" s="4" t="str">
        <f>IFERROR(__xludf.DUMMYFUNCTION("""COMPUTED_VALUE"""),"Dylan Byers, NBC News")</f>
        <v>Dylan Byers, NBC News</v>
      </c>
      <c r="S1212" s="4" t="str">
        <f>IFERROR(__xludf.DUMMYFUNCTION("""COMPUTED_VALUE"""),"")</f>
        <v/>
      </c>
      <c r="T1212" s="4" t="str">
        <f>IFERROR(__xludf.DUMMYFUNCTION("""COMPUTED_VALUE"""),"NON-KEYNOTE 9 - COMPLETE")</f>
        <v>NON-KEYNOTE 9 - COMPLETE</v>
      </c>
      <c r="U1212" s="4" t="str">
        <f>IFERROR(__xludf.DUMMYFUNCTION("""COMPUTED_VALUE"""),"")</f>
        <v/>
      </c>
      <c r="V1212" s="4" t="str">
        <f>IFERROR(__xludf.DUMMYFUNCTION("""COMPUTED_VALUE"""),"")</f>
        <v/>
      </c>
      <c r="W1212" s="4" t="str">
        <f>IFERROR(__xludf.DUMMYFUNCTION("""COMPUTED_VALUE"""),"rip from video")</f>
        <v>rip from video</v>
      </c>
      <c r="X1212" s="4" t="str">
        <f>IFERROR(__xludf.DUMMYFUNCTION("""COMPUTED_VALUE"""),"")</f>
        <v/>
      </c>
      <c r="Y1212" s="4" t="str">
        <f>IFERROR(__xludf.DUMMYFUNCTION("""COMPUTED_VALUE"""),"")</f>
        <v/>
      </c>
    </row>
    <row r="1213">
      <c r="A1213" s="4" t="str">
        <f>IFERROR(__xludf.DUMMYFUNCTION("""COMPUTED_VALUE"""),"1239 - Channel")</f>
        <v>1239 - Channel</v>
      </c>
      <c r="B1213" s="4" t="str">
        <f>IFERROR(__xludf.DUMMYFUNCTION("""COMPUTED_VALUE"""),"Surplus ch.")</f>
        <v>Surplus ch.</v>
      </c>
      <c r="C1213" s="4" t="str">
        <f>IFERROR(__xludf.DUMMYFUNCTION("""COMPUTED_VALUE"""),"Day 1 - 23/06")</f>
        <v>Day 1 - 23/06</v>
      </c>
      <c r="D1213" s="6">
        <f>IFERROR(__xludf.DUMMYFUNCTION("""COMPUTED_VALUE"""),0.5308796296296301)</f>
        <v>0.5308796296</v>
      </c>
      <c r="E1213" s="6">
        <f>IFERROR(__xludf.DUMMYFUNCTION("""COMPUTED_VALUE"""),0.001388888888888889)</f>
        <v>0.001388888889</v>
      </c>
      <c r="F1213" s="6">
        <f>IFERROR(__xludf.DUMMYFUNCTION("""COMPUTED_VALUE"""),0.532268518518519)</f>
        <v>0.5322685185</v>
      </c>
      <c r="G1213" s="4" t="str">
        <f>IFERROR(__xludf.DUMMYFUNCTION("""COMPUTED_VALUE"""),"")</f>
        <v/>
      </c>
      <c r="H1213" s="4" t="str">
        <f>IFERROR(__xludf.DUMMYFUNCTION("""COMPUTED_VALUE"""),"")</f>
        <v/>
      </c>
      <c r="I1213" s="4" t="str">
        <f>IFERROR(__xludf.DUMMYFUNCTION("""COMPUTED_VALUE"""),"")</f>
        <v/>
      </c>
      <c r="J1213" s="4" t="str">
        <f>IFERROR(__xludf.DUMMYFUNCTION("""COMPUTED_VALUE"""),"")</f>
        <v/>
      </c>
      <c r="K1213" s="4" t="str">
        <f>IFERROR(__xludf.DUMMYFUNCTION("""COMPUTED_VALUE"""),"Web Summit Trailer - full")</f>
        <v>Web Summit Trailer - full</v>
      </c>
      <c r="L1213" s="4" t="str">
        <f>IFERROR(__xludf.DUMMYFUNCTION("""COMPUTED_VALUE"""),"")</f>
        <v/>
      </c>
      <c r="M1213" s="4" t="str">
        <f>IFERROR(__xludf.DUMMYFUNCTION("""COMPUTED_VALUE"""),"Collision From Home Promo")</f>
        <v>Collision From Home Promo</v>
      </c>
      <c r="N1213" s="4" t="str">
        <f>IFERROR(__xludf.DUMMYFUNCTION("""COMPUTED_VALUE"""),"")</f>
        <v/>
      </c>
      <c r="O1213" s="4" t="str">
        <f>IFERROR(__xludf.DUMMYFUNCTION("""COMPUTED_VALUE"""),"")</f>
        <v/>
      </c>
      <c r="P1213" s="4" t="str">
        <f>IFERROR(__xludf.DUMMYFUNCTION("""COMPUTED_VALUE"""),"")</f>
        <v/>
      </c>
      <c r="Q1213" s="4" t="str">
        <f>IFERROR(__xludf.DUMMYFUNCTION("""COMPUTED_VALUE"""),"")</f>
        <v/>
      </c>
      <c r="R1213" s="4" t="str">
        <f>IFERROR(__xludf.DUMMYFUNCTION("""COMPUTED_VALUE"""),"")</f>
        <v/>
      </c>
      <c r="S1213" s="4" t="str">
        <f>IFERROR(__xludf.DUMMYFUNCTION("""COMPUTED_VALUE"""),"")</f>
        <v/>
      </c>
      <c r="T1213" s="4" t="str">
        <f>IFERROR(__xludf.DUMMYFUNCTION("""COMPUTED_VALUE"""),"")</f>
        <v/>
      </c>
      <c r="U1213" s="4" t="str">
        <f>IFERROR(__xludf.DUMMYFUNCTION("""COMPUTED_VALUE"""),"")</f>
        <v/>
      </c>
      <c r="V1213" s="4" t="str">
        <f>IFERROR(__xludf.DUMMYFUNCTION("""COMPUTED_VALUE"""),"")</f>
        <v/>
      </c>
      <c r="W1213" s="4" t="str">
        <f>IFERROR(__xludf.DUMMYFUNCTION("""COMPUTED_VALUE"""),"")</f>
        <v/>
      </c>
      <c r="X1213" s="4" t="str">
        <f>IFERROR(__xludf.DUMMYFUNCTION("""COMPUTED_VALUE"""),"")</f>
        <v/>
      </c>
      <c r="Y1213" s="4" t="str">
        <f>IFERROR(__xludf.DUMMYFUNCTION("""COMPUTED_VALUE"""),"")</f>
        <v/>
      </c>
    </row>
    <row r="1214">
      <c r="A1214" s="4" t="str">
        <f>IFERROR(__xludf.DUMMYFUNCTION("""COMPUTED_VALUE"""),"1228 - Channel")</f>
        <v>1228 - Channel</v>
      </c>
      <c r="B1214" s="4" t="str">
        <f>IFERROR(__xludf.DUMMYFUNCTION("""COMPUTED_VALUE"""),"Surplus ch.")</f>
        <v>Surplus ch.</v>
      </c>
      <c r="C1214" s="4" t="str">
        <f>IFERROR(__xludf.DUMMYFUNCTION("""COMPUTED_VALUE"""),"Day 3 - 25/06")</f>
        <v>Day 3 - 25/06</v>
      </c>
      <c r="D1214" s="6">
        <f>IFERROR(__xludf.DUMMYFUNCTION("""COMPUTED_VALUE"""),0.41805555555555557)</f>
        <v>0.4180555556</v>
      </c>
      <c r="E1214" s="6">
        <f>IFERROR(__xludf.DUMMYFUNCTION("""COMPUTED_VALUE"""),3.4722222222222224E-4)</f>
        <v>0.0003472222222</v>
      </c>
      <c r="F1214" s="6">
        <f>IFERROR(__xludf.DUMMYFUNCTION("""COMPUTED_VALUE"""),0.4184027777777778)</f>
        <v>0.4184027778</v>
      </c>
      <c r="G1214" s="4" t="str">
        <f>IFERROR(__xludf.DUMMYFUNCTION("""COMPUTED_VALUE"""),"")</f>
        <v/>
      </c>
      <c r="H1214" s="4" t="str">
        <f>IFERROR(__xludf.DUMMYFUNCTION("""COMPUTED_VALUE"""),"")</f>
        <v/>
      </c>
      <c r="I1214" s="4" t="str">
        <f>IFERROR(__xludf.DUMMYFUNCTION("""COMPUTED_VALUE"""),"")</f>
        <v/>
      </c>
      <c r="J1214" s="4" t="str">
        <f>IFERROR(__xludf.DUMMYFUNCTION("""COMPUTED_VALUE"""),"")</f>
        <v/>
      </c>
      <c r="K1214" s="4" t="str">
        <f>IFERROR(__xludf.DUMMYFUNCTION("""COMPUTED_VALUE"""),"Talk Intro")</f>
        <v>Talk Intro</v>
      </c>
      <c r="L1214" s="4" t="str">
        <f>IFERROR(__xludf.DUMMYFUNCTION("""COMPUTED_VALUE"""),"")</f>
        <v/>
      </c>
      <c r="M1214" s="4" t="str">
        <f>IFERROR(__xludf.DUMMYFUNCTION("""COMPUTED_VALUE"""),"MC Intro")</f>
        <v>MC Intro</v>
      </c>
      <c r="N1214" s="4" t="str">
        <f>IFERROR(__xludf.DUMMYFUNCTION("""COMPUTED_VALUE"""),"")</f>
        <v/>
      </c>
      <c r="O1214" s="4" t="str">
        <f>IFERROR(__xludf.DUMMYFUNCTION("""COMPUTED_VALUE"""),"")</f>
        <v/>
      </c>
      <c r="P1214" s="4" t="str">
        <f>IFERROR(__xludf.DUMMYFUNCTION("""COMPUTED_VALUE"""),"")</f>
        <v/>
      </c>
      <c r="Q1214" s="4" t="str">
        <f>IFERROR(__xludf.DUMMYFUNCTION("""COMPUTED_VALUE"""),"")</f>
        <v/>
      </c>
      <c r="R1214" s="4" t="str">
        <f>IFERROR(__xludf.DUMMYFUNCTION("""COMPUTED_VALUE"""),"")</f>
        <v/>
      </c>
      <c r="S1214" s="4" t="str">
        <f>IFERROR(__xludf.DUMMYFUNCTION("""COMPUTED_VALUE"""),"")</f>
        <v/>
      </c>
      <c r="T1214" s="4" t="str">
        <f>IFERROR(__xludf.DUMMYFUNCTION("""COMPUTED_VALUE"""),"")</f>
        <v/>
      </c>
      <c r="U1214" s="4" t="str">
        <f>IFERROR(__xludf.DUMMYFUNCTION("""COMPUTED_VALUE"""),"")</f>
        <v/>
      </c>
      <c r="V1214" s="4" t="str">
        <f>IFERROR(__xludf.DUMMYFUNCTION("""COMPUTED_VALUE"""),"")</f>
        <v/>
      </c>
      <c r="W1214" s="4" t="str">
        <f>IFERROR(__xludf.DUMMYFUNCTION("""COMPUTED_VALUE"""),"")</f>
        <v/>
      </c>
      <c r="X1214" s="4" t="str">
        <f>IFERROR(__xludf.DUMMYFUNCTION("""COMPUTED_VALUE"""),"")</f>
        <v/>
      </c>
      <c r="Y1214" s="4" t="str">
        <f>IFERROR(__xludf.DUMMYFUNCTION("""COMPUTED_VALUE"""),"")</f>
        <v/>
      </c>
    </row>
    <row r="1215">
      <c r="A1215" s="4" t="str">
        <f>IFERROR(__xludf.DUMMYFUNCTION("""COMPUTED_VALUE"""),"1229 - Channel")</f>
        <v>1229 - Channel</v>
      </c>
      <c r="B1215" s="4" t="str">
        <f>IFERROR(__xludf.DUMMYFUNCTION("""COMPUTED_VALUE"""),"Surplus ch.")</f>
        <v>Surplus ch.</v>
      </c>
      <c r="C1215" s="4" t="str">
        <f>IFERROR(__xludf.DUMMYFUNCTION("""COMPUTED_VALUE"""),"Day 3 - 25/06")</f>
        <v>Day 3 - 25/06</v>
      </c>
      <c r="D1215" s="6">
        <f>IFERROR(__xludf.DUMMYFUNCTION("""COMPUTED_VALUE"""),0.4184027777777778)</f>
        <v>0.4184027778</v>
      </c>
      <c r="E1215" s="6">
        <f>IFERROR(__xludf.DUMMYFUNCTION("""COMPUTED_VALUE"""),0.013888888888888888)</f>
        <v>0.01388888889</v>
      </c>
      <c r="F1215" s="6">
        <f>IFERROR(__xludf.DUMMYFUNCTION("""COMPUTED_VALUE"""),0.4322916666666667)</f>
        <v>0.4322916667</v>
      </c>
      <c r="G1215" s="4" t="str">
        <f>IFERROR(__xludf.DUMMYFUNCTION("""COMPUTED_VALUE"""),"Darren")</f>
        <v>Darren</v>
      </c>
      <c r="H1215" s="4" t="str">
        <f>IFERROR(__xludf.DUMMYFUNCTION("""COMPUTED_VALUE"""),"")</f>
        <v/>
      </c>
      <c r="I1215" s="4" t="str">
        <f>IFERROR(__xludf.DUMMYFUNCTION("""COMPUTED_VALUE"""),"Lucia H.")</f>
        <v>Lucia H.</v>
      </c>
      <c r="J1215" s="4" t="str">
        <f>IFERROR(__xludf.DUMMYFUNCTION("""COMPUTED_VALUE"""),"")</f>
        <v/>
      </c>
      <c r="K1215" s="4" t="str">
        <f>IFERROR(__xludf.DUMMYFUNCTION("""COMPUTED_VALUE"""),"Podcast")</f>
        <v>Podcast</v>
      </c>
      <c r="L1215" s="4" t="str">
        <f>IFERROR(__xludf.DUMMYFUNCTION("""COMPUTED_VALUE"""),"T- 3 - 01/06/2020")</f>
        <v>T- 3 - 01/06/2020</v>
      </c>
      <c r="M1215" s="4" t="str">
        <f>IFERROR(__xludf.DUMMYFUNCTION("""COMPUTED_VALUE"""),"Shaquille O'Neal on Radio Collision  ")</f>
        <v>Shaquille O'Neal on Radio Collision  </v>
      </c>
      <c r="N1215" s="4" t="str">
        <f>IFERROR(__xludf.DUMMYFUNCTION("""COMPUTED_VALUE"""),"Shaquille O'Neal, Steady App")</f>
        <v>Shaquille O'Neal, Steady App</v>
      </c>
      <c r="O1215" s="4" t="str">
        <f>IFERROR(__xludf.DUMMYFUNCTION("""COMPUTED_VALUE"""),"Adam Roseman, Steady App")</f>
        <v>Adam Roseman, Steady App</v>
      </c>
      <c r="P1215" s="4" t="str">
        <f>IFERROR(__xludf.DUMMYFUNCTION("""COMPUTED_VALUE"""),"")</f>
        <v/>
      </c>
      <c r="Q1215" s="4" t="str">
        <f>IFERROR(__xludf.DUMMYFUNCTION("""COMPUTED_VALUE"""),"")</f>
        <v/>
      </c>
      <c r="R1215" s="4" t="str">
        <f>IFERROR(__xludf.DUMMYFUNCTION("""COMPUTED_VALUE"""),"Jemele Hill, The Atlantic")</f>
        <v>Jemele Hill, The Atlantic</v>
      </c>
      <c r="S1215" s="4" t="str">
        <f>IFERROR(__xludf.DUMMYFUNCTION("""COMPUTED_VALUE"""),"In 2020, work is evolving on a daily basis and Steady is helping people navigate this new normal. Company CEO Adam Roseman is joined by NBA legend Shaquille O’Neal (an investor in and advocate of the platform) to discuss how the app can help to ease the c"&amp;"risis facing millions of gig and hourly workers. ")</f>
        <v>In 2020, work is evolving on a daily basis and Steady is helping people navigate this new normal. Company CEO Adam Roseman is joined by NBA legend Shaquille O’Neal (an investor in and advocate of the platform) to discuss how the app can help to ease the crisis facing millions of gig and hourly workers. </v>
      </c>
      <c r="T1215" s="4" t="str">
        <f>IFERROR(__xludf.DUMMYFUNCTION("""COMPUTED_VALUE"""),"NON-KEYNOTE 9 - COMPLETE")</f>
        <v>NON-KEYNOTE 9 - COMPLETE</v>
      </c>
      <c r="U1215" s="23">
        <f>IFERROR(__xludf.DUMMYFUNCTION("""COMPUTED_VALUE"""),43984.0)</f>
        <v>43984</v>
      </c>
      <c r="V1215" s="24">
        <f>IFERROR(__xludf.DUMMYFUNCTION("""COMPUTED_VALUE"""),0.8333333333333334)</f>
        <v>0.8333333333</v>
      </c>
      <c r="W1215" s="4" t="str">
        <f>IFERROR(__xludf.DUMMYFUNCTION("""COMPUTED_VALUE"""),"COMPLETE")</f>
        <v>COMPLETE</v>
      </c>
      <c r="X1215" s="4" t="str">
        <f>IFERROR(__xludf.DUMMYFUNCTION("""COMPUTED_VALUE"""),"")</f>
        <v/>
      </c>
      <c r="Y1215" s="4" t="str">
        <f>IFERROR(__xludf.DUMMYFUNCTION("""COMPUTED_VALUE"""),"")</f>
        <v/>
      </c>
    </row>
    <row r="1216">
      <c r="A1216" s="4" t="str">
        <f>IFERROR(__xludf.DUMMYFUNCTION("""COMPUTED_VALUE"""),"1212 - Channel")</f>
        <v>1212 - Channel</v>
      </c>
      <c r="B1216" s="4" t="str">
        <f>IFERROR(__xludf.DUMMYFUNCTION("""COMPUTED_VALUE"""),"Surplus ch.")</f>
        <v>Surplus ch.</v>
      </c>
      <c r="C1216" s="4" t="str">
        <f>IFERROR(__xludf.DUMMYFUNCTION("""COMPUTED_VALUE"""),"Day 3 - 25/06")</f>
        <v>Day 3 - 25/06</v>
      </c>
      <c r="D1216" s="6">
        <f>IFERROR(__xludf.DUMMYFUNCTION("""COMPUTED_VALUE"""),0.4322916666666667)</f>
        <v>0.4322916667</v>
      </c>
      <c r="E1216" s="6">
        <f>IFERROR(__xludf.DUMMYFUNCTION("""COMPUTED_VALUE"""),0.001388888888888889)</f>
        <v>0.001388888889</v>
      </c>
      <c r="F1216" s="6">
        <f>IFERROR(__xludf.DUMMYFUNCTION("""COMPUTED_VALUE"""),0.43368055555555557)</f>
        <v>0.4336805556</v>
      </c>
      <c r="G1216" s="4" t="str">
        <f>IFERROR(__xludf.DUMMYFUNCTION("""COMPUTED_VALUE"""),"")</f>
        <v/>
      </c>
      <c r="H1216" s="4" t="str">
        <f>IFERROR(__xludf.DUMMYFUNCTION("""COMPUTED_VALUE"""),"")</f>
        <v/>
      </c>
      <c r="I1216" s="4" t="str">
        <f>IFERROR(__xludf.DUMMYFUNCTION("""COMPUTED_VALUE"""),"")</f>
        <v/>
      </c>
      <c r="J1216" s="4" t="str">
        <f>IFERROR(__xludf.DUMMYFUNCTION("""COMPUTED_VALUE"""),"")</f>
        <v/>
      </c>
      <c r="K1216" s="4" t="str">
        <f>IFERROR(__xludf.DUMMYFUNCTION("""COMPUTED_VALUE"""),"Web Summit Trailer - full")</f>
        <v>Web Summit Trailer - full</v>
      </c>
      <c r="L1216" s="4" t="str">
        <f>IFERROR(__xludf.DUMMYFUNCTION("""COMPUTED_VALUE"""),"")</f>
        <v/>
      </c>
      <c r="M1216" s="4" t="str">
        <f>IFERROR(__xludf.DUMMYFUNCTION("""COMPUTED_VALUE"""),"Collision From Home Promo")</f>
        <v>Collision From Home Promo</v>
      </c>
      <c r="N1216" s="4" t="str">
        <f>IFERROR(__xludf.DUMMYFUNCTION("""COMPUTED_VALUE"""),"")</f>
        <v/>
      </c>
      <c r="O1216" s="4" t="str">
        <f>IFERROR(__xludf.DUMMYFUNCTION("""COMPUTED_VALUE"""),"")</f>
        <v/>
      </c>
      <c r="P1216" s="4" t="str">
        <f>IFERROR(__xludf.DUMMYFUNCTION("""COMPUTED_VALUE"""),"")</f>
        <v/>
      </c>
      <c r="Q1216" s="4" t="str">
        <f>IFERROR(__xludf.DUMMYFUNCTION("""COMPUTED_VALUE"""),"")</f>
        <v/>
      </c>
      <c r="R1216" s="4" t="str">
        <f>IFERROR(__xludf.DUMMYFUNCTION("""COMPUTED_VALUE"""),"")</f>
        <v/>
      </c>
      <c r="S1216" s="4" t="str">
        <f>IFERROR(__xludf.DUMMYFUNCTION("""COMPUTED_VALUE"""),"")</f>
        <v/>
      </c>
      <c r="T1216" s="4" t="str">
        <f>IFERROR(__xludf.DUMMYFUNCTION("""COMPUTED_VALUE"""),"")</f>
        <v/>
      </c>
      <c r="U1216" s="4" t="str">
        <f>IFERROR(__xludf.DUMMYFUNCTION("""COMPUTED_VALUE"""),"")</f>
        <v/>
      </c>
      <c r="V1216" s="4" t="str">
        <f>IFERROR(__xludf.DUMMYFUNCTION("""COMPUTED_VALUE"""),"")</f>
        <v/>
      </c>
      <c r="W1216" s="4" t="str">
        <f>IFERROR(__xludf.DUMMYFUNCTION("""COMPUTED_VALUE"""),"")</f>
        <v/>
      </c>
      <c r="X1216" s="4" t="str">
        <f>IFERROR(__xludf.DUMMYFUNCTION("""COMPUTED_VALUE"""),"")</f>
        <v/>
      </c>
      <c r="Y1216" s="4" t="str">
        <f>IFERROR(__xludf.DUMMYFUNCTION("""COMPUTED_VALUE"""),"")</f>
        <v/>
      </c>
    </row>
    <row r="1217">
      <c r="A1217" s="4" t="str">
        <f>IFERROR(__xludf.DUMMYFUNCTION("""COMPUTED_VALUE"""),"1240 - Channel")</f>
        <v>1240 - Channel</v>
      </c>
      <c r="B1217" s="4" t="str">
        <f>IFERROR(__xludf.DUMMYFUNCTION("""COMPUTED_VALUE"""),"Surplus ch.")</f>
        <v>Surplus ch.</v>
      </c>
      <c r="C1217" s="4" t="str">
        <f>IFERROR(__xludf.DUMMYFUNCTION("""COMPUTED_VALUE"""),"Day 3 - 25/06")</f>
        <v>Day 3 - 25/06</v>
      </c>
      <c r="D1217" s="6">
        <f>IFERROR(__xludf.DUMMYFUNCTION("""COMPUTED_VALUE"""),0.43368055555555557)</f>
        <v>0.4336805556</v>
      </c>
      <c r="E1217" s="6">
        <f>IFERROR(__xludf.DUMMYFUNCTION("""COMPUTED_VALUE"""),3.4722222222222224E-4)</f>
        <v>0.0003472222222</v>
      </c>
      <c r="F1217" s="6">
        <f>IFERROR(__xludf.DUMMYFUNCTION("""COMPUTED_VALUE"""),0.4340277777777778)</f>
        <v>0.4340277778</v>
      </c>
      <c r="G1217" s="4" t="str">
        <f>IFERROR(__xludf.DUMMYFUNCTION("""COMPUTED_VALUE"""),"")</f>
        <v/>
      </c>
      <c r="H1217" s="4" t="str">
        <f>IFERROR(__xludf.DUMMYFUNCTION("""COMPUTED_VALUE"""),"")</f>
        <v/>
      </c>
      <c r="I1217" s="4" t="str">
        <f>IFERROR(__xludf.DUMMYFUNCTION("""COMPUTED_VALUE"""),"")</f>
        <v/>
      </c>
      <c r="J1217" s="4" t="str">
        <f>IFERROR(__xludf.DUMMYFUNCTION("""COMPUTED_VALUE"""),"")</f>
        <v/>
      </c>
      <c r="K1217" s="4" t="str">
        <f>IFERROR(__xludf.DUMMYFUNCTION("""COMPUTED_VALUE"""),"Talk Intro")</f>
        <v>Talk Intro</v>
      </c>
      <c r="L1217" s="4" t="str">
        <f>IFERROR(__xludf.DUMMYFUNCTION("""COMPUTED_VALUE"""),"")</f>
        <v/>
      </c>
      <c r="M1217" s="4" t="str">
        <f>IFERROR(__xludf.DUMMYFUNCTION("""COMPUTED_VALUE"""),"MC Intro")</f>
        <v>MC Intro</v>
      </c>
      <c r="N1217" s="4" t="str">
        <f>IFERROR(__xludf.DUMMYFUNCTION("""COMPUTED_VALUE"""),"")</f>
        <v/>
      </c>
      <c r="O1217" s="4" t="str">
        <f>IFERROR(__xludf.DUMMYFUNCTION("""COMPUTED_VALUE"""),"")</f>
        <v/>
      </c>
      <c r="P1217" s="4" t="str">
        <f>IFERROR(__xludf.DUMMYFUNCTION("""COMPUTED_VALUE"""),"")</f>
        <v/>
      </c>
      <c r="Q1217" s="4" t="str">
        <f>IFERROR(__xludf.DUMMYFUNCTION("""COMPUTED_VALUE"""),"")</f>
        <v/>
      </c>
      <c r="R1217" s="4" t="str">
        <f>IFERROR(__xludf.DUMMYFUNCTION("""COMPUTED_VALUE"""),"")</f>
        <v/>
      </c>
      <c r="S1217" s="4" t="str">
        <f>IFERROR(__xludf.DUMMYFUNCTION("""COMPUTED_VALUE"""),"")</f>
        <v/>
      </c>
      <c r="T1217" s="4" t="str">
        <f>IFERROR(__xludf.DUMMYFUNCTION("""COMPUTED_VALUE"""),"")</f>
        <v/>
      </c>
      <c r="U1217" s="4" t="str">
        <f>IFERROR(__xludf.DUMMYFUNCTION("""COMPUTED_VALUE"""),"")</f>
        <v/>
      </c>
      <c r="V1217" s="4" t="str">
        <f>IFERROR(__xludf.DUMMYFUNCTION("""COMPUTED_VALUE"""),"")</f>
        <v/>
      </c>
      <c r="W1217" s="4" t="str">
        <f>IFERROR(__xludf.DUMMYFUNCTION("""COMPUTED_VALUE"""),"")</f>
        <v/>
      </c>
      <c r="X1217" s="4" t="str">
        <f>IFERROR(__xludf.DUMMYFUNCTION("""COMPUTED_VALUE"""),"")</f>
        <v/>
      </c>
      <c r="Y1217" s="4" t="str">
        <f>IFERROR(__xludf.DUMMYFUNCTION("""COMPUTED_VALUE"""),"")</f>
        <v/>
      </c>
    </row>
    <row r="1218">
      <c r="A1218" s="4" t="str">
        <f>IFERROR(__xludf.DUMMYFUNCTION("""COMPUTED_VALUE"""),"1241 - Channel")</f>
        <v>1241 - Channel</v>
      </c>
      <c r="B1218" s="4" t="str">
        <f>IFERROR(__xludf.DUMMYFUNCTION("""COMPUTED_VALUE"""),"Surplus ch.")</f>
        <v>Surplus ch.</v>
      </c>
      <c r="C1218" s="4" t="str">
        <f>IFERROR(__xludf.DUMMYFUNCTION("""COMPUTED_VALUE"""),"Day 3 - 25/06")</f>
        <v>Day 3 - 25/06</v>
      </c>
      <c r="D1218" s="6">
        <f>IFERROR(__xludf.DUMMYFUNCTION("""COMPUTED_VALUE"""),0.4340277777777778)</f>
        <v>0.4340277778</v>
      </c>
      <c r="E1218" s="6">
        <f>IFERROR(__xludf.DUMMYFUNCTION("""COMPUTED_VALUE"""),0.013888888888888888)</f>
        <v>0.01388888889</v>
      </c>
      <c r="F1218" s="6">
        <f>IFERROR(__xludf.DUMMYFUNCTION("""COMPUTED_VALUE"""),0.4479166666666667)</f>
        <v>0.4479166667</v>
      </c>
      <c r="G1218" s="4" t="str">
        <f>IFERROR(__xludf.DUMMYFUNCTION("""COMPUTED_VALUE"""),"TBC")</f>
        <v>TBC</v>
      </c>
      <c r="H1218" s="4" t="str">
        <f>IFERROR(__xludf.DUMMYFUNCTION("""COMPUTED_VALUE"""),"N/A")</f>
        <v>N/A</v>
      </c>
      <c r="I1218" s="4" t="str">
        <f>IFERROR(__xludf.DUMMYFUNCTION("""COMPUTED_VALUE"""),"Geoff")</f>
        <v>Geoff</v>
      </c>
      <c r="J1218" s="4" t="str">
        <f>IFERROR(__xludf.DUMMYFUNCTION("""COMPUTED_VALUE"""),"")</f>
        <v/>
      </c>
      <c r="K1218" s="4" t="str">
        <f>IFERROR(__xludf.DUMMYFUNCTION("""COMPUTED_VALUE"""),"Podcast")</f>
        <v>Podcast</v>
      </c>
      <c r="L1218" s="4" t="str">
        <f>IFERROR(__xludf.DUMMYFUNCTION("""COMPUTED_VALUE"""),"")</f>
        <v/>
      </c>
      <c r="M1218" s="4" t="str">
        <f>IFERROR(__xludf.DUMMYFUNCTION("""COMPUTED_VALUE"""),"Tedros Adhanom Ghebreyesus on Radio Collision ")</f>
        <v>Tedros Adhanom Ghebreyesus on Radio Collision </v>
      </c>
      <c r="N1218" s="4" t="str">
        <f>IFERROR(__xludf.DUMMYFUNCTION("""COMPUTED_VALUE"""),"Tedros Adhanom Ghebreyesus, World Health Organization")</f>
        <v>Tedros Adhanom Ghebreyesus, World Health Organization</v>
      </c>
      <c r="O1218" s="4" t="str">
        <f>IFERROR(__xludf.DUMMYFUNCTION("""COMPUTED_VALUE"""),"")</f>
        <v/>
      </c>
      <c r="P1218" s="4" t="str">
        <f>IFERROR(__xludf.DUMMYFUNCTION("""COMPUTED_VALUE"""),"")</f>
        <v/>
      </c>
      <c r="Q1218" s="4" t="str">
        <f>IFERROR(__xludf.DUMMYFUNCTION("""COMPUTED_VALUE"""),"")</f>
        <v/>
      </c>
      <c r="R1218" s="4" t="str">
        <f>IFERROR(__xludf.DUMMYFUNCTION("""COMPUTED_VALUE"""),"")</f>
        <v/>
      </c>
      <c r="S1218" s="4" t="str">
        <f>IFERROR(__xludf.DUMMYFUNCTION("""COMPUTED_VALUE"""),"")</f>
        <v/>
      </c>
      <c r="T1218" s="4" t="str">
        <f>IFERROR(__xludf.DUMMYFUNCTION("""COMPUTED_VALUE"""),"NON-KEYNOTE 9 - COMPLETE")</f>
        <v>NON-KEYNOTE 9 - COMPLETE</v>
      </c>
      <c r="U1218" s="4" t="str">
        <f>IFERROR(__xludf.DUMMYFUNCTION("""COMPUTED_VALUE"""),"")</f>
        <v/>
      </c>
      <c r="V1218" s="4" t="str">
        <f>IFERROR(__xludf.DUMMYFUNCTION("""COMPUTED_VALUE"""),"")</f>
        <v/>
      </c>
      <c r="W1218" s="4" t="str">
        <f>IFERROR(__xludf.DUMMYFUNCTION("""COMPUTED_VALUE"""),"")</f>
        <v/>
      </c>
      <c r="X1218" s="4" t="str">
        <f>IFERROR(__xludf.DUMMYFUNCTION("""COMPUTED_VALUE"""),"")</f>
        <v/>
      </c>
      <c r="Y1218" s="4" t="str">
        <f>IFERROR(__xludf.DUMMYFUNCTION("""COMPUTED_VALUE"""),"")</f>
        <v/>
      </c>
    </row>
    <row r="1219">
      <c r="A1219" s="4" t="str">
        <f>IFERROR(__xludf.DUMMYFUNCTION("""COMPUTED_VALUE"""),"1654 - Channel")</f>
        <v>1654 - Channel</v>
      </c>
      <c r="B1219" s="4" t="str">
        <f>IFERROR(__xludf.DUMMYFUNCTION("""COMPUTED_VALUE"""),"Surplus ch.")</f>
        <v>Surplus ch.</v>
      </c>
      <c r="C1219" s="4" t="str">
        <f>IFERROR(__xludf.DUMMYFUNCTION("""COMPUTED_VALUE"""),"Day 3 - 25/06")</f>
        <v>Day 3 - 25/06</v>
      </c>
      <c r="D1219" s="6">
        <f>IFERROR(__xludf.DUMMYFUNCTION("""COMPUTED_VALUE"""),0.4479166666666667)</f>
        <v>0.4479166667</v>
      </c>
      <c r="E1219" s="6">
        <f>IFERROR(__xludf.DUMMYFUNCTION("""COMPUTED_VALUE"""),0.001388888888888889)</f>
        <v>0.001388888889</v>
      </c>
      <c r="F1219" s="6">
        <f>IFERROR(__xludf.DUMMYFUNCTION("""COMPUTED_VALUE"""),0.44930555555555557)</f>
        <v>0.4493055556</v>
      </c>
      <c r="G1219" s="4" t="str">
        <f>IFERROR(__xludf.DUMMYFUNCTION("""COMPUTED_VALUE"""),"")</f>
        <v/>
      </c>
      <c r="H1219" s="4" t="str">
        <f>IFERROR(__xludf.DUMMYFUNCTION("""COMPUTED_VALUE"""),"")</f>
        <v/>
      </c>
      <c r="I1219" s="4" t="str">
        <f>IFERROR(__xludf.DUMMYFUNCTION("""COMPUTED_VALUE"""),"")</f>
        <v/>
      </c>
      <c r="J1219" s="4" t="str">
        <f>IFERROR(__xludf.DUMMYFUNCTION("""COMPUTED_VALUE"""),"")</f>
        <v/>
      </c>
      <c r="K1219" s="4" t="str">
        <f>IFERROR(__xludf.DUMMYFUNCTION("""COMPUTED_VALUE"""),"Web Summit Trailer - full")</f>
        <v>Web Summit Trailer - full</v>
      </c>
      <c r="L1219" s="4" t="str">
        <f>IFERROR(__xludf.DUMMYFUNCTION("""COMPUTED_VALUE"""),"")</f>
        <v/>
      </c>
      <c r="M1219" s="4" t="str">
        <f>IFERROR(__xludf.DUMMYFUNCTION("""COMPUTED_VALUE"""),"Collision From Home Promo")</f>
        <v>Collision From Home Promo</v>
      </c>
      <c r="N1219" s="4" t="str">
        <f>IFERROR(__xludf.DUMMYFUNCTION("""COMPUTED_VALUE"""),"")</f>
        <v/>
      </c>
      <c r="O1219" s="4" t="str">
        <f>IFERROR(__xludf.DUMMYFUNCTION("""COMPUTED_VALUE"""),"")</f>
        <v/>
      </c>
      <c r="P1219" s="4" t="str">
        <f>IFERROR(__xludf.DUMMYFUNCTION("""COMPUTED_VALUE"""),"")</f>
        <v/>
      </c>
      <c r="Q1219" s="4" t="str">
        <f>IFERROR(__xludf.DUMMYFUNCTION("""COMPUTED_VALUE"""),"")</f>
        <v/>
      </c>
      <c r="R1219" s="4" t="str">
        <f>IFERROR(__xludf.DUMMYFUNCTION("""COMPUTED_VALUE"""),"")</f>
        <v/>
      </c>
      <c r="S1219" s="4" t="str">
        <f>IFERROR(__xludf.DUMMYFUNCTION("""COMPUTED_VALUE"""),"")</f>
        <v/>
      </c>
      <c r="T1219" s="4" t="str">
        <f>IFERROR(__xludf.DUMMYFUNCTION("""COMPUTED_VALUE"""),"")</f>
        <v/>
      </c>
      <c r="U1219" s="4" t="str">
        <f>IFERROR(__xludf.DUMMYFUNCTION("""COMPUTED_VALUE"""),"")</f>
        <v/>
      </c>
      <c r="V1219" s="4" t="str">
        <f>IFERROR(__xludf.DUMMYFUNCTION("""COMPUTED_VALUE"""),"")</f>
        <v/>
      </c>
      <c r="W1219" s="4" t="str">
        <f>IFERROR(__xludf.DUMMYFUNCTION("""COMPUTED_VALUE"""),"")</f>
        <v/>
      </c>
      <c r="X1219" s="4" t="str">
        <f>IFERROR(__xludf.DUMMYFUNCTION("""COMPUTED_VALUE"""),"")</f>
        <v/>
      </c>
      <c r="Y1219" s="4" t="str">
        <f>IFERROR(__xludf.DUMMYFUNCTION("""COMPUTED_VALUE"""),"")</f>
        <v/>
      </c>
    </row>
    <row r="1220">
      <c r="A1220" s="4" t="str">
        <f>IFERROR(__xludf.DUMMYFUNCTION("""COMPUTED_VALUE"""),"1453 - Channel")</f>
        <v>1453 - Channel</v>
      </c>
      <c r="B1220" s="4" t="str">
        <f>IFERROR(__xludf.DUMMYFUNCTION("""COMPUTED_VALUE"""),"Surplus ch.")</f>
        <v>Surplus ch.</v>
      </c>
      <c r="C1220" s="4" t="str">
        <f>IFERROR(__xludf.DUMMYFUNCTION("""COMPUTED_VALUE"""),"Day 3 - 25/06")</f>
        <v>Day 3 - 25/06</v>
      </c>
      <c r="D1220" s="6">
        <f>IFERROR(__xludf.DUMMYFUNCTION("""COMPUTED_VALUE"""),0.44930555555555557)</f>
        <v>0.4493055556</v>
      </c>
      <c r="E1220" s="6">
        <f>IFERROR(__xludf.DUMMYFUNCTION("""COMPUTED_VALUE"""),3.356481481481481E-4)</f>
        <v>0.0003356481481</v>
      </c>
      <c r="F1220" s="6">
        <f>IFERROR(__xludf.DUMMYFUNCTION("""COMPUTED_VALUE"""),0.4496412037037037)</f>
        <v>0.4496412037</v>
      </c>
      <c r="G1220" s="4" t="str">
        <f>IFERROR(__xludf.DUMMYFUNCTION("""COMPUTED_VALUE"""),"")</f>
        <v/>
      </c>
      <c r="H1220" s="4" t="str">
        <f>IFERROR(__xludf.DUMMYFUNCTION("""COMPUTED_VALUE"""),"")</f>
        <v/>
      </c>
      <c r="I1220" s="4" t="str">
        <f>IFERROR(__xludf.DUMMYFUNCTION("""COMPUTED_VALUE"""),"")</f>
        <v/>
      </c>
      <c r="J1220" s="4" t="str">
        <f>IFERROR(__xludf.DUMMYFUNCTION("""COMPUTED_VALUE"""),"Fundraising")</f>
        <v>Fundraising</v>
      </c>
      <c r="K1220" s="4" t="str">
        <f>IFERROR(__xludf.DUMMYFUNCTION("""COMPUTED_VALUE"""),"Talk Intro")</f>
        <v>Talk Intro</v>
      </c>
      <c r="L1220" s="4" t="str">
        <f>IFERROR(__xludf.DUMMYFUNCTION("""COMPUTED_VALUE"""),"")</f>
        <v/>
      </c>
      <c r="M1220" s="4" t="str">
        <f>IFERROR(__xludf.DUMMYFUNCTION("""COMPUTED_VALUE"""),"Talk Intro")</f>
        <v>Talk Intro</v>
      </c>
      <c r="N1220" s="4" t="str">
        <f>IFERROR(__xludf.DUMMYFUNCTION("""COMPUTED_VALUE"""),"")</f>
        <v/>
      </c>
      <c r="O1220" s="4" t="str">
        <f>IFERROR(__xludf.DUMMYFUNCTION("""COMPUTED_VALUE"""),"")</f>
        <v/>
      </c>
      <c r="P1220" s="4" t="str">
        <f>IFERROR(__xludf.DUMMYFUNCTION("""COMPUTED_VALUE"""),"")</f>
        <v/>
      </c>
      <c r="Q1220" s="4" t="str">
        <f>IFERROR(__xludf.DUMMYFUNCTION("""COMPUTED_VALUE"""),"")</f>
        <v/>
      </c>
      <c r="R1220" s="4" t="str">
        <f>IFERROR(__xludf.DUMMYFUNCTION("""COMPUTED_VALUE"""),"")</f>
        <v/>
      </c>
      <c r="S1220" s="4" t="str">
        <f>IFERROR(__xludf.DUMMYFUNCTION("""COMPUTED_VALUE"""),"")</f>
        <v/>
      </c>
      <c r="T1220" s="4" t="str">
        <f>IFERROR(__xludf.DUMMYFUNCTION("""COMPUTED_VALUE"""),"")</f>
        <v/>
      </c>
      <c r="U1220" s="4" t="str">
        <f>IFERROR(__xludf.DUMMYFUNCTION("""COMPUTED_VALUE"""),"")</f>
        <v/>
      </c>
      <c r="V1220" s="4" t="str">
        <f>IFERROR(__xludf.DUMMYFUNCTION("""COMPUTED_VALUE"""),"")</f>
        <v/>
      </c>
      <c r="W1220" s="4" t="str">
        <f>IFERROR(__xludf.DUMMYFUNCTION("""COMPUTED_VALUE"""),"")</f>
        <v/>
      </c>
      <c r="X1220" s="4" t="str">
        <f>IFERROR(__xludf.DUMMYFUNCTION("""COMPUTED_VALUE"""),"")</f>
        <v/>
      </c>
      <c r="Y1220" s="4" t="str">
        <f>IFERROR(__xludf.DUMMYFUNCTION("""COMPUTED_VALUE"""),"")</f>
        <v/>
      </c>
    </row>
    <row r="1221">
      <c r="A1221" s="4" t="str">
        <f>IFERROR(__xludf.DUMMYFUNCTION("""COMPUTED_VALUE"""),"604 - Channel")</f>
        <v>604 - Channel</v>
      </c>
      <c r="B1221" s="4" t="str">
        <f>IFERROR(__xludf.DUMMYFUNCTION("""COMPUTED_VALUE"""),"Surplus ch.")</f>
        <v>Surplus ch.</v>
      </c>
      <c r="C1221" s="4" t="str">
        <f>IFERROR(__xludf.DUMMYFUNCTION("""COMPUTED_VALUE"""),"Day 3 - 25/06")</f>
        <v>Day 3 - 25/06</v>
      </c>
      <c r="D1221" s="6">
        <f>IFERROR(__xludf.DUMMYFUNCTION("""COMPUTED_VALUE"""),0.4496412037037037)</f>
        <v>0.4496412037</v>
      </c>
      <c r="E1221" s="6">
        <f>IFERROR(__xludf.DUMMYFUNCTION("""COMPUTED_VALUE"""),0.010416666666666666)</f>
        <v>0.01041666667</v>
      </c>
      <c r="F1221" s="6">
        <f>IFERROR(__xludf.DUMMYFUNCTION("""COMPUTED_VALUE"""),0.4600578703703704)</f>
        <v>0.4600578704</v>
      </c>
      <c r="G1221" s="4" t="str">
        <f>IFERROR(__xludf.DUMMYFUNCTION("""COMPUTED_VALUE"""),"Stephanie")</f>
        <v>Stephanie</v>
      </c>
      <c r="H1221" s="4" t="str">
        <f>IFERROR(__xludf.DUMMYFUNCTION("""COMPUTED_VALUE"""),"Haziq")</f>
        <v>Haziq</v>
      </c>
      <c r="I1221" s="4" t="str">
        <f>IFERROR(__xludf.DUMMYFUNCTION("""COMPUTED_VALUE"""),"James")</f>
        <v>James</v>
      </c>
      <c r="J1221" s="4" t="str">
        <f>IFERROR(__xludf.DUMMYFUNCTION("""COMPUTED_VALUE"""),"Fundraising")</f>
        <v>Fundraising</v>
      </c>
      <c r="K1221" s="4" t="str">
        <f>IFERROR(__xludf.DUMMYFUNCTION("""COMPUTED_VALUE"""),"Panel")</f>
        <v>Panel</v>
      </c>
      <c r="L1221" s="4" t="str">
        <f>IFERROR(__xludf.DUMMYFUNCTION("""COMPUTED_VALUE"""),"T- 5 - 18/05/2020")</f>
        <v>T- 5 - 18/05/2020</v>
      </c>
      <c r="M1221" s="4" t="str">
        <f>IFERROR(__xludf.DUMMYFUNCTION("""COMPUTED_VALUE"""),"Will the money dry up post Covid-19?")</f>
        <v>Will the money dry up post Covid-19?</v>
      </c>
      <c r="N1221" s="4" t="str">
        <f>IFERROR(__xludf.DUMMYFUNCTION("""COMPUTED_VALUE"""),"Lisa Edgar, Top Tier Capital Partners")</f>
        <v>Lisa Edgar, Top Tier Capital Partners</v>
      </c>
      <c r="O1221" s="4" t="str">
        <f>IFERROR(__xludf.DUMMYFUNCTION("""COMPUTED_VALUE"""),"Mindy Isenstein, TrueBridge Capital Partners")</f>
        <v>Mindy Isenstein, TrueBridge Capital Partners</v>
      </c>
      <c r="P1221" s="4" t="str">
        <f>IFERROR(__xludf.DUMMYFUNCTION("""COMPUTED_VALUE"""),"Ertan Can, Multiple Capital")</f>
        <v>Ertan Can, Multiple Capital</v>
      </c>
      <c r="Q1221" s="4" t="str">
        <f>IFERROR(__xludf.DUMMYFUNCTION("""COMPUTED_VALUE"""),"")</f>
        <v/>
      </c>
      <c r="R1221" s="4" t="str">
        <f>IFERROR(__xludf.DUMMYFUNCTION("""COMPUTED_VALUE"""),"Kimberly Weisul, Inc. Magazine")</f>
        <v>Kimberly Weisul, Inc. Magazine</v>
      </c>
      <c r="S1221" s="4" t="str">
        <f>IFERROR(__xludf.DUMMYFUNCTION("""COMPUTED_VALUE"""),"The process of raising a VC fund is cloaked in shadow. This LP panel brings light to the all-important matter that keeps our VCs afloat, and gives insight into raising a fund during an economic downturn. ")</f>
        <v>The process of raising a VC fund is cloaked in shadow. This LP panel brings light to the all-important matter that keeps our VCs afloat, and gives insight into raising a fund during an economic downturn. </v>
      </c>
      <c r="T1221" s="4" t="str">
        <f>IFERROR(__xludf.DUMMYFUNCTION("""COMPUTED_VALUE"""),"NON-KEYNOTE 9 - COMPLETE")</f>
        <v>NON-KEYNOTE 9 - COMPLETE</v>
      </c>
      <c r="U1221" s="23">
        <f>IFERROR(__xludf.DUMMYFUNCTION("""COMPUTED_VALUE"""),43970.0)</f>
        <v>43970</v>
      </c>
      <c r="V1221" s="24">
        <f>IFERROR(__xludf.DUMMYFUNCTION("""COMPUTED_VALUE"""),0.7083333333333334)</f>
        <v>0.7083333333</v>
      </c>
      <c r="W1221" s="4" t="str">
        <f>IFERROR(__xludf.DUMMYFUNCTION("""COMPUTED_VALUE"""),"COMPLETE")</f>
        <v>COMPLETE</v>
      </c>
      <c r="X1221" s="4" t="str">
        <f>IFERROR(__xludf.DUMMYFUNCTION("""COMPUTED_VALUE"""),"Stephanie")</f>
        <v>Stephanie</v>
      </c>
      <c r="Y1221" s="4" t="str">
        <f>IFERROR(__xludf.DUMMYFUNCTION("""COMPUTED_VALUE"""),"")</f>
        <v/>
      </c>
    </row>
    <row r="1222">
      <c r="A1222" s="4" t="str">
        <f>IFERROR(__xludf.DUMMYFUNCTION("""COMPUTED_VALUE"""),"1455 - Channel")</f>
        <v>1455 - Channel</v>
      </c>
      <c r="B1222" s="4" t="str">
        <f>IFERROR(__xludf.DUMMYFUNCTION("""COMPUTED_VALUE"""),"Surplus ch.")</f>
        <v>Surplus ch.</v>
      </c>
      <c r="C1222" s="4" t="str">
        <f>IFERROR(__xludf.DUMMYFUNCTION("""COMPUTED_VALUE"""),"Day 3 - 25/06")</f>
        <v>Day 3 - 25/06</v>
      </c>
      <c r="D1222" s="6">
        <f>IFERROR(__xludf.DUMMYFUNCTION("""COMPUTED_VALUE"""),0.4600578703703704)</f>
        <v>0.4600578704</v>
      </c>
      <c r="E1222" s="6">
        <f>IFERROR(__xludf.DUMMYFUNCTION("""COMPUTED_VALUE"""),1.7361111111111112E-4)</f>
        <v>0.0001736111111</v>
      </c>
      <c r="F1222" s="6">
        <f>IFERROR(__xludf.DUMMYFUNCTION("""COMPUTED_VALUE"""),0.4602314814814815)</f>
        <v>0.4602314815</v>
      </c>
      <c r="G1222" s="4" t="str">
        <f>IFERROR(__xludf.DUMMYFUNCTION("""COMPUTED_VALUE"""),"")</f>
        <v/>
      </c>
      <c r="H1222" s="4" t="str">
        <f>IFERROR(__xludf.DUMMYFUNCTION("""COMPUTED_VALUE"""),"")</f>
        <v/>
      </c>
      <c r="I1222" s="4" t="str">
        <f>IFERROR(__xludf.DUMMYFUNCTION("""COMPUTED_VALUE"""),"")</f>
        <v/>
      </c>
      <c r="J1222" s="4" t="str">
        <f>IFERROR(__xludf.DUMMYFUNCTION("""COMPUTED_VALUE"""),"Fundraising")</f>
        <v>Fundraising</v>
      </c>
      <c r="K1222" s="4" t="str">
        <f>IFERROR(__xludf.DUMMYFUNCTION("""COMPUTED_VALUE"""),"Talk Outro")</f>
        <v>Talk Outro</v>
      </c>
      <c r="L1222" s="4" t="str">
        <f>IFERROR(__xludf.DUMMYFUNCTION("""COMPUTED_VALUE"""),"")</f>
        <v/>
      </c>
      <c r="M1222" s="4" t="str">
        <f>IFERROR(__xludf.DUMMYFUNCTION("""COMPUTED_VALUE"""),"Talk Outro")</f>
        <v>Talk Outro</v>
      </c>
      <c r="N1222" s="4" t="str">
        <f>IFERROR(__xludf.DUMMYFUNCTION("""COMPUTED_VALUE"""),"")</f>
        <v/>
      </c>
      <c r="O1222" s="4" t="str">
        <f>IFERROR(__xludf.DUMMYFUNCTION("""COMPUTED_VALUE"""),"")</f>
        <v/>
      </c>
      <c r="P1222" s="4" t="str">
        <f>IFERROR(__xludf.DUMMYFUNCTION("""COMPUTED_VALUE"""),"")</f>
        <v/>
      </c>
      <c r="Q1222" s="4" t="str">
        <f>IFERROR(__xludf.DUMMYFUNCTION("""COMPUTED_VALUE"""),"")</f>
        <v/>
      </c>
      <c r="R1222" s="4" t="str">
        <f>IFERROR(__xludf.DUMMYFUNCTION("""COMPUTED_VALUE"""),"")</f>
        <v/>
      </c>
      <c r="S1222" s="4" t="str">
        <f>IFERROR(__xludf.DUMMYFUNCTION("""COMPUTED_VALUE"""),"")</f>
        <v/>
      </c>
      <c r="T1222" s="4" t="str">
        <f>IFERROR(__xludf.DUMMYFUNCTION("""COMPUTED_VALUE"""),"")</f>
        <v/>
      </c>
      <c r="U1222" s="4" t="str">
        <f>IFERROR(__xludf.DUMMYFUNCTION("""COMPUTED_VALUE"""),"")</f>
        <v/>
      </c>
      <c r="V1222" s="4" t="str">
        <f>IFERROR(__xludf.DUMMYFUNCTION("""COMPUTED_VALUE"""),"")</f>
        <v/>
      </c>
      <c r="W1222" s="4" t="str">
        <f>IFERROR(__xludf.DUMMYFUNCTION("""COMPUTED_VALUE"""),"")</f>
        <v/>
      </c>
      <c r="X1222" s="4" t="str">
        <f>IFERROR(__xludf.DUMMYFUNCTION("""COMPUTED_VALUE"""),"")</f>
        <v/>
      </c>
      <c r="Y1222" s="4" t="str">
        <f>IFERROR(__xludf.DUMMYFUNCTION("""COMPUTED_VALUE"""),"")</f>
        <v/>
      </c>
    </row>
    <row r="1223">
      <c r="A1223" s="4" t="str">
        <f>IFERROR(__xludf.DUMMYFUNCTION("""COMPUTED_VALUE"""),"208 - Channel")</f>
        <v>208 - Channel</v>
      </c>
      <c r="B1223" s="4" t="str">
        <f>IFERROR(__xludf.DUMMYFUNCTION("""COMPUTED_VALUE"""),"Surplus ch.")</f>
        <v>Surplus ch.</v>
      </c>
      <c r="C1223" s="4" t="str">
        <f>IFERROR(__xludf.DUMMYFUNCTION("""COMPUTED_VALUE"""),"Day 2 - 24/06")</f>
        <v>Day 2 - 24/06</v>
      </c>
      <c r="D1223" s="6">
        <f>IFERROR(__xludf.DUMMYFUNCTION("""COMPUTED_VALUE"""),0.4602314814814815)</f>
        <v>0.4602314815</v>
      </c>
      <c r="E1223" s="6">
        <f>IFERROR(__xludf.DUMMYFUNCTION("""COMPUTED_VALUE"""),2.314814814814815E-4)</f>
        <v>0.0002314814815</v>
      </c>
      <c r="F1223" s="6">
        <f>IFERROR(__xludf.DUMMYFUNCTION("""COMPUTED_VALUE"""),0.460462962962963)</f>
        <v>0.460462963</v>
      </c>
      <c r="G1223" s="4" t="str">
        <f>IFERROR(__xludf.DUMMYFUNCTION("""COMPUTED_VALUE"""),"")</f>
        <v/>
      </c>
      <c r="H1223" s="4" t="str">
        <f>IFERROR(__xludf.DUMMYFUNCTION("""COMPUTED_VALUE"""),"")</f>
        <v/>
      </c>
      <c r="I1223" s="4" t="str">
        <f>IFERROR(__xludf.DUMMYFUNCTION("""COMPUTED_VALUE"""),"")</f>
        <v/>
      </c>
      <c r="J1223" s="4" t="str">
        <f>IFERROR(__xludf.DUMMYFUNCTION("""COMPUTED_VALUE"""),"")</f>
        <v/>
      </c>
      <c r="K1223" s="4" t="str">
        <f>IFERROR(__xludf.DUMMYFUNCTION("""COMPUTED_VALUE"""),"Talk Intro")</f>
        <v>Talk Intro</v>
      </c>
      <c r="L1223" s="4" t="str">
        <f>IFERROR(__xludf.DUMMYFUNCTION("""COMPUTED_VALUE"""),"")</f>
        <v/>
      </c>
      <c r="M1223" s="4" t="str">
        <f>IFERROR(__xludf.DUMMYFUNCTION("""COMPUTED_VALUE"""),"Talk intro ")</f>
        <v>Talk intro </v>
      </c>
      <c r="N1223" s="4" t="str">
        <f>IFERROR(__xludf.DUMMYFUNCTION("""COMPUTED_VALUE"""),"Yvonne Redmond, Web Summit")</f>
        <v>Yvonne Redmond, Web Summit</v>
      </c>
      <c r="O1223" s="4" t="str">
        <f>IFERROR(__xludf.DUMMYFUNCTION("""COMPUTED_VALUE"""),"")</f>
        <v/>
      </c>
      <c r="P1223" s="4" t="str">
        <f>IFERROR(__xludf.DUMMYFUNCTION("""COMPUTED_VALUE"""),"")</f>
        <v/>
      </c>
      <c r="Q1223" s="4" t="str">
        <f>IFERROR(__xludf.DUMMYFUNCTION("""COMPUTED_VALUE"""),"")</f>
        <v/>
      </c>
      <c r="R1223" s="4" t="str">
        <f>IFERROR(__xludf.DUMMYFUNCTION("""COMPUTED_VALUE"""),"")</f>
        <v/>
      </c>
      <c r="S1223" s="4" t="str">
        <f>IFERROR(__xludf.DUMMYFUNCTION("""COMPUTED_VALUE"""),"")</f>
        <v/>
      </c>
      <c r="T1223" s="4" t="str">
        <f>IFERROR(__xludf.DUMMYFUNCTION("""COMPUTED_VALUE"""),"")</f>
        <v/>
      </c>
      <c r="U1223" s="4" t="str">
        <f>IFERROR(__xludf.DUMMYFUNCTION("""COMPUTED_VALUE"""),"")</f>
        <v/>
      </c>
      <c r="V1223" s="4" t="str">
        <f>IFERROR(__xludf.DUMMYFUNCTION("""COMPUTED_VALUE"""),"")</f>
        <v/>
      </c>
      <c r="W1223" s="4" t="str">
        <f>IFERROR(__xludf.DUMMYFUNCTION("""COMPUTED_VALUE"""),"")</f>
        <v/>
      </c>
      <c r="X1223" s="4" t="str">
        <f>IFERROR(__xludf.DUMMYFUNCTION("""COMPUTED_VALUE"""),"")</f>
        <v/>
      </c>
      <c r="Y1223" s="4" t="str">
        <f>IFERROR(__xludf.DUMMYFUNCTION("""COMPUTED_VALUE"""),"")</f>
        <v/>
      </c>
    </row>
    <row r="1224">
      <c r="A1224" s="4" t="str">
        <f>IFERROR(__xludf.DUMMYFUNCTION("""COMPUTED_VALUE"""),"239 - Channel")</f>
        <v>239 - Channel</v>
      </c>
      <c r="B1224" s="4" t="str">
        <f>IFERROR(__xludf.DUMMYFUNCTION("""COMPUTED_VALUE"""),"Surplus ch.")</f>
        <v>Surplus ch.</v>
      </c>
      <c r="C1224" s="4" t="str">
        <f>IFERROR(__xludf.DUMMYFUNCTION("""COMPUTED_VALUE"""),"Day 2 - 24/06")</f>
        <v>Day 2 - 24/06</v>
      </c>
      <c r="D1224" s="6">
        <f>IFERROR(__xludf.DUMMYFUNCTION("""COMPUTED_VALUE"""),0.460462962962963)</f>
        <v>0.460462963</v>
      </c>
      <c r="E1224" s="6">
        <f>IFERROR(__xludf.DUMMYFUNCTION("""COMPUTED_VALUE"""),0.008333333333333333)</f>
        <v>0.008333333333</v>
      </c>
      <c r="F1224" s="6">
        <f>IFERROR(__xludf.DUMMYFUNCTION("""COMPUTED_VALUE"""),0.4687962962962964)</f>
        <v>0.4687962963</v>
      </c>
      <c r="G1224" s="4" t="str">
        <f>IFERROR(__xludf.DUMMYFUNCTION("""COMPUTED_VALUE"""),"Darragh")</f>
        <v>Darragh</v>
      </c>
      <c r="H1224" s="4" t="str">
        <f>IFERROR(__xludf.DUMMYFUNCTION("""COMPUTED_VALUE"""),"")</f>
        <v/>
      </c>
      <c r="I1224" s="4" t="str">
        <f>IFERROR(__xludf.DUMMYFUNCTION("""COMPUTED_VALUE"""),"Hannah")</f>
        <v>Hannah</v>
      </c>
      <c r="J1224" s="4" t="str">
        <f>IFERROR(__xludf.DUMMYFUNCTION("""COMPUTED_VALUE"""),"")</f>
        <v/>
      </c>
      <c r="K1224" s="4" t="str">
        <f>IFERROR(__xludf.DUMMYFUNCTION("""COMPUTED_VALUE"""),"Fireside")</f>
        <v>Fireside</v>
      </c>
      <c r="L1224" s="4" t="str">
        <f>IFERROR(__xludf.DUMMYFUNCTION("""COMPUTED_VALUE"""),"T- 4 - 25/05/2020")</f>
        <v>T- 4 - 25/05/2020</v>
      </c>
      <c r="M1224" s="4" t="str">
        <f>IFERROR(__xludf.DUMMYFUNCTION("""COMPUTED_VALUE"""),"Zoom with a difference: Ben Goertzel and Philip K Dick")</f>
        <v>Zoom with a difference: Ben Goertzel and Philip K Dick</v>
      </c>
      <c r="N1224" s="4" t="str">
        <f>IFERROR(__xludf.DUMMYFUNCTION("""COMPUTED_VALUE"""),"Ben Goertzel, SingularityNET")</f>
        <v>Ben Goertzel, SingularityNET</v>
      </c>
      <c r="O1224" s="4" t="str">
        <f>IFERROR(__xludf.DUMMYFUNCTION("""COMPUTED_VALUE"""),"")</f>
        <v/>
      </c>
      <c r="P1224" s="4" t="str">
        <f>IFERROR(__xludf.DUMMYFUNCTION("""COMPUTED_VALUE"""),"")</f>
        <v/>
      </c>
      <c r="Q1224" s="4" t="str">
        <f>IFERROR(__xludf.DUMMYFUNCTION("""COMPUTED_VALUE"""),"")</f>
        <v/>
      </c>
      <c r="R1224" s="4" t="str">
        <f>IFERROR(__xludf.DUMMYFUNCTION("""COMPUTED_VALUE"""),"Philip K. Dick, University of Louisville")</f>
        <v>Philip K. Dick, University of Louisville</v>
      </c>
      <c r="S1224" s="4" t="str">
        <f>IFERROR(__xludf.DUMMYFUNCTION("""COMPUTED_VALUE"""),"In this one-of-a-kind Zoom interview, Ben Goertzel will be talking to one of literature's most renowned writers: Mr Philip K Dick.")</f>
        <v>In this one-of-a-kind Zoom interview, Ben Goertzel will be talking to one of literature's most renowned writers: Mr Philip K Dick.</v>
      </c>
      <c r="T1224" s="4" t="str">
        <f>IFERROR(__xludf.DUMMYFUNCTION("""COMPUTED_VALUE"""),"NON-KEYNOTE 9 - COMPLETE")</f>
        <v>NON-KEYNOTE 9 - COMPLETE</v>
      </c>
      <c r="U1224" s="23">
        <f>IFERROR(__xludf.DUMMYFUNCTION("""COMPUTED_VALUE"""),43979.0)</f>
        <v>43979</v>
      </c>
      <c r="V1224" s="24" t="str">
        <f>IFERROR(__xludf.DUMMYFUNCTION("""COMPUTED_VALUE"""),"potentially cancelled ")</f>
        <v>potentially cancelled </v>
      </c>
      <c r="W1224" s="4" t="str">
        <f>IFERROR(__xludf.DUMMYFUNCTION("""COMPUTED_VALUE"""),"TBC")</f>
        <v>TBC</v>
      </c>
      <c r="X1224" s="4" t="str">
        <f>IFERROR(__xludf.DUMMYFUNCTION("""COMPUTED_VALUE"""),"")</f>
        <v/>
      </c>
      <c r="Y1224" s="4" t="str">
        <f>IFERROR(__xludf.DUMMYFUNCTION("""COMPUTED_VALUE"""),"")</f>
        <v/>
      </c>
    </row>
    <row r="1225">
      <c r="A1225" s="4" t="str">
        <f>IFERROR(__xludf.DUMMYFUNCTION("""COMPUTED_VALUE"""),"1555 - Channel")</f>
        <v>1555 - Channel</v>
      </c>
      <c r="B1225" s="4" t="str">
        <f>IFERROR(__xludf.DUMMYFUNCTION("""COMPUTED_VALUE"""),"Surplus ch.")</f>
        <v>Surplus ch.</v>
      </c>
      <c r="C1225" s="4" t="str">
        <f>IFERROR(__xludf.DUMMYFUNCTION("""COMPUTED_VALUE"""),"")</f>
        <v/>
      </c>
      <c r="D1225" s="4" t="str">
        <f>IFERROR(__xludf.DUMMYFUNCTION("""COMPUTED_VALUE"""),"")</f>
        <v/>
      </c>
      <c r="E1225" s="4" t="str">
        <f>IFERROR(__xludf.DUMMYFUNCTION("""COMPUTED_VALUE"""),"")</f>
        <v/>
      </c>
      <c r="F1225" s="4" t="str">
        <f>IFERROR(__xludf.DUMMYFUNCTION("""COMPUTED_VALUE"""),"")</f>
        <v/>
      </c>
      <c r="G1225" s="4" t="str">
        <f>IFERROR(__xludf.DUMMYFUNCTION("""COMPUTED_VALUE"""),"")</f>
        <v/>
      </c>
      <c r="H1225" s="4" t="str">
        <f>IFERROR(__xludf.DUMMYFUNCTION("""COMPUTED_VALUE"""),"")</f>
        <v/>
      </c>
      <c r="I1225" s="4" t="str">
        <f>IFERROR(__xludf.DUMMYFUNCTION("""COMPUTED_VALUE"""),"")</f>
        <v/>
      </c>
      <c r="J1225" s="4" t="str">
        <f>IFERROR(__xludf.DUMMYFUNCTION("""COMPUTED_VALUE"""),"")</f>
        <v/>
      </c>
      <c r="K1225" s="4" t="str">
        <f>IFERROR(__xludf.DUMMYFUNCTION("""COMPUTED_VALUE"""),"")</f>
        <v/>
      </c>
      <c r="L1225" s="4" t="str">
        <f>IFERROR(__xludf.DUMMYFUNCTION("""COMPUTED_VALUE"""),"")</f>
        <v/>
      </c>
      <c r="M1225" s="4" t="str">
        <f>IFERROR(__xludf.DUMMYFUNCTION("""COMPUTED_VALUE"""),"")</f>
        <v/>
      </c>
      <c r="N1225" s="4" t="str">
        <f>IFERROR(__xludf.DUMMYFUNCTION("""COMPUTED_VALUE"""),"")</f>
        <v/>
      </c>
      <c r="O1225" s="4" t="str">
        <f>IFERROR(__xludf.DUMMYFUNCTION("""COMPUTED_VALUE"""),"")</f>
        <v/>
      </c>
      <c r="P1225" s="4" t="str">
        <f>IFERROR(__xludf.DUMMYFUNCTION("""COMPUTED_VALUE"""),"")</f>
        <v/>
      </c>
      <c r="Q1225" s="4" t="str">
        <f>IFERROR(__xludf.DUMMYFUNCTION("""COMPUTED_VALUE"""),"")</f>
        <v/>
      </c>
      <c r="R1225" s="4" t="str">
        <f>IFERROR(__xludf.DUMMYFUNCTION("""COMPUTED_VALUE"""),"")</f>
        <v/>
      </c>
      <c r="S1225" s="4" t="str">
        <f>IFERROR(__xludf.DUMMYFUNCTION("""COMPUTED_VALUE"""),"")</f>
        <v/>
      </c>
      <c r="T1225" s="4" t="str">
        <f>IFERROR(__xludf.DUMMYFUNCTION("""COMPUTED_VALUE"""),"")</f>
        <v/>
      </c>
      <c r="U1225" s="4" t="str">
        <f>IFERROR(__xludf.DUMMYFUNCTION("""COMPUTED_VALUE"""),"")</f>
        <v/>
      </c>
      <c r="V1225" s="4" t="str">
        <f>IFERROR(__xludf.DUMMYFUNCTION("""COMPUTED_VALUE"""),"")</f>
        <v/>
      </c>
      <c r="W1225" s="4" t="str">
        <f>IFERROR(__xludf.DUMMYFUNCTION("""COMPUTED_VALUE"""),"")</f>
        <v/>
      </c>
      <c r="X1225" s="4" t="str">
        <f>IFERROR(__xludf.DUMMYFUNCTION("""COMPUTED_VALUE"""),"")</f>
        <v/>
      </c>
      <c r="Y1225" s="4" t="str">
        <f>IFERROR(__xludf.DUMMYFUNCTION("""COMPUTED_VALUE"""),"")</f>
        <v/>
      </c>
    </row>
    <row r="1226">
      <c r="A1226" s="4" t="str">
        <f>IFERROR(__xludf.DUMMYFUNCTION("""COMPUTED_VALUE"""),"1556 - Channel")</f>
        <v>1556 - Channel</v>
      </c>
      <c r="B1226" s="4" t="str">
        <f>IFERROR(__xludf.DUMMYFUNCTION("""COMPUTED_VALUE"""),"Surplus ch.")</f>
        <v>Surplus ch.</v>
      </c>
      <c r="C1226" s="4" t="str">
        <f>IFERROR(__xludf.DUMMYFUNCTION("""COMPUTED_VALUE"""),"")</f>
        <v/>
      </c>
      <c r="D1226" s="4" t="str">
        <f>IFERROR(__xludf.DUMMYFUNCTION("""COMPUTED_VALUE"""),"")</f>
        <v/>
      </c>
      <c r="E1226" s="4" t="str">
        <f>IFERROR(__xludf.DUMMYFUNCTION("""COMPUTED_VALUE"""),"")</f>
        <v/>
      </c>
      <c r="F1226" s="4" t="str">
        <f>IFERROR(__xludf.DUMMYFUNCTION("""COMPUTED_VALUE"""),"")</f>
        <v/>
      </c>
      <c r="G1226" s="4" t="str">
        <f>IFERROR(__xludf.DUMMYFUNCTION("""COMPUTED_VALUE"""),"")</f>
        <v/>
      </c>
      <c r="H1226" s="4" t="str">
        <f>IFERROR(__xludf.DUMMYFUNCTION("""COMPUTED_VALUE"""),"")</f>
        <v/>
      </c>
      <c r="I1226" s="4" t="str">
        <f>IFERROR(__xludf.DUMMYFUNCTION("""COMPUTED_VALUE"""),"")</f>
        <v/>
      </c>
      <c r="J1226" s="4" t="str">
        <f>IFERROR(__xludf.DUMMYFUNCTION("""COMPUTED_VALUE"""),"")</f>
        <v/>
      </c>
      <c r="K1226" s="4" t="str">
        <f>IFERROR(__xludf.DUMMYFUNCTION("""COMPUTED_VALUE"""),"")</f>
        <v/>
      </c>
      <c r="L1226" s="4" t="str">
        <f>IFERROR(__xludf.DUMMYFUNCTION("""COMPUTED_VALUE"""),"")</f>
        <v/>
      </c>
      <c r="M1226" s="4" t="str">
        <f>IFERROR(__xludf.DUMMYFUNCTION("""COMPUTED_VALUE"""),"")</f>
        <v/>
      </c>
      <c r="N1226" s="4" t="str">
        <f>IFERROR(__xludf.DUMMYFUNCTION("""COMPUTED_VALUE"""),"")</f>
        <v/>
      </c>
      <c r="O1226" s="4" t="str">
        <f>IFERROR(__xludf.DUMMYFUNCTION("""COMPUTED_VALUE"""),"")</f>
        <v/>
      </c>
      <c r="P1226" s="4" t="str">
        <f>IFERROR(__xludf.DUMMYFUNCTION("""COMPUTED_VALUE"""),"")</f>
        <v/>
      </c>
      <c r="Q1226" s="4" t="str">
        <f>IFERROR(__xludf.DUMMYFUNCTION("""COMPUTED_VALUE"""),"")</f>
        <v/>
      </c>
      <c r="R1226" s="4" t="str">
        <f>IFERROR(__xludf.DUMMYFUNCTION("""COMPUTED_VALUE"""),"")</f>
        <v/>
      </c>
      <c r="S1226" s="4" t="str">
        <f>IFERROR(__xludf.DUMMYFUNCTION("""COMPUTED_VALUE"""),"")</f>
        <v/>
      </c>
      <c r="T1226" s="4" t="str">
        <f>IFERROR(__xludf.DUMMYFUNCTION("""COMPUTED_VALUE"""),"")</f>
        <v/>
      </c>
      <c r="U1226" s="4" t="str">
        <f>IFERROR(__xludf.DUMMYFUNCTION("""COMPUTED_VALUE"""),"")</f>
        <v/>
      </c>
      <c r="V1226" s="4" t="str">
        <f>IFERROR(__xludf.DUMMYFUNCTION("""COMPUTED_VALUE"""),"")</f>
        <v/>
      </c>
      <c r="W1226" s="4" t="str">
        <f>IFERROR(__xludf.DUMMYFUNCTION("""COMPUTED_VALUE"""),"")</f>
        <v/>
      </c>
      <c r="X1226" s="4" t="str">
        <f>IFERROR(__xludf.DUMMYFUNCTION("""COMPUTED_VALUE"""),"")</f>
        <v/>
      </c>
      <c r="Y1226" s="4" t="str">
        <f>IFERROR(__xludf.DUMMYFUNCTION("""COMPUTED_VALUE"""),"")</f>
        <v/>
      </c>
    </row>
    <row r="1227">
      <c r="A1227" s="4" t="str">
        <f>IFERROR(__xludf.DUMMYFUNCTION("""COMPUTED_VALUE"""),"")</f>
        <v/>
      </c>
      <c r="B1227" s="4" t="str">
        <f>IFERROR(__xludf.DUMMYFUNCTION("""COMPUTED_VALUE"""),"Need an index? Cut/Paste from list below")</f>
        <v>Need an index? Cut/Paste from list below</v>
      </c>
      <c r="C1227" s="4" t="str">
        <f>IFERROR(__xludf.DUMMYFUNCTION("""COMPUTED_VALUE"""),"")</f>
        <v/>
      </c>
      <c r="D1227" s="4" t="str">
        <f>IFERROR(__xludf.DUMMYFUNCTION("""COMPUTED_VALUE"""),"")</f>
        <v/>
      </c>
      <c r="E1227" s="4" t="str">
        <f>IFERROR(__xludf.DUMMYFUNCTION("""COMPUTED_VALUE"""),"")</f>
        <v/>
      </c>
      <c r="F1227" s="4" t="str">
        <f>IFERROR(__xludf.DUMMYFUNCTION("""COMPUTED_VALUE"""),"")</f>
        <v/>
      </c>
      <c r="G1227" s="4" t="str">
        <f>IFERROR(__xludf.DUMMYFUNCTION("""COMPUTED_VALUE"""),"")</f>
        <v/>
      </c>
      <c r="H1227" s="4" t="str">
        <f>IFERROR(__xludf.DUMMYFUNCTION("""COMPUTED_VALUE"""),"")</f>
        <v/>
      </c>
      <c r="I1227" s="4" t="str">
        <f>IFERROR(__xludf.DUMMYFUNCTION("""COMPUTED_VALUE"""),"")</f>
        <v/>
      </c>
      <c r="J1227" s="4" t="str">
        <f>IFERROR(__xludf.DUMMYFUNCTION("""COMPUTED_VALUE"""),"")</f>
        <v/>
      </c>
      <c r="K1227" s="4" t="str">
        <f>IFERROR(__xludf.DUMMYFUNCTION("""COMPUTED_VALUE"""),"")</f>
        <v/>
      </c>
      <c r="L1227" s="4" t="str">
        <f>IFERROR(__xludf.DUMMYFUNCTION("""COMPUTED_VALUE"""),"")</f>
        <v/>
      </c>
      <c r="M1227" s="4" t="str">
        <f>IFERROR(__xludf.DUMMYFUNCTION("""COMPUTED_VALUE"""),"")</f>
        <v/>
      </c>
      <c r="N1227" s="4" t="str">
        <f>IFERROR(__xludf.DUMMYFUNCTION("""COMPUTED_VALUE"""),"")</f>
        <v/>
      </c>
      <c r="O1227" s="4" t="str">
        <f>IFERROR(__xludf.DUMMYFUNCTION("""COMPUTED_VALUE"""),"")</f>
        <v/>
      </c>
      <c r="P1227" s="4" t="str">
        <f>IFERROR(__xludf.DUMMYFUNCTION("""COMPUTED_VALUE"""),"")</f>
        <v/>
      </c>
      <c r="Q1227" s="4" t="str">
        <f>IFERROR(__xludf.DUMMYFUNCTION("""COMPUTED_VALUE"""),"")</f>
        <v/>
      </c>
      <c r="R1227" s="4" t="str">
        <f>IFERROR(__xludf.DUMMYFUNCTION("""COMPUTED_VALUE"""),"")</f>
        <v/>
      </c>
      <c r="S1227" s="4" t="str">
        <f>IFERROR(__xludf.DUMMYFUNCTION("""COMPUTED_VALUE"""),"")</f>
        <v/>
      </c>
      <c r="T1227" s="4" t="str">
        <f>IFERROR(__xludf.DUMMYFUNCTION("""COMPUTED_VALUE"""),"")</f>
        <v/>
      </c>
      <c r="U1227" s="4" t="str">
        <f>IFERROR(__xludf.DUMMYFUNCTION("""COMPUTED_VALUE"""),"")</f>
        <v/>
      </c>
      <c r="V1227" s="4" t="str">
        <f>IFERROR(__xludf.DUMMYFUNCTION("""COMPUTED_VALUE"""),"")</f>
        <v/>
      </c>
      <c r="W1227" s="4" t="str">
        <f>IFERROR(__xludf.DUMMYFUNCTION("""COMPUTED_VALUE"""),"")</f>
        <v/>
      </c>
      <c r="X1227" s="4" t="str">
        <f>IFERROR(__xludf.DUMMYFUNCTION("""COMPUTED_VALUE"""),"")</f>
        <v/>
      </c>
      <c r="Y1227" s="4" t="str">
        <f>IFERROR(__xludf.DUMMYFUNCTION("""COMPUTED_VALUE"""),"")</f>
        <v/>
      </c>
    </row>
    <row r="1228">
      <c r="A1228" s="4" t="str">
        <f>IFERROR(__xludf.DUMMYFUNCTION("""COMPUTED_VALUE"""),"")</f>
        <v/>
      </c>
      <c r="B1228" s="4" t="str">
        <f>IFERROR(__xludf.DUMMYFUNCTION("""COMPUTED_VALUE"""),"")</f>
        <v/>
      </c>
      <c r="C1228" s="4" t="str">
        <f>IFERROR(__xludf.DUMMYFUNCTION("""COMPUTED_VALUE"""),"")</f>
        <v/>
      </c>
      <c r="D1228" s="4" t="str">
        <f>IFERROR(__xludf.DUMMYFUNCTION("""COMPUTED_VALUE"""),"")</f>
        <v/>
      </c>
      <c r="E1228" s="4" t="str">
        <f>IFERROR(__xludf.DUMMYFUNCTION("""COMPUTED_VALUE"""),"")</f>
        <v/>
      </c>
      <c r="F1228" s="4" t="str">
        <f>IFERROR(__xludf.DUMMYFUNCTION("""COMPUTED_VALUE"""),"")</f>
        <v/>
      </c>
      <c r="G1228" s="4" t="str">
        <f>IFERROR(__xludf.DUMMYFUNCTION("""COMPUTED_VALUE"""),"")</f>
        <v/>
      </c>
      <c r="H1228" s="4" t="str">
        <f>IFERROR(__xludf.DUMMYFUNCTION("""COMPUTED_VALUE"""),"")</f>
        <v/>
      </c>
      <c r="I1228" s="4" t="str">
        <f>IFERROR(__xludf.DUMMYFUNCTION("""COMPUTED_VALUE"""),"")</f>
        <v/>
      </c>
      <c r="J1228" s="4" t="str">
        <f>IFERROR(__xludf.DUMMYFUNCTION("""COMPUTED_VALUE"""),"")</f>
        <v/>
      </c>
      <c r="K1228" s="4" t="str">
        <f>IFERROR(__xludf.DUMMYFUNCTION("""COMPUTED_VALUE"""),"")</f>
        <v/>
      </c>
      <c r="L1228" s="4" t="str">
        <f>IFERROR(__xludf.DUMMYFUNCTION("""COMPUTED_VALUE"""),"")</f>
        <v/>
      </c>
      <c r="M1228" s="4" t="str">
        <f>IFERROR(__xludf.DUMMYFUNCTION("""COMPUTED_VALUE"""),"")</f>
        <v/>
      </c>
      <c r="N1228" s="4" t="str">
        <f>IFERROR(__xludf.DUMMYFUNCTION("""COMPUTED_VALUE"""),"")</f>
        <v/>
      </c>
      <c r="O1228" s="4" t="str">
        <f>IFERROR(__xludf.DUMMYFUNCTION("""COMPUTED_VALUE"""),"")</f>
        <v/>
      </c>
      <c r="P1228" s="4" t="str">
        <f>IFERROR(__xludf.DUMMYFUNCTION("""COMPUTED_VALUE"""),"")</f>
        <v/>
      </c>
      <c r="Q1228" s="4" t="str">
        <f>IFERROR(__xludf.DUMMYFUNCTION("""COMPUTED_VALUE"""),"")</f>
        <v/>
      </c>
      <c r="R1228" s="4" t="str">
        <f>IFERROR(__xludf.DUMMYFUNCTION("""COMPUTED_VALUE"""),"")</f>
        <v/>
      </c>
      <c r="S1228" s="4" t="str">
        <f>IFERROR(__xludf.DUMMYFUNCTION("""COMPUTED_VALUE"""),"")</f>
        <v/>
      </c>
      <c r="T1228" s="4" t="str">
        <f>IFERROR(__xludf.DUMMYFUNCTION("""COMPUTED_VALUE"""),"")</f>
        <v/>
      </c>
      <c r="U1228" s="4" t="str">
        <f>IFERROR(__xludf.DUMMYFUNCTION("""COMPUTED_VALUE"""),"")</f>
        <v/>
      </c>
      <c r="V1228" s="4" t="str">
        <f>IFERROR(__xludf.DUMMYFUNCTION("""COMPUTED_VALUE"""),"")</f>
        <v/>
      </c>
      <c r="W1228" s="4" t="str">
        <f>IFERROR(__xludf.DUMMYFUNCTION("""COMPUTED_VALUE"""),"")</f>
        <v/>
      </c>
      <c r="X1228" s="4" t="str">
        <f>IFERROR(__xludf.DUMMYFUNCTION("""COMPUTED_VALUE"""),"")</f>
        <v/>
      </c>
      <c r="Y1228" s="4" t="str">
        <f>IFERROR(__xludf.DUMMYFUNCTION("""COMPUTED_VALUE"""),"")</f>
        <v/>
      </c>
    </row>
    <row r="1229">
      <c r="A1229" s="4" t="str">
        <f>IFERROR(__xludf.DUMMYFUNCTION("""COMPUTED_VALUE"""),"")</f>
        <v/>
      </c>
      <c r="B1229" s="4" t="str">
        <f>IFERROR(__xludf.DUMMYFUNCTION("""COMPUTED_VALUE"""),"")</f>
        <v/>
      </c>
      <c r="C1229" s="4" t="str">
        <f>IFERROR(__xludf.DUMMYFUNCTION("""COMPUTED_VALUE"""),"")</f>
        <v/>
      </c>
      <c r="D1229" s="4" t="str">
        <f>IFERROR(__xludf.DUMMYFUNCTION("""COMPUTED_VALUE"""),"")</f>
        <v/>
      </c>
      <c r="E1229" s="4" t="str">
        <f>IFERROR(__xludf.DUMMYFUNCTION("""COMPUTED_VALUE"""),"")</f>
        <v/>
      </c>
      <c r="F1229" s="4" t="str">
        <f>IFERROR(__xludf.DUMMYFUNCTION("""COMPUTED_VALUE"""),"")</f>
        <v/>
      </c>
      <c r="G1229" s="4" t="str">
        <f>IFERROR(__xludf.DUMMYFUNCTION("""COMPUTED_VALUE"""),"")</f>
        <v/>
      </c>
      <c r="H1229" s="4" t="str">
        <f>IFERROR(__xludf.DUMMYFUNCTION("""COMPUTED_VALUE"""),"")</f>
        <v/>
      </c>
      <c r="I1229" s="4" t="str">
        <f>IFERROR(__xludf.DUMMYFUNCTION("""COMPUTED_VALUE"""),"")</f>
        <v/>
      </c>
      <c r="J1229" s="4" t="str">
        <f>IFERROR(__xludf.DUMMYFUNCTION("""COMPUTED_VALUE"""),"")</f>
        <v/>
      </c>
      <c r="K1229" s="4" t="str">
        <f>IFERROR(__xludf.DUMMYFUNCTION("""COMPUTED_VALUE"""),"")</f>
        <v/>
      </c>
      <c r="L1229" s="4" t="str">
        <f>IFERROR(__xludf.DUMMYFUNCTION("""COMPUTED_VALUE"""),"")</f>
        <v/>
      </c>
      <c r="M1229" s="4" t="str">
        <f>IFERROR(__xludf.DUMMYFUNCTION("""COMPUTED_VALUE"""),"")</f>
        <v/>
      </c>
      <c r="N1229" s="4" t="str">
        <f>IFERROR(__xludf.DUMMYFUNCTION("""COMPUTED_VALUE"""),"")</f>
        <v/>
      </c>
      <c r="O1229" s="4" t="str">
        <f>IFERROR(__xludf.DUMMYFUNCTION("""COMPUTED_VALUE"""),"")</f>
        <v/>
      </c>
      <c r="P1229" s="4" t="str">
        <f>IFERROR(__xludf.DUMMYFUNCTION("""COMPUTED_VALUE"""),"")</f>
        <v/>
      </c>
      <c r="Q1229" s="4" t="str">
        <f>IFERROR(__xludf.DUMMYFUNCTION("""COMPUTED_VALUE"""),"")</f>
        <v/>
      </c>
      <c r="R1229" s="4" t="str">
        <f>IFERROR(__xludf.DUMMYFUNCTION("""COMPUTED_VALUE"""),"")</f>
        <v/>
      </c>
      <c r="S1229" s="4" t="str">
        <f>IFERROR(__xludf.DUMMYFUNCTION("""COMPUTED_VALUE"""),"")</f>
        <v/>
      </c>
      <c r="T1229" s="4" t="str">
        <f>IFERROR(__xludf.DUMMYFUNCTION("""COMPUTED_VALUE"""),"")</f>
        <v/>
      </c>
      <c r="U1229" s="4" t="str">
        <f>IFERROR(__xludf.DUMMYFUNCTION("""COMPUTED_VALUE"""),"")</f>
        <v/>
      </c>
      <c r="V1229" s="4" t="str">
        <f>IFERROR(__xludf.DUMMYFUNCTION("""COMPUTED_VALUE"""),"")</f>
        <v/>
      </c>
      <c r="W1229" s="4" t="str">
        <f>IFERROR(__xludf.DUMMYFUNCTION("""COMPUTED_VALUE"""),"")</f>
        <v/>
      </c>
      <c r="X1229" s="4" t="str">
        <f>IFERROR(__xludf.DUMMYFUNCTION("""COMPUTED_VALUE"""),"")</f>
        <v/>
      </c>
      <c r="Y1229" s="4" t="str">
        <f>IFERROR(__xludf.DUMMYFUNCTION("""COMPUTED_VALUE"""),"")</f>
        <v/>
      </c>
    </row>
    <row r="1230">
      <c r="A1230" s="4" t="str">
        <f>IFERROR(__xludf.DUMMYFUNCTION("""COMPUTED_VALUE"""),"")</f>
        <v/>
      </c>
      <c r="B1230" s="4" t="str">
        <f>IFERROR(__xludf.DUMMYFUNCTION("""COMPUTED_VALUE"""),"")</f>
        <v/>
      </c>
      <c r="C1230" s="4" t="str">
        <f>IFERROR(__xludf.DUMMYFUNCTION("""COMPUTED_VALUE"""),"")</f>
        <v/>
      </c>
      <c r="D1230" s="4" t="str">
        <f>IFERROR(__xludf.DUMMYFUNCTION("""COMPUTED_VALUE"""),"")</f>
        <v/>
      </c>
      <c r="E1230" s="4" t="str">
        <f>IFERROR(__xludf.DUMMYFUNCTION("""COMPUTED_VALUE"""),"")</f>
        <v/>
      </c>
      <c r="F1230" s="4" t="str">
        <f>IFERROR(__xludf.DUMMYFUNCTION("""COMPUTED_VALUE"""),"")</f>
        <v/>
      </c>
      <c r="G1230" s="4" t="str">
        <f>IFERROR(__xludf.DUMMYFUNCTION("""COMPUTED_VALUE"""),"")</f>
        <v/>
      </c>
      <c r="H1230" s="4" t="str">
        <f>IFERROR(__xludf.DUMMYFUNCTION("""COMPUTED_VALUE"""),"")</f>
        <v/>
      </c>
      <c r="I1230" s="4" t="str">
        <f>IFERROR(__xludf.DUMMYFUNCTION("""COMPUTED_VALUE"""),"")</f>
        <v/>
      </c>
      <c r="J1230" s="4" t="str">
        <f>IFERROR(__xludf.DUMMYFUNCTION("""COMPUTED_VALUE"""),"")</f>
        <v/>
      </c>
      <c r="K1230" s="4" t="str">
        <f>IFERROR(__xludf.DUMMYFUNCTION("""COMPUTED_VALUE"""),"")</f>
        <v/>
      </c>
      <c r="L1230" s="4" t="str">
        <f>IFERROR(__xludf.DUMMYFUNCTION("""COMPUTED_VALUE"""),"")</f>
        <v/>
      </c>
      <c r="M1230" s="4" t="str">
        <f>IFERROR(__xludf.DUMMYFUNCTION("""COMPUTED_VALUE"""),"")</f>
        <v/>
      </c>
      <c r="N1230" s="4" t="str">
        <f>IFERROR(__xludf.DUMMYFUNCTION("""COMPUTED_VALUE"""),"")</f>
        <v/>
      </c>
      <c r="O1230" s="4" t="str">
        <f>IFERROR(__xludf.DUMMYFUNCTION("""COMPUTED_VALUE"""),"")</f>
        <v/>
      </c>
      <c r="P1230" s="4" t="str">
        <f>IFERROR(__xludf.DUMMYFUNCTION("""COMPUTED_VALUE"""),"")</f>
        <v/>
      </c>
      <c r="Q1230" s="4" t="str">
        <f>IFERROR(__xludf.DUMMYFUNCTION("""COMPUTED_VALUE"""),"")</f>
        <v/>
      </c>
      <c r="R1230" s="4" t="str">
        <f>IFERROR(__xludf.DUMMYFUNCTION("""COMPUTED_VALUE"""),"")</f>
        <v/>
      </c>
      <c r="S1230" s="4" t="str">
        <f>IFERROR(__xludf.DUMMYFUNCTION("""COMPUTED_VALUE"""),"")</f>
        <v/>
      </c>
      <c r="T1230" s="4" t="str">
        <f>IFERROR(__xludf.DUMMYFUNCTION("""COMPUTED_VALUE"""),"")</f>
        <v/>
      </c>
      <c r="U1230" s="4" t="str">
        <f>IFERROR(__xludf.DUMMYFUNCTION("""COMPUTED_VALUE"""),"")</f>
        <v/>
      </c>
      <c r="V1230" s="4" t="str">
        <f>IFERROR(__xludf.DUMMYFUNCTION("""COMPUTED_VALUE"""),"")</f>
        <v/>
      </c>
      <c r="W1230" s="4" t="str">
        <f>IFERROR(__xludf.DUMMYFUNCTION("""COMPUTED_VALUE"""),"")</f>
        <v/>
      </c>
      <c r="X1230" s="4" t="str">
        <f>IFERROR(__xludf.DUMMYFUNCTION("""COMPUTED_VALUE"""),"")</f>
        <v/>
      </c>
      <c r="Y1230" s="4" t="str">
        <f>IFERROR(__xludf.DUMMYFUNCTION("""COMPUTED_VALUE"""),"")</f>
        <v/>
      </c>
    </row>
    <row r="1231">
      <c r="A1231" s="4" t="str">
        <f>IFERROR(__xludf.DUMMYFUNCTION("""COMPUTED_VALUE"""),"")</f>
        <v/>
      </c>
      <c r="B1231" s="4" t="str">
        <f>IFERROR(__xludf.DUMMYFUNCTION("""COMPUTED_VALUE"""),"")</f>
        <v/>
      </c>
      <c r="C1231" s="4" t="str">
        <f>IFERROR(__xludf.DUMMYFUNCTION("""COMPUTED_VALUE"""),"")</f>
        <v/>
      </c>
      <c r="D1231" s="4" t="str">
        <f>IFERROR(__xludf.DUMMYFUNCTION("""COMPUTED_VALUE"""),"")</f>
        <v/>
      </c>
      <c r="E1231" s="4" t="str">
        <f>IFERROR(__xludf.DUMMYFUNCTION("""COMPUTED_VALUE"""),"")</f>
        <v/>
      </c>
      <c r="F1231" s="4" t="str">
        <f>IFERROR(__xludf.DUMMYFUNCTION("""COMPUTED_VALUE"""),"")</f>
        <v/>
      </c>
      <c r="G1231" s="4" t="str">
        <f>IFERROR(__xludf.DUMMYFUNCTION("""COMPUTED_VALUE"""),"")</f>
        <v/>
      </c>
      <c r="H1231" s="4" t="str">
        <f>IFERROR(__xludf.DUMMYFUNCTION("""COMPUTED_VALUE"""),"")</f>
        <v/>
      </c>
      <c r="I1231" s="4" t="str">
        <f>IFERROR(__xludf.DUMMYFUNCTION("""COMPUTED_VALUE"""),"")</f>
        <v/>
      </c>
      <c r="J1231" s="4" t="str">
        <f>IFERROR(__xludf.DUMMYFUNCTION("""COMPUTED_VALUE"""),"")</f>
        <v/>
      </c>
      <c r="K1231" s="4" t="str">
        <f>IFERROR(__xludf.DUMMYFUNCTION("""COMPUTED_VALUE"""),"")</f>
        <v/>
      </c>
      <c r="L1231" s="4" t="str">
        <f>IFERROR(__xludf.DUMMYFUNCTION("""COMPUTED_VALUE"""),"")</f>
        <v/>
      </c>
      <c r="M1231" s="4" t="str">
        <f>IFERROR(__xludf.DUMMYFUNCTION("""COMPUTED_VALUE"""),"")</f>
        <v/>
      </c>
      <c r="N1231" s="4" t="str">
        <f>IFERROR(__xludf.DUMMYFUNCTION("""COMPUTED_VALUE"""),"")</f>
        <v/>
      </c>
      <c r="O1231" s="4" t="str">
        <f>IFERROR(__xludf.DUMMYFUNCTION("""COMPUTED_VALUE"""),"")</f>
        <v/>
      </c>
      <c r="P1231" s="4" t="str">
        <f>IFERROR(__xludf.DUMMYFUNCTION("""COMPUTED_VALUE"""),"")</f>
        <v/>
      </c>
      <c r="Q1231" s="4" t="str">
        <f>IFERROR(__xludf.DUMMYFUNCTION("""COMPUTED_VALUE"""),"")</f>
        <v/>
      </c>
      <c r="R1231" s="4" t="str">
        <f>IFERROR(__xludf.DUMMYFUNCTION("""COMPUTED_VALUE"""),"")</f>
        <v/>
      </c>
      <c r="S1231" s="4" t="str">
        <f>IFERROR(__xludf.DUMMYFUNCTION("""COMPUTED_VALUE"""),"")</f>
        <v/>
      </c>
      <c r="T1231" s="4" t="str">
        <f>IFERROR(__xludf.DUMMYFUNCTION("""COMPUTED_VALUE"""),"")</f>
        <v/>
      </c>
      <c r="U1231" s="4" t="str">
        <f>IFERROR(__xludf.DUMMYFUNCTION("""COMPUTED_VALUE"""),"")</f>
        <v/>
      </c>
      <c r="V1231" s="4" t="str">
        <f>IFERROR(__xludf.DUMMYFUNCTION("""COMPUTED_VALUE"""),"")</f>
        <v/>
      </c>
      <c r="W1231" s="4" t="str">
        <f>IFERROR(__xludf.DUMMYFUNCTION("""COMPUTED_VALUE"""),"")</f>
        <v/>
      </c>
      <c r="X1231" s="4" t="str">
        <f>IFERROR(__xludf.DUMMYFUNCTION("""COMPUTED_VALUE"""),"")</f>
        <v/>
      </c>
      <c r="Y1231" s="4" t="str">
        <f>IFERROR(__xludf.DUMMYFUNCTION("""COMPUTED_VALUE"""),"")</f>
        <v/>
      </c>
    </row>
    <row r="1232">
      <c r="A1232" s="4" t="str">
        <f>IFERROR(__xludf.DUMMYFUNCTION("""COMPUTED_VALUE"""),"")</f>
        <v/>
      </c>
      <c r="B1232" s="4" t="str">
        <f>IFERROR(__xludf.DUMMYFUNCTION("""COMPUTED_VALUE"""),"")</f>
        <v/>
      </c>
      <c r="C1232" s="4" t="str">
        <f>IFERROR(__xludf.DUMMYFUNCTION("""COMPUTED_VALUE"""),"")</f>
        <v/>
      </c>
      <c r="D1232" s="4" t="str">
        <f>IFERROR(__xludf.DUMMYFUNCTION("""COMPUTED_VALUE"""),"")</f>
        <v/>
      </c>
      <c r="E1232" s="4" t="str">
        <f>IFERROR(__xludf.DUMMYFUNCTION("""COMPUTED_VALUE"""),"")</f>
        <v/>
      </c>
      <c r="F1232" s="4" t="str">
        <f>IFERROR(__xludf.DUMMYFUNCTION("""COMPUTED_VALUE"""),"")</f>
        <v/>
      </c>
      <c r="G1232" s="4" t="str">
        <f>IFERROR(__xludf.DUMMYFUNCTION("""COMPUTED_VALUE"""),"")</f>
        <v/>
      </c>
      <c r="H1232" s="4" t="str">
        <f>IFERROR(__xludf.DUMMYFUNCTION("""COMPUTED_VALUE"""),"")</f>
        <v/>
      </c>
      <c r="I1232" s="4" t="str">
        <f>IFERROR(__xludf.DUMMYFUNCTION("""COMPUTED_VALUE"""),"")</f>
        <v/>
      </c>
      <c r="J1232" s="4" t="str">
        <f>IFERROR(__xludf.DUMMYFUNCTION("""COMPUTED_VALUE"""),"")</f>
        <v/>
      </c>
      <c r="K1232" s="4" t="str">
        <f>IFERROR(__xludf.DUMMYFUNCTION("""COMPUTED_VALUE"""),"")</f>
        <v/>
      </c>
      <c r="L1232" s="4" t="str">
        <f>IFERROR(__xludf.DUMMYFUNCTION("""COMPUTED_VALUE"""),"")</f>
        <v/>
      </c>
      <c r="M1232" s="4" t="str">
        <f>IFERROR(__xludf.DUMMYFUNCTION("""COMPUTED_VALUE"""),"")</f>
        <v/>
      </c>
      <c r="N1232" s="4" t="str">
        <f>IFERROR(__xludf.DUMMYFUNCTION("""COMPUTED_VALUE"""),"")</f>
        <v/>
      </c>
      <c r="O1232" s="4" t="str">
        <f>IFERROR(__xludf.DUMMYFUNCTION("""COMPUTED_VALUE"""),"")</f>
        <v/>
      </c>
      <c r="P1232" s="4" t="str">
        <f>IFERROR(__xludf.DUMMYFUNCTION("""COMPUTED_VALUE"""),"")</f>
        <v/>
      </c>
      <c r="Q1232" s="4" t="str">
        <f>IFERROR(__xludf.DUMMYFUNCTION("""COMPUTED_VALUE"""),"")</f>
        <v/>
      </c>
      <c r="R1232" s="4" t="str">
        <f>IFERROR(__xludf.DUMMYFUNCTION("""COMPUTED_VALUE"""),"")</f>
        <v/>
      </c>
      <c r="S1232" s="4" t="str">
        <f>IFERROR(__xludf.DUMMYFUNCTION("""COMPUTED_VALUE"""),"")</f>
        <v/>
      </c>
      <c r="T1232" s="4" t="str">
        <f>IFERROR(__xludf.DUMMYFUNCTION("""COMPUTED_VALUE"""),"")</f>
        <v/>
      </c>
      <c r="U1232" s="4" t="str">
        <f>IFERROR(__xludf.DUMMYFUNCTION("""COMPUTED_VALUE"""),"")</f>
        <v/>
      </c>
      <c r="V1232" s="4" t="str">
        <f>IFERROR(__xludf.DUMMYFUNCTION("""COMPUTED_VALUE"""),"")</f>
        <v/>
      </c>
      <c r="W1232" s="4" t="str">
        <f>IFERROR(__xludf.DUMMYFUNCTION("""COMPUTED_VALUE"""),"")</f>
        <v/>
      </c>
      <c r="X1232" s="4" t="str">
        <f>IFERROR(__xludf.DUMMYFUNCTION("""COMPUTED_VALUE"""),"")</f>
        <v/>
      </c>
      <c r="Y1232" s="4" t="str">
        <f>IFERROR(__xludf.DUMMYFUNCTION("""COMPUTED_VALUE"""),"")</f>
        <v/>
      </c>
    </row>
    <row r="1233">
      <c r="A1233" s="4" t="str">
        <f>IFERROR(__xludf.DUMMYFUNCTION("""COMPUTED_VALUE"""),"1732 - Channel")</f>
        <v>1732 - Channel</v>
      </c>
      <c r="B1233" s="4" t="str">
        <f>IFERROR(__xludf.DUMMYFUNCTION("""COMPUTED_VALUE"""),"")</f>
        <v/>
      </c>
      <c r="C1233" s="4" t="str">
        <f>IFERROR(__xludf.DUMMYFUNCTION("""COMPUTED_VALUE"""),"")</f>
        <v/>
      </c>
      <c r="D1233" s="4" t="str">
        <f>IFERROR(__xludf.DUMMYFUNCTION("""COMPUTED_VALUE"""),"")</f>
        <v/>
      </c>
      <c r="E1233" s="4" t="str">
        <f>IFERROR(__xludf.DUMMYFUNCTION("""COMPUTED_VALUE"""),"")</f>
        <v/>
      </c>
      <c r="F1233" s="4" t="str">
        <f>IFERROR(__xludf.DUMMYFUNCTION("""COMPUTED_VALUE"""),"")</f>
        <v/>
      </c>
      <c r="G1233" s="4" t="str">
        <f>IFERROR(__xludf.DUMMYFUNCTION("""COMPUTED_VALUE"""),"")</f>
        <v/>
      </c>
      <c r="H1233" s="4" t="str">
        <f>IFERROR(__xludf.DUMMYFUNCTION("""COMPUTED_VALUE"""),"")</f>
        <v/>
      </c>
      <c r="I1233" s="4" t="str">
        <f>IFERROR(__xludf.DUMMYFUNCTION("""COMPUTED_VALUE"""),"")</f>
        <v/>
      </c>
      <c r="J1233" s="4" t="str">
        <f>IFERROR(__xludf.DUMMYFUNCTION("""COMPUTED_VALUE"""),"")</f>
        <v/>
      </c>
      <c r="K1233" s="4" t="str">
        <f>IFERROR(__xludf.DUMMYFUNCTION("""COMPUTED_VALUE"""),"")</f>
        <v/>
      </c>
      <c r="L1233" s="4" t="str">
        <f>IFERROR(__xludf.DUMMYFUNCTION("""COMPUTED_VALUE"""),"")</f>
        <v/>
      </c>
      <c r="M1233" s="4" t="str">
        <f>IFERROR(__xludf.DUMMYFUNCTION("""COMPUTED_VALUE"""),"")</f>
        <v/>
      </c>
      <c r="N1233" s="4" t="str">
        <f>IFERROR(__xludf.DUMMYFUNCTION("""COMPUTED_VALUE"""),"")</f>
        <v/>
      </c>
      <c r="O1233" s="4" t="str">
        <f>IFERROR(__xludf.DUMMYFUNCTION("""COMPUTED_VALUE"""),"")</f>
        <v/>
      </c>
      <c r="P1233" s="4" t="str">
        <f>IFERROR(__xludf.DUMMYFUNCTION("""COMPUTED_VALUE"""),"")</f>
        <v/>
      </c>
      <c r="Q1233" s="4" t="str">
        <f>IFERROR(__xludf.DUMMYFUNCTION("""COMPUTED_VALUE"""),"")</f>
        <v/>
      </c>
      <c r="R1233" s="4" t="str">
        <f>IFERROR(__xludf.DUMMYFUNCTION("""COMPUTED_VALUE"""),"")</f>
        <v/>
      </c>
      <c r="S1233" s="4" t="str">
        <f>IFERROR(__xludf.DUMMYFUNCTION("""COMPUTED_VALUE"""),"")</f>
        <v/>
      </c>
      <c r="T1233" s="4" t="str">
        <f>IFERROR(__xludf.DUMMYFUNCTION("""COMPUTED_VALUE"""),"")</f>
        <v/>
      </c>
      <c r="U1233" s="4" t="str">
        <f>IFERROR(__xludf.DUMMYFUNCTION("""COMPUTED_VALUE"""),"")</f>
        <v/>
      </c>
      <c r="V1233" s="4" t="str">
        <f>IFERROR(__xludf.DUMMYFUNCTION("""COMPUTED_VALUE"""),"")</f>
        <v/>
      </c>
      <c r="W1233" s="4" t="str">
        <f>IFERROR(__xludf.DUMMYFUNCTION("""COMPUTED_VALUE"""),"")</f>
        <v/>
      </c>
      <c r="X1233" s="4" t="str">
        <f>IFERROR(__xludf.DUMMYFUNCTION("""COMPUTED_VALUE"""),"")</f>
        <v/>
      </c>
      <c r="Y1233" s="4" t="str">
        <f>IFERROR(__xludf.DUMMYFUNCTION("""COMPUTED_VALUE"""),"")</f>
        <v/>
      </c>
    </row>
    <row r="1234">
      <c r="A1234" s="4" t="str">
        <f>IFERROR(__xludf.DUMMYFUNCTION("""COMPUTED_VALUE"""),"1733 - Channel")</f>
        <v>1733 - Channel</v>
      </c>
      <c r="B1234" s="4" t="str">
        <f>IFERROR(__xludf.DUMMYFUNCTION("""COMPUTED_VALUE"""),"")</f>
        <v/>
      </c>
      <c r="C1234" s="4" t="str">
        <f>IFERROR(__xludf.DUMMYFUNCTION("""COMPUTED_VALUE"""),"")</f>
        <v/>
      </c>
      <c r="D1234" s="4" t="str">
        <f>IFERROR(__xludf.DUMMYFUNCTION("""COMPUTED_VALUE"""),"")</f>
        <v/>
      </c>
      <c r="E1234" s="4" t="str">
        <f>IFERROR(__xludf.DUMMYFUNCTION("""COMPUTED_VALUE"""),"")</f>
        <v/>
      </c>
      <c r="F1234" s="4" t="str">
        <f>IFERROR(__xludf.DUMMYFUNCTION("""COMPUTED_VALUE"""),"")</f>
        <v/>
      </c>
      <c r="G1234" s="4" t="str">
        <f>IFERROR(__xludf.DUMMYFUNCTION("""COMPUTED_VALUE"""),"")</f>
        <v/>
      </c>
      <c r="H1234" s="4" t="str">
        <f>IFERROR(__xludf.DUMMYFUNCTION("""COMPUTED_VALUE"""),"")</f>
        <v/>
      </c>
      <c r="I1234" s="4" t="str">
        <f>IFERROR(__xludf.DUMMYFUNCTION("""COMPUTED_VALUE"""),"")</f>
        <v/>
      </c>
      <c r="J1234" s="4" t="str">
        <f>IFERROR(__xludf.DUMMYFUNCTION("""COMPUTED_VALUE"""),"")</f>
        <v/>
      </c>
      <c r="K1234" s="4" t="str">
        <f>IFERROR(__xludf.DUMMYFUNCTION("""COMPUTED_VALUE"""),"")</f>
        <v/>
      </c>
      <c r="L1234" s="4" t="str">
        <f>IFERROR(__xludf.DUMMYFUNCTION("""COMPUTED_VALUE"""),"")</f>
        <v/>
      </c>
      <c r="M1234" s="4" t="str">
        <f>IFERROR(__xludf.DUMMYFUNCTION("""COMPUTED_VALUE"""),"")</f>
        <v/>
      </c>
      <c r="N1234" s="4" t="str">
        <f>IFERROR(__xludf.DUMMYFUNCTION("""COMPUTED_VALUE"""),"")</f>
        <v/>
      </c>
      <c r="O1234" s="4" t="str">
        <f>IFERROR(__xludf.DUMMYFUNCTION("""COMPUTED_VALUE"""),"")</f>
        <v/>
      </c>
      <c r="P1234" s="4" t="str">
        <f>IFERROR(__xludf.DUMMYFUNCTION("""COMPUTED_VALUE"""),"")</f>
        <v/>
      </c>
      <c r="Q1234" s="4" t="str">
        <f>IFERROR(__xludf.DUMMYFUNCTION("""COMPUTED_VALUE"""),"")</f>
        <v/>
      </c>
      <c r="R1234" s="4" t="str">
        <f>IFERROR(__xludf.DUMMYFUNCTION("""COMPUTED_VALUE"""),"")</f>
        <v/>
      </c>
      <c r="S1234" s="4" t="str">
        <f>IFERROR(__xludf.DUMMYFUNCTION("""COMPUTED_VALUE"""),"")</f>
        <v/>
      </c>
      <c r="T1234" s="4" t="str">
        <f>IFERROR(__xludf.DUMMYFUNCTION("""COMPUTED_VALUE"""),"")</f>
        <v/>
      </c>
      <c r="U1234" s="4" t="str">
        <f>IFERROR(__xludf.DUMMYFUNCTION("""COMPUTED_VALUE"""),"")</f>
        <v/>
      </c>
      <c r="V1234" s="4" t="str">
        <f>IFERROR(__xludf.DUMMYFUNCTION("""COMPUTED_VALUE"""),"")</f>
        <v/>
      </c>
      <c r="W1234" s="4" t="str">
        <f>IFERROR(__xludf.DUMMYFUNCTION("""COMPUTED_VALUE"""),"")</f>
        <v/>
      </c>
      <c r="X1234" s="4" t="str">
        <f>IFERROR(__xludf.DUMMYFUNCTION("""COMPUTED_VALUE"""),"")</f>
        <v/>
      </c>
      <c r="Y1234" s="4" t="str">
        <f>IFERROR(__xludf.DUMMYFUNCTION("""COMPUTED_VALUE"""),"")</f>
        <v/>
      </c>
    </row>
    <row r="1235">
      <c r="A1235" s="4" t="str">
        <f>IFERROR(__xludf.DUMMYFUNCTION("""COMPUTED_VALUE"""),"1734 - Channel")</f>
        <v>1734 - Channel</v>
      </c>
      <c r="B1235" s="4" t="str">
        <f>IFERROR(__xludf.DUMMYFUNCTION("""COMPUTED_VALUE"""),"")</f>
        <v/>
      </c>
      <c r="C1235" s="4" t="str">
        <f>IFERROR(__xludf.DUMMYFUNCTION("""COMPUTED_VALUE"""),"")</f>
        <v/>
      </c>
      <c r="D1235" s="4" t="str">
        <f>IFERROR(__xludf.DUMMYFUNCTION("""COMPUTED_VALUE"""),"")</f>
        <v/>
      </c>
      <c r="E1235" s="4" t="str">
        <f>IFERROR(__xludf.DUMMYFUNCTION("""COMPUTED_VALUE"""),"")</f>
        <v/>
      </c>
      <c r="F1235" s="4" t="str">
        <f>IFERROR(__xludf.DUMMYFUNCTION("""COMPUTED_VALUE"""),"")</f>
        <v/>
      </c>
      <c r="G1235" s="4" t="str">
        <f>IFERROR(__xludf.DUMMYFUNCTION("""COMPUTED_VALUE"""),"")</f>
        <v/>
      </c>
      <c r="H1235" s="4" t="str">
        <f>IFERROR(__xludf.DUMMYFUNCTION("""COMPUTED_VALUE"""),"")</f>
        <v/>
      </c>
      <c r="I1235" s="4" t="str">
        <f>IFERROR(__xludf.DUMMYFUNCTION("""COMPUTED_VALUE"""),"")</f>
        <v/>
      </c>
      <c r="J1235" s="4" t="str">
        <f>IFERROR(__xludf.DUMMYFUNCTION("""COMPUTED_VALUE"""),"")</f>
        <v/>
      </c>
      <c r="K1235" s="4" t="str">
        <f>IFERROR(__xludf.DUMMYFUNCTION("""COMPUTED_VALUE"""),"")</f>
        <v/>
      </c>
      <c r="L1235" s="4" t="str">
        <f>IFERROR(__xludf.DUMMYFUNCTION("""COMPUTED_VALUE"""),"")</f>
        <v/>
      </c>
      <c r="M1235" s="4" t="str">
        <f>IFERROR(__xludf.DUMMYFUNCTION("""COMPUTED_VALUE"""),"")</f>
        <v/>
      </c>
      <c r="N1235" s="4" t="str">
        <f>IFERROR(__xludf.DUMMYFUNCTION("""COMPUTED_VALUE"""),"")</f>
        <v/>
      </c>
      <c r="O1235" s="4" t="str">
        <f>IFERROR(__xludf.DUMMYFUNCTION("""COMPUTED_VALUE"""),"")</f>
        <v/>
      </c>
      <c r="P1235" s="4" t="str">
        <f>IFERROR(__xludf.DUMMYFUNCTION("""COMPUTED_VALUE"""),"")</f>
        <v/>
      </c>
      <c r="Q1235" s="4" t="str">
        <f>IFERROR(__xludf.DUMMYFUNCTION("""COMPUTED_VALUE"""),"")</f>
        <v/>
      </c>
      <c r="R1235" s="4" t="str">
        <f>IFERROR(__xludf.DUMMYFUNCTION("""COMPUTED_VALUE"""),"")</f>
        <v/>
      </c>
      <c r="S1235" s="4" t="str">
        <f>IFERROR(__xludf.DUMMYFUNCTION("""COMPUTED_VALUE"""),"")</f>
        <v/>
      </c>
      <c r="T1235" s="4" t="str">
        <f>IFERROR(__xludf.DUMMYFUNCTION("""COMPUTED_VALUE"""),"")</f>
        <v/>
      </c>
      <c r="U1235" s="4" t="str">
        <f>IFERROR(__xludf.DUMMYFUNCTION("""COMPUTED_VALUE"""),"")</f>
        <v/>
      </c>
      <c r="V1235" s="4" t="str">
        <f>IFERROR(__xludf.DUMMYFUNCTION("""COMPUTED_VALUE"""),"")</f>
        <v/>
      </c>
      <c r="W1235" s="4" t="str">
        <f>IFERROR(__xludf.DUMMYFUNCTION("""COMPUTED_VALUE"""),"")</f>
        <v/>
      </c>
      <c r="X1235" s="4" t="str">
        <f>IFERROR(__xludf.DUMMYFUNCTION("""COMPUTED_VALUE"""),"")</f>
        <v/>
      </c>
      <c r="Y1235" s="4" t="str">
        <f>IFERROR(__xludf.DUMMYFUNCTION("""COMPUTED_VALUE"""),"")</f>
        <v/>
      </c>
    </row>
    <row r="1236">
      <c r="A1236" s="4" t="str">
        <f>IFERROR(__xludf.DUMMYFUNCTION("""COMPUTED_VALUE"""),"1735 - Channel")</f>
        <v>1735 - Channel</v>
      </c>
      <c r="B1236" s="4" t="str">
        <f>IFERROR(__xludf.DUMMYFUNCTION("""COMPUTED_VALUE"""),"")</f>
        <v/>
      </c>
      <c r="C1236" s="4" t="str">
        <f>IFERROR(__xludf.DUMMYFUNCTION("""COMPUTED_VALUE"""),"")</f>
        <v/>
      </c>
      <c r="D1236" s="4" t="str">
        <f>IFERROR(__xludf.DUMMYFUNCTION("""COMPUTED_VALUE"""),"")</f>
        <v/>
      </c>
      <c r="E1236" s="4" t="str">
        <f>IFERROR(__xludf.DUMMYFUNCTION("""COMPUTED_VALUE"""),"")</f>
        <v/>
      </c>
      <c r="F1236" s="4" t="str">
        <f>IFERROR(__xludf.DUMMYFUNCTION("""COMPUTED_VALUE"""),"")</f>
        <v/>
      </c>
      <c r="G1236" s="4" t="str">
        <f>IFERROR(__xludf.DUMMYFUNCTION("""COMPUTED_VALUE"""),"")</f>
        <v/>
      </c>
      <c r="H1236" s="4" t="str">
        <f>IFERROR(__xludf.DUMMYFUNCTION("""COMPUTED_VALUE"""),"")</f>
        <v/>
      </c>
      <c r="I1236" s="4" t="str">
        <f>IFERROR(__xludf.DUMMYFUNCTION("""COMPUTED_VALUE"""),"")</f>
        <v/>
      </c>
      <c r="J1236" s="4" t="str">
        <f>IFERROR(__xludf.DUMMYFUNCTION("""COMPUTED_VALUE"""),"")</f>
        <v/>
      </c>
      <c r="K1236" s="4" t="str">
        <f>IFERROR(__xludf.DUMMYFUNCTION("""COMPUTED_VALUE"""),"")</f>
        <v/>
      </c>
      <c r="L1236" s="4" t="str">
        <f>IFERROR(__xludf.DUMMYFUNCTION("""COMPUTED_VALUE"""),"")</f>
        <v/>
      </c>
      <c r="M1236" s="4" t="str">
        <f>IFERROR(__xludf.DUMMYFUNCTION("""COMPUTED_VALUE"""),"")</f>
        <v/>
      </c>
      <c r="N1236" s="4" t="str">
        <f>IFERROR(__xludf.DUMMYFUNCTION("""COMPUTED_VALUE"""),"")</f>
        <v/>
      </c>
      <c r="O1236" s="4" t="str">
        <f>IFERROR(__xludf.DUMMYFUNCTION("""COMPUTED_VALUE"""),"")</f>
        <v/>
      </c>
      <c r="P1236" s="4" t="str">
        <f>IFERROR(__xludf.DUMMYFUNCTION("""COMPUTED_VALUE"""),"")</f>
        <v/>
      </c>
      <c r="Q1236" s="4" t="str">
        <f>IFERROR(__xludf.DUMMYFUNCTION("""COMPUTED_VALUE"""),"")</f>
        <v/>
      </c>
      <c r="R1236" s="4" t="str">
        <f>IFERROR(__xludf.DUMMYFUNCTION("""COMPUTED_VALUE"""),"")</f>
        <v/>
      </c>
      <c r="S1236" s="4" t="str">
        <f>IFERROR(__xludf.DUMMYFUNCTION("""COMPUTED_VALUE"""),"")</f>
        <v/>
      </c>
      <c r="T1236" s="4" t="str">
        <f>IFERROR(__xludf.DUMMYFUNCTION("""COMPUTED_VALUE"""),"")</f>
        <v/>
      </c>
      <c r="U1236" s="4" t="str">
        <f>IFERROR(__xludf.DUMMYFUNCTION("""COMPUTED_VALUE"""),"")</f>
        <v/>
      </c>
      <c r="V1236" s="4" t="str">
        <f>IFERROR(__xludf.DUMMYFUNCTION("""COMPUTED_VALUE"""),"")</f>
        <v/>
      </c>
      <c r="W1236" s="4" t="str">
        <f>IFERROR(__xludf.DUMMYFUNCTION("""COMPUTED_VALUE"""),"")</f>
        <v/>
      </c>
      <c r="X1236" s="4" t="str">
        <f>IFERROR(__xludf.DUMMYFUNCTION("""COMPUTED_VALUE"""),"")</f>
        <v/>
      </c>
      <c r="Y1236" s="4" t="str">
        <f>IFERROR(__xludf.DUMMYFUNCTION("""COMPUTED_VALUE"""),"")</f>
        <v/>
      </c>
    </row>
    <row r="1237">
      <c r="A1237" s="4" t="str">
        <f>IFERROR(__xludf.DUMMYFUNCTION("""COMPUTED_VALUE"""),"1736 - Channel")</f>
        <v>1736 - Channel</v>
      </c>
      <c r="B1237" s="4" t="str">
        <f>IFERROR(__xludf.DUMMYFUNCTION("""COMPUTED_VALUE"""),"")</f>
        <v/>
      </c>
      <c r="C1237" s="4" t="str">
        <f>IFERROR(__xludf.DUMMYFUNCTION("""COMPUTED_VALUE"""),"")</f>
        <v/>
      </c>
      <c r="D1237" s="4" t="str">
        <f>IFERROR(__xludf.DUMMYFUNCTION("""COMPUTED_VALUE"""),"")</f>
        <v/>
      </c>
      <c r="E1237" s="4" t="str">
        <f>IFERROR(__xludf.DUMMYFUNCTION("""COMPUTED_VALUE"""),"")</f>
        <v/>
      </c>
      <c r="F1237" s="4" t="str">
        <f>IFERROR(__xludf.DUMMYFUNCTION("""COMPUTED_VALUE"""),"")</f>
        <v/>
      </c>
      <c r="G1237" s="4" t="str">
        <f>IFERROR(__xludf.DUMMYFUNCTION("""COMPUTED_VALUE"""),"")</f>
        <v/>
      </c>
      <c r="H1237" s="4" t="str">
        <f>IFERROR(__xludf.DUMMYFUNCTION("""COMPUTED_VALUE"""),"")</f>
        <v/>
      </c>
      <c r="I1237" s="4" t="str">
        <f>IFERROR(__xludf.DUMMYFUNCTION("""COMPUTED_VALUE"""),"")</f>
        <v/>
      </c>
      <c r="J1237" s="4" t="str">
        <f>IFERROR(__xludf.DUMMYFUNCTION("""COMPUTED_VALUE"""),"")</f>
        <v/>
      </c>
      <c r="K1237" s="4" t="str">
        <f>IFERROR(__xludf.DUMMYFUNCTION("""COMPUTED_VALUE"""),"")</f>
        <v/>
      </c>
      <c r="L1237" s="4" t="str">
        <f>IFERROR(__xludf.DUMMYFUNCTION("""COMPUTED_VALUE"""),"")</f>
        <v/>
      </c>
      <c r="M1237" s="4" t="str">
        <f>IFERROR(__xludf.DUMMYFUNCTION("""COMPUTED_VALUE"""),"")</f>
        <v/>
      </c>
      <c r="N1237" s="4" t="str">
        <f>IFERROR(__xludf.DUMMYFUNCTION("""COMPUTED_VALUE"""),"")</f>
        <v/>
      </c>
      <c r="O1237" s="4" t="str">
        <f>IFERROR(__xludf.DUMMYFUNCTION("""COMPUTED_VALUE"""),"")</f>
        <v/>
      </c>
      <c r="P1237" s="4" t="str">
        <f>IFERROR(__xludf.DUMMYFUNCTION("""COMPUTED_VALUE"""),"")</f>
        <v/>
      </c>
      <c r="Q1237" s="4" t="str">
        <f>IFERROR(__xludf.DUMMYFUNCTION("""COMPUTED_VALUE"""),"")</f>
        <v/>
      </c>
      <c r="R1237" s="4" t="str">
        <f>IFERROR(__xludf.DUMMYFUNCTION("""COMPUTED_VALUE"""),"")</f>
        <v/>
      </c>
      <c r="S1237" s="4" t="str">
        <f>IFERROR(__xludf.DUMMYFUNCTION("""COMPUTED_VALUE"""),"")</f>
        <v/>
      </c>
      <c r="T1237" s="4" t="str">
        <f>IFERROR(__xludf.DUMMYFUNCTION("""COMPUTED_VALUE"""),"")</f>
        <v/>
      </c>
      <c r="U1237" s="4" t="str">
        <f>IFERROR(__xludf.DUMMYFUNCTION("""COMPUTED_VALUE"""),"")</f>
        <v/>
      </c>
      <c r="V1237" s="4" t="str">
        <f>IFERROR(__xludf.DUMMYFUNCTION("""COMPUTED_VALUE"""),"")</f>
        <v/>
      </c>
      <c r="W1237" s="4" t="str">
        <f>IFERROR(__xludf.DUMMYFUNCTION("""COMPUTED_VALUE"""),"")</f>
        <v/>
      </c>
      <c r="X1237" s="4" t="str">
        <f>IFERROR(__xludf.DUMMYFUNCTION("""COMPUTED_VALUE"""),"")</f>
        <v/>
      </c>
      <c r="Y1237" s="4" t="str">
        <f>IFERROR(__xludf.DUMMYFUNCTION("""COMPUTED_VALUE"""),"")</f>
        <v/>
      </c>
    </row>
    <row r="1238">
      <c r="A1238" s="4" t="str">
        <f>IFERROR(__xludf.DUMMYFUNCTION("""COMPUTED_VALUE"""),"1737 - Channel")</f>
        <v>1737 - Channel</v>
      </c>
      <c r="B1238" s="4" t="str">
        <f>IFERROR(__xludf.DUMMYFUNCTION("""COMPUTED_VALUE"""),"")</f>
        <v/>
      </c>
      <c r="C1238" s="4" t="str">
        <f>IFERROR(__xludf.DUMMYFUNCTION("""COMPUTED_VALUE"""),"")</f>
        <v/>
      </c>
      <c r="D1238" s="4" t="str">
        <f>IFERROR(__xludf.DUMMYFUNCTION("""COMPUTED_VALUE"""),"")</f>
        <v/>
      </c>
      <c r="E1238" s="4" t="str">
        <f>IFERROR(__xludf.DUMMYFUNCTION("""COMPUTED_VALUE"""),"")</f>
        <v/>
      </c>
      <c r="F1238" s="4" t="str">
        <f>IFERROR(__xludf.DUMMYFUNCTION("""COMPUTED_VALUE"""),"")</f>
        <v/>
      </c>
      <c r="G1238" s="4" t="str">
        <f>IFERROR(__xludf.DUMMYFUNCTION("""COMPUTED_VALUE"""),"")</f>
        <v/>
      </c>
      <c r="H1238" s="4" t="str">
        <f>IFERROR(__xludf.DUMMYFUNCTION("""COMPUTED_VALUE"""),"")</f>
        <v/>
      </c>
      <c r="I1238" s="4" t="str">
        <f>IFERROR(__xludf.DUMMYFUNCTION("""COMPUTED_VALUE"""),"")</f>
        <v/>
      </c>
      <c r="J1238" s="4" t="str">
        <f>IFERROR(__xludf.DUMMYFUNCTION("""COMPUTED_VALUE"""),"")</f>
        <v/>
      </c>
      <c r="K1238" s="4" t="str">
        <f>IFERROR(__xludf.DUMMYFUNCTION("""COMPUTED_VALUE"""),"")</f>
        <v/>
      </c>
      <c r="L1238" s="4" t="str">
        <f>IFERROR(__xludf.DUMMYFUNCTION("""COMPUTED_VALUE"""),"")</f>
        <v/>
      </c>
      <c r="M1238" s="4" t="str">
        <f>IFERROR(__xludf.DUMMYFUNCTION("""COMPUTED_VALUE"""),"")</f>
        <v/>
      </c>
      <c r="N1238" s="4" t="str">
        <f>IFERROR(__xludf.DUMMYFUNCTION("""COMPUTED_VALUE"""),"")</f>
        <v/>
      </c>
      <c r="O1238" s="4" t="str">
        <f>IFERROR(__xludf.DUMMYFUNCTION("""COMPUTED_VALUE"""),"")</f>
        <v/>
      </c>
      <c r="P1238" s="4" t="str">
        <f>IFERROR(__xludf.DUMMYFUNCTION("""COMPUTED_VALUE"""),"")</f>
        <v/>
      </c>
      <c r="Q1238" s="4" t="str">
        <f>IFERROR(__xludf.DUMMYFUNCTION("""COMPUTED_VALUE"""),"")</f>
        <v/>
      </c>
      <c r="R1238" s="4" t="str">
        <f>IFERROR(__xludf.DUMMYFUNCTION("""COMPUTED_VALUE"""),"")</f>
        <v/>
      </c>
      <c r="S1238" s="4" t="str">
        <f>IFERROR(__xludf.DUMMYFUNCTION("""COMPUTED_VALUE"""),"")</f>
        <v/>
      </c>
      <c r="T1238" s="4" t="str">
        <f>IFERROR(__xludf.DUMMYFUNCTION("""COMPUTED_VALUE"""),"")</f>
        <v/>
      </c>
      <c r="U1238" s="4" t="str">
        <f>IFERROR(__xludf.DUMMYFUNCTION("""COMPUTED_VALUE"""),"")</f>
        <v/>
      </c>
      <c r="V1238" s="4" t="str">
        <f>IFERROR(__xludf.DUMMYFUNCTION("""COMPUTED_VALUE"""),"")</f>
        <v/>
      </c>
      <c r="W1238" s="4" t="str">
        <f>IFERROR(__xludf.DUMMYFUNCTION("""COMPUTED_VALUE"""),"")</f>
        <v/>
      </c>
      <c r="X1238" s="4" t="str">
        <f>IFERROR(__xludf.DUMMYFUNCTION("""COMPUTED_VALUE"""),"")</f>
        <v/>
      </c>
      <c r="Y1238" s="4" t="str">
        <f>IFERROR(__xludf.DUMMYFUNCTION("""COMPUTED_VALUE"""),"")</f>
        <v/>
      </c>
    </row>
    <row r="1239">
      <c r="A1239" s="4" t="str">
        <f>IFERROR(__xludf.DUMMYFUNCTION("""COMPUTED_VALUE"""),"1738 - Channel")</f>
        <v>1738 - Channel</v>
      </c>
      <c r="B1239" s="4" t="str">
        <f>IFERROR(__xludf.DUMMYFUNCTION("""COMPUTED_VALUE"""),"")</f>
        <v/>
      </c>
      <c r="C1239" s="4" t="str">
        <f>IFERROR(__xludf.DUMMYFUNCTION("""COMPUTED_VALUE"""),"")</f>
        <v/>
      </c>
      <c r="D1239" s="4" t="str">
        <f>IFERROR(__xludf.DUMMYFUNCTION("""COMPUTED_VALUE"""),"")</f>
        <v/>
      </c>
      <c r="E1239" s="4" t="str">
        <f>IFERROR(__xludf.DUMMYFUNCTION("""COMPUTED_VALUE"""),"")</f>
        <v/>
      </c>
      <c r="F1239" s="4" t="str">
        <f>IFERROR(__xludf.DUMMYFUNCTION("""COMPUTED_VALUE"""),"")</f>
        <v/>
      </c>
      <c r="G1239" s="4" t="str">
        <f>IFERROR(__xludf.DUMMYFUNCTION("""COMPUTED_VALUE"""),"")</f>
        <v/>
      </c>
      <c r="H1239" s="4" t="str">
        <f>IFERROR(__xludf.DUMMYFUNCTION("""COMPUTED_VALUE"""),"")</f>
        <v/>
      </c>
      <c r="I1239" s="4" t="str">
        <f>IFERROR(__xludf.DUMMYFUNCTION("""COMPUTED_VALUE"""),"")</f>
        <v/>
      </c>
      <c r="J1239" s="4" t="str">
        <f>IFERROR(__xludf.DUMMYFUNCTION("""COMPUTED_VALUE"""),"")</f>
        <v/>
      </c>
      <c r="K1239" s="4" t="str">
        <f>IFERROR(__xludf.DUMMYFUNCTION("""COMPUTED_VALUE"""),"")</f>
        <v/>
      </c>
      <c r="L1239" s="4" t="str">
        <f>IFERROR(__xludf.DUMMYFUNCTION("""COMPUTED_VALUE"""),"")</f>
        <v/>
      </c>
      <c r="M1239" s="4" t="str">
        <f>IFERROR(__xludf.DUMMYFUNCTION("""COMPUTED_VALUE"""),"")</f>
        <v/>
      </c>
      <c r="N1239" s="4" t="str">
        <f>IFERROR(__xludf.DUMMYFUNCTION("""COMPUTED_VALUE"""),"")</f>
        <v/>
      </c>
      <c r="O1239" s="4" t="str">
        <f>IFERROR(__xludf.DUMMYFUNCTION("""COMPUTED_VALUE"""),"")</f>
        <v/>
      </c>
      <c r="P1239" s="4" t="str">
        <f>IFERROR(__xludf.DUMMYFUNCTION("""COMPUTED_VALUE"""),"")</f>
        <v/>
      </c>
      <c r="Q1239" s="4" t="str">
        <f>IFERROR(__xludf.DUMMYFUNCTION("""COMPUTED_VALUE"""),"")</f>
        <v/>
      </c>
      <c r="R1239" s="4" t="str">
        <f>IFERROR(__xludf.DUMMYFUNCTION("""COMPUTED_VALUE"""),"")</f>
        <v/>
      </c>
      <c r="S1239" s="4" t="str">
        <f>IFERROR(__xludf.DUMMYFUNCTION("""COMPUTED_VALUE"""),"")</f>
        <v/>
      </c>
      <c r="T1239" s="4" t="str">
        <f>IFERROR(__xludf.DUMMYFUNCTION("""COMPUTED_VALUE"""),"")</f>
        <v/>
      </c>
      <c r="U1239" s="4" t="str">
        <f>IFERROR(__xludf.DUMMYFUNCTION("""COMPUTED_VALUE"""),"")</f>
        <v/>
      </c>
      <c r="V1239" s="4" t="str">
        <f>IFERROR(__xludf.DUMMYFUNCTION("""COMPUTED_VALUE"""),"")</f>
        <v/>
      </c>
      <c r="W1239" s="4" t="str">
        <f>IFERROR(__xludf.DUMMYFUNCTION("""COMPUTED_VALUE"""),"")</f>
        <v/>
      </c>
      <c r="X1239" s="4" t="str">
        <f>IFERROR(__xludf.DUMMYFUNCTION("""COMPUTED_VALUE"""),"")</f>
        <v/>
      </c>
      <c r="Y1239" s="4" t="str">
        <f>IFERROR(__xludf.DUMMYFUNCTION("""COMPUTED_VALUE"""),"")</f>
        <v/>
      </c>
    </row>
    <row r="1240">
      <c r="A1240" s="4" t="str">
        <f>IFERROR(__xludf.DUMMYFUNCTION("""COMPUTED_VALUE"""),"1739 - Channel")</f>
        <v>1739 - Channel</v>
      </c>
      <c r="B1240" s="4" t="str">
        <f>IFERROR(__xludf.DUMMYFUNCTION("""COMPUTED_VALUE"""),"")</f>
        <v/>
      </c>
      <c r="C1240" s="4" t="str">
        <f>IFERROR(__xludf.DUMMYFUNCTION("""COMPUTED_VALUE"""),"")</f>
        <v/>
      </c>
      <c r="D1240" s="4" t="str">
        <f>IFERROR(__xludf.DUMMYFUNCTION("""COMPUTED_VALUE"""),"")</f>
        <v/>
      </c>
      <c r="E1240" s="4" t="str">
        <f>IFERROR(__xludf.DUMMYFUNCTION("""COMPUTED_VALUE"""),"")</f>
        <v/>
      </c>
      <c r="F1240" s="4" t="str">
        <f>IFERROR(__xludf.DUMMYFUNCTION("""COMPUTED_VALUE"""),"")</f>
        <v/>
      </c>
      <c r="G1240" s="4" t="str">
        <f>IFERROR(__xludf.DUMMYFUNCTION("""COMPUTED_VALUE"""),"")</f>
        <v/>
      </c>
      <c r="H1240" s="4" t="str">
        <f>IFERROR(__xludf.DUMMYFUNCTION("""COMPUTED_VALUE"""),"")</f>
        <v/>
      </c>
      <c r="I1240" s="4" t="str">
        <f>IFERROR(__xludf.DUMMYFUNCTION("""COMPUTED_VALUE"""),"")</f>
        <v/>
      </c>
      <c r="J1240" s="4" t="str">
        <f>IFERROR(__xludf.DUMMYFUNCTION("""COMPUTED_VALUE"""),"")</f>
        <v/>
      </c>
      <c r="K1240" s="4" t="str">
        <f>IFERROR(__xludf.DUMMYFUNCTION("""COMPUTED_VALUE"""),"")</f>
        <v/>
      </c>
      <c r="L1240" s="4" t="str">
        <f>IFERROR(__xludf.DUMMYFUNCTION("""COMPUTED_VALUE"""),"")</f>
        <v/>
      </c>
      <c r="M1240" s="4" t="str">
        <f>IFERROR(__xludf.DUMMYFUNCTION("""COMPUTED_VALUE"""),"")</f>
        <v/>
      </c>
      <c r="N1240" s="4" t="str">
        <f>IFERROR(__xludf.DUMMYFUNCTION("""COMPUTED_VALUE"""),"")</f>
        <v/>
      </c>
      <c r="O1240" s="4" t="str">
        <f>IFERROR(__xludf.DUMMYFUNCTION("""COMPUTED_VALUE"""),"")</f>
        <v/>
      </c>
      <c r="P1240" s="4" t="str">
        <f>IFERROR(__xludf.DUMMYFUNCTION("""COMPUTED_VALUE"""),"")</f>
        <v/>
      </c>
      <c r="Q1240" s="4" t="str">
        <f>IFERROR(__xludf.DUMMYFUNCTION("""COMPUTED_VALUE"""),"")</f>
        <v/>
      </c>
      <c r="R1240" s="4" t="str">
        <f>IFERROR(__xludf.DUMMYFUNCTION("""COMPUTED_VALUE"""),"")</f>
        <v/>
      </c>
      <c r="S1240" s="4" t="str">
        <f>IFERROR(__xludf.DUMMYFUNCTION("""COMPUTED_VALUE"""),"")</f>
        <v/>
      </c>
      <c r="T1240" s="4" t="str">
        <f>IFERROR(__xludf.DUMMYFUNCTION("""COMPUTED_VALUE"""),"")</f>
        <v/>
      </c>
      <c r="U1240" s="4" t="str">
        <f>IFERROR(__xludf.DUMMYFUNCTION("""COMPUTED_VALUE"""),"")</f>
        <v/>
      </c>
      <c r="V1240" s="4" t="str">
        <f>IFERROR(__xludf.DUMMYFUNCTION("""COMPUTED_VALUE"""),"")</f>
        <v/>
      </c>
      <c r="W1240" s="4" t="str">
        <f>IFERROR(__xludf.DUMMYFUNCTION("""COMPUTED_VALUE"""),"")</f>
        <v/>
      </c>
      <c r="X1240" s="4" t="str">
        <f>IFERROR(__xludf.DUMMYFUNCTION("""COMPUTED_VALUE"""),"")</f>
        <v/>
      </c>
      <c r="Y1240" s="4" t="str">
        <f>IFERROR(__xludf.DUMMYFUNCTION("""COMPUTED_VALUE"""),"")</f>
        <v/>
      </c>
    </row>
    <row r="1241">
      <c r="A1241" s="4" t="str">
        <f>IFERROR(__xludf.DUMMYFUNCTION("""COMPUTED_VALUE"""),"1740 - Channel")</f>
        <v>1740 - Channel</v>
      </c>
      <c r="B1241" s="4" t="str">
        <f>IFERROR(__xludf.DUMMYFUNCTION("""COMPUTED_VALUE"""),"")</f>
        <v/>
      </c>
      <c r="C1241" s="4" t="str">
        <f>IFERROR(__xludf.DUMMYFUNCTION("""COMPUTED_VALUE"""),"")</f>
        <v/>
      </c>
      <c r="D1241" s="4" t="str">
        <f>IFERROR(__xludf.DUMMYFUNCTION("""COMPUTED_VALUE"""),"")</f>
        <v/>
      </c>
      <c r="E1241" s="4" t="str">
        <f>IFERROR(__xludf.DUMMYFUNCTION("""COMPUTED_VALUE"""),"")</f>
        <v/>
      </c>
      <c r="F1241" s="4" t="str">
        <f>IFERROR(__xludf.DUMMYFUNCTION("""COMPUTED_VALUE"""),"")</f>
        <v/>
      </c>
      <c r="G1241" s="4" t="str">
        <f>IFERROR(__xludf.DUMMYFUNCTION("""COMPUTED_VALUE"""),"")</f>
        <v/>
      </c>
      <c r="H1241" s="4" t="str">
        <f>IFERROR(__xludf.DUMMYFUNCTION("""COMPUTED_VALUE"""),"")</f>
        <v/>
      </c>
      <c r="I1241" s="4" t="str">
        <f>IFERROR(__xludf.DUMMYFUNCTION("""COMPUTED_VALUE"""),"")</f>
        <v/>
      </c>
      <c r="J1241" s="4" t="str">
        <f>IFERROR(__xludf.DUMMYFUNCTION("""COMPUTED_VALUE"""),"")</f>
        <v/>
      </c>
      <c r="K1241" s="4" t="str">
        <f>IFERROR(__xludf.DUMMYFUNCTION("""COMPUTED_VALUE"""),"")</f>
        <v/>
      </c>
      <c r="L1241" s="4" t="str">
        <f>IFERROR(__xludf.DUMMYFUNCTION("""COMPUTED_VALUE"""),"")</f>
        <v/>
      </c>
      <c r="M1241" s="4" t="str">
        <f>IFERROR(__xludf.DUMMYFUNCTION("""COMPUTED_VALUE"""),"")</f>
        <v/>
      </c>
      <c r="N1241" s="4" t="str">
        <f>IFERROR(__xludf.DUMMYFUNCTION("""COMPUTED_VALUE"""),"")</f>
        <v/>
      </c>
      <c r="O1241" s="4" t="str">
        <f>IFERROR(__xludf.DUMMYFUNCTION("""COMPUTED_VALUE"""),"")</f>
        <v/>
      </c>
      <c r="P1241" s="4" t="str">
        <f>IFERROR(__xludf.DUMMYFUNCTION("""COMPUTED_VALUE"""),"")</f>
        <v/>
      </c>
      <c r="Q1241" s="4" t="str">
        <f>IFERROR(__xludf.DUMMYFUNCTION("""COMPUTED_VALUE"""),"")</f>
        <v/>
      </c>
      <c r="R1241" s="4" t="str">
        <f>IFERROR(__xludf.DUMMYFUNCTION("""COMPUTED_VALUE"""),"")</f>
        <v/>
      </c>
      <c r="S1241" s="4" t="str">
        <f>IFERROR(__xludf.DUMMYFUNCTION("""COMPUTED_VALUE"""),"")</f>
        <v/>
      </c>
      <c r="T1241" s="4" t="str">
        <f>IFERROR(__xludf.DUMMYFUNCTION("""COMPUTED_VALUE"""),"")</f>
        <v/>
      </c>
      <c r="U1241" s="4" t="str">
        <f>IFERROR(__xludf.DUMMYFUNCTION("""COMPUTED_VALUE"""),"")</f>
        <v/>
      </c>
      <c r="V1241" s="4" t="str">
        <f>IFERROR(__xludf.DUMMYFUNCTION("""COMPUTED_VALUE"""),"")</f>
        <v/>
      </c>
      <c r="W1241" s="4" t="str">
        <f>IFERROR(__xludf.DUMMYFUNCTION("""COMPUTED_VALUE"""),"")</f>
        <v/>
      </c>
      <c r="X1241" s="4" t="str">
        <f>IFERROR(__xludf.DUMMYFUNCTION("""COMPUTED_VALUE"""),"")</f>
        <v/>
      </c>
      <c r="Y1241" s="4" t="str">
        <f>IFERROR(__xludf.DUMMYFUNCTION("""COMPUTED_VALUE"""),"")</f>
        <v/>
      </c>
    </row>
    <row r="1242">
      <c r="A1242" s="4" t="str">
        <f>IFERROR(__xludf.DUMMYFUNCTION("""COMPUTED_VALUE"""),"1741 - Channel")</f>
        <v>1741 - Channel</v>
      </c>
      <c r="B1242" s="4" t="str">
        <f>IFERROR(__xludf.DUMMYFUNCTION("""COMPUTED_VALUE"""),"")</f>
        <v/>
      </c>
      <c r="C1242" s="4" t="str">
        <f>IFERROR(__xludf.DUMMYFUNCTION("""COMPUTED_VALUE"""),"")</f>
        <v/>
      </c>
      <c r="D1242" s="4" t="str">
        <f>IFERROR(__xludf.DUMMYFUNCTION("""COMPUTED_VALUE"""),"")</f>
        <v/>
      </c>
      <c r="E1242" s="4" t="str">
        <f>IFERROR(__xludf.DUMMYFUNCTION("""COMPUTED_VALUE"""),"")</f>
        <v/>
      </c>
      <c r="F1242" s="4" t="str">
        <f>IFERROR(__xludf.DUMMYFUNCTION("""COMPUTED_VALUE"""),"")</f>
        <v/>
      </c>
      <c r="G1242" s="4" t="str">
        <f>IFERROR(__xludf.DUMMYFUNCTION("""COMPUTED_VALUE"""),"")</f>
        <v/>
      </c>
      <c r="H1242" s="4" t="str">
        <f>IFERROR(__xludf.DUMMYFUNCTION("""COMPUTED_VALUE"""),"")</f>
        <v/>
      </c>
      <c r="I1242" s="4" t="str">
        <f>IFERROR(__xludf.DUMMYFUNCTION("""COMPUTED_VALUE"""),"")</f>
        <v/>
      </c>
      <c r="J1242" s="4" t="str">
        <f>IFERROR(__xludf.DUMMYFUNCTION("""COMPUTED_VALUE"""),"")</f>
        <v/>
      </c>
      <c r="K1242" s="4" t="str">
        <f>IFERROR(__xludf.DUMMYFUNCTION("""COMPUTED_VALUE"""),"")</f>
        <v/>
      </c>
      <c r="L1242" s="4" t="str">
        <f>IFERROR(__xludf.DUMMYFUNCTION("""COMPUTED_VALUE"""),"")</f>
        <v/>
      </c>
      <c r="M1242" s="4" t="str">
        <f>IFERROR(__xludf.DUMMYFUNCTION("""COMPUTED_VALUE"""),"")</f>
        <v/>
      </c>
      <c r="N1242" s="4" t="str">
        <f>IFERROR(__xludf.DUMMYFUNCTION("""COMPUTED_VALUE"""),"")</f>
        <v/>
      </c>
      <c r="O1242" s="4" t="str">
        <f>IFERROR(__xludf.DUMMYFUNCTION("""COMPUTED_VALUE"""),"")</f>
        <v/>
      </c>
      <c r="P1242" s="4" t="str">
        <f>IFERROR(__xludf.DUMMYFUNCTION("""COMPUTED_VALUE"""),"")</f>
        <v/>
      </c>
      <c r="Q1242" s="4" t="str">
        <f>IFERROR(__xludf.DUMMYFUNCTION("""COMPUTED_VALUE"""),"")</f>
        <v/>
      </c>
      <c r="R1242" s="4" t="str">
        <f>IFERROR(__xludf.DUMMYFUNCTION("""COMPUTED_VALUE"""),"")</f>
        <v/>
      </c>
      <c r="S1242" s="4" t="str">
        <f>IFERROR(__xludf.DUMMYFUNCTION("""COMPUTED_VALUE"""),"")</f>
        <v/>
      </c>
      <c r="T1242" s="4" t="str">
        <f>IFERROR(__xludf.DUMMYFUNCTION("""COMPUTED_VALUE"""),"")</f>
        <v/>
      </c>
      <c r="U1242" s="4" t="str">
        <f>IFERROR(__xludf.DUMMYFUNCTION("""COMPUTED_VALUE"""),"")</f>
        <v/>
      </c>
      <c r="V1242" s="4" t="str">
        <f>IFERROR(__xludf.DUMMYFUNCTION("""COMPUTED_VALUE"""),"")</f>
        <v/>
      </c>
      <c r="W1242" s="4" t="str">
        <f>IFERROR(__xludf.DUMMYFUNCTION("""COMPUTED_VALUE"""),"")</f>
        <v/>
      </c>
      <c r="X1242" s="4" t="str">
        <f>IFERROR(__xludf.DUMMYFUNCTION("""COMPUTED_VALUE"""),"")</f>
        <v/>
      </c>
      <c r="Y1242" s="4" t="str">
        <f>IFERROR(__xludf.DUMMYFUNCTION("""COMPUTED_VALUE"""),"")</f>
        <v/>
      </c>
    </row>
    <row r="1243">
      <c r="A1243" s="4" t="str">
        <f>IFERROR(__xludf.DUMMYFUNCTION("""COMPUTED_VALUE"""),"1742 - Channel")</f>
        <v>1742 - Channel</v>
      </c>
      <c r="B1243" s="4" t="str">
        <f>IFERROR(__xludf.DUMMYFUNCTION("""COMPUTED_VALUE"""),"")</f>
        <v/>
      </c>
      <c r="C1243" s="4" t="str">
        <f>IFERROR(__xludf.DUMMYFUNCTION("""COMPUTED_VALUE"""),"")</f>
        <v/>
      </c>
      <c r="D1243" s="4" t="str">
        <f>IFERROR(__xludf.DUMMYFUNCTION("""COMPUTED_VALUE"""),"")</f>
        <v/>
      </c>
      <c r="E1243" s="4" t="str">
        <f>IFERROR(__xludf.DUMMYFUNCTION("""COMPUTED_VALUE"""),"")</f>
        <v/>
      </c>
      <c r="F1243" s="4" t="str">
        <f>IFERROR(__xludf.DUMMYFUNCTION("""COMPUTED_VALUE"""),"")</f>
        <v/>
      </c>
      <c r="G1243" s="4" t="str">
        <f>IFERROR(__xludf.DUMMYFUNCTION("""COMPUTED_VALUE"""),"")</f>
        <v/>
      </c>
      <c r="H1243" s="4" t="str">
        <f>IFERROR(__xludf.DUMMYFUNCTION("""COMPUTED_VALUE"""),"")</f>
        <v/>
      </c>
      <c r="I1243" s="4" t="str">
        <f>IFERROR(__xludf.DUMMYFUNCTION("""COMPUTED_VALUE"""),"")</f>
        <v/>
      </c>
      <c r="J1243" s="4" t="str">
        <f>IFERROR(__xludf.DUMMYFUNCTION("""COMPUTED_VALUE"""),"")</f>
        <v/>
      </c>
      <c r="K1243" s="4" t="str">
        <f>IFERROR(__xludf.DUMMYFUNCTION("""COMPUTED_VALUE"""),"")</f>
        <v/>
      </c>
      <c r="L1243" s="4" t="str">
        <f>IFERROR(__xludf.DUMMYFUNCTION("""COMPUTED_VALUE"""),"")</f>
        <v/>
      </c>
      <c r="M1243" s="4" t="str">
        <f>IFERROR(__xludf.DUMMYFUNCTION("""COMPUTED_VALUE"""),"")</f>
        <v/>
      </c>
      <c r="N1243" s="4" t="str">
        <f>IFERROR(__xludf.DUMMYFUNCTION("""COMPUTED_VALUE"""),"")</f>
        <v/>
      </c>
      <c r="O1243" s="4" t="str">
        <f>IFERROR(__xludf.DUMMYFUNCTION("""COMPUTED_VALUE"""),"")</f>
        <v/>
      </c>
      <c r="P1243" s="4" t="str">
        <f>IFERROR(__xludf.DUMMYFUNCTION("""COMPUTED_VALUE"""),"")</f>
        <v/>
      </c>
      <c r="Q1243" s="4" t="str">
        <f>IFERROR(__xludf.DUMMYFUNCTION("""COMPUTED_VALUE"""),"")</f>
        <v/>
      </c>
      <c r="R1243" s="4" t="str">
        <f>IFERROR(__xludf.DUMMYFUNCTION("""COMPUTED_VALUE"""),"")</f>
        <v/>
      </c>
      <c r="S1243" s="4" t="str">
        <f>IFERROR(__xludf.DUMMYFUNCTION("""COMPUTED_VALUE"""),"")</f>
        <v/>
      </c>
      <c r="T1243" s="4" t="str">
        <f>IFERROR(__xludf.DUMMYFUNCTION("""COMPUTED_VALUE"""),"")</f>
        <v/>
      </c>
      <c r="U1243" s="4" t="str">
        <f>IFERROR(__xludf.DUMMYFUNCTION("""COMPUTED_VALUE"""),"")</f>
        <v/>
      </c>
      <c r="V1243" s="4" t="str">
        <f>IFERROR(__xludf.DUMMYFUNCTION("""COMPUTED_VALUE"""),"")</f>
        <v/>
      </c>
      <c r="W1243" s="4" t="str">
        <f>IFERROR(__xludf.DUMMYFUNCTION("""COMPUTED_VALUE"""),"")</f>
        <v/>
      </c>
      <c r="X1243" s="4" t="str">
        <f>IFERROR(__xludf.DUMMYFUNCTION("""COMPUTED_VALUE"""),"")</f>
        <v/>
      </c>
      <c r="Y1243" s="4" t="str">
        <f>IFERROR(__xludf.DUMMYFUNCTION("""COMPUTED_VALUE"""),"")</f>
        <v/>
      </c>
    </row>
    <row r="1244">
      <c r="A1244" s="4" t="str">
        <f>IFERROR(__xludf.DUMMYFUNCTION("""COMPUTED_VALUE"""),"1743 - Channel")</f>
        <v>1743 - Channel</v>
      </c>
      <c r="B1244" s="4" t="str">
        <f>IFERROR(__xludf.DUMMYFUNCTION("""COMPUTED_VALUE"""),"")</f>
        <v/>
      </c>
      <c r="C1244" s="4" t="str">
        <f>IFERROR(__xludf.DUMMYFUNCTION("""COMPUTED_VALUE"""),"")</f>
        <v/>
      </c>
      <c r="D1244" s="4" t="str">
        <f>IFERROR(__xludf.DUMMYFUNCTION("""COMPUTED_VALUE"""),"")</f>
        <v/>
      </c>
      <c r="E1244" s="4" t="str">
        <f>IFERROR(__xludf.DUMMYFUNCTION("""COMPUTED_VALUE"""),"")</f>
        <v/>
      </c>
      <c r="F1244" s="4" t="str">
        <f>IFERROR(__xludf.DUMMYFUNCTION("""COMPUTED_VALUE"""),"")</f>
        <v/>
      </c>
      <c r="G1244" s="4" t="str">
        <f>IFERROR(__xludf.DUMMYFUNCTION("""COMPUTED_VALUE"""),"")</f>
        <v/>
      </c>
      <c r="H1244" s="4" t="str">
        <f>IFERROR(__xludf.DUMMYFUNCTION("""COMPUTED_VALUE"""),"")</f>
        <v/>
      </c>
      <c r="I1244" s="4" t="str">
        <f>IFERROR(__xludf.DUMMYFUNCTION("""COMPUTED_VALUE"""),"")</f>
        <v/>
      </c>
      <c r="J1244" s="4" t="str">
        <f>IFERROR(__xludf.DUMMYFUNCTION("""COMPUTED_VALUE"""),"")</f>
        <v/>
      </c>
      <c r="K1244" s="4" t="str">
        <f>IFERROR(__xludf.DUMMYFUNCTION("""COMPUTED_VALUE"""),"")</f>
        <v/>
      </c>
      <c r="L1244" s="4" t="str">
        <f>IFERROR(__xludf.DUMMYFUNCTION("""COMPUTED_VALUE"""),"")</f>
        <v/>
      </c>
      <c r="M1244" s="4" t="str">
        <f>IFERROR(__xludf.DUMMYFUNCTION("""COMPUTED_VALUE"""),"")</f>
        <v/>
      </c>
      <c r="N1244" s="4" t="str">
        <f>IFERROR(__xludf.DUMMYFUNCTION("""COMPUTED_VALUE"""),"")</f>
        <v/>
      </c>
      <c r="O1244" s="4" t="str">
        <f>IFERROR(__xludf.DUMMYFUNCTION("""COMPUTED_VALUE"""),"")</f>
        <v/>
      </c>
      <c r="P1244" s="4" t="str">
        <f>IFERROR(__xludf.DUMMYFUNCTION("""COMPUTED_VALUE"""),"")</f>
        <v/>
      </c>
      <c r="Q1244" s="4" t="str">
        <f>IFERROR(__xludf.DUMMYFUNCTION("""COMPUTED_VALUE"""),"")</f>
        <v/>
      </c>
      <c r="R1244" s="4" t="str">
        <f>IFERROR(__xludf.DUMMYFUNCTION("""COMPUTED_VALUE"""),"")</f>
        <v/>
      </c>
      <c r="S1244" s="4" t="str">
        <f>IFERROR(__xludf.DUMMYFUNCTION("""COMPUTED_VALUE"""),"")</f>
        <v/>
      </c>
      <c r="T1244" s="4" t="str">
        <f>IFERROR(__xludf.DUMMYFUNCTION("""COMPUTED_VALUE"""),"")</f>
        <v/>
      </c>
      <c r="U1244" s="4" t="str">
        <f>IFERROR(__xludf.DUMMYFUNCTION("""COMPUTED_VALUE"""),"")</f>
        <v/>
      </c>
      <c r="V1244" s="4" t="str">
        <f>IFERROR(__xludf.DUMMYFUNCTION("""COMPUTED_VALUE"""),"")</f>
        <v/>
      </c>
      <c r="W1244" s="4" t="str">
        <f>IFERROR(__xludf.DUMMYFUNCTION("""COMPUTED_VALUE"""),"")</f>
        <v/>
      </c>
      <c r="X1244" s="4" t="str">
        <f>IFERROR(__xludf.DUMMYFUNCTION("""COMPUTED_VALUE"""),"")</f>
        <v/>
      </c>
      <c r="Y1244" s="4" t="str">
        <f>IFERROR(__xludf.DUMMYFUNCTION("""COMPUTED_VALUE"""),"")</f>
        <v/>
      </c>
    </row>
    <row r="1245">
      <c r="A1245" s="4" t="str">
        <f>IFERROR(__xludf.DUMMYFUNCTION("""COMPUTED_VALUE"""),"1744 - Channel")</f>
        <v>1744 - Channel</v>
      </c>
      <c r="B1245" s="4" t="str">
        <f>IFERROR(__xludf.DUMMYFUNCTION("""COMPUTED_VALUE"""),"")</f>
        <v/>
      </c>
      <c r="C1245" s="4" t="str">
        <f>IFERROR(__xludf.DUMMYFUNCTION("""COMPUTED_VALUE"""),"")</f>
        <v/>
      </c>
      <c r="D1245" s="4" t="str">
        <f>IFERROR(__xludf.DUMMYFUNCTION("""COMPUTED_VALUE"""),"")</f>
        <v/>
      </c>
      <c r="E1245" s="4" t="str">
        <f>IFERROR(__xludf.DUMMYFUNCTION("""COMPUTED_VALUE"""),"")</f>
        <v/>
      </c>
      <c r="F1245" s="4" t="str">
        <f>IFERROR(__xludf.DUMMYFUNCTION("""COMPUTED_VALUE"""),"")</f>
        <v/>
      </c>
      <c r="G1245" s="4" t="str">
        <f>IFERROR(__xludf.DUMMYFUNCTION("""COMPUTED_VALUE"""),"")</f>
        <v/>
      </c>
      <c r="H1245" s="4" t="str">
        <f>IFERROR(__xludf.DUMMYFUNCTION("""COMPUTED_VALUE"""),"")</f>
        <v/>
      </c>
      <c r="I1245" s="4" t="str">
        <f>IFERROR(__xludf.DUMMYFUNCTION("""COMPUTED_VALUE"""),"")</f>
        <v/>
      </c>
      <c r="J1245" s="4" t="str">
        <f>IFERROR(__xludf.DUMMYFUNCTION("""COMPUTED_VALUE"""),"")</f>
        <v/>
      </c>
      <c r="K1245" s="4" t="str">
        <f>IFERROR(__xludf.DUMMYFUNCTION("""COMPUTED_VALUE"""),"")</f>
        <v/>
      </c>
      <c r="L1245" s="4" t="str">
        <f>IFERROR(__xludf.DUMMYFUNCTION("""COMPUTED_VALUE"""),"")</f>
        <v/>
      </c>
      <c r="M1245" s="4" t="str">
        <f>IFERROR(__xludf.DUMMYFUNCTION("""COMPUTED_VALUE"""),"")</f>
        <v/>
      </c>
      <c r="N1245" s="4" t="str">
        <f>IFERROR(__xludf.DUMMYFUNCTION("""COMPUTED_VALUE"""),"")</f>
        <v/>
      </c>
      <c r="O1245" s="4" t="str">
        <f>IFERROR(__xludf.DUMMYFUNCTION("""COMPUTED_VALUE"""),"")</f>
        <v/>
      </c>
      <c r="P1245" s="4" t="str">
        <f>IFERROR(__xludf.DUMMYFUNCTION("""COMPUTED_VALUE"""),"")</f>
        <v/>
      </c>
      <c r="Q1245" s="4" t="str">
        <f>IFERROR(__xludf.DUMMYFUNCTION("""COMPUTED_VALUE"""),"")</f>
        <v/>
      </c>
      <c r="R1245" s="4" t="str">
        <f>IFERROR(__xludf.DUMMYFUNCTION("""COMPUTED_VALUE"""),"")</f>
        <v/>
      </c>
      <c r="S1245" s="4" t="str">
        <f>IFERROR(__xludf.DUMMYFUNCTION("""COMPUTED_VALUE"""),"")</f>
        <v/>
      </c>
      <c r="T1245" s="4" t="str">
        <f>IFERROR(__xludf.DUMMYFUNCTION("""COMPUTED_VALUE"""),"")</f>
        <v/>
      </c>
      <c r="U1245" s="4" t="str">
        <f>IFERROR(__xludf.DUMMYFUNCTION("""COMPUTED_VALUE"""),"")</f>
        <v/>
      </c>
      <c r="V1245" s="4" t="str">
        <f>IFERROR(__xludf.DUMMYFUNCTION("""COMPUTED_VALUE"""),"")</f>
        <v/>
      </c>
      <c r="W1245" s="4" t="str">
        <f>IFERROR(__xludf.DUMMYFUNCTION("""COMPUTED_VALUE"""),"")</f>
        <v/>
      </c>
      <c r="X1245" s="4" t="str">
        <f>IFERROR(__xludf.DUMMYFUNCTION("""COMPUTED_VALUE"""),"")</f>
        <v/>
      </c>
      <c r="Y1245" s="4" t="str">
        <f>IFERROR(__xludf.DUMMYFUNCTION("""COMPUTED_VALUE"""),"")</f>
        <v/>
      </c>
    </row>
    <row r="1246">
      <c r="A1246" s="4" t="str">
        <f>IFERROR(__xludf.DUMMYFUNCTION("""COMPUTED_VALUE"""),"1745 - Channel")</f>
        <v>1745 - Channel</v>
      </c>
      <c r="B1246" s="4" t="str">
        <f>IFERROR(__xludf.DUMMYFUNCTION("""COMPUTED_VALUE"""),"")</f>
        <v/>
      </c>
      <c r="C1246" s="4" t="str">
        <f>IFERROR(__xludf.DUMMYFUNCTION("""COMPUTED_VALUE"""),"")</f>
        <v/>
      </c>
      <c r="D1246" s="4" t="str">
        <f>IFERROR(__xludf.DUMMYFUNCTION("""COMPUTED_VALUE"""),"")</f>
        <v/>
      </c>
      <c r="E1246" s="4" t="str">
        <f>IFERROR(__xludf.DUMMYFUNCTION("""COMPUTED_VALUE"""),"")</f>
        <v/>
      </c>
      <c r="F1246" s="4" t="str">
        <f>IFERROR(__xludf.DUMMYFUNCTION("""COMPUTED_VALUE"""),"")</f>
        <v/>
      </c>
      <c r="G1246" s="4" t="str">
        <f>IFERROR(__xludf.DUMMYFUNCTION("""COMPUTED_VALUE"""),"")</f>
        <v/>
      </c>
      <c r="H1246" s="4" t="str">
        <f>IFERROR(__xludf.DUMMYFUNCTION("""COMPUTED_VALUE"""),"")</f>
        <v/>
      </c>
      <c r="I1246" s="4" t="str">
        <f>IFERROR(__xludf.DUMMYFUNCTION("""COMPUTED_VALUE"""),"")</f>
        <v/>
      </c>
      <c r="J1246" s="4" t="str">
        <f>IFERROR(__xludf.DUMMYFUNCTION("""COMPUTED_VALUE"""),"")</f>
        <v/>
      </c>
      <c r="K1246" s="4" t="str">
        <f>IFERROR(__xludf.DUMMYFUNCTION("""COMPUTED_VALUE"""),"")</f>
        <v/>
      </c>
      <c r="L1246" s="4" t="str">
        <f>IFERROR(__xludf.DUMMYFUNCTION("""COMPUTED_VALUE"""),"")</f>
        <v/>
      </c>
      <c r="M1246" s="4" t="str">
        <f>IFERROR(__xludf.DUMMYFUNCTION("""COMPUTED_VALUE"""),"")</f>
        <v/>
      </c>
      <c r="N1246" s="4" t="str">
        <f>IFERROR(__xludf.DUMMYFUNCTION("""COMPUTED_VALUE"""),"")</f>
        <v/>
      </c>
      <c r="O1246" s="4" t="str">
        <f>IFERROR(__xludf.DUMMYFUNCTION("""COMPUTED_VALUE"""),"")</f>
        <v/>
      </c>
      <c r="P1246" s="4" t="str">
        <f>IFERROR(__xludf.DUMMYFUNCTION("""COMPUTED_VALUE"""),"")</f>
        <v/>
      </c>
      <c r="Q1246" s="4" t="str">
        <f>IFERROR(__xludf.DUMMYFUNCTION("""COMPUTED_VALUE"""),"")</f>
        <v/>
      </c>
      <c r="R1246" s="4" t="str">
        <f>IFERROR(__xludf.DUMMYFUNCTION("""COMPUTED_VALUE"""),"")</f>
        <v/>
      </c>
      <c r="S1246" s="4" t="str">
        <f>IFERROR(__xludf.DUMMYFUNCTION("""COMPUTED_VALUE"""),"")</f>
        <v/>
      </c>
      <c r="T1246" s="4" t="str">
        <f>IFERROR(__xludf.DUMMYFUNCTION("""COMPUTED_VALUE"""),"")</f>
        <v/>
      </c>
      <c r="U1246" s="4" t="str">
        <f>IFERROR(__xludf.DUMMYFUNCTION("""COMPUTED_VALUE"""),"")</f>
        <v/>
      </c>
      <c r="V1246" s="4" t="str">
        <f>IFERROR(__xludf.DUMMYFUNCTION("""COMPUTED_VALUE"""),"")</f>
        <v/>
      </c>
      <c r="W1246" s="4" t="str">
        <f>IFERROR(__xludf.DUMMYFUNCTION("""COMPUTED_VALUE"""),"")</f>
        <v/>
      </c>
      <c r="X1246" s="4" t="str">
        <f>IFERROR(__xludf.DUMMYFUNCTION("""COMPUTED_VALUE"""),"")</f>
        <v/>
      </c>
      <c r="Y1246" s="4" t="str">
        <f>IFERROR(__xludf.DUMMYFUNCTION("""COMPUTED_VALUE"""),"")</f>
        <v/>
      </c>
    </row>
    <row r="1247">
      <c r="A1247" s="4" t="str">
        <f>IFERROR(__xludf.DUMMYFUNCTION("""COMPUTED_VALUE"""),"1746 - Channel")</f>
        <v>1746 - Channel</v>
      </c>
      <c r="B1247" s="4" t="str">
        <f>IFERROR(__xludf.DUMMYFUNCTION("""COMPUTED_VALUE"""),"")</f>
        <v/>
      </c>
      <c r="C1247" s="4" t="str">
        <f>IFERROR(__xludf.DUMMYFUNCTION("""COMPUTED_VALUE"""),"")</f>
        <v/>
      </c>
      <c r="D1247" s="4" t="str">
        <f>IFERROR(__xludf.DUMMYFUNCTION("""COMPUTED_VALUE"""),"")</f>
        <v/>
      </c>
      <c r="E1247" s="4" t="str">
        <f>IFERROR(__xludf.DUMMYFUNCTION("""COMPUTED_VALUE"""),"")</f>
        <v/>
      </c>
      <c r="F1247" s="4" t="str">
        <f>IFERROR(__xludf.DUMMYFUNCTION("""COMPUTED_VALUE"""),"")</f>
        <v/>
      </c>
      <c r="G1247" s="4" t="str">
        <f>IFERROR(__xludf.DUMMYFUNCTION("""COMPUTED_VALUE"""),"")</f>
        <v/>
      </c>
      <c r="H1247" s="4" t="str">
        <f>IFERROR(__xludf.DUMMYFUNCTION("""COMPUTED_VALUE"""),"")</f>
        <v/>
      </c>
      <c r="I1247" s="4" t="str">
        <f>IFERROR(__xludf.DUMMYFUNCTION("""COMPUTED_VALUE"""),"")</f>
        <v/>
      </c>
      <c r="J1247" s="4" t="str">
        <f>IFERROR(__xludf.DUMMYFUNCTION("""COMPUTED_VALUE"""),"")</f>
        <v/>
      </c>
      <c r="K1247" s="4" t="str">
        <f>IFERROR(__xludf.DUMMYFUNCTION("""COMPUTED_VALUE"""),"")</f>
        <v/>
      </c>
      <c r="L1247" s="4" t="str">
        <f>IFERROR(__xludf.DUMMYFUNCTION("""COMPUTED_VALUE"""),"")</f>
        <v/>
      </c>
      <c r="M1247" s="4" t="str">
        <f>IFERROR(__xludf.DUMMYFUNCTION("""COMPUTED_VALUE"""),"")</f>
        <v/>
      </c>
      <c r="N1247" s="4" t="str">
        <f>IFERROR(__xludf.DUMMYFUNCTION("""COMPUTED_VALUE"""),"")</f>
        <v/>
      </c>
      <c r="O1247" s="4" t="str">
        <f>IFERROR(__xludf.DUMMYFUNCTION("""COMPUTED_VALUE"""),"")</f>
        <v/>
      </c>
      <c r="P1247" s="4" t="str">
        <f>IFERROR(__xludf.DUMMYFUNCTION("""COMPUTED_VALUE"""),"")</f>
        <v/>
      </c>
      <c r="Q1247" s="4" t="str">
        <f>IFERROR(__xludf.DUMMYFUNCTION("""COMPUTED_VALUE"""),"")</f>
        <v/>
      </c>
      <c r="R1247" s="4" t="str">
        <f>IFERROR(__xludf.DUMMYFUNCTION("""COMPUTED_VALUE"""),"")</f>
        <v/>
      </c>
      <c r="S1247" s="4" t="str">
        <f>IFERROR(__xludf.DUMMYFUNCTION("""COMPUTED_VALUE"""),"")</f>
        <v/>
      </c>
      <c r="T1247" s="4" t="str">
        <f>IFERROR(__xludf.DUMMYFUNCTION("""COMPUTED_VALUE"""),"")</f>
        <v/>
      </c>
      <c r="U1247" s="4" t="str">
        <f>IFERROR(__xludf.DUMMYFUNCTION("""COMPUTED_VALUE"""),"")</f>
        <v/>
      </c>
      <c r="V1247" s="4" t="str">
        <f>IFERROR(__xludf.DUMMYFUNCTION("""COMPUTED_VALUE"""),"")</f>
        <v/>
      </c>
      <c r="W1247" s="4" t="str">
        <f>IFERROR(__xludf.DUMMYFUNCTION("""COMPUTED_VALUE"""),"")</f>
        <v/>
      </c>
      <c r="X1247" s="4" t="str">
        <f>IFERROR(__xludf.DUMMYFUNCTION("""COMPUTED_VALUE"""),"")</f>
        <v/>
      </c>
      <c r="Y1247" s="4" t="str">
        <f>IFERROR(__xludf.DUMMYFUNCTION("""COMPUTED_VALUE"""),"")</f>
        <v/>
      </c>
    </row>
    <row r="1248">
      <c r="A1248" s="4" t="str">
        <f>IFERROR(__xludf.DUMMYFUNCTION("""COMPUTED_VALUE"""),"1747 - Channel")</f>
        <v>1747 - Channel</v>
      </c>
      <c r="B1248" s="4" t="str">
        <f>IFERROR(__xludf.DUMMYFUNCTION("""COMPUTED_VALUE"""),"")</f>
        <v/>
      </c>
      <c r="C1248" s="4" t="str">
        <f>IFERROR(__xludf.DUMMYFUNCTION("""COMPUTED_VALUE"""),"")</f>
        <v/>
      </c>
      <c r="D1248" s="4" t="str">
        <f>IFERROR(__xludf.DUMMYFUNCTION("""COMPUTED_VALUE"""),"")</f>
        <v/>
      </c>
      <c r="E1248" s="4" t="str">
        <f>IFERROR(__xludf.DUMMYFUNCTION("""COMPUTED_VALUE"""),"")</f>
        <v/>
      </c>
      <c r="F1248" s="4" t="str">
        <f>IFERROR(__xludf.DUMMYFUNCTION("""COMPUTED_VALUE"""),"")</f>
        <v/>
      </c>
      <c r="G1248" s="4" t="str">
        <f>IFERROR(__xludf.DUMMYFUNCTION("""COMPUTED_VALUE"""),"")</f>
        <v/>
      </c>
      <c r="H1248" s="4" t="str">
        <f>IFERROR(__xludf.DUMMYFUNCTION("""COMPUTED_VALUE"""),"")</f>
        <v/>
      </c>
      <c r="I1248" s="4" t="str">
        <f>IFERROR(__xludf.DUMMYFUNCTION("""COMPUTED_VALUE"""),"")</f>
        <v/>
      </c>
      <c r="J1248" s="4" t="str">
        <f>IFERROR(__xludf.DUMMYFUNCTION("""COMPUTED_VALUE"""),"")</f>
        <v/>
      </c>
      <c r="K1248" s="4" t="str">
        <f>IFERROR(__xludf.DUMMYFUNCTION("""COMPUTED_VALUE"""),"")</f>
        <v/>
      </c>
      <c r="L1248" s="4" t="str">
        <f>IFERROR(__xludf.DUMMYFUNCTION("""COMPUTED_VALUE"""),"")</f>
        <v/>
      </c>
      <c r="M1248" s="4" t="str">
        <f>IFERROR(__xludf.DUMMYFUNCTION("""COMPUTED_VALUE"""),"")</f>
        <v/>
      </c>
      <c r="N1248" s="4" t="str">
        <f>IFERROR(__xludf.DUMMYFUNCTION("""COMPUTED_VALUE"""),"")</f>
        <v/>
      </c>
      <c r="O1248" s="4" t="str">
        <f>IFERROR(__xludf.DUMMYFUNCTION("""COMPUTED_VALUE"""),"")</f>
        <v/>
      </c>
      <c r="P1248" s="4" t="str">
        <f>IFERROR(__xludf.DUMMYFUNCTION("""COMPUTED_VALUE"""),"")</f>
        <v/>
      </c>
      <c r="Q1248" s="4" t="str">
        <f>IFERROR(__xludf.DUMMYFUNCTION("""COMPUTED_VALUE"""),"")</f>
        <v/>
      </c>
      <c r="R1248" s="4" t="str">
        <f>IFERROR(__xludf.DUMMYFUNCTION("""COMPUTED_VALUE"""),"")</f>
        <v/>
      </c>
      <c r="S1248" s="4" t="str">
        <f>IFERROR(__xludf.DUMMYFUNCTION("""COMPUTED_VALUE"""),"")</f>
        <v/>
      </c>
      <c r="T1248" s="4" t="str">
        <f>IFERROR(__xludf.DUMMYFUNCTION("""COMPUTED_VALUE"""),"")</f>
        <v/>
      </c>
      <c r="U1248" s="4" t="str">
        <f>IFERROR(__xludf.DUMMYFUNCTION("""COMPUTED_VALUE"""),"")</f>
        <v/>
      </c>
      <c r="V1248" s="4" t="str">
        <f>IFERROR(__xludf.DUMMYFUNCTION("""COMPUTED_VALUE"""),"")</f>
        <v/>
      </c>
      <c r="W1248" s="4" t="str">
        <f>IFERROR(__xludf.DUMMYFUNCTION("""COMPUTED_VALUE"""),"")</f>
        <v/>
      </c>
      <c r="X1248" s="4" t="str">
        <f>IFERROR(__xludf.DUMMYFUNCTION("""COMPUTED_VALUE"""),"")</f>
        <v/>
      </c>
      <c r="Y1248" s="4" t="str">
        <f>IFERROR(__xludf.DUMMYFUNCTION("""COMPUTED_VALUE"""),"")</f>
        <v/>
      </c>
    </row>
    <row r="1249">
      <c r="A1249" s="4" t="str">
        <f>IFERROR(__xludf.DUMMYFUNCTION("""COMPUTED_VALUE"""),"1748 - Channel")</f>
        <v>1748 - Channel</v>
      </c>
      <c r="B1249" s="4" t="str">
        <f>IFERROR(__xludf.DUMMYFUNCTION("""COMPUTED_VALUE"""),"")</f>
        <v/>
      </c>
      <c r="C1249" s="4" t="str">
        <f>IFERROR(__xludf.DUMMYFUNCTION("""COMPUTED_VALUE"""),"")</f>
        <v/>
      </c>
      <c r="D1249" s="4" t="str">
        <f>IFERROR(__xludf.DUMMYFUNCTION("""COMPUTED_VALUE"""),"")</f>
        <v/>
      </c>
      <c r="E1249" s="4" t="str">
        <f>IFERROR(__xludf.DUMMYFUNCTION("""COMPUTED_VALUE"""),"")</f>
        <v/>
      </c>
      <c r="F1249" s="4" t="str">
        <f>IFERROR(__xludf.DUMMYFUNCTION("""COMPUTED_VALUE"""),"")</f>
        <v/>
      </c>
      <c r="G1249" s="4" t="str">
        <f>IFERROR(__xludf.DUMMYFUNCTION("""COMPUTED_VALUE"""),"")</f>
        <v/>
      </c>
      <c r="H1249" s="4" t="str">
        <f>IFERROR(__xludf.DUMMYFUNCTION("""COMPUTED_VALUE"""),"")</f>
        <v/>
      </c>
      <c r="I1249" s="4" t="str">
        <f>IFERROR(__xludf.DUMMYFUNCTION("""COMPUTED_VALUE"""),"")</f>
        <v/>
      </c>
      <c r="J1249" s="4" t="str">
        <f>IFERROR(__xludf.DUMMYFUNCTION("""COMPUTED_VALUE"""),"")</f>
        <v/>
      </c>
      <c r="K1249" s="4" t="str">
        <f>IFERROR(__xludf.DUMMYFUNCTION("""COMPUTED_VALUE"""),"")</f>
        <v/>
      </c>
      <c r="L1249" s="4" t="str">
        <f>IFERROR(__xludf.DUMMYFUNCTION("""COMPUTED_VALUE"""),"")</f>
        <v/>
      </c>
      <c r="M1249" s="4" t="str">
        <f>IFERROR(__xludf.DUMMYFUNCTION("""COMPUTED_VALUE"""),"")</f>
        <v/>
      </c>
      <c r="N1249" s="4" t="str">
        <f>IFERROR(__xludf.DUMMYFUNCTION("""COMPUTED_VALUE"""),"")</f>
        <v/>
      </c>
      <c r="O1249" s="4" t="str">
        <f>IFERROR(__xludf.DUMMYFUNCTION("""COMPUTED_VALUE"""),"")</f>
        <v/>
      </c>
      <c r="P1249" s="4" t="str">
        <f>IFERROR(__xludf.DUMMYFUNCTION("""COMPUTED_VALUE"""),"")</f>
        <v/>
      </c>
      <c r="Q1249" s="4" t="str">
        <f>IFERROR(__xludf.DUMMYFUNCTION("""COMPUTED_VALUE"""),"")</f>
        <v/>
      </c>
      <c r="R1249" s="4" t="str">
        <f>IFERROR(__xludf.DUMMYFUNCTION("""COMPUTED_VALUE"""),"")</f>
        <v/>
      </c>
      <c r="S1249" s="4" t="str">
        <f>IFERROR(__xludf.DUMMYFUNCTION("""COMPUTED_VALUE"""),"")</f>
        <v/>
      </c>
      <c r="T1249" s="4" t="str">
        <f>IFERROR(__xludf.DUMMYFUNCTION("""COMPUTED_VALUE"""),"")</f>
        <v/>
      </c>
      <c r="U1249" s="4" t="str">
        <f>IFERROR(__xludf.DUMMYFUNCTION("""COMPUTED_VALUE"""),"")</f>
        <v/>
      </c>
      <c r="V1249" s="4" t="str">
        <f>IFERROR(__xludf.DUMMYFUNCTION("""COMPUTED_VALUE"""),"")</f>
        <v/>
      </c>
      <c r="W1249" s="4" t="str">
        <f>IFERROR(__xludf.DUMMYFUNCTION("""COMPUTED_VALUE"""),"")</f>
        <v/>
      </c>
      <c r="X1249" s="4" t="str">
        <f>IFERROR(__xludf.DUMMYFUNCTION("""COMPUTED_VALUE"""),"")</f>
        <v/>
      </c>
      <c r="Y1249" s="4" t="str">
        <f>IFERROR(__xludf.DUMMYFUNCTION("""COMPUTED_VALUE"""),"")</f>
        <v/>
      </c>
    </row>
    <row r="1250">
      <c r="A1250" s="4" t="str">
        <f>IFERROR(__xludf.DUMMYFUNCTION("""COMPUTED_VALUE"""),"1749 - Channel")</f>
        <v>1749 - Channel</v>
      </c>
      <c r="B1250" s="4" t="str">
        <f>IFERROR(__xludf.DUMMYFUNCTION("""COMPUTED_VALUE"""),"")</f>
        <v/>
      </c>
      <c r="C1250" s="4" t="str">
        <f>IFERROR(__xludf.DUMMYFUNCTION("""COMPUTED_VALUE"""),"")</f>
        <v/>
      </c>
      <c r="D1250" s="4" t="str">
        <f>IFERROR(__xludf.DUMMYFUNCTION("""COMPUTED_VALUE"""),"")</f>
        <v/>
      </c>
      <c r="E1250" s="4" t="str">
        <f>IFERROR(__xludf.DUMMYFUNCTION("""COMPUTED_VALUE"""),"")</f>
        <v/>
      </c>
      <c r="F1250" s="4" t="str">
        <f>IFERROR(__xludf.DUMMYFUNCTION("""COMPUTED_VALUE"""),"")</f>
        <v/>
      </c>
      <c r="G1250" s="4" t="str">
        <f>IFERROR(__xludf.DUMMYFUNCTION("""COMPUTED_VALUE"""),"")</f>
        <v/>
      </c>
      <c r="H1250" s="4" t="str">
        <f>IFERROR(__xludf.DUMMYFUNCTION("""COMPUTED_VALUE"""),"")</f>
        <v/>
      </c>
      <c r="I1250" s="4" t="str">
        <f>IFERROR(__xludf.DUMMYFUNCTION("""COMPUTED_VALUE"""),"")</f>
        <v/>
      </c>
      <c r="J1250" s="4" t="str">
        <f>IFERROR(__xludf.DUMMYFUNCTION("""COMPUTED_VALUE"""),"")</f>
        <v/>
      </c>
      <c r="K1250" s="4" t="str">
        <f>IFERROR(__xludf.DUMMYFUNCTION("""COMPUTED_VALUE"""),"")</f>
        <v/>
      </c>
      <c r="L1250" s="4" t="str">
        <f>IFERROR(__xludf.DUMMYFUNCTION("""COMPUTED_VALUE"""),"")</f>
        <v/>
      </c>
      <c r="M1250" s="4" t="str">
        <f>IFERROR(__xludf.DUMMYFUNCTION("""COMPUTED_VALUE"""),"")</f>
        <v/>
      </c>
      <c r="N1250" s="4" t="str">
        <f>IFERROR(__xludf.DUMMYFUNCTION("""COMPUTED_VALUE"""),"")</f>
        <v/>
      </c>
      <c r="O1250" s="4" t="str">
        <f>IFERROR(__xludf.DUMMYFUNCTION("""COMPUTED_VALUE"""),"")</f>
        <v/>
      </c>
      <c r="P1250" s="4" t="str">
        <f>IFERROR(__xludf.DUMMYFUNCTION("""COMPUTED_VALUE"""),"")</f>
        <v/>
      </c>
      <c r="Q1250" s="4" t="str">
        <f>IFERROR(__xludf.DUMMYFUNCTION("""COMPUTED_VALUE"""),"")</f>
        <v/>
      </c>
      <c r="R1250" s="4" t="str">
        <f>IFERROR(__xludf.DUMMYFUNCTION("""COMPUTED_VALUE"""),"")</f>
        <v/>
      </c>
      <c r="S1250" s="4" t="str">
        <f>IFERROR(__xludf.DUMMYFUNCTION("""COMPUTED_VALUE"""),"")</f>
        <v/>
      </c>
      <c r="T1250" s="4" t="str">
        <f>IFERROR(__xludf.DUMMYFUNCTION("""COMPUTED_VALUE"""),"")</f>
        <v/>
      </c>
      <c r="U1250" s="4" t="str">
        <f>IFERROR(__xludf.DUMMYFUNCTION("""COMPUTED_VALUE"""),"")</f>
        <v/>
      </c>
      <c r="V1250" s="4" t="str">
        <f>IFERROR(__xludf.DUMMYFUNCTION("""COMPUTED_VALUE"""),"")</f>
        <v/>
      </c>
      <c r="W1250" s="4" t="str">
        <f>IFERROR(__xludf.DUMMYFUNCTION("""COMPUTED_VALUE"""),"")</f>
        <v/>
      </c>
      <c r="X1250" s="4" t="str">
        <f>IFERROR(__xludf.DUMMYFUNCTION("""COMPUTED_VALUE"""),"")</f>
        <v/>
      </c>
      <c r="Y1250" s="4" t="str">
        <f>IFERROR(__xludf.DUMMYFUNCTION("""COMPUTED_VALUE"""),"")</f>
        <v/>
      </c>
    </row>
    <row r="1251">
      <c r="A1251" s="4" t="str">
        <f>IFERROR(__xludf.DUMMYFUNCTION("""COMPUTED_VALUE"""),"1750 - Channel")</f>
        <v>1750 - Channel</v>
      </c>
      <c r="B1251" s="4" t="str">
        <f>IFERROR(__xludf.DUMMYFUNCTION("""COMPUTED_VALUE"""),"")</f>
        <v/>
      </c>
      <c r="C1251" s="4" t="str">
        <f>IFERROR(__xludf.DUMMYFUNCTION("""COMPUTED_VALUE"""),"")</f>
        <v/>
      </c>
      <c r="D1251" s="4" t="str">
        <f>IFERROR(__xludf.DUMMYFUNCTION("""COMPUTED_VALUE"""),"")</f>
        <v/>
      </c>
      <c r="E1251" s="4" t="str">
        <f>IFERROR(__xludf.DUMMYFUNCTION("""COMPUTED_VALUE"""),"")</f>
        <v/>
      </c>
      <c r="F1251" s="4" t="str">
        <f>IFERROR(__xludf.DUMMYFUNCTION("""COMPUTED_VALUE"""),"")</f>
        <v/>
      </c>
      <c r="G1251" s="4" t="str">
        <f>IFERROR(__xludf.DUMMYFUNCTION("""COMPUTED_VALUE"""),"")</f>
        <v/>
      </c>
      <c r="H1251" s="4" t="str">
        <f>IFERROR(__xludf.DUMMYFUNCTION("""COMPUTED_VALUE"""),"")</f>
        <v/>
      </c>
      <c r="I1251" s="4" t="str">
        <f>IFERROR(__xludf.DUMMYFUNCTION("""COMPUTED_VALUE"""),"")</f>
        <v/>
      </c>
      <c r="J1251" s="4" t="str">
        <f>IFERROR(__xludf.DUMMYFUNCTION("""COMPUTED_VALUE"""),"")</f>
        <v/>
      </c>
      <c r="K1251" s="4" t="str">
        <f>IFERROR(__xludf.DUMMYFUNCTION("""COMPUTED_VALUE"""),"")</f>
        <v/>
      </c>
      <c r="L1251" s="4" t="str">
        <f>IFERROR(__xludf.DUMMYFUNCTION("""COMPUTED_VALUE"""),"")</f>
        <v/>
      </c>
      <c r="M1251" s="4" t="str">
        <f>IFERROR(__xludf.DUMMYFUNCTION("""COMPUTED_VALUE"""),"")</f>
        <v/>
      </c>
      <c r="N1251" s="4" t="str">
        <f>IFERROR(__xludf.DUMMYFUNCTION("""COMPUTED_VALUE"""),"")</f>
        <v/>
      </c>
      <c r="O1251" s="4" t="str">
        <f>IFERROR(__xludf.DUMMYFUNCTION("""COMPUTED_VALUE"""),"")</f>
        <v/>
      </c>
      <c r="P1251" s="4" t="str">
        <f>IFERROR(__xludf.DUMMYFUNCTION("""COMPUTED_VALUE"""),"")</f>
        <v/>
      </c>
      <c r="Q1251" s="4" t="str">
        <f>IFERROR(__xludf.DUMMYFUNCTION("""COMPUTED_VALUE"""),"")</f>
        <v/>
      </c>
      <c r="R1251" s="4" t="str">
        <f>IFERROR(__xludf.DUMMYFUNCTION("""COMPUTED_VALUE"""),"")</f>
        <v/>
      </c>
      <c r="S1251" s="4" t="str">
        <f>IFERROR(__xludf.DUMMYFUNCTION("""COMPUTED_VALUE"""),"")</f>
        <v/>
      </c>
      <c r="T1251" s="4" t="str">
        <f>IFERROR(__xludf.DUMMYFUNCTION("""COMPUTED_VALUE"""),"")</f>
        <v/>
      </c>
      <c r="U1251" s="4" t="str">
        <f>IFERROR(__xludf.DUMMYFUNCTION("""COMPUTED_VALUE"""),"")</f>
        <v/>
      </c>
      <c r="V1251" s="4" t="str">
        <f>IFERROR(__xludf.DUMMYFUNCTION("""COMPUTED_VALUE"""),"")</f>
        <v/>
      </c>
      <c r="W1251" s="4" t="str">
        <f>IFERROR(__xludf.DUMMYFUNCTION("""COMPUTED_VALUE"""),"")</f>
        <v/>
      </c>
      <c r="X1251" s="4" t="str">
        <f>IFERROR(__xludf.DUMMYFUNCTION("""COMPUTED_VALUE"""),"")</f>
        <v/>
      </c>
      <c r="Y1251" s="4" t="str">
        <f>IFERROR(__xludf.DUMMYFUNCTION("""COMPUTED_VALUE"""),"")</f>
        <v/>
      </c>
    </row>
    <row r="1252">
      <c r="A1252" s="4" t="str">
        <f>IFERROR(__xludf.DUMMYFUNCTION("""COMPUTED_VALUE"""),"1751 - Channel")</f>
        <v>1751 - Channel</v>
      </c>
      <c r="B1252" s="4" t="str">
        <f>IFERROR(__xludf.DUMMYFUNCTION("""COMPUTED_VALUE"""),"")</f>
        <v/>
      </c>
      <c r="C1252" s="4" t="str">
        <f>IFERROR(__xludf.DUMMYFUNCTION("""COMPUTED_VALUE"""),"")</f>
        <v/>
      </c>
      <c r="D1252" s="4" t="str">
        <f>IFERROR(__xludf.DUMMYFUNCTION("""COMPUTED_VALUE"""),"")</f>
        <v/>
      </c>
      <c r="E1252" s="4" t="str">
        <f>IFERROR(__xludf.DUMMYFUNCTION("""COMPUTED_VALUE"""),"")</f>
        <v/>
      </c>
      <c r="F1252" s="4" t="str">
        <f>IFERROR(__xludf.DUMMYFUNCTION("""COMPUTED_VALUE"""),"")</f>
        <v/>
      </c>
      <c r="G1252" s="4" t="str">
        <f>IFERROR(__xludf.DUMMYFUNCTION("""COMPUTED_VALUE"""),"")</f>
        <v/>
      </c>
      <c r="H1252" s="4" t="str">
        <f>IFERROR(__xludf.DUMMYFUNCTION("""COMPUTED_VALUE"""),"")</f>
        <v/>
      </c>
      <c r="I1252" s="4" t="str">
        <f>IFERROR(__xludf.DUMMYFUNCTION("""COMPUTED_VALUE"""),"")</f>
        <v/>
      </c>
      <c r="J1252" s="4" t="str">
        <f>IFERROR(__xludf.DUMMYFUNCTION("""COMPUTED_VALUE"""),"")</f>
        <v/>
      </c>
      <c r="K1252" s="4" t="str">
        <f>IFERROR(__xludf.DUMMYFUNCTION("""COMPUTED_VALUE"""),"")</f>
        <v/>
      </c>
      <c r="L1252" s="4" t="str">
        <f>IFERROR(__xludf.DUMMYFUNCTION("""COMPUTED_VALUE"""),"")</f>
        <v/>
      </c>
      <c r="M1252" s="4" t="str">
        <f>IFERROR(__xludf.DUMMYFUNCTION("""COMPUTED_VALUE"""),"")</f>
        <v/>
      </c>
      <c r="N1252" s="4" t="str">
        <f>IFERROR(__xludf.DUMMYFUNCTION("""COMPUTED_VALUE"""),"")</f>
        <v/>
      </c>
      <c r="O1252" s="4" t="str">
        <f>IFERROR(__xludf.DUMMYFUNCTION("""COMPUTED_VALUE"""),"")</f>
        <v/>
      </c>
      <c r="P1252" s="4" t="str">
        <f>IFERROR(__xludf.DUMMYFUNCTION("""COMPUTED_VALUE"""),"")</f>
        <v/>
      </c>
      <c r="Q1252" s="4" t="str">
        <f>IFERROR(__xludf.DUMMYFUNCTION("""COMPUTED_VALUE"""),"")</f>
        <v/>
      </c>
      <c r="R1252" s="4" t="str">
        <f>IFERROR(__xludf.DUMMYFUNCTION("""COMPUTED_VALUE"""),"")</f>
        <v/>
      </c>
      <c r="S1252" s="4" t="str">
        <f>IFERROR(__xludf.DUMMYFUNCTION("""COMPUTED_VALUE"""),"")</f>
        <v/>
      </c>
      <c r="T1252" s="4" t="str">
        <f>IFERROR(__xludf.DUMMYFUNCTION("""COMPUTED_VALUE"""),"")</f>
        <v/>
      </c>
      <c r="U1252" s="4" t="str">
        <f>IFERROR(__xludf.DUMMYFUNCTION("""COMPUTED_VALUE"""),"")</f>
        <v/>
      </c>
      <c r="V1252" s="4" t="str">
        <f>IFERROR(__xludf.DUMMYFUNCTION("""COMPUTED_VALUE"""),"")</f>
        <v/>
      </c>
      <c r="W1252" s="4" t="str">
        <f>IFERROR(__xludf.DUMMYFUNCTION("""COMPUTED_VALUE"""),"")</f>
        <v/>
      </c>
      <c r="X1252" s="4" t="str">
        <f>IFERROR(__xludf.DUMMYFUNCTION("""COMPUTED_VALUE"""),"")</f>
        <v/>
      </c>
      <c r="Y1252" s="4" t="str">
        <f>IFERROR(__xludf.DUMMYFUNCTION("""COMPUTED_VALUE"""),"")</f>
        <v/>
      </c>
    </row>
    <row r="1253">
      <c r="A1253" s="4" t="str">
        <f>IFERROR(__xludf.DUMMYFUNCTION("""COMPUTED_VALUE"""),"1752 - Channel")</f>
        <v>1752 - Channel</v>
      </c>
      <c r="B1253" s="4" t="str">
        <f>IFERROR(__xludf.DUMMYFUNCTION("""COMPUTED_VALUE"""),"")</f>
        <v/>
      </c>
      <c r="C1253" s="4" t="str">
        <f>IFERROR(__xludf.DUMMYFUNCTION("""COMPUTED_VALUE"""),"")</f>
        <v/>
      </c>
      <c r="D1253" s="4" t="str">
        <f>IFERROR(__xludf.DUMMYFUNCTION("""COMPUTED_VALUE"""),"")</f>
        <v/>
      </c>
      <c r="E1253" s="4" t="str">
        <f>IFERROR(__xludf.DUMMYFUNCTION("""COMPUTED_VALUE"""),"")</f>
        <v/>
      </c>
      <c r="F1253" s="4" t="str">
        <f>IFERROR(__xludf.DUMMYFUNCTION("""COMPUTED_VALUE"""),"")</f>
        <v/>
      </c>
      <c r="G1253" s="4" t="str">
        <f>IFERROR(__xludf.DUMMYFUNCTION("""COMPUTED_VALUE"""),"")</f>
        <v/>
      </c>
      <c r="H1253" s="4" t="str">
        <f>IFERROR(__xludf.DUMMYFUNCTION("""COMPUTED_VALUE"""),"")</f>
        <v/>
      </c>
      <c r="I1253" s="4" t="str">
        <f>IFERROR(__xludf.DUMMYFUNCTION("""COMPUTED_VALUE"""),"")</f>
        <v/>
      </c>
      <c r="J1253" s="4" t="str">
        <f>IFERROR(__xludf.DUMMYFUNCTION("""COMPUTED_VALUE"""),"")</f>
        <v/>
      </c>
      <c r="K1253" s="4" t="str">
        <f>IFERROR(__xludf.DUMMYFUNCTION("""COMPUTED_VALUE"""),"")</f>
        <v/>
      </c>
      <c r="L1253" s="4" t="str">
        <f>IFERROR(__xludf.DUMMYFUNCTION("""COMPUTED_VALUE"""),"")</f>
        <v/>
      </c>
      <c r="M1253" s="4" t="str">
        <f>IFERROR(__xludf.DUMMYFUNCTION("""COMPUTED_VALUE"""),"")</f>
        <v/>
      </c>
      <c r="N1253" s="4" t="str">
        <f>IFERROR(__xludf.DUMMYFUNCTION("""COMPUTED_VALUE"""),"")</f>
        <v/>
      </c>
      <c r="O1253" s="4" t="str">
        <f>IFERROR(__xludf.DUMMYFUNCTION("""COMPUTED_VALUE"""),"")</f>
        <v/>
      </c>
      <c r="P1253" s="4" t="str">
        <f>IFERROR(__xludf.DUMMYFUNCTION("""COMPUTED_VALUE"""),"")</f>
        <v/>
      </c>
      <c r="Q1253" s="4" t="str">
        <f>IFERROR(__xludf.DUMMYFUNCTION("""COMPUTED_VALUE"""),"")</f>
        <v/>
      </c>
      <c r="R1253" s="4" t="str">
        <f>IFERROR(__xludf.DUMMYFUNCTION("""COMPUTED_VALUE"""),"")</f>
        <v/>
      </c>
      <c r="S1253" s="4" t="str">
        <f>IFERROR(__xludf.DUMMYFUNCTION("""COMPUTED_VALUE"""),"")</f>
        <v/>
      </c>
      <c r="T1253" s="4" t="str">
        <f>IFERROR(__xludf.DUMMYFUNCTION("""COMPUTED_VALUE"""),"")</f>
        <v/>
      </c>
      <c r="U1253" s="4" t="str">
        <f>IFERROR(__xludf.DUMMYFUNCTION("""COMPUTED_VALUE"""),"")</f>
        <v/>
      </c>
      <c r="V1253" s="4" t="str">
        <f>IFERROR(__xludf.DUMMYFUNCTION("""COMPUTED_VALUE"""),"")</f>
        <v/>
      </c>
      <c r="W1253" s="4" t="str">
        <f>IFERROR(__xludf.DUMMYFUNCTION("""COMPUTED_VALUE"""),"")</f>
        <v/>
      </c>
      <c r="X1253" s="4" t="str">
        <f>IFERROR(__xludf.DUMMYFUNCTION("""COMPUTED_VALUE"""),"")</f>
        <v/>
      </c>
      <c r="Y1253" s="4" t="str">
        <f>IFERROR(__xludf.DUMMYFUNCTION("""COMPUTED_VALUE"""),"")</f>
        <v/>
      </c>
    </row>
    <row r="1254">
      <c r="A1254" s="4" t="str">
        <f>IFERROR(__xludf.DUMMYFUNCTION("""COMPUTED_VALUE"""),"1753 - Channel")</f>
        <v>1753 - Channel</v>
      </c>
      <c r="B1254" s="4" t="str">
        <f>IFERROR(__xludf.DUMMYFUNCTION("""COMPUTED_VALUE"""),"")</f>
        <v/>
      </c>
      <c r="C1254" s="4" t="str">
        <f>IFERROR(__xludf.DUMMYFUNCTION("""COMPUTED_VALUE"""),"")</f>
        <v/>
      </c>
      <c r="D1254" s="4" t="str">
        <f>IFERROR(__xludf.DUMMYFUNCTION("""COMPUTED_VALUE"""),"")</f>
        <v/>
      </c>
      <c r="E1254" s="4" t="str">
        <f>IFERROR(__xludf.DUMMYFUNCTION("""COMPUTED_VALUE"""),"")</f>
        <v/>
      </c>
      <c r="F1254" s="4" t="str">
        <f>IFERROR(__xludf.DUMMYFUNCTION("""COMPUTED_VALUE"""),"")</f>
        <v/>
      </c>
      <c r="G1254" s="4" t="str">
        <f>IFERROR(__xludf.DUMMYFUNCTION("""COMPUTED_VALUE"""),"")</f>
        <v/>
      </c>
      <c r="H1254" s="4" t="str">
        <f>IFERROR(__xludf.DUMMYFUNCTION("""COMPUTED_VALUE"""),"")</f>
        <v/>
      </c>
      <c r="I1254" s="4" t="str">
        <f>IFERROR(__xludf.DUMMYFUNCTION("""COMPUTED_VALUE"""),"")</f>
        <v/>
      </c>
      <c r="J1254" s="4" t="str">
        <f>IFERROR(__xludf.DUMMYFUNCTION("""COMPUTED_VALUE"""),"")</f>
        <v/>
      </c>
      <c r="K1254" s="4" t="str">
        <f>IFERROR(__xludf.DUMMYFUNCTION("""COMPUTED_VALUE"""),"")</f>
        <v/>
      </c>
      <c r="L1254" s="4" t="str">
        <f>IFERROR(__xludf.DUMMYFUNCTION("""COMPUTED_VALUE"""),"")</f>
        <v/>
      </c>
      <c r="M1254" s="4" t="str">
        <f>IFERROR(__xludf.DUMMYFUNCTION("""COMPUTED_VALUE"""),"")</f>
        <v/>
      </c>
      <c r="N1254" s="4" t="str">
        <f>IFERROR(__xludf.DUMMYFUNCTION("""COMPUTED_VALUE"""),"")</f>
        <v/>
      </c>
      <c r="O1254" s="4" t="str">
        <f>IFERROR(__xludf.DUMMYFUNCTION("""COMPUTED_VALUE"""),"")</f>
        <v/>
      </c>
      <c r="P1254" s="4" t="str">
        <f>IFERROR(__xludf.DUMMYFUNCTION("""COMPUTED_VALUE"""),"")</f>
        <v/>
      </c>
      <c r="Q1254" s="4" t="str">
        <f>IFERROR(__xludf.DUMMYFUNCTION("""COMPUTED_VALUE"""),"")</f>
        <v/>
      </c>
      <c r="R1254" s="4" t="str">
        <f>IFERROR(__xludf.DUMMYFUNCTION("""COMPUTED_VALUE"""),"")</f>
        <v/>
      </c>
      <c r="S1254" s="4" t="str">
        <f>IFERROR(__xludf.DUMMYFUNCTION("""COMPUTED_VALUE"""),"")</f>
        <v/>
      </c>
      <c r="T1254" s="4" t="str">
        <f>IFERROR(__xludf.DUMMYFUNCTION("""COMPUTED_VALUE"""),"")</f>
        <v/>
      </c>
      <c r="U1254" s="4" t="str">
        <f>IFERROR(__xludf.DUMMYFUNCTION("""COMPUTED_VALUE"""),"")</f>
        <v/>
      </c>
      <c r="V1254" s="4" t="str">
        <f>IFERROR(__xludf.DUMMYFUNCTION("""COMPUTED_VALUE"""),"")</f>
        <v/>
      </c>
      <c r="W1254" s="4" t="str">
        <f>IFERROR(__xludf.DUMMYFUNCTION("""COMPUTED_VALUE"""),"")</f>
        <v/>
      </c>
      <c r="X1254" s="4" t="str">
        <f>IFERROR(__xludf.DUMMYFUNCTION("""COMPUTED_VALUE"""),"")</f>
        <v/>
      </c>
      <c r="Y1254" s="4" t="str">
        <f>IFERROR(__xludf.DUMMYFUNCTION("""COMPUTED_VALUE"""),"")</f>
        <v/>
      </c>
    </row>
    <row r="1255">
      <c r="A1255" s="4" t="str">
        <f>IFERROR(__xludf.DUMMYFUNCTION("""COMPUTED_VALUE"""),"1754 - Channel")</f>
        <v>1754 - Channel</v>
      </c>
      <c r="B1255" s="4" t="str">
        <f>IFERROR(__xludf.DUMMYFUNCTION("""COMPUTED_VALUE"""),"")</f>
        <v/>
      </c>
      <c r="C1255" s="4" t="str">
        <f>IFERROR(__xludf.DUMMYFUNCTION("""COMPUTED_VALUE"""),"")</f>
        <v/>
      </c>
      <c r="D1255" s="4" t="str">
        <f>IFERROR(__xludf.DUMMYFUNCTION("""COMPUTED_VALUE"""),"")</f>
        <v/>
      </c>
      <c r="E1255" s="4" t="str">
        <f>IFERROR(__xludf.DUMMYFUNCTION("""COMPUTED_VALUE"""),"")</f>
        <v/>
      </c>
      <c r="F1255" s="4" t="str">
        <f>IFERROR(__xludf.DUMMYFUNCTION("""COMPUTED_VALUE"""),"")</f>
        <v/>
      </c>
      <c r="G1255" s="4" t="str">
        <f>IFERROR(__xludf.DUMMYFUNCTION("""COMPUTED_VALUE"""),"")</f>
        <v/>
      </c>
      <c r="H1255" s="4" t="str">
        <f>IFERROR(__xludf.DUMMYFUNCTION("""COMPUTED_VALUE"""),"")</f>
        <v/>
      </c>
      <c r="I1255" s="4" t="str">
        <f>IFERROR(__xludf.DUMMYFUNCTION("""COMPUTED_VALUE"""),"")</f>
        <v/>
      </c>
      <c r="J1255" s="4" t="str">
        <f>IFERROR(__xludf.DUMMYFUNCTION("""COMPUTED_VALUE"""),"")</f>
        <v/>
      </c>
      <c r="K1255" s="4" t="str">
        <f>IFERROR(__xludf.DUMMYFUNCTION("""COMPUTED_VALUE"""),"")</f>
        <v/>
      </c>
      <c r="L1255" s="4" t="str">
        <f>IFERROR(__xludf.DUMMYFUNCTION("""COMPUTED_VALUE"""),"")</f>
        <v/>
      </c>
      <c r="M1255" s="4" t="str">
        <f>IFERROR(__xludf.DUMMYFUNCTION("""COMPUTED_VALUE"""),"")</f>
        <v/>
      </c>
      <c r="N1255" s="4" t="str">
        <f>IFERROR(__xludf.DUMMYFUNCTION("""COMPUTED_VALUE"""),"")</f>
        <v/>
      </c>
      <c r="O1255" s="4" t="str">
        <f>IFERROR(__xludf.DUMMYFUNCTION("""COMPUTED_VALUE"""),"")</f>
        <v/>
      </c>
      <c r="P1255" s="4" t="str">
        <f>IFERROR(__xludf.DUMMYFUNCTION("""COMPUTED_VALUE"""),"")</f>
        <v/>
      </c>
      <c r="Q1255" s="4" t="str">
        <f>IFERROR(__xludf.DUMMYFUNCTION("""COMPUTED_VALUE"""),"")</f>
        <v/>
      </c>
      <c r="R1255" s="4" t="str">
        <f>IFERROR(__xludf.DUMMYFUNCTION("""COMPUTED_VALUE"""),"")</f>
        <v/>
      </c>
      <c r="S1255" s="4" t="str">
        <f>IFERROR(__xludf.DUMMYFUNCTION("""COMPUTED_VALUE"""),"")</f>
        <v/>
      </c>
      <c r="T1255" s="4" t="str">
        <f>IFERROR(__xludf.DUMMYFUNCTION("""COMPUTED_VALUE"""),"")</f>
        <v/>
      </c>
      <c r="U1255" s="4" t="str">
        <f>IFERROR(__xludf.DUMMYFUNCTION("""COMPUTED_VALUE"""),"")</f>
        <v/>
      </c>
      <c r="V1255" s="4" t="str">
        <f>IFERROR(__xludf.DUMMYFUNCTION("""COMPUTED_VALUE"""),"")</f>
        <v/>
      </c>
      <c r="W1255" s="4" t="str">
        <f>IFERROR(__xludf.DUMMYFUNCTION("""COMPUTED_VALUE"""),"")</f>
        <v/>
      </c>
      <c r="X1255" s="4" t="str">
        <f>IFERROR(__xludf.DUMMYFUNCTION("""COMPUTED_VALUE"""),"")</f>
        <v/>
      </c>
      <c r="Y1255" s="4" t="str">
        <f>IFERROR(__xludf.DUMMYFUNCTION("""COMPUTED_VALUE"""),"")</f>
        <v/>
      </c>
    </row>
    <row r="1256">
      <c r="A1256" s="4" t="str">
        <f>IFERROR(__xludf.DUMMYFUNCTION("""COMPUTED_VALUE"""),"1755 - Channel")</f>
        <v>1755 - Channel</v>
      </c>
      <c r="B1256" s="4" t="str">
        <f>IFERROR(__xludf.DUMMYFUNCTION("""COMPUTED_VALUE"""),"")</f>
        <v/>
      </c>
      <c r="C1256" s="4" t="str">
        <f>IFERROR(__xludf.DUMMYFUNCTION("""COMPUTED_VALUE"""),"")</f>
        <v/>
      </c>
      <c r="D1256" s="4" t="str">
        <f>IFERROR(__xludf.DUMMYFUNCTION("""COMPUTED_VALUE"""),"")</f>
        <v/>
      </c>
      <c r="E1256" s="4" t="str">
        <f>IFERROR(__xludf.DUMMYFUNCTION("""COMPUTED_VALUE"""),"")</f>
        <v/>
      </c>
      <c r="F1256" s="4" t="str">
        <f>IFERROR(__xludf.DUMMYFUNCTION("""COMPUTED_VALUE"""),"")</f>
        <v/>
      </c>
      <c r="G1256" s="4" t="str">
        <f>IFERROR(__xludf.DUMMYFUNCTION("""COMPUTED_VALUE"""),"")</f>
        <v/>
      </c>
      <c r="H1256" s="4" t="str">
        <f>IFERROR(__xludf.DUMMYFUNCTION("""COMPUTED_VALUE"""),"")</f>
        <v/>
      </c>
      <c r="I1256" s="4" t="str">
        <f>IFERROR(__xludf.DUMMYFUNCTION("""COMPUTED_VALUE"""),"")</f>
        <v/>
      </c>
      <c r="J1256" s="4" t="str">
        <f>IFERROR(__xludf.DUMMYFUNCTION("""COMPUTED_VALUE"""),"")</f>
        <v/>
      </c>
      <c r="K1256" s="4" t="str">
        <f>IFERROR(__xludf.DUMMYFUNCTION("""COMPUTED_VALUE"""),"")</f>
        <v/>
      </c>
      <c r="L1256" s="4" t="str">
        <f>IFERROR(__xludf.DUMMYFUNCTION("""COMPUTED_VALUE"""),"")</f>
        <v/>
      </c>
      <c r="M1256" s="4" t="str">
        <f>IFERROR(__xludf.DUMMYFUNCTION("""COMPUTED_VALUE"""),"")</f>
        <v/>
      </c>
      <c r="N1256" s="4" t="str">
        <f>IFERROR(__xludf.DUMMYFUNCTION("""COMPUTED_VALUE"""),"")</f>
        <v/>
      </c>
      <c r="O1256" s="4" t="str">
        <f>IFERROR(__xludf.DUMMYFUNCTION("""COMPUTED_VALUE"""),"")</f>
        <v/>
      </c>
      <c r="P1256" s="4" t="str">
        <f>IFERROR(__xludf.DUMMYFUNCTION("""COMPUTED_VALUE"""),"")</f>
        <v/>
      </c>
      <c r="Q1256" s="4" t="str">
        <f>IFERROR(__xludf.DUMMYFUNCTION("""COMPUTED_VALUE"""),"")</f>
        <v/>
      </c>
      <c r="R1256" s="4" t="str">
        <f>IFERROR(__xludf.DUMMYFUNCTION("""COMPUTED_VALUE"""),"")</f>
        <v/>
      </c>
      <c r="S1256" s="4" t="str">
        <f>IFERROR(__xludf.DUMMYFUNCTION("""COMPUTED_VALUE"""),"")</f>
        <v/>
      </c>
      <c r="T1256" s="4" t="str">
        <f>IFERROR(__xludf.DUMMYFUNCTION("""COMPUTED_VALUE"""),"")</f>
        <v/>
      </c>
      <c r="U1256" s="4" t="str">
        <f>IFERROR(__xludf.DUMMYFUNCTION("""COMPUTED_VALUE"""),"")</f>
        <v/>
      </c>
      <c r="V1256" s="4" t="str">
        <f>IFERROR(__xludf.DUMMYFUNCTION("""COMPUTED_VALUE"""),"")</f>
        <v/>
      </c>
      <c r="W1256" s="4" t="str">
        <f>IFERROR(__xludf.DUMMYFUNCTION("""COMPUTED_VALUE"""),"")</f>
        <v/>
      </c>
      <c r="X1256" s="4" t="str">
        <f>IFERROR(__xludf.DUMMYFUNCTION("""COMPUTED_VALUE"""),"")</f>
        <v/>
      </c>
      <c r="Y1256" s="4" t="str">
        <f>IFERROR(__xludf.DUMMYFUNCTION("""COMPUTED_VALUE"""),"")</f>
        <v/>
      </c>
    </row>
    <row r="1257">
      <c r="A1257" s="4" t="str">
        <f>IFERROR(__xludf.DUMMYFUNCTION("""COMPUTED_VALUE"""),"1756 - Channel")</f>
        <v>1756 - Channel</v>
      </c>
      <c r="B1257" s="4" t="str">
        <f>IFERROR(__xludf.DUMMYFUNCTION("""COMPUTED_VALUE"""),"")</f>
        <v/>
      </c>
      <c r="C1257" s="4" t="str">
        <f>IFERROR(__xludf.DUMMYFUNCTION("""COMPUTED_VALUE"""),"")</f>
        <v/>
      </c>
      <c r="D1257" s="4" t="str">
        <f>IFERROR(__xludf.DUMMYFUNCTION("""COMPUTED_VALUE"""),"")</f>
        <v/>
      </c>
      <c r="E1257" s="4" t="str">
        <f>IFERROR(__xludf.DUMMYFUNCTION("""COMPUTED_VALUE"""),"")</f>
        <v/>
      </c>
      <c r="F1257" s="4" t="str">
        <f>IFERROR(__xludf.DUMMYFUNCTION("""COMPUTED_VALUE"""),"")</f>
        <v/>
      </c>
      <c r="G1257" s="4" t="str">
        <f>IFERROR(__xludf.DUMMYFUNCTION("""COMPUTED_VALUE"""),"")</f>
        <v/>
      </c>
      <c r="H1257" s="4" t="str">
        <f>IFERROR(__xludf.DUMMYFUNCTION("""COMPUTED_VALUE"""),"")</f>
        <v/>
      </c>
      <c r="I1257" s="4" t="str">
        <f>IFERROR(__xludf.DUMMYFUNCTION("""COMPUTED_VALUE"""),"")</f>
        <v/>
      </c>
      <c r="J1257" s="4" t="str">
        <f>IFERROR(__xludf.DUMMYFUNCTION("""COMPUTED_VALUE"""),"")</f>
        <v/>
      </c>
      <c r="K1257" s="4" t="str">
        <f>IFERROR(__xludf.DUMMYFUNCTION("""COMPUTED_VALUE"""),"")</f>
        <v/>
      </c>
      <c r="L1257" s="4" t="str">
        <f>IFERROR(__xludf.DUMMYFUNCTION("""COMPUTED_VALUE"""),"")</f>
        <v/>
      </c>
      <c r="M1257" s="4" t="str">
        <f>IFERROR(__xludf.DUMMYFUNCTION("""COMPUTED_VALUE"""),"")</f>
        <v/>
      </c>
      <c r="N1257" s="4" t="str">
        <f>IFERROR(__xludf.DUMMYFUNCTION("""COMPUTED_VALUE"""),"")</f>
        <v/>
      </c>
      <c r="O1257" s="4" t="str">
        <f>IFERROR(__xludf.DUMMYFUNCTION("""COMPUTED_VALUE"""),"")</f>
        <v/>
      </c>
      <c r="P1257" s="4" t="str">
        <f>IFERROR(__xludf.DUMMYFUNCTION("""COMPUTED_VALUE"""),"")</f>
        <v/>
      </c>
      <c r="Q1257" s="4" t="str">
        <f>IFERROR(__xludf.DUMMYFUNCTION("""COMPUTED_VALUE"""),"")</f>
        <v/>
      </c>
      <c r="R1257" s="4" t="str">
        <f>IFERROR(__xludf.DUMMYFUNCTION("""COMPUTED_VALUE"""),"")</f>
        <v/>
      </c>
      <c r="S1257" s="4" t="str">
        <f>IFERROR(__xludf.DUMMYFUNCTION("""COMPUTED_VALUE"""),"")</f>
        <v/>
      </c>
      <c r="T1257" s="4" t="str">
        <f>IFERROR(__xludf.DUMMYFUNCTION("""COMPUTED_VALUE"""),"")</f>
        <v/>
      </c>
      <c r="U1257" s="4" t="str">
        <f>IFERROR(__xludf.DUMMYFUNCTION("""COMPUTED_VALUE"""),"")</f>
        <v/>
      </c>
      <c r="V1257" s="4" t="str">
        <f>IFERROR(__xludf.DUMMYFUNCTION("""COMPUTED_VALUE"""),"")</f>
        <v/>
      </c>
      <c r="W1257" s="4" t="str">
        <f>IFERROR(__xludf.DUMMYFUNCTION("""COMPUTED_VALUE"""),"")</f>
        <v/>
      </c>
      <c r="X1257" s="4" t="str">
        <f>IFERROR(__xludf.DUMMYFUNCTION("""COMPUTED_VALUE"""),"")</f>
        <v/>
      </c>
      <c r="Y1257" s="4" t="str">
        <f>IFERROR(__xludf.DUMMYFUNCTION("""COMPUTED_VALUE"""),"")</f>
        <v/>
      </c>
    </row>
    <row r="1258">
      <c r="A1258" s="4" t="str">
        <f>IFERROR(__xludf.DUMMYFUNCTION("""COMPUTED_VALUE"""),"1757 - Channel")</f>
        <v>1757 - Channel</v>
      </c>
      <c r="B1258" s="4" t="str">
        <f>IFERROR(__xludf.DUMMYFUNCTION("""COMPUTED_VALUE"""),"")</f>
        <v/>
      </c>
      <c r="C1258" s="4" t="str">
        <f>IFERROR(__xludf.DUMMYFUNCTION("""COMPUTED_VALUE"""),"")</f>
        <v/>
      </c>
      <c r="D1258" s="4" t="str">
        <f>IFERROR(__xludf.DUMMYFUNCTION("""COMPUTED_VALUE"""),"")</f>
        <v/>
      </c>
      <c r="E1258" s="4" t="str">
        <f>IFERROR(__xludf.DUMMYFUNCTION("""COMPUTED_VALUE"""),"")</f>
        <v/>
      </c>
      <c r="F1258" s="4" t="str">
        <f>IFERROR(__xludf.DUMMYFUNCTION("""COMPUTED_VALUE"""),"")</f>
        <v/>
      </c>
      <c r="G1258" s="4" t="str">
        <f>IFERROR(__xludf.DUMMYFUNCTION("""COMPUTED_VALUE"""),"")</f>
        <v/>
      </c>
      <c r="H1258" s="4" t="str">
        <f>IFERROR(__xludf.DUMMYFUNCTION("""COMPUTED_VALUE"""),"")</f>
        <v/>
      </c>
      <c r="I1258" s="4" t="str">
        <f>IFERROR(__xludf.DUMMYFUNCTION("""COMPUTED_VALUE"""),"")</f>
        <v/>
      </c>
      <c r="J1258" s="4" t="str">
        <f>IFERROR(__xludf.DUMMYFUNCTION("""COMPUTED_VALUE"""),"")</f>
        <v/>
      </c>
      <c r="K1258" s="4" t="str">
        <f>IFERROR(__xludf.DUMMYFUNCTION("""COMPUTED_VALUE"""),"")</f>
        <v/>
      </c>
      <c r="L1258" s="4" t="str">
        <f>IFERROR(__xludf.DUMMYFUNCTION("""COMPUTED_VALUE"""),"")</f>
        <v/>
      </c>
      <c r="M1258" s="4" t="str">
        <f>IFERROR(__xludf.DUMMYFUNCTION("""COMPUTED_VALUE"""),"")</f>
        <v/>
      </c>
      <c r="N1258" s="4" t="str">
        <f>IFERROR(__xludf.DUMMYFUNCTION("""COMPUTED_VALUE"""),"")</f>
        <v/>
      </c>
      <c r="O1258" s="4" t="str">
        <f>IFERROR(__xludf.DUMMYFUNCTION("""COMPUTED_VALUE"""),"")</f>
        <v/>
      </c>
      <c r="P1258" s="4" t="str">
        <f>IFERROR(__xludf.DUMMYFUNCTION("""COMPUTED_VALUE"""),"")</f>
        <v/>
      </c>
      <c r="Q1258" s="4" t="str">
        <f>IFERROR(__xludf.DUMMYFUNCTION("""COMPUTED_VALUE"""),"")</f>
        <v/>
      </c>
      <c r="R1258" s="4" t="str">
        <f>IFERROR(__xludf.DUMMYFUNCTION("""COMPUTED_VALUE"""),"")</f>
        <v/>
      </c>
      <c r="S1258" s="4" t="str">
        <f>IFERROR(__xludf.DUMMYFUNCTION("""COMPUTED_VALUE"""),"")</f>
        <v/>
      </c>
      <c r="T1258" s="4" t="str">
        <f>IFERROR(__xludf.DUMMYFUNCTION("""COMPUTED_VALUE"""),"")</f>
        <v/>
      </c>
      <c r="U1258" s="4" t="str">
        <f>IFERROR(__xludf.DUMMYFUNCTION("""COMPUTED_VALUE"""),"")</f>
        <v/>
      </c>
      <c r="V1258" s="4" t="str">
        <f>IFERROR(__xludf.DUMMYFUNCTION("""COMPUTED_VALUE"""),"")</f>
        <v/>
      </c>
      <c r="W1258" s="4" t="str">
        <f>IFERROR(__xludf.DUMMYFUNCTION("""COMPUTED_VALUE"""),"")</f>
        <v/>
      </c>
      <c r="X1258" s="4" t="str">
        <f>IFERROR(__xludf.DUMMYFUNCTION("""COMPUTED_VALUE"""),"")</f>
        <v/>
      </c>
      <c r="Y1258" s="4" t="str">
        <f>IFERROR(__xludf.DUMMYFUNCTION("""COMPUTED_VALUE"""),"")</f>
        <v/>
      </c>
    </row>
    <row r="1259">
      <c r="A1259" s="4" t="str">
        <f>IFERROR(__xludf.DUMMYFUNCTION("""COMPUTED_VALUE"""),"1758 - Channel")</f>
        <v>1758 - Channel</v>
      </c>
      <c r="B1259" s="4" t="str">
        <f>IFERROR(__xludf.DUMMYFUNCTION("""COMPUTED_VALUE"""),"")</f>
        <v/>
      </c>
      <c r="C1259" s="4" t="str">
        <f>IFERROR(__xludf.DUMMYFUNCTION("""COMPUTED_VALUE"""),"")</f>
        <v/>
      </c>
      <c r="D1259" s="4" t="str">
        <f>IFERROR(__xludf.DUMMYFUNCTION("""COMPUTED_VALUE"""),"")</f>
        <v/>
      </c>
      <c r="E1259" s="4" t="str">
        <f>IFERROR(__xludf.DUMMYFUNCTION("""COMPUTED_VALUE"""),"")</f>
        <v/>
      </c>
      <c r="F1259" s="4" t="str">
        <f>IFERROR(__xludf.DUMMYFUNCTION("""COMPUTED_VALUE"""),"")</f>
        <v/>
      </c>
      <c r="G1259" s="4" t="str">
        <f>IFERROR(__xludf.DUMMYFUNCTION("""COMPUTED_VALUE"""),"")</f>
        <v/>
      </c>
      <c r="H1259" s="4" t="str">
        <f>IFERROR(__xludf.DUMMYFUNCTION("""COMPUTED_VALUE"""),"")</f>
        <v/>
      </c>
      <c r="I1259" s="4" t="str">
        <f>IFERROR(__xludf.DUMMYFUNCTION("""COMPUTED_VALUE"""),"")</f>
        <v/>
      </c>
      <c r="J1259" s="4" t="str">
        <f>IFERROR(__xludf.DUMMYFUNCTION("""COMPUTED_VALUE"""),"")</f>
        <v/>
      </c>
      <c r="K1259" s="4" t="str">
        <f>IFERROR(__xludf.DUMMYFUNCTION("""COMPUTED_VALUE"""),"")</f>
        <v/>
      </c>
      <c r="L1259" s="4" t="str">
        <f>IFERROR(__xludf.DUMMYFUNCTION("""COMPUTED_VALUE"""),"")</f>
        <v/>
      </c>
      <c r="M1259" s="4" t="str">
        <f>IFERROR(__xludf.DUMMYFUNCTION("""COMPUTED_VALUE"""),"")</f>
        <v/>
      </c>
      <c r="N1259" s="4" t="str">
        <f>IFERROR(__xludf.DUMMYFUNCTION("""COMPUTED_VALUE"""),"")</f>
        <v/>
      </c>
      <c r="O1259" s="4" t="str">
        <f>IFERROR(__xludf.DUMMYFUNCTION("""COMPUTED_VALUE"""),"")</f>
        <v/>
      </c>
      <c r="P1259" s="4" t="str">
        <f>IFERROR(__xludf.DUMMYFUNCTION("""COMPUTED_VALUE"""),"")</f>
        <v/>
      </c>
      <c r="Q1259" s="4" t="str">
        <f>IFERROR(__xludf.DUMMYFUNCTION("""COMPUTED_VALUE"""),"")</f>
        <v/>
      </c>
      <c r="R1259" s="4" t="str">
        <f>IFERROR(__xludf.DUMMYFUNCTION("""COMPUTED_VALUE"""),"")</f>
        <v/>
      </c>
      <c r="S1259" s="4" t="str">
        <f>IFERROR(__xludf.DUMMYFUNCTION("""COMPUTED_VALUE"""),"")</f>
        <v/>
      </c>
      <c r="T1259" s="4" t="str">
        <f>IFERROR(__xludf.DUMMYFUNCTION("""COMPUTED_VALUE"""),"")</f>
        <v/>
      </c>
      <c r="U1259" s="4" t="str">
        <f>IFERROR(__xludf.DUMMYFUNCTION("""COMPUTED_VALUE"""),"")</f>
        <v/>
      </c>
      <c r="V1259" s="4" t="str">
        <f>IFERROR(__xludf.DUMMYFUNCTION("""COMPUTED_VALUE"""),"")</f>
        <v/>
      </c>
      <c r="W1259" s="4" t="str">
        <f>IFERROR(__xludf.DUMMYFUNCTION("""COMPUTED_VALUE"""),"")</f>
        <v/>
      </c>
      <c r="X1259" s="4" t="str">
        <f>IFERROR(__xludf.DUMMYFUNCTION("""COMPUTED_VALUE"""),"")</f>
        <v/>
      </c>
      <c r="Y1259" s="4" t="str">
        <f>IFERROR(__xludf.DUMMYFUNCTION("""COMPUTED_VALUE"""),"")</f>
        <v/>
      </c>
    </row>
    <row r="1260">
      <c r="A1260" s="4" t="str">
        <f>IFERROR(__xludf.DUMMYFUNCTION("""COMPUTED_VALUE"""),"1759 - Channel")</f>
        <v>1759 - Channel</v>
      </c>
      <c r="B1260" s="4" t="str">
        <f>IFERROR(__xludf.DUMMYFUNCTION("""COMPUTED_VALUE"""),"")</f>
        <v/>
      </c>
      <c r="C1260" s="4" t="str">
        <f>IFERROR(__xludf.DUMMYFUNCTION("""COMPUTED_VALUE"""),"")</f>
        <v/>
      </c>
      <c r="D1260" s="4" t="str">
        <f>IFERROR(__xludf.DUMMYFUNCTION("""COMPUTED_VALUE"""),"")</f>
        <v/>
      </c>
      <c r="E1260" s="4" t="str">
        <f>IFERROR(__xludf.DUMMYFUNCTION("""COMPUTED_VALUE"""),"")</f>
        <v/>
      </c>
      <c r="F1260" s="4" t="str">
        <f>IFERROR(__xludf.DUMMYFUNCTION("""COMPUTED_VALUE"""),"")</f>
        <v/>
      </c>
      <c r="G1260" s="4" t="str">
        <f>IFERROR(__xludf.DUMMYFUNCTION("""COMPUTED_VALUE"""),"")</f>
        <v/>
      </c>
      <c r="H1260" s="4" t="str">
        <f>IFERROR(__xludf.DUMMYFUNCTION("""COMPUTED_VALUE"""),"")</f>
        <v/>
      </c>
      <c r="I1260" s="4" t="str">
        <f>IFERROR(__xludf.DUMMYFUNCTION("""COMPUTED_VALUE"""),"")</f>
        <v/>
      </c>
      <c r="J1260" s="4" t="str">
        <f>IFERROR(__xludf.DUMMYFUNCTION("""COMPUTED_VALUE"""),"")</f>
        <v/>
      </c>
      <c r="K1260" s="4" t="str">
        <f>IFERROR(__xludf.DUMMYFUNCTION("""COMPUTED_VALUE"""),"")</f>
        <v/>
      </c>
      <c r="L1260" s="4" t="str">
        <f>IFERROR(__xludf.DUMMYFUNCTION("""COMPUTED_VALUE"""),"")</f>
        <v/>
      </c>
      <c r="M1260" s="4" t="str">
        <f>IFERROR(__xludf.DUMMYFUNCTION("""COMPUTED_VALUE"""),"")</f>
        <v/>
      </c>
      <c r="N1260" s="4" t="str">
        <f>IFERROR(__xludf.DUMMYFUNCTION("""COMPUTED_VALUE"""),"")</f>
        <v/>
      </c>
      <c r="O1260" s="4" t="str">
        <f>IFERROR(__xludf.DUMMYFUNCTION("""COMPUTED_VALUE"""),"")</f>
        <v/>
      </c>
      <c r="P1260" s="4" t="str">
        <f>IFERROR(__xludf.DUMMYFUNCTION("""COMPUTED_VALUE"""),"")</f>
        <v/>
      </c>
      <c r="Q1260" s="4" t="str">
        <f>IFERROR(__xludf.DUMMYFUNCTION("""COMPUTED_VALUE"""),"")</f>
        <v/>
      </c>
      <c r="R1260" s="4" t="str">
        <f>IFERROR(__xludf.DUMMYFUNCTION("""COMPUTED_VALUE"""),"")</f>
        <v/>
      </c>
      <c r="S1260" s="4" t="str">
        <f>IFERROR(__xludf.DUMMYFUNCTION("""COMPUTED_VALUE"""),"")</f>
        <v/>
      </c>
      <c r="T1260" s="4" t="str">
        <f>IFERROR(__xludf.DUMMYFUNCTION("""COMPUTED_VALUE"""),"")</f>
        <v/>
      </c>
      <c r="U1260" s="4" t="str">
        <f>IFERROR(__xludf.DUMMYFUNCTION("""COMPUTED_VALUE"""),"")</f>
        <v/>
      </c>
      <c r="V1260" s="4" t="str">
        <f>IFERROR(__xludf.DUMMYFUNCTION("""COMPUTED_VALUE"""),"")</f>
        <v/>
      </c>
      <c r="W1260" s="4" t="str">
        <f>IFERROR(__xludf.DUMMYFUNCTION("""COMPUTED_VALUE"""),"")</f>
        <v/>
      </c>
      <c r="X1260" s="4" t="str">
        <f>IFERROR(__xludf.DUMMYFUNCTION("""COMPUTED_VALUE"""),"")</f>
        <v/>
      </c>
      <c r="Y1260" s="4" t="str">
        <f>IFERROR(__xludf.DUMMYFUNCTION("""COMPUTED_VALUE"""),"")</f>
        <v/>
      </c>
    </row>
    <row r="1261">
      <c r="A1261" s="4" t="str">
        <f>IFERROR(__xludf.DUMMYFUNCTION("""COMPUTED_VALUE"""),"1760 - Channel")</f>
        <v>1760 - Channel</v>
      </c>
      <c r="B1261" s="4" t="str">
        <f>IFERROR(__xludf.DUMMYFUNCTION("""COMPUTED_VALUE"""),"")</f>
        <v/>
      </c>
      <c r="C1261" s="4" t="str">
        <f>IFERROR(__xludf.DUMMYFUNCTION("""COMPUTED_VALUE"""),"")</f>
        <v/>
      </c>
      <c r="D1261" s="4" t="str">
        <f>IFERROR(__xludf.DUMMYFUNCTION("""COMPUTED_VALUE"""),"")</f>
        <v/>
      </c>
      <c r="E1261" s="4" t="str">
        <f>IFERROR(__xludf.DUMMYFUNCTION("""COMPUTED_VALUE"""),"")</f>
        <v/>
      </c>
      <c r="F1261" s="4" t="str">
        <f>IFERROR(__xludf.DUMMYFUNCTION("""COMPUTED_VALUE"""),"")</f>
        <v/>
      </c>
      <c r="G1261" s="4" t="str">
        <f>IFERROR(__xludf.DUMMYFUNCTION("""COMPUTED_VALUE"""),"")</f>
        <v/>
      </c>
      <c r="H1261" s="4" t="str">
        <f>IFERROR(__xludf.DUMMYFUNCTION("""COMPUTED_VALUE"""),"")</f>
        <v/>
      </c>
      <c r="I1261" s="4" t="str">
        <f>IFERROR(__xludf.DUMMYFUNCTION("""COMPUTED_VALUE"""),"")</f>
        <v/>
      </c>
      <c r="J1261" s="4" t="str">
        <f>IFERROR(__xludf.DUMMYFUNCTION("""COMPUTED_VALUE"""),"")</f>
        <v/>
      </c>
      <c r="K1261" s="4" t="str">
        <f>IFERROR(__xludf.DUMMYFUNCTION("""COMPUTED_VALUE"""),"")</f>
        <v/>
      </c>
      <c r="L1261" s="4" t="str">
        <f>IFERROR(__xludf.DUMMYFUNCTION("""COMPUTED_VALUE"""),"")</f>
        <v/>
      </c>
      <c r="M1261" s="4" t="str">
        <f>IFERROR(__xludf.DUMMYFUNCTION("""COMPUTED_VALUE"""),"")</f>
        <v/>
      </c>
      <c r="N1261" s="4" t="str">
        <f>IFERROR(__xludf.DUMMYFUNCTION("""COMPUTED_VALUE"""),"")</f>
        <v/>
      </c>
      <c r="O1261" s="4" t="str">
        <f>IFERROR(__xludf.DUMMYFUNCTION("""COMPUTED_VALUE"""),"")</f>
        <v/>
      </c>
      <c r="P1261" s="4" t="str">
        <f>IFERROR(__xludf.DUMMYFUNCTION("""COMPUTED_VALUE"""),"")</f>
        <v/>
      </c>
      <c r="Q1261" s="4" t="str">
        <f>IFERROR(__xludf.DUMMYFUNCTION("""COMPUTED_VALUE"""),"")</f>
        <v/>
      </c>
      <c r="R1261" s="4" t="str">
        <f>IFERROR(__xludf.DUMMYFUNCTION("""COMPUTED_VALUE"""),"")</f>
        <v/>
      </c>
      <c r="S1261" s="4" t="str">
        <f>IFERROR(__xludf.DUMMYFUNCTION("""COMPUTED_VALUE"""),"")</f>
        <v/>
      </c>
      <c r="T1261" s="4" t="str">
        <f>IFERROR(__xludf.DUMMYFUNCTION("""COMPUTED_VALUE"""),"")</f>
        <v/>
      </c>
      <c r="U1261" s="4" t="str">
        <f>IFERROR(__xludf.DUMMYFUNCTION("""COMPUTED_VALUE"""),"")</f>
        <v/>
      </c>
      <c r="V1261" s="4" t="str">
        <f>IFERROR(__xludf.DUMMYFUNCTION("""COMPUTED_VALUE"""),"")</f>
        <v/>
      </c>
      <c r="W1261" s="4" t="str">
        <f>IFERROR(__xludf.DUMMYFUNCTION("""COMPUTED_VALUE"""),"")</f>
        <v/>
      </c>
      <c r="X1261" s="4" t="str">
        <f>IFERROR(__xludf.DUMMYFUNCTION("""COMPUTED_VALUE"""),"")</f>
        <v/>
      </c>
      <c r="Y1261" s="4" t="str">
        <f>IFERROR(__xludf.DUMMYFUNCTION("""COMPUTED_VALUE"""),"")</f>
        <v/>
      </c>
    </row>
    <row r="1262">
      <c r="A1262" s="4" t="str">
        <f>IFERROR(__xludf.DUMMYFUNCTION("""COMPUTED_VALUE"""),"1761 - Channel")</f>
        <v>1761 - Channel</v>
      </c>
      <c r="B1262" s="4" t="str">
        <f>IFERROR(__xludf.DUMMYFUNCTION("""COMPUTED_VALUE"""),"")</f>
        <v/>
      </c>
      <c r="C1262" s="4" t="str">
        <f>IFERROR(__xludf.DUMMYFUNCTION("""COMPUTED_VALUE"""),"")</f>
        <v/>
      </c>
      <c r="D1262" s="4" t="str">
        <f>IFERROR(__xludf.DUMMYFUNCTION("""COMPUTED_VALUE"""),"")</f>
        <v/>
      </c>
      <c r="E1262" s="4" t="str">
        <f>IFERROR(__xludf.DUMMYFUNCTION("""COMPUTED_VALUE"""),"")</f>
        <v/>
      </c>
      <c r="F1262" s="4" t="str">
        <f>IFERROR(__xludf.DUMMYFUNCTION("""COMPUTED_VALUE"""),"")</f>
        <v/>
      </c>
      <c r="G1262" s="4" t="str">
        <f>IFERROR(__xludf.DUMMYFUNCTION("""COMPUTED_VALUE"""),"")</f>
        <v/>
      </c>
      <c r="H1262" s="4" t="str">
        <f>IFERROR(__xludf.DUMMYFUNCTION("""COMPUTED_VALUE"""),"")</f>
        <v/>
      </c>
      <c r="I1262" s="4" t="str">
        <f>IFERROR(__xludf.DUMMYFUNCTION("""COMPUTED_VALUE"""),"")</f>
        <v/>
      </c>
      <c r="J1262" s="4" t="str">
        <f>IFERROR(__xludf.DUMMYFUNCTION("""COMPUTED_VALUE"""),"")</f>
        <v/>
      </c>
      <c r="K1262" s="4" t="str">
        <f>IFERROR(__xludf.DUMMYFUNCTION("""COMPUTED_VALUE"""),"")</f>
        <v/>
      </c>
      <c r="L1262" s="4" t="str">
        <f>IFERROR(__xludf.DUMMYFUNCTION("""COMPUTED_VALUE"""),"")</f>
        <v/>
      </c>
      <c r="M1262" s="4" t="str">
        <f>IFERROR(__xludf.DUMMYFUNCTION("""COMPUTED_VALUE"""),"")</f>
        <v/>
      </c>
      <c r="N1262" s="4" t="str">
        <f>IFERROR(__xludf.DUMMYFUNCTION("""COMPUTED_VALUE"""),"")</f>
        <v/>
      </c>
      <c r="O1262" s="4" t="str">
        <f>IFERROR(__xludf.DUMMYFUNCTION("""COMPUTED_VALUE"""),"")</f>
        <v/>
      </c>
      <c r="P1262" s="4" t="str">
        <f>IFERROR(__xludf.DUMMYFUNCTION("""COMPUTED_VALUE"""),"")</f>
        <v/>
      </c>
      <c r="Q1262" s="4" t="str">
        <f>IFERROR(__xludf.DUMMYFUNCTION("""COMPUTED_VALUE"""),"")</f>
        <v/>
      </c>
      <c r="R1262" s="4" t="str">
        <f>IFERROR(__xludf.DUMMYFUNCTION("""COMPUTED_VALUE"""),"")</f>
        <v/>
      </c>
      <c r="S1262" s="4" t="str">
        <f>IFERROR(__xludf.DUMMYFUNCTION("""COMPUTED_VALUE"""),"")</f>
        <v/>
      </c>
      <c r="T1262" s="4" t="str">
        <f>IFERROR(__xludf.DUMMYFUNCTION("""COMPUTED_VALUE"""),"")</f>
        <v/>
      </c>
      <c r="U1262" s="4" t="str">
        <f>IFERROR(__xludf.DUMMYFUNCTION("""COMPUTED_VALUE"""),"")</f>
        <v/>
      </c>
      <c r="V1262" s="4" t="str">
        <f>IFERROR(__xludf.DUMMYFUNCTION("""COMPUTED_VALUE"""),"")</f>
        <v/>
      </c>
      <c r="W1262" s="4" t="str">
        <f>IFERROR(__xludf.DUMMYFUNCTION("""COMPUTED_VALUE"""),"")</f>
        <v/>
      </c>
      <c r="X1262" s="4" t="str">
        <f>IFERROR(__xludf.DUMMYFUNCTION("""COMPUTED_VALUE"""),"")</f>
        <v/>
      </c>
      <c r="Y1262" s="4" t="str">
        <f>IFERROR(__xludf.DUMMYFUNCTION("""COMPUTED_VALUE"""),"")</f>
        <v/>
      </c>
    </row>
    <row r="1263">
      <c r="A1263" s="4" t="str">
        <f>IFERROR(__xludf.DUMMYFUNCTION("""COMPUTED_VALUE"""),"1762 - Channel")</f>
        <v>1762 - Channel</v>
      </c>
      <c r="B1263" s="4" t="str">
        <f>IFERROR(__xludf.DUMMYFUNCTION("""COMPUTED_VALUE"""),"")</f>
        <v/>
      </c>
      <c r="C1263" s="4" t="str">
        <f>IFERROR(__xludf.DUMMYFUNCTION("""COMPUTED_VALUE"""),"")</f>
        <v/>
      </c>
      <c r="D1263" s="4" t="str">
        <f>IFERROR(__xludf.DUMMYFUNCTION("""COMPUTED_VALUE"""),"")</f>
        <v/>
      </c>
      <c r="E1263" s="4" t="str">
        <f>IFERROR(__xludf.DUMMYFUNCTION("""COMPUTED_VALUE"""),"")</f>
        <v/>
      </c>
      <c r="F1263" s="4" t="str">
        <f>IFERROR(__xludf.DUMMYFUNCTION("""COMPUTED_VALUE"""),"")</f>
        <v/>
      </c>
      <c r="G1263" s="4" t="str">
        <f>IFERROR(__xludf.DUMMYFUNCTION("""COMPUTED_VALUE"""),"")</f>
        <v/>
      </c>
      <c r="H1263" s="4" t="str">
        <f>IFERROR(__xludf.DUMMYFUNCTION("""COMPUTED_VALUE"""),"")</f>
        <v/>
      </c>
      <c r="I1263" s="4" t="str">
        <f>IFERROR(__xludf.DUMMYFUNCTION("""COMPUTED_VALUE"""),"")</f>
        <v/>
      </c>
      <c r="J1263" s="4" t="str">
        <f>IFERROR(__xludf.DUMMYFUNCTION("""COMPUTED_VALUE"""),"")</f>
        <v/>
      </c>
      <c r="K1263" s="4" t="str">
        <f>IFERROR(__xludf.DUMMYFUNCTION("""COMPUTED_VALUE"""),"")</f>
        <v/>
      </c>
      <c r="L1263" s="4" t="str">
        <f>IFERROR(__xludf.DUMMYFUNCTION("""COMPUTED_VALUE"""),"")</f>
        <v/>
      </c>
      <c r="M1263" s="4" t="str">
        <f>IFERROR(__xludf.DUMMYFUNCTION("""COMPUTED_VALUE"""),"")</f>
        <v/>
      </c>
      <c r="N1263" s="4" t="str">
        <f>IFERROR(__xludf.DUMMYFUNCTION("""COMPUTED_VALUE"""),"")</f>
        <v/>
      </c>
      <c r="O1263" s="4" t="str">
        <f>IFERROR(__xludf.DUMMYFUNCTION("""COMPUTED_VALUE"""),"")</f>
        <v/>
      </c>
      <c r="P1263" s="4" t="str">
        <f>IFERROR(__xludf.DUMMYFUNCTION("""COMPUTED_VALUE"""),"")</f>
        <v/>
      </c>
      <c r="Q1263" s="4" t="str">
        <f>IFERROR(__xludf.DUMMYFUNCTION("""COMPUTED_VALUE"""),"")</f>
        <v/>
      </c>
      <c r="R1263" s="4" t="str">
        <f>IFERROR(__xludf.DUMMYFUNCTION("""COMPUTED_VALUE"""),"")</f>
        <v/>
      </c>
      <c r="S1263" s="4" t="str">
        <f>IFERROR(__xludf.DUMMYFUNCTION("""COMPUTED_VALUE"""),"")</f>
        <v/>
      </c>
      <c r="T1263" s="4" t="str">
        <f>IFERROR(__xludf.DUMMYFUNCTION("""COMPUTED_VALUE"""),"")</f>
        <v/>
      </c>
      <c r="U1263" s="4" t="str">
        <f>IFERROR(__xludf.DUMMYFUNCTION("""COMPUTED_VALUE"""),"")</f>
        <v/>
      </c>
      <c r="V1263" s="4" t="str">
        <f>IFERROR(__xludf.DUMMYFUNCTION("""COMPUTED_VALUE"""),"")</f>
        <v/>
      </c>
      <c r="W1263" s="4" t="str">
        <f>IFERROR(__xludf.DUMMYFUNCTION("""COMPUTED_VALUE"""),"")</f>
        <v/>
      </c>
      <c r="X1263" s="4" t="str">
        <f>IFERROR(__xludf.DUMMYFUNCTION("""COMPUTED_VALUE"""),"")</f>
        <v/>
      </c>
      <c r="Y1263" s="4" t="str">
        <f>IFERROR(__xludf.DUMMYFUNCTION("""COMPUTED_VALUE"""),"")</f>
        <v/>
      </c>
    </row>
    <row r="1264">
      <c r="A1264" s="4" t="str">
        <f>IFERROR(__xludf.DUMMYFUNCTION("""COMPUTED_VALUE"""),"1763 - Channel")</f>
        <v>1763 - Channel</v>
      </c>
      <c r="B1264" s="4" t="str">
        <f>IFERROR(__xludf.DUMMYFUNCTION("""COMPUTED_VALUE"""),"")</f>
        <v/>
      </c>
      <c r="C1264" s="4" t="str">
        <f>IFERROR(__xludf.DUMMYFUNCTION("""COMPUTED_VALUE"""),"")</f>
        <v/>
      </c>
      <c r="D1264" s="4" t="str">
        <f>IFERROR(__xludf.DUMMYFUNCTION("""COMPUTED_VALUE"""),"")</f>
        <v/>
      </c>
      <c r="E1264" s="4" t="str">
        <f>IFERROR(__xludf.DUMMYFUNCTION("""COMPUTED_VALUE"""),"")</f>
        <v/>
      </c>
      <c r="F1264" s="4" t="str">
        <f>IFERROR(__xludf.DUMMYFUNCTION("""COMPUTED_VALUE"""),"")</f>
        <v/>
      </c>
      <c r="G1264" s="4" t="str">
        <f>IFERROR(__xludf.DUMMYFUNCTION("""COMPUTED_VALUE"""),"")</f>
        <v/>
      </c>
      <c r="H1264" s="4" t="str">
        <f>IFERROR(__xludf.DUMMYFUNCTION("""COMPUTED_VALUE"""),"")</f>
        <v/>
      </c>
      <c r="I1264" s="4" t="str">
        <f>IFERROR(__xludf.DUMMYFUNCTION("""COMPUTED_VALUE"""),"")</f>
        <v/>
      </c>
      <c r="J1264" s="4" t="str">
        <f>IFERROR(__xludf.DUMMYFUNCTION("""COMPUTED_VALUE"""),"")</f>
        <v/>
      </c>
      <c r="K1264" s="4" t="str">
        <f>IFERROR(__xludf.DUMMYFUNCTION("""COMPUTED_VALUE"""),"")</f>
        <v/>
      </c>
      <c r="L1264" s="4" t="str">
        <f>IFERROR(__xludf.DUMMYFUNCTION("""COMPUTED_VALUE"""),"")</f>
        <v/>
      </c>
      <c r="M1264" s="4" t="str">
        <f>IFERROR(__xludf.DUMMYFUNCTION("""COMPUTED_VALUE"""),"")</f>
        <v/>
      </c>
      <c r="N1264" s="4" t="str">
        <f>IFERROR(__xludf.DUMMYFUNCTION("""COMPUTED_VALUE"""),"")</f>
        <v/>
      </c>
      <c r="O1264" s="4" t="str">
        <f>IFERROR(__xludf.DUMMYFUNCTION("""COMPUTED_VALUE"""),"")</f>
        <v/>
      </c>
      <c r="P1264" s="4" t="str">
        <f>IFERROR(__xludf.DUMMYFUNCTION("""COMPUTED_VALUE"""),"")</f>
        <v/>
      </c>
      <c r="Q1264" s="4" t="str">
        <f>IFERROR(__xludf.DUMMYFUNCTION("""COMPUTED_VALUE"""),"")</f>
        <v/>
      </c>
      <c r="R1264" s="4" t="str">
        <f>IFERROR(__xludf.DUMMYFUNCTION("""COMPUTED_VALUE"""),"")</f>
        <v/>
      </c>
      <c r="S1264" s="4" t="str">
        <f>IFERROR(__xludf.DUMMYFUNCTION("""COMPUTED_VALUE"""),"")</f>
        <v/>
      </c>
      <c r="T1264" s="4" t="str">
        <f>IFERROR(__xludf.DUMMYFUNCTION("""COMPUTED_VALUE"""),"")</f>
        <v/>
      </c>
      <c r="U1264" s="4" t="str">
        <f>IFERROR(__xludf.DUMMYFUNCTION("""COMPUTED_VALUE"""),"")</f>
        <v/>
      </c>
      <c r="V1264" s="4" t="str">
        <f>IFERROR(__xludf.DUMMYFUNCTION("""COMPUTED_VALUE"""),"")</f>
        <v/>
      </c>
      <c r="W1264" s="4" t="str">
        <f>IFERROR(__xludf.DUMMYFUNCTION("""COMPUTED_VALUE"""),"")</f>
        <v/>
      </c>
      <c r="X1264" s="4" t="str">
        <f>IFERROR(__xludf.DUMMYFUNCTION("""COMPUTED_VALUE"""),"")</f>
        <v/>
      </c>
      <c r="Y1264" s="4" t="str">
        <f>IFERROR(__xludf.DUMMYFUNCTION("""COMPUTED_VALUE"""),"")</f>
        <v/>
      </c>
    </row>
    <row r="1265">
      <c r="A1265" s="4" t="str">
        <f>IFERROR(__xludf.DUMMYFUNCTION("""COMPUTED_VALUE"""),"1764 - Channel")</f>
        <v>1764 - Channel</v>
      </c>
      <c r="B1265" s="4" t="str">
        <f>IFERROR(__xludf.DUMMYFUNCTION("""COMPUTED_VALUE"""),"")</f>
        <v/>
      </c>
      <c r="C1265" s="4" t="str">
        <f>IFERROR(__xludf.DUMMYFUNCTION("""COMPUTED_VALUE"""),"")</f>
        <v/>
      </c>
      <c r="D1265" s="4" t="str">
        <f>IFERROR(__xludf.DUMMYFUNCTION("""COMPUTED_VALUE"""),"")</f>
        <v/>
      </c>
      <c r="E1265" s="4" t="str">
        <f>IFERROR(__xludf.DUMMYFUNCTION("""COMPUTED_VALUE"""),"")</f>
        <v/>
      </c>
      <c r="F1265" s="4" t="str">
        <f>IFERROR(__xludf.DUMMYFUNCTION("""COMPUTED_VALUE"""),"")</f>
        <v/>
      </c>
      <c r="G1265" s="4" t="str">
        <f>IFERROR(__xludf.DUMMYFUNCTION("""COMPUTED_VALUE"""),"")</f>
        <v/>
      </c>
      <c r="H1265" s="4" t="str">
        <f>IFERROR(__xludf.DUMMYFUNCTION("""COMPUTED_VALUE"""),"")</f>
        <v/>
      </c>
      <c r="I1265" s="4" t="str">
        <f>IFERROR(__xludf.DUMMYFUNCTION("""COMPUTED_VALUE"""),"")</f>
        <v/>
      </c>
      <c r="J1265" s="4" t="str">
        <f>IFERROR(__xludf.DUMMYFUNCTION("""COMPUTED_VALUE"""),"")</f>
        <v/>
      </c>
      <c r="K1265" s="4" t="str">
        <f>IFERROR(__xludf.DUMMYFUNCTION("""COMPUTED_VALUE"""),"")</f>
        <v/>
      </c>
      <c r="L1265" s="4" t="str">
        <f>IFERROR(__xludf.DUMMYFUNCTION("""COMPUTED_VALUE"""),"")</f>
        <v/>
      </c>
      <c r="M1265" s="4" t="str">
        <f>IFERROR(__xludf.DUMMYFUNCTION("""COMPUTED_VALUE"""),"")</f>
        <v/>
      </c>
      <c r="N1265" s="4" t="str">
        <f>IFERROR(__xludf.DUMMYFUNCTION("""COMPUTED_VALUE"""),"")</f>
        <v/>
      </c>
      <c r="O1265" s="4" t="str">
        <f>IFERROR(__xludf.DUMMYFUNCTION("""COMPUTED_VALUE"""),"")</f>
        <v/>
      </c>
      <c r="P1265" s="4" t="str">
        <f>IFERROR(__xludf.DUMMYFUNCTION("""COMPUTED_VALUE"""),"")</f>
        <v/>
      </c>
      <c r="Q1265" s="4" t="str">
        <f>IFERROR(__xludf.DUMMYFUNCTION("""COMPUTED_VALUE"""),"")</f>
        <v/>
      </c>
      <c r="R1265" s="4" t="str">
        <f>IFERROR(__xludf.DUMMYFUNCTION("""COMPUTED_VALUE"""),"")</f>
        <v/>
      </c>
      <c r="S1265" s="4" t="str">
        <f>IFERROR(__xludf.DUMMYFUNCTION("""COMPUTED_VALUE"""),"")</f>
        <v/>
      </c>
      <c r="T1265" s="4" t="str">
        <f>IFERROR(__xludf.DUMMYFUNCTION("""COMPUTED_VALUE"""),"")</f>
        <v/>
      </c>
      <c r="U1265" s="4" t="str">
        <f>IFERROR(__xludf.DUMMYFUNCTION("""COMPUTED_VALUE"""),"")</f>
        <v/>
      </c>
      <c r="V1265" s="4" t="str">
        <f>IFERROR(__xludf.DUMMYFUNCTION("""COMPUTED_VALUE"""),"")</f>
        <v/>
      </c>
      <c r="W1265" s="4" t="str">
        <f>IFERROR(__xludf.DUMMYFUNCTION("""COMPUTED_VALUE"""),"")</f>
        <v/>
      </c>
      <c r="X1265" s="4" t="str">
        <f>IFERROR(__xludf.DUMMYFUNCTION("""COMPUTED_VALUE"""),"")</f>
        <v/>
      </c>
      <c r="Y1265" s="4" t="str">
        <f>IFERROR(__xludf.DUMMYFUNCTION("""COMPUTED_VALUE"""),"")</f>
        <v/>
      </c>
    </row>
    <row r="1266">
      <c r="A1266" s="4" t="str">
        <f>IFERROR(__xludf.DUMMYFUNCTION("""COMPUTED_VALUE"""),"1765 - Channel")</f>
        <v>1765 - Channel</v>
      </c>
      <c r="B1266" s="4" t="str">
        <f>IFERROR(__xludf.DUMMYFUNCTION("""COMPUTED_VALUE"""),"")</f>
        <v/>
      </c>
      <c r="C1266" s="4" t="str">
        <f>IFERROR(__xludf.DUMMYFUNCTION("""COMPUTED_VALUE"""),"")</f>
        <v/>
      </c>
      <c r="D1266" s="4" t="str">
        <f>IFERROR(__xludf.DUMMYFUNCTION("""COMPUTED_VALUE"""),"")</f>
        <v/>
      </c>
      <c r="E1266" s="4" t="str">
        <f>IFERROR(__xludf.DUMMYFUNCTION("""COMPUTED_VALUE"""),"")</f>
        <v/>
      </c>
      <c r="F1266" s="4" t="str">
        <f>IFERROR(__xludf.DUMMYFUNCTION("""COMPUTED_VALUE"""),"")</f>
        <v/>
      </c>
      <c r="G1266" s="4" t="str">
        <f>IFERROR(__xludf.DUMMYFUNCTION("""COMPUTED_VALUE"""),"")</f>
        <v/>
      </c>
      <c r="H1266" s="4" t="str">
        <f>IFERROR(__xludf.DUMMYFUNCTION("""COMPUTED_VALUE"""),"")</f>
        <v/>
      </c>
      <c r="I1266" s="4" t="str">
        <f>IFERROR(__xludf.DUMMYFUNCTION("""COMPUTED_VALUE"""),"")</f>
        <v/>
      </c>
      <c r="J1266" s="4" t="str">
        <f>IFERROR(__xludf.DUMMYFUNCTION("""COMPUTED_VALUE"""),"")</f>
        <v/>
      </c>
      <c r="K1266" s="4" t="str">
        <f>IFERROR(__xludf.DUMMYFUNCTION("""COMPUTED_VALUE"""),"")</f>
        <v/>
      </c>
      <c r="L1266" s="4" t="str">
        <f>IFERROR(__xludf.DUMMYFUNCTION("""COMPUTED_VALUE"""),"")</f>
        <v/>
      </c>
      <c r="M1266" s="4" t="str">
        <f>IFERROR(__xludf.DUMMYFUNCTION("""COMPUTED_VALUE"""),"")</f>
        <v/>
      </c>
      <c r="N1266" s="4" t="str">
        <f>IFERROR(__xludf.DUMMYFUNCTION("""COMPUTED_VALUE"""),"")</f>
        <v/>
      </c>
      <c r="O1266" s="4" t="str">
        <f>IFERROR(__xludf.DUMMYFUNCTION("""COMPUTED_VALUE"""),"")</f>
        <v/>
      </c>
      <c r="P1266" s="4" t="str">
        <f>IFERROR(__xludf.DUMMYFUNCTION("""COMPUTED_VALUE"""),"")</f>
        <v/>
      </c>
      <c r="Q1266" s="4" t="str">
        <f>IFERROR(__xludf.DUMMYFUNCTION("""COMPUTED_VALUE"""),"")</f>
        <v/>
      </c>
      <c r="R1266" s="4" t="str">
        <f>IFERROR(__xludf.DUMMYFUNCTION("""COMPUTED_VALUE"""),"")</f>
        <v/>
      </c>
      <c r="S1266" s="4" t="str">
        <f>IFERROR(__xludf.DUMMYFUNCTION("""COMPUTED_VALUE"""),"")</f>
        <v/>
      </c>
      <c r="T1266" s="4" t="str">
        <f>IFERROR(__xludf.DUMMYFUNCTION("""COMPUTED_VALUE"""),"")</f>
        <v/>
      </c>
      <c r="U1266" s="4" t="str">
        <f>IFERROR(__xludf.DUMMYFUNCTION("""COMPUTED_VALUE"""),"")</f>
        <v/>
      </c>
      <c r="V1266" s="4" t="str">
        <f>IFERROR(__xludf.DUMMYFUNCTION("""COMPUTED_VALUE"""),"")</f>
        <v/>
      </c>
      <c r="W1266" s="4" t="str">
        <f>IFERROR(__xludf.DUMMYFUNCTION("""COMPUTED_VALUE"""),"")</f>
        <v/>
      </c>
      <c r="X1266" s="4" t="str">
        <f>IFERROR(__xludf.DUMMYFUNCTION("""COMPUTED_VALUE"""),"")</f>
        <v/>
      </c>
      <c r="Y1266" s="4" t="str">
        <f>IFERROR(__xludf.DUMMYFUNCTION("""COMPUTED_VALUE"""),"")</f>
        <v/>
      </c>
    </row>
    <row r="1267">
      <c r="A1267" s="4" t="str">
        <f>IFERROR(__xludf.DUMMYFUNCTION("""COMPUTED_VALUE"""),"1766 - Channel")</f>
        <v>1766 - Channel</v>
      </c>
      <c r="B1267" s="4" t="str">
        <f>IFERROR(__xludf.DUMMYFUNCTION("""COMPUTED_VALUE"""),"")</f>
        <v/>
      </c>
      <c r="C1267" s="4" t="str">
        <f>IFERROR(__xludf.DUMMYFUNCTION("""COMPUTED_VALUE"""),"")</f>
        <v/>
      </c>
      <c r="D1267" s="4" t="str">
        <f>IFERROR(__xludf.DUMMYFUNCTION("""COMPUTED_VALUE"""),"")</f>
        <v/>
      </c>
      <c r="E1267" s="4" t="str">
        <f>IFERROR(__xludf.DUMMYFUNCTION("""COMPUTED_VALUE"""),"")</f>
        <v/>
      </c>
      <c r="F1267" s="4" t="str">
        <f>IFERROR(__xludf.DUMMYFUNCTION("""COMPUTED_VALUE"""),"")</f>
        <v/>
      </c>
      <c r="G1267" s="4" t="str">
        <f>IFERROR(__xludf.DUMMYFUNCTION("""COMPUTED_VALUE"""),"")</f>
        <v/>
      </c>
      <c r="H1267" s="4" t="str">
        <f>IFERROR(__xludf.DUMMYFUNCTION("""COMPUTED_VALUE"""),"")</f>
        <v/>
      </c>
      <c r="I1267" s="4" t="str">
        <f>IFERROR(__xludf.DUMMYFUNCTION("""COMPUTED_VALUE"""),"")</f>
        <v/>
      </c>
      <c r="J1267" s="4" t="str">
        <f>IFERROR(__xludf.DUMMYFUNCTION("""COMPUTED_VALUE"""),"")</f>
        <v/>
      </c>
      <c r="K1267" s="4" t="str">
        <f>IFERROR(__xludf.DUMMYFUNCTION("""COMPUTED_VALUE"""),"")</f>
        <v/>
      </c>
      <c r="L1267" s="4" t="str">
        <f>IFERROR(__xludf.DUMMYFUNCTION("""COMPUTED_VALUE"""),"")</f>
        <v/>
      </c>
      <c r="M1267" s="4" t="str">
        <f>IFERROR(__xludf.DUMMYFUNCTION("""COMPUTED_VALUE"""),"")</f>
        <v/>
      </c>
      <c r="N1267" s="4" t="str">
        <f>IFERROR(__xludf.DUMMYFUNCTION("""COMPUTED_VALUE"""),"")</f>
        <v/>
      </c>
      <c r="O1267" s="4" t="str">
        <f>IFERROR(__xludf.DUMMYFUNCTION("""COMPUTED_VALUE"""),"")</f>
        <v/>
      </c>
      <c r="P1267" s="4" t="str">
        <f>IFERROR(__xludf.DUMMYFUNCTION("""COMPUTED_VALUE"""),"")</f>
        <v/>
      </c>
      <c r="Q1267" s="4" t="str">
        <f>IFERROR(__xludf.DUMMYFUNCTION("""COMPUTED_VALUE"""),"")</f>
        <v/>
      </c>
      <c r="R1267" s="4" t="str">
        <f>IFERROR(__xludf.DUMMYFUNCTION("""COMPUTED_VALUE"""),"")</f>
        <v/>
      </c>
      <c r="S1267" s="4" t="str">
        <f>IFERROR(__xludf.DUMMYFUNCTION("""COMPUTED_VALUE"""),"")</f>
        <v/>
      </c>
      <c r="T1267" s="4" t="str">
        <f>IFERROR(__xludf.DUMMYFUNCTION("""COMPUTED_VALUE"""),"")</f>
        <v/>
      </c>
      <c r="U1267" s="4" t="str">
        <f>IFERROR(__xludf.DUMMYFUNCTION("""COMPUTED_VALUE"""),"")</f>
        <v/>
      </c>
      <c r="V1267" s="4" t="str">
        <f>IFERROR(__xludf.DUMMYFUNCTION("""COMPUTED_VALUE"""),"")</f>
        <v/>
      </c>
      <c r="W1267" s="4" t="str">
        <f>IFERROR(__xludf.DUMMYFUNCTION("""COMPUTED_VALUE"""),"")</f>
        <v/>
      </c>
      <c r="X1267" s="4" t="str">
        <f>IFERROR(__xludf.DUMMYFUNCTION("""COMPUTED_VALUE"""),"")</f>
        <v/>
      </c>
      <c r="Y1267" s="4" t="str">
        <f>IFERROR(__xludf.DUMMYFUNCTION("""COMPUTED_VALUE"""),"")</f>
        <v/>
      </c>
    </row>
    <row r="1268">
      <c r="A1268" s="4" t="str">
        <f>IFERROR(__xludf.DUMMYFUNCTION("""COMPUTED_VALUE"""),"1767 - Channel")</f>
        <v>1767 - Channel</v>
      </c>
      <c r="B1268" s="4" t="str">
        <f>IFERROR(__xludf.DUMMYFUNCTION("""COMPUTED_VALUE"""),"")</f>
        <v/>
      </c>
      <c r="C1268" s="4" t="str">
        <f>IFERROR(__xludf.DUMMYFUNCTION("""COMPUTED_VALUE"""),"")</f>
        <v/>
      </c>
      <c r="D1268" s="4" t="str">
        <f>IFERROR(__xludf.DUMMYFUNCTION("""COMPUTED_VALUE"""),"")</f>
        <v/>
      </c>
      <c r="E1268" s="4" t="str">
        <f>IFERROR(__xludf.DUMMYFUNCTION("""COMPUTED_VALUE"""),"")</f>
        <v/>
      </c>
      <c r="F1268" s="4" t="str">
        <f>IFERROR(__xludf.DUMMYFUNCTION("""COMPUTED_VALUE"""),"")</f>
        <v/>
      </c>
      <c r="G1268" s="4" t="str">
        <f>IFERROR(__xludf.DUMMYFUNCTION("""COMPUTED_VALUE"""),"")</f>
        <v/>
      </c>
      <c r="H1268" s="4" t="str">
        <f>IFERROR(__xludf.DUMMYFUNCTION("""COMPUTED_VALUE"""),"")</f>
        <v/>
      </c>
      <c r="I1268" s="4" t="str">
        <f>IFERROR(__xludf.DUMMYFUNCTION("""COMPUTED_VALUE"""),"")</f>
        <v/>
      </c>
      <c r="J1268" s="4" t="str">
        <f>IFERROR(__xludf.DUMMYFUNCTION("""COMPUTED_VALUE"""),"")</f>
        <v/>
      </c>
      <c r="K1268" s="4" t="str">
        <f>IFERROR(__xludf.DUMMYFUNCTION("""COMPUTED_VALUE"""),"")</f>
        <v/>
      </c>
      <c r="L1268" s="4" t="str">
        <f>IFERROR(__xludf.DUMMYFUNCTION("""COMPUTED_VALUE"""),"")</f>
        <v/>
      </c>
      <c r="M1268" s="4" t="str">
        <f>IFERROR(__xludf.DUMMYFUNCTION("""COMPUTED_VALUE"""),"")</f>
        <v/>
      </c>
      <c r="N1268" s="4" t="str">
        <f>IFERROR(__xludf.DUMMYFUNCTION("""COMPUTED_VALUE"""),"")</f>
        <v/>
      </c>
      <c r="O1268" s="4" t="str">
        <f>IFERROR(__xludf.DUMMYFUNCTION("""COMPUTED_VALUE"""),"")</f>
        <v/>
      </c>
      <c r="P1268" s="4" t="str">
        <f>IFERROR(__xludf.DUMMYFUNCTION("""COMPUTED_VALUE"""),"")</f>
        <v/>
      </c>
      <c r="Q1268" s="4" t="str">
        <f>IFERROR(__xludf.DUMMYFUNCTION("""COMPUTED_VALUE"""),"")</f>
        <v/>
      </c>
      <c r="R1268" s="4" t="str">
        <f>IFERROR(__xludf.DUMMYFUNCTION("""COMPUTED_VALUE"""),"")</f>
        <v/>
      </c>
      <c r="S1268" s="4" t="str">
        <f>IFERROR(__xludf.DUMMYFUNCTION("""COMPUTED_VALUE"""),"")</f>
        <v/>
      </c>
      <c r="T1268" s="4" t="str">
        <f>IFERROR(__xludf.DUMMYFUNCTION("""COMPUTED_VALUE"""),"")</f>
        <v/>
      </c>
      <c r="U1268" s="4" t="str">
        <f>IFERROR(__xludf.DUMMYFUNCTION("""COMPUTED_VALUE"""),"")</f>
        <v/>
      </c>
      <c r="V1268" s="4" t="str">
        <f>IFERROR(__xludf.DUMMYFUNCTION("""COMPUTED_VALUE"""),"")</f>
        <v/>
      </c>
      <c r="W1268" s="4" t="str">
        <f>IFERROR(__xludf.DUMMYFUNCTION("""COMPUTED_VALUE"""),"")</f>
        <v/>
      </c>
      <c r="X1268" s="4" t="str">
        <f>IFERROR(__xludf.DUMMYFUNCTION("""COMPUTED_VALUE"""),"")</f>
        <v/>
      </c>
      <c r="Y1268" s="4" t="str">
        <f>IFERROR(__xludf.DUMMYFUNCTION("""COMPUTED_VALUE"""),"")</f>
        <v/>
      </c>
    </row>
    <row r="1269">
      <c r="A1269" s="4" t="str">
        <f>IFERROR(__xludf.DUMMYFUNCTION("""COMPUTED_VALUE"""),"1768 - Channel")</f>
        <v>1768 - Channel</v>
      </c>
      <c r="B1269" s="4" t="str">
        <f>IFERROR(__xludf.DUMMYFUNCTION("""COMPUTED_VALUE"""),"")</f>
        <v/>
      </c>
      <c r="C1269" s="4" t="str">
        <f>IFERROR(__xludf.DUMMYFUNCTION("""COMPUTED_VALUE"""),"")</f>
        <v/>
      </c>
      <c r="D1269" s="4" t="str">
        <f>IFERROR(__xludf.DUMMYFUNCTION("""COMPUTED_VALUE"""),"")</f>
        <v/>
      </c>
      <c r="E1269" s="4" t="str">
        <f>IFERROR(__xludf.DUMMYFUNCTION("""COMPUTED_VALUE"""),"")</f>
        <v/>
      </c>
      <c r="F1269" s="4" t="str">
        <f>IFERROR(__xludf.DUMMYFUNCTION("""COMPUTED_VALUE"""),"")</f>
        <v/>
      </c>
      <c r="G1269" s="4" t="str">
        <f>IFERROR(__xludf.DUMMYFUNCTION("""COMPUTED_VALUE"""),"")</f>
        <v/>
      </c>
      <c r="H1269" s="4" t="str">
        <f>IFERROR(__xludf.DUMMYFUNCTION("""COMPUTED_VALUE"""),"")</f>
        <v/>
      </c>
      <c r="I1269" s="4" t="str">
        <f>IFERROR(__xludf.DUMMYFUNCTION("""COMPUTED_VALUE"""),"")</f>
        <v/>
      </c>
      <c r="J1269" s="4" t="str">
        <f>IFERROR(__xludf.DUMMYFUNCTION("""COMPUTED_VALUE"""),"")</f>
        <v/>
      </c>
      <c r="K1269" s="4" t="str">
        <f>IFERROR(__xludf.DUMMYFUNCTION("""COMPUTED_VALUE"""),"")</f>
        <v/>
      </c>
      <c r="L1269" s="4" t="str">
        <f>IFERROR(__xludf.DUMMYFUNCTION("""COMPUTED_VALUE"""),"")</f>
        <v/>
      </c>
      <c r="M1269" s="4" t="str">
        <f>IFERROR(__xludf.DUMMYFUNCTION("""COMPUTED_VALUE"""),"")</f>
        <v/>
      </c>
      <c r="N1269" s="4" t="str">
        <f>IFERROR(__xludf.DUMMYFUNCTION("""COMPUTED_VALUE"""),"")</f>
        <v/>
      </c>
      <c r="O1269" s="4" t="str">
        <f>IFERROR(__xludf.DUMMYFUNCTION("""COMPUTED_VALUE"""),"")</f>
        <v/>
      </c>
      <c r="P1269" s="4" t="str">
        <f>IFERROR(__xludf.DUMMYFUNCTION("""COMPUTED_VALUE"""),"")</f>
        <v/>
      </c>
      <c r="Q1269" s="4" t="str">
        <f>IFERROR(__xludf.DUMMYFUNCTION("""COMPUTED_VALUE"""),"")</f>
        <v/>
      </c>
      <c r="R1269" s="4" t="str">
        <f>IFERROR(__xludf.DUMMYFUNCTION("""COMPUTED_VALUE"""),"")</f>
        <v/>
      </c>
      <c r="S1269" s="4" t="str">
        <f>IFERROR(__xludf.DUMMYFUNCTION("""COMPUTED_VALUE"""),"")</f>
        <v/>
      </c>
      <c r="T1269" s="4" t="str">
        <f>IFERROR(__xludf.DUMMYFUNCTION("""COMPUTED_VALUE"""),"")</f>
        <v/>
      </c>
      <c r="U1269" s="4" t="str">
        <f>IFERROR(__xludf.DUMMYFUNCTION("""COMPUTED_VALUE"""),"")</f>
        <v/>
      </c>
      <c r="V1269" s="4" t="str">
        <f>IFERROR(__xludf.DUMMYFUNCTION("""COMPUTED_VALUE"""),"")</f>
        <v/>
      </c>
      <c r="W1269" s="4" t="str">
        <f>IFERROR(__xludf.DUMMYFUNCTION("""COMPUTED_VALUE"""),"")</f>
        <v/>
      </c>
      <c r="X1269" s="4" t="str">
        <f>IFERROR(__xludf.DUMMYFUNCTION("""COMPUTED_VALUE"""),"")</f>
        <v/>
      </c>
      <c r="Y1269" s="4" t="str">
        <f>IFERROR(__xludf.DUMMYFUNCTION("""COMPUTED_VALUE"""),"")</f>
        <v/>
      </c>
    </row>
    <row r="1270">
      <c r="A1270" s="4" t="str">
        <f>IFERROR(__xludf.DUMMYFUNCTION("""COMPUTED_VALUE"""),"1769 - Channel")</f>
        <v>1769 - Channel</v>
      </c>
      <c r="B1270" s="4" t="str">
        <f>IFERROR(__xludf.DUMMYFUNCTION("""COMPUTED_VALUE"""),"")</f>
        <v/>
      </c>
      <c r="C1270" s="4" t="str">
        <f>IFERROR(__xludf.DUMMYFUNCTION("""COMPUTED_VALUE"""),"")</f>
        <v/>
      </c>
      <c r="D1270" s="4" t="str">
        <f>IFERROR(__xludf.DUMMYFUNCTION("""COMPUTED_VALUE"""),"")</f>
        <v/>
      </c>
      <c r="E1270" s="4" t="str">
        <f>IFERROR(__xludf.DUMMYFUNCTION("""COMPUTED_VALUE"""),"")</f>
        <v/>
      </c>
      <c r="F1270" s="4" t="str">
        <f>IFERROR(__xludf.DUMMYFUNCTION("""COMPUTED_VALUE"""),"")</f>
        <v/>
      </c>
      <c r="G1270" s="4" t="str">
        <f>IFERROR(__xludf.DUMMYFUNCTION("""COMPUTED_VALUE"""),"")</f>
        <v/>
      </c>
      <c r="H1270" s="4" t="str">
        <f>IFERROR(__xludf.DUMMYFUNCTION("""COMPUTED_VALUE"""),"")</f>
        <v/>
      </c>
      <c r="I1270" s="4" t="str">
        <f>IFERROR(__xludf.DUMMYFUNCTION("""COMPUTED_VALUE"""),"")</f>
        <v/>
      </c>
      <c r="J1270" s="4" t="str">
        <f>IFERROR(__xludf.DUMMYFUNCTION("""COMPUTED_VALUE"""),"")</f>
        <v/>
      </c>
      <c r="K1270" s="4" t="str">
        <f>IFERROR(__xludf.DUMMYFUNCTION("""COMPUTED_VALUE"""),"")</f>
        <v/>
      </c>
      <c r="L1270" s="4" t="str">
        <f>IFERROR(__xludf.DUMMYFUNCTION("""COMPUTED_VALUE"""),"")</f>
        <v/>
      </c>
      <c r="M1270" s="4" t="str">
        <f>IFERROR(__xludf.DUMMYFUNCTION("""COMPUTED_VALUE"""),"")</f>
        <v/>
      </c>
      <c r="N1270" s="4" t="str">
        <f>IFERROR(__xludf.DUMMYFUNCTION("""COMPUTED_VALUE"""),"")</f>
        <v/>
      </c>
      <c r="O1270" s="4" t="str">
        <f>IFERROR(__xludf.DUMMYFUNCTION("""COMPUTED_VALUE"""),"")</f>
        <v/>
      </c>
      <c r="P1270" s="4" t="str">
        <f>IFERROR(__xludf.DUMMYFUNCTION("""COMPUTED_VALUE"""),"")</f>
        <v/>
      </c>
      <c r="Q1270" s="4" t="str">
        <f>IFERROR(__xludf.DUMMYFUNCTION("""COMPUTED_VALUE"""),"")</f>
        <v/>
      </c>
      <c r="R1270" s="4" t="str">
        <f>IFERROR(__xludf.DUMMYFUNCTION("""COMPUTED_VALUE"""),"")</f>
        <v/>
      </c>
      <c r="S1270" s="4" t="str">
        <f>IFERROR(__xludf.DUMMYFUNCTION("""COMPUTED_VALUE"""),"")</f>
        <v/>
      </c>
      <c r="T1270" s="4" t="str">
        <f>IFERROR(__xludf.DUMMYFUNCTION("""COMPUTED_VALUE"""),"")</f>
        <v/>
      </c>
      <c r="U1270" s="4" t="str">
        <f>IFERROR(__xludf.DUMMYFUNCTION("""COMPUTED_VALUE"""),"")</f>
        <v/>
      </c>
      <c r="V1270" s="4" t="str">
        <f>IFERROR(__xludf.DUMMYFUNCTION("""COMPUTED_VALUE"""),"")</f>
        <v/>
      </c>
      <c r="W1270" s="4" t="str">
        <f>IFERROR(__xludf.DUMMYFUNCTION("""COMPUTED_VALUE"""),"")</f>
        <v/>
      </c>
      <c r="X1270" s="4" t="str">
        <f>IFERROR(__xludf.DUMMYFUNCTION("""COMPUTED_VALUE"""),"")</f>
        <v/>
      </c>
      <c r="Y1270" s="4" t="str">
        <f>IFERROR(__xludf.DUMMYFUNCTION("""COMPUTED_VALUE"""),"")</f>
        <v/>
      </c>
    </row>
    <row r="1271">
      <c r="A1271" s="4" t="str">
        <f>IFERROR(__xludf.DUMMYFUNCTION("""COMPUTED_VALUE"""),"1770 - Channel")</f>
        <v>1770 - Channel</v>
      </c>
      <c r="B1271" s="4" t="str">
        <f>IFERROR(__xludf.DUMMYFUNCTION("""COMPUTED_VALUE"""),"")</f>
        <v/>
      </c>
      <c r="C1271" s="4" t="str">
        <f>IFERROR(__xludf.DUMMYFUNCTION("""COMPUTED_VALUE"""),"")</f>
        <v/>
      </c>
      <c r="D1271" s="4" t="str">
        <f>IFERROR(__xludf.DUMMYFUNCTION("""COMPUTED_VALUE"""),"")</f>
        <v/>
      </c>
      <c r="E1271" s="4" t="str">
        <f>IFERROR(__xludf.DUMMYFUNCTION("""COMPUTED_VALUE"""),"")</f>
        <v/>
      </c>
      <c r="F1271" s="4" t="str">
        <f>IFERROR(__xludf.DUMMYFUNCTION("""COMPUTED_VALUE"""),"")</f>
        <v/>
      </c>
      <c r="G1271" s="4" t="str">
        <f>IFERROR(__xludf.DUMMYFUNCTION("""COMPUTED_VALUE"""),"")</f>
        <v/>
      </c>
      <c r="H1271" s="4" t="str">
        <f>IFERROR(__xludf.DUMMYFUNCTION("""COMPUTED_VALUE"""),"")</f>
        <v/>
      </c>
      <c r="I1271" s="4" t="str">
        <f>IFERROR(__xludf.DUMMYFUNCTION("""COMPUTED_VALUE"""),"")</f>
        <v/>
      </c>
      <c r="J1271" s="4" t="str">
        <f>IFERROR(__xludf.DUMMYFUNCTION("""COMPUTED_VALUE"""),"")</f>
        <v/>
      </c>
      <c r="K1271" s="4" t="str">
        <f>IFERROR(__xludf.DUMMYFUNCTION("""COMPUTED_VALUE"""),"")</f>
        <v/>
      </c>
      <c r="L1271" s="4" t="str">
        <f>IFERROR(__xludf.DUMMYFUNCTION("""COMPUTED_VALUE"""),"")</f>
        <v/>
      </c>
      <c r="M1271" s="4" t="str">
        <f>IFERROR(__xludf.DUMMYFUNCTION("""COMPUTED_VALUE"""),"")</f>
        <v/>
      </c>
      <c r="N1271" s="4" t="str">
        <f>IFERROR(__xludf.DUMMYFUNCTION("""COMPUTED_VALUE"""),"")</f>
        <v/>
      </c>
      <c r="O1271" s="4" t="str">
        <f>IFERROR(__xludf.DUMMYFUNCTION("""COMPUTED_VALUE"""),"")</f>
        <v/>
      </c>
      <c r="P1271" s="4" t="str">
        <f>IFERROR(__xludf.DUMMYFUNCTION("""COMPUTED_VALUE"""),"")</f>
        <v/>
      </c>
      <c r="Q1271" s="4" t="str">
        <f>IFERROR(__xludf.DUMMYFUNCTION("""COMPUTED_VALUE"""),"")</f>
        <v/>
      </c>
      <c r="R1271" s="4" t="str">
        <f>IFERROR(__xludf.DUMMYFUNCTION("""COMPUTED_VALUE"""),"")</f>
        <v/>
      </c>
      <c r="S1271" s="4" t="str">
        <f>IFERROR(__xludf.DUMMYFUNCTION("""COMPUTED_VALUE"""),"")</f>
        <v/>
      </c>
      <c r="T1271" s="4" t="str">
        <f>IFERROR(__xludf.DUMMYFUNCTION("""COMPUTED_VALUE"""),"")</f>
        <v/>
      </c>
      <c r="U1271" s="4" t="str">
        <f>IFERROR(__xludf.DUMMYFUNCTION("""COMPUTED_VALUE"""),"")</f>
        <v/>
      </c>
      <c r="V1271" s="4" t="str">
        <f>IFERROR(__xludf.DUMMYFUNCTION("""COMPUTED_VALUE"""),"")</f>
        <v/>
      </c>
      <c r="W1271" s="4" t="str">
        <f>IFERROR(__xludf.DUMMYFUNCTION("""COMPUTED_VALUE"""),"")</f>
        <v/>
      </c>
      <c r="X1271" s="4" t="str">
        <f>IFERROR(__xludf.DUMMYFUNCTION("""COMPUTED_VALUE"""),"")</f>
        <v/>
      </c>
      <c r="Y1271" s="4" t="str">
        <f>IFERROR(__xludf.DUMMYFUNCTION("""COMPUTED_VALUE"""),"")</f>
        <v/>
      </c>
    </row>
    <row r="1272">
      <c r="A1272" s="4" t="str">
        <f>IFERROR(__xludf.DUMMYFUNCTION("""COMPUTED_VALUE"""),"1771 - Channel")</f>
        <v>1771 - Channel</v>
      </c>
      <c r="B1272" s="4" t="str">
        <f>IFERROR(__xludf.DUMMYFUNCTION("""COMPUTED_VALUE"""),"")</f>
        <v/>
      </c>
      <c r="C1272" s="4" t="str">
        <f>IFERROR(__xludf.DUMMYFUNCTION("""COMPUTED_VALUE"""),"")</f>
        <v/>
      </c>
      <c r="D1272" s="4" t="str">
        <f>IFERROR(__xludf.DUMMYFUNCTION("""COMPUTED_VALUE"""),"")</f>
        <v/>
      </c>
      <c r="E1272" s="4" t="str">
        <f>IFERROR(__xludf.DUMMYFUNCTION("""COMPUTED_VALUE"""),"")</f>
        <v/>
      </c>
      <c r="F1272" s="4" t="str">
        <f>IFERROR(__xludf.DUMMYFUNCTION("""COMPUTED_VALUE"""),"")</f>
        <v/>
      </c>
      <c r="G1272" s="4" t="str">
        <f>IFERROR(__xludf.DUMMYFUNCTION("""COMPUTED_VALUE"""),"")</f>
        <v/>
      </c>
      <c r="H1272" s="4" t="str">
        <f>IFERROR(__xludf.DUMMYFUNCTION("""COMPUTED_VALUE"""),"")</f>
        <v/>
      </c>
      <c r="I1272" s="4" t="str">
        <f>IFERROR(__xludf.DUMMYFUNCTION("""COMPUTED_VALUE"""),"")</f>
        <v/>
      </c>
      <c r="J1272" s="4" t="str">
        <f>IFERROR(__xludf.DUMMYFUNCTION("""COMPUTED_VALUE"""),"")</f>
        <v/>
      </c>
      <c r="K1272" s="4" t="str">
        <f>IFERROR(__xludf.DUMMYFUNCTION("""COMPUTED_VALUE"""),"")</f>
        <v/>
      </c>
      <c r="L1272" s="4" t="str">
        <f>IFERROR(__xludf.DUMMYFUNCTION("""COMPUTED_VALUE"""),"")</f>
        <v/>
      </c>
      <c r="M1272" s="4" t="str">
        <f>IFERROR(__xludf.DUMMYFUNCTION("""COMPUTED_VALUE"""),"")</f>
        <v/>
      </c>
      <c r="N1272" s="4" t="str">
        <f>IFERROR(__xludf.DUMMYFUNCTION("""COMPUTED_VALUE"""),"")</f>
        <v/>
      </c>
      <c r="O1272" s="4" t="str">
        <f>IFERROR(__xludf.DUMMYFUNCTION("""COMPUTED_VALUE"""),"")</f>
        <v/>
      </c>
      <c r="P1272" s="4" t="str">
        <f>IFERROR(__xludf.DUMMYFUNCTION("""COMPUTED_VALUE"""),"")</f>
        <v/>
      </c>
      <c r="Q1272" s="4" t="str">
        <f>IFERROR(__xludf.DUMMYFUNCTION("""COMPUTED_VALUE"""),"")</f>
        <v/>
      </c>
      <c r="R1272" s="4" t="str">
        <f>IFERROR(__xludf.DUMMYFUNCTION("""COMPUTED_VALUE"""),"")</f>
        <v/>
      </c>
      <c r="S1272" s="4" t="str">
        <f>IFERROR(__xludf.DUMMYFUNCTION("""COMPUTED_VALUE"""),"")</f>
        <v/>
      </c>
      <c r="T1272" s="4" t="str">
        <f>IFERROR(__xludf.DUMMYFUNCTION("""COMPUTED_VALUE"""),"")</f>
        <v/>
      </c>
      <c r="U1272" s="4" t="str">
        <f>IFERROR(__xludf.DUMMYFUNCTION("""COMPUTED_VALUE"""),"")</f>
        <v/>
      </c>
      <c r="V1272" s="4" t="str">
        <f>IFERROR(__xludf.DUMMYFUNCTION("""COMPUTED_VALUE"""),"")</f>
        <v/>
      </c>
      <c r="W1272" s="4" t="str">
        <f>IFERROR(__xludf.DUMMYFUNCTION("""COMPUTED_VALUE"""),"")</f>
        <v/>
      </c>
      <c r="X1272" s="4" t="str">
        <f>IFERROR(__xludf.DUMMYFUNCTION("""COMPUTED_VALUE"""),"")</f>
        <v/>
      </c>
      <c r="Y1272" s="4" t="str">
        <f>IFERROR(__xludf.DUMMYFUNCTION("""COMPUTED_VALUE"""),"")</f>
        <v/>
      </c>
    </row>
    <row r="1273">
      <c r="A1273" s="4" t="str">
        <f>IFERROR(__xludf.DUMMYFUNCTION("""COMPUTED_VALUE"""),"1772 - Channel")</f>
        <v>1772 - Channel</v>
      </c>
      <c r="B1273" s="4" t="str">
        <f>IFERROR(__xludf.DUMMYFUNCTION("""COMPUTED_VALUE"""),"")</f>
        <v/>
      </c>
      <c r="C1273" s="4" t="str">
        <f>IFERROR(__xludf.DUMMYFUNCTION("""COMPUTED_VALUE"""),"")</f>
        <v/>
      </c>
      <c r="D1273" s="4" t="str">
        <f>IFERROR(__xludf.DUMMYFUNCTION("""COMPUTED_VALUE"""),"")</f>
        <v/>
      </c>
      <c r="E1273" s="4" t="str">
        <f>IFERROR(__xludf.DUMMYFUNCTION("""COMPUTED_VALUE"""),"")</f>
        <v/>
      </c>
      <c r="F1273" s="4" t="str">
        <f>IFERROR(__xludf.DUMMYFUNCTION("""COMPUTED_VALUE"""),"")</f>
        <v/>
      </c>
      <c r="G1273" s="4" t="str">
        <f>IFERROR(__xludf.DUMMYFUNCTION("""COMPUTED_VALUE"""),"")</f>
        <v/>
      </c>
      <c r="H1273" s="4" t="str">
        <f>IFERROR(__xludf.DUMMYFUNCTION("""COMPUTED_VALUE"""),"")</f>
        <v/>
      </c>
      <c r="I1273" s="4" t="str">
        <f>IFERROR(__xludf.DUMMYFUNCTION("""COMPUTED_VALUE"""),"")</f>
        <v/>
      </c>
      <c r="J1273" s="4" t="str">
        <f>IFERROR(__xludf.DUMMYFUNCTION("""COMPUTED_VALUE"""),"")</f>
        <v/>
      </c>
      <c r="K1273" s="4" t="str">
        <f>IFERROR(__xludf.DUMMYFUNCTION("""COMPUTED_VALUE"""),"")</f>
        <v/>
      </c>
      <c r="L1273" s="4" t="str">
        <f>IFERROR(__xludf.DUMMYFUNCTION("""COMPUTED_VALUE"""),"")</f>
        <v/>
      </c>
      <c r="M1273" s="4" t="str">
        <f>IFERROR(__xludf.DUMMYFUNCTION("""COMPUTED_VALUE"""),"")</f>
        <v/>
      </c>
      <c r="N1273" s="4" t="str">
        <f>IFERROR(__xludf.DUMMYFUNCTION("""COMPUTED_VALUE"""),"")</f>
        <v/>
      </c>
      <c r="O1273" s="4" t="str">
        <f>IFERROR(__xludf.DUMMYFUNCTION("""COMPUTED_VALUE"""),"")</f>
        <v/>
      </c>
      <c r="P1273" s="4" t="str">
        <f>IFERROR(__xludf.DUMMYFUNCTION("""COMPUTED_VALUE"""),"")</f>
        <v/>
      </c>
      <c r="Q1273" s="4" t="str">
        <f>IFERROR(__xludf.DUMMYFUNCTION("""COMPUTED_VALUE"""),"")</f>
        <v/>
      </c>
      <c r="R1273" s="4" t="str">
        <f>IFERROR(__xludf.DUMMYFUNCTION("""COMPUTED_VALUE"""),"")</f>
        <v/>
      </c>
      <c r="S1273" s="4" t="str">
        <f>IFERROR(__xludf.DUMMYFUNCTION("""COMPUTED_VALUE"""),"")</f>
        <v/>
      </c>
      <c r="T1273" s="4" t="str">
        <f>IFERROR(__xludf.DUMMYFUNCTION("""COMPUTED_VALUE"""),"")</f>
        <v/>
      </c>
      <c r="U1273" s="4" t="str">
        <f>IFERROR(__xludf.DUMMYFUNCTION("""COMPUTED_VALUE"""),"")</f>
        <v/>
      </c>
      <c r="V1273" s="4" t="str">
        <f>IFERROR(__xludf.DUMMYFUNCTION("""COMPUTED_VALUE"""),"")</f>
        <v/>
      </c>
      <c r="W1273" s="4" t="str">
        <f>IFERROR(__xludf.DUMMYFUNCTION("""COMPUTED_VALUE"""),"")</f>
        <v/>
      </c>
      <c r="X1273" s="4" t="str">
        <f>IFERROR(__xludf.DUMMYFUNCTION("""COMPUTED_VALUE"""),"")</f>
        <v/>
      </c>
      <c r="Y1273" s="4" t="str">
        <f>IFERROR(__xludf.DUMMYFUNCTION("""COMPUTED_VALUE"""),"")</f>
        <v/>
      </c>
    </row>
    <row r="1274">
      <c r="A1274" s="4" t="str">
        <f>IFERROR(__xludf.DUMMYFUNCTION("""COMPUTED_VALUE"""),"1773 - Channel")</f>
        <v>1773 - Channel</v>
      </c>
      <c r="B1274" s="4" t="str">
        <f>IFERROR(__xludf.DUMMYFUNCTION("""COMPUTED_VALUE"""),"")</f>
        <v/>
      </c>
      <c r="C1274" s="4" t="str">
        <f>IFERROR(__xludf.DUMMYFUNCTION("""COMPUTED_VALUE"""),"")</f>
        <v/>
      </c>
      <c r="D1274" s="4" t="str">
        <f>IFERROR(__xludf.DUMMYFUNCTION("""COMPUTED_VALUE"""),"")</f>
        <v/>
      </c>
      <c r="E1274" s="4" t="str">
        <f>IFERROR(__xludf.DUMMYFUNCTION("""COMPUTED_VALUE"""),"")</f>
        <v/>
      </c>
      <c r="F1274" s="4" t="str">
        <f>IFERROR(__xludf.DUMMYFUNCTION("""COMPUTED_VALUE"""),"")</f>
        <v/>
      </c>
      <c r="G1274" s="4" t="str">
        <f>IFERROR(__xludf.DUMMYFUNCTION("""COMPUTED_VALUE"""),"")</f>
        <v/>
      </c>
      <c r="H1274" s="4" t="str">
        <f>IFERROR(__xludf.DUMMYFUNCTION("""COMPUTED_VALUE"""),"")</f>
        <v/>
      </c>
      <c r="I1274" s="4" t="str">
        <f>IFERROR(__xludf.DUMMYFUNCTION("""COMPUTED_VALUE"""),"")</f>
        <v/>
      </c>
      <c r="J1274" s="4" t="str">
        <f>IFERROR(__xludf.DUMMYFUNCTION("""COMPUTED_VALUE"""),"")</f>
        <v/>
      </c>
      <c r="K1274" s="4" t="str">
        <f>IFERROR(__xludf.DUMMYFUNCTION("""COMPUTED_VALUE"""),"")</f>
        <v/>
      </c>
      <c r="L1274" s="4" t="str">
        <f>IFERROR(__xludf.DUMMYFUNCTION("""COMPUTED_VALUE"""),"")</f>
        <v/>
      </c>
      <c r="M1274" s="4" t="str">
        <f>IFERROR(__xludf.DUMMYFUNCTION("""COMPUTED_VALUE"""),"")</f>
        <v/>
      </c>
      <c r="N1274" s="4" t="str">
        <f>IFERROR(__xludf.DUMMYFUNCTION("""COMPUTED_VALUE"""),"")</f>
        <v/>
      </c>
      <c r="O1274" s="4" t="str">
        <f>IFERROR(__xludf.DUMMYFUNCTION("""COMPUTED_VALUE"""),"")</f>
        <v/>
      </c>
      <c r="P1274" s="4" t="str">
        <f>IFERROR(__xludf.DUMMYFUNCTION("""COMPUTED_VALUE"""),"")</f>
        <v/>
      </c>
      <c r="Q1274" s="4" t="str">
        <f>IFERROR(__xludf.DUMMYFUNCTION("""COMPUTED_VALUE"""),"")</f>
        <v/>
      </c>
      <c r="R1274" s="4" t="str">
        <f>IFERROR(__xludf.DUMMYFUNCTION("""COMPUTED_VALUE"""),"")</f>
        <v/>
      </c>
      <c r="S1274" s="4" t="str">
        <f>IFERROR(__xludf.DUMMYFUNCTION("""COMPUTED_VALUE"""),"")</f>
        <v/>
      </c>
      <c r="T1274" s="4" t="str">
        <f>IFERROR(__xludf.DUMMYFUNCTION("""COMPUTED_VALUE"""),"")</f>
        <v/>
      </c>
      <c r="U1274" s="4" t="str">
        <f>IFERROR(__xludf.DUMMYFUNCTION("""COMPUTED_VALUE"""),"")</f>
        <v/>
      </c>
      <c r="V1274" s="4" t="str">
        <f>IFERROR(__xludf.DUMMYFUNCTION("""COMPUTED_VALUE"""),"")</f>
        <v/>
      </c>
      <c r="W1274" s="4" t="str">
        <f>IFERROR(__xludf.DUMMYFUNCTION("""COMPUTED_VALUE"""),"")</f>
        <v/>
      </c>
      <c r="X1274" s="4" t="str">
        <f>IFERROR(__xludf.DUMMYFUNCTION("""COMPUTED_VALUE"""),"")</f>
        <v/>
      </c>
      <c r="Y1274" s="4" t="str">
        <f>IFERROR(__xludf.DUMMYFUNCTION("""COMPUTED_VALUE"""),"")</f>
        <v/>
      </c>
    </row>
    <row r="1275">
      <c r="A1275" s="4" t="str">
        <f>IFERROR(__xludf.DUMMYFUNCTION("""COMPUTED_VALUE"""),"1774 - Channel")</f>
        <v>1774 - Channel</v>
      </c>
      <c r="B1275" s="4" t="str">
        <f>IFERROR(__xludf.DUMMYFUNCTION("""COMPUTED_VALUE"""),"")</f>
        <v/>
      </c>
      <c r="C1275" s="4" t="str">
        <f>IFERROR(__xludf.DUMMYFUNCTION("""COMPUTED_VALUE"""),"")</f>
        <v/>
      </c>
      <c r="D1275" s="4" t="str">
        <f>IFERROR(__xludf.DUMMYFUNCTION("""COMPUTED_VALUE"""),"")</f>
        <v/>
      </c>
      <c r="E1275" s="4" t="str">
        <f>IFERROR(__xludf.DUMMYFUNCTION("""COMPUTED_VALUE"""),"")</f>
        <v/>
      </c>
      <c r="F1275" s="4" t="str">
        <f>IFERROR(__xludf.DUMMYFUNCTION("""COMPUTED_VALUE"""),"")</f>
        <v/>
      </c>
      <c r="G1275" s="4" t="str">
        <f>IFERROR(__xludf.DUMMYFUNCTION("""COMPUTED_VALUE"""),"")</f>
        <v/>
      </c>
      <c r="H1275" s="4" t="str">
        <f>IFERROR(__xludf.DUMMYFUNCTION("""COMPUTED_VALUE"""),"")</f>
        <v/>
      </c>
      <c r="I1275" s="4" t="str">
        <f>IFERROR(__xludf.DUMMYFUNCTION("""COMPUTED_VALUE"""),"")</f>
        <v/>
      </c>
      <c r="J1275" s="4" t="str">
        <f>IFERROR(__xludf.DUMMYFUNCTION("""COMPUTED_VALUE"""),"")</f>
        <v/>
      </c>
      <c r="K1275" s="4" t="str">
        <f>IFERROR(__xludf.DUMMYFUNCTION("""COMPUTED_VALUE"""),"")</f>
        <v/>
      </c>
      <c r="L1275" s="4" t="str">
        <f>IFERROR(__xludf.DUMMYFUNCTION("""COMPUTED_VALUE"""),"")</f>
        <v/>
      </c>
      <c r="M1275" s="4" t="str">
        <f>IFERROR(__xludf.DUMMYFUNCTION("""COMPUTED_VALUE"""),"")</f>
        <v/>
      </c>
      <c r="N1275" s="4" t="str">
        <f>IFERROR(__xludf.DUMMYFUNCTION("""COMPUTED_VALUE"""),"")</f>
        <v/>
      </c>
      <c r="O1275" s="4" t="str">
        <f>IFERROR(__xludf.DUMMYFUNCTION("""COMPUTED_VALUE"""),"")</f>
        <v/>
      </c>
      <c r="P1275" s="4" t="str">
        <f>IFERROR(__xludf.DUMMYFUNCTION("""COMPUTED_VALUE"""),"")</f>
        <v/>
      </c>
      <c r="Q1275" s="4" t="str">
        <f>IFERROR(__xludf.DUMMYFUNCTION("""COMPUTED_VALUE"""),"")</f>
        <v/>
      </c>
      <c r="R1275" s="4" t="str">
        <f>IFERROR(__xludf.DUMMYFUNCTION("""COMPUTED_VALUE"""),"")</f>
        <v/>
      </c>
      <c r="S1275" s="4" t="str">
        <f>IFERROR(__xludf.DUMMYFUNCTION("""COMPUTED_VALUE"""),"")</f>
        <v/>
      </c>
      <c r="T1275" s="4" t="str">
        <f>IFERROR(__xludf.DUMMYFUNCTION("""COMPUTED_VALUE"""),"")</f>
        <v/>
      </c>
      <c r="U1275" s="4" t="str">
        <f>IFERROR(__xludf.DUMMYFUNCTION("""COMPUTED_VALUE"""),"")</f>
        <v/>
      </c>
      <c r="V1275" s="4" t="str">
        <f>IFERROR(__xludf.DUMMYFUNCTION("""COMPUTED_VALUE"""),"")</f>
        <v/>
      </c>
      <c r="W1275" s="4" t="str">
        <f>IFERROR(__xludf.DUMMYFUNCTION("""COMPUTED_VALUE"""),"")</f>
        <v/>
      </c>
      <c r="X1275" s="4" t="str">
        <f>IFERROR(__xludf.DUMMYFUNCTION("""COMPUTED_VALUE"""),"")</f>
        <v/>
      </c>
      <c r="Y1275" s="4" t="str">
        <f>IFERROR(__xludf.DUMMYFUNCTION("""COMPUTED_VALUE"""),"")</f>
        <v/>
      </c>
    </row>
    <row r="1276">
      <c r="A1276" s="4" t="str">
        <f>IFERROR(__xludf.DUMMYFUNCTION("""COMPUTED_VALUE"""),"1775 - Channel")</f>
        <v>1775 - Channel</v>
      </c>
      <c r="B1276" s="4" t="str">
        <f>IFERROR(__xludf.DUMMYFUNCTION("""COMPUTED_VALUE"""),"")</f>
        <v/>
      </c>
      <c r="C1276" s="4" t="str">
        <f>IFERROR(__xludf.DUMMYFUNCTION("""COMPUTED_VALUE"""),"")</f>
        <v/>
      </c>
      <c r="D1276" s="4" t="str">
        <f>IFERROR(__xludf.DUMMYFUNCTION("""COMPUTED_VALUE"""),"")</f>
        <v/>
      </c>
      <c r="E1276" s="4" t="str">
        <f>IFERROR(__xludf.DUMMYFUNCTION("""COMPUTED_VALUE"""),"")</f>
        <v/>
      </c>
      <c r="F1276" s="4" t="str">
        <f>IFERROR(__xludf.DUMMYFUNCTION("""COMPUTED_VALUE"""),"")</f>
        <v/>
      </c>
      <c r="G1276" s="4" t="str">
        <f>IFERROR(__xludf.DUMMYFUNCTION("""COMPUTED_VALUE"""),"")</f>
        <v/>
      </c>
      <c r="H1276" s="4" t="str">
        <f>IFERROR(__xludf.DUMMYFUNCTION("""COMPUTED_VALUE"""),"")</f>
        <v/>
      </c>
      <c r="I1276" s="4" t="str">
        <f>IFERROR(__xludf.DUMMYFUNCTION("""COMPUTED_VALUE"""),"")</f>
        <v/>
      </c>
      <c r="J1276" s="4" t="str">
        <f>IFERROR(__xludf.DUMMYFUNCTION("""COMPUTED_VALUE"""),"")</f>
        <v/>
      </c>
      <c r="K1276" s="4" t="str">
        <f>IFERROR(__xludf.DUMMYFUNCTION("""COMPUTED_VALUE"""),"")</f>
        <v/>
      </c>
      <c r="L1276" s="4" t="str">
        <f>IFERROR(__xludf.DUMMYFUNCTION("""COMPUTED_VALUE"""),"")</f>
        <v/>
      </c>
      <c r="M1276" s="4" t="str">
        <f>IFERROR(__xludf.DUMMYFUNCTION("""COMPUTED_VALUE"""),"")</f>
        <v/>
      </c>
      <c r="N1276" s="4" t="str">
        <f>IFERROR(__xludf.DUMMYFUNCTION("""COMPUTED_VALUE"""),"")</f>
        <v/>
      </c>
      <c r="O1276" s="4" t="str">
        <f>IFERROR(__xludf.DUMMYFUNCTION("""COMPUTED_VALUE"""),"")</f>
        <v/>
      </c>
      <c r="P1276" s="4" t="str">
        <f>IFERROR(__xludf.DUMMYFUNCTION("""COMPUTED_VALUE"""),"")</f>
        <v/>
      </c>
      <c r="Q1276" s="4" t="str">
        <f>IFERROR(__xludf.DUMMYFUNCTION("""COMPUTED_VALUE"""),"")</f>
        <v/>
      </c>
      <c r="R1276" s="4" t="str">
        <f>IFERROR(__xludf.DUMMYFUNCTION("""COMPUTED_VALUE"""),"")</f>
        <v/>
      </c>
      <c r="S1276" s="4" t="str">
        <f>IFERROR(__xludf.DUMMYFUNCTION("""COMPUTED_VALUE"""),"")</f>
        <v/>
      </c>
      <c r="T1276" s="4" t="str">
        <f>IFERROR(__xludf.DUMMYFUNCTION("""COMPUTED_VALUE"""),"")</f>
        <v/>
      </c>
      <c r="U1276" s="4" t="str">
        <f>IFERROR(__xludf.DUMMYFUNCTION("""COMPUTED_VALUE"""),"")</f>
        <v/>
      </c>
      <c r="V1276" s="4" t="str">
        <f>IFERROR(__xludf.DUMMYFUNCTION("""COMPUTED_VALUE"""),"")</f>
        <v/>
      </c>
      <c r="W1276" s="4" t="str">
        <f>IFERROR(__xludf.DUMMYFUNCTION("""COMPUTED_VALUE"""),"")</f>
        <v/>
      </c>
      <c r="X1276" s="4" t="str">
        <f>IFERROR(__xludf.DUMMYFUNCTION("""COMPUTED_VALUE"""),"")</f>
        <v/>
      </c>
      <c r="Y1276" s="4" t="str">
        <f>IFERROR(__xludf.DUMMYFUNCTION("""COMPUTED_VALUE"""),"")</f>
        <v/>
      </c>
    </row>
    <row r="1277">
      <c r="A1277" s="4" t="str">
        <f>IFERROR(__xludf.DUMMYFUNCTION("""COMPUTED_VALUE"""),"1776 - Channel")</f>
        <v>1776 - Channel</v>
      </c>
      <c r="B1277" s="4" t="str">
        <f>IFERROR(__xludf.DUMMYFUNCTION("""COMPUTED_VALUE"""),"")</f>
        <v/>
      </c>
      <c r="C1277" s="4" t="str">
        <f>IFERROR(__xludf.DUMMYFUNCTION("""COMPUTED_VALUE"""),"")</f>
        <v/>
      </c>
      <c r="D1277" s="4" t="str">
        <f>IFERROR(__xludf.DUMMYFUNCTION("""COMPUTED_VALUE"""),"")</f>
        <v/>
      </c>
      <c r="E1277" s="4" t="str">
        <f>IFERROR(__xludf.DUMMYFUNCTION("""COMPUTED_VALUE"""),"")</f>
        <v/>
      </c>
      <c r="F1277" s="4" t="str">
        <f>IFERROR(__xludf.DUMMYFUNCTION("""COMPUTED_VALUE"""),"")</f>
        <v/>
      </c>
      <c r="G1277" s="4" t="str">
        <f>IFERROR(__xludf.DUMMYFUNCTION("""COMPUTED_VALUE"""),"")</f>
        <v/>
      </c>
      <c r="H1277" s="4" t="str">
        <f>IFERROR(__xludf.DUMMYFUNCTION("""COMPUTED_VALUE"""),"")</f>
        <v/>
      </c>
      <c r="I1277" s="4" t="str">
        <f>IFERROR(__xludf.DUMMYFUNCTION("""COMPUTED_VALUE"""),"")</f>
        <v/>
      </c>
      <c r="J1277" s="4" t="str">
        <f>IFERROR(__xludf.DUMMYFUNCTION("""COMPUTED_VALUE"""),"")</f>
        <v/>
      </c>
      <c r="K1277" s="4" t="str">
        <f>IFERROR(__xludf.DUMMYFUNCTION("""COMPUTED_VALUE"""),"")</f>
        <v/>
      </c>
      <c r="L1277" s="4" t="str">
        <f>IFERROR(__xludf.DUMMYFUNCTION("""COMPUTED_VALUE"""),"")</f>
        <v/>
      </c>
      <c r="M1277" s="4" t="str">
        <f>IFERROR(__xludf.DUMMYFUNCTION("""COMPUTED_VALUE"""),"")</f>
        <v/>
      </c>
      <c r="N1277" s="4" t="str">
        <f>IFERROR(__xludf.DUMMYFUNCTION("""COMPUTED_VALUE"""),"")</f>
        <v/>
      </c>
      <c r="O1277" s="4" t="str">
        <f>IFERROR(__xludf.DUMMYFUNCTION("""COMPUTED_VALUE"""),"")</f>
        <v/>
      </c>
      <c r="P1277" s="4" t="str">
        <f>IFERROR(__xludf.DUMMYFUNCTION("""COMPUTED_VALUE"""),"")</f>
        <v/>
      </c>
      <c r="Q1277" s="4" t="str">
        <f>IFERROR(__xludf.DUMMYFUNCTION("""COMPUTED_VALUE"""),"")</f>
        <v/>
      </c>
      <c r="R1277" s="4" t="str">
        <f>IFERROR(__xludf.DUMMYFUNCTION("""COMPUTED_VALUE"""),"")</f>
        <v/>
      </c>
      <c r="S1277" s="4" t="str">
        <f>IFERROR(__xludf.DUMMYFUNCTION("""COMPUTED_VALUE"""),"")</f>
        <v/>
      </c>
      <c r="T1277" s="4" t="str">
        <f>IFERROR(__xludf.DUMMYFUNCTION("""COMPUTED_VALUE"""),"")</f>
        <v/>
      </c>
      <c r="U1277" s="4" t="str">
        <f>IFERROR(__xludf.DUMMYFUNCTION("""COMPUTED_VALUE"""),"")</f>
        <v/>
      </c>
      <c r="V1277" s="4" t="str">
        <f>IFERROR(__xludf.DUMMYFUNCTION("""COMPUTED_VALUE"""),"")</f>
        <v/>
      </c>
      <c r="W1277" s="4" t="str">
        <f>IFERROR(__xludf.DUMMYFUNCTION("""COMPUTED_VALUE"""),"")</f>
        <v/>
      </c>
      <c r="X1277" s="4" t="str">
        <f>IFERROR(__xludf.DUMMYFUNCTION("""COMPUTED_VALUE"""),"")</f>
        <v/>
      </c>
      <c r="Y1277" s="4" t="str">
        <f>IFERROR(__xludf.DUMMYFUNCTION("""COMPUTED_VALUE"""),"")</f>
        <v/>
      </c>
    </row>
    <row r="1278">
      <c r="A1278" s="4" t="str">
        <f>IFERROR(__xludf.DUMMYFUNCTION("""COMPUTED_VALUE"""),"1777 - Channel")</f>
        <v>1777 - Channel</v>
      </c>
      <c r="B1278" s="4" t="str">
        <f>IFERROR(__xludf.DUMMYFUNCTION("""COMPUTED_VALUE"""),"")</f>
        <v/>
      </c>
      <c r="C1278" s="4" t="str">
        <f>IFERROR(__xludf.DUMMYFUNCTION("""COMPUTED_VALUE"""),"")</f>
        <v/>
      </c>
      <c r="D1278" s="4" t="str">
        <f>IFERROR(__xludf.DUMMYFUNCTION("""COMPUTED_VALUE"""),"")</f>
        <v/>
      </c>
      <c r="E1278" s="4" t="str">
        <f>IFERROR(__xludf.DUMMYFUNCTION("""COMPUTED_VALUE"""),"")</f>
        <v/>
      </c>
      <c r="F1278" s="4" t="str">
        <f>IFERROR(__xludf.DUMMYFUNCTION("""COMPUTED_VALUE"""),"")</f>
        <v/>
      </c>
      <c r="G1278" s="4" t="str">
        <f>IFERROR(__xludf.DUMMYFUNCTION("""COMPUTED_VALUE"""),"")</f>
        <v/>
      </c>
      <c r="H1278" s="4" t="str">
        <f>IFERROR(__xludf.DUMMYFUNCTION("""COMPUTED_VALUE"""),"")</f>
        <v/>
      </c>
      <c r="I1278" s="4" t="str">
        <f>IFERROR(__xludf.DUMMYFUNCTION("""COMPUTED_VALUE"""),"")</f>
        <v/>
      </c>
      <c r="J1278" s="4" t="str">
        <f>IFERROR(__xludf.DUMMYFUNCTION("""COMPUTED_VALUE"""),"")</f>
        <v/>
      </c>
      <c r="K1278" s="4" t="str">
        <f>IFERROR(__xludf.DUMMYFUNCTION("""COMPUTED_VALUE"""),"")</f>
        <v/>
      </c>
      <c r="L1278" s="4" t="str">
        <f>IFERROR(__xludf.DUMMYFUNCTION("""COMPUTED_VALUE"""),"")</f>
        <v/>
      </c>
      <c r="M1278" s="4" t="str">
        <f>IFERROR(__xludf.DUMMYFUNCTION("""COMPUTED_VALUE"""),"")</f>
        <v/>
      </c>
      <c r="N1278" s="4" t="str">
        <f>IFERROR(__xludf.DUMMYFUNCTION("""COMPUTED_VALUE"""),"")</f>
        <v/>
      </c>
      <c r="O1278" s="4" t="str">
        <f>IFERROR(__xludf.DUMMYFUNCTION("""COMPUTED_VALUE"""),"")</f>
        <v/>
      </c>
      <c r="P1278" s="4" t="str">
        <f>IFERROR(__xludf.DUMMYFUNCTION("""COMPUTED_VALUE"""),"")</f>
        <v/>
      </c>
      <c r="Q1278" s="4" t="str">
        <f>IFERROR(__xludf.DUMMYFUNCTION("""COMPUTED_VALUE"""),"")</f>
        <v/>
      </c>
      <c r="R1278" s="4" t="str">
        <f>IFERROR(__xludf.DUMMYFUNCTION("""COMPUTED_VALUE"""),"")</f>
        <v/>
      </c>
      <c r="S1278" s="4" t="str">
        <f>IFERROR(__xludf.DUMMYFUNCTION("""COMPUTED_VALUE"""),"")</f>
        <v/>
      </c>
      <c r="T1278" s="4" t="str">
        <f>IFERROR(__xludf.DUMMYFUNCTION("""COMPUTED_VALUE"""),"")</f>
        <v/>
      </c>
      <c r="U1278" s="4" t="str">
        <f>IFERROR(__xludf.DUMMYFUNCTION("""COMPUTED_VALUE"""),"")</f>
        <v/>
      </c>
      <c r="V1278" s="4" t="str">
        <f>IFERROR(__xludf.DUMMYFUNCTION("""COMPUTED_VALUE"""),"")</f>
        <v/>
      </c>
      <c r="W1278" s="4" t="str">
        <f>IFERROR(__xludf.DUMMYFUNCTION("""COMPUTED_VALUE"""),"")</f>
        <v/>
      </c>
      <c r="X1278" s="4" t="str">
        <f>IFERROR(__xludf.DUMMYFUNCTION("""COMPUTED_VALUE"""),"")</f>
        <v/>
      </c>
      <c r="Y1278" s="4" t="str">
        <f>IFERROR(__xludf.DUMMYFUNCTION("""COMPUTED_VALUE"""),"")</f>
        <v/>
      </c>
    </row>
    <row r="1279">
      <c r="A1279" s="4" t="str">
        <f>IFERROR(__xludf.DUMMYFUNCTION("""COMPUTED_VALUE"""),"1778 - Channel")</f>
        <v>1778 - Channel</v>
      </c>
      <c r="B1279" s="4" t="str">
        <f>IFERROR(__xludf.DUMMYFUNCTION("""COMPUTED_VALUE"""),"")</f>
        <v/>
      </c>
      <c r="C1279" s="4" t="str">
        <f>IFERROR(__xludf.DUMMYFUNCTION("""COMPUTED_VALUE"""),"")</f>
        <v/>
      </c>
      <c r="D1279" s="4" t="str">
        <f>IFERROR(__xludf.DUMMYFUNCTION("""COMPUTED_VALUE"""),"")</f>
        <v/>
      </c>
      <c r="E1279" s="4" t="str">
        <f>IFERROR(__xludf.DUMMYFUNCTION("""COMPUTED_VALUE"""),"")</f>
        <v/>
      </c>
      <c r="F1279" s="4" t="str">
        <f>IFERROR(__xludf.DUMMYFUNCTION("""COMPUTED_VALUE"""),"")</f>
        <v/>
      </c>
      <c r="G1279" s="4" t="str">
        <f>IFERROR(__xludf.DUMMYFUNCTION("""COMPUTED_VALUE"""),"")</f>
        <v/>
      </c>
      <c r="H1279" s="4" t="str">
        <f>IFERROR(__xludf.DUMMYFUNCTION("""COMPUTED_VALUE"""),"")</f>
        <v/>
      </c>
      <c r="I1279" s="4" t="str">
        <f>IFERROR(__xludf.DUMMYFUNCTION("""COMPUTED_VALUE"""),"")</f>
        <v/>
      </c>
      <c r="J1279" s="4" t="str">
        <f>IFERROR(__xludf.DUMMYFUNCTION("""COMPUTED_VALUE"""),"")</f>
        <v/>
      </c>
      <c r="K1279" s="4" t="str">
        <f>IFERROR(__xludf.DUMMYFUNCTION("""COMPUTED_VALUE"""),"")</f>
        <v/>
      </c>
      <c r="L1279" s="4" t="str">
        <f>IFERROR(__xludf.DUMMYFUNCTION("""COMPUTED_VALUE"""),"")</f>
        <v/>
      </c>
      <c r="M1279" s="4" t="str">
        <f>IFERROR(__xludf.DUMMYFUNCTION("""COMPUTED_VALUE"""),"")</f>
        <v/>
      </c>
      <c r="N1279" s="4" t="str">
        <f>IFERROR(__xludf.DUMMYFUNCTION("""COMPUTED_VALUE"""),"")</f>
        <v/>
      </c>
      <c r="O1279" s="4" t="str">
        <f>IFERROR(__xludf.DUMMYFUNCTION("""COMPUTED_VALUE"""),"")</f>
        <v/>
      </c>
      <c r="P1279" s="4" t="str">
        <f>IFERROR(__xludf.DUMMYFUNCTION("""COMPUTED_VALUE"""),"")</f>
        <v/>
      </c>
      <c r="Q1279" s="4" t="str">
        <f>IFERROR(__xludf.DUMMYFUNCTION("""COMPUTED_VALUE"""),"")</f>
        <v/>
      </c>
      <c r="R1279" s="4" t="str">
        <f>IFERROR(__xludf.DUMMYFUNCTION("""COMPUTED_VALUE"""),"")</f>
        <v/>
      </c>
      <c r="S1279" s="4" t="str">
        <f>IFERROR(__xludf.DUMMYFUNCTION("""COMPUTED_VALUE"""),"")</f>
        <v/>
      </c>
      <c r="T1279" s="4" t="str">
        <f>IFERROR(__xludf.DUMMYFUNCTION("""COMPUTED_VALUE"""),"")</f>
        <v/>
      </c>
      <c r="U1279" s="4" t="str">
        <f>IFERROR(__xludf.DUMMYFUNCTION("""COMPUTED_VALUE"""),"")</f>
        <v/>
      </c>
      <c r="V1279" s="4" t="str">
        <f>IFERROR(__xludf.DUMMYFUNCTION("""COMPUTED_VALUE"""),"")</f>
        <v/>
      </c>
      <c r="W1279" s="4" t="str">
        <f>IFERROR(__xludf.DUMMYFUNCTION("""COMPUTED_VALUE"""),"")</f>
        <v/>
      </c>
      <c r="X1279" s="4" t="str">
        <f>IFERROR(__xludf.DUMMYFUNCTION("""COMPUTED_VALUE"""),"")</f>
        <v/>
      </c>
      <c r="Y1279" s="4" t="str">
        <f>IFERROR(__xludf.DUMMYFUNCTION("""COMPUTED_VALUE"""),"")</f>
        <v/>
      </c>
    </row>
    <row r="1280">
      <c r="A1280" s="4" t="str">
        <f>IFERROR(__xludf.DUMMYFUNCTION("""COMPUTED_VALUE"""),"1779 - Channel")</f>
        <v>1779 - Channel</v>
      </c>
      <c r="B1280" s="4" t="str">
        <f>IFERROR(__xludf.DUMMYFUNCTION("""COMPUTED_VALUE"""),"")</f>
        <v/>
      </c>
      <c r="C1280" s="4" t="str">
        <f>IFERROR(__xludf.DUMMYFUNCTION("""COMPUTED_VALUE"""),"")</f>
        <v/>
      </c>
      <c r="D1280" s="4" t="str">
        <f>IFERROR(__xludf.DUMMYFUNCTION("""COMPUTED_VALUE"""),"")</f>
        <v/>
      </c>
      <c r="E1280" s="4" t="str">
        <f>IFERROR(__xludf.DUMMYFUNCTION("""COMPUTED_VALUE"""),"")</f>
        <v/>
      </c>
      <c r="F1280" s="4" t="str">
        <f>IFERROR(__xludf.DUMMYFUNCTION("""COMPUTED_VALUE"""),"")</f>
        <v/>
      </c>
      <c r="G1280" s="4" t="str">
        <f>IFERROR(__xludf.DUMMYFUNCTION("""COMPUTED_VALUE"""),"")</f>
        <v/>
      </c>
      <c r="H1280" s="4" t="str">
        <f>IFERROR(__xludf.DUMMYFUNCTION("""COMPUTED_VALUE"""),"")</f>
        <v/>
      </c>
      <c r="I1280" s="4" t="str">
        <f>IFERROR(__xludf.DUMMYFUNCTION("""COMPUTED_VALUE"""),"")</f>
        <v/>
      </c>
      <c r="J1280" s="4" t="str">
        <f>IFERROR(__xludf.DUMMYFUNCTION("""COMPUTED_VALUE"""),"")</f>
        <v/>
      </c>
      <c r="K1280" s="4" t="str">
        <f>IFERROR(__xludf.DUMMYFUNCTION("""COMPUTED_VALUE"""),"")</f>
        <v/>
      </c>
      <c r="L1280" s="4" t="str">
        <f>IFERROR(__xludf.DUMMYFUNCTION("""COMPUTED_VALUE"""),"")</f>
        <v/>
      </c>
      <c r="M1280" s="4" t="str">
        <f>IFERROR(__xludf.DUMMYFUNCTION("""COMPUTED_VALUE"""),"")</f>
        <v/>
      </c>
      <c r="N1280" s="4" t="str">
        <f>IFERROR(__xludf.DUMMYFUNCTION("""COMPUTED_VALUE"""),"")</f>
        <v/>
      </c>
      <c r="O1280" s="4" t="str">
        <f>IFERROR(__xludf.DUMMYFUNCTION("""COMPUTED_VALUE"""),"")</f>
        <v/>
      </c>
      <c r="P1280" s="4" t="str">
        <f>IFERROR(__xludf.DUMMYFUNCTION("""COMPUTED_VALUE"""),"")</f>
        <v/>
      </c>
      <c r="Q1280" s="4" t="str">
        <f>IFERROR(__xludf.DUMMYFUNCTION("""COMPUTED_VALUE"""),"")</f>
        <v/>
      </c>
      <c r="R1280" s="4" t="str">
        <f>IFERROR(__xludf.DUMMYFUNCTION("""COMPUTED_VALUE"""),"")</f>
        <v/>
      </c>
      <c r="S1280" s="4" t="str">
        <f>IFERROR(__xludf.DUMMYFUNCTION("""COMPUTED_VALUE"""),"")</f>
        <v/>
      </c>
      <c r="T1280" s="4" t="str">
        <f>IFERROR(__xludf.DUMMYFUNCTION("""COMPUTED_VALUE"""),"")</f>
        <v/>
      </c>
      <c r="U1280" s="4" t="str">
        <f>IFERROR(__xludf.DUMMYFUNCTION("""COMPUTED_VALUE"""),"")</f>
        <v/>
      </c>
      <c r="V1280" s="4" t="str">
        <f>IFERROR(__xludf.DUMMYFUNCTION("""COMPUTED_VALUE"""),"")</f>
        <v/>
      </c>
      <c r="W1280" s="4" t="str">
        <f>IFERROR(__xludf.DUMMYFUNCTION("""COMPUTED_VALUE"""),"")</f>
        <v/>
      </c>
      <c r="X1280" s="4" t="str">
        <f>IFERROR(__xludf.DUMMYFUNCTION("""COMPUTED_VALUE"""),"")</f>
        <v/>
      </c>
      <c r="Y1280" s="4" t="str">
        <f>IFERROR(__xludf.DUMMYFUNCTION("""COMPUTED_VALUE"""),"")</f>
        <v/>
      </c>
    </row>
    <row r="1281">
      <c r="A1281" s="4" t="str">
        <f>IFERROR(__xludf.DUMMYFUNCTION("""COMPUTED_VALUE"""),"1780 - Channel")</f>
        <v>1780 - Channel</v>
      </c>
      <c r="B1281" s="4" t="str">
        <f>IFERROR(__xludf.DUMMYFUNCTION("""COMPUTED_VALUE"""),"")</f>
        <v/>
      </c>
      <c r="C1281" s="4" t="str">
        <f>IFERROR(__xludf.DUMMYFUNCTION("""COMPUTED_VALUE"""),"")</f>
        <v/>
      </c>
      <c r="D1281" s="4" t="str">
        <f>IFERROR(__xludf.DUMMYFUNCTION("""COMPUTED_VALUE"""),"")</f>
        <v/>
      </c>
      <c r="E1281" s="4" t="str">
        <f>IFERROR(__xludf.DUMMYFUNCTION("""COMPUTED_VALUE"""),"")</f>
        <v/>
      </c>
      <c r="F1281" s="4" t="str">
        <f>IFERROR(__xludf.DUMMYFUNCTION("""COMPUTED_VALUE"""),"")</f>
        <v/>
      </c>
      <c r="G1281" s="4" t="str">
        <f>IFERROR(__xludf.DUMMYFUNCTION("""COMPUTED_VALUE"""),"")</f>
        <v/>
      </c>
      <c r="H1281" s="4" t="str">
        <f>IFERROR(__xludf.DUMMYFUNCTION("""COMPUTED_VALUE"""),"")</f>
        <v/>
      </c>
      <c r="I1281" s="4" t="str">
        <f>IFERROR(__xludf.DUMMYFUNCTION("""COMPUTED_VALUE"""),"")</f>
        <v/>
      </c>
      <c r="J1281" s="4" t="str">
        <f>IFERROR(__xludf.DUMMYFUNCTION("""COMPUTED_VALUE"""),"")</f>
        <v/>
      </c>
      <c r="K1281" s="4" t="str">
        <f>IFERROR(__xludf.DUMMYFUNCTION("""COMPUTED_VALUE"""),"")</f>
        <v/>
      </c>
      <c r="L1281" s="4" t="str">
        <f>IFERROR(__xludf.DUMMYFUNCTION("""COMPUTED_VALUE"""),"")</f>
        <v/>
      </c>
      <c r="M1281" s="4" t="str">
        <f>IFERROR(__xludf.DUMMYFUNCTION("""COMPUTED_VALUE"""),"")</f>
        <v/>
      </c>
      <c r="N1281" s="4" t="str">
        <f>IFERROR(__xludf.DUMMYFUNCTION("""COMPUTED_VALUE"""),"")</f>
        <v/>
      </c>
      <c r="O1281" s="4" t="str">
        <f>IFERROR(__xludf.DUMMYFUNCTION("""COMPUTED_VALUE"""),"")</f>
        <v/>
      </c>
      <c r="P1281" s="4" t="str">
        <f>IFERROR(__xludf.DUMMYFUNCTION("""COMPUTED_VALUE"""),"")</f>
        <v/>
      </c>
      <c r="Q1281" s="4" t="str">
        <f>IFERROR(__xludf.DUMMYFUNCTION("""COMPUTED_VALUE"""),"")</f>
        <v/>
      </c>
      <c r="R1281" s="4" t="str">
        <f>IFERROR(__xludf.DUMMYFUNCTION("""COMPUTED_VALUE"""),"")</f>
        <v/>
      </c>
      <c r="S1281" s="4" t="str">
        <f>IFERROR(__xludf.DUMMYFUNCTION("""COMPUTED_VALUE"""),"")</f>
        <v/>
      </c>
      <c r="T1281" s="4" t="str">
        <f>IFERROR(__xludf.DUMMYFUNCTION("""COMPUTED_VALUE"""),"")</f>
        <v/>
      </c>
      <c r="U1281" s="4" t="str">
        <f>IFERROR(__xludf.DUMMYFUNCTION("""COMPUTED_VALUE"""),"")</f>
        <v/>
      </c>
      <c r="V1281" s="4" t="str">
        <f>IFERROR(__xludf.DUMMYFUNCTION("""COMPUTED_VALUE"""),"")</f>
        <v/>
      </c>
      <c r="W1281" s="4" t="str">
        <f>IFERROR(__xludf.DUMMYFUNCTION("""COMPUTED_VALUE"""),"")</f>
        <v/>
      </c>
      <c r="X1281" s="4" t="str">
        <f>IFERROR(__xludf.DUMMYFUNCTION("""COMPUTED_VALUE"""),"")</f>
        <v/>
      </c>
      <c r="Y1281" s="4" t="str">
        <f>IFERROR(__xludf.DUMMYFUNCTION("""COMPUTED_VALUE"""),"")</f>
        <v/>
      </c>
    </row>
    <row r="1282">
      <c r="A1282" s="4" t="str">
        <f>IFERROR(__xludf.DUMMYFUNCTION("""COMPUTED_VALUE"""),"1781 - Channel")</f>
        <v>1781 - Channel</v>
      </c>
      <c r="B1282" s="4" t="str">
        <f>IFERROR(__xludf.DUMMYFUNCTION("""COMPUTED_VALUE"""),"")</f>
        <v/>
      </c>
      <c r="C1282" s="4" t="str">
        <f>IFERROR(__xludf.DUMMYFUNCTION("""COMPUTED_VALUE"""),"")</f>
        <v/>
      </c>
      <c r="D1282" s="4" t="str">
        <f>IFERROR(__xludf.DUMMYFUNCTION("""COMPUTED_VALUE"""),"")</f>
        <v/>
      </c>
      <c r="E1282" s="4" t="str">
        <f>IFERROR(__xludf.DUMMYFUNCTION("""COMPUTED_VALUE"""),"")</f>
        <v/>
      </c>
      <c r="F1282" s="4" t="str">
        <f>IFERROR(__xludf.DUMMYFUNCTION("""COMPUTED_VALUE"""),"")</f>
        <v/>
      </c>
      <c r="G1282" s="4" t="str">
        <f>IFERROR(__xludf.DUMMYFUNCTION("""COMPUTED_VALUE"""),"")</f>
        <v/>
      </c>
      <c r="H1282" s="4" t="str">
        <f>IFERROR(__xludf.DUMMYFUNCTION("""COMPUTED_VALUE"""),"")</f>
        <v/>
      </c>
      <c r="I1282" s="4" t="str">
        <f>IFERROR(__xludf.DUMMYFUNCTION("""COMPUTED_VALUE"""),"")</f>
        <v/>
      </c>
      <c r="J1282" s="4" t="str">
        <f>IFERROR(__xludf.DUMMYFUNCTION("""COMPUTED_VALUE"""),"")</f>
        <v/>
      </c>
      <c r="K1282" s="4" t="str">
        <f>IFERROR(__xludf.DUMMYFUNCTION("""COMPUTED_VALUE"""),"")</f>
        <v/>
      </c>
      <c r="L1282" s="4" t="str">
        <f>IFERROR(__xludf.DUMMYFUNCTION("""COMPUTED_VALUE"""),"")</f>
        <v/>
      </c>
      <c r="M1282" s="4" t="str">
        <f>IFERROR(__xludf.DUMMYFUNCTION("""COMPUTED_VALUE"""),"")</f>
        <v/>
      </c>
      <c r="N1282" s="4" t="str">
        <f>IFERROR(__xludf.DUMMYFUNCTION("""COMPUTED_VALUE"""),"")</f>
        <v/>
      </c>
      <c r="O1282" s="4" t="str">
        <f>IFERROR(__xludf.DUMMYFUNCTION("""COMPUTED_VALUE"""),"")</f>
        <v/>
      </c>
      <c r="P1282" s="4" t="str">
        <f>IFERROR(__xludf.DUMMYFUNCTION("""COMPUTED_VALUE"""),"")</f>
        <v/>
      </c>
      <c r="Q1282" s="4" t="str">
        <f>IFERROR(__xludf.DUMMYFUNCTION("""COMPUTED_VALUE"""),"")</f>
        <v/>
      </c>
      <c r="R1282" s="4" t="str">
        <f>IFERROR(__xludf.DUMMYFUNCTION("""COMPUTED_VALUE"""),"")</f>
        <v/>
      </c>
      <c r="S1282" s="4" t="str">
        <f>IFERROR(__xludf.DUMMYFUNCTION("""COMPUTED_VALUE"""),"")</f>
        <v/>
      </c>
      <c r="T1282" s="4" t="str">
        <f>IFERROR(__xludf.DUMMYFUNCTION("""COMPUTED_VALUE"""),"")</f>
        <v/>
      </c>
      <c r="U1282" s="4" t="str">
        <f>IFERROR(__xludf.DUMMYFUNCTION("""COMPUTED_VALUE"""),"")</f>
        <v/>
      </c>
      <c r="V1282" s="4" t="str">
        <f>IFERROR(__xludf.DUMMYFUNCTION("""COMPUTED_VALUE"""),"")</f>
        <v/>
      </c>
      <c r="W1282" s="4" t="str">
        <f>IFERROR(__xludf.DUMMYFUNCTION("""COMPUTED_VALUE"""),"")</f>
        <v/>
      </c>
      <c r="X1282" s="4" t="str">
        <f>IFERROR(__xludf.DUMMYFUNCTION("""COMPUTED_VALUE"""),"")</f>
        <v/>
      </c>
      <c r="Y1282" s="4" t="str">
        <f>IFERROR(__xludf.DUMMYFUNCTION("""COMPUTED_VALUE"""),"")</f>
        <v/>
      </c>
    </row>
    <row r="1283">
      <c r="A1283" s="4" t="str">
        <f>IFERROR(__xludf.DUMMYFUNCTION("""COMPUTED_VALUE"""),"1782 - Channel")</f>
        <v>1782 - Channel</v>
      </c>
      <c r="B1283" s="4" t="str">
        <f>IFERROR(__xludf.DUMMYFUNCTION("""COMPUTED_VALUE"""),"")</f>
        <v/>
      </c>
      <c r="C1283" s="4" t="str">
        <f>IFERROR(__xludf.DUMMYFUNCTION("""COMPUTED_VALUE"""),"")</f>
        <v/>
      </c>
      <c r="D1283" s="4" t="str">
        <f>IFERROR(__xludf.DUMMYFUNCTION("""COMPUTED_VALUE"""),"")</f>
        <v/>
      </c>
      <c r="E1283" s="4" t="str">
        <f>IFERROR(__xludf.DUMMYFUNCTION("""COMPUTED_VALUE"""),"")</f>
        <v/>
      </c>
      <c r="F1283" s="4" t="str">
        <f>IFERROR(__xludf.DUMMYFUNCTION("""COMPUTED_VALUE"""),"")</f>
        <v/>
      </c>
      <c r="G1283" s="4" t="str">
        <f>IFERROR(__xludf.DUMMYFUNCTION("""COMPUTED_VALUE"""),"")</f>
        <v/>
      </c>
      <c r="H1283" s="4" t="str">
        <f>IFERROR(__xludf.DUMMYFUNCTION("""COMPUTED_VALUE"""),"")</f>
        <v/>
      </c>
      <c r="I1283" s="4" t="str">
        <f>IFERROR(__xludf.DUMMYFUNCTION("""COMPUTED_VALUE"""),"")</f>
        <v/>
      </c>
      <c r="J1283" s="4" t="str">
        <f>IFERROR(__xludf.DUMMYFUNCTION("""COMPUTED_VALUE"""),"")</f>
        <v/>
      </c>
      <c r="K1283" s="4" t="str">
        <f>IFERROR(__xludf.DUMMYFUNCTION("""COMPUTED_VALUE"""),"")</f>
        <v/>
      </c>
      <c r="L1283" s="4" t="str">
        <f>IFERROR(__xludf.DUMMYFUNCTION("""COMPUTED_VALUE"""),"")</f>
        <v/>
      </c>
      <c r="M1283" s="4" t="str">
        <f>IFERROR(__xludf.DUMMYFUNCTION("""COMPUTED_VALUE"""),"")</f>
        <v/>
      </c>
      <c r="N1283" s="4" t="str">
        <f>IFERROR(__xludf.DUMMYFUNCTION("""COMPUTED_VALUE"""),"")</f>
        <v/>
      </c>
      <c r="O1283" s="4" t="str">
        <f>IFERROR(__xludf.DUMMYFUNCTION("""COMPUTED_VALUE"""),"")</f>
        <v/>
      </c>
      <c r="P1283" s="4" t="str">
        <f>IFERROR(__xludf.DUMMYFUNCTION("""COMPUTED_VALUE"""),"")</f>
        <v/>
      </c>
      <c r="Q1283" s="4" t="str">
        <f>IFERROR(__xludf.DUMMYFUNCTION("""COMPUTED_VALUE"""),"")</f>
        <v/>
      </c>
      <c r="R1283" s="4" t="str">
        <f>IFERROR(__xludf.DUMMYFUNCTION("""COMPUTED_VALUE"""),"")</f>
        <v/>
      </c>
      <c r="S1283" s="4" t="str">
        <f>IFERROR(__xludf.DUMMYFUNCTION("""COMPUTED_VALUE"""),"")</f>
        <v/>
      </c>
      <c r="T1283" s="4" t="str">
        <f>IFERROR(__xludf.DUMMYFUNCTION("""COMPUTED_VALUE"""),"")</f>
        <v/>
      </c>
      <c r="U1283" s="4" t="str">
        <f>IFERROR(__xludf.DUMMYFUNCTION("""COMPUTED_VALUE"""),"")</f>
        <v/>
      </c>
      <c r="V1283" s="4" t="str">
        <f>IFERROR(__xludf.DUMMYFUNCTION("""COMPUTED_VALUE"""),"")</f>
        <v/>
      </c>
      <c r="W1283" s="4" t="str">
        <f>IFERROR(__xludf.DUMMYFUNCTION("""COMPUTED_VALUE"""),"")</f>
        <v/>
      </c>
      <c r="X1283" s="4" t="str">
        <f>IFERROR(__xludf.DUMMYFUNCTION("""COMPUTED_VALUE"""),"")</f>
        <v/>
      </c>
      <c r="Y1283" s="4" t="str">
        <f>IFERROR(__xludf.DUMMYFUNCTION("""COMPUTED_VALUE"""),"")</f>
        <v/>
      </c>
    </row>
    <row r="1284">
      <c r="A1284" s="4" t="str">
        <f>IFERROR(__xludf.DUMMYFUNCTION("""COMPUTED_VALUE"""),"1783 - Channel")</f>
        <v>1783 - Channel</v>
      </c>
      <c r="B1284" s="4" t="str">
        <f>IFERROR(__xludf.DUMMYFUNCTION("""COMPUTED_VALUE"""),"")</f>
        <v/>
      </c>
      <c r="C1284" s="4" t="str">
        <f>IFERROR(__xludf.DUMMYFUNCTION("""COMPUTED_VALUE"""),"")</f>
        <v/>
      </c>
      <c r="D1284" s="4" t="str">
        <f>IFERROR(__xludf.DUMMYFUNCTION("""COMPUTED_VALUE"""),"")</f>
        <v/>
      </c>
      <c r="E1284" s="4" t="str">
        <f>IFERROR(__xludf.DUMMYFUNCTION("""COMPUTED_VALUE"""),"")</f>
        <v/>
      </c>
      <c r="F1284" s="4" t="str">
        <f>IFERROR(__xludf.DUMMYFUNCTION("""COMPUTED_VALUE"""),"")</f>
        <v/>
      </c>
      <c r="G1284" s="4" t="str">
        <f>IFERROR(__xludf.DUMMYFUNCTION("""COMPUTED_VALUE"""),"")</f>
        <v/>
      </c>
      <c r="H1284" s="4" t="str">
        <f>IFERROR(__xludf.DUMMYFUNCTION("""COMPUTED_VALUE"""),"")</f>
        <v/>
      </c>
      <c r="I1284" s="4" t="str">
        <f>IFERROR(__xludf.DUMMYFUNCTION("""COMPUTED_VALUE"""),"")</f>
        <v/>
      </c>
      <c r="J1284" s="4" t="str">
        <f>IFERROR(__xludf.DUMMYFUNCTION("""COMPUTED_VALUE"""),"")</f>
        <v/>
      </c>
      <c r="K1284" s="4" t="str">
        <f>IFERROR(__xludf.DUMMYFUNCTION("""COMPUTED_VALUE"""),"")</f>
        <v/>
      </c>
      <c r="L1284" s="4" t="str">
        <f>IFERROR(__xludf.DUMMYFUNCTION("""COMPUTED_VALUE"""),"")</f>
        <v/>
      </c>
      <c r="M1284" s="4" t="str">
        <f>IFERROR(__xludf.DUMMYFUNCTION("""COMPUTED_VALUE"""),"")</f>
        <v/>
      </c>
      <c r="N1284" s="4" t="str">
        <f>IFERROR(__xludf.DUMMYFUNCTION("""COMPUTED_VALUE"""),"")</f>
        <v/>
      </c>
      <c r="O1284" s="4" t="str">
        <f>IFERROR(__xludf.DUMMYFUNCTION("""COMPUTED_VALUE"""),"")</f>
        <v/>
      </c>
      <c r="P1284" s="4" t="str">
        <f>IFERROR(__xludf.DUMMYFUNCTION("""COMPUTED_VALUE"""),"")</f>
        <v/>
      </c>
      <c r="Q1284" s="4" t="str">
        <f>IFERROR(__xludf.DUMMYFUNCTION("""COMPUTED_VALUE"""),"")</f>
        <v/>
      </c>
      <c r="R1284" s="4" t="str">
        <f>IFERROR(__xludf.DUMMYFUNCTION("""COMPUTED_VALUE"""),"")</f>
        <v/>
      </c>
      <c r="S1284" s="4" t="str">
        <f>IFERROR(__xludf.DUMMYFUNCTION("""COMPUTED_VALUE"""),"")</f>
        <v/>
      </c>
      <c r="T1284" s="4" t="str">
        <f>IFERROR(__xludf.DUMMYFUNCTION("""COMPUTED_VALUE"""),"")</f>
        <v/>
      </c>
      <c r="U1284" s="4" t="str">
        <f>IFERROR(__xludf.DUMMYFUNCTION("""COMPUTED_VALUE"""),"")</f>
        <v/>
      </c>
      <c r="V1284" s="4" t="str">
        <f>IFERROR(__xludf.DUMMYFUNCTION("""COMPUTED_VALUE"""),"")</f>
        <v/>
      </c>
      <c r="W1284" s="4" t="str">
        <f>IFERROR(__xludf.DUMMYFUNCTION("""COMPUTED_VALUE"""),"")</f>
        <v/>
      </c>
      <c r="X1284" s="4" t="str">
        <f>IFERROR(__xludf.DUMMYFUNCTION("""COMPUTED_VALUE"""),"")</f>
        <v/>
      </c>
      <c r="Y1284" s="4" t="str">
        <f>IFERROR(__xludf.DUMMYFUNCTION("""COMPUTED_VALUE"""),"")</f>
        <v/>
      </c>
    </row>
    <row r="1285">
      <c r="A1285" s="4" t="str">
        <f>IFERROR(__xludf.DUMMYFUNCTION("""COMPUTED_VALUE"""),"1784 - Channel")</f>
        <v>1784 - Channel</v>
      </c>
      <c r="B1285" s="4" t="str">
        <f>IFERROR(__xludf.DUMMYFUNCTION("""COMPUTED_VALUE"""),"")</f>
        <v/>
      </c>
      <c r="C1285" s="4" t="str">
        <f>IFERROR(__xludf.DUMMYFUNCTION("""COMPUTED_VALUE"""),"")</f>
        <v/>
      </c>
      <c r="D1285" s="4" t="str">
        <f>IFERROR(__xludf.DUMMYFUNCTION("""COMPUTED_VALUE"""),"")</f>
        <v/>
      </c>
      <c r="E1285" s="4" t="str">
        <f>IFERROR(__xludf.DUMMYFUNCTION("""COMPUTED_VALUE"""),"")</f>
        <v/>
      </c>
      <c r="F1285" s="4" t="str">
        <f>IFERROR(__xludf.DUMMYFUNCTION("""COMPUTED_VALUE"""),"")</f>
        <v/>
      </c>
      <c r="G1285" s="4" t="str">
        <f>IFERROR(__xludf.DUMMYFUNCTION("""COMPUTED_VALUE"""),"")</f>
        <v/>
      </c>
      <c r="H1285" s="4" t="str">
        <f>IFERROR(__xludf.DUMMYFUNCTION("""COMPUTED_VALUE"""),"")</f>
        <v/>
      </c>
      <c r="I1285" s="4" t="str">
        <f>IFERROR(__xludf.DUMMYFUNCTION("""COMPUTED_VALUE"""),"")</f>
        <v/>
      </c>
      <c r="J1285" s="4" t="str">
        <f>IFERROR(__xludf.DUMMYFUNCTION("""COMPUTED_VALUE"""),"")</f>
        <v/>
      </c>
      <c r="K1285" s="4" t="str">
        <f>IFERROR(__xludf.DUMMYFUNCTION("""COMPUTED_VALUE"""),"")</f>
        <v/>
      </c>
      <c r="L1285" s="4" t="str">
        <f>IFERROR(__xludf.DUMMYFUNCTION("""COMPUTED_VALUE"""),"")</f>
        <v/>
      </c>
      <c r="M1285" s="4" t="str">
        <f>IFERROR(__xludf.DUMMYFUNCTION("""COMPUTED_VALUE"""),"")</f>
        <v/>
      </c>
      <c r="N1285" s="4" t="str">
        <f>IFERROR(__xludf.DUMMYFUNCTION("""COMPUTED_VALUE"""),"")</f>
        <v/>
      </c>
      <c r="O1285" s="4" t="str">
        <f>IFERROR(__xludf.DUMMYFUNCTION("""COMPUTED_VALUE"""),"")</f>
        <v/>
      </c>
      <c r="P1285" s="4" t="str">
        <f>IFERROR(__xludf.DUMMYFUNCTION("""COMPUTED_VALUE"""),"")</f>
        <v/>
      </c>
      <c r="Q1285" s="4" t="str">
        <f>IFERROR(__xludf.DUMMYFUNCTION("""COMPUTED_VALUE"""),"")</f>
        <v/>
      </c>
      <c r="R1285" s="4" t="str">
        <f>IFERROR(__xludf.DUMMYFUNCTION("""COMPUTED_VALUE"""),"")</f>
        <v/>
      </c>
      <c r="S1285" s="4" t="str">
        <f>IFERROR(__xludf.DUMMYFUNCTION("""COMPUTED_VALUE"""),"")</f>
        <v/>
      </c>
      <c r="T1285" s="4" t="str">
        <f>IFERROR(__xludf.DUMMYFUNCTION("""COMPUTED_VALUE"""),"")</f>
        <v/>
      </c>
      <c r="U1285" s="4" t="str">
        <f>IFERROR(__xludf.DUMMYFUNCTION("""COMPUTED_VALUE"""),"")</f>
        <v/>
      </c>
      <c r="V1285" s="4" t="str">
        <f>IFERROR(__xludf.DUMMYFUNCTION("""COMPUTED_VALUE"""),"")</f>
        <v/>
      </c>
      <c r="W1285" s="4" t="str">
        <f>IFERROR(__xludf.DUMMYFUNCTION("""COMPUTED_VALUE"""),"")</f>
        <v/>
      </c>
      <c r="X1285" s="4" t="str">
        <f>IFERROR(__xludf.DUMMYFUNCTION("""COMPUTED_VALUE"""),"")</f>
        <v/>
      </c>
      <c r="Y1285" s="4" t="str">
        <f>IFERROR(__xludf.DUMMYFUNCTION("""COMPUTED_VALUE"""),"")</f>
        <v/>
      </c>
    </row>
    <row r="1286">
      <c r="A1286" s="4" t="str">
        <f>IFERROR(__xludf.DUMMYFUNCTION("""COMPUTED_VALUE"""),"1785 - Channel")</f>
        <v>1785 - Channel</v>
      </c>
      <c r="B1286" s="4" t="str">
        <f>IFERROR(__xludf.DUMMYFUNCTION("""COMPUTED_VALUE"""),"")</f>
        <v/>
      </c>
      <c r="C1286" s="4" t="str">
        <f>IFERROR(__xludf.DUMMYFUNCTION("""COMPUTED_VALUE"""),"")</f>
        <v/>
      </c>
      <c r="D1286" s="4" t="str">
        <f>IFERROR(__xludf.DUMMYFUNCTION("""COMPUTED_VALUE"""),"")</f>
        <v/>
      </c>
      <c r="E1286" s="4" t="str">
        <f>IFERROR(__xludf.DUMMYFUNCTION("""COMPUTED_VALUE"""),"")</f>
        <v/>
      </c>
      <c r="F1286" s="4" t="str">
        <f>IFERROR(__xludf.DUMMYFUNCTION("""COMPUTED_VALUE"""),"")</f>
        <v/>
      </c>
      <c r="G1286" s="4" t="str">
        <f>IFERROR(__xludf.DUMMYFUNCTION("""COMPUTED_VALUE"""),"")</f>
        <v/>
      </c>
      <c r="H1286" s="4" t="str">
        <f>IFERROR(__xludf.DUMMYFUNCTION("""COMPUTED_VALUE"""),"")</f>
        <v/>
      </c>
      <c r="I1286" s="4" t="str">
        <f>IFERROR(__xludf.DUMMYFUNCTION("""COMPUTED_VALUE"""),"")</f>
        <v/>
      </c>
      <c r="J1286" s="4" t="str">
        <f>IFERROR(__xludf.DUMMYFUNCTION("""COMPUTED_VALUE"""),"")</f>
        <v/>
      </c>
      <c r="K1286" s="4" t="str">
        <f>IFERROR(__xludf.DUMMYFUNCTION("""COMPUTED_VALUE"""),"")</f>
        <v/>
      </c>
      <c r="L1286" s="4" t="str">
        <f>IFERROR(__xludf.DUMMYFUNCTION("""COMPUTED_VALUE"""),"")</f>
        <v/>
      </c>
      <c r="M1286" s="4" t="str">
        <f>IFERROR(__xludf.DUMMYFUNCTION("""COMPUTED_VALUE"""),"")</f>
        <v/>
      </c>
      <c r="N1286" s="4" t="str">
        <f>IFERROR(__xludf.DUMMYFUNCTION("""COMPUTED_VALUE"""),"")</f>
        <v/>
      </c>
      <c r="O1286" s="4" t="str">
        <f>IFERROR(__xludf.DUMMYFUNCTION("""COMPUTED_VALUE"""),"")</f>
        <v/>
      </c>
      <c r="P1286" s="4" t="str">
        <f>IFERROR(__xludf.DUMMYFUNCTION("""COMPUTED_VALUE"""),"")</f>
        <v/>
      </c>
      <c r="Q1286" s="4" t="str">
        <f>IFERROR(__xludf.DUMMYFUNCTION("""COMPUTED_VALUE"""),"")</f>
        <v/>
      </c>
      <c r="R1286" s="4" t="str">
        <f>IFERROR(__xludf.DUMMYFUNCTION("""COMPUTED_VALUE"""),"")</f>
        <v/>
      </c>
      <c r="S1286" s="4" t="str">
        <f>IFERROR(__xludf.DUMMYFUNCTION("""COMPUTED_VALUE"""),"")</f>
        <v/>
      </c>
      <c r="T1286" s="4" t="str">
        <f>IFERROR(__xludf.DUMMYFUNCTION("""COMPUTED_VALUE"""),"")</f>
        <v/>
      </c>
      <c r="U1286" s="4" t="str">
        <f>IFERROR(__xludf.DUMMYFUNCTION("""COMPUTED_VALUE"""),"")</f>
        <v/>
      </c>
      <c r="V1286" s="4" t="str">
        <f>IFERROR(__xludf.DUMMYFUNCTION("""COMPUTED_VALUE"""),"")</f>
        <v/>
      </c>
      <c r="W1286" s="4" t="str">
        <f>IFERROR(__xludf.DUMMYFUNCTION("""COMPUTED_VALUE"""),"")</f>
        <v/>
      </c>
      <c r="X1286" s="4" t="str">
        <f>IFERROR(__xludf.DUMMYFUNCTION("""COMPUTED_VALUE"""),"")</f>
        <v/>
      </c>
      <c r="Y1286" s="4" t="str">
        <f>IFERROR(__xludf.DUMMYFUNCTION("""COMPUTED_VALUE"""),"")</f>
        <v/>
      </c>
    </row>
    <row r="1287">
      <c r="A1287" s="4" t="str">
        <f>IFERROR(__xludf.DUMMYFUNCTION("""COMPUTED_VALUE"""),"1786 - Channel")</f>
        <v>1786 - Channel</v>
      </c>
      <c r="B1287" s="4" t="str">
        <f>IFERROR(__xludf.DUMMYFUNCTION("""COMPUTED_VALUE"""),"")</f>
        <v/>
      </c>
      <c r="C1287" s="4" t="str">
        <f>IFERROR(__xludf.DUMMYFUNCTION("""COMPUTED_VALUE"""),"")</f>
        <v/>
      </c>
      <c r="D1287" s="4" t="str">
        <f>IFERROR(__xludf.DUMMYFUNCTION("""COMPUTED_VALUE"""),"")</f>
        <v/>
      </c>
      <c r="E1287" s="4" t="str">
        <f>IFERROR(__xludf.DUMMYFUNCTION("""COMPUTED_VALUE"""),"")</f>
        <v/>
      </c>
      <c r="F1287" s="4" t="str">
        <f>IFERROR(__xludf.DUMMYFUNCTION("""COMPUTED_VALUE"""),"")</f>
        <v/>
      </c>
      <c r="G1287" s="4" t="str">
        <f>IFERROR(__xludf.DUMMYFUNCTION("""COMPUTED_VALUE"""),"")</f>
        <v/>
      </c>
      <c r="H1287" s="4" t="str">
        <f>IFERROR(__xludf.DUMMYFUNCTION("""COMPUTED_VALUE"""),"")</f>
        <v/>
      </c>
      <c r="I1287" s="4" t="str">
        <f>IFERROR(__xludf.DUMMYFUNCTION("""COMPUTED_VALUE"""),"")</f>
        <v/>
      </c>
      <c r="J1287" s="4" t="str">
        <f>IFERROR(__xludf.DUMMYFUNCTION("""COMPUTED_VALUE"""),"")</f>
        <v/>
      </c>
      <c r="K1287" s="4" t="str">
        <f>IFERROR(__xludf.DUMMYFUNCTION("""COMPUTED_VALUE"""),"")</f>
        <v/>
      </c>
      <c r="L1287" s="4" t="str">
        <f>IFERROR(__xludf.DUMMYFUNCTION("""COMPUTED_VALUE"""),"")</f>
        <v/>
      </c>
      <c r="M1287" s="4" t="str">
        <f>IFERROR(__xludf.DUMMYFUNCTION("""COMPUTED_VALUE"""),"")</f>
        <v/>
      </c>
      <c r="N1287" s="4" t="str">
        <f>IFERROR(__xludf.DUMMYFUNCTION("""COMPUTED_VALUE"""),"")</f>
        <v/>
      </c>
      <c r="O1287" s="4" t="str">
        <f>IFERROR(__xludf.DUMMYFUNCTION("""COMPUTED_VALUE"""),"")</f>
        <v/>
      </c>
      <c r="P1287" s="4" t="str">
        <f>IFERROR(__xludf.DUMMYFUNCTION("""COMPUTED_VALUE"""),"")</f>
        <v/>
      </c>
      <c r="Q1287" s="4" t="str">
        <f>IFERROR(__xludf.DUMMYFUNCTION("""COMPUTED_VALUE"""),"")</f>
        <v/>
      </c>
      <c r="R1287" s="4" t="str">
        <f>IFERROR(__xludf.DUMMYFUNCTION("""COMPUTED_VALUE"""),"")</f>
        <v/>
      </c>
      <c r="S1287" s="4" t="str">
        <f>IFERROR(__xludf.DUMMYFUNCTION("""COMPUTED_VALUE"""),"")</f>
        <v/>
      </c>
      <c r="T1287" s="4" t="str">
        <f>IFERROR(__xludf.DUMMYFUNCTION("""COMPUTED_VALUE"""),"")</f>
        <v/>
      </c>
      <c r="U1287" s="4" t="str">
        <f>IFERROR(__xludf.DUMMYFUNCTION("""COMPUTED_VALUE"""),"")</f>
        <v/>
      </c>
      <c r="V1287" s="4" t="str">
        <f>IFERROR(__xludf.DUMMYFUNCTION("""COMPUTED_VALUE"""),"")</f>
        <v/>
      </c>
      <c r="W1287" s="4" t="str">
        <f>IFERROR(__xludf.DUMMYFUNCTION("""COMPUTED_VALUE"""),"")</f>
        <v/>
      </c>
      <c r="X1287" s="4" t="str">
        <f>IFERROR(__xludf.DUMMYFUNCTION("""COMPUTED_VALUE"""),"")</f>
        <v/>
      </c>
      <c r="Y1287" s="4" t="str">
        <f>IFERROR(__xludf.DUMMYFUNCTION("""COMPUTED_VALUE"""),"")</f>
        <v/>
      </c>
    </row>
    <row r="1288">
      <c r="A1288" s="4" t="str">
        <f>IFERROR(__xludf.DUMMYFUNCTION("""COMPUTED_VALUE"""),"1787 - Channel")</f>
        <v>1787 - Channel</v>
      </c>
      <c r="B1288" s="4" t="str">
        <f>IFERROR(__xludf.DUMMYFUNCTION("""COMPUTED_VALUE"""),"")</f>
        <v/>
      </c>
      <c r="C1288" s="4" t="str">
        <f>IFERROR(__xludf.DUMMYFUNCTION("""COMPUTED_VALUE"""),"")</f>
        <v/>
      </c>
      <c r="D1288" s="4" t="str">
        <f>IFERROR(__xludf.DUMMYFUNCTION("""COMPUTED_VALUE"""),"")</f>
        <v/>
      </c>
      <c r="E1288" s="4" t="str">
        <f>IFERROR(__xludf.DUMMYFUNCTION("""COMPUTED_VALUE"""),"")</f>
        <v/>
      </c>
      <c r="F1288" s="4" t="str">
        <f>IFERROR(__xludf.DUMMYFUNCTION("""COMPUTED_VALUE"""),"")</f>
        <v/>
      </c>
      <c r="G1288" s="4" t="str">
        <f>IFERROR(__xludf.DUMMYFUNCTION("""COMPUTED_VALUE"""),"")</f>
        <v/>
      </c>
      <c r="H1288" s="4" t="str">
        <f>IFERROR(__xludf.DUMMYFUNCTION("""COMPUTED_VALUE"""),"")</f>
        <v/>
      </c>
      <c r="I1288" s="4" t="str">
        <f>IFERROR(__xludf.DUMMYFUNCTION("""COMPUTED_VALUE"""),"")</f>
        <v/>
      </c>
      <c r="J1288" s="4" t="str">
        <f>IFERROR(__xludf.DUMMYFUNCTION("""COMPUTED_VALUE"""),"")</f>
        <v/>
      </c>
      <c r="K1288" s="4" t="str">
        <f>IFERROR(__xludf.DUMMYFUNCTION("""COMPUTED_VALUE"""),"")</f>
        <v/>
      </c>
      <c r="L1288" s="4" t="str">
        <f>IFERROR(__xludf.DUMMYFUNCTION("""COMPUTED_VALUE"""),"")</f>
        <v/>
      </c>
      <c r="M1288" s="4" t="str">
        <f>IFERROR(__xludf.DUMMYFUNCTION("""COMPUTED_VALUE"""),"")</f>
        <v/>
      </c>
      <c r="N1288" s="4" t="str">
        <f>IFERROR(__xludf.DUMMYFUNCTION("""COMPUTED_VALUE"""),"")</f>
        <v/>
      </c>
      <c r="O1288" s="4" t="str">
        <f>IFERROR(__xludf.DUMMYFUNCTION("""COMPUTED_VALUE"""),"")</f>
        <v/>
      </c>
      <c r="P1288" s="4" t="str">
        <f>IFERROR(__xludf.DUMMYFUNCTION("""COMPUTED_VALUE"""),"")</f>
        <v/>
      </c>
      <c r="Q1288" s="4" t="str">
        <f>IFERROR(__xludf.DUMMYFUNCTION("""COMPUTED_VALUE"""),"")</f>
        <v/>
      </c>
      <c r="R1288" s="4" t="str">
        <f>IFERROR(__xludf.DUMMYFUNCTION("""COMPUTED_VALUE"""),"")</f>
        <v/>
      </c>
      <c r="S1288" s="4" t="str">
        <f>IFERROR(__xludf.DUMMYFUNCTION("""COMPUTED_VALUE"""),"")</f>
        <v/>
      </c>
      <c r="T1288" s="4" t="str">
        <f>IFERROR(__xludf.DUMMYFUNCTION("""COMPUTED_VALUE"""),"")</f>
        <v/>
      </c>
      <c r="U1288" s="4" t="str">
        <f>IFERROR(__xludf.DUMMYFUNCTION("""COMPUTED_VALUE"""),"")</f>
        <v/>
      </c>
      <c r="V1288" s="4" t="str">
        <f>IFERROR(__xludf.DUMMYFUNCTION("""COMPUTED_VALUE"""),"")</f>
        <v/>
      </c>
      <c r="W1288" s="4" t="str">
        <f>IFERROR(__xludf.DUMMYFUNCTION("""COMPUTED_VALUE"""),"")</f>
        <v/>
      </c>
      <c r="X1288" s="4" t="str">
        <f>IFERROR(__xludf.DUMMYFUNCTION("""COMPUTED_VALUE"""),"")</f>
        <v/>
      </c>
      <c r="Y1288" s="4" t="str">
        <f>IFERROR(__xludf.DUMMYFUNCTION("""COMPUTED_VALUE"""),"")</f>
        <v/>
      </c>
    </row>
    <row r="1289">
      <c r="A1289" s="4" t="str">
        <f>IFERROR(__xludf.DUMMYFUNCTION("""COMPUTED_VALUE"""),"1788 - Channel")</f>
        <v>1788 - Channel</v>
      </c>
      <c r="B1289" s="4" t="str">
        <f>IFERROR(__xludf.DUMMYFUNCTION("""COMPUTED_VALUE"""),"")</f>
        <v/>
      </c>
      <c r="C1289" s="4" t="str">
        <f>IFERROR(__xludf.DUMMYFUNCTION("""COMPUTED_VALUE"""),"")</f>
        <v/>
      </c>
      <c r="D1289" s="4" t="str">
        <f>IFERROR(__xludf.DUMMYFUNCTION("""COMPUTED_VALUE"""),"")</f>
        <v/>
      </c>
      <c r="E1289" s="4" t="str">
        <f>IFERROR(__xludf.DUMMYFUNCTION("""COMPUTED_VALUE"""),"")</f>
        <v/>
      </c>
      <c r="F1289" s="4" t="str">
        <f>IFERROR(__xludf.DUMMYFUNCTION("""COMPUTED_VALUE"""),"")</f>
        <v/>
      </c>
      <c r="G1289" s="4" t="str">
        <f>IFERROR(__xludf.DUMMYFUNCTION("""COMPUTED_VALUE"""),"")</f>
        <v/>
      </c>
      <c r="H1289" s="4" t="str">
        <f>IFERROR(__xludf.DUMMYFUNCTION("""COMPUTED_VALUE"""),"")</f>
        <v/>
      </c>
      <c r="I1289" s="4" t="str">
        <f>IFERROR(__xludf.DUMMYFUNCTION("""COMPUTED_VALUE"""),"")</f>
        <v/>
      </c>
      <c r="J1289" s="4" t="str">
        <f>IFERROR(__xludf.DUMMYFUNCTION("""COMPUTED_VALUE"""),"")</f>
        <v/>
      </c>
      <c r="K1289" s="4" t="str">
        <f>IFERROR(__xludf.DUMMYFUNCTION("""COMPUTED_VALUE"""),"")</f>
        <v/>
      </c>
      <c r="L1289" s="4" t="str">
        <f>IFERROR(__xludf.DUMMYFUNCTION("""COMPUTED_VALUE"""),"")</f>
        <v/>
      </c>
      <c r="M1289" s="4" t="str">
        <f>IFERROR(__xludf.DUMMYFUNCTION("""COMPUTED_VALUE"""),"")</f>
        <v/>
      </c>
      <c r="N1289" s="4" t="str">
        <f>IFERROR(__xludf.DUMMYFUNCTION("""COMPUTED_VALUE"""),"")</f>
        <v/>
      </c>
      <c r="O1289" s="4" t="str">
        <f>IFERROR(__xludf.DUMMYFUNCTION("""COMPUTED_VALUE"""),"")</f>
        <v/>
      </c>
      <c r="P1289" s="4" t="str">
        <f>IFERROR(__xludf.DUMMYFUNCTION("""COMPUTED_VALUE"""),"")</f>
        <v/>
      </c>
      <c r="Q1289" s="4" t="str">
        <f>IFERROR(__xludf.DUMMYFUNCTION("""COMPUTED_VALUE"""),"")</f>
        <v/>
      </c>
      <c r="R1289" s="4" t="str">
        <f>IFERROR(__xludf.DUMMYFUNCTION("""COMPUTED_VALUE"""),"")</f>
        <v/>
      </c>
      <c r="S1289" s="4" t="str">
        <f>IFERROR(__xludf.DUMMYFUNCTION("""COMPUTED_VALUE"""),"")</f>
        <v/>
      </c>
      <c r="T1289" s="4" t="str">
        <f>IFERROR(__xludf.DUMMYFUNCTION("""COMPUTED_VALUE"""),"")</f>
        <v/>
      </c>
      <c r="U1289" s="4" t="str">
        <f>IFERROR(__xludf.DUMMYFUNCTION("""COMPUTED_VALUE"""),"")</f>
        <v/>
      </c>
      <c r="V1289" s="4" t="str">
        <f>IFERROR(__xludf.DUMMYFUNCTION("""COMPUTED_VALUE"""),"")</f>
        <v/>
      </c>
      <c r="W1289" s="4" t="str">
        <f>IFERROR(__xludf.DUMMYFUNCTION("""COMPUTED_VALUE"""),"")</f>
        <v/>
      </c>
      <c r="X1289" s="4" t="str">
        <f>IFERROR(__xludf.DUMMYFUNCTION("""COMPUTED_VALUE"""),"")</f>
        <v/>
      </c>
      <c r="Y1289" s="4" t="str">
        <f>IFERROR(__xludf.DUMMYFUNCTION("""COMPUTED_VALUE"""),"")</f>
        <v/>
      </c>
    </row>
    <row r="1290">
      <c r="A1290" s="4" t="str">
        <f>IFERROR(__xludf.DUMMYFUNCTION("""COMPUTED_VALUE"""),"1789 - Channel")</f>
        <v>1789 - Channel</v>
      </c>
      <c r="B1290" s="4" t="str">
        <f>IFERROR(__xludf.DUMMYFUNCTION("""COMPUTED_VALUE"""),"")</f>
        <v/>
      </c>
      <c r="C1290" s="4" t="str">
        <f>IFERROR(__xludf.DUMMYFUNCTION("""COMPUTED_VALUE"""),"")</f>
        <v/>
      </c>
      <c r="D1290" s="4" t="str">
        <f>IFERROR(__xludf.DUMMYFUNCTION("""COMPUTED_VALUE"""),"")</f>
        <v/>
      </c>
      <c r="E1290" s="4" t="str">
        <f>IFERROR(__xludf.DUMMYFUNCTION("""COMPUTED_VALUE"""),"")</f>
        <v/>
      </c>
      <c r="F1290" s="4" t="str">
        <f>IFERROR(__xludf.DUMMYFUNCTION("""COMPUTED_VALUE"""),"")</f>
        <v/>
      </c>
      <c r="G1290" s="4" t="str">
        <f>IFERROR(__xludf.DUMMYFUNCTION("""COMPUTED_VALUE"""),"")</f>
        <v/>
      </c>
      <c r="H1290" s="4" t="str">
        <f>IFERROR(__xludf.DUMMYFUNCTION("""COMPUTED_VALUE"""),"")</f>
        <v/>
      </c>
      <c r="I1290" s="4" t="str">
        <f>IFERROR(__xludf.DUMMYFUNCTION("""COMPUTED_VALUE"""),"")</f>
        <v/>
      </c>
      <c r="J1290" s="4" t="str">
        <f>IFERROR(__xludf.DUMMYFUNCTION("""COMPUTED_VALUE"""),"")</f>
        <v/>
      </c>
      <c r="K1290" s="4" t="str">
        <f>IFERROR(__xludf.DUMMYFUNCTION("""COMPUTED_VALUE"""),"")</f>
        <v/>
      </c>
      <c r="L1290" s="4" t="str">
        <f>IFERROR(__xludf.DUMMYFUNCTION("""COMPUTED_VALUE"""),"")</f>
        <v/>
      </c>
      <c r="M1290" s="4" t="str">
        <f>IFERROR(__xludf.DUMMYFUNCTION("""COMPUTED_VALUE"""),"")</f>
        <v/>
      </c>
      <c r="N1290" s="4" t="str">
        <f>IFERROR(__xludf.DUMMYFUNCTION("""COMPUTED_VALUE"""),"")</f>
        <v/>
      </c>
      <c r="O1290" s="4" t="str">
        <f>IFERROR(__xludf.DUMMYFUNCTION("""COMPUTED_VALUE"""),"")</f>
        <v/>
      </c>
      <c r="P1290" s="4" t="str">
        <f>IFERROR(__xludf.DUMMYFUNCTION("""COMPUTED_VALUE"""),"")</f>
        <v/>
      </c>
      <c r="Q1290" s="4" t="str">
        <f>IFERROR(__xludf.DUMMYFUNCTION("""COMPUTED_VALUE"""),"")</f>
        <v/>
      </c>
      <c r="R1290" s="4" t="str">
        <f>IFERROR(__xludf.DUMMYFUNCTION("""COMPUTED_VALUE"""),"")</f>
        <v/>
      </c>
      <c r="S1290" s="4" t="str">
        <f>IFERROR(__xludf.DUMMYFUNCTION("""COMPUTED_VALUE"""),"")</f>
        <v/>
      </c>
      <c r="T1290" s="4" t="str">
        <f>IFERROR(__xludf.DUMMYFUNCTION("""COMPUTED_VALUE"""),"")</f>
        <v/>
      </c>
      <c r="U1290" s="4" t="str">
        <f>IFERROR(__xludf.DUMMYFUNCTION("""COMPUTED_VALUE"""),"")</f>
        <v/>
      </c>
      <c r="V1290" s="4" t="str">
        <f>IFERROR(__xludf.DUMMYFUNCTION("""COMPUTED_VALUE"""),"")</f>
        <v/>
      </c>
      <c r="W1290" s="4" t="str">
        <f>IFERROR(__xludf.DUMMYFUNCTION("""COMPUTED_VALUE"""),"")</f>
        <v/>
      </c>
      <c r="X1290" s="4" t="str">
        <f>IFERROR(__xludf.DUMMYFUNCTION("""COMPUTED_VALUE"""),"")</f>
        <v/>
      </c>
      <c r="Y1290" s="4" t="str">
        <f>IFERROR(__xludf.DUMMYFUNCTION("""COMPUTED_VALUE"""),"")</f>
        <v/>
      </c>
    </row>
    <row r="1291">
      <c r="A1291" s="4" t="str">
        <f>IFERROR(__xludf.DUMMYFUNCTION("""COMPUTED_VALUE"""),"1790 - Channel")</f>
        <v>1790 - Channel</v>
      </c>
      <c r="B1291" s="4" t="str">
        <f>IFERROR(__xludf.DUMMYFUNCTION("""COMPUTED_VALUE"""),"")</f>
        <v/>
      </c>
      <c r="C1291" s="4" t="str">
        <f>IFERROR(__xludf.DUMMYFUNCTION("""COMPUTED_VALUE"""),"")</f>
        <v/>
      </c>
      <c r="D1291" s="4" t="str">
        <f>IFERROR(__xludf.DUMMYFUNCTION("""COMPUTED_VALUE"""),"")</f>
        <v/>
      </c>
      <c r="E1291" s="4" t="str">
        <f>IFERROR(__xludf.DUMMYFUNCTION("""COMPUTED_VALUE"""),"")</f>
        <v/>
      </c>
      <c r="F1291" s="4" t="str">
        <f>IFERROR(__xludf.DUMMYFUNCTION("""COMPUTED_VALUE"""),"")</f>
        <v/>
      </c>
      <c r="G1291" s="4" t="str">
        <f>IFERROR(__xludf.DUMMYFUNCTION("""COMPUTED_VALUE"""),"")</f>
        <v/>
      </c>
      <c r="H1291" s="4" t="str">
        <f>IFERROR(__xludf.DUMMYFUNCTION("""COMPUTED_VALUE"""),"")</f>
        <v/>
      </c>
      <c r="I1291" s="4" t="str">
        <f>IFERROR(__xludf.DUMMYFUNCTION("""COMPUTED_VALUE"""),"")</f>
        <v/>
      </c>
      <c r="J1291" s="4" t="str">
        <f>IFERROR(__xludf.DUMMYFUNCTION("""COMPUTED_VALUE"""),"")</f>
        <v/>
      </c>
      <c r="K1291" s="4" t="str">
        <f>IFERROR(__xludf.DUMMYFUNCTION("""COMPUTED_VALUE"""),"")</f>
        <v/>
      </c>
      <c r="L1291" s="4" t="str">
        <f>IFERROR(__xludf.DUMMYFUNCTION("""COMPUTED_VALUE"""),"")</f>
        <v/>
      </c>
      <c r="M1291" s="4" t="str">
        <f>IFERROR(__xludf.DUMMYFUNCTION("""COMPUTED_VALUE"""),"")</f>
        <v/>
      </c>
      <c r="N1291" s="4" t="str">
        <f>IFERROR(__xludf.DUMMYFUNCTION("""COMPUTED_VALUE"""),"")</f>
        <v/>
      </c>
      <c r="O1291" s="4" t="str">
        <f>IFERROR(__xludf.DUMMYFUNCTION("""COMPUTED_VALUE"""),"")</f>
        <v/>
      </c>
      <c r="P1291" s="4" t="str">
        <f>IFERROR(__xludf.DUMMYFUNCTION("""COMPUTED_VALUE"""),"")</f>
        <v/>
      </c>
      <c r="Q1291" s="4" t="str">
        <f>IFERROR(__xludf.DUMMYFUNCTION("""COMPUTED_VALUE"""),"")</f>
        <v/>
      </c>
      <c r="R1291" s="4" t="str">
        <f>IFERROR(__xludf.DUMMYFUNCTION("""COMPUTED_VALUE"""),"")</f>
        <v/>
      </c>
      <c r="S1291" s="4" t="str">
        <f>IFERROR(__xludf.DUMMYFUNCTION("""COMPUTED_VALUE"""),"")</f>
        <v/>
      </c>
      <c r="T1291" s="4" t="str">
        <f>IFERROR(__xludf.DUMMYFUNCTION("""COMPUTED_VALUE"""),"")</f>
        <v/>
      </c>
      <c r="U1291" s="4" t="str">
        <f>IFERROR(__xludf.DUMMYFUNCTION("""COMPUTED_VALUE"""),"")</f>
        <v/>
      </c>
      <c r="V1291" s="4" t="str">
        <f>IFERROR(__xludf.DUMMYFUNCTION("""COMPUTED_VALUE"""),"")</f>
        <v/>
      </c>
      <c r="W1291" s="4" t="str">
        <f>IFERROR(__xludf.DUMMYFUNCTION("""COMPUTED_VALUE"""),"")</f>
        <v/>
      </c>
      <c r="X1291" s="4" t="str">
        <f>IFERROR(__xludf.DUMMYFUNCTION("""COMPUTED_VALUE"""),"")</f>
        <v/>
      </c>
      <c r="Y1291" s="4" t="str">
        <f>IFERROR(__xludf.DUMMYFUNCTION("""COMPUTED_VALUE"""),"")</f>
        <v/>
      </c>
    </row>
    <row r="1292">
      <c r="A1292" s="4" t="str">
        <f>IFERROR(__xludf.DUMMYFUNCTION("""COMPUTED_VALUE"""),"1791 - Channel")</f>
        <v>1791 - Channel</v>
      </c>
      <c r="B1292" s="4" t="str">
        <f>IFERROR(__xludf.DUMMYFUNCTION("""COMPUTED_VALUE"""),"")</f>
        <v/>
      </c>
      <c r="C1292" s="4" t="str">
        <f>IFERROR(__xludf.DUMMYFUNCTION("""COMPUTED_VALUE"""),"")</f>
        <v/>
      </c>
      <c r="D1292" s="4" t="str">
        <f>IFERROR(__xludf.DUMMYFUNCTION("""COMPUTED_VALUE"""),"")</f>
        <v/>
      </c>
      <c r="E1292" s="4" t="str">
        <f>IFERROR(__xludf.DUMMYFUNCTION("""COMPUTED_VALUE"""),"")</f>
        <v/>
      </c>
      <c r="F1292" s="4" t="str">
        <f>IFERROR(__xludf.DUMMYFUNCTION("""COMPUTED_VALUE"""),"")</f>
        <v/>
      </c>
      <c r="G1292" s="4" t="str">
        <f>IFERROR(__xludf.DUMMYFUNCTION("""COMPUTED_VALUE"""),"")</f>
        <v/>
      </c>
      <c r="H1292" s="4" t="str">
        <f>IFERROR(__xludf.DUMMYFUNCTION("""COMPUTED_VALUE"""),"")</f>
        <v/>
      </c>
      <c r="I1292" s="4" t="str">
        <f>IFERROR(__xludf.DUMMYFUNCTION("""COMPUTED_VALUE"""),"")</f>
        <v/>
      </c>
      <c r="J1292" s="4" t="str">
        <f>IFERROR(__xludf.DUMMYFUNCTION("""COMPUTED_VALUE"""),"")</f>
        <v/>
      </c>
      <c r="K1292" s="4" t="str">
        <f>IFERROR(__xludf.DUMMYFUNCTION("""COMPUTED_VALUE"""),"")</f>
        <v/>
      </c>
      <c r="L1292" s="4" t="str">
        <f>IFERROR(__xludf.DUMMYFUNCTION("""COMPUTED_VALUE"""),"")</f>
        <v/>
      </c>
      <c r="M1292" s="4" t="str">
        <f>IFERROR(__xludf.DUMMYFUNCTION("""COMPUTED_VALUE"""),"")</f>
        <v/>
      </c>
      <c r="N1292" s="4" t="str">
        <f>IFERROR(__xludf.DUMMYFUNCTION("""COMPUTED_VALUE"""),"")</f>
        <v/>
      </c>
      <c r="O1292" s="4" t="str">
        <f>IFERROR(__xludf.DUMMYFUNCTION("""COMPUTED_VALUE"""),"")</f>
        <v/>
      </c>
      <c r="P1292" s="4" t="str">
        <f>IFERROR(__xludf.DUMMYFUNCTION("""COMPUTED_VALUE"""),"")</f>
        <v/>
      </c>
      <c r="Q1292" s="4" t="str">
        <f>IFERROR(__xludf.DUMMYFUNCTION("""COMPUTED_VALUE"""),"")</f>
        <v/>
      </c>
      <c r="R1292" s="4" t="str">
        <f>IFERROR(__xludf.DUMMYFUNCTION("""COMPUTED_VALUE"""),"")</f>
        <v/>
      </c>
      <c r="S1292" s="4" t="str">
        <f>IFERROR(__xludf.DUMMYFUNCTION("""COMPUTED_VALUE"""),"")</f>
        <v/>
      </c>
      <c r="T1292" s="4" t="str">
        <f>IFERROR(__xludf.DUMMYFUNCTION("""COMPUTED_VALUE"""),"")</f>
        <v/>
      </c>
      <c r="U1292" s="4" t="str">
        <f>IFERROR(__xludf.DUMMYFUNCTION("""COMPUTED_VALUE"""),"")</f>
        <v/>
      </c>
      <c r="V1292" s="4" t="str">
        <f>IFERROR(__xludf.DUMMYFUNCTION("""COMPUTED_VALUE"""),"")</f>
        <v/>
      </c>
      <c r="W1292" s="4" t="str">
        <f>IFERROR(__xludf.DUMMYFUNCTION("""COMPUTED_VALUE"""),"")</f>
        <v/>
      </c>
      <c r="X1292" s="4" t="str">
        <f>IFERROR(__xludf.DUMMYFUNCTION("""COMPUTED_VALUE"""),"")</f>
        <v/>
      </c>
      <c r="Y1292" s="4" t="str">
        <f>IFERROR(__xludf.DUMMYFUNCTION("""COMPUTED_VALUE"""),"")</f>
        <v/>
      </c>
    </row>
    <row r="1293">
      <c r="A1293" s="4" t="str">
        <f>IFERROR(__xludf.DUMMYFUNCTION("""COMPUTED_VALUE"""),"1792 - Channel")</f>
        <v>1792 - Channel</v>
      </c>
      <c r="B1293" s="4" t="str">
        <f>IFERROR(__xludf.DUMMYFUNCTION("""COMPUTED_VALUE"""),"")</f>
        <v/>
      </c>
      <c r="C1293" s="4" t="str">
        <f>IFERROR(__xludf.DUMMYFUNCTION("""COMPUTED_VALUE"""),"")</f>
        <v/>
      </c>
      <c r="D1293" s="4" t="str">
        <f>IFERROR(__xludf.DUMMYFUNCTION("""COMPUTED_VALUE"""),"")</f>
        <v/>
      </c>
      <c r="E1293" s="4" t="str">
        <f>IFERROR(__xludf.DUMMYFUNCTION("""COMPUTED_VALUE"""),"")</f>
        <v/>
      </c>
      <c r="F1293" s="4" t="str">
        <f>IFERROR(__xludf.DUMMYFUNCTION("""COMPUTED_VALUE"""),"")</f>
        <v/>
      </c>
      <c r="G1293" s="4" t="str">
        <f>IFERROR(__xludf.DUMMYFUNCTION("""COMPUTED_VALUE"""),"")</f>
        <v/>
      </c>
      <c r="H1293" s="4" t="str">
        <f>IFERROR(__xludf.DUMMYFUNCTION("""COMPUTED_VALUE"""),"")</f>
        <v/>
      </c>
      <c r="I1293" s="4" t="str">
        <f>IFERROR(__xludf.DUMMYFUNCTION("""COMPUTED_VALUE"""),"")</f>
        <v/>
      </c>
      <c r="J1293" s="4" t="str">
        <f>IFERROR(__xludf.DUMMYFUNCTION("""COMPUTED_VALUE"""),"")</f>
        <v/>
      </c>
      <c r="K1293" s="4" t="str">
        <f>IFERROR(__xludf.DUMMYFUNCTION("""COMPUTED_VALUE"""),"")</f>
        <v/>
      </c>
      <c r="L1293" s="4" t="str">
        <f>IFERROR(__xludf.DUMMYFUNCTION("""COMPUTED_VALUE"""),"")</f>
        <v/>
      </c>
      <c r="M1293" s="4" t="str">
        <f>IFERROR(__xludf.DUMMYFUNCTION("""COMPUTED_VALUE"""),"")</f>
        <v/>
      </c>
      <c r="N1293" s="4" t="str">
        <f>IFERROR(__xludf.DUMMYFUNCTION("""COMPUTED_VALUE"""),"")</f>
        <v/>
      </c>
      <c r="O1293" s="4" t="str">
        <f>IFERROR(__xludf.DUMMYFUNCTION("""COMPUTED_VALUE"""),"")</f>
        <v/>
      </c>
      <c r="P1293" s="4" t="str">
        <f>IFERROR(__xludf.DUMMYFUNCTION("""COMPUTED_VALUE"""),"")</f>
        <v/>
      </c>
      <c r="Q1293" s="4" t="str">
        <f>IFERROR(__xludf.DUMMYFUNCTION("""COMPUTED_VALUE"""),"")</f>
        <v/>
      </c>
      <c r="R1293" s="4" t="str">
        <f>IFERROR(__xludf.DUMMYFUNCTION("""COMPUTED_VALUE"""),"")</f>
        <v/>
      </c>
      <c r="S1293" s="4" t="str">
        <f>IFERROR(__xludf.DUMMYFUNCTION("""COMPUTED_VALUE"""),"")</f>
        <v/>
      </c>
      <c r="T1293" s="4" t="str">
        <f>IFERROR(__xludf.DUMMYFUNCTION("""COMPUTED_VALUE"""),"")</f>
        <v/>
      </c>
      <c r="U1293" s="4" t="str">
        <f>IFERROR(__xludf.DUMMYFUNCTION("""COMPUTED_VALUE"""),"")</f>
        <v/>
      </c>
      <c r="V1293" s="4" t="str">
        <f>IFERROR(__xludf.DUMMYFUNCTION("""COMPUTED_VALUE"""),"")</f>
        <v/>
      </c>
      <c r="W1293" s="4" t="str">
        <f>IFERROR(__xludf.DUMMYFUNCTION("""COMPUTED_VALUE"""),"")</f>
        <v/>
      </c>
      <c r="X1293" s="4" t="str">
        <f>IFERROR(__xludf.DUMMYFUNCTION("""COMPUTED_VALUE"""),"")</f>
        <v/>
      </c>
      <c r="Y1293" s="4" t="str">
        <f>IFERROR(__xludf.DUMMYFUNCTION("""COMPUTED_VALUE"""),"")</f>
        <v/>
      </c>
    </row>
    <row r="1294">
      <c r="A1294" s="4" t="str">
        <f>IFERROR(__xludf.DUMMYFUNCTION("""COMPUTED_VALUE"""),"1793 - Channel")</f>
        <v>1793 - Channel</v>
      </c>
      <c r="B1294" s="4" t="str">
        <f>IFERROR(__xludf.DUMMYFUNCTION("""COMPUTED_VALUE"""),"")</f>
        <v/>
      </c>
      <c r="C1294" s="4" t="str">
        <f>IFERROR(__xludf.DUMMYFUNCTION("""COMPUTED_VALUE"""),"")</f>
        <v/>
      </c>
      <c r="D1294" s="4" t="str">
        <f>IFERROR(__xludf.DUMMYFUNCTION("""COMPUTED_VALUE"""),"")</f>
        <v/>
      </c>
      <c r="E1294" s="4" t="str">
        <f>IFERROR(__xludf.DUMMYFUNCTION("""COMPUTED_VALUE"""),"")</f>
        <v/>
      </c>
      <c r="F1294" s="4" t="str">
        <f>IFERROR(__xludf.DUMMYFUNCTION("""COMPUTED_VALUE"""),"")</f>
        <v/>
      </c>
      <c r="G1294" s="4" t="str">
        <f>IFERROR(__xludf.DUMMYFUNCTION("""COMPUTED_VALUE"""),"")</f>
        <v/>
      </c>
      <c r="H1294" s="4" t="str">
        <f>IFERROR(__xludf.DUMMYFUNCTION("""COMPUTED_VALUE"""),"")</f>
        <v/>
      </c>
      <c r="I1294" s="4" t="str">
        <f>IFERROR(__xludf.DUMMYFUNCTION("""COMPUTED_VALUE"""),"")</f>
        <v/>
      </c>
      <c r="J1294" s="4" t="str">
        <f>IFERROR(__xludf.DUMMYFUNCTION("""COMPUTED_VALUE"""),"")</f>
        <v/>
      </c>
      <c r="K1294" s="4" t="str">
        <f>IFERROR(__xludf.DUMMYFUNCTION("""COMPUTED_VALUE"""),"")</f>
        <v/>
      </c>
      <c r="L1294" s="4" t="str">
        <f>IFERROR(__xludf.DUMMYFUNCTION("""COMPUTED_VALUE"""),"")</f>
        <v/>
      </c>
      <c r="M1294" s="4" t="str">
        <f>IFERROR(__xludf.DUMMYFUNCTION("""COMPUTED_VALUE"""),"")</f>
        <v/>
      </c>
      <c r="N1294" s="4" t="str">
        <f>IFERROR(__xludf.DUMMYFUNCTION("""COMPUTED_VALUE"""),"")</f>
        <v/>
      </c>
      <c r="O1294" s="4" t="str">
        <f>IFERROR(__xludf.DUMMYFUNCTION("""COMPUTED_VALUE"""),"")</f>
        <v/>
      </c>
      <c r="P1294" s="4" t="str">
        <f>IFERROR(__xludf.DUMMYFUNCTION("""COMPUTED_VALUE"""),"")</f>
        <v/>
      </c>
      <c r="Q1294" s="4" t="str">
        <f>IFERROR(__xludf.DUMMYFUNCTION("""COMPUTED_VALUE"""),"")</f>
        <v/>
      </c>
      <c r="R1294" s="4" t="str">
        <f>IFERROR(__xludf.DUMMYFUNCTION("""COMPUTED_VALUE"""),"")</f>
        <v/>
      </c>
      <c r="S1294" s="4" t="str">
        <f>IFERROR(__xludf.DUMMYFUNCTION("""COMPUTED_VALUE"""),"")</f>
        <v/>
      </c>
      <c r="T1294" s="4" t="str">
        <f>IFERROR(__xludf.DUMMYFUNCTION("""COMPUTED_VALUE"""),"")</f>
        <v/>
      </c>
      <c r="U1294" s="4" t="str">
        <f>IFERROR(__xludf.DUMMYFUNCTION("""COMPUTED_VALUE"""),"")</f>
        <v/>
      </c>
      <c r="V1294" s="4" t="str">
        <f>IFERROR(__xludf.DUMMYFUNCTION("""COMPUTED_VALUE"""),"")</f>
        <v/>
      </c>
      <c r="W1294" s="4" t="str">
        <f>IFERROR(__xludf.DUMMYFUNCTION("""COMPUTED_VALUE"""),"")</f>
        <v/>
      </c>
      <c r="X1294" s="4" t="str">
        <f>IFERROR(__xludf.DUMMYFUNCTION("""COMPUTED_VALUE"""),"")</f>
        <v/>
      </c>
      <c r="Y1294" s="4" t="str">
        <f>IFERROR(__xludf.DUMMYFUNCTION("""COMPUTED_VALUE"""),"")</f>
        <v/>
      </c>
    </row>
    <row r="1295">
      <c r="A1295" s="4" t="str">
        <f>IFERROR(__xludf.DUMMYFUNCTION("""COMPUTED_VALUE"""),"1794 - Channel")</f>
        <v>1794 - Channel</v>
      </c>
      <c r="B1295" s="4" t="str">
        <f>IFERROR(__xludf.DUMMYFUNCTION("""COMPUTED_VALUE"""),"")</f>
        <v/>
      </c>
      <c r="C1295" s="4" t="str">
        <f>IFERROR(__xludf.DUMMYFUNCTION("""COMPUTED_VALUE"""),"")</f>
        <v/>
      </c>
      <c r="D1295" s="4" t="str">
        <f>IFERROR(__xludf.DUMMYFUNCTION("""COMPUTED_VALUE"""),"")</f>
        <v/>
      </c>
      <c r="E1295" s="4" t="str">
        <f>IFERROR(__xludf.DUMMYFUNCTION("""COMPUTED_VALUE"""),"")</f>
        <v/>
      </c>
      <c r="F1295" s="4" t="str">
        <f>IFERROR(__xludf.DUMMYFUNCTION("""COMPUTED_VALUE"""),"")</f>
        <v/>
      </c>
      <c r="G1295" s="4" t="str">
        <f>IFERROR(__xludf.DUMMYFUNCTION("""COMPUTED_VALUE"""),"")</f>
        <v/>
      </c>
      <c r="H1295" s="4" t="str">
        <f>IFERROR(__xludf.DUMMYFUNCTION("""COMPUTED_VALUE"""),"")</f>
        <v/>
      </c>
      <c r="I1295" s="4" t="str">
        <f>IFERROR(__xludf.DUMMYFUNCTION("""COMPUTED_VALUE"""),"")</f>
        <v/>
      </c>
      <c r="J1295" s="4" t="str">
        <f>IFERROR(__xludf.DUMMYFUNCTION("""COMPUTED_VALUE"""),"")</f>
        <v/>
      </c>
      <c r="K1295" s="4" t="str">
        <f>IFERROR(__xludf.DUMMYFUNCTION("""COMPUTED_VALUE"""),"")</f>
        <v/>
      </c>
      <c r="L1295" s="4" t="str">
        <f>IFERROR(__xludf.DUMMYFUNCTION("""COMPUTED_VALUE"""),"")</f>
        <v/>
      </c>
      <c r="M1295" s="4" t="str">
        <f>IFERROR(__xludf.DUMMYFUNCTION("""COMPUTED_VALUE"""),"")</f>
        <v/>
      </c>
      <c r="N1295" s="4" t="str">
        <f>IFERROR(__xludf.DUMMYFUNCTION("""COMPUTED_VALUE"""),"")</f>
        <v/>
      </c>
      <c r="O1295" s="4" t="str">
        <f>IFERROR(__xludf.DUMMYFUNCTION("""COMPUTED_VALUE"""),"")</f>
        <v/>
      </c>
      <c r="P1295" s="4" t="str">
        <f>IFERROR(__xludf.DUMMYFUNCTION("""COMPUTED_VALUE"""),"")</f>
        <v/>
      </c>
      <c r="Q1295" s="4" t="str">
        <f>IFERROR(__xludf.DUMMYFUNCTION("""COMPUTED_VALUE"""),"")</f>
        <v/>
      </c>
      <c r="R1295" s="4" t="str">
        <f>IFERROR(__xludf.DUMMYFUNCTION("""COMPUTED_VALUE"""),"")</f>
        <v/>
      </c>
      <c r="S1295" s="4" t="str">
        <f>IFERROR(__xludf.DUMMYFUNCTION("""COMPUTED_VALUE"""),"")</f>
        <v/>
      </c>
      <c r="T1295" s="4" t="str">
        <f>IFERROR(__xludf.DUMMYFUNCTION("""COMPUTED_VALUE"""),"")</f>
        <v/>
      </c>
      <c r="U1295" s="4" t="str">
        <f>IFERROR(__xludf.DUMMYFUNCTION("""COMPUTED_VALUE"""),"")</f>
        <v/>
      </c>
      <c r="V1295" s="4" t="str">
        <f>IFERROR(__xludf.DUMMYFUNCTION("""COMPUTED_VALUE"""),"")</f>
        <v/>
      </c>
      <c r="W1295" s="4" t="str">
        <f>IFERROR(__xludf.DUMMYFUNCTION("""COMPUTED_VALUE"""),"")</f>
        <v/>
      </c>
      <c r="X1295" s="4" t="str">
        <f>IFERROR(__xludf.DUMMYFUNCTION("""COMPUTED_VALUE"""),"")</f>
        <v/>
      </c>
      <c r="Y1295" s="4" t="str">
        <f>IFERROR(__xludf.DUMMYFUNCTION("""COMPUTED_VALUE"""),"")</f>
        <v/>
      </c>
    </row>
    <row r="1296">
      <c r="A1296" s="4" t="str">
        <f>IFERROR(__xludf.DUMMYFUNCTION("""COMPUTED_VALUE"""),"1825 - Channel")</f>
        <v>1825 - Channel</v>
      </c>
      <c r="B1296" s="4" t="str">
        <f>IFERROR(__xludf.DUMMYFUNCTION("""COMPUTED_VALUE"""),"")</f>
        <v/>
      </c>
      <c r="C1296" s="4" t="str">
        <f>IFERROR(__xludf.DUMMYFUNCTION("""COMPUTED_VALUE"""),"")</f>
        <v/>
      </c>
      <c r="D1296" s="4" t="str">
        <f>IFERROR(__xludf.DUMMYFUNCTION("""COMPUTED_VALUE"""),"")</f>
        <v/>
      </c>
      <c r="E1296" s="4" t="str">
        <f>IFERROR(__xludf.DUMMYFUNCTION("""COMPUTED_VALUE"""),"")</f>
        <v/>
      </c>
      <c r="F1296" s="4" t="str">
        <f>IFERROR(__xludf.DUMMYFUNCTION("""COMPUTED_VALUE"""),"")</f>
        <v/>
      </c>
      <c r="G1296" s="4" t="str">
        <f>IFERROR(__xludf.DUMMYFUNCTION("""COMPUTED_VALUE"""),"")</f>
        <v/>
      </c>
      <c r="H1296" s="4" t="str">
        <f>IFERROR(__xludf.DUMMYFUNCTION("""COMPUTED_VALUE"""),"")</f>
        <v/>
      </c>
      <c r="I1296" s="4" t="str">
        <f>IFERROR(__xludf.DUMMYFUNCTION("""COMPUTED_VALUE"""),"")</f>
        <v/>
      </c>
      <c r="J1296" s="4" t="str">
        <f>IFERROR(__xludf.DUMMYFUNCTION("""COMPUTED_VALUE"""),"")</f>
        <v/>
      </c>
      <c r="K1296" s="4" t="str">
        <f>IFERROR(__xludf.DUMMYFUNCTION("""COMPUTED_VALUE"""),"")</f>
        <v/>
      </c>
      <c r="L1296" s="4" t="str">
        <f>IFERROR(__xludf.DUMMYFUNCTION("""COMPUTED_VALUE"""),"")</f>
        <v/>
      </c>
      <c r="M1296" s="4" t="str">
        <f>IFERROR(__xludf.DUMMYFUNCTION("""COMPUTED_VALUE"""),"")</f>
        <v/>
      </c>
      <c r="N1296" s="4" t="str">
        <f>IFERROR(__xludf.DUMMYFUNCTION("""COMPUTED_VALUE"""),"")</f>
        <v/>
      </c>
      <c r="O1296" s="4" t="str">
        <f>IFERROR(__xludf.DUMMYFUNCTION("""COMPUTED_VALUE"""),"")</f>
        <v/>
      </c>
      <c r="P1296" s="4" t="str">
        <f>IFERROR(__xludf.DUMMYFUNCTION("""COMPUTED_VALUE"""),"")</f>
        <v/>
      </c>
      <c r="Q1296" s="4" t="str">
        <f>IFERROR(__xludf.DUMMYFUNCTION("""COMPUTED_VALUE"""),"")</f>
        <v/>
      </c>
      <c r="R1296" s="4" t="str">
        <f>IFERROR(__xludf.DUMMYFUNCTION("""COMPUTED_VALUE"""),"")</f>
        <v/>
      </c>
      <c r="S1296" s="4" t="str">
        <f>IFERROR(__xludf.DUMMYFUNCTION("""COMPUTED_VALUE"""),"")</f>
        <v/>
      </c>
      <c r="T1296" s="4" t="str">
        <f>IFERROR(__xludf.DUMMYFUNCTION("""COMPUTED_VALUE"""),"")</f>
        <v/>
      </c>
      <c r="U1296" s="4" t="str">
        <f>IFERROR(__xludf.DUMMYFUNCTION("""COMPUTED_VALUE"""),"")</f>
        <v/>
      </c>
      <c r="V1296" s="4" t="str">
        <f>IFERROR(__xludf.DUMMYFUNCTION("""COMPUTED_VALUE"""),"")</f>
        <v/>
      </c>
      <c r="W1296" s="4" t="str">
        <f>IFERROR(__xludf.DUMMYFUNCTION("""COMPUTED_VALUE"""),"")</f>
        <v/>
      </c>
      <c r="X1296" s="4" t="str">
        <f>IFERROR(__xludf.DUMMYFUNCTION("""COMPUTED_VALUE"""),"")</f>
        <v/>
      </c>
      <c r="Y1296" s="4" t="str">
        <f>IFERROR(__xludf.DUMMYFUNCTION("""COMPUTED_VALUE"""),"")</f>
        <v/>
      </c>
    </row>
    <row r="1297">
      <c r="A1297" s="4" t="str">
        <f>IFERROR(__xludf.DUMMYFUNCTION("""COMPUTED_VALUE"""),"1826 - Channel")</f>
        <v>1826 - Channel</v>
      </c>
      <c r="B1297" s="4" t="str">
        <f>IFERROR(__xludf.DUMMYFUNCTION("""COMPUTED_VALUE"""),"")</f>
        <v/>
      </c>
      <c r="C1297" s="4" t="str">
        <f>IFERROR(__xludf.DUMMYFUNCTION("""COMPUTED_VALUE"""),"")</f>
        <v/>
      </c>
      <c r="D1297" s="4" t="str">
        <f>IFERROR(__xludf.DUMMYFUNCTION("""COMPUTED_VALUE"""),"")</f>
        <v/>
      </c>
      <c r="E1297" s="4" t="str">
        <f>IFERROR(__xludf.DUMMYFUNCTION("""COMPUTED_VALUE"""),"")</f>
        <v/>
      </c>
      <c r="F1297" s="4" t="str">
        <f>IFERROR(__xludf.DUMMYFUNCTION("""COMPUTED_VALUE"""),"")</f>
        <v/>
      </c>
      <c r="G1297" s="4" t="str">
        <f>IFERROR(__xludf.DUMMYFUNCTION("""COMPUTED_VALUE"""),"")</f>
        <v/>
      </c>
      <c r="H1297" s="4" t="str">
        <f>IFERROR(__xludf.DUMMYFUNCTION("""COMPUTED_VALUE"""),"")</f>
        <v/>
      </c>
      <c r="I1297" s="4" t="str">
        <f>IFERROR(__xludf.DUMMYFUNCTION("""COMPUTED_VALUE"""),"")</f>
        <v/>
      </c>
      <c r="J1297" s="4" t="str">
        <f>IFERROR(__xludf.DUMMYFUNCTION("""COMPUTED_VALUE"""),"")</f>
        <v/>
      </c>
      <c r="K1297" s="4" t="str">
        <f>IFERROR(__xludf.DUMMYFUNCTION("""COMPUTED_VALUE"""),"")</f>
        <v/>
      </c>
      <c r="L1297" s="4" t="str">
        <f>IFERROR(__xludf.DUMMYFUNCTION("""COMPUTED_VALUE"""),"")</f>
        <v/>
      </c>
      <c r="M1297" s="4" t="str">
        <f>IFERROR(__xludf.DUMMYFUNCTION("""COMPUTED_VALUE"""),"")</f>
        <v/>
      </c>
      <c r="N1297" s="4" t="str">
        <f>IFERROR(__xludf.DUMMYFUNCTION("""COMPUTED_VALUE"""),"")</f>
        <v/>
      </c>
      <c r="O1297" s="4" t="str">
        <f>IFERROR(__xludf.DUMMYFUNCTION("""COMPUTED_VALUE"""),"")</f>
        <v/>
      </c>
      <c r="P1297" s="4" t="str">
        <f>IFERROR(__xludf.DUMMYFUNCTION("""COMPUTED_VALUE"""),"")</f>
        <v/>
      </c>
      <c r="Q1297" s="4" t="str">
        <f>IFERROR(__xludf.DUMMYFUNCTION("""COMPUTED_VALUE"""),"")</f>
        <v/>
      </c>
      <c r="R1297" s="4" t="str">
        <f>IFERROR(__xludf.DUMMYFUNCTION("""COMPUTED_VALUE"""),"")</f>
        <v/>
      </c>
      <c r="S1297" s="4" t="str">
        <f>IFERROR(__xludf.DUMMYFUNCTION("""COMPUTED_VALUE"""),"")</f>
        <v/>
      </c>
      <c r="T1297" s="4" t="str">
        <f>IFERROR(__xludf.DUMMYFUNCTION("""COMPUTED_VALUE"""),"")</f>
        <v/>
      </c>
      <c r="U1297" s="4" t="str">
        <f>IFERROR(__xludf.DUMMYFUNCTION("""COMPUTED_VALUE"""),"")</f>
        <v/>
      </c>
      <c r="V1297" s="4" t="str">
        <f>IFERROR(__xludf.DUMMYFUNCTION("""COMPUTED_VALUE"""),"")</f>
        <v/>
      </c>
      <c r="W1297" s="4" t="str">
        <f>IFERROR(__xludf.DUMMYFUNCTION("""COMPUTED_VALUE"""),"")</f>
        <v/>
      </c>
      <c r="X1297" s="4" t="str">
        <f>IFERROR(__xludf.DUMMYFUNCTION("""COMPUTED_VALUE"""),"")</f>
        <v/>
      </c>
      <c r="Y1297" s="4" t="str">
        <f>IFERROR(__xludf.DUMMYFUNCTION("""COMPUTED_VALUE"""),"")</f>
        <v/>
      </c>
    </row>
    <row r="1298">
      <c r="A1298" s="4" t="str">
        <f>IFERROR(__xludf.DUMMYFUNCTION("""COMPUTED_VALUE"""),"1827 - Channel")</f>
        <v>1827 - Channel</v>
      </c>
      <c r="B1298" s="4" t="str">
        <f>IFERROR(__xludf.DUMMYFUNCTION("""COMPUTED_VALUE"""),"")</f>
        <v/>
      </c>
      <c r="C1298" s="4" t="str">
        <f>IFERROR(__xludf.DUMMYFUNCTION("""COMPUTED_VALUE"""),"")</f>
        <v/>
      </c>
      <c r="D1298" s="4" t="str">
        <f>IFERROR(__xludf.DUMMYFUNCTION("""COMPUTED_VALUE"""),"")</f>
        <v/>
      </c>
      <c r="E1298" s="4" t="str">
        <f>IFERROR(__xludf.DUMMYFUNCTION("""COMPUTED_VALUE"""),"")</f>
        <v/>
      </c>
      <c r="F1298" s="4" t="str">
        <f>IFERROR(__xludf.DUMMYFUNCTION("""COMPUTED_VALUE"""),"")</f>
        <v/>
      </c>
      <c r="G1298" s="4" t="str">
        <f>IFERROR(__xludf.DUMMYFUNCTION("""COMPUTED_VALUE"""),"")</f>
        <v/>
      </c>
      <c r="H1298" s="4" t="str">
        <f>IFERROR(__xludf.DUMMYFUNCTION("""COMPUTED_VALUE"""),"")</f>
        <v/>
      </c>
      <c r="I1298" s="4" t="str">
        <f>IFERROR(__xludf.DUMMYFUNCTION("""COMPUTED_VALUE"""),"")</f>
        <v/>
      </c>
      <c r="J1298" s="4" t="str">
        <f>IFERROR(__xludf.DUMMYFUNCTION("""COMPUTED_VALUE"""),"")</f>
        <v/>
      </c>
      <c r="K1298" s="4" t="str">
        <f>IFERROR(__xludf.DUMMYFUNCTION("""COMPUTED_VALUE"""),"")</f>
        <v/>
      </c>
      <c r="L1298" s="4" t="str">
        <f>IFERROR(__xludf.DUMMYFUNCTION("""COMPUTED_VALUE"""),"")</f>
        <v/>
      </c>
      <c r="M1298" s="4" t="str">
        <f>IFERROR(__xludf.DUMMYFUNCTION("""COMPUTED_VALUE"""),"")</f>
        <v/>
      </c>
      <c r="N1298" s="4" t="str">
        <f>IFERROR(__xludf.DUMMYFUNCTION("""COMPUTED_VALUE"""),"")</f>
        <v/>
      </c>
      <c r="O1298" s="4" t="str">
        <f>IFERROR(__xludf.DUMMYFUNCTION("""COMPUTED_VALUE"""),"")</f>
        <v/>
      </c>
      <c r="P1298" s="4" t="str">
        <f>IFERROR(__xludf.DUMMYFUNCTION("""COMPUTED_VALUE"""),"")</f>
        <v/>
      </c>
      <c r="Q1298" s="4" t="str">
        <f>IFERROR(__xludf.DUMMYFUNCTION("""COMPUTED_VALUE"""),"")</f>
        <v/>
      </c>
      <c r="R1298" s="4" t="str">
        <f>IFERROR(__xludf.DUMMYFUNCTION("""COMPUTED_VALUE"""),"")</f>
        <v/>
      </c>
      <c r="S1298" s="4" t="str">
        <f>IFERROR(__xludf.DUMMYFUNCTION("""COMPUTED_VALUE"""),"")</f>
        <v/>
      </c>
      <c r="T1298" s="4" t="str">
        <f>IFERROR(__xludf.DUMMYFUNCTION("""COMPUTED_VALUE"""),"")</f>
        <v/>
      </c>
      <c r="U1298" s="4" t="str">
        <f>IFERROR(__xludf.DUMMYFUNCTION("""COMPUTED_VALUE"""),"")</f>
        <v/>
      </c>
      <c r="V1298" s="4" t="str">
        <f>IFERROR(__xludf.DUMMYFUNCTION("""COMPUTED_VALUE"""),"")</f>
        <v/>
      </c>
      <c r="W1298" s="4" t="str">
        <f>IFERROR(__xludf.DUMMYFUNCTION("""COMPUTED_VALUE"""),"")</f>
        <v/>
      </c>
      <c r="X1298" s="4" t="str">
        <f>IFERROR(__xludf.DUMMYFUNCTION("""COMPUTED_VALUE"""),"")</f>
        <v/>
      </c>
      <c r="Y1298" s="4" t="str">
        <f>IFERROR(__xludf.DUMMYFUNCTION("""COMPUTED_VALUE"""),"")</f>
        <v/>
      </c>
    </row>
    <row r="1299">
      <c r="A1299" s="4" t="str">
        <f>IFERROR(__xludf.DUMMYFUNCTION("""COMPUTED_VALUE"""),"1828 - Channel")</f>
        <v>1828 - Channel</v>
      </c>
      <c r="B1299" s="4" t="str">
        <f>IFERROR(__xludf.DUMMYFUNCTION("""COMPUTED_VALUE"""),"")</f>
        <v/>
      </c>
      <c r="C1299" s="4" t="str">
        <f>IFERROR(__xludf.DUMMYFUNCTION("""COMPUTED_VALUE"""),"")</f>
        <v/>
      </c>
      <c r="D1299" s="4" t="str">
        <f>IFERROR(__xludf.DUMMYFUNCTION("""COMPUTED_VALUE"""),"")</f>
        <v/>
      </c>
      <c r="E1299" s="4" t="str">
        <f>IFERROR(__xludf.DUMMYFUNCTION("""COMPUTED_VALUE"""),"")</f>
        <v/>
      </c>
      <c r="F1299" s="4" t="str">
        <f>IFERROR(__xludf.DUMMYFUNCTION("""COMPUTED_VALUE"""),"")</f>
        <v/>
      </c>
      <c r="G1299" s="4" t="str">
        <f>IFERROR(__xludf.DUMMYFUNCTION("""COMPUTED_VALUE"""),"")</f>
        <v/>
      </c>
      <c r="H1299" s="4" t="str">
        <f>IFERROR(__xludf.DUMMYFUNCTION("""COMPUTED_VALUE"""),"")</f>
        <v/>
      </c>
      <c r="I1299" s="4" t="str">
        <f>IFERROR(__xludf.DUMMYFUNCTION("""COMPUTED_VALUE"""),"")</f>
        <v/>
      </c>
      <c r="J1299" s="4" t="str">
        <f>IFERROR(__xludf.DUMMYFUNCTION("""COMPUTED_VALUE"""),"")</f>
        <v/>
      </c>
      <c r="K1299" s="4" t="str">
        <f>IFERROR(__xludf.DUMMYFUNCTION("""COMPUTED_VALUE"""),"")</f>
        <v/>
      </c>
      <c r="L1299" s="4" t="str">
        <f>IFERROR(__xludf.DUMMYFUNCTION("""COMPUTED_VALUE"""),"")</f>
        <v/>
      </c>
      <c r="M1299" s="4" t="str">
        <f>IFERROR(__xludf.DUMMYFUNCTION("""COMPUTED_VALUE"""),"")</f>
        <v/>
      </c>
      <c r="N1299" s="4" t="str">
        <f>IFERROR(__xludf.DUMMYFUNCTION("""COMPUTED_VALUE"""),"")</f>
        <v/>
      </c>
      <c r="O1299" s="4" t="str">
        <f>IFERROR(__xludf.DUMMYFUNCTION("""COMPUTED_VALUE"""),"")</f>
        <v/>
      </c>
      <c r="P1299" s="4" t="str">
        <f>IFERROR(__xludf.DUMMYFUNCTION("""COMPUTED_VALUE"""),"")</f>
        <v/>
      </c>
      <c r="Q1299" s="4" t="str">
        <f>IFERROR(__xludf.DUMMYFUNCTION("""COMPUTED_VALUE"""),"")</f>
        <v/>
      </c>
      <c r="R1299" s="4" t="str">
        <f>IFERROR(__xludf.DUMMYFUNCTION("""COMPUTED_VALUE"""),"")</f>
        <v/>
      </c>
      <c r="S1299" s="4" t="str">
        <f>IFERROR(__xludf.DUMMYFUNCTION("""COMPUTED_VALUE"""),"")</f>
        <v/>
      </c>
      <c r="T1299" s="4" t="str">
        <f>IFERROR(__xludf.DUMMYFUNCTION("""COMPUTED_VALUE"""),"")</f>
        <v/>
      </c>
      <c r="U1299" s="4" t="str">
        <f>IFERROR(__xludf.DUMMYFUNCTION("""COMPUTED_VALUE"""),"")</f>
        <v/>
      </c>
      <c r="V1299" s="4" t="str">
        <f>IFERROR(__xludf.DUMMYFUNCTION("""COMPUTED_VALUE"""),"")</f>
        <v/>
      </c>
      <c r="W1299" s="4" t="str">
        <f>IFERROR(__xludf.DUMMYFUNCTION("""COMPUTED_VALUE"""),"")</f>
        <v/>
      </c>
      <c r="X1299" s="4" t="str">
        <f>IFERROR(__xludf.DUMMYFUNCTION("""COMPUTED_VALUE"""),"")</f>
        <v/>
      </c>
      <c r="Y1299" s="4" t="str">
        <f>IFERROR(__xludf.DUMMYFUNCTION("""COMPUTED_VALUE"""),"")</f>
        <v/>
      </c>
    </row>
    <row r="1300">
      <c r="A1300" s="4" t="str">
        <f>IFERROR(__xludf.DUMMYFUNCTION("""COMPUTED_VALUE"""),"1829 - Channel")</f>
        <v>1829 - Channel</v>
      </c>
      <c r="B1300" s="4" t="str">
        <f>IFERROR(__xludf.DUMMYFUNCTION("""COMPUTED_VALUE"""),"")</f>
        <v/>
      </c>
      <c r="C1300" s="4" t="str">
        <f>IFERROR(__xludf.DUMMYFUNCTION("""COMPUTED_VALUE"""),"")</f>
        <v/>
      </c>
      <c r="D1300" s="4" t="str">
        <f>IFERROR(__xludf.DUMMYFUNCTION("""COMPUTED_VALUE"""),"")</f>
        <v/>
      </c>
      <c r="E1300" s="4" t="str">
        <f>IFERROR(__xludf.DUMMYFUNCTION("""COMPUTED_VALUE"""),"")</f>
        <v/>
      </c>
      <c r="F1300" s="4" t="str">
        <f>IFERROR(__xludf.DUMMYFUNCTION("""COMPUTED_VALUE"""),"")</f>
        <v/>
      </c>
      <c r="G1300" s="4" t="str">
        <f>IFERROR(__xludf.DUMMYFUNCTION("""COMPUTED_VALUE"""),"")</f>
        <v/>
      </c>
      <c r="H1300" s="4" t="str">
        <f>IFERROR(__xludf.DUMMYFUNCTION("""COMPUTED_VALUE"""),"")</f>
        <v/>
      </c>
      <c r="I1300" s="4" t="str">
        <f>IFERROR(__xludf.DUMMYFUNCTION("""COMPUTED_VALUE"""),"")</f>
        <v/>
      </c>
      <c r="J1300" s="4" t="str">
        <f>IFERROR(__xludf.DUMMYFUNCTION("""COMPUTED_VALUE"""),"")</f>
        <v/>
      </c>
      <c r="K1300" s="4" t="str">
        <f>IFERROR(__xludf.DUMMYFUNCTION("""COMPUTED_VALUE"""),"")</f>
        <v/>
      </c>
      <c r="L1300" s="4" t="str">
        <f>IFERROR(__xludf.DUMMYFUNCTION("""COMPUTED_VALUE"""),"")</f>
        <v/>
      </c>
      <c r="M1300" s="4" t="str">
        <f>IFERROR(__xludf.DUMMYFUNCTION("""COMPUTED_VALUE"""),"")</f>
        <v/>
      </c>
      <c r="N1300" s="4" t="str">
        <f>IFERROR(__xludf.DUMMYFUNCTION("""COMPUTED_VALUE"""),"")</f>
        <v/>
      </c>
      <c r="O1300" s="4" t="str">
        <f>IFERROR(__xludf.DUMMYFUNCTION("""COMPUTED_VALUE"""),"")</f>
        <v/>
      </c>
      <c r="P1300" s="4" t="str">
        <f>IFERROR(__xludf.DUMMYFUNCTION("""COMPUTED_VALUE"""),"")</f>
        <v/>
      </c>
      <c r="Q1300" s="4" t="str">
        <f>IFERROR(__xludf.DUMMYFUNCTION("""COMPUTED_VALUE"""),"")</f>
        <v/>
      </c>
      <c r="R1300" s="4" t="str">
        <f>IFERROR(__xludf.DUMMYFUNCTION("""COMPUTED_VALUE"""),"")</f>
        <v/>
      </c>
      <c r="S1300" s="4" t="str">
        <f>IFERROR(__xludf.DUMMYFUNCTION("""COMPUTED_VALUE"""),"")</f>
        <v/>
      </c>
      <c r="T1300" s="4" t="str">
        <f>IFERROR(__xludf.DUMMYFUNCTION("""COMPUTED_VALUE"""),"")</f>
        <v/>
      </c>
      <c r="U1300" s="4" t="str">
        <f>IFERROR(__xludf.DUMMYFUNCTION("""COMPUTED_VALUE"""),"")</f>
        <v/>
      </c>
      <c r="V1300" s="4" t="str">
        <f>IFERROR(__xludf.DUMMYFUNCTION("""COMPUTED_VALUE"""),"")</f>
        <v/>
      </c>
      <c r="W1300" s="4" t="str">
        <f>IFERROR(__xludf.DUMMYFUNCTION("""COMPUTED_VALUE"""),"")</f>
        <v/>
      </c>
      <c r="X1300" s="4" t="str">
        <f>IFERROR(__xludf.DUMMYFUNCTION("""COMPUTED_VALUE"""),"")</f>
        <v/>
      </c>
      <c r="Y1300" s="4" t="str">
        <f>IFERROR(__xludf.DUMMYFUNCTION("""COMPUTED_VALUE"""),"")</f>
        <v/>
      </c>
    </row>
    <row r="1301">
      <c r="A1301" s="4" t="str">
        <f>IFERROR(__xludf.DUMMYFUNCTION("""COMPUTED_VALUE"""),"1830 - Channel")</f>
        <v>1830 - Channel</v>
      </c>
      <c r="B1301" s="4" t="str">
        <f>IFERROR(__xludf.DUMMYFUNCTION("""COMPUTED_VALUE"""),"")</f>
        <v/>
      </c>
      <c r="C1301" s="4" t="str">
        <f>IFERROR(__xludf.DUMMYFUNCTION("""COMPUTED_VALUE"""),"")</f>
        <v/>
      </c>
      <c r="D1301" s="4" t="str">
        <f>IFERROR(__xludf.DUMMYFUNCTION("""COMPUTED_VALUE"""),"")</f>
        <v/>
      </c>
      <c r="E1301" s="4" t="str">
        <f>IFERROR(__xludf.DUMMYFUNCTION("""COMPUTED_VALUE"""),"")</f>
        <v/>
      </c>
      <c r="F1301" s="4" t="str">
        <f>IFERROR(__xludf.DUMMYFUNCTION("""COMPUTED_VALUE"""),"")</f>
        <v/>
      </c>
      <c r="G1301" s="4" t="str">
        <f>IFERROR(__xludf.DUMMYFUNCTION("""COMPUTED_VALUE"""),"")</f>
        <v/>
      </c>
      <c r="H1301" s="4" t="str">
        <f>IFERROR(__xludf.DUMMYFUNCTION("""COMPUTED_VALUE"""),"")</f>
        <v/>
      </c>
      <c r="I1301" s="4" t="str">
        <f>IFERROR(__xludf.DUMMYFUNCTION("""COMPUTED_VALUE"""),"")</f>
        <v/>
      </c>
      <c r="J1301" s="4" t="str">
        <f>IFERROR(__xludf.DUMMYFUNCTION("""COMPUTED_VALUE"""),"")</f>
        <v/>
      </c>
      <c r="K1301" s="4" t="str">
        <f>IFERROR(__xludf.DUMMYFUNCTION("""COMPUTED_VALUE"""),"")</f>
        <v/>
      </c>
      <c r="L1301" s="4" t="str">
        <f>IFERROR(__xludf.DUMMYFUNCTION("""COMPUTED_VALUE"""),"")</f>
        <v/>
      </c>
      <c r="M1301" s="4" t="str">
        <f>IFERROR(__xludf.DUMMYFUNCTION("""COMPUTED_VALUE"""),"")</f>
        <v/>
      </c>
      <c r="N1301" s="4" t="str">
        <f>IFERROR(__xludf.DUMMYFUNCTION("""COMPUTED_VALUE"""),"")</f>
        <v/>
      </c>
      <c r="O1301" s="4" t="str">
        <f>IFERROR(__xludf.DUMMYFUNCTION("""COMPUTED_VALUE"""),"")</f>
        <v/>
      </c>
      <c r="P1301" s="4" t="str">
        <f>IFERROR(__xludf.DUMMYFUNCTION("""COMPUTED_VALUE"""),"")</f>
        <v/>
      </c>
      <c r="Q1301" s="4" t="str">
        <f>IFERROR(__xludf.DUMMYFUNCTION("""COMPUTED_VALUE"""),"")</f>
        <v/>
      </c>
      <c r="R1301" s="4" t="str">
        <f>IFERROR(__xludf.DUMMYFUNCTION("""COMPUTED_VALUE"""),"")</f>
        <v/>
      </c>
      <c r="S1301" s="4" t="str">
        <f>IFERROR(__xludf.DUMMYFUNCTION("""COMPUTED_VALUE"""),"")</f>
        <v/>
      </c>
      <c r="T1301" s="4" t="str">
        <f>IFERROR(__xludf.DUMMYFUNCTION("""COMPUTED_VALUE"""),"")</f>
        <v/>
      </c>
      <c r="U1301" s="4" t="str">
        <f>IFERROR(__xludf.DUMMYFUNCTION("""COMPUTED_VALUE"""),"")</f>
        <v/>
      </c>
      <c r="V1301" s="4" t="str">
        <f>IFERROR(__xludf.DUMMYFUNCTION("""COMPUTED_VALUE"""),"")</f>
        <v/>
      </c>
      <c r="W1301" s="4" t="str">
        <f>IFERROR(__xludf.DUMMYFUNCTION("""COMPUTED_VALUE"""),"")</f>
        <v/>
      </c>
      <c r="X1301" s="4" t="str">
        <f>IFERROR(__xludf.DUMMYFUNCTION("""COMPUTED_VALUE"""),"")</f>
        <v/>
      </c>
      <c r="Y1301" s="4" t="str">
        <f>IFERROR(__xludf.DUMMYFUNCTION("""COMPUTED_VALUE"""),"")</f>
        <v/>
      </c>
    </row>
    <row r="1302">
      <c r="A1302" s="4" t="str">
        <f>IFERROR(__xludf.DUMMYFUNCTION("""COMPUTED_VALUE"""),"1831 - Channel")</f>
        <v>1831 - Channel</v>
      </c>
      <c r="B1302" s="4" t="str">
        <f>IFERROR(__xludf.DUMMYFUNCTION("""COMPUTED_VALUE"""),"")</f>
        <v/>
      </c>
      <c r="C1302" s="4" t="str">
        <f>IFERROR(__xludf.DUMMYFUNCTION("""COMPUTED_VALUE"""),"")</f>
        <v/>
      </c>
      <c r="D1302" s="4" t="str">
        <f>IFERROR(__xludf.DUMMYFUNCTION("""COMPUTED_VALUE"""),"")</f>
        <v/>
      </c>
      <c r="E1302" s="4" t="str">
        <f>IFERROR(__xludf.DUMMYFUNCTION("""COMPUTED_VALUE"""),"")</f>
        <v/>
      </c>
      <c r="F1302" s="4" t="str">
        <f>IFERROR(__xludf.DUMMYFUNCTION("""COMPUTED_VALUE"""),"")</f>
        <v/>
      </c>
      <c r="G1302" s="4" t="str">
        <f>IFERROR(__xludf.DUMMYFUNCTION("""COMPUTED_VALUE"""),"")</f>
        <v/>
      </c>
      <c r="H1302" s="4" t="str">
        <f>IFERROR(__xludf.DUMMYFUNCTION("""COMPUTED_VALUE"""),"")</f>
        <v/>
      </c>
      <c r="I1302" s="4" t="str">
        <f>IFERROR(__xludf.DUMMYFUNCTION("""COMPUTED_VALUE"""),"")</f>
        <v/>
      </c>
      <c r="J1302" s="4" t="str">
        <f>IFERROR(__xludf.DUMMYFUNCTION("""COMPUTED_VALUE"""),"")</f>
        <v/>
      </c>
      <c r="K1302" s="4" t="str">
        <f>IFERROR(__xludf.DUMMYFUNCTION("""COMPUTED_VALUE"""),"")</f>
        <v/>
      </c>
      <c r="L1302" s="4" t="str">
        <f>IFERROR(__xludf.DUMMYFUNCTION("""COMPUTED_VALUE"""),"")</f>
        <v/>
      </c>
      <c r="M1302" s="4" t="str">
        <f>IFERROR(__xludf.DUMMYFUNCTION("""COMPUTED_VALUE"""),"")</f>
        <v/>
      </c>
      <c r="N1302" s="4" t="str">
        <f>IFERROR(__xludf.DUMMYFUNCTION("""COMPUTED_VALUE"""),"")</f>
        <v/>
      </c>
      <c r="O1302" s="4" t="str">
        <f>IFERROR(__xludf.DUMMYFUNCTION("""COMPUTED_VALUE"""),"")</f>
        <v/>
      </c>
      <c r="P1302" s="4" t="str">
        <f>IFERROR(__xludf.DUMMYFUNCTION("""COMPUTED_VALUE"""),"")</f>
        <v/>
      </c>
      <c r="Q1302" s="4" t="str">
        <f>IFERROR(__xludf.DUMMYFUNCTION("""COMPUTED_VALUE"""),"")</f>
        <v/>
      </c>
      <c r="R1302" s="4" t="str">
        <f>IFERROR(__xludf.DUMMYFUNCTION("""COMPUTED_VALUE"""),"")</f>
        <v/>
      </c>
      <c r="S1302" s="4" t="str">
        <f>IFERROR(__xludf.DUMMYFUNCTION("""COMPUTED_VALUE"""),"")</f>
        <v/>
      </c>
      <c r="T1302" s="4" t="str">
        <f>IFERROR(__xludf.DUMMYFUNCTION("""COMPUTED_VALUE"""),"")</f>
        <v/>
      </c>
      <c r="U1302" s="4" t="str">
        <f>IFERROR(__xludf.DUMMYFUNCTION("""COMPUTED_VALUE"""),"")</f>
        <v/>
      </c>
      <c r="V1302" s="4" t="str">
        <f>IFERROR(__xludf.DUMMYFUNCTION("""COMPUTED_VALUE"""),"")</f>
        <v/>
      </c>
      <c r="W1302" s="4" t="str">
        <f>IFERROR(__xludf.DUMMYFUNCTION("""COMPUTED_VALUE"""),"")</f>
        <v/>
      </c>
      <c r="X1302" s="4" t="str">
        <f>IFERROR(__xludf.DUMMYFUNCTION("""COMPUTED_VALUE"""),"")</f>
        <v/>
      </c>
      <c r="Y1302" s="4" t="str">
        <f>IFERROR(__xludf.DUMMYFUNCTION("""COMPUTED_VALUE"""),"")</f>
        <v/>
      </c>
    </row>
    <row r="1303">
      <c r="A1303" s="4" t="str">
        <f>IFERROR(__xludf.DUMMYFUNCTION("""COMPUTED_VALUE"""),"1832 - Channel")</f>
        <v>1832 - Channel</v>
      </c>
      <c r="B1303" s="4" t="str">
        <f>IFERROR(__xludf.DUMMYFUNCTION("""COMPUTED_VALUE"""),"")</f>
        <v/>
      </c>
      <c r="C1303" s="4" t="str">
        <f>IFERROR(__xludf.DUMMYFUNCTION("""COMPUTED_VALUE"""),"")</f>
        <v/>
      </c>
      <c r="D1303" s="4" t="str">
        <f>IFERROR(__xludf.DUMMYFUNCTION("""COMPUTED_VALUE"""),"")</f>
        <v/>
      </c>
      <c r="E1303" s="4" t="str">
        <f>IFERROR(__xludf.DUMMYFUNCTION("""COMPUTED_VALUE"""),"")</f>
        <v/>
      </c>
      <c r="F1303" s="4" t="str">
        <f>IFERROR(__xludf.DUMMYFUNCTION("""COMPUTED_VALUE"""),"")</f>
        <v/>
      </c>
      <c r="G1303" s="4" t="str">
        <f>IFERROR(__xludf.DUMMYFUNCTION("""COMPUTED_VALUE"""),"")</f>
        <v/>
      </c>
      <c r="H1303" s="4" t="str">
        <f>IFERROR(__xludf.DUMMYFUNCTION("""COMPUTED_VALUE"""),"")</f>
        <v/>
      </c>
      <c r="I1303" s="4" t="str">
        <f>IFERROR(__xludf.DUMMYFUNCTION("""COMPUTED_VALUE"""),"")</f>
        <v/>
      </c>
      <c r="J1303" s="4" t="str">
        <f>IFERROR(__xludf.DUMMYFUNCTION("""COMPUTED_VALUE"""),"")</f>
        <v/>
      </c>
      <c r="K1303" s="4" t="str">
        <f>IFERROR(__xludf.DUMMYFUNCTION("""COMPUTED_VALUE"""),"")</f>
        <v/>
      </c>
      <c r="L1303" s="4" t="str">
        <f>IFERROR(__xludf.DUMMYFUNCTION("""COMPUTED_VALUE"""),"")</f>
        <v/>
      </c>
      <c r="M1303" s="4" t="str">
        <f>IFERROR(__xludf.DUMMYFUNCTION("""COMPUTED_VALUE"""),"")</f>
        <v/>
      </c>
      <c r="N1303" s="4" t="str">
        <f>IFERROR(__xludf.DUMMYFUNCTION("""COMPUTED_VALUE"""),"")</f>
        <v/>
      </c>
      <c r="O1303" s="4" t="str">
        <f>IFERROR(__xludf.DUMMYFUNCTION("""COMPUTED_VALUE"""),"")</f>
        <v/>
      </c>
      <c r="P1303" s="4" t="str">
        <f>IFERROR(__xludf.DUMMYFUNCTION("""COMPUTED_VALUE"""),"")</f>
        <v/>
      </c>
      <c r="Q1303" s="4" t="str">
        <f>IFERROR(__xludf.DUMMYFUNCTION("""COMPUTED_VALUE"""),"")</f>
        <v/>
      </c>
      <c r="R1303" s="4" t="str">
        <f>IFERROR(__xludf.DUMMYFUNCTION("""COMPUTED_VALUE"""),"")</f>
        <v/>
      </c>
      <c r="S1303" s="4" t="str">
        <f>IFERROR(__xludf.DUMMYFUNCTION("""COMPUTED_VALUE"""),"")</f>
        <v/>
      </c>
      <c r="T1303" s="4" t="str">
        <f>IFERROR(__xludf.DUMMYFUNCTION("""COMPUTED_VALUE"""),"")</f>
        <v/>
      </c>
      <c r="U1303" s="4" t="str">
        <f>IFERROR(__xludf.DUMMYFUNCTION("""COMPUTED_VALUE"""),"")</f>
        <v/>
      </c>
      <c r="V1303" s="4" t="str">
        <f>IFERROR(__xludf.DUMMYFUNCTION("""COMPUTED_VALUE"""),"")</f>
        <v/>
      </c>
      <c r="W1303" s="4" t="str">
        <f>IFERROR(__xludf.DUMMYFUNCTION("""COMPUTED_VALUE"""),"")</f>
        <v/>
      </c>
      <c r="X1303" s="4" t="str">
        <f>IFERROR(__xludf.DUMMYFUNCTION("""COMPUTED_VALUE"""),"")</f>
        <v/>
      </c>
      <c r="Y1303" s="4" t="str">
        <f>IFERROR(__xludf.DUMMYFUNCTION("""COMPUTED_VALUE"""),"")</f>
        <v/>
      </c>
    </row>
    <row r="1304">
      <c r="A1304" s="4" t="str">
        <f>IFERROR(__xludf.DUMMYFUNCTION("""COMPUTED_VALUE"""),"1833 - Channel")</f>
        <v>1833 - Channel</v>
      </c>
      <c r="B1304" s="4" t="str">
        <f>IFERROR(__xludf.DUMMYFUNCTION("""COMPUTED_VALUE"""),"")</f>
        <v/>
      </c>
      <c r="C1304" s="4" t="str">
        <f>IFERROR(__xludf.DUMMYFUNCTION("""COMPUTED_VALUE"""),"")</f>
        <v/>
      </c>
      <c r="D1304" s="4" t="str">
        <f>IFERROR(__xludf.DUMMYFUNCTION("""COMPUTED_VALUE"""),"")</f>
        <v/>
      </c>
      <c r="E1304" s="4" t="str">
        <f>IFERROR(__xludf.DUMMYFUNCTION("""COMPUTED_VALUE"""),"")</f>
        <v/>
      </c>
      <c r="F1304" s="4" t="str">
        <f>IFERROR(__xludf.DUMMYFUNCTION("""COMPUTED_VALUE"""),"")</f>
        <v/>
      </c>
      <c r="G1304" s="4" t="str">
        <f>IFERROR(__xludf.DUMMYFUNCTION("""COMPUTED_VALUE"""),"")</f>
        <v/>
      </c>
      <c r="H1304" s="4" t="str">
        <f>IFERROR(__xludf.DUMMYFUNCTION("""COMPUTED_VALUE"""),"")</f>
        <v/>
      </c>
      <c r="I1304" s="4" t="str">
        <f>IFERROR(__xludf.DUMMYFUNCTION("""COMPUTED_VALUE"""),"")</f>
        <v/>
      </c>
      <c r="J1304" s="4" t="str">
        <f>IFERROR(__xludf.DUMMYFUNCTION("""COMPUTED_VALUE"""),"")</f>
        <v/>
      </c>
      <c r="K1304" s="4" t="str">
        <f>IFERROR(__xludf.DUMMYFUNCTION("""COMPUTED_VALUE"""),"")</f>
        <v/>
      </c>
      <c r="L1304" s="4" t="str">
        <f>IFERROR(__xludf.DUMMYFUNCTION("""COMPUTED_VALUE"""),"")</f>
        <v/>
      </c>
      <c r="M1304" s="4" t="str">
        <f>IFERROR(__xludf.DUMMYFUNCTION("""COMPUTED_VALUE"""),"")</f>
        <v/>
      </c>
      <c r="N1304" s="4" t="str">
        <f>IFERROR(__xludf.DUMMYFUNCTION("""COMPUTED_VALUE"""),"")</f>
        <v/>
      </c>
      <c r="O1304" s="4" t="str">
        <f>IFERROR(__xludf.DUMMYFUNCTION("""COMPUTED_VALUE"""),"")</f>
        <v/>
      </c>
      <c r="P1304" s="4" t="str">
        <f>IFERROR(__xludf.DUMMYFUNCTION("""COMPUTED_VALUE"""),"")</f>
        <v/>
      </c>
      <c r="Q1304" s="4" t="str">
        <f>IFERROR(__xludf.DUMMYFUNCTION("""COMPUTED_VALUE"""),"")</f>
        <v/>
      </c>
      <c r="R1304" s="4" t="str">
        <f>IFERROR(__xludf.DUMMYFUNCTION("""COMPUTED_VALUE"""),"")</f>
        <v/>
      </c>
      <c r="S1304" s="4" t="str">
        <f>IFERROR(__xludf.DUMMYFUNCTION("""COMPUTED_VALUE"""),"")</f>
        <v/>
      </c>
      <c r="T1304" s="4" t="str">
        <f>IFERROR(__xludf.DUMMYFUNCTION("""COMPUTED_VALUE"""),"")</f>
        <v/>
      </c>
      <c r="U1304" s="4" t="str">
        <f>IFERROR(__xludf.DUMMYFUNCTION("""COMPUTED_VALUE"""),"")</f>
        <v/>
      </c>
      <c r="V1304" s="4" t="str">
        <f>IFERROR(__xludf.DUMMYFUNCTION("""COMPUTED_VALUE"""),"")</f>
        <v/>
      </c>
      <c r="W1304" s="4" t="str">
        <f>IFERROR(__xludf.DUMMYFUNCTION("""COMPUTED_VALUE"""),"")</f>
        <v/>
      </c>
      <c r="X1304" s="4" t="str">
        <f>IFERROR(__xludf.DUMMYFUNCTION("""COMPUTED_VALUE"""),"")</f>
        <v/>
      </c>
      <c r="Y1304" s="4" t="str">
        <f>IFERROR(__xludf.DUMMYFUNCTION("""COMPUTED_VALUE"""),"")</f>
        <v/>
      </c>
    </row>
    <row r="1305">
      <c r="A1305" s="4" t="str">
        <f>IFERROR(__xludf.DUMMYFUNCTION("""COMPUTED_VALUE"""),"1835 - Channel")</f>
        <v>1835 - Channel</v>
      </c>
      <c r="B1305" s="4" t="str">
        <f>IFERROR(__xludf.DUMMYFUNCTION("""COMPUTED_VALUE"""),"")</f>
        <v/>
      </c>
      <c r="C1305" s="4" t="str">
        <f>IFERROR(__xludf.DUMMYFUNCTION("""COMPUTED_VALUE"""),"")</f>
        <v/>
      </c>
      <c r="D1305" s="4" t="str">
        <f>IFERROR(__xludf.DUMMYFUNCTION("""COMPUTED_VALUE"""),"")</f>
        <v/>
      </c>
      <c r="E1305" s="4" t="str">
        <f>IFERROR(__xludf.DUMMYFUNCTION("""COMPUTED_VALUE"""),"")</f>
        <v/>
      </c>
      <c r="F1305" s="4" t="str">
        <f>IFERROR(__xludf.DUMMYFUNCTION("""COMPUTED_VALUE"""),"")</f>
        <v/>
      </c>
      <c r="G1305" s="4" t="str">
        <f>IFERROR(__xludf.DUMMYFUNCTION("""COMPUTED_VALUE"""),"")</f>
        <v/>
      </c>
      <c r="H1305" s="4" t="str">
        <f>IFERROR(__xludf.DUMMYFUNCTION("""COMPUTED_VALUE"""),"")</f>
        <v/>
      </c>
      <c r="I1305" s="4" t="str">
        <f>IFERROR(__xludf.DUMMYFUNCTION("""COMPUTED_VALUE"""),"")</f>
        <v/>
      </c>
      <c r="J1305" s="4" t="str">
        <f>IFERROR(__xludf.DUMMYFUNCTION("""COMPUTED_VALUE"""),"")</f>
        <v/>
      </c>
      <c r="K1305" s="4" t="str">
        <f>IFERROR(__xludf.DUMMYFUNCTION("""COMPUTED_VALUE"""),"")</f>
        <v/>
      </c>
      <c r="L1305" s="4" t="str">
        <f>IFERROR(__xludf.DUMMYFUNCTION("""COMPUTED_VALUE"""),"")</f>
        <v/>
      </c>
      <c r="M1305" s="4" t="str">
        <f>IFERROR(__xludf.DUMMYFUNCTION("""COMPUTED_VALUE"""),"")</f>
        <v/>
      </c>
      <c r="N1305" s="4" t="str">
        <f>IFERROR(__xludf.DUMMYFUNCTION("""COMPUTED_VALUE"""),"")</f>
        <v/>
      </c>
      <c r="O1305" s="4" t="str">
        <f>IFERROR(__xludf.DUMMYFUNCTION("""COMPUTED_VALUE"""),"")</f>
        <v/>
      </c>
      <c r="P1305" s="4" t="str">
        <f>IFERROR(__xludf.DUMMYFUNCTION("""COMPUTED_VALUE"""),"")</f>
        <v/>
      </c>
      <c r="Q1305" s="4" t="str">
        <f>IFERROR(__xludf.DUMMYFUNCTION("""COMPUTED_VALUE"""),"")</f>
        <v/>
      </c>
      <c r="R1305" s="4" t="str">
        <f>IFERROR(__xludf.DUMMYFUNCTION("""COMPUTED_VALUE"""),"")</f>
        <v/>
      </c>
      <c r="S1305" s="4" t="str">
        <f>IFERROR(__xludf.DUMMYFUNCTION("""COMPUTED_VALUE"""),"")</f>
        <v/>
      </c>
      <c r="T1305" s="4" t="str">
        <f>IFERROR(__xludf.DUMMYFUNCTION("""COMPUTED_VALUE"""),"")</f>
        <v/>
      </c>
      <c r="U1305" s="4" t="str">
        <f>IFERROR(__xludf.DUMMYFUNCTION("""COMPUTED_VALUE"""),"")</f>
        <v/>
      </c>
      <c r="V1305" s="4" t="str">
        <f>IFERROR(__xludf.DUMMYFUNCTION("""COMPUTED_VALUE"""),"")</f>
        <v/>
      </c>
      <c r="W1305" s="4" t="str">
        <f>IFERROR(__xludf.DUMMYFUNCTION("""COMPUTED_VALUE"""),"")</f>
        <v/>
      </c>
      <c r="X1305" s="4" t="str">
        <f>IFERROR(__xludf.DUMMYFUNCTION("""COMPUTED_VALUE"""),"")</f>
        <v/>
      </c>
      <c r="Y1305" s="4" t="str">
        <f>IFERROR(__xludf.DUMMYFUNCTION("""COMPUTED_VALUE"""),"")</f>
        <v/>
      </c>
    </row>
    <row r="1306">
      <c r="A1306" s="4" t="str">
        <f>IFERROR(__xludf.DUMMYFUNCTION("""COMPUTED_VALUE"""),"1836 - Channel")</f>
        <v>1836 - Channel</v>
      </c>
      <c r="B1306" s="4" t="str">
        <f>IFERROR(__xludf.DUMMYFUNCTION("""COMPUTED_VALUE"""),"")</f>
        <v/>
      </c>
      <c r="C1306" s="4" t="str">
        <f>IFERROR(__xludf.DUMMYFUNCTION("""COMPUTED_VALUE"""),"")</f>
        <v/>
      </c>
      <c r="D1306" s="4" t="str">
        <f>IFERROR(__xludf.DUMMYFUNCTION("""COMPUTED_VALUE"""),"")</f>
        <v/>
      </c>
      <c r="E1306" s="4" t="str">
        <f>IFERROR(__xludf.DUMMYFUNCTION("""COMPUTED_VALUE"""),"")</f>
        <v/>
      </c>
      <c r="F1306" s="4" t="str">
        <f>IFERROR(__xludf.DUMMYFUNCTION("""COMPUTED_VALUE"""),"")</f>
        <v/>
      </c>
      <c r="G1306" s="4" t="str">
        <f>IFERROR(__xludf.DUMMYFUNCTION("""COMPUTED_VALUE"""),"")</f>
        <v/>
      </c>
      <c r="H1306" s="4" t="str">
        <f>IFERROR(__xludf.DUMMYFUNCTION("""COMPUTED_VALUE"""),"")</f>
        <v/>
      </c>
      <c r="I1306" s="4" t="str">
        <f>IFERROR(__xludf.DUMMYFUNCTION("""COMPUTED_VALUE"""),"")</f>
        <v/>
      </c>
      <c r="J1306" s="4" t="str">
        <f>IFERROR(__xludf.DUMMYFUNCTION("""COMPUTED_VALUE"""),"")</f>
        <v/>
      </c>
      <c r="K1306" s="4" t="str">
        <f>IFERROR(__xludf.DUMMYFUNCTION("""COMPUTED_VALUE"""),"")</f>
        <v/>
      </c>
      <c r="L1306" s="4" t="str">
        <f>IFERROR(__xludf.DUMMYFUNCTION("""COMPUTED_VALUE"""),"")</f>
        <v/>
      </c>
      <c r="M1306" s="4" t="str">
        <f>IFERROR(__xludf.DUMMYFUNCTION("""COMPUTED_VALUE"""),"")</f>
        <v/>
      </c>
      <c r="N1306" s="4" t="str">
        <f>IFERROR(__xludf.DUMMYFUNCTION("""COMPUTED_VALUE"""),"")</f>
        <v/>
      </c>
      <c r="O1306" s="4" t="str">
        <f>IFERROR(__xludf.DUMMYFUNCTION("""COMPUTED_VALUE"""),"")</f>
        <v/>
      </c>
      <c r="P1306" s="4" t="str">
        <f>IFERROR(__xludf.DUMMYFUNCTION("""COMPUTED_VALUE"""),"")</f>
        <v/>
      </c>
      <c r="Q1306" s="4" t="str">
        <f>IFERROR(__xludf.DUMMYFUNCTION("""COMPUTED_VALUE"""),"")</f>
        <v/>
      </c>
      <c r="R1306" s="4" t="str">
        <f>IFERROR(__xludf.DUMMYFUNCTION("""COMPUTED_VALUE"""),"")</f>
        <v/>
      </c>
      <c r="S1306" s="4" t="str">
        <f>IFERROR(__xludf.DUMMYFUNCTION("""COMPUTED_VALUE"""),"")</f>
        <v/>
      </c>
      <c r="T1306" s="4" t="str">
        <f>IFERROR(__xludf.DUMMYFUNCTION("""COMPUTED_VALUE"""),"")</f>
        <v/>
      </c>
      <c r="U1306" s="4" t="str">
        <f>IFERROR(__xludf.DUMMYFUNCTION("""COMPUTED_VALUE"""),"")</f>
        <v/>
      </c>
      <c r="V1306" s="4" t="str">
        <f>IFERROR(__xludf.DUMMYFUNCTION("""COMPUTED_VALUE"""),"")</f>
        <v/>
      </c>
      <c r="W1306" s="4" t="str">
        <f>IFERROR(__xludf.DUMMYFUNCTION("""COMPUTED_VALUE"""),"")</f>
        <v/>
      </c>
      <c r="X1306" s="4" t="str">
        <f>IFERROR(__xludf.DUMMYFUNCTION("""COMPUTED_VALUE"""),"")</f>
        <v/>
      </c>
      <c r="Y1306" s="4" t="str">
        <f>IFERROR(__xludf.DUMMYFUNCTION("""COMPUTED_VALUE"""),"")</f>
        <v/>
      </c>
    </row>
    <row r="1307">
      <c r="A1307" s="4" t="str">
        <f>IFERROR(__xludf.DUMMYFUNCTION("""COMPUTED_VALUE"""),"1837 - Channel")</f>
        <v>1837 - Channel</v>
      </c>
      <c r="B1307" s="4" t="str">
        <f>IFERROR(__xludf.DUMMYFUNCTION("""COMPUTED_VALUE"""),"")</f>
        <v/>
      </c>
      <c r="C1307" s="4" t="str">
        <f>IFERROR(__xludf.DUMMYFUNCTION("""COMPUTED_VALUE"""),"")</f>
        <v/>
      </c>
      <c r="D1307" s="4" t="str">
        <f>IFERROR(__xludf.DUMMYFUNCTION("""COMPUTED_VALUE"""),"")</f>
        <v/>
      </c>
      <c r="E1307" s="4" t="str">
        <f>IFERROR(__xludf.DUMMYFUNCTION("""COMPUTED_VALUE"""),"")</f>
        <v/>
      </c>
      <c r="F1307" s="4" t="str">
        <f>IFERROR(__xludf.DUMMYFUNCTION("""COMPUTED_VALUE"""),"")</f>
        <v/>
      </c>
      <c r="G1307" s="4" t="str">
        <f>IFERROR(__xludf.DUMMYFUNCTION("""COMPUTED_VALUE"""),"")</f>
        <v/>
      </c>
      <c r="H1307" s="4" t="str">
        <f>IFERROR(__xludf.DUMMYFUNCTION("""COMPUTED_VALUE"""),"")</f>
        <v/>
      </c>
      <c r="I1307" s="4" t="str">
        <f>IFERROR(__xludf.DUMMYFUNCTION("""COMPUTED_VALUE"""),"")</f>
        <v/>
      </c>
      <c r="J1307" s="4" t="str">
        <f>IFERROR(__xludf.DUMMYFUNCTION("""COMPUTED_VALUE"""),"")</f>
        <v/>
      </c>
      <c r="K1307" s="4" t="str">
        <f>IFERROR(__xludf.DUMMYFUNCTION("""COMPUTED_VALUE"""),"")</f>
        <v/>
      </c>
      <c r="L1307" s="4" t="str">
        <f>IFERROR(__xludf.DUMMYFUNCTION("""COMPUTED_VALUE"""),"")</f>
        <v/>
      </c>
      <c r="M1307" s="4" t="str">
        <f>IFERROR(__xludf.DUMMYFUNCTION("""COMPUTED_VALUE"""),"")</f>
        <v/>
      </c>
      <c r="N1307" s="4" t="str">
        <f>IFERROR(__xludf.DUMMYFUNCTION("""COMPUTED_VALUE"""),"")</f>
        <v/>
      </c>
      <c r="O1307" s="4" t="str">
        <f>IFERROR(__xludf.DUMMYFUNCTION("""COMPUTED_VALUE"""),"")</f>
        <v/>
      </c>
      <c r="P1307" s="4" t="str">
        <f>IFERROR(__xludf.DUMMYFUNCTION("""COMPUTED_VALUE"""),"")</f>
        <v/>
      </c>
      <c r="Q1307" s="4" t="str">
        <f>IFERROR(__xludf.DUMMYFUNCTION("""COMPUTED_VALUE"""),"")</f>
        <v/>
      </c>
      <c r="R1307" s="4" t="str">
        <f>IFERROR(__xludf.DUMMYFUNCTION("""COMPUTED_VALUE"""),"")</f>
        <v/>
      </c>
      <c r="S1307" s="4" t="str">
        <f>IFERROR(__xludf.DUMMYFUNCTION("""COMPUTED_VALUE"""),"")</f>
        <v/>
      </c>
      <c r="T1307" s="4" t="str">
        <f>IFERROR(__xludf.DUMMYFUNCTION("""COMPUTED_VALUE"""),"")</f>
        <v/>
      </c>
      <c r="U1307" s="4" t="str">
        <f>IFERROR(__xludf.DUMMYFUNCTION("""COMPUTED_VALUE"""),"")</f>
        <v/>
      </c>
      <c r="V1307" s="4" t="str">
        <f>IFERROR(__xludf.DUMMYFUNCTION("""COMPUTED_VALUE"""),"")</f>
        <v/>
      </c>
      <c r="W1307" s="4" t="str">
        <f>IFERROR(__xludf.DUMMYFUNCTION("""COMPUTED_VALUE"""),"")</f>
        <v/>
      </c>
      <c r="X1307" s="4" t="str">
        <f>IFERROR(__xludf.DUMMYFUNCTION("""COMPUTED_VALUE"""),"")</f>
        <v/>
      </c>
      <c r="Y1307" s="4" t="str">
        <f>IFERROR(__xludf.DUMMYFUNCTION("""COMPUTED_VALUE"""),"")</f>
        <v/>
      </c>
    </row>
    <row r="1308">
      <c r="A1308" s="4" t="str">
        <f>IFERROR(__xludf.DUMMYFUNCTION("""COMPUTED_VALUE"""),"1838 - Channel")</f>
        <v>1838 - Channel</v>
      </c>
      <c r="B1308" s="4" t="str">
        <f>IFERROR(__xludf.DUMMYFUNCTION("""COMPUTED_VALUE"""),"")</f>
        <v/>
      </c>
      <c r="C1308" s="4" t="str">
        <f>IFERROR(__xludf.DUMMYFUNCTION("""COMPUTED_VALUE"""),"")</f>
        <v/>
      </c>
      <c r="D1308" s="4" t="str">
        <f>IFERROR(__xludf.DUMMYFUNCTION("""COMPUTED_VALUE"""),"")</f>
        <v/>
      </c>
      <c r="E1308" s="4" t="str">
        <f>IFERROR(__xludf.DUMMYFUNCTION("""COMPUTED_VALUE"""),"")</f>
        <v/>
      </c>
      <c r="F1308" s="4" t="str">
        <f>IFERROR(__xludf.DUMMYFUNCTION("""COMPUTED_VALUE"""),"")</f>
        <v/>
      </c>
      <c r="G1308" s="4" t="str">
        <f>IFERROR(__xludf.DUMMYFUNCTION("""COMPUTED_VALUE"""),"")</f>
        <v/>
      </c>
      <c r="H1308" s="4" t="str">
        <f>IFERROR(__xludf.DUMMYFUNCTION("""COMPUTED_VALUE"""),"")</f>
        <v/>
      </c>
      <c r="I1308" s="4" t="str">
        <f>IFERROR(__xludf.DUMMYFUNCTION("""COMPUTED_VALUE"""),"")</f>
        <v/>
      </c>
      <c r="J1308" s="4" t="str">
        <f>IFERROR(__xludf.DUMMYFUNCTION("""COMPUTED_VALUE"""),"")</f>
        <v/>
      </c>
      <c r="K1308" s="4" t="str">
        <f>IFERROR(__xludf.DUMMYFUNCTION("""COMPUTED_VALUE"""),"")</f>
        <v/>
      </c>
      <c r="L1308" s="4" t="str">
        <f>IFERROR(__xludf.DUMMYFUNCTION("""COMPUTED_VALUE"""),"")</f>
        <v/>
      </c>
      <c r="M1308" s="4" t="str">
        <f>IFERROR(__xludf.DUMMYFUNCTION("""COMPUTED_VALUE"""),"")</f>
        <v/>
      </c>
      <c r="N1308" s="4" t="str">
        <f>IFERROR(__xludf.DUMMYFUNCTION("""COMPUTED_VALUE"""),"")</f>
        <v/>
      </c>
      <c r="O1308" s="4" t="str">
        <f>IFERROR(__xludf.DUMMYFUNCTION("""COMPUTED_VALUE"""),"")</f>
        <v/>
      </c>
      <c r="P1308" s="4" t="str">
        <f>IFERROR(__xludf.DUMMYFUNCTION("""COMPUTED_VALUE"""),"")</f>
        <v/>
      </c>
      <c r="Q1308" s="4" t="str">
        <f>IFERROR(__xludf.DUMMYFUNCTION("""COMPUTED_VALUE"""),"")</f>
        <v/>
      </c>
      <c r="R1308" s="4" t="str">
        <f>IFERROR(__xludf.DUMMYFUNCTION("""COMPUTED_VALUE"""),"")</f>
        <v/>
      </c>
      <c r="S1308" s="4" t="str">
        <f>IFERROR(__xludf.DUMMYFUNCTION("""COMPUTED_VALUE"""),"")</f>
        <v/>
      </c>
      <c r="T1308" s="4" t="str">
        <f>IFERROR(__xludf.DUMMYFUNCTION("""COMPUTED_VALUE"""),"")</f>
        <v/>
      </c>
      <c r="U1308" s="4" t="str">
        <f>IFERROR(__xludf.DUMMYFUNCTION("""COMPUTED_VALUE"""),"")</f>
        <v/>
      </c>
      <c r="V1308" s="4" t="str">
        <f>IFERROR(__xludf.DUMMYFUNCTION("""COMPUTED_VALUE"""),"")</f>
        <v/>
      </c>
      <c r="W1308" s="4" t="str">
        <f>IFERROR(__xludf.DUMMYFUNCTION("""COMPUTED_VALUE"""),"")</f>
        <v/>
      </c>
      <c r="X1308" s="4" t="str">
        <f>IFERROR(__xludf.DUMMYFUNCTION("""COMPUTED_VALUE"""),"")</f>
        <v/>
      </c>
      <c r="Y1308" s="4" t="str">
        <f>IFERROR(__xludf.DUMMYFUNCTION("""COMPUTED_VALUE"""),"")</f>
        <v/>
      </c>
    </row>
    <row r="1309">
      <c r="A1309" s="4" t="str">
        <f>IFERROR(__xludf.DUMMYFUNCTION("""COMPUTED_VALUE"""),"1839 - Channel")</f>
        <v>1839 - Channel</v>
      </c>
      <c r="B1309" s="4" t="str">
        <f>IFERROR(__xludf.DUMMYFUNCTION("""COMPUTED_VALUE"""),"")</f>
        <v/>
      </c>
      <c r="C1309" s="4" t="str">
        <f>IFERROR(__xludf.DUMMYFUNCTION("""COMPUTED_VALUE"""),"")</f>
        <v/>
      </c>
      <c r="D1309" s="4" t="str">
        <f>IFERROR(__xludf.DUMMYFUNCTION("""COMPUTED_VALUE"""),"")</f>
        <v/>
      </c>
      <c r="E1309" s="4" t="str">
        <f>IFERROR(__xludf.DUMMYFUNCTION("""COMPUTED_VALUE"""),"")</f>
        <v/>
      </c>
      <c r="F1309" s="4" t="str">
        <f>IFERROR(__xludf.DUMMYFUNCTION("""COMPUTED_VALUE"""),"")</f>
        <v/>
      </c>
      <c r="G1309" s="4" t="str">
        <f>IFERROR(__xludf.DUMMYFUNCTION("""COMPUTED_VALUE"""),"")</f>
        <v/>
      </c>
      <c r="H1309" s="4" t="str">
        <f>IFERROR(__xludf.DUMMYFUNCTION("""COMPUTED_VALUE"""),"")</f>
        <v/>
      </c>
      <c r="I1309" s="4" t="str">
        <f>IFERROR(__xludf.DUMMYFUNCTION("""COMPUTED_VALUE"""),"")</f>
        <v/>
      </c>
      <c r="J1309" s="4" t="str">
        <f>IFERROR(__xludf.DUMMYFUNCTION("""COMPUTED_VALUE"""),"")</f>
        <v/>
      </c>
      <c r="K1309" s="4" t="str">
        <f>IFERROR(__xludf.DUMMYFUNCTION("""COMPUTED_VALUE"""),"")</f>
        <v/>
      </c>
      <c r="L1309" s="4" t="str">
        <f>IFERROR(__xludf.DUMMYFUNCTION("""COMPUTED_VALUE"""),"")</f>
        <v/>
      </c>
      <c r="M1309" s="4" t="str">
        <f>IFERROR(__xludf.DUMMYFUNCTION("""COMPUTED_VALUE"""),"")</f>
        <v/>
      </c>
      <c r="N1309" s="4" t="str">
        <f>IFERROR(__xludf.DUMMYFUNCTION("""COMPUTED_VALUE"""),"")</f>
        <v/>
      </c>
      <c r="O1309" s="4" t="str">
        <f>IFERROR(__xludf.DUMMYFUNCTION("""COMPUTED_VALUE"""),"")</f>
        <v/>
      </c>
      <c r="P1309" s="4" t="str">
        <f>IFERROR(__xludf.DUMMYFUNCTION("""COMPUTED_VALUE"""),"")</f>
        <v/>
      </c>
      <c r="Q1309" s="4" t="str">
        <f>IFERROR(__xludf.DUMMYFUNCTION("""COMPUTED_VALUE"""),"")</f>
        <v/>
      </c>
      <c r="R1309" s="4" t="str">
        <f>IFERROR(__xludf.DUMMYFUNCTION("""COMPUTED_VALUE"""),"")</f>
        <v/>
      </c>
      <c r="S1309" s="4" t="str">
        <f>IFERROR(__xludf.DUMMYFUNCTION("""COMPUTED_VALUE"""),"")</f>
        <v/>
      </c>
      <c r="T1309" s="4" t="str">
        <f>IFERROR(__xludf.DUMMYFUNCTION("""COMPUTED_VALUE"""),"")</f>
        <v/>
      </c>
      <c r="U1309" s="4" t="str">
        <f>IFERROR(__xludf.DUMMYFUNCTION("""COMPUTED_VALUE"""),"")</f>
        <v/>
      </c>
      <c r="V1309" s="4" t="str">
        <f>IFERROR(__xludf.DUMMYFUNCTION("""COMPUTED_VALUE"""),"")</f>
        <v/>
      </c>
      <c r="W1309" s="4" t="str">
        <f>IFERROR(__xludf.DUMMYFUNCTION("""COMPUTED_VALUE"""),"")</f>
        <v/>
      </c>
      <c r="X1309" s="4" t="str">
        <f>IFERROR(__xludf.DUMMYFUNCTION("""COMPUTED_VALUE"""),"")</f>
        <v/>
      </c>
      <c r="Y1309" s="4" t="str">
        <f>IFERROR(__xludf.DUMMYFUNCTION("""COMPUTED_VALUE"""),"")</f>
        <v/>
      </c>
    </row>
    <row r="1310">
      <c r="A1310" s="4" t="str">
        <f>IFERROR(__xludf.DUMMYFUNCTION("""COMPUTED_VALUE"""),"1840 - Channel")</f>
        <v>1840 - Channel</v>
      </c>
      <c r="B1310" s="4" t="str">
        <f>IFERROR(__xludf.DUMMYFUNCTION("""COMPUTED_VALUE"""),"")</f>
        <v/>
      </c>
      <c r="C1310" s="4" t="str">
        <f>IFERROR(__xludf.DUMMYFUNCTION("""COMPUTED_VALUE"""),"")</f>
        <v/>
      </c>
      <c r="D1310" s="4" t="str">
        <f>IFERROR(__xludf.DUMMYFUNCTION("""COMPUTED_VALUE"""),"")</f>
        <v/>
      </c>
      <c r="E1310" s="4" t="str">
        <f>IFERROR(__xludf.DUMMYFUNCTION("""COMPUTED_VALUE"""),"")</f>
        <v/>
      </c>
      <c r="F1310" s="4" t="str">
        <f>IFERROR(__xludf.DUMMYFUNCTION("""COMPUTED_VALUE"""),"")</f>
        <v/>
      </c>
      <c r="G1310" s="4" t="str">
        <f>IFERROR(__xludf.DUMMYFUNCTION("""COMPUTED_VALUE"""),"")</f>
        <v/>
      </c>
      <c r="H1310" s="4" t="str">
        <f>IFERROR(__xludf.DUMMYFUNCTION("""COMPUTED_VALUE"""),"")</f>
        <v/>
      </c>
      <c r="I1310" s="4" t="str">
        <f>IFERROR(__xludf.DUMMYFUNCTION("""COMPUTED_VALUE"""),"")</f>
        <v/>
      </c>
      <c r="J1310" s="4" t="str">
        <f>IFERROR(__xludf.DUMMYFUNCTION("""COMPUTED_VALUE"""),"")</f>
        <v/>
      </c>
      <c r="K1310" s="4" t="str">
        <f>IFERROR(__xludf.DUMMYFUNCTION("""COMPUTED_VALUE"""),"")</f>
        <v/>
      </c>
      <c r="L1310" s="4" t="str">
        <f>IFERROR(__xludf.DUMMYFUNCTION("""COMPUTED_VALUE"""),"")</f>
        <v/>
      </c>
      <c r="M1310" s="4" t="str">
        <f>IFERROR(__xludf.DUMMYFUNCTION("""COMPUTED_VALUE"""),"")</f>
        <v/>
      </c>
      <c r="N1310" s="4" t="str">
        <f>IFERROR(__xludf.DUMMYFUNCTION("""COMPUTED_VALUE"""),"")</f>
        <v/>
      </c>
      <c r="O1310" s="4" t="str">
        <f>IFERROR(__xludf.DUMMYFUNCTION("""COMPUTED_VALUE"""),"")</f>
        <v/>
      </c>
      <c r="P1310" s="4" t="str">
        <f>IFERROR(__xludf.DUMMYFUNCTION("""COMPUTED_VALUE"""),"")</f>
        <v/>
      </c>
      <c r="Q1310" s="4" t="str">
        <f>IFERROR(__xludf.DUMMYFUNCTION("""COMPUTED_VALUE"""),"")</f>
        <v/>
      </c>
      <c r="R1310" s="4" t="str">
        <f>IFERROR(__xludf.DUMMYFUNCTION("""COMPUTED_VALUE"""),"")</f>
        <v/>
      </c>
      <c r="S1310" s="4" t="str">
        <f>IFERROR(__xludf.DUMMYFUNCTION("""COMPUTED_VALUE"""),"")</f>
        <v/>
      </c>
      <c r="T1310" s="4" t="str">
        <f>IFERROR(__xludf.DUMMYFUNCTION("""COMPUTED_VALUE"""),"")</f>
        <v/>
      </c>
      <c r="U1310" s="4" t="str">
        <f>IFERROR(__xludf.DUMMYFUNCTION("""COMPUTED_VALUE"""),"")</f>
        <v/>
      </c>
      <c r="V1310" s="4" t="str">
        <f>IFERROR(__xludf.DUMMYFUNCTION("""COMPUTED_VALUE"""),"")</f>
        <v/>
      </c>
      <c r="W1310" s="4" t="str">
        <f>IFERROR(__xludf.DUMMYFUNCTION("""COMPUTED_VALUE"""),"")</f>
        <v/>
      </c>
      <c r="X1310" s="4" t="str">
        <f>IFERROR(__xludf.DUMMYFUNCTION("""COMPUTED_VALUE"""),"")</f>
        <v/>
      </c>
      <c r="Y1310" s="4" t="str">
        <f>IFERROR(__xludf.DUMMYFUNCTION("""COMPUTED_VALUE"""),"")</f>
        <v/>
      </c>
    </row>
    <row r="1311">
      <c r="A1311" s="4" t="str">
        <f>IFERROR(__xludf.DUMMYFUNCTION("""COMPUTED_VALUE"""),"1841 - Channel")</f>
        <v>1841 - Channel</v>
      </c>
      <c r="B1311" s="4" t="str">
        <f>IFERROR(__xludf.DUMMYFUNCTION("""COMPUTED_VALUE"""),"")</f>
        <v/>
      </c>
      <c r="C1311" s="4" t="str">
        <f>IFERROR(__xludf.DUMMYFUNCTION("""COMPUTED_VALUE"""),"")</f>
        <v/>
      </c>
      <c r="D1311" s="4" t="str">
        <f>IFERROR(__xludf.DUMMYFUNCTION("""COMPUTED_VALUE"""),"")</f>
        <v/>
      </c>
      <c r="E1311" s="4" t="str">
        <f>IFERROR(__xludf.DUMMYFUNCTION("""COMPUTED_VALUE"""),"")</f>
        <v/>
      </c>
      <c r="F1311" s="4" t="str">
        <f>IFERROR(__xludf.DUMMYFUNCTION("""COMPUTED_VALUE"""),"")</f>
        <v/>
      </c>
      <c r="G1311" s="4" t="str">
        <f>IFERROR(__xludf.DUMMYFUNCTION("""COMPUTED_VALUE"""),"")</f>
        <v/>
      </c>
      <c r="H1311" s="4" t="str">
        <f>IFERROR(__xludf.DUMMYFUNCTION("""COMPUTED_VALUE"""),"")</f>
        <v/>
      </c>
      <c r="I1311" s="4" t="str">
        <f>IFERROR(__xludf.DUMMYFUNCTION("""COMPUTED_VALUE"""),"")</f>
        <v/>
      </c>
      <c r="J1311" s="4" t="str">
        <f>IFERROR(__xludf.DUMMYFUNCTION("""COMPUTED_VALUE"""),"")</f>
        <v/>
      </c>
      <c r="K1311" s="4" t="str">
        <f>IFERROR(__xludf.DUMMYFUNCTION("""COMPUTED_VALUE"""),"")</f>
        <v/>
      </c>
      <c r="L1311" s="4" t="str">
        <f>IFERROR(__xludf.DUMMYFUNCTION("""COMPUTED_VALUE"""),"")</f>
        <v/>
      </c>
      <c r="M1311" s="4" t="str">
        <f>IFERROR(__xludf.DUMMYFUNCTION("""COMPUTED_VALUE"""),"")</f>
        <v/>
      </c>
      <c r="N1311" s="4" t="str">
        <f>IFERROR(__xludf.DUMMYFUNCTION("""COMPUTED_VALUE"""),"")</f>
        <v/>
      </c>
      <c r="O1311" s="4" t="str">
        <f>IFERROR(__xludf.DUMMYFUNCTION("""COMPUTED_VALUE"""),"")</f>
        <v/>
      </c>
      <c r="P1311" s="4" t="str">
        <f>IFERROR(__xludf.DUMMYFUNCTION("""COMPUTED_VALUE"""),"")</f>
        <v/>
      </c>
      <c r="Q1311" s="4" t="str">
        <f>IFERROR(__xludf.DUMMYFUNCTION("""COMPUTED_VALUE"""),"")</f>
        <v/>
      </c>
      <c r="R1311" s="4" t="str">
        <f>IFERROR(__xludf.DUMMYFUNCTION("""COMPUTED_VALUE"""),"")</f>
        <v/>
      </c>
      <c r="S1311" s="4" t="str">
        <f>IFERROR(__xludf.DUMMYFUNCTION("""COMPUTED_VALUE"""),"")</f>
        <v/>
      </c>
      <c r="T1311" s="4" t="str">
        <f>IFERROR(__xludf.DUMMYFUNCTION("""COMPUTED_VALUE"""),"")</f>
        <v/>
      </c>
      <c r="U1311" s="4" t="str">
        <f>IFERROR(__xludf.DUMMYFUNCTION("""COMPUTED_VALUE"""),"")</f>
        <v/>
      </c>
      <c r="V1311" s="4" t="str">
        <f>IFERROR(__xludf.DUMMYFUNCTION("""COMPUTED_VALUE"""),"")</f>
        <v/>
      </c>
      <c r="W1311" s="4" t="str">
        <f>IFERROR(__xludf.DUMMYFUNCTION("""COMPUTED_VALUE"""),"")</f>
        <v/>
      </c>
      <c r="X1311" s="4" t="str">
        <f>IFERROR(__xludf.DUMMYFUNCTION("""COMPUTED_VALUE"""),"")</f>
        <v/>
      </c>
      <c r="Y1311" s="4" t="str">
        <f>IFERROR(__xludf.DUMMYFUNCTION("""COMPUTED_VALUE"""),"")</f>
        <v/>
      </c>
    </row>
    <row r="1312">
      <c r="A1312" s="4" t="str">
        <f>IFERROR(__xludf.DUMMYFUNCTION("""COMPUTED_VALUE"""),"1842 - Channel")</f>
        <v>1842 - Channel</v>
      </c>
      <c r="B1312" s="4" t="str">
        <f>IFERROR(__xludf.DUMMYFUNCTION("""COMPUTED_VALUE"""),"")</f>
        <v/>
      </c>
      <c r="C1312" s="4" t="str">
        <f>IFERROR(__xludf.DUMMYFUNCTION("""COMPUTED_VALUE"""),"")</f>
        <v/>
      </c>
      <c r="D1312" s="4" t="str">
        <f>IFERROR(__xludf.DUMMYFUNCTION("""COMPUTED_VALUE"""),"")</f>
        <v/>
      </c>
      <c r="E1312" s="4" t="str">
        <f>IFERROR(__xludf.DUMMYFUNCTION("""COMPUTED_VALUE"""),"")</f>
        <v/>
      </c>
      <c r="F1312" s="4" t="str">
        <f>IFERROR(__xludf.DUMMYFUNCTION("""COMPUTED_VALUE"""),"")</f>
        <v/>
      </c>
      <c r="G1312" s="4" t="str">
        <f>IFERROR(__xludf.DUMMYFUNCTION("""COMPUTED_VALUE"""),"")</f>
        <v/>
      </c>
      <c r="H1312" s="4" t="str">
        <f>IFERROR(__xludf.DUMMYFUNCTION("""COMPUTED_VALUE"""),"")</f>
        <v/>
      </c>
      <c r="I1312" s="4" t="str">
        <f>IFERROR(__xludf.DUMMYFUNCTION("""COMPUTED_VALUE"""),"")</f>
        <v/>
      </c>
      <c r="J1312" s="4" t="str">
        <f>IFERROR(__xludf.DUMMYFUNCTION("""COMPUTED_VALUE"""),"")</f>
        <v/>
      </c>
      <c r="K1312" s="4" t="str">
        <f>IFERROR(__xludf.DUMMYFUNCTION("""COMPUTED_VALUE"""),"")</f>
        <v/>
      </c>
      <c r="L1312" s="4" t="str">
        <f>IFERROR(__xludf.DUMMYFUNCTION("""COMPUTED_VALUE"""),"")</f>
        <v/>
      </c>
      <c r="M1312" s="4" t="str">
        <f>IFERROR(__xludf.DUMMYFUNCTION("""COMPUTED_VALUE"""),"")</f>
        <v/>
      </c>
      <c r="N1312" s="4" t="str">
        <f>IFERROR(__xludf.DUMMYFUNCTION("""COMPUTED_VALUE"""),"")</f>
        <v/>
      </c>
      <c r="O1312" s="4" t="str">
        <f>IFERROR(__xludf.DUMMYFUNCTION("""COMPUTED_VALUE"""),"")</f>
        <v/>
      </c>
      <c r="P1312" s="4" t="str">
        <f>IFERROR(__xludf.DUMMYFUNCTION("""COMPUTED_VALUE"""),"")</f>
        <v/>
      </c>
      <c r="Q1312" s="4" t="str">
        <f>IFERROR(__xludf.DUMMYFUNCTION("""COMPUTED_VALUE"""),"")</f>
        <v/>
      </c>
      <c r="R1312" s="4" t="str">
        <f>IFERROR(__xludf.DUMMYFUNCTION("""COMPUTED_VALUE"""),"")</f>
        <v/>
      </c>
      <c r="S1312" s="4" t="str">
        <f>IFERROR(__xludf.DUMMYFUNCTION("""COMPUTED_VALUE"""),"")</f>
        <v/>
      </c>
      <c r="T1312" s="4" t="str">
        <f>IFERROR(__xludf.DUMMYFUNCTION("""COMPUTED_VALUE"""),"")</f>
        <v/>
      </c>
      <c r="U1312" s="4" t="str">
        <f>IFERROR(__xludf.DUMMYFUNCTION("""COMPUTED_VALUE"""),"")</f>
        <v/>
      </c>
      <c r="V1312" s="4" t="str">
        <f>IFERROR(__xludf.DUMMYFUNCTION("""COMPUTED_VALUE"""),"")</f>
        <v/>
      </c>
      <c r="W1312" s="4" t="str">
        <f>IFERROR(__xludf.DUMMYFUNCTION("""COMPUTED_VALUE"""),"")</f>
        <v/>
      </c>
      <c r="X1312" s="4" t="str">
        <f>IFERROR(__xludf.DUMMYFUNCTION("""COMPUTED_VALUE"""),"")</f>
        <v/>
      </c>
      <c r="Y1312" s="4" t="str">
        <f>IFERROR(__xludf.DUMMYFUNCTION("""COMPUTED_VALUE"""),"")</f>
        <v/>
      </c>
    </row>
    <row r="1313">
      <c r="A1313" s="4" t="str">
        <f>IFERROR(__xludf.DUMMYFUNCTION("""COMPUTED_VALUE"""),"1843 - Channel")</f>
        <v>1843 - Channel</v>
      </c>
      <c r="B1313" s="4" t="str">
        <f>IFERROR(__xludf.DUMMYFUNCTION("""COMPUTED_VALUE"""),"")</f>
        <v/>
      </c>
      <c r="C1313" s="4" t="str">
        <f>IFERROR(__xludf.DUMMYFUNCTION("""COMPUTED_VALUE"""),"")</f>
        <v/>
      </c>
      <c r="D1313" s="4" t="str">
        <f>IFERROR(__xludf.DUMMYFUNCTION("""COMPUTED_VALUE"""),"")</f>
        <v/>
      </c>
      <c r="E1313" s="4" t="str">
        <f>IFERROR(__xludf.DUMMYFUNCTION("""COMPUTED_VALUE"""),"")</f>
        <v/>
      </c>
      <c r="F1313" s="4" t="str">
        <f>IFERROR(__xludf.DUMMYFUNCTION("""COMPUTED_VALUE"""),"")</f>
        <v/>
      </c>
      <c r="G1313" s="4" t="str">
        <f>IFERROR(__xludf.DUMMYFUNCTION("""COMPUTED_VALUE"""),"")</f>
        <v/>
      </c>
      <c r="H1313" s="4" t="str">
        <f>IFERROR(__xludf.DUMMYFUNCTION("""COMPUTED_VALUE"""),"")</f>
        <v/>
      </c>
      <c r="I1313" s="4" t="str">
        <f>IFERROR(__xludf.DUMMYFUNCTION("""COMPUTED_VALUE"""),"")</f>
        <v/>
      </c>
      <c r="J1313" s="4" t="str">
        <f>IFERROR(__xludf.DUMMYFUNCTION("""COMPUTED_VALUE"""),"")</f>
        <v/>
      </c>
      <c r="K1313" s="4" t="str">
        <f>IFERROR(__xludf.DUMMYFUNCTION("""COMPUTED_VALUE"""),"")</f>
        <v/>
      </c>
      <c r="L1313" s="4" t="str">
        <f>IFERROR(__xludf.DUMMYFUNCTION("""COMPUTED_VALUE"""),"")</f>
        <v/>
      </c>
      <c r="M1313" s="4" t="str">
        <f>IFERROR(__xludf.DUMMYFUNCTION("""COMPUTED_VALUE"""),"")</f>
        <v/>
      </c>
      <c r="N1313" s="4" t="str">
        <f>IFERROR(__xludf.DUMMYFUNCTION("""COMPUTED_VALUE"""),"")</f>
        <v/>
      </c>
      <c r="O1313" s="4" t="str">
        <f>IFERROR(__xludf.DUMMYFUNCTION("""COMPUTED_VALUE"""),"")</f>
        <v/>
      </c>
      <c r="P1313" s="4" t="str">
        <f>IFERROR(__xludf.DUMMYFUNCTION("""COMPUTED_VALUE"""),"")</f>
        <v/>
      </c>
      <c r="Q1313" s="4" t="str">
        <f>IFERROR(__xludf.DUMMYFUNCTION("""COMPUTED_VALUE"""),"")</f>
        <v/>
      </c>
      <c r="R1313" s="4" t="str">
        <f>IFERROR(__xludf.DUMMYFUNCTION("""COMPUTED_VALUE"""),"")</f>
        <v/>
      </c>
      <c r="S1313" s="4" t="str">
        <f>IFERROR(__xludf.DUMMYFUNCTION("""COMPUTED_VALUE"""),"")</f>
        <v/>
      </c>
      <c r="T1313" s="4" t="str">
        <f>IFERROR(__xludf.DUMMYFUNCTION("""COMPUTED_VALUE"""),"")</f>
        <v/>
      </c>
      <c r="U1313" s="4" t="str">
        <f>IFERROR(__xludf.DUMMYFUNCTION("""COMPUTED_VALUE"""),"")</f>
        <v/>
      </c>
      <c r="V1313" s="4" t="str">
        <f>IFERROR(__xludf.DUMMYFUNCTION("""COMPUTED_VALUE"""),"")</f>
        <v/>
      </c>
      <c r="W1313" s="4" t="str">
        <f>IFERROR(__xludf.DUMMYFUNCTION("""COMPUTED_VALUE"""),"")</f>
        <v/>
      </c>
      <c r="X1313" s="4" t="str">
        <f>IFERROR(__xludf.DUMMYFUNCTION("""COMPUTED_VALUE"""),"")</f>
        <v/>
      </c>
      <c r="Y1313" s="4" t="str">
        <f>IFERROR(__xludf.DUMMYFUNCTION("""COMPUTED_VALUE"""),"")</f>
        <v/>
      </c>
    </row>
    <row r="1314">
      <c r="A1314" s="4" t="str">
        <f>IFERROR(__xludf.DUMMYFUNCTION("""COMPUTED_VALUE"""),"1844 - Channel")</f>
        <v>1844 - Channel</v>
      </c>
      <c r="B1314" s="4" t="str">
        <f>IFERROR(__xludf.DUMMYFUNCTION("""COMPUTED_VALUE"""),"")</f>
        <v/>
      </c>
      <c r="C1314" s="4" t="str">
        <f>IFERROR(__xludf.DUMMYFUNCTION("""COMPUTED_VALUE"""),"")</f>
        <v/>
      </c>
      <c r="D1314" s="4" t="str">
        <f>IFERROR(__xludf.DUMMYFUNCTION("""COMPUTED_VALUE"""),"")</f>
        <v/>
      </c>
      <c r="E1314" s="4" t="str">
        <f>IFERROR(__xludf.DUMMYFUNCTION("""COMPUTED_VALUE"""),"")</f>
        <v/>
      </c>
      <c r="F1314" s="4" t="str">
        <f>IFERROR(__xludf.DUMMYFUNCTION("""COMPUTED_VALUE"""),"")</f>
        <v/>
      </c>
      <c r="G1314" s="4" t="str">
        <f>IFERROR(__xludf.DUMMYFUNCTION("""COMPUTED_VALUE"""),"")</f>
        <v/>
      </c>
      <c r="H1314" s="4" t="str">
        <f>IFERROR(__xludf.DUMMYFUNCTION("""COMPUTED_VALUE"""),"")</f>
        <v/>
      </c>
      <c r="I1314" s="4" t="str">
        <f>IFERROR(__xludf.DUMMYFUNCTION("""COMPUTED_VALUE"""),"")</f>
        <v/>
      </c>
      <c r="J1314" s="4" t="str">
        <f>IFERROR(__xludf.DUMMYFUNCTION("""COMPUTED_VALUE"""),"")</f>
        <v/>
      </c>
      <c r="K1314" s="4" t="str">
        <f>IFERROR(__xludf.DUMMYFUNCTION("""COMPUTED_VALUE"""),"")</f>
        <v/>
      </c>
      <c r="L1314" s="4" t="str">
        <f>IFERROR(__xludf.DUMMYFUNCTION("""COMPUTED_VALUE"""),"")</f>
        <v/>
      </c>
      <c r="M1314" s="4" t="str">
        <f>IFERROR(__xludf.DUMMYFUNCTION("""COMPUTED_VALUE"""),"")</f>
        <v/>
      </c>
      <c r="N1314" s="4" t="str">
        <f>IFERROR(__xludf.DUMMYFUNCTION("""COMPUTED_VALUE"""),"")</f>
        <v/>
      </c>
      <c r="O1314" s="4" t="str">
        <f>IFERROR(__xludf.DUMMYFUNCTION("""COMPUTED_VALUE"""),"")</f>
        <v/>
      </c>
      <c r="P1314" s="4" t="str">
        <f>IFERROR(__xludf.DUMMYFUNCTION("""COMPUTED_VALUE"""),"")</f>
        <v/>
      </c>
      <c r="Q1314" s="4" t="str">
        <f>IFERROR(__xludf.DUMMYFUNCTION("""COMPUTED_VALUE"""),"")</f>
        <v/>
      </c>
      <c r="R1314" s="4" t="str">
        <f>IFERROR(__xludf.DUMMYFUNCTION("""COMPUTED_VALUE"""),"")</f>
        <v/>
      </c>
      <c r="S1314" s="4" t="str">
        <f>IFERROR(__xludf.DUMMYFUNCTION("""COMPUTED_VALUE"""),"")</f>
        <v/>
      </c>
      <c r="T1314" s="4" t="str">
        <f>IFERROR(__xludf.DUMMYFUNCTION("""COMPUTED_VALUE"""),"")</f>
        <v/>
      </c>
      <c r="U1314" s="4" t="str">
        <f>IFERROR(__xludf.DUMMYFUNCTION("""COMPUTED_VALUE"""),"")</f>
        <v/>
      </c>
      <c r="V1314" s="4" t="str">
        <f>IFERROR(__xludf.DUMMYFUNCTION("""COMPUTED_VALUE"""),"")</f>
        <v/>
      </c>
      <c r="W1314" s="4" t="str">
        <f>IFERROR(__xludf.DUMMYFUNCTION("""COMPUTED_VALUE"""),"")</f>
        <v/>
      </c>
      <c r="X1314" s="4" t="str">
        <f>IFERROR(__xludf.DUMMYFUNCTION("""COMPUTED_VALUE"""),"")</f>
        <v/>
      </c>
      <c r="Y1314" s="4" t="str">
        <f>IFERROR(__xludf.DUMMYFUNCTION("""COMPUTED_VALUE"""),"")</f>
        <v/>
      </c>
    </row>
    <row r="1315">
      <c r="A1315" s="4" t="str">
        <f>IFERROR(__xludf.DUMMYFUNCTION("""COMPUTED_VALUE"""),"1845 - Channel")</f>
        <v>1845 - Channel</v>
      </c>
      <c r="B1315" s="4" t="str">
        <f>IFERROR(__xludf.DUMMYFUNCTION("""COMPUTED_VALUE"""),"")</f>
        <v/>
      </c>
      <c r="C1315" s="4" t="str">
        <f>IFERROR(__xludf.DUMMYFUNCTION("""COMPUTED_VALUE"""),"")</f>
        <v/>
      </c>
      <c r="D1315" s="4" t="str">
        <f>IFERROR(__xludf.DUMMYFUNCTION("""COMPUTED_VALUE"""),"")</f>
        <v/>
      </c>
      <c r="E1315" s="4" t="str">
        <f>IFERROR(__xludf.DUMMYFUNCTION("""COMPUTED_VALUE"""),"")</f>
        <v/>
      </c>
      <c r="F1315" s="4" t="str">
        <f>IFERROR(__xludf.DUMMYFUNCTION("""COMPUTED_VALUE"""),"")</f>
        <v/>
      </c>
      <c r="G1315" s="4" t="str">
        <f>IFERROR(__xludf.DUMMYFUNCTION("""COMPUTED_VALUE"""),"")</f>
        <v/>
      </c>
      <c r="H1315" s="4" t="str">
        <f>IFERROR(__xludf.DUMMYFUNCTION("""COMPUTED_VALUE"""),"")</f>
        <v/>
      </c>
      <c r="I1315" s="4" t="str">
        <f>IFERROR(__xludf.DUMMYFUNCTION("""COMPUTED_VALUE"""),"")</f>
        <v/>
      </c>
      <c r="J1315" s="4" t="str">
        <f>IFERROR(__xludf.DUMMYFUNCTION("""COMPUTED_VALUE"""),"")</f>
        <v/>
      </c>
      <c r="K1315" s="4" t="str">
        <f>IFERROR(__xludf.DUMMYFUNCTION("""COMPUTED_VALUE"""),"")</f>
        <v/>
      </c>
      <c r="L1315" s="4" t="str">
        <f>IFERROR(__xludf.DUMMYFUNCTION("""COMPUTED_VALUE"""),"")</f>
        <v/>
      </c>
      <c r="M1315" s="4" t="str">
        <f>IFERROR(__xludf.DUMMYFUNCTION("""COMPUTED_VALUE"""),"")</f>
        <v/>
      </c>
      <c r="N1315" s="4" t="str">
        <f>IFERROR(__xludf.DUMMYFUNCTION("""COMPUTED_VALUE"""),"")</f>
        <v/>
      </c>
      <c r="O1315" s="4" t="str">
        <f>IFERROR(__xludf.DUMMYFUNCTION("""COMPUTED_VALUE"""),"")</f>
        <v/>
      </c>
      <c r="P1315" s="4" t="str">
        <f>IFERROR(__xludf.DUMMYFUNCTION("""COMPUTED_VALUE"""),"")</f>
        <v/>
      </c>
      <c r="Q1315" s="4" t="str">
        <f>IFERROR(__xludf.DUMMYFUNCTION("""COMPUTED_VALUE"""),"")</f>
        <v/>
      </c>
      <c r="R1315" s="4" t="str">
        <f>IFERROR(__xludf.DUMMYFUNCTION("""COMPUTED_VALUE"""),"")</f>
        <v/>
      </c>
      <c r="S1315" s="4" t="str">
        <f>IFERROR(__xludf.DUMMYFUNCTION("""COMPUTED_VALUE"""),"")</f>
        <v/>
      </c>
      <c r="T1315" s="4" t="str">
        <f>IFERROR(__xludf.DUMMYFUNCTION("""COMPUTED_VALUE"""),"")</f>
        <v/>
      </c>
      <c r="U1315" s="4" t="str">
        <f>IFERROR(__xludf.DUMMYFUNCTION("""COMPUTED_VALUE"""),"")</f>
        <v/>
      </c>
      <c r="V1315" s="4" t="str">
        <f>IFERROR(__xludf.DUMMYFUNCTION("""COMPUTED_VALUE"""),"")</f>
        <v/>
      </c>
      <c r="W1315" s="4" t="str">
        <f>IFERROR(__xludf.DUMMYFUNCTION("""COMPUTED_VALUE"""),"")</f>
        <v/>
      </c>
      <c r="X1315" s="4" t="str">
        <f>IFERROR(__xludf.DUMMYFUNCTION("""COMPUTED_VALUE"""),"")</f>
        <v/>
      </c>
      <c r="Y1315" s="4" t="str">
        <f>IFERROR(__xludf.DUMMYFUNCTION("""COMPUTED_VALUE"""),"")</f>
        <v/>
      </c>
    </row>
    <row r="1316">
      <c r="A1316" s="4" t="str">
        <f>IFERROR(__xludf.DUMMYFUNCTION("""COMPUTED_VALUE"""),"1846 - Channel")</f>
        <v>1846 - Channel</v>
      </c>
      <c r="B1316" s="4" t="str">
        <f>IFERROR(__xludf.DUMMYFUNCTION("""COMPUTED_VALUE"""),"")</f>
        <v/>
      </c>
      <c r="C1316" s="4" t="str">
        <f>IFERROR(__xludf.DUMMYFUNCTION("""COMPUTED_VALUE"""),"")</f>
        <v/>
      </c>
      <c r="D1316" s="4" t="str">
        <f>IFERROR(__xludf.DUMMYFUNCTION("""COMPUTED_VALUE"""),"")</f>
        <v/>
      </c>
      <c r="E1316" s="4" t="str">
        <f>IFERROR(__xludf.DUMMYFUNCTION("""COMPUTED_VALUE"""),"")</f>
        <v/>
      </c>
      <c r="F1316" s="4" t="str">
        <f>IFERROR(__xludf.DUMMYFUNCTION("""COMPUTED_VALUE"""),"")</f>
        <v/>
      </c>
      <c r="G1316" s="4" t="str">
        <f>IFERROR(__xludf.DUMMYFUNCTION("""COMPUTED_VALUE"""),"")</f>
        <v/>
      </c>
      <c r="H1316" s="4" t="str">
        <f>IFERROR(__xludf.DUMMYFUNCTION("""COMPUTED_VALUE"""),"")</f>
        <v/>
      </c>
      <c r="I1316" s="4" t="str">
        <f>IFERROR(__xludf.DUMMYFUNCTION("""COMPUTED_VALUE"""),"")</f>
        <v/>
      </c>
      <c r="J1316" s="4" t="str">
        <f>IFERROR(__xludf.DUMMYFUNCTION("""COMPUTED_VALUE"""),"")</f>
        <v/>
      </c>
      <c r="K1316" s="4" t="str">
        <f>IFERROR(__xludf.DUMMYFUNCTION("""COMPUTED_VALUE"""),"")</f>
        <v/>
      </c>
      <c r="L1316" s="4" t="str">
        <f>IFERROR(__xludf.DUMMYFUNCTION("""COMPUTED_VALUE"""),"")</f>
        <v/>
      </c>
      <c r="M1316" s="4" t="str">
        <f>IFERROR(__xludf.DUMMYFUNCTION("""COMPUTED_VALUE"""),"")</f>
        <v/>
      </c>
      <c r="N1316" s="4" t="str">
        <f>IFERROR(__xludf.DUMMYFUNCTION("""COMPUTED_VALUE"""),"")</f>
        <v/>
      </c>
      <c r="O1316" s="4" t="str">
        <f>IFERROR(__xludf.DUMMYFUNCTION("""COMPUTED_VALUE"""),"")</f>
        <v/>
      </c>
      <c r="P1316" s="4" t="str">
        <f>IFERROR(__xludf.DUMMYFUNCTION("""COMPUTED_VALUE"""),"")</f>
        <v/>
      </c>
      <c r="Q1316" s="4" t="str">
        <f>IFERROR(__xludf.DUMMYFUNCTION("""COMPUTED_VALUE"""),"")</f>
        <v/>
      </c>
      <c r="R1316" s="4" t="str">
        <f>IFERROR(__xludf.DUMMYFUNCTION("""COMPUTED_VALUE"""),"")</f>
        <v/>
      </c>
      <c r="S1316" s="4" t="str">
        <f>IFERROR(__xludf.DUMMYFUNCTION("""COMPUTED_VALUE"""),"")</f>
        <v/>
      </c>
      <c r="T1316" s="4" t="str">
        <f>IFERROR(__xludf.DUMMYFUNCTION("""COMPUTED_VALUE"""),"")</f>
        <v/>
      </c>
      <c r="U1316" s="4" t="str">
        <f>IFERROR(__xludf.DUMMYFUNCTION("""COMPUTED_VALUE"""),"")</f>
        <v/>
      </c>
      <c r="V1316" s="4" t="str">
        <f>IFERROR(__xludf.DUMMYFUNCTION("""COMPUTED_VALUE"""),"")</f>
        <v/>
      </c>
      <c r="W1316" s="4" t="str">
        <f>IFERROR(__xludf.DUMMYFUNCTION("""COMPUTED_VALUE"""),"")</f>
        <v/>
      </c>
      <c r="X1316" s="4" t="str">
        <f>IFERROR(__xludf.DUMMYFUNCTION("""COMPUTED_VALUE"""),"")</f>
        <v/>
      </c>
      <c r="Y1316" s="4" t="str">
        <f>IFERROR(__xludf.DUMMYFUNCTION("""COMPUTED_VALUE"""),"")</f>
        <v/>
      </c>
    </row>
    <row r="1317">
      <c r="A1317" s="4" t="str">
        <f>IFERROR(__xludf.DUMMYFUNCTION("""COMPUTED_VALUE"""),"1847 - Channel")</f>
        <v>1847 - Channel</v>
      </c>
      <c r="B1317" s="4" t="str">
        <f>IFERROR(__xludf.DUMMYFUNCTION("""COMPUTED_VALUE"""),"")</f>
        <v/>
      </c>
      <c r="C1317" s="4" t="str">
        <f>IFERROR(__xludf.DUMMYFUNCTION("""COMPUTED_VALUE"""),"")</f>
        <v/>
      </c>
      <c r="D1317" s="4" t="str">
        <f>IFERROR(__xludf.DUMMYFUNCTION("""COMPUTED_VALUE"""),"")</f>
        <v/>
      </c>
      <c r="E1317" s="4" t="str">
        <f>IFERROR(__xludf.DUMMYFUNCTION("""COMPUTED_VALUE"""),"")</f>
        <v/>
      </c>
      <c r="F1317" s="4" t="str">
        <f>IFERROR(__xludf.DUMMYFUNCTION("""COMPUTED_VALUE"""),"")</f>
        <v/>
      </c>
      <c r="G1317" s="4" t="str">
        <f>IFERROR(__xludf.DUMMYFUNCTION("""COMPUTED_VALUE"""),"")</f>
        <v/>
      </c>
      <c r="H1317" s="4" t="str">
        <f>IFERROR(__xludf.DUMMYFUNCTION("""COMPUTED_VALUE"""),"")</f>
        <v/>
      </c>
      <c r="I1317" s="4" t="str">
        <f>IFERROR(__xludf.DUMMYFUNCTION("""COMPUTED_VALUE"""),"")</f>
        <v/>
      </c>
      <c r="J1317" s="4" t="str">
        <f>IFERROR(__xludf.DUMMYFUNCTION("""COMPUTED_VALUE"""),"")</f>
        <v/>
      </c>
      <c r="K1317" s="4" t="str">
        <f>IFERROR(__xludf.DUMMYFUNCTION("""COMPUTED_VALUE"""),"")</f>
        <v/>
      </c>
      <c r="L1317" s="4" t="str">
        <f>IFERROR(__xludf.DUMMYFUNCTION("""COMPUTED_VALUE"""),"")</f>
        <v/>
      </c>
      <c r="M1317" s="4" t="str">
        <f>IFERROR(__xludf.DUMMYFUNCTION("""COMPUTED_VALUE"""),"")</f>
        <v/>
      </c>
      <c r="N1317" s="4" t="str">
        <f>IFERROR(__xludf.DUMMYFUNCTION("""COMPUTED_VALUE"""),"")</f>
        <v/>
      </c>
      <c r="O1317" s="4" t="str">
        <f>IFERROR(__xludf.DUMMYFUNCTION("""COMPUTED_VALUE"""),"")</f>
        <v/>
      </c>
      <c r="P1317" s="4" t="str">
        <f>IFERROR(__xludf.DUMMYFUNCTION("""COMPUTED_VALUE"""),"")</f>
        <v/>
      </c>
      <c r="Q1317" s="4" t="str">
        <f>IFERROR(__xludf.DUMMYFUNCTION("""COMPUTED_VALUE"""),"")</f>
        <v/>
      </c>
      <c r="R1317" s="4" t="str">
        <f>IFERROR(__xludf.DUMMYFUNCTION("""COMPUTED_VALUE"""),"")</f>
        <v/>
      </c>
      <c r="S1317" s="4" t="str">
        <f>IFERROR(__xludf.DUMMYFUNCTION("""COMPUTED_VALUE"""),"")</f>
        <v/>
      </c>
      <c r="T1317" s="4" t="str">
        <f>IFERROR(__xludf.DUMMYFUNCTION("""COMPUTED_VALUE"""),"")</f>
        <v/>
      </c>
      <c r="U1317" s="4" t="str">
        <f>IFERROR(__xludf.DUMMYFUNCTION("""COMPUTED_VALUE"""),"")</f>
        <v/>
      </c>
      <c r="V1317" s="4" t="str">
        <f>IFERROR(__xludf.DUMMYFUNCTION("""COMPUTED_VALUE"""),"")</f>
        <v/>
      </c>
      <c r="W1317" s="4" t="str">
        <f>IFERROR(__xludf.DUMMYFUNCTION("""COMPUTED_VALUE"""),"")</f>
        <v/>
      </c>
      <c r="X1317" s="4" t="str">
        <f>IFERROR(__xludf.DUMMYFUNCTION("""COMPUTED_VALUE"""),"")</f>
        <v/>
      </c>
      <c r="Y1317" s="4" t="str">
        <f>IFERROR(__xludf.DUMMYFUNCTION("""COMPUTED_VALUE"""),"")</f>
        <v/>
      </c>
    </row>
    <row r="1318">
      <c r="A1318" s="4" t="str">
        <f>IFERROR(__xludf.DUMMYFUNCTION("""COMPUTED_VALUE"""),"1848 - Channel")</f>
        <v>1848 - Channel</v>
      </c>
      <c r="B1318" s="4" t="str">
        <f>IFERROR(__xludf.DUMMYFUNCTION("""COMPUTED_VALUE"""),"")</f>
        <v/>
      </c>
      <c r="C1318" s="4" t="str">
        <f>IFERROR(__xludf.DUMMYFUNCTION("""COMPUTED_VALUE"""),"")</f>
        <v/>
      </c>
      <c r="D1318" s="4" t="str">
        <f>IFERROR(__xludf.DUMMYFUNCTION("""COMPUTED_VALUE"""),"")</f>
        <v/>
      </c>
      <c r="E1318" s="4" t="str">
        <f>IFERROR(__xludf.DUMMYFUNCTION("""COMPUTED_VALUE"""),"")</f>
        <v/>
      </c>
      <c r="F1318" s="4" t="str">
        <f>IFERROR(__xludf.DUMMYFUNCTION("""COMPUTED_VALUE"""),"")</f>
        <v/>
      </c>
      <c r="G1318" s="4" t="str">
        <f>IFERROR(__xludf.DUMMYFUNCTION("""COMPUTED_VALUE"""),"")</f>
        <v/>
      </c>
      <c r="H1318" s="4" t="str">
        <f>IFERROR(__xludf.DUMMYFUNCTION("""COMPUTED_VALUE"""),"")</f>
        <v/>
      </c>
      <c r="I1318" s="4" t="str">
        <f>IFERROR(__xludf.DUMMYFUNCTION("""COMPUTED_VALUE"""),"")</f>
        <v/>
      </c>
      <c r="J1318" s="4" t="str">
        <f>IFERROR(__xludf.DUMMYFUNCTION("""COMPUTED_VALUE"""),"")</f>
        <v/>
      </c>
      <c r="K1318" s="4" t="str">
        <f>IFERROR(__xludf.DUMMYFUNCTION("""COMPUTED_VALUE"""),"")</f>
        <v/>
      </c>
      <c r="L1318" s="4" t="str">
        <f>IFERROR(__xludf.DUMMYFUNCTION("""COMPUTED_VALUE"""),"")</f>
        <v/>
      </c>
      <c r="M1318" s="4" t="str">
        <f>IFERROR(__xludf.DUMMYFUNCTION("""COMPUTED_VALUE"""),"")</f>
        <v/>
      </c>
      <c r="N1318" s="4" t="str">
        <f>IFERROR(__xludf.DUMMYFUNCTION("""COMPUTED_VALUE"""),"")</f>
        <v/>
      </c>
      <c r="O1318" s="4" t="str">
        <f>IFERROR(__xludf.DUMMYFUNCTION("""COMPUTED_VALUE"""),"")</f>
        <v/>
      </c>
      <c r="P1318" s="4" t="str">
        <f>IFERROR(__xludf.DUMMYFUNCTION("""COMPUTED_VALUE"""),"")</f>
        <v/>
      </c>
      <c r="Q1318" s="4" t="str">
        <f>IFERROR(__xludf.DUMMYFUNCTION("""COMPUTED_VALUE"""),"")</f>
        <v/>
      </c>
      <c r="R1318" s="4" t="str">
        <f>IFERROR(__xludf.DUMMYFUNCTION("""COMPUTED_VALUE"""),"")</f>
        <v/>
      </c>
      <c r="S1318" s="4" t="str">
        <f>IFERROR(__xludf.DUMMYFUNCTION("""COMPUTED_VALUE"""),"")</f>
        <v/>
      </c>
      <c r="T1318" s="4" t="str">
        <f>IFERROR(__xludf.DUMMYFUNCTION("""COMPUTED_VALUE"""),"")</f>
        <v/>
      </c>
      <c r="U1318" s="4" t="str">
        <f>IFERROR(__xludf.DUMMYFUNCTION("""COMPUTED_VALUE"""),"")</f>
        <v/>
      </c>
      <c r="V1318" s="4" t="str">
        <f>IFERROR(__xludf.DUMMYFUNCTION("""COMPUTED_VALUE"""),"")</f>
        <v/>
      </c>
      <c r="W1318" s="4" t="str">
        <f>IFERROR(__xludf.DUMMYFUNCTION("""COMPUTED_VALUE"""),"")</f>
        <v/>
      </c>
      <c r="X1318" s="4" t="str">
        <f>IFERROR(__xludf.DUMMYFUNCTION("""COMPUTED_VALUE"""),"")</f>
        <v/>
      </c>
      <c r="Y1318" s="4" t="str">
        <f>IFERROR(__xludf.DUMMYFUNCTION("""COMPUTED_VALUE"""),"")</f>
        <v/>
      </c>
    </row>
    <row r="1319">
      <c r="A1319" s="4" t="str">
        <f>IFERROR(__xludf.DUMMYFUNCTION("""COMPUTED_VALUE"""),"1849 - Channel")</f>
        <v>1849 - Channel</v>
      </c>
      <c r="B1319" s="4" t="str">
        <f>IFERROR(__xludf.DUMMYFUNCTION("""COMPUTED_VALUE"""),"")</f>
        <v/>
      </c>
      <c r="C1319" s="4" t="str">
        <f>IFERROR(__xludf.DUMMYFUNCTION("""COMPUTED_VALUE"""),"")</f>
        <v/>
      </c>
      <c r="D1319" s="4" t="str">
        <f>IFERROR(__xludf.DUMMYFUNCTION("""COMPUTED_VALUE"""),"")</f>
        <v/>
      </c>
      <c r="E1319" s="4" t="str">
        <f>IFERROR(__xludf.DUMMYFUNCTION("""COMPUTED_VALUE"""),"")</f>
        <v/>
      </c>
      <c r="F1319" s="4" t="str">
        <f>IFERROR(__xludf.DUMMYFUNCTION("""COMPUTED_VALUE"""),"")</f>
        <v/>
      </c>
      <c r="G1319" s="4" t="str">
        <f>IFERROR(__xludf.DUMMYFUNCTION("""COMPUTED_VALUE"""),"")</f>
        <v/>
      </c>
      <c r="H1319" s="4" t="str">
        <f>IFERROR(__xludf.DUMMYFUNCTION("""COMPUTED_VALUE"""),"")</f>
        <v/>
      </c>
      <c r="I1319" s="4" t="str">
        <f>IFERROR(__xludf.DUMMYFUNCTION("""COMPUTED_VALUE"""),"")</f>
        <v/>
      </c>
      <c r="J1319" s="4" t="str">
        <f>IFERROR(__xludf.DUMMYFUNCTION("""COMPUTED_VALUE"""),"")</f>
        <v/>
      </c>
      <c r="K1319" s="4" t="str">
        <f>IFERROR(__xludf.DUMMYFUNCTION("""COMPUTED_VALUE"""),"")</f>
        <v/>
      </c>
      <c r="L1319" s="4" t="str">
        <f>IFERROR(__xludf.DUMMYFUNCTION("""COMPUTED_VALUE"""),"")</f>
        <v/>
      </c>
      <c r="M1319" s="4" t="str">
        <f>IFERROR(__xludf.DUMMYFUNCTION("""COMPUTED_VALUE"""),"")</f>
        <v/>
      </c>
      <c r="N1319" s="4" t="str">
        <f>IFERROR(__xludf.DUMMYFUNCTION("""COMPUTED_VALUE"""),"")</f>
        <v/>
      </c>
      <c r="O1319" s="4" t="str">
        <f>IFERROR(__xludf.DUMMYFUNCTION("""COMPUTED_VALUE"""),"")</f>
        <v/>
      </c>
      <c r="P1319" s="4" t="str">
        <f>IFERROR(__xludf.DUMMYFUNCTION("""COMPUTED_VALUE"""),"")</f>
        <v/>
      </c>
      <c r="Q1319" s="4" t="str">
        <f>IFERROR(__xludf.DUMMYFUNCTION("""COMPUTED_VALUE"""),"")</f>
        <v/>
      </c>
      <c r="R1319" s="4" t="str">
        <f>IFERROR(__xludf.DUMMYFUNCTION("""COMPUTED_VALUE"""),"")</f>
        <v/>
      </c>
      <c r="S1319" s="4" t="str">
        <f>IFERROR(__xludf.DUMMYFUNCTION("""COMPUTED_VALUE"""),"")</f>
        <v/>
      </c>
      <c r="T1319" s="4" t="str">
        <f>IFERROR(__xludf.DUMMYFUNCTION("""COMPUTED_VALUE"""),"")</f>
        <v/>
      </c>
      <c r="U1319" s="4" t="str">
        <f>IFERROR(__xludf.DUMMYFUNCTION("""COMPUTED_VALUE"""),"")</f>
        <v/>
      </c>
      <c r="V1319" s="4" t="str">
        <f>IFERROR(__xludf.DUMMYFUNCTION("""COMPUTED_VALUE"""),"")</f>
        <v/>
      </c>
      <c r="W1319" s="4" t="str">
        <f>IFERROR(__xludf.DUMMYFUNCTION("""COMPUTED_VALUE"""),"")</f>
        <v/>
      </c>
      <c r="X1319" s="4" t="str">
        <f>IFERROR(__xludf.DUMMYFUNCTION("""COMPUTED_VALUE"""),"")</f>
        <v/>
      </c>
      <c r="Y1319" s="4" t="str">
        <f>IFERROR(__xludf.DUMMYFUNCTION("""COMPUTED_VALUE"""),"")</f>
        <v/>
      </c>
    </row>
    <row r="1320">
      <c r="A1320" s="4" t="str">
        <f>IFERROR(__xludf.DUMMYFUNCTION("""COMPUTED_VALUE"""),"1850 - Channel")</f>
        <v>1850 - Channel</v>
      </c>
      <c r="B1320" s="4" t="str">
        <f>IFERROR(__xludf.DUMMYFUNCTION("""COMPUTED_VALUE"""),"")</f>
        <v/>
      </c>
      <c r="C1320" s="4" t="str">
        <f>IFERROR(__xludf.DUMMYFUNCTION("""COMPUTED_VALUE"""),"")</f>
        <v/>
      </c>
      <c r="D1320" s="4" t="str">
        <f>IFERROR(__xludf.DUMMYFUNCTION("""COMPUTED_VALUE"""),"")</f>
        <v/>
      </c>
      <c r="E1320" s="4" t="str">
        <f>IFERROR(__xludf.DUMMYFUNCTION("""COMPUTED_VALUE"""),"")</f>
        <v/>
      </c>
      <c r="F1320" s="4" t="str">
        <f>IFERROR(__xludf.DUMMYFUNCTION("""COMPUTED_VALUE"""),"")</f>
        <v/>
      </c>
      <c r="G1320" s="4" t="str">
        <f>IFERROR(__xludf.DUMMYFUNCTION("""COMPUTED_VALUE"""),"")</f>
        <v/>
      </c>
      <c r="H1320" s="4" t="str">
        <f>IFERROR(__xludf.DUMMYFUNCTION("""COMPUTED_VALUE"""),"")</f>
        <v/>
      </c>
      <c r="I1320" s="4" t="str">
        <f>IFERROR(__xludf.DUMMYFUNCTION("""COMPUTED_VALUE"""),"")</f>
        <v/>
      </c>
      <c r="J1320" s="4" t="str">
        <f>IFERROR(__xludf.DUMMYFUNCTION("""COMPUTED_VALUE"""),"")</f>
        <v/>
      </c>
      <c r="K1320" s="4" t="str">
        <f>IFERROR(__xludf.DUMMYFUNCTION("""COMPUTED_VALUE"""),"")</f>
        <v/>
      </c>
      <c r="L1320" s="4" t="str">
        <f>IFERROR(__xludf.DUMMYFUNCTION("""COMPUTED_VALUE"""),"")</f>
        <v/>
      </c>
      <c r="M1320" s="4" t="str">
        <f>IFERROR(__xludf.DUMMYFUNCTION("""COMPUTED_VALUE"""),"")</f>
        <v/>
      </c>
      <c r="N1320" s="4" t="str">
        <f>IFERROR(__xludf.DUMMYFUNCTION("""COMPUTED_VALUE"""),"")</f>
        <v/>
      </c>
      <c r="O1320" s="4" t="str">
        <f>IFERROR(__xludf.DUMMYFUNCTION("""COMPUTED_VALUE"""),"")</f>
        <v/>
      </c>
      <c r="P1320" s="4" t="str">
        <f>IFERROR(__xludf.DUMMYFUNCTION("""COMPUTED_VALUE"""),"")</f>
        <v/>
      </c>
      <c r="Q1320" s="4" t="str">
        <f>IFERROR(__xludf.DUMMYFUNCTION("""COMPUTED_VALUE"""),"")</f>
        <v/>
      </c>
      <c r="R1320" s="4" t="str">
        <f>IFERROR(__xludf.DUMMYFUNCTION("""COMPUTED_VALUE"""),"")</f>
        <v/>
      </c>
      <c r="S1320" s="4" t="str">
        <f>IFERROR(__xludf.DUMMYFUNCTION("""COMPUTED_VALUE"""),"")</f>
        <v/>
      </c>
      <c r="T1320" s="4" t="str">
        <f>IFERROR(__xludf.DUMMYFUNCTION("""COMPUTED_VALUE"""),"")</f>
        <v/>
      </c>
      <c r="U1320" s="4" t="str">
        <f>IFERROR(__xludf.DUMMYFUNCTION("""COMPUTED_VALUE"""),"")</f>
        <v/>
      </c>
      <c r="V1320" s="4" t="str">
        <f>IFERROR(__xludf.DUMMYFUNCTION("""COMPUTED_VALUE"""),"")</f>
        <v/>
      </c>
      <c r="W1320" s="4" t="str">
        <f>IFERROR(__xludf.DUMMYFUNCTION("""COMPUTED_VALUE"""),"")</f>
        <v/>
      </c>
      <c r="X1320" s="4" t="str">
        <f>IFERROR(__xludf.DUMMYFUNCTION("""COMPUTED_VALUE"""),"")</f>
        <v/>
      </c>
      <c r="Y1320" s="4" t="str">
        <f>IFERROR(__xludf.DUMMYFUNCTION("""COMPUTED_VALUE"""),"")</f>
        <v/>
      </c>
    </row>
    <row r="1321">
      <c r="A1321" s="4" t="str">
        <f>IFERROR(__xludf.DUMMYFUNCTION("""COMPUTED_VALUE"""),"1851 - Channel")</f>
        <v>1851 - Channel</v>
      </c>
      <c r="B1321" s="4" t="str">
        <f>IFERROR(__xludf.DUMMYFUNCTION("""COMPUTED_VALUE"""),"")</f>
        <v/>
      </c>
      <c r="C1321" s="4" t="str">
        <f>IFERROR(__xludf.DUMMYFUNCTION("""COMPUTED_VALUE"""),"")</f>
        <v/>
      </c>
      <c r="D1321" s="4" t="str">
        <f>IFERROR(__xludf.DUMMYFUNCTION("""COMPUTED_VALUE"""),"")</f>
        <v/>
      </c>
      <c r="E1321" s="4" t="str">
        <f>IFERROR(__xludf.DUMMYFUNCTION("""COMPUTED_VALUE"""),"")</f>
        <v/>
      </c>
      <c r="F1321" s="4" t="str">
        <f>IFERROR(__xludf.DUMMYFUNCTION("""COMPUTED_VALUE"""),"")</f>
        <v/>
      </c>
      <c r="G1321" s="4" t="str">
        <f>IFERROR(__xludf.DUMMYFUNCTION("""COMPUTED_VALUE"""),"")</f>
        <v/>
      </c>
      <c r="H1321" s="4" t="str">
        <f>IFERROR(__xludf.DUMMYFUNCTION("""COMPUTED_VALUE"""),"")</f>
        <v/>
      </c>
      <c r="I1321" s="4" t="str">
        <f>IFERROR(__xludf.DUMMYFUNCTION("""COMPUTED_VALUE"""),"")</f>
        <v/>
      </c>
      <c r="J1321" s="4" t="str">
        <f>IFERROR(__xludf.DUMMYFUNCTION("""COMPUTED_VALUE"""),"")</f>
        <v/>
      </c>
      <c r="K1321" s="4" t="str">
        <f>IFERROR(__xludf.DUMMYFUNCTION("""COMPUTED_VALUE"""),"")</f>
        <v/>
      </c>
      <c r="L1321" s="4" t="str">
        <f>IFERROR(__xludf.DUMMYFUNCTION("""COMPUTED_VALUE"""),"")</f>
        <v/>
      </c>
      <c r="M1321" s="4" t="str">
        <f>IFERROR(__xludf.DUMMYFUNCTION("""COMPUTED_VALUE"""),"")</f>
        <v/>
      </c>
      <c r="N1321" s="4" t="str">
        <f>IFERROR(__xludf.DUMMYFUNCTION("""COMPUTED_VALUE"""),"")</f>
        <v/>
      </c>
      <c r="O1321" s="4" t="str">
        <f>IFERROR(__xludf.DUMMYFUNCTION("""COMPUTED_VALUE"""),"")</f>
        <v/>
      </c>
      <c r="P1321" s="4" t="str">
        <f>IFERROR(__xludf.DUMMYFUNCTION("""COMPUTED_VALUE"""),"")</f>
        <v/>
      </c>
      <c r="Q1321" s="4" t="str">
        <f>IFERROR(__xludf.DUMMYFUNCTION("""COMPUTED_VALUE"""),"")</f>
        <v/>
      </c>
      <c r="R1321" s="4" t="str">
        <f>IFERROR(__xludf.DUMMYFUNCTION("""COMPUTED_VALUE"""),"")</f>
        <v/>
      </c>
      <c r="S1321" s="4" t="str">
        <f>IFERROR(__xludf.DUMMYFUNCTION("""COMPUTED_VALUE"""),"")</f>
        <v/>
      </c>
      <c r="T1321" s="4" t="str">
        <f>IFERROR(__xludf.DUMMYFUNCTION("""COMPUTED_VALUE"""),"")</f>
        <v/>
      </c>
      <c r="U1321" s="4" t="str">
        <f>IFERROR(__xludf.DUMMYFUNCTION("""COMPUTED_VALUE"""),"")</f>
        <v/>
      </c>
      <c r="V1321" s="4" t="str">
        <f>IFERROR(__xludf.DUMMYFUNCTION("""COMPUTED_VALUE"""),"")</f>
        <v/>
      </c>
      <c r="W1321" s="4" t="str">
        <f>IFERROR(__xludf.DUMMYFUNCTION("""COMPUTED_VALUE"""),"")</f>
        <v/>
      </c>
      <c r="X1321" s="4" t="str">
        <f>IFERROR(__xludf.DUMMYFUNCTION("""COMPUTED_VALUE"""),"")</f>
        <v/>
      </c>
      <c r="Y1321" s="4" t="str">
        <f>IFERROR(__xludf.DUMMYFUNCTION("""COMPUTED_VALUE"""),"")</f>
        <v/>
      </c>
    </row>
    <row r="1322">
      <c r="A1322" s="4" t="str">
        <f>IFERROR(__xludf.DUMMYFUNCTION("""COMPUTED_VALUE"""),"1852 - Channel")</f>
        <v>1852 - Channel</v>
      </c>
      <c r="B1322" s="4" t="str">
        <f>IFERROR(__xludf.DUMMYFUNCTION("""COMPUTED_VALUE"""),"")</f>
        <v/>
      </c>
      <c r="C1322" s="4" t="str">
        <f>IFERROR(__xludf.DUMMYFUNCTION("""COMPUTED_VALUE"""),"")</f>
        <v/>
      </c>
      <c r="D1322" s="4" t="str">
        <f>IFERROR(__xludf.DUMMYFUNCTION("""COMPUTED_VALUE"""),"")</f>
        <v/>
      </c>
      <c r="E1322" s="4" t="str">
        <f>IFERROR(__xludf.DUMMYFUNCTION("""COMPUTED_VALUE"""),"")</f>
        <v/>
      </c>
      <c r="F1322" s="4" t="str">
        <f>IFERROR(__xludf.DUMMYFUNCTION("""COMPUTED_VALUE"""),"")</f>
        <v/>
      </c>
      <c r="G1322" s="4" t="str">
        <f>IFERROR(__xludf.DUMMYFUNCTION("""COMPUTED_VALUE"""),"")</f>
        <v/>
      </c>
      <c r="H1322" s="4" t="str">
        <f>IFERROR(__xludf.DUMMYFUNCTION("""COMPUTED_VALUE"""),"")</f>
        <v/>
      </c>
      <c r="I1322" s="4" t="str">
        <f>IFERROR(__xludf.DUMMYFUNCTION("""COMPUTED_VALUE"""),"")</f>
        <v/>
      </c>
      <c r="J1322" s="4" t="str">
        <f>IFERROR(__xludf.DUMMYFUNCTION("""COMPUTED_VALUE"""),"")</f>
        <v/>
      </c>
      <c r="K1322" s="4" t="str">
        <f>IFERROR(__xludf.DUMMYFUNCTION("""COMPUTED_VALUE"""),"")</f>
        <v/>
      </c>
      <c r="L1322" s="4" t="str">
        <f>IFERROR(__xludf.DUMMYFUNCTION("""COMPUTED_VALUE"""),"")</f>
        <v/>
      </c>
      <c r="M1322" s="4" t="str">
        <f>IFERROR(__xludf.DUMMYFUNCTION("""COMPUTED_VALUE"""),"")</f>
        <v/>
      </c>
      <c r="N1322" s="4" t="str">
        <f>IFERROR(__xludf.DUMMYFUNCTION("""COMPUTED_VALUE"""),"")</f>
        <v/>
      </c>
      <c r="O1322" s="4" t="str">
        <f>IFERROR(__xludf.DUMMYFUNCTION("""COMPUTED_VALUE"""),"")</f>
        <v/>
      </c>
      <c r="P1322" s="4" t="str">
        <f>IFERROR(__xludf.DUMMYFUNCTION("""COMPUTED_VALUE"""),"")</f>
        <v/>
      </c>
      <c r="Q1322" s="4" t="str">
        <f>IFERROR(__xludf.DUMMYFUNCTION("""COMPUTED_VALUE"""),"")</f>
        <v/>
      </c>
      <c r="R1322" s="4" t="str">
        <f>IFERROR(__xludf.DUMMYFUNCTION("""COMPUTED_VALUE"""),"")</f>
        <v/>
      </c>
      <c r="S1322" s="4" t="str">
        <f>IFERROR(__xludf.DUMMYFUNCTION("""COMPUTED_VALUE"""),"")</f>
        <v/>
      </c>
      <c r="T1322" s="4" t="str">
        <f>IFERROR(__xludf.DUMMYFUNCTION("""COMPUTED_VALUE"""),"")</f>
        <v/>
      </c>
      <c r="U1322" s="4" t="str">
        <f>IFERROR(__xludf.DUMMYFUNCTION("""COMPUTED_VALUE"""),"")</f>
        <v/>
      </c>
      <c r="V1322" s="4" t="str">
        <f>IFERROR(__xludf.DUMMYFUNCTION("""COMPUTED_VALUE"""),"")</f>
        <v/>
      </c>
      <c r="W1322" s="4" t="str">
        <f>IFERROR(__xludf.DUMMYFUNCTION("""COMPUTED_VALUE"""),"")</f>
        <v/>
      </c>
      <c r="X1322" s="4" t="str">
        <f>IFERROR(__xludf.DUMMYFUNCTION("""COMPUTED_VALUE"""),"")</f>
        <v/>
      </c>
      <c r="Y1322" s="4" t="str">
        <f>IFERROR(__xludf.DUMMYFUNCTION("""COMPUTED_VALUE"""),"")</f>
        <v/>
      </c>
    </row>
    <row r="1323">
      <c r="A1323" s="4" t="str">
        <f>IFERROR(__xludf.DUMMYFUNCTION("""COMPUTED_VALUE"""),"1853 - Channel")</f>
        <v>1853 - Channel</v>
      </c>
      <c r="B1323" s="4" t="str">
        <f>IFERROR(__xludf.DUMMYFUNCTION("""COMPUTED_VALUE"""),"")</f>
        <v/>
      </c>
      <c r="C1323" s="4" t="str">
        <f>IFERROR(__xludf.DUMMYFUNCTION("""COMPUTED_VALUE"""),"")</f>
        <v/>
      </c>
      <c r="D1323" s="4" t="str">
        <f>IFERROR(__xludf.DUMMYFUNCTION("""COMPUTED_VALUE"""),"")</f>
        <v/>
      </c>
      <c r="E1323" s="4" t="str">
        <f>IFERROR(__xludf.DUMMYFUNCTION("""COMPUTED_VALUE"""),"")</f>
        <v/>
      </c>
      <c r="F1323" s="4" t="str">
        <f>IFERROR(__xludf.DUMMYFUNCTION("""COMPUTED_VALUE"""),"")</f>
        <v/>
      </c>
      <c r="G1323" s="4" t="str">
        <f>IFERROR(__xludf.DUMMYFUNCTION("""COMPUTED_VALUE"""),"")</f>
        <v/>
      </c>
      <c r="H1323" s="4" t="str">
        <f>IFERROR(__xludf.DUMMYFUNCTION("""COMPUTED_VALUE"""),"")</f>
        <v/>
      </c>
      <c r="I1323" s="4" t="str">
        <f>IFERROR(__xludf.DUMMYFUNCTION("""COMPUTED_VALUE"""),"")</f>
        <v/>
      </c>
      <c r="J1323" s="4" t="str">
        <f>IFERROR(__xludf.DUMMYFUNCTION("""COMPUTED_VALUE"""),"")</f>
        <v/>
      </c>
      <c r="K1323" s="4" t="str">
        <f>IFERROR(__xludf.DUMMYFUNCTION("""COMPUTED_VALUE"""),"")</f>
        <v/>
      </c>
      <c r="L1323" s="4" t="str">
        <f>IFERROR(__xludf.DUMMYFUNCTION("""COMPUTED_VALUE"""),"")</f>
        <v/>
      </c>
      <c r="M1323" s="4" t="str">
        <f>IFERROR(__xludf.DUMMYFUNCTION("""COMPUTED_VALUE"""),"")</f>
        <v/>
      </c>
      <c r="N1323" s="4" t="str">
        <f>IFERROR(__xludf.DUMMYFUNCTION("""COMPUTED_VALUE"""),"")</f>
        <v/>
      </c>
      <c r="O1323" s="4" t="str">
        <f>IFERROR(__xludf.DUMMYFUNCTION("""COMPUTED_VALUE"""),"")</f>
        <v/>
      </c>
      <c r="P1323" s="4" t="str">
        <f>IFERROR(__xludf.DUMMYFUNCTION("""COMPUTED_VALUE"""),"")</f>
        <v/>
      </c>
      <c r="Q1323" s="4" t="str">
        <f>IFERROR(__xludf.DUMMYFUNCTION("""COMPUTED_VALUE"""),"")</f>
        <v/>
      </c>
      <c r="R1323" s="4" t="str">
        <f>IFERROR(__xludf.DUMMYFUNCTION("""COMPUTED_VALUE"""),"")</f>
        <v/>
      </c>
      <c r="S1323" s="4" t="str">
        <f>IFERROR(__xludf.DUMMYFUNCTION("""COMPUTED_VALUE"""),"")</f>
        <v/>
      </c>
      <c r="T1323" s="4" t="str">
        <f>IFERROR(__xludf.DUMMYFUNCTION("""COMPUTED_VALUE"""),"")</f>
        <v/>
      </c>
      <c r="U1323" s="4" t="str">
        <f>IFERROR(__xludf.DUMMYFUNCTION("""COMPUTED_VALUE"""),"")</f>
        <v/>
      </c>
      <c r="V1323" s="4" t="str">
        <f>IFERROR(__xludf.DUMMYFUNCTION("""COMPUTED_VALUE"""),"")</f>
        <v/>
      </c>
      <c r="W1323" s="4" t="str">
        <f>IFERROR(__xludf.DUMMYFUNCTION("""COMPUTED_VALUE"""),"")</f>
        <v/>
      </c>
      <c r="X1323" s="4" t="str">
        <f>IFERROR(__xludf.DUMMYFUNCTION("""COMPUTED_VALUE"""),"")</f>
        <v/>
      </c>
      <c r="Y1323" s="4" t="str">
        <f>IFERROR(__xludf.DUMMYFUNCTION("""COMPUTED_VALUE"""),"")</f>
        <v/>
      </c>
    </row>
    <row r="1324">
      <c r="A1324" s="4" t="str">
        <f>IFERROR(__xludf.DUMMYFUNCTION("""COMPUTED_VALUE"""),"1854 - Channel")</f>
        <v>1854 - Channel</v>
      </c>
      <c r="B1324" s="4" t="str">
        <f>IFERROR(__xludf.DUMMYFUNCTION("""COMPUTED_VALUE"""),"")</f>
        <v/>
      </c>
      <c r="C1324" s="4" t="str">
        <f>IFERROR(__xludf.DUMMYFUNCTION("""COMPUTED_VALUE"""),"")</f>
        <v/>
      </c>
      <c r="D1324" s="4" t="str">
        <f>IFERROR(__xludf.DUMMYFUNCTION("""COMPUTED_VALUE"""),"")</f>
        <v/>
      </c>
      <c r="E1324" s="4" t="str">
        <f>IFERROR(__xludf.DUMMYFUNCTION("""COMPUTED_VALUE"""),"")</f>
        <v/>
      </c>
      <c r="F1324" s="4" t="str">
        <f>IFERROR(__xludf.DUMMYFUNCTION("""COMPUTED_VALUE"""),"")</f>
        <v/>
      </c>
      <c r="G1324" s="4" t="str">
        <f>IFERROR(__xludf.DUMMYFUNCTION("""COMPUTED_VALUE"""),"")</f>
        <v/>
      </c>
      <c r="H1324" s="4" t="str">
        <f>IFERROR(__xludf.DUMMYFUNCTION("""COMPUTED_VALUE"""),"")</f>
        <v/>
      </c>
      <c r="I1324" s="4" t="str">
        <f>IFERROR(__xludf.DUMMYFUNCTION("""COMPUTED_VALUE"""),"")</f>
        <v/>
      </c>
      <c r="J1324" s="4" t="str">
        <f>IFERROR(__xludf.DUMMYFUNCTION("""COMPUTED_VALUE"""),"")</f>
        <v/>
      </c>
      <c r="K1324" s="4" t="str">
        <f>IFERROR(__xludf.DUMMYFUNCTION("""COMPUTED_VALUE"""),"")</f>
        <v/>
      </c>
      <c r="L1324" s="4" t="str">
        <f>IFERROR(__xludf.DUMMYFUNCTION("""COMPUTED_VALUE"""),"")</f>
        <v/>
      </c>
      <c r="M1324" s="4" t="str">
        <f>IFERROR(__xludf.DUMMYFUNCTION("""COMPUTED_VALUE"""),"")</f>
        <v/>
      </c>
      <c r="N1324" s="4" t="str">
        <f>IFERROR(__xludf.DUMMYFUNCTION("""COMPUTED_VALUE"""),"")</f>
        <v/>
      </c>
      <c r="O1324" s="4" t="str">
        <f>IFERROR(__xludf.DUMMYFUNCTION("""COMPUTED_VALUE"""),"")</f>
        <v/>
      </c>
      <c r="P1324" s="4" t="str">
        <f>IFERROR(__xludf.DUMMYFUNCTION("""COMPUTED_VALUE"""),"")</f>
        <v/>
      </c>
      <c r="Q1324" s="4" t="str">
        <f>IFERROR(__xludf.DUMMYFUNCTION("""COMPUTED_VALUE"""),"")</f>
        <v/>
      </c>
      <c r="R1324" s="4" t="str">
        <f>IFERROR(__xludf.DUMMYFUNCTION("""COMPUTED_VALUE"""),"")</f>
        <v/>
      </c>
      <c r="S1324" s="4" t="str">
        <f>IFERROR(__xludf.DUMMYFUNCTION("""COMPUTED_VALUE"""),"")</f>
        <v/>
      </c>
      <c r="T1324" s="4" t="str">
        <f>IFERROR(__xludf.DUMMYFUNCTION("""COMPUTED_VALUE"""),"")</f>
        <v/>
      </c>
      <c r="U1324" s="4" t="str">
        <f>IFERROR(__xludf.DUMMYFUNCTION("""COMPUTED_VALUE"""),"")</f>
        <v/>
      </c>
      <c r="V1324" s="4" t="str">
        <f>IFERROR(__xludf.DUMMYFUNCTION("""COMPUTED_VALUE"""),"")</f>
        <v/>
      </c>
      <c r="W1324" s="4" t="str">
        <f>IFERROR(__xludf.DUMMYFUNCTION("""COMPUTED_VALUE"""),"")</f>
        <v/>
      </c>
      <c r="X1324" s="4" t="str">
        <f>IFERROR(__xludf.DUMMYFUNCTION("""COMPUTED_VALUE"""),"")</f>
        <v/>
      </c>
      <c r="Y1324" s="4" t="str">
        <f>IFERROR(__xludf.DUMMYFUNCTION("""COMPUTED_VALUE"""),"")</f>
        <v/>
      </c>
    </row>
    <row r="1325">
      <c r="A1325" s="4" t="str">
        <f>IFERROR(__xludf.DUMMYFUNCTION("""COMPUTED_VALUE"""),"1855 - Channel")</f>
        <v>1855 - Channel</v>
      </c>
      <c r="B1325" s="4" t="str">
        <f>IFERROR(__xludf.DUMMYFUNCTION("""COMPUTED_VALUE"""),"")</f>
        <v/>
      </c>
      <c r="C1325" s="4" t="str">
        <f>IFERROR(__xludf.DUMMYFUNCTION("""COMPUTED_VALUE"""),"")</f>
        <v/>
      </c>
      <c r="D1325" s="4" t="str">
        <f>IFERROR(__xludf.DUMMYFUNCTION("""COMPUTED_VALUE"""),"")</f>
        <v/>
      </c>
      <c r="E1325" s="4" t="str">
        <f>IFERROR(__xludf.DUMMYFUNCTION("""COMPUTED_VALUE"""),"")</f>
        <v/>
      </c>
      <c r="F1325" s="4" t="str">
        <f>IFERROR(__xludf.DUMMYFUNCTION("""COMPUTED_VALUE"""),"")</f>
        <v/>
      </c>
      <c r="G1325" s="4" t="str">
        <f>IFERROR(__xludf.DUMMYFUNCTION("""COMPUTED_VALUE"""),"")</f>
        <v/>
      </c>
      <c r="H1325" s="4" t="str">
        <f>IFERROR(__xludf.DUMMYFUNCTION("""COMPUTED_VALUE"""),"")</f>
        <v/>
      </c>
      <c r="I1325" s="4" t="str">
        <f>IFERROR(__xludf.DUMMYFUNCTION("""COMPUTED_VALUE"""),"")</f>
        <v/>
      </c>
      <c r="J1325" s="4" t="str">
        <f>IFERROR(__xludf.DUMMYFUNCTION("""COMPUTED_VALUE"""),"")</f>
        <v/>
      </c>
      <c r="K1325" s="4" t="str">
        <f>IFERROR(__xludf.DUMMYFUNCTION("""COMPUTED_VALUE"""),"")</f>
        <v/>
      </c>
      <c r="L1325" s="4" t="str">
        <f>IFERROR(__xludf.DUMMYFUNCTION("""COMPUTED_VALUE"""),"")</f>
        <v/>
      </c>
      <c r="M1325" s="4" t="str">
        <f>IFERROR(__xludf.DUMMYFUNCTION("""COMPUTED_VALUE"""),"")</f>
        <v/>
      </c>
      <c r="N1325" s="4" t="str">
        <f>IFERROR(__xludf.DUMMYFUNCTION("""COMPUTED_VALUE"""),"")</f>
        <v/>
      </c>
      <c r="O1325" s="4" t="str">
        <f>IFERROR(__xludf.DUMMYFUNCTION("""COMPUTED_VALUE"""),"")</f>
        <v/>
      </c>
      <c r="P1325" s="4" t="str">
        <f>IFERROR(__xludf.DUMMYFUNCTION("""COMPUTED_VALUE"""),"")</f>
        <v/>
      </c>
      <c r="Q1325" s="4" t="str">
        <f>IFERROR(__xludf.DUMMYFUNCTION("""COMPUTED_VALUE"""),"")</f>
        <v/>
      </c>
      <c r="R1325" s="4" t="str">
        <f>IFERROR(__xludf.DUMMYFUNCTION("""COMPUTED_VALUE"""),"")</f>
        <v/>
      </c>
      <c r="S1325" s="4" t="str">
        <f>IFERROR(__xludf.DUMMYFUNCTION("""COMPUTED_VALUE"""),"")</f>
        <v/>
      </c>
      <c r="T1325" s="4" t="str">
        <f>IFERROR(__xludf.DUMMYFUNCTION("""COMPUTED_VALUE"""),"")</f>
        <v/>
      </c>
      <c r="U1325" s="4" t="str">
        <f>IFERROR(__xludf.DUMMYFUNCTION("""COMPUTED_VALUE"""),"")</f>
        <v/>
      </c>
      <c r="V1325" s="4" t="str">
        <f>IFERROR(__xludf.DUMMYFUNCTION("""COMPUTED_VALUE"""),"")</f>
        <v/>
      </c>
      <c r="W1325" s="4" t="str">
        <f>IFERROR(__xludf.DUMMYFUNCTION("""COMPUTED_VALUE"""),"")</f>
        <v/>
      </c>
      <c r="X1325" s="4" t="str">
        <f>IFERROR(__xludf.DUMMYFUNCTION("""COMPUTED_VALUE"""),"")</f>
        <v/>
      </c>
      <c r="Y1325" s="4" t="str">
        <f>IFERROR(__xludf.DUMMYFUNCTION("""COMPUTED_VALUE"""),"")</f>
        <v/>
      </c>
    </row>
    <row r="1326">
      <c r="A1326" s="4" t="str">
        <f>IFERROR(__xludf.DUMMYFUNCTION("""COMPUTED_VALUE"""),"1856 - Channel")</f>
        <v>1856 - Channel</v>
      </c>
      <c r="B1326" s="4" t="str">
        <f>IFERROR(__xludf.DUMMYFUNCTION("""COMPUTED_VALUE"""),"")</f>
        <v/>
      </c>
      <c r="C1326" s="4" t="str">
        <f>IFERROR(__xludf.DUMMYFUNCTION("""COMPUTED_VALUE"""),"")</f>
        <v/>
      </c>
      <c r="D1326" s="4" t="str">
        <f>IFERROR(__xludf.DUMMYFUNCTION("""COMPUTED_VALUE"""),"")</f>
        <v/>
      </c>
      <c r="E1326" s="4" t="str">
        <f>IFERROR(__xludf.DUMMYFUNCTION("""COMPUTED_VALUE"""),"")</f>
        <v/>
      </c>
      <c r="F1326" s="4" t="str">
        <f>IFERROR(__xludf.DUMMYFUNCTION("""COMPUTED_VALUE"""),"")</f>
        <v/>
      </c>
      <c r="G1326" s="4" t="str">
        <f>IFERROR(__xludf.DUMMYFUNCTION("""COMPUTED_VALUE"""),"")</f>
        <v/>
      </c>
      <c r="H1326" s="4" t="str">
        <f>IFERROR(__xludf.DUMMYFUNCTION("""COMPUTED_VALUE"""),"")</f>
        <v/>
      </c>
      <c r="I1326" s="4" t="str">
        <f>IFERROR(__xludf.DUMMYFUNCTION("""COMPUTED_VALUE"""),"")</f>
        <v/>
      </c>
      <c r="J1326" s="4" t="str">
        <f>IFERROR(__xludf.DUMMYFUNCTION("""COMPUTED_VALUE"""),"")</f>
        <v/>
      </c>
      <c r="K1326" s="4" t="str">
        <f>IFERROR(__xludf.DUMMYFUNCTION("""COMPUTED_VALUE"""),"")</f>
        <v/>
      </c>
      <c r="L1326" s="4" t="str">
        <f>IFERROR(__xludf.DUMMYFUNCTION("""COMPUTED_VALUE"""),"")</f>
        <v/>
      </c>
      <c r="M1326" s="4" t="str">
        <f>IFERROR(__xludf.DUMMYFUNCTION("""COMPUTED_VALUE"""),"")</f>
        <v/>
      </c>
      <c r="N1326" s="4" t="str">
        <f>IFERROR(__xludf.DUMMYFUNCTION("""COMPUTED_VALUE"""),"")</f>
        <v/>
      </c>
      <c r="O1326" s="4" t="str">
        <f>IFERROR(__xludf.DUMMYFUNCTION("""COMPUTED_VALUE"""),"")</f>
        <v/>
      </c>
      <c r="P1326" s="4" t="str">
        <f>IFERROR(__xludf.DUMMYFUNCTION("""COMPUTED_VALUE"""),"")</f>
        <v/>
      </c>
      <c r="Q1326" s="4" t="str">
        <f>IFERROR(__xludf.DUMMYFUNCTION("""COMPUTED_VALUE"""),"")</f>
        <v/>
      </c>
      <c r="R1326" s="4" t="str">
        <f>IFERROR(__xludf.DUMMYFUNCTION("""COMPUTED_VALUE"""),"")</f>
        <v/>
      </c>
      <c r="S1326" s="4" t="str">
        <f>IFERROR(__xludf.DUMMYFUNCTION("""COMPUTED_VALUE"""),"")</f>
        <v/>
      </c>
      <c r="T1326" s="4" t="str">
        <f>IFERROR(__xludf.DUMMYFUNCTION("""COMPUTED_VALUE"""),"")</f>
        <v/>
      </c>
      <c r="U1326" s="4" t="str">
        <f>IFERROR(__xludf.DUMMYFUNCTION("""COMPUTED_VALUE"""),"")</f>
        <v/>
      </c>
      <c r="V1326" s="4" t="str">
        <f>IFERROR(__xludf.DUMMYFUNCTION("""COMPUTED_VALUE"""),"")</f>
        <v/>
      </c>
      <c r="W1326" s="4" t="str">
        <f>IFERROR(__xludf.DUMMYFUNCTION("""COMPUTED_VALUE"""),"")</f>
        <v/>
      </c>
      <c r="X1326" s="4" t="str">
        <f>IFERROR(__xludf.DUMMYFUNCTION("""COMPUTED_VALUE"""),"")</f>
        <v/>
      </c>
      <c r="Y1326" s="4" t="str">
        <f>IFERROR(__xludf.DUMMYFUNCTION("""COMPUTED_VALUE"""),"")</f>
        <v/>
      </c>
    </row>
    <row r="1327">
      <c r="A1327" s="4" t="str">
        <f>IFERROR(__xludf.DUMMYFUNCTION("""COMPUTED_VALUE"""),"1857 - Channel")</f>
        <v>1857 - Channel</v>
      </c>
      <c r="B1327" s="4" t="str">
        <f>IFERROR(__xludf.DUMMYFUNCTION("""COMPUTED_VALUE"""),"")</f>
        <v/>
      </c>
      <c r="C1327" s="4" t="str">
        <f>IFERROR(__xludf.DUMMYFUNCTION("""COMPUTED_VALUE"""),"")</f>
        <v/>
      </c>
      <c r="D1327" s="4" t="str">
        <f>IFERROR(__xludf.DUMMYFUNCTION("""COMPUTED_VALUE"""),"")</f>
        <v/>
      </c>
      <c r="E1327" s="4" t="str">
        <f>IFERROR(__xludf.DUMMYFUNCTION("""COMPUTED_VALUE"""),"")</f>
        <v/>
      </c>
      <c r="F1327" s="4" t="str">
        <f>IFERROR(__xludf.DUMMYFUNCTION("""COMPUTED_VALUE"""),"")</f>
        <v/>
      </c>
      <c r="G1327" s="4" t="str">
        <f>IFERROR(__xludf.DUMMYFUNCTION("""COMPUTED_VALUE"""),"")</f>
        <v/>
      </c>
      <c r="H1327" s="4" t="str">
        <f>IFERROR(__xludf.DUMMYFUNCTION("""COMPUTED_VALUE"""),"")</f>
        <v/>
      </c>
      <c r="I1327" s="4" t="str">
        <f>IFERROR(__xludf.DUMMYFUNCTION("""COMPUTED_VALUE"""),"")</f>
        <v/>
      </c>
      <c r="J1327" s="4" t="str">
        <f>IFERROR(__xludf.DUMMYFUNCTION("""COMPUTED_VALUE"""),"")</f>
        <v/>
      </c>
      <c r="K1327" s="4" t="str">
        <f>IFERROR(__xludf.DUMMYFUNCTION("""COMPUTED_VALUE"""),"")</f>
        <v/>
      </c>
      <c r="L1327" s="4" t="str">
        <f>IFERROR(__xludf.DUMMYFUNCTION("""COMPUTED_VALUE"""),"")</f>
        <v/>
      </c>
      <c r="M1327" s="4" t="str">
        <f>IFERROR(__xludf.DUMMYFUNCTION("""COMPUTED_VALUE"""),"")</f>
        <v/>
      </c>
      <c r="N1327" s="4" t="str">
        <f>IFERROR(__xludf.DUMMYFUNCTION("""COMPUTED_VALUE"""),"")</f>
        <v/>
      </c>
      <c r="O1327" s="4" t="str">
        <f>IFERROR(__xludf.DUMMYFUNCTION("""COMPUTED_VALUE"""),"")</f>
        <v/>
      </c>
      <c r="P1327" s="4" t="str">
        <f>IFERROR(__xludf.DUMMYFUNCTION("""COMPUTED_VALUE"""),"")</f>
        <v/>
      </c>
      <c r="Q1327" s="4" t="str">
        <f>IFERROR(__xludf.DUMMYFUNCTION("""COMPUTED_VALUE"""),"")</f>
        <v/>
      </c>
      <c r="R1327" s="4" t="str">
        <f>IFERROR(__xludf.DUMMYFUNCTION("""COMPUTED_VALUE"""),"")</f>
        <v/>
      </c>
      <c r="S1327" s="4" t="str">
        <f>IFERROR(__xludf.DUMMYFUNCTION("""COMPUTED_VALUE"""),"")</f>
        <v/>
      </c>
      <c r="T1327" s="4" t="str">
        <f>IFERROR(__xludf.DUMMYFUNCTION("""COMPUTED_VALUE"""),"")</f>
        <v/>
      </c>
      <c r="U1327" s="4" t="str">
        <f>IFERROR(__xludf.DUMMYFUNCTION("""COMPUTED_VALUE"""),"")</f>
        <v/>
      </c>
      <c r="V1327" s="4" t="str">
        <f>IFERROR(__xludf.DUMMYFUNCTION("""COMPUTED_VALUE"""),"")</f>
        <v/>
      </c>
      <c r="W1327" s="4" t="str">
        <f>IFERROR(__xludf.DUMMYFUNCTION("""COMPUTED_VALUE"""),"")</f>
        <v/>
      </c>
      <c r="X1327" s="4" t="str">
        <f>IFERROR(__xludf.DUMMYFUNCTION("""COMPUTED_VALUE"""),"")</f>
        <v/>
      </c>
      <c r="Y1327" s="4" t="str">
        <f>IFERROR(__xludf.DUMMYFUNCTION("""COMPUTED_VALUE"""),"")</f>
        <v/>
      </c>
    </row>
    <row r="1328">
      <c r="A1328" s="4" t="str">
        <f>IFERROR(__xludf.DUMMYFUNCTION("""COMPUTED_VALUE"""),"1858 - Channel")</f>
        <v>1858 - Channel</v>
      </c>
      <c r="B1328" s="4" t="str">
        <f>IFERROR(__xludf.DUMMYFUNCTION("""COMPUTED_VALUE"""),"")</f>
        <v/>
      </c>
      <c r="C1328" s="4" t="str">
        <f>IFERROR(__xludf.DUMMYFUNCTION("""COMPUTED_VALUE"""),"")</f>
        <v/>
      </c>
      <c r="D1328" s="4" t="str">
        <f>IFERROR(__xludf.DUMMYFUNCTION("""COMPUTED_VALUE"""),"")</f>
        <v/>
      </c>
      <c r="E1328" s="4" t="str">
        <f>IFERROR(__xludf.DUMMYFUNCTION("""COMPUTED_VALUE"""),"")</f>
        <v/>
      </c>
      <c r="F1328" s="4" t="str">
        <f>IFERROR(__xludf.DUMMYFUNCTION("""COMPUTED_VALUE"""),"")</f>
        <v/>
      </c>
      <c r="G1328" s="4" t="str">
        <f>IFERROR(__xludf.DUMMYFUNCTION("""COMPUTED_VALUE"""),"")</f>
        <v/>
      </c>
      <c r="H1328" s="4" t="str">
        <f>IFERROR(__xludf.DUMMYFUNCTION("""COMPUTED_VALUE"""),"")</f>
        <v/>
      </c>
      <c r="I1328" s="4" t="str">
        <f>IFERROR(__xludf.DUMMYFUNCTION("""COMPUTED_VALUE"""),"")</f>
        <v/>
      </c>
      <c r="J1328" s="4" t="str">
        <f>IFERROR(__xludf.DUMMYFUNCTION("""COMPUTED_VALUE"""),"")</f>
        <v/>
      </c>
      <c r="K1328" s="4" t="str">
        <f>IFERROR(__xludf.DUMMYFUNCTION("""COMPUTED_VALUE"""),"")</f>
        <v/>
      </c>
      <c r="L1328" s="4" t="str">
        <f>IFERROR(__xludf.DUMMYFUNCTION("""COMPUTED_VALUE"""),"")</f>
        <v/>
      </c>
      <c r="M1328" s="4" t="str">
        <f>IFERROR(__xludf.DUMMYFUNCTION("""COMPUTED_VALUE"""),"")</f>
        <v/>
      </c>
      <c r="N1328" s="4" t="str">
        <f>IFERROR(__xludf.DUMMYFUNCTION("""COMPUTED_VALUE"""),"")</f>
        <v/>
      </c>
      <c r="O1328" s="4" t="str">
        <f>IFERROR(__xludf.DUMMYFUNCTION("""COMPUTED_VALUE"""),"")</f>
        <v/>
      </c>
      <c r="P1328" s="4" t="str">
        <f>IFERROR(__xludf.DUMMYFUNCTION("""COMPUTED_VALUE"""),"")</f>
        <v/>
      </c>
      <c r="Q1328" s="4" t="str">
        <f>IFERROR(__xludf.DUMMYFUNCTION("""COMPUTED_VALUE"""),"")</f>
        <v/>
      </c>
      <c r="R1328" s="4" t="str">
        <f>IFERROR(__xludf.DUMMYFUNCTION("""COMPUTED_VALUE"""),"")</f>
        <v/>
      </c>
      <c r="S1328" s="4" t="str">
        <f>IFERROR(__xludf.DUMMYFUNCTION("""COMPUTED_VALUE"""),"")</f>
        <v/>
      </c>
      <c r="T1328" s="4" t="str">
        <f>IFERROR(__xludf.DUMMYFUNCTION("""COMPUTED_VALUE"""),"")</f>
        <v/>
      </c>
      <c r="U1328" s="4" t="str">
        <f>IFERROR(__xludf.DUMMYFUNCTION("""COMPUTED_VALUE"""),"")</f>
        <v/>
      </c>
      <c r="V1328" s="4" t="str">
        <f>IFERROR(__xludf.DUMMYFUNCTION("""COMPUTED_VALUE"""),"")</f>
        <v/>
      </c>
      <c r="W1328" s="4" t="str">
        <f>IFERROR(__xludf.DUMMYFUNCTION("""COMPUTED_VALUE"""),"")</f>
        <v/>
      </c>
      <c r="X1328" s="4" t="str">
        <f>IFERROR(__xludf.DUMMYFUNCTION("""COMPUTED_VALUE"""),"")</f>
        <v/>
      </c>
      <c r="Y1328" s="4" t="str">
        <f>IFERROR(__xludf.DUMMYFUNCTION("""COMPUTED_VALUE"""),"")</f>
        <v/>
      </c>
    </row>
    <row r="1329">
      <c r="A1329" s="4" t="str">
        <f>IFERROR(__xludf.DUMMYFUNCTION("""COMPUTED_VALUE"""),"1859 - Channel")</f>
        <v>1859 - Channel</v>
      </c>
      <c r="B1329" s="4" t="str">
        <f>IFERROR(__xludf.DUMMYFUNCTION("""COMPUTED_VALUE"""),"")</f>
        <v/>
      </c>
      <c r="C1329" s="4" t="str">
        <f>IFERROR(__xludf.DUMMYFUNCTION("""COMPUTED_VALUE"""),"")</f>
        <v/>
      </c>
      <c r="D1329" s="4" t="str">
        <f>IFERROR(__xludf.DUMMYFUNCTION("""COMPUTED_VALUE"""),"")</f>
        <v/>
      </c>
      <c r="E1329" s="4" t="str">
        <f>IFERROR(__xludf.DUMMYFUNCTION("""COMPUTED_VALUE"""),"")</f>
        <v/>
      </c>
      <c r="F1329" s="4" t="str">
        <f>IFERROR(__xludf.DUMMYFUNCTION("""COMPUTED_VALUE"""),"")</f>
        <v/>
      </c>
      <c r="G1329" s="4" t="str">
        <f>IFERROR(__xludf.DUMMYFUNCTION("""COMPUTED_VALUE"""),"")</f>
        <v/>
      </c>
      <c r="H1329" s="4" t="str">
        <f>IFERROR(__xludf.DUMMYFUNCTION("""COMPUTED_VALUE"""),"")</f>
        <v/>
      </c>
      <c r="I1329" s="4" t="str">
        <f>IFERROR(__xludf.DUMMYFUNCTION("""COMPUTED_VALUE"""),"")</f>
        <v/>
      </c>
      <c r="J1329" s="4" t="str">
        <f>IFERROR(__xludf.DUMMYFUNCTION("""COMPUTED_VALUE"""),"")</f>
        <v/>
      </c>
      <c r="K1329" s="4" t="str">
        <f>IFERROR(__xludf.DUMMYFUNCTION("""COMPUTED_VALUE"""),"")</f>
        <v/>
      </c>
      <c r="L1329" s="4" t="str">
        <f>IFERROR(__xludf.DUMMYFUNCTION("""COMPUTED_VALUE"""),"")</f>
        <v/>
      </c>
      <c r="M1329" s="4" t="str">
        <f>IFERROR(__xludf.DUMMYFUNCTION("""COMPUTED_VALUE"""),"")</f>
        <v/>
      </c>
      <c r="N1329" s="4" t="str">
        <f>IFERROR(__xludf.DUMMYFUNCTION("""COMPUTED_VALUE"""),"")</f>
        <v/>
      </c>
      <c r="O1329" s="4" t="str">
        <f>IFERROR(__xludf.DUMMYFUNCTION("""COMPUTED_VALUE"""),"")</f>
        <v/>
      </c>
      <c r="P1329" s="4" t="str">
        <f>IFERROR(__xludf.DUMMYFUNCTION("""COMPUTED_VALUE"""),"")</f>
        <v/>
      </c>
      <c r="Q1329" s="4" t="str">
        <f>IFERROR(__xludf.DUMMYFUNCTION("""COMPUTED_VALUE"""),"")</f>
        <v/>
      </c>
      <c r="R1329" s="4" t="str">
        <f>IFERROR(__xludf.DUMMYFUNCTION("""COMPUTED_VALUE"""),"")</f>
        <v/>
      </c>
      <c r="S1329" s="4" t="str">
        <f>IFERROR(__xludf.DUMMYFUNCTION("""COMPUTED_VALUE"""),"")</f>
        <v/>
      </c>
      <c r="T1329" s="4" t="str">
        <f>IFERROR(__xludf.DUMMYFUNCTION("""COMPUTED_VALUE"""),"")</f>
        <v/>
      </c>
      <c r="U1329" s="4" t="str">
        <f>IFERROR(__xludf.DUMMYFUNCTION("""COMPUTED_VALUE"""),"")</f>
        <v/>
      </c>
      <c r="V1329" s="4" t="str">
        <f>IFERROR(__xludf.DUMMYFUNCTION("""COMPUTED_VALUE"""),"")</f>
        <v/>
      </c>
      <c r="W1329" s="4" t="str">
        <f>IFERROR(__xludf.DUMMYFUNCTION("""COMPUTED_VALUE"""),"")</f>
        <v/>
      </c>
      <c r="X1329" s="4" t="str">
        <f>IFERROR(__xludf.DUMMYFUNCTION("""COMPUTED_VALUE"""),"")</f>
        <v/>
      </c>
      <c r="Y1329" s="4" t="str">
        <f>IFERROR(__xludf.DUMMYFUNCTION("""COMPUTED_VALUE"""),"")</f>
        <v/>
      </c>
    </row>
    <row r="1330">
      <c r="A1330" s="4" t="str">
        <f>IFERROR(__xludf.DUMMYFUNCTION("""COMPUTED_VALUE"""),"1860 - Channel")</f>
        <v>1860 - Channel</v>
      </c>
      <c r="B1330" s="4" t="str">
        <f>IFERROR(__xludf.DUMMYFUNCTION("""COMPUTED_VALUE"""),"")</f>
        <v/>
      </c>
      <c r="C1330" s="4" t="str">
        <f>IFERROR(__xludf.DUMMYFUNCTION("""COMPUTED_VALUE"""),"")</f>
        <v/>
      </c>
      <c r="D1330" s="4" t="str">
        <f>IFERROR(__xludf.DUMMYFUNCTION("""COMPUTED_VALUE"""),"")</f>
        <v/>
      </c>
      <c r="E1330" s="4" t="str">
        <f>IFERROR(__xludf.DUMMYFUNCTION("""COMPUTED_VALUE"""),"")</f>
        <v/>
      </c>
      <c r="F1330" s="4" t="str">
        <f>IFERROR(__xludf.DUMMYFUNCTION("""COMPUTED_VALUE"""),"")</f>
        <v/>
      </c>
      <c r="G1330" s="4" t="str">
        <f>IFERROR(__xludf.DUMMYFUNCTION("""COMPUTED_VALUE"""),"")</f>
        <v/>
      </c>
      <c r="H1330" s="4" t="str">
        <f>IFERROR(__xludf.DUMMYFUNCTION("""COMPUTED_VALUE"""),"")</f>
        <v/>
      </c>
      <c r="I1330" s="4" t="str">
        <f>IFERROR(__xludf.DUMMYFUNCTION("""COMPUTED_VALUE"""),"")</f>
        <v/>
      </c>
      <c r="J1330" s="4" t="str">
        <f>IFERROR(__xludf.DUMMYFUNCTION("""COMPUTED_VALUE"""),"")</f>
        <v/>
      </c>
      <c r="K1330" s="4" t="str">
        <f>IFERROR(__xludf.DUMMYFUNCTION("""COMPUTED_VALUE"""),"")</f>
        <v/>
      </c>
      <c r="L1330" s="4" t="str">
        <f>IFERROR(__xludf.DUMMYFUNCTION("""COMPUTED_VALUE"""),"")</f>
        <v/>
      </c>
      <c r="M1330" s="4" t="str">
        <f>IFERROR(__xludf.DUMMYFUNCTION("""COMPUTED_VALUE"""),"")</f>
        <v/>
      </c>
      <c r="N1330" s="4" t="str">
        <f>IFERROR(__xludf.DUMMYFUNCTION("""COMPUTED_VALUE"""),"")</f>
        <v/>
      </c>
      <c r="O1330" s="4" t="str">
        <f>IFERROR(__xludf.DUMMYFUNCTION("""COMPUTED_VALUE"""),"")</f>
        <v/>
      </c>
      <c r="P1330" s="4" t="str">
        <f>IFERROR(__xludf.DUMMYFUNCTION("""COMPUTED_VALUE"""),"")</f>
        <v/>
      </c>
      <c r="Q1330" s="4" t="str">
        <f>IFERROR(__xludf.DUMMYFUNCTION("""COMPUTED_VALUE"""),"")</f>
        <v/>
      </c>
      <c r="R1330" s="4" t="str">
        <f>IFERROR(__xludf.DUMMYFUNCTION("""COMPUTED_VALUE"""),"")</f>
        <v/>
      </c>
      <c r="S1330" s="4" t="str">
        <f>IFERROR(__xludf.DUMMYFUNCTION("""COMPUTED_VALUE"""),"")</f>
        <v/>
      </c>
      <c r="T1330" s="4" t="str">
        <f>IFERROR(__xludf.DUMMYFUNCTION("""COMPUTED_VALUE"""),"")</f>
        <v/>
      </c>
      <c r="U1330" s="4" t="str">
        <f>IFERROR(__xludf.DUMMYFUNCTION("""COMPUTED_VALUE"""),"")</f>
        <v/>
      </c>
      <c r="V1330" s="4" t="str">
        <f>IFERROR(__xludf.DUMMYFUNCTION("""COMPUTED_VALUE"""),"")</f>
        <v/>
      </c>
      <c r="W1330" s="4" t="str">
        <f>IFERROR(__xludf.DUMMYFUNCTION("""COMPUTED_VALUE"""),"")</f>
        <v/>
      </c>
      <c r="X1330" s="4" t="str">
        <f>IFERROR(__xludf.DUMMYFUNCTION("""COMPUTED_VALUE"""),"")</f>
        <v/>
      </c>
      <c r="Y1330" s="4" t="str">
        <f>IFERROR(__xludf.DUMMYFUNCTION("""COMPUTED_VALUE"""),"")</f>
        <v/>
      </c>
    </row>
    <row r="1331">
      <c r="A1331" s="4" t="str">
        <f>IFERROR(__xludf.DUMMYFUNCTION("""COMPUTED_VALUE"""),"1861 - Channel")</f>
        <v>1861 - Channel</v>
      </c>
      <c r="B1331" s="4" t="str">
        <f>IFERROR(__xludf.DUMMYFUNCTION("""COMPUTED_VALUE"""),"")</f>
        <v/>
      </c>
      <c r="C1331" s="4" t="str">
        <f>IFERROR(__xludf.DUMMYFUNCTION("""COMPUTED_VALUE"""),"")</f>
        <v/>
      </c>
      <c r="D1331" s="4" t="str">
        <f>IFERROR(__xludf.DUMMYFUNCTION("""COMPUTED_VALUE"""),"")</f>
        <v/>
      </c>
      <c r="E1331" s="4" t="str">
        <f>IFERROR(__xludf.DUMMYFUNCTION("""COMPUTED_VALUE"""),"")</f>
        <v/>
      </c>
      <c r="F1331" s="4" t="str">
        <f>IFERROR(__xludf.DUMMYFUNCTION("""COMPUTED_VALUE"""),"")</f>
        <v/>
      </c>
      <c r="G1331" s="4" t="str">
        <f>IFERROR(__xludf.DUMMYFUNCTION("""COMPUTED_VALUE"""),"")</f>
        <v/>
      </c>
      <c r="H1331" s="4" t="str">
        <f>IFERROR(__xludf.DUMMYFUNCTION("""COMPUTED_VALUE"""),"")</f>
        <v/>
      </c>
      <c r="I1331" s="4" t="str">
        <f>IFERROR(__xludf.DUMMYFUNCTION("""COMPUTED_VALUE"""),"")</f>
        <v/>
      </c>
      <c r="J1331" s="4" t="str">
        <f>IFERROR(__xludf.DUMMYFUNCTION("""COMPUTED_VALUE"""),"")</f>
        <v/>
      </c>
      <c r="K1331" s="4" t="str">
        <f>IFERROR(__xludf.DUMMYFUNCTION("""COMPUTED_VALUE"""),"")</f>
        <v/>
      </c>
      <c r="L1331" s="4" t="str">
        <f>IFERROR(__xludf.DUMMYFUNCTION("""COMPUTED_VALUE"""),"")</f>
        <v/>
      </c>
      <c r="M1331" s="4" t="str">
        <f>IFERROR(__xludf.DUMMYFUNCTION("""COMPUTED_VALUE"""),"")</f>
        <v/>
      </c>
      <c r="N1331" s="4" t="str">
        <f>IFERROR(__xludf.DUMMYFUNCTION("""COMPUTED_VALUE"""),"")</f>
        <v/>
      </c>
      <c r="O1331" s="4" t="str">
        <f>IFERROR(__xludf.DUMMYFUNCTION("""COMPUTED_VALUE"""),"")</f>
        <v/>
      </c>
      <c r="P1331" s="4" t="str">
        <f>IFERROR(__xludf.DUMMYFUNCTION("""COMPUTED_VALUE"""),"")</f>
        <v/>
      </c>
      <c r="Q1331" s="4" t="str">
        <f>IFERROR(__xludf.DUMMYFUNCTION("""COMPUTED_VALUE"""),"")</f>
        <v/>
      </c>
      <c r="R1331" s="4" t="str">
        <f>IFERROR(__xludf.DUMMYFUNCTION("""COMPUTED_VALUE"""),"")</f>
        <v/>
      </c>
      <c r="S1331" s="4" t="str">
        <f>IFERROR(__xludf.DUMMYFUNCTION("""COMPUTED_VALUE"""),"")</f>
        <v/>
      </c>
      <c r="T1331" s="4" t="str">
        <f>IFERROR(__xludf.DUMMYFUNCTION("""COMPUTED_VALUE"""),"")</f>
        <v/>
      </c>
      <c r="U1331" s="4" t="str">
        <f>IFERROR(__xludf.DUMMYFUNCTION("""COMPUTED_VALUE"""),"")</f>
        <v/>
      </c>
      <c r="V1331" s="4" t="str">
        <f>IFERROR(__xludf.DUMMYFUNCTION("""COMPUTED_VALUE"""),"")</f>
        <v/>
      </c>
      <c r="W1331" s="4" t="str">
        <f>IFERROR(__xludf.DUMMYFUNCTION("""COMPUTED_VALUE"""),"")</f>
        <v/>
      </c>
      <c r="X1331" s="4" t="str">
        <f>IFERROR(__xludf.DUMMYFUNCTION("""COMPUTED_VALUE"""),"")</f>
        <v/>
      </c>
      <c r="Y1331" s="4" t="str">
        <f>IFERROR(__xludf.DUMMYFUNCTION("""COMPUTED_VALUE"""),"")</f>
        <v/>
      </c>
    </row>
    <row r="1332">
      <c r="A1332" s="4" t="str">
        <f>IFERROR(__xludf.DUMMYFUNCTION("""COMPUTED_VALUE"""),"1862 - Channel")</f>
        <v>1862 - Channel</v>
      </c>
      <c r="B1332" s="4" t="str">
        <f>IFERROR(__xludf.DUMMYFUNCTION("""COMPUTED_VALUE"""),"")</f>
        <v/>
      </c>
      <c r="C1332" s="4" t="str">
        <f>IFERROR(__xludf.DUMMYFUNCTION("""COMPUTED_VALUE"""),"")</f>
        <v/>
      </c>
      <c r="D1332" s="4" t="str">
        <f>IFERROR(__xludf.DUMMYFUNCTION("""COMPUTED_VALUE"""),"")</f>
        <v/>
      </c>
      <c r="E1332" s="4" t="str">
        <f>IFERROR(__xludf.DUMMYFUNCTION("""COMPUTED_VALUE"""),"")</f>
        <v/>
      </c>
      <c r="F1332" s="4" t="str">
        <f>IFERROR(__xludf.DUMMYFUNCTION("""COMPUTED_VALUE"""),"")</f>
        <v/>
      </c>
      <c r="G1332" s="4" t="str">
        <f>IFERROR(__xludf.DUMMYFUNCTION("""COMPUTED_VALUE"""),"")</f>
        <v/>
      </c>
      <c r="H1332" s="4" t="str">
        <f>IFERROR(__xludf.DUMMYFUNCTION("""COMPUTED_VALUE"""),"")</f>
        <v/>
      </c>
      <c r="I1332" s="4" t="str">
        <f>IFERROR(__xludf.DUMMYFUNCTION("""COMPUTED_VALUE"""),"")</f>
        <v/>
      </c>
      <c r="J1332" s="4" t="str">
        <f>IFERROR(__xludf.DUMMYFUNCTION("""COMPUTED_VALUE"""),"")</f>
        <v/>
      </c>
      <c r="K1332" s="4" t="str">
        <f>IFERROR(__xludf.DUMMYFUNCTION("""COMPUTED_VALUE"""),"")</f>
        <v/>
      </c>
      <c r="L1332" s="4" t="str">
        <f>IFERROR(__xludf.DUMMYFUNCTION("""COMPUTED_VALUE"""),"")</f>
        <v/>
      </c>
      <c r="M1332" s="4" t="str">
        <f>IFERROR(__xludf.DUMMYFUNCTION("""COMPUTED_VALUE"""),"")</f>
        <v/>
      </c>
      <c r="N1332" s="4" t="str">
        <f>IFERROR(__xludf.DUMMYFUNCTION("""COMPUTED_VALUE"""),"")</f>
        <v/>
      </c>
      <c r="O1332" s="4" t="str">
        <f>IFERROR(__xludf.DUMMYFUNCTION("""COMPUTED_VALUE"""),"")</f>
        <v/>
      </c>
      <c r="P1332" s="4" t="str">
        <f>IFERROR(__xludf.DUMMYFUNCTION("""COMPUTED_VALUE"""),"")</f>
        <v/>
      </c>
      <c r="Q1332" s="4" t="str">
        <f>IFERROR(__xludf.DUMMYFUNCTION("""COMPUTED_VALUE"""),"")</f>
        <v/>
      </c>
      <c r="R1332" s="4" t="str">
        <f>IFERROR(__xludf.DUMMYFUNCTION("""COMPUTED_VALUE"""),"")</f>
        <v/>
      </c>
      <c r="S1332" s="4" t="str">
        <f>IFERROR(__xludf.DUMMYFUNCTION("""COMPUTED_VALUE"""),"")</f>
        <v/>
      </c>
      <c r="T1332" s="4" t="str">
        <f>IFERROR(__xludf.DUMMYFUNCTION("""COMPUTED_VALUE"""),"")</f>
        <v/>
      </c>
      <c r="U1332" s="4" t="str">
        <f>IFERROR(__xludf.DUMMYFUNCTION("""COMPUTED_VALUE"""),"")</f>
        <v/>
      </c>
      <c r="V1332" s="4" t="str">
        <f>IFERROR(__xludf.DUMMYFUNCTION("""COMPUTED_VALUE"""),"")</f>
        <v/>
      </c>
      <c r="W1332" s="4" t="str">
        <f>IFERROR(__xludf.DUMMYFUNCTION("""COMPUTED_VALUE"""),"")</f>
        <v/>
      </c>
      <c r="X1332" s="4" t="str">
        <f>IFERROR(__xludf.DUMMYFUNCTION("""COMPUTED_VALUE"""),"")</f>
        <v/>
      </c>
      <c r="Y1332" s="4" t="str">
        <f>IFERROR(__xludf.DUMMYFUNCTION("""COMPUTED_VALUE"""),"")</f>
        <v/>
      </c>
    </row>
    <row r="1333">
      <c r="A1333" s="4" t="str">
        <f>IFERROR(__xludf.DUMMYFUNCTION("""COMPUTED_VALUE"""),"1863 - Channel")</f>
        <v>1863 - Channel</v>
      </c>
      <c r="B1333" s="4" t="str">
        <f>IFERROR(__xludf.DUMMYFUNCTION("""COMPUTED_VALUE"""),"")</f>
        <v/>
      </c>
      <c r="C1333" s="4" t="str">
        <f>IFERROR(__xludf.DUMMYFUNCTION("""COMPUTED_VALUE"""),"")</f>
        <v/>
      </c>
      <c r="D1333" s="4" t="str">
        <f>IFERROR(__xludf.DUMMYFUNCTION("""COMPUTED_VALUE"""),"")</f>
        <v/>
      </c>
      <c r="E1333" s="4" t="str">
        <f>IFERROR(__xludf.DUMMYFUNCTION("""COMPUTED_VALUE"""),"")</f>
        <v/>
      </c>
      <c r="F1333" s="4" t="str">
        <f>IFERROR(__xludf.DUMMYFUNCTION("""COMPUTED_VALUE"""),"")</f>
        <v/>
      </c>
      <c r="G1333" s="4" t="str">
        <f>IFERROR(__xludf.DUMMYFUNCTION("""COMPUTED_VALUE"""),"")</f>
        <v/>
      </c>
      <c r="H1333" s="4" t="str">
        <f>IFERROR(__xludf.DUMMYFUNCTION("""COMPUTED_VALUE"""),"")</f>
        <v/>
      </c>
      <c r="I1333" s="4" t="str">
        <f>IFERROR(__xludf.DUMMYFUNCTION("""COMPUTED_VALUE"""),"")</f>
        <v/>
      </c>
      <c r="J1333" s="4" t="str">
        <f>IFERROR(__xludf.DUMMYFUNCTION("""COMPUTED_VALUE"""),"")</f>
        <v/>
      </c>
      <c r="K1333" s="4" t="str">
        <f>IFERROR(__xludf.DUMMYFUNCTION("""COMPUTED_VALUE"""),"")</f>
        <v/>
      </c>
      <c r="L1333" s="4" t="str">
        <f>IFERROR(__xludf.DUMMYFUNCTION("""COMPUTED_VALUE"""),"")</f>
        <v/>
      </c>
      <c r="M1333" s="4" t="str">
        <f>IFERROR(__xludf.DUMMYFUNCTION("""COMPUTED_VALUE"""),"")</f>
        <v/>
      </c>
      <c r="N1333" s="4" t="str">
        <f>IFERROR(__xludf.DUMMYFUNCTION("""COMPUTED_VALUE"""),"")</f>
        <v/>
      </c>
      <c r="O1333" s="4" t="str">
        <f>IFERROR(__xludf.DUMMYFUNCTION("""COMPUTED_VALUE"""),"")</f>
        <v/>
      </c>
      <c r="P1333" s="4" t="str">
        <f>IFERROR(__xludf.DUMMYFUNCTION("""COMPUTED_VALUE"""),"")</f>
        <v/>
      </c>
      <c r="Q1333" s="4" t="str">
        <f>IFERROR(__xludf.DUMMYFUNCTION("""COMPUTED_VALUE"""),"")</f>
        <v/>
      </c>
      <c r="R1333" s="4" t="str">
        <f>IFERROR(__xludf.DUMMYFUNCTION("""COMPUTED_VALUE"""),"")</f>
        <v/>
      </c>
      <c r="S1333" s="4" t="str">
        <f>IFERROR(__xludf.DUMMYFUNCTION("""COMPUTED_VALUE"""),"")</f>
        <v/>
      </c>
      <c r="T1333" s="4" t="str">
        <f>IFERROR(__xludf.DUMMYFUNCTION("""COMPUTED_VALUE"""),"")</f>
        <v/>
      </c>
      <c r="U1333" s="4" t="str">
        <f>IFERROR(__xludf.DUMMYFUNCTION("""COMPUTED_VALUE"""),"")</f>
        <v/>
      </c>
      <c r="V1333" s="4" t="str">
        <f>IFERROR(__xludf.DUMMYFUNCTION("""COMPUTED_VALUE"""),"")</f>
        <v/>
      </c>
      <c r="W1333" s="4" t="str">
        <f>IFERROR(__xludf.DUMMYFUNCTION("""COMPUTED_VALUE"""),"")</f>
        <v/>
      </c>
      <c r="X1333" s="4" t="str">
        <f>IFERROR(__xludf.DUMMYFUNCTION("""COMPUTED_VALUE"""),"")</f>
        <v/>
      </c>
      <c r="Y1333" s="4" t="str">
        <f>IFERROR(__xludf.DUMMYFUNCTION("""COMPUTED_VALUE"""),"")</f>
        <v/>
      </c>
    </row>
    <row r="1334">
      <c r="A1334" s="4" t="str">
        <f>IFERROR(__xludf.DUMMYFUNCTION("""COMPUTED_VALUE"""),"1864 - Channel")</f>
        <v>1864 - Channel</v>
      </c>
      <c r="B1334" s="4" t="str">
        <f>IFERROR(__xludf.DUMMYFUNCTION("""COMPUTED_VALUE"""),"")</f>
        <v/>
      </c>
      <c r="C1334" s="4" t="str">
        <f>IFERROR(__xludf.DUMMYFUNCTION("""COMPUTED_VALUE"""),"")</f>
        <v/>
      </c>
      <c r="D1334" s="4" t="str">
        <f>IFERROR(__xludf.DUMMYFUNCTION("""COMPUTED_VALUE"""),"")</f>
        <v/>
      </c>
      <c r="E1334" s="4" t="str">
        <f>IFERROR(__xludf.DUMMYFUNCTION("""COMPUTED_VALUE"""),"")</f>
        <v/>
      </c>
      <c r="F1334" s="4" t="str">
        <f>IFERROR(__xludf.DUMMYFUNCTION("""COMPUTED_VALUE"""),"")</f>
        <v/>
      </c>
      <c r="G1334" s="4" t="str">
        <f>IFERROR(__xludf.DUMMYFUNCTION("""COMPUTED_VALUE"""),"")</f>
        <v/>
      </c>
      <c r="H1334" s="4" t="str">
        <f>IFERROR(__xludf.DUMMYFUNCTION("""COMPUTED_VALUE"""),"")</f>
        <v/>
      </c>
      <c r="I1334" s="4" t="str">
        <f>IFERROR(__xludf.DUMMYFUNCTION("""COMPUTED_VALUE"""),"")</f>
        <v/>
      </c>
      <c r="J1334" s="4" t="str">
        <f>IFERROR(__xludf.DUMMYFUNCTION("""COMPUTED_VALUE"""),"")</f>
        <v/>
      </c>
      <c r="K1334" s="4" t="str">
        <f>IFERROR(__xludf.DUMMYFUNCTION("""COMPUTED_VALUE"""),"")</f>
        <v/>
      </c>
      <c r="L1334" s="4" t="str">
        <f>IFERROR(__xludf.DUMMYFUNCTION("""COMPUTED_VALUE"""),"")</f>
        <v/>
      </c>
      <c r="M1334" s="4" t="str">
        <f>IFERROR(__xludf.DUMMYFUNCTION("""COMPUTED_VALUE"""),"")</f>
        <v/>
      </c>
      <c r="N1334" s="4" t="str">
        <f>IFERROR(__xludf.DUMMYFUNCTION("""COMPUTED_VALUE"""),"")</f>
        <v/>
      </c>
      <c r="O1334" s="4" t="str">
        <f>IFERROR(__xludf.DUMMYFUNCTION("""COMPUTED_VALUE"""),"")</f>
        <v/>
      </c>
      <c r="P1334" s="4" t="str">
        <f>IFERROR(__xludf.DUMMYFUNCTION("""COMPUTED_VALUE"""),"")</f>
        <v/>
      </c>
      <c r="Q1334" s="4" t="str">
        <f>IFERROR(__xludf.DUMMYFUNCTION("""COMPUTED_VALUE"""),"")</f>
        <v/>
      </c>
      <c r="R1334" s="4" t="str">
        <f>IFERROR(__xludf.DUMMYFUNCTION("""COMPUTED_VALUE"""),"")</f>
        <v/>
      </c>
      <c r="S1334" s="4" t="str">
        <f>IFERROR(__xludf.DUMMYFUNCTION("""COMPUTED_VALUE"""),"")</f>
        <v/>
      </c>
      <c r="T1334" s="4" t="str">
        <f>IFERROR(__xludf.DUMMYFUNCTION("""COMPUTED_VALUE"""),"")</f>
        <v/>
      </c>
      <c r="U1334" s="4" t="str">
        <f>IFERROR(__xludf.DUMMYFUNCTION("""COMPUTED_VALUE"""),"")</f>
        <v/>
      </c>
      <c r="V1334" s="4" t="str">
        <f>IFERROR(__xludf.DUMMYFUNCTION("""COMPUTED_VALUE"""),"")</f>
        <v/>
      </c>
      <c r="W1334" s="4" t="str">
        <f>IFERROR(__xludf.DUMMYFUNCTION("""COMPUTED_VALUE"""),"")</f>
        <v/>
      </c>
      <c r="X1334" s="4" t="str">
        <f>IFERROR(__xludf.DUMMYFUNCTION("""COMPUTED_VALUE"""),"")</f>
        <v/>
      </c>
      <c r="Y1334" s="4" t="str">
        <f>IFERROR(__xludf.DUMMYFUNCTION("""COMPUTED_VALUE"""),"")</f>
        <v/>
      </c>
    </row>
    <row r="1335">
      <c r="A1335" s="4" t="str">
        <f>IFERROR(__xludf.DUMMYFUNCTION("""COMPUTED_VALUE"""),"1865 - Channel")</f>
        <v>1865 - Channel</v>
      </c>
      <c r="B1335" s="4" t="str">
        <f>IFERROR(__xludf.DUMMYFUNCTION("""COMPUTED_VALUE"""),"")</f>
        <v/>
      </c>
      <c r="C1335" s="4" t="str">
        <f>IFERROR(__xludf.DUMMYFUNCTION("""COMPUTED_VALUE"""),"")</f>
        <v/>
      </c>
      <c r="D1335" s="4" t="str">
        <f>IFERROR(__xludf.DUMMYFUNCTION("""COMPUTED_VALUE"""),"")</f>
        <v/>
      </c>
      <c r="E1335" s="4" t="str">
        <f>IFERROR(__xludf.DUMMYFUNCTION("""COMPUTED_VALUE"""),"")</f>
        <v/>
      </c>
      <c r="F1335" s="4" t="str">
        <f>IFERROR(__xludf.DUMMYFUNCTION("""COMPUTED_VALUE"""),"")</f>
        <v/>
      </c>
      <c r="G1335" s="4" t="str">
        <f>IFERROR(__xludf.DUMMYFUNCTION("""COMPUTED_VALUE"""),"")</f>
        <v/>
      </c>
      <c r="H1335" s="4" t="str">
        <f>IFERROR(__xludf.DUMMYFUNCTION("""COMPUTED_VALUE"""),"")</f>
        <v/>
      </c>
      <c r="I1335" s="4" t="str">
        <f>IFERROR(__xludf.DUMMYFUNCTION("""COMPUTED_VALUE"""),"")</f>
        <v/>
      </c>
      <c r="J1335" s="4" t="str">
        <f>IFERROR(__xludf.DUMMYFUNCTION("""COMPUTED_VALUE"""),"")</f>
        <v/>
      </c>
      <c r="K1335" s="4" t="str">
        <f>IFERROR(__xludf.DUMMYFUNCTION("""COMPUTED_VALUE"""),"")</f>
        <v/>
      </c>
      <c r="L1335" s="4" t="str">
        <f>IFERROR(__xludf.DUMMYFUNCTION("""COMPUTED_VALUE"""),"")</f>
        <v/>
      </c>
      <c r="M1335" s="4" t="str">
        <f>IFERROR(__xludf.DUMMYFUNCTION("""COMPUTED_VALUE"""),"")</f>
        <v/>
      </c>
      <c r="N1335" s="4" t="str">
        <f>IFERROR(__xludf.DUMMYFUNCTION("""COMPUTED_VALUE"""),"")</f>
        <v/>
      </c>
      <c r="O1335" s="4" t="str">
        <f>IFERROR(__xludf.DUMMYFUNCTION("""COMPUTED_VALUE"""),"")</f>
        <v/>
      </c>
      <c r="P1335" s="4" t="str">
        <f>IFERROR(__xludf.DUMMYFUNCTION("""COMPUTED_VALUE"""),"")</f>
        <v/>
      </c>
      <c r="Q1335" s="4" t="str">
        <f>IFERROR(__xludf.DUMMYFUNCTION("""COMPUTED_VALUE"""),"")</f>
        <v/>
      </c>
      <c r="R1335" s="4" t="str">
        <f>IFERROR(__xludf.DUMMYFUNCTION("""COMPUTED_VALUE"""),"")</f>
        <v/>
      </c>
      <c r="S1335" s="4" t="str">
        <f>IFERROR(__xludf.DUMMYFUNCTION("""COMPUTED_VALUE"""),"")</f>
        <v/>
      </c>
      <c r="T1335" s="4" t="str">
        <f>IFERROR(__xludf.DUMMYFUNCTION("""COMPUTED_VALUE"""),"")</f>
        <v/>
      </c>
      <c r="U1335" s="4" t="str">
        <f>IFERROR(__xludf.DUMMYFUNCTION("""COMPUTED_VALUE"""),"")</f>
        <v/>
      </c>
      <c r="V1335" s="4" t="str">
        <f>IFERROR(__xludf.DUMMYFUNCTION("""COMPUTED_VALUE"""),"")</f>
        <v/>
      </c>
      <c r="W1335" s="4" t="str">
        <f>IFERROR(__xludf.DUMMYFUNCTION("""COMPUTED_VALUE"""),"")</f>
        <v/>
      </c>
      <c r="X1335" s="4" t="str">
        <f>IFERROR(__xludf.DUMMYFUNCTION("""COMPUTED_VALUE"""),"")</f>
        <v/>
      </c>
      <c r="Y1335" s="4" t="str">
        <f>IFERROR(__xludf.DUMMYFUNCTION("""COMPUTED_VALUE"""),"")</f>
        <v/>
      </c>
    </row>
    <row r="1336">
      <c r="A1336" s="4" t="str">
        <f>IFERROR(__xludf.DUMMYFUNCTION("""COMPUTED_VALUE"""),"1866 - Channel")</f>
        <v>1866 - Channel</v>
      </c>
      <c r="B1336" s="4" t="str">
        <f>IFERROR(__xludf.DUMMYFUNCTION("""COMPUTED_VALUE"""),"")</f>
        <v/>
      </c>
      <c r="C1336" s="4" t="str">
        <f>IFERROR(__xludf.DUMMYFUNCTION("""COMPUTED_VALUE"""),"")</f>
        <v/>
      </c>
      <c r="D1336" s="4" t="str">
        <f>IFERROR(__xludf.DUMMYFUNCTION("""COMPUTED_VALUE"""),"")</f>
        <v/>
      </c>
      <c r="E1336" s="4" t="str">
        <f>IFERROR(__xludf.DUMMYFUNCTION("""COMPUTED_VALUE"""),"")</f>
        <v/>
      </c>
      <c r="F1336" s="4" t="str">
        <f>IFERROR(__xludf.DUMMYFUNCTION("""COMPUTED_VALUE"""),"")</f>
        <v/>
      </c>
      <c r="G1336" s="4" t="str">
        <f>IFERROR(__xludf.DUMMYFUNCTION("""COMPUTED_VALUE"""),"")</f>
        <v/>
      </c>
      <c r="H1336" s="4" t="str">
        <f>IFERROR(__xludf.DUMMYFUNCTION("""COMPUTED_VALUE"""),"")</f>
        <v/>
      </c>
      <c r="I1336" s="4" t="str">
        <f>IFERROR(__xludf.DUMMYFUNCTION("""COMPUTED_VALUE"""),"")</f>
        <v/>
      </c>
      <c r="J1336" s="4" t="str">
        <f>IFERROR(__xludf.DUMMYFUNCTION("""COMPUTED_VALUE"""),"")</f>
        <v/>
      </c>
      <c r="K1336" s="4" t="str">
        <f>IFERROR(__xludf.DUMMYFUNCTION("""COMPUTED_VALUE"""),"")</f>
        <v/>
      </c>
      <c r="L1336" s="4" t="str">
        <f>IFERROR(__xludf.DUMMYFUNCTION("""COMPUTED_VALUE"""),"")</f>
        <v/>
      </c>
      <c r="M1336" s="4" t="str">
        <f>IFERROR(__xludf.DUMMYFUNCTION("""COMPUTED_VALUE"""),"")</f>
        <v/>
      </c>
      <c r="N1336" s="4" t="str">
        <f>IFERROR(__xludf.DUMMYFUNCTION("""COMPUTED_VALUE"""),"")</f>
        <v/>
      </c>
      <c r="O1336" s="4" t="str">
        <f>IFERROR(__xludf.DUMMYFUNCTION("""COMPUTED_VALUE"""),"")</f>
        <v/>
      </c>
      <c r="P1336" s="4" t="str">
        <f>IFERROR(__xludf.DUMMYFUNCTION("""COMPUTED_VALUE"""),"")</f>
        <v/>
      </c>
      <c r="Q1336" s="4" t="str">
        <f>IFERROR(__xludf.DUMMYFUNCTION("""COMPUTED_VALUE"""),"")</f>
        <v/>
      </c>
      <c r="R1336" s="4" t="str">
        <f>IFERROR(__xludf.DUMMYFUNCTION("""COMPUTED_VALUE"""),"")</f>
        <v/>
      </c>
      <c r="S1336" s="4" t="str">
        <f>IFERROR(__xludf.DUMMYFUNCTION("""COMPUTED_VALUE"""),"")</f>
        <v/>
      </c>
      <c r="T1336" s="4" t="str">
        <f>IFERROR(__xludf.DUMMYFUNCTION("""COMPUTED_VALUE"""),"")</f>
        <v/>
      </c>
      <c r="U1336" s="4" t="str">
        <f>IFERROR(__xludf.DUMMYFUNCTION("""COMPUTED_VALUE"""),"")</f>
        <v/>
      </c>
      <c r="V1336" s="4" t="str">
        <f>IFERROR(__xludf.DUMMYFUNCTION("""COMPUTED_VALUE"""),"")</f>
        <v/>
      </c>
      <c r="W1336" s="4" t="str">
        <f>IFERROR(__xludf.DUMMYFUNCTION("""COMPUTED_VALUE"""),"")</f>
        <v/>
      </c>
      <c r="X1336" s="4" t="str">
        <f>IFERROR(__xludf.DUMMYFUNCTION("""COMPUTED_VALUE"""),"")</f>
        <v/>
      </c>
      <c r="Y1336" s="4" t="str">
        <f>IFERROR(__xludf.DUMMYFUNCTION("""COMPUTED_VALUE"""),"")</f>
        <v/>
      </c>
    </row>
    <row r="1337">
      <c r="A1337" s="4" t="str">
        <f>IFERROR(__xludf.DUMMYFUNCTION("""COMPUTED_VALUE"""),"1867 - Channel")</f>
        <v>1867 - Channel</v>
      </c>
      <c r="B1337" s="4" t="str">
        <f>IFERROR(__xludf.DUMMYFUNCTION("""COMPUTED_VALUE"""),"")</f>
        <v/>
      </c>
      <c r="C1337" s="4" t="str">
        <f>IFERROR(__xludf.DUMMYFUNCTION("""COMPUTED_VALUE"""),"")</f>
        <v/>
      </c>
      <c r="D1337" s="4" t="str">
        <f>IFERROR(__xludf.DUMMYFUNCTION("""COMPUTED_VALUE"""),"")</f>
        <v/>
      </c>
      <c r="E1337" s="4" t="str">
        <f>IFERROR(__xludf.DUMMYFUNCTION("""COMPUTED_VALUE"""),"")</f>
        <v/>
      </c>
      <c r="F1337" s="4" t="str">
        <f>IFERROR(__xludf.DUMMYFUNCTION("""COMPUTED_VALUE"""),"")</f>
        <v/>
      </c>
      <c r="G1337" s="4" t="str">
        <f>IFERROR(__xludf.DUMMYFUNCTION("""COMPUTED_VALUE"""),"")</f>
        <v/>
      </c>
      <c r="H1337" s="4" t="str">
        <f>IFERROR(__xludf.DUMMYFUNCTION("""COMPUTED_VALUE"""),"")</f>
        <v/>
      </c>
      <c r="I1337" s="4" t="str">
        <f>IFERROR(__xludf.DUMMYFUNCTION("""COMPUTED_VALUE"""),"")</f>
        <v/>
      </c>
      <c r="J1337" s="4" t="str">
        <f>IFERROR(__xludf.DUMMYFUNCTION("""COMPUTED_VALUE"""),"")</f>
        <v/>
      </c>
      <c r="K1337" s="4" t="str">
        <f>IFERROR(__xludf.DUMMYFUNCTION("""COMPUTED_VALUE"""),"")</f>
        <v/>
      </c>
      <c r="L1337" s="4" t="str">
        <f>IFERROR(__xludf.DUMMYFUNCTION("""COMPUTED_VALUE"""),"")</f>
        <v/>
      </c>
      <c r="M1337" s="4" t="str">
        <f>IFERROR(__xludf.DUMMYFUNCTION("""COMPUTED_VALUE"""),"")</f>
        <v/>
      </c>
      <c r="N1337" s="4" t="str">
        <f>IFERROR(__xludf.DUMMYFUNCTION("""COMPUTED_VALUE"""),"")</f>
        <v/>
      </c>
      <c r="O1337" s="4" t="str">
        <f>IFERROR(__xludf.DUMMYFUNCTION("""COMPUTED_VALUE"""),"")</f>
        <v/>
      </c>
      <c r="P1337" s="4" t="str">
        <f>IFERROR(__xludf.DUMMYFUNCTION("""COMPUTED_VALUE"""),"")</f>
        <v/>
      </c>
      <c r="Q1337" s="4" t="str">
        <f>IFERROR(__xludf.DUMMYFUNCTION("""COMPUTED_VALUE"""),"")</f>
        <v/>
      </c>
      <c r="R1337" s="4" t="str">
        <f>IFERROR(__xludf.DUMMYFUNCTION("""COMPUTED_VALUE"""),"")</f>
        <v/>
      </c>
      <c r="S1337" s="4" t="str">
        <f>IFERROR(__xludf.DUMMYFUNCTION("""COMPUTED_VALUE"""),"")</f>
        <v/>
      </c>
      <c r="T1337" s="4" t="str">
        <f>IFERROR(__xludf.DUMMYFUNCTION("""COMPUTED_VALUE"""),"")</f>
        <v/>
      </c>
      <c r="U1337" s="4" t="str">
        <f>IFERROR(__xludf.DUMMYFUNCTION("""COMPUTED_VALUE"""),"")</f>
        <v/>
      </c>
      <c r="V1337" s="4" t="str">
        <f>IFERROR(__xludf.DUMMYFUNCTION("""COMPUTED_VALUE"""),"")</f>
        <v/>
      </c>
      <c r="W1337" s="4" t="str">
        <f>IFERROR(__xludf.DUMMYFUNCTION("""COMPUTED_VALUE"""),"")</f>
        <v/>
      </c>
      <c r="X1337" s="4" t="str">
        <f>IFERROR(__xludf.DUMMYFUNCTION("""COMPUTED_VALUE"""),"")</f>
        <v/>
      </c>
      <c r="Y1337" s="4" t="str">
        <f>IFERROR(__xludf.DUMMYFUNCTION("""COMPUTED_VALUE"""),"")</f>
        <v/>
      </c>
    </row>
    <row r="1338">
      <c r="A1338" s="4" t="str">
        <f>IFERROR(__xludf.DUMMYFUNCTION("""COMPUTED_VALUE"""),"1868 - Channel")</f>
        <v>1868 - Channel</v>
      </c>
      <c r="B1338" s="4" t="str">
        <f>IFERROR(__xludf.DUMMYFUNCTION("""COMPUTED_VALUE"""),"")</f>
        <v/>
      </c>
      <c r="C1338" s="4" t="str">
        <f>IFERROR(__xludf.DUMMYFUNCTION("""COMPUTED_VALUE"""),"")</f>
        <v/>
      </c>
      <c r="D1338" s="4" t="str">
        <f>IFERROR(__xludf.DUMMYFUNCTION("""COMPUTED_VALUE"""),"")</f>
        <v/>
      </c>
      <c r="E1338" s="4" t="str">
        <f>IFERROR(__xludf.DUMMYFUNCTION("""COMPUTED_VALUE"""),"")</f>
        <v/>
      </c>
      <c r="F1338" s="4" t="str">
        <f>IFERROR(__xludf.DUMMYFUNCTION("""COMPUTED_VALUE"""),"")</f>
        <v/>
      </c>
      <c r="G1338" s="4" t="str">
        <f>IFERROR(__xludf.DUMMYFUNCTION("""COMPUTED_VALUE"""),"")</f>
        <v/>
      </c>
      <c r="H1338" s="4" t="str">
        <f>IFERROR(__xludf.DUMMYFUNCTION("""COMPUTED_VALUE"""),"")</f>
        <v/>
      </c>
      <c r="I1338" s="4" t="str">
        <f>IFERROR(__xludf.DUMMYFUNCTION("""COMPUTED_VALUE"""),"")</f>
        <v/>
      </c>
      <c r="J1338" s="4" t="str">
        <f>IFERROR(__xludf.DUMMYFUNCTION("""COMPUTED_VALUE"""),"")</f>
        <v/>
      </c>
      <c r="K1338" s="4" t="str">
        <f>IFERROR(__xludf.DUMMYFUNCTION("""COMPUTED_VALUE"""),"")</f>
        <v/>
      </c>
      <c r="L1338" s="4" t="str">
        <f>IFERROR(__xludf.DUMMYFUNCTION("""COMPUTED_VALUE"""),"")</f>
        <v/>
      </c>
      <c r="M1338" s="4" t="str">
        <f>IFERROR(__xludf.DUMMYFUNCTION("""COMPUTED_VALUE"""),"")</f>
        <v/>
      </c>
      <c r="N1338" s="4" t="str">
        <f>IFERROR(__xludf.DUMMYFUNCTION("""COMPUTED_VALUE"""),"")</f>
        <v/>
      </c>
      <c r="O1338" s="4" t="str">
        <f>IFERROR(__xludf.DUMMYFUNCTION("""COMPUTED_VALUE"""),"")</f>
        <v/>
      </c>
      <c r="P1338" s="4" t="str">
        <f>IFERROR(__xludf.DUMMYFUNCTION("""COMPUTED_VALUE"""),"")</f>
        <v/>
      </c>
      <c r="Q1338" s="4" t="str">
        <f>IFERROR(__xludf.DUMMYFUNCTION("""COMPUTED_VALUE"""),"")</f>
        <v/>
      </c>
      <c r="R1338" s="4" t="str">
        <f>IFERROR(__xludf.DUMMYFUNCTION("""COMPUTED_VALUE"""),"")</f>
        <v/>
      </c>
      <c r="S1338" s="4" t="str">
        <f>IFERROR(__xludf.DUMMYFUNCTION("""COMPUTED_VALUE"""),"")</f>
        <v/>
      </c>
      <c r="T1338" s="4" t="str">
        <f>IFERROR(__xludf.DUMMYFUNCTION("""COMPUTED_VALUE"""),"")</f>
        <v/>
      </c>
      <c r="U1338" s="4" t="str">
        <f>IFERROR(__xludf.DUMMYFUNCTION("""COMPUTED_VALUE"""),"")</f>
        <v/>
      </c>
      <c r="V1338" s="4" t="str">
        <f>IFERROR(__xludf.DUMMYFUNCTION("""COMPUTED_VALUE"""),"")</f>
        <v/>
      </c>
      <c r="W1338" s="4" t="str">
        <f>IFERROR(__xludf.DUMMYFUNCTION("""COMPUTED_VALUE"""),"")</f>
        <v/>
      </c>
      <c r="X1338" s="4" t="str">
        <f>IFERROR(__xludf.DUMMYFUNCTION("""COMPUTED_VALUE"""),"")</f>
        <v/>
      </c>
      <c r="Y1338" s="4" t="str">
        <f>IFERROR(__xludf.DUMMYFUNCTION("""COMPUTED_VALUE"""),"")</f>
        <v/>
      </c>
    </row>
    <row r="1339">
      <c r="A1339" s="4" t="str">
        <f>IFERROR(__xludf.DUMMYFUNCTION("""COMPUTED_VALUE"""),"1869 - Channel")</f>
        <v>1869 - Channel</v>
      </c>
      <c r="B1339" s="4" t="str">
        <f>IFERROR(__xludf.DUMMYFUNCTION("""COMPUTED_VALUE"""),"")</f>
        <v/>
      </c>
      <c r="C1339" s="4" t="str">
        <f>IFERROR(__xludf.DUMMYFUNCTION("""COMPUTED_VALUE"""),"")</f>
        <v/>
      </c>
      <c r="D1339" s="4" t="str">
        <f>IFERROR(__xludf.DUMMYFUNCTION("""COMPUTED_VALUE"""),"")</f>
        <v/>
      </c>
      <c r="E1339" s="4" t="str">
        <f>IFERROR(__xludf.DUMMYFUNCTION("""COMPUTED_VALUE"""),"")</f>
        <v/>
      </c>
      <c r="F1339" s="4" t="str">
        <f>IFERROR(__xludf.DUMMYFUNCTION("""COMPUTED_VALUE"""),"")</f>
        <v/>
      </c>
      <c r="G1339" s="4" t="str">
        <f>IFERROR(__xludf.DUMMYFUNCTION("""COMPUTED_VALUE"""),"")</f>
        <v/>
      </c>
      <c r="H1339" s="4" t="str">
        <f>IFERROR(__xludf.DUMMYFUNCTION("""COMPUTED_VALUE"""),"")</f>
        <v/>
      </c>
      <c r="I1339" s="4" t="str">
        <f>IFERROR(__xludf.DUMMYFUNCTION("""COMPUTED_VALUE"""),"")</f>
        <v/>
      </c>
      <c r="J1339" s="4" t="str">
        <f>IFERROR(__xludf.DUMMYFUNCTION("""COMPUTED_VALUE"""),"")</f>
        <v/>
      </c>
      <c r="K1339" s="4" t="str">
        <f>IFERROR(__xludf.DUMMYFUNCTION("""COMPUTED_VALUE"""),"")</f>
        <v/>
      </c>
      <c r="L1339" s="4" t="str">
        <f>IFERROR(__xludf.DUMMYFUNCTION("""COMPUTED_VALUE"""),"")</f>
        <v/>
      </c>
      <c r="M1339" s="4" t="str">
        <f>IFERROR(__xludf.DUMMYFUNCTION("""COMPUTED_VALUE"""),"")</f>
        <v/>
      </c>
      <c r="N1339" s="4" t="str">
        <f>IFERROR(__xludf.DUMMYFUNCTION("""COMPUTED_VALUE"""),"")</f>
        <v/>
      </c>
      <c r="O1339" s="4" t="str">
        <f>IFERROR(__xludf.DUMMYFUNCTION("""COMPUTED_VALUE"""),"")</f>
        <v/>
      </c>
      <c r="P1339" s="4" t="str">
        <f>IFERROR(__xludf.DUMMYFUNCTION("""COMPUTED_VALUE"""),"")</f>
        <v/>
      </c>
      <c r="Q1339" s="4" t="str">
        <f>IFERROR(__xludf.DUMMYFUNCTION("""COMPUTED_VALUE"""),"")</f>
        <v/>
      </c>
      <c r="R1339" s="4" t="str">
        <f>IFERROR(__xludf.DUMMYFUNCTION("""COMPUTED_VALUE"""),"")</f>
        <v/>
      </c>
      <c r="S1339" s="4" t="str">
        <f>IFERROR(__xludf.DUMMYFUNCTION("""COMPUTED_VALUE"""),"")</f>
        <v/>
      </c>
      <c r="T1339" s="4" t="str">
        <f>IFERROR(__xludf.DUMMYFUNCTION("""COMPUTED_VALUE"""),"")</f>
        <v/>
      </c>
      <c r="U1339" s="4" t="str">
        <f>IFERROR(__xludf.DUMMYFUNCTION("""COMPUTED_VALUE"""),"")</f>
        <v/>
      </c>
      <c r="V1339" s="4" t="str">
        <f>IFERROR(__xludf.DUMMYFUNCTION("""COMPUTED_VALUE"""),"")</f>
        <v/>
      </c>
      <c r="W1339" s="4" t="str">
        <f>IFERROR(__xludf.DUMMYFUNCTION("""COMPUTED_VALUE"""),"")</f>
        <v/>
      </c>
      <c r="X1339" s="4" t="str">
        <f>IFERROR(__xludf.DUMMYFUNCTION("""COMPUTED_VALUE"""),"")</f>
        <v/>
      </c>
      <c r="Y1339" s="4" t="str">
        <f>IFERROR(__xludf.DUMMYFUNCTION("""COMPUTED_VALUE"""),"")</f>
        <v/>
      </c>
    </row>
    <row r="1340">
      <c r="A1340" s="4" t="str">
        <f>IFERROR(__xludf.DUMMYFUNCTION("""COMPUTED_VALUE"""),"1870 - Channel")</f>
        <v>1870 - Channel</v>
      </c>
      <c r="B1340" s="4" t="str">
        <f>IFERROR(__xludf.DUMMYFUNCTION("""COMPUTED_VALUE"""),"")</f>
        <v/>
      </c>
      <c r="C1340" s="4" t="str">
        <f>IFERROR(__xludf.DUMMYFUNCTION("""COMPUTED_VALUE"""),"")</f>
        <v/>
      </c>
      <c r="D1340" s="4" t="str">
        <f>IFERROR(__xludf.DUMMYFUNCTION("""COMPUTED_VALUE"""),"")</f>
        <v/>
      </c>
      <c r="E1340" s="4" t="str">
        <f>IFERROR(__xludf.DUMMYFUNCTION("""COMPUTED_VALUE"""),"")</f>
        <v/>
      </c>
      <c r="F1340" s="4" t="str">
        <f>IFERROR(__xludf.DUMMYFUNCTION("""COMPUTED_VALUE"""),"")</f>
        <v/>
      </c>
      <c r="G1340" s="4" t="str">
        <f>IFERROR(__xludf.DUMMYFUNCTION("""COMPUTED_VALUE"""),"")</f>
        <v/>
      </c>
      <c r="H1340" s="4" t="str">
        <f>IFERROR(__xludf.DUMMYFUNCTION("""COMPUTED_VALUE"""),"")</f>
        <v/>
      </c>
      <c r="I1340" s="4" t="str">
        <f>IFERROR(__xludf.DUMMYFUNCTION("""COMPUTED_VALUE"""),"")</f>
        <v/>
      </c>
      <c r="J1340" s="4" t="str">
        <f>IFERROR(__xludf.DUMMYFUNCTION("""COMPUTED_VALUE"""),"")</f>
        <v/>
      </c>
      <c r="K1340" s="4" t="str">
        <f>IFERROR(__xludf.DUMMYFUNCTION("""COMPUTED_VALUE"""),"")</f>
        <v/>
      </c>
      <c r="L1340" s="4" t="str">
        <f>IFERROR(__xludf.DUMMYFUNCTION("""COMPUTED_VALUE"""),"")</f>
        <v/>
      </c>
      <c r="M1340" s="4" t="str">
        <f>IFERROR(__xludf.DUMMYFUNCTION("""COMPUTED_VALUE"""),"")</f>
        <v/>
      </c>
      <c r="N1340" s="4" t="str">
        <f>IFERROR(__xludf.DUMMYFUNCTION("""COMPUTED_VALUE"""),"")</f>
        <v/>
      </c>
      <c r="O1340" s="4" t="str">
        <f>IFERROR(__xludf.DUMMYFUNCTION("""COMPUTED_VALUE"""),"")</f>
        <v/>
      </c>
      <c r="P1340" s="4" t="str">
        <f>IFERROR(__xludf.DUMMYFUNCTION("""COMPUTED_VALUE"""),"")</f>
        <v/>
      </c>
      <c r="Q1340" s="4" t="str">
        <f>IFERROR(__xludf.DUMMYFUNCTION("""COMPUTED_VALUE"""),"")</f>
        <v/>
      </c>
      <c r="R1340" s="4" t="str">
        <f>IFERROR(__xludf.DUMMYFUNCTION("""COMPUTED_VALUE"""),"")</f>
        <v/>
      </c>
      <c r="S1340" s="4" t="str">
        <f>IFERROR(__xludf.DUMMYFUNCTION("""COMPUTED_VALUE"""),"")</f>
        <v/>
      </c>
      <c r="T1340" s="4" t="str">
        <f>IFERROR(__xludf.DUMMYFUNCTION("""COMPUTED_VALUE"""),"")</f>
        <v/>
      </c>
      <c r="U1340" s="4" t="str">
        <f>IFERROR(__xludf.DUMMYFUNCTION("""COMPUTED_VALUE"""),"")</f>
        <v/>
      </c>
      <c r="V1340" s="4" t="str">
        <f>IFERROR(__xludf.DUMMYFUNCTION("""COMPUTED_VALUE"""),"")</f>
        <v/>
      </c>
      <c r="W1340" s="4" t="str">
        <f>IFERROR(__xludf.DUMMYFUNCTION("""COMPUTED_VALUE"""),"")</f>
        <v/>
      </c>
      <c r="X1340" s="4" t="str">
        <f>IFERROR(__xludf.DUMMYFUNCTION("""COMPUTED_VALUE"""),"")</f>
        <v/>
      </c>
      <c r="Y1340" s="4" t="str">
        <f>IFERROR(__xludf.DUMMYFUNCTION("""COMPUTED_VALUE"""),"")</f>
        <v/>
      </c>
    </row>
    <row r="1341">
      <c r="A1341" s="4" t="str">
        <f>IFERROR(__xludf.DUMMYFUNCTION("""COMPUTED_VALUE"""),"1871 - Channel")</f>
        <v>1871 - Channel</v>
      </c>
      <c r="B1341" s="4" t="str">
        <f>IFERROR(__xludf.DUMMYFUNCTION("""COMPUTED_VALUE"""),"")</f>
        <v/>
      </c>
      <c r="C1341" s="4" t="str">
        <f>IFERROR(__xludf.DUMMYFUNCTION("""COMPUTED_VALUE"""),"")</f>
        <v/>
      </c>
      <c r="D1341" s="4" t="str">
        <f>IFERROR(__xludf.DUMMYFUNCTION("""COMPUTED_VALUE"""),"")</f>
        <v/>
      </c>
      <c r="E1341" s="4" t="str">
        <f>IFERROR(__xludf.DUMMYFUNCTION("""COMPUTED_VALUE"""),"")</f>
        <v/>
      </c>
      <c r="F1341" s="4" t="str">
        <f>IFERROR(__xludf.DUMMYFUNCTION("""COMPUTED_VALUE"""),"")</f>
        <v/>
      </c>
      <c r="G1341" s="4" t="str">
        <f>IFERROR(__xludf.DUMMYFUNCTION("""COMPUTED_VALUE"""),"")</f>
        <v/>
      </c>
      <c r="H1341" s="4" t="str">
        <f>IFERROR(__xludf.DUMMYFUNCTION("""COMPUTED_VALUE"""),"")</f>
        <v/>
      </c>
      <c r="I1341" s="4" t="str">
        <f>IFERROR(__xludf.DUMMYFUNCTION("""COMPUTED_VALUE"""),"")</f>
        <v/>
      </c>
      <c r="J1341" s="4" t="str">
        <f>IFERROR(__xludf.DUMMYFUNCTION("""COMPUTED_VALUE"""),"")</f>
        <v/>
      </c>
      <c r="K1341" s="4" t="str">
        <f>IFERROR(__xludf.DUMMYFUNCTION("""COMPUTED_VALUE"""),"")</f>
        <v/>
      </c>
      <c r="L1341" s="4" t="str">
        <f>IFERROR(__xludf.DUMMYFUNCTION("""COMPUTED_VALUE"""),"")</f>
        <v/>
      </c>
      <c r="M1341" s="4" t="str">
        <f>IFERROR(__xludf.DUMMYFUNCTION("""COMPUTED_VALUE"""),"")</f>
        <v/>
      </c>
      <c r="N1341" s="4" t="str">
        <f>IFERROR(__xludf.DUMMYFUNCTION("""COMPUTED_VALUE"""),"")</f>
        <v/>
      </c>
      <c r="O1341" s="4" t="str">
        <f>IFERROR(__xludf.DUMMYFUNCTION("""COMPUTED_VALUE"""),"")</f>
        <v/>
      </c>
      <c r="P1341" s="4" t="str">
        <f>IFERROR(__xludf.DUMMYFUNCTION("""COMPUTED_VALUE"""),"")</f>
        <v/>
      </c>
      <c r="Q1341" s="4" t="str">
        <f>IFERROR(__xludf.DUMMYFUNCTION("""COMPUTED_VALUE"""),"")</f>
        <v/>
      </c>
      <c r="R1341" s="4" t="str">
        <f>IFERROR(__xludf.DUMMYFUNCTION("""COMPUTED_VALUE"""),"")</f>
        <v/>
      </c>
      <c r="S1341" s="4" t="str">
        <f>IFERROR(__xludf.DUMMYFUNCTION("""COMPUTED_VALUE"""),"")</f>
        <v/>
      </c>
      <c r="T1341" s="4" t="str">
        <f>IFERROR(__xludf.DUMMYFUNCTION("""COMPUTED_VALUE"""),"")</f>
        <v/>
      </c>
      <c r="U1341" s="4" t="str">
        <f>IFERROR(__xludf.DUMMYFUNCTION("""COMPUTED_VALUE"""),"")</f>
        <v/>
      </c>
      <c r="V1341" s="4" t="str">
        <f>IFERROR(__xludf.DUMMYFUNCTION("""COMPUTED_VALUE"""),"")</f>
        <v/>
      </c>
      <c r="W1341" s="4" t="str">
        <f>IFERROR(__xludf.DUMMYFUNCTION("""COMPUTED_VALUE"""),"")</f>
        <v/>
      </c>
      <c r="X1341" s="4" t="str">
        <f>IFERROR(__xludf.DUMMYFUNCTION("""COMPUTED_VALUE"""),"")</f>
        <v/>
      </c>
      <c r="Y1341" s="4" t="str">
        <f>IFERROR(__xludf.DUMMYFUNCTION("""COMPUTED_VALUE"""),"")</f>
        <v/>
      </c>
    </row>
    <row r="1342">
      <c r="A1342" s="4" t="str">
        <f>IFERROR(__xludf.DUMMYFUNCTION("""COMPUTED_VALUE"""),"1872 - Channel")</f>
        <v>1872 - Channel</v>
      </c>
      <c r="B1342" s="4" t="str">
        <f>IFERROR(__xludf.DUMMYFUNCTION("""COMPUTED_VALUE"""),"")</f>
        <v/>
      </c>
      <c r="C1342" s="4" t="str">
        <f>IFERROR(__xludf.DUMMYFUNCTION("""COMPUTED_VALUE"""),"")</f>
        <v/>
      </c>
      <c r="D1342" s="4" t="str">
        <f>IFERROR(__xludf.DUMMYFUNCTION("""COMPUTED_VALUE"""),"")</f>
        <v/>
      </c>
      <c r="E1342" s="4" t="str">
        <f>IFERROR(__xludf.DUMMYFUNCTION("""COMPUTED_VALUE"""),"")</f>
        <v/>
      </c>
      <c r="F1342" s="4" t="str">
        <f>IFERROR(__xludf.DUMMYFUNCTION("""COMPUTED_VALUE"""),"")</f>
        <v/>
      </c>
      <c r="G1342" s="4" t="str">
        <f>IFERROR(__xludf.DUMMYFUNCTION("""COMPUTED_VALUE"""),"")</f>
        <v/>
      </c>
      <c r="H1342" s="4" t="str">
        <f>IFERROR(__xludf.DUMMYFUNCTION("""COMPUTED_VALUE"""),"")</f>
        <v/>
      </c>
      <c r="I1342" s="4" t="str">
        <f>IFERROR(__xludf.DUMMYFUNCTION("""COMPUTED_VALUE"""),"")</f>
        <v/>
      </c>
      <c r="J1342" s="4" t="str">
        <f>IFERROR(__xludf.DUMMYFUNCTION("""COMPUTED_VALUE"""),"")</f>
        <v/>
      </c>
      <c r="K1342" s="4" t="str">
        <f>IFERROR(__xludf.DUMMYFUNCTION("""COMPUTED_VALUE"""),"")</f>
        <v/>
      </c>
      <c r="L1342" s="4" t="str">
        <f>IFERROR(__xludf.DUMMYFUNCTION("""COMPUTED_VALUE"""),"")</f>
        <v/>
      </c>
      <c r="M1342" s="4" t="str">
        <f>IFERROR(__xludf.DUMMYFUNCTION("""COMPUTED_VALUE"""),"")</f>
        <v/>
      </c>
      <c r="N1342" s="4" t="str">
        <f>IFERROR(__xludf.DUMMYFUNCTION("""COMPUTED_VALUE"""),"")</f>
        <v/>
      </c>
      <c r="O1342" s="4" t="str">
        <f>IFERROR(__xludf.DUMMYFUNCTION("""COMPUTED_VALUE"""),"")</f>
        <v/>
      </c>
      <c r="P1342" s="4" t="str">
        <f>IFERROR(__xludf.DUMMYFUNCTION("""COMPUTED_VALUE"""),"")</f>
        <v/>
      </c>
      <c r="Q1342" s="4" t="str">
        <f>IFERROR(__xludf.DUMMYFUNCTION("""COMPUTED_VALUE"""),"")</f>
        <v/>
      </c>
      <c r="R1342" s="4" t="str">
        <f>IFERROR(__xludf.DUMMYFUNCTION("""COMPUTED_VALUE"""),"")</f>
        <v/>
      </c>
      <c r="S1342" s="4" t="str">
        <f>IFERROR(__xludf.DUMMYFUNCTION("""COMPUTED_VALUE"""),"")</f>
        <v/>
      </c>
      <c r="T1342" s="4" t="str">
        <f>IFERROR(__xludf.DUMMYFUNCTION("""COMPUTED_VALUE"""),"")</f>
        <v/>
      </c>
      <c r="U1342" s="4" t="str">
        <f>IFERROR(__xludf.DUMMYFUNCTION("""COMPUTED_VALUE"""),"")</f>
        <v/>
      </c>
      <c r="V1342" s="4" t="str">
        <f>IFERROR(__xludf.DUMMYFUNCTION("""COMPUTED_VALUE"""),"")</f>
        <v/>
      </c>
      <c r="W1342" s="4" t="str">
        <f>IFERROR(__xludf.DUMMYFUNCTION("""COMPUTED_VALUE"""),"")</f>
        <v/>
      </c>
      <c r="X1342" s="4" t="str">
        <f>IFERROR(__xludf.DUMMYFUNCTION("""COMPUTED_VALUE"""),"")</f>
        <v/>
      </c>
      <c r="Y1342" s="4" t="str">
        <f>IFERROR(__xludf.DUMMYFUNCTION("""COMPUTED_VALUE"""),"")</f>
        <v/>
      </c>
    </row>
    <row r="1343">
      <c r="A1343" s="4" t="str">
        <f>IFERROR(__xludf.DUMMYFUNCTION("""COMPUTED_VALUE"""),"1873 - Channel")</f>
        <v>1873 - Channel</v>
      </c>
      <c r="B1343" s="4" t="str">
        <f>IFERROR(__xludf.DUMMYFUNCTION("""COMPUTED_VALUE"""),"")</f>
        <v/>
      </c>
      <c r="C1343" s="4" t="str">
        <f>IFERROR(__xludf.DUMMYFUNCTION("""COMPUTED_VALUE"""),"")</f>
        <v/>
      </c>
      <c r="D1343" s="4" t="str">
        <f>IFERROR(__xludf.DUMMYFUNCTION("""COMPUTED_VALUE"""),"")</f>
        <v/>
      </c>
      <c r="E1343" s="4" t="str">
        <f>IFERROR(__xludf.DUMMYFUNCTION("""COMPUTED_VALUE"""),"")</f>
        <v/>
      </c>
      <c r="F1343" s="4" t="str">
        <f>IFERROR(__xludf.DUMMYFUNCTION("""COMPUTED_VALUE"""),"")</f>
        <v/>
      </c>
      <c r="G1343" s="4" t="str">
        <f>IFERROR(__xludf.DUMMYFUNCTION("""COMPUTED_VALUE"""),"")</f>
        <v/>
      </c>
      <c r="H1343" s="4" t="str">
        <f>IFERROR(__xludf.DUMMYFUNCTION("""COMPUTED_VALUE"""),"")</f>
        <v/>
      </c>
      <c r="I1343" s="4" t="str">
        <f>IFERROR(__xludf.DUMMYFUNCTION("""COMPUTED_VALUE"""),"")</f>
        <v/>
      </c>
      <c r="J1343" s="4" t="str">
        <f>IFERROR(__xludf.DUMMYFUNCTION("""COMPUTED_VALUE"""),"")</f>
        <v/>
      </c>
      <c r="K1343" s="4" t="str">
        <f>IFERROR(__xludf.DUMMYFUNCTION("""COMPUTED_VALUE"""),"")</f>
        <v/>
      </c>
      <c r="L1343" s="4" t="str">
        <f>IFERROR(__xludf.DUMMYFUNCTION("""COMPUTED_VALUE"""),"")</f>
        <v/>
      </c>
      <c r="M1343" s="4" t="str">
        <f>IFERROR(__xludf.DUMMYFUNCTION("""COMPUTED_VALUE"""),"")</f>
        <v/>
      </c>
      <c r="N1343" s="4" t="str">
        <f>IFERROR(__xludf.DUMMYFUNCTION("""COMPUTED_VALUE"""),"")</f>
        <v/>
      </c>
      <c r="O1343" s="4" t="str">
        <f>IFERROR(__xludf.DUMMYFUNCTION("""COMPUTED_VALUE"""),"")</f>
        <v/>
      </c>
      <c r="P1343" s="4" t="str">
        <f>IFERROR(__xludf.DUMMYFUNCTION("""COMPUTED_VALUE"""),"")</f>
        <v/>
      </c>
      <c r="Q1343" s="4" t="str">
        <f>IFERROR(__xludf.DUMMYFUNCTION("""COMPUTED_VALUE"""),"")</f>
        <v/>
      </c>
      <c r="R1343" s="4" t="str">
        <f>IFERROR(__xludf.DUMMYFUNCTION("""COMPUTED_VALUE"""),"")</f>
        <v/>
      </c>
      <c r="S1343" s="4" t="str">
        <f>IFERROR(__xludf.DUMMYFUNCTION("""COMPUTED_VALUE"""),"")</f>
        <v/>
      </c>
      <c r="T1343" s="4" t="str">
        <f>IFERROR(__xludf.DUMMYFUNCTION("""COMPUTED_VALUE"""),"")</f>
        <v/>
      </c>
      <c r="U1343" s="4" t="str">
        <f>IFERROR(__xludf.DUMMYFUNCTION("""COMPUTED_VALUE"""),"")</f>
        <v/>
      </c>
      <c r="V1343" s="4" t="str">
        <f>IFERROR(__xludf.DUMMYFUNCTION("""COMPUTED_VALUE"""),"")</f>
        <v/>
      </c>
      <c r="W1343" s="4" t="str">
        <f>IFERROR(__xludf.DUMMYFUNCTION("""COMPUTED_VALUE"""),"")</f>
        <v/>
      </c>
      <c r="X1343" s="4" t="str">
        <f>IFERROR(__xludf.DUMMYFUNCTION("""COMPUTED_VALUE"""),"")</f>
        <v/>
      </c>
      <c r="Y1343" s="4" t="str">
        <f>IFERROR(__xludf.DUMMYFUNCTION("""COMPUTED_VALUE"""),"")</f>
        <v/>
      </c>
    </row>
    <row r="1344">
      <c r="A1344" s="4" t="str">
        <f>IFERROR(__xludf.DUMMYFUNCTION("""COMPUTED_VALUE"""),"1874 - Channel")</f>
        <v>1874 - Channel</v>
      </c>
      <c r="B1344" s="4" t="str">
        <f>IFERROR(__xludf.DUMMYFUNCTION("""COMPUTED_VALUE"""),"")</f>
        <v/>
      </c>
      <c r="C1344" s="4" t="str">
        <f>IFERROR(__xludf.DUMMYFUNCTION("""COMPUTED_VALUE"""),"")</f>
        <v/>
      </c>
      <c r="D1344" s="4" t="str">
        <f>IFERROR(__xludf.DUMMYFUNCTION("""COMPUTED_VALUE"""),"")</f>
        <v/>
      </c>
      <c r="E1344" s="4" t="str">
        <f>IFERROR(__xludf.DUMMYFUNCTION("""COMPUTED_VALUE"""),"")</f>
        <v/>
      </c>
      <c r="F1344" s="4" t="str">
        <f>IFERROR(__xludf.DUMMYFUNCTION("""COMPUTED_VALUE"""),"")</f>
        <v/>
      </c>
      <c r="G1344" s="4" t="str">
        <f>IFERROR(__xludf.DUMMYFUNCTION("""COMPUTED_VALUE"""),"")</f>
        <v/>
      </c>
      <c r="H1344" s="4" t="str">
        <f>IFERROR(__xludf.DUMMYFUNCTION("""COMPUTED_VALUE"""),"")</f>
        <v/>
      </c>
      <c r="I1344" s="4" t="str">
        <f>IFERROR(__xludf.DUMMYFUNCTION("""COMPUTED_VALUE"""),"")</f>
        <v/>
      </c>
      <c r="J1344" s="4" t="str">
        <f>IFERROR(__xludf.DUMMYFUNCTION("""COMPUTED_VALUE"""),"")</f>
        <v/>
      </c>
      <c r="K1344" s="4" t="str">
        <f>IFERROR(__xludf.DUMMYFUNCTION("""COMPUTED_VALUE"""),"")</f>
        <v/>
      </c>
      <c r="L1344" s="4" t="str">
        <f>IFERROR(__xludf.DUMMYFUNCTION("""COMPUTED_VALUE"""),"")</f>
        <v/>
      </c>
      <c r="M1344" s="4" t="str">
        <f>IFERROR(__xludf.DUMMYFUNCTION("""COMPUTED_VALUE"""),"")</f>
        <v/>
      </c>
      <c r="N1344" s="4" t="str">
        <f>IFERROR(__xludf.DUMMYFUNCTION("""COMPUTED_VALUE"""),"")</f>
        <v/>
      </c>
      <c r="O1344" s="4" t="str">
        <f>IFERROR(__xludf.DUMMYFUNCTION("""COMPUTED_VALUE"""),"")</f>
        <v/>
      </c>
      <c r="P1344" s="4" t="str">
        <f>IFERROR(__xludf.DUMMYFUNCTION("""COMPUTED_VALUE"""),"")</f>
        <v/>
      </c>
      <c r="Q1344" s="4" t="str">
        <f>IFERROR(__xludf.DUMMYFUNCTION("""COMPUTED_VALUE"""),"")</f>
        <v/>
      </c>
      <c r="R1344" s="4" t="str">
        <f>IFERROR(__xludf.DUMMYFUNCTION("""COMPUTED_VALUE"""),"")</f>
        <v/>
      </c>
      <c r="S1344" s="4" t="str">
        <f>IFERROR(__xludf.DUMMYFUNCTION("""COMPUTED_VALUE"""),"")</f>
        <v/>
      </c>
      <c r="T1344" s="4" t="str">
        <f>IFERROR(__xludf.DUMMYFUNCTION("""COMPUTED_VALUE"""),"")</f>
        <v/>
      </c>
      <c r="U1344" s="4" t="str">
        <f>IFERROR(__xludf.DUMMYFUNCTION("""COMPUTED_VALUE"""),"")</f>
        <v/>
      </c>
      <c r="V1344" s="4" t="str">
        <f>IFERROR(__xludf.DUMMYFUNCTION("""COMPUTED_VALUE"""),"")</f>
        <v/>
      </c>
      <c r="W1344" s="4" t="str">
        <f>IFERROR(__xludf.DUMMYFUNCTION("""COMPUTED_VALUE"""),"")</f>
        <v/>
      </c>
      <c r="X1344" s="4" t="str">
        <f>IFERROR(__xludf.DUMMYFUNCTION("""COMPUTED_VALUE"""),"")</f>
        <v/>
      </c>
      <c r="Y1344" s="4" t="str">
        <f>IFERROR(__xludf.DUMMYFUNCTION("""COMPUTED_VALUE"""),"")</f>
        <v/>
      </c>
    </row>
    <row r="1345">
      <c r="A1345" s="4" t="str">
        <f>IFERROR(__xludf.DUMMYFUNCTION("""COMPUTED_VALUE"""),"1875 - Channel")</f>
        <v>1875 - Channel</v>
      </c>
      <c r="B1345" s="4" t="str">
        <f>IFERROR(__xludf.DUMMYFUNCTION("""COMPUTED_VALUE"""),"")</f>
        <v/>
      </c>
      <c r="C1345" s="4" t="str">
        <f>IFERROR(__xludf.DUMMYFUNCTION("""COMPUTED_VALUE"""),"")</f>
        <v/>
      </c>
      <c r="D1345" s="4" t="str">
        <f>IFERROR(__xludf.DUMMYFUNCTION("""COMPUTED_VALUE"""),"")</f>
        <v/>
      </c>
      <c r="E1345" s="4" t="str">
        <f>IFERROR(__xludf.DUMMYFUNCTION("""COMPUTED_VALUE"""),"")</f>
        <v/>
      </c>
      <c r="F1345" s="4" t="str">
        <f>IFERROR(__xludf.DUMMYFUNCTION("""COMPUTED_VALUE"""),"")</f>
        <v/>
      </c>
      <c r="G1345" s="4" t="str">
        <f>IFERROR(__xludf.DUMMYFUNCTION("""COMPUTED_VALUE"""),"")</f>
        <v/>
      </c>
      <c r="H1345" s="4" t="str">
        <f>IFERROR(__xludf.DUMMYFUNCTION("""COMPUTED_VALUE"""),"")</f>
        <v/>
      </c>
      <c r="I1345" s="4" t="str">
        <f>IFERROR(__xludf.DUMMYFUNCTION("""COMPUTED_VALUE"""),"")</f>
        <v/>
      </c>
      <c r="J1345" s="4" t="str">
        <f>IFERROR(__xludf.DUMMYFUNCTION("""COMPUTED_VALUE"""),"")</f>
        <v/>
      </c>
      <c r="K1345" s="4" t="str">
        <f>IFERROR(__xludf.DUMMYFUNCTION("""COMPUTED_VALUE"""),"")</f>
        <v/>
      </c>
      <c r="L1345" s="4" t="str">
        <f>IFERROR(__xludf.DUMMYFUNCTION("""COMPUTED_VALUE"""),"")</f>
        <v/>
      </c>
      <c r="M1345" s="4" t="str">
        <f>IFERROR(__xludf.DUMMYFUNCTION("""COMPUTED_VALUE"""),"")</f>
        <v/>
      </c>
      <c r="N1345" s="4" t="str">
        <f>IFERROR(__xludf.DUMMYFUNCTION("""COMPUTED_VALUE"""),"")</f>
        <v/>
      </c>
      <c r="O1345" s="4" t="str">
        <f>IFERROR(__xludf.DUMMYFUNCTION("""COMPUTED_VALUE"""),"")</f>
        <v/>
      </c>
      <c r="P1345" s="4" t="str">
        <f>IFERROR(__xludf.DUMMYFUNCTION("""COMPUTED_VALUE"""),"")</f>
        <v/>
      </c>
      <c r="Q1345" s="4" t="str">
        <f>IFERROR(__xludf.DUMMYFUNCTION("""COMPUTED_VALUE"""),"")</f>
        <v/>
      </c>
      <c r="R1345" s="4" t="str">
        <f>IFERROR(__xludf.DUMMYFUNCTION("""COMPUTED_VALUE"""),"")</f>
        <v/>
      </c>
      <c r="S1345" s="4" t="str">
        <f>IFERROR(__xludf.DUMMYFUNCTION("""COMPUTED_VALUE"""),"")</f>
        <v/>
      </c>
      <c r="T1345" s="4" t="str">
        <f>IFERROR(__xludf.DUMMYFUNCTION("""COMPUTED_VALUE"""),"")</f>
        <v/>
      </c>
      <c r="U1345" s="4" t="str">
        <f>IFERROR(__xludf.DUMMYFUNCTION("""COMPUTED_VALUE"""),"")</f>
        <v/>
      </c>
      <c r="V1345" s="4" t="str">
        <f>IFERROR(__xludf.DUMMYFUNCTION("""COMPUTED_VALUE"""),"")</f>
        <v/>
      </c>
      <c r="W1345" s="4" t="str">
        <f>IFERROR(__xludf.DUMMYFUNCTION("""COMPUTED_VALUE"""),"")</f>
        <v/>
      </c>
      <c r="X1345" s="4" t="str">
        <f>IFERROR(__xludf.DUMMYFUNCTION("""COMPUTED_VALUE"""),"")</f>
        <v/>
      </c>
      <c r="Y1345" s="4" t="str">
        <f>IFERROR(__xludf.DUMMYFUNCTION("""COMPUTED_VALUE"""),"")</f>
        <v/>
      </c>
    </row>
    <row r="1346">
      <c r="A1346" s="4" t="str">
        <f>IFERROR(__xludf.DUMMYFUNCTION("""COMPUTED_VALUE"""),"1876 - Channel")</f>
        <v>1876 - Channel</v>
      </c>
      <c r="B1346" s="4" t="str">
        <f>IFERROR(__xludf.DUMMYFUNCTION("""COMPUTED_VALUE"""),"")</f>
        <v/>
      </c>
      <c r="C1346" s="4" t="str">
        <f>IFERROR(__xludf.DUMMYFUNCTION("""COMPUTED_VALUE"""),"")</f>
        <v/>
      </c>
      <c r="D1346" s="4" t="str">
        <f>IFERROR(__xludf.DUMMYFUNCTION("""COMPUTED_VALUE"""),"")</f>
        <v/>
      </c>
      <c r="E1346" s="4" t="str">
        <f>IFERROR(__xludf.DUMMYFUNCTION("""COMPUTED_VALUE"""),"")</f>
        <v/>
      </c>
      <c r="F1346" s="4" t="str">
        <f>IFERROR(__xludf.DUMMYFUNCTION("""COMPUTED_VALUE"""),"")</f>
        <v/>
      </c>
      <c r="G1346" s="4" t="str">
        <f>IFERROR(__xludf.DUMMYFUNCTION("""COMPUTED_VALUE"""),"")</f>
        <v/>
      </c>
      <c r="H1346" s="4" t="str">
        <f>IFERROR(__xludf.DUMMYFUNCTION("""COMPUTED_VALUE"""),"")</f>
        <v/>
      </c>
      <c r="I1346" s="4" t="str">
        <f>IFERROR(__xludf.DUMMYFUNCTION("""COMPUTED_VALUE"""),"")</f>
        <v/>
      </c>
      <c r="J1346" s="4" t="str">
        <f>IFERROR(__xludf.DUMMYFUNCTION("""COMPUTED_VALUE"""),"")</f>
        <v/>
      </c>
      <c r="K1346" s="4" t="str">
        <f>IFERROR(__xludf.DUMMYFUNCTION("""COMPUTED_VALUE"""),"")</f>
        <v/>
      </c>
      <c r="L1346" s="4" t="str">
        <f>IFERROR(__xludf.DUMMYFUNCTION("""COMPUTED_VALUE"""),"")</f>
        <v/>
      </c>
      <c r="M1346" s="4" t="str">
        <f>IFERROR(__xludf.DUMMYFUNCTION("""COMPUTED_VALUE"""),"")</f>
        <v/>
      </c>
      <c r="N1346" s="4" t="str">
        <f>IFERROR(__xludf.DUMMYFUNCTION("""COMPUTED_VALUE"""),"")</f>
        <v/>
      </c>
      <c r="O1346" s="4" t="str">
        <f>IFERROR(__xludf.DUMMYFUNCTION("""COMPUTED_VALUE"""),"")</f>
        <v/>
      </c>
      <c r="P1346" s="4" t="str">
        <f>IFERROR(__xludf.DUMMYFUNCTION("""COMPUTED_VALUE"""),"")</f>
        <v/>
      </c>
      <c r="Q1346" s="4" t="str">
        <f>IFERROR(__xludf.DUMMYFUNCTION("""COMPUTED_VALUE"""),"")</f>
        <v/>
      </c>
      <c r="R1346" s="4" t="str">
        <f>IFERROR(__xludf.DUMMYFUNCTION("""COMPUTED_VALUE"""),"")</f>
        <v/>
      </c>
      <c r="S1346" s="4" t="str">
        <f>IFERROR(__xludf.DUMMYFUNCTION("""COMPUTED_VALUE"""),"")</f>
        <v/>
      </c>
      <c r="T1346" s="4" t="str">
        <f>IFERROR(__xludf.DUMMYFUNCTION("""COMPUTED_VALUE"""),"")</f>
        <v/>
      </c>
      <c r="U1346" s="4" t="str">
        <f>IFERROR(__xludf.DUMMYFUNCTION("""COMPUTED_VALUE"""),"")</f>
        <v/>
      </c>
      <c r="V1346" s="4" t="str">
        <f>IFERROR(__xludf.DUMMYFUNCTION("""COMPUTED_VALUE"""),"")</f>
        <v/>
      </c>
      <c r="W1346" s="4" t="str">
        <f>IFERROR(__xludf.DUMMYFUNCTION("""COMPUTED_VALUE"""),"")</f>
        <v/>
      </c>
      <c r="X1346" s="4" t="str">
        <f>IFERROR(__xludf.DUMMYFUNCTION("""COMPUTED_VALUE"""),"")</f>
        <v/>
      </c>
      <c r="Y1346" s="4" t="str">
        <f>IFERROR(__xludf.DUMMYFUNCTION("""COMPUTED_VALUE"""),"")</f>
        <v/>
      </c>
    </row>
    <row r="1347">
      <c r="A1347" s="4" t="str">
        <f>IFERROR(__xludf.DUMMYFUNCTION("""COMPUTED_VALUE"""),"1877 - Channel")</f>
        <v>1877 - Channel</v>
      </c>
      <c r="B1347" s="4" t="str">
        <f>IFERROR(__xludf.DUMMYFUNCTION("""COMPUTED_VALUE"""),"")</f>
        <v/>
      </c>
      <c r="C1347" s="4" t="str">
        <f>IFERROR(__xludf.DUMMYFUNCTION("""COMPUTED_VALUE"""),"")</f>
        <v/>
      </c>
      <c r="D1347" s="4" t="str">
        <f>IFERROR(__xludf.DUMMYFUNCTION("""COMPUTED_VALUE"""),"")</f>
        <v/>
      </c>
      <c r="E1347" s="4" t="str">
        <f>IFERROR(__xludf.DUMMYFUNCTION("""COMPUTED_VALUE"""),"")</f>
        <v/>
      </c>
      <c r="F1347" s="4" t="str">
        <f>IFERROR(__xludf.DUMMYFUNCTION("""COMPUTED_VALUE"""),"")</f>
        <v/>
      </c>
      <c r="G1347" s="4" t="str">
        <f>IFERROR(__xludf.DUMMYFUNCTION("""COMPUTED_VALUE"""),"")</f>
        <v/>
      </c>
      <c r="H1347" s="4" t="str">
        <f>IFERROR(__xludf.DUMMYFUNCTION("""COMPUTED_VALUE"""),"")</f>
        <v/>
      </c>
      <c r="I1347" s="4" t="str">
        <f>IFERROR(__xludf.DUMMYFUNCTION("""COMPUTED_VALUE"""),"")</f>
        <v/>
      </c>
      <c r="J1347" s="4" t="str">
        <f>IFERROR(__xludf.DUMMYFUNCTION("""COMPUTED_VALUE"""),"")</f>
        <v/>
      </c>
      <c r="K1347" s="4" t="str">
        <f>IFERROR(__xludf.DUMMYFUNCTION("""COMPUTED_VALUE"""),"")</f>
        <v/>
      </c>
      <c r="L1347" s="4" t="str">
        <f>IFERROR(__xludf.DUMMYFUNCTION("""COMPUTED_VALUE"""),"")</f>
        <v/>
      </c>
      <c r="M1347" s="4" t="str">
        <f>IFERROR(__xludf.DUMMYFUNCTION("""COMPUTED_VALUE"""),"")</f>
        <v/>
      </c>
      <c r="N1347" s="4" t="str">
        <f>IFERROR(__xludf.DUMMYFUNCTION("""COMPUTED_VALUE"""),"")</f>
        <v/>
      </c>
      <c r="O1347" s="4" t="str">
        <f>IFERROR(__xludf.DUMMYFUNCTION("""COMPUTED_VALUE"""),"")</f>
        <v/>
      </c>
      <c r="P1347" s="4" t="str">
        <f>IFERROR(__xludf.DUMMYFUNCTION("""COMPUTED_VALUE"""),"")</f>
        <v/>
      </c>
      <c r="Q1347" s="4" t="str">
        <f>IFERROR(__xludf.DUMMYFUNCTION("""COMPUTED_VALUE"""),"")</f>
        <v/>
      </c>
      <c r="R1347" s="4" t="str">
        <f>IFERROR(__xludf.DUMMYFUNCTION("""COMPUTED_VALUE"""),"")</f>
        <v/>
      </c>
      <c r="S1347" s="4" t="str">
        <f>IFERROR(__xludf.DUMMYFUNCTION("""COMPUTED_VALUE"""),"")</f>
        <v/>
      </c>
      <c r="T1347" s="4" t="str">
        <f>IFERROR(__xludf.DUMMYFUNCTION("""COMPUTED_VALUE"""),"")</f>
        <v/>
      </c>
      <c r="U1347" s="4" t="str">
        <f>IFERROR(__xludf.DUMMYFUNCTION("""COMPUTED_VALUE"""),"")</f>
        <v/>
      </c>
      <c r="V1347" s="4" t="str">
        <f>IFERROR(__xludf.DUMMYFUNCTION("""COMPUTED_VALUE"""),"")</f>
        <v/>
      </c>
      <c r="W1347" s="4" t="str">
        <f>IFERROR(__xludf.DUMMYFUNCTION("""COMPUTED_VALUE"""),"")</f>
        <v/>
      </c>
      <c r="X1347" s="4" t="str">
        <f>IFERROR(__xludf.DUMMYFUNCTION("""COMPUTED_VALUE"""),"")</f>
        <v/>
      </c>
      <c r="Y1347" s="4" t="str">
        <f>IFERROR(__xludf.DUMMYFUNCTION("""COMPUTED_VALUE"""),"")</f>
        <v/>
      </c>
    </row>
    <row r="1348">
      <c r="A1348" s="4" t="str">
        <f>IFERROR(__xludf.DUMMYFUNCTION("""COMPUTED_VALUE"""),"1878 - Channel")</f>
        <v>1878 - Channel</v>
      </c>
      <c r="B1348" s="4" t="str">
        <f>IFERROR(__xludf.DUMMYFUNCTION("""COMPUTED_VALUE"""),"")</f>
        <v/>
      </c>
      <c r="C1348" s="4" t="str">
        <f>IFERROR(__xludf.DUMMYFUNCTION("""COMPUTED_VALUE"""),"")</f>
        <v/>
      </c>
      <c r="D1348" s="4" t="str">
        <f>IFERROR(__xludf.DUMMYFUNCTION("""COMPUTED_VALUE"""),"")</f>
        <v/>
      </c>
      <c r="E1348" s="4" t="str">
        <f>IFERROR(__xludf.DUMMYFUNCTION("""COMPUTED_VALUE"""),"")</f>
        <v/>
      </c>
      <c r="F1348" s="4" t="str">
        <f>IFERROR(__xludf.DUMMYFUNCTION("""COMPUTED_VALUE"""),"")</f>
        <v/>
      </c>
      <c r="G1348" s="4" t="str">
        <f>IFERROR(__xludf.DUMMYFUNCTION("""COMPUTED_VALUE"""),"")</f>
        <v/>
      </c>
      <c r="H1348" s="4" t="str">
        <f>IFERROR(__xludf.DUMMYFUNCTION("""COMPUTED_VALUE"""),"")</f>
        <v/>
      </c>
      <c r="I1348" s="4" t="str">
        <f>IFERROR(__xludf.DUMMYFUNCTION("""COMPUTED_VALUE"""),"")</f>
        <v/>
      </c>
      <c r="J1348" s="4" t="str">
        <f>IFERROR(__xludf.DUMMYFUNCTION("""COMPUTED_VALUE"""),"")</f>
        <v/>
      </c>
      <c r="K1348" s="4" t="str">
        <f>IFERROR(__xludf.DUMMYFUNCTION("""COMPUTED_VALUE"""),"")</f>
        <v/>
      </c>
      <c r="L1348" s="4" t="str">
        <f>IFERROR(__xludf.DUMMYFUNCTION("""COMPUTED_VALUE"""),"")</f>
        <v/>
      </c>
      <c r="M1348" s="4" t="str">
        <f>IFERROR(__xludf.DUMMYFUNCTION("""COMPUTED_VALUE"""),"")</f>
        <v/>
      </c>
      <c r="N1348" s="4" t="str">
        <f>IFERROR(__xludf.DUMMYFUNCTION("""COMPUTED_VALUE"""),"")</f>
        <v/>
      </c>
      <c r="O1348" s="4" t="str">
        <f>IFERROR(__xludf.DUMMYFUNCTION("""COMPUTED_VALUE"""),"")</f>
        <v/>
      </c>
      <c r="P1348" s="4" t="str">
        <f>IFERROR(__xludf.DUMMYFUNCTION("""COMPUTED_VALUE"""),"")</f>
        <v/>
      </c>
      <c r="Q1348" s="4" t="str">
        <f>IFERROR(__xludf.DUMMYFUNCTION("""COMPUTED_VALUE"""),"")</f>
        <v/>
      </c>
      <c r="R1348" s="4" t="str">
        <f>IFERROR(__xludf.DUMMYFUNCTION("""COMPUTED_VALUE"""),"")</f>
        <v/>
      </c>
      <c r="S1348" s="4" t="str">
        <f>IFERROR(__xludf.DUMMYFUNCTION("""COMPUTED_VALUE"""),"")</f>
        <v/>
      </c>
      <c r="T1348" s="4" t="str">
        <f>IFERROR(__xludf.DUMMYFUNCTION("""COMPUTED_VALUE"""),"")</f>
        <v/>
      </c>
      <c r="U1348" s="4" t="str">
        <f>IFERROR(__xludf.DUMMYFUNCTION("""COMPUTED_VALUE"""),"")</f>
        <v/>
      </c>
      <c r="V1348" s="4" t="str">
        <f>IFERROR(__xludf.DUMMYFUNCTION("""COMPUTED_VALUE"""),"")</f>
        <v/>
      </c>
      <c r="W1348" s="4" t="str">
        <f>IFERROR(__xludf.DUMMYFUNCTION("""COMPUTED_VALUE"""),"")</f>
        <v/>
      </c>
      <c r="X1348" s="4" t="str">
        <f>IFERROR(__xludf.DUMMYFUNCTION("""COMPUTED_VALUE"""),"")</f>
        <v/>
      </c>
      <c r="Y1348" s="4" t="str">
        <f>IFERROR(__xludf.DUMMYFUNCTION("""COMPUTED_VALUE"""),"")</f>
        <v/>
      </c>
    </row>
    <row r="1349">
      <c r="A1349" s="4" t="str">
        <f>IFERROR(__xludf.DUMMYFUNCTION("""COMPUTED_VALUE"""),"1879 - Channel")</f>
        <v>1879 - Channel</v>
      </c>
      <c r="B1349" s="4" t="str">
        <f>IFERROR(__xludf.DUMMYFUNCTION("""COMPUTED_VALUE"""),"")</f>
        <v/>
      </c>
      <c r="C1349" s="4" t="str">
        <f>IFERROR(__xludf.DUMMYFUNCTION("""COMPUTED_VALUE"""),"")</f>
        <v/>
      </c>
      <c r="D1349" s="4" t="str">
        <f>IFERROR(__xludf.DUMMYFUNCTION("""COMPUTED_VALUE"""),"")</f>
        <v/>
      </c>
      <c r="E1349" s="4" t="str">
        <f>IFERROR(__xludf.DUMMYFUNCTION("""COMPUTED_VALUE"""),"")</f>
        <v/>
      </c>
      <c r="F1349" s="4" t="str">
        <f>IFERROR(__xludf.DUMMYFUNCTION("""COMPUTED_VALUE"""),"")</f>
        <v/>
      </c>
      <c r="G1349" s="4" t="str">
        <f>IFERROR(__xludf.DUMMYFUNCTION("""COMPUTED_VALUE"""),"")</f>
        <v/>
      </c>
      <c r="H1349" s="4" t="str">
        <f>IFERROR(__xludf.DUMMYFUNCTION("""COMPUTED_VALUE"""),"")</f>
        <v/>
      </c>
      <c r="I1349" s="4" t="str">
        <f>IFERROR(__xludf.DUMMYFUNCTION("""COMPUTED_VALUE"""),"")</f>
        <v/>
      </c>
      <c r="J1349" s="4" t="str">
        <f>IFERROR(__xludf.DUMMYFUNCTION("""COMPUTED_VALUE"""),"")</f>
        <v/>
      </c>
      <c r="K1349" s="4" t="str">
        <f>IFERROR(__xludf.DUMMYFUNCTION("""COMPUTED_VALUE"""),"")</f>
        <v/>
      </c>
      <c r="L1349" s="4" t="str">
        <f>IFERROR(__xludf.DUMMYFUNCTION("""COMPUTED_VALUE"""),"")</f>
        <v/>
      </c>
      <c r="M1349" s="4" t="str">
        <f>IFERROR(__xludf.DUMMYFUNCTION("""COMPUTED_VALUE"""),"")</f>
        <v/>
      </c>
      <c r="N1349" s="4" t="str">
        <f>IFERROR(__xludf.DUMMYFUNCTION("""COMPUTED_VALUE"""),"")</f>
        <v/>
      </c>
      <c r="O1349" s="4" t="str">
        <f>IFERROR(__xludf.DUMMYFUNCTION("""COMPUTED_VALUE"""),"")</f>
        <v/>
      </c>
      <c r="P1349" s="4" t="str">
        <f>IFERROR(__xludf.DUMMYFUNCTION("""COMPUTED_VALUE"""),"")</f>
        <v/>
      </c>
      <c r="Q1349" s="4" t="str">
        <f>IFERROR(__xludf.DUMMYFUNCTION("""COMPUTED_VALUE"""),"")</f>
        <v/>
      </c>
      <c r="R1349" s="4" t="str">
        <f>IFERROR(__xludf.DUMMYFUNCTION("""COMPUTED_VALUE"""),"")</f>
        <v/>
      </c>
      <c r="S1349" s="4" t="str">
        <f>IFERROR(__xludf.DUMMYFUNCTION("""COMPUTED_VALUE"""),"")</f>
        <v/>
      </c>
      <c r="T1349" s="4" t="str">
        <f>IFERROR(__xludf.DUMMYFUNCTION("""COMPUTED_VALUE"""),"")</f>
        <v/>
      </c>
      <c r="U1349" s="4" t="str">
        <f>IFERROR(__xludf.DUMMYFUNCTION("""COMPUTED_VALUE"""),"")</f>
        <v/>
      </c>
      <c r="V1349" s="4" t="str">
        <f>IFERROR(__xludf.DUMMYFUNCTION("""COMPUTED_VALUE"""),"")</f>
        <v/>
      </c>
      <c r="W1349" s="4" t="str">
        <f>IFERROR(__xludf.DUMMYFUNCTION("""COMPUTED_VALUE"""),"")</f>
        <v/>
      </c>
      <c r="X1349" s="4" t="str">
        <f>IFERROR(__xludf.DUMMYFUNCTION("""COMPUTED_VALUE"""),"")</f>
        <v/>
      </c>
      <c r="Y1349" s="4" t="str">
        <f>IFERROR(__xludf.DUMMYFUNCTION("""COMPUTED_VALUE"""),"")</f>
        <v/>
      </c>
    </row>
    <row r="1350">
      <c r="A1350" s="4" t="str">
        <f>IFERROR(__xludf.DUMMYFUNCTION("""COMPUTED_VALUE"""),"1880 - Channel")</f>
        <v>1880 - Channel</v>
      </c>
      <c r="B1350" s="4" t="str">
        <f>IFERROR(__xludf.DUMMYFUNCTION("""COMPUTED_VALUE"""),"")</f>
        <v/>
      </c>
      <c r="C1350" s="4" t="str">
        <f>IFERROR(__xludf.DUMMYFUNCTION("""COMPUTED_VALUE"""),"")</f>
        <v/>
      </c>
      <c r="D1350" s="4" t="str">
        <f>IFERROR(__xludf.DUMMYFUNCTION("""COMPUTED_VALUE"""),"")</f>
        <v/>
      </c>
      <c r="E1350" s="4" t="str">
        <f>IFERROR(__xludf.DUMMYFUNCTION("""COMPUTED_VALUE"""),"")</f>
        <v/>
      </c>
      <c r="F1350" s="4" t="str">
        <f>IFERROR(__xludf.DUMMYFUNCTION("""COMPUTED_VALUE"""),"")</f>
        <v/>
      </c>
      <c r="G1350" s="4" t="str">
        <f>IFERROR(__xludf.DUMMYFUNCTION("""COMPUTED_VALUE"""),"")</f>
        <v/>
      </c>
      <c r="H1350" s="4" t="str">
        <f>IFERROR(__xludf.DUMMYFUNCTION("""COMPUTED_VALUE"""),"")</f>
        <v/>
      </c>
      <c r="I1350" s="4" t="str">
        <f>IFERROR(__xludf.DUMMYFUNCTION("""COMPUTED_VALUE"""),"")</f>
        <v/>
      </c>
      <c r="J1350" s="4" t="str">
        <f>IFERROR(__xludf.DUMMYFUNCTION("""COMPUTED_VALUE"""),"")</f>
        <v/>
      </c>
      <c r="K1350" s="4" t="str">
        <f>IFERROR(__xludf.DUMMYFUNCTION("""COMPUTED_VALUE"""),"")</f>
        <v/>
      </c>
      <c r="L1350" s="4" t="str">
        <f>IFERROR(__xludf.DUMMYFUNCTION("""COMPUTED_VALUE"""),"")</f>
        <v/>
      </c>
      <c r="M1350" s="4" t="str">
        <f>IFERROR(__xludf.DUMMYFUNCTION("""COMPUTED_VALUE"""),"")</f>
        <v/>
      </c>
      <c r="N1350" s="4" t="str">
        <f>IFERROR(__xludf.DUMMYFUNCTION("""COMPUTED_VALUE"""),"")</f>
        <v/>
      </c>
      <c r="O1350" s="4" t="str">
        <f>IFERROR(__xludf.DUMMYFUNCTION("""COMPUTED_VALUE"""),"")</f>
        <v/>
      </c>
      <c r="P1350" s="4" t="str">
        <f>IFERROR(__xludf.DUMMYFUNCTION("""COMPUTED_VALUE"""),"")</f>
        <v/>
      </c>
      <c r="Q1350" s="4" t="str">
        <f>IFERROR(__xludf.DUMMYFUNCTION("""COMPUTED_VALUE"""),"")</f>
        <v/>
      </c>
      <c r="R1350" s="4" t="str">
        <f>IFERROR(__xludf.DUMMYFUNCTION("""COMPUTED_VALUE"""),"")</f>
        <v/>
      </c>
      <c r="S1350" s="4" t="str">
        <f>IFERROR(__xludf.DUMMYFUNCTION("""COMPUTED_VALUE"""),"")</f>
        <v/>
      </c>
      <c r="T1350" s="4" t="str">
        <f>IFERROR(__xludf.DUMMYFUNCTION("""COMPUTED_VALUE"""),"")</f>
        <v/>
      </c>
      <c r="U1350" s="4" t="str">
        <f>IFERROR(__xludf.DUMMYFUNCTION("""COMPUTED_VALUE"""),"")</f>
        <v/>
      </c>
      <c r="V1350" s="4" t="str">
        <f>IFERROR(__xludf.DUMMYFUNCTION("""COMPUTED_VALUE"""),"")</f>
        <v/>
      </c>
      <c r="W1350" s="4" t="str">
        <f>IFERROR(__xludf.DUMMYFUNCTION("""COMPUTED_VALUE"""),"")</f>
        <v/>
      </c>
      <c r="X1350" s="4" t="str">
        <f>IFERROR(__xludf.DUMMYFUNCTION("""COMPUTED_VALUE"""),"")</f>
        <v/>
      </c>
      <c r="Y1350" s="4" t="str">
        <f>IFERROR(__xludf.DUMMYFUNCTION("""COMPUTED_VALUE"""),"")</f>
        <v/>
      </c>
    </row>
    <row r="1351">
      <c r="A1351" s="4" t="str">
        <f>IFERROR(__xludf.DUMMYFUNCTION("""COMPUTED_VALUE"""),"1881 - Channel")</f>
        <v>1881 - Channel</v>
      </c>
      <c r="B1351" s="4" t="str">
        <f>IFERROR(__xludf.DUMMYFUNCTION("""COMPUTED_VALUE"""),"")</f>
        <v/>
      </c>
      <c r="C1351" s="4" t="str">
        <f>IFERROR(__xludf.DUMMYFUNCTION("""COMPUTED_VALUE"""),"")</f>
        <v/>
      </c>
      <c r="D1351" s="4" t="str">
        <f>IFERROR(__xludf.DUMMYFUNCTION("""COMPUTED_VALUE"""),"")</f>
        <v/>
      </c>
      <c r="E1351" s="4" t="str">
        <f>IFERROR(__xludf.DUMMYFUNCTION("""COMPUTED_VALUE"""),"")</f>
        <v/>
      </c>
      <c r="F1351" s="4" t="str">
        <f>IFERROR(__xludf.DUMMYFUNCTION("""COMPUTED_VALUE"""),"")</f>
        <v/>
      </c>
      <c r="G1351" s="4" t="str">
        <f>IFERROR(__xludf.DUMMYFUNCTION("""COMPUTED_VALUE"""),"")</f>
        <v/>
      </c>
      <c r="H1351" s="4" t="str">
        <f>IFERROR(__xludf.DUMMYFUNCTION("""COMPUTED_VALUE"""),"")</f>
        <v/>
      </c>
      <c r="I1351" s="4" t="str">
        <f>IFERROR(__xludf.DUMMYFUNCTION("""COMPUTED_VALUE"""),"")</f>
        <v/>
      </c>
      <c r="J1351" s="4" t="str">
        <f>IFERROR(__xludf.DUMMYFUNCTION("""COMPUTED_VALUE"""),"")</f>
        <v/>
      </c>
      <c r="K1351" s="4" t="str">
        <f>IFERROR(__xludf.DUMMYFUNCTION("""COMPUTED_VALUE"""),"")</f>
        <v/>
      </c>
      <c r="L1351" s="4" t="str">
        <f>IFERROR(__xludf.DUMMYFUNCTION("""COMPUTED_VALUE"""),"")</f>
        <v/>
      </c>
      <c r="M1351" s="4" t="str">
        <f>IFERROR(__xludf.DUMMYFUNCTION("""COMPUTED_VALUE"""),"")</f>
        <v/>
      </c>
      <c r="N1351" s="4" t="str">
        <f>IFERROR(__xludf.DUMMYFUNCTION("""COMPUTED_VALUE"""),"")</f>
        <v/>
      </c>
      <c r="O1351" s="4" t="str">
        <f>IFERROR(__xludf.DUMMYFUNCTION("""COMPUTED_VALUE"""),"")</f>
        <v/>
      </c>
      <c r="P1351" s="4" t="str">
        <f>IFERROR(__xludf.DUMMYFUNCTION("""COMPUTED_VALUE"""),"")</f>
        <v/>
      </c>
      <c r="Q1351" s="4" t="str">
        <f>IFERROR(__xludf.DUMMYFUNCTION("""COMPUTED_VALUE"""),"")</f>
        <v/>
      </c>
      <c r="R1351" s="4" t="str">
        <f>IFERROR(__xludf.DUMMYFUNCTION("""COMPUTED_VALUE"""),"")</f>
        <v/>
      </c>
      <c r="S1351" s="4" t="str">
        <f>IFERROR(__xludf.DUMMYFUNCTION("""COMPUTED_VALUE"""),"")</f>
        <v/>
      </c>
      <c r="T1351" s="4" t="str">
        <f>IFERROR(__xludf.DUMMYFUNCTION("""COMPUTED_VALUE"""),"")</f>
        <v/>
      </c>
      <c r="U1351" s="4" t="str">
        <f>IFERROR(__xludf.DUMMYFUNCTION("""COMPUTED_VALUE"""),"")</f>
        <v/>
      </c>
      <c r="V1351" s="4" t="str">
        <f>IFERROR(__xludf.DUMMYFUNCTION("""COMPUTED_VALUE"""),"")</f>
        <v/>
      </c>
      <c r="W1351" s="4" t="str">
        <f>IFERROR(__xludf.DUMMYFUNCTION("""COMPUTED_VALUE"""),"")</f>
        <v/>
      </c>
      <c r="X1351" s="4" t="str">
        <f>IFERROR(__xludf.DUMMYFUNCTION("""COMPUTED_VALUE"""),"")</f>
        <v/>
      </c>
      <c r="Y1351" s="4" t="str">
        <f>IFERROR(__xludf.DUMMYFUNCTION("""COMPUTED_VALUE"""),"")</f>
        <v/>
      </c>
    </row>
    <row r="1352">
      <c r="A1352" s="4" t="str">
        <f>IFERROR(__xludf.DUMMYFUNCTION("""COMPUTED_VALUE"""),"1882 - Channel")</f>
        <v>1882 - Channel</v>
      </c>
      <c r="B1352" s="4" t="str">
        <f>IFERROR(__xludf.DUMMYFUNCTION("""COMPUTED_VALUE"""),"")</f>
        <v/>
      </c>
      <c r="C1352" s="4" t="str">
        <f>IFERROR(__xludf.DUMMYFUNCTION("""COMPUTED_VALUE"""),"")</f>
        <v/>
      </c>
      <c r="D1352" s="4" t="str">
        <f>IFERROR(__xludf.DUMMYFUNCTION("""COMPUTED_VALUE"""),"")</f>
        <v/>
      </c>
      <c r="E1352" s="4" t="str">
        <f>IFERROR(__xludf.DUMMYFUNCTION("""COMPUTED_VALUE"""),"")</f>
        <v/>
      </c>
      <c r="F1352" s="4" t="str">
        <f>IFERROR(__xludf.DUMMYFUNCTION("""COMPUTED_VALUE"""),"")</f>
        <v/>
      </c>
      <c r="G1352" s="4" t="str">
        <f>IFERROR(__xludf.DUMMYFUNCTION("""COMPUTED_VALUE"""),"")</f>
        <v/>
      </c>
      <c r="H1352" s="4" t="str">
        <f>IFERROR(__xludf.DUMMYFUNCTION("""COMPUTED_VALUE"""),"")</f>
        <v/>
      </c>
      <c r="I1352" s="4" t="str">
        <f>IFERROR(__xludf.DUMMYFUNCTION("""COMPUTED_VALUE"""),"")</f>
        <v/>
      </c>
      <c r="J1352" s="4" t="str">
        <f>IFERROR(__xludf.DUMMYFUNCTION("""COMPUTED_VALUE"""),"")</f>
        <v/>
      </c>
      <c r="K1352" s="4" t="str">
        <f>IFERROR(__xludf.DUMMYFUNCTION("""COMPUTED_VALUE"""),"")</f>
        <v/>
      </c>
      <c r="L1352" s="4" t="str">
        <f>IFERROR(__xludf.DUMMYFUNCTION("""COMPUTED_VALUE"""),"")</f>
        <v/>
      </c>
      <c r="M1352" s="4" t="str">
        <f>IFERROR(__xludf.DUMMYFUNCTION("""COMPUTED_VALUE"""),"")</f>
        <v/>
      </c>
      <c r="N1352" s="4" t="str">
        <f>IFERROR(__xludf.DUMMYFUNCTION("""COMPUTED_VALUE"""),"")</f>
        <v/>
      </c>
      <c r="O1352" s="4" t="str">
        <f>IFERROR(__xludf.DUMMYFUNCTION("""COMPUTED_VALUE"""),"")</f>
        <v/>
      </c>
      <c r="P1352" s="4" t="str">
        <f>IFERROR(__xludf.DUMMYFUNCTION("""COMPUTED_VALUE"""),"")</f>
        <v/>
      </c>
      <c r="Q1352" s="4" t="str">
        <f>IFERROR(__xludf.DUMMYFUNCTION("""COMPUTED_VALUE"""),"")</f>
        <v/>
      </c>
      <c r="R1352" s="4" t="str">
        <f>IFERROR(__xludf.DUMMYFUNCTION("""COMPUTED_VALUE"""),"")</f>
        <v/>
      </c>
      <c r="S1352" s="4" t="str">
        <f>IFERROR(__xludf.DUMMYFUNCTION("""COMPUTED_VALUE"""),"")</f>
        <v/>
      </c>
      <c r="T1352" s="4" t="str">
        <f>IFERROR(__xludf.DUMMYFUNCTION("""COMPUTED_VALUE"""),"")</f>
        <v/>
      </c>
      <c r="U1352" s="4" t="str">
        <f>IFERROR(__xludf.DUMMYFUNCTION("""COMPUTED_VALUE"""),"")</f>
        <v/>
      </c>
      <c r="V1352" s="4" t="str">
        <f>IFERROR(__xludf.DUMMYFUNCTION("""COMPUTED_VALUE"""),"")</f>
        <v/>
      </c>
      <c r="W1352" s="4" t="str">
        <f>IFERROR(__xludf.DUMMYFUNCTION("""COMPUTED_VALUE"""),"")</f>
        <v/>
      </c>
      <c r="X1352" s="4" t="str">
        <f>IFERROR(__xludf.DUMMYFUNCTION("""COMPUTED_VALUE"""),"")</f>
        <v/>
      </c>
      <c r="Y1352" s="4" t="str">
        <f>IFERROR(__xludf.DUMMYFUNCTION("""COMPUTED_VALUE"""),"")</f>
        <v/>
      </c>
    </row>
    <row r="1353">
      <c r="A1353" s="4" t="str">
        <f>IFERROR(__xludf.DUMMYFUNCTION("""COMPUTED_VALUE"""),"1883 - Channel")</f>
        <v>1883 - Channel</v>
      </c>
      <c r="B1353" s="4" t="str">
        <f>IFERROR(__xludf.DUMMYFUNCTION("""COMPUTED_VALUE"""),"")</f>
        <v/>
      </c>
      <c r="C1353" s="4" t="str">
        <f>IFERROR(__xludf.DUMMYFUNCTION("""COMPUTED_VALUE"""),"")</f>
        <v/>
      </c>
      <c r="D1353" s="4" t="str">
        <f>IFERROR(__xludf.DUMMYFUNCTION("""COMPUTED_VALUE"""),"")</f>
        <v/>
      </c>
      <c r="E1353" s="4" t="str">
        <f>IFERROR(__xludf.DUMMYFUNCTION("""COMPUTED_VALUE"""),"")</f>
        <v/>
      </c>
      <c r="F1353" s="4" t="str">
        <f>IFERROR(__xludf.DUMMYFUNCTION("""COMPUTED_VALUE"""),"")</f>
        <v/>
      </c>
      <c r="G1353" s="4" t="str">
        <f>IFERROR(__xludf.DUMMYFUNCTION("""COMPUTED_VALUE"""),"")</f>
        <v/>
      </c>
      <c r="H1353" s="4" t="str">
        <f>IFERROR(__xludf.DUMMYFUNCTION("""COMPUTED_VALUE"""),"")</f>
        <v/>
      </c>
      <c r="I1353" s="4" t="str">
        <f>IFERROR(__xludf.DUMMYFUNCTION("""COMPUTED_VALUE"""),"")</f>
        <v/>
      </c>
      <c r="J1353" s="4" t="str">
        <f>IFERROR(__xludf.DUMMYFUNCTION("""COMPUTED_VALUE"""),"")</f>
        <v/>
      </c>
      <c r="K1353" s="4" t="str">
        <f>IFERROR(__xludf.DUMMYFUNCTION("""COMPUTED_VALUE"""),"")</f>
        <v/>
      </c>
      <c r="L1353" s="4" t="str">
        <f>IFERROR(__xludf.DUMMYFUNCTION("""COMPUTED_VALUE"""),"")</f>
        <v/>
      </c>
      <c r="M1353" s="4" t="str">
        <f>IFERROR(__xludf.DUMMYFUNCTION("""COMPUTED_VALUE"""),"")</f>
        <v/>
      </c>
      <c r="N1353" s="4" t="str">
        <f>IFERROR(__xludf.DUMMYFUNCTION("""COMPUTED_VALUE"""),"")</f>
        <v/>
      </c>
      <c r="O1353" s="4" t="str">
        <f>IFERROR(__xludf.DUMMYFUNCTION("""COMPUTED_VALUE"""),"")</f>
        <v/>
      </c>
      <c r="P1353" s="4" t="str">
        <f>IFERROR(__xludf.DUMMYFUNCTION("""COMPUTED_VALUE"""),"")</f>
        <v/>
      </c>
      <c r="Q1353" s="4" t="str">
        <f>IFERROR(__xludf.DUMMYFUNCTION("""COMPUTED_VALUE"""),"")</f>
        <v/>
      </c>
      <c r="R1353" s="4" t="str">
        <f>IFERROR(__xludf.DUMMYFUNCTION("""COMPUTED_VALUE"""),"")</f>
        <v/>
      </c>
      <c r="S1353" s="4" t="str">
        <f>IFERROR(__xludf.DUMMYFUNCTION("""COMPUTED_VALUE"""),"")</f>
        <v/>
      </c>
      <c r="T1353" s="4" t="str">
        <f>IFERROR(__xludf.DUMMYFUNCTION("""COMPUTED_VALUE"""),"")</f>
        <v/>
      </c>
      <c r="U1353" s="4" t="str">
        <f>IFERROR(__xludf.DUMMYFUNCTION("""COMPUTED_VALUE"""),"")</f>
        <v/>
      </c>
      <c r="V1353" s="4" t="str">
        <f>IFERROR(__xludf.DUMMYFUNCTION("""COMPUTED_VALUE"""),"")</f>
        <v/>
      </c>
      <c r="W1353" s="4" t="str">
        <f>IFERROR(__xludf.DUMMYFUNCTION("""COMPUTED_VALUE"""),"")</f>
        <v/>
      </c>
      <c r="X1353" s="4" t="str">
        <f>IFERROR(__xludf.DUMMYFUNCTION("""COMPUTED_VALUE"""),"")</f>
        <v/>
      </c>
      <c r="Y1353" s="4" t="str">
        <f>IFERROR(__xludf.DUMMYFUNCTION("""COMPUTED_VALUE"""),"")</f>
        <v/>
      </c>
    </row>
    <row r="1354">
      <c r="A1354" s="4" t="str">
        <f>IFERROR(__xludf.DUMMYFUNCTION("""COMPUTED_VALUE"""),"1884 - Channel")</f>
        <v>1884 - Channel</v>
      </c>
      <c r="B1354" s="4" t="str">
        <f>IFERROR(__xludf.DUMMYFUNCTION("""COMPUTED_VALUE"""),"")</f>
        <v/>
      </c>
      <c r="C1354" s="4" t="str">
        <f>IFERROR(__xludf.DUMMYFUNCTION("""COMPUTED_VALUE"""),"")</f>
        <v/>
      </c>
      <c r="D1354" s="4" t="str">
        <f>IFERROR(__xludf.DUMMYFUNCTION("""COMPUTED_VALUE"""),"")</f>
        <v/>
      </c>
      <c r="E1354" s="4" t="str">
        <f>IFERROR(__xludf.DUMMYFUNCTION("""COMPUTED_VALUE"""),"")</f>
        <v/>
      </c>
      <c r="F1354" s="4" t="str">
        <f>IFERROR(__xludf.DUMMYFUNCTION("""COMPUTED_VALUE"""),"")</f>
        <v/>
      </c>
      <c r="G1354" s="4" t="str">
        <f>IFERROR(__xludf.DUMMYFUNCTION("""COMPUTED_VALUE"""),"")</f>
        <v/>
      </c>
      <c r="H1354" s="4" t="str">
        <f>IFERROR(__xludf.DUMMYFUNCTION("""COMPUTED_VALUE"""),"")</f>
        <v/>
      </c>
      <c r="I1354" s="4" t="str">
        <f>IFERROR(__xludf.DUMMYFUNCTION("""COMPUTED_VALUE"""),"")</f>
        <v/>
      </c>
      <c r="J1354" s="4" t="str">
        <f>IFERROR(__xludf.DUMMYFUNCTION("""COMPUTED_VALUE"""),"")</f>
        <v/>
      </c>
      <c r="K1354" s="4" t="str">
        <f>IFERROR(__xludf.DUMMYFUNCTION("""COMPUTED_VALUE"""),"")</f>
        <v/>
      </c>
      <c r="L1354" s="4" t="str">
        <f>IFERROR(__xludf.DUMMYFUNCTION("""COMPUTED_VALUE"""),"")</f>
        <v/>
      </c>
      <c r="M1354" s="4" t="str">
        <f>IFERROR(__xludf.DUMMYFUNCTION("""COMPUTED_VALUE"""),"")</f>
        <v/>
      </c>
      <c r="N1354" s="4" t="str">
        <f>IFERROR(__xludf.DUMMYFUNCTION("""COMPUTED_VALUE"""),"")</f>
        <v/>
      </c>
      <c r="O1354" s="4" t="str">
        <f>IFERROR(__xludf.DUMMYFUNCTION("""COMPUTED_VALUE"""),"")</f>
        <v/>
      </c>
      <c r="P1354" s="4" t="str">
        <f>IFERROR(__xludf.DUMMYFUNCTION("""COMPUTED_VALUE"""),"")</f>
        <v/>
      </c>
      <c r="Q1354" s="4" t="str">
        <f>IFERROR(__xludf.DUMMYFUNCTION("""COMPUTED_VALUE"""),"")</f>
        <v/>
      </c>
      <c r="R1354" s="4" t="str">
        <f>IFERROR(__xludf.DUMMYFUNCTION("""COMPUTED_VALUE"""),"")</f>
        <v/>
      </c>
      <c r="S1354" s="4" t="str">
        <f>IFERROR(__xludf.DUMMYFUNCTION("""COMPUTED_VALUE"""),"")</f>
        <v/>
      </c>
      <c r="T1354" s="4" t="str">
        <f>IFERROR(__xludf.DUMMYFUNCTION("""COMPUTED_VALUE"""),"")</f>
        <v/>
      </c>
      <c r="U1354" s="4" t="str">
        <f>IFERROR(__xludf.DUMMYFUNCTION("""COMPUTED_VALUE"""),"")</f>
        <v/>
      </c>
      <c r="V1354" s="4" t="str">
        <f>IFERROR(__xludf.DUMMYFUNCTION("""COMPUTED_VALUE"""),"")</f>
        <v/>
      </c>
      <c r="W1354" s="4" t="str">
        <f>IFERROR(__xludf.DUMMYFUNCTION("""COMPUTED_VALUE"""),"")</f>
        <v/>
      </c>
      <c r="X1354" s="4" t="str">
        <f>IFERROR(__xludf.DUMMYFUNCTION("""COMPUTED_VALUE"""),"")</f>
        <v/>
      </c>
      <c r="Y1354" s="4" t="str">
        <f>IFERROR(__xludf.DUMMYFUNCTION("""COMPUTED_VALUE"""),"")</f>
        <v/>
      </c>
    </row>
    <row r="1355">
      <c r="A1355" s="4" t="str">
        <f>IFERROR(__xludf.DUMMYFUNCTION("""COMPUTED_VALUE"""),"1885 - Channel")</f>
        <v>1885 - Channel</v>
      </c>
      <c r="B1355" s="4" t="str">
        <f>IFERROR(__xludf.DUMMYFUNCTION("""COMPUTED_VALUE"""),"")</f>
        <v/>
      </c>
      <c r="C1355" s="4" t="str">
        <f>IFERROR(__xludf.DUMMYFUNCTION("""COMPUTED_VALUE"""),"")</f>
        <v/>
      </c>
      <c r="D1355" s="4" t="str">
        <f>IFERROR(__xludf.DUMMYFUNCTION("""COMPUTED_VALUE"""),"")</f>
        <v/>
      </c>
      <c r="E1355" s="4" t="str">
        <f>IFERROR(__xludf.DUMMYFUNCTION("""COMPUTED_VALUE"""),"")</f>
        <v/>
      </c>
      <c r="F1355" s="4" t="str">
        <f>IFERROR(__xludf.DUMMYFUNCTION("""COMPUTED_VALUE"""),"")</f>
        <v/>
      </c>
      <c r="G1355" s="4" t="str">
        <f>IFERROR(__xludf.DUMMYFUNCTION("""COMPUTED_VALUE"""),"")</f>
        <v/>
      </c>
      <c r="H1355" s="4" t="str">
        <f>IFERROR(__xludf.DUMMYFUNCTION("""COMPUTED_VALUE"""),"")</f>
        <v/>
      </c>
      <c r="I1355" s="4" t="str">
        <f>IFERROR(__xludf.DUMMYFUNCTION("""COMPUTED_VALUE"""),"")</f>
        <v/>
      </c>
      <c r="J1355" s="4" t="str">
        <f>IFERROR(__xludf.DUMMYFUNCTION("""COMPUTED_VALUE"""),"")</f>
        <v/>
      </c>
      <c r="K1355" s="4" t="str">
        <f>IFERROR(__xludf.DUMMYFUNCTION("""COMPUTED_VALUE"""),"")</f>
        <v/>
      </c>
      <c r="L1355" s="4" t="str">
        <f>IFERROR(__xludf.DUMMYFUNCTION("""COMPUTED_VALUE"""),"")</f>
        <v/>
      </c>
      <c r="M1355" s="4" t="str">
        <f>IFERROR(__xludf.DUMMYFUNCTION("""COMPUTED_VALUE"""),"")</f>
        <v/>
      </c>
      <c r="N1355" s="4" t="str">
        <f>IFERROR(__xludf.DUMMYFUNCTION("""COMPUTED_VALUE"""),"")</f>
        <v/>
      </c>
      <c r="O1355" s="4" t="str">
        <f>IFERROR(__xludf.DUMMYFUNCTION("""COMPUTED_VALUE"""),"")</f>
        <v/>
      </c>
      <c r="P1355" s="4" t="str">
        <f>IFERROR(__xludf.DUMMYFUNCTION("""COMPUTED_VALUE"""),"")</f>
        <v/>
      </c>
      <c r="Q1355" s="4" t="str">
        <f>IFERROR(__xludf.DUMMYFUNCTION("""COMPUTED_VALUE"""),"")</f>
        <v/>
      </c>
      <c r="R1355" s="4" t="str">
        <f>IFERROR(__xludf.DUMMYFUNCTION("""COMPUTED_VALUE"""),"")</f>
        <v/>
      </c>
      <c r="S1355" s="4" t="str">
        <f>IFERROR(__xludf.DUMMYFUNCTION("""COMPUTED_VALUE"""),"")</f>
        <v/>
      </c>
      <c r="T1355" s="4" t="str">
        <f>IFERROR(__xludf.DUMMYFUNCTION("""COMPUTED_VALUE"""),"")</f>
        <v/>
      </c>
      <c r="U1355" s="4" t="str">
        <f>IFERROR(__xludf.DUMMYFUNCTION("""COMPUTED_VALUE"""),"")</f>
        <v/>
      </c>
      <c r="V1355" s="4" t="str">
        <f>IFERROR(__xludf.DUMMYFUNCTION("""COMPUTED_VALUE"""),"")</f>
        <v/>
      </c>
      <c r="W1355" s="4" t="str">
        <f>IFERROR(__xludf.DUMMYFUNCTION("""COMPUTED_VALUE"""),"")</f>
        <v/>
      </c>
      <c r="X1355" s="4" t="str">
        <f>IFERROR(__xludf.DUMMYFUNCTION("""COMPUTED_VALUE"""),"")</f>
        <v/>
      </c>
      <c r="Y1355" s="4" t="str">
        <f>IFERROR(__xludf.DUMMYFUNCTION("""COMPUTED_VALUE"""),"")</f>
        <v/>
      </c>
    </row>
    <row r="1356">
      <c r="A1356" s="4" t="str">
        <f>IFERROR(__xludf.DUMMYFUNCTION("""COMPUTED_VALUE"""),"1886 - Channel")</f>
        <v>1886 - Channel</v>
      </c>
      <c r="B1356" s="4" t="str">
        <f>IFERROR(__xludf.DUMMYFUNCTION("""COMPUTED_VALUE"""),"")</f>
        <v/>
      </c>
      <c r="C1356" s="4" t="str">
        <f>IFERROR(__xludf.DUMMYFUNCTION("""COMPUTED_VALUE"""),"")</f>
        <v/>
      </c>
      <c r="D1356" s="4" t="str">
        <f>IFERROR(__xludf.DUMMYFUNCTION("""COMPUTED_VALUE"""),"")</f>
        <v/>
      </c>
      <c r="E1356" s="4" t="str">
        <f>IFERROR(__xludf.DUMMYFUNCTION("""COMPUTED_VALUE"""),"")</f>
        <v/>
      </c>
      <c r="F1356" s="4" t="str">
        <f>IFERROR(__xludf.DUMMYFUNCTION("""COMPUTED_VALUE"""),"")</f>
        <v/>
      </c>
      <c r="G1356" s="4" t="str">
        <f>IFERROR(__xludf.DUMMYFUNCTION("""COMPUTED_VALUE"""),"")</f>
        <v/>
      </c>
      <c r="H1356" s="4" t="str">
        <f>IFERROR(__xludf.DUMMYFUNCTION("""COMPUTED_VALUE"""),"")</f>
        <v/>
      </c>
      <c r="I1356" s="4" t="str">
        <f>IFERROR(__xludf.DUMMYFUNCTION("""COMPUTED_VALUE"""),"")</f>
        <v/>
      </c>
      <c r="J1356" s="4" t="str">
        <f>IFERROR(__xludf.DUMMYFUNCTION("""COMPUTED_VALUE"""),"")</f>
        <v/>
      </c>
      <c r="K1356" s="4" t="str">
        <f>IFERROR(__xludf.DUMMYFUNCTION("""COMPUTED_VALUE"""),"")</f>
        <v/>
      </c>
      <c r="L1356" s="4" t="str">
        <f>IFERROR(__xludf.DUMMYFUNCTION("""COMPUTED_VALUE"""),"")</f>
        <v/>
      </c>
      <c r="M1356" s="4" t="str">
        <f>IFERROR(__xludf.DUMMYFUNCTION("""COMPUTED_VALUE"""),"")</f>
        <v/>
      </c>
      <c r="N1356" s="4" t="str">
        <f>IFERROR(__xludf.DUMMYFUNCTION("""COMPUTED_VALUE"""),"")</f>
        <v/>
      </c>
      <c r="O1356" s="4" t="str">
        <f>IFERROR(__xludf.DUMMYFUNCTION("""COMPUTED_VALUE"""),"")</f>
        <v/>
      </c>
      <c r="P1356" s="4" t="str">
        <f>IFERROR(__xludf.DUMMYFUNCTION("""COMPUTED_VALUE"""),"")</f>
        <v/>
      </c>
      <c r="Q1356" s="4" t="str">
        <f>IFERROR(__xludf.DUMMYFUNCTION("""COMPUTED_VALUE"""),"")</f>
        <v/>
      </c>
      <c r="R1356" s="4" t="str">
        <f>IFERROR(__xludf.DUMMYFUNCTION("""COMPUTED_VALUE"""),"")</f>
        <v/>
      </c>
      <c r="S1356" s="4" t="str">
        <f>IFERROR(__xludf.DUMMYFUNCTION("""COMPUTED_VALUE"""),"")</f>
        <v/>
      </c>
      <c r="T1356" s="4" t="str">
        <f>IFERROR(__xludf.DUMMYFUNCTION("""COMPUTED_VALUE"""),"")</f>
        <v/>
      </c>
      <c r="U1356" s="4" t="str">
        <f>IFERROR(__xludf.DUMMYFUNCTION("""COMPUTED_VALUE"""),"")</f>
        <v/>
      </c>
      <c r="V1356" s="4" t="str">
        <f>IFERROR(__xludf.DUMMYFUNCTION("""COMPUTED_VALUE"""),"")</f>
        <v/>
      </c>
      <c r="W1356" s="4" t="str">
        <f>IFERROR(__xludf.DUMMYFUNCTION("""COMPUTED_VALUE"""),"")</f>
        <v/>
      </c>
      <c r="X1356" s="4" t="str">
        <f>IFERROR(__xludf.DUMMYFUNCTION("""COMPUTED_VALUE"""),"")</f>
        <v/>
      </c>
      <c r="Y1356" s="4" t="str">
        <f>IFERROR(__xludf.DUMMYFUNCTION("""COMPUTED_VALUE"""),"")</f>
        <v/>
      </c>
    </row>
    <row r="1357">
      <c r="A1357" s="4" t="str">
        <f>IFERROR(__xludf.DUMMYFUNCTION("""COMPUTED_VALUE"""),"1887 - Channel")</f>
        <v>1887 - Channel</v>
      </c>
      <c r="B1357" s="4" t="str">
        <f>IFERROR(__xludf.DUMMYFUNCTION("""COMPUTED_VALUE"""),"")</f>
        <v/>
      </c>
      <c r="C1357" s="4" t="str">
        <f>IFERROR(__xludf.DUMMYFUNCTION("""COMPUTED_VALUE"""),"")</f>
        <v/>
      </c>
      <c r="D1357" s="4" t="str">
        <f>IFERROR(__xludf.DUMMYFUNCTION("""COMPUTED_VALUE"""),"")</f>
        <v/>
      </c>
      <c r="E1357" s="4" t="str">
        <f>IFERROR(__xludf.DUMMYFUNCTION("""COMPUTED_VALUE"""),"")</f>
        <v/>
      </c>
      <c r="F1357" s="4" t="str">
        <f>IFERROR(__xludf.DUMMYFUNCTION("""COMPUTED_VALUE"""),"")</f>
        <v/>
      </c>
      <c r="G1357" s="4" t="str">
        <f>IFERROR(__xludf.DUMMYFUNCTION("""COMPUTED_VALUE"""),"")</f>
        <v/>
      </c>
      <c r="H1357" s="4" t="str">
        <f>IFERROR(__xludf.DUMMYFUNCTION("""COMPUTED_VALUE"""),"")</f>
        <v/>
      </c>
      <c r="I1357" s="4" t="str">
        <f>IFERROR(__xludf.DUMMYFUNCTION("""COMPUTED_VALUE"""),"")</f>
        <v/>
      </c>
      <c r="J1357" s="4" t="str">
        <f>IFERROR(__xludf.DUMMYFUNCTION("""COMPUTED_VALUE"""),"")</f>
        <v/>
      </c>
      <c r="K1357" s="4" t="str">
        <f>IFERROR(__xludf.DUMMYFUNCTION("""COMPUTED_VALUE"""),"")</f>
        <v/>
      </c>
      <c r="L1357" s="4" t="str">
        <f>IFERROR(__xludf.DUMMYFUNCTION("""COMPUTED_VALUE"""),"")</f>
        <v/>
      </c>
      <c r="M1357" s="4" t="str">
        <f>IFERROR(__xludf.DUMMYFUNCTION("""COMPUTED_VALUE"""),"")</f>
        <v/>
      </c>
      <c r="N1357" s="4" t="str">
        <f>IFERROR(__xludf.DUMMYFUNCTION("""COMPUTED_VALUE"""),"")</f>
        <v/>
      </c>
      <c r="O1357" s="4" t="str">
        <f>IFERROR(__xludf.DUMMYFUNCTION("""COMPUTED_VALUE"""),"")</f>
        <v/>
      </c>
      <c r="P1357" s="4" t="str">
        <f>IFERROR(__xludf.DUMMYFUNCTION("""COMPUTED_VALUE"""),"")</f>
        <v/>
      </c>
      <c r="Q1357" s="4" t="str">
        <f>IFERROR(__xludf.DUMMYFUNCTION("""COMPUTED_VALUE"""),"")</f>
        <v/>
      </c>
      <c r="R1357" s="4" t="str">
        <f>IFERROR(__xludf.DUMMYFUNCTION("""COMPUTED_VALUE"""),"")</f>
        <v/>
      </c>
      <c r="S1357" s="4" t="str">
        <f>IFERROR(__xludf.DUMMYFUNCTION("""COMPUTED_VALUE"""),"")</f>
        <v/>
      </c>
      <c r="T1357" s="4" t="str">
        <f>IFERROR(__xludf.DUMMYFUNCTION("""COMPUTED_VALUE"""),"")</f>
        <v/>
      </c>
      <c r="U1357" s="4" t="str">
        <f>IFERROR(__xludf.DUMMYFUNCTION("""COMPUTED_VALUE"""),"")</f>
        <v/>
      </c>
      <c r="V1357" s="4" t="str">
        <f>IFERROR(__xludf.DUMMYFUNCTION("""COMPUTED_VALUE"""),"")</f>
        <v/>
      </c>
      <c r="W1357" s="4" t="str">
        <f>IFERROR(__xludf.DUMMYFUNCTION("""COMPUTED_VALUE"""),"")</f>
        <v/>
      </c>
      <c r="X1357" s="4" t="str">
        <f>IFERROR(__xludf.DUMMYFUNCTION("""COMPUTED_VALUE"""),"")</f>
        <v/>
      </c>
      <c r="Y1357" s="4" t="str">
        <f>IFERROR(__xludf.DUMMYFUNCTION("""COMPUTED_VALUE"""),"")</f>
        <v/>
      </c>
    </row>
    <row r="1358">
      <c r="A1358" s="4" t="str">
        <f>IFERROR(__xludf.DUMMYFUNCTION("""COMPUTED_VALUE"""),"1888 - Channel")</f>
        <v>1888 - Channel</v>
      </c>
      <c r="B1358" s="4" t="str">
        <f>IFERROR(__xludf.DUMMYFUNCTION("""COMPUTED_VALUE"""),"")</f>
        <v/>
      </c>
      <c r="C1358" s="4" t="str">
        <f>IFERROR(__xludf.DUMMYFUNCTION("""COMPUTED_VALUE"""),"")</f>
        <v/>
      </c>
      <c r="D1358" s="4" t="str">
        <f>IFERROR(__xludf.DUMMYFUNCTION("""COMPUTED_VALUE"""),"")</f>
        <v/>
      </c>
      <c r="E1358" s="4" t="str">
        <f>IFERROR(__xludf.DUMMYFUNCTION("""COMPUTED_VALUE"""),"")</f>
        <v/>
      </c>
      <c r="F1358" s="4" t="str">
        <f>IFERROR(__xludf.DUMMYFUNCTION("""COMPUTED_VALUE"""),"")</f>
        <v/>
      </c>
      <c r="G1358" s="4" t="str">
        <f>IFERROR(__xludf.DUMMYFUNCTION("""COMPUTED_VALUE"""),"")</f>
        <v/>
      </c>
      <c r="H1358" s="4" t="str">
        <f>IFERROR(__xludf.DUMMYFUNCTION("""COMPUTED_VALUE"""),"")</f>
        <v/>
      </c>
      <c r="I1358" s="4" t="str">
        <f>IFERROR(__xludf.DUMMYFUNCTION("""COMPUTED_VALUE"""),"")</f>
        <v/>
      </c>
      <c r="J1358" s="4" t="str">
        <f>IFERROR(__xludf.DUMMYFUNCTION("""COMPUTED_VALUE"""),"")</f>
        <v/>
      </c>
      <c r="K1358" s="4" t="str">
        <f>IFERROR(__xludf.DUMMYFUNCTION("""COMPUTED_VALUE"""),"")</f>
        <v/>
      </c>
      <c r="L1358" s="4" t="str">
        <f>IFERROR(__xludf.DUMMYFUNCTION("""COMPUTED_VALUE"""),"")</f>
        <v/>
      </c>
      <c r="M1358" s="4" t="str">
        <f>IFERROR(__xludf.DUMMYFUNCTION("""COMPUTED_VALUE"""),"")</f>
        <v/>
      </c>
      <c r="N1358" s="4" t="str">
        <f>IFERROR(__xludf.DUMMYFUNCTION("""COMPUTED_VALUE"""),"")</f>
        <v/>
      </c>
      <c r="O1358" s="4" t="str">
        <f>IFERROR(__xludf.DUMMYFUNCTION("""COMPUTED_VALUE"""),"")</f>
        <v/>
      </c>
      <c r="P1358" s="4" t="str">
        <f>IFERROR(__xludf.DUMMYFUNCTION("""COMPUTED_VALUE"""),"")</f>
        <v/>
      </c>
      <c r="Q1358" s="4" t="str">
        <f>IFERROR(__xludf.DUMMYFUNCTION("""COMPUTED_VALUE"""),"")</f>
        <v/>
      </c>
      <c r="R1358" s="4" t="str">
        <f>IFERROR(__xludf.DUMMYFUNCTION("""COMPUTED_VALUE"""),"")</f>
        <v/>
      </c>
      <c r="S1358" s="4" t="str">
        <f>IFERROR(__xludf.DUMMYFUNCTION("""COMPUTED_VALUE"""),"")</f>
        <v/>
      </c>
      <c r="T1358" s="4" t="str">
        <f>IFERROR(__xludf.DUMMYFUNCTION("""COMPUTED_VALUE"""),"")</f>
        <v/>
      </c>
      <c r="U1358" s="4" t="str">
        <f>IFERROR(__xludf.DUMMYFUNCTION("""COMPUTED_VALUE"""),"")</f>
        <v/>
      </c>
      <c r="V1358" s="4" t="str">
        <f>IFERROR(__xludf.DUMMYFUNCTION("""COMPUTED_VALUE"""),"")</f>
        <v/>
      </c>
      <c r="W1358" s="4" t="str">
        <f>IFERROR(__xludf.DUMMYFUNCTION("""COMPUTED_VALUE"""),"")</f>
        <v/>
      </c>
      <c r="X1358" s="4" t="str">
        <f>IFERROR(__xludf.DUMMYFUNCTION("""COMPUTED_VALUE"""),"")</f>
        <v/>
      </c>
      <c r="Y1358" s="4" t="str">
        <f>IFERROR(__xludf.DUMMYFUNCTION("""COMPUTED_VALUE"""),"")</f>
        <v/>
      </c>
    </row>
    <row r="1359">
      <c r="A1359" s="4" t="str">
        <f>IFERROR(__xludf.DUMMYFUNCTION("""COMPUTED_VALUE"""),"1889 - Channel")</f>
        <v>1889 - Channel</v>
      </c>
      <c r="B1359" s="4" t="str">
        <f>IFERROR(__xludf.DUMMYFUNCTION("""COMPUTED_VALUE"""),"")</f>
        <v/>
      </c>
      <c r="C1359" s="4" t="str">
        <f>IFERROR(__xludf.DUMMYFUNCTION("""COMPUTED_VALUE"""),"")</f>
        <v/>
      </c>
      <c r="D1359" s="4" t="str">
        <f>IFERROR(__xludf.DUMMYFUNCTION("""COMPUTED_VALUE"""),"")</f>
        <v/>
      </c>
      <c r="E1359" s="4" t="str">
        <f>IFERROR(__xludf.DUMMYFUNCTION("""COMPUTED_VALUE"""),"")</f>
        <v/>
      </c>
      <c r="F1359" s="4" t="str">
        <f>IFERROR(__xludf.DUMMYFUNCTION("""COMPUTED_VALUE"""),"")</f>
        <v/>
      </c>
      <c r="G1359" s="4" t="str">
        <f>IFERROR(__xludf.DUMMYFUNCTION("""COMPUTED_VALUE"""),"")</f>
        <v/>
      </c>
      <c r="H1359" s="4" t="str">
        <f>IFERROR(__xludf.DUMMYFUNCTION("""COMPUTED_VALUE"""),"")</f>
        <v/>
      </c>
      <c r="I1359" s="4" t="str">
        <f>IFERROR(__xludf.DUMMYFUNCTION("""COMPUTED_VALUE"""),"")</f>
        <v/>
      </c>
      <c r="J1359" s="4" t="str">
        <f>IFERROR(__xludf.DUMMYFUNCTION("""COMPUTED_VALUE"""),"")</f>
        <v/>
      </c>
      <c r="K1359" s="4" t="str">
        <f>IFERROR(__xludf.DUMMYFUNCTION("""COMPUTED_VALUE"""),"")</f>
        <v/>
      </c>
      <c r="L1359" s="4" t="str">
        <f>IFERROR(__xludf.DUMMYFUNCTION("""COMPUTED_VALUE"""),"")</f>
        <v/>
      </c>
      <c r="M1359" s="4" t="str">
        <f>IFERROR(__xludf.DUMMYFUNCTION("""COMPUTED_VALUE"""),"")</f>
        <v/>
      </c>
      <c r="N1359" s="4" t="str">
        <f>IFERROR(__xludf.DUMMYFUNCTION("""COMPUTED_VALUE"""),"")</f>
        <v/>
      </c>
      <c r="O1359" s="4" t="str">
        <f>IFERROR(__xludf.DUMMYFUNCTION("""COMPUTED_VALUE"""),"")</f>
        <v/>
      </c>
      <c r="P1359" s="4" t="str">
        <f>IFERROR(__xludf.DUMMYFUNCTION("""COMPUTED_VALUE"""),"")</f>
        <v/>
      </c>
      <c r="Q1359" s="4" t="str">
        <f>IFERROR(__xludf.DUMMYFUNCTION("""COMPUTED_VALUE"""),"")</f>
        <v/>
      </c>
      <c r="R1359" s="4" t="str">
        <f>IFERROR(__xludf.DUMMYFUNCTION("""COMPUTED_VALUE"""),"")</f>
        <v/>
      </c>
      <c r="S1359" s="4" t="str">
        <f>IFERROR(__xludf.DUMMYFUNCTION("""COMPUTED_VALUE"""),"")</f>
        <v/>
      </c>
      <c r="T1359" s="4" t="str">
        <f>IFERROR(__xludf.DUMMYFUNCTION("""COMPUTED_VALUE"""),"")</f>
        <v/>
      </c>
      <c r="U1359" s="4" t="str">
        <f>IFERROR(__xludf.DUMMYFUNCTION("""COMPUTED_VALUE"""),"")</f>
        <v/>
      </c>
      <c r="V1359" s="4" t="str">
        <f>IFERROR(__xludf.DUMMYFUNCTION("""COMPUTED_VALUE"""),"")</f>
        <v/>
      </c>
      <c r="W1359" s="4" t="str">
        <f>IFERROR(__xludf.DUMMYFUNCTION("""COMPUTED_VALUE"""),"")</f>
        <v/>
      </c>
      <c r="X1359" s="4" t="str">
        <f>IFERROR(__xludf.DUMMYFUNCTION("""COMPUTED_VALUE"""),"")</f>
        <v/>
      </c>
      <c r="Y1359" s="4" t="str">
        <f>IFERROR(__xludf.DUMMYFUNCTION("""COMPUTED_VALUE"""),"")</f>
        <v/>
      </c>
    </row>
    <row r="1360">
      <c r="A1360" s="4" t="str">
        <f>IFERROR(__xludf.DUMMYFUNCTION("""COMPUTED_VALUE"""),"1890 - Channel")</f>
        <v>1890 - Channel</v>
      </c>
      <c r="B1360" s="4" t="str">
        <f>IFERROR(__xludf.DUMMYFUNCTION("""COMPUTED_VALUE"""),"")</f>
        <v/>
      </c>
      <c r="C1360" s="4" t="str">
        <f>IFERROR(__xludf.DUMMYFUNCTION("""COMPUTED_VALUE"""),"")</f>
        <v/>
      </c>
      <c r="D1360" s="4" t="str">
        <f>IFERROR(__xludf.DUMMYFUNCTION("""COMPUTED_VALUE"""),"")</f>
        <v/>
      </c>
      <c r="E1360" s="4" t="str">
        <f>IFERROR(__xludf.DUMMYFUNCTION("""COMPUTED_VALUE"""),"")</f>
        <v/>
      </c>
      <c r="F1360" s="4" t="str">
        <f>IFERROR(__xludf.DUMMYFUNCTION("""COMPUTED_VALUE"""),"")</f>
        <v/>
      </c>
      <c r="G1360" s="4" t="str">
        <f>IFERROR(__xludf.DUMMYFUNCTION("""COMPUTED_VALUE"""),"")</f>
        <v/>
      </c>
      <c r="H1360" s="4" t="str">
        <f>IFERROR(__xludf.DUMMYFUNCTION("""COMPUTED_VALUE"""),"")</f>
        <v/>
      </c>
      <c r="I1360" s="4" t="str">
        <f>IFERROR(__xludf.DUMMYFUNCTION("""COMPUTED_VALUE"""),"")</f>
        <v/>
      </c>
      <c r="J1360" s="4" t="str">
        <f>IFERROR(__xludf.DUMMYFUNCTION("""COMPUTED_VALUE"""),"")</f>
        <v/>
      </c>
      <c r="K1360" s="4" t="str">
        <f>IFERROR(__xludf.DUMMYFUNCTION("""COMPUTED_VALUE"""),"")</f>
        <v/>
      </c>
      <c r="L1360" s="4" t="str">
        <f>IFERROR(__xludf.DUMMYFUNCTION("""COMPUTED_VALUE"""),"")</f>
        <v/>
      </c>
      <c r="M1360" s="4" t="str">
        <f>IFERROR(__xludf.DUMMYFUNCTION("""COMPUTED_VALUE"""),"")</f>
        <v/>
      </c>
      <c r="N1360" s="4" t="str">
        <f>IFERROR(__xludf.DUMMYFUNCTION("""COMPUTED_VALUE"""),"")</f>
        <v/>
      </c>
      <c r="O1360" s="4" t="str">
        <f>IFERROR(__xludf.DUMMYFUNCTION("""COMPUTED_VALUE"""),"")</f>
        <v/>
      </c>
      <c r="P1360" s="4" t="str">
        <f>IFERROR(__xludf.DUMMYFUNCTION("""COMPUTED_VALUE"""),"")</f>
        <v/>
      </c>
      <c r="Q1360" s="4" t="str">
        <f>IFERROR(__xludf.DUMMYFUNCTION("""COMPUTED_VALUE"""),"")</f>
        <v/>
      </c>
      <c r="R1360" s="4" t="str">
        <f>IFERROR(__xludf.DUMMYFUNCTION("""COMPUTED_VALUE"""),"")</f>
        <v/>
      </c>
      <c r="S1360" s="4" t="str">
        <f>IFERROR(__xludf.DUMMYFUNCTION("""COMPUTED_VALUE"""),"")</f>
        <v/>
      </c>
      <c r="T1360" s="4" t="str">
        <f>IFERROR(__xludf.DUMMYFUNCTION("""COMPUTED_VALUE"""),"")</f>
        <v/>
      </c>
      <c r="U1360" s="4" t="str">
        <f>IFERROR(__xludf.DUMMYFUNCTION("""COMPUTED_VALUE"""),"")</f>
        <v/>
      </c>
      <c r="V1360" s="4" t="str">
        <f>IFERROR(__xludf.DUMMYFUNCTION("""COMPUTED_VALUE"""),"")</f>
        <v/>
      </c>
      <c r="W1360" s="4" t="str">
        <f>IFERROR(__xludf.DUMMYFUNCTION("""COMPUTED_VALUE"""),"")</f>
        <v/>
      </c>
      <c r="X1360" s="4" t="str">
        <f>IFERROR(__xludf.DUMMYFUNCTION("""COMPUTED_VALUE"""),"")</f>
        <v/>
      </c>
      <c r="Y1360" s="4" t="str">
        <f>IFERROR(__xludf.DUMMYFUNCTION("""COMPUTED_VALUE"""),"")</f>
        <v/>
      </c>
    </row>
    <row r="1361">
      <c r="A1361" s="4" t="str">
        <f>IFERROR(__xludf.DUMMYFUNCTION("""COMPUTED_VALUE"""),"1891 - Channel")</f>
        <v>1891 - Channel</v>
      </c>
      <c r="B1361" s="4" t="str">
        <f>IFERROR(__xludf.DUMMYFUNCTION("""COMPUTED_VALUE"""),"")</f>
        <v/>
      </c>
      <c r="C1361" s="4" t="str">
        <f>IFERROR(__xludf.DUMMYFUNCTION("""COMPUTED_VALUE"""),"")</f>
        <v/>
      </c>
      <c r="D1361" s="4" t="str">
        <f>IFERROR(__xludf.DUMMYFUNCTION("""COMPUTED_VALUE"""),"")</f>
        <v/>
      </c>
      <c r="E1361" s="4" t="str">
        <f>IFERROR(__xludf.DUMMYFUNCTION("""COMPUTED_VALUE"""),"")</f>
        <v/>
      </c>
      <c r="F1361" s="4" t="str">
        <f>IFERROR(__xludf.DUMMYFUNCTION("""COMPUTED_VALUE"""),"")</f>
        <v/>
      </c>
      <c r="G1361" s="4" t="str">
        <f>IFERROR(__xludf.DUMMYFUNCTION("""COMPUTED_VALUE"""),"")</f>
        <v/>
      </c>
      <c r="H1361" s="4" t="str">
        <f>IFERROR(__xludf.DUMMYFUNCTION("""COMPUTED_VALUE"""),"")</f>
        <v/>
      </c>
      <c r="I1361" s="4" t="str">
        <f>IFERROR(__xludf.DUMMYFUNCTION("""COMPUTED_VALUE"""),"")</f>
        <v/>
      </c>
      <c r="J1361" s="4" t="str">
        <f>IFERROR(__xludf.DUMMYFUNCTION("""COMPUTED_VALUE"""),"")</f>
        <v/>
      </c>
      <c r="K1361" s="4" t="str">
        <f>IFERROR(__xludf.DUMMYFUNCTION("""COMPUTED_VALUE"""),"")</f>
        <v/>
      </c>
      <c r="L1361" s="4" t="str">
        <f>IFERROR(__xludf.DUMMYFUNCTION("""COMPUTED_VALUE"""),"")</f>
        <v/>
      </c>
      <c r="M1361" s="4" t="str">
        <f>IFERROR(__xludf.DUMMYFUNCTION("""COMPUTED_VALUE"""),"")</f>
        <v/>
      </c>
      <c r="N1361" s="4" t="str">
        <f>IFERROR(__xludf.DUMMYFUNCTION("""COMPUTED_VALUE"""),"")</f>
        <v/>
      </c>
      <c r="O1361" s="4" t="str">
        <f>IFERROR(__xludf.DUMMYFUNCTION("""COMPUTED_VALUE"""),"")</f>
        <v/>
      </c>
      <c r="P1361" s="4" t="str">
        <f>IFERROR(__xludf.DUMMYFUNCTION("""COMPUTED_VALUE"""),"")</f>
        <v/>
      </c>
      <c r="Q1361" s="4" t="str">
        <f>IFERROR(__xludf.DUMMYFUNCTION("""COMPUTED_VALUE"""),"")</f>
        <v/>
      </c>
      <c r="R1361" s="4" t="str">
        <f>IFERROR(__xludf.DUMMYFUNCTION("""COMPUTED_VALUE"""),"")</f>
        <v/>
      </c>
      <c r="S1361" s="4" t="str">
        <f>IFERROR(__xludf.DUMMYFUNCTION("""COMPUTED_VALUE"""),"")</f>
        <v/>
      </c>
      <c r="T1361" s="4" t="str">
        <f>IFERROR(__xludf.DUMMYFUNCTION("""COMPUTED_VALUE"""),"")</f>
        <v/>
      </c>
      <c r="U1361" s="4" t="str">
        <f>IFERROR(__xludf.DUMMYFUNCTION("""COMPUTED_VALUE"""),"")</f>
        <v/>
      </c>
      <c r="V1361" s="4" t="str">
        <f>IFERROR(__xludf.DUMMYFUNCTION("""COMPUTED_VALUE"""),"")</f>
        <v/>
      </c>
      <c r="W1361" s="4" t="str">
        <f>IFERROR(__xludf.DUMMYFUNCTION("""COMPUTED_VALUE"""),"")</f>
        <v/>
      </c>
      <c r="X1361" s="4" t="str">
        <f>IFERROR(__xludf.DUMMYFUNCTION("""COMPUTED_VALUE"""),"")</f>
        <v/>
      </c>
      <c r="Y1361" s="4" t="str">
        <f>IFERROR(__xludf.DUMMYFUNCTION("""COMPUTED_VALUE"""),"")</f>
        <v/>
      </c>
    </row>
    <row r="1362">
      <c r="A1362" s="4" t="str">
        <f>IFERROR(__xludf.DUMMYFUNCTION("""COMPUTED_VALUE"""),"1892 - Channel")</f>
        <v>1892 - Channel</v>
      </c>
      <c r="B1362" s="4" t="str">
        <f>IFERROR(__xludf.DUMMYFUNCTION("""COMPUTED_VALUE"""),"")</f>
        <v/>
      </c>
      <c r="C1362" s="4" t="str">
        <f>IFERROR(__xludf.DUMMYFUNCTION("""COMPUTED_VALUE"""),"")</f>
        <v/>
      </c>
      <c r="D1362" s="4" t="str">
        <f>IFERROR(__xludf.DUMMYFUNCTION("""COMPUTED_VALUE"""),"")</f>
        <v/>
      </c>
      <c r="E1362" s="4" t="str">
        <f>IFERROR(__xludf.DUMMYFUNCTION("""COMPUTED_VALUE"""),"")</f>
        <v/>
      </c>
      <c r="F1362" s="4" t="str">
        <f>IFERROR(__xludf.DUMMYFUNCTION("""COMPUTED_VALUE"""),"")</f>
        <v/>
      </c>
      <c r="G1362" s="4" t="str">
        <f>IFERROR(__xludf.DUMMYFUNCTION("""COMPUTED_VALUE"""),"")</f>
        <v/>
      </c>
      <c r="H1362" s="4" t="str">
        <f>IFERROR(__xludf.DUMMYFUNCTION("""COMPUTED_VALUE"""),"")</f>
        <v/>
      </c>
      <c r="I1362" s="4" t="str">
        <f>IFERROR(__xludf.DUMMYFUNCTION("""COMPUTED_VALUE"""),"")</f>
        <v/>
      </c>
      <c r="J1362" s="4" t="str">
        <f>IFERROR(__xludf.DUMMYFUNCTION("""COMPUTED_VALUE"""),"")</f>
        <v/>
      </c>
      <c r="K1362" s="4" t="str">
        <f>IFERROR(__xludf.DUMMYFUNCTION("""COMPUTED_VALUE"""),"")</f>
        <v/>
      </c>
      <c r="L1362" s="4" t="str">
        <f>IFERROR(__xludf.DUMMYFUNCTION("""COMPUTED_VALUE"""),"")</f>
        <v/>
      </c>
      <c r="M1362" s="4" t="str">
        <f>IFERROR(__xludf.DUMMYFUNCTION("""COMPUTED_VALUE"""),"")</f>
        <v/>
      </c>
      <c r="N1362" s="4" t="str">
        <f>IFERROR(__xludf.DUMMYFUNCTION("""COMPUTED_VALUE"""),"")</f>
        <v/>
      </c>
      <c r="O1362" s="4" t="str">
        <f>IFERROR(__xludf.DUMMYFUNCTION("""COMPUTED_VALUE"""),"")</f>
        <v/>
      </c>
      <c r="P1362" s="4" t="str">
        <f>IFERROR(__xludf.DUMMYFUNCTION("""COMPUTED_VALUE"""),"")</f>
        <v/>
      </c>
      <c r="Q1362" s="4" t="str">
        <f>IFERROR(__xludf.DUMMYFUNCTION("""COMPUTED_VALUE"""),"")</f>
        <v/>
      </c>
      <c r="R1362" s="4" t="str">
        <f>IFERROR(__xludf.DUMMYFUNCTION("""COMPUTED_VALUE"""),"")</f>
        <v/>
      </c>
      <c r="S1362" s="4" t="str">
        <f>IFERROR(__xludf.DUMMYFUNCTION("""COMPUTED_VALUE"""),"")</f>
        <v/>
      </c>
      <c r="T1362" s="4" t="str">
        <f>IFERROR(__xludf.DUMMYFUNCTION("""COMPUTED_VALUE"""),"")</f>
        <v/>
      </c>
      <c r="U1362" s="4" t="str">
        <f>IFERROR(__xludf.DUMMYFUNCTION("""COMPUTED_VALUE"""),"")</f>
        <v/>
      </c>
      <c r="V1362" s="4" t="str">
        <f>IFERROR(__xludf.DUMMYFUNCTION("""COMPUTED_VALUE"""),"")</f>
        <v/>
      </c>
      <c r="W1362" s="4" t="str">
        <f>IFERROR(__xludf.DUMMYFUNCTION("""COMPUTED_VALUE"""),"")</f>
        <v/>
      </c>
      <c r="X1362" s="4" t="str">
        <f>IFERROR(__xludf.DUMMYFUNCTION("""COMPUTED_VALUE"""),"")</f>
        <v/>
      </c>
      <c r="Y1362" s="4" t="str">
        <f>IFERROR(__xludf.DUMMYFUNCTION("""COMPUTED_VALUE"""),"")</f>
        <v/>
      </c>
    </row>
    <row r="1363">
      <c r="A1363" s="4" t="str">
        <f>IFERROR(__xludf.DUMMYFUNCTION("""COMPUTED_VALUE"""),"1893 - Channel")</f>
        <v>1893 - Channel</v>
      </c>
      <c r="B1363" s="4" t="str">
        <f>IFERROR(__xludf.DUMMYFUNCTION("""COMPUTED_VALUE"""),"")</f>
        <v/>
      </c>
      <c r="C1363" s="4" t="str">
        <f>IFERROR(__xludf.DUMMYFUNCTION("""COMPUTED_VALUE"""),"")</f>
        <v/>
      </c>
      <c r="D1363" s="4" t="str">
        <f>IFERROR(__xludf.DUMMYFUNCTION("""COMPUTED_VALUE"""),"")</f>
        <v/>
      </c>
      <c r="E1363" s="4" t="str">
        <f>IFERROR(__xludf.DUMMYFUNCTION("""COMPUTED_VALUE"""),"")</f>
        <v/>
      </c>
      <c r="F1363" s="4" t="str">
        <f>IFERROR(__xludf.DUMMYFUNCTION("""COMPUTED_VALUE"""),"")</f>
        <v/>
      </c>
      <c r="G1363" s="4" t="str">
        <f>IFERROR(__xludf.DUMMYFUNCTION("""COMPUTED_VALUE"""),"")</f>
        <v/>
      </c>
      <c r="H1363" s="4" t="str">
        <f>IFERROR(__xludf.DUMMYFUNCTION("""COMPUTED_VALUE"""),"")</f>
        <v/>
      </c>
      <c r="I1363" s="4" t="str">
        <f>IFERROR(__xludf.DUMMYFUNCTION("""COMPUTED_VALUE"""),"")</f>
        <v/>
      </c>
      <c r="J1363" s="4" t="str">
        <f>IFERROR(__xludf.DUMMYFUNCTION("""COMPUTED_VALUE"""),"")</f>
        <v/>
      </c>
      <c r="K1363" s="4" t="str">
        <f>IFERROR(__xludf.DUMMYFUNCTION("""COMPUTED_VALUE"""),"")</f>
        <v/>
      </c>
      <c r="L1363" s="4" t="str">
        <f>IFERROR(__xludf.DUMMYFUNCTION("""COMPUTED_VALUE"""),"")</f>
        <v/>
      </c>
      <c r="M1363" s="4" t="str">
        <f>IFERROR(__xludf.DUMMYFUNCTION("""COMPUTED_VALUE"""),"")</f>
        <v/>
      </c>
      <c r="N1363" s="4" t="str">
        <f>IFERROR(__xludf.DUMMYFUNCTION("""COMPUTED_VALUE"""),"")</f>
        <v/>
      </c>
      <c r="O1363" s="4" t="str">
        <f>IFERROR(__xludf.DUMMYFUNCTION("""COMPUTED_VALUE"""),"")</f>
        <v/>
      </c>
      <c r="P1363" s="4" t="str">
        <f>IFERROR(__xludf.DUMMYFUNCTION("""COMPUTED_VALUE"""),"")</f>
        <v/>
      </c>
      <c r="Q1363" s="4" t="str">
        <f>IFERROR(__xludf.DUMMYFUNCTION("""COMPUTED_VALUE"""),"")</f>
        <v/>
      </c>
      <c r="R1363" s="4" t="str">
        <f>IFERROR(__xludf.DUMMYFUNCTION("""COMPUTED_VALUE"""),"")</f>
        <v/>
      </c>
      <c r="S1363" s="4" t="str">
        <f>IFERROR(__xludf.DUMMYFUNCTION("""COMPUTED_VALUE"""),"")</f>
        <v/>
      </c>
      <c r="T1363" s="4" t="str">
        <f>IFERROR(__xludf.DUMMYFUNCTION("""COMPUTED_VALUE"""),"")</f>
        <v/>
      </c>
      <c r="U1363" s="4" t="str">
        <f>IFERROR(__xludf.DUMMYFUNCTION("""COMPUTED_VALUE"""),"")</f>
        <v/>
      </c>
      <c r="V1363" s="4" t="str">
        <f>IFERROR(__xludf.DUMMYFUNCTION("""COMPUTED_VALUE"""),"")</f>
        <v/>
      </c>
      <c r="W1363" s="4" t="str">
        <f>IFERROR(__xludf.DUMMYFUNCTION("""COMPUTED_VALUE"""),"")</f>
        <v/>
      </c>
      <c r="X1363" s="4" t="str">
        <f>IFERROR(__xludf.DUMMYFUNCTION("""COMPUTED_VALUE"""),"")</f>
        <v/>
      </c>
      <c r="Y1363" s="4" t="str">
        <f>IFERROR(__xludf.DUMMYFUNCTION("""COMPUTED_VALUE"""),"")</f>
        <v/>
      </c>
    </row>
    <row r="1364">
      <c r="A1364" s="4" t="str">
        <f>IFERROR(__xludf.DUMMYFUNCTION("""COMPUTED_VALUE"""),"1894 - Channel")</f>
        <v>1894 - Channel</v>
      </c>
      <c r="B1364" s="4" t="str">
        <f>IFERROR(__xludf.DUMMYFUNCTION("""COMPUTED_VALUE"""),"")</f>
        <v/>
      </c>
      <c r="C1364" s="4" t="str">
        <f>IFERROR(__xludf.DUMMYFUNCTION("""COMPUTED_VALUE"""),"")</f>
        <v/>
      </c>
      <c r="D1364" s="4" t="str">
        <f>IFERROR(__xludf.DUMMYFUNCTION("""COMPUTED_VALUE"""),"")</f>
        <v/>
      </c>
      <c r="E1364" s="4" t="str">
        <f>IFERROR(__xludf.DUMMYFUNCTION("""COMPUTED_VALUE"""),"")</f>
        <v/>
      </c>
      <c r="F1364" s="4" t="str">
        <f>IFERROR(__xludf.DUMMYFUNCTION("""COMPUTED_VALUE"""),"")</f>
        <v/>
      </c>
      <c r="G1364" s="4" t="str">
        <f>IFERROR(__xludf.DUMMYFUNCTION("""COMPUTED_VALUE"""),"")</f>
        <v/>
      </c>
      <c r="H1364" s="4" t="str">
        <f>IFERROR(__xludf.DUMMYFUNCTION("""COMPUTED_VALUE"""),"")</f>
        <v/>
      </c>
      <c r="I1364" s="4" t="str">
        <f>IFERROR(__xludf.DUMMYFUNCTION("""COMPUTED_VALUE"""),"")</f>
        <v/>
      </c>
      <c r="J1364" s="4" t="str">
        <f>IFERROR(__xludf.DUMMYFUNCTION("""COMPUTED_VALUE"""),"")</f>
        <v/>
      </c>
      <c r="K1364" s="4" t="str">
        <f>IFERROR(__xludf.DUMMYFUNCTION("""COMPUTED_VALUE"""),"")</f>
        <v/>
      </c>
      <c r="L1364" s="4" t="str">
        <f>IFERROR(__xludf.DUMMYFUNCTION("""COMPUTED_VALUE"""),"")</f>
        <v/>
      </c>
      <c r="M1364" s="4" t="str">
        <f>IFERROR(__xludf.DUMMYFUNCTION("""COMPUTED_VALUE"""),"")</f>
        <v/>
      </c>
      <c r="N1364" s="4" t="str">
        <f>IFERROR(__xludf.DUMMYFUNCTION("""COMPUTED_VALUE"""),"")</f>
        <v/>
      </c>
      <c r="O1364" s="4" t="str">
        <f>IFERROR(__xludf.DUMMYFUNCTION("""COMPUTED_VALUE"""),"")</f>
        <v/>
      </c>
      <c r="P1364" s="4" t="str">
        <f>IFERROR(__xludf.DUMMYFUNCTION("""COMPUTED_VALUE"""),"")</f>
        <v/>
      </c>
      <c r="Q1364" s="4" t="str">
        <f>IFERROR(__xludf.DUMMYFUNCTION("""COMPUTED_VALUE"""),"")</f>
        <v/>
      </c>
      <c r="R1364" s="4" t="str">
        <f>IFERROR(__xludf.DUMMYFUNCTION("""COMPUTED_VALUE"""),"")</f>
        <v/>
      </c>
      <c r="S1364" s="4" t="str">
        <f>IFERROR(__xludf.DUMMYFUNCTION("""COMPUTED_VALUE"""),"")</f>
        <v/>
      </c>
      <c r="T1364" s="4" t="str">
        <f>IFERROR(__xludf.DUMMYFUNCTION("""COMPUTED_VALUE"""),"")</f>
        <v/>
      </c>
      <c r="U1364" s="4" t="str">
        <f>IFERROR(__xludf.DUMMYFUNCTION("""COMPUTED_VALUE"""),"")</f>
        <v/>
      </c>
      <c r="V1364" s="4" t="str">
        <f>IFERROR(__xludf.DUMMYFUNCTION("""COMPUTED_VALUE"""),"")</f>
        <v/>
      </c>
      <c r="W1364" s="4" t="str">
        <f>IFERROR(__xludf.DUMMYFUNCTION("""COMPUTED_VALUE"""),"")</f>
        <v/>
      </c>
      <c r="X1364" s="4" t="str">
        <f>IFERROR(__xludf.DUMMYFUNCTION("""COMPUTED_VALUE"""),"")</f>
        <v/>
      </c>
      <c r="Y1364" s="4" t="str">
        <f>IFERROR(__xludf.DUMMYFUNCTION("""COMPUTED_VALUE"""),"")</f>
        <v/>
      </c>
    </row>
    <row r="1365">
      <c r="A1365" s="4" t="str">
        <f>IFERROR(__xludf.DUMMYFUNCTION("""COMPUTED_VALUE"""),"1895 - Channel")</f>
        <v>1895 - Channel</v>
      </c>
      <c r="B1365" s="4" t="str">
        <f>IFERROR(__xludf.DUMMYFUNCTION("""COMPUTED_VALUE"""),"")</f>
        <v/>
      </c>
      <c r="C1365" s="4" t="str">
        <f>IFERROR(__xludf.DUMMYFUNCTION("""COMPUTED_VALUE"""),"")</f>
        <v/>
      </c>
      <c r="D1365" s="4" t="str">
        <f>IFERROR(__xludf.DUMMYFUNCTION("""COMPUTED_VALUE"""),"")</f>
        <v/>
      </c>
      <c r="E1365" s="4" t="str">
        <f>IFERROR(__xludf.DUMMYFUNCTION("""COMPUTED_VALUE"""),"")</f>
        <v/>
      </c>
      <c r="F1365" s="4" t="str">
        <f>IFERROR(__xludf.DUMMYFUNCTION("""COMPUTED_VALUE"""),"")</f>
        <v/>
      </c>
      <c r="G1365" s="4" t="str">
        <f>IFERROR(__xludf.DUMMYFUNCTION("""COMPUTED_VALUE"""),"")</f>
        <v/>
      </c>
      <c r="H1365" s="4" t="str">
        <f>IFERROR(__xludf.DUMMYFUNCTION("""COMPUTED_VALUE"""),"")</f>
        <v/>
      </c>
      <c r="I1365" s="4" t="str">
        <f>IFERROR(__xludf.DUMMYFUNCTION("""COMPUTED_VALUE"""),"")</f>
        <v/>
      </c>
      <c r="J1365" s="4" t="str">
        <f>IFERROR(__xludf.DUMMYFUNCTION("""COMPUTED_VALUE"""),"")</f>
        <v/>
      </c>
      <c r="K1365" s="4" t="str">
        <f>IFERROR(__xludf.DUMMYFUNCTION("""COMPUTED_VALUE"""),"")</f>
        <v/>
      </c>
      <c r="L1365" s="4" t="str">
        <f>IFERROR(__xludf.DUMMYFUNCTION("""COMPUTED_VALUE"""),"")</f>
        <v/>
      </c>
      <c r="M1365" s="4" t="str">
        <f>IFERROR(__xludf.DUMMYFUNCTION("""COMPUTED_VALUE"""),"")</f>
        <v/>
      </c>
      <c r="N1365" s="4" t="str">
        <f>IFERROR(__xludf.DUMMYFUNCTION("""COMPUTED_VALUE"""),"")</f>
        <v/>
      </c>
      <c r="O1365" s="4" t="str">
        <f>IFERROR(__xludf.DUMMYFUNCTION("""COMPUTED_VALUE"""),"")</f>
        <v/>
      </c>
      <c r="P1365" s="4" t="str">
        <f>IFERROR(__xludf.DUMMYFUNCTION("""COMPUTED_VALUE"""),"")</f>
        <v/>
      </c>
      <c r="Q1365" s="4" t="str">
        <f>IFERROR(__xludf.DUMMYFUNCTION("""COMPUTED_VALUE"""),"")</f>
        <v/>
      </c>
      <c r="R1365" s="4" t="str">
        <f>IFERROR(__xludf.DUMMYFUNCTION("""COMPUTED_VALUE"""),"")</f>
        <v/>
      </c>
      <c r="S1365" s="4" t="str">
        <f>IFERROR(__xludf.DUMMYFUNCTION("""COMPUTED_VALUE"""),"")</f>
        <v/>
      </c>
      <c r="T1365" s="4" t="str">
        <f>IFERROR(__xludf.DUMMYFUNCTION("""COMPUTED_VALUE"""),"")</f>
        <v/>
      </c>
      <c r="U1365" s="4" t="str">
        <f>IFERROR(__xludf.DUMMYFUNCTION("""COMPUTED_VALUE"""),"")</f>
        <v/>
      </c>
      <c r="V1365" s="4" t="str">
        <f>IFERROR(__xludf.DUMMYFUNCTION("""COMPUTED_VALUE"""),"")</f>
        <v/>
      </c>
      <c r="W1365" s="4" t="str">
        <f>IFERROR(__xludf.DUMMYFUNCTION("""COMPUTED_VALUE"""),"")</f>
        <v/>
      </c>
      <c r="X1365" s="4" t="str">
        <f>IFERROR(__xludf.DUMMYFUNCTION("""COMPUTED_VALUE"""),"")</f>
        <v/>
      </c>
      <c r="Y1365" s="4" t="str">
        <f>IFERROR(__xludf.DUMMYFUNCTION("""COMPUTED_VALUE"""),"")</f>
        <v/>
      </c>
    </row>
    <row r="1366">
      <c r="A1366" s="4" t="str">
        <f>IFERROR(__xludf.DUMMYFUNCTION("""COMPUTED_VALUE"""),"1896 - Channel")</f>
        <v>1896 - Channel</v>
      </c>
      <c r="B1366" s="4" t="str">
        <f>IFERROR(__xludf.DUMMYFUNCTION("""COMPUTED_VALUE"""),"")</f>
        <v/>
      </c>
      <c r="C1366" s="4" t="str">
        <f>IFERROR(__xludf.DUMMYFUNCTION("""COMPUTED_VALUE"""),"")</f>
        <v/>
      </c>
      <c r="D1366" s="4" t="str">
        <f>IFERROR(__xludf.DUMMYFUNCTION("""COMPUTED_VALUE"""),"")</f>
        <v/>
      </c>
      <c r="E1366" s="4" t="str">
        <f>IFERROR(__xludf.DUMMYFUNCTION("""COMPUTED_VALUE"""),"")</f>
        <v/>
      </c>
      <c r="F1366" s="4" t="str">
        <f>IFERROR(__xludf.DUMMYFUNCTION("""COMPUTED_VALUE"""),"")</f>
        <v/>
      </c>
      <c r="G1366" s="4" t="str">
        <f>IFERROR(__xludf.DUMMYFUNCTION("""COMPUTED_VALUE"""),"")</f>
        <v/>
      </c>
      <c r="H1366" s="4" t="str">
        <f>IFERROR(__xludf.DUMMYFUNCTION("""COMPUTED_VALUE"""),"")</f>
        <v/>
      </c>
      <c r="I1366" s="4" t="str">
        <f>IFERROR(__xludf.DUMMYFUNCTION("""COMPUTED_VALUE"""),"")</f>
        <v/>
      </c>
      <c r="J1366" s="4" t="str">
        <f>IFERROR(__xludf.DUMMYFUNCTION("""COMPUTED_VALUE"""),"")</f>
        <v/>
      </c>
      <c r="K1366" s="4" t="str">
        <f>IFERROR(__xludf.DUMMYFUNCTION("""COMPUTED_VALUE"""),"")</f>
        <v/>
      </c>
      <c r="L1366" s="4" t="str">
        <f>IFERROR(__xludf.DUMMYFUNCTION("""COMPUTED_VALUE"""),"")</f>
        <v/>
      </c>
      <c r="M1366" s="4" t="str">
        <f>IFERROR(__xludf.DUMMYFUNCTION("""COMPUTED_VALUE"""),"")</f>
        <v/>
      </c>
      <c r="N1366" s="4" t="str">
        <f>IFERROR(__xludf.DUMMYFUNCTION("""COMPUTED_VALUE"""),"")</f>
        <v/>
      </c>
      <c r="O1366" s="4" t="str">
        <f>IFERROR(__xludf.DUMMYFUNCTION("""COMPUTED_VALUE"""),"")</f>
        <v/>
      </c>
      <c r="P1366" s="4" t="str">
        <f>IFERROR(__xludf.DUMMYFUNCTION("""COMPUTED_VALUE"""),"")</f>
        <v/>
      </c>
      <c r="Q1366" s="4" t="str">
        <f>IFERROR(__xludf.DUMMYFUNCTION("""COMPUTED_VALUE"""),"")</f>
        <v/>
      </c>
      <c r="R1366" s="4" t="str">
        <f>IFERROR(__xludf.DUMMYFUNCTION("""COMPUTED_VALUE"""),"")</f>
        <v/>
      </c>
      <c r="S1366" s="4" t="str">
        <f>IFERROR(__xludf.DUMMYFUNCTION("""COMPUTED_VALUE"""),"")</f>
        <v/>
      </c>
      <c r="T1366" s="4" t="str">
        <f>IFERROR(__xludf.DUMMYFUNCTION("""COMPUTED_VALUE"""),"")</f>
        <v/>
      </c>
      <c r="U1366" s="4" t="str">
        <f>IFERROR(__xludf.DUMMYFUNCTION("""COMPUTED_VALUE"""),"")</f>
        <v/>
      </c>
      <c r="V1366" s="4" t="str">
        <f>IFERROR(__xludf.DUMMYFUNCTION("""COMPUTED_VALUE"""),"")</f>
        <v/>
      </c>
      <c r="W1366" s="4" t="str">
        <f>IFERROR(__xludf.DUMMYFUNCTION("""COMPUTED_VALUE"""),"")</f>
        <v/>
      </c>
      <c r="X1366" s="4" t="str">
        <f>IFERROR(__xludf.DUMMYFUNCTION("""COMPUTED_VALUE"""),"")</f>
        <v/>
      </c>
      <c r="Y1366" s="4" t="str">
        <f>IFERROR(__xludf.DUMMYFUNCTION("""COMPUTED_VALUE"""),"")</f>
        <v/>
      </c>
    </row>
    <row r="1367">
      <c r="A1367" s="4" t="str">
        <f>IFERROR(__xludf.DUMMYFUNCTION("""COMPUTED_VALUE"""),"1897 - Channel")</f>
        <v>1897 - Channel</v>
      </c>
      <c r="B1367" s="4" t="str">
        <f>IFERROR(__xludf.DUMMYFUNCTION("""COMPUTED_VALUE"""),"")</f>
        <v/>
      </c>
      <c r="C1367" s="4" t="str">
        <f>IFERROR(__xludf.DUMMYFUNCTION("""COMPUTED_VALUE"""),"")</f>
        <v/>
      </c>
      <c r="D1367" s="4" t="str">
        <f>IFERROR(__xludf.DUMMYFUNCTION("""COMPUTED_VALUE"""),"")</f>
        <v/>
      </c>
      <c r="E1367" s="4" t="str">
        <f>IFERROR(__xludf.DUMMYFUNCTION("""COMPUTED_VALUE"""),"")</f>
        <v/>
      </c>
      <c r="F1367" s="4" t="str">
        <f>IFERROR(__xludf.DUMMYFUNCTION("""COMPUTED_VALUE"""),"")</f>
        <v/>
      </c>
      <c r="G1367" s="4" t="str">
        <f>IFERROR(__xludf.DUMMYFUNCTION("""COMPUTED_VALUE"""),"")</f>
        <v/>
      </c>
      <c r="H1367" s="4" t="str">
        <f>IFERROR(__xludf.DUMMYFUNCTION("""COMPUTED_VALUE"""),"")</f>
        <v/>
      </c>
      <c r="I1367" s="4" t="str">
        <f>IFERROR(__xludf.DUMMYFUNCTION("""COMPUTED_VALUE"""),"")</f>
        <v/>
      </c>
      <c r="J1367" s="4" t="str">
        <f>IFERROR(__xludf.DUMMYFUNCTION("""COMPUTED_VALUE"""),"")</f>
        <v/>
      </c>
      <c r="K1367" s="4" t="str">
        <f>IFERROR(__xludf.DUMMYFUNCTION("""COMPUTED_VALUE"""),"")</f>
        <v/>
      </c>
      <c r="L1367" s="4" t="str">
        <f>IFERROR(__xludf.DUMMYFUNCTION("""COMPUTED_VALUE"""),"")</f>
        <v/>
      </c>
      <c r="M1367" s="4" t="str">
        <f>IFERROR(__xludf.DUMMYFUNCTION("""COMPUTED_VALUE"""),"")</f>
        <v/>
      </c>
      <c r="N1367" s="4" t="str">
        <f>IFERROR(__xludf.DUMMYFUNCTION("""COMPUTED_VALUE"""),"")</f>
        <v/>
      </c>
      <c r="O1367" s="4" t="str">
        <f>IFERROR(__xludf.DUMMYFUNCTION("""COMPUTED_VALUE"""),"")</f>
        <v/>
      </c>
      <c r="P1367" s="4" t="str">
        <f>IFERROR(__xludf.DUMMYFUNCTION("""COMPUTED_VALUE"""),"")</f>
        <v/>
      </c>
      <c r="Q1367" s="4" t="str">
        <f>IFERROR(__xludf.DUMMYFUNCTION("""COMPUTED_VALUE"""),"")</f>
        <v/>
      </c>
      <c r="R1367" s="4" t="str">
        <f>IFERROR(__xludf.DUMMYFUNCTION("""COMPUTED_VALUE"""),"")</f>
        <v/>
      </c>
      <c r="S1367" s="4" t="str">
        <f>IFERROR(__xludf.DUMMYFUNCTION("""COMPUTED_VALUE"""),"")</f>
        <v/>
      </c>
      <c r="T1367" s="4" t="str">
        <f>IFERROR(__xludf.DUMMYFUNCTION("""COMPUTED_VALUE"""),"")</f>
        <v/>
      </c>
      <c r="U1367" s="4" t="str">
        <f>IFERROR(__xludf.DUMMYFUNCTION("""COMPUTED_VALUE"""),"")</f>
        <v/>
      </c>
      <c r="V1367" s="4" t="str">
        <f>IFERROR(__xludf.DUMMYFUNCTION("""COMPUTED_VALUE"""),"")</f>
        <v/>
      </c>
      <c r="W1367" s="4" t="str">
        <f>IFERROR(__xludf.DUMMYFUNCTION("""COMPUTED_VALUE"""),"")</f>
        <v/>
      </c>
      <c r="X1367" s="4" t="str">
        <f>IFERROR(__xludf.DUMMYFUNCTION("""COMPUTED_VALUE"""),"")</f>
        <v/>
      </c>
      <c r="Y1367" s="4" t="str">
        <f>IFERROR(__xludf.DUMMYFUNCTION("""COMPUTED_VALUE"""),"")</f>
        <v/>
      </c>
    </row>
    <row r="1368">
      <c r="A1368" s="4" t="str">
        <f>IFERROR(__xludf.DUMMYFUNCTION("""COMPUTED_VALUE"""),"1898 - Channel")</f>
        <v>1898 - Channel</v>
      </c>
      <c r="B1368" s="4" t="str">
        <f>IFERROR(__xludf.DUMMYFUNCTION("""COMPUTED_VALUE"""),"")</f>
        <v/>
      </c>
      <c r="C1368" s="4" t="str">
        <f>IFERROR(__xludf.DUMMYFUNCTION("""COMPUTED_VALUE"""),"")</f>
        <v/>
      </c>
      <c r="D1368" s="4" t="str">
        <f>IFERROR(__xludf.DUMMYFUNCTION("""COMPUTED_VALUE"""),"")</f>
        <v/>
      </c>
      <c r="E1368" s="4" t="str">
        <f>IFERROR(__xludf.DUMMYFUNCTION("""COMPUTED_VALUE"""),"")</f>
        <v/>
      </c>
      <c r="F1368" s="4" t="str">
        <f>IFERROR(__xludf.DUMMYFUNCTION("""COMPUTED_VALUE"""),"")</f>
        <v/>
      </c>
      <c r="G1368" s="4" t="str">
        <f>IFERROR(__xludf.DUMMYFUNCTION("""COMPUTED_VALUE"""),"")</f>
        <v/>
      </c>
      <c r="H1368" s="4" t="str">
        <f>IFERROR(__xludf.DUMMYFUNCTION("""COMPUTED_VALUE"""),"")</f>
        <v/>
      </c>
      <c r="I1368" s="4" t="str">
        <f>IFERROR(__xludf.DUMMYFUNCTION("""COMPUTED_VALUE"""),"")</f>
        <v/>
      </c>
      <c r="J1368" s="4" t="str">
        <f>IFERROR(__xludf.DUMMYFUNCTION("""COMPUTED_VALUE"""),"")</f>
        <v/>
      </c>
      <c r="K1368" s="4" t="str">
        <f>IFERROR(__xludf.DUMMYFUNCTION("""COMPUTED_VALUE"""),"")</f>
        <v/>
      </c>
      <c r="L1368" s="4" t="str">
        <f>IFERROR(__xludf.DUMMYFUNCTION("""COMPUTED_VALUE"""),"")</f>
        <v/>
      </c>
      <c r="M1368" s="4" t="str">
        <f>IFERROR(__xludf.DUMMYFUNCTION("""COMPUTED_VALUE"""),"")</f>
        <v/>
      </c>
      <c r="N1368" s="4" t="str">
        <f>IFERROR(__xludf.DUMMYFUNCTION("""COMPUTED_VALUE"""),"")</f>
        <v/>
      </c>
      <c r="O1368" s="4" t="str">
        <f>IFERROR(__xludf.DUMMYFUNCTION("""COMPUTED_VALUE"""),"")</f>
        <v/>
      </c>
      <c r="P1368" s="4" t="str">
        <f>IFERROR(__xludf.DUMMYFUNCTION("""COMPUTED_VALUE"""),"")</f>
        <v/>
      </c>
      <c r="Q1368" s="4" t="str">
        <f>IFERROR(__xludf.DUMMYFUNCTION("""COMPUTED_VALUE"""),"")</f>
        <v/>
      </c>
      <c r="R1368" s="4" t="str">
        <f>IFERROR(__xludf.DUMMYFUNCTION("""COMPUTED_VALUE"""),"")</f>
        <v/>
      </c>
      <c r="S1368" s="4" t="str">
        <f>IFERROR(__xludf.DUMMYFUNCTION("""COMPUTED_VALUE"""),"")</f>
        <v/>
      </c>
      <c r="T1368" s="4" t="str">
        <f>IFERROR(__xludf.DUMMYFUNCTION("""COMPUTED_VALUE"""),"")</f>
        <v/>
      </c>
      <c r="U1368" s="4" t="str">
        <f>IFERROR(__xludf.DUMMYFUNCTION("""COMPUTED_VALUE"""),"")</f>
        <v/>
      </c>
      <c r="V1368" s="4" t="str">
        <f>IFERROR(__xludf.DUMMYFUNCTION("""COMPUTED_VALUE"""),"")</f>
        <v/>
      </c>
      <c r="W1368" s="4" t="str">
        <f>IFERROR(__xludf.DUMMYFUNCTION("""COMPUTED_VALUE"""),"")</f>
        <v/>
      </c>
      <c r="X1368" s="4" t="str">
        <f>IFERROR(__xludf.DUMMYFUNCTION("""COMPUTED_VALUE"""),"")</f>
        <v/>
      </c>
      <c r="Y1368" s="4" t="str">
        <f>IFERROR(__xludf.DUMMYFUNCTION("""COMPUTED_VALUE"""),"")</f>
        <v/>
      </c>
    </row>
    <row r="1369">
      <c r="A1369" s="4" t="str">
        <f>IFERROR(__xludf.DUMMYFUNCTION("""COMPUTED_VALUE"""),"1899 - Channel")</f>
        <v>1899 - Channel</v>
      </c>
      <c r="B1369" s="4" t="str">
        <f>IFERROR(__xludf.DUMMYFUNCTION("""COMPUTED_VALUE"""),"")</f>
        <v/>
      </c>
      <c r="C1369" s="4" t="str">
        <f>IFERROR(__xludf.DUMMYFUNCTION("""COMPUTED_VALUE"""),"")</f>
        <v/>
      </c>
      <c r="D1369" s="4" t="str">
        <f>IFERROR(__xludf.DUMMYFUNCTION("""COMPUTED_VALUE"""),"")</f>
        <v/>
      </c>
      <c r="E1369" s="4" t="str">
        <f>IFERROR(__xludf.DUMMYFUNCTION("""COMPUTED_VALUE"""),"")</f>
        <v/>
      </c>
      <c r="F1369" s="4" t="str">
        <f>IFERROR(__xludf.DUMMYFUNCTION("""COMPUTED_VALUE"""),"")</f>
        <v/>
      </c>
      <c r="G1369" s="4" t="str">
        <f>IFERROR(__xludf.DUMMYFUNCTION("""COMPUTED_VALUE"""),"")</f>
        <v/>
      </c>
      <c r="H1369" s="4" t="str">
        <f>IFERROR(__xludf.DUMMYFUNCTION("""COMPUTED_VALUE"""),"")</f>
        <v/>
      </c>
      <c r="I1369" s="4" t="str">
        <f>IFERROR(__xludf.DUMMYFUNCTION("""COMPUTED_VALUE"""),"")</f>
        <v/>
      </c>
      <c r="J1369" s="4" t="str">
        <f>IFERROR(__xludf.DUMMYFUNCTION("""COMPUTED_VALUE"""),"")</f>
        <v/>
      </c>
      <c r="K1369" s="4" t="str">
        <f>IFERROR(__xludf.DUMMYFUNCTION("""COMPUTED_VALUE"""),"")</f>
        <v/>
      </c>
      <c r="L1369" s="4" t="str">
        <f>IFERROR(__xludf.DUMMYFUNCTION("""COMPUTED_VALUE"""),"")</f>
        <v/>
      </c>
      <c r="M1369" s="4" t="str">
        <f>IFERROR(__xludf.DUMMYFUNCTION("""COMPUTED_VALUE"""),"")</f>
        <v/>
      </c>
      <c r="N1369" s="4" t="str">
        <f>IFERROR(__xludf.DUMMYFUNCTION("""COMPUTED_VALUE"""),"")</f>
        <v/>
      </c>
      <c r="O1369" s="4" t="str">
        <f>IFERROR(__xludf.DUMMYFUNCTION("""COMPUTED_VALUE"""),"")</f>
        <v/>
      </c>
      <c r="P1369" s="4" t="str">
        <f>IFERROR(__xludf.DUMMYFUNCTION("""COMPUTED_VALUE"""),"")</f>
        <v/>
      </c>
      <c r="Q1369" s="4" t="str">
        <f>IFERROR(__xludf.DUMMYFUNCTION("""COMPUTED_VALUE"""),"")</f>
        <v/>
      </c>
      <c r="R1369" s="4" t="str">
        <f>IFERROR(__xludf.DUMMYFUNCTION("""COMPUTED_VALUE"""),"")</f>
        <v/>
      </c>
      <c r="S1369" s="4" t="str">
        <f>IFERROR(__xludf.DUMMYFUNCTION("""COMPUTED_VALUE"""),"")</f>
        <v/>
      </c>
      <c r="T1369" s="4" t="str">
        <f>IFERROR(__xludf.DUMMYFUNCTION("""COMPUTED_VALUE"""),"")</f>
        <v/>
      </c>
      <c r="U1369" s="4" t="str">
        <f>IFERROR(__xludf.DUMMYFUNCTION("""COMPUTED_VALUE"""),"")</f>
        <v/>
      </c>
      <c r="V1369" s="4" t="str">
        <f>IFERROR(__xludf.DUMMYFUNCTION("""COMPUTED_VALUE"""),"")</f>
        <v/>
      </c>
      <c r="W1369" s="4" t="str">
        <f>IFERROR(__xludf.DUMMYFUNCTION("""COMPUTED_VALUE"""),"")</f>
        <v/>
      </c>
      <c r="X1369" s="4" t="str">
        <f>IFERROR(__xludf.DUMMYFUNCTION("""COMPUTED_VALUE"""),"")</f>
        <v/>
      </c>
      <c r="Y1369" s="4" t="str">
        <f>IFERROR(__xludf.DUMMYFUNCTION("""COMPUTED_VALUE"""),"")</f>
        <v/>
      </c>
    </row>
    <row r="1370">
      <c r="A1370" s="4" t="str">
        <f>IFERROR(__xludf.DUMMYFUNCTION("""COMPUTED_VALUE"""),"1900 - Channel")</f>
        <v>1900 - Channel</v>
      </c>
      <c r="B1370" s="4" t="str">
        <f>IFERROR(__xludf.DUMMYFUNCTION("""COMPUTED_VALUE"""),"")</f>
        <v/>
      </c>
      <c r="C1370" s="4" t="str">
        <f>IFERROR(__xludf.DUMMYFUNCTION("""COMPUTED_VALUE"""),"")</f>
        <v/>
      </c>
      <c r="D1370" s="4" t="str">
        <f>IFERROR(__xludf.DUMMYFUNCTION("""COMPUTED_VALUE"""),"")</f>
        <v/>
      </c>
      <c r="E1370" s="4" t="str">
        <f>IFERROR(__xludf.DUMMYFUNCTION("""COMPUTED_VALUE"""),"")</f>
        <v/>
      </c>
      <c r="F1370" s="4" t="str">
        <f>IFERROR(__xludf.DUMMYFUNCTION("""COMPUTED_VALUE"""),"")</f>
        <v/>
      </c>
      <c r="G1370" s="4" t="str">
        <f>IFERROR(__xludf.DUMMYFUNCTION("""COMPUTED_VALUE"""),"")</f>
        <v/>
      </c>
      <c r="H1370" s="4" t="str">
        <f>IFERROR(__xludf.DUMMYFUNCTION("""COMPUTED_VALUE"""),"")</f>
        <v/>
      </c>
      <c r="I1370" s="4" t="str">
        <f>IFERROR(__xludf.DUMMYFUNCTION("""COMPUTED_VALUE"""),"")</f>
        <v/>
      </c>
      <c r="J1370" s="4" t="str">
        <f>IFERROR(__xludf.DUMMYFUNCTION("""COMPUTED_VALUE"""),"")</f>
        <v/>
      </c>
      <c r="K1370" s="4" t="str">
        <f>IFERROR(__xludf.DUMMYFUNCTION("""COMPUTED_VALUE"""),"")</f>
        <v/>
      </c>
      <c r="L1370" s="4" t="str">
        <f>IFERROR(__xludf.DUMMYFUNCTION("""COMPUTED_VALUE"""),"")</f>
        <v/>
      </c>
      <c r="M1370" s="4" t="str">
        <f>IFERROR(__xludf.DUMMYFUNCTION("""COMPUTED_VALUE"""),"")</f>
        <v/>
      </c>
      <c r="N1370" s="4" t="str">
        <f>IFERROR(__xludf.DUMMYFUNCTION("""COMPUTED_VALUE"""),"")</f>
        <v/>
      </c>
      <c r="O1370" s="4" t="str">
        <f>IFERROR(__xludf.DUMMYFUNCTION("""COMPUTED_VALUE"""),"")</f>
        <v/>
      </c>
      <c r="P1370" s="4" t="str">
        <f>IFERROR(__xludf.DUMMYFUNCTION("""COMPUTED_VALUE"""),"")</f>
        <v/>
      </c>
      <c r="Q1370" s="4" t="str">
        <f>IFERROR(__xludf.DUMMYFUNCTION("""COMPUTED_VALUE"""),"")</f>
        <v/>
      </c>
      <c r="R1370" s="4" t="str">
        <f>IFERROR(__xludf.DUMMYFUNCTION("""COMPUTED_VALUE"""),"")</f>
        <v/>
      </c>
      <c r="S1370" s="4" t="str">
        <f>IFERROR(__xludf.DUMMYFUNCTION("""COMPUTED_VALUE"""),"")</f>
        <v/>
      </c>
      <c r="T1370" s="4" t="str">
        <f>IFERROR(__xludf.DUMMYFUNCTION("""COMPUTED_VALUE"""),"")</f>
        <v/>
      </c>
      <c r="U1370" s="4" t="str">
        <f>IFERROR(__xludf.DUMMYFUNCTION("""COMPUTED_VALUE"""),"")</f>
        <v/>
      </c>
      <c r="V1370" s="4" t="str">
        <f>IFERROR(__xludf.DUMMYFUNCTION("""COMPUTED_VALUE"""),"")</f>
        <v/>
      </c>
      <c r="W1370" s="4" t="str">
        <f>IFERROR(__xludf.DUMMYFUNCTION("""COMPUTED_VALUE"""),"")</f>
        <v/>
      </c>
      <c r="X1370" s="4" t="str">
        <f>IFERROR(__xludf.DUMMYFUNCTION("""COMPUTED_VALUE"""),"")</f>
        <v/>
      </c>
      <c r="Y1370" s="4" t="str">
        <f>IFERROR(__xludf.DUMMYFUNCTION("""COMPUTED_VALUE"""),"")</f>
        <v/>
      </c>
    </row>
    <row r="1371">
      <c r="A1371" s="4" t="str">
        <f>IFERROR(__xludf.DUMMYFUNCTION("""COMPUTED_VALUE"""),"1902 - Channel")</f>
        <v>1902 - Channel</v>
      </c>
      <c r="B1371" s="4" t="str">
        <f>IFERROR(__xludf.DUMMYFUNCTION("""COMPUTED_VALUE"""),"")</f>
        <v/>
      </c>
      <c r="C1371" s="4" t="str">
        <f>IFERROR(__xludf.DUMMYFUNCTION("""COMPUTED_VALUE"""),"")</f>
        <v/>
      </c>
      <c r="D1371" s="4" t="str">
        <f>IFERROR(__xludf.DUMMYFUNCTION("""COMPUTED_VALUE"""),"")</f>
        <v/>
      </c>
      <c r="E1371" s="4" t="str">
        <f>IFERROR(__xludf.DUMMYFUNCTION("""COMPUTED_VALUE"""),"")</f>
        <v/>
      </c>
      <c r="F1371" s="4" t="str">
        <f>IFERROR(__xludf.DUMMYFUNCTION("""COMPUTED_VALUE"""),"")</f>
        <v/>
      </c>
      <c r="G1371" s="4" t="str">
        <f>IFERROR(__xludf.DUMMYFUNCTION("""COMPUTED_VALUE"""),"")</f>
        <v/>
      </c>
      <c r="H1371" s="4" t="str">
        <f>IFERROR(__xludf.DUMMYFUNCTION("""COMPUTED_VALUE"""),"")</f>
        <v/>
      </c>
      <c r="I1371" s="4" t="str">
        <f>IFERROR(__xludf.DUMMYFUNCTION("""COMPUTED_VALUE"""),"")</f>
        <v/>
      </c>
      <c r="J1371" s="4" t="str">
        <f>IFERROR(__xludf.DUMMYFUNCTION("""COMPUTED_VALUE"""),"")</f>
        <v/>
      </c>
      <c r="K1371" s="4" t="str">
        <f>IFERROR(__xludf.DUMMYFUNCTION("""COMPUTED_VALUE"""),"")</f>
        <v/>
      </c>
      <c r="L1371" s="4" t="str">
        <f>IFERROR(__xludf.DUMMYFUNCTION("""COMPUTED_VALUE"""),"")</f>
        <v/>
      </c>
      <c r="M1371" s="4" t="str">
        <f>IFERROR(__xludf.DUMMYFUNCTION("""COMPUTED_VALUE"""),"")</f>
        <v/>
      </c>
      <c r="N1371" s="4" t="str">
        <f>IFERROR(__xludf.DUMMYFUNCTION("""COMPUTED_VALUE"""),"")</f>
        <v/>
      </c>
      <c r="O1371" s="4" t="str">
        <f>IFERROR(__xludf.DUMMYFUNCTION("""COMPUTED_VALUE"""),"")</f>
        <v/>
      </c>
      <c r="P1371" s="4" t="str">
        <f>IFERROR(__xludf.DUMMYFUNCTION("""COMPUTED_VALUE"""),"")</f>
        <v/>
      </c>
      <c r="Q1371" s="4" t="str">
        <f>IFERROR(__xludf.DUMMYFUNCTION("""COMPUTED_VALUE"""),"")</f>
        <v/>
      </c>
      <c r="R1371" s="4" t="str">
        <f>IFERROR(__xludf.DUMMYFUNCTION("""COMPUTED_VALUE"""),"")</f>
        <v/>
      </c>
      <c r="S1371" s="4" t="str">
        <f>IFERROR(__xludf.DUMMYFUNCTION("""COMPUTED_VALUE"""),"")</f>
        <v/>
      </c>
      <c r="T1371" s="4" t="str">
        <f>IFERROR(__xludf.DUMMYFUNCTION("""COMPUTED_VALUE"""),"")</f>
        <v/>
      </c>
      <c r="U1371" s="4" t="str">
        <f>IFERROR(__xludf.DUMMYFUNCTION("""COMPUTED_VALUE"""),"")</f>
        <v/>
      </c>
      <c r="V1371" s="4" t="str">
        <f>IFERROR(__xludf.DUMMYFUNCTION("""COMPUTED_VALUE"""),"")</f>
        <v/>
      </c>
      <c r="W1371" s="4" t="str">
        <f>IFERROR(__xludf.DUMMYFUNCTION("""COMPUTED_VALUE"""),"")</f>
        <v/>
      </c>
      <c r="X1371" s="4" t="str">
        <f>IFERROR(__xludf.DUMMYFUNCTION("""COMPUTED_VALUE"""),"")</f>
        <v/>
      </c>
      <c r="Y1371" s="4" t="str">
        <f>IFERROR(__xludf.DUMMYFUNCTION("""COMPUTED_VALUE"""),"")</f>
        <v/>
      </c>
    </row>
    <row r="1372">
      <c r="A1372" s="4" t="str">
        <f>IFERROR(__xludf.DUMMYFUNCTION("""COMPUTED_VALUE"""),"1903 - Channel")</f>
        <v>1903 - Channel</v>
      </c>
      <c r="B1372" s="4" t="str">
        <f>IFERROR(__xludf.DUMMYFUNCTION("""COMPUTED_VALUE"""),"")</f>
        <v/>
      </c>
      <c r="C1372" s="4" t="str">
        <f>IFERROR(__xludf.DUMMYFUNCTION("""COMPUTED_VALUE"""),"")</f>
        <v/>
      </c>
      <c r="D1372" s="4" t="str">
        <f>IFERROR(__xludf.DUMMYFUNCTION("""COMPUTED_VALUE"""),"")</f>
        <v/>
      </c>
      <c r="E1372" s="4" t="str">
        <f>IFERROR(__xludf.DUMMYFUNCTION("""COMPUTED_VALUE"""),"")</f>
        <v/>
      </c>
      <c r="F1372" s="4" t="str">
        <f>IFERROR(__xludf.DUMMYFUNCTION("""COMPUTED_VALUE"""),"")</f>
        <v/>
      </c>
      <c r="G1372" s="4" t="str">
        <f>IFERROR(__xludf.DUMMYFUNCTION("""COMPUTED_VALUE"""),"")</f>
        <v/>
      </c>
      <c r="H1372" s="4" t="str">
        <f>IFERROR(__xludf.DUMMYFUNCTION("""COMPUTED_VALUE"""),"")</f>
        <v/>
      </c>
      <c r="I1372" s="4" t="str">
        <f>IFERROR(__xludf.DUMMYFUNCTION("""COMPUTED_VALUE"""),"")</f>
        <v/>
      </c>
      <c r="J1372" s="4" t="str">
        <f>IFERROR(__xludf.DUMMYFUNCTION("""COMPUTED_VALUE"""),"")</f>
        <v/>
      </c>
      <c r="K1372" s="4" t="str">
        <f>IFERROR(__xludf.DUMMYFUNCTION("""COMPUTED_VALUE"""),"")</f>
        <v/>
      </c>
      <c r="L1372" s="4" t="str">
        <f>IFERROR(__xludf.DUMMYFUNCTION("""COMPUTED_VALUE"""),"")</f>
        <v/>
      </c>
      <c r="M1372" s="4" t="str">
        <f>IFERROR(__xludf.DUMMYFUNCTION("""COMPUTED_VALUE"""),"")</f>
        <v/>
      </c>
      <c r="N1372" s="4" t="str">
        <f>IFERROR(__xludf.DUMMYFUNCTION("""COMPUTED_VALUE"""),"")</f>
        <v/>
      </c>
      <c r="O1372" s="4" t="str">
        <f>IFERROR(__xludf.DUMMYFUNCTION("""COMPUTED_VALUE"""),"")</f>
        <v/>
      </c>
      <c r="P1372" s="4" t="str">
        <f>IFERROR(__xludf.DUMMYFUNCTION("""COMPUTED_VALUE"""),"")</f>
        <v/>
      </c>
      <c r="Q1372" s="4" t="str">
        <f>IFERROR(__xludf.DUMMYFUNCTION("""COMPUTED_VALUE"""),"")</f>
        <v/>
      </c>
      <c r="R1372" s="4" t="str">
        <f>IFERROR(__xludf.DUMMYFUNCTION("""COMPUTED_VALUE"""),"")</f>
        <v/>
      </c>
      <c r="S1372" s="4" t="str">
        <f>IFERROR(__xludf.DUMMYFUNCTION("""COMPUTED_VALUE"""),"")</f>
        <v/>
      </c>
      <c r="T1372" s="4" t="str">
        <f>IFERROR(__xludf.DUMMYFUNCTION("""COMPUTED_VALUE"""),"")</f>
        <v/>
      </c>
      <c r="U1372" s="4" t="str">
        <f>IFERROR(__xludf.DUMMYFUNCTION("""COMPUTED_VALUE"""),"")</f>
        <v/>
      </c>
      <c r="V1372" s="4" t="str">
        <f>IFERROR(__xludf.DUMMYFUNCTION("""COMPUTED_VALUE"""),"")</f>
        <v/>
      </c>
      <c r="W1372" s="4" t="str">
        <f>IFERROR(__xludf.DUMMYFUNCTION("""COMPUTED_VALUE"""),"")</f>
        <v/>
      </c>
      <c r="X1372" s="4" t="str">
        <f>IFERROR(__xludf.DUMMYFUNCTION("""COMPUTED_VALUE"""),"")</f>
        <v/>
      </c>
      <c r="Y1372" s="4" t="str">
        <f>IFERROR(__xludf.DUMMYFUNCTION("""COMPUTED_VALUE"""),"")</f>
        <v/>
      </c>
    </row>
    <row r="1373">
      <c r="A1373" s="4" t="str">
        <f>IFERROR(__xludf.DUMMYFUNCTION("""COMPUTED_VALUE"""),"1904 - Channel")</f>
        <v>1904 - Channel</v>
      </c>
      <c r="B1373" s="4" t="str">
        <f>IFERROR(__xludf.DUMMYFUNCTION("""COMPUTED_VALUE"""),"")</f>
        <v/>
      </c>
      <c r="C1373" s="4" t="str">
        <f>IFERROR(__xludf.DUMMYFUNCTION("""COMPUTED_VALUE"""),"")</f>
        <v/>
      </c>
      <c r="D1373" s="4" t="str">
        <f>IFERROR(__xludf.DUMMYFUNCTION("""COMPUTED_VALUE"""),"")</f>
        <v/>
      </c>
      <c r="E1373" s="4" t="str">
        <f>IFERROR(__xludf.DUMMYFUNCTION("""COMPUTED_VALUE"""),"")</f>
        <v/>
      </c>
      <c r="F1373" s="4" t="str">
        <f>IFERROR(__xludf.DUMMYFUNCTION("""COMPUTED_VALUE"""),"")</f>
        <v/>
      </c>
      <c r="G1373" s="4" t="str">
        <f>IFERROR(__xludf.DUMMYFUNCTION("""COMPUTED_VALUE"""),"")</f>
        <v/>
      </c>
      <c r="H1373" s="4" t="str">
        <f>IFERROR(__xludf.DUMMYFUNCTION("""COMPUTED_VALUE"""),"")</f>
        <v/>
      </c>
      <c r="I1373" s="4" t="str">
        <f>IFERROR(__xludf.DUMMYFUNCTION("""COMPUTED_VALUE"""),"")</f>
        <v/>
      </c>
      <c r="J1373" s="4" t="str">
        <f>IFERROR(__xludf.DUMMYFUNCTION("""COMPUTED_VALUE"""),"")</f>
        <v/>
      </c>
      <c r="K1373" s="4" t="str">
        <f>IFERROR(__xludf.DUMMYFUNCTION("""COMPUTED_VALUE"""),"")</f>
        <v/>
      </c>
      <c r="L1373" s="4" t="str">
        <f>IFERROR(__xludf.DUMMYFUNCTION("""COMPUTED_VALUE"""),"")</f>
        <v/>
      </c>
      <c r="M1373" s="4" t="str">
        <f>IFERROR(__xludf.DUMMYFUNCTION("""COMPUTED_VALUE"""),"")</f>
        <v/>
      </c>
      <c r="N1373" s="4" t="str">
        <f>IFERROR(__xludf.DUMMYFUNCTION("""COMPUTED_VALUE"""),"")</f>
        <v/>
      </c>
      <c r="O1373" s="4" t="str">
        <f>IFERROR(__xludf.DUMMYFUNCTION("""COMPUTED_VALUE"""),"")</f>
        <v/>
      </c>
      <c r="P1373" s="4" t="str">
        <f>IFERROR(__xludf.DUMMYFUNCTION("""COMPUTED_VALUE"""),"")</f>
        <v/>
      </c>
      <c r="Q1373" s="4" t="str">
        <f>IFERROR(__xludf.DUMMYFUNCTION("""COMPUTED_VALUE"""),"")</f>
        <v/>
      </c>
      <c r="R1373" s="4" t="str">
        <f>IFERROR(__xludf.DUMMYFUNCTION("""COMPUTED_VALUE"""),"")</f>
        <v/>
      </c>
      <c r="S1373" s="4" t="str">
        <f>IFERROR(__xludf.DUMMYFUNCTION("""COMPUTED_VALUE"""),"")</f>
        <v/>
      </c>
      <c r="T1373" s="4" t="str">
        <f>IFERROR(__xludf.DUMMYFUNCTION("""COMPUTED_VALUE"""),"")</f>
        <v/>
      </c>
      <c r="U1373" s="4" t="str">
        <f>IFERROR(__xludf.DUMMYFUNCTION("""COMPUTED_VALUE"""),"")</f>
        <v/>
      </c>
      <c r="V1373" s="4" t="str">
        <f>IFERROR(__xludf.DUMMYFUNCTION("""COMPUTED_VALUE"""),"")</f>
        <v/>
      </c>
      <c r="W1373" s="4" t="str">
        <f>IFERROR(__xludf.DUMMYFUNCTION("""COMPUTED_VALUE"""),"")</f>
        <v/>
      </c>
      <c r="X1373" s="4" t="str">
        <f>IFERROR(__xludf.DUMMYFUNCTION("""COMPUTED_VALUE"""),"")</f>
        <v/>
      </c>
      <c r="Y1373" s="4" t="str">
        <f>IFERROR(__xludf.DUMMYFUNCTION("""COMPUTED_VALUE"""),"")</f>
        <v/>
      </c>
    </row>
    <row r="1374">
      <c r="A1374" s="4" t="str">
        <f>IFERROR(__xludf.DUMMYFUNCTION("""COMPUTED_VALUE"""),"1905 - Channel")</f>
        <v>1905 - Channel</v>
      </c>
      <c r="B1374" s="4" t="str">
        <f>IFERROR(__xludf.DUMMYFUNCTION("""COMPUTED_VALUE"""),"")</f>
        <v/>
      </c>
      <c r="C1374" s="4" t="str">
        <f>IFERROR(__xludf.DUMMYFUNCTION("""COMPUTED_VALUE"""),"")</f>
        <v/>
      </c>
      <c r="D1374" s="4" t="str">
        <f>IFERROR(__xludf.DUMMYFUNCTION("""COMPUTED_VALUE"""),"")</f>
        <v/>
      </c>
      <c r="E1374" s="4" t="str">
        <f>IFERROR(__xludf.DUMMYFUNCTION("""COMPUTED_VALUE"""),"")</f>
        <v/>
      </c>
      <c r="F1374" s="4" t="str">
        <f>IFERROR(__xludf.DUMMYFUNCTION("""COMPUTED_VALUE"""),"")</f>
        <v/>
      </c>
      <c r="G1374" s="4" t="str">
        <f>IFERROR(__xludf.DUMMYFUNCTION("""COMPUTED_VALUE"""),"")</f>
        <v/>
      </c>
      <c r="H1374" s="4" t="str">
        <f>IFERROR(__xludf.DUMMYFUNCTION("""COMPUTED_VALUE"""),"")</f>
        <v/>
      </c>
      <c r="I1374" s="4" t="str">
        <f>IFERROR(__xludf.DUMMYFUNCTION("""COMPUTED_VALUE"""),"")</f>
        <v/>
      </c>
      <c r="J1374" s="4" t="str">
        <f>IFERROR(__xludf.DUMMYFUNCTION("""COMPUTED_VALUE"""),"")</f>
        <v/>
      </c>
      <c r="K1374" s="4" t="str">
        <f>IFERROR(__xludf.DUMMYFUNCTION("""COMPUTED_VALUE"""),"")</f>
        <v/>
      </c>
      <c r="L1374" s="4" t="str">
        <f>IFERROR(__xludf.DUMMYFUNCTION("""COMPUTED_VALUE"""),"")</f>
        <v/>
      </c>
      <c r="M1374" s="4" t="str">
        <f>IFERROR(__xludf.DUMMYFUNCTION("""COMPUTED_VALUE"""),"")</f>
        <v/>
      </c>
      <c r="N1374" s="4" t="str">
        <f>IFERROR(__xludf.DUMMYFUNCTION("""COMPUTED_VALUE"""),"")</f>
        <v/>
      </c>
      <c r="O1374" s="4" t="str">
        <f>IFERROR(__xludf.DUMMYFUNCTION("""COMPUTED_VALUE"""),"")</f>
        <v/>
      </c>
      <c r="P1374" s="4" t="str">
        <f>IFERROR(__xludf.DUMMYFUNCTION("""COMPUTED_VALUE"""),"")</f>
        <v/>
      </c>
      <c r="Q1374" s="4" t="str">
        <f>IFERROR(__xludf.DUMMYFUNCTION("""COMPUTED_VALUE"""),"")</f>
        <v/>
      </c>
      <c r="R1374" s="4" t="str">
        <f>IFERROR(__xludf.DUMMYFUNCTION("""COMPUTED_VALUE"""),"")</f>
        <v/>
      </c>
      <c r="S1374" s="4" t="str">
        <f>IFERROR(__xludf.DUMMYFUNCTION("""COMPUTED_VALUE"""),"")</f>
        <v/>
      </c>
      <c r="T1374" s="4" t="str">
        <f>IFERROR(__xludf.DUMMYFUNCTION("""COMPUTED_VALUE"""),"")</f>
        <v/>
      </c>
      <c r="U1374" s="4" t="str">
        <f>IFERROR(__xludf.DUMMYFUNCTION("""COMPUTED_VALUE"""),"")</f>
        <v/>
      </c>
      <c r="V1374" s="4" t="str">
        <f>IFERROR(__xludf.DUMMYFUNCTION("""COMPUTED_VALUE"""),"")</f>
        <v/>
      </c>
      <c r="W1374" s="4" t="str">
        <f>IFERROR(__xludf.DUMMYFUNCTION("""COMPUTED_VALUE"""),"")</f>
        <v/>
      </c>
      <c r="X1374" s="4" t="str">
        <f>IFERROR(__xludf.DUMMYFUNCTION("""COMPUTED_VALUE"""),"")</f>
        <v/>
      </c>
      <c r="Y1374" s="4" t="str">
        <f>IFERROR(__xludf.DUMMYFUNCTION("""COMPUTED_VALUE"""),"")</f>
        <v/>
      </c>
    </row>
    <row r="1375">
      <c r="A1375" s="4" t="str">
        <f>IFERROR(__xludf.DUMMYFUNCTION("""COMPUTED_VALUE"""),"1906 - Channel")</f>
        <v>1906 - Channel</v>
      </c>
      <c r="B1375" s="4" t="str">
        <f>IFERROR(__xludf.DUMMYFUNCTION("""COMPUTED_VALUE"""),"")</f>
        <v/>
      </c>
      <c r="C1375" s="4" t="str">
        <f>IFERROR(__xludf.DUMMYFUNCTION("""COMPUTED_VALUE"""),"")</f>
        <v/>
      </c>
      <c r="D1375" s="4" t="str">
        <f>IFERROR(__xludf.DUMMYFUNCTION("""COMPUTED_VALUE"""),"")</f>
        <v/>
      </c>
      <c r="E1375" s="4" t="str">
        <f>IFERROR(__xludf.DUMMYFUNCTION("""COMPUTED_VALUE"""),"")</f>
        <v/>
      </c>
      <c r="F1375" s="4" t="str">
        <f>IFERROR(__xludf.DUMMYFUNCTION("""COMPUTED_VALUE"""),"")</f>
        <v/>
      </c>
      <c r="G1375" s="4" t="str">
        <f>IFERROR(__xludf.DUMMYFUNCTION("""COMPUTED_VALUE"""),"")</f>
        <v/>
      </c>
      <c r="H1375" s="4" t="str">
        <f>IFERROR(__xludf.DUMMYFUNCTION("""COMPUTED_VALUE"""),"")</f>
        <v/>
      </c>
      <c r="I1375" s="4" t="str">
        <f>IFERROR(__xludf.DUMMYFUNCTION("""COMPUTED_VALUE"""),"")</f>
        <v/>
      </c>
      <c r="J1375" s="4" t="str">
        <f>IFERROR(__xludf.DUMMYFUNCTION("""COMPUTED_VALUE"""),"")</f>
        <v/>
      </c>
      <c r="K1375" s="4" t="str">
        <f>IFERROR(__xludf.DUMMYFUNCTION("""COMPUTED_VALUE"""),"")</f>
        <v/>
      </c>
      <c r="L1375" s="4" t="str">
        <f>IFERROR(__xludf.DUMMYFUNCTION("""COMPUTED_VALUE"""),"")</f>
        <v/>
      </c>
      <c r="M1375" s="4" t="str">
        <f>IFERROR(__xludf.DUMMYFUNCTION("""COMPUTED_VALUE"""),"")</f>
        <v/>
      </c>
      <c r="N1375" s="4" t="str">
        <f>IFERROR(__xludf.DUMMYFUNCTION("""COMPUTED_VALUE"""),"")</f>
        <v/>
      </c>
      <c r="O1375" s="4" t="str">
        <f>IFERROR(__xludf.DUMMYFUNCTION("""COMPUTED_VALUE"""),"")</f>
        <v/>
      </c>
      <c r="P1375" s="4" t="str">
        <f>IFERROR(__xludf.DUMMYFUNCTION("""COMPUTED_VALUE"""),"")</f>
        <v/>
      </c>
      <c r="Q1375" s="4" t="str">
        <f>IFERROR(__xludf.DUMMYFUNCTION("""COMPUTED_VALUE"""),"")</f>
        <v/>
      </c>
      <c r="R1375" s="4" t="str">
        <f>IFERROR(__xludf.DUMMYFUNCTION("""COMPUTED_VALUE"""),"")</f>
        <v/>
      </c>
      <c r="S1375" s="4" t="str">
        <f>IFERROR(__xludf.DUMMYFUNCTION("""COMPUTED_VALUE"""),"")</f>
        <v/>
      </c>
      <c r="T1375" s="4" t="str">
        <f>IFERROR(__xludf.DUMMYFUNCTION("""COMPUTED_VALUE"""),"")</f>
        <v/>
      </c>
      <c r="U1375" s="4" t="str">
        <f>IFERROR(__xludf.DUMMYFUNCTION("""COMPUTED_VALUE"""),"")</f>
        <v/>
      </c>
      <c r="V1375" s="4" t="str">
        <f>IFERROR(__xludf.DUMMYFUNCTION("""COMPUTED_VALUE"""),"")</f>
        <v/>
      </c>
      <c r="W1375" s="4" t="str">
        <f>IFERROR(__xludf.DUMMYFUNCTION("""COMPUTED_VALUE"""),"")</f>
        <v/>
      </c>
      <c r="X1375" s="4" t="str">
        <f>IFERROR(__xludf.DUMMYFUNCTION("""COMPUTED_VALUE"""),"")</f>
        <v/>
      </c>
      <c r="Y1375" s="4" t="str">
        <f>IFERROR(__xludf.DUMMYFUNCTION("""COMPUTED_VALUE"""),"")</f>
        <v/>
      </c>
    </row>
    <row r="1376">
      <c r="A1376" s="4" t="str">
        <f>IFERROR(__xludf.DUMMYFUNCTION("""COMPUTED_VALUE"""),"1907 - Channel")</f>
        <v>1907 - Channel</v>
      </c>
      <c r="B1376" s="4" t="str">
        <f>IFERROR(__xludf.DUMMYFUNCTION("""COMPUTED_VALUE"""),"")</f>
        <v/>
      </c>
      <c r="C1376" s="4" t="str">
        <f>IFERROR(__xludf.DUMMYFUNCTION("""COMPUTED_VALUE"""),"")</f>
        <v/>
      </c>
      <c r="D1376" s="4" t="str">
        <f>IFERROR(__xludf.DUMMYFUNCTION("""COMPUTED_VALUE"""),"")</f>
        <v/>
      </c>
      <c r="E1376" s="4" t="str">
        <f>IFERROR(__xludf.DUMMYFUNCTION("""COMPUTED_VALUE"""),"")</f>
        <v/>
      </c>
      <c r="F1376" s="4" t="str">
        <f>IFERROR(__xludf.DUMMYFUNCTION("""COMPUTED_VALUE"""),"")</f>
        <v/>
      </c>
      <c r="G1376" s="4" t="str">
        <f>IFERROR(__xludf.DUMMYFUNCTION("""COMPUTED_VALUE"""),"")</f>
        <v/>
      </c>
      <c r="H1376" s="4" t="str">
        <f>IFERROR(__xludf.DUMMYFUNCTION("""COMPUTED_VALUE"""),"")</f>
        <v/>
      </c>
      <c r="I1376" s="4" t="str">
        <f>IFERROR(__xludf.DUMMYFUNCTION("""COMPUTED_VALUE"""),"")</f>
        <v/>
      </c>
      <c r="J1376" s="4" t="str">
        <f>IFERROR(__xludf.DUMMYFUNCTION("""COMPUTED_VALUE"""),"")</f>
        <v/>
      </c>
      <c r="K1376" s="4" t="str">
        <f>IFERROR(__xludf.DUMMYFUNCTION("""COMPUTED_VALUE"""),"")</f>
        <v/>
      </c>
      <c r="L1376" s="4" t="str">
        <f>IFERROR(__xludf.DUMMYFUNCTION("""COMPUTED_VALUE"""),"")</f>
        <v/>
      </c>
      <c r="M1376" s="4" t="str">
        <f>IFERROR(__xludf.DUMMYFUNCTION("""COMPUTED_VALUE"""),"")</f>
        <v/>
      </c>
      <c r="N1376" s="4" t="str">
        <f>IFERROR(__xludf.DUMMYFUNCTION("""COMPUTED_VALUE"""),"")</f>
        <v/>
      </c>
      <c r="O1376" s="4" t="str">
        <f>IFERROR(__xludf.DUMMYFUNCTION("""COMPUTED_VALUE"""),"")</f>
        <v/>
      </c>
      <c r="P1376" s="4" t="str">
        <f>IFERROR(__xludf.DUMMYFUNCTION("""COMPUTED_VALUE"""),"")</f>
        <v/>
      </c>
      <c r="Q1376" s="4" t="str">
        <f>IFERROR(__xludf.DUMMYFUNCTION("""COMPUTED_VALUE"""),"")</f>
        <v/>
      </c>
      <c r="R1376" s="4" t="str">
        <f>IFERROR(__xludf.DUMMYFUNCTION("""COMPUTED_VALUE"""),"")</f>
        <v/>
      </c>
      <c r="S1376" s="4" t="str">
        <f>IFERROR(__xludf.DUMMYFUNCTION("""COMPUTED_VALUE"""),"")</f>
        <v/>
      </c>
      <c r="T1376" s="4" t="str">
        <f>IFERROR(__xludf.DUMMYFUNCTION("""COMPUTED_VALUE"""),"")</f>
        <v/>
      </c>
      <c r="U1376" s="4" t="str">
        <f>IFERROR(__xludf.DUMMYFUNCTION("""COMPUTED_VALUE"""),"")</f>
        <v/>
      </c>
      <c r="V1376" s="4" t="str">
        <f>IFERROR(__xludf.DUMMYFUNCTION("""COMPUTED_VALUE"""),"")</f>
        <v/>
      </c>
      <c r="W1376" s="4" t="str">
        <f>IFERROR(__xludf.DUMMYFUNCTION("""COMPUTED_VALUE"""),"")</f>
        <v/>
      </c>
      <c r="X1376" s="4" t="str">
        <f>IFERROR(__xludf.DUMMYFUNCTION("""COMPUTED_VALUE"""),"")</f>
        <v/>
      </c>
      <c r="Y1376" s="4" t="str">
        <f>IFERROR(__xludf.DUMMYFUNCTION("""COMPUTED_VALUE"""),"")</f>
        <v/>
      </c>
    </row>
    <row r="1377">
      <c r="A1377" s="4" t="str">
        <f>IFERROR(__xludf.DUMMYFUNCTION("""COMPUTED_VALUE"""),"1908 - Channel")</f>
        <v>1908 - Channel</v>
      </c>
      <c r="B1377" s="4" t="str">
        <f>IFERROR(__xludf.DUMMYFUNCTION("""COMPUTED_VALUE"""),"")</f>
        <v/>
      </c>
      <c r="C1377" s="4" t="str">
        <f>IFERROR(__xludf.DUMMYFUNCTION("""COMPUTED_VALUE"""),"")</f>
        <v/>
      </c>
      <c r="D1377" s="4" t="str">
        <f>IFERROR(__xludf.DUMMYFUNCTION("""COMPUTED_VALUE"""),"")</f>
        <v/>
      </c>
      <c r="E1377" s="4" t="str">
        <f>IFERROR(__xludf.DUMMYFUNCTION("""COMPUTED_VALUE"""),"")</f>
        <v/>
      </c>
      <c r="F1377" s="4" t="str">
        <f>IFERROR(__xludf.DUMMYFUNCTION("""COMPUTED_VALUE"""),"")</f>
        <v/>
      </c>
      <c r="G1377" s="4" t="str">
        <f>IFERROR(__xludf.DUMMYFUNCTION("""COMPUTED_VALUE"""),"")</f>
        <v/>
      </c>
      <c r="H1377" s="4" t="str">
        <f>IFERROR(__xludf.DUMMYFUNCTION("""COMPUTED_VALUE"""),"")</f>
        <v/>
      </c>
      <c r="I1377" s="4" t="str">
        <f>IFERROR(__xludf.DUMMYFUNCTION("""COMPUTED_VALUE"""),"")</f>
        <v/>
      </c>
      <c r="J1377" s="4" t="str">
        <f>IFERROR(__xludf.DUMMYFUNCTION("""COMPUTED_VALUE"""),"")</f>
        <v/>
      </c>
      <c r="K1377" s="4" t="str">
        <f>IFERROR(__xludf.DUMMYFUNCTION("""COMPUTED_VALUE"""),"")</f>
        <v/>
      </c>
      <c r="L1377" s="4" t="str">
        <f>IFERROR(__xludf.DUMMYFUNCTION("""COMPUTED_VALUE"""),"")</f>
        <v/>
      </c>
      <c r="M1377" s="4" t="str">
        <f>IFERROR(__xludf.DUMMYFUNCTION("""COMPUTED_VALUE"""),"")</f>
        <v/>
      </c>
      <c r="N1377" s="4" t="str">
        <f>IFERROR(__xludf.DUMMYFUNCTION("""COMPUTED_VALUE"""),"")</f>
        <v/>
      </c>
      <c r="O1377" s="4" t="str">
        <f>IFERROR(__xludf.DUMMYFUNCTION("""COMPUTED_VALUE"""),"")</f>
        <v/>
      </c>
      <c r="P1377" s="4" t="str">
        <f>IFERROR(__xludf.DUMMYFUNCTION("""COMPUTED_VALUE"""),"")</f>
        <v/>
      </c>
      <c r="Q1377" s="4" t="str">
        <f>IFERROR(__xludf.DUMMYFUNCTION("""COMPUTED_VALUE"""),"")</f>
        <v/>
      </c>
      <c r="R1377" s="4" t="str">
        <f>IFERROR(__xludf.DUMMYFUNCTION("""COMPUTED_VALUE"""),"")</f>
        <v/>
      </c>
      <c r="S1377" s="4" t="str">
        <f>IFERROR(__xludf.DUMMYFUNCTION("""COMPUTED_VALUE"""),"")</f>
        <v/>
      </c>
      <c r="T1377" s="4" t="str">
        <f>IFERROR(__xludf.DUMMYFUNCTION("""COMPUTED_VALUE"""),"")</f>
        <v/>
      </c>
      <c r="U1377" s="4" t="str">
        <f>IFERROR(__xludf.DUMMYFUNCTION("""COMPUTED_VALUE"""),"")</f>
        <v/>
      </c>
      <c r="V1377" s="4" t="str">
        <f>IFERROR(__xludf.DUMMYFUNCTION("""COMPUTED_VALUE"""),"")</f>
        <v/>
      </c>
      <c r="W1377" s="4" t="str">
        <f>IFERROR(__xludf.DUMMYFUNCTION("""COMPUTED_VALUE"""),"")</f>
        <v/>
      </c>
      <c r="X1377" s="4" t="str">
        <f>IFERROR(__xludf.DUMMYFUNCTION("""COMPUTED_VALUE"""),"")</f>
        <v/>
      </c>
      <c r="Y1377" s="4" t="str">
        <f>IFERROR(__xludf.DUMMYFUNCTION("""COMPUTED_VALUE"""),"")</f>
        <v/>
      </c>
    </row>
    <row r="1378">
      <c r="A1378" s="4" t="str">
        <f>IFERROR(__xludf.DUMMYFUNCTION("""COMPUTED_VALUE"""),"1909 - Channel")</f>
        <v>1909 - Channel</v>
      </c>
      <c r="B1378" s="4" t="str">
        <f>IFERROR(__xludf.DUMMYFUNCTION("""COMPUTED_VALUE"""),"")</f>
        <v/>
      </c>
      <c r="C1378" s="4" t="str">
        <f>IFERROR(__xludf.DUMMYFUNCTION("""COMPUTED_VALUE"""),"")</f>
        <v/>
      </c>
      <c r="D1378" s="4" t="str">
        <f>IFERROR(__xludf.DUMMYFUNCTION("""COMPUTED_VALUE"""),"")</f>
        <v/>
      </c>
      <c r="E1378" s="4" t="str">
        <f>IFERROR(__xludf.DUMMYFUNCTION("""COMPUTED_VALUE"""),"")</f>
        <v/>
      </c>
      <c r="F1378" s="4" t="str">
        <f>IFERROR(__xludf.DUMMYFUNCTION("""COMPUTED_VALUE"""),"")</f>
        <v/>
      </c>
      <c r="G1378" s="4" t="str">
        <f>IFERROR(__xludf.DUMMYFUNCTION("""COMPUTED_VALUE"""),"")</f>
        <v/>
      </c>
      <c r="H1378" s="4" t="str">
        <f>IFERROR(__xludf.DUMMYFUNCTION("""COMPUTED_VALUE"""),"")</f>
        <v/>
      </c>
      <c r="I1378" s="4" t="str">
        <f>IFERROR(__xludf.DUMMYFUNCTION("""COMPUTED_VALUE"""),"")</f>
        <v/>
      </c>
      <c r="J1378" s="4" t="str">
        <f>IFERROR(__xludf.DUMMYFUNCTION("""COMPUTED_VALUE"""),"")</f>
        <v/>
      </c>
      <c r="K1378" s="4" t="str">
        <f>IFERROR(__xludf.DUMMYFUNCTION("""COMPUTED_VALUE"""),"")</f>
        <v/>
      </c>
      <c r="L1378" s="4" t="str">
        <f>IFERROR(__xludf.DUMMYFUNCTION("""COMPUTED_VALUE"""),"")</f>
        <v/>
      </c>
      <c r="M1378" s="4" t="str">
        <f>IFERROR(__xludf.DUMMYFUNCTION("""COMPUTED_VALUE"""),"")</f>
        <v/>
      </c>
      <c r="N1378" s="4" t="str">
        <f>IFERROR(__xludf.DUMMYFUNCTION("""COMPUTED_VALUE"""),"")</f>
        <v/>
      </c>
      <c r="O1378" s="4" t="str">
        <f>IFERROR(__xludf.DUMMYFUNCTION("""COMPUTED_VALUE"""),"")</f>
        <v/>
      </c>
      <c r="P1378" s="4" t="str">
        <f>IFERROR(__xludf.DUMMYFUNCTION("""COMPUTED_VALUE"""),"")</f>
        <v/>
      </c>
      <c r="Q1378" s="4" t="str">
        <f>IFERROR(__xludf.DUMMYFUNCTION("""COMPUTED_VALUE"""),"")</f>
        <v/>
      </c>
      <c r="R1378" s="4" t="str">
        <f>IFERROR(__xludf.DUMMYFUNCTION("""COMPUTED_VALUE"""),"")</f>
        <v/>
      </c>
      <c r="S1378" s="4" t="str">
        <f>IFERROR(__xludf.DUMMYFUNCTION("""COMPUTED_VALUE"""),"")</f>
        <v/>
      </c>
      <c r="T1378" s="4" t="str">
        <f>IFERROR(__xludf.DUMMYFUNCTION("""COMPUTED_VALUE"""),"")</f>
        <v/>
      </c>
      <c r="U1378" s="4" t="str">
        <f>IFERROR(__xludf.DUMMYFUNCTION("""COMPUTED_VALUE"""),"")</f>
        <v/>
      </c>
      <c r="V1378" s="4" t="str">
        <f>IFERROR(__xludf.DUMMYFUNCTION("""COMPUTED_VALUE"""),"")</f>
        <v/>
      </c>
      <c r="W1378" s="4" t="str">
        <f>IFERROR(__xludf.DUMMYFUNCTION("""COMPUTED_VALUE"""),"")</f>
        <v/>
      </c>
      <c r="X1378" s="4" t="str">
        <f>IFERROR(__xludf.DUMMYFUNCTION("""COMPUTED_VALUE"""),"")</f>
        <v/>
      </c>
      <c r="Y1378" s="4" t="str">
        <f>IFERROR(__xludf.DUMMYFUNCTION("""COMPUTED_VALUE"""),"")</f>
        <v/>
      </c>
    </row>
    <row r="1379">
      <c r="A1379" s="4" t="str">
        <f>IFERROR(__xludf.DUMMYFUNCTION("""COMPUTED_VALUE"""),"1910 - Channel")</f>
        <v>1910 - Channel</v>
      </c>
      <c r="B1379" s="4" t="str">
        <f>IFERROR(__xludf.DUMMYFUNCTION("""COMPUTED_VALUE"""),"")</f>
        <v/>
      </c>
      <c r="C1379" s="4" t="str">
        <f>IFERROR(__xludf.DUMMYFUNCTION("""COMPUTED_VALUE"""),"")</f>
        <v/>
      </c>
      <c r="D1379" s="4" t="str">
        <f>IFERROR(__xludf.DUMMYFUNCTION("""COMPUTED_VALUE"""),"")</f>
        <v/>
      </c>
      <c r="E1379" s="4" t="str">
        <f>IFERROR(__xludf.DUMMYFUNCTION("""COMPUTED_VALUE"""),"")</f>
        <v/>
      </c>
      <c r="F1379" s="4" t="str">
        <f>IFERROR(__xludf.DUMMYFUNCTION("""COMPUTED_VALUE"""),"")</f>
        <v/>
      </c>
      <c r="G1379" s="4" t="str">
        <f>IFERROR(__xludf.DUMMYFUNCTION("""COMPUTED_VALUE"""),"")</f>
        <v/>
      </c>
      <c r="H1379" s="4" t="str">
        <f>IFERROR(__xludf.DUMMYFUNCTION("""COMPUTED_VALUE"""),"")</f>
        <v/>
      </c>
      <c r="I1379" s="4" t="str">
        <f>IFERROR(__xludf.DUMMYFUNCTION("""COMPUTED_VALUE"""),"")</f>
        <v/>
      </c>
      <c r="J1379" s="4" t="str">
        <f>IFERROR(__xludf.DUMMYFUNCTION("""COMPUTED_VALUE"""),"")</f>
        <v/>
      </c>
      <c r="K1379" s="4" t="str">
        <f>IFERROR(__xludf.DUMMYFUNCTION("""COMPUTED_VALUE"""),"")</f>
        <v/>
      </c>
      <c r="L1379" s="4" t="str">
        <f>IFERROR(__xludf.DUMMYFUNCTION("""COMPUTED_VALUE"""),"")</f>
        <v/>
      </c>
      <c r="M1379" s="4" t="str">
        <f>IFERROR(__xludf.DUMMYFUNCTION("""COMPUTED_VALUE"""),"")</f>
        <v/>
      </c>
      <c r="N1379" s="4" t="str">
        <f>IFERROR(__xludf.DUMMYFUNCTION("""COMPUTED_VALUE"""),"")</f>
        <v/>
      </c>
      <c r="O1379" s="4" t="str">
        <f>IFERROR(__xludf.DUMMYFUNCTION("""COMPUTED_VALUE"""),"")</f>
        <v/>
      </c>
      <c r="P1379" s="4" t="str">
        <f>IFERROR(__xludf.DUMMYFUNCTION("""COMPUTED_VALUE"""),"")</f>
        <v/>
      </c>
      <c r="Q1379" s="4" t="str">
        <f>IFERROR(__xludf.DUMMYFUNCTION("""COMPUTED_VALUE"""),"")</f>
        <v/>
      </c>
      <c r="R1379" s="4" t="str">
        <f>IFERROR(__xludf.DUMMYFUNCTION("""COMPUTED_VALUE"""),"")</f>
        <v/>
      </c>
      <c r="S1379" s="4" t="str">
        <f>IFERROR(__xludf.DUMMYFUNCTION("""COMPUTED_VALUE"""),"")</f>
        <v/>
      </c>
      <c r="T1379" s="4" t="str">
        <f>IFERROR(__xludf.DUMMYFUNCTION("""COMPUTED_VALUE"""),"")</f>
        <v/>
      </c>
      <c r="U1379" s="4" t="str">
        <f>IFERROR(__xludf.DUMMYFUNCTION("""COMPUTED_VALUE"""),"")</f>
        <v/>
      </c>
      <c r="V1379" s="4" t="str">
        <f>IFERROR(__xludf.DUMMYFUNCTION("""COMPUTED_VALUE"""),"")</f>
        <v/>
      </c>
      <c r="W1379" s="4" t="str">
        <f>IFERROR(__xludf.DUMMYFUNCTION("""COMPUTED_VALUE"""),"")</f>
        <v/>
      </c>
      <c r="X1379" s="4" t="str">
        <f>IFERROR(__xludf.DUMMYFUNCTION("""COMPUTED_VALUE"""),"")</f>
        <v/>
      </c>
      <c r="Y1379" s="4" t="str">
        <f>IFERROR(__xludf.DUMMYFUNCTION("""COMPUTED_VALUE"""),"")</f>
        <v/>
      </c>
    </row>
    <row r="1380">
      <c r="A1380" s="4" t="str">
        <f>IFERROR(__xludf.DUMMYFUNCTION("""COMPUTED_VALUE"""),"1911 - Channel")</f>
        <v>1911 - Channel</v>
      </c>
      <c r="B1380" s="4" t="str">
        <f>IFERROR(__xludf.DUMMYFUNCTION("""COMPUTED_VALUE"""),"")</f>
        <v/>
      </c>
      <c r="C1380" s="4" t="str">
        <f>IFERROR(__xludf.DUMMYFUNCTION("""COMPUTED_VALUE"""),"")</f>
        <v/>
      </c>
      <c r="D1380" s="4" t="str">
        <f>IFERROR(__xludf.DUMMYFUNCTION("""COMPUTED_VALUE"""),"")</f>
        <v/>
      </c>
      <c r="E1380" s="4" t="str">
        <f>IFERROR(__xludf.DUMMYFUNCTION("""COMPUTED_VALUE"""),"")</f>
        <v/>
      </c>
      <c r="F1380" s="4" t="str">
        <f>IFERROR(__xludf.DUMMYFUNCTION("""COMPUTED_VALUE"""),"")</f>
        <v/>
      </c>
      <c r="G1380" s="4" t="str">
        <f>IFERROR(__xludf.DUMMYFUNCTION("""COMPUTED_VALUE"""),"")</f>
        <v/>
      </c>
      <c r="H1380" s="4" t="str">
        <f>IFERROR(__xludf.DUMMYFUNCTION("""COMPUTED_VALUE"""),"")</f>
        <v/>
      </c>
      <c r="I1380" s="4" t="str">
        <f>IFERROR(__xludf.DUMMYFUNCTION("""COMPUTED_VALUE"""),"")</f>
        <v/>
      </c>
      <c r="J1380" s="4" t="str">
        <f>IFERROR(__xludf.DUMMYFUNCTION("""COMPUTED_VALUE"""),"")</f>
        <v/>
      </c>
      <c r="K1380" s="4" t="str">
        <f>IFERROR(__xludf.DUMMYFUNCTION("""COMPUTED_VALUE"""),"")</f>
        <v/>
      </c>
      <c r="L1380" s="4" t="str">
        <f>IFERROR(__xludf.DUMMYFUNCTION("""COMPUTED_VALUE"""),"")</f>
        <v/>
      </c>
      <c r="M1380" s="4" t="str">
        <f>IFERROR(__xludf.DUMMYFUNCTION("""COMPUTED_VALUE"""),"")</f>
        <v/>
      </c>
      <c r="N1380" s="4" t="str">
        <f>IFERROR(__xludf.DUMMYFUNCTION("""COMPUTED_VALUE"""),"")</f>
        <v/>
      </c>
      <c r="O1380" s="4" t="str">
        <f>IFERROR(__xludf.DUMMYFUNCTION("""COMPUTED_VALUE"""),"")</f>
        <v/>
      </c>
      <c r="P1380" s="4" t="str">
        <f>IFERROR(__xludf.DUMMYFUNCTION("""COMPUTED_VALUE"""),"")</f>
        <v/>
      </c>
      <c r="Q1380" s="4" t="str">
        <f>IFERROR(__xludf.DUMMYFUNCTION("""COMPUTED_VALUE"""),"")</f>
        <v/>
      </c>
      <c r="R1380" s="4" t="str">
        <f>IFERROR(__xludf.DUMMYFUNCTION("""COMPUTED_VALUE"""),"")</f>
        <v/>
      </c>
      <c r="S1380" s="4" t="str">
        <f>IFERROR(__xludf.DUMMYFUNCTION("""COMPUTED_VALUE"""),"")</f>
        <v/>
      </c>
      <c r="T1380" s="4" t="str">
        <f>IFERROR(__xludf.DUMMYFUNCTION("""COMPUTED_VALUE"""),"")</f>
        <v/>
      </c>
      <c r="U1380" s="4" t="str">
        <f>IFERROR(__xludf.DUMMYFUNCTION("""COMPUTED_VALUE"""),"")</f>
        <v/>
      </c>
      <c r="V1380" s="4" t="str">
        <f>IFERROR(__xludf.DUMMYFUNCTION("""COMPUTED_VALUE"""),"")</f>
        <v/>
      </c>
      <c r="W1380" s="4" t="str">
        <f>IFERROR(__xludf.DUMMYFUNCTION("""COMPUTED_VALUE"""),"")</f>
        <v/>
      </c>
      <c r="X1380" s="4" t="str">
        <f>IFERROR(__xludf.DUMMYFUNCTION("""COMPUTED_VALUE"""),"")</f>
        <v/>
      </c>
      <c r="Y1380" s="4" t="str">
        <f>IFERROR(__xludf.DUMMYFUNCTION("""COMPUTED_VALUE"""),"")</f>
        <v/>
      </c>
    </row>
    <row r="1381">
      <c r="A1381" s="4" t="str">
        <f>IFERROR(__xludf.DUMMYFUNCTION("""COMPUTED_VALUE"""),"1912 - Channel")</f>
        <v>1912 - Channel</v>
      </c>
      <c r="B1381" s="4" t="str">
        <f>IFERROR(__xludf.DUMMYFUNCTION("""COMPUTED_VALUE"""),"")</f>
        <v/>
      </c>
      <c r="C1381" s="4" t="str">
        <f>IFERROR(__xludf.DUMMYFUNCTION("""COMPUTED_VALUE"""),"")</f>
        <v/>
      </c>
      <c r="D1381" s="4" t="str">
        <f>IFERROR(__xludf.DUMMYFUNCTION("""COMPUTED_VALUE"""),"")</f>
        <v/>
      </c>
      <c r="E1381" s="4" t="str">
        <f>IFERROR(__xludf.DUMMYFUNCTION("""COMPUTED_VALUE"""),"")</f>
        <v/>
      </c>
      <c r="F1381" s="4" t="str">
        <f>IFERROR(__xludf.DUMMYFUNCTION("""COMPUTED_VALUE"""),"")</f>
        <v/>
      </c>
      <c r="G1381" s="4" t="str">
        <f>IFERROR(__xludf.DUMMYFUNCTION("""COMPUTED_VALUE"""),"")</f>
        <v/>
      </c>
      <c r="H1381" s="4" t="str">
        <f>IFERROR(__xludf.DUMMYFUNCTION("""COMPUTED_VALUE"""),"")</f>
        <v/>
      </c>
      <c r="I1381" s="4" t="str">
        <f>IFERROR(__xludf.DUMMYFUNCTION("""COMPUTED_VALUE"""),"")</f>
        <v/>
      </c>
      <c r="J1381" s="4" t="str">
        <f>IFERROR(__xludf.DUMMYFUNCTION("""COMPUTED_VALUE"""),"")</f>
        <v/>
      </c>
      <c r="K1381" s="4" t="str">
        <f>IFERROR(__xludf.DUMMYFUNCTION("""COMPUTED_VALUE"""),"")</f>
        <v/>
      </c>
      <c r="L1381" s="4" t="str">
        <f>IFERROR(__xludf.DUMMYFUNCTION("""COMPUTED_VALUE"""),"")</f>
        <v/>
      </c>
      <c r="M1381" s="4" t="str">
        <f>IFERROR(__xludf.DUMMYFUNCTION("""COMPUTED_VALUE"""),"")</f>
        <v/>
      </c>
      <c r="N1381" s="4" t="str">
        <f>IFERROR(__xludf.DUMMYFUNCTION("""COMPUTED_VALUE"""),"")</f>
        <v/>
      </c>
      <c r="O1381" s="4" t="str">
        <f>IFERROR(__xludf.DUMMYFUNCTION("""COMPUTED_VALUE"""),"")</f>
        <v/>
      </c>
      <c r="P1381" s="4" t="str">
        <f>IFERROR(__xludf.DUMMYFUNCTION("""COMPUTED_VALUE"""),"")</f>
        <v/>
      </c>
      <c r="Q1381" s="4" t="str">
        <f>IFERROR(__xludf.DUMMYFUNCTION("""COMPUTED_VALUE"""),"")</f>
        <v/>
      </c>
      <c r="R1381" s="4" t="str">
        <f>IFERROR(__xludf.DUMMYFUNCTION("""COMPUTED_VALUE"""),"")</f>
        <v/>
      </c>
      <c r="S1381" s="4" t="str">
        <f>IFERROR(__xludf.DUMMYFUNCTION("""COMPUTED_VALUE"""),"")</f>
        <v/>
      </c>
      <c r="T1381" s="4" t="str">
        <f>IFERROR(__xludf.DUMMYFUNCTION("""COMPUTED_VALUE"""),"")</f>
        <v/>
      </c>
      <c r="U1381" s="4" t="str">
        <f>IFERROR(__xludf.DUMMYFUNCTION("""COMPUTED_VALUE"""),"")</f>
        <v/>
      </c>
      <c r="V1381" s="4" t="str">
        <f>IFERROR(__xludf.DUMMYFUNCTION("""COMPUTED_VALUE"""),"")</f>
        <v/>
      </c>
      <c r="W1381" s="4" t="str">
        <f>IFERROR(__xludf.DUMMYFUNCTION("""COMPUTED_VALUE"""),"")</f>
        <v/>
      </c>
      <c r="X1381" s="4" t="str">
        <f>IFERROR(__xludf.DUMMYFUNCTION("""COMPUTED_VALUE"""),"")</f>
        <v/>
      </c>
      <c r="Y1381" s="4" t="str">
        <f>IFERROR(__xludf.DUMMYFUNCTION("""COMPUTED_VALUE"""),"")</f>
        <v/>
      </c>
    </row>
    <row r="1382">
      <c r="A1382" s="4" t="str">
        <f>IFERROR(__xludf.DUMMYFUNCTION("""COMPUTED_VALUE"""),"1913 - Channel")</f>
        <v>1913 - Channel</v>
      </c>
      <c r="B1382" s="4" t="str">
        <f>IFERROR(__xludf.DUMMYFUNCTION("""COMPUTED_VALUE"""),"")</f>
        <v/>
      </c>
      <c r="C1382" s="4" t="str">
        <f>IFERROR(__xludf.DUMMYFUNCTION("""COMPUTED_VALUE"""),"")</f>
        <v/>
      </c>
      <c r="D1382" s="4" t="str">
        <f>IFERROR(__xludf.DUMMYFUNCTION("""COMPUTED_VALUE"""),"")</f>
        <v/>
      </c>
      <c r="E1382" s="4" t="str">
        <f>IFERROR(__xludf.DUMMYFUNCTION("""COMPUTED_VALUE"""),"")</f>
        <v/>
      </c>
      <c r="F1382" s="4" t="str">
        <f>IFERROR(__xludf.DUMMYFUNCTION("""COMPUTED_VALUE"""),"")</f>
        <v/>
      </c>
      <c r="G1382" s="4" t="str">
        <f>IFERROR(__xludf.DUMMYFUNCTION("""COMPUTED_VALUE"""),"")</f>
        <v/>
      </c>
      <c r="H1382" s="4" t="str">
        <f>IFERROR(__xludf.DUMMYFUNCTION("""COMPUTED_VALUE"""),"")</f>
        <v/>
      </c>
      <c r="I1382" s="4" t="str">
        <f>IFERROR(__xludf.DUMMYFUNCTION("""COMPUTED_VALUE"""),"")</f>
        <v/>
      </c>
      <c r="J1382" s="4" t="str">
        <f>IFERROR(__xludf.DUMMYFUNCTION("""COMPUTED_VALUE"""),"")</f>
        <v/>
      </c>
      <c r="K1382" s="4" t="str">
        <f>IFERROR(__xludf.DUMMYFUNCTION("""COMPUTED_VALUE"""),"")</f>
        <v/>
      </c>
      <c r="L1382" s="4" t="str">
        <f>IFERROR(__xludf.DUMMYFUNCTION("""COMPUTED_VALUE"""),"")</f>
        <v/>
      </c>
      <c r="M1382" s="4" t="str">
        <f>IFERROR(__xludf.DUMMYFUNCTION("""COMPUTED_VALUE"""),"")</f>
        <v/>
      </c>
      <c r="N1382" s="4" t="str">
        <f>IFERROR(__xludf.DUMMYFUNCTION("""COMPUTED_VALUE"""),"")</f>
        <v/>
      </c>
      <c r="O1382" s="4" t="str">
        <f>IFERROR(__xludf.DUMMYFUNCTION("""COMPUTED_VALUE"""),"")</f>
        <v/>
      </c>
      <c r="P1382" s="4" t="str">
        <f>IFERROR(__xludf.DUMMYFUNCTION("""COMPUTED_VALUE"""),"")</f>
        <v/>
      </c>
      <c r="Q1382" s="4" t="str">
        <f>IFERROR(__xludf.DUMMYFUNCTION("""COMPUTED_VALUE"""),"")</f>
        <v/>
      </c>
      <c r="R1382" s="4" t="str">
        <f>IFERROR(__xludf.DUMMYFUNCTION("""COMPUTED_VALUE"""),"")</f>
        <v/>
      </c>
      <c r="S1382" s="4" t="str">
        <f>IFERROR(__xludf.DUMMYFUNCTION("""COMPUTED_VALUE"""),"")</f>
        <v/>
      </c>
      <c r="T1382" s="4" t="str">
        <f>IFERROR(__xludf.DUMMYFUNCTION("""COMPUTED_VALUE"""),"")</f>
        <v/>
      </c>
      <c r="U1382" s="4" t="str">
        <f>IFERROR(__xludf.DUMMYFUNCTION("""COMPUTED_VALUE"""),"")</f>
        <v/>
      </c>
      <c r="V1382" s="4" t="str">
        <f>IFERROR(__xludf.DUMMYFUNCTION("""COMPUTED_VALUE"""),"")</f>
        <v/>
      </c>
      <c r="W1382" s="4" t="str">
        <f>IFERROR(__xludf.DUMMYFUNCTION("""COMPUTED_VALUE"""),"")</f>
        <v/>
      </c>
      <c r="X1382" s="4" t="str">
        <f>IFERROR(__xludf.DUMMYFUNCTION("""COMPUTED_VALUE"""),"")</f>
        <v/>
      </c>
      <c r="Y1382" s="4" t="str">
        <f>IFERROR(__xludf.DUMMYFUNCTION("""COMPUTED_VALUE"""),"")</f>
        <v/>
      </c>
    </row>
    <row r="1383">
      <c r="A1383" s="4" t="str">
        <f>IFERROR(__xludf.DUMMYFUNCTION("""COMPUTED_VALUE"""),"1914 - Channel")</f>
        <v>1914 - Channel</v>
      </c>
      <c r="B1383" s="4" t="str">
        <f>IFERROR(__xludf.DUMMYFUNCTION("""COMPUTED_VALUE"""),"")</f>
        <v/>
      </c>
      <c r="C1383" s="4" t="str">
        <f>IFERROR(__xludf.DUMMYFUNCTION("""COMPUTED_VALUE"""),"")</f>
        <v/>
      </c>
      <c r="D1383" s="4" t="str">
        <f>IFERROR(__xludf.DUMMYFUNCTION("""COMPUTED_VALUE"""),"")</f>
        <v/>
      </c>
      <c r="E1383" s="4" t="str">
        <f>IFERROR(__xludf.DUMMYFUNCTION("""COMPUTED_VALUE"""),"")</f>
        <v/>
      </c>
      <c r="F1383" s="4" t="str">
        <f>IFERROR(__xludf.DUMMYFUNCTION("""COMPUTED_VALUE"""),"")</f>
        <v/>
      </c>
      <c r="G1383" s="4" t="str">
        <f>IFERROR(__xludf.DUMMYFUNCTION("""COMPUTED_VALUE"""),"")</f>
        <v/>
      </c>
      <c r="H1383" s="4" t="str">
        <f>IFERROR(__xludf.DUMMYFUNCTION("""COMPUTED_VALUE"""),"")</f>
        <v/>
      </c>
      <c r="I1383" s="4" t="str">
        <f>IFERROR(__xludf.DUMMYFUNCTION("""COMPUTED_VALUE"""),"")</f>
        <v/>
      </c>
      <c r="J1383" s="4" t="str">
        <f>IFERROR(__xludf.DUMMYFUNCTION("""COMPUTED_VALUE"""),"")</f>
        <v/>
      </c>
      <c r="K1383" s="4" t="str">
        <f>IFERROR(__xludf.DUMMYFUNCTION("""COMPUTED_VALUE"""),"")</f>
        <v/>
      </c>
      <c r="L1383" s="4" t="str">
        <f>IFERROR(__xludf.DUMMYFUNCTION("""COMPUTED_VALUE"""),"")</f>
        <v/>
      </c>
      <c r="M1383" s="4" t="str">
        <f>IFERROR(__xludf.DUMMYFUNCTION("""COMPUTED_VALUE"""),"")</f>
        <v/>
      </c>
      <c r="N1383" s="4" t="str">
        <f>IFERROR(__xludf.DUMMYFUNCTION("""COMPUTED_VALUE"""),"")</f>
        <v/>
      </c>
      <c r="O1383" s="4" t="str">
        <f>IFERROR(__xludf.DUMMYFUNCTION("""COMPUTED_VALUE"""),"")</f>
        <v/>
      </c>
      <c r="P1383" s="4" t="str">
        <f>IFERROR(__xludf.DUMMYFUNCTION("""COMPUTED_VALUE"""),"")</f>
        <v/>
      </c>
      <c r="Q1383" s="4" t="str">
        <f>IFERROR(__xludf.DUMMYFUNCTION("""COMPUTED_VALUE"""),"")</f>
        <v/>
      </c>
      <c r="R1383" s="4" t="str">
        <f>IFERROR(__xludf.DUMMYFUNCTION("""COMPUTED_VALUE"""),"")</f>
        <v/>
      </c>
      <c r="S1383" s="4" t="str">
        <f>IFERROR(__xludf.DUMMYFUNCTION("""COMPUTED_VALUE"""),"")</f>
        <v/>
      </c>
      <c r="T1383" s="4" t="str">
        <f>IFERROR(__xludf.DUMMYFUNCTION("""COMPUTED_VALUE"""),"")</f>
        <v/>
      </c>
      <c r="U1383" s="4" t="str">
        <f>IFERROR(__xludf.DUMMYFUNCTION("""COMPUTED_VALUE"""),"")</f>
        <v/>
      </c>
      <c r="V1383" s="4" t="str">
        <f>IFERROR(__xludf.DUMMYFUNCTION("""COMPUTED_VALUE"""),"")</f>
        <v/>
      </c>
      <c r="W1383" s="4" t="str">
        <f>IFERROR(__xludf.DUMMYFUNCTION("""COMPUTED_VALUE"""),"")</f>
        <v/>
      </c>
      <c r="X1383" s="4" t="str">
        <f>IFERROR(__xludf.DUMMYFUNCTION("""COMPUTED_VALUE"""),"")</f>
        <v/>
      </c>
      <c r="Y1383" s="4" t="str">
        <f>IFERROR(__xludf.DUMMYFUNCTION("""COMPUTED_VALUE"""),"")</f>
        <v/>
      </c>
    </row>
    <row r="1384">
      <c r="A1384" s="4" t="str">
        <f>IFERROR(__xludf.DUMMYFUNCTION("""COMPUTED_VALUE"""),"1915 - Channel")</f>
        <v>1915 - Channel</v>
      </c>
      <c r="B1384" s="4" t="str">
        <f>IFERROR(__xludf.DUMMYFUNCTION("""COMPUTED_VALUE"""),"")</f>
        <v/>
      </c>
      <c r="C1384" s="4" t="str">
        <f>IFERROR(__xludf.DUMMYFUNCTION("""COMPUTED_VALUE"""),"")</f>
        <v/>
      </c>
      <c r="D1384" s="4" t="str">
        <f>IFERROR(__xludf.DUMMYFUNCTION("""COMPUTED_VALUE"""),"")</f>
        <v/>
      </c>
      <c r="E1384" s="4" t="str">
        <f>IFERROR(__xludf.DUMMYFUNCTION("""COMPUTED_VALUE"""),"")</f>
        <v/>
      </c>
      <c r="F1384" s="4" t="str">
        <f>IFERROR(__xludf.DUMMYFUNCTION("""COMPUTED_VALUE"""),"")</f>
        <v/>
      </c>
      <c r="G1384" s="4" t="str">
        <f>IFERROR(__xludf.DUMMYFUNCTION("""COMPUTED_VALUE"""),"")</f>
        <v/>
      </c>
      <c r="H1384" s="4" t="str">
        <f>IFERROR(__xludf.DUMMYFUNCTION("""COMPUTED_VALUE"""),"")</f>
        <v/>
      </c>
      <c r="I1384" s="4" t="str">
        <f>IFERROR(__xludf.DUMMYFUNCTION("""COMPUTED_VALUE"""),"")</f>
        <v/>
      </c>
      <c r="J1384" s="4" t="str">
        <f>IFERROR(__xludf.DUMMYFUNCTION("""COMPUTED_VALUE"""),"")</f>
        <v/>
      </c>
      <c r="K1384" s="4" t="str">
        <f>IFERROR(__xludf.DUMMYFUNCTION("""COMPUTED_VALUE"""),"")</f>
        <v/>
      </c>
      <c r="L1384" s="4" t="str">
        <f>IFERROR(__xludf.DUMMYFUNCTION("""COMPUTED_VALUE"""),"")</f>
        <v/>
      </c>
      <c r="M1384" s="4" t="str">
        <f>IFERROR(__xludf.DUMMYFUNCTION("""COMPUTED_VALUE"""),"")</f>
        <v/>
      </c>
      <c r="N1384" s="4" t="str">
        <f>IFERROR(__xludf.DUMMYFUNCTION("""COMPUTED_VALUE"""),"")</f>
        <v/>
      </c>
      <c r="O1384" s="4" t="str">
        <f>IFERROR(__xludf.DUMMYFUNCTION("""COMPUTED_VALUE"""),"")</f>
        <v/>
      </c>
      <c r="P1384" s="4" t="str">
        <f>IFERROR(__xludf.DUMMYFUNCTION("""COMPUTED_VALUE"""),"")</f>
        <v/>
      </c>
      <c r="Q1384" s="4" t="str">
        <f>IFERROR(__xludf.DUMMYFUNCTION("""COMPUTED_VALUE"""),"")</f>
        <v/>
      </c>
      <c r="R1384" s="4" t="str">
        <f>IFERROR(__xludf.DUMMYFUNCTION("""COMPUTED_VALUE"""),"")</f>
        <v/>
      </c>
      <c r="S1384" s="4" t="str">
        <f>IFERROR(__xludf.DUMMYFUNCTION("""COMPUTED_VALUE"""),"")</f>
        <v/>
      </c>
      <c r="T1384" s="4" t="str">
        <f>IFERROR(__xludf.DUMMYFUNCTION("""COMPUTED_VALUE"""),"")</f>
        <v/>
      </c>
      <c r="U1384" s="4" t="str">
        <f>IFERROR(__xludf.DUMMYFUNCTION("""COMPUTED_VALUE"""),"")</f>
        <v/>
      </c>
      <c r="V1384" s="4" t="str">
        <f>IFERROR(__xludf.DUMMYFUNCTION("""COMPUTED_VALUE"""),"")</f>
        <v/>
      </c>
      <c r="W1384" s="4" t="str">
        <f>IFERROR(__xludf.DUMMYFUNCTION("""COMPUTED_VALUE"""),"")</f>
        <v/>
      </c>
      <c r="X1384" s="4" t="str">
        <f>IFERROR(__xludf.DUMMYFUNCTION("""COMPUTED_VALUE"""),"")</f>
        <v/>
      </c>
      <c r="Y1384" s="4" t="str">
        <f>IFERROR(__xludf.DUMMYFUNCTION("""COMPUTED_VALUE"""),"")</f>
        <v/>
      </c>
    </row>
    <row r="1385">
      <c r="A1385" s="4" t="str">
        <f>IFERROR(__xludf.DUMMYFUNCTION("""COMPUTED_VALUE"""),"1916 - Channel")</f>
        <v>1916 - Channel</v>
      </c>
      <c r="B1385" s="4" t="str">
        <f>IFERROR(__xludf.DUMMYFUNCTION("""COMPUTED_VALUE"""),"")</f>
        <v/>
      </c>
      <c r="C1385" s="4" t="str">
        <f>IFERROR(__xludf.DUMMYFUNCTION("""COMPUTED_VALUE"""),"")</f>
        <v/>
      </c>
      <c r="D1385" s="4" t="str">
        <f>IFERROR(__xludf.DUMMYFUNCTION("""COMPUTED_VALUE"""),"")</f>
        <v/>
      </c>
      <c r="E1385" s="4" t="str">
        <f>IFERROR(__xludf.DUMMYFUNCTION("""COMPUTED_VALUE"""),"")</f>
        <v/>
      </c>
      <c r="F1385" s="4" t="str">
        <f>IFERROR(__xludf.DUMMYFUNCTION("""COMPUTED_VALUE"""),"")</f>
        <v/>
      </c>
      <c r="G1385" s="4" t="str">
        <f>IFERROR(__xludf.DUMMYFUNCTION("""COMPUTED_VALUE"""),"")</f>
        <v/>
      </c>
      <c r="H1385" s="4" t="str">
        <f>IFERROR(__xludf.DUMMYFUNCTION("""COMPUTED_VALUE"""),"")</f>
        <v/>
      </c>
      <c r="I1385" s="4" t="str">
        <f>IFERROR(__xludf.DUMMYFUNCTION("""COMPUTED_VALUE"""),"")</f>
        <v/>
      </c>
      <c r="J1385" s="4" t="str">
        <f>IFERROR(__xludf.DUMMYFUNCTION("""COMPUTED_VALUE"""),"")</f>
        <v/>
      </c>
      <c r="K1385" s="4" t="str">
        <f>IFERROR(__xludf.DUMMYFUNCTION("""COMPUTED_VALUE"""),"")</f>
        <v/>
      </c>
      <c r="L1385" s="4" t="str">
        <f>IFERROR(__xludf.DUMMYFUNCTION("""COMPUTED_VALUE"""),"")</f>
        <v/>
      </c>
      <c r="M1385" s="4" t="str">
        <f>IFERROR(__xludf.DUMMYFUNCTION("""COMPUTED_VALUE"""),"")</f>
        <v/>
      </c>
      <c r="N1385" s="4" t="str">
        <f>IFERROR(__xludf.DUMMYFUNCTION("""COMPUTED_VALUE"""),"")</f>
        <v/>
      </c>
      <c r="O1385" s="4" t="str">
        <f>IFERROR(__xludf.DUMMYFUNCTION("""COMPUTED_VALUE"""),"")</f>
        <v/>
      </c>
      <c r="P1385" s="4" t="str">
        <f>IFERROR(__xludf.DUMMYFUNCTION("""COMPUTED_VALUE"""),"")</f>
        <v/>
      </c>
      <c r="Q1385" s="4" t="str">
        <f>IFERROR(__xludf.DUMMYFUNCTION("""COMPUTED_VALUE"""),"")</f>
        <v/>
      </c>
      <c r="R1385" s="4" t="str">
        <f>IFERROR(__xludf.DUMMYFUNCTION("""COMPUTED_VALUE"""),"")</f>
        <v/>
      </c>
      <c r="S1385" s="4" t="str">
        <f>IFERROR(__xludf.DUMMYFUNCTION("""COMPUTED_VALUE"""),"")</f>
        <v/>
      </c>
      <c r="T1385" s="4" t="str">
        <f>IFERROR(__xludf.DUMMYFUNCTION("""COMPUTED_VALUE"""),"")</f>
        <v/>
      </c>
      <c r="U1385" s="4" t="str">
        <f>IFERROR(__xludf.DUMMYFUNCTION("""COMPUTED_VALUE"""),"")</f>
        <v/>
      </c>
      <c r="V1385" s="4" t="str">
        <f>IFERROR(__xludf.DUMMYFUNCTION("""COMPUTED_VALUE"""),"")</f>
        <v/>
      </c>
      <c r="W1385" s="4" t="str">
        <f>IFERROR(__xludf.DUMMYFUNCTION("""COMPUTED_VALUE"""),"")</f>
        <v/>
      </c>
      <c r="X1385" s="4" t="str">
        <f>IFERROR(__xludf.DUMMYFUNCTION("""COMPUTED_VALUE"""),"")</f>
        <v/>
      </c>
      <c r="Y1385" s="4" t="str">
        <f>IFERROR(__xludf.DUMMYFUNCTION("""COMPUTED_VALUE"""),"")</f>
        <v/>
      </c>
    </row>
    <row r="1386">
      <c r="A1386" s="4" t="str">
        <f>IFERROR(__xludf.DUMMYFUNCTION("""COMPUTED_VALUE"""),"1917 - Channel")</f>
        <v>1917 - Channel</v>
      </c>
      <c r="B1386" s="4" t="str">
        <f>IFERROR(__xludf.DUMMYFUNCTION("""COMPUTED_VALUE"""),"")</f>
        <v/>
      </c>
      <c r="C1386" s="4" t="str">
        <f>IFERROR(__xludf.DUMMYFUNCTION("""COMPUTED_VALUE"""),"")</f>
        <v/>
      </c>
      <c r="D1386" s="4" t="str">
        <f>IFERROR(__xludf.DUMMYFUNCTION("""COMPUTED_VALUE"""),"")</f>
        <v/>
      </c>
      <c r="E1386" s="4" t="str">
        <f>IFERROR(__xludf.DUMMYFUNCTION("""COMPUTED_VALUE"""),"")</f>
        <v/>
      </c>
      <c r="F1386" s="4" t="str">
        <f>IFERROR(__xludf.DUMMYFUNCTION("""COMPUTED_VALUE"""),"")</f>
        <v/>
      </c>
      <c r="G1386" s="4" t="str">
        <f>IFERROR(__xludf.DUMMYFUNCTION("""COMPUTED_VALUE"""),"")</f>
        <v/>
      </c>
      <c r="H1386" s="4" t="str">
        <f>IFERROR(__xludf.DUMMYFUNCTION("""COMPUTED_VALUE"""),"")</f>
        <v/>
      </c>
      <c r="I1386" s="4" t="str">
        <f>IFERROR(__xludf.DUMMYFUNCTION("""COMPUTED_VALUE"""),"")</f>
        <v/>
      </c>
      <c r="J1386" s="4" t="str">
        <f>IFERROR(__xludf.DUMMYFUNCTION("""COMPUTED_VALUE"""),"")</f>
        <v/>
      </c>
      <c r="K1386" s="4" t="str">
        <f>IFERROR(__xludf.DUMMYFUNCTION("""COMPUTED_VALUE"""),"")</f>
        <v/>
      </c>
      <c r="L1386" s="4" t="str">
        <f>IFERROR(__xludf.DUMMYFUNCTION("""COMPUTED_VALUE"""),"")</f>
        <v/>
      </c>
      <c r="M1386" s="4" t="str">
        <f>IFERROR(__xludf.DUMMYFUNCTION("""COMPUTED_VALUE"""),"")</f>
        <v/>
      </c>
      <c r="N1386" s="4" t="str">
        <f>IFERROR(__xludf.DUMMYFUNCTION("""COMPUTED_VALUE"""),"")</f>
        <v/>
      </c>
      <c r="O1386" s="4" t="str">
        <f>IFERROR(__xludf.DUMMYFUNCTION("""COMPUTED_VALUE"""),"")</f>
        <v/>
      </c>
      <c r="P1386" s="4" t="str">
        <f>IFERROR(__xludf.DUMMYFUNCTION("""COMPUTED_VALUE"""),"")</f>
        <v/>
      </c>
      <c r="Q1386" s="4" t="str">
        <f>IFERROR(__xludf.DUMMYFUNCTION("""COMPUTED_VALUE"""),"")</f>
        <v/>
      </c>
      <c r="R1386" s="4" t="str">
        <f>IFERROR(__xludf.DUMMYFUNCTION("""COMPUTED_VALUE"""),"")</f>
        <v/>
      </c>
      <c r="S1386" s="4" t="str">
        <f>IFERROR(__xludf.DUMMYFUNCTION("""COMPUTED_VALUE"""),"")</f>
        <v/>
      </c>
      <c r="T1386" s="4" t="str">
        <f>IFERROR(__xludf.DUMMYFUNCTION("""COMPUTED_VALUE"""),"")</f>
        <v/>
      </c>
      <c r="U1386" s="4" t="str">
        <f>IFERROR(__xludf.DUMMYFUNCTION("""COMPUTED_VALUE"""),"")</f>
        <v/>
      </c>
      <c r="V1386" s="4" t="str">
        <f>IFERROR(__xludf.DUMMYFUNCTION("""COMPUTED_VALUE"""),"")</f>
        <v/>
      </c>
      <c r="W1386" s="4" t="str">
        <f>IFERROR(__xludf.DUMMYFUNCTION("""COMPUTED_VALUE"""),"")</f>
        <v/>
      </c>
      <c r="X1386" s="4" t="str">
        <f>IFERROR(__xludf.DUMMYFUNCTION("""COMPUTED_VALUE"""),"")</f>
        <v/>
      </c>
      <c r="Y1386" s="4" t="str">
        <f>IFERROR(__xludf.DUMMYFUNCTION("""COMPUTED_VALUE"""),"")</f>
        <v/>
      </c>
    </row>
    <row r="1387">
      <c r="A1387" s="4" t="str">
        <f>IFERROR(__xludf.DUMMYFUNCTION("""COMPUTED_VALUE"""),"1918 - Channel")</f>
        <v>1918 - Channel</v>
      </c>
      <c r="B1387" s="4" t="str">
        <f>IFERROR(__xludf.DUMMYFUNCTION("""COMPUTED_VALUE"""),"")</f>
        <v/>
      </c>
      <c r="C1387" s="4" t="str">
        <f>IFERROR(__xludf.DUMMYFUNCTION("""COMPUTED_VALUE"""),"")</f>
        <v/>
      </c>
      <c r="D1387" s="4" t="str">
        <f>IFERROR(__xludf.DUMMYFUNCTION("""COMPUTED_VALUE"""),"")</f>
        <v/>
      </c>
      <c r="E1387" s="4" t="str">
        <f>IFERROR(__xludf.DUMMYFUNCTION("""COMPUTED_VALUE"""),"")</f>
        <v/>
      </c>
      <c r="F1387" s="4" t="str">
        <f>IFERROR(__xludf.DUMMYFUNCTION("""COMPUTED_VALUE"""),"")</f>
        <v/>
      </c>
      <c r="G1387" s="4" t="str">
        <f>IFERROR(__xludf.DUMMYFUNCTION("""COMPUTED_VALUE"""),"")</f>
        <v/>
      </c>
      <c r="H1387" s="4" t="str">
        <f>IFERROR(__xludf.DUMMYFUNCTION("""COMPUTED_VALUE"""),"")</f>
        <v/>
      </c>
      <c r="I1387" s="4" t="str">
        <f>IFERROR(__xludf.DUMMYFUNCTION("""COMPUTED_VALUE"""),"")</f>
        <v/>
      </c>
      <c r="J1387" s="4" t="str">
        <f>IFERROR(__xludf.DUMMYFUNCTION("""COMPUTED_VALUE"""),"")</f>
        <v/>
      </c>
      <c r="K1387" s="4" t="str">
        <f>IFERROR(__xludf.DUMMYFUNCTION("""COMPUTED_VALUE"""),"")</f>
        <v/>
      </c>
      <c r="L1387" s="4" t="str">
        <f>IFERROR(__xludf.DUMMYFUNCTION("""COMPUTED_VALUE"""),"")</f>
        <v/>
      </c>
      <c r="M1387" s="4" t="str">
        <f>IFERROR(__xludf.DUMMYFUNCTION("""COMPUTED_VALUE"""),"")</f>
        <v/>
      </c>
      <c r="N1387" s="4" t="str">
        <f>IFERROR(__xludf.DUMMYFUNCTION("""COMPUTED_VALUE"""),"")</f>
        <v/>
      </c>
      <c r="O1387" s="4" t="str">
        <f>IFERROR(__xludf.DUMMYFUNCTION("""COMPUTED_VALUE"""),"")</f>
        <v/>
      </c>
      <c r="P1387" s="4" t="str">
        <f>IFERROR(__xludf.DUMMYFUNCTION("""COMPUTED_VALUE"""),"")</f>
        <v/>
      </c>
      <c r="Q1387" s="4" t="str">
        <f>IFERROR(__xludf.DUMMYFUNCTION("""COMPUTED_VALUE"""),"")</f>
        <v/>
      </c>
      <c r="R1387" s="4" t="str">
        <f>IFERROR(__xludf.DUMMYFUNCTION("""COMPUTED_VALUE"""),"")</f>
        <v/>
      </c>
      <c r="S1387" s="4" t="str">
        <f>IFERROR(__xludf.DUMMYFUNCTION("""COMPUTED_VALUE"""),"")</f>
        <v/>
      </c>
      <c r="T1387" s="4" t="str">
        <f>IFERROR(__xludf.DUMMYFUNCTION("""COMPUTED_VALUE"""),"")</f>
        <v/>
      </c>
      <c r="U1387" s="4" t="str">
        <f>IFERROR(__xludf.DUMMYFUNCTION("""COMPUTED_VALUE"""),"")</f>
        <v/>
      </c>
      <c r="V1387" s="4" t="str">
        <f>IFERROR(__xludf.DUMMYFUNCTION("""COMPUTED_VALUE"""),"")</f>
        <v/>
      </c>
      <c r="W1387" s="4" t="str">
        <f>IFERROR(__xludf.DUMMYFUNCTION("""COMPUTED_VALUE"""),"")</f>
        <v/>
      </c>
      <c r="X1387" s="4" t="str">
        <f>IFERROR(__xludf.DUMMYFUNCTION("""COMPUTED_VALUE"""),"")</f>
        <v/>
      </c>
      <c r="Y1387" s="4" t="str">
        <f>IFERROR(__xludf.DUMMYFUNCTION("""COMPUTED_VALUE"""),"")</f>
        <v/>
      </c>
    </row>
    <row r="1388">
      <c r="A1388" s="4" t="str">
        <f>IFERROR(__xludf.DUMMYFUNCTION("""COMPUTED_VALUE"""),"1919 - Channel")</f>
        <v>1919 - Channel</v>
      </c>
      <c r="B1388" s="4" t="str">
        <f>IFERROR(__xludf.DUMMYFUNCTION("""COMPUTED_VALUE"""),"")</f>
        <v/>
      </c>
      <c r="C1388" s="4" t="str">
        <f>IFERROR(__xludf.DUMMYFUNCTION("""COMPUTED_VALUE"""),"")</f>
        <v/>
      </c>
      <c r="D1388" s="4" t="str">
        <f>IFERROR(__xludf.DUMMYFUNCTION("""COMPUTED_VALUE"""),"")</f>
        <v/>
      </c>
      <c r="E1388" s="4" t="str">
        <f>IFERROR(__xludf.DUMMYFUNCTION("""COMPUTED_VALUE"""),"")</f>
        <v/>
      </c>
      <c r="F1388" s="4" t="str">
        <f>IFERROR(__xludf.DUMMYFUNCTION("""COMPUTED_VALUE"""),"")</f>
        <v/>
      </c>
      <c r="G1388" s="4" t="str">
        <f>IFERROR(__xludf.DUMMYFUNCTION("""COMPUTED_VALUE"""),"")</f>
        <v/>
      </c>
      <c r="H1388" s="4" t="str">
        <f>IFERROR(__xludf.DUMMYFUNCTION("""COMPUTED_VALUE"""),"")</f>
        <v/>
      </c>
      <c r="I1388" s="4" t="str">
        <f>IFERROR(__xludf.DUMMYFUNCTION("""COMPUTED_VALUE"""),"")</f>
        <v/>
      </c>
      <c r="J1388" s="4" t="str">
        <f>IFERROR(__xludf.DUMMYFUNCTION("""COMPUTED_VALUE"""),"")</f>
        <v/>
      </c>
      <c r="K1388" s="4" t="str">
        <f>IFERROR(__xludf.DUMMYFUNCTION("""COMPUTED_VALUE"""),"")</f>
        <v/>
      </c>
      <c r="L1388" s="4" t="str">
        <f>IFERROR(__xludf.DUMMYFUNCTION("""COMPUTED_VALUE"""),"")</f>
        <v/>
      </c>
      <c r="M1388" s="4" t="str">
        <f>IFERROR(__xludf.DUMMYFUNCTION("""COMPUTED_VALUE"""),"")</f>
        <v/>
      </c>
      <c r="N1388" s="4" t="str">
        <f>IFERROR(__xludf.DUMMYFUNCTION("""COMPUTED_VALUE"""),"")</f>
        <v/>
      </c>
      <c r="O1388" s="4" t="str">
        <f>IFERROR(__xludf.DUMMYFUNCTION("""COMPUTED_VALUE"""),"")</f>
        <v/>
      </c>
      <c r="P1388" s="4" t="str">
        <f>IFERROR(__xludf.DUMMYFUNCTION("""COMPUTED_VALUE"""),"")</f>
        <v/>
      </c>
      <c r="Q1388" s="4" t="str">
        <f>IFERROR(__xludf.DUMMYFUNCTION("""COMPUTED_VALUE"""),"")</f>
        <v/>
      </c>
      <c r="R1388" s="4" t="str">
        <f>IFERROR(__xludf.DUMMYFUNCTION("""COMPUTED_VALUE"""),"")</f>
        <v/>
      </c>
      <c r="S1388" s="4" t="str">
        <f>IFERROR(__xludf.DUMMYFUNCTION("""COMPUTED_VALUE"""),"")</f>
        <v/>
      </c>
      <c r="T1388" s="4" t="str">
        <f>IFERROR(__xludf.DUMMYFUNCTION("""COMPUTED_VALUE"""),"")</f>
        <v/>
      </c>
      <c r="U1388" s="4" t="str">
        <f>IFERROR(__xludf.DUMMYFUNCTION("""COMPUTED_VALUE"""),"")</f>
        <v/>
      </c>
      <c r="V1388" s="4" t="str">
        <f>IFERROR(__xludf.DUMMYFUNCTION("""COMPUTED_VALUE"""),"")</f>
        <v/>
      </c>
      <c r="W1388" s="4" t="str">
        <f>IFERROR(__xludf.DUMMYFUNCTION("""COMPUTED_VALUE"""),"")</f>
        <v/>
      </c>
      <c r="X1388" s="4" t="str">
        <f>IFERROR(__xludf.DUMMYFUNCTION("""COMPUTED_VALUE"""),"")</f>
        <v/>
      </c>
      <c r="Y1388" s="4" t="str">
        <f>IFERROR(__xludf.DUMMYFUNCTION("""COMPUTED_VALUE"""),"")</f>
        <v/>
      </c>
    </row>
    <row r="1389">
      <c r="A1389" s="4" t="str">
        <f>IFERROR(__xludf.DUMMYFUNCTION("""COMPUTED_VALUE"""),"1920 - Channel")</f>
        <v>1920 - Channel</v>
      </c>
      <c r="B1389" s="4" t="str">
        <f>IFERROR(__xludf.DUMMYFUNCTION("""COMPUTED_VALUE"""),"")</f>
        <v/>
      </c>
      <c r="C1389" s="4" t="str">
        <f>IFERROR(__xludf.DUMMYFUNCTION("""COMPUTED_VALUE"""),"")</f>
        <v/>
      </c>
      <c r="D1389" s="4" t="str">
        <f>IFERROR(__xludf.DUMMYFUNCTION("""COMPUTED_VALUE"""),"")</f>
        <v/>
      </c>
      <c r="E1389" s="4" t="str">
        <f>IFERROR(__xludf.DUMMYFUNCTION("""COMPUTED_VALUE"""),"")</f>
        <v/>
      </c>
      <c r="F1389" s="4" t="str">
        <f>IFERROR(__xludf.DUMMYFUNCTION("""COMPUTED_VALUE"""),"")</f>
        <v/>
      </c>
      <c r="G1389" s="4" t="str">
        <f>IFERROR(__xludf.DUMMYFUNCTION("""COMPUTED_VALUE"""),"")</f>
        <v/>
      </c>
      <c r="H1389" s="4" t="str">
        <f>IFERROR(__xludf.DUMMYFUNCTION("""COMPUTED_VALUE"""),"")</f>
        <v/>
      </c>
      <c r="I1389" s="4" t="str">
        <f>IFERROR(__xludf.DUMMYFUNCTION("""COMPUTED_VALUE"""),"")</f>
        <v/>
      </c>
      <c r="J1389" s="4" t="str">
        <f>IFERROR(__xludf.DUMMYFUNCTION("""COMPUTED_VALUE"""),"")</f>
        <v/>
      </c>
      <c r="K1389" s="4" t="str">
        <f>IFERROR(__xludf.DUMMYFUNCTION("""COMPUTED_VALUE"""),"")</f>
        <v/>
      </c>
      <c r="L1389" s="4" t="str">
        <f>IFERROR(__xludf.DUMMYFUNCTION("""COMPUTED_VALUE"""),"")</f>
        <v/>
      </c>
      <c r="M1389" s="4" t="str">
        <f>IFERROR(__xludf.DUMMYFUNCTION("""COMPUTED_VALUE"""),"")</f>
        <v/>
      </c>
      <c r="N1389" s="4" t="str">
        <f>IFERROR(__xludf.DUMMYFUNCTION("""COMPUTED_VALUE"""),"")</f>
        <v/>
      </c>
      <c r="O1389" s="4" t="str">
        <f>IFERROR(__xludf.DUMMYFUNCTION("""COMPUTED_VALUE"""),"")</f>
        <v/>
      </c>
      <c r="P1389" s="4" t="str">
        <f>IFERROR(__xludf.DUMMYFUNCTION("""COMPUTED_VALUE"""),"")</f>
        <v/>
      </c>
      <c r="Q1389" s="4" t="str">
        <f>IFERROR(__xludf.DUMMYFUNCTION("""COMPUTED_VALUE"""),"")</f>
        <v/>
      </c>
      <c r="R1389" s="4" t="str">
        <f>IFERROR(__xludf.DUMMYFUNCTION("""COMPUTED_VALUE"""),"")</f>
        <v/>
      </c>
      <c r="S1389" s="4" t="str">
        <f>IFERROR(__xludf.DUMMYFUNCTION("""COMPUTED_VALUE"""),"")</f>
        <v/>
      </c>
      <c r="T1389" s="4" t="str">
        <f>IFERROR(__xludf.DUMMYFUNCTION("""COMPUTED_VALUE"""),"")</f>
        <v/>
      </c>
      <c r="U1389" s="4" t="str">
        <f>IFERROR(__xludf.DUMMYFUNCTION("""COMPUTED_VALUE"""),"")</f>
        <v/>
      </c>
      <c r="V1389" s="4" t="str">
        <f>IFERROR(__xludf.DUMMYFUNCTION("""COMPUTED_VALUE"""),"")</f>
        <v/>
      </c>
      <c r="W1389" s="4" t="str">
        <f>IFERROR(__xludf.DUMMYFUNCTION("""COMPUTED_VALUE"""),"")</f>
        <v/>
      </c>
      <c r="X1389" s="4" t="str">
        <f>IFERROR(__xludf.DUMMYFUNCTION("""COMPUTED_VALUE"""),"")</f>
        <v/>
      </c>
      <c r="Y1389" s="4" t="str">
        <f>IFERROR(__xludf.DUMMYFUNCTION("""COMPUTED_VALUE"""),"")</f>
        <v/>
      </c>
    </row>
    <row r="1390">
      <c r="A1390" s="4" t="str">
        <f>IFERROR(__xludf.DUMMYFUNCTION("""COMPUTED_VALUE"""),"1921 - Channel")</f>
        <v>1921 - Channel</v>
      </c>
      <c r="B1390" s="4" t="str">
        <f>IFERROR(__xludf.DUMMYFUNCTION("""COMPUTED_VALUE"""),"")</f>
        <v/>
      </c>
      <c r="C1390" s="4" t="str">
        <f>IFERROR(__xludf.DUMMYFUNCTION("""COMPUTED_VALUE"""),"")</f>
        <v/>
      </c>
      <c r="D1390" s="4" t="str">
        <f>IFERROR(__xludf.DUMMYFUNCTION("""COMPUTED_VALUE"""),"")</f>
        <v/>
      </c>
      <c r="E1390" s="4" t="str">
        <f>IFERROR(__xludf.DUMMYFUNCTION("""COMPUTED_VALUE"""),"")</f>
        <v/>
      </c>
      <c r="F1390" s="4" t="str">
        <f>IFERROR(__xludf.DUMMYFUNCTION("""COMPUTED_VALUE"""),"")</f>
        <v/>
      </c>
      <c r="G1390" s="4" t="str">
        <f>IFERROR(__xludf.DUMMYFUNCTION("""COMPUTED_VALUE"""),"")</f>
        <v/>
      </c>
      <c r="H1390" s="4" t="str">
        <f>IFERROR(__xludf.DUMMYFUNCTION("""COMPUTED_VALUE"""),"")</f>
        <v/>
      </c>
      <c r="I1390" s="4" t="str">
        <f>IFERROR(__xludf.DUMMYFUNCTION("""COMPUTED_VALUE"""),"")</f>
        <v/>
      </c>
      <c r="J1390" s="4" t="str">
        <f>IFERROR(__xludf.DUMMYFUNCTION("""COMPUTED_VALUE"""),"")</f>
        <v/>
      </c>
      <c r="K1390" s="4" t="str">
        <f>IFERROR(__xludf.DUMMYFUNCTION("""COMPUTED_VALUE"""),"")</f>
        <v/>
      </c>
      <c r="L1390" s="4" t="str">
        <f>IFERROR(__xludf.DUMMYFUNCTION("""COMPUTED_VALUE"""),"")</f>
        <v/>
      </c>
      <c r="M1390" s="4" t="str">
        <f>IFERROR(__xludf.DUMMYFUNCTION("""COMPUTED_VALUE"""),"")</f>
        <v/>
      </c>
      <c r="N1390" s="4" t="str">
        <f>IFERROR(__xludf.DUMMYFUNCTION("""COMPUTED_VALUE"""),"")</f>
        <v/>
      </c>
      <c r="O1390" s="4" t="str">
        <f>IFERROR(__xludf.DUMMYFUNCTION("""COMPUTED_VALUE"""),"")</f>
        <v/>
      </c>
      <c r="P1390" s="4" t="str">
        <f>IFERROR(__xludf.DUMMYFUNCTION("""COMPUTED_VALUE"""),"")</f>
        <v/>
      </c>
      <c r="Q1390" s="4" t="str">
        <f>IFERROR(__xludf.DUMMYFUNCTION("""COMPUTED_VALUE"""),"")</f>
        <v/>
      </c>
      <c r="R1390" s="4" t="str">
        <f>IFERROR(__xludf.DUMMYFUNCTION("""COMPUTED_VALUE"""),"")</f>
        <v/>
      </c>
      <c r="S1390" s="4" t="str">
        <f>IFERROR(__xludf.DUMMYFUNCTION("""COMPUTED_VALUE"""),"")</f>
        <v/>
      </c>
      <c r="T1390" s="4" t="str">
        <f>IFERROR(__xludf.DUMMYFUNCTION("""COMPUTED_VALUE"""),"")</f>
        <v/>
      </c>
      <c r="U1390" s="4" t="str">
        <f>IFERROR(__xludf.DUMMYFUNCTION("""COMPUTED_VALUE"""),"")</f>
        <v/>
      </c>
      <c r="V1390" s="4" t="str">
        <f>IFERROR(__xludf.DUMMYFUNCTION("""COMPUTED_VALUE"""),"")</f>
        <v/>
      </c>
      <c r="W1390" s="4" t="str">
        <f>IFERROR(__xludf.DUMMYFUNCTION("""COMPUTED_VALUE"""),"")</f>
        <v/>
      </c>
      <c r="X1390" s="4" t="str">
        <f>IFERROR(__xludf.DUMMYFUNCTION("""COMPUTED_VALUE"""),"")</f>
        <v/>
      </c>
      <c r="Y1390" s="4" t="str">
        <f>IFERROR(__xludf.DUMMYFUNCTION("""COMPUTED_VALUE"""),"")</f>
        <v/>
      </c>
    </row>
    <row r="1391">
      <c r="A1391" s="4" t="str">
        <f>IFERROR(__xludf.DUMMYFUNCTION("""COMPUTED_VALUE"""),"1922 - Channel")</f>
        <v>1922 - Channel</v>
      </c>
      <c r="B1391" s="4" t="str">
        <f>IFERROR(__xludf.DUMMYFUNCTION("""COMPUTED_VALUE"""),"")</f>
        <v/>
      </c>
      <c r="C1391" s="4" t="str">
        <f>IFERROR(__xludf.DUMMYFUNCTION("""COMPUTED_VALUE"""),"")</f>
        <v/>
      </c>
      <c r="D1391" s="4" t="str">
        <f>IFERROR(__xludf.DUMMYFUNCTION("""COMPUTED_VALUE"""),"")</f>
        <v/>
      </c>
      <c r="E1391" s="4" t="str">
        <f>IFERROR(__xludf.DUMMYFUNCTION("""COMPUTED_VALUE"""),"")</f>
        <v/>
      </c>
      <c r="F1391" s="4" t="str">
        <f>IFERROR(__xludf.DUMMYFUNCTION("""COMPUTED_VALUE"""),"")</f>
        <v/>
      </c>
      <c r="G1391" s="4" t="str">
        <f>IFERROR(__xludf.DUMMYFUNCTION("""COMPUTED_VALUE"""),"")</f>
        <v/>
      </c>
      <c r="H1391" s="4" t="str">
        <f>IFERROR(__xludf.DUMMYFUNCTION("""COMPUTED_VALUE"""),"")</f>
        <v/>
      </c>
      <c r="I1391" s="4" t="str">
        <f>IFERROR(__xludf.DUMMYFUNCTION("""COMPUTED_VALUE"""),"")</f>
        <v/>
      </c>
      <c r="J1391" s="4" t="str">
        <f>IFERROR(__xludf.DUMMYFUNCTION("""COMPUTED_VALUE"""),"")</f>
        <v/>
      </c>
      <c r="K1391" s="4" t="str">
        <f>IFERROR(__xludf.DUMMYFUNCTION("""COMPUTED_VALUE"""),"")</f>
        <v/>
      </c>
      <c r="L1391" s="4" t="str">
        <f>IFERROR(__xludf.DUMMYFUNCTION("""COMPUTED_VALUE"""),"")</f>
        <v/>
      </c>
      <c r="M1391" s="4" t="str">
        <f>IFERROR(__xludf.DUMMYFUNCTION("""COMPUTED_VALUE"""),"")</f>
        <v/>
      </c>
      <c r="N1391" s="4" t="str">
        <f>IFERROR(__xludf.DUMMYFUNCTION("""COMPUTED_VALUE"""),"")</f>
        <v/>
      </c>
      <c r="O1391" s="4" t="str">
        <f>IFERROR(__xludf.DUMMYFUNCTION("""COMPUTED_VALUE"""),"")</f>
        <v/>
      </c>
      <c r="P1391" s="4" t="str">
        <f>IFERROR(__xludf.DUMMYFUNCTION("""COMPUTED_VALUE"""),"")</f>
        <v/>
      </c>
      <c r="Q1391" s="4" t="str">
        <f>IFERROR(__xludf.DUMMYFUNCTION("""COMPUTED_VALUE"""),"")</f>
        <v/>
      </c>
      <c r="R1391" s="4" t="str">
        <f>IFERROR(__xludf.DUMMYFUNCTION("""COMPUTED_VALUE"""),"")</f>
        <v/>
      </c>
      <c r="S1391" s="4" t="str">
        <f>IFERROR(__xludf.DUMMYFUNCTION("""COMPUTED_VALUE"""),"")</f>
        <v/>
      </c>
      <c r="T1391" s="4" t="str">
        <f>IFERROR(__xludf.DUMMYFUNCTION("""COMPUTED_VALUE"""),"")</f>
        <v/>
      </c>
      <c r="U1391" s="4" t="str">
        <f>IFERROR(__xludf.DUMMYFUNCTION("""COMPUTED_VALUE"""),"")</f>
        <v/>
      </c>
      <c r="V1391" s="4" t="str">
        <f>IFERROR(__xludf.DUMMYFUNCTION("""COMPUTED_VALUE"""),"")</f>
        <v/>
      </c>
      <c r="W1391" s="4" t="str">
        <f>IFERROR(__xludf.DUMMYFUNCTION("""COMPUTED_VALUE"""),"")</f>
        <v/>
      </c>
      <c r="X1391" s="4" t="str">
        <f>IFERROR(__xludf.DUMMYFUNCTION("""COMPUTED_VALUE"""),"")</f>
        <v/>
      </c>
      <c r="Y1391" s="4" t="str">
        <f>IFERROR(__xludf.DUMMYFUNCTION("""COMPUTED_VALUE"""),"")</f>
        <v/>
      </c>
    </row>
    <row r="1392">
      <c r="A1392" s="4" t="str">
        <f>IFERROR(__xludf.DUMMYFUNCTION("""COMPUTED_VALUE"""),"1923 - Channel")</f>
        <v>1923 - Channel</v>
      </c>
      <c r="B1392" s="4" t="str">
        <f>IFERROR(__xludf.DUMMYFUNCTION("""COMPUTED_VALUE"""),"")</f>
        <v/>
      </c>
      <c r="C1392" s="4" t="str">
        <f>IFERROR(__xludf.DUMMYFUNCTION("""COMPUTED_VALUE"""),"")</f>
        <v/>
      </c>
      <c r="D1392" s="4" t="str">
        <f>IFERROR(__xludf.DUMMYFUNCTION("""COMPUTED_VALUE"""),"")</f>
        <v/>
      </c>
      <c r="E1392" s="4" t="str">
        <f>IFERROR(__xludf.DUMMYFUNCTION("""COMPUTED_VALUE"""),"")</f>
        <v/>
      </c>
      <c r="F1392" s="4" t="str">
        <f>IFERROR(__xludf.DUMMYFUNCTION("""COMPUTED_VALUE"""),"")</f>
        <v/>
      </c>
      <c r="G1392" s="4" t="str">
        <f>IFERROR(__xludf.DUMMYFUNCTION("""COMPUTED_VALUE"""),"")</f>
        <v/>
      </c>
      <c r="H1392" s="4" t="str">
        <f>IFERROR(__xludf.DUMMYFUNCTION("""COMPUTED_VALUE"""),"")</f>
        <v/>
      </c>
      <c r="I1392" s="4" t="str">
        <f>IFERROR(__xludf.DUMMYFUNCTION("""COMPUTED_VALUE"""),"")</f>
        <v/>
      </c>
      <c r="J1392" s="4" t="str">
        <f>IFERROR(__xludf.DUMMYFUNCTION("""COMPUTED_VALUE"""),"")</f>
        <v/>
      </c>
      <c r="K1392" s="4" t="str">
        <f>IFERROR(__xludf.DUMMYFUNCTION("""COMPUTED_VALUE"""),"")</f>
        <v/>
      </c>
      <c r="L1392" s="4" t="str">
        <f>IFERROR(__xludf.DUMMYFUNCTION("""COMPUTED_VALUE"""),"")</f>
        <v/>
      </c>
      <c r="M1392" s="4" t="str">
        <f>IFERROR(__xludf.DUMMYFUNCTION("""COMPUTED_VALUE"""),"")</f>
        <v/>
      </c>
      <c r="N1392" s="4" t="str">
        <f>IFERROR(__xludf.DUMMYFUNCTION("""COMPUTED_VALUE"""),"")</f>
        <v/>
      </c>
      <c r="O1392" s="4" t="str">
        <f>IFERROR(__xludf.DUMMYFUNCTION("""COMPUTED_VALUE"""),"")</f>
        <v/>
      </c>
      <c r="P1392" s="4" t="str">
        <f>IFERROR(__xludf.DUMMYFUNCTION("""COMPUTED_VALUE"""),"")</f>
        <v/>
      </c>
      <c r="Q1392" s="4" t="str">
        <f>IFERROR(__xludf.DUMMYFUNCTION("""COMPUTED_VALUE"""),"")</f>
        <v/>
      </c>
      <c r="R1392" s="4" t="str">
        <f>IFERROR(__xludf.DUMMYFUNCTION("""COMPUTED_VALUE"""),"")</f>
        <v/>
      </c>
      <c r="S1392" s="4" t="str">
        <f>IFERROR(__xludf.DUMMYFUNCTION("""COMPUTED_VALUE"""),"")</f>
        <v/>
      </c>
      <c r="T1392" s="4" t="str">
        <f>IFERROR(__xludf.DUMMYFUNCTION("""COMPUTED_VALUE"""),"")</f>
        <v/>
      </c>
      <c r="U1392" s="4" t="str">
        <f>IFERROR(__xludf.DUMMYFUNCTION("""COMPUTED_VALUE"""),"")</f>
        <v/>
      </c>
      <c r="V1392" s="4" t="str">
        <f>IFERROR(__xludf.DUMMYFUNCTION("""COMPUTED_VALUE"""),"")</f>
        <v/>
      </c>
      <c r="W1392" s="4" t="str">
        <f>IFERROR(__xludf.DUMMYFUNCTION("""COMPUTED_VALUE"""),"")</f>
        <v/>
      </c>
      <c r="X1392" s="4" t="str">
        <f>IFERROR(__xludf.DUMMYFUNCTION("""COMPUTED_VALUE"""),"")</f>
        <v/>
      </c>
      <c r="Y1392" s="4" t="str">
        <f>IFERROR(__xludf.DUMMYFUNCTION("""COMPUTED_VALUE"""),"")</f>
        <v/>
      </c>
    </row>
    <row r="1393">
      <c r="A1393" s="4" t="str">
        <f>IFERROR(__xludf.DUMMYFUNCTION("""COMPUTED_VALUE"""),"1924 - Channel")</f>
        <v>1924 - Channel</v>
      </c>
      <c r="B1393" s="4" t="str">
        <f>IFERROR(__xludf.DUMMYFUNCTION("""COMPUTED_VALUE"""),"")</f>
        <v/>
      </c>
      <c r="C1393" s="4" t="str">
        <f>IFERROR(__xludf.DUMMYFUNCTION("""COMPUTED_VALUE"""),"")</f>
        <v/>
      </c>
      <c r="D1393" s="4" t="str">
        <f>IFERROR(__xludf.DUMMYFUNCTION("""COMPUTED_VALUE"""),"")</f>
        <v/>
      </c>
      <c r="E1393" s="4" t="str">
        <f>IFERROR(__xludf.DUMMYFUNCTION("""COMPUTED_VALUE"""),"")</f>
        <v/>
      </c>
      <c r="F1393" s="4" t="str">
        <f>IFERROR(__xludf.DUMMYFUNCTION("""COMPUTED_VALUE"""),"")</f>
        <v/>
      </c>
      <c r="G1393" s="4" t="str">
        <f>IFERROR(__xludf.DUMMYFUNCTION("""COMPUTED_VALUE"""),"")</f>
        <v/>
      </c>
      <c r="H1393" s="4" t="str">
        <f>IFERROR(__xludf.DUMMYFUNCTION("""COMPUTED_VALUE"""),"")</f>
        <v/>
      </c>
      <c r="I1393" s="4" t="str">
        <f>IFERROR(__xludf.DUMMYFUNCTION("""COMPUTED_VALUE"""),"")</f>
        <v/>
      </c>
      <c r="J1393" s="4" t="str">
        <f>IFERROR(__xludf.DUMMYFUNCTION("""COMPUTED_VALUE"""),"")</f>
        <v/>
      </c>
      <c r="K1393" s="4" t="str">
        <f>IFERROR(__xludf.DUMMYFUNCTION("""COMPUTED_VALUE"""),"")</f>
        <v/>
      </c>
      <c r="L1393" s="4" t="str">
        <f>IFERROR(__xludf.DUMMYFUNCTION("""COMPUTED_VALUE"""),"")</f>
        <v/>
      </c>
      <c r="M1393" s="4" t="str">
        <f>IFERROR(__xludf.DUMMYFUNCTION("""COMPUTED_VALUE"""),"")</f>
        <v/>
      </c>
      <c r="N1393" s="4" t="str">
        <f>IFERROR(__xludf.DUMMYFUNCTION("""COMPUTED_VALUE"""),"")</f>
        <v/>
      </c>
      <c r="O1393" s="4" t="str">
        <f>IFERROR(__xludf.DUMMYFUNCTION("""COMPUTED_VALUE"""),"")</f>
        <v/>
      </c>
      <c r="P1393" s="4" t="str">
        <f>IFERROR(__xludf.DUMMYFUNCTION("""COMPUTED_VALUE"""),"")</f>
        <v/>
      </c>
      <c r="Q1393" s="4" t="str">
        <f>IFERROR(__xludf.DUMMYFUNCTION("""COMPUTED_VALUE"""),"")</f>
        <v/>
      </c>
      <c r="R1393" s="4" t="str">
        <f>IFERROR(__xludf.DUMMYFUNCTION("""COMPUTED_VALUE"""),"")</f>
        <v/>
      </c>
      <c r="S1393" s="4" t="str">
        <f>IFERROR(__xludf.DUMMYFUNCTION("""COMPUTED_VALUE"""),"")</f>
        <v/>
      </c>
      <c r="T1393" s="4" t="str">
        <f>IFERROR(__xludf.DUMMYFUNCTION("""COMPUTED_VALUE"""),"")</f>
        <v/>
      </c>
      <c r="U1393" s="4" t="str">
        <f>IFERROR(__xludf.DUMMYFUNCTION("""COMPUTED_VALUE"""),"")</f>
        <v/>
      </c>
      <c r="V1393" s="4" t="str">
        <f>IFERROR(__xludf.DUMMYFUNCTION("""COMPUTED_VALUE"""),"")</f>
        <v/>
      </c>
      <c r="W1393" s="4" t="str">
        <f>IFERROR(__xludf.DUMMYFUNCTION("""COMPUTED_VALUE"""),"")</f>
        <v/>
      </c>
      <c r="X1393" s="4" t="str">
        <f>IFERROR(__xludf.DUMMYFUNCTION("""COMPUTED_VALUE"""),"")</f>
        <v/>
      </c>
      <c r="Y1393" s="4" t="str">
        <f>IFERROR(__xludf.DUMMYFUNCTION("""COMPUTED_VALUE"""),"")</f>
        <v/>
      </c>
    </row>
    <row r="1394">
      <c r="A1394" s="4" t="str">
        <f>IFERROR(__xludf.DUMMYFUNCTION("""COMPUTED_VALUE"""),"1925 - Channel")</f>
        <v>1925 - Channel</v>
      </c>
      <c r="B1394" s="4" t="str">
        <f>IFERROR(__xludf.DUMMYFUNCTION("""COMPUTED_VALUE"""),"")</f>
        <v/>
      </c>
      <c r="C1394" s="4" t="str">
        <f>IFERROR(__xludf.DUMMYFUNCTION("""COMPUTED_VALUE"""),"")</f>
        <v/>
      </c>
      <c r="D1394" s="4" t="str">
        <f>IFERROR(__xludf.DUMMYFUNCTION("""COMPUTED_VALUE"""),"")</f>
        <v/>
      </c>
      <c r="E1394" s="4" t="str">
        <f>IFERROR(__xludf.DUMMYFUNCTION("""COMPUTED_VALUE"""),"")</f>
        <v/>
      </c>
      <c r="F1394" s="4" t="str">
        <f>IFERROR(__xludf.DUMMYFUNCTION("""COMPUTED_VALUE"""),"")</f>
        <v/>
      </c>
      <c r="G1394" s="4" t="str">
        <f>IFERROR(__xludf.DUMMYFUNCTION("""COMPUTED_VALUE"""),"")</f>
        <v/>
      </c>
      <c r="H1394" s="4" t="str">
        <f>IFERROR(__xludf.DUMMYFUNCTION("""COMPUTED_VALUE"""),"")</f>
        <v/>
      </c>
      <c r="I1394" s="4" t="str">
        <f>IFERROR(__xludf.DUMMYFUNCTION("""COMPUTED_VALUE"""),"")</f>
        <v/>
      </c>
      <c r="J1394" s="4" t="str">
        <f>IFERROR(__xludf.DUMMYFUNCTION("""COMPUTED_VALUE"""),"")</f>
        <v/>
      </c>
      <c r="K1394" s="4" t="str">
        <f>IFERROR(__xludf.DUMMYFUNCTION("""COMPUTED_VALUE"""),"")</f>
        <v/>
      </c>
      <c r="L1394" s="4" t="str">
        <f>IFERROR(__xludf.DUMMYFUNCTION("""COMPUTED_VALUE"""),"")</f>
        <v/>
      </c>
      <c r="M1394" s="4" t="str">
        <f>IFERROR(__xludf.DUMMYFUNCTION("""COMPUTED_VALUE"""),"")</f>
        <v/>
      </c>
      <c r="N1394" s="4" t="str">
        <f>IFERROR(__xludf.DUMMYFUNCTION("""COMPUTED_VALUE"""),"")</f>
        <v/>
      </c>
      <c r="O1394" s="4" t="str">
        <f>IFERROR(__xludf.DUMMYFUNCTION("""COMPUTED_VALUE"""),"")</f>
        <v/>
      </c>
      <c r="P1394" s="4" t="str">
        <f>IFERROR(__xludf.DUMMYFUNCTION("""COMPUTED_VALUE"""),"")</f>
        <v/>
      </c>
      <c r="Q1394" s="4" t="str">
        <f>IFERROR(__xludf.DUMMYFUNCTION("""COMPUTED_VALUE"""),"")</f>
        <v/>
      </c>
      <c r="R1394" s="4" t="str">
        <f>IFERROR(__xludf.DUMMYFUNCTION("""COMPUTED_VALUE"""),"")</f>
        <v/>
      </c>
      <c r="S1394" s="4" t="str">
        <f>IFERROR(__xludf.DUMMYFUNCTION("""COMPUTED_VALUE"""),"")</f>
        <v/>
      </c>
      <c r="T1394" s="4" t="str">
        <f>IFERROR(__xludf.DUMMYFUNCTION("""COMPUTED_VALUE"""),"")</f>
        <v/>
      </c>
      <c r="U1394" s="4" t="str">
        <f>IFERROR(__xludf.DUMMYFUNCTION("""COMPUTED_VALUE"""),"")</f>
        <v/>
      </c>
      <c r="V1394" s="4" t="str">
        <f>IFERROR(__xludf.DUMMYFUNCTION("""COMPUTED_VALUE"""),"")</f>
        <v/>
      </c>
      <c r="W1394" s="4" t="str">
        <f>IFERROR(__xludf.DUMMYFUNCTION("""COMPUTED_VALUE"""),"")</f>
        <v/>
      </c>
      <c r="X1394" s="4" t="str">
        <f>IFERROR(__xludf.DUMMYFUNCTION("""COMPUTED_VALUE"""),"")</f>
        <v/>
      </c>
      <c r="Y1394" s="4" t="str">
        <f>IFERROR(__xludf.DUMMYFUNCTION("""COMPUTED_VALUE"""),"")</f>
        <v/>
      </c>
    </row>
    <row r="1395">
      <c r="A1395" s="4" t="str">
        <f>IFERROR(__xludf.DUMMYFUNCTION("""COMPUTED_VALUE"""),"1926 - Channel")</f>
        <v>1926 - Channel</v>
      </c>
      <c r="B1395" s="4" t="str">
        <f>IFERROR(__xludf.DUMMYFUNCTION("""COMPUTED_VALUE"""),"")</f>
        <v/>
      </c>
      <c r="C1395" s="4" t="str">
        <f>IFERROR(__xludf.DUMMYFUNCTION("""COMPUTED_VALUE"""),"")</f>
        <v/>
      </c>
      <c r="D1395" s="4" t="str">
        <f>IFERROR(__xludf.DUMMYFUNCTION("""COMPUTED_VALUE"""),"")</f>
        <v/>
      </c>
      <c r="E1395" s="4" t="str">
        <f>IFERROR(__xludf.DUMMYFUNCTION("""COMPUTED_VALUE"""),"")</f>
        <v/>
      </c>
      <c r="F1395" s="4" t="str">
        <f>IFERROR(__xludf.DUMMYFUNCTION("""COMPUTED_VALUE"""),"")</f>
        <v/>
      </c>
      <c r="G1395" s="4" t="str">
        <f>IFERROR(__xludf.DUMMYFUNCTION("""COMPUTED_VALUE"""),"")</f>
        <v/>
      </c>
      <c r="H1395" s="4" t="str">
        <f>IFERROR(__xludf.DUMMYFUNCTION("""COMPUTED_VALUE"""),"")</f>
        <v/>
      </c>
      <c r="I1395" s="4" t="str">
        <f>IFERROR(__xludf.DUMMYFUNCTION("""COMPUTED_VALUE"""),"")</f>
        <v/>
      </c>
      <c r="J1395" s="4" t="str">
        <f>IFERROR(__xludf.DUMMYFUNCTION("""COMPUTED_VALUE"""),"")</f>
        <v/>
      </c>
      <c r="K1395" s="4" t="str">
        <f>IFERROR(__xludf.DUMMYFUNCTION("""COMPUTED_VALUE"""),"")</f>
        <v/>
      </c>
      <c r="L1395" s="4" t="str">
        <f>IFERROR(__xludf.DUMMYFUNCTION("""COMPUTED_VALUE"""),"")</f>
        <v/>
      </c>
      <c r="M1395" s="4" t="str">
        <f>IFERROR(__xludf.DUMMYFUNCTION("""COMPUTED_VALUE"""),"")</f>
        <v/>
      </c>
      <c r="N1395" s="4" t="str">
        <f>IFERROR(__xludf.DUMMYFUNCTION("""COMPUTED_VALUE"""),"")</f>
        <v/>
      </c>
      <c r="O1395" s="4" t="str">
        <f>IFERROR(__xludf.DUMMYFUNCTION("""COMPUTED_VALUE"""),"")</f>
        <v/>
      </c>
      <c r="P1395" s="4" t="str">
        <f>IFERROR(__xludf.DUMMYFUNCTION("""COMPUTED_VALUE"""),"")</f>
        <v/>
      </c>
      <c r="Q1395" s="4" t="str">
        <f>IFERROR(__xludf.DUMMYFUNCTION("""COMPUTED_VALUE"""),"")</f>
        <v/>
      </c>
      <c r="R1395" s="4" t="str">
        <f>IFERROR(__xludf.DUMMYFUNCTION("""COMPUTED_VALUE"""),"")</f>
        <v/>
      </c>
      <c r="S1395" s="4" t="str">
        <f>IFERROR(__xludf.DUMMYFUNCTION("""COMPUTED_VALUE"""),"")</f>
        <v/>
      </c>
      <c r="T1395" s="4" t="str">
        <f>IFERROR(__xludf.DUMMYFUNCTION("""COMPUTED_VALUE"""),"")</f>
        <v/>
      </c>
      <c r="U1395" s="4" t="str">
        <f>IFERROR(__xludf.DUMMYFUNCTION("""COMPUTED_VALUE"""),"")</f>
        <v/>
      </c>
      <c r="V1395" s="4" t="str">
        <f>IFERROR(__xludf.DUMMYFUNCTION("""COMPUTED_VALUE"""),"")</f>
        <v/>
      </c>
      <c r="W1395" s="4" t="str">
        <f>IFERROR(__xludf.DUMMYFUNCTION("""COMPUTED_VALUE"""),"")</f>
        <v/>
      </c>
      <c r="X1395" s="4" t="str">
        <f>IFERROR(__xludf.DUMMYFUNCTION("""COMPUTED_VALUE"""),"")</f>
        <v/>
      </c>
      <c r="Y1395" s="4" t="str">
        <f>IFERROR(__xludf.DUMMYFUNCTION("""COMPUTED_VALUE"""),"")</f>
        <v/>
      </c>
    </row>
    <row r="1396">
      <c r="A1396" s="4" t="str">
        <f>IFERROR(__xludf.DUMMYFUNCTION("""COMPUTED_VALUE"""),"1927 - Channel")</f>
        <v>1927 - Channel</v>
      </c>
      <c r="B1396" s="4" t="str">
        <f>IFERROR(__xludf.DUMMYFUNCTION("""COMPUTED_VALUE"""),"")</f>
        <v/>
      </c>
      <c r="C1396" s="4" t="str">
        <f>IFERROR(__xludf.DUMMYFUNCTION("""COMPUTED_VALUE"""),"")</f>
        <v/>
      </c>
      <c r="D1396" s="4" t="str">
        <f>IFERROR(__xludf.DUMMYFUNCTION("""COMPUTED_VALUE"""),"")</f>
        <v/>
      </c>
      <c r="E1396" s="4" t="str">
        <f>IFERROR(__xludf.DUMMYFUNCTION("""COMPUTED_VALUE"""),"")</f>
        <v/>
      </c>
      <c r="F1396" s="4" t="str">
        <f>IFERROR(__xludf.DUMMYFUNCTION("""COMPUTED_VALUE"""),"")</f>
        <v/>
      </c>
      <c r="G1396" s="4" t="str">
        <f>IFERROR(__xludf.DUMMYFUNCTION("""COMPUTED_VALUE"""),"")</f>
        <v/>
      </c>
      <c r="H1396" s="4" t="str">
        <f>IFERROR(__xludf.DUMMYFUNCTION("""COMPUTED_VALUE"""),"")</f>
        <v/>
      </c>
      <c r="I1396" s="4" t="str">
        <f>IFERROR(__xludf.DUMMYFUNCTION("""COMPUTED_VALUE"""),"")</f>
        <v/>
      </c>
      <c r="J1396" s="4" t="str">
        <f>IFERROR(__xludf.DUMMYFUNCTION("""COMPUTED_VALUE"""),"")</f>
        <v/>
      </c>
      <c r="K1396" s="4" t="str">
        <f>IFERROR(__xludf.DUMMYFUNCTION("""COMPUTED_VALUE"""),"")</f>
        <v/>
      </c>
      <c r="L1396" s="4" t="str">
        <f>IFERROR(__xludf.DUMMYFUNCTION("""COMPUTED_VALUE"""),"")</f>
        <v/>
      </c>
      <c r="M1396" s="4" t="str">
        <f>IFERROR(__xludf.DUMMYFUNCTION("""COMPUTED_VALUE"""),"")</f>
        <v/>
      </c>
      <c r="N1396" s="4" t="str">
        <f>IFERROR(__xludf.DUMMYFUNCTION("""COMPUTED_VALUE"""),"")</f>
        <v/>
      </c>
      <c r="O1396" s="4" t="str">
        <f>IFERROR(__xludf.DUMMYFUNCTION("""COMPUTED_VALUE"""),"")</f>
        <v/>
      </c>
      <c r="P1396" s="4" t="str">
        <f>IFERROR(__xludf.DUMMYFUNCTION("""COMPUTED_VALUE"""),"")</f>
        <v/>
      </c>
      <c r="Q1396" s="4" t="str">
        <f>IFERROR(__xludf.DUMMYFUNCTION("""COMPUTED_VALUE"""),"")</f>
        <v/>
      </c>
      <c r="R1396" s="4" t="str">
        <f>IFERROR(__xludf.DUMMYFUNCTION("""COMPUTED_VALUE"""),"")</f>
        <v/>
      </c>
      <c r="S1396" s="4" t="str">
        <f>IFERROR(__xludf.DUMMYFUNCTION("""COMPUTED_VALUE"""),"")</f>
        <v/>
      </c>
      <c r="T1396" s="4" t="str">
        <f>IFERROR(__xludf.DUMMYFUNCTION("""COMPUTED_VALUE"""),"")</f>
        <v/>
      </c>
      <c r="U1396" s="4" t="str">
        <f>IFERROR(__xludf.DUMMYFUNCTION("""COMPUTED_VALUE"""),"")</f>
        <v/>
      </c>
      <c r="V1396" s="4" t="str">
        <f>IFERROR(__xludf.DUMMYFUNCTION("""COMPUTED_VALUE"""),"")</f>
        <v/>
      </c>
      <c r="W1396" s="4" t="str">
        <f>IFERROR(__xludf.DUMMYFUNCTION("""COMPUTED_VALUE"""),"")</f>
        <v/>
      </c>
      <c r="X1396" s="4" t="str">
        <f>IFERROR(__xludf.DUMMYFUNCTION("""COMPUTED_VALUE"""),"")</f>
        <v/>
      </c>
      <c r="Y1396" s="4" t="str">
        <f>IFERROR(__xludf.DUMMYFUNCTION("""COMPUTED_VALUE"""),"")</f>
        <v/>
      </c>
    </row>
    <row r="1397">
      <c r="A1397" s="4" t="str">
        <f>IFERROR(__xludf.DUMMYFUNCTION("""COMPUTED_VALUE"""),"1928 - Channel")</f>
        <v>1928 - Channel</v>
      </c>
      <c r="B1397" s="4" t="str">
        <f>IFERROR(__xludf.DUMMYFUNCTION("""COMPUTED_VALUE"""),"")</f>
        <v/>
      </c>
      <c r="C1397" s="4" t="str">
        <f>IFERROR(__xludf.DUMMYFUNCTION("""COMPUTED_VALUE"""),"")</f>
        <v/>
      </c>
      <c r="D1397" s="4" t="str">
        <f>IFERROR(__xludf.DUMMYFUNCTION("""COMPUTED_VALUE"""),"")</f>
        <v/>
      </c>
      <c r="E1397" s="4" t="str">
        <f>IFERROR(__xludf.DUMMYFUNCTION("""COMPUTED_VALUE"""),"")</f>
        <v/>
      </c>
      <c r="F1397" s="4" t="str">
        <f>IFERROR(__xludf.DUMMYFUNCTION("""COMPUTED_VALUE"""),"")</f>
        <v/>
      </c>
      <c r="G1397" s="4" t="str">
        <f>IFERROR(__xludf.DUMMYFUNCTION("""COMPUTED_VALUE"""),"")</f>
        <v/>
      </c>
      <c r="H1397" s="4" t="str">
        <f>IFERROR(__xludf.DUMMYFUNCTION("""COMPUTED_VALUE"""),"")</f>
        <v/>
      </c>
      <c r="I1397" s="4" t="str">
        <f>IFERROR(__xludf.DUMMYFUNCTION("""COMPUTED_VALUE"""),"")</f>
        <v/>
      </c>
      <c r="J1397" s="4" t="str">
        <f>IFERROR(__xludf.DUMMYFUNCTION("""COMPUTED_VALUE"""),"")</f>
        <v/>
      </c>
      <c r="K1397" s="4" t="str">
        <f>IFERROR(__xludf.DUMMYFUNCTION("""COMPUTED_VALUE"""),"")</f>
        <v/>
      </c>
      <c r="L1397" s="4" t="str">
        <f>IFERROR(__xludf.DUMMYFUNCTION("""COMPUTED_VALUE"""),"")</f>
        <v/>
      </c>
      <c r="M1397" s="4" t="str">
        <f>IFERROR(__xludf.DUMMYFUNCTION("""COMPUTED_VALUE"""),"")</f>
        <v/>
      </c>
      <c r="N1397" s="4" t="str">
        <f>IFERROR(__xludf.DUMMYFUNCTION("""COMPUTED_VALUE"""),"")</f>
        <v/>
      </c>
      <c r="O1397" s="4" t="str">
        <f>IFERROR(__xludf.DUMMYFUNCTION("""COMPUTED_VALUE"""),"")</f>
        <v/>
      </c>
      <c r="P1397" s="4" t="str">
        <f>IFERROR(__xludf.DUMMYFUNCTION("""COMPUTED_VALUE"""),"")</f>
        <v/>
      </c>
      <c r="Q1397" s="4" t="str">
        <f>IFERROR(__xludf.DUMMYFUNCTION("""COMPUTED_VALUE"""),"")</f>
        <v/>
      </c>
      <c r="R1397" s="4" t="str">
        <f>IFERROR(__xludf.DUMMYFUNCTION("""COMPUTED_VALUE"""),"")</f>
        <v/>
      </c>
      <c r="S1397" s="4" t="str">
        <f>IFERROR(__xludf.DUMMYFUNCTION("""COMPUTED_VALUE"""),"")</f>
        <v/>
      </c>
      <c r="T1397" s="4" t="str">
        <f>IFERROR(__xludf.DUMMYFUNCTION("""COMPUTED_VALUE"""),"")</f>
        <v/>
      </c>
      <c r="U1397" s="4" t="str">
        <f>IFERROR(__xludf.DUMMYFUNCTION("""COMPUTED_VALUE"""),"")</f>
        <v/>
      </c>
      <c r="V1397" s="4" t="str">
        <f>IFERROR(__xludf.DUMMYFUNCTION("""COMPUTED_VALUE"""),"")</f>
        <v/>
      </c>
      <c r="W1397" s="4" t="str">
        <f>IFERROR(__xludf.DUMMYFUNCTION("""COMPUTED_VALUE"""),"")</f>
        <v/>
      </c>
      <c r="X1397" s="4" t="str">
        <f>IFERROR(__xludf.DUMMYFUNCTION("""COMPUTED_VALUE"""),"")</f>
        <v/>
      </c>
      <c r="Y1397" s="4" t="str">
        <f>IFERROR(__xludf.DUMMYFUNCTION("""COMPUTED_VALUE"""),"")</f>
        <v/>
      </c>
    </row>
    <row r="1398">
      <c r="A1398" s="4" t="str">
        <f>IFERROR(__xludf.DUMMYFUNCTION("""COMPUTED_VALUE"""),"1929 - Channel")</f>
        <v>1929 - Channel</v>
      </c>
      <c r="B1398" s="4" t="str">
        <f>IFERROR(__xludf.DUMMYFUNCTION("""COMPUTED_VALUE"""),"")</f>
        <v/>
      </c>
      <c r="C1398" s="4" t="str">
        <f>IFERROR(__xludf.DUMMYFUNCTION("""COMPUTED_VALUE"""),"")</f>
        <v/>
      </c>
      <c r="D1398" s="4" t="str">
        <f>IFERROR(__xludf.DUMMYFUNCTION("""COMPUTED_VALUE"""),"")</f>
        <v/>
      </c>
      <c r="E1398" s="4" t="str">
        <f>IFERROR(__xludf.DUMMYFUNCTION("""COMPUTED_VALUE"""),"")</f>
        <v/>
      </c>
      <c r="F1398" s="4" t="str">
        <f>IFERROR(__xludf.DUMMYFUNCTION("""COMPUTED_VALUE"""),"")</f>
        <v/>
      </c>
      <c r="G1398" s="4" t="str">
        <f>IFERROR(__xludf.DUMMYFUNCTION("""COMPUTED_VALUE"""),"")</f>
        <v/>
      </c>
      <c r="H1398" s="4" t="str">
        <f>IFERROR(__xludf.DUMMYFUNCTION("""COMPUTED_VALUE"""),"")</f>
        <v/>
      </c>
      <c r="I1398" s="4" t="str">
        <f>IFERROR(__xludf.DUMMYFUNCTION("""COMPUTED_VALUE"""),"")</f>
        <v/>
      </c>
      <c r="J1398" s="4" t="str">
        <f>IFERROR(__xludf.DUMMYFUNCTION("""COMPUTED_VALUE"""),"")</f>
        <v/>
      </c>
      <c r="K1398" s="4" t="str">
        <f>IFERROR(__xludf.DUMMYFUNCTION("""COMPUTED_VALUE"""),"")</f>
        <v/>
      </c>
      <c r="L1398" s="4" t="str">
        <f>IFERROR(__xludf.DUMMYFUNCTION("""COMPUTED_VALUE"""),"")</f>
        <v/>
      </c>
      <c r="M1398" s="4" t="str">
        <f>IFERROR(__xludf.DUMMYFUNCTION("""COMPUTED_VALUE"""),"")</f>
        <v/>
      </c>
      <c r="N1398" s="4" t="str">
        <f>IFERROR(__xludf.DUMMYFUNCTION("""COMPUTED_VALUE"""),"")</f>
        <v/>
      </c>
      <c r="O1398" s="4" t="str">
        <f>IFERROR(__xludf.DUMMYFUNCTION("""COMPUTED_VALUE"""),"")</f>
        <v/>
      </c>
      <c r="P1398" s="4" t="str">
        <f>IFERROR(__xludf.DUMMYFUNCTION("""COMPUTED_VALUE"""),"")</f>
        <v/>
      </c>
      <c r="Q1398" s="4" t="str">
        <f>IFERROR(__xludf.DUMMYFUNCTION("""COMPUTED_VALUE"""),"")</f>
        <v/>
      </c>
      <c r="R1398" s="4" t="str">
        <f>IFERROR(__xludf.DUMMYFUNCTION("""COMPUTED_VALUE"""),"")</f>
        <v/>
      </c>
      <c r="S1398" s="4" t="str">
        <f>IFERROR(__xludf.DUMMYFUNCTION("""COMPUTED_VALUE"""),"")</f>
        <v/>
      </c>
      <c r="T1398" s="4" t="str">
        <f>IFERROR(__xludf.DUMMYFUNCTION("""COMPUTED_VALUE"""),"")</f>
        <v/>
      </c>
      <c r="U1398" s="4" t="str">
        <f>IFERROR(__xludf.DUMMYFUNCTION("""COMPUTED_VALUE"""),"")</f>
        <v/>
      </c>
      <c r="V1398" s="4" t="str">
        <f>IFERROR(__xludf.DUMMYFUNCTION("""COMPUTED_VALUE"""),"")</f>
        <v/>
      </c>
      <c r="W1398" s="4" t="str">
        <f>IFERROR(__xludf.DUMMYFUNCTION("""COMPUTED_VALUE"""),"")</f>
        <v/>
      </c>
      <c r="X1398" s="4" t="str">
        <f>IFERROR(__xludf.DUMMYFUNCTION("""COMPUTED_VALUE"""),"")</f>
        <v/>
      </c>
      <c r="Y1398" s="4" t="str">
        <f>IFERROR(__xludf.DUMMYFUNCTION("""COMPUTED_VALUE"""),"")</f>
        <v/>
      </c>
    </row>
    <row r="1399">
      <c r="A1399" s="4" t="str">
        <f>IFERROR(__xludf.DUMMYFUNCTION("""COMPUTED_VALUE"""),"1930 - Channel")</f>
        <v>1930 - Channel</v>
      </c>
      <c r="B1399" s="4" t="str">
        <f>IFERROR(__xludf.DUMMYFUNCTION("""COMPUTED_VALUE"""),"")</f>
        <v/>
      </c>
      <c r="C1399" s="4" t="str">
        <f>IFERROR(__xludf.DUMMYFUNCTION("""COMPUTED_VALUE"""),"")</f>
        <v/>
      </c>
      <c r="D1399" s="4" t="str">
        <f>IFERROR(__xludf.DUMMYFUNCTION("""COMPUTED_VALUE"""),"")</f>
        <v/>
      </c>
      <c r="E1399" s="4" t="str">
        <f>IFERROR(__xludf.DUMMYFUNCTION("""COMPUTED_VALUE"""),"")</f>
        <v/>
      </c>
      <c r="F1399" s="4" t="str">
        <f>IFERROR(__xludf.DUMMYFUNCTION("""COMPUTED_VALUE"""),"")</f>
        <v/>
      </c>
      <c r="G1399" s="4" t="str">
        <f>IFERROR(__xludf.DUMMYFUNCTION("""COMPUTED_VALUE"""),"")</f>
        <v/>
      </c>
      <c r="H1399" s="4" t="str">
        <f>IFERROR(__xludf.DUMMYFUNCTION("""COMPUTED_VALUE"""),"")</f>
        <v/>
      </c>
      <c r="I1399" s="4" t="str">
        <f>IFERROR(__xludf.DUMMYFUNCTION("""COMPUTED_VALUE"""),"")</f>
        <v/>
      </c>
      <c r="J1399" s="4" t="str">
        <f>IFERROR(__xludf.DUMMYFUNCTION("""COMPUTED_VALUE"""),"")</f>
        <v/>
      </c>
      <c r="K1399" s="4" t="str">
        <f>IFERROR(__xludf.DUMMYFUNCTION("""COMPUTED_VALUE"""),"")</f>
        <v/>
      </c>
      <c r="L1399" s="4" t="str">
        <f>IFERROR(__xludf.DUMMYFUNCTION("""COMPUTED_VALUE"""),"")</f>
        <v/>
      </c>
      <c r="M1399" s="4" t="str">
        <f>IFERROR(__xludf.DUMMYFUNCTION("""COMPUTED_VALUE"""),"")</f>
        <v/>
      </c>
      <c r="N1399" s="4" t="str">
        <f>IFERROR(__xludf.DUMMYFUNCTION("""COMPUTED_VALUE"""),"")</f>
        <v/>
      </c>
      <c r="O1399" s="4" t="str">
        <f>IFERROR(__xludf.DUMMYFUNCTION("""COMPUTED_VALUE"""),"")</f>
        <v/>
      </c>
      <c r="P1399" s="4" t="str">
        <f>IFERROR(__xludf.DUMMYFUNCTION("""COMPUTED_VALUE"""),"")</f>
        <v/>
      </c>
      <c r="Q1399" s="4" t="str">
        <f>IFERROR(__xludf.DUMMYFUNCTION("""COMPUTED_VALUE"""),"")</f>
        <v/>
      </c>
      <c r="R1399" s="4" t="str">
        <f>IFERROR(__xludf.DUMMYFUNCTION("""COMPUTED_VALUE"""),"")</f>
        <v/>
      </c>
      <c r="S1399" s="4" t="str">
        <f>IFERROR(__xludf.DUMMYFUNCTION("""COMPUTED_VALUE"""),"")</f>
        <v/>
      </c>
      <c r="T1399" s="4" t="str">
        <f>IFERROR(__xludf.DUMMYFUNCTION("""COMPUTED_VALUE"""),"")</f>
        <v/>
      </c>
      <c r="U1399" s="4" t="str">
        <f>IFERROR(__xludf.DUMMYFUNCTION("""COMPUTED_VALUE"""),"")</f>
        <v/>
      </c>
      <c r="V1399" s="4" t="str">
        <f>IFERROR(__xludf.DUMMYFUNCTION("""COMPUTED_VALUE"""),"")</f>
        <v/>
      </c>
      <c r="W1399" s="4" t="str">
        <f>IFERROR(__xludf.DUMMYFUNCTION("""COMPUTED_VALUE"""),"")</f>
        <v/>
      </c>
      <c r="X1399" s="4" t="str">
        <f>IFERROR(__xludf.DUMMYFUNCTION("""COMPUTED_VALUE"""),"")</f>
        <v/>
      </c>
      <c r="Y1399" s="4" t="str">
        <f>IFERROR(__xludf.DUMMYFUNCTION("""COMPUTED_VALUE"""),"")</f>
        <v/>
      </c>
    </row>
    <row r="1400">
      <c r="A1400" s="4" t="str">
        <f>IFERROR(__xludf.DUMMYFUNCTION("""COMPUTED_VALUE"""),"1931 - Channel")</f>
        <v>1931 - Channel</v>
      </c>
      <c r="B1400" s="4" t="str">
        <f>IFERROR(__xludf.DUMMYFUNCTION("""COMPUTED_VALUE"""),"")</f>
        <v/>
      </c>
      <c r="C1400" s="4" t="str">
        <f>IFERROR(__xludf.DUMMYFUNCTION("""COMPUTED_VALUE"""),"")</f>
        <v/>
      </c>
      <c r="D1400" s="4" t="str">
        <f>IFERROR(__xludf.DUMMYFUNCTION("""COMPUTED_VALUE"""),"")</f>
        <v/>
      </c>
      <c r="E1400" s="4" t="str">
        <f>IFERROR(__xludf.DUMMYFUNCTION("""COMPUTED_VALUE"""),"")</f>
        <v/>
      </c>
      <c r="F1400" s="4" t="str">
        <f>IFERROR(__xludf.DUMMYFUNCTION("""COMPUTED_VALUE"""),"")</f>
        <v/>
      </c>
      <c r="G1400" s="4" t="str">
        <f>IFERROR(__xludf.DUMMYFUNCTION("""COMPUTED_VALUE"""),"")</f>
        <v/>
      </c>
      <c r="H1400" s="4" t="str">
        <f>IFERROR(__xludf.DUMMYFUNCTION("""COMPUTED_VALUE"""),"")</f>
        <v/>
      </c>
      <c r="I1400" s="4" t="str">
        <f>IFERROR(__xludf.DUMMYFUNCTION("""COMPUTED_VALUE"""),"")</f>
        <v/>
      </c>
      <c r="J1400" s="4" t="str">
        <f>IFERROR(__xludf.DUMMYFUNCTION("""COMPUTED_VALUE"""),"")</f>
        <v/>
      </c>
      <c r="K1400" s="4" t="str">
        <f>IFERROR(__xludf.DUMMYFUNCTION("""COMPUTED_VALUE"""),"")</f>
        <v/>
      </c>
      <c r="L1400" s="4" t="str">
        <f>IFERROR(__xludf.DUMMYFUNCTION("""COMPUTED_VALUE"""),"")</f>
        <v/>
      </c>
      <c r="M1400" s="4" t="str">
        <f>IFERROR(__xludf.DUMMYFUNCTION("""COMPUTED_VALUE"""),"")</f>
        <v/>
      </c>
      <c r="N1400" s="4" t="str">
        <f>IFERROR(__xludf.DUMMYFUNCTION("""COMPUTED_VALUE"""),"")</f>
        <v/>
      </c>
      <c r="O1400" s="4" t="str">
        <f>IFERROR(__xludf.DUMMYFUNCTION("""COMPUTED_VALUE"""),"")</f>
        <v/>
      </c>
      <c r="P1400" s="4" t="str">
        <f>IFERROR(__xludf.DUMMYFUNCTION("""COMPUTED_VALUE"""),"")</f>
        <v/>
      </c>
      <c r="Q1400" s="4" t="str">
        <f>IFERROR(__xludf.DUMMYFUNCTION("""COMPUTED_VALUE"""),"")</f>
        <v/>
      </c>
      <c r="R1400" s="4" t="str">
        <f>IFERROR(__xludf.DUMMYFUNCTION("""COMPUTED_VALUE"""),"")</f>
        <v/>
      </c>
      <c r="S1400" s="4" t="str">
        <f>IFERROR(__xludf.DUMMYFUNCTION("""COMPUTED_VALUE"""),"")</f>
        <v/>
      </c>
      <c r="T1400" s="4" t="str">
        <f>IFERROR(__xludf.DUMMYFUNCTION("""COMPUTED_VALUE"""),"")</f>
        <v/>
      </c>
      <c r="U1400" s="4" t="str">
        <f>IFERROR(__xludf.DUMMYFUNCTION("""COMPUTED_VALUE"""),"")</f>
        <v/>
      </c>
      <c r="V1400" s="4" t="str">
        <f>IFERROR(__xludf.DUMMYFUNCTION("""COMPUTED_VALUE"""),"")</f>
        <v/>
      </c>
      <c r="W1400" s="4" t="str">
        <f>IFERROR(__xludf.DUMMYFUNCTION("""COMPUTED_VALUE"""),"")</f>
        <v/>
      </c>
      <c r="X1400" s="4" t="str">
        <f>IFERROR(__xludf.DUMMYFUNCTION("""COMPUTED_VALUE"""),"")</f>
        <v/>
      </c>
      <c r="Y1400" s="4" t="str">
        <f>IFERROR(__xludf.DUMMYFUNCTION("""COMPUTED_VALUE"""),"")</f>
        <v/>
      </c>
    </row>
    <row r="1401">
      <c r="A1401" s="4" t="str">
        <f>IFERROR(__xludf.DUMMYFUNCTION("""COMPUTED_VALUE"""),"1932 - Channel")</f>
        <v>1932 - Channel</v>
      </c>
      <c r="B1401" s="4" t="str">
        <f>IFERROR(__xludf.DUMMYFUNCTION("""COMPUTED_VALUE"""),"")</f>
        <v/>
      </c>
      <c r="C1401" s="4" t="str">
        <f>IFERROR(__xludf.DUMMYFUNCTION("""COMPUTED_VALUE"""),"")</f>
        <v/>
      </c>
      <c r="D1401" s="4" t="str">
        <f>IFERROR(__xludf.DUMMYFUNCTION("""COMPUTED_VALUE"""),"")</f>
        <v/>
      </c>
      <c r="E1401" s="4" t="str">
        <f>IFERROR(__xludf.DUMMYFUNCTION("""COMPUTED_VALUE"""),"")</f>
        <v/>
      </c>
      <c r="F1401" s="4" t="str">
        <f>IFERROR(__xludf.DUMMYFUNCTION("""COMPUTED_VALUE"""),"")</f>
        <v/>
      </c>
      <c r="G1401" s="4" t="str">
        <f>IFERROR(__xludf.DUMMYFUNCTION("""COMPUTED_VALUE"""),"")</f>
        <v/>
      </c>
      <c r="H1401" s="4" t="str">
        <f>IFERROR(__xludf.DUMMYFUNCTION("""COMPUTED_VALUE"""),"")</f>
        <v/>
      </c>
      <c r="I1401" s="4" t="str">
        <f>IFERROR(__xludf.DUMMYFUNCTION("""COMPUTED_VALUE"""),"")</f>
        <v/>
      </c>
      <c r="J1401" s="4" t="str">
        <f>IFERROR(__xludf.DUMMYFUNCTION("""COMPUTED_VALUE"""),"")</f>
        <v/>
      </c>
      <c r="K1401" s="4" t="str">
        <f>IFERROR(__xludf.DUMMYFUNCTION("""COMPUTED_VALUE"""),"")</f>
        <v/>
      </c>
      <c r="L1401" s="4" t="str">
        <f>IFERROR(__xludf.DUMMYFUNCTION("""COMPUTED_VALUE"""),"")</f>
        <v/>
      </c>
      <c r="M1401" s="4" t="str">
        <f>IFERROR(__xludf.DUMMYFUNCTION("""COMPUTED_VALUE"""),"")</f>
        <v/>
      </c>
      <c r="N1401" s="4" t="str">
        <f>IFERROR(__xludf.DUMMYFUNCTION("""COMPUTED_VALUE"""),"")</f>
        <v/>
      </c>
      <c r="O1401" s="4" t="str">
        <f>IFERROR(__xludf.DUMMYFUNCTION("""COMPUTED_VALUE"""),"")</f>
        <v/>
      </c>
      <c r="P1401" s="4" t="str">
        <f>IFERROR(__xludf.DUMMYFUNCTION("""COMPUTED_VALUE"""),"")</f>
        <v/>
      </c>
      <c r="Q1401" s="4" t="str">
        <f>IFERROR(__xludf.DUMMYFUNCTION("""COMPUTED_VALUE"""),"")</f>
        <v/>
      </c>
      <c r="R1401" s="4" t="str">
        <f>IFERROR(__xludf.DUMMYFUNCTION("""COMPUTED_VALUE"""),"")</f>
        <v/>
      </c>
      <c r="S1401" s="4" t="str">
        <f>IFERROR(__xludf.DUMMYFUNCTION("""COMPUTED_VALUE"""),"")</f>
        <v/>
      </c>
      <c r="T1401" s="4" t="str">
        <f>IFERROR(__xludf.DUMMYFUNCTION("""COMPUTED_VALUE"""),"")</f>
        <v/>
      </c>
      <c r="U1401" s="4" t="str">
        <f>IFERROR(__xludf.DUMMYFUNCTION("""COMPUTED_VALUE"""),"")</f>
        <v/>
      </c>
      <c r="V1401" s="4" t="str">
        <f>IFERROR(__xludf.DUMMYFUNCTION("""COMPUTED_VALUE"""),"")</f>
        <v/>
      </c>
      <c r="W1401" s="4" t="str">
        <f>IFERROR(__xludf.DUMMYFUNCTION("""COMPUTED_VALUE"""),"")</f>
        <v/>
      </c>
      <c r="X1401" s="4" t="str">
        <f>IFERROR(__xludf.DUMMYFUNCTION("""COMPUTED_VALUE"""),"")</f>
        <v/>
      </c>
      <c r="Y1401" s="4" t="str">
        <f>IFERROR(__xludf.DUMMYFUNCTION("""COMPUTED_VALUE"""),"")</f>
        <v/>
      </c>
    </row>
    <row r="1402">
      <c r="A1402" s="4" t="str">
        <f>IFERROR(__xludf.DUMMYFUNCTION("""COMPUTED_VALUE"""),"1933 - Channel")</f>
        <v>1933 - Channel</v>
      </c>
      <c r="B1402" s="4" t="str">
        <f>IFERROR(__xludf.DUMMYFUNCTION("""COMPUTED_VALUE"""),"")</f>
        <v/>
      </c>
      <c r="C1402" s="4" t="str">
        <f>IFERROR(__xludf.DUMMYFUNCTION("""COMPUTED_VALUE"""),"")</f>
        <v/>
      </c>
      <c r="D1402" s="4" t="str">
        <f>IFERROR(__xludf.DUMMYFUNCTION("""COMPUTED_VALUE"""),"")</f>
        <v/>
      </c>
      <c r="E1402" s="4" t="str">
        <f>IFERROR(__xludf.DUMMYFUNCTION("""COMPUTED_VALUE"""),"")</f>
        <v/>
      </c>
      <c r="F1402" s="4" t="str">
        <f>IFERROR(__xludf.DUMMYFUNCTION("""COMPUTED_VALUE"""),"")</f>
        <v/>
      </c>
      <c r="G1402" s="4" t="str">
        <f>IFERROR(__xludf.DUMMYFUNCTION("""COMPUTED_VALUE"""),"")</f>
        <v/>
      </c>
      <c r="H1402" s="4" t="str">
        <f>IFERROR(__xludf.DUMMYFUNCTION("""COMPUTED_VALUE"""),"")</f>
        <v/>
      </c>
      <c r="I1402" s="4" t="str">
        <f>IFERROR(__xludf.DUMMYFUNCTION("""COMPUTED_VALUE"""),"")</f>
        <v/>
      </c>
      <c r="J1402" s="4" t="str">
        <f>IFERROR(__xludf.DUMMYFUNCTION("""COMPUTED_VALUE"""),"")</f>
        <v/>
      </c>
      <c r="K1402" s="4" t="str">
        <f>IFERROR(__xludf.DUMMYFUNCTION("""COMPUTED_VALUE"""),"")</f>
        <v/>
      </c>
      <c r="L1402" s="4" t="str">
        <f>IFERROR(__xludf.DUMMYFUNCTION("""COMPUTED_VALUE"""),"")</f>
        <v/>
      </c>
      <c r="M1402" s="4" t="str">
        <f>IFERROR(__xludf.DUMMYFUNCTION("""COMPUTED_VALUE"""),"")</f>
        <v/>
      </c>
      <c r="N1402" s="4" t="str">
        <f>IFERROR(__xludf.DUMMYFUNCTION("""COMPUTED_VALUE"""),"")</f>
        <v/>
      </c>
      <c r="O1402" s="4" t="str">
        <f>IFERROR(__xludf.DUMMYFUNCTION("""COMPUTED_VALUE"""),"")</f>
        <v/>
      </c>
      <c r="P1402" s="4" t="str">
        <f>IFERROR(__xludf.DUMMYFUNCTION("""COMPUTED_VALUE"""),"")</f>
        <v/>
      </c>
      <c r="Q1402" s="4" t="str">
        <f>IFERROR(__xludf.DUMMYFUNCTION("""COMPUTED_VALUE"""),"")</f>
        <v/>
      </c>
      <c r="R1402" s="4" t="str">
        <f>IFERROR(__xludf.DUMMYFUNCTION("""COMPUTED_VALUE"""),"")</f>
        <v/>
      </c>
      <c r="S1402" s="4" t="str">
        <f>IFERROR(__xludf.DUMMYFUNCTION("""COMPUTED_VALUE"""),"")</f>
        <v/>
      </c>
      <c r="T1402" s="4" t="str">
        <f>IFERROR(__xludf.DUMMYFUNCTION("""COMPUTED_VALUE"""),"")</f>
        <v/>
      </c>
      <c r="U1402" s="4" t="str">
        <f>IFERROR(__xludf.DUMMYFUNCTION("""COMPUTED_VALUE"""),"")</f>
        <v/>
      </c>
      <c r="V1402" s="4" t="str">
        <f>IFERROR(__xludf.DUMMYFUNCTION("""COMPUTED_VALUE"""),"")</f>
        <v/>
      </c>
      <c r="W1402" s="4" t="str">
        <f>IFERROR(__xludf.DUMMYFUNCTION("""COMPUTED_VALUE"""),"")</f>
        <v/>
      </c>
      <c r="X1402" s="4" t="str">
        <f>IFERROR(__xludf.DUMMYFUNCTION("""COMPUTED_VALUE"""),"")</f>
        <v/>
      </c>
      <c r="Y1402" s="4" t="str">
        <f>IFERROR(__xludf.DUMMYFUNCTION("""COMPUTED_VALUE"""),"")</f>
        <v/>
      </c>
    </row>
    <row r="1403">
      <c r="A1403" s="4" t="str">
        <f>IFERROR(__xludf.DUMMYFUNCTION("""COMPUTED_VALUE"""),"1934 - Channel")</f>
        <v>1934 - Channel</v>
      </c>
      <c r="B1403" s="4" t="str">
        <f>IFERROR(__xludf.DUMMYFUNCTION("""COMPUTED_VALUE"""),"")</f>
        <v/>
      </c>
      <c r="C1403" s="4" t="str">
        <f>IFERROR(__xludf.DUMMYFUNCTION("""COMPUTED_VALUE"""),"")</f>
        <v/>
      </c>
      <c r="D1403" s="4" t="str">
        <f>IFERROR(__xludf.DUMMYFUNCTION("""COMPUTED_VALUE"""),"")</f>
        <v/>
      </c>
      <c r="E1403" s="4" t="str">
        <f>IFERROR(__xludf.DUMMYFUNCTION("""COMPUTED_VALUE"""),"")</f>
        <v/>
      </c>
      <c r="F1403" s="4" t="str">
        <f>IFERROR(__xludf.DUMMYFUNCTION("""COMPUTED_VALUE"""),"")</f>
        <v/>
      </c>
      <c r="G1403" s="4" t="str">
        <f>IFERROR(__xludf.DUMMYFUNCTION("""COMPUTED_VALUE"""),"")</f>
        <v/>
      </c>
      <c r="H1403" s="4" t="str">
        <f>IFERROR(__xludf.DUMMYFUNCTION("""COMPUTED_VALUE"""),"")</f>
        <v/>
      </c>
      <c r="I1403" s="4" t="str">
        <f>IFERROR(__xludf.DUMMYFUNCTION("""COMPUTED_VALUE"""),"")</f>
        <v/>
      </c>
      <c r="J1403" s="4" t="str">
        <f>IFERROR(__xludf.DUMMYFUNCTION("""COMPUTED_VALUE"""),"")</f>
        <v/>
      </c>
      <c r="K1403" s="4" t="str">
        <f>IFERROR(__xludf.DUMMYFUNCTION("""COMPUTED_VALUE"""),"")</f>
        <v/>
      </c>
      <c r="L1403" s="4" t="str">
        <f>IFERROR(__xludf.DUMMYFUNCTION("""COMPUTED_VALUE"""),"")</f>
        <v/>
      </c>
      <c r="M1403" s="4" t="str">
        <f>IFERROR(__xludf.DUMMYFUNCTION("""COMPUTED_VALUE"""),"")</f>
        <v/>
      </c>
      <c r="N1403" s="4" t="str">
        <f>IFERROR(__xludf.DUMMYFUNCTION("""COMPUTED_VALUE"""),"")</f>
        <v/>
      </c>
      <c r="O1403" s="4" t="str">
        <f>IFERROR(__xludf.DUMMYFUNCTION("""COMPUTED_VALUE"""),"")</f>
        <v/>
      </c>
      <c r="P1403" s="4" t="str">
        <f>IFERROR(__xludf.DUMMYFUNCTION("""COMPUTED_VALUE"""),"")</f>
        <v/>
      </c>
      <c r="Q1403" s="4" t="str">
        <f>IFERROR(__xludf.DUMMYFUNCTION("""COMPUTED_VALUE"""),"")</f>
        <v/>
      </c>
      <c r="R1403" s="4" t="str">
        <f>IFERROR(__xludf.DUMMYFUNCTION("""COMPUTED_VALUE"""),"")</f>
        <v/>
      </c>
      <c r="S1403" s="4" t="str">
        <f>IFERROR(__xludf.DUMMYFUNCTION("""COMPUTED_VALUE"""),"")</f>
        <v/>
      </c>
      <c r="T1403" s="4" t="str">
        <f>IFERROR(__xludf.DUMMYFUNCTION("""COMPUTED_VALUE"""),"")</f>
        <v/>
      </c>
      <c r="U1403" s="4" t="str">
        <f>IFERROR(__xludf.DUMMYFUNCTION("""COMPUTED_VALUE"""),"")</f>
        <v/>
      </c>
      <c r="V1403" s="4" t="str">
        <f>IFERROR(__xludf.DUMMYFUNCTION("""COMPUTED_VALUE"""),"")</f>
        <v/>
      </c>
      <c r="W1403" s="4" t="str">
        <f>IFERROR(__xludf.DUMMYFUNCTION("""COMPUTED_VALUE"""),"")</f>
        <v/>
      </c>
      <c r="X1403" s="4" t="str">
        <f>IFERROR(__xludf.DUMMYFUNCTION("""COMPUTED_VALUE"""),"")</f>
        <v/>
      </c>
      <c r="Y1403" s="4" t="str">
        <f>IFERROR(__xludf.DUMMYFUNCTION("""COMPUTED_VALUE"""),"")</f>
        <v/>
      </c>
    </row>
    <row r="1404">
      <c r="A1404" s="4" t="str">
        <f>IFERROR(__xludf.DUMMYFUNCTION("""COMPUTED_VALUE"""),"1935 - Channel")</f>
        <v>1935 - Channel</v>
      </c>
      <c r="B1404" s="4" t="str">
        <f>IFERROR(__xludf.DUMMYFUNCTION("""COMPUTED_VALUE"""),"")</f>
        <v/>
      </c>
      <c r="C1404" s="4" t="str">
        <f>IFERROR(__xludf.DUMMYFUNCTION("""COMPUTED_VALUE"""),"")</f>
        <v/>
      </c>
      <c r="D1404" s="4" t="str">
        <f>IFERROR(__xludf.DUMMYFUNCTION("""COMPUTED_VALUE"""),"")</f>
        <v/>
      </c>
      <c r="E1404" s="4" t="str">
        <f>IFERROR(__xludf.DUMMYFUNCTION("""COMPUTED_VALUE"""),"")</f>
        <v/>
      </c>
      <c r="F1404" s="4" t="str">
        <f>IFERROR(__xludf.DUMMYFUNCTION("""COMPUTED_VALUE"""),"")</f>
        <v/>
      </c>
      <c r="G1404" s="4" t="str">
        <f>IFERROR(__xludf.DUMMYFUNCTION("""COMPUTED_VALUE"""),"")</f>
        <v/>
      </c>
      <c r="H1404" s="4" t="str">
        <f>IFERROR(__xludf.DUMMYFUNCTION("""COMPUTED_VALUE"""),"")</f>
        <v/>
      </c>
      <c r="I1404" s="4" t="str">
        <f>IFERROR(__xludf.DUMMYFUNCTION("""COMPUTED_VALUE"""),"")</f>
        <v/>
      </c>
      <c r="J1404" s="4" t="str">
        <f>IFERROR(__xludf.DUMMYFUNCTION("""COMPUTED_VALUE"""),"")</f>
        <v/>
      </c>
      <c r="K1404" s="4" t="str">
        <f>IFERROR(__xludf.DUMMYFUNCTION("""COMPUTED_VALUE"""),"")</f>
        <v/>
      </c>
      <c r="L1404" s="4" t="str">
        <f>IFERROR(__xludf.DUMMYFUNCTION("""COMPUTED_VALUE"""),"")</f>
        <v/>
      </c>
      <c r="M1404" s="4" t="str">
        <f>IFERROR(__xludf.DUMMYFUNCTION("""COMPUTED_VALUE"""),"")</f>
        <v/>
      </c>
      <c r="N1404" s="4" t="str">
        <f>IFERROR(__xludf.DUMMYFUNCTION("""COMPUTED_VALUE"""),"")</f>
        <v/>
      </c>
      <c r="O1404" s="4" t="str">
        <f>IFERROR(__xludf.DUMMYFUNCTION("""COMPUTED_VALUE"""),"")</f>
        <v/>
      </c>
      <c r="P1404" s="4" t="str">
        <f>IFERROR(__xludf.DUMMYFUNCTION("""COMPUTED_VALUE"""),"")</f>
        <v/>
      </c>
      <c r="Q1404" s="4" t="str">
        <f>IFERROR(__xludf.DUMMYFUNCTION("""COMPUTED_VALUE"""),"")</f>
        <v/>
      </c>
      <c r="R1404" s="4" t="str">
        <f>IFERROR(__xludf.DUMMYFUNCTION("""COMPUTED_VALUE"""),"")</f>
        <v/>
      </c>
      <c r="S1404" s="4" t="str">
        <f>IFERROR(__xludf.DUMMYFUNCTION("""COMPUTED_VALUE"""),"")</f>
        <v/>
      </c>
      <c r="T1404" s="4" t="str">
        <f>IFERROR(__xludf.DUMMYFUNCTION("""COMPUTED_VALUE"""),"")</f>
        <v/>
      </c>
      <c r="U1404" s="4" t="str">
        <f>IFERROR(__xludf.DUMMYFUNCTION("""COMPUTED_VALUE"""),"")</f>
        <v/>
      </c>
      <c r="V1404" s="4" t="str">
        <f>IFERROR(__xludf.DUMMYFUNCTION("""COMPUTED_VALUE"""),"")</f>
        <v/>
      </c>
      <c r="W1404" s="4" t="str">
        <f>IFERROR(__xludf.DUMMYFUNCTION("""COMPUTED_VALUE"""),"")</f>
        <v/>
      </c>
      <c r="X1404" s="4" t="str">
        <f>IFERROR(__xludf.DUMMYFUNCTION("""COMPUTED_VALUE"""),"")</f>
        <v/>
      </c>
      <c r="Y1404" s="4" t="str">
        <f>IFERROR(__xludf.DUMMYFUNCTION("""COMPUTED_VALUE"""),"")</f>
        <v/>
      </c>
    </row>
    <row r="1405">
      <c r="A1405" s="4" t="str">
        <f>IFERROR(__xludf.DUMMYFUNCTION("""COMPUTED_VALUE"""),"1936 - Channel")</f>
        <v>1936 - Channel</v>
      </c>
      <c r="B1405" s="4" t="str">
        <f>IFERROR(__xludf.DUMMYFUNCTION("""COMPUTED_VALUE"""),"")</f>
        <v/>
      </c>
      <c r="C1405" s="4" t="str">
        <f>IFERROR(__xludf.DUMMYFUNCTION("""COMPUTED_VALUE"""),"")</f>
        <v/>
      </c>
      <c r="D1405" s="4" t="str">
        <f>IFERROR(__xludf.DUMMYFUNCTION("""COMPUTED_VALUE"""),"")</f>
        <v/>
      </c>
      <c r="E1405" s="4" t="str">
        <f>IFERROR(__xludf.DUMMYFUNCTION("""COMPUTED_VALUE"""),"")</f>
        <v/>
      </c>
      <c r="F1405" s="4" t="str">
        <f>IFERROR(__xludf.DUMMYFUNCTION("""COMPUTED_VALUE"""),"")</f>
        <v/>
      </c>
      <c r="G1405" s="4" t="str">
        <f>IFERROR(__xludf.DUMMYFUNCTION("""COMPUTED_VALUE"""),"")</f>
        <v/>
      </c>
      <c r="H1405" s="4" t="str">
        <f>IFERROR(__xludf.DUMMYFUNCTION("""COMPUTED_VALUE"""),"")</f>
        <v/>
      </c>
      <c r="I1405" s="4" t="str">
        <f>IFERROR(__xludf.DUMMYFUNCTION("""COMPUTED_VALUE"""),"")</f>
        <v/>
      </c>
      <c r="J1405" s="4" t="str">
        <f>IFERROR(__xludf.DUMMYFUNCTION("""COMPUTED_VALUE"""),"")</f>
        <v/>
      </c>
      <c r="K1405" s="4" t="str">
        <f>IFERROR(__xludf.DUMMYFUNCTION("""COMPUTED_VALUE"""),"")</f>
        <v/>
      </c>
      <c r="L1405" s="4" t="str">
        <f>IFERROR(__xludf.DUMMYFUNCTION("""COMPUTED_VALUE"""),"")</f>
        <v/>
      </c>
      <c r="M1405" s="4" t="str">
        <f>IFERROR(__xludf.DUMMYFUNCTION("""COMPUTED_VALUE"""),"")</f>
        <v/>
      </c>
      <c r="N1405" s="4" t="str">
        <f>IFERROR(__xludf.DUMMYFUNCTION("""COMPUTED_VALUE"""),"")</f>
        <v/>
      </c>
      <c r="O1405" s="4" t="str">
        <f>IFERROR(__xludf.DUMMYFUNCTION("""COMPUTED_VALUE"""),"")</f>
        <v/>
      </c>
      <c r="P1405" s="4" t="str">
        <f>IFERROR(__xludf.DUMMYFUNCTION("""COMPUTED_VALUE"""),"")</f>
        <v/>
      </c>
      <c r="Q1405" s="4" t="str">
        <f>IFERROR(__xludf.DUMMYFUNCTION("""COMPUTED_VALUE"""),"")</f>
        <v/>
      </c>
      <c r="R1405" s="4" t="str">
        <f>IFERROR(__xludf.DUMMYFUNCTION("""COMPUTED_VALUE"""),"")</f>
        <v/>
      </c>
      <c r="S1405" s="4" t="str">
        <f>IFERROR(__xludf.DUMMYFUNCTION("""COMPUTED_VALUE"""),"")</f>
        <v/>
      </c>
      <c r="T1405" s="4" t="str">
        <f>IFERROR(__xludf.DUMMYFUNCTION("""COMPUTED_VALUE"""),"")</f>
        <v/>
      </c>
      <c r="U1405" s="4" t="str">
        <f>IFERROR(__xludf.DUMMYFUNCTION("""COMPUTED_VALUE"""),"")</f>
        <v/>
      </c>
      <c r="V1405" s="4" t="str">
        <f>IFERROR(__xludf.DUMMYFUNCTION("""COMPUTED_VALUE"""),"")</f>
        <v/>
      </c>
      <c r="W1405" s="4" t="str">
        <f>IFERROR(__xludf.DUMMYFUNCTION("""COMPUTED_VALUE"""),"")</f>
        <v/>
      </c>
      <c r="X1405" s="4" t="str">
        <f>IFERROR(__xludf.DUMMYFUNCTION("""COMPUTED_VALUE"""),"")</f>
        <v/>
      </c>
      <c r="Y1405" s="4" t="str">
        <f>IFERROR(__xludf.DUMMYFUNCTION("""COMPUTED_VALUE"""),"")</f>
        <v/>
      </c>
    </row>
    <row r="1406">
      <c r="A1406" s="4" t="str">
        <f>IFERROR(__xludf.DUMMYFUNCTION("""COMPUTED_VALUE"""),"1937 - Channel")</f>
        <v>1937 - Channel</v>
      </c>
      <c r="B1406" s="4" t="str">
        <f>IFERROR(__xludf.DUMMYFUNCTION("""COMPUTED_VALUE"""),"")</f>
        <v/>
      </c>
      <c r="C1406" s="4" t="str">
        <f>IFERROR(__xludf.DUMMYFUNCTION("""COMPUTED_VALUE"""),"")</f>
        <v/>
      </c>
      <c r="D1406" s="4" t="str">
        <f>IFERROR(__xludf.DUMMYFUNCTION("""COMPUTED_VALUE"""),"")</f>
        <v/>
      </c>
      <c r="E1406" s="4" t="str">
        <f>IFERROR(__xludf.DUMMYFUNCTION("""COMPUTED_VALUE"""),"")</f>
        <v/>
      </c>
      <c r="F1406" s="4" t="str">
        <f>IFERROR(__xludf.DUMMYFUNCTION("""COMPUTED_VALUE"""),"")</f>
        <v/>
      </c>
      <c r="G1406" s="4" t="str">
        <f>IFERROR(__xludf.DUMMYFUNCTION("""COMPUTED_VALUE"""),"")</f>
        <v/>
      </c>
      <c r="H1406" s="4" t="str">
        <f>IFERROR(__xludf.DUMMYFUNCTION("""COMPUTED_VALUE"""),"")</f>
        <v/>
      </c>
      <c r="I1406" s="4" t="str">
        <f>IFERROR(__xludf.DUMMYFUNCTION("""COMPUTED_VALUE"""),"")</f>
        <v/>
      </c>
      <c r="J1406" s="4" t="str">
        <f>IFERROR(__xludf.DUMMYFUNCTION("""COMPUTED_VALUE"""),"")</f>
        <v/>
      </c>
      <c r="K1406" s="4" t="str">
        <f>IFERROR(__xludf.DUMMYFUNCTION("""COMPUTED_VALUE"""),"")</f>
        <v/>
      </c>
      <c r="L1406" s="4" t="str">
        <f>IFERROR(__xludf.DUMMYFUNCTION("""COMPUTED_VALUE"""),"")</f>
        <v/>
      </c>
      <c r="M1406" s="4" t="str">
        <f>IFERROR(__xludf.DUMMYFUNCTION("""COMPUTED_VALUE"""),"")</f>
        <v/>
      </c>
      <c r="N1406" s="4" t="str">
        <f>IFERROR(__xludf.DUMMYFUNCTION("""COMPUTED_VALUE"""),"")</f>
        <v/>
      </c>
      <c r="O1406" s="4" t="str">
        <f>IFERROR(__xludf.DUMMYFUNCTION("""COMPUTED_VALUE"""),"")</f>
        <v/>
      </c>
      <c r="P1406" s="4" t="str">
        <f>IFERROR(__xludf.DUMMYFUNCTION("""COMPUTED_VALUE"""),"")</f>
        <v/>
      </c>
      <c r="Q1406" s="4" t="str">
        <f>IFERROR(__xludf.DUMMYFUNCTION("""COMPUTED_VALUE"""),"")</f>
        <v/>
      </c>
      <c r="R1406" s="4" t="str">
        <f>IFERROR(__xludf.DUMMYFUNCTION("""COMPUTED_VALUE"""),"")</f>
        <v/>
      </c>
      <c r="S1406" s="4" t="str">
        <f>IFERROR(__xludf.DUMMYFUNCTION("""COMPUTED_VALUE"""),"")</f>
        <v/>
      </c>
      <c r="T1406" s="4" t="str">
        <f>IFERROR(__xludf.DUMMYFUNCTION("""COMPUTED_VALUE"""),"")</f>
        <v/>
      </c>
      <c r="U1406" s="4" t="str">
        <f>IFERROR(__xludf.DUMMYFUNCTION("""COMPUTED_VALUE"""),"")</f>
        <v/>
      </c>
      <c r="V1406" s="4" t="str">
        <f>IFERROR(__xludf.DUMMYFUNCTION("""COMPUTED_VALUE"""),"")</f>
        <v/>
      </c>
      <c r="W1406" s="4" t="str">
        <f>IFERROR(__xludf.DUMMYFUNCTION("""COMPUTED_VALUE"""),"")</f>
        <v/>
      </c>
      <c r="X1406" s="4" t="str">
        <f>IFERROR(__xludf.DUMMYFUNCTION("""COMPUTED_VALUE"""),"")</f>
        <v/>
      </c>
      <c r="Y1406" s="4" t="str">
        <f>IFERROR(__xludf.DUMMYFUNCTION("""COMPUTED_VALUE"""),"")</f>
        <v/>
      </c>
    </row>
    <row r="1407">
      <c r="A1407" s="4" t="str">
        <f>IFERROR(__xludf.DUMMYFUNCTION("""COMPUTED_VALUE"""),"1938 - Channel")</f>
        <v>1938 - Channel</v>
      </c>
      <c r="B1407" s="4" t="str">
        <f>IFERROR(__xludf.DUMMYFUNCTION("""COMPUTED_VALUE"""),"")</f>
        <v/>
      </c>
      <c r="C1407" s="4" t="str">
        <f>IFERROR(__xludf.DUMMYFUNCTION("""COMPUTED_VALUE"""),"")</f>
        <v/>
      </c>
      <c r="D1407" s="4" t="str">
        <f>IFERROR(__xludf.DUMMYFUNCTION("""COMPUTED_VALUE"""),"")</f>
        <v/>
      </c>
      <c r="E1407" s="4" t="str">
        <f>IFERROR(__xludf.DUMMYFUNCTION("""COMPUTED_VALUE"""),"")</f>
        <v/>
      </c>
      <c r="F1407" s="4" t="str">
        <f>IFERROR(__xludf.DUMMYFUNCTION("""COMPUTED_VALUE"""),"")</f>
        <v/>
      </c>
      <c r="G1407" s="4" t="str">
        <f>IFERROR(__xludf.DUMMYFUNCTION("""COMPUTED_VALUE"""),"")</f>
        <v/>
      </c>
      <c r="H1407" s="4" t="str">
        <f>IFERROR(__xludf.DUMMYFUNCTION("""COMPUTED_VALUE"""),"")</f>
        <v/>
      </c>
      <c r="I1407" s="4" t="str">
        <f>IFERROR(__xludf.DUMMYFUNCTION("""COMPUTED_VALUE"""),"")</f>
        <v/>
      </c>
      <c r="J1407" s="4" t="str">
        <f>IFERROR(__xludf.DUMMYFUNCTION("""COMPUTED_VALUE"""),"")</f>
        <v/>
      </c>
      <c r="K1407" s="4" t="str">
        <f>IFERROR(__xludf.DUMMYFUNCTION("""COMPUTED_VALUE"""),"")</f>
        <v/>
      </c>
      <c r="L1407" s="4" t="str">
        <f>IFERROR(__xludf.DUMMYFUNCTION("""COMPUTED_VALUE"""),"")</f>
        <v/>
      </c>
      <c r="M1407" s="4" t="str">
        <f>IFERROR(__xludf.DUMMYFUNCTION("""COMPUTED_VALUE"""),"")</f>
        <v/>
      </c>
      <c r="N1407" s="4" t="str">
        <f>IFERROR(__xludf.DUMMYFUNCTION("""COMPUTED_VALUE"""),"")</f>
        <v/>
      </c>
      <c r="O1407" s="4" t="str">
        <f>IFERROR(__xludf.DUMMYFUNCTION("""COMPUTED_VALUE"""),"")</f>
        <v/>
      </c>
      <c r="P1407" s="4" t="str">
        <f>IFERROR(__xludf.DUMMYFUNCTION("""COMPUTED_VALUE"""),"")</f>
        <v/>
      </c>
      <c r="Q1407" s="4" t="str">
        <f>IFERROR(__xludf.DUMMYFUNCTION("""COMPUTED_VALUE"""),"")</f>
        <v/>
      </c>
      <c r="R1407" s="4" t="str">
        <f>IFERROR(__xludf.DUMMYFUNCTION("""COMPUTED_VALUE"""),"")</f>
        <v/>
      </c>
      <c r="S1407" s="4" t="str">
        <f>IFERROR(__xludf.DUMMYFUNCTION("""COMPUTED_VALUE"""),"")</f>
        <v/>
      </c>
      <c r="T1407" s="4" t="str">
        <f>IFERROR(__xludf.DUMMYFUNCTION("""COMPUTED_VALUE"""),"")</f>
        <v/>
      </c>
      <c r="U1407" s="4" t="str">
        <f>IFERROR(__xludf.DUMMYFUNCTION("""COMPUTED_VALUE"""),"")</f>
        <v/>
      </c>
      <c r="V1407" s="4" t="str">
        <f>IFERROR(__xludf.DUMMYFUNCTION("""COMPUTED_VALUE"""),"")</f>
        <v/>
      </c>
      <c r="W1407" s="4" t="str">
        <f>IFERROR(__xludf.DUMMYFUNCTION("""COMPUTED_VALUE"""),"")</f>
        <v/>
      </c>
      <c r="X1407" s="4" t="str">
        <f>IFERROR(__xludf.DUMMYFUNCTION("""COMPUTED_VALUE"""),"")</f>
        <v/>
      </c>
      <c r="Y1407" s="4" t="str">
        <f>IFERROR(__xludf.DUMMYFUNCTION("""COMPUTED_VALUE"""),"")</f>
        <v/>
      </c>
    </row>
    <row r="1408">
      <c r="A1408" s="4" t="str">
        <f>IFERROR(__xludf.DUMMYFUNCTION("""COMPUTED_VALUE"""),"1939 - Channel")</f>
        <v>1939 - Channel</v>
      </c>
      <c r="B1408" s="4" t="str">
        <f>IFERROR(__xludf.DUMMYFUNCTION("""COMPUTED_VALUE"""),"")</f>
        <v/>
      </c>
      <c r="C1408" s="4" t="str">
        <f>IFERROR(__xludf.DUMMYFUNCTION("""COMPUTED_VALUE"""),"")</f>
        <v/>
      </c>
      <c r="D1408" s="4" t="str">
        <f>IFERROR(__xludf.DUMMYFUNCTION("""COMPUTED_VALUE"""),"")</f>
        <v/>
      </c>
      <c r="E1408" s="4" t="str">
        <f>IFERROR(__xludf.DUMMYFUNCTION("""COMPUTED_VALUE"""),"")</f>
        <v/>
      </c>
      <c r="F1408" s="4" t="str">
        <f>IFERROR(__xludf.DUMMYFUNCTION("""COMPUTED_VALUE"""),"")</f>
        <v/>
      </c>
      <c r="G1408" s="4" t="str">
        <f>IFERROR(__xludf.DUMMYFUNCTION("""COMPUTED_VALUE"""),"")</f>
        <v/>
      </c>
      <c r="H1408" s="4" t="str">
        <f>IFERROR(__xludf.DUMMYFUNCTION("""COMPUTED_VALUE"""),"")</f>
        <v/>
      </c>
      <c r="I1408" s="4" t="str">
        <f>IFERROR(__xludf.DUMMYFUNCTION("""COMPUTED_VALUE"""),"")</f>
        <v/>
      </c>
      <c r="J1408" s="4" t="str">
        <f>IFERROR(__xludf.DUMMYFUNCTION("""COMPUTED_VALUE"""),"")</f>
        <v/>
      </c>
      <c r="K1408" s="4" t="str">
        <f>IFERROR(__xludf.DUMMYFUNCTION("""COMPUTED_VALUE"""),"")</f>
        <v/>
      </c>
      <c r="L1408" s="4" t="str">
        <f>IFERROR(__xludf.DUMMYFUNCTION("""COMPUTED_VALUE"""),"")</f>
        <v/>
      </c>
      <c r="M1408" s="4" t="str">
        <f>IFERROR(__xludf.DUMMYFUNCTION("""COMPUTED_VALUE"""),"")</f>
        <v/>
      </c>
      <c r="N1408" s="4" t="str">
        <f>IFERROR(__xludf.DUMMYFUNCTION("""COMPUTED_VALUE"""),"")</f>
        <v/>
      </c>
      <c r="O1408" s="4" t="str">
        <f>IFERROR(__xludf.DUMMYFUNCTION("""COMPUTED_VALUE"""),"")</f>
        <v/>
      </c>
      <c r="P1408" s="4" t="str">
        <f>IFERROR(__xludf.DUMMYFUNCTION("""COMPUTED_VALUE"""),"")</f>
        <v/>
      </c>
      <c r="Q1408" s="4" t="str">
        <f>IFERROR(__xludf.DUMMYFUNCTION("""COMPUTED_VALUE"""),"")</f>
        <v/>
      </c>
      <c r="R1408" s="4" t="str">
        <f>IFERROR(__xludf.DUMMYFUNCTION("""COMPUTED_VALUE"""),"")</f>
        <v/>
      </c>
      <c r="S1408" s="4" t="str">
        <f>IFERROR(__xludf.DUMMYFUNCTION("""COMPUTED_VALUE"""),"")</f>
        <v/>
      </c>
      <c r="T1408" s="4" t="str">
        <f>IFERROR(__xludf.DUMMYFUNCTION("""COMPUTED_VALUE"""),"")</f>
        <v/>
      </c>
      <c r="U1408" s="4" t="str">
        <f>IFERROR(__xludf.DUMMYFUNCTION("""COMPUTED_VALUE"""),"")</f>
        <v/>
      </c>
      <c r="V1408" s="4" t="str">
        <f>IFERROR(__xludf.DUMMYFUNCTION("""COMPUTED_VALUE"""),"")</f>
        <v/>
      </c>
      <c r="W1408" s="4" t="str">
        <f>IFERROR(__xludf.DUMMYFUNCTION("""COMPUTED_VALUE"""),"")</f>
        <v/>
      </c>
      <c r="X1408" s="4" t="str">
        <f>IFERROR(__xludf.DUMMYFUNCTION("""COMPUTED_VALUE"""),"")</f>
        <v/>
      </c>
      <c r="Y1408" s="4" t="str">
        <f>IFERROR(__xludf.DUMMYFUNCTION("""COMPUTED_VALUE"""),"")</f>
        <v/>
      </c>
    </row>
    <row r="1409">
      <c r="A1409" s="4" t="str">
        <f>IFERROR(__xludf.DUMMYFUNCTION("""COMPUTED_VALUE"""),"1940 - Channel")</f>
        <v>1940 - Channel</v>
      </c>
      <c r="B1409" s="4" t="str">
        <f>IFERROR(__xludf.DUMMYFUNCTION("""COMPUTED_VALUE"""),"")</f>
        <v/>
      </c>
      <c r="C1409" s="4" t="str">
        <f>IFERROR(__xludf.DUMMYFUNCTION("""COMPUTED_VALUE"""),"")</f>
        <v/>
      </c>
      <c r="D1409" s="4" t="str">
        <f>IFERROR(__xludf.DUMMYFUNCTION("""COMPUTED_VALUE"""),"")</f>
        <v/>
      </c>
      <c r="E1409" s="4" t="str">
        <f>IFERROR(__xludf.DUMMYFUNCTION("""COMPUTED_VALUE"""),"")</f>
        <v/>
      </c>
      <c r="F1409" s="4" t="str">
        <f>IFERROR(__xludf.DUMMYFUNCTION("""COMPUTED_VALUE"""),"")</f>
        <v/>
      </c>
      <c r="G1409" s="4" t="str">
        <f>IFERROR(__xludf.DUMMYFUNCTION("""COMPUTED_VALUE"""),"")</f>
        <v/>
      </c>
      <c r="H1409" s="4" t="str">
        <f>IFERROR(__xludf.DUMMYFUNCTION("""COMPUTED_VALUE"""),"")</f>
        <v/>
      </c>
      <c r="I1409" s="4" t="str">
        <f>IFERROR(__xludf.DUMMYFUNCTION("""COMPUTED_VALUE"""),"")</f>
        <v/>
      </c>
      <c r="J1409" s="4" t="str">
        <f>IFERROR(__xludf.DUMMYFUNCTION("""COMPUTED_VALUE"""),"")</f>
        <v/>
      </c>
      <c r="K1409" s="4" t="str">
        <f>IFERROR(__xludf.DUMMYFUNCTION("""COMPUTED_VALUE"""),"")</f>
        <v/>
      </c>
      <c r="L1409" s="4" t="str">
        <f>IFERROR(__xludf.DUMMYFUNCTION("""COMPUTED_VALUE"""),"")</f>
        <v/>
      </c>
      <c r="M1409" s="4" t="str">
        <f>IFERROR(__xludf.DUMMYFUNCTION("""COMPUTED_VALUE"""),"")</f>
        <v/>
      </c>
      <c r="N1409" s="4" t="str">
        <f>IFERROR(__xludf.DUMMYFUNCTION("""COMPUTED_VALUE"""),"")</f>
        <v/>
      </c>
      <c r="O1409" s="4" t="str">
        <f>IFERROR(__xludf.DUMMYFUNCTION("""COMPUTED_VALUE"""),"")</f>
        <v/>
      </c>
      <c r="P1409" s="4" t="str">
        <f>IFERROR(__xludf.DUMMYFUNCTION("""COMPUTED_VALUE"""),"")</f>
        <v/>
      </c>
      <c r="Q1409" s="4" t="str">
        <f>IFERROR(__xludf.DUMMYFUNCTION("""COMPUTED_VALUE"""),"")</f>
        <v/>
      </c>
      <c r="R1409" s="4" t="str">
        <f>IFERROR(__xludf.DUMMYFUNCTION("""COMPUTED_VALUE"""),"")</f>
        <v/>
      </c>
      <c r="S1409" s="4" t="str">
        <f>IFERROR(__xludf.DUMMYFUNCTION("""COMPUTED_VALUE"""),"")</f>
        <v/>
      </c>
      <c r="T1409" s="4" t="str">
        <f>IFERROR(__xludf.DUMMYFUNCTION("""COMPUTED_VALUE"""),"")</f>
        <v/>
      </c>
      <c r="U1409" s="4" t="str">
        <f>IFERROR(__xludf.DUMMYFUNCTION("""COMPUTED_VALUE"""),"")</f>
        <v/>
      </c>
      <c r="V1409" s="4" t="str">
        <f>IFERROR(__xludf.DUMMYFUNCTION("""COMPUTED_VALUE"""),"")</f>
        <v/>
      </c>
      <c r="W1409" s="4" t="str">
        <f>IFERROR(__xludf.DUMMYFUNCTION("""COMPUTED_VALUE"""),"")</f>
        <v/>
      </c>
      <c r="X1409" s="4" t="str">
        <f>IFERROR(__xludf.DUMMYFUNCTION("""COMPUTED_VALUE"""),"")</f>
        <v/>
      </c>
      <c r="Y1409" s="4" t="str">
        <f>IFERROR(__xludf.DUMMYFUNCTION("""COMPUTED_VALUE"""),"")</f>
        <v/>
      </c>
    </row>
    <row r="1410">
      <c r="A1410" s="4" t="str">
        <f>IFERROR(__xludf.DUMMYFUNCTION("""COMPUTED_VALUE"""),"1941 - Channel")</f>
        <v>1941 - Channel</v>
      </c>
      <c r="B1410" s="4" t="str">
        <f>IFERROR(__xludf.DUMMYFUNCTION("""COMPUTED_VALUE"""),"")</f>
        <v/>
      </c>
      <c r="C1410" s="4" t="str">
        <f>IFERROR(__xludf.DUMMYFUNCTION("""COMPUTED_VALUE"""),"")</f>
        <v/>
      </c>
      <c r="D1410" s="4" t="str">
        <f>IFERROR(__xludf.DUMMYFUNCTION("""COMPUTED_VALUE"""),"")</f>
        <v/>
      </c>
      <c r="E1410" s="4" t="str">
        <f>IFERROR(__xludf.DUMMYFUNCTION("""COMPUTED_VALUE"""),"")</f>
        <v/>
      </c>
      <c r="F1410" s="4" t="str">
        <f>IFERROR(__xludf.DUMMYFUNCTION("""COMPUTED_VALUE"""),"")</f>
        <v/>
      </c>
      <c r="G1410" s="4" t="str">
        <f>IFERROR(__xludf.DUMMYFUNCTION("""COMPUTED_VALUE"""),"")</f>
        <v/>
      </c>
      <c r="H1410" s="4" t="str">
        <f>IFERROR(__xludf.DUMMYFUNCTION("""COMPUTED_VALUE"""),"")</f>
        <v/>
      </c>
      <c r="I1410" s="4" t="str">
        <f>IFERROR(__xludf.DUMMYFUNCTION("""COMPUTED_VALUE"""),"")</f>
        <v/>
      </c>
      <c r="J1410" s="4" t="str">
        <f>IFERROR(__xludf.DUMMYFUNCTION("""COMPUTED_VALUE"""),"")</f>
        <v/>
      </c>
      <c r="K1410" s="4" t="str">
        <f>IFERROR(__xludf.DUMMYFUNCTION("""COMPUTED_VALUE"""),"")</f>
        <v/>
      </c>
      <c r="L1410" s="4" t="str">
        <f>IFERROR(__xludf.DUMMYFUNCTION("""COMPUTED_VALUE"""),"")</f>
        <v/>
      </c>
      <c r="M1410" s="4" t="str">
        <f>IFERROR(__xludf.DUMMYFUNCTION("""COMPUTED_VALUE"""),"")</f>
        <v/>
      </c>
      <c r="N1410" s="4" t="str">
        <f>IFERROR(__xludf.DUMMYFUNCTION("""COMPUTED_VALUE"""),"")</f>
        <v/>
      </c>
      <c r="O1410" s="4" t="str">
        <f>IFERROR(__xludf.DUMMYFUNCTION("""COMPUTED_VALUE"""),"")</f>
        <v/>
      </c>
      <c r="P1410" s="4" t="str">
        <f>IFERROR(__xludf.DUMMYFUNCTION("""COMPUTED_VALUE"""),"")</f>
        <v/>
      </c>
      <c r="Q1410" s="4" t="str">
        <f>IFERROR(__xludf.DUMMYFUNCTION("""COMPUTED_VALUE"""),"")</f>
        <v/>
      </c>
      <c r="R1410" s="4" t="str">
        <f>IFERROR(__xludf.DUMMYFUNCTION("""COMPUTED_VALUE"""),"")</f>
        <v/>
      </c>
      <c r="S1410" s="4" t="str">
        <f>IFERROR(__xludf.DUMMYFUNCTION("""COMPUTED_VALUE"""),"")</f>
        <v/>
      </c>
      <c r="T1410" s="4" t="str">
        <f>IFERROR(__xludf.DUMMYFUNCTION("""COMPUTED_VALUE"""),"")</f>
        <v/>
      </c>
      <c r="U1410" s="4" t="str">
        <f>IFERROR(__xludf.DUMMYFUNCTION("""COMPUTED_VALUE"""),"")</f>
        <v/>
      </c>
      <c r="V1410" s="4" t="str">
        <f>IFERROR(__xludf.DUMMYFUNCTION("""COMPUTED_VALUE"""),"")</f>
        <v/>
      </c>
      <c r="W1410" s="4" t="str">
        <f>IFERROR(__xludf.DUMMYFUNCTION("""COMPUTED_VALUE"""),"")</f>
        <v/>
      </c>
      <c r="X1410" s="4" t="str">
        <f>IFERROR(__xludf.DUMMYFUNCTION("""COMPUTED_VALUE"""),"")</f>
        <v/>
      </c>
      <c r="Y1410" s="4" t="str">
        <f>IFERROR(__xludf.DUMMYFUNCTION("""COMPUTED_VALUE"""),"")</f>
        <v/>
      </c>
    </row>
    <row r="1411">
      <c r="A1411" s="4" t="str">
        <f>IFERROR(__xludf.DUMMYFUNCTION("""COMPUTED_VALUE"""),"1942 - Channel")</f>
        <v>1942 - Channel</v>
      </c>
      <c r="B1411" s="4" t="str">
        <f>IFERROR(__xludf.DUMMYFUNCTION("""COMPUTED_VALUE"""),"")</f>
        <v/>
      </c>
      <c r="C1411" s="4" t="str">
        <f>IFERROR(__xludf.DUMMYFUNCTION("""COMPUTED_VALUE"""),"")</f>
        <v/>
      </c>
      <c r="D1411" s="4" t="str">
        <f>IFERROR(__xludf.DUMMYFUNCTION("""COMPUTED_VALUE"""),"")</f>
        <v/>
      </c>
      <c r="E1411" s="4" t="str">
        <f>IFERROR(__xludf.DUMMYFUNCTION("""COMPUTED_VALUE"""),"")</f>
        <v/>
      </c>
      <c r="F1411" s="4" t="str">
        <f>IFERROR(__xludf.DUMMYFUNCTION("""COMPUTED_VALUE"""),"")</f>
        <v/>
      </c>
      <c r="G1411" s="4" t="str">
        <f>IFERROR(__xludf.DUMMYFUNCTION("""COMPUTED_VALUE"""),"")</f>
        <v/>
      </c>
      <c r="H1411" s="4" t="str">
        <f>IFERROR(__xludf.DUMMYFUNCTION("""COMPUTED_VALUE"""),"")</f>
        <v/>
      </c>
      <c r="I1411" s="4" t="str">
        <f>IFERROR(__xludf.DUMMYFUNCTION("""COMPUTED_VALUE"""),"")</f>
        <v/>
      </c>
      <c r="J1411" s="4" t="str">
        <f>IFERROR(__xludf.DUMMYFUNCTION("""COMPUTED_VALUE"""),"")</f>
        <v/>
      </c>
      <c r="K1411" s="4" t="str">
        <f>IFERROR(__xludf.DUMMYFUNCTION("""COMPUTED_VALUE"""),"")</f>
        <v/>
      </c>
      <c r="L1411" s="4" t="str">
        <f>IFERROR(__xludf.DUMMYFUNCTION("""COMPUTED_VALUE"""),"")</f>
        <v/>
      </c>
      <c r="M1411" s="4" t="str">
        <f>IFERROR(__xludf.DUMMYFUNCTION("""COMPUTED_VALUE"""),"")</f>
        <v/>
      </c>
      <c r="N1411" s="4" t="str">
        <f>IFERROR(__xludf.DUMMYFUNCTION("""COMPUTED_VALUE"""),"")</f>
        <v/>
      </c>
      <c r="O1411" s="4" t="str">
        <f>IFERROR(__xludf.DUMMYFUNCTION("""COMPUTED_VALUE"""),"")</f>
        <v/>
      </c>
      <c r="P1411" s="4" t="str">
        <f>IFERROR(__xludf.DUMMYFUNCTION("""COMPUTED_VALUE"""),"")</f>
        <v/>
      </c>
      <c r="Q1411" s="4" t="str">
        <f>IFERROR(__xludf.DUMMYFUNCTION("""COMPUTED_VALUE"""),"")</f>
        <v/>
      </c>
      <c r="R1411" s="4" t="str">
        <f>IFERROR(__xludf.DUMMYFUNCTION("""COMPUTED_VALUE"""),"")</f>
        <v/>
      </c>
      <c r="S1411" s="4" t="str">
        <f>IFERROR(__xludf.DUMMYFUNCTION("""COMPUTED_VALUE"""),"")</f>
        <v/>
      </c>
      <c r="T1411" s="4" t="str">
        <f>IFERROR(__xludf.DUMMYFUNCTION("""COMPUTED_VALUE"""),"")</f>
        <v/>
      </c>
      <c r="U1411" s="4" t="str">
        <f>IFERROR(__xludf.DUMMYFUNCTION("""COMPUTED_VALUE"""),"")</f>
        <v/>
      </c>
      <c r="V1411" s="4" t="str">
        <f>IFERROR(__xludf.DUMMYFUNCTION("""COMPUTED_VALUE"""),"")</f>
        <v/>
      </c>
      <c r="W1411" s="4" t="str">
        <f>IFERROR(__xludf.DUMMYFUNCTION("""COMPUTED_VALUE"""),"")</f>
        <v/>
      </c>
      <c r="X1411" s="4" t="str">
        <f>IFERROR(__xludf.DUMMYFUNCTION("""COMPUTED_VALUE"""),"")</f>
        <v/>
      </c>
      <c r="Y1411" s="4" t="str">
        <f>IFERROR(__xludf.DUMMYFUNCTION("""COMPUTED_VALUE"""),"")</f>
        <v/>
      </c>
    </row>
    <row r="1412">
      <c r="A1412" s="4" t="str">
        <f>IFERROR(__xludf.DUMMYFUNCTION("""COMPUTED_VALUE"""),"1943 - Channel")</f>
        <v>1943 - Channel</v>
      </c>
      <c r="B1412" s="4" t="str">
        <f>IFERROR(__xludf.DUMMYFUNCTION("""COMPUTED_VALUE"""),"")</f>
        <v/>
      </c>
      <c r="C1412" s="4" t="str">
        <f>IFERROR(__xludf.DUMMYFUNCTION("""COMPUTED_VALUE"""),"")</f>
        <v/>
      </c>
      <c r="D1412" s="4" t="str">
        <f>IFERROR(__xludf.DUMMYFUNCTION("""COMPUTED_VALUE"""),"")</f>
        <v/>
      </c>
      <c r="E1412" s="4" t="str">
        <f>IFERROR(__xludf.DUMMYFUNCTION("""COMPUTED_VALUE"""),"")</f>
        <v/>
      </c>
      <c r="F1412" s="4" t="str">
        <f>IFERROR(__xludf.DUMMYFUNCTION("""COMPUTED_VALUE"""),"")</f>
        <v/>
      </c>
      <c r="G1412" s="4" t="str">
        <f>IFERROR(__xludf.DUMMYFUNCTION("""COMPUTED_VALUE"""),"")</f>
        <v/>
      </c>
      <c r="H1412" s="4" t="str">
        <f>IFERROR(__xludf.DUMMYFUNCTION("""COMPUTED_VALUE"""),"")</f>
        <v/>
      </c>
      <c r="I1412" s="4" t="str">
        <f>IFERROR(__xludf.DUMMYFUNCTION("""COMPUTED_VALUE"""),"")</f>
        <v/>
      </c>
      <c r="J1412" s="4" t="str">
        <f>IFERROR(__xludf.DUMMYFUNCTION("""COMPUTED_VALUE"""),"")</f>
        <v/>
      </c>
      <c r="K1412" s="4" t="str">
        <f>IFERROR(__xludf.DUMMYFUNCTION("""COMPUTED_VALUE"""),"")</f>
        <v/>
      </c>
      <c r="L1412" s="4" t="str">
        <f>IFERROR(__xludf.DUMMYFUNCTION("""COMPUTED_VALUE"""),"")</f>
        <v/>
      </c>
      <c r="M1412" s="4" t="str">
        <f>IFERROR(__xludf.DUMMYFUNCTION("""COMPUTED_VALUE"""),"")</f>
        <v/>
      </c>
      <c r="N1412" s="4" t="str">
        <f>IFERROR(__xludf.DUMMYFUNCTION("""COMPUTED_VALUE"""),"")</f>
        <v/>
      </c>
      <c r="O1412" s="4" t="str">
        <f>IFERROR(__xludf.DUMMYFUNCTION("""COMPUTED_VALUE"""),"")</f>
        <v/>
      </c>
      <c r="P1412" s="4" t="str">
        <f>IFERROR(__xludf.DUMMYFUNCTION("""COMPUTED_VALUE"""),"")</f>
        <v/>
      </c>
      <c r="Q1412" s="4" t="str">
        <f>IFERROR(__xludf.DUMMYFUNCTION("""COMPUTED_VALUE"""),"")</f>
        <v/>
      </c>
      <c r="R1412" s="4" t="str">
        <f>IFERROR(__xludf.DUMMYFUNCTION("""COMPUTED_VALUE"""),"")</f>
        <v/>
      </c>
      <c r="S1412" s="4" t="str">
        <f>IFERROR(__xludf.DUMMYFUNCTION("""COMPUTED_VALUE"""),"")</f>
        <v/>
      </c>
      <c r="T1412" s="4" t="str">
        <f>IFERROR(__xludf.DUMMYFUNCTION("""COMPUTED_VALUE"""),"")</f>
        <v/>
      </c>
      <c r="U1412" s="4" t="str">
        <f>IFERROR(__xludf.DUMMYFUNCTION("""COMPUTED_VALUE"""),"")</f>
        <v/>
      </c>
      <c r="V1412" s="4" t="str">
        <f>IFERROR(__xludf.DUMMYFUNCTION("""COMPUTED_VALUE"""),"")</f>
        <v/>
      </c>
      <c r="W1412" s="4" t="str">
        <f>IFERROR(__xludf.DUMMYFUNCTION("""COMPUTED_VALUE"""),"")</f>
        <v/>
      </c>
      <c r="X1412" s="4" t="str">
        <f>IFERROR(__xludf.DUMMYFUNCTION("""COMPUTED_VALUE"""),"")</f>
        <v/>
      </c>
      <c r="Y1412" s="4" t="str">
        <f>IFERROR(__xludf.DUMMYFUNCTION("""COMPUTED_VALUE"""),"")</f>
        <v/>
      </c>
    </row>
    <row r="1413">
      <c r="A1413" s="4" t="str">
        <f>IFERROR(__xludf.DUMMYFUNCTION("""COMPUTED_VALUE"""),"1944 - Channel")</f>
        <v>1944 - Channel</v>
      </c>
      <c r="B1413" s="4" t="str">
        <f>IFERROR(__xludf.DUMMYFUNCTION("""COMPUTED_VALUE"""),"")</f>
        <v/>
      </c>
      <c r="C1413" s="4" t="str">
        <f>IFERROR(__xludf.DUMMYFUNCTION("""COMPUTED_VALUE"""),"")</f>
        <v/>
      </c>
      <c r="D1413" s="4" t="str">
        <f>IFERROR(__xludf.DUMMYFUNCTION("""COMPUTED_VALUE"""),"")</f>
        <v/>
      </c>
      <c r="E1413" s="4" t="str">
        <f>IFERROR(__xludf.DUMMYFUNCTION("""COMPUTED_VALUE"""),"")</f>
        <v/>
      </c>
      <c r="F1413" s="4" t="str">
        <f>IFERROR(__xludf.DUMMYFUNCTION("""COMPUTED_VALUE"""),"")</f>
        <v/>
      </c>
      <c r="G1413" s="4" t="str">
        <f>IFERROR(__xludf.DUMMYFUNCTION("""COMPUTED_VALUE"""),"")</f>
        <v/>
      </c>
      <c r="H1413" s="4" t="str">
        <f>IFERROR(__xludf.DUMMYFUNCTION("""COMPUTED_VALUE"""),"")</f>
        <v/>
      </c>
      <c r="I1413" s="4" t="str">
        <f>IFERROR(__xludf.DUMMYFUNCTION("""COMPUTED_VALUE"""),"")</f>
        <v/>
      </c>
      <c r="J1413" s="4" t="str">
        <f>IFERROR(__xludf.DUMMYFUNCTION("""COMPUTED_VALUE"""),"")</f>
        <v/>
      </c>
      <c r="K1413" s="4" t="str">
        <f>IFERROR(__xludf.DUMMYFUNCTION("""COMPUTED_VALUE"""),"")</f>
        <v/>
      </c>
      <c r="L1413" s="4" t="str">
        <f>IFERROR(__xludf.DUMMYFUNCTION("""COMPUTED_VALUE"""),"")</f>
        <v/>
      </c>
      <c r="M1413" s="4" t="str">
        <f>IFERROR(__xludf.DUMMYFUNCTION("""COMPUTED_VALUE"""),"")</f>
        <v/>
      </c>
      <c r="N1413" s="4" t="str">
        <f>IFERROR(__xludf.DUMMYFUNCTION("""COMPUTED_VALUE"""),"")</f>
        <v/>
      </c>
      <c r="O1413" s="4" t="str">
        <f>IFERROR(__xludf.DUMMYFUNCTION("""COMPUTED_VALUE"""),"")</f>
        <v/>
      </c>
      <c r="P1413" s="4" t="str">
        <f>IFERROR(__xludf.DUMMYFUNCTION("""COMPUTED_VALUE"""),"")</f>
        <v/>
      </c>
      <c r="Q1413" s="4" t="str">
        <f>IFERROR(__xludf.DUMMYFUNCTION("""COMPUTED_VALUE"""),"")</f>
        <v/>
      </c>
      <c r="R1413" s="4" t="str">
        <f>IFERROR(__xludf.DUMMYFUNCTION("""COMPUTED_VALUE"""),"")</f>
        <v/>
      </c>
      <c r="S1413" s="4" t="str">
        <f>IFERROR(__xludf.DUMMYFUNCTION("""COMPUTED_VALUE"""),"")</f>
        <v/>
      </c>
      <c r="T1413" s="4" t="str">
        <f>IFERROR(__xludf.DUMMYFUNCTION("""COMPUTED_VALUE"""),"")</f>
        <v/>
      </c>
      <c r="U1413" s="4" t="str">
        <f>IFERROR(__xludf.DUMMYFUNCTION("""COMPUTED_VALUE"""),"")</f>
        <v/>
      </c>
      <c r="V1413" s="4" t="str">
        <f>IFERROR(__xludf.DUMMYFUNCTION("""COMPUTED_VALUE"""),"")</f>
        <v/>
      </c>
      <c r="W1413" s="4" t="str">
        <f>IFERROR(__xludf.DUMMYFUNCTION("""COMPUTED_VALUE"""),"")</f>
        <v/>
      </c>
      <c r="X1413" s="4" t="str">
        <f>IFERROR(__xludf.DUMMYFUNCTION("""COMPUTED_VALUE"""),"")</f>
        <v/>
      </c>
      <c r="Y1413" s="4" t="str">
        <f>IFERROR(__xludf.DUMMYFUNCTION("""COMPUTED_VALUE"""),"")</f>
        <v/>
      </c>
    </row>
    <row r="1414">
      <c r="A1414" s="4" t="str">
        <f>IFERROR(__xludf.DUMMYFUNCTION("""COMPUTED_VALUE"""),"1945 - Channel")</f>
        <v>1945 - Channel</v>
      </c>
      <c r="B1414" s="4" t="str">
        <f>IFERROR(__xludf.DUMMYFUNCTION("""COMPUTED_VALUE"""),"")</f>
        <v/>
      </c>
      <c r="C1414" s="4" t="str">
        <f>IFERROR(__xludf.DUMMYFUNCTION("""COMPUTED_VALUE"""),"")</f>
        <v/>
      </c>
      <c r="D1414" s="4" t="str">
        <f>IFERROR(__xludf.DUMMYFUNCTION("""COMPUTED_VALUE"""),"")</f>
        <v/>
      </c>
      <c r="E1414" s="4" t="str">
        <f>IFERROR(__xludf.DUMMYFUNCTION("""COMPUTED_VALUE"""),"")</f>
        <v/>
      </c>
      <c r="F1414" s="4" t="str">
        <f>IFERROR(__xludf.DUMMYFUNCTION("""COMPUTED_VALUE"""),"")</f>
        <v/>
      </c>
      <c r="G1414" s="4" t="str">
        <f>IFERROR(__xludf.DUMMYFUNCTION("""COMPUTED_VALUE"""),"")</f>
        <v/>
      </c>
      <c r="H1414" s="4" t="str">
        <f>IFERROR(__xludf.DUMMYFUNCTION("""COMPUTED_VALUE"""),"")</f>
        <v/>
      </c>
      <c r="I1414" s="4" t="str">
        <f>IFERROR(__xludf.DUMMYFUNCTION("""COMPUTED_VALUE"""),"")</f>
        <v/>
      </c>
      <c r="J1414" s="4" t="str">
        <f>IFERROR(__xludf.DUMMYFUNCTION("""COMPUTED_VALUE"""),"")</f>
        <v/>
      </c>
      <c r="K1414" s="4" t="str">
        <f>IFERROR(__xludf.DUMMYFUNCTION("""COMPUTED_VALUE"""),"")</f>
        <v/>
      </c>
      <c r="L1414" s="4" t="str">
        <f>IFERROR(__xludf.DUMMYFUNCTION("""COMPUTED_VALUE"""),"")</f>
        <v/>
      </c>
      <c r="M1414" s="4" t="str">
        <f>IFERROR(__xludf.DUMMYFUNCTION("""COMPUTED_VALUE"""),"")</f>
        <v/>
      </c>
      <c r="N1414" s="4" t="str">
        <f>IFERROR(__xludf.DUMMYFUNCTION("""COMPUTED_VALUE"""),"")</f>
        <v/>
      </c>
      <c r="O1414" s="4" t="str">
        <f>IFERROR(__xludf.DUMMYFUNCTION("""COMPUTED_VALUE"""),"")</f>
        <v/>
      </c>
      <c r="P1414" s="4" t="str">
        <f>IFERROR(__xludf.DUMMYFUNCTION("""COMPUTED_VALUE"""),"")</f>
        <v/>
      </c>
      <c r="Q1414" s="4" t="str">
        <f>IFERROR(__xludf.DUMMYFUNCTION("""COMPUTED_VALUE"""),"")</f>
        <v/>
      </c>
      <c r="R1414" s="4" t="str">
        <f>IFERROR(__xludf.DUMMYFUNCTION("""COMPUTED_VALUE"""),"")</f>
        <v/>
      </c>
      <c r="S1414" s="4" t="str">
        <f>IFERROR(__xludf.DUMMYFUNCTION("""COMPUTED_VALUE"""),"")</f>
        <v/>
      </c>
      <c r="T1414" s="4" t="str">
        <f>IFERROR(__xludf.DUMMYFUNCTION("""COMPUTED_VALUE"""),"")</f>
        <v/>
      </c>
      <c r="U1414" s="4" t="str">
        <f>IFERROR(__xludf.DUMMYFUNCTION("""COMPUTED_VALUE"""),"")</f>
        <v/>
      </c>
      <c r="V1414" s="4" t="str">
        <f>IFERROR(__xludf.DUMMYFUNCTION("""COMPUTED_VALUE"""),"")</f>
        <v/>
      </c>
      <c r="W1414" s="4" t="str">
        <f>IFERROR(__xludf.DUMMYFUNCTION("""COMPUTED_VALUE"""),"")</f>
        <v/>
      </c>
      <c r="X1414" s="4" t="str">
        <f>IFERROR(__xludf.DUMMYFUNCTION("""COMPUTED_VALUE"""),"")</f>
        <v/>
      </c>
      <c r="Y1414" s="4" t="str">
        <f>IFERROR(__xludf.DUMMYFUNCTION("""COMPUTED_VALUE"""),"")</f>
        <v/>
      </c>
    </row>
    <row r="1415">
      <c r="A1415" s="4" t="str">
        <f>IFERROR(__xludf.DUMMYFUNCTION("""COMPUTED_VALUE"""),"1946 - Channel")</f>
        <v>1946 - Channel</v>
      </c>
      <c r="B1415" s="4" t="str">
        <f>IFERROR(__xludf.DUMMYFUNCTION("""COMPUTED_VALUE"""),"")</f>
        <v/>
      </c>
      <c r="C1415" s="4" t="str">
        <f>IFERROR(__xludf.DUMMYFUNCTION("""COMPUTED_VALUE"""),"")</f>
        <v/>
      </c>
      <c r="D1415" s="4" t="str">
        <f>IFERROR(__xludf.DUMMYFUNCTION("""COMPUTED_VALUE"""),"")</f>
        <v/>
      </c>
      <c r="E1415" s="4" t="str">
        <f>IFERROR(__xludf.DUMMYFUNCTION("""COMPUTED_VALUE"""),"")</f>
        <v/>
      </c>
      <c r="F1415" s="4" t="str">
        <f>IFERROR(__xludf.DUMMYFUNCTION("""COMPUTED_VALUE"""),"")</f>
        <v/>
      </c>
      <c r="G1415" s="4" t="str">
        <f>IFERROR(__xludf.DUMMYFUNCTION("""COMPUTED_VALUE"""),"")</f>
        <v/>
      </c>
      <c r="H1415" s="4" t="str">
        <f>IFERROR(__xludf.DUMMYFUNCTION("""COMPUTED_VALUE"""),"")</f>
        <v/>
      </c>
      <c r="I1415" s="4" t="str">
        <f>IFERROR(__xludf.DUMMYFUNCTION("""COMPUTED_VALUE"""),"")</f>
        <v/>
      </c>
      <c r="J1415" s="4" t="str">
        <f>IFERROR(__xludf.DUMMYFUNCTION("""COMPUTED_VALUE"""),"")</f>
        <v/>
      </c>
      <c r="K1415" s="4" t="str">
        <f>IFERROR(__xludf.DUMMYFUNCTION("""COMPUTED_VALUE"""),"")</f>
        <v/>
      </c>
      <c r="L1415" s="4" t="str">
        <f>IFERROR(__xludf.DUMMYFUNCTION("""COMPUTED_VALUE"""),"")</f>
        <v/>
      </c>
      <c r="M1415" s="4" t="str">
        <f>IFERROR(__xludf.DUMMYFUNCTION("""COMPUTED_VALUE"""),"")</f>
        <v/>
      </c>
      <c r="N1415" s="4" t="str">
        <f>IFERROR(__xludf.DUMMYFUNCTION("""COMPUTED_VALUE"""),"")</f>
        <v/>
      </c>
      <c r="O1415" s="4" t="str">
        <f>IFERROR(__xludf.DUMMYFUNCTION("""COMPUTED_VALUE"""),"")</f>
        <v/>
      </c>
      <c r="P1415" s="4" t="str">
        <f>IFERROR(__xludf.DUMMYFUNCTION("""COMPUTED_VALUE"""),"")</f>
        <v/>
      </c>
      <c r="Q1415" s="4" t="str">
        <f>IFERROR(__xludf.DUMMYFUNCTION("""COMPUTED_VALUE"""),"")</f>
        <v/>
      </c>
      <c r="R1415" s="4" t="str">
        <f>IFERROR(__xludf.DUMMYFUNCTION("""COMPUTED_VALUE"""),"")</f>
        <v/>
      </c>
      <c r="S1415" s="4" t="str">
        <f>IFERROR(__xludf.DUMMYFUNCTION("""COMPUTED_VALUE"""),"")</f>
        <v/>
      </c>
      <c r="T1415" s="4" t="str">
        <f>IFERROR(__xludf.DUMMYFUNCTION("""COMPUTED_VALUE"""),"")</f>
        <v/>
      </c>
      <c r="U1415" s="4" t="str">
        <f>IFERROR(__xludf.DUMMYFUNCTION("""COMPUTED_VALUE"""),"")</f>
        <v/>
      </c>
      <c r="V1415" s="4" t="str">
        <f>IFERROR(__xludf.DUMMYFUNCTION("""COMPUTED_VALUE"""),"")</f>
        <v/>
      </c>
      <c r="W1415" s="4" t="str">
        <f>IFERROR(__xludf.DUMMYFUNCTION("""COMPUTED_VALUE"""),"")</f>
        <v/>
      </c>
      <c r="X1415" s="4" t="str">
        <f>IFERROR(__xludf.DUMMYFUNCTION("""COMPUTED_VALUE"""),"")</f>
        <v/>
      </c>
      <c r="Y1415" s="4" t="str">
        <f>IFERROR(__xludf.DUMMYFUNCTION("""COMPUTED_VALUE"""),"")</f>
        <v/>
      </c>
    </row>
    <row r="1416">
      <c r="A1416" s="4" t="str">
        <f>IFERROR(__xludf.DUMMYFUNCTION("""COMPUTED_VALUE"""),"1947 - Channel")</f>
        <v>1947 - Channel</v>
      </c>
      <c r="B1416" s="4" t="str">
        <f>IFERROR(__xludf.DUMMYFUNCTION("""COMPUTED_VALUE"""),"")</f>
        <v/>
      </c>
      <c r="C1416" s="4" t="str">
        <f>IFERROR(__xludf.DUMMYFUNCTION("""COMPUTED_VALUE"""),"")</f>
        <v/>
      </c>
      <c r="D1416" s="4" t="str">
        <f>IFERROR(__xludf.DUMMYFUNCTION("""COMPUTED_VALUE"""),"")</f>
        <v/>
      </c>
      <c r="E1416" s="4" t="str">
        <f>IFERROR(__xludf.DUMMYFUNCTION("""COMPUTED_VALUE"""),"")</f>
        <v/>
      </c>
      <c r="F1416" s="4" t="str">
        <f>IFERROR(__xludf.DUMMYFUNCTION("""COMPUTED_VALUE"""),"")</f>
        <v/>
      </c>
      <c r="G1416" s="4" t="str">
        <f>IFERROR(__xludf.DUMMYFUNCTION("""COMPUTED_VALUE"""),"")</f>
        <v/>
      </c>
      <c r="H1416" s="4" t="str">
        <f>IFERROR(__xludf.DUMMYFUNCTION("""COMPUTED_VALUE"""),"")</f>
        <v/>
      </c>
      <c r="I1416" s="4" t="str">
        <f>IFERROR(__xludf.DUMMYFUNCTION("""COMPUTED_VALUE"""),"")</f>
        <v/>
      </c>
      <c r="J1416" s="4" t="str">
        <f>IFERROR(__xludf.DUMMYFUNCTION("""COMPUTED_VALUE"""),"")</f>
        <v/>
      </c>
      <c r="K1416" s="4" t="str">
        <f>IFERROR(__xludf.DUMMYFUNCTION("""COMPUTED_VALUE"""),"")</f>
        <v/>
      </c>
      <c r="L1416" s="4" t="str">
        <f>IFERROR(__xludf.DUMMYFUNCTION("""COMPUTED_VALUE"""),"")</f>
        <v/>
      </c>
      <c r="M1416" s="4" t="str">
        <f>IFERROR(__xludf.DUMMYFUNCTION("""COMPUTED_VALUE"""),"")</f>
        <v/>
      </c>
      <c r="N1416" s="4" t="str">
        <f>IFERROR(__xludf.DUMMYFUNCTION("""COMPUTED_VALUE"""),"")</f>
        <v/>
      </c>
      <c r="O1416" s="4" t="str">
        <f>IFERROR(__xludf.DUMMYFUNCTION("""COMPUTED_VALUE"""),"")</f>
        <v/>
      </c>
      <c r="P1416" s="4" t="str">
        <f>IFERROR(__xludf.DUMMYFUNCTION("""COMPUTED_VALUE"""),"")</f>
        <v/>
      </c>
      <c r="Q1416" s="4" t="str">
        <f>IFERROR(__xludf.DUMMYFUNCTION("""COMPUTED_VALUE"""),"")</f>
        <v/>
      </c>
      <c r="R1416" s="4" t="str">
        <f>IFERROR(__xludf.DUMMYFUNCTION("""COMPUTED_VALUE"""),"")</f>
        <v/>
      </c>
      <c r="S1416" s="4" t="str">
        <f>IFERROR(__xludf.DUMMYFUNCTION("""COMPUTED_VALUE"""),"")</f>
        <v/>
      </c>
      <c r="T1416" s="4" t="str">
        <f>IFERROR(__xludf.DUMMYFUNCTION("""COMPUTED_VALUE"""),"")</f>
        <v/>
      </c>
      <c r="U1416" s="4" t="str">
        <f>IFERROR(__xludf.DUMMYFUNCTION("""COMPUTED_VALUE"""),"")</f>
        <v/>
      </c>
      <c r="V1416" s="4" t="str">
        <f>IFERROR(__xludf.DUMMYFUNCTION("""COMPUTED_VALUE"""),"")</f>
        <v/>
      </c>
      <c r="W1416" s="4" t="str">
        <f>IFERROR(__xludf.DUMMYFUNCTION("""COMPUTED_VALUE"""),"")</f>
        <v/>
      </c>
      <c r="X1416" s="4" t="str">
        <f>IFERROR(__xludf.DUMMYFUNCTION("""COMPUTED_VALUE"""),"")</f>
        <v/>
      </c>
      <c r="Y1416" s="4" t="str">
        <f>IFERROR(__xludf.DUMMYFUNCTION("""COMPUTED_VALUE"""),"")</f>
        <v/>
      </c>
    </row>
    <row r="1417">
      <c r="A1417" s="4" t="str">
        <f>IFERROR(__xludf.DUMMYFUNCTION("""COMPUTED_VALUE"""),"1948 - Channel")</f>
        <v>1948 - Channel</v>
      </c>
      <c r="B1417" s="4" t="str">
        <f>IFERROR(__xludf.DUMMYFUNCTION("""COMPUTED_VALUE"""),"")</f>
        <v/>
      </c>
      <c r="C1417" s="4" t="str">
        <f>IFERROR(__xludf.DUMMYFUNCTION("""COMPUTED_VALUE"""),"")</f>
        <v/>
      </c>
      <c r="D1417" s="4" t="str">
        <f>IFERROR(__xludf.DUMMYFUNCTION("""COMPUTED_VALUE"""),"")</f>
        <v/>
      </c>
      <c r="E1417" s="4" t="str">
        <f>IFERROR(__xludf.DUMMYFUNCTION("""COMPUTED_VALUE"""),"")</f>
        <v/>
      </c>
      <c r="F1417" s="4" t="str">
        <f>IFERROR(__xludf.DUMMYFUNCTION("""COMPUTED_VALUE"""),"")</f>
        <v/>
      </c>
      <c r="G1417" s="4" t="str">
        <f>IFERROR(__xludf.DUMMYFUNCTION("""COMPUTED_VALUE"""),"")</f>
        <v/>
      </c>
      <c r="H1417" s="4" t="str">
        <f>IFERROR(__xludf.DUMMYFUNCTION("""COMPUTED_VALUE"""),"")</f>
        <v/>
      </c>
      <c r="I1417" s="4" t="str">
        <f>IFERROR(__xludf.DUMMYFUNCTION("""COMPUTED_VALUE"""),"")</f>
        <v/>
      </c>
      <c r="J1417" s="4" t="str">
        <f>IFERROR(__xludf.DUMMYFUNCTION("""COMPUTED_VALUE"""),"")</f>
        <v/>
      </c>
      <c r="K1417" s="4" t="str">
        <f>IFERROR(__xludf.DUMMYFUNCTION("""COMPUTED_VALUE"""),"")</f>
        <v/>
      </c>
      <c r="L1417" s="4" t="str">
        <f>IFERROR(__xludf.DUMMYFUNCTION("""COMPUTED_VALUE"""),"")</f>
        <v/>
      </c>
      <c r="M1417" s="4" t="str">
        <f>IFERROR(__xludf.DUMMYFUNCTION("""COMPUTED_VALUE"""),"")</f>
        <v/>
      </c>
      <c r="N1417" s="4" t="str">
        <f>IFERROR(__xludf.DUMMYFUNCTION("""COMPUTED_VALUE"""),"")</f>
        <v/>
      </c>
      <c r="O1417" s="4" t="str">
        <f>IFERROR(__xludf.DUMMYFUNCTION("""COMPUTED_VALUE"""),"")</f>
        <v/>
      </c>
      <c r="P1417" s="4" t="str">
        <f>IFERROR(__xludf.DUMMYFUNCTION("""COMPUTED_VALUE"""),"")</f>
        <v/>
      </c>
      <c r="Q1417" s="4" t="str">
        <f>IFERROR(__xludf.DUMMYFUNCTION("""COMPUTED_VALUE"""),"")</f>
        <v/>
      </c>
      <c r="R1417" s="4" t="str">
        <f>IFERROR(__xludf.DUMMYFUNCTION("""COMPUTED_VALUE"""),"")</f>
        <v/>
      </c>
      <c r="S1417" s="4" t="str">
        <f>IFERROR(__xludf.DUMMYFUNCTION("""COMPUTED_VALUE"""),"")</f>
        <v/>
      </c>
      <c r="T1417" s="4" t="str">
        <f>IFERROR(__xludf.DUMMYFUNCTION("""COMPUTED_VALUE"""),"")</f>
        <v/>
      </c>
      <c r="U1417" s="4" t="str">
        <f>IFERROR(__xludf.DUMMYFUNCTION("""COMPUTED_VALUE"""),"")</f>
        <v/>
      </c>
      <c r="V1417" s="4" t="str">
        <f>IFERROR(__xludf.DUMMYFUNCTION("""COMPUTED_VALUE"""),"")</f>
        <v/>
      </c>
      <c r="W1417" s="4" t="str">
        <f>IFERROR(__xludf.DUMMYFUNCTION("""COMPUTED_VALUE"""),"")</f>
        <v/>
      </c>
      <c r="X1417" s="4" t="str">
        <f>IFERROR(__xludf.DUMMYFUNCTION("""COMPUTED_VALUE"""),"")</f>
        <v/>
      </c>
      <c r="Y1417" s="4" t="str">
        <f>IFERROR(__xludf.DUMMYFUNCTION("""COMPUTED_VALUE"""),"")</f>
        <v/>
      </c>
    </row>
    <row r="1418">
      <c r="A1418" s="4" t="str">
        <f>IFERROR(__xludf.DUMMYFUNCTION("""COMPUTED_VALUE"""),"1949 - Channel")</f>
        <v>1949 - Channel</v>
      </c>
      <c r="B1418" s="4" t="str">
        <f>IFERROR(__xludf.DUMMYFUNCTION("""COMPUTED_VALUE"""),"")</f>
        <v/>
      </c>
      <c r="C1418" s="4" t="str">
        <f>IFERROR(__xludf.DUMMYFUNCTION("""COMPUTED_VALUE"""),"")</f>
        <v/>
      </c>
      <c r="D1418" s="4" t="str">
        <f>IFERROR(__xludf.DUMMYFUNCTION("""COMPUTED_VALUE"""),"")</f>
        <v/>
      </c>
      <c r="E1418" s="4" t="str">
        <f>IFERROR(__xludf.DUMMYFUNCTION("""COMPUTED_VALUE"""),"")</f>
        <v/>
      </c>
      <c r="F1418" s="4" t="str">
        <f>IFERROR(__xludf.DUMMYFUNCTION("""COMPUTED_VALUE"""),"")</f>
        <v/>
      </c>
      <c r="G1418" s="4" t="str">
        <f>IFERROR(__xludf.DUMMYFUNCTION("""COMPUTED_VALUE"""),"")</f>
        <v/>
      </c>
      <c r="H1418" s="4" t="str">
        <f>IFERROR(__xludf.DUMMYFUNCTION("""COMPUTED_VALUE"""),"")</f>
        <v/>
      </c>
      <c r="I1418" s="4" t="str">
        <f>IFERROR(__xludf.DUMMYFUNCTION("""COMPUTED_VALUE"""),"")</f>
        <v/>
      </c>
      <c r="J1418" s="4" t="str">
        <f>IFERROR(__xludf.DUMMYFUNCTION("""COMPUTED_VALUE"""),"")</f>
        <v/>
      </c>
      <c r="K1418" s="4" t="str">
        <f>IFERROR(__xludf.DUMMYFUNCTION("""COMPUTED_VALUE"""),"")</f>
        <v/>
      </c>
      <c r="L1418" s="4" t="str">
        <f>IFERROR(__xludf.DUMMYFUNCTION("""COMPUTED_VALUE"""),"")</f>
        <v/>
      </c>
      <c r="M1418" s="4" t="str">
        <f>IFERROR(__xludf.DUMMYFUNCTION("""COMPUTED_VALUE"""),"")</f>
        <v/>
      </c>
      <c r="N1418" s="4" t="str">
        <f>IFERROR(__xludf.DUMMYFUNCTION("""COMPUTED_VALUE"""),"")</f>
        <v/>
      </c>
      <c r="O1418" s="4" t="str">
        <f>IFERROR(__xludf.DUMMYFUNCTION("""COMPUTED_VALUE"""),"")</f>
        <v/>
      </c>
      <c r="P1418" s="4" t="str">
        <f>IFERROR(__xludf.DUMMYFUNCTION("""COMPUTED_VALUE"""),"")</f>
        <v/>
      </c>
      <c r="Q1418" s="4" t="str">
        <f>IFERROR(__xludf.DUMMYFUNCTION("""COMPUTED_VALUE"""),"")</f>
        <v/>
      </c>
      <c r="R1418" s="4" t="str">
        <f>IFERROR(__xludf.DUMMYFUNCTION("""COMPUTED_VALUE"""),"")</f>
        <v/>
      </c>
      <c r="S1418" s="4" t="str">
        <f>IFERROR(__xludf.DUMMYFUNCTION("""COMPUTED_VALUE"""),"")</f>
        <v/>
      </c>
      <c r="T1418" s="4" t="str">
        <f>IFERROR(__xludf.DUMMYFUNCTION("""COMPUTED_VALUE"""),"")</f>
        <v/>
      </c>
      <c r="U1418" s="4" t="str">
        <f>IFERROR(__xludf.DUMMYFUNCTION("""COMPUTED_VALUE"""),"")</f>
        <v/>
      </c>
      <c r="V1418" s="4" t="str">
        <f>IFERROR(__xludf.DUMMYFUNCTION("""COMPUTED_VALUE"""),"")</f>
        <v/>
      </c>
      <c r="W1418" s="4" t="str">
        <f>IFERROR(__xludf.DUMMYFUNCTION("""COMPUTED_VALUE"""),"")</f>
        <v/>
      </c>
      <c r="X1418" s="4" t="str">
        <f>IFERROR(__xludf.DUMMYFUNCTION("""COMPUTED_VALUE"""),"")</f>
        <v/>
      </c>
      <c r="Y1418" s="4" t="str">
        <f>IFERROR(__xludf.DUMMYFUNCTION("""COMPUTED_VALUE"""),"")</f>
        <v/>
      </c>
    </row>
    <row r="1419">
      <c r="A1419" s="4" t="str">
        <f>IFERROR(__xludf.DUMMYFUNCTION("""COMPUTED_VALUE"""),"1950 - Channel")</f>
        <v>1950 - Channel</v>
      </c>
      <c r="B1419" s="4" t="str">
        <f>IFERROR(__xludf.DUMMYFUNCTION("""COMPUTED_VALUE"""),"")</f>
        <v/>
      </c>
      <c r="C1419" s="4" t="str">
        <f>IFERROR(__xludf.DUMMYFUNCTION("""COMPUTED_VALUE"""),"")</f>
        <v/>
      </c>
      <c r="D1419" s="4" t="str">
        <f>IFERROR(__xludf.DUMMYFUNCTION("""COMPUTED_VALUE"""),"")</f>
        <v/>
      </c>
      <c r="E1419" s="4" t="str">
        <f>IFERROR(__xludf.DUMMYFUNCTION("""COMPUTED_VALUE"""),"")</f>
        <v/>
      </c>
      <c r="F1419" s="4" t="str">
        <f>IFERROR(__xludf.DUMMYFUNCTION("""COMPUTED_VALUE"""),"")</f>
        <v/>
      </c>
      <c r="G1419" s="4" t="str">
        <f>IFERROR(__xludf.DUMMYFUNCTION("""COMPUTED_VALUE"""),"")</f>
        <v/>
      </c>
      <c r="H1419" s="4" t="str">
        <f>IFERROR(__xludf.DUMMYFUNCTION("""COMPUTED_VALUE"""),"")</f>
        <v/>
      </c>
      <c r="I1419" s="4" t="str">
        <f>IFERROR(__xludf.DUMMYFUNCTION("""COMPUTED_VALUE"""),"")</f>
        <v/>
      </c>
      <c r="J1419" s="4" t="str">
        <f>IFERROR(__xludf.DUMMYFUNCTION("""COMPUTED_VALUE"""),"")</f>
        <v/>
      </c>
      <c r="K1419" s="4" t="str">
        <f>IFERROR(__xludf.DUMMYFUNCTION("""COMPUTED_VALUE"""),"")</f>
        <v/>
      </c>
      <c r="L1419" s="4" t="str">
        <f>IFERROR(__xludf.DUMMYFUNCTION("""COMPUTED_VALUE"""),"")</f>
        <v/>
      </c>
      <c r="M1419" s="4" t="str">
        <f>IFERROR(__xludf.DUMMYFUNCTION("""COMPUTED_VALUE"""),"")</f>
        <v/>
      </c>
      <c r="N1419" s="4" t="str">
        <f>IFERROR(__xludf.DUMMYFUNCTION("""COMPUTED_VALUE"""),"")</f>
        <v/>
      </c>
      <c r="O1419" s="4" t="str">
        <f>IFERROR(__xludf.DUMMYFUNCTION("""COMPUTED_VALUE"""),"")</f>
        <v/>
      </c>
      <c r="P1419" s="4" t="str">
        <f>IFERROR(__xludf.DUMMYFUNCTION("""COMPUTED_VALUE"""),"")</f>
        <v/>
      </c>
      <c r="Q1419" s="4" t="str">
        <f>IFERROR(__xludf.DUMMYFUNCTION("""COMPUTED_VALUE"""),"")</f>
        <v/>
      </c>
      <c r="R1419" s="4" t="str">
        <f>IFERROR(__xludf.DUMMYFUNCTION("""COMPUTED_VALUE"""),"")</f>
        <v/>
      </c>
      <c r="S1419" s="4" t="str">
        <f>IFERROR(__xludf.DUMMYFUNCTION("""COMPUTED_VALUE"""),"")</f>
        <v/>
      </c>
      <c r="T1419" s="4" t="str">
        <f>IFERROR(__xludf.DUMMYFUNCTION("""COMPUTED_VALUE"""),"")</f>
        <v/>
      </c>
      <c r="U1419" s="4" t="str">
        <f>IFERROR(__xludf.DUMMYFUNCTION("""COMPUTED_VALUE"""),"")</f>
        <v/>
      </c>
      <c r="V1419" s="4" t="str">
        <f>IFERROR(__xludf.DUMMYFUNCTION("""COMPUTED_VALUE"""),"")</f>
        <v/>
      </c>
      <c r="W1419" s="4" t="str">
        <f>IFERROR(__xludf.DUMMYFUNCTION("""COMPUTED_VALUE"""),"")</f>
        <v/>
      </c>
      <c r="X1419" s="4" t="str">
        <f>IFERROR(__xludf.DUMMYFUNCTION("""COMPUTED_VALUE"""),"")</f>
        <v/>
      </c>
      <c r="Y1419" s="4" t="str">
        <f>IFERROR(__xludf.DUMMYFUNCTION("""COMPUTED_VALUE"""),"")</f>
        <v/>
      </c>
    </row>
    <row r="1420">
      <c r="A1420" s="4" t="str">
        <f>IFERROR(__xludf.DUMMYFUNCTION("""COMPUTED_VALUE"""),"1951 - Channel")</f>
        <v>1951 - Channel</v>
      </c>
      <c r="B1420" s="4" t="str">
        <f>IFERROR(__xludf.DUMMYFUNCTION("""COMPUTED_VALUE"""),"")</f>
        <v/>
      </c>
      <c r="C1420" s="4" t="str">
        <f>IFERROR(__xludf.DUMMYFUNCTION("""COMPUTED_VALUE"""),"")</f>
        <v/>
      </c>
      <c r="D1420" s="4" t="str">
        <f>IFERROR(__xludf.DUMMYFUNCTION("""COMPUTED_VALUE"""),"")</f>
        <v/>
      </c>
      <c r="E1420" s="4" t="str">
        <f>IFERROR(__xludf.DUMMYFUNCTION("""COMPUTED_VALUE"""),"")</f>
        <v/>
      </c>
      <c r="F1420" s="4" t="str">
        <f>IFERROR(__xludf.DUMMYFUNCTION("""COMPUTED_VALUE"""),"")</f>
        <v/>
      </c>
      <c r="G1420" s="4" t="str">
        <f>IFERROR(__xludf.DUMMYFUNCTION("""COMPUTED_VALUE"""),"")</f>
        <v/>
      </c>
      <c r="H1420" s="4" t="str">
        <f>IFERROR(__xludf.DUMMYFUNCTION("""COMPUTED_VALUE"""),"")</f>
        <v/>
      </c>
      <c r="I1420" s="4" t="str">
        <f>IFERROR(__xludf.DUMMYFUNCTION("""COMPUTED_VALUE"""),"")</f>
        <v/>
      </c>
      <c r="J1420" s="4" t="str">
        <f>IFERROR(__xludf.DUMMYFUNCTION("""COMPUTED_VALUE"""),"")</f>
        <v/>
      </c>
      <c r="K1420" s="4" t="str">
        <f>IFERROR(__xludf.DUMMYFUNCTION("""COMPUTED_VALUE"""),"")</f>
        <v/>
      </c>
      <c r="L1420" s="4" t="str">
        <f>IFERROR(__xludf.DUMMYFUNCTION("""COMPUTED_VALUE"""),"")</f>
        <v/>
      </c>
      <c r="M1420" s="4" t="str">
        <f>IFERROR(__xludf.DUMMYFUNCTION("""COMPUTED_VALUE"""),"")</f>
        <v/>
      </c>
      <c r="N1420" s="4" t="str">
        <f>IFERROR(__xludf.DUMMYFUNCTION("""COMPUTED_VALUE"""),"")</f>
        <v/>
      </c>
      <c r="O1420" s="4" t="str">
        <f>IFERROR(__xludf.DUMMYFUNCTION("""COMPUTED_VALUE"""),"")</f>
        <v/>
      </c>
      <c r="P1420" s="4" t="str">
        <f>IFERROR(__xludf.DUMMYFUNCTION("""COMPUTED_VALUE"""),"")</f>
        <v/>
      </c>
      <c r="Q1420" s="4" t="str">
        <f>IFERROR(__xludf.DUMMYFUNCTION("""COMPUTED_VALUE"""),"")</f>
        <v/>
      </c>
      <c r="R1420" s="4" t="str">
        <f>IFERROR(__xludf.DUMMYFUNCTION("""COMPUTED_VALUE"""),"")</f>
        <v/>
      </c>
      <c r="S1420" s="4" t="str">
        <f>IFERROR(__xludf.DUMMYFUNCTION("""COMPUTED_VALUE"""),"")</f>
        <v/>
      </c>
      <c r="T1420" s="4" t="str">
        <f>IFERROR(__xludf.DUMMYFUNCTION("""COMPUTED_VALUE"""),"")</f>
        <v/>
      </c>
      <c r="U1420" s="4" t="str">
        <f>IFERROR(__xludf.DUMMYFUNCTION("""COMPUTED_VALUE"""),"")</f>
        <v/>
      </c>
      <c r="V1420" s="4" t="str">
        <f>IFERROR(__xludf.DUMMYFUNCTION("""COMPUTED_VALUE"""),"")</f>
        <v/>
      </c>
      <c r="W1420" s="4" t="str">
        <f>IFERROR(__xludf.DUMMYFUNCTION("""COMPUTED_VALUE"""),"")</f>
        <v/>
      </c>
      <c r="X1420" s="4" t="str">
        <f>IFERROR(__xludf.DUMMYFUNCTION("""COMPUTED_VALUE"""),"")</f>
        <v/>
      </c>
      <c r="Y1420" s="4" t="str">
        <f>IFERROR(__xludf.DUMMYFUNCTION("""COMPUTED_VALUE"""),"")</f>
        <v/>
      </c>
    </row>
    <row r="1421">
      <c r="A1421" s="4" t="str">
        <f>IFERROR(__xludf.DUMMYFUNCTION("""COMPUTED_VALUE"""),"1953 - Channel")</f>
        <v>1953 - Channel</v>
      </c>
      <c r="B1421" s="4" t="str">
        <f>IFERROR(__xludf.DUMMYFUNCTION("""COMPUTED_VALUE"""),"")</f>
        <v/>
      </c>
      <c r="C1421" s="4" t="str">
        <f>IFERROR(__xludf.DUMMYFUNCTION("""COMPUTED_VALUE"""),"")</f>
        <v/>
      </c>
      <c r="D1421" s="4" t="str">
        <f>IFERROR(__xludf.DUMMYFUNCTION("""COMPUTED_VALUE"""),"")</f>
        <v/>
      </c>
      <c r="E1421" s="4" t="str">
        <f>IFERROR(__xludf.DUMMYFUNCTION("""COMPUTED_VALUE"""),"")</f>
        <v/>
      </c>
      <c r="F1421" s="4" t="str">
        <f>IFERROR(__xludf.DUMMYFUNCTION("""COMPUTED_VALUE"""),"")</f>
        <v/>
      </c>
      <c r="G1421" s="4" t="str">
        <f>IFERROR(__xludf.DUMMYFUNCTION("""COMPUTED_VALUE"""),"")</f>
        <v/>
      </c>
      <c r="H1421" s="4" t="str">
        <f>IFERROR(__xludf.DUMMYFUNCTION("""COMPUTED_VALUE"""),"")</f>
        <v/>
      </c>
      <c r="I1421" s="4" t="str">
        <f>IFERROR(__xludf.DUMMYFUNCTION("""COMPUTED_VALUE"""),"")</f>
        <v/>
      </c>
      <c r="J1421" s="4" t="str">
        <f>IFERROR(__xludf.DUMMYFUNCTION("""COMPUTED_VALUE"""),"")</f>
        <v/>
      </c>
      <c r="K1421" s="4" t="str">
        <f>IFERROR(__xludf.DUMMYFUNCTION("""COMPUTED_VALUE"""),"")</f>
        <v/>
      </c>
      <c r="L1421" s="4" t="str">
        <f>IFERROR(__xludf.DUMMYFUNCTION("""COMPUTED_VALUE"""),"")</f>
        <v/>
      </c>
      <c r="M1421" s="4" t="str">
        <f>IFERROR(__xludf.DUMMYFUNCTION("""COMPUTED_VALUE"""),"")</f>
        <v/>
      </c>
      <c r="N1421" s="4" t="str">
        <f>IFERROR(__xludf.DUMMYFUNCTION("""COMPUTED_VALUE"""),"")</f>
        <v/>
      </c>
      <c r="O1421" s="4" t="str">
        <f>IFERROR(__xludf.DUMMYFUNCTION("""COMPUTED_VALUE"""),"")</f>
        <v/>
      </c>
      <c r="P1421" s="4" t="str">
        <f>IFERROR(__xludf.DUMMYFUNCTION("""COMPUTED_VALUE"""),"")</f>
        <v/>
      </c>
      <c r="Q1421" s="4" t="str">
        <f>IFERROR(__xludf.DUMMYFUNCTION("""COMPUTED_VALUE"""),"")</f>
        <v/>
      </c>
      <c r="R1421" s="4" t="str">
        <f>IFERROR(__xludf.DUMMYFUNCTION("""COMPUTED_VALUE"""),"")</f>
        <v/>
      </c>
      <c r="S1421" s="4" t="str">
        <f>IFERROR(__xludf.DUMMYFUNCTION("""COMPUTED_VALUE"""),"")</f>
        <v/>
      </c>
      <c r="T1421" s="4" t="str">
        <f>IFERROR(__xludf.DUMMYFUNCTION("""COMPUTED_VALUE"""),"")</f>
        <v/>
      </c>
      <c r="U1421" s="4" t="str">
        <f>IFERROR(__xludf.DUMMYFUNCTION("""COMPUTED_VALUE"""),"")</f>
        <v/>
      </c>
      <c r="V1421" s="4" t="str">
        <f>IFERROR(__xludf.DUMMYFUNCTION("""COMPUTED_VALUE"""),"")</f>
        <v/>
      </c>
      <c r="W1421" s="4" t="str">
        <f>IFERROR(__xludf.DUMMYFUNCTION("""COMPUTED_VALUE"""),"")</f>
        <v/>
      </c>
      <c r="X1421" s="4" t="str">
        <f>IFERROR(__xludf.DUMMYFUNCTION("""COMPUTED_VALUE"""),"")</f>
        <v/>
      </c>
      <c r="Y1421" s="4" t="str">
        <f>IFERROR(__xludf.DUMMYFUNCTION("""COMPUTED_VALUE"""),"")</f>
        <v/>
      </c>
    </row>
    <row r="1422">
      <c r="A1422" s="4" t="str">
        <f>IFERROR(__xludf.DUMMYFUNCTION("""COMPUTED_VALUE"""),"1970 - Channel")</f>
        <v>1970 - Channel</v>
      </c>
      <c r="B1422" s="4" t="str">
        <f>IFERROR(__xludf.DUMMYFUNCTION("""COMPUTED_VALUE"""),"")</f>
        <v/>
      </c>
      <c r="C1422" s="4" t="str">
        <f>IFERROR(__xludf.DUMMYFUNCTION("""COMPUTED_VALUE"""),"")</f>
        <v/>
      </c>
      <c r="D1422" s="4" t="str">
        <f>IFERROR(__xludf.DUMMYFUNCTION("""COMPUTED_VALUE"""),"")</f>
        <v/>
      </c>
      <c r="E1422" s="4" t="str">
        <f>IFERROR(__xludf.DUMMYFUNCTION("""COMPUTED_VALUE"""),"")</f>
        <v/>
      </c>
      <c r="F1422" s="4" t="str">
        <f>IFERROR(__xludf.DUMMYFUNCTION("""COMPUTED_VALUE"""),"")</f>
        <v/>
      </c>
      <c r="G1422" s="4" t="str">
        <f>IFERROR(__xludf.DUMMYFUNCTION("""COMPUTED_VALUE"""),"")</f>
        <v/>
      </c>
      <c r="H1422" s="4" t="str">
        <f>IFERROR(__xludf.DUMMYFUNCTION("""COMPUTED_VALUE"""),"")</f>
        <v/>
      </c>
      <c r="I1422" s="4" t="str">
        <f>IFERROR(__xludf.DUMMYFUNCTION("""COMPUTED_VALUE"""),"")</f>
        <v/>
      </c>
      <c r="J1422" s="4" t="str">
        <f>IFERROR(__xludf.DUMMYFUNCTION("""COMPUTED_VALUE"""),"")</f>
        <v/>
      </c>
      <c r="K1422" s="4" t="str">
        <f>IFERROR(__xludf.DUMMYFUNCTION("""COMPUTED_VALUE"""),"")</f>
        <v/>
      </c>
      <c r="L1422" s="4" t="str">
        <f>IFERROR(__xludf.DUMMYFUNCTION("""COMPUTED_VALUE"""),"")</f>
        <v/>
      </c>
      <c r="M1422" s="4" t="str">
        <f>IFERROR(__xludf.DUMMYFUNCTION("""COMPUTED_VALUE"""),"")</f>
        <v/>
      </c>
      <c r="N1422" s="4" t="str">
        <f>IFERROR(__xludf.DUMMYFUNCTION("""COMPUTED_VALUE"""),"")</f>
        <v/>
      </c>
      <c r="O1422" s="4" t="str">
        <f>IFERROR(__xludf.DUMMYFUNCTION("""COMPUTED_VALUE"""),"")</f>
        <v/>
      </c>
      <c r="P1422" s="4" t="str">
        <f>IFERROR(__xludf.DUMMYFUNCTION("""COMPUTED_VALUE"""),"")</f>
        <v/>
      </c>
      <c r="Q1422" s="4" t="str">
        <f>IFERROR(__xludf.DUMMYFUNCTION("""COMPUTED_VALUE"""),"")</f>
        <v/>
      </c>
      <c r="R1422" s="4" t="str">
        <f>IFERROR(__xludf.DUMMYFUNCTION("""COMPUTED_VALUE"""),"")</f>
        <v/>
      </c>
      <c r="S1422" s="4" t="str">
        <f>IFERROR(__xludf.DUMMYFUNCTION("""COMPUTED_VALUE"""),"")</f>
        <v/>
      </c>
      <c r="T1422" s="4" t="str">
        <f>IFERROR(__xludf.DUMMYFUNCTION("""COMPUTED_VALUE"""),"")</f>
        <v/>
      </c>
      <c r="U1422" s="4" t="str">
        <f>IFERROR(__xludf.DUMMYFUNCTION("""COMPUTED_VALUE"""),"")</f>
        <v/>
      </c>
      <c r="V1422" s="4" t="str">
        <f>IFERROR(__xludf.DUMMYFUNCTION("""COMPUTED_VALUE"""),"")</f>
        <v/>
      </c>
      <c r="W1422" s="4" t="str">
        <f>IFERROR(__xludf.DUMMYFUNCTION("""COMPUTED_VALUE"""),"")</f>
        <v/>
      </c>
      <c r="X1422" s="4" t="str">
        <f>IFERROR(__xludf.DUMMYFUNCTION("""COMPUTED_VALUE"""),"")</f>
        <v/>
      </c>
      <c r="Y1422" s="4" t="str">
        <f>IFERROR(__xludf.DUMMYFUNCTION("""COMPUTED_VALUE"""),"")</f>
        <v/>
      </c>
    </row>
    <row r="1423">
      <c r="A1423" s="4" t="str">
        <f>IFERROR(__xludf.DUMMYFUNCTION("""COMPUTED_VALUE"""),"1971 - Channel")</f>
        <v>1971 - Channel</v>
      </c>
      <c r="B1423" s="4" t="str">
        <f>IFERROR(__xludf.DUMMYFUNCTION("""COMPUTED_VALUE"""),"")</f>
        <v/>
      </c>
      <c r="C1423" s="4" t="str">
        <f>IFERROR(__xludf.DUMMYFUNCTION("""COMPUTED_VALUE"""),"")</f>
        <v/>
      </c>
      <c r="D1423" s="4" t="str">
        <f>IFERROR(__xludf.DUMMYFUNCTION("""COMPUTED_VALUE"""),"")</f>
        <v/>
      </c>
      <c r="E1423" s="4" t="str">
        <f>IFERROR(__xludf.DUMMYFUNCTION("""COMPUTED_VALUE"""),"")</f>
        <v/>
      </c>
      <c r="F1423" s="4" t="str">
        <f>IFERROR(__xludf.DUMMYFUNCTION("""COMPUTED_VALUE"""),"")</f>
        <v/>
      </c>
      <c r="G1423" s="4" t="str">
        <f>IFERROR(__xludf.DUMMYFUNCTION("""COMPUTED_VALUE"""),"")</f>
        <v/>
      </c>
      <c r="H1423" s="4" t="str">
        <f>IFERROR(__xludf.DUMMYFUNCTION("""COMPUTED_VALUE"""),"")</f>
        <v/>
      </c>
      <c r="I1423" s="4" t="str">
        <f>IFERROR(__xludf.DUMMYFUNCTION("""COMPUTED_VALUE"""),"")</f>
        <v/>
      </c>
      <c r="J1423" s="4" t="str">
        <f>IFERROR(__xludf.DUMMYFUNCTION("""COMPUTED_VALUE"""),"")</f>
        <v/>
      </c>
      <c r="K1423" s="4" t="str">
        <f>IFERROR(__xludf.DUMMYFUNCTION("""COMPUTED_VALUE"""),"")</f>
        <v/>
      </c>
      <c r="L1423" s="4" t="str">
        <f>IFERROR(__xludf.DUMMYFUNCTION("""COMPUTED_VALUE"""),"")</f>
        <v/>
      </c>
      <c r="M1423" s="4" t="str">
        <f>IFERROR(__xludf.DUMMYFUNCTION("""COMPUTED_VALUE"""),"")</f>
        <v/>
      </c>
      <c r="N1423" s="4" t="str">
        <f>IFERROR(__xludf.DUMMYFUNCTION("""COMPUTED_VALUE"""),"")</f>
        <v/>
      </c>
      <c r="O1423" s="4" t="str">
        <f>IFERROR(__xludf.DUMMYFUNCTION("""COMPUTED_VALUE"""),"")</f>
        <v/>
      </c>
      <c r="P1423" s="4" t="str">
        <f>IFERROR(__xludf.DUMMYFUNCTION("""COMPUTED_VALUE"""),"")</f>
        <v/>
      </c>
      <c r="Q1423" s="4" t="str">
        <f>IFERROR(__xludf.DUMMYFUNCTION("""COMPUTED_VALUE"""),"")</f>
        <v/>
      </c>
      <c r="R1423" s="4" t="str">
        <f>IFERROR(__xludf.DUMMYFUNCTION("""COMPUTED_VALUE"""),"")</f>
        <v/>
      </c>
      <c r="S1423" s="4" t="str">
        <f>IFERROR(__xludf.DUMMYFUNCTION("""COMPUTED_VALUE"""),"")</f>
        <v/>
      </c>
      <c r="T1423" s="4" t="str">
        <f>IFERROR(__xludf.DUMMYFUNCTION("""COMPUTED_VALUE"""),"")</f>
        <v/>
      </c>
      <c r="U1423" s="4" t="str">
        <f>IFERROR(__xludf.DUMMYFUNCTION("""COMPUTED_VALUE"""),"")</f>
        <v/>
      </c>
      <c r="V1423" s="4" t="str">
        <f>IFERROR(__xludf.DUMMYFUNCTION("""COMPUTED_VALUE"""),"")</f>
        <v/>
      </c>
      <c r="W1423" s="4" t="str">
        <f>IFERROR(__xludf.DUMMYFUNCTION("""COMPUTED_VALUE"""),"")</f>
        <v/>
      </c>
      <c r="X1423" s="4" t="str">
        <f>IFERROR(__xludf.DUMMYFUNCTION("""COMPUTED_VALUE"""),"")</f>
        <v/>
      </c>
      <c r="Y1423" s="4" t="str">
        <f>IFERROR(__xludf.DUMMYFUNCTION("""COMPUTED_VALUE"""),"")</f>
        <v/>
      </c>
    </row>
    <row r="1424">
      <c r="A1424" s="4" t="str">
        <f>IFERROR(__xludf.DUMMYFUNCTION("""COMPUTED_VALUE"""),"1972 - Channel")</f>
        <v>1972 - Channel</v>
      </c>
      <c r="B1424" s="4" t="str">
        <f>IFERROR(__xludf.DUMMYFUNCTION("""COMPUTED_VALUE"""),"")</f>
        <v/>
      </c>
      <c r="C1424" s="4" t="str">
        <f>IFERROR(__xludf.DUMMYFUNCTION("""COMPUTED_VALUE"""),"")</f>
        <v/>
      </c>
      <c r="D1424" s="4" t="str">
        <f>IFERROR(__xludf.DUMMYFUNCTION("""COMPUTED_VALUE"""),"")</f>
        <v/>
      </c>
      <c r="E1424" s="4" t="str">
        <f>IFERROR(__xludf.DUMMYFUNCTION("""COMPUTED_VALUE"""),"")</f>
        <v/>
      </c>
      <c r="F1424" s="4" t="str">
        <f>IFERROR(__xludf.DUMMYFUNCTION("""COMPUTED_VALUE"""),"")</f>
        <v/>
      </c>
      <c r="G1424" s="4" t="str">
        <f>IFERROR(__xludf.DUMMYFUNCTION("""COMPUTED_VALUE"""),"")</f>
        <v/>
      </c>
      <c r="H1424" s="4" t="str">
        <f>IFERROR(__xludf.DUMMYFUNCTION("""COMPUTED_VALUE"""),"")</f>
        <v/>
      </c>
      <c r="I1424" s="4" t="str">
        <f>IFERROR(__xludf.DUMMYFUNCTION("""COMPUTED_VALUE"""),"")</f>
        <v/>
      </c>
      <c r="J1424" s="4" t="str">
        <f>IFERROR(__xludf.DUMMYFUNCTION("""COMPUTED_VALUE"""),"")</f>
        <v/>
      </c>
      <c r="K1424" s="4" t="str">
        <f>IFERROR(__xludf.DUMMYFUNCTION("""COMPUTED_VALUE"""),"")</f>
        <v/>
      </c>
      <c r="L1424" s="4" t="str">
        <f>IFERROR(__xludf.DUMMYFUNCTION("""COMPUTED_VALUE"""),"")</f>
        <v/>
      </c>
      <c r="M1424" s="4" t="str">
        <f>IFERROR(__xludf.DUMMYFUNCTION("""COMPUTED_VALUE"""),"")</f>
        <v/>
      </c>
      <c r="N1424" s="4" t="str">
        <f>IFERROR(__xludf.DUMMYFUNCTION("""COMPUTED_VALUE"""),"")</f>
        <v/>
      </c>
      <c r="O1424" s="4" t="str">
        <f>IFERROR(__xludf.DUMMYFUNCTION("""COMPUTED_VALUE"""),"")</f>
        <v/>
      </c>
      <c r="P1424" s="4" t="str">
        <f>IFERROR(__xludf.DUMMYFUNCTION("""COMPUTED_VALUE"""),"")</f>
        <v/>
      </c>
      <c r="Q1424" s="4" t="str">
        <f>IFERROR(__xludf.DUMMYFUNCTION("""COMPUTED_VALUE"""),"")</f>
        <v/>
      </c>
      <c r="R1424" s="4" t="str">
        <f>IFERROR(__xludf.DUMMYFUNCTION("""COMPUTED_VALUE"""),"")</f>
        <v/>
      </c>
      <c r="S1424" s="4" t="str">
        <f>IFERROR(__xludf.DUMMYFUNCTION("""COMPUTED_VALUE"""),"")</f>
        <v/>
      </c>
      <c r="T1424" s="4" t="str">
        <f>IFERROR(__xludf.DUMMYFUNCTION("""COMPUTED_VALUE"""),"")</f>
        <v/>
      </c>
      <c r="U1424" s="4" t="str">
        <f>IFERROR(__xludf.DUMMYFUNCTION("""COMPUTED_VALUE"""),"")</f>
        <v/>
      </c>
      <c r="V1424" s="4" t="str">
        <f>IFERROR(__xludf.DUMMYFUNCTION("""COMPUTED_VALUE"""),"")</f>
        <v/>
      </c>
      <c r="W1424" s="4" t="str">
        <f>IFERROR(__xludf.DUMMYFUNCTION("""COMPUTED_VALUE"""),"")</f>
        <v/>
      </c>
      <c r="X1424" s="4" t="str">
        <f>IFERROR(__xludf.DUMMYFUNCTION("""COMPUTED_VALUE"""),"")</f>
        <v/>
      </c>
      <c r="Y1424" s="4" t="str">
        <f>IFERROR(__xludf.DUMMYFUNCTION("""COMPUTED_VALUE"""),"")</f>
        <v/>
      </c>
    </row>
    <row r="1425">
      <c r="A1425" s="4" t="str">
        <f>IFERROR(__xludf.DUMMYFUNCTION("""COMPUTED_VALUE"""),"1973 - Channel")</f>
        <v>1973 - Channel</v>
      </c>
      <c r="B1425" s="4" t="str">
        <f>IFERROR(__xludf.DUMMYFUNCTION("""COMPUTED_VALUE"""),"")</f>
        <v/>
      </c>
      <c r="C1425" s="4" t="str">
        <f>IFERROR(__xludf.DUMMYFUNCTION("""COMPUTED_VALUE"""),"")</f>
        <v/>
      </c>
      <c r="D1425" s="4" t="str">
        <f>IFERROR(__xludf.DUMMYFUNCTION("""COMPUTED_VALUE"""),"")</f>
        <v/>
      </c>
      <c r="E1425" s="4" t="str">
        <f>IFERROR(__xludf.DUMMYFUNCTION("""COMPUTED_VALUE"""),"")</f>
        <v/>
      </c>
      <c r="F1425" s="4" t="str">
        <f>IFERROR(__xludf.DUMMYFUNCTION("""COMPUTED_VALUE"""),"")</f>
        <v/>
      </c>
      <c r="G1425" s="4" t="str">
        <f>IFERROR(__xludf.DUMMYFUNCTION("""COMPUTED_VALUE"""),"")</f>
        <v/>
      </c>
      <c r="H1425" s="4" t="str">
        <f>IFERROR(__xludf.DUMMYFUNCTION("""COMPUTED_VALUE"""),"")</f>
        <v/>
      </c>
      <c r="I1425" s="4" t="str">
        <f>IFERROR(__xludf.DUMMYFUNCTION("""COMPUTED_VALUE"""),"")</f>
        <v/>
      </c>
      <c r="J1425" s="4" t="str">
        <f>IFERROR(__xludf.DUMMYFUNCTION("""COMPUTED_VALUE"""),"")</f>
        <v/>
      </c>
      <c r="K1425" s="4" t="str">
        <f>IFERROR(__xludf.DUMMYFUNCTION("""COMPUTED_VALUE"""),"")</f>
        <v/>
      </c>
      <c r="L1425" s="4" t="str">
        <f>IFERROR(__xludf.DUMMYFUNCTION("""COMPUTED_VALUE"""),"")</f>
        <v/>
      </c>
      <c r="M1425" s="4" t="str">
        <f>IFERROR(__xludf.DUMMYFUNCTION("""COMPUTED_VALUE"""),"")</f>
        <v/>
      </c>
      <c r="N1425" s="4" t="str">
        <f>IFERROR(__xludf.DUMMYFUNCTION("""COMPUTED_VALUE"""),"")</f>
        <v/>
      </c>
      <c r="O1425" s="4" t="str">
        <f>IFERROR(__xludf.DUMMYFUNCTION("""COMPUTED_VALUE"""),"")</f>
        <v/>
      </c>
      <c r="P1425" s="4" t="str">
        <f>IFERROR(__xludf.DUMMYFUNCTION("""COMPUTED_VALUE"""),"")</f>
        <v/>
      </c>
      <c r="Q1425" s="4" t="str">
        <f>IFERROR(__xludf.DUMMYFUNCTION("""COMPUTED_VALUE"""),"")</f>
        <v/>
      </c>
      <c r="R1425" s="4" t="str">
        <f>IFERROR(__xludf.DUMMYFUNCTION("""COMPUTED_VALUE"""),"")</f>
        <v/>
      </c>
      <c r="S1425" s="4" t="str">
        <f>IFERROR(__xludf.DUMMYFUNCTION("""COMPUTED_VALUE"""),"")</f>
        <v/>
      </c>
      <c r="T1425" s="4" t="str">
        <f>IFERROR(__xludf.DUMMYFUNCTION("""COMPUTED_VALUE"""),"")</f>
        <v/>
      </c>
      <c r="U1425" s="4" t="str">
        <f>IFERROR(__xludf.DUMMYFUNCTION("""COMPUTED_VALUE"""),"")</f>
        <v/>
      </c>
      <c r="V1425" s="4" t="str">
        <f>IFERROR(__xludf.DUMMYFUNCTION("""COMPUTED_VALUE"""),"")</f>
        <v/>
      </c>
      <c r="W1425" s="4" t="str">
        <f>IFERROR(__xludf.DUMMYFUNCTION("""COMPUTED_VALUE"""),"")</f>
        <v/>
      </c>
      <c r="X1425" s="4" t="str">
        <f>IFERROR(__xludf.DUMMYFUNCTION("""COMPUTED_VALUE"""),"")</f>
        <v/>
      </c>
      <c r="Y1425" s="4" t="str">
        <f>IFERROR(__xludf.DUMMYFUNCTION("""COMPUTED_VALUE"""),"")</f>
        <v/>
      </c>
    </row>
    <row r="1426">
      <c r="A1426" s="4" t="str">
        <f>IFERROR(__xludf.DUMMYFUNCTION("""COMPUTED_VALUE"""),"1974 - Channel")</f>
        <v>1974 - Channel</v>
      </c>
      <c r="B1426" s="4" t="str">
        <f>IFERROR(__xludf.DUMMYFUNCTION("""COMPUTED_VALUE"""),"")</f>
        <v/>
      </c>
      <c r="C1426" s="4" t="str">
        <f>IFERROR(__xludf.DUMMYFUNCTION("""COMPUTED_VALUE"""),"")</f>
        <v/>
      </c>
      <c r="D1426" s="4" t="str">
        <f>IFERROR(__xludf.DUMMYFUNCTION("""COMPUTED_VALUE"""),"")</f>
        <v/>
      </c>
      <c r="E1426" s="4" t="str">
        <f>IFERROR(__xludf.DUMMYFUNCTION("""COMPUTED_VALUE"""),"")</f>
        <v/>
      </c>
      <c r="F1426" s="4" t="str">
        <f>IFERROR(__xludf.DUMMYFUNCTION("""COMPUTED_VALUE"""),"")</f>
        <v/>
      </c>
      <c r="G1426" s="4" t="str">
        <f>IFERROR(__xludf.DUMMYFUNCTION("""COMPUTED_VALUE"""),"")</f>
        <v/>
      </c>
      <c r="H1426" s="4" t="str">
        <f>IFERROR(__xludf.DUMMYFUNCTION("""COMPUTED_VALUE"""),"")</f>
        <v/>
      </c>
      <c r="I1426" s="4" t="str">
        <f>IFERROR(__xludf.DUMMYFUNCTION("""COMPUTED_VALUE"""),"")</f>
        <v/>
      </c>
      <c r="J1426" s="4" t="str">
        <f>IFERROR(__xludf.DUMMYFUNCTION("""COMPUTED_VALUE"""),"")</f>
        <v/>
      </c>
      <c r="K1426" s="4" t="str">
        <f>IFERROR(__xludf.DUMMYFUNCTION("""COMPUTED_VALUE"""),"")</f>
        <v/>
      </c>
      <c r="L1426" s="4" t="str">
        <f>IFERROR(__xludf.DUMMYFUNCTION("""COMPUTED_VALUE"""),"")</f>
        <v/>
      </c>
      <c r="M1426" s="4" t="str">
        <f>IFERROR(__xludf.DUMMYFUNCTION("""COMPUTED_VALUE"""),"")</f>
        <v/>
      </c>
      <c r="N1426" s="4" t="str">
        <f>IFERROR(__xludf.DUMMYFUNCTION("""COMPUTED_VALUE"""),"")</f>
        <v/>
      </c>
      <c r="O1426" s="4" t="str">
        <f>IFERROR(__xludf.DUMMYFUNCTION("""COMPUTED_VALUE"""),"")</f>
        <v/>
      </c>
      <c r="P1426" s="4" t="str">
        <f>IFERROR(__xludf.DUMMYFUNCTION("""COMPUTED_VALUE"""),"")</f>
        <v/>
      </c>
      <c r="Q1426" s="4" t="str">
        <f>IFERROR(__xludf.DUMMYFUNCTION("""COMPUTED_VALUE"""),"")</f>
        <v/>
      </c>
      <c r="R1426" s="4" t="str">
        <f>IFERROR(__xludf.DUMMYFUNCTION("""COMPUTED_VALUE"""),"")</f>
        <v/>
      </c>
      <c r="S1426" s="4" t="str">
        <f>IFERROR(__xludf.DUMMYFUNCTION("""COMPUTED_VALUE"""),"")</f>
        <v/>
      </c>
      <c r="T1426" s="4" t="str">
        <f>IFERROR(__xludf.DUMMYFUNCTION("""COMPUTED_VALUE"""),"")</f>
        <v/>
      </c>
      <c r="U1426" s="4" t="str">
        <f>IFERROR(__xludf.DUMMYFUNCTION("""COMPUTED_VALUE"""),"")</f>
        <v/>
      </c>
      <c r="V1426" s="4" t="str">
        <f>IFERROR(__xludf.DUMMYFUNCTION("""COMPUTED_VALUE"""),"")</f>
        <v/>
      </c>
      <c r="W1426" s="4" t="str">
        <f>IFERROR(__xludf.DUMMYFUNCTION("""COMPUTED_VALUE"""),"")</f>
        <v/>
      </c>
      <c r="X1426" s="4" t="str">
        <f>IFERROR(__xludf.DUMMYFUNCTION("""COMPUTED_VALUE"""),"")</f>
        <v/>
      </c>
      <c r="Y1426" s="4" t="str">
        <f>IFERROR(__xludf.DUMMYFUNCTION("""COMPUTED_VALUE"""),"")</f>
        <v/>
      </c>
    </row>
    <row r="1427">
      <c r="A1427" s="4" t="str">
        <f>IFERROR(__xludf.DUMMYFUNCTION("""COMPUTED_VALUE"""),"1975 - Channel")</f>
        <v>1975 - Channel</v>
      </c>
      <c r="B1427" s="4" t="str">
        <f>IFERROR(__xludf.DUMMYFUNCTION("""COMPUTED_VALUE"""),"")</f>
        <v/>
      </c>
      <c r="C1427" s="4" t="str">
        <f>IFERROR(__xludf.DUMMYFUNCTION("""COMPUTED_VALUE"""),"")</f>
        <v/>
      </c>
      <c r="D1427" s="4" t="str">
        <f>IFERROR(__xludf.DUMMYFUNCTION("""COMPUTED_VALUE"""),"")</f>
        <v/>
      </c>
      <c r="E1427" s="4" t="str">
        <f>IFERROR(__xludf.DUMMYFUNCTION("""COMPUTED_VALUE"""),"")</f>
        <v/>
      </c>
      <c r="F1427" s="4" t="str">
        <f>IFERROR(__xludf.DUMMYFUNCTION("""COMPUTED_VALUE"""),"")</f>
        <v/>
      </c>
      <c r="G1427" s="4" t="str">
        <f>IFERROR(__xludf.DUMMYFUNCTION("""COMPUTED_VALUE"""),"")</f>
        <v/>
      </c>
      <c r="H1427" s="4" t="str">
        <f>IFERROR(__xludf.DUMMYFUNCTION("""COMPUTED_VALUE"""),"")</f>
        <v/>
      </c>
      <c r="I1427" s="4" t="str">
        <f>IFERROR(__xludf.DUMMYFUNCTION("""COMPUTED_VALUE"""),"")</f>
        <v/>
      </c>
      <c r="J1427" s="4" t="str">
        <f>IFERROR(__xludf.DUMMYFUNCTION("""COMPUTED_VALUE"""),"")</f>
        <v/>
      </c>
      <c r="K1427" s="4" t="str">
        <f>IFERROR(__xludf.DUMMYFUNCTION("""COMPUTED_VALUE"""),"")</f>
        <v/>
      </c>
      <c r="L1427" s="4" t="str">
        <f>IFERROR(__xludf.DUMMYFUNCTION("""COMPUTED_VALUE"""),"")</f>
        <v/>
      </c>
      <c r="M1427" s="4" t="str">
        <f>IFERROR(__xludf.DUMMYFUNCTION("""COMPUTED_VALUE"""),"")</f>
        <v/>
      </c>
      <c r="N1427" s="4" t="str">
        <f>IFERROR(__xludf.DUMMYFUNCTION("""COMPUTED_VALUE"""),"")</f>
        <v/>
      </c>
      <c r="O1427" s="4" t="str">
        <f>IFERROR(__xludf.DUMMYFUNCTION("""COMPUTED_VALUE"""),"")</f>
        <v/>
      </c>
      <c r="P1427" s="4" t="str">
        <f>IFERROR(__xludf.DUMMYFUNCTION("""COMPUTED_VALUE"""),"")</f>
        <v/>
      </c>
      <c r="Q1427" s="4" t="str">
        <f>IFERROR(__xludf.DUMMYFUNCTION("""COMPUTED_VALUE"""),"")</f>
        <v/>
      </c>
      <c r="R1427" s="4" t="str">
        <f>IFERROR(__xludf.DUMMYFUNCTION("""COMPUTED_VALUE"""),"")</f>
        <v/>
      </c>
      <c r="S1427" s="4" t="str">
        <f>IFERROR(__xludf.DUMMYFUNCTION("""COMPUTED_VALUE"""),"")</f>
        <v/>
      </c>
      <c r="T1427" s="4" t="str">
        <f>IFERROR(__xludf.DUMMYFUNCTION("""COMPUTED_VALUE"""),"")</f>
        <v/>
      </c>
      <c r="U1427" s="4" t="str">
        <f>IFERROR(__xludf.DUMMYFUNCTION("""COMPUTED_VALUE"""),"")</f>
        <v/>
      </c>
      <c r="V1427" s="4" t="str">
        <f>IFERROR(__xludf.DUMMYFUNCTION("""COMPUTED_VALUE"""),"")</f>
        <v/>
      </c>
      <c r="W1427" s="4" t="str">
        <f>IFERROR(__xludf.DUMMYFUNCTION("""COMPUTED_VALUE"""),"")</f>
        <v/>
      </c>
      <c r="X1427" s="4" t="str">
        <f>IFERROR(__xludf.DUMMYFUNCTION("""COMPUTED_VALUE"""),"")</f>
        <v/>
      </c>
      <c r="Y1427" s="4" t="str">
        <f>IFERROR(__xludf.DUMMYFUNCTION("""COMPUTED_VALUE"""),"")</f>
        <v/>
      </c>
    </row>
    <row r="1428">
      <c r="A1428" s="4" t="str">
        <f>IFERROR(__xludf.DUMMYFUNCTION("""COMPUTED_VALUE"""),"1976 - Channel")</f>
        <v>1976 - Channel</v>
      </c>
      <c r="B1428" s="4" t="str">
        <f>IFERROR(__xludf.DUMMYFUNCTION("""COMPUTED_VALUE"""),"")</f>
        <v/>
      </c>
      <c r="C1428" s="4" t="str">
        <f>IFERROR(__xludf.DUMMYFUNCTION("""COMPUTED_VALUE"""),"")</f>
        <v/>
      </c>
      <c r="D1428" s="4" t="str">
        <f>IFERROR(__xludf.DUMMYFUNCTION("""COMPUTED_VALUE"""),"")</f>
        <v/>
      </c>
      <c r="E1428" s="4" t="str">
        <f>IFERROR(__xludf.DUMMYFUNCTION("""COMPUTED_VALUE"""),"")</f>
        <v/>
      </c>
      <c r="F1428" s="4" t="str">
        <f>IFERROR(__xludf.DUMMYFUNCTION("""COMPUTED_VALUE"""),"")</f>
        <v/>
      </c>
      <c r="G1428" s="4" t="str">
        <f>IFERROR(__xludf.DUMMYFUNCTION("""COMPUTED_VALUE"""),"")</f>
        <v/>
      </c>
      <c r="H1428" s="4" t="str">
        <f>IFERROR(__xludf.DUMMYFUNCTION("""COMPUTED_VALUE"""),"")</f>
        <v/>
      </c>
      <c r="I1428" s="4" t="str">
        <f>IFERROR(__xludf.DUMMYFUNCTION("""COMPUTED_VALUE"""),"")</f>
        <v/>
      </c>
      <c r="J1428" s="4" t="str">
        <f>IFERROR(__xludf.DUMMYFUNCTION("""COMPUTED_VALUE"""),"")</f>
        <v/>
      </c>
      <c r="K1428" s="4" t="str">
        <f>IFERROR(__xludf.DUMMYFUNCTION("""COMPUTED_VALUE"""),"")</f>
        <v/>
      </c>
      <c r="L1428" s="4" t="str">
        <f>IFERROR(__xludf.DUMMYFUNCTION("""COMPUTED_VALUE"""),"")</f>
        <v/>
      </c>
      <c r="M1428" s="4" t="str">
        <f>IFERROR(__xludf.DUMMYFUNCTION("""COMPUTED_VALUE"""),"")</f>
        <v/>
      </c>
      <c r="N1428" s="4" t="str">
        <f>IFERROR(__xludf.DUMMYFUNCTION("""COMPUTED_VALUE"""),"")</f>
        <v/>
      </c>
      <c r="O1428" s="4" t="str">
        <f>IFERROR(__xludf.DUMMYFUNCTION("""COMPUTED_VALUE"""),"")</f>
        <v/>
      </c>
      <c r="P1428" s="4" t="str">
        <f>IFERROR(__xludf.DUMMYFUNCTION("""COMPUTED_VALUE"""),"")</f>
        <v/>
      </c>
      <c r="Q1428" s="4" t="str">
        <f>IFERROR(__xludf.DUMMYFUNCTION("""COMPUTED_VALUE"""),"")</f>
        <v/>
      </c>
      <c r="R1428" s="4" t="str">
        <f>IFERROR(__xludf.DUMMYFUNCTION("""COMPUTED_VALUE"""),"")</f>
        <v/>
      </c>
      <c r="S1428" s="4" t="str">
        <f>IFERROR(__xludf.DUMMYFUNCTION("""COMPUTED_VALUE"""),"")</f>
        <v/>
      </c>
      <c r="T1428" s="4" t="str">
        <f>IFERROR(__xludf.DUMMYFUNCTION("""COMPUTED_VALUE"""),"")</f>
        <v/>
      </c>
      <c r="U1428" s="4" t="str">
        <f>IFERROR(__xludf.DUMMYFUNCTION("""COMPUTED_VALUE"""),"")</f>
        <v/>
      </c>
      <c r="V1428" s="4" t="str">
        <f>IFERROR(__xludf.DUMMYFUNCTION("""COMPUTED_VALUE"""),"")</f>
        <v/>
      </c>
      <c r="W1428" s="4" t="str">
        <f>IFERROR(__xludf.DUMMYFUNCTION("""COMPUTED_VALUE"""),"")</f>
        <v/>
      </c>
      <c r="X1428" s="4" t="str">
        <f>IFERROR(__xludf.DUMMYFUNCTION("""COMPUTED_VALUE"""),"")</f>
        <v/>
      </c>
      <c r="Y1428" s="4" t="str">
        <f>IFERROR(__xludf.DUMMYFUNCTION("""COMPUTED_VALUE"""),"")</f>
        <v/>
      </c>
    </row>
    <row r="1429">
      <c r="A1429" s="4" t="str">
        <f>IFERROR(__xludf.DUMMYFUNCTION("""COMPUTED_VALUE"""),"1977 - Channel")</f>
        <v>1977 - Channel</v>
      </c>
      <c r="B1429" s="4" t="str">
        <f>IFERROR(__xludf.DUMMYFUNCTION("""COMPUTED_VALUE"""),"")</f>
        <v/>
      </c>
      <c r="C1429" s="4" t="str">
        <f>IFERROR(__xludf.DUMMYFUNCTION("""COMPUTED_VALUE"""),"")</f>
        <v/>
      </c>
      <c r="D1429" s="4" t="str">
        <f>IFERROR(__xludf.DUMMYFUNCTION("""COMPUTED_VALUE"""),"")</f>
        <v/>
      </c>
      <c r="E1429" s="4" t="str">
        <f>IFERROR(__xludf.DUMMYFUNCTION("""COMPUTED_VALUE"""),"")</f>
        <v/>
      </c>
      <c r="F1429" s="4" t="str">
        <f>IFERROR(__xludf.DUMMYFUNCTION("""COMPUTED_VALUE"""),"")</f>
        <v/>
      </c>
      <c r="G1429" s="4" t="str">
        <f>IFERROR(__xludf.DUMMYFUNCTION("""COMPUTED_VALUE"""),"")</f>
        <v/>
      </c>
      <c r="H1429" s="4" t="str">
        <f>IFERROR(__xludf.DUMMYFUNCTION("""COMPUTED_VALUE"""),"")</f>
        <v/>
      </c>
      <c r="I1429" s="4" t="str">
        <f>IFERROR(__xludf.DUMMYFUNCTION("""COMPUTED_VALUE"""),"")</f>
        <v/>
      </c>
      <c r="J1429" s="4" t="str">
        <f>IFERROR(__xludf.DUMMYFUNCTION("""COMPUTED_VALUE"""),"")</f>
        <v/>
      </c>
      <c r="K1429" s="4" t="str">
        <f>IFERROR(__xludf.DUMMYFUNCTION("""COMPUTED_VALUE"""),"")</f>
        <v/>
      </c>
      <c r="L1429" s="4" t="str">
        <f>IFERROR(__xludf.DUMMYFUNCTION("""COMPUTED_VALUE"""),"")</f>
        <v/>
      </c>
      <c r="M1429" s="4" t="str">
        <f>IFERROR(__xludf.DUMMYFUNCTION("""COMPUTED_VALUE"""),"")</f>
        <v/>
      </c>
      <c r="N1429" s="4" t="str">
        <f>IFERROR(__xludf.DUMMYFUNCTION("""COMPUTED_VALUE"""),"")</f>
        <v/>
      </c>
      <c r="O1429" s="4" t="str">
        <f>IFERROR(__xludf.DUMMYFUNCTION("""COMPUTED_VALUE"""),"")</f>
        <v/>
      </c>
      <c r="P1429" s="4" t="str">
        <f>IFERROR(__xludf.DUMMYFUNCTION("""COMPUTED_VALUE"""),"")</f>
        <v/>
      </c>
      <c r="Q1429" s="4" t="str">
        <f>IFERROR(__xludf.DUMMYFUNCTION("""COMPUTED_VALUE"""),"")</f>
        <v/>
      </c>
      <c r="R1429" s="4" t="str">
        <f>IFERROR(__xludf.DUMMYFUNCTION("""COMPUTED_VALUE"""),"")</f>
        <v/>
      </c>
      <c r="S1429" s="4" t="str">
        <f>IFERROR(__xludf.DUMMYFUNCTION("""COMPUTED_VALUE"""),"")</f>
        <v/>
      </c>
      <c r="T1429" s="4" t="str">
        <f>IFERROR(__xludf.DUMMYFUNCTION("""COMPUTED_VALUE"""),"")</f>
        <v/>
      </c>
      <c r="U1429" s="4" t="str">
        <f>IFERROR(__xludf.DUMMYFUNCTION("""COMPUTED_VALUE"""),"")</f>
        <v/>
      </c>
      <c r="V1429" s="4" t="str">
        <f>IFERROR(__xludf.DUMMYFUNCTION("""COMPUTED_VALUE"""),"")</f>
        <v/>
      </c>
      <c r="W1429" s="4" t="str">
        <f>IFERROR(__xludf.DUMMYFUNCTION("""COMPUTED_VALUE"""),"")</f>
        <v/>
      </c>
      <c r="X1429" s="4" t="str">
        <f>IFERROR(__xludf.DUMMYFUNCTION("""COMPUTED_VALUE"""),"")</f>
        <v/>
      </c>
      <c r="Y1429" s="4" t="str">
        <f>IFERROR(__xludf.DUMMYFUNCTION("""COMPUTED_VALUE"""),"")</f>
        <v/>
      </c>
    </row>
    <row r="1430">
      <c r="A1430" s="4" t="str">
        <f>IFERROR(__xludf.DUMMYFUNCTION("""COMPUTED_VALUE"""),"1978 - Channel")</f>
        <v>1978 - Channel</v>
      </c>
      <c r="B1430" s="4" t="str">
        <f>IFERROR(__xludf.DUMMYFUNCTION("""COMPUTED_VALUE"""),"")</f>
        <v/>
      </c>
      <c r="C1430" s="4" t="str">
        <f>IFERROR(__xludf.DUMMYFUNCTION("""COMPUTED_VALUE"""),"")</f>
        <v/>
      </c>
      <c r="D1430" s="4" t="str">
        <f>IFERROR(__xludf.DUMMYFUNCTION("""COMPUTED_VALUE"""),"")</f>
        <v/>
      </c>
      <c r="E1430" s="4" t="str">
        <f>IFERROR(__xludf.DUMMYFUNCTION("""COMPUTED_VALUE"""),"")</f>
        <v/>
      </c>
      <c r="F1430" s="4" t="str">
        <f>IFERROR(__xludf.DUMMYFUNCTION("""COMPUTED_VALUE"""),"")</f>
        <v/>
      </c>
      <c r="G1430" s="4" t="str">
        <f>IFERROR(__xludf.DUMMYFUNCTION("""COMPUTED_VALUE"""),"")</f>
        <v/>
      </c>
      <c r="H1430" s="4" t="str">
        <f>IFERROR(__xludf.DUMMYFUNCTION("""COMPUTED_VALUE"""),"")</f>
        <v/>
      </c>
      <c r="I1430" s="4" t="str">
        <f>IFERROR(__xludf.DUMMYFUNCTION("""COMPUTED_VALUE"""),"")</f>
        <v/>
      </c>
      <c r="J1430" s="4" t="str">
        <f>IFERROR(__xludf.DUMMYFUNCTION("""COMPUTED_VALUE"""),"")</f>
        <v/>
      </c>
      <c r="K1430" s="4" t="str">
        <f>IFERROR(__xludf.DUMMYFUNCTION("""COMPUTED_VALUE"""),"")</f>
        <v/>
      </c>
      <c r="L1430" s="4" t="str">
        <f>IFERROR(__xludf.DUMMYFUNCTION("""COMPUTED_VALUE"""),"")</f>
        <v/>
      </c>
      <c r="M1430" s="4" t="str">
        <f>IFERROR(__xludf.DUMMYFUNCTION("""COMPUTED_VALUE"""),"")</f>
        <v/>
      </c>
      <c r="N1430" s="4" t="str">
        <f>IFERROR(__xludf.DUMMYFUNCTION("""COMPUTED_VALUE"""),"")</f>
        <v/>
      </c>
      <c r="O1430" s="4" t="str">
        <f>IFERROR(__xludf.DUMMYFUNCTION("""COMPUTED_VALUE"""),"")</f>
        <v/>
      </c>
      <c r="P1430" s="4" t="str">
        <f>IFERROR(__xludf.DUMMYFUNCTION("""COMPUTED_VALUE"""),"")</f>
        <v/>
      </c>
      <c r="Q1430" s="4" t="str">
        <f>IFERROR(__xludf.DUMMYFUNCTION("""COMPUTED_VALUE"""),"")</f>
        <v/>
      </c>
      <c r="R1430" s="4" t="str">
        <f>IFERROR(__xludf.DUMMYFUNCTION("""COMPUTED_VALUE"""),"")</f>
        <v/>
      </c>
      <c r="S1430" s="4" t="str">
        <f>IFERROR(__xludf.DUMMYFUNCTION("""COMPUTED_VALUE"""),"")</f>
        <v/>
      </c>
      <c r="T1430" s="4" t="str">
        <f>IFERROR(__xludf.DUMMYFUNCTION("""COMPUTED_VALUE"""),"")</f>
        <v/>
      </c>
      <c r="U1430" s="4" t="str">
        <f>IFERROR(__xludf.DUMMYFUNCTION("""COMPUTED_VALUE"""),"")</f>
        <v/>
      </c>
      <c r="V1430" s="4" t="str">
        <f>IFERROR(__xludf.DUMMYFUNCTION("""COMPUTED_VALUE"""),"")</f>
        <v/>
      </c>
      <c r="W1430" s="4" t="str">
        <f>IFERROR(__xludf.DUMMYFUNCTION("""COMPUTED_VALUE"""),"")</f>
        <v/>
      </c>
      <c r="X1430" s="4" t="str">
        <f>IFERROR(__xludf.DUMMYFUNCTION("""COMPUTED_VALUE"""),"")</f>
        <v/>
      </c>
      <c r="Y1430" s="4" t="str">
        <f>IFERROR(__xludf.DUMMYFUNCTION("""COMPUTED_VALUE"""),"")</f>
        <v/>
      </c>
    </row>
    <row r="1431">
      <c r="A1431" s="4" t="str">
        <f>IFERROR(__xludf.DUMMYFUNCTION("""COMPUTED_VALUE"""),"1979 - Channel")</f>
        <v>1979 - Channel</v>
      </c>
      <c r="B1431" s="4" t="str">
        <f>IFERROR(__xludf.DUMMYFUNCTION("""COMPUTED_VALUE"""),"")</f>
        <v/>
      </c>
      <c r="C1431" s="4" t="str">
        <f>IFERROR(__xludf.DUMMYFUNCTION("""COMPUTED_VALUE"""),"")</f>
        <v/>
      </c>
      <c r="D1431" s="4" t="str">
        <f>IFERROR(__xludf.DUMMYFUNCTION("""COMPUTED_VALUE"""),"")</f>
        <v/>
      </c>
      <c r="E1431" s="4" t="str">
        <f>IFERROR(__xludf.DUMMYFUNCTION("""COMPUTED_VALUE"""),"")</f>
        <v/>
      </c>
      <c r="F1431" s="4" t="str">
        <f>IFERROR(__xludf.DUMMYFUNCTION("""COMPUTED_VALUE"""),"")</f>
        <v/>
      </c>
      <c r="G1431" s="4" t="str">
        <f>IFERROR(__xludf.DUMMYFUNCTION("""COMPUTED_VALUE"""),"")</f>
        <v/>
      </c>
      <c r="H1431" s="4" t="str">
        <f>IFERROR(__xludf.DUMMYFUNCTION("""COMPUTED_VALUE"""),"")</f>
        <v/>
      </c>
      <c r="I1431" s="4" t="str">
        <f>IFERROR(__xludf.DUMMYFUNCTION("""COMPUTED_VALUE"""),"")</f>
        <v/>
      </c>
      <c r="J1431" s="4" t="str">
        <f>IFERROR(__xludf.DUMMYFUNCTION("""COMPUTED_VALUE"""),"")</f>
        <v/>
      </c>
      <c r="K1431" s="4" t="str">
        <f>IFERROR(__xludf.DUMMYFUNCTION("""COMPUTED_VALUE"""),"")</f>
        <v/>
      </c>
      <c r="L1431" s="4" t="str">
        <f>IFERROR(__xludf.DUMMYFUNCTION("""COMPUTED_VALUE"""),"")</f>
        <v/>
      </c>
      <c r="M1431" s="4" t="str">
        <f>IFERROR(__xludf.DUMMYFUNCTION("""COMPUTED_VALUE"""),"")</f>
        <v/>
      </c>
      <c r="N1431" s="4" t="str">
        <f>IFERROR(__xludf.DUMMYFUNCTION("""COMPUTED_VALUE"""),"")</f>
        <v/>
      </c>
      <c r="O1431" s="4" t="str">
        <f>IFERROR(__xludf.DUMMYFUNCTION("""COMPUTED_VALUE"""),"")</f>
        <v/>
      </c>
      <c r="P1431" s="4" t="str">
        <f>IFERROR(__xludf.DUMMYFUNCTION("""COMPUTED_VALUE"""),"")</f>
        <v/>
      </c>
      <c r="Q1431" s="4" t="str">
        <f>IFERROR(__xludf.DUMMYFUNCTION("""COMPUTED_VALUE"""),"")</f>
        <v/>
      </c>
      <c r="R1431" s="4" t="str">
        <f>IFERROR(__xludf.DUMMYFUNCTION("""COMPUTED_VALUE"""),"")</f>
        <v/>
      </c>
      <c r="S1431" s="4" t="str">
        <f>IFERROR(__xludf.DUMMYFUNCTION("""COMPUTED_VALUE"""),"")</f>
        <v/>
      </c>
      <c r="T1431" s="4" t="str">
        <f>IFERROR(__xludf.DUMMYFUNCTION("""COMPUTED_VALUE"""),"")</f>
        <v/>
      </c>
      <c r="U1431" s="4" t="str">
        <f>IFERROR(__xludf.DUMMYFUNCTION("""COMPUTED_VALUE"""),"")</f>
        <v/>
      </c>
      <c r="V1431" s="4" t="str">
        <f>IFERROR(__xludf.DUMMYFUNCTION("""COMPUTED_VALUE"""),"")</f>
        <v/>
      </c>
      <c r="W1431" s="4" t="str">
        <f>IFERROR(__xludf.DUMMYFUNCTION("""COMPUTED_VALUE"""),"")</f>
        <v/>
      </c>
      <c r="X1431" s="4" t="str">
        <f>IFERROR(__xludf.DUMMYFUNCTION("""COMPUTED_VALUE"""),"")</f>
        <v/>
      </c>
      <c r="Y1431" s="4" t="str">
        <f>IFERROR(__xludf.DUMMYFUNCTION("""COMPUTED_VALUE"""),"")</f>
        <v/>
      </c>
    </row>
    <row r="1432">
      <c r="A1432" s="4" t="str">
        <f>IFERROR(__xludf.DUMMYFUNCTION("""COMPUTED_VALUE"""),"1980 - Channel")</f>
        <v>1980 - Channel</v>
      </c>
      <c r="B1432" s="4" t="str">
        <f>IFERROR(__xludf.DUMMYFUNCTION("""COMPUTED_VALUE"""),"")</f>
        <v/>
      </c>
      <c r="C1432" s="4" t="str">
        <f>IFERROR(__xludf.DUMMYFUNCTION("""COMPUTED_VALUE"""),"")</f>
        <v/>
      </c>
      <c r="D1432" s="4" t="str">
        <f>IFERROR(__xludf.DUMMYFUNCTION("""COMPUTED_VALUE"""),"")</f>
        <v/>
      </c>
      <c r="E1432" s="4" t="str">
        <f>IFERROR(__xludf.DUMMYFUNCTION("""COMPUTED_VALUE"""),"")</f>
        <v/>
      </c>
      <c r="F1432" s="4" t="str">
        <f>IFERROR(__xludf.DUMMYFUNCTION("""COMPUTED_VALUE"""),"")</f>
        <v/>
      </c>
      <c r="G1432" s="4" t="str">
        <f>IFERROR(__xludf.DUMMYFUNCTION("""COMPUTED_VALUE"""),"")</f>
        <v/>
      </c>
      <c r="H1432" s="4" t="str">
        <f>IFERROR(__xludf.DUMMYFUNCTION("""COMPUTED_VALUE"""),"")</f>
        <v/>
      </c>
      <c r="I1432" s="4" t="str">
        <f>IFERROR(__xludf.DUMMYFUNCTION("""COMPUTED_VALUE"""),"")</f>
        <v/>
      </c>
      <c r="J1432" s="4" t="str">
        <f>IFERROR(__xludf.DUMMYFUNCTION("""COMPUTED_VALUE"""),"")</f>
        <v/>
      </c>
      <c r="K1432" s="4" t="str">
        <f>IFERROR(__xludf.DUMMYFUNCTION("""COMPUTED_VALUE"""),"")</f>
        <v/>
      </c>
      <c r="L1432" s="4" t="str">
        <f>IFERROR(__xludf.DUMMYFUNCTION("""COMPUTED_VALUE"""),"")</f>
        <v/>
      </c>
      <c r="M1432" s="4" t="str">
        <f>IFERROR(__xludf.DUMMYFUNCTION("""COMPUTED_VALUE"""),"")</f>
        <v/>
      </c>
      <c r="N1432" s="4" t="str">
        <f>IFERROR(__xludf.DUMMYFUNCTION("""COMPUTED_VALUE"""),"")</f>
        <v/>
      </c>
      <c r="O1432" s="4" t="str">
        <f>IFERROR(__xludf.DUMMYFUNCTION("""COMPUTED_VALUE"""),"")</f>
        <v/>
      </c>
      <c r="P1432" s="4" t="str">
        <f>IFERROR(__xludf.DUMMYFUNCTION("""COMPUTED_VALUE"""),"")</f>
        <v/>
      </c>
      <c r="Q1432" s="4" t="str">
        <f>IFERROR(__xludf.DUMMYFUNCTION("""COMPUTED_VALUE"""),"")</f>
        <v/>
      </c>
      <c r="R1432" s="4" t="str">
        <f>IFERROR(__xludf.DUMMYFUNCTION("""COMPUTED_VALUE"""),"")</f>
        <v/>
      </c>
      <c r="S1432" s="4" t="str">
        <f>IFERROR(__xludf.DUMMYFUNCTION("""COMPUTED_VALUE"""),"")</f>
        <v/>
      </c>
      <c r="T1432" s="4" t="str">
        <f>IFERROR(__xludf.DUMMYFUNCTION("""COMPUTED_VALUE"""),"")</f>
        <v/>
      </c>
      <c r="U1432" s="4" t="str">
        <f>IFERROR(__xludf.DUMMYFUNCTION("""COMPUTED_VALUE"""),"")</f>
        <v/>
      </c>
      <c r="V1432" s="4" t="str">
        <f>IFERROR(__xludf.DUMMYFUNCTION("""COMPUTED_VALUE"""),"")</f>
        <v/>
      </c>
      <c r="W1432" s="4" t="str">
        <f>IFERROR(__xludf.DUMMYFUNCTION("""COMPUTED_VALUE"""),"")</f>
        <v/>
      </c>
      <c r="X1432" s="4" t="str">
        <f>IFERROR(__xludf.DUMMYFUNCTION("""COMPUTED_VALUE"""),"")</f>
        <v/>
      </c>
      <c r="Y1432" s="4" t="str">
        <f>IFERROR(__xludf.DUMMYFUNCTION("""COMPUTED_VALUE"""),"")</f>
        <v/>
      </c>
    </row>
    <row r="1433">
      <c r="A1433" s="4" t="str">
        <f>IFERROR(__xludf.DUMMYFUNCTION("""COMPUTED_VALUE"""),"1981 - Channel")</f>
        <v>1981 - Channel</v>
      </c>
      <c r="B1433" s="4" t="str">
        <f>IFERROR(__xludf.DUMMYFUNCTION("""COMPUTED_VALUE"""),"")</f>
        <v/>
      </c>
      <c r="C1433" s="4" t="str">
        <f>IFERROR(__xludf.DUMMYFUNCTION("""COMPUTED_VALUE"""),"")</f>
        <v/>
      </c>
      <c r="D1433" s="4" t="str">
        <f>IFERROR(__xludf.DUMMYFUNCTION("""COMPUTED_VALUE"""),"")</f>
        <v/>
      </c>
      <c r="E1433" s="4" t="str">
        <f>IFERROR(__xludf.DUMMYFUNCTION("""COMPUTED_VALUE"""),"")</f>
        <v/>
      </c>
      <c r="F1433" s="4" t="str">
        <f>IFERROR(__xludf.DUMMYFUNCTION("""COMPUTED_VALUE"""),"")</f>
        <v/>
      </c>
      <c r="G1433" s="4" t="str">
        <f>IFERROR(__xludf.DUMMYFUNCTION("""COMPUTED_VALUE"""),"")</f>
        <v/>
      </c>
      <c r="H1433" s="4" t="str">
        <f>IFERROR(__xludf.DUMMYFUNCTION("""COMPUTED_VALUE"""),"")</f>
        <v/>
      </c>
      <c r="I1433" s="4" t="str">
        <f>IFERROR(__xludf.DUMMYFUNCTION("""COMPUTED_VALUE"""),"")</f>
        <v/>
      </c>
      <c r="J1433" s="4" t="str">
        <f>IFERROR(__xludf.DUMMYFUNCTION("""COMPUTED_VALUE"""),"")</f>
        <v/>
      </c>
      <c r="K1433" s="4" t="str">
        <f>IFERROR(__xludf.DUMMYFUNCTION("""COMPUTED_VALUE"""),"")</f>
        <v/>
      </c>
      <c r="L1433" s="4" t="str">
        <f>IFERROR(__xludf.DUMMYFUNCTION("""COMPUTED_VALUE"""),"")</f>
        <v/>
      </c>
      <c r="M1433" s="4" t="str">
        <f>IFERROR(__xludf.DUMMYFUNCTION("""COMPUTED_VALUE"""),"")</f>
        <v/>
      </c>
      <c r="N1433" s="4" t="str">
        <f>IFERROR(__xludf.DUMMYFUNCTION("""COMPUTED_VALUE"""),"")</f>
        <v/>
      </c>
      <c r="O1433" s="4" t="str">
        <f>IFERROR(__xludf.DUMMYFUNCTION("""COMPUTED_VALUE"""),"")</f>
        <v/>
      </c>
      <c r="P1433" s="4" t="str">
        <f>IFERROR(__xludf.DUMMYFUNCTION("""COMPUTED_VALUE"""),"")</f>
        <v/>
      </c>
      <c r="Q1433" s="4" t="str">
        <f>IFERROR(__xludf.DUMMYFUNCTION("""COMPUTED_VALUE"""),"")</f>
        <v/>
      </c>
      <c r="R1433" s="4" t="str">
        <f>IFERROR(__xludf.DUMMYFUNCTION("""COMPUTED_VALUE"""),"")</f>
        <v/>
      </c>
      <c r="S1433" s="4" t="str">
        <f>IFERROR(__xludf.DUMMYFUNCTION("""COMPUTED_VALUE"""),"")</f>
        <v/>
      </c>
      <c r="T1433" s="4" t="str">
        <f>IFERROR(__xludf.DUMMYFUNCTION("""COMPUTED_VALUE"""),"")</f>
        <v/>
      </c>
      <c r="U1433" s="4" t="str">
        <f>IFERROR(__xludf.DUMMYFUNCTION("""COMPUTED_VALUE"""),"")</f>
        <v/>
      </c>
      <c r="V1433" s="4" t="str">
        <f>IFERROR(__xludf.DUMMYFUNCTION("""COMPUTED_VALUE"""),"")</f>
        <v/>
      </c>
      <c r="W1433" s="4" t="str">
        <f>IFERROR(__xludf.DUMMYFUNCTION("""COMPUTED_VALUE"""),"")</f>
        <v/>
      </c>
      <c r="X1433" s="4" t="str">
        <f>IFERROR(__xludf.DUMMYFUNCTION("""COMPUTED_VALUE"""),"")</f>
        <v/>
      </c>
      <c r="Y1433" s="4" t="str">
        <f>IFERROR(__xludf.DUMMYFUNCTION("""COMPUTED_VALUE"""),"")</f>
        <v/>
      </c>
    </row>
    <row r="1434">
      <c r="A1434" s="4" t="str">
        <f>IFERROR(__xludf.DUMMYFUNCTION("""COMPUTED_VALUE"""),"1982 - Channel")</f>
        <v>1982 - Channel</v>
      </c>
      <c r="B1434" s="4" t="str">
        <f>IFERROR(__xludf.DUMMYFUNCTION("""COMPUTED_VALUE"""),"")</f>
        <v/>
      </c>
      <c r="C1434" s="4" t="str">
        <f>IFERROR(__xludf.DUMMYFUNCTION("""COMPUTED_VALUE"""),"")</f>
        <v/>
      </c>
      <c r="D1434" s="4" t="str">
        <f>IFERROR(__xludf.DUMMYFUNCTION("""COMPUTED_VALUE"""),"")</f>
        <v/>
      </c>
      <c r="E1434" s="4" t="str">
        <f>IFERROR(__xludf.DUMMYFUNCTION("""COMPUTED_VALUE"""),"")</f>
        <v/>
      </c>
      <c r="F1434" s="4" t="str">
        <f>IFERROR(__xludf.DUMMYFUNCTION("""COMPUTED_VALUE"""),"")</f>
        <v/>
      </c>
      <c r="G1434" s="4" t="str">
        <f>IFERROR(__xludf.DUMMYFUNCTION("""COMPUTED_VALUE"""),"")</f>
        <v/>
      </c>
      <c r="H1434" s="4" t="str">
        <f>IFERROR(__xludf.DUMMYFUNCTION("""COMPUTED_VALUE"""),"")</f>
        <v/>
      </c>
      <c r="I1434" s="4" t="str">
        <f>IFERROR(__xludf.DUMMYFUNCTION("""COMPUTED_VALUE"""),"")</f>
        <v/>
      </c>
      <c r="J1434" s="4" t="str">
        <f>IFERROR(__xludf.DUMMYFUNCTION("""COMPUTED_VALUE"""),"")</f>
        <v/>
      </c>
      <c r="K1434" s="4" t="str">
        <f>IFERROR(__xludf.DUMMYFUNCTION("""COMPUTED_VALUE"""),"")</f>
        <v/>
      </c>
      <c r="L1434" s="4" t="str">
        <f>IFERROR(__xludf.DUMMYFUNCTION("""COMPUTED_VALUE"""),"")</f>
        <v/>
      </c>
      <c r="M1434" s="4" t="str">
        <f>IFERROR(__xludf.DUMMYFUNCTION("""COMPUTED_VALUE"""),"")</f>
        <v/>
      </c>
      <c r="N1434" s="4" t="str">
        <f>IFERROR(__xludf.DUMMYFUNCTION("""COMPUTED_VALUE"""),"")</f>
        <v/>
      </c>
      <c r="O1434" s="4" t="str">
        <f>IFERROR(__xludf.DUMMYFUNCTION("""COMPUTED_VALUE"""),"")</f>
        <v/>
      </c>
      <c r="P1434" s="4" t="str">
        <f>IFERROR(__xludf.DUMMYFUNCTION("""COMPUTED_VALUE"""),"")</f>
        <v/>
      </c>
      <c r="Q1434" s="4" t="str">
        <f>IFERROR(__xludf.DUMMYFUNCTION("""COMPUTED_VALUE"""),"")</f>
        <v/>
      </c>
      <c r="R1434" s="4" t="str">
        <f>IFERROR(__xludf.DUMMYFUNCTION("""COMPUTED_VALUE"""),"")</f>
        <v/>
      </c>
      <c r="S1434" s="4" t="str">
        <f>IFERROR(__xludf.DUMMYFUNCTION("""COMPUTED_VALUE"""),"")</f>
        <v/>
      </c>
      <c r="T1434" s="4" t="str">
        <f>IFERROR(__xludf.DUMMYFUNCTION("""COMPUTED_VALUE"""),"")</f>
        <v/>
      </c>
      <c r="U1434" s="4" t="str">
        <f>IFERROR(__xludf.DUMMYFUNCTION("""COMPUTED_VALUE"""),"")</f>
        <v/>
      </c>
      <c r="V1434" s="4" t="str">
        <f>IFERROR(__xludf.DUMMYFUNCTION("""COMPUTED_VALUE"""),"")</f>
        <v/>
      </c>
      <c r="W1434" s="4" t="str">
        <f>IFERROR(__xludf.DUMMYFUNCTION("""COMPUTED_VALUE"""),"")</f>
        <v/>
      </c>
      <c r="X1434" s="4" t="str">
        <f>IFERROR(__xludf.DUMMYFUNCTION("""COMPUTED_VALUE"""),"")</f>
        <v/>
      </c>
      <c r="Y1434" s="4" t="str">
        <f>IFERROR(__xludf.DUMMYFUNCTION("""COMPUTED_VALUE"""),"")</f>
        <v/>
      </c>
    </row>
    <row r="1435">
      <c r="A1435" s="4" t="str">
        <f>IFERROR(__xludf.DUMMYFUNCTION("""COMPUTED_VALUE"""),"1983 - Channel")</f>
        <v>1983 - Channel</v>
      </c>
      <c r="B1435" s="4" t="str">
        <f>IFERROR(__xludf.DUMMYFUNCTION("""COMPUTED_VALUE"""),"")</f>
        <v/>
      </c>
      <c r="C1435" s="4" t="str">
        <f>IFERROR(__xludf.DUMMYFUNCTION("""COMPUTED_VALUE"""),"")</f>
        <v/>
      </c>
      <c r="D1435" s="4" t="str">
        <f>IFERROR(__xludf.DUMMYFUNCTION("""COMPUTED_VALUE"""),"")</f>
        <v/>
      </c>
      <c r="E1435" s="4" t="str">
        <f>IFERROR(__xludf.DUMMYFUNCTION("""COMPUTED_VALUE"""),"")</f>
        <v/>
      </c>
      <c r="F1435" s="4" t="str">
        <f>IFERROR(__xludf.DUMMYFUNCTION("""COMPUTED_VALUE"""),"")</f>
        <v/>
      </c>
      <c r="G1435" s="4" t="str">
        <f>IFERROR(__xludf.DUMMYFUNCTION("""COMPUTED_VALUE"""),"")</f>
        <v/>
      </c>
      <c r="H1435" s="4" t="str">
        <f>IFERROR(__xludf.DUMMYFUNCTION("""COMPUTED_VALUE"""),"")</f>
        <v/>
      </c>
      <c r="I1435" s="4" t="str">
        <f>IFERROR(__xludf.DUMMYFUNCTION("""COMPUTED_VALUE"""),"")</f>
        <v/>
      </c>
      <c r="J1435" s="4" t="str">
        <f>IFERROR(__xludf.DUMMYFUNCTION("""COMPUTED_VALUE"""),"")</f>
        <v/>
      </c>
      <c r="K1435" s="4" t="str">
        <f>IFERROR(__xludf.DUMMYFUNCTION("""COMPUTED_VALUE"""),"")</f>
        <v/>
      </c>
      <c r="L1435" s="4" t="str">
        <f>IFERROR(__xludf.DUMMYFUNCTION("""COMPUTED_VALUE"""),"")</f>
        <v/>
      </c>
      <c r="M1435" s="4" t="str">
        <f>IFERROR(__xludf.DUMMYFUNCTION("""COMPUTED_VALUE"""),"")</f>
        <v/>
      </c>
      <c r="N1435" s="4" t="str">
        <f>IFERROR(__xludf.DUMMYFUNCTION("""COMPUTED_VALUE"""),"")</f>
        <v/>
      </c>
      <c r="O1435" s="4" t="str">
        <f>IFERROR(__xludf.DUMMYFUNCTION("""COMPUTED_VALUE"""),"")</f>
        <v/>
      </c>
      <c r="P1435" s="4" t="str">
        <f>IFERROR(__xludf.DUMMYFUNCTION("""COMPUTED_VALUE"""),"")</f>
        <v/>
      </c>
      <c r="Q1435" s="4" t="str">
        <f>IFERROR(__xludf.DUMMYFUNCTION("""COMPUTED_VALUE"""),"")</f>
        <v/>
      </c>
      <c r="R1435" s="4" t="str">
        <f>IFERROR(__xludf.DUMMYFUNCTION("""COMPUTED_VALUE"""),"")</f>
        <v/>
      </c>
      <c r="S1435" s="4" t="str">
        <f>IFERROR(__xludf.DUMMYFUNCTION("""COMPUTED_VALUE"""),"")</f>
        <v/>
      </c>
      <c r="T1435" s="4" t="str">
        <f>IFERROR(__xludf.DUMMYFUNCTION("""COMPUTED_VALUE"""),"")</f>
        <v/>
      </c>
      <c r="U1435" s="4" t="str">
        <f>IFERROR(__xludf.DUMMYFUNCTION("""COMPUTED_VALUE"""),"")</f>
        <v/>
      </c>
      <c r="V1435" s="4" t="str">
        <f>IFERROR(__xludf.DUMMYFUNCTION("""COMPUTED_VALUE"""),"")</f>
        <v/>
      </c>
      <c r="W1435" s="4" t="str">
        <f>IFERROR(__xludf.DUMMYFUNCTION("""COMPUTED_VALUE"""),"")</f>
        <v/>
      </c>
      <c r="X1435" s="4" t="str">
        <f>IFERROR(__xludf.DUMMYFUNCTION("""COMPUTED_VALUE"""),"")</f>
        <v/>
      </c>
      <c r="Y1435" s="4" t="str">
        <f>IFERROR(__xludf.DUMMYFUNCTION("""COMPUTED_VALUE"""),"")</f>
        <v/>
      </c>
    </row>
    <row r="1436">
      <c r="A1436" s="4" t="str">
        <f>IFERROR(__xludf.DUMMYFUNCTION("""COMPUTED_VALUE"""),"1984 - Channel")</f>
        <v>1984 - Channel</v>
      </c>
      <c r="B1436" s="4" t="str">
        <f>IFERROR(__xludf.DUMMYFUNCTION("""COMPUTED_VALUE"""),"")</f>
        <v/>
      </c>
      <c r="C1436" s="4" t="str">
        <f>IFERROR(__xludf.DUMMYFUNCTION("""COMPUTED_VALUE"""),"")</f>
        <v/>
      </c>
      <c r="D1436" s="4" t="str">
        <f>IFERROR(__xludf.DUMMYFUNCTION("""COMPUTED_VALUE"""),"")</f>
        <v/>
      </c>
      <c r="E1436" s="4" t="str">
        <f>IFERROR(__xludf.DUMMYFUNCTION("""COMPUTED_VALUE"""),"")</f>
        <v/>
      </c>
      <c r="F1436" s="4" t="str">
        <f>IFERROR(__xludf.DUMMYFUNCTION("""COMPUTED_VALUE"""),"")</f>
        <v/>
      </c>
      <c r="G1436" s="4" t="str">
        <f>IFERROR(__xludf.DUMMYFUNCTION("""COMPUTED_VALUE"""),"")</f>
        <v/>
      </c>
      <c r="H1436" s="4" t="str">
        <f>IFERROR(__xludf.DUMMYFUNCTION("""COMPUTED_VALUE"""),"")</f>
        <v/>
      </c>
      <c r="I1436" s="4" t="str">
        <f>IFERROR(__xludf.DUMMYFUNCTION("""COMPUTED_VALUE"""),"")</f>
        <v/>
      </c>
      <c r="J1436" s="4" t="str">
        <f>IFERROR(__xludf.DUMMYFUNCTION("""COMPUTED_VALUE"""),"")</f>
        <v/>
      </c>
      <c r="K1436" s="4" t="str">
        <f>IFERROR(__xludf.DUMMYFUNCTION("""COMPUTED_VALUE"""),"")</f>
        <v/>
      </c>
      <c r="L1436" s="4" t="str">
        <f>IFERROR(__xludf.DUMMYFUNCTION("""COMPUTED_VALUE"""),"")</f>
        <v/>
      </c>
      <c r="M1436" s="4" t="str">
        <f>IFERROR(__xludf.DUMMYFUNCTION("""COMPUTED_VALUE"""),"")</f>
        <v/>
      </c>
      <c r="N1436" s="4" t="str">
        <f>IFERROR(__xludf.DUMMYFUNCTION("""COMPUTED_VALUE"""),"")</f>
        <v/>
      </c>
      <c r="O1436" s="4" t="str">
        <f>IFERROR(__xludf.DUMMYFUNCTION("""COMPUTED_VALUE"""),"")</f>
        <v/>
      </c>
      <c r="P1436" s="4" t="str">
        <f>IFERROR(__xludf.DUMMYFUNCTION("""COMPUTED_VALUE"""),"")</f>
        <v/>
      </c>
      <c r="Q1436" s="4" t="str">
        <f>IFERROR(__xludf.DUMMYFUNCTION("""COMPUTED_VALUE"""),"")</f>
        <v/>
      </c>
      <c r="R1436" s="4" t="str">
        <f>IFERROR(__xludf.DUMMYFUNCTION("""COMPUTED_VALUE"""),"")</f>
        <v/>
      </c>
      <c r="S1436" s="4" t="str">
        <f>IFERROR(__xludf.DUMMYFUNCTION("""COMPUTED_VALUE"""),"")</f>
        <v/>
      </c>
      <c r="T1436" s="4" t="str">
        <f>IFERROR(__xludf.DUMMYFUNCTION("""COMPUTED_VALUE"""),"")</f>
        <v/>
      </c>
      <c r="U1436" s="4" t="str">
        <f>IFERROR(__xludf.DUMMYFUNCTION("""COMPUTED_VALUE"""),"")</f>
        <v/>
      </c>
      <c r="V1436" s="4" t="str">
        <f>IFERROR(__xludf.DUMMYFUNCTION("""COMPUTED_VALUE"""),"")</f>
        <v/>
      </c>
      <c r="W1436" s="4" t="str">
        <f>IFERROR(__xludf.DUMMYFUNCTION("""COMPUTED_VALUE"""),"")</f>
        <v/>
      </c>
      <c r="X1436" s="4" t="str">
        <f>IFERROR(__xludf.DUMMYFUNCTION("""COMPUTED_VALUE"""),"")</f>
        <v/>
      </c>
      <c r="Y1436" s="4" t="str">
        <f>IFERROR(__xludf.DUMMYFUNCTION("""COMPUTED_VALUE"""),"")</f>
        <v/>
      </c>
    </row>
    <row r="1437">
      <c r="A1437" s="4" t="str">
        <f>IFERROR(__xludf.DUMMYFUNCTION("""COMPUTED_VALUE"""),"1985 - Channel")</f>
        <v>1985 - Channel</v>
      </c>
      <c r="B1437" s="4" t="str">
        <f>IFERROR(__xludf.DUMMYFUNCTION("""COMPUTED_VALUE"""),"")</f>
        <v/>
      </c>
      <c r="C1437" s="4" t="str">
        <f>IFERROR(__xludf.DUMMYFUNCTION("""COMPUTED_VALUE"""),"")</f>
        <v/>
      </c>
      <c r="D1437" s="4" t="str">
        <f>IFERROR(__xludf.DUMMYFUNCTION("""COMPUTED_VALUE"""),"")</f>
        <v/>
      </c>
      <c r="E1437" s="4" t="str">
        <f>IFERROR(__xludf.DUMMYFUNCTION("""COMPUTED_VALUE"""),"")</f>
        <v/>
      </c>
      <c r="F1437" s="4" t="str">
        <f>IFERROR(__xludf.DUMMYFUNCTION("""COMPUTED_VALUE"""),"")</f>
        <v/>
      </c>
      <c r="G1437" s="4" t="str">
        <f>IFERROR(__xludf.DUMMYFUNCTION("""COMPUTED_VALUE"""),"")</f>
        <v/>
      </c>
      <c r="H1437" s="4" t="str">
        <f>IFERROR(__xludf.DUMMYFUNCTION("""COMPUTED_VALUE"""),"")</f>
        <v/>
      </c>
      <c r="I1437" s="4" t="str">
        <f>IFERROR(__xludf.DUMMYFUNCTION("""COMPUTED_VALUE"""),"")</f>
        <v/>
      </c>
      <c r="J1437" s="4" t="str">
        <f>IFERROR(__xludf.DUMMYFUNCTION("""COMPUTED_VALUE"""),"")</f>
        <v/>
      </c>
      <c r="K1437" s="4" t="str">
        <f>IFERROR(__xludf.DUMMYFUNCTION("""COMPUTED_VALUE"""),"")</f>
        <v/>
      </c>
      <c r="L1437" s="4" t="str">
        <f>IFERROR(__xludf.DUMMYFUNCTION("""COMPUTED_VALUE"""),"")</f>
        <v/>
      </c>
      <c r="M1437" s="4" t="str">
        <f>IFERROR(__xludf.DUMMYFUNCTION("""COMPUTED_VALUE"""),"")</f>
        <v/>
      </c>
      <c r="N1437" s="4" t="str">
        <f>IFERROR(__xludf.DUMMYFUNCTION("""COMPUTED_VALUE"""),"")</f>
        <v/>
      </c>
      <c r="O1437" s="4" t="str">
        <f>IFERROR(__xludf.DUMMYFUNCTION("""COMPUTED_VALUE"""),"")</f>
        <v/>
      </c>
      <c r="P1437" s="4" t="str">
        <f>IFERROR(__xludf.DUMMYFUNCTION("""COMPUTED_VALUE"""),"")</f>
        <v/>
      </c>
      <c r="Q1437" s="4" t="str">
        <f>IFERROR(__xludf.DUMMYFUNCTION("""COMPUTED_VALUE"""),"")</f>
        <v/>
      </c>
      <c r="R1437" s="4" t="str">
        <f>IFERROR(__xludf.DUMMYFUNCTION("""COMPUTED_VALUE"""),"")</f>
        <v/>
      </c>
      <c r="S1437" s="4" t="str">
        <f>IFERROR(__xludf.DUMMYFUNCTION("""COMPUTED_VALUE"""),"")</f>
        <v/>
      </c>
      <c r="T1437" s="4" t="str">
        <f>IFERROR(__xludf.DUMMYFUNCTION("""COMPUTED_VALUE"""),"")</f>
        <v/>
      </c>
      <c r="U1437" s="4" t="str">
        <f>IFERROR(__xludf.DUMMYFUNCTION("""COMPUTED_VALUE"""),"")</f>
        <v/>
      </c>
      <c r="V1437" s="4" t="str">
        <f>IFERROR(__xludf.DUMMYFUNCTION("""COMPUTED_VALUE"""),"")</f>
        <v/>
      </c>
      <c r="W1437" s="4" t="str">
        <f>IFERROR(__xludf.DUMMYFUNCTION("""COMPUTED_VALUE"""),"")</f>
        <v/>
      </c>
      <c r="X1437" s="4" t="str">
        <f>IFERROR(__xludf.DUMMYFUNCTION("""COMPUTED_VALUE"""),"")</f>
        <v/>
      </c>
      <c r="Y1437" s="4" t="str">
        <f>IFERROR(__xludf.DUMMYFUNCTION("""COMPUTED_VALUE"""),"")</f>
        <v/>
      </c>
    </row>
    <row r="1438">
      <c r="A1438" s="4" t="str">
        <f>IFERROR(__xludf.DUMMYFUNCTION("""COMPUTED_VALUE"""),"1986 - Channel")</f>
        <v>1986 - Channel</v>
      </c>
      <c r="B1438" s="4" t="str">
        <f>IFERROR(__xludf.DUMMYFUNCTION("""COMPUTED_VALUE"""),"")</f>
        <v/>
      </c>
      <c r="C1438" s="4" t="str">
        <f>IFERROR(__xludf.DUMMYFUNCTION("""COMPUTED_VALUE"""),"")</f>
        <v/>
      </c>
      <c r="D1438" s="4" t="str">
        <f>IFERROR(__xludf.DUMMYFUNCTION("""COMPUTED_VALUE"""),"")</f>
        <v/>
      </c>
      <c r="E1438" s="4" t="str">
        <f>IFERROR(__xludf.DUMMYFUNCTION("""COMPUTED_VALUE"""),"")</f>
        <v/>
      </c>
      <c r="F1438" s="4" t="str">
        <f>IFERROR(__xludf.DUMMYFUNCTION("""COMPUTED_VALUE"""),"")</f>
        <v/>
      </c>
      <c r="G1438" s="4" t="str">
        <f>IFERROR(__xludf.DUMMYFUNCTION("""COMPUTED_VALUE"""),"")</f>
        <v/>
      </c>
      <c r="H1438" s="4" t="str">
        <f>IFERROR(__xludf.DUMMYFUNCTION("""COMPUTED_VALUE"""),"")</f>
        <v/>
      </c>
      <c r="I1438" s="4" t="str">
        <f>IFERROR(__xludf.DUMMYFUNCTION("""COMPUTED_VALUE"""),"")</f>
        <v/>
      </c>
      <c r="J1438" s="4" t="str">
        <f>IFERROR(__xludf.DUMMYFUNCTION("""COMPUTED_VALUE"""),"")</f>
        <v/>
      </c>
      <c r="K1438" s="4" t="str">
        <f>IFERROR(__xludf.DUMMYFUNCTION("""COMPUTED_VALUE"""),"")</f>
        <v/>
      </c>
      <c r="L1438" s="4" t="str">
        <f>IFERROR(__xludf.DUMMYFUNCTION("""COMPUTED_VALUE"""),"")</f>
        <v/>
      </c>
      <c r="M1438" s="4" t="str">
        <f>IFERROR(__xludf.DUMMYFUNCTION("""COMPUTED_VALUE"""),"")</f>
        <v/>
      </c>
      <c r="N1438" s="4" t="str">
        <f>IFERROR(__xludf.DUMMYFUNCTION("""COMPUTED_VALUE"""),"")</f>
        <v/>
      </c>
      <c r="O1438" s="4" t="str">
        <f>IFERROR(__xludf.DUMMYFUNCTION("""COMPUTED_VALUE"""),"")</f>
        <v/>
      </c>
      <c r="P1438" s="4" t="str">
        <f>IFERROR(__xludf.DUMMYFUNCTION("""COMPUTED_VALUE"""),"")</f>
        <v/>
      </c>
      <c r="Q1438" s="4" t="str">
        <f>IFERROR(__xludf.DUMMYFUNCTION("""COMPUTED_VALUE"""),"")</f>
        <v/>
      </c>
      <c r="R1438" s="4" t="str">
        <f>IFERROR(__xludf.DUMMYFUNCTION("""COMPUTED_VALUE"""),"")</f>
        <v/>
      </c>
      <c r="S1438" s="4" t="str">
        <f>IFERROR(__xludf.DUMMYFUNCTION("""COMPUTED_VALUE"""),"")</f>
        <v/>
      </c>
      <c r="T1438" s="4" t="str">
        <f>IFERROR(__xludf.DUMMYFUNCTION("""COMPUTED_VALUE"""),"")</f>
        <v/>
      </c>
      <c r="U1438" s="4" t="str">
        <f>IFERROR(__xludf.DUMMYFUNCTION("""COMPUTED_VALUE"""),"")</f>
        <v/>
      </c>
      <c r="V1438" s="4" t="str">
        <f>IFERROR(__xludf.DUMMYFUNCTION("""COMPUTED_VALUE"""),"")</f>
        <v/>
      </c>
      <c r="W1438" s="4" t="str">
        <f>IFERROR(__xludf.DUMMYFUNCTION("""COMPUTED_VALUE"""),"")</f>
        <v/>
      </c>
      <c r="X1438" s="4" t="str">
        <f>IFERROR(__xludf.DUMMYFUNCTION("""COMPUTED_VALUE"""),"")</f>
        <v/>
      </c>
      <c r="Y1438" s="4" t="str">
        <f>IFERROR(__xludf.DUMMYFUNCTION("""COMPUTED_VALUE"""),"")</f>
        <v/>
      </c>
    </row>
    <row r="1439">
      <c r="A1439" s="4" t="str">
        <f>IFERROR(__xludf.DUMMYFUNCTION("""COMPUTED_VALUE"""),"1987 - Channel")</f>
        <v>1987 - Channel</v>
      </c>
      <c r="B1439" s="4" t="str">
        <f>IFERROR(__xludf.DUMMYFUNCTION("""COMPUTED_VALUE"""),"")</f>
        <v/>
      </c>
      <c r="C1439" s="4" t="str">
        <f>IFERROR(__xludf.DUMMYFUNCTION("""COMPUTED_VALUE"""),"")</f>
        <v/>
      </c>
      <c r="D1439" s="4" t="str">
        <f>IFERROR(__xludf.DUMMYFUNCTION("""COMPUTED_VALUE"""),"")</f>
        <v/>
      </c>
      <c r="E1439" s="4" t="str">
        <f>IFERROR(__xludf.DUMMYFUNCTION("""COMPUTED_VALUE"""),"")</f>
        <v/>
      </c>
      <c r="F1439" s="4" t="str">
        <f>IFERROR(__xludf.DUMMYFUNCTION("""COMPUTED_VALUE"""),"")</f>
        <v/>
      </c>
      <c r="G1439" s="4" t="str">
        <f>IFERROR(__xludf.DUMMYFUNCTION("""COMPUTED_VALUE"""),"")</f>
        <v/>
      </c>
      <c r="H1439" s="4" t="str">
        <f>IFERROR(__xludf.DUMMYFUNCTION("""COMPUTED_VALUE"""),"")</f>
        <v/>
      </c>
      <c r="I1439" s="4" t="str">
        <f>IFERROR(__xludf.DUMMYFUNCTION("""COMPUTED_VALUE"""),"")</f>
        <v/>
      </c>
      <c r="J1439" s="4" t="str">
        <f>IFERROR(__xludf.DUMMYFUNCTION("""COMPUTED_VALUE"""),"")</f>
        <v/>
      </c>
      <c r="K1439" s="4" t="str">
        <f>IFERROR(__xludf.DUMMYFUNCTION("""COMPUTED_VALUE"""),"")</f>
        <v/>
      </c>
      <c r="L1439" s="4" t="str">
        <f>IFERROR(__xludf.DUMMYFUNCTION("""COMPUTED_VALUE"""),"")</f>
        <v/>
      </c>
      <c r="M1439" s="4" t="str">
        <f>IFERROR(__xludf.DUMMYFUNCTION("""COMPUTED_VALUE"""),"")</f>
        <v/>
      </c>
      <c r="N1439" s="4" t="str">
        <f>IFERROR(__xludf.DUMMYFUNCTION("""COMPUTED_VALUE"""),"")</f>
        <v/>
      </c>
      <c r="O1439" s="4" t="str">
        <f>IFERROR(__xludf.DUMMYFUNCTION("""COMPUTED_VALUE"""),"")</f>
        <v/>
      </c>
      <c r="P1439" s="4" t="str">
        <f>IFERROR(__xludf.DUMMYFUNCTION("""COMPUTED_VALUE"""),"")</f>
        <v/>
      </c>
      <c r="Q1439" s="4" t="str">
        <f>IFERROR(__xludf.DUMMYFUNCTION("""COMPUTED_VALUE"""),"")</f>
        <v/>
      </c>
      <c r="R1439" s="4" t="str">
        <f>IFERROR(__xludf.DUMMYFUNCTION("""COMPUTED_VALUE"""),"")</f>
        <v/>
      </c>
      <c r="S1439" s="4" t="str">
        <f>IFERROR(__xludf.DUMMYFUNCTION("""COMPUTED_VALUE"""),"")</f>
        <v/>
      </c>
      <c r="T1439" s="4" t="str">
        <f>IFERROR(__xludf.DUMMYFUNCTION("""COMPUTED_VALUE"""),"")</f>
        <v/>
      </c>
      <c r="U1439" s="4" t="str">
        <f>IFERROR(__xludf.DUMMYFUNCTION("""COMPUTED_VALUE"""),"")</f>
        <v/>
      </c>
      <c r="V1439" s="4" t="str">
        <f>IFERROR(__xludf.DUMMYFUNCTION("""COMPUTED_VALUE"""),"")</f>
        <v/>
      </c>
      <c r="W1439" s="4" t="str">
        <f>IFERROR(__xludf.DUMMYFUNCTION("""COMPUTED_VALUE"""),"")</f>
        <v/>
      </c>
      <c r="X1439" s="4" t="str">
        <f>IFERROR(__xludf.DUMMYFUNCTION("""COMPUTED_VALUE"""),"")</f>
        <v/>
      </c>
      <c r="Y1439" s="4" t="str">
        <f>IFERROR(__xludf.DUMMYFUNCTION("""COMPUTED_VALUE"""),"")</f>
        <v/>
      </c>
    </row>
    <row r="1440">
      <c r="A1440" s="4" t="str">
        <f>IFERROR(__xludf.DUMMYFUNCTION("""COMPUTED_VALUE"""),"1988 - Channel")</f>
        <v>1988 - Channel</v>
      </c>
      <c r="B1440" s="4" t="str">
        <f>IFERROR(__xludf.DUMMYFUNCTION("""COMPUTED_VALUE"""),"")</f>
        <v/>
      </c>
      <c r="C1440" s="4" t="str">
        <f>IFERROR(__xludf.DUMMYFUNCTION("""COMPUTED_VALUE"""),"")</f>
        <v/>
      </c>
      <c r="D1440" s="4" t="str">
        <f>IFERROR(__xludf.DUMMYFUNCTION("""COMPUTED_VALUE"""),"")</f>
        <v/>
      </c>
      <c r="E1440" s="4" t="str">
        <f>IFERROR(__xludf.DUMMYFUNCTION("""COMPUTED_VALUE"""),"")</f>
        <v/>
      </c>
      <c r="F1440" s="4" t="str">
        <f>IFERROR(__xludf.DUMMYFUNCTION("""COMPUTED_VALUE"""),"")</f>
        <v/>
      </c>
      <c r="G1440" s="4" t="str">
        <f>IFERROR(__xludf.DUMMYFUNCTION("""COMPUTED_VALUE"""),"")</f>
        <v/>
      </c>
      <c r="H1440" s="4" t="str">
        <f>IFERROR(__xludf.DUMMYFUNCTION("""COMPUTED_VALUE"""),"")</f>
        <v/>
      </c>
      <c r="I1440" s="4" t="str">
        <f>IFERROR(__xludf.DUMMYFUNCTION("""COMPUTED_VALUE"""),"")</f>
        <v/>
      </c>
      <c r="J1440" s="4" t="str">
        <f>IFERROR(__xludf.DUMMYFUNCTION("""COMPUTED_VALUE"""),"")</f>
        <v/>
      </c>
      <c r="K1440" s="4" t="str">
        <f>IFERROR(__xludf.DUMMYFUNCTION("""COMPUTED_VALUE"""),"")</f>
        <v/>
      </c>
      <c r="L1440" s="4" t="str">
        <f>IFERROR(__xludf.DUMMYFUNCTION("""COMPUTED_VALUE"""),"")</f>
        <v/>
      </c>
      <c r="M1440" s="4" t="str">
        <f>IFERROR(__xludf.DUMMYFUNCTION("""COMPUTED_VALUE"""),"")</f>
        <v/>
      </c>
      <c r="N1440" s="4" t="str">
        <f>IFERROR(__xludf.DUMMYFUNCTION("""COMPUTED_VALUE"""),"")</f>
        <v/>
      </c>
      <c r="O1440" s="4" t="str">
        <f>IFERROR(__xludf.DUMMYFUNCTION("""COMPUTED_VALUE"""),"")</f>
        <v/>
      </c>
      <c r="P1440" s="4" t="str">
        <f>IFERROR(__xludf.DUMMYFUNCTION("""COMPUTED_VALUE"""),"")</f>
        <v/>
      </c>
      <c r="Q1440" s="4" t="str">
        <f>IFERROR(__xludf.DUMMYFUNCTION("""COMPUTED_VALUE"""),"")</f>
        <v/>
      </c>
      <c r="R1440" s="4" t="str">
        <f>IFERROR(__xludf.DUMMYFUNCTION("""COMPUTED_VALUE"""),"")</f>
        <v/>
      </c>
      <c r="S1440" s="4" t="str">
        <f>IFERROR(__xludf.DUMMYFUNCTION("""COMPUTED_VALUE"""),"")</f>
        <v/>
      </c>
      <c r="T1440" s="4" t="str">
        <f>IFERROR(__xludf.DUMMYFUNCTION("""COMPUTED_VALUE"""),"")</f>
        <v/>
      </c>
      <c r="U1440" s="4" t="str">
        <f>IFERROR(__xludf.DUMMYFUNCTION("""COMPUTED_VALUE"""),"")</f>
        <v/>
      </c>
      <c r="V1440" s="4" t="str">
        <f>IFERROR(__xludf.DUMMYFUNCTION("""COMPUTED_VALUE"""),"")</f>
        <v/>
      </c>
      <c r="W1440" s="4" t="str">
        <f>IFERROR(__xludf.DUMMYFUNCTION("""COMPUTED_VALUE"""),"")</f>
        <v/>
      </c>
      <c r="X1440" s="4" t="str">
        <f>IFERROR(__xludf.DUMMYFUNCTION("""COMPUTED_VALUE"""),"")</f>
        <v/>
      </c>
      <c r="Y1440" s="4" t="str">
        <f>IFERROR(__xludf.DUMMYFUNCTION("""COMPUTED_VALUE"""),"")</f>
        <v/>
      </c>
    </row>
    <row r="1441">
      <c r="A1441" s="4" t="str">
        <f>IFERROR(__xludf.DUMMYFUNCTION("""COMPUTED_VALUE"""),"1989 - Channel")</f>
        <v>1989 - Channel</v>
      </c>
      <c r="B1441" s="4" t="str">
        <f>IFERROR(__xludf.DUMMYFUNCTION("""COMPUTED_VALUE"""),"")</f>
        <v/>
      </c>
      <c r="C1441" s="4" t="str">
        <f>IFERROR(__xludf.DUMMYFUNCTION("""COMPUTED_VALUE"""),"")</f>
        <v/>
      </c>
      <c r="D1441" s="4" t="str">
        <f>IFERROR(__xludf.DUMMYFUNCTION("""COMPUTED_VALUE"""),"")</f>
        <v/>
      </c>
      <c r="E1441" s="4" t="str">
        <f>IFERROR(__xludf.DUMMYFUNCTION("""COMPUTED_VALUE"""),"")</f>
        <v/>
      </c>
      <c r="F1441" s="4" t="str">
        <f>IFERROR(__xludf.DUMMYFUNCTION("""COMPUTED_VALUE"""),"")</f>
        <v/>
      </c>
      <c r="G1441" s="4" t="str">
        <f>IFERROR(__xludf.DUMMYFUNCTION("""COMPUTED_VALUE"""),"")</f>
        <v/>
      </c>
      <c r="H1441" s="4" t="str">
        <f>IFERROR(__xludf.DUMMYFUNCTION("""COMPUTED_VALUE"""),"")</f>
        <v/>
      </c>
      <c r="I1441" s="4" t="str">
        <f>IFERROR(__xludf.DUMMYFUNCTION("""COMPUTED_VALUE"""),"")</f>
        <v/>
      </c>
      <c r="J1441" s="4" t="str">
        <f>IFERROR(__xludf.DUMMYFUNCTION("""COMPUTED_VALUE"""),"")</f>
        <v/>
      </c>
      <c r="K1441" s="4" t="str">
        <f>IFERROR(__xludf.DUMMYFUNCTION("""COMPUTED_VALUE"""),"")</f>
        <v/>
      </c>
      <c r="L1441" s="4" t="str">
        <f>IFERROR(__xludf.DUMMYFUNCTION("""COMPUTED_VALUE"""),"")</f>
        <v/>
      </c>
      <c r="M1441" s="4" t="str">
        <f>IFERROR(__xludf.DUMMYFUNCTION("""COMPUTED_VALUE"""),"")</f>
        <v/>
      </c>
      <c r="N1441" s="4" t="str">
        <f>IFERROR(__xludf.DUMMYFUNCTION("""COMPUTED_VALUE"""),"")</f>
        <v/>
      </c>
      <c r="O1441" s="4" t="str">
        <f>IFERROR(__xludf.DUMMYFUNCTION("""COMPUTED_VALUE"""),"")</f>
        <v/>
      </c>
      <c r="P1441" s="4" t="str">
        <f>IFERROR(__xludf.DUMMYFUNCTION("""COMPUTED_VALUE"""),"")</f>
        <v/>
      </c>
      <c r="Q1441" s="4" t="str">
        <f>IFERROR(__xludf.DUMMYFUNCTION("""COMPUTED_VALUE"""),"")</f>
        <v/>
      </c>
      <c r="R1441" s="4" t="str">
        <f>IFERROR(__xludf.DUMMYFUNCTION("""COMPUTED_VALUE"""),"")</f>
        <v/>
      </c>
      <c r="S1441" s="4" t="str">
        <f>IFERROR(__xludf.DUMMYFUNCTION("""COMPUTED_VALUE"""),"")</f>
        <v/>
      </c>
      <c r="T1441" s="4" t="str">
        <f>IFERROR(__xludf.DUMMYFUNCTION("""COMPUTED_VALUE"""),"")</f>
        <v/>
      </c>
      <c r="U1441" s="4" t="str">
        <f>IFERROR(__xludf.DUMMYFUNCTION("""COMPUTED_VALUE"""),"")</f>
        <v/>
      </c>
      <c r="V1441" s="4" t="str">
        <f>IFERROR(__xludf.DUMMYFUNCTION("""COMPUTED_VALUE"""),"")</f>
        <v/>
      </c>
      <c r="W1441" s="4" t="str">
        <f>IFERROR(__xludf.DUMMYFUNCTION("""COMPUTED_VALUE"""),"")</f>
        <v/>
      </c>
      <c r="X1441" s="4" t="str">
        <f>IFERROR(__xludf.DUMMYFUNCTION("""COMPUTED_VALUE"""),"")</f>
        <v/>
      </c>
      <c r="Y1441" s="4" t="str">
        <f>IFERROR(__xludf.DUMMYFUNCTION("""COMPUTED_VALUE"""),"")</f>
        <v/>
      </c>
    </row>
    <row r="1442">
      <c r="A1442" s="4" t="str">
        <f>IFERROR(__xludf.DUMMYFUNCTION("""COMPUTED_VALUE"""),"1990 - Channel")</f>
        <v>1990 - Channel</v>
      </c>
      <c r="B1442" s="4" t="str">
        <f>IFERROR(__xludf.DUMMYFUNCTION("""COMPUTED_VALUE"""),"")</f>
        <v/>
      </c>
      <c r="C1442" s="4" t="str">
        <f>IFERROR(__xludf.DUMMYFUNCTION("""COMPUTED_VALUE"""),"")</f>
        <v/>
      </c>
      <c r="D1442" s="4" t="str">
        <f>IFERROR(__xludf.DUMMYFUNCTION("""COMPUTED_VALUE"""),"")</f>
        <v/>
      </c>
      <c r="E1442" s="4" t="str">
        <f>IFERROR(__xludf.DUMMYFUNCTION("""COMPUTED_VALUE"""),"")</f>
        <v/>
      </c>
      <c r="F1442" s="4" t="str">
        <f>IFERROR(__xludf.DUMMYFUNCTION("""COMPUTED_VALUE"""),"")</f>
        <v/>
      </c>
      <c r="G1442" s="4" t="str">
        <f>IFERROR(__xludf.DUMMYFUNCTION("""COMPUTED_VALUE"""),"")</f>
        <v/>
      </c>
      <c r="H1442" s="4" t="str">
        <f>IFERROR(__xludf.DUMMYFUNCTION("""COMPUTED_VALUE"""),"")</f>
        <v/>
      </c>
      <c r="I1442" s="4" t="str">
        <f>IFERROR(__xludf.DUMMYFUNCTION("""COMPUTED_VALUE"""),"")</f>
        <v/>
      </c>
      <c r="J1442" s="4" t="str">
        <f>IFERROR(__xludf.DUMMYFUNCTION("""COMPUTED_VALUE"""),"")</f>
        <v/>
      </c>
      <c r="K1442" s="4" t="str">
        <f>IFERROR(__xludf.DUMMYFUNCTION("""COMPUTED_VALUE"""),"")</f>
        <v/>
      </c>
      <c r="L1442" s="4" t="str">
        <f>IFERROR(__xludf.DUMMYFUNCTION("""COMPUTED_VALUE"""),"")</f>
        <v/>
      </c>
      <c r="M1442" s="4" t="str">
        <f>IFERROR(__xludf.DUMMYFUNCTION("""COMPUTED_VALUE"""),"")</f>
        <v/>
      </c>
      <c r="N1442" s="4" t="str">
        <f>IFERROR(__xludf.DUMMYFUNCTION("""COMPUTED_VALUE"""),"")</f>
        <v/>
      </c>
      <c r="O1442" s="4" t="str">
        <f>IFERROR(__xludf.DUMMYFUNCTION("""COMPUTED_VALUE"""),"")</f>
        <v/>
      </c>
      <c r="P1442" s="4" t="str">
        <f>IFERROR(__xludf.DUMMYFUNCTION("""COMPUTED_VALUE"""),"")</f>
        <v/>
      </c>
      <c r="Q1442" s="4" t="str">
        <f>IFERROR(__xludf.DUMMYFUNCTION("""COMPUTED_VALUE"""),"")</f>
        <v/>
      </c>
      <c r="R1442" s="4" t="str">
        <f>IFERROR(__xludf.DUMMYFUNCTION("""COMPUTED_VALUE"""),"")</f>
        <v/>
      </c>
      <c r="S1442" s="4" t="str">
        <f>IFERROR(__xludf.DUMMYFUNCTION("""COMPUTED_VALUE"""),"")</f>
        <v/>
      </c>
      <c r="T1442" s="4" t="str">
        <f>IFERROR(__xludf.DUMMYFUNCTION("""COMPUTED_VALUE"""),"")</f>
        <v/>
      </c>
      <c r="U1442" s="4" t="str">
        <f>IFERROR(__xludf.DUMMYFUNCTION("""COMPUTED_VALUE"""),"")</f>
        <v/>
      </c>
      <c r="V1442" s="4" t="str">
        <f>IFERROR(__xludf.DUMMYFUNCTION("""COMPUTED_VALUE"""),"")</f>
        <v/>
      </c>
      <c r="W1442" s="4" t="str">
        <f>IFERROR(__xludf.DUMMYFUNCTION("""COMPUTED_VALUE"""),"")</f>
        <v/>
      </c>
      <c r="X1442" s="4" t="str">
        <f>IFERROR(__xludf.DUMMYFUNCTION("""COMPUTED_VALUE"""),"")</f>
        <v/>
      </c>
      <c r="Y1442" s="4" t="str">
        <f>IFERROR(__xludf.DUMMYFUNCTION("""COMPUTED_VALUE"""),"")</f>
        <v/>
      </c>
    </row>
    <row r="1443">
      <c r="A1443" s="4" t="str">
        <f>IFERROR(__xludf.DUMMYFUNCTION("""COMPUTED_VALUE"""),"1991 - Channel")</f>
        <v>1991 - Channel</v>
      </c>
      <c r="B1443" s="4" t="str">
        <f>IFERROR(__xludf.DUMMYFUNCTION("""COMPUTED_VALUE"""),"")</f>
        <v/>
      </c>
      <c r="C1443" s="4" t="str">
        <f>IFERROR(__xludf.DUMMYFUNCTION("""COMPUTED_VALUE"""),"")</f>
        <v/>
      </c>
      <c r="D1443" s="4" t="str">
        <f>IFERROR(__xludf.DUMMYFUNCTION("""COMPUTED_VALUE"""),"")</f>
        <v/>
      </c>
      <c r="E1443" s="4" t="str">
        <f>IFERROR(__xludf.DUMMYFUNCTION("""COMPUTED_VALUE"""),"")</f>
        <v/>
      </c>
      <c r="F1443" s="4" t="str">
        <f>IFERROR(__xludf.DUMMYFUNCTION("""COMPUTED_VALUE"""),"")</f>
        <v/>
      </c>
      <c r="G1443" s="4" t="str">
        <f>IFERROR(__xludf.DUMMYFUNCTION("""COMPUTED_VALUE"""),"")</f>
        <v/>
      </c>
      <c r="H1443" s="4" t="str">
        <f>IFERROR(__xludf.DUMMYFUNCTION("""COMPUTED_VALUE"""),"")</f>
        <v/>
      </c>
      <c r="I1443" s="4" t="str">
        <f>IFERROR(__xludf.DUMMYFUNCTION("""COMPUTED_VALUE"""),"")</f>
        <v/>
      </c>
      <c r="J1443" s="4" t="str">
        <f>IFERROR(__xludf.DUMMYFUNCTION("""COMPUTED_VALUE"""),"")</f>
        <v/>
      </c>
      <c r="K1443" s="4" t="str">
        <f>IFERROR(__xludf.DUMMYFUNCTION("""COMPUTED_VALUE"""),"")</f>
        <v/>
      </c>
      <c r="L1443" s="4" t="str">
        <f>IFERROR(__xludf.DUMMYFUNCTION("""COMPUTED_VALUE"""),"")</f>
        <v/>
      </c>
      <c r="M1443" s="4" t="str">
        <f>IFERROR(__xludf.DUMMYFUNCTION("""COMPUTED_VALUE"""),"")</f>
        <v/>
      </c>
      <c r="N1443" s="4" t="str">
        <f>IFERROR(__xludf.DUMMYFUNCTION("""COMPUTED_VALUE"""),"")</f>
        <v/>
      </c>
      <c r="O1443" s="4" t="str">
        <f>IFERROR(__xludf.DUMMYFUNCTION("""COMPUTED_VALUE"""),"")</f>
        <v/>
      </c>
      <c r="P1443" s="4" t="str">
        <f>IFERROR(__xludf.DUMMYFUNCTION("""COMPUTED_VALUE"""),"")</f>
        <v/>
      </c>
      <c r="Q1443" s="4" t="str">
        <f>IFERROR(__xludf.DUMMYFUNCTION("""COMPUTED_VALUE"""),"")</f>
        <v/>
      </c>
      <c r="R1443" s="4" t="str">
        <f>IFERROR(__xludf.DUMMYFUNCTION("""COMPUTED_VALUE"""),"")</f>
        <v/>
      </c>
      <c r="S1443" s="4" t="str">
        <f>IFERROR(__xludf.DUMMYFUNCTION("""COMPUTED_VALUE"""),"")</f>
        <v/>
      </c>
      <c r="T1443" s="4" t="str">
        <f>IFERROR(__xludf.DUMMYFUNCTION("""COMPUTED_VALUE"""),"")</f>
        <v/>
      </c>
      <c r="U1443" s="4" t="str">
        <f>IFERROR(__xludf.DUMMYFUNCTION("""COMPUTED_VALUE"""),"")</f>
        <v/>
      </c>
      <c r="V1443" s="4" t="str">
        <f>IFERROR(__xludf.DUMMYFUNCTION("""COMPUTED_VALUE"""),"")</f>
        <v/>
      </c>
      <c r="W1443" s="4" t="str">
        <f>IFERROR(__xludf.DUMMYFUNCTION("""COMPUTED_VALUE"""),"")</f>
        <v/>
      </c>
      <c r="X1443" s="4" t="str">
        <f>IFERROR(__xludf.DUMMYFUNCTION("""COMPUTED_VALUE"""),"")</f>
        <v/>
      </c>
      <c r="Y1443" s="4" t="str">
        <f>IFERROR(__xludf.DUMMYFUNCTION("""COMPUTED_VALUE"""),"")</f>
        <v/>
      </c>
    </row>
    <row r="1444">
      <c r="A1444" s="4" t="str">
        <f>IFERROR(__xludf.DUMMYFUNCTION("""COMPUTED_VALUE"""),"1992 - Channel")</f>
        <v>1992 - Channel</v>
      </c>
      <c r="B1444" s="4" t="str">
        <f>IFERROR(__xludf.DUMMYFUNCTION("""COMPUTED_VALUE"""),"")</f>
        <v/>
      </c>
      <c r="C1444" s="4" t="str">
        <f>IFERROR(__xludf.DUMMYFUNCTION("""COMPUTED_VALUE"""),"")</f>
        <v/>
      </c>
      <c r="D1444" s="4" t="str">
        <f>IFERROR(__xludf.DUMMYFUNCTION("""COMPUTED_VALUE"""),"")</f>
        <v/>
      </c>
      <c r="E1444" s="4" t="str">
        <f>IFERROR(__xludf.DUMMYFUNCTION("""COMPUTED_VALUE"""),"")</f>
        <v/>
      </c>
      <c r="F1444" s="4" t="str">
        <f>IFERROR(__xludf.DUMMYFUNCTION("""COMPUTED_VALUE"""),"")</f>
        <v/>
      </c>
      <c r="G1444" s="4" t="str">
        <f>IFERROR(__xludf.DUMMYFUNCTION("""COMPUTED_VALUE"""),"")</f>
        <v/>
      </c>
      <c r="H1444" s="4" t="str">
        <f>IFERROR(__xludf.DUMMYFUNCTION("""COMPUTED_VALUE"""),"")</f>
        <v/>
      </c>
      <c r="I1444" s="4" t="str">
        <f>IFERROR(__xludf.DUMMYFUNCTION("""COMPUTED_VALUE"""),"")</f>
        <v/>
      </c>
      <c r="J1444" s="4" t="str">
        <f>IFERROR(__xludf.DUMMYFUNCTION("""COMPUTED_VALUE"""),"")</f>
        <v/>
      </c>
      <c r="K1444" s="4" t="str">
        <f>IFERROR(__xludf.DUMMYFUNCTION("""COMPUTED_VALUE"""),"")</f>
        <v/>
      </c>
      <c r="L1444" s="4" t="str">
        <f>IFERROR(__xludf.DUMMYFUNCTION("""COMPUTED_VALUE"""),"")</f>
        <v/>
      </c>
      <c r="M1444" s="4" t="str">
        <f>IFERROR(__xludf.DUMMYFUNCTION("""COMPUTED_VALUE"""),"")</f>
        <v/>
      </c>
      <c r="N1444" s="4" t="str">
        <f>IFERROR(__xludf.DUMMYFUNCTION("""COMPUTED_VALUE"""),"")</f>
        <v/>
      </c>
      <c r="O1444" s="4" t="str">
        <f>IFERROR(__xludf.DUMMYFUNCTION("""COMPUTED_VALUE"""),"")</f>
        <v/>
      </c>
      <c r="P1444" s="4" t="str">
        <f>IFERROR(__xludf.DUMMYFUNCTION("""COMPUTED_VALUE"""),"")</f>
        <v/>
      </c>
      <c r="Q1444" s="4" t="str">
        <f>IFERROR(__xludf.DUMMYFUNCTION("""COMPUTED_VALUE"""),"")</f>
        <v/>
      </c>
      <c r="R1444" s="4" t="str">
        <f>IFERROR(__xludf.DUMMYFUNCTION("""COMPUTED_VALUE"""),"")</f>
        <v/>
      </c>
      <c r="S1444" s="4" t="str">
        <f>IFERROR(__xludf.DUMMYFUNCTION("""COMPUTED_VALUE"""),"")</f>
        <v/>
      </c>
      <c r="T1444" s="4" t="str">
        <f>IFERROR(__xludf.DUMMYFUNCTION("""COMPUTED_VALUE"""),"")</f>
        <v/>
      </c>
      <c r="U1444" s="4" t="str">
        <f>IFERROR(__xludf.DUMMYFUNCTION("""COMPUTED_VALUE"""),"")</f>
        <v/>
      </c>
      <c r="V1444" s="4" t="str">
        <f>IFERROR(__xludf.DUMMYFUNCTION("""COMPUTED_VALUE"""),"")</f>
        <v/>
      </c>
      <c r="W1444" s="4" t="str">
        <f>IFERROR(__xludf.DUMMYFUNCTION("""COMPUTED_VALUE"""),"")</f>
        <v/>
      </c>
      <c r="X1444" s="4" t="str">
        <f>IFERROR(__xludf.DUMMYFUNCTION("""COMPUTED_VALUE"""),"")</f>
        <v/>
      </c>
      <c r="Y1444" s="4" t="str">
        <f>IFERROR(__xludf.DUMMYFUNCTION("""COMPUTED_VALUE"""),"")</f>
        <v/>
      </c>
    </row>
    <row r="1445">
      <c r="A1445" s="4" t="str">
        <f>IFERROR(__xludf.DUMMYFUNCTION("""COMPUTED_VALUE"""),"1993 - Channel")</f>
        <v>1993 - Channel</v>
      </c>
      <c r="B1445" s="4" t="str">
        <f>IFERROR(__xludf.DUMMYFUNCTION("""COMPUTED_VALUE"""),"")</f>
        <v/>
      </c>
      <c r="C1445" s="4" t="str">
        <f>IFERROR(__xludf.DUMMYFUNCTION("""COMPUTED_VALUE"""),"")</f>
        <v/>
      </c>
      <c r="D1445" s="4" t="str">
        <f>IFERROR(__xludf.DUMMYFUNCTION("""COMPUTED_VALUE"""),"")</f>
        <v/>
      </c>
      <c r="E1445" s="4" t="str">
        <f>IFERROR(__xludf.DUMMYFUNCTION("""COMPUTED_VALUE"""),"")</f>
        <v/>
      </c>
      <c r="F1445" s="4" t="str">
        <f>IFERROR(__xludf.DUMMYFUNCTION("""COMPUTED_VALUE"""),"")</f>
        <v/>
      </c>
      <c r="G1445" s="4" t="str">
        <f>IFERROR(__xludf.DUMMYFUNCTION("""COMPUTED_VALUE"""),"")</f>
        <v/>
      </c>
      <c r="H1445" s="4" t="str">
        <f>IFERROR(__xludf.DUMMYFUNCTION("""COMPUTED_VALUE"""),"")</f>
        <v/>
      </c>
      <c r="I1445" s="4" t="str">
        <f>IFERROR(__xludf.DUMMYFUNCTION("""COMPUTED_VALUE"""),"")</f>
        <v/>
      </c>
      <c r="J1445" s="4" t="str">
        <f>IFERROR(__xludf.DUMMYFUNCTION("""COMPUTED_VALUE"""),"")</f>
        <v/>
      </c>
      <c r="K1445" s="4" t="str">
        <f>IFERROR(__xludf.DUMMYFUNCTION("""COMPUTED_VALUE"""),"")</f>
        <v/>
      </c>
      <c r="L1445" s="4" t="str">
        <f>IFERROR(__xludf.DUMMYFUNCTION("""COMPUTED_VALUE"""),"")</f>
        <v/>
      </c>
      <c r="M1445" s="4" t="str">
        <f>IFERROR(__xludf.DUMMYFUNCTION("""COMPUTED_VALUE"""),"")</f>
        <v/>
      </c>
      <c r="N1445" s="4" t="str">
        <f>IFERROR(__xludf.DUMMYFUNCTION("""COMPUTED_VALUE"""),"")</f>
        <v/>
      </c>
      <c r="O1445" s="4" t="str">
        <f>IFERROR(__xludf.DUMMYFUNCTION("""COMPUTED_VALUE"""),"")</f>
        <v/>
      </c>
      <c r="P1445" s="4" t="str">
        <f>IFERROR(__xludf.DUMMYFUNCTION("""COMPUTED_VALUE"""),"")</f>
        <v/>
      </c>
      <c r="Q1445" s="4" t="str">
        <f>IFERROR(__xludf.DUMMYFUNCTION("""COMPUTED_VALUE"""),"")</f>
        <v/>
      </c>
      <c r="R1445" s="4" t="str">
        <f>IFERROR(__xludf.DUMMYFUNCTION("""COMPUTED_VALUE"""),"")</f>
        <v/>
      </c>
      <c r="S1445" s="4" t="str">
        <f>IFERROR(__xludf.DUMMYFUNCTION("""COMPUTED_VALUE"""),"")</f>
        <v/>
      </c>
      <c r="T1445" s="4" t="str">
        <f>IFERROR(__xludf.DUMMYFUNCTION("""COMPUTED_VALUE"""),"")</f>
        <v/>
      </c>
      <c r="U1445" s="4" t="str">
        <f>IFERROR(__xludf.DUMMYFUNCTION("""COMPUTED_VALUE"""),"")</f>
        <v/>
      </c>
      <c r="V1445" s="4" t="str">
        <f>IFERROR(__xludf.DUMMYFUNCTION("""COMPUTED_VALUE"""),"")</f>
        <v/>
      </c>
      <c r="W1445" s="4" t="str">
        <f>IFERROR(__xludf.DUMMYFUNCTION("""COMPUTED_VALUE"""),"")</f>
        <v/>
      </c>
      <c r="X1445" s="4" t="str">
        <f>IFERROR(__xludf.DUMMYFUNCTION("""COMPUTED_VALUE"""),"")</f>
        <v/>
      </c>
      <c r="Y1445" s="4" t="str">
        <f>IFERROR(__xludf.DUMMYFUNCTION("""COMPUTED_VALUE"""),"")</f>
        <v/>
      </c>
    </row>
    <row r="1446">
      <c r="A1446" s="4" t="str">
        <f>IFERROR(__xludf.DUMMYFUNCTION("""COMPUTED_VALUE"""),"1994 - Channel")</f>
        <v>1994 - Channel</v>
      </c>
      <c r="B1446" s="4" t="str">
        <f>IFERROR(__xludf.DUMMYFUNCTION("""COMPUTED_VALUE"""),"")</f>
        <v/>
      </c>
      <c r="C1446" s="4" t="str">
        <f>IFERROR(__xludf.DUMMYFUNCTION("""COMPUTED_VALUE"""),"")</f>
        <v/>
      </c>
      <c r="D1446" s="4" t="str">
        <f>IFERROR(__xludf.DUMMYFUNCTION("""COMPUTED_VALUE"""),"")</f>
        <v/>
      </c>
      <c r="E1446" s="4" t="str">
        <f>IFERROR(__xludf.DUMMYFUNCTION("""COMPUTED_VALUE"""),"")</f>
        <v/>
      </c>
      <c r="F1446" s="4" t="str">
        <f>IFERROR(__xludf.DUMMYFUNCTION("""COMPUTED_VALUE"""),"")</f>
        <v/>
      </c>
      <c r="G1446" s="4" t="str">
        <f>IFERROR(__xludf.DUMMYFUNCTION("""COMPUTED_VALUE"""),"")</f>
        <v/>
      </c>
      <c r="H1446" s="4" t="str">
        <f>IFERROR(__xludf.DUMMYFUNCTION("""COMPUTED_VALUE"""),"")</f>
        <v/>
      </c>
      <c r="I1446" s="4" t="str">
        <f>IFERROR(__xludf.DUMMYFUNCTION("""COMPUTED_VALUE"""),"")</f>
        <v/>
      </c>
      <c r="J1446" s="4" t="str">
        <f>IFERROR(__xludf.DUMMYFUNCTION("""COMPUTED_VALUE"""),"")</f>
        <v/>
      </c>
      <c r="K1446" s="4" t="str">
        <f>IFERROR(__xludf.DUMMYFUNCTION("""COMPUTED_VALUE"""),"")</f>
        <v/>
      </c>
      <c r="L1446" s="4" t="str">
        <f>IFERROR(__xludf.DUMMYFUNCTION("""COMPUTED_VALUE"""),"")</f>
        <v/>
      </c>
      <c r="M1446" s="4" t="str">
        <f>IFERROR(__xludf.DUMMYFUNCTION("""COMPUTED_VALUE"""),"")</f>
        <v/>
      </c>
      <c r="N1446" s="4" t="str">
        <f>IFERROR(__xludf.DUMMYFUNCTION("""COMPUTED_VALUE"""),"")</f>
        <v/>
      </c>
      <c r="O1446" s="4" t="str">
        <f>IFERROR(__xludf.DUMMYFUNCTION("""COMPUTED_VALUE"""),"")</f>
        <v/>
      </c>
      <c r="P1446" s="4" t="str">
        <f>IFERROR(__xludf.DUMMYFUNCTION("""COMPUTED_VALUE"""),"")</f>
        <v/>
      </c>
      <c r="Q1446" s="4" t="str">
        <f>IFERROR(__xludf.DUMMYFUNCTION("""COMPUTED_VALUE"""),"")</f>
        <v/>
      </c>
      <c r="R1446" s="4" t="str">
        <f>IFERROR(__xludf.DUMMYFUNCTION("""COMPUTED_VALUE"""),"")</f>
        <v/>
      </c>
      <c r="S1446" s="4" t="str">
        <f>IFERROR(__xludf.DUMMYFUNCTION("""COMPUTED_VALUE"""),"")</f>
        <v/>
      </c>
      <c r="T1446" s="4" t="str">
        <f>IFERROR(__xludf.DUMMYFUNCTION("""COMPUTED_VALUE"""),"")</f>
        <v/>
      </c>
      <c r="U1446" s="4" t="str">
        <f>IFERROR(__xludf.DUMMYFUNCTION("""COMPUTED_VALUE"""),"")</f>
        <v/>
      </c>
      <c r="V1446" s="4" t="str">
        <f>IFERROR(__xludf.DUMMYFUNCTION("""COMPUTED_VALUE"""),"")</f>
        <v/>
      </c>
      <c r="W1446" s="4" t="str">
        <f>IFERROR(__xludf.DUMMYFUNCTION("""COMPUTED_VALUE"""),"")</f>
        <v/>
      </c>
      <c r="X1446" s="4" t="str">
        <f>IFERROR(__xludf.DUMMYFUNCTION("""COMPUTED_VALUE"""),"")</f>
        <v/>
      </c>
      <c r="Y1446" s="4" t="str">
        <f>IFERROR(__xludf.DUMMYFUNCTION("""COMPUTED_VALUE"""),"")</f>
        <v/>
      </c>
    </row>
    <row r="1447">
      <c r="A1447" s="4" t="str">
        <f>IFERROR(__xludf.DUMMYFUNCTION("""COMPUTED_VALUE"""),"1995 - Channel")</f>
        <v>1995 - Channel</v>
      </c>
      <c r="B1447" s="4" t="str">
        <f>IFERROR(__xludf.DUMMYFUNCTION("""COMPUTED_VALUE"""),"")</f>
        <v/>
      </c>
      <c r="C1447" s="4" t="str">
        <f>IFERROR(__xludf.DUMMYFUNCTION("""COMPUTED_VALUE"""),"")</f>
        <v/>
      </c>
      <c r="D1447" s="4" t="str">
        <f>IFERROR(__xludf.DUMMYFUNCTION("""COMPUTED_VALUE"""),"")</f>
        <v/>
      </c>
      <c r="E1447" s="4" t="str">
        <f>IFERROR(__xludf.DUMMYFUNCTION("""COMPUTED_VALUE"""),"")</f>
        <v/>
      </c>
      <c r="F1447" s="4" t="str">
        <f>IFERROR(__xludf.DUMMYFUNCTION("""COMPUTED_VALUE"""),"")</f>
        <v/>
      </c>
      <c r="G1447" s="4" t="str">
        <f>IFERROR(__xludf.DUMMYFUNCTION("""COMPUTED_VALUE"""),"")</f>
        <v/>
      </c>
      <c r="H1447" s="4" t="str">
        <f>IFERROR(__xludf.DUMMYFUNCTION("""COMPUTED_VALUE"""),"")</f>
        <v/>
      </c>
      <c r="I1447" s="4" t="str">
        <f>IFERROR(__xludf.DUMMYFUNCTION("""COMPUTED_VALUE"""),"")</f>
        <v/>
      </c>
      <c r="J1447" s="4" t="str">
        <f>IFERROR(__xludf.DUMMYFUNCTION("""COMPUTED_VALUE"""),"")</f>
        <v/>
      </c>
      <c r="K1447" s="4" t="str">
        <f>IFERROR(__xludf.DUMMYFUNCTION("""COMPUTED_VALUE"""),"")</f>
        <v/>
      </c>
      <c r="L1447" s="4" t="str">
        <f>IFERROR(__xludf.DUMMYFUNCTION("""COMPUTED_VALUE"""),"")</f>
        <v/>
      </c>
      <c r="M1447" s="4" t="str">
        <f>IFERROR(__xludf.DUMMYFUNCTION("""COMPUTED_VALUE"""),"")</f>
        <v/>
      </c>
      <c r="N1447" s="4" t="str">
        <f>IFERROR(__xludf.DUMMYFUNCTION("""COMPUTED_VALUE"""),"")</f>
        <v/>
      </c>
      <c r="O1447" s="4" t="str">
        <f>IFERROR(__xludf.DUMMYFUNCTION("""COMPUTED_VALUE"""),"")</f>
        <v/>
      </c>
      <c r="P1447" s="4" t="str">
        <f>IFERROR(__xludf.DUMMYFUNCTION("""COMPUTED_VALUE"""),"")</f>
        <v/>
      </c>
      <c r="Q1447" s="4" t="str">
        <f>IFERROR(__xludf.DUMMYFUNCTION("""COMPUTED_VALUE"""),"")</f>
        <v/>
      </c>
      <c r="R1447" s="4" t="str">
        <f>IFERROR(__xludf.DUMMYFUNCTION("""COMPUTED_VALUE"""),"")</f>
        <v/>
      </c>
      <c r="S1447" s="4" t="str">
        <f>IFERROR(__xludf.DUMMYFUNCTION("""COMPUTED_VALUE"""),"")</f>
        <v/>
      </c>
      <c r="T1447" s="4" t="str">
        <f>IFERROR(__xludf.DUMMYFUNCTION("""COMPUTED_VALUE"""),"")</f>
        <v/>
      </c>
      <c r="U1447" s="4" t="str">
        <f>IFERROR(__xludf.DUMMYFUNCTION("""COMPUTED_VALUE"""),"")</f>
        <v/>
      </c>
      <c r="V1447" s="4" t="str">
        <f>IFERROR(__xludf.DUMMYFUNCTION("""COMPUTED_VALUE"""),"")</f>
        <v/>
      </c>
      <c r="W1447" s="4" t="str">
        <f>IFERROR(__xludf.DUMMYFUNCTION("""COMPUTED_VALUE"""),"")</f>
        <v/>
      </c>
      <c r="X1447" s="4" t="str">
        <f>IFERROR(__xludf.DUMMYFUNCTION("""COMPUTED_VALUE"""),"")</f>
        <v/>
      </c>
      <c r="Y1447" s="4" t="str">
        <f>IFERROR(__xludf.DUMMYFUNCTION("""COMPUTED_VALUE"""),"")</f>
        <v/>
      </c>
    </row>
    <row r="1448">
      <c r="A1448" s="4" t="str">
        <f>IFERROR(__xludf.DUMMYFUNCTION("""COMPUTED_VALUE"""),"1996 - Channel")</f>
        <v>1996 - Channel</v>
      </c>
      <c r="B1448" s="4" t="str">
        <f>IFERROR(__xludf.DUMMYFUNCTION("""COMPUTED_VALUE"""),"")</f>
        <v/>
      </c>
      <c r="C1448" s="4" t="str">
        <f>IFERROR(__xludf.DUMMYFUNCTION("""COMPUTED_VALUE"""),"")</f>
        <v/>
      </c>
      <c r="D1448" s="4" t="str">
        <f>IFERROR(__xludf.DUMMYFUNCTION("""COMPUTED_VALUE"""),"")</f>
        <v/>
      </c>
      <c r="E1448" s="4" t="str">
        <f>IFERROR(__xludf.DUMMYFUNCTION("""COMPUTED_VALUE"""),"")</f>
        <v/>
      </c>
      <c r="F1448" s="4" t="str">
        <f>IFERROR(__xludf.DUMMYFUNCTION("""COMPUTED_VALUE"""),"")</f>
        <v/>
      </c>
      <c r="G1448" s="4" t="str">
        <f>IFERROR(__xludf.DUMMYFUNCTION("""COMPUTED_VALUE"""),"")</f>
        <v/>
      </c>
      <c r="H1448" s="4" t="str">
        <f>IFERROR(__xludf.DUMMYFUNCTION("""COMPUTED_VALUE"""),"")</f>
        <v/>
      </c>
      <c r="I1448" s="4" t="str">
        <f>IFERROR(__xludf.DUMMYFUNCTION("""COMPUTED_VALUE"""),"")</f>
        <v/>
      </c>
      <c r="J1448" s="4" t="str">
        <f>IFERROR(__xludf.DUMMYFUNCTION("""COMPUTED_VALUE"""),"")</f>
        <v/>
      </c>
      <c r="K1448" s="4" t="str">
        <f>IFERROR(__xludf.DUMMYFUNCTION("""COMPUTED_VALUE"""),"")</f>
        <v/>
      </c>
      <c r="L1448" s="4" t="str">
        <f>IFERROR(__xludf.DUMMYFUNCTION("""COMPUTED_VALUE"""),"")</f>
        <v/>
      </c>
      <c r="M1448" s="4" t="str">
        <f>IFERROR(__xludf.DUMMYFUNCTION("""COMPUTED_VALUE"""),"")</f>
        <v/>
      </c>
      <c r="N1448" s="4" t="str">
        <f>IFERROR(__xludf.DUMMYFUNCTION("""COMPUTED_VALUE"""),"")</f>
        <v/>
      </c>
      <c r="O1448" s="4" t="str">
        <f>IFERROR(__xludf.DUMMYFUNCTION("""COMPUTED_VALUE"""),"")</f>
        <v/>
      </c>
      <c r="P1448" s="4" t="str">
        <f>IFERROR(__xludf.DUMMYFUNCTION("""COMPUTED_VALUE"""),"")</f>
        <v/>
      </c>
      <c r="Q1448" s="4" t="str">
        <f>IFERROR(__xludf.DUMMYFUNCTION("""COMPUTED_VALUE"""),"")</f>
        <v/>
      </c>
      <c r="R1448" s="4" t="str">
        <f>IFERROR(__xludf.DUMMYFUNCTION("""COMPUTED_VALUE"""),"")</f>
        <v/>
      </c>
      <c r="S1448" s="4" t="str">
        <f>IFERROR(__xludf.DUMMYFUNCTION("""COMPUTED_VALUE"""),"")</f>
        <v/>
      </c>
      <c r="T1448" s="4" t="str">
        <f>IFERROR(__xludf.DUMMYFUNCTION("""COMPUTED_VALUE"""),"")</f>
        <v/>
      </c>
      <c r="U1448" s="4" t="str">
        <f>IFERROR(__xludf.DUMMYFUNCTION("""COMPUTED_VALUE"""),"")</f>
        <v/>
      </c>
      <c r="V1448" s="4" t="str">
        <f>IFERROR(__xludf.DUMMYFUNCTION("""COMPUTED_VALUE"""),"")</f>
        <v/>
      </c>
      <c r="W1448" s="4" t="str">
        <f>IFERROR(__xludf.DUMMYFUNCTION("""COMPUTED_VALUE"""),"")</f>
        <v/>
      </c>
      <c r="X1448" s="4" t="str">
        <f>IFERROR(__xludf.DUMMYFUNCTION("""COMPUTED_VALUE"""),"")</f>
        <v/>
      </c>
      <c r="Y1448" s="4" t="str">
        <f>IFERROR(__xludf.DUMMYFUNCTION("""COMPUTED_VALUE"""),"")</f>
        <v/>
      </c>
    </row>
    <row r="1449">
      <c r="A1449" s="4" t="str">
        <f>IFERROR(__xludf.DUMMYFUNCTION("""COMPUTED_VALUE"""),"1997 - Channel")</f>
        <v>1997 - Channel</v>
      </c>
      <c r="B1449" s="4" t="str">
        <f>IFERROR(__xludf.DUMMYFUNCTION("""COMPUTED_VALUE"""),"")</f>
        <v/>
      </c>
      <c r="C1449" s="4" t="str">
        <f>IFERROR(__xludf.DUMMYFUNCTION("""COMPUTED_VALUE"""),"")</f>
        <v/>
      </c>
      <c r="D1449" s="4" t="str">
        <f>IFERROR(__xludf.DUMMYFUNCTION("""COMPUTED_VALUE"""),"")</f>
        <v/>
      </c>
      <c r="E1449" s="4" t="str">
        <f>IFERROR(__xludf.DUMMYFUNCTION("""COMPUTED_VALUE"""),"")</f>
        <v/>
      </c>
      <c r="F1449" s="4" t="str">
        <f>IFERROR(__xludf.DUMMYFUNCTION("""COMPUTED_VALUE"""),"")</f>
        <v/>
      </c>
      <c r="G1449" s="4" t="str">
        <f>IFERROR(__xludf.DUMMYFUNCTION("""COMPUTED_VALUE"""),"")</f>
        <v/>
      </c>
      <c r="H1449" s="4" t="str">
        <f>IFERROR(__xludf.DUMMYFUNCTION("""COMPUTED_VALUE"""),"")</f>
        <v/>
      </c>
      <c r="I1449" s="4" t="str">
        <f>IFERROR(__xludf.DUMMYFUNCTION("""COMPUTED_VALUE"""),"")</f>
        <v/>
      </c>
      <c r="J1449" s="4" t="str">
        <f>IFERROR(__xludf.DUMMYFUNCTION("""COMPUTED_VALUE"""),"")</f>
        <v/>
      </c>
      <c r="K1449" s="4" t="str">
        <f>IFERROR(__xludf.DUMMYFUNCTION("""COMPUTED_VALUE"""),"")</f>
        <v/>
      </c>
      <c r="L1449" s="4" t="str">
        <f>IFERROR(__xludf.DUMMYFUNCTION("""COMPUTED_VALUE"""),"")</f>
        <v/>
      </c>
      <c r="M1449" s="4" t="str">
        <f>IFERROR(__xludf.DUMMYFUNCTION("""COMPUTED_VALUE"""),"")</f>
        <v/>
      </c>
      <c r="N1449" s="4" t="str">
        <f>IFERROR(__xludf.DUMMYFUNCTION("""COMPUTED_VALUE"""),"")</f>
        <v/>
      </c>
      <c r="O1449" s="4" t="str">
        <f>IFERROR(__xludf.DUMMYFUNCTION("""COMPUTED_VALUE"""),"")</f>
        <v/>
      </c>
      <c r="P1449" s="4" t="str">
        <f>IFERROR(__xludf.DUMMYFUNCTION("""COMPUTED_VALUE"""),"")</f>
        <v/>
      </c>
      <c r="Q1449" s="4" t="str">
        <f>IFERROR(__xludf.DUMMYFUNCTION("""COMPUTED_VALUE"""),"")</f>
        <v/>
      </c>
      <c r="R1449" s="4" t="str">
        <f>IFERROR(__xludf.DUMMYFUNCTION("""COMPUTED_VALUE"""),"")</f>
        <v/>
      </c>
      <c r="S1449" s="4" t="str">
        <f>IFERROR(__xludf.DUMMYFUNCTION("""COMPUTED_VALUE"""),"")</f>
        <v/>
      </c>
      <c r="T1449" s="4" t="str">
        <f>IFERROR(__xludf.DUMMYFUNCTION("""COMPUTED_VALUE"""),"")</f>
        <v/>
      </c>
      <c r="U1449" s="4" t="str">
        <f>IFERROR(__xludf.DUMMYFUNCTION("""COMPUTED_VALUE"""),"")</f>
        <v/>
      </c>
      <c r="V1449" s="4" t="str">
        <f>IFERROR(__xludf.DUMMYFUNCTION("""COMPUTED_VALUE"""),"")</f>
        <v/>
      </c>
      <c r="W1449" s="4" t="str">
        <f>IFERROR(__xludf.DUMMYFUNCTION("""COMPUTED_VALUE"""),"")</f>
        <v/>
      </c>
      <c r="X1449" s="4" t="str">
        <f>IFERROR(__xludf.DUMMYFUNCTION("""COMPUTED_VALUE"""),"")</f>
        <v/>
      </c>
      <c r="Y1449" s="4" t="str">
        <f>IFERROR(__xludf.DUMMYFUNCTION("""COMPUTED_VALUE"""),"")</f>
        <v/>
      </c>
    </row>
    <row r="1450">
      <c r="A1450" s="4" t="str">
        <f>IFERROR(__xludf.DUMMYFUNCTION("""COMPUTED_VALUE"""),"1998 - Channel")</f>
        <v>1998 - Channel</v>
      </c>
      <c r="B1450" s="4" t="str">
        <f>IFERROR(__xludf.DUMMYFUNCTION("""COMPUTED_VALUE"""),"")</f>
        <v/>
      </c>
      <c r="C1450" s="4" t="str">
        <f>IFERROR(__xludf.DUMMYFUNCTION("""COMPUTED_VALUE"""),"")</f>
        <v/>
      </c>
      <c r="D1450" s="4" t="str">
        <f>IFERROR(__xludf.DUMMYFUNCTION("""COMPUTED_VALUE"""),"")</f>
        <v/>
      </c>
      <c r="E1450" s="4" t="str">
        <f>IFERROR(__xludf.DUMMYFUNCTION("""COMPUTED_VALUE"""),"")</f>
        <v/>
      </c>
      <c r="F1450" s="4" t="str">
        <f>IFERROR(__xludf.DUMMYFUNCTION("""COMPUTED_VALUE"""),"")</f>
        <v/>
      </c>
      <c r="G1450" s="4" t="str">
        <f>IFERROR(__xludf.DUMMYFUNCTION("""COMPUTED_VALUE"""),"")</f>
        <v/>
      </c>
      <c r="H1450" s="4" t="str">
        <f>IFERROR(__xludf.DUMMYFUNCTION("""COMPUTED_VALUE"""),"")</f>
        <v/>
      </c>
      <c r="I1450" s="4" t="str">
        <f>IFERROR(__xludf.DUMMYFUNCTION("""COMPUTED_VALUE"""),"")</f>
        <v/>
      </c>
      <c r="J1450" s="4" t="str">
        <f>IFERROR(__xludf.DUMMYFUNCTION("""COMPUTED_VALUE"""),"")</f>
        <v/>
      </c>
      <c r="K1450" s="4" t="str">
        <f>IFERROR(__xludf.DUMMYFUNCTION("""COMPUTED_VALUE"""),"")</f>
        <v/>
      </c>
      <c r="L1450" s="4" t="str">
        <f>IFERROR(__xludf.DUMMYFUNCTION("""COMPUTED_VALUE"""),"")</f>
        <v/>
      </c>
      <c r="M1450" s="4" t="str">
        <f>IFERROR(__xludf.DUMMYFUNCTION("""COMPUTED_VALUE"""),"")</f>
        <v/>
      </c>
      <c r="N1450" s="4" t="str">
        <f>IFERROR(__xludf.DUMMYFUNCTION("""COMPUTED_VALUE"""),"")</f>
        <v/>
      </c>
      <c r="O1450" s="4" t="str">
        <f>IFERROR(__xludf.DUMMYFUNCTION("""COMPUTED_VALUE"""),"")</f>
        <v/>
      </c>
      <c r="P1450" s="4" t="str">
        <f>IFERROR(__xludf.DUMMYFUNCTION("""COMPUTED_VALUE"""),"")</f>
        <v/>
      </c>
      <c r="Q1450" s="4" t="str">
        <f>IFERROR(__xludf.DUMMYFUNCTION("""COMPUTED_VALUE"""),"")</f>
        <v/>
      </c>
      <c r="R1450" s="4" t="str">
        <f>IFERROR(__xludf.DUMMYFUNCTION("""COMPUTED_VALUE"""),"")</f>
        <v/>
      </c>
      <c r="S1450" s="4" t="str">
        <f>IFERROR(__xludf.DUMMYFUNCTION("""COMPUTED_VALUE"""),"")</f>
        <v/>
      </c>
      <c r="T1450" s="4" t="str">
        <f>IFERROR(__xludf.DUMMYFUNCTION("""COMPUTED_VALUE"""),"")</f>
        <v/>
      </c>
      <c r="U1450" s="4" t="str">
        <f>IFERROR(__xludf.DUMMYFUNCTION("""COMPUTED_VALUE"""),"")</f>
        <v/>
      </c>
      <c r="V1450" s="4" t="str">
        <f>IFERROR(__xludf.DUMMYFUNCTION("""COMPUTED_VALUE"""),"")</f>
        <v/>
      </c>
      <c r="W1450" s="4" t="str">
        <f>IFERROR(__xludf.DUMMYFUNCTION("""COMPUTED_VALUE"""),"")</f>
        <v/>
      </c>
      <c r="X1450" s="4" t="str">
        <f>IFERROR(__xludf.DUMMYFUNCTION("""COMPUTED_VALUE"""),"")</f>
        <v/>
      </c>
      <c r="Y1450" s="4" t="str">
        <f>IFERROR(__xludf.DUMMYFUNCTION("""COMPUTED_VALUE"""),"")</f>
        <v/>
      </c>
    </row>
    <row r="1451">
      <c r="A1451" s="4" t="str">
        <f>IFERROR(__xludf.DUMMYFUNCTION("""COMPUTED_VALUE"""),"1999 - Channel")</f>
        <v>1999 - Channel</v>
      </c>
      <c r="B1451" s="4" t="str">
        <f>IFERROR(__xludf.DUMMYFUNCTION("""COMPUTED_VALUE"""),"")</f>
        <v/>
      </c>
      <c r="C1451" s="4" t="str">
        <f>IFERROR(__xludf.DUMMYFUNCTION("""COMPUTED_VALUE"""),"")</f>
        <v/>
      </c>
      <c r="D1451" s="4" t="str">
        <f>IFERROR(__xludf.DUMMYFUNCTION("""COMPUTED_VALUE"""),"")</f>
        <v/>
      </c>
      <c r="E1451" s="4" t="str">
        <f>IFERROR(__xludf.DUMMYFUNCTION("""COMPUTED_VALUE"""),"")</f>
        <v/>
      </c>
      <c r="F1451" s="4" t="str">
        <f>IFERROR(__xludf.DUMMYFUNCTION("""COMPUTED_VALUE"""),"")</f>
        <v/>
      </c>
      <c r="G1451" s="4" t="str">
        <f>IFERROR(__xludf.DUMMYFUNCTION("""COMPUTED_VALUE"""),"")</f>
        <v/>
      </c>
      <c r="H1451" s="4" t="str">
        <f>IFERROR(__xludf.DUMMYFUNCTION("""COMPUTED_VALUE"""),"")</f>
        <v/>
      </c>
      <c r="I1451" s="4" t="str">
        <f>IFERROR(__xludf.DUMMYFUNCTION("""COMPUTED_VALUE"""),"")</f>
        <v/>
      </c>
      <c r="J1451" s="4" t="str">
        <f>IFERROR(__xludf.DUMMYFUNCTION("""COMPUTED_VALUE"""),"")</f>
        <v/>
      </c>
      <c r="K1451" s="4" t="str">
        <f>IFERROR(__xludf.DUMMYFUNCTION("""COMPUTED_VALUE"""),"")</f>
        <v/>
      </c>
      <c r="L1451" s="4" t="str">
        <f>IFERROR(__xludf.DUMMYFUNCTION("""COMPUTED_VALUE"""),"")</f>
        <v/>
      </c>
      <c r="M1451" s="4" t="str">
        <f>IFERROR(__xludf.DUMMYFUNCTION("""COMPUTED_VALUE"""),"")</f>
        <v/>
      </c>
      <c r="N1451" s="4" t="str">
        <f>IFERROR(__xludf.DUMMYFUNCTION("""COMPUTED_VALUE"""),"")</f>
        <v/>
      </c>
      <c r="O1451" s="4" t="str">
        <f>IFERROR(__xludf.DUMMYFUNCTION("""COMPUTED_VALUE"""),"")</f>
        <v/>
      </c>
      <c r="P1451" s="4" t="str">
        <f>IFERROR(__xludf.DUMMYFUNCTION("""COMPUTED_VALUE"""),"")</f>
        <v/>
      </c>
      <c r="Q1451" s="4" t="str">
        <f>IFERROR(__xludf.DUMMYFUNCTION("""COMPUTED_VALUE"""),"")</f>
        <v/>
      </c>
      <c r="R1451" s="4" t="str">
        <f>IFERROR(__xludf.DUMMYFUNCTION("""COMPUTED_VALUE"""),"")</f>
        <v/>
      </c>
      <c r="S1451" s="4" t="str">
        <f>IFERROR(__xludf.DUMMYFUNCTION("""COMPUTED_VALUE"""),"")</f>
        <v/>
      </c>
      <c r="T1451" s="4" t="str">
        <f>IFERROR(__xludf.DUMMYFUNCTION("""COMPUTED_VALUE"""),"")</f>
        <v/>
      </c>
      <c r="U1451" s="4" t="str">
        <f>IFERROR(__xludf.DUMMYFUNCTION("""COMPUTED_VALUE"""),"")</f>
        <v/>
      </c>
      <c r="V1451" s="4" t="str">
        <f>IFERROR(__xludf.DUMMYFUNCTION("""COMPUTED_VALUE"""),"")</f>
        <v/>
      </c>
      <c r="W1451" s="4" t="str">
        <f>IFERROR(__xludf.DUMMYFUNCTION("""COMPUTED_VALUE"""),"")</f>
        <v/>
      </c>
      <c r="X1451" s="4" t="str">
        <f>IFERROR(__xludf.DUMMYFUNCTION("""COMPUTED_VALUE"""),"")</f>
        <v/>
      </c>
      <c r="Y1451" s="4" t="str">
        <f>IFERROR(__xludf.DUMMYFUNCTION("""COMPUTED_VALUE"""),"")</f>
        <v/>
      </c>
    </row>
    <row r="1452">
      <c r="A1452" s="4" t="str">
        <f>IFERROR(__xludf.DUMMYFUNCTION("""COMPUTED_VALUE"""),"2000 - Channel")</f>
        <v>2000 - Channel</v>
      </c>
      <c r="B1452" s="4" t="str">
        <f>IFERROR(__xludf.DUMMYFUNCTION("""COMPUTED_VALUE"""),"")</f>
        <v/>
      </c>
      <c r="C1452" s="4" t="str">
        <f>IFERROR(__xludf.DUMMYFUNCTION("""COMPUTED_VALUE"""),"")</f>
        <v/>
      </c>
      <c r="D1452" s="4" t="str">
        <f>IFERROR(__xludf.DUMMYFUNCTION("""COMPUTED_VALUE"""),"")</f>
        <v/>
      </c>
      <c r="E1452" s="4" t="str">
        <f>IFERROR(__xludf.DUMMYFUNCTION("""COMPUTED_VALUE"""),"")</f>
        <v/>
      </c>
      <c r="F1452" s="4" t="str">
        <f>IFERROR(__xludf.DUMMYFUNCTION("""COMPUTED_VALUE"""),"")</f>
        <v/>
      </c>
      <c r="G1452" s="4" t="str">
        <f>IFERROR(__xludf.DUMMYFUNCTION("""COMPUTED_VALUE"""),"")</f>
        <v/>
      </c>
      <c r="H1452" s="4" t="str">
        <f>IFERROR(__xludf.DUMMYFUNCTION("""COMPUTED_VALUE"""),"")</f>
        <v/>
      </c>
      <c r="I1452" s="4" t="str">
        <f>IFERROR(__xludf.DUMMYFUNCTION("""COMPUTED_VALUE"""),"")</f>
        <v/>
      </c>
      <c r="J1452" s="4" t="str">
        <f>IFERROR(__xludf.DUMMYFUNCTION("""COMPUTED_VALUE"""),"")</f>
        <v/>
      </c>
      <c r="K1452" s="4" t="str">
        <f>IFERROR(__xludf.DUMMYFUNCTION("""COMPUTED_VALUE"""),"")</f>
        <v/>
      </c>
      <c r="L1452" s="4" t="str">
        <f>IFERROR(__xludf.DUMMYFUNCTION("""COMPUTED_VALUE"""),"")</f>
        <v/>
      </c>
      <c r="M1452" s="4" t="str">
        <f>IFERROR(__xludf.DUMMYFUNCTION("""COMPUTED_VALUE"""),"")</f>
        <v/>
      </c>
      <c r="N1452" s="4" t="str">
        <f>IFERROR(__xludf.DUMMYFUNCTION("""COMPUTED_VALUE"""),"")</f>
        <v/>
      </c>
      <c r="O1452" s="4" t="str">
        <f>IFERROR(__xludf.DUMMYFUNCTION("""COMPUTED_VALUE"""),"")</f>
        <v/>
      </c>
      <c r="P1452" s="4" t="str">
        <f>IFERROR(__xludf.DUMMYFUNCTION("""COMPUTED_VALUE"""),"")</f>
        <v/>
      </c>
      <c r="Q1452" s="4" t="str">
        <f>IFERROR(__xludf.DUMMYFUNCTION("""COMPUTED_VALUE"""),"")</f>
        <v/>
      </c>
      <c r="R1452" s="4" t="str">
        <f>IFERROR(__xludf.DUMMYFUNCTION("""COMPUTED_VALUE"""),"")</f>
        <v/>
      </c>
      <c r="S1452" s="4" t="str">
        <f>IFERROR(__xludf.DUMMYFUNCTION("""COMPUTED_VALUE"""),"")</f>
        <v/>
      </c>
      <c r="T1452" s="4" t="str">
        <f>IFERROR(__xludf.DUMMYFUNCTION("""COMPUTED_VALUE"""),"")</f>
        <v/>
      </c>
      <c r="U1452" s="4" t="str">
        <f>IFERROR(__xludf.DUMMYFUNCTION("""COMPUTED_VALUE"""),"")</f>
        <v/>
      </c>
      <c r="V1452" s="4" t="str">
        <f>IFERROR(__xludf.DUMMYFUNCTION("""COMPUTED_VALUE"""),"")</f>
        <v/>
      </c>
      <c r="W1452" s="4" t="str">
        <f>IFERROR(__xludf.DUMMYFUNCTION("""COMPUTED_VALUE"""),"")</f>
        <v/>
      </c>
      <c r="X1452" s="4" t="str">
        <f>IFERROR(__xludf.DUMMYFUNCTION("""COMPUTED_VALUE"""),"")</f>
        <v/>
      </c>
      <c r="Y1452" s="4" t="str">
        <f>IFERROR(__xludf.DUMMYFUNCTION("""COMPUTED_VALUE"""),"")</f>
        <v/>
      </c>
    </row>
    <row r="1453">
      <c r="A1453" s="4" t="str">
        <f>IFERROR(__xludf.DUMMYFUNCTION("""COMPUTED_VALUE"""),"2001 - Channel")</f>
        <v>2001 - Channel</v>
      </c>
      <c r="B1453" s="4" t="str">
        <f>IFERROR(__xludf.DUMMYFUNCTION("""COMPUTED_VALUE"""),"")</f>
        <v/>
      </c>
      <c r="C1453" s="4" t="str">
        <f>IFERROR(__xludf.DUMMYFUNCTION("""COMPUTED_VALUE"""),"")</f>
        <v/>
      </c>
      <c r="D1453" s="4" t="str">
        <f>IFERROR(__xludf.DUMMYFUNCTION("""COMPUTED_VALUE"""),"")</f>
        <v/>
      </c>
      <c r="E1453" s="4" t="str">
        <f>IFERROR(__xludf.DUMMYFUNCTION("""COMPUTED_VALUE"""),"")</f>
        <v/>
      </c>
      <c r="F1453" s="4" t="str">
        <f>IFERROR(__xludf.DUMMYFUNCTION("""COMPUTED_VALUE"""),"")</f>
        <v/>
      </c>
      <c r="G1453" s="4" t="str">
        <f>IFERROR(__xludf.DUMMYFUNCTION("""COMPUTED_VALUE"""),"")</f>
        <v/>
      </c>
      <c r="H1453" s="4" t="str">
        <f>IFERROR(__xludf.DUMMYFUNCTION("""COMPUTED_VALUE"""),"")</f>
        <v/>
      </c>
      <c r="I1453" s="4" t="str">
        <f>IFERROR(__xludf.DUMMYFUNCTION("""COMPUTED_VALUE"""),"")</f>
        <v/>
      </c>
      <c r="J1453" s="4" t="str">
        <f>IFERROR(__xludf.DUMMYFUNCTION("""COMPUTED_VALUE"""),"")</f>
        <v/>
      </c>
      <c r="K1453" s="4" t="str">
        <f>IFERROR(__xludf.DUMMYFUNCTION("""COMPUTED_VALUE"""),"")</f>
        <v/>
      </c>
      <c r="L1453" s="4" t="str">
        <f>IFERROR(__xludf.DUMMYFUNCTION("""COMPUTED_VALUE"""),"")</f>
        <v/>
      </c>
      <c r="M1453" s="4" t="str">
        <f>IFERROR(__xludf.DUMMYFUNCTION("""COMPUTED_VALUE"""),"")</f>
        <v/>
      </c>
      <c r="N1453" s="4" t="str">
        <f>IFERROR(__xludf.DUMMYFUNCTION("""COMPUTED_VALUE"""),"")</f>
        <v/>
      </c>
      <c r="O1453" s="4" t="str">
        <f>IFERROR(__xludf.DUMMYFUNCTION("""COMPUTED_VALUE"""),"")</f>
        <v/>
      </c>
      <c r="P1453" s="4" t="str">
        <f>IFERROR(__xludf.DUMMYFUNCTION("""COMPUTED_VALUE"""),"")</f>
        <v/>
      </c>
      <c r="Q1453" s="4" t="str">
        <f>IFERROR(__xludf.DUMMYFUNCTION("""COMPUTED_VALUE"""),"")</f>
        <v/>
      </c>
      <c r="R1453" s="4" t="str">
        <f>IFERROR(__xludf.DUMMYFUNCTION("""COMPUTED_VALUE"""),"")</f>
        <v/>
      </c>
      <c r="S1453" s="4" t="str">
        <f>IFERROR(__xludf.DUMMYFUNCTION("""COMPUTED_VALUE"""),"")</f>
        <v/>
      </c>
      <c r="T1453" s="4" t="str">
        <f>IFERROR(__xludf.DUMMYFUNCTION("""COMPUTED_VALUE"""),"")</f>
        <v/>
      </c>
      <c r="U1453" s="4" t="str">
        <f>IFERROR(__xludf.DUMMYFUNCTION("""COMPUTED_VALUE"""),"")</f>
        <v/>
      </c>
      <c r="V1453" s="4" t="str">
        <f>IFERROR(__xludf.DUMMYFUNCTION("""COMPUTED_VALUE"""),"")</f>
        <v/>
      </c>
      <c r="W1453" s="4" t="str">
        <f>IFERROR(__xludf.DUMMYFUNCTION("""COMPUTED_VALUE"""),"")</f>
        <v/>
      </c>
      <c r="X1453" s="4" t="str">
        <f>IFERROR(__xludf.DUMMYFUNCTION("""COMPUTED_VALUE"""),"")</f>
        <v/>
      </c>
      <c r="Y1453" s="4" t="str">
        <f>IFERROR(__xludf.DUMMYFUNCTION("""COMPUTED_VALUE"""),"")</f>
        <v/>
      </c>
    </row>
    <row r="1454">
      <c r="A1454" s="4" t="str">
        <f>IFERROR(__xludf.DUMMYFUNCTION("""COMPUTED_VALUE"""),"2002 - Channel")</f>
        <v>2002 - Channel</v>
      </c>
      <c r="B1454" s="4" t="str">
        <f>IFERROR(__xludf.DUMMYFUNCTION("""COMPUTED_VALUE"""),"")</f>
        <v/>
      </c>
      <c r="C1454" s="4" t="str">
        <f>IFERROR(__xludf.DUMMYFUNCTION("""COMPUTED_VALUE"""),"")</f>
        <v/>
      </c>
      <c r="D1454" s="4" t="str">
        <f>IFERROR(__xludf.DUMMYFUNCTION("""COMPUTED_VALUE"""),"")</f>
        <v/>
      </c>
      <c r="E1454" s="4" t="str">
        <f>IFERROR(__xludf.DUMMYFUNCTION("""COMPUTED_VALUE"""),"")</f>
        <v/>
      </c>
      <c r="F1454" s="4" t="str">
        <f>IFERROR(__xludf.DUMMYFUNCTION("""COMPUTED_VALUE"""),"")</f>
        <v/>
      </c>
      <c r="G1454" s="4" t="str">
        <f>IFERROR(__xludf.DUMMYFUNCTION("""COMPUTED_VALUE"""),"")</f>
        <v/>
      </c>
      <c r="H1454" s="4" t="str">
        <f>IFERROR(__xludf.DUMMYFUNCTION("""COMPUTED_VALUE"""),"")</f>
        <v/>
      </c>
      <c r="I1454" s="4" t="str">
        <f>IFERROR(__xludf.DUMMYFUNCTION("""COMPUTED_VALUE"""),"")</f>
        <v/>
      </c>
      <c r="J1454" s="4" t="str">
        <f>IFERROR(__xludf.DUMMYFUNCTION("""COMPUTED_VALUE"""),"")</f>
        <v/>
      </c>
      <c r="K1454" s="4" t="str">
        <f>IFERROR(__xludf.DUMMYFUNCTION("""COMPUTED_VALUE"""),"")</f>
        <v/>
      </c>
      <c r="L1454" s="4" t="str">
        <f>IFERROR(__xludf.DUMMYFUNCTION("""COMPUTED_VALUE"""),"")</f>
        <v/>
      </c>
      <c r="M1454" s="4" t="str">
        <f>IFERROR(__xludf.DUMMYFUNCTION("""COMPUTED_VALUE"""),"")</f>
        <v/>
      </c>
      <c r="N1454" s="4" t="str">
        <f>IFERROR(__xludf.DUMMYFUNCTION("""COMPUTED_VALUE"""),"")</f>
        <v/>
      </c>
      <c r="O1454" s="4" t="str">
        <f>IFERROR(__xludf.DUMMYFUNCTION("""COMPUTED_VALUE"""),"")</f>
        <v/>
      </c>
      <c r="P1454" s="4" t="str">
        <f>IFERROR(__xludf.DUMMYFUNCTION("""COMPUTED_VALUE"""),"")</f>
        <v/>
      </c>
      <c r="Q1454" s="4" t="str">
        <f>IFERROR(__xludf.DUMMYFUNCTION("""COMPUTED_VALUE"""),"")</f>
        <v/>
      </c>
      <c r="R1454" s="4" t="str">
        <f>IFERROR(__xludf.DUMMYFUNCTION("""COMPUTED_VALUE"""),"")</f>
        <v/>
      </c>
      <c r="S1454" s="4" t="str">
        <f>IFERROR(__xludf.DUMMYFUNCTION("""COMPUTED_VALUE"""),"")</f>
        <v/>
      </c>
      <c r="T1454" s="4" t="str">
        <f>IFERROR(__xludf.DUMMYFUNCTION("""COMPUTED_VALUE"""),"")</f>
        <v/>
      </c>
      <c r="U1454" s="4" t="str">
        <f>IFERROR(__xludf.DUMMYFUNCTION("""COMPUTED_VALUE"""),"")</f>
        <v/>
      </c>
      <c r="V1454" s="4" t="str">
        <f>IFERROR(__xludf.DUMMYFUNCTION("""COMPUTED_VALUE"""),"")</f>
        <v/>
      </c>
      <c r="W1454" s="4" t="str">
        <f>IFERROR(__xludf.DUMMYFUNCTION("""COMPUTED_VALUE"""),"")</f>
        <v/>
      </c>
      <c r="X1454" s="4" t="str">
        <f>IFERROR(__xludf.DUMMYFUNCTION("""COMPUTED_VALUE"""),"")</f>
        <v/>
      </c>
      <c r="Y1454" s="4" t="str">
        <f>IFERROR(__xludf.DUMMYFUNCTION("""COMPUTED_VALUE"""),"")</f>
        <v/>
      </c>
    </row>
    <row r="1455">
      <c r="A1455" s="4" t="str">
        <f>IFERROR(__xludf.DUMMYFUNCTION("""COMPUTED_VALUE"""),"2003 - Channel")</f>
        <v>2003 - Channel</v>
      </c>
      <c r="B1455" s="4" t="str">
        <f>IFERROR(__xludf.DUMMYFUNCTION("""COMPUTED_VALUE"""),"")</f>
        <v/>
      </c>
      <c r="C1455" s="4" t="str">
        <f>IFERROR(__xludf.DUMMYFUNCTION("""COMPUTED_VALUE"""),"")</f>
        <v/>
      </c>
      <c r="D1455" s="4" t="str">
        <f>IFERROR(__xludf.DUMMYFUNCTION("""COMPUTED_VALUE"""),"")</f>
        <v/>
      </c>
      <c r="E1455" s="4" t="str">
        <f>IFERROR(__xludf.DUMMYFUNCTION("""COMPUTED_VALUE"""),"")</f>
        <v/>
      </c>
      <c r="F1455" s="4" t="str">
        <f>IFERROR(__xludf.DUMMYFUNCTION("""COMPUTED_VALUE"""),"")</f>
        <v/>
      </c>
      <c r="G1455" s="4" t="str">
        <f>IFERROR(__xludf.DUMMYFUNCTION("""COMPUTED_VALUE"""),"")</f>
        <v/>
      </c>
      <c r="H1455" s="4" t="str">
        <f>IFERROR(__xludf.DUMMYFUNCTION("""COMPUTED_VALUE"""),"")</f>
        <v/>
      </c>
      <c r="I1455" s="4" t="str">
        <f>IFERROR(__xludf.DUMMYFUNCTION("""COMPUTED_VALUE"""),"")</f>
        <v/>
      </c>
      <c r="J1455" s="4" t="str">
        <f>IFERROR(__xludf.DUMMYFUNCTION("""COMPUTED_VALUE"""),"")</f>
        <v/>
      </c>
      <c r="K1455" s="4" t="str">
        <f>IFERROR(__xludf.DUMMYFUNCTION("""COMPUTED_VALUE"""),"")</f>
        <v/>
      </c>
      <c r="L1455" s="4" t="str">
        <f>IFERROR(__xludf.DUMMYFUNCTION("""COMPUTED_VALUE"""),"")</f>
        <v/>
      </c>
      <c r="M1455" s="4" t="str">
        <f>IFERROR(__xludf.DUMMYFUNCTION("""COMPUTED_VALUE"""),"")</f>
        <v/>
      </c>
      <c r="N1455" s="4" t="str">
        <f>IFERROR(__xludf.DUMMYFUNCTION("""COMPUTED_VALUE"""),"")</f>
        <v/>
      </c>
      <c r="O1455" s="4" t="str">
        <f>IFERROR(__xludf.DUMMYFUNCTION("""COMPUTED_VALUE"""),"")</f>
        <v/>
      </c>
      <c r="P1455" s="4" t="str">
        <f>IFERROR(__xludf.DUMMYFUNCTION("""COMPUTED_VALUE"""),"")</f>
        <v/>
      </c>
      <c r="Q1455" s="4" t="str">
        <f>IFERROR(__xludf.DUMMYFUNCTION("""COMPUTED_VALUE"""),"")</f>
        <v/>
      </c>
      <c r="R1455" s="4" t="str">
        <f>IFERROR(__xludf.DUMMYFUNCTION("""COMPUTED_VALUE"""),"")</f>
        <v/>
      </c>
      <c r="S1455" s="4" t="str">
        <f>IFERROR(__xludf.DUMMYFUNCTION("""COMPUTED_VALUE"""),"")</f>
        <v/>
      </c>
      <c r="T1455" s="4" t="str">
        <f>IFERROR(__xludf.DUMMYFUNCTION("""COMPUTED_VALUE"""),"")</f>
        <v/>
      </c>
      <c r="U1455" s="4" t="str">
        <f>IFERROR(__xludf.DUMMYFUNCTION("""COMPUTED_VALUE"""),"")</f>
        <v/>
      </c>
      <c r="V1455" s="4" t="str">
        <f>IFERROR(__xludf.DUMMYFUNCTION("""COMPUTED_VALUE"""),"")</f>
        <v/>
      </c>
      <c r="W1455" s="4" t="str">
        <f>IFERROR(__xludf.DUMMYFUNCTION("""COMPUTED_VALUE"""),"")</f>
        <v/>
      </c>
      <c r="X1455" s="4" t="str">
        <f>IFERROR(__xludf.DUMMYFUNCTION("""COMPUTED_VALUE"""),"")</f>
        <v/>
      </c>
      <c r="Y1455" s="4" t="str">
        <f>IFERROR(__xludf.DUMMYFUNCTION("""COMPUTED_VALUE"""),"")</f>
        <v/>
      </c>
    </row>
    <row r="1456">
      <c r="A1456" s="4" t="str">
        <f>IFERROR(__xludf.DUMMYFUNCTION("""COMPUTED_VALUE"""),"2004 - Channel")</f>
        <v>2004 - Channel</v>
      </c>
      <c r="B1456" s="4" t="str">
        <f>IFERROR(__xludf.DUMMYFUNCTION("""COMPUTED_VALUE"""),"")</f>
        <v/>
      </c>
      <c r="C1456" s="4" t="str">
        <f>IFERROR(__xludf.DUMMYFUNCTION("""COMPUTED_VALUE"""),"")</f>
        <v/>
      </c>
      <c r="D1456" s="4" t="str">
        <f>IFERROR(__xludf.DUMMYFUNCTION("""COMPUTED_VALUE"""),"")</f>
        <v/>
      </c>
      <c r="E1456" s="4" t="str">
        <f>IFERROR(__xludf.DUMMYFUNCTION("""COMPUTED_VALUE"""),"")</f>
        <v/>
      </c>
      <c r="F1456" s="4" t="str">
        <f>IFERROR(__xludf.DUMMYFUNCTION("""COMPUTED_VALUE"""),"")</f>
        <v/>
      </c>
      <c r="G1456" s="4" t="str">
        <f>IFERROR(__xludf.DUMMYFUNCTION("""COMPUTED_VALUE"""),"")</f>
        <v/>
      </c>
      <c r="H1456" s="4" t="str">
        <f>IFERROR(__xludf.DUMMYFUNCTION("""COMPUTED_VALUE"""),"")</f>
        <v/>
      </c>
      <c r="I1456" s="4" t="str">
        <f>IFERROR(__xludf.DUMMYFUNCTION("""COMPUTED_VALUE"""),"")</f>
        <v/>
      </c>
      <c r="J1456" s="4" t="str">
        <f>IFERROR(__xludf.DUMMYFUNCTION("""COMPUTED_VALUE"""),"")</f>
        <v/>
      </c>
      <c r="K1456" s="4" t="str">
        <f>IFERROR(__xludf.DUMMYFUNCTION("""COMPUTED_VALUE"""),"")</f>
        <v/>
      </c>
      <c r="L1456" s="4" t="str">
        <f>IFERROR(__xludf.DUMMYFUNCTION("""COMPUTED_VALUE"""),"")</f>
        <v/>
      </c>
      <c r="M1456" s="4" t="str">
        <f>IFERROR(__xludf.DUMMYFUNCTION("""COMPUTED_VALUE"""),"")</f>
        <v/>
      </c>
      <c r="N1456" s="4" t="str">
        <f>IFERROR(__xludf.DUMMYFUNCTION("""COMPUTED_VALUE"""),"")</f>
        <v/>
      </c>
      <c r="O1456" s="4" t="str">
        <f>IFERROR(__xludf.DUMMYFUNCTION("""COMPUTED_VALUE"""),"")</f>
        <v/>
      </c>
      <c r="P1456" s="4" t="str">
        <f>IFERROR(__xludf.DUMMYFUNCTION("""COMPUTED_VALUE"""),"")</f>
        <v/>
      </c>
      <c r="Q1456" s="4" t="str">
        <f>IFERROR(__xludf.DUMMYFUNCTION("""COMPUTED_VALUE"""),"")</f>
        <v/>
      </c>
      <c r="R1456" s="4" t="str">
        <f>IFERROR(__xludf.DUMMYFUNCTION("""COMPUTED_VALUE"""),"")</f>
        <v/>
      </c>
      <c r="S1456" s="4" t="str">
        <f>IFERROR(__xludf.DUMMYFUNCTION("""COMPUTED_VALUE"""),"")</f>
        <v/>
      </c>
      <c r="T1456" s="4" t="str">
        <f>IFERROR(__xludf.DUMMYFUNCTION("""COMPUTED_VALUE"""),"")</f>
        <v/>
      </c>
      <c r="U1456" s="4" t="str">
        <f>IFERROR(__xludf.DUMMYFUNCTION("""COMPUTED_VALUE"""),"")</f>
        <v/>
      </c>
      <c r="V1456" s="4" t="str">
        <f>IFERROR(__xludf.DUMMYFUNCTION("""COMPUTED_VALUE"""),"")</f>
        <v/>
      </c>
      <c r="W1456" s="4" t="str">
        <f>IFERROR(__xludf.DUMMYFUNCTION("""COMPUTED_VALUE"""),"")</f>
        <v/>
      </c>
      <c r="X1456" s="4" t="str">
        <f>IFERROR(__xludf.DUMMYFUNCTION("""COMPUTED_VALUE"""),"")</f>
        <v/>
      </c>
      <c r="Y1456" s="4" t="str">
        <f>IFERROR(__xludf.DUMMYFUNCTION("""COMPUTED_VALUE"""),"")</f>
        <v/>
      </c>
    </row>
    <row r="1457">
      <c r="A1457" s="4" t="str">
        <f>IFERROR(__xludf.DUMMYFUNCTION("""COMPUTED_VALUE"""),"2005 - Channel")</f>
        <v>2005 - Channel</v>
      </c>
      <c r="B1457" s="4" t="str">
        <f>IFERROR(__xludf.DUMMYFUNCTION("""COMPUTED_VALUE"""),"")</f>
        <v/>
      </c>
      <c r="C1457" s="4" t="str">
        <f>IFERROR(__xludf.DUMMYFUNCTION("""COMPUTED_VALUE"""),"")</f>
        <v/>
      </c>
      <c r="D1457" s="4" t="str">
        <f>IFERROR(__xludf.DUMMYFUNCTION("""COMPUTED_VALUE"""),"")</f>
        <v/>
      </c>
      <c r="E1457" s="4" t="str">
        <f>IFERROR(__xludf.DUMMYFUNCTION("""COMPUTED_VALUE"""),"")</f>
        <v/>
      </c>
      <c r="F1457" s="4" t="str">
        <f>IFERROR(__xludf.DUMMYFUNCTION("""COMPUTED_VALUE"""),"")</f>
        <v/>
      </c>
      <c r="G1457" s="4" t="str">
        <f>IFERROR(__xludf.DUMMYFUNCTION("""COMPUTED_VALUE"""),"")</f>
        <v/>
      </c>
      <c r="H1457" s="4" t="str">
        <f>IFERROR(__xludf.DUMMYFUNCTION("""COMPUTED_VALUE"""),"")</f>
        <v/>
      </c>
      <c r="I1457" s="4" t="str">
        <f>IFERROR(__xludf.DUMMYFUNCTION("""COMPUTED_VALUE"""),"")</f>
        <v/>
      </c>
      <c r="J1457" s="4" t="str">
        <f>IFERROR(__xludf.DUMMYFUNCTION("""COMPUTED_VALUE"""),"")</f>
        <v/>
      </c>
      <c r="K1457" s="4" t="str">
        <f>IFERROR(__xludf.DUMMYFUNCTION("""COMPUTED_VALUE"""),"")</f>
        <v/>
      </c>
      <c r="L1457" s="4" t="str">
        <f>IFERROR(__xludf.DUMMYFUNCTION("""COMPUTED_VALUE"""),"")</f>
        <v/>
      </c>
      <c r="M1457" s="4" t="str">
        <f>IFERROR(__xludf.DUMMYFUNCTION("""COMPUTED_VALUE"""),"")</f>
        <v/>
      </c>
      <c r="N1457" s="4" t="str">
        <f>IFERROR(__xludf.DUMMYFUNCTION("""COMPUTED_VALUE"""),"")</f>
        <v/>
      </c>
      <c r="O1457" s="4" t="str">
        <f>IFERROR(__xludf.DUMMYFUNCTION("""COMPUTED_VALUE"""),"")</f>
        <v/>
      </c>
      <c r="P1457" s="4" t="str">
        <f>IFERROR(__xludf.DUMMYFUNCTION("""COMPUTED_VALUE"""),"")</f>
        <v/>
      </c>
      <c r="Q1457" s="4" t="str">
        <f>IFERROR(__xludf.DUMMYFUNCTION("""COMPUTED_VALUE"""),"")</f>
        <v/>
      </c>
      <c r="R1457" s="4" t="str">
        <f>IFERROR(__xludf.DUMMYFUNCTION("""COMPUTED_VALUE"""),"")</f>
        <v/>
      </c>
      <c r="S1457" s="4" t="str">
        <f>IFERROR(__xludf.DUMMYFUNCTION("""COMPUTED_VALUE"""),"")</f>
        <v/>
      </c>
      <c r="T1457" s="4" t="str">
        <f>IFERROR(__xludf.DUMMYFUNCTION("""COMPUTED_VALUE"""),"")</f>
        <v/>
      </c>
      <c r="U1457" s="4" t="str">
        <f>IFERROR(__xludf.DUMMYFUNCTION("""COMPUTED_VALUE"""),"")</f>
        <v/>
      </c>
      <c r="V1457" s="4" t="str">
        <f>IFERROR(__xludf.DUMMYFUNCTION("""COMPUTED_VALUE"""),"")</f>
        <v/>
      </c>
      <c r="W1457" s="4" t="str">
        <f>IFERROR(__xludf.DUMMYFUNCTION("""COMPUTED_VALUE"""),"")</f>
        <v/>
      </c>
      <c r="X1457" s="4" t="str">
        <f>IFERROR(__xludf.DUMMYFUNCTION("""COMPUTED_VALUE"""),"")</f>
        <v/>
      </c>
      <c r="Y1457" s="4" t="str">
        <f>IFERROR(__xludf.DUMMYFUNCTION("""COMPUTED_VALUE"""),"")</f>
        <v/>
      </c>
    </row>
    <row r="1458">
      <c r="A1458" s="4" t="str">
        <f>IFERROR(__xludf.DUMMYFUNCTION("""COMPUTED_VALUE"""),"2006 - Channel")</f>
        <v>2006 - Channel</v>
      </c>
      <c r="B1458" s="4" t="str">
        <f>IFERROR(__xludf.DUMMYFUNCTION("""COMPUTED_VALUE"""),"")</f>
        <v/>
      </c>
      <c r="C1458" s="4" t="str">
        <f>IFERROR(__xludf.DUMMYFUNCTION("""COMPUTED_VALUE"""),"")</f>
        <v/>
      </c>
      <c r="D1458" s="4" t="str">
        <f>IFERROR(__xludf.DUMMYFUNCTION("""COMPUTED_VALUE"""),"")</f>
        <v/>
      </c>
      <c r="E1458" s="4" t="str">
        <f>IFERROR(__xludf.DUMMYFUNCTION("""COMPUTED_VALUE"""),"")</f>
        <v/>
      </c>
      <c r="F1458" s="4" t="str">
        <f>IFERROR(__xludf.DUMMYFUNCTION("""COMPUTED_VALUE"""),"")</f>
        <v/>
      </c>
      <c r="G1458" s="4" t="str">
        <f>IFERROR(__xludf.DUMMYFUNCTION("""COMPUTED_VALUE"""),"")</f>
        <v/>
      </c>
      <c r="H1458" s="4" t="str">
        <f>IFERROR(__xludf.DUMMYFUNCTION("""COMPUTED_VALUE"""),"")</f>
        <v/>
      </c>
      <c r="I1458" s="4" t="str">
        <f>IFERROR(__xludf.DUMMYFUNCTION("""COMPUTED_VALUE"""),"")</f>
        <v/>
      </c>
      <c r="J1458" s="4" t="str">
        <f>IFERROR(__xludf.DUMMYFUNCTION("""COMPUTED_VALUE"""),"")</f>
        <v/>
      </c>
      <c r="K1458" s="4" t="str">
        <f>IFERROR(__xludf.DUMMYFUNCTION("""COMPUTED_VALUE"""),"")</f>
        <v/>
      </c>
      <c r="L1458" s="4" t="str">
        <f>IFERROR(__xludf.DUMMYFUNCTION("""COMPUTED_VALUE"""),"")</f>
        <v/>
      </c>
      <c r="M1458" s="4" t="str">
        <f>IFERROR(__xludf.DUMMYFUNCTION("""COMPUTED_VALUE"""),"")</f>
        <v/>
      </c>
      <c r="N1458" s="4" t="str">
        <f>IFERROR(__xludf.DUMMYFUNCTION("""COMPUTED_VALUE"""),"")</f>
        <v/>
      </c>
      <c r="O1458" s="4" t="str">
        <f>IFERROR(__xludf.DUMMYFUNCTION("""COMPUTED_VALUE"""),"")</f>
        <v/>
      </c>
      <c r="P1458" s="4" t="str">
        <f>IFERROR(__xludf.DUMMYFUNCTION("""COMPUTED_VALUE"""),"")</f>
        <v/>
      </c>
      <c r="Q1458" s="4" t="str">
        <f>IFERROR(__xludf.DUMMYFUNCTION("""COMPUTED_VALUE"""),"")</f>
        <v/>
      </c>
      <c r="R1458" s="4" t="str">
        <f>IFERROR(__xludf.DUMMYFUNCTION("""COMPUTED_VALUE"""),"")</f>
        <v/>
      </c>
      <c r="S1458" s="4" t="str">
        <f>IFERROR(__xludf.DUMMYFUNCTION("""COMPUTED_VALUE"""),"")</f>
        <v/>
      </c>
      <c r="T1458" s="4" t="str">
        <f>IFERROR(__xludf.DUMMYFUNCTION("""COMPUTED_VALUE"""),"")</f>
        <v/>
      </c>
      <c r="U1458" s="4" t="str">
        <f>IFERROR(__xludf.DUMMYFUNCTION("""COMPUTED_VALUE"""),"")</f>
        <v/>
      </c>
      <c r="V1458" s="4" t="str">
        <f>IFERROR(__xludf.DUMMYFUNCTION("""COMPUTED_VALUE"""),"")</f>
        <v/>
      </c>
      <c r="W1458" s="4" t="str">
        <f>IFERROR(__xludf.DUMMYFUNCTION("""COMPUTED_VALUE"""),"")</f>
        <v/>
      </c>
      <c r="X1458" s="4" t="str">
        <f>IFERROR(__xludf.DUMMYFUNCTION("""COMPUTED_VALUE"""),"")</f>
        <v/>
      </c>
      <c r="Y1458" s="4" t="str">
        <f>IFERROR(__xludf.DUMMYFUNCTION("""COMPUTED_VALUE"""),"")</f>
        <v/>
      </c>
    </row>
    <row r="1459">
      <c r="A1459" s="4" t="str">
        <f>IFERROR(__xludf.DUMMYFUNCTION("""COMPUTED_VALUE"""),"2007 - Channel")</f>
        <v>2007 - Channel</v>
      </c>
      <c r="B1459" s="4" t="str">
        <f>IFERROR(__xludf.DUMMYFUNCTION("""COMPUTED_VALUE"""),"")</f>
        <v/>
      </c>
      <c r="C1459" s="4" t="str">
        <f>IFERROR(__xludf.DUMMYFUNCTION("""COMPUTED_VALUE"""),"")</f>
        <v/>
      </c>
      <c r="D1459" s="4" t="str">
        <f>IFERROR(__xludf.DUMMYFUNCTION("""COMPUTED_VALUE"""),"")</f>
        <v/>
      </c>
      <c r="E1459" s="4" t="str">
        <f>IFERROR(__xludf.DUMMYFUNCTION("""COMPUTED_VALUE"""),"")</f>
        <v/>
      </c>
      <c r="F1459" s="4" t="str">
        <f>IFERROR(__xludf.DUMMYFUNCTION("""COMPUTED_VALUE"""),"")</f>
        <v/>
      </c>
      <c r="G1459" s="4" t="str">
        <f>IFERROR(__xludf.DUMMYFUNCTION("""COMPUTED_VALUE"""),"")</f>
        <v/>
      </c>
      <c r="H1459" s="4" t="str">
        <f>IFERROR(__xludf.DUMMYFUNCTION("""COMPUTED_VALUE"""),"")</f>
        <v/>
      </c>
      <c r="I1459" s="4" t="str">
        <f>IFERROR(__xludf.DUMMYFUNCTION("""COMPUTED_VALUE"""),"")</f>
        <v/>
      </c>
      <c r="J1459" s="4" t="str">
        <f>IFERROR(__xludf.DUMMYFUNCTION("""COMPUTED_VALUE"""),"")</f>
        <v/>
      </c>
      <c r="K1459" s="4" t="str">
        <f>IFERROR(__xludf.DUMMYFUNCTION("""COMPUTED_VALUE"""),"")</f>
        <v/>
      </c>
      <c r="L1459" s="4" t="str">
        <f>IFERROR(__xludf.DUMMYFUNCTION("""COMPUTED_VALUE"""),"")</f>
        <v/>
      </c>
      <c r="M1459" s="4" t="str">
        <f>IFERROR(__xludf.DUMMYFUNCTION("""COMPUTED_VALUE"""),"")</f>
        <v/>
      </c>
      <c r="N1459" s="4" t="str">
        <f>IFERROR(__xludf.DUMMYFUNCTION("""COMPUTED_VALUE"""),"")</f>
        <v/>
      </c>
      <c r="O1459" s="4" t="str">
        <f>IFERROR(__xludf.DUMMYFUNCTION("""COMPUTED_VALUE"""),"")</f>
        <v/>
      </c>
      <c r="P1459" s="4" t="str">
        <f>IFERROR(__xludf.DUMMYFUNCTION("""COMPUTED_VALUE"""),"")</f>
        <v/>
      </c>
      <c r="Q1459" s="4" t="str">
        <f>IFERROR(__xludf.DUMMYFUNCTION("""COMPUTED_VALUE"""),"")</f>
        <v/>
      </c>
      <c r="R1459" s="4" t="str">
        <f>IFERROR(__xludf.DUMMYFUNCTION("""COMPUTED_VALUE"""),"")</f>
        <v/>
      </c>
      <c r="S1459" s="4" t="str">
        <f>IFERROR(__xludf.DUMMYFUNCTION("""COMPUTED_VALUE"""),"")</f>
        <v/>
      </c>
      <c r="T1459" s="4" t="str">
        <f>IFERROR(__xludf.DUMMYFUNCTION("""COMPUTED_VALUE"""),"")</f>
        <v/>
      </c>
      <c r="U1459" s="4" t="str">
        <f>IFERROR(__xludf.DUMMYFUNCTION("""COMPUTED_VALUE"""),"")</f>
        <v/>
      </c>
      <c r="V1459" s="4" t="str">
        <f>IFERROR(__xludf.DUMMYFUNCTION("""COMPUTED_VALUE"""),"")</f>
        <v/>
      </c>
      <c r="W1459" s="4" t="str">
        <f>IFERROR(__xludf.DUMMYFUNCTION("""COMPUTED_VALUE"""),"")</f>
        <v/>
      </c>
      <c r="X1459" s="4" t="str">
        <f>IFERROR(__xludf.DUMMYFUNCTION("""COMPUTED_VALUE"""),"")</f>
        <v/>
      </c>
      <c r="Y1459" s="4" t="str">
        <f>IFERROR(__xludf.DUMMYFUNCTION("""COMPUTED_VALUE"""),"")</f>
        <v/>
      </c>
    </row>
    <row r="1460">
      <c r="A1460" s="4" t="str">
        <f>IFERROR(__xludf.DUMMYFUNCTION("""COMPUTED_VALUE"""),"2008 - Channel")</f>
        <v>2008 - Channel</v>
      </c>
      <c r="B1460" s="4" t="str">
        <f>IFERROR(__xludf.DUMMYFUNCTION("""COMPUTED_VALUE"""),"")</f>
        <v/>
      </c>
      <c r="C1460" s="4" t="str">
        <f>IFERROR(__xludf.DUMMYFUNCTION("""COMPUTED_VALUE"""),"")</f>
        <v/>
      </c>
      <c r="D1460" s="4" t="str">
        <f>IFERROR(__xludf.DUMMYFUNCTION("""COMPUTED_VALUE"""),"")</f>
        <v/>
      </c>
      <c r="E1460" s="4" t="str">
        <f>IFERROR(__xludf.DUMMYFUNCTION("""COMPUTED_VALUE"""),"")</f>
        <v/>
      </c>
      <c r="F1460" s="4" t="str">
        <f>IFERROR(__xludf.DUMMYFUNCTION("""COMPUTED_VALUE"""),"")</f>
        <v/>
      </c>
      <c r="G1460" s="4" t="str">
        <f>IFERROR(__xludf.DUMMYFUNCTION("""COMPUTED_VALUE"""),"")</f>
        <v/>
      </c>
      <c r="H1460" s="4" t="str">
        <f>IFERROR(__xludf.DUMMYFUNCTION("""COMPUTED_VALUE"""),"")</f>
        <v/>
      </c>
      <c r="I1460" s="4" t="str">
        <f>IFERROR(__xludf.DUMMYFUNCTION("""COMPUTED_VALUE"""),"")</f>
        <v/>
      </c>
      <c r="J1460" s="4" t="str">
        <f>IFERROR(__xludf.DUMMYFUNCTION("""COMPUTED_VALUE"""),"")</f>
        <v/>
      </c>
      <c r="K1460" s="4" t="str">
        <f>IFERROR(__xludf.DUMMYFUNCTION("""COMPUTED_VALUE"""),"")</f>
        <v/>
      </c>
      <c r="L1460" s="4" t="str">
        <f>IFERROR(__xludf.DUMMYFUNCTION("""COMPUTED_VALUE"""),"")</f>
        <v/>
      </c>
      <c r="M1460" s="4" t="str">
        <f>IFERROR(__xludf.DUMMYFUNCTION("""COMPUTED_VALUE"""),"")</f>
        <v/>
      </c>
      <c r="N1460" s="4" t="str">
        <f>IFERROR(__xludf.DUMMYFUNCTION("""COMPUTED_VALUE"""),"")</f>
        <v/>
      </c>
      <c r="O1460" s="4" t="str">
        <f>IFERROR(__xludf.DUMMYFUNCTION("""COMPUTED_VALUE"""),"")</f>
        <v/>
      </c>
      <c r="P1460" s="4" t="str">
        <f>IFERROR(__xludf.DUMMYFUNCTION("""COMPUTED_VALUE"""),"")</f>
        <v/>
      </c>
      <c r="Q1460" s="4" t="str">
        <f>IFERROR(__xludf.DUMMYFUNCTION("""COMPUTED_VALUE"""),"")</f>
        <v/>
      </c>
      <c r="R1460" s="4" t="str">
        <f>IFERROR(__xludf.DUMMYFUNCTION("""COMPUTED_VALUE"""),"")</f>
        <v/>
      </c>
      <c r="S1460" s="4" t="str">
        <f>IFERROR(__xludf.DUMMYFUNCTION("""COMPUTED_VALUE"""),"")</f>
        <v/>
      </c>
      <c r="T1460" s="4" t="str">
        <f>IFERROR(__xludf.DUMMYFUNCTION("""COMPUTED_VALUE"""),"")</f>
        <v/>
      </c>
      <c r="U1460" s="4" t="str">
        <f>IFERROR(__xludf.DUMMYFUNCTION("""COMPUTED_VALUE"""),"")</f>
        <v/>
      </c>
      <c r="V1460" s="4" t="str">
        <f>IFERROR(__xludf.DUMMYFUNCTION("""COMPUTED_VALUE"""),"")</f>
        <v/>
      </c>
      <c r="W1460" s="4" t="str">
        <f>IFERROR(__xludf.DUMMYFUNCTION("""COMPUTED_VALUE"""),"")</f>
        <v/>
      </c>
      <c r="X1460" s="4" t="str">
        <f>IFERROR(__xludf.DUMMYFUNCTION("""COMPUTED_VALUE"""),"")</f>
        <v/>
      </c>
      <c r="Y1460" s="4" t="str">
        <f>IFERROR(__xludf.DUMMYFUNCTION("""COMPUTED_VALUE"""),"")</f>
        <v/>
      </c>
    </row>
    <row r="1461">
      <c r="A1461" s="4" t="str">
        <f>IFERROR(__xludf.DUMMYFUNCTION("""COMPUTED_VALUE"""),"2009 - Channel")</f>
        <v>2009 - Channel</v>
      </c>
      <c r="B1461" s="4" t="str">
        <f>IFERROR(__xludf.DUMMYFUNCTION("""COMPUTED_VALUE"""),"")</f>
        <v/>
      </c>
      <c r="C1461" s="4" t="str">
        <f>IFERROR(__xludf.DUMMYFUNCTION("""COMPUTED_VALUE"""),"")</f>
        <v/>
      </c>
      <c r="D1461" s="4" t="str">
        <f>IFERROR(__xludf.DUMMYFUNCTION("""COMPUTED_VALUE"""),"")</f>
        <v/>
      </c>
      <c r="E1461" s="4" t="str">
        <f>IFERROR(__xludf.DUMMYFUNCTION("""COMPUTED_VALUE"""),"")</f>
        <v/>
      </c>
      <c r="F1461" s="4" t="str">
        <f>IFERROR(__xludf.DUMMYFUNCTION("""COMPUTED_VALUE"""),"")</f>
        <v/>
      </c>
      <c r="G1461" s="4" t="str">
        <f>IFERROR(__xludf.DUMMYFUNCTION("""COMPUTED_VALUE"""),"")</f>
        <v/>
      </c>
      <c r="H1461" s="4" t="str">
        <f>IFERROR(__xludf.DUMMYFUNCTION("""COMPUTED_VALUE"""),"")</f>
        <v/>
      </c>
      <c r="I1461" s="4" t="str">
        <f>IFERROR(__xludf.DUMMYFUNCTION("""COMPUTED_VALUE"""),"")</f>
        <v/>
      </c>
      <c r="J1461" s="4" t="str">
        <f>IFERROR(__xludf.DUMMYFUNCTION("""COMPUTED_VALUE"""),"")</f>
        <v/>
      </c>
      <c r="K1461" s="4" t="str">
        <f>IFERROR(__xludf.DUMMYFUNCTION("""COMPUTED_VALUE"""),"")</f>
        <v/>
      </c>
      <c r="L1461" s="4" t="str">
        <f>IFERROR(__xludf.DUMMYFUNCTION("""COMPUTED_VALUE"""),"")</f>
        <v/>
      </c>
      <c r="M1461" s="4" t="str">
        <f>IFERROR(__xludf.DUMMYFUNCTION("""COMPUTED_VALUE"""),"")</f>
        <v/>
      </c>
      <c r="N1461" s="4" t="str">
        <f>IFERROR(__xludf.DUMMYFUNCTION("""COMPUTED_VALUE"""),"")</f>
        <v/>
      </c>
      <c r="O1461" s="4" t="str">
        <f>IFERROR(__xludf.DUMMYFUNCTION("""COMPUTED_VALUE"""),"")</f>
        <v/>
      </c>
      <c r="P1461" s="4" t="str">
        <f>IFERROR(__xludf.DUMMYFUNCTION("""COMPUTED_VALUE"""),"")</f>
        <v/>
      </c>
      <c r="Q1461" s="4" t="str">
        <f>IFERROR(__xludf.DUMMYFUNCTION("""COMPUTED_VALUE"""),"")</f>
        <v/>
      </c>
      <c r="R1461" s="4" t="str">
        <f>IFERROR(__xludf.DUMMYFUNCTION("""COMPUTED_VALUE"""),"")</f>
        <v/>
      </c>
      <c r="S1461" s="4" t="str">
        <f>IFERROR(__xludf.DUMMYFUNCTION("""COMPUTED_VALUE"""),"")</f>
        <v/>
      </c>
      <c r="T1461" s="4" t="str">
        <f>IFERROR(__xludf.DUMMYFUNCTION("""COMPUTED_VALUE"""),"")</f>
        <v/>
      </c>
      <c r="U1461" s="4" t="str">
        <f>IFERROR(__xludf.DUMMYFUNCTION("""COMPUTED_VALUE"""),"")</f>
        <v/>
      </c>
      <c r="V1461" s="4" t="str">
        <f>IFERROR(__xludf.DUMMYFUNCTION("""COMPUTED_VALUE"""),"")</f>
        <v/>
      </c>
      <c r="W1461" s="4" t="str">
        <f>IFERROR(__xludf.DUMMYFUNCTION("""COMPUTED_VALUE"""),"")</f>
        <v/>
      </c>
      <c r="X1461" s="4" t="str">
        <f>IFERROR(__xludf.DUMMYFUNCTION("""COMPUTED_VALUE"""),"")</f>
        <v/>
      </c>
      <c r="Y1461" s="4" t="str">
        <f>IFERROR(__xludf.DUMMYFUNCTION("""COMPUTED_VALUE"""),"")</f>
        <v/>
      </c>
    </row>
    <row r="1462">
      <c r="A1462" s="4" t="str">
        <f>IFERROR(__xludf.DUMMYFUNCTION("""COMPUTED_VALUE"""),"2010 - Channel")</f>
        <v>2010 - Channel</v>
      </c>
      <c r="B1462" s="4" t="str">
        <f>IFERROR(__xludf.DUMMYFUNCTION("""COMPUTED_VALUE"""),"")</f>
        <v/>
      </c>
      <c r="C1462" s="4" t="str">
        <f>IFERROR(__xludf.DUMMYFUNCTION("""COMPUTED_VALUE"""),"")</f>
        <v/>
      </c>
      <c r="D1462" s="4" t="str">
        <f>IFERROR(__xludf.DUMMYFUNCTION("""COMPUTED_VALUE"""),"")</f>
        <v/>
      </c>
      <c r="E1462" s="4" t="str">
        <f>IFERROR(__xludf.DUMMYFUNCTION("""COMPUTED_VALUE"""),"")</f>
        <v/>
      </c>
      <c r="F1462" s="4" t="str">
        <f>IFERROR(__xludf.DUMMYFUNCTION("""COMPUTED_VALUE"""),"")</f>
        <v/>
      </c>
      <c r="G1462" s="4" t="str">
        <f>IFERROR(__xludf.DUMMYFUNCTION("""COMPUTED_VALUE"""),"")</f>
        <v/>
      </c>
      <c r="H1462" s="4" t="str">
        <f>IFERROR(__xludf.DUMMYFUNCTION("""COMPUTED_VALUE"""),"")</f>
        <v/>
      </c>
      <c r="I1462" s="4" t="str">
        <f>IFERROR(__xludf.DUMMYFUNCTION("""COMPUTED_VALUE"""),"")</f>
        <v/>
      </c>
      <c r="J1462" s="4" t="str">
        <f>IFERROR(__xludf.DUMMYFUNCTION("""COMPUTED_VALUE"""),"")</f>
        <v/>
      </c>
      <c r="K1462" s="4" t="str">
        <f>IFERROR(__xludf.DUMMYFUNCTION("""COMPUTED_VALUE"""),"")</f>
        <v/>
      </c>
      <c r="L1462" s="4" t="str">
        <f>IFERROR(__xludf.DUMMYFUNCTION("""COMPUTED_VALUE"""),"")</f>
        <v/>
      </c>
      <c r="M1462" s="4" t="str">
        <f>IFERROR(__xludf.DUMMYFUNCTION("""COMPUTED_VALUE"""),"")</f>
        <v/>
      </c>
      <c r="N1462" s="4" t="str">
        <f>IFERROR(__xludf.DUMMYFUNCTION("""COMPUTED_VALUE"""),"")</f>
        <v/>
      </c>
      <c r="O1462" s="4" t="str">
        <f>IFERROR(__xludf.DUMMYFUNCTION("""COMPUTED_VALUE"""),"")</f>
        <v/>
      </c>
      <c r="P1462" s="4" t="str">
        <f>IFERROR(__xludf.DUMMYFUNCTION("""COMPUTED_VALUE"""),"")</f>
        <v/>
      </c>
      <c r="Q1462" s="4" t="str">
        <f>IFERROR(__xludf.DUMMYFUNCTION("""COMPUTED_VALUE"""),"")</f>
        <v/>
      </c>
      <c r="R1462" s="4" t="str">
        <f>IFERROR(__xludf.DUMMYFUNCTION("""COMPUTED_VALUE"""),"")</f>
        <v/>
      </c>
      <c r="S1462" s="4" t="str">
        <f>IFERROR(__xludf.DUMMYFUNCTION("""COMPUTED_VALUE"""),"")</f>
        <v/>
      </c>
      <c r="T1462" s="4" t="str">
        <f>IFERROR(__xludf.DUMMYFUNCTION("""COMPUTED_VALUE"""),"")</f>
        <v/>
      </c>
      <c r="U1462" s="4" t="str">
        <f>IFERROR(__xludf.DUMMYFUNCTION("""COMPUTED_VALUE"""),"")</f>
        <v/>
      </c>
      <c r="V1462" s="4" t="str">
        <f>IFERROR(__xludf.DUMMYFUNCTION("""COMPUTED_VALUE"""),"")</f>
        <v/>
      </c>
      <c r="W1462" s="4" t="str">
        <f>IFERROR(__xludf.DUMMYFUNCTION("""COMPUTED_VALUE"""),"")</f>
        <v/>
      </c>
      <c r="X1462" s="4" t="str">
        <f>IFERROR(__xludf.DUMMYFUNCTION("""COMPUTED_VALUE"""),"")</f>
        <v/>
      </c>
      <c r="Y1462" s="4" t="str">
        <f>IFERROR(__xludf.DUMMYFUNCTION("""COMPUTED_VALUE"""),"")</f>
        <v/>
      </c>
    </row>
    <row r="1463">
      <c r="A1463" s="4" t="str">
        <f>IFERROR(__xludf.DUMMYFUNCTION("""COMPUTED_VALUE"""),"2011 - Channel")</f>
        <v>2011 - Channel</v>
      </c>
      <c r="B1463" s="4" t="str">
        <f>IFERROR(__xludf.DUMMYFUNCTION("""COMPUTED_VALUE"""),"")</f>
        <v/>
      </c>
      <c r="C1463" s="4" t="str">
        <f>IFERROR(__xludf.DUMMYFUNCTION("""COMPUTED_VALUE"""),"")</f>
        <v/>
      </c>
      <c r="D1463" s="4" t="str">
        <f>IFERROR(__xludf.DUMMYFUNCTION("""COMPUTED_VALUE"""),"")</f>
        <v/>
      </c>
      <c r="E1463" s="4" t="str">
        <f>IFERROR(__xludf.DUMMYFUNCTION("""COMPUTED_VALUE"""),"")</f>
        <v/>
      </c>
      <c r="F1463" s="4" t="str">
        <f>IFERROR(__xludf.DUMMYFUNCTION("""COMPUTED_VALUE"""),"")</f>
        <v/>
      </c>
      <c r="G1463" s="4" t="str">
        <f>IFERROR(__xludf.DUMMYFUNCTION("""COMPUTED_VALUE"""),"")</f>
        <v/>
      </c>
      <c r="H1463" s="4" t="str">
        <f>IFERROR(__xludf.DUMMYFUNCTION("""COMPUTED_VALUE"""),"")</f>
        <v/>
      </c>
      <c r="I1463" s="4" t="str">
        <f>IFERROR(__xludf.DUMMYFUNCTION("""COMPUTED_VALUE"""),"")</f>
        <v/>
      </c>
      <c r="J1463" s="4" t="str">
        <f>IFERROR(__xludf.DUMMYFUNCTION("""COMPUTED_VALUE"""),"")</f>
        <v/>
      </c>
      <c r="K1463" s="4" t="str">
        <f>IFERROR(__xludf.DUMMYFUNCTION("""COMPUTED_VALUE"""),"")</f>
        <v/>
      </c>
      <c r="L1463" s="4" t="str">
        <f>IFERROR(__xludf.DUMMYFUNCTION("""COMPUTED_VALUE"""),"")</f>
        <v/>
      </c>
      <c r="M1463" s="4" t="str">
        <f>IFERROR(__xludf.DUMMYFUNCTION("""COMPUTED_VALUE"""),"")</f>
        <v/>
      </c>
      <c r="N1463" s="4" t="str">
        <f>IFERROR(__xludf.DUMMYFUNCTION("""COMPUTED_VALUE"""),"")</f>
        <v/>
      </c>
      <c r="O1463" s="4" t="str">
        <f>IFERROR(__xludf.DUMMYFUNCTION("""COMPUTED_VALUE"""),"")</f>
        <v/>
      </c>
      <c r="P1463" s="4" t="str">
        <f>IFERROR(__xludf.DUMMYFUNCTION("""COMPUTED_VALUE"""),"")</f>
        <v/>
      </c>
      <c r="Q1463" s="4" t="str">
        <f>IFERROR(__xludf.DUMMYFUNCTION("""COMPUTED_VALUE"""),"")</f>
        <v/>
      </c>
      <c r="R1463" s="4" t="str">
        <f>IFERROR(__xludf.DUMMYFUNCTION("""COMPUTED_VALUE"""),"")</f>
        <v/>
      </c>
      <c r="S1463" s="4" t="str">
        <f>IFERROR(__xludf.DUMMYFUNCTION("""COMPUTED_VALUE"""),"")</f>
        <v/>
      </c>
      <c r="T1463" s="4" t="str">
        <f>IFERROR(__xludf.DUMMYFUNCTION("""COMPUTED_VALUE"""),"")</f>
        <v/>
      </c>
      <c r="U1463" s="4" t="str">
        <f>IFERROR(__xludf.DUMMYFUNCTION("""COMPUTED_VALUE"""),"")</f>
        <v/>
      </c>
      <c r="V1463" s="4" t="str">
        <f>IFERROR(__xludf.DUMMYFUNCTION("""COMPUTED_VALUE"""),"")</f>
        <v/>
      </c>
      <c r="W1463" s="4" t="str">
        <f>IFERROR(__xludf.DUMMYFUNCTION("""COMPUTED_VALUE"""),"")</f>
        <v/>
      </c>
      <c r="X1463" s="4" t="str">
        <f>IFERROR(__xludf.DUMMYFUNCTION("""COMPUTED_VALUE"""),"")</f>
        <v/>
      </c>
      <c r="Y1463" s="4" t="str">
        <f>IFERROR(__xludf.DUMMYFUNCTION("""COMPUTED_VALUE"""),"")</f>
        <v/>
      </c>
    </row>
    <row r="1464">
      <c r="A1464" s="4" t="str">
        <f>IFERROR(__xludf.DUMMYFUNCTION("""COMPUTED_VALUE"""),"2012 - Channel")</f>
        <v>2012 - Channel</v>
      </c>
      <c r="B1464" s="4" t="str">
        <f>IFERROR(__xludf.DUMMYFUNCTION("""COMPUTED_VALUE"""),"")</f>
        <v/>
      </c>
      <c r="C1464" s="4" t="str">
        <f>IFERROR(__xludf.DUMMYFUNCTION("""COMPUTED_VALUE"""),"")</f>
        <v/>
      </c>
      <c r="D1464" s="4" t="str">
        <f>IFERROR(__xludf.DUMMYFUNCTION("""COMPUTED_VALUE"""),"")</f>
        <v/>
      </c>
      <c r="E1464" s="4" t="str">
        <f>IFERROR(__xludf.DUMMYFUNCTION("""COMPUTED_VALUE"""),"")</f>
        <v/>
      </c>
      <c r="F1464" s="4" t="str">
        <f>IFERROR(__xludf.DUMMYFUNCTION("""COMPUTED_VALUE"""),"")</f>
        <v/>
      </c>
      <c r="G1464" s="4" t="str">
        <f>IFERROR(__xludf.DUMMYFUNCTION("""COMPUTED_VALUE"""),"")</f>
        <v/>
      </c>
      <c r="H1464" s="4" t="str">
        <f>IFERROR(__xludf.DUMMYFUNCTION("""COMPUTED_VALUE"""),"")</f>
        <v/>
      </c>
      <c r="I1464" s="4" t="str">
        <f>IFERROR(__xludf.DUMMYFUNCTION("""COMPUTED_VALUE"""),"")</f>
        <v/>
      </c>
      <c r="J1464" s="4" t="str">
        <f>IFERROR(__xludf.DUMMYFUNCTION("""COMPUTED_VALUE"""),"")</f>
        <v/>
      </c>
      <c r="K1464" s="4" t="str">
        <f>IFERROR(__xludf.DUMMYFUNCTION("""COMPUTED_VALUE"""),"")</f>
        <v/>
      </c>
      <c r="L1464" s="4" t="str">
        <f>IFERROR(__xludf.DUMMYFUNCTION("""COMPUTED_VALUE"""),"")</f>
        <v/>
      </c>
      <c r="M1464" s="4" t="str">
        <f>IFERROR(__xludf.DUMMYFUNCTION("""COMPUTED_VALUE"""),"")</f>
        <v/>
      </c>
      <c r="N1464" s="4" t="str">
        <f>IFERROR(__xludf.DUMMYFUNCTION("""COMPUTED_VALUE"""),"")</f>
        <v/>
      </c>
      <c r="O1464" s="4" t="str">
        <f>IFERROR(__xludf.DUMMYFUNCTION("""COMPUTED_VALUE"""),"")</f>
        <v/>
      </c>
      <c r="P1464" s="4" t="str">
        <f>IFERROR(__xludf.DUMMYFUNCTION("""COMPUTED_VALUE"""),"")</f>
        <v/>
      </c>
      <c r="Q1464" s="4" t="str">
        <f>IFERROR(__xludf.DUMMYFUNCTION("""COMPUTED_VALUE"""),"")</f>
        <v/>
      </c>
      <c r="R1464" s="4" t="str">
        <f>IFERROR(__xludf.DUMMYFUNCTION("""COMPUTED_VALUE"""),"")</f>
        <v/>
      </c>
      <c r="S1464" s="4" t="str">
        <f>IFERROR(__xludf.DUMMYFUNCTION("""COMPUTED_VALUE"""),"")</f>
        <v/>
      </c>
      <c r="T1464" s="4" t="str">
        <f>IFERROR(__xludf.DUMMYFUNCTION("""COMPUTED_VALUE"""),"")</f>
        <v/>
      </c>
      <c r="U1464" s="4" t="str">
        <f>IFERROR(__xludf.DUMMYFUNCTION("""COMPUTED_VALUE"""),"")</f>
        <v/>
      </c>
      <c r="V1464" s="4" t="str">
        <f>IFERROR(__xludf.DUMMYFUNCTION("""COMPUTED_VALUE"""),"")</f>
        <v/>
      </c>
      <c r="W1464" s="4" t="str">
        <f>IFERROR(__xludf.DUMMYFUNCTION("""COMPUTED_VALUE"""),"")</f>
        <v/>
      </c>
      <c r="X1464" s="4" t="str">
        <f>IFERROR(__xludf.DUMMYFUNCTION("""COMPUTED_VALUE"""),"")</f>
        <v/>
      </c>
      <c r="Y1464" s="4" t="str">
        <f>IFERROR(__xludf.DUMMYFUNCTION("""COMPUTED_VALUE"""),"")</f>
        <v/>
      </c>
    </row>
    <row r="1465">
      <c r="A1465" s="4" t="str">
        <f>IFERROR(__xludf.DUMMYFUNCTION("""COMPUTED_VALUE"""),"2013 - Channel")</f>
        <v>2013 - Channel</v>
      </c>
      <c r="B1465" s="4" t="str">
        <f>IFERROR(__xludf.DUMMYFUNCTION("""COMPUTED_VALUE"""),"")</f>
        <v/>
      </c>
      <c r="C1465" s="4" t="str">
        <f>IFERROR(__xludf.DUMMYFUNCTION("""COMPUTED_VALUE"""),"")</f>
        <v/>
      </c>
      <c r="D1465" s="4" t="str">
        <f>IFERROR(__xludf.DUMMYFUNCTION("""COMPUTED_VALUE"""),"")</f>
        <v/>
      </c>
      <c r="E1465" s="4" t="str">
        <f>IFERROR(__xludf.DUMMYFUNCTION("""COMPUTED_VALUE"""),"")</f>
        <v/>
      </c>
      <c r="F1465" s="4" t="str">
        <f>IFERROR(__xludf.DUMMYFUNCTION("""COMPUTED_VALUE"""),"")</f>
        <v/>
      </c>
      <c r="G1465" s="4" t="str">
        <f>IFERROR(__xludf.DUMMYFUNCTION("""COMPUTED_VALUE"""),"")</f>
        <v/>
      </c>
      <c r="H1465" s="4" t="str">
        <f>IFERROR(__xludf.DUMMYFUNCTION("""COMPUTED_VALUE"""),"")</f>
        <v/>
      </c>
      <c r="I1465" s="4" t="str">
        <f>IFERROR(__xludf.DUMMYFUNCTION("""COMPUTED_VALUE"""),"")</f>
        <v/>
      </c>
      <c r="J1465" s="4" t="str">
        <f>IFERROR(__xludf.DUMMYFUNCTION("""COMPUTED_VALUE"""),"")</f>
        <v/>
      </c>
      <c r="K1465" s="4" t="str">
        <f>IFERROR(__xludf.DUMMYFUNCTION("""COMPUTED_VALUE"""),"")</f>
        <v/>
      </c>
      <c r="L1465" s="4" t="str">
        <f>IFERROR(__xludf.DUMMYFUNCTION("""COMPUTED_VALUE"""),"")</f>
        <v/>
      </c>
      <c r="M1465" s="4" t="str">
        <f>IFERROR(__xludf.DUMMYFUNCTION("""COMPUTED_VALUE"""),"")</f>
        <v/>
      </c>
      <c r="N1465" s="4" t="str">
        <f>IFERROR(__xludf.DUMMYFUNCTION("""COMPUTED_VALUE"""),"")</f>
        <v/>
      </c>
      <c r="O1465" s="4" t="str">
        <f>IFERROR(__xludf.DUMMYFUNCTION("""COMPUTED_VALUE"""),"")</f>
        <v/>
      </c>
      <c r="P1465" s="4" t="str">
        <f>IFERROR(__xludf.DUMMYFUNCTION("""COMPUTED_VALUE"""),"")</f>
        <v/>
      </c>
      <c r="Q1465" s="4" t="str">
        <f>IFERROR(__xludf.DUMMYFUNCTION("""COMPUTED_VALUE"""),"")</f>
        <v/>
      </c>
      <c r="R1465" s="4" t="str">
        <f>IFERROR(__xludf.DUMMYFUNCTION("""COMPUTED_VALUE"""),"")</f>
        <v/>
      </c>
      <c r="S1465" s="4" t="str">
        <f>IFERROR(__xludf.DUMMYFUNCTION("""COMPUTED_VALUE"""),"")</f>
        <v/>
      </c>
      <c r="T1465" s="4" t="str">
        <f>IFERROR(__xludf.DUMMYFUNCTION("""COMPUTED_VALUE"""),"")</f>
        <v/>
      </c>
      <c r="U1465" s="4" t="str">
        <f>IFERROR(__xludf.DUMMYFUNCTION("""COMPUTED_VALUE"""),"")</f>
        <v/>
      </c>
      <c r="V1465" s="4" t="str">
        <f>IFERROR(__xludf.DUMMYFUNCTION("""COMPUTED_VALUE"""),"")</f>
        <v/>
      </c>
      <c r="W1465" s="4" t="str">
        <f>IFERROR(__xludf.DUMMYFUNCTION("""COMPUTED_VALUE"""),"")</f>
        <v/>
      </c>
      <c r="X1465" s="4" t="str">
        <f>IFERROR(__xludf.DUMMYFUNCTION("""COMPUTED_VALUE"""),"")</f>
        <v/>
      </c>
      <c r="Y1465" s="4" t="str">
        <f>IFERROR(__xludf.DUMMYFUNCTION("""COMPUTED_VALUE"""),"")</f>
        <v/>
      </c>
    </row>
    <row r="1466">
      <c r="A1466" s="4" t="str">
        <f>IFERROR(__xludf.DUMMYFUNCTION("""COMPUTED_VALUE"""),"2014 - Channel")</f>
        <v>2014 - Channel</v>
      </c>
      <c r="B1466" s="4" t="str">
        <f>IFERROR(__xludf.DUMMYFUNCTION("""COMPUTED_VALUE"""),"")</f>
        <v/>
      </c>
      <c r="C1466" s="4" t="str">
        <f>IFERROR(__xludf.DUMMYFUNCTION("""COMPUTED_VALUE"""),"")</f>
        <v/>
      </c>
      <c r="D1466" s="4" t="str">
        <f>IFERROR(__xludf.DUMMYFUNCTION("""COMPUTED_VALUE"""),"")</f>
        <v/>
      </c>
      <c r="E1466" s="4" t="str">
        <f>IFERROR(__xludf.DUMMYFUNCTION("""COMPUTED_VALUE"""),"")</f>
        <v/>
      </c>
      <c r="F1466" s="4" t="str">
        <f>IFERROR(__xludf.DUMMYFUNCTION("""COMPUTED_VALUE"""),"")</f>
        <v/>
      </c>
      <c r="G1466" s="4" t="str">
        <f>IFERROR(__xludf.DUMMYFUNCTION("""COMPUTED_VALUE"""),"")</f>
        <v/>
      </c>
      <c r="H1466" s="4" t="str">
        <f>IFERROR(__xludf.DUMMYFUNCTION("""COMPUTED_VALUE"""),"")</f>
        <v/>
      </c>
      <c r="I1466" s="4" t="str">
        <f>IFERROR(__xludf.DUMMYFUNCTION("""COMPUTED_VALUE"""),"")</f>
        <v/>
      </c>
      <c r="J1466" s="4" t="str">
        <f>IFERROR(__xludf.DUMMYFUNCTION("""COMPUTED_VALUE"""),"")</f>
        <v/>
      </c>
      <c r="K1466" s="4" t="str">
        <f>IFERROR(__xludf.DUMMYFUNCTION("""COMPUTED_VALUE"""),"")</f>
        <v/>
      </c>
      <c r="L1466" s="4" t="str">
        <f>IFERROR(__xludf.DUMMYFUNCTION("""COMPUTED_VALUE"""),"")</f>
        <v/>
      </c>
      <c r="M1466" s="4" t="str">
        <f>IFERROR(__xludf.DUMMYFUNCTION("""COMPUTED_VALUE"""),"")</f>
        <v/>
      </c>
      <c r="N1466" s="4" t="str">
        <f>IFERROR(__xludf.DUMMYFUNCTION("""COMPUTED_VALUE"""),"")</f>
        <v/>
      </c>
      <c r="O1466" s="4" t="str">
        <f>IFERROR(__xludf.DUMMYFUNCTION("""COMPUTED_VALUE"""),"")</f>
        <v/>
      </c>
      <c r="P1466" s="4" t="str">
        <f>IFERROR(__xludf.DUMMYFUNCTION("""COMPUTED_VALUE"""),"")</f>
        <v/>
      </c>
      <c r="Q1466" s="4" t="str">
        <f>IFERROR(__xludf.DUMMYFUNCTION("""COMPUTED_VALUE"""),"")</f>
        <v/>
      </c>
      <c r="R1466" s="4" t="str">
        <f>IFERROR(__xludf.DUMMYFUNCTION("""COMPUTED_VALUE"""),"")</f>
        <v/>
      </c>
      <c r="S1466" s="4" t="str">
        <f>IFERROR(__xludf.DUMMYFUNCTION("""COMPUTED_VALUE"""),"")</f>
        <v/>
      </c>
      <c r="T1466" s="4" t="str">
        <f>IFERROR(__xludf.DUMMYFUNCTION("""COMPUTED_VALUE"""),"")</f>
        <v/>
      </c>
      <c r="U1466" s="4" t="str">
        <f>IFERROR(__xludf.DUMMYFUNCTION("""COMPUTED_VALUE"""),"")</f>
        <v/>
      </c>
      <c r="V1466" s="4" t="str">
        <f>IFERROR(__xludf.DUMMYFUNCTION("""COMPUTED_VALUE"""),"")</f>
        <v/>
      </c>
      <c r="W1466" s="4" t="str">
        <f>IFERROR(__xludf.DUMMYFUNCTION("""COMPUTED_VALUE"""),"")</f>
        <v/>
      </c>
      <c r="X1466" s="4" t="str">
        <f>IFERROR(__xludf.DUMMYFUNCTION("""COMPUTED_VALUE"""),"")</f>
        <v/>
      </c>
      <c r="Y1466" s="4" t="str">
        <f>IFERROR(__xludf.DUMMYFUNCTION("""COMPUTED_VALUE"""),"")</f>
        <v/>
      </c>
    </row>
    <row r="1467">
      <c r="A1467" s="4" t="str">
        <f>IFERROR(__xludf.DUMMYFUNCTION("""COMPUTED_VALUE"""),"2015 - Channel")</f>
        <v>2015 - Channel</v>
      </c>
      <c r="B1467" s="4" t="str">
        <f>IFERROR(__xludf.DUMMYFUNCTION("""COMPUTED_VALUE"""),"")</f>
        <v/>
      </c>
      <c r="C1467" s="4" t="str">
        <f>IFERROR(__xludf.DUMMYFUNCTION("""COMPUTED_VALUE"""),"")</f>
        <v/>
      </c>
      <c r="D1467" s="4" t="str">
        <f>IFERROR(__xludf.DUMMYFUNCTION("""COMPUTED_VALUE"""),"")</f>
        <v/>
      </c>
      <c r="E1467" s="4" t="str">
        <f>IFERROR(__xludf.DUMMYFUNCTION("""COMPUTED_VALUE"""),"")</f>
        <v/>
      </c>
      <c r="F1467" s="4" t="str">
        <f>IFERROR(__xludf.DUMMYFUNCTION("""COMPUTED_VALUE"""),"")</f>
        <v/>
      </c>
      <c r="G1467" s="4" t="str">
        <f>IFERROR(__xludf.DUMMYFUNCTION("""COMPUTED_VALUE"""),"")</f>
        <v/>
      </c>
      <c r="H1467" s="4" t="str">
        <f>IFERROR(__xludf.DUMMYFUNCTION("""COMPUTED_VALUE"""),"")</f>
        <v/>
      </c>
      <c r="I1467" s="4" t="str">
        <f>IFERROR(__xludf.DUMMYFUNCTION("""COMPUTED_VALUE"""),"")</f>
        <v/>
      </c>
      <c r="J1467" s="4" t="str">
        <f>IFERROR(__xludf.DUMMYFUNCTION("""COMPUTED_VALUE"""),"")</f>
        <v/>
      </c>
      <c r="K1467" s="4" t="str">
        <f>IFERROR(__xludf.DUMMYFUNCTION("""COMPUTED_VALUE"""),"")</f>
        <v/>
      </c>
      <c r="L1467" s="4" t="str">
        <f>IFERROR(__xludf.DUMMYFUNCTION("""COMPUTED_VALUE"""),"")</f>
        <v/>
      </c>
      <c r="M1467" s="4" t="str">
        <f>IFERROR(__xludf.DUMMYFUNCTION("""COMPUTED_VALUE"""),"")</f>
        <v/>
      </c>
      <c r="N1467" s="4" t="str">
        <f>IFERROR(__xludf.DUMMYFUNCTION("""COMPUTED_VALUE"""),"")</f>
        <v/>
      </c>
      <c r="O1467" s="4" t="str">
        <f>IFERROR(__xludf.DUMMYFUNCTION("""COMPUTED_VALUE"""),"")</f>
        <v/>
      </c>
      <c r="P1467" s="4" t="str">
        <f>IFERROR(__xludf.DUMMYFUNCTION("""COMPUTED_VALUE"""),"")</f>
        <v/>
      </c>
      <c r="Q1467" s="4" t="str">
        <f>IFERROR(__xludf.DUMMYFUNCTION("""COMPUTED_VALUE"""),"")</f>
        <v/>
      </c>
      <c r="R1467" s="4" t="str">
        <f>IFERROR(__xludf.DUMMYFUNCTION("""COMPUTED_VALUE"""),"")</f>
        <v/>
      </c>
      <c r="S1467" s="4" t="str">
        <f>IFERROR(__xludf.DUMMYFUNCTION("""COMPUTED_VALUE"""),"")</f>
        <v/>
      </c>
      <c r="T1467" s="4" t="str">
        <f>IFERROR(__xludf.DUMMYFUNCTION("""COMPUTED_VALUE"""),"")</f>
        <v/>
      </c>
      <c r="U1467" s="4" t="str">
        <f>IFERROR(__xludf.DUMMYFUNCTION("""COMPUTED_VALUE"""),"")</f>
        <v/>
      </c>
      <c r="V1467" s="4" t="str">
        <f>IFERROR(__xludf.DUMMYFUNCTION("""COMPUTED_VALUE"""),"")</f>
        <v/>
      </c>
      <c r="W1467" s="4" t="str">
        <f>IFERROR(__xludf.DUMMYFUNCTION("""COMPUTED_VALUE"""),"")</f>
        <v/>
      </c>
      <c r="X1467" s="4" t="str">
        <f>IFERROR(__xludf.DUMMYFUNCTION("""COMPUTED_VALUE"""),"")</f>
        <v/>
      </c>
      <c r="Y1467" s="4" t="str">
        <f>IFERROR(__xludf.DUMMYFUNCTION("""COMPUTED_VALUE"""),"")</f>
        <v/>
      </c>
    </row>
    <row r="1468">
      <c r="A1468" s="4" t="str">
        <f>IFERROR(__xludf.DUMMYFUNCTION("""COMPUTED_VALUE"""),"2016 - Channel")</f>
        <v>2016 - Channel</v>
      </c>
      <c r="B1468" s="4" t="str">
        <f>IFERROR(__xludf.DUMMYFUNCTION("""COMPUTED_VALUE"""),"")</f>
        <v/>
      </c>
      <c r="C1468" s="4" t="str">
        <f>IFERROR(__xludf.DUMMYFUNCTION("""COMPUTED_VALUE"""),"")</f>
        <v/>
      </c>
      <c r="D1468" s="4" t="str">
        <f>IFERROR(__xludf.DUMMYFUNCTION("""COMPUTED_VALUE"""),"")</f>
        <v/>
      </c>
      <c r="E1468" s="4" t="str">
        <f>IFERROR(__xludf.DUMMYFUNCTION("""COMPUTED_VALUE"""),"")</f>
        <v/>
      </c>
      <c r="F1468" s="4" t="str">
        <f>IFERROR(__xludf.DUMMYFUNCTION("""COMPUTED_VALUE"""),"")</f>
        <v/>
      </c>
      <c r="G1468" s="4" t="str">
        <f>IFERROR(__xludf.DUMMYFUNCTION("""COMPUTED_VALUE"""),"")</f>
        <v/>
      </c>
      <c r="H1468" s="4" t="str">
        <f>IFERROR(__xludf.DUMMYFUNCTION("""COMPUTED_VALUE"""),"")</f>
        <v/>
      </c>
      <c r="I1468" s="4" t="str">
        <f>IFERROR(__xludf.DUMMYFUNCTION("""COMPUTED_VALUE"""),"")</f>
        <v/>
      </c>
      <c r="J1468" s="4" t="str">
        <f>IFERROR(__xludf.DUMMYFUNCTION("""COMPUTED_VALUE"""),"")</f>
        <v/>
      </c>
      <c r="K1468" s="4" t="str">
        <f>IFERROR(__xludf.DUMMYFUNCTION("""COMPUTED_VALUE"""),"")</f>
        <v/>
      </c>
      <c r="L1468" s="4" t="str">
        <f>IFERROR(__xludf.DUMMYFUNCTION("""COMPUTED_VALUE"""),"")</f>
        <v/>
      </c>
      <c r="M1468" s="4" t="str">
        <f>IFERROR(__xludf.DUMMYFUNCTION("""COMPUTED_VALUE"""),"")</f>
        <v/>
      </c>
      <c r="N1468" s="4" t="str">
        <f>IFERROR(__xludf.DUMMYFUNCTION("""COMPUTED_VALUE"""),"")</f>
        <v/>
      </c>
      <c r="O1468" s="4" t="str">
        <f>IFERROR(__xludf.DUMMYFUNCTION("""COMPUTED_VALUE"""),"")</f>
        <v/>
      </c>
      <c r="P1468" s="4" t="str">
        <f>IFERROR(__xludf.DUMMYFUNCTION("""COMPUTED_VALUE"""),"")</f>
        <v/>
      </c>
      <c r="Q1468" s="4" t="str">
        <f>IFERROR(__xludf.DUMMYFUNCTION("""COMPUTED_VALUE"""),"")</f>
        <v/>
      </c>
      <c r="R1468" s="4" t="str">
        <f>IFERROR(__xludf.DUMMYFUNCTION("""COMPUTED_VALUE"""),"")</f>
        <v/>
      </c>
      <c r="S1468" s="4" t="str">
        <f>IFERROR(__xludf.DUMMYFUNCTION("""COMPUTED_VALUE"""),"")</f>
        <v/>
      </c>
      <c r="T1468" s="4" t="str">
        <f>IFERROR(__xludf.DUMMYFUNCTION("""COMPUTED_VALUE"""),"")</f>
        <v/>
      </c>
      <c r="U1468" s="4" t="str">
        <f>IFERROR(__xludf.DUMMYFUNCTION("""COMPUTED_VALUE"""),"")</f>
        <v/>
      </c>
      <c r="V1468" s="4" t="str">
        <f>IFERROR(__xludf.DUMMYFUNCTION("""COMPUTED_VALUE"""),"")</f>
        <v/>
      </c>
      <c r="W1468" s="4" t="str">
        <f>IFERROR(__xludf.DUMMYFUNCTION("""COMPUTED_VALUE"""),"")</f>
        <v/>
      </c>
      <c r="X1468" s="4" t="str">
        <f>IFERROR(__xludf.DUMMYFUNCTION("""COMPUTED_VALUE"""),"")</f>
        <v/>
      </c>
      <c r="Y1468" s="4" t="str">
        <f>IFERROR(__xludf.DUMMYFUNCTION("""COMPUTED_VALUE"""),"")</f>
        <v/>
      </c>
    </row>
    <row r="1469">
      <c r="A1469" s="4" t="str">
        <f>IFERROR(__xludf.DUMMYFUNCTION("""COMPUTED_VALUE"""),"2017 - Channel")</f>
        <v>2017 - Channel</v>
      </c>
      <c r="B1469" s="4" t="str">
        <f>IFERROR(__xludf.DUMMYFUNCTION("""COMPUTED_VALUE"""),"")</f>
        <v/>
      </c>
      <c r="C1469" s="4" t="str">
        <f>IFERROR(__xludf.DUMMYFUNCTION("""COMPUTED_VALUE"""),"")</f>
        <v/>
      </c>
      <c r="D1469" s="4" t="str">
        <f>IFERROR(__xludf.DUMMYFUNCTION("""COMPUTED_VALUE"""),"")</f>
        <v/>
      </c>
      <c r="E1469" s="4" t="str">
        <f>IFERROR(__xludf.DUMMYFUNCTION("""COMPUTED_VALUE"""),"")</f>
        <v/>
      </c>
      <c r="F1469" s="4" t="str">
        <f>IFERROR(__xludf.DUMMYFUNCTION("""COMPUTED_VALUE"""),"")</f>
        <v/>
      </c>
      <c r="G1469" s="4" t="str">
        <f>IFERROR(__xludf.DUMMYFUNCTION("""COMPUTED_VALUE"""),"")</f>
        <v/>
      </c>
      <c r="H1469" s="4" t="str">
        <f>IFERROR(__xludf.DUMMYFUNCTION("""COMPUTED_VALUE"""),"")</f>
        <v/>
      </c>
      <c r="I1469" s="4" t="str">
        <f>IFERROR(__xludf.DUMMYFUNCTION("""COMPUTED_VALUE"""),"")</f>
        <v/>
      </c>
      <c r="J1469" s="4" t="str">
        <f>IFERROR(__xludf.DUMMYFUNCTION("""COMPUTED_VALUE"""),"")</f>
        <v/>
      </c>
      <c r="K1469" s="4" t="str">
        <f>IFERROR(__xludf.DUMMYFUNCTION("""COMPUTED_VALUE"""),"")</f>
        <v/>
      </c>
      <c r="L1469" s="4" t="str">
        <f>IFERROR(__xludf.DUMMYFUNCTION("""COMPUTED_VALUE"""),"")</f>
        <v/>
      </c>
      <c r="M1469" s="4" t="str">
        <f>IFERROR(__xludf.DUMMYFUNCTION("""COMPUTED_VALUE"""),"")</f>
        <v/>
      </c>
      <c r="N1469" s="4" t="str">
        <f>IFERROR(__xludf.DUMMYFUNCTION("""COMPUTED_VALUE"""),"")</f>
        <v/>
      </c>
      <c r="O1469" s="4" t="str">
        <f>IFERROR(__xludf.DUMMYFUNCTION("""COMPUTED_VALUE"""),"")</f>
        <v/>
      </c>
      <c r="P1469" s="4" t="str">
        <f>IFERROR(__xludf.DUMMYFUNCTION("""COMPUTED_VALUE"""),"")</f>
        <v/>
      </c>
      <c r="Q1469" s="4" t="str">
        <f>IFERROR(__xludf.DUMMYFUNCTION("""COMPUTED_VALUE"""),"")</f>
        <v/>
      </c>
      <c r="R1469" s="4" t="str">
        <f>IFERROR(__xludf.DUMMYFUNCTION("""COMPUTED_VALUE"""),"")</f>
        <v/>
      </c>
      <c r="S1469" s="4" t="str">
        <f>IFERROR(__xludf.DUMMYFUNCTION("""COMPUTED_VALUE"""),"")</f>
        <v/>
      </c>
      <c r="T1469" s="4" t="str">
        <f>IFERROR(__xludf.DUMMYFUNCTION("""COMPUTED_VALUE"""),"")</f>
        <v/>
      </c>
      <c r="U1469" s="4" t="str">
        <f>IFERROR(__xludf.DUMMYFUNCTION("""COMPUTED_VALUE"""),"")</f>
        <v/>
      </c>
      <c r="V1469" s="4" t="str">
        <f>IFERROR(__xludf.DUMMYFUNCTION("""COMPUTED_VALUE"""),"")</f>
        <v/>
      </c>
      <c r="W1469" s="4" t="str">
        <f>IFERROR(__xludf.DUMMYFUNCTION("""COMPUTED_VALUE"""),"")</f>
        <v/>
      </c>
      <c r="X1469" s="4" t="str">
        <f>IFERROR(__xludf.DUMMYFUNCTION("""COMPUTED_VALUE"""),"")</f>
        <v/>
      </c>
      <c r="Y1469" s="4" t="str">
        <f>IFERROR(__xludf.DUMMYFUNCTION("""COMPUTED_VALUE"""),"")</f>
        <v/>
      </c>
    </row>
    <row r="1470">
      <c r="A1470" s="4" t="str">
        <f>IFERROR(__xludf.DUMMYFUNCTION("""COMPUTED_VALUE"""),"2018 - Channel")</f>
        <v>2018 - Channel</v>
      </c>
      <c r="B1470" s="4" t="str">
        <f>IFERROR(__xludf.DUMMYFUNCTION("""COMPUTED_VALUE"""),"")</f>
        <v/>
      </c>
      <c r="C1470" s="4" t="str">
        <f>IFERROR(__xludf.DUMMYFUNCTION("""COMPUTED_VALUE"""),"")</f>
        <v/>
      </c>
      <c r="D1470" s="4" t="str">
        <f>IFERROR(__xludf.DUMMYFUNCTION("""COMPUTED_VALUE"""),"")</f>
        <v/>
      </c>
      <c r="E1470" s="4" t="str">
        <f>IFERROR(__xludf.DUMMYFUNCTION("""COMPUTED_VALUE"""),"")</f>
        <v/>
      </c>
      <c r="F1470" s="4" t="str">
        <f>IFERROR(__xludf.DUMMYFUNCTION("""COMPUTED_VALUE"""),"")</f>
        <v/>
      </c>
      <c r="G1470" s="4" t="str">
        <f>IFERROR(__xludf.DUMMYFUNCTION("""COMPUTED_VALUE"""),"")</f>
        <v/>
      </c>
      <c r="H1470" s="4" t="str">
        <f>IFERROR(__xludf.DUMMYFUNCTION("""COMPUTED_VALUE"""),"")</f>
        <v/>
      </c>
      <c r="I1470" s="4" t="str">
        <f>IFERROR(__xludf.DUMMYFUNCTION("""COMPUTED_VALUE"""),"")</f>
        <v/>
      </c>
      <c r="J1470" s="4" t="str">
        <f>IFERROR(__xludf.DUMMYFUNCTION("""COMPUTED_VALUE"""),"")</f>
        <v/>
      </c>
      <c r="K1470" s="4" t="str">
        <f>IFERROR(__xludf.DUMMYFUNCTION("""COMPUTED_VALUE"""),"")</f>
        <v/>
      </c>
      <c r="L1470" s="4" t="str">
        <f>IFERROR(__xludf.DUMMYFUNCTION("""COMPUTED_VALUE"""),"")</f>
        <v/>
      </c>
      <c r="M1470" s="4" t="str">
        <f>IFERROR(__xludf.DUMMYFUNCTION("""COMPUTED_VALUE"""),"")</f>
        <v/>
      </c>
      <c r="N1470" s="4" t="str">
        <f>IFERROR(__xludf.DUMMYFUNCTION("""COMPUTED_VALUE"""),"")</f>
        <v/>
      </c>
      <c r="O1470" s="4" t="str">
        <f>IFERROR(__xludf.DUMMYFUNCTION("""COMPUTED_VALUE"""),"")</f>
        <v/>
      </c>
      <c r="P1470" s="4" t="str">
        <f>IFERROR(__xludf.DUMMYFUNCTION("""COMPUTED_VALUE"""),"")</f>
        <v/>
      </c>
      <c r="Q1470" s="4" t="str">
        <f>IFERROR(__xludf.DUMMYFUNCTION("""COMPUTED_VALUE"""),"")</f>
        <v/>
      </c>
      <c r="R1470" s="4" t="str">
        <f>IFERROR(__xludf.DUMMYFUNCTION("""COMPUTED_VALUE"""),"")</f>
        <v/>
      </c>
      <c r="S1470" s="4" t="str">
        <f>IFERROR(__xludf.DUMMYFUNCTION("""COMPUTED_VALUE"""),"")</f>
        <v/>
      </c>
      <c r="T1470" s="4" t="str">
        <f>IFERROR(__xludf.DUMMYFUNCTION("""COMPUTED_VALUE"""),"")</f>
        <v/>
      </c>
      <c r="U1470" s="4" t="str">
        <f>IFERROR(__xludf.DUMMYFUNCTION("""COMPUTED_VALUE"""),"")</f>
        <v/>
      </c>
      <c r="V1470" s="4" t="str">
        <f>IFERROR(__xludf.DUMMYFUNCTION("""COMPUTED_VALUE"""),"")</f>
        <v/>
      </c>
      <c r="W1470" s="4" t="str">
        <f>IFERROR(__xludf.DUMMYFUNCTION("""COMPUTED_VALUE"""),"")</f>
        <v/>
      </c>
      <c r="X1470" s="4" t="str">
        <f>IFERROR(__xludf.DUMMYFUNCTION("""COMPUTED_VALUE"""),"")</f>
        <v/>
      </c>
      <c r="Y1470" s="4" t="str">
        <f>IFERROR(__xludf.DUMMYFUNCTION("""COMPUTED_VALUE"""),"")</f>
        <v/>
      </c>
    </row>
    <row r="1471">
      <c r="A1471" s="4" t="str">
        <f>IFERROR(__xludf.DUMMYFUNCTION("""COMPUTED_VALUE"""),"2019 - Channel")</f>
        <v>2019 - Channel</v>
      </c>
      <c r="B1471" s="4" t="str">
        <f>IFERROR(__xludf.DUMMYFUNCTION("""COMPUTED_VALUE"""),"")</f>
        <v/>
      </c>
      <c r="C1471" s="4" t="str">
        <f>IFERROR(__xludf.DUMMYFUNCTION("""COMPUTED_VALUE"""),"")</f>
        <v/>
      </c>
      <c r="D1471" s="4" t="str">
        <f>IFERROR(__xludf.DUMMYFUNCTION("""COMPUTED_VALUE"""),"")</f>
        <v/>
      </c>
      <c r="E1471" s="4" t="str">
        <f>IFERROR(__xludf.DUMMYFUNCTION("""COMPUTED_VALUE"""),"")</f>
        <v/>
      </c>
      <c r="F1471" s="4" t="str">
        <f>IFERROR(__xludf.DUMMYFUNCTION("""COMPUTED_VALUE"""),"")</f>
        <v/>
      </c>
      <c r="G1471" s="4" t="str">
        <f>IFERROR(__xludf.DUMMYFUNCTION("""COMPUTED_VALUE"""),"")</f>
        <v/>
      </c>
      <c r="H1471" s="4" t="str">
        <f>IFERROR(__xludf.DUMMYFUNCTION("""COMPUTED_VALUE"""),"")</f>
        <v/>
      </c>
      <c r="I1471" s="4" t="str">
        <f>IFERROR(__xludf.DUMMYFUNCTION("""COMPUTED_VALUE"""),"")</f>
        <v/>
      </c>
      <c r="J1471" s="4" t="str">
        <f>IFERROR(__xludf.DUMMYFUNCTION("""COMPUTED_VALUE"""),"")</f>
        <v/>
      </c>
      <c r="K1471" s="4" t="str">
        <f>IFERROR(__xludf.DUMMYFUNCTION("""COMPUTED_VALUE"""),"")</f>
        <v/>
      </c>
      <c r="L1471" s="4" t="str">
        <f>IFERROR(__xludf.DUMMYFUNCTION("""COMPUTED_VALUE"""),"")</f>
        <v/>
      </c>
      <c r="M1471" s="4" t="str">
        <f>IFERROR(__xludf.DUMMYFUNCTION("""COMPUTED_VALUE"""),"")</f>
        <v/>
      </c>
      <c r="N1471" s="4" t="str">
        <f>IFERROR(__xludf.DUMMYFUNCTION("""COMPUTED_VALUE"""),"")</f>
        <v/>
      </c>
      <c r="O1471" s="4" t="str">
        <f>IFERROR(__xludf.DUMMYFUNCTION("""COMPUTED_VALUE"""),"")</f>
        <v/>
      </c>
      <c r="P1471" s="4" t="str">
        <f>IFERROR(__xludf.DUMMYFUNCTION("""COMPUTED_VALUE"""),"")</f>
        <v/>
      </c>
      <c r="Q1471" s="4" t="str">
        <f>IFERROR(__xludf.DUMMYFUNCTION("""COMPUTED_VALUE"""),"")</f>
        <v/>
      </c>
      <c r="R1471" s="4" t="str">
        <f>IFERROR(__xludf.DUMMYFUNCTION("""COMPUTED_VALUE"""),"")</f>
        <v/>
      </c>
      <c r="S1471" s="4" t="str">
        <f>IFERROR(__xludf.DUMMYFUNCTION("""COMPUTED_VALUE"""),"")</f>
        <v/>
      </c>
      <c r="T1471" s="4" t="str">
        <f>IFERROR(__xludf.DUMMYFUNCTION("""COMPUTED_VALUE"""),"")</f>
        <v/>
      </c>
      <c r="U1471" s="4" t="str">
        <f>IFERROR(__xludf.DUMMYFUNCTION("""COMPUTED_VALUE"""),"")</f>
        <v/>
      </c>
      <c r="V1471" s="4" t="str">
        <f>IFERROR(__xludf.DUMMYFUNCTION("""COMPUTED_VALUE"""),"")</f>
        <v/>
      </c>
      <c r="W1471" s="4" t="str">
        <f>IFERROR(__xludf.DUMMYFUNCTION("""COMPUTED_VALUE"""),"")</f>
        <v/>
      </c>
      <c r="X1471" s="4" t="str">
        <f>IFERROR(__xludf.DUMMYFUNCTION("""COMPUTED_VALUE"""),"")</f>
        <v/>
      </c>
      <c r="Y1471" s="4" t="str">
        <f>IFERROR(__xludf.DUMMYFUNCTION("""COMPUTED_VALUE"""),"")</f>
        <v/>
      </c>
    </row>
    <row r="1472">
      <c r="A1472" s="4" t="str">
        <f>IFERROR(__xludf.DUMMYFUNCTION("""COMPUTED_VALUE"""),"2020 - Channel")</f>
        <v>2020 - Channel</v>
      </c>
      <c r="B1472" s="4" t="str">
        <f>IFERROR(__xludf.DUMMYFUNCTION("""COMPUTED_VALUE"""),"")</f>
        <v/>
      </c>
      <c r="C1472" s="4" t="str">
        <f>IFERROR(__xludf.DUMMYFUNCTION("""COMPUTED_VALUE"""),"")</f>
        <v/>
      </c>
      <c r="D1472" s="4" t="str">
        <f>IFERROR(__xludf.DUMMYFUNCTION("""COMPUTED_VALUE"""),"")</f>
        <v/>
      </c>
      <c r="E1472" s="4" t="str">
        <f>IFERROR(__xludf.DUMMYFUNCTION("""COMPUTED_VALUE"""),"")</f>
        <v/>
      </c>
      <c r="F1472" s="4" t="str">
        <f>IFERROR(__xludf.DUMMYFUNCTION("""COMPUTED_VALUE"""),"")</f>
        <v/>
      </c>
      <c r="G1472" s="4" t="str">
        <f>IFERROR(__xludf.DUMMYFUNCTION("""COMPUTED_VALUE"""),"")</f>
        <v/>
      </c>
      <c r="H1472" s="4" t="str">
        <f>IFERROR(__xludf.DUMMYFUNCTION("""COMPUTED_VALUE"""),"")</f>
        <v/>
      </c>
      <c r="I1472" s="4" t="str">
        <f>IFERROR(__xludf.DUMMYFUNCTION("""COMPUTED_VALUE"""),"")</f>
        <v/>
      </c>
      <c r="J1472" s="4" t="str">
        <f>IFERROR(__xludf.DUMMYFUNCTION("""COMPUTED_VALUE"""),"")</f>
        <v/>
      </c>
      <c r="K1472" s="4" t="str">
        <f>IFERROR(__xludf.DUMMYFUNCTION("""COMPUTED_VALUE"""),"")</f>
        <v/>
      </c>
      <c r="L1472" s="4" t="str">
        <f>IFERROR(__xludf.DUMMYFUNCTION("""COMPUTED_VALUE"""),"")</f>
        <v/>
      </c>
      <c r="M1472" s="4" t="str">
        <f>IFERROR(__xludf.DUMMYFUNCTION("""COMPUTED_VALUE"""),"")</f>
        <v/>
      </c>
      <c r="N1472" s="4" t="str">
        <f>IFERROR(__xludf.DUMMYFUNCTION("""COMPUTED_VALUE"""),"")</f>
        <v/>
      </c>
      <c r="O1472" s="4" t="str">
        <f>IFERROR(__xludf.DUMMYFUNCTION("""COMPUTED_VALUE"""),"")</f>
        <v/>
      </c>
      <c r="P1472" s="4" t="str">
        <f>IFERROR(__xludf.DUMMYFUNCTION("""COMPUTED_VALUE"""),"")</f>
        <v/>
      </c>
      <c r="Q1472" s="4" t="str">
        <f>IFERROR(__xludf.DUMMYFUNCTION("""COMPUTED_VALUE"""),"")</f>
        <v/>
      </c>
      <c r="R1472" s="4" t="str">
        <f>IFERROR(__xludf.DUMMYFUNCTION("""COMPUTED_VALUE"""),"")</f>
        <v/>
      </c>
      <c r="S1472" s="4" t="str">
        <f>IFERROR(__xludf.DUMMYFUNCTION("""COMPUTED_VALUE"""),"")</f>
        <v/>
      </c>
      <c r="T1472" s="4" t="str">
        <f>IFERROR(__xludf.DUMMYFUNCTION("""COMPUTED_VALUE"""),"")</f>
        <v/>
      </c>
      <c r="U1472" s="4" t="str">
        <f>IFERROR(__xludf.DUMMYFUNCTION("""COMPUTED_VALUE"""),"")</f>
        <v/>
      </c>
      <c r="V1472" s="4" t="str">
        <f>IFERROR(__xludf.DUMMYFUNCTION("""COMPUTED_VALUE"""),"")</f>
        <v/>
      </c>
      <c r="W1472" s="4" t="str">
        <f>IFERROR(__xludf.DUMMYFUNCTION("""COMPUTED_VALUE"""),"")</f>
        <v/>
      </c>
      <c r="X1472" s="4" t="str">
        <f>IFERROR(__xludf.DUMMYFUNCTION("""COMPUTED_VALUE"""),"")</f>
        <v/>
      </c>
      <c r="Y1472" s="4" t="str">
        <f>IFERROR(__xludf.DUMMYFUNCTION("""COMPUTED_VALUE"""),"")</f>
        <v/>
      </c>
    </row>
    <row r="1473">
      <c r="A1473" s="4" t="str">
        <f>IFERROR(__xludf.DUMMYFUNCTION("""COMPUTED_VALUE"""),"2021 - Channel")</f>
        <v>2021 - Channel</v>
      </c>
      <c r="B1473" s="4" t="str">
        <f>IFERROR(__xludf.DUMMYFUNCTION("""COMPUTED_VALUE"""),"")</f>
        <v/>
      </c>
      <c r="C1473" s="4" t="str">
        <f>IFERROR(__xludf.DUMMYFUNCTION("""COMPUTED_VALUE"""),"")</f>
        <v/>
      </c>
      <c r="D1473" s="4" t="str">
        <f>IFERROR(__xludf.DUMMYFUNCTION("""COMPUTED_VALUE"""),"")</f>
        <v/>
      </c>
      <c r="E1473" s="4" t="str">
        <f>IFERROR(__xludf.DUMMYFUNCTION("""COMPUTED_VALUE"""),"")</f>
        <v/>
      </c>
      <c r="F1473" s="4" t="str">
        <f>IFERROR(__xludf.DUMMYFUNCTION("""COMPUTED_VALUE"""),"")</f>
        <v/>
      </c>
      <c r="G1473" s="4" t="str">
        <f>IFERROR(__xludf.DUMMYFUNCTION("""COMPUTED_VALUE"""),"")</f>
        <v/>
      </c>
      <c r="H1473" s="4" t="str">
        <f>IFERROR(__xludf.DUMMYFUNCTION("""COMPUTED_VALUE"""),"")</f>
        <v/>
      </c>
      <c r="I1473" s="4" t="str">
        <f>IFERROR(__xludf.DUMMYFUNCTION("""COMPUTED_VALUE"""),"")</f>
        <v/>
      </c>
      <c r="J1473" s="4" t="str">
        <f>IFERROR(__xludf.DUMMYFUNCTION("""COMPUTED_VALUE"""),"")</f>
        <v/>
      </c>
      <c r="K1473" s="4" t="str">
        <f>IFERROR(__xludf.DUMMYFUNCTION("""COMPUTED_VALUE"""),"")</f>
        <v/>
      </c>
      <c r="L1473" s="4" t="str">
        <f>IFERROR(__xludf.DUMMYFUNCTION("""COMPUTED_VALUE"""),"")</f>
        <v/>
      </c>
      <c r="M1473" s="4" t="str">
        <f>IFERROR(__xludf.DUMMYFUNCTION("""COMPUTED_VALUE"""),"")</f>
        <v/>
      </c>
      <c r="N1473" s="4" t="str">
        <f>IFERROR(__xludf.DUMMYFUNCTION("""COMPUTED_VALUE"""),"")</f>
        <v/>
      </c>
      <c r="O1473" s="4" t="str">
        <f>IFERROR(__xludf.DUMMYFUNCTION("""COMPUTED_VALUE"""),"")</f>
        <v/>
      </c>
      <c r="P1473" s="4" t="str">
        <f>IFERROR(__xludf.DUMMYFUNCTION("""COMPUTED_VALUE"""),"")</f>
        <v/>
      </c>
      <c r="Q1473" s="4" t="str">
        <f>IFERROR(__xludf.DUMMYFUNCTION("""COMPUTED_VALUE"""),"")</f>
        <v/>
      </c>
      <c r="R1473" s="4" t="str">
        <f>IFERROR(__xludf.DUMMYFUNCTION("""COMPUTED_VALUE"""),"")</f>
        <v/>
      </c>
      <c r="S1473" s="4" t="str">
        <f>IFERROR(__xludf.DUMMYFUNCTION("""COMPUTED_VALUE"""),"")</f>
        <v/>
      </c>
      <c r="T1473" s="4" t="str">
        <f>IFERROR(__xludf.DUMMYFUNCTION("""COMPUTED_VALUE"""),"")</f>
        <v/>
      </c>
      <c r="U1473" s="4" t="str">
        <f>IFERROR(__xludf.DUMMYFUNCTION("""COMPUTED_VALUE"""),"")</f>
        <v/>
      </c>
      <c r="V1473" s="4" t="str">
        <f>IFERROR(__xludf.DUMMYFUNCTION("""COMPUTED_VALUE"""),"")</f>
        <v/>
      </c>
      <c r="W1473" s="4" t="str">
        <f>IFERROR(__xludf.DUMMYFUNCTION("""COMPUTED_VALUE"""),"")</f>
        <v/>
      </c>
      <c r="X1473" s="4" t="str">
        <f>IFERROR(__xludf.DUMMYFUNCTION("""COMPUTED_VALUE"""),"")</f>
        <v/>
      </c>
      <c r="Y1473" s="4" t="str">
        <f>IFERROR(__xludf.DUMMYFUNCTION("""COMPUTED_VALUE"""),"")</f>
        <v/>
      </c>
    </row>
    <row r="1474">
      <c r="A1474" s="4" t="str">
        <f>IFERROR(__xludf.DUMMYFUNCTION("""COMPUTED_VALUE"""),"2022 - Channel")</f>
        <v>2022 - Channel</v>
      </c>
      <c r="B1474" s="4" t="str">
        <f>IFERROR(__xludf.DUMMYFUNCTION("""COMPUTED_VALUE"""),"")</f>
        <v/>
      </c>
      <c r="C1474" s="4" t="str">
        <f>IFERROR(__xludf.DUMMYFUNCTION("""COMPUTED_VALUE"""),"")</f>
        <v/>
      </c>
      <c r="D1474" s="4" t="str">
        <f>IFERROR(__xludf.DUMMYFUNCTION("""COMPUTED_VALUE"""),"")</f>
        <v/>
      </c>
      <c r="E1474" s="4" t="str">
        <f>IFERROR(__xludf.DUMMYFUNCTION("""COMPUTED_VALUE"""),"")</f>
        <v/>
      </c>
      <c r="F1474" s="4" t="str">
        <f>IFERROR(__xludf.DUMMYFUNCTION("""COMPUTED_VALUE"""),"")</f>
        <v/>
      </c>
      <c r="G1474" s="4" t="str">
        <f>IFERROR(__xludf.DUMMYFUNCTION("""COMPUTED_VALUE"""),"")</f>
        <v/>
      </c>
      <c r="H1474" s="4" t="str">
        <f>IFERROR(__xludf.DUMMYFUNCTION("""COMPUTED_VALUE"""),"")</f>
        <v/>
      </c>
      <c r="I1474" s="4" t="str">
        <f>IFERROR(__xludf.DUMMYFUNCTION("""COMPUTED_VALUE"""),"")</f>
        <v/>
      </c>
      <c r="J1474" s="4" t="str">
        <f>IFERROR(__xludf.DUMMYFUNCTION("""COMPUTED_VALUE"""),"")</f>
        <v/>
      </c>
      <c r="K1474" s="4" t="str">
        <f>IFERROR(__xludf.DUMMYFUNCTION("""COMPUTED_VALUE"""),"")</f>
        <v/>
      </c>
      <c r="L1474" s="4" t="str">
        <f>IFERROR(__xludf.DUMMYFUNCTION("""COMPUTED_VALUE"""),"")</f>
        <v/>
      </c>
      <c r="M1474" s="4" t="str">
        <f>IFERROR(__xludf.DUMMYFUNCTION("""COMPUTED_VALUE"""),"")</f>
        <v/>
      </c>
      <c r="N1474" s="4" t="str">
        <f>IFERROR(__xludf.DUMMYFUNCTION("""COMPUTED_VALUE"""),"")</f>
        <v/>
      </c>
      <c r="O1474" s="4" t="str">
        <f>IFERROR(__xludf.DUMMYFUNCTION("""COMPUTED_VALUE"""),"")</f>
        <v/>
      </c>
      <c r="P1474" s="4" t="str">
        <f>IFERROR(__xludf.DUMMYFUNCTION("""COMPUTED_VALUE"""),"")</f>
        <v/>
      </c>
      <c r="Q1474" s="4" t="str">
        <f>IFERROR(__xludf.DUMMYFUNCTION("""COMPUTED_VALUE"""),"")</f>
        <v/>
      </c>
      <c r="R1474" s="4" t="str">
        <f>IFERROR(__xludf.DUMMYFUNCTION("""COMPUTED_VALUE"""),"")</f>
        <v/>
      </c>
      <c r="S1474" s="4" t="str">
        <f>IFERROR(__xludf.DUMMYFUNCTION("""COMPUTED_VALUE"""),"")</f>
        <v/>
      </c>
      <c r="T1474" s="4" t="str">
        <f>IFERROR(__xludf.DUMMYFUNCTION("""COMPUTED_VALUE"""),"")</f>
        <v/>
      </c>
      <c r="U1474" s="4" t="str">
        <f>IFERROR(__xludf.DUMMYFUNCTION("""COMPUTED_VALUE"""),"")</f>
        <v/>
      </c>
      <c r="V1474" s="4" t="str">
        <f>IFERROR(__xludf.DUMMYFUNCTION("""COMPUTED_VALUE"""),"")</f>
        <v/>
      </c>
      <c r="W1474" s="4" t="str">
        <f>IFERROR(__xludf.DUMMYFUNCTION("""COMPUTED_VALUE"""),"")</f>
        <v/>
      </c>
      <c r="X1474" s="4" t="str">
        <f>IFERROR(__xludf.DUMMYFUNCTION("""COMPUTED_VALUE"""),"")</f>
        <v/>
      </c>
      <c r="Y1474" s="4" t="str">
        <f>IFERROR(__xludf.DUMMYFUNCTION("""COMPUTED_VALUE"""),"")</f>
        <v/>
      </c>
    </row>
    <row r="1475">
      <c r="A1475" s="4" t="str">
        <f>IFERROR(__xludf.DUMMYFUNCTION("""COMPUTED_VALUE"""),"2023 - Channel")</f>
        <v>2023 - Channel</v>
      </c>
      <c r="B1475" s="4" t="str">
        <f>IFERROR(__xludf.DUMMYFUNCTION("""COMPUTED_VALUE"""),"")</f>
        <v/>
      </c>
      <c r="C1475" s="4" t="str">
        <f>IFERROR(__xludf.DUMMYFUNCTION("""COMPUTED_VALUE"""),"")</f>
        <v/>
      </c>
      <c r="D1475" s="4" t="str">
        <f>IFERROR(__xludf.DUMMYFUNCTION("""COMPUTED_VALUE"""),"")</f>
        <v/>
      </c>
      <c r="E1475" s="4" t="str">
        <f>IFERROR(__xludf.DUMMYFUNCTION("""COMPUTED_VALUE"""),"")</f>
        <v/>
      </c>
      <c r="F1475" s="4" t="str">
        <f>IFERROR(__xludf.DUMMYFUNCTION("""COMPUTED_VALUE"""),"")</f>
        <v/>
      </c>
      <c r="G1475" s="4" t="str">
        <f>IFERROR(__xludf.DUMMYFUNCTION("""COMPUTED_VALUE"""),"")</f>
        <v/>
      </c>
      <c r="H1475" s="4" t="str">
        <f>IFERROR(__xludf.DUMMYFUNCTION("""COMPUTED_VALUE"""),"")</f>
        <v/>
      </c>
      <c r="I1475" s="4" t="str">
        <f>IFERROR(__xludf.DUMMYFUNCTION("""COMPUTED_VALUE"""),"")</f>
        <v/>
      </c>
      <c r="J1475" s="4" t="str">
        <f>IFERROR(__xludf.DUMMYFUNCTION("""COMPUTED_VALUE"""),"")</f>
        <v/>
      </c>
      <c r="K1475" s="4" t="str">
        <f>IFERROR(__xludf.DUMMYFUNCTION("""COMPUTED_VALUE"""),"")</f>
        <v/>
      </c>
      <c r="L1475" s="4" t="str">
        <f>IFERROR(__xludf.DUMMYFUNCTION("""COMPUTED_VALUE"""),"")</f>
        <v/>
      </c>
      <c r="M1475" s="4" t="str">
        <f>IFERROR(__xludf.DUMMYFUNCTION("""COMPUTED_VALUE"""),"")</f>
        <v/>
      </c>
      <c r="N1475" s="4" t="str">
        <f>IFERROR(__xludf.DUMMYFUNCTION("""COMPUTED_VALUE"""),"")</f>
        <v/>
      </c>
      <c r="O1475" s="4" t="str">
        <f>IFERROR(__xludf.DUMMYFUNCTION("""COMPUTED_VALUE"""),"")</f>
        <v/>
      </c>
      <c r="P1475" s="4" t="str">
        <f>IFERROR(__xludf.DUMMYFUNCTION("""COMPUTED_VALUE"""),"")</f>
        <v/>
      </c>
      <c r="Q1475" s="4" t="str">
        <f>IFERROR(__xludf.DUMMYFUNCTION("""COMPUTED_VALUE"""),"")</f>
        <v/>
      </c>
      <c r="R1475" s="4" t="str">
        <f>IFERROR(__xludf.DUMMYFUNCTION("""COMPUTED_VALUE"""),"")</f>
        <v/>
      </c>
      <c r="S1475" s="4" t="str">
        <f>IFERROR(__xludf.DUMMYFUNCTION("""COMPUTED_VALUE"""),"")</f>
        <v/>
      </c>
      <c r="T1475" s="4" t="str">
        <f>IFERROR(__xludf.DUMMYFUNCTION("""COMPUTED_VALUE"""),"")</f>
        <v/>
      </c>
      <c r="U1475" s="4" t="str">
        <f>IFERROR(__xludf.DUMMYFUNCTION("""COMPUTED_VALUE"""),"")</f>
        <v/>
      </c>
      <c r="V1475" s="4" t="str">
        <f>IFERROR(__xludf.DUMMYFUNCTION("""COMPUTED_VALUE"""),"")</f>
        <v/>
      </c>
      <c r="W1475" s="4" t="str">
        <f>IFERROR(__xludf.DUMMYFUNCTION("""COMPUTED_VALUE"""),"")</f>
        <v/>
      </c>
      <c r="X1475" s="4" t="str">
        <f>IFERROR(__xludf.DUMMYFUNCTION("""COMPUTED_VALUE"""),"")</f>
        <v/>
      </c>
      <c r="Y1475" s="4" t="str">
        <f>IFERROR(__xludf.DUMMYFUNCTION("""COMPUTED_VALUE"""),"")</f>
        <v/>
      </c>
    </row>
    <row r="1476">
      <c r="A1476" s="4" t="str">
        <f>IFERROR(__xludf.DUMMYFUNCTION("""COMPUTED_VALUE"""),"2024 - Channel")</f>
        <v>2024 - Channel</v>
      </c>
      <c r="B1476" s="4" t="str">
        <f>IFERROR(__xludf.DUMMYFUNCTION("""COMPUTED_VALUE"""),"")</f>
        <v/>
      </c>
      <c r="C1476" s="4" t="str">
        <f>IFERROR(__xludf.DUMMYFUNCTION("""COMPUTED_VALUE"""),"")</f>
        <v/>
      </c>
      <c r="D1476" s="4" t="str">
        <f>IFERROR(__xludf.DUMMYFUNCTION("""COMPUTED_VALUE"""),"")</f>
        <v/>
      </c>
      <c r="E1476" s="4" t="str">
        <f>IFERROR(__xludf.DUMMYFUNCTION("""COMPUTED_VALUE"""),"")</f>
        <v/>
      </c>
      <c r="F1476" s="4" t="str">
        <f>IFERROR(__xludf.DUMMYFUNCTION("""COMPUTED_VALUE"""),"")</f>
        <v/>
      </c>
      <c r="G1476" s="4" t="str">
        <f>IFERROR(__xludf.DUMMYFUNCTION("""COMPUTED_VALUE"""),"")</f>
        <v/>
      </c>
      <c r="H1476" s="4" t="str">
        <f>IFERROR(__xludf.DUMMYFUNCTION("""COMPUTED_VALUE"""),"")</f>
        <v/>
      </c>
      <c r="I1476" s="4" t="str">
        <f>IFERROR(__xludf.DUMMYFUNCTION("""COMPUTED_VALUE"""),"")</f>
        <v/>
      </c>
      <c r="J1476" s="4" t="str">
        <f>IFERROR(__xludf.DUMMYFUNCTION("""COMPUTED_VALUE"""),"")</f>
        <v/>
      </c>
      <c r="K1476" s="4" t="str">
        <f>IFERROR(__xludf.DUMMYFUNCTION("""COMPUTED_VALUE"""),"")</f>
        <v/>
      </c>
      <c r="L1476" s="4" t="str">
        <f>IFERROR(__xludf.DUMMYFUNCTION("""COMPUTED_VALUE"""),"")</f>
        <v/>
      </c>
      <c r="M1476" s="4" t="str">
        <f>IFERROR(__xludf.DUMMYFUNCTION("""COMPUTED_VALUE"""),"")</f>
        <v/>
      </c>
      <c r="N1476" s="4" t="str">
        <f>IFERROR(__xludf.DUMMYFUNCTION("""COMPUTED_VALUE"""),"")</f>
        <v/>
      </c>
      <c r="O1476" s="4" t="str">
        <f>IFERROR(__xludf.DUMMYFUNCTION("""COMPUTED_VALUE"""),"")</f>
        <v/>
      </c>
      <c r="P1476" s="4" t="str">
        <f>IFERROR(__xludf.DUMMYFUNCTION("""COMPUTED_VALUE"""),"")</f>
        <v/>
      </c>
      <c r="Q1476" s="4" t="str">
        <f>IFERROR(__xludf.DUMMYFUNCTION("""COMPUTED_VALUE"""),"")</f>
        <v/>
      </c>
      <c r="R1476" s="4" t="str">
        <f>IFERROR(__xludf.DUMMYFUNCTION("""COMPUTED_VALUE"""),"")</f>
        <v/>
      </c>
      <c r="S1476" s="4" t="str">
        <f>IFERROR(__xludf.DUMMYFUNCTION("""COMPUTED_VALUE"""),"")</f>
        <v/>
      </c>
      <c r="T1476" s="4" t="str">
        <f>IFERROR(__xludf.DUMMYFUNCTION("""COMPUTED_VALUE"""),"")</f>
        <v/>
      </c>
      <c r="U1476" s="4" t="str">
        <f>IFERROR(__xludf.DUMMYFUNCTION("""COMPUTED_VALUE"""),"")</f>
        <v/>
      </c>
      <c r="V1476" s="4" t="str">
        <f>IFERROR(__xludf.DUMMYFUNCTION("""COMPUTED_VALUE"""),"")</f>
        <v/>
      </c>
      <c r="W1476" s="4" t="str">
        <f>IFERROR(__xludf.DUMMYFUNCTION("""COMPUTED_VALUE"""),"")</f>
        <v/>
      </c>
      <c r="X1476" s="4" t="str">
        <f>IFERROR(__xludf.DUMMYFUNCTION("""COMPUTED_VALUE"""),"")</f>
        <v/>
      </c>
      <c r="Y1476" s="4" t="str">
        <f>IFERROR(__xludf.DUMMYFUNCTION("""COMPUTED_VALUE"""),"")</f>
        <v/>
      </c>
    </row>
    <row r="1477">
      <c r="A1477" s="4" t="str">
        <f>IFERROR(__xludf.DUMMYFUNCTION("""COMPUTED_VALUE"""),"2025 - Channel")</f>
        <v>2025 - Channel</v>
      </c>
      <c r="B1477" s="4" t="str">
        <f>IFERROR(__xludf.DUMMYFUNCTION("""COMPUTED_VALUE"""),"")</f>
        <v/>
      </c>
      <c r="C1477" s="4" t="str">
        <f>IFERROR(__xludf.DUMMYFUNCTION("""COMPUTED_VALUE"""),"")</f>
        <v/>
      </c>
      <c r="D1477" s="4" t="str">
        <f>IFERROR(__xludf.DUMMYFUNCTION("""COMPUTED_VALUE"""),"")</f>
        <v/>
      </c>
      <c r="E1477" s="4" t="str">
        <f>IFERROR(__xludf.DUMMYFUNCTION("""COMPUTED_VALUE"""),"")</f>
        <v/>
      </c>
      <c r="F1477" s="4" t="str">
        <f>IFERROR(__xludf.DUMMYFUNCTION("""COMPUTED_VALUE"""),"")</f>
        <v/>
      </c>
      <c r="G1477" s="4" t="str">
        <f>IFERROR(__xludf.DUMMYFUNCTION("""COMPUTED_VALUE"""),"")</f>
        <v/>
      </c>
      <c r="H1477" s="4" t="str">
        <f>IFERROR(__xludf.DUMMYFUNCTION("""COMPUTED_VALUE"""),"")</f>
        <v/>
      </c>
      <c r="I1477" s="4" t="str">
        <f>IFERROR(__xludf.DUMMYFUNCTION("""COMPUTED_VALUE"""),"")</f>
        <v/>
      </c>
      <c r="J1477" s="4" t="str">
        <f>IFERROR(__xludf.DUMMYFUNCTION("""COMPUTED_VALUE"""),"")</f>
        <v/>
      </c>
      <c r="K1477" s="4" t="str">
        <f>IFERROR(__xludf.DUMMYFUNCTION("""COMPUTED_VALUE"""),"")</f>
        <v/>
      </c>
      <c r="L1477" s="4" t="str">
        <f>IFERROR(__xludf.DUMMYFUNCTION("""COMPUTED_VALUE"""),"")</f>
        <v/>
      </c>
      <c r="M1477" s="4" t="str">
        <f>IFERROR(__xludf.DUMMYFUNCTION("""COMPUTED_VALUE"""),"")</f>
        <v/>
      </c>
      <c r="N1477" s="4" t="str">
        <f>IFERROR(__xludf.DUMMYFUNCTION("""COMPUTED_VALUE"""),"")</f>
        <v/>
      </c>
      <c r="O1477" s="4" t="str">
        <f>IFERROR(__xludf.DUMMYFUNCTION("""COMPUTED_VALUE"""),"")</f>
        <v/>
      </c>
      <c r="P1477" s="4" t="str">
        <f>IFERROR(__xludf.DUMMYFUNCTION("""COMPUTED_VALUE"""),"")</f>
        <v/>
      </c>
      <c r="Q1477" s="4" t="str">
        <f>IFERROR(__xludf.DUMMYFUNCTION("""COMPUTED_VALUE"""),"")</f>
        <v/>
      </c>
      <c r="R1477" s="4" t="str">
        <f>IFERROR(__xludf.DUMMYFUNCTION("""COMPUTED_VALUE"""),"")</f>
        <v/>
      </c>
      <c r="S1477" s="4" t="str">
        <f>IFERROR(__xludf.DUMMYFUNCTION("""COMPUTED_VALUE"""),"")</f>
        <v/>
      </c>
      <c r="T1477" s="4" t="str">
        <f>IFERROR(__xludf.DUMMYFUNCTION("""COMPUTED_VALUE"""),"")</f>
        <v/>
      </c>
      <c r="U1477" s="4" t="str">
        <f>IFERROR(__xludf.DUMMYFUNCTION("""COMPUTED_VALUE"""),"")</f>
        <v/>
      </c>
      <c r="V1477" s="4" t="str">
        <f>IFERROR(__xludf.DUMMYFUNCTION("""COMPUTED_VALUE"""),"")</f>
        <v/>
      </c>
      <c r="W1477" s="4" t="str">
        <f>IFERROR(__xludf.DUMMYFUNCTION("""COMPUTED_VALUE"""),"")</f>
        <v/>
      </c>
      <c r="X1477" s="4" t="str">
        <f>IFERROR(__xludf.DUMMYFUNCTION("""COMPUTED_VALUE"""),"")</f>
        <v/>
      </c>
      <c r="Y1477" s="4" t="str">
        <f>IFERROR(__xludf.DUMMYFUNCTION("""COMPUTED_VALUE"""),"")</f>
        <v/>
      </c>
    </row>
    <row r="1478">
      <c r="A1478" s="4" t="str">
        <f>IFERROR(__xludf.DUMMYFUNCTION("""COMPUTED_VALUE"""),"2026 - Channel")</f>
        <v>2026 - Channel</v>
      </c>
      <c r="B1478" s="4" t="str">
        <f>IFERROR(__xludf.DUMMYFUNCTION("""COMPUTED_VALUE"""),"")</f>
        <v/>
      </c>
      <c r="C1478" s="4" t="str">
        <f>IFERROR(__xludf.DUMMYFUNCTION("""COMPUTED_VALUE"""),"")</f>
        <v/>
      </c>
      <c r="D1478" s="4" t="str">
        <f>IFERROR(__xludf.DUMMYFUNCTION("""COMPUTED_VALUE"""),"")</f>
        <v/>
      </c>
      <c r="E1478" s="4" t="str">
        <f>IFERROR(__xludf.DUMMYFUNCTION("""COMPUTED_VALUE"""),"")</f>
        <v/>
      </c>
      <c r="F1478" s="4" t="str">
        <f>IFERROR(__xludf.DUMMYFUNCTION("""COMPUTED_VALUE"""),"")</f>
        <v/>
      </c>
      <c r="G1478" s="4" t="str">
        <f>IFERROR(__xludf.DUMMYFUNCTION("""COMPUTED_VALUE"""),"")</f>
        <v/>
      </c>
      <c r="H1478" s="4" t="str">
        <f>IFERROR(__xludf.DUMMYFUNCTION("""COMPUTED_VALUE"""),"")</f>
        <v/>
      </c>
      <c r="I1478" s="4" t="str">
        <f>IFERROR(__xludf.DUMMYFUNCTION("""COMPUTED_VALUE"""),"")</f>
        <v/>
      </c>
      <c r="J1478" s="4" t="str">
        <f>IFERROR(__xludf.DUMMYFUNCTION("""COMPUTED_VALUE"""),"")</f>
        <v/>
      </c>
      <c r="K1478" s="4" t="str">
        <f>IFERROR(__xludf.DUMMYFUNCTION("""COMPUTED_VALUE"""),"")</f>
        <v/>
      </c>
      <c r="L1478" s="4" t="str">
        <f>IFERROR(__xludf.DUMMYFUNCTION("""COMPUTED_VALUE"""),"")</f>
        <v/>
      </c>
      <c r="M1478" s="4" t="str">
        <f>IFERROR(__xludf.DUMMYFUNCTION("""COMPUTED_VALUE"""),"")</f>
        <v/>
      </c>
      <c r="N1478" s="4" t="str">
        <f>IFERROR(__xludf.DUMMYFUNCTION("""COMPUTED_VALUE"""),"")</f>
        <v/>
      </c>
      <c r="O1478" s="4" t="str">
        <f>IFERROR(__xludf.DUMMYFUNCTION("""COMPUTED_VALUE"""),"")</f>
        <v/>
      </c>
      <c r="P1478" s="4" t="str">
        <f>IFERROR(__xludf.DUMMYFUNCTION("""COMPUTED_VALUE"""),"")</f>
        <v/>
      </c>
      <c r="Q1478" s="4" t="str">
        <f>IFERROR(__xludf.DUMMYFUNCTION("""COMPUTED_VALUE"""),"")</f>
        <v/>
      </c>
      <c r="R1478" s="4" t="str">
        <f>IFERROR(__xludf.DUMMYFUNCTION("""COMPUTED_VALUE"""),"")</f>
        <v/>
      </c>
      <c r="S1478" s="4" t="str">
        <f>IFERROR(__xludf.DUMMYFUNCTION("""COMPUTED_VALUE"""),"")</f>
        <v/>
      </c>
      <c r="T1478" s="4" t="str">
        <f>IFERROR(__xludf.DUMMYFUNCTION("""COMPUTED_VALUE"""),"")</f>
        <v/>
      </c>
      <c r="U1478" s="4" t="str">
        <f>IFERROR(__xludf.DUMMYFUNCTION("""COMPUTED_VALUE"""),"")</f>
        <v/>
      </c>
      <c r="V1478" s="4" t="str">
        <f>IFERROR(__xludf.DUMMYFUNCTION("""COMPUTED_VALUE"""),"")</f>
        <v/>
      </c>
      <c r="W1478" s="4" t="str">
        <f>IFERROR(__xludf.DUMMYFUNCTION("""COMPUTED_VALUE"""),"")</f>
        <v/>
      </c>
      <c r="X1478" s="4" t="str">
        <f>IFERROR(__xludf.DUMMYFUNCTION("""COMPUTED_VALUE"""),"")</f>
        <v/>
      </c>
      <c r="Y1478" s="4" t="str">
        <f>IFERROR(__xludf.DUMMYFUNCTION("""COMPUTED_VALUE"""),"")</f>
        <v/>
      </c>
    </row>
    <row r="1479">
      <c r="A1479" s="4" t="str">
        <f>IFERROR(__xludf.DUMMYFUNCTION("""COMPUTED_VALUE"""),"2027 - Channel")</f>
        <v>2027 - Channel</v>
      </c>
      <c r="B1479" s="4" t="str">
        <f>IFERROR(__xludf.DUMMYFUNCTION("""COMPUTED_VALUE"""),"")</f>
        <v/>
      </c>
      <c r="C1479" s="4" t="str">
        <f>IFERROR(__xludf.DUMMYFUNCTION("""COMPUTED_VALUE"""),"")</f>
        <v/>
      </c>
      <c r="D1479" s="4" t="str">
        <f>IFERROR(__xludf.DUMMYFUNCTION("""COMPUTED_VALUE"""),"")</f>
        <v/>
      </c>
      <c r="E1479" s="4" t="str">
        <f>IFERROR(__xludf.DUMMYFUNCTION("""COMPUTED_VALUE"""),"")</f>
        <v/>
      </c>
      <c r="F1479" s="4" t="str">
        <f>IFERROR(__xludf.DUMMYFUNCTION("""COMPUTED_VALUE"""),"")</f>
        <v/>
      </c>
      <c r="G1479" s="4" t="str">
        <f>IFERROR(__xludf.DUMMYFUNCTION("""COMPUTED_VALUE"""),"")</f>
        <v/>
      </c>
      <c r="H1479" s="4" t="str">
        <f>IFERROR(__xludf.DUMMYFUNCTION("""COMPUTED_VALUE"""),"")</f>
        <v/>
      </c>
      <c r="I1479" s="4" t="str">
        <f>IFERROR(__xludf.DUMMYFUNCTION("""COMPUTED_VALUE"""),"")</f>
        <v/>
      </c>
      <c r="J1479" s="4" t="str">
        <f>IFERROR(__xludf.DUMMYFUNCTION("""COMPUTED_VALUE"""),"")</f>
        <v/>
      </c>
      <c r="K1479" s="4" t="str">
        <f>IFERROR(__xludf.DUMMYFUNCTION("""COMPUTED_VALUE"""),"")</f>
        <v/>
      </c>
      <c r="L1479" s="4" t="str">
        <f>IFERROR(__xludf.DUMMYFUNCTION("""COMPUTED_VALUE"""),"")</f>
        <v/>
      </c>
      <c r="M1479" s="4" t="str">
        <f>IFERROR(__xludf.DUMMYFUNCTION("""COMPUTED_VALUE"""),"")</f>
        <v/>
      </c>
      <c r="N1479" s="4" t="str">
        <f>IFERROR(__xludf.DUMMYFUNCTION("""COMPUTED_VALUE"""),"")</f>
        <v/>
      </c>
      <c r="O1479" s="4" t="str">
        <f>IFERROR(__xludf.DUMMYFUNCTION("""COMPUTED_VALUE"""),"")</f>
        <v/>
      </c>
      <c r="P1479" s="4" t="str">
        <f>IFERROR(__xludf.DUMMYFUNCTION("""COMPUTED_VALUE"""),"")</f>
        <v/>
      </c>
      <c r="Q1479" s="4" t="str">
        <f>IFERROR(__xludf.DUMMYFUNCTION("""COMPUTED_VALUE"""),"")</f>
        <v/>
      </c>
      <c r="R1479" s="4" t="str">
        <f>IFERROR(__xludf.DUMMYFUNCTION("""COMPUTED_VALUE"""),"")</f>
        <v/>
      </c>
      <c r="S1479" s="4" t="str">
        <f>IFERROR(__xludf.DUMMYFUNCTION("""COMPUTED_VALUE"""),"")</f>
        <v/>
      </c>
      <c r="T1479" s="4" t="str">
        <f>IFERROR(__xludf.DUMMYFUNCTION("""COMPUTED_VALUE"""),"")</f>
        <v/>
      </c>
      <c r="U1479" s="4" t="str">
        <f>IFERROR(__xludf.DUMMYFUNCTION("""COMPUTED_VALUE"""),"")</f>
        <v/>
      </c>
      <c r="V1479" s="4" t="str">
        <f>IFERROR(__xludf.DUMMYFUNCTION("""COMPUTED_VALUE"""),"")</f>
        <v/>
      </c>
      <c r="W1479" s="4" t="str">
        <f>IFERROR(__xludf.DUMMYFUNCTION("""COMPUTED_VALUE"""),"")</f>
        <v/>
      </c>
      <c r="X1479" s="4" t="str">
        <f>IFERROR(__xludf.DUMMYFUNCTION("""COMPUTED_VALUE"""),"")</f>
        <v/>
      </c>
      <c r="Y1479" s="4" t="str">
        <f>IFERROR(__xludf.DUMMYFUNCTION("""COMPUTED_VALUE"""),"")</f>
        <v/>
      </c>
    </row>
    <row r="1480">
      <c r="A1480" s="4" t="str">
        <f>IFERROR(__xludf.DUMMYFUNCTION("""COMPUTED_VALUE"""),"2028 - Channel")</f>
        <v>2028 - Channel</v>
      </c>
      <c r="B1480" s="4" t="str">
        <f>IFERROR(__xludf.DUMMYFUNCTION("""COMPUTED_VALUE"""),"")</f>
        <v/>
      </c>
      <c r="C1480" s="4" t="str">
        <f>IFERROR(__xludf.DUMMYFUNCTION("""COMPUTED_VALUE"""),"")</f>
        <v/>
      </c>
      <c r="D1480" s="4" t="str">
        <f>IFERROR(__xludf.DUMMYFUNCTION("""COMPUTED_VALUE"""),"")</f>
        <v/>
      </c>
      <c r="E1480" s="4" t="str">
        <f>IFERROR(__xludf.DUMMYFUNCTION("""COMPUTED_VALUE"""),"")</f>
        <v/>
      </c>
      <c r="F1480" s="4" t="str">
        <f>IFERROR(__xludf.DUMMYFUNCTION("""COMPUTED_VALUE"""),"")</f>
        <v/>
      </c>
      <c r="G1480" s="4" t="str">
        <f>IFERROR(__xludf.DUMMYFUNCTION("""COMPUTED_VALUE"""),"")</f>
        <v/>
      </c>
      <c r="H1480" s="4" t="str">
        <f>IFERROR(__xludf.DUMMYFUNCTION("""COMPUTED_VALUE"""),"")</f>
        <v/>
      </c>
      <c r="I1480" s="4" t="str">
        <f>IFERROR(__xludf.DUMMYFUNCTION("""COMPUTED_VALUE"""),"")</f>
        <v/>
      </c>
      <c r="J1480" s="4" t="str">
        <f>IFERROR(__xludf.DUMMYFUNCTION("""COMPUTED_VALUE"""),"")</f>
        <v/>
      </c>
      <c r="K1480" s="4" t="str">
        <f>IFERROR(__xludf.DUMMYFUNCTION("""COMPUTED_VALUE"""),"")</f>
        <v/>
      </c>
      <c r="L1480" s="4" t="str">
        <f>IFERROR(__xludf.DUMMYFUNCTION("""COMPUTED_VALUE"""),"")</f>
        <v/>
      </c>
      <c r="M1480" s="4" t="str">
        <f>IFERROR(__xludf.DUMMYFUNCTION("""COMPUTED_VALUE"""),"")</f>
        <v/>
      </c>
      <c r="N1480" s="4" t="str">
        <f>IFERROR(__xludf.DUMMYFUNCTION("""COMPUTED_VALUE"""),"")</f>
        <v/>
      </c>
      <c r="O1480" s="4" t="str">
        <f>IFERROR(__xludf.DUMMYFUNCTION("""COMPUTED_VALUE"""),"")</f>
        <v/>
      </c>
      <c r="P1480" s="4" t="str">
        <f>IFERROR(__xludf.DUMMYFUNCTION("""COMPUTED_VALUE"""),"")</f>
        <v/>
      </c>
      <c r="Q1480" s="4" t="str">
        <f>IFERROR(__xludf.DUMMYFUNCTION("""COMPUTED_VALUE"""),"")</f>
        <v/>
      </c>
      <c r="R1480" s="4" t="str">
        <f>IFERROR(__xludf.DUMMYFUNCTION("""COMPUTED_VALUE"""),"")</f>
        <v/>
      </c>
      <c r="S1480" s="4" t="str">
        <f>IFERROR(__xludf.DUMMYFUNCTION("""COMPUTED_VALUE"""),"")</f>
        <v/>
      </c>
      <c r="T1480" s="4" t="str">
        <f>IFERROR(__xludf.DUMMYFUNCTION("""COMPUTED_VALUE"""),"")</f>
        <v/>
      </c>
      <c r="U1480" s="4" t="str">
        <f>IFERROR(__xludf.DUMMYFUNCTION("""COMPUTED_VALUE"""),"")</f>
        <v/>
      </c>
      <c r="V1480" s="4" t="str">
        <f>IFERROR(__xludf.DUMMYFUNCTION("""COMPUTED_VALUE"""),"")</f>
        <v/>
      </c>
      <c r="W1480" s="4" t="str">
        <f>IFERROR(__xludf.DUMMYFUNCTION("""COMPUTED_VALUE"""),"")</f>
        <v/>
      </c>
      <c r="X1480" s="4" t="str">
        <f>IFERROR(__xludf.DUMMYFUNCTION("""COMPUTED_VALUE"""),"")</f>
        <v/>
      </c>
      <c r="Y1480" s="4" t="str">
        <f>IFERROR(__xludf.DUMMYFUNCTION("""COMPUTED_VALUE"""),"")</f>
        <v/>
      </c>
    </row>
    <row r="1481">
      <c r="A1481" s="4" t="str">
        <f>IFERROR(__xludf.DUMMYFUNCTION("""COMPUTED_VALUE"""),"2029 - Channel")</f>
        <v>2029 - Channel</v>
      </c>
      <c r="B1481" s="4" t="str">
        <f>IFERROR(__xludf.DUMMYFUNCTION("""COMPUTED_VALUE"""),"")</f>
        <v/>
      </c>
      <c r="C1481" s="4" t="str">
        <f>IFERROR(__xludf.DUMMYFUNCTION("""COMPUTED_VALUE"""),"")</f>
        <v/>
      </c>
      <c r="D1481" s="4" t="str">
        <f>IFERROR(__xludf.DUMMYFUNCTION("""COMPUTED_VALUE"""),"")</f>
        <v/>
      </c>
      <c r="E1481" s="4" t="str">
        <f>IFERROR(__xludf.DUMMYFUNCTION("""COMPUTED_VALUE"""),"")</f>
        <v/>
      </c>
      <c r="F1481" s="4" t="str">
        <f>IFERROR(__xludf.DUMMYFUNCTION("""COMPUTED_VALUE"""),"")</f>
        <v/>
      </c>
      <c r="G1481" s="4" t="str">
        <f>IFERROR(__xludf.DUMMYFUNCTION("""COMPUTED_VALUE"""),"")</f>
        <v/>
      </c>
      <c r="H1481" s="4" t="str">
        <f>IFERROR(__xludf.DUMMYFUNCTION("""COMPUTED_VALUE"""),"")</f>
        <v/>
      </c>
      <c r="I1481" s="4" t="str">
        <f>IFERROR(__xludf.DUMMYFUNCTION("""COMPUTED_VALUE"""),"")</f>
        <v/>
      </c>
      <c r="J1481" s="4" t="str">
        <f>IFERROR(__xludf.DUMMYFUNCTION("""COMPUTED_VALUE"""),"")</f>
        <v/>
      </c>
      <c r="K1481" s="4" t="str">
        <f>IFERROR(__xludf.DUMMYFUNCTION("""COMPUTED_VALUE"""),"")</f>
        <v/>
      </c>
      <c r="L1481" s="4" t="str">
        <f>IFERROR(__xludf.DUMMYFUNCTION("""COMPUTED_VALUE"""),"")</f>
        <v/>
      </c>
      <c r="M1481" s="4" t="str">
        <f>IFERROR(__xludf.DUMMYFUNCTION("""COMPUTED_VALUE"""),"")</f>
        <v/>
      </c>
      <c r="N1481" s="4" t="str">
        <f>IFERROR(__xludf.DUMMYFUNCTION("""COMPUTED_VALUE"""),"")</f>
        <v/>
      </c>
      <c r="O1481" s="4" t="str">
        <f>IFERROR(__xludf.DUMMYFUNCTION("""COMPUTED_VALUE"""),"")</f>
        <v/>
      </c>
      <c r="P1481" s="4" t="str">
        <f>IFERROR(__xludf.DUMMYFUNCTION("""COMPUTED_VALUE"""),"")</f>
        <v/>
      </c>
      <c r="Q1481" s="4" t="str">
        <f>IFERROR(__xludf.DUMMYFUNCTION("""COMPUTED_VALUE"""),"")</f>
        <v/>
      </c>
      <c r="R1481" s="4" t="str">
        <f>IFERROR(__xludf.DUMMYFUNCTION("""COMPUTED_VALUE"""),"")</f>
        <v/>
      </c>
      <c r="S1481" s="4" t="str">
        <f>IFERROR(__xludf.DUMMYFUNCTION("""COMPUTED_VALUE"""),"")</f>
        <v/>
      </c>
      <c r="T1481" s="4" t="str">
        <f>IFERROR(__xludf.DUMMYFUNCTION("""COMPUTED_VALUE"""),"")</f>
        <v/>
      </c>
      <c r="U1481" s="4" t="str">
        <f>IFERROR(__xludf.DUMMYFUNCTION("""COMPUTED_VALUE"""),"")</f>
        <v/>
      </c>
      <c r="V1481" s="4" t="str">
        <f>IFERROR(__xludf.DUMMYFUNCTION("""COMPUTED_VALUE"""),"")</f>
        <v/>
      </c>
      <c r="W1481" s="4" t="str">
        <f>IFERROR(__xludf.DUMMYFUNCTION("""COMPUTED_VALUE"""),"")</f>
        <v/>
      </c>
      <c r="X1481" s="4" t="str">
        <f>IFERROR(__xludf.DUMMYFUNCTION("""COMPUTED_VALUE"""),"")</f>
        <v/>
      </c>
      <c r="Y1481" s="4" t="str">
        <f>IFERROR(__xludf.DUMMYFUNCTION("""COMPUTED_VALUE"""),"")</f>
        <v/>
      </c>
    </row>
    <row r="1482">
      <c r="A1482" s="4" t="str">
        <f>IFERROR(__xludf.DUMMYFUNCTION("""COMPUTED_VALUE"""),"2030 - Channel")</f>
        <v>2030 - Channel</v>
      </c>
      <c r="B1482" s="4" t="str">
        <f>IFERROR(__xludf.DUMMYFUNCTION("""COMPUTED_VALUE"""),"")</f>
        <v/>
      </c>
      <c r="C1482" s="4" t="str">
        <f>IFERROR(__xludf.DUMMYFUNCTION("""COMPUTED_VALUE"""),"")</f>
        <v/>
      </c>
      <c r="D1482" s="4" t="str">
        <f>IFERROR(__xludf.DUMMYFUNCTION("""COMPUTED_VALUE"""),"")</f>
        <v/>
      </c>
      <c r="E1482" s="4" t="str">
        <f>IFERROR(__xludf.DUMMYFUNCTION("""COMPUTED_VALUE"""),"")</f>
        <v/>
      </c>
      <c r="F1482" s="4" t="str">
        <f>IFERROR(__xludf.DUMMYFUNCTION("""COMPUTED_VALUE"""),"")</f>
        <v/>
      </c>
      <c r="G1482" s="4" t="str">
        <f>IFERROR(__xludf.DUMMYFUNCTION("""COMPUTED_VALUE"""),"")</f>
        <v/>
      </c>
      <c r="H1482" s="4" t="str">
        <f>IFERROR(__xludf.DUMMYFUNCTION("""COMPUTED_VALUE"""),"")</f>
        <v/>
      </c>
      <c r="I1482" s="4" t="str">
        <f>IFERROR(__xludf.DUMMYFUNCTION("""COMPUTED_VALUE"""),"")</f>
        <v/>
      </c>
      <c r="J1482" s="4" t="str">
        <f>IFERROR(__xludf.DUMMYFUNCTION("""COMPUTED_VALUE"""),"")</f>
        <v/>
      </c>
      <c r="K1482" s="4" t="str">
        <f>IFERROR(__xludf.DUMMYFUNCTION("""COMPUTED_VALUE"""),"")</f>
        <v/>
      </c>
      <c r="L1482" s="4" t="str">
        <f>IFERROR(__xludf.DUMMYFUNCTION("""COMPUTED_VALUE"""),"")</f>
        <v/>
      </c>
      <c r="M1482" s="4" t="str">
        <f>IFERROR(__xludf.DUMMYFUNCTION("""COMPUTED_VALUE"""),"")</f>
        <v/>
      </c>
      <c r="N1482" s="4" t="str">
        <f>IFERROR(__xludf.DUMMYFUNCTION("""COMPUTED_VALUE"""),"")</f>
        <v/>
      </c>
      <c r="O1482" s="4" t="str">
        <f>IFERROR(__xludf.DUMMYFUNCTION("""COMPUTED_VALUE"""),"")</f>
        <v/>
      </c>
      <c r="P1482" s="4" t="str">
        <f>IFERROR(__xludf.DUMMYFUNCTION("""COMPUTED_VALUE"""),"")</f>
        <v/>
      </c>
      <c r="Q1482" s="4" t="str">
        <f>IFERROR(__xludf.DUMMYFUNCTION("""COMPUTED_VALUE"""),"")</f>
        <v/>
      </c>
      <c r="R1482" s="4" t="str">
        <f>IFERROR(__xludf.DUMMYFUNCTION("""COMPUTED_VALUE"""),"")</f>
        <v/>
      </c>
      <c r="S1482" s="4" t="str">
        <f>IFERROR(__xludf.DUMMYFUNCTION("""COMPUTED_VALUE"""),"")</f>
        <v/>
      </c>
      <c r="T1482" s="4" t="str">
        <f>IFERROR(__xludf.DUMMYFUNCTION("""COMPUTED_VALUE"""),"")</f>
        <v/>
      </c>
      <c r="U1482" s="4" t="str">
        <f>IFERROR(__xludf.DUMMYFUNCTION("""COMPUTED_VALUE"""),"")</f>
        <v/>
      </c>
      <c r="V1482" s="4" t="str">
        <f>IFERROR(__xludf.DUMMYFUNCTION("""COMPUTED_VALUE"""),"")</f>
        <v/>
      </c>
      <c r="W1482" s="4" t="str">
        <f>IFERROR(__xludf.DUMMYFUNCTION("""COMPUTED_VALUE"""),"")</f>
        <v/>
      </c>
      <c r="X1482" s="4" t="str">
        <f>IFERROR(__xludf.DUMMYFUNCTION("""COMPUTED_VALUE"""),"")</f>
        <v/>
      </c>
      <c r="Y1482" s="4" t="str">
        <f>IFERROR(__xludf.DUMMYFUNCTION("""COMPUTED_VALUE"""),"")</f>
        <v/>
      </c>
    </row>
    <row r="1483">
      <c r="A1483" s="4" t="str">
        <f>IFERROR(__xludf.DUMMYFUNCTION("""COMPUTED_VALUE"""),"2031 - Channel")</f>
        <v>2031 - Channel</v>
      </c>
      <c r="B1483" s="4" t="str">
        <f>IFERROR(__xludf.DUMMYFUNCTION("""COMPUTED_VALUE"""),"")</f>
        <v/>
      </c>
      <c r="C1483" s="4" t="str">
        <f>IFERROR(__xludf.DUMMYFUNCTION("""COMPUTED_VALUE"""),"")</f>
        <v/>
      </c>
      <c r="D1483" s="4" t="str">
        <f>IFERROR(__xludf.DUMMYFUNCTION("""COMPUTED_VALUE"""),"")</f>
        <v/>
      </c>
      <c r="E1483" s="4" t="str">
        <f>IFERROR(__xludf.DUMMYFUNCTION("""COMPUTED_VALUE"""),"")</f>
        <v/>
      </c>
      <c r="F1483" s="4" t="str">
        <f>IFERROR(__xludf.DUMMYFUNCTION("""COMPUTED_VALUE"""),"")</f>
        <v/>
      </c>
      <c r="G1483" s="4" t="str">
        <f>IFERROR(__xludf.DUMMYFUNCTION("""COMPUTED_VALUE"""),"")</f>
        <v/>
      </c>
      <c r="H1483" s="4" t="str">
        <f>IFERROR(__xludf.DUMMYFUNCTION("""COMPUTED_VALUE"""),"")</f>
        <v/>
      </c>
      <c r="I1483" s="4" t="str">
        <f>IFERROR(__xludf.DUMMYFUNCTION("""COMPUTED_VALUE"""),"")</f>
        <v/>
      </c>
      <c r="J1483" s="4" t="str">
        <f>IFERROR(__xludf.DUMMYFUNCTION("""COMPUTED_VALUE"""),"")</f>
        <v/>
      </c>
      <c r="K1483" s="4" t="str">
        <f>IFERROR(__xludf.DUMMYFUNCTION("""COMPUTED_VALUE"""),"")</f>
        <v/>
      </c>
      <c r="L1483" s="4" t="str">
        <f>IFERROR(__xludf.DUMMYFUNCTION("""COMPUTED_VALUE"""),"")</f>
        <v/>
      </c>
      <c r="M1483" s="4" t="str">
        <f>IFERROR(__xludf.DUMMYFUNCTION("""COMPUTED_VALUE"""),"")</f>
        <v/>
      </c>
      <c r="N1483" s="4" t="str">
        <f>IFERROR(__xludf.DUMMYFUNCTION("""COMPUTED_VALUE"""),"")</f>
        <v/>
      </c>
      <c r="O1483" s="4" t="str">
        <f>IFERROR(__xludf.DUMMYFUNCTION("""COMPUTED_VALUE"""),"")</f>
        <v/>
      </c>
      <c r="P1483" s="4" t="str">
        <f>IFERROR(__xludf.DUMMYFUNCTION("""COMPUTED_VALUE"""),"")</f>
        <v/>
      </c>
      <c r="Q1483" s="4" t="str">
        <f>IFERROR(__xludf.DUMMYFUNCTION("""COMPUTED_VALUE"""),"")</f>
        <v/>
      </c>
      <c r="R1483" s="4" t="str">
        <f>IFERROR(__xludf.DUMMYFUNCTION("""COMPUTED_VALUE"""),"")</f>
        <v/>
      </c>
      <c r="S1483" s="4" t="str">
        <f>IFERROR(__xludf.DUMMYFUNCTION("""COMPUTED_VALUE"""),"")</f>
        <v/>
      </c>
      <c r="T1483" s="4" t="str">
        <f>IFERROR(__xludf.DUMMYFUNCTION("""COMPUTED_VALUE"""),"")</f>
        <v/>
      </c>
      <c r="U1483" s="4" t="str">
        <f>IFERROR(__xludf.DUMMYFUNCTION("""COMPUTED_VALUE"""),"")</f>
        <v/>
      </c>
      <c r="V1483" s="4" t="str">
        <f>IFERROR(__xludf.DUMMYFUNCTION("""COMPUTED_VALUE"""),"")</f>
        <v/>
      </c>
      <c r="W1483" s="4" t="str">
        <f>IFERROR(__xludf.DUMMYFUNCTION("""COMPUTED_VALUE"""),"")</f>
        <v/>
      </c>
      <c r="X1483" s="4" t="str">
        <f>IFERROR(__xludf.DUMMYFUNCTION("""COMPUTED_VALUE"""),"")</f>
        <v/>
      </c>
      <c r="Y1483" s="4" t="str">
        <f>IFERROR(__xludf.DUMMYFUNCTION("""COMPUTED_VALUE"""),"")</f>
        <v/>
      </c>
    </row>
    <row r="1484">
      <c r="A1484" s="4" t="str">
        <f>IFERROR(__xludf.DUMMYFUNCTION("""COMPUTED_VALUE"""),"2032 - Channel")</f>
        <v>2032 - Channel</v>
      </c>
      <c r="B1484" s="4" t="str">
        <f>IFERROR(__xludf.DUMMYFUNCTION("""COMPUTED_VALUE"""),"")</f>
        <v/>
      </c>
      <c r="C1484" s="4" t="str">
        <f>IFERROR(__xludf.DUMMYFUNCTION("""COMPUTED_VALUE"""),"")</f>
        <v/>
      </c>
      <c r="D1484" s="4" t="str">
        <f>IFERROR(__xludf.DUMMYFUNCTION("""COMPUTED_VALUE"""),"")</f>
        <v/>
      </c>
      <c r="E1484" s="4" t="str">
        <f>IFERROR(__xludf.DUMMYFUNCTION("""COMPUTED_VALUE"""),"")</f>
        <v/>
      </c>
      <c r="F1484" s="4" t="str">
        <f>IFERROR(__xludf.DUMMYFUNCTION("""COMPUTED_VALUE"""),"")</f>
        <v/>
      </c>
      <c r="G1484" s="4" t="str">
        <f>IFERROR(__xludf.DUMMYFUNCTION("""COMPUTED_VALUE"""),"")</f>
        <v/>
      </c>
      <c r="H1484" s="4" t="str">
        <f>IFERROR(__xludf.DUMMYFUNCTION("""COMPUTED_VALUE"""),"")</f>
        <v/>
      </c>
      <c r="I1484" s="4" t="str">
        <f>IFERROR(__xludf.DUMMYFUNCTION("""COMPUTED_VALUE"""),"")</f>
        <v/>
      </c>
      <c r="J1484" s="4" t="str">
        <f>IFERROR(__xludf.DUMMYFUNCTION("""COMPUTED_VALUE"""),"")</f>
        <v/>
      </c>
      <c r="K1484" s="4" t="str">
        <f>IFERROR(__xludf.DUMMYFUNCTION("""COMPUTED_VALUE"""),"")</f>
        <v/>
      </c>
      <c r="L1484" s="4" t="str">
        <f>IFERROR(__xludf.DUMMYFUNCTION("""COMPUTED_VALUE"""),"")</f>
        <v/>
      </c>
      <c r="M1484" s="4" t="str">
        <f>IFERROR(__xludf.DUMMYFUNCTION("""COMPUTED_VALUE"""),"")</f>
        <v/>
      </c>
      <c r="N1484" s="4" t="str">
        <f>IFERROR(__xludf.DUMMYFUNCTION("""COMPUTED_VALUE"""),"")</f>
        <v/>
      </c>
      <c r="O1484" s="4" t="str">
        <f>IFERROR(__xludf.DUMMYFUNCTION("""COMPUTED_VALUE"""),"")</f>
        <v/>
      </c>
      <c r="P1484" s="4" t="str">
        <f>IFERROR(__xludf.DUMMYFUNCTION("""COMPUTED_VALUE"""),"")</f>
        <v/>
      </c>
      <c r="Q1484" s="4" t="str">
        <f>IFERROR(__xludf.DUMMYFUNCTION("""COMPUTED_VALUE"""),"")</f>
        <v/>
      </c>
      <c r="R1484" s="4" t="str">
        <f>IFERROR(__xludf.DUMMYFUNCTION("""COMPUTED_VALUE"""),"")</f>
        <v/>
      </c>
      <c r="S1484" s="4" t="str">
        <f>IFERROR(__xludf.DUMMYFUNCTION("""COMPUTED_VALUE"""),"")</f>
        <v/>
      </c>
      <c r="T1484" s="4" t="str">
        <f>IFERROR(__xludf.DUMMYFUNCTION("""COMPUTED_VALUE"""),"")</f>
        <v/>
      </c>
      <c r="U1484" s="4" t="str">
        <f>IFERROR(__xludf.DUMMYFUNCTION("""COMPUTED_VALUE"""),"")</f>
        <v/>
      </c>
      <c r="V1484" s="4" t="str">
        <f>IFERROR(__xludf.DUMMYFUNCTION("""COMPUTED_VALUE"""),"")</f>
        <v/>
      </c>
      <c r="W1484" s="4" t="str">
        <f>IFERROR(__xludf.DUMMYFUNCTION("""COMPUTED_VALUE"""),"")</f>
        <v/>
      </c>
      <c r="X1484" s="4" t="str">
        <f>IFERROR(__xludf.DUMMYFUNCTION("""COMPUTED_VALUE"""),"")</f>
        <v/>
      </c>
      <c r="Y1484" s="4" t="str">
        <f>IFERROR(__xludf.DUMMYFUNCTION("""COMPUTED_VALUE"""),"")</f>
        <v/>
      </c>
    </row>
    <row r="1485">
      <c r="A1485" s="4" t="str">
        <f>IFERROR(__xludf.DUMMYFUNCTION("""COMPUTED_VALUE"""),"2033 - Channel")</f>
        <v>2033 - Channel</v>
      </c>
      <c r="B1485" s="4" t="str">
        <f>IFERROR(__xludf.DUMMYFUNCTION("""COMPUTED_VALUE"""),"")</f>
        <v/>
      </c>
      <c r="C1485" s="4" t="str">
        <f>IFERROR(__xludf.DUMMYFUNCTION("""COMPUTED_VALUE"""),"")</f>
        <v/>
      </c>
      <c r="D1485" s="4" t="str">
        <f>IFERROR(__xludf.DUMMYFUNCTION("""COMPUTED_VALUE"""),"")</f>
        <v/>
      </c>
      <c r="E1485" s="4" t="str">
        <f>IFERROR(__xludf.DUMMYFUNCTION("""COMPUTED_VALUE"""),"")</f>
        <v/>
      </c>
      <c r="F1485" s="4" t="str">
        <f>IFERROR(__xludf.DUMMYFUNCTION("""COMPUTED_VALUE"""),"")</f>
        <v/>
      </c>
      <c r="G1485" s="4" t="str">
        <f>IFERROR(__xludf.DUMMYFUNCTION("""COMPUTED_VALUE"""),"")</f>
        <v/>
      </c>
      <c r="H1485" s="4" t="str">
        <f>IFERROR(__xludf.DUMMYFUNCTION("""COMPUTED_VALUE"""),"")</f>
        <v/>
      </c>
      <c r="I1485" s="4" t="str">
        <f>IFERROR(__xludf.DUMMYFUNCTION("""COMPUTED_VALUE"""),"")</f>
        <v/>
      </c>
      <c r="J1485" s="4" t="str">
        <f>IFERROR(__xludf.DUMMYFUNCTION("""COMPUTED_VALUE"""),"")</f>
        <v/>
      </c>
      <c r="K1485" s="4" t="str">
        <f>IFERROR(__xludf.DUMMYFUNCTION("""COMPUTED_VALUE"""),"")</f>
        <v/>
      </c>
      <c r="L1485" s="4" t="str">
        <f>IFERROR(__xludf.DUMMYFUNCTION("""COMPUTED_VALUE"""),"")</f>
        <v/>
      </c>
      <c r="M1485" s="4" t="str">
        <f>IFERROR(__xludf.DUMMYFUNCTION("""COMPUTED_VALUE"""),"")</f>
        <v/>
      </c>
      <c r="N1485" s="4" t="str">
        <f>IFERROR(__xludf.DUMMYFUNCTION("""COMPUTED_VALUE"""),"")</f>
        <v/>
      </c>
      <c r="O1485" s="4" t="str">
        <f>IFERROR(__xludf.DUMMYFUNCTION("""COMPUTED_VALUE"""),"")</f>
        <v/>
      </c>
      <c r="P1485" s="4" t="str">
        <f>IFERROR(__xludf.DUMMYFUNCTION("""COMPUTED_VALUE"""),"")</f>
        <v/>
      </c>
      <c r="Q1485" s="4" t="str">
        <f>IFERROR(__xludf.DUMMYFUNCTION("""COMPUTED_VALUE"""),"")</f>
        <v/>
      </c>
      <c r="R1485" s="4" t="str">
        <f>IFERROR(__xludf.DUMMYFUNCTION("""COMPUTED_VALUE"""),"")</f>
        <v/>
      </c>
      <c r="S1485" s="4" t="str">
        <f>IFERROR(__xludf.DUMMYFUNCTION("""COMPUTED_VALUE"""),"")</f>
        <v/>
      </c>
      <c r="T1485" s="4" t="str">
        <f>IFERROR(__xludf.DUMMYFUNCTION("""COMPUTED_VALUE"""),"")</f>
        <v/>
      </c>
      <c r="U1485" s="4" t="str">
        <f>IFERROR(__xludf.DUMMYFUNCTION("""COMPUTED_VALUE"""),"")</f>
        <v/>
      </c>
      <c r="V1485" s="4" t="str">
        <f>IFERROR(__xludf.DUMMYFUNCTION("""COMPUTED_VALUE"""),"")</f>
        <v/>
      </c>
      <c r="W1485" s="4" t="str">
        <f>IFERROR(__xludf.DUMMYFUNCTION("""COMPUTED_VALUE"""),"")</f>
        <v/>
      </c>
      <c r="X1485" s="4" t="str">
        <f>IFERROR(__xludf.DUMMYFUNCTION("""COMPUTED_VALUE"""),"")</f>
        <v/>
      </c>
      <c r="Y1485" s="4" t="str">
        <f>IFERROR(__xludf.DUMMYFUNCTION("""COMPUTED_VALUE"""),"")</f>
        <v/>
      </c>
    </row>
    <row r="1486">
      <c r="A1486" s="4" t="str">
        <f>IFERROR(__xludf.DUMMYFUNCTION("""COMPUTED_VALUE"""),"2034 - Channel")</f>
        <v>2034 - Channel</v>
      </c>
      <c r="B1486" s="4" t="str">
        <f>IFERROR(__xludf.DUMMYFUNCTION("""COMPUTED_VALUE"""),"")</f>
        <v/>
      </c>
      <c r="C1486" s="4" t="str">
        <f>IFERROR(__xludf.DUMMYFUNCTION("""COMPUTED_VALUE"""),"")</f>
        <v/>
      </c>
      <c r="D1486" s="4" t="str">
        <f>IFERROR(__xludf.DUMMYFUNCTION("""COMPUTED_VALUE"""),"")</f>
        <v/>
      </c>
      <c r="E1486" s="4" t="str">
        <f>IFERROR(__xludf.DUMMYFUNCTION("""COMPUTED_VALUE"""),"")</f>
        <v/>
      </c>
      <c r="F1486" s="4" t="str">
        <f>IFERROR(__xludf.DUMMYFUNCTION("""COMPUTED_VALUE"""),"")</f>
        <v/>
      </c>
      <c r="G1486" s="4" t="str">
        <f>IFERROR(__xludf.DUMMYFUNCTION("""COMPUTED_VALUE"""),"")</f>
        <v/>
      </c>
      <c r="H1486" s="4" t="str">
        <f>IFERROR(__xludf.DUMMYFUNCTION("""COMPUTED_VALUE"""),"")</f>
        <v/>
      </c>
      <c r="I1486" s="4" t="str">
        <f>IFERROR(__xludf.DUMMYFUNCTION("""COMPUTED_VALUE"""),"")</f>
        <v/>
      </c>
      <c r="J1486" s="4" t="str">
        <f>IFERROR(__xludf.DUMMYFUNCTION("""COMPUTED_VALUE"""),"")</f>
        <v/>
      </c>
      <c r="K1486" s="4" t="str">
        <f>IFERROR(__xludf.DUMMYFUNCTION("""COMPUTED_VALUE"""),"")</f>
        <v/>
      </c>
      <c r="L1486" s="4" t="str">
        <f>IFERROR(__xludf.DUMMYFUNCTION("""COMPUTED_VALUE"""),"")</f>
        <v/>
      </c>
      <c r="M1486" s="4" t="str">
        <f>IFERROR(__xludf.DUMMYFUNCTION("""COMPUTED_VALUE"""),"")</f>
        <v/>
      </c>
      <c r="N1486" s="4" t="str">
        <f>IFERROR(__xludf.DUMMYFUNCTION("""COMPUTED_VALUE"""),"")</f>
        <v/>
      </c>
      <c r="O1486" s="4" t="str">
        <f>IFERROR(__xludf.DUMMYFUNCTION("""COMPUTED_VALUE"""),"")</f>
        <v/>
      </c>
      <c r="P1486" s="4" t="str">
        <f>IFERROR(__xludf.DUMMYFUNCTION("""COMPUTED_VALUE"""),"")</f>
        <v/>
      </c>
      <c r="Q1486" s="4" t="str">
        <f>IFERROR(__xludf.DUMMYFUNCTION("""COMPUTED_VALUE"""),"")</f>
        <v/>
      </c>
      <c r="R1486" s="4" t="str">
        <f>IFERROR(__xludf.DUMMYFUNCTION("""COMPUTED_VALUE"""),"")</f>
        <v/>
      </c>
      <c r="S1486" s="4" t="str">
        <f>IFERROR(__xludf.DUMMYFUNCTION("""COMPUTED_VALUE"""),"")</f>
        <v/>
      </c>
      <c r="T1486" s="4" t="str">
        <f>IFERROR(__xludf.DUMMYFUNCTION("""COMPUTED_VALUE"""),"")</f>
        <v/>
      </c>
      <c r="U1486" s="4" t="str">
        <f>IFERROR(__xludf.DUMMYFUNCTION("""COMPUTED_VALUE"""),"")</f>
        <v/>
      </c>
      <c r="V1486" s="4" t="str">
        <f>IFERROR(__xludf.DUMMYFUNCTION("""COMPUTED_VALUE"""),"")</f>
        <v/>
      </c>
      <c r="W1486" s="4" t="str">
        <f>IFERROR(__xludf.DUMMYFUNCTION("""COMPUTED_VALUE"""),"")</f>
        <v/>
      </c>
      <c r="X1486" s="4" t="str">
        <f>IFERROR(__xludf.DUMMYFUNCTION("""COMPUTED_VALUE"""),"")</f>
        <v/>
      </c>
      <c r="Y1486" s="4" t="str">
        <f>IFERROR(__xludf.DUMMYFUNCTION("""COMPUTED_VALUE"""),"")</f>
        <v/>
      </c>
    </row>
    <row r="1487">
      <c r="A1487" s="4" t="str">
        <f>IFERROR(__xludf.DUMMYFUNCTION("""COMPUTED_VALUE"""),"2035 - Channel")</f>
        <v>2035 - Channel</v>
      </c>
      <c r="B1487" s="4" t="str">
        <f>IFERROR(__xludf.DUMMYFUNCTION("""COMPUTED_VALUE"""),"")</f>
        <v/>
      </c>
      <c r="C1487" s="4" t="str">
        <f>IFERROR(__xludf.DUMMYFUNCTION("""COMPUTED_VALUE"""),"")</f>
        <v/>
      </c>
      <c r="D1487" s="4" t="str">
        <f>IFERROR(__xludf.DUMMYFUNCTION("""COMPUTED_VALUE"""),"")</f>
        <v/>
      </c>
      <c r="E1487" s="4" t="str">
        <f>IFERROR(__xludf.DUMMYFUNCTION("""COMPUTED_VALUE"""),"")</f>
        <v/>
      </c>
      <c r="F1487" s="4" t="str">
        <f>IFERROR(__xludf.DUMMYFUNCTION("""COMPUTED_VALUE"""),"")</f>
        <v/>
      </c>
      <c r="G1487" s="4" t="str">
        <f>IFERROR(__xludf.DUMMYFUNCTION("""COMPUTED_VALUE"""),"")</f>
        <v/>
      </c>
      <c r="H1487" s="4" t="str">
        <f>IFERROR(__xludf.DUMMYFUNCTION("""COMPUTED_VALUE"""),"")</f>
        <v/>
      </c>
      <c r="I1487" s="4" t="str">
        <f>IFERROR(__xludf.DUMMYFUNCTION("""COMPUTED_VALUE"""),"")</f>
        <v/>
      </c>
      <c r="J1487" s="4" t="str">
        <f>IFERROR(__xludf.DUMMYFUNCTION("""COMPUTED_VALUE"""),"")</f>
        <v/>
      </c>
      <c r="K1487" s="4" t="str">
        <f>IFERROR(__xludf.DUMMYFUNCTION("""COMPUTED_VALUE"""),"")</f>
        <v/>
      </c>
      <c r="L1487" s="4" t="str">
        <f>IFERROR(__xludf.DUMMYFUNCTION("""COMPUTED_VALUE"""),"")</f>
        <v/>
      </c>
      <c r="M1487" s="4" t="str">
        <f>IFERROR(__xludf.DUMMYFUNCTION("""COMPUTED_VALUE"""),"")</f>
        <v/>
      </c>
      <c r="N1487" s="4" t="str">
        <f>IFERROR(__xludf.DUMMYFUNCTION("""COMPUTED_VALUE"""),"")</f>
        <v/>
      </c>
      <c r="O1487" s="4" t="str">
        <f>IFERROR(__xludf.DUMMYFUNCTION("""COMPUTED_VALUE"""),"")</f>
        <v/>
      </c>
      <c r="P1487" s="4" t="str">
        <f>IFERROR(__xludf.DUMMYFUNCTION("""COMPUTED_VALUE"""),"")</f>
        <v/>
      </c>
      <c r="Q1487" s="4" t="str">
        <f>IFERROR(__xludf.DUMMYFUNCTION("""COMPUTED_VALUE"""),"")</f>
        <v/>
      </c>
      <c r="R1487" s="4" t="str">
        <f>IFERROR(__xludf.DUMMYFUNCTION("""COMPUTED_VALUE"""),"")</f>
        <v/>
      </c>
      <c r="S1487" s="4" t="str">
        <f>IFERROR(__xludf.DUMMYFUNCTION("""COMPUTED_VALUE"""),"")</f>
        <v/>
      </c>
      <c r="T1487" s="4" t="str">
        <f>IFERROR(__xludf.DUMMYFUNCTION("""COMPUTED_VALUE"""),"")</f>
        <v/>
      </c>
      <c r="U1487" s="4" t="str">
        <f>IFERROR(__xludf.DUMMYFUNCTION("""COMPUTED_VALUE"""),"")</f>
        <v/>
      </c>
      <c r="V1487" s="4" t="str">
        <f>IFERROR(__xludf.DUMMYFUNCTION("""COMPUTED_VALUE"""),"")</f>
        <v/>
      </c>
      <c r="W1487" s="4" t="str">
        <f>IFERROR(__xludf.DUMMYFUNCTION("""COMPUTED_VALUE"""),"")</f>
        <v/>
      </c>
      <c r="X1487" s="4" t="str">
        <f>IFERROR(__xludf.DUMMYFUNCTION("""COMPUTED_VALUE"""),"")</f>
        <v/>
      </c>
      <c r="Y1487" s="4" t="str">
        <f>IFERROR(__xludf.DUMMYFUNCTION("""COMPUTED_VALUE"""),"")</f>
        <v/>
      </c>
    </row>
    <row r="1488">
      <c r="A1488" s="4" t="str">
        <f>IFERROR(__xludf.DUMMYFUNCTION("""COMPUTED_VALUE"""),"2036 - Channel")</f>
        <v>2036 - Channel</v>
      </c>
      <c r="B1488" s="4" t="str">
        <f>IFERROR(__xludf.DUMMYFUNCTION("""COMPUTED_VALUE"""),"")</f>
        <v/>
      </c>
      <c r="C1488" s="4" t="str">
        <f>IFERROR(__xludf.DUMMYFUNCTION("""COMPUTED_VALUE"""),"")</f>
        <v/>
      </c>
      <c r="D1488" s="4" t="str">
        <f>IFERROR(__xludf.DUMMYFUNCTION("""COMPUTED_VALUE"""),"")</f>
        <v/>
      </c>
      <c r="E1488" s="4" t="str">
        <f>IFERROR(__xludf.DUMMYFUNCTION("""COMPUTED_VALUE"""),"")</f>
        <v/>
      </c>
      <c r="F1488" s="4" t="str">
        <f>IFERROR(__xludf.DUMMYFUNCTION("""COMPUTED_VALUE"""),"")</f>
        <v/>
      </c>
      <c r="G1488" s="4" t="str">
        <f>IFERROR(__xludf.DUMMYFUNCTION("""COMPUTED_VALUE"""),"")</f>
        <v/>
      </c>
      <c r="H1488" s="4" t="str">
        <f>IFERROR(__xludf.DUMMYFUNCTION("""COMPUTED_VALUE"""),"")</f>
        <v/>
      </c>
      <c r="I1488" s="4" t="str">
        <f>IFERROR(__xludf.DUMMYFUNCTION("""COMPUTED_VALUE"""),"")</f>
        <v/>
      </c>
      <c r="J1488" s="4" t="str">
        <f>IFERROR(__xludf.DUMMYFUNCTION("""COMPUTED_VALUE"""),"")</f>
        <v/>
      </c>
      <c r="K1488" s="4" t="str">
        <f>IFERROR(__xludf.DUMMYFUNCTION("""COMPUTED_VALUE"""),"")</f>
        <v/>
      </c>
      <c r="L1488" s="4" t="str">
        <f>IFERROR(__xludf.DUMMYFUNCTION("""COMPUTED_VALUE"""),"")</f>
        <v/>
      </c>
      <c r="M1488" s="4" t="str">
        <f>IFERROR(__xludf.DUMMYFUNCTION("""COMPUTED_VALUE"""),"")</f>
        <v/>
      </c>
      <c r="N1488" s="4" t="str">
        <f>IFERROR(__xludf.DUMMYFUNCTION("""COMPUTED_VALUE"""),"")</f>
        <v/>
      </c>
      <c r="O1488" s="4" t="str">
        <f>IFERROR(__xludf.DUMMYFUNCTION("""COMPUTED_VALUE"""),"")</f>
        <v/>
      </c>
      <c r="P1488" s="4" t="str">
        <f>IFERROR(__xludf.DUMMYFUNCTION("""COMPUTED_VALUE"""),"")</f>
        <v/>
      </c>
      <c r="Q1488" s="4" t="str">
        <f>IFERROR(__xludf.DUMMYFUNCTION("""COMPUTED_VALUE"""),"")</f>
        <v/>
      </c>
      <c r="R1488" s="4" t="str">
        <f>IFERROR(__xludf.DUMMYFUNCTION("""COMPUTED_VALUE"""),"")</f>
        <v/>
      </c>
      <c r="S1488" s="4" t="str">
        <f>IFERROR(__xludf.DUMMYFUNCTION("""COMPUTED_VALUE"""),"")</f>
        <v/>
      </c>
      <c r="T1488" s="4" t="str">
        <f>IFERROR(__xludf.DUMMYFUNCTION("""COMPUTED_VALUE"""),"")</f>
        <v/>
      </c>
      <c r="U1488" s="4" t="str">
        <f>IFERROR(__xludf.DUMMYFUNCTION("""COMPUTED_VALUE"""),"")</f>
        <v/>
      </c>
      <c r="V1488" s="4" t="str">
        <f>IFERROR(__xludf.DUMMYFUNCTION("""COMPUTED_VALUE"""),"")</f>
        <v/>
      </c>
      <c r="W1488" s="4" t="str">
        <f>IFERROR(__xludf.DUMMYFUNCTION("""COMPUTED_VALUE"""),"")</f>
        <v/>
      </c>
      <c r="X1488" s="4" t="str">
        <f>IFERROR(__xludf.DUMMYFUNCTION("""COMPUTED_VALUE"""),"")</f>
        <v/>
      </c>
      <c r="Y1488" s="4" t="str">
        <f>IFERROR(__xludf.DUMMYFUNCTION("""COMPUTED_VALUE"""),"")</f>
        <v/>
      </c>
    </row>
    <row r="1489">
      <c r="A1489" s="4" t="str">
        <f>IFERROR(__xludf.DUMMYFUNCTION("""COMPUTED_VALUE"""),"2037 - Channel")</f>
        <v>2037 - Channel</v>
      </c>
      <c r="B1489" s="4" t="str">
        <f>IFERROR(__xludf.DUMMYFUNCTION("""COMPUTED_VALUE"""),"")</f>
        <v/>
      </c>
      <c r="C1489" s="4" t="str">
        <f>IFERROR(__xludf.DUMMYFUNCTION("""COMPUTED_VALUE"""),"")</f>
        <v/>
      </c>
      <c r="D1489" s="4" t="str">
        <f>IFERROR(__xludf.DUMMYFUNCTION("""COMPUTED_VALUE"""),"")</f>
        <v/>
      </c>
      <c r="E1489" s="4" t="str">
        <f>IFERROR(__xludf.DUMMYFUNCTION("""COMPUTED_VALUE"""),"")</f>
        <v/>
      </c>
      <c r="F1489" s="4" t="str">
        <f>IFERROR(__xludf.DUMMYFUNCTION("""COMPUTED_VALUE"""),"")</f>
        <v/>
      </c>
      <c r="G1489" s="4" t="str">
        <f>IFERROR(__xludf.DUMMYFUNCTION("""COMPUTED_VALUE"""),"")</f>
        <v/>
      </c>
      <c r="H1489" s="4" t="str">
        <f>IFERROR(__xludf.DUMMYFUNCTION("""COMPUTED_VALUE"""),"")</f>
        <v/>
      </c>
      <c r="I1489" s="4" t="str">
        <f>IFERROR(__xludf.DUMMYFUNCTION("""COMPUTED_VALUE"""),"")</f>
        <v/>
      </c>
      <c r="J1489" s="4" t="str">
        <f>IFERROR(__xludf.DUMMYFUNCTION("""COMPUTED_VALUE"""),"")</f>
        <v/>
      </c>
      <c r="K1489" s="4" t="str">
        <f>IFERROR(__xludf.DUMMYFUNCTION("""COMPUTED_VALUE"""),"")</f>
        <v/>
      </c>
      <c r="L1489" s="4" t="str">
        <f>IFERROR(__xludf.DUMMYFUNCTION("""COMPUTED_VALUE"""),"")</f>
        <v/>
      </c>
      <c r="M1489" s="4" t="str">
        <f>IFERROR(__xludf.DUMMYFUNCTION("""COMPUTED_VALUE"""),"")</f>
        <v/>
      </c>
      <c r="N1489" s="4" t="str">
        <f>IFERROR(__xludf.DUMMYFUNCTION("""COMPUTED_VALUE"""),"")</f>
        <v/>
      </c>
      <c r="O1489" s="4" t="str">
        <f>IFERROR(__xludf.DUMMYFUNCTION("""COMPUTED_VALUE"""),"")</f>
        <v/>
      </c>
      <c r="P1489" s="4" t="str">
        <f>IFERROR(__xludf.DUMMYFUNCTION("""COMPUTED_VALUE"""),"")</f>
        <v/>
      </c>
      <c r="Q1489" s="4" t="str">
        <f>IFERROR(__xludf.DUMMYFUNCTION("""COMPUTED_VALUE"""),"")</f>
        <v/>
      </c>
      <c r="R1489" s="4" t="str">
        <f>IFERROR(__xludf.DUMMYFUNCTION("""COMPUTED_VALUE"""),"")</f>
        <v/>
      </c>
      <c r="S1489" s="4" t="str">
        <f>IFERROR(__xludf.DUMMYFUNCTION("""COMPUTED_VALUE"""),"")</f>
        <v/>
      </c>
      <c r="T1489" s="4" t="str">
        <f>IFERROR(__xludf.DUMMYFUNCTION("""COMPUTED_VALUE"""),"")</f>
        <v/>
      </c>
      <c r="U1489" s="4" t="str">
        <f>IFERROR(__xludf.DUMMYFUNCTION("""COMPUTED_VALUE"""),"")</f>
        <v/>
      </c>
      <c r="V1489" s="4" t="str">
        <f>IFERROR(__xludf.DUMMYFUNCTION("""COMPUTED_VALUE"""),"")</f>
        <v/>
      </c>
      <c r="W1489" s="4" t="str">
        <f>IFERROR(__xludf.DUMMYFUNCTION("""COMPUTED_VALUE"""),"")</f>
        <v/>
      </c>
      <c r="X1489" s="4" t="str">
        <f>IFERROR(__xludf.DUMMYFUNCTION("""COMPUTED_VALUE"""),"")</f>
        <v/>
      </c>
      <c r="Y1489" s="4" t="str">
        <f>IFERROR(__xludf.DUMMYFUNCTION("""COMPUTED_VALUE"""),"")</f>
        <v/>
      </c>
    </row>
    <row r="1490">
      <c r="A1490" s="4" t="str">
        <f>IFERROR(__xludf.DUMMYFUNCTION("""COMPUTED_VALUE"""),"2038 - Channel")</f>
        <v>2038 - Channel</v>
      </c>
      <c r="B1490" s="4" t="str">
        <f>IFERROR(__xludf.DUMMYFUNCTION("""COMPUTED_VALUE"""),"")</f>
        <v/>
      </c>
      <c r="C1490" s="4" t="str">
        <f>IFERROR(__xludf.DUMMYFUNCTION("""COMPUTED_VALUE"""),"")</f>
        <v/>
      </c>
      <c r="D1490" s="4" t="str">
        <f>IFERROR(__xludf.DUMMYFUNCTION("""COMPUTED_VALUE"""),"")</f>
        <v/>
      </c>
      <c r="E1490" s="4" t="str">
        <f>IFERROR(__xludf.DUMMYFUNCTION("""COMPUTED_VALUE"""),"")</f>
        <v/>
      </c>
      <c r="F1490" s="4" t="str">
        <f>IFERROR(__xludf.DUMMYFUNCTION("""COMPUTED_VALUE"""),"")</f>
        <v/>
      </c>
      <c r="G1490" s="4" t="str">
        <f>IFERROR(__xludf.DUMMYFUNCTION("""COMPUTED_VALUE"""),"")</f>
        <v/>
      </c>
      <c r="H1490" s="4" t="str">
        <f>IFERROR(__xludf.DUMMYFUNCTION("""COMPUTED_VALUE"""),"")</f>
        <v/>
      </c>
      <c r="I1490" s="4" t="str">
        <f>IFERROR(__xludf.DUMMYFUNCTION("""COMPUTED_VALUE"""),"")</f>
        <v/>
      </c>
      <c r="J1490" s="4" t="str">
        <f>IFERROR(__xludf.DUMMYFUNCTION("""COMPUTED_VALUE"""),"")</f>
        <v/>
      </c>
      <c r="K1490" s="4" t="str">
        <f>IFERROR(__xludf.DUMMYFUNCTION("""COMPUTED_VALUE"""),"")</f>
        <v/>
      </c>
      <c r="L1490" s="4" t="str">
        <f>IFERROR(__xludf.DUMMYFUNCTION("""COMPUTED_VALUE"""),"")</f>
        <v/>
      </c>
      <c r="M1490" s="4" t="str">
        <f>IFERROR(__xludf.DUMMYFUNCTION("""COMPUTED_VALUE"""),"")</f>
        <v/>
      </c>
      <c r="N1490" s="4" t="str">
        <f>IFERROR(__xludf.DUMMYFUNCTION("""COMPUTED_VALUE"""),"")</f>
        <v/>
      </c>
      <c r="O1490" s="4" t="str">
        <f>IFERROR(__xludf.DUMMYFUNCTION("""COMPUTED_VALUE"""),"")</f>
        <v/>
      </c>
      <c r="P1490" s="4" t="str">
        <f>IFERROR(__xludf.DUMMYFUNCTION("""COMPUTED_VALUE"""),"")</f>
        <v/>
      </c>
      <c r="Q1490" s="4" t="str">
        <f>IFERROR(__xludf.DUMMYFUNCTION("""COMPUTED_VALUE"""),"")</f>
        <v/>
      </c>
      <c r="R1490" s="4" t="str">
        <f>IFERROR(__xludf.DUMMYFUNCTION("""COMPUTED_VALUE"""),"")</f>
        <v/>
      </c>
      <c r="S1490" s="4" t="str">
        <f>IFERROR(__xludf.DUMMYFUNCTION("""COMPUTED_VALUE"""),"")</f>
        <v/>
      </c>
      <c r="T1490" s="4" t="str">
        <f>IFERROR(__xludf.DUMMYFUNCTION("""COMPUTED_VALUE"""),"")</f>
        <v/>
      </c>
      <c r="U1490" s="4" t="str">
        <f>IFERROR(__xludf.DUMMYFUNCTION("""COMPUTED_VALUE"""),"")</f>
        <v/>
      </c>
      <c r="V1490" s="4" t="str">
        <f>IFERROR(__xludf.DUMMYFUNCTION("""COMPUTED_VALUE"""),"")</f>
        <v/>
      </c>
      <c r="W1490" s="4" t="str">
        <f>IFERROR(__xludf.DUMMYFUNCTION("""COMPUTED_VALUE"""),"")</f>
        <v/>
      </c>
      <c r="X1490" s="4" t="str">
        <f>IFERROR(__xludf.DUMMYFUNCTION("""COMPUTED_VALUE"""),"")</f>
        <v/>
      </c>
      <c r="Y1490" s="4" t="str">
        <f>IFERROR(__xludf.DUMMYFUNCTION("""COMPUTED_VALUE"""),"")</f>
        <v/>
      </c>
    </row>
    <row r="1491">
      <c r="A1491" s="4" t="str">
        <f>IFERROR(__xludf.DUMMYFUNCTION("""COMPUTED_VALUE"""),"2039 - Channel")</f>
        <v>2039 - Channel</v>
      </c>
      <c r="B1491" s="4" t="str">
        <f>IFERROR(__xludf.DUMMYFUNCTION("""COMPUTED_VALUE"""),"")</f>
        <v/>
      </c>
      <c r="C1491" s="4" t="str">
        <f>IFERROR(__xludf.DUMMYFUNCTION("""COMPUTED_VALUE"""),"")</f>
        <v/>
      </c>
      <c r="D1491" s="4" t="str">
        <f>IFERROR(__xludf.DUMMYFUNCTION("""COMPUTED_VALUE"""),"")</f>
        <v/>
      </c>
      <c r="E1491" s="4" t="str">
        <f>IFERROR(__xludf.DUMMYFUNCTION("""COMPUTED_VALUE"""),"")</f>
        <v/>
      </c>
      <c r="F1491" s="4" t="str">
        <f>IFERROR(__xludf.DUMMYFUNCTION("""COMPUTED_VALUE"""),"")</f>
        <v/>
      </c>
      <c r="G1491" s="4" t="str">
        <f>IFERROR(__xludf.DUMMYFUNCTION("""COMPUTED_VALUE"""),"")</f>
        <v/>
      </c>
      <c r="H1491" s="4" t="str">
        <f>IFERROR(__xludf.DUMMYFUNCTION("""COMPUTED_VALUE"""),"")</f>
        <v/>
      </c>
      <c r="I1491" s="4" t="str">
        <f>IFERROR(__xludf.DUMMYFUNCTION("""COMPUTED_VALUE"""),"")</f>
        <v/>
      </c>
      <c r="J1491" s="4" t="str">
        <f>IFERROR(__xludf.DUMMYFUNCTION("""COMPUTED_VALUE"""),"")</f>
        <v/>
      </c>
      <c r="K1491" s="4" t="str">
        <f>IFERROR(__xludf.DUMMYFUNCTION("""COMPUTED_VALUE"""),"")</f>
        <v/>
      </c>
      <c r="L1491" s="4" t="str">
        <f>IFERROR(__xludf.DUMMYFUNCTION("""COMPUTED_VALUE"""),"")</f>
        <v/>
      </c>
      <c r="M1491" s="4" t="str">
        <f>IFERROR(__xludf.DUMMYFUNCTION("""COMPUTED_VALUE"""),"")</f>
        <v/>
      </c>
      <c r="N1491" s="4" t="str">
        <f>IFERROR(__xludf.DUMMYFUNCTION("""COMPUTED_VALUE"""),"")</f>
        <v/>
      </c>
      <c r="O1491" s="4" t="str">
        <f>IFERROR(__xludf.DUMMYFUNCTION("""COMPUTED_VALUE"""),"")</f>
        <v/>
      </c>
      <c r="P1491" s="4" t="str">
        <f>IFERROR(__xludf.DUMMYFUNCTION("""COMPUTED_VALUE"""),"")</f>
        <v/>
      </c>
      <c r="Q1491" s="4" t="str">
        <f>IFERROR(__xludf.DUMMYFUNCTION("""COMPUTED_VALUE"""),"")</f>
        <v/>
      </c>
      <c r="R1491" s="4" t="str">
        <f>IFERROR(__xludf.DUMMYFUNCTION("""COMPUTED_VALUE"""),"")</f>
        <v/>
      </c>
      <c r="S1491" s="4" t="str">
        <f>IFERROR(__xludf.DUMMYFUNCTION("""COMPUTED_VALUE"""),"")</f>
        <v/>
      </c>
      <c r="T1491" s="4" t="str">
        <f>IFERROR(__xludf.DUMMYFUNCTION("""COMPUTED_VALUE"""),"")</f>
        <v/>
      </c>
      <c r="U1491" s="4" t="str">
        <f>IFERROR(__xludf.DUMMYFUNCTION("""COMPUTED_VALUE"""),"")</f>
        <v/>
      </c>
      <c r="V1491" s="4" t="str">
        <f>IFERROR(__xludf.DUMMYFUNCTION("""COMPUTED_VALUE"""),"")</f>
        <v/>
      </c>
      <c r="W1491" s="4" t="str">
        <f>IFERROR(__xludf.DUMMYFUNCTION("""COMPUTED_VALUE"""),"")</f>
        <v/>
      </c>
      <c r="X1491" s="4" t="str">
        <f>IFERROR(__xludf.DUMMYFUNCTION("""COMPUTED_VALUE"""),"")</f>
        <v/>
      </c>
      <c r="Y1491" s="4" t="str">
        <f>IFERROR(__xludf.DUMMYFUNCTION("""COMPUTED_VALUE"""),"")</f>
        <v/>
      </c>
    </row>
    <row r="1492">
      <c r="A1492" s="4" t="str">
        <f>IFERROR(__xludf.DUMMYFUNCTION("""COMPUTED_VALUE"""),"2040 - Channel")</f>
        <v>2040 - Channel</v>
      </c>
      <c r="B1492" s="4" t="str">
        <f>IFERROR(__xludf.DUMMYFUNCTION("""COMPUTED_VALUE"""),"")</f>
        <v/>
      </c>
      <c r="C1492" s="4" t="str">
        <f>IFERROR(__xludf.DUMMYFUNCTION("""COMPUTED_VALUE"""),"")</f>
        <v/>
      </c>
      <c r="D1492" s="4" t="str">
        <f>IFERROR(__xludf.DUMMYFUNCTION("""COMPUTED_VALUE"""),"")</f>
        <v/>
      </c>
      <c r="E1492" s="4" t="str">
        <f>IFERROR(__xludf.DUMMYFUNCTION("""COMPUTED_VALUE"""),"")</f>
        <v/>
      </c>
      <c r="F1492" s="4" t="str">
        <f>IFERROR(__xludf.DUMMYFUNCTION("""COMPUTED_VALUE"""),"")</f>
        <v/>
      </c>
      <c r="G1492" s="4" t="str">
        <f>IFERROR(__xludf.DUMMYFUNCTION("""COMPUTED_VALUE"""),"")</f>
        <v/>
      </c>
      <c r="H1492" s="4" t="str">
        <f>IFERROR(__xludf.DUMMYFUNCTION("""COMPUTED_VALUE"""),"")</f>
        <v/>
      </c>
      <c r="I1492" s="4" t="str">
        <f>IFERROR(__xludf.DUMMYFUNCTION("""COMPUTED_VALUE"""),"")</f>
        <v/>
      </c>
      <c r="J1492" s="4" t="str">
        <f>IFERROR(__xludf.DUMMYFUNCTION("""COMPUTED_VALUE"""),"")</f>
        <v/>
      </c>
      <c r="K1492" s="4" t="str">
        <f>IFERROR(__xludf.DUMMYFUNCTION("""COMPUTED_VALUE"""),"")</f>
        <v/>
      </c>
      <c r="L1492" s="4" t="str">
        <f>IFERROR(__xludf.DUMMYFUNCTION("""COMPUTED_VALUE"""),"")</f>
        <v/>
      </c>
      <c r="M1492" s="4" t="str">
        <f>IFERROR(__xludf.DUMMYFUNCTION("""COMPUTED_VALUE"""),"")</f>
        <v/>
      </c>
      <c r="N1492" s="4" t="str">
        <f>IFERROR(__xludf.DUMMYFUNCTION("""COMPUTED_VALUE"""),"")</f>
        <v/>
      </c>
      <c r="O1492" s="4" t="str">
        <f>IFERROR(__xludf.DUMMYFUNCTION("""COMPUTED_VALUE"""),"")</f>
        <v/>
      </c>
      <c r="P1492" s="4" t="str">
        <f>IFERROR(__xludf.DUMMYFUNCTION("""COMPUTED_VALUE"""),"")</f>
        <v/>
      </c>
      <c r="Q1492" s="4" t="str">
        <f>IFERROR(__xludf.DUMMYFUNCTION("""COMPUTED_VALUE"""),"")</f>
        <v/>
      </c>
      <c r="R1492" s="4" t="str">
        <f>IFERROR(__xludf.DUMMYFUNCTION("""COMPUTED_VALUE"""),"")</f>
        <v/>
      </c>
      <c r="S1492" s="4" t="str">
        <f>IFERROR(__xludf.DUMMYFUNCTION("""COMPUTED_VALUE"""),"")</f>
        <v/>
      </c>
      <c r="T1492" s="4" t="str">
        <f>IFERROR(__xludf.DUMMYFUNCTION("""COMPUTED_VALUE"""),"")</f>
        <v/>
      </c>
      <c r="U1492" s="4" t="str">
        <f>IFERROR(__xludf.DUMMYFUNCTION("""COMPUTED_VALUE"""),"")</f>
        <v/>
      </c>
      <c r="V1492" s="4" t="str">
        <f>IFERROR(__xludf.DUMMYFUNCTION("""COMPUTED_VALUE"""),"")</f>
        <v/>
      </c>
      <c r="W1492" s="4" t="str">
        <f>IFERROR(__xludf.DUMMYFUNCTION("""COMPUTED_VALUE"""),"")</f>
        <v/>
      </c>
      <c r="X1492" s="4" t="str">
        <f>IFERROR(__xludf.DUMMYFUNCTION("""COMPUTED_VALUE"""),"")</f>
        <v/>
      </c>
      <c r="Y1492" s="4" t="str">
        <f>IFERROR(__xludf.DUMMYFUNCTION("""COMPUTED_VALUE"""),"")</f>
        <v/>
      </c>
    </row>
    <row r="1493">
      <c r="A1493" s="4" t="str">
        <f>IFERROR(__xludf.DUMMYFUNCTION("""COMPUTED_VALUE"""),"2041 - Channel")</f>
        <v>2041 - Channel</v>
      </c>
      <c r="B1493" s="4" t="str">
        <f>IFERROR(__xludf.DUMMYFUNCTION("""COMPUTED_VALUE"""),"")</f>
        <v/>
      </c>
      <c r="C1493" s="4" t="str">
        <f>IFERROR(__xludf.DUMMYFUNCTION("""COMPUTED_VALUE"""),"")</f>
        <v/>
      </c>
      <c r="D1493" s="4" t="str">
        <f>IFERROR(__xludf.DUMMYFUNCTION("""COMPUTED_VALUE"""),"")</f>
        <v/>
      </c>
      <c r="E1493" s="4" t="str">
        <f>IFERROR(__xludf.DUMMYFUNCTION("""COMPUTED_VALUE"""),"")</f>
        <v/>
      </c>
      <c r="F1493" s="4" t="str">
        <f>IFERROR(__xludf.DUMMYFUNCTION("""COMPUTED_VALUE"""),"")</f>
        <v/>
      </c>
      <c r="G1493" s="4" t="str">
        <f>IFERROR(__xludf.DUMMYFUNCTION("""COMPUTED_VALUE"""),"")</f>
        <v/>
      </c>
      <c r="H1493" s="4" t="str">
        <f>IFERROR(__xludf.DUMMYFUNCTION("""COMPUTED_VALUE"""),"")</f>
        <v/>
      </c>
      <c r="I1493" s="4" t="str">
        <f>IFERROR(__xludf.DUMMYFUNCTION("""COMPUTED_VALUE"""),"")</f>
        <v/>
      </c>
      <c r="J1493" s="4" t="str">
        <f>IFERROR(__xludf.DUMMYFUNCTION("""COMPUTED_VALUE"""),"")</f>
        <v/>
      </c>
      <c r="K1493" s="4" t="str">
        <f>IFERROR(__xludf.DUMMYFUNCTION("""COMPUTED_VALUE"""),"")</f>
        <v/>
      </c>
      <c r="L1493" s="4" t="str">
        <f>IFERROR(__xludf.DUMMYFUNCTION("""COMPUTED_VALUE"""),"")</f>
        <v/>
      </c>
      <c r="M1493" s="4" t="str">
        <f>IFERROR(__xludf.DUMMYFUNCTION("""COMPUTED_VALUE"""),"")</f>
        <v/>
      </c>
      <c r="N1493" s="4" t="str">
        <f>IFERROR(__xludf.DUMMYFUNCTION("""COMPUTED_VALUE"""),"")</f>
        <v/>
      </c>
      <c r="O1493" s="4" t="str">
        <f>IFERROR(__xludf.DUMMYFUNCTION("""COMPUTED_VALUE"""),"")</f>
        <v/>
      </c>
      <c r="P1493" s="4" t="str">
        <f>IFERROR(__xludf.DUMMYFUNCTION("""COMPUTED_VALUE"""),"")</f>
        <v/>
      </c>
      <c r="Q1493" s="4" t="str">
        <f>IFERROR(__xludf.DUMMYFUNCTION("""COMPUTED_VALUE"""),"")</f>
        <v/>
      </c>
      <c r="R1493" s="4" t="str">
        <f>IFERROR(__xludf.DUMMYFUNCTION("""COMPUTED_VALUE"""),"")</f>
        <v/>
      </c>
      <c r="S1493" s="4" t="str">
        <f>IFERROR(__xludf.DUMMYFUNCTION("""COMPUTED_VALUE"""),"")</f>
        <v/>
      </c>
      <c r="T1493" s="4" t="str">
        <f>IFERROR(__xludf.DUMMYFUNCTION("""COMPUTED_VALUE"""),"")</f>
        <v/>
      </c>
      <c r="U1493" s="4" t="str">
        <f>IFERROR(__xludf.DUMMYFUNCTION("""COMPUTED_VALUE"""),"")</f>
        <v/>
      </c>
      <c r="V1493" s="4" t="str">
        <f>IFERROR(__xludf.DUMMYFUNCTION("""COMPUTED_VALUE"""),"")</f>
        <v/>
      </c>
      <c r="W1493" s="4" t="str">
        <f>IFERROR(__xludf.DUMMYFUNCTION("""COMPUTED_VALUE"""),"")</f>
        <v/>
      </c>
      <c r="X1493" s="4" t="str">
        <f>IFERROR(__xludf.DUMMYFUNCTION("""COMPUTED_VALUE"""),"")</f>
        <v/>
      </c>
      <c r="Y1493" s="4" t="str">
        <f>IFERROR(__xludf.DUMMYFUNCTION("""COMPUTED_VALUE"""),"")</f>
        <v/>
      </c>
    </row>
    <row r="1494">
      <c r="A1494" s="4" t="str">
        <f>IFERROR(__xludf.DUMMYFUNCTION("""COMPUTED_VALUE"""),"2042 - Channel")</f>
        <v>2042 - Channel</v>
      </c>
      <c r="B1494" s="4" t="str">
        <f>IFERROR(__xludf.DUMMYFUNCTION("""COMPUTED_VALUE"""),"")</f>
        <v/>
      </c>
      <c r="C1494" s="4" t="str">
        <f>IFERROR(__xludf.DUMMYFUNCTION("""COMPUTED_VALUE"""),"")</f>
        <v/>
      </c>
      <c r="D1494" s="4" t="str">
        <f>IFERROR(__xludf.DUMMYFUNCTION("""COMPUTED_VALUE"""),"")</f>
        <v/>
      </c>
      <c r="E1494" s="4" t="str">
        <f>IFERROR(__xludf.DUMMYFUNCTION("""COMPUTED_VALUE"""),"")</f>
        <v/>
      </c>
      <c r="F1494" s="4" t="str">
        <f>IFERROR(__xludf.DUMMYFUNCTION("""COMPUTED_VALUE"""),"")</f>
        <v/>
      </c>
      <c r="G1494" s="4" t="str">
        <f>IFERROR(__xludf.DUMMYFUNCTION("""COMPUTED_VALUE"""),"")</f>
        <v/>
      </c>
      <c r="H1494" s="4" t="str">
        <f>IFERROR(__xludf.DUMMYFUNCTION("""COMPUTED_VALUE"""),"")</f>
        <v/>
      </c>
      <c r="I1494" s="4" t="str">
        <f>IFERROR(__xludf.DUMMYFUNCTION("""COMPUTED_VALUE"""),"")</f>
        <v/>
      </c>
      <c r="J1494" s="4" t="str">
        <f>IFERROR(__xludf.DUMMYFUNCTION("""COMPUTED_VALUE"""),"")</f>
        <v/>
      </c>
      <c r="K1494" s="4" t="str">
        <f>IFERROR(__xludf.DUMMYFUNCTION("""COMPUTED_VALUE"""),"")</f>
        <v/>
      </c>
      <c r="L1494" s="4" t="str">
        <f>IFERROR(__xludf.DUMMYFUNCTION("""COMPUTED_VALUE"""),"")</f>
        <v/>
      </c>
      <c r="M1494" s="4" t="str">
        <f>IFERROR(__xludf.DUMMYFUNCTION("""COMPUTED_VALUE"""),"")</f>
        <v/>
      </c>
      <c r="N1494" s="4" t="str">
        <f>IFERROR(__xludf.DUMMYFUNCTION("""COMPUTED_VALUE"""),"")</f>
        <v/>
      </c>
      <c r="O1494" s="4" t="str">
        <f>IFERROR(__xludf.DUMMYFUNCTION("""COMPUTED_VALUE"""),"")</f>
        <v/>
      </c>
      <c r="P1494" s="4" t="str">
        <f>IFERROR(__xludf.DUMMYFUNCTION("""COMPUTED_VALUE"""),"")</f>
        <v/>
      </c>
      <c r="Q1494" s="4" t="str">
        <f>IFERROR(__xludf.DUMMYFUNCTION("""COMPUTED_VALUE"""),"")</f>
        <v/>
      </c>
      <c r="R1494" s="4" t="str">
        <f>IFERROR(__xludf.DUMMYFUNCTION("""COMPUTED_VALUE"""),"")</f>
        <v/>
      </c>
      <c r="S1494" s="4" t="str">
        <f>IFERROR(__xludf.DUMMYFUNCTION("""COMPUTED_VALUE"""),"")</f>
        <v/>
      </c>
      <c r="T1494" s="4" t="str">
        <f>IFERROR(__xludf.DUMMYFUNCTION("""COMPUTED_VALUE"""),"")</f>
        <v/>
      </c>
      <c r="U1494" s="4" t="str">
        <f>IFERROR(__xludf.DUMMYFUNCTION("""COMPUTED_VALUE"""),"")</f>
        <v/>
      </c>
      <c r="V1494" s="4" t="str">
        <f>IFERROR(__xludf.DUMMYFUNCTION("""COMPUTED_VALUE"""),"")</f>
        <v/>
      </c>
      <c r="W1494" s="4" t="str">
        <f>IFERROR(__xludf.DUMMYFUNCTION("""COMPUTED_VALUE"""),"")</f>
        <v/>
      </c>
      <c r="X1494" s="4" t="str">
        <f>IFERROR(__xludf.DUMMYFUNCTION("""COMPUTED_VALUE"""),"")</f>
        <v/>
      </c>
      <c r="Y1494" s="4" t="str">
        <f>IFERROR(__xludf.DUMMYFUNCTION("""COMPUTED_VALUE"""),"")</f>
        <v/>
      </c>
    </row>
    <row r="1495">
      <c r="A1495" s="4" t="str">
        <f>IFERROR(__xludf.DUMMYFUNCTION("""COMPUTED_VALUE"""),"2043 - Channel")</f>
        <v>2043 - Channel</v>
      </c>
      <c r="B1495" s="4" t="str">
        <f>IFERROR(__xludf.DUMMYFUNCTION("""COMPUTED_VALUE"""),"")</f>
        <v/>
      </c>
      <c r="C1495" s="4" t="str">
        <f>IFERROR(__xludf.DUMMYFUNCTION("""COMPUTED_VALUE"""),"")</f>
        <v/>
      </c>
      <c r="D1495" s="4" t="str">
        <f>IFERROR(__xludf.DUMMYFUNCTION("""COMPUTED_VALUE"""),"")</f>
        <v/>
      </c>
      <c r="E1495" s="4" t="str">
        <f>IFERROR(__xludf.DUMMYFUNCTION("""COMPUTED_VALUE"""),"")</f>
        <v/>
      </c>
      <c r="F1495" s="4" t="str">
        <f>IFERROR(__xludf.DUMMYFUNCTION("""COMPUTED_VALUE"""),"")</f>
        <v/>
      </c>
      <c r="G1495" s="4" t="str">
        <f>IFERROR(__xludf.DUMMYFUNCTION("""COMPUTED_VALUE"""),"")</f>
        <v/>
      </c>
      <c r="H1495" s="4" t="str">
        <f>IFERROR(__xludf.DUMMYFUNCTION("""COMPUTED_VALUE"""),"")</f>
        <v/>
      </c>
      <c r="I1495" s="4" t="str">
        <f>IFERROR(__xludf.DUMMYFUNCTION("""COMPUTED_VALUE"""),"")</f>
        <v/>
      </c>
      <c r="J1495" s="4" t="str">
        <f>IFERROR(__xludf.DUMMYFUNCTION("""COMPUTED_VALUE"""),"")</f>
        <v/>
      </c>
      <c r="K1495" s="4" t="str">
        <f>IFERROR(__xludf.DUMMYFUNCTION("""COMPUTED_VALUE"""),"")</f>
        <v/>
      </c>
      <c r="L1495" s="4" t="str">
        <f>IFERROR(__xludf.DUMMYFUNCTION("""COMPUTED_VALUE"""),"")</f>
        <v/>
      </c>
      <c r="M1495" s="4" t="str">
        <f>IFERROR(__xludf.DUMMYFUNCTION("""COMPUTED_VALUE"""),"")</f>
        <v/>
      </c>
      <c r="N1495" s="4" t="str">
        <f>IFERROR(__xludf.DUMMYFUNCTION("""COMPUTED_VALUE"""),"")</f>
        <v/>
      </c>
      <c r="O1495" s="4" t="str">
        <f>IFERROR(__xludf.DUMMYFUNCTION("""COMPUTED_VALUE"""),"")</f>
        <v/>
      </c>
      <c r="P1495" s="4" t="str">
        <f>IFERROR(__xludf.DUMMYFUNCTION("""COMPUTED_VALUE"""),"")</f>
        <v/>
      </c>
      <c r="Q1495" s="4" t="str">
        <f>IFERROR(__xludf.DUMMYFUNCTION("""COMPUTED_VALUE"""),"")</f>
        <v/>
      </c>
      <c r="R1495" s="4" t="str">
        <f>IFERROR(__xludf.DUMMYFUNCTION("""COMPUTED_VALUE"""),"")</f>
        <v/>
      </c>
      <c r="S1495" s="4" t="str">
        <f>IFERROR(__xludf.DUMMYFUNCTION("""COMPUTED_VALUE"""),"")</f>
        <v/>
      </c>
      <c r="T1495" s="4" t="str">
        <f>IFERROR(__xludf.DUMMYFUNCTION("""COMPUTED_VALUE"""),"")</f>
        <v/>
      </c>
      <c r="U1495" s="4" t="str">
        <f>IFERROR(__xludf.DUMMYFUNCTION("""COMPUTED_VALUE"""),"")</f>
        <v/>
      </c>
      <c r="V1495" s="4" t="str">
        <f>IFERROR(__xludf.DUMMYFUNCTION("""COMPUTED_VALUE"""),"")</f>
        <v/>
      </c>
      <c r="W1495" s="4" t="str">
        <f>IFERROR(__xludf.DUMMYFUNCTION("""COMPUTED_VALUE"""),"")</f>
        <v/>
      </c>
      <c r="X1495" s="4" t="str">
        <f>IFERROR(__xludf.DUMMYFUNCTION("""COMPUTED_VALUE"""),"")</f>
        <v/>
      </c>
      <c r="Y1495" s="4" t="str">
        <f>IFERROR(__xludf.DUMMYFUNCTION("""COMPUTED_VALUE"""),"")</f>
        <v/>
      </c>
    </row>
    <row r="1496">
      <c r="A1496" s="4" t="str">
        <f>IFERROR(__xludf.DUMMYFUNCTION("""COMPUTED_VALUE"""),"2044 - Channel")</f>
        <v>2044 - Channel</v>
      </c>
      <c r="B1496" s="4" t="str">
        <f>IFERROR(__xludf.DUMMYFUNCTION("""COMPUTED_VALUE"""),"")</f>
        <v/>
      </c>
      <c r="C1496" s="4" t="str">
        <f>IFERROR(__xludf.DUMMYFUNCTION("""COMPUTED_VALUE"""),"")</f>
        <v/>
      </c>
      <c r="D1496" s="4" t="str">
        <f>IFERROR(__xludf.DUMMYFUNCTION("""COMPUTED_VALUE"""),"")</f>
        <v/>
      </c>
      <c r="E1496" s="4" t="str">
        <f>IFERROR(__xludf.DUMMYFUNCTION("""COMPUTED_VALUE"""),"")</f>
        <v/>
      </c>
      <c r="F1496" s="4" t="str">
        <f>IFERROR(__xludf.DUMMYFUNCTION("""COMPUTED_VALUE"""),"")</f>
        <v/>
      </c>
      <c r="G1496" s="4" t="str">
        <f>IFERROR(__xludf.DUMMYFUNCTION("""COMPUTED_VALUE"""),"")</f>
        <v/>
      </c>
      <c r="H1496" s="4" t="str">
        <f>IFERROR(__xludf.DUMMYFUNCTION("""COMPUTED_VALUE"""),"")</f>
        <v/>
      </c>
      <c r="I1496" s="4" t="str">
        <f>IFERROR(__xludf.DUMMYFUNCTION("""COMPUTED_VALUE"""),"")</f>
        <v/>
      </c>
      <c r="J1496" s="4" t="str">
        <f>IFERROR(__xludf.DUMMYFUNCTION("""COMPUTED_VALUE"""),"")</f>
        <v/>
      </c>
      <c r="K1496" s="4" t="str">
        <f>IFERROR(__xludf.DUMMYFUNCTION("""COMPUTED_VALUE"""),"")</f>
        <v/>
      </c>
      <c r="L1496" s="4" t="str">
        <f>IFERROR(__xludf.DUMMYFUNCTION("""COMPUTED_VALUE"""),"")</f>
        <v/>
      </c>
      <c r="M1496" s="4" t="str">
        <f>IFERROR(__xludf.DUMMYFUNCTION("""COMPUTED_VALUE"""),"")</f>
        <v/>
      </c>
      <c r="N1496" s="4" t="str">
        <f>IFERROR(__xludf.DUMMYFUNCTION("""COMPUTED_VALUE"""),"")</f>
        <v/>
      </c>
      <c r="O1496" s="4" t="str">
        <f>IFERROR(__xludf.DUMMYFUNCTION("""COMPUTED_VALUE"""),"")</f>
        <v/>
      </c>
      <c r="P1496" s="4" t="str">
        <f>IFERROR(__xludf.DUMMYFUNCTION("""COMPUTED_VALUE"""),"")</f>
        <v/>
      </c>
      <c r="Q1496" s="4" t="str">
        <f>IFERROR(__xludf.DUMMYFUNCTION("""COMPUTED_VALUE"""),"")</f>
        <v/>
      </c>
      <c r="R1496" s="4" t="str">
        <f>IFERROR(__xludf.DUMMYFUNCTION("""COMPUTED_VALUE"""),"")</f>
        <v/>
      </c>
      <c r="S1496" s="4" t="str">
        <f>IFERROR(__xludf.DUMMYFUNCTION("""COMPUTED_VALUE"""),"")</f>
        <v/>
      </c>
      <c r="T1496" s="4" t="str">
        <f>IFERROR(__xludf.DUMMYFUNCTION("""COMPUTED_VALUE"""),"")</f>
        <v/>
      </c>
      <c r="U1496" s="4" t="str">
        <f>IFERROR(__xludf.DUMMYFUNCTION("""COMPUTED_VALUE"""),"")</f>
        <v/>
      </c>
      <c r="V1496" s="4" t="str">
        <f>IFERROR(__xludf.DUMMYFUNCTION("""COMPUTED_VALUE"""),"")</f>
        <v/>
      </c>
      <c r="W1496" s="4" t="str">
        <f>IFERROR(__xludf.DUMMYFUNCTION("""COMPUTED_VALUE"""),"")</f>
        <v/>
      </c>
      <c r="X1496" s="4" t="str">
        <f>IFERROR(__xludf.DUMMYFUNCTION("""COMPUTED_VALUE"""),"")</f>
        <v/>
      </c>
      <c r="Y1496" s="4" t="str">
        <f>IFERROR(__xludf.DUMMYFUNCTION("""COMPUTED_VALUE"""),"")</f>
        <v/>
      </c>
    </row>
    <row r="1497">
      <c r="A1497" s="4" t="str">
        <f>IFERROR(__xludf.DUMMYFUNCTION("""COMPUTED_VALUE"""),"2045 - Channel")</f>
        <v>2045 - Channel</v>
      </c>
      <c r="B1497" s="4" t="str">
        <f>IFERROR(__xludf.DUMMYFUNCTION("""COMPUTED_VALUE"""),"")</f>
        <v/>
      </c>
      <c r="C1497" s="4" t="str">
        <f>IFERROR(__xludf.DUMMYFUNCTION("""COMPUTED_VALUE"""),"")</f>
        <v/>
      </c>
      <c r="D1497" s="4" t="str">
        <f>IFERROR(__xludf.DUMMYFUNCTION("""COMPUTED_VALUE"""),"")</f>
        <v/>
      </c>
      <c r="E1497" s="4" t="str">
        <f>IFERROR(__xludf.DUMMYFUNCTION("""COMPUTED_VALUE"""),"")</f>
        <v/>
      </c>
      <c r="F1497" s="4" t="str">
        <f>IFERROR(__xludf.DUMMYFUNCTION("""COMPUTED_VALUE"""),"")</f>
        <v/>
      </c>
      <c r="G1497" s="4" t="str">
        <f>IFERROR(__xludf.DUMMYFUNCTION("""COMPUTED_VALUE"""),"")</f>
        <v/>
      </c>
      <c r="H1497" s="4" t="str">
        <f>IFERROR(__xludf.DUMMYFUNCTION("""COMPUTED_VALUE"""),"")</f>
        <v/>
      </c>
      <c r="I1497" s="4" t="str">
        <f>IFERROR(__xludf.DUMMYFUNCTION("""COMPUTED_VALUE"""),"")</f>
        <v/>
      </c>
      <c r="J1497" s="4" t="str">
        <f>IFERROR(__xludf.DUMMYFUNCTION("""COMPUTED_VALUE"""),"")</f>
        <v/>
      </c>
      <c r="K1497" s="4" t="str">
        <f>IFERROR(__xludf.DUMMYFUNCTION("""COMPUTED_VALUE"""),"")</f>
        <v/>
      </c>
      <c r="L1497" s="4" t="str">
        <f>IFERROR(__xludf.DUMMYFUNCTION("""COMPUTED_VALUE"""),"")</f>
        <v/>
      </c>
      <c r="M1497" s="4" t="str">
        <f>IFERROR(__xludf.DUMMYFUNCTION("""COMPUTED_VALUE"""),"")</f>
        <v/>
      </c>
      <c r="N1497" s="4" t="str">
        <f>IFERROR(__xludf.DUMMYFUNCTION("""COMPUTED_VALUE"""),"")</f>
        <v/>
      </c>
      <c r="O1497" s="4" t="str">
        <f>IFERROR(__xludf.DUMMYFUNCTION("""COMPUTED_VALUE"""),"")</f>
        <v/>
      </c>
      <c r="P1497" s="4" t="str">
        <f>IFERROR(__xludf.DUMMYFUNCTION("""COMPUTED_VALUE"""),"")</f>
        <v/>
      </c>
      <c r="Q1497" s="4" t="str">
        <f>IFERROR(__xludf.DUMMYFUNCTION("""COMPUTED_VALUE"""),"")</f>
        <v/>
      </c>
      <c r="R1497" s="4" t="str">
        <f>IFERROR(__xludf.DUMMYFUNCTION("""COMPUTED_VALUE"""),"")</f>
        <v/>
      </c>
      <c r="S1497" s="4" t="str">
        <f>IFERROR(__xludf.DUMMYFUNCTION("""COMPUTED_VALUE"""),"")</f>
        <v/>
      </c>
      <c r="T1497" s="4" t="str">
        <f>IFERROR(__xludf.DUMMYFUNCTION("""COMPUTED_VALUE"""),"")</f>
        <v/>
      </c>
      <c r="U1497" s="4" t="str">
        <f>IFERROR(__xludf.DUMMYFUNCTION("""COMPUTED_VALUE"""),"")</f>
        <v/>
      </c>
      <c r="V1497" s="4" t="str">
        <f>IFERROR(__xludf.DUMMYFUNCTION("""COMPUTED_VALUE"""),"")</f>
        <v/>
      </c>
      <c r="W1497" s="4" t="str">
        <f>IFERROR(__xludf.DUMMYFUNCTION("""COMPUTED_VALUE"""),"")</f>
        <v/>
      </c>
      <c r="X1497" s="4" t="str">
        <f>IFERROR(__xludf.DUMMYFUNCTION("""COMPUTED_VALUE"""),"")</f>
        <v/>
      </c>
      <c r="Y1497" s="4" t="str">
        <f>IFERROR(__xludf.DUMMYFUNCTION("""COMPUTED_VALUE"""),"")</f>
        <v/>
      </c>
    </row>
    <row r="1498">
      <c r="A1498" s="4" t="str">
        <f>IFERROR(__xludf.DUMMYFUNCTION("""COMPUTED_VALUE"""),"2046 - Channel")</f>
        <v>2046 - Channel</v>
      </c>
      <c r="B1498" s="4" t="str">
        <f>IFERROR(__xludf.DUMMYFUNCTION("""COMPUTED_VALUE"""),"")</f>
        <v/>
      </c>
      <c r="C1498" s="4" t="str">
        <f>IFERROR(__xludf.DUMMYFUNCTION("""COMPUTED_VALUE"""),"")</f>
        <v/>
      </c>
      <c r="D1498" s="4" t="str">
        <f>IFERROR(__xludf.DUMMYFUNCTION("""COMPUTED_VALUE"""),"")</f>
        <v/>
      </c>
      <c r="E1498" s="4" t="str">
        <f>IFERROR(__xludf.DUMMYFUNCTION("""COMPUTED_VALUE"""),"")</f>
        <v/>
      </c>
      <c r="F1498" s="4" t="str">
        <f>IFERROR(__xludf.DUMMYFUNCTION("""COMPUTED_VALUE"""),"")</f>
        <v/>
      </c>
      <c r="G1498" s="4" t="str">
        <f>IFERROR(__xludf.DUMMYFUNCTION("""COMPUTED_VALUE"""),"")</f>
        <v/>
      </c>
      <c r="H1498" s="4" t="str">
        <f>IFERROR(__xludf.DUMMYFUNCTION("""COMPUTED_VALUE"""),"")</f>
        <v/>
      </c>
      <c r="I1498" s="4" t="str">
        <f>IFERROR(__xludf.DUMMYFUNCTION("""COMPUTED_VALUE"""),"")</f>
        <v/>
      </c>
      <c r="J1498" s="4" t="str">
        <f>IFERROR(__xludf.DUMMYFUNCTION("""COMPUTED_VALUE"""),"")</f>
        <v/>
      </c>
      <c r="K1498" s="4" t="str">
        <f>IFERROR(__xludf.DUMMYFUNCTION("""COMPUTED_VALUE"""),"")</f>
        <v/>
      </c>
      <c r="L1498" s="4" t="str">
        <f>IFERROR(__xludf.DUMMYFUNCTION("""COMPUTED_VALUE"""),"")</f>
        <v/>
      </c>
      <c r="M1498" s="4" t="str">
        <f>IFERROR(__xludf.DUMMYFUNCTION("""COMPUTED_VALUE"""),"")</f>
        <v/>
      </c>
      <c r="N1498" s="4" t="str">
        <f>IFERROR(__xludf.DUMMYFUNCTION("""COMPUTED_VALUE"""),"")</f>
        <v/>
      </c>
      <c r="O1498" s="4" t="str">
        <f>IFERROR(__xludf.DUMMYFUNCTION("""COMPUTED_VALUE"""),"")</f>
        <v/>
      </c>
      <c r="P1498" s="4" t="str">
        <f>IFERROR(__xludf.DUMMYFUNCTION("""COMPUTED_VALUE"""),"")</f>
        <v/>
      </c>
      <c r="Q1498" s="4" t="str">
        <f>IFERROR(__xludf.DUMMYFUNCTION("""COMPUTED_VALUE"""),"")</f>
        <v/>
      </c>
      <c r="R1498" s="4" t="str">
        <f>IFERROR(__xludf.DUMMYFUNCTION("""COMPUTED_VALUE"""),"")</f>
        <v/>
      </c>
      <c r="S1498" s="4" t="str">
        <f>IFERROR(__xludf.DUMMYFUNCTION("""COMPUTED_VALUE"""),"")</f>
        <v/>
      </c>
      <c r="T1498" s="4" t="str">
        <f>IFERROR(__xludf.DUMMYFUNCTION("""COMPUTED_VALUE"""),"")</f>
        <v/>
      </c>
      <c r="U1498" s="4" t="str">
        <f>IFERROR(__xludf.DUMMYFUNCTION("""COMPUTED_VALUE"""),"")</f>
        <v/>
      </c>
      <c r="V1498" s="4" t="str">
        <f>IFERROR(__xludf.DUMMYFUNCTION("""COMPUTED_VALUE"""),"")</f>
        <v/>
      </c>
      <c r="W1498" s="4" t="str">
        <f>IFERROR(__xludf.DUMMYFUNCTION("""COMPUTED_VALUE"""),"")</f>
        <v/>
      </c>
      <c r="X1498" s="4" t="str">
        <f>IFERROR(__xludf.DUMMYFUNCTION("""COMPUTED_VALUE"""),"")</f>
        <v/>
      </c>
      <c r="Y1498" s="4" t="str">
        <f>IFERROR(__xludf.DUMMYFUNCTION("""COMPUTED_VALUE"""),"")</f>
        <v/>
      </c>
    </row>
    <row r="1499">
      <c r="A1499" s="4" t="str">
        <f>IFERROR(__xludf.DUMMYFUNCTION("""COMPUTED_VALUE"""),"2047 - Channel")</f>
        <v>2047 - Channel</v>
      </c>
      <c r="B1499" s="4" t="str">
        <f>IFERROR(__xludf.DUMMYFUNCTION("""COMPUTED_VALUE"""),"")</f>
        <v/>
      </c>
      <c r="C1499" s="4" t="str">
        <f>IFERROR(__xludf.DUMMYFUNCTION("""COMPUTED_VALUE"""),"")</f>
        <v/>
      </c>
      <c r="D1499" s="4" t="str">
        <f>IFERROR(__xludf.DUMMYFUNCTION("""COMPUTED_VALUE"""),"")</f>
        <v/>
      </c>
      <c r="E1499" s="4" t="str">
        <f>IFERROR(__xludf.DUMMYFUNCTION("""COMPUTED_VALUE"""),"")</f>
        <v/>
      </c>
      <c r="F1499" s="4" t="str">
        <f>IFERROR(__xludf.DUMMYFUNCTION("""COMPUTED_VALUE"""),"")</f>
        <v/>
      </c>
      <c r="G1499" s="4" t="str">
        <f>IFERROR(__xludf.DUMMYFUNCTION("""COMPUTED_VALUE"""),"")</f>
        <v/>
      </c>
      <c r="H1499" s="4" t="str">
        <f>IFERROR(__xludf.DUMMYFUNCTION("""COMPUTED_VALUE"""),"")</f>
        <v/>
      </c>
      <c r="I1499" s="4" t="str">
        <f>IFERROR(__xludf.DUMMYFUNCTION("""COMPUTED_VALUE"""),"")</f>
        <v/>
      </c>
      <c r="J1499" s="4" t="str">
        <f>IFERROR(__xludf.DUMMYFUNCTION("""COMPUTED_VALUE"""),"")</f>
        <v/>
      </c>
      <c r="K1499" s="4" t="str">
        <f>IFERROR(__xludf.DUMMYFUNCTION("""COMPUTED_VALUE"""),"")</f>
        <v/>
      </c>
      <c r="L1499" s="4" t="str">
        <f>IFERROR(__xludf.DUMMYFUNCTION("""COMPUTED_VALUE"""),"")</f>
        <v/>
      </c>
      <c r="M1499" s="4" t="str">
        <f>IFERROR(__xludf.DUMMYFUNCTION("""COMPUTED_VALUE"""),"")</f>
        <v/>
      </c>
      <c r="N1499" s="4" t="str">
        <f>IFERROR(__xludf.DUMMYFUNCTION("""COMPUTED_VALUE"""),"")</f>
        <v/>
      </c>
      <c r="O1499" s="4" t="str">
        <f>IFERROR(__xludf.DUMMYFUNCTION("""COMPUTED_VALUE"""),"")</f>
        <v/>
      </c>
      <c r="P1499" s="4" t="str">
        <f>IFERROR(__xludf.DUMMYFUNCTION("""COMPUTED_VALUE"""),"")</f>
        <v/>
      </c>
      <c r="Q1499" s="4" t="str">
        <f>IFERROR(__xludf.DUMMYFUNCTION("""COMPUTED_VALUE"""),"")</f>
        <v/>
      </c>
      <c r="R1499" s="4" t="str">
        <f>IFERROR(__xludf.DUMMYFUNCTION("""COMPUTED_VALUE"""),"")</f>
        <v/>
      </c>
      <c r="S1499" s="4" t="str">
        <f>IFERROR(__xludf.DUMMYFUNCTION("""COMPUTED_VALUE"""),"")</f>
        <v/>
      </c>
      <c r="T1499" s="4" t="str">
        <f>IFERROR(__xludf.DUMMYFUNCTION("""COMPUTED_VALUE"""),"")</f>
        <v/>
      </c>
      <c r="U1499" s="4" t="str">
        <f>IFERROR(__xludf.DUMMYFUNCTION("""COMPUTED_VALUE"""),"")</f>
        <v/>
      </c>
      <c r="V1499" s="4" t="str">
        <f>IFERROR(__xludf.DUMMYFUNCTION("""COMPUTED_VALUE"""),"")</f>
        <v/>
      </c>
      <c r="W1499" s="4" t="str">
        <f>IFERROR(__xludf.DUMMYFUNCTION("""COMPUTED_VALUE"""),"")</f>
        <v/>
      </c>
      <c r="X1499" s="4" t="str">
        <f>IFERROR(__xludf.DUMMYFUNCTION("""COMPUTED_VALUE"""),"")</f>
        <v/>
      </c>
      <c r="Y1499" s="4" t="str">
        <f>IFERROR(__xludf.DUMMYFUNCTION("""COMPUTED_VALUE"""),"")</f>
        <v/>
      </c>
    </row>
    <row r="1500">
      <c r="A1500" s="4" t="str">
        <f>IFERROR(__xludf.DUMMYFUNCTION("""COMPUTED_VALUE"""),"2048 - Channel")</f>
        <v>2048 - Channel</v>
      </c>
      <c r="B1500" s="4" t="str">
        <f>IFERROR(__xludf.DUMMYFUNCTION("""COMPUTED_VALUE"""),"")</f>
        <v/>
      </c>
      <c r="C1500" s="4" t="str">
        <f>IFERROR(__xludf.DUMMYFUNCTION("""COMPUTED_VALUE"""),"")</f>
        <v/>
      </c>
      <c r="D1500" s="4" t="str">
        <f>IFERROR(__xludf.DUMMYFUNCTION("""COMPUTED_VALUE"""),"")</f>
        <v/>
      </c>
      <c r="E1500" s="4" t="str">
        <f>IFERROR(__xludf.DUMMYFUNCTION("""COMPUTED_VALUE"""),"")</f>
        <v/>
      </c>
      <c r="F1500" s="4" t="str">
        <f>IFERROR(__xludf.DUMMYFUNCTION("""COMPUTED_VALUE"""),"")</f>
        <v/>
      </c>
      <c r="G1500" s="4" t="str">
        <f>IFERROR(__xludf.DUMMYFUNCTION("""COMPUTED_VALUE"""),"")</f>
        <v/>
      </c>
      <c r="H1500" s="4" t="str">
        <f>IFERROR(__xludf.DUMMYFUNCTION("""COMPUTED_VALUE"""),"")</f>
        <v/>
      </c>
      <c r="I1500" s="4" t="str">
        <f>IFERROR(__xludf.DUMMYFUNCTION("""COMPUTED_VALUE"""),"")</f>
        <v/>
      </c>
      <c r="J1500" s="4" t="str">
        <f>IFERROR(__xludf.DUMMYFUNCTION("""COMPUTED_VALUE"""),"")</f>
        <v/>
      </c>
      <c r="K1500" s="4" t="str">
        <f>IFERROR(__xludf.DUMMYFUNCTION("""COMPUTED_VALUE"""),"")</f>
        <v/>
      </c>
      <c r="L1500" s="4" t="str">
        <f>IFERROR(__xludf.DUMMYFUNCTION("""COMPUTED_VALUE"""),"")</f>
        <v/>
      </c>
      <c r="M1500" s="4" t="str">
        <f>IFERROR(__xludf.DUMMYFUNCTION("""COMPUTED_VALUE"""),"")</f>
        <v/>
      </c>
      <c r="N1500" s="4" t="str">
        <f>IFERROR(__xludf.DUMMYFUNCTION("""COMPUTED_VALUE"""),"")</f>
        <v/>
      </c>
      <c r="O1500" s="4" t="str">
        <f>IFERROR(__xludf.DUMMYFUNCTION("""COMPUTED_VALUE"""),"")</f>
        <v/>
      </c>
      <c r="P1500" s="4" t="str">
        <f>IFERROR(__xludf.DUMMYFUNCTION("""COMPUTED_VALUE"""),"")</f>
        <v/>
      </c>
      <c r="Q1500" s="4" t="str">
        <f>IFERROR(__xludf.DUMMYFUNCTION("""COMPUTED_VALUE"""),"")</f>
        <v/>
      </c>
      <c r="R1500" s="4" t="str">
        <f>IFERROR(__xludf.DUMMYFUNCTION("""COMPUTED_VALUE"""),"")</f>
        <v/>
      </c>
      <c r="S1500" s="4" t="str">
        <f>IFERROR(__xludf.DUMMYFUNCTION("""COMPUTED_VALUE"""),"")</f>
        <v/>
      </c>
      <c r="T1500" s="4" t="str">
        <f>IFERROR(__xludf.DUMMYFUNCTION("""COMPUTED_VALUE"""),"")</f>
        <v/>
      </c>
      <c r="U1500" s="4" t="str">
        <f>IFERROR(__xludf.DUMMYFUNCTION("""COMPUTED_VALUE"""),"")</f>
        <v/>
      </c>
      <c r="V1500" s="4" t="str">
        <f>IFERROR(__xludf.DUMMYFUNCTION("""COMPUTED_VALUE"""),"")</f>
        <v/>
      </c>
      <c r="W1500" s="4" t="str">
        <f>IFERROR(__xludf.DUMMYFUNCTION("""COMPUTED_VALUE"""),"")</f>
        <v/>
      </c>
      <c r="X1500" s="4" t="str">
        <f>IFERROR(__xludf.DUMMYFUNCTION("""COMPUTED_VALUE"""),"")</f>
        <v/>
      </c>
      <c r="Y1500" s="4" t="str">
        <f>IFERROR(__xludf.DUMMYFUNCTION("""COMPUTED_VALUE"""),"")</f>
        <v/>
      </c>
    </row>
    <row r="1501">
      <c r="A1501" s="4" t="str">
        <f>IFERROR(__xludf.DUMMYFUNCTION("""COMPUTED_VALUE"""),"2049 - Channel")</f>
        <v>2049 - Channel</v>
      </c>
      <c r="B1501" s="4" t="str">
        <f>IFERROR(__xludf.DUMMYFUNCTION("""COMPUTED_VALUE"""),"")</f>
        <v/>
      </c>
      <c r="C1501" s="4" t="str">
        <f>IFERROR(__xludf.DUMMYFUNCTION("""COMPUTED_VALUE"""),"")</f>
        <v/>
      </c>
      <c r="D1501" s="4" t="str">
        <f>IFERROR(__xludf.DUMMYFUNCTION("""COMPUTED_VALUE"""),"")</f>
        <v/>
      </c>
      <c r="E1501" s="4" t="str">
        <f>IFERROR(__xludf.DUMMYFUNCTION("""COMPUTED_VALUE"""),"")</f>
        <v/>
      </c>
      <c r="F1501" s="4" t="str">
        <f>IFERROR(__xludf.DUMMYFUNCTION("""COMPUTED_VALUE"""),"")</f>
        <v/>
      </c>
      <c r="G1501" s="4" t="str">
        <f>IFERROR(__xludf.DUMMYFUNCTION("""COMPUTED_VALUE"""),"")</f>
        <v/>
      </c>
      <c r="H1501" s="4" t="str">
        <f>IFERROR(__xludf.DUMMYFUNCTION("""COMPUTED_VALUE"""),"")</f>
        <v/>
      </c>
      <c r="I1501" s="4" t="str">
        <f>IFERROR(__xludf.DUMMYFUNCTION("""COMPUTED_VALUE"""),"")</f>
        <v/>
      </c>
      <c r="J1501" s="4" t="str">
        <f>IFERROR(__xludf.DUMMYFUNCTION("""COMPUTED_VALUE"""),"")</f>
        <v/>
      </c>
      <c r="K1501" s="4" t="str">
        <f>IFERROR(__xludf.DUMMYFUNCTION("""COMPUTED_VALUE"""),"")</f>
        <v/>
      </c>
      <c r="L1501" s="4" t="str">
        <f>IFERROR(__xludf.DUMMYFUNCTION("""COMPUTED_VALUE"""),"")</f>
        <v/>
      </c>
      <c r="M1501" s="4" t="str">
        <f>IFERROR(__xludf.DUMMYFUNCTION("""COMPUTED_VALUE"""),"")</f>
        <v/>
      </c>
      <c r="N1501" s="4" t="str">
        <f>IFERROR(__xludf.DUMMYFUNCTION("""COMPUTED_VALUE"""),"")</f>
        <v/>
      </c>
      <c r="O1501" s="4" t="str">
        <f>IFERROR(__xludf.DUMMYFUNCTION("""COMPUTED_VALUE"""),"")</f>
        <v/>
      </c>
      <c r="P1501" s="4" t="str">
        <f>IFERROR(__xludf.DUMMYFUNCTION("""COMPUTED_VALUE"""),"")</f>
        <v/>
      </c>
      <c r="Q1501" s="4" t="str">
        <f>IFERROR(__xludf.DUMMYFUNCTION("""COMPUTED_VALUE"""),"")</f>
        <v/>
      </c>
      <c r="R1501" s="4" t="str">
        <f>IFERROR(__xludf.DUMMYFUNCTION("""COMPUTED_VALUE"""),"")</f>
        <v/>
      </c>
      <c r="S1501" s="4" t="str">
        <f>IFERROR(__xludf.DUMMYFUNCTION("""COMPUTED_VALUE"""),"")</f>
        <v/>
      </c>
      <c r="T1501" s="4" t="str">
        <f>IFERROR(__xludf.DUMMYFUNCTION("""COMPUTED_VALUE"""),"")</f>
        <v/>
      </c>
      <c r="U1501" s="4" t="str">
        <f>IFERROR(__xludf.DUMMYFUNCTION("""COMPUTED_VALUE"""),"")</f>
        <v/>
      </c>
      <c r="V1501" s="4" t="str">
        <f>IFERROR(__xludf.DUMMYFUNCTION("""COMPUTED_VALUE"""),"")</f>
        <v/>
      </c>
      <c r="W1501" s="4" t="str">
        <f>IFERROR(__xludf.DUMMYFUNCTION("""COMPUTED_VALUE"""),"")</f>
        <v/>
      </c>
      <c r="X1501" s="4" t="str">
        <f>IFERROR(__xludf.DUMMYFUNCTION("""COMPUTED_VALUE"""),"")</f>
        <v/>
      </c>
      <c r="Y1501" s="4" t="str">
        <f>IFERROR(__xludf.DUMMYFUNCTION("""COMPUTED_VALUE"""),"")</f>
        <v/>
      </c>
    </row>
    <row r="1502">
      <c r="A1502" s="4" t="str">
        <f>IFERROR(__xludf.DUMMYFUNCTION("""COMPUTED_VALUE"""),"2050 - Channel")</f>
        <v>2050 - Channel</v>
      </c>
      <c r="B1502" s="4" t="str">
        <f>IFERROR(__xludf.DUMMYFUNCTION("""COMPUTED_VALUE"""),"")</f>
        <v/>
      </c>
      <c r="C1502" s="4" t="str">
        <f>IFERROR(__xludf.DUMMYFUNCTION("""COMPUTED_VALUE"""),"")</f>
        <v/>
      </c>
      <c r="D1502" s="4" t="str">
        <f>IFERROR(__xludf.DUMMYFUNCTION("""COMPUTED_VALUE"""),"")</f>
        <v/>
      </c>
      <c r="E1502" s="4" t="str">
        <f>IFERROR(__xludf.DUMMYFUNCTION("""COMPUTED_VALUE"""),"")</f>
        <v/>
      </c>
      <c r="F1502" s="4" t="str">
        <f>IFERROR(__xludf.DUMMYFUNCTION("""COMPUTED_VALUE"""),"")</f>
        <v/>
      </c>
      <c r="G1502" s="4" t="str">
        <f>IFERROR(__xludf.DUMMYFUNCTION("""COMPUTED_VALUE"""),"")</f>
        <v/>
      </c>
      <c r="H1502" s="4" t="str">
        <f>IFERROR(__xludf.DUMMYFUNCTION("""COMPUTED_VALUE"""),"")</f>
        <v/>
      </c>
      <c r="I1502" s="4" t="str">
        <f>IFERROR(__xludf.DUMMYFUNCTION("""COMPUTED_VALUE"""),"")</f>
        <v/>
      </c>
      <c r="J1502" s="4" t="str">
        <f>IFERROR(__xludf.DUMMYFUNCTION("""COMPUTED_VALUE"""),"")</f>
        <v/>
      </c>
      <c r="K1502" s="4" t="str">
        <f>IFERROR(__xludf.DUMMYFUNCTION("""COMPUTED_VALUE"""),"")</f>
        <v/>
      </c>
      <c r="L1502" s="4" t="str">
        <f>IFERROR(__xludf.DUMMYFUNCTION("""COMPUTED_VALUE"""),"")</f>
        <v/>
      </c>
      <c r="M1502" s="4" t="str">
        <f>IFERROR(__xludf.DUMMYFUNCTION("""COMPUTED_VALUE"""),"")</f>
        <v/>
      </c>
      <c r="N1502" s="4" t="str">
        <f>IFERROR(__xludf.DUMMYFUNCTION("""COMPUTED_VALUE"""),"")</f>
        <v/>
      </c>
      <c r="O1502" s="4" t="str">
        <f>IFERROR(__xludf.DUMMYFUNCTION("""COMPUTED_VALUE"""),"")</f>
        <v/>
      </c>
      <c r="P1502" s="4" t="str">
        <f>IFERROR(__xludf.DUMMYFUNCTION("""COMPUTED_VALUE"""),"")</f>
        <v/>
      </c>
      <c r="Q1502" s="4" t="str">
        <f>IFERROR(__xludf.DUMMYFUNCTION("""COMPUTED_VALUE"""),"")</f>
        <v/>
      </c>
      <c r="R1502" s="4" t="str">
        <f>IFERROR(__xludf.DUMMYFUNCTION("""COMPUTED_VALUE"""),"")</f>
        <v/>
      </c>
      <c r="S1502" s="4" t="str">
        <f>IFERROR(__xludf.DUMMYFUNCTION("""COMPUTED_VALUE"""),"")</f>
        <v/>
      </c>
      <c r="T1502" s="4" t="str">
        <f>IFERROR(__xludf.DUMMYFUNCTION("""COMPUTED_VALUE"""),"")</f>
        <v/>
      </c>
      <c r="U1502" s="4" t="str">
        <f>IFERROR(__xludf.DUMMYFUNCTION("""COMPUTED_VALUE"""),"")</f>
        <v/>
      </c>
      <c r="V1502" s="4" t="str">
        <f>IFERROR(__xludf.DUMMYFUNCTION("""COMPUTED_VALUE"""),"")</f>
        <v/>
      </c>
      <c r="W1502" s="4" t="str">
        <f>IFERROR(__xludf.DUMMYFUNCTION("""COMPUTED_VALUE"""),"")</f>
        <v/>
      </c>
      <c r="X1502" s="4" t="str">
        <f>IFERROR(__xludf.DUMMYFUNCTION("""COMPUTED_VALUE"""),"")</f>
        <v/>
      </c>
      <c r="Y1502" s="4" t="str">
        <f>IFERROR(__xludf.DUMMYFUNCTION("""COMPUTED_VALUE"""),"")</f>
        <v/>
      </c>
    </row>
    <row r="1503">
      <c r="A1503" s="4" t="str">
        <f>IFERROR(__xludf.DUMMYFUNCTION("""COMPUTED_VALUE"""),"2051 - Channel")</f>
        <v>2051 - Channel</v>
      </c>
      <c r="B1503" s="4" t="str">
        <f>IFERROR(__xludf.DUMMYFUNCTION("""COMPUTED_VALUE"""),"")</f>
        <v/>
      </c>
      <c r="C1503" s="4" t="str">
        <f>IFERROR(__xludf.DUMMYFUNCTION("""COMPUTED_VALUE"""),"")</f>
        <v/>
      </c>
      <c r="D1503" s="4" t="str">
        <f>IFERROR(__xludf.DUMMYFUNCTION("""COMPUTED_VALUE"""),"")</f>
        <v/>
      </c>
      <c r="E1503" s="4" t="str">
        <f>IFERROR(__xludf.DUMMYFUNCTION("""COMPUTED_VALUE"""),"")</f>
        <v/>
      </c>
      <c r="F1503" s="4" t="str">
        <f>IFERROR(__xludf.DUMMYFUNCTION("""COMPUTED_VALUE"""),"")</f>
        <v/>
      </c>
      <c r="G1503" s="4" t="str">
        <f>IFERROR(__xludf.DUMMYFUNCTION("""COMPUTED_VALUE"""),"")</f>
        <v/>
      </c>
      <c r="H1503" s="4" t="str">
        <f>IFERROR(__xludf.DUMMYFUNCTION("""COMPUTED_VALUE"""),"")</f>
        <v/>
      </c>
      <c r="I1503" s="4" t="str">
        <f>IFERROR(__xludf.DUMMYFUNCTION("""COMPUTED_VALUE"""),"")</f>
        <v/>
      </c>
      <c r="J1503" s="4" t="str">
        <f>IFERROR(__xludf.DUMMYFUNCTION("""COMPUTED_VALUE"""),"")</f>
        <v/>
      </c>
      <c r="K1503" s="4" t="str">
        <f>IFERROR(__xludf.DUMMYFUNCTION("""COMPUTED_VALUE"""),"")</f>
        <v/>
      </c>
      <c r="L1503" s="4" t="str">
        <f>IFERROR(__xludf.DUMMYFUNCTION("""COMPUTED_VALUE"""),"")</f>
        <v/>
      </c>
      <c r="M1503" s="4" t="str">
        <f>IFERROR(__xludf.DUMMYFUNCTION("""COMPUTED_VALUE"""),"")</f>
        <v/>
      </c>
      <c r="N1503" s="4" t="str">
        <f>IFERROR(__xludf.DUMMYFUNCTION("""COMPUTED_VALUE"""),"")</f>
        <v/>
      </c>
      <c r="O1503" s="4" t="str">
        <f>IFERROR(__xludf.DUMMYFUNCTION("""COMPUTED_VALUE"""),"")</f>
        <v/>
      </c>
      <c r="P1503" s="4" t="str">
        <f>IFERROR(__xludf.DUMMYFUNCTION("""COMPUTED_VALUE"""),"")</f>
        <v/>
      </c>
      <c r="Q1503" s="4" t="str">
        <f>IFERROR(__xludf.DUMMYFUNCTION("""COMPUTED_VALUE"""),"")</f>
        <v/>
      </c>
      <c r="R1503" s="4" t="str">
        <f>IFERROR(__xludf.DUMMYFUNCTION("""COMPUTED_VALUE"""),"")</f>
        <v/>
      </c>
      <c r="S1503" s="4" t="str">
        <f>IFERROR(__xludf.DUMMYFUNCTION("""COMPUTED_VALUE"""),"")</f>
        <v/>
      </c>
      <c r="T1503" s="4" t="str">
        <f>IFERROR(__xludf.DUMMYFUNCTION("""COMPUTED_VALUE"""),"")</f>
        <v/>
      </c>
      <c r="U1503" s="4" t="str">
        <f>IFERROR(__xludf.DUMMYFUNCTION("""COMPUTED_VALUE"""),"")</f>
        <v/>
      </c>
      <c r="V1503" s="4" t="str">
        <f>IFERROR(__xludf.DUMMYFUNCTION("""COMPUTED_VALUE"""),"")</f>
        <v/>
      </c>
      <c r="W1503" s="4" t="str">
        <f>IFERROR(__xludf.DUMMYFUNCTION("""COMPUTED_VALUE"""),"")</f>
        <v/>
      </c>
      <c r="X1503" s="4" t="str">
        <f>IFERROR(__xludf.DUMMYFUNCTION("""COMPUTED_VALUE"""),"")</f>
        <v/>
      </c>
      <c r="Y1503" s="4" t="str">
        <f>IFERROR(__xludf.DUMMYFUNCTION("""COMPUTED_VALUE"""),"")</f>
        <v/>
      </c>
    </row>
    <row r="1504">
      <c r="A1504" s="4" t="str">
        <f>IFERROR(__xludf.DUMMYFUNCTION("""COMPUTED_VALUE"""),"2052 - Channel")</f>
        <v>2052 - Channel</v>
      </c>
      <c r="B1504" s="4" t="str">
        <f>IFERROR(__xludf.DUMMYFUNCTION("""COMPUTED_VALUE"""),"")</f>
        <v/>
      </c>
      <c r="C1504" s="4" t="str">
        <f>IFERROR(__xludf.DUMMYFUNCTION("""COMPUTED_VALUE"""),"")</f>
        <v/>
      </c>
      <c r="D1504" s="4" t="str">
        <f>IFERROR(__xludf.DUMMYFUNCTION("""COMPUTED_VALUE"""),"")</f>
        <v/>
      </c>
      <c r="E1504" s="4" t="str">
        <f>IFERROR(__xludf.DUMMYFUNCTION("""COMPUTED_VALUE"""),"")</f>
        <v/>
      </c>
      <c r="F1504" s="4" t="str">
        <f>IFERROR(__xludf.DUMMYFUNCTION("""COMPUTED_VALUE"""),"")</f>
        <v/>
      </c>
      <c r="G1504" s="4" t="str">
        <f>IFERROR(__xludf.DUMMYFUNCTION("""COMPUTED_VALUE"""),"")</f>
        <v/>
      </c>
      <c r="H1504" s="4" t="str">
        <f>IFERROR(__xludf.DUMMYFUNCTION("""COMPUTED_VALUE"""),"")</f>
        <v/>
      </c>
      <c r="I1504" s="4" t="str">
        <f>IFERROR(__xludf.DUMMYFUNCTION("""COMPUTED_VALUE"""),"")</f>
        <v/>
      </c>
      <c r="J1504" s="4" t="str">
        <f>IFERROR(__xludf.DUMMYFUNCTION("""COMPUTED_VALUE"""),"")</f>
        <v/>
      </c>
      <c r="K1504" s="4" t="str">
        <f>IFERROR(__xludf.DUMMYFUNCTION("""COMPUTED_VALUE"""),"")</f>
        <v/>
      </c>
      <c r="L1504" s="4" t="str">
        <f>IFERROR(__xludf.DUMMYFUNCTION("""COMPUTED_VALUE"""),"")</f>
        <v/>
      </c>
      <c r="M1504" s="4" t="str">
        <f>IFERROR(__xludf.DUMMYFUNCTION("""COMPUTED_VALUE"""),"")</f>
        <v/>
      </c>
      <c r="N1504" s="4" t="str">
        <f>IFERROR(__xludf.DUMMYFUNCTION("""COMPUTED_VALUE"""),"")</f>
        <v/>
      </c>
      <c r="O1504" s="4" t="str">
        <f>IFERROR(__xludf.DUMMYFUNCTION("""COMPUTED_VALUE"""),"")</f>
        <v/>
      </c>
      <c r="P1504" s="4" t="str">
        <f>IFERROR(__xludf.DUMMYFUNCTION("""COMPUTED_VALUE"""),"")</f>
        <v/>
      </c>
      <c r="Q1504" s="4" t="str">
        <f>IFERROR(__xludf.DUMMYFUNCTION("""COMPUTED_VALUE"""),"")</f>
        <v/>
      </c>
      <c r="R1504" s="4" t="str">
        <f>IFERROR(__xludf.DUMMYFUNCTION("""COMPUTED_VALUE"""),"")</f>
        <v/>
      </c>
      <c r="S1504" s="4" t="str">
        <f>IFERROR(__xludf.DUMMYFUNCTION("""COMPUTED_VALUE"""),"")</f>
        <v/>
      </c>
      <c r="T1504" s="4" t="str">
        <f>IFERROR(__xludf.DUMMYFUNCTION("""COMPUTED_VALUE"""),"")</f>
        <v/>
      </c>
      <c r="U1504" s="4" t="str">
        <f>IFERROR(__xludf.DUMMYFUNCTION("""COMPUTED_VALUE"""),"")</f>
        <v/>
      </c>
      <c r="V1504" s="4" t="str">
        <f>IFERROR(__xludf.DUMMYFUNCTION("""COMPUTED_VALUE"""),"")</f>
        <v/>
      </c>
      <c r="W1504" s="4" t="str">
        <f>IFERROR(__xludf.DUMMYFUNCTION("""COMPUTED_VALUE"""),"")</f>
        <v/>
      </c>
      <c r="X1504" s="4" t="str">
        <f>IFERROR(__xludf.DUMMYFUNCTION("""COMPUTED_VALUE"""),"")</f>
        <v/>
      </c>
      <c r="Y1504" s="4" t="str">
        <f>IFERROR(__xludf.DUMMYFUNCTION("""COMPUTED_VALUE"""),"")</f>
        <v/>
      </c>
    </row>
    <row r="1505">
      <c r="A1505" s="4" t="str">
        <f>IFERROR(__xludf.DUMMYFUNCTION("""COMPUTED_VALUE"""),"2053 - Channel")</f>
        <v>2053 - Channel</v>
      </c>
      <c r="B1505" s="4" t="str">
        <f>IFERROR(__xludf.DUMMYFUNCTION("""COMPUTED_VALUE"""),"")</f>
        <v/>
      </c>
      <c r="C1505" s="4" t="str">
        <f>IFERROR(__xludf.DUMMYFUNCTION("""COMPUTED_VALUE"""),"")</f>
        <v/>
      </c>
      <c r="D1505" s="4" t="str">
        <f>IFERROR(__xludf.DUMMYFUNCTION("""COMPUTED_VALUE"""),"")</f>
        <v/>
      </c>
      <c r="E1505" s="4" t="str">
        <f>IFERROR(__xludf.DUMMYFUNCTION("""COMPUTED_VALUE"""),"")</f>
        <v/>
      </c>
      <c r="F1505" s="4" t="str">
        <f>IFERROR(__xludf.DUMMYFUNCTION("""COMPUTED_VALUE"""),"")</f>
        <v/>
      </c>
      <c r="G1505" s="4" t="str">
        <f>IFERROR(__xludf.DUMMYFUNCTION("""COMPUTED_VALUE"""),"")</f>
        <v/>
      </c>
      <c r="H1505" s="4" t="str">
        <f>IFERROR(__xludf.DUMMYFUNCTION("""COMPUTED_VALUE"""),"")</f>
        <v/>
      </c>
      <c r="I1505" s="4" t="str">
        <f>IFERROR(__xludf.DUMMYFUNCTION("""COMPUTED_VALUE"""),"")</f>
        <v/>
      </c>
      <c r="J1505" s="4" t="str">
        <f>IFERROR(__xludf.DUMMYFUNCTION("""COMPUTED_VALUE"""),"")</f>
        <v/>
      </c>
      <c r="K1505" s="4" t="str">
        <f>IFERROR(__xludf.DUMMYFUNCTION("""COMPUTED_VALUE"""),"")</f>
        <v/>
      </c>
      <c r="L1505" s="4" t="str">
        <f>IFERROR(__xludf.DUMMYFUNCTION("""COMPUTED_VALUE"""),"")</f>
        <v/>
      </c>
      <c r="M1505" s="4" t="str">
        <f>IFERROR(__xludf.DUMMYFUNCTION("""COMPUTED_VALUE"""),"")</f>
        <v/>
      </c>
      <c r="N1505" s="4" t="str">
        <f>IFERROR(__xludf.DUMMYFUNCTION("""COMPUTED_VALUE"""),"")</f>
        <v/>
      </c>
      <c r="O1505" s="4" t="str">
        <f>IFERROR(__xludf.DUMMYFUNCTION("""COMPUTED_VALUE"""),"")</f>
        <v/>
      </c>
      <c r="P1505" s="4" t="str">
        <f>IFERROR(__xludf.DUMMYFUNCTION("""COMPUTED_VALUE"""),"")</f>
        <v/>
      </c>
      <c r="Q1505" s="4" t="str">
        <f>IFERROR(__xludf.DUMMYFUNCTION("""COMPUTED_VALUE"""),"")</f>
        <v/>
      </c>
      <c r="R1505" s="4" t="str">
        <f>IFERROR(__xludf.DUMMYFUNCTION("""COMPUTED_VALUE"""),"")</f>
        <v/>
      </c>
      <c r="S1505" s="4" t="str">
        <f>IFERROR(__xludf.DUMMYFUNCTION("""COMPUTED_VALUE"""),"")</f>
        <v/>
      </c>
      <c r="T1505" s="4" t="str">
        <f>IFERROR(__xludf.DUMMYFUNCTION("""COMPUTED_VALUE"""),"")</f>
        <v/>
      </c>
      <c r="U1505" s="4" t="str">
        <f>IFERROR(__xludf.DUMMYFUNCTION("""COMPUTED_VALUE"""),"")</f>
        <v/>
      </c>
      <c r="V1505" s="4" t="str">
        <f>IFERROR(__xludf.DUMMYFUNCTION("""COMPUTED_VALUE"""),"")</f>
        <v/>
      </c>
      <c r="W1505" s="4" t="str">
        <f>IFERROR(__xludf.DUMMYFUNCTION("""COMPUTED_VALUE"""),"")</f>
        <v/>
      </c>
      <c r="X1505" s="4" t="str">
        <f>IFERROR(__xludf.DUMMYFUNCTION("""COMPUTED_VALUE"""),"")</f>
        <v/>
      </c>
      <c r="Y1505" s="4" t="str">
        <f>IFERROR(__xludf.DUMMYFUNCTION("""COMPUTED_VALUE"""),"")</f>
        <v/>
      </c>
    </row>
    <row r="1506">
      <c r="A1506" s="4" t="str">
        <f>IFERROR(__xludf.DUMMYFUNCTION("""COMPUTED_VALUE"""),"2054 - Channel")</f>
        <v>2054 - Channel</v>
      </c>
      <c r="B1506" s="4" t="str">
        <f>IFERROR(__xludf.DUMMYFUNCTION("""COMPUTED_VALUE"""),"")</f>
        <v/>
      </c>
      <c r="C1506" s="4" t="str">
        <f>IFERROR(__xludf.DUMMYFUNCTION("""COMPUTED_VALUE"""),"")</f>
        <v/>
      </c>
      <c r="D1506" s="4" t="str">
        <f>IFERROR(__xludf.DUMMYFUNCTION("""COMPUTED_VALUE"""),"")</f>
        <v/>
      </c>
      <c r="E1506" s="4" t="str">
        <f>IFERROR(__xludf.DUMMYFUNCTION("""COMPUTED_VALUE"""),"")</f>
        <v/>
      </c>
      <c r="F1506" s="4" t="str">
        <f>IFERROR(__xludf.DUMMYFUNCTION("""COMPUTED_VALUE"""),"")</f>
        <v/>
      </c>
      <c r="G1506" s="4" t="str">
        <f>IFERROR(__xludf.DUMMYFUNCTION("""COMPUTED_VALUE"""),"")</f>
        <v/>
      </c>
      <c r="H1506" s="4" t="str">
        <f>IFERROR(__xludf.DUMMYFUNCTION("""COMPUTED_VALUE"""),"")</f>
        <v/>
      </c>
      <c r="I1506" s="4" t="str">
        <f>IFERROR(__xludf.DUMMYFUNCTION("""COMPUTED_VALUE"""),"")</f>
        <v/>
      </c>
      <c r="J1506" s="4" t="str">
        <f>IFERROR(__xludf.DUMMYFUNCTION("""COMPUTED_VALUE"""),"")</f>
        <v/>
      </c>
      <c r="K1506" s="4" t="str">
        <f>IFERROR(__xludf.DUMMYFUNCTION("""COMPUTED_VALUE"""),"")</f>
        <v/>
      </c>
      <c r="L1506" s="4" t="str">
        <f>IFERROR(__xludf.DUMMYFUNCTION("""COMPUTED_VALUE"""),"")</f>
        <v/>
      </c>
      <c r="M1506" s="4" t="str">
        <f>IFERROR(__xludf.DUMMYFUNCTION("""COMPUTED_VALUE"""),"")</f>
        <v/>
      </c>
      <c r="N1506" s="4" t="str">
        <f>IFERROR(__xludf.DUMMYFUNCTION("""COMPUTED_VALUE"""),"")</f>
        <v/>
      </c>
      <c r="O1506" s="4" t="str">
        <f>IFERROR(__xludf.DUMMYFUNCTION("""COMPUTED_VALUE"""),"")</f>
        <v/>
      </c>
      <c r="P1506" s="4" t="str">
        <f>IFERROR(__xludf.DUMMYFUNCTION("""COMPUTED_VALUE"""),"")</f>
        <v/>
      </c>
      <c r="Q1506" s="4" t="str">
        <f>IFERROR(__xludf.DUMMYFUNCTION("""COMPUTED_VALUE"""),"")</f>
        <v/>
      </c>
      <c r="R1506" s="4" t="str">
        <f>IFERROR(__xludf.DUMMYFUNCTION("""COMPUTED_VALUE"""),"")</f>
        <v/>
      </c>
      <c r="S1506" s="4" t="str">
        <f>IFERROR(__xludf.DUMMYFUNCTION("""COMPUTED_VALUE"""),"")</f>
        <v/>
      </c>
      <c r="T1506" s="4" t="str">
        <f>IFERROR(__xludf.DUMMYFUNCTION("""COMPUTED_VALUE"""),"")</f>
        <v/>
      </c>
      <c r="U1506" s="4" t="str">
        <f>IFERROR(__xludf.DUMMYFUNCTION("""COMPUTED_VALUE"""),"")</f>
        <v/>
      </c>
      <c r="V1506" s="4" t="str">
        <f>IFERROR(__xludf.DUMMYFUNCTION("""COMPUTED_VALUE"""),"")</f>
        <v/>
      </c>
      <c r="W1506" s="4" t="str">
        <f>IFERROR(__xludf.DUMMYFUNCTION("""COMPUTED_VALUE"""),"")</f>
        <v/>
      </c>
      <c r="X1506" s="4" t="str">
        <f>IFERROR(__xludf.DUMMYFUNCTION("""COMPUTED_VALUE"""),"")</f>
        <v/>
      </c>
      <c r="Y1506" s="4" t="str">
        <f>IFERROR(__xludf.DUMMYFUNCTION("""COMPUTED_VALUE"""),"")</f>
        <v/>
      </c>
    </row>
    <row r="1507">
      <c r="A1507" s="4" t="str">
        <f>IFERROR(__xludf.DUMMYFUNCTION("""COMPUTED_VALUE"""),"2055 - Channel")</f>
        <v>2055 - Channel</v>
      </c>
      <c r="B1507" s="4" t="str">
        <f>IFERROR(__xludf.DUMMYFUNCTION("""COMPUTED_VALUE"""),"")</f>
        <v/>
      </c>
      <c r="C1507" s="4" t="str">
        <f>IFERROR(__xludf.DUMMYFUNCTION("""COMPUTED_VALUE"""),"")</f>
        <v/>
      </c>
      <c r="D1507" s="4" t="str">
        <f>IFERROR(__xludf.DUMMYFUNCTION("""COMPUTED_VALUE"""),"")</f>
        <v/>
      </c>
      <c r="E1507" s="4" t="str">
        <f>IFERROR(__xludf.DUMMYFUNCTION("""COMPUTED_VALUE"""),"")</f>
        <v/>
      </c>
      <c r="F1507" s="4" t="str">
        <f>IFERROR(__xludf.DUMMYFUNCTION("""COMPUTED_VALUE"""),"")</f>
        <v/>
      </c>
      <c r="G1507" s="4" t="str">
        <f>IFERROR(__xludf.DUMMYFUNCTION("""COMPUTED_VALUE"""),"")</f>
        <v/>
      </c>
      <c r="H1507" s="4" t="str">
        <f>IFERROR(__xludf.DUMMYFUNCTION("""COMPUTED_VALUE"""),"")</f>
        <v/>
      </c>
      <c r="I1507" s="4" t="str">
        <f>IFERROR(__xludf.DUMMYFUNCTION("""COMPUTED_VALUE"""),"")</f>
        <v/>
      </c>
      <c r="J1507" s="4" t="str">
        <f>IFERROR(__xludf.DUMMYFUNCTION("""COMPUTED_VALUE"""),"")</f>
        <v/>
      </c>
      <c r="K1507" s="4" t="str">
        <f>IFERROR(__xludf.DUMMYFUNCTION("""COMPUTED_VALUE"""),"")</f>
        <v/>
      </c>
      <c r="L1507" s="4" t="str">
        <f>IFERROR(__xludf.DUMMYFUNCTION("""COMPUTED_VALUE"""),"")</f>
        <v/>
      </c>
      <c r="M1507" s="4" t="str">
        <f>IFERROR(__xludf.DUMMYFUNCTION("""COMPUTED_VALUE"""),"")</f>
        <v/>
      </c>
      <c r="N1507" s="4" t="str">
        <f>IFERROR(__xludf.DUMMYFUNCTION("""COMPUTED_VALUE"""),"")</f>
        <v/>
      </c>
      <c r="O1507" s="4" t="str">
        <f>IFERROR(__xludf.DUMMYFUNCTION("""COMPUTED_VALUE"""),"")</f>
        <v/>
      </c>
      <c r="P1507" s="4" t="str">
        <f>IFERROR(__xludf.DUMMYFUNCTION("""COMPUTED_VALUE"""),"")</f>
        <v/>
      </c>
      <c r="Q1507" s="4" t="str">
        <f>IFERROR(__xludf.DUMMYFUNCTION("""COMPUTED_VALUE"""),"")</f>
        <v/>
      </c>
      <c r="R1507" s="4" t="str">
        <f>IFERROR(__xludf.DUMMYFUNCTION("""COMPUTED_VALUE"""),"")</f>
        <v/>
      </c>
      <c r="S1507" s="4" t="str">
        <f>IFERROR(__xludf.DUMMYFUNCTION("""COMPUTED_VALUE"""),"")</f>
        <v/>
      </c>
      <c r="T1507" s="4" t="str">
        <f>IFERROR(__xludf.DUMMYFUNCTION("""COMPUTED_VALUE"""),"")</f>
        <v/>
      </c>
      <c r="U1507" s="4" t="str">
        <f>IFERROR(__xludf.DUMMYFUNCTION("""COMPUTED_VALUE"""),"")</f>
        <v/>
      </c>
      <c r="V1507" s="4" t="str">
        <f>IFERROR(__xludf.DUMMYFUNCTION("""COMPUTED_VALUE"""),"")</f>
        <v/>
      </c>
      <c r="W1507" s="4" t="str">
        <f>IFERROR(__xludf.DUMMYFUNCTION("""COMPUTED_VALUE"""),"")</f>
        <v/>
      </c>
      <c r="X1507" s="4" t="str">
        <f>IFERROR(__xludf.DUMMYFUNCTION("""COMPUTED_VALUE"""),"")</f>
        <v/>
      </c>
      <c r="Y1507" s="4" t="str">
        <f>IFERROR(__xludf.DUMMYFUNCTION("""COMPUTED_VALUE"""),"")</f>
        <v/>
      </c>
    </row>
    <row r="1508">
      <c r="A1508" s="4" t="str">
        <f>IFERROR(__xludf.DUMMYFUNCTION("""COMPUTED_VALUE"""),"2056 - Channel")</f>
        <v>2056 - Channel</v>
      </c>
      <c r="B1508" s="4" t="str">
        <f>IFERROR(__xludf.DUMMYFUNCTION("""COMPUTED_VALUE"""),"")</f>
        <v/>
      </c>
      <c r="C1508" s="4" t="str">
        <f>IFERROR(__xludf.DUMMYFUNCTION("""COMPUTED_VALUE"""),"")</f>
        <v/>
      </c>
      <c r="D1508" s="4" t="str">
        <f>IFERROR(__xludf.DUMMYFUNCTION("""COMPUTED_VALUE"""),"")</f>
        <v/>
      </c>
      <c r="E1508" s="4" t="str">
        <f>IFERROR(__xludf.DUMMYFUNCTION("""COMPUTED_VALUE"""),"")</f>
        <v/>
      </c>
      <c r="F1508" s="4" t="str">
        <f>IFERROR(__xludf.DUMMYFUNCTION("""COMPUTED_VALUE"""),"")</f>
        <v/>
      </c>
      <c r="G1508" s="4" t="str">
        <f>IFERROR(__xludf.DUMMYFUNCTION("""COMPUTED_VALUE"""),"")</f>
        <v/>
      </c>
      <c r="H1508" s="4" t="str">
        <f>IFERROR(__xludf.DUMMYFUNCTION("""COMPUTED_VALUE"""),"")</f>
        <v/>
      </c>
      <c r="I1508" s="4" t="str">
        <f>IFERROR(__xludf.DUMMYFUNCTION("""COMPUTED_VALUE"""),"")</f>
        <v/>
      </c>
      <c r="J1508" s="4" t="str">
        <f>IFERROR(__xludf.DUMMYFUNCTION("""COMPUTED_VALUE"""),"")</f>
        <v/>
      </c>
      <c r="K1508" s="4" t="str">
        <f>IFERROR(__xludf.DUMMYFUNCTION("""COMPUTED_VALUE"""),"")</f>
        <v/>
      </c>
      <c r="L1508" s="4" t="str">
        <f>IFERROR(__xludf.DUMMYFUNCTION("""COMPUTED_VALUE"""),"")</f>
        <v/>
      </c>
      <c r="M1508" s="4" t="str">
        <f>IFERROR(__xludf.DUMMYFUNCTION("""COMPUTED_VALUE"""),"")</f>
        <v/>
      </c>
      <c r="N1508" s="4" t="str">
        <f>IFERROR(__xludf.DUMMYFUNCTION("""COMPUTED_VALUE"""),"")</f>
        <v/>
      </c>
      <c r="O1508" s="4" t="str">
        <f>IFERROR(__xludf.DUMMYFUNCTION("""COMPUTED_VALUE"""),"")</f>
        <v/>
      </c>
      <c r="P1508" s="4" t="str">
        <f>IFERROR(__xludf.DUMMYFUNCTION("""COMPUTED_VALUE"""),"")</f>
        <v/>
      </c>
      <c r="Q1508" s="4" t="str">
        <f>IFERROR(__xludf.DUMMYFUNCTION("""COMPUTED_VALUE"""),"")</f>
        <v/>
      </c>
      <c r="R1508" s="4" t="str">
        <f>IFERROR(__xludf.DUMMYFUNCTION("""COMPUTED_VALUE"""),"")</f>
        <v/>
      </c>
      <c r="S1508" s="4" t="str">
        <f>IFERROR(__xludf.DUMMYFUNCTION("""COMPUTED_VALUE"""),"")</f>
        <v/>
      </c>
      <c r="T1508" s="4" t="str">
        <f>IFERROR(__xludf.DUMMYFUNCTION("""COMPUTED_VALUE"""),"")</f>
        <v/>
      </c>
      <c r="U1508" s="4" t="str">
        <f>IFERROR(__xludf.DUMMYFUNCTION("""COMPUTED_VALUE"""),"")</f>
        <v/>
      </c>
      <c r="V1508" s="4" t="str">
        <f>IFERROR(__xludf.DUMMYFUNCTION("""COMPUTED_VALUE"""),"")</f>
        <v/>
      </c>
      <c r="W1508" s="4" t="str">
        <f>IFERROR(__xludf.DUMMYFUNCTION("""COMPUTED_VALUE"""),"")</f>
        <v/>
      </c>
      <c r="X1508" s="4" t="str">
        <f>IFERROR(__xludf.DUMMYFUNCTION("""COMPUTED_VALUE"""),"")</f>
        <v/>
      </c>
      <c r="Y1508" s="4" t="str">
        <f>IFERROR(__xludf.DUMMYFUNCTION("""COMPUTED_VALUE"""),"")</f>
        <v/>
      </c>
    </row>
    <row r="1509">
      <c r="A1509" s="4" t="str">
        <f>IFERROR(__xludf.DUMMYFUNCTION("""COMPUTED_VALUE"""),"2057 - Channel")</f>
        <v>2057 - Channel</v>
      </c>
      <c r="B1509" s="4" t="str">
        <f>IFERROR(__xludf.DUMMYFUNCTION("""COMPUTED_VALUE"""),"")</f>
        <v/>
      </c>
      <c r="C1509" s="4" t="str">
        <f>IFERROR(__xludf.DUMMYFUNCTION("""COMPUTED_VALUE"""),"")</f>
        <v/>
      </c>
      <c r="D1509" s="4" t="str">
        <f>IFERROR(__xludf.DUMMYFUNCTION("""COMPUTED_VALUE"""),"")</f>
        <v/>
      </c>
      <c r="E1509" s="4" t="str">
        <f>IFERROR(__xludf.DUMMYFUNCTION("""COMPUTED_VALUE"""),"")</f>
        <v/>
      </c>
      <c r="F1509" s="4" t="str">
        <f>IFERROR(__xludf.DUMMYFUNCTION("""COMPUTED_VALUE"""),"")</f>
        <v/>
      </c>
      <c r="G1509" s="4" t="str">
        <f>IFERROR(__xludf.DUMMYFUNCTION("""COMPUTED_VALUE"""),"")</f>
        <v/>
      </c>
      <c r="H1509" s="4" t="str">
        <f>IFERROR(__xludf.DUMMYFUNCTION("""COMPUTED_VALUE"""),"")</f>
        <v/>
      </c>
      <c r="I1509" s="4" t="str">
        <f>IFERROR(__xludf.DUMMYFUNCTION("""COMPUTED_VALUE"""),"")</f>
        <v/>
      </c>
      <c r="J1509" s="4" t="str">
        <f>IFERROR(__xludf.DUMMYFUNCTION("""COMPUTED_VALUE"""),"")</f>
        <v/>
      </c>
      <c r="K1509" s="4" t="str">
        <f>IFERROR(__xludf.DUMMYFUNCTION("""COMPUTED_VALUE"""),"")</f>
        <v/>
      </c>
      <c r="L1509" s="4" t="str">
        <f>IFERROR(__xludf.DUMMYFUNCTION("""COMPUTED_VALUE"""),"")</f>
        <v/>
      </c>
      <c r="M1509" s="4" t="str">
        <f>IFERROR(__xludf.DUMMYFUNCTION("""COMPUTED_VALUE"""),"")</f>
        <v/>
      </c>
      <c r="N1509" s="4" t="str">
        <f>IFERROR(__xludf.DUMMYFUNCTION("""COMPUTED_VALUE"""),"")</f>
        <v/>
      </c>
      <c r="O1509" s="4" t="str">
        <f>IFERROR(__xludf.DUMMYFUNCTION("""COMPUTED_VALUE"""),"")</f>
        <v/>
      </c>
      <c r="P1509" s="4" t="str">
        <f>IFERROR(__xludf.DUMMYFUNCTION("""COMPUTED_VALUE"""),"")</f>
        <v/>
      </c>
      <c r="Q1509" s="4" t="str">
        <f>IFERROR(__xludf.DUMMYFUNCTION("""COMPUTED_VALUE"""),"")</f>
        <v/>
      </c>
      <c r="R1509" s="4" t="str">
        <f>IFERROR(__xludf.DUMMYFUNCTION("""COMPUTED_VALUE"""),"")</f>
        <v/>
      </c>
      <c r="S1509" s="4" t="str">
        <f>IFERROR(__xludf.DUMMYFUNCTION("""COMPUTED_VALUE"""),"")</f>
        <v/>
      </c>
      <c r="T1509" s="4" t="str">
        <f>IFERROR(__xludf.DUMMYFUNCTION("""COMPUTED_VALUE"""),"")</f>
        <v/>
      </c>
      <c r="U1509" s="4" t="str">
        <f>IFERROR(__xludf.DUMMYFUNCTION("""COMPUTED_VALUE"""),"")</f>
        <v/>
      </c>
      <c r="V1509" s="4" t="str">
        <f>IFERROR(__xludf.DUMMYFUNCTION("""COMPUTED_VALUE"""),"")</f>
        <v/>
      </c>
      <c r="W1509" s="4" t="str">
        <f>IFERROR(__xludf.DUMMYFUNCTION("""COMPUTED_VALUE"""),"")</f>
        <v/>
      </c>
      <c r="X1509" s="4" t="str">
        <f>IFERROR(__xludf.DUMMYFUNCTION("""COMPUTED_VALUE"""),"")</f>
        <v/>
      </c>
      <c r="Y1509" s="4" t="str">
        <f>IFERROR(__xludf.DUMMYFUNCTION("""COMPUTED_VALUE"""),"")</f>
        <v/>
      </c>
    </row>
    <row r="1510">
      <c r="A1510" s="4" t="str">
        <f>IFERROR(__xludf.DUMMYFUNCTION("""COMPUTED_VALUE"""),"2058 - Channel")</f>
        <v>2058 - Channel</v>
      </c>
      <c r="B1510" s="4" t="str">
        <f>IFERROR(__xludf.DUMMYFUNCTION("""COMPUTED_VALUE"""),"")</f>
        <v/>
      </c>
      <c r="C1510" s="4" t="str">
        <f>IFERROR(__xludf.DUMMYFUNCTION("""COMPUTED_VALUE"""),"")</f>
        <v/>
      </c>
      <c r="D1510" s="4" t="str">
        <f>IFERROR(__xludf.DUMMYFUNCTION("""COMPUTED_VALUE"""),"")</f>
        <v/>
      </c>
      <c r="E1510" s="4" t="str">
        <f>IFERROR(__xludf.DUMMYFUNCTION("""COMPUTED_VALUE"""),"")</f>
        <v/>
      </c>
      <c r="F1510" s="4" t="str">
        <f>IFERROR(__xludf.DUMMYFUNCTION("""COMPUTED_VALUE"""),"")</f>
        <v/>
      </c>
      <c r="G1510" s="4" t="str">
        <f>IFERROR(__xludf.DUMMYFUNCTION("""COMPUTED_VALUE"""),"")</f>
        <v/>
      </c>
      <c r="H1510" s="4" t="str">
        <f>IFERROR(__xludf.DUMMYFUNCTION("""COMPUTED_VALUE"""),"")</f>
        <v/>
      </c>
      <c r="I1510" s="4" t="str">
        <f>IFERROR(__xludf.DUMMYFUNCTION("""COMPUTED_VALUE"""),"")</f>
        <v/>
      </c>
      <c r="J1510" s="4" t="str">
        <f>IFERROR(__xludf.DUMMYFUNCTION("""COMPUTED_VALUE"""),"")</f>
        <v/>
      </c>
      <c r="K1510" s="4" t="str">
        <f>IFERROR(__xludf.DUMMYFUNCTION("""COMPUTED_VALUE"""),"")</f>
        <v/>
      </c>
      <c r="L1510" s="4" t="str">
        <f>IFERROR(__xludf.DUMMYFUNCTION("""COMPUTED_VALUE"""),"")</f>
        <v/>
      </c>
      <c r="M1510" s="4" t="str">
        <f>IFERROR(__xludf.DUMMYFUNCTION("""COMPUTED_VALUE"""),"")</f>
        <v/>
      </c>
      <c r="N1510" s="4" t="str">
        <f>IFERROR(__xludf.DUMMYFUNCTION("""COMPUTED_VALUE"""),"")</f>
        <v/>
      </c>
      <c r="O1510" s="4" t="str">
        <f>IFERROR(__xludf.DUMMYFUNCTION("""COMPUTED_VALUE"""),"")</f>
        <v/>
      </c>
      <c r="P1510" s="4" t="str">
        <f>IFERROR(__xludf.DUMMYFUNCTION("""COMPUTED_VALUE"""),"")</f>
        <v/>
      </c>
      <c r="Q1510" s="4" t="str">
        <f>IFERROR(__xludf.DUMMYFUNCTION("""COMPUTED_VALUE"""),"")</f>
        <v/>
      </c>
      <c r="R1510" s="4" t="str">
        <f>IFERROR(__xludf.DUMMYFUNCTION("""COMPUTED_VALUE"""),"")</f>
        <v/>
      </c>
      <c r="S1510" s="4" t="str">
        <f>IFERROR(__xludf.DUMMYFUNCTION("""COMPUTED_VALUE"""),"")</f>
        <v/>
      </c>
      <c r="T1510" s="4" t="str">
        <f>IFERROR(__xludf.DUMMYFUNCTION("""COMPUTED_VALUE"""),"")</f>
        <v/>
      </c>
      <c r="U1510" s="4" t="str">
        <f>IFERROR(__xludf.DUMMYFUNCTION("""COMPUTED_VALUE"""),"")</f>
        <v/>
      </c>
      <c r="V1510" s="4" t="str">
        <f>IFERROR(__xludf.DUMMYFUNCTION("""COMPUTED_VALUE"""),"")</f>
        <v/>
      </c>
      <c r="W1510" s="4" t="str">
        <f>IFERROR(__xludf.DUMMYFUNCTION("""COMPUTED_VALUE"""),"")</f>
        <v/>
      </c>
      <c r="X1510" s="4" t="str">
        <f>IFERROR(__xludf.DUMMYFUNCTION("""COMPUTED_VALUE"""),"")</f>
        <v/>
      </c>
      <c r="Y1510" s="4" t="str">
        <f>IFERROR(__xludf.DUMMYFUNCTION("""COMPUTED_VALUE"""),"")</f>
        <v/>
      </c>
    </row>
    <row r="1511">
      <c r="A1511" s="4" t="str">
        <f>IFERROR(__xludf.DUMMYFUNCTION("""COMPUTED_VALUE"""),"2059 - Channel")</f>
        <v>2059 - Channel</v>
      </c>
      <c r="B1511" s="4" t="str">
        <f>IFERROR(__xludf.DUMMYFUNCTION("""COMPUTED_VALUE"""),"")</f>
        <v/>
      </c>
      <c r="C1511" s="4" t="str">
        <f>IFERROR(__xludf.DUMMYFUNCTION("""COMPUTED_VALUE"""),"")</f>
        <v/>
      </c>
      <c r="D1511" s="4" t="str">
        <f>IFERROR(__xludf.DUMMYFUNCTION("""COMPUTED_VALUE"""),"")</f>
        <v/>
      </c>
      <c r="E1511" s="4" t="str">
        <f>IFERROR(__xludf.DUMMYFUNCTION("""COMPUTED_VALUE"""),"")</f>
        <v/>
      </c>
      <c r="F1511" s="4" t="str">
        <f>IFERROR(__xludf.DUMMYFUNCTION("""COMPUTED_VALUE"""),"")</f>
        <v/>
      </c>
      <c r="G1511" s="4" t="str">
        <f>IFERROR(__xludf.DUMMYFUNCTION("""COMPUTED_VALUE"""),"")</f>
        <v/>
      </c>
      <c r="H1511" s="4" t="str">
        <f>IFERROR(__xludf.DUMMYFUNCTION("""COMPUTED_VALUE"""),"")</f>
        <v/>
      </c>
      <c r="I1511" s="4" t="str">
        <f>IFERROR(__xludf.DUMMYFUNCTION("""COMPUTED_VALUE"""),"")</f>
        <v/>
      </c>
      <c r="J1511" s="4" t="str">
        <f>IFERROR(__xludf.DUMMYFUNCTION("""COMPUTED_VALUE"""),"")</f>
        <v/>
      </c>
      <c r="K1511" s="4" t="str">
        <f>IFERROR(__xludf.DUMMYFUNCTION("""COMPUTED_VALUE"""),"")</f>
        <v/>
      </c>
      <c r="L1511" s="4" t="str">
        <f>IFERROR(__xludf.DUMMYFUNCTION("""COMPUTED_VALUE"""),"")</f>
        <v/>
      </c>
      <c r="M1511" s="4" t="str">
        <f>IFERROR(__xludf.DUMMYFUNCTION("""COMPUTED_VALUE"""),"")</f>
        <v/>
      </c>
      <c r="N1511" s="4" t="str">
        <f>IFERROR(__xludf.DUMMYFUNCTION("""COMPUTED_VALUE"""),"")</f>
        <v/>
      </c>
      <c r="O1511" s="4" t="str">
        <f>IFERROR(__xludf.DUMMYFUNCTION("""COMPUTED_VALUE"""),"")</f>
        <v/>
      </c>
      <c r="P1511" s="4" t="str">
        <f>IFERROR(__xludf.DUMMYFUNCTION("""COMPUTED_VALUE"""),"")</f>
        <v/>
      </c>
      <c r="Q1511" s="4" t="str">
        <f>IFERROR(__xludf.DUMMYFUNCTION("""COMPUTED_VALUE"""),"")</f>
        <v/>
      </c>
      <c r="R1511" s="4" t="str">
        <f>IFERROR(__xludf.DUMMYFUNCTION("""COMPUTED_VALUE"""),"")</f>
        <v/>
      </c>
      <c r="S1511" s="4" t="str">
        <f>IFERROR(__xludf.DUMMYFUNCTION("""COMPUTED_VALUE"""),"")</f>
        <v/>
      </c>
      <c r="T1511" s="4" t="str">
        <f>IFERROR(__xludf.DUMMYFUNCTION("""COMPUTED_VALUE"""),"")</f>
        <v/>
      </c>
      <c r="U1511" s="4" t="str">
        <f>IFERROR(__xludf.DUMMYFUNCTION("""COMPUTED_VALUE"""),"")</f>
        <v/>
      </c>
      <c r="V1511" s="4" t="str">
        <f>IFERROR(__xludf.DUMMYFUNCTION("""COMPUTED_VALUE"""),"")</f>
        <v/>
      </c>
      <c r="W1511" s="4" t="str">
        <f>IFERROR(__xludf.DUMMYFUNCTION("""COMPUTED_VALUE"""),"")</f>
        <v/>
      </c>
      <c r="X1511" s="4" t="str">
        <f>IFERROR(__xludf.DUMMYFUNCTION("""COMPUTED_VALUE"""),"")</f>
        <v/>
      </c>
      <c r="Y1511" s="4" t="str">
        <f>IFERROR(__xludf.DUMMYFUNCTION("""COMPUTED_VALUE"""),"")</f>
        <v/>
      </c>
    </row>
    <row r="1512">
      <c r="A1512" s="4" t="str">
        <f>IFERROR(__xludf.DUMMYFUNCTION("""COMPUTED_VALUE"""),"2060 - Channel")</f>
        <v>2060 - Channel</v>
      </c>
      <c r="B1512" s="4" t="str">
        <f>IFERROR(__xludf.DUMMYFUNCTION("""COMPUTED_VALUE"""),"")</f>
        <v/>
      </c>
      <c r="C1512" s="4" t="str">
        <f>IFERROR(__xludf.DUMMYFUNCTION("""COMPUTED_VALUE"""),"")</f>
        <v/>
      </c>
      <c r="D1512" s="4" t="str">
        <f>IFERROR(__xludf.DUMMYFUNCTION("""COMPUTED_VALUE"""),"")</f>
        <v/>
      </c>
      <c r="E1512" s="4" t="str">
        <f>IFERROR(__xludf.DUMMYFUNCTION("""COMPUTED_VALUE"""),"")</f>
        <v/>
      </c>
      <c r="F1512" s="4" t="str">
        <f>IFERROR(__xludf.DUMMYFUNCTION("""COMPUTED_VALUE"""),"")</f>
        <v/>
      </c>
      <c r="G1512" s="4" t="str">
        <f>IFERROR(__xludf.DUMMYFUNCTION("""COMPUTED_VALUE"""),"")</f>
        <v/>
      </c>
      <c r="H1512" s="4" t="str">
        <f>IFERROR(__xludf.DUMMYFUNCTION("""COMPUTED_VALUE"""),"")</f>
        <v/>
      </c>
      <c r="I1512" s="4" t="str">
        <f>IFERROR(__xludf.DUMMYFUNCTION("""COMPUTED_VALUE"""),"")</f>
        <v/>
      </c>
      <c r="J1512" s="4" t="str">
        <f>IFERROR(__xludf.DUMMYFUNCTION("""COMPUTED_VALUE"""),"")</f>
        <v/>
      </c>
      <c r="K1512" s="4" t="str">
        <f>IFERROR(__xludf.DUMMYFUNCTION("""COMPUTED_VALUE"""),"")</f>
        <v/>
      </c>
      <c r="L1512" s="4" t="str">
        <f>IFERROR(__xludf.DUMMYFUNCTION("""COMPUTED_VALUE"""),"")</f>
        <v/>
      </c>
      <c r="M1512" s="4" t="str">
        <f>IFERROR(__xludf.DUMMYFUNCTION("""COMPUTED_VALUE"""),"")</f>
        <v/>
      </c>
      <c r="N1512" s="4" t="str">
        <f>IFERROR(__xludf.DUMMYFUNCTION("""COMPUTED_VALUE"""),"")</f>
        <v/>
      </c>
      <c r="O1512" s="4" t="str">
        <f>IFERROR(__xludf.DUMMYFUNCTION("""COMPUTED_VALUE"""),"")</f>
        <v/>
      </c>
      <c r="P1512" s="4" t="str">
        <f>IFERROR(__xludf.DUMMYFUNCTION("""COMPUTED_VALUE"""),"")</f>
        <v/>
      </c>
      <c r="Q1512" s="4" t="str">
        <f>IFERROR(__xludf.DUMMYFUNCTION("""COMPUTED_VALUE"""),"")</f>
        <v/>
      </c>
      <c r="R1512" s="4" t="str">
        <f>IFERROR(__xludf.DUMMYFUNCTION("""COMPUTED_VALUE"""),"")</f>
        <v/>
      </c>
      <c r="S1512" s="4" t="str">
        <f>IFERROR(__xludf.DUMMYFUNCTION("""COMPUTED_VALUE"""),"")</f>
        <v/>
      </c>
      <c r="T1512" s="4" t="str">
        <f>IFERROR(__xludf.DUMMYFUNCTION("""COMPUTED_VALUE"""),"")</f>
        <v/>
      </c>
      <c r="U1512" s="4" t="str">
        <f>IFERROR(__xludf.DUMMYFUNCTION("""COMPUTED_VALUE"""),"")</f>
        <v/>
      </c>
      <c r="V1512" s="4" t="str">
        <f>IFERROR(__xludf.DUMMYFUNCTION("""COMPUTED_VALUE"""),"")</f>
        <v/>
      </c>
      <c r="W1512" s="4" t="str">
        <f>IFERROR(__xludf.DUMMYFUNCTION("""COMPUTED_VALUE"""),"")</f>
        <v/>
      </c>
      <c r="X1512" s="4" t="str">
        <f>IFERROR(__xludf.DUMMYFUNCTION("""COMPUTED_VALUE"""),"")</f>
        <v/>
      </c>
      <c r="Y1512" s="4" t="str">
        <f>IFERROR(__xludf.DUMMYFUNCTION("""COMPUTED_VALUE"""),"")</f>
        <v/>
      </c>
    </row>
    <row r="1513">
      <c r="A1513" s="4" t="str">
        <f>IFERROR(__xludf.DUMMYFUNCTION("""COMPUTED_VALUE"""),"2061 - Channel")</f>
        <v>2061 - Channel</v>
      </c>
      <c r="B1513" s="4" t="str">
        <f>IFERROR(__xludf.DUMMYFUNCTION("""COMPUTED_VALUE"""),"")</f>
        <v/>
      </c>
      <c r="C1513" s="4" t="str">
        <f>IFERROR(__xludf.DUMMYFUNCTION("""COMPUTED_VALUE"""),"")</f>
        <v/>
      </c>
      <c r="D1513" s="4" t="str">
        <f>IFERROR(__xludf.DUMMYFUNCTION("""COMPUTED_VALUE"""),"")</f>
        <v/>
      </c>
      <c r="E1513" s="4" t="str">
        <f>IFERROR(__xludf.DUMMYFUNCTION("""COMPUTED_VALUE"""),"")</f>
        <v/>
      </c>
      <c r="F1513" s="4" t="str">
        <f>IFERROR(__xludf.DUMMYFUNCTION("""COMPUTED_VALUE"""),"")</f>
        <v/>
      </c>
      <c r="G1513" s="4" t="str">
        <f>IFERROR(__xludf.DUMMYFUNCTION("""COMPUTED_VALUE"""),"")</f>
        <v/>
      </c>
      <c r="H1513" s="4" t="str">
        <f>IFERROR(__xludf.DUMMYFUNCTION("""COMPUTED_VALUE"""),"")</f>
        <v/>
      </c>
      <c r="I1513" s="4" t="str">
        <f>IFERROR(__xludf.DUMMYFUNCTION("""COMPUTED_VALUE"""),"")</f>
        <v/>
      </c>
      <c r="J1513" s="4" t="str">
        <f>IFERROR(__xludf.DUMMYFUNCTION("""COMPUTED_VALUE"""),"")</f>
        <v/>
      </c>
      <c r="K1513" s="4" t="str">
        <f>IFERROR(__xludf.DUMMYFUNCTION("""COMPUTED_VALUE"""),"")</f>
        <v/>
      </c>
      <c r="L1513" s="4" t="str">
        <f>IFERROR(__xludf.DUMMYFUNCTION("""COMPUTED_VALUE"""),"")</f>
        <v/>
      </c>
      <c r="M1513" s="4" t="str">
        <f>IFERROR(__xludf.DUMMYFUNCTION("""COMPUTED_VALUE"""),"")</f>
        <v/>
      </c>
      <c r="N1513" s="4" t="str">
        <f>IFERROR(__xludf.DUMMYFUNCTION("""COMPUTED_VALUE"""),"")</f>
        <v/>
      </c>
      <c r="O1513" s="4" t="str">
        <f>IFERROR(__xludf.DUMMYFUNCTION("""COMPUTED_VALUE"""),"")</f>
        <v/>
      </c>
      <c r="P1513" s="4" t="str">
        <f>IFERROR(__xludf.DUMMYFUNCTION("""COMPUTED_VALUE"""),"")</f>
        <v/>
      </c>
      <c r="Q1513" s="4" t="str">
        <f>IFERROR(__xludf.DUMMYFUNCTION("""COMPUTED_VALUE"""),"")</f>
        <v/>
      </c>
      <c r="R1513" s="4" t="str">
        <f>IFERROR(__xludf.DUMMYFUNCTION("""COMPUTED_VALUE"""),"")</f>
        <v/>
      </c>
      <c r="S1513" s="4" t="str">
        <f>IFERROR(__xludf.DUMMYFUNCTION("""COMPUTED_VALUE"""),"")</f>
        <v/>
      </c>
      <c r="T1513" s="4" t="str">
        <f>IFERROR(__xludf.DUMMYFUNCTION("""COMPUTED_VALUE"""),"")</f>
        <v/>
      </c>
      <c r="U1513" s="4" t="str">
        <f>IFERROR(__xludf.DUMMYFUNCTION("""COMPUTED_VALUE"""),"")</f>
        <v/>
      </c>
      <c r="V1513" s="4" t="str">
        <f>IFERROR(__xludf.DUMMYFUNCTION("""COMPUTED_VALUE"""),"")</f>
        <v/>
      </c>
      <c r="W1513" s="4" t="str">
        <f>IFERROR(__xludf.DUMMYFUNCTION("""COMPUTED_VALUE"""),"")</f>
        <v/>
      </c>
      <c r="X1513" s="4" t="str">
        <f>IFERROR(__xludf.DUMMYFUNCTION("""COMPUTED_VALUE"""),"")</f>
        <v/>
      </c>
      <c r="Y1513" s="4" t="str">
        <f>IFERROR(__xludf.DUMMYFUNCTION("""COMPUTED_VALUE"""),"")</f>
        <v/>
      </c>
    </row>
    <row r="1514">
      <c r="A1514" s="4" t="str">
        <f>IFERROR(__xludf.DUMMYFUNCTION("""COMPUTED_VALUE"""),"2062 - Channel")</f>
        <v>2062 - Channel</v>
      </c>
      <c r="B1514" s="4" t="str">
        <f>IFERROR(__xludf.DUMMYFUNCTION("""COMPUTED_VALUE"""),"")</f>
        <v/>
      </c>
      <c r="C1514" s="4" t="str">
        <f>IFERROR(__xludf.DUMMYFUNCTION("""COMPUTED_VALUE"""),"")</f>
        <v/>
      </c>
      <c r="D1514" s="4" t="str">
        <f>IFERROR(__xludf.DUMMYFUNCTION("""COMPUTED_VALUE"""),"")</f>
        <v/>
      </c>
      <c r="E1514" s="4" t="str">
        <f>IFERROR(__xludf.DUMMYFUNCTION("""COMPUTED_VALUE"""),"")</f>
        <v/>
      </c>
      <c r="F1514" s="4" t="str">
        <f>IFERROR(__xludf.DUMMYFUNCTION("""COMPUTED_VALUE"""),"")</f>
        <v/>
      </c>
      <c r="G1514" s="4" t="str">
        <f>IFERROR(__xludf.DUMMYFUNCTION("""COMPUTED_VALUE"""),"")</f>
        <v/>
      </c>
      <c r="H1514" s="4" t="str">
        <f>IFERROR(__xludf.DUMMYFUNCTION("""COMPUTED_VALUE"""),"")</f>
        <v/>
      </c>
      <c r="I1514" s="4" t="str">
        <f>IFERROR(__xludf.DUMMYFUNCTION("""COMPUTED_VALUE"""),"")</f>
        <v/>
      </c>
      <c r="J1514" s="4" t="str">
        <f>IFERROR(__xludf.DUMMYFUNCTION("""COMPUTED_VALUE"""),"")</f>
        <v/>
      </c>
      <c r="K1514" s="4" t="str">
        <f>IFERROR(__xludf.DUMMYFUNCTION("""COMPUTED_VALUE"""),"")</f>
        <v/>
      </c>
      <c r="L1514" s="4" t="str">
        <f>IFERROR(__xludf.DUMMYFUNCTION("""COMPUTED_VALUE"""),"")</f>
        <v/>
      </c>
      <c r="M1514" s="4" t="str">
        <f>IFERROR(__xludf.DUMMYFUNCTION("""COMPUTED_VALUE"""),"")</f>
        <v/>
      </c>
      <c r="N1514" s="4" t="str">
        <f>IFERROR(__xludf.DUMMYFUNCTION("""COMPUTED_VALUE"""),"")</f>
        <v/>
      </c>
      <c r="O1514" s="4" t="str">
        <f>IFERROR(__xludf.DUMMYFUNCTION("""COMPUTED_VALUE"""),"")</f>
        <v/>
      </c>
      <c r="P1514" s="4" t="str">
        <f>IFERROR(__xludf.DUMMYFUNCTION("""COMPUTED_VALUE"""),"")</f>
        <v/>
      </c>
      <c r="Q1514" s="4" t="str">
        <f>IFERROR(__xludf.DUMMYFUNCTION("""COMPUTED_VALUE"""),"")</f>
        <v/>
      </c>
      <c r="R1514" s="4" t="str">
        <f>IFERROR(__xludf.DUMMYFUNCTION("""COMPUTED_VALUE"""),"")</f>
        <v/>
      </c>
      <c r="S1514" s="4" t="str">
        <f>IFERROR(__xludf.DUMMYFUNCTION("""COMPUTED_VALUE"""),"")</f>
        <v/>
      </c>
      <c r="T1514" s="4" t="str">
        <f>IFERROR(__xludf.DUMMYFUNCTION("""COMPUTED_VALUE"""),"")</f>
        <v/>
      </c>
      <c r="U1514" s="4" t="str">
        <f>IFERROR(__xludf.DUMMYFUNCTION("""COMPUTED_VALUE"""),"")</f>
        <v/>
      </c>
      <c r="V1514" s="4" t="str">
        <f>IFERROR(__xludf.DUMMYFUNCTION("""COMPUTED_VALUE"""),"")</f>
        <v/>
      </c>
      <c r="W1514" s="4" t="str">
        <f>IFERROR(__xludf.DUMMYFUNCTION("""COMPUTED_VALUE"""),"")</f>
        <v/>
      </c>
      <c r="X1514" s="4" t="str">
        <f>IFERROR(__xludf.DUMMYFUNCTION("""COMPUTED_VALUE"""),"")</f>
        <v/>
      </c>
      <c r="Y1514" s="4" t="str">
        <f>IFERROR(__xludf.DUMMYFUNCTION("""COMPUTED_VALUE"""),"")</f>
        <v/>
      </c>
    </row>
    <row r="1515">
      <c r="A1515" s="4" t="str">
        <f>IFERROR(__xludf.DUMMYFUNCTION("""COMPUTED_VALUE"""),"2063 - Channel")</f>
        <v>2063 - Channel</v>
      </c>
      <c r="B1515" s="4" t="str">
        <f>IFERROR(__xludf.DUMMYFUNCTION("""COMPUTED_VALUE"""),"")</f>
        <v/>
      </c>
      <c r="C1515" s="4" t="str">
        <f>IFERROR(__xludf.DUMMYFUNCTION("""COMPUTED_VALUE"""),"")</f>
        <v/>
      </c>
      <c r="D1515" s="4" t="str">
        <f>IFERROR(__xludf.DUMMYFUNCTION("""COMPUTED_VALUE"""),"")</f>
        <v/>
      </c>
      <c r="E1515" s="4" t="str">
        <f>IFERROR(__xludf.DUMMYFUNCTION("""COMPUTED_VALUE"""),"")</f>
        <v/>
      </c>
      <c r="F1515" s="4" t="str">
        <f>IFERROR(__xludf.DUMMYFUNCTION("""COMPUTED_VALUE"""),"")</f>
        <v/>
      </c>
      <c r="G1515" s="4" t="str">
        <f>IFERROR(__xludf.DUMMYFUNCTION("""COMPUTED_VALUE"""),"")</f>
        <v/>
      </c>
      <c r="H1515" s="4" t="str">
        <f>IFERROR(__xludf.DUMMYFUNCTION("""COMPUTED_VALUE"""),"")</f>
        <v/>
      </c>
      <c r="I1515" s="4" t="str">
        <f>IFERROR(__xludf.DUMMYFUNCTION("""COMPUTED_VALUE"""),"")</f>
        <v/>
      </c>
      <c r="J1515" s="4" t="str">
        <f>IFERROR(__xludf.DUMMYFUNCTION("""COMPUTED_VALUE"""),"")</f>
        <v/>
      </c>
      <c r="K1515" s="4" t="str">
        <f>IFERROR(__xludf.DUMMYFUNCTION("""COMPUTED_VALUE"""),"")</f>
        <v/>
      </c>
      <c r="L1515" s="4" t="str">
        <f>IFERROR(__xludf.DUMMYFUNCTION("""COMPUTED_VALUE"""),"")</f>
        <v/>
      </c>
      <c r="M1515" s="4" t="str">
        <f>IFERROR(__xludf.DUMMYFUNCTION("""COMPUTED_VALUE"""),"")</f>
        <v/>
      </c>
      <c r="N1515" s="4" t="str">
        <f>IFERROR(__xludf.DUMMYFUNCTION("""COMPUTED_VALUE"""),"")</f>
        <v/>
      </c>
      <c r="O1515" s="4" t="str">
        <f>IFERROR(__xludf.DUMMYFUNCTION("""COMPUTED_VALUE"""),"")</f>
        <v/>
      </c>
      <c r="P1515" s="4" t="str">
        <f>IFERROR(__xludf.DUMMYFUNCTION("""COMPUTED_VALUE"""),"")</f>
        <v/>
      </c>
      <c r="Q1515" s="4" t="str">
        <f>IFERROR(__xludf.DUMMYFUNCTION("""COMPUTED_VALUE"""),"")</f>
        <v/>
      </c>
      <c r="R1515" s="4" t="str">
        <f>IFERROR(__xludf.DUMMYFUNCTION("""COMPUTED_VALUE"""),"")</f>
        <v/>
      </c>
      <c r="S1515" s="4" t="str">
        <f>IFERROR(__xludf.DUMMYFUNCTION("""COMPUTED_VALUE"""),"")</f>
        <v/>
      </c>
      <c r="T1515" s="4" t="str">
        <f>IFERROR(__xludf.DUMMYFUNCTION("""COMPUTED_VALUE"""),"")</f>
        <v/>
      </c>
      <c r="U1515" s="4" t="str">
        <f>IFERROR(__xludf.DUMMYFUNCTION("""COMPUTED_VALUE"""),"")</f>
        <v/>
      </c>
      <c r="V1515" s="4" t="str">
        <f>IFERROR(__xludf.DUMMYFUNCTION("""COMPUTED_VALUE"""),"")</f>
        <v/>
      </c>
      <c r="W1515" s="4" t="str">
        <f>IFERROR(__xludf.DUMMYFUNCTION("""COMPUTED_VALUE"""),"")</f>
        <v/>
      </c>
      <c r="X1515" s="4" t="str">
        <f>IFERROR(__xludf.DUMMYFUNCTION("""COMPUTED_VALUE"""),"")</f>
        <v/>
      </c>
      <c r="Y1515" s="4" t="str">
        <f>IFERROR(__xludf.DUMMYFUNCTION("""COMPUTED_VALUE"""),"")</f>
        <v/>
      </c>
    </row>
    <row r="1516">
      <c r="A1516" s="4" t="str">
        <f>IFERROR(__xludf.DUMMYFUNCTION("""COMPUTED_VALUE"""),"2064 - Channel")</f>
        <v>2064 - Channel</v>
      </c>
      <c r="B1516" s="4" t="str">
        <f>IFERROR(__xludf.DUMMYFUNCTION("""COMPUTED_VALUE"""),"")</f>
        <v/>
      </c>
      <c r="C1516" s="4" t="str">
        <f>IFERROR(__xludf.DUMMYFUNCTION("""COMPUTED_VALUE"""),"")</f>
        <v/>
      </c>
      <c r="D1516" s="4" t="str">
        <f>IFERROR(__xludf.DUMMYFUNCTION("""COMPUTED_VALUE"""),"")</f>
        <v/>
      </c>
      <c r="E1516" s="4" t="str">
        <f>IFERROR(__xludf.DUMMYFUNCTION("""COMPUTED_VALUE"""),"")</f>
        <v/>
      </c>
      <c r="F1516" s="4" t="str">
        <f>IFERROR(__xludf.DUMMYFUNCTION("""COMPUTED_VALUE"""),"")</f>
        <v/>
      </c>
      <c r="G1516" s="4" t="str">
        <f>IFERROR(__xludf.DUMMYFUNCTION("""COMPUTED_VALUE"""),"")</f>
        <v/>
      </c>
      <c r="H1516" s="4" t="str">
        <f>IFERROR(__xludf.DUMMYFUNCTION("""COMPUTED_VALUE"""),"")</f>
        <v/>
      </c>
      <c r="I1516" s="4" t="str">
        <f>IFERROR(__xludf.DUMMYFUNCTION("""COMPUTED_VALUE"""),"")</f>
        <v/>
      </c>
      <c r="J1516" s="4" t="str">
        <f>IFERROR(__xludf.DUMMYFUNCTION("""COMPUTED_VALUE"""),"")</f>
        <v/>
      </c>
      <c r="K1516" s="4" t="str">
        <f>IFERROR(__xludf.DUMMYFUNCTION("""COMPUTED_VALUE"""),"")</f>
        <v/>
      </c>
      <c r="L1516" s="4" t="str">
        <f>IFERROR(__xludf.DUMMYFUNCTION("""COMPUTED_VALUE"""),"")</f>
        <v/>
      </c>
      <c r="M1516" s="4" t="str">
        <f>IFERROR(__xludf.DUMMYFUNCTION("""COMPUTED_VALUE"""),"")</f>
        <v/>
      </c>
      <c r="N1516" s="4" t="str">
        <f>IFERROR(__xludf.DUMMYFUNCTION("""COMPUTED_VALUE"""),"")</f>
        <v/>
      </c>
      <c r="O1516" s="4" t="str">
        <f>IFERROR(__xludf.DUMMYFUNCTION("""COMPUTED_VALUE"""),"")</f>
        <v/>
      </c>
      <c r="P1516" s="4" t="str">
        <f>IFERROR(__xludf.DUMMYFUNCTION("""COMPUTED_VALUE"""),"")</f>
        <v/>
      </c>
      <c r="Q1516" s="4" t="str">
        <f>IFERROR(__xludf.DUMMYFUNCTION("""COMPUTED_VALUE"""),"")</f>
        <v/>
      </c>
      <c r="R1516" s="4" t="str">
        <f>IFERROR(__xludf.DUMMYFUNCTION("""COMPUTED_VALUE"""),"")</f>
        <v/>
      </c>
      <c r="S1516" s="4" t="str">
        <f>IFERROR(__xludf.DUMMYFUNCTION("""COMPUTED_VALUE"""),"")</f>
        <v/>
      </c>
      <c r="T1516" s="4" t="str">
        <f>IFERROR(__xludf.DUMMYFUNCTION("""COMPUTED_VALUE"""),"")</f>
        <v/>
      </c>
      <c r="U1516" s="4" t="str">
        <f>IFERROR(__xludf.DUMMYFUNCTION("""COMPUTED_VALUE"""),"")</f>
        <v/>
      </c>
      <c r="V1516" s="4" t="str">
        <f>IFERROR(__xludf.DUMMYFUNCTION("""COMPUTED_VALUE"""),"")</f>
        <v/>
      </c>
      <c r="W1516" s="4" t="str">
        <f>IFERROR(__xludf.DUMMYFUNCTION("""COMPUTED_VALUE"""),"")</f>
        <v/>
      </c>
      <c r="X1516" s="4" t="str">
        <f>IFERROR(__xludf.DUMMYFUNCTION("""COMPUTED_VALUE"""),"")</f>
        <v/>
      </c>
      <c r="Y1516" s="4" t="str">
        <f>IFERROR(__xludf.DUMMYFUNCTION("""COMPUTED_VALUE"""),"")</f>
        <v/>
      </c>
    </row>
    <row r="1517">
      <c r="A1517" s="4" t="str">
        <f>IFERROR(__xludf.DUMMYFUNCTION("""COMPUTED_VALUE"""),"2065 - Channel")</f>
        <v>2065 - Channel</v>
      </c>
      <c r="B1517" s="4" t="str">
        <f>IFERROR(__xludf.DUMMYFUNCTION("""COMPUTED_VALUE"""),"")</f>
        <v/>
      </c>
      <c r="C1517" s="4" t="str">
        <f>IFERROR(__xludf.DUMMYFUNCTION("""COMPUTED_VALUE"""),"")</f>
        <v/>
      </c>
      <c r="D1517" s="4" t="str">
        <f>IFERROR(__xludf.DUMMYFUNCTION("""COMPUTED_VALUE"""),"")</f>
        <v/>
      </c>
      <c r="E1517" s="4" t="str">
        <f>IFERROR(__xludf.DUMMYFUNCTION("""COMPUTED_VALUE"""),"")</f>
        <v/>
      </c>
      <c r="F1517" s="4" t="str">
        <f>IFERROR(__xludf.DUMMYFUNCTION("""COMPUTED_VALUE"""),"")</f>
        <v/>
      </c>
      <c r="G1517" s="4" t="str">
        <f>IFERROR(__xludf.DUMMYFUNCTION("""COMPUTED_VALUE"""),"")</f>
        <v/>
      </c>
      <c r="H1517" s="4" t="str">
        <f>IFERROR(__xludf.DUMMYFUNCTION("""COMPUTED_VALUE"""),"")</f>
        <v/>
      </c>
      <c r="I1517" s="4" t="str">
        <f>IFERROR(__xludf.DUMMYFUNCTION("""COMPUTED_VALUE"""),"")</f>
        <v/>
      </c>
      <c r="J1517" s="4" t="str">
        <f>IFERROR(__xludf.DUMMYFUNCTION("""COMPUTED_VALUE"""),"")</f>
        <v/>
      </c>
      <c r="K1517" s="4" t="str">
        <f>IFERROR(__xludf.DUMMYFUNCTION("""COMPUTED_VALUE"""),"")</f>
        <v/>
      </c>
      <c r="L1517" s="4" t="str">
        <f>IFERROR(__xludf.DUMMYFUNCTION("""COMPUTED_VALUE"""),"")</f>
        <v/>
      </c>
      <c r="M1517" s="4" t="str">
        <f>IFERROR(__xludf.DUMMYFUNCTION("""COMPUTED_VALUE"""),"")</f>
        <v/>
      </c>
      <c r="N1517" s="4" t="str">
        <f>IFERROR(__xludf.DUMMYFUNCTION("""COMPUTED_VALUE"""),"")</f>
        <v/>
      </c>
      <c r="O1517" s="4" t="str">
        <f>IFERROR(__xludf.DUMMYFUNCTION("""COMPUTED_VALUE"""),"")</f>
        <v/>
      </c>
      <c r="P1517" s="4" t="str">
        <f>IFERROR(__xludf.DUMMYFUNCTION("""COMPUTED_VALUE"""),"")</f>
        <v/>
      </c>
      <c r="Q1517" s="4" t="str">
        <f>IFERROR(__xludf.DUMMYFUNCTION("""COMPUTED_VALUE"""),"")</f>
        <v/>
      </c>
      <c r="R1517" s="4" t="str">
        <f>IFERROR(__xludf.DUMMYFUNCTION("""COMPUTED_VALUE"""),"")</f>
        <v/>
      </c>
      <c r="S1517" s="4" t="str">
        <f>IFERROR(__xludf.DUMMYFUNCTION("""COMPUTED_VALUE"""),"")</f>
        <v/>
      </c>
      <c r="T1517" s="4" t="str">
        <f>IFERROR(__xludf.DUMMYFUNCTION("""COMPUTED_VALUE"""),"")</f>
        <v/>
      </c>
      <c r="U1517" s="4" t="str">
        <f>IFERROR(__xludf.DUMMYFUNCTION("""COMPUTED_VALUE"""),"")</f>
        <v/>
      </c>
      <c r="V1517" s="4" t="str">
        <f>IFERROR(__xludf.DUMMYFUNCTION("""COMPUTED_VALUE"""),"")</f>
        <v/>
      </c>
      <c r="W1517" s="4" t="str">
        <f>IFERROR(__xludf.DUMMYFUNCTION("""COMPUTED_VALUE"""),"")</f>
        <v/>
      </c>
      <c r="X1517" s="4" t="str">
        <f>IFERROR(__xludf.DUMMYFUNCTION("""COMPUTED_VALUE"""),"")</f>
        <v/>
      </c>
      <c r="Y1517" s="4" t="str">
        <f>IFERROR(__xludf.DUMMYFUNCTION("""COMPUTED_VALUE"""),"")</f>
        <v/>
      </c>
    </row>
    <row r="1518">
      <c r="A1518" s="4" t="str">
        <f>IFERROR(__xludf.DUMMYFUNCTION("""COMPUTED_VALUE"""),"2066 - Channel")</f>
        <v>2066 - Channel</v>
      </c>
      <c r="B1518" s="4" t="str">
        <f>IFERROR(__xludf.DUMMYFUNCTION("""COMPUTED_VALUE"""),"")</f>
        <v/>
      </c>
      <c r="C1518" s="4" t="str">
        <f>IFERROR(__xludf.DUMMYFUNCTION("""COMPUTED_VALUE"""),"")</f>
        <v/>
      </c>
      <c r="D1518" s="4" t="str">
        <f>IFERROR(__xludf.DUMMYFUNCTION("""COMPUTED_VALUE"""),"")</f>
        <v/>
      </c>
      <c r="E1518" s="4" t="str">
        <f>IFERROR(__xludf.DUMMYFUNCTION("""COMPUTED_VALUE"""),"")</f>
        <v/>
      </c>
      <c r="F1518" s="4" t="str">
        <f>IFERROR(__xludf.DUMMYFUNCTION("""COMPUTED_VALUE"""),"")</f>
        <v/>
      </c>
      <c r="G1518" s="4" t="str">
        <f>IFERROR(__xludf.DUMMYFUNCTION("""COMPUTED_VALUE"""),"")</f>
        <v/>
      </c>
      <c r="H1518" s="4" t="str">
        <f>IFERROR(__xludf.DUMMYFUNCTION("""COMPUTED_VALUE"""),"")</f>
        <v/>
      </c>
      <c r="I1518" s="4" t="str">
        <f>IFERROR(__xludf.DUMMYFUNCTION("""COMPUTED_VALUE"""),"")</f>
        <v/>
      </c>
      <c r="J1518" s="4" t="str">
        <f>IFERROR(__xludf.DUMMYFUNCTION("""COMPUTED_VALUE"""),"")</f>
        <v/>
      </c>
      <c r="K1518" s="4" t="str">
        <f>IFERROR(__xludf.DUMMYFUNCTION("""COMPUTED_VALUE"""),"")</f>
        <v/>
      </c>
      <c r="L1518" s="4" t="str">
        <f>IFERROR(__xludf.DUMMYFUNCTION("""COMPUTED_VALUE"""),"")</f>
        <v/>
      </c>
      <c r="M1518" s="4" t="str">
        <f>IFERROR(__xludf.DUMMYFUNCTION("""COMPUTED_VALUE"""),"")</f>
        <v/>
      </c>
      <c r="N1518" s="4" t="str">
        <f>IFERROR(__xludf.DUMMYFUNCTION("""COMPUTED_VALUE"""),"")</f>
        <v/>
      </c>
      <c r="O1518" s="4" t="str">
        <f>IFERROR(__xludf.DUMMYFUNCTION("""COMPUTED_VALUE"""),"")</f>
        <v/>
      </c>
      <c r="P1518" s="4" t="str">
        <f>IFERROR(__xludf.DUMMYFUNCTION("""COMPUTED_VALUE"""),"")</f>
        <v/>
      </c>
      <c r="Q1518" s="4" t="str">
        <f>IFERROR(__xludf.DUMMYFUNCTION("""COMPUTED_VALUE"""),"")</f>
        <v/>
      </c>
      <c r="R1518" s="4" t="str">
        <f>IFERROR(__xludf.DUMMYFUNCTION("""COMPUTED_VALUE"""),"")</f>
        <v/>
      </c>
      <c r="S1518" s="4" t="str">
        <f>IFERROR(__xludf.DUMMYFUNCTION("""COMPUTED_VALUE"""),"")</f>
        <v/>
      </c>
      <c r="T1518" s="4" t="str">
        <f>IFERROR(__xludf.DUMMYFUNCTION("""COMPUTED_VALUE"""),"")</f>
        <v/>
      </c>
      <c r="U1518" s="4" t="str">
        <f>IFERROR(__xludf.DUMMYFUNCTION("""COMPUTED_VALUE"""),"")</f>
        <v/>
      </c>
      <c r="V1518" s="4" t="str">
        <f>IFERROR(__xludf.DUMMYFUNCTION("""COMPUTED_VALUE"""),"")</f>
        <v/>
      </c>
      <c r="W1518" s="4" t="str">
        <f>IFERROR(__xludf.DUMMYFUNCTION("""COMPUTED_VALUE"""),"")</f>
        <v/>
      </c>
      <c r="X1518" s="4" t="str">
        <f>IFERROR(__xludf.DUMMYFUNCTION("""COMPUTED_VALUE"""),"")</f>
        <v/>
      </c>
      <c r="Y1518" s="4" t="str">
        <f>IFERROR(__xludf.DUMMYFUNCTION("""COMPUTED_VALUE"""),"")</f>
        <v/>
      </c>
    </row>
    <row r="1519">
      <c r="A1519" s="4" t="str">
        <f>IFERROR(__xludf.DUMMYFUNCTION("""COMPUTED_VALUE"""),"2067 - Channel")</f>
        <v>2067 - Channel</v>
      </c>
      <c r="B1519" s="4" t="str">
        <f>IFERROR(__xludf.DUMMYFUNCTION("""COMPUTED_VALUE"""),"")</f>
        <v/>
      </c>
      <c r="C1519" s="4" t="str">
        <f>IFERROR(__xludf.DUMMYFUNCTION("""COMPUTED_VALUE"""),"")</f>
        <v/>
      </c>
      <c r="D1519" s="4" t="str">
        <f>IFERROR(__xludf.DUMMYFUNCTION("""COMPUTED_VALUE"""),"")</f>
        <v/>
      </c>
      <c r="E1519" s="4" t="str">
        <f>IFERROR(__xludf.DUMMYFUNCTION("""COMPUTED_VALUE"""),"")</f>
        <v/>
      </c>
      <c r="F1519" s="4" t="str">
        <f>IFERROR(__xludf.DUMMYFUNCTION("""COMPUTED_VALUE"""),"")</f>
        <v/>
      </c>
      <c r="G1519" s="4" t="str">
        <f>IFERROR(__xludf.DUMMYFUNCTION("""COMPUTED_VALUE"""),"")</f>
        <v/>
      </c>
      <c r="H1519" s="4" t="str">
        <f>IFERROR(__xludf.DUMMYFUNCTION("""COMPUTED_VALUE"""),"")</f>
        <v/>
      </c>
      <c r="I1519" s="4" t="str">
        <f>IFERROR(__xludf.DUMMYFUNCTION("""COMPUTED_VALUE"""),"")</f>
        <v/>
      </c>
      <c r="J1519" s="4" t="str">
        <f>IFERROR(__xludf.DUMMYFUNCTION("""COMPUTED_VALUE"""),"")</f>
        <v/>
      </c>
      <c r="K1519" s="4" t="str">
        <f>IFERROR(__xludf.DUMMYFUNCTION("""COMPUTED_VALUE"""),"")</f>
        <v/>
      </c>
      <c r="L1519" s="4" t="str">
        <f>IFERROR(__xludf.DUMMYFUNCTION("""COMPUTED_VALUE"""),"")</f>
        <v/>
      </c>
      <c r="M1519" s="4" t="str">
        <f>IFERROR(__xludf.DUMMYFUNCTION("""COMPUTED_VALUE"""),"")</f>
        <v/>
      </c>
      <c r="N1519" s="4" t="str">
        <f>IFERROR(__xludf.DUMMYFUNCTION("""COMPUTED_VALUE"""),"")</f>
        <v/>
      </c>
      <c r="O1519" s="4" t="str">
        <f>IFERROR(__xludf.DUMMYFUNCTION("""COMPUTED_VALUE"""),"")</f>
        <v/>
      </c>
      <c r="P1519" s="4" t="str">
        <f>IFERROR(__xludf.DUMMYFUNCTION("""COMPUTED_VALUE"""),"")</f>
        <v/>
      </c>
      <c r="Q1519" s="4" t="str">
        <f>IFERROR(__xludf.DUMMYFUNCTION("""COMPUTED_VALUE"""),"")</f>
        <v/>
      </c>
      <c r="R1519" s="4" t="str">
        <f>IFERROR(__xludf.DUMMYFUNCTION("""COMPUTED_VALUE"""),"")</f>
        <v/>
      </c>
      <c r="S1519" s="4" t="str">
        <f>IFERROR(__xludf.DUMMYFUNCTION("""COMPUTED_VALUE"""),"")</f>
        <v/>
      </c>
      <c r="T1519" s="4" t="str">
        <f>IFERROR(__xludf.DUMMYFUNCTION("""COMPUTED_VALUE"""),"")</f>
        <v/>
      </c>
      <c r="U1519" s="4" t="str">
        <f>IFERROR(__xludf.DUMMYFUNCTION("""COMPUTED_VALUE"""),"")</f>
        <v/>
      </c>
      <c r="V1519" s="4" t="str">
        <f>IFERROR(__xludf.DUMMYFUNCTION("""COMPUTED_VALUE"""),"")</f>
        <v/>
      </c>
      <c r="W1519" s="4" t="str">
        <f>IFERROR(__xludf.DUMMYFUNCTION("""COMPUTED_VALUE"""),"")</f>
        <v/>
      </c>
      <c r="X1519" s="4" t="str">
        <f>IFERROR(__xludf.DUMMYFUNCTION("""COMPUTED_VALUE"""),"")</f>
        <v/>
      </c>
      <c r="Y1519" s="4" t="str">
        <f>IFERROR(__xludf.DUMMYFUNCTION("""COMPUTED_VALUE"""),"")</f>
        <v/>
      </c>
    </row>
    <row r="1520">
      <c r="A1520" s="4" t="str">
        <f>IFERROR(__xludf.DUMMYFUNCTION("""COMPUTED_VALUE"""),"2068 - Channel")</f>
        <v>2068 - Channel</v>
      </c>
      <c r="B1520" s="4" t="str">
        <f>IFERROR(__xludf.DUMMYFUNCTION("""COMPUTED_VALUE"""),"")</f>
        <v/>
      </c>
      <c r="C1520" s="4" t="str">
        <f>IFERROR(__xludf.DUMMYFUNCTION("""COMPUTED_VALUE"""),"")</f>
        <v/>
      </c>
      <c r="D1520" s="4" t="str">
        <f>IFERROR(__xludf.DUMMYFUNCTION("""COMPUTED_VALUE"""),"")</f>
        <v/>
      </c>
      <c r="E1520" s="4" t="str">
        <f>IFERROR(__xludf.DUMMYFUNCTION("""COMPUTED_VALUE"""),"")</f>
        <v/>
      </c>
      <c r="F1520" s="4" t="str">
        <f>IFERROR(__xludf.DUMMYFUNCTION("""COMPUTED_VALUE"""),"")</f>
        <v/>
      </c>
      <c r="G1520" s="4" t="str">
        <f>IFERROR(__xludf.DUMMYFUNCTION("""COMPUTED_VALUE"""),"")</f>
        <v/>
      </c>
      <c r="H1520" s="4" t="str">
        <f>IFERROR(__xludf.DUMMYFUNCTION("""COMPUTED_VALUE"""),"")</f>
        <v/>
      </c>
      <c r="I1520" s="4" t="str">
        <f>IFERROR(__xludf.DUMMYFUNCTION("""COMPUTED_VALUE"""),"")</f>
        <v/>
      </c>
      <c r="J1520" s="4" t="str">
        <f>IFERROR(__xludf.DUMMYFUNCTION("""COMPUTED_VALUE"""),"")</f>
        <v/>
      </c>
      <c r="K1520" s="4" t="str">
        <f>IFERROR(__xludf.DUMMYFUNCTION("""COMPUTED_VALUE"""),"")</f>
        <v/>
      </c>
      <c r="L1520" s="4" t="str">
        <f>IFERROR(__xludf.DUMMYFUNCTION("""COMPUTED_VALUE"""),"")</f>
        <v/>
      </c>
      <c r="M1520" s="4" t="str">
        <f>IFERROR(__xludf.DUMMYFUNCTION("""COMPUTED_VALUE"""),"")</f>
        <v/>
      </c>
      <c r="N1520" s="4" t="str">
        <f>IFERROR(__xludf.DUMMYFUNCTION("""COMPUTED_VALUE"""),"")</f>
        <v/>
      </c>
      <c r="O1520" s="4" t="str">
        <f>IFERROR(__xludf.DUMMYFUNCTION("""COMPUTED_VALUE"""),"")</f>
        <v/>
      </c>
      <c r="P1520" s="4" t="str">
        <f>IFERROR(__xludf.DUMMYFUNCTION("""COMPUTED_VALUE"""),"")</f>
        <v/>
      </c>
      <c r="Q1520" s="4" t="str">
        <f>IFERROR(__xludf.DUMMYFUNCTION("""COMPUTED_VALUE"""),"")</f>
        <v/>
      </c>
      <c r="R1520" s="4" t="str">
        <f>IFERROR(__xludf.DUMMYFUNCTION("""COMPUTED_VALUE"""),"")</f>
        <v/>
      </c>
      <c r="S1520" s="4" t="str">
        <f>IFERROR(__xludf.DUMMYFUNCTION("""COMPUTED_VALUE"""),"")</f>
        <v/>
      </c>
      <c r="T1520" s="4" t="str">
        <f>IFERROR(__xludf.DUMMYFUNCTION("""COMPUTED_VALUE"""),"")</f>
        <v/>
      </c>
      <c r="U1520" s="4" t="str">
        <f>IFERROR(__xludf.DUMMYFUNCTION("""COMPUTED_VALUE"""),"")</f>
        <v/>
      </c>
      <c r="V1520" s="4" t="str">
        <f>IFERROR(__xludf.DUMMYFUNCTION("""COMPUTED_VALUE"""),"")</f>
        <v/>
      </c>
      <c r="W1520" s="4" t="str">
        <f>IFERROR(__xludf.DUMMYFUNCTION("""COMPUTED_VALUE"""),"")</f>
        <v/>
      </c>
      <c r="X1520" s="4" t="str">
        <f>IFERROR(__xludf.DUMMYFUNCTION("""COMPUTED_VALUE"""),"")</f>
        <v/>
      </c>
      <c r="Y1520" s="4" t="str">
        <f>IFERROR(__xludf.DUMMYFUNCTION("""COMPUTED_VALUE"""),"")</f>
        <v/>
      </c>
    </row>
    <row r="1521">
      <c r="A1521" s="4" t="str">
        <f>IFERROR(__xludf.DUMMYFUNCTION("""COMPUTED_VALUE"""),"2069 - Channel")</f>
        <v>2069 - Channel</v>
      </c>
      <c r="B1521" s="4" t="str">
        <f>IFERROR(__xludf.DUMMYFUNCTION("""COMPUTED_VALUE"""),"")</f>
        <v/>
      </c>
      <c r="C1521" s="4" t="str">
        <f>IFERROR(__xludf.DUMMYFUNCTION("""COMPUTED_VALUE"""),"")</f>
        <v/>
      </c>
      <c r="D1521" s="4" t="str">
        <f>IFERROR(__xludf.DUMMYFUNCTION("""COMPUTED_VALUE"""),"")</f>
        <v/>
      </c>
      <c r="E1521" s="4" t="str">
        <f>IFERROR(__xludf.DUMMYFUNCTION("""COMPUTED_VALUE"""),"")</f>
        <v/>
      </c>
      <c r="F1521" s="4" t="str">
        <f>IFERROR(__xludf.DUMMYFUNCTION("""COMPUTED_VALUE"""),"")</f>
        <v/>
      </c>
      <c r="G1521" s="4" t="str">
        <f>IFERROR(__xludf.DUMMYFUNCTION("""COMPUTED_VALUE"""),"")</f>
        <v/>
      </c>
      <c r="H1521" s="4" t="str">
        <f>IFERROR(__xludf.DUMMYFUNCTION("""COMPUTED_VALUE"""),"")</f>
        <v/>
      </c>
      <c r="I1521" s="4" t="str">
        <f>IFERROR(__xludf.DUMMYFUNCTION("""COMPUTED_VALUE"""),"")</f>
        <v/>
      </c>
      <c r="J1521" s="4" t="str">
        <f>IFERROR(__xludf.DUMMYFUNCTION("""COMPUTED_VALUE"""),"")</f>
        <v/>
      </c>
      <c r="K1521" s="4" t="str">
        <f>IFERROR(__xludf.DUMMYFUNCTION("""COMPUTED_VALUE"""),"")</f>
        <v/>
      </c>
      <c r="L1521" s="4" t="str">
        <f>IFERROR(__xludf.DUMMYFUNCTION("""COMPUTED_VALUE"""),"")</f>
        <v/>
      </c>
      <c r="M1521" s="4" t="str">
        <f>IFERROR(__xludf.DUMMYFUNCTION("""COMPUTED_VALUE"""),"")</f>
        <v/>
      </c>
      <c r="N1521" s="4" t="str">
        <f>IFERROR(__xludf.DUMMYFUNCTION("""COMPUTED_VALUE"""),"")</f>
        <v/>
      </c>
      <c r="O1521" s="4" t="str">
        <f>IFERROR(__xludf.DUMMYFUNCTION("""COMPUTED_VALUE"""),"")</f>
        <v/>
      </c>
      <c r="P1521" s="4" t="str">
        <f>IFERROR(__xludf.DUMMYFUNCTION("""COMPUTED_VALUE"""),"")</f>
        <v/>
      </c>
      <c r="Q1521" s="4" t="str">
        <f>IFERROR(__xludf.DUMMYFUNCTION("""COMPUTED_VALUE"""),"")</f>
        <v/>
      </c>
      <c r="R1521" s="4" t="str">
        <f>IFERROR(__xludf.DUMMYFUNCTION("""COMPUTED_VALUE"""),"")</f>
        <v/>
      </c>
      <c r="S1521" s="4" t="str">
        <f>IFERROR(__xludf.DUMMYFUNCTION("""COMPUTED_VALUE"""),"")</f>
        <v/>
      </c>
      <c r="T1521" s="4" t="str">
        <f>IFERROR(__xludf.DUMMYFUNCTION("""COMPUTED_VALUE"""),"")</f>
        <v/>
      </c>
      <c r="U1521" s="4" t="str">
        <f>IFERROR(__xludf.DUMMYFUNCTION("""COMPUTED_VALUE"""),"")</f>
        <v/>
      </c>
      <c r="V1521" s="4" t="str">
        <f>IFERROR(__xludf.DUMMYFUNCTION("""COMPUTED_VALUE"""),"")</f>
        <v/>
      </c>
      <c r="W1521" s="4" t="str">
        <f>IFERROR(__xludf.DUMMYFUNCTION("""COMPUTED_VALUE"""),"")</f>
        <v/>
      </c>
      <c r="X1521" s="4" t="str">
        <f>IFERROR(__xludf.DUMMYFUNCTION("""COMPUTED_VALUE"""),"")</f>
        <v/>
      </c>
      <c r="Y1521" s="4" t="str">
        <f>IFERROR(__xludf.DUMMYFUNCTION("""COMPUTED_VALUE"""),"")</f>
        <v/>
      </c>
    </row>
    <row r="1522">
      <c r="A1522" s="4" t="str">
        <f>IFERROR(__xludf.DUMMYFUNCTION("""COMPUTED_VALUE"""),"2070 - Channel")</f>
        <v>2070 - Channel</v>
      </c>
      <c r="B1522" s="4" t="str">
        <f>IFERROR(__xludf.DUMMYFUNCTION("""COMPUTED_VALUE"""),"")</f>
        <v/>
      </c>
      <c r="C1522" s="4" t="str">
        <f>IFERROR(__xludf.DUMMYFUNCTION("""COMPUTED_VALUE"""),"")</f>
        <v/>
      </c>
      <c r="D1522" s="4" t="str">
        <f>IFERROR(__xludf.DUMMYFUNCTION("""COMPUTED_VALUE"""),"")</f>
        <v/>
      </c>
      <c r="E1522" s="4" t="str">
        <f>IFERROR(__xludf.DUMMYFUNCTION("""COMPUTED_VALUE"""),"")</f>
        <v/>
      </c>
      <c r="F1522" s="4" t="str">
        <f>IFERROR(__xludf.DUMMYFUNCTION("""COMPUTED_VALUE"""),"")</f>
        <v/>
      </c>
      <c r="G1522" s="4" t="str">
        <f>IFERROR(__xludf.DUMMYFUNCTION("""COMPUTED_VALUE"""),"")</f>
        <v/>
      </c>
      <c r="H1522" s="4" t="str">
        <f>IFERROR(__xludf.DUMMYFUNCTION("""COMPUTED_VALUE"""),"")</f>
        <v/>
      </c>
      <c r="I1522" s="4" t="str">
        <f>IFERROR(__xludf.DUMMYFUNCTION("""COMPUTED_VALUE"""),"")</f>
        <v/>
      </c>
      <c r="J1522" s="4" t="str">
        <f>IFERROR(__xludf.DUMMYFUNCTION("""COMPUTED_VALUE"""),"")</f>
        <v/>
      </c>
      <c r="K1522" s="4" t="str">
        <f>IFERROR(__xludf.DUMMYFUNCTION("""COMPUTED_VALUE"""),"")</f>
        <v/>
      </c>
      <c r="L1522" s="4" t="str">
        <f>IFERROR(__xludf.DUMMYFUNCTION("""COMPUTED_VALUE"""),"")</f>
        <v/>
      </c>
      <c r="M1522" s="4" t="str">
        <f>IFERROR(__xludf.DUMMYFUNCTION("""COMPUTED_VALUE"""),"")</f>
        <v/>
      </c>
      <c r="N1522" s="4" t="str">
        <f>IFERROR(__xludf.DUMMYFUNCTION("""COMPUTED_VALUE"""),"")</f>
        <v/>
      </c>
      <c r="O1522" s="4" t="str">
        <f>IFERROR(__xludf.DUMMYFUNCTION("""COMPUTED_VALUE"""),"")</f>
        <v/>
      </c>
      <c r="P1522" s="4" t="str">
        <f>IFERROR(__xludf.DUMMYFUNCTION("""COMPUTED_VALUE"""),"")</f>
        <v/>
      </c>
      <c r="Q1522" s="4" t="str">
        <f>IFERROR(__xludf.DUMMYFUNCTION("""COMPUTED_VALUE"""),"")</f>
        <v/>
      </c>
      <c r="R1522" s="4" t="str">
        <f>IFERROR(__xludf.DUMMYFUNCTION("""COMPUTED_VALUE"""),"")</f>
        <v/>
      </c>
      <c r="S1522" s="4" t="str">
        <f>IFERROR(__xludf.DUMMYFUNCTION("""COMPUTED_VALUE"""),"")</f>
        <v/>
      </c>
      <c r="T1522" s="4" t="str">
        <f>IFERROR(__xludf.DUMMYFUNCTION("""COMPUTED_VALUE"""),"")</f>
        <v/>
      </c>
      <c r="U1522" s="4" t="str">
        <f>IFERROR(__xludf.DUMMYFUNCTION("""COMPUTED_VALUE"""),"")</f>
        <v/>
      </c>
      <c r="V1522" s="4" t="str">
        <f>IFERROR(__xludf.DUMMYFUNCTION("""COMPUTED_VALUE"""),"")</f>
        <v/>
      </c>
      <c r="W1522" s="4" t="str">
        <f>IFERROR(__xludf.DUMMYFUNCTION("""COMPUTED_VALUE"""),"")</f>
        <v/>
      </c>
      <c r="X1522" s="4" t="str">
        <f>IFERROR(__xludf.DUMMYFUNCTION("""COMPUTED_VALUE"""),"")</f>
        <v/>
      </c>
      <c r="Y1522" s="4" t="str">
        <f>IFERROR(__xludf.DUMMYFUNCTION("""COMPUTED_VALUE"""),"")</f>
        <v/>
      </c>
    </row>
    <row r="1523">
      <c r="A1523" s="4" t="str">
        <f>IFERROR(__xludf.DUMMYFUNCTION("""COMPUTED_VALUE"""),"2071 - Channel")</f>
        <v>2071 - Channel</v>
      </c>
      <c r="B1523" s="4" t="str">
        <f>IFERROR(__xludf.DUMMYFUNCTION("""COMPUTED_VALUE"""),"")</f>
        <v/>
      </c>
      <c r="C1523" s="4" t="str">
        <f>IFERROR(__xludf.DUMMYFUNCTION("""COMPUTED_VALUE"""),"")</f>
        <v/>
      </c>
      <c r="D1523" s="4" t="str">
        <f>IFERROR(__xludf.DUMMYFUNCTION("""COMPUTED_VALUE"""),"")</f>
        <v/>
      </c>
      <c r="E1523" s="4" t="str">
        <f>IFERROR(__xludf.DUMMYFUNCTION("""COMPUTED_VALUE"""),"")</f>
        <v/>
      </c>
      <c r="F1523" s="4" t="str">
        <f>IFERROR(__xludf.DUMMYFUNCTION("""COMPUTED_VALUE"""),"")</f>
        <v/>
      </c>
      <c r="G1523" s="4" t="str">
        <f>IFERROR(__xludf.DUMMYFUNCTION("""COMPUTED_VALUE"""),"")</f>
        <v/>
      </c>
      <c r="H1523" s="4" t="str">
        <f>IFERROR(__xludf.DUMMYFUNCTION("""COMPUTED_VALUE"""),"")</f>
        <v/>
      </c>
      <c r="I1523" s="4" t="str">
        <f>IFERROR(__xludf.DUMMYFUNCTION("""COMPUTED_VALUE"""),"")</f>
        <v/>
      </c>
      <c r="J1523" s="4" t="str">
        <f>IFERROR(__xludf.DUMMYFUNCTION("""COMPUTED_VALUE"""),"")</f>
        <v/>
      </c>
      <c r="K1523" s="4" t="str">
        <f>IFERROR(__xludf.DUMMYFUNCTION("""COMPUTED_VALUE"""),"")</f>
        <v/>
      </c>
      <c r="L1523" s="4" t="str">
        <f>IFERROR(__xludf.DUMMYFUNCTION("""COMPUTED_VALUE"""),"")</f>
        <v/>
      </c>
      <c r="M1523" s="4" t="str">
        <f>IFERROR(__xludf.DUMMYFUNCTION("""COMPUTED_VALUE"""),"")</f>
        <v/>
      </c>
      <c r="N1523" s="4" t="str">
        <f>IFERROR(__xludf.DUMMYFUNCTION("""COMPUTED_VALUE"""),"")</f>
        <v/>
      </c>
      <c r="O1523" s="4" t="str">
        <f>IFERROR(__xludf.DUMMYFUNCTION("""COMPUTED_VALUE"""),"")</f>
        <v/>
      </c>
      <c r="P1523" s="4" t="str">
        <f>IFERROR(__xludf.DUMMYFUNCTION("""COMPUTED_VALUE"""),"")</f>
        <v/>
      </c>
      <c r="Q1523" s="4" t="str">
        <f>IFERROR(__xludf.DUMMYFUNCTION("""COMPUTED_VALUE"""),"")</f>
        <v/>
      </c>
      <c r="R1523" s="4" t="str">
        <f>IFERROR(__xludf.DUMMYFUNCTION("""COMPUTED_VALUE"""),"")</f>
        <v/>
      </c>
      <c r="S1523" s="4" t="str">
        <f>IFERROR(__xludf.DUMMYFUNCTION("""COMPUTED_VALUE"""),"")</f>
        <v/>
      </c>
      <c r="T1523" s="4" t="str">
        <f>IFERROR(__xludf.DUMMYFUNCTION("""COMPUTED_VALUE"""),"")</f>
        <v/>
      </c>
      <c r="U1523" s="4" t="str">
        <f>IFERROR(__xludf.DUMMYFUNCTION("""COMPUTED_VALUE"""),"")</f>
        <v/>
      </c>
      <c r="V1523" s="4" t="str">
        <f>IFERROR(__xludf.DUMMYFUNCTION("""COMPUTED_VALUE"""),"")</f>
        <v/>
      </c>
      <c r="W1523" s="4" t="str">
        <f>IFERROR(__xludf.DUMMYFUNCTION("""COMPUTED_VALUE"""),"")</f>
        <v/>
      </c>
      <c r="X1523" s="4" t="str">
        <f>IFERROR(__xludf.DUMMYFUNCTION("""COMPUTED_VALUE"""),"")</f>
        <v/>
      </c>
      <c r="Y1523" s="4" t="str">
        <f>IFERROR(__xludf.DUMMYFUNCTION("""COMPUTED_VALUE"""),"")</f>
        <v/>
      </c>
    </row>
    <row r="1524">
      <c r="A1524" s="4" t="str">
        <f>IFERROR(__xludf.DUMMYFUNCTION("""COMPUTED_VALUE"""),"2072 - Channel")</f>
        <v>2072 - Channel</v>
      </c>
      <c r="B1524" s="4" t="str">
        <f>IFERROR(__xludf.DUMMYFUNCTION("""COMPUTED_VALUE"""),"")</f>
        <v/>
      </c>
      <c r="C1524" s="4" t="str">
        <f>IFERROR(__xludf.DUMMYFUNCTION("""COMPUTED_VALUE"""),"")</f>
        <v/>
      </c>
      <c r="D1524" s="4" t="str">
        <f>IFERROR(__xludf.DUMMYFUNCTION("""COMPUTED_VALUE"""),"")</f>
        <v/>
      </c>
      <c r="E1524" s="4" t="str">
        <f>IFERROR(__xludf.DUMMYFUNCTION("""COMPUTED_VALUE"""),"")</f>
        <v/>
      </c>
      <c r="F1524" s="4" t="str">
        <f>IFERROR(__xludf.DUMMYFUNCTION("""COMPUTED_VALUE"""),"")</f>
        <v/>
      </c>
      <c r="G1524" s="4" t="str">
        <f>IFERROR(__xludf.DUMMYFUNCTION("""COMPUTED_VALUE"""),"")</f>
        <v/>
      </c>
      <c r="H1524" s="4" t="str">
        <f>IFERROR(__xludf.DUMMYFUNCTION("""COMPUTED_VALUE"""),"")</f>
        <v/>
      </c>
      <c r="I1524" s="4" t="str">
        <f>IFERROR(__xludf.DUMMYFUNCTION("""COMPUTED_VALUE"""),"")</f>
        <v/>
      </c>
      <c r="J1524" s="4" t="str">
        <f>IFERROR(__xludf.DUMMYFUNCTION("""COMPUTED_VALUE"""),"")</f>
        <v/>
      </c>
      <c r="K1524" s="4" t="str">
        <f>IFERROR(__xludf.DUMMYFUNCTION("""COMPUTED_VALUE"""),"")</f>
        <v/>
      </c>
      <c r="L1524" s="4" t="str">
        <f>IFERROR(__xludf.DUMMYFUNCTION("""COMPUTED_VALUE"""),"")</f>
        <v/>
      </c>
      <c r="M1524" s="4" t="str">
        <f>IFERROR(__xludf.DUMMYFUNCTION("""COMPUTED_VALUE"""),"")</f>
        <v/>
      </c>
      <c r="N1524" s="4" t="str">
        <f>IFERROR(__xludf.DUMMYFUNCTION("""COMPUTED_VALUE"""),"")</f>
        <v/>
      </c>
      <c r="O1524" s="4" t="str">
        <f>IFERROR(__xludf.DUMMYFUNCTION("""COMPUTED_VALUE"""),"")</f>
        <v/>
      </c>
      <c r="P1524" s="4" t="str">
        <f>IFERROR(__xludf.DUMMYFUNCTION("""COMPUTED_VALUE"""),"")</f>
        <v/>
      </c>
      <c r="Q1524" s="4" t="str">
        <f>IFERROR(__xludf.DUMMYFUNCTION("""COMPUTED_VALUE"""),"")</f>
        <v/>
      </c>
      <c r="R1524" s="4" t="str">
        <f>IFERROR(__xludf.DUMMYFUNCTION("""COMPUTED_VALUE"""),"")</f>
        <v/>
      </c>
      <c r="S1524" s="4" t="str">
        <f>IFERROR(__xludf.DUMMYFUNCTION("""COMPUTED_VALUE"""),"")</f>
        <v/>
      </c>
      <c r="T1524" s="4" t="str">
        <f>IFERROR(__xludf.DUMMYFUNCTION("""COMPUTED_VALUE"""),"")</f>
        <v/>
      </c>
      <c r="U1524" s="4" t="str">
        <f>IFERROR(__xludf.DUMMYFUNCTION("""COMPUTED_VALUE"""),"")</f>
        <v/>
      </c>
      <c r="V1524" s="4" t="str">
        <f>IFERROR(__xludf.DUMMYFUNCTION("""COMPUTED_VALUE"""),"")</f>
        <v/>
      </c>
      <c r="W1524" s="4" t="str">
        <f>IFERROR(__xludf.DUMMYFUNCTION("""COMPUTED_VALUE"""),"")</f>
        <v/>
      </c>
      <c r="X1524" s="4" t="str">
        <f>IFERROR(__xludf.DUMMYFUNCTION("""COMPUTED_VALUE"""),"")</f>
        <v/>
      </c>
      <c r="Y1524" s="4" t="str">
        <f>IFERROR(__xludf.DUMMYFUNCTION("""COMPUTED_VALUE"""),"")</f>
        <v/>
      </c>
    </row>
    <row r="1525">
      <c r="A1525" s="4" t="str">
        <f>IFERROR(__xludf.DUMMYFUNCTION("""COMPUTED_VALUE"""),"2073 - Channel")</f>
        <v>2073 - Channel</v>
      </c>
      <c r="B1525" s="4" t="str">
        <f>IFERROR(__xludf.DUMMYFUNCTION("""COMPUTED_VALUE"""),"")</f>
        <v/>
      </c>
      <c r="C1525" s="4" t="str">
        <f>IFERROR(__xludf.DUMMYFUNCTION("""COMPUTED_VALUE"""),"")</f>
        <v/>
      </c>
      <c r="D1525" s="4" t="str">
        <f>IFERROR(__xludf.DUMMYFUNCTION("""COMPUTED_VALUE"""),"")</f>
        <v/>
      </c>
      <c r="E1525" s="4" t="str">
        <f>IFERROR(__xludf.DUMMYFUNCTION("""COMPUTED_VALUE"""),"")</f>
        <v/>
      </c>
      <c r="F1525" s="4" t="str">
        <f>IFERROR(__xludf.DUMMYFUNCTION("""COMPUTED_VALUE"""),"")</f>
        <v/>
      </c>
      <c r="G1525" s="4" t="str">
        <f>IFERROR(__xludf.DUMMYFUNCTION("""COMPUTED_VALUE"""),"")</f>
        <v/>
      </c>
      <c r="H1525" s="4" t="str">
        <f>IFERROR(__xludf.DUMMYFUNCTION("""COMPUTED_VALUE"""),"")</f>
        <v/>
      </c>
      <c r="I1525" s="4" t="str">
        <f>IFERROR(__xludf.DUMMYFUNCTION("""COMPUTED_VALUE"""),"")</f>
        <v/>
      </c>
      <c r="J1525" s="4" t="str">
        <f>IFERROR(__xludf.DUMMYFUNCTION("""COMPUTED_VALUE"""),"")</f>
        <v/>
      </c>
      <c r="K1525" s="4" t="str">
        <f>IFERROR(__xludf.DUMMYFUNCTION("""COMPUTED_VALUE"""),"")</f>
        <v/>
      </c>
      <c r="L1525" s="4" t="str">
        <f>IFERROR(__xludf.DUMMYFUNCTION("""COMPUTED_VALUE"""),"")</f>
        <v/>
      </c>
      <c r="M1525" s="4" t="str">
        <f>IFERROR(__xludf.DUMMYFUNCTION("""COMPUTED_VALUE"""),"")</f>
        <v/>
      </c>
      <c r="N1525" s="4" t="str">
        <f>IFERROR(__xludf.DUMMYFUNCTION("""COMPUTED_VALUE"""),"")</f>
        <v/>
      </c>
      <c r="O1525" s="4" t="str">
        <f>IFERROR(__xludf.DUMMYFUNCTION("""COMPUTED_VALUE"""),"")</f>
        <v/>
      </c>
      <c r="P1525" s="4" t="str">
        <f>IFERROR(__xludf.DUMMYFUNCTION("""COMPUTED_VALUE"""),"")</f>
        <v/>
      </c>
      <c r="Q1525" s="4" t="str">
        <f>IFERROR(__xludf.DUMMYFUNCTION("""COMPUTED_VALUE"""),"")</f>
        <v/>
      </c>
      <c r="R1525" s="4" t="str">
        <f>IFERROR(__xludf.DUMMYFUNCTION("""COMPUTED_VALUE"""),"")</f>
        <v/>
      </c>
      <c r="S1525" s="4" t="str">
        <f>IFERROR(__xludf.DUMMYFUNCTION("""COMPUTED_VALUE"""),"")</f>
        <v/>
      </c>
      <c r="T1525" s="4" t="str">
        <f>IFERROR(__xludf.DUMMYFUNCTION("""COMPUTED_VALUE"""),"")</f>
        <v/>
      </c>
      <c r="U1525" s="4" t="str">
        <f>IFERROR(__xludf.DUMMYFUNCTION("""COMPUTED_VALUE"""),"")</f>
        <v/>
      </c>
      <c r="V1525" s="4" t="str">
        <f>IFERROR(__xludf.DUMMYFUNCTION("""COMPUTED_VALUE"""),"")</f>
        <v/>
      </c>
      <c r="W1525" s="4" t="str">
        <f>IFERROR(__xludf.DUMMYFUNCTION("""COMPUTED_VALUE"""),"")</f>
        <v/>
      </c>
      <c r="X1525" s="4" t="str">
        <f>IFERROR(__xludf.DUMMYFUNCTION("""COMPUTED_VALUE"""),"")</f>
        <v/>
      </c>
      <c r="Y1525" s="4" t="str">
        <f>IFERROR(__xludf.DUMMYFUNCTION("""COMPUTED_VALUE"""),"")</f>
        <v/>
      </c>
    </row>
    <row r="1526">
      <c r="A1526" s="4" t="str">
        <f>IFERROR(__xludf.DUMMYFUNCTION("""COMPUTED_VALUE"""),"2074 - Channel")</f>
        <v>2074 - Channel</v>
      </c>
      <c r="B1526" s="4" t="str">
        <f>IFERROR(__xludf.DUMMYFUNCTION("""COMPUTED_VALUE"""),"")</f>
        <v/>
      </c>
      <c r="C1526" s="4" t="str">
        <f>IFERROR(__xludf.DUMMYFUNCTION("""COMPUTED_VALUE"""),"")</f>
        <v/>
      </c>
      <c r="D1526" s="4" t="str">
        <f>IFERROR(__xludf.DUMMYFUNCTION("""COMPUTED_VALUE"""),"")</f>
        <v/>
      </c>
      <c r="E1526" s="4" t="str">
        <f>IFERROR(__xludf.DUMMYFUNCTION("""COMPUTED_VALUE"""),"")</f>
        <v/>
      </c>
      <c r="F1526" s="4" t="str">
        <f>IFERROR(__xludf.DUMMYFUNCTION("""COMPUTED_VALUE"""),"")</f>
        <v/>
      </c>
      <c r="G1526" s="4" t="str">
        <f>IFERROR(__xludf.DUMMYFUNCTION("""COMPUTED_VALUE"""),"")</f>
        <v/>
      </c>
      <c r="H1526" s="4" t="str">
        <f>IFERROR(__xludf.DUMMYFUNCTION("""COMPUTED_VALUE"""),"")</f>
        <v/>
      </c>
      <c r="I1526" s="4" t="str">
        <f>IFERROR(__xludf.DUMMYFUNCTION("""COMPUTED_VALUE"""),"")</f>
        <v/>
      </c>
      <c r="J1526" s="4" t="str">
        <f>IFERROR(__xludf.DUMMYFUNCTION("""COMPUTED_VALUE"""),"")</f>
        <v/>
      </c>
      <c r="K1526" s="4" t="str">
        <f>IFERROR(__xludf.DUMMYFUNCTION("""COMPUTED_VALUE"""),"")</f>
        <v/>
      </c>
      <c r="L1526" s="4" t="str">
        <f>IFERROR(__xludf.DUMMYFUNCTION("""COMPUTED_VALUE"""),"")</f>
        <v/>
      </c>
      <c r="M1526" s="4" t="str">
        <f>IFERROR(__xludf.DUMMYFUNCTION("""COMPUTED_VALUE"""),"")</f>
        <v/>
      </c>
      <c r="N1526" s="4" t="str">
        <f>IFERROR(__xludf.DUMMYFUNCTION("""COMPUTED_VALUE"""),"")</f>
        <v/>
      </c>
      <c r="O1526" s="4" t="str">
        <f>IFERROR(__xludf.DUMMYFUNCTION("""COMPUTED_VALUE"""),"")</f>
        <v/>
      </c>
      <c r="P1526" s="4" t="str">
        <f>IFERROR(__xludf.DUMMYFUNCTION("""COMPUTED_VALUE"""),"")</f>
        <v/>
      </c>
      <c r="Q1526" s="4" t="str">
        <f>IFERROR(__xludf.DUMMYFUNCTION("""COMPUTED_VALUE"""),"")</f>
        <v/>
      </c>
      <c r="R1526" s="4" t="str">
        <f>IFERROR(__xludf.DUMMYFUNCTION("""COMPUTED_VALUE"""),"")</f>
        <v/>
      </c>
      <c r="S1526" s="4" t="str">
        <f>IFERROR(__xludf.DUMMYFUNCTION("""COMPUTED_VALUE"""),"")</f>
        <v/>
      </c>
      <c r="T1526" s="4" t="str">
        <f>IFERROR(__xludf.DUMMYFUNCTION("""COMPUTED_VALUE"""),"")</f>
        <v/>
      </c>
      <c r="U1526" s="4" t="str">
        <f>IFERROR(__xludf.DUMMYFUNCTION("""COMPUTED_VALUE"""),"")</f>
        <v/>
      </c>
      <c r="V1526" s="4" t="str">
        <f>IFERROR(__xludf.DUMMYFUNCTION("""COMPUTED_VALUE"""),"")</f>
        <v/>
      </c>
      <c r="W1526" s="4" t="str">
        <f>IFERROR(__xludf.DUMMYFUNCTION("""COMPUTED_VALUE"""),"")</f>
        <v/>
      </c>
      <c r="X1526" s="4" t="str">
        <f>IFERROR(__xludf.DUMMYFUNCTION("""COMPUTED_VALUE"""),"")</f>
        <v/>
      </c>
      <c r="Y1526" s="4" t="str">
        <f>IFERROR(__xludf.DUMMYFUNCTION("""COMPUTED_VALUE"""),"")</f>
        <v/>
      </c>
    </row>
    <row r="1527">
      <c r="A1527" s="4" t="str">
        <f>IFERROR(__xludf.DUMMYFUNCTION("""COMPUTED_VALUE"""),"2075 - Channel")</f>
        <v>2075 - Channel</v>
      </c>
      <c r="B1527" s="4" t="str">
        <f>IFERROR(__xludf.DUMMYFUNCTION("""COMPUTED_VALUE"""),"")</f>
        <v/>
      </c>
      <c r="C1527" s="4" t="str">
        <f>IFERROR(__xludf.DUMMYFUNCTION("""COMPUTED_VALUE"""),"")</f>
        <v/>
      </c>
      <c r="D1527" s="4" t="str">
        <f>IFERROR(__xludf.DUMMYFUNCTION("""COMPUTED_VALUE"""),"")</f>
        <v/>
      </c>
      <c r="E1527" s="4" t="str">
        <f>IFERROR(__xludf.DUMMYFUNCTION("""COMPUTED_VALUE"""),"")</f>
        <v/>
      </c>
      <c r="F1527" s="4" t="str">
        <f>IFERROR(__xludf.DUMMYFUNCTION("""COMPUTED_VALUE"""),"")</f>
        <v/>
      </c>
      <c r="G1527" s="4" t="str">
        <f>IFERROR(__xludf.DUMMYFUNCTION("""COMPUTED_VALUE"""),"")</f>
        <v/>
      </c>
      <c r="H1527" s="4" t="str">
        <f>IFERROR(__xludf.DUMMYFUNCTION("""COMPUTED_VALUE"""),"")</f>
        <v/>
      </c>
      <c r="I1527" s="4" t="str">
        <f>IFERROR(__xludf.DUMMYFUNCTION("""COMPUTED_VALUE"""),"")</f>
        <v/>
      </c>
      <c r="J1527" s="4" t="str">
        <f>IFERROR(__xludf.DUMMYFUNCTION("""COMPUTED_VALUE"""),"")</f>
        <v/>
      </c>
      <c r="K1527" s="4" t="str">
        <f>IFERROR(__xludf.DUMMYFUNCTION("""COMPUTED_VALUE"""),"")</f>
        <v/>
      </c>
      <c r="L1527" s="4" t="str">
        <f>IFERROR(__xludf.DUMMYFUNCTION("""COMPUTED_VALUE"""),"")</f>
        <v/>
      </c>
      <c r="M1527" s="4" t="str">
        <f>IFERROR(__xludf.DUMMYFUNCTION("""COMPUTED_VALUE"""),"")</f>
        <v/>
      </c>
      <c r="N1527" s="4" t="str">
        <f>IFERROR(__xludf.DUMMYFUNCTION("""COMPUTED_VALUE"""),"")</f>
        <v/>
      </c>
      <c r="O1527" s="4" t="str">
        <f>IFERROR(__xludf.DUMMYFUNCTION("""COMPUTED_VALUE"""),"")</f>
        <v/>
      </c>
      <c r="P1527" s="4" t="str">
        <f>IFERROR(__xludf.DUMMYFUNCTION("""COMPUTED_VALUE"""),"")</f>
        <v/>
      </c>
      <c r="Q1527" s="4" t="str">
        <f>IFERROR(__xludf.DUMMYFUNCTION("""COMPUTED_VALUE"""),"")</f>
        <v/>
      </c>
      <c r="R1527" s="4" t="str">
        <f>IFERROR(__xludf.DUMMYFUNCTION("""COMPUTED_VALUE"""),"")</f>
        <v/>
      </c>
      <c r="S1527" s="4" t="str">
        <f>IFERROR(__xludf.DUMMYFUNCTION("""COMPUTED_VALUE"""),"")</f>
        <v/>
      </c>
      <c r="T1527" s="4" t="str">
        <f>IFERROR(__xludf.DUMMYFUNCTION("""COMPUTED_VALUE"""),"")</f>
        <v/>
      </c>
      <c r="U1527" s="4" t="str">
        <f>IFERROR(__xludf.DUMMYFUNCTION("""COMPUTED_VALUE"""),"")</f>
        <v/>
      </c>
      <c r="V1527" s="4" t="str">
        <f>IFERROR(__xludf.DUMMYFUNCTION("""COMPUTED_VALUE"""),"")</f>
        <v/>
      </c>
      <c r="W1527" s="4" t="str">
        <f>IFERROR(__xludf.DUMMYFUNCTION("""COMPUTED_VALUE"""),"")</f>
        <v/>
      </c>
      <c r="X1527" s="4" t="str">
        <f>IFERROR(__xludf.DUMMYFUNCTION("""COMPUTED_VALUE"""),"")</f>
        <v/>
      </c>
      <c r="Y1527" s="4" t="str">
        <f>IFERROR(__xludf.DUMMYFUNCTION("""COMPUTED_VALUE"""),"")</f>
        <v/>
      </c>
    </row>
    <row r="1528">
      <c r="A1528" s="4" t="str">
        <f>IFERROR(__xludf.DUMMYFUNCTION("""COMPUTED_VALUE"""),"2076 - Channel")</f>
        <v>2076 - Channel</v>
      </c>
      <c r="B1528" s="4" t="str">
        <f>IFERROR(__xludf.DUMMYFUNCTION("""COMPUTED_VALUE"""),"")</f>
        <v/>
      </c>
      <c r="C1528" s="4" t="str">
        <f>IFERROR(__xludf.DUMMYFUNCTION("""COMPUTED_VALUE"""),"")</f>
        <v/>
      </c>
      <c r="D1528" s="4" t="str">
        <f>IFERROR(__xludf.DUMMYFUNCTION("""COMPUTED_VALUE"""),"")</f>
        <v/>
      </c>
      <c r="E1528" s="4" t="str">
        <f>IFERROR(__xludf.DUMMYFUNCTION("""COMPUTED_VALUE"""),"")</f>
        <v/>
      </c>
      <c r="F1528" s="4" t="str">
        <f>IFERROR(__xludf.DUMMYFUNCTION("""COMPUTED_VALUE"""),"")</f>
        <v/>
      </c>
      <c r="G1528" s="4" t="str">
        <f>IFERROR(__xludf.DUMMYFUNCTION("""COMPUTED_VALUE"""),"")</f>
        <v/>
      </c>
      <c r="H1528" s="4" t="str">
        <f>IFERROR(__xludf.DUMMYFUNCTION("""COMPUTED_VALUE"""),"")</f>
        <v/>
      </c>
      <c r="I1528" s="4" t="str">
        <f>IFERROR(__xludf.DUMMYFUNCTION("""COMPUTED_VALUE"""),"")</f>
        <v/>
      </c>
      <c r="J1528" s="4" t="str">
        <f>IFERROR(__xludf.DUMMYFUNCTION("""COMPUTED_VALUE"""),"")</f>
        <v/>
      </c>
      <c r="K1528" s="4" t="str">
        <f>IFERROR(__xludf.DUMMYFUNCTION("""COMPUTED_VALUE"""),"")</f>
        <v/>
      </c>
      <c r="L1528" s="4" t="str">
        <f>IFERROR(__xludf.DUMMYFUNCTION("""COMPUTED_VALUE"""),"")</f>
        <v/>
      </c>
      <c r="M1528" s="4" t="str">
        <f>IFERROR(__xludf.DUMMYFUNCTION("""COMPUTED_VALUE"""),"")</f>
        <v/>
      </c>
      <c r="N1528" s="4" t="str">
        <f>IFERROR(__xludf.DUMMYFUNCTION("""COMPUTED_VALUE"""),"")</f>
        <v/>
      </c>
      <c r="O1528" s="4" t="str">
        <f>IFERROR(__xludf.DUMMYFUNCTION("""COMPUTED_VALUE"""),"")</f>
        <v/>
      </c>
      <c r="P1528" s="4" t="str">
        <f>IFERROR(__xludf.DUMMYFUNCTION("""COMPUTED_VALUE"""),"")</f>
        <v/>
      </c>
      <c r="Q1528" s="4" t="str">
        <f>IFERROR(__xludf.DUMMYFUNCTION("""COMPUTED_VALUE"""),"")</f>
        <v/>
      </c>
      <c r="R1528" s="4" t="str">
        <f>IFERROR(__xludf.DUMMYFUNCTION("""COMPUTED_VALUE"""),"")</f>
        <v/>
      </c>
      <c r="S1528" s="4" t="str">
        <f>IFERROR(__xludf.DUMMYFUNCTION("""COMPUTED_VALUE"""),"")</f>
        <v/>
      </c>
      <c r="T1528" s="4" t="str">
        <f>IFERROR(__xludf.DUMMYFUNCTION("""COMPUTED_VALUE"""),"")</f>
        <v/>
      </c>
      <c r="U1528" s="4" t="str">
        <f>IFERROR(__xludf.DUMMYFUNCTION("""COMPUTED_VALUE"""),"")</f>
        <v/>
      </c>
      <c r="V1528" s="4" t="str">
        <f>IFERROR(__xludf.DUMMYFUNCTION("""COMPUTED_VALUE"""),"")</f>
        <v/>
      </c>
      <c r="W1528" s="4" t="str">
        <f>IFERROR(__xludf.DUMMYFUNCTION("""COMPUTED_VALUE"""),"")</f>
        <v/>
      </c>
      <c r="X1528" s="4" t="str">
        <f>IFERROR(__xludf.DUMMYFUNCTION("""COMPUTED_VALUE"""),"")</f>
        <v/>
      </c>
      <c r="Y1528" s="4" t="str">
        <f>IFERROR(__xludf.DUMMYFUNCTION("""COMPUTED_VALUE"""),"")</f>
        <v/>
      </c>
    </row>
    <row r="1529">
      <c r="A1529" s="4" t="str">
        <f>IFERROR(__xludf.DUMMYFUNCTION("""COMPUTED_VALUE"""),"2077 - Channel")</f>
        <v>2077 - Channel</v>
      </c>
      <c r="B1529" s="4" t="str">
        <f>IFERROR(__xludf.DUMMYFUNCTION("""COMPUTED_VALUE"""),"")</f>
        <v/>
      </c>
      <c r="C1529" s="4" t="str">
        <f>IFERROR(__xludf.DUMMYFUNCTION("""COMPUTED_VALUE"""),"")</f>
        <v/>
      </c>
      <c r="D1529" s="4" t="str">
        <f>IFERROR(__xludf.DUMMYFUNCTION("""COMPUTED_VALUE"""),"")</f>
        <v/>
      </c>
      <c r="E1529" s="4" t="str">
        <f>IFERROR(__xludf.DUMMYFUNCTION("""COMPUTED_VALUE"""),"")</f>
        <v/>
      </c>
      <c r="F1529" s="4" t="str">
        <f>IFERROR(__xludf.DUMMYFUNCTION("""COMPUTED_VALUE"""),"")</f>
        <v/>
      </c>
      <c r="G1529" s="4" t="str">
        <f>IFERROR(__xludf.DUMMYFUNCTION("""COMPUTED_VALUE"""),"")</f>
        <v/>
      </c>
      <c r="H1529" s="4" t="str">
        <f>IFERROR(__xludf.DUMMYFUNCTION("""COMPUTED_VALUE"""),"")</f>
        <v/>
      </c>
      <c r="I1529" s="4" t="str">
        <f>IFERROR(__xludf.DUMMYFUNCTION("""COMPUTED_VALUE"""),"")</f>
        <v/>
      </c>
      <c r="J1529" s="4" t="str">
        <f>IFERROR(__xludf.DUMMYFUNCTION("""COMPUTED_VALUE"""),"")</f>
        <v/>
      </c>
      <c r="K1529" s="4" t="str">
        <f>IFERROR(__xludf.DUMMYFUNCTION("""COMPUTED_VALUE"""),"")</f>
        <v/>
      </c>
      <c r="L1529" s="4" t="str">
        <f>IFERROR(__xludf.DUMMYFUNCTION("""COMPUTED_VALUE"""),"")</f>
        <v/>
      </c>
      <c r="M1529" s="4" t="str">
        <f>IFERROR(__xludf.DUMMYFUNCTION("""COMPUTED_VALUE"""),"")</f>
        <v/>
      </c>
      <c r="N1529" s="4" t="str">
        <f>IFERROR(__xludf.DUMMYFUNCTION("""COMPUTED_VALUE"""),"")</f>
        <v/>
      </c>
      <c r="O1529" s="4" t="str">
        <f>IFERROR(__xludf.DUMMYFUNCTION("""COMPUTED_VALUE"""),"")</f>
        <v/>
      </c>
      <c r="P1529" s="4" t="str">
        <f>IFERROR(__xludf.DUMMYFUNCTION("""COMPUTED_VALUE"""),"")</f>
        <v/>
      </c>
      <c r="Q1529" s="4" t="str">
        <f>IFERROR(__xludf.DUMMYFUNCTION("""COMPUTED_VALUE"""),"")</f>
        <v/>
      </c>
      <c r="R1529" s="4" t="str">
        <f>IFERROR(__xludf.DUMMYFUNCTION("""COMPUTED_VALUE"""),"")</f>
        <v/>
      </c>
      <c r="S1529" s="4" t="str">
        <f>IFERROR(__xludf.DUMMYFUNCTION("""COMPUTED_VALUE"""),"")</f>
        <v/>
      </c>
      <c r="T1529" s="4" t="str">
        <f>IFERROR(__xludf.DUMMYFUNCTION("""COMPUTED_VALUE"""),"")</f>
        <v/>
      </c>
      <c r="U1529" s="4" t="str">
        <f>IFERROR(__xludf.DUMMYFUNCTION("""COMPUTED_VALUE"""),"")</f>
        <v/>
      </c>
      <c r="V1529" s="4" t="str">
        <f>IFERROR(__xludf.DUMMYFUNCTION("""COMPUTED_VALUE"""),"")</f>
        <v/>
      </c>
      <c r="W1529" s="4" t="str">
        <f>IFERROR(__xludf.DUMMYFUNCTION("""COMPUTED_VALUE"""),"")</f>
        <v/>
      </c>
      <c r="X1529" s="4" t="str">
        <f>IFERROR(__xludf.DUMMYFUNCTION("""COMPUTED_VALUE"""),"")</f>
        <v/>
      </c>
      <c r="Y1529" s="4" t="str">
        <f>IFERROR(__xludf.DUMMYFUNCTION("""COMPUTED_VALUE"""),"")</f>
        <v/>
      </c>
    </row>
    <row r="1530">
      <c r="A1530" s="4" t="str">
        <f>IFERROR(__xludf.DUMMYFUNCTION("""COMPUTED_VALUE"""),"2078 - Channel")</f>
        <v>2078 - Channel</v>
      </c>
      <c r="B1530" s="4" t="str">
        <f>IFERROR(__xludf.DUMMYFUNCTION("""COMPUTED_VALUE"""),"")</f>
        <v/>
      </c>
      <c r="C1530" s="4" t="str">
        <f>IFERROR(__xludf.DUMMYFUNCTION("""COMPUTED_VALUE"""),"")</f>
        <v/>
      </c>
      <c r="D1530" s="4" t="str">
        <f>IFERROR(__xludf.DUMMYFUNCTION("""COMPUTED_VALUE"""),"")</f>
        <v/>
      </c>
      <c r="E1530" s="4" t="str">
        <f>IFERROR(__xludf.DUMMYFUNCTION("""COMPUTED_VALUE"""),"")</f>
        <v/>
      </c>
      <c r="F1530" s="4" t="str">
        <f>IFERROR(__xludf.DUMMYFUNCTION("""COMPUTED_VALUE"""),"")</f>
        <v/>
      </c>
      <c r="G1530" s="4" t="str">
        <f>IFERROR(__xludf.DUMMYFUNCTION("""COMPUTED_VALUE"""),"")</f>
        <v/>
      </c>
      <c r="H1530" s="4" t="str">
        <f>IFERROR(__xludf.DUMMYFUNCTION("""COMPUTED_VALUE"""),"")</f>
        <v/>
      </c>
      <c r="I1530" s="4" t="str">
        <f>IFERROR(__xludf.DUMMYFUNCTION("""COMPUTED_VALUE"""),"")</f>
        <v/>
      </c>
      <c r="J1530" s="4" t="str">
        <f>IFERROR(__xludf.DUMMYFUNCTION("""COMPUTED_VALUE"""),"")</f>
        <v/>
      </c>
      <c r="K1530" s="4" t="str">
        <f>IFERROR(__xludf.DUMMYFUNCTION("""COMPUTED_VALUE"""),"")</f>
        <v/>
      </c>
      <c r="L1530" s="4" t="str">
        <f>IFERROR(__xludf.DUMMYFUNCTION("""COMPUTED_VALUE"""),"")</f>
        <v/>
      </c>
      <c r="M1530" s="4" t="str">
        <f>IFERROR(__xludf.DUMMYFUNCTION("""COMPUTED_VALUE"""),"")</f>
        <v/>
      </c>
      <c r="N1530" s="4" t="str">
        <f>IFERROR(__xludf.DUMMYFUNCTION("""COMPUTED_VALUE"""),"")</f>
        <v/>
      </c>
      <c r="O1530" s="4" t="str">
        <f>IFERROR(__xludf.DUMMYFUNCTION("""COMPUTED_VALUE"""),"")</f>
        <v/>
      </c>
      <c r="P1530" s="4" t="str">
        <f>IFERROR(__xludf.DUMMYFUNCTION("""COMPUTED_VALUE"""),"")</f>
        <v/>
      </c>
      <c r="Q1530" s="4" t="str">
        <f>IFERROR(__xludf.DUMMYFUNCTION("""COMPUTED_VALUE"""),"")</f>
        <v/>
      </c>
      <c r="R1530" s="4" t="str">
        <f>IFERROR(__xludf.DUMMYFUNCTION("""COMPUTED_VALUE"""),"")</f>
        <v/>
      </c>
      <c r="S1530" s="4" t="str">
        <f>IFERROR(__xludf.DUMMYFUNCTION("""COMPUTED_VALUE"""),"")</f>
        <v/>
      </c>
      <c r="T1530" s="4" t="str">
        <f>IFERROR(__xludf.DUMMYFUNCTION("""COMPUTED_VALUE"""),"")</f>
        <v/>
      </c>
      <c r="U1530" s="4" t="str">
        <f>IFERROR(__xludf.DUMMYFUNCTION("""COMPUTED_VALUE"""),"")</f>
        <v/>
      </c>
      <c r="V1530" s="4" t="str">
        <f>IFERROR(__xludf.DUMMYFUNCTION("""COMPUTED_VALUE"""),"")</f>
        <v/>
      </c>
      <c r="W1530" s="4" t="str">
        <f>IFERROR(__xludf.DUMMYFUNCTION("""COMPUTED_VALUE"""),"")</f>
        <v/>
      </c>
      <c r="X1530" s="4" t="str">
        <f>IFERROR(__xludf.DUMMYFUNCTION("""COMPUTED_VALUE"""),"")</f>
        <v/>
      </c>
      <c r="Y1530" s="4" t="str">
        <f>IFERROR(__xludf.DUMMYFUNCTION("""COMPUTED_VALUE"""),"")</f>
        <v/>
      </c>
    </row>
    <row r="1531">
      <c r="A1531" s="4" t="str">
        <f>IFERROR(__xludf.DUMMYFUNCTION("""COMPUTED_VALUE"""),"2079 - Channel")</f>
        <v>2079 - Channel</v>
      </c>
      <c r="B1531" s="4" t="str">
        <f>IFERROR(__xludf.DUMMYFUNCTION("""COMPUTED_VALUE"""),"")</f>
        <v/>
      </c>
      <c r="C1531" s="4" t="str">
        <f>IFERROR(__xludf.DUMMYFUNCTION("""COMPUTED_VALUE"""),"")</f>
        <v/>
      </c>
      <c r="D1531" s="4" t="str">
        <f>IFERROR(__xludf.DUMMYFUNCTION("""COMPUTED_VALUE"""),"")</f>
        <v/>
      </c>
      <c r="E1531" s="4" t="str">
        <f>IFERROR(__xludf.DUMMYFUNCTION("""COMPUTED_VALUE"""),"")</f>
        <v/>
      </c>
      <c r="F1531" s="4" t="str">
        <f>IFERROR(__xludf.DUMMYFUNCTION("""COMPUTED_VALUE"""),"")</f>
        <v/>
      </c>
      <c r="G1531" s="4" t="str">
        <f>IFERROR(__xludf.DUMMYFUNCTION("""COMPUTED_VALUE"""),"")</f>
        <v/>
      </c>
      <c r="H1531" s="4" t="str">
        <f>IFERROR(__xludf.DUMMYFUNCTION("""COMPUTED_VALUE"""),"")</f>
        <v/>
      </c>
      <c r="I1531" s="4" t="str">
        <f>IFERROR(__xludf.DUMMYFUNCTION("""COMPUTED_VALUE"""),"")</f>
        <v/>
      </c>
      <c r="J1531" s="4" t="str">
        <f>IFERROR(__xludf.DUMMYFUNCTION("""COMPUTED_VALUE"""),"")</f>
        <v/>
      </c>
      <c r="K1531" s="4" t="str">
        <f>IFERROR(__xludf.DUMMYFUNCTION("""COMPUTED_VALUE"""),"")</f>
        <v/>
      </c>
      <c r="L1531" s="4" t="str">
        <f>IFERROR(__xludf.DUMMYFUNCTION("""COMPUTED_VALUE"""),"")</f>
        <v/>
      </c>
      <c r="M1531" s="4" t="str">
        <f>IFERROR(__xludf.DUMMYFUNCTION("""COMPUTED_VALUE"""),"")</f>
        <v/>
      </c>
      <c r="N1531" s="4" t="str">
        <f>IFERROR(__xludf.DUMMYFUNCTION("""COMPUTED_VALUE"""),"")</f>
        <v/>
      </c>
      <c r="O1531" s="4" t="str">
        <f>IFERROR(__xludf.DUMMYFUNCTION("""COMPUTED_VALUE"""),"")</f>
        <v/>
      </c>
      <c r="P1531" s="4" t="str">
        <f>IFERROR(__xludf.DUMMYFUNCTION("""COMPUTED_VALUE"""),"")</f>
        <v/>
      </c>
      <c r="Q1531" s="4" t="str">
        <f>IFERROR(__xludf.DUMMYFUNCTION("""COMPUTED_VALUE"""),"")</f>
        <v/>
      </c>
      <c r="R1531" s="4" t="str">
        <f>IFERROR(__xludf.DUMMYFUNCTION("""COMPUTED_VALUE"""),"")</f>
        <v/>
      </c>
      <c r="S1531" s="4" t="str">
        <f>IFERROR(__xludf.DUMMYFUNCTION("""COMPUTED_VALUE"""),"")</f>
        <v/>
      </c>
      <c r="T1531" s="4" t="str">
        <f>IFERROR(__xludf.DUMMYFUNCTION("""COMPUTED_VALUE"""),"")</f>
        <v/>
      </c>
      <c r="U1531" s="4" t="str">
        <f>IFERROR(__xludf.DUMMYFUNCTION("""COMPUTED_VALUE"""),"")</f>
        <v/>
      </c>
      <c r="V1531" s="4" t="str">
        <f>IFERROR(__xludf.DUMMYFUNCTION("""COMPUTED_VALUE"""),"")</f>
        <v/>
      </c>
      <c r="W1531" s="4" t="str">
        <f>IFERROR(__xludf.DUMMYFUNCTION("""COMPUTED_VALUE"""),"")</f>
        <v/>
      </c>
      <c r="X1531" s="4" t="str">
        <f>IFERROR(__xludf.DUMMYFUNCTION("""COMPUTED_VALUE"""),"")</f>
        <v/>
      </c>
      <c r="Y1531" s="4" t="str">
        <f>IFERROR(__xludf.DUMMYFUNCTION("""COMPUTED_VALUE"""),"")</f>
        <v/>
      </c>
    </row>
    <row r="1532">
      <c r="A1532" s="4" t="str">
        <f>IFERROR(__xludf.DUMMYFUNCTION("""COMPUTED_VALUE"""),"2080 - Channel")</f>
        <v>2080 - Channel</v>
      </c>
      <c r="B1532" s="4" t="str">
        <f>IFERROR(__xludf.DUMMYFUNCTION("""COMPUTED_VALUE"""),"")</f>
        <v/>
      </c>
      <c r="C1532" s="4" t="str">
        <f>IFERROR(__xludf.DUMMYFUNCTION("""COMPUTED_VALUE"""),"")</f>
        <v/>
      </c>
      <c r="D1532" s="4" t="str">
        <f>IFERROR(__xludf.DUMMYFUNCTION("""COMPUTED_VALUE"""),"")</f>
        <v/>
      </c>
      <c r="E1532" s="4" t="str">
        <f>IFERROR(__xludf.DUMMYFUNCTION("""COMPUTED_VALUE"""),"")</f>
        <v/>
      </c>
      <c r="F1532" s="4" t="str">
        <f>IFERROR(__xludf.DUMMYFUNCTION("""COMPUTED_VALUE"""),"")</f>
        <v/>
      </c>
      <c r="G1532" s="4" t="str">
        <f>IFERROR(__xludf.DUMMYFUNCTION("""COMPUTED_VALUE"""),"")</f>
        <v/>
      </c>
      <c r="H1532" s="4" t="str">
        <f>IFERROR(__xludf.DUMMYFUNCTION("""COMPUTED_VALUE"""),"")</f>
        <v/>
      </c>
      <c r="I1532" s="4" t="str">
        <f>IFERROR(__xludf.DUMMYFUNCTION("""COMPUTED_VALUE"""),"")</f>
        <v/>
      </c>
      <c r="J1532" s="4" t="str">
        <f>IFERROR(__xludf.DUMMYFUNCTION("""COMPUTED_VALUE"""),"")</f>
        <v/>
      </c>
      <c r="K1532" s="4" t="str">
        <f>IFERROR(__xludf.DUMMYFUNCTION("""COMPUTED_VALUE"""),"")</f>
        <v/>
      </c>
      <c r="L1532" s="4" t="str">
        <f>IFERROR(__xludf.DUMMYFUNCTION("""COMPUTED_VALUE"""),"")</f>
        <v/>
      </c>
      <c r="M1532" s="4" t="str">
        <f>IFERROR(__xludf.DUMMYFUNCTION("""COMPUTED_VALUE"""),"")</f>
        <v/>
      </c>
      <c r="N1532" s="4" t="str">
        <f>IFERROR(__xludf.DUMMYFUNCTION("""COMPUTED_VALUE"""),"")</f>
        <v/>
      </c>
      <c r="O1532" s="4" t="str">
        <f>IFERROR(__xludf.DUMMYFUNCTION("""COMPUTED_VALUE"""),"")</f>
        <v/>
      </c>
      <c r="P1532" s="4" t="str">
        <f>IFERROR(__xludf.DUMMYFUNCTION("""COMPUTED_VALUE"""),"")</f>
        <v/>
      </c>
      <c r="Q1532" s="4" t="str">
        <f>IFERROR(__xludf.DUMMYFUNCTION("""COMPUTED_VALUE"""),"")</f>
        <v/>
      </c>
      <c r="R1532" s="4" t="str">
        <f>IFERROR(__xludf.DUMMYFUNCTION("""COMPUTED_VALUE"""),"")</f>
        <v/>
      </c>
      <c r="S1532" s="4" t="str">
        <f>IFERROR(__xludf.DUMMYFUNCTION("""COMPUTED_VALUE"""),"")</f>
        <v/>
      </c>
      <c r="T1532" s="4" t="str">
        <f>IFERROR(__xludf.DUMMYFUNCTION("""COMPUTED_VALUE"""),"")</f>
        <v/>
      </c>
      <c r="U1532" s="4" t="str">
        <f>IFERROR(__xludf.DUMMYFUNCTION("""COMPUTED_VALUE"""),"")</f>
        <v/>
      </c>
      <c r="V1532" s="4" t="str">
        <f>IFERROR(__xludf.DUMMYFUNCTION("""COMPUTED_VALUE"""),"")</f>
        <v/>
      </c>
      <c r="W1532" s="4" t="str">
        <f>IFERROR(__xludf.DUMMYFUNCTION("""COMPUTED_VALUE"""),"")</f>
        <v/>
      </c>
      <c r="X1532" s="4" t="str">
        <f>IFERROR(__xludf.DUMMYFUNCTION("""COMPUTED_VALUE"""),"")</f>
        <v/>
      </c>
      <c r="Y1532" s="4" t="str">
        <f>IFERROR(__xludf.DUMMYFUNCTION("""COMPUTED_VALUE"""),"")</f>
        <v/>
      </c>
    </row>
    <row r="1533">
      <c r="A1533" s="4" t="str">
        <f>IFERROR(__xludf.DUMMYFUNCTION("""COMPUTED_VALUE"""),"2081 - Channel")</f>
        <v>2081 - Channel</v>
      </c>
      <c r="B1533" s="4" t="str">
        <f>IFERROR(__xludf.DUMMYFUNCTION("""COMPUTED_VALUE"""),"")</f>
        <v/>
      </c>
      <c r="C1533" s="4" t="str">
        <f>IFERROR(__xludf.DUMMYFUNCTION("""COMPUTED_VALUE"""),"")</f>
        <v/>
      </c>
      <c r="D1533" s="4" t="str">
        <f>IFERROR(__xludf.DUMMYFUNCTION("""COMPUTED_VALUE"""),"")</f>
        <v/>
      </c>
      <c r="E1533" s="4" t="str">
        <f>IFERROR(__xludf.DUMMYFUNCTION("""COMPUTED_VALUE"""),"")</f>
        <v/>
      </c>
      <c r="F1533" s="4" t="str">
        <f>IFERROR(__xludf.DUMMYFUNCTION("""COMPUTED_VALUE"""),"")</f>
        <v/>
      </c>
      <c r="G1533" s="4" t="str">
        <f>IFERROR(__xludf.DUMMYFUNCTION("""COMPUTED_VALUE"""),"")</f>
        <v/>
      </c>
      <c r="H1533" s="4" t="str">
        <f>IFERROR(__xludf.DUMMYFUNCTION("""COMPUTED_VALUE"""),"")</f>
        <v/>
      </c>
      <c r="I1533" s="4" t="str">
        <f>IFERROR(__xludf.DUMMYFUNCTION("""COMPUTED_VALUE"""),"")</f>
        <v/>
      </c>
      <c r="J1533" s="4" t="str">
        <f>IFERROR(__xludf.DUMMYFUNCTION("""COMPUTED_VALUE"""),"")</f>
        <v/>
      </c>
      <c r="K1533" s="4" t="str">
        <f>IFERROR(__xludf.DUMMYFUNCTION("""COMPUTED_VALUE"""),"")</f>
        <v/>
      </c>
      <c r="L1533" s="4" t="str">
        <f>IFERROR(__xludf.DUMMYFUNCTION("""COMPUTED_VALUE"""),"")</f>
        <v/>
      </c>
      <c r="M1533" s="4" t="str">
        <f>IFERROR(__xludf.DUMMYFUNCTION("""COMPUTED_VALUE"""),"")</f>
        <v/>
      </c>
      <c r="N1533" s="4" t="str">
        <f>IFERROR(__xludf.DUMMYFUNCTION("""COMPUTED_VALUE"""),"")</f>
        <v/>
      </c>
      <c r="O1533" s="4" t="str">
        <f>IFERROR(__xludf.DUMMYFUNCTION("""COMPUTED_VALUE"""),"")</f>
        <v/>
      </c>
      <c r="P1533" s="4" t="str">
        <f>IFERROR(__xludf.DUMMYFUNCTION("""COMPUTED_VALUE"""),"")</f>
        <v/>
      </c>
      <c r="Q1533" s="4" t="str">
        <f>IFERROR(__xludf.DUMMYFUNCTION("""COMPUTED_VALUE"""),"")</f>
        <v/>
      </c>
      <c r="R1533" s="4" t="str">
        <f>IFERROR(__xludf.DUMMYFUNCTION("""COMPUTED_VALUE"""),"")</f>
        <v/>
      </c>
      <c r="S1533" s="4" t="str">
        <f>IFERROR(__xludf.DUMMYFUNCTION("""COMPUTED_VALUE"""),"")</f>
        <v/>
      </c>
      <c r="T1533" s="4" t="str">
        <f>IFERROR(__xludf.DUMMYFUNCTION("""COMPUTED_VALUE"""),"")</f>
        <v/>
      </c>
      <c r="U1533" s="4" t="str">
        <f>IFERROR(__xludf.DUMMYFUNCTION("""COMPUTED_VALUE"""),"")</f>
        <v/>
      </c>
      <c r="V1533" s="4" t="str">
        <f>IFERROR(__xludf.DUMMYFUNCTION("""COMPUTED_VALUE"""),"")</f>
        <v/>
      </c>
      <c r="W1533" s="4" t="str">
        <f>IFERROR(__xludf.DUMMYFUNCTION("""COMPUTED_VALUE"""),"")</f>
        <v/>
      </c>
      <c r="X1533" s="4" t="str">
        <f>IFERROR(__xludf.DUMMYFUNCTION("""COMPUTED_VALUE"""),"")</f>
        <v/>
      </c>
      <c r="Y1533" s="4" t="str">
        <f>IFERROR(__xludf.DUMMYFUNCTION("""COMPUTED_VALUE"""),"")</f>
        <v/>
      </c>
    </row>
    <row r="1534">
      <c r="A1534" s="4" t="str">
        <f>IFERROR(__xludf.DUMMYFUNCTION("""COMPUTED_VALUE"""),"2082 - Channel")</f>
        <v>2082 - Channel</v>
      </c>
      <c r="B1534" s="4" t="str">
        <f>IFERROR(__xludf.DUMMYFUNCTION("""COMPUTED_VALUE"""),"")</f>
        <v/>
      </c>
      <c r="C1534" s="4" t="str">
        <f>IFERROR(__xludf.DUMMYFUNCTION("""COMPUTED_VALUE"""),"")</f>
        <v/>
      </c>
      <c r="D1534" s="4" t="str">
        <f>IFERROR(__xludf.DUMMYFUNCTION("""COMPUTED_VALUE"""),"")</f>
        <v/>
      </c>
      <c r="E1534" s="4" t="str">
        <f>IFERROR(__xludf.DUMMYFUNCTION("""COMPUTED_VALUE"""),"")</f>
        <v/>
      </c>
      <c r="F1534" s="4" t="str">
        <f>IFERROR(__xludf.DUMMYFUNCTION("""COMPUTED_VALUE"""),"")</f>
        <v/>
      </c>
      <c r="G1534" s="4" t="str">
        <f>IFERROR(__xludf.DUMMYFUNCTION("""COMPUTED_VALUE"""),"")</f>
        <v/>
      </c>
      <c r="H1534" s="4" t="str">
        <f>IFERROR(__xludf.DUMMYFUNCTION("""COMPUTED_VALUE"""),"")</f>
        <v/>
      </c>
      <c r="I1534" s="4" t="str">
        <f>IFERROR(__xludf.DUMMYFUNCTION("""COMPUTED_VALUE"""),"")</f>
        <v/>
      </c>
      <c r="J1534" s="4" t="str">
        <f>IFERROR(__xludf.DUMMYFUNCTION("""COMPUTED_VALUE"""),"")</f>
        <v/>
      </c>
      <c r="K1534" s="4" t="str">
        <f>IFERROR(__xludf.DUMMYFUNCTION("""COMPUTED_VALUE"""),"")</f>
        <v/>
      </c>
      <c r="L1534" s="4" t="str">
        <f>IFERROR(__xludf.DUMMYFUNCTION("""COMPUTED_VALUE"""),"")</f>
        <v/>
      </c>
      <c r="M1534" s="4" t="str">
        <f>IFERROR(__xludf.DUMMYFUNCTION("""COMPUTED_VALUE"""),"")</f>
        <v/>
      </c>
      <c r="N1534" s="4" t="str">
        <f>IFERROR(__xludf.DUMMYFUNCTION("""COMPUTED_VALUE"""),"")</f>
        <v/>
      </c>
      <c r="O1534" s="4" t="str">
        <f>IFERROR(__xludf.DUMMYFUNCTION("""COMPUTED_VALUE"""),"")</f>
        <v/>
      </c>
      <c r="P1534" s="4" t="str">
        <f>IFERROR(__xludf.DUMMYFUNCTION("""COMPUTED_VALUE"""),"")</f>
        <v/>
      </c>
      <c r="Q1534" s="4" t="str">
        <f>IFERROR(__xludf.DUMMYFUNCTION("""COMPUTED_VALUE"""),"")</f>
        <v/>
      </c>
      <c r="R1534" s="4" t="str">
        <f>IFERROR(__xludf.DUMMYFUNCTION("""COMPUTED_VALUE"""),"")</f>
        <v/>
      </c>
      <c r="S1534" s="4" t="str">
        <f>IFERROR(__xludf.DUMMYFUNCTION("""COMPUTED_VALUE"""),"")</f>
        <v/>
      </c>
      <c r="T1534" s="4" t="str">
        <f>IFERROR(__xludf.DUMMYFUNCTION("""COMPUTED_VALUE"""),"")</f>
        <v/>
      </c>
      <c r="U1534" s="4" t="str">
        <f>IFERROR(__xludf.DUMMYFUNCTION("""COMPUTED_VALUE"""),"")</f>
        <v/>
      </c>
      <c r="V1534" s="4" t="str">
        <f>IFERROR(__xludf.DUMMYFUNCTION("""COMPUTED_VALUE"""),"")</f>
        <v/>
      </c>
      <c r="W1534" s="4" t="str">
        <f>IFERROR(__xludf.DUMMYFUNCTION("""COMPUTED_VALUE"""),"")</f>
        <v/>
      </c>
      <c r="X1534" s="4" t="str">
        <f>IFERROR(__xludf.DUMMYFUNCTION("""COMPUTED_VALUE"""),"")</f>
        <v/>
      </c>
      <c r="Y1534" s="4" t="str">
        <f>IFERROR(__xludf.DUMMYFUNCTION("""COMPUTED_VALUE"""),"")</f>
        <v/>
      </c>
    </row>
    <row r="1535">
      <c r="A1535" s="4" t="str">
        <f>IFERROR(__xludf.DUMMYFUNCTION("""COMPUTED_VALUE"""),"2083 - Channel")</f>
        <v>2083 - Channel</v>
      </c>
      <c r="B1535" s="4" t="str">
        <f>IFERROR(__xludf.DUMMYFUNCTION("""COMPUTED_VALUE"""),"")</f>
        <v/>
      </c>
      <c r="C1535" s="4" t="str">
        <f>IFERROR(__xludf.DUMMYFUNCTION("""COMPUTED_VALUE"""),"")</f>
        <v/>
      </c>
      <c r="D1535" s="4" t="str">
        <f>IFERROR(__xludf.DUMMYFUNCTION("""COMPUTED_VALUE"""),"")</f>
        <v/>
      </c>
      <c r="E1535" s="4" t="str">
        <f>IFERROR(__xludf.DUMMYFUNCTION("""COMPUTED_VALUE"""),"")</f>
        <v/>
      </c>
      <c r="F1535" s="4" t="str">
        <f>IFERROR(__xludf.DUMMYFUNCTION("""COMPUTED_VALUE"""),"")</f>
        <v/>
      </c>
      <c r="G1535" s="4" t="str">
        <f>IFERROR(__xludf.DUMMYFUNCTION("""COMPUTED_VALUE"""),"")</f>
        <v/>
      </c>
      <c r="H1535" s="4" t="str">
        <f>IFERROR(__xludf.DUMMYFUNCTION("""COMPUTED_VALUE"""),"")</f>
        <v/>
      </c>
      <c r="I1535" s="4" t="str">
        <f>IFERROR(__xludf.DUMMYFUNCTION("""COMPUTED_VALUE"""),"")</f>
        <v/>
      </c>
      <c r="J1535" s="4" t="str">
        <f>IFERROR(__xludf.DUMMYFUNCTION("""COMPUTED_VALUE"""),"")</f>
        <v/>
      </c>
      <c r="K1535" s="4" t="str">
        <f>IFERROR(__xludf.DUMMYFUNCTION("""COMPUTED_VALUE"""),"")</f>
        <v/>
      </c>
      <c r="L1535" s="4" t="str">
        <f>IFERROR(__xludf.DUMMYFUNCTION("""COMPUTED_VALUE"""),"")</f>
        <v/>
      </c>
      <c r="M1535" s="4" t="str">
        <f>IFERROR(__xludf.DUMMYFUNCTION("""COMPUTED_VALUE"""),"")</f>
        <v/>
      </c>
      <c r="N1535" s="4" t="str">
        <f>IFERROR(__xludf.DUMMYFUNCTION("""COMPUTED_VALUE"""),"")</f>
        <v/>
      </c>
      <c r="O1535" s="4" t="str">
        <f>IFERROR(__xludf.DUMMYFUNCTION("""COMPUTED_VALUE"""),"")</f>
        <v/>
      </c>
      <c r="P1535" s="4" t="str">
        <f>IFERROR(__xludf.DUMMYFUNCTION("""COMPUTED_VALUE"""),"")</f>
        <v/>
      </c>
      <c r="Q1535" s="4" t="str">
        <f>IFERROR(__xludf.DUMMYFUNCTION("""COMPUTED_VALUE"""),"")</f>
        <v/>
      </c>
      <c r="R1535" s="4" t="str">
        <f>IFERROR(__xludf.DUMMYFUNCTION("""COMPUTED_VALUE"""),"")</f>
        <v/>
      </c>
      <c r="S1535" s="4" t="str">
        <f>IFERROR(__xludf.DUMMYFUNCTION("""COMPUTED_VALUE"""),"")</f>
        <v/>
      </c>
      <c r="T1535" s="4" t="str">
        <f>IFERROR(__xludf.DUMMYFUNCTION("""COMPUTED_VALUE"""),"")</f>
        <v/>
      </c>
      <c r="U1535" s="4" t="str">
        <f>IFERROR(__xludf.DUMMYFUNCTION("""COMPUTED_VALUE"""),"")</f>
        <v/>
      </c>
      <c r="V1535" s="4" t="str">
        <f>IFERROR(__xludf.DUMMYFUNCTION("""COMPUTED_VALUE"""),"")</f>
        <v/>
      </c>
      <c r="W1535" s="4" t="str">
        <f>IFERROR(__xludf.DUMMYFUNCTION("""COMPUTED_VALUE"""),"")</f>
        <v/>
      </c>
      <c r="X1535" s="4" t="str">
        <f>IFERROR(__xludf.DUMMYFUNCTION("""COMPUTED_VALUE"""),"")</f>
        <v/>
      </c>
      <c r="Y1535" s="4" t="str">
        <f>IFERROR(__xludf.DUMMYFUNCTION("""COMPUTED_VALUE"""),"")</f>
        <v/>
      </c>
    </row>
    <row r="1536">
      <c r="A1536" s="4" t="str">
        <f>IFERROR(__xludf.DUMMYFUNCTION("""COMPUTED_VALUE"""),"2084 - Channel")</f>
        <v>2084 - Channel</v>
      </c>
      <c r="B1536" s="4" t="str">
        <f>IFERROR(__xludf.DUMMYFUNCTION("""COMPUTED_VALUE"""),"")</f>
        <v/>
      </c>
      <c r="C1536" s="4" t="str">
        <f>IFERROR(__xludf.DUMMYFUNCTION("""COMPUTED_VALUE"""),"")</f>
        <v/>
      </c>
      <c r="D1536" s="4" t="str">
        <f>IFERROR(__xludf.DUMMYFUNCTION("""COMPUTED_VALUE"""),"")</f>
        <v/>
      </c>
      <c r="E1536" s="4" t="str">
        <f>IFERROR(__xludf.DUMMYFUNCTION("""COMPUTED_VALUE"""),"")</f>
        <v/>
      </c>
      <c r="F1536" s="4" t="str">
        <f>IFERROR(__xludf.DUMMYFUNCTION("""COMPUTED_VALUE"""),"")</f>
        <v/>
      </c>
      <c r="G1536" s="4" t="str">
        <f>IFERROR(__xludf.DUMMYFUNCTION("""COMPUTED_VALUE"""),"")</f>
        <v/>
      </c>
      <c r="H1536" s="4" t="str">
        <f>IFERROR(__xludf.DUMMYFUNCTION("""COMPUTED_VALUE"""),"")</f>
        <v/>
      </c>
      <c r="I1536" s="4" t="str">
        <f>IFERROR(__xludf.DUMMYFUNCTION("""COMPUTED_VALUE"""),"")</f>
        <v/>
      </c>
      <c r="J1536" s="4" t="str">
        <f>IFERROR(__xludf.DUMMYFUNCTION("""COMPUTED_VALUE"""),"")</f>
        <v/>
      </c>
      <c r="K1536" s="4" t="str">
        <f>IFERROR(__xludf.DUMMYFUNCTION("""COMPUTED_VALUE"""),"")</f>
        <v/>
      </c>
      <c r="L1536" s="4" t="str">
        <f>IFERROR(__xludf.DUMMYFUNCTION("""COMPUTED_VALUE"""),"")</f>
        <v/>
      </c>
      <c r="M1536" s="4" t="str">
        <f>IFERROR(__xludf.DUMMYFUNCTION("""COMPUTED_VALUE"""),"")</f>
        <v/>
      </c>
      <c r="N1536" s="4" t="str">
        <f>IFERROR(__xludf.DUMMYFUNCTION("""COMPUTED_VALUE"""),"")</f>
        <v/>
      </c>
      <c r="O1536" s="4" t="str">
        <f>IFERROR(__xludf.DUMMYFUNCTION("""COMPUTED_VALUE"""),"")</f>
        <v/>
      </c>
      <c r="P1536" s="4" t="str">
        <f>IFERROR(__xludf.DUMMYFUNCTION("""COMPUTED_VALUE"""),"")</f>
        <v/>
      </c>
      <c r="Q1536" s="4" t="str">
        <f>IFERROR(__xludf.DUMMYFUNCTION("""COMPUTED_VALUE"""),"")</f>
        <v/>
      </c>
      <c r="R1536" s="4" t="str">
        <f>IFERROR(__xludf.DUMMYFUNCTION("""COMPUTED_VALUE"""),"")</f>
        <v/>
      </c>
      <c r="S1536" s="4" t="str">
        <f>IFERROR(__xludf.DUMMYFUNCTION("""COMPUTED_VALUE"""),"")</f>
        <v/>
      </c>
      <c r="T1536" s="4" t="str">
        <f>IFERROR(__xludf.DUMMYFUNCTION("""COMPUTED_VALUE"""),"")</f>
        <v/>
      </c>
      <c r="U1536" s="4" t="str">
        <f>IFERROR(__xludf.DUMMYFUNCTION("""COMPUTED_VALUE"""),"")</f>
        <v/>
      </c>
      <c r="V1536" s="4" t="str">
        <f>IFERROR(__xludf.DUMMYFUNCTION("""COMPUTED_VALUE"""),"")</f>
        <v/>
      </c>
      <c r="W1536" s="4" t="str">
        <f>IFERROR(__xludf.DUMMYFUNCTION("""COMPUTED_VALUE"""),"")</f>
        <v/>
      </c>
      <c r="X1536" s="4" t="str">
        <f>IFERROR(__xludf.DUMMYFUNCTION("""COMPUTED_VALUE"""),"")</f>
        <v/>
      </c>
      <c r="Y1536" s="4" t="str">
        <f>IFERROR(__xludf.DUMMYFUNCTION("""COMPUTED_VALUE"""),"")</f>
        <v/>
      </c>
    </row>
    <row r="1537">
      <c r="A1537" s="4" t="str">
        <f>IFERROR(__xludf.DUMMYFUNCTION("""COMPUTED_VALUE"""),"2085 - Channel")</f>
        <v>2085 - Channel</v>
      </c>
      <c r="B1537" s="4" t="str">
        <f>IFERROR(__xludf.DUMMYFUNCTION("""COMPUTED_VALUE"""),"")</f>
        <v/>
      </c>
      <c r="C1537" s="4" t="str">
        <f>IFERROR(__xludf.DUMMYFUNCTION("""COMPUTED_VALUE"""),"")</f>
        <v/>
      </c>
      <c r="D1537" s="4" t="str">
        <f>IFERROR(__xludf.DUMMYFUNCTION("""COMPUTED_VALUE"""),"")</f>
        <v/>
      </c>
      <c r="E1537" s="4" t="str">
        <f>IFERROR(__xludf.DUMMYFUNCTION("""COMPUTED_VALUE"""),"")</f>
        <v/>
      </c>
      <c r="F1537" s="4" t="str">
        <f>IFERROR(__xludf.DUMMYFUNCTION("""COMPUTED_VALUE"""),"")</f>
        <v/>
      </c>
      <c r="G1537" s="4" t="str">
        <f>IFERROR(__xludf.DUMMYFUNCTION("""COMPUTED_VALUE"""),"")</f>
        <v/>
      </c>
      <c r="H1537" s="4" t="str">
        <f>IFERROR(__xludf.DUMMYFUNCTION("""COMPUTED_VALUE"""),"")</f>
        <v/>
      </c>
      <c r="I1537" s="4" t="str">
        <f>IFERROR(__xludf.DUMMYFUNCTION("""COMPUTED_VALUE"""),"")</f>
        <v/>
      </c>
      <c r="J1537" s="4" t="str">
        <f>IFERROR(__xludf.DUMMYFUNCTION("""COMPUTED_VALUE"""),"")</f>
        <v/>
      </c>
      <c r="K1537" s="4" t="str">
        <f>IFERROR(__xludf.DUMMYFUNCTION("""COMPUTED_VALUE"""),"")</f>
        <v/>
      </c>
      <c r="L1537" s="4" t="str">
        <f>IFERROR(__xludf.DUMMYFUNCTION("""COMPUTED_VALUE"""),"")</f>
        <v/>
      </c>
      <c r="M1537" s="4" t="str">
        <f>IFERROR(__xludf.DUMMYFUNCTION("""COMPUTED_VALUE"""),"")</f>
        <v/>
      </c>
      <c r="N1537" s="4" t="str">
        <f>IFERROR(__xludf.DUMMYFUNCTION("""COMPUTED_VALUE"""),"")</f>
        <v/>
      </c>
      <c r="O1537" s="4" t="str">
        <f>IFERROR(__xludf.DUMMYFUNCTION("""COMPUTED_VALUE"""),"")</f>
        <v/>
      </c>
      <c r="P1537" s="4" t="str">
        <f>IFERROR(__xludf.DUMMYFUNCTION("""COMPUTED_VALUE"""),"")</f>
        <v/>
      </c>
      <c r="Q1537" s="4" t="str">
        <f>IFERROR(__xludf.DUMMYFUNCTION("""COMPUTED_VALUE"""),"")</f>
        <v/>
      </c>
      <c r="R1537" s="4" t="str">
        <f>IFERROR(__xludf.DUMMYFUNCTION("""COMPUTED_VALUE"""),"")</f>
        <v/>
      </c>
      <c r="S1537" s="4" t="str">
        <f>IFERROR(__xludf.DUMMYFUNCTION("""COMPUTED_VALUE"""),"")</f>
        <v/>
      </c>
      <c r="T1537" s="4" t="str">
        <f>IFERROR(__xludf.DUMMYFUNCTION("""COMPUTED_VALUE"""),"")</f>
        <v/>
      </c>
      <c r="U1537" s="4" t="str">
        <f>IFERROR(__xludf.DUMMYFUNCTION("""COMPUTED_VALUE"""),"")</f>
        <v/>
      </c>
      <c r="V1537" s="4" t="str">
        <f>IFERROR(__xludf.DUMMYFUNCTION("""COMPUTED_VALUE"""),"")</f>
        <v/>
      </c>
      <c r="W1537" s="4" t="str">
        <f>IFERROR(__xludf.DUMMYFUNCTION("""COMPUTED_VALUE"""),"")</f>
        <v/>
      </c>
      <c r="X1537" s="4" t="str">
        <f>IFERROR(__xludf.DUMMYFUNCTION("""COMPUTED_VALUE"""),"")</f>
        <v/>
      </c>
      <c r="Y1537" s="4" t="str">
        <f>IFERROR(__xludf.DUMMYFUNCTION("""COMPUTED_VALUE"""),"")</f>
        <v/>
      </c>
    </row>
    <row r="1538">
      <c r="A1538" s="4" t="str">
        <f>IFERROR(__xludf.DUMMYFUNCTION("""COMPUTED_VALUE"""),"2086 - Channel")</f>
        <v>2086 - Channel</v>
      </c>
      <c r="B1538" s="4" t="str">
        <f>IFERROR(__xludf.DUMMYFUNCTION("""COMPUTED_VALUE"""),"")</f>
        <v/>
      </c>
      <c r="C1538" s="4" t="str">
        <f>IFERROR(__xludf.DUMMYFUNCTION("""COMPUTED_VALUE"""),"")</f>
        <v/>
      </c>
      <c r="D1538" s="4" t="str">
        <f>IFERROR(__xludf.DUMMYFUNCTION("""COMPUTED_VALUE"""),"")</f>
        <v/>
      </c>
      <c r="E1538" s="4" t="str">
        <f>IFERROR(__xludf.DUMMYFUNCTION("""COMPUTED_VALUE"""),"")</f>
        <v/>
      </c>
      <c r="F1538" s="4" t="str">
        <f>IFERROR(__xludf.DUMMYFUNCTION("""COMPUTED_VALUE"""),"")</f>
        <v/>
      </c>
      <c r="G1538" s="4" t="str">
        <f>IFERROR(__xludf.DUMMYFUNCTION("""COMPUTED_VALUE"""),"")</f>
        <v/>
      </c>
      <c r="H1538" s="4" t="str">
        <f>IFERROR(__xludf.DUMMYFUNCTION("""COMPUTED_VALUE"""),"")</f>
        <v/>
      </c>
      <c r="I1538" s="4" t="str">
        <f>IFERROR(__xludf.DUMMYFUNCTION("""COMPUTED_VALUE"""),"")</f>
        <v/>
      </c>
      <c r="J1538" s="4" t="str">
        <f>IFERROR(__xludf.DUMMYFUNCTION("""COMPUTED_VALUE"""),"")</f>
        <v/>
      </c>
      <c r="K1538" s="4" t="str">
        <f>IFERROR(__xludf.DUMMYFUNCTION("""COMPUTED_VALUE"""),"")</f>
        <v/>
      </c>
      <c r="L1538" s="4" t="str">
        <f>IFERROR(__xludf.DUMMYFUNCTION("""COMPUTED_VALUE"""),"")</f>
        <v/>
      </c>
      <c r="M1538" s="4" t="str">
        <f>IFERROR(__xludf.DUMMYFUNCTION("""COMPUTED_VALUE"""),"")</f>
        <v/>
      </c>
      <c r="N1538" s="4" t="str">
        <f>IFERROR(__xludf.DUMMYFUNCTION("""COMPUTED_VALUE"""),"")</f>
        <v/>
      </c>
      <c r="O1538" s="4" t="str">
        <f>IFERROR(__xludf.DUMMYFUNCTION("""COMPUTED_VALUE"""),"")</f>
        <v/>
      </c>
      <c r="P1538" s="4" t="str">
        <f>IFERROR(__xludf.DUMMYFUNCTION("""COMPUTED_VALUE"""),"")</f>
        <v/>
      </c>
      <c r="Q1538" s="4" t="str">
        <f>IFERROR(__xludf.DUMMYFUNCTION("""COMPUTED_VALUE"""),"")</f>
        <v/>
      </c>
      <c r="R1538" s="4" t="str">
        <f>IFERROR(__xludf.DUMMYFUNCTION("""COMPUTED_VALUE"""),"")</f>
        <v/>
      </c>
      <c r="S1538" s="4" t="str">
        <f>IFERROR(__xludf.DUMMYFUNCTION("""COMPUTED_VALUE"""),"")</f>
        <v/>
      </c>
      <c r="T1538" s="4" t="str">
        <f>IFERROR(__xludf.DUMMYFUNCTION("""COMPUTED_VALUE"""),"")</f>
        <v/>
      </c>
      <c r="U1538" s="4" t="str">
        <f>IFERROR(__xludf.DUMMYFUNCTION("""COMPUTED_VALUE"""),"")</f>
        <v/>
      </c>
      <c r="V1538" s="4" t="str">
        <f>IFERROR(__xludf.DUMMYFUNCTION("""COMPUTED_VALUE"""),"")</f>
        <v/>
      </c>
      <c r="W1538" s="4" t="str">
        <f>IFERROR(__xludf.DUMMYFUNCTION("""COMPUTED_VALUE"""),"")</f>
        <v/>
      </c>
      <c r="X1538" s="4" t="str">
        <f>IFERROR(__xludf.DUMMYFUNCTION("""COMPUTED_VALUE"""),"")</f>
        <v/>
      </c>
      <c r="Y1538" s="4" t="str">
        <f>IFERROR(__xludf.DUMMYFUNCTION("""COMPUTED_VALUE"""),"")</f>
        <v/>
      </c>
    </row>
    <row r="1539">
      <c r="A1539" s="4" t="str">
        <f>IFERROR(__xludf.DUMMYFUNCTION("""COMPUTED_VALUE"""),"2087 - Channel")</f>
        <v>2087 - Channel</v>
      </c>
      <c r="B1539" s="4" t="str">
        <f>IFERROR(__xludf.DUMMYFUNCTION("""COMPUTED_VALUE"""),"")</f>
        <v/>
      </c>
      <c r="C1539" s="4" t="str">
        <f>IFERROR(__xludf.DUMMYFUNCTION("""COMPUTED_VALUE"""),"")</f>
        <v/>
      </c>
      <c r="D1539" s="4" t="str">
        <f>IFERROR(__xludf.DUMMYFUNCTION("""COMPUTED_VALUE"""),"")</f>
        <v/>
      </c>
      <c r="E1539" s="4" t="str">
        <f>IFERROR(__xludf.DUMMYFUNCTION("""COMPUTED_VALUE"""),"")</f>
        <v/>
      </c>
      <c r="F1539" s="4" t="str">
        <f>IFERROR(__xludf.DUMMYFUNCTION("""COMPUTED_VALUE"""),"")</f>
        <v/>
      </c>
      <c r="G1539" s="4" t="str">
        <f>IFERROR(__xludf.DUMMYFUNCTION("""COMPUTED_VALUE"""),"")</f>
        <v/>
      </c>
      <c r="H1539" s="4" t="str">
        <f>IFERROR(__xludf.DUMMYFUNCTION("""COMPUTED_VALUE"""),"")</f>
        <v/>
      </c>
      <c r="I1539" s="4" t="str">
        <f>IFERROR(__xludf.DUMMYFUNCTION("""COMPUTED_VALUE"""),"")</f>
        <v/>
      </c>
      <c r="J1539" s="4" t="str">
        <f>IFERROR(__xludf.DUMMYFUNCTION("""COMPUTED_VALUE"""),"")</f>
        <v/>
      </c>
      <c r="K1539" s="4" t="str">
        <f>IFERROR(__xludf.DUMMYFUNCTION("""COMPUTED_VALUE"""),"")</f>
        <v/>
      </c>
      <c r="L1539" s="4" t="str">
        <f>IFERROR(__xludf.DUMMYFUNCTION("""COMPUTED_VALUE"""),"")</f>
        <v/>
      </c>
      <c r="M1539" s="4" t="str">
        <f>IFERROR(__xludf.DUMMYFUNCTION("""COMPUTED_VALUE"""),"")</f>
        <v/>
      </c>
      <c r="N1539" s="4" t="str">
        <f>IFERROR(__xludf.DUMMYFUNCTION("""COMPUTED_VALUE"""),"")</f>
        <v/>
      </c>
      <c r="O1539" s="4" t="str">
        <f>IFERROR(__xludf.DUMMYFUNCTION("""COMPUTED_VALUE"""),"")</f>
        <v/>
      </c>
      <c r="P1539" s="4" t="str">
        <f>IFERROR(__xludf.DUMMYFUNCTION("""COMPUTED_VALUE"""),"")</f>
        <v/>
      </c>
      <c r="Q1539" s="4" t="str">
        <f>IFERROR(__xludf.DUMMYFUNCTION("""COMPUTED_VALUE"""),"")</f>
        <v/>
      </c>
      <c r="R1539" s="4" t="str">
        <f>IFERROR(__xludf.DUMMYFUNCTION("""COMPUTED_VALUE"""),"")</f>
        <v/>
      </c>
      <c r="S1539" s="4" t="str">
        <f>IFERROR(__xludf.DUMMYFUNCTION("""COMPUTED_VALUE"""),"")</f>
        <v/>
      </c>
      <c r="T1539" s="4" t="str">
        <f>IFERROR(__xludf.DUMMYFUNCTION("""COMPUTED_VALUE"""),"")</f>
        <v/>
      </c>
      <c r="U1539" s="4" t="str">
        <f>IFERROR(__xludf.DUMMYFUNCTION("""COMPUTED_VALUE"""),"")</f>
        <v/>
      </c>
      <c r="V1539" s="4" t="str">
        <f>IFERROR(__xludf.DUMMYFUNCTION("""COMPUTED_VALUE"""),"")</f>
        <v/>
      </c>
      <c r="W1539" s="4" t="str">
        <f>IFERROR(__xludf.DUMMYFUNCTION("""COMPUTED_VALUE"""),"")</f>
        <v/>
      </c>
      <c r="X1539" s="4" t="str">
        <f>IFERROR(__xludf.DUMMYFUNCTION("""COMPUTED_VALUE"""),"")</f>
        <v/>
      </c>
      <c r="Y1539" s="4" t="str">
        <f>IFERROR(__xludf.DUMMYFUNCTION("""COMPUTED_VALUE"""),"")</f>
        <v/>
      </c>
    </row>
    <row r="1540">
      <c r="A1540" s="4" t="str">
        <f>IFERROR(__xludf.DUMMYFUNCTION("""COMPUTED_VALUE"""),"2088 - Channel")</f>
        <v>2088 - Channel</v>
      </c>
      <c r="B1540" s="4" t="str">
        <f>IFERROR(__xludf.DUMMYFUNCTION("""COMPUTED_VALUE"""),"")</f>
        <v/>
      </c>
      <c r="C1540" s="4" t="str">
        <f>IFERROR(__xludf.DUMMYFUNCTION("""COMPUTED_VALUE"""),"")</f>
        <v/>
      </c>
      <c r="D1540" s="4" t="str">
        <f>IFERROR(__xludf.DUMMYFUNCTION("""COMPUTED_VALUE"""),"")</f>
        <v/>
      </c>
      <c r="E1540" s="4" t="str">
        <f>IFERROR(__xludf.DUMMYFUNCTION("""COMPUTED_VALUE"""),"")</f>
        <v/>
      </c>
      <c r="F1540" s="4" t="str">
        <f>IFERROR(__xludf.DUMMYFUNCTION("""COMPUTED_VALUE"""),"")</f>
        <v/>
      </c>
      <c r="G1540" s="4" t="str">
        <f>IFERROR(__xludf.DUMMYFUNCTION("""COMPUTED_VALUE"""),"")</f>
        <v/>
      </c>
      <c r="H1540" s="4" t="str">
        <f>IFERROR(__xludf.DUMMYFUNCTION("""COMPUTED_VALUE"""),"")</f>
        <v/>
      </c>
      <c r="I1540" s="4" t="str">
        <f>IFERROR(__xludf.DUMMYFUNCTION("""COMPUTED_VALUE"""),"")</f>
        <v/>
      </c>
      <c r="J1540" s="4" t="str">
        <f>IFERROR(__xludf.DUMMYFUNCTION("""COMPUTED_VALUE"""),"")</f>
        <v/>
      </c>
      <c r="K1540" s="4" t="str">
        <f>IFERROR(__xludf.DUMMYFUNCTION("""COMPUTED_VALUE"""),"")</f>
        <v/>
      </c>
      <c r="L1540" s="4" t="str">
        <f>IFERROR(__xludf.DUMMYFUNCTION("""COMPUTED_VALUE"""),"")</f>
        <v/>
      </c>
      <c r="M1540" s="4" t="str">
        <f>IFERROR(__xludf.DUMMYFUNCTION("""COMPUTED_VALUE"""),"")</f>
        <v/>
      </c>
      <c r="N1540" s="4" t="str">
        <f>IFERROR(__xludf.DUMMYFUNCTION("""COMPUTED_VALUE"""),"")</f>
        <v/>
      </c>
      <c r="O1540" s="4" t="str">
        <f>IFERROR(__xludf.DUMMYFUNCTION("""COMPUTED_VALUE"""),"")</f>
        <v/>
      </c>
      <c r="P1540" s="4" t="str">
        <f>IFERROR(__xludf.DUMMYFUNCTION("""COMPUTED_VALUE"""),"")</f>
        <v/>
      </c>
      <c r="Q1540" s="4" t="str">
        <f>IFERROR(__xludf.DUMMYFUNCTION("""COMPUTED_VALUE"""),"")</f>
        <v/>
      </c>
      <c r="R1540" s="4" t="str">
        <f>IFERROR(__xludf.DUMMYFUNCTION("""COMPUTED_VALUE"""),"")</f>
        <v/>
      </c>
      <c r="S1540" s="4" t="str">
        <f>IFERROR(__xludf.DUMMYFUNCTION("""COMPUTED_VALUE"""),"")</f>
        <v/>
      </c>
      <c r="T1540" s="4" t="str">
        <f>IFERROR(__xludf.DUMMYFUNCTION("""COMPUTED_VALUE"""),"")</f>
        <v/>
      </c>
      <c r="U1540" s="4" t="str">
        <f>IFERROR(__xludf.DUMMYFUNCTION("""COMPUTED_VALUE"""),"")</f>
        <v/>
      </c>
      <c r="V1540" s="4" t="str">
        <f>IFERROR(__xludf.DUMMYFUNCTION("""COMPUTED_VALUE"""),"")</f>
        <v/>
      </c>
      <c r="W1540" s="4" t="str">
        <f>IFERROR(__xludf.DUMMYFUNCTION("""COMPUTED_VALUE"""),"")</f>
        <v/>
      </c>
      <c r="X1540" s="4" t="str">
        <f>IFERROR(__xludf.DUMMYFUNCTION("""COMPUTED_VALUE"""),"")</f>
        <v/>
      </c>
      <c r="Y1540" s="4" t="str">
        <f>IFERROR(__xludf.DUMMYFUNCTION("""COMPUTED_VALUE"""),"")</f>
        <v/>
      </c>
    </row>
    <row r="1541">
      <c r="A1541" s="4" t="str">
        <f>IFERROR(__xludf.DUMMYFUNCTION("""COMPUTED_VALUE"""),"2089 - Channel")</f>
        <v>2089 - Channel</v>
      </c>
      <c r="B1541" s="4" t="str">
        <f>IFERROR(__xludf.DUMMYFUNCTION("""COMPUTED_VALUE"""),"")</f>
        <v/>
      </c>
      <c r="C1541" s="4" t="str">
        <f>IFERROR(__xludf.DUMMYFUNCTION("""COMPUTED_VALUE"""),"")</f>
        <v/>
      </c>
      <c r="D1541" s="4" t="str">
        <f>IFERROR(__xludf.DUMMYFUNCTION("""COMPUTED_VALUE"""),"")</f>
        <v/>
      </c>
      <c r="E1541" s="4" t="str">
        <f>IFERROR(__xludf.DUMMYFUNCTION("""COMPUTED_VALUE"""),"")</f>
        <v/>
      </c>
      <c r="F1541" s="4" t="str">
        <f>IFERROR(__xludf.DUMMYFUNCTION("""COMPUTED_VALUE"""),"")</f>
        <v/>
      </c>
      <c r="G1541" s="4" t="str">
        <f>IFERROR(__xludf.DUMMYFUNCTION("""COMPUTED_VALUE"""),"")</f>
        <v/>
      </c>
      <c r="H1541" s="4" t="str">
        <f>IFERROR(__xludf.DUMMYFUNCTION("""COMPUTED_VALUE"""),"")</f>
        <v/>
      </c>
      <c r="I1541" s="4" t="str">
        <f>IFERROR(__xludf.DUMMYFUNCTION("""COMPUTED_VALUE"""),"")</f>
        <v/>
      </c>
      <c r="J1541" s="4" t="str">
        <f>IFERROR(__xludf.DUMMYFUNCTION("""COMPUTED_VALUE"""),"")</f>
        <v/>
      </c>
      <c r="K1541" s="4" t="str">
        <f>IFERROR(__xludf.DUMMYFUNCTION("""COMPUTED_VALUE"""),"")</f>
        <v/>
      </c>
      <c r="L1541" s="4" t="str">
        <f>IFERROR(__xludf.DUMMYFUNCTION("""COMPUTED_VALUE"""),"")</f>
        <v/>
      </c>
      <c r="M1541" s="4" t="str">
        <f>IFERROR(__xludf.DUMMYFUNCTION("""COMPUTED_VALUE"""),"")</f>
        <v/>
      </c>
      <c r="N1541" s="4" t="str">
        <f>IFERROR(__xludf.DUMMYFUNCTION("""COMPUTED_VALUE"""),"")</f>
        <v/>
      </c>
      <c r="O1541" s="4" t="str">
        <f>IFERROR(__xludf.DUMMYFUNCTION("""COMPUTED_VALUE"""),"")</f>
        <v/>
      </c>
      <c r="P1541" s="4" t="str">
        <f>IFERROR(__xludf.DUMMYFUNCTION("""COMPUTED_VALUE"""),"")</f>
        <v/>
      </c>
      <c r="Q1541" s="4" t="str">
        <f>IFERROR(__xludf.DUMMYFUNCTION("""COMPUTED_VALUE"""),"")</f>
        <v/>
      </c>
      <c r="R1541" s="4" t="str">
        <f>IFERROR(__xludf.DUMMYFUNCTION("""COMPUTED_VALUE"""),"")</f>
        <v/>
      </c>
      <c r="S1541" s="4" t="str">
        <f>IFERROR(__xludf.DUMMYFUNCTION("""COMPUTED_VALUE"""),"")</f>
        <v/>
      </c>
      <c r="T1541" s="4" t="str">
        <f>IFERROR(__xludf.DUMMYFUNCTION("""COMPUTED_VALUE"""),"")</f>
        <v/>
      </c>
      <c r="U1541" s="4" t="str">
        <f>IFERROR(__xludf.DUMMYFUNCTION("""COMPUTED_VALUE"""),"")</f>
        <v/>
      </c>
      <c r="V1541" s="4" t="str">
        <f>IFERROR(__xludf.DUMMYFUNCTION("""COMPUTED_VALUE"""),"")</f>
        <v/>
      </c>
      <c r="W1541" s="4" t="str">
        <f>IFERROR(__xludf.DUMMYFUNCTION("""COMPUTED_VALUE"""),"")</f>
        <v/>
      </c>
      <c r="X1541" s="4" t="str">
        <f>IFERROR(__xludf.DUMMYFUNCTION("""COMPUTED_VALUE"""),"")</f>
        <v/>
      </c>
      <c r="Y1541" s="4" t="str">
        <f>IFERROR(__xludf.DUMMYFUNCTION("""COMPUTED_VALUE"""),"")</f>
        <v/>
      </c>
    </row>
    <row r="1542">
      <c r="A1542" s="4" t="str">
        <f>IFERROR(__xludf.DUMMYFUNCTION("""COMPUTED_VALUE"""),"2090 - Channel")</f>
        <v>2090 - Channel</v>
      </c>
      <c r="B1542" s="4" t="str">
        <f>IFERROR(__xludf.DUMMYFUNCTION("""COMPUTED_VALUE"""),"")</f>
        <v/>
      </c>
      <c r="C1542" s="4" t="str">
        <f>IFERROR(__xludf.DUMMYFUNCTION("""COMPUTED_VALUE"""),"")</f>
        <v/>
      </c>
      <c r="D1542" s="4" t="str">
        <f>IFERROR(__xludf.DUMMYFUNCTION("""COMPUTED_VALUE"""),"")</f>
        <v/>
      </c>
      <c r="E1542" s="4" t="str">
        <f>IFERROR(__xludf.DUMMYFUNCTION("""COMPUTED_VALUE"""),"")</f>
        <v/>
      </c>
      <c r="F1542" s="4" t="str">
        <f>IFERROR(__xludf.DUMMYFUNCTION("""COMPUTED_VALUE"""),"")</f>
        <v/>
      </c>
      <c r="G1542" s="4" t="str">
        <f>IFERROR(__xludf.DUMMYFUNCTION("""COMPUTED_VALUE"""),"")</f>
        <v/>
      </c>
      <c r="H1542" s="4" t="str">
        <f>IFERROR(__xludf.DUMMYFUNCTION("""COMPUTED_VALUE"""),"")</f>
        <v/>
      </c>
      <c r="I1542" s="4" t="str">
        <f>IFERROR(__xludf.DUMMYFUNCTION("""COMPUTED_VALUE"""),"")</f>
        <v/>
      </c>
      <c r="J1542" s="4" t="str">
        <f>IFERROR(__xludf.DUMMYFUNCTION("""COMPUTED_VALUE"""),"")</f>
        <v/>
      </c>
      <c r="K1542" s="4" t="str">
        <f>IFERROR(__xludf.DUMMYFUNCTION("""COMPUTED_VALUE"""),"")</f>
        <v/>
      </c>
      <c r="L1542" s="4" t="str">
        <f>IFERROR(__xludf.DUMMYFUNCTION("""COMPUTED_VALUE"""),"")</f>
        <v/>
      </c>
      <c r="M1542" s="4" t="str">
        <f>IFERROR(__xludf.DUMMYFUNCTION("""COMPUTED_VALUE"""),"")</f>
        <v/>
      </c>
      <c r="N1542" s="4" t="str">
        <f>IFERROR(__xludf.DUMMYFUNCTION("""COMPUTED_VALUE"""),"")</f>
        <v/>
      </c>
      <c r="O1542" s="4" t="str">
        <f>IFERROR(__xludf.DUMMYFUNCTION("""COMPUTED_VALUE"""),"")</f>
        <v/>
      </c>
      <c r="P1542" s="4" t="str">
        <f>IFERROR(__xludf.DUMMYFUNCTION("""COMPUTED_VALUE"""),"")</f>
        <v/>
      </c>
      <c r="Q1542" s="4" t="str">
        <f>IFERROR(__xludf.DUMMYFUNCTION("""COMPUTED_VALUE"""),"")</f>
        <v/>
      </c>
      <c r="R1542" s="4" t="str">
        <f>IFERROR(__xludf.DUMMYFUNCTION("""COMPUTED_VALUE"""),"")</f>
        <v/>
      </c>
      <c r="S1542" s="4" t="str">
        <f>IFERROR(__xludf.DUMMYFUNCTION("""COMPUTED_VALUE"""),"")</f>
        <v/>
      </c>
      <c r="T1542" s="4" t="str">
        <f>IFERROR(__xludf.DUMMYFUNCTION("""COMPUTED_VALUE"""),"")</f>
        <v/>
      </c>
      <c r="U1542" s="4" t="str">
        <f>IFERROR(__xludf.DUMMYFUNCTION("""COMPUTED_VALUE"""),"")</f>
        <v/>
      </c>
      <c r="V1542" s="4" t="str">
        <f>IFERROR(__xludf.DUMMYFUNCTION("""COMPUTED_VALUE"""),"")</f>
        <v/>
      </c>
      <c r="W1542" s="4" t="str">
        <f>IFERROR(__xludf.DUMMYFUNCTION("""COMPUTED_VALUE"""),"")</f>
        <v/>
      </c>
      <c r="X1542" s="4" t="str">
        <f>IFERROR(__xludf.DUMMYFUNCTION("""COMPUTED_VALUE"""),"")</f>
        <v/>
      </c>
      <c r="Y1542" s="4" t="str">
        <f>IFERROR(__xludf.DUMMYFUNCTION("""COMPUTED_VALUE"""),"")</f>
        <v/>
      </c>
    </row>
    <row r="1543">
      <c r="A1543" s="4" t="str">
        <f>IFERROR(__xludf.DUMMYFUNCTION("""COMPUTED_VALUE"""),"2091 - Channel")</f>
        <v>2091 - Channel</v>
      </c>
      <c r="B1543" s="4" t="str">
        <f>IFERROR(__xludf.DUMMYFUNCTION("""COMPUTED_VALUE"""),"")</f>
        <v/>
      </c>
      <c r="C1543" s="4" t="str">
        <f>IFERROR(__xludf.DUMMYFUNCTION("""COMPUTED_VALUE"""),"")</f>
        <v/>
      </c>
      <c r="D1543" s="4" t="str">
        <f>IFERROR(__xludf.DUMMYFUNCTION("""COMPUTED_VALUE"""),"")</f>
        <v/>
      </c>
      <c r="E1543" s="4" t="str">
        <f>IFERROR(__xludf.DUMMYFUNCTION("""COMPUTED_VALUE"""),"")</f>
        <v/>
      </c>
      <c r="F1543" s="4" t="str">
        <f>IFERROR(__xludf.DUMMYFUNCTION("""COMPUTED_VALUE"""),"")</f>
        <v/>
      </c>
      <c r="G1543" s="4" t="str">
        <f>IFERROR(__xludf.DUMMYFUNCTION("""COMPUTED_VALUE"""),"")</f>
        <v/>
      </c>
      <c r="H1543" s="4" t="str">
        <f>IFERROR(__xludf.DUMMYFUNCTION("""COMPUTED_VALUE"""),"")</f>
        <v/>
      </c>
      <c r="I1543" s="4" t="str">
        <f>IFERROR(__xludf.DUMMYFUNCTION("""COMPUTED_VALUE"""),"")</f>
        <v/>
      </c>
      <c r="J1543" s="4" t="str">
        <f>IFERROR(__xludf.DUMMYFUNCTION("""COMPUTED_VALUE"""),"")</f>
        <v/>
      </c>
      <c r="K1543" s="4" t="str">
        <f>IFERROR(__xludf.DUMMYFUNCTION("""COMPUTED_VALUE"""),"")</f>
        <v/>
      </c>
      <c r="L1543" s="4" t="str">
        <f>IFERROR(__xludf.DUMMYFUNCTION("""COMPUTED_VALUE"""),"")</f>
        <v/>
      </c>
      <c r="M1543" s="4" t="str">
        <f>IFERROR(__xludf.DUMMYFUNCTION("""COMPUTED_VALUE"""),"")</f>
        <v/>
      </c>
      <c r="N1543" s="4" t="str">
        <f>IFERROR(__xludf.DUMMYFUNCTION("""COMPUTED_VALUE"""),"")</f>
        <v/>
      </c>
      <c r="O1543" s="4" t="str">
        <f>IFERROR(__xludf.DUMMYFUNCTION("""COMPUTED_VALUE"""),"")</f>
        <v/>
      </c>
      <c r="P1543" s="4" t="str">
        <f>IFERROR(__xludf.DUMMYFUNCTION("""COMPUTED_VALUE"""),"")</f>
        <v/>
      </c>
      <c r="Q1543" s="4" t="str">
        <f>IFERROR(__xludf.DUMMYFUNCTION("""COMPUTED_VALUE"""),"")</f>
        <v/>
      </c>
      <c r="R1543" s="4" t="str">
        <f>IFERROR(__xludf.DUMMYFUNCTION("""COMPUTED_VALUE"""),"")</f>
        <v/>
      </c>
      <c r="S1543" s="4" t="str">
        <f>IFERROR(__xludf.DUMMYFUNCTION("""COMPUTED_VALUE"""),"")</f>
        <v/>
      </c>
      <c r="T1543" s="4" t="str">
        <f>IFERROR(__xludf.DUMMYFUNCTION("""COMPUTED_VALUE"""),"")</f>
        <v/>
      </c>
      <c r="U1543" s="4" t="str">
        <f>IFERROR(__xludf.DUMMYFUNCTION("""COMPUTED_VALUE"""),"")</f>
        <v/>
      </c>
      <c r="V1543" s="4" t="str">
        <f>IFERROR(__xludf.DUMMYFUNCTION("""COMPUTED_VALUE"""),"")</f>
        <v/>
      </c>
      <c r="W1543" s="4" t="str">
        <f>IFERROR(__xludf.DUMMYFUNCTION("""COMPUTED_VALUE"""),"")</f>
        <v/>
      </c>
      <c r="X1543" s="4" t="str">
        <f>IFERROR(__xludf.DUMMYFUNCTION("""COMPUTED_VALUE"""),"")</f>
        <v/>
      </c>
      <c r="Y1543" s="4" t="str">
        <f>IFERROR(__xludf.DUMMYFUNCTION("""COMPUTED_VALUE"""),"")</f>
        <v/>
      </c>
    </row>
    <row r="1544">
      <c r="A1544" s="4" t="str">
        <f>IFERROR(__xludf.DUMMYFUNCTION("""COMPUTED_VALUE"""),"2095 - Channel")</f>
        <v>2095 - Channel</v>
      </c>
      <c r="B1544" s="4" t="str">
        <f>IFERROR(__xludf.DUMMYFUNCTION("""COMPUTED_VALUE"""),"")</f>
        <v/>
      </c>
      <c r="C1544" s="4" t="str">
        <f>IFERROR(__xludf.DUMMYFUNCTION("""COMPUTED_VALUE"""),"")</f>
        <v/>
      </c>
      <c r="D1544" s="4" t="str">
        <f>IFERROR(__xludf.DUMMYFUNCTION("""COMPUTED_VALUE"""),"")</f>
        <v/>
      </c>
      <c r="E1544" s="4" t="str">
        <f>IFERROR(__xludf.DUMMYFUNCTION("""COMPUTED_VALUE"""),"")</f>
        <v/>
      </c>
      <c r="F1544" s="4" t="str">
        <f>IFERROR(__xludf.DUMMYFUNCTION("""COMPUTED_VALUE"""),"")</f>
        <v/>
      </c>
      <c r="G1544" s="4" t="str">
        <f>IFERROR(__xludf.DUMMYFUNCTION("""COMPUTED_VALUE"""),"")</f>
        <v/>
      </c>
      <c r="H1544" s="4" t="str">
        <f>IFERROR(__xludf.DUMMYFUNCTION("""COMPUTED_VALUE"""),"")</f>
        <v/>
      </c>
      <c r="I1544" s="4" t="str">
        <f>IFERROR(__xludf.DUMMYFUNCTION("""COMPUTED_VALUE"""),"")</f>
        <v/>
      </c>
      <c r="J1544" s="4" t="str">
        <f>IFERROR(__xludf.DUMMYFUNCTION("""COMPUTED_VALUE"""),"")</f>
        <v/>
      </c>
      <c r="K1544" s="4" t="str">
        <f>IFERROR(__xludf.DUMMYFUNCTION("""COMPUTED_VALUE"""),"")</f>
        <v/>
      </c>
      <c r="L1544" s="4" t="str">
        <f>IFERROR(__xludf.DUMMYFUNCTION("""COMPUTED_VALUE"""),"")</f>
        <v/>
      </c>
      <c r="M1544" s="4" t="str">
        <f>IFERROR(__xludf.DUMMYFUNCTION("""COMPUTED_VALUE"""),"")</f>
        <v/>
      </c>
      <c r="N1544" s="4" t="str">
        <f>IFERROR(__xludf.DUMMYFUNCTION("""COMPUTED_VALUE"""),"")</f>
        <v/>
      </c>
      <c r="O1544" s="4" t="str">
        <f>IFERROR(__xludf.DUMMYFUNCTION("""COMPUTED_VALUE"""),"")</f>
        <v/>
      </c>
      <c r="P1544" s="4" t="str">
        <f>IFERROR(__xludf.DUMMYFUNCTION("""COMPUTED_VALUE"""),"")</f>
        <v/>
      </c>
      <c r="Q1544" s="4" t="str">
        <f>IFERROR(__xludf.DUMMYFUNCTION("""COMPUTED_VALUE"""),"")</f>
        <v/>
      </c>
      <c r="R1544" s="4" t="str">
        <f>IFERROR(__xludf.DUMMYFUNCTION("""COMPUTED_VALUE"""),"")</f>
        <v/>
      </c>
      <c r="S1544" s="4" t="str">
        <f>IFERROR(__xludf.DUMMYFUNCTION("""COMPUTED_VALUE"""),"")</f>
        <v/>
      </c>
      <c r="T1544" s="4" t="str">
        <f>IFERROR(__xludf.DUMMYFUNCTION("""COMPUTED_VALUE"""),"")</f>
        <v/>
      </c>
      <c r="U1544" s="4" t="str">
        <f>IFERROR(__xludf.DUMMYFUNCTION("""COMPUTED_VALUE"""),"")</f>
        <v/>
      </c>
      <c r="V1544" s="4" t="str">
        <f>IFERROR(__xludf.DUMMYFUNCTION("""COMPUTED_VALUE"""),"")</f>
        <v/>
      </c>
      <c r="W1544" s="4" t="str">
        <f>IFERROR(__xludf.DUMMYFUNCTION("""COMPUTED_VALUE"""),"")</f>
        <v/>
      </c>
      <c r="X1544" s="4" t="str">
        <f>IFERROR(__xludf.DUMMYFUNCTION("""COMPUTED_VALUE"""),"")</f>
        <v/>
      </c>
      <c r="Y1544" s="4" t="str">
        <f>IFERROR(__xludf.DUMMYFUNCTION("""COMPUTED_VALUE"""),"")</f>
        <v/>
      </c>
    </row>
    <row r="1545">
      <c r="A1545" s="4" t="str">
        <f>IFERROR(__xludf.DUMMYFUNCTION("""COMPUTED_VALUE"""),"2096 - Channel")</f>
        <v>2096 - Channel</v>
      </c>
      <c r="B1545" s="4" t="str">
        <f>IFERROR(__xludf.DUMMYFUNCTION("""COMPUTED_VALUE"""),"")</f>
        <v/>
      </c>
      <c r="C1545" s="4" t="str">
        <f>IFERROR(__xludf.DUMMYFUNCTION("""COMPUTED_VALUE"""),"")</f>
        <v/>
      </c>
      <c r="D1545" s="4" t="str">
        <f>IFERROR(__xludf.DUMMYFUNCTION("""COMPUTED_VALUE"""),"")</f>
        <v/>
      </c>
      <c r="E1545" s="4" t="str">
        <f>IFERROR(__xludf.DUMMYFUNCTION("""COMPUTED_VALUE"""),"")</f>
        <v/>
      </c>
      <c r="F1545" s="4" t="str">
        <f>IFERROR(__xludf.DUMMYFUNCTION("""COMPUTED_VALUE"""),"")</f>
        <v/>
      </c>
      <c r="G1545" s="4" t="str">
        <f>IFERROR(__xludf.DUMMYFUNCTION("""COMPUTED_VALUE"""),"")</f>
        <v/>
      </c>
      <c r="H1545" s="4" t="str">
        <f>IFERROR(__xludf.DUMMYFUNCTION("""COMPUTED_VALUE"""),"")</f>
        <v/>
      </c>
      <c r="I1545" s="4" t="str">
        <f>IFERROR(__xludf.DUMMYFUNCTION("""COMPUTED_VALUE"""),"")</f>
        <v/>
      </c>
      <c r="J1545" s="4" t="str">
        <f>IFERROR(__xludf.DUMMYFUNCTION("""COMPUTED_VALUE"""),"")</f>
        <v/>
      </c>
      <c r="K1545" s="4" t="str">
        <f>IFERROR(__xludf.DUMMYFUNCTION("""COMPUTED_VALUE"""),"")</f>
        <v/>
      </c>
      <c r="L1545" s="4" t="str">
        <f>IFERROR(__xludf.DUMMYFUNCTION("""COMPUTED_VALUE"""),"")</f>
        <v/>
      </c>
      <c r="M1545" s="4" t="str">
        <f>IFERROR(__xludf.DUMMYFUNCTION("""COMPUTED_VALUE"""),"")</f>
        <v/>
      </c>
      <c r="N1545" s="4" t="str">
        <f>IFERROR(__xludf.DUMMYFUNCTION("""COMPUTED_VALUE"""),"")</f>
        <v/>
      </c>
      <c r="O1545" s="4" t="str">
        <f>IFERROR(__xludf.DUMMYFUNCTION("""COMPUTED_VALUE"""),"")</f>
        <v/>
      </c>
      <c r="P1545" s="4" t="str">
        <f>IFERROR(__xludf.DUMMYFUNCTION("""COMPUTED_VALUE"""),"")</f>
        <v/>
      </c>
      <c r="Q1545" s="4" t="str">
        <f>IFERROR(__xludf.DUMMYFUNCTION("""COMPUTED_VALUE"""),"")</f>
        <v/>
      </c>
      <c r="R1545" s="4" t="str">
        <f>IFERROR(__xludf.DUMMYFUNCTION("""COMPUTED_VALUE"""),"")</f>
        <v/>
      </c>
      <c r="S1545" s="4" t="str">
        <f>IFERROR(__xludf.DUMMYFUNCTION("""COMPUTED_VALUE"""),"")</f>
        <v/>
      </c>
      <c r="T1545" s="4" t="str">
        <f>IFERROR(__xludf.DUMMYFUNCTION("""COMPUTED_VALUE"""),"")</f>
        <v/>
      </c>
      <c r="U1545" s="4" t="str">
        <f>IFERROR(__xludf.DUMMYFUNCTION("""COMPUTED_VALUE"""),"")</f>
        <v/>
      </c>
      <c r="V1545" s="4" t="str">
        <f>IFERROR(__xludf.DUMMYFUNCTION("""COMPUTED_VALUE"""),"")</f>
        <v/>
      </c>
      <c r="W1545" s="4" t="str">
        <f>IFERROR(__xludf.DUMMYFUNCTION("""COMPUTED_VALUE"""),"")</f>
        <v/>
      </c>
      <c r="X1545" s="4" t="str">
        <f>IFERROR(__xludf.DUMMYFUNCTION("""COMPUTED_VALUE"""),"")</f>
        <v/>
      </c>
      <c r="Y1545" s="4" t="str">
        <f>IFERROR(__xludf.DUMMYFUNCTION("""COMPUTED_VALUE"""),"")</f>
        <v/>
      </c>
    </row>
    <row r="1546">
      <c r="A1546" s="4" t="str">
        <f>IFERROR(__xludf.DUMMYFUNCTION("""COMPUTED_VALUE"""),"2097 - Channel")</f>
        <v>2097 - Channel</v>
      </c>
      <c r="B1546" s="4" t="str">
        <f>IFERROR(__xludf.DUMMYFUNCTION("""COMPUTED_VALUE"""),"")</f>
        <v/>
      </c>
      <c r="C1546" s="4" t="str">
        <f>IFERROR(__xludf.DUMMYFUNCTION("""COMPUTED_VALUE"""),"")</f>
        <v/>
      </c>
      <c r="D1546" s="4" t="str">
        <f>IFERROR(__xludf.DUMMYFUNCTION("""COMPUTED_VALUE"""),"")</f>
        <v/>
      </c>
      <c r="E1546" s="4" t="str">
        <f>IFERROR(__xludf.DUMMYFUNCTION("""COMPUTED_VALUE"""),"")</f>
        <v/>
      </c>
      <c r="F1546" s="4" t="str">
        <f>IFERROR(__xludf.DUMMYFUNCTION("""COMPUTED_VALUE"""),"")</f>
        <v/>
      </c>
      <c r="G1546" s="4" t="str">
        <f>IFERROR(__xludf.DUMMYFUNCTION("""COMPUTED_VALUE"""),"")</f>
        <v/>
      </c>
      <c r="H1546" s="4" t="str">
        <f>IFERROR(__xludf.DUMMYFUNCTION("""COMPUTED_VALUE"""),"")</f>
        <v/>
      </c>
      <c r="I1546" s="4" t="str">
        <f>IFERROR(__xludf.DUMMYFUNCTION("""COMPUTED_VALUE"""),"")</f>
        <v/>
      </c>
      <c r="J1546" s="4" t="str">
        <f>IFERROR(__xludf.DUMMYFUNCTION("""COMPUTED_VALUE"""),"")</f>
        <v/>
      </c>
      <c r="K1546" s="4" t="str">
        <f>IFERROR(__xludf.DUMMYFUNCTION("""COMPUTED_VALUE"""),"")</f>
        <v/>
      </c>
      <c r="L1546" s="4" t="str">
        <f>IFERROR(__xludf.DUMMYFUNCTION("""COMPUTED_VALUE"""),"")</f>
        <v/>
      </c>
      <c r="M1546" s="4" t="str">
        <f>IFERROR(__xludf.DUMMYFUNCTION("""COMPUTED_VALUE"""),"")</f>
        <v/>
      </c>
      <c r="N1546" s="4" t="str">
        <f>IFERROR(__xludf.DUMMYFUNCTION("""COMPUTED_VALUE"""),"")</f>
        <v/>
      </c>
      <c r="O1546" s="4" t="str">
        <f>IFERROR(__xludf.DUMMYFUNCTION("""COMPUTED_VALUE"""),"")</f>
        <v/>
      </c>
      <c r="P1546" s="4" t="str">
        <f>IFERROR(__xludf.DUMMYFUNCTION("""COMPUTED_VALUE"""),"")</f>
        <v/>
      </c>
      <c r="Q1546" s="4" t="str">
        <f>IFERROR(__xludf.DUMMYFUNCTION("""COMPUTED_VALUE"""),"")</f>
        <v/>
      </c>
      <c r="R1546" s="4" t="str">
        <f>IFERROR(__xludf.DUMMYFUNCTION("""COMPUTED_VALUE"""),"")</f>
        <v/>
      </c>
      <c r="S1546" s="4" t="str">
        <f>IFERROR(__xludf.DUMMYFUNCTION("""COMPUTED_VALUE"""),"")</f>
        <v/>
      </c>
      <c r="T1546" s="4" t="str">
        <f>IFERROR(__xludf.DUMMYFUNCTION("""COMPUTED_VALUE"""),"")</f>
        <v/>
      </c>
      <c r="U1546" s="4" t="str">
        <f>IFERROR(__xludf.DUMMYFUNCTION("""COMPUTED_VALUE"""),"")</f>
        <v/>
      </c>
      <c r="V1546" s="4" t="str">
        <f>IFERROR(__xludf.DUMMYFUNCTION("""COMPUTED_VALUE"""),"")</f>
        <v/>
      </c>
      <c r="W1546" s="4" t="str">
        <f>IFERROR(__xludf.DUMMYFUNCTION("""COMPUTED_VALUE"""),"")</f>
        <v/>
      </c>
      <c r="X1546" s="4" t="str">
        <f>IFERROR(__xludf.DUMMYFUNCTION("""COMPUTED_VALUE"""),"")</f>
        <v/>
      </c>
      <c r="Y1546" s="4" t="str">
        <f>IFERROR(__xludf.DUMMYFUNCTION("""COMPUTED_VALUE"""),"")</f>
        <v/>
      </c>
    </row>
    <row r="1547">
      <c r="A1547" s="4" t="str">
        <f>IFERROR(__xludf.DUMMYFUNCTION("""COMPUTED_VALUE"""),"2098 - Channel")</f>
        <v>2098 - Channel</v>
      </c>
      <c r="B1547" s="4" t="str">
        <f>IFERROR(__xludf.DUMMYFUNCTION("""COMPUTED_VALUE"""),"")</f>
        <v/>
      </c>
      <c r="C1547" s="4" t="str">
        <f>IFERROR(__xludf.DUMMYFUNCTION("""COMPUTED_VALUE"""),"")</f>
        <v/>
      </c>
      <c r="D1547" s="4" t="str">
        <f>IFERROR(__xludf.DUMMYFUNCTION("""COMPUTED_VALUE"""),"")</f>
        <v/>
      </c>
      <c r="E1547" s="4" t="str">
        <f>IFERROR(__xludf.DUMMYFUNCTION("""COMPUTED_VALUE"""),"")</f>
        <v/>
      </c>
      <c r="F1547" s="4" t="str">
        <f>IFERROR(__xludf.DUMMYFUNCTION("""COMPUTED_VALUE"""),"")</f>
        <v/>
      </c>
      <c r="G1547" s="4" t="str">
        <f>IFERROR(__xludf.DUMMYFUNCTION("""COMPUTED_VALUE"""),"")</f>
        <v/>
      </c>
      <c r="H1547" s="4" t="str">
        <f>IFERROR(__xludf.DUMMYFUNCTION("""COMPUTED_VALUE"""),"")</f>
        <v/>
      </c>
      <c r="I1547" s="4" t="str">
        <f>IFERROR(__xludf.DUMMYFUNCTION("""COMPUTED_VALUE"""),"")</f>
        <v/>
      </c>
      <c r="J1547" s="4" t="str">
        <f>IFERROR(__xludf.DUMMYFUNCTION("""COMPUTED_VALUE"""),"")</f>
        <v/>
      </c>
      <c r="K1547" s="4" t="str">
        <f>IFERROR(__xludf.DUMMYFUNCTION("""COMPUTED_VALUE"""),"")</f>
        <v/>
      </c>
      <c r="L1547" s="4" t="str">
        <f>IFERROR(__xludf.DUMMYFUNCTION("""COMPUTED_VALUE"""),"")</f>
        <v/>
      </c>
      <c r="M1547" s="4" t="str">
        <f>IFERROR(__xludf.DUMMYFUNCTION("""COMPUTED_VALUE"""),"")</f>
        <v/>
      </c>
      <c r="N1547" s="4" t="str">
        <f>IFERROR(__xludf.DUMMYFUNCTION("""COMPUTED_VALUE"""),"")</f>
        <v/>
      </c>
      <c r="O1547" s="4" t="str">
        <f>IFERROR(__xludf.DUMMYFUNCTION("""COMPUTED_VALUE"""),"")</f>
        <v/>
      </c>
      <c r="P1547" s="4" t="str">
        <f>IFERROR(__xludf.DUMMYFUNCTION("""COMPUTED_VALUE"""),"")</f>
        <v/>
      </c>
      <c r="Q1547" s="4" t="str">
        <f>IFERROR(__xludf.DUMMYFUNCTION("""COMPUTED_VALUE"""),"")</f>
        <v/>
      </c>
      <c r="R1547" s="4" t="str">
        <f>IFERROR(__xludf.DUMMYFUNCTION("""COMPUTED_VALUE"""),"")</f>
        <v/>
      </c>
      <c r="S1547" s="4" t="str">
        <f>IFERROR(__xludf.DUMMYFUNCTION("""COMPUTED_VALUE"""),"")</f>
        <v/>
      </c>
      <c r="T1547" s="4" t="str">
        <f>IFERROR(__xludf.DUMMYFUNCTION("""COMPUTED_VALUE"""),"")</f>
        <v/>
      </c>
      <c r="U1547" s="4" t="str">
        <f>IFERROR(__xludf.DUMMYFUNCTION("""COMPUTED_VALUE"""),"")</f>
        <v/>
      </c>
      <c r="V1547" s="4" t="str">
        <f>IFERROR(__xludf.DUMMYFUNCTION("""COMPUTED_VALUE"""),"")</f>
        <v/>
      </c>
      <c r="W1547" s="4" t="str">
        <f>IFERROR(__xludf.DUMMYFUNCTION("""COMPUTED_VALUE"""),"")</f>
        <v/>
      </c>
      <c r="X1547" s="4" t="str">
        <f>IFERROR(__xludf.DUMMYFUNCTION("""COMPUTED_VALUE"""),"")</f>
        <v/>
      </c>
      <c r="Y1547" s="4" t="str">
        <f>IFERROR(__xludf.DUMMYFUNCTION("""COMPUTED_VALUE"""),"")</f>
        <v/>
      </c>
    </row>
    <row r="1548">
      <c r="A1548" s="4" t="str">
        <f>IFERROR(__xludf.DUMMYFUNCTION("""COMPUTED_VALUE"""),"2099 - Channel")</f>
        <v>2099 - Channel</v>
      </c>
      <c r="B1548" s="4" t="str">
        <f>IFERROR(__xludf.DUMMYFUNCTION("""COMPUTED_VALUE"""),"")</f>
        <v/>
      </c>
      <c r="C1548" s="4" t="str">
        <f>IFERROR(__xludf.DUMMYFUNCTION("""COMPUTED_VALUE"""),"")</f>
        <v/>
      </c>
      <c r="D1548" s="4" t="str">
        <f>IFERROR(__xludf.DUMMYFUNCTION("""COMPUTED_VALUE"""),"")</f>
        <v/>
      </c>
      <c r="E1548" s="4" t="str">
        <f>IFERROR(__xludf.DUMMYFUNCTION("""COMPUTED_VALUE"""),"")</f>
        <v/>
      </c>
      <c r="F1548" s="4" t="str">
        <f>IFERROR(__xludf.DUMMYFUNCTION("""COMPUTED_VALUE"""),"")</f>
        <v/>
      </c>
      <c r="G1548" s="4" t="str">
        <f>IFERROR(__xludf.DUMMYFUNCTION("""COMPUTED_VALUE"""),"")</f>
        <v/>
      </c>
      <c r="H1548" s="4" t="str">
        <f>IFERROR(__xludf.DUMMYFUNCTION("""COMPUTED_VALUE"""),"")</f>
        <v/>
      </c>
      <c r="I1548" s="4" t="str">
        <f>IFERROR(__xludf.DUMMYFUNCTION("""COMPUTED_VALUE"""),"")</f>
        <v/>
      </c>
      <c r="J1548" s="4" t="str">
        <f>IFERROR(__xludf.DUMMYFUNCTION("""COMPUTED_VALUE"""),"")</f>
        <v/>
      </c>
      <c r="K1548" s="4" t="str">
        <f>IFERROR(__xludf.DUMMYFUNCTION("""COMPUTED_VALUE"""),"")</f>
        <v/>
      </c>
      <c r="L1548" s="4" t="str">
        <f>IFERROR(__xludf.DUMMYFUNCTION("""COMPUTED_VALUE"""),"")</f>
        <v/>
      </c>
      <c r="M1548" s="4" t="str">
        <f>IFERROR(__xludf.DUMMYFUNCTION("""COMPUTED_VALUE"""),"")</f>
        <v/>
      </c>
      <c r="N1548" s="4" t="str">
        <f>IFERROR(__xludf.DUMMYFUNCTION("""COMPUTED_VALUE"""),"")</f>
        <v/>
      </c>
      <c r="O1548" s="4" t="str">
        <f>IFERROR(__xludf.DUMMYFUNCTION("""COMPUTED_VALUE"""),"")</f>
        <v/>
      </c>
      <c r="P1548" s="4" t="str">
        <f>IFERROR(__xludf.DUMMYFUNCTION("""COMPUTED_VALUE"""),"")</f>
        <v/>
      </c>
      <c r="Q1548" s="4" t="str">
        <f>IFERROR(__xludf.DUMMYFUNCTION("""COMPUTED_VALUE"""),"")</f>
        <v/>
      </c>
      <c r="R1548" s="4" t="str">
        <f>IFERROR(__xludf.DUMMYFUNCTION("""COMPUTED_VALUE"""),"")</f>
        <v/>
      </c>
      <c r="S1548" s="4" t="str">
        <f>IFERROR(__xludf.DUMMYFUNCTION("""COMPUTED_VALUE"""),"")</f>
        <v/>
      </c>
      <c r="T1548" s="4" t="str">
        <f>IFERROR(__xludf.DUMMYFUNCTION("""COMPUTED_VALUE"""),"")</f>
        <v/>
      </c>
      <c r="U1548" s="4" t="str">
        <f>IFERROR(__xludf.DUMMYFUNCTION("""COMPUTED_VALUE"""),"")</f>
        <v/>
      </c>
      <c r="V1548" s="4" t="str">
        <f>IFERROR(__xludf.DUMMYFUNCTION("""COMPUTED_VALUE"""),"")</f>
        <v/>
      </c>
      <c r="W1548" s="4" t="str">
        <f>IFERROR(__xludf.DUMMYFUNCTION("""COMPUTED_VALUE"""),"")</f>
        <v/>
      </c>
      <c r="X1548" s="4" t="str">
        <f>IFERROR(__xludf.DUMMYFUNCTION("""COMPUTED_VALUE"""),"")</f>
        <v/>
      </c>
      <c r="Y1548" s="4" t="str">
        <f>IFERROR(__xludf.DUMMYFUNCTION("""COMPUTED_VALUE"""),"")</f>
        <v/>
      </c>
    </row>
    <row r="1549">
      <c r="A1549" s="4" t="str">
        <f>IFERROR(__xludf.DUMMYFUNCTION("""COMPUTED_VALUE"""),"2100 - Channel")</f>
        <v>2100 - Channel</v>
      </c>
      <c r="B1549" s="4" t="str">
        <f>IFERROR(__xludf.DUMMYFUNCTION("""COMPUTED_VALUE"""),"")</f>
        <v/>
      </c>
      <c r="C1549" s="4" t="str">
        <f>IFERROR(__xludf.DUMMYFUNCTION("""COMPUTED_VALUE"""),"")</f>
        <v/>
      </c>
      <c r="D1549" s="4" t="str">
        <f>IFERROR(__xludf.DUMMYFUNCTION("""COMPUTED_VALUE"""),"")</f>
        <v/>
      </c>
      <c r="E1549" s="4" t="str">
        <f>IFERROR(__xludf.DUMMYFUNCTION("""COMPUTED_VALUE"""),"")</f>
        <v/>
      </c>
      <c r="F1549" s="4" t="str">
        <f>IFERROR(__xludf.DUMMYFUNCTION("""COMPUTED_VALUE"""),"")</f>
        <v/>
      </c>
      <c r="G1549" s="4" t="str">
        <f>IFERROR(__xludf.DUMMYFUNCTION("""COMPUTED_VALUE"""),"")</f>
        <v/>
      </c>
      <c r="H1549" s="4" t="str">
        <f>IFERROR(__xludf.DUMMYFUNCTION("""COMPUTED_VALUE"""),"")</f>
        <v/>
      </c>
      <c r="I1549" s="4" t="str">
        <f>IFERROR(__xludf.DUMMYFUNCTION("""COMPUTED_VALUE"""),"")</f>
        <v/>
      </c>
      <c r="J1549" s="4" t="str">
        <f>IFERROR(__xludf.DUMMYFUNCTION("""COMPUTED_VALUE"""),"")</f>
        <v/>
      </c>
      <c r="K1549" s="4" t="str">
        <f>IFERROR(__xludf.DUMMYFUNCTION("""COMPUTED_VALUE"""),"")</f>
        <v/>
      </c>
      <c r="L1549" s="4" t="str">
        <f>IFERROR(__xludf.DUMMYFUNCTION("""COMPUTED_VALUE"""),"")</f>
        <v/>
      </c>
      <c r="M1549" s="4" t="str">
        <f>IFERROR(__xludf.DUMMYFUNCTION("""COMPUTED_VALUE"""),"")</f>
        <v/>
      </c>
      <c r="N1549" s="4" t="str">
        <f>IFERROR(__xludf.DUMMYFUNCTION("""COMPUTED_VALUE"""),"")</f>
        <v/>
      </c>
      <c r="O1549" s="4" t="str">
        <f>IFERROR(__xludf.DUMMYFUNCTION("""COMPUTED_VALUE"""),"")</f>
        <v/>
      </c>
      <c r="P1549" s="4" t="str">
        <f>IFERROR(__xludf.DUMMYFUNCTION("""COMPUTED_VALUE"""),"")</f>
        <v/>
      </c>
      <c r="Q1549" s="4" t="str">
        <f>IFERROR(__xludf.DUMMYFUNCTION("""COMPUTED_VALUE"""),"")</f>
        <v/>
      </c>
      <c r="R1549" s="4" t="str">
        <f>IFERROR(__xludf.DUMMYFUNCTION("""COMPUTED_VALUE"""),"")</f>
        <v/>
      </c>
      <c r="S1549" s="4" t="str">
        <f>IFERROR(__xludf.DUMMYFUNCTION("""COMPUTED_VALUE"""),"")</f>
        <v/>
      </c>
      <c r="T1549" s="4" t="str">
        <f>IFERROR(__xludf.DUMMYFUNCTION("""COMPUTED_VALUE"""),"")</f>
        <v/>
      </c>
      <c r="U1549" s="4" t="str">
        <f>IFERROR(__xludf.DUMMYFUNCTION("""COMPUTED_VALUE"""),"")</f>
        <v/>
      </c>
      <c r="V1549" s="4" t="str">
        <f>IFERROR(__xludf.DUMMYFUNCTION("""COMPUTED_VALUE"""),"")</f>
        <v/>
      </c>
      <c r="W1549" s="4" t="str">
        <f>IFERROR(__xludf.DUMMYFUNCTION("""COMPUTED_VALUE"""),"")</f>
        <v/>
      </c>
      <c r="X1549" s="4" t="str">
        <f>IFERROR(__xludf.DUMMYFUNCTION("""COMPUTED_VALUE"""),"")</f>
        <v/>
      </c>
      <c r="Y1549" s="4" t="str">
        <f>IFERROR(__xludf.DUMMYFUNCTION("""COMPUTED_VALUE"""),"")</f>
        <v/>
      </c>
    </row>
    <row r="1550">
      <c r="A1550" s="4" t="str">
        <f>IFERROR(__xludf.DUMMYFUNCTION("""COMPUTED_VALUE"""),"2101 - Channel")</f>
        <v>2101 - Channel</v>
      </c>
      <c r="B1550" s="4" t="str">
        <f>IFERROR(__xludf.DUMMYFUNCTION("""COMPUTED_VALUE"""),"")</f>
        <v/>
      </c>
      <c r="C1550" s="4" t="str">
        <f>IFERROR(__xludf.DUMMYFUNCTION("""COMPUTED_VALUE"""),"")</f>
        <v/>
      </c>
      <c r="D1550" s="4" t="str">
        <f>IFERROR(__xludf.DUMMYFUNCTION("""COMPUTED_VALUE"""),"")</f>
        <v/>
      </c>
      <c r="E1550" s="4" t="str">
        <f>IFERROR(__xludf.DUMMYFUNCTION("""COMPUTED_VALUE"""),"")</f>
        <v/>
      </c>
      <c r="F1550" s="4" t="str">
        <f>IFERROR(__xludf.DUMMYFUNCTION("""COMPUTED_VALUE"""),"")</f>
        <v/>
      </c>
      <c r="G1550" s="4" t="str">
        <f>IFERROR(__xludf.DUMMYFUNCTION("""COMPUTED_VALUE"""),"")</f>
        <v/>
      </c>
      <c r="H1550" s="4" t="str">
        <f>IFERROR(__xludf.DUMMYFUNCTION("""COMPUTED_VALUE"""),"")</f>
        <v/>
      </c>
      <c r="I1550" s="4" t="str">
        <f>IFERROR(__xludf.DUMMYFUNCTION("""COMPUTED_VALUE"""),"")</f>
        <v/>
      </c>
      <c r="J1550" s="4" t="str">
        <f>IFERROR(__xludf.DUMMYFUNCTION("""COMPUTED_VALUE"""),"")</f>
        <v/>
      </c>
      <c r="K1550" s="4" t="str">
        <f>IFERROR(__xludf.DUMMYFUNCTION("""COMPUTED_VALUE"""),"")</f>
        <v/>
      </c>
      <c r="L1550" s="4" t="str">
        <f>IFERROR(__xludf.DUMMYFUNCTION("""COMPUTED_VALUE"""),"")</f>
        <v/>
      </c>
      <c r="M1550" s="4" t="str">
        <f>IFERROR(__xludf.DUMMYFUNCTION("""COMPUTED_VALUE"""),"")</f>
        <v/>
      </c>
      <c r="N1550" s="4" t="str">
        <f>IFERROR(__xludf.DUMMYFUNCTION("""COMPUTED_VALUE"""),"")</f>
        <v/>
      </c>
      <c r="O1550" s="4" t="str">
        <f>IFERROR(__xludf.DUMMYFUNCTION("""COMPUTED_VALUE"""),"")</f>
        <v/>
      </c>
      <c r="P1550" s="4" t="str">
        <f>IFERROR(__xludf.DUMMYFUNCTION("""COMPUTED_VALUE"""),"")</f>
        <v/>
      </c>
      <c r="Q1550" s="4" t="str">
        <f>IFERROR(__xludf.DUMMYFUNCTION("""COMPUTED_VALUE"""),"")</f>
        <v/>
      </c>
      <c r="R1550" s="4" t="str">
        <f>IFERROR(__xludf.DUMMYFUNCTION("""COMPUTED_VALUE"""),"")</f>
        <v/>
      </c>
      <c r="S1550" s="4" t="str">
        <f>IFERROR(__xludf.DUMMYFUNCTION("""COMPUTED_VALUE"""),"")</f>
        <v/>
      </c>
      <c r="T1550" s="4" t="str">
        <f>IFERROR(__xludf.DUMMYFUNCTION("""COMPUTED_VALUE"""),"")</f>
        <v/>
      </c>
      <c r="U1550" s="4" t="str">
        <f>IFERROR(__xludf.DUMMYFUNCTION("""COMPUTED_VALUE"""),"")</f>
        <v/>
      </c>
      <c r="V1550" s="4" t="str">
        <f>IFERROR(__xludf.DUMMYFUNCTION("""COMPUTED_VALUE"""),"")</f>
        <v/>
      </c>
      <c r="W1550" s="4" t="str">
        <f>IFERROR(__xludf.DUMMYFUNCTION("""COMPUTED_VALUE"""),"")</f>
        <v/>
      </c>
      <c r="X1550" s="4" t="str">
        <f>IFERROR(__xludf.DUMMYFUNCTION("""COMPUTED_VALUE"""),"")</f>
        <v/>
      </c>
      <c r="Y1550" s="4" t="str">
        <f>IFERROR(__xludf.DUMMYFUNCTION("""COMPUTED_VALUE"""),"")</f>
        <v/>
      </c>
    </row>
    <row r="1551">
      <c r="A1551" s="4" t="str">
        <f>IFERROR(__xludf.DUMMYFUNCTION("""COMPUTED_VALUE"""),"2102 - Channel")</f>
        <v>2102 - Channel</v>
      </c>
      <c r="B1551" s="4" t="str">
        <f>IFERROR(__xludf.DUMMYFUNCTION("""COMPUTED_VALUE"""),"")</f>
        <v/>
      </c>
      <c r="C1551" s="4" t="str">
        <f>IFERROR(__xludf.DUMMYFUNCTION("""COMPUTED_VALUE"""),"")</f>
        <v/>
      </c>
      <c r="D1551" s="4" t="str">
        <f>IFERROR(__xludf.DUMMYFUNCTION("""COMPUTED_VALUE"""),"")</f>
        <v/>
      </c>
      <c r="E1551" s="4" t="str">
        <f>IFERROR(__xludf.DUMMYFUNCTION("""COMPUTED_VALUE"""),"")</f>
        <v/>
      </c>
      <c r="F1551" s="4" t="str">
        <f>IFERROR(__xludf.DUMMYFUNCTION("""COMPUTED_VALUE"""),"")</f>
        <v/>
      </c>
      <c r="G1551" s="4" t="str">
        <f>IFERROR(__xludf.DUMMYFUNCTION("""COMPUTED_VALUE"""),"")</f>
        <v/>
      </c>
      <c r="H1551" s="4" t="str">
        <f>IFERROR(__xludf.DUMMYFUNCTION("""COMPUTED_VALUE"""),"")</f>
        <v/>
      </c>
      <c r="I1551" s="4" t="str">
        <f>IFERROR(__xludf.DUMMYFUNCTION("""COMPUTED_VALUE"""),"")</f>
        <v/>
      </c>
      <c r="J1551" s="4" t="str">
        <f>IFERROR(__xludf.DUMMYFUNCTION("""COMPUTED_VALUE"""),"")</f>
        <v/>
      </c>
      <c r="K1551" s="4" t="str">
        <f>IFERROR(__xludf.DUMMYFUNCTION("""COMPUTED_VALUE"""),"")</f>
        <v/>
      </c>
      <c r="L1551" s="4" t="str">
        <f>IFERROR(__xludf.DUMMYFUNCTION("""COMPUTED_VALUE"""),"")</f>
        <v/>
      </c>
      <c r="M1551" s="4" t="str">
        <f>IFERROR(__xludf.DUMMYFUNCTION("""COMPUTED_VALUE"""),"")</f>
        <v/>
      </c>
      <c r="N1551" s="4" t="str">
        <f>IFERROR(__xludf.DUMMYFUNCTION("""COMPUTED_VALUE"""),"")</f>
        <v/>
      </c>
      <c r="O1551" s="4" t="str">
        <f>IFERROR(__xludf.DUMMYFUNCTION("""COMPUTED_VALUE"""),"")</f>
        <v/>
      </c>
      <c r="P1551" s="4" t="str">
        <f>IFERROR(__xludf.DUMMYFUNCTION("""COMPUTED_VALUE"""),"")</f>
        <v/>
      </c>
      <c r="Q1551" s="4" t="str">
        <f>IFERROR(__xludf.DUMMYFUNCTION("""COMPUTED_VALUE"""),"")</f>
        <v/>
      </c>
      <c r="R1551" s="4" t="str">
        <f>IFERROR(__xludf.DUMMYFUNCTION("""COMPUTED_VALUE"""),"")</f>
        <v/>
      </c>
      <c r="S1551" s="4" t="str">
        <f>IFERROR(__xludf.DUMMYFUNCTION("""COMPUTED_VALUE"""),"")</f>
        <v/>
      </c>
      <c r="T1551" s="4" t="str">
        <f>IFERROR(__xludf.DUMMYFUNCTION("""COMPUTED_VALUE"""),"")</f>
        <v/>
      </c>
      <c r="U1551" s="4" t="str">
        <f>IFERROR(__xludf.DUMMYFUNCTION("""COMPUTED_VALUE"""),"")</f>
        <v/>
      </c>
      <c r="V1551" s="4" t="str">
        <f>IFERROR(__xludf.DUMMYFUNCTION("""COMPUTED_VALUE"""),"")</f>
        <v/>
      </c>
      <c r="W1551" s="4" t="str">
        <f>IFERROR(__xludf.DUMMYFUNCTION("""COMPUTED_VALUE"""),"")</f>
        <v/>
      </c>
      <c r="X1551" s="4" t="str">
        <f>IFERROR(__xludf.DUMMYFUNCTION("""COMPUTED_VALUE"""),"")</f>
        <v/>
      </c>
      <c r="Y1551" s="4" t="str">
        <f>IFERROR(__xludf.DUMMYFUNCTION("""COMPUTED_VALUE"""),"")</f>
        <v/>
      </c>
    </row>
    <row r="1552">
      <c r="A1552" s="4" t="str">
        <f>IFERROR(__xludf.DUMMYFUNCTION("""COMPUTED_VALUE"""),"2103 - Channel")</f>
        <v>2103 - Channel</v>
      </c>
      <c r="B1552" s="4" t="str">
        <f>IFERROR(__xludf.DUMMYFUNCTION("""COMPUTED_VALUE"""),"")</f>
        <v/>
      </c>
      <c r="C1552" s="4" t="str">
        <f>IFERROR(__xludf.DUMMYFUNCTION("""COMPUTED_VALUE"""),"")</f>
        <v/>
      </c>
      <c r="D1552" s="4" t="str">
        <f>IFERROR(__xludf.DUMMYFUNCTION("""COMPUTED_VALUE"""),"")</f>
        <v/>
      </c>
      <c r="E1552" s="4" t="str">
        <f>IFERROR(__xludf.DUMMYFUNCTION("""COMPUTED_VALUE"""),"")</f>
        <v/>
      </c>
      <c r="F1552" s="4" t="str">
        <f>IFERROR(__xludf.DUMMYFUNCTION("""COMPUTED_VALUE"""),"")</f>
        <v/>
      </c>
      <c r="G1552" s="4" t="str">
        <f>IFERROR(__xludf.DUMMYFUNCTION("""COMPUTED_VALUE"""),"")</f>
        <v/>
      </c>
      <c r="H1552" s="4" t="str">
        <f>IFERROR(__xludf.DUMMYFUNCTION("""COMPUTED_VALUE"""),"")</f>
        <v/>
      </c>
      <c r="I1552" s="4" t="str">
        <f>IFERROR(__xludf.DUMMYFUNCTION("""COMPUTED_VALUE"""),"")</f>
        <v/>
      </c>
      <c r="J1552" s="4" t="str">
        <f>IFERROR(__xludf.DUMMYFUNCTION("""COMPUTED_VALUE"""),"")</f>
        <v/>
      </c>
      <c r="K1552" s="4" t="str">
        <f>IFERROR(__xludf.DUMMYFUNCTION("""COMPUTED_VALUE"""),"")</f>
        <v/>
      </c>
      <c r="L1552" s="4" t="str">
        <f>IFERROR(__xludf.DUMMYFUNCTION("""COMPUTED_VALUE"""),"")</f>
        <v/>
      </c>
      <c r="M1552" s="4" t="str">
        <f>IFERROR(__xludf.DUMMYFUNCTION("""COMPUTED_VALUE"""),"")</f>
        <v/>
      </c>
      <c r="N1552" s="4" t="str">
        <f>IFERROR(__xludf.DUMMYFUNCTION("""COMPUTED_VALUE"""),"")</f>
        <v/>
      </c>
      <c r="O1552" s="4" t="str">
        <f>IFERROR(__xludf.DUMMYFUNCTION("""COMPUTED_VALUE"""),"")</f>
        <v/>
      </c>
      <c r="P1552" s="4" t="str">
        <f>IFERROR(__xludf.DUMMYFUNCTION("""COMPUTED_VALUE"""),"")</f>
        <v/>
      </c>
      <c r="Q1552" s="4" t="str">
        <f>IFERROR(__xludf.DUMMYFUNCTION("""COMPUTED_VALUE"""),"")</f>
        <v/>
      </c>
      <c r="R1552" s="4" t="str">
        <f>IFERROR(__xludf.DUMMYFUNCTION("""COMPUTED_VALUE"""),"")</f>
        <v/>
      </c>
      <c r="S1552" s="4" t="str">
        <f>IFERROR(__xludf.DUMMYFUNCTION("""COMPUTED_VALUE"""),"")</f>
        <v/>
      </c>
      <c r="T1552" s="4" t="str">
        <f>IFERROR(__xludf.DUMMYFUNCTION("""COMPUTED_VALUE"""),"")</f>
        <v/>
      </c>
      <c r="U1552" s="4" t="str">
        <f>IFERROR(__xludf.DUMMYFUNCTION("""COMPUTED_VALUE"""),"")</f>
        <v/>
      </c>
      <c r="V1552" s="4" t="str">
        <f>IFERROR(__xludf.DUMMYFUNCTION("""COMPUTED_VALUE"""),"")</f>
        <v/>
      </c>
      <c r="W1552" s="4" t="str">
        <f>IFERROR(__xludf.DUMMYFUNCTION("""COMPUTED_VALUE"""),"")</f>
        <v/>
      </c>
      <c r="X1552" s="4" t="str">
        <f>IFERROR(__xludf.DUMMYFUNCTION("""COMPUTED_VALUE"""),"")</f>
        <v/>
      </c>
      <c r="Y1552" s="4" t="str">
        <f>IFERROR(__xludf.DUMMYFUNCTION("""COMPUTED_VALUE"""),"")</f>
        <v/>
      </c>
    </row>
    <row r="1553">
      <c r="A1553" s="4" t="str">
        <f>IFERROR(__xludf.DUMMYFUNCTION("""COMPUTED_VALUE"""),"2104 - Channel")</f>
        <v>2104 - Channel</v>
      </c>
      <c r="B1553" s="4" t="str">
        <f>IFERROR(__xludf.DUMMYFUNCTION("""COMPUTED_VALUE"""),"")</f>
        <v/>
      </c>
      <c r="C1553" s="4" t="str">
        <f>IFERROR(__xludf.DUMMYFUNCTION("""COMPUTED_VALUE"""),"")</f>
        <v/>
      </c>
      <c r="D1553" s="4" t="str">
        <f>IFERROR(__xludf.DUMMYFUNCTION("""COMPUTED_VALUE"""),"")</f>
        <v/>
      </c>
      <c r="E1553" s="4" t="str">
        <f>IFERROR(__xludf.DUMMYFUNCTION("""COMPUTED_VALUE"""),"")</f>
        <v/>
      </c>
      <c r="F1553" s="4" t="str">
        <f>IFERROR(__xludf.DUMMYFUNCTION("""COMPUTED_VALUE"""),"")</f>
        <v/>
      </c>
      <c r="G1553" s="4" t="str">
        <f>IFERROR(__xludf.DUMMYFUNCTION("""COMPUTED_VALUE"""),"")</f>
        <v/>
      </c>
      <c r="H1553" s="4" t="str">
        <f>IFERROR(__xludf.DUMMYFUNCTION("""COMPUTED_VALUE"""),"")</f>
        <v/>
      </c>
      <c r="I1553" s="4" t="str">
        <f>IFERROR(__xludf.DUMMYFUNCTION("""COMPUTED_VALUE"""),"")</f>
        <v/>
      </c>
      <c r="J1553" s="4" t="str">
        <f>IFERROR(__xludf.DUMMYFUNCTION("""COMPUTED_VALUE"""),"")</f>
        <v/>
      </c>
      <c r="K1553" s="4" t="str">
        <f>IFERROR(__xludf.DUMMYFUNCTION("""COMPUTED_VALUE"""),"")</f>
        <v/>
      </c>
      <c r="L1553" s="4" t="str">
        <f>IFERROR(__xludf.DUMMYFUNCTION("""COMPUTED_VALUE"""),"")</f>
        <v/>
      </c>
      <c r="M1553" s="4" t="str">
        <f>IFERROR(__xludf.DUMMYFUNCTION("""COMPUTED_VALUE"""),"")</f>
        <v/>
      </c>
      <c r="N1553" s="4" t="str">
        <f>IFERROR(__xludf.DUMMYFUNCTION("""COMPUTED_VALUE"""),"")</f>
        <v/>
      </c>
      <c r="O1553" s="4" t="str">
        <f>IFERROR(__xludf.DUMMYFUNCTION("""COMPUTED_VALUE"""),"")</f>
        <v/>
      </c>
      <c r="P1553" s="4" t="str">
        <f>IFERROR(__xludf.DUMMYFUNCTION("""COMPUTED_VALUE"""),"")</f>
        <v/>
      </c>
      <c r="Q1553" s="4" t="str">
        <f>IFERROR(__xludf.DUMMYFUNCTION("""COMPUTED_VALUE"""),"")</f>
        <v/>
      </c>
      <c r="R1553" s="4" t="str">
        <f>IFERROR(__xludf.DUMMYFUNCTION("""COMPUTED_VALUE"""),"")</f>
        <v/>
      </c>
      <c r="S1553" s="4" t="str">
        <f>IFERROR(__xludf.DUMMYFUNCTION("""COMPUTED_VALUE"""),"")</f>
        <v/>
      </c>
      <c r="T1553" s="4" t="str">
        <f>IFERROR(__xludf.DUMMYFUNCTION("""COMPUTED_VALUE"""),"")</f>
        <v/>
      </c>
      <c r="U1553" s="4" t="str">
        <f>IFERROR(__xludf.DUMMYFUNCTION("""COMPUTED_VALUE"""),"")</f>
        <v/>
      </c>
      <c r="V1553" s="4" t="str">
        <f>IFERROR(__xludf.DUMMYFUNCTION("""COMPUTED_VALUE"""),"")</f>
        <v/>
      </c>
      <c r="W1553" s="4" t="str">
        <f>IFERROR(__xludf.DUMMYFUNCTION("""COMPUTED_VALUE"""),"")</f>
        <v/>
      </c>
      <c r="X1553" s="4" t="str">
        <f>IFERROR(__xludf.DUMMYFUNCTION("""COMPUTED_VALUE"""),"")</f>
        <v/>
      </c>
      <c r="Y1553" s="4" t="str">
        <f>IFERROR(__xludf.DUMMYFUNCTION("""COMPUTED_VALUE"""),"")</f>
        <v/>
      </c>
    </row>
    <row r="1554">
      <c r="A1554" s="4" t="str">
        <f>IFERROR(__xludf.DUMMYFUNCTION("""COMPUTED_VALUE"""),"2105 - Channel")</f>
        <v>2105 - Channel</v>
      </c>
      <c r="B1554" s="4" t="str">
        <f>IFERROR(__xludf.DUMMYFUNCTION("""COMPUTED_VALUE"""),"")</f>
        <v/>
      </c>
      <c r="C1554" s="4" t="str">
        <f>IFERROR(__xludf.DUMMYFUNCTION("""COMPUTED_VALUE"""),"")</f>
        <v/>
      </c>
      <c r="D1554" s="4" t="str">
        <f>IFERROR(__xludf.DUMMYFUNCTION("""COMPUTED_VALUE"""),"")</f>
        <v/>
      </c>
      <c r="E1554" s="4" t="str">
        <f>IFERROR(__xludf.DUMMYFUNCTION("""COMPUTED_VALUE"""),"")</f>
        <v/>
      </c>
      <c r="F1554" s="4" t="str">
        <f>IFERROR(__xludf.DUMMYFUNCTION("""COMPUTED_VALUE"""),"")</f>
        <v/>
      </c>
      <c r="G1554" s="4" t="str">
        <f>IFERROR(__xludf.DUMMYFUNCTION("""COMPUTED_VALUE"""),"")</f>
        <v/>
      </c>
      <c r="H1554" s="4" t="str">
        <f>IFERROR(__xludf.DUMMYFUNCTION("""COMPUTED_VALUE"""),"")</f>
        <v/>
      </c>
      <c r="I1554" s="4" t="str">
        <f>IFERROR(__xludf.DUMMYFUNCTION("""COMPUTED_VALUE"""),"")</f>
        <v/>
      </c>
      <c r="J1554" s="4" t="str">
        <f>IFERROR(__xludf.DUMMYFUNCTION("""COMPUTED_VALUE"""),"")</f>
        <v/>
      </c>
      <c r="K1554" s="4" t="str">
        <f>IFERROR(__xludf.DUMMYFUNCTION("""COMPUTED_VALUE"""),"")</f>
        <v/>
      </c>
      <c r="L1554" s="4" t="str">
        <f>IFERROR(__xludf.DUMMYFUNCTION("""COMPUTED_VALUE"""),"")</f>
        <v/>
      </c>
      <c r="M1554" s="4" t="str">
        <f>IFERROR(__xludf.DUMMYFUNCTION("""COMPUTED_VALUE"""),"")</f>
        <v/>
      </c>
      <c r="N1554" s="4" t="str">
        <f>IFERROR(__xludf.DUMMYFUNCTION("""COMPUTED_VALUE"""),"")</f>
        <v/>
      </c>
      <c r="O1554" s="4" t="str">
        <f>IFERROR(__xludf.DUMMYFUNCTION("""COMPUTED_VALUE"""),"")</f>
        <v/>
      </c>
      <c r="P1554" s="4" t="str">
        <f>IFERROR(__xludf.DUMMYFUNCTION("""COMPUTED_VALUE"""),"")</f>
        <v/>
      </c>
      <c r="Q1554" s="4" t="str">
        <f>IFERROR(__xludf.DUMMYFUNCTION("""COMPUTED_VALUE"""),"")</f>
        <v/>
      </c>
      <c r="R1554" s="4" t="str">
        <f>IFERROR(__xludf.DUMMYFUNCTION("""COMPUTED_VALUE"""),"")</f>
        <v/>
      </c>
      <c r="S1554" s="4" t="str">
        <f>IFERROR(__xludf.DUMMYFUNCTION("""COMPUTED_VALUE"""),"")</f>
        <v/>
      </c>
      <c r="T1554" s="4" t="str">
        <f>IFERROR(__xludf.DUMMYFUNCTION("""COMPUTED_VALUE"""),"")</f>
        <v/>
      </c>
      <c r="U1554" s="4" t="str">
        <f>IFERROR(__xludf.DUMMYFUNCTION("""COMPUTED_VALUE"""),"")</f>
        <v/>
      </c>
      <c r="V1554" s="4" t="str">
        <f>IFERROR(__xludf.DUMMYFUNCTION("""COMPUTED_VALUE"""),"")</f>
        <v/>
      </c>
      <c r="W1554" s="4" t="str">
        <f>IFERROR(__xludf.DUMMYFUNCTION("""COMPUTED_VALUE"""),"")</f>
        <v/>
      </c>
      <c r="X1554" s="4" t="str">
        <f>IFERROR(__xludf.DUMMYFUNCTION("""COMPUTED_VALUE"""),"")</f>
        <v/>
      </c>
      <c r="Y1554" s="4" t="str">
        <f>IFERROR(__xludf.DUMMYFUNCTION("""COMPUTED_VALUE"""),"")</f>
        <v/>
      </c>
    </row>
    <row r="1555">
      <c r="A1555" s="4" t="str">
        <f>IFERROR(__xludf.DUMMYFUNCTION("""COMPUTED_VALUE"""),"2106 - Channel")</f>
        <v>2106 - Channel</v>
      </c>
      <c r="B1555" s="4" t="str">
        <f>IFERROR(__xludf.DUMMYFUNCTION("""COMPUTED_VALUE"""),"")</f>
        <v/>
      </c>
      <c r="C1555" s="4" t="str">
        <f>IFERROR(__xludf.DUMMYFUNCTION("""COMPUTED_VALUE"""),"")</f>
        <v/>
      </c>
      <c r="D1555" s="4" t="str">
        <f>IFERROR(__xludf.DUMMYFUNCTION("""COMPUTED_VALUE"""),"")</f>
        <v/>
      </c>
      <c r="E1555" s="4" t="str">
        <f>IFERROR(__xludf.DUMMYFUNCTION("""COMPUTED_VALUE"""),"")</f>
        <v/>
      </c>
      <c r="F1555" s="4" t="str">
        <f>IFERROR(__xludf.DUMMYFUNCTION("""COMPUTED_VALUE"""),"")</f>
        <v/>
      </c>
      <c r="G1555" s="4" t="str">
        <f>IFERROR(__xludf.DUMMYFUNCTION("""COMPUTED_VALUE"""),"")</f>
        <v/>
      </c>
      <c r="H1555" s="4" t="str">
        <f>IFERROR(__xludf.DUMMYFUNCTION("""COMPUTED_VALUE"""),"")</f>
        <v/>
      </c>
      <c r="I1555" s="4" t="str">
        <f>IFERROR(__xludf.DUMMYFUNCTION("""COMPUTED_VALUE"""),"")</f>
        <v/>
      </c>
      <c r="J1555" s="4" t="str">
        <f>IFERROR(__xludf.DUMMYFUNCTION("""COMPUTED_VALUE"""),"")</f>
        <v/>
      </c>
      <c r="K1555" s="4" t="str">
        <f>IFERROR(__xludf.DUMMYFUNCTION("""COMPUTED_VALUE"""),"")</f>
        <v/>
      </c>
      <c r="L1555" s="4" t="str">
        <f>IFERROR(__xludf.DUMMYFUNCTION("""COMPUTED_VALUE"""),"")</f>
        <v/>
      </c>
      <c r="M1555" s="4" t="str">
        <f>IFERROR(__xludf.DUMMYFUNCTION("""COMPUTED_VALUE"""),"")</f>
        <v/>
      </c>
      <c r="N1555" s="4" t="str">
        <f>IFERROR(__xludf.DUMMYFUNCTION("""COMPUTED_VALUE"""),"")</f>
        <v/>
      </c>
      <c r="O1555" s="4" t="str">
        <f>IFERROR(__xludf.DUMMYFUNCTION("""COMPUTED_VALUE"""),"")</f>
        <v/>
      </c>
      <c r="P1555" s="4" t="str">
        <f>IFERROR(__xludf.DUMMYFUNCTION("""COMPUTED_VALUE"""),"")</f>
        <v/>
      </c>
      <c r="Q1555" s="4" t="str">
        <f>IFERROR(__xludf.DUMMYFUNCTION("""COMPUTED_VALUE"""),"")</f>
        <v/>
      </c>
      <c r="R1555" s="4" t="str">
        <f>IFERROR(__xludf.DUMMYFUNCTION("""COMPUTED_VALUE"""),"")</f>
        <v/>
      </c>
      <c r="S1555" s="4" t="str">
        <f>IFERROR(__xludf.DUMMYFUNCTION("""COMPUTED_VALUE"""),"")</f>
        <v/>
      </c>
      <c r="T1555" s="4" t="str">
        <f>IFERROR(__xludf.DUMMYFUNCTION("""COMPUTED_VALUE"""),"")</f>
        <v/>
      </c>
      <c r="U1555" s="4" t="str">
        <f>IFERROR(__xludf.DUMMYFUNCTION("""COMPUTED_VALUE"""),"")</f>
        <v/>
      </c>
      <c r="V1555" s="4" t="str">
        <f>IFERROR(__xludf.DUMMYFUNCTION("""COMPUTED_VALUE"""),"")</f>
        <v/>
      </c>
      <c r="W1555" s="4" t="str">
        <f>IFERROR(__xludf.DUMMYFUNCTION("""COMPUTED_VALUE"""),"")</f>
        <v/>
      </c>
      <c r="X1555" s="4" t="str">
        <f>IFERROR(__xludf.DUMMYFUNCTION("""COMPUTED_VALUE"""),"")</f>
        <v/>
      </c>
      <c r="Y1555" s="4" t="str">
        <f>IFERROR(__xludf.DUMMYFUNCTION("""COMPUTED_VALUE"""),"")</f>
        <v/>
      </c>
    </row>
    <row r="1556">
      <c r="A1556" s="4" t="str">
        <f>IFERROR(__xludf.DUMMYFUNCTION("""COMPUTED_VALUE"""),"2107 - Channel")</f>
        <v>2107 - Channel</v>
      </c>
      <c r="B1556" s="4" t="str">
        <f>IFERROR(__xludf.DUMMYFUNCTION("""COMPUTED_VALUE"""),"")</f>
        <v/>
      </c>
      <c r="C1556" s="4" t="str">
        <f>IFERROR(__xludf.DUMMYFUNCTION("""COMPUTED_VALUE"""),"")</f>
        <v/>
      </c>
      <c r="D1556" s="4" t="str">
        <f>IFERROR(__xludf.DUMMYFUNCTION("""COMPUTED_VALUE"""),"")</f>
        <v/>
      </c>
      <c r="E1556" s="4" t="str">
        <f>IFERROR(__xludf.DUMMYFUNCTION("""COMPUTED_VALUE"""),"")</f>
        <v/>
      </c>
      <c r="F1556" s="4" t="str">
        <f>IFERROR(__xludf.DUMMYFUNCTION("""COMPUTED_VALUE"""),"")</f>
        <v/>
      </c>
      <c r="G1556" s="4" t="str">
        <f>IFERROR(__xludf.DUMMYFUNCTION("""COMPUTED_VALUE"""),"")</f>
        <v/>
      </c>
      <c r="H1556" s="4" t="str">
        <f>IFERROR(__xludf.DUMMYFUNCTION("""COMPUTED_VALUE"""),"")</f>
        <v/>
      </c>
      <c r="I1556" s="4" t="str">
        <f>IFERROR(__xludf.DUMMYFUNCTION("""COMPUTED_VALUE"""),"")</f>
        <v/>
      </c>
      <c r="J1556" s="4" t="str">
        <f>IFERROR(__xludf.DUMMYFUNCTION("""COMPUTED_VALUE"""),"")</f>
        <v/>
      </c>
      <c r="K1556" s="4" t="str">
        <f>IFERROR(__xludf.DUMMYFUNCTION("""COMPUTED_VALUE"""),"")</f>
        <v/>
      </c>
      <c r="L1556" s="4" t="str">
        <f>IFERROR(__xludf.DUMMYFUNCTION("""COMPUTED_VALUE"""),"")</f>
        <v/>
      </c>
      <c r="M1556" s="4" t="str">
        <f>IFERROR(__xludf.DUMMYFUNCTION("""COMPUTED_VALUE"""),"")</f>
        <v/>
      </c>
      <c r="N1556" s="4" t="str">
        <f>IFERROR(__xludf.DUMMYFUNCTION("""COMPUTED_VALUE"""),"")</f>
        <v/>
      </c>
      <c r="O1556" s="4" t="str">
        <f>IFERROR(__xludf.DUMMYFUNCTION("""COMPUTED_VALUE"""),"")</f>
        <v/>
      </c>
      <c r="P1556" s="4" t="str">
        <f>IFERROR(__xludf.DUMMYFUNCTION("""COMPUTED_VALUE"""),"")</f>
        <v/>
      </c>
      <c r="Q1556" s="4" t="str">
        <f>IFERROR(__xludf.DUMMYFUNCTION("""COMPUTED_VALUE"""),"")</f>
        <v/>
      </c>
      <c r="R1556" s="4" t="str">
        <f>IFERROR(__xludf.DUMMYFUNCTION("""COMPUTED_VALUE"""),"")</f>
        <v/>
      </c>
      <c r="S1556" s="4" t="str">
        <f>IFERROR(__xludf.DUMMYFUNCTION("""COMPUTED_VALUE"""),"")</f>
        <v/>
      </c>
      <c r="T1556" s="4" t="str">
        <f>IFERROR(__xludf.DUMMYFUNCTION("""COMPUTED_VALUE"""),"")</f>
        <v/>
      </c>
      <c r="U1556" s="4" t="str">
        <f>IFERROR(__xludf.DUMMYFUNCTION("""COMPUTED_VALUE"""),"")</f>
        <v/>
      </c>
      <c r="V1556" s="4" t="str">
        <f>IFERROR(__xludf.DUMMYFUNCTION("""COMPUTED_VALUE"""),"")</f>
        <v/>
      </c>
      <c r="W1556" s="4" t="str">
        <f>IFERROR(__xludf.DUMMYFUNCTION("""COMPUTED_VALUE"""),"")</f>
        <v/>
      </c>
      <c r="X1556" s="4" t="str">
        <f>IFERROR(__xludf.DUMMYFUNCTION("""COMPUTED_VALUE"""),"")</f>
        <v/>
      </c>
      <c r="Y1556" s="4" t="str">
        <f>IFERROR(__xludf.DUMMYFUNCTION("""COMPUTED_VALUE"""),"")</f>
        <v/>
      </c>
    </row>
    <row r="1557">
      <c r="A1557" s="4" t="str">
        <f>IFERROR(__xludf.DUMMYFUNCTION("""COMPUTED_VALUE"""),"2108 - Channel")</f>
        <v>2108 - Channel</v>
      </c>
      <c r="B1557" s="4" t="str">
        <f>IFERROR(__xludf.DUMMYFUNCTION("""COMPUTED_VALUE"""),"")</f>
        <v/>
      </c>
      <c r="C1557" s="4" t="str">
        <f>IFERROR(__xludf.DUMMYFUNCTION("""COMPUTED_VALUE"""),"")</f>
        <v/>
      </c>
      <c r="D1557" s="4" t="str">
        <f>IFERROR(__xludf.DUMMYFUNCTION("""COMPUTED_VALUE"""),"")</f>
        <v/>
      </c>
      <c r="E1557" s="4" t="str">
        <f>IFERROR(__xludf.DUMMYFUNCTION("""COMPUTED_VALUE"""),"")</f>
        <v/>
      </c>
      <c r="F1557" s="4" t="str">
        <f>IFERROR(__xludf.DUMMYFUNCTION("""COMPUTED_VALUE"""),"")</f>
        <v/>
      </c>
      <c r="G1557" s="4" t="str">
        <f>IFERROR(__xludf.DUMMYFUNCTION("""COMPUTED_VALUE"""),"")</f>
        <v/>
      </c>
      <c r="H1557" s="4" t="str">
        <f>IFERROR(__xludf.DUMMYFUNCTION("""COMPUTED_VALUE"""),"")</f>
        <v/>
      </c>
      <c r="I1557" s="4" t="str">
        <f>IFERROR(__xludf.DUMMYFUNCTION("""COMPUTED_VALUE"""),"")</f>
        <v/>
      </c>
      <c r="J1557" s="4" t="str">
        <f>IFERROR(__xludf.DUMMYFUNCTION("""COMPUTED_VALUE"""),"")</f>
        <v/>
      </c>
      <c r="K1557" s="4" t="str">
        <f>IFERROR(__xludf.DUMMYFUNCTION("""COMPUTED_VALUE"""),"")</f>
        <v/>
      </c>
      <c r="L1557" s="4" t="str">
        <f>IFERROR(__xludf.DUMMYFUNCTION("""COMPUTED_VALUE"""),"")</f>
        <v/>
      </c>
      <c r="M1557" s="4" t="str">
        <f>IFERROR(__xludf.DUMMYFUNCTION("""COMPUTED_VALUE"""),"")</f>
        <v/>
      </c>
      <c r="N1557" s="4" t="str">
        <f>IFERROR(__xludf.DUMMYFUNCTION("""COMPUTED_VALUE"""),"")</f>
        <v/>
      </c>
      <c r="O1557" s="4" t="str">
        <f>IFERROR(__xludf.DUMMYFUNCTION("""COMPUTED_VALUE"""),"")</f>
        <v/>
      </c>
      <c r="P1557" s="4" t="str">
        <f>IFERROR(__xludf.DUMMYFUNCTION("""COMPUTED_VALUE"""),"")</f>
        <v/>
      </c>
      <c r="Q1557" s="4" t="str">
        <f>IFERROR(__xludf.DUMMYFUNCTION("""COMPUTED_VALUE"""),"")</f>
        <v/>
      </c>
      <c r="R1557" s="4" t="str">
        <f>IFERROR(__xludf.DUMMYFUNCTION("""COMPUTED_VALUE"""),"")</f>
        <v/>
      </c>
      <c r="S1557" s="4" t="str">
        <f>IFERROR(__xludf.DUMMYFUNCTION("""COMPUTED_VALUE"""),"")</f>
        <v/>
      </c>
      <c r="T1557" s="4" t="str">
        <f>IFERROR(__xludf.DUMMYFUNCTION("""COMPUTED_VALUE"""),"")</f>
        <v/>
      </c>
      <c r="U1557" s="4" t="str">
        <f>IFERROR(__xludf.DUMMYFUNCTION("""COMPUTED_VALUE"""),"")</f>
        <v/>
      </c>
      <c r="V1557" s="4" t="str">
        <f>IFERROR(__xludf.DUMMYFUNCTION("""COMPUTED_VALUE"""),"")</f>
        <v/>
      </c>
      <c r="W1557" s="4" t="str">
        <f>IFERROR(__xludf.DUMMYFUNCTION("""COMPUTED_VALUE"""),"")</f>
        <v/>
      </c>
      <c r="X1557" s="4" t="str">
        <f>IFERROR(__xludf.DUMMYFUNCTION("""COMPUTED_VALUE"""),"")</f>
        <v/>
      </c>
      <c r="Y1557" s="4" t="str">
        <f>IFERROR(__xludf.DUMMYFUNCTION("""COMPUTED_VALUE"""),"")</f>
        <v/>
      </c>
    </row>
    <row r="1558">
      <c r="A1558" s="4" t="str">
        <f>IFERROR(__xludf.DUMMYFUNCTION("""COMPUTED_VALUE"""),"2109 - Channel")</f>
        <v>2109 - Channel</v>
      </c>
      <c r="B1558" s="4" t="str">
        <f>IFERROR(__xludf.DUMMYFUNCTION("""COMPUTED_VALUE"""),"")</f>
        <v/>
      </c>
      <c r="C1558" s="4" t="str">
        <f>IFERROR(__xludf.DUMMYFUNCTION("""COMPUTED_VALUE"""),"")</f>
        <v/>
      </c>
      <c r="D1558" s="4" t="str">
        <f>IFERROR(__xludf.DUMMYFUNCTION("""COMPUTED_VALUE"""),"")</f>
        <v/>
      </c>
      <c r="E1558" s="4" t="str">
        <f>IFERROR(__xludf.DUMMYFUNCTION("""COMPUTED_VALUE"""),"")</f>
        <v/>
      </c>
      <c r="F1558" s="4" t="str">
        <f>IFERROR(__xludf.DUMMYFUNCTION("""COMPUTED_VALUE"""),"")</f>
        <v/>
      </c>
      <c r="G1558" s="4" t="str">
        <f>IFERROR(__xludf.DUMMYFUNCTION("""COMPUTED_VALUE"""),"")</f>
        <v/>
      </c>
      <c r="H1558" s="4" t="str">
        <f>IFERROR(__xludf.DUMMYFUNCTION("""COMPUTED_VALUE"""),"")</f>
        <v/>
      </c>
      <c r="I1558" s="4" t="str">
        <f>IFERROR(__xludf.DUMMYFUNCTION("""COMPUTED_VALUE"""),"")</f>
        <v/>
      </c>
      <c r="J1558" s="4" t="str">
        <f>IFERROR(__xludf.DUMMYFUNCTION("""COMPUTED_VALUE"""),"")</f>
        <v/>
      </c>
      <c r="K1558" s="4" t="str">
        <f>IFERROR(__xludf.DUMMYFUNCTION("""COMPUTED_VALUE"""),"")</f>
        <v/>
      </c>
      <c r="L1558" s="4" t="str">
        <f>IFERROR(__xludf.DUMMYFUNCTION("""COMPUTED_VALUE"""),"")</f>
        <v/>
      </c>
      <c r="M1558" s="4" t="str">
        <f>IFERROR(__xludf.DUMMYFUNCTION("""COMPUTED_VALUE"""),"")</f>
        <v/>
      </c>
      <c r="N1558" s="4" t="str">
        <f>IFERROR(__xludf.DUMMYFUNCTION("""COMPUTED_VALUE"""),"")</f>
        <v/>
      </c>
      <c r="O1558" s="4" t="str">
        <f>IFERROR(__xludf.DUMMYFUNCTION("""COMPUTED_VALUE"""),"")</f>
        <v/>
      </c>
      <c r="P1558" s="4" t="str">
        <f>IFERROR(__xludf.DUMMYFUNCTION("""COMPUTED_VALUE"""),"")</f>
        <v/>
      </c>
      <c r="Q1558" s="4" t="str">
        <f>IFERROR(__xludf.DUMMYFUNCTION("""COMPUTED_VALUE"""),"")</f>
        <v/>
      </c>
      <c r="R1558" s="4" t="str">
        <f>IFERROR(__xludf.DUMMYFUNCTION("""COMPUTED_VALUE"""),"")</f>
        <v/>
      </c>
      <c r="S1558" s="4" t="str">
        <f>IFERROR(__xludf.DUMMYFUNCTION("""COMPUTED_VALUE"""),"")</f>
        <v/>
      </c>
      <c r="T1558" s="4" t="str">
        <f>IFERROR(__xludf.DUMMYFUNCTION("""COMPUTED_VALUE"""),"")</f>
        <v/>
      </c>
      <c r="U1558" s="4" t="str">
        <f>IFERROR(__xludf.DUMMYFUNCTION("""COMPUTED_VALUE"""),"")</f>
        <v/>
      </c>
      <c r="V1558" s="4" t="str">
        <f>IFERROR(__xludf.DUMMYFUNCTION("""COMPUTED_VALUE"""),"")</f>
        <v/>
      </c>
      <c r="W1558" s="4" t="str">
        <f>IFERROR(__xludf.DUMMYFUNCTION("""COMPUTED_VALUE"""),"")</f>
        <v/>
      </c>
      <c r="X1558" s="4" t="str">
        <f>IFERROR(__xludf.DUMMYFUNCTION("""COMPUTED_VALUE"""),"")</f>
        <v/>
      </c>
      <c r="Y1558" s="4" t="str">
        <f>IFERROR(__xludf.DUMMYFUNCTION("""COMPUTED_VALUE"""),"")</f>
        <v/>
      </c>
    </row>
    <row r="1559">
      <c r="A1559" s="4" t="str">
        <f>IFERROR(__xludf.DUMMYFUNCTION("""COMPUTED_VALUE"""),"2110 - Channel")</f>
        <v>2110 - Channel</v>
      </c>
      <c r="B1559" s="4" t="str">
        <f>IFERROR(__xludf.DUMMYFUNCTION("""COMPUTED_VALUE"""),"")</f>
        <v/>
      </c>
      <c r="C1559" s="4" t="str">
        <f>IFERROR(__xludf.DUMMYFUNCTION("""COMPUTED_VALUE"""),"")</f>
        <v/>
      </c>
      <c r="D1559" s="4" t="str">
        <f>IFERROR(__xludf.DUMMYFUNCTION("""COMPUTED_VALUE"""),"")</f>
        <v/>
      </c>
      <c r="E1559" s="4" t="str">
        <f>IFERROR(__xludf.DUMMYFUNCTION("""COMPUTED_VALUE"""),"")</f>
        <v/>
      </c>
      <c r="F1559" s="4" t="str">
        <f>IFERROR(__xludf.DUMMYFUNCTION("""COMPUTED_VALUE"""),"")</f>
        <v/>
      </c>
      <c r="G1559" s="4" t="str">
        <f>IFERROR(__xludf.DUMMYFUNCTION("""COMPUTED_VALUE"""),"")</f>
        <v/>
      </c>
      <c r="H1559" s="4" t="str">
        <f>IFERROR(__xludf.DUMMYFUNCTION("""COMPUTED_VALUE"""),"")</f>
        <v/>
      </c>
      <c r="I1559" s="4" t="str">
        <f>IFERROR(__xludf.DUMMYFUNCTION("""COMPUTED_VALUE"""),"")</f>
        <v/>
      </c>
      <c r="J1559" s="4" t="str">
        <f>IFERROR(__xludf.DUMMYFUNCTION("""COMPUTED_VALUE"""),"")</f>
        <v/>
      </c>
      <c r="K1559" s="4" t="str">
        <f>IFERROR(__xludf.DUMMYFUNCTION("""COMPUTED_VALUE"""),"")</f>
        <v/>
      </c>
      <c r="L1559" s="4" t="str">
        <f>IFERROR(__xludf.DUMMYFUNCTION("""COMPUTED_VALUE"""),"")</f>
        <v/>
      </c>
      <c r="M1559" s="4" t="str">
        <f>IFERROR(__xludf.DUMMYFUNCTION("""COMPUTED_VALUE"""),"")</f>
        <v/>
      </c>
      <c r="N1559" s="4" t="str">
        <f>IFERROR(__xludf.DUMMYFUNCTION("""COMPUTED_VALUE"""),"")</f>
        <v/>
      </c>
      <c r="O1559" s="4" t="str">
        <f>IFERROR(__xludf.DUMMYFUNCTION("""COMPUTED_VALUE"""),"")</f>
        <v/>
      </c>
      <c r="P1559" s="4" t="str">
        <f>IFERROR(__xludf.DUMMYFUNCTION("""COMPUTED_VALUE"""),"")</f>
        <v/>
      </c>
      <c r="Q1559" s="4" t="str">
        <f>IFERROR(__xludf.DUMMYFUNCTION("""COMPUTED_VALUE"""),"")</f>
        <v/>
      </c>
      <c r="R1559" s="4" t="str">
        <f>IFERROR(__xludf.DUMMYFUNCTION("""COMPUTED_VALUE"""),"")</f>
        <v/>
      </c>
      <c r="S1559" s="4" t="str">
        <f>IFERROR(__xludf.DUMMYFUNCTION("""COMPUTED_VALUE"""),"")</f>
        <v/>
      </c>
      <c r="T1559" s="4" t="str">
        <f>IFERROR(__xludf.DUMMYFUNCTION("""COMPUTED_VALUE"""),"")</f>
        <v/>
      </c>
      <c r="U1559" s="4" t="str">
        <f>IFERROR(__xludf.DUMMYFUNCTION("""COMPUTED_VALUE"""),"")</f>
        <v/>
      </c>
      <c r="V1559" s="4" t="str">
        <f>IFERROR(__xludf.DUMMYFUNCTION("""COMPUTED_VALUE"""),"")</f>
        <v/>
      </c>
      <c r="W1559" s="4" t="str">
        <f>IFERROR(__xludf.DUMMYFUNCTION("""COMPUTED_VALUE"""),"")</f>
        <v/>
      </c>
      <c r="X1559" s="4" t="str">
        <f>IFERROR(__xludf.DUMMYFUNCTION("""COMPUTED_VALUE"""),"")</f>
        <v/>
      </c>
      <c r="Y1559" s="4" t="str">
        <f>IFERROR(__xludf.DUMMYFUNCTION("""COMPUTED_VALUE"""),"")</f>
        <v/>
      </c>
    </row>
    <row r="1560">
      <c r="A1560" s="4" t="str">
        <f>IFERROR(__xludf.DUMMYFUNCTION("""COMPUTED_VALUE"""),"2111 - Channel")</f>
        <v>2111 - Channel</v>
      </c>
      <c r="B1560" s="4" t="str">
        <f>IFERROR(__xludf.DUMMYFUNCTION("""COMPUTED_VALUE"""),"")</f>
        <v/>
      </c>
      <c r="C1560" s="4" t="str">
        <f>IFERROR(__xludf.DUMMYFUNCTION("""COMPUTED_VALUE"""),"")</f>
        <v/>
      </c>
      <c r="D1560" s="4" t="str">
        <f>IFERROR(__xludf.DUMMYFUNCTION("""COMPUTED_VALUE"""),"")</f>
        <v/>
      </c>
      <c r="E1560" s="4" t="str">
        <f>IFERROR(__xludf.DUMMYFUNCTION("""COMPUTED_VALUE"""),"")</f>
        <v/>
      </c>
      <c r="F1560" s="4" t="str">
        <f>IFERROR(__xludf.DUMMYFUNCTION("""COMPUTED_VALUE"""),"")</f>
        <v/>
      </c>
      <c r="G1560" s="4" t="str">
        <f>IFERROR(__xludf.DUMMYFUNCTION("""COMPUTED_VALUE"""),"")</f>
        <v/>
      </c>
      <c r="H1560" s="4" t="str">
        <f>IFERROR(__xludf.DUMMYFUNCTION("""COMPUTED_VALUE"""),"")</f>
        <v/>
      </c>
      <c r="I1560" s="4" t="str">
        <f>IFERROR(__xludf.DUMMYFUNCTION("""COMPUTED_VALUE"""),"")</f>
        <v/>
      </c>
      <c r="J1560" s="4" t="str">
        <f>IFERROR(__xludf.DUMMYFUNCTION("""COMPUTED_VALUE"""),"")</f>
        <v/>
      </c>
      <c r="K1560" s="4" t="str">
        <f>IFERROR(__xludf.DUMMYFUNCTION("""COMPUTED_VALUE"""),"")</f>
        <v/>
      </c>
      <c r="L1560" s="4" t="str">
        <f>IFERROR(__xludf.DUMMYFUNCTION("""COMPUTED_VALUE"""),"")</f>
        <v/>
      </c>
      <c r="M1560" s="4" t="str">
        <f>IFERROR(__xludf.DUMMYFUNCTION("""COMPUTED_VALUE"""),"")</f>
        <v/>
      </c>
      <c r="N1560" s="4" t="str">
        <f>IFERROR(__xludf.DUMMYFUNCTION("""COMPUTED_VALUE"""),"")</f>
        <v/>
      </c>
      <c r="O1560" s="4" t="str">
        <f>IFERROR(__xludf.DUMMYFUNCTION("""COMPUTED_VALUE"""),"")</f>
        <v/>
      </c>
      <c r="P1560" s="4" t="str">
        <f>IFERROR(__xludf.DUMMYFUNCTION("""COMPUTED_VALUE"""),"")</f>
        <v/>
      </c>
      <c r="Q1560" s="4" t="str">
        <f>IFERROR(__xludf.DUMMYFUNCTION("""COMPUTED_VALUE"""),"")</f>
        <v/>
      </c>
      <c r="R1560" s="4" t="str">
        <f>IFERROR(__xludf.DUMMYFUNCTION("""COMPUTED_VALUE"""),"")</f>
        <v/>
      </c>
      <c r="S1560" s="4" t="str">
        <f>IFERROR(__xludf.DUMMYFUNCTION("""COMPUTED_VALUE"""),"")</f>
        <v/>
      </c>
      <c r="T1560" s="4" t="str">
        <f>IFERROR(__xludf.DUMMYFUNCTION("""COMPUTED_VALUE"""),"")</f>
        <v/>
      </c>
      <c r="U1560" s="4" t="str">
        <f>IFERROR(__xludf.DUMMYFUNCTION("""COMPUTED_VALUE"""),"")</f>
        <v/>
      </c>
      <c r="V1560" s="4" t="str">
        <f>IFERROR(__xludf.DUMMYFUNCTION("""COMPUTED_VALUE"""),"")</f>
        <v/>
      </c>
      <c r="W1560" s="4" t="str">
        <f>IFERROR(__xludf.DUMMYFUNCTION("""COMPUTED_VALUE"""),"")</f>
        <v/>
      </c>
      <c r="X1560" s="4" t="str">
        <f>IFERROR(__xludf.DUMMYFUNCTION("""COMPUTED_VALUE"""),"")</f>
        <v/>
      </c>
      <c r="Y1560" s="4" t="str">
        <f>IFERROR(__xludf.DUMMYFUNCTION("""COMPUTED_VALUE"""),"")</f>
        <v/>
      </c>
    </row>
    <row r="1561">
      <c r="A1561" s="4" t="str">
        <f>IFERROR(__xludf.DUMMYFUNCTION("""COMPUTED_VALUE"""),"2112 - Channel")</f>
        <v>2112 - Channel</v>
      </c>
      <c r="B1561" s="4" t="str">
        <f>IFERROR(__xludf.DUMMYFUNCTION("""COMPUTED_VALUE"""),"")</f>
        <v/>
      </c>
      <c r="C1561" s="4" t="str">
        <f>IFERROR(__xludf.DUMMYFUNCTION("""COMPUTED_VALUE"""),"")</f>
        <v/>
      </c>
      <c r="D1561" s="4" t="str">
        <f>IFERROR(__xludf.DUMMYFUNCTION("""COMPUTED_VALUE"""),"")</f>
        <v/>
      </c>
      <c r="E1561" s="4" t="str">
        <f>IFERROR(__xludf.DUMMYFUNCTION("""COMPUTED_VALUE"""),"")</f>
        <v/>
      </c>
      <c r="F1561" s="4" t="str">
        <f>IFERROR(__xludf.DUMMYFUNCTION("""COMPUTED_VALUE"""),"")</f>
        <v/>
      </c>
      <c r="G1561" s="4" t="str">
        <f>IFERROR(__xludf.DUMMYFUNCTION("""COMPUTED_VALUE"""),"")</f>
        <v/>
      </c>
      <c r="H1561" s="4" t="str">
        <f>IFERROR(__xludf.DUMMYFUNCTION("""COMPUTED_VALUE"""),"")</f>
        <v/>
      </c>
      <c r="I1561" s="4" t="str">
        <f>IFERROR(__xludf.DUMMYFUNCTION("""COMPUTED_VALUE"""),"")</f>
        <v/>
      </c>
      <c r="J1561" s="4" t="str">
        <f>IFERROR(__xludf.DUMMYFUNCTION("""COMPUTED_VALUE"""),"")</f>
        <v/>
      </c>
      <c r="K1561" s="4" t="str">
        <f>IFERROR(__xludf.DUMMYFUNCTION("""COMPUTED_VALUE"""),"")</f>
        <v/>
      </c>
      <c r="L1561" s="4" t="str">
        <f>IFERROR(__xludf.DUMMYFUNCTION("""COMPUTED_VALUE"""),"")</f>
        <v/>
      </c>
      <c r="M1561" s="4" t="str">
        <f>IFERROR(__xludf.DUMMYFUNCTION("""COMPUTED_VALUE"""),"")</f>
        <v/>
      </c>
      <c r="N1561" s="4" t="str">
        <f>IFERROR(__xludf.DUMMYFUNCTION("""COMPUTED_VALUE"""),"")</f>
        <v/>
      </c>
      <c r="O1561" s="4" t="str">
        <f>IFERROR(__xludf.DUMMYFUNCTION("""COMPUTED_VALUE"""),"")</f>
        <v/>
      </c>
      <c r="P1561" s="4" t="str">
        <f>IFERROR(__xludf.DUMMYFUNCTION("""COMPUTED_VALUE"""),"")</f>
        <v/>
      </c>
      <c r="Q1561" s="4" t="str">
        <f>IFERROR(__xludf.DUMMYFUNCTION("""COMPUTED_VALUE"""),"")</f>
        <v/>
      </c>
      <c r="R1561" s="4" t="str">
        <f>IFERROR(__xludf.DUMMYFUNCTION("""COMPUTED_VALUE"""),"")</f>
        <v/>
      </c>
      <c r="S1561" s="4" t="str">
        <f>IFERROR(__xludf.DUMMYFUNCTION("""COMPUTED_VALUE"""),"")</f>
        <v/>
      </c>
      <c r="T1561" s="4" t="str">
        <f>IFERROR(__xludf.DUMMYFUNCTION("""COMPUTED_VALUE"""),"")</f>
        <v/>
      </c>
      <c r="U1561" s="4" t="str">
        <f>IFERROR(__xludf.DUMMYFUNCTION("""COMPUTED_VALUE"""),"")</f>
        <v/>
      </c>
      <c r="V1561" s="4" t="str">
        <f>IFERROR(__xludf.DUMMYFUNCTION("""COMPUTED_VALUE"""),"")</f>
        <v/>
      </c>
      <c r="W1561" s="4" t="str">
        <f>IFERROR(__xludf.DUMMYFUNCTION("""COMPUTED_VALUE"""),"")</f>
        <v/>
      </c>
      <c r="X1561" s="4" t="str">
        <f>IFERROR(__xludf.DUMMYFUNCTION("""COMPUTED_VALUE"""),"")</f>
        <v/>
      </c>
      <c r="Y1561" s="4" t="str">
        <f>IFERROR(__xludf.DUMMYFUNCTION("""COMPUTED_VALUE"""),"")</f>
        <v/>
      </c>
    </row>
    <row r="1562">
      <c r="A1562" s="4" t="str">
        <f>IFERROR(__xludf.DUMMYFUNCTION("""COMPUTED_VALUE"""),"2113 - Channel")</f>
        <v>2113 - Channel</v>
      </c>
      <c r="B1562" s="4" t="str">
        <f>IFERROR(__xludf.DUMMYFUNCTION("""COMPUTED_VALUE"""),"")</f>
        <v/>
      </c>
      <c r="C1562" s="4" t="str">
        <f>IFERROR(__xludf.DUMMYFUNCTION("""COMPUTED_VALUE"""),"")</f>
        <v/>
      </c>
      <c r="D1562" s="4" t="str">
        <f>IFERROR(__xludf.DUMMYFUNCTION("""COMPUTED_VALUE"""),"")</f>
        <v/>
      </c>
      <c r="E1562" s="4" t="str">
        <f>IFERROR(__xludf.DUMMYFUNCTION("""COMPUTED_VALUE"""),"")</f>
        <v/>
      </c>
      <c r="F1562" s="4" t="str">
        <f>IFERROR(__xludf.DUMMYFUNCTION("""COMPUTED_VALUE"""),"")</f>
        <v/>
      </c>
      <c r="G1562" s="4" t="str">
        <f>IFERROR(__xludf.DUMMYFUNCTION("""COMPUTED_VALUE"""),"")</f>
        <v/>
      </c>
      <c r="H1562" s="4" t="str">
        <f>IFERROR(__xludf.DUMMYFUNCTION("""COMPUTED_VALUE"""),"")</f>
        <v/>
      </c>
      <c r="I1562" s="4" t="str">
        <f>IFERROR(__xludf.DUMMYFUNCTION("""COMPUTED_VALUE"""),"")</f>
        <v/>
      </c>
      <c r="J1562" s="4" t="str">
        <f>IFERROR(__xludf.DUMMYFUNCTION("""COMPUTED_VALUE"""),"")</f>
        <v/>
      </c>
      <c r="K1562" s="4" t="str">
        <f>IFERROR(__xludf.DUMMYFUNCTION("""COMPUTED_VALUE"""),"")</f>
        <v/>
      </c>
      <c r="L1562" s="4" t="str">
        <f>IFERROR(__xludf.DUMMYFUNCTION("""COMPUTED_VALUE"""),"")</f>
        <v/>
      </c>
      <c r="M1562" s="4" t="str">
        <f>IFERROR(__xludf.DUMMYFUNCTION("""COMPUTED_VALUE"""),"")</f>
        <v/>
      </c>
      <c r="N1562" s="4" t="str">
        <f>IFERROR(__xludf.DUMMYFUNCTION("""COMPUTED_VALUE"""),"")</f>
        <v/>
      </c>
      <c r="O1562" s="4" t="str">
        <f>IFERROR(__xludf.DUMMYFUNCTION("""COMPUTED_VALUE"""),"")</f>
        <v/>
      </c>
      <c r="P1562" s="4" t="str">
        <f>IFERROR(__xludf.DUMMYFUNCTION("""COMPUTED_VALUE"""),"")</f>
        <v/>
      </c>
      <c r="Q1562" s="4" t="str">
        <f>IFERROR(__xludf.DUMMYFUNCTION("""COMPUTED_VALUE"""),"")</f>
        <v/>
      </c>
      <c r="R1562" s="4" t="str">
        <f>IFERROR(__xludf.DUMMYFUNCTION("""COMPUTED_VALUE"""),"")</f>
        <v/>
      </c>
      <c r="S1562" s="4" t="str">
        <f>IFERROR(__xludf.DUMMYFUNCTION("""COMPUTED_VALUE"""),"")</f>
        <v/>
      </c>
      <c r="T1562" s="4" t="str">
        <f>IFERROR(__xludf.DUMMYFUNCTION("""COMPUTED_VALUE"""),"")</f>
        <v/>
      </c>
      <c r="U1562" s="4" t="str">
        <f>IFERROR(__xludf.DUMMYFUNCTION("""COMPUTED_VALUE"""),"")</f>
        <v/>
      </c>
      <c r="V1562" s="4" t="str">
        <f>IFERROR(__xludf.DUMMYFUNCTION("""COMPUTED_VALUE"""),"")</f>
        <v/>
      </c>
      <c r="W1562" s="4" t="str">
        <f>IFERROR(__xludf.DUMMYFUNCTION("""COMPUTED_VALUE"""),"")</f>
        <v/>
      </c>
      <c r="X1562" s="4" t="str">
        <f>IFERROR(__xludf.DUMMYFUNCTION("""COMPUTED_VALUE"""),"")</f>
        <v/>
      </c>
      <c r="Y1562" s="4" t="str">
        <f>IFERROR(__xludf.DUMMYFUNCTION("""COMPUTED_VALUE"""),"")</f>
        <v/>
      </c>
    </row>
    <row r="1563">
      <c r="A1563" s="4" t="str">
        <f>IFERROR(__xludf.DUMMYFUNCTION("""COMPUTED_VALUE"""),"2114 - Channel")</f>
        <v>2114 - Channel</v>
      </c>
      <c r="B1563" s="4" t="str">
        <f>IFERROR(__xludf.DUMMYFUNCTION("""COMPUTED_VALUE"""),"")</f>
        <v/>
      </c>
      <c r="C1563" s="4" t="str">
        <f>IFERROR(__xludf.DUMMYFUNCTION("""COMPUTED_VALUE"""),"")</f>
        <v/>
      </c>
      <c r="D1563" s="4" t="str">
        <f>IFERROR(__xludf.DUMMYFUNCTION("""COMPUTED_VALUE"""),"")</f>
        <v/>
      </c>
      <c r="E1563" s="4" t="str">
        <f>IFERROR(__xludf.DUMMYFUNCTION("""COMPUTED_VALUE"""),"")</f>
        <v/>
      </c>
      <c r="F1563" s="4" t="str">
        <f>IFERROR(__xludf.DUMMYFUNCTION("""COMPUTED_VALUE"""),"")</f>
        <v/>
      </c>
      <c r="G1563" s="4" t="str">
        <f>IFERROR(__xludf.DUMMYFUNCTION("""COMPUTED_VALUE"""),"")</f>
        <v/>
      </c>
      <c r="H1563" s="4" t="str">
        <f>IFERROR(__xludf.DUMMYFUNCTION("""COMPUTED_VALUE"""),"")</f>
        <v/>
      </c>
      <c r="I1563" s="4" t="str">
        <f>IFERROR(__xludf.DUMMYFUNCTION("""COMPUTED_VALUE"""),"")</f>
        <v/>
      </c>
      <c r="J1563" s="4" t="str">
        <f>IFERROR(__xludf.DUMMYFUNCTION("""COMPUTED_VALUE"""),"")</f>
        <v/>
      </c>
      <c r="K1563" s="4" t="str">
        <f>IFERROR(__xludf.DUMMYFUNCTION("""COMPUTED_VALUE"""),"")</f>
        <v/>
      </c>
      <c r="L1563" s="4" t="str">
        <f>IFERROR(__xludf.DUMMYFUNCTION("""COMPUTED_VALUE"""),"")</f>
        <v/>
      </c>
      <c r="M1563" s="4" t="str">
        <f>IFERROR(__xludf.DUMMYFUNCTION("""COMPUTED_VALUE"""),"")</f>
        <v/>
      </c>
      <c r="N1563" s="4" t="str">
        <f>IFERROR(__xludf.DUMMYFUNCTION("""COMPUTED_VALUE"""),"")</f>
        <v/>
      </c>
      <c r="O1563" s="4" t="str">
        <f>IFERROR(__xludf.DUMMYFUNCTION("""COMPUTED_VALUE"""),"")</f>
        <v/>
      </c>
      <c r="P1563" s="4" t="str">
        <f>IFERROR(__xludf.DUMMYFUNCTION("""COMPUTED_VALUE"""),"")</f>
        <v/>
      </c>
      <c r="Q1563" s="4" t="str">
        <f>IFERROR(__xludf.DUMMYFUNCTION("""COMPUTED_VALUE"""),"")</f>
        <v/>
      </c>
      <c r="R1563" s="4" t="str">
        <f>IFERROR(__xludf.DUMMYFUNCTION("""COMPUTED_VALUE"""),"")</f>
        <v/>
      </c>
      <c r="S1563" s="4" t="str">
        <f>IFERROR(__xludf.DUMMYFUNCTION("""COMPUTED_VALUE"""),"")</f>
        <v/>
      </c>
      <c r="T1563" s="4" t="str">
        <f>IFERROR(__xludf.DUMMYFUNCTION("""COMPUTED_VALUE"""),"")</f>
        <v/>
      </c>
      <c r="U1563" s="4" t="str">
        <f>IFERROR(__xludf.DUMMYFUNCTION("""COMPUTED_VALUE"""),"")</f>
        <v/>
      </c>
      <c r="V1563" s="4" t="str">
        <f>IFERROR(__xludf.DUMMYFUNCTION("""COMPUTED_VALUE"""),"")</f>
        <v/>
      </c>
      <c r="W1563" s="4" t="str">
        <f>IFERROR(__xludf.DUMMYFUNCTION("""COMPUTED_VALUE"""),"")</f>
        <v/>
      </c>
      <c r="X1563" s="4" t="str">
        <f>IFERROR(__xludf.DUMMYFUNCTION("""COMPUTED_VALUE"""),"")</f>
        <v/>
      </c>
      <c r="Y1563" s="4" t="str">
        <f>IFERROR(__xludf.DUMMYFUNCTION("""COMPUTED_VALUE"""),"")</f>
        <v/>
      </c>
    </row>
    <row r="1564">
      <c r="A1564" s="4" t="str">
        <f>IFERROR(__xludf.DUMMYFUNCTION("""COMPUTED_VALUE"""),"2115 - Channel")</f>
        <v>2115 - Channel</v>
      </c>
      <c r="B1564" s="4" t="str">
        <f>IFERROR(__xludf.DUMMYFUNCTION("""COMPUTED_VALUE"""),"")</f>
        <v/>
      </c>
      <c r="C1564" s="4" t="str">
        <f>IFERROR(__xludf.DUMMYFUNCTION("""COMPUTED_VALUE"""),"")</f>
        <v/>
      </c>
      <c r="D1564" s="4" t="str">
        <f>IFERROR(__xludf.DUMMYFUNCTION("""COMPUTED_VALUE"""),"")</f>
        <v/>
      </c>
      <c r="E1564" s="4" t="str">
        <f>IFERROR(__xludf.DUMMYFUNCTION("""COMPUTED_VALUE"""),"")</f>
        <v/>
      </c>
      <c r="F1564" s="4" t="str">
        <f>IFERROR(__xludf.DUMMYFUNCTION("""COMPUTED_VALUE"""),"")</f>
        <v/>
      </c>
      <c r="G1564" s="4" t="str">
        <f>IFERROR(__xludf.DUMMYFUNCTION("""COMPUTED_VALUE"""),"")</f>
        <v/>
      </c>
      <c r="H1564" s="4" t="str">
        <f>IFERROR(__xludf.DUMMYFUNCTION("""COMPUTED_VALUE"""),"")</f>
        <v/>
      </c>
      <c r="I1564" s="4" t="str">
        <f>IFERROR(__xludf.DUMMYFUNCTION("""COMPUTED_VALUE"""),"")</f>
        <v/>
      </c>
      <c r="J1564" s="4" t="str">
        <f>IFERROR(__xludf.DUMMYFUNCTION("""COMPUTED_VALUE"""),"")</f>
        <v/>
      </c>
      <c r="K1564" s="4" t="str">
        <f>IFERROR(__xludf.DUMMYFUNCTION("""COMPUTED_VALUE"""),"")</f>
        <v/>
      </c>
      <c r="L1564" s="4" t="str">
        <f>IFERROR(__xludf.DUMMYFUNCTION("""COMPUTED_VALUE"""),"")</f>
        <v/>
      </c>
      <c r="M1564" s="4" t="str">
        <f>IFERROR(__xludf.DUMMYFUNCTION("""COMPUTED_VALUE"""),"")</f>
        <v/>
      </c>
      <c r="N1564" s="4" t="str">
        <f>IFERROR(__xludf.DUMMYFUNCTION("""COMPUTED_VALUE"""),"")</f>
        <v/>
      </c>
      <c r="O1564" s="4" t="str">
        <f>IFERROR(__xludf.DUMMYFUNCTION("""COMPUTED_VALUE"""),"")</f>
        <v/>
      </c>
      <c r="P1564" s="4" t="str">
        <f>IFERROR(__xludf.DUMMYFUNCTION("""COMPUTED_VALUE"""),"")</f>
        <v/>
      </c>
      <c r="Q1564" s="4" t="str">
        <f>IFERROR(__xludf.DUMMYFUNCTION("""COMPUTED_VALUE"""),"")</f>
        <v/>
      </c>
      <c r="R1564" s="4" t="str">
        <f>IFERROR(__xludf.DUMMYFUNCTION("""COMPUTED_VALUE"""),"")</f>
        <v/>
      </c>
      <c r="S1564" s="4" t="str">
        <f>IFERROR(__xludf.DUMMYFUNCTION("""COMPUTED_VALUE"""),"")</f>
        <v/>
      </c>
      <c r="T1564" s="4" t="str">
        <f>IFERROR(__xludf.DUMMYFUNCTION("""COMPUTED_VALUE"""),"")</f>
        <v/>
      </c>
      <c r="U1564" s="4" t="str">
        <f>IFERROR(__xludf.DUMMYFUNCTION("""COMPUTED_VALUE"""),"")</f>
        <v/>
      </c>
      <c r="V1564" s="4" t="str">
        <f>IFERROR(__xludf.DUMMYFUNCTION("""COMPUTED_VALUE"""),"")</f>
        <v/>
      </c>
      <c r="W1564" s="4" t="str">
        <f>IFERROR(__xludf.DUMMYFUNCTION("""COMPUTED_VALUE"""),"")</f>
        <v/>
      </c>
      <c r="X1564" s="4" t="str">
        <f>IFERROR(__xludf.DUMMYFUNCTION("""COMPUTED_VALUE"""),"")</f>
        <v/>
      </c>
      <c r="Y1564" s="4" t="str">
        <f>IFERROR(__xludf.DUMMYFUNCTION("""COMPUTED_VALUE"""),"")</f>
        <v/>
      </c>
    </row>
    <row r="1565">
      <c r="A1565" s="4" t="str">
        <f>IFERROR(__xludf.DUMMYFUNCTION("""COMPUTED_VALUE"""),"2116 - Channel")</f>
        <v>2116 - Channel</v>
      </c>
      <c r="B1565" s="4" t="str">
        <f>IFERROR(__xludf.DUMMYFUNCTION("""COMPUTED_VALUE"""),"")</f>
        <v/>
      </c>
      <c r="C1565" s="4" t="str">
        <f>IFERROR(__xludf.DUMMYFUNCTION("""COMPUTED_VALUE"""),"")</f>
        <v/>
      </c>
      <c r="D1565" s="4" t="str">
        <f>IFERROR(__xludf.DUMMYFUNCTION("""COMPUTED_VALUE"""),"")</f>
        <v/>
      </c>
      <c r="E1565" s="4" t="str">
        <f>IFERROR(__xludf.DUMMYFUNCTION("""COMPUTED_VALUE"""),"")</f>
        <v/>
      </c>
      <c r="F1565" s="4" t="str">
        <f>IFERROR(__xludf.DUMMYFUNCTION("""COMPUTED_VALUE"""),"")</f>
        <v/>
      </c>
      <c r="G1565" s="4" t="str">
        <f>IFERROR(__xludf.DUMMYFUNCTION("""COMPUTED_VALUE"""),"")</f>
        <v/>
      </c>
      <c r="H1565" s="4" t="str">
        <f>IFERROR(__xludf.DUMMYFUNCTION("""COMPUTED_VALUE"""),"")</f>
        <v/>
      </c>
      <c r="I1565" s="4" t="str">
        <f>IFERROR(__xludf.DUMMYFUNCTION("""COMPUTED_VALUE"""),"")</f>
        <v/>
      </c>
      <c r="J1565" s="4" t="str">
        <f>IFERROR(__xludf.DUMMYFUNCTION("""COMPUTED_VALUE"""),"")</f>
        <v/>
      </c>
      <c r="K1565" s="4" t="str">
        <f>IFERROR(__xludf.DUMMYFUNCTION("""COMPUTED_VALUE"""),"")</f>
        <v/>
      </c>
      <c r="L1565" s="4" t="str">
        <f>IFERROR(__xludf.DUMMYFUNCTION("""COMPUTED_VALUE"""),"")</f>
        <v/>
      </c>
      <c r="M1565" s="4" t="str">
        <f>IFERROR(__xludf.DUMMYFUNCTION("""COMPUTED_VALUE"""),"")</f>
        <v/>
      </c>
      <c r="N1565" s="4" t="str">
        <f>IFERROR(__xludf.DUMMYFUNCTION("""COMPUTED_VALUE"""),"")</f>
        <v/>
      </c>
      <c r="O1565" s="4" t="str">
        <f>IFERROR(__xludf.DUMMYFUNCTION("""COMPUTED_VALUE"""),"")</f>
        <v/>
      </c>
      <c r="P1565" s="4" t="str">
        <f>IFERROR(__xludf.DUMMYFUNCTION("""COMPUTED_VALUE"""),"")</f>
        <v/>
      </c>
      <c r="Q1565" s="4" t="str">
        <f>IFERROR(__xludf.DUMMYFUNCTION("""COMPUTED_VALUE"""),"")</f>
        <v/>
      </c>
      <c r="R1565" s="4" t="str">
        <f>IFERROR(__xludf.DUMMYFUNCTION("""COMPUTED_VALUE"""),"")</f>
        <v/>
      </c>
      <c r="S1565" s="4" t="str">
        <f>IFERROR(__xludf.DUMMYFUNCTION("""COMPUTED_VALUE"""),"")</f>
        <v/>
      </c>
      <c r="T1565" s="4" t="str">
        <f>IFERROR(__xludf.DUMMYFUNCTION("""COMPUTED_VALUE"""),"")</f>
        <v/>
      </c>
      <c r="U1565" s="4" t="str">
        <f>IFERROR(__xludf.DUMMYFUNCTION("""COMPUTED_VALUE"""),"")</f>
        <v/>
      </c>
      <c r="V1565" s="4" t="str">
        <f>IFERROR(__xludf.DUMMYFUNCTION("""COMPUTED_VALUE"""),"")</f>
        <v/>
      </c>
      <c r="W1565" s="4" t="str">
        <f>IFERROR(__xludf.DUMMYFUNCTION("""COMPUTED_VALUE"""),"")</f>
        <v/>
      </c>
      <c r="X1565" s="4" t="str">
        <f>IFERROR(__xludf.DUMMYFUNCTION("""COMPUTED_VALUE"""),"")</f>
        <v/>
      </c>
      <c r="Y1565" s="4" t="str">
        <f>IFERROR(__xludf.DUMMYFUNCTION("""COMPUTED_VALUE"""),"")</f>
        <v/>
      </c>
    </row>
    <row r="1566">
      <c r="A1566" s="4" t="str">
        <f>IFERROR(__xludf.DUMMYFUNCTION("""COMPUTED_VALUE"""),"2117 - Channel")</f>
        <v>2117 - Channel</v>
      </c>
      <c r="B1566" s="4" t="str">
        <f>IFERROR(__xludf.DUMMYFUNCTION("""COMPUTED_VALUE"""),"")</f>
        <v/>
      </c>
      <c r="C1566" s="4" t="str">
        <f>IFERROR(__xludf.DUMMYFUNCTION("""COMPUTED_VALUE"""),"")</f>
        <v/>
      </c>
      <c r="D1566" s="4" t="str">
        <f>IFERROR(__xludf.DUMMYFUNCTION("""COMPUTED_VALUE"""),"")</f>
        <v/>
      </c>
      <c r="E1566" s="4" t="str">
        <f>IFERROR(__xludf.DUMMYFUNCTION("""COMPUTED_VALUE"""),"")</f>
        <v/>
      </c>
      <c r="F1566" s="4" t="str">
        <f>IFERROR(__xludf.DUMMYFUNCTION("""COMPUTED_VALUE"""),"")</f>
        <v/>
      </c>
      <c r="G1566" s="4" t="str">
        <f>IFERROR(__xludf.DUMMYFUNCTION("""COMPUTED_VALUE"""),"")</f>
        <v/>
      </c>
      <c r="H1566" s="4" t="str">
        <f>IFERROR(__xludf.DUMMYFUNCTION("""COMPUTED_VALUE"""),"")</f>
        <v/>
      </c>
      <c r="I1566" s="4" t="str">
        <f>IFERROR(__xludf.DUMMYFUNCTION("""COMPUTED_VALUE"""),"")</f>
        <v/>
      </c>
      <c r="J1566" s="4" t="str">
        <f>IFERROR(__xludf.DUMMYFUNCTION("""COMPUTED_VALUE"""),"")</f>
        <v/>
      </c>
      <c r="K1566" s="4" t="str">
        <f>IFERROR(__xludf.DUMMYFUNCTION("""COMPUTED_VALUE"""),"")</f>
        <v/>
      </c>
      <c r="L1566" s="4" t="str">
        <f>IFERROR(__xludf.DUMMYFUNCTION("""COMPUTED_VALUE"""),"")</f>
        <v/>
      </c>
      <c r="M1566" s="4" t="str">
        <f>IFERROR(__xludf.DUMMYFUNCTION("""COMPUTED_VALUE"""),"")</f>
        <v/>
      </c>
      <c r="N1566" s="4" t="str">
        <f>IFERROR(__xludf.DUMMYFUNCTION("""COMPUTED_VALUE"""),"")</f>
        <v/>
      </c>
      <c r="O1566" s="4" t="str">
        <f>IFERROR(__xludf.DUMMYFUNCTION("""COMPUTED_VALUE"""),"")</f>
        <v/>
      </c>
      <c r="P1566" s="4" t="str">
        <f>IFERROR(__xludf.DUMMYFUNCTION("""COMPUTED_VALUE"""),"")</f>
        <v/>
      </c>
      <c r="Q1566" s="4" t="str">
        <f>IFERROR(__xludf.DUMMYFUNCTION("""COMPUTED_VALUE"""),"")</f>
        <v/>
      </c>
      <c r="R1566" s="4" t="str">
        <f>IFERROR(__xludf.DUMMYFUNCTION("""COMPUTED_VALUE"""),"")</f>
        <v/>
      </c>
      <c r="S1566" s="4" t="str">
        <f>IFERROR(__xludf.DUMMYFUNCTION("""COMPUTED_VALUE"""),"")</f>
        <v/>
      </c>
      <c r="T1566" s="4" t="str">
        <f>IFERROR(__xludf.DUMMYFUNCTION("""COMPUTED_VALUE"""),"")</f>
        <v/>
      </c>
      <c r="U1566" s="4" t="str">
        <f>IFERROR(__xludf.DUMMYFUNCTION("""COMPUTED_VALUE"""),"")</f>
        <v/>
      </c>
      <c r="V1566" s="4" t="str">
        <f>IFERROR(__xludf.DUMMYFUNCTION("""COMPUTED_VALUE"""),"")</f>
        <v/>
      </c>
      <c r="W1566" s="4" t="str">
        <f>IFERROR(__xludf.DUMMYFUNCTION("""COMPUTED_VALUE"""),"")</f>
        <v/>
      </c>
      <c r="X1566" s="4" t="str">
        <f>IFERROR(__xludf.DUMMYFUNCTION("""COMPUTED_VALUE"""),"")</f>
        <v/>
      </c>
      <c r="Y1566" s="4" t="str">
        <f>IFERROR(__xludf.DUMMYFUNCTION("""COMPUTED_VALUE"""),"")</f>
        <v/>
      </c>
    </row>
    <row r="1567">
      <c r="A1567" s="4" t="str">
        <f>IFERROR(__xludf.DUMMYFUNCTION("""COMPUTED_VALUE"""),"2118 - Channel")</f>
        <v>2118 - Channel</v>
      </c>
      <c r="B1567" s="4" t="str">
        <f>IFERROR(__xludf.DUMMYFUNCTION("""COMPUTED_VALUE"""),"")</f>
        <v/>
      </c>
      <c r="C1567" s="4" t="str">
        <f>IFERROR(__xludf.DUMMYFUNCTION("""COMPUTED_VALUE"""),"")</f>
        <v/>
      </c>
      <c r="D1567" s="4" t="str">
        <f>IFERROR(__xludf.DUMMYFUNCTION("""COMPUTED_VALUE"""),"")</f>
        <v/>
      </c>
      <c r="E1567" s="4" t="str">
        <f>IFERROR(__xludf.DUMMYFUNCTION("""COMPUTED_VALUE"""),"")</f>
        <v/>
      </c>
      <c r="F1567" s="4" t="str">
        <f>IFERROR(__xludf.DUMMYFUNCTION("""COMPUTED_VALUE"""),"")</f>
        <v/>
      </c>
      <c r="G1567" s="4" t="str">
        <f>IFERROR(__xludf.DUMMYFUNCTION("""COMPUTED_VALUE"""),"")</f>
        <v/>
      </c>
      <c r="H1567" s="4" t="str">
        <f>IFERROR(__xludf.DUMMYFUNCTION("""COMPUTED_VALUE"""),"")</f>
        <v/>
      </c>
      <c r="I1567" s="4" t="str">
        <f>IFERROR(__xludf.DUMMYFUNCTION("""COMPUTED_VALUE"""),"")</f>
        <v/>
      </c>
      <c r="J1567" s="4" t="str">
        <f>IFERROR(__xludf.DUMMYFUNCTION("""COMPUTED_VALUE"""),"")</f>
        <v/>
      </c>
      <c r="K1567" s="4" t="str">
        <f>IFERROR(__xludf.DUMMYFUNCTION("""COMPUTED_VALUE"""),"")</f>
        <v/>
      </c>
      <c r="L1567" s="4" t="str">
        <f>IFERROR(__xludf.DUMMYFUNCTION("""COMPUTED_VALUE"""),"")</f>
        <v/>
      </c>
      <c r="M1567" s="4" t="str">
        <f>IFERROR(__xludf.DUMMYFUNCTION("""COMPUTED_VALUE"""),"")</f>
        <v/>
      </c>
      <c r="N1567" s="4" t="str">
        <f>IFERROR(__xludf.DUMMYFUNCTION("""COMPUTED_VALUE"""),"")</f>
        <v/>
      </c>
      <c r="O1567" s="4" t="str">
        <f>IFERROR(__xludf.DUMMYFUNCTION("""COMPUTED_VALUE"""),"")</f>
        <v/>
      </c>
      <c r="P1567" s="4" t="str">
        <f>IFERROR(__xludf.DUMMYFUNCTION("""COMPUTED_VALUE"""),"")</f>
        <v/>
      </c>
      <c r="Q1567" s="4" t="str">
        <f>IFERROR(__xludf.DUMMYFUNCTION("""COMPUTED_VALUE"""),"")</f>
        <v/>
      </c>
      <c r="R1567" s="4" t="str">
        <f>IFERROR(__xludf.DUMMYFUNCTION("""COMPUTED_VALUE"""),"")</f>
        <v/>
      </c>
      <c r="S1567" s="4" t="str">
        <f>IFERROR(__xludf.DUMMYFUNCTION("""COMPUTED_VALUE"""),"")</f>
        <v/>
      </c>
      <c r="T1567" s="4" t="str">
        <f>IFERROR(__xludf.DUMMYFUNCTION("""COMPUTED_VALUE"""),"")</f>
        <v/>
      </c>
      <c r="U1567" s="4" t="str">
        <f>IFERROR(__xludf.DUMMYFUNCTION("""COMPUTED_VALUE"""),"")</f>
        <v/>
      </c>
      <c r="V1567" s="4" t="str">
        <f>IFERROR(__xludf.DUMMYFUNCTION("""COMPUTED_VALUE"""),"")</f>
        <v/>
      </c>
      <c r="W1567" s="4" t="str">
        <f>IFERROR(__xludf.DUMMYFUNCTION("""COMPUTED_VALUE"""),"")</f>
        <v/>
      </c>
      <c r="X1567" s="4" t="str">
        <f>IFERROR(__xludf.DUMMYFUNCTION("""COMPUTED_VALUE"""),"")</f>
        <v/>
      </c>
      <c r="Y1567" s="4" t="str">
        <f>IFERROR(__xludf.DUMMYFUNCTION("""COMPUTED_VALUE"""),"")</f>
        <v/>
      </c>
    </row>
    <row r="1568">
      <c r="A1568" s="4" t="str">
        <f>IFERROR(__xludf.DUMMYFUNCTION("""COMPUTED_VALUE"""),"2119 - Channel")</f>
        <v>2119 - Channel</v>
      </c>
      <c r="B1568" s="4" t="str">
        <f>IFERROR(__xludf.DUMMYFUNCTION("""COMPUTED_VALUE"""),"")</f>
        <v/>
      </c>
      <c r="C1568" s="4" t="str">
        <f>IFERROR(__xludf.DUMMYFUNCTION("""COMPUTED_VALUE"""),"")</f>
        <v/>
      </c>
      <c r="D1568" s="4" t="str">
        <f>IFERROR(__xludf.DUMMYFUNCTION("""COMPUTED_VALUE"""),"")</f>
        <v/>
      </c>
      <c r="E1568" s="4" t="str">
        <f>IFERROR(__xludf.DUMMYFUNCTION("""COMPUTED_VALUE"""),"")</f>
        <v/>
      </c>
      <c r="F1568" s="4" t="str">
        <f>IFERROR(__xludf.DUMMYFUNCTION("""COMPUTED_VALUE"""),"")</f>
        <v/>
      </c>
      <c r="G1568" s="4" t="str">
        <f>IFERROR(__xludf.DUMMYFUNCTION("""COMPUTED_VALUE"""),"")</f>
        <v/>
      </c>
      <c r="H1568" s="4" t="str">
        <f>IFERROR(__xludf.DUMMYFUNCTION("""COMPUTED_VALUE"""),"")</f>
        <v/>
      </c>
      <c r="I1568" s="4" t="str">
        <f>IFERROR(__xludf.DUMMYFUNCTION("""COMPUTED_VALUE"""),"")</f>
        <v/>
      </c>
      <c r="J1568" s="4" t="str">
        <f>IFERROR(__xludf.DUMMYFUNCTION("""COMPUTED_VALUE"""),"")</f>
        <v/>
      </c>
      <c r="K1568" s="4" t="str">
        <f>IFERROR(__xludf.DUMMYFUNCTION("""COMPUTED_VALUE"""),"")</f>
        <v/>
      </c>
      <c r="L1568" s="4" t="str">
        <f>IFERROR(__xludf.DUMMYFUNCTION("""COMPUTED_VALUE"""),"")</f>
        <v/>
      </c>
      <c r="M1568" s="4" t="str">
        <f>IFERROR(__xludf.DUMMYFUNCTION("""COMPUTED_VALUE"""),"")</f>
        <v/>
      </c>
      <c r="N1568" s="4" t="str">
        <f>IFERROR(__xludf.DUMMYFUNCTION("""COMPUTED_VALUE"""),"")</f>
        <v/>
      </c>
      <c r="O1568" s="4" t="str">
        <f>IFERROR(__xludf.DUMMYFUNCTION("""COMPUTED_VALUE"""),"")</f>
        <v/>
      </c>
      <c r="P1568" s="4" t="str">
        <f>IFERROR(__xludf.DUMMYFUNCTION("""COMPUTED_VALUE"""),"")</f>
        <v/>
      </c>
      <c r="Q1568" s="4" t="str">
        <f>IFERROR(__xludf.DUMMYFUNCTION("""COMPUTED_VALUE"""),"")</f>
        <v/>
      </c>
      <c r="R1568" s="4" t="str">
        <f>IFERROR(__xludf.DUMMYFUNCTION("""COMPUTED_VALUE"""),"")</f>
        <v/>
      </c>
      <c r="S1568" s="4" t="str">
        <f>IFERROR(__xludf.DUMMYFUNCTION("""COMPUTED_VALUE"""),"")</f>
        <v/>
      </c>
      <c r="T1568" s="4" t="str">
        <f>IFERROR(__xludf.DUMMYFUNCTION("""COMPUTED_VALUE"""),"")</f>
        <v/>
      </c>
      <c r="U1568" s="4" t="str">
        <f>IFERROR(__xludf.DUMMYFUNCTION("""COMPUTED_VALUE"""),"")</f>
        <v/>
      </c>
      <c r="V1568" s="4" t="str">
        <f>IFERROR(__xludf.DUMMYFUNCTION("""COMPUTED_VALUE"""),"")</f>
        <v/>
      </c>
      <c r="W1568" s="4" t="str">
        <f>IFERROR(__xludf.DUMMYFUNCTION("""COMPUTED_VALUE"""),"")</f>
        <v/>
      </c>
      <c r="X1568" s="4" t="str">
        <f>IFERROR(__xludf.DUMMYFUNCTION("""COMPUTED_VALUE"""),"")</f>
        <v/>
      </c>
      <c r="Y1568" s="4" t="str">
        <f>IFERROR(__xludf.DUMMYFUNCTION("""COMPUTED_VALUE"""),"")</f>
        <v/>
      </c>
    </row>
    <row r="1569">
      <c r="A1569" s="4" t="str">
        <f>IFERROR(__xludf.DUMMYFUNCTION("""COMPUTED_VALUE"""),"2120 - Channel")</f>
        <v>2120 - Channel</v>
      </c>
      <c r="B1569" s="4" t="str">
        <f>IFERROR(__xludf.DUMMYFUNCTION("""COMPUTED_VALUE"""),"")</f>
        <v/>
      </c>
      <c r="C1569" s="4" t="str">
        <f>IFERROR(__xludf.DUMMYFUNCTION("""COMPUTED_VALUE"""),"")</f>
        <v/>
      </c>
      <c r="D1569" s="4" t="str">
        <f>IFERROR(__xludf.DUMMYFUNCTION("""COMPUTED_VALUE"""),"")</f>
        <v/>
      </c>
      <c r="E1569" s="4" t="str">
        <f>IFERROR(__xludf.DUMMYFUNCTION("""COMPUTED_VALUE"""),"")</f>
        <v/>
      </c>
      <c r="F1569" s="4" t="str">
        <f>IFERROR(__xludf.DUMMYFUNCTION("""COMPUTED_VALUE"""),"")</f>
        <v/>
      </c>
      <c r="G1569" s="4" t="str">
        <f>IFERROR(__xludf.DUMMYFUNCTION("""COMPUTED_VALUE"""),"")</f>
        <v/>
      </c>
      <c r="H1569" s="4" t="str">
        <f>IFERROR(__xludf.DUMMYFUNCTION("""COMPUTED_VALUE"""),"")</f>
        <v/>
      </c>
      <c r="I1569" s="4" t="str">
        <f>IFERROR(__xludf.DUMMYFUNCTION("""COMPUTED_VALUE"""),"")</f>
        <v/>
      </c>
      <c r="J1569" s="4" t="str">
        <f>IFERROR(__xludf.DUMMYFUNCTION("""COMPUTED_VALUE"""),"")</f>
        <v/>
      </c>
      <c r="K1569" s="4" t="str">
        <f>IFERROR(__xludf.DUMMYFUNCTION("""COMPUTED_VALUE"""),"")</f>
        <v/>
      </c>
      <c r="L1569" s="4" t="str">
        <f>IFERROR(__xludf.DUMMYFUNCTION("""COMPUTED_VALUE"""),"")</f>
        <v/>
      </c>
      <c r="M1569" s="4" t="str">
        <f>IFERROR(__xludf.DUMMYFUNCTION("""COMPUTED_VALUE"""),"")</f>
        <v/>
      </c>
      <c r="N1569" s="4" t="str">
        <f>IFERROR(__xludf.DUMMYFUNCTION("""COMPUTED_VALUE"""),"")</f>
        <v/>
      </c>
      <c r="O1569" s="4" t="str">
        <f>IFERROR(__xludf.DUMMYFUNCTION("""COMPUTED_VALUE"""),"")</f>
        <v/>
      </c>
      <c r="P1569" s="4" t="str">
        <f>IFERROR(__xludf.DUMMYFUNCTION("""COMPUTED_VALUE"""),"")</f>
        <v/>
      </c>
      <c r="Q1569" s="4" t="str">
        <f>IFERROR(__xludf.DUMMYFUNCTION("""COMPUTED_VALUE"""),"")</f>
        <v/>
      </c>
      <c r="R1569" s="4" t="str">
        <f>IFERROR(__xludf.DUMMYFUNCTION("""COMPUTED_VALUE"""),"")</f>
        <v/>
      </c>
      <c r="S1569" s="4" t="str">
        <f>IFERROR(__xludf.DUMMYFUNCTION("""COMPUTED_VALUE"""),"")</f>
        <v/>
      </c>
      <c r="T1569" s="4" t="str">
        <f>IFERROR(__xludf.DUMMYFUNCTION("""COMPUTED_VALUE"""),"")</f>
        <v/>
      </c>
      <c r="U1569" s="4" t="str">
        <f>IFERROR(__xludf.DUMMYFUNCTION("""COMPUTED_VALUE"""),"")</f>
        <v/>
      </c>
      <c r="V1569" s="4" t="str">
        <f>IFERROR(__xludf.DUMMYFUNCTION("""COMPUTED_VALUE"""),"")</f>
        <v/>
      </c>
      <c r="W1569" s="4" t="str">
        <f>IFERROR(__xludf.DUMMYFUNCTION("""COMPUTED_VALUE"""),"")</f>
        <v/>
      </c>
      <c r="X1569" s="4" t="str">
        <f>IFERROR(__xludf.DUMMYFUNCTION("""COMPUTED_VALUE"""),"")</f>
        <v/>
      </c>
      <c r="Y1569" s="4" t="str">
        <f>IFERROR(__xludf.DUMMYFUNCTION("""COMPUTED_VALUE"""),"")</f>
        <v/>
      </c>
    </row>
    <row r="1570">
      <c r="A1570" s="4" t="str">
        <f>IFERROR(__xludf.DUMMYFUNCTION("""COMPUTED_VALUE"""),"2121 - Channel")</f>
        <v>2121 - Channel</v>
      </c>
      <c r="B1570" s="4" t="str">
        <f>IFERROR(__xludf.DUMMYFUNCTION("""COMPUTED_VALUE"""),"")</f>
        <v/>
      </c>
      <c r="C1570" s="4" t="str">
        <f>IFERROR(__xludf.DUMMYFUNCTION("""COMPUTED_VALUE"""),"")</f>
        <v/>
      </c>
      <c r="D1570" s="4" t="str">
        <f>IFERROR(__xludf.DUMMYFUNCTION("""COMPUTED_VALUE"""),"")</f>
        <v/>
      </c>
      <c r="E1570" s="4" t="str">
        <f>IFERROR(__xludf.DUMMYFUNCTION("""COMPUTED_VALUE"""),"")</f>
        <v/>
      </c>
      <c r="F1570" s="4" t="str">
        <f>IFERROR(__xludf.DUMMYFUNCTION("""COMPUTED_VALUE"""),"")</f>
        <v/>
      </c>
      <c r="G1570" s="4" t="str">
        <f>IFERROR(__xludf.DUMMYFUNCTION("""COMPUTED_VALUE"""),"")</f>
        <v/>
      </c>
      <c r="H1570" s="4" t="str">
        <f>IFERROR(__xludf.DUMMYFUNCTION("""COMPUTED_VALUE"""),"")</f>
        <v/>
      </c>
      <c r="I1570" s="4" t="str">
        <f>IFERROR(__xludf.DUMMYFUNCTION("""COMPUTED_VALUE"""),"")</f>
        <v/>
      </c>
      <c r="J1570" s="4" t="str">
        <f>IFERROR(__xludf.DUMMYFUNCTION("""COMPUTED_VALUE"""),"")</f>
        <v/>
      </c>
      <c r="K1570" s="4" t="str">
        <f>IFERROR(__xludf.DUMMYFUNCTION("""COMPUTED_VALUE"""),"")</f>
        <v/>
      </c>
      <c r="L1570" s="4" t="str">
        <f>IFERROR(__xludf.DUMMYFUNCTION("""COMPUTED_VALUE"""),"")</f>
        <v/>
      </c>
      <c r="M1570" s="4" t="str">
        <f>IFERROR(__xludf.DUMMYFUNCTION("""COMPUTED_VALUE"""),"")</f>
        <v/>
      </c>
      <c r="N1570" s="4" t="str">
        <f>IFERROR(__xludf.DUMMYFUNCTION("""COMPUTED_VALUE"""),"")</f>
        <v/>
      </c>
      <c r="O1570" s="4" t="str">
        <f>IFERROR(__xludf.DUMMYFUNCTION("""COMPUTED_VALUE"""),"")</f>
        <v/>
      </c>
      <c r="P1570" s="4" t="str">
        <f>IFERROR(__xludf.DUMMYFUNCTION("""COMPUTED_VALUE"""),"")</f>
        <v/>
      </c>
      <c r="Q1570" s="4" t="str">
        <f>IFERROR(__xludf.DUMMYFUNCTION("""COMPUTED_VALUE"""),"")</f>
        <v/>
      </c>
      <c r="R1570" s="4" t="str">
        <f>IFERROR(__xludf.DUMMYFUNCTION("""COMPUTED_VALUE"""),"")</f>
        <v/>
      </c>
      <c r="S1570" s="4" t="str">
        <f>IFERROR(__xludf.DUMMYFUNCTION("""COMPUTED_VALUE"""),"")</f>
        <v/>
      </c>
      <c r="T1570" s="4" t="str">
        <f>IFERROR(__xludf.DUMMYFUNCTION("""COMPUTED_VALUE"""),"")</f>
        <v/>
      </c>
      <c r="U1570" s="4" t="str">
        <f>IFERROR(__xludf.DUMMYFUNCTION("""COMPUTED_VALUE"""),"")</f>
        <v/>
      </c>
      <c r="V1570" s="4" t="str">
        <f>IFERROR(__xludf.DUMMYFUNCTION("""COMPUTED_VALUE"""),"")</f>
        <v/>
      </c>
      <c r="W1570" s="4" t="str">
        <f>IFERROR(__xludf.DUMMYFUNCTION("""COMPUTED_VALUE"""),"")</f>
        <v/>
      </c>
      <c r="X1570" s="4" t="str">
        <f>IFERROR(__xludf.DUMMYFUNCTION("""COMPUTED_VALUE"""),"")</f>
        <v/>
      </c>
      <c r="Y1570" s="4" t="str">
        <f>IFERROR(__xludf.DUMMYFUNCTION("""COMPUTED_VALUE"""),"")</f>
        <v/>
      </c>
    </row>
    <row r="1571">
      <c r="A1571" s="4" t="str">
        <f>IFERROR(__xludf.DUMMYFUNCTION("""COMPUTED_VALUE"""),"2122 - Channel")</f>
        <v>2122 - Channel</v>
      </c>
      <c r="B1571" s="4" t="str">
        <f>IFERROR(__xludf.DUMMYFUNCTION("""COMPUTED_VALUE"""),"")</f>
        <v/>
      </c>
      <c r="C1571" s="4" t="str">
        <f>IFERROR(__xludf.DUMMYFUNCTION("""COMPUTED_VALUE"""),"")</f>
        <v/>
      </c>
      <c r="D1571" s="4" t="str">
        <f>IFERROR(__xludf.DUMMYFUNCTION("""COMPUTED_VALUE"""),"")</f>
        <v/>
      </c>
      <c r="E1571" s="4" t="str">
        <f>IFERROR(__xludf.DUMMYFUNCTION("""COMPUTED_VALUE"""),"")</f>
        <v/>
      </c>
      <c r="F1571" s="4" t="str">
        <f>IFERROR(__xludf.DUMMYFUNCTION("""COMPUTED_VALUE"""),"")</f>
        <v/>
      </c>
      <c r="G1571" s="4" t="str">
        <f>IFERROR(__xludf.DUMMYFUNCTION("""COMPUTED_VALUE"""),"")</f>
        <v/>
      </c>
      <c r="H1571" s="4" t="str">
        <f>IFERROR(__xludf.DUMMYFUNCTION("""COMPUTED_VALUE"""),"")</f>
        <v/>
      </c>
      <c r="I1571" s="4" t="str">
        <f>IFERROR(__xludf.DUMMYFUNCTION("""COMPUTED_VALUE"""),"")</f>
        <v/>
      </c>
      <c r="J1571" s="4" t="str">
        <f>IFERROR(__xludf.DUMMYFUNCTION("""COMPUTED_VALUE"""),"")</f>
        <v/>
      </c>
      <c r="K1571" s="4" t="str">
        <f>IFERROR(__xludf.DUMMYFUNCTION("""COMPUTED_VALUE"""),"")</f>
        <v/>
      </c>
      <c r="L1571" s="4" t="str">
        <f>IFERROR(__xludf.DUMMYFUNCTION("""COMPUTED_VALUE"""),"")</f>
        <v/>
      </c>
      <c r="M1571" s="4" t="str">
        <f>IFERROR(__xludf.DUMMYFUNCTION("""COMPUTED_VALUE"""),"")</f>
        <v/>
      </c>
      <c r="N1571" s="4" t="str">
        <f>IFERROR(__xludf.DUMMYFUNCTION("""COMPUTED_VALUE"""),"")</f>
        <v/>
      </c>
      <c r="O1571" s="4" t="str">
        <f>IFERROR(__xludf.DUMMYFUNCTION("""COMPUTED_VALUE"""),"")</f>
        <v/>
      </c>
      <c r="P1571" s="4" t="str">
        <f>IFERROR(__xludf.DUMMYFUNCTION("""COMPUTED_VALUE"""),"")</f>
        <v/>
      </c>
      <c r="Q1571" s="4" t="str">
        <f>IFERROR(__xludf.DUMMYFUNCTION("""COMPUTED_VALUE"""),"")</f>
        <v/>
      </c>
      <c r="R1571" s="4" t="str">
        <f>IFERROR(__xludf.DUMMYFUNCTION("""COMPUTED_VALUE"""),"")</f>
        <v/>
      </c>
      <c r="S1571" s="4" t="str">
        <f>IFERROR(__xludf.DUMMYFUNCTION("""COMPUTED_VALUE"""),"")</f>
        <v/>
      </c>
      <c r="T1571" s="4" t="str">
        <f>IFERROR(__xludf.DUMMYFUNCTION("""COMPUTED_VALUE"""),"")</f>
        <v/>
      </c>
      <c r="U1571" s="4" t="str">
        <f>IFERROR(__xludf.DUMMYFUNCTION("""COMPUTED_VALUE"""),"")</f>
        <v/>
      </c>
      <c r="V1571" s="4" t="str">
        <f>IFERROR(__xludf.DUMMYFUNCTION("""COMPUTED_VALUE"""),"")</f>
        <v/>
      </c>
      <c r="W1571" s="4" t="str">
        <f>IFERROR(__xludf.DUMMYFUNCTION("""COMPUTED_VALUE"""),"")</f>
        <v/>
      </c>
      <c r="X1571" s="4" t="str">
        <f>IFERROR(__xludf.DUMMYFUNCTION("""COMPUTED_VALUE"""),"")</f>
        <v/>
      </c>
      <c r="Y1571" s="4" t="str">
        <f>IFERROR(__xludf.DUMMYFUNCTION("""COMPUTED_VALUE"""),"")</f>
        <v/>
      </c>
    </row>
    <row r="1572">
      <c r="A1572" s="4" t="str">
        <f>IFERROR(__xludf.DUMMYFUNCTION("""COMPUTED_VALUE"""),"2123 - Channel")</f>
        <v>2123 - Channel</v>
      </c>
      <c r="B1572" s="4" t="str">
        <f>IFERROR(__xludf.DUMMYFUNCTION("""COMPUTED_VALUE"""),"")</f>
        <v/>
      </c>
      <c r="C1572" s="4" t="str">
        <f>IFERROR(__xludf.DUMMYFUNCTION("""COMPUTED_VALUE"""),"")</f>
        <v/>
      </c>
      <c r="D1572" s="4" t="str">
        <f>IFERROR(__xludf.DUMMYFUNCTION("""COMPUTED_VALUE"""),"")</f>
        <v/>
      </c>
      <c r="E1572" s="4" t="str">
        <f>IFERROR(__xludf.DUMMYFUNCTION("""COMPUTED_VALUE"""),"")</f>
        <v/>
      </c>
      <c r="F1572" s="4" t="str">
        <f>IFERROR(__xludf.DUMMYFUNCTION("""COMPUTED_VALUE"""),"")</f>
        <v/>
      </c>
      <c r="G1572" s="4" t="str">
        <f>IFERROR(__xludf.DUMMYFUNCTION("""COMPUTED_VALUE"""),"")</f>
        <v/>
      </c>
      <c r="H1572" s="4" t="str">
        <f>IFERROR(__xludf.DUMMYFUNCTION("""COMPUTED_VALUE"""),"")</f>
        <v/>
      </c>
      <c r="I1572" s="4" t="str">
        <f>IFERROR(__xludf.DUMMYFUNCTION("""COMPUTED_VALUE"""),"")</f>
        <v/>
      </c>
      <c r="J1572" s="4" t="str">
        <f>IFERROR(__xludf.DUMMYFUNCTION("""COMPUTED_VALUE"""),"")</f>
        <v/>
      </c>
      <c r="K1572" s="4" t="str">
        <f>IFERROR(__xludf.DUMMYFUNCTION("""COMPUTED_VALUE"""),"")</f>
        <v/>
      </c>
      <c r="L1572" s="4" t="str">
        <f>IFERROR(__xludf.DUMMYFUNCTION("""COMPUTED_VALUE"""),"")</f>
        <v/>
      </c>
      <c r="M1572" s="4" t="str">
        <f>IFERROR(__xludf.DUMMYFUNCTION("""COMPUTED_VALUE"""),"")</f>
        <v/>
      </c>
      <c r="N1572" s="4" t="str">
        <f>IFERROR(__xludf.DUMMYFUNCTION("""COMPUTED_VALUE"""),"")</f>
        <v/>
      </c>
      <c r="O1572" s="4" t="str">
        <f>IFERROR(__xludf.DUMMYFUNCTION("""COMPUTED_VALUE"""),"")</f>
        <v/>
      </c>
      <c r="P1572" s="4" t="str">
        <f>IFERROR(__xludf.DUMMYFUNCTION("""COMPUTED_VALUE"""),"")</f>
        <v/>
      </c>
      <c r="Q1572" s="4" t="str">
        <f>IFERROR(__xludf.DUMMYFUNCTION("""COMPUTED_VALUE"""),"")</f>
        <v/>
      </c>
      <c r="R1572" s="4" t="str">
        <f>IFERROR(__xludf.DUMMYFUNCTION("""COMPUTED_VALUE"""),"")</f>
        <v/>
      </c>
      <c r="S1572" s="4" t="str">
        <f>IFERROR(__xludf.DUMMYFUNCTION("""COMPUTED_VALUE"""),"")</f>
        <v/>
      </c>
      <c r="T1572" s="4" t="str">
        <f>IFERROR(__xludf.DUMMYFUNCTION("""COMPUTED_VALUE"""),"")</f>
        <v/>
      </c>
      <c r="U1572" s="4" t="str">
        <f>IFERROR(__xludf.DUMMYFUNCTION("""COMPUTED_VALUE"""),"")</f>
        <v/>
      </c>
      <c r="V1572" s="4" t="str">
        <f>IFERROR(__xludf.DUMMYFUNCTION("""COMPUTED_VALUE"""),"")</f>
        <v/>
      </c>
      <c r="W1572" s="4" t="str">
        <f>IFERROR(__xludf.DUMMYFUNCTION("""COMPUTED_VALUE"""),"")</f>
        <v/>
      </c>
      <c r="X1572" s="4" t="str">
        <f>IFERROR(__xludf.DUMMYFUNCTION("""COMPUTED_VALUE"""),"")</f>
        <v/>
      </c>
      <c r="Y1572" s="4" t="str">
        <f>IFERROR(__xludf.DUMMYFUNCTION("""COMPUTED_VALUE"""),"")</f>
        <v/>
      </c>
    </row>
    <row r="1573">
      <c r="A1573" s="4" t="str">
        <f>IFERROR(__xludf.DUMMYFUNCTION("""COMPUTED_VALUE"""),"2124 - Channel")</f>
        <v>2124 - Channel</v>
      </c>
      <c r="B1573" s="4" t="str">
        <f>IFERROR(__xludf.DUMMYFUNCTION("""COMPUTED_VALUE"""),"")</f>
        <v/>
      </c>
      <c r="C1573" s="4" t="str">
        <f>IFERROR(__xludf.DUMMYFUNCTION("""COMPUTED_VALUE"""),"")</f>
        <v/>
      </c>
      <c r="D1573" s="4" t="str">
        <f>IFERROR(__xludf.DUMMYFUNCTION("""COMPUTED_VALUE"""),"")</f>
        <v/>
      </c>
      <c r="E1573" s="4" t="str">
        <f>IFERROR(__xludf.DUMMYFUNCTION("""COMPUTED_VALUE"""),"")</f>
        <v/>
      </c>
      <c r="F1573" s="4" t="str">
        <f>IFERROR(__xludf.DUMMYFUNCTION("""COMPUTED_VALUE"""),"")</f>
        <v/>
      </c>
      <c r="G1573" s="4" t="str">
        <f>IFERROR(__xludf.DUMMYFUNCTION("""COMPUTED_VALUE"""),"")</f>
        <v/>
      </c>
      <c r="H1573" s="4" t="str">
        <f>IFERROR(__xludf.DUMMYFUNCTION("""COMPUTED_VALUE"""),"")</f>
        <v/>
      </c>
      <c r="I1573" s="4" t="str">
        <f>IFERROR(__xludf.DUMMYFUNCTION("""COMPUTED_VALUE"""),"")</f>
        <v/>
      </c>
      <c r="J1573" s="4" t="str">
        <f>IFERROR(__xludf.DUMMYFUNCTION("""COMPUTED_VALUE"""),"")</f>
        <v/>
      </c>
      <c r="K1573" s="4" t="str">
        <f>IFERROR(__xludf.DUMMYFUNCTION("""COMPUTED_VALUE"""),"")</f>
        <v/>
      </c>
      <c r="L1573" s="4" t="str">
        <f>IFERROR(__xludf.DUMMYFUNCTION("""COMPUTED_VALUE"""),"")</f>
        <v/>
      </c>
      <c r="M1573" s="4" t="str">
        <f>IFERROR(__xludf.DUMMYFUNCTION("""COMPUTED_VALUE"""),"")</f>
        <v/>
      </c>
      <c r="N1573" s="4" t="str">
        <f>IFERROR(__xludf.DUMMYFUNCTION("""COMPUTED_VALUE"""),"")</f>
        <v/>
      </c>
      <c r="O1573" s="4" t="str">
        <f>IFERROR(__xludf.DUMMYFUNCTION("""COMPUTED_VALUE"""),"")</f>
        <v/>
      </c>
      <c r="P1573" s="4" t="str">
        <f>IFERROR(__xludf.DUMMYFUNCTION("""COMPUTED_VALUE"""),"")</f>
        <v/>
      </c>
      <c r="Q1573" s="4" t="str">
        <f>IFERROR(__xludf.DUMMYFUNCTION("""COMPUTED_VALUE"""),"")</f>
        <v/>
      </c>
      <c r="R1573" s="4" t="str">
        <f>IFERROR(__xludf.DUMMYFUNCTION("""COMPUTED_VALUE"""),"")</f>
        <v/>
      </c>
      <c r="S1573" s="4" t="str">
        <f>IFERROR(__xludf.DUMMYFUNCTION("""COMPUTED_VALUE"""),"")</f>
        <v/>
      </c>
      <c r="T1573" s="4" t="str">
        <f>IFERROR(__xludf.DUMMYFUNCTION("""COMPUTED_VALUE"""),"")</f>
        <v/>
      </c>
      <c r="U1573" s="4" t="str">
        <f>IFERROR(__xludf.DUMMYFUNCTION("""COMPUTED_VALUE"""),"")</f>
        <v/>
      </c>
      <c r="V1573" s="4" t="str">
        <f>IFERROR(__xludf.DUMMYFUNCTION("""COMPUTED_VALUE"""),"")</f>
        <v/>
      </c>
      <c r="W1573" s="4" t="str">
        <f>IFERROR(__xludf.DUMMYFUNCTION("""COMPUTED_VALUE"""),"")</f>
        <v/>
      </c>
      <c r="X1573" s="4" t="str">
        <f>IFERROR(__xludf.DUMMYFUNCTION("""COMPUTED_VALUE"""),"")</f>
        <v/>
      </c>
      <c r="Y1573" s="4" t="str">
        <f>IFERROR(__xludf.DUMMYFUNCTION("""COMPUTED_VALUE"""),"")</f>
        <v/>
      </c>
    </row>
    <row r="1574">
      <c r="A1574" s="4" t="str">
        <f>IFERROR(__xludf.DUMMYFUNCTION("""COMPUTED_VALUE"""),"2125 - Channel")</f>
        <v>2125 - Channel</v>
      </c>
      <c r="B1574" s="4" t="str">
        <f>IFERROR(__xludf.DUMMYFUNCTION("""COMPUTED_VALUE"""),"")</f>
        <v/>
      </c>
      <c r="C1574" s="4" t="str">
        <f>IFERROR(__xludf.DUMMYFUNCTION("""COMPUTED_VALUE"""),"")</f>
        <v/>
      </c>
      <c r="D1574" s="4" t="str">
        <f>IFERROR(__xludf.DUMMYFUNCTION("""COMPUTED_VALUE"""),"")</f>
        <v/>
      </c>
      <c r="E1574" s="4" t="str">
        <f>IFERROR(__xludf.DUMMYFUNCTION("""COMPUTED_VALUE"""),"")</f>
        <v/>
      </c>
      <c r="F1574" s="4" t="str">
        <f>IFERROR(__xludf.DUMMYFUNCTION("""COMPUTED_VALUE"""),"")</f>
        <v/>
      </c>
      <c r="G1574" s="4" t="str">
        <f>IFERROR(__xludf.DUMMYFUNCTION("""COMPUTED_VALUE"""),"")</f>
        <v/>
      </c>
      <c r="H1574" s="4" t="str">
        <f>IFERROR(__xludf.DUMMYFUNCTION("""COMPUTED_VALUE"""),"")</f>
        <v/>
      </c>
      <c r="I1574" s="4" t="str">
        <f>IFERROR(__xludf.DUMMYFUNCTION("""COMPUTED_VALUE"""),"")</f>
        <v/>
      </c>
      <c r="J1574" s="4" t="str">
        <f>IFERROR(__xludf.DUMMYFUNCTION("""COMPUTED_VALUE"""),"")</f>
        <v/>
      </c>
      <c r="K1574" s="4" t="str">
        <f>IFERROR(__xludf.DUMMYFUNCTION("""COMPUTED_VALUE"""),"")</f>
        <v/>
      </c>
      <c r="L1574" s="4" t="str">
        <f>IFERROR(__xludf.DUMMYFUNCTION("""COMPUTED_VALUE"""),"")</f>
        <v/>
      </c>
      <c r="M1574" s="4" t="str">
        <f>IFERROR(__xludf.DUMMYFUNCTION("""COMPUTED_VALUE"""),"")</f>
        <v/>
      </c>
      <c r="N1574" s="4" t="str">
        <f>IFERROR(__xludf.DUMMYFUNCTION("""COMPUTED_VALUE"""),"")</f>
        <v/>
      </c>
      <c r="O1574" s="4" t="str">
        <f>IFERROR(__xludf.DUMMYFUNCTION("""COMPUTED_VALUE"""),"")</f>
        <v/>
      </c>
      <c r="P1574" s="4" t="str">
        <f>IFERROR(__xludf.DUMMYFUNCTION("""COMPUTED_VALUE"""),"")</f>
        <v/>
      </c>
      <c r="Q1574" s="4" t="str">
        <f>IFERROR(__xludf.DUMMYFUNCTION("""COMPUTED_VALUE"""),"")</f>
        <v/>
      </c>
      <c r="R1574" s="4" t="str">
        <f>IFERROR(__xludf.DUMMYFUNCTION("""COMPUTED_VALUE"""),"")</f>
        <v/>
      </c>
      <c r="S1574" s="4" t="str">
        <f>IFERROR(__xludf.DUMMYFUNCTION("""COMPUTED_VALUE"""),"")</f>
        <v/>
      </c>
      <c r="T1574" s="4" t="str">
        <f>IFERROR(__xludf.DUMMYFUNCTION("""COMPUTED_VALUE"""),"")</f>
        <v/>
      </c>
      <c r="U1574" s="4" t="str">
        <f>IFERROR(__xludf.DUMMYFUNCTION("""COMPUTED_VALUE"""),"")</f>
        <v/>
      </c>
      <c r="V1574" s="4" t="str">
        <f>IFERROR(__xludf.DUMMYFUNCTION("""COMPUTED_VALUE"""),"")</f>
        <v/>
      </c>
      <c r="W1574" s="4" t="str">
        <f>IFERROR(__xludf.DUMMYFUNCTION("""COMPUTED_VALUE"""),"")</f>
        <v/>
      </c>
      <c r="X1574" s="4" t="str">
        <f>IFERROR(__xludf.DUMMYFUNCTION("""COMPUTED_VALUE"""),"")</f>
        <v/>
      </c>
      <c r="Y1574" s="4" t="str">
        <f>IFERROR(__xludf.DUMMYFUNCTION("""COMPUTED_VALUE"""),"")</f>
        <v/>
      </c>
    </row>
    <row r="1575">
      <c r="A1575" s="4" t="str">
        <f>IFERROR(__xludf.DUMMYFUNCTION("""COMPUTED_VALUE"""),"2126 - Channel")</f>
        <v>2126 - Channel</v>
      </c>
      <c r="B1575" s="4" t="str">
        <f>IFERROR(__xludf.DUMMYFUNCTION("""COMPUTED_VALUE"""),"")</f>
        <v/>
      </c>
      <c r="C1575" s="4" t="str">
        <f>IFERROR(__xludf.DUMMYFUNCTION("""COMPUTED_VALUE"""),"")</f>
        <v/>
      </c>
      <c r="D1575" s="4" t="str">
        <f>IFERROR(__xludf.DUMMYFUNCTION("""COMPUTED_VALUE"""),"")</f>
        <v/>
      </c>
      <c r="E1575" s="4" t="str">
        <f>IFERROR(__xludf.DUMMYFUNCTION("""COMPUTED_VALUE"""),"")</f>
        <v/>
      </c>
      <c r="F1575" s="4" t="str">
        <f>IFERROR(__xludf.DUMMYFUNCTION("""COMPUTED_VALUE"""),"")</f>
        <v/>
      </c>
      <c r="G1575" s="4" t="str">
        <f>IFERROR(__xludf.DUMMYFUNCTION("""COMPUTED_VALUE"""),"")</f>
        <v/>
      </c>
      <c r="H1575" s="4" t="str">
        <f>IFERROR(__xludf.DUMMYFUNCTION("""COMPUTED_VALUE"""),"")</f>
        <v/>
      </c>
      <c r="I1575" s="4" t="str">
        <f>IFERROR(__xludf.DUMMYFUNCTION("""COMPUTED_VALUE"""),"")</f>
        <v/>
      </c>
      <c r="J1575" s="4" t="str">
        <f>IFERROR(__xludf.DUMMYFUNCTION("""COMPUTED_VALUE"""),"")</f>
        <v/>
      </c>
      <c r="K1575" s="4" t="str">
        <f>IFERROR(__xludf.DUMMYFUNCTION("""COMPUTED_VALUE"""),"")</f>
        <v/>
      </c>
      <c r="L1575" s="4" t="str">
        <f>IFERROR(__xludf.DUMMYFUNCTION("""COMPUTED_VALUE"""),"")</f>
        <v/>
      </c>
      <c r="M1575" s="4" t="str">
        <f>IFERROR(__xludf.DUMMYFUNCTION("""COMPUTED_VALUE"""),"")</f>
        <v/>
      </c>
      <c r="N1575" s="4" t="str">
        <f>IFERROR(__xludf.DUMMYFUNCTION("""COMPUTED_VALUE"""),"")</f>
        <v/>
      </c>
      <c r="O1575" s="4" t="str">
        <f>IFERROR(__xludf.DUMMYFUNCTION("""COMPUTED_VALUE"""),"")</f>
        <v/>
      </c>
      <c r="P1575" s="4" t="str">
        <f>IFERROR(__xludf.DUMMYFUNCTION("""COMPUTED_VALUE"""),"")</f>
        <v/>
      </c>
      <c r="Q1575" s="4" t="str">
        <f>IFERROR(__xludf.DUMMYFUNCTION("""COMPUTED_VALUE"""),"")</f>
        <v/>
      </c>
      <c r="R1575" s="4" t="str">
        <f>IFERROR(__xludf.DUMMYFUNCTION("""COMPUTED_VALUE"""),"")</f>
        <v/>
      </c>
      <c r="S1575" s="4" t="str">
        <f>IFERROR(__xludf.DUMMYFUNCTION("""COMPUTED_VALUE"""),"")</f>
        <v/>
      </c>
      <c r="T1575" s="4" t="str">
        <f>IFERROR(__xludf.DUMMYFUNCTION("""COMPUTED_VALUE"""),"")</f>
        <v/>
      </c>
      <c r="U1575" s="4" t="str">
        <f>IFERROR(__xludf.DUMMYFUNCTION("""COMPUTED_VALUE"""),"")</f>
        <v/>
      </c>
      <c r="V1575" s="4" t="str">
        <f>IFERROR(__xludf.DUMMYFUNCTION("""COMPUTED_VALUE"""),"")</f>
        <v/>
      </c>
      <c r="W1575" s="4" t="str">
        <f>IFERROR(__xludf.DUMMYFUNCTION("""COMPUTED_VALUE"""),"")</f>
        <v/>
      </c>
      <c r="X1575" s="4" t="str">
        <f>IFERROR(__xludf.DUMMYFUNCTION("""COMPUTED_VALUE"""),"")</f>
        <v/>
      </c>
      <c r="Y1575" s="4" t="str">
        <f>IFERROR(__xludf.DUMMYFUNCTION("""COMPUTED_VALUE"""),"")</f>
        <v/>
      </c>
    </row>
    <row r="1576">
      <c r="A1576" s="4" t="str">
        <f>IFERROR(__xludf.DUMMYFUNCTION("""COMPUTED_VALUE"""),"2127 - Channel")</f>
        <v>2127 - Channel</v>
      </c>
      <c r="B1576" s="4" t="str">
        <f>IFERROR(__xludf.DUMMYFUNCTION("""COMPUTED_VALUE"""),"")</f>
        <v/>
      </c>
      <c r="C1576" s="4" t="str">
        <f>IFERROR(__xludf.DUMMYFUNCTION("""COMPUTED_VALUE"""),"")</f>
        <v/>
      </c>
      <c r="D1576" s="4" t="str">
        <f>IFERROR(__xludf.DUMMYFUNCTION("""COMPUTED_VALUE"""),"")</f>
        <v/>
      </c>
      <c r="E1576" s="4" t="str">
        <f>IFERROR(__xludf.DUMMYFUNCTION("""COMPUTED_VALUE"""),"")</f>
        <v/>
      </c>
      <c r="F1576" s="4" t="str">
        <f>IFERROR(__xludf.DUMMYFUNCTION("""COMPUTED_VALUE"""),"")</f>
        <v/>
      </c>
      <c r="G1576" s="4" t="str">
        <f>IFERROR(__xludf.DUMMYFUNCTION("""COMPUTED_VALUE"""),"")</f>
        <v/>
      </c>
      <c r="H1576" s="4" t="str">
        <f>IFERROR(__xludf.DUMMYFUNCTION("""COMPUTED_VALUE"""),"")</f>
        <v/>
      </c>
      <c r="I1576" s="4" t="str">
        <f>IFERROR(__xludf.DUMMYFUNCTION("""COMPUTED_VALUE"""),"")</f>
        <v/>
      </c>
      <c r="J1576" s="4" t="str">
        <f>IFERROR(__xludf.DUMMYFUNCTION("""COMPUTED_VALUE"""),"")</f>
        <v/>
      </c>
      <c r="K1576" s="4" t="str">
        <f>IFERROR(__xludf.DUMMYFUNCTION("""COMPUTED_VALUE"""),"")</f>
        <v/>
      </c>
      <c r="L1576" s="4" t="str">
        <f>IFERROR(__xludf.DUMMYFUNCTION("""COMPUTED_VALUE"""),"")</f>
        <v/>
      </c>
      <c r="M1576" s="4" t="str">
        <f>IFERROR(__xludf.DUMMYFUNCTION("""COMPUTED_VALUE"""),"")</f>
        <v/>
      </c>
      <c r="N1576" s="4" t="str">
        <f>IFERROR(__xludf.DUMMYFUNCTION("""COMPUTED_VALUE"""),"")</f>
        <v/>
      </c>
      <c r="O1576" s="4" t="str">
        <f>IFERROR(__xludf.DUMMYFUNCTION("""COMPUTED_VALUE"""),"")</f>
        <v/>
      </c>
      <c r="P1576" s="4" t="str">
        <f>IFERROR(__xludf.DUMMYFUNCTION("""COMPUTED_VALUE"""),"")</f>
        <v/>
      </c>
      <c r="Q1576" s="4" t="str">
        <f>IFERROR(__xludf.DUMMYFUNCTION("""COMPUTED_VALUE"""),"")</f>
        <v/>
      </c>
      <c r="R1576" s="4" t="str">
        <f>IFERROR(__xludf.DUMMYFUNCTION("""COMPUTED_VALUE"""),"")</f>
        <v/>
      </c>
      <c r="S1576" s="4" t="str">
        <f>IFERROR(__xludf.DUMMYFUNCTION("""COMPUTED_VALUE"""),"")</f>
        <v/>
      </c>
      <c r="T1576" s="4" t="str">
        <f>IFERROR(__xludf.DUMMYFUNCTION("""COMPUTED_VALUE"""),"")</f>
        <v/>
      </c>
      <c r="U1576" s="4" t="str">
        <f>IFERROR(__xludf.DUMMYFUNCTION("""COMPUTED_VALUE"""),"")</f>
        <v/>
      </c>
      <c r="V1576" s="4" t="str">
        <f>IFERROR(__xludf.DUMMYFUNCTION("""COMPUTED_VALUE"""),"")</f>
        <v/>
      </c>
      <c r="W1576" s="4" t="str">
        <f>IFERROR(__xludf.DUMMYFUNCTION("""COMPUTED_VALUE"""),"")</f>
        <v/>
      </c>
      <c r="X1576" s="4" t="str">
        <f>IFERROR(__xludf.DUMMYFUNCTION("""COMPUTED_VALUE"""),"")</f>
        <v/>
      </c>
      <c r="Y1576" s="4" t="str">
        <f>IFERROR(__xludf.DUMMYFUNCTION("""COMPUTED_VALUE"""),"")</f>
        <v/>
      </c>
    </row>
    <row r="1577">
      <c r="A1577" s="4" t="str">
        <f>IFERROR(__xludf.DUMMYFUNCTION("""COMPUTED_VALUE"""),"2128 - Channel")</f>
        <v>2128 - Channel</v>
      </c>
      <c r="B1577" s="4" t="str">
        <f>IFERROR(__xludf.DUMMYFUNCTION("""COMPUTED_VALUE"""),"")</f>
        <v/>
      </c>
      <c r="C1577" s="4" t="str">
        <f>IFERROR(__xludf.DUMMYFUNCTION("""COMPUTED_VALUE"""),"")</f>
        <v/>
      </c>
      <c r="D1577" s="4" t="str">
        <f>IFERROR(__xludf.DUMMYFUNCTION("""COMPUTED_VALUE"""),"")</f>
        <v/>
      </c>
      <c r="E1577" s="4" t="str">
        <f>IFERROR(__xludf.DUMMYFUNCTION("""COMPUTED_VALUE"""),"")</f>
        <v/>
      </c>
      <c r="F1577" s="4" t="str">
        <f>IFERROR(__xludf.DUMMYFUNCTION("""COMPUTED_VALUE"""),"")</f>
        <v/>
      </c>
      <c r="G1577" s="4" t="str">
        <f>IFERROR(__xludf.DUMMYFUNCTION("""COMPUTED_VALUE"""),"")</f>
        <v/>
      </c>
      <c r="H1577" s="4" t="str">
        <f>IFERROR(__xludf.DUMMYFUNCTION("""COMPUTED_VALUE"""),"")</f>
        <v/>
      </c>
      <c r="I1577" s="4" t="str">
        <f>IFERROR(__xludf.DUMMYFUNCTION("""COMPUTED_VALUE"""),"")</f>
        <v/>
      </c>
      <c r="J1577" s="4" t="str">
        <f>IFERROR(__xludf.DUMMYFUNCTION("""COMPUTED_VALUE"""),"")</f>
        <v/>
      </c>
      <c r="K1577" s="4" t="str">
        <f>IFERROR(__xludf.DUMMYFUNCTION("""COMPUTED_VALUE"""),"")</f>
        <v/>
      </c>
      <c r="L1577" s="4" t="str">
        <f>IFERROR(__xludf.DUMMYFUNCTION("""COMPUTED_VALUE"""),"")</f>
        <v/>
      </c>
      <c r="M1577" s="4" t="str">
        <f>IFERROR(__xludf.DUMMYFUNCTION("""COMPUTED_VALUE"""),"")</f>
        <v/>
      </c>
      <c r="N1577" s="4" t="str">
        <f>IFERROR(__xludf.DUMMYFUNCTION("""COMPUTED_VALUE"""),"")</f>
        <v/>
      </c>
      <c r="O1577" s="4" t="str">
        <f>IFERROR(__xludf.DUMMYFUNCTION("""COMPUTED_VALUE"""),"")</f>
        <v/>
      </c>
      <c r="P1577" s="4" t="str">
        <f>IFERROR(__xludf.DUMMYFUNCTION("""COMPUTED_VALUE"""),"")</f>
        <v/>
      </c>
      <c r="Q1577" s="4" t="str">
        <f>IFERROR(__xludf.DUMMYFUNCTION("""COMPUTED_VALUE"""),"")</f>
        <v/>
      </c>
      <c r="R1577" s="4" t="str">
        <f>IFERROR(__xludf.DUMMYFUNCTION("""COMPUTED_VALUE"""),"")</f>
        <v/>
      </c>
      <c r="S1577" s="4" t="str">
        <f>IFERROR(__xludf.DUMMYFUNCTION("""COMPUTED_VALUE"""),"")</f>
        <v/>
      </c>
      <c r="T1577" s="4" t="str">
        <f>IFERROR(__xludf.DUMMYFUNCTION("""COMPUTED_VALUE"""),"")</f>
        <v/>
      </c>
      <c r="U1577" s="4" t="str">
        <f>IFERROR(__xludf.DUMMYFUNCTION("""COMPUTED_VALUE"""),"")</f>
        <v/>
      </c>
      <c r="V1577" s="4" t="str">
        <f>IFERROR(__xludf.DUMMYFUNCTION("""COMPUTED_VALUE"""),"")</f>
        <v/>
      </c>
      <c r="W1577" s="4" t="str">
        <f>IFERROR(__xludf.DUMMYFUNCTION("""COMPUTED_VALUE"""),"")</f>
        <v/>
      </c>
      <c r="X1577" s="4" t="str">
        <f>IFERROR(__xludf.DUMMYFUNCTION("""COMPUTED_VALUE"""),"")</f>
        <v/>
      </c>
      <c r="Y1577" s="4" t="str">
        <f>IFERROR(__xludf.DUMMYFUNCTION("""COMPUTED_VALUE"""),"")</f>
        <v/>
      </c>
    </row>
    <row r="1578">
      <c r="A1578" s="4" t="str">
        <f>IFERROR(__xludf.DUMMYFUNCTION("""COMPUTED_VALUE"""),"2129 - Channel")</f>
        <v>2129 - Channel</v>
      </c>
      <c r="B1578" s="4" t="str">
        <f>IFERROR(__xludf.DUMMYFUNCTION("""COMPUTED_VALUE"""),"")</f>
        <v/>
      </c>
      <c r="C1578" s="4" t="str">
        <f>IFERROR(__xludf.DUMMYFUNCTION("""COMPUTED_VALUE"""),"")</f>
        <v/>
      </c>
      <c r="D1578" s="4" t="str">
        <f>IFERROR(__xludf.DUMMYFUNCTION("""COMPUTED_VALUE"""),"")</f>
        <v/>
      </c>
      <c r="E1578" s="4" t="str">
        <f>IFERROR(__xludf.DUMMYFUNCTION("""COMPUTED_VALUE"""),"")</f>
        <v/>
      </c>
      <c r="F1578" s="4" t="str">
        <f>IFERROR(__xludf.DUMMYFUNCTION("""COMPUTED_VALUE"""),"")</f>
        <v/>
      </c>
      <c r="G1578" s="4" t="str">
        <f>IFERROR(__xludf.DUMMYFUNCTION("""COMPUTED_VALUE"""),"")</f>
        <v/>
      </c>
      <c r="H1578" s="4" t="str">
        <f>IFERROR(__xludf.DUMMYFUNCTION("""COMPUTED_VALUE"""),"")</f>
        <v/>
      </c>
      <c r="I1578" s="4" t="str">
        <f>IFERROR(__xludf.DUMMYFUNCTION("""COMPUTED_VALUE"""),"")</f>
        <v/>
      </c>
      <c r="J1578" s="4" t="str">
        <f>IFERROR(__xludf.DUMMYFUNCTION("""COMPUTED_VALUE"""),"")</f>
        <v/>
      </c>
      <c r="K1578" s="4" t="str">
        <f>IFERROR(__xludf.DUMMYFUNCTION("""COMPUTED_VALUE"""),"")</f>
        <v/>
      </c>
      <c r="L1578" s="4" t="str">
        <f>IFERROR(__xludf.DUMMYFUNCTION("""COMPUTED_VALUE"""),"")</f>
        <v/>
      </c>
      <c r="M1578" s="4" t="str">
        <f>IFERROR(__xludf.DUMMYFUNCTION("""COMPUTED_VALUE"""),"")</f>
        <v/>
      </c>
      <c r="N1578" s="4" t="str">
        <f>IFERROR(__xludf.DUMMYFUNCTION("""COMPUTED_VALUE"""),"")</f>
        <v/>
      </c>
      <c r="O1578" s="4" t="str">
        <f>IFERROR(__xludf.DUMMYFUNCTION("""COMPUTED_VALUE"""),"")</f>
        <v/>
      </c>
      <c r="P1578" s="4" t="str">
        <f>IFERROR(__xludf.DUMMYFUNCTION("""COMPUTED_VALUE"""),"")</f>
        <v/>
      </c>
      <c r="Q1578" s="4" t="str">
        <f>IFERROR(__xludf.DUMMYFUNCTION("""COMPUTED_VALUE"""),"")</f>
        <v/>
      </c>
      <c r="R1578" s="4" t="str">
        <f>IFERROR(__xludf.DUMMYFUNCTION("""COMPUTED_VALUE"""),"")</f>
        <v/>
      </c>
      <c r="S1578" s="4" t="str">
        <f>IFERROR(__xludf.DUMMYFUNCTION("""COMPUTED_VALUE"""),"")</f>
        <v/>
      </c>
      <c r="T1578" s="4" t="str">
        <f>IFERROR(__xludf.DUMMYFUNCTION("""COMPUTED_VALUE"""),"")</f>
        <v/>
      </c>
      <c r="U1578" s="4" t="str">
        <f>IFERROR(__xludf.DUMMYFUNCTION("""COMPUTED_VALUE"""),"")</f>
        <v/>
      </c>
      <c r="V1578" s="4" t="str">
        <f>IFERROR(__xludf.DUMMYFUNCTION("""COMPUTED_VALUE"""),"")</f>
        <v/>
      </c>
      <c r="W1578" s="4" t="str">
        <f>IFERROR(__xludf.DUMMYFUNCTION("""COMPUTED_VALUE"""),"")</f>
        <v/>
      </c>
      <c r="X1578" s="4" t="str">
        <f>IFERROR(__xludf.DUMMYFUNCTION("""COMPUTED_VALUE"""),"")</f>
        <v/>
      </c>
      <c r="Y1578" s="4" t="str">
        <f>IFERROR(__xludf.DUMMYFUNCTION("""COMPUTED_VALUE"""),"")</f>
        <v/>
      </c>
    </row>
    <row r="1579">
      <c r="A1579" s="4" t="str">
        <f>IFERROR(__xludf.DUMMYFUNCTION("""COMPUTED_VALUE"""),"2130 - Channel")</f>
        <v>2130 - Channel</v>
      </c>
      <c r="B1579" s="4" t="str">
        <f>IFERROR(__xludf.DUMMYFUNCTION("""COMPUTED_VALUE"""),"")</f>
        <v/>
      </c>
      <c r="C1579" s="4" t="str">
        <f>IFERROR(__xludf.DUMMYFUNCTION("""COMPUTED_VALUE"""),"")</f>
        <v/>
      </c>
      <c r="D1579" s="4" t="str">
        <f>IFERROR(__xludf.DUMMYFUNCTION("""COMPUTED_VALUE"""),"")</f>
        <v/>
      </c>
      <c r="E1579" s="4" t="str">
        <f>IFERROR(__xludf.DUMMYFUNCTION("""COMPUTED_VALUE"""),"")</f>
        <v/>
      </c>
      <c r="F1579" s="4" t="str">
        <f>IFERROR(__xludf.DUMMYFUNCTION("""COMPUTED_VALUE"""),"")</f>
        <v/>
      </c>
      <c r="G1579" s="4" t="str">
        <f>IFERROR(__xludf.DUMMYFUNCTION("""COMPUTED_VALUE"""),"")</f>
        <v/>
      </c>
      <c r="H1579" s="4" t="str">
        <f>IFERROR(__xludf.DUMMYFUNCTION("""COMPUTED_VALUE"""),"")</f>
        <v/>
      </c>
      <c r="I1579" s="4" t="str">
        <f>IFERROR(__xludf.DUMMYFUNCTION("""COMPUTED_VALUE"""),"")</f>
        <v/>
      </c>
      <c r="J1579" s="4" t="str">
        <f>IFERROR(__xludf.DUMMYFUNCTION("""COMPUTED_VALUE"""),"")</f>
        <v/>
      </c>
      <c r="K1579" s="4" t="str">
        <f>IFERROR(__xludf.DUMMYFUNCTION("""COMPUTED_VALUE"""),"")</f>
        <v/>
      </c>
      <c r="L1579" s="4" t="str">
        <f>IFERROR(__xludf.DUMMYFUNCTION("""COMPUTED_VALUE"""),"")</f>
        <v/>
      </c>
      <c r="M1579" s="4" t="str">
        <f>IFERROR(__xludf.DUMMYFUNCTION("""COMPUTED_VALUE"""),"")</f>
        <v/>
      </c>
      <c r="N1579" s="4" t="str">
        <f>IFERROR(__xludf.DUMMYFUNCTION("""COMPUTED_VALUE"""),"")</f>
        <v/>
      </c>
      <c r="O1579" s="4" t="str">
        <f>IFERROR(__xludf.DUMMYFUNCTION("""COMPUTED_VALUE"""),"")</f>
        <v/>
      </c>
      <c r="P1579" s="4" t="str">
        <f>IFERROR(__xludf.DUMMYFUNCTION("""COMPUTED_VALUE"""),"")</f>
        <v/>
      </c>
      <c r="Q1579" s="4" t="str">
        <f>IFERROR(__xludf.DUMMYFUNCTION("""COMPUTED_VALUE"""),"")</f>
        <v/>
      </c>
      <c r="R1579" s="4" t="str">
        <f>IFERROR(__xludf.DUMMYFUNCTION("""COMPUTED_VALUE"""),"")</f>
        <v/>
      </c>
      <c r="S1579" s="4" t="str">
        <f>IFERROR(__xludf.DUMMYFUNCTION("""COMPUTED_VALUE"""),"")</f>
        <v/>
      </c>
      <c r="T1579" s="4" t="str">
        <f>IFERROR(__xludf.DUMMYFUNCTION("""COMPUTED_VALUE"""),"")</f>
        <v/>
      </c>
      <c r="U1579" s="4" t="str">
        <f>IFERROR(__xludf.DUMMYFUNCTION("""COMPUTED_VALUE"""),"")</f>
        <v/>
      </c>
      <c r="V1579" s="4" t="str">
        <f>IFERROR(__xludf.DUMMYFUNCTION("""COMPUTED_VALUE"""),"")</f>
        <v/>
      </c>
      <c r="W1579" s="4" t="str">
        <f>IFERROR(__xludf.DUMMYFUNCTION("""COMPUTED_VALUE"""),"")</f>
        <v/>
      </c>
      <c r="X1579" s="4" t="str">
        <f>IFERROR(__xludf.DUMMYFUNCTION("""COMPUTED_VALUE"""),"")</f>
        <v/>
      </c>
      <c r="Y1579" s="4" t="str">
        <f>IFERROR(__xludf.DUMMYFUNCTION("""COMPUTED_VALUE"""),"")</f>
        <v/>
      </c>
    </row>
    <row r="1580">
      <c r="A1580" s="4" t="str">
        <f>IFERROR(__xludf.DUMMYFUNCTION("""COMPUTED_VALUE"""),"2131 - Channel")</f>
        <v>2131 - Channel</v>
      </c>
      <c r="B1580" s="4" t="str">
        <f>IFERROR(__xludf.DUMMYFUNCTION("""COMPUTED_VALUE"""),"")</f>
        <v/>
      </c>
      <c r="C1580" s="4" t="str">
        <f>IFERROR(__xludf.DUMMYFUNCTION("""COMPUTED_VALUE"""),"")</f>
        <v/>
      </c>
      <c r="D1580" s="4" t="str">
        <f>IFERROR(__xludf.DUMMYFUNCTION("""COMPUTED_VALUE"""),"")</f>
        <v/>
      </c>
      <c r="E1580" s="4" t="str">
        <f>IFERROR(__xludf.DUMMYFUNCTION("""COMPUTED_VALUE"""),"")</f>
        <v/>
      </c>
      <c r="F1580" s="4" t="str">
        <f>IFERROR(__xludf.DUMMYFUNCTION("""COMPUTED_VALUE"""),"")</f>
        <v/>
      </c>
      <c r="G1580" s="4" t="str">
        <f>IFERROR(__xludf.DUMMYFUNCTION("""COMPUTED_VALUE"""),"")</f>
        <v/>
      </c>
      <c r="H1580" s="4" t="str">
        <f>IFERROR(__xludf.DUMMYFUNCTION("""COMPUTED_VALUE"""),"")</f>
        <v/>
      </c>
      <c r="I1580" s="4" t="str">
        <f>IFERROR(__xludf.DUMMYFUNCTION("""COMPUTED_VALUE"""),"")</f>
        <v/>
      </c>
      <c r="J1580" s="4" t="str">
        <f>IFERROR(__xludf.DUMMYFUNCTION("""COMPUTED_VALUE"""),"")</f>
        <v/>
      </c>
      <c r="K1580" s="4" t="str">
        <f>IFERROR(__xludf.DUMMYFUNCTION("""COMPUTED_VALUE"""),"")</f>
        <v/>
      </c>
      <c r="L1580" s="4" t="str">
        <f>IFERROR(__xludf.DUMMYFUNCTION("""COMPUTED_VALUE"""),"")</f>
        <v/>
      </c>
      <c r="M1580" s="4" t="str">
        <f>IFERROR(__xludf.DUMMYFUNCTION("""COMPUTED_VALUE"""),"")</f>
        <v/>
      </c>
      <c r="N1580" s="4" t="str">
        <f>IFERROR(__xludf.DUMMYFUNCTION("""COMPUTED_VALUE"""),"")</f>
        <v/>
      </c>
      <c r="O1580" s="4" t="str">
        <f>IFERROR(__xludf.DUMMYFUNCTION("""COMPUTED_VALUE"""),"")</f>
        <v/>
      </c>
      <c r="P1580" s="4" t="str">
        <f>IFERROR(__xludf.DUMMYFUNCTION("""COMPUTED_VALUE"""),"")</f>
        <v/>
      </c>
      <c r="Q1580" s="4" t="str">
        <f>IFERROR(__xludf.DUMMYFUNCTION("""COMPUTED_VALUE"""),"")</f>
        <v/>
      </c>
      <c r="R1580" s="4" t="str">
        <f>IFERROR(__xludf.DUMMYFUNCTION("""COMPUTED_VALUE"""),"")</f>
        <v/>
      </c>
      <c r="S1580" s="4" t="str">
        <f>IFERROR(__xludf.DUMMYFUNCTION("""COMPUTED_VALUE"""),"")</f>
        <v/>
      </c>
      <c r="T1580" s="4" t="str">
        <f>IFERROR(__xludf.DUMMYFUNCTION("""COMPUTED_VALUE"""),"")</f>
        <v/>
      </c>
      <c r="U1580" s="4" t="str">
        <f>IFERROR(__xludf.DUMMYFUNCTION("""COMPUTED_VALUE"""),"")</f>
        <v/>
      </c>
      <c r="V1580" s="4" t="str">
        <f>IFERROR(__xludf.DUMMYFUNCTION("""COMPUTED_VALUE"""),"")</f>
        <v/>
      </c>
      <c r="W1580" s="4" t="str">
        <f>IFERROR(__xludf.DUMMYFUNCTION("""COMPUTED_VALUE"""),"")</f>
        <v/>
      </c>
      <c r="X1580" s="4" t="str">
        <f>IFERROR(__xludf.DUMMYFUNCTION("""COMPUTED_VALUE"""),"")</f>
        <v/>
      </c>
      <c r="Y1580" s="4" t="str">
        <f>IFERROR(__xludf.DUMMYFUNCTION("""COMPUTED_VALUE"""),"")</f>
        <v/>
      </c>
    </row>
    <row r="1581">
      <c r="A1581" s="4" t="str">
        <f>IFERROR(__xludf.DUMMYFUNCTION("""COMPUTED_VALUE"""),"2132 - Channel")</f>
        <v>2132 - Channel</v>
      </c>
      <c r="B1581" s="4" t="str">
        <f>IFERROR(__xludf.DUMMYFUNCTION("""COMPUTED_VALUE"""),"")</f>
        <v/>
      </c>
      <c r="C1581" s="4" t="str">
        <f>IFERROR(__xludf.DUMMYFUNCTION("""COMPUTED_VALUE"""),"")</f>
        <v/>
      </c>
      <c r="D1581" s="4" t="str">
        <f>IFERROR(__xludf.DUMMYFUNCTION("""COMPUTED_VALUE"""),"")</f>
        <v/>
      </c>
      <c r="E1581" s="4" t="str">
        <f>IFERROR(__xludf.DUMMYFUNCTION("""COMPUTED_VALUE"""),"")</f>
        <v/>
      </c>
      <c r="F1581" s="4" t="str">
        <f>IFERROR(__xludf.DUMMYFUNCTION("""COMPUTED_VALUE"""),"")</f>
        <v/>
      </c>
      <c r="G1581" s="4" t="str">
        <f>IFERROR(__xludf.DUMMYFUNCTION("""COMPUTED_VALUE"""),"")</f>
        <v/>
      </c>
      <c r="H1581" s="4" t="str">
        <f>IFERROR(__xludf.DUMMYFUNCTION("""COMPUTED_VALUE"""),"")</f>
        <v/>
      </c>
      <c r="I1581" s="4" t="str">
        <f>IFERROR(__xludf.DUMMYFUNCTION("""COMPUTED_VALUE"""),"")</f>
        <v/>
      </c>
      <c r="J1581" s="4" t="str">
        <f>IFERROR(__xludf.DUMMYFUNCTION("""COMPUTED_VALUE"""),"")</f>
        <v/>
      </c>
      <c r="K1581" s="4" t="str">
        <f>IFERROR(__xludf.DUMMYFUNCTION("""COMPUTED_VALUE"""),"")</f>
        <v/>
      </c>
      <c r="L1581" s="4" t="str">
        <f>IFERROR(__xludf.DUMMYFUNCTION("""COMPUTED_VALUE"""),"")</f>
        <v/>
      </c>
      <c r="M1581" s="4" t="str">
        <f>IFERROR(__xludf.DUMMYFUNCTION("""COMPUTED_VALUE"""),"")</f>
        <v/>
      </c>
      <c r="N1581" s="4" t="str">
        <f>IFERROR(__xludf.DUMMYFUNCTION("""COMPUTED_VALUE"""),"")</f>
        <v/>
      </c>
      <c r="O1581" s="4" t="str">
        <f>IFERROR(__xludf.DUMMYFUNCTION("""COMPUTED_VALUE"""),"")</f>
        <v/>
      </c>
      <c r="P1581" s="4" t="str">
        <f>IFERROR(__xludf.DUMMYFUNCTION("""COMPUTED_VALUE"""),"")</f>
        <v/>
      </c>
      <c r="Q1581" s="4" t="str">
        <f>IFERROR(__xludf.DUMMYFUNCTION("""COMPUTED_VALUE"""),"")</f>
        <v/>
      </c>
      <c r="R1581" s="4" t="str">
        <f>IFERROR(__xludf.DUMMYFUNCTION("""COMPUTED_VALUE"""),"")</f>
        <v/>
      </c>
      <c r="S1581" s="4" t="str">
        <f>IFERROR(__xludf.DUMMYFUNCTION("""COMPUTED_VALUE"""),"")</f>
        <v/>
      </c>
      <c r="T1581" s="4" t="str">
        <f>IFERROR(__xludf.DUMMYFUNCTION("""COMPUTED_VALUE"""),"")</f>
        <v/>
      </c>
      <c r="U1581" s="4" t="str">
        <f>IFERROR(__xludf.DUMMYFUNCTION("""COMPUTED_VALUE"""),"")</f>
        <v/>
      </c>
      <c r="V1581" s="4" t="str">
        <f>IFERROR(__xludf.DUMMYFUNCTION("""COMPUTED_VALUE"""),"")</f>
        <v/>
      </c>
      <c r="W1581" s="4" t="str">
        <f>IFERROR(__xludf.DUMMYFUNCTION("""COMPUTED_VALUE"""),"")</f>
        <v/>
      </c>
      <c r="X1581" s="4" t="str">
        <f>IFERROR(__xludf.DUMMYFUNCTION("""COMPUTED_VALUE"""),"")</f>
        <v/>
      </c>
      <c r="Y1581" s="4" t="str">
        <f>IFERROR(__xludf.DUMMYFUNCTION("""COMPUTED_VALUE"""),"")</f>
        <v/>
      </c>
    </row>
    <row r="1582">
      <c r="A1582" s="4" t="str">
        <f>IFERROR(__xludf.DUMMYFUNCTION("""COMPUTED_VALUE"""),"2133 - Channel")</f>
        <v>2133 - Channel</v>
      </c>
      <c r="B1582" s="4" t="str">
        <f>IFERROR(__xludf.DUMMYFUNCTION("""COMPUTED_VALUE"""),"")</f>
        <v/>
      </c>
      <c r="C1582" s="4" t="str">
        <f>IFERROR(__xludf.DUMMYFUNCTION("""COMPUTED_VALUE"""),"")</f>
        <v/>
      </c>
      <c r="D1582" s="4" t="str">
        <f>IFERROR(__xludf.DUMMYFUNCTION("""COMPUTED_VALUE"""),"")</f>
        <v/>
      </c>
      <c r="E1582" s="4" t="str">
        <f>IFERROR(__xludf.DUMMYFUNCTION("""COMPUTED_VALUE"""),"")</f>
        <v/>
      </c>
      <c r="F1582" s="4" t="str">
        <f>IFERROR(__xludf.DUMMYFUNCTION("""COMPUTED_VALUE"""),"")</f>
        <v/>
      </c>
      <c r="G1582" s="4" t="str">
        <f>IFERROR(__xludf.DUMMYFUNCTION("""COMPUTED_VALUE"""),"")</f>
        <v/>
      </c>
      <c r="H1582" s="4" t="str">
        <f>IFERROR(__xludf.DUMMYFUNCTION("""COMPUTED_VALUE"""),"")</f>
        <v/>
      </c>
      <c r="I1582" s="4" t="str">
        <f>IFERROR(__xludf.DUMMYFUNCTION("""COMPUTED_VALUE"""),"")</f>
        <v/>
      </c>
      <c r="J1582" s="4" t="str">
        <f>IFERROR(__xludf.DUMMYFUNCTION("""COMPUTED_VALUE"""),"")</f>
        <v/>
      </c>
      <c r="K1582" s="4" t="str">
        <f>IFERROR(__xludf.DUMMYFUNCTION("""COMPUTED_VALUE"""),"")</f>
        <v/>
      </c>
      <c r="L1582" s="4" t="str">
        <f>IFERROR(__xludf.DUMMYFUNCTION("""COMPUTED_VALUE"""),"")</f>
        <v/>
      </c>
      <c r="M1582" s="4" t="str">
        <f>IFERROR(__xludf.DUMMYFUNCTION("""COMPUTED_VALUE"""),"")</f>
        <v/>
      </c>
      <c r="N1582" s="4" t="str">
        <f>IFERROR(__xludf.DUMMYFUNCTION("""COMPUTED_VALUE"""),"")</f>
        <v/>
      </c>
      <c r="O1582" s="4" t="str">
        <f>IFERROR(__xludf.DUMMYFUNCTION("""COMPUTED_VALUE"""),"")</f>
        <v/>
      </c>
      <c r="P1582" s="4" t="str">
        <f>IFERROR(__xludf.DUMMYFUNCTION("""COMPUTED_VALUE"""),"")</f>
        <v/>
      </c>
      <c r="Q1582" s="4" t="str">
        <f>IFERROR(__xludf.DUMMYFUNCTION("""COMPUTED_VALUE"""),"")</f>
        <v/>
      </c>
      <c r="R1582" s="4" t="str">
        <f>IFERROR(__xludf.DUMMYFUNCTION("""COMPUTED_VALUE"""),"")</f>
        <v/>
      </c>
      <c r="S1582" s="4" t="str">
        <f>IFERROR(__xludf.DUMMYFUNCTION("""COMPUTED_VALUE"""),"")</f>
        <v/>
      </c>
      <c r="T1582" s="4" t="str">
        <f>IFERROR(__xludf.DUMMYFUNCTION("""COMPUTED_VALUE"""),"")</f>
        <v/>
      </c>
      <c r="U1582" s="4" t="str">
        <f>IFERROR(__xludf.DUMMYFUNCTION("""COMPUTED_VALUE"""),"")</f>
        <v/>
      </c>
      <c r="V1582" s="4" t="str">
        <f>IFERROR(__xludf.DUMMYFUNCTION("""COMPUTED_VALUE"""),"")</f>
        <v/>
      </c>
      <c r="W1582" s="4" t="str">
        <f>IFERROR(__xludf.DUMMYFUNCTION("""COMPUTED_VALUE"""),"")</f>
        <v/>
      </c>
      <c r="X1582" s="4" t="str">
        <f>IFERROR(__xludf.DUMMYFUNCTION("""COMPUTED_VALUE"""),"")</f>
        <v/>
      </c>
      <c r="Y1582" s="4" t="str">
        <f>IFERROR(__xludf.DUMMYFUNCTION("""COMPUTED_VALUE"""),"")</f>
        <v/>
      </c>
    </row>
    <row r="1583">
      <c r="A1583" s="4" t="str">
        <f>IFERROR(__xludf.DUMMYFUNCTION("""COMPUTED_VALUE"""),"2134 - Channel")</f>
        <v>2134 - Channel</v>
      </c>
      <c r="B1583" s="4" t="str">
        <f>IFERROR(__xludf.DUMMYFUNCTION("""COMPUTED_VALUE"""),"")</f>
        <v/>
      </c>
      <c r="C1583" s="4" t="str">
        <f>IFERROR(__xludf.DUMMYFUNCTION("""COMPUTED_VALUE"""),"")</f>
        <v/>
      </c>
      <c r="D1583" s="4" t="str">
        <f>IFERROR(__xludf.DUMMYFUNCTION("""COMPUTED_VALUE"""),"")</f>
        <v/>
      </c>
      <c r="E1583" s="4" t="str">
        <f>IFERROR(__xludf.DUMMYFUNCTION("""COMPUTED_VALUE"""),"")</f>
        <v/>
      </c>
      <c r="F1583" s="4" t="str">
        <f>IFERROR(__xludf.DUMMYFUNCTION("""COMPUTED_VALUE"""),"")</f>
        <v/>
      </c>
      <c r="G1583" s="4" t="str">
        <f>IFERROR(__xludf.DUMMYFUNCTION("""COMPUTED_VALUE"""),"")</f>
        <v/>
      </c>
      <c r="H1583" s="4" t="str">
        <f>IFERROR(__xludf.DUMMYFUNCTION("""COMPUTED_VALUE"""),"")</f>
        <v/>
      </c>
      <c r="I1583" s="4" t="str">
        <f>IFERROR(__xludf.DUMMYFUNCTION("""COMPUTED_VALUE"""),"")</f>
        <v/>
      </c>
      <c r="J1583" s="4" t="str">
        <f>IFERROR(__xludf.DUMMYFUNCTION("""COMPUTED_VALUE"""),"")</f>
        <v/>
      </c>
      <c r="K1583" s="4" t="str">
        <f>IFERROR(__xludf.DUMMYFUNCTION("""COMPUTED_VALUE"""),"")</f>
        <v/>
      </c>
      <c r="L1583" s="4" t="str">
        <f>IFERROR(__xludf.DUMMYFUNCTION("""COMPUTED_VALUE"""),"")</f>
        <v/>
      </c>
      <c r="M1583" s="4" t="str">
        <f>IFERROR(__xludf.DUMMYFUNCTION("""COMPUTED_VALUE"""),"")</f>
        <v/>
      </c>
      <c r="N1583" s="4" t="str">
        <f>IFERROR(__xludf.DUMMYFUNCTION("""COMPUTED_VALUE"""),"")</f>
        <v/>
      </c>
      <c r="O1583" s="4" t="str">
        <f>IFERROR(__xludf.DUMMYFUNCTION("""COMPUTED_VALUE"""),"")</f>
        <v/>
      </c>
      <c r="P1583" s="4" t="str">
        <f>IFERROR(__xludf.DUMMYFUNCTION("""COMPUTED_VALUE"""),"")</f>
        <v/>
      </c>
      <c r="Q1583" s="4" t="str">
        <f>IFERROR(__xludf.DUMMYFUNCTION("""COMPUTED_VALUE"""),"")</f>
        <v/>
      </c>
      <c r="R1583" s="4" t="str">
        <f>IFERROR(__xludf.DUMMYFUNCTION("""COMPUTED_VALUE"""),"")</f>
        <v/>
      </c>
      <c r="S1583" s="4" t="str">
        <f>IFERROR(__xludf.DUMMYFUNCTION("""COMPUTED_VALUE"""),"")</f>
        <v/>
      </c>
      <c r="T1583" s="4" t="str">
        <f>IFERROR(__xludf.DUMMYFUNCTION("""COMPUTED_VALUE"""),"")</f>
        <v/>
      </c>
      <c r="U1583" s="4" t="str">
        <f>IFERROR(__xludf.DUMMYFUNCTION("""COMPUTED_VALUE"""),"")</f>
        <v/>
      </c>
      <c r="V1583" s="4" t="str">
        <f>IFERROR(__xludf.DUMMYFUNCTION("""COMPUTED_VALUE"""),"")</f>
        <v/>
      </c>
      <c r="W1583" s="4" t="str">
        <f>IFERROR(__xludf.DUMMYFUNCTION("""COMPUTED_VALUE"""),"")</f>
        <v/>
      </c>
      <c r="X1583" s="4" t="str">
        <f>IFERROR(__xludf.DUMMYFUNCTION("""COMPUTED_VALUE"""),"")</f>
        <v/>
      </c>
      <c r="Y1583" s="4" t="str">
        <f>IFERROR(__xludf.DUMMYFUNCTION("""COMPUTED_VALUE"""),"")</f>
        <v/>
      </c>
    </row>
    <row r="1584">
      <c r="A1584" s="4" t="str">
        <f>IFERROR(__xludf.DUMMYFUNCTION("""COMPUTED_VALUE"""),"2135 - Channel")</f>
        <v>2135 - Channel</v>
      </c>
      <c r="B1584" s="4" t="str">
        <f>IFERROR(__xludf.DUMMYFUNCTION("""COMPUTED_VALUE"""),"")</f>
        <v/>
      </c>
      <c r="C1584" s="4" t="str">
        <f>IFERROR(__xludf.DUMMYFUNCTION("""COMPUTED_VALUE"""),"")</f>
        <v/>
      </c>
      <c r="D1584" s="4" t="str">
        <f>IFERROR(__xludf.DUMMYFUNCTION("""COMPUTED_VALUE"""),"")</f>
        <v/>
      </c>
      <c r="E1584" s="4" t="str">
        <f>IFERROR(__xludf.DUMMYFUNCTION("""COMPUTED_VALUE"""),"")</f>
        <v/>
      </c>
      <c r="F1584" s="4" t="str">
        <f>IFERROR(__xludf.DUMMYFUNCTION("""COMPUTED_VALUE"""),"")</f>
        <v/>
      </c>
      <c r="G1584" s="4" t="str">
        <f>IFERROR(__xludf.DUMMYFUNCTION("""COMPUTED_VALUE"""),"")</f>
        <v/>
      </c>
      <c r="H1584" s="4" t="str">
        <f>IFERROR(__xludf.DUMMYFUNCTION("""COMPUTED_VALUE"""),"")</f>
        <v/>
      </c>
      <c r="I1584" s="4" t="str">
        <f>IFERROR(__xludf.DUMMYFUNCTION("""COMPUTED_VALUE"""),"")</f>
        <v/>
      </c>
      <c r="J1584" s="4" t="str">
        <f>IFERROR(__xludf.DUMMYFUNCTION("""COMPUTED_VALUE"""),"")</f>
        <v/>
      </c>
      <c r="K1584" s="4" t="str">
        <f>IFERROR(__xludf.DUMMYFUNCTION("""COMPUTED_VALUE"""),"")</f>
        <v/>
      </c>
      <c r="L1584" s="4" t="str">
        <f>IFERROR(__xludf.DUMMYFUNCTION("""COMPUTED_VALUE"""),"")</f>
        <v/>
      </c>
      <c r="M1584" s="4" t="str">
        <f>IFERROR(__xludf.DUMMYFUNCTION("""COMPUTED_VALUE"""),"")</f>
        <v/>
      </c>
      <c r="N1584" s="4" t="str">
        <f>IFERROR(__xludf.DUMMYFUNCTION("""COMPUTED_VALUE"""),"")</f>
        <v/>
      </c>
      <c r="O1584" s="4" t="str">
        <f>IFERROR(__xludf.DUMMYFUNCTION("""COMPUTED_VALUE"""),"")</f>
        <v/>
      </c>
      <c r="P1584" s="4" t="str">
        <f>IFERROR(__xludf.DUMMYFUNCTION("""COMPUTED_VALUE"""),"")</f>
        <v/>
      </c>
      <c r="Q1584" s="4" t="str">
        <f>IFERROR(__xludf.DUMMYFUNCTION("""COMPUTED_VALUE"""),"")</f>
        <v/>
      </c>
      <c r="R1584" s="4" t="str">
        <f>IFERROR(__xludf.DUMMYFUNCTION("""COMPUTED_VALUE"""),"")</f>
        <v/>
      </c>
      <c r="S1584" s="4" t="str">
        <f>IFERROR(__xludf.DUMMYFUNCTION("""COMPUTED_VALUE"""),"")</f>
        <v/>
      </c>
      <c r="T1584" s="4" t="str">
        <f>IFERROR(__xludf.DUMMYFUNCTION("""COMPUTED_VALUE"""),"")</f>
        <v/>
      </c>
      <c r="U1584" s="4" t="str">
        <f>IFERROR(__xludf.DUMMYFUNCTION("""COMPUTED_VALUE"""),"")</f>
        <v/>
      </c>
      <c r="V1584" s="4" t="str">
        <f>IFERROR(__xludf.DUMMYFUNCTION("""COMPUTED_VALUE"""),"")</f>
        <v/>
      </c>
      <c r="W1584" s="4" t="str">
        <f>IFERROR(__xludf.DUMMYFUNCTION("""COMPUTED_VALUE"""),"")</f>
        <v/>
      </c>
      <c r="X1584" s="4" t="str">
        <f>IFERROR(__xludf.DUMMYFUNCTION("""COMPUTED_VALUE"""),"")</f>
        <v/>
      </c>
      <c r="Y1584" s="4" t="str">
        <f>IFERROR(__xludf.DUMMYFUNCTION("""COMPUTED_VALUE"""),"")</f>
        <v/>
      </c>
    </row>
    <row r="1585">
      <c r="A1585" s="4" t="str">
        <f>IFERROR(__xludf.DUMMYFUNCTION("""COMPUTED_VALUE"""),"2136 - Channel")</f>
        <v>2136 - Channel</v>
      </c>
      <c r="B1585" s="4" t="str">
        <f>IFERROR(__xludf.DUMMYFUNCTION("""COMPUTED_VALUE"""),"")</f>
        <v/>
      </c>
      <c r="C1585" s="4" t="str">
        <f>IFERROR(__xludf.DUMMYFUNCTION("""COMPUTED_VALUE"""),"")</f>
        <v/>
      </c>
      <c r="D1585" s="4" t="str">
        <f>IFERROR(__xludf.DUMMYFUNCTION("""COMPUTED_VALUE"""),"")</f>
        <v/>
      </c>
      <c r="E1585" s="4" t="str">
        <f>IFERROR(__xludf.DUMMYFUNCTION("""COMPUTED_VALUE"""),"")</f>
        <v/>
      </c>
      <c r="F1585" s="4" t="str">
        <f>IFERROR(__xludf.DUMMYFUNCTION("""COMPUTED_VALUE"""),"")</f>
        <v/>
      </c>
      <c r="G1585" s="4" t="str">
        <f>IFERROR(__xludf.DUMMYFUNCTION("""COMPUTED_VALUE"""),"")</f>
        <v/>
      </c>
      <c r="H1585" s="4" t="str">
        <f>IFERROR(__xludf.DUMMYFUNCTION("""COMPUTED_VALUE"""),"")</f>
        <v/>
      </c>
      <c r="I1585" s="4" t="str">
        <f>IFERROR(__xludf.DUMMYFUNCTION("""COMPUTED_VALUE"""),"")</f>
        <v/>
      </c>
      <c r="J1585" s="4" t="str">
        <f>IFERROR(__xludf.DUMMYFUNCTION("""COMPUTED_VALUE"""),"")</f>
        <v/>
      </c>
      <c r="K1585" s="4" t="str">
        <f>IFERROR(__xludf.DUMMYFUNCTION("""COMPUTED_VALUE"""),"")</f>
        <v/>
      </c>
      <c r="L1585" s="4" t="str">
        <f>IFERROR(__xludf.DUMMYFUNCTION("""COMPUTED_VALUE"""),"")</f>
        <v/>
      </c>
      <c r="M1585" s="4" t="str">
        <f>IFERROR(__xludf.DUMMYFUNCTION("""COMPUTED_VALUE"""),"")</f>
        <v/>
      </c>
      <c r="N1585" s="4" t="str">
        <f>IFERROR(__xludf.DUMMYFUNCTION("""COMPUTED_VALUE"""),"")</f>
        <v/>
      </c>
      <c r="O1585" s="4" t="str">
        <f>IFERROR(__xludf.DUMMYFUNCTION("""COMPUTED_VALUE"""),"")</f>
        <v/>
      </c>
      <c r="P1585" s="4" t="str">
        <f>IFERROR(__xludf.DUMMYFUNCTION("""COMPUTED_VALUE"""),"")</f>
        <v/>
      </c>
      <c r="Q1585" s="4" t="str">
        <f>IFERROR(__xludf.DUMMYFUNCTION("""COMPUTED_VALUE"""),"")</f>
        <v/>
      </c>
      <c r="R1585" s="4" t="str">
        <f>IFERROR(__xludf.DUMMYFUNCTION("""COMPUTED_VALUE"""),"")</f>
        <v/>
      </c>
      <c r="S1585" s="4" t="str">
        <f>IFERROR(__xludf.DUMMYFUNCTION("""COMPUTED_VALUE"""),"")</f>
        <v/>
      </c>
      <c r="T1585" s="4" t="str">
        <f>IFERROR(__xludf.DUMMYFUNCTION("""COMPUTED_VALUE"""),"")</f>
        <v/>
      </c>
      <c r="U1585" s="4" t="str">
        <f>IFERROR(__xludf.DUMMYFUNCTION("""COMPUTED_VALUE"""),"")</f>
        <v/>
      </c>
      <c r="V1585" s="4" t="str">
        <f>IFERROR(__xludf.DUMMYFUNCTION("""COMPUTED_VALUE"""),"")</f>
        <v/>
      </c>
      <c r="W1585" s="4" t="str">
        <f>IFERROR(__xludf.DUMMYFUNCTION("""COMPUTED_VALUE"""),"")</f>
        <v/>
      </c>
      <c r="X1585" s="4" t="str">
        <f>IFERROR(__xludf.DUMMYFUNCTION("""COMPUTED_VALUE"""),"")</f>
        <v/>
      </c>
      <c r="Y1585" s="4" t="str">
        <f>IFERROR(__xludf.DUMMYFUNCTION("""COMPUTED_VALUE"""),"")</f>
        <v/>
      </c>
    </row>
    <row r="1586">
      <c r="A1586" s="4" t="str">
        <f>IFERROR(__xludf.DUMMYFUNCTION("""COMPUTED_VALUE"""),"2137 - Channel")</f>
        <v>2137 - Channel</v>
      </c>
      <c r="B1586" s="4" t="str">
        <f>IFERROR(__xludf.DUMMYFUNCTION("""COMPUTED_VALUE"""),"")</f>
        <v/>
      </c>
      <c r="C1586" s="4" t="str">
        <f>IFERROR(__xludf.DUMMYFUNCTION("""COMPUTED_VALUE"""),"")</f>
        <v/>
      </c>
      <c r="D1586" s="4" t="str">
        <f>IFERROR(__xludf.DUMMYFUNCTION("""COMPUTED_VALUE"""),"")</f>
        <v/>
      </c>
      <c r="E1586" s="4" t="str">
        <f>IFERROR(__xludf.DUMMYFUNCTION("""COMPUTED_VALUE"""),"")</f>
        <v/>
      </c>
      <c r="F1586" s="4" t="str">
        <f>IFERROR(__xludf.DUMMYFUNCTION("""COMPUTED_VALUE"""),"")</f>
        <v/>
      </c>
      <c r="G1586" s="4" t="str">
        <f>IFERROR(__xludf.DUMMYFUNCTION("""COMPUTED_VALUE"""),"")</f>
        <v/>
      </c>
      <c r="H1586" s="4" t="str">
        <f>IFERROR(__xludf.DUMMYFUNCTION("""COMPUTED_VALUE"""),"")</f>
        <v/>
      </c>
      <c r="I1586" s="4" t="str">
        <f>IFERROR(__xludf.DUMMYFUNCTION("""COMPUTED_VALUE"""),"")</f>
        <v/>
      </c>
      <c r="J1586" s="4" t="str">
        <f>IFERROR(__xludf.DUMMYFUNCTION("""COMPUTED_VALUE"""),"")</f>
        <v/>
      </c>
      <c r="K1586" s="4" t="str">
        <f>IFERROR(__xludf.DUMMYFUNCTION("""COMPUTED_VALUE"""),"")</f>
        <v/>
      </c>
      <c r="L1586" s="4" t="str">
        <f>IFERROR(__xludf.DUMMYFUNCTION("""COMPUTED_VALUE"""),"")</f>
        <v/>
      </c>
      <c r="M1586" s="4" t="str">
        <f>IFERROR(__xludf.DUMMYFUNCTION("""COMPUTED_VALUE"""),"")</f>
        <v/>
      </c>
      <c r="N1586" s="4" t="str">
        <f>IFERROR(__xludf.DUMMYFUNCTION("""COMPUTED_VALUE"""),"")</f>
        <v/>
      </c>
      <c r="O1586" s="4" t="str">
        <f>IFERROR(__xludf.DUMMYFUNCTION("""COMPUTED_VALUE"""),"")</f>
        <v/>
      </c>
      <c r="P1586" s="4" t="str">
        <f>IFERROR(__xludf.DUMMYFUNCTION("""COMPUTED_VALUE"""),"")</f>
        <v/>
      </c>
      <c r="Q1586" s="4" t="str">
        <f>IFERROR(__xludf.DUMMYFUNCTION("""COMPUTED_VALUE"""),"")</f>
        <v/>
      </c>
      <c r="R1586" s="4" t="str">
        <f>IFERROR(__xludf.DUMMYFUNCTION("""COMPUTED_VALUE"""),"")</f>
        <v/>
      </c>
      <c r="S1586" s="4" t="str">
        <f>IFERROR(__xludf.DUMMYFUNCTION("""COMPUTED_VALUE"""),"")</f>
        <v/>
      </c>
      <c r="T1586" s="4" t="str">
        <f>IFERROR(__xludf.DUMMYFUNCTION("""COMPUTED_VALUE"""),"")</f>
        <v/>
      </c>
      <c r="U1586" s="4" t="str">
        <f>IFERROR(__xludf.DUMMYFUNCTION("""COMPUTED_VALUE"""),"")</f>
        <v/>
      </c>
      <c r="V1586" s="4" t="str">
        <f>IFERROR(__xludf.DUMMYFUNCTION("""COMPUTED_VALUE"""),"")</f>
        <v/>
      </c>
      <c r="W1586" s="4" t="str">
        <f>IFERROR(__xludf.DUMMYFUNCTION("""COMPUTED_VALUE"""),"")</f>
        <v/>
      </c>
      <c r="X1586" s="4" t="str">
        <f>IFERROR(__xludf.DUMMYFUNCTION("""COMPUTED_VALUE"""),"")</f>
        <v/>
      </c>
      <c r="Y1586" s="4" t="str">
        <f>IFERROR(__xludf.DUMMYFUNCTION("""COMPUTED_VALUE"""),"")</f>
        <v/>
      </c>
    </row>
    <row r="1587">
      <c r="A1587" s="4" t="str">
        <f>IFERROR(__xludf.DUMMYFUNCTION("""COMPUTED_VALUE"""),"2138 - Channel")</f>
        <v>2138 - Channel</v>
      </c>
      <c r="B1587" s="4" t="str">
        <f>IFERROR(__xludf.DUMMYFUNCTION("""COMPUTED_VALUE"""),"")</f>
        <v/>
      </c>
      <c r="C1587" s="4" t="str">
        <f>IFERROR(__xludf.DUMMYFUNCTION("""COMPUTED_VALUE"""),"")</f>
        <v/>
      </c>
      <c r="D1587" s="4" t="str">
        <f>IFERROR(__xludf.DUMMYFUNCTION("""COMPUTED_VALUE"""),"")</f>
        <v/>
      </c>
      <c r="E1587" s="4" t="str">
        <f>IFERROR(__xludf.DUMMYFUNCTION("""COMPUTED_VALUE"""),"")</f>
        <v/>
      </c>
      <c r="F1587" s="4" t="str">
        <f>IFERROR(__xludf.DUMMYFUNCTION("""COMPUTED_VALUE"""),"")</f>
        <v/>
      </c>
      <c r="G1587" s="4" t="str">
        <f>IFERROR(__xludf.DUMMYFUNCTION("""COMPUTED_VALUE"""),"")</f>
        <v/>
      </c>
      <c r="H1587" s="4" t="str">
        <f>IFERROR(__xludf.DUMMYFUNCTION("""COMPUTED_VALUE"""),"")</f>
        <v/>
      </c>
      <c r="I1587" s="4" t="str">
        <f>IFERROR(__xludf.DUMMYFUNCTION("""COMPUTED_VALUE"""),"")</f>
        <v/>
      </c>
      <c r="J1587" s="4" t="str">
        <f>IFERROR(__xludf.DUMMYFUNCTION("""COMPUTED_VALUE"""),"")</f>
        <v/>
      </c>
      <c r="K1587" s="4" t="str">
        <f>IFERROR(__xludf.DUMMYFUNCTION("""COMPUTED_VALUE"""),"")</f>
        <v/>
      </c>
      <c r="L1587" s="4" t="str">
        <f>IFERROR(__xludf.DUMMYFUNCTION("""COMPUTED_VALUE"""),"")</f>
        <v/>
      </c>
      <c r="M1587" s="4" t="str">
        <f>IFERROR(__xludf.DUMMYFUNCTION("""COMPUTED_VALUE"""),"")</f>
        <v/>
      </c>
      <c r="N1587" s="4" t="str">
        <f>IFERROR(__xludf.DUMMYFUNCTION("""COMPUTED_VALUE"""),"")</f>
        <v/>
      </c>
      <c r="O1587" s="4" t="str">
        <f>IFERROR(__xludf.DUMMYFUNCTION("""COMPUTED_VALUE"""),"")</f>
        <v/>
      </c>
      <c r="P1587" s="4" t="str">
        <f>IFERROR(__xludf.DUMMYFUNCTION("""COMPUTED_VALUE"""),"")</f>
        <v/>
      </c>
      <c r="Q1587" s="4" t="str">
        <f>IFERROR(__xludf.DUMMYFUNCTION("""COMPUTED_VALUE"""),"")</f>
        <v/>
      </c>
      <c r="R1587" s="4" t="str">
        <f>IFERROR(__xludf.DUMMYFUNCTION("""COMPUTED_VALUE"""),"")</f>
        <v/>
      </c>
      <c r="S1587" s="4" t="str">
        <f>IFERROR(__xludf.DUMMYFUNCTION("""COMPUTED_VALUE"""),"")</f>
        <v/>
      </c>
      <c r="T1587" s="4" t="str">
        <f>IFERROR(__xludf.DUMMYFUNCTION("""COMPUTED_VALUE"""),"")</f>
        <v/>
      </c>
      <c r="U1587" s="4" t="str">
        <f>IFERROR(__xludf.DUMMYFUNCTION("""COMPUTED_VALUE"""),"")</f>
        <v/>
      </c>
      <c r="V1587" s="4" t="str">
        <f>IFERROR(__xludf.DUMMYFUNCTION("""COMPUTED_VALUE"""),"")</f>
        <v/>
      </c>
      <c r="W1587" s="4" t="str">
        <f>IFERROR(__xludf.DUMMYFUNCTION("""COMPUTED_VALUE"""),"")</f>
        <v/>
      </c>
      <c r="X1587" s="4" t="str">
        <f>IFERROR(__xludf.DUMMYFUNCTION("""COMPUTED_VALUE"""),"")</f>
        <v/>
      </c>
      <c r="Y1587" s="4" t="str">
        <f>IFERROR(__xludf.DUMMYFUNCTION("""COMPUTED_VALUE"""),"")</f>
        <v/>
      </c>
    </row>
    <row r="1588">
      <c r="A1588" s="4" t="str">
        <f>IFERROR(__xludf.DUMMYFUNCTION("""COMPUTED_VALUE"""),"2139 - Channel")</f>
        <v>2139 - Channel</v>
      </c>
      <c r="B1588" s="4" t="str">
        <f>IFERROR(__xludf.DUMMYFUNCTION("""COMPUTED_VALUE"""),"")</f>
        <v/>
      </c>
      <c r="C1588" s="4" t="str">
        <f>IFERROR(__xludf.DUMMYFUNCTION("""COMPUTED_VALUE"""),"")</f>
        <v/>
      </c>
      <c r="D1588" s="4" t="str">
        <f>IFERROR(__xludf.DUMMYFUNCTION("""COMPUTED_VALUE"""),"")</f>
        <v/>
      </c>
      <c r="E1588" s="4" t="str">
        <f>IFERROR(__xludf.DUMMYFUNCTION("""COMPUTED_VALUE"""),"")</f>
        <v/>
      </c>
      <c r="F1588" s="4" t="str">
        <f>IFERROR(__xludf.DUMMYFUNCTION("""COMPUTED_VALUE"""),"")</f>
        <v/>
      </c>
      <c r="G1588" s="4" t="str">
        <f>IFERROR(__xludf.DUMMYFUNCTION("""COMPUTED_VALUE"""),"")</f>
        <v/>
      </c>
      <c r="H1588" s="4" t="str">
        <f>IFERROR(__xludf.DUMMYFUNCTION("""COMPUTED_VALUE"""),"")</f>
        <v/>
      </c>
      <c r="I1588" s="4" t="str">
        <f>IFERROR(__xludf.DUMMYFUNCTION("""COMPUTED_VALUE"""),"")</f>
        <v/>
      </c>
      <c r="J1588" s="4" t="str">
        <f>IFERROR(__xludf.DUMMYFUNCTION("""COMPUTED_VALUE"""),"")</f>
        <v/>
      </c>
      <c r="K1588" s="4" t="str">
        <f>IFERROR(__xludf.DUMMYFUNCTION("""COMPUTED_VALUE"""),"")</f>
        <v/>
      </c>
      <c r="L1588" s="4" t="str">
        <f>IFERROR(__xludf.DUMMYFUNCTION("""COMPUTED_VALUE"""),"")</f>
        <v/>
      </c>
      <c r="M1588" s="4" t="str">
        <f>IFERROR(__xludf.DUMMYFUNCTION("""COMPUTED_VALUE"""),"")</f>
        <v/>
      </c>
      <c r="N1588" s="4" t="str">
        <f>IFERROR(__xludf.DUMMYFUNCTION("""COMPUTED_VALUE"""),"")</f>
        <v/>
      </c>
      <c r="O1588" s="4" t="str">
        <f>IFERROR(__xludf.DUMMYFUNCTION("""COMPUTED_VALUE"""),"")</f>
        <v/>
      </c>
      <c r="P1588" s="4" t="str">
        <f>IFERROR(__xludf.DUMMYFUNCTION("""COMPUTED_VALUE"""),"")</f>
        <v/>
      </c>
      <c r="Q1588" s="4" t="str">
        <f>IFERROR(__xludf.DUMMYFUNCTION("""COMPUTED_VALUE"""),"")</f>
        <v/>
      </c>
      <c r="R1588" s="4" t="str">
        <f>IFERROR(__xludf.DUMMYFUNCTION("""COMPUTED_VALUE"""),"")</f>
        <v/>
      </c>
      <c r="S1588" s="4" t="str">
        <f>IFERROR(__xludf.DUMMYFUNCTION("""COMPUTED_VALUE"""),"")</f>
        <v/>
      </c>
      <c r="T1588" s="4" t="str">
        <f>IFERROR(__xludf.DUMMYFUNCTION("""COMPUTED_VALUE"""),"")</f>
        <v/>
      </c>
      <c r="U1588" s="4" t="str">
        <f>IFERROR(__xludf.DUMMYFUNCTION("""COMPUTED_VALUE"""),"")</f>
        <v/>
      </c>
      <c r="V1588" s="4" t="str">
        <f>IFERROR(__xludf.DUMMYFUNCTION("""COMPUTED_VALUE"""),"")</f>
        <v/>
      </c>
      <c r="W1588" s="4" t="str">
        <f>IFERROR(__xludf.DUMMYFUNCTION("""COMPUTED_VALUE"""),"")</f>
        <v/>
      </c>
      <c r="X1588" s="4" t="str">
        <f>IFERROR(__xludf.DUMMYFUNCTION("""COMPUTED_VALUE"""),"")</f>
        <v/>
      </c>
      <c r="Y1588" s="4" t="str">
        <f>IFERROR(__xludf.DUMMYFUNCTION("""COMPUTED_VALUE"""),"")</f>
        <v/>
      </c>
    </row>
    <row r="1589">
      <c r="A1589" s="4" t="str">
        <f>IFERROR(__xludf.DUMMYFUNCTION("""COMPUTED_VALUE"""),"2140 - Channel")</f>
        <v>2140 - Channel</v>
      </c>
      <c r="B1589" s="4" t="str">
        <f>IFERROR(__xludf.DUMMYFUNCTION("""COMPUTED_VALUE"""),"")</f>
        <v/>
      </c>
      <c r="C1589" s="4" t="str">
        <f>IFERROR(__xludf.DUMMYFUNCTION("""COMPUTED_VALUE"""),"")</f>
        <v/>
      </c>
      <c r="D1589" s="4" t="str">
        <f>IFERROR(__xludf.DUMMYFUNCTION("""COMPUTED_VALUE"""),"")</f>
        <v/>
      </c>
      <c r="E1589" s="4" t="str">
        <f>IFERROR(__xludf.DUMMYFUNCTION("""COMPUTED_VALUE"""),"")</f>
        <v/>
      </c>
      <c r="F1589" s="4" t="str">
        <f>IFERROR(__xludf.DUMMYFUNCTION("""COMPUTED_VALUE"""),"")</f>
        <v/>
      </c>
      <c r="G1589" s="4" t="str">
        <f>IFERROR(__xludf.DUMMYFUNCTION("""COMPUTED_VALUE"""),"")</f>
        <v/>
      </c>
      <c r="H1589" s="4" t="str">
        <f>IFERROR(__xludf.DUMMYFUNCTION("""COMPUTED_VALUE"""),"")</f>
        <v/>
      </c>
      <c r="I1589" s="4" t="str">
        <f>IFERROR(__xludf.DUMMYFUNCTION("""COMPUTED_VALUE"""),"")</f>
        <v/>
      </c>
      <c r="J1589" s="4" t="str">
        <f>IFERROR(__xludf.DUMMYFUNCTION("""COMPUTED_VALUE"""),"")</f>
        <v/>
      </c>
      <c r="K1589" s="4" t="str">
        <f>IFERROR(__xludf.DUMMYFUNCTION("""COMPUTED_VALUE"""),"")</f>
        <v/>
      </c>
      <c r="L1589" s="4" t="str">
        <f>IFERROR(__xludf.DUMMYFUNCTION("""COMPUTED_VALUE"""),"")</f>
        <v/>
      </c>
      <c r="M1589" s="4" t="str">
        <f>IFERROR(__xludf.DUMMYFUNCTION("""COMPUTED_VALUE"""),"")</f>
        <v/>
      </c>
      <c r="N1589" s="4" t="str">
        <f>IFERROR(__xludf.DUMMYFUNCTION("""COMPUTED_VALUE"""),"")</f>
        <v/>
      </c>
      <c r="O1589" s="4" t="str">
        <f>IFERROR(__xludf.DUMMYFUNCTION("""COMPUTED_VALUE"""),"")</f>
        <v/>
      </c>
      <c r="P1589" s="4" t="str">
        <f>IFERROR(__xludf.DUMMYFUNCTION("""COMPUTED_VALUE"""),"")</f>
        <v/>
      </c>
      <c r="Q1589" s="4" t="str">
        <f>IFERROR(__xludf.DUMMYFUNCTION("""COMPUTED_VALUE"""),"")</f>
        <v/>
      </c>
      <c r="R1589" s="4" t="str">
        <f>IFERROR(__xludf.DUMMYFUNCTION("""COMPUTED_VALUE"""),"")</f>
        <v/>
      </c>
      <c r="S1589" s="4" t="str">
        <f>IFERROR(__xludf.DUMMYFUNCTION("""COMPUTED_VALUE"""),"")</f>
        <v/>
      </c>
      <c r="T1589" s="4" t="str">
        <f>IFERROR(__xludf.DUMMYFUNCTION("""COMPUTED_VALUE"""),"")</f>
        <v/>
      </c>
      <c r="U1589" s="4" t="str">
        <f>IFERROR(__xludf.DUMMYFUNCTION("""COMPUTED_VALUE"""),"")</f>
        <v/>
      </c>
      <c r="V1589" s="4" t="str">
        <f>IFERROR(__xludf.DUMMYFUNCTION("""COMPUTED_VALUE"""),"")</f>
        <v/>
      </c>
      <c r="W1589" s="4" t="str">
        <f>IFERROR(__xludf.DUMMYFUNCTION("""COMPUTED_VALUE"""),"")</f>
        <v/>
      </c>
      <c r="X1589" s="4" t="str">
        <f>IFERROR(__xludf.DUMMYFUNCTION("""COMPUTED_VALUE"""),"")</f>
        <v/>
      </c>
      <c r="Y1589" s="4" t="str">
        <f>IFERROR(__xludf.DUMMYFUNCTION("""COMPUTED_VALUE"""),"")</f>
        <v/>
      </c>
    </row>
    <row r="1590">
      <c r="A1590" s="4" t="str">
        <f>IFERROR(__xludf.DUMMYFUNCTION("""COMPUTED_VALUE"""),"2141 - Channel")</f>
        <v>2141 - Channel</v>
      </c>
      <c r="B1590" s="4" t="str">
        <f>IFERROR(__xludf.DUMMYFUNCTION("""COMPUTED_VALUE"""),"")</f>
        <v/>
      </c>
      <c r="C1590" s="4" t="str">
        <f>IFERROR(__xludf.DUMMYFUNCTION("""COMPUTED_VALUE"""),"")</f>
        <v/>
      </c>
      <c r="D1590" s="4" t="str">
        <f>IFERROR(__xludf.DUMMYFUNCTION("""COMPUTED_VALUE"""),"")</f>
        <v/>
      </c>
      <c r="E1590" s="4" t="str">
        <f>IFERROR(__xludf.DUMMYFUNCTION("""COMPUTED_VALUE"""),"")</f>
        <v/>
      </c>
      <c r="F1590" s="4" t="str">
        <f>IFERROR(__xludf.DUMMYFUNCTION("""COMPUTED_VALUE"""),"")</f>
        <v/>
      </c>
      <c r="G1590" s="4" t="str">
        <f>IFERROR(__xludf.DUMMYFUNCTION("""COMPUTED_VALUE"""),"")</f>
        <v/>
      </c>
      <c r="H1590" s="4" t="str">
        <f>IFERROR(__xludf.DUMMYFUNCTION("""COMPUTED_VALUE"""),"")</f>
        <v/>
      </c>
      <c r="I1590" s="4" t="str">
        <f>IFERROR(__xludf.DUMMYFUNCTION("""COMPUTED_VALUE"""),"")</f>
        <v/>
      </c>
      <c r="J1590" s="4" t="str">
        <f>IFERROR(__xludf.DUMMYFUNCTION("""COMPUTED_VALUE"""),"")</f>
        <v/>
      </c>
      <c r="K1590" s="4" t="str">
        <f>IFERROR(__xludf.DUMMYFUNCTION("""COMPUTED_VALUE"""),"")</f>
        <v/>
      </c>
      <c r="L1590" s="4" t="str">
        <f>IFERROR(__xludf.DUMMYFUNCTION("""COMPUTED_VALUE"""),"")</f>
        <v/>
      </c>
      <c r="M1590" s="4" t="str">
        <f>IFERROR(__xludf.DUMMYFUNCTION("""COMPUTED_VALUE"""),"")</f>
        <v/>
      </c>
      <c r="N1590" s="4" t="str">
        <f>IFERROR(__xludf.DUMMYFUNCTION("""COMPUTED_VALUE"""),"")</f>
        <v/>
      </c>
      <c r="O1590" s="4" t="str">
        <f>IFERROR(__xludf.DUMMYFUNCTION("""COMPUTED_VALUE"""),"")</f>
        <v/>
      </c>
      <c r="P1590" s="4" t="str">
        <f>IFERROR(__xludf.DUMMYFUNCTION("""COMPUTED_VALUE"""),"")</f>
        <v/>
      </c>
      <c r="Q1590" s="4" t="str">
        <f>IFERROR(__xludf.DUMMYFUNCTION("""COMPUTED_VALUE"""),"")</f>
        <v/>
      </c>
      <c r="R1590" s="4" t="str">
        <f>IFERROR(__xludf.DUMMYFUNCTION("""COMPUTED_VALUE"""),"")</f>
        <v/>
      </c>
      <c r="S1590" s="4" t="str">
        <f>IFERROR(__xludf.DUMMYFUNCTION("""COMPUTED_VALUE"""),"")</f>
        <v/>
      </c>
      <c r="T1590" s="4" t="str">
        <f>IFERROR(__xludf.DUMMYFUNCTION("""COMPUTED_VALUE"""),"")</f>
        <v/>
      </c>
      <c r="U1590" s="4" t="str">
        <f>IFERROR(__xludf.DUMMYFUNCTION("""COMPUTED_VALUE"""),"")</f>
        <v/>
      </c>
      <c r="V1590" s="4" t="str">
        <f>IFERROR(__xludf.DUMMYFUNCTION("""COMPUTED_VALUE"""),"")</f>
        <v/>
      </c>
      <c r="W1590" s="4" t="str">
        <f>IFERROR(__xludf.DUMMYFUNCTION("""COMPUTED_VALUE"""),"")</f>
        <v/>
      </c>
      <c r="X1590" s="4" t="str">
        <f>IFERROR(__xludf.DUMMYFUNCTION("""COMPUTED_VALUE"""),"")</f>
        <v/>
      </c>
      <c r="Y1590" s="4" t="str">
        <f>IFERROR(__xludf.DUMMYFUNCTION("""COMPUTED_VALUE"""),"")</f>
        <v/>
      </c>
    </row>
    <row r="1591">
      <c r="A1591" s="4" t="str">
        <f>IFERROR(__xludf.DUMMYFUNCTION("""COMPUTED_VALUE"""),"2142 - Channel")</f>
        <v>2142 - Channel</v>
      </c>
      <c r="B1591" s="4" t="str">
        <f>IFERROR(__xludf.DUMMYFUNCTION("""COMPUTED_VALUE"""),"")</f>
        <v/>
      </c>
      <c r="C1591" s="4" t="str">
        <f>IFERROR(__xludf.DUMMYFUNCTION("""COMPUTED_VALUE"""),"")</f>
        <v/>
      </c>
      <c r="D1591" s="4" t="str">
        <f>IFERROR(__xludf.DUMMYFUNCTION("""COMPUTED_VALUE"""),"")</f>
        <v/>
      </c>
      <c r="E1591" s="4" t="str">
        <f>IFERROR(__xludf.DUMMYFUNCTION("""COMPUTED_VALUE"""),"")</f>
        <v/>
      </c>
      <c r="F1591" s="4" t="str">
        <f>IFERROR(__xludf.DUMMYFUNCTION("""COMPUTED_VALUE"""),"")</f>
        <v/>
      </c>
      <c r="G1591" s="4" t="str">
        <f>IFERROR(__xludf.DUMMYFUNCTION("""COMPUTED_VALUE"""),"")</f>
        <v/>
      </c>
      <c r="H1591" s="4" t="str">
        <f>IFERROR(__xludf.DUMMYFUNCTION("""COMPUTED_VALUE"""),"")</f>
        <v/>
      </c>
      <c r="I1591" s="4" t="str">
        <f>IFERROR(__xludf.DUMMYFUNCTION("""COMPUTED_VALUE"""),"")</f>
        <v/>
      </c>
      <c r="J1591" s="4" t="str">
        <f>IFERROR(__xludf.DUMMYFUNCTION("""COMPUTED_VALUE"""),"")</f>
        <v/>
      </c>
      <c r="K1591" s="4" t="str">
        <f>IFERROR(__xludf.DUMMYFUNCTION("""COMPUTED_VALUE"""),"")</f>
        <v/>
      </c>
      <c r="L1591" s="4" t="str">
        <f>IFERROR(__xludf.DUMMYFUNCTION("""COMPUTED_VALUE"""),"")</f>
        <v/>
      </c>
      <c r="M1591" s="4" t="str">
        <f>IFERROR(__xludf.DUMMYFUNCTION("""COMPUTED_VALUE"""),"")</f>
        <v/>
      </c>
      <c r="N1591" s="4" t="str">
        <f>IFERROR(__xludf.DUMMYFUNCTION("""COMPUTED_VALUE"""),"")</f>
        <v/>
      </c>
      <c r="O1591" s="4" t="str">
        <f>IFERROR(__xludf.DUMMYFUNCTION("""COMPUTED_VALUE"""),"")</f>
        <v/>
      </c>
      <c r="P1591" s="4" t="str">
        <f>IFERROR(__xludf.DUMMYFUNCTION("""COMPUTED_VALUE"""),"")</f>
        <v/>
      </c>
      <c r="Q1591" s="4" t="str">
        <f>IFERROR(__xludf.DUMMYFUNCTION("""COMPUTED_VALUE"""),"")</f>
        <v/>
      </c>
      <c r="R1591" s="4" t="str">
        <f>IFERROR(__xludf.DUMMYFUNCTION("""COMPUTED_VALUE"""),"")</f>
        <v/>
      </c>
      <c r="S1591" s="4" t="str">
        <f>IFERROR(__xludf.DUMMYFUNCTION("""COMPUTED_VALUE"""),"")</f>
        <v/>
      </c>
      <c r="T1591" s="4" t="str">
        <f>IFERROR(__xludf.DUMMYFUNCTION("""COMPUTED_VALUE"""),"")</f>
        <v/>
      </c>
      <c r="U1591" s="4" t="str">
        <f>IFERROR(__xludf.DUMMYFUNCTION("""COMPUTED_VALUE"""),"")</f>
        <v/>
      </c>
      <c r="V1591" s="4" t="str">
        <f>IFERROR(__xludf.DUMMYFUNCTION("""COMPUTED_VALUE"""),"")</f>
        <v/>
      </c>
      <c r="W1591" s="4" t="str">
        <f>IFERROR(__xludf.DUMMYFUNCTION("""COMPUTED_VALUE"""),"")</f>
        <v/>
      </c>
      <c r="X1591" s="4" t="str">
        <f>IFERROR(__xludf.DUMMYFUNCTION("""COMPUTED_VALUE"""),"")</f>
        <v/>
      </c>
      <c r="Y1591" s="4" t="str">
        <f>IFERROR(__xludf.DUMMYFUNCTION("""COMPUTED_VALUE"""),"")</f>
        <v/>
      </c>
    </row>
    <row r="1592">
      <c r="A1592" s="4" t="str">
        <f>IFERROR(__xludf.DUMMYFUNCTION("""COMPUTED_VALUE"""),"2143 - Channel")</f>
        <v>2143 - Channel</v>
      </c>
      <c r="B1592" s="4" t="str">
        <f>IFERROR(__xludf.DUMMYFUNCTION("""COMPUTED_VALUE"""),"")</f>
        <v/>
      </c>
      <c r="C1592" s="4" t="str">
        <f>IFERROR(__xludf.DUMMYFUNCTION("""COMPUTED_VALUE"""),"")</f>
        <v/>
      </c>
      <c r="D1592" s="4" t="str">
        <f>IFERROR(__xludf.DUMMYFUNCTION("""COMPUTED_VALUE"""),"")</f>
        <v/>
      </c>
      <c r="E1592" s="4" t="str">
        <f>IFERROR(__xludf.DUMMYFUNCTION("""COMPUTED_VALUE"""),"")</f>
        <v/>
      </c>
      <c r="F1592" s="4" t="str">
        <f>IFERROR(__xludf.DUMMYFUNCTION("""COMPUTED_VALUE"""),"")</f>
        <v/>
      </c>
      <c r="G1592" s="4" t="str">
        <f>IFERROR(__xludf.DUMMYFUNCTION("""COMPUTED_VALUE"""),"")</f>
        <v/>
      </c>
      <c r="H1592" s="4" t="str">
        <f>IFERROR(__xludf.DUMMYFUNCTION("""COMPUTED_VALUE"""),"")</f>
        <v/>
      </c>
      <c r="I1592" s="4" t="str">
        <f>IFERROR(__xludf.DUMMYFUNCTION("""COMPUTED_VALUE"""),"")</f>
        <v/>
      </c>
      <c r="J1592" s="4" t="str">
        <f>IFERROR(__xludf.DUMMYFUNCTION("""COMPUTED_VALUE"""),"")</f>
        <v/>
      </c>
      <c r="K1592" s="4" t="str">
        <f>IFERROR(__xludf.DUMMYFUNCTION("""COMPUTED_VALUE"""),"")</f>
        <v/>
      </c>
      <c r="L1592" s="4" t="str">
        <f>IFERROR(__xludf.DUMMYFUNCTION("""COMPUTED_VALUE"""),"")</f>
        <v/>
      </c>
      <c r="M1592" s="4" t="str">
        <f>IFERROR(__xludf.DUMMYFUNCTION("""COMPUTED_VALUE"""),"")</f>
        <v/>
      </c>
      <c r="N1592" s="4" t="str">
        <f>IFERROR(__xludf.DUMMYFUNCTION("""COMPUTED_VALUE"""),"")</f>
        <v/>
      </c>
      <c r="O1592" s="4" t="str">
        <f>IFERROR(__xludf.DUMMYFUNCTION("""COMPUTED_VALUE"""),"")</f>
        <v/>
      </c>
      <c r="P1592" s="4" t="str">
        <f>IFERROR(__xludf.DUMMYFUNCTION("""COMPUTED_VALUE"""),"")</f>
        <v/>
      </c>
      <c r="Q1592" s="4" t="str">
        <f>IFERROR(__xludf.DUMMYFUNCTION("""COMPUTED_VALUE"""),"")</f>
        <v/>
      </c>
      <c r="R1592" s="4" t="str">
        <f>IFERROR(__xludf.DUMMYFUNCTION("""COMPUTED_VALUE"""),"")</f>
        <v/>
      </c>
      <c r="S1592" s="4" t="str">
        <f>IFERROR(__xludf.DUMMYFUNCTION("""COMPUTED_VALUE"""),"")</f>
        <v/>
      </c>
      <c r="T1592" s="4" t="str">
        <f>IFERROR(__xludf.DUMMYFUNCTION("""COMPUTED_VALUE"""),"")</f>
        <v/>
      </c>
      <c r="U1592" s="4" t="str">
        <f>IFERROR(__xludf.DUMMYFUNCTION("""COMPUTED_VALUE"""),"")</f>
        <v/>
      </c>
      <c r="V1592" s="4" t="str">
        <f>IFERROR(__xludf.DUMMYFUNCTION("""COMPUTED_VALUE"""),"")</f>
        <v/>
      </c>
      <c r="W1592" s="4" t="str">
        <f>IFERROR(__xludf.DUMMYFUNCTION("""COMPUTED_VALUE"""),"")</f>
        <v/>
      </c>
      <c r="X1592" s="4" t="str">
        <f>IFERROR(__xludf.DUMMYFUNCTION("""COMPUTED_VALUE"""),"")</f>
        <v/>
      </c>
      <c r="Y1592" s="4" t="str">
        <f>IFERROR(__xludf.DUMMYFUNCTION("""COMPUTED_VALUE"""),"")</f>
        <v/>
      </c>
    </row>
    <row r="1593">
      <c r="A1593" s="4" t="str">
        <f>IFERROR(__xludf.DUMMYFUNCTION("""COMPUTED_VALUE"""),"2144 - Channel")</f>
        <v>2144 - Channel</v>
      </c>
      <c r="B1593" s="4" t="str">
        <f>IFERROR(__xludf.DUMMYFUNCTION("""COMPUTED_VALUE"""),"")</f>
        <v/>
      </c>
      <c r="C1593" s="4" t="str">
        <f>IFERROR(__xludf.DUMMYFUNCTION("""COMPUTED_VALUE"""),"")</f>
        <v/>
      </c>
      <c r="D1593" s="4" t="str">
        <f>IFERROR(__xludf.DUMMYFUNCTION("""COMPUTED_VALUE"""),"")</f>
        <v/>
      </c>
      <c r="E1593" s="4" t="str">
        <f>IFERROR(__xludf.DUMMYFUNCTION("""COMPUTED_VALUE"""),"")</f>
        <v/>
      </c>
      <c r="F1593" s="4" t="str">
        <f>IFERROR(__xludf.DUMMYFUNCTION("""COMPUTED_VALUE"""),"")</f>
        <v/>
      </c>
      <c r="G1593" s="4" t="str">
        <f>IFERROR(__xludf.DUMMYFUNCTION("""COMPUTED_VALUE"""),"")</f>
        <v/>
      </c>
      <c r="H1593" s="4" t="str">
        <f>IFERROR(__xludf.DUMMYFUNCTION("""COMPUTED_VALUE"""),"")</f>
        <v/>
      </c>
      <c r="I1593" s="4" t="str">
        <f>IFERROR(__xludf.DUMMYFUNCTION("""COMPUTED_VALUE"""),"")</f>
        <v/>
      </c>
      <c r="J1593" s="4" t="str">
        <f>IFERROR(__xludf.DUMMYFUNCTION("""COMPUTED_VALUE"""),"")</f>
        <v/>
      </c>
      <c r="K1593" s="4" t="str">
        <f>IFERROR(__xludf.DUMMYFUNCTION("""COMPUTED_VALUE"""),"")</f>
        <v/>
      </c>
      <c r="L1593" s="4" t="str">
        <f>IFERROR(__xludf.DUMMYFUNCTION("""COMPUTED_VALUE"""),"")</f>
        <v/>
      </c>
      <c r="M1593" s="4" t="str">
        <f>IFERROR(__xludf.DUMMYFUNCTION("""COMPUTED_VALUE"""),"")</f>
        <v/>
      </c>
      <c r="N1593" s="4" t="str">
        <f>IFERROR(__xludf.DUMMYFUNCTION("""COMPUTED_VALUE"""),"")</f>
        <v/>
      </c>
      <c r="O1593" s="4" t="str">
        <f>IFERROR(__xludf.DUMMYFUNCTION("""COMPUTED_VALUE"""),"")</f>
        <v/>
      </c>
      <c r="P1593" s="4" t="str">
        <f>IFERROR(__xludf.DUMMYFUNCTION("""COMPUTED_VALUE"""),"")</f>
        <v/>
      </c>
      <c r="Q1593" s="4" t="str">
        <f>IFERROR(__xludf.DUMMYFUNCTION("""COMPUTED_VALUE"""),"")</f>
        <v/>
      </c>
      <c r="R1593" s="4" t="str">
        <f>IFERROR(__xludf.DUMMYFUNCTION("""COMPUTED_VALUE"""),"")</f>
        <v/>
      </c>
      <c r="S1593" s="4" t="str">
        <f>IFERROR(__xludf.DUMMYFUNCTION("""COMPUTED_VALUE"""),"")</f>
        <v/>
      </c>
      <c r="T1593" s="4" t="str">
        <f>IFERROR(__xludf.DUMMYFUNCTION("""COMPUTED_VALUE"""),"")</f>
        <v/>
      </c>
      <c r="U1593" s="4" t="str">
        <f>IFERROR(__xludf.DUMMYFUNCTION("""COMPUTED_VALUE"""),"")</f>
        <v/>
      </c>
      <c r="V1593" s="4" t="str">
        <f>IFERROR(__xludf.DUMMYFUNCTION("""COMPUTED_VALUE"""),"")</f>
        <v/>
      </c>
      <c r="W1593" s="4" t="str">
        <f>IFERROR(__xludf.DUMMYFUNCTION("""COMPUTED_VALUE"""),"")</f>
        <v/>
      </c>
      <c r="X1593" s="4" t="str">
        <f>IFERROR(__xludf.DUMMYFUNCTION("""COMPUTED_VALUE"""),"")</f>
        <v/>
      </c>
      <c r="Y1593" s="4" t="str">
        <f>IFERROR(__xludf.DUMMYFUNCTION("""COMPUTED_VALUE"""),"")</f>
        <v/>
      </c>
    </row>
    <row r="1594">
      <c r="A1594" s="4" t="str">
        <f>IFERROR(__xludf.DUMMYFUNCTION("""COMPUTED_VALUE"""),"2145 - Channel")</f>
        <v>2145 - Channel</v>
      </c>
      <c r="B1594" s="4" t="str">
        <f>IFERROR(__xludf.DUMMYFUNCTION("""COMPUTED_VALUE"""),"")</f>
        <v/>
      </c>
      <c r="C1594" s="4" t="str">
        <f>IFERROR(__xludf.DUMMYFUNCTION("""COMPUTED_VALUE"""),"")</f>
        <v/>
      </c>
      <c r="D1594" s="4" t="str">
        <f>IFERROR(__xludf.DUMMYFUNCTION("""COMPUTED_VALUE"""),"")</f>
        <v/>
      </c>
      <c r="E1594" s="4" t="str">
        <f>IFERROR(__xludf.DUMMYFUNCTION("""COMPUTED_VALUE"""),"")</f>
        <v/>
      </c>
      <c r="F1594" s="4" t="str">
        <f>IFERROR(__xludf.DUMMYFUNCTION("""COMPUTED_VALUE"""),"")</f>
        <v/>
      </c>
      <c r="G1594" s="4" t="str">
        <f>IFERROR(__xludf.DUMMYFUNCTION("""COMPUTED_VALUE"""),"")</f>
        <v/>
      </c>
      <c r="H1594" s="4" t="str">
        <f>IFERROR(__xludf.DUMMYFUNCTION("""COMPUTED_VALUE"""),"")</f>
        <v/>
      </c>
      <c r="I1594" s="4" t="str">
        <f>IFERROR(__xludf.DUMMYFUNCTION("""COMPUTED_VALUE"""),"")</f>
        <v/>
      </c>
      <c r="J1594" s="4" t="str">
        <f>IFERROR(__xludf.DUMMYFUNCTION("""COMPUTED_VALUE"""),"")</f>
        <v/>
      </c>
      <c r="K1594" s="4" t="str">
        <f>IFERROR(__xludf.DUMMYFUNCTION("""COMPUTED_VALUE"""),"")</f>
        <v/>
      </c>
      <c r="L1594" s="4" t="str">
        <f>IFERROR(__xludf.DUMMYFUNCTION("""COMPUTED_VALUE"""),"")</f>
        <v/>
      </c>
      <c r="M1594" s="4" t="str">
        <f>IFERROR(__xludf.DUMMYFUNCTION("""COMPUTED_VALUE"""),"")</f>
        <v/>
      </c>
      <c r="N1594" s="4" t="str">
        <f>IFERROR(__xludf.DUMMYFUNCTION("""COMPUTED_VALUE"""),"")</f>
        <v/>
      </c>
      <c r="O1594" s="4" t="str">
        <f>IFERROR(__xludf.DUMMYFUNCTION("""COMPUTED_VALUE"""),"")</f>
        <v/>
      </c>
      <c r="P1594" s="4" t="str">
        <f>IFERROR(__xludf.DUMMYFUNCTION("""COMPUTED_VALUE"""),"")</f>
        <v/>
      </c>
      <c r="Q1594" s="4" t="str">
        <f>IFERROR(__xludf.DUMMYFUNCTION("""COMPUTED_VALUE"""),"")</f>
        <v/>
      </c>
      <c r="R1594" s="4" t="str">
        <f>IFERROR(__xludf.DUMMYFUNCTION("""COMPUTED_VALUE"""),"")</f>
        <v/>
      </c>
      <c r="S1594" s="4" t="str">
        <f>IFERROR(__xludf.DUMMYFUNCTION("""COMPUTED_VALUE"""),"")</f>
        <v/>
      </c>
      <c r="T1594" s="4" t="str">
        <f>IFERROR(__xludf.DUMMYFUNCTION("""COMPUTED_VALUE"""),"")</f>
        <v/>
      </c>
      <c r="U1594" s="4" t="str">
        <f>IFERROR(__xludf.DUMMYFUNCTION("""COMPUTED_VALUE"""),"")</f>
        <v/>
      </c>
      <c r="V1594" s="4" t="str">
        <f>IFERROR(__xludf.DUMMYFUNCTION("""COMPUTED_VALUE"""),"")</f>
        <v/>
      </c>
      <c r="W1594" s="4" t="str">
        <f>IFERROR(__xludf.DUMMYFUNCTION("""COMPUTED_VALUE"""),"")</f>
        <v/>
      </c>
      <c r="X1594" s="4" t="str">
        <f>IFERROR(__xludf.DUMMYFUNCTION("""COMPUTED_VALUE"""),"")</f>
        <v/>
      </c>
      <c r="Y1594" s="4" t="str">
        <f>IFERROR(__xludf.DUMMYFUNCTION("""COMPUTED_VALUE"""),"")</f>
        <v/>
      </c>
    </row>
    <row r="1595">
      <c r="A1595" s="4" t="str">
        <f>IFERROR(__xludf.DUMMYFUNCTION("""COMPUTED_VALUE"""),"2146 - Channel")</f>
        <v>2146 - Channel</v>
      </c>
      <c r="B1595" s="4" t="str">
        <f>IFERROR(__xludf.DUMMYFUNCTION("""COMPUTED_VALUE"""),"")</f>
        <v/>
      </c>
      <c r="C1595" s="4" t="str">
        <f>IFERROR(__xludf.DUMMYFUNCTION("""COMPUTED_VALUE"""),"")</f>
        <v/>
      </c>
      <c r="D1595" s="4" t="str">
        <f>IFERROR(__xludf.DUMMYFUNCTION("""COMPUTED_VALUE"""),"")</f>
        <v/>
      </c>
      <c r="E1595" s="4" t="str">
        <f>IFERROR(__xludf.DUMMYFUNCTION("""COMPUTED_VALUE"""),"")</f>
        <v/>
      </c>
      <c r="F1595" s="4" t="str">
        <f>IFERROR(__xludf.DUMMYFUNCTION("""COMPUTED_VALUE"""),"")</f>
        <v/>
      </c>
      <c r="G1595" s="4" t="str">
        <f>IFERROR(__xludf.DUMMYFUNCTION("""COMPUTED_VALUE"""),"")</f>
        <v/>
      </c>
      <c r="H1595" s="4" t="str">
        <f>IFERROR(__xludf.DUMMYFUNCTION("""COMPUTED_VALUE"""),"")</f>
        <v/>
      </c>
      <c r="I1595" s="4" t="str">
        <f>IFERROR(__xludf.DUMMYFUNCTION("""COMPUTED_VALUE"""),"")</f>
        <v/>
      </c>
      <c r="J1595" s="4" t="str">
        <f>IFERROR(__xludf.DUMMYFUNCTION("""COMPUTED_VALUE"""),"")</f>
        <v/>
      </c>
      <c r="K1595" s="4" t="str">
        <f>IFERROR(__xludf.DUMMYFUNCTION("""COMPUTED_VALUE"""),"")</f>
        <v/>
      </c>
      <c r="L1595" s="4" t="str">
        <f>IFERROR(__xludf.DUMMYFUNCTION("""COMPUTED_VALUE"""),"")</f>
        <v/>
      </c>
      <c r="M1595" s="4" t="str">
        <f>IFERROR(__xludf.DUMMYFUNCTION("""COMPUTED_VALUE"""),"")</f>
        <v/>
      </c>
      <c r="N1595" s="4" t="str">
        <f>IFERROR(__xludf.DUMMYFUNCTION("""COMPUTED_VALUE"""),"")</f>
        <v/>
      </c>
      <c r="O1595" s="4" t="str">
        <f>IFERROR(__xludf.DUMMYFUNCTION("""COMPUTED_VALUE"""),"")</f>
        <v/>
      </c>
      <c r="P1595" s="4" t="str">
        <f>IFERROR(__xludf.DUMMYFUNCTION("""COMPUTED_VALUE"""),"")</f>
        <v/>
      </c>
      <c r="Q1595" s="4" t="str">
        <f>IFERROR(__xludf.DUMMYFUNCTION("""COMPUTED_VALUE"""),"")</f>
        <v/>
      </c>
      <c r="R1595" s="4" t="str">
        <f>IFERROR(__xludf.DUMMYFUNCTION("""COMPUTED_VALUE"""),"")</f>
        <v/>
      </c>
      <c r="S1595" s="4" t="str">
        <f>IFERROR(__xludf.DUMMYFUNCTION("""COMPUTED_VALUE"""),"")</f>
        <v/>
      </c>
      <c r="T1595" s="4" t="str">
        <f>IFERROR(__xludf.DUMMYFUNCTION("""COMPUTED_VALUE"""),"")</f>
        <v/>
      </c>
      <c r="U1595" s="4" t="str">
        <f>IFERROR(__xludf.DUMMYFUNCTION("""COMPUTED_VALUE"""),"")</f>
        <v/>
      </c>
      <c r="V1595" s="4" t="str">
        <f>IFERROR(__xludf.DUMMYFUNCTION("""COMPUTED_VALUE"""),"")</f>
        <v/>
      </c>
      <c r="W1595" s="4" t="str">
        <f>IFERROR(__xludf.DUMMYFUNCTION("""COMPUTED_VALUE"""),"")</f>
        <v/>
      </c>
      <c r="X1595" s="4" t="str">
        <f>IFERROR(__xludf.DUMMYFUNCTION("""COMPUTED_VALUE"""),"")</f>
        <v/>
      </c>
      <c r="Y1595" s="4" t="str">
        <f>IFERROR(__xludf.DUMMYFUNCTION("""COMPUTED_VALUE"""),"")</f>
        <v/>
      </c>
    </row>
    <row r="1596">
      <c r="A1596" s="4" t="str">
        <f>IFERROR(__xludf.DUMMYFUNCTION("""COMPUTED_VALUE"""),"2147 - Channel")</f>
        <v>2147 - Channel</v>
      </c>
      <c r="B1596" s="4" t="str">
        <f>IFERROR(__xludf.DUMMYFUNCTION("""COMPUTED_VALUE"""),"")</f>
        <v/>
      </c>
      <c r="C1596" s="4" t="str">
        <f>IFERROR(__xludf.DUMMYFUNCTION("""COMPUTED_VALUE"""),"")</f>
        <v/>
      </c>
      <c r="D1596" s="4" t="str">
        <f>IFERROR(__xludf.DUMMYFUNCTION("""COMPUTED_VALUE"""),"")</f>
        <v/>
      </c>
      <c r="E1596" s="4" t="str">
        <f>IFERROR(__xludf.DUMMYFUNCTION("""COMPUTED_VALUE"""),"")</f>
        <v/>
      </c>
      <c r="F1596" s="4" t="str">
        <f>IFERROR(__xludf.DUMMYFUNCTION("""COMPUTED_VALUE"""),"")</f>
        <v/>
      </c>
      <c r="G1596" s="4" t="str">
        <f>IFERROR(__xludf.DUMMYFUNCTION("""COMPUTED_VALUE"""),"")</f>
        <v/>
      </c>
      <c r="H1596" s="4" t="str">
        <f>IFERROR(__xludf.DUMMYFUNCTION("""COMPUTED_VALUE"""),"")</f>
        <v/>
      </c>
      <c r="I1596" s="4" t="str">
        <f>IFERROR(__xludf.DUMMYFUNCTION("""COMPUTED_VALUE"""),"")</f>
        <v/>
      </c>
      <c r="J1596" s="4" t="str">
        <f>IFERROR(__xludf.DUMMYFUNCTION("""COMPUTED_VALUE"""),"")</f>
        <v/>
      </c>
      <c r="K1596" s="4" t="str">
        <f>IFERROR(__xludf.DUMMYFUNCTION("""COMPUTED_VALUE"""),"")</f>
        <v/>
      </c>
      <c r="L1596" s="4" t="str">
        <f>IFERROR(__xludf.DUMMYFUNCTION("""COMPUTED_VALUE"""),"")</f>
        <v/>
      </c>
      <c r="M1596" s="4" t="str">
        <f>IFERROR(__xludf.DUMMYFUNCTION("""COMPUTED_VALUE"""),"")</f>
        <v/>
      </c>
      <c r="N1596" s="4" t="str">
        <f>IFERROR(__xludf.DUMMYFUNCTION("""COMPUTED_VALUE"""),"")</f>
        <v/>
      </c>
      <c r="O1596" s="4" t="str">
        <f>IFERROR(__xludf.DUMMYFUNCTION("""COMPUTED_VALUE"""),"")</f>
        <v/>
      </c>
      <c r="P1596" s="4" t="str">
        <f>IFERROR(__xludf.DUMMYFUNCTION("""COMPUTED_VALUE"""),"")</f>
        <v/>
      </c>
      <c r="Q1596" s="4" t="str">
        <f>IFERROR(__xludf.DUMMYFUNCTION("""COMPUTED_VALUE"""),"")</f>
        <v/>
      </c>
      <c r="R1596" s="4" t="str">
        <f>IFERROR(__xludf.DUMMYFUNCTION("""COMPUTED_VALUE"""),"")</f>
        <v/>
      </c>
      <c r="S1596" s="4" t="str">
        <f>IFERROR(__xludf.DUMMYFUNCTION("""COMPUTED_VALUE"""),"")</f>
        <v/>
      </c>
      <c r="T1596" s="4" t="str">
        <f>IFERROR(__xludf.DUMMYFUNCTION("""COMPUTED_VALUE"""),"")</f>
        <v/>
      </c>
      <c r="U1596" s="4" t="str">
        <f>IFERROR(__xludf.DUMMYFUNCTION("""COMPUTED_VALUE"""),"")</f>
        <v/>
      </c>
      <c r="V1596" s="4" t="str">
        <f>IFERROR(__xludf.DUMMYFUNCTION("""COMPUTED_VALUE"""),"")</f>
        <v/>
      </c>
      <c r="W1596" s="4" t="str">
        <f>IFERROR(__xludf.DUMMYFUNCTION("""COMPUTED_VALUE"""),"")</f>
        <v/>
      </c>
      <c r="X1596" s="4" t="str">
        <f>IFERROR(__xludf.DUMMYFUNCTION("""COMPUTED_VALUE"""),"")</f>
        <v/>
      </c>
      <c r="Y1596" s="4" t="str">
        <f>IFERROR(__xludf.DUMMYFUNCTION("""COMPUTED_VALUE"""),"")</f>
        <v/>
      </c>
    </row>
    <row r="1597">
      <c r="A1597" s="4" t="str">
        <f>IFERROR(__xludf.DUMMYFUNCTION("""COMPUTED_VALUE"""),"2148 - Channel")</f>
        <v>2148 - Channel</v>
      </c>
      <c r="B1597" s="4" t="str">
        <f>IFERROR(__xludf.DUMMYFUNCTION("""COMPUTED_VALUE"""),"")</f>
        <v/>
      </c>
      <c r="C1597" s="4" t="str">
        <f>IFERROR(__xludf.DUMMYFUNCTION("""COMPUTED_VALUE"""),"")</f>
        <v/>
      </c>
      <c r="D1597" s="4" t="str">
        <f>IFERROR(__xludf.DUMMYFUNCTION("""COMPUTED_VALUE"""),"")</f>
        <v/>
      </c>
      <c r="E1597" s="4" t="str">
        <f>IFERROR(__xludf.DUMMYFUNCTION("""COMPUTED_VALUE"""),"")</f>
        <v/>
      </c>
      <c r="F1597" s="4" t="str">
        <f>IFERROR(__xludf.DUMMYFUNCTION("""COMPUTED_VALUE"""),"")</f>
        <v/>
      </c>
      <c r="G1597" s="4" t="str">
        <f>IFERROR(__xludf.DUMMYFUNCTION("""COMPUTED_VALUE"""),"")</f>
        <v/>
      </c>
      <c r="H1597" s="4" t="str">
        <f>IFERROR(__xludf.DUMMYFUNCTION("""COMPUTED_VALUE"""),"")</f>
        <v/>
      </c>
      <c r="I1597" s="4" t="str">
        <f>IFERROR(__xludf.DUMMYFUNCTION("""COMPUTED_VALUE"""),"")</f>
        <v/>
      </c>
      <c r="J1597" s="4" t="str">
        <f>IFERROR(__xludf.DUMMYFUNCTION("""COMPUTED_VALUE"""),"")</f>
        <v/>
      </c>
      <c r="K1597" s="4" t="str">
        <f>IFERROR(__xludf.DUMMYFUNCTION("""COMPUTED_VALUE"""),"")</f>
        <v/>
      </c>
      <c r="L1597" s="4" t="str">
        <f>IFERROR(__xludf.DUMMYFUNCTION("""COMPUTED_VALUE"""),"")</f>
        <v/>
      </c>
      <c r="M1597" s="4" t="str">
        <f>IFERROR(__xludf.DUMMYFUNCTION("""COMPUTED_VALUE"""),"")</f>
        <v/>
      </c>
      <c r="N1597" s="4" t="str">
        <f>IFERROR(__xludf.DUMMYFUNCTION("""COMPUTED_VALUE"""),"")</f>
        <v/>
      </c>
      <c r="O1597" s="4" t="str">
        <f>IFERROR(__xludf.DUMMYFUNCTION("""COMPUTED_VALUE"""),"")</f>
        <v/>
      </c>
      <c r="P1597" s="4" t="str">
        <f>IFERROR(__xludf.DUMMYFUNCTION("""COMPUTED_VALUE"""),"")</f>
        <v/>
      </c>
      <c r="Q1597" s="4" t="str">
        <f>IFERROR(__xludf.DUMMYFUNCTION("""COMPUTED_VALUE"""),"")</f>
        <v/>
      </c>
      <c r="R1597" s="4" t="str">
        <f>IFERROR(__xludf.DUMMYFUNCTION("""COMPUTED_VALUE"""),"")</f>
        <v/>
      </c>
      <c r="S1597" s="4" t="str">
        <f>IFERROR(__xludf.DUMMYFUNCTION("""COMPUTED_VALUE"""),"")</f>
        <v/>
      </c>
      <c r="T1597" s="4" t="str">
        <f>IFERROR(__xludf.DUMMYFUNCTION("""COMPUTED_VALUE"""),"")</f>
        <v/>
      </c>
      <c r="U1597" s="4" t="str">
        <f>IFERROR(__xludf.DUMMYFUNCTION("""COMPUTED_VALUE"""),"")</f>
        <v/>
      </c>
      <c r="V1597" s="4" t="str">
        <f>IFERROR(__xludf.DUMMYFUNCTION("""COMPUTED_VALUE"""),"")</f>
        <v/>
      </c>
      <c r="W1597" s="4" t="str">
        <f>IFERROR(__xludf.DUMMYFUNCTION("""COMPUTED_VALUE"""),"")</f>
        <v/>
      </c>
      <c r="X1597" s="4" t="str">
        <f>IFERROR(__xludf.DUMMYFUNCTION("""COMPUTED_VALUE"""),"")</f>
        <v/>
      </c>
      <c r="Y1597" s="4" t="str">
        <f>IFERROR(__xludf.DUMMYFUNCTION("""COMPUTED_VALUE"""),"")</f>
        <v/>
      </c>
    </row>
    <row r="1598">
      <c r="A1598" s="4" t="str">
        <f>IFERROR(__xludf.DUMMYFUNCTION("""COMPUTED_VALUE"""),"2149 - Channel")</f>
        <v>2149 - Channel</v>
      </c>
      <c r="B1598" s="4" t="str">
        <f>IFERROR(__xludf.DUMMYFUNCTION("""COMPUTED_VALUE"""),"")</f>
        <v/>
      </c>
      <c r="C1598" s="4" t="str">
        <f>IFERROR(__xludf.DUMMYFUNCTION("""COMPUTED_VALUE"""),"")</f>
        <v/>
      </c>
      <c r="D1598" s="4" t="str">
        <f>IFERROR(__xludf.DUMMYFUNCTION("""COMPUTED_VALUE"""),"")</f>
        <v/>
      </c>
      <c r="E1598" s="4" t="str">
        <f>IFERROR(__xludf.DUMMYFUNCTION("""COMPUTED_VALUE"""),"")</f>
        <v/>
      </c>
      <c r="F1598" s="4" t="str">
        <f>IFERROR(__xludf.DUMMYFUNCTION("""COMPUTED_VALUE"""),"")</f>
        <v/>
      </c>
      <c r="G1598" s="4" t="str">
        <f>IFERROR(__xludf.DUMMYFUNCTION("""COMPUTED_VALUE"""),"")</f>
        <v/>
      </c>
      <c r="H1598" s="4" t="str">
        <f>IFERROR(__xludf.DUMMYFUNCTION("""COMPUTED_VALUE"""),"")</f>
        <v/>
      </c>
      <c r="I1598" s="4" t="str">
        <f>IFERROR(__xludf.DUMMYFUNCTION("""COMPUTED_VALUE"""),"")</f>
        <v/>
      </c>
      <c r="J1598" s="4" t="str">
        <f>IFERROR(__xludf.DUMMYFUNCTION("""COMPUTED_VALUE"""),"")</f>
        <v/>
      </c>
      <c r="K1598" s="4" t="str">
        <f>IFERROR(__xludf.DUMMYFUNCTION("""COMPUTED_VALUE"""),"")</f>
        <v/>
      </c>
      <c r="L1598" s="4" t="str">
        <f>IFERROR(__xludf.DUMMYFUNCTION("""COMPUTED_VALUE"""),"")</f>
        <v/>
      </c>
      <c r="M1598" s="4" t="str">
        <f>IFERROR(__xludf.DUMMYFUNCTION("""COMPUTED_VALUE"""),"")</f>
        <v/>
      </c>
      <c r="N1598" s="4" t="str">
        <f>IFERROR(__xludf.DUMMYFUNCTION("""COMPUTED_VALUE"""),"")</f>
        <v/>
      </c>
      <c r="O1598" s="4" t="str">
        <f>IFERROR(__xludf.DUMMYFUNCTION("""COMPUTED_VALUE"""),"")</f>
        <v/>
      </c>
      <c r="P1598" s="4" t="str">
        <f>IFERROR(__xludf.DUMMYFUNCTION("""COMPUTED_VALUE"""),"")</f>
        <v/>
      </c>
      <c r="Q1598" s="4" t="str">
        <f>IFERROR(__xludf.DUMMYFUNCTION("""COMPUTED_VALUE"""),"")</f>
        <v/>
      </c>
      <c r="R1598" s="4" t="str">
        <f>IFERROR(__xludf.DUMMYFUNCTION("""COMPUTED_VALUE"""),"")</f>
        <v/>
      </c>
      <c r="S1598" s="4" t="str">
        <f>IFERROR(__xludf.DUMMYFUNCTION("""COMPUTED_VALUE"""),"")</f>
        <v/>
      </c>
      <c r="T1598" s="4" t="str">
        <f>IFERROR(__xludf.DUMMYFUNCTION("""COMPUTED_VALUE"""),"")</f>
        <v/>
      </c>
      <c r="U1598" s="4" t="str">
        <f>IFERROR(__xludf.DUMMYFUNCTION("""COMPUTED_VALUE"""),"")</f>
        <v/>
      </c>
      <c r="V1598" s="4" t="str">
        <f>IFERROR(__xludf.DUMMYFUNCTION("""COMPUTED_VALUE"""),"")</f>
        <v/>
      </c>
      <c r="W1598" s="4" t="str">
        <f>IFERROR(__xludf.DUMMYFUNCTION("""COMPUTED_VALUE"""),"")</f>
        <v/>
      </c>
      <c r="X1598" s="4" t="str">
        <f>IFERROR(__xludf.DUMMYFUNCTION("""COMPUTED_VALUE"""),"")</f>
        <v/>
      </c>
      <c r="Y1598" s="4" t="str">
        <f>IFERROR(__xludf.DUMMYFUNCTION("""COMPUTED_VALUE"""),"")</f>
        <v/>
      </c>
    </row>
    <row r="1599">
      <c r="A1599" s="4" t="str">
        <f>IFERROR(__xludf.DUMMYFUNCTION("""COMPUTED_VALUE"""),"2150 - Channel")</f>
        <v>2150 - Channel</v>
      </c>
      <c r="B1599" s="4" t="str">
        <f>IFERROR(__xludf.DUMMYFUNCTION("""COMPUTED_VALUE"""),"")</f>
        <v/>
      </c>
      <c r="C1599" s="4" t="str">
        <f>IFERROR(__xludf.DUMMYFUNCTION("""COMPUTED_VALUE"""),"")</f>
        <v/>
      </c>
      <c r="D1599" s="4" t="str">
        <f>IFERROR(__xludf.DUMMYFUNCTION("""COMPUTED_VALUE"""),"")</f>
        <v/>
      </c>
      <c r="E1599" s="4" t="str">
        <f>IFERROR(__xludf.DUMMYFUNCTION("""COMPUTED_VALUE"""),"")</f>
        <v/>
      </c>
      <c r="F1599" s="4" t="str">
        <f>IFERROR(__xludf.DUMMYFUNCTION("""COMPUTED_VALUE"""),"")</f>
        <v/>
      </c>
      <c r="G1599" s="4" t="str">
        <f>IFERROR(__xludf.DUMMYFUNCTION("""COMPUTED_VALUE"""),"")</f>
        <v/>
      </c>
      <c r="H1599" s="4" t="str">
        <f>IFERROR(__xludf.DUMMYFUNCTION("""COMPUTED_VALUE"""),"")</f>
        <v/>
      </c>
      <c r="I1599" s="4" t="str">
        <f>IFERROR(__xludf.DUMMYFUNCTION("""COMPUTED_VALUE"""),"")</f>
        <v/>
      </c>
      <c r="J1599" s="4" t="str">
        <f>IFERROR(__xludf.DUMMYFUNCTION("""COMPUTED_VALUE"""),"")</f>
        <v/>
      </c>
      <c r="K1599" s="4" t="str">
        <f>IFERROR(__xludf.DUMMYFUNCTION("""COMPUTED_VALUE"""),"")</f>
        <v/>
      </c>
      <c r="L1599" s="4" t="str">
        <f>IFERROR(__xludf.DUMMYFUNCTION("""COMPUTED_VALUE"""),"")</f>
        <v/>
      </c>
      <c r="M1599" s="4" t="str">
        <f>IFERROR(__xludf.DUMMYFUNCTION("""COMPUTED_VALUE"""),"")</f>
        <v/>
      </c>
      <c r="N1599" s="4" t="str">
        <f>IFERROR(__xludf.DUMMYFUNCTION("""COMPUTED_VALUE"""),"")</f>
        <v/>
      </c>
      <c r="O1599" s="4" t="str">
        <f>IFERROR(__xludf.DUMMYFUNCTION("""COMPUTED_VALUE"""),"")</f>
        <v/>
      </c>
      <c r="P1599" s="4" t="str">
        <f>IFERROR(__xludf.DUMMYFUNCTION("""COMPUTED_VALUE"""),"")</f>
        <v/>
      </c>
      <c r="Q1599" s="4" t="str">
        <f>IFERROR(__xludf.DUMMYFUNCTION("""COMPUTED_VALUE"""),"")</f>
        <v/>
      </c>
      <c r="R1599" s="4" t="str">
        <f>IFERROR(__xludf.DUMMYFUNCTION("""COMPUTED_VALUE"""),"")</f>
        <v/>
      </c>
      <c r="S1599" s="4" t="str">
        <f>IFERROR(__xludf.DUMMYFUNCTION("""COMPUTED_VALUE"""),"")</f>
        <v/>
      </c>
      <c r="T1599" s="4" t="str">
        <f>IFERROR(__xludf.DUMMYFUNCTION("""COMPUTED_VALUE"""),"")</f>
        <v/>
      </c>
      <c r="U1599" s="4" t="str">
        <f>IFERROR(__xludf.DUMMYFUNCTION("""COMPUTED_VALUE"""),"")</f>
        <v/>
      </c>
      <c r="V1599" s="4" t="str">
        <f>IFERROR(__xludf.DUMMYFUNCTION("""COMPUTED_VALUE"""),"")</f>
        <v/>
      </c>
      <c r="W1599" s="4" t="str">
        <f>IFERROR(__xludf.DUMMYFUNCTION("""COMPUTED_VALUE"""),"")</f>
        <v/>
      </c>
      <c r="X1599" s="4" t="str">
        <f>IFERROR(__xludf.DUMMYFUNCTION("""COMPUTED_VALUE"""),"")</f>
        <v/>
      </c>
      <c r="Y1599" s="4" t="str">
        <f>IFERROR(__xludf.DUMMYFUNCTION("""COMPUTED_VALUE"""),"")</f>
        <v/>
      </c>
    </row>
    <row r="1600">
      <c r="A1600" s="4" t="str">
        <f>IFERROR(__xludf.DUMMYFUNCTION("""COMPUTED_VALUE"""),"2151 - Channel")</f>
        <v>2151 - Channel</v>
      </c>
      <c r="B1600" s="4" t="str">
        <f>IFERROR(__xludf.DUMMYFUNCTION("""COMPUTED_VALUE"""),"")</f>
        <v/>
      </c>
      <c r="C1600" s="4" t="str">
        <f>IFERROR(__xludf.DUMMYFUNCTION("""COMPUTED_VALUE"""),"")</f>
        <v/>
      </c>
      <c r="D1600" s="4" t="str">
        <f>IFERROR(__xludf.DUMMYFUNCTION("""COMPUTED_VALUE"""),"")</f>
        <v/>
      </c>
      <c r="E1600" s="4" t="str">
        <f>IFERROR(__xludf.DUMMYFUNCTION("""COMPUTED_VALUE"""),"")</f>
        <v/>
      </c>
      <c r="F1600" s="4" t="str">
        <f>IFERROR(__xludf.DUMMYFUNCTION("""COMPUTED_VALUE"""),"")</f>
        <v/>
      </c>
      <c r="G1600" s="4" t="str">
        <f>IFERROR(__xludf.DUMMYFUNCTION("""COMPUTED_VALUE"""),"")</f>
        <v/>
      </c>
      <c r="H1600" s="4" t="str">
        <f>IFERROR(__xludf.DUMMYFUNCTION("""COMPUTED_VALUE"""),"")</f>
        <v/>
      </c>
      <c r="I1600" s="4" t="str">
        <f>IFERROR(__xludf.DUMMYFUNCTION("""COMPUTED_VALUE"""),"")</f>
        <v/>
      </c>
      <c r="J1600" s="4" t="str">
        <f>IFERROR(__xludf.DUMMYFUNCTION("""COMPUTED_VALUE"""),"")</f>
        <v/>
      </c>
      <c r="K1600" s="4" t="str">
        <f>IFERROR(__xludf.DUMMYFUNCTION("""COMPUTED_VALUE"""),"")</f>
        <v/>
      </c>
      <c r="L1600" s="4" t="str">
        <f>IFERROR(__xludf.DUMMYFUNCTION("""COMPUTED_VALUE"""),"")</f>
        <v/>
      </c>
      <c r="M1600" s="4" t="str">
        <f>IFERROR(__xludf.DUMMYFUNCTION("""COMPUTED_VALUE"""),"")</f>
        <v/>
      </c>
      <c r="N1600" s="4" t="str">
        <f>IFERROR(__xludf.DUMMYFUNCTION("""COMPUTED_VALUE"""),"")</f>
        <v/>
      </c>
      <c r="O1600" s="4" t="str">
        <f>IFERROR(__xludf.DUMMYFUNCTION("""COMPUTED_VALUE"""),"")</f>
        <v/>
      </c>
      <c r="P1600" s="4" t="str">
        <f>IFERROR(__xludf.DUMMYFUNCTION("""COMPUTED_VALUE"""),"")</f>
        <v/>
      </c>
      <c r="Q1600" s="4" t="str">
        <f>IFERROR(__xludf.DUMMYFUNCTION("""COMPUTED_VALUE"""),"")</f>
        <v/>
      </c>
      <c r="R1600" s="4" t="str">
        <f>IFERROR(__xludf.DUMMYFUNCTION("""COMPUTED_VALUE"""),"")</f>
        <v/>
      </c>
      <c r="S1600" s="4" t="str">
        <f>IFERROR(__xludf.DUMMYFUNCTION("""COMPUTED_VALUE"""),"")</f>
        <v/>
      </c>
      <c r="T1600" s="4" t="str">
        <f>IFERROR(__xludf.DUMMYFUNCTION("""COMPUTED_VALUE"""),"")</f>
        <v/>
      </c>
      <c r="U1600" s="4" t="str">
        <f>IFERROR(__xludf.DUMMYFUNCTION("""COMPUTED_VALUE"""),"")</f>
        <v/>
      </c>
      <c r="V1600" s="4" t="str">
        <f>IFERROR(__xludf.DUMMYFUNCTION("""COMPUTED_VALUE"""),"")</f>
        <v/>
      </c>
      <c r="W1600" s="4" t="str">
        <f>IFERROR(__xludf.DUMMYFUNCTION("""COMPUTED_VALUE"""),"")</f>
        <v/>
      </c>
      <c r="X1600" s="4" t="str">
        <f>IFERROR(__xludf.DUMMYFUNCTION("""COMPUTED_VALUE"""),"")</f>
        <v/>
      </c>
      <c r="Y1600" s="4" t="str">
        <f>IFERROR(__xludf.DUMMYFUNCTION("""COMPUTED_VALUE"""),"")</f>
        <v/>
      </c>
    </row>
    <row r="1601">
      <c r="A1601" s="4" t="str">
        <f>IFERROR(__xludf.DUMMYFUNCTION("""COMPUTED_VALUE"""),"2152 - Channel")</f>
        <v>2152 - Channel</v>
      </c>
      <c r="B1601" s="4" t="str">
        <f>IFERROR(__xludf.DUMMYFUNCTION("""COMPUTED_VALUE"""),"")</f>
        <v/>
      </c>
      <c r="C1601" s="4" t="str">
        <f>IFERROR(__xludf.DUMMYFUNCTION("""COMPUTED_VALUE"""),"")</f>
        <v/>
      </c>
      <c r="D1601" s="4" t="str">
        <f>IFERROR(__xludf.DUMMYFUNCTION("""COMPUTED_VALUE"""),"")</f>
        <v/>
      </c>
      <c r="E1601" s="4" t="str">
        <f>IFERROR(__xludf.DUMMYFUNCTION("""COMPUTED_VALUE"""),"")</f>
        <v/>
      </c>
      <c r="F1601" s="4" t="str">
        <f>IFERROR(__xludf.DUMMYFUNCTION("""COMPUTED_VALUE"""),"")</f>
        <v/>
      </c>
      <c r="G1601" s="4" t="str">
        <f>IFERROR(__xludf.DUMMYFUNCTION("""COMPUTED_VALUE"""),"")</f>
        <v/>
      </c>
      <c r="H1601" s="4" t="str">
        <f>IFERROR(__xludf.DUMMYFUNCTION("""COMPUTED_VALUE"""),"")</f>
        <v/>
      </c>
      <c r="I1601" s="4" t="str">
        <f>IFERROR(__xludf.DUMMYFUNCTION("""COMPUTED_VALUE"""),"")</f>
        <v/>
      </c>
      <c r="J1601" s="4" t="str">
        <f>IFERROR(__xludf.DUMMYFUNCTION("""COMPUTED_VALUE"""),"")</f>
        <v/>
      </c>
      <c r="K1601" s="4" t="str">
        <f>IFERROR(__xludf.DUMMYFUNCTION("""COMPUTED_VALUE"""),"")</f>
        <v/>
      </c>
      <c r="L1601" s="4" t="str">
        <f>IFERROR(__xludf.DUMMYFUNCTION("""COMPUTED_VALUE"""),"")</f>
        <v/>
      </c>
      <c r="M1601" s="4" t="str">
        <f>IFERROR(__xludf.DUMMYFUNCTION("""COMPUTED_VALUE"""),"")</f>
        <v/>
      </c>
      <c r="N1601" s="4" t="str">
        <f>IFERROR(__xludf.DUMMYFUNCTION("""COMPUTED_VALUE"""),"")</f>
        <v/>
      </c>
      <c r="O1601" s="4" t="str">
        <f>IFERROR(__xludf.DUMMYFUNCTION("""COMPUTED_VALUE"""),"")</f>
        <v/>
      </c>
      <c r="P1601" s="4" t="str">
        <f>IFERROR(__xludf.DUMMYFUNCTION("""COMPUTED_VALUE"""),"")</f>
        <v/>
      </c>
      <c r="Q1601" s="4" t="str">
        <f>IFERROR(__xludf.DUMMYFUNCTION("""COMPUTED_VALUE"""),"")</f>
        <v/>
      </c>
      <c r="R1601" s="4" t="str">
        <f>IFERROR(__xludf.DUMMYFUNCTION("""COMPUTED_VALUE"""),"")</f>
        <v/>
      </c>
      <c r="S1601" s="4" t="str">
        <f>IFERROR(__xludf.DUMMYFUNCTION("""COMPUTED_VALUE"""),"")</f>
        <v/>
      </c>
      <c r="T1601" s="4" t="str">
        <f>IFERROR(__xludf.DUMMYFUNCTION("""COMPUTED_VALUE"""),"")</f>
        <v/>
      </c>
      <c r="U1601" s="4" t="str">
        <f>IFERROR(__xludf.DUMMYFUNCTION("""COMPUTED_VALUE"""),"")</f>
        <v/>
      </c>
      <c r="V1601" s="4" t="str">
        <f>IFERROR(__xludf.DUMMYFUNCTION("""COMPUTED_VALUE"""),"")</f>
        <v/>
      </c>
      <c r="W1601" s="4" t="str">
        <f>IFERROR(__xludf.DUMMYFUNCTION("""COMPUTED_VALUE"""),"")</f>
        <v/>
      </c>
      <c r="X1601" s="4" t="str">
        <f>IFERROR(__xludf.DUMMYFUNCTION("""COMPUTED_VALUE"""),"")</f>
        <v/>
      </c>
      <c r="Y1601" s="4" t="str">
        <f>IFERROR(__xludf.DUMMYFUNCTION("""COMPUTED_VALUE"""),"")</f>
        <v/>
      </c>
    </row>
    <row r="1602">
      <c r="A1602" s="4" t="str">
        <f>IFERROR(__xludf.DUMMYFUNCTION("""COMPUTED_VALUE"""),"2153 - Channel")</f>
        <v>2153 - Channel</v>
      </c>
      <c r="B1602" s="4" t="str">
        <f>IFERROR(__xludf.DUMMYFUNCTION("""COMPUTED_VALUE"""),"")</f>
        <v/>
      </c>
      <c r="C1602" s="4" t="str">
        <f>IFERROR(__xludf.DUMMYFUNCTION("""COMPUTED_VALUE"""),"")</f>
        <v/>
      </c>
      <c r="D1602" s="4" t="str">
        <f>IFERROR(__xludf.DUMMYFUNCTION("""COMPUTED_VALUE"""),"")</f>
        <v/>
      </c>
      <c r="E1602" s="4" t="str">
        <f>IFERROR(__xludf.DUMMYFUNCTION("""COMPUTED_VALUE"""),"")</f>
        <v/>
      </c>
      <c r="F1602" s="4" t="str">
        <f>IFERROR(__xludf.DUMMYFUNCTION("""COMPUTED_VALUE"""),"")</f>
        <v/>
      </c>
      <c r="G1602" s="4" t="str">
        <f>IFERROR(__xludf.DUMMYFUNCTION("""COMPUTED_VALUE"""),"")</f>
        <v/>
      </c>
      <c r="H1602" s="4" t="str">
        <f>IFERROR(__xludf.DUMMYFUNCTION("""COMPUTED_VALUE"""),"")</f>
        <v/>
      </c>
      <c r="I1602" s="4" t="str">
        <f>IFERROR(__xludf.DUMMYFUNCTION("""COMPUTED_VALUE"""),"")</f>
        <v/>
      </c>
      <c r="J1602" s="4" t="str">
        <f>IFERROR(__xludf.DUMMYFUNCTION("""COMPUTED_VALUE"""),"")</f>
        <v/>
      </c>
      <c r="K1602" s="4" t="str">
        <f>IFERROR(__xludf.DUMMYFUNCTION("""COMPUTED_VALUE"""),"")</f>
        <v/>
      </c>
      <c r="L1602" s="4" t="str">
        <f>IFERROR(__xludf.DUMMYFUNCTION("""COMPUTED_VALUE"""),"")</f>
        <v/>
      </c>
      <c r="M1602" s="4" t="str">
        <f>IFERROR(__xludf.DUMMYFUNCTION("""COMPUTED_VALUE"""),"")</f>
        <v/>
      </c>
      <c r="N1602" s="4" t="str">
        <f>IFERROR(__xludf.DUMMYFUNCTION("""COMPUTED_VALUE"""),"")</f>
        <v/>
      </c>
      <c r="O1602" s="4" t="str">
        <f>IFERROR(__xludf.DUMMYFUNCTION("""COMPUTED_VALUE"""),"")</f>
        <v/>
      </c>
      <c r="P1602" s="4" t="str">
        <f>IFERROR(__xludf.DUMMYFUNCTION("""COMPUTED_VALUE"""),"")</f>
        <v/>
      </c>
      <c r="Q1602" s="4" t="str">
        <f>IFERROR(__xludf.DUMMYFUNCTION("""COMPUTED_VALUE"""),"")</f>
        <v/>
      </c>
      <c r="R1602" s="4" t="str">
        <f>IFERROR(__xludf.DUMMYFUNCTION("""COMPUTED_VALUE"""),"")</f>
        <v/>
      </c>
      <c r="S1602" s="4" t="str">
        <f>IFERROR(__xludf.DUMMYFUNCTION("""COMPUTED_VALUE"""),"")</f>
        <v/>
      </c>
      <c r="T1602" s="4" t="str">
        <f>IFERROR(__xludf.DUMMYFUNCTION("""COMPUTED_VALUE"""),"")</f>
        <v/>
      </c>
      <c r="U1602" s="4" t="str">
        <f>IFERROR(__xludf.DUMMYFUNCTION("""COMPUTED_VALUE"""),"")</f>
        <v/>
      </c>
      <c r="V1602" s="4" t="str">
        <f>IFERROR(__xludf.DUMMYFUNCTION("""COMPUTED_VALUE"""),"")</f>
        <v/>
      </c>
      <c r="W1602" s="4" t="str">
        <f>IFERROR(__xludf.DUMMYFUNCTION("""COMPUTED_VALUE"""),"")</f>
        <v/>
      </c>
      <c r="X1602" s="4" t="str">
        <f>IFERROR(__xludf.DUMMYFUNCTION("""COMPUTED_VALUE"""),"")</f>
        <v/>
      </c>
      <c r="Y1602" s="4" t="str">
        <f>IFERROR(__xludf.DUMMYFUNCTION("""COMPUTED_VALUE"""),"")</f>
        <v/>
      </c>
    </row>
    <row r="1603">
      <c r="A1603" s="4" t="str">
        <f>IFERROR(__xludf.DUMMYFUNCTION("""COMPUTED_VALUE"""),"2154 - Channel")</f>
        <v>2154 - Channel</v>
      </c>
      <c r="B1603" s="4" t="str">
        <f>IFERROR(__xludf.DUMMYFUNCTION("""COMPUTED_VALUE"""),"")</f>
        <v/>
      </c>
      <c r="C1603" s="4" t="str">
        <f>IFERROR(__xludf.DUMMYFUNCTION("""COMPUTED_VALUE"""),"")</f>
        <v/>
      </c>
      <c r="D1603" s="4" t="str">
        <f>IFERROR(__xludf.DUMMYFUNCTION("""COMPUTED_VALUE"""),"")</f>
        <v/>
      </c>
      <c r="E1603" s="4" t="str">
        <f>IFERROR(__xludf.DUMMYFUNCTION("""COMPUTED_VALUE"""),"")</f>
        <v/>
      </c>
      <c r="F1603" s="4" t="str">
        <f>IFERROR(__xludf.DUMMYFUNCTION("""COMPUTED_VALUE"""),"")</f>
        <v/>
      </c>
      <c r="G1603" s="4" t="str">
        <f>IFERROR(__xludf.DUMMYFUNCTION("""COMPUTED_VALUE"""),"")</f>
        <v/>
      </c>
      <c r="H1603" s="4" t="str">
        <f>IFERROR(__xludf.DUMMYFUNCTION("""COMPUTED_VALUE"""),"")</f>
        <v/>
      </c>
      <c r="I1603" s="4" t="str">
        <f>IFERROR(__xludf.DUMMYFUNCTION("""COMPUTED_VALUE"""),"")</f>
        <v/>
      </c>
      <c r="J1603" s="4" t="str">
        <f>IFERROR(__xludf.DUMMYFUNCTION("""COMPUTED_VALUE"""),"")</f>
        <v/>
      </c>
      <c r="K1603" s="4" t="str">
        <f>IFERROR(__xludf.DUMMYFUNCTION("""COMPUTED_VALUE"""),"")</f>
        <v/>
      </c>
      <c r="L1603" s="4" t="str">
        <f>IFERROR(__xludf.DUMMYFUNCTION("""COMPUTED_VALUE"""),"")</f>
        <v/>
      </c>
      <c r="M1603" s="4" t="str">
        <f>IFERROR(__xludf.DUMMYFUNCTION("""COMPUTED_VALUE"""),"")</f>
        <v/>
      </c>
      <c r="N1603" s="4" t="str">
        <f>IFERROR(__xludf.DUMMYFUNCTION("""COMPUTED_VALUE"""),"")</f>
        <v/>
      </c>
      <c r="O1603" s="4" t="str">
        <f>IFERROR(__xludf.DUMMYFUNCTION("""COMPUTED_VALUE"""),"")</f>
        <v/>
      </c>
      <c r="P1603" s="4" t="str">
        <f>IFERROR(__xludf.DUMMYFUNCTION("""COMPUTED_VALUE"""),"")</f>
        <v/>
      </c>
      <c r="Q1603" s="4" t="str">
        <f>IFERROR(__xludf.DUMMYFUNCTION("""COMPUTED_VALUE"""),"")</f>
        <v/>
      </c>
      <c r="R1603" s="4" t="str">
        <f>IFERROR(__xludf.DUMMYFUNCTION("""COMPUTED_VALUE"""),"")</f>
        <v/>
      </c>
      <c r="S1603" s="4" t="str">
        <f>IFERROR(__xludf.DUMMYFUNCTION("""COMPUTED_VALUE"""),"")</f>
        <v/>
      </c>
      <c r="T1603" s="4" t="str">
        <f>IFERROR(__xludf.DUMMYFUNCTION("""COMPUTED_VALUE"""),"")</f>
        <v/>
      </c>
      <c r="U1603" s="4" t="str">
        <f>IFERROR(__xludf.DUMMYFUNCTION("""COMPUTED_VALUE"""),"")</f>
        <v/>
      </c>
      <c r="V1603" s="4" t="str">
        <f>IFERROR(__xludf.DUMMYFUNCTION("""COMPUTED_VALUE"""),"")</f>
        <v/>
      </c>
      <c r="W1603" s="4" t="str">
        <f>IFERROR(__xludf.DUMMYFUNCTION("""COMPUTED_VALUE"""),"")</f>
        <v/>
      </c>
      <c r="X1603" s="4" t="str">
        <f>IFERROR(__xludf.DUMMYFUNCTION("""COMPUTED_VALUE"""),"")</f>
        <v/>
      </c>
      <c r="Y1603" s="4" t="str">
        <f>IFERROR(__xludf.DUMMYFUNCTION("""COMPUTED_VALUE"""),"")</f>
        <v/>
      </c>
    </row>
    <row r="1604">
      <c r="A1604" s="4" t="str">
        <f>IFERROR(__xludf.DUMMYFUNCTION("""COMPUTED_VALUE"""),"2155 - Channel")</f>
        <v>2155 - Channel</v>
      </c>
      <c r="B1604" s="4" t="str">
        <f>IFERROR(__xludf.DUMMYFUNCTION("""COMPUTED_VALUE"""),"")</f>
        <v/>
      </c>
      <c r="C1604" s="4" t="str">
        <f>IFERROR(__xludf.DUMMYFUNCTION("""COMPUTED_VALUE"""),"")</f>
        <v/>
      </c>
      <c r="D1604" s="4" t="str">
        <f>IFERROR(__xludf.DUMMYFUNCTION("""COMPUTED_VALUE"""),"")</f>
        <v/>
      </c>
      <c r="E1604" s="4" t="str">
        <f>IFERROR(__xludf.DUMMYFUNCTION("""COMPUTED_VALUE"""),"")</f>
        <v/>
      </c>
      <c r="F1604" s="4" t="str">
        <f>IFERROR(__xludf.DUMMYFUNCTION("""COMPUTED_VALUE"""),"")</f>
        <v/>
      </c>
      <c r="G1604" s="4" t="str">
        <f>IFERROR(__xludf.DUMMYFUNCTION("""COMPUTED_VALUE"""),"")</f>
        <v/>
      </c>
      <c r="H1604" s="4" t="str">
        <f>IFERROR(__xludf.DUMMYFUNCTION("""COMPUTED_VALUE"""),"")</f>
        <v/>
      </c>
      <c r="I1604" s="4" t="str">
        <f>IFERROR(__xludf.DUMMYFUNCTION("""COMPUTED_VALUE"""),"")</f>
        <v/>
      </c>
      <c r="J1604" s="4" t="str">
        <f>IFERROR(__xludf.DUMMYFUNCTION("""COMPUTED_VALUE"""),"")</f>
        <v/>
      </c>
      <c r="K1604" s="4" t="str">
        <f>IFERROR(__xludf.DUMMYFUNCTION("""COMPUTED_VALUE"""),"")</f>
        <v/>
      </c>
      <c r="L1604" s="4" t="str">
        <f>IFERROR(__xludf.DUMMYFUNCTION("""COMPUTED_VALUE"""),"")</f>
        <v/>
      </c>
      <c r="M1604" s="4" t="str">
        <f>IFERROR(__xludf.DUMMYFUNCTION("""COMPUTED_VALUE"""),"")</f>
        <v/>
      </c>
      <c r="N1604" s="4" t="str">
        <f>IFERROR(__xludf.DUMMYFUNCTION("""COMPUTED_VALUE"""),"")</f>
        <v/>
      </c>
      <c r="O1604" s="4" t="str">
        <f>IFERROR(__xludf.DUMMYFUNCTION("""COMPUTED_VALUE"""),"")</f>
        <v/>
      </c>
      <c r="P1604" s="4" t="str">
        <f>IFERROR(__xludf.DUMMYFUNCTION("""COMPUTED_VALUE"""),"")</f>
        <v/>
      </c>
      <c r="Q1604" s="4" t="str">
        <f>IFERROR(__xludf.DUMMYFUNCTION("""COMPUTED_VALUE"""),"")</f>
        <v/>
      </c>
      <c r="R1604" s="4" t="str">
        <f>IFERROR(__xludf.DUMMYFUNCTION("""COMPUTED_VALUE"""),"")</f>
        <v/>
      </c>
      <c r="S1604" s="4" t="str">
        <f>IFERROR(__xludf.DUMMYFUNCTION("""COMPUTED_VALUE"""),"")</f>
        <v/>
      </c>
      <c r="T1604" s="4" t="str">
        <f>IFERROR(__xludf.DUMMYFUNCTION("""COMPUTED_VALUE"""),"")</f>
        <v/>
      </c>
      <c r="U1604" s="4" t="str">
        <f>IFERROR(__xludf.DUMMYFUNCTION("""COMPUTED_VALUE"""),"")</f>
        <v/>
      </c>
      <c r="V1604" s="4" t="str">
        <f>IFERROR(__xludf.DUMMYFUNCTION("""COMPUTED_VALUE"""),"")</f>
        <v/>
      </c>
      <c r="W1604" s="4" t="str">
        <f>IFERROR(__xludf.DUMMYFUNCTION("""COMPUTED_VALUE"""),"")</f>
        <v/>
      </c>
      <c r="X1604" s="4" t="str">
        <f>IFERROR(__xludf.DUMMYFUNCTION("""COMPUTED_VALUE"""),"")</f>
        <v/>
      </c>
      <c r="Y1604" s="4" t="str">
        <f>IFERROR(__xludf.DUMMYFUNCTION("""COMPUTED_VALUE"""),"")</f>
        <v/>
      </c>
    </row>
    <row r="1605">
      <c r="A1605" s="4" t="str">
        <f>IFERROR(__xludf.DUMMYFUNCTION("""COMPUTED_VALUE"""),"2156 - Channel")</f>
        <v>2156 - Channel</v>
      </c>
      <c r="B1605" s="4" t="str">
        <f>IFERROR(__xludf.DUMMYFUNCTION("""COMPUTED_VALUE"""),"")</f>
        <v/>
      </c>
      <c r="C1605" s="4" t="str">
        <f>IFERROR(__xludf.DUMMYFUNCTION("""COMPUTED_VALUE"""),"")</f>
        <v/>
      </c>
      <c r="D1605" s="4" t="str">
        <f>IFERROR(__xludf.DUMMYFUNCTION("""COMPUTED_VALUE"""),"")</f>
        <v/>
      </c>
      <c r="E1605" s="4" t="str">
        <f>IFERROR(__xludf.DUMMYFUNCTION("""COMPUTED_VALUE"""),"")</f>
        <v/>
      </c>
      <c r="F1605" s="4" t="str">
        <f>IFERROR(__xludf.DUMMYFUNCTION("""COMPUTED_VALUE"""),"")</f>
        <v/>
      </c>
      <c r="G1605" s="4" t="str">
        <f>IFERROR(__xludf.DUMMYFUNCTION("""COMPUTED_VALUE"""),"")</f>
        <v/>
      </c>
      <c r="H1605" s="4" t="str">
        <f>IFERROR(__xludf.DUMMYFUNCTION("""COMPUTED_VALUE"""),"")</f>
        <v/>
      </c>
      <c r="I1605" s="4" t="str">
        <f>IFERROR(__xludf.DUMMYFUNCTION("""COMPUTED_VALUE"""),"")</f>
        <v/>
      </c>
      <c r="J1605" s="4" t="str">
        <f>IFERROR(__xludf.DUMMYFUNCTION("""COMPUTED_VALUE"""),"")</f>
        <v/>
      </c>
      <c r="K1605" s="4" t="str">
        <f>IFERROR(__xludf.DUMMYFUNCTION("""COMPUTED_VALUE"""),"")</f>
        <v/>
      </c>
      <c r="L1605" s="4" t="str">
        <f>IFERROR(__xludf.DUMMYFUNCTION("""COMPUTED_VALUE"""),"")</f>
        <v/>
      </c>
      <c r="M1605" s="4" t="str">
        <f>IFERROR(__xludf.DUMMYFUNCTION("""COMPUTED_VALUE"""),"")</f>
        <v/>
      </c>
      <c r="N1605" s="4" t="str">
        <f>IFERROR(__xludf.DUMMYFUNCTION("""COMPUTED_VALUE"""),"")</f>
        <v/>
      </c>
      <c r="O1605" s="4" t="str">
        <f>IFERROR(__xludf.DUMMYFUNCTION("""COMPUTED_VALUE"""),"")</f>
        <v/>
      </c>
      <c r="P1605" s="4" t="str">
        <f>IFERROR(__xludf.DUMMYFUNCTION("""COMPUTED_VALUE"""),"")</f>
        <v/>
      </c>
      <c r="Q1605" s="4" t="str">
        <f>IFERROR(__xludf.DUMMYFUNCTION("""COMPUTED_VALUE"""),"")</f>
        <v/>
      </c>
      <c r="R1605" s="4" t="str">
        <f>IFERROR(__xludf.DUMMYFUNCTION("""COMPUTED_VALUE"""),"")</f>
        <v/>
      </c>
      <c r="S1605" s="4" t="str">
        <f>IFERROR(__xludf.DUMMYFUNCTION("""COMPUTED_VALUE"""),"")</f>
        <v/>
      </c>
      <c r="T1605" s="4" t="str">
        <f>IFERROR(__xludf.DUMMYFUNCTION("""COMPUTED_VALUE"""),"")</f>
        <v/>
      </c>
      <c r="U1605" s="4" t="str">
        <f>IFERROR(__xludf.DUMMYFUNCTION("""COMPUTED_VALUE"""),"")</f>
        <v/>
      </c>
      <c r="V1605" s="4" t="str">
        <f>IFERROR(__xludf.DUMMYFUNCTION("""COMPUTED_VALUE"""),"")</f>
        <v/>
      </c>
      <c r="W1605" s="4" t="str">
        <f>IFERROR(__xludf.DUMMYFUNCTION("""COMPUTED_VALUE"""),"")</f>
        <v/>
      </c>
      <c r="X1605" s="4" t="str">
        <f>IFERROR(__xludf.DUMMYFUNCTION("""COMPUTED_VALUE"""),"")</f>
        <v/>
      </c>
      <c r="Y1605" s="4" t="str">
        <f>IFERROR(__xludf.DUMMYFUNCTION("""COMPUTED_VALUE"""),"")</f>
        <v/>
      </c>
    </row>
    <row r="1606">
      <c r="A1606" s="4" t="str">
        <f>IFERROR(__xludf.DUMMYFUNCTION("""COMPUTED_VALUE"""),"2157 - Channel")</f>
        <v>2157 - Channel</v>
      </c>
      <c r="B1606" s="4" t="str">
        <f>IFERROR(__xludf.DUMMYFUNCTION("""COMPUTED_VALUE"""),"")</f>
        <v/>
      </c>
      <c r="C1606" s="4" t="str">
        <f>IFERROR(__xludf.DUMMYFUNCTION("""COMPUTED_VALUE"""),"")</f>
        <v/>
      </c>
      <c r="D1606" s="4" t="str">
        <f>IFERROR(__xludf.DUMMYFUNCTION("""COMPUTED_VALUE"""),"")</f>
        <v/>
      </c>
      <c r="E1606" s="4" t="str">
        <f>IFERROR(__xludf.DUMMYFUNCTION("""COMPUTED_VALUE"""),"")</f>
        <v/>
      </c>
      <c r="F1606" s="4" t="str">
        <f>IFERROR(__xludf.DUMMYFUNCTION("""COMPUTED_VALUE"""),"")</f>
        <v/>
      </c>
      <c r="G1606" s="4" t="str">
        <f>IFERROR(__xludf.DUMMYFUNCTION("""COMPUTED_VALUE"""),"")</f>
        <v/>
      </c>
      <c r="H1606" s="4" t="str">
        <f>IFERROR(__xludf.DUMMYFUNCTION("""COMPUTED_VALUE"""),"")</f>
        <v/>
      </c>
      <c r="I1606" s="4" t="str">
        <f>IFERROR(__xludf.DUMMYFUNCTION("""COMPUTED_VALUE"""),"")</f>
        <v/>
      </c>
      <c r="J1606" s="4" t="str">
        <f>IFERROR(__xludf.DUMMYFUNCTION("""COMPUTED_VALUE"""),"")</f>
        <v/>
      </c>
      <c r="K1606" s="4" t="str">
        <f>IFERROR(__xludf.DUMMYFUNCTION("""COMPUTED_VALUE"""),"")</f>
        <v/>
      </c>
      <c r="L1606" s="4" t="str">
        <f>IFERROR(__xludf.DUMMYFUNCTION("""COMPUTED_VALUE"""),"")</f>
        <v/>
      </c>
      <c r="M1606" s="4" t="str">
        <f>IFERROR(__xludf.DUMMYFUNCTION("""COMPUTED_VALUE"""),"")</f>
        <v/>
      </c>
      <c r="N1606" s="4" t="str">
        <f>IFERROR(__xludf.DUMMYFUNCTION("""COMPUTED_VALUE"""),"")</f>
        <v/>
      </c>
      <c r="O1606" s="4" t="str">
        <f>IFERROR(__xludf.DUMMYFUNCTION("""COMPUTED_VALUE"""),"")</f>
        <v/>
      </c>
      <c r="P1606" s="4" t="str">
        <f>IFERROR(__xludf.DUMMYFUNCTION("""COMPUTED_VALUE"""),"")</f>
        <v/>
      </c>
      <c r="Q1606" s="4" t="str">
        <f>IFERROR(__xludf.DUMMYFUNCTION("""COMPUTED_VALUE"""),"")</f>
        <v/>
      </c>
      <c r="R1606" s="4" t="str">
        <f>IFERROR(__xludf.DUMMYFUNCTION("""COMPUTED_VALUE"""),"")</f>
        <v/>
      </c>
      <c r="S1606" s="4" t="str">
        <f>IFERROR(__xludf.DUMMYFUNCTION("""COMPUTED_VALUE"""),"")</f>
        <v/>
      </c>
      <c r="T1606" s="4" t="str">
        <f>IFERROR(__xludf.DUMMYFUNCTION("""COMPUTED_VALUE"""),"")</f>
        <v/>
      </c>
      <c r="U1606" s="4" t="str">
        <f>IFERROR(__xludf.DUMMYFUNCTION("""COMPUTED_VALUE"""),"")</f>
        <v/>
      </c>
      <c r="V1606" s="4" t="str">
        <f>IFERROR(__xludf.DUMMYFUNCTION("""COMPUTED_VALUE"""),"")</f>
        <v/>
      </c>
      <c r="W1606" s="4" t="str">
        <f>IFERROR(__xludf.DUMMYFUNCTION("""COMPUTED_VALUE"""),"")</f>
        <v/>
      </c>
      <c r="X1606" s="4" t="str">
        <f>IFERROR(__xludf.DUMMYFUNCTION("""COMPUTED_VALUE"""),"")</f>
        <v/>
      </c>
      <c r="Y1606" s="4" t="str">
        <f>IFERROR(__xludf.DUMMYFUNCTION("""COMPUTED_VALUE"""),"")</f>
        <v/>
      </c>
    </row>
    <row r="1607">
      <c r="A1607" s="4" t="str">
        <f>IFERROR(__xludf.DUMMYFUNCTION("""COMPUTED_VALUE"""),"2158 - Channel")</f>
        <v>2158 - Channel</v>
      </c>
      <c r="B1607" s="4" t="str">
        <f>IFERROR(__xludf.DUMMYFUNCTION("""COMPUTED_VALUE"""),"")</f>
        <v/>
      </c>
      <c r="C1607" s="4" t="str">
        <f>IFERROR(__xludf.DUMMYFUNCTION("""COMPUTED_VALUE"""),"")</f>
        <v/>
      </c>
      <c r="D1607" s="4" t="str">
        <f>IFERROR(__xludf.DUMMYFUNCTION("""COMPUTED_VALUE"""),"")</f>
        <v/>
      </c>
      <c r="E1607" s="4" t="str">
        <f>IFERROR(__xludf.DUMMYFUNCTION("""COMPUTED_VALUE"""),"")</f>
        <v/>
      </c>
      <c r="F1607" s="4" t="str">
        <f>IFERROR(__xludf.DUMMYFUNCTION("""COMPUTED_VALUE"""),"")</f>
        <v/>
      </c>
      <c r="G1607" s="4" t="str">
        <f>IFERROR(__xludf.DUMMYFUNCTION("""COMPUTED_VALUE"""),"")</f>
        <v/>
      </c>
      <c r="H1607" s="4" t="str">
        <f>IFERROR(__xludf.DUMMYFUNCTION("""COMPUTED_VALUE"""),"")</f>
        <v/>
      </c>
      <c r="I1607" s="4" t="str">
        <f>IFERROR(__xludf.DUMMYFUNCTION("""COMPUTED_VALUE"""),"")</f>
        <v/>
      </c>
      <c r="J1607" s="4" t="str">
        <f>IFERROR(__xludf.DUMMYFUNCTION("""COMPUTED_VALUE"""),"")</f>
        <v/>
      </c>
      <c r="K1607" s="4" t="str">
        <f>IFERROR(__xludf.DUMMYFUNCTION("""COMPUTED_VALUE"""),"")</f>
        <v/>
      </c>
      <c r="L1607" s="4" t="str">
        <f>IFERROR(__xludf.DUMMYFUNCTION("""COMPUTED_VALUE"""),"")</f>
        <v/>
      </c>
      <c r="M1607" s="4" t="str">
        <f>IFERROR(__xludf.DUMMYFUNCTION("""COMPUTED_VALUE"""),"")</f>
        <v/>
      </c>
      <c r="N1607" s="4" t="str">
        <f>IFERROR(__xludf.DUMMYFUNCTION("""COMPUTED_VALUE"""),"")</f>
        <v/>
      </c>
      <c r="O1607" s="4" t="str">
        <f>IFERROR(__xludf.DUMMYFUNCTION("""COMPUTED_VALUE"""),"")</f>
        <v/>
      </c>
      <c r="P1607" s="4" t="str">
        <f>IFERROR(__xludf.DUMMYFUNCTION("""COMPUTED_VALUE"""),"")</f>
        <v/>
      </c>
      <c r="Q1607" s="4" t="str">
        <f>IFERROR(__xludf.DUMMYFUNCTION("""COMPUTED_VALUE"""),"")</f>
        <v/>
      </c>
      <c r="R1607" s="4" t="str">
        <f>IFERROR(__xludf.DUMMYFUNCTION("""COMPUTED_VALUE"""),"")</f>
        <v/>
      </c>
      <c r="S1607" s="4" t="str">
        <f>IFERROR(__xludf.DUMMYFUNCTION("""COMPUTED_VALUE"""),"")</f>
        <v/>
      </c>
      <c r="T1607" s="4" t="str">
        <f>IFERROR(__xludf.DUMMYFUNCTION("""COMPUTED_VALUE"""),"")</f>
        <v/>
      </c>
      <c r="U1607" s="4" t="str">
        <f>IFERROR(__xludf.DUMMYFUNCTION("""COMPUTED_VALUE"""),"")</f>
        <v/>
      </c>
      <c r="V1607" s="4" t="str">
        <f>IFERROR(__xludf.DUMMYFUNCTION("""COMPUTED_VALUE"""),"")</f>
        <v/>
      </c>
      <c r="W1607" s="4" t="str">
        <f>IFERROR(__xludf.DUMMYFUNCTION("""COMPUTED_VALUE"""),"")</f>
        <v/>
      </c>
      <c r="X1607" s="4" t="str">
        <f>IFERROR(__xludf.DUMMYFUNCTION("""COMPUTED_VALUE"""),"")</f>
        <v/>
      </c>
      <c r="Y1607" s="4" t="str">
        <f>IFERROR(__xludf.DUMMYFUNCTION("""COMPUTED_VALUE"""),"")</f>
        <v/>
      </c>
    </row>
    <row r="1608">
      <c r="A1608" s="4" t="str">
        <f>IFERROR(__xludf.DUMMYFUNCTION("""COMPUTED_VALUE"""),"2159 - Channel")</f>
        <v>2159 - Channel</v>
      </c>
      <c r="B1608" s="4" t="str">
        <f>IFERROR(__xludf.DUMMYFUNCTION("""COMPUTED_VALUE"""),"")</f>
        <v/>
      </c>
      <c r="C1608" s="4" t="str">
        <f>IFERROR(__xludf.DUMMYFUNCTION("""COMPUTED_VALUE"""),"")</f>
        <v/>
      </c>
      <c r="D1608" s="4" t="str">
        <f>IFERROR(__xludf.DUMMYFUNCTION("""COMPUTED_VALUE"""),"")</f>
        <v/>
      </c>
      <c r="E1608" s="4" t="str">
        <f>IFERROR(__xludf.DUMMYFUNCTION("""COMPUTED_VALUE"""),"")</f>
        <v/>
      </c>
      <c r="F1608" s="4" t="str">
        <f>IFERROR(__xludf.DUMMYFUNCTION("""COMPUTED_VALUE"""),"")</f>
        <v/>
      </c>
      <c r="G1608" s="4" t="str">
        <f>IFERROR(__xludf.DUMMYFUNCTION("""COMPUTED_VALUE"""),"")</f>
        <v/>
      </c>
      <c r="H1608" s="4" t="str">
        <f>IFERROR(__xludf.DUMMYFUNCTION("""COMPUTED_VALUE"""),"")</f>
        <v/>
      </c>
      <c r="I1608" s="4" t="str">
        <f>IFERROR(__xludf.DUMMYFUNCTION("""COMPUTED_VALUE"""),"")</f>
        <v/>
      </c>
      <c r="J1608" s="4" t="str">
        <f>IFERROR(__xludf.DUMMYFUNCTION("""COMPUTED_VALUE"""),"")</f>
        <v/>
      </c>
      <c r="K1608" s="4" t="str">
        <f>IFERROR(__xludf.DUMMYFUNCTION("""COMPUTED_VALUE"""),"")</f>
        <v/>
      </c>
      <c r="L1608" s="4" t="str">
        <f>IFERROR(__xludf.DUMMYFUNCTION("""COMPUTED_VALUE"""),"")</f>
        <v/>
      </c>
      <c r="M1608" s="4" t="str">
        <f>IFERROR(__xludf.DUMMYFUNCTION("""COMPUTED_VALUE"""),"")</f>
        <v/>
      </c>
      <c r="N1608" s="4" t="str">
        <f>IFERROR(__xludf.DUMMYFUNCTION("""COMPUTED_VALUE"""),"")</f>
        <v/>
      </c>
      <c r="O1608" s="4" t="str">
        <f>IFERROR(__xludf.DUMMYFUNCTION("""COMPUTED_VALUE"""),"")</f>
        <v/>
      </c>
      <c r="P1608" s="4" t="str">
        <f>IFERROR(__xludf.DUMMYFUNCTION("""COMPUTED_VALUE"""),"")</f>
        <v/>
      </c>
      <c r="Q1608" s="4" t="str">
        <f>IFERROR(__xludf.DUMMYFUNCTION("""COMPUTED_VALUE"""),"")</f>
        <v/>
      </c>
      <c r="R1608" s="4" t="str">
        <f>IFERROR(__xludf.DUMMYFUNCTION("""COMPUTED_VALUE"""),"")</f>
        <v/>
      </c>
      <c r="S1608" s="4" t="str">
        <f>IFERROR(__xludf.DUMMYFUNCTION("""COMPUTED_VALUE"""),"")</f>
        <v/>
      </c>
      <c r="T1608" s="4" t="str">
        <f>IFERROR(__xludf.DUMMYFUNCTION("""COMPUTED_VALUE"""),"")</f>
        <v/>
      </c>
      <c r="U1608" s="4" t="str">
        <f>IFERROR(__xludf.DUMMYFUNCTION("""COMPUTED_VALUE"""),"")</f>
        <v/>
      </c>
      <c r="V1608" s="4" t="str">
        <f>IFERROR(__xludf.DUMMYFUNCTION("""COMPUTED_VALUE"""),"")</f>
        <v/>
      </c>
      <c r="W1608" s="4" t="str">
        <f>IFERROR(__xludf.DUMMYFUNCTION("""COMPUTED_VALUE"""),"")</f>
        <v/>
      </c>
      <c r="X1608" s="4" t="str">
        <f>IFERROR(__xludf.DUMMYFUNCTION("""COMPUTED_VALUE"""),"")</f>
        <v/>
      </c>
      <c r="Y1608" s="4" t="str">
        <f>IFERROR(__xludf.DUMMYFUNCTION("""COMPUTED_VALUE"""),"")</f>
        <v/>
      </c>
    </row>
    <row r="1609">
      <c r="A1609" s="4" t="str">
        <f>IFERROR(__xludf.DUMMYFUNCTION("""COMPUTED_VALUE"""),"2160 - Channel")</f>
        <v>2160 - Channel</v>
      </c>
      <c r="B1609" s="4" t="str">
        <f>IFERROR(__xludf.DUMMYFUNCTION("""COMPUTED_VALUE"""),"")</f>
        <v/>
      </c>
      <c r="C1609" s="4" t="str">
        <f>IFERROR(__xludf.DUMMYFUNCTION("""COMPUTED_VALUE"""),"")</f>
        <v/>
      </c>
      <c r="D1609" s="4" t="str">
        <f>IFERROR(__xludf.DUMMYFUNCTION("""COMPUTED_VALUE"""),"")</f>
        <v/>
      </c>
      <c r="E1609" s="4" t="str">
        <f>IFERROR(__xludf.DUMMYFUNCTION("""COMPUTED_VALUE"""),"")</f>
        <v/>
      </c>
      <c r="F1609" s="4" t="str">
        <f>IFERROR(__xludf.DUMMYFUNCTION("""COMPUTED_VALUE"""),"")</f>
        <v/>
      </c>
      <c r="G1609" s="4" t="str">
        <f>IFERROR(__xludf.DUMMYFUNCTION("""COMPUTED_VALUE"""),"")</f>
        <v/>
      </c>
      <c r="H1609" s="4" t="str">
        <f>IFERROR(__xludf.DUMMYFUNCTION("""COMPUTED_VALUE"""),"")</f>
        <v/>
      </c>
      <c r="I1609" s="4" t="str">
        <f>IFERROR(__xludf.DUMMYFUNCTION("""COMPUTED_VALUE"""),"")</f>
        <v/>
      </c>
      <c r="J1609" s="4" t="str">
        <f>IFERROR(__xludf.DUMMYFUNCTION("""COMPUTED_VALUE"""),"")</f>
        <v/>
      </c>
      <c r="K1609" s="4" t="str">
        <f>IFERROR(__xludf.DUMMYFUNCTION("""COMPUTED_VALUE"""),"")</f>
        <v/>
      </c>
      <c r="L1609" s="4" t="str">
        <f>IFERROR(__xludf.DUMMYFUNCTION("""COMPUTED_VALUE"""),"")</f>
        <v/>
      </c>
      <c r="M1609" s="4" t="str">
        <f>IFERROR(__xludf.DUMMYFUNCTION("""COMPUTED_VALUE"""),"")</f>
        <v/>
      </c>
      <c r="N1609" s="4" t="str">
        <f>IFERROR(__xludf.DUMMYFUNCTION("""COMPUTED_VALUE"""),"")</f>
        <v/>
      </c>
      <c r="O1609" s="4" t="str">
        <f>IFERROR(__xludf.DUMMYFUNCTION("""COMPUTED_VALUE"""),"")</f>
        <v/>
      </c>
      <c r="P1609" s="4" t="str">
        <f>IFERROR(__xludf.DUMMYFUNCTION("""COMPUTED_VALUE"""),"")</f>
        <v/>
      </c>
      <c r="Q1609" s="4" t="str">
        <f>IFERROR(__xludf.DUMMYFUNCTION("""COMPUTED_VALUE"""),"")</f>
        <v/>
      </c>
      <c r="R1609" s="4" t="str">
        <f>IFERROR(__xludf.DUMMYFUNCTION("""COMPUTED_VALUE"""),"")</f>
        <v/>
      </c>
      <c r="S1609" s="4" t="str">
        <f>IFERROR(__xludf.DUMMYFUNCTION("""COMPUTED_VALUE"""),"")</f>
        <v/>
      </c>
      <c r="T1609" s="4" t="str">
        <f>IFERROR(__xludf.DUMMYFUNCTION("""COMPUTED_VALUE"""),"")</f>
        <v/>
      </c>
      <c r="U1609" s="4" t="str">
        <f>IFERROR(__xludf.DUMMYFUNCTION("""COMPUTED_VALUE"""),"")</f>
        <v/>
      </c>
      <c r="V1609" s="4" t="str">
        <f>IFERROR(__xludf.DUMMYFUNCTION("""COMPUTED_VALUE"""),"")</f>
        <v/>
      </c>
      <c r="W1609" s="4" t="str">
        <f>IFERROR(__xludf.DUMMYFUNCTION("""COMPUTED_VALUE"""),"")</f>
        <v/>
      </c>
      <c r="X1609" s="4" t="str">
        <f>IFERROR(__xludf.DUMMYFUNCTION("""COMPUTED_VALUE"""),"")</f>
        <v/>
      </c>
      <c r="Y1609" s="4" t="str">
        <f>IFERROR(__xludf.DUMMYFUNCTION("""COMPUTED_VALUE"""),"")</f>
        <v/>
      </c>
    </row>
    <row r="1610">
      <c r="A1610" s="4" t="str">
        <f>IFERROR(__xludf.DUMMYFUNCTION("""COMPUTED_VALUE"""),"2161 - Channel")</f>
        <v>2161 - Channel</v>
      </c>
      <c r="B1610" s="4" t="str">
        <f>IFERROR(__xludf.DUMMYFUNCTION("""COMPUTED_VALUE"""),"")</f>
        <v/>
      </c>
      <c r="C1610" s="4" t="str">
        <f>IFERROR(__xludf.DUMMYFUNCTION("""COMPUTED_VALUE"""),"")</f>
        <v/>
      </c>
      <c r="D1610" s="4" t="str">
        <f>IFERROR(__xludf.DUMMYFUNCTION("""COMPUTED_VALUE"""),"")</f>
        <v/>
      </c>
      <c r="E1610" s="4" t="str">
        <f>IFERROR(__xludf.DUMMYFUNCTION("""COMPUTED_VALUE"""),"")</f>
        <v/>
      </c>
      <c r="F1610" s="4" t="str">
        <f>IFERROR(__xludf.DUMMYFUNCTION("""COMPUTED_VALUE"""),"")</f>
        <v/>
      </c>
      <c r="G1610" s="4" t="str">
        <f>IFERROR(__xludf.DUMMYFUNCTION("""COMPUTED_VALUE"""),"")</f>
        <v/>
      </c>
      <c r="H1610" s="4" t="str">
        <f>IFERROR(__xludf.DUMMYFUNCTION("""COMPUTED_VALUE"""),"")</f>
        <v/>
      </c>
      <c r="I1610" s="4" t="str">
        <f>IFERROR(__xludf.DUMMYFUNCTION("""COMPUTED_VALUE"""),"")</f>
        <v/>
      </c>
      <c r="J1610" s="4" t="str">
        <f>IFERROR(__xludf.DUMMYFUNCTION("""COMPUTED_VALUE"""),"")</f>
        <v/>
      </c>
      <c r="K1610" s="4" t="str">
        <f>IFERROR(__xludf.DUMMYFUNCTION("""COMPUTED_VALUE"""),"")</f>
        <v/>
      </c>
      <c r="L1610" s="4" t="str">
        <f>IFERROR(__xludf.DUMMYFUNCTION("""COMPUTED_VALUE"""),"")</f>
        <v/>
      </c>
      <c r="M1610" s="4" t="str">
        <f>IFERROR(__xludf.DUMMYFUNCTION("""COMPUTED_VALUE"""),"")</f>
        <v/>
      </c>
      <c r="N1610" s="4" t="str">
        <f>IFERROR(__xludf.DUMMYFUNCTION("""COMPUTED_VALUE"""),"")</f>
        <v/>
      </c>
      <c r="O1610" s="4" t="str">
        <f>IFERROR(__xludf.DUMMYFUNCTION("""COMPUTED_VALUE"""),"")</f>
        <v/>
      </c>
      <c r="P1610" s="4" t="str">
        <f>IFERROR(__xludf.DUMMYFUNCTION("""COMPUTED_VALUE"""),"")</f>
        <v/>
      </c>
      <c r="Q1610" s="4" t="str">
        <f>IFERROR(__xludf.DUMMYFUNCTION("""COMPUTED_VALUE"""),"")</f>
        <v/>
      </c>
      <c r="R1610" s="4" t="str">
        <f>IFERROR(__xludf.DUMMYFUNCTION("""COMPUTED_VALUE"""),"")</f>
        <v/>
      </c>
      <c r="S1610" s="4" t="str">
        <f>IFERROR(__xludf.DUMMYFUNCTION("""COMPUTED_VALUE"""),"")</f>
        <v/>
      </c>
      <c r="T1610" s="4" t="str">
        <f>IFERROR(__xludf.DUMMYFUNCTION("""COMPUTED_VALUE"""),"")</f>
        <v/>
      </c>
      <c r="U1610" s="4" t="str">
        <f>IFERROR(__xludf.DUMMYFUNCTION("""COMPUTED_VALUE"""),"")</f>
        <v/>
      </c>
      <c r="V1610" s="4" t="str">
        <f>IFERROR(__xludf.DUMMYFUNCTION("""COMPUTED_VALUE"""),"")</f>
        <v/>
      </c>
      <c r="W1610" s="4" t="str">
        <f>IFERROR(__xludf.DUMMYFUNCTION("""COMPUTED_VALUE"""),"")</f>
        <v/>
      </c>
      <c r="X1610" s="4" t="str">
        <f>IFERROR(__xludf.DUMMYFUNCTION("""COMPUTED_VALUE"""),"")</f>
        <v/>
      </c>
      <c r="Y1610" s="4" t="str">
        <f>IFERROR(__xludf.DUMMYFUNCTION("""COMPUTED_VALUE"""),"")</f>
        <v/>
      </c>
    </row>
    <row r="1611">
      <c r="A1611" s="4" t="str">
        <f>IFERROR(__xludf.DUMMYFUNCTION("""COMPUTED_VALUE"""),"2162 - Channel")</f>
        <v>2162 - Channel</v>
      </c>
      <c r="B1611" s="4" t="str">
        <f>IFERROR(__xludf.DUMMYFUNCTION("""COMPUTED_VALUE"""),"")</f>
        <v/>
      </c>
      <c r="C1611" s="4" t="str">
        <f>IFERROR(__xludf.DUMMYFUNCTION("""COMPUTED_VALUE"""),"")</f>
        <v/>
      </c>
      <c r="D1611" s="4" t="str">
        <f>IFERROR(__xludf.DUMMYFUNCTION("""COMPUTED_VALUE"""),"")</f>
        <v/>
      </c>
      <c r="E1611" s="4" t="str">
        <f>IFERROR(__xludf.DUMMYFUNCTION("""COMPUTED_VALUE"""),"")</f>
        <v/>
      </c>
      <c r="F1611" s="4" t="str">
        <f>IFERROR(__xludf.DUMMYFUNCTION("""COMPUTED_VALUE"""),"")</f>
        <v/>
      </c>
      <c r="G1611" s="4" t="str">
        <f>IFERROR(__xludf.DUMMYFUNCTION("""COMPUTED_VALUE"""),"")</f>
        <v/>
      </c>
      <c r="H1611" s="4" t="str">
        <f>IFERROR(__xludf.DUMMYFUNCTION("""COMPUTED_VALUE"""),"")</f>
        <v/>
      </c>
      <c r="I1611" s="4" t="str">
        <f>IFERROR(__xludf.DUMMYFUNCTION("""COMPUTED_VALUE"""),"")</f>
        <v/>
      </c>
      <c r="J1611" s="4" t="str">
        <f>IFERROR(__xludf.DUMMYFUNCTION("""COMPUTED_VALUE"""),"")</f>
        <v/>
      </c>
      <c r="K1611" s="4" t="str">
        <f>IFERROR(__xludf.DUMMYFUNCTION("""COMPUTED_VALUE"""),"")</f>
        <v/>
      </c>
      <c r="L1611" s="4" t="str">
        <f>IFERROR(__xludf.DUMMYFUNCTION("""COMPUTED_VALUE"""),"")</f>
        <v/>
      </c>
      <c r="M1611" s="4" t="str">
        <f>IFERROR(__xludf.DUMMYFUNCTION("""COMPUTED_VALUE"""),"")</f>
        <v/>
      </c>
      <c r="N1611" s="4" t="str">
        <f>IFERROR(__xludf.DUMMYFUNCTION("""COMPUTED_VALUE"""),"")</f>
        <v/>
      </c>
      <c r="O1611" s="4" t="str">
        <f>IFERROR(__xludf.DUMMYFUNCTION("""COMPUTED_VALUE"""),"")</f>
        <v/>
      </c>
      <c r="P1611" s="4" t="str">
        <f>IFERROR(__xludf.DUMMYFUNCTION("""COMPUTED_VALUE"""),"")</f>
        <v/>
      </c>
      <c r="Q1611" s="4" t="str">
        <f>IFERROR(__xludf.DUMMYFUNCTION("""COMPUTED_VALUE"""),"")</f>
        <v/>
      </c>
      <c r="R1611" s="4" t="str">
        <f>IFERROR(__xludf.DUMMYFUNCTION("""COMPUTED_VALUE"""),"")</f>
        <v/>
      </c>
      <c r="S1611" s="4" t="str">
        <f>IFERROR(__xludf.DUMMYFUNCTION("""COMPUTED_VALUE"""),"")</f>
        <v/>
      </c>
      <c r="T1611" s="4" t="str">
        <f>IFERROR(__xludf.DUMMYFUNCTION("""COMPUTED_VALUE"""),"")</f>
        <v/>
      </c>
      <c r="U1611" s="4" t="str">
        <f>IFERROR(__xludf.DUMMYFUNCTION("""COMPUTED_VALUE"""),"")</f>
        <v/>
      </c>
      <c r="V1611" s="4" t="str">
        <f>IFERROR(__xludf.DUMMYFUNCTION("""COMPUTED_VALUE"""),"")</f>
        <v/>
      </c>
      <c r="W1611" s="4" t="str">
        <f>IFERROR(__xludf.DUMMYFUNCTION("""COMPUTED_VALUE"""),"")</f>
        <v/>
      </c>
      <c r="X1611" s="4" t="str">
        <f>IFERROR(__xludf.DUMMYFUNCTION("""COMPUTED_VALUE"""),"")</f>
        <v/>
      </c>
      <c r="Y1611" s="4" t="str">
        <f>IFERROR(__xludf.DUMMYFUNCTION("""COMPUTED_VALUE"""),"")</f>
        <v/>
      </c>
    </row>
    <row r="1612">
      <c r="A1612" s="4" t="str">
        <f>IFERROR(__xludf.DUMMYFUNCTION("""COMPUTED_VALUE"""),"2163 - Channel")</f>
        <v>2163 - Channel</v>
      </c>
      <c r="B1612" s="4" t="str">
        <f>IFERROR(__xludf.DUMMYFUNCTION("""COMPUTED_VALUE"""),"")</f>
        <v/>
      </c>
      <c r="C1612" s="4" t="str">
        <f>IFERROR(__xludf.DUMMYFUNCTION("""COMPUTED_VALUE"""),"")</f>
        <v/>
      </c>
      <c r="D1612" s="4" t="str">
        <f>IFERROR(__xludf.DUMMYFUNCTION("""COMPUTED_VALUE"""),"")</f>
        <v/>
      </c>
      <c r="E1612" s="4" t="str">
        <f>IFERROR(__xludf.DUMMYFUNCTION("""COMPUTED_VALUE"""),"")</f>
        <v/>
      </c>
      <c r="F1612" s="4" t="str">
        <f>IFERROR(__xludf.DUMMYFUNCTION("""COMPUTED_VALUE"""),"")</f>
        <v/>
      </c>
      <c r="G1612" s="4" t="str">
        <f>IFERROR(__xludf.DUMMYFUNCTION("""COMPUTED_VALUE"""),"")</f>
        <v/>
      </c>
      <c r="H1612" s="4" t="str">
        <f>IFERROR(__xludf.DUMMYFUNCTION("""COMPUTED_VALUE"""),"")</f>
        <v/>
      </c>
      <c r="I1612" s="4" t="str">
        <f>IFERROR(__xludf.DUMMYFUNCTION("""COMPUTED_VALUE"""),"")</f>
        <v/>
      </c>
      <c r="J1612" s="4" t="str">
        <f>IFERROR(__xludf.DUMMYFUNCTION("""COMPUTED_VALUE"""),"")</f>
        <v/>
      </c>
      <c r="K1612" s="4" t="str">
        <f>IFERROR(__xludf.DUMMYFUNCTION("""COMPUTED_VALUE"""),"")</f>
        <v/>
      </c>
      <c r="L1612" s="4" t="str">
        <f>IFERROR(__xludf.DUMMYFUNCTION("""COMPUTED_VALUE"""),"")</f>
        <v/>
      </c>
      <c r="M1612" s="4" t="str">
        <f>IFERROR(__xludf.DUMMYFUNCTION("""COMPUTED_VALUE"""),"")</f>
        <v/>
      </c>
      <c r="N1612" s="4" t="str">
        <f>IFERROR(__xludf.DUMMYFUNCTION("""COMPUTED_VALUE"""),"")</f>
        <v/>
      </c>
      <c r="O1612" s="4" t="str">
        <f>IFERROR(__xludf.DUMMYFUNCTION("""COMPUTED_VALUE"""),"")</f>
        <v/>
      </c>
      <c r="P1612" s="4" t="str">
        <f>IFERROR(__xludf.DUMMYFUNCTION("""COMPUTED_VALUE"""),"")</f>
        <v/>
      </c>
      <c r="Q1612" s="4" t="str">
        <f>IFERROR(__xludf.DUMMYFUNCTION("""COMPUTED_VALUE"""),"")</f>
        <v/>
      </c>
      <c r="R1612" s="4" t="str">
        <f>IFERROR(__xludf.DUMMYFUNCTION("""COMPUTED_VALUE"""),"")</f>
        <v/>
      </c>
      <c r="S1612" s="4" t="str">
        <f>IFERROR(__xludf.DUMMYFUNCTION("""COMPUTED_VALUE"""),"")</f>
        <v/>
      </c>
      <c r="T1612" s="4" t="str">
        <f>IFERROR(__xludf.DUMMYFUNCTION("""COMPUTED_VALUE"""),"")</f>
        <v/>
      </c>
      <c r="U1612" s="4" t="str">
        <f>IFERROR(__xludf.DUMMYFUNCTION("""COMPUTED_VALUE"""),"")</f>
        <v/>
      </c>
      <c r="V1612" s="4" t="str">
        <f>IFERROR(__xludf.DUMMYFUNCTION("""COMPUTED_VALUE"""),"")</f>
        <v/>
      </c>
      <c r="W1612" s="4" t="str">
        <f>IFERROR(__xludf.DUMMYFUNCTION("""COMPUTED_VALUE"""),"")</f>
        <v/>
      </c>
      <c r="X1612" s="4" t="str">
        <f>IFERROR(__xludf.DUMMYFUNCTION("""COMPUTED_VALUE"""),"")</f>
        <v/>
      </c>
      <c r="Y1612" s="4" t="str">
        <f>IFERROR(__xludf.DUMMYFUNCTION("""COMPUTED_VALUE"""),"")</f>
        <v/>
      </c>
    </row>
    <row r="1613">
      <c r="A1613" s="4" t="str">
        <f>IFERROR(__xludf.DUMMYFUNCTION("""COMPUTED_VALUE"""),"2164 - Channel")</f>
        <v>2164 - Channel</v>
      </c>
      <c r="B1613" s="4" t="str">
        <f>IFERROR(__xludf.DUMMYFUNCTION("""COMPUTED_VALUE"""),"")</f>
        <v/>
      </c>
      <c r="C1613" s="4" t="str">
        <f>IFERROR(__xludf.DUMMYFUNCTION("""COMPUTED_VALUE"""),"")</f>
        <v/>
      </c>
      <c r="D1613" s="4" t="str">
        <f>IFERROR(__xludf.DUMMYFUNCTION("""COMPUTED_VALUE"""),"")</f>
        <v/>
      </c>
      <c r="E1613" s="4" t="str">
        <f>IFERROR(__xludf.DUMMYFUNCTION("""COMPUTED_VALUE"""),"")</f>
        <v/>
      </c>
      <c r="F1613" s="4" t="str">
        <f>IFERROR(__xludf.DUMMYFUNCTION("""COMPUTED_VALUE"""),"")</f>
        <v/>
      </c>
      <c r="G1613" s="4" t="str">
        <f>IFERROR(__xludf.DUMMYFUNCTION("""COMPUTED_VALUE"""),"")</f>
        <v/>
      </c>
      <c r="H1613" s="4" t="str">
        <f>IFERROR(__xludf.DUMMYFUNCTION("""COMPUTED_VALUE"""),"")</f>
        <v/>
      </c>
      <c r="I1613" s="4" t="str">
        <f>IFERROR(__xludf.DUMMYFUNCTION("""COMPUTED_VALUE"""),"")</f>
        <v/>
      </c>
      <c r="J1613" s="4" t="str">
        <f>IFERROR(__xludf.DUMMYFUNCTION("""COMPUTED_VALUE"""),"")</f>
        <v/>
      </c>
      <c r="K1613" s="4" t="str">
        <f>IFERROR(__xludf.DUMMYFUNCTION("""COMPUTED_VALUE"""),"")</f>
        <v/>
      </c>
      <c r="L1613" s="4" t="str">
        <f>IFERROR(__xludf.DUMMYFUNCTION("""COMPUTED_VALUE"""),"")</f>
        <v/>
      </c>
      <c r="M1613" s="4" t="str">
        <f>IFERROR(__xludf.DUMMYFUNCTION("""COMPUTED_VALUE"""),"")</f>
        <v/>
      </c>
      <c r="N1613" s="4" t="str">
        <f>IFERROR(__xludf.DUMMYFUNCTION("""COMPUTED_VALUE"""),"")</f>
        <v/>
      </c>
      <c r="O1613" s="4" t="str">
        <f>IFERROR(__xludf.DUMMYFUNCTION("""COMPUTED_VALUE"""),"")</f>
        <v/>
      </c>
      <c r="P1613" s="4" t="str">
        <f>IFERROR(__xludf.DUMMYFUNCTION("""COMPUTED_VALUE"""),"")</f>
        <v/>
      </c>
      <c r="Q1613" s="4" t="str">
        <f>IFERROR(__xludf.DUMMYFUNCTION("""COMPUTED_VALUE"""),"")</f>
        <v/>
      </c>
      <c r="R1613" s="4" t="str">
        <f>IFERROR(__xludf.DUMMYFUNCTION("""COMPUTED_VALUE"""),"")</f>
        <v/>
      </c>
      <c r="S1613" s="4" t="str">
        <f>IFERROR(__xludf.DUMMYFUNCTION("""COMPUTED_VALUE"""),"")</f>
        <v/>
      </c>
      <c r="T1613" s="4" t="str">
        <f>IFERROR(__xludf.DUMMYFUNCTION("""COMPUTED_VALUE"""),"")</f>
        <v/>
      </c>
      <c r="U1613" s="4" t="str">
        <f>IFERROR(__xludf.DUMMYFUNCTION("""COMPUTED_VALUE"""),"")</f>
        <v/>
      </c>
      <c r="V1613" s="4" t="str">
        <f>IFERROR(__xludf.DUMMYFUNCTION("""COMPUTED_VALUE"""),"")</f>
        <v/>
      </c>
      <c r="W1613" s="4" t="str">
        <f>IFERROR(__xludf.DUMMYFUNCTION("""COMPUTED_VALUE"""),"")</f>
        <v/>
      </c>
      <c r="X1613" s="4" t="str">
        <f>IFERROR(__xludf.DUMMYFUNCTION("""COMPUTED_VALUE"""),"")</f>
        <v/>
      </c>
      <c r="Y1613" s="4" t="str">
        <f>IFERROR(__xludf.DUMMYFUNCTION("""COMPUTED_VALUE"""),"")</f>
        <v/>
      </c>
    </row>
    <row r="1614">
      <c r="A1614" s="4" t="str">
        <f>IFERROR(__xludf.DUMMYFUNCTION("""COMPUTED_VALUE"""),"2165 - Channel")</f>
        <v>2165 - Channel</v>
      </c>
      <c r="B1614" s="4" t="str">
        <f>IFERROR(__xludf.DUMMYFUNCTION("""COMPUTED_VALUE"""),"")</f>
        <v/>
      </c>
      <c r="C1614" s="4" t="str">
        <f>IFERROR(__xludf.DUMMYFUNCTION("""COMPUTED_VALUE"""),"")</f>
        <v/>
      </c>
      <c r="D1614" s="4" t="str">
        <f>IFERROR(__xludf.DUMMYFUNCTION("""COMPUTED_VALUE"""),"")</f>
        <v/>
      </c>
      <c r="E1614" s="4" t="str">
        <f>IFERROR(__xludf.DUMMYFUNCTION("""COMPUTED_VALUE"""),"")</f>
        <v/>
      </c>
      <c r="F1614" s="4" t="str">
        <f>IFERROR(__xludf.DUMMYFUNCTION("""COMPUTED_VALUE"""),"")</f>
        <v/>
      </c>
      <c r="G1614" s="4" t="str">
        <f>IFERROR(__xludf.DUMMYFUNCTION("""COMPUTED_VALUE"""),"")</f>
        <v/>
      </c>
      <c r="H1614" s="4" t="str">
        <f>IFERROR(__xludf.DUMMYFUNCTION("""COMPUTED_VALUE"""),"")</f>
        <v/>
      </c>
      <c r="I1614" s="4" t="str">
        <f>IFERROR(__xludf.DUMMYFUNCTION("""COMPUTED_VALUE"""),"")</f>
        <v/>
      </c>
      <c r="J1614" s="4" t="str">
        <f>IFERROR(__xludf.DUMMYFUNCTION("""COMPUTED_VALUE"""),"")</f>
        <v/>
      </c>
      <c r="K1614" s="4" t="str">
        <f>IFERROR(__xludf.DUMMYFUNCTION("""COMPUTED_VALUE"""),"")</f>
        <v/>
      </c>
      <c r="L1614" s="4" t="str">
        <f>IFERROR(__xludf.DUMMYFUNCTION("""COMPUTED_VALUE"""),"")</f>
        <v/>
      </c>
      <c r="M1614" s="4" t="str">
        <f>IFERROR(__xludf.DUMMYFUNCTION("""COMPUTED_VALUE"""),"")</f>
        <v/>
      </c>
      <c r="N1614" s="4" t="str">
        <f>IFERROR(__xludf.DUMMYFUNCTION("""COMPUTED_VALUE"""),"")</f>
        <v/>
      </c>
      <c r="O1614" s="4" t="str">
        <f>IFERROR(__xludf.DUMMYFUNCTION("""COMPUTED_VALUE"""),"")</f>
        <v/>
      </c>
      <c r="P1614" s="4" t="str">
        <f>IFERROR(__xludf.DUMMYFUNCTION("""COMPUTED_VALUE"""),"")</f>
        <v/>
      </c>
      <c r="Q1614" s="4" t="str">
        <f>IFERROR(__xludf.DUMMYFUNCTION("""COMPUTED_VALUE"""),"")</f>
        <v/>
      </c>
      <c r="R1614" s="4" t="str">
        <f>IFERROR(__xludf.DUMMYFUNCTION("""COMPUTED_VALUE"""),"")</f>
        <v/>
      </c>
      <c r="S1614" s="4" t="str">
        <f>IFERROR(__xludf.DUMMYFUNCTION("""COMPUTED_VALUE"""),"")</f>
        <v/>
      </c>
      <c r="T1614" s="4" t="str">
        <f>IFERROR(__xludf.DUMMYFUNCTION("""COMPUTED_VALUE"""),"")</f>
        <v/>
      </c>
      <c r="U1614" s="4" t="str">
        <f>IFERROR(__xludf.DUMMYFUNCTION("""COMPUTED_VALUE"""),"")</f>
        <v/>
      </c>
      <c r="V1614" s="4" t="str">
        <f>IFERROR(__xludf.DUMMYFUNCTION("""COMPUTED_VALUE"""),"")</f>
        <v/>
      </c>
      <c r="W1614" s="4" t="str">
        <f>IFERROR(__xludf.DUMMYFUNCTION("""COMPUTED_VALUE"""),"")</f>
        <v/>
      </c>
      <c r="X1614" s="4" t="str">
        <f>IFERROR(__xludf.DUMMYFUNCTION("""COMPUTED_VALUE"""),"")</f>
        <v/>
      </c>
      <c r="Y1614" s="4" t="str">
        <f>IFERROR(__xludf.DUMMYFUNCTION("""COMPUTED_VALUE"""),"")</f>
        <v/>
      </c>
    </row>
    <row r="1615">
      <c r="A1615" s="4" t="str">
        <f>IFERROR(__xludf.DUMMYFUNCTION("""COMPUTED_VALUE"""),"2166 - Channel")</f>
        <v>2166 - Channel</v>
      </c>
      <c r="B1615" s="4" t="str">
        <f>IFERROR(__xludf.DUMMYFUNCTION("""COMPUTED_VALUE"""),"")</f>
        <v/>
      </c>
      <c r="C1615" s="4" t="str">
        <f>IFERROR(__xludf.DUMMYFUNCTION("""COMPUTED_VALUE"""),"")</f>
        <v/>
      </c>
      <c r="D1615" s="4" t="str">
        <f>IFERROR(__xludf.DUMMYFUNCTION("""COMPUTED_VALUE"""),"")</f>
        <v/>
      </c>
      <c r="E1615" s="4" t="str">
        <f>IFERROR(__xludf.DUMMYFUNCTION("""COMPUTED_VALUE"""),"")</f>
        <v/>
      </c>
      <c r="F1615" s="4" t="str">
        <f>IFERROR(__xludf.DUMMYFUNCTION("""COMPUTED_VALUE"""),"")</f>
        <v/>
      </c>
      <c r="G1615" s="4" t="str">
        <f>IFERROR(__xludf.DUMMYFUNCTION("""COMPUTED_VALUE"""),"")</f>
        <v/>
      </c>
      <c r="H1615" s="4" t="str">
        <f>IFERROR(__xludf.DUMMYFUNCTION("""COMPUTED_VALUE"""),"")</f>
        <v/>
      </c>
      <c r="I1615" s="4" t="str">
        <f>IFERROR(__xludf.DUMMYFUNCTION("""COMPUTED_VALUE"""),"")</f>
        <v/>
      </c>
      <c r="J1615" s="4" t="str">
        <f>IFERROR(__xludf.DUMMYFUNCTION("""COMPUTED_VALUE"""),"")</f>
        <v/>
      </c>
      <c r="K1615" s="4" t="str">
        <f>IFERROR(__xludf.DUMMYFUNCTION("""COMPUTED_VALUE"""),"")</f>
        <v/>
      </c>
      <c r="L1615" s="4" t="str">
        <f>IFERROR(__xludf.DUMMYFUNCTION("""COMPUTED_VALUE"""),"")</f>
        <v/>
      </c>
      <c r="M1615" s="4" t="str">
        <f>IFERROR(__xludf.DUMMYFUNCTION("""COMPUTED_VALUE"""),"")</f>
        <v/>
      </c>
      <c r="N1615" s="4" t="str">
        <f>IFERROR(__xludf.DUMMYFUNCTION("""COMPUTED_VALUE"""),"")</f>
        <v/>
      </c>
      <c r="O1615" s="4" t="str">
        <f>IFERROR(__xludf.DUMMYFUNCTION("""COMPUTED_VALUE"""),"")</f>
        <v/>
      </c>
      <c r="P1615" s="4" t="str">
        <f>IFERROR(__xludf.DUMMYFUNCTION("""COMPUTED_VALUE"""),"")</f>
        <v/>
      </c>
      <c r="Q1615" s="4" t="str">
        <f>IFERROR(__xludf.DUMMYFUNCTION("""COMPUTED_VALUE"""),"")</f>
        <v/>
      </c>
      <c r="R1615" s="4" t="str">
        <f>IFERROR(__xludf.DUMMYFUNCTION("""COMPUTED_VALUE"""),"")</f>
        <v/>
      </c>
      <c r="S1615" s="4" t="str">
        <f>IFERROR(__xludf.DUMMYFUNCTION("""COMPUTED_VALUE"""),"")</f>
        <v/>
      </c>
      <c r="T1615" s="4" t="str">
        <f>IFERROR(__xludf.DUMMYFUNCTION("""COMPUTED_VALUE"""),"")</f>
        <v/>
      </c>
      <c r="U1615" s="4" t="str">
        <f>IFERROR(__xludf.DUMMYFUNCTION("""COMPUTED_VALUE"""),"")</f>
        <v/>
      </c>
      <c r="V1615" s="4" t="str">
        <f>IFERROR(__xludf.DUMMYFUNCTION("""COMPUTED_VALUE"""),"")</f>
        <v/>
      </c>
      <c r="W1615" s="4" t="str">
        <f>IFERROR(__xludf.DUMMYFUNCTION("""COMPUTED_VALUE"""),"")</f>
        <v/>
      </c>
      <c r="X1615" s="4" t="str">
        <f>IFERROR(__xludf.DUMMYFUNCTION("""COMPUTED_VALUE"""),"")</f>
        <v/>
      </c>
      <c r="Y1615" s="4" t="str">
        <f>IFERROR(__xludf.DUMMYFUNCTION("""COMPUTED_VALUE"""),"")</f>
        <v/>
      </c>
    </row>
    <row r="1616">
      <c r="A1616" s="4" t="str">
        <f>IFERROR(__xludf.DUMMYFUNCTION("""COMPUTED_VALUE"""),"2167 - Channel")</f>
        <v>2167 - Channel</v>
      </c>
      <c r="B1616" s="4" t="str">
        <f>IFERROR(__xludf.DUMMYFUNCTION("""COMPUTED_VALUE"""),"")</f>
        <v/>
      </c>
      <c r="C1616" s="4" t="str">
        <f>IFERROR(__xludf.DUMMYFUNCTION("""COMPUTED_VALUE"""),"")</f>
        <v/>
      </c>
      <c r="D1616" s="4" t="str">
        <f>IFERROR(__xludf.DUMMYFUNCTION("""COMPUTED_VALUE"""),"")</f>
        <v/>
      </c>
      <c r="E1616" s="4" t="str">
        <f>IFERROR(__xludf.DUMMYFUNCTION("""COMPUTED_VALUE"""),"")</f>
        <v/>
      </c>
      <c r="F1616" s="4" t="str">
        <f>IFERROR(__xludf.DUMMYFUNCTION("""COMPUTED_VALUE"""),"")</f>
        <v/>
      </c>
      <c r="G1616" s="4" t="str">
        <f>IFERROR(__xludf.DUMMYFUNCTION("""COMPUTED_VALUE"""),"")</f>
        <v/>
      </c>
      <c r="H1616" s="4" t="str">
        <f>IFERROR(__xludf.DUMMYFUNCTION("""COMPUTED_VALUE"""),"")</f>
        <v/>
      </c>
      <c r="I1616" s="4" t="str">
        <f>IFERROR(__xludf.DUMMYFUNCTION("""COMPUTED_VALUE"""),"")</f>
        <v/>
      </c>
      <c r="J1616" s="4" t="str">
        <f>IFERROR(__xludf.DUMMYFUNCTION("""COMPUTED_VALUE"""),"")</f>
        <v/>
      </c>
      <c r="K1616" s="4" t="str">
        <f>IFERROR(__xludf.DUMMYFUNCTION("""COMPUTED_VALUE"""),"")</f>
        <v/>
      </c>
      <c r="L1616" s="4" t="str">
        <f>IFERROR(__xludf.DUMMYFUNCTION("""COMPUTED_VALUE"""),"")</f>
        <v/>
      </c>
      <c r="M1616" s="4" t="str">
        <f>IFERROR(__xludf.DUMMYFUNCTION("""COMPUTED_VALUE"""),"")</f>
        <v/>
      </c>
      <c r="N1616" s="4" t="str">
        <f>IFERROR(__xludf.DUMMYFUNCTION("""COMPUTED_VALUE"""),"")</f>
        <v/>
      </c>
      <c r="O1616" s="4" t="str">
        <f>IFERROR(__xludf.DUMMYFUNCTION("""COMPUTED_VALUE"""),"")</f>
        <v/>
      </c>
      <c r="P1616" s="4" t="str">
        <f>IFERROR(__xludf.DUMMYFUNCTION("""COMPUTED_VALUE"""),"")</f>
        <v/>
      </c>
      <c r="Q1616" s="4" t="str">
        <f>IFERROR(__xludf.DUMMYFUNCTION("""COMPUTED_VALUE"""),"")</f>
        <v/>
      </c>
      <c r="R1616" s="4" t="str">
        <f>IFERROR(__xludf.DUMMYFUNCTION("""COMPUTED_VALUE"""),"")</f>
        <v/>
      </c>
      <c r="S1616" s="4" t="str">
        <f>IFERROR(__xludf.DUMMYFUNCTION("""COMPUTED_VALUE"""),"")</f>
        <v/>
      </c>
      <c r="T1616" s="4" t="str">
        <f>IFERROR(__xludf.DUMMYFUNCTION("""COMPUTED_VALUE"""),"")</f>
        <v/>
      </c>
      <c r="U1616" s="4" t="str">
        <f>IFERROR(__xludf.DUMMYFUNCTION("""COMPUTED_VALUE"""),"")</f>
        <v/>
      </c>
      <c r="V1616" s="4" t="str">
        <f>IFERROR(__xludf.DUMMYFUNCTION("""COMPUTED_VALUE"""),"")</f>
        <v/>
      </c>
      <c r="W1616" s="4" t="str">
        <f>IFERROR(__xludf.DUMMYFUNCTION("""COMPUTED_VALUE"""),"")</f>
        <v/>
      </c>
      <c r="X1616" s="4" t="str">
        <f>IFERROR(__xludf.DUMMYFUNCTION("""COMPUTED_VALUE"""),"")</f>
        <v/>
      </c>
      <c r="Y1616" s="4" t="str">
        <f>IFERROR(__xludf.DUMMYFUNCTION("""COMPUTED_VALUE"""),"")</f>
        <v/>
      </c>
    </row>
    <row r="1617">
      <c r="A1617" s="4" t="str">
        <f>IFERROR(__xludf.DUMMYFUNCTION("""COMPUTED_VALUE"""),"2168 - Channel")</f>
        <v>2168 - Channel</v>
      </c>
      <c r="B1617" s="4" t="str">
        <f>IFERROR(__xludf.DUMMYFUNCTION("""COMPUTED_VALUE"""),"")</f>
        <v/>
      </c>
      <c r="C1617" s="4" t="str">
        <f>IFERROR(__xludf.DUMMYFUNCTION("""COMPUTED_VALUE"""),"")</f>
        <v/>
      </c>
      <c r="D1617" s="4" t="str">
        <f>IFERROR(__xludf.DUMMYFUNCTION("""COMPUTED_VALUE"""),"")</f>
        <v/>
      </c>
      <c r="E1617" s="4" t="str">
        <f>IFERROR(__xludf.DUMMYFUNCTION("""COMPUTED_VALUE"""),"")</f>
        <v/>
      </c>
      <c r="F1617" s="4" t="str">
        <f>IFERROR(__xludf.DUMMYFUNCTION("""COMPUTED_VALUE"""),"")</f>
        <v/>
      </c>
      <c r="G1617" s="4" t="str">
        <f>IFERROR(__xludf.DUMMYFUNCTION("""COMPUTED_VALUE"""),"")</f>
        <v/>
      </c>
      <c r="H1617" s="4" t="str">
        <f>IFERROR(__xludf.DUMMYFUNCTION("""COMPUTED_VALUE"""),"")</f>
        <v/>
      </c>
      <c r="I1617" s="4" t="str">
        <f>IFERROR(__xludf.DUMMYFUNCTION("""COMPUTED_VALUE"""),"")</f>
        <v/>
      </c>
      <c r="J1617" s="4" t="str">
        <f>IFERROR(__xludf.DUMMYFUNCTION("""COMPUTED_VALUE"""),"")</f>
        <v/>
      </c>
      <c r="K1617" s="4" t="str">
        <f>IFERROR(__xludf.DUMMYFUNCTION("""COMPUTED_VALUE"""),"")</f>
        <v/>
      </c>
      <c r="L1617" s="4" t="str">
        <f>IFERROR(__xludf.DUMMYFUNCTION("""COMPUTED_VALUE"""),"")</f>
        <v/>
      </c>
      <c r="M1617" s="4" t="str">
        <f>IFERROR(__xludf.DUMMYFUNCTION("""COMPUTED_VALUE"""),"")</f>
        <v/>
      </c>
      <c r="N1617" s="4" t="str">
        <f>IFERROR(__xludf.DUMMYFUNCTION("""COMPUTED_VALUE"""),"")</f>
        <v/>
      </c>
      <c r="O1617" s="4" t="str">
        <f>IFERROR(__xludf.DUMMYFUNCTION("""COMPUTED_VALUE"""),"")</f>
        <v/>
      </c>
      <c r="P1617" s="4" t="str">
        <f>IFERROR(__xludf.DUMMYFUNCTION("""COMPUTED_VALUE"""),"")</f>
        <v/>
      </c>
      <c r="Q1617" s="4" t="str">
        <f>IFERROR(__xludf.DUMMYFUNCTION("""COMPUTED_VALUE"""),"")</f>
        <v/>
      </c>
      <c r="R1617" s="4" t="str">
        <f>IFERROR(__xludf.DUMMYFUNCTION("""COMPUTED_VALUE"""),"")</f>
        <v/>
      </c>
      <c r="S1617" s="4" t="str">
        <f>IFERROR(__xludf.DUMMYFUNCTION("""COMPUTED_VALUE"""),"")</f>
        <v/>
      </c>
      <c r="T1617" s="4" t="str">
        <f>IFERROR(__xludf.DUMMYFUNCTION("""COMPUTED_VALUE"""),"")</f>
        <v/>
      </c>
      <c r="U1617" s="4" t="str">
        <f>IFERROR(__xludf.DUMMYFUNCTION("""COMPUTED_VALUE"""),"")</f>
        <v/>
      </c>
      <c r="V1617" s="4" t="str">
        <f>IFERROR(__xludf.DUMMYFUNCTION("""COMPUTED_VALUE"""),"")</f>
        <v/>
      </c>
      <c r="W1617" s="4" t="str">
        <f>IFERROR(__xludf.DUMMYFUNCTION("""COMPUTED_VALUE"""),"")</f>
        <v/>
      </c>
      <c r="X1617" s="4" t="str">
        <f>IFERROR(__xludf.DUMMYFUNCTION("""COMPUTED_VALUE"""),"")</f>
        <v/>
      </c>
      <c r="Y1617" s="4" t="str">
        <f>IFERROR(__xludf.DUMMYFUNCTION("""COMPUTED_VALUE"""),"")</f>
        <v/>
      </c>
    </row>
    <row r="1618">
      <c r="A1618" s="4" t="str">
        <f>IFERROR(__xludf.DUMMYFUNCTION("""COMPUTED_VALUE"""),"2169 - Channel")</f>
        <v>2169 - Channel</v>
      </c>
      <c r="B1618" s="4" t="str">
        <f>IFERROR(__xludf.DUMMYFUNCTION("""COMPUTED_VALUE"""),"")</f>
        <v/>
      </c>
      <c r="C1618" s="4" t="str">
        <f>IFERROR(__xludf.DUMMYFUNCTION("""COMPUTED_VALUE"""),"")</f>
        <v/>
      </c>
      <c r="D1618" s="4" t="str">
        <f>IFERROR(__xludf.DUMMYFUNCTION("""COMPUTED_VALUE"""),"")</f>
        <v/>
      </c>
      <c r="E1618" s="4" t="str">
        <f>IFERROR(__xludf.DUMMYFUNCTION("""COMPUTED_VALUE"""),"")</f>
        <v/>
      </c>
      <c r="F1618" s="4" t="str">
        <f>IFERROR(__xludf.DUMMYFUNCTION("""COMPUTED_VALUE"""),"")</f>
        <v/>
      </c>
      <c r="G1618" s="4" t="str">
        <f>IFERROR(__xludf.DUMMYFUNCTION("""COMPUTED_VALUE"""),"")</f>
        <v/>
      </c>
      <c r="H1618" s="4" t="str">
        <f>IFERROR(__xludf.DUMMYFUNCTION("""COMPUTED_VALUE"""),"")</f>
        <v/>
      </c>
      <c r="I1618" s="4" t="str">
        <f>IFERROR(__xludf.DUMMYFUNCTION("""COMPUTED_VALUE"""),"")</f>
        <v/>
      </c>
      <c r="J1618" s="4" t="str">
        <f>IFERROR(__xludf.DUMMYFUNCTION("""COMPUTED_VALUE"""),"")</f>
        <v/>
      </c>
      <c r="K1618" s="4" t="str">
        <f>IFERROR(__xludf.DUMMYFUNCTION("""COMPUTED_VALUE"""),"")</f>
        <v/>
      </c>
      <c r="L1618" s="4" t="str">
        <f>IFERROR(__xludf.DUMMYFUNCTION("""COMPUTED_VALUE"""),"")</f>
        <v/>
      </c>
      <c r="M1618" s="4" t="str">
        <f>IFERROR(__xludf.DUMMYFUNCTION("""COMPUTED_VALUE"""),"")</f>
        <v/>
      </c>
      <c r="N1618" s="4" t="str">
        <f>IFERROR(__xludf.DUMMYFUNCTION("""COMPUTED_VALUE"""),"")</f>
        <v/>
      </c>
      <c r="O1618" s="4" t="str">
        <f>IFERROR(__xludf.DUMMYFUNCTION("""COMPUTED_VALUE"""),"")</f>
        <v/>
      </c>
      <c r="P1618" s="4" t="str">
        <f>IFERROR(__xludf.DUMMYFUNCTION("""COMPUTED_VALUE"""),"")</f>
        <v/>
      </c>
      <c r="Q1618" s="4" t="str">
        <f>IFERROR(__xludf.DUMMYFUNCTION("""COMPUTED_VALUE"""),"")</f>
        <v/>
      </c>
      <c r="R1618" s="4" t="str">
        <f>IFERROR(__xludf.DUMMYFUNCTION("""COMPUTED_VALUE"""),"")</f>
        <v/>
      </c>
      <c r="S1618" s="4" t="str">
        <f>IFERROR(__xludf.DUMMYFUNCTION("""COMPUTED_VALUE"""),"")</f>
        <v/>
      </c>
      <c r="T1618" s="4" t="str">
        <f>IFERROR(__xludf.DUMMYFUNCTION("""COMPUTED_VALUE"""),"")</f>
        <v/>
      </c>
      <c r="U1618" s="4" t="str">
        <f>IFERROR(__xludf.DUMMYFUNCTION("""COMPUTED_VALUE"""),"")</f>
        <v/>
      </c>
      <c r="V1618" s="4" t="str">
        <f>IFERROR(__xludf.DUMMYFUNCTION("""COMPUTED_VALUE"""),"")</f>
        <v/>
      </c>
      <c r="W1618" s="4" t="str">
        <f>IFERROR(__xludf.DUMMYFUNCTION("""COMPUTED_VALUE"""),"")</f>
        <v/>
      </c>
      <c r="X1618" s="4" t="str">
        <f>IFERROR(__xludf.DUMMYFUNCTION("""COMPUTED_VALUE"""),"")</f>
        <v/>
      </c>
      <c r="Y1618" s="4" t="str">
        <f>IFERROR(__xludf.DUMMYFUNCTION("""COMPUTED_VALUE"""),"")</f>
        <v/>
      </c>
    </row>
    <row r="1619">
      <c r="A1619" s="4" t="str">
        <f>IFERROR(__xludf.DUMMYFUNCTION("""COMPUTED_VALUE"""),"2170 - Channel")</f>
        <v>2170 - Channel</v>
      </c>
      <c r="B1619" s="4" t="str">
        <f>IFERROR(__xludf.DUMMYFUNCTION("""COMPUTED_VALUE"""),"")</f>
        <v/>
      </c>
      <c r="C1619" s="4" t="str">
        <f>IFERROR(__xludf.DUMMYFUNCTION("""COMPUTED_VALUE"""),"")</f>
        <v/>
      </c>
      <c r="D1619" s="4" t="str">
        <f>IFERROR(__xludf.DUMMYFUNCTION("""COMPUTED_VALUE"""),"")</f>
        <v/>
      </c>
      <c r="E1619" s="4" t="str">
        <f>IFERROR(__xludf.DUMMYFUNCTION("""COMPUTED_VALUE"""),"")</f>
        <v/>
      </c>
      <c r="F1619" s="4" t="str">
        <f>IFERROR(__xludf.DUMMYFUNCTION("""COMPUTED_VALUE"""),"")</f>
        <v/>
      </c>
      <c r="G1619" s="4" t="str">
        <f>IFERROR(__xludf.DUMMYFUNCTION("""COMPUTED_VALUE"""),"")</f>
        <v/>
      </c>
      <c r="H1619" s="4" t="str">
        <f>IFERROR(__xludf.DUMMYFUNCTION("""COMPUTED_VALUE"""),"")</f>
        <v/>
      </c>
      <c r="I1619" s="4" t="str">
        <f>IFERROR(__xludf.DUMMYFUNCTION("""COMPUTED_VALUE"""),"")</f>
        <v/>
      </c>
      <c r="J1619" s="4" t="str">
        <f>IFERROR(__xludf.DUMMYFUNCTION("""COMPUTED_VALUE"""),"")</f>
        <v/>
      </c>
      <c r="K1619" s="4" t="str">
        <f>IFERROR(__xludf.DUMMYFUNCTION("""COMPUTED_VALUE"""),"")</f>
        <v/>
      </c>
      <c r="L1619" s="4" t="str">
        <f>IFERROR(__xludf.DUMMYFUNCTION("""COMPUTED_VALUE"""),"")</f>
        <v/>
      </c>
      <c r="M1619" s="4" t="str">
        <f>IFERROR(__xludf.DUMMYFUNCTION("""COMPUTED_VALUE"""),"")</f>
        <v/>
      </c>
      <c r="N1619" s="4" t="str">
        <f>IFERROR(__xludf.DUMMYFUNCTION("""COMPUTED_VALUE"""),"")</f>
        <v/>
      </c>
      <c r="O1619" s="4" t="str">
        <f>IFERROR(__xludf.DUMMYFUNCTION("""COMPUTED_VALUE"""),"")</f>
        <v/>
      </c>
      <c r="P1619" s="4" t="str">
        <f>IFERROR(__xludf.DUMMYFUNCTION("""COMPUTED_VALUE"""),"")</f>
        <v/>
      </c>
      <c r="Q1619" s="4" t="str">
        <f>IFERROR(__xludf.DUMMYFUNCTION("""COMPUTED_VALUE"""),"")</f>
        <v/>
      </c>
      <c r="R1619" s="4" t="str">
        <f>IFERROR(__xludf.DUMMYFUNCTION("""COMPUTED_VALUE"""),"")</f>
        <v/>
      </c>
      <c r="S1619" s="4" t="str">
        <f>IFERROR(__xludf.DUMMYFUNCTION("""COMPUTED_VALUE"""),"")</f>
        <v/>
      </c>
      <c r="T1619" s="4" t="str">
        <f>IFERROR(__xludf.DUMMYFUNCTION("""COMPUTED_VALUE"""),"")</f>
        <v/>
      </c>
      <c r="U1619" s="4" t="str">
        <f>IFERROR(__xludf.DUMMYFUNCTION("""COMPUTED_VALUE"""),"")</f>
        <v/>
      </c>
      <c r="V1619" s="4" t="str">
        <f>IFERROR(__xludf.DUMMYFUNCTION("""COMPUTED_VALUE"""),"")</f>
        <v/>
      </c>
      <c r="W1619" s="4" t="str">
        <f>IFERROR(__xludf.DUMMYFUNCTION("""COMPUTED_VALUE"""),"")</f>
        <v/>
      </c>
      <c r="X1619" s="4" t="str">
        <f>IFERROR(__xludf.DUMMYFUNCTION("""COMPUTED_VALUE"""),"")</f>
        <v/>
      </c>
      <c r="Y1619" s="4" t="str">
        <f>IFERROR(__xludf.DUMMYFUNCTION("""COMPUTED_VALUE"""),"")</f>
        <v/>
      </c>
    </row>
    <row r="1620">
      <c r="A1620" s="4" t="str">
        <f>IFERROR(__xludf.DUMMYFUNCTION("""COMPUTED_VALUE"""),"2171 - Channel")</f>
        <v>2171 - Channel</v>
      </c>
      <c r="B1620" s="4" t="str">
        <f>IFERROR(__xludf.DUMMYFUNCTION("""COMPUTED_VALUE"""),"")</f>
        <v/>
      </c>
      <c r="C1620" s="4" t="str">
        <f>IFERROR(__xludf.DUMMYFUNCTION("""COMPUTED_VALUE"""),"")</f>
        <v/>
      </c>
      <c r="D1620" s="4" t="str">
        <f>IFERROR(__xludf.DUMMYFUNCTION("""COMPUTED_VALUE"""),"")</f>
        <v/>
      </c>
      <c r="E1620" s="4" t="str">
        <f>IFERROR(__xludf.DUMMYFUNCTION("""COMPUTED_VALUE"""),"")</f>
        <v/>
      </c>
      <c r="F1620" s="4" t="str">
        <f>IFERROR(__xludf.DUMMYFUNCTION("""COMPUTED_VALUE"""),"")</f>
        <v/>
      </c>
      <c r="G1620" s="4" t="str">
        <f>IFERROR(__xludf.DUMMYFUNCTION("""COMPUTED_VALUE"""),"")</f>
        <v/>
      </c>
      <c r="H1620" s="4" t="str">
        <f>IFERROR(__xludf.DUMMYFUNCTION("""COMPUTED_VALUE"""),"")</f>
        <v/>
      </c>
      <c r="I1620" s="4" t="str">
        <f>IFERROR(__xludf.DUMMYFUNCTION("""COMPUTED_VALUE"""),"")</f>
        <v/>
      </c>
      <c r="J1620" s="4" t="str">
        <f>IFERROR(__xludf.DUMMYFUNCTION("""COMPUTED_VALUE"""),"")</f>
        <v/>
      </c>
      <c r="K1620" s="4" t="str">
        <f>IFERROR(__xludf.DUMMYFUNCTION("""COMPUTED_VALUE"""),"")</f>
        <v/>
      </c>
      <c r="L1620" s="4" t="str">
        <f>IFERROR(__xludf.DUMMYFUNCTION("""COMPUTED_VALUE"""),"")</f>
        <v/>
      </c>
      <c r="M1620" s="4" t="str">
        <f>IFERROR(__xludf.DUMMYFUNCTION("""COMPUTED_VALUE"""),"")</f>
        <v/>
      </c>
      <c r="N1620" s="4" t="str">
        <f>IFERROR(__xludf.DUMMYFUNCTION("""COMPUTED_VALUE"""),"")</f>
        <v/>
      </c>
      <c r="O1620" s="4" t="str">
        <f>IFERROR(__xludf.DUMMYFUNCTION("""COMPUTED_VALUE"""),"")</f>
        <v/>
      </c>
      <c r="P1620" s="4" t="str">
        <f>IFERROR(__xludf.DUMMYFUNCTION("""COMPUTED_VALUE"""),"")</f>
        <v/>
      </c>
      <c r="Q1620" s="4" t="str">
        <f>IFERROR(__xludf.DUMMYFUNCTION("""COMPUTED_VALUE"""),"")</f>
        <v/>
      </c>
      <c r="R1620" s="4" t="str">
        <f>IFERROR(__xludf.DUMMYFUNCTION("""COMPUTED_VALUE"""),"")</f>
        <v/>
      </c>
      <c r="S1620" s="4" t="str">
        <f>IFERROR(__xludf.DUMMYFUNCTION("""COMPUTED_VALUE"""),"")</f>
        <v/>
      </c>
      <c r="T1620" s="4" t="str">
        <f>IFERROR(__xludf.DUMMYFUNCTION("""COMPUTED_VALUE"""),"")</f>
        <v/>
      </c>
      <c r="U1620" s="4" t="str">
        <f>IFERROR(__xludf.DUMMYFUNCTION("""COMPUTED_VALUE"""),"")</f>
        <v/>
      </c>
      <c r="V1620" s="4" t="str">
        <f>IFERROR(__xludf.DUMMYFUNCTION("""COMPUTED_VALUE"""),"")</f>
        <v/>
      </c>
      <c r="W1620" s="4" t="str">
        <f>IFERROR(__xludf.DUMMYFUNCTION("""COMPUTED_VALUE"""),"")</f>
        <v/>
      </c>
      <c r="X1620" s="4" t="str">
        <f>IFERROR(__xludf.DUMMYFUNCTION("""COMPUTED_VALUE"""),"")</f>
        <v/>
      </c>
      <c r="Y1620" s="4" t="str">
        <f>IFERROR(__xludf.DUMMYFUNCTION("""COMPUTED_VALUE"""),"")</f>
        <v/>
      </c>
    </row>
    <row r="1621">
      <c r="A1621" s="4" t="str">
        <f>IFERROR(__xludf.DUMMYFUNCTION("""COMPUTED_VALUE"""),"2172 - Channel")</f>
        <v>2172 - Channel</v>
      </c>
      <c r="B1621" s="4" t="str">
        <f>IFERROR(__xludf.DUMMYFUNCTION("""COMPUTED_VALUE"""),"")</f>
        <v/>
      </c>
      <c r="C1621" s="4" t="str">
        <f>IFERROR(__xludf.DUMMYFUNCTION("""COMPUTED_VALUE"""),"")</f>
        <v/>
      </c>
      <c r="D1621" s="4" t="str">
        <f>IFERROR(__xludf.DUMMYFUNCTION("""COMPUTED_VALUE"""),"")</f>
        <v/>
      </c>
      <c r="E1621" s="4" t="str">
        <f>IFERROR(__xludf.DUMMYFUNCTION("""COMPUTED_VALUE"""),"")</f>
        <v/>
      </c>
      <c r="F1621" s="4" t="str">
        <f>IFERROR(__xludf.DUMMYFUNCTION("""COMPUTED_VALUE"""),"")</f>
        <v/>
      </c>
      <c r="G1621" s="4" t="str">
        <f>IFERROR(__xludf.DUMMYFUNCTION("""COMPUTED_VALUE"""),"")</f>
        <v/>
      </c>
      <c r="H1621" s="4" t="str">
        <f>IFERROR(__xludf.DUMMYFUNCTION("""COMPUTED_VALUE"""),"")</f>
        <v/>
      </c>
      <c r="I1621" s="4" t="str">
        <f>IFERROR(__xludf.DUMMYFUNCTION("""COMPUTED_VALUE"""),"")</f>
        <v/>
      </c>
      <c r="J1621" s="4" t="str">
        <f>IFERROR(__xludf.DUMMYFUNCTION("""COMPUTED_VALUE"""),"")</f>
        <v/>
      </c>
      <c r="K1621" s="4" t="str">
        <f>IFERROR(__xludf.DUMMYFUNCTION("""COMPUTED_VALUE"""),"")</f>
        <v/>
      </c>
      <c r="L1621" s="4" t="str">
        <f>IFERROR(__xludf.DUMMYFUNCTION("""COMPUTED_VALUE"""),"")</f>
        <v/>
      </c>
      <c r="M1621" s="4" t="str">
        <f>IFERROR(__xludf.DUMMYFUNCTION("""COMPUTED_VALUE"""),"")</f>
        <v/>
      </c>
      <c r="N1621" s="4" t="str">
        <f>IFERROR(__xludf.DUMMYFUNCTION("""COMPUTED_VALUE"""),"")</f>
        <v/>
      </c>
      <c r="O1621" s="4" t="str">
        <f>IFERROR(__xludf.DUMMYFUNCTION("""COMPUTED_VALUE"""),"")</f>
        <v/>
      </c>
      <c r="P1621" s="4" t="str">
        <f>IFERROR(__xludf.DUMMYFUNCTION("""COMPUTED_VALUE"""),"")</f>
        <v/>
      </c>
      <c r="Q1621" s="4" t="str">
        <f>IFERROR(__xludf.DUMMYFUNCTION("""COMPUTED_VALUE"""),"")</f>
        <v/>
      </c>
      <c r="R1621" s="4" t="str">
        <f>IFERROR(__xludf.DUMMYFUNCTION("""COMPUTED_VALUE"""),"")</f>
        <v/>
      </c>
      <c r="S1621" s="4" t="str">
        <f>IFERROR(__xludf.DUMMYFUNCTION("""COMPUTED_VALUE"""),"")</f>
        <v/>
      </c>
      <c r="T1621" s="4" t="str">
        <f>IFERROR(__xludf.DUMMYFUNCTION("""COMPUTED_VALUE"""),"")</f>
        <v/>
      </c>
      <c r="U1621" s="4" t="str">
        <f>IFERROR(__xludf.DUMMYFUNCTION("""COMPUTED_VALUE"""),"")</f>
        <v/>
      </c>
      <c r="V1621" s="4" t="str">
        <f>IFERROR(__xludf.DUMMYFUNCTION("""COMPUTED_VALUE"""),"")</f>
        <v/>
      </c>
      <c r="W1621" s="4" t="str">
        <f>IFERROR(__xludf.DUMMYFUNCTION("""COMPUTED_VALUE"""),"")</f>
        <v/>
      </c>
      <c r="X1621" s="4" t="str">
        <f>IFERROR(__xludf.DUMMYFUNCTION("""COMPUTED_VALUE"""),"")</f>
        <v/>
      </c>
      <c r="Y1621" s="4" t="str">
        <f>IFERROR(__xludf.DUMMYFUNCTION("""COMPUTED_VALUE"""),"")</f>
        <v/>
      </c>
    </row>
    <row r="1622">
      <c r="A1622" s="4" t="str">
        <f>IFERROR(__xludf.DUMMYFUNCTION("""COMPUTED_VALUE"""),"2173 - Channel")</f>
        <v>2173 - Channel</v>
      </c>
      <c r="B1622" s="4" t="str">
        <f>IFERROR(__xludf.DUMMYFUNCTION("""COMPUTED_VALUE"""),"")</f>
        <v/>
      </c>
      <c r="C1622" s="4" t="str">
        <f>IFERROR(__xludf.DUMMYFUNCTION("""COMPUTED_VALUE"""),"")</f>
        <v/>
      </c>
      <c r="D1622" s="4" t="str">
        <f>IFERROR(__xludf.DUMMYFUNCTION("""COMPUTED_VALUE"""),"")</f>
        <v/>
      </c>
      <c r="E1622" s="4" t="str">
        <f>IFERROR(__xludf.DUMMYFUNCTION("""COMPUTED_VALUE"""),"")</f>
        <v/>
      </c>
      <c r="F1622" s="4" t="str">
        <f>IFERROR(__xludf.DUMMYFUNCTION("""COMPUTED_VALUE"""),"")</f>
        <v/>
      </c>
      <c r="G1622" s="4" t="str">
        <f>IFERROR(__xludf.DUMMYFUNCTION("""COMPUTED_VALUE"""),"")</f>
        <v/>
      </c>
      <c r="H1622" s="4" t="str">
        <f>IFERROR(__xludf.DUMMYFUNCTION("""COMPUTED_VALUE"""),"")</f>
        <v/>
      </c>
      <c r="I1622" s="4" t="str">
        <f>IFERROR(__xludf.DUMMYFUNCTION("""COMPUTED_VALUE"""),"")</f>
        <v/>
      </c>
      <c r="J1622" s="4" t="str">
        <f>IFERROR(__xludf.DUMMYFUNCTION("""COMPUTED_VALUE"""),"")</f>
        <v/>
      </c>
      <c r="K1622" s="4" t="str">
        <f>IFERROR(__xludf.DUMMYFUNCTION("""COMPUTED_VALUE"""),"")</f>
        <v/>
      </c>
      <c r="L1622" s="4" t="str">
        <f>IFERROR(__xludf.DUMMYFUNCTION("""COMPUTED_VALUE"""),"")</f>
        <v/>
      </c>
      <c r="M1622" s="4" t="str">
        <f>IFERROR(__xludf.DUMMYFUNCTION("""COMPUTED_VALUE"""),"")</f>
        <v/>
      </c>
      <c r="N1622" s="4" t="str">
        <f>IFERROR(__xludf.DUMMYFUNCTION("""COMPUTED_VALUE"""),"")</f>
        <v/>
      </c>
      <c r="O1622" s="4" t="str">
        <f>IFERROR(__xludf.DUMMYFUNCTION("""COMPUTED_VALUE"""),"")</f>
        <v/>
      </c>
      <c r="P1622" s="4" t="str">
        <f>IFERROR(__xludf.DUMMYFUNCTION("""COMPUTED_VALUE"""),"")</f>
        <v/>
      </c>
      <c r="Q1622" s="4" t="str">
        <f>IFERROR(__xludf.DUMMYFUNCTION("""COMPUTED_VALUE"""),"")</f>
        <v/>
      </c>
      <c r="R1622" s="4" t="str">
        <f>IFERROR(__xludf.DUMMYFUNCTION("""COMPUTED_VALUE"""),"")</f>
        <v/>
      </c>
      <c r="S1622" s="4" t="str">
        <f>IFERROR(__xludf.DUMMYFUNCTION("""COMPUTED_VALUE"""),"")</f>
        <v/>
      </c>
      <c r="T1622" s="4" t="str">
        <f>IFERROR(__xludf.DUMMYFUNCTION("""COMPUTED_VALUE"""),"")</f>
        <v/>
      </c>
      <c r="U1622" s="4" t="str">
        <f>IFERROR(__xludf.DUMMYFUNCTION("""COMPUTED_VALUE"""),"")</f>
        <v/>
      </c>
      <c r="V1622" s="4" t="str">
        <f>IFERROR(__xludf.DUMMYFUNCTION("""COMPUTED_VALUE"""),"")</f>
        <v/>
      </c>
      <c r="W1622" s="4" t="str">
        <f>IFERROR(__xludf.DUMMYFUNCTION("""COMPUTED_VALUE"""),"")</f>
        <v/>
      </c>
      <c r="X1622" s="4" t="str">
        <f>IFERROR(__xludf.DUMMYFUNCTION("""COMPUTED_VALUE"""),"")</f>
        <v/>
      </c>
      <c r="Y1622" s="4" t="str">
        <f>IFERROR(__xludf.DUMMYFUNCTION("""COMPUTED_VALUE"""),"")</f>
        <v/>
      </c>
    </row>
    <row r="1623">
      <c r="A1623" s="4" t="str">
        <f>IFERROR(__xludf.DUMMYFUNCTION("""COMPUTED_VALUE"""),"2174 - Channel")</f>
        <v>2174 - Channel</v>
      </c>
      <c r="B1623" s="4" t="str">
        <f>IFERROR(__xludf.DUMMYFUNCTION("""COMPUTED_VALUE"""),"")</f>
        <v/>
      </c>
      <c r="C1623" s="4" t="str">
        <f>IFERROR(__xludf.DUMMYFUNCTION("""COMPUTED_VALUE"""),"")</f>
        <v/>
      </c>
      <c r="D1623" s="4" t="str">
        <f>IFERROR(__xludf.DUMMYFUNCTION("""COMPUTED_VALUE"""),"")</f>
        <v/>
      </c>
      <c r="E1623" s="4" t="str">
        <f>IFERROR(__xludf.DUMMYFUNCTION("""COMPUTED_VALUE"""),"")</f>
        <v/>
      </c>
      <c r="F1623" s="4" t="str">
        <f>IFERROR(__xludf.DUMMYFUNCTION("""COMPUTED_VALUE"""),"")</f>
        <v/>
      </c>
      <c r="G1623" s="4" t="str">
        <f>IFERROR(__xludf.DUMMYFUNCTION("""COMPUTED_VALUE"""),"")</f>
        <v/>
      </c>
      <c r="H1623" s="4" t="str">
        <f>IFERROR(__xludf.DUMMYFUNCTION("""COMPUTED_VALUE"""),"")</f>
        <v/>
      </c>
      <c r="I1623" s="4" t="str">
        <f>IFERROR(__xludf.DUMMYFUNCTION("""COMPUTED_VALUE"""),"")</f>
        <v/>
      </c>
      <c r="J1623" s="4" t="str">
        <f>IFERROR(__xludf.DUMMYFUNCTION("""COMPUTED_VALUE"""),"")</f>
        <v/>
      </c>
      <c r="K1623" s="4" t="str">
        <f>IFERROR(__xludf.DUMMYFUNCTION("""COMPUTED_VALUE"""),"")</f>
        <v/>
      </c>
      <c r="L1623" s="4" t="str">
        <f>IFERROR(__xludf.DUMMYFUNCTION("""COMPUTED_VALUE"""),"")</f>
        <v/>
      </c>
      <c r="M1623" s="4" t="str">
        <f>IFERROR(__xludf.DUMMYFUNCTION("""COMPUTED_VALUE"""),"")</f>
        <v/>
      </c>
      <c r="N1623" s="4" t="str">
        <f>IFERROR(__xludf.DUMMYFUNCTION("""COMPUTED_VALUE"""),"")</f>
        <v/>
      </c>
      <c r="O1623" s="4" t="str">
        <f>IFERROR(__xludf.DUMMYFUNCTION("""COMPUTED_VALUE"""),"")</f>
        <v/>
      </c>
      <c r="P1623" s="4" t="str">
        <f>IFERROR(__xludf.DUMMYFUNCTION("""COMPUTED_VALUE"""),"")</f>
        <v/>
      </c>
      <c r="Q1623" s="4" t="str">
        <f>IFERROR(__xludf.DUMMYFUNCTION("""COMPUTED_VALUE"""),"")</f>
        <v/>
      </c>
      <c r="R1623" s="4" t="str">
        <f>IFERROR(__xludf.DUMMYFUNCTION("""COMPUTED_VALUE"""),"")</f>
        <v/>
      </c>
      <c r="S1623" s="4" t="str">
        <f>IFERROR(__xludf.DUMMYFUNCTION("""COMPUTED_VALUE"""),"")</f>
        <v/>
      </c>
      <c r="T1623" s="4" t="str">
        <f>IFERROR(__xludf.DUMMYFUNCTION("""COMPUTED_VALUE"""),"")</f>
        <v/>
      </c>
      <c r="U1623" s="4" t="str">
        <f>IFERROR(__xludf.DUMMYFUNCTION("""COMPUTED_VALUE"""),"")</f>
        <v/>
      </c>
      <c r="V1623" s="4" t="str">
        <f>IFERROR(__xludf.DUMMYFUNCTION("""COMPUTED_VALUE"""),"")</f>
        <v/>
      </c>
      <c r="W1623" s="4" t="str">
        <f>IFERROR(__xludf.DUMMYFUNCTION("""COMPUTED_VALUE"""),"")</f>
        <v/>
      </c>
      <c r="X1623" s="4" t="str">
        <f>IFERROR(__xludf.DUMMYFUNCTION("""COMPUTED_VALUE"""),"")</f>
        <v/>
      </c>
      <c r="Y1623" s="4" t="str">
        <f>IFERROR(__xludf.DUMMYFUNCTION("""COMPUTED_VALUE"""),"")</f>
        <v/>
      </c>
    </row>
    <row r="1624">
      <c r="A1624" s="4" t="str">
        <f>IFERROR(__xludf.DUMMYFUNCTION("""COMPUTED_VALUE"""),"2175 - Channel")</f>
        <v>2175 - Channel</v>
      </c>
      <c r="B1624" s="4" t="str">
        <f>IFERROR(__xludf.DUMMYFUNCTION("""COMPUTED_VALUE"""),"")</f>
        <v/>
      </c>
      <c r="C1624" s="4" t="str">
        <f>IFERROR(__xludf.DUMMYFUNCTION("""COMPUTED_VALUE"""),"")</f>
        <v/>
      </c>
      <c r="D1624" s="4" t="str">
        <f>IFERROR(__xludf.DUMMYFUNCTION("""COMPUTED_VALUE"""),"")</f>
        <v/>
      </c>
      <c r="E1624" s="4" t="str">
        <f>IFERROR(__xludf.DUMMYFUNCTION("""COMPUTED_VALUE"""),"")</f>
        <v/>
      </c>
      <c r="F1624" s="4" t="str">
        <f>IFERROR(__xludf.DUMMYFUNCTION("""COMPUTED_VALUE"""),"")</f>
        <v/>
      </c>
      <c r="G1624" s="4" t="str">
        <f>IFERROR(__xludf.DUMMYFUNCTION("""COMPUTED_VALUE"""),"")</f>
        <v/>
      </c>
      <c r="H1624" s="4" t="str">
        <f>IFERROR(__xludf.DUMMYFUNCTION("""COMPUTED_VALUE"""),"")</f>
        <v/>
      </c>
      <c r="I1624" s="4" t="str">
        <f>IFERROR(__xludf.DUMMYFUNCTION("""COMPUTED_VALUE"""),"")</f>
        <v/>
      </c>
      <c r="J1624" s="4" t="str">
        <f>IFERROR(__xludf.DUMMYFUNCTION("""COMPUTED_VALUE"""),"")</f>
        <v/>
      </c>
      <c r="K1624" s="4" t="str">
        <f>IFERROR(__xludf.DUMMYFUNCTION("""COMPUTED_VALUE"""),"")</f>
        <v/>
      </c>
      <c r="L1624" s="4" t="str">
        <f>IFERROR(__xludf.DUMMYFUNCTION("""COMPUTED_VALUE"""),"")</f>
        <v/>
      </c>
      <c r="M1624" s="4" t="str">
        <f>IFERROR(__xludf.DUMMYFUNCTION("""COMPUTED_VALUE"""),"")</f>
        <v/>
      </c>
      <c r="N1624" s="4" t="str">
        <f>IFERROR(__xludf.DUMMYFUNCTION("""COMPUTED_VALUE"""),"")</f>
        <v/>
      </c>
      <c r="O1624" s="4" t="str">
        <f>IFERROR(__xludf.DUMMYFUNCTION("""COMPUTED_VALUE"""),"")</f>
        <v/>
      </c>
      <c r="P1624" s="4" t="str">
        <f>IFERROR(__xludf.DUMMYFUNCTION("""COMPUTED_VALUE"""),"")</f>
        <v/>
      </c>
      <c r="Q1624" s="4" t="str">
        <f>IFERROR(__xludf.DUMMYFUNCTION("""COMPUTED_VALUE"""),"")</f>
        <v/>
      </c>
      <c r="R1624" s="4" t="str">
        <f>IFERROR(__xludf.DUMMYFUNCTION("""COMPUTED_VALUE"""),"")</f>
        <v/>
      </c>
      <c r="S1624" s="4" t="str">
        <f>IFERROR(__xludf.DUMMYFUNCTION("""COMPUTED_VALUE"""),"")</f>
        <v/>
      </c>
      <c r="T1624" s="4" t="str">
        <f>IFERROR(__xludf.DUMMYFUNCTION("""COMPUTED_VALUE"""),"")</f>
        <v/>
      </c>
      <c r="U1624" s="4" t="str">
        <f>IFERROR(__xludf.DUMMYFUNCTION("""COMPUTED_VALUE"""),"")</f>
        <v/>
      </c>
      <c r="V1624" s="4" t="str">
        <f>IFERROR(__xludf.DUMMYFUNCTION("""COMPUTED_VALUE"""),"")</f>
        <v/>
      </c>
      <c r="W1624" s="4" t="str">
        <f>IFERROR(__xludf.DUMMYFUNCTION("""COMPUTED_VALUE"""),"")</f>
        <v/>
      </c>
      <c r="X1624" s="4" t="str">
        <f>IFERROR(__xludf.DUMMYFUNCTION("""COMPUTED_VALUE"""),"")</f>
        <v/>
      </c>
      <c r="Y1624" s="4" t="str">
        <f>IFERROR(__xludf.DUMMYFUNCTION("""COMPUTED_VALUE"""),"")</f>
        <v/>
      </c>
    </row>
    <row r="1625">
      <c r="A1625" s="4" t="str">
        <f>IFERROR(__xludf.DUMMYFUNCTION("""COMPUTED_VALUE"""),"2176 - Channel")</f>
        <v>2176 - Channel</v>
      </c>
      <c r="B1625" s="4" t="str">
        <f>IFERROR(__xludf.DUMMYFUNCTION("""COMPUTED_VALUE"""),"")</f>
        <v/>
      </c>
      <c r="C1625" s="4" t="str">
        <f>IFERROR(__xludf.DUMMYFUNCTION("""COMPUTED_VALUE"""),"")</f>
        <v/>
      </c>
      <c r="D1625" s="4" t="str">
        <f>IFERROR(__xludf.DUMMYFUNCTION("""COMPUTED_VALUE"""),"")</f>
        <v/>
      </c>
      <c r="E1625" s="4" t="str">
        <f>IFERROR(__xludf.DUMMYFUNCTION("""COMPUTED_VALUE"""),"")</f>
        <v/>
      </c>
      <c r="F1625" s="4" t="str">
        <f>IFERROR(__xludf.DUMMYFUNCTION("""COMPUTED_VALUE"""),"")</f>
        <v/>
      </c>
      <c r="G1625" s="4" t="str">
        <f>IFERROR(__xludf.DUMMYFUNCTION("""COMPUTED_VALUE"""),"")</f>
        <v/>
      </c>
      <c r="H1625" s="4" t="str">
        <f>IFERROR(__xludf.DUMMYFUNCTION("""COMPUTED_VALUE"""),"")</f>
        <v/>
      </c>
      <c r="I1625" s="4" t="str">
        <f>IFERROR(__xludf.DUMMYFUNCTION("""COMPUTED_VALUE"""),"")</f>
        <v/>
      </c>
      <c r="J1625" s="4" t="str">
        <f>IFERROR(__xludf.DUMMYFUNCTION("""COMPUTED_VALUE"""),"")</f>
        <v/>
      </c>
      <c r="K1625" s="4" t="str">
        <f>IFERROR(__xludf.DUMMYFUNCTION("""COMPUTED_VALUE"""),"")</f>
        <v/>
      </c>
      <c r="L1625" s="4" t="str">
        <f>IFERROR(__xludf.DUMMYFUNCTION("""COMPUTED_VALUE"""),"")</f>
        <v/>
      </c>
      <c r="M1625" s="4" t="str">
        <f>IFERROR(__xludf.DUMMYFUNCTION("""COMPUTED_VALUE"""),"")</f>
        <v/>
      </c>
      <c r="N1625" s="4" t="str">
        <f>IFERROR(__xludf.DUMMYFUNCTION("""COMPUTED_VALUE"""),"")</f>
        <v/>
      </c>
      <c r="O1625" s="4" t="str">
        <f>IFERROR(__xludf.DUMMYFUNCTION("""COMPUTED_VALUE"""),"")</f>
        <v/>
      </c>
      <c r="P1625" s="4" t="str">
        <f>IFERROR(__xludf.DUMMYFUNCTION("""COMPUTED_VALUE"""),"")</f>
        <v/>
      </c>
      <c r="Q1625" s="4" t="str">
        <f>IFERROR(__xludf.DUMMYFUNCTION("""COMPUTED_VALUE"""),"")</f>
        <v/>
      </c>
      <c r="R1625" s="4" t="str">
        <f>IFERROR(__xludf.DUMMYFUNCTION("""COMPUTED_VALUE"""),"")</f>
        <v/>
      </c>
      <c r="S1625" s="4" t="str">
        <f>IFERROR(__xludf.DUMMYFUNCTION("""COMPUTED_VALUE"""),"")</f>
        <v/>
      </c>
      <c r="T1625" s="4" t="str">
        <f>IFERROR(__xludf.DUMMYFUNCTION("""COMPUTED_VALUE"""),"")</f>
        <v/>
      </c>
      <c r="U1625" s="4" t="str">
        <f>IFERROR(__xludf.DUMMYFUNCTION("""COMPUTED_VALUE"""),"")</f>
        <v/>
      </c>
      <c r="V1625" s="4" t="str">
        <f>IFERROR(__xludf.DUMMYFUNCTION("""COMPUTED_VALUE"""),"")</f>
        <v/>
      </c>
      <c r="W1625" s="4" t="str">
        <f>IFERROR(__xludf.DUMMYFUNCTION("""COMPUTED_VALUE"""),"")</f>
        <v/>
      </c>
      <c r="X1625" s="4" t="str">
        <f>IFERROR(__xludf.DUMMYFUNCTION("""COMPUTED_VALUE"""),"")</f>
        <v/>
      </c>
      <c r="Y1625" s="4" t="str">
        <f>IFERROR(__xludf.DUMMYFUNCTION("""COMPUTED_VALUE"""),"")</f>
        <v/>
      </c>
    </row>
    <row r="1626">
      <c r="A1626" s="4" t="str">
        <f>IFERROR(__xludf.DUMMYFUNCTION("""COMPUTED_VALUE"""),"2177 - Channel")</f>
        <v>2177 - Channel</v>
      </c>
      <c r="B1626" s="4" t="str">
        <f>IFERROR(__xludf.DUMMYFUNCTION("""COMPUTED_VALUE"""),"")</f>
        <v/>
      </c>
      <c r="C1626" s="4" t="str">
        <f>IFERROR(__xludf.DUMMYFUNCTION("""COMPUTED_VALUE"""),"")</f>
        <v/>
      </c>
      <c r="D1626" s="4" t="str">
        <f>IFERROR(__xludf.DUMMYFUNCTION("""COMPUTED_VALUE"""),"")</f>
        <v/>
      </c>
      <c r="E1626" s="4" t="str">
        <f>IFERROR(__xludf.DUMMYFUNCTION("""COMPUTED_VALUE"""),"")</f>
        <v/>
      </c>
      <c r="F1626" s="4" t="str">
        <f>IFERROR(__xludf.DUMMYFUNCTION("""COMPUTED_VALUE"""),"")</f>
        <v/>
      </c>
      <c r="G1626" s="4" t="str">
        <f>IFERROR(__xludf.DUMMYFUNCTION("""COMPUTED_VALUE"""),"")</f>
        <v/>
      </c>
      <c r="H1626" s="4" t="str">
        <f>IFERROR(__xludf.DUMMYFUNCTION("""COMPUTED_VALUE"""),"")</f>
        <v/>
      </c>
      <c r="I1626" s="4" t="str">
        <f>IFERROR(__xludf.DUMMYFUNCTION("""COMPUTED_VALUE"""),"")</f>
        <v/>
      </c>
      <c r="J1626" s="4" t="str">
        <f>IFERROR(__xludf.DUMMYFUNCTION("""COMPUTED_VALUE"""),"")</f>
        <v/>
      </c>
      <c r="K1626" s="4" t="str">
        <f>IFERROR(__xludf.DUMMYFUNCTION("""COMPUTED_VALUE"""),"")</f>
        <v/>
      </c>
      <c r="L1626" s="4" t="str">
        <f>IFERROR(__xludf.DUMMYFUNCTION("""COMPUTED_VALUE"""),"")</f>
        <v/>
      </c>
      <c r="M1626" s="4" t="str">
        <f>IFERROR(__xludf.DUMMYFUNCTION("""COMPUTED_VALUE"""),"")</f>
        <v/>
      </c>
      <c r="N1626" s="4" t="str">
        <f>IFERROR(__xludf.DUMMYFUNCTION("""COMPUTED_VALUE"""),"")</f>
        <v/>
      </c>
      <c r="O1626" s="4" t="str">
        <f>IFERROR(__xludf.DUMMYFUNCTION("""COMPUTED_VALUE"""),"")</f>
        <v/>
      </c>
      <c r="P1626" s="4" t="str">
        <f>IFERROR(__xludf.DUMMYFUNCTION("""COMPUTED_VALUE"""),"")</f>
        <v/>
      </c>
      <c r="Q1626" s="4" t="str">
        <f>IFERROR(__xludf.DUMMYFUNCTION("""COMPUTED_VALUE"""),"")</f>
        <v/>
      </c>
      <c r="R1626" s="4" t="str">
        <f>IFERROR(__xludf.DUMMYFUNCTION("""COMPUTED_VALUE"""),"")</f>
        <v/>
      </c>
      <c r="S1626" s="4" t="str">
        <f>IFERROR(__xludf.DUMMYFUNCTION("""COMPUTED_VALUE"""),"")</f>
        <v/>
      </c>
      <c r="T1626" s="4" t="str">
        <f>IFERROR(__xludf.DUMMYFUNCTION("""COMPUTED_VALUE"""),"")</f>
        <v/>
      </c>
      <c r="U1626" s="4" t="str">
        <f>IFERROR(__xludf.DUMMYFUNCTION("""COMPUTED_VALUE"""),"")</f>
        <v/>
      </c>
      <c r="V1626" s="4" t="str">
        <f>IFERROR(__xludf.DUMMYFUNCTION("""COMPUTED_VALUE"""),"")</f>
        <v/>
      </c>
      <c r="W1626" s="4" t="str">
        <f>IFERROR(__xludf.DUMMYFUNCTION("""COMPUTED_VALUE"""),"")</f>
        <v/>
      </c>
      <c r="X1626" s="4" t="str">
        <f>IFERROR(__xludf.DUMMYFUNCTION("""COMPUTED_VALUE"""),"")</f>
        <v/>
      </c>
      <c r="Y1626" s="4" t="str">
        <f>IFERROR(__xludf.DUMMYFUNCTION("""COMPUTED_VALUE"""),"")</f>
        <v/>
      </c>
    </row>
    <row r="1627">
      <c r="A1627" s="4" t="str">
        <f>IFERROR(__xludf.DUMMYFUNCTION("""COMPUTED_VALUE"""),"2178 - Channel")</f>
        <v>2178 - Channel</v>
      </c>
      <c r="B1627" s="4" t="str">
        <f>IFERROR(__xludf.DUMMYFUNCTION("""COMPUTED_VALUE"""),"")</f>
        <v/>
      </c>
      <c r="C1627" s="4" t="str">
        <f>IFERROR(__xludf.DUMMYFUNCTION("""COMPUTED_VALUE"""),"")</f>
        <v/>
      </c>
      <c r="D1627" s="4" t="str">
        <f>IFERROR(__xludf.DUMMYFUNCTION("""COMPUTED_VALUE"""),"")</f>
        <v/>
      </c>
      <c r="E1627" s="4" t="str">
        <f>IFERROR(__xludf.DUMMYFUNCTION("""COMPUTED_VALUE"""),"")</f>
        <v/>
      </c>
      <c r="F1627" s="4" t="str">
        <f>IFERROR(__xludf.DUMMYFUNCTION("""COMPUTED_VALUE"""),"")</f>
        <v/>
      </c>
      <c r="G1627" s="4" t="str">
        <f>IFERROR(__xludf.DUMMYFUNCTION("""COMPUTED_VALUE"""),"")</f>
        <v/>
      </c>
      <c r="H1627" s="4" t="str">
        <f>IFERROR(__xludf.DUMMYFUNCTION("""COMPUTED_VALUE"""),"")</f>
        <v/>
      </c>
      <c r="I1627" s="4" t="str">
        <f>IFERROR(__xludf.DUMMYFUNCTION("""COMPUTED_VALUE"""),"")</f>
        <v/>
      </c>
      <c r="J1627" s="4" t="str">
        <f>IFERROR(__xludf.DUMMYFUNCTION("""COMPUTED_VALUE"""),"")</f>
        <v/>
      </c>
      <c r="K1627" s="4" t="str">
        <f>IFERROR(__xludf.DUMMYFUNCTION("""COMPUTED_VALUE"""),"")</f>
        <v/>
      </c>
      <c r="L1627" s="4" t="str">
        <f>IFERROR(__xludf.DUMMYFUNCTION("""COMPUTED_VALUE"""),"")</f>
        <v/>
      </c>
      <c r="M1627" s="4" t="str">
        <f>IFERROR(__xludf.DUMMYFUNCTION("""COMPUTED_VALUE"""),"")</f>
        <v/>
      </c>
      <c r="N1627" s="4" t="str">
        <f>IFERROR(__xludf.DUMMYFUNCTION("""COMPUTED_VALUE"""),"")</f>
        <v/>
      </c>
      <c r="O1627" s="4" t="str">
        <f>IFERROR(__xludf.DUMMYFUNCTION("""COMPUTED_VALUE"""),"")</f>
        <v/>
      </c>
      <c r="P1627" s="4" t="str">
        <f>IFERROR(__xludf.DUMMYFUNCTION("""COMPUTED_VALUE"""),"")</f>
        <v/>
      </c>
      <c r="Q1627" s="4" t="str">
        <f>IFERROR(__xludf.DUMMYFUNCTION("""COMPUTED_VALUE"""),"")</f>
        <v/>
      </c>
      <c r="R1627" s="4" t="str">
        <f>IFERROR(__xludf.DUMMYFUNCTION("""COMPUTED_VALUE"""),"")</f>
        <v/>
      </c>
      <c r="S1627" s="4" t="str">
        <f>IFERROR(__xludf.DUMMYFUNCTION("""COMPUTED_VALUE"""),"")</f>
        <v/>
      </c>
      <c r="T1627" s="4" t="str">
        <f>IFERROR(__xludf.DUMMYFUNCTION("""COMPUTED_VALUE"""),"")</f>
        <v/>
      </c>
      <c r="U1627" s="4" t="str">
        <f>IFERROR(__xludf.DUMMYFUNCTION("""COMPUTED_VALUE"""),"")</f>
        <v/>
      </c>
      <c r="V1627" s="4" t="str">
        <f>IFERROR(__xludf.DUMMYFUNCTION("""COMPUTED_VALUE"""),"")</f>
        <v/>
      </c>
      <c r="W1627" s="4" t="str">
        <f>IFERROR(__xludf.DUMMYFUNCTION("""COMPUTED_VALUE"""),"")</f>
        <v/>
      </c>
      <c r="X1627" s="4" t="str">
        <f>IFERROR(__xludf.DUMMYFUNCTION("""COMPUTED_VALUE"""),"")</f>
        <v/>
      </c>
      <c r="Y1627" s="4" t="str">
        <f>IFERROR(__xludf.DUMMYFUNCTION("""COMPUTED_VALUE"""),"")</f>
        <v/>
      </c>
    </row>
    <row r="1628">
      <c r="A1628" s="4" t="str">
        <f>IFERROR(__xludf.DUMMYFUNCTION("""COMPUTED_VALUE"""),"2179 - Channel")</f>
        <v>2179 - Channel</v>
      </c>
      <c r="B1628" s="4" t="str">
        <f>IFERROR(__xludf.DUMMYFUNCTION("""COMPUTED_VALUE"""),"")</f>
        <v/>
      </c>
      <c r="C1628" s="4" t="str">
        <f>IFERROR(__xludf.DUMMYFUNCTION("""COMPUTED_VALUE"""),"")</f>
        <v/>
      </c>
      <c r="D1628" s="4" t="str">
        <f>IFERROR(__xludf.DUMMYFUNCTION("""COMPUTED_VALUE"""),"")</f>
        <v/>
      </c>
      <c r="E1628" s="4" t="str">
        <f>IFERROR(__xludf.DUMMYFUNCTION("""COMPUTED_VALUE"""),"")</f>
        <v/>
      </c>
      <c r="F1628" s="4" t="str">
        <f>IFERROR(__xludf.DUMMYFUNCTION("""COMPUTED_VALUE"""),"")</f>
        <v/>
      </c>
      <c r="G1628" s="4" t="str">
        <f>IFERROR(__xludf.DUMMYFUNCTION("""COMPUTED_VALUE"""),"")</f>
        <v/>
      </c>
      <c r="H1628" s="4" t="str">
        <f>IFERROR(__xludf.DUMMYFUNCTION("""COMPUTED_VALUE"""),"")</f>
        <v/>
      </c>
      <c r="I1628" s="4" t="str">
        <f>IFERROR(__xludf.DUMMYFUNCTION("""COMPUTED_VALUE"""),"")</f>
        <v/>
      </c>
      <c r="J1628" s="4" t="str">
        <f>IFERROR(__xludf.DUMMYFUNCTION("""COMPUTED_VALUE"""),"")</f>
        <v/>
      </c>
      <c r="K1628" s="4" t="str">
        <f>IFERROR(__xludf.DUMMYFUNCTION("""COMPUTED_VALUE"""),"")</f>
        <v/>
      </c>
      <c r="L1628" s="4" t="str">
        <f>IFERROR(__xludf.DUMMYFUNCTION("""COMPUTED_VALUE"""),"")</f>
        <v/>
      </c>
      <c r="M1628" s="4" t="str">
        <f>IFERROR(__xludf.DUMMYFUNCTION("""COMPUTED_VALUE"""),"")</f>
        <v/>
      </c>
      <c r="N1628" s="4" t="str">
        <f>IFERROR(__xludf.DUMMYFUNCTION("""COMPUTED_VALUE"""),"")</f>
        <v/>
      </c>
      <c r="O1628" s="4" t="str">
        <f>IFERROR(__xludf.DUMMYFUNCTION("""COMPUTED_VALUE"""),"")</f>
        <v/>
      </c>
      <c r="P1628" s="4" t="str">
        <f>IFERROR(__xludf.DUMMYFUNCTION("""COMPUTED_VALUE"""),"")</f>
        <v/>
      </c>
      <c r="Q1628" s="4" t="str">
        <f>IFERROR(__xludf.DUMMYFUNCTION("""COMPUTED_VALUE"""),"")</f>
        <v/>
      </c>
      <c r="R1628" s="4" t="str">
        <f>IFERROR(__xludf.DUMMYFUNCTION("""COMPUTED_VALUE"""),"")</f>
        <v/>
      </c>
      <c r="S1628" s="4" t="str">
        <f>IFERROR(__xludf.DUMMYFUNCTION("""COMPUTED_VALUE"""),"")</f>
        <v/>
      </c>
      <c r="T1628" s="4" t="str">
        <f>IFERROR(__xludf.DUMMYFUNCTION("""COMPUTED_VALUE"""),"")</f>
        <v/>
      </c>
      <c r="U1628" s="4" t="str">
        <f>IFERROR(__xludf.DUMMYFUNCTION("""COMPUTED_VALUE"""),"")</f>
        <v/>
      </c>
      <c r="V1628" s="4" t="str">
        <f>IFERROR(__xludf.DUMMYFUNCTION("""COMPUTED_VALUE"""),"")</f>
        <v/>
      </c>
      <c r="W1628" s="4" t="str">
        <f>IFERROR(__xludf.DUMMYFUNCTION("""COMPUTED_VALUE"""),"")</f>
        <v/>
      </c>
      <c r="X1628" s="4" t="str">
        <f>IFERROR(__xludf.DUMMYFUNCTION("""COMPUTED_VALUE"""),"")</f>
        <v/>
      </c>
      <c r="Y1628" s="4" t="str">
        <f>IFERROR(__xludf.DUMMYFUNCTION("""COMPUTED_VALUE"""),"")</f>
        <v/>
      </c>
    </row>
    <row r="1629">
      <c r="A1629" s="4" t="str">
        <f>IFERROR(__xludf.DUMMYFUNCTION("""COMPUTED_VALUE"""),"2180 - Channel")</f>
        <v>2180 - Channel</v>
      </c>
      <c r="B1629" s="4" t="str">
        <f>IFERROR(__xludf.DUMMYFUNCTION("""COMPUTED_VALUE"""),"")</f>
        <v/>
      </c>
      <c r="C1629" s="4" t="str">
        <f>IFERROR(__xludf.DUMMYFUNCTION("""COMPUTED_VALUE"""),"")</f>
        <v/>
      </c>
      <c r="D1629" s="4" t="str">
        <f>IFERROR(__xludf.DUMMYFUNCTION("""COMPUTED_VALUE"""),"")</f>
        <v/>
      </c>
      <c r="E1629" s="4" t="str">
        <f>IFERROR(__xludf.DUMMYFUNCTION("""COMPUTED_VALUE"""),"")</f>
        <v/>
      </c>
      <c r="F1629" s="4" t="str">
        <f>IFERROR(__xludf.DUMMYFUNCTION("""COMPUTED_VALUE"""),"")</f>
        <v/>
      </c>
      <c r="G1629" s="4" t="str">
        <f>IFERROR(__xludf.DUMMYFUNCTION("""COMPUTED_VALUE"""),"")</f>
        <v/>
      </c>
      <c r="H1629" s="4" t="str">
        <f>IFERROR(__xludf.DUMMYFUNCTION("""COMPUTED_VALUE"""),"")</f>
        <v/>
      </c>
      <c r="I1629" s="4" t="str">
        <f>IFERROR(__xludf.DUMMYFUNCTION("""COMPUTED_VALUE"""),"")</f>
        <v/>
      </c>
      <c r="J1629" s="4" t="str">
        <f>IFERROR(__xludf.DUMMYFUNCTION("""COMPUTED_VALUE"""),"")</f>
        <v/>
      </c>
      <c r="K1629" s="4" t="str">
        <f>IFERROR(__xludf.DUMMYFUNCTION("""COMPUTED_VALUE"""),"")</f>
        <v/>
      </c>
      <c r="L1629" s="4" t="str">
        <f>IFERROR(__xludf.DUMMYFUNCTION("""COMPUTED_VALUE"""),"")</f>
        <v/>
      </c>
      <c r="M1629" s="4" t="str">
        <f>IFERROR(__xludf.DUMMYFUNCTION("""COMPUTED_VALUE"""),"")</f>
        <v/>
      </c>
      <c r="N1629" s="4" t="str">
        <f>IFERROR(__xludf.DUMMYFUNCTION("""COMPUTED_VALUE"""),"")</f>
        <v/>
      </c>
      <c r="O1629" s="4" t="str">
        <f>IFERROR(__xludf.DUMMYFUNCTION("""COMPUTED_VALUE"""),"")</f>
        <v/>
      </c>
      <c r="P1629" s="4" t="str">
        <f>IFERROR(__xludf.DUMMYFUNCTION("""COMPUTED_VALUE"""),"")</f>
        <v/>
      </c>
      <c r="Q1629" s="4" t="str">
        <f>IFERROR(__xludf.DUMMYFUNCTION("""COMPUTED_VALUE"""),"")</f>
        <v/>
      </c>
      <c r="R1629" s="4" t="str">
        <f>IFERROR(__xludf.DUMMYFUNCTION("""COMPUTED_VALUE"""),"")</f>
        <v/>
      </c>
      <c r="S1629" s="4" t="str">
        <f>IFERROR(__xludf.DUMMYFUNCTION("""COMPUTED_VALUE"""),"")</f>
        <v/>
      </c>
      <c r="T1629" s="4" t="str">
        <f>IFERROR(__xludf.DUMMYFUNCTION("""COMPUTED_VALUE"""),"")</f>
        <v/>
      </c>
      <c r="U1629" s="4" t="str">
        <f>IFERROR(__xludf.DUMMYFUNCTION("""COMPUTED_VALUE"""),"")</f>
        <v/>
      </c>
      <c r="V1629" s="4" t="str">
        <f>IFERROR(__xludf.DUMMYFUNCTION("""COMPUTED_VALUE"""),"")</f>
        <v/>
      </c>
      <c r="W1629" s="4" t="str">
        <f>IFERROR(__xludf.DUMMYFUNCTION("""COMPUTED_VALUE"""),"")</f>
        <v/>
      </c>
      <c r="X1629" s="4" t="str">
        <f>IFERROR(__xludf.DUMMYFUNCTION("""COMPUTED_VALUE"""),"")</f>
        <v/>
      </c>
      <c r="Y1629" s="4" t="str">
        <f>IFERROR(__xludf.DUMMYFUNCTION("""COMPUTED_VALUE"""),"")</f>
        <v/>
      </c>
    </row>
    <row r="1630">
      <c r="A1630" s="4" t="str">
        <f>IFERROR(__xludf.DUMMYFUNCTION("""COMPUTED_VALUE"""),"2181 - Channel")</f>
        <v>2181 - Channel</v>
      </c>
      <c r="B1630" s="4" t="str">
        <f>IFERROR(__xludf.DUMMYFUNCTION("""COMPUTED_VALUE"""),"")</f>
        <v/>
      </c>
      <c r="C1630" s="4" t="str">
        <f>IFERROR(__xludf.DUMMYFUNCTION("""COMPUTED_VALUE"""),"")</f>
        <v/>
      </c>
      <c r="D1630" s="4" t="str">
        <f>IFERROR(__xludf.DUMMYFUNCTION("""COMPUTED_VALUE"""),"")</f>
        <v/>
      </c>
      <c r="E1630" s="4" t="str">
        <f>IFERROR(__xludf.DUMMYFUNCTION("""COMPUTED_VALUE"""),"")</f>
        <v/>
      </c>
      <c r="F1630" s="4" t="str">
        <f>IFERROR(__xludf.DUMMYFUNCTION("""COMPUTED_VALUE"""),"")</f>
        <v/>
      </c>
      <c r="G1630" s="4" t="str">
        <f>IFERROR(__xludf.DUMMYFUNCTION("""COMPUTED_VALUE"""),"")</f>
        <v/>
      </c>
      <c r="H1630" s="4" t="str">
        <f>IFERROR(__xludf.DUMMYFUNCTION("""COMPUTED_VALUE"""),"")</f>
        <v/>
      </c>
      <c r="I1630" s="4" t="str">
        <f>IFERROR(__xludf.DUMMYFUNCTION("""COMPUTED_VALUE"""),"")</f>
        <v/>
      </c>
      <c r="J1630" s="4" t="str">
        <f>IFERROR(__xludf.DUMMYFUNCTION("""COMPUTED_VALUE"""),"")</f>
        <v/>
      </c>
      <c r="K1630" s="4" t="str">
        <f>IFERROR(__xludf.DUMMYFUNCTION("""COMPUTED_VALUE"""),"")</f>
        <v/>
      </c>
      <c r="L1630" s="4" t="str">
        <f>IFERROR(__xludf.DUMMYFUNCTION("""COMPUTED_VALUE"""),"")</f>
        <v/>
      </c>
      <c r="M1630" s="4" t="str">
        <f>IFERROR(__xludf.DUMMYFUNCTION("""COMPUTED_VALUE"""),"")</f>
        <v/>
      </c>
      <c r="N1630" s="4" t="str">
        <f>IFERROR(__xludf.DUMMYFUNCTION("""COMPUTED_VALUE"""),"")</f>
        <v/>
      </c>
      <c r="O1630" s="4" t="str">
        <f>IFERROR(__xludf.DUMMYFUNCTION("""COMPUTED_VALUE"""),"")</f>
        <v/>
      </c>
      <c r="P1630" s="4" t="str">
        <f>IFERROR(__xludf.DUMMYFUNCTION("""COMPUTED_VALUE"""),"")</f>
        <v/>
      </c>
      <c r="Q1630" s="4" t="str">
        <f>IFERROR(__xludf.DUMMYFUNCTION("""COMPUTED_VALUE"""),"")</f>
        <v/>
      </c>
      <c r="R1630" s="4" t="str">
        <f>IFERROR(__xludf.DUMMYFUNCTION("""COMPUTED_VALUE"""),"")</f>
        <v/>
      </c>
      <c r="S1630" s="4" t="str">
        <f>IFERROR(__xludf.DUMMYFUNCTION("""COMPUTED_VALUE"""),"")</f>
        <v/>
      </c>
      <c r="T1630" s="4" t="str">
        <f>IFERROR(__xludf.DUMMYFUNCTION("""COMPUTED_VALUE"""),"")</f>
        <v/>
      </c>
      <c r="U1630" s="4" t="str">
        <f>IFERROR(__xludf.DUMMYFUNCTION("""COMPUTED_VALUE"""),"")</f>
        <v/>
      </c>
      <c r="V1630" s="4" t="str">
        <f>IFERROR(__xludf.DUMMYFUNCTION("""COMPUTED_VALUE"""),"")</f>
        <v/>
      </c>
      <c r="W1630" s="4" t="str">
        <f>IFERROR(__xludf.DUMMYFUNCTION("""COMPUTED_VALUE"""),"")</f>
        <v/>
      </c>
      <c r="X1630" s="4" t="str">
        <f>IFERROR(__xludf.DUMMYFUNCTION("""COMPUTED_VALUE"""),"")</f>
        <v/>
      </c>
      <c r="Y1630" s="4" t="str">
        <f>IFERROR(__xludf.DUMMYFUNCTION("""COMPUTED_VALUE"""),"")</f>
        <v/>
      </c>
    </row>
    <row r="1631">
      <c r="A1631" s="4" t="str">
        <f>IFERROR(__xludf.DUMMYFUNCTION("""COMPUTED_VALUE"""),"2182 - Channel")</f>
        <v>2182 - Channel</v>
      </c>
      <c r="B1631" s="4" t="str">
        <f>IFERROR(__xludf.DUMMYFUNCTION("""COMPUTED_VALUE"""),"")</f>
        <v/>
      </c>
      <c r="C1631" s="4" t="str">
        <f>IFERROR(__xludf.DUMMYFUNCTION("""COMPUTED_VALUE"""),"")</f>
        <v/>
      </c>
      <c r="D1631" s="4" t="str">
        <f>IFERROR(__xludf.DUMMYFUNCTION("""COMPUTED_VALUE"""),"")</f>
        <v/>
      </c>
      <c r="E1631" s="4" t="str">
        <f>IFERROR(__xludf.DUMMYFUNCTION("""COMPUTED_VALUE"""),"")</f>
        <v/>
      </c>
      <c r="F1631" s="4" t="str">
        <f>IFERROR(__xludf.DUMMYFUNCTION("""COMPUTED_VALUE"""),"")</f>
        <v/>
      </c>
      <c r="G1631" s="4" t="str">
        <f>IFERROR(__xludf.DUMMYFUNCTION("""COMPUTED_VALUE"""),"")</f>
        <v/>
      </c>
      <c r="H1631" s="4" t="str">
        <f>IFERROR(__xludf.DUMMYFUNCTION("""COMPUTED_VALUE"""),"")</f>
        <v/>
      </c>
      <c r="I1631" s="4" t="str">
        <f>IFERROR(__xludf.DUMMYFUNCTION("""COMPUTED_VALUE"""),"")</f>
        <v/>
      </c>
      <c r="J1631" s="4" t="str">
        <f>IFERROR(__xludf.DUMMYFUNCTION("""COMPUTED_VALUE"""),"")</f>
        <v/>
      </c>
      <c r="K1631" s="4" t="str">
        <f>IFERROR(__xludf.DUMMYFUNCTION("""COMPUTED_VALUE"""),"")</f>
        <v/>
      </c>
      <c r="L1631" s="4" t="str">
        <f>IFERROR(__xludf.DUMMYFUNCTION("""COMPUTED_VALUE"""),"")</f>
        <v/>
      </c>
      <c r="M1631" s="4" t="str">
        <f>IFERROR(__xludf.DUMMYFUNCTION("""COMPUTED_VALUE"""),"")</f>
        <v/>
      </c>
      <c r="N1631" s="4" t="str">
        <f>IFERROR(__xludf.DUMMYFUNCTION("""COMPUTED_VALUE"""),"")</f>
        <v/>
      </c>
      <c r="O1631" s="4" t="str">
        <f>IFERROR(__xludf.DUMMYFUNCTION("""COMPUTED_VALUE"""),"")</f>
        <v/>
      </c>
      <c r="P1631" s="4" t="str">
        <f>IFERROR(__xludf.DUMMYFUNCTION("""COMPUTED_VALUE"""),"")</f>
        <v/>
      </c>
      <c r="Q1631" s="4" t="str">
        <f>IFERROR(__xludf.DUMMYFUNCTION("""COMPUTED_VALUE"""),"")</f>
        <v/>
      </c>
      <c r="R1631" s="4" t="str">
        <f>IFERROR(__xludf.DUMMYFUNCTION("""COMPUTED_VALUE"""),"")</f>
        <v/>
      </c>
      <c r="S1631" s="4" t="str">
        <f>IFERROR(__xludf.DUMMYFUNCTION("""COMPUTED_VALUE"""),"")</f>
        <v/>
      </c>
      <c r="T1631" s="4" t="str">
        <f>IFERROR(__xludf.DUMMYFUNCTION("""COMPUTED_VALUE"""),"")</f>
        <v/>
      </c>
      <c r="U1631" s="4" t="str">
        <f>IFERROR(__xludf.DUMMYFUNCTION("""COMPUTED_VALUE"""),"")</f>
        <v/>
      </c>
      <c r="V1631" s="4" t="str">
        <f>IFERROR(__xludf.DUMMYFUNCTION("""COMPUTED_VALUE"""),"")</f>
        <v/>
      </c>
      <c r="W1631" s="4" t="str">
        <f>IFERROR(__xludf.DUMMYFUNCTION("""COMPUTED_VALUE"""),"")</f>
        <v/>
      </c>
      <c r="X1631" s="4" t="str">
        <f>IFERROR(__xludf.DUMMYFUNCTION("""COMPUTED_VALUE"""),"")</f>
        <v/>
      </c>
      <c r="Y1631" s="4" t="str">
        <f>IFERROR(__xludf.DUMMYFUNCTION("""COMPUTED_VALUE"""),"")</f>
        <v/>
      </c>
    </row>
    <row r="1632">
      <c r="A1632" s="4" t="str">
        <f>IFERROR(__xludf.DUMMYFUNCTION("""COMPUTED_VALUE"""),"2183 - Channel")</f>
        <v>2183 - Channel</v>
      </c>
      <c r="B1632" s="4" t="str">
        <f>IFERROR(__xludf.DUMMYFUNCTION("""COMPUTED_VALUE"""),"")</f>
        <v/>
      </c>
      <c r="C1632" s="4" t="str">
        <f>IFERROR(__xludf.DUMMYFUNCTION("""COMPUTED_VALUE"""),"")</f>
        <v/>
      </c>
      <c r="D1632" s="4" t="str">
        <f>IFERROR(__xludf.DUMMYFUNCTION("""COMPUTED_VALUE"""),"")</f>
        <v/>
      </c>
      <c r="E1632" s="4" t="str">
        <f>IFERROR(__xludf.DUMMYFUNCTION("""COMPUTED_VALUE"""),"")</f>
        <v/>
      </c>
      <c r="F1632" s="4" t="str">
        <f>IFERROR(__xludf.DUMMYFUNCTION("""COMPUTED_VALUE"""),"")</f>
        <v/>
      </c>
      <c r="G1632" s="4" t="str">
        <f>IFERROR(__xludf.DUMMYFUNCTION("""COMPUTED_VALUE"""),"")</f>
        <v/>
      </c>
      <c r="H1632" s="4" t="str">
        <f>IFERROR(__xludf.DUMMYFUNCTION("""COMPUTED_VALUE"""),"")</f>
        <v/>
      </c>
      <c r="I1632" s="4" t="str">
        <f>IFERROR(__xludf.DUMMYFUNCTION("""COMPUTED_VALUE"""),"")</f>
        <v/>
      </c>
      <c r="J1632" s="4" t="str">
        <f>IFERROR(__xludf.DUMMYFUNCTION("""COMPUTED_VALUE"""),"")</f>
        <v/>
      </c>
      <c r="K1632" s="4" t="str">
        <f>IFERROR(__xludf.DUMMYFUNCTION("""COMPUTED_VALUE"""),"")</f>
        <v/>
      </c>
      <c r="L1632" s="4" t="str">
        <f>IFERROR(__xludf.DUMMYFUNCTION("""COMPUTED_VALUE"""),"")</f>
        <v/>
      </c>
      <c r="M1632" s="4" t="str">
        <f>IFERROR(__xludf.DUMMYFUNCTION("""COMPUTED_VALUE"""),"")</f>
        <v/>
      </c>
      <c r="N1632" s="4" t="str">
        <f>IFERROR(__xludf.DUMMYFUNCTION("""COMPUTED_VALUE"""),"")</f>
        <v/>
      </c>
      <c r="O1632" s="4" t="str">
        <f>IFERROR(__xludf.DUMMYFUNCTION("""COMPUTED_VALUE"""),"")</f>
        <v/>
      </c>
      <c r="P1632" s="4" t="str">
        <f>IFERROR(__xludf.DUMMYFUNCTION("""COMPUTED_VALUE"""),"")</f>
        <v/>
      </c>
      <c r="Q1632" s="4" t="str">
        <f>IFERROR(__xludf.DUMMYFUNCTION("""COMPUTED_VALUE"""),"")</f>
        <v/>
      </c>
      <c r="R1632" s="4" t="str">
        <f>IFERROR(__xludf.DUMMYFUNCTION("""COMPUTED_VALUE"""),"")</f>
        <v/>
      </c>
      <c r="S1632" s="4" t="str">
        <f>IFERROR(__xludf.DUMMYFUNCTION("""COMPUTED_VALUE"""),"")</f>
        <v/>
      </c>
      <c r="T1632" s="4" t="str">
        <f>IFERROR(__xludf.DUMMYFUNCTION("""COMPUTED_VALUE"""),"")</f>
        <v/>
      </c>
      <c r="U1632" s="4" t="str">
        <f>IFERROR(__xludf.DUMMYFUNCTION("""COMPUTED_VALUE"""),"")</f>
        <v/>
      </c>
      <c r="V1632" s="4" t="str">
        <f>IFERROR(__xludf.DUMMYFUNCTION("""COMPUTED_VALUE"""),"")</f>
        <v/>
      </c>
      <c r="W1632" s="4" t="str">
        <f>IFERROR(__xludf.DUMMYFUNCTION("""COMPUTED_VALUE"""),"")</f>
        <v/>
      </c>
      <c r="X1632" s="4" t="str">
        <f>IFERROR(__xludf.DUMMYFUNCTION("""COMPUTED_VALUE"""),"")</f>
        <v/>
      </c>
      <c r="Y1632" s="4" t="str">
        <f>IFERROR(__xludf.DUMMYFUNCTION("""COMPUTED_VALUE"""),"")</f>
        <v/>
      </c>
    </row>
    <row r="1633">
      <c r="A1633" s="4" t="str">
        <f>IFERROR(__xludf.DUMMYFUNCTION("""COMPUTED_VALUE"""),"2184 - Channel")</f>
        <v>2184 - Channel</v>
      </c>
      <c r="B1633" s="4" t="str">
        <f>IFERROR(__xludf.DUMMYFUNCTION("""COMPUTED_VALUE"""),"")</f>
        <v/>
      </c>
      <c r="C1633" s="4" t="str">
        <f>IFERROR(__xludf.DUMMYFUNCTION("""COMPUTED_VALUE"""),"")</f>
        <v/>
      </c>
      <c r="D1633" s="4" t="str">
        <f>IFERROR(__xludf.DUMMYFUNCTION("""COMPUTED_VALUE"""),"")</f>
        <v/>
      </c>
      <c r="E1633" s="4" t="str">
        <f>IFERROR(__xludf.DUMMYFUNCTION("""COMPUTED_VALUE"""),"")</f>
        <v/>
      </c>
      <c r="F1633" s="4" t="str">
        <f>IFERROR(__xludf.DUMMYFUNCTION("""COMPUTED_VALUE"""),"")</f>
        <v/>
      </c>
      <c r="G1633" s="4" t="str">
        <f>IFERROR(__xludf.DUMMYFUNCTION("""COMPUTED_VALUE"""),"")</f>
        <v/>
      </c>
      <c r="H1633" s="4" t="str">
        <f>IFERROR(__xludf.DUMMYFUNCTION("""COMPUTED_VALUE"""),"")</f>
        <v/>
      </c>
      <c r="I1633" s="4" t="str">
        <f>IFERROR(__xludf.DUMMYFUNCTION("""COMPUTED_VALUE"""),"")</f>
        <v/>
      </c>
      <c r="J1633" s="4" t="str">
        <f>IFERROR(__xludf.DUMMYFUNCTION("""COMPUTED_VALUE"""),"")</f>
        <v/>
      </c>
      <c r="K1633" s="4" t="str">
        <f>IFERROR(__xludf.DUMMYFUNCTION("""COMPUTED_VALUE"""),"")</f>
        <v/>
      </c>
      <c r="L1633" s="4" t="str">
        <f>IFERROR(__xludf.DUMMYFUNCTION("""COMPUTED_VALUE"""),"")</f>
        <v/>
      </c>
      <c r="M1633" s="4" t="str">
        <f>IFERROR(__xludf.DUMMYFUNCTION("""COMPUTED_VALUE"""),"")</f>
        <v/>
      </c>
      <c r="N1633" s="4" t="str">
        <f>IFERROR(__xludf.DUMMYFUNCTION("""COMPUTED_VALUE"""),"")</f>
        <v/>
      </c>
      <c r="O1633" s="4" t="str">
        <f>IFERROR(__xludf.DUMMYFUNCTION("""COMPUTED_VALUE"""),"")</f>
        <v/>
      </c>
      <c r="P1633" s="4" t="str">
        <f>IFERROR(__xludf.DUMMYFUNCTION("""COMPUTED_VALUE"""),"")</f>
        <v/>
      </c>
      <c r="Q1633" s="4" t="str">
        <f>IFERROR(__xludf.DUMMYFUNCTION("""COMPUTED_VALUE"""),"")</f>
        <v/>
      </c>
      <c r="R1633" s="4" t="str">
        <f>IFERROR(__xludf.DUMMYFUNCTION("""COMPUTED_VALUE"""),"")</f>
        <v/>
      </c>
      <c r="S1633" s="4" t="str">
        <f>IFERROR(__xludf.DUMMYFUNCTION("""COMPUTED_VALUE"""),"")</f>
        <v/>
      </c>
      <c r="T1633" s="4" t="str">
        <f>IFERROR(__xludf.DUMMYFUNCTION("""COMPUTED_VALUE"""),"")</f>
        <v/>
      </c>
      <c r="U1633" s="4" t="str">
        <f>IFERROR(__xludf.DUMMYFUNCTION("""COMPUTED_VALUE"""),"")</f>
        <v/>
      </c>
      <c r="V1633" s="4" t="str">
        <f>IFERROR(__xludf.DUMMYFUNCTION("""COMPUTED_VALUE"""),"")</f>
        <v/>
      </c>
      <c r="W1633" s="4" t="str">
        <f>IFERROR(__xludf.DUMMYFUNCTION("""COMPUTED_VALUE"""),"")</f>
        <v/>
      </c>
      <c r="X1633" s="4" t="str">
        <f>IFERROR(__xludf.DUMMYFUNCTION("""COMPUTED_VALUE"""),"")</f>
        <v/>
      </c>
      <c r="Y1633" s="4" t="str">
        <f>IFERROR(__xludf.DUMMYFUNCTION("""COMPUTED_VALUE"""),"")</f>
        <v/>
      </c>
    </row>
    <row r="1634">
      <c r="A1634" s="4" t="str">
        <f>IFERROR(__xludf.DUMMYFUNCTION("""COMPUTED_VALUE"""),"2185 - Channel")</f>
        <v>2185 - Channel</v>
      </c>
      <c r="B1634" s="4" t="str">
        <f>IFERROR(__xludf.DUMMYFUNCTION("""COMPUTED_VALUE"""),"")</f>
        <v/>
      </c>
      <c r="C1634" s="4" t="str">
        <f>IFERROR(__xludf.DUMMYFUNCTION("""COMPUTED_VALUE"""),"")</f>
        <v/>
      </c>
      <c r="D1634" s="4" t="str">
        <f>IFERROR(__xludf.DUMMYFUNCTION("""COMPUTED_VALUE"""),"")</f>
        <v/>
      </c>
      <c r="E1634" s="4" t="str">
        <f>IFERROR(__xludf.DUMMYFUNCTION("""COMPUTED_VALUE"""),"")</f>
        <v/>
      </c>
      <c r="F1634" s="4" t="str">
        <f>IFERROR(__xludf.DUMMYFUNCTION("""COMPUTED_VALUE"""),"")</f>
        <v/>
      </c>
      <c r="G1634" s="4" t="str">
        <f>IFERROR(__xludf.DUMMYFUNCTION("""COMPUTED_VALUE"""),"")</f>
        <v/>
      </c>
      <c r="H1634" s="4" t="str">
        <f>IFERROR(__xludf.DUMMYFUNCTION("""COMPUTED_VALUE"""),"")</f>
        <v/>
      </c>
      <c r="I1634" s="4" t="str">
        <f>IFERROR(__xludf.DUMMYFUNCTION("""COMPUTED_VALUE"""),"")</f>
        <v/>
      </c>
      <c r="J1634" s="4" t="str">
        <f>IFERROR(__xludf.DUMMYFUNCTION("""COMPUTED_VALUE"""),"")</f>
        <v/>
      </c>
      <c r="K1634" s="4" t="str">
        <f>IFERROR(__xludf.DUMMYFUNCTION("""COMPUTED_VALUE"""),"")</f>
        <v/>
      </c>
      <c r="L1634" s="4" t="str">
        <f>IFERROR(__xludf.DUMMYFUNCTION("""COMPUTED_VALUE"""),"")</f>
        <v/>
      </c>
      <c r="M1634" s="4" t="str">
        <f>IFERROR(__xludf.DUMMYFUNCTION("""COMPUTED_VALUE"""),"")</f>
        <v/>
      </c>
      <c r="N1634" s="4" t="str">
        <f>IFERROR(__xludf.DUMMYFUNCTION("""COMPUTED_VALUE"""),"")</f>
        <v/>
      </c>
      <c r="O1634" s="4" t="str">
        <f>IFERROR(__xludf.DUMMYFUNCTION("""COMPUTED_VALUE"""),"")</f>
        <v/>
      </c>
      <c r="P1634" s="4" t="str">
        <f>IFERROR(__xludf.DUMMYFUNCTION("""COMPUTED_VALUE"""),"")</f>
        <v/>
      </c>
      <c r="Q1634" s="4" t="str">
        <f>IFERROR(__xludf.DUMMYFUNCTION("""COMPUTED_VALUE"""),"")</f>
        <v/>
      </c>
      <c r="R1634" s="4" t="str">
        <f>IFERROR(__xludf.DUMMYFUNCTION("""COMPUTED_VALUE"""),"")</f>
        <v/>
      </c>
      <c r="S1634" s="4" t="str">
        <f>IFERROR(__xludf.DUMMYFUNCTION("""COMPUTED_VALUE"""),"")</f>
        <v/>
      </c>
      <c r="T1634" s="4" t="str">
        <f>IFERROR(__xludf.DUMMYFUNCTION("""COMPUTED_VALUE"""),"")</f>
        <v/>
      </c>
      <c r="U1634" s="4" t="str">
        <f>IFERROR(__xludf.DUMMYFUNCTION("""COMPUTED_VALUE"""),"")</f>
        <v/>
      </c>
      <c r="V1634" s="4" t="str">
        <f>IFERROR(__xludf.DUMMYFUNCTION("""COMPUTED_VALUE"""),"")</f>
        <v/>
      </c>
      <c r="W1634" s="4" t="str">
        <f>IFERROR(__xludf.DUMMYFUNCTION("""COMPUTED_VALUE"""),"")</f>
        <v/>
      </c>
      <c r="X1634" s="4" t="str">
        <f>IFERROR(__xludf.DUMMYFUNCTION("""COMPUTED_VALUE"""),"")</f>
        <v/>
      </c>
      <c r="Y1634" s="4" t="str">
        <f>IFERROR(__xludf.DUMMYFUNCTION("""COMPUTED_VALUE"""),"")</f>
        <v/>
      </c>
    </row>
    <row r="1635">
      <c r="A1635" s="4" t="str">
        <f>IFERROR(__xludf.DUMMYFUNCTION("""COMPUTED_VALUE"""),"2186 - Channel")</f>
        <v>2186 - Channel</v>
      </c>
      <c r="B1635" s="4" t="str">
        <f>IFERROR(__xludf.DUMMYFUNCTION("""COMPUTED_VALUE"""),"")</f>
        <v/>
      </c>
      <c r="C1635" s="4" t="str">
        <f>IFERROR(__xludf.DUMMYFUNCTION("""COMPUTED_VALUE"""),"")</f>
        <v/>
      </c>
      <c r="D1635" s="4" t="str">
        <f>IFERROR(__xludf.DUMMYFUNCTION("""COMPUTED_VALUE"""),"")</f>
        <v/>
      </c>
      <c r="E1635" s="4" t="str">
        <f>IFERROR(__xludf.DUMMYFUNCTION("""COMPUTED_VALUE"""),"")</f>
        <v/>
      </c>
      <c r="F1635" s="4" t="str">
        <f>IFERROR(__xludf.DUMMYFUNCTION("""COMPUTED_VALUE"""),"")</f>
        <v/>
      </c>
      <c r="G1635" s="4" t="str">
        <f>IFERROR(__xludf.DUMMYFUNCTION("""COMPUTED_VALUE"""),"")</f>
        <v/>
      </c>
      <c r="H1635" s="4" t="str">
        <f>IFERROR(__xludf.DUMMYFUNCTION("""COMPUTED_VALUE"""),"")</f>
        <v/>
      </c>
      <c r="I1635" s="4" t="str">
        <f>IFERROR(__xludf.DUMMYFUNCTION("""COMPUTED_VALUE"""),"")</f>
        <v/>
      </c>
      <c r="J1635" s="4" t="str">
        <f>IFERROR(__xludf.DUMMYFUNCTION("""COMPUTED_VALUE"""),"")</f>
        <v/>
      </c>
      <c r="K1635" s="4" t="str">
        <f>IFERROR(__xludf.DUMMYFUNCTION("""COMPUTED_VALUE"""),"")</f>
        <v/>
      </c>
      <c r="L1635" s="4" t="str">
        <f>IFERROR(__xludf.DUMMYFUNCTION("""COMPUTED_VALUE"""),"")</f>
        <v/>
      </c>
      <c r="M1635" s="4" t="str">
        <f>IFERROR(__xludf.DUMMYFUNCTION("""COMPUTED_VALUE"""),"")</f>
        <v/>
      </c>
      <c r="N1635" s="4" t="str">
        <f>IFERROR(__xludf.DUMMYFUNCTION("""COMPUTED_VALUE"""),"")</f>
        <v/>
      </c>
      <c r="O1635" s="4" t="str">
        <f>IFERROR(__xludf.DUMMYFUNCTION("""COMPUTED_VALUE"""),"")</f>
        <v/>
      </c>
      <c r="P1635" s="4" t="str">
        <f>IFERROR(__xludf.DUMMYFUNCTION("""COMPUTED_VALUE"""),"")</f>
        <v/>
      </c>
      <c r="Q1635" s="4" t="str">
        <f>IFERROR(__xludf.DUMMYFUNCTION("""COMPUTED_VALUE"""),"")</f>
        <v/>
      </c>
      <c r="R1635" s="4" t="str">
        <f>IFERROR(__xludf.DUMMYFUNCTION("""COMPUTED_VALUE"""),"")</f>
        <v/>
      </c>
      <c r="S1635" s="4" t="str">
        <f>IFERROR(__xludf.DUMMYFUNCTION("""COMPUTED_VALUE"""),"")</f>
        <v/>
      </c>
      <c r="T1635" s="4" t="str">
        <f>IFERROR(__xludf.DUMMYFUNCTION("""COMPUTED_VALUE"""),"")</f>
        <v/>
      </c>
      <c r="U1635" s="4" t="str">
        <f>IFERROR(__xludf.DUMMYFUNCTION("""COMPUTED_VALUE"""),"")</f>
        <v/>
      </c>
      <c r="V1635" s="4" t="str">
        <f>IFERROR(__xludf.DUMMYFUNCTION("""COMPUTED_VALUE"""),"")</f>
        <v/>
      </c>
      <c r="W1635" s="4" t="str">
        <f>IFERROR(__xludf.DUMMYFUNCTION("""COMPUTED_VALUE"""),"")</f>
        <v/>
      </c>
      <c r="X1635" s="4" t="str">
        <f>IFERROR(__xludf.DUMMYFUNCTION("""COMPUTED_VALUE"""),"")</f>
        <v/>
      </c>
      <c r="Y1635" s="4" t="str">
        <f>IFERROR(__xludf.DUMMYFUNCTION("""COMPUTED_VALUE"""),"")</f>
        <v/>
      </c>
    </row>
    <row r="1636">
      <c r="A1636" s="4" t="str">
        <f>IFERROR(__xludf.DUMMYFUNCTION("""COMPUTED_VALUE"""),"2187 - Channel")</f>
        <v>2187 - Channel</v>
      </c>
      <c r="B1636" s="4" t="str">
        <f>IFERROR(__xludf.DUMMYFUNCTION("""COMPUTED_VALUE"""),"")</f>
        <v/>
      </c>
      <c r="C1636" s="4" t="str">
        <f>IFERROR(__xludf.DUMMYFUNCTION("""COMPUTED_VALUE"""),"")</f>
        <v/>
      </c>
      <c r="D1636" s="4" t="str">
        <f>IFERROR(__xludf.DUMMYFUNCTION("""COMPUTED_VALUE"""),"")</f>
        <v/>
      </c>
      <c r="E1636" s="4" t="str">
        <f>IFERROR(__xludf.DUMMYFUNCTION("""COMPUTED_VALUE"""),"")</f>
        <v/>
      </c>
      <c r="F1636" s="4" t="str">
        <f>IFERROR(__xludf.DUMMYFUNCTION("""COMPUTED_VALUE"""),"")</f>
        <v/>
      </c>
      <c r="G1636" s="4" t="str">
        <f>IFERROR(__xludf.DUMMYFUNCTION("""COMPUTED_VALUE"""),"")</f>
        <v/>
      </c>
      <c r="H1636" s="4" t="str">
        <f>IFERROR(__xludf.DUMMYFUNCTION("""COMPUTED_VALUE"""),"")</f>
        <v/>
      </c>
      <c r="I1636" s="4" t="str">
        <f>IFERROR(__xludf.DUMMYFUNCTION("""COMPUTED_VALUE"""),"")</f>
        <v/>
      </c>
      <c r="J1636" s="4" t="str">
        <f>IFERROR(__xludf.DUMMYFUNCTION("""COMPUTED_VALUE"""),"")</f>
        <v/>
      </c>
      <c r="K1636" s="4" t="str">
        <f>IFERROR(__xludf.DUMMYFUNCTION("""COMPUTED_VALUE"""),"")</f>
        <v/>
      </c>
      <c r="L1636" s="4" t="str">
        <f>IFERROR(__xludf.DUMMYFUNCTION("""COMPUTED_VALUE"""),"")</f>
        <v/>
      </c>
      <c r="M1636" s="4" t="str">
        <f>IFERROR(__xludf.DUMMYFUNCTION("""COMPUTED_VALUE"""),"")</f>
        <v/>
      </c>
      <c r="N1636" s="4" t="str">
        <f>IFERROR(__xludf.DUMMYFUNCTION("""COMPUTED_VALUE"""),"")</f>
        <v/>
      </c>
      <c r="O1636" s="4" t="str">
        <f>IFERROR(__xludf.DUMMYFUNCTION("""COMPUTED_VALUE"""),"")</f>
        <v/>
      </c>
      <c r="P1636" s="4" t="str">
        <f>IFERROR(__xludf.DUMMYFUNCTION("""COMPUTED_VALUE"""),"")</f>
        <v/>
      </c>
      <c r="Q1636" s="4" t="str">
        <f>IFERROR(__xludf.DUMMYFUNCTION("""COMPUTED_VALUE"""),"")</f>
        <v/>
      </c>
      <c r="R1636" s="4" t="str">
        <f>IFERROR(__xludf.DUMMYFUNCTION("""COMPUTED_VALUE"""),"")</f>
        <v/>
      </c>
      <c r="S1636" s="4" t="str">
        <f>IFERROR(__xludf.DUMMYFUNCTION("""COMPUTED_VALUE"""),"")</f>
        <v/>
      </c>
      <c r="T1636" s="4" t="str">
        <f>IFERROR(__xludf.DUMMYFUNCTION("""COMPUTED_VALUE"""),"")</f>
        <v/>
      </c>
      <c r="U1636" s="4" t="str">
        <f>IFERROR(__xludf.DUMMYFUNCTION("""COMPUTED_VALUE"""),"")</f>
        <v/>
      </c>
      <c r="V1636" s="4" t="str">
        <f>IFERROR(__xludf.DUMMYFUNCTION("""COMPUTED_VALUE"""),"")</f>
        <v/>
      </c>
      <c r="W1636" s="4" t="str">
        <f>IFERROR(__xludf.DUMMYFUNCTION("""COMPUTED_VALUE"""),"")</f>
        <v/>
      </c>
      <c r="X1636" s="4" t="str">
        <f>IFERROR(__xludf.DUMMYFUNCTION("""COMPUTED_VALUE"""),"")</f>
        <v/>
      </c>
      <c r="Y1636" s="4" t="str">
        <f>IFERROR(__xludf.DUMMYFUNCTION("""COMPUTED_VALUE"""),"")</f>
        <v/>
      </c>
    </row>
    <row r="1637">
      <c r="A1637" s="4" t="str">
        <f>IFERROR(__xludf.DUMMYFUNCTION("""COMPUTED_VALUE"""),"2188 - Channel")</f>
        <v>2188 - Channel</v>
      </c>
      <c r="B1637" s="4" t="str">
        <f>IFERROR(__xludf.DUMMYFUNCTION("""COMPUTED_VALUE"""),"")</f>
        <v/>
      </c>
      <c r="C1637" s="4" t="str">
        <f>IFERROR(__xludf.DUMMYFUNCTION("""COMPUTED_VALUE"""),"")</f>
        <v/>
      </c>
      <c r="D1637" s="4" t="str">
        <f>IFERROR(__xludf.DUMMYFUNCTION("""COMPUTED_VALUE"""),"")</f>
        <v/>
      </c>
      <c r="E1637" s="4" t="str">
        <f>IFERROR(__xludf.DUMMYFUNCTION("""COMPUTED_VALUE"""),"")</f>
        <v/>
      </c>
      <c r="F1637" s="4" t="str">
        <f>IFERROR(__xludf.DUMMYFUNCTION("""COMPUTED_VALUE"""),"")</f>
        <v/>
      </c>
      <c r="G1637" s="4" t="str">
        <f>IFERROR(__xludf.DUMMYFUNCTION("""COMPUTED_VALUE"""),"")</f>
        <v/>
      </c>
      <c r="H1637" s="4" t="str">
        <f>IFERROR(__xludf.DUMMYFUNCTION("""COMPUTED_VALUE"""),"")</f>
        <v/>
      </c>
      <c r="I1637" s="4" t="str">
        <f>IFERROR(__xludf.DUMMYFUNCTION("""COMPUTED_VALUE"""),"")</f>
        <v/>
      </c>
      <c r="J1637" s="4" t="str">
        <f>IFERROR(__xludf.DUMMYFUNCTION("""COMPUTED_VALUE"""),"")</f>
        <v/>
      </c>
      <c r="K1637" s="4" t="str">
        <f>IFERROR(__xludf.DUMMYFUNCTION("""COMPUTED_VALUE"""),"")</f>
        <v/>
      </c>
      <c r="L1637" s="4" t="str">
        <f>IFERROR(__xludf.DUMMYFUNCTION("""COMPUTED_VALUE"""),"")</f>
        <v/>
      </c>
      <c r="M1637" s="4" t="str">
        <f>IFERROR(__xludf.DUMMYFUNCTION("""COMPUTED_VALUE"""),"")</f>
        <v/>
      </c>
      <c r="N1637" s="4" t="str">
        <f>IFERROR(__xludf.DUMMYFUNCTION("""COMPUTED_VALUE"""),"")</f>
        <v/>
      </c>
      <c r="O1637" s="4" t="str">
        <f>IFERROR(__xludf.DUMMYFUNCTION("""COMPUTED_VALUE"""),"")</f>
        <v/>
      </c>
      <c r="P1637" s="4" t="str">
        <f>IFERROR(__xludf.DUMMYFUNCTION("""COMPUTED_VALUE"""),"")</f>
        <v/>
      </c>
      <c r="Q1637" s="4" t="str">
        <f>IFERROR(__xludf.DUMMYFUNCTION("""COMPUTED_VALUE"""),"")</f>
        <v/>
      </c>
      <c r="R1637" s="4" t="str">
        <f>IFERROR(__xludf.DUMMYFUNCTION("""COMPUTED_VALUE"""),"")</f>
        <v/>
      </c>
      <c r="S1637" s="4" t="str">
        <f>IFERROR(__xludf.DUMMYFUNCTION("""COMPUTED_VALUE"""),"")</f>
        <v/>
      </c>
      <c r="T1637" s="4" t="str">
        <f>IFERROR(__xludf.DUMMYFUNCTION("""COMPUTED_VALUE"""),"")</f>
        <v/>
      </c>
      <c r="U1637" s="4" t="str">
        <f>IFERROR(__xludf.DUMMYFUNCTION("""COMPUTED_VALUE"""),"")</f>
        <v/>
      </c>
      <c r="V1637" s="4" t="str">
        <f>IFERROR(__xludf.DUMMYFUNCTION("""COMPUTED_VALUE"""),"")</f>
        <v/>
      </c>
      <c r="W1637" s="4" t="str">
        <f>IFERROR(__xludf.DUMMYFUNCTION("""COMPUTED_VALUE"""),"")</f>
        <v/>
      </c>
      <c r="X1637" s="4" t="str">
        <f>IFERROR(__xludf.DUMMYFUNCTION("""COMPUTED_VALUE"""),"")</f>
        <v/>
      </c>
      <c r="Y1637" s="4" t="str">
        <f>IFERROR(__xludf.DUMMYFUNCTION("""COMPUTED_VALUE"""),"")</f>
        <v/>
      </c>
    </row>
    <row r="1638">
      <c r="A1638" s="4" t="str">
        <f>IFERROR(__xludf.DUMMYFUNCTION("""COMPUTED_VALUE"""),"2189 - Channel")</f>
        <v>2189 - Channel</v>
      </c>
      <c r="B1638" s="4" t="str">
        <f>IFERROR(__xludf.DUMMYFUNCTION("""COMPUTED_VALUE"""),"")</f>
        <v/>
      </c>
      <c r="C1638" s="4" t="str">
        <f>IFERROR(__xludf.DUMMYFUNCTION("""COMPUTED_VALUE"""),"")</f>
        <v/>
      </c>
      <c r="D1638" s="4" t="str">
        <f>IFERROR(__xludf.DUMMYFUNCTION("""COMPUTED_VALUE"""),"")</f>
        <v/>
      </c>
      <c r="E1638" s="4" t="str">
        <f>IFERROR(__xludf.DUMMYFUNCTION("""COMPUTED_VALUE"""),"")</f>
        <v/>
      </c>
      <c r="F1638" s="4" t="str">
        <f>IFERROR(__xludf.DUMMYFUNCTION("""COMPUTED_VALUE"""),"")</f>
        <v/>
      </c>
      <c r="G1638" s="4" t="str">
        <f>IFERROR(__xludf.DUMMYFUNCTION("""COMPUTED_VALUE"""),"")</f>
        <v/>
      </c>
      <c r="H1638" s="4" t="str">
        <f>IFERROR(__xludf.DUMMYFUNCTION("""COMPUTED_VALUE"""),"")</f>
        <v/>
      </c>
      <c r="I1638" s="4" t="str">
        <f>IFERROR(__xludf.DUMMYFUNCTION("""COMPUTED_VALUE"""),"")</f>
        <v/>
      </c>
      <c r="J1638" s="4" t="str">
        <f>IFERROR(__xludf.DUMMYFUNCTION("""COMPUTED_VALUE"""),"")</f>
        <v/>
      </c>
      <c r="K1638" s="4" t="str">
        <f>IFERROR(__xludf.DUMMYFUNCTION("""COMPUTED_VALUE"""),"")</f>
        <v/>
      </c>
      <c r="L1638" s="4" t="str">
        <f>IFERROR(__xludf.DUMMYFUNCTION("""COMPUTED_VALUE"""),"")</f>
        <v/>
      </c>
      <c r="M1638" s="4" t="str">
        <f>IFERROR(__xludf.DUMMYFUNCTION("""COMPUTED_VALUE"""),"")</f>
        <v/>
      </c>
      <c r="N1638" s="4" t="str">
        <f>IFERROR(__xludf.DUMMYFUNCTION("""COMPUTED_VALUE"""),"")</f>
        <v/>
      </c>
      <c r="O1638" s="4" t="str">
        <f>IFERROR(__xludf.DUMMYFUNCTION("""COMPUTED_VALUE"""),"")</f>
        <v/>
      </c>
      <c r="P1638" s="4" t="str">
        <f>IFERROR(__xludf.DUMMYFUNCTION("""COMPUTED_VALUE"""),"")</f>
        <v/>
      </c>
      <c r="Q1638" s="4" t="str">
        <f>IFERROR(__xludf.DUMMYFUNCTION("""COMPUTED_VALUE"""),"")</f>
        <v/>
      </c>
      <c r="R1638" s="4" t="str">
        <f>IFERROR(__xludf.DUMMYFUNCTION("""COMPUTED_VALUE"""),"")</f>
        <v/>
      </c>
      <c r="S1638" s="4" t="str">
        <f>IFERROR(__xludf.DUMMYFUNCTION("""COMPUTED_VALUE"""),"")</f>
        <v/>
      </c>
      <c r="T1638" s="4" t="str">
        <f>IFERROR(__xludf.DUMMYFUNCTION("""COMPUTED_VALUE"""),"")</f>
        <v/>
      </c>
      <c r="U1638" s="4" t="str">
        <f>IFERROR(__xludf.DUMMYFUNCTION("""COMPUTED_VALUE"""),"")</f>
        <v/>
      </c>
      <c r="V1638" s="4" t="str">
        <f>IFERROR(__xludf.DUMMYFUNCTION("""COMPUTED_VALUE"""),"")</f>
        <v/>
      </c>
      <c r="W1638" s="4" t="str">
        <f>IFERROR(__xludf.DUMMYFUNCTION("""COMPUTED_VALUE"""),"")</f>
        <v/>
      </c>
      <c r="X1638" s="4" t="str">
        <f>IFERROR(__xludf.DUMMYFUNCTION("""COMPUTED_VALUE"""),"")</f>
        <v/>
      </c>
      <c r="Y1638" s="4" t="str">
        <f>IFERROR(__xludf.DUMMYFUNCTION("""COMPUTED_VALUE"""),"")</f>
        <v/>
      </c>
    </row>
    <row r="1639">
      <c r="A1639" s="4" t="str">
        <f>IFERROR(__xludf.DUMMYFUNCTION("""COMPUTED_VALUE"""),"2190 - Channel")</f>
        <v>2190 - Channel</v>
      </c>
      <c r="B1639" s="4" t="str">
        <f>IFERROR(__xludf.DUMMYFUNCTION("""COMPUTED_VALUE"""),"")</f>
        <v/>
      </c>
      <c r="C1639" s="4" t="str">
        <f>IFERROR(__xludf.DUMMYFUNCTION("""COMPUTED_VALUE"""),"")</f>
        <v/>
      </c>
      <c r="D1639" s="4" t="str">
        <f>IFERROR(__xludf.DUMMYFUNCTION("""COMPUTED_VALUE"""),"")</f>
        <v/>
      </c>
      <c r="E1639" s="4" t="str">
        <f>IFERROR(__xludf.DUMMYFUNCTION("""COMPUTED_VALUE"""),"")</f>
        <v/>
      </c>
      <c r="F1639" s="4" t="str">
        <f>IFERROR(__xludf.DUMMYFUNCTION("""COMPUTED_VALUE"""),"")</f>
        <v/>
      </c>
      <c r="G1639" s="4" t="str">
        <f>IFERROR(__xludf.DUMMYFUNCTION("""COMPUTED_VALUE"""),"")</f>
        <v/>
      </c>
      <c r="H1639" s="4" t="str">
        <f>IFERROR(__xludf.DUMMYFUNCTION("""COMPUTED_VALUE"""),"")</f>
        <v/>
      </c>
      <c r="I1639" s="4" t="str">
        <f>IFERROR(__xludf.DUMMYFUNCTION("""COMPUTED_VALUE"""),"")</f>
        <v/>
      </c>
      <c r="J1639" s="4" t="str">
        <f>IFERROR(__xludf.DUMMYFUNCTION("""COMPUTED_VALUE"""),"")</f>
        <v/>
      </c>
      <c r="K1639" s="4" t="str">
        <f>IFERROR(__xludf.DUMMYFUNCTION("""COMPUTED_VALUE"""),"")</f>
        <v/>
      </c>
      <c r="L1639" s="4" t="str">
        <f>IFERROR(__xludf.DUMMYFUNCTION("""COMPUTED_VALUE"""),"")</f>
        <v/>
      </c>
      <c r="M1639" s="4" t="str">
        <f>IFERROR(__xludf.DUMMYFUNCTION("""COMPUTED_VALUE"""),"")</f>
        <v/>
      </c>
      <c r="N1639" s="4" t="str">
        <f>IFERROR(__xludf.DUMMYFUNCTION("""COMPUTED_VALUE"""),"")</f>
        <v/>
      </c>
      <c r="O1639" s="4" t="str">
        <f>IFERROR(__xludf.DUMMYFUNCTION("""COMPUTED_VALUE"""),"")</f>
        <v/>
      </c>
      <c r="P1639" s="4" t="str">
        <f>IFERROR(__xludf.DUMMYFUNCTION("""COMPUTED_VALUE"""),"")</f>
        <v/>
      </c>
      <c r="Q1639" s="4" t="str">
        <f>IFERROR(__xludf.DUMMYFUNCTION("""COMPUTED_VALUE"""),"")</f>
        <v/>
      </c>
      <c r="R1639" s="4" t="str">
        <f>IFERROR(__xludf.DUMMYFUNCTION("""COMPUTED_VALUE"""),"")</f>
        <v/>
      </c>
      <c r="S1639" s="4" t="str">
        <f>IFERROR(__xludf.DUMMYFUNCTION("""COMPUTED_VALUE"""),"")</f>
        <v/>
      </c>
      <c r="T1639" s="4" t="str">
        <f>IFERROR(__xludf.DUMMYFUNCTION("""COMPUTED_VALUE"""),"")</f>
        <v/>
      </c>
      <c r="U1639" s="4" t="str">
        <f>IFERROR(__xludf.DUMMYFUNCTION("""COMPUTED_VALUE"""),"")</f>
        <v/>
      </c>
      <c r="V1639" s="4" t="str">
        <f>IFERROR(__xludf.DUMMYFUNCTION("""COMPUTED_VALUE"""),"")</f>
        <v/>
      </c>
      <c r="W1639" s="4" t="str">
        <f>IFERROR(__xludf.DUMMYFUNCTION("""COMPUTED_VALUE"""),"")</f>
        <v/>
      </c>
      <c r="X1639" s="4" t="str">
        <f>IFERROR(__xludf.DUMMYFUNCTION("""COMPUTED_VALUE"""),"")</f>
        <v/>
      </c>
      <c r="Y1639" s="4" t="str">
        <f>IFERROR(__xludf.DUMMYFUNCTION("""COMPUTED_VALUE"""),"")</f>
        <v/>
      </c>
    </row>
    <row r="1640">
      <c r="A1640" s="4" t="str">
        <f>IFERROR(__xludf.DUMMYFUNCTION("""COMPUTED_VALUE"""),"2191 - Channel")</f>
        <v>2191 - Channel</v>
      </c>
      <c r="B1640" s="4" t="str">
        <f>IFERROR(__xludf.DUMMYFUNCTION("""COMPUTED_VALUE"""),"")</f>
        <v/>
      </c>
      <c r="C1640" s="4" t="str">
        <f>IFERROR(__xludf.DUMMYFUNCTION("""COMPUTED_VALUE"""),"")</f>
        <v/>
      </c>
      <c r="D1640" s="4" t="str">
        <f>IFERROR(__xludf.DUMMYFUNCTION("""COMPUTED_VALUE"""),"")</f>
        <v/>
      </c>
      <c r="E1640" s="4" t="str">
        <f>IFERROR(__xludf.DUMMYFUNCTION("""COMPUTED_VALUE"""),"")</f>
        <v/>
      </c>
      <c r="F1640" s="4" t="str">
        <f>IFERROR(__xludf.DUMMYFUNCTION("""COMPUTED_VALUE"""),"")</f>
        <v/>
      </c>
      <c r="G1640" s="4" t="str">
        <f>IFERROR(__xludf.DUMMYFUNCTION("""COMPUTED_VALUE"""),"")</f>
        <v/>
      </c>
      <c r="H1640" s="4" t="str">
        <f>IFERROR(__xludf.DUMMYFUNCTION("""COMPUTED_VALUE"""),"")</f>
        <v/>
      </c>
      <c r="I1640" s="4" t="str">
        <f>IFERROR(__xludf.DUMMYFUNCTION("""COMPUTED_VALUE"""),"")</f>
        <v/>
      </c>
      <c r="J1640" s="4" t="str">
        <f>IFERROR(__xludf.DUMMYFUNCTION("""COMPUTED_VALUE"""),"")</f>
        <v/>
      </c>
      <c r="K1640" s="4" t="str">
        <f>IFERROR(__xludf.DUMMYFUNCTION("""COMPUTED_VALUE"""),"")</f>
        <v/>
      </c>
      <c r="L1640" s="4" t="str">
        <f>IFERROR(__xludf.DUMMYFUNCTION("""COMPUTED_VALUE"""),"")</f>
        <v/>
      </c>
      <c r="M1640" s="4" t="str">
        <f>IFERROR(__xludf.DUMMYFUNCTION("""COMPUTED_VALUE"""),"")</f>
        <v/>
      </c>
      <c r="N1640" s="4" t="str">
        <f>IFERROR(__xludf.DUMMYFUNCTION("""COMPUTED_VALUE"""),"")</f>
        <v/>
      </c>
      <c r="O1640" s="4" t="str">
        <f>IFERROR(__xludf.DUMMYFUNCTION("""COMPUTED_VALUE"""),"")</f>
        <v/>
      </c>
      <c r="P1640" s="4" t="str">
        <f>IFERROR(__xludf.DUMMYFUNCTION("""COMPUTED_VALUE"""),"")</f>
        <v/>
      </c>
      <c r="Q1640" s="4" t="str">
        <f>IFERROR(__xludf.DUMMYFUNCTION("""COMPUTED_VALUE"""),"")</f>
        <v/>
      </c>
      <c r="R1640" s="4" t="str">
        <f>IFERROR(__xludf.DUMMYFUNCTION("""COMPUTED_VALUE"""),"")</f>
        <v/>
      </c>
      <c r="S1640" s="4" t="str">
        <f>IFERROR(__xludf.DUMMYFUNCTION("""COMPUTED_VALUE"""),"")</f>
        <v/>
      </c>
      <c r="T1640" s="4" t="str">
        <f>IFERROR(__xludf.DUMMYFUNCTION("""COMPUTED_VALUE"""),"")</f>
        <v/>
      </c>
      <c r="U1640" s="4" t="str">
        <f>IFERROR(__xludf.DUMMYFUNCTION("""COMPUTED_VALUE"""),"")</f>
        <v/>
      </c>
      <c r="V1640" s="4" t="str">
        <f>IFERROR(__xludf.DUMMYFUNCTION("""COMPUTED_VALUE"""),"")</f>
        <v/>
      </c>
      <c r="W1640" s="4" t="str">
        <f>IFERROR(__xludf.DUMMYFUNCTION("""COMPUTED_VALUE"""),"")</f>
        <v/>
      </c>
      <c r="X1640" s="4" t="str">
        <f>IFERROR(__xludf.DUMMYFUNCTION("""COMPUTED_VALUE"""),"")</f>
        <v/>
      </c>
      <c r="Y1640" s="4" t="str">
        <f>IFERROR(__xludf.DUMMYFUNCTION("""COMPUTED_VALUE"""),"")</f>
        <v/>
      </c>
    </row>
    <row r="1641">
      <c r="A1641" s="4" t="str">
        <f>IFERROR(__xludf.DUMMYFUNCTION("""COMPUTED_VALUE"""),"2192 - Channel")</f>
        <v>2192 - Channel</v>
      </c>
      <c r="B1641" s="4" t="str">
        <f>IFERROR(__xludf.DUMMYFUNCTION("""COMPUTED_VALUE"""),"")</f>
        <v/>
      </c>
      <c r="C1641" s="4" t="str">
        <f>IFERROR(__xludf.DUMMYFUNCTION("""COMPUTED_VALUE"""),"")</f>
        <v/>
      </c>
      <c r="D1641" s="4" t="str">
        <f>IFERROR(__xludf.DUMMYFUNCTION("""COMPUTED_VALUE"""),"")</f>
        <v/>
      </c>
      <c r="E1641" s="4" t="str">
        <f>IFERROR(__xludf.DUMMYFUNCTION("""COMPUTED_VALUE"""),"")</f>
        <v/>
      </c>
      <c r="F1641" s="4" t="str">
        <f>IFERROR(__xludf.DUMMYFUNCTION("""COMPUTED_VALUE"""),"")</f>
        <v/>
      </c>
      <c r="G1641" s="4" t="str">
        <f>IFERROR(__xludf.DUMMYFUNCTION("""COMPUTED_VALUE"""),"")</f>
        <v/>
      </c>
      <c r="H1641" s="4" t="str">
        <f>IFERROR(__xludf.DUMMYFUNCTION("""COMPUTED_VALUE"""),"")</f>
        <v/>
      </c>
      <c r="I1641" s="4" t="str">
        <f>IFERROR(__xludf.DUMMYFUNCTION("""COMPUTED_VALUE"""),"")</f>
        <v/>
      </c>
      <c r="J1641" s="4" t="str">
        <f>IFERROR(__xludf.DUMMYFUNCTION("""COMPUTED_VALUE"""),"")</f>
        <v/>
      </c>
      <c r="K1641" s="4" t="str">
        <f>IFERROR(__xludf.DUMMYFUNCTION("""COMPUTED_VALUE"""),"")</f>
        <v/>
      </c>
      <c r="L1641" s="4" t="str">
        <f>IFERROR(__xludf.DUMMYFUNCTION("""COMPUTED_VALUE"""),"")</f>
        <v/>
      </c>
      <c r="M1641" s="4" t="str">
        <f>IFERROR(__xludf.DUMMYFUNCTION("""COMPUTED_VALUE"""),"")</f>
        <v/>
      </c>
      <c r="N1641" s="4" t="str">
        <f>IFERROR(__xludf.DUMMYFUNCTION("""COMPUTED_VALUE"""),"")</f>
        <v/>
      </c>
      <c r="O1641" s="4" t="str">
        <f>IFERROR(__xludf.DUMMYFUNCTION("""COMPUTED_VALUE"""),"")</f>
        <v/>
      </c>
      <c r="P1641" s="4" t="str">
        <f>IFERROR(__xludf.DUMMYFUNCTION("""COMPUTED_VALUE"""),"")</f>
        <v/>
      </c>
      <c r="Q1641" s="4" t="str">
        <f>IFERROR(__xludf.DUMMYFUNCTION("""COMPUTED_VALUE"""),"")</f>
        <v/>
      </c>
      <c r="R1641" s="4" t="str">
        <f>IFERROR(__xludf.DUMMYFUNCTION("""COMPUTED_VALUE"""),"")</f>
        <v/>
      </c>
      <c r="S1641" s="4" t="str">
        <f>IFERROR(__xludf.DUMMYFUNCTION("""COMPUTED_VALUE"""),"")</f>
        <v/>
      </c>
      <c r="T1641" s="4" t="str">
        <f>IFERROR(__xludf.DUMMYFUNCTION("""COMPUTED_VALUE"""),"")</f>
        <v/>
      </c>
      <c r="U1641" s="4" t="str">
        <f>IFERROR(__xludf.DUMMYFUNCTION("""COMPUTED_VALUE"""),"")</f>
        <v/>
      </c>
      <c r="V1641" s="4" t="str">
        <f>IFERROR(__xludf.DUMMYFUNCTION("""COMPUTED_VALUE"""),"")</f>
        <v/>
      </c>
      <c r="W1641" s="4" t="str">
        <f>IFERROR(__xludf.DUMMYFUNCTION("""COMPUTED_VALUE"""),"")</f>
        <v/>
      </c>
      <c r="X1641" s="4" t="str">
        <f>IFERROR(__xludf.DUMMYFUNCTION("""COMPUTED_VALUE"""),"")</f>
        <v/>
      </c>
      <c r="Y1641" s="4" t="str">
        <f>IFERROR(__xludf.DUMMYFUNCTION("""COMPUTED_VALUE"""),"")</f>
        <v/>
      </c>
    </row>
    <row r="1642">
      <c r="A1642" s="4" t="str">
        <f>IFERROR(__xludf.DUMMYFUNCTION("""COMPUTED_VALUE"""),"2193 - Channel")</f>
        <v>2193 - Channel</v>
      </c>
      <c r="B1642" s="4" t="str">
        <f>IFERROR(__xludf.DUMMYFUNCTION("""COMPUTED_VALUE"""),"")</f>
        <v/>
      </c>
      <c r="C1642" s="4" t="str">
        <f>IFERROR(__xludf.DUMMYFUNCTION("""COMPUTED_VALUE"""),"")</f>
        <v/>
      </c>
      <c r="D1642" s="4" t="str">
        <f>IFERROR(__xludf.DUMMYFUNCTION("""COMPUTED_VALUE"""),"")</f>
        <v/>
      </c>
      <c r="E1642" s="4" t="str">
        <f>IFERROR(__xludf.DUMMYFUNCTION("""COMPUTED_VALUE"""),"")</f>
        <v/>
      </c>
      <c r="F1642" s="4" t="str">
        <f>IFERROR(__xludf.DUMMYFUNCTION("""COMPUTED_VALUE"""),"")</f>
        <v/>
      </c>
      <c r="G1642" s="4" t="str">
        <f>IFERROR(__xludf.DUMMYFUNCTION("""COMPUTED_VALUE"""),"")</f>
        <v/>
      </c>
      <c r="H1642" s="4" t="str">
        <f>IFERROR(__xludf.DUMMYFUNCTION("""COMPUTED_VALUE"""),"")</f>
        <v/>
      </c>
      <c r="I1642" s="4" t="str">
        <f>IFERROR(__xludf.DUMMYFUNCTION("""COMPUTED_VALUE"""),"")</f>
        <v/>
      </c>
      <c r="J1642" s="4" t="str">
        <f>IFERROR(__xludf.DUMMYFUNCTION("""COMPUTED_VALUE"""),"")</f>
        <v/>
      </c>
      <c r="K1642" s="4" t="str">
        <f>IFERROR(__xludf.DUMMYFUNCTION("""COMPUTED_VALUE"""),"")</f>
        <v/>
      </c>
      <c r="L1642" s="4" t="str">
        <f>IFERROR(__xludf.DUMMYFUNCTION("""COMPUTED_VALUE"""),"")</f>
        <v/>
      </c>
      <c r="M1642" s="4" t="str">
        <f>IFERROR(__xludf.DUMMYFUNCTION("""COMPUTED_VALUE"""),"")</f>
        <v/>
      </c>
      <c r="N1642" s="4" t="str">
        <f>IFERROR(__xludf.DUMMYFUNCTION("""COMPUTED_VALUE"""),"")</f>
        <v/>
      </c>
      <c r="O1642" s="4" t="str">
        <f>IFERROR(__xludf.DUMMYFUNCTION("""COMPUTED_VALUE"""),"")</f>
        <v/>
      </c>
      <c r="P1642" s="4" t="str">
        <f>IFERROR(__xludf.DUMMYFUNCTION("""COMPUTED_VALUE"""),"")</f>
        <v/>
      </c>
      <c r="Q1642" s="4" t="str">
        <f>IFERROR(__xludf.DUMMYFUNCTION("""COMPUTED_VALUE"""),"")</f>
        <v/>
      </c>
      <c r="R1642" s="4" t="str">
        <f>IFERROR(__xludf.DUMMYFUNCTION("""COMPUTED_VALUE"""),"")</f>
        <v/>
      </c>
      <c r="S1642" s="4" t="str">
        <f>IFERROR(__xludf.DUMMYFUNCTION("""COMPUTED_VALUE"""),"")</f>
        <v/>
      </c>
      <c r="T1642" s="4" t="str">
        <f>IFERROR(__xludf.DUMMYFUNCTION("""COMPUTED_VALUE"""),"")</f>
        <v/>
      </c>
      <c r="U1642" s="4" t="str">
        <f>IFERROR(__xludf.DUMMYFUNCTION("""COMPUTED_VALUE"""),"")</f>
        <v/>
      </c>
      <c r="V1642" s="4" t="str">
        <f>IFERROR(__xludf.DUMMYFUNCTION("""COMPUTED_VALUE"""),"")</f>
        <v/>
      </c>
      <c r="W1642" s="4" t="str">
        <f>IFERROR(__xludf.DUMMYFUNCTION("""COMPUTED_VALUE"""),"")</f>
        <v/>
      </c>
      <c r="X1642" s="4" t="str">
        <f>IFERROR(__xludf.DUMMYFUNCTION("""COMPUTED_VALUE"""),"")</f>
        <v/>
      </c>
      <c r="Y1642" s="4" t="str">
        <f>IFERROR(__xludf.DUMMYFUNCTION("""COMPUTED_VALUE"""),"")</f>
        <v/>
      </c>
    </row>
    <row r="1643">
      <c r="A1643" s="4" t="str">
        <f>IFERROR(__xludf.DUMMYFUNCTION("""COMPUTED_VALUE"""),"2194 - Channel")</f>
        <v>2194 - Channel</v>
      </c>
      <c r="B1643" s="4" t="str">
        <f>IFERROR(__xludf.DUMMYFUNCTION("""COMPUTED_VALUE"""),"")</f>
        <v/>
      </c>
      <c r="C1643" s="4" t="str">
        <f>IFERROR(__xludf.DUMMYFUNCTION("""COMPUTED_VALUE"""),"")</f>
        <v/>
      </c>
      <c r="D1643" s="4" t="str">
        <f>IFERROR(__xludf.DUMMYFUNCTION("""COMPUTED_VALUE"""),"")</f>
        <v/>
      </c>
      <c r="E1643" s="4" t="str">
        <f>IFERROR(__xludf.DUMMYFUNCTION("""COMPUTED_VALUE"""),"")</f>
        <v/>
      </c>
      <c r="F1643" s="4" t="str">
        <f>IFERROR(__xludf.DUMMYFUNCTION("""COMPUTED_VALUE"""),"")</f>
        <v/>
      </c>
      <c r="G1643" s="4" t="str">
        <f>IFERROR(__xludf.DUMMYFUNCTION("""COMPUTED_VALUE"""),"")</f>
        <v/>
      </c>
      <c r="H1643" s="4" t="str">
        <f>IFERROR(__xludf.DUMMYFUNCTION("""COMPUTED_VALUE"""),"")</f>
        <v/>
      </c>
      <c r="I1643" s="4" t="str">
        <f>IFERROR(__xludf.DUMMYFUNCTION("""COMPUTED_VALUE"""),"")</f>
        <v/>
      </c>
      <c r="J1643" s="4" t="str">
        <f>IFERROR(__xludf.DUMMYFUNCTION("""COMPUTED_VALUE"""),"")</f>
        <v/>
      </c>
      <c r="K1643" s="4" t="str">
        <f>IFERROR(__xludf.DUMMYFUNCTION("""COMPUTED_VALUE"""),"")</f>
        <v/>
      </c>
      <c r="L1643" s="4" t="str">
        <f>IFERROR(__xludf.DUMMYFUNCTION("""COMPUTED_VALUE"""),"")</f>
        <v/>
      </c>
      <c r="M1643" s="4" t="str">
        <f>IFERROR(__xludf.DUMMYFUNCTION("""COMPUTED_VALUE"""),"")</f>
        <v/>
      </c>
      <c r="N1643" s="4" t="str">
        <f>IFERROR(__xludf.DUMMYFUNCTION("""COMPUTED_VALUE"""),"")</f>
        <v/>
      </c>
      <c r="O1643" s="4" t="str">
        <f>IFERROR(__xludf.DUMMYFUNCTION("""COMPUTED_VALUE"""),"")</f>
        <v/>
      </c>
      <c r="P1643" s="4" t="str">
        <f>IFERROR(__xludf.DUMMYFUNCTION("""COMPUTED_VALUE"""),"")</f>
        <v/>
      </c>
      <c r="Q1643" s="4" t="str">
        <f>IFERROR(__xludf.DUMMYFUNCTION("""COMPUTED_VALUE"""),"")</f>
        <v/>
      </c>
      <c r="R1643" s="4" t="str">
        <f>IFERROR(__xludf.DUMMYFUNCTION("""COMPUTED_VALUE"""),"")</f>
        <v/>
      </c>
      <c r="S1643" s="4" t="str">
        <f>IFERROR(__xludf.DUMMYFUNCTION("""COMPUTED_VALUE"""),"")</f>
        <v/>
      </c>
      <c r="T1643" s="4" t="str">
        <f>IFERROR(__xludf.DUMMYFUNCTION("""COMPUTED_VALUE"""),"")</f>
        <v/>
      </c>
      <c r="U1643" s="4" t="str">
        <f>IFERROR(__xludf.DUMMYFUNCTION("""COMPUTED_VALUE"""),"")</f>
        <v/>
      </c>
      <c r="V1643" s="4" t="str">
        <f>IFERROR(__xludf.DUMMYFUNCTION("""COMPUTED_VALUE"""),"")</f>
        <v/>
      </c>
      <c r="W1643" s="4" t="str">
        <f>IFERROR(__xludf.DUMMYFUNCTION("""COMPUTED_VALUE"""),"")</f>
        <v/>
      </c>
      <c r="X1643" s="4" t="str">
        <f>IFERROR(__xludf.DUMMYFUNCTION("""COMPUTED_VALUE"""),"")</f>
        <v/>
      </c>
      <c r="Y1643" s="4" t="str">
        <f>IFERROR(__xludf.DUMMYFUNCTION("""COMPUTED_VALUE"""),"")</f>
        <v/>
      </c>
    </row>
    <row r="1644">
      <c r="A1644" s="4" t="str">
        <f>IFERROR(__xludf.DUMMYFUNCTION("""COMPUTED_VALUE"""),"2195 - Channel")</f>
        <v>2195 - Channel</v>
      </c>
      <c r="B1644" s="4" t="str">
        <f>IFERROR(__xludf.DUMMYFUNCTION("""COMPUTED_VALUE"""),"")</f>
        <v/>
      </c>
      <c r="C1644" s="4" t="str">
        <f>IFERROR(__xludf.DUMMYFUNCTION("""COMPUTED_VALUE"""),"")</f>
        <v/>
      </c>
      <c r="D1644" s="4" t="str">
        <f>IFERROR(__xludf.DUMMYFUNCTION("""COMPUTED_VALUE"""),"")</f>
        <v/>
      </c>
      <c r="E1644" s="4" t="str">
        <f>IFERROR(__xludf.DUMMYFUNCTION("""COMPUTED_VALUE"""),"")</f>
        <v/>
      </c>
      <c r="F1644" s="4" t="str">
        <f>IFERROR(__xludf.DUMMYFUNCTION("""COMPUTED_VALUE"""),"")</f>
        <v/>
      </c>
      <c r="G1644" s="4" t="str">
        <f>IFERROR(__xludf.DUMMYFUNCTION("""COMPUTED_VALUE"""),"")</f>
        <v/>
      </c>
      <c r="H1644" s="4" t="str">
        <f>IFERROR(__xludf.DUMMYFUNCTION("""COMPUTED_VALUE"""),"")</f>
        <v/>
      </c>
      <c r="I1644" s="4" t="str">
        <f>IFERROR(__xludf.DUMMYFUNCTION("""COMPUTED_VALUE"""),"")</f>
        <v/>
      </c>
      <c r="J1644" s="4" t="str">
        <f>IFERROR(__xludf.DUMMYFUNCTION("""COMPUTED_VALUE"""),"")</f>
        <v/>
      </c>
      <c r="K1644" s="4" t="str">
        <f>IFERROR(__xludf.DUMMYFUNCTION("""COMPUTED_VALUE"""),"")</f>
        <v/>
      </c>
      <c r="L1644" s="4" t="str">
        <f>IFERROR(__xludf.DUMMYFUNCTION("""COMPUTED_VALUE"""),"")</f>
        <v/>
      </c>
      <c r="M1644" s="4" t="str">
        <f>IFERROR(__xludf.DUMMYFUNCTION("""COMPUTED_VALUE"""),"")</f>
        <v/>
      </c>
      <c r="N1644" s="4" t="str">
        <f>IFERROR(__xludf.DUMMYFUNCTION("""COMPUTED_VALUE"""),"")</f>
        <v/>
      </c>
      <c r="O1644" s="4" t="str">
        <f>IFERROR(__xludf.DUMMYFUNCTION("""COMPUTED_VALUE"""),"")</f>
        <v/>
      </c>
      <c r="P1644" s="4" t="str">
        <f>IFERROR(__xludf.DUMMYFUNCTION("""COMPUTED_VALUE"""),"")</f>
        <v/>
      </c>
      <c r="Q1644" s="4" t="str">
        <f>IFERROR(__xludf.DUMMYFUNCTION("""COMPUTED_VALUE"""),"")</f>
        <v/>
      </c>
      <c r="R1644" s="4" t="str">
        <f>IFERROR(__xludf.DUMMYFUNCTION("""COMPUTED_VALUE"""),"")</f>
        <v/>
      </c>
      <c r="S1644" s="4" t="str">
        <f>IFERROR(__xludf.DUMMYFUNCTION("""COMPUTED_VALUE"""),"")</f>
        <v/>
      </c>
      <c r="T1644" s="4" t="str">
        <f>IFERROR(__xludf.DUMMYFUNCTION("""COMPUTED_VALUE"""),"")</f>
        <v/>
      </c>
      <c r="U1644" s="4" t="str">
        <f>IFERROR(__xludf.DUMMYFUNCTION("""COMPUTED_VALUE"""),"")</f>
        <v/>
      </c>
      <c r="V1644" s="4" t="str">
        <f>IFERROR(__xludf.DUMMYFUNCTION("""COMPUTED_VALUE"""),"")</f>
        <v/>
      </c>
      <c r="W1644" s="4" t="str">
        <f>IFERROR(__xludf.DUMMYFUNCTION("""COMPUTED_VALUE"""),"")</f>
        <v/>
      </c>
      <c r="X1644" s="4" t="str">
        <f>IFERROR(__xludf.DUMMYFUNCTION("""COMPUTED_VALUE"""),"")</f>
        <v/>
      </c>
      <c r="Y1644" s="4" t="str">
        <f>IFERROR(__xludf.DUMMYFUNCTION("""COMPUTED_VALUE"""),"")</f>
        <v/>
      </c>
    </row>
    <row r="1645">
      <c r="A1645" s="4" t="str">
        <f>IFERROR(__xludf.DUMMYFUNCTION("""COMPUTED_VALUE"""),"2196 - Channel")</f>
        <v>2196 - Channel</v>
      </c>
      <c r="B1645" s="4" t="str">
        <f>IFERROR(__xludf.DUMMYFUNCTION("""COMPUTED_VALUE"""),"")</f>
        <v/>
      </c>
      <c r="C1645" s="4" t="str">
        <f>IFERROR(__xludf.DUMMYFUNCTION("""COMPUTED_VALUE"""),"")</f>
        <v/>
      </c>
      <c r="D1645" s="4" t="str">
        <f>IFERROR(__xludf.DUMMYFUNCTION("""COMPUTED_VALUE"""),"")</f>
        <v/>
      </c>
      <c r="E1645" s="4" t="str">
        <f>IFERROR(__xludf.DUMMYFUNCTION("""COMPUTED_VALUE"""),"")</f>
        <v/>
      </c>
      <c r="F1645" s="4" t="str">
        <f>IFERROR(__xludf.DUMMYFUNCTION("""COMPUTED_VALUE"""),"")</f>
        <v/>
      </c>
      <c r="G1645" s="4" t="str">
        <f>IFERROR(__xludf.DUMMYFUNCTION("""COMPUTED_VALUE"""),"")</f>
        <v/>
      </c>
      <c r="H1645" s="4" t="str">
        <f>IFERROR(__xludf.DUMMYFUNCTION("""COMPUTED_VALUE"""),"")</f>
        <v/>
      </c>
      <c r="I1645" s="4" t="str">
        <f>IFERROR(__xludf.DUMMYFUNCTION("""COMPUTED_VALUE"""),"")</f>
        <v/>
      </c>
      <c r="J1645" s="4" t="str">
        <f>IFERROR(__xludf.DUMMYFUNCTION("""COMPUTED_VALUE"""),"")</f>
        <v/>
      </c>
      <c r="K1645" s="4" t="str">
        <f>IFERROR(__xludf.DUMMYFUNCTION("""COMPUTED_VALUE"""),"")</f>
        <v/>
      </c>
      <c r="L1645" s="4" t="str">
        <f>IFERROR(__xludf.DUMMYFUNCTION("""COMPUTED_VALUE"""),"")</f>
        <v/>
      </c>
      <c r="M1645" s="4" t="str">
        <f>IFERROR(__xludf.DUMMYFUNCTION("""COMPUTED_VALUE"""),"")</f>
        <v/>
      </c>
      <c r="N1645" s="4" t="str">
        <f>IFERROR(__xludf.DUMMYFUNCTION("""COMPUTED_VALUE"""),"")</f>
        <v/>
      </c>
      <c r="O1645" s="4" t="str">
        <f>IFERROR(__xludf.DUMMYFUNCTION("""COMPUTED_VALUE"""),"")</f>
        <v/>
      </c>
      <c r="P1645" s="4" t="str">
        <f>IFERROR(__xludf.DUMMYFUNCTION("""COMPUTED_VALUE"""),"")</f>
        <v/>
      </c>
      <c r="Q1645" s="4" t="str">
        <f>IFERROR(__xludf.DUMMYFUNCTION("""COMPUTED_VALUE"""),"")</f>
        <v/>
      </c>
      <c r="R1645" s="4" t="str">
        <f>IFERROR(__xludf.DUMMYFUNCTION("""COMPUTED_VALUE"""),"")</f>
        <v/>
      </c>
      <c r="S1645" s="4" t="str">
        <f>IFERROR(__xludf.DUMMYFUNCTION("""COMPUTED_VALUE"""),"")</f>
        <v/>
      </c>
      <c r="T1645" s="4" t="str">
        <f>IFERROR(__xludf.DUMMYFUNCTION("""COMPUTED_VALUE"""),"")</f>
        <v/>
      </c>
      <c r="U1645" s="4" t="str">
        <f>IFERROR(__xludf.DUMMYFUNCTION("""COMPUTED_VALUE"""),"")</f>
        <v/>
      </c>
      <c r="V1645" s="4" t="str">
        <f>IFERROR(__xludf.DUMMYFUNCTION("""COMPUTED_VALUE"""),"")</f>
        <v/>
      </c>
      <c r="W1645" s="4" t="str">
        <f>IFERROR(__xludf.DUMMYFUNCTION("""COMPUTED_VALUE"""),"")</f>
        <v/>
      </c>
      <c r="X1645" s="4" t="str">
        <f>IFERROR(__xludf.DUMMYFUNCTION("""COMPUTED_VALUE"""),"")</f>
        <v/>
      </c>
      <c r="Y1645" s="4" t="str">
        <f>IFERROR(__xludf.DUMMYFUNCTION("""COMPUTED_VALUE"""),"")</f>
        <v/>
      </c>
    </row>
    <row r="1646">
      <c r="A1646" s="4" t="str">
        <f>IFERROR(__xludf.DUMMYFUNCTION("""COMPUTED_VALUE"""),"2197 - Channel")</f>
        <v>2197 - Channel</v>
      </c>
      <c r="B1646" s="4" t="str">
        <f>IFERROR(__xludf.DUMMYFUNCTION("""COMPUTED_VALUE"""),"")</f>
        <v/>
      </c>
      <c r="C1646" s="4" t="str">
        <f>IFERROR(__xludf.DUMMYFUNCTION("""COMPUTED_VALUE"""),"")</f>
        <v/>
      </c>
      <c r="D1646" s="4" t="str">
        <f>IFERROR(__xludf.DUMMYFUNCTION("""COMPUTED_VALUE"""),"")</f>
        <v/>
      </c>
      <c r="E1646" s="4" t="str">
        <f>IFERROR(__xludf.DUMMYFUNCTION("""COMPUTED_VALUE"""),"")</f>
        <v/>
      </c>
      <c r="F1646" s="4" t="str">
        <f>IFERROR(__xludf.DUMMYFUNCTION("""COMPUTED_VALUE"""),"")</f>
        <v/>
      </c>
      <c r="G1646" s="4" t="str">
        <f>IFERROR(__xludf.DUMMYFUNCTION("""COMPUTED_VALUE"""),"")</f>
        <v/>
      </c>
      <c r="H1646" s="4" t="str">
        <f>IFERROR(__xludf.DUMMYFUNCTION("""COMPUTED_VALUE"""),"")</f>
        <v/>
      </c>
      <c r="I1646" s="4" t="str">
        <f>IFERROR(__xludf.DUMMYFUNCTION("""COMPUTED_VALUE"""),"")</f>
        <v/>
      </c>
      <c r="J1646" s="4" t="str">
        <f>IFERROR(__xludf.DUMMYFUNCTION("""COMPUTED_VALUE"""),"")</f>
        <v/>
      </c>
      <c r="K1646" s="4" t="str">
        <f>IFERROR(__xludf.DUMMYFUNCTION("""COMPUTED_VALUE"""),"")</f>
        <v/>
      </c>
      <c r="L1646" s="4" t="str">
        <f>IFERROR(__xludf.DUMMYFUNCTION("""COMPUTED_VALUE"""),"")</f>
        <v/>
      </c>
      <c r="M1646" s="4" t="str">
        <f>IFERROR(__xludf.DUMMYFUNCTION("""COMPUTED_VALUE"""),"")</f>
        <v/>
      </c>
      <c r="N1646" s="4" t="str">
        <f>IFERROR(__xludf.DUMMYFUNCTION("""COMPUTED_VALUE"""),"")</f>
        <v/>
      </c>
      <c r="O1646" s="4" t="str">
        <f>IFERROR(__xludf.DUMMYFUNCTION("""COMPUTED_VALUE"""),"")</f>
        <v/>
      </c>
      <c r="P1646" s="4" t="str">
        <f>IFERROR(__xludf.DUMMYFUNCTION("""COMPUTED_VALUE"""),"")</f>
        <v/>
      </c>
      <c r="Q1646" s="4" t="str">
        <f>IFERROR(__xludf.DUMMYFUNCTION("""COMPUTED_VALUE"""),"")</f>
        <v/>
      </c>
      <c r="R1646" s="4" t="str">
        <f>IFERROR(__xludf.DUMMYFUNCTION("""COMPUTED_VALUE"""),"")</f>
        <v/>
      </c>
      <c r="S1646" s="4" t="str">
        <f>IFERROR(__xludf.DUMMYFUNCTION("""COMPUTED_VALUE"""),"")</f>
        <v/>
      </c>
      <c r="T1646" s="4" t="str">
        <f>IFERROR(__xludf.DUMMYFUNCTION("""COMPUTED_VALUE"""),"")</f>
        <v/>
      </c>
      <c r="U1646" s="4" t="str">
        <f>IFERROR(__xludf.DUMMYFUNCTION("""COMPUTED_VALUE"""),"")</f>
        <v/>
      </c>
      <c r="V1646" s="4" t="str">
        <f>IFERROR(__xludf.DUMMYFUNCTION("""COMPUTED_VALUE"""),"")</f>
        <v/>
      </c>
      <c r="W1646" s="4" t="str">
        <f>IFERROR(__xludf.DUMMYFUNCTION("""COMPUTED_VALUE"""),"")</f>
        <v/>
      </c>
      <c r="X1646" s="4" t="str">
        <f>IFERROR(__xludf.DUMMYFUNCTION("""COMPUTED_VALUE"""),"")</f>
        <v/>
      </c>
      <c r="Y1646" s="4" t="str">
        <f>IFERROR(__xludf.DUMMYFUNCTION("""COMPUTED_VALUE"""),"")</f>
        <v/>
      </c>
    </row>
    <row r="1647">
      <c r="A1647" s="4" t="str">
        <f>IFERROR(__xludf.DUMMYFUNCTION("""COMPUTED_VALUE"""),"2198 - Channel")</f>
        <v>2198 - Channel</v>
      </c>
      <c r="B1647" s="4" t="str">
        <f>IFERROR(__xludf.DUMMYFUNCTION("""COMPUTED_VALUE"""),"")</f>
        <v/>
      </c>
      <c r="C1647" s="4" t="str">
        <f>IFERROR(__xludf.DUMMYFUNCTION("""COMPUTED_VALUE"""),"")</f>
        <v/>
      </c>
      <c r="D1647" s="4" t="str">
        <f>IFERROR(__xludf.DUMMYFUNCTION("""COMPUTED_VALUE"""),"")</f>
        <v/>
      </c>
      <c r="E1647" s="4" t="str">
        <f>IFERROR(__xludf.DUMMYFUNCTION("""COMPUTED_VALUE"""),"")</f>
        <v/>
      </c>
      <c r="F1647" s="4" t="str">
        <f>IFERROR(__xludf.DUMMYFUNCTION("""COMPUTED_VALUE"""),"")</f>
        <v/>
      </c>
      <c r="G1647" s="4" t="str">
        <f>IFERROR(__xludf.DUMMYFUNCTION("""COMPUTED_VALUE"""),"")</f>
        <v/>
      </c>
      <c r="H1647" s="4" t="str">
        <f>IFERROR(__xludf.DUMMYFUNCTION("""COMPUTED_VALUE"""),"")</f>
        <v/>
      </c>
      <c r="I1647" s="4" t="str">
        <f>IFERROR(__xludf.DUMMYFUNCTION("""COMPUTED_VALUE"""),"")</f>
        <v/>
      </c>
      <c r="J1647" s="4" t="str">
        <f>IFERROR(__xludf.DUMMYFUNCTION("""COMPUTED_VALUE"""),"")</f>
        <v/>
      </c>
      <c r="K1647" s="4" t="str">
        <f>IFERROR(__xludf.DUMMYFUNCTION("""COMPUTED_VALUE"""),"")</f>
        <v/>
      </c>
      <c r="L1647" s="4" t="str">
        <f>IFERROR(__xludf.DUMMYFUNCTION("""COMPUTED_VALUE"""),"")</f>
        <v/>
      </c>
      <c r="M1647" s="4" t="str">
        <f>IFERROR(__xludf.DUMMYFUNCTION("""COMPUTED_VALUE"""),"")</f>
        <v/>
      </c>
      <c r="N1647" s="4" t="str">
        <f>IFERROR(__xludf.DUMMYFUNCTION("""COMPUTED_VALUE"""),"")</f>
        <v/>
      </c>
      <c r="O1647" s="4" t="str">
        <f>IFERROR(__xludf.DUMMYFUNCTION("""COMPUTED_VALUE"""),"")</f>
        <v/>
      </c>
      <c r="P1647" s="4" t="str">
        <f>IFERROR(__xludf.DUMMYFUNCTION("""COMPUTED_VALUE"""),"")</f>
        <v/>
      </c>
      <c r="Q1647" s="4" t="str">
        <f>IFERROR(__xludf.DUMMYFUNCTION("""COMPUTED_VALUE"""),"")</f>
        <v/>
      </c>
      <c r="R1647" s="4" t="str">
        <f>IFERROR(__xludf.DUMMYFUNCTION("""COMPUTED_VALUE"""),"")</f>
        <v/>
      </c>
      <c r="S1647" s="4" t="str">
        <f>IFERROR(__xludf.DUMMYFUNCTION("""COMPUTED_VALUE"""),"")</f>
        <v/>
      </c>
      <c r="T1647" s="4" t="str">
        <f>IFERROR(__xludf.DUMMYFUNCTION("""COMPUTED_VALUE"""),"")</f>
        <v/>
      </c>
      <c r="U1647" s="4" t="str">
        <f>IFERROR(__xludf.DUMMYFUNCTION("""COMPUTED_VALUE"""),"")</f>
        <v/>
      </c>
      <c r="V1647" s="4" t="str">
        <f>IFERROR(__xludf.DUMMYFUNCTION("""COMPUTED_VALUE"""),"")</f>
        <v/>
      </c>
      <c r="W1647" s="4" t="str">
        <f>IFERROR(__xludf.DUMMYFUNCTION("""COMPUTED_VALUE"""),"")</f>
        <v/>
      </c>
      <c r="X1647" s="4" t="str">
        <f>IFERROR(__xludf.DUMMYFUNCTION("""COMPUTED_VALUE"""),"")</f>
        <v/>
      </c>
      <c r="Y1647" s="4" t="str">
        <f>IFERROR(__xludf.DUMMYFUNCTION("""COMPUTED_VALUE"""),"")</f>
        <v/>
      </c>
    </row>
    <row r="1648">
      <c r="A1648" s="4" t="str">
        <f>IFERROR(__xludf.DUMMYFUNCTION("""COMPUTED_VALUE"""),"2199 - Channel")</f>
        <v>2199 - Channel</v>
      </c>
      <c r="B1648" s="4" t="str">
        <f>IFERROR(__xludf.DUMMYFUNCTION("""COMPUTED_VALUE"""),"")</f>
        <v/>
      </c>
      <c r="C1648" s="4" t="str">
        <f>IFERROR(__xludf.DUMMYFUNCTION("""COMPUTED_VALUE"""),"")</f>
        <v/>
      </c>
      <c r="D1648" s="4" t="str">
        <f>IFERROR(__xludf.DUMMYFUNCTION("""COMPUTED_VALUE"""),"")</f>
        <v/>
      </c>
      <c r="E1648" s="4" t="str">
        <f>IFERROR(__xludf.DUMMYFUNCTION("""COMPUTED_VALUE"""),"")</f>
        <v/>
      </c>
      <c r="F1648" s="4" t="str">
        <f>IFERROR(__xludf.DUMMYFUNCTION("""COMPUTED_VALUE"""),"")</f>
        <v/>
      </c>
      <c r="G1648" s="4" t="str">
        <f>IFERROR(__xludf.DUMMYFUNCTION("""COMPUTED_VALUE"""),"")</f>
        <v/>
      </c>
      <c r="H1648" s="4" t="str">
        <f>IFERROR(__xludf.DUMMYFUNCTION("""COMPUTED_VALUE"""),"")</f>
        <v/>
      </c>
      <c r="I1648" s="4" t="str">
        <f>IFERROR(__xludf.DUMMYFUNCTION("""COMPUTED_VALUE"""),"")</f>
        <v/>
      </c>
      <c r="J1648" s="4" t="str">
        <f>IFERROR(__xludf.DUMMYFUNCTION("""COMPUTED_VALUE"""),"")</f>
        <v/>
      </c>
      <c r="K1648" s="4" t="str">
        <f>IFERROR(__xludf.DUMMYFUNCTION("""COMPUTED_VALUE"""),"")</f>
        <v/>
      </c>
      <c r="L1648" s="4" t="str">
        <f>IFERROR(__xludf.DUMMYFUNCTION("""COMPUTED_VALUE"""),"")</f>
        <v/>
      </c>
      <c r="M1648" s="4" t="str">
        <f>IFERROR(__xludf.DUMMYFUNCTION("""COMPUTED_VALUE"""),"")</f>
        <v/>
      </c>
      <c r="N1648" s="4" t="str">
        <f>IFERROR(__xludf.DUMMYFUNCTION("""COMPUTED_VALUE"""),"")</f>
        <v/>
      </c>
      <c r="O1648" s="4" t="str">
        <f>IFERROR(__xludf.DUMMYFUNCTION("""COMPUTED_VALUE"""),"")</f>
        <v/>
      </c>
      <c r="P1648" s="4" t="str">
        <f>IFERROR(__xludf.DUMMYFUNCTION("""COMPUTED_VALUE"""),"")</f>
        <v/>
      </c>
      <c r="Q1648" s="4" t="str">
        <f>IFERROR(__xludf.DUMMYFUNCTION("""COMPUTED_VALUE"""),"")</f>
        <v/>
      </c>
      <c r="R1648" s="4" t="str">
        <f>IFERROR(__xludf.DUMMYFUNCTION("""COMPUTED_VALUE"""),"")</f>
        <v/>
      </c>
      <c r="S1648" s="4" t="str">
        <f>IFERROR(__xludf.DUMMYFUNCTION("""COMPUTED_VALUE"""),"")</f>
        <v/>
      </c>
      <c r="T1648" s="4" t="str">
        <f>IFERROR(__xludf.DUMMYFUNCTION("""COMPUTED_VALUE"""),"")</f>
        <v/>
      </c>
      <c r="U1648" s="4" t="str">
        <f>IFERROR(__xludf.DUMMYFUNCTION("""COMPUTED_VALUE"""),"")</f>
        <v/>
      </c>
      <c r="V1648" s="4" t="str">
        <f>IFERROR(__xludf.DUMMYFUNCTION("""COMPUTED_VALUE"""),"")</f>
        <v/>
      </c>
      <c r="W1648" s="4" t="str">
        <f>IFERROR(__xludf.DUMMYFUNCTION("""COMPUTED_VALUE"""),"")</f>
        <v/>
      </c>
      <c r="X1648" s="4" t="str">
        <f>IFERROR(__xludf.DUMMYFUNCTION("""COMPUTED_VALUE"""),"")</f>
        <v/>
      </c>
      <c r="Y1648" s="4" t="str">
        <f>IFERROR(__xludf.DUMMYFUNCTION("""COMPUTED_VALUE"""),"")</f>
        <v/>
      </c>
    </row>
    <row r="1649">
      <c r="A1649" s="4" t="str">
        <f>IFERROR(__xludf.DUMMYFUNCTION("""COMPUTED_VALUE"""),"2200 - Channel")</f>
        <v>2200 - Channel</v>
      </c>
      <c r="B1649" s="4" t="str">
        <f>IFERROR(__xludf.DUMMYFUNCTION("""COMPUTED_VALUE"""),"")</f>
        <v/>
      </c>
      <c r="C1649" s="4" t="str">
        <f>IFERROR(__xludf.DUMMYFUNCTION("""COMPUTED_VALUE"""),"")</f>
        <v/>
      </c>
      <c r="D1649" s="4" t="str">
        <f>IFERROR(__xludf.DUMMYFUNCTION("""COMPUTED_VALUE"""),"")</f>
        <v/>
      </c>
      <c r="E1649" s="4" t="str">
        <f>IFERROR(__xludf.DUMMYFUNCTION("""COMPUTED_VALUE"""),"")</f>
        <v/>
      </c>
      <c r="F1649" s="4" t="str">
        <f>IFERROR(__xludf.DUMMYFUNCTION("""COMPUTED_VALUE"""),"")</f>
        <v/>
      </c>
      <c r="G1649" s="4" t="str">
        <f>IFERROR(__xludf.DUMMYFUNCTION("""COMPUTED_VALUE"""),"")</f>
        <v/>
      </c>
      <c r="H1649" s="4" t="str">
        <f>IFERROR(__xludf.DUMMYFUNCTION("""COMPUTED_VALUE"""),"")</f>
        <v/>
      </c>
      <c r="I1649" s="4" t="str">
        <f>IFERROR(__xludf.DUMMYFUNCTION("""COMPUTED_VALUE"""),"")</f>
        <v/>
      </c>
      <c r="J1649" s="4" t="str">
        <f>IFERROR(__xludf.DUMMYFUNCTION("""COMPUTED_VALUE"""),"")</f>
        <v/>
      </c>
      <c r="K1649" s="4" t="str">
        <f>IFERROR(__xludf.DUMMYFUNCTION("""COMPUTED_VALUE"""),"")</f>
        <v/>
      </c>
      <c r="L1649" s="4" t="str">
        <f>IFERROR(__xludf.DUMMYFUNCTION("""COMPUTED_VALUE"""),"")</f>
        <v/>
      </c>
      <c r="M1649" s="4" t="str">
        <f>IFERROR(__xludf.DUMMYFUNCTION("""COMPUTED_VALUE"""),"")</f>
        <v/>
      </c>
      <c r="N1649" s="4" t="str">
        <f>IFERROR(__xludf.DUMMYFUNCTION("""COMPUTED_VALUE"""),"")</f>
        <v/>
      </c>
      <c r="O1649" s="4" t="str">
        <f>IFERROR(__xludf.DUMMYFUNCTION("""COMPUTED_VALUE"""),"")</f>
        <v/>
      </c>
      <c r="P1649" s="4" t="str">
        <f>IFERROR(__xludf.DUMMYFUNCTION("""COMPUTED_VALUE"""),"")</f>
        <v/>
      </c>
      <c r="Q1649" s="4" t="str">
        <f>IFERROR(__xludf.DUMMYFUNCTION("""COMPUTED_VALUE"""),"")</f>
        <v/>
      </c>
      <c r="R1649" s="4" t="str">
        <f>IFERROR(__xludf.DUMMYFUNCTION("""COMPUTED_VALUE"""),"")</f>
        <v/>
      </c>
      <c r="S1649" s="4" t="str">
        <f>IFERROR(__xludf.DUMMYFUNCTION("""COMPUTED_VALUE"""),"")</f>
        <v/>
      </c>
      <c r="T1649" s="4" t="str">
        <f>IFERROR(__xludf.DUMMYFUNCTION("""COMPUTED_VALUE"""),"")</f>
        <v/>
      </c>
      <c r="U1649" s="4" t="str">
        <f>IFERROR(__xludf.DUMMYFUNCTION("""COMPUTED_VALUE"""),"")</f>
        <v/>
      </c>
      <c r="V1649" s="4" t="str">
        <f>IFERROR(__xludf.DUMMYFUNCTION("""COMPUTED_VALUE"""),"")</f>
        <v/>
      </c>
      <c r="W1649" s="4" t="str">
        <f>IFERROR(__xludf.DUMMYFUNCTION("""COMPUTED_VALUE"""),"")</f>
        <v/>
      </c>
      <c r="X1649" s="4" t="str">
        <f>IFERROR(__xludf.DUMMYFUNCTION("""COMPUTED_VALUE"""),"")</f>
        <v/>
      </c>
      <c r="Y1649" s="4" t="str">
        <f>IFERROR(__xludf.DUMMYFUNCTION("""COMPUTED_VALUE"""),"")</f>
        <v/>
      </c>
    </row>
    <row r="1650">
      <c r="A1650" s="4" t="str">
        <f>IFERROR(__xludf.DUMMYFUNCTION("""COMPUTED_VALUE"""),"2201 - Channel")</f>
        <v>2201 - Channel</v>
      </c>
      <c r="B1650" s="4" t="str">
        <f>IFERROR(__xludf.DUMMYFUNCTION("""COMPUTED_VALUE"""),"")</f>
        <v/>
      </c>
      <c r="C1650" s="4" t="str">
        <f>IFERROR(__xludf.DUMMYFUNCTION("""COMPUTED_VALUE"""),"")</f>
        <v/>
      </c>
      <c r="D1650" s="4" t="str">
        <f>IFERROR(__xludf.DUMMYFUNCTION("""COMPUTED_VALUE"""),"")</f>
        <v/>
      </c>
      <c r="E1650" s="4" t="str">
        <f>IFERROR(__xludf.DUMMYFUNCTION("""COMPUTED_VALUE"""),"")</f>
        <v/>
      </c>
      <c r="F1650" s="4" t="str">
        <f>IFERROR(__xludf.DUMMYFUNCTION("""COMPUTED_VALUE"""),"")</f>
        <v/>
      </c>
      <c r="G1650" s="4" t="str">
        <f>IFERROR(__xludf.DUMMYFUNCTION("""COMPUTED_VALUE"""),"")</f>
        <v/>
      </c>
      <c r="H1650" s="4" t="str">
        <f>IFERROR(__xludf.DUMMYFUNCTION("""COMPUTED_VALUE"""),"")</f>
        <v/>
      </c>
      <c r="I1650" s="4" t="str">
        <f>IFERROR(__xludf.DUMMYFUNCTION("""COMPUTED_VALUE"""),"")</f>
        <v/>
      </c>
      <c r="J1650" s="4" t="str">
        <f>IFERROR(__xludf.DUMMYFUNCTION("""COMPUTED_VALUE"""),"")</f>
        <v/>
      </c>
      <c r="K1650" s="4" t="str">
        <f>IFERROR(__xludf.DUMMYFUNCTION("""COMPUTED_VALUE"""),"")</f>
        <v/>
      </c>
      <c r="L1650" s="4" t="str">
        <f>IFERROR(__xludf.DUMMYFUNCTION("""COMPUTED_VALUE"""),"")</f>
        <v/>
      </c>
      <c r="M1650" s="4" t="str">
        <f>IFERROR(__xludf.DUMMYFUNCTION("""COMPUTED_VALUE"""),"")</f>
        <v/>
      </c>
      <c r="N1650" s="4" t="str">
        <f>IFERROR(__xludf.DUMMYFUNCTION("""COMPUTED_VALUE"""),"")</f>
        <v/>
      </c>
      <c r="O1650" s="4" t="str">
        <f>IFERROR(__xludf.DUMMYFUNCTION("""COMPUTED_VALUE"""),"")</f>
        <v/>
      </c>
      <c r="P1650" s="4" t="str">
        <f>IFERROR(__xludf.DUMMYFUNCTION("""COMPUTED_VALUE"""),"")</f>
        <v/>
      </c>
      <c r="Q1650" s="4" t="str">
        <f>IFERROR(__xludf.DUMMYFUNCTION("""COMPUTED_VALUE"""),"")</f>
        <v/>
      </c>
      <c r="R1650" s="4" t="str">
        <f>IFERROR(__xludf.DUMMYFUNCTION("""COMPUTED_VALUE"""),"")</f>
        <v/>
      </c>
      <c r="S1650" s="4" t="str">
        <f>IFERROR(__xludf.DUMMYFUNCTION("""COMPUTED_VALUE"""),"")</f>
        <v/>
      </c>
      <c r="T1650" s="4" t="str">
        <f>IFERROR(__xludf.DUMMYFUNCTION("""COMPUTED_VALUE"""),"")</f>
        <v/>
      </c>
      <c r="U1650" s="4" t="str">
        <f>IFERROR(__xludf.DUMMYFUNCTION("""COMPUTED_VALUE"""),"")</f>
        <v/>
      </c>
      <c r="V1650" s="4" t="str">
        <f>IFERROR(__xludf.DUMMYFUNCTION("""COMPUTED_VALUE"""),"")</f>
        <v/>
      </c>
      <c r="W1650" s="4" t="str">
        <f>IFERROR(__xludf.DUMMYFUNCTION("""COMPUTED_VALUE"""),"")</f>
        <v/>
      </c>
      <c r="X1650" s="4" t="str">
        <f>IFERROR(__xludf.DUMMYFUNCTION("""COMPUTED_VALUE"""),"")</f>
        <v/>
      </c>
      <c r="Y1650" s="4" t="str">
        <f>IFERROR(__xludf.DUMMYFUNCTION("""COMPUTED_VALUE"""),"")</f>
        <v/>
      </c>
    </row>
    <row r="1651">
      <c r="A1651" s="4" t="str">
        <f>IFERROR(__xludf.DUMMYFUNCTION("""COMPUTED_VALUE"""),"2202 - Channel")</f>
        <v>2202 - Channel</v>
      </c>
      <c r="B1651" s="4" t="str">
        <f>IFERROR(__xludf.DUMMYFUNCTION("""COMPUTED_VALUE"""),"")</f>
        <v/>
      </c>
      <c r="C1651" s="4" t="str">
        <f>IFERROR(__xludf.DUMMYFUNCTION("""COMPUTED_VALUE"""),"")</f>
        <v/>
      </c>
      <c r="D1651" s="4" t="str">
        <f>IFERROR(__xludf.DUMMYFUNCTION("""COMPUTED_VALUE"""),"")</f>
        <v/>
      </c>
      <c r="E1651" s="4" t="str">
        <f>IFERROR(__xludf.DUMMYFUNCTION("""COMPUTED_VALUE"""),"")</f>
        <v/>
      </c>
      <c r="F1651" s="4" t="str">
        <f>IFERROR(__xludf.DUMMYFUNCTION("""COMPUTED_VALUE"""),"")</f>
        <v/>
      </c>
      <c r="G1651" s="4" t="str">
        <f>IFERROR(__xludf.DUMMYFUNCTION("""COMPUTED_VALUE"""),"")</f>
        <v/>
      </c>
      <c r="H1651" s="4" t="str">
        <f>IFERROR(__xludf.DUMMYFUNCTION("""COMPUTED_VALUE"""),"")</f>
        <v/>
      </c>
      <c r="I1651" s="4" t="str">
        <f>IFERROR(__xludf.DUMMYFUNCTION("""COMPUTED_VALUE"""),"")</f>
        <v/>
      </c>
      <c r="J1651" s="4" t="str">
        <f>IFERROR(__xludf.DUMMYFUNCTION("""COMPUTED_VALUE"""),"")</f>
        <v/>
      </c>
      <c r="K1651" s="4" t="str">
        <f>IFERROR(__xludf.DUMMYFUNCTION("""COMPUTED_VALUE"""),"")</f>
        <v/>
      </c>
      <c r="L1651" s="4" t="str">
        <f>IFERROR(__xludf.DUMMYFUNCTION("""COMPUTED_VALUE"""),"")</f>
        <v/>
      </c>
      <c r="M1651" s="4" t="str">
        <f>IFERROR(__xludf.DUMMYFUNCTION("""COMPUTED_VALUE"""),"")</f>
        <v/>
      </c>
      <c r="N1651" s="4" t="str">
        <f>IFERROR(__xludf.DUMMYFUNCTION("""COMPUTED_VALUE"""),"")</f>
        <v/>
      </c>
      <c r="O1651" s="4" t="str">
        <f>IFERROR(__xludf.DUMMYFUNCTION("""COMPUTED_VALUE"""),"")</f>
        <v/>
      </c>
      <c r="P1651" s="4" t="str">
        <f>IFERROR(__xludf.DUMMYFUNCTION("""COMPUTED_VALUE"""),"")</f>
        <v/>
      </c>
      <c r="Q1651" s="4" t="str">
        <f>IFERROR(__xludf.DUMMYFUNCTION("""COMPUTED_VALUE"""),"")</f>
        <v/>
      </c>
      <c r="R1651" s="4" t="str">
        <f>IFERROR(__xludf.DUMMYFUNCTION("""COMPUTED_VALUE"""),"")</f>
        <v/>
      </c>
      <c r="S1651" s="4" t="str">
        <f>IFERROR(__xludf.DUMMYFUNCTION("""COMPUTED_VALUE"""),"")</f>
        <v/>
      </c>
      <c r="T1651" s="4" t="str">
        <f>IFERROR(__xludf.DUMMYFUNCTION("""COMPUTED_VALUE"""),"")</f>
        <v/>
      </c>
      <c r="U1651" s="4" t="str">
        <f>IFERROR(__xludf.DUMMYFUNCTION("""COMPUTED_VALUE"""),"")</f>
        <v/>
      </c>
      <c r="V1651" s="4" t="str">
        <f>IFERROR(__xludf.DUMMYFUNCTION("""COMPUTED_VALUE"""),"")</f>
        <v/>
      </c>
      <c r="W1651" s="4" t="str">
        <f>IFERROR(__xludf.DUMMYFUNCTION("""COMPUTED_VALUE"""),"")</f>
        <v/>
      </c>
      <c r="X1651" s="4" t="str">
        <f>IFERROR(__xludf.DUMMYFUNCTION("""COMPUTED_VALUE"""),"")</f>
        <v/>
      </c>
      <c r="Y1651" s="4" t="str">
        <f>IFERROR(__xludf.DUMMYFUNCTION("""COMPUTED_VALUE"""),"")</f>
        <v/>
      </c>
    </row>
    <row r="1652">
      <c r="A1652" s="4" t="str">
        <f>IFERROR(__xludf.DUMMYFUNCTION("""COMPUTED_VALUE"""),"2203 - Channel")</f>
        <v>2203 - Channel</v>
      </c>
      <c r="B1652" s="4" t="str">
        <f>IFERROR(__xludf.DUMMYFUNCTION("""COMPUTED_VALUE"""),"")</f>
        <v/>
      </c>
      <c r="C1652" s="4" t="str">
        <f>IFERROR(__xludf.DUMMYFUNCTION("""COMPUTED_VALUE"""),"")</f>
        <v/>
      </c>
      <c r="D1652" s="4" t="str">
        <f>IFERROR(__xludf.DUMMYFUNCTION("""COMPUTED_VALUE"""),"")</f>
        <v/>
      </c>
      <c r="E1652" s="4" t="str">
        <f>IFERROR(__xludf.DUMMYFUNCTION("""COMPUTED_VALUE"""),"")</f>
        <v/>
      </c>
      <c r="F1652" s="4" t="str">
        <f>IFERROR(__xludf.DUMMYFUNCTION("""COMPUTED_VALUE"""),"")</f>
        <v/>
      </c>
      <c r="G1652" s="4" t="str">
        <f>IFERROR(__xludf.DUMMYFUNCTION("""COMPUTED_VALUE"""),"")</f>
        <v/>
      </c>
      <c r="H1652" s="4" t="str">
        <f>IFERROR(__xludf.DUMMYFUNCTION("""COMPUTED_VALUE"""),"")</f>
        <v/>
      </c>
      <c r="I1652" s="4" t="str">
        <f>IFERROR(__xludf.DUMMYFUNCTION("""COMPUTED_VALUE"""),"")</f>
        <v/>
      </c>
      <c r="J1652" s="4" t="str">
        <f>IFERROR(__xludf.DUMMYFUNCTION("""COMPUTED_VALUE"""),"")</f>
        <v/>
      </c>
      <c r="K1652" s="4" t="str">
        <f>IFERROR(__xludf.DUMMYFUNCTION("""COMPUTED_VALUE"""),"")</f>
        <v/>
      </c>
      <c r="L1652" s="4" t="str">
        <f>IFERROR(__xludf.DUMMYFUNCTION("""COMPUTED_VALUE"""),"")</f>
        <v/>
      </c>
      <c r="M1652" s="4" t="str">
        <f>IFERROR(__xludf.DUMMYFUNCTION("""COMPUTED_VALUE"""),"")</f>
        <v/>
      </c>
      <c r="N1652" s="4" t="str">
        <f>IFERROR(__xludf.DUMMYFUNCTION("""COMPUTED_VALUE"""),"")</f>
        <v/>
      </c>
      <c r="O1652" s="4" t="str">
        <f>IFERROR(__xludf.DUMMYFUNCTION("""COMPUTED_VALUE"""),"")</f>
        <v/>
      </c>
      <c r="P1652" s="4" t="str">
        <f>IFERROR(__xludf.DUMMYFUNCTION("""COMPUTED_VALUE"""),"")</f>
        <v/>
      </c>
      <c r="Q1652" s="4" t="str">
        <f>IFERROR(__xludf.DUMMYFUNCTION("""COMPUTED_VALUE"""),"")</f>
        <v/>
      </c>
      <c r="R1652" s="4" t="str">
        <f>IFERROR(__xludf.DUMMYFUNCTION("""COMPUTED_VALUE"""),"")</f>
        <v/>
      </c>
      <c r="S1652" s="4" t="str">
        <f>IFERROR(__xludf.DUMMYFUNCTION("""COMPUTED_VALUE"""),"")</f>
        <v/>
      </c>
      <c r="T1652" s="4" t="str">
        <f>IFERROR(__xludf.DUMMYFUNCTION("""COMPUTED_VALUE"""),"")</f>
        <v/>
      </c>
      <c r="U1652" s="4" t="str">
        <f>IFERROR(__xludf.DUMMYFUNCTION("""COMPUTED_VALUE"""),"")</f>
        <v/>
      </c>
      <c r="V1652" s="4" t="str">
        <f>IFERROR(__xludf.DUMMYFUNCTION("""COMPUTED_VALUE"""),"")</f>
        <v/>
      </c>
      <c r="W1652" s="4" t="str">
        <f>IFERROR(__xludf.DUMMYFUNCTION("""COMPUTED_VALUE"""),"")</f>
        <v/>
      </c>
      <c r="X1652" s="4" t="str">
        <f>IFERROR(__xludf.DUMMYFUNCTION("""COMPUTED_VALUE"""),"")</f>
        <v/>
      </c>
      <c r="Y1652" s="4" t="str">
        <f>IFERROR(__xludf.DUMMYFUNCTION("""COMPUTED_VALUE"""),"")</f>
        <v/>
      </c>
    </row>
    <row r="1653">
      <c r="A1653" s="4" t="str">
        <f>IFERROR(__xludf.DUMMYFUNCTION("""COMPUTED_VALUE"""),"2204 - Channel")</f>
        <v>2204 - Channel</v>
      </c>
      <c r="B1653" s="4" t="str">
        <f>IFERROR(__xludf.DUMMYFUNCTION("""COMPUTED_VALUE"""),"")</f>
        <v/>
      </c>
      <c r="C1653" s="4" t="str">
        <f>IFERROR(__xludf.DUMMYFUNCTION("""COMPUTED_VALUE"""),"")</f>
        <v/>
      </c>
      <c r="D1653" s="4" t="str">
        <f>IFERROR(__xludf.DUMMYFUNCTION("""COMPUTED_VALUE"""),"")</f>
        <v/>
      </c>
      <c r="E1653" s="4" t="str">
        <f>IFERROR(__xludf.DUMMYFUNCTION("""COMPUTED_VALUE"""),"")</f>
        <v/>
      </c>
      <c r="F1653" s="4" t="str">
        <f>IFERROR(__xludf.DUMMYFUNCTION("""COMPUTED_VALUE"""),"")</f>
        <v/>
      </c>
      <c r="G1653" s="4" t="str">
        <f>IFERROR(__xludf.DUMMYFUNCTION("""COMPUTED_VALUE"""),"")</f>
        <v/>
      </c>
      <c r="H1653" s="4" t="str">
        <f>IFERROR(__xludf.DUMMYFUNCTION("""COMPUTED_VALUE"""),"")</f>
        <v/>
      </c>
      <c r="I1653" s="4" t="str">
        <f>IFERROR(__xludf.DUMMYFUNCTION("""COMPUTED_VALUE"""),"")</f>
        <v/>
      </c>
      <c r="J1653" s="4" t="str">
        <f>IFERROR(__xludf.DUMMYFUNCTION("""COMPUTED_VALUE"""),"")</f>
        <v/>
      </c>
      <c r="K1653" s="4" t="str">
        <f>IFERROR(__xludf.DUMMYFUNCTION("""COMPUTED_VALUE"""),"")</f>
        <v/>
      </c>
      <c r="L1653" s="4" t="str">
        <f>IFERROR(__xludf.DUMMYFUNCTION("""COMPUTED_VALUE"""),"")</f>
        <v/>
      </c>
      <c r="M1653" s="4" t="str">
        <f>IFERROR(__xludf.DUMMYFUNCTION("""COMPUTED_VALUE"""),"")</f>
        <v/>
      </c>
      <c r="N1653" s="4" t="str">
        <f>IFERROR(__xludf.DUMMYFUNCTION("""COMPUTED_VALUE"""),"")</f>
        <v/>
      </c>
      <c r="O1653" s="4" t="str">
        <f>IFERROR(__xludf.DUMMYFUNCTION("""COMPUTED_VALUE"""),"")</f>
        <v/>
      </c>
      <c r="P1653" s="4" t="str">
        <f>IFERROR(__xludf.DUMMYFUNCTION("""COMPUTED_VALUE"""),"")</f>
        <v/>
      </c>
      <c r="Q1653" s="4" t="str">
        <f>IFERROR(__xludf.DUMMYFUNCTION("""COMPUTED_VALUE"""),"")</f>
        <v/>
      </c>
      <c r="R1653" s="4" t="str">
        <f>IFERROR(__xludf.DUMMYFUNCTION("""COMPUTED_VALUE"""),"")</f>
        <v/>
      </c>
      <c r="S1653" s="4" t="str">
        <f>IFERROR(__xludf.DUMMYFUNCTION("""COMPUTED_VALUE"""),"")</f>
        <v/>
      </c>
      <c r="T1653" s="4" t="str">
        <f>IFERROR(__xludf.DUMMYFUNCTION("""COMPUTED_VALUE"""),"")</f>
        <v/>
      </c>
      <c r="U1653" s="4" t="str">
        <f>IFERROR(__xludf.DUMMYFUNCTION("""COMPUTED_VALUE"""),"")</f>
        <v/>
      </c>
      <c r="V1653" s="4" t="str">
        <f>IFERROR(__xludf.DUMMYFUNCTION("""COMPUTED_VALUE"""),"")</f>
        <v/>
      </c>
      <c r="W1653" s="4" t="str">
        <f>IFERROR(__xludf.DUMMYFUNCTION("""COMPUTED_VALUE"""),"")</f>
        <v/>
      </c>
      <c r="X1653" s="4" t="str">
        <f>IFERROR(__xludf.DUMMYFUNCTION("""COMPUTED_VALUE"""),"")</f>
        <v/>
      </c>
      <c r="Y1653" s="4" t="str">
        <f>IFERROR(__xludf.DUMMYFUNCTION("""COMPUTED_VALUE"""),"")</f>
        <v/>
      </c>
    </row>
    <row r="1654">
      <c r="A1654" s="4" t="str">
        <f>IFERROR(__xludf.DUMMYFUNCTION("""COMPUTED_VALUE"""),"2205 - Channel")</f>
        <v>2205 - Channel</v>
      </c>
      <c r="B1654" s="4" t="str">
        <f>IFERROR(__xludf.DUMMYFUNCTION("""COMPUTED_VALUE"""),"")</f>
        <v/>
      </c>
      <c r="C1654" s="4" t="str">
        <f>IFERROR(__xludf.DUMMYFUNCTION("""COMPUTED_VALUE"""),"")</f>
        <v/>
      </c>
      <c r="D1654" s="4" t="str">
        <f>IFERROR(__xludf.DUMMYFUNCTION("""COMPUTED_VALUE"""),"")</f>
        <v/>
      </c>
      <c r="E1654" s="4" t="str">
        <f>IFERROR(__xludf.DUMMYFUNCTION("""COMPUTED_VALUE"""),"")</f>
        <v/>
      </c>
      <c r="F1654" s="4" t="str">
        <f>IFERROR(__xludf.DUMMYFUNCTION("""COMPUTED_VALUE"""),"")</f>
        <v/>
      </c>
      <c r="G1654" s="4" t="str">
        <f>IFERROR(__xludf.DUMMYFUNCTION("""COMPUTED_VALUE"""),"")</f>
        <v/>
      </c>
      <c r="H1654" s="4" t="str">
        <f>IFERROR(__xludf.DUMMYFUNCTION("""COMPUTED_VALUE"""),"")</f>
        <v/>
      </c>
      <c r="I1654" s="4" t="str">
        <f>IFERROR(__xludf.DUMMYFUNCTION("""COMPUTED_VALUE"""),"")</f>
        <v/>
      </c>
      <c r="J1654" s="4" t="str">
        <f>IFERROR(__xludf.DUMMYFUNCTION("""COMPUTED_VALUE"""),"")</f>
        <v/>
      </c>
      <c r="K1654" s="4" t="str">
        <f>IFERROR(__xludf.DUMMYFUNCTION("""COMPUTED_VALUE"""),"")</f>
        <v/>
      </c>
      <c r="L1654" s="4" t="str">
        <f>IFERROR(__xludf.DUMMYFUNCTION("""COMPUTED_VALUE"""),"")</f>
        <v/>
      </c>
      <c r="M1654" s="4" t="str">
        <f>IFERROR(__xludf.DUMMYFUNCTION("""COMPUTED_VALUE"""),"")</f>
        <v/>
      </c>
      <c r="N1654" s="4" t="str">
        <f>IFERROR(__xludf.DUMMYFUNCTION("""COMPUTED_VALUE"""),"")</f>
        <v/>
      </c>
      <c r="O1654" s="4" t="str">
        <f>IFERROR(__xludf.DUMMYFUNCTION("""COMPUTED_VALUE"""),"")</f>
        <v/>
      </c>
      <c r="P1654" s="4" t="str">
        <f>IFERROR(__xludf.DUMMYFUNCTION("""COMPUTED_VALUE"""),"")</f>
        <v/>
      </c>
      <c r="Q1654" s="4" t="str">
        <f>IFERROR(__xludf.DUMMYFUNCTION("""COMPUTED_VALUE"""),"")</f>
        <v/>
      </c>
      <c r="R1654" s="4" t="str">
        <f>IFERROR(__xludf.DUMMYFUNCTION("""COMPUTED_VALUE"""),"")</f>
        <v/>
      </c>
      <c r="S1654" s="4" t="str">
        <f>IFERROR(__xludf.DUMMYFUNCTION("""COMPUTED_VALUE"""),"")</f>
        <v/>
      </c>
      <c r="T1654" s="4" t="str">
        <f>IFERROR(__xludf.DUMMYFUNCTION("""COMPUTED_VALUE"""),"")</f>
        <v/>
      </c>
      <c r="U1654" s="4" t="str">
        <f>IFERROR(__xludf.DUMMYFUNCTION("""COMPUTED_VALUE"""),"")</f>
        <v/>
      </c>
      <c r="V1654" s="4" t="str">
        <f>IFERROR(__xludf.DUMMYFUNCTION("""COMPUTED_VALUE"""),"")</f>
        <v/>
      </c>
      <c r="W1654" s="4" t="str">
        <f>IFERROR(__xludf.DUMMYFUNCTION("""COMPUTED_VALUE"""),"")</f>
        <v/>
      </c>
      <c r="X1654" s="4" t="str">
        <f>IFERROR(__xludf.DUMMYFUNCTION("""COMPUTED_VALUE"""),"")</f>
        <v/>
      </c>
      <c r="Y1654" s="4" t="str">
        <f>IFERROR(__xludf.DUMMYFUNCTION("""COMPUTED_VALUE"""),"")</f>
        <v/>
      </c>
    </row>
    <row r="1655">
      <c r="A1655" s="4" t="str">
        <f>IFERROR(__xludf.DUMMYFUNCTION("""COMPUTED_VALUE"""),"2206 - Channel")</f>
        <v>2206 - Channel</v>
      </c>
      <c r="B1655" s="4" t="str">
        <f>IFERROR(__xludf.DUMMYFUNCTION("""COMPUTED_VALUE"""),"")</f>
        <v/>
      </c>
      <c r="C1655" s="4" t="str">
        <f>IFERROR(__xludf.DUMMYFUNCTION("""COMPUTED_VALUE"""),"")</f>
        <v/>
      </c>
      <c r="D1655" s="4" t="str">
        <f>IFERROR(__xludf.DUMMYFUNCTION("""COMPUTED_VALUE"""),"")</f>
        <v/>
      </c>
      <c r="E1655" s="4" t="str">
        <f>IFERROR(__xludf.DUMMYFUNCTION("""COMPUTED_VALUE"""),"")</f>
        <v/>
      </c>
      <c r="F1655" s="4" t="str">
        <f>IFERROR(__xludf.DUMMYFUNCTION("""COMPUTED_VALUE"""),"")</f>
        <v/>
      </c>
      <c r="G1655" s="4" t="str">
        <f>IFERROR(__xludf.DUMMYFUNCTION("""COMPUTED_VALUE"""),"")</f>
        <v/>
      </c>
      <c r="H1655" s="4" t="str">
        <f>IFERROR(__xludf.DUMMYFUNCTION("""COMPUTED_VALUE"""),"")</f>
        <v/>
      </c>
      <c r="I1655" s="4" t="str">
        <f>IFERROR(__xludf.DUMMYFUNCTION("""COMPUTED_VALUE"""),"")</f>
        <v/>
      </c>
      <c r="J1655" s="4" t="str">
        <f>IFERROR(__xludf.DUMMYFUNCTION("""COMPUTED_VALUE"""),"")</f>
        <v/>
      </c>
      <c r="K1655" s="4" t="str">
        <f>IFERROR(__xludf.DUMMYFUNCTION("""COMPUTED_VALUE"""),"")</f>
        <v/>
      </c>
      <c r="L1655" s="4" t="str">
        <f>IFERROR(__xludf.DUMMYFUNCTION("""COMPUTED_VALUE"""),"")</f>
        <v/>
      </c>
      <c r="M1655" s="4" t="str">
        <f>IFERROR(__xludf.DUMMYFUNCTION("""COMPUTED_VALUE"""),"")</f>
        <v/>
      </c>
      <c r="N1655" s="4" t="str">
        <f>IFERROR(__xludf.DUMMYFUNCTION("""COMPUTED_VALUE"""),"")</f>
        <v/>
      </c>
      <c r="O1655" s="4" t="str">
        <f>IFERROR(__xludf.DUMMYFUNCTION("""COMPUTED_VALUE"""),"")</f>
        <v/>
      </c>
      <c r="P1655" s="4" t="str">
        <f>IFERROR(__xludf.DUMMYFUNCTION("""COMPUTED_VALUE"""),"")</f>
        <v/>
      </c>
      <c r="Q1655" s="4" t="str">
        <f>IFERROR(__xludf.DUMMYFUNCTION("""COMPUTED_VALUE"""),"")</f>
        <v/>
      </c>
      <c r="R1655" s="4" t="str">
        <f>IFERROR(__xludf.DUMMYFUNCTION("""COMPUTED_VALUE"""),"")</f>
        <v/>
      </c>
      <c r="S1655" s="4" t="str">
        <f>IFERROR(__xludf.DUMMYFUNCTION("""COMPUTED_VALUE"""),"")</f>
        <v/>
      </c>
      <c r="T1655" s="4" t="str">
        <f>IFERROR(__xludf.DUMMYFUNCTION("""COMPUTED_VALUE"""),"")</f>
        <v/>
      </c>
      <c r="U1655" s="4" t="str">
        <f>IFERROR(__xludf.DUMMYFUNCTION("""COMPUTED_VALUE"""),"")</f>
        <v/>
      </c>
      <c r="V1655" s="4" t="str">
        <f>IFERROR(__xludf.DUMMYFUNCTION("""COMPUTED_VALUE"""),"")</f>
        <v/>
      </c>
      <c r="W1655" s="4" t="str">
        <f>IFERROR(__xludf.DUMMYFUNCTION("""COMPUTED_VALUE"""),"")</f>
        <v/>
      </c>
      <c r="X1655" s="4" t="str">
        <f>IFERROR(__xludf.DUMMYFUNCTION("""COMPUTED_VALUE"""),"")</f>
        <v/>
      </c>
      <c r="Y1655" s="4" t="str">
        <f>IFERROR(__xludf.DUMMYFUNCTION("""COMPUTED_VALUE"""),"")</f>
        <v/>
      </c>
    </row>
    <row r="1656">
      <c r="A1656" s="4" t="str">
        <f>IFERROR(__xludf.DUMMYFUNCTION("""COMPUTED_VALUE"""),"2207 - Channel")</f>
        <v>2207 - Channel</v>
      </c>
      <c r="B1656" s="4" t="str">
        <f>IFERROR(__xludf.DUMMYFUNCTION("""COMPUTED_VALUE"""),"")</f>
        <v/>
      </c>
      <c r="C1656" s="4" t="str">
        <f>IFERROR(__xludf.DUMMYFUNCTION("""COMPUTED_VALUE"""),"")</f>
        <v/>
      </c>
      <c r="D1656" s="4" t="str">
        <f>IFERROR(__xludf.DUMMYFUNCTION("""COMPUTED_VALUE"""),"")</f>
        <v/>
      </c>
      <c r="E1656" s="4" t="str">
        <f>IFERROR(__xludf.DUMMYFUNCTION("""COMPUTED_VALUE"""),"")</f>
        <v/>
      </c>
      <c r="F1656" s="4" t="str">
        <f>IFERROR(__xludf.DUMMYFUNCTION("""COMPUTED_VALUE"""),"")</f>
        <v/>
      </c>
      <c r="G1656" s="4" t="str">
        <f>IFERROR(__xludf.DUMMYFUNCTION("""COMPUTED_VALUE"""),"")</f>
        <v/>
      </c>
      <c r="H1656" s="4" t="str">
        <f>IFERROR(__xludf.DUMMYFUNCTION("""COMPUTED_VALUE"""),"")</f>
        <v/>
      </c>
      <c r="I1656" s="4" t="str">
        <f>IFERROR(__xludf.DUMMYFUNCTION("""COMPUTED_VALUE"""),"")</f>
        <v/>
      </c>
      <c r="J1656" s="4" t="str">
        <f>IFERROR(__xludf.DUMMYFUNCTION("""COMPUTED_VALUE"""),"")</f>
        <v/>
      </c>
      <c r="K1656" s="4" t="str">
        <f>IFERROR(__xludf.DUMMYFUNCTION("""COMPUTED_VALUE"""),"")</f>
        <v/>
      </c>
      <c r="L1656" s="4" t="str">
        <f>IFERROR(__xludf.DUMMYFUNCTION("""COMPUTED_VALUE"""),"")</f>
        <v/>
      </c>
      <c r="M1656" s="4" t="str">
        <f>IFERROR(__xludf.DUMMYFUNCTION("""COMPUTED_VALUE"""),"")</f>
        <v/>
      </c>
      <c r="N1656" s="4" t="str">
        <f>IFERROR(__xludf.DUMMYFUNCTION("""COMPUTED_VALUE"""),"")</f>
        <v/>
      </c>
      <c r="O1656" s="4" t="str">
        <f>IFERROR(__xludf.DUMMYFUNCTION("""COMPUTED_VALUE"""),"")</f>
        <v/>
      </c>
      <c r="P1656" s="4" t="str">
        <f>IFERROR(__xludf.DUMMYFUNCTION("""COMPUTED_VALUE"""),"")</f>
        <v/>
      </c>
      <c r="Q1656" s="4" t="str">
        <f>IFERROR(__xludf.DUMMYFUNCTION("""COMPUTED_VALUE"""),"")</f>
        <v/>
      </c>
      <c r="R1656" s="4" t="str">
        <f>IFERROR(__xludf.DUMMYFUNCTION("""COMPUTED_VALUE"""),"")</f>
        <v/>
      </c>
      <c r="S1656" s="4" t="str">
        <f>IFERROR(__xludf.DUMMYFUNCTION("""COMPUTED_VALUE"""),"")</f>
        <v/>
      </c>
      <c r="T1656" s="4" t="str">
        <f>IFERROR(__xludf.DUMMYFUNCTION("""COMPUTED_VALUE"""),"")</f>
        <v/>
      </c>
      <c r="U1656" s="4" t="str">
        <f>IFERROR(__xludf.DUMMYFUNCTION("""COMPUTED_VALUE"""),"")</f>
        <v/>
      </c>
      <c r="V1656" s="4" t="str">
        <f>IFERROR(__xludf.DUMMYFUNCTION("""COMPUTED_VALUE"""),"")</f>
        <v/>
      </c>
      <c r="W1656" s="4" t="str">
        <f>IFERROR(__xludf.DUMMYFUNCTION("""COMPUTED_VALUE"""),"")</f>
        <v/>
      </c>
      <c r="X1656" s="4" t="str">
        <f>IFERROR(__xludf.DUMMYFUNCTION("""COMPUTED_VALUE"""),"")</f>
        <v/>
      </c>
      <c r="Y1656" s="4" t="str">
        <f>IFERROR(__xludf.DUMMYFUNCTION("""COMPUTED_VALUE"""),"")</f>
        <v/>
      </c>
    </row>
    <row r="1657">
      <c r="A1657" s="4" t="str">
        <f>IFERROR(__xludf.DUMMYFUNCTION("""COMPUTED_VALUE"""),"2208 - Channel")</f>
        <v>2208 - Channel</v>
      </c>
      <c r="B1657" s="4" t="str">
        <f>IFERROR(__xludf.DUMMYFUNCTION("""COMPUTED_VALUE"""),"")</f>
        <v/>
      </c>
      <c r="C1657" s="4" t="str">
        <f>IFERROR(__xludf.DUMMYFUNCTION("""COMPUTED_VALUE"""),"")</f>
        <v/>
      </c>
      <c r="D1657" s="4" t="str">
        <f>IFERROR(__xludf.DUMMYFUNCTION("""COMPUTED_VALUE"""),"")</f>
        <v/>
      </c>
      <c r="E1657" s="4" t="str">
        <f>IFERROR(__xludf.DUMMYFUNCTION("""COMPUTED_VALUE"""),"")</f>
        <v/>
      </c>
      <c r="F1657" s="4" t="str">
        <f>IFERROR(__xludf.DUMMYFUNCTION("""COMPUTED_VALUE"""),"")</f>
        <v/>
      </c>
      <c r="G1657" s="4" t="str">
        <f>IFERROR(__xludf.DUMMYFUNCTION("""COMPUTED_VALUE"""),"")</f>
        <v/>
      </c>
      <c r="H1657" s="4" t="str">
        <f>IFERROR(__xludf.DUMMYFUNCTION("""COMPUTED_VALUE"""),"")</f>
        <v/>
      </c>
      <c r="I1657" s="4" t="str">
        <f>IFERROR(__xludf.DUMMYFUNCTION("""COMPUTED_VALUE"""),"")</f>
        <v/>
      </c>
      <c r="J1657" s="4" t="str">
        <f>IFERROR(__xludf.DUMMYFUNCTION("""COMPUTED_VALUE"""),"")</f>
        <v/>
      </c>
      <c r="K1657" s="4" t="str">
        <f>IFERROR(__xludf.DUMMYFUNCTION("""COMPUTED_VALUE"""),"")</f>
        <v/>
      </c>
      <c r="L1657" s="4" t="str">
        <f>IFERROR(__xludf.DUMMYFUNCTION("""COMPUTED_VALUE"""),"")</f>
        <v/>
      </c>
      <c r="M1657" s="4" t="str">
        <f>IFERROR(__xludf.DUMMYFUNCTION("""COMPUTED_VALUE"""),"")</f>
        <v/>
      </c>
      <c r="N1657" s="4" t="str">
        <f>IFERROR(__xludf.DUMMYFUNCTION("""COMPUTED_VALUE"""),"")</f>
        <v/>
      </c>
      <c r="O1657" s="4" t="str">
        <f>IFERROR(__xludf.DUMMYFUNCTION("""COMPUTED_VALUE"""),"")</f>
        <v/>
      </c>
      <c r="P1657" s="4" t="str">
        <f>IFERROR(__xludf.DUMMYFUNCTION("""COMPUTED_VALUE"""),"")</f>
        <v/>
      </c>
      <c r="Q1657" s="4" t="str">
        <f>IFERROR(__xludf.DUMMYFUNCTION("""COMPUTED_VALUE"""),"")</f>
        <v/>
      </c>
      <c r="R1657" s="4" t="str">
        <f>IFERROR(__xludf.DUMMYFUNCTION("""COMPUTED_VALUE"""),"")</f>
        <v/>
      </c>
      <c r="S1657" s="4" t="str">
        <f>IFERROR(__xludf.DUMMYFUNCTION("""COMPUTED_VALUE"""),"")</f>
        <v/>
      </c>
      <c r="T1657" s="4" t="str">
        <f>IFERROR(__xludf.DUMMYFUNCTION("""COMPUTED_VALUE"""),"")</f>
        <v/>
      </c>
      <c r="U1657" s="4" t="str">
        <f>IFERROR(__xludf.DUMMYFUNCTION("""COMPUTED_VALUE"""),"")</f>
        <v/>
      </c>
      <c r="V1657" s="4" t="str">
        <f>IFERROR(__xludf.DUMMYFUNCTION("""COMPUTED_VALUE"""),"")</f>
        <v/>
      </c>
      <c r="W1657" s="4" t="str">
        <f>IFERROR(__xludf.DUMMYFUNCTION("""COMPUTED_VALUE"""),"")</f>
        <v/>
      </c>
      <c r="X1657" s="4" t="str">
        <f>IFERROR(__xludf.DUMMYFUNCTION("""COMPUTED_VALUE"""),"")</f>
        <v/>
      </c>
      <c r="Y1657" s="4" t="str">
        <f>IFERROR(__xludf.DUMMYFUNCTION("""COMPUTED_VALUE"""),"")</f>
        <v/>
      </c>
    </row>
    <row r="1658">
      <c r="A1658" s="4" t="str">
        <f>IFERROR(__xludf.DUMMYFUNCTION("""COMPUTED_VALUE"""),"2209 - Channel")</f>
        <v>2209 - Channel</v>
      </c>
      <c r="B1658" s="4" t="str">
        <f>IFERROR(__xludf.DUMMYFUNCTION("""COMPUTED_VALUE"""),"")</f>
        <v/>
      </c>
      <c r="C1658" s="4" t="str">
        <f>IFERROR(__xludf.DUMMYFUNCTION("""COMPUTED_VALUE"""),"")</f>
        <v/>
      </c>
      <c r="D1658" s="4" t="str">
        <f>IFERROR(__xludf.DUMMYFUNCTION("""COMPUTED_VALUE"""),"")</f>
        <v/>
      </c>
      <c r="E1658" s="4" t="str">
        <f>IFERROR(__xludf.DUMMYFUNCTION("""COMPUTED_VALUE"""),"")</f>
        <v/>
      </c>
      <c r="F1658" s="4" t="str">
        <f>IFERROR(__xludf.DUMMYFUNCTION("""COMPUTED_VALUE"""),"")</f>
        <v/>
      </c>
      <c r="G1658" s="4" t="str">
        <f>IFERROR(__xludf.DUMMYFUNCTION("""COMPUTED_VALUE"""),"")</f>
        <v/>
      </c>
      <c r="H1658" s="4" t="str">
        <f>IFERROR(__xludf.DUMMYFUNCTION("""COMPUTED_VALUE"""),"")</f>
        <v/>
      </c>
      <c r="I1658" s="4" t="str">
        <f>IFERROR(__xludf.DUMMYFUNCTION("""COMPUTED_VALUE"""),"")</f>
        <v/>
      </c>
      <c r="J1658" s="4" t="str">
        <f>IFERROR(__xludf.DUMMYFUNCTION("""COMPUTED_VALUE"""),"")</f>
        <v/>
      </c>
      <c r="K1658" s="4" t="str">
        <f>IFERROR(__xludf.DUMMYFUNCTION("""COMPUTED_VALUE"""),"")</f>
        <v/>
      </c>
      <c r="L1658" s="4" t="str">
        <f>IFERROR(__xludf.DUMMYFUNCTION("""COMPUTED_VALUE"""),"")</f>
        <v/>
      </c>
      <c r="M1658" s="4" t="str">
        <f>IFERROR(__xludf.DUMMYFUNCTION("""COMPUTED_VALUE"""),"")</f>
        <v/>
      </c>
      <c r="N1658" s="4" t="str">
        <f>IFERROR(__xludf.DUMMYFUNCTION("""COMPUTED_VALUE"""),"")</f>
        <v/>
      </c>
      <c r="O1658" s="4" t="str">
        <f>IFERROR(__xludf.DUMMYFUNCTION("""COMPUTED_VALUE"""),"")</f>
        <v/>
      </c>
      <c r="P1658" s="4" t="str">
        <f>IFERROR(__xludf.DUMMYFUNCTION("""COMPUTED_VALUE"""),"")</f>
        <v/>
      </c>
      <c r="Q1658" s="4" t="str">
        <f>IFERROR(__xludf.DUMMYFUNCTION("""COMPUTED_VALUE"""),"")</f>
        <v/>
      </c>
      <c r="R1658" s="4" t="str">
        <f>IFERROR(__xludf.DUMMYFUNCTION("""COMPUTED_VALUE"""),"")</f>
        <v/>
      </c>
      <c r="S1658" s="4" t="str">
        <f>IFERROR(__xludf.DUMMYFUNCTION("""COMPUTED_VALUE"""),"")</f>
        <v/>
      </c>
      <c r="T1658" s="4" t="str">
        <f>IFERROR(__xludf.DUMMYFUNCTION("""COMPUTED_VALUE"""),"")</f>
        <v/>
      </c>
      <c r="U1658" s="4" t="str">
        <f>IFERROR(__xludf.DUMMYFUNCTION("""COMPUTED_VALUE"""),"")</f>
        <v/>
      </c>
      <c r="V1658" s="4" t="str">
        <f>IFERROR(__xludf.DUMMYFUNCTION("""COMPUTED_VALUE"""),"")</f>
        <v/>
      </c>
      <c r="W1658" s="4" t="str">
        <f>IFERROR(__xludf.DUMMYFUNCTION("""COMPUTED_VALUE"""),"")</f>
        <v/>
      </c>
      <c r="X1658" s="4" t="str">
        <f>IFERROR(__xludf.DUMMYFUNCTION("""COMPUTED_VALUE"""),"")</f>
        <v/>
      </c>
      <c r="Y1658" s="4" t="str">
        <f>IFERROR(__xludf.DUMMYFUNCTION("""COMPUTED_VALUE"""),"")</f>
        <v/>
      </c>
    </row>
    <row r="1659">
      <c r="A1659" s="4" t="str">
        <f>IFERROR(__xludf.DUMMYFUNCTION("""COMPUTED_VALUE"""),"2210 - Channel")</f>
        <v>2210 - Channel</v>
      </c>
      <c r="B1659" s="4" t="str">
        <f>IFERROR(__xludf.DUMMYFUNCTION("""COMPUTED_VALUE"""),"")</f>
        <v/>
      </c>
      <c r="C1659" s="4" t="str">
        <f>IFERROR(__xludf.DUMMYFUNCTION("""COMPUTED_VALUE"""),"")</f>
        <v/>
      </c>
      <c r="D1659" s="4" t="str">
        <f>IFERROR(__xludf.DUMMYFUNCTION("""COMPUTED_VALUE"""),"")</f>
        <v/>
      </c>
      <c r="E1659" s="4" t="str">
        <f>IFERROR(__xludf.DUMMYFUNCTION("""COMPUTED_VALUE"""),"")</f>
        <v/>
      </c>
      <c r="F1659" s="4" t="str">
        <f>IFERROR(__xludf.DUMMYFUNCTION("""COMPUTED_VALUE"""),"")</f>
        <v/>
      </c>
      <c r="G1659" s="4" t="str">
        <f>IFERROR(__xludf.DUMMYFUNCTION("""COMPUTED_VALUE"""),"")</f>
        <v/>
      </c>
      <c r="H1659" s="4" t="str">
        <f>IFERROR(__xludf.DUMMYFUNCTION("""COMPUTED_VALUE"""),"")</f>
        <v/>
      </c>
      <c r="I1659" s="4" t="str">
        <f>IFERROR(__xludf.DUMMYFUNCTION("""COMPUTED_VALUE"""),"")</f>
        <v/>
      </c>
      <c r="J1659" s="4" t="str">
        <f>IFERROR(__xludf.DUMMYFUNCTION("""COMPUTED_VALUE"""),"")</f>
        <v/>
      </c>
      <c r="K1659" s="4" t="str">
        <f>IFERROR(__xludf.DUMMYFUNCTION("""COMPUTED_VALUE"""),"")</f>
        <v/>
      </c>
      <c r="L1659" s="4" t="str">
        <f>IFERROR(__xludf.DUMMYFUNCTION("""COMPUTED_VALUE"""),"")</f>
        <v/>
      </c>
      <c r="M1659" s="4" t="str">
        <f>IFERROR(__xludf.DUMMYFUNCTION("""COMPUTED_VALUE"""),"")</f>
        <v/>
      </c>
      <c r="N1659" s="4" t="str">
        <f>IFERROR(__xludf.DUMMYFUNCTION("""COMPUTED_VALUE"""),"")</f>
        <v/>
      </c>
      <c r="O1659" s="4" t="str">
        <f>IFERROR(__xludf.DUMMYFUNCTION("""COMPUTED_VALUE"""),"")</f>
        <v/>
      </c>
      <c r="P1659" s="4" t="str">
        <f>IFERROR(__xludf.DUMMYFUNCTION("""COMPUTED_VALUE"""),"")</f>
        <v/>
      </c>
      <c r="Q1659" s="4" t="str">
        <f>IFERROR(__xludf.DUMMYFUNCTION("""COMPUTED_VALUE"""),"")</f>
        <v/>
      </c>
      <c r="R1659" s="4" t="str">
        <f>IFERROR(__xludf.DUMMYFUNCTION("""COMPUTED_VALUE"""),"")</f>
        <v/>
      </c>
      <c r="S1659" s="4" t="str">
        <f>IFERROR(__xludf.DUMMYFUNCTION("""COMPUTED_VALUE"""),"")</f>
        <v/>
      </c>
      <c r="T1659" s="4" t="str">
        <f>IFERROR(__xludf.DUMMYFUNCTION("""COMPUTED_VALUE"""),"")</f>
        <v/>
      </c>
      <c r="U1659" s="4" t="str">
        <f>IFERROR(__xludf.DUMMYFUNCTION("""COMPUTED_VALUE"""),"")</f>
        <v/>
      </c>
      <c r="V1659" s="4" t="str">
        <f>IFERROR(__xludf.DUMMYFUNCTION("""COMPUTED_VALUE"""),"")</f>
        <v/>
      </c>
      <c r="W1659" s="4" t="str">
        <f>IFERROR(__xludf.DUMMYFUNCTION("""COMPUTED_VALUE"""),"")</f>
        <v/>
      </c>
      <c r="X1659" s="4" t="str">
        <f>IFERROR(__xludf.DUMMYFUNCTION("""COMPUTED_VALUE"""),"")</f>
        <v/>
      </c>
      <c r="Y1659" s="4" t="str">
        <f>IFERROR(__xludf.DUMMYFUNCTION("""COMPUTED_VALUE"""),"")</f>
        <v/>
      </c>
    </row>
    <row r="1660">
      <c r="A1660" s="4" t="str">
        <f>IFERROR(__xludf.DUMMYFUNCTION("""COMPUTED_VALUE"""),"2211 - Channel")</f>
        <v>2211 - Channel</v>
      </c>
      <c r="B1660" s="4" t="str">
        <f>IFERROR(__xludf.DUMMYFUNCTION("""COMPUTED_VALUE"""),"")</f>
        <v/>
      </c>
      <c r="C1660" s="4" t="str">
        <f>IFERROR(__xludf.DUMMYFUNCTION("""COMPUTED_VALUE"""),"")</f>
        <v/>
      </c>
      <c r="D1660" s="4" t="str">
        <f>IFERROR(__xludf.DUMMYFUNCTION("""COMPUTED_VALUE"""),"")</f>
        <v/>
      </c>
      <c r="E1660" s="4" t="str">
        <f>IFERROR(__xludf.DUMMYFUNCTION("""COMPUTED_VALUE"""),"")</f>
        <v/>
      </c>
      <c r="F1660" s="4" t="str">
        <f>IFERROR(__xludf.DUMMYFUNCTION("""COMPUTED_VALUE"""),"")</f>
        <v/>
      </c>
      <c r="G1660" s="4" t="str">
        <f>IFERROR(__xludf.DUMMYFUNCTION("""COMPUTED_VALUE"""),"")</f>
        <v/>
      </c>
      <c r="H1660" s="4" t="str">
        <f>IFERROR(__xludf.DUMMYFUNCTION("""COMPUTED_VALUE"""),"")</f>
        <v/>
      </c>
      <c r="I1660" s="4" t="str">
        <f>IFERROR(__xludf.DUMMYFUNCTION("""COMPUTED_VALUE"""),"")</f>
        <v/>
      </c>
      <c r="J1660" s="4" t="str">
        <f>IFERROR(__xludf.DUMMYFUNCTION("""COMPUTED_VALUE"""),"")</f>
        <v/>
      </c>
      <c r="K1660" s="4" t="str">
        <f>IFERROR(__xludf.DUMMYFUNCTION("""COMPUTED_VALUE"""),"")</f>
        <v/>
      </c>
      <c r="L1660" s="4" t="str">
        <f>IFERROR(__xludf.DUMMYFUNCTION("""COMPUTED_VALUE"""),"")</f>
        <v/>
      </c>
      <c r="M1660" s="4" t="str">
        <f>IFERROR(__xludf.DUMMYFUNCTION("""COMPUTED_VALUE"""),"")</f>
        <v/>
      </c>
      <c r="N1660" s="4" t="str">
        <f>IFERROR(__xludf.DUMMYFUNCTION("""COMPUTED_VALUE"""),"")</f>
        <v/>
      </c>
      <c r="O1660" s="4" t="str">
        <f>IFERROR(__xludf.DUMMYFUNCTION("""COMPUTED_VALUE"""),"")</f>
        <v/>
      </c>
      <c r="P1660" s="4" t="str">
        <f>IFERROR(__xludf.DUMMYFUNCTION("""COMPUTED_VALUE"""),"")</f>
        <v/>
      </c>
      <c r="Q1660" s="4" t="str">
        <f>IFERROR(__xludf.DUMMYFUNCTION("""COMPUTED_VALUE"""),"")</f>
        <v/>
      </c>
      <c r="R1660" s="4" t="str">
        <f>IFERROR(__xludf.DUMMYFUNCTION("""COMPUTED_VALUE"""),"")</f>
        <v/>
      </c>
      <c r="S1660" s="4" t="str">
        <f>IFERROR(__xludf.DUMMYFUNCTION("""COMPUTED_VALUE"""),"")</f>
        <v/>
      </c>
      <c r="T1660" s="4" t="str">
        <f>IFERROR(__xludf.DUMMYFUNCTION("""COMPUTED_VALUE"""),"")</f>
        <v/>
      </c>
      <c r="U1660" s="4" t="str">
        <f>IFERROR(__xludf.DUMMYFUNCTION("""COMPUTED_VALUE"""),"")</f>
        <v/>
      </c>
      <c r="V1660" s="4" t="str">
        <f>IFERROR(__xludf.DUMMYFUNCTION("""COMPUTED_VALUE"""),"")</f>
        <v/>
      </c>
      <c r="W1660" s="4" t="str">
        <f>IFERROR(__xludf.DUMMYFUNCTION("""COMPUTED_VALUE"""),"")</f>
        <v/>
      </c>
      <c r="X1660" s="4" t="str">
        <f>IFERROR(__xludf.DUMMYFUNCTION("""COMPUTED_VALUE"""),"")</f>
        <v/>
      </c>
      <c r="Y1660" s="4" t="str">
        <f>IFERROR(__xludf.DUMMYFUNCTION("""COMPUTED_VALUE"""),"")</f>
        <v/>
      </c>
    </row>
    <row r="1661">
      <c r="A1661" s="4" t="str">
        <f>IFERROR(__xludf.DUMMYFUNCTION("""COMPUTED_VALUE"""),"2212 - Channel")</f>
        <v>2212 - Channel</v>
      </c>
      <c r="B1661" s="4" t="str">
        <f>IFERROR(__xludf.DUMMYFUNCTION("""COMPUTED_VALUE"""),"")</f>
        <v/>
      </c>
      <c r="C1661" s="4" t="str">
        <f>IFERROR(__xludf.DUMMYFUNCTION("""COMPUTED_VALUE"""),"")</f>
        <v/>
      </c>
      <c r="D1661" s="4" t="str">
        <f>IFERROR(__xludf.DUMMYFUNCTION("""COMPUTED_VALUE"""),"")</f>
        <v/>
      </c>
      <c r="E1661" s="4" t="str">
        <f>IFERROR(__xludf.DUMMYFUNCTION("""COMPUTED_VALUE"""),"")</f>
        <v/>
      </c>
      <c r="F1661" s="4" t="str">
        <f>IFERROR(__xludf.DUMMYFUNCTION("""COMPUTED_VALUE"""),"")</f>
        <v/>
      </c>
      <c r="G1661" s="4" t="str">
        <f>IFERROR(__xludf.DUMMYFUNCTION("""COMPUTED_VALUE"""),"")</f>
        <v/>
      </c>
      <c r="H1661" s="4" t="str">
        <f>IFERROR(__xludf.DUMMYFUNCTION("""COMPUTED_VALUE"""),"")</f>
        <v/>
      </c>
      <c r="I1661" s="4" t="str">
        <f>IFERROR(__xludf.DUMMYFUNCTION("""COMPUTED_VALUE"""),"")</f>
        <v/>
      </c>
      <c r="J1661" s="4" t="str">
        <f>IFERROR(__xludf.DUMMYFUNCTION("""COMPUTED_VALUE"""),"")</f>
        <v/>
      </c>
      <c r="K1661" s="4" t="str">
        <f>IFERROR(__xludf.DUMMYFUNCTION("""COMPUTED_VALUE"""),"")</f>
        <v/>
      </c>
      <c r="L1661" s="4" t="str">
        <f>IFERROR(__xludf.DUMMYFUNCTION("""COMPUTED_VALUE"""),"")</f>
        <v/>
      </c>
      <c r="M1661" s="4" t="str">
        <f>IFERROR(__xludf.DUMMYFUNCTION("""COMPUTED_VALUE"""),"")</f>
        <v/>
      </c>
      <c r="N1661" s="4" t="str">
        <f>IFERROR(__xludf.DUMMYFUNCTION("""COMPUTED_VALUE"""),"")</f>
        <v/>
      </c>
      <c r="O1661" s="4" t="str">
        <f>IFERROR(__xludf.DUMMYFUNCTION("""COMPUTED_VALUE"""),"")</f>
        <v/>
      </c>
      <c r="P1661" s="4" t="str">
        <f>IFERROR(__xludf.DUMMYFUNCTION("""COMPUTED_VALUE"""),"")</f>
        <v/>
      </c>
      <c r="Q1661" s="4" t="str">
        <f>IFERROR(__xludf.DUMMYFUNCTION("""COMPUTED_VALUE"""),"")</f>
        <v/>
      </c>
      <c r="R1661" s="4" t="str">
        <f>IFERROR(__xludf.DUMMYFUNCTION("""COMPUTED_VALUE"""),"")</f>
        <v/>
      </c>
      <c r="S1661" s="4" t="str">
        <f>IFERROR(__xludf.DUMMYFUNCTION("""COMPUTED_VALUE"""),"")</f>
        <v/>
      </c>
      <c r="T1661" s="4" t="str">
        <f>IFERROR(__xludf.DUMMYFUNCTION("""COMPUTED_VALUE"""),"")</f>
        <v/>
      </c>
      <c r="U1661" s="4" t="str">
        <f>IFERROR(__xludf.DUMMYFUNCTION("""COMPUTED_VALUE"""),"")</f>
        <v/>
      </c>
      <c r="V1661" s="4" t="str">
        <f>IFERROR(__xludf.DUMMYFUNCTION("""COMPUTED_VALUE"""),"")</f>
        <v/>
      </c>
      <c r="W1661" s="4" t="str">
        <f>IFERROR(__xludf.DUMMYFUNCTION("""COMPUTED_VALUE"""),"")</f>
        <v/>
      </c>
      <c r="X1661" s="4" t="str">
        <f>IFERROR(__xludf.DUMMYFUNCTION("""COMPUTED_VALUE"""),"")</f>
        <v/>
      </c>
      <c r="Y1661" s="4" t="str">
        <f>IFERROR(__xludf.DUMMYFUNCTION("""COMPUTED_VALUE"""),"")</f>
        <v/>
      </c>
    </row>
    <row r="1662">
      <c r="A1662" s="4" t="str">
        <f>IFERROR(__xludf.DUMMYFUNCTION("""COMPUTED_VALUE"""),"2213 - Channel")</f>
        <v>2213 - Channel</v>
      </c>
      <c r="B1662" s="4" t="str">
        <f>IFERROR(__xludf.DUMMYFUNCTION("""COMPUTED_VALUE"""),"")</f>
        <v/>
      </c>
      <c r="C1662" s="4" t="str">
        <f>IFERROR(__xludf.DUMMYFUNCTION("""COMPUTED_VALUE"""),"")</f>
        <v/>
      </c>
      <c r="D1662" s="4" t="str">
        <f>IFERROR(__xludf.DUMMYFUNCTION("""COMPUTED_VALUE"""),"")</f>
        <v/>
      </c>
      <c r="E1662" s="4" t="str">
        <f>IFERROR(__xludf.DUMMYFUNCTION("""COMPUTED_VALUE"""),"")</f>
        <v/>
      </c>
      <c r="F1662" s="4" t="str">
        <f>IFERROR(__xludf.DUMMYFUNCTION("""COMPUTED_VALUE"""),"")</f>
        <v/>
      </c>
      <c r="G1662" s="4" t="str">
        <f>IFERROR(__xludf.DUMMYFUNCTION("""COMPUTED_VALUE"""),"")</f>
        <v/>
      </c>
      <c r="H1662" s="4" t="str">
        <f>IFERROR(__xludf.DUMMYFUNCTION("""COMPUTED_VALUE"""),"")</f>
        <v/>
      </c>
      <c r="I1662" s="4" t="str">
        <f>IFERROR(__xludf.DUMMYFUNCTION("""COMPUTED_VALUE"""),"")</f>
        <v/>
      </c>
      <c r="J1662" s="4" t="str">
        <f>IFERROR(__xludf.DUMMYFUNCTION("""COMPUTED_VALUE"""),"")</f>
        <v/>
      </c>
      <c r="K1662" s="4" t="str">
        <f>IFERROR(__xludf.DUMMYFUNCTION("""COMPUTED_VALUE"""),"")</f>
        <v/>
      </c>
      <c r="L1662" s="4" t="str">
        <f>IFERROR(__xludf.DUMMYFUNCTION("""COMPUTED_VALUE"""),"")</f>
        <v/>
      </c>
      <c r="M1662" s="4" t="str">
        <f>IFERROR(__xludf.DUMMYFUNCTION("""COMPUTED_VALUE"""),"")</f>
        <v/>
      </c>
      <c r="N1662" s="4" t="str">
        <f>IFERROR(__xludf.DUMMYFUNCTION("""COMPUTED_VALUE"""),"")</f>
        <v/>
      </c>
      <c r="O1662" s="4" t="str">
        <f>IFERROR(__xludf.DUMMYFUNCTION("""COMPUTED_VALUE"""),"")</f>
        <v/>
      </c>
      <c r="P1662" s="4" t="str">
        <f>IFERROR(__xludf.DUMMYFUNCTION("""COMPUTED_VALUE"""),"")</f>
        <v/>
      </c>
      <c r="Q1662" s="4" t="str">
        <f>IFERROR(__xludf.DUMMYFUNCTION("""COMPUTED_VALUE"""),"")</f>
        <v/>
      </c>
      <c r="R1662" s="4" t="str">
        <f>IFERROR(__xludf.DUMMYFUNCTION("""COMPUTED_VALUE"""),"")</f>
        <v/>
      </c>
      <c r="S1662" s="4" t="str">
        <f>IFERROR(__xludf.DUMMYFUNCTION("""COMPUTED_VALUE"""),"")</f>
        <v/>
      </c>
      <c r="T1662" s="4" t="str">
        <f>IFERROR(__xludf.DUMMYFUNCTION("""COMPUTED_VALUE"""),"")</f>
        <v/>
      </c>
      <c r="U1662" s="4" t="str">
        <f>IFERROR(__xludf.DUMMYFUNCTION("""COMPUTED_VALUE"""),"")</f>
        <v/>
      </c>
      <c r="V1662" s="4" t="str">
        <f>IFERROR(__xludf.DUMMYFUNCTION("""COMPUTED_VALUE"""),"")</f>
        <v/>
      </c>
      <c r="W1662" s="4" t="str">
        <f>IFERROR(__xludf.DUMMYFUNCTION("""COMPUTED_VALUE"""),"")</f>
        <v/>
      </c>
      <c r="X1662" s="4" t="str">
        <f>IFERROR(__xludf.DUMMYFUNCTION("""COMPUTED_VALUE"""),"")</f>
        <v/>
      </c>
      <c r="Y1662" s="4" t="str">
        <f>IFERROR(__xludf.DUMMYFUNCTION("""COMPUTED_VALUE"""),"")</f>
        <v/>
      </c>
    </row>
    <row r="1663">
      <c r="A1663" s="4" t="str">
        <f>IFERROR(__xludf.DUMMYFUNCTION("""COMPUTED_VALUE"""),"2214 - Channel")</f>
        <v>2214 - Channel</v>
      </c>
      <c r="B1663" s="4" t="str">
        <f>IFERROR(__xludf.DUMMYFUNCTION("""COMPUTED_VALUE"""),"")</f>
        <v/>
      </c>
      <c r="C1663" s="4" t="str">
        <f>IFERROR(__xludf.DUMMYFUNCTION("""COMPUTED_VALUE"""),"")</f>
        <v/>
      </c>
      <c r="D1663" s="4" t="str">
        <f>IFERROR(__xludf.DUMMYFUNCTION("""COMPUTED_VALUE"""),"")</f>
        <v/>
      </c>
      <c r="E1663" s="4" t="str">
        <f>IFERROR(__xludf.DUMMYFUNCTION("""COMPUTED_VALUE"""),"")</f>
        <v/>
      </c>
      <c r="F1663" s="4" t="str">
        <f>IFERROR(__xludf.DUMMYFUNCTION("""COMPUTED_VALUE"""),"")</f>
        <v/>
      </c>
      <c r="G1663" s="4" t="str">
        <f>IFERROR(__xludf.DUMMYFUNCTION("""COMPUTED_VALUE"""),"")</f>
        <v/>
      </c>
      <c r="H1663" s="4" t="str">
        <f>IFERROR(__xludf.DUMMYFUNCTION("""COMPUTED_VALUE"""),"")</f>
        <v/>
      </c>
      <c r="I1663" s="4" t="str">
        <f>IFERROR(__xludf.DUMMYFUNCTION("""COMPUTED_VALUE"""),"")</f>
        <v/>
      </c>
      <c r="J1663" s="4" t="str">
        <f>IFERROR(__xludf.DUMMYFUNCTION("""COMPUTED_VALUE"""),"")</f>
        <v/>
      </c>
      <c r="K1663" s="4" t="str">
        <f>IFERROR(__xludf.DUMMYFUNCTION("""COMPUTED_VALUE"""),"")</f>
        <v/>
      </c>
      <c r="L1663" s="4" t="str">
        <f>IFERROR(__xludf.DUMMYFUNCTION("""COMPUTED_VALUE"""),"")</f>
        <v/>
      </c>
      <c r="M1663" s="4" t="str">
        <f>IFERROR(__xludf.DUMMYFUNCTION("""COMPUTED_VALUE"""),"")</f>
        <v/>
      </c>
      <c r="N1663" s="4" t="str">
        <f>IFERROR(__xludf.DUMMYFUNCTION("""COMPUTED_VALUE"""),"")</f>
        <v/>
      </c>
      <c r="O1663" s="4" t="str">
        <f>IFERROR(__xludf.DUMMYFUNCTION("""COMPUTED_VALUE"""),"")</f>
        <v/>
      </c>
      <c r="P1663" s="4" t="str">
        <f>IFERROR(__xludf.DUMMYFUNCTION("""COMPUTED_VALUE"""),"")</f>
        <v/>
      </c>
      <c r="Q1663" s="4" t="str">
        <f>IFERROR(__xludf.DUMMYFUNCTION("""COMPUTED_VALUE"""),"")</f>
        <v/>
      </c>
      <c r="R1663" s="4" t="str">
        <f>IFERROR(__xludf.DUMMYFUNCTION("""COMPUTED_VALUE"""),"")</f>
        <v/>
      </c>
      <c r="S1663" s="4" t="str">
        <f>IFERROR(__xludf.DUMMYFUNCTION("""COMPUTED_VALUE"""),"")</f>
        <v/>
      </c>
      <c r="T1663" s="4" t="str">
        <f>IFERROR(__xludf.DUMMYFUNCTION("""COMPUTED_VALUE"""),"")</f>
        <v/>
      </c>
      <c r="U1663" s="4" t="str">
        <f>IFERROR(__xludf.DUMMYFUNCTION("""COMPUTED_VALUE"""),"")</f>
        <v/>
      </c>
      <c r="V1663" s="4" t="str">
        <f>IFERROR(__xludf.DUMMYFUNCTION("""COMPUTED_VALUE"""),"")</f>
        <v/>
      </c>
      <c r="W1663" s="4" t="str">
        <f>IFERROR(__xludf.DUMMYFUNCTION("""COMPUTED_VALUE"""),"")</f>
        <v/>
      </c>
      <c r="X1663" s="4" t="str">
        <f>IFERROR(__xludf.DUMMYFUNCTION("""COMPUTED_VALUE"""),"")</f>
        <v/>
      </c>
      <c r="Y1663" s="4" t="str">
        <f>IFERROR(__xludf.DUMMYFUNCTION("""COMPUTED_VALUE"""),"")</f>
        <v/>
      </c>
    </row>
    <row r="1664">
      <c r="A1664" s="4" t="str">
        <f>IFERROR(__xludf.DUMMYFUNCTION("""COMPUTED_VALUE"""),"2215 - Channel")</f>
        <v>2215 - Channel</v>
      </c>
      <c r="B1664" s="4" t="str">
        <f>IFERROR(__xludf.DUMMYFUNCTION("""COMPUTED_VALUE"""),"")</f>
        <v/>
      </c>
      <c r="C1664" s="4" t="str">
        <f>IFERROR(__xludf.DUMMYFUNCTION("""COMPUTED_VALUE"""),"")</f>
        <v/>
      </c>
      <c r="D1664" s="4" t="str">
        <f>IFERROR(__xludf.DUMMYFUNCTION("""COMPUTED_VALUE"""),"")</f>
        <v/>
      </c>
      <c r="E1664" s="4" t="str">
        <f>IFERROR(__xludf.DUMMYFUNCTION("""COMPUTED_VALUE"""),"")</f>
        <v/>
      </c>
      <c r="F1664" s="4" t="str">
        <f>IFERROR(__xludf.DUMMYFUNCTION("""COMPUTED_VALUE"""),"")</f>
        <v/>
      </c>
      <c r="G1664" s="4" t="str">
        <f>IFERROR(__xludf.DUMMYFUNCTION("""COMPUTED_VALUE"""),"")</f>
        <v/>
      </c>
      <c r="H1664" s="4" t="str">
        <f>IFERROR(__xludf.DUMMYFUNCTION("""COMPUTED_VALUE"""),"")</f>
        <v/>
      </c>
      <c r="I1664" s="4" t="str">
        <f>IFERROR(__xludf.DUMMYFUNCTION("""COMPUTED_VALUE"""),"")</f>
        <v/>
      </c>
      <c r="J1664" s="4" t="str">
        <f>IFERROR(__xludf.DUMMYFUNCTION("""COMPUTED_VALUE"""),"")</f>
        <v/>
      </c>
      <c r="K1664" s="4" t="str">
        <f>IFERROR(__xludf.DUMMYFUNCTION("""COMPUTED_VALUE"""),"")</f>
        <v/>
      </c>
      <c r="L1664" s="4" t="str">
        <f>IFERROR(__xludf.DUMMYFUNCTION("""COMPUTED_VALUE"""),"")</f>
        <v/>
      </c>
      <c r="M1664" s="4" t="str">
        <f>IFERROR(__xludf.DUMMYFUNCTION("""COMPUTED_VALUE"""),"")</f>
        <v/>
      </c>
      <c r="N1664" s="4" t="str">
        <f>IFERROR(__xludf.DUMMYFUNCTION("""COMPUTED_VALUE"""),"")</f>
        <v/>
      </c>
      <c r="O1664" s="4" t="str">
        <f>IFERROR(__xludf.DUMMYFUNCTION("""COMPUTED_VALUE"""),"")</f>
        <v/>
      </c>
      <c r="P1664" s="4" t="str">
        <f>IFERROR(__xludf.DUMMYFUNCTION("""COMPUTED_VALUE"""),"")</f>
        <v/>
      </c>
      <c r="Q1664" s="4" t="str">
        <f>IFERROR(__xludf.DUMMYFUNCTION("""COMPUTED_VALUE"""),"")</f>
        <v/>
      </c>
      <c r="R1664" s="4" t="str">
        <f>IFERROR(__xludf.DUMMYFUNCTION("""COMPUTED_VALUE"""),"")</f>
        <v/>
      </c>
      <c r="S1664" s="4" t="str">
        <f>IFERROR(__xludf.DUMMYFUNCTION("""COMPUTED_VALUE"""),"")</f>
        <v/>
      </c>
      <c r="T1664" s="4" t="str">
        <f>IFERROR(__xludf.DUMMYFUNCTION("""COMPUTED_VALUE"""),"")</f>
        <v/>
      </c>
      <c r="U1664" s="4" t="str">
        <f>IFERROR(__xludf.DUMMYFUNCTION("""COMPUTED_VALUE"""),"")</f>
        <v/>
      </c>
      <c r="V1664" s="4" t="str">
        <f>IFERROR(__xludf.DUMMYFUNCTION("""COMPUTED_VALUE"""),"")</f>
        <v/>
      </c>
      <c r="W1664" s="4" t="str">
        <f>IFERROR(__xludf.DUMMYFUNCTION("""COMPUTED_VALUE"""),"")</f>
        <v/>
      </c>
      <c r="X1664" s="4" t="str">
        <f>IFERROR(__xludf.DUMMYFUNCTION("""COMPUTED_VALUE"""),"")</f>
        <v/>
      </c>
      <c r="Y1664" s="4" t="str">
        <f>IFERROR(__xludf.DUMMYFUNCTION("""COMPUTED_VALUE"""),"")</f>
        <v/>
      </c>
    </row>
    <row r="1665">
      <c r="A1665" s="4" t="str">
        <f>IFERROR(__xludf.DUMMYFUNCTION("""COMPUTED_VALUE"""),"2216 - Channel")</f>
        <v>2216 - Channel</v>
      </c>
      <c r="B1665" s="4" t="str">
        <f>IFERROR(__xludf.DUMMYFUNCTION("""COMPUTED_VALUE"""),"")</f>
        <v/>
      </c>
      <c r="C1665" s="4" t="str">
        <f>IFERROR(__xludf.DUMMYFUNCTION("""COMPUTED_VALUE"""),"")</f>
        <v/>
      </c>
      <c r="D1665" s="4" t="str">
        <f>IFERROR(__xludf.DUMMYFUNCTION("""COMPUTED_VALUE"""),"")</f>
        <v/>
      </c>
      <c r="E1665" s="4" t="str">
        <f>IFERROR(__xludf.DUMMYFUNCTION("""COMPUTED_VALUE"""),"")</f>
        <v/>
      </c>
      <c r="F1665" s="4" t="str">
        <f>IFERROR(__xludf.DUMMYFUNCTION("""COMPUTED_VALUE"""),"")</f>
        <v/>
      </c>
      <c r="G1665" s="4" t="str">
        <f>IFERROR(__xludf.DUMMYFUNCTION("""COMPUTED_VALUE"""),"")</f>
        <v/>
      </c>
      <c r="H1665" s="4" t="str">
        <f>IFERROR(__xludf.DUMMYFUNCTION("""COMPUTED_VALUE"""),"")</f>
        <v/>
      </c>
      <c r="I1665" s="4" t="str">
        <f>IFERROR(__xludf.DUMMYFUNCTION("""COMPUTED_VALUE"""),"")</f>
        <v/>
      </c>
      <c r="J1665" s="4" t="str">
        <f>IFERROR(__xludf.DUMMYFUNCTION("""COMPUTED_VALUE"""),"")</f>
        <v/>
      </c>
      <c r="K1665" s="4" t="str">
        <f>IFERROR(__xludf.DUMMYFUNCTION("""COMPUTED_VALUE"""),"")</f>
        <v/>
      </c>
      <c r="L1665" s="4" t="str">
        <f>IFERROR(__xludf.DUMMYFUNCTION("""COMPUTED_VALUE"""),"")</f>
        <v/>
      </c>
      <c r="M1665" s="4" t="str">
        <f>IFERROR(__xludf.DUMMYFUNCTION("""COMPUTED_VALUE"""),"")</f>
        <v/>
      </c>
      <c r="N1665" s="4" t="str">
        <f>IFERROR(__xludf.DUMMYFUNCTION("""COMPUTED_VALUE"""),"")</f>
        <v/>
      </c>
      <c r="O1665" s="4" t="str">
        <f>IFERROR(__xludf.DUMMYFUNCTION("""COMPUTED_VALUE"""),"")</f>
        <v/>
      </c>
      <c r="P1665" s="4" t="str">
        <f>IFERROR(__xludf.DUMMYFUNCTION("""COMPUTED_VALUE"""),"")</f>
        <v/>
      </c>
      <c r="Q1665" s="4" t="str">
        <f>IFERROR(__xludf.DUMMYFUNCTION("""COMPUTED_VALUE"""),"")</f>
        <v/>
      </c>
      <c r="R1665" s="4" t="str">
        <f>IFERROR(__xludf.DUMMYFUNCTION("""COMPUTED_VALUE"""),"")</f>
        <v/>
      </c>
      <c r="S1665" s="4" t="str">
        <f>IFERROR(__xludf.DUMMYFUNCTION("""COMPUTED_VALUE"""),"")</f>
        <v/>
      </c>
      <c r="T1665" s="4" t="str">
        <f>IFERROR(__xludf.DUMMYFUNCTION("""COMPUTED_VALUE"""),"")</f>
        <v/>
      </c>
      <c r="U1665" s="4" t="str">
        <f>IFERROR(__xludf.DUMMYFUNCTION("""COMPUTED_VALUE"""),"")</f>
        <v/>
      </c>
      <c r="V1665" s="4" t="str">
        <f>IFERROR(__xludf.DUMMYFUNCTION("""COMPUTED_VALUE"""),"")</f>
        <v/>
      </c>
      <c r="W1665" s="4" t="str">
        <f>IFERROR(__xludf.DUMMYFUNCTION("""COMPUTED_VALUE"""),"")</f>
        <v/>
      </c>
      <c r="X1665" s="4" t="str">
        <f>IFERROR(__xludf.DUMMYFUNCTION("""COMPUTED_VALUE"""),"")</f>
        <v/>
      </c>
      <c r="Y1665" s="4" t="str">
        <f>IFERROR(__xludf.DUMMYFUNCTION("""COMPUTED_VALUE"""),"")</f>
        <v/>
      </c>
    </row>
    <row r="1666">
      <c r="A1666" s="4" t="str">
        <f>IFERROR(__xludf.DUMMYFUNCTION("""COMPUTED_VALUE"""),"2217 - Channel")</f>
        <v>2217 - Channel</v>
      </c>
      <c r="B1666" s="4" t="str">
        <f>IFERROR(__xludf.DUMMYFUNCTION("""COMPUTED_VALUE"""),"")</f>
        <v/>
      </c>
      <c r="C1666" s="4" t="str">
        <f>IFERROR(__xludf.DUMMYFUNCTION("""COMPUTED_VALUE"""),"")</f>
        <v/>
      </c>
      <c r="D1666" s="4" t="str">
        <f>IFERROR(__xludf.DUMMYFUNCTION("""COMPUTED_VALUE"""),"")</f>
        <v/>
      </c>
      <c r="E1666" s="4" t="str">
        <f>IFERROR(__xludf.DUMMYFUNCTION("""COMPUTED_VALUE"""),"")</f>
        <v/>
      </c>
      <c r="F1666" s="4" t="str">
        <f>IFERROR(__xludf.DUMMYFUNCTION("""COMPUTED_VALUE"""),"")</f>
        <v/>
      </c>
      <c r="G1666" s="4" t="str">
        <f>IFERROR(__xludf.DUMMYFUNCTION("""COMPUTED_VALUE"""),"")</f>
        <v/>
      </c>
      <c r="H1666" s="4" t="str">
        <f>IFERROR(__xludf.DUMMYFUNCTION("""COMPUTED_VALUE"""),"")</f>
        <v/>
      </c>
      <c r="I1666" s="4" t="str">
        <f>IFERROR(__xludf.DUMMYFUNCTION("""COMPUTED_VALUE"""),"")</f>
        <v/>
      </c>
      <c r="J1666" s="4" t="str">
        <f>IFERROR(__xludf.DUMMYFUNCTION("""COMPUTED_VALUE"""),"")</f>
        <v/>
      </c>
      <c r="K1666" s="4" t="str">
        <f>IFERROR(__xludf.DUMMYFUNCTION("""COMPUTED_VALUE"""),"")</f>
        <v/>
      </c>
      <c r="L1666" s="4" t="str">
        <f>IFERROR(__xludf.DUMMYFUNCTION("""COMPUTED_VALUE"""),"")</f>
        <v/>
      </c>
      <c r="M1666" s="4" t="str">
        <f>IFERROR(__xludf.DUMMYFUNCTION("""COMPUTED_VALUE"""),"")</f>
        <v/>
      </c>
      <c r="N1666" s="4" t="str">
        <f>IFERROR(__xludf.DUMMYFUNCTION("""COMPUTED_VALUE"""),"")</f>
        <v/>
      </c>
      <c r="O1666" s="4" t="str">
        <f>IFERROR(__xludf.DUMMYFUNCTION("""COMPUTED_VALUE"""),"")</f>
        <v/>
      </c>
      <c r="P1666" s="4" t="str">
        <f>IFERROR(__xludf.DUMMYFUNCTION("""COMPUTED_VALUE"""),"")</f>
        <v/>
      </c>
      <c r="Q1666" s="4" t="str">
        <f>IFERROR(__xludf.DUMMYFUNCTION("""COMPUTED_VALUE"""),"")</f>
        <v/>
      </c>
      <c r="R1666" s="4" t="str">
        <f>IFERROR(__xludf.DUMMYFUNCTION("""COMPUTED_VALUE"""),"")</f>
        <v/>
      </c>
      <c r="S1666" s="4" t="str">
        <f>IFERROR(__xludf.DUMMYFUNCTION("""COMPUTED_VALUE"""),"")</f>
        <v/>
      </c>
      <c r="T1666" s="4" t="str">
        <f>IFERROR(__xludf.DUMMYFUNCTION("""COMPUTED_VALUE"""),"")</f>
        <v/>
      </c>
      <c r="U1666" s="4" t="str">
        <f>IFERROR(__xludf.DUMMYFUNCTION("""COMPUTED_VALUE"""),"")</f>
        <v/>
      </c>
      <c r="V1666" s="4" t="str">
        <f>IFERROR(__xludf.DUMMYFUNCTION("""COMPUTED_VALUE"""),"")</f>
        <v/>
      </c>
      <c r="W1666" s="4" t="str">
        <f>IFERROR(__xludf.DUMMYFUNCTION("""COMPUTED_VALUE"""),"")</f>
        <v/>
      </c>
      <c r="X1666" s="4" t="str">
        <f>IFERROR(__xludf.DUMMYFUNCTION("""COMPUTED_VALUE"""),"")</f>
        <v/>
      </c>
      <c r="Y1666" s="4" t="str">
        <f>IFERROR(__xludf.DUMMYFUNCTION("""COMPUTED_VALUE"""),"")</f>
        <v/>
      </c>
    </row>
    <row r="1667">
      <c r="A1667" s="4" t="str">
        <f>IFERROR(__xludf.DUMMYFUNCTION("""COMPUTED_VALUE"""),"2218 - Channel")</f>
        <v>2218 - Channel</v>
      </c>
      <c r="B1667" s="4" t="str">
        <f>IFERROR(__xludf.DUMMYFUNCTION("""COMPUTED_VALUE"""),"")</f>
        <v/>
      </c>
      <c r="C1667" s="4" t="str">
        <f>IFERROR(__xludf.DUMMYFUNCTION("""COMPUTED_VALUE"""),"")</f>
        <v/>
      </c>
      <c r="D1667" s="4" t="str">
        <f>IFERROR(__xludf.DUMMYFUNCTION("""COMPUTED_VALUE"""),"")</f>
        <v/>
      </c>
      <c r="E1667" s="4" t="str">
        <f>IFERROR(__xludf.DUMMYFUNCTION("""COMPUTED_VALUE"""),"")</f>
        <v/>
      </c>
      <c r="F1667" s="4" t="str">
        <f>IFERROR(__xludf.DUMMYFUNCTION("""COMPUTED_VALUE"""),"")</f>
        <v/>
      </c>
      <c r="G1667" s="4" t="str">
        <f>IFERROR(__xludf.DUMMYFUNCTION("""COMPUTED_VALUE"""),"")</f>
        <v/>
      </c>
      <c r="H1667" s="4" t="str">
        <f>IFERROR(__xludf.DUMMYFUNCTION("""COMPUTED_VALUE"""),"")</f>
        <v/>
      </c>
      <c r="I1667" s="4" t="str">
        <f>IFERROR(__xludf.DUMMYFUNCTION("""COMPUTED_VALUE"""),"")</f>
        <v/>
      </c>
      <c r="J1667" s="4" t="str">
        <f>IFERROR(__xludf.DUMMYFUNCTION("""COMPUTED_VALUE"""),"")</f>
        <v/>
      </c>
      <c r="K1667" s="4" t="str">
        <f>IFERROR(__xludf.DUMMYFUNCTION("""COMPUTED_VALUE"""),"")</f>
        <v/>
      </c>
      <c r="L1667" s="4" t="str">
        <f>IFERROR(__xludf.DUMMYFUNCTION("""COMPUTED_VALUE"""),"")</f>
        <v/>
      </c>
      <c r="M1667" s="4" t="str">
        <f>IFERROR(__xludf.DUMMYFUNCTION("""COMPUTED_VALUE"""),"")</f>
        <v/>
      </c>
      <c r="N1667" s="4" t="str">
        <f>IFERROR(__xludf.DUMMYFUNCTION("""COMPUTED_VALUE"""),"")</f>
        <v/>
      </c>
      <c r="O1667" s="4" t="str">
        <f>IFERROR(__xludf.DUMMYFUNCTION("""COMPUTED_VALUE"""),"")</f>
        <v/>
      </c>
      <c r="P1667" s="4" t="str">
        <f>IFERROR(__xludf.DUMMYFUNCTION("""COMPUTED_VALUE"""),"")</f>
        <v/>
      </c>
      <c r="Q1667" s="4" t="str">
        <f>IFERROR(__xludf.DUMMYFUNCTION("""COMPUTED_VALUE"""),"")</f>
        <v/>
      </c>
      <c r="R1667" s="4" t="str">
        <f>IFERROR(__xludf.DUMMYFUNCTION("""COMPUTED_VALUE"""),"")</f>
        <v/>
      </c>
      <c r="S1667" s="4" t="str">
        <f>IFERROR(__xludf.DUMMYFUNCTION("""COMPUTED_VALUE"""),"")</f>
        <v/>
      </c>
      <c r="T1667" s="4" t="str">
        <f>IFERROR(__xludf.DUMMYFUNCTION("""COMPUTED_VALUE"""),"")</f>
        <v/>
      </c>
      <c r="U1667" s="4" t="str">
        <f>IFERROR(__xludf.DUMMYFUNCTION("""COMPUTED_VALUE"""),"")</f>
        <v/>
      </c>
      <c r="V1667" s="4" t="str">
        <f>IFERROR(__xludf.DUMMYFUNCTION("""COMPUTED_VALUE"""),"")</f>
        <v/>
      </c>
      <c r="W1667" s="4" t="str">
        <f>IFERROR(__xludf.DUMMYFUNCTION("""COMPUTED_VALUE"""),"")</f>
        <v/>
      </c>
      <c r="X1667" s="4" t="str">
        <f>IFERROR(__xludf.DUMMYFUNCTION("""COMPUTED_VALUE"""),"")</f>
        <v/>
      </c>
      <c r="Y1667" s="4" t="str">
        <f>IFERROR(__xludf.DUMMYFUNCTION("""COMPUTED_VALUE"""),"")</f>
        <v/>
      </c>
    </row>
    <row r="1668">
      <c r="A1668" s="4" t="str">
        <f>IFERROR(__xludf.DUMMYFUNCTION("""COMPUTED_VALUE"""),"2219 - Channel")</f>
        <v>2219 - Channel</v>
      </c>
      <c r="B1668" s="4" t="str">
        <f>IFERROR(__xludf.DUMMYFUNCTION("""COMPUTED_VALUE"""),"")</f>
        <v/>
      </c>
      <c r="C1668" s="4" t="str">
        <f>IFERROR(__xludf.DUMMYFUNCTION("""COMPUTED_VALUE"""),"")</f>
        <v/>
      </c>
      <c r="D1668" s="4" t="str">
        <f>IFERROR(__xludf.DUMMYFUNCTION("""COMPUTED_VALUE"""),"")</f>
        <v/>
      </c>
      <c r="E1668" s="4" t="str">
        <f>IFERROR(__xludf.DUMMYFUNCTION("""COMPUTED_VALUE"""),"")</f>
        <v/>
      </c>
      <c r="F1668" s="4" t="str">
        <f>IFERROR(__xludf.DUMMYFUNCTION("""COMPUTED_VALUE"""),"")</f>
        <v/>
      </c>
      <c r="G1668" s="4" t="str">
        <f>IFERROR(__xludf.DUMMYFUNCTION("""COMPUTED_VALUE"""),"")</f>
        <v/>
      </c>
      <c r="H1668" s="4" t="str">
        <f>IFERROR(__xludf.DUMMYFUNCTION("""COMPUTED_VALUE"""),"")</f>
        <v/>
      </c>
      <c r="I1668" s="4" t="str">
        <f>IFERROR(__xludf.DUMMYFUNCTION("""COMPUTED_VALUE"""),"")</f>
        <v/>
      </c>
      <c r="J1668" s="4" t="str">
        <f>IFERROR(__xludf.DUMMYFUNCTION("""COMPUTED_VALUE"""),"")</f>
        <v/>
      </c>
      <c r="K1668" s="4" t="str">
        <f>IFERROR(__xludf.DUMMYFUNCTION("""COMPUTED_VALUE"""),"")</f>
        <v/>
      </c>
      <c r="L1668" s="4" t="str">
        <f>IFERROR(__xludf.DUMMYFUNCTION("""COMPUTED_VALUE"""),"")</f>
        <v/>
      </c>
      <c r="M1668" s="4" t="str">
        <f>IFERROR(__xludf.DUMMYFUNCTION("""COMPUTED_VALUE"""),"")</f>
        <v/>
      </c>
      <c r="N1668" s="4" t="str">
        <f>IFERROR(__xludf.DUMMYFUNCTION("""COMPUTED_VALUE"""),"")</f>
        <v/>
      </c>
      <c r="O1668" s="4" t="str">
        <f>IFERROR(__xludf.DUMMYFUNCTION("""COMPUTED_VALUE"""),"")</f>
        <v/>
      </c>
      <c r="P1668" s="4" t="str">
        <f>IFERROR(__xludf.DUMMYFUNCTION("""COMPUTED_VALUE"""),"")</f>
        <v/>
      </c>
      <c r="Q1668" s="4" t="str">
        <f>IFERROR(__xludf.DUMMYFUNCTION("""COMPUTED_VALUE"""),"")</f>
        <v/>
      </c>
      <c r="R1668" s="4" t="str">
        <f>IFERROR(__xludf.DUMMYFUNCTION("""COMPUTED_VALUE"""),"")</f>
        <v/>
      </c>
      <c r="S1668" s="4" t="str">
        <f>IFERROR(__xludf.DUMMYFUNCTION("""COMPUTED_VALUE"""),"")</f>
        <v/>
      </c>
      <c r="T1668" s="4" t="str">
        <f>IFERROR(__xludf.DUMMYFUNCTION("""COMPUTED_VALUE"""),"")</f>
        <v/>
      </c>
      <c r="U1668" s="4" t="str">
        <f>IFERROR(__xludf.DUMMYFUNCTION("""COMPUTED_VALUE"""),"")</f>
        <v/>
      </c>
      <c r="V1668" s="4" t="str">
        <f>IFERROR(__xludf.DUMMYFUNCTION("""COMPUTED_VALUE"""),"")</f>
        <v/>
      </c>
      <c r="W1668" s="4" t="str">
        <f>IFERROR(__xludf.DUMMYFUNCTION("""COMPUTED_VALUE"""),"")</f>
        <v/>
      </c>
      <c r="X1668" s="4" t="str">
        <f>IFERROR(__xludf.DUMMYFUNCTION("""COMPUTED_VALUE"""),"")</f>
        <v/>
      </c>
      <c r="Y1668" s="4" t="str">
        <f>IFERROR(__xludf.DUMMYFUNCTION("""COMPUTED_VALUE"""),"")</f>
        <v/>
      </c>
    </row>
    <row r="1669">
      <c r="A1669" s="4" t="str">
        <f>IFERROR(__xludf.DUMMYFUNCTION("""COMPUTED_VALUE"""),"2220 - Channel")</f>
        <v>2220 - Channel</v>
      </c>
      <c r="B1669" s="4" t="str">
        <f>IFERROR(__xludf.DUMMYFUNCTION("""COMPUTED_VALUE"""),"")</f>
        <v/>
      </c>
      <c r="C1669" s="4" t="str">
        <f>IFERROR(__xludf.DUMMYFUNCTION("""COMPUTED_VALUE"""),"")</f>
        <v/>
      </c>
      <c r="D1669" s="4" t="str">
        <f>IFERROR(__xludf.DUMMYFUNCTION("""COMPUTED_VALUE"""),"")</f>
        <v/>
      </c>
      <c r="E1669" s="4" t="str">
        <f>IFERROR(__xludf.DUMMYFUNCTION("""COMPUTED_VALUE"""),"")</f>
        <v/>
      </c>
      <c r="F1669" s="4" t="str">
        <f>IFERROR(__xludf.DUMMYFUNCTION("""COMPUTED_VALUE"""),"")</f>
        <v/>
      </c>
      <c r="G1669" s="4" t="str">
        <f>IFERROR(__xludf.DUMMYFUNCTION("""COMPUTED_VALUE"""),"")</f>
        <v/>
      </c>
      <c r="H1669" s="4" t="str">
        <f>IFERROR(__xludf.DUMMYFUNCTION("""COMPUTED_VALUE"""),"")</f>
        <v/>
      </c>
      <c r="I1669" s="4" t="str">
        <f>IFERROR(__xludf.DUMMYFUNCTION("""COMPUTED_VALUE"""),"")</f>
        <v/>
      </c>
      <c r="J1669" s="4" t="str">
        <f>IFERROR(__xludf.DUMMYFUNCTION("""COMPUTED_VALUE"""),"")</f>
        <v/>
      </c>
      <c r="K1669" s="4" t="str">
        <f>IFERROR(__xludf.DUMMYFUNCTION("""COMPUTED_VALUE"""),"")</f>
        <v/>
      </c>
      <c r="L1669" s="4" t="str">
        <f>IFERROR(__xludf.DUMMYFUNCTION("""COMPUTED_VALUE"""),"")</f>
        <v/>
      </c>
      <c r="M1669" s="4" t="str">
        <f>IFERROR(__xludf.DUMMYFUNCTION("""COMPUTED_VALUE"""),"")</f>
        <v/>
      </c>
      <c r="N1669" s="4" t="str">
        <f>IFERROR(__xludf.DUMMYFUNCTION("""COMPUTED_VALUE"""),"")</f>
        <v/>
      </c>
      <c r="O1669" s="4" t="str">
        <f>IFERROR(__xludf.DUMMYFUNCTION("""COMPUTED_VALUE"""),"")</f>
        <v/>
      </c>
      <c r="P1669" s="4" t="str">
        <f>IFERROR(__xludf.DUMMYFUNCTION("""COMPUTED_VALUE"""),"")</f>
        <v/>
      </c>
      <c r="Q1669" s="4" t="str">
        <f>IFERROR(__xludf.DUMMYFUNCTION("""COMPUTED_VALUE"""),"")</f>
        <v/>
      </c>
      <c r="R1669" s="4" t="str">
        <f>IFERROR(__xludf.DUMMYFUNCTION("""COMPUTED_VALUE"""),"")</f>
        <v/>
      </c>
      <c r="S1669" s="4" t="str">
        <f>IFERROR(__xludf.DUMMYFUNCTION("""COMPUTED_VALUE"""),"")</f>
        <v/>
      </c>
      <c r="T1669" s="4" t="str">
        <f>IFERROR(__xludf.DUMMYFUNCTION("""COMPUTED_VALUE"""),"")</f>
        <v/>
      </c>
      <c r="U1669" s="4" t="str">
        <f>IFERROR(__xludf.DUMMYFUNCTION("""COMPUTED_VALUE"""),"")</f>
        <v/>
      </c>
      <c r="V1669" s="4" t="str">
        <f>IFERROR(__xludf.DUMMYFUNCTION("""COMPUTED_VALUE"""),"")</f>
        <v/>
      </c>
      <c r="W1669" s="4" t="str">
        <f>IFERROR(__xludf.DUMMYFUNCTION("""COMPUTED_VALUE"""),"")</f>
        <v/>
      </c>
      <c r="X1669" s="4" t="str">
        <f>IFERROR(__xludf.DUMMYFUNCTION("""COMPUTED_VALUE"""),"")</f>
        <v/>
      </c>
      <c r="Y1669" s="4" t="str">
        <f>IFERROR(__xludf.DUMMYFUNCTION("""COMPUTED_VALUE"""),"")</f>
        <v/>
      </c>
    </row>
    <row r="1670">
      <c r="A1670" s="4" t="str">
        <f>IFERROR(__xludf.DUMMYFUNCTION("""COMPUTED_VALUE"""),"2221 - Channel")</f>
        <v>2221 - Channel</v>
      </c>
      <c r="B1670" s="4" t="str">
        <f>IFERROR(__xludf.DUMMYFUNCTION("""COMPUTED_VALUE"""),"")</f>
        <v/>
      </c>
      <c r="C1670" s="4" t="str">
        <f>IFERROR(__xludf.DUMMYFUNCTION("""COMPUTED_VALUE"""),"")</f>
        <v/>
      </c>
      <c r="D1670" s="4" t="str">
        <f>IFERROR(__xludf.DUMMYFUNCTION("""COMPUTED_VALUE"""),"")</f>
        <v/>
      </c>
      <c r="E1670" s="4" t="str">
        <f>IFERROR(__xludf.DUMMYFUNCTION("""COMPUTED_VALUE"""),"")</f>
        <v/>
      </c>
      <c r="F1670" s="4" t="str">
        <f>IFERROR(__xludf.DUMMYFUNCTION("""COMPUTED_VALUE"""),"")</f>
        <v/>
      </c>
      <c r="G1670" s="4" t="str">
        <f>IFERROR(__xludf.DUMMYFUNCTION("""COMPUTED_VALUE"""),"")</f>
        <v/>
      </c>
      <c r="H1670" s="4" t="str">
        <f>IFERROR(__xludf.DUMMYFUNCTION("""COMPUTED_VALUE"""),"")</f>
        <v/>
      </c>
      <c r="I1670" s="4" t="str">
        <f>IFERROR(__xludf.DUMMYFUNCTION("""COMPUTED_VALUE"""),"")</f>
        <v/>
      </c>
      <c r="J1670" s="4" t="str">
        <f>IFERROR(__xludf.DUMMYFUNCTION("""COMPUTED_VALUE"""),"")</f>
        <v/>
      </c>
      <c r="K1670" s="4" t="str">
        <f>IFERROR(__xludf.DUMMYFUNCTION("""COMPUTED_VALUE"""),"")</f>
        <v/>
      </c>
      <c r="L1670" s="4" t="str">
        <f>IFERROR(__xludf.DUMMYFUNCTION("""COMPUTED_VALUE"""),"")</f>
        <v/>
      </c>
      <c r="M1670" s="4" t="str">
        <f>IFERROR(__xludf.DUMMYFUNCTION("""COMPUTED_VALUE"""),"")</f>
        <v/>
      </c>
      <c r="N1670" s="4" t="str">
        <f>IFERROR(__xludf.DUMMYFUNCTION("""COMPUTED_VALUE"""),"")</f>
        <v/>
      </c>
      <c r="O1670" s="4" t="str">
        <f>IFERROR(__xludf.DUMMYFUNCTION("""COMPUTED_VALUE"""),"")</f>
        <v/>
      </c>
      <c r="P1670" s="4" t="str">
        <f>IFERROR(__xludf.DUMMYFUNCTION("""COMPUTED_VALUE"""),"")</f>
        <v/>
      </c>
      <c r="Q1670" s="4" t="str">
        <f>IFERROR(__xludf.DUMMYFUNCTION("""COMPUTED_VALUE"""),"")</f>
        <v/>
      </c>
      <c r="R1670" s="4" t="str">
        <f>IFERROR(__xludf.DUMMYFUNCTION("""COMPUTED_VALUE"""),"")</f>
        <v/>
      </c>
      <c r="S1670" s="4" t="str">
        <f>IFERROR(__xludf.DUMMYFUNCTION("""COMPUTED_VALUE"""),"")</f>
        <v/>
      </c>
      <c r="T1670" s="4" t="str">
        <f>IFERROR(__xludf.DUMMYFUNCTION("""COMPUTED_VALUE"""),"")</f>
        <v/>
      </c>
      <c r="U1670" s="4" t="str">
        <f>IFERROR(__xludf.DUMMYFUNCTION("""COMPUTED_VALUE"""),"")</f>
        <v/>
      </c>
      <c r="V1670" s="4" t="str">
        <f>IFERROR(__xludf.DUMMYFUNCTION("""COMPUTED_VALUE"""),"")</f>
        <v/>
      </c>
      <c r="W1670" s="4" t="str">
        <f>IFERROR(__xludf.DUMMYFUNCTION("""COMPUTED_VALUE"""),"")</f>
        <v/>
      </c>
      <c r="X1670" s="4" t="str">
        <f>IFERROR(__xludf.DUMMYFUNCTION("""COMPUTED_VALUE"""),"")</f>
        <v/>
      </c>
      <c r="Y1670" s="4" t="str">
        <f>IFERROR(__xludf.DUMMYFUNCTION("""COMPUTED_VALUE"""),"")</f>
        <v/>
      </c>
    </row>
    <row r="1671">
      <c r="A1671" s="4" t="str">
        <f>IFERROR(__xludf.DUMMYFUNCTION("""COMPUTED_VALUE"""),"2222 - Channel")</f>
        <v>2222 - Channel</v>
      </c>
      <c r="B1671" s="4" t="str">
        <f>IFERROR(__xludf.DUMMYFUNCTION("""COMPUTED_VALUE"""),"")</f>
        <v/>
      </c>
      <c r="C1671" s="4" t="str">
        <f>IFERROR(__xludf.DUMMYFUNCTION("""COMPUTED_VALUE"""),"")</f>
        <v/>
      </c>
      <c r="D1671" s="4" t="str">
        <f>IFERROR(__xludf.DUMMYFUNCTION("""COMPUTED_VALUE"""),"")</f>
        <v/>
      </c>
      <c r="E1671" s="4" t="str">
        <f>IFERROR(__xludf.DUMMYFUNCTION("""COMPUTED_VALUE"""),"")</f>
        <v/>
      </c>
      <c r="F1671" s="4" t="str">
        <f>IFERROR(__xludf.DUMMYFUNCTION("""COMPUTED_VALUE"""),"")</f>
        <v/>
      </c>
      <c r="G1671" s="4" t="str">
        <f>IFERROR(__xludf.DUMMYFUNCTION("""COMPUTED_VALUE"""),"")</f>
        <v/>
      </c>
      <c r="H1671" s="4" t="str">
        <f>IFERROR(__xludf.DUMMYFUNCTION("""COMPUTED_VALUE"""),"")</f>
        <v/>
      </c>
      <c r="I1671" s="4" t="str">
        <f>IFERROR(__xludf.DUMMYFUNCTION("""COMPUTED_VALUE"""),"")</f>
        <v/>
      </c>
      <c r="J1671" s="4" t="str">
        <f>IFERROR(__xludf.DUMMYFUNCTION("""COMPUTED_VALUE"""),"")</f>
        <v/>
      </c>
      <c r="K1671" s="4" t="str">
        <f>IFERROR(__xludf.DUMMYFUNCTION("""COMPUTED_VALUE"""),"")</f>
        <v/>
      </c>
      <c r="L1671" s="4" t="str">
        <f>IFERROR(__xludf.DUMMYFUNCTION("""COMPUTED_VALUE"""),"")</f>
        <v/>
      </c>
      <c r="M1671" s="4" t="str">
        <f>IFERROR(__xludf.DUMMYFUNCTION("""COMPUTED_VALUE"""),"")</f>
        <v/>
      </c>
      <c r="N1671" s="4" t="str">
        <f>IFERROR(__xludf.DUMMYFUNCTION("""COMPUTED_VALUE"""),"")</f>
        <v/>
      </c>
      <c r="O1671" s="4" t="str">
        <f>IFERROR(__xludf.DUMMYFUNCTION("""COMPUTED_VALUE"""),"")</f>
        <v/>
      </c>
      <c r="P1671" s="4" t="str">
        <f>IFERROR(__xludf.DUMMYFUNCTION("""COMPUTED_VALUE"""),"")</f>
        <v/>
      </c>
      <c r="Q1671" s="4" t="str">
        <f>IFERROR(__xludf.DUMMYFUNCTION("""COMPUTED_VALUE"""),"")</f>
        <v/>
      </c>
      <c r="R1671" s="4" t="str">
        <f>IFERROR(__xludf.DUMMYFUNCTION("""COMPUTED_VALUE"""),"")</f>
        <v/>
      </c>
      <c r="S1671" s="4" t="str">
        <f>IFERROR(__xludf.DUMMYFUNCTION("""COMPUTED_VALUE"""),"")</f>
        <v/>
      </c>
      <c r="T1671" s="4" t="str">
        <f>IFERROR(__xludf.DUMMYFUNCTION("""COMPUTED_VALUE"""),"")</f>
        <v/>
      </c>
      <c r="U1671" s="4" t="str">
        <f>IFERROR(__xludf.DUMMYFUNCTION("""COMPUTED_VALUE"""),"")</f>
        <v/>
      </c>
      <c r="V1671" s="4" t="str">
        <f>IFERROR(__xludf.DUMMYFUNCTION("""COMPUTED_VALUE"""),"")</f>
        <v/>
      </c>
      <c r="W1671" s="4" t="str">
        <f>IFERROR(__xludf.DUMMYFUNCTION("""COMPUTED_VALUE"""),"")</f>
        <v/>
      </c>
      <c r="X1671" s="4" t="str">
        <f>IFERROR(__xludf.DUMMYFUNCTION("""COMPUTED_VALUE"""),"")</f>
        <v/>
      </c>
      <c r="Y1671" s="4" t="str">
        <f>IFERROR(__xludf.DUMMYFUNCTION("""COMPUTED_VALUE"""),"")</f>
        <v/>
      </c>
    </row>
    <row r="1672">
      <c r="A1672" s="4" t="str">
        <f>IFERROR(__xludf.DUMMYFUNCTION("""COMPUTED_VALUE"""),"2223 - Channel")</f>
        <v>2223 - Channel</v>
      </c>
      <c r="B1672" s="4" t="str">
        <f>IFERROR(__xludf.DUMMYFUNCTION("""COMPUTED_VALUE"""),"")</f>
        <v/>
      </c>
      <c r="C1672" s="4" t="str">
        <f>IFERROR(__xludf.DUMMYFUNCTION("""COMPUTED_VALUE"""),"")</f>
        <v/>
      </c>
      <c r="D1672" s="4" t="str">
        <f>IFERROR(__xludf.DUMMYFUNCTION("""COMPUTED_VALUE"""),"")</f>
        <v/>
      </c>
      <c r="E1672" s="4" t="str">
        <f>IFERROR(__xludf.DUMMYFUNCTION("""COMPUTED_VALUE"""),"")</f>
        <v/>
      </c>
      <c r="F1672" s="4" t="str">
        <f>IFERROR(__xludf.DUMMYFUNCTION("""COMPUTED_VALUE"""),"")</f>
        <v/>
      </c>
      <c r="G1672" s="4" t="str">
        <f>IFERROR(__xludf.DUMMYFUNCTION("""COMPUTED_VALUE"""),"")</f>
        <v/>
      </c>
      <c r="H1672" s="4" t="str">
        <f>IFERROR(__xludf.DUMMYFUNCTION("""COMPUTED_VALUE"""),"")</f>
        <v/>
      </c>
      <c r="I1672" s="4" t="str">
        <f>IFERROR(__xludf.DUMMYFUNCTION("""COMPUTED_VALUE"""),"")</f>
        <v/>
      </c>
      <c r="J1672" s="4" t="str">
        <f>IFERROR(__xludf.DUMMYFUNCTION("""COMPUTED_VALUE"""),"")</f>
        <v/>
      </c>
      <c r="K1672" s="4" t="str">
        <f>IFERROR(__xludf.DUMMYFUNCTION("""COMPUTED_VALUE"""),"")</f>
        <v/>
      </c>
      <c r="L1672" s="4" t="str">
        <f>IFERROR(__xludf.DUMMYFUNCTION("""COMPUTED_VALUE"""),"")</f>
        <v/>
      </c>
      <c r="M1672" s="4" t="str">
        <f>IFERROR(__xludf.DUMMYFUNCTION("""COMPUTED_VALUE"""),"")</f>
        <v/>
      </c>
      <c r="N1672" s="4" t="str">
        <f>IFERROR(__xludf.DUMMYFUNCTION("""COMPUTED_VALUE"""),"")</f>
        <v/>
      </c>
      <c r="O1672" s="4" t="str">
        <f>IFERROR(__xludf.DUMMYFUNCTION("""COMPUTED_VALUE"""),"")</f>
        <v/>
      </c>
      <c r="P1672" s="4" t="str">
        <f>IFERROR(__xludf.DUMMYFUNCTION("""COMPUTED_VALUE"""),"")</f>
        <v/>
      </c>
      <c r="Q1672" s="4" t="str">
        <f>IFERROR(__xludf.DUMMYFUNCTION("""COMPUTED_VALUE"""),"")</f>
        <v/>
      </c>
      <c r="R1672" s="4" t="str">
        <f>IFERROR(__xludf.DUMMYFUNCTION("""COMPUTED_VALUE"""),"")</f>
        <v/>
      </c>
      <c r="S1672" s="4" t="str">
        <f>IFERROR(__xludf.DUMMYFUNCTION("""COMPUTED_VALUE"""),"")</f>
        <v/>
      </c>
      <c r="T1672" s="4" t="str">
        <f>IFERROR(__xludf.DUMMYFUNCTION("""COMPUTED_VALUE"""),"")</f>
        <v/>
      </c>
      <c r="U1672" s="4" t="str">
        <f>IFERROR(__xludf.DUMMYFUNCTION("""COMPUTED_VALUE"""),"")</f>
        <v/>
      </c>
      <c r="V1672" s="4" t="str">
        <f>IFERROR(__xludf.DUMMYFUNCTION("""COMPUTED_VALUE"""),"")</f>
        <v/>
      </c>
      <c r="W1672" s="4" t="str">
        <f>IFERROR(__xludf.DUMMYFUNCTION("""COMPUTED_VALUE"""),"")</f>
        <v/>
      </c>
      <c r="X1672" s="4" t="str">
        <f>IFERROR(__xludf.DUMMYFUNCTION("""COMPUTED_VALUE"""),"")</f>
        <v/>
      </c>
      <c r="Y1672" s="4" t="str">
        <f>IFERROR(__xludf.DUMMYFUNCTION("""COMPUTED_VALUE"""),"")</f>
        <v/>
      </c>
    </row>
    <row r="1673">
      <c r="A1673" s="4" t="str">
        <f>IFERROR(__xludf.DUMMYFUNCTION("""COMPUTED_VALUE"""),"2224 - Channel")</f>
        <v>2224 - Channel</v>
      </c>
      <c r="B1673" s="4" t="str">
        <f>IFERROR(__xludf.DUMMYFUNCTION("""COMPUTED_VALUE"""),"")</f>
        <v/>
      </c>
      <c r="C1673" s="4" t="str">
        <f>IFERROR(__xludf.DUMMYFUNCTION("""COMPUTED_VALUE"""),"")</f>
        <v/>
      </c>
      <c r="D1673" s="4" t="str">
        <f>IFERROR(__xludf.DUMMYFUNCTION("""COMPUTED_VALUE"""),"")</f>
        <v/>
      </c>
      <c r="E1673" s="4" t="str">
        <f>IFERROR(__xludf.DUMMYFUNCTION("""COMPUTED_VALUE"""),"")</f>
        <v/>
      </c>
      <c r="F1673" s="4" t="str">
        <f>IFERROR(__xludf.DUMMYFUNCTION("""COMPUTED_VALUE"""),"")</f>
        <v/>
      </c>
      <c r="G1673" s="4" t="str">
        <f>IFERROR(__xludf.DUMMYFUNCTION("""COMPUTED_VALUE"""),"")</f>
        <v/>
      </c>
      <c r="H1673" s="4" t="str">
        <f>IFERROR(__xludf.DUMMYFUNCTION("""COMPUTED_VALUE"""),"")</f>
        <v/>
      </c>
      <c r="I1673" s="4" t="str">
        <f>IFERROR(__xludf.DUMMYFUNCTION("""COMPUTED_VALUE"""),"")</f>
        <v/>
      </c>
      <c r="J1673" s="4" t="str">
        <f>IFERROR(__xludf.DUMMYFUNCTION("""COMPUTED_VALUE"""),"")</f>
        <v/>
      </c>
      <c r="K1673" s="4" t="str">
        <f>IFERROR(__xludf.DUMMYFUNCTION("""COMPUTED_VALUE"""),"")</f>
        <v/>
      </c>
      <c r="L1673" s="4" t="str">
        <f>IFERROR(__xludf.DUMMYFUNCTION("""COMPUTED_VALUE"""),"")</f>
        <v/>
      </c>
      <c r="M1673" s="4" t="str">
        <f>IFERROR(__xludf.DUMMYFUNCTION("""COMPUTED_VALUE"""),"")</f>
        <v/>
      </c>
      <c r="N1673" s="4" t="str">
        <f>IFERROR(__xludf.DUMMYFUNCTION("""COMPUTED_VALUE"""),"")</f>
        <v/>
      </c>
      <c r="O1673" s="4" t="str">
        <f>IFERROR(__xludf.DUMMYFUNCTION("""COMPUTED_VALUE"""),"")</f>
        <v/>
      </c>
      <c r="P1673" s="4" t="str">
        <f>IFERROR(__xludf.DUMMYFUNCTION("""COMPUTED_VALUE"""),"")</f>
        <v/>
      </c>
      <c r="Q1673" s="4" t="str">
        <f>IFERROR(__xludf.DUMMYFUNCTION("""COMPUTED_VALUE"""),"")</f>
        <v/>
      </c>
      <c r="R1673" s="4" t="str">
        <f>IFERROR(__xludf.DUMMYFUNCTION("""COMPUTED_VALUE"""),"")</f>
        <v/>
      </c>
      <c r="S1673" s="4" t="str">
        <f>IFERROR(__xludf.DUMMYFUNCTION("""COMPUTED_VALUE"""),"")</f>
        <v/>
      </c>
      <c r="T1673" s="4" t="str">
        <f>IFERROR(__xludf.DUMMYFUNCTION("""COMPUTED_VALUE"""),"")</f>
        <v/>
      </c>
      <c r="U1673" s="4" t="str">
        <f>IFERROR(__xludf.DUMMYFUNCTION("""COMPUTED_VALUE"""),"")</f>
        <v/>
      </c>
      <c r="V1673" s="4" t="str">
        <f>IFERROR(__xludf.DUMMYFUNCTION("""COMPUTED_VALUE"""),"")</f>
        <v/>
      </c>
      <c r="W1673" s="4" t="str">
        <f>IFERROR(__xludf.DUMMYFUNCTION("""COMPUTED_VALUE"""),"")</f>
        <v/>
      </c>
      <c r="X1673" s="4" t="str">
        <f>IFERROR(__xludf.DUMMYFUNCTION("""COMPUTED_VALUE"""),"")</f>
        <v/>
      </c>
      <c r="Y1673" s="4" t="str">
        <f>IFERROR(__xludf.DUMMYFUNCTION("""COMPUTED_VALUE"""),"")</f>
        <v/>
      </c>
    </row>
    <row r="1674">
      <c r="A1674" s="4" t="str">
        <f>IFERROR(__xludf.DUMMYFUNCTION("""COMPUTED_VALUE"""),"2225 - Channel")</f>
        <v>2225 - Channel</v>
      </c>
      <c r="B1674" s="4" t="str">
        <f>IFERROR(__xludf.DUMMYFUNCTION("""COMPUTED_VALUE"""),"")</f>
        <v/>
      </c>
      <c r="C1674" s="4" t="str">
        <f>IFERROR(__xludf.DUMMYFUNCTION("""COMPUTED_VALUE"""),"")</f>
        <v/>
      </c>
      <c r="D1674" s="4" t="str">
        <f>IFERROR(__xludf.DUMMYFUNCTION("""COMPUTED_VALUE"""),"")</f>
        <v/>
      </c>
      <c r="E1674" s="4" t="str">
        <f>IFERROR(__xludf.DUMMYFUNCTION("""COMPUTED_VALUE"""),"")</f>
        <v/>
      </c>
      <c r="F1674" s="4" t="str">
        <f>IFERROR(__xludf.DUMMYFUNCTION("""COMPUTED_VALUE"""),"")</f>
        <v/>
      </c>
      <c r="G1674" s="4" t="str">
        <f>IFERROR(__xludf.DUMMYFUNCTION("""COMPUTED_VALUE"""),"")</f>
        <v/>
      </c>
      <c r="H1674" s="4" t="str">
        <f>IFERROR(__xludf.DUMMYFUNCTION("""COMPUTED_VALUE"""),"")</f>
        <v/>
      </c>
      <c r="I1674" s="4" t="str">
        <f>IFERROR(__xludf.DUMMYFUNCTION("""COMPUTED_VALUE"""),"")</f>
        <v/>
      </c>
      <c r="J1674" s="4" t="str">
        <f>IFERROR(__xludf.DUMMYFUNCTION("""COMPUTED_VALUE"""),"")</f>
        <v/>
      </c>
      <c r="K1674" s="4" t="str">
        <f>IFERROR(__xludf.DUMMYFUNCTION("""COMPUTED_VALUE"""),"")</f>
        <v/>
      </c>
      <c r="L1674" s="4" t="str">
        <f>IFERROR(__xludf.DUMMYFUNCTION("""COMPUTED_VALUE"""),"")</f>
        <v/>
      </c>
      <c r="M1674" s="4" t="str">
        <f>IFERROR(__xludf.DUMMYFUNCTION("""COMPUTED_VALUE"""),"")</f>
        <v/>
      </c>
      <c r="N1674" s="4" t="str">
        <f>IFERROR(__xludf.DUMMYFUNCTION("""COMPUTED_VALUE"""),"")</f>
        <v/>
      </c>
      <c r="O1674" s="4" t="str">
        <f>IFERROR(__xludf.DUMMYFUNCTION("""COMPUTED_VALUE"""),"")</f>
        <v/>
      </c>
      <c r="P1674" s="4" t="str">
        <f>IFERROR(__xludf.DUMMYFUNCTION("""COMPUTED_VALUE"""),"")</f>
        <v/>
      </c>
      <c r="Q1674" s="4" t="str">
        <f>IFERROR(__xludf.DUMMYFUNCTION("""COMPUTED_VALUE"""),"")</f>
        <v/>
      </c>
      <c r="R1674" s="4" t="str">
        <f>IFERROR(__xludf.DUMMYFUNCTION("""COMPUTED_VALUE"""),"")</f>
        <v/>
      </c>
      <c r="S1674" s="4" t="str">
        <f>IFERROR(__xludf.DUMMYFUNCTION("""COMPUTED_VALUE"""),"")</f>
        <v/>
      </c>
      <c r="T1674" s="4" t="str">
        <f>IFERROR(__xludf.DUMMYFUNCTION("""COMPUTED_VALUE"""),"")</f>
        <v/>
      </c>
      <c r="U1674" s="4" t="str">
        <f>IFERROR(__xludf.DUMMYFUNCTION("""COMPUTED_VALUE"""),"")</f>
        <v/>
      </c>
      <c r="V1674" s="4" t="str">
        <f>IFERROR(__xludf.DUMMYFUNCTION("""COMPUTED_VALUE"""),"")</f>
        <v/>
      </c>
      <c r="W1674" s="4" t="str">
        <f>IFERROR(__xludf.DUMMYFUNCTION("""COMPUTED_VALUE"""),"")</f>
        <v/>
      </c>
      <c r="X1674" s="4" t="str">
        <f>IFERROR(__xludf.DUMMYFUNCTION("""COMPUTED_VALUE"""),"")</f>
        <v/>
      </c>
      <c r="Y1674" s="4" t="str">
        <f>IFERROR(__xludf.DUMMYFUNCTION("""COMPUTED_VALUE"""),"")</f>
        <v/>
      </c>
    </row>
    <row r="1675">
      <c r="A1675" s="4" t="str">
        <f>IFERROR(__xludf.DUMMYFUNCTION("""COMPUTED_VALUE"""),"2226 - Channel")</f>
        <v>2226 - Channel</v>
      </c>
      <c r="B1675" s="4" t="str">
        <f>IFERROR(__xludf.DUMMYFUNCTION("""COMPUTED_VALUE"""),"")</f>
        <v/>
      </c>
      <c r="C1675" s="4" t="str">
        <f>IFERROR(__xludf.DUMMYFUNCTION("""COMPUTED_VALUE"""),"")</f>
        <v/>
      </c>
      <c r="D1675" s="4" t="str">
        <f>IFERROR(__xludf.DUMMYFUNCTION("""COMPUTED_VALUE"""),"")</f>
        <v/>
      </c>
      <c r="E1675" s="4" t="str">
        <f>IFERROR(__xludf.DUMMYFUNCTION("""COMPUTED_VALUE"""),"")</f>
        <v/>
      </c>
      <c r="F1675" s="4" t="str">
        <f>IFERROR(__xludf.DUMMYFUNCTION("""COMPUTED_VALUE"""),"")</f>
        <v/>
      </c>
      <c r="G1675" s="4" t="str">
        <f>IFERROR(__xludf.DUMMYFUNCTION("""COMPUTED_VALUE"""),"")</f>
        <v/>
      </c>
      <c r="H1675" s="4" t="str">
        <f>IFERROR(__xludf.DUMMYFUNCTION("""COMPUTED_VALUE"""),"")</f>
        <v/>
      </c>
      <c r="I1675" s="4" t="str">
        <f>IFERROR(__xludf.DUMMYFUNCTION("""COMPUTED_VALUE"""),"")</f>
        <v/>
      </c>
      <c r="J1675" s="4" t="str">
        <f>IFERROR(__xludf.DUMMYFUNCTION("""COMPUTED_VALUE"""),"")</f>
        <v/>
      </c>
      <c r="K1675" s="4" t="str">
        <f>IFERROR(__xludf.DUMMYFUNCTION("""COMPUTED_VALUE"""),"")</f>
        <v/>
      </c>
      <c r="L1675" s="4" t="str">
        <f>IFERROR(__xludf.DUMMYFUNCTION("""COMPUTED_VALUE"""),"")</f>
        <v/>
      </c>
      <c r="M1675" s="4" t="str">
        <f>IFERROR(__xludf.DUMMYFUNCTION("""COMPUTED_VALUE"""),"")</f>
        <v/>
      </c>
      <c r="N1675" s="4" t="str">
        <f>IFERROR(__xludf.DUMMYFUNCTION("""COMPUTED_VALUE"""),"")</f>
        <v/>
      </c>
      <c r="O1675" s="4" t="str">
        <f>IFERROR(__xludf.DUMMYFUNCTION("""COMPUTED_VALUE"""),"")</f>
        <v/>
      </c>
      <c r="P1675" s="4" t="str">
        <f>IFERROR(__xludf.DUMMYFUNCTION("""COMPUTED_VALUE"""),"")</f>
        <v/>
      </c>
      <c r="Q1675" s="4" t="str">
        <f>IFERROR(__xludf.DUMMYFUNCTION("""COMPUTED_VALUE"""),"")</f>
        <v/>
      </c>
      <c r="R1675" s="4" t="str">
        <f>IFERROR(__xludf.DUMMYFUNCTION("""COMPUTED_VALUE"""),"")</f>
        <v/>
      </c>
      <c r="S1675" s="4" t="str">
        <f>IFERROR(__xludf.DUMMYFUNCTION("""COMPUTED_VALUE"""),"")</f>
        <v/>
      </c>
      <c r="T1675" s="4" t="str">
        <f>IFERROR(__xludf.DUMMYFUNCTION("""COMPUTED_VALUE"""),"")</f>
        <v/>
      </c>
      <c r="U1675" s="4" t="str">
        <f>IFERROR(__xludf.DUMMYFUNCTION("""COMPUTED_VALUE"""),"")</f>
        <v/>
      </c>
      <c r="V1675" s="4" t="str">
        <f>IFERROR(__xludf.DUMMYFUNCTION("""COMPUTED_VALUE"""),"")</f>
        <v/>
      </c>
      <c r="W1675" s="4" t="str">
        <f>IFERROR(__xludf.DUMMYFUNCTION("""COMPUTED_VALUE"""),"")</f>
        <v/>
      </c>
      <c r="X1675" s="4" t="str">
        <f>IFERROR(__xludf.DUMMYFUNCTION("""COMPUTED_VALUE"""),"")</f>
        <v/>
      </c>
      <c r="Y1675" s="4" t="str">
        <f>IFERROR(__xludf.DUMMYFUNCTION("""COMPUTED_VALUE"""),"")</f>
        <v/>
      </c>
    </row>
    <row r="1676">
      <c r="A1676" s="4" t="str">
        <f>IFERROR(__xludf.DUMMYFUNCTION("""COMPUTED_VALUE"""),"2227 - Channel")</f>
        <v>2227 - Channel</v>
      </c>
      <c r="B1676" s="4" t="str">
        <f>IFERROR(__xludf.DUMMYFUNCTION("""COMPUTED_VALUE"""),"")</f>
        <v/>
      </c>
      <c r="C1676" s="4" t="str">
        <f>IFERROR(__xludf.DUMMYFUNCTION("""COMPUTED_VALUE"""),"")</f>
        <v/>
      </c>
      <c r="D1676" s="4" t="str">
        <f>IFERROR(__xludf.DUMMYFUNCTION("""COMPUTED_VALUE"""),"")</f>
        <v/>
      </c>
      <c r="E1676" s="4" t="str">
        <f>IFERROR(__xludf.DUMMYFUNCTION("""COMPUTED_VALUE"""),"")</f>
        <v/>
      </c>
      <c r="F1676" s="4" t="str">
        <f>IFERROR(__xludf.DUMMYFUNCTION("""COMPUTED_VALUE"""),"")</f>
        <v/>
      </c>
      <c r="G1676" s="4" t="str">
        <f>IFERROR(__xludf.DUMMYFUNCTION("""COMPUTED_VALUE"""),"")</f>
        <v/>
      </c>
      <c r="H1676" s="4" t="str">
        <f>IFERROR(__xludf.DUMMYFUNCTION("""COMPUTED_VALUE"""),"")</f>
        <v/>
      </c>
      <c r="I1676" s="4" t="str">
        <f>IFERROR(__xludf.DUMMYFUNCTION("""COMPUTED_VALUE"""),"")</f>
        <v/>
      </c>
      <c r="J1676" s="4" t="str">
        <f>IFERROR(__xludf.DUMMYFUNCTION("""COMPUTED_VALUE"""),"")</f>
        <v/>
      </c>
      <c r="K1676" s="4" t="str">
        <f>IFERROR(__xludf.DUMMYFUNCTION("""COMPUTED_VALUE"""),"")</f>
        <v/>
      </c>
      <c r="L1676" s="4" t="str">
        <f>IFERROR(__xludf.DUMMYFUNCTION("""COMPUTED_VALUE"""),"")</f>
        <v/>
      </c>
      <c r="M1676" s="4" t="str">
        <f>IFERROR(__xludf.DUMMYFUNCTION("""COMPUTED_VALUE"""),"")</f>
        <v/>
      </c>
      <c r="N1676" s="4" t="str">
        <f>IFERROR(__xludf.DUMMYFUNCTION("""COMPUTED_VALUE"""),"")</f>
        <v/>
      </c>
      <c r="O1676" s="4" t="str">
        <f>IFERROR(__xludf.DUMMYFUNCTION("""COMPUTED_VALUE"""),"")</f>
        <v/>
      </c>
      <c r="P1676" s="4" t="str">
        <f>IFERROR(__xludf.DUMMYFUNCTION("""COMPUTED_VALUE"""),"")</f>
        <v/>
      </c>
      <c r="Q1676" s="4" t="str">
        <f>IFERROR(__xludf.DUMMYFUNCTION("""COMPUTED_VALUE"""),"")</f>
        <v/>
      </c>
      <c r="R1676" s="4" t="str">
        <f>IFERROR(__xludf.DUMMYFUNCTION("""COMPUTED_VALUE"""),"")</f>
        <v/>
      </c>
      <c r="S1676" s="4" t="str">
        <f>IFERROR(__xludf.DUMMYFUNCTION("""COMPUTED_VALUE"""),"")</f>
        <v/>
      </c>
      <c r="T1676" s="4" t="str">
        <f>IFERROR(__xludf.DUMMYFUNCTION("""COMPUTED_VALUE"""),"")</f>
        <v/>
      </c>
      <c r="U1676" s="4" t="str">
        <f>IFERROR(__xludf.DUMMYFUNCTION("""COMPUTED_VALUE"""),"")</f>
        <v/>
      </c>
      <c r="V1676" s="4" t="str">
        <f>IFERROR(__xludf.DUMMYFUNCTION("""COMPUTED_VALUE"""),"")</f>
        <v/>
      </c>
      <c r="W1676" s="4" t="str">
        <f>IFERROR(__xludf.DUMMYFUNCTION("""COMPUTED_VALUE"""),"")</f>
        <v/>
      </c>
      <c r="X1676" s="4" t="str">
        <f>IFERROR(__xludf.DUMMYFUNCTION("""COMPUTED_VALUE"""),"")</f>
        <v/>
      </c>
      <c r="Y1676" s="4" t="str">
        <f>IFERROR(__xludf.DUMMYFUNCTION("""COMPUTED_VALUE"""),"")</f>
        <v/>
      </c>
    </row>
    <row r="1677">
      <c r="A1677" s="4" t="str">
        <f>IFERROR(__xludf.DUMMYFUNCTION("""COMPUTED_VALUE"""),"2228 - Channel")</f>
        <v>2228 - Channel</v>
      </c>
      <c r="B1677" s="4" t="str">
        <f>IFERROR(__xludf.DUMMYFUNCTION("""COMPUTED_VALUE"""),"")</f>
        <v/>
      </c>
      <c r="C1677" s="4" t="str">
        <f>IFERROR(__xludf.DUMMYFUNCTION("""COMPUTED_VALUE"""),"")</f>
        <v/>
      </c>
      <c r="D1677" s="4" t="str">
        <f>IFERROR(__xludf.DUMMYFUNCTION("""COMPUTED_VALUE"""),"")</f>
        <v/>
      </c>
      <c r="E1677" s="4" t="str">
        <f>IFERROR(__xludf.DUMMYFUNCTION("""COMPUTED_VALUE"""),"")</f>
        <v/>
      </c>
      <c r="F1677" s="4" t="str">
        <f>IFERROR(__xludf.DUMMYFUNCTION("""COMPUTED_VALUE"""),"")</f>
        <v/>
      </c>
      <c r="G1677" s="4" t="str">
        <f>IFERROR(__xludf.DUMMYFUNCTION("""COMPUTED_VALUE"""),"")</f>
        <v/>
      </c>
      <c r="H1677" s="4" t="str">
        <f>IFERROR(__xludf.DUMMYFUNCTION("""COMPUTED_VALUE"""),"")</f>
        <v/>
      </c>
      <c r="I1677" s="4" t="str">
        <f>IFERROR(__xludf.DUMMYFUNCTION("""COMPUTED_VALUE"""),"")</f>
        <v/>
      </c>
      <c r="J1677" s="4" t="str">
        <f>IFERROR(__xludf.DUMMYFUNCTION("""COMPUTED_VALUE"""),"")</f>
        <v/>
      </c>
      <c r="K1677" s="4" t="str">
        <f>IFERROR(__xludf.DUMMYFUNCTION("""COMPUTED_VALUE"""),"")</f>
        <v/>
      </c>
      <c r="L1677" s="4" t="str">
        <f>IFERROR(__xludf.DUMMYFUNCTION("""COMPUTED_VALUE"""),"")</f>
        <v/>
      </c>
      <c r="M1677" s="4" t="str">
        <f>IFERROR(__xludf.DUMMYFUNCTION("""COMPUTED_VALUE"""),"")</f>
        <v/>
      </c>
      <c r="N1677" s="4" t="str">
        <f>IFERROR(__xludf.DUMMYFUNCTION("""COMPUTED_VALUE"""),"")</f>
        <v/>
      </c>
      <c r="O1677" s="4" t="str">
        <f>IFERROR(__xludf.DUMMYFUNCTION("""COMPUTED_VALUE"""),"")</f>
        <v/>
      </c>
      <c r="P1677" s="4" t="str">
        <f>IFERROR(__xludf.DUMMYFUNCTION("""COMPUTED_VALUE"""),"")</f>
        <v/>
      </c>
      <c r="Q1677" s="4" t="str">
        <f>IFERROR(__xludf.DUMMYFUNCTION("""COMPUTED_VALUE"""),"")</f>
        <v/>
      </c>
      <c r="R1677" s="4" t="str">
        <f>IFERROR(__xludf.DUMMYFUNCTION("""COMPUTED_VALUE"""),"")</f>
        <v/>
      </c>
      <c r="S1677" s="4" t="str">
        <f>IFERROR(__xludf.DUMMYFUNCTION("""COMPUTED_VALUE"""),"")</f>
        <v/>
      </c>
      <c r="T1677" s="4" t="str">
        <f>IFERROR(__xludf.DUMMYFUNCTION("""COMPUTED_VALUE"""),"")</f>
        <v/>
      </c>
      <c r="U1677" s="4" t="str">
        <f>IFERROR(__xludf.DUMMYFUNCTION("""COMPUTED_VALUE"""),"")</f>
        <v/>
      </c>
      <c r="V1677" s="4" t="str">
        <f>IFERROR(__xludf.DUMMYFUNCTION("""COMPUTED_VALUE"""),"")</f>
        <v/>
      </c>
      <c r="W1677" s="4" t="str">
        <f>IFERROR(__xludf.DUMMYFUNCTION("""COMPUTED_VALUE"""),"")</f>
        <v/>
      </c>
      <c r="X1677" s="4" t="str">
        <f>IFERROR(__xludf.DUMMYFUNCTION("""COMPUTED_VALUE"""),"")</f>
        <v/>
      </c>
      <c r="Y1677" s="4" t="str">
        <f>IFERROR(__xludf.DUMMYFUNCTION("""COMPUTED_VALUE"""),"")</f>
        <v/>
      </c>
    </row>
    <row r="1678">
      <c r="A1678" s="4" t="str">
        <f>IFERROR(__xludf.DUMMYFUNCTION("""COMPUTED_VALUE"""),"2229 - Channel")</f>
        <v>2229 - Channel</v>
      </c>
      <c r="B1678" s="4" t="str">
        <f>IFERROR(__xludf.DUMMYFUNCTION("""COMPUTED_VALUE"""),"")</f>
        <v/>
      </c>
      <c r="C1678" s="4" t="str">
        <f>IFERROR(__xludf.DUMMYFUNCTION("""COMPUTED_VALUE"""),"")</f>
        <v/>
      </c>
      <c r="D1678" s="4" t="str">
        <f>IFERROR(__xludf.DUMMYFUNCTION("""COMPUTED_VALUE"""),"")</f>
        <v/>
      </c>
      <c r="E1678" s="4" t="str">
        <f>IFERROR(__xludf.DUMMYFUNCTION("""COMPUTED_VALUE"""),"")</f>
        <v/>
      </c>
      <c r="F1678" s="4" t="str">
        <f>IFERROR(__xludf.DUMMYFUNCTION("""COMPUTED_VALUE"""),"")</f>
        <v/>
      </c>
      <c r="G1678" s="4" t="str">
        <f>IFERROR(__xludf.DUMMYFUNCTION("""COMPUTED_VALUE"""),"")</f>
        <v/>
      </c>
      <c r="H1678" s="4" t="str">
        <f>IFERROR(__xludf.DUMMYFUNCTION("""COMPUTED_VALUE"""),"")</f>
        <v/>
      </c>
      <c r="I1678" s="4" t="str">
        <f>IFERROR(__xludf.DUMMYFUNCTION("""COMPUTED_VALUE"""),"")</f>
        <v/>
      </c>
      <c r="J1678" s="4" t="str">
        <f>IFERROR(__xludf.DUMMYFUNCTION("""COMPUTED_VALUE"""),"")</f>
        <v/>
      </c>
      <c r="K1678" s="4" t="str">
        <f>IFERROR(__xludf.DUMMYFUNCTION("""COMPUTED_VALUE"""),"")</f>
        <v/>
      </c>
      <c r="L1678" s="4" t="str">
        <f>IFERROR(__xludf.DUMMYFUNCTION("""COMPUTED_VALUE"""),"")</f>
        <v/>
      </c>
      <c r="M1678" s="4" t="str">
        <f>IFERROR(__xludf.DUMMYFUNCTION("""COMPUTED_VALUE"""),"")</f>
        <v/>
      </c>
      <c r="N1678" s="4" t="str">
        <f>IFERROR(__xludf.DUMMYFUNCTION("""COMPUTED_VALUE"""),"")</f>
        <v/>
      </c>
      <c r="O1678" s="4" t="str">
        <f>IFERROR(__xludf.DUMMYFUNCTION("""COMPUTED_VALUE"""),"")</f>
        <v/>
      </c>
      <c r="P1678" s="4" t="str">
        <f>IFERROR(__xludf.DUMMYFUNCTION("""COMPUTED_VALUE"""),"")</f>
        <v/>
      </c>
      <c r="Q1678" s="4" t="str">
        <f>IFERROR(__xludf.DUMMYFUNCTION("""COMPUTED_VALUE"""),"")</f>
        <v/>
      </c>
      <c r="R1678" s="4" t="str">
        <f>IFERROR(__xludf.DUMMYFUNCTION("""COMPUTED_VALUE"""),"")</f>
        <v/>
      </c>
      <c r="S1678" s="4" t="str">
        <f>IFERROR(__xludf.DUMMYFUNCTION("""COMPUTED_VALUE"""),"")</f>
        <v/>
      </c>
      <c r="T1678" s="4" t="str">
        <f>IFERROR(__xludf.DUMMYFUNCTION("""COMPUTED_VALUE"""),"")</f>
        <v/>
      </c>
      <c r="U1678" s="4" t="str">
        <f>IFERROR(__xludf.DUMMYFUNCTION("""COMPUTED_VALUE"""),"")</f>
        <v/>
      </c>
      <c r="V1678" s="4" t="str">
        <f>IFERROR(__xludf.DUMMYFUNCTION("""COMPUTED_VALUE"""),"")</f>
        <v/>
      </c>
      <c r="W1678" s="4" t="str">
        <f>IFERROR(__xludf.DUMMYFUNCTION("""COMPUTED_VALUE"""),"")</f>
        <v/>
      </c>
      <c r="X1678" s="4" t="str">
        <f>IFERROR(__xludf.DUMMYFUNCTION("""COMPUTED_VALUE"""),"")</f>
        <v/>
      </c>
      <c r="Y1678" s="4" t="str">
        <f>IFERROR(__xludf.DUMMYFUNCTION("""COMPUTED_VALUE"""),"")</f>
        <v/>
      </c>
    </row>
    <row r="1679">
      <c r="A1679" s="4" t="str">
        <f>IFERROR(__xludf.DUMMYFUNCTION("""COMPUTED_VALUE"""),"2230 - Channel")</f>
        <v>2230 - Channel</v>
      </c>
      <c r="B1679" s="4" t="str">
        <f>IFERROR(__xludf.DUMMYFUNCTION("""COMPUTED_VALUE"""),"")</f>
        <v/>
      </c>
      <c r="C1679" s="4" t="str">
        <f>IFERROR(__xludf.DUMMYFUNCTION("""COMPUTED_VALUE"""),"")</f>
        <v/>
      </c>
      <c r="D1679" s="4" t="str">
        <f>IFERROR(__xludf.DUMMYFUNCTION("""COMPUTED_VALUE"""),"")</f>
        <v/>
      </c>
      <c r="E1679" s="4" t="str">
        <f>IFERROR(__xludf.DUMMYFUNCTION("""COMPUTED_VALUE"""),"")</f>
        <v/>
      </c>
      <c r="F1679" s="4" t="str">
        <f>IFERROR(__xludf.DUMMYFUNCTION("""COMPUTED_VALUE"""),"")</f>
        <v/>
      </c>
      <c r="G1679" s="4" t="str">
        <f>IFERROR(__xludf.DUMMYFUNCTION("""COMPUTED_VALUE"""),"")</f>
        <v/>
      </c>
      <c r="H1679" s="4" t="str">
        <f>IFERROR(__xludf.DUMMYFUNCTION("""COMPUTED_VALUE"""),"")</f>
        <v/>
      </c>
      <c r="I1679" s="4" t="str">
        <f>IFERROR(__xludf.DUMMYFUNCTION("""COMPUTED_VALUE"""),"")</f>
        <v/>
      </c>
      <c r="J1679" s="4" t="str">
        <f>IFERROR(__xludf.DUMMYFUNCTION("""COMPUTED_VALUE"""),"")</f>
        <v/>
      </c>
      <c r="K1679" s="4" t="str">
        <f>IFERROR(__xludf.DUMMYFUNCTION("""COMPUTED_VALUE"""),"")</f>
        <v/>
      </c>
      <c r="L1679" s="4" t="str">
        <f>IFERROR(__xludf.DUMMYFUNCTION("""COMPUTED_VALUE"""),"")</f>
        <v/>
      </c>
      <c r="M1679" s="4" t="str">
        <f>IFERROR(__xludf.DUMMYFUNCTION("""COMPUTED_VALUE"""),"")</f>
        <v/>
      </c>
      <c r="N1679" s="4" t="str">
        <f>IFERROR(__xludf.DUMMYFUNCTION("""COMPUTED_VALUE"""),"")</f>
        <v/>
      </c>
      <c r="O1679" s="4" t="str">
        <f>IFERROR(__xludf.DUMMYFUNCTION("""COMPUTED_VALUE"""),"")</f>
        <v/>
      </c>
      <c r="P1679" s="4" t="str">
        <f>IFERROR(__xludf.DUMMYFUNCTION("""COMPUTED_VALUE"""),"")</f>
        <v/>
      </c>
      <c r="Q1679" s="4" t="str">
        <f>IFERROR(__xludf.DUMMYFUNCTION("""COMPUTED_VALUE"""),"")</f>
        <v/>
      </c>
      <c r="R1679" s="4" t="str">
        <f>IFERROR(__xludf.DUMMYFUNCTION("""COMPUTED_VALUE"""),"")</f>
        <v/>
      </c>
      <c r="S1679" s="4" t="str">
        <f>IFERROR(__xludf.DUMMYFUNCTION("""COMPUTED_VALUE"""),"")</f>
        <v/>
      </c>
      <c r="T1679" s="4" t="str">
        <f>IFERROR(__xludf.DUMMYFUNCTION("""COMPUTED_VALUE"""),"")</f>
        <v/>
      </c>
      <c r="U1679" s="4" t="str">
        <f>IFERROR(__xludf.DUMMYFUNCTION("""COMPUTED_VALUE"""),"")</f>
        <v/>
      </c>
      <c r="V1679" s="4" t="str">
        <f>IFERROR(__xludf.DUMMYFUNCTION("""COMPUTED_VALUE"""),"")</f>
        <v/>
      </c>
      <c r="W1679" s="4" t="str">
        <f>IFERROR(__xludf.DUMMYFUNCTION("""COMPUTED_VALUE"""),"")</f>
        <v/>
      </c>
      <c r="X1679" s="4" t="str">
        <f>IFERROR(__xludf.DUMMYFUNCTION("""COMPUTED_VALUE"""),"")</f>
        <v/>
      </c>
      <c r="Y1679" s="4" t="str">
        <f>IFERROR(__xludf.DUMMYFUNCTION("""COMPUTED_VALUE"""),"")</f>
        <v/>
      </c>
    </row>
    <row r="1680">
      <c r="A1680" s="4" t="str">
        <f>IFERROR(__xludf.DUMMYFUNCTION("""COMPUTED_VALUE"""),"2231 - Channel")</f>
        <v>2231 - Channel</v>
      </c>
      <c r="B1680" s="4" t="str">
        <f>IFERROR(__xludf.DUMMYFUNCTION("""COMPUTED_VALUE"""),"")</f>
        <v/>
      </c>
      <c r="C1680" s="4" t="str">
        <f>IFERROR(__xludf.DUMMYFUNCTION("""COMPUTED_VALUE"""),"")</f>
        <v/>
      </c>
      <c r="D1680" s="4" t="str">
        <f>IFERROR(__xludf.DUMMYFUNCTION("""COMPUTED_VALUE"""),"")</f>
        <v/>
      </c>
      <c r="E1680" s="4" t="str">
        <f>IFERROR(__xludf.DUMMYFUNCTION("""COMPUTED_VALUE"""),"")</f>
        <v/>
      </c>
      <c r="F1680" s="4" t="str">
        <f>IFERROR(__xludf.DUMMYFUNCTION("""COMPUTED_VALUE"""),"")</f>
        <v/>
      </c>
      <c r="G1680" s="4" t="str">
        <f>IFERROR(__xludf.DUMMYFUNCTION("""COMPUTED_VALUE"""),"")</f>
        <v/>
      </c>
      <c r="H1680" s="4" t="str">
        <f>IFERROR(__xludf.DUMMYFUNCTION("""COMPUTED_VALUE"""),"")</f>
        <v/>
      </c>
      <c r="I1680" s="4" t="str">
        <f>IFERROR(__xludf.DUMMYFUNCTION("""COMPUTED_VALUE"""),"")</f>
        <v/>
      </c>
      <c r="J1680" s="4" t="str">
        <f>IFERROR(__xludf.DUMMYFUNCTION("""COMPUTED_VALUE"""),"")</f>
        <v/>
      </c>
      <c r="K1680" s="4" t="str">
        <f>IFERROR(__xludf.DUMMYFUNCTION("""COMPUTED_VALUE"""),"")</f>
        <v/>
      </c>
      <c r="L1680" s="4" t="str">
        <f>IFERROR(__xludf.DUMMYFUNCTION("""COMPUTED_VALUE"""),"")</f>
        <v/>
      </c>
      <c r="M1680" s="4" t="str">
        <f>IFERROR(__xludf.DUMMYFUNCTION("""COMPUTED_VALUE"""),"")</f>
        <v/>
      </c>
      <c r="N1680" s="4" t="str">
        <f>IFERROR(__xludf.DUMMYFUNCTION("""COMPUTED_VALUE"""),"")</f>
        <v/>
      </c>
      <c r="O1680" s="4" t="str">
        <f>IFERROR(__xludf.DUMMYFUNCTION("""COMPUTED_VALUE"""),"")</f>
        <v/>
      </c>
      <c r="P1680" s="4" t="str">
        <f>IFERROR(__xludf.DUMMYFUNCTION("""COMPUTED_VALUE"""),"")</f>
        <v/>
      </c>
      <c r="Q1680" s="4" t="str">
        <f>IFERROR(__xludf.DUMMYFUNCTION("""COMPUTED_VALUE"""),"")</f>
        <v/>
      </c>
      <c r="R1680" s="4" t="str">
        <f>IFERROR(__xludf.DUMMYFUNCTION("""COMPUTED_VALUE"""),"")</f>
        <v/>
      </c>
      <c r="S1680" s="4" t="str">
        <f>IFERROR(__xludf.DUMMYFUNCTION("""COMPUTED_VALUE"""),"")</f>
        <v/>
      </c>
      <c r="T1680" s="4" t="str">
        <f>IFERROR(__xludf.DUMMYFUNCTION("""COMPUTED_VALUE"""),"")</f>
        <v/>
      </c>
      <c r="U1680" s="4" t="str">
        <f>IFERROR(__xludf.DUMMYFUNCTION("""COMPUTED_VALUE"""),"")</f>
        <v/>
      </c>
      <c r="V1680" s="4" t="str">
        <f>IFERROR(__xludf.DUMMYFUNCTION("""COMPUTED_VALUE"""),"")</f>
        <v/>
      </c>
      <c r="W1680" s="4" t="str">
        <f>IFERROR(__xludf.DUMMYFUNCTION("""COMPUTED_VALUE"""),"")</f>
        <v/>
      </c>
      <c r="X1680" s="4" t="str">
        <f>IFERROR(__xludf.DUMMYFUNCTION("""COMPUTED_VALUE"""),"")</f>
        <v/>
      </c>
      <c r="Y1680" s="4" t="str">
        <f>IFERROR(__xludf.DUMMYFUNCTION("""COMPUTED_VALUE"""),"")</f>
        <v/>
      </c>
    </row>
    <row r="1681">
      <c r="A1681" s="4" t="str">
        <f>IFERROR(__xludf.DUMMYFUNCTION("""COMPUTED_VALUE"""),"2232 - Channel")</f>
        <v>2232 - Channel</v>
      </c>
      <c r="B1681" s="4" t="str">
        <f>IFERROR(__xludf.DUMMYFUNCTION("""COMPUTED_VALUE"""),"")</f>
        <v/>
      </c>
      <c r="C1681" s="4" t="str">
        <f>IFERROR(__xludf.DUMMYFUNCTION("""COMPUTED_VALUE"""),"")</f>
        <v/>
      </c>
      <c r="D1681" s="4" t="str">
        <f>IFERROR(__xludf.DUMMYFUNCTION("""COMPUTED_VALUE"""),"")</f>
        <v/>
      </c>
      <c r="E1681" s="4" t="str">
        <f>IFERROR(__xludf.DUMMYFUNCTION("""COMPUTED_VALUE"""),"")</f>
        <v/>
      </c>
      <c r="F1681" s="4" t="str">
        <f>IFERROR(__xludf.DUMMYFUNCTION("""COMPUTED_VALUE"""),"")</f>
        <v/>
      </c>
      <c r="G1681" s="4" t="str">
        <f>IFERROR(__xludf.DUMMYFUNCTION("""COMPUTED_VALUE"""),"")</f>
        <v/>
      </c>
      <c r="H1681" s="4" t="str">
        <f>IFERROR(__xludf.DUMMYFUNCTION("""COMPUTED_VALUE"""),"")</f>
        <v/>
      </c>
      <c r="I1681" s="4" t="str">
        <f>IFERROR(__xludf.DUMMYFUNCTION("""COMPUTED_VALUE"""),"")</f>
        <v/>
      </c>
      <c r="J1681" s="4" t="str">
        <f>IFERROR(__xludf.DUMMYFUNCTION("""COMPUTED_VALUE"""),"")</f>
        <v/>
      </c>
      <c r="K1681" s="4" t="str">
        <f>IFERROR(__xludf.DUMMYFUNCTION("""COMPUTED_VALUE"""),"")</f>
        <v/>
      </c>
      <c r="L1681" s="4" t="str">
        <f>IFERROR(__xludf.DUMMYFUNCTION("""COMPUTED_VALUE"""),"")</f>
        <v/>
      </c>
      <c r="M1681" s="4" t="str">
        <f>IFERROR(__xludf.DUMMYFUNCTION("""COMPUTED_VALUE"""),"")</f>
        <v/>
      </c>
      <c r="N1681" s="4" t="str">
        <f>IFERROR(__xludf.DUMMYFUNCTION("""COMPUTED_VALUE"""),"")</f>
        <v/>
      </c>
      <c r="O1681" s="4" t="str">
        <f>IFERROR(__xludf.DUMMYFUNCTION("""COMPUTED_VALUE"""),"")</f>
        <v/>
      </c>
      <c r="P1681" s="4" t="str">
        <f>IFERROR(__xludf.DUMMYFUNCTION("""COMPUTED_VALUE"""),"")</f>
        <v/>
      </c>
      <c r="Q1681" s="4" t="str">
        <f>IFERROR(__xludf.DUMMYFUNCTION("""COMPUTED_VALUE"""),"")</f>
        <v/>
      </c>
      <c r="R1681" s="4" t="str">
        <f>IFERROR(__xludf.DUMMYFUNCTION("""COMPUTED_VALUE"""),"")</f>
        <v/>
      </c>
      <c r="S1681" s="4" t="str">
        <f>IFERROR(__xludf.DUMMYFUNCTION("""COMPUTED_VALUE"""),"")</f>
        <v/>
      </c>
      <c r="T1681" s="4" t="str">
        <f>IFERROR(__xludf.DUMMYFUNCTION("""COMPUTED_VALUE"""),"")</f>
        <v/>
      </c>
      <c r="U1681" s="4" t="str">
        <f>IFERROR(__xludf.DUMMYFUNCTION("""COMPUTED_VALUE"""),"")</f>
        <v/>
      </c>
      <c r="V1681" s="4" t="str">
        <f>IFERROR(__xludf.DUMMYFUNCTION("""COMPUTED_VALUE"""),"")</f>
        <v/>
      </c>
      <c r="W1681" s="4" t="str">
        <f>IFERROR(__xludf.DUMMYFUNCTION("""COMPUTED_VALUE"""),"")</f>
        <v/>
      </c>
      <c r="X1681" s="4" t="str">
        <f>IFERROR(__xludf.DUMMYFUNCTION("""COMPUTED_VALUE"""),"")</f>
        <v/>
      </c>
      <c r="Y1681" s="4" t="str">
        <f>IFERROR(__xludf.DUMMYFUNCTION("""COMPUTED_VALUE"""),"")</f>
        <v/>
      </c>
    </row>
    <row r="1682">
      <c r="A1682" s="4" t="str">
        <f>IFERROR(__xludf.DUMMYFUNCTION("""COMPUTED_VALUE"""),"2233 - Channel")</f>
        <v>2233 - Channel</v>
      </c>
      <c r="B1682" s="4" t="str">
        <f>IFERROR(__xludf.DUMMYFUNCTION("""COMPUTED_VALUE"""),"")</f>
        <v/>
      </c>
      <c r="C1682" s="4" t="str">
        <f>IFERROR(__xludf.DUMMYFUNCTION("""COMPUTED_VALUE"""),"")</f>
        <v/>
      </c>
      <c r="D1682" s="4" t="str">
        <f>IFERROR(__xludf.DUMMYFUNCTION("""COMPUTED_VALUE"""),"")</f>
        <v/>
      </c>
      <c r="E1682" s="4" t="str">
        <f>IFERROR(__xludf.DUMMYFUNCTION("""COMPUTED_VALUE"""),"")</f>
        <v/>
      </c>
      <c r="F1682" s="4" t="str">
        <f>IFERROR(__xludf.DUMMYFUNCTION("""COMPUTED_VALUE"""),"")</f>
        <v/>
      </c>
      <c r="G1682" s="4" t="str">
        <f>IFERROR(__xludf.DUMMYFUNCTION("""COMPUTED_VALUE"""),"")</f>
        <v/>
      </c>
      <c r="H1682" s="4" t="str">
        <f>IFERROR(__xludf.DUMMYFUNCTION("""COMPUTED_VALUE"""),"")</f>
        <v/>
      </c>
      <c r="I1682" s="4" t="str">
        <f>IFERROR(__xludf.DUMMYFUNCTION("""COMPUTED_VALUE"""),"")</f>
        <v/>
      </c>
      <c r="J1682" s="4" t="str">
        <f>IFERROR(__xludf.DUMMYFUNCTION("""COMPUTED_VALUE"""),"")</f>
        <v/>
      </c>
      <c r="K1682" s="4" t="str">
        <f>IFERROR(__xludf.DUMMYFUNCTION("""COMPUTED_VALUE"""),"")</f>
        <v/>
      </c>
      <c r="L1682" s="4" t="str">
        <f>IFERROR(__xludf.DUMMYFUNCTION("""COMPUTED_VALUE"""),"")</f>
        <v/>
      </c>
      <c r="M1682" s="4" t="str">
        <f>IFERROR(__xludf.DUMMYFUNCTION("""COMPUTED_VALUE"""),"")</f>
        <v/>
      </c>
      <c r="N1682" s="4" t="str">
        <f>IFERROR(__xludf.DUMMYFUNCTION("""COMPUTED_VALUE"""),"")</f>
        <v/>
      </c>
      <c r="O1682" s="4" t="str">
        <f>IFERROR(__xludf.DUMMYFUNCTION("""COMPUTED_VALUE"""),"")</f>
        <v/>
      </c>
      <c r="P1682" s="4" t="str">
        <f>IFERROR(__xludf.DUMMYFUNCTION("""COMPUTED_VALUE"""),"")</f>
        <v/>
      </c>
      <c r="Q1682" s="4" t="str">
        <f>IFERROR(__xludf.DUMMYFUNCTION("""COMPUTED_VALUE"""),"")</f>
        <v/>
      </c>
      <c r="R1682" s="4" t="str">
        <f>IFERROR(__xludf.DUMMYFUNCTION("""COMPUTED_VALUE"""),"")</f>
        <v/>
      </c>
      <c r="S1682" s="4" t="str">
        <f>IFERROR(__xludf.DUMMYFUNCTION("""COMPUTED_VALUE"""),"")</f>
        <v/>
      </c>
      <c r="T1682" s="4" t="str">
        <f>IFERROR(__xludf.DUMMYFUNCTION("""COMPUTED_VALUE"""),"")</f>
        <v/>
      </c>
      <c r="U1682" s="4" t="str">
        <f>IFERROR(__xludf.DUMMYFUNCTION("""COMPUTED_VALUE"""),"")</f>
        <v/>
      </c>
      <c r="V1682" s="4" t="str">
        <f>IFERROR(__xludf.DUMMYFUNCTION("""COMPUTED_VALUE"""),"")</f>
        <v/>
      </c>
      <c r="W1682" s="4" t="str">
        <f>IFERROR(__xludf.DUMMYFUNCTION("""COMPUTED_VALUE"""),"")</f>
        <v/>
      </c>
      <c r="X1682" s="4" t="str">
        <f>IFERROR(__xludf.DUMMYFUNCTION("""COMPUTED_VALUE"""),"")</f>
        <v/>
      </c>
      <c r="Y1682" s="4" t="str">
        <f>IFERROR(__xludf.DUMMYFUNCTION("""COMPUTED_VALUE"""),"")</f>
        <v/>
      </c>
    </row>
    <row r="1683">
      <c r="A1683" s="4" t="str">
        <f>IFERROR(__xludf.DUMMYFUNCTION("""COMPUTED_VALUE"""),"2234 - Channel")</f>
        <v>2234 - Channel</v>
      </c>
      <c r="B1683" s="4" t="str">
        <f>IFERROR(__xludf.DUMMYFUNCTION("""COMPUTED_VALUE"""),"")</f>
        <v/>
      </c>
      <c r="C1683" s="4" t="str">
        <f>IFERROR(__xludf.DUMMYFUNCTION("""COMPUTED_VALUE"""),"")</f>
        <v/>
      </c>
      <c r="D1683" s="4" t="str">
        <f>IFERROR(__xludf.DUMMYFUNCTION("""COMPUTED_VALUE"""),"")</f>
        <v/>
      </c>
      <c r="E1683" s="4" t="str">
        <f>IFERROR(__xludf.DUMMYFUNCTION("""COMPUTED_VALUE"""),"")</f>
        <v/>
      </c>
      <c r="F1683" s="4" t="str">
        <f>IFERROR(__xludf.DUMMYFUNCTION("""COMPUTED_VALUE"""),"")</f>
        <v/>
      </c>
      <c r="G1683" s="4" t="str">
        <f>IFERROR(__xludf.DUMMYFUNCTION("""COMPUTED_VALUE"""),"")</f>
        <v/>
      </c>
      <c r="H1683" s="4" t="str">
        <f>IFERROR(__xludf.DUMMYFUNCTION("""COMPUTED_VALUE"""),"")</f>
        <v/>
      </c>
      <c r="I1683" s="4" t="str">
        <f>IFERROR(__xludf.DUMMYFUNCTION("""COMPUTED_VALUE"""),"")</f>
        <v/>
      </c>
      <c r="J1683" s="4" t="str">
        <f>IFERROR(__xludf.DUMMYFUNCTION("""COMPUTED_VALUE"""),"")</f>
        <v/>
      </c>
      <c r="K1683" s="4" t="str">
        <f>IFERROR(__xludf.DUMMYFUNCTION("""COMPUTED_VALUE"""),"")</f>
        <v/>
      </c>
      <c r="L1683" s="4" t="str">
        <f>IFERROR(__xludf.DUMMYFUNCTION("""COMPUTED_VALUE"""),"")</f>
        <v/>
      </c>
      <c r="M1683" s="4" t="str">
        <f>IFERROR(__xludf.DUMMYFUNCTION("""COMPUTED_VALUE"""),"")</f>
        <v/>
      </c>
      <c r="N1683" s="4" t="str">
        <f>IFERROR(__xludf.DUMMYFUNCTION("""COMPUTED_VALUE"""),"")</f>
        <v/>
      </c>
      <c r="O1683" s="4" t="str">
        <f>IFERROR(__xludf.DUMMYFUNCTION("""COMPUTED_VALUE"""),"")</f>
        <v/>
      </c>
      <c r="P1683" s="4" t="str">
        <f>IFERROR(__xludf.DUMMYFUNCTION("""COMPUTED_VALUE"""),"")</f>
        <v/>
      </c>
      <c r="Q1683" s="4" t="str">
        <f>IFERROR(__xludf.DUMMYFUNCTION("""COMPUTED_VALUE"""),"")</f>
        <v/>
      </c>
      <c r="R1683" s="4" t="str">
        <f>IFERROR(__xludf.DUMMYFUNCTION("""COMPUTED_VALUE"""),"")</f>
        <v/>
      </c>
      <c r="S1683" s="4" t="str">
        <f>IFERROR(__xludf.DUMMYFUNCTION("""COMPUTED_VALUE"""),"")</f>
        <v/>
      </c>
      <c r="T1683" s="4" t="str">
        <f>IFERROR(__xludf.DUMMYFUNCTION("""COMPUTED_VALUE"""),"")</f>
        <v/>
      </c>
      <c r="U1683" s="4" t="str">
        <f>IFERROR(__xludf.DUMMYFUNCTION("""COMPUTED_VALUE"""),"")</f>
        <v/>
      </c>
      <c r="V1683" s="4" t="str">
        <f>IFERROR(__xludf.DUMMYFUNCTION("""COMPUTED_VALUE"""),"")</f>
        <v/>
      </c>
      <c r="W1683" s="4" t="str">
        <f>IFERROR(__xludf.DUMMYFUNCTION("""COMPUTED_VALUE"""),"")</f>
        <v/>
      </c>
      <c r="X1683" s="4" t="str">
        <f>IFERROR(__xludf.DUMMYFUNCTION("""COMPUTED_VALUE"""),"")</f>
        <v/>
      </c>
      <c r="Y1683" s="4" t="str">
        <f>IFERROR(__xludf.DUMMYFUNCTION("""COMPUTED_VALUE"""),"")</f>
        <v/>
      </c>
    </row>
  </sheetData>
  <customSheetViews>
    <customSheetView guid="{9AF6FD7E-DBE3-4ECB-B8A3-87FEC89D2D91}" filter="1" showAutoFilter="1">
      <autoFilter ref="$A$1:$Y$80"/>
    </customSheetView>
  </customSheetViews>
  <hyperlinks>
    <hyperlink r:id="rId1" ref="W6"/>
    <hyperlink r:id="rId2" ref="W145"/>
    <hyperlink r:id="rId3" ref="W164"/>
    <hyperlink r:id="rId4" ref="W234"/>
    <hyperlink r:id="rId5" ref="W240"/>
    <hyperlink r:id="rId6" ref="W275"/>
    <hyperlink r:id="rId7" ref="M300"/>
    <hyperlink r:id="rId8" ref="W332"/>
    <hyperlink r:id="rId9" ref="W365"/>
    <hyperlink r:id="rId10" ref="W385"/>
    <hyperlink r:id="rId11" ref="W418"/>
    <hyperlink r:id="rId12" ref="W429"/>
    <hyperlink r:id="rId13" ref="W449"/>
    <hyperlink r:id="rId14" ref="W457"/>
    <hyperlink r:id="rId15" ref="W478"/>
    <hyperlink r:id="rId16" ref="W549"/>
    <hyperlink r:id="rId17" ref="W554"/>
    <hyperlink r:id="rId18" ref="O558"/>
    <hyperlink r:id="rId19" ref="W558"/>
    <hyperlink r:id="rId20" ref="W572"/>
    <hyperlink r:id="rId21" ref="W595"/>
    <hyperlink r:id="rId22" ref="W637"/>
    <hyperlink r:id="rId23" ref="W686"/>
    <hyperlink r:id="rId24" ref="W693"/>
    <hyperlink r:id="rId25" ref="W716"/>
    <hyperlink r:id="rId26" ref="W754"/>
    <hyperlink r:id="rId27" ref="W775"/>
    <hyperlink r:id="rId28" ref="W815"/>
    <hyperlink r:id="rId29" ref="W818"/>
    <hyperlink r:id="rId30" ref="W823"/>
    <hyperlink r:id="rId31" ref="W843"/>
    <hyperlink r:id="rId32" ref="W874"/>
    <hyperlink r:id="rId33" ref="W945"/>
    <hyperlink r:id="rId34" ref="W956"/>
    <hyperlink r:id="rId35" ref="W961"/>
    <hyperlink r:id="rId36" ref="W1073"/>
    <hyperlink r:id="rId37" ref="R1140"/>
    <hyperlink r:id="rId38" ref="W1148"/>
  </hyperlinks>
  <drawing r:id="rId3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tr">
        <f>IFERROR(__xludf.DUMMYFUNCTION("IF(ISERROR(ImportRange(""https://docs.google.com/spreadsheets/d/1giNx-yVE0ZeqC5AYTzjk_FBmjgA6uCuiQxg9bScgevY/edit#gid=1918136128"", ""Channel 5!A2:R"")),IF(ISERROR(ImportRange(""https://docs.google.com/spreadsheets/d/1giNx-yVE0ZeqC5AYTzjk_FBmjgA6uCuiQxg9b"&amp;"ScgevY/edit#gid=1918136128"", ""Channel 5!A2:R"")),ImportRange(""https://docs.google.com/spreadsheets/d/1giNx-yVE0ZeqC5AYTzjk_FBmjgA6uCuiQxg9bScgevY/edit#gid=1918136128"", ""Channel 5!A2:R""),ImportRange(""https://docs.google.com/spreadsheets/d/1giNx-yVE0"&amp;"ZeqC5AYTzjk_FBmjgA6uCuiQxg9bScgevY/edit#gid=1918136128"", ""Channel 5!A2:R"")),ImportRange(""https://docs.google.com/spreadsheets/d/1giNx-yVE0ZeqC5AYTzjk_FBmjgA6uCuiQxg9bScgevY/edit#gid=1918136128"", ""Channel 5!A2:R""))
"),"Index")</f>
        <v>Index</v>
      </c>
      <c r="B1" s="4" t="str">
        <f>IFERROR(__xludf.DUMMYFUNCTION("""COMPUTED_VALUE"""),"Day")</f>
        <v>Day</v>
      </c>
      <c r="C1" s="6" t="str">
        <f>IFERROR(__xludf.DUMMYFUNCTION("""COMPUTED_VALUE"""),"Start")</f>
        <v>Start</v>
      </c>
      <c r="D1" s="8" t="str">
        <f>IFERROR(__xludf.DUMMYFUNCTION("""COMPUTED_VALUE"""),"Duration")</f>
        <v>Duration</v>
      </c>
      <c r="E1" s="6" t="str">
        <f>IFERROR(__xludf.DUMMYFUNCTION("""COMPUTED_VALUE"""),"End")</f>
        <v>End</v>
      </c>
      <c r="F1" s="4" t="str">
        <f>IFERROR(__xludf.DUMMYFUNCTION("""COMPUTED_VALUE"""),"Track")</f>
        <v>Track</v>
      </c>
      <c r="G1" s="4" t="str">
        <f>IFERROR(__xludf.DUMMYFUNCTION("""COMPUTED_VALUE"""),"Event")</f>
        <v>Event</v>
      </c>
      <c r="H1" s="4" t="str">
        <f>IFERROR(__xludf.DUMMYFUNCTION("""COMPUTED_VALUE"""),"Link")</f>
        <v>Link</v>
      </c>
      <c r="I1" s="4" t="str">
        <f>IFERROR(__xludf.DUMMYFUNCTION("""COMPUTED_VALUE"""),"Time codes")</f>
        <v>Time codes</v>
      </c>
      <c r="J1" s="4" t="str">
        <f>IFERROR(__xludf.DUMMYFUNCTION("""COMPUTED_VALUE"""),"EDITED?")</f>
        <v>EDITED?</v>
      </c>
      <c r="K1" s="4" t="str">
        <f>IFERROR(__xludf.DUMMYFUNCTION("""COMPUTED_VALUE"""),"Title (55 Characters)")</f>
        <v>Title (55 Characters)</v>
      </c>
      <c r="L1" s="4" t="str">
        <f>IFERROR(__xludf.DUMMYFUNCTION("""COMPUTED_VALUE"""),"Speaker 1")</f>
        <v>Speaker 1</v>
      </c>
      <c r="M1" s="4" t="str">
        <f>IFERROR(__xludf.DUMMYFUNCTION("""COMPUTED_VALUE"""),"Speaker 2")</f>
        <v>Speaker 2</v>
      </c>
      <c r="N1" s="4" t="str">
        <f>IFERROR(__xludf.DUMMYFUNCTION("""COMPUTED_VALUE"""),"Speaker 3")</f>
        <v>Speaker 3</v>
      </c>
      <c r="O1" s="4" t="str">
        <f>IFERROR(__xludf.DUMMYFUNCTION("""COMPUTED_VALUE"""),"Speaker 4")</f>
        <v>Speaker 4</v>
      </c>
      <c r="P1" s="4" t="str">
        <f>IFERROR(__xludf.DUMMYFUNCTION("""COMPUTED_VALUE"""),"Moderator")</f>
        <v>Moderator</v>
      </c>
      <c r="Q1" s="4" t="str">
        <f>IFERROR(__xludf.DUMMYFUNCTION("""COMPUTED_VALUE"""),"Description")</f>
        <v>Description</v>
      </c>
      <c r="R1" s="4" t="str">
        <f>IFERROR(__xludf.DUMMYFUNCTION("""COMPUTED_VALUE"""),"Steps")</f>
        <v>Steps</v>
      </c>
    </row>
    <row r="2">
      <c r="A2" s="4" t="str">
        <f>IFERROR(__xludf.DUMMYFUNCTION("""COMPUTED_VALUE"""),"1 - Channel 5")</f>
        <v>1 - Channel 5</v>
      </c>
      <c r="B2" s="4" t="str">
        <f>IFERROR(__xludf.DUMMYFUNCTION("""COMPUTED_VALUE"""),"DAY 1 - Tuesday, 23 June")</f>
        <v>DAY 1 - Tuesday, 23 June</v>
      </c>
      <c r="C2" s="4" t="str">
        <f>IFERROR(__xludf.DUMMYFUNCTION("""COMPUTED_VALUE"""),"")</f>
        <v/>
      </c>
      <c r="D2" s="4" t="str">
        <f>IFERROR(__xludf.DUMMYFUNCTION("""COMPUTED_VALUE"""),"")</f>
        <v/>
      </c>
      <c r="E2" s="4" t="str">
        <f>IFERROR(__xludf.DUMMYFUNCTION("""COMPUTED_VALUE"""),"")</f>
        <v/>
      </c>
      <c r="F2" s="4" t="str">
        <f>IFERROR(__xludf.DUMMYFUNCTION("""COMPUTED_VALUE"""),"")</f>
        <v/>
      </c>
      <c r="G2" s="4" t="str">
        <f>IFERROR(__xludf.DUMMYFUNCTION("""COMPUTED_VALUE"""),"")</f>
        <v/>
      </c>
      <c r="H2" s="4" t="str">
        <f>IFERROR(__xludf.DUMMYFUNCTION("""COMPUTED_VALUE"""),"")</f>
        <v/>
      </c>
      <c r="I2" s="4" t="str">
        <f>IFERROR(__xludf.DUMMYFUNCTION("""COMPUTED_VALUE"""),"")</f>
        <v/>
      </c>
      <c r="J2" s="4" t="str">
        <f>IFERROR(__xludf.DUMMYFUNCTION("""COMPUTED_VALUE"""),"")</f>
        <v/>
      </c>
      <c r="K2" s="4" t="str">
        <f>IFERROR(__xludf.DUMMYFUNCTION("""COMPUTED_VALUE"""),"")</f>
        <v/>
      </c>
      <c r="L2" s="4" t="str">
        <f>IFERROR(__xludf.DUMMYFUNCTION("""COMPUTED_VALUE"""),"")</f>
        <v/>
      </c>
      <c r="M2" s="4" t="str">
        <f>IFERROR(__xludf.DUMMYFUNCTION("""COMPUTED_VALUE"""),"")</f>
        <v/>
      </c>
      <c r="N2" s="4" t="str">
        <f>IFERROR(__xludf.DUMMYFUNCTION("""COMPUTED_VALUE"""),"")</f>
        <v/>
      </c>
      <c r="O2" s="4" t="str">
        <f>IFERROR(__xludf.DUMMYFUNCTION("""COMPUTED_VALUE"""),"")</f>
        <v/>
      </c>
      <c r="P2" s="4" t="str">
        <f>IFERROR(__xludf.DUMMYFUNCTION("""COMPUTED_VALUE"""),"")</f>
        <v/>
      </c>
      <c r="Q2" s="4" t="str">
        <f>IFERROR(__xludf.DUMMYFUNCTION("""COMPUTED_VALUE"""),"")</f>
        <v/>
      </c>
      <c r="R2" s="4" t="str">
        <f>IFERROR(__xludf.DUMMYFUNCTION("""COMPUTED_VALUE"""),"")</f>
        <v/>
      </c>
    </row>
    <row r="3">
      <c r="A3" s="4" t="str">
        <f>IFERROR(__xludf.DUMMYFUNCTION("""COMPUTED_VALUE"""),"2 - Channel 5")</f>
        <v>2 - Channel 5</v>
      </c>
      <c r="B3" s="4" t="str">
        <f>IFERROR(__xludf.DUMMYFUNCTION("""COMPUTED_VALUE"""),"Day 1 - 23/06")</f>
        <v>Day 1 - 23/06</v>
      </c>
      <c r="C3" s="6">
        <f>IFERROR(__xludf.DUMMYFUNCTION("""COMPUTED_VALUE"""),0.4166666666666667)</f>
        <v>0.4166666667</v>
      </c>
      <c r="D3" s="8">
        <f>IFERROR(__xludf.DUMMYFUNCTION("""COMPUTED_VALUE"""),6.944444444444445E-4)</f>
        <v>0.0006944444444</v>
      </c>
      <c r="E3" s="6">
        <f>IFERROR(__xludf.DUMMYFUNCTION("""COMPUTED_VALUE"""),0.4173611111111111)</f>
        <v>0.4173611111</v>
      </c>
      <c r="F3" s="4" t="str">
        <f>IFERROR(__xludf.DUMMYFUNCTION("""COMPUTED_VALUE"""),"")</f>
        <v/>
      </c>
      <c r="G3" s="4" t="str">
        <f>IFERROR(__xludf.DUMMYFUNCTION("""COMPUTED_VALUE"""),"")</f>
        <v/>
      </c>
      <c r="H3" s="4" t="str">
        <f>IFERROR(__xludf.DUMMYFUNCTION("""COMPUTED_VALUE"""),"")</f>
        <v/>
      </c>
      <c r="I3" s="4" t="str">
        <f>IFERROR(__xludf.DUMMYFUNCTION("""COMPUTED_VALUE"""),"")</f>
        <v/>
      </c>
      <c r="J3" s="4" t="str">
        <f>IFERROR(__xludf.DUMMYFUNCTION("""COMPUTED_VALUE"""),"")</f>
        <v/>
      </c>
      <c r="K3" s="4" t="str">
        <f>IFERROR(__xludf.DUMMYFUNCTION("""COMPUTED_VALUE"""),"Collision from Home Day Intro")</f>
        <v>Collision from Home Day Intro</v>
      </c>
      <c r="L3" s="4" t="str">
        <f>IFERROR(__xludf.DUMMYFUNCTION("""COMPUTED_VALUE"""),"")</f>
        <v/>
      </c>
      <c r="M3" s="4" t="str">
        <f>IFERROR(__xludf.DUMMYFUNCTION("""COMPUTED_VALUE"""),"")</f>
        <v/>
      </c>
      <c r="N3" s="4" t="str">
        <f>IFERROR(__xludf.DUMMYFUNCTION("""COMPUTED_VALUE"""),"")</f>
        <v/>
      </c>
      <c r="O3" s="4" t="str">
        <f>IFERROR(__xludf.DUMMYFUNCTION("""COMPUTED_VALUE"""),"")</f>
        <v/>
      </c>
      <c r="P3" s="4" t="str">
        <f>IFERROR(__xludf.DUMMYFUNCTION("""COMPUTED_VALUE"""),"")</f>
        <v/>
      </c>
      <c r="Q3" s="4" t="str">
        <f>IFERROR(__xludf.DUMMYFUNCTION("""COMPUTED_VALUE"""),"")</f>
        <v/>
      </c>
      <c r="R3" s="4" t="str">
        <f>IFERROR(__xludf.DUMMYFUNCTION("""COMPUTED_VALUE"""),"")</f>
        <v/>
      </c>
    </row>
    <row r="4">
      <c r="A4" s="4" t="str">
        <f>IFERROR(__xludf.DUMMYFUNCTION("""COMPUTED_VALUE"""),"3 - Channel 5")</f>
        <v>3 - Channel 5</v>
      </c>
      <c r="B4" s="4" t="str">
        <f>IFERROR(__xludf.DUMMYFUNCTION("""COMPUTED_VALUE"""),"Day 1 - 23/06")</f>
        <v>Day 1 - 23/06</v>
      </c>
      <c r="C4" s="6">
        <f>IFERROR(__xludf.DUMMYFUNCTION("""COMPUTED_VALUE"""),0.4173611111111111)</f>
        <v>0.4173611111</v>
      </c>
      <c r="D4" s="8">
        <f>IFERROR(__xludf.DUMMYFUNCTION("""COMPUTED_VALUE"""),3.4722222222222224E-4)</f>
        <v>0.0003472222222</v>
      </c>
      <c r="E4" s="6">
        <f>IFERROR(__xludf.DUMMYFUNCTION("""COMPUTED_VALUE"""),0.41770833333333335)</f>
        <v>0.4177083333</v>
      </c>
      <c r="F4" s="4" t="str">
        <f>IFERROR(__xludf.DUMMYFUNCTION("""COMPUTED_VALUE"""),"")</f>
        <v/>
      </c>
      <c r="G4" s="4" t="str">
        <f>IFERROR(__xludf.DUMMYFUNCTION("""COMPUTED_VALUE"""),"")</f>
        <v/>
      </c>
      <c r="H4" s="4" t="str">
        <f>IFERROR(__xludf.DUMMYFUNCTION("""COMPUTED_VALUE"""),"")</f>
        <v/>
      </c>
      <c r="I4" s="4" t="str">
        <f>IFERROR(__xludf.DUMMYFUNCTION("""COMPUTED_VALUE"""),"")</f>
        <v/>
      </c>
      <c r="J4" s="4" t="str">
        <f>IFERROR(__xludf.DUMMYFUNCTION("""COMPUTED_VALUE"""),"")</f>
        <v/>
      </c>
      <c r="K4" s="4" t="str">
        <f>IFERROR(__xludf.DUMMYFUNCTION("""COMPUTED_VALUE"""),"Talk Intro")</f>
        <v>Talk Intro</v>
      </c>
      <c r="L4" s="4" t="str">
        <f>IFERROR(__xludf.DUMMYFUNCTION("""COMPUTED_VALUE"""),"")</f>
        <v/>
      </c>
      <c r="M4" s="4" t="str">
        <f>IFERROR(__xludf.DUMMYFUNCTION("""COMPUTED_VALUE"""),"")</f>
        <v/>
      </c>
      <c r="N4" s="4" t="str">
        <f>IFERROR(__xludf.DUMMYFUNCTION("""COMPUTED_VALUE"""),"")</f>
        <v/>
      </c>
      <c r="O4" s="4" t="str">
        <f>IFERROR(__xludf.DUMMYFUNCTION("""COMPUTED_VALUE"""),"")</f>
        <v/>
      </c>
      <c r="P4" s="4" t="str">
        <f>IFERROR(__xludf.DUMMYFUNCTION("""COMPUTED_VALUE"""),"")</f>
        <v/>
      </c>
      <c r="Q4" s="4" t="str">
        <f>IFERROR(__xludf.DUMMYFUNCTION("""COMPUTED_VALUE"""),"")</f>
        <v/>
      </c>
      <c r="R4" s="4" t="str">
        <f>IFERROR(__xludf.DUMMYFUNCTION("""COMPUTED_VALUE"""),"")</f>
        <v/>
      </c>
    </row>
    <row r="5">
      <c r="A5" s="4" t="str">
        <f>IFERROR(__xludf.DUMMYFUNCTION("""COMPUTED_VALUE"""),"4 - Channel 5")</f>
        <v>4 - Channel 5</v>
      </c>
      <c r="B5" s="4" t="str">
        <f>IFERROR(__xludf.DUMMYFUNCTION("""COMPUTED_VALUE"""),"Day 1 - 23/06")</f>
        <v>Day 1 - 23/06</v>
      </c>
      <c r="C5" s="6">
        <f>IFERROR(__xludf.DUMMYFUNCTION("""COMPUTED_VALUE"""),0.41770833333333335)</f>
        <v>0.4177083333</v>
      </c>
      <c r="D5" s="8">
        <f>IFERROR(__xludf.DUMMYFUNCTION("""COMPUTED_VALUE"""),0.016863425925925928)</f>
        <v>0.01686342593</v>
      </c>
      <c r="E5" s="6">
        <f>IFERROR(__xludf.DUMMYFUNCTION("""COMPUTED_VALUE"""),0.4345717592592593)</f>
        <v>0.4345717593</v>
      </c>
      <c r="F5" s="4" t="str">
        <f>IFERROR(__xludf.DUMMYFUNCTION("""COMPUTED_VALUE"""),"Branding")</f>
        <v>Branding</v>
      </c>
      <c r="G5" s="4" t="str">
        <f>IFERROR(__xludf.DUMMYFUNCTION("""COMPUTED_VALUE"""),"Web Summit 2016")</f>
        <v>Web Summit 2016</v>
      </c>
      <c r="H5" s="21" t="str">
        <f>IFERROR(__xludf.DUMMYFUNCTION("""COMPUTED_VALUE"""),"https://www.youtube.com/watch?v=pJNdn9-SKZI&amp;list=PLxptNs2MLOjkVIxSu5hCTjqNwMuNJOhsy&amp;index=39")</f>
        <v>https://www.youtube.com/watch?v=pJNdn9-SKZI&amp;list=PLxptNs2MLOjkVIxSu5hCTjqNwMuNJOhsy&amp;index=39</v>
      </c>
      <c r="I5" s="4" t="str">
        <f>IFERROR(__xludf.DUMMYFUNCTION("""COMPUTED_VALUE"""),"Start at 2:10. Finish at 26:27")</f>
        <v>Start at 2:10. Finish at 26:27</v>
      </c>
      <c r="J5" s="4" t="str">
        <f>IFERROR(__xludf.DUMMYFUNCTION("""COMPUTED_VALUE"""),"No")</f>
        <v>No</v>
      </c>
      <c r="K5" s="4" t="str">
        <f>IFERROR(__xludf.DUMMYFUNCTION("""COMPUTED_VALUE"""),"Gary Vaynerchuk is not afraid to fail")</f>
        <v>Gary Vaynerchuk is not afraid to fail</v>
      </c>
      <c r="L5" s="4" t="str">
        <f>IFERROR(__xludf.DUMMYFUNCTION("""COMPUTED_VALUE"""),"Gary Vaynerchuk, VaynerMedia")</f>
        <v>Gary Vaynerchuk, VaynerMedia</v>
      </c>
      <c r="M5" s="4" t="str">
        <f>IFERROR(__xludf.DUMMYFUNCTION("""COMPUTED_VALUE"""),"")</f>
        <v/>
      </c>
      <c r="N5" s="4" t="str">
        <f>IFERROR(__xludf.DUMMYFUNCTION("""COMPUTED_VALUE"""),"")</f>
        <v/>
      </c>
      <c r="O5" s="4" t="str">
        <f>IFERROR(__xludf.DUMMYFUNCTION("""COMPUTED_VALUE"""),"")</f>
        <v/>
      </c>
      <c r="P5" s="4" t="str">
        <f>IFERROR(__xludf.DUMMYFUNCTION("""COMPUTED_VALUE"""),"")</f>
        <v/>
      </c>
      <c r="Q5" s="4" t="str">
        <f>IFERROR(__xludf.DUMMYFUNCTION("""COMPUTED_VALUE"""),"Gary Vaynerchuk has been a wine critic, a digital ad guru, and a social media marketing leader. At Web Summit 2016, he shared some of his wisdom on how to avoid failure and, more importantly, how to succeed.")</f>
        <v>Gary Vaynerchuk has been a wine critic, a digital ad guru, and a social media marketing leader. At Web Summit 2016, he shared some of his wisdom on how to avoid failure and, more importantly, how to succeed.</v>
      </c>
      <c r="R5" s="4" t="str">
        <f>IFERROR(__xludf.DUMMYFUNCTION("""COMPUTED_VALUE"""),"")</f>
        <v/>
      </c>
    </row>
    <row r="6">
      <c r="A6" s="4" t="str">
        <f>IFERROR(__xludf.DUMMYFUNCTION("""COMPUTED_VALUE"""),"5 - Channel 5")</f>
        <v>5 - Channel 5</v>
      </c>
      <c r="B6" s="4" t="str">
        <f>IFERROR(__xludf.DUMMYFUNCTION("""COMPUTED_VALUE"""),"Day 1 - 23/06")</f>
        <v>Day 1 - 23/06</v>
      </c>
      <c r="C6" s="6">
        <f>IFERROR(__xludf.DUMMYFUNCTION("""COMPUTED_VALUE"""),0.4345717592592593)</f>
        <v>0.4345717593</v>
      </c>
      <c r="D6" s="8">
        <f>IFERROR(__xludf.DUMMYFUNCTION("""COMPUTED_VALUE"""),1.7361111111111112E-4)</f>
        <v>0.0001736111111</v>
      </c>
      <c r="E6" s="6">
        <f>IFERROR(__xludf.DUMMYFUNCTION("""COMPUTED_VALUE"""),0.4347453703703704)</f>
        <v>0.4347453704</v>
      </c>
      <c r="F6" s="4" t="str">
        <f>IFERROR(__xludf.DUMMYFUNCTION("""COMPUTED_VALUE"""),"")</f>
        <v/>
      </c>
      <c r="G6" s="4" t="str">
        <f>IFERROR(__xludf.DUMMYFUNCTION("""COMPUTED_VALUE"""),"")</f>
        <v/>
      </c>
      <c r="H6" s="4" t="str">
        <f>IFERROR(__xludf.DUMMYFUNCTION("""COMPUTED_VALUE"""),"")</f>
        <v/>
      </c>
      <c r="I6" s="4" t="str">
        <f>IFERROR(__xludf.DUMMYFUNCTION("""COMPUTED_VALUE"""),"")</f>
        <v/>
      </c>
      <c r="J6" s="4" t="str">
        <f>IFERROR(__xludf.DUMMYFUNCTION("""COMPUTED_VALUE"""),"")</f>
        <v/>
      </c>
      <c r="K6" s="4" t="str">
        <f>IFERROR(__xludf.DUMMYFUNCTION("""COMPUTED_VALUE"""),"Talk Outro")</f>
        <v>Talk Outro</v>
      </c>
      <c r="L6" s="4" t="str">
        <f>IFERROR(__xludf.DUMMYFUNCTION("""COMPUTED_VALUE"""),"")</f>
        <v/>
      </c>
      <c r="M6" s="4" t="str">
        <f>IFERROR(__xludf.DUMMYFUNCTION("""COMPUTED_VALUE"""),"")</f>
        <v/>
      </c>
      <c r="N6" s="4" t="str">
        <f>IFERROR(__xludf.DUMMYFUNCTION("""COMPUTED_VALUE"""),"")</f>
        <v/>
      </c>
      <c r="O6" s="4" t="str">
        <f>IFERROR(__xludf.DUMMYFUNCTION("""COMPUTED_VALUE"""),"")</f>
        <v/>
      </c>
      <c r="P6" s="4" t="str">
        <f>IFERROR(__xludf.DUMMYFUNCTION("""COMPUTED_VALUE"""),"")</f>
        <v/>
      </c>
      <c r="Q6" s="4" t="str">
        <f>IFERROR(__xludf.DUMMYFUNCTION("""COMPUTED_VALUE"""),"")</f>
        <v/>
      </c>
      <c r="R6" s="4" t="str">
        <f>IFERROR(__xludf.DUMMYFUNCTION("""COMPUTED_VALUE"""),"")</f>
        <v/>
      </c>
    </row>
    <row r="7">
      <c r="A7" s="4" t="str">
        <f>IFERROR(__xludf.DUMMYFUNCTION("""COMPUTED_VALUE"""),"6 - Channel 5")</f>
        <v>6 - Channel 5</v>
      </c>
      <c r="B7" s="4" t="str">
        <f>IFERROR(__xludf.DUMMYFUNCTION("""COMPUTED_VALUE"""),"Day 1 - 23/06")</f>
        <v>Day 1 - 23/06</v>
      </c>
      <c r="C7" s="6">
        <f>IFERROR(__xludf.DUMMYFUNCTION("""COMPUTED_VALUE"""),0.4347453703703704)</f>
        <v>0.4347453704</v>
      </c>
      <c r="D7" s="8">
        <f>IFERROR(__xludf.DUMMYFUNCTION("""COMPUTED_VALUE"""),3.4722222222222224E-4)</f>
        <v>0.0003472222222</v>
      </c>
      <c r="E7" s="6">
        <f>IFERROR(__xludf.DUMMYFUNCTION("""COMPUTED_VALUE"""),0.43509259259259264)</f>
        <v>0.4350925926</v>
      </c>
      <c r="F7" s="4" t="str">
        <f>IFERROR(__xludf.DUMMYFUNCTION("""COMPUTED_VALUE"""),"")</f>
        <v/>
      </c>
      <c r="G7" s="4" t="str">
        <f>IFERROR(__xludf.DUMMYFUNCTION("""COMPUTED_VALUE"""),"")</f>
        <v/>
      </c>
      <c r="H7" s="4" t="str">
        <f>IFERROR(__xludf.DUMMYFUNCTION("""COMPUTED_VALUE"""),"")</f>
        <v/>
      </c>
      <c r="I7" s="4" t="str">
        <f>IFERROR(__xludf.DUMMYFUNCTION("""COMPUTED_VALUE"""),"")</f>
        <v/>
      </c>
      <c r="J7" s="4" t="str">
        <f>IFERROR(__xludf.DUMMYFUNCTION("""COMPUTED_VALUE"""),"")</f>
        <v/>
      </c>
      <c r="K7" s="4" t="str">
        <f>IFERROR(__xludf.DUMMYFUNCTION("""COMPUTED_VALUE"""),"Talk Intro")</f>
        <v>Talk Intro</v>
      </c>
      <c r="L7" s="4" t="str">
        <f>IFERROR(__xludf.DUMMYFUNCTION("""COMPUTED_VALUE"""),"")</f>
        <v/>
      </c>
      <c r="M7" s="4" t="str">
        <f>IFERROR(__xludf.DUMMYFUNCTION("""COMPUTED_VALUE"""),"")</f>
        <v/>
      </c>
      <c r="N7" s="4" t="str">
        <f>IFERROR(__xludf.DUMMYFUNCTION("""COMPUTED_VALUE"""),"")</f>
        <v/>
      </c>
      <c r="O7" s="4" t="str">
        <f>IFERROR(__xludf.DUMMYFUNCTION("""COMPUTED_VALUE"""),"")</f>
        <v/>
      </c>
      <c r="P7" s="4" t="str">
        <f>IFERROR(__xludf.DUMMYFUNCTION("""COMPUTED_VALUE"""),"")</f>
        <v/>
      </c>
      <c r="Q7" s="4" t="str">
        <f>IFERROR(__xludf.DUMMYFUNCTION("""COMPUTED_VALUE"""),"")</f>
        <v/>
      </c>
      <c r="R7" s="4" t="str">
        <f>IFERROR(__xludf.DUMMYFUNCTION("""COMPUTED_VALUE"""),"")</f>
        <v/>
      </c>
    </row>
    <row r="8">
      <c r="A8" s="4" t="str">
        <f>IFERROR(__xludf.DUMMYFUNCTION("""COMPUTED_VALUE"""),"7 - Channel 5")</f>
        <v>7 - Channel 5</v>
      </c>
      <c r="B8" s="4" t="str">
        <f>IFERROR(__xludf.DUMMYFUNCTION("""COMPUTED_VALUE"""),"Day 1 - 23/06")</f>
        <v>Day 1 - 23/06</v>
      </c>
      <c r="C8" s="6">
        <f>IFERROR(__xludf.DUMMYFUNCTION("""COMPUTED_VALUE"""),0.43509259259259264)</f>
        <v>0.4350925926</v>
      </c>
      <c r="D8" s="8">
        <f>IFERROR(__xludf.DUMMYFUNCTION("""COMPUTED_VALUE"""),0.01646990740740741)</f>
        <v>0.01646990741</v>
      </c>
      <c r="E8" s="6">
        <f>IFERROR(__xludf.DUMMYFUNCTION("""COMPUTED_VALUE"""),0.45156250000000003)</f>
        <v>0.4515625</v>
      </c>
      <c r="F8" s="4" t="str">
        <f>IFERROR(__xludf.DUMMYFUNCTION("""COMPUTED_VALUE"""),"Health")</f>
        <v>Health</v>
      </c>
      <c r="G8" s="4" t="str">
        <f>IFERROR(__xludf.DUMMYFUNCTION("""COMPUTED_VALUE"""),"Collision 2019")</f>
        <v>Collision 2019</v>
      </c>
      <c r="H8" s="21" t="str">
        <f>IFERROR(__xludf.DUMMYFUNCTION("""COMPUTED_VALUE"""),"https://www.youtube.com/watch?v=fKu3uvZCZmI")</f>
        <v>https://www.youtube.com/watch?v=fKu3uvZCZmI</v>
      </c>
      <c r="I8" s="4" t="str">
        <f>IFERROR(__xludf.DUMMYFUNCTION("""COMPUTED_VALUE"""),"Start on 00:45. Finish at 24:28.")</f>
        <v>Start on 00:45. Finish at 24:28.</v>
      </c>
      <c r="J8" s="4" t="str">
        <f>IFERROR(__xludf.DUMMYFUNCTION("""COMPUTED_VALUE"""),"No")</f>
        <v>No</v>
      </c>
      <c r="K8" s="4" t="str">
        <f>IFERROR(__xludf.DUMMYFUNCTION("""COMPUTED_VALUE"""),"Seth Rogen and Evan Goldberg talk Hollywood and Houseplant")</f>
        <v>Seth Rogen and Evan Goldberg talk Hollywood and Houseplant</v>
      </c>
      <c r="L8" s="4" t="str">
        <f>IFERROR(__xludf.DUMMYFUNCTION("""COMPUTED_VALUE"""),"Seth Rogen, Houseplant")</f>
        <v>Seth Rogen, Houseplant</v>
      </c>
      <c r="M8" s="4" t="str">
        <f>IFERROR(__xludf.DUMMYFUNCTION("""COMPUTED_VALUE"""),"Evan Goldberg, Houseplant")</f>
        <v>Evan Goldberg, Houseplant</v>
      </c>
      <c r="N8" s="4" t="str">
        <f>IFERROR(__xludf.DUMMYFUNCTION("""COMPUTED_VALUE"""),"")</f>
        <v/>
      </c>
      <c r="O8" s="4" t="str">
        <f>IFERROR(__xludf.DUMMYFUNCTION("""COMPUTED_VALUE"""),"")</f>
        <v/>
      </c>
      <c r="P8" s="4" t="str">
        <f>IFERROR(__xludf.DUMMYFUNCTION("""COMPUTED_VALUE"""),"")</f>
        <v/>
      </c>
      <c r="Q8" s="4" t="str">
        <f>IFERROR(__xludf.DUMMYFUNCTION("""COMPUTED_VALUE"""),"As cannabis legalisation becomes more widespread, cannabusiness has become a growth industry. If two celebrities were ever associated with cannabis they'd be Seth Rogen and Evan Goldberg. At Collision 2019 they told us all about their new company, Housepl"&amp;"ant, and the state of cannabusiness in Canada.")</f>
        <v>As cannabis legalisation becomes more widespread, cannabusiness has become a growth industry. If two celebrities were ever associated with cannabis they'd be Seth Rogen and Evan Goldberg. At Collision 2019 they told us all about their new company, Houseplant, and the state of cannabusiness in Canada.</v>
      </c>
      <c r="R8" s="4" t="str">
        <f>IFERROR(__xludf.DUMMYFUNCTION("""COMPUTED_VALUE"""),"")</f>
        <v/>
      </c>
    </row>
    <row r="9">
      <c r="A9" s="4" t="str">
        <f>IFERROR(__xludf.DUMMYFUNCTION("""COMPUTED_VALUE"""),"8 - Channel 5")</f>
        <v>8 - Channel 5</v>
      </c>
      <c r="B9" s="4" t="str">
        <f>IFERROR(__xludf.DUMMYFUNCTION("""COMPUTED_VALUE"""),"Day 1 - 23/06")</f>
        <v>Day 1 - 23/06</v>
      </c>
      <c r="C9" s="6">
        <f>IFERROR(__xludf.DUMMYFUNCTION("""COMPUTED_VALUE"""),0.45156250000000003)</f>
        <v>0.4515625</v>
      </c>
      <c r="D9" s="8">
        <f>IFERROR(__xludf.DUMMYFUNCTION("""COMPUTED_VALUE"""),1.7361111111111112E-4)</f>
        <v>0.0001736111111</v>
      </c>
      <c r="E9" s="6">
        <f>IFERROR(__xludf.DUMMYFUNCTION("""COMPUTED_VALUE"""),0.45173611111111117)</f>
        <v>0.4517361111</v>
      </c>
      <c r="F9" s="4" t="str">
        <f>IFERROR(__xludf.DUMMYFUNCTION("""COMPUTED_VALUE"""),"")</f>
        <v/>
      </c>
      <c r="G9" s="4" t="str">
        <f>IFERROR(__xludf.DUMMYFUNCTION("""COMPUTED_VALUE"""),"")</f>
        <v/>
      </c>
      <c r="H9" s="4" t="str">
        <f>IFERROR(__xludf.DUMMYFUNCTION("""COMPUTED_VALUE"""),"")</f>
        <v/>
      </c>
      <c r="I9" s="4" t="str">
        <f>IFERROR(__xludf.DUMMYFUNCTION("""COMPUTED_VALUE"""),"")</f>
        <v/>
      </c>
      <c r="J9" s="4" t="str">
        <f>IFERROR(__xludf.DUMMYFUNCTION("""COMPUTED_VALUE"""),"")</f>
        <v/>
      </c>
      <c r="K9" s="4" t="str">
        <f>IFERROR(__xludf.DUMMYFUNCTION("""COMPUTED_VALUE"""),"Talk Outro")</f>
        <v>Talk Outro</v>
      </c>
      <c r="L9" s="4" t="str">
        <f>IFERROR(__xludf.DUMMYFUNCTION("""COMPUTED_VALUE"""),"")</f>
        <v/>
      </c>
      <c r="M9" s="4" t="str">
        <f>IFERROR(__xludf.DUMMYFUNCTION("""COMPUTED_VALUE"""),"")</f>
        <v/>
      </c>
      <c r="N9" s="4" t="str">
        <f>IFERROR(__xludf.DUMMYFUNCTION("""COMPUTED_VALUE"""),"")</f>
        <v/>
      </c>
      <c r="O9" s="4" t="str">
        <f>IFERROR(__xludf.DUMMYFUNCTION("""COMPUTED_VALUE"""),"")</f>
        <v/>
      </c>
      <c r="P9" s="4" t="str">
        <f>IFERROR(__xludf.DUMMYFUNCTION("""COMPUTED_VALUE"""),"")</f>
        <v/>
      </c>
      <c r="Q9" s="4" t="str">
        <f>IFERROR(__xludf.DUMMYFUNCTION("""COMPUTED_VALUE"""),"")</f>
        <v/>
      </c>
      <c r="R9" s="4" t="str">
        <f>IFERROR(__xludf.DUMMYFUNCTION("""COMPUTED_VALUE"""),"")</f>
        <v/>
      </c>
    </row>
    <row r="10">
      <c r="A10" s="4" t="str">
        <f>IFERROR(__xludf.DUMMYFUNCTION("""COMPUTED_VALUE"""),"9 - Channel 5")</f>
        <v>9 - Channel 5</v>
      </c>
      <c r="B10" s="4" t="str">
        <f>IFERROR(__xludf.DUMMYFUNCTION("""COMPUTED_VALUE"""),"Day 1 - 23/06")</f>
        <v>Day 1 - 23/06</v>
      </c>
      <c r="C10" s="6">
        <f>IFERROR(__xludf.DUMMYFUNCTION("""COMPUTED_VALUE"""),0.45173611111111117)</f>
        <v>0.4517361111</v>
      </c>
      <c r="D10" s="8">
        <f>IFERROR(__xludf.DUMMYFUNCTION("""COMPUTED_VALUE"""),3.4722222222222224E-4)</f>
        <v>0.0003472222222</v>
      </c>
      <c r="E10" s="6">
        <f>IFERROR(__xludf.DUMMYFUNCTION("""COMPUTED_VALUE"""),0.4520833333333334)</f>
        <v>0.4520833333</v>
      </c>
      <c r="F10" s="4" t="str">
        <f>IFERROR(__xludf.DUMMYFUNCTION("""COMPUTED_VALUE"""),"")</f>
        <v/>
      </c>
      <c r="G10" s="4" t="str">
        <f>IFERROR(__xludf.DUMMYFUNCTION("""COMPUTED_VALUE"""),"")</f>
        <v/>
      </c>
      <c r="H10" s="4" t="str">
        <f>IFERROR(__xludf.DUMMYFUNCTION("""COMPUTED_VALUE"""),"")</f>
        <v/>
      </c>
      <c r="I10" s="4" t="str">
        <f>IFERROR(__xludf.DUMMYFUNCTION("""COMPUTED_VALUE"""),"")</f>
        <v/>
      </c>
      <c r="J10" s="4" t="str">
        <f>IFERROR(__xludf.DUMMYFUNCTION("""COMPUTED_VALUE"""),"")</f>
        <v/>
      </c>
      <c r="K10" s="4" t="str">
        <f>IFERROR(__xludf.DUMMYFUNCTION("""COMPUTED_VALUE"""),"Talk Intro")</f>
        <v>Talk Intro</v>
      </c>
      <c r="L10" s="4" t="str">
        <f>IFERROR(__xludf.DUMMYFUNCTION("""COMPUTED_VALUE"""),"")</f>
        <v/>
      </c>
      <c r="M10" s="4" t="str">
        <f>IFERROR(__xludf.DUMMYFUNCTION("""COMPUTED_VALUE"""),"")</f>
        <v/>
      </c>
      <c r="N10" s="4" t="str">
        <f>IFERROR(__xludf.DUMMYFUNCTION("""COMPUTED_VALUE"""),"")</f>
        <v/>
      </c>
      <c r="O10" s="4" t="str">
        <f>IFERROR(__xludf.DUMMYFUNCTION("""COMPUTED_VALUE"""),"")</f>
        <v/>
      </c>
      <c r="P10" s="4" t="str">
        <f>IFERROR(__xludf.DUMMYFUNCTION("""COMPUTED_VALUE"""),"")</f>
        <v/>
      </c>
      <c r="Q10" s="4" t="str">
        <f>IFERROR(__xludf.DUMMYFUNCTION("""COMPUTED_VALUE"""),"")</f>
        <v/>
      </c>
      <c r="R10" s="4" t="str">
        <f>IFERROR(__xludf.DUMMYFUNCTION("""COMPUTED_VALUE"""),"")</f>
        <v/>
      </c>
    </row>
    <row r="11">
      <c r="A11" s="4" t="str">
        <f>IFERROR(__xludf.DUMMYFUNCTION("""COMPUTED_VALUE"""),"10 - Channel 5")</f>
        <v>10 - Channel 5</v>
      </c>
      <c r="B11" s="4" t="str">
        <f>IFERROR(__xludf.DUMMYFUNCTION("""COMPUTED_VALUE"""),"Day 1 - 23/06")</f>
        <v>Day 1 - 23/06</v>
      </c>
      <c r="C11" s="6">
        <f>IFERROR(__xludf.DUMMYFUNCTION("""COMPUTED_VALUE"""),0.4520833333333334)</f>
        <v>0.4520833333</v>
      </c>
      <c r="D11" s="8">
        <f>IFERROR(__xludf.DUMMYFUNCTION("""COMPUTED_VALUE"""),0.006944444444444444)</f>
        <v>0.006944444444</v>
      </c>
      <c r="E11" s="6">
        <f>IFERROR(__xludf.DUMMYFUNCTION("""COMPUTED_VALUE"""),0.4590277777777778)</f>
        <v>0.4590277778</v>
      </c>
      <c r="F11" s="4" t="str">
        <f>IFERROR(__xludf.DUMMYFUNCTION("""COMPUTED_VALUE"""),"Society")</f>
        <v>Society</v>
      </c>
      <c r="G11" s="4" t="str">
        <f>IFERROR(__xludf.DUMMYFUNCTION("""COMPUTED_VALUE"""),"")</f>
        <v/>
      </c>
      <c r="H11" s="4" t="str">
        <f>IFERROR(__xludf.DUMMYFUNCTION("""COMPUTED_VALUE"""),"")</f>
        <v/>
      </c>
      <c r="I11" s="4" t="str">
        <f>IFERROR(__xludf.DUMMYFUNCTION("""COMPUTED_VALUE"""),"")</f>
        <v/>
      </c>
      <c r="J11" s="4" t="str">
        <f>IFERROR(__xludf.DUMMYFUNCTION("""COMPUTED_VALUE"""),"No")</f>
        <v>No</v>
      </c>
      <c r="K11" s="4" t="str">
        <f>IFERROR(__xludf.DUMMYFUNCTION("""COMPUTED_VALUE"""),"Top 5 fashion talks")</f>
        <v>Top 5 fashion talks</v>
      </c>
      <c r="L11" s="4" t="str">
        <f>IFERROR(__xludf.DUMMYFUNCTION("""COMPUTED_VALUE"""),"Alexander Wang, Alexander Wang")</f>
        <v>Alexander Wang, Alexander Wang</v>
      </c>
      <c r="M11" s="4" t="str">
        <f>IFERROR(__xludf.DUMMYFUNCTION("""COMPUTED_VALUE"""),"Nadja Swarovski, Swarovski")</f>
        <v>Nadja Swarovski, Swarovski</v>
      </c>
      <c r="N11" s="4" t="str">
        <f>IFERROR(__xludf.DUMMYFUNCTION("""COMPUTED_VALUE"""),"Daniel Grieder, Tommy Hilfiger")</f>
        <v>Daniel Grieder, Tommy Hilfiger</v>
      </c>
      <c r="O11" s="4" t="str">
        <f>IFERROR(__xludf.DUMMYFUNCTION("""COMPUTED_VALUE"""),"Lily Cole, Impossible")</f>
        <v>Lily Cole, Impossible</v>
      </c>
      <c r="P11" s="4" t="str">
        <f>IFERROR(__xludf.DUMMYFUNCTION("""COMPUTED_VALUE"""),"Sara Sampaio, Victoria's Secret")</f>
        <v>Sara Sampaio, Victoria's Secret</v>
      </c>
      <c r="Q11" s="4" t="str">
        <f>IFERROR(__xludf.DUMMYFUNCTION("""COMPUTED_VALUE"""),"Featuring Alexander Wang, Nadja Swarovski, Daniel Grieder, Lily Cole and Sara Sampaio. Want to go from being a fashion zero to a fashion hero? Then tune in now to hear from five of the most fashionable people of all time!")</f>
        <v>Featuring Alexander Wang, Nadja Swarovski, Daniel Grieder, Lily Cole and Sara Sampaio. Want to go from being a fashion zero to a fashion hero? Then tune in now to hear from five of the most fashionable people of all time!</v>
      </c>
      <c r="R11" s="4" t="str">
        <f>IFERROR(__xludf.DUMMYFUNCTION("""COMPUTED_VALUE"""),"")</f>
        <v/>
      </c>
    </row>
    <row r="12">
      <c r="A12" s="4" t="str">
        <f>IFERROR(__xludf.DUMMYFUNCTION("""COMPUTED_VALUE"""),"11 - Channel 5")</f>
        <v>11 - Channel 5</v>
      </c>
      <c r="B12" s="4" t="str">
        <f>IFERROR(__xludf.DUMMYFUNCTION("""COMPUTED_VALUE"""),"Day 1 - 23/06")</f>
        <v>Day 1 - 23/06</v>
      </c>
      <c r="C12" s="6">
        <f>IFERROR(__xludf.DUMMYFUNCTION("""COMPUTED_VALUE"""),0.4590277777777778)</f>
        <v>0.4590277778</v>
      </c>
      <c r="D12" s="8">
        <f>IFERROR(__xludf.DUMMYFUNCTION("""COMPUTED_VALUE"""),1.7361111111111112E-4)</f>
        <v>0.0001736111111</v>
      </c>
      <c r="E12" s="6">
        <f>IFERROR(__xludf.DUMMYFUNCTION("""COMPUTED_VALUE"""),0.45920138888888895)</f>
        <v>0.4592013889</v>
      </c>
      <c r="F12" s="4" t="str">
        <f>IFERROR(__xludf.DUMMYFUNCTION("""COMPUTED_VALUE"""),"")</f>
        <v/>
      </c>
      <c r="G12" s="4" t="str">
        <f>IFERROR(__xludf.DUMMYFUNCTION("""COMPUTED_VALUE"""),"")</f>
        <v/>
      </c>
      <c r="H12" s="4" t="str">
        <f>IFERROR(__xludf.DUMMYFUNCTION("""COMPUTED_VALUE"""),"")</f>
        <v/>
      </c>
      <c r="I12" s="4" t="str">
        <f>IFERROR(__xludf.DUMMYFUNCTION("""COMPUTED_VALUE"""),"")</f>
        <v/>
      </c>
      <c r="J12" s="4" t="str">
        <f>IFERROR(__xludf.DUMMYFUNCTION("""COMPUTED_VALUE"""),"")</f>
        <v/>
      </c>
      <c r="K12" s="4" t="str">
        <f>IFERROR(__xludf.DUMMYFUNCTION("""COMPUTED_VALUE"""),"Talk Outro")</f>
        <v>Talk Outro</v>
      </c>
      <c r="L12" s="4" t="str">
        <f>IFERROR(__xludf.DUMMYFUNCTION("""COMPUTED_VALUE"""),"")</f>
        <v/>
      </c>
      <c r="M12" s="4" t="str">
        <f>IFERROR(__xludf.DUMMYFUNCTION("""COMPUTED_VALUE"""),"")</f>
        <v/>
      </c>
      <c r="N12" s="4" t="str">
        <f>IFERROR(__xludf.DUMMYFUNCTION("""COMPUTED_VALUE"""),"")</f>
        <v/>
      </c>
      <c r="O12" s="4" t="str">
        <f>IFERROR(__xludf.DUMMYFUNCTION("""COMPUTED_VALUE"""),"")</f>
        <v/>
      </c>
      <c r="P12" s="4" t="str">
        <f>IFERROR(__xludf.DUMMYFUNCTION("""COMPUTED_VALUE"""),"")</f>
        <v/>
      </c>
      <c r="Q12" s="4" t="str">
        <f>IFERROR(__xludf.DUMMYFUNCTION("""COMPUTED_VALUE"""),"")</f>
        <v/>
      </c>
      <c r="R12" s="4" t="str">
        <f>IFERROR(__xludf.DUMMYFUNCTION("""COMPUTED_VALUE"""),"")</f>
        <v/>
      </c>
    </row>
    <row r="13">
      <c r="A13" s="4" t="str">
        <f>IFERROR(__xludf.DUMMYFUNCTION("""COMPUTED_VALUE"""),"281 - Channel 5")</f>
        <v>281 - Channel 5</v>
      </c>
      <c r="B13" s="4" t="str">
        <f>IFERROR(__xludf.DUMMYFUNCTION("""COMPUTED_VALUE"""),"Day 1 - 23/06")</f>
        <v>Day 1 - 23/06</v>
      </c>
      <c r="C13" s="6">
        <f>IFERROR(__xludf.DUMMYFUNCTION("""COMPUTED_VALUE"""),0.45920138888888895)</f>
        <v>0.4592013889</v>
      </c>
      <c r="D13" s="8">
        <f>IFERROR(__xludf.DUMMYFUNCTION("""COMPUTED_VALUE"""),3.4722222222222224E-4)</f>
        <v>0.0003472222222</v>
      </c>
      <c r="E13" s="6">
        <f>IFERROR(__xludf.DUMMYFUNCTION("""COMPUTED_VALUE"""),0.45954861111111117)</f>
        <v>0.4595486111</v>
      </c>
      <c r="F13" s="4" t="str">
        <f>IFERROR(__xludf.DUMMYFUNCTION("""COMPUTED_VALUE"""),"")</f>
        <v/>
      </c>
      <c r="G13" s="4" t="str">
        <f>IFERROR(__xludf.DUMMYFUNCTION("""COMPUTED_VALUE"""),"")</f>
        <v/>
      </c>
      <c r="H13" s="4" t="str">
        <f>IFERROR(__xludf.DUMMYFUNCTION("""COMPUTED_VALUE"""),"")</f>
        <v/>
      </c>
      <c r="I13" s="4" t="str">
        <f>IFERROR(__xludf.DUMMYFUNCTION("""COMPUTED_VALUE"""),"")</f>
        <v/>
      </c>
      <c r="J13" s="4" t="str">
        <f>IFERROR(__xludf.DUMMYFUNCTION("""COMPUTED_VALUE"""),"")</f>
        <v/>
      </c>
      <c r="K13" s="4" t="str">
        <f>IFERROR(__xludf.DUMMYFUNCTION("""COMPUTED_VALUE"""),"Web Summit Trailer - short")</f>
        <v>Web Summit Trailer - short</v>
      </c>
      <c r="L13" s="4" t="str">
        <f>IFERROR(__xludf.DUMMYFUNCTION("""COMPUTED_VALUE"""),"")</f>
        <v/>
      </c>
      <c r="M13" s="4" t="str">
        <f>IFERROR(__xludf.DUMMYFUNCTION("""COMPUTED_VALUE"""),"")</f>
        <v/>
      </c>
      <c r="N13" s="4" t="str">
        <f>IFERROR(__xludf.DUMMYFUNCTION("""COMPUTED_VALUE"""),"")</f>
        <v/>
      </c>
      <c r="O13" s="4" t="str">
        <f>IFERROR(__xludf.DUMMYFUNCTION("""COMPUTED_VALUE"""),"")</f>
        <v/>
      </c>
      <c r="P13" s="4" t="str">
        <f>IFERROR(__xludf.DUMMYFUNCTION("""COMPUTED_VALUE"""),"")</f>
        <v/>
      </c>
      <c r="Q13" s="4" t="str">
        <f>IFERROR(__xludf.DUMMYFUNCTION("""COMPUTED_VALUE"""),"")</f>
        <v/>
      </c>
      <c r="R13" s="4" t="str">
        <f>IFERROR(__xludf.DUMMYFUNCTION("""COMPUTED_VALUE"""),"")</f>
        <v/>
      </c>
    </row>
    <row r="14">
      <c r="A14" s="4" t="str">
        <f>IFERROR(__xludf.DUMMYFUNCTION("""COMPUTED_VALUE"""),"13 - Channel 5")</f>
        <v>13 - Channel 5</v>
      </c>
      <c r="B14" s="4" t="str">
        <f>IFERROR(__xludf.DUMMYFUNCTION("""COMPUTED_VALUE"""),"Day 1 - 23/06")</f>
        <v>Day 1 - 23/06</v>
      </c>
      <c r="C14" s="6">
        <f>IFERROR(__xludf.DUMMYFUNCTION("""COMPUTED_VALUE"""),0.45954861111111117)</f>
        <v>0.4595486111</v>
      </c>
      <c r="D14" s="8">
        <f>IFERROR(__xludf.DUMMYFUNCTION("""COMPUTED_VALUE"""),3.4722222222222224E-4)</f>
        <v>0.0003472222222</v>
      </c>
      <c r="E14" s="6">
        <f>IFERROR(__xludf.DUMMYFUNCTION("""COMPUTED_VALUE"""),0.4598958333333334)</f>
        <v>0.4598958333</v>
      </c>
      <c r="F14" s="4" t="str">
        <f>IFERROR(__xludf.DUMMYFUNCTION("""COMPUTED_VALUE"""),"")</f>
        <v/>
      </c>
      <c r="G14" s="4" t="str">
        <f>IFERROR(__xludf.DUMMYFUNCTION("""COMPUTED_VALUE"""),"")</f>
        <v/>
      </c>
      <c r="H14" s="4" t="str">
        <f>IFERROR(__xludf.DUMMYFUNCTION("""COMPUTED_VALUE"""),"")</f>
        <v/>
      </c>
      <c r="I14" s="4" t="str">
        <f>IFERROR(__xludf.DUMMYFUNCTION("""COMPUTED_VALUE"""),"")</f>
        <v/>
      </c>
      <c r="J14" s="4" t="str">
        <f>IFERROR(__xludf.DUMMYFUNCTION("""COMPUTED_VALUE"""),"")</f>
        <v/>
      </c>
      <c r="K14" s="4" t="str">
        <f>IFERROR(__xludf.DUMMYFUNCTION("""COMPUTED_VALUE"""),"Talk Intro")</f>
        <v>Talk Intro</v>
      </c>
      <c r="L14" s="4" t="str">
        <f>IFERROR(__xludf.DUMMYFUNCTION("""COMPUTED_VALUE"""),"")</f>
        <v/>
      </c>
      <c r="M14" s="4" t="str">
        <f>IFERROR(__xludf.DUMMYFUNCTION("""COMPUTED_VALUE"""),"")</f>
        <v/>
      </c>
      <c r="N14" s="4" t="str">
        <f>IFERROR(__xludf.DUMMYFUNCTION("""COMPUTED_VALUE"""),"")</f>
        <v/>
      </c>
      <c r="O14" s="4" t="str">
        <f>IFERROR(__xludf.DUMMYFUNCTION("""COMPUTED_VALUE"""),"")</f>
        <v/>
      </c>
      <c r="P14" s="4" t="str">
        <f>IFERROR(__xludf.DUMMYFUNCTION("""COMPUTED_VALUE"""),"")</f>
        <v/>
      </c>
      <c r="Q14" s="4" t="str">
        <f>IFERROR(__xludf.DUMMYFUNCTION("""COMPUTED_VALUE"""),"")</f>
        <v/>
      </c>
      <c r="R14" s="4" t="str">
        <f>IFERROR(__xludf.DUMMYFUNCTION("""COMPUTED_VALUE"""),"")</f>
        <v/>
      </c>
    </row>
    <row r="15">
      <c r="A15" s="4" t="str">
        <f>IFERROR(__xludf.DUMMYFUNCTION("""COMPUTED_VALUE"""),"14 - Channel 5")</f>
        <v>14 - Channel 5</v>
      </c>
      <c r="B15" s="4" t="str">
        <f>IFERROR(__xludf.DUMMYFUNCTION("""COMPUTED_VALUE"""),"Day 1 - 23/06")</f>
        <v>Day 1 - 23/06</v>
      </c>
      <c r="C15" s="6">
        <f>IFERROR(__xludf.DUMMYFUNCTION("""COMPUTED_VALUE"""),0.4598958333333334)</f>
        <v>0.4598958333</v>
      </c>
      <c r="D15" s="8">
        <f>IFERROR(__xludf.DUMMYFUNCTION("""COMPUTED_VALUE"""),0.02148148148148148)</f>
        <v>0.02148148148</v>
      </c>
      <c r="E15" s="6">
        <f>IFERROR(__xludf.DUMMYFUNCTION("""COMPUTED_VALUE"""),0.4813773148148149)</f>
        <v>0.4813773148</v>
      </c>
      <c r="F15" s="4" t="str">
        <f>IFERROR(__xludf.DUMMYFUNCTION("""COMPUTED_VALUE"""),"Climate")</f>
        <v>Climate</v>
      </c>
      <c r="G15" s="4" t="str">
        <f>IFERROR(__xludf.DUMMYFUNCTION("""COMPUTED_VALUE"""),"Web Summit 2017")</f>
        <v>Web Summit 2017</v>
      </c>
      <c r="H15" s="21" t="str">
        <f>IFERROR(__xludf.DUMMYFUNCTION("""COMPUTED_VALUE"""),"https://vimeo.com/257759152")</f>
        <v>https://vimeo.com/257759152</v>
      </c>
      <c r="I15" s="4" t="str">
        <f>IFERROR(__xludf.DUMMYFUNCTION("""COMPUTED_VALUE"""),"Start at 9 secs. Finish on 31:05")</f>
        <v>Start at 9 secs. Finish on 31:05</v>
      </c>
      <c r="J15" s="4" t="str">
        <f>IFERROR(__xludf.DUMMYFUNCTION("""COMPUTED_VALUE"""),"No")</f>
        <v>No</v>
      </c>
      <c r="K15" s="4" t="str">
        <f>IFERROR(__xludf.DUMMYFUNCTION("""COMPUTED_VALUE"""),"Al Gore believes innovation can help solve the climate crisis")</f>
        <v>Al Gore believes innovation can help solve the climate crisis</v>
      </c>
      <c r="L15" s="4" t="str">
        <f>IFERROR(__xludf.DUMMYFUNCTION("""COMPUTED_VALUE"""),"Al Gore, Generation Investment Management")</f>
        <v>Al Gore, Generation Investment Management</v>
      </c>
      <c r="M15" s="4" t="str">
        <f>IFERROR(__xludf.DUMMYFUNCTION("""COMPUTED_VALUE"""),"")</f>
        <v/>
      </c>
      <c r="N15" s="4" t="str">
        <f>IFERROR(__xludf.DUMMYFUNCTION("""COMPUTED_VALUE"""),"")</f>
        <v/>
      </c>
      <c r="O15" s="4" t="str">
        <f>IFERROR(__xludf.DUMMYFUNCTION("""COMPUTED_VALUE"""),"")</f>
        <v/>
      </c>
      <c r="P15" s="4" t="str">
        <f>IFERROR(__xludf.DUMMYFUNCTION("""COMPUTED_VALUE"""),"")</f>
        <v/>
      </c>
      <c r="Q15" s="4" t="str">
        <f>IFERROR(__xludf.DUMMYFUNCTION("""COMPUTED_VALUE"""),"Solving the climate crisis is as important today as it was in 2017. In this talk we hear from Al Gore about the innovation community's role in solving this crisis.")</f>
        <v>Solving the climate crisis is as important today as it was in 2017. In this talk we hear from Al Gore about the innovation community's role in solving this crisis.</v>
      </c>
      <c r="R15" s="4" t="str">
        <f>IFERROR(__xludf.DUMMYFUNCTION("""COMPUTED_VALUE"""),"")</f>
        <v/>
      </c>
    </row>
    <row r="16">
      <c r="A16" s="4" t="str">
        <f>IFERROR(__xludf.DUMMYFUNCTION("""COMPUTED_VALUE"""),"15 - Channel 5")</f>
        <v>15 - Channel 5</v>
      </c>
      <c r="B16" s="4" t="str">
        <f>IFERROR(__xludf.DUMMYFUNCTION("""COMPUTED_VALUE"""),"Day 1 - 23/06")</f>
        <v>Day 1 - 23/06</v>
      </c>
      <c r="C16" s="6">
        <f>IFERROR(__xludf.DUMMYFUNCTION("""COMPUTED_VALUE"""),0.4813773148148149)</f>
        <v>0.4813773148</v>
      </c>
      <c r="D16" s="8">
        <f>IFERROR(__xludf.DUMMYFUNCTION("""COMPUTED_VALUE"""),1.7361111111111112E-4)</f>
        <v>0.0001736111111</v>
      </c>
      <c r="E16" s="6">
        <f>IFERROR(__xludf.DUMMYFUNCTION("""COMPUTED_VALUE"""),0.481550925925926)</f>
        <v>0.4815509259</v>
      </c>
      <c r="F16" s="4" t="str">
        <f>IFERROR(__xludf.DUMMYFUNCTION("""COMPUTED_VALUE"""),"")</f>
        <v/>
      </c>
      <c r="G16" s="4" t="str">
        <f>IFERROR(__xludf.DUMMYFUNCTION("""COMPUTED_VALUE"""),"")</f>
        <v/>
      </c>
      <c r="H16" s="4" t="str">
        <f>IFERROR(__xludf.DUMMYFUNCTION("""COMPUTED_VALUE"""),"")</f>
        <v/>
      </c>
      <c r="I16" s="4" t="str">
        <f>IFERROR(__xludf.DUMMYFUNCTION("""COMPUTED_VALUE"""),"")</f>
        <v/>
      </c>
      <c r="J16" s="4" t="str">
        <f>IFERROR(__xludf.DUMMYFUNCTION("""COMPUTED_VALUE"""),"")</f>
        <v/>
      </c>
      <c r="K16" s="4" t="str">
        <f>IFERROR(__xludf.DUMMYFUNCTION("""COMPUTED_VALUE"""),"Talk Outro")</f>
        <v>Talk Outro</v>
      </c>
      <c r="L16" s="4" t="str">
        <f>IFERROR(__xludf.DUMMYFUNCTION("""COMPUTED_VALUE"""),"")</f>
        <v/>
      </c>
      <c r="M16" s="4" t="str">
        <f>IFERROR(__xludf.DUMMYFUNCTION("""COMPUTED_VALUE"""),"")</f>
        <v/>
      </c>
      <c r="N16" s="4" t="str">
        <f>IFERROR(__xludf.DUMMYFUNCTION("""COMPUTED_VALUE"""),"")</f>
        <v/>
      </c>
      <c r="O16" s="4" t="str">
        <f>IFERROR(__xludf.DUMMYFUNCTION("""COMPUTED_VALUE"""),"")</f>
        <v/>
      </c>
      <c r="P16" s="4" t="str">
        <f>IFERROR(__xludf.DUMMYFUNCTION("""COMPUTED_VALUE"""),"")</f>
        <v/>
      </c>
      <c r="Q16" s="4" t="str">
        <f>IFERROR(__xludf.DUMMYFUNCTION("""COMPUTED_VALUE"""),"")</f>
        <v/>
      </c>
      <c r="R16" s="4" t="str">
        <f>IFERROR(__xludf.DUMMYFUNCTION("""COMPUTED_VALUE"""),"")</f>
        <v/>
      </c>
    </row>
    <row r="17">
      <c r="A17" s="4" t="str">
        <f>IFERROR(__xludf.DUMMYFUNCTION("""COMPUTED_VALUE"""),"16 - Channel 5")</f>
        <v>16 - Channel 5</v>
      </c>
      <c r="B17" s="4" t="str">
        <f>IFERROR(__xludf.DUMMYFUNCTION("""COMPUTED_VALUE"""),"Day 1 - 23/06")</f>
        <v>Day 1 - 23/06</v>
      </c>
      <c r="C17" s="6">
        <f>IFERROR(__xludf.DUMMYFUNCTION("""COMPUTED_VALUE"""),0.481550925925926)</f>
        <v>0.4815509259</v>
      </c>
      <c r="D17" s="8">
        <f>IFERROR(__xludf.DUMMYFUNCTION("""COMPUTED_VALUE"""),6.944444444444444E-5)</f>
        <v>0.00006944444444</v>
      </c>
      <c r="E17" s="6">
        <f>IFERROR(__xludf.DUMMYFUNCTION("""COMPUTED_VALUE"""),0.4816203703703705)</f>
        <v>0.4816203704</v>
      </c>
      <c r="F17" s="4" t="str">
        <f>IFERROR(__xludf.DUMMYFUNCTION("""COMPUTED_VALUE"""),"")</f>
        <v/>
      </c>
      <c r="G17" s="4" t="str">
        <f>IFERROR(__xludf.DUMMYFUNCTION("""COMPUTED_VALUE"""),"")</f>
        <v/>
      </c>
      <c r="H17" s="4" t="str">
        <f>IFERROR(__xludf.DUMMYFUNCTION("""COMPUTED_VALUE"""),"")</f>
        <v/>
      </c>
      <c r="I17" s="4" t="str">
        <f>IFERROR(__xludf.DUMMYFUNCTION("""COMPUTED_VALUE"""),"")</f>
        <v/>
      </c>
      <c r="J17" s="4" t="str">
        <f>IFERROR(__xludf.DUMMYFUNCTION("""COMPUTED_VALUE"""),"")</f>
        <v/>
      </c>
      <c r="K17" s="4" t="str">
        <f>IFERROR(__xludf.DUMMYFUNCTION("""COMPUTED_VALUE"""),"Holding Graphic")</f>
        <v>Holding Graphic</v>
      </c>
      <c r="L17" s="4" t="str">
        <f>IFERROR(__xludf.DUMMYFUNCTION("""COMPUTED_VALUE"""),"")</f>
        <v/>
      </c>
      <c r="M17" s="4" t="str">
        <f>IFERROR(__xludf.DUMMYFUNCTION("""COMPUTED_VALUE"""),"")</f>
        <v/>
      </c>
      <c r="N17" s="4" t="str">
        <f>IFERROR(__xludf.DUMMYFUNCTION("""COMPUTED_VALUE"""),"")</f>
        <v/>
      </c>
      <c r="O17" s="4" t="str">
        <f>IFERROR(__xludf.DUMMYFUNCTION("""COMPUTED_VALUE"""),"")</f>
        <v/>
      </c>
      <c r="P17" s="4" t="str">
        <f>IFERROR(__xludf.DUMMYFUNCTION("""COMPUTED_VALUE"""),"")</f>
        <v/>
      </c>
      <c r="Q17" s="4" t="str">
        <f>IFERROR(__xludf.DUMMYFUNCTION("""COMPUTED_VALUE"""),"")</f>
        <v/>
      </c>
      <c r="R17" s="4" t="str">
        <f>IFERROR(__xludf.DUMMYFUNCTION("""COMPUTED_VALUE"""),"")</f>
        <v/>
      </c>
    </row>
    <row r="18">
      <c r="A18" s="4" t="str">
        <f>IFERROR(__xludf.DUMMYFUNCTION("""COMPUTED_VALUE"""),"17 - Channel 5")</f>
        <v>17 - Channel 5</v>
      </c>
      <c r="B18" s="4" t="str">
        <f>IFERROR(__xludf.DUMMYFUNCTION("""COMPUTED_VALUE"""),"Day 1 - 23/06")</f>
        <v>Day 1 - 23/06</v>
      </c>
      <c r="C18" s="6">
        <f>IFERROR(__xludf.DUMMYFUNCTION("""COMPUTED_VALUE"""),0.4816203703703705)</f>
        <v>0.4816203704</v>
      </c>
      <c r="D18" s="8">
        <f>IFERROR(__xludf.DUMMYFUNCTION("""COMPUTED_VALUE"""),3.4722222222222224E-4)</f>
        <v>0.0003472222222</v>
      </c>
      <c r="E18" s="6">
        <f>IFERROR(__xludf.DUMMYFUNCTION("""COMPUTED_VALUE"""),0.4819675925925927)</f>
        <v>0.4819675926</v>
      </c>
      <c r="F18" s="4" t="str">
        <f>IFERROR(__xludf.DUMMYFUNCTION("""COMPUTED_VALUE"""),"")</f>
        <v/>
      </c>
      <c r="G18" s="4" t="str">
        <f>IFERROR(__xludf.DUMMYFUNCTION("""COMPUTED_VALUE"""),"")</f>
        <v/>
      </c>
      <c r="H18" s="4" t="str">
        <f>IFERROR(__xludf.DUMMYFUNCTION("""COMPUTED_VALUE"""),"")</f>
        <v/>
      </c>
      <c r="I18" s="4" t="str">
        <f>IFERROR(__xludf.DUMMYFUNCTION("""COMPUTED_VALUE"""),"")</f>
        <v/>
      </c>
      <c r="J18" s="4" t="str">
        <f>IFERROR(__xludf.DUMMYFUNCTION("""COMPUTED_VALUE"""),"")</f>
        <v/>
      </c>
      <c r="K18" s="4" t="str">
        <f>IFERROR(__xludf.DUMMYFUNCTION("""COMPUTED_VALUE"""),"Talk Intro")</f>
        <v>Talk Intro</v>
      </c>
      <c r="L18" s="4" t="str">
        <f>IFERROR(__xludf.DUMMYFUNCTION("""COMPUTED_VALUE"""),"")</f>
        <v/>
      </c>
      <c r="M18" s="4" t="str">
        <f>IFERROR(__xludf.DUMMYFUNCTION("""COMPUTED_VALUE"""),"")</f>
        <v/>
      </c>
      <c r="N18" s="4" t="str">
        <f>IFERROR(__xludf.DUMMYFUNCTION("""COMPUTED_VALUE"""),"")</f>
        <v/>
      </c>
      <c r="O18" s="4" t="str">
        <f>IFERROR(__xludf.DUMMYFUNCTION("""COMPUTED_VALUE"""),"")</f>
        <v/>
      </c>
      <c r="P18" s="4" t="str">
        <f>IFERROR(__xludf.DUMMYFUNCTION("""COMPUTED_VALUE"""),"")</f>
        <v/>
      </c>
      <c r="Q18" s="4" t="str">
        <f>IFERROR(__xludf.DUMMYFUNCTION("""COMPUTED_VALUE"""),"")</f>
        <v/>
      </c>
      <c r="R18" s="4" t="str">
        <f>IFERROR(__xludf.DUMMYFUNCTION("""COMPUTED_VALUE"""),"")</f>
        <v/>
      </c>
    </row>
    <row r="19">
      <c r="A19" s="4" t="str">
        <f>IFERROR(__xludf.DUMMYFUNCTION("""COMPUTED_VALUE"""),"18 - Channel 5")</f>
        <v>18 - Channel 5</v>
      </c>
      <c r="B19" s="4" t="str">
        <f>IFERROR(__xludf.DUMMYFUNCTION("""COMPUTED_VALUE"""),"Day 1 - 23/06")</f>
        <v>Day 1 - 23/06</v>
      </c>
      <c r="C19" s="6">
        <f>IFERROR(__xludf.DUMMYFUNCTION("""COMPUTED_VALUE"""),0.4819675925925927)</f>
        <v>0.4819675926</v>
      </c>
      <c r="D19" s="8">
        <f>IFERROR(__xludf.DUMMYFUNCTION("""COMPUTED_VALUE"""),0.009340277777777777)</f>
        <v>0.009340277778</v>
      </c>
      <c r="E19" s="6">
        <f>IFERROR(__xludf.DUMMYFUNCTION("""COMPUTED_VALUE"""),0.4913078703703705)</f>
        <v>0.4913078704</v>
      </c>
      <c r="F19" s="4" t="str">
        <f>IFERROR(__xludf.DUMMYFUNCTION("""COMPUTED_VALUE"""),"Climate")</f>
        <v>Climate</v>
      </c>
      <c r="G19" s="4" t="str">
        <f>IFERROR(__xludf.DUMMYFUNCTION("""COMPUTED_VALUE"""),"Web Summit 2018")</f>
        <v>Web Summit 2018</v>
      </c>
      <c r="H19" s="21" t="str">
        <f>IFERROR(__xludf.DUMMYFUNCTION("""COMPUTED_VALUE"""),"https://www.youtube.com/watch?v=lkzNZKCxMKc&amp;list=PLxptNs2MLOjncuOhiHrdjl4VebNfdStqF&amp;index=8")</f>
        <v>https://www.youtube.com/watch?v=lkzNZKCxMKc&amp;list=PLxptNs2MLOjncuOhiHrdjl4VebNfdStqF&amp;index=8</v>
      </c>
      <c r="I19" s="4" t="str">
        <f>IFERROR(__xludf.DUMMYFUNCTION("""COMPUTED_VALUE"""),"Use from 00:48:00 - 01:01:27")</f>
        <v>Use from 00:48:00 - 01:01:27</v>
      </c>
      <c r="J19" s="4" t="str">
        <f>IFERROR(__xludf.DUMMYFUNCTION("""COMPUTED_VALUE"""),"No")</f>
        <v>No</v>
      </c>
      <c r="K19" s="4" t="str">
        <f>IFERROR(__xludf.DUMMYFUNCTION("""COMPUTED_VALUE"""),"Lisa Jackson explains how Apple does well by doing good")</f>
        <v>Lisa Jackson explains how Apple does well by doing good</v>
      </c>
      <c r="L19" s="4" t="str">
        <f>IFERROR(__xludf.DUMMYFUNCTION("""COMPUTED_VALUE"""),"Lisa Jackson, Apple")</f>
        <v>Lisa Jackson, Apple</v>
      </c>
      <c r="M19" s="4" t="str">
        <f>IFERROR(__xludf.DUMMYFUNCTION("""COMPUTED_VALUE"""),"")</f>
        <v/>
      </c>
      <c r="N19" s="4" t="str">
        <f>IFERROR(__xludf.DUMMYFUNCTION("""COMPUTED_VALUE"""),"")</f>
        <v/>
      </c>
      <c r="O19" s="4" t="str">
        <f>IFERROR(__xludf.DUMMYFUNCTION("""COMPUTED_VALUE"""),"")</f>
        <v/>
      </c>
      <c r="P19" s="4" t="str">
        <f>IFERROR(__xludf.DUMMYFUNCTION("""COMPUTED_VALUE"""),"")</f>
        <v/>
      </c>
      <c r="Q19" s="4" t="str">
        <f>IFERROR(__xludf.DUMMYFUNCTION("""COMPUTED_VALUE"""),"It is often claimed that a business can either do good or make money, but not both. At Web Summit 2018, Lisa Jackson explained to us why this is not true, saying businesses can do well by doing good.")</f>
        <v>It is often claimed that a business can either do good or make money, but not both. At Web Summit 2018, Lisa Jackson explained to us why this is not true, saying businesses can do well by doing good.</v>
      </c>
      <c r="R19" s="4" t="str">
        <f>IFERROR(__xludf.DUMMYFUNCTION("""COMPUTED_VALUE"""),"")</f>
        <v/>
      </c>
    </row>
    <row r="20">
      <c r="A20" s="4" t="str">
        <f>IFERROR(__xludf.DUMMYFUNCTION("""COMPUTED_VALUE"""),"19 - Channel 5")</f>
        <v>19 - Channel 5</v>
      </c>
      <c r="B20" s="4" t="str">
        <f>IFERROR(__xludf.DUMMYFUNCTION("""COMPUTED_VALUE"""),"Day 1 - 23/06")</f>
        <v>Day 1 - 23/06</v>
      </c>
      <c r="C20" s="6">
        <f>IFERROR(__xludf.DUMMYFUNCTION("""COMPUTED_VALUE"""),0.4913078703703705)</f>
        <v>0.4913078704</v>
      </c>
      <c r="D20" s="8">
        <f>IFERROR(__xludf.DUMMYFUNCTION("""COMPUTED_VALUE"""),1.7361111111111112E-4)</f>
        <v>0.0001736111111</v>
      </c>
      <c r="E20" s="6">
        <f>IFERROR(__xludf.DUMMYFUNCTION("""COMPUTED_VALUE"""),0.49148148148148163)</f>
        <v>0.4914814815</v>
      </c>
      <c r="F20" s="4" t="str">
        <f>IFERROR(__xludf.DUMMYFUNCTION("""COMPUTED_VALUE"""),"")</f>
        <v/>
      </c>
      <c r="G20" s="4" t="str">
        <f>IFERROR(__xludf.DUMMYFUNCTION("""COMPUTED_VALUE"""),"")</f>
        <v/>
      </c>
      <c r="H20" s="4" t="str">
        <f>IFERROR(__xludf.DUMMYFUNCTION("""COMPUTED_VALUE"""),"")</f>
        <v/>
      </c>
      <c r="I20" s="4" t="str">
        <f>IFERROR(__xludf.DUMMYFUNCTION("""COMPUTED_VALUE"""),"")</f>
        <v/>
      </c>
      <c r="J20" s="4" t="str">
        <f>IFERROR(__xludf.DUMMYFUNCTION("""COMPUTED_VALUE"""),"")</f>
        <v/>
      </c>
      <c r="K20" s="4" t="str">
        <f>IFERROR(__xludf.DUMMYFUNCTION("""COMPUTED_VALUE"""),"Talk Outro")</f>
        <v>Talk Outro</v>
      </c>
      <c r="L20" s="4" t="str">
        <f>IFERROR(__xludf.DUMMYFUNCTION("""COMPUTED_VALUE"""),"")</f>
        <v/>
      </c>
      <c r="M20" s="4" t="str">
        <f>IFERROR(__xludf.DUMMYFUNCTION("""COMPUTED_VALUE"""),"")</f>
        <v/>
      </c>
      <c r="N20" s="4" t="str">
        <f>IFERROR(__xludf.DUMMYFUNCTION("""COMPUTED_VALUE"""),"")</f>
        <v/>
      </c>
      <c r="O20" s="4" t="str">
        <f>IFERROR(__xludf.DUMMYFUNCTION("""COMPUTED_VALUE"""),"")</f>
        <v/>
      </c>
      <c r="P20" s="4" t="str">
        <f>IFERROR(__xludf.DUMMYFUNCTION("""COMPUTED_VALUE"""),"")</f>
        <v/>
      </c>
      <c r="Q20" s="4" t="str">
        <f>IFERROR(__xludf.DUMMYFUNCTION("""COMPUTED_VALUE"""),"")</f>
        <v/>
      </c>
      <c r="R20" s="4" t="str">
        <f>IFERROR(__xludf.DUMMYFUNCTION("""COMPUTED_VALUE"""),"")</f>
        <v/>
      </c>
    </row>
    <row r="21">
      <c r="A21" s="4" t="str">
        <f>IFERROR(__xludf.DUMMYFUNCTION("""COMPUTED_VALUE"""),"343 - Channel 5")</f>
        <v>343 - Channel 5</v>
      </c>
      <c r="B21" s="4" t="str">
        <f>IFERROR(__xludf.DUMMYFUNCTION("""COMPUTED_VALUE"""),"Day 1 - 23/06")</f>
        <v>Day 1 - 23/06</v>
      </c>
      <c r="C21" s="6">
        <f>IFERROR(__xludf.DUMMYFUNCTION("""COMPUTED_VALUE"""),0.49148148148148163)</f>
        <v>0.4914814815</v>
      </c>
      <c r="D21" s="8">
        <f>IFERROR(__xludf.DUMMYFUNCTION("""COMPUTED_VALUE"""),6.944444444444445E-4)</f>
        <v>0.0006944444444</v>
      </c>
      <c r="E21" s="6">
        <f>IFERROR(__xludf.DUMMYFUNCTION("""COMPUTED_VALUE"""),0.49217592592592607)</f>
        <v>0.4921759259</v>
      </c>
      <c r="F21" s="4" t="str">
        <f>IFERROR(__xludf.DUMMYFUNCTION("""COMPUTED_VALUE"""),"")</f>
        <v/>
      </c>
      <c r="G21" s="4" t="str">
        <f>IFERROR(__xludf.DUMMYFUNCTION("""COMPUTED_VALUE"""),"")</f>
        <v/>
      </c>
      <c r="H21" s="4" t="str">
        <f>IFERROR(__xludf.DUMMYFUNCTION("""COMPUTED_VALUE"""),"")</f>
        <v/>
      </c>
      <c r="I21" s="4" t="str">
        <f>IFERROR(__xludf.DUMMYFUNCTION("""COMPUTED_VALUE"""),"")</f>
        <v/>
      </c>
      <c r="J21" s="4" t="str">
        <f>IFERROR(__xludf.DUMMYFUNCTION("""COMPUTED_VALUE"""),"")</f>
        <v/>
      </c>
      <c r="K21" s="4" t="str">
        <f>IFERROR(__xludf.DUMMYFUNCTION("""COMPUTED_VALUE"""),"Holding Graphic")</f>
        <v>Holding Graphic</v>
      </c>
      <c r="L21" s="4" t="str">
        <f>IFERROR(__xludf.DUMMYFUNCTION("""COMPUTED_VALUE"""),"")</f>
        <v/>
      </c>
      <c r="M21" s="4" t="str">
        <f>IFERROR(__xludf.DUMMYFUNCTION("""COMPUTED_VALUE"""),"")</f>
        <v/>
      </c>
      <c r="N21" s="4" t="str">
        <f>IFERROR(__xludf.DUMMYFUNCTION("""COMPUTED_VALUE"""),"")</f>
        <v/>
      </c>
      <c r="O21" s="4" t="str">
        <f>IFERROR(__xludf.DUMMYFUNCTION("""COMPUTED_VALUE"""),"")</f>
        <v/>
      </c>
      <c r="P21" s="4" t="str">
        <f>IFERROR(__xludf.DUMMYFUNCTION("""COMPUTED_VALUE"""),"")</f>
        <v/>
      </c>
      <c r="Q21" s="4" t="str">
        <f>IFERROR(__xludf.DUMMYFUNCTION("""COMPUTED_VALUE"""),"")</f>
        <v/>
      </c>
      <c r="R21" s="4" t="str">
        <f>IFERROR(__xludf.DUMMYFUNCTION("""COMPUTED_VALUE"""),"")</f>
        <v/>
      </c>
    </row>
    <row r="22">
      <c r="A22" s="4" t="str">
        <f>IFERROR(__xludf.DUMMYFUNCTION("""COMPUTED_VALUE"""),"20 - Channel 5")</f>
        <v>20 - Channel 5</v>
      </c>
      <c r="B22" s="4" t="str">
        <f>IFERROR(__xludf.DUMMYFUNCTION("""COMPUTED_VALUE"""),"Day 1 - 23/06")</f>
        <v>Day 1 - 23/06</v>
      </c>
      <c r="C22" s="6">
        <f>IFERROR(__xludf.DUMMYFUNCTION("""COMPUTED_VALUE"""),0.49217592592592607)</f>
        <v>0.4921759259</v>
      </c>
      <c r="D22" s="8">
        <f>IFERROR(__xludf.DUMMYFUNCTION("""COMPUTED_VALUE"""),5.208333333333333E-4)</f>
        <v>0.0005208333333</v>
      </c>
      <c r="E22" s="6">
        <f>IFERROR(__xludf.DUMMYFUNCTION("""COMPUTED_VALUE"""),0.49269675925925943)</f>
        <v>0.4926967593</v>
      </c>
      <c r="F22" s="4" t="str">
        <f>IFERROR(__xludf.DUMMYFUNCTION("""COMPUTED_VALUE"""),"")</f>
        <v/>
      </c>
      <c r="G22" s="4" t="str">
        <f>IFERROR(__xludf.DUMMYFUNCTION("""COMPUTED_VALUE"""),"")</f>
        <v/>
      </c>
      <c r="H22" s="4" t="str">
        <f>IFERROR(__xludf.DUMMYFUNCTION("""COMPUTED_VALUE"""),"")</f>
        <v/>
      </c>
      <c r="I22" s="4" t="str">
        <f>IFERROR(__xludf.DUMMYFUNCTION("""COMPUTED_VALUE"""),"")</f>
        <v/>
      </c>
      <c r="J22" s="4" t="str">
        <f>IFERROR(__xludf.DUMMYFUNCTION("""COMPUTED_VALUE"""),"")</f>
        <v/>
      </c>
      <c r="K22" s="4" t="str">
        <f>IFERROR(__xludf.DUMMYFUNCTION("""COMPUTED_VALUE"""),"Web Summit Trailer - full")</f>
        <v>Web Summit Trailer - full</v>
      </c>
      <c r="L22" s="4" t="str">
        <f>IFERROR(__xludf.DUMMYFUNCTION("""COMPUTED_VALUE"""),"")</f>
        <v/>
      </c>
      <c r="M22" s="4" t="str">
        <f>IFERROR(__xludf.DUMMYFUNCTION("""COMPUTED_VALUE"""),"")</f>
        <v/>
      </c>
      <c r="N22" s="4" t="str">
        <f>IFERROR(__xludf.DUMMYFUNCTION("""COMPUTED_VALUE"""),"")</f>
        <v/>
      </c>
      <c r="O22" s="4" t="str">
        <f>IFERROR(__xludf.DUMMYFUNCTION("""COMPUTED_VALUE"""),"")</f>
        <v/>
      </c>
      <c r="P22" s="4" t="str">
        <f>IFERROR(__xludf.DUMMYFUNCTION("""COMPUTED_VALUE"""),"")</f>
        <v/>
      </c>
      <c r="Q22" s="4" t="str">
        <f>IFERROR(__xludf.DUMMYFUNCTION("""COMPUTED_VALUE"""),"")</f>
        <v/>
      </c>
      <c r="R22" s="4" t="str">
        <f>IFERROR(__xludf.DUMMYFUNCTION("""COMPUTED_VALUE"""),"")</f>
        <v/>
      </c>
    </row>
    <row r="23">
      <c r="A23" s="4" t="str">
        <f>IFERROR(__xludf.DUMMYFUNCTION("""COMPUTED_VALUE"""),"21 - Channel 5")</f>
        <v>21 - Channel 5</v>
      </c>
      <c r="B23" s="4" t="str">
        <f>IFERROR(__xludf.DUMMYFUNCTION("""COMPUTED_VALUE"""),"Day 1 - 23/06")</f>
        <v>Day 1 - 23/06</v>
      </c>
      <c r="C23" s="6">
        <f>IFERROR(__xludf.DUMMYFUNCTION("""COMPUTED_VALUE"""),0.49269675925925943)</f>
        <v>0.4926967593</v>
      </c>
      <c r="D23" s="8">
        <f>IFERROR(__xludf.DUMMYFUNCTION("""COMPUTED_VALUE"""),3.4722222222222224E-4)</f>
        <v>0.0003472222222</v>
      </c>
      <c r="E23" s="6">
        <f>IFERROR(__xludf.DUMMYFUNCTION("""COMPUTED_VALUE"""),0.49304398148148165)</f>
        <v>0.4930439815</v>
      </c>
      <c r="F23" s="4" t="str">
        <f>IFERROR(__xludf.DUMMYFUNCTION("""COMPUTED_VALUE"""),"")</f>
        <v/>
      </c>
      <c r="G23" s="4" t="str">
        <f>IFERROR(__xludf.DUMMYFUNCTION("""COMPUTED_VALUE"""),"")</f>
        <v/>
      </c>
      <c r="H23" s="4" t="str">
        <f>IFERROR(__xludf.DUMMYFUNCTION("""COMPUTED_VALUE"""),"")</f>
        <v/>
      </c>
      <c r="I23" s="4" t="str">
        <f>IFERROR(__xludf.DUMMYFUNCTION("""COMPUTED_VALUE"""),"")</f>
        <v/>
      </c>
      <c r="J23" s="4" t="str">
        <f>IFERROR(__xludf.DUMMYFUNCTION("""COMPUTED_VALUE"""),"")</f>
        <v/>
      </c>
      <c r="K23" s="4" t="str">
        <f>IFERROR(__xludf.DUMMYFUNCTION("""COMPUTED_VALUE"""),"Talk Intro")</f>
        <v>Talk Intro</v>
      </c>
      <c r="L23" s="4" t="str">
        <f>IFERROR(__xludf.DUMMYFUNCTION("""COMPUTED_VALUE"""),"")</f>
        <v/>
      </c>
      <c r="M23" s="4" t="str">
        <f>IFERROR(__xludf.DUMMYFUNCTION("""COMPUTED_VALUE"""),"")</f>
        <v/>
      </c>
      <c r="N23" s="4" t="str">
        <f>IFERROR(__xludf.DUMMYFUNCTION("""COMPUTED_VALUE"""),"")</f>
        <v/>
      </c>
      <c r="O23" s="4" t="str">
        <f>IFERROR(__xludf.DUMMYFUNCTION("""COMPUTED_VALUE"""),"")</f>
        <v/>
      </c>
      <c r="P23" s="4" t="str">
        <f>IFERROR(__xludf.DUMMYFUNCTION("""COMPUTED_VALUE"""),"")</f>
        <v/>
      </c>
      <c r="Q23" s="4" t="str">
        <f>IFERROR(__xludf.DUMMYFUNCTION("""COMPUTED_VALUE"""),"")</f>
        <v/>
      </c>
      <c r="R23" s="4" t="str">
        <f>IFERROR(__xludf.DUMMYFUNCTION("""COMPUTED_VALUE"""),"")</f>
        <v/>
      </c>
    </row>
    <row r="24">
      <c r="A24" s="4" t="str">
        <f>IFERROR(__xludf.DUMMYFUNCTION("""COMPUTED_VALUE"""),"22 - Channel 5")</f>
        <v>22 - Channel 5</v>
      </c>
      <c r="B24" s="4" t="str">
        <f>IFERROR(__xludf.DUMMYFUNCTION("""COMPUTED_VALUE"""),"Day 1 - 23/06")</f>
        <v>Day 1 - 23/06</v>
      </c>
      <c r="C24" s="6">
        <f>IFERROR(__xludf.DUMMYFUNCTION("""COMPUTED_VALUE"""),0.49304398148148165)</f>
        <v>0.4930439815</v>
      </c>
      <c r="D24" s="8">
        <f>IFERROR(__xludf.DUMMYFUNCTION("""COMPUTED_VALUE"""),0.006944444444444444)</f>
        <v>0.006944444444</v>
      </c>
      <c r="E24" s="6">
        <f>IFERROR(__xludf.DUMMYFUNCTION("""COMPUTED_VALUE"""),0.49998842592592607)</f>
        <v>0.4999884259</v>
      </c>
      <c r="F24" s="4" t="str">
        <f>IFERROR(__xludf.DUMMYFUNCTION("""COMPUTED_VALUE"""),"Investment")</f>
        <v>Investment</v>
      </c>
      <c r="G24" s="4" t="str">
        <f>IFERROR(__xludf.DUMMYFUNCTION("""COMPUTED_VALUE"""),"")</f>
        <v/>
      </c>
      <c r="H24" s="4" t="str">
        <f>IFERROR(__xludf.DUMMYFUNCTION("""COMPUTED_VALUE"""),"")</f>
        <v/>
      </c>
      <c r="I24" s="4" t="str">
        <f>IFERROR(__xludf.DUMMYFUNCTION("""COMPUTED_VALUE"""),"")</f>
        <v/>
      </c>
      <c r="J24" s="4" t="str">
        <f>IFERROR(__xludf.DUMMYFUNCTION("""COMPUTED_VALUE"""),"No")</f>
        <v>No</v>
      </c>
      <c r="K24" s="4" t="str">
        <f>IFERROR(__xludf.DUMMYFUNCTION("""COMPUTED_VALUE"""),"Top 5 investors")</f>
        <v>Top 5 investors</v>
      </c>
      <c r="L24" s="4" t="str">
        <f>IFERROR(__xludf.DUMMYFUNCTION("""COMPUTED_VALUE"""),"Neil Shen, Sequoia Capital")</f>
        <v>Neil Shen, Sequoia Capital</v>
      </c>
      <c r="M24" s="4" t="str">
        <f>IFERROR(__xludf.DUMMYFUNCTION("""COMPUTED_VALUE"""),"Steve Anderson, Baseline Ventures")</f>
        <v>Steve Anderson, Baseline Ventures</v>
      </c>
      <c r="N24" s="4" t="str">
        <f>IFERROR(__xludf.DUMMYFUNCTION("""COMPUTED_VALUE"""),"Jenny Lee, GGV Capital")</f>
        <v>Jenny Lee, GGV Capital</v>
      </c>
      <c r="O24" s="4" t="str">
        <f>IFERROR(__xludf.DUMMYFUNCTION("""COMPUTED_VALUE"""),"Dana Settle, Greycroft")</f>
        <v>Dana Settle, Greycroft</v>
      </c>
      <c r="P24" s="4" t="str">
        <f>IFERROR(__xludf.DUMMYFUNCTION("""COMPUTED_VALUE"""),"Jim Breyer, Breyer Capital")</f>
        <v>Jim Breyer, Breyer Capital</v>
      </c>
      <c r="Q24" s="4" t="str">
        <f>IFERROR(__xludf.DUMMYFUNCTION("""COMPUTED_VALUE"""),"Featuring Neil Shen, Steve Anderson, Jenny Lee, Dana Settle and Jim Breyer. Becoming a great investor is no easy feat. These five are some of the world's best – tune in to hear how they did it.")</f>
        <v>Featuring Neil Shen, Steve Anderson, Jenny Lee, Dana Settle and Jim Breyer. Becoming a great investor is no easy feat. These five are some of the world's best – tune in to hear how they did it.</v>
      </c>
      <c r="R24" s="4" t="str">
        <f>IFERROR(__xludf.DUMMYFUNCTION("""COMPUTED_VALUE"""),"")</f>
        <v/>
      </c>
    </row>
    <row r="25">
      <c r="A25" s="4" t="str">
        <f>IFERROR(__xludf.DUMMYFUNCTION("""COMPUTED_VALUE"""),"23 - Channel 5")</f>
        <v>23 - Channel 5</v>
      </c>
      <c r="B25" s="4" t="str">
        <f>IFERROR(__xludf.DUMMYFUNCTION("""COMPUTED_VALUE"""),"Day 1 - 23/06")</f>
        <v>Day 1 - 23/06</v>
      </c>
      <c r="C25" s="6">
        <f>IFERROR(__xludf.DUMMYFUNCTION("""COMPUTED_VALUE"""),0.49998842592592607)</f>
        <v>0.4999884259</v>
      </c>
      <c r="D25" s="8">
        <f>IFERROR(__xludf.DUMMYFUNCTION("""COMPUTED_VALUE"""),1.7361111111111112E-4)</f>
        <v>0.0001736111111</v>
      </c>
      <c r="E25" s="6">
        <f>IFERROR(__xludf.DUMMYFUNCTION("""COMPUTED_VALUE"""),0.5001620370370372)</f>
        <v>0.500162037</v>
      </c>
      <c r="F25" s="4" t="str">
        <f>IFERROR(__xludf.DUMMYFUNCTION("""COMPUTED_VALUE"""),"")</f>
        <v/>
      </c>
      <c r="G25" s="4" t="str">
        <f>IFERROR(__xludf.DUMMYFUNCTION("""COMPUTED_VALUE"""),"")</f>
        <v/>
      </c>
      <c r="H25" s="4" t="str">
        <f>IFERROR(__xludf.DUMMYFUNCTION("""COMPUTED_VALUE"""),"")</f>
        <v/>
      </c>
      <c r="I25" s="4" t="str">
        <f>IFERROR(__xludf.DUMMYFUNCTION("""COMPUTED_VALUE"""),"")</f>
        <v/>
      </c>
      <c r="J25" s="4" t="str">
        <f>IFERROR(__xludf.DUMMYFUNCTION("""COMPUTED_VALUE"""),"")</f>
        <v/>
      </c>
      <c r="K25" s="4" t="str">
        <f>IFERROR(__xludf.DUMMYFUNCTION("""COMPUTED_VALUE"""),"Talk Outro")</f>
        <v>Talk Outro</v>
      </c>
      <c r="L25" s="4" t="str">
        <f>IFERROR(__xludf.DUMMYFUNCTION("""COMPUTED_VALUE"""),"")</f>
        <v/>
      </c>
      <c r="M25" s="4" t="str">
        <f>IFERROR(__xludf.DUMMYFUNCTION("""COMPUTED_VALUE"""),"")</f>
        <v/>
      </c>
      <c r="N25" s="4" t="str">
        <f>IFERROR(__xludf.DUMMYFUNCTION("""COMPUTED_VALUE"""),"")</f>
        <v/>
      </c>
      <c r="O25" s="4" t="str">
        <f>IFERROR(__xludf.DUMMYFUNCTION("""COMPUTED_VALUE"""),"")</f>
        <v/>
      </c>
      <c r="P25" s="4" t="str">
        <f>IFERROR(__xludf.DUMMYFUNCTION("""COMPUTED_VALUE"""),"")</f>
        <v/>
      </c>
      <c r="Q25" s="4" t="str">
        <f>IFERROR(__xludf.DUMMYFUNCTION("""COMPUTED_VALUE"""),"")</f>
        <v/>
      </c>
      <c r="R25" s="4" t="str">
        <f>IFERROR(__xludf.DUMMYFUNCTION("""COMPUTED_VALUE"""),"")</f>
        <v/>
      </c>
    </row>
    <row r="26">
      <c r="A26" s="4" t="str">
        <f>IFERROR(__xludf.DUMMYFUNCTION("""COMPUTED_VALUE"""),"25 - Channel 5")</f>
        <v>25 - Channel 5</v>
      </c>
      <c r="B26" s="4" t="str">
        <f>IFERROR(__xludf.DUMMYFUNCTION("""COMPUTED_VALUE"""),"Day 1 - 23/06")</f>
        <v>Day 1 - 23/06</v>
      </c>
      <c r="C26" s="6">
        <f>IFERROR(__xludf.DUMMYFUNCTION("""COMPUTED_VALUE"""),0.5001620370370372)</f>
        <v>0.500162037</v>
      </c>
      <c r="D26" s="8">
        <f>IFERROR(__xludf.DUMMYFUNCTION("""COMPUTED_VALUE"""),3.4722222222222224E-4)</f>
        <v>0.0003472222222</v>
      </c>
      <c r="E26" s="6">
        <f>IFERROR(__xludf.DUMMYFUNCTION("""COMPUTED_VALUE"""),0.5005092592592595)</f>
        <v>0.5005092593</v>
      </c>
      <c r="F26" s="4" t="str">
        <f>IFERROR(__xludf.DUMMYFUNCTION("""COMPUTED_VALUE"""),"")</f>
        <v/>
      </c>
      <c r="G26" s="4" t="str">
        <f>IFERROR(__xludf.DUMMYFUNCTION("""COMPUTED_VALUE"""),"")</f>
        <v/>
      </c>
      <c r="H26" s="4" t="str">
        <f>IFERROR(__xludf.DUMMYFUNCTION("""COMPUTED_VALUE"""),"")</f>
        <v/>
      </c>
      <c r="I26" s="4" t="str">
        <f>IFERROR(__xludf.DUMMYFUNCTION("""COMPUTED_VALUE"""),"")</f>
        <v/>
      </c>
      <c r="J26" s="4" t="str">
        <f>IFERROR(__xludf.DUMMYFUNCTION("""COMPUTED_VALUE"""),"")</f>
        <v/>
      </c>
      <c r="K26" s="4" t="str">
        <f>IFERROR(__xludf.DUMMYFUNCTION("""COMPUTED_VALUE"""),"Talk Intro")</f>
        <v>Talk Intro</v>
      </c>
      <c r="L26" s="4" t="str">
        <f>IFERROR(__xludf.DUMMYFUNCTION("""COMPUTED_VALUE"""),"")</f>
        <v/>
      </c>
      <c r="M26" s="4" t="str">
        <f>IFERROR(__xludf.DUMMYFUNCTION("""COMPUTED_VALUE"""),"")</f>
        <v/>
      </c>
      <c r="N26" s="4" t="str">
        <f>IFERROR(__xludf.DUMMYFUNCTION("""COMPUTED_VALUE"""),"")</f>
        <v/>
      </c>
      <c r="O26" s="4" t="str">
        <f>IFERROR(__xludf.DUMMYFUNCTION("""COMPUTED_VALUE"""),"")</f>
        <v/>
      </c>
      <c r="P26" s="4" t="str">
        <f>IFERROR(__xludf.DUMMYFUNCTION("""COMPUTED_VALUE"""),"")</f>
        <v/>
      </c>
      <c r="Q26" s="4" t="str">
        <f>IFERROR(__xludf.DUMMYFUNCTION("""COMPUTED_VALUE"""),"")</f>
        <v/>
      </c>
      <c r="R26" s="4" t="str">
        <f>IFERROR(__xludf.DUMMYFUNCTION("""COMPUTED_VALUE"""),"")</f>
        <v/>
      </c>
    </row>
    <row r="27">
      <c r="A27" s="4" t="str">
        <f>IFERROR(__xludf.DUMMYFUNCTION("""COMPUTED_VALUE"""),"26 - Channel 5")</f>
        <v>26 - Channel 5</v>
      </c>
      <c r="B27" s="4" t="str">
        <f>IFERROR(__xludf.DUMMYFUNCTION("""COMPUTED_VALUE"""),"Day 1 - 23/06")</f>
        <v>Day 1 - 23/06</v>
      </c>
      <c r="C27" s="6">
        <f>IFERROR(__xludf.DUMMYFUNCTION("""COMPUTED_VALUE"""),0.5005092592592595)</f>
        <v>0.5005092593</v>
      </c>
      <c r="D27" s="8">
        <f>IFERROR(__xludf.DUMMYFUNCTION("""COMPUTED_VALUE"""),0.015509259259259259)</f>
        <v>0.01550925926</v>
      </c>
      <c r="E27" s="6">
        <f>IFERROR(__xludf.DUMMYFUNCTION("""COMPUTED_VALUE"""),0.5160185185185188)</f>
        <v>0.5160185185</v>
      </c>
      <c r="F27" s="4" t="str">
        <f>IFERROR(__xludf.DUMMYFUNCTION("""COMPUTED_VALUE"""),"Investment")</f>
        <v>Investment</v>
      </c>
      <c r="G27" s="4" t="str">
        <f>IFERROR(__xludf.DUMMYFUNCTION("""COMPUTED_VALUE"""),"Web Summit 2014")</f>
        <v>Web Summit 2014</v>
      </c>
      <c r="H27" s="21" t="str">
        <f>IFERROR(__xludf.DUMMYFUNCTION("""COMPUTED_VALUE"""),"https://www.youtube.com/watch?v=Bqsdh-6y-d8&amp;list=PLxptNs2MLOjnmKh9GQbjGOfg3BMxHXASb&amp;index=28")</f>
        <v>https://www.youtube.com/watch?v=Bqsdh-6y-d8&amp;list=PLxptNs2MLOjnmKh9GQbjGOfg3BMxHXASb&amp;index=28</v>
      </c>
      <c r="I27" s="4" t="str">
        <f>IFERROR(__xludf.DUMMYFUNCTION("""COMPUTED_VALUE"""),"Start on 2 secs. Finish on 22:21.")</f>
        <v>Start on 2 secs. Finish on 22:21.</v>
      </c>
      <c r="J27" s="4" t="str">
        <f>IFERROR(__xludf.DUMMYFUNCTION("""COMPUTED_VALUE"""),"No")</f>
        <v>No</v>
      </c>
      <c r="K27" s="4" t="str">
        <f>IFERROR(__xludf.DUMMYFUNCTION("""COMPUTED_VALUE"""),"The next level of civilisation with Peter Thiel")</f>
        <v>The next level of civilisation with Peter Thiel</v>
      </c>
      <c r="L27" s="4" t="str">
        <f>IFERROR(__xludf.DUMMYFUNCTION("""COMPUTED_VALUE"""),"Peter Thiel, Founders Fund")</f>
        <v>Peter Thiel, Founders Fund</v>
      </c>
      <c r="M27" s="4" t="str">
        <f>IFERROR(__xludf.DUMMYFUNCTION("""COMPUTED_VALUE"""),"")</f>
        <v/>
      </c>
      <c r="N27" s="4" t="str">
        <f>IFERROR(__xludf.DUMMYFUNCTION("""COMPUTED_VALUE"""),"")</f>
        <v/>
      </c>
      <c r="O27" s="4" t="str">
        <f>IFERROR(__xludf.DUMMYFUNCTION("""COMPUTED_VALUE"""),"")</f>
        <v/>
      </c>
      <c r="P27" s="4" t="str">
        <f>IFERROR(__xludf.DUMMYFUNCTION("""COMPUTED_VALUE"""),"")</f>
        <v/>
      </c>
      <c r="Q27" s="4" t="str">
        <f>IFERROR(__xludf.DUMMYFUNCTION("""COMPUTED_VALUE"""),"Peter Thiel is known for lots of titles: co-founder of PayPal, investor in LinkedIn, board member at Facebook and, above all, provocative thinker. Join Peter on this fireside where he reveals the justifications and dangers of creative monopolies.")</f>
        <v>Peter Thiel is known for lots of titles: co-founder of PayPal, investor in LinkedIn, board member at Facebook and, above all, provocative thinker. Join Peter on this fireside where he reveals the justifications and dangers of creative monopolies.</v>
      </c>
      <c r="R27" s="4" t="str">
        <f>IFERROR(__xludf.DUMMYFUNCTION("""COMPUTED_VALUE"""),"")</f>
        <v/>
      </c>
    </row>
    <row r="28">
      <c r="A28" s="4" t="str">
        <f>IFERROR(__xludf.DUMMYFUNCTION("""COMPUTED_VALUE"""),"27 - Channel 5")</f>
        <v>27 - Channel 5</v>
      </c>
      <c r="B28" s="4" t="str">
        <f>IFERROR(__xludf.DUMMYFUNCTION("""COMPUTED_VALUE"""),"Day 1 - 23/06")</f>
        <v>Day 1 - 23/06</v>
      </c>
      <c r="C28" s="6">
        <f>IFERROR(__xludf.DUMMYFUNCTION("""COMPUTED_VALUE"""),0.5160185185185188)</f>
        <v>0.5160185185</v>
      </c>
      <c r="D28" s="8">
        <f>IFERROR(__xludf.DUMMYFUNCTION("""COMPUTED_VALUE"""),1.7361111111111112E-4)</f>
        <v>0.0001736111111</v>
      </c>
      <c r="E28" s="6">
        <f>IFERROR(__xludf.DUMMYFUNCTION("""COMPUTED_VALUE"""),0.5161921296296299)</f>
        <v>0.5161921296</v>
      </c>
      <c r="F28" s="4" t="str">
        <f>IFERROR(__xludf.DUMMYFUNCTION("""COMPUTED_VALUE"""),"")</f>
        <v/>
      </c>
      <c r="G28" s="4" t="str">
        <f>IFERROR(__xludf.DUMMYFUNCTION("""COMPUTED_VALUE"""),"")</f>
        <v/>
      </c>
      <c r="H28" s="4" t="str">
        <f>IFERROR(__xludf.DUMMYFUNCTION("""COMPUTED_VALUE"""),"")</f>
        <v/>
      </c>
      <c r="I28" s="4" t="str">
        <f>IFERROR(__xludf.DUMMYFUNCTION("""COMPUTED_VALUE"""),"")</f>
        <v/>
      </c>
      <c r="J28" s="4" t="str">
        <f>IFERROR(__xludf.DUMMYFUNCTION("""COMPUTED_VALUE"""),"")</f>
        <v/>
      </c>
      <c r="K28" s="4" t="str">
        <f>IFERROR(__xludf.DUMMYFUNCTION("""COMPUTED_VALUE"""),"Talk Outro")</f>
        <v>Talk Outro</v>
      </c>
      <c r="L28" s="4" t="str">
        <f>IFERROR(__xludf.DUMMYFUNCTION("""COMPUTED_VALUE"""),"")</f>
        <v/>
      </c>
      <c r="M28" s="4" t="str">
        <f>IFERROR(__xludf.DUMMYFUNCTION("""COMPUTED_VALUE"""),"")</f>
        <v/>
      </c>
      <c r="N28" s="4" t="str">
        <f>IFERROR(__xludf.DUMMYFUNCTION("""COMPUTED_VALUE"""),"")</f>
        <v/>
      </c>
      <c r="O28" s="4" t="str">
        <f>IFERROR(__xludf.DUMMYFUNCTION("""COMPUTED_VALUE"""),"")</f>
        <v/>
      </c>
      <c r="P28" s="4" t="str">
        <f>IFERROR(__xludf.DUMMYFUNCTION("""COMPUTED_VALUE"""),"")</f>
        <v/>
      </c>
      <c r="Q28" s="4" t="str">
        <f>IFERROR(__xludf.DUMMYFUNCTION("""COMPUTED_VALUE"""),"")</f>
        <v/>
      </c>
      <c r="R28" s="4" t="str">
        <f>IFERROR(__xludf.DUMMYFUNCTION("""COMPUTED_VALUE"""),"")</f>
        <v/>
      </c>
    </row>
    <row r="29">
      <c r="A29" s="4" t="str">
        <f>IFERROR(__xludf.DUMMYFUNCTION("""COMPUTED_VALUE"""),"285 - Channel 5")</f>
        <v>285 - Channel 5</v>
      </c>
      <c r="B29" s="4" t="str">
        <f>IFERROR(__xludf.DUMMYFUNCTION("""COMPUTED_VALUE"""),"Day 1 - 23/06")</f>
        <v>Day 1 - 23/06</v>
      </c>
      <c r="C29" s="6">
        <f>IFERROR(__xludf.DUMMYFUNCTION("""COMPUTED_VALUE"""),0.5161921296296299)</f>
        <v>0.5161921296</v>
      </c>
      <c r="D29" s="8">
        <f>IFERROR(__xludf.DUMMYFUNCTION("""COMPUTED_VALUE"""),3.4722222222222224E-4)</f>
        <v>0.0003472222222</v>
      </c>
      <c r="E29" s="6">
        <f>IFERROR(__xludf.DUMMYFUNCTION("""COMPUTED_VALUE"""),0.5165393518518522)</f>
        <v>0.5165393519</v>
      </c>
      <c r="F29" s="4" t="str">
        <f>IFERROR(__xludf.DUMMYFUNCTION("""COMPUTED_VALUE"""),"")</f>
        <v/>
      </c>
      <c r="G29" s="4" t="str">
        <f>IFERROR(__xludf.DUMMYFUNCTION("""COMPUTED_VALUE"""),"")</f>
        <v/>
      </c>
      <c r="H29" s="4" t="str">
        <f>IFERROR(__xludf.DUMMYFUNCTION("""COMPUTED_VALUE"""),"")</f>
        <v/>
      </c>
      <c r="I29" s="4" t="str">
        <f>IFERROR(__xludf.DUMMYFUNCTION("""COMPUTED_VALUE"""),"")</f>
        <v/>
      </c>
      <c r="J29" s="4" t="str">
        <f>IFERROR(__xludf.DUMMYFUNCTION("""COMPUTED_VALUE"""),"")</f>
        <v/>
      </c>
      <c r="K29" s="4" t="str">
        <f>IFERROR(__xludf.DUMMYFUNCTION("""COMPUTED_VALUE"""),"Web Summit Trailer - short")</f>
        <v>Web Summit Trailer - short</v>
      </c>
      <c r="L29" s="4" t="str">
        <f>IFERROR(__xludf.DUMMYFUNCTION("""COMPUTED_VALUE"""),"")</f>
        <v/>
      </c>
      <c r="M29" s="4" t="str">
        <f>IFERROR(__xludf.DUMMYFUNCTION("""COMPUTED_VALUE"""),"")</f>
        <v/>
      </c>
      <c r="N29" s="4" t="str">
        <f>IFERROR(__xludf.DUMMYFUNCTION("""COMPUTED_VALUE"""),"")</f>
        <v/>
      </c>
      <c r="O29" s="4" t="str">
        <f>IFERROR(__xludf.DUMMYFUNCTION("""COMPUTED_VALUE"""),"")</f>
        <v/>
      </c>
      <c r="P29" s="4" t="str">
        <f>IFERROR(__xludf.DUMMYFUNCTION("""COMPUTED_VALUE"""),"")</f>
        <v/>
      </c>
      <c r="Q29" s="4" t="str">
        <f>IFERROR(__xludf.DUMMYFUNCTION("""COMPUTED_VALUE"""),"")</f>
        <v/>
      </c>
      <c r="R29" s="4" t="str">
        <f>IFERROR(__xludf.DUMMYFUNCTION("""COMPUTED_VALUE"""),"")</f>
        <v/>
      </c>
    </row>
    <row r="30">
      <c r="A30" s="4" t="str">
        <f>IFERROR(__xludf.DUMMYFUNCTION("""COMPUTED_VALUE"""),"29 - Channel 5")</f>
        <v>29 - Channel 5</v>
      </c>
      <c r="B30" s="4" t="str">
        <f>IFERROR(__xludf.DUMMYFUNCTION("""COMPUTED_VALUE"""),"Day 1 - 23/06")</f>
        <v>Day 1 - 23/06</v>
      </c>
      <c r="C30" s="6">
        <f>IFERROR(__xludf.DUMMYFUNCTION("""COMPUTED_VALUE"""),0.5165393518518522)</f>
        <v>0.5165393519</v>
      </c>
      <c r="D30" s="8">
        <f>IFERROR(__xludf.DUMMYFUNCTION("""COMPUTED_VALUE"""),3.4722222222222224E-4)</f>
        <v>0.0003472222222</v>
      </c>
      <c r="E30" s="6">
        <f>IFERROR(__xludf.DUMMYFUNCTION("""COMPUTED_VALUE"""),0.5168865740740745)</f>
        <v>0.5168865741</v>
      </c>
      <c r="F30" s="4" t="str">
        <f>IFERROR(__xludf.DUMMYFUNCTION("""COMPUTED_VALUE"""),"")</f>
        <v/>
      </c>
      <c r="G30" s="4" t="str">
        <f>IFERROR(__xludf.DUMMYFUNCTION("""COMPUTED_VALUE"""),"")</f>
        <v/>
      </c>
      <c r="H30" s="4" t="str">
        <f>IFERROR(__xludf.DUMMYFUNCTION("""COMPUTED_VALUE"""),"")</f>
        <v/>
      </c>
      <c r="I30" s="4" t="str">
        <f>IFERROR(__xludf.DUMMYFUNCTION("""COMPUTED_VALUE"""),"")</f>
        <v/>
      </c>
      <c r="J30" s="4" t="str">
        <f>IFERROR(__xludf.DUMMYFUNCTION("""COMPUTED_VALUE"""),"")</f>
        <v/>
      </c>
      <c r="K30" s="4" t="str">
        <f>IFERROR(__xludf.DUMMYFUNCTION("""COMPUTED_VALUE"""),"Talk Intro")</f>
        <v>Talk Intro</v>
      </c>
      <c r="L30" s="4" t="str">
        <f>IFERROR(__xludf.DUMMYFUNCTION("""COMPUTED_VALUE"""),"")</f>
        <v/>
      </c>
      <c r="M30" s="4" t="str">
        <f>IFERROR(__xludf.DUMMYFUNCTION("""COMPUTED_VALUE"""),"")</f>
        <v/>
      </c>
      <c r="N30" s="4" t="str">
        <f>IFERROR(__xludf.DUMMYFUNCTION("""COMPUTED_VALUE"""),"")</f>
        <v/>
      </c>
      <c r="O30" s="4" t="str">
        <f>IFERROR(__xludf.DUMMYFUNCTION("""COMPUTED_VALUE"""),"")</f>
        <v/>
      </c>
      <c r="P30" s="4" t="str">
        <f>IFERROR(__xludf.DUMMYFUNCTION("""COMPUTED_VALUE"""),"")</f>
        <v/>
      </c>
      <c r="Q30" s="4" t="str">
        <f>IFERROR(__xludf.DUMMYFUNCTION("""COMPUTED_VALUE"""),"")</f>
        <v/>
      </c>
      <c r="R30" s="4" t="str">
        <f>IFERROR(__xludf.DUMMYFUNCTION("""COMPUTED_VALUE"""),"")</f>
        <v/>
      </c>
    </row>
    <row r="31">
      <c r="A31" s="4" t="str">
        <f>IFERROR(__xludf.DUMMYFUNCTION("""COMPUTED_VALUE"""),"30 - Channel 5")</f>
        <v>30 - Channel 5</v>
      </c>
      <c r="B31" s="4" t="str">
        <f>IFERROR(__xludf.DUMMYFUNCTION("""COMPUTED_VALUE"""),"Day 1 - 23/06")</f>
        <v>Day 1 - 23/06</v>
      </c>
      <c r="C31" s="6">
        <f>IFERROR(__xludf.DUMMYFUNCTION("""COMPUTED_VALUE"""),0.5168865740740745)</f>
        <v>0.5168865741</v>
      </c>
      <c r="D31" s="8">
        <f>IFERROR(__xludf.DUMMYFUNCTION("""COMPUTED_VALUE"""),0.015439814814814814)</f>
        <v>0.01543981481</v>
      </c>
      <c r="E31" s="6">
        <f>IFERROR(__xludf.DUMMYFUNCTION("""COMPUTED_VALUE"""),0.5323263888888893)</f>
        <v>0.5323263889</v>
      </c>
      <c r="F31" s="4" t="str">
        <f>IFERROR(__xludf.DUMMYFUNCTION("""COMPUTED_VALUE"""),"Design")</f>
        <v>Design</v>
      </c>
      <c r="G31" s="4" t="str">
        <f>IFERROR(__xludf.DUMMYFUNCTION("""COMPUTED_VALUE"""),"Web Summit 2015")</f>
        <v>Web Summit 2015</v>
      </c>
      <c r="H31" s="21" t="str">
        <f>IFERROR(__xludf.DUMMYFUNCTION("""COMPUTED_VALUE"""),"https://www.youtube.com/watch?v=mLcRwWODJvY")</f>
        <v>https://www.youtube.com/watch?v=mLcRwWODJvY</v>
      </c>
      <c r="I31" s="4" t="str">
        <f>IFERROR(__xludf.DUMMYFUNCTION("""COMPUTED_VALUE"""),"Begin at 11 seconds. Finish at 22:23.")</f>
        <v>Begin at 11 seconds. Finish at 22:23.</v>
      </c>
      <c r="J31" s="4" t="str">
        <f>IFERROR(__xludf.DUMMYFUNCTION("""COMPUTED_VALUE"""),"No")</f>
        <v>No</v>
      </c>
      <c r="K31" s="4" t="str">
        <f>IFERROR(__xludf.DUMMYFUNCTION("""COMPUTED_VALUE"""),"Pixar and creativity with Ed Catmull")</f>
        <v>Pixar and creativity with Ed Catmull</v>
      </c>
      <c r="L31" s="4" t="str">
        <f>IFERROR(__xludf.DUMMYFUNCTION("""COMPUTED_VALUE"""),"Ed Catmull, Pixar")</f>
        <v>Ed Catmull, Pixar</v>
      </c>
      <c r="M31" s="4" t="str">
        <f>IFERROR(__xludf.DUMMYFUNCTION("""COMPUTED_VALUE"""),"")</f>
        <v/>
      </c>
      <c r="N31" s="4" t="str">
        <f>IFERROR(__xludf.DUMMYFUNCTION("""COMPUTED_VALUE"""),"")</f>
        <v/>
      </c>
      <c r="O31" s="4" t="str">
        <f>IFERROR(__xludf.DUMMYFUNCTION("""COMPUTED_VALUE"""),"")</f>
        <v/>
      </c>
      <c r="P31" s="4" t="str">
        <f>IFERROR(__xludf.DUMMYFUNCTION("""COMPUTED_VALUE"""),"")</f>
        <v/>
      </c>
      <c r="Q31" s="4" t="str">
        <f>IFERROR(__xludf.DUMMYFUNCTION("""COMPUTED_VALUE"""),"Ed Catmull is the creative genius behind some of the most beloved animated movies of all time. He is a 2020 Turing award recipient, an Oscar winner and, in 2015, was a Web Summit speaker. Tune in to learn from this creative genius.")</f>
        <v>Ed Catmull is the creative genius behind some of the most beloved animated movies of all time. He is a 2020 Turing award recipient, an Oscar winner and, in 2015, was a Web Summit speaker. Tune in to learn from this creative genius.</v>
      </c>
      <c r="R31" s="4" t="str">
        <f>IFERROR(__xludf.DUMMYFUNCTION("""COMPUTED_VALUE"""),"")</f>
        <v/>
      </c>
    </row>
    <row r="32">
      <c r="A32" s="4" t="str">
        <f>IFERROR(__xludf.DUMMYFUNCTION("""COMPUTED_VALUE"""),"31 - Channel 5")</f>
        <v>31 - Channel 5</v>
      </c>
      <c r="B32" s="4" t="str">
        <f>IFERROR(__xludf.DUMMYFUNCTION("""COMPUTED_VALUE"""),"Day 1 - 23/06")</f>
        <v>Day 1 - 23/06</v>
      </c>
      <c r="C32" s="6">
        <f>IFERROR(__xludf.DUMMYFUNCTION("""COMPUTED_VALUE"""),0.5323263888888893)</f>
        <v>0.5323263889</v>
      </c>
      <c r="D32" s="8">
        <f>IFERROR(__xludf.DUMMYFUNCTION("""COMPUTED_VALUE"""),1.7361111111111112E-4)</f>
        <v>0.0001736111111</v>
      </c>
      <c r="E32" s="6">
        <f>IFERROR(__xludf.DUMMYFUNCTION("""COMPUTED_VALUE"""),0.5325000000000004)</f>
        <v>0.5325</v>
      </c>
      <c r="F32" s="4" t="str">
        <f>IFERROR(__xludf.DUMMYFUNCTION("""COMPUTED_VALUE"""),"")</f>
        <v/>
      </c>
      <c r="G32" s="4" t="str">
        <f>IFERROR(__xludf.DUMMYFUNCTION("""COMPUTED_VALUE"""),"")</f>
        <v/>
      </c>
      <c r="H32" s="4" t="str">
        <f>IFERROR(__xludf.DUMMYFUNCTION("""COMPUTED_VALUE"""),"")</f>
        <v/>
      </c>
      <c r="I32" s="4" t="str">
        <f>IFERROR(__xludf.DUMMYFUNCTION("""COMPUTED_VALUE"""),"")</f>
        <v/>
      </c>
      <c r="J32" s="4" t="str">
        <f>IFERROR(__xludf.DUMMYFUNCTION("""COMPUTED_VALUE"""),"")</f>
        <v/>
      </c>
      <c r="K32" s="4" t="str">
        <f>IFERROR(__xludf.DUMMYFUNCTION("""COMPUTED_VALUE"""),"Talk Outro")</f>
        <v>Talk Outro</v>
      </c>
      <c r="L32" s="4" t="str">
        <f>IFERROR(__xludf.DUMMYFUNCTION("""COMPUTED_VALUE"""),"")</f>
        <v/>
      </c>
      <c r="M32" s="4" t="str">
        <f>IFERROR(__xludf.DUMMYFUNCTION("""COMPUTED_VALUE"""),"")</f>
        <v/>
      </c>
      <c r="N32" s="4" t="str">
        <f>IFERROR(__xludf.DUMMYFUNCTION("""COMPUTED_VALUE"""),"")</f>
        <v/>
      </c>
      <c r="O32" s="4" t="str">
        <f>IFERROR(__xludf.DUMMYFUNCTION("""COMPUTED_VALUE"""),"")</f>
        <v/>
      </c>
      <c r="P32" s="4" t="str">
        <f>IFERROR(__xludf.DUMMYFUNCTION("""COMPUTED_VALUE"""),"")</f>
        <v/>
      </c>
      <c r="Q32" s="4" t="str">
        <f>IFERROR(__xludf.DUMMYFUNCTION("""COMPUTED_VALUE"""),"")</f>
        <v/>
      </c>
      <c r="R32" s="4" t="str">
        <f>IFERROR(__xludf.DUMMYFUNCTION("""COMPUTED_VALUE"""),"")</f>
        <v/>
      </c>
    </row>
    <row r="33">
      <c r="A33" s="4" t="str">
        <f>IFERROR(__xludf.DUMMYFUNCTION("""COMPUTED_VALUE"""),"32 - Channel 5")</f>
        <v>32 - Channel 5</v>
      </c>
      <c r="B33" s="4" t="str">
        <f>IFERROR(__xludf.DUMMYFUNCTION("""COMPUTED_VALUE"""),"Day 1 - 23/06")</f>
        <v>Day 1 - 23/06</v>
      </c>
      <c r="C33" s="6">
        <f>IFERROR(__xludf.DUMMYFUNCTION("""COMPUTED_VALUE"""),0.5325000000000004)</f>
        <v>0.5325</v>
      </c>
      <c r="D33" s="8">
        <f>IFERROR(__xludf.DUMMYFUNCTION("""COMPUTED_VALUE"""),3.4722222222222224E-4)</f>
        <v>0.0003472222222</v>
      </c>
      <c r="E33" s="6">
        <f>IFERROR(__xludf.DUMMYFUNCTION("""COMPUTED_VALUE"""),0.5328472222222227)</f>
        <v>0.5328472222</v>
      </c>
      <c r="F33" s="4" t="str">
        <f>IFERROR(__xludf.DUMMYFUNCTION("""COMPUTED_VALUE"""),"")</f>
        <v/>
      </c>
      <c r="G33" s="4" t="str">
        <f>IFERROR(__xludf.DUMMYFUNCTION("""COMPUTED_VALUE"""),"")</f>
        <v/>
      </c>
      <c r="H33" s="4" t="str">
        <f>IFERROR(__xludf.DUMMYFUNCTION("""COMPUTED_VALUE"""),"")</f>
        <v/>
      </c>
      <c r="I33" s="4" t="str">
        <f>IFERROR(__xludf.DUMMYFUNCTION("""COMPUTED_VALUE"""),"")</f>
        <v/>
      </c>
      <c r="J33" s="4" t="str">
        <f>IFERROR(__xludf.DUMMYFUNCTION("""COMPUTED_VALUE"""),"")</f>
        <v/>
      </c>
      <c r="K33" s="4" t="str">
        <f>IFERROR(__xludf.DUMMYFUNCTION("""COMPUTED_VALUE"""),"Holding Graphic")</f>
        <v>Holding Graphic</v>
      </c>
      <c r="L33" s="4" t="str">
        <f>IFERROR(__xludf.DUMMYFUNCTION("""COMPUTED_VALUE"""),"")</f>
        <v/>
      </c>
      <c r="M33" s="4" t="str">
        <f>IFERROR(__xludf.DUMMYFUNCTION("""COMPUTED_VALUE"""),"")</f>
        <v/>
      </c>
      <c r="N33" s="4" t="str">
        <f>IFERROR(__xludf.DUMMYFUNCTION("""COMPUTED_VALUE"""),"")</f>
        <v/>
      </c>
      <c r="O33" s="4" t="str">
        <f>IFERROR(__xludf.DUMMYFUNCTION("""COMPUTED_VALUE"""),"")</f>
        <v/>
      </c>
      <c r="P33" s="4" t="str">
        <f>IFERROR(__xludf.DUMMYFUNCTION("""COMPUTED_VALUE"""),"")</f>
        <v/>
      </c>
      <c r="Q33" s="4" t="str">
        <f>IFERROR(__xludf.DUMMYFUNCTION("""COMPUTED_VALUE"""),"")</f>
        <v/>
      </c>
      <c r="R33" s="4" t="str">
        <f>IFERROR(__xludf.DUMMYFUNCTION("""COMPUTED_VALUE"""),"")</f>
        <v/>
      </c>
    </row>
    <row r="34">
      <c r="A34" s="4" t="str">
        <f>IFERROR(__xludf.DUMMYFUNCTION("""COMPUTED_VALUE"""),"33 - Channel 5")</f>
        <v>33 - Channel 5</v>
      </c>
      <c r="B34" s="4" t="str">
        <f>IFERROR(__xludf.DUMMYFUNCTION("""COMPUTED_VALUE"""),"Day 1 - 23/06")</f>
        <v>Day 1 - 23/06</v>
      </c>
      <c r="C34" s="6">
        <f>IFERROR(__xludf.DUMMYFUNCTION("""COMPUTED_VALUE"""),0.5328472222222227)</f>
        <v>0.5328472222</v>
      </c>
      <c r="D34" s="8">
        <f>IFERROR(__xludf.DUMMYFUNCTION("""COMPUTED_VALUE"""),3.4722222222222224E-4)</f>
        <v>0.0003472222222</v>
      </c>
      <c r="E34" s="6">
        <f>IFERROR(__xludf.DUMMYFUNCTION("""COMPUTED_VALUE"""),0.533194444444445)</f>
        <v>0.5331944444</v>
      </c>
      <c r="F34" s="4" t="str">
        <f>IFERROR(__xludf.DUMMYFUNCTION("""COMPUTED_VALUE"""),"")</f>
        <v/>
      </c>
      <c r="G34" s="4" t="str">
        <f>IFERROR(__xludf.DUMMYFUNCTION("""COMPUTED_VALUE"""),"")</f>
        <v/>
      </c>
      <c r="H34" s="4" t="str">
        <f>IFERROR(__xludf.DUMMYFUNCTION("""COMPUTED_VALUE"""),"")</f>
        <v/>
      </c>
      <c r="I34" s="4" t="str">
        <f>IFERROR(__xludf.DUMMYFUNCTION("""COMPUTED_VALUE"""),"")</f>
        <v/>
      </c>
      <c r="J34" s="4" t="str">
        <f>IFERROR(__xludf.DUMMYFUNCTION("""COMPUTED_VALUE"""),"")</f>
        <v/>
      </c>
      <c r="K34" s="4" t="str">
        <f>IFERROR(__xludf.DUMMYFUNCTION("""COMPUTED_VALUE"""),"Web Summit Trailer - short")</f>
        <v>Web Summit Trailer - short</v>
      </c>
      <c r="L34" s="4" t="str">
        <f>IFERROR(__xludf.DUMMYFUNCTION("""COMPUTED_VALUE"""),"")</f>
        <v/>
      </c>
      <c r="M34" s="4" t="str">
        <f>IFERROR(__xludf.DUMMYFUNCTION("""COMPUTED_VALUE"""),"")</f>
        <v/>
      </c>
      <c r="N34" s="4" t="str">
        <f>IFERROR(__xludf.DUMMYFUNCTION("""COMPUTED_VALUE"""),"")</f>
        <v/>
      </c>
      <c r="O34" s="4" t="str">
        <f>IFERROR(__xludf.DUMMYFUNCTION("""COMPUTED_VALUE"""),"")</f>
        <v/>
      </c>
      <c r="P34" s="4" t="str">
        <f>IFERROR(__xludf.DUMMYFUNCTION("""COMPUTED_VALUE"""),"")</f>
        <v/>
      </c>
      <c r="Q34" s="4" t="str">
        <f>IFERROR(__xludf.DUMMYFUNCTION("""COMPUTED_VALUE"""),"")</f>
        <v/>
      </c>
      <c r="R34" s="4" t="str">
        <f>IFERROR(__xludf.DUMMYFUNCTION("""COMPUTED_VALUE"""),"")</f>
        <v/>
      </c>
    </row>
    <row r="35">
      <c r="A35" s="4" t="str">
        <f>IFERROR(__xludf.DUMMYFUNCTION("""COMPUTED_VALUE"""),"34 - Channel 5")</f>
        <v>34 - Channel 5</v>
      </c>
      <c r="B35" s="4" t="str">
        <f>IFERROR(__xludf.DUMMYFUNCTION("""COMPUTED_VALUE"""),"Day 1 - 23/06")</f>
        <v>Day 1 - 23/06</v>
      </c>
      <c r="C35" s="6">
        <f>IFERROR(__xludf.DUMMYFUNCTION("""COMPUTED_VALUE"""),0.533194444444445)</f>
        <v>0.5331944444</v>
      </c>
      <c r="D35" s="8">
        <f>IFERROR(__xludf.DUMMYFUNCTION("""COMPUTED_VALUE"""),3.4722222222222224E-4)</f>
        <v>0.0003472222222</v>
      </c>
      <c r="E35" s="6">
        <f>IFERROR(__xludf.DUMMYFUNCTION("""COMPUTED_VALUE"""),0.5335416666666672)</f>
        <v>0.5335416667</v>
      </c>
      <c r="F35" s="4" t="str">
        <f>IFERROR(__xludf.DUMMYFUNCTION("""COMPUTED_VALUE"""),"")</f>
        <v/>
      </c>
      <c r="G35" s="4" t="str">
        <f>IFERROR(__xludf.DUMMYFUNCTION("""COMPUTED_VALUE"""),"")</f>
        <v/>
      </c>
      <c r="H35" s="4" t="str">
        <f>IFERROR(__xludf.DUMMYFUNCTION("""COMPUTED_VALUE"""),"")</f>
        <v/>
      </c>
      <c r="I35" s="4" t="str">
        <f>IFERROR(__xludf.DUMMYFUNCTION("""COMPUTED_VALUE"""),"")</f>
        <v/>
      </c>
      <c r="J35" s="4" t="str">
        <f>IFERROR(__xludf.DUMMYFUNCTION("""COMPUTED_VALUE"""),"")</f>
        <v/>
      </c>
      <c r="K35" s="4" t="str">
        <f>IFERROR(__xludf.DUMMYFUNCTION("""COMPUTED_VALUE"""),"Talk Intro")</f>
        <v>Talk Intro</v>
      </c>
      <c r="L35" s="4" t="str">
        <f>IFERROR(__xludf.DUMMYFUNCTION("""COMPUTED_VALUE"""),"")</f>
        <v/>
      </c>
      <c r="M35" s="4" t="str">
        <f>IFERROR(__xludf.DUMMYFUNCTION("""COMPUTED_VALUE"""),"")</f>
        <v/>
      </c>
      <c r="N35" s="4" t="str">
        <f>IFERROR(__xludf.DUMMYFUNCTION("""COMPUTED_VALUE"""),"")</f>
        <v/>
      </c>
      <c r="O35" s="4" t="str">
        <f>IFERROR(__xludf.DUMMYFUNCTION("""COMPUTED_VALUE"""),"")</f>
        <v/>
      </c>
      <c r="P35" s="4" t="str">
        <f>IFERROR(__xludf.DUMMYFUNCTION("""COMPUTED_VALUE"""),"")</f>
        <v/>
      </c>
      <c r="Q35" s="4" t="str">
        <f>IFERROR(__xludf.DUMMYFUNCTION("""COMPUTED_VALUE"""),"")</f>
        <v/>
      </c>
      <c r="R35" s="4" t="str">
        <f>IFERROR(__xludf.DUMMYFUNCTION("""COMPUTED_VALUE"""),"")</f>
        <v/>
      </c>
    </row>
    <row r="36">
      <c r="A36" s="4" t="str">
        <f>IFERROR(__xludf.DUMMYFUNCTION("""COMPUTED_VALUE"""),"35 - Channel 5")</f>
        <v>35 - Channel 5</v>
      </c>
      <c r="B36" s="4" t="str">
        <f>IFERROR(__xludf.DUMMYFUNCTION("""COMPUTED_VALUE"""),"Day 1 - 23/06")</f>
        <v>Day 1 - 23/06</v>
      </c>
      <c r="C36" s="6">
        <f>IFERROR(__xludf.DUMMYFUNCTION("""COMPUTED_VALUE"""),0.5335416666666672)</f>
        <v>0.5335416667</v>
      </c>
      <c r="D36" s="8">
        <f>IFERROR(__xludf.DUMMYFUNCTION("""COMPUTED_VALUE"""),0.006944444444444444)</f>
        <v>0.006944444444</v>
      </c>
      <c r="E36" s="6">
        <f>IFERROR(__xludf.DUMMYFUNCTION("""COMPUTED_VALUE"""),0.5404861111111117)</f>
        <v>0.5404861111</v>
      </c>
      <c r="F36" s="4" t="str">
        <f>IFERROR(__xludf.DUMMYFUNCTION("""COMPUTED_VALUE"""),"Retail")</f>
        <v>Retail</v>
      </c>
      <c r="G36" s="4" t="str">
        <f>IFERROR(__xludf.DUMMYFUNCTION("""COMPUTED_VALUE"""),"")</f>
        <v/>
      </c>
      <c r="H36" s="4" t="str">
        <f>IFERROR(__xludf.DUMMYFUNCTION("""COMPUTED_VALUE"""),"")</f>
        <v/>
      </c>
      <c r="I36" s="4" t="str">
        <f>IFERROR(__xludf.DUMMYFUNCTION("""COMPUTED_VALUE"""),"")</f>
        <v/>
      </c>
      <c r="J36" s="4" t="str">
        <f>IFERROR(__xludf.DUMMYFUNCTION("""COMPUTED_VALUE"""),"No")</f>
        <v>No</v>
      </c>
      <c r="K36" s="4" t="str">
        <f>IFERROR(__xludf.DUMMYFUNCTION("""COMPUTED_VALUE"""),"Top 5 AI talks")</f>
        <v>Top 5 AI talks</v>
      </c>
      <c r="L36" s="4" t="str">
        <f>IFERROR(__xludf.DUMMYFUNCTION("""COMPUTED_VALUE"""),"Nick Bostrom, Future of Humanity Institute, Oxford")</f>
        <v>Nick Bostrom, Future of Humanity Institute, Oxford</v>
      </c>
      <c r="M36" s="4" t="str">
        <f>IFERROR(__xludf.DUMMYFUNCTION("""COMPUTED_VALUE"""),"Cassie Kozyrkov, Google")</f>
        <v>Cassie Kozyrkov, Google</v>
      </c>
      <c r="N36" s="4" t="str">
        <f>IFERROR(__xludf.DUMMYFUNCTION("""COMPUTED_VALUE"""),"Rohit Prasad, Amazon")</f>
        <v>Rohit Prasad, Amazon</v>
      </c>
      <c r="O36" s="4" t="str">
        <f>IFERROR(__xludf.DUMMYFUNCTION("""COMPUTED_VALUE"""),"Rana el Kaliouby, Affectiva")</f>
        <v>Rana el Kaliouby, Affectiva</v>
      </c>
      <c r="P36" s="4" t="str">
        <f>IFERROR(__xludf.DUMMYFUNCTION("""COMPUTED_VALUE"""),"Thomas Reardon, CTRL-Labs")</f>
        <v>Thomas Reardon, CTRL-Labs</v>
      </c>
      <c r="Q36" s="4" t="str">
        <f>IFERROR(__xludf.DUMMYFUNCTION("""COMPUTED_VALUE"""),"Featuring Nick Bostrom, Cassie Kozrykov, Rohit Prasad, Rana el Kaliouby and Thomas Reardon. AI has transformed how we perform a lot of tasks. It is often touted as the technology that will have the biggest impact on how we live our lives in the future. Th"&amp;"ese five speakers certainly know a thing or two about that. ")</f>
        <v>Featuring Nick Bostrom, Cassie Kozrykov, Rohit Prasad, Rana el Kaliouby and Thomas Reardon. AI has transformed how we perform a lot of tasks. It is often touted as the technology that will have the biggest impact on how we live our lives in the future. These five speakers certainly know a thing or two about that. </v>
      </c>
      <c r="R36" s="4" t="str">
        <f>IFERROR(__xludf.DUMMYFUNCTION("""COMPUTED_VALUE"""),"")</f>
        <v/>
      </c>
    </row>
    <row r="37">
      <c r="A37" s="4" t="str">
        <f>IFERROR(__xludf.DUMMYFUNCTION("""COMPUTED_VALUE"""),"36 - Channel 5")</f>
        <v>36 - Channel 5</v>
      </c>
      <c r="B37" s="4" t="str">
        <f>IFERROR(__xludf.DUMMYFUNCTION("""COMPUTED_VALUE"""),"Day 1 - 23/06")</f>
        <v>Day 1 - 23/06</v>
      </c>
      <c r="C37" s="6">
        <f>IFERROR(__xludf.DUMMYFUNCTION("""COMPUTED_VALUE"""),0.5404861111111117)</f>
        <v>0.5404861111</v>
      </c>
      <c r="D37" s="8">
        <f>IFERROR(__xludf.DUMMYFUNCTION("""COMPUTED_VALUE"""),1.7361111111111112E-4)</f>
        <v>0.0001736111111</v>
      </c>
      <c r="E37" s="6">
        <f>IFERROR(__xludf.DUMMYFUNCTION("""COMPUTED_VALUE"""),0.5406597222222228)</f>
        <v>0.5406597222</v>
      </c>
      <c r="F37" s="4" t="str">
        <f>IFERROR(__xludf.DUMMYFUNCTION("""COMPUTED_VALUE"""),"")</f>
        <v/>
      </c>
      <c r="G37" s="4" t="str">
        <f>IFERROR(__xludf.DUMMYFUNCTION("""COMPUTED_VALUE"""),"")</f>
        <v/>
      </c>
      <c r="H37" s="4" t="str">
        <f>IFERROR(__xludf.DUMMYFUNCTION("""COMPUTED_VALUE"""),"")</f>
        <v/>
      </c>
      <c r="I37" s="4" t="str">
        <f>IFERROR(__xludf.DUMMYFUNCTION("""COMPUTED_VALUE"""),"")</f>
        <v/>
      </c>
      <c r="J37" s="4" t="str">
        <f>IFERROR(__xludf.DUMMYFUNCTION("""COMPUTED_VALUE"""),"")</f>
        <v/>
      </c>
      <c r="K37" s="4" t="str">
        <f>IFERROR(__xludf.DUMMYFUNCTION("""COMPUTED_VALUE"""),"Talk Outro")</f>
        <v>Talk Outro</v>
      </c>
      <c r="L37" s="4" t="str">
        <f>IFERROR(__xludf.DUMMYFUNCTION("""COMPUTED_VALUE"""),"")</f>
        <v/>
      </c>
      <c r="M37" s="4" t="str">
        <f>IFERROR(__xludf.DUMMYFUNCTION("""COMPUTED_VALUE"""),"")</f>
        <v/>
      </c>
      <c r="N37" s="4" t="str">
        <f>IFERROR(__xludf.DUMMYFUNCTION("""COMPUTED_VALUE"""),"")</f>
        <v/>
      </c>
      <c r="O37" s="4" t="str">
        <f>IFERROR(__xludf.DUMMYFUNCTION("""COMPUTED_VALUE"""),"")</f>
        <v/>
      </c>
      <c r="P37" s="4" t="str">
        <f>IFERROR(__xludf.DUMMYFUNCTION("""COMPUTED_VALUE"""),"")</f>
        <v/>
      </c>
      <c r="Q37" s="4" t="str">
        <f>IFERROR(__xludf.DUMMYFUNCTION("""COMPUTED_VALUE"""),"")</f>
        <v/>
      </c>
      <c r="R37" s="4" t="str">
        <f>IFERROR(__xludf.DUMMYFUNCTION("""COMPUTED_VALUE"""),"")</f>
        <v/>
      </c>
    </row>
    <row r="38">
      <c r="A38" s="4" t="str">
        <f>IFERROR(__xludf.DUMMYFUNCTION("""COMPUTED_VALUE"""),"282 - Channel 5")</f>
        <v>282 - Channel 5</v>
      </c>
      <c r="B38" s="4" t="str">
        <f>IFERROR(__xludf.DUMMYFUNCTION("""COMPUTED_VALUE"""),"Day 1 - 23/06")</f>
        <v>Day 1 - 23/06</v>
      </c>
      <c r="C38" s="6">
        <f>IFERROR(__xludf.DUMMYFUNCTION("""COMPUTED_VALUE"""),0.5406597222222228)</f>
        <v>0.5406597222</v>
      </c>
      <c r="D38" s="8">
        <f>IFERROR(__xludf.DUMMYFUNCTION("""COMPUTED_VALUE"""),3.4722222222222224E-4)</f>
        <v>0.0003472222222</v>
      </c>
      <c r="E38" s="6">
        <f>IFERROR(__xludf.DUMMYFUNCTION("""COMPUTED_VALUE"""),0.5410069444444451)</f>
        <v>0.5410069444</v>
      </c>
      <c r="F38" s="4" t="str">
        <f>IFERROR(__xludf.DUMMYFUNCTION("""COMPUTED_VALUE"""),"")</f>
        <v/>
      </c>
      <c r="G38" s="4" t="str">
        <f>IFERROR(__xludf.DUMMYFUNCTION("""COMPUTED_VALUE"""),"")</f>
        <v/>
      </c>
      <c r="H38" s="4" t="str">
        <f>IFERROR(__xludf.DUMMYFUNCTION("""COMPUTED_VALUE"""),"")</f>
        <v/>
      </c>
      <c r="I38" s="4" t="str">
        <f>IFERROR(__xludf.DUMMYFUNCTION("""COMPUTED_VALUE"""),"")</f>
        <v/>
      </c>
      <c r="J38" s="4" t="str">
        <f>IFERROR(__xludf.DUMMYFUNCTION("""COMPUTED_VALUE"""),"")</f>
        <v/>
      </c>
      <c r="K38" s="4" t="str">
        <f>IFERROR(__xludf.DUMMYFUNCTION("""COMPUTED_VALUE"""),"Web Summit Trailer - short")</f>
        <v>Web Summit Trailer - short</v>
      </c>
      <c r="L38" s="4" t="str">
        <f>IFERROR(__xludf.DUMMYFUNCTION("""COMPUTED_VALUE"""),"")</f>
        <v/>
      </c>
      <c r="M38" s="4" t="str">
        <f>IFERROR(__xludf.DUMMYFUNCTION("""COMPUTED_VALUE"""),"")</f>
        <v/>
      </c>
      <c r="N38" s="4" t="str">
        <f>IFERROR(__xludf.DUMMYFUNCTION("""COMPUTED_VALUE"""),"")</f>
        <v/>
      </c>
      <c r="O38" s="4" t="str">
        <f>IFERROR(__xludf.DUMMYFUNCTION("""COMPUTED_VALUE"""),"")</f>
        <v/>
      </c>
      <c r="P38" s="4" t="str">
        <f>IFERROR(__xludf.DUMMYFUNCTION("""COMPUTED_VALUE"""),"")</f>
        <v/>
      </c>
      <c r="Q38" s="4" t="str">
        <f>IFERROR(__xludf.DUMMYFUNCTION("""COMPUTED_VALUE"""),"")</f>
        <v/>
      </c>
      <c r="R38" s="4" t="str">
        <f>IFERROR(__xludf.DUMMYFUNCTION("""COMPUTED_VALUE"""),"")</f>
        <v/>
      </c>
    </row>
    <row r="39">
      <c r="A39" s="4" t="str">
        <f>IFERROR(__xludf.DUMMYFUNCTION("""COMPUTED_VALUE"""),"38 - Channel 5")</f>
        <v>38 - Channel 5</v>
      </c>
      <c r="B39" s="4" t="str">
        <f>IFERROR(__xludf.DUMMYFUNCTION("""COMPUTED_VALUE"""),"Day 1 - 23/06")</f>
        <v>Day 1 - 23/06</v>
      </c>
      <c r="C39" s="6">
        <f>IFERROR(__xludf.DUMMYFUNCTION("""COMPUTED_VALUE"""),0.5410069444444451)</f>
        <v>0.5410069444</v>
      </c>
      <c r="D39" s="8">
        <f>IFERROR(__xludf.DUMMYFUNCTION("""COMPUTED_VALUE"""),3.4722222222222224E-4)</f>
        <v>0.0003472222222</v>
      </c>
      <c r="E39" s="6">
        <f>IFERROR(__xludf.DUMMYFUNCTION("""COMPUTED_VALUE"""),0.5413541666666674)</f>
        <v>0.5413541667</v>
      </c>
      <c r="F39" s="4" t="str">
        <f>IFERROR(__xludf.DUMMYFUNCTION("""COMPUTED_VALUE"""),"")</f>
        <v/>
      </c>
      <c r="G39" s="4" t="str">
        <f>IFERROR(__xludf.DUMMYFUNCTION("""COMPUTED_VALUE"""),"")</f>
        <v/>
      </c>
      <c r="H39" s="4" t="str">
        <f>IFERROR(__xludf.DUMMYFUNCTION("""COMPUTED_VALUE"""),"")</f>
        <v/>
      </c>
      <c r="I39" s="4" t="str">
        <f>IFERROR(__xludf.DUMMYFUNCTION("""COMPUTED_VALUE"""),"")</f>
        <v/>
      </c>
      <c r="J39" s="4" t="str">
        <f>IFERROR(__xludf.DUMMYFUNCTION("""COMPUTED_VALUE"""),"")</f>
        <v/>
      </c>
      <c r="K39" s="4" t="str">
        <f>IFERROR(__xludf.DUMMYFUNCTION("""COMPUTED_VALUE"""),"Talk Intro")</f>
        <v>Talk Intro</v>
      </c>
      <c r="L39" s="4" t="str">
        <f>IFERROR(__xludf.DUMMYFUNCTION("""COMPUTED_VALUE"""),"")</f>
        <v/>
      </c>
      <c r="M39" s="4" t="str">
        <f>IFERROR(__xludf.DUMMYFUNCTION("""COMPUTED_VALUE"""),"")</f>
        <v/>
      </c>
      <c r="N39" s="4" t="str">
        <f>IFERROR(__xludf.DUMMYFUNCTION("""COMPUTED_VALUE"""),"")</f>
        <v/>
      </c>
      <c r="O39" s="4" t="str">
        <f>IFERROR(__xludf.DUMMYFUNCTION("""COMPUTED_VALUE"""),"")</f>
        <v/>
      </c>
      <c r="P39" s="4" t="str">
        <f>IFERROR(__xludf.DUMMYFUNCTION("""COMPUTED_VALUE"""),"")</f>
        <v/>
      </c>
      <c r="Q39" s="4" t="str">
        <f>IFERROR(__xludf.DUMMYFUNCTION("""COMPUTED_VALUE"""),"")</f>
        <v/>
      </c>
      <c r="R39" s="4" t="str">
        <f>IFERROR(__xludf.DUMMYFUNCTION("""COMPUTED_VALUE"""),"")</f>
        <v/>
      </c>
    </row>
    <row r="40">
      <c r="A40" s="4" t="str">
        <f>IFERROR(__xludf.DUMMYFUNCTION("""COMPUTED_VALUE"""),"39 - Channel 5")</f>
        <v>39 - Channel 5</v>
      </c>
      <c r="B40" s="4" t="str">
        <f>IFERROR(__xludf.DUMMYFUNCTION("""COMPUTED_VALUE"""),"Day 1 - 23/06")</f>
        <v>Day 1 - 23/06</v>
      </c>
      <c r="C40" s="6">
        <f>IFERROR(__xludf.DUMMYFUNCTION("""COMPUTED_VALUE"""),0.5413541666666674)</f>
        <v>0.5413541667</v>
      </c>
      <c r="D40" s="8">
        <f>IFERROR(__xludf.DUMMYFUNCTION("""COMPUTED_VALUE"""),0.02457175925925926)</f>
        <v>0.02457175926</v>
      </c>
      <c r="E40" s="6">
        <f>IFERROR(__xludf.DUMMYFUNCTION("""COMPUTED_VALUE"""),0.5659259259259266)</f>
        <v>0.5659259259</v>
      </c>
      <c r="F40" s="4" t="str">
        <f>IFERROR(__xludf.DUMMYFUNCTION("""COMPUTED_VALUE"""),"Society")</f>
        <v>Society</v>
      </c>
      <c r="G40" s="4" t="str">
        <f>IFERROR(__xludf.DUMMYFUNCTION("""COMPUTED_VALUE"""),"Web Summit 2018")</f>
        <v>Web Summit 2018</v>
      </c>
      <c r="H40" s="21" t="str">
        <f>IFERROR(__xludf.DUMMYFUNCTION("""COMPUTED_VALUE"""),"https://www.youtube.com/watch?v=_Ns78mUiBcM")</f>
        <v>https://www.youtube.com/watch?v=_Ns78mUiBcM</v>
      </c>
      <c r="I40" s="4" t="str">
        <f>IFERROR(__xludf.DUMMYFUNCTION("""COMPUTED_VALUE"""),"Use full video")</f>
        <v>Use full video</v>
      </c>
      <c r="J40" s="4" t="str">
        <f>IFERROR(__xludf.DUMMYFUNCTION("""COMPUTED_VALUE"""),"No")</f>
        <v>No</v>
      </c>
      <c r="K40" s="4" t="str">
        <f>IFERROR(__xludf.DUMMYFUNCTION("""COMPUTED_VALUE"""),"Tim Berners-Lee describes a contract for the web")</f>
        <v>Tim Berners-Lee describes a contract for the web</v>
      </c>
      <c r="L40" s="4" t="str">
        <f>IFERROR(__xludf.DUMMYFUNCTION("""COMPUTED_VALUE"""),"Tim Berners-Lee, W3")</f>
        <v>Tim Berners-Lee, W3</v>
      </c>
      <c r="M40" s="4" t="str">
        <f>IFERROR(__xludf.DUMMYFUNCTION("""COMPUTED_VALUE"""),"")</f>
        <v/>
      </c>
      <c r="N40" s="4" t="str">
        <f>IFERROR(__xludf.DUMMYFUNCTION("""COMPUTED_VALUE"""),"")</f>
        <v/>
      </c>
      <c r="O40" s="4" t="str">
        <f>IFERROR(__xludf.DUMMYFUNCTION("""COMPUTED_VALUE"""),"")</f>
        <v/>
      </c>
      <c r="P40" s="4" t="str">
        <f>IFERROR(__xludf.DUMMYFUNCTION("""COMPUTED_VALUE"""),"")</f>
        <v/>
      </c>
      <c r="Q40" s="4" t="str">
        <f>IFERROR(__xludf.DUMMYFUNCTION("""COMPUTED_VALUE"""),"In 1989, Tim Berners-Lee invented the world wide web. In 2018 he joined us at Web Summit to tell us about the future of the web and his work to ensure it is safe and accessible to all.")</f>
        <v>In 1989, Tim Berners-Lee invented the world wide web. In 2018 he joined us at Web Summit to tell us about the future of the web and his work to ensure it is safe and accessible to all.</v>
      </c>
      <c r="R40" s="4" t="str">
        <f>IFERROR(__xludf.DUMMYFUNCTION("""COMPUTED_VALUE"""),"")</f>
        <v/>
      </c>
    </row>
    <row r="41">
      <c r="A41" s="4" t="str">
        <f>IFERROR(__xludf.DUMMYFUNCTION("""COMPUTED_VALUE"""),"40 - Channel 5")</f>
        <v>40 - Channel 5</v>
      </c>
      <c r="B41" s="4" t="str">
        <f>IFERROR(__xludf.DUMMYFUNCTION("""COMPUTED_VALUE"""),"Day 1 - 23/06")</f>
        <v>Day 1 - 23/06</v>
      </c>
      <c r="C41" s="6">
        <f>IFERROR(__xludf.DUMMYFUNCTION("""COMPUTED_VALUE"""),0.5659259259259266)</f>
        <v>0.5659259259</v>
      </c>
      <c r="D41" s="8">
        <f>IFERROR(__xludf.DUMMYFUNCTION("""COMPUTED_VALUE"""),1.7361111111111112E-4)</f>
        <v>0.0001736111111</v>
      </c>
      <c r="E41" s="6">
        <f>IFERROR(__xludf.DUMMYFUNCTION("""COMPUTED_VALUE"""),0.5660995370370377)</f>
        <v>0.566099537</v>
      </c>
      <c r="F41" s="4" t="str">
        <f>IFERROR(__xludf.DUMMYFUNCTION("""COMPUTED_VALUE"""),"")</f>
        <v/>
      </c>
      <c r="G41" s="4" t="str">
        <f>IFERROR(__xludf.DUMMYFUNCTION("""COMPUTED_VALUE"""),"")</f>
        <v/>
      </c>
      <c r="H41" s="4" t="str">
        <f>IFERROR(__xludf.DUMMYFUNCTION("""COMPUTED_VALUE"""),"")</f>
        <v/>
      </c>
      <c r="I41" s="4" t="str">
        <f>IFERROR(__xludf.DUMMYFUNCTION("""COMPUTED_VALUE"""),"")</f>
        <v/>
      </c>
      <c r="J41" s="4" t="str">
        <f>IFERROR(__xludf.DUMMYFUNCTION("""COMPUTED_VALUE"""),"")</f>
        <v/>
      </c>
      <c r="K41" s="4" t="str">
        <f>IFERROR(__xludf.DUMMYFUNCTION("""COMPUTED_VALUE"""),"Talk Outro")</f>
        <v>Talk Outro</v>
      </c>
      <c r="L41" s="4" t="str">
        <f>IFERROR(__xludf.DUMMYFUNCTION("""COMPUTED_VALUE"""),"")</f>
        <v/>
      </c>
      <c r="M41" s="4" t="str">
        <f>IFERROR(__xludf.DUMMYFUNCTION("""COMPUTED_VALUE"""),"")</f>
        <v/>
      </c>
      <c r="N41" s="4" t="str">
        <f>IFERROR(__xludf.DUMMYFUNCTION("""COMPUTED_VALUE"""),"")</f>
        <v/>
      </c>
      <c r="O41" s="4" t="str">
        <f>IFERROR(__xludf.DUMMYFUNCTION("""COMPUTED_VALUE"""),"")</f>
        <v/>
      </c>
      <c r="P41" s="4" t="str">
        <f>IFERROR(__xludf.DUMMYFUNCTION("""COMPUTED_VALUE"""),"")</f>
        <v/>
      </c>
      <c r="Q41" s="4" t="str">
        <f>IFERROR(__xludf.DUMMYFUNCTION("""COMPUTED_VALUE"""),"")</f>
        <v/>
      </c>
      <c r="R41" s="4" t="str">
        <f>IFERROR(__xludf.DUMMYFUNCTION("""COMPUTED_VALUE"""),"")</f>
        <v/>
      </c>
    </row>
    <row r="42">
      <c r="A42" s="4" t="str">
        <f>IFERROR(__xludf.DUMMYFUNCTION("""COMPUTED_VALUE"""),"42 - Channel 5")</f>
        <v>42 - Channel 5</v>
      </c>
      <c r="B42" s="4" t="str">
        <f>IFERROR(__xludf.DUMMYFUNCTION("""COMPUTED_VALUE"""),"Day 1 - 23/06")</f>
        <v>Day 1 - 23/06</v>
      </c>
      <c r="C42" s="6">
        <f>IFERROR(__xludf.DUMMYFUNCTION("""COMPUTED_VALUE"""),0.5660995370370377)</f>
        <v>0.566099537</v>
      </c>
      <c r="D42" s="8">
        <f>IFERROR(__xludf.DUMMYFUNCTION("""COMPUTED_VALUE"""),3.4722222222222224E-4)</f>
        <v>0.0003472222222</v>
      </c>
      <c r="E42" s="6">
        <f>IFERROR(__xludf.DUMMYFUNCTION("""COMPUTED_VALUE"""),0.56644675925926)</f>
        <v>0.5664467593</v>
      </c>
      <c r="F42" s="4" t="str">
        <f>IFERROR(__xludf.DUMMYFUNCTION("""COMPUTED_VALUE"""),"")</f>
        <v/>
      </c>
      <c r="G42" s="4" t="str">
        <f>IFERROR(__xludf.DUMMYFUNCTION("""COMPUTED_VALUE"""),"")</f>
        <v/>
      </c>
      <c r="H42" s="4" t="str">
        <f>IFERROR(__xludf.DUMMYFUNCTION("""COMPUTED_VALUE"""),"")</f>
        <v/>
      </c>
      <c r="I42" s="4" t="str">
        <f>IFERROR(__xludf.DUMMYFUNCTION("""COMPUTED_VALUE"""),"")</f>
        <v/>
      </c>
      <c r="J42" s="4" t="str">
        <f>IFERROR(__xludf.DUMMYFUNCTION("""COMPUTED_VALUE"""),"")</f>
        <v/>
      </c>
      <c r="K42" s="4" t="str">
        <f>IFERROR(__xludf.DUMMYFUNCTION("""COMPUTED_VALUE"""),"Talk Intro")</f>
        <v>Talk Intro</v>
      </c>
      <c r="L42" s="4" t="str">
        <f>IFERROR(__xludf.DUMMYFUNCTION("""COMPUTED_VALUE"""),"")</f>
        <v/>
      </c>
      <c r="M42" s="4" t="str">
        <f>IFERROR(__xludf.DUMMYFUNCTION("""COMPUTED_VALUE"""),"")</f>
        <v/>
      </c>
      <c r="N42" s="4" t="str">
        <f>IFERROR(__xludf.DUMMYFUNCTION("""COMPUTED_VALUE"""),"")</f>
        <v/>
      </c>
      <c r="O42" s="4" t="str">
        <f>IFERROR(__xludf.DUMMYFUNCTION("""COMPUTED_VALUE"""),"")</f>
        <v/>
      </c>
      <c r="P42" s="4" t="str">
        <f>IFERROR(__xludf.DUMMYFUNCTION("""COMPUTED_VALUE"""),"")</f>
        <v/>
      </c>
      <c r="Q42" s="4" t="str">
        <f>IFERROR(__xludf.DUMMYFUNCTION("""COMPUTED_VALUE"""),"")</f>
        <v/>
      </c>
      <c r="R42" s="4" t="str">
        <f>IFERROR(__xludf.DUMMYFUNCTION("""COMPUTED_VALUE"""),"")</f>
        <v/>
      </c>
    </row>
    <row r="43">
      <c r="A43" s="4" t="str">
        <f>IFERROR(__xludf.DUMMYFUNCTION("""COMPUTED_VALUE"""),"43 - Channel 5")</f>
        <v>43 - Channel 5</v>
      </c>
      <c r="B43" s="4" t="str">
        <f>IFERROR(__xludf.DUMMYFUNCTION("""COMPUTED_VALUE"""),"Day 1 - 23/06")</f>
        <v>Day 1 - 23/06</v>
      </c>
      <c r="C43" s="6">
        <f>IFERROR(__xludf.DUMMYFUNCTION("""COMPUTED_VALUE"""),0.56644675925926)</f>
        <v>0.5664467593</v>
      </c>
      <c r="D43" s="8">
        <f>IFERROR(__xludf.DUMMYFUNCTION("""COMPUTED_VALUE"""),0.015532407407407408)</f>
        <v>0.01553240741</v>
      </c>
      <c r="E43" s="6">
        <f>IFERROR(__xludf.DUMMYFUNCTION("""COMPUTED_VALUE"""),0.5819791666666674)</f>
        <v>0.5819791667</v>
      </c>
      <c r="F43" s="4" t="str">
        <f>IFERROR(__xludf.DUMMYFUNCTION("""COMPUTED_VALUE"""),"Society")</f>
        <v>Society</v>
      </c>
      <c r="G43" s="4" t="str">
        <f>IFERROR(__xludf.DUMMYFUNCTION("""COMPUTED_VALUE"""),"Web Summit 2017")</f>
        <v>Web Summit 2017</v>
      </c>
      <c r="H43" s="21" t="str">
        <f>IFERROR(__xludf.DUMMYFUNCTION("""COMPUTED_VALUE"""),"https://www.youtube.com/watch?v=JaA36HDq848")</f>
        <v>https://www.youtube.com/watch?v=JaA36HDq848</v>
      </c>
      <c r="I43" s="4" t="str">
        <f>IFERROR(__xludf.DUMMYFUNCTION("""COMPUTED_VALUE"""),"Begin on 00:08. Finish at 21:30.")</f>
        <v>Begin on 00:08. Finish at 21:30.</v>
      </c>
      <c r="J43" s="4" t="str">
        <f>IFERROR(__xludf.DUMMYFUNCTION("""COMPUTED_VALUE"""),"No")</f>
        <v>No</v>
      </c>
      <c r="K43" s="4" t="str">
        <f>IFERROR(__xludf.DUMMYFUNCTION("""COMPUTED_VALUE"""),"Caitlyn Jenner defines gender")</f>
        <v>Caitlyn Jenner defines gender</v>
      </c>
      <c r="L43" s="4" t="str">
        <f>IFERROR(__xludf.DUMMYFUNCTION("""COMPUTED_VALUE"""),"Caitlyn Jenner, Caitlyn Jenner")</f>
        <v>Caitlyn Jenner, Caitlyn Jenner</v>
      </c>
      <c r="M43" s="4" t="str">
        <f>IFERROR(__xludf.DUMMYFUNCTION("""COMPUTED_VALUE"""),"")</f>
        <v/>
      </c>
      <c r="N43" s="4" t="str">
        <f>IFERROR(__xludf.DUMMYFUNCTION("""COMPUTED_VALUE"""),"")</f>
        <v/>
      </c>
      <c r="O43" s="4" t="str">
        <f>IFERROR(__xludf.DUMMYFUNCTION("""COMPUTED_VALUE"""),"")</f>
        <v/>
      </c>
      <c r="P43" s="4" t="str">
        <f>IFERROR(__xludf.DUMMYFUNCTION("""COMPUTED_VALUE"""),"")</f>
        <v/>
      </c>
      <c r="Q43" s="4" t="str">
        <f>IFERROR(__xludf.DUMMYFUNCTION("""COMPUTED_VALUE"""),"Our gender is a huge part of who we are. Defining it is vital in order to define ourselves. Caitlyn Jenner, who knows what it is like to live a life as the wrong gender, shared some of her story and journey with us at Web Summit 2017. ")</f>
        <v>Our gender is a huge part of who we are. Defining it is vital in order to define ourselves. Caitlyn Jenner, who knows what it is like to live a life as the wrong gender, shared some of her story and journey with us at Web Summit 2017. </v>
      </c>
      <c r="R43" s="4" t="str">
        <f>IFERROR(__xludf.DUMMYFUNCTION("""COMPUTED_VALUE"""),"")</f>
        <v/>
      </c>
    </row>
    <row r="44">
      <c r="A44" s="4" t="str">
        <f>IFERROR(__xludf.DUMMYFUNCTION("""COMPUTED_VALUE"""),"44 - Channel 5")</f>
        <v>44 - Channel 5</v>
      </c>
      <c r="B44" s="4" t="str">
        <f>IFERROR(__xludf.DUMMYFUNCTION("""COMPUTED_VALUE"""),"Day 1 - 23/06")</f>
        <v>Day 1 - 23/06</v>
      </c>
      <c r="C44" s="6">
        <f>IFERROR(__xludf.DUMMYFUNCTION("""COMPUTED_VALUE"""),0.5819791666666674)</f>
        <v>0.5819791667</v>
      </c>
      <c r="D44" s="8">
        <f>IFERROR(__xludf.DUMMYFUNCTION("""COMPUTED_VALUE"""),1.7361111111111112E-4)</f>
        <v>0.0001736111111</v>
      </c>
      <c r="E44" s="6">
        <f>IFERROR(__xludf.DUMMYFUNCTION("""COMPUTED_VALUE"""),0.5821527777777785)</f>
        <v>0.5821527778</v>
      </c>
      <c r="F44" s="4" t="str">
        <f>IFERROR(__xludf.DUMMYFUNCTION("""COMPUTED_VALUE"""),"")</f>
        <v/>
      </c>
      <c r="G44" s="4" t="str">
        <f>IFERROR(__xludf.DUMMYFUNCTION("""COMPUTED_VALUE"""),"")</f>
        <v/>
      </c>
      <c r="H44" s="4" t="str">
        <f>IFERROR(__xludf.DUMMYFUNCTION("""COMPUTED_VALUE"""),"")</f>
        <v/>
      </c>
      <c r="I44" s="4" t="str">
        <f>IFERROR(__xludf.DUMMYFUNCTION("""COMPUTED_VALUE"""),"")</f>
        <v/>
      </c>
      <c r="J44" s="4" t="str">
        <f>IFERROR(__xludf.DUMMYFUNCTION("""COMPUTED_VALUE"""),"")</f>
        <v/>
      </c>
      <c r="K44" s="4" t="str">
        <f>IFERROR(__xludf.DUMMYFUNCTION("""COMPUTED_VALUE"""),"Talk Outro")</f>
        <v>Talk Outro</v>
      </c>
      <c r="L44" s="4" t="str">
        <f>IFERROR(__xludf.DUMMYFUNCTION("""COMPUTED_VALUE"""),"")</f>
        <v/>
      </c>
      <c r="M44" s="4" t="str">
        <f>IFERROR(__xludf.DUMMYFUNCTION("""COMPUTED_VALUE"""),"")</f>
        <v/>
      </c>
      <c r="N44" s="4" t="str">
        <f>IFERROR(__xludf.DUMMYFUNCTION("""COMPUTED_VALUE"""),"")</f>
        <v/>
      </c>
      <c r="O44" s="4" t="str">
        <f>IFERROR(__xludf.DUMMYFUNCTION("""COMPUTED_VALUE"""),"")</f>
        <v/>
      </c>
      <c r="P44" s="4" t="str">
        <f>IFERROR(__xludf.DUMMYFUNCTION("""COMPUTED_VALUE"""),"")</f>
        <v/>
      </c>
      <c r="Q44" s="4" t="str">
        <f>IFERROR(__xludf.DUMMYFUNCTION("""COMPUTED_VALUE"""),"")</f>
        <v/>
      </c>
      <c r="R44" s="4" t="str">
        <f>IFERROR(__xludf.DUMMYFUNCTION("""COMPUTED_VALUE"""),"")</f>
        <v/>
      </c>
    </row>
    <row r="45">
      <c r="A45" s="4" t="str">
        <f>IFERROR(__xludf.DUMMYFUNCTION("""COMPUTED_VALUE"""),"344 - Channel 5")</f>
        <v>344 - Channel 5</v>
      </c>
      <c r="B45" s="4" t="str">
        <f>IFERROR(__xludf.DUMMYFUNCTION("""COMPUTED_VALUE"""),"Day 1 - 23/06")</f>
        <v>Day 1 - 23/06</v>
      </c>
      <c r="C45" s="6">
        <f>IFERROR(__xludf.DUMMYFUNCTION("""COMPUTED_VALUE"""),0.5821527777777785)</f>
        <v>0.5821527778</v>
      </c>
      <c r="D45" s="8">
        <f>IFERROR(__xludf.DUMMYFUNCTION("""COMPUTED_VALUE"""),6.944444444444445E-4)</f>
        <v>0.0006944444444</v>
      </c>
      <c r="E45" s="6">
        <f>IFERROR(__xludf.DUMMYFUNCTION("""COMPUTED_VALUE"""),0.582847222222223)</f>
        <v>0.5828472222</v>
      </c>
      <c r="F45" s="4" t="str">
        <f>IFERROR(__xludf.DUMMYFUNCTION("""COMPUTED_VALUE"""),"")</f>
        <v/>
      </c>
      <c r="G45" s="4" t="str">
        <f>IFERROR(__xludf.DUMMYFUNCTION("""COMPUTED_VALUE"""),"")</f>
        <v/>
      </c>
      <c r="H45" s="4" t="str">
        <f>IFERROR(__xludf.DUMMYFUNCTION("""COMPUTED_VALUE"""),"")</f>
        <v/>
      </c>
      <c r="I45" s="4" t="str">
        <f>IFERROR(__xludf.DUMMYFUNCTION("""COMPUTED_VALUE"""),"")</f>
        <v/>
      </c>
      <c r="J45" s="4" t="str">
        <f>IFERROR(__xludf.DUMMYFUNCTION("""COMPUTED_VALUE"""),"")</f>
        <v/>
      </c>
      <c r="K45" s="4" t="str">
        <f>IFERROR(__xludf.DUMMYFUNCTION("""COMPUTED_VALUE"""),"Holding Graphic")</f>
        <v>Holding Graphic</v>
      </c>
      <c r="L45" s="4" t="str">
        <f>IFERROR(__xludf.DUMMYFUNCTION("""COMPUTED_VALUE"""),"")</f>
        <v/>
      </c>
      <c r="M45" s="4" t="str">
        <f>IFERROR(__xludf.DUMMYFUNCTION("""COMPUTED_VALUE"""),"")</f>
        <v/>
      </c>
      <c r="N45" s="4" t="str">
        <f>IFERROR(__xludf.DUMMYFUNCTION("""COMPUTED_VALUE"""),"")</f>
        <v/>
      </c>
      <c r="O45" s="4" t="str">
        <f>IFERROR(__xludf.DUMMYFUNCTION("""COMPUTED_VALUE"""),"")</f>
        <v/>
      </c>
      <c r="P45" s="4" t="str">
        <f>IFERROR(__xludf.DUMMYFUNCTION("""COMPUTED_VALUE"""),"")</f>
        <v/>
      </c>
      <c r="Q45" s="4" t="str">
        <f>IFERROR(__xludf.DUMMYFUNCTION("""COMPUTED_VALUE"""),"")</f>
        <v/>
      </c>
      <c r="R45" s="4" t="str">
        <f>IFERROR(__xludf.DUMMYFUNCTION("""COMPUTED_VALUE"""),"")</f>
        <v/>
      </c>
    </row>
    <row r="46">
      <c r="A46" s="4" t="str">
        <f>IFERROR(__xludf.DUMMYFUNCTION("""COMPUTED_VALUE"""),"45 - Channel 5")</f>
        <v>45 - Channel 5</v>
      </c>
      <c r="B46" s="4" t="str">
        <f>IFERROR(__xludf.DUMMYFUNCTION("""COMPUTED_VALUE"""),"Day 1 - 23/06")</f>
        <v>Day 1 - 23/06</v>
      </c>
      <c r="C46" s="6">
        <f>IFERROR(__xludf.DUMMYFUNCTION("""COMPUTED_VALUE"""),0.582847222222223)</f>
        <v>0.5828472222</v>
      </c>
      <c r="D46" s="8">
        <f>IFERROR(__xludf.DUMMYFUNCTION("""COMPUTED_VALUE"""),5.208333333333333E-4)</f>
        <v>0.0005208333333</v>
      </c>
      <c r="E46" s="6">
        <f>IFERROR(__xludf.DUMMYFUNCTION("""COMPUTED_VALUE"""),0.5833680555555563)</f>
        <v>0.5833680556</v>
      </c>
      <c r="F46" s="4" t="str">
        <f>IFERROR(__xludf.DUMMYFUNCTION("""COMPUTED_VALUE"""),"")</f>
        <v/>
      </c>
      <c r="G46" s="4" t="str">
        <f>IFERROR(__xludf.DUMMYFUNCTION("""COMPUTED_VALUE"""),"")</f>
        <v/>
      </c>
      <c r="H46" s="4" t="str">
        <f>IFERROR(__xludf.DUMMYFUNCTION("""COMPUTED_VALUE"""),"")</f>
        <v/>
      </c>
      <c r="I46" s="4" t="str">
        <f>IFERROR(__xludf.DUMMYFUNCTION("""COMPUTED_VALUE"""),"")</f>
        <v/>
      </c>
      <c r="J46" s="4" t="str">
        <f>IFERROR(__xludf.DUMMYFUNCTION("""COMPUTED_VALUE"""),"")</f>
        <v/>
      </c>
      <c r="K46" s="4" t="str">
        <f>IFERROR(__xludf.DUMMYFUNCTION("""COMPUTED_VALUE"""),"Web Summit Trailer - Full")</f>
        <v>Web Summit Trailer - Full</v>
      </c>
      <c r="L46" s="4" t="str">
        <f>IFERROR(__xludf.DUMMYFUNCTION("""COMPUTED_VALUE"""),"")</f>
        <v/>
      </c>
      <c r="M46" s="4" t="str">
        <f>IFERROR(__xludf.DUMMYFUNCTION("""COMPUTED_VALUE"""),"")</f>
        <v/>
      </c>
      <c r="N46" s="4" t="str">
        <f>IFERROR(__xludf.DUMMYFUNCTION("""COMPUTED_VALUE"""),"")</f>
        <v/>
      </c>
      <c r="O46" s="4" t="str">
        <f>IFERROR(__xludf.DUMMYFUNCTION("""COMPUTED_VALUE"""),"")</f>
        <v/>
      </c>
      <c r="P46" s="4" t="str">
        <f>IFERROR(__xludf.DUMMYFUNCTION("""COMPUTED_VALUE"""),"")</f>
        <v/>
      </c>
      <c r="Q46" s="4" t="str">
        <f>IFERROR(__xludf.DUMMYFUNCTION("""COMPUTED_VALUE"""),"")</f>
        <v/>
      </c>
      <c r="R46" s="4" t="str">
        <f>IFERROR(__xludf.DUMMYFUNCTION("""COMPUTED_VALUE"""),"")</f>
        <v/>
      </c>
    </row>
    <row r="47">
      <c r="A47" s="4" t="str">
        <f>IFERROR(__xludf.DUMMYFUNCTION("""COMPUTED_VALUE"""),"46 - Channel 5")</f>
        <v>46 - Channel 5</v>
      </c>
      <c r="B47" s="4" t="str">
        <f>IFERROR(__xludf.DUMMYFUNCTION("""COMPUTED_VALUE"""),"Day 1 - 23/06")</f>
        <v>Day 1 - 23/06</v>
      </c>
      <c r="C47" s="6">
        <f>IFERROR(__xludf.DUMMYFUNCTION("""COMPUTED_VALUE"""),0.5833680555555563)</f>
        <v>0.5833680556</v>
      </c>
      <c r="D47" s="8">
        <f>IFERROR(__xludf.DUMMYFUNCTION("""COMPUTED_VALUE"""),3.4722222222222224E-4)</f>
        <v>0.0003472222222</v>
      </c>
      <c r="E47" s="6">
        <f>IFERROR(__xludf.DUMMYFUNCTION("""COMPUTED_VALUE"""),0.5837152777777785)</f>
        <v>0.5837152778</v>
      </c>
      <c r="F47" s="4" t="str">
        <f>IFERROR(__xludf.DUMMYFUNCTION("""COMPUTED_VALUE"""),"")</f>
        <v/>
      </c>
      <c r="G47" s="4" t="str">
        <f>IFERROR(__xludf.DUMMYFUNCTION("""COMPUTED_VALUE"""),"")</f>
        <v/>
      </c>
      <c r="H47" s="4" t="str">
        <f>IFERROR(__xludf.DUMMYFUNCTION("""COMPUTED_VALUE"""),"")</f>
        <v/>
      </c>
      <c r="I47" s="4" t="str">
        <f>IFERROR(__xludf.DUMMYFUNCTION("""COMPUTED_VALUE"""),"")</f>
        <v/>
      </c>
      <c r="J47" s="4" t="str">
        <f>IFERROR(__xludf.DUMMYFUNCTION("""COMPUTED_VALUE"""),"")</f>
        <v/>
      </c>
      <c r="K47" s="4" t="str">
        <f>IFERROR(__xludf.DUMMYFUNCTION("""COMPUTED_VALUE"""),"Talk Intro")</f>
        <v>Talk Intro</v>
      </c>
      <c r="L47" s="4" t="str">
        <f>IFERROR(__xludf.DUMMYFUNCTION("""COMPUTED_VALUE"""),"")</f>
        <v/>
      </c>
      <c r="M47" s="4" t="str">
        <f>IFERROR(__xludf.DUMMYFUNCTION("""COMPUTED_VALUE"""),"")</f>
        <v/>
      </c>
      <c r="N47" s="4" t="str">
        <f>IFERROR(__xludf.DUMMYFUNCTION("""COMPUTED_VALUE"""),"")</f>
        <v/>
      </c>
      <c r="O47" s="4" t="str">
        <f>IFERROR(__xludf.DUMMYFUNCTION("""COMPUTED_VALUE"""),"")</f>
        <v/>
      </c>
      <c r="P47" s="4" t="str">
        <f>IFERROR(__xludf.DUMMYFUNCTION("""COMPUTED_VALUE"""),"")</f>
        <v/>
      </c>
      <c r="Q47" s="4" t="str">
        <f>IFERROR(__xludf.DUMMYFUNCTION("""COMPUTED_VALUE"""),"")</f>
        <v/>
      </c>
      <c r="R47" s="4" t="str">
        <f>IFERROR(__xludf.DUMMYFUNCTION("""COMPUTED_VALUE"""),"")</f>
        <v/>
      </c>
    </row>
    <row r="48">
      <c r="A48" s="4" t="str">
        <f>IFERROR(__xludf.DUMMYFUNCTION("""COMPUTED_VALUE"""),"47 - Channel 5")</f>
        <v>47 - Channel 5</v>
      </c>
      <c r="B48" s="4" t="str">
        <f>IFERROR(__xludf.DUMMYFUNCTION("""COMPUTED_VALUE"""),"Day 1 - 23/06")</f>
        <v>Day 1 - 23/06</v>
      </c>
      <c r="C48" s="6">
        <f>IFERROR(__xludf.DUMMYFUNCTION("""COMPUTED_VALUE"""),0.5837152777777785)</f>
        <v>0.5837152778</v>
      </c>
      <c r="D48" s="8">
        <f>IFERROR(__xludf.DUMMYFUNCTION("""COMPUTED_VALUE"""),0.006944444444444444)</f>
        <v>0.006944444444</v>
      </c>
      <c r="E48" s="6">
        <f>IFERROR(__xludf.DUMMYFUNCTION("""COMPUTED_VALUE"""),0.590659722222223)</f>
        <v>0.5906597222</v>
      </c>
      <c r="F48" s="4" t="str">
        <f>IFERROR(__xludf.DUMMYFUNCTION("""COMPUTED_VALUE"""),"Fundraising")</f>
        <v>Fundraising</v>
      </c>
      <c r="G48" s="4" t="str">
        <f>IFERROR(__xludf.DUMMYFUNCTION("""COMPUTED_VALUE"""),"")</f>
        <v/>
      </c>
      <c r="H48" s="4" t="str">
        <f>IFERROR(__xludf.DUMMYFUNCTION("""COMPUTED_VALUE"""),"")</f>
        <v/>
      </c>
      <c r="I48" s="4" t="str">
        <f>IFERROR(__xludf.DUMMYFUNCTION("""COMPUTED_VALUE"""),"")</f>
        <v/>
      </c>
      <c r="J48" s="4" t="str">
        <f>IFERROR(__xludf.DUMMYFUNCTION("""COMPUTED_VALUE"""),"No")</f>
        <v>No</v>
      </c>
      <c r="K48" s="4" t="str">
        <f>IFERROR(__xludf.DUMMYFUNCTION("""COMPUTED_VALUE"""),"Top 5 PITCH winners")</f>
        <v>Top 5 PITCH winners</v>
      </c>
      <c r="L48" s="4" t="str">
        <f>IFERROR(__xludf.DUMMYFUNCTION("""COMPUTED_VALUE"""),"Sea Fawn Briganti, LOLIWARE")</f>
        <v>Sea Fawn Briganti, LOLIWARE</v>
      </c>
      <c r="M48" s="4" t="str">
        <f>IFERROR(__xludf.DUMMYFUNCTION("""COMPUTED_VALUE"""),"Maria Hahn, Nutrix")</f>
        <v>Maria Hahn, Nutrix</v>
      </c>
      <c r="N48" s="4" t="str">
        <f>IFERROR(__xludf.DUMMYFUNCTION("""COMPUTED_VALUE"""),"Alex Kendall, Wayve AI")</f>
        <v>Alex Kendall, Wayve AI</v>
      </c>
      <c r="O48" s="4" t="str">
        <f>IFERROR(__xludf.DUMMYFUNCTION("""COMPUTED_VALUE"""),"Jaime Jorge, Codacy")</f>
        <v>Jaime Jorge, Codacy</v>
      </c>
      <c r="P48" s="4" t="str">
        <f>IFERROR(__xludf.DUMMYFUNCTION("""COMPUTED_VALUE"""),"Linh Pham, Logivan")</f>
        <v>Linh Pham, Logivan</v>
      </c>
      <c r="Q48" s="4" t="str">
        <f>IFERROR(__xludf.DUMMYFUNCTION("""COMPUTED_VALUE"""),"Featuring Loliware, Nutrix, Wayve AI, Codacy and Logivan. The annual Web Summit PITCH competition showcases the best startups in the world. This compilation brings you the best of the best – our top winners from the last 10 years.")</f>
        <v>Featuring Loliware, Nutrix, Wayve AI, Codacy and Logivan. The annual Web Summit PITCH competition showcases the best startups in the world. This compilation brings you the best of the best – our top winners from the last 10 years.</v>
      </c>
      <c r="R48" s="4" t="str">
        <f>IFERROR(__xludf.DUMMYFUNCTION("""COMPUTED_VALUE"""),"")</f>
        <v/>
      </c>
    </row>
    <row r="49">
      <c r="A49" s="4" t="str">
        <f>IFERROR(__xludf.DUMMYFUNCTION("""COMPUTED_VALUE"""),"48 - Channel 5")</f>
        <v>48 - Channel 5</v>
      </c>
      <c r="B49" s="4" t="str">
        <f>IFERROR(__xludf.DUMMYFUNCTION("""COMPUTED_VALUE"""),"Day 1 - 23/06")</f>
        <v>Day 1 - 23/06</v>
      </c>
      <c r="C49" s="6">
        <f>IFERROR(__xludf.DUMMYFUNCTION("""COMPUTED_VALUE"""),0.590659722222223)</f>
        <v>0.5906597222</v>
      </c>
      <c r="D49" s="8">
        <f>IFERROR(__xludf.DUMMYFUNCTION("""COMPUTED_VALUE"""),1.7361111111111112E-4)</f>
        <v>0.0001736111111</v>
      </c>
      <c r="E49" s="6">
        <f>IFERROR(__xludf.DUMMYFUNCTION("""COMPUTED_VALUE"""),0.5908333333333341)</f>
        <v>0.5908333333</v>
      </c>
      <c r="F49" s="4" t="str">
        <f>IFERROR(__xludf.DUMMYFUNCTION("""COMPUTED_VALUE"""),"")</f>
        <v/>
      </c>
      <c r="G49" s="4" t="str">
        <f>IFERROR(__xludf.DUMMYFUNCTION("""COMPUTED_VALUE"""),"")</f>
        <v/>
      </c>
      <c r="H49" s="4" t="str">
        <f>IFERROR(__xludf.DUMMYFUNCTION("""COMPUTED_VALUE"""),"")</f>
        <v/>
      </c>
      <c r="I49" s="4" t="str">
        <f>IFERROR(__xludf.DUMMYFUNCTION("""COMPUTED_VALUE"""),"")</f>
        <v/>
      </c>
      <c r="J49" s="4" t="str">
        <f>IFERROR(__xludf.DUMMYFUNCTION("""COMPUTED_VALUE"""),"")</f>
        <v/>
      </c>
      <c r="K49" s="4" t="str">
        <f>IFERROR(__xludf.DUMMYFUNCTION("""COMPUTED_VALUE"""),"Talk Outro")</f>
        <v>Talk Outro</v>
      </c>
      <c r="L49" s="4" t="str">
        <f>IFERROR(__xludf.DUMMYFUNCTION("""COMPUTED_VALUE"""),"")</f>
        <v/>
      </c>
      <c r="M49" s="4" t="str">
        <f>IFERROR(__xludf.DUMMYFUNCTION("""COMPUTED_VALUE"""),"")</f>
        <v/>
      </c>
      <c r="N49" s="4" t="str">
        <f>IFERROR(__xludf.DUMMYFUNCTION("""COMPUTED_VALUE"""),"")</f>
        <v/>
      </c>
      <c r="O49" s="4" t="str">
        <f>IFERROR(__xludf.DUMMYFUNCTION("""COMPUTED_VALUE"""),"")</f>
        <v/>
      </c>
      <c r="P49" s="4" t="str">
        <f>IFERROR(__xludf.DUMMYFUNCTION("""COMPUTED_VALUE"""),"")</f>
        <v/>
      </c>
      <c r="Q49" s="4" t="str">
        <f>IFERROR(__xludf.DUMMYFUNCTION("""COMPUTED_VALUE"""),"")</f>
        <v/>
      </c>
      <c r="R49" s="4" t="str">
        <f>IFERROR(__xludf.DUMMYFUNCTION("""COMPUTED_VALUE"""),"")</f>
        <v/>
      </c>
    </row>
    <row r="50">
      <c r="A50" s="4" t="str">
        <f>IFERROR(__xludf.DUMMYFUNCTION("""COMPUTED_VALUE"""),"49 - Channel 5")</f>
        <v>49 - Channel 5</v>
      </c>
      <c r="B50" s="4" t="str">
        <f>IFERROR(__xludf.DUMMYFUNCTION("""COMPUTED_VALUE"""),"Day 1 - 23/06")</f>
        <v>Day 1 - 23/06</v>
      </c>
      <c r="C50" s="6">
        <f>IFERROR(__xludf.DUMMYFUNCTION("""COMPUTED_VALUE"""),0.5908333333333341)</f>
        <v>0.5908333333</v>
      </c>
      <c r="D50" s="8">
        <f>IFERROR(__xludf.DUMMYFUNCTION("""COMPUTED_VALUE"""),3.4722222222222224E-4)</f>
        <v>0.0003472222222</v>
      </c>
      <c r="E50" s="6">
        <f>IFERROR(__xludf.DUMMYFUNCTION("""COMPUTED_VALUE"""),0.5911805555555564)</f>
        <v>0.5911805556</v>
      </c>
      <c r="F50" s="4" t="str">
        <f>IFERROR(__xludf.DUMMYFUNCTION("""COMPUTED_VALUE"""),"")</f>
        <v/>
      </c>
      <c r="G50" s="4" t="str">
        <f>IFERROR(__xludf.DUMMYFUNCTION("""COMPUTED_VALUE"""),"")</f>
        <v/>
      </c>
      <c r="H50" s="4" t="str">
        <f>IFERROR(__xludf.DUMMYFUNCTION("""COMPUTED_VALUE"""),"")</f>
        <v/>
      </c>
      <c r="I50" s="4" t="str">
        <f>IFERROR(__xludf.DUMMYFUNCTION("""COMPUTED_VALUE"""),"")</f>
        <v/>
      </c>
      <c r="J50" s="4" t="str">
        <f>IFERROR(__xludf.DUMMYFUNCTION("""COMPUTED_VALUE"""),"")</f>
        <v/>
      </c>
      <c r="K50" s="4" t="str">
        <f>IFERROR(__xludf.DUMMYFUNCTION("""COMPUTED_VALUE"""),"Talk Intro")</f>
        <v>Talk Intro</v>
      </c>
      <c r="L50" s="4" t="str">
        <f>IFERROR(__xludf.DUMMYFUNCTION("""COMPUTED_VALUE"""),"")</f>
        <v/>
      </c>
      <c r="M50" s="4" t="str">
        <f>IFERROR(__xludf.DUMMYFUNCTION("""COMPUTED_VALUE"""),"")</f>
        <v/>
      </c>
      <c r="N50" s="4" t="str">
        <f>IFERROR(__xludf.DUMMYFUNCTION("""COMPUTED_VALUE"""),"")</f>
        <v/>
      </c>
      <c r="O50" s="4" t="str">
        <f>IFERROR(__xludf.DUMMYFUNCTION("""COMPUTED_VALUE"""),"")</f>
        <v/>
      </c>
      <c r="P50" s="4" t="str">
        <f>IFERROR(__xludf.DUMMYFUNCTION("""COMPUTED_VALUE"""),"")</f>
        <v/>
      </c>
      <c r="Q50" s="4" t="str">
        <f>IFERROR(__xludf.DUMMYFUNCTION("""COMPUTED_VALUE"""),"")</f>
        <v/>
      </c>
      <c r="R50" s="4" t="str">
        <f>IFERROR(__xludf.DUMMYFUNCTION("""COMPUTED_VALUE"""),"")</f>
        <v/>
      </c>
    </row>
    <row r="51">
      <c r="A51" s="4" t="str">
        <f>IFERROR(__xludf.DUMMYFUNCTION("""COMPUTED_VALUE"""),"50 - Channel 5")</f>
        <v>50 - Channel 5</v>
      </c>
      <c r="B51" s="4" t="str">
        <f>IFERROR(__xludf.DUMMYFUNCTION("""COMPUTED_VALUE"""),"Day 1 - 23/06")</f>
        <v>Day 1 - 23/06</v>
      </c>
      <c r="C51" s="6">
        <f>IFERROR(__xludf.DUMMYFUNCTION("""COMPUTED_VALUE"""),0.5911805555555564)</f>
        <v>0.5911805556</v>
      </c>
      <c r="D51" s="8">
        <f>IFERROR(__xludf.DUMMYFUNCTION("""COMPUTED_VALUE"""),0.010972222222222222)</f>
        <v>0.01097222222</v>
      </c>
      <c r="E51" s="6">
        <f>IFERROR(__xludf.DUMMYFUNCTION("""COMPUTED_VALUE"""),0.6021527777777786)</f>
        <v>0.6021527778</v>
      </c>
      <c r="F51" s="4" t="str">
        <f>IFERROR(__xludf.DUMMYFUNCTION("""COMPUTED_VALUE"""),"Leadership")</f>
        <v>Leadership</v>
      </c>
      <c r="G51" s="4" t="str">
        <f>IFERROR(__xludf.DUMMYFUNCTION("""COMPUTED_VALUE"""),"Web Summit 2014")</f>
        <v>Web Summit 2014</v>
      </c>
      <c r="H51" s="21" t="str">
        <f>IFERROR(__xludf.DUMMYFUNCTION("""COMPUTED_VALUE"""),"https://www.youtube.com/watch?v=vxmhCWcaFe4")</f>
        <v>https://www.youtube.com/watch?v=vxmhCWcaFe4</v>
      </c>
      <c r="I51" s="4" t="str">
        <f>IFERROR(__xludf.DUMMYFUNCTION("""COMPUTED_VALUE"""),"Begin on 2 secs. Finish at 15:50")</f>
        <v>Begin on 2 secs. Finish at 15:50</v>
      </c>
      <c r="J51" s="4" t="str">
        <f>IFERROR(__xludf.DUMMYFUNCTION("""COMPUTED_VALUE"""),"No")</f>
        <v>No</v>
      </c>
      <c r="K51" s="4" t="str">
        <f>IFERROR(__xludf.DUMMYFUNCTION("""COMPUTED_VALUE"""),"Connecting the dots with Padmasree Warrior")</f>
        <v>Connecting the dots with Padmasree Warrior</v>
      </c>
      <c r="L51" s="4" t="str">
        <f>IFERROR(__xludf.DUMMYFUNCTION("""COMPUTED_VALUE"""),"Padmasree Warrior, NIO")</f>
        <v>Padmasree Warrior, NIO</v>
      </c>
      <c r="M51" s="4" t="str">
        <f>IFERROR(__xludf.DUMMYFUNCTION("""COMPUTED_VALUE"""),"")</f>
        <v/>
      </c>
      <c r="N51" s="4" t="str">
        <f>IFERROR(__xludf.DUMMYFUNCTION("""COMPUTED_VALUE"""),"")</f>
        <v/>
      </c>
      <c r="O51" s="4" t="str">
        <f>IFERROR(__xludf.DUMMYFUNCTION("""COMPUTED_VALUE"""),"")</f>
        <v/>
      </c>
      <c r="P51" s="4" t="str">
        <f>IFERROR(__xludf.DUMMYFUNCTION("""COMPUTED_VALUE"""),"")</f>
        <v/>
      </c>
      <c r="Q51" s="4" t="str">
        <f>IFERROR(__xludf.DUMMYFUNCTION("""COMPUTED_VALUE"""),"Padma Warrior is a titan of the tech industry. In this talk from Web Summit 2014, she discusses topics as wide ranging as the internet of things, connectivity, and diversity in the workforce. ")</f>
        <v>Padma Warrior is a titan of the tech industry. In this talk from Web Summit 2014, she discusses topics as wide ranging as the internet of things, connectivity, and diversity in the workforce. </v>
      </c>
      <c r="R51" s="4" t="str">
        <f>IFERROR(__xludf.DUMMYFUNCTION("""COMPUTED_VALUE"""),"")</f>
        <v/>
      </c>
    </row>
    <row r="52">
      <c r="A52" s="4" t="str">
        <f>IFERROR(__xludf.DUMMYFUNCTION("""COMPUTED_VALUE"""),"51 - Channel 5")</f>
        <v>51 - Channel 5</v>
      </c>
      <c r="B52" s="4" t="str">
        <f>IFERROR(__xludf.DUMMYFUNCTION("""COMPUTED_VALUE"""),"Day 1 - 23/06")</f>
        <v>Day 1 - 23/06</v>
      </c>
      <c r="C52" s="6">
        <f>IFERROR(__xludf.DUMMYFUNCTION("""COMPUTED_VALUE"""),0.6021527777777786)</f>
        <v>0.6021527778</v>
      </c>
      <c r="D52" s="8">
        <f>IFERROR(__xludf.DUMMYFUNCTION("""COMPUTED_VALUE"""),1.7361111111111112E-4)</f>
        <v>0.0001736111111</v>
      </c>
      <c r="E52" s="6">
        <f>IFERROR(__xludf.DUMMYFUNCTION("""COMPUTED_VALUE"""),0.6023263888888898)</f>
        <v>0.6023263889</v>
      </c>
      <c r="F52" s="4" t="str">
        <f>IFERROR(__xludf.DUMMYFUNCTION("""COMPUTED_VALUE"""),"")</f>
        <v/>
      </c>
      <c r="G52" s="4" t="str">
        <f>IFERROR(__xludf.DUMMYFUNCTION("""COMPUTED_VALUE"""),"")</f>
        <v/>
      </c>
      <c r="H52" s="4" t="str">
        <f>IFERROR(__xludf.DUMMYFUNCTION("""COMPUTED_VALUE"""),"")</f>
        <v/>
      </c>
      <c r="I52" s="4" t="str">
        <f>IFERROR(__xludf.DUMMYFUNCTION("""COMPUTED_VALUE"""),"")</f>
        <v/>
      </c>
      <c r="J52" s="4" t="str">
        <f>IFERROR(__xludf.DUMMYFUNCTION("""COMPUTED_VALUE"""),"")</f>
        <v/>
      </c>
      <c r="K52" s="4" t="str">
        <f>IFERROR(__xludf.DUMMYFUNCTION("""COMPUTED_VALUE"""),"Talk Outro")</f>
        <v>Talk Outro</v>
      </c>
      <c r="L52" s="4" t="str">
        <f>IFERROR(__xludf.DUMMYFUNCTION("""COMPUTED_VALUE"""),"")</f>
        <v/>
      </c>
      <c r="M52" s="4" t="str">
        <f>IFERROR(__xludf.DUMMYFUNCTION("""COMPUTED_VALUE"""),"")</f>
        <v/>
      </c>
      <c r="N52" s="4" t="str">
        <f>IFERROR(__xludf.DUMMYFUNCTION("""COMPUTED_VALUE"""),"")</f>
        <v/>
      </c>
      <c r="O52" s="4" t="str">
        <f>IFERROR(__xludf.DUMMYFUNCTION("""COMPUTED_VALUE"""),"")</f>
        <v/>
      </c>
      <c r="P52" s="4" t="str">
        <f>IFERROR(__xludf.DUMMYFUNCTION("""COMPUTED_VALUE"""),"")</f>
        <v/>
      </c>
      <c r="Q52" s="4" t="str">
        <f>IFERROR(__xludf.DUMMYFUNCTION("""COMPUTED_VALUE"""),"")</f>
        <v/>
      </c>
      <c r="R52" s="4" t="str">
        <f>IFERROR(__xludf.DUMMYFUNCTION("""COMPUTED_VALUE"""),"")</f>
        <v/>
      </c>
    </row>
    <row r="53">
      <c r="A53" s="4" t="str">
        <f>IFERROR(__xludf.DUMMYFUNCTION("""COMPUTED_VALUE"""),"52 - Channel 5")</f>
        <v>52 - Channel 5</v>
      </c>
      <c r="B53" s="4" t="str">
        <f>IFERROR(__xludf.DUMMYFUNCTION("""COMPUTED_VALUE"""),"Day 1 - 23/06")</f>
        <v>Day 1 - 23/06</v>
      </c>
      <c r="C53" s="6">
        <f>IFERROR(__xludf.DUMMYFUNCTION("""COMPUTED_VALUE"""),0.6023263888888898)</f>
        <v>0.6023263889</v>
      </c>
      <c r="D53" s="8">
        <f>IFERROR(__xludf.DUMMYFUNCTION("""COMPUTED_VALUE"""),4.7453703703703704E-4)</f>
        <v>0.000474537037</v>
      </c>
      <c r="E53" s="6">
        <f>IFERROR(__xludf.DUMMYFUNCTION("""COMPUTED_VALUE"""),0.6028009259259268)</f>
        <v>0.6028009259</v>
      </c>
      <c r="F53" s="4" t="str">
        <f>IFERROR(__xludf.DUMMYFUNCTION("""COMPUTED_VALUE"""),"")</f>
        <v/>
      </c>
      <c r="G53" s="4" t="str">
        <f>IFERROR(__xludf.DUMMYFUNCTION("""COMPUTED_VALUE"""),"")</f>
        <v/>
      </c>
      <c r="H53" s="4" t="str">
        <f>IFERROR(__xludf.DUMMYFUNCTION("""COMPUTED_VALUE"""),"")</f>
        <v/>
      </c>
      <c r="I53" s="4" t="str">
        <f>IFERROR(__xludf.DUMMYFUNCTION("""COMPUTED_VALUE"""),"")</f>
        <v/>
      </c>
      <c r="J53" s="4" t="str">
        <f>IFERROR(__xludf.DUMMYFUNCTION("""COMPUTED_VALUE"""),"")</f>
        <v/>
      </c>
      <c r="K53" s="4" t="str">
        <f>IFERROR(__xludf.DUMMYFUNCTION("""COMPUTED_VALUE"""),"Holding Graphic")</f>
        <v>Holding Graphic</v>
      </c>
      <c r="L53" s="4" t="str">
        <f>IFERROR(__xludf.DUMMYFUNCTION("""COMPUTED_VALUE"""),"")</f>
        <v/>
      </c>
      <c r="M53" s="4" t="str">
        <f>IFERROR(__xludf.DUMMYFUNCTION("""COMPUTED_VALUE"""),"")</f>
        <v/>
      </c>
      <c r="N53" s="4" t="str">
        <f>IFERROR(__xludf.DUMMYFUNCTION("""COMPUTED_VALUE"""),"")</f>
        <v/>
      </c>
      <c r="O53" s="4" t="str">
        <f>IFERROR(__xludf.DUMMYFUNCTION("""COMPUTED_VALUE"""),"")</f>
        <v/>
      </c>
      <c r="P53" s="4" t="str">
        <f>IFERROR(__xludf.DUMMYFUNCTION("""COMPUTED_VALUE"""),"")</f>
        <v/>
      </c>
      <c r="Q53" s="4" t="str">
        <f>IFERROR(__xludf.DUMMYFUNCTION("""COMPUTED_VALUE"""),"")</f>
        <v/>
      </c>
      <c r="R53" s="4" t="str">
        <f>IFERROR(__xludf.DUMMYFUNCTION("""COMPUTED_VALUE"""),"")</f>
        <v/>
      </c>
    </row>
    <row r="54">
      <c r="A54" s="4" t="str">
        <f>IFERROR(__xludf.DUMMYFUNCTION("""COMPUTED_VALUE"""),"53 - Channel 5")</f>
        <v>53 - Channel 5</v>
      </c>
      <c r="B54" s="4" t="str">
        <f>IFERROR(__xludf.DUMMYFUNCTION("""COMPUTED_VALUE"""),"Day 1 - 23/06")</f>
        <v>Day 1 - 23/06</v>
      </c>
      <c r="C54" s="6">
        <f>IFERROR(__xludf.DUMMYFUNCTION("""COMPUTED_VALUE"""),0.6028009259259268)</f>
        <v>0.6028009259</v>
      </c>
      <c r="D54" s="8">
        <f>IFERROR(__xludf.DUMMYFUNCTION("""COMPUTED_VALUE"""),3.4722222222222224E-4)</f>
        <v>0.0003472222222</v>
      </c>
      <c r="E54" s="6">
        <f>IFERROR(__xludf.DUMMYFUNCTION("""COMPUTED_VALUE"""),0.6031481481481491)</f>
        <v>0.6031481481</v>
      </c>
      <c r="F54" s="4" t="str">
        <f>IFERROR(__xludf.DUMMYFUNCTION("""COMPUTED_VALUE"""),"")</f>
        <v/>
      </c>
      <c r="G54" s="4" t="str">
        <f>IFERROR(__xludf.DUMMYFUNCTION("""COMPUTED_VALUE"""),"")</f>
        <v/>
      </c>
      <c r="H54" s="4" t="str">
        <f>IFERROR(__xludf.DUMMYFUNCTION("""COMPUTED_VALUE"""),"")</f>
        <v/>
      </c>
      <c r="I54" s="4" t="str">
        <f>IFERROR(__xludf.DUMMYFUNCTION("""COMPUTED_VALUE"""),"")</f>
        <v/>
      </c>
      <c r="J54" s="4" t="str">
        <f>IFERROR(__xludf.DUMMYFUNCTION("""COMPUTED_VALUE"""),"")</f>
        <v/>
      </c>
      <c r="K54" s="4" t="str">
        <f>IFERROR(__xludf.DUMMYFUNCTION("""COMPUTED_VALUE"""),"Web Summit Trailer - short")</f>
        <v>Web Summit Trailer - short</v>
      </c>
      <c r="L54" s="4" t="str">
        <f>IFERROR(__xludf.DUMMYFUNCTION("""COMPUTED_VALUE"""),"")</f>
        <v/>
      </c>
      <c r="M54" s="4" t="str">
        <f>IFERROR(__xludf.DUMMYFUNCTION("""COMPUTED_VALUE"""),"")</f>
        <v/>
      </c>
      <c r="N54" s="4" t="str">
        <f>IFERROR(__xludf.DUMMYFUNCTION("""COMPUTED_VALUE"""),"")</f>
        <v/>
      </c>
      <c r="O54" s="4" t="str">
        <f>IFERROR(__xludf.DUMMYFUNCTION("""COMPUTED_VALUE"""),"")</f>
        <v/>
      </c>
      <c r="P54" s="4" t="str">
        <f>IFERROR(__xludf.DUMMYFUNCTION("""COMPUTED_VALUE"""),"")</f>
        <v/>
      </c>
      <c r="Q54" s="4" t="str">
        <f>IFERROR(__xludf.DUMMYFUNCTION("""COMPUTED_VALUE"""),"")</f>
        <v/>
      </c>
      <c r="R54" s="4" t="str">
        <f>IFERROR(__xludf.DUMMYFUNCTION("""COMPUTED_VALUE"""),"")</f>
        <v/>
      </c>
    </row>
    <row r="55">
      <c r="A55" s="4" t="str">
        <f>IFERROR(__xludf.DUMMYFUNCTION("""COMPUTED_VALUE"""),"55 - Channel 5")</f>
        <v>55 - Channel 5</v>
      </c>
      <c r="B55" s="4" t="str">
        <f>IFERROR(__xludf.DUMMYFUNCTION("""COMPUTED_VALUE"""),"Day 1 - 23/06")</f>
        <v>Day 1 - 23/06</v>
      </c>
      <c r="C55" s="6">
        <f>IFERROR(__xludf.DUMMYFUNCTION("""COMPUTED_VALUE"""),0.6031481481481491)</f>
        <v>0.6031481481</v>
      </c>
      <c r="D55" s="8">
        <f>IFERROR(__xludf.DUMMYFUNCTION("""COMPUTED_VALUE"""),3.4722222222222224E-4)</f>
        <v>0.0003472222222</v>
      </c>
      <c r="E55" s="6">
        <f>IFERROR(__xludf.DUMMYFUNCTION("""COMPUTED_VALUE"""),0.6034953703703714)</f>
        <v>0.6034953704</v>
      </c>
      <c r="F55" s="4" t="str">
        <f>IFERROR(__xludf.DUMMYFUNCTION("""COMPUTED_VALUE"""),"")</f>
        <v/>
      </c>
      <c r="G55" s="4" t="str">
        <f>IFERROR(__xludf.DUMMYFUNCTION("""COMPUTED_VALUE"""),"")</f>
        <v/>
      </c>
      <c r="H55" s="4" t="str">
        <f>IFERROR(__xludf.DUMMYFUNCTION("""COMPUTED_VALUE"""),"")</f>
        <v/>
      </c>
      <c r="I55" s="4" t="str">
        <f>IFERROR(__xludf.DUMMYFUNCTION("""COMPUTED_VALUE"""),"")</f>
        <v/>
      </c>
      <c r="J55" s="4" t="str">
        <f>IFERROR(__xludf.DUMMYFUNCTION("""COMPUTED_VALUE"""),"")</f>
        <v/>
      </c>
      <c r="K55" s="4" t="str">
        <f>IFERROR(__xludf.DUMMYFUNCTION("""COMPUTED_VALUE"""),"Talk Intro")</f>
        <v>Talk Intro</v>
      </c>
      <c r="L55" s="4" t="str">
        <f>IFERROR(__xludf.DUMMYFUNCTION("""COMPUTED_VALUE"""),"")</f>
        <v/>
      </c>
      <c r="M55" s="4" t="str">
        <f>IFERROR(__xludf.DUMMYFUNCTION("""COMPUTED_VALUE"""),"")</f>
        <v/>
      </c>
      <c r="N55" s="4" t="str">
        <f>IFERROR(__xludf.DUMMYFUNCTION("""COMPUTED_VALUE"""),"")</f>
        <v/>
      </c>
      <c r="O55" s="4" t="str">
        <f>IFERROR(__xludf.DUMMYFUNCTION("""COMPUTED_VALUE"""),"")</f>
        <v/>
      </c>
      <c r="P55" s="4" t="str">
        <f>IFERROR(__xludf.DUMMYFUNCTION("""COMPUTED_VALUE"""),"")</f>
        <v/>
      </c>
      <c r="Q55" s="4" t="str">
        <f>IFERROR(__xludf.DUMMYFUNCTION("""COMPUTED_VALUE"""),"")</f>
        <v/>
      </c>
      <c r="R55" s="4" t="str">
        <f>IFERROR(__xludf.DUMMYFUNCTION("""COMPUTED_VALUE"""),"")</f>
        <v/>
      </c>
    </row>
    <row r="56">
      <c r="A56" s="4" t="str">
        <f>IFERROR(__xludf.DUMMYFUNCTION("""COMPUTED_VALUE"""),"56 - Channel 5")</f>
        <v>56 - Channel 5</v>
      </c>
      <c r="B56" s="4" t="str">
        <f>IFERROR(__xludf.DUMMYFUNCTION("""COMPUTED_VALUE"""),"Day 1 - 23/06")</f>
        <v>Day 1 - 23/06</v>
      </c>
      <c r="C56" s="6">
        <f>IFERROR(__xludf.DUMMYFUNCTION("""COMPUTED_VALUE"""),0.6034953703703714)</f>
        <v>0.6034953704</v>
      </c>
      <c r="D56" s="8">
        <f>IFERROR(__xludf.DUMMYFUNCTION("""COMPUTED_VALUE"""),0.012881944444444444)</f>
        <v>0.01288194444</v>
      </c>
      <c r="E56" s="6">
        <f>IFERROR(__xludf.DUMMYFUNCTION("""COMPUTED_VALUE"""),0.6163773148148158)</f>
        <v>0.6163773148</v>
      </c>
      <c r="F56" s="4" t="str">
        <f>IFERROR(__xludf.DUMMYFUNCTION("""COMPUTED_VALUE"""),"Sport")</f>
        <v>Sport</v>
      </c>
      <c r="G56" s="4" t="str">
        <f>IFERROR(__xludf.DUMMYFUNCTION("""COMPUTED_VALUE"""),"Web Summit 2018")</f>
        <v>Web Summit 2018</v>
      </c>
      <c r="H56" s="21" t="str">
        <f>IFERROR(__xludf.DUMMYFUNCTION("""COMPUTED_VALUE"""),"https://www.youtube.com/watch?v=wwuYk4M06dc")</f>
        <v>https://www.youtube.com/watch?v=wwuYk4M06dc</v>
      </c>
      <c r="I56" s="4" t="str">
        <f>IFERROR(__xludf.DUMMYFUNCTION("""COMPUTED_VALUE"""),"Begin at 2 seconds. Finish at 18:35")</f>
        <v>Begin at 2 seconds. Finish at 18:35</v>
      </c>
      <c r="J56" s="4" t="str">
        <f>IFERROR(__xludf.DUMMYFUNCTION("""COMPUTED_VALUE"""),"No")</f>
        <v>No</v>
      </c>
      <c r="K56" s="4" t="str">
        <f>IFERROR(__xludf.DUMMYFUNCTION("""COMPUTED_VALUE"""),"WWE women's revolution with Stephanie McMahon")</f>
        <v>WWE women's revolution with Stephanie McMahon</v>
      </c>
      <c r="L56" s="4" t="str">
        <f>IFERROR(__xludf.DUMMYFUNCTION("""COMPUTED_VALUE"""),"Stephanie McMahon, WWE")</f>
        <v>Stephanie McMahon, WWE</v>
      </c>
      <c r="M56" s="4" t="str">
        <f>IFERROR(__xludf.DUMMYFUNCTION("""COMPUTED_VALUE"""),"")</f>
        <v/>
      </c>
      <c r="N56" s="4" t="str">
        <f>IFERROR(__xludf.DUMMYFUNCTION("""COMPUTED_VALUE"""),"")</f>
        <v/>
      </c>
      <c r="O56" s="4" t="str">
        <f>IFERROR(__xludf.DUMMYFUNCTION("""COMPUTED_VALUE"""),"")</f>
        <v/>
      </c>
      <c r="P56" s="4" t="str">
        <f>IFERROR(__xludf.DUMMYFUNCTION("""COMPUTED_VALUE"""),"")</f>
        <v/>
      </c>
      <c r="Q56" s="4" t="str">
        <f>IFERROR(__xludf.DUMMYFUNCTION("""COMPUTED_VALUE"""),"Wrestling was seen, for so long, as a man's game. All that has changed. In 2018, Stephanie McMahon joined us to tell us all about how women took over the WWE, which they continue to dominate today.")</f>
        <v>Wrestling was seen, for so long, as a man's game. All that has changed. In 2018, Stephanie McMahon joined us to tell us all about how women took over the WWE, which they continue to dominate today.</v>
      </c>
      <c r="R56" s="4" t="str">
        <f>IFERROR(__xludf.DUMMYFUNCTION("""COMPUTED_VALUE"""),"")</f>
        <v/>
      </c>
    </row>
    <row r="57">
      <c r="A57" s="4" t="str">
        <f>IFERROR(__xludf.DUMMYFUNCTION("""COMPUTED_VALUE"""),"57 - Channel 5")</f>
        <v>57 - Channel 5</v>
      </c>
      <c r="B57" s="4" t="str">
        <f>IFERROR(__xludf.DUMMYFUNCTION("""COMPUTED_VALUE"""),"Day 1 - 23/06")</f>
        <v>Day 1 - 23/06</v>
      </c>
      <c r="C57" s="6">
        <f>IFERROR(__xludf.DUMMYFUNCTION("""COMPUTED_VALUE"""),0.6163773148148158)</f>
        <v>0.6163773148</v>
      </c>
      <c r="D57" s="8">
        <f>IFERROR(__xludf.DUMMYFUNCTION("""COMPUTED_VALUE"""),1.7361111111111112E-4)</f>
        <v>0.0001736111111</v>
      </c>
      <c r="E57" s="6">
        <f>IFERROR(__xludf.DUMMYFUNCTION("""COMPUTED_VALUE"""),0.616550925925927)</f>
        <v>0.6165509259</v>
      </c>
      <c r="F57" s="4" t="str">
        <f>IFERROR(__xludf.DUMMYFUNCTION("""COMPUTED_VALUE"""),"")</f>
        <v/>
      </c>
      <c r="G57" s="4" t="str">
        <f>IFERROR(__xludf.DUMMYFUNCTION("""COMPUTED_VALUE"""),"")</f>
        <v/>
      </c>
      <c r="H57" s="4" t="str">
        <f>IFERROR(__xludf.DUMMYFUNCTION("""COMPUTED_VALUE"""),"")</f>
        <v/>
      </c>
      <c r="I57" s="4" t="str">
        <f>IFERROR(__xludf.DUMMYFUNCTION("""COMPUTED_VALUE"""),"")</f>
        <v/>
      </c>
      <c r="J57" s="4" t="str">
        <f>IFERROR(__xludf.DUMMYFUNCTION("""COMPUTED_VALUE"""),"")</f>
        <v/>
      </c>
      <c r="K57" s="4" t="str">
        <f>IFERROR(__xludf.DUMMYFUNCTION("""COMPUTED_VALUE"""),"Talk Outro")</f>
        <v>Talk Outro</v>
      </c>
      <c r="L57" s="4" t="str">
        <f>IFERROR(__xludf.DUMMYFUNCTION("""COMPUTED_VALUE"""),"")</f>
        <v/>
      </c>
      <c r="M57" s="4" t="str">
        <f>IFERROR(__xludf.DUMMYFUNCTION("""COMPUTED_VALUE"""),"")</f>
        <v/>
      </c>
      <c r="N57" s="4" t="str">
        <f>IFERROR(__xludf.DUMMYFUNCTION("""COMPUTED_VALUE"""),"")</f>
        <v/>
      </c>
      <c r="O57" s="4" t="str">
        <f>IFERROR(__xludf.DUMMYFUNCTION("""COMPUTED_VALUE"""),"")</f>
        <v/>
      </c>
      <c r="P57" s="4" t="str">
        <f>IFERROR(__xludf.DUMMYFUNCTION("""COMPUTED_VALUE"""),"")</f>
        <v/>
      </c>
      <c r="Q57" s="4" t="str">
        <f>IFERROR(__xludf.DUMMYFUNCTION("""COMPUTED_VALUE"""),"")</f>
        <v/>
      </c>
      <c r="R57" s="4" t="str">
        <f>IFERROR(__xludf.DUMMYFUNCTION("""COMPUTED_VALUE"""),"")</f>
        <v/>
      </c>
    </row>
    <row r="58">
      <c r="A58" s="4" t="str">
        <f>IFERROR(__xludf.DUMMYFUNCTION("""COMPUTED_VALUE"""),"58 - Channel 5")</f>
        <v>58 - Channel 5</v>
      </c>
      <c r="B58" s="4" t="str">
        <f>IFERROR(__xludf.DUMMYFUNCTION("""COMPUTED_VALUE"""),"Day 1 - 23/06")</f>
        <v>Day 1 - 23/06</v>
      </c>
      <c r="C58" s="6">
        <f>IFERROR(__xludf.DUMMYFUNCTION("""COMPUTED_VALUE"""),0.616550925925927)</f>
        <v>0.6165509259</v>
      </c>
      <c r="D58" s="8">
        <f>IFERROR(__xludf.DUMMYFUNCTION("""COMPUTED_VALUE"""),3.125E-4)</f>
        <v>0.0003125</v>
      </c>
      <c r="E58" s="6">
        <f>IFERROR(__xludf.DUMMYFUNCTION("""COMPUTED_VALUE"""),0.616863425925927)</f>
        <v>0.6168634259</v>
      </c>
      <c r="F58" s="4" t="str">
        <f>IFERROR(__xludf.DUMMYFUNCTION("""COMPUTED_VALUE"""),"")</f>
        <v/>
      </c>
      <c r="G58" s="4" t="str">
        <f>IFERROR(__xludf.DUMMYFUNCTION("""COMPUTED_VALUE"""),"")</f>
        <v/>
      </c>
      <c r="H58" s="4" t="str">
        <f>IFERROR(__xludf.DUMMYFUNCTION("""COMPUTED_VALUE"""),"")</f>
        <v/>
      </c>
      <c r="I58" s="4" t="str">
        <f>IFERROR(__xludf.DUMMYFUNCTION("""COMPUTED_VALUE"""),"")</f>
        <v/>
      </c>
      <c r="J58" s="4" t="str">
        <f>IFERROR(__xludf.DUMMYFUNCTION("""COMPUTED_VALUE"""),"")</f>
        <v/>
      </c>
      <c r="K58" s="4" t="str">
        <f>IFERROR(__xludf.DUMMYFUNCTION("""COMPUTED_VALUE"""),"Holding Graphic")</f>
        <v>Holding Graphic</v>
      </c>
      <c r="L58" s="4" t="str">
        <f>IFERROR(__xludf.DUMMYFUNCTION("""COMPUTED_VALUE"""),"")</f>
        <v/>
      </c>
      <c r="M58" s="4" t="str">
        <f>IFERROR(__xludf.DUMMYFUNCTION("""COMPUTED_VALUE"""),"")</f>
        <v/>
      </c>
      <c r="N58" s="4" t="str">
        <f>IFERROR(__xludf.DUMMYFUNCTION("""COMPUTED_VALUE"""),"")</f>
        <v/>
      </c>
      <c r="O58" s="4" t="str">
        <f>IFERROR(__xludf.DUMMYFUNCTION("""COMPUTED_VALUE"""),"")</f>
        <v/>
      </c>
      <c r="P58" s="4" t="str">
        <f>IFERROR(__xludf.DUMMYFUNCTION("""COMPUTED_VALUE"""),"")</f>
        <v/>
      </c>
      <c r="Q58" s="4" t="str">
        <f>IFERROR(__xludf.DUMMYFUNCTION("""COMPUTED_VALUE"""),"")</f>
        <v/>
      </c>
      <c r="R58" s="4" t="str">
        <f>IFERROR(__xludf.DUMMYFUNCTION("""COMPUTED_VALUE"""),"")</f>
        <v/>
      </c>
    </row>
    <row r="59">
      <c r="A59" s="4" t="str">
        <f>IFERROR(__xludf.DUMMYFUNCTION("""COMPUTED_VALUE"""),"59 - Channel 5")</f>
        <v>59 - Channel 5</v>
      </c>
      <c r="B59" s="4" t="str">
        <f>IFERROR(__xludf.DUMMYFUNCTION("""COMPUTED_VALUE"""),"Day 1 - 23/06")</f>
        <v>Day 1 - 23/06</v>
      </c>
      <c r="C59" s="6">
        <f>IFERROR(__xludf.DUMMYFUNCTION("""COMPUTED_VALUE"""),0.616863425925927)</f>
        <v>0.6168634259</v>
      </c>
      <c r="D59" s="8">
        <f>IFERROR(__xludf.DUMMYFUNCTION("""COMPUTED_VALUE"""),3.4722222222222224E-4)</f>
        <v>0.0003472222222</v>
      </c>
      <c r="E59" s="6">
        <f>IFERROR(__xludf.DUMMYFUNCTION("""COMPUTED_VALUE"""),0.6172106481481493)</f>
        <v>0.6172106481</v>
      </c>
      <c r="F59" s="4" t="str">
        <f>IFERROR(__xludf.DUMMYFUNCTION("""COMPUTED_VALUE"""),"")</f>
        <v/>
      </c>
      <c r="G59" s="4" t="str">
        <f>IFERROR(__xludf.DUMMYFUNCTION("""COMPUTED_VALUE"""),"")</f>
        <v/>
      </c>
      <c r="H59" s="4" t="str">
        <f>IFERROR(__xludf.DUMMYFUNCTION("""COMPUTED_VALUE"""),"")</f>
        <v/>
      </c>
      <c r="I59" s="4" t="str">
        <f>IFERROR(__xludf.DUMMYFUNCTION("""COMPUTED_VALUE"""),"")</f>
        <v/>
      </c>
      <c r="J59" s="4" t="str">
        <f>IFERROR(__xludf.DUMMYFUNCTION("""COMPUTED_VALUE"""),"")</f>
        <v/>
      </c>
      <c r="K59" s="4" t="str">
        <f>IFERROR(__xludf.DUMMYFUNCTION("""COMPUTED_VALUE"""),"Talk Intro")</f>
        <v>Talk Intro</v>
      </c>
      <c r="L59" s="4" t="str">
        <f>IFERROR(__xludf.DUMMYFUNCTION("""COMPUTED_VALUE"""),"")</f>
        <v/>
      </c>
      <c r="M59" s="4" t="str">
        <f>IFERROR(__xludf.DUMMYFUNCTION("""COMPUTED_VALUE"""),"")</f>
        <v/>
      </c>
      <c r="N59" s="4" t="str">
        <f>IFERROR(__xludf.DUMMYFUNCTION("""COMPUTED_VALUE"""),"")</f>
        <v/>
      </c>
      <c r="O59" s="4" t="str">
        <f>IFERROR(__xludf.DUMMYFUNCTION("""COMPUTED_VALUE"""),"")</f>
        <v/>
      </c>
      <c r="P59" s="4" t="str">
        <f>IFERROR(__xludf.DUMMYFUNCTION("""COMPUTED_VALUE"""),"")</f>
        <v/>
      </c>
      <c r="Q59" s="4" t="str">
        <f>IFERROR(__xludf.DUMMYFUNCTION("""COMPUTED_VALUE"""),"")</f>
        <v/>
      </c>
      <c r="R59" s="4" t="str">
        <f>IFERROR(__xludf.DUMMYFUNCTION("""COMPUTED_VALUE"""),"")</f>
        <v/>
      </c>
    </row>
    <row r="60">
      <c r="A60" s="4" t="str">
        <f>IFERROR(__xludf.DUMMYFUNCTION("""COMPUTED_VALUE"""),"60 - Channel 5")</f>
        <v>60 - Channel 5</v>
      </c>
      <c r="B60" s="4" t="str">
        <f>IFERROR(__xludf.DUMMYFUNCTION("""COMPUTED_VALUE"""),"Day 1 - 23/06")</f>
        <v>Day 1 - 23/06</v>
      </c>
      <c r="C60" s="6">
        <f>IFERROR(__xludf.DUMMYFUNCTION("""COMPUTED_VALUE"""),0.6172106481481493)</f>
        <v>0.6172106481</v>
      </c>
      <c r="D60" s="8">
        <f>IFERROR(__xludf.DUMMYFUNCTION("""COMPUTED_VALUE"""),0.006944444444444444)</f>
        <v>0.006944444444</v>
      </c>
      <c r="E60" s="6">
        <f>IFERROR(__xludf.DUMMYFUNCTION("""COMPUTED_VALUE"""),0.6241550925925937)</f>
        <v>0.6241550926</v>
      </c>
      <c r="F60" s="4" t="str">
        <f>IFERROR(__xludf.DUMMYFUNCTION("""COMPUTED_VALUE"""),"Sport")</f>
        <v>Sport</v>
      </c>
      <c r="G60" s="4" t="str">
        <f>IFERROR(__xludf.DUMMYFUNCTION("""COMPUTED_VALUE"""),"")</f>
        <v/>
      </c>
      <c r="H60" s="4" t="str">
        <f>IFERROR(__xludf.DUMMYFUNCTION("""COMPUTED_VALUE"""),"")</f>
        <v/>
      </c>
      <c r="I60" s="4" t="str">
        <f>IFERROR(__xludf.DUMMYFUNCTION("""COMPUTED_VALUE"""),"")</f>
        <v/>
      </c>
      <c r="J60" s="4" t="str">
        <f>IFERROR(__xludf.DUMMYFUNCTION("""COMPUTED_VALUE"""),"No")</f>
        <v>No</v>
      </c>
      <c r="K60" s="4" t="str">
        <f>IFERROR(__xludf.DUMMYFUNCTION("""COMPUTED_VALUE"""),"Top 5 sports stars")</f>
        <v>Top 5 sports stars</v>
      </c>
      <c r="L60" s="4" t="str">
        <f>IFERROR(__xludf.DUMMYFUNCTION("""COMPUTED_VALUE"""),"Paige VanZant, UFC")</f>
        <v>Paige VanZant, UFC</v>
      </c>
      <c r="M60" s="4" t="str">
        <f>IFERROR(__xludf.DUMMYFUNCTION("""COMPUTED_VALUE"""),"Brett Favre, sqor.com")</f>
        <v>Brett Favre, sqor.com</v>
      </c>
      <c r="N60" s="4" t="str">
        <f>IFERROR(__xludf.DUMMYFUNCTION("""COMPUTED_VALUE"""),"Terrell Owens, Terrell Owens")</f>
        <v>Terrell Owens, Terrell Owens</v>
      </c>
      <c r="O60" s="4" t="str">
        <f>IFERROR(__xludf.DUMMYFUNCTION("""COMPUTED_VALUE"""),"Chris Froome, Team Sky")</f>
        <v>Chris Froome, Team Sky</v>
      </c>
      <c r="P60" s="4" t="str">
        <f>IFERROR(__xludf.DUMMYFUNCTION("""COMPUTED_VALUE"""),"Jessica Ennis-Hill, Jennis Fitness")</f>
        <v>Jessica Ennis-Hill, Jennis Fitness</v>
      </c>
      <c r="Q60" s="4" t="str">
        <f>IFERROR(__xludf.DUMMYFUNCTION("""COMPUTED_VALUE"""),"Featuring Paige VanZant, Brett Favre, Terrell Owens, Chris Froome and Jessica Ennis-Hill. The skills needed to be a great sports star are very similar to those needed to lead a company. Tune in to hear from five of the world's leading sports stars about h"&amp;"ow to apply the lessons of the sports field in the boardroom.")</f>
        <v>Featuring Paige VanZant, Brett Favre, Terrell Owens, Chris Froome and Jessica Ennis-Hill. The skills needed to be a great sports star are very similar to those needed to lead a company. Tune in to hear from five of the world's leading sports stars about how to apply the lessons of the sports field in the boardroom.</v>
      </c>
      <c r="R60" s="4" t="str">
        <f>IFERROR(__xludf.DUMMYFUNCTION("""COMPUTED_VALUE"""),"")</f>
        <v/>
      </c>
    </row>
    <row r="61">
      <c r="A61" s="4" t="str">
        <f>IFERROR(__xludf.DUMMYFUNCTION("""COMPUTED_VALUE"""),"61 - Channel 5")</f>
        <v>61 - Channel 5</v>
      </c>
      <c r="B61" s="4" t="str">
        <f>IFERROR(__xludf.DUMMYFUNCTION("""COMPUTED_VALUE"""),"Day 1 - 23/06")</f>
        <v>Day 1 - 23/06</v>
      </c>
      <c r="C61" s="6">
        <f>IFERROR(__xludf.DUMMYFUNCTION("""COMPUTED_VALUE"""),0.6241550925925937)</f>
        <v>0.6241550926</v>
      </c>
      <c r="D61" s="8">
        <f>IFERROR(__xludf.DUMMYFUNCTION("""COMPUTED_VALUE"""),1.7361111111111112E-4)</f>
        <v>0.0001736111111</v>
      </c>
      <c r="E61" s="6">
        <f>IFERROR(__xludf.DUMMYFUNCTION("""COMPUTED_VALUE"""),0.6243287037037049)</f>
        <v>0.6243287037</v>
      </c>
      <c r="F61" s="4" t="str">
        <f>IFERROR(__xludf.DUMMYFUNCTION("""COMPUTED_VALUE"""),"")</f>
        <v/>
      </c>
      <c r="G61" s="4" t="str">
        <f>IFERROR(__xludf.DUMMYFUNCTION("""COMPUTED_VALUE"""),"")</f>
        <v/>
      </c>
      <c r="H61" s="4" t="str">
        <f>IFERROR(__xludf.DUMMYFUNCTION("""COMPUTED_VALUE"""),"")</f>
        <v/>
      </c>
      <c r="I61" s="4" t="str">
        <f>IFERROR(__xludf.DUMMYFUNCTION("""COMPUTED_VALUE"""),"")</f>
        <v/>
      </c>
      <c r="J61" s="4" t="str">
        <f>IFERROR(__xludf.DUMMYFUNCTION("""COMPUTED_VALUE"""),"")</f>
        <v/>
      </c>
      <c r="K61" s="4" t="str">
        <f>IFERROR(__xludf.DUMMYFUNCTION("""COMPUTED_VALUE"""),"Talk Outro")</f>
        <v>Talk Outro</v>
      </c>
      <c r="L61" s="4" t="str">
        <f>IFERROR(__xludf.DUMMYFUNCTION("""COMPUTED_VALUE"""),"")</f>
        <v/>
      </c>
      <c r="M61" s="4" t="str">
        <f>IFERROR(__xludf.DUMMYFUNCTION("""COMPUTED_VALUE"""),"")</f>
        <v/>
      </c>
      <c r="N61" s="4" t="str">
        <f>IFERROR(__xludf.DUMMYFUNCTION("""COMPUTED_VALUE"""),"")</f>
        <v/>
      </c>
      <c r="O61" s="4" t="str">
        <f>IFERROR(__xludf.DUMMYFUNCTION("""COMPUTED_VALUE"""),"")</f>
        <v/>
      </c>
      <c r="P61" s="4" t="str">
        <f>IFERROR(__xludf.DUMMYFUNCTION("""COMPUTED_VALUE"""),"")</f>
        <v/>
      </c>
      <c r="Q61" s="4" t="str">
        <f>IFERROR(__xludf.DUMMYFUNCTION("""COMPUTED_VALUE"""),"")</f>
        <v/>
      </c>
      <c r="R61" s="4" t="str">
        <f>IFERROR(__xludf.DUMMYFUNCTION("""COMPUTED_VALUE"""),"")</f>
        <v/>
      </c>
    </row>
    <row r="62">
      <c r="A62" s="4" t="str">
        <f>IFERROR(__xludf.DUMMYFUNCTION("""COMPUTED_VALUE"""),"283 - Channel 5")</f>
        <v>283 - Channel 5</v>
      </c>
      <c r="B62" s="4" t="str">
        <f>IFERROR(__xludf.DUMMYFUNCTION("""COMPUTED_VALUE"""),"Day 1 - 23/06")</f>
        <v>Day 1 - 23/06</v>
      </c>
      <c r="C62" s="6">
        <f>IFERROR(__xludf.DUMMYFUNCTION("""COMPUTED_VALUE"""),0.6243287037037049)</f>
        <v>0.6243287037</v>
      </c>
      <c r="D62" s="8">
        <f>IFERROR(__xludf.DUMMYFUNCTION("""COMPUTED_VALUE"""),3.4722222222222224E-4)</f>
        <v>0.0003472222222</v>
      </c>
      <c r="E62" s="6">
        <f>IFERROR(__xludf.DUMMYFUNCTION("""COMPUTED_VALUE"""),0.6246759259259271)</f>
        <v>0.6246759259</v>
      </c>
      <c r="F62" s="4" t="str">
        <f>IFERROR(__xludf.DUMMYFUNCTION("""COMPUTED_VALUE"""),"")</f>
        <v/>
      </c>
      <c r="G62" s="4" t="str">
        <f>IFERROR(__xludf.DUMMYFUNCTION("""COMPUTED_VALUE"""),"")</f>
        <v/>
      </c>
      <c r="H62" s="4" t="str">
        <f>IFERROR(__xludf.DUMMYFUNCTION("""COMPUTED_VALUE"""),"")</f>
        <v/>
      </c>
      <c r="I62" s="4" t="str">
        <f>IFERROR(__xludf.DUMMYFUNCTION("""COMPUTED_VALUE"""),"")</f>
        <v/>
      </c>
      <c r="J62" s="4" t="str">
        <f>IFERROR(__xludf.DUMMYFUNCTION("""COMPUTED_VALUE"""),"")</f>
        <v/>
      </c>
      <c r="K62" s="4" t="str">
        <f>IFERROR(__xludf.DUMMYFUNCTION("""COMPUTED_VALUE"""),"Web Summit Trailer - short")</f>
        <v>Web Summit Trailer - short</v>
      </c>
      <c r="L62" s="4" t="str">
        <f>IFERROR(__xludf.DUMMYFUNCTION("""COMPUTED_VALUE"""),"")</f>
        <v/>
      </c>
      <c r="M62" s="4" t="str">
        <f>IFERROR(__xludf.DUMMYFUNCTION("""COMPUTED_VALUE"""),"")</f>
        <v/>
      </c>
      <c r="N62" s="4" t="str">
        <f>IFERROR(__xludf.DUMMYFUNCTION("""COMPUTED_VALUE"""),"")</f>
        <v/>
      </c>
      <c r="O62" s="4" t="str">
        <f>IFERROR(__xludf.DUMMYFUNCTION("""COMPUTED_VALUE"""),"")</f>
        <v/>
      </c>
      <c r="P62" s="4" t="str">
        <f>IFERROR(__xludf.DUMMYFUNCTION("""COMPUTED_VALUE"""),"")</f>
        <v/>
      </c>
      <c r="Q62" s="4" t="str">
        <f>IFERROR(__xludf.DUMMYFUNCTION("""COMPUTED_VALUE"""),"")</f>
        <v/>
      </c>
      <c r="R62" s="4" t="str">
        <f>IFERROR(__xludf.DUMMYFUNCTION("""COMPUTED_VALUE"""),"")</f>
        <v/>
      </c>
    </row>
    <row r="63">
      <c r="A63" s="4" t="str">
        <f>IFERROR(__xludf.DUMMYFUNCTION("""COMPUTED_VALUE"""),"63 - Channel 5")</f>
        <v>63 - Channel 5</v>
      </c>
      <c r="B63" s="4" t="str">
        <f>IFERROR(__xludf.DUMMYFUNCTION("""COMPUTED_VALUE"""),"Day 1 - 23/06")</f>
        <v>Day 1 - 23/06</v>
      </c>
      <c r="C63" s="6">
        <f>IFERROR(__xludf.DUMMYFUNCTION("""COMPUTED_VALUE"""),0.6246759259259271)</f>
        <v>0.6246759259</v>
      </c>
      <c r="D63" s="8">
        <f>IFERROR(__xludf.DUMMYFUNCTION("""COMPUTED_VALUE"""),3.4722222222222224E-4)</f>
        <v>0.0003472222222</v>
      </c>
      <c r="E63" s="6">
        <f>IFERROR(__xludf.DUMMYFUNCTION("""COMPUTED_VALUE"""),0.6250231481481494)</f>
        <v>0.6250231481</v>
      </c>
      <c r="F63" s="4" t="str">
        <f>IFERROR(__xludf.DUMMYFUNCTION("""COMPUTED_VALUE"""),"")</f>
        <v/>
      </c>
      <c r="G63" s="4" t="str">
        <f>IFERROR(__xludf.DUMMYFUNCTION("""COMPUTED_VALUE"""),"")</f>
        <v/>
      </c>
      <c r="H63" s="4" t="str">
        <f>IFERROR(__xludf.DUMMYFUNCTION("""COMPUTED_VALUE"""),"")</f>
        <v/>
      </c>
      <c r="I63" s="4" t="str">
        <f>IFERROR(__xludf.DUMMYFUNCTION("""COMPUTED_VALUE"""),"")</f>
        <v/>
      </c>
      <c r="J63" s="4" t="str">
        <f>IFERROR(__xludf.DUMMYFUNCTION("""COMPUTED_VALUE"""),"")</f>
        <v/>
      </c>
      <c r="K63" s="4" t="str">
        <f>IFERROR(__xludf.DUMMYFUNCTION("""COMPUTED_VALUE"""),"Talk Intro")</f>
        <v>Talk Intro</v>
      </c>
      <c r="L63" s="4" t="str">
        <f>IFERROR(__xludf.DUMMYFUNCTION("""COMPUTED_VALUE"""),"")</f>
        <v/>
      </c>
      <c r="M63" s="4" t="str">
        <f>IFERROR(__xludf.DUMMYFUNCTION("""COMPUTED_VALUE"""),"")</f>
        <v/>
      </c>
      <c r="N63" s="4" t="str">
        <f>IFERROR(__xludf.DUMMYFUNCTION("""COMPUTED_VALUE"""),"")</f>
        <v/>
      </c>
      <c r="O63" s="4" t="str">
        <f>IFERROR(__xludf.DUMMYFUNCTION("""COMPUTED_VALUE"""),"")</f>
        <v/>
      </c>
      <c r="P63" s="4" t="str">
        <f>IFERROR(__xludf.DUMMYFUNCTION("""COMPUTED_VALUE"""),"")</f>
        <v/>
      </c>
      <c r="Q63" s="4" t="str">
        <f>IFERROR(__xludf.DUMMYFUNCTION("""COMPUTED_VALUE"""),"")</f>
        <v/>
      </c>
      <c r="R63" s="4" t="str">
        <f>IFERROR(__xludf.DUMMYFUNCTION("""COMPUTED_VALUE"""),"")</f>
        <v/>
      </c>
    </row>
    <row r="64">
      <c r="A64" s="4" t="str">
        <f>IFERROR(__xludf.DUMMYFUNCTION("""COMPUTED_VALUE"""),"64 - Channel 5")</f>
        <v>64 - Channel 5</v>
      </c>
      <c r="B64" s="4" t="str">
        <f>IFERROR(__xludf.DUMMYFUNCTION("""COMPUTED_VALUE"""),"Day 1 - 23/06")</f>
        <v>Day 1 - 23/06</v>
      </c>
      <c r="C64" s="6">
        <f>IFERROR(__xludf.DUMMYFUNCTION("""COMPUTED_VALUE"""),0.6250231481481494)</f>
        <v>0.6250231481</v>
      </c>
      <c r="D64" s="8">
        <f>IFERROR(__xludf.DUMMYFUNCTION("""COMPUTED_VALUE"""),0.016400462962962964)</f>
        <v>0.01640046296</v>
      </c>
      <c r="E64" s="6">
        <f>IFERROR(__xludf.DUMMYFUNCTION("""COMPUTED_VALUE"""),0.6414236111111123)</f>
        <v>0.6414236111</v>
      </c>
      <c r="F64" s="4" t="str">
        <f>IFERROR(__xludf.DUMMYFUNCTION("""COMPUTED_VALUE"""),"Social Media")</f>
        <v>Social Media</v>
      </c>
      <c r="G64" s="4" t="str">
        <f>IFERROR(__xludf.DUMMYFUNCTION("""COMPUTED_VALUE"""),"Web Summit 2018")</f>
        <v>Web Summit 2018</v>
      </c>
      <c r="H64" s="21" t="str">
        <f>IFERROR(__xludf.DUMMYFUNCTION("""COMPUTED_VALUE"""),"https://www.youtube.com/watch?v=aMDLMXdIYbY")</f>
        <v>https://www.youtube.com/watch?v=aMDLMXdIYbY</v>
      </c>
      <c r="I64" s="4" t="str">
        <f>IFERROR(__xludf.DUMMYFUNCTION("""COMPUTED_VALUE"""),"Start fine. Finish at 23:27")</f>
        <v>Start fine. Finish at 23:27</v>
      </c>
      <c r="J64" s="4" t="str">
        <f>IFERROR(__xludf.DUMMYFUNCTION("""COMPUTED_VALUE"""),"No")</f>
        <v>No</v>
      </c>
      <c r="K64" s="4" t="str">
        <f>IFERROR(__xludf.DUMMYFUNCTION("""COMPUTED_VALUE"""),"Saving the media industry from itself with Ev Williams")</f>
        <v>Saving the media industry from itself with Ev Williams</v>
      </c>
      <c r="L64" s="4" t="str">
        <f>IFERROR(__xludf.DUMMYFUNCTION("""COMPUTED_VALUE"""),"Ev Williams, Medium")</f>
        <v>Ev Williams, Medium</v>
      </c>
      <c r="M64" s="4" t="str">
        <f>IFERROR(__xludf.DUMMYFUNCTION("""COMPUTED_VALUE"""),"")</f>
        <v/>
      </c>
      <c r="N64" s="4" t="str">
        <f>IFERROR(__xludf.DUMMYFUNCTION("""COMPUTED_VALUE"""),"")</f>
        <v/>
      </c>
      <c r="O64" s="4" t="str">
        <f>IFERROR(__xludf.DUMMYFUNCTION("""COMPUTED_VALUE"""),"")</f>
        <v/>
      </c>
      <c r="P64" s="4" t="str">
        <f>IFERROR(__xludf.DUMMYFUNCTION("""COMPUTED_VALUE"""),"")</f>
        <v/>
      </c>
      <c r="Q64" s="4" t="str">
        <f>IFERROR(__xludf.DUMMYFUNCTION("""COMPUTED_VALUE"""),"The media industry has undergone rapid change in the last 15 years. The rise of social media platforms has radically transformed how the media functions. In this session Ev Williams discusses how he thinks the media industry can save itself.")</f>
        <v>The media industry has undergone rapid change in the last 15 years. The rise of social media platforms has radically transformed how the media functions. In this session Ev Williams discusses how he thinks the media industry can save itself.</v>
      </c>
      <c r="R64" s="4" t="str">
        <f>IFERROR(__xludf.DUMMYFUNCTION("""COMPUTED_VALUE"""),"")</f>
        <v/>
      </c>
    </row>
    <row r="65">
      <c r="A65" s="4" t="str">
        <f>IFERROR(__xludf.DUMMYFUNCTION("""COMPUTED_VALUE"""),"65 - Channel 5")</f>
        <v>65 - Channel 5</v>
      </c>
      <c r="B65" s="4" t="str">
        <f>IFERROR(__xludf.DUMMYFUNCTION("""COMPUTED_VALUE"""),"Day 1 - 23/06")</f>
        <v>Day 1 - 23/06</v>
      </c>
      <c r="C65" s="6">
        <f>IFERROR(__xludf.DUMMYFUNCTION("""COMPUTED_VALUE"""),0.6414236111111123)</f>
        <v>0.6414236111</v>
      </c>
      <c r="D65" s="8">
        <f>IFERROR(__xludf.DUMMYFUNCTION("""COMPUTED_VALUE"""),1.7361111111111112E-4)</f>
        <v>0.0001736111111</v>
      </c>
      <c r="E65" s="6">
        <f>IFERROR(__xludf.DUMMYFUNCTION("""COMPUTED_VALUE"""),0.6415972222222235)</f>
        <v>0.6415972222</v>
      </c>
      <c r="F65" s="4" t="str">
        <f>IFERROR(__xludf.DUMMYFUNCTION("""COMPUTED_VALUE"""),"")</f>
        <v/>
      </c>
      <c r="G65" s="4" t="str">
        <f>IFERROR(__xludf.DUMMYFUNCTION("""COMPUTED_VALUE"""),"")</f>
        <v/>
      </c>
      <c r="H65" s="4" t="str">
        <f>IFERROR(__xludf.DUMMYFUNCTION("""COMPUTED_VALUE"""),"")</f>
        <v/>
      </c>
      <c r="I65" s="4" t="str">
        <f>IFERROR(__xludf.DUMMYFUNCTION("""COMPUTED_VALUE"""),"")</f>
        <v/>
      </c>
      <c r="J65" s="4" t="str">
        <f>IFERROR(__xludf.DUMMYFUNCTION("""COMPUTED_VALUE"""),"")</f>
        <v/>
      </c>
      <c r="K65" s="4" t="str">
        <f>IFERROR(__xludf.DUMMYFUNCTION("""COMPUTED_VALUE"""),"Talk Outro")</f>
        <v>Talk Outro</v>
      </c>
      <c r="L65" s="4" t="str">
        <f>IFERROR(__xludf.DUMMYFUNCTION("""COMPUTED_VALUE"""),"")</f>
        <v/>
      </c>
      <c r="M65" s="4" t="str">
        <f>IFERROR(__xludf.DUMMYFUNCTION("""COMPUTED_VALUE"""),"")</f>
        <v/>
      </c>
      <c r="N65" s="4" t="str">
        <f>IFERROR(__xludf.DUMMYFUNCTION("""COMPUTED_VALUE"""),"")</f>
        <v/>
      </c>
      <c r="O65" s="4" t="str">
        <f>IFERROR(__xludf.DUMMYFUNCTION("""COMPUTED_VALUE"""),"")</f>
        <v/>
      </c>
      <c r="P65" s="4" t="str">
        <f>IFERROR(__xludf.DUMMYFUNCTION("""COMPUTED_VALUE"""),"")</f>
        <v/>
      </c>
      <c r="Q65" s="4" t="str">
        <f>IFERROR(__xludf.DUMMYFUNCTION("""COMPUTED_VALUE"""),"")</f>
        <v/>
      </c>
      <c r="R65" s="4" t="str">
        <f>IFERROR(__xludf.DUMMYFUNCTION("""COMPUTED_VALUE"""),"")</f>
        <v/>
      </c>
    </row>
    <row r="66">
      <c r="A66" s="4" t="str">
        <f>IFERROR(__xludf.DUMMYFUNCTION("""COMPUTED_VALUE"""),"66 - Channel 5")</f>
        <v>66 - Channel 5</v>
      </c>
      <c r="B66" s="4" t="str">
        <f>IFERROR(__xludf.DUMMYFUNCTION("""COMPUTED_VALUE"""),"Day 1 - 23/06")</f>
        <v>Day 1 - 23/06</v>
      </c>
      <c r="C66" s="6">
        <f>IFERROR(__xludf.DUMMYFUNCTION("""COMPUTED_VALUE"""),0.6415972222222235)</f>
        <v>0.6415972222</v>
      </c>
      <c r="D66" s="8">
        <f>IFERROR(__xludf.DUMMYFUNCTION("""COMPUTED_VALUE"""),3.4722222222222224E-4)</f>
        <v>0.0003472222222</v>
      </c>
      <c r="E66" s="6">
        <f>IFERROR(__xludf.DUMMYFUNCTION("""COMPUTED_VALUE"""),0.6419444444444458)</f>
        <v>0.6419444444</v>
      </c>
      <c r="F66" s="4" t="str">
        <f>IFERROR(__xludf.DUMMYFUNCTION("""COMPUTED_VALUE"""),"")</f>
        <v/>
      </c>
      <c r="G66" s="4" t="str">
        <f>IFERROR(__xludf.DUMMYFUNCTION("""COMPUTED_VALUE"""),"")</f>
        <v/>
      </c>
      <c r="H66" s="4" t="str">
        <f>IFERROR(__xludf.DUMMYFUNCTION("""COMPUTED_VALUE"""),"")</f>
        <v/>
      </c>
      <c r="I66" s="4" t="str">
        <f>IFERROR(__xludf.DUMMYFUNCTION("""COMPUTED_VALUE"""),"")</f>
        <v/>
      </c>
      <c r="J66" s="4" t="str">
        <f>IFERROR(__xludf.DUMMYFUNCTION("""COMPUTED_VALUE"""),"")</f>
        <v/>
      </c>
      <c r="K66" s="4" t="str">
        <f>IFERROR(__xludf.DUMMYFUNCTION("""COMPUTED_VALUE"""),"Talk Intro")</f>
        <v>Talk Intro</v>
      </c>
      <c r="L66" s="4" t="str">
        <f>IFERROR(__xludf.DUMMYFUNCTION("""COMPUTED_VALUE"""),"")</f>
        <v/>
      </c>
      <c r="M66" s="4" t="str">
        <f>IFERROR(__xludf.DUMMYFUNCTION("""COMPUTED_VALUE"""),"")</f>
        <v/>
      </c>
      <c r="N66" s="4" t="str">
        <f>IFERROR(__xludf.DUMMYFUNCTION("""COMPUTED_VALUE"""),"")</f>
        <v/>
      </c>
      <c r="O66" s="4" t="str">
        <f>IFERROR(__xludf.DUMMYFUNCTION("""COMPUTED_VALUE"""),"")</f>
        <v/>
      </c>
      <c r="P66" s="4" t="str">
        <f>IFERROR(__xludf.DUMMYFUNCTION("""COMPUTED_VALUE"""),"")</f>
        <v/>
      </c>
      <c r="Q66" s="4" t="str">
        <f>IFERROR(__xludf.DUMMYFUNCTION("""COMPUTED_VALUE"""),"")</f>
        <v/>
      </c>
      <c r="R66" s="4" t="str">
        <f>IFERROR(__xludf.DUMMYFUNCTION("""COMPUTED_VALUE"""),"")</f>
        <v/>
      </c>
    </row>
    <row r="67">
      <c r="A67" s="4" t="str">
        <f>IFERROR(__xludf.DUMMYFUNCTION("""COMPUTED_VALUE"""),"67 - Channel 5")</f>
        <v>67 - Channel 5</v>
      </c>
      <c r="B67" s="4" t="str">
        <f>IFERROR(__xludf.DUMMYFUNCTION("""COMPUTED_VALUE"""),"Day 1 - 23/06")</f>
        <v>Day 1 - 23/06</v>
      </c>
      <c r="C67" s="6">
        <f>IFERROR(__xludf.DUMMYFUNCTION("""COMPUTED_VALUE"""),0.6419444444444458)</f>
        <v>0.6419444444</v>
      </c>
      <c r="D67" s="8">
        <f>IFERROR(__xludf.DUMMYFUNCTION("""COMPUTED_VALUE"""),8.564814814814815E-4)</f>
        <v>0.0008564814815</v>
      </c>
      <c r="E67" s="6">
        <f>IFERROR(__xludf.DUMMYFUNCTION("""COMPUTED_VALUE"""),0.6428009259259272)</f>
        <v>0.6428009259</v>
      </c>
      <c r="F67" s="4" t="str">
        <f>IFERROR(__xludf.DUMMYFUNCTION("""COMPUTED_VALUE"""),"Social Media")</f>
        <v>Social Media</v>
      </c>
      <c r="G67" s="4" t="str">
        <f>IFERROR(__xludf.DUMMYFUNCTION("""COMPUTED_VALUE"""),"Web Summit 2017")</f>
        <v>Web Summit 2017</v>
      </c>
      <c r="H67" s="21" t="str">
        <f>IFERROR(__xludf.DUMMYFUNCTION("""COMPUTED_VALUE"""),"https://www.facebook.com/watch/?v=1597195527013152")</f>
        <v>https://www.facebook.com/watch/?v=1597195527013152</v>
      </c>
      <c r="I67" s="4" t="str">
        <f>IFERROR(__xludf.DUMMYFUNCTION("""COMPUTED_VALUE"""),"Use full video.")</f>
        <v>Use full video.</v>
      </c>
      <c r="J67" s="4" t="str">
        <f>IFERROR(__xludf.DUMMYFUNCTION("""COMPUTED_VALUE"""),"No")</f>
        <v>No</v>
      </c>
      <c r="K67" s="4" t="str">
        <f>IFERROR(__xludf.DUMMYFUNCTION("""COMPUTED_VALUE"""),"A message from Sheryl Sandberg")</f>
        <v>A message from Sheryl Sandberg</v>
      </c>
      <c r="L67" s="4" t="str">
        <f>IFERROR(__xludf.DUMMYFUNCTION("""COMPUTED_VALUE"""),"Sheryl Sandberg, Facebook")</f>
        <v>Sheryl Sandberg, Facebook</v>
      </c>
      <c r="M67" s="4" t="str">
        <f>IFERROR(__xludf.DUMMYFUNCTION("""COMPUTED_VALUE"""),"")</f>
        <v/>
      </c>
      <c r="N67" s="4" t="str">
        <f>IFERROR(__xludf.DUMMYFUNCTION("""COMPUTED_VALUE"""),"")</f>
        <v/>
      </c>
      <c r="O67" s="4" t="str">
        <f>IFERROR(__xludf.DUMMYFUNCTION("""COMPUTED_VALUE"""),"")</f>
        <v/>
      </c>
      <c r="P67" s="4" t="str">
        <f>IFERROR(__xludf.DUMMYFUNCTION("""COMPUTED_VALUE"""),"")</f>
        <v/>
      </c>
      <c r="Q67" s="4" t="str">
        <f>IFERROR(__xludf.DUMMYFUNCTION("""COMPUTED_VALUE"""),"Facebook is one of the largest tech companies on the planet, reaching into 2 billion lives. Sheryl Sandberg has helped to guide the company through the storms of recent years. At Web Summit 2017, she told us about her hopes for the future of the platform.")</f>
        <v>Facebook is one of the largest tech companies on the planet, reaching into 2 billion lives. Sheryl Sandberg has helped to guide the company through the storms of recent years. At Web Summit 2017, she told us about her hopes for the future of the platform.</v>
      </c>
      <c r="R67" s="4" t="str">
        <f>IFERROR(__xludf.DUMMYFUNCTION("""COMPUTED_VALUE"""),"")</f>
        <v/>
      </c>
    </row>
    <row r="68">
      <c r="A68" s="4" t="str">
        <f>IFERROR(__xludf.DUMMYFUNCTION("""COMPUTED_VALUE"""),"68 - Channel 5")</f>
        <v>68 - Channel 5</v>
      </c>
      <c r="B68" s="4" t="str">
        <f>IFERROR(__xludf.DUMMYFUNCTION("""COMPUTED_VALUE"""),"Day 1 - 23/06")</f>
        <v>Day 1 - 23/06</v>
      </c>
      <c r="C68" s="6">
        <f>IFERROR(__xludf.DUMMYFUNCTION("""COMPUTED_VALUE"""),0.6428009259259272)</f>
        <v>0.6428009259</v>
      </c>
      <c r="D68" s="8">
        <f>IFERROR(__xludf.DUMMYFUNCTION("""COMPUTED_VALUE"""),1.7361111111111112E-4)</f>
        <v>0.0001736111111</v>
      </c>
      <c r="E68" s="6">
        <f>IFERROR(__xludf.DUMMYFUNCTION("""COMPUTED_VALUE"""),0.6429745370370383)</f>
        <v>0.642974537</v>
      </c>
      <c r="F68" s="4" t="str">
        <f>IFERROR(__xludf.DUMMYFUNCTION("""COMPUTED_VALUE"""),"")</f>
        <v/>
      </c>
      <c r="G68" s="4" t="str">
        <f>IFERROR(__xludf.DUMMYFUNCTION("""COMPUTED_VALUE"""),"")</f>
        <v/>
      </c>
      <c r="H68" s="4" t="str">
        <f>IFERROR(__xludf.DUMMYFUNCTION("""COMPUTED_VALUE"""),"")</f>
        <v/>
      </c>
      <c r="I68" s="4" t="str">
        <f>IFERROR(__xludf.DUMMYFUNCTION("""COMPUTED_VALUE"""),"")</f>
        <v/>
      </c>
      <c r="J68" s="4" t="str">
        <f>IFERROR(__xludf.DUMMYFUNCTION("""COMPUTED_VALUE"""),"")</f>
        <v/>
      </c>
      <c r="K68" s="4" t="str">
        <f>IFERROR(__xludf.DUMMYFUNCTION("""COMPUTED_VALUE"""),"Talk Outro")</f>
        <v>Talk Outro</v>
      </c>
      <c r="L68" s="4" t="str">
        <f>IFERROR(__xludf.DUMMYFUNCTION("""COMPUTED_VALUE"""),"")</f>
        <v/>
      </c>
      <c r="M68" s="4" t="str">
        <f>IFERROR(__xludf.DUMMYFUNCTION("""COMPUTED_VALUE"""),"")</f>
        <v/>
      </c>
      <c r="N68" s="4" t="str">
        <f>IFERROR(__xludf.DUMMYFUNCTION("""COMPUTED_VALUE"""),"")</f>
        <v/>
      </c>
      <c r="O68" s="4" t="str">
        <f>IFERROR(__xludf.DUMMYFUNCTION("""COMPUTED_VALUE"""),"")</f>
        <v/>
      </c>
      <c r="P68" s="4" t="str">
        <f>IFERROR(__xludf.DUMMYFUNCTION("""COMPUTED_VALUE"""),"")</f>
        <v/>
      </c>
      <c r="Q68" s="4" t="str">
        <f>IFERROR(__xludf.DUMMYFUNCTION("""COMPUTED_VALUE"""),"")</f>
        <v/>
      </c>
      <c r="R68" s="4" t="str">
        <f>IFERROR(__xludf.DUMMYFUNCTION("""COMPUTED_VALUE"""),"")</f>
        <v/>
      </c>
    </row>
    <row r="69">
      <c r="A69" s="4" t="str">
        <f>IFERROR(__xludf.DUMMYFUNCTION("""COMPUTED_VALUE"""),"292 - Channel 5")</f>
        <v>292 - Channel 5</v>
      </c>
      <c r="B69" s="4" t="str">
        <f>IFERROR(__xludf.DUMMYFUNCTION("""COMPUTED_VALUE"""),"Day 1 - 23/06")</f>
        <v>Day 1 - 23/06</v>
      </c>
      <c r="C69" s="6">
        <f>IFERROR(__xludf.DUMMYFUNCTION("""COMPUTED_VALUE"""),0.6429745370370383)</f>
        <v>0.642974537</v>
      </c>
      <c r="D69" s="8">
        <f>IFERROR(__xludf.DUMMYFUNCTION("""COMPUTED_VALUE"""),6.944444444444445E-4)</f>
        <v>0.0006944444444</v>
      </c>
      <c r="E69" s="6">
        <f>IFERROR(__xludf.DUMMYFUNCTION("""COMPUTED_VALUE"""),0.6436689814814828)</f>
        <v>0.6436689815</v>
      </c>
      <c r="F69" s="4" t="str">
        <f>IFERROR(__xludf.DUMMYFUNCTION("""COMPUTED_VALUE"""),"")</f>
        <v/>
      </c>
      <c r="G69" s="4" t="str">
        <f>IFERROR(__xludf.DUMMYFUNCTION("""COMPUTED_VALUE"""),"")</f>
        <v/>
      </c>
      <c r="H69" s="4" t="str">
        <f>IFERROR(__xludf.DUMMYFUNCTION("""COMPUTED_VALUE"""),"")</f>
        <v/>
      </c>
      <c r="I69" s="4" t="str">
        <f>IFERROR(__xludf.DUMMYFUNCTION("""COMPUTED_VALUE"""),"")</f>
        <v/>
      </c>
      <c r="J69" s="4" t="str">
        <f>IFERROR(__xludf.DUMMYFUNCTION("""COMPUTED_VALUE"""),"")</f>
        <v/>
      </c>
      <c r="K69" s="4" t="str">
        <f>IFERROR(__xludf.DUMMYFUNCTION("""COMPUTED_VALUE"""),"Holding Graphic")</f>
        <v>Holding Graphic</v>
      </c>
      <c r="L69" s="4" t="str">
        <f>IFERROR(__xludf.DUMMYFUNCTION("""COMPUTED_VALUE"""),"")</f>
        <v/>
      </c>
      <c r="M69" s="4" t="str">
        <f>IFERROR(__xludf.DUMMYFUNCTION("""COMPUTED_VALUE"""),"")</f>
        <v/>
      </c>
      <c r="N69" s="4" t="str">
        <f>IFERROR(__xludf.DUMMYFUNCTION("""COMPUTED_VALUE"""),"")</f>
        <v/>
      </c>
      <c r="O69" s="4" t="str">
        <f>IFERROR(__xludf.DUMMYFUNCTION("""COMPUTED_VALUE"""),"")</f>
        <v/>
      </c>
      <c r="P69" s="4" t="str">
        <f>IFERROR(__xludf.DUMMYFUNCTION("""COMPUTED_VALUE"""),"")</f>
        <v/>
      </c>
      <c r="Q69" s="4" t="str">
        <f>IFERROR(__xludf.DUMMYFUNCTION("""COMPUTED_VALUE"""),"")</f>
        <v/>
      </c>
      <c r="R69" s="4" t="str">
        <f>IFERROR(__xludf.DUMMYFUNCTION("""COMPUTED_VALUE"""),"")</f>
        <v/>
      </c>
    </row>
    <row r="70">
      <c r="A70" s="4" t="str">
        <f>IFERROR(__xludf.DUMMYFUNCTION("""COMPUTED_VALUE"""),"69 - Channel 5")</f>
        <v>69 - Channel 5</v>
      </c>
      <c r="B70" s="4" t="str">
        <f>IFERROR(__xludf.DUMMYFUNCTION("""COMPUTED_VALUE"""),"Day 1 - 23/06")</f>
        <v>Day 1 - 23/06</v>
      </c>
      <c r="C70" s="6">
        <f>IFERROR(__xludf.DUMMYFUNCTION("""COMPUTED_VALUE"""),0.6436689814814828)</f>
        <v>0.6436689815</v>
      </c>
      <c r="D70" s="8">
        <f>IFERROR(__xludf.DUMMYFUNCTION("""COMPUTED_VALUE"""),5.208333333333333E-4)</f>
        <v>0.0005208333333</v>
      </c>
      <c r="E70" s="6">
        <f>IFERROR(__xludf.DUMMYFUNCTION("""COMPUTED_VALUE"""),0.6441898148148161)</f>
        <v>0.6441898148</v>
      </c>
      <c r="F70" s="4" t="str">
        <f>IFERROR(__xludf.DUMMYFUNCTION("""COMPUTED_VALUE"""),"")</f>
        <v/>
      </c>
      <c r="G70" s="4" t="str">
        <f>IFERROR(__xludf.DUMMYFUNCTION("""COMPUTED_VALUE"""),"")</f>
        <v/>
      </c>
      <c r="H70" s="4" t="str">
        <f>IFERROR(__xludf.DUMMYFUNCTION("""COMPUTED_VALUE"""),"")</f>
        <v/>
      </c>
      <c r="I70" s="4" t="str">
        <f>IFERROR(__xludf.DUMMYFUNCTION("""COMPUTED_VALUE"""),"")</f>
        <v/>
      </c>
      <c r="J70" s="4" t="str">
        <f>IFERROR(__xludf.DUMMYFUNCTION("""COMPUTED_VALUE"""),"")</f>
        <v/>
      </c>
      <c r="K70" s="4" t="str">
        <f>IFERROR(__xludf.DUMMYFUNCTION("""COMPUTED_VALUE"""),"Web Summit Trailer - Full")</f>
        <v>Web Summit Trailer - Full</v>
      </c>
      <c r="L70" s="4" t="str">
        <f>IFERROR(__xludf.DUMMYFUNCTION("""COMPUTED_VALUE"""),"")</f>
        <v/>
      </c>
      <c r="M70" s="4" t="str">
        <f>IFERROR(__xludf.DUMMYFUNCTION("""COMPUTED_VALUE"""),"")</f>
        <v/>
      </c>
      <c r="N70" s="4" t="str">
        <f>IFERROR(__xludf.DUMMYFUNCTION("""COMPUTED_VALUE"""),"")</f>
        <v/>
      </c>
      <c r="O70" s="4" t="str">
        <f>IFERROR(__xludf.DUMMYFUNCTION("""COMPUTED_VALUE"""),"")</f>
        <v/>
      </c>
      <c r="P70" s="4" t="str">
        <f>IFERROR(__xludf.DUMMYFUNCTION("""COMPUTED_VALUE"""),"")</f>
        <v/>
      </c>
      <c r="Q70" s="4" t="str">
        <f>IFERROR(__xludf.DUMMYFUNCTION("""COMPUTED_VALUE"""),"")</f>
        <v/>
      </c>
      <c r="R70" s="4" t="str">
        <f>IFERROR(__xludf.DUMMYFUNCTION("""COMPUTED_VALUE"""),"")</f>
        <v/>
      </c>
    </row>
    <row r="71">
      <c r="A71" s="4" t="str">
        <f>IFERROR(__xludf.DUMMYFUNCTION("""COMPUTED_VALUE"""),"70 - Channel 5")</f>
        <v>70 - Channel 5</v>
      </c>
      <c r="B71" s="4" t="str">
        <f>IFERROR(__xludf.DUMMYFUNCTION("""COMPUTED_VALUE"""),"Day 1 - 23/06")</f>
        <v>Day 1 - 23/06</v>
      </c>
      <c r="C71" s="6">
        <f>IFERROR(__xludf.DUMMYFUNCTION("""COMPUTED_VALUE"""),0.6441898148148161)</f>
        <v>0.6441898148</v>
      </c>
      <c r="D71" s="8">
        <f>IFERROR(__xludf.DUMMYFUNCTION("""COMPUTED_VALUE"""),3.4722222222222224E-4)</f>
        <v>0.0003472222222</v>
      </c>
      <c r="E71" s="6">
        <f>IFERROR(__xludf.DUMMYFUNCTION("""COMPUTED_VALUE"""),0.6445370370370384)</f>
        <v>0.644537037</v>
      </c>
      <c r="F71" s="4" t="str">
        <f>IFERROR(__xludf.DUMMYFUNCTION("""COMPUTED_VALUE"""),"")</f>
        <v/>
      </c>
      <c r="G71" s="4" t="str">
        <f>IFERROR(__xludf.DUMMYFUNCTION("""COMPUTED_VALUE"""),"")</f>
        <v/>
      </c>
      <c r="H71" s="4" t="str">
        <f>IFERROR(__xludf.DUMMYFUNCTION("""COMPUTED_VALUE"""),"")</f>
        <v/>
      </c>
      <c r="I71" s="4" t="str">
        <f>IFERROR(__xludf.DUMMYFUNCTION("""COMPUTED_VALUE"""),"")</f>
        <v/>
      </c>
      <c r="J71" s="4" t="str">
        <f>IFERROR(__xludf.DUMMYFUNCTION("""COMPUTED_VALUE"""),"")</f>
        <v/>
      </c>
      <c r="K71" s="4" t="str">
        <f>IFERROR(__xludf.DUMMYFUNCTION("""COMPUTED_VALUE"""),"Talk Intro")</f>
        <v>Talk Intro</v>
      </c>
      <c r="L71" s="4" t="str">
        <f>IFERROR(__xludf.DUMMYFUNCTION("""COMPUTED_VALUE"""),"")</f>
        <v/>
      </c>
      <c r="M71" s="4" t="str">
        <f>IFERROR(__xludf.DUMMYFUNCTION("""COMPUTED_VALUE"""),"")</f>
        <v/>
      </c>
      <c r="N71" s="4" t="str">
        <f>IFERROR(__xludf.DUMMYFUNCTION("""COMPUTED_VALUE"""),"")</f>
        <v/>
      </c>
      <c r="O71" s="4" t="str">
        <f>IFERROR(__xludf.DUMMYFUNCTION("""COMPUTED_VALUE"""),"")</f>
        <v/>
      </c>
      <c r="P71" s="4" t="str">
        <f>IFERROR(__xludf.DUMMYFUNCTION("""COMPUTED_VALUE"""),"")</f>
        <v/>
      </c>
      <c r="Q71" s="4" t="str">
        <f>IFERROR(__xludf.DUMMYFUNCTION("""COMPUTED_VALUE"""),"")</f>
        <v/>
      </c>
      <c r="R71" s="4" t="str">
        <f>IFERROR(__xludf.DUMMYFUNCTION("""COMPUTED_VALUE"""),"")</f>
        <v/>
      </c>
    </row>
    <row r="72">
      <c r="A72" s="4" t="str">
        <f>IFERROR(__xludf.DUMMYFUNCTION("""COMPUTED_VALUE"""),"71 - Channel 5")</f>
        <v>71 - Channel 5</v>
      </c>
      <c r="B72" s="4" t="str">
        <f>IFERROR(__xludf.DUMMYFUNCTION("""COMPUTED_VALUE"""),"Day 1 - 23/06")</f>
        <v>Day 1 - 23/06</v>
      </c>
      <c r="C72" s="6">
        <f>IFERROR(__xludf.DUMMYFUNCTION("""COMPUTED_VALUE"""),0.6445370370370384)</f>
        <v>0.644537037</v>
      </c>
      <c r="D72" s="8">
        <f>IFERROR(__xludf.DUMMYFUNCTION("""COMPUTED_VALUE"""),0.006944444444444444)</f>
        <v>0.006944444444</v>
      </c>
      <c r="E72" s="6">
        <f>IFERROR(__xludf.DUMMYFUNCTION("""COMPUTED_VALUE"""),0.6514814814814828)</f>
        <v>0.6514814815</v>
      </c>
      <c r="F72" s="4" t="str">
        <f>IFERROR(__xludf.DUMMYFUNCTION("""COMPUTED_VALUE"""),"AI")</f>
        <v>AI</v>
      </c>
      <c r="G72" s="4" t="str">
        <f>IFERROR(__xludf.DUMMYFUNCTION("""COMPUTED_VALUE"""),"")</f>
        <v/>
      </c>
      <c r="H72" s="4" t="str">
        <f>IFERROR(__xludf.DUMMYFUNCTION("""COMPUTED_VALUE"""),"")</f>
        <v/>
      </c>
      <c r="I72" s="4" t="str">
        <f>IFERROR(__xludf.DUMMYFUNCTION("""COMPUTED_VALUE"""),"")</f>
        <v/>
      </c>
      <c r="J72" s="4" t="str">
        <f>IFERROR(__xludf.DUMMYFUNCTION("""COMPUTED_VALUE"""),"No")</f>
        <v>No</v>
      </c>
      <c r="K72" s="4" t="str">
        <f>IFERROR(__xludf.DUMMYFUNCTION("""COMPUTED_VALUE"""),"Top 5 UnBoxed")</f>
        <v>Top 5 UnBoxed</v>
      </c>
      <c r="L72" s="4" t="str">
        <f>IFERROR(__xludf.DUMMYFUNCTION("""COMPUTED_VALUE"""),"Keaton Keller, Gas Media Group")</f>
        <v>Keaton Keller, Gas Media Group</v>
      </c>
      <c r="M72" s="4" t="str">
        <f>IFERROR(__xludf.DUMMYFUNCTION("""COMPUTED_VALUE"""),"Tom Honeyands, The Tech Chap")</f>
        <v>Tom Honeyands, The Tech Chap</v>
      </c>
      <c r="N72" s="4" t="str">
        <f>IFERROR(__xludf.DUMMYFUNCTION("""COMPUTED_VALUE"""),"Kris Carlon, Android Authority")</f>
        <v>Kris Carlon, Android Authority</v>
      </c>
      <c r="O72" s="4" t="str">
        <f>IFERROR(__xludf.DUMMYFUNCTION("""COMPUTED_VALUE"""),"Eli Etherton, Eli The Computer Guy Llc")</f>
        <v>Eli Etherton, Eli The Computer Guy Llc</v>
      </c>
      <c r="P72" s="4" t="str">
        <f>IFERROR(__xludf.DUMMYFUNCTION("""COMPUTED_VALUE"""),"Jacklyn Dallas, NothingButTech")</f>
        <v>Jacklyn Dallas, NothingButTech</v>
      </c>
      <c r="Q72" s="4" t="str">
        <f>IFERROR(__xludf.DUMMYFUNCTION("""COMPUTED_VALUE"""),"Featuring Keaton Keller, Tom Honeyands, Kris Carlon, Eli Etherton and Jacklyn Dallas. We all love a shiny new thing. In this session, we see five of the shiniest new things being unboxed.")</f>
        <v>Featuring Keaton Keller, Tom Honeyands, Kris Carlon, Eli Etherton and Jacklyn Dallas. We all love a shiny new thing. In this session, we see five of the shiniest new things being unboxed.</v>
      </c>
      <c r="R72" s="4" t="str">
        <f>IFERROR(__xludf.DUMMYFUNCTION("""COMPUTED_VALUE"""),"")</f>
        <v/>
      </c>
    </row>
    <row r="73">
      <c r="A73" s="4" t="str">
        <f>IFERROR(__xludf.DUMMYFUNCTION("""COMPUTED_VALUE"""),"72 - Channel 5")</f>
        <v>72 - Channel 5</v>
      </c>
      <c r="B73" s="4" t="str">
        <f>IFERROR(__xludf.DUMMYFUNCTION("""COMPUTED_VALUE"""),"Day 1 - 23/06")</f>
        <v>Day 1 - 23/06</v>
      </c>
      <c r="C73" s="6">
        <f>IFERROR(__xludf.DUMMYFUNCTION("""COMPUTED_VALUE"""),0.6514814814814828)</f>
        <v>0.6514814815</v>
      </c>
      <c r="D73" s="8">
        <f>IFERROR(__xludf.DUMMYFUNCTION("""COMPUTED_VALUE"""),1.7361111111111112E-4)</f>
        <v>0.0001736111111</v>
      </c>
      <c r="E73" s="6">
        <f>IFERROR(__xludf.DUMMYFUNCTION("""COMPUTED_VALUE"""),0.6516550925925939)</f>
        <v>0.6516550926</v>
      </c>
      <c r="F73" s="4" t="str">
        <f>IFERROR(__xludf.DUMMYFUNCTION("""COMPUTED_VALUE"""),"")</f>
        <v/>
      </c>
      <c r="G73" s="4" t="str">
        <f>IFERROR(__xludf.DUMMYFUNCTION("""COMPUTED_VALUE"""),"")</f>
        <v/>
      </c>
      <c r="H73" s="4" t="str">
        <f>IFERROR(__xludf.DUMMYFUNCTION("""COMPUTED_VALUE"""),"")</f>
        <v/>
      </c>
      <c r="I73" s="4" t="str">
        <f>IFERROR(__xludf.DUMMYFUNCTION("""COMPUTED_VALUE"""),"")</f>
        <v/>
      </c>
      <c r="J73" s="4" t="str">
        <f>IFERROR(__xludf.DUMMYFUNCTION("""COMPUTED_VALUE"""),"")</f>
        <v/>
      </c>
      <c r="K73" s="4" t="str">
        <f>IFERROR(__xludf.DUMMYFUNCTION("""COMPUTED_VALUE"""),"Talk Outro")</f>
        <v>Talk Outro</v>
      </c>
      <c r="L73" s="4" t="str">
        <f>IFERROR(__xludf.DUMMYFUNCTION("""COMPUTED_VALUE"""),"")</f>
        <v/>
      </c>
      <c r="M73" s="4" t="str">
        <f>IFERROR(__xludf.DUMMYFUNCTION("""COMPUTED_VALUE"""),"")</f>
        <v/>
      </c>
      <c r="N73" s="4" t="str">
        <f>IFERROR(__xludf.DUMMYFUNCTION("""COMPUTED_VALUE"""),"")</f>
        <v/>
      </c>
      <c r="O73" s="4" t="str">
        <f>IFERROR(__xludf.DUMMYFUNCTION("""COMPUTED_VALUE"""),"")</f>
        <v/>
      </c>
      <c r="P73" s="4" t="str">
        <f>IFERROR(__xludf.DUMMYFUNCTION("""COMPUTED_VALUE"""),"")</f>
        <v/>
      </c>
      <c r="Q73" s="4" t="str">
        <f>IFERROR(__xludf.DUMMYFUNCTION("""COMPUTED_VALUE"""),"")</f>
        <v/>
      </c>
      <c r="R73" s="4" t="str">
        <f>IFERROR(__xludf.DUMMYFUNCTION("""COMPUTED_VALUE"""),"")</f>
        <v/>
      </c>
    </row>
    <row r="74">
      <c r="A74" s="4" t="str">
        <f>IFERROR(__xludf.DUMMYFUNCTION("""COMPUTED_VALUE"""),"74 - Channel 5")</f>
        <v>74 - Channel 5</v>
      </c>
      <c r="B74" s="4" t="str">
        <f>IFERROR(__xludf.DUMMYFUNCTION("""COMPUTED_VALUE"""),"Day 1 - 23/06")</f>
        <v>Day 1 - 23/06</v>
      </c>
      <c r="C74" s="6">
        <f>IFERROR(__xludf.DUMMYFUNCTION("""COMPUTED_VALUE"""),0.6516550925925939)</f>
        <v>0.6516550926</v>
      </c>
      <c r="D74" s="8">
        <f>IFERROR(__xludf.DUMMYFUNCTION("""COMPUTED_VALUE"""),3.4722222222222224E-4)</f>
        <v>0.0003472222222</v>
      </c>
      <c r="E74" s="6">
        <f>IFERROR(__xludf.DUMMYFUNCTION("""COMPUTED_VALUE"""),0.6520023148148162)</f>
        <v>0.6520023148</v>
      </c>
      <c r="F74" s="4" t="str">
        <f>IFERROR(__xludf.DUMMYFUNCTION("""COMPUTED_VALUE"""),"")</f>
        <v/>
      </c>
      <c r="G74" s="4" t="str">
        <f>IFERROR(__xludf.DUMMYFUNCTION("""COMPUTED_VALUE"""),"")</f>
        <v/>
      </c>
      <c r="H74" s="4" t="str">
        <f>IFERROR(__xludf.DUMMYFUNCTION("""COMPUTED_VALUE"""),"")</f>
        <v/>
      </c>
      <c r="I74" s="4" t="str">
        <f>IFERROR(__xludf.DUMMYFUNCTION("""COMPUTED_VALUE"""),"")</f>
        <v/>
      </c>
      <c r="J74" s="4" t="str">
        <f>IFERROR(__xludf.DUMMYFUNCTION("""COMPUTED_VALUE"""),"")</f>
        <v/>
      </c>
      <c r="K74" s="4" t="str">
        <f>IFERROR(__xludf.DUMMYFUNCTION("""COMPUTED_VALUE"""),"Talk Intro")</f>
        <v>Talk Intro</v>
      </c>
      <c r="L74" s="4" t="str">
        <f>IFERROR(__xludf.DUMMYFUNCTION("""COMPUTED_VALUE"""),"")</f>
        <v/>
      </c>
      <c r="M74" s="4" t="str">
        <f>IFERROR(__xludf.DUMMYFUNCTION("""COMPUTED_VALUE"""),"")</f>
        <v/>
      </c>
      <c r="N74" s="4" t="str">
        <f>IFERROR(__xludf.DUMMYFUNCTION("""COMPUTED_VALUE"""),"")</f>
        <v/>
      </c>
      <c r="O74" s="4" t="str">
        <f>IFERROR(__xludf.DUMMYFUNCTION("""COMPUTED_VALUE"""),"")</f>
        <v/>
      </c>
      <c r="P74" s="4" t="str">
        <f>IFERROR(__xludf.DUMMYFUNCTION("""COMPUTED_VALUE"""),"")</f>
        <v/>
      </c>
      <c r="Q74" s="4" t="str">
        <f>IFERROR(__xludf.DUMMYFUNCTION("""COMPUTED_VALUE"""),"")</f>
        <v/>
      </c>
      <c r="R74" s="4" t="str">
        <f>IFERROR(__xludf.DUMMYFUNCTION("""COMPUTED_VALUE"""),"")</f>
        <v/>
      </c>
    </row>
    <row r="75">
      <c r="A75" s="4" t="str">
        <f>IFERROR(__xludf.DUMMYFUNCTION("""COMPUTED_VALUE"""),"75 - Channel 5")</f>
        <v>75 - Channel 5</v>
      </c>
      <c r="B75" s="4" t="str">
        <f>IFERROR(__xludf.DUMMYFUNCTION("""COMPUTED_VALUE"""),"Day 1 - 23/06")</f>
        <v>Day 1 - 23/06</v>
      </c>
      <c r="C75" s="6">
        <f>IFERROR(__xludf.DUMMYFUNCTION("""COMPUTED_VALUE"""),0.6520023148148162)</f>
        <v>0.6520023148</v>
      </c>
      <c r="D75" s="8">
        <f>IFERROR(__xludf.DUMMYFUNCTION("""COMPUTED_VALUE"""),0.017314814814814814)</f>
        <v>0.01731481481</v>
      </c>
      <c r="E75" s="6">
        <f>IFERROR(__xludf.DUMMYFUNCTION("""COMPUTED_VALUE"""),0.669317129629631)</f>
        <v>0.6693171296</v>
      </c>
      <c r="F75" s="4" t="str">
        <f>IFERROR(__xludf.DUMMYFUNCTION("""COMPUTED_VALUE"""),"Mobility")</f>
        <v>Mobility</v>
      </c>
      <c r="G75" s="4" t="str">
        <f>IFERROR(__xludf.DUMMYFUNCTION("""COMPUTED_VALUE"""),"RISE 2018")</f>
        <v>RISE 2018</v>
      </c>
      <c r="H75" s="21" t="str">
        <f>IFERROR(__xludf.DUMMYFUNCTION("""COMPUTED_VALUE"""),"https://www.youtube.com/watch?v=FpfmlMkQxFM&amp;t=17s")</f>
        <v>https://www.youtube.com/watch?v=FpfmlMkQxFM&amp;t=17s</v>
      </c>
      <c r="I75" s="4" t="str">
        <f>IFERROR(__xludf.DUMMYFUNCTION("""COMPUTED_VALUE"""),"Start at 10 secs. UpNext banner at 24:38 needs covered. Finish at 25:04.")</f>
        <v>Start at 10 secs. UpNext banner at 24:38 needs covered. Finish at 25:04.</v>
      </c>
      <c r="J75" s="4" t="str">
        <f>IFERROR(__xludf.DUMMYFUNCTION("""COMPUTED_VALUE"""),"No")</f>
        <v>No</v>
      </c>
      <c r="K75" s="4" t="str">
        <f>IFERROR(__xludf.DUMMYFUNCTION("""COMPUTED_VALUE"""),"Grab a ride with Tan Hooi Ling")</f>
        <v>Grab a ride with Tan Hooi Ling</v>
      </c>
      <c r="L75" s="4" t="str">
        <f>IFERROR(__xludf.DUMMYFUNCTION("""COMPUTED_VALUE"""),"Tan Hooi Ling, Grab")</f>
        <v>Tan Hooi Ling, Grab</v>
      </c>
      <c r="M75" s="4" t="str">
        <f>IFERROR(__xludf.DUMMYFUNCTION("""COMPUTED_VALUE"""),"")</f>
        <v/>
      </c>
      <c r="N75" s="4" t="str">
        <f>IFERROR(__xludf.DUMMYFUNCTION("""COMPUTED_VALUE"""),"")</f>
        <v/>
      </c>
      <c r="O75" s="4" t="str">
        <f>IFERROR(__xludf.DUMMYFUNCTION("""COMPUTED_VALUE"""),"")</f>
        <v/>
      </c>
      <c r="P75" s="4" t="str">
        <f>IFERROR(__xludf.DUMMYFUNCTION("""COMPUTED_VALUE"""),"")</f>
        <v/>
      </c>
      <c r="Q75" s="4" t="str">
        <f>IFERROR(__xludf.DUMMYFUNCTION("""COMPUTED_VALUE"""),"Getting from A to B is a problem as old as humanity itself. Grab is helping us to find new and innovative ways to solve this problem. Co-founder and CEO Tan Hooi Ling joined us at RISE 2018 to tell us about how the ride-hailing company has risen to the ch"&amp;"allenge, and how they have built a successful company doing it.")</f>
        <v>Getting from A to B is a problem as old as humanity itself. Grab is helping us to find new and innovative ways to solve this problem. Co-founder and CEO Tan Hooi Ling joined us at RISE 2018 to tell us about how the ride-hailing company has risen to the challenge, and how they have built a successful company doing it.</v>
      </c>
      <c r="R75" s="4" t="str">
        <f>IFERROR(__xludf.DUMMYFUNCTION("""COMPUTED_VALUE"""),"")</f>
        <v/>
      </c>
    </row>
    <row r="76">
      <c r="A76" s="4" t="str">
        <f>IFERROR(__xludf.DUMMYFUNCTION("""COMPUTED_VALUE"""),"76 - Channel 5")</f>
        <v>76 - Channel 5</v>
      </c>
      <c r="B76" s="4" t="str">
        <f>IFERROR(__xludf.DUMMYFUNCTION("""COMPUTED_VALUE"""),"Day 1 - 23/06")</f>
        <v>Day 1 - 23/06</v>
      </c>
      <c r="C76" s="6">
        <f>IFERROR(__xludf.DUMMYFUNCTION("""COMPUTED_VALUE"""),0.669317129629631)</f>
        <v>0.6693171296</v>
      </c>
      <c r="D76" s="8">
        <f>IFERROR(__xludf.DUMMYFUNCTION("""COMPUTED_VALUE"""),1.7361111111111112E-4)</f>
        <v>0.0001736111111</v>
      </c>
      <c r="E76" s="6">
        <f>IFERROR(__xludf.DUMMYFUNCTION("""COMPUTED_VALUE"""),0.6694907407407421)</f>
        <v>0.6694907407</v>
      </c>
      <c r="F76" s="4" t="str">
        <f>IFERROR(__xludf.DUMMYFUNCTION("""COMPUTED_VALUE"""),"")</f>
        <v/>
      </c>
      <c r="G76" s="4" t="str">
        <f>IFERROR(__xludf.DUMMYFUNCTION("""COMPUTED_VALUE"""),"")</f>
        <v/>
      </c>
      <c r="H76" s="4" t="str">
        <f>IFERROR(__xludf.DUMMYFUNCTION("""COMPUTED_VALUE"""),"")</f>
        <v/>
      </c>
      <c r="I76" s="4" t="str">
        <f>IFERROR(__xludf.DUMMYFUNCTION("""COMPUTED_VALUE"""),"")</f>
        <v/>
      </c>
      <c r="J76" s="4" t="str">
        <f>IFERROR(__xludf.DUMMYFUNCTION("""COMPUTED_VALUE"""),"")</f>
        <v/>
      </c>
      <c r="K76" s="4" t="str">
        <f>IFERROR(__xludf.DUMMYFUNCTION("""COMPUTED_VALUE"""),"Talk Outro")</f>
        <v>Talk Outro</v>
      </c>
      <c r="L76" s="4" t="str">
        <f>IFERROR(__xludf.DUMMYFUNCTION("""COMPUTED_VALUE"""),"")</f>
        <v/>
      </c>
      <c r="M76" s="4" t="str">
        <f>IFERROR(__xludf.DUMMYFUNCTION("""COMPUTED_VALUE"""),"")</f>
        <v/>
      </c>
      <c r="N76" s="4" t="str">
        <f>IFERROR(__xludf.DUMMYFUNCTION("""COMPUTED_VALUE"""),"")</f>
        <v/>
      </c>
      <c r="O76" s="4" t="str">
        <f>IFERROR(__xludf.DUMMYFUNCTION("""COMPUTED_VALUE"""),"")</f>
        <v/>
      </c>
      <c r="P76" s="4" t="str">
        <f>IFERROR(__xludf.DUMMYFUNCTION("""COMPUTED_VALUE"""),"")</f>
        <v/>
      </c>
      <c r="Q76" s="4" t="str">
        <f>IFERROR(__xludf.DUMMYFUNCTION("""COMPUTED_VALUE"""),"")</f>
        <v/>
      </c>
      <c r="R76" s="4" t="str">
        <f>IFERROR(__xludf.DUMMYFUNCTION("""COMPUTED_VALUE"""),"")</f>
        <v/>
      </c>
    </row>
    <row r="77">
      <c r="A77" s="4" t="str">
        <f>IFERROR(__xludf.DUMMYFUNCTION("""COMPUTED_VALUE"""),"77 - Channel 5")</f>
        <v>77 - Channel 5</v>
      </c>
      <c r="B77" s="4" t="str">
        <f>IFERROR(__xludf.DUMMYFUNCTION("""COMPUTED_VALUE"""),"Day 1 - 23/06")</f>
        <v>Day 1 - 23/06</v>
      </c>
      <c r="C77" s="6">
        <f>IFERROR(__xludf.DUMMYFUNCTION("""COMPUTED_VALUE"""),0.6694907407407421)</f>
        <v>0.6694907407</v>
      </c>
      <c r="D77" s="8">
        <f>IFERROR(__xludf.DUMMYFUNCTION("""COMPUTED_VALUE"""),1.273148148148148E-4)</f>
        <v>0.0001273148148</v>
      </c>
      <c r="E77" s="6">
        <f>IFERROR(__xludf.DUMMYFUNCTION("""COMPUTED_VALUE"""),0.6696180555555569)</f>
        <v>0.6696180556</v>
      </c>
      <c r="F77" s="4" t="str">
        <f>IFERROR(__xludf.DUMMYFUNCTION("""COMPUTED_VALUE"""),"")</f>
        <v/>
      </c>
      <c r="G77" s="4" t="str">
        <f>IFERROR(__xludf.DUMMYFUNCTION("""COMPUTED_VALUE"""),"")</f>
        <v/>
      </c>
      <c r="H77" s="4" t="str">
        <f>IFERROR(__xludf.DUMMYFUNCTION("""COMPUTED_VALUE"""),"")</f>
        <v/>
      </c>
      <c r="I77" s="4" t="str">
        <f>IFERROR(__xludf.DUMMYFUNCTION("""COMPUTED_VALUE"""),"")</f>
        <v/>
      </c>
      <c r="J77" s="4" t="str">
        <f>IFERROR(__xludf.DUMMYFUNCTION("""COMPUTED_VALUE"""),"")</f>
        <v/>
      </c>
      <c r="K77" s="4" t="str">
        <f>IFERROR(__xludf.DUMMYFUNCTION("""COMPUTED_VALUE"""),"Holding Graphic")</f>
        <v>Holding Graphic</v>
      </c>
      <c r="L77" s="4" t="str">
        <f>IFERROR(__xludf.DUMMYFUNCTION("""COMPUTED_VALUE"""),"")</f>
        <v/>
      </c>
      <c r="M77" s="4" t="str">
        <f>IFERROR(__xludf.DUMMYFUNCTION("""COMPUTED_VALUE"""),"")</f>
        <v/>
      </c>
      <c r="N77" s="4" t="str">
        <f>IFERROR(__xludf.DUMMYFUNCTION("""COMPUTED_VALUE"""),"")</f>
        <v/>
      </c>
      <c r="O77" s="4" t="str">
        <f>IFERROR(__xludf.DUMMYFUNCTION("""COMPUTED_VALUE"""),"")</f>
        <v/>
      </c>
      <c r="P77" s="4" t="str">
        <f>IFERROR(__xludf.DUMMYFUNCTION("""COMPUTED_VALUE"""),"")</f>
        <v/>
      </c>
      <c r="Q77" s="4" t="str">
        <f>IFERROR(__xludf.DUMMYFUNCTION("""COMPUTED_VALUE"""),"")</f>
        <v/>
      </c>
      <c r="R77" s="4" t="str">
        <f>IFERROR(__xludf.DUMMYFUNCTION("""COMPUTED_VALUE"""),"")</f>
        <v/>
      </c>
    </row>
    <row r="78">
      <c r="A78" s="4" t="str">
        <f>IFERROR(__xludf.DUMMYFUNCTION("""COMPUTED_VALUE"""),"78 - Channel 5")</f>
        <v>78 - Channel 5</v>
      </c>
      <c r="B78" s="4" t="str">
        <f>IFERROR(__xludf.DUMMYFUNCTION("""COMPUTED_VALUE"""),"Day 1 - 23/06")</f>
        <v>Day 1 - 23/06</v>
      </c>
      <c r="C78" s="6">
        <f>IFERROR(__xludf.DUMMYFUNCTION("""COMPUTED_VALUE"""),0.6696180555555569)</f>
        <v>0.6696180556</v>
      </c>
      <c r="D78" s="8">
        <f>IFERROR(__xludf.DUMMYFUNCTION("""COMPUTED_VALUE"""),3.4722222222222224E-4)</f>
        <v>0.0003472222222</v>
      </c>
      <c r="E78" s="6">
        <f>IFERROR(__xludf.DUMMYFUNCTION("""COMPUTED_VALUE"""),0.6699652777777791)</f>
        <v>0.6699652778</v>
      </c>
      <c r="F78" s="4" t="str">
        <f>IFERROR(__xludf.DUMMYFUNCTION("""COMPUTED_VALUE"""),"")</f>
        <v/>
      </c>
      <c r="G78" s="4" t="str">
        <f>IFERROR(__xludf.DUMMYFUNCTION("""COMPUTED_VALUE"""),"")</f>
        <v/>
      </c>
      <c r="H78" s="4" t="str">
        <f>IFERROR(__xludf.DUMMYFUNCTION("""COMPUTED_VALUE"""),"")</f>
        <v/>
      </c>
      <c r="I78" s="4" t="str">
        <f>IFERROR(__xludf.DUMMYFUNCTION("""COMPUTED_VALUE"""),"")</f>
        <v/>
      </c>
      <c r="J78" s="4" t="str">
        <f>IFERROR(__xludf.DUMMYFUNCTION("""COMPUTED_VALUE"""),"")</f>
        <v/>
      </c>
      <c r="K78" s="4" t="str">
        <f>IFERROR(__xludf.DUMMYFUNCTION("""COMPUTED_VALUE"""),"Talk Intro")</f>
        <v>Talk Intro</v>
      </c>
      <c r="L78" s="4" t="str">
        <f>IFERROR(__xludf.DUMMYFUNCTION("""COMPUTED_VALUE"""),"")</f>
        <v/>
      </c>
      <c r="M78" s="4" t="str">
        <f>IFERROR(__xludf.DUMMYFUNCTION("""COMPUTED_VALUE"""),"")</f>
        <v/>
      </c>
      <c r="N78" s="4" t="str">
        <f>IFERROR(__xludf.DUMMYFUNCTION("""COMPUTED_VALUE"""),"")</f>
        <v/>
      </c>
      <c r="O78" s="4" t="str">
        <f>IFERROR(__xludf.DUMMYFUNCTION("""COMPUTED_VALUE"""),"")</f>
        <v/>
      </c>
      <c r="P78" s="4" t="str">
        <f>IFERROR(__xludf.DUMMYFUNCTION("""COMPUTED_VALUE"""),"")</f>
        <v/>
      </c>
      <c r="Q78" s="4" t="str">
        <f>IFERROR(__xludf.DUMMYFUNCTION("""COMPUTED_VALUE"""),"")</f>
        <v/>
      </c>
      <c r="R78" s="4" t="str">
        <f>IFERROR(__xludf.DUMMYFUNCTION("""COMPUTED_VALUE"""),"")</f>
        <v/>
      </c>
    </row>
    <row r="79">
      <c r="A79" s="4" t="str">
        <f>IFERROR(__xludf.DUMMYFUNCTION("""COMPUTED_VALUE"""),"79 - Channel 5")</f>
        <v>79 - Channel 5</v>
      </c>
      <c r="B79" s="4" t="str">
        <f>IFERROR(__xludf.DUMMYFUNCTION("""COMPUTED_VALUE"""),"Day 1 - 23/06")</f>
        <v>Day 1 - 23/06</v>
      </c>
      <c r="C79" s="6">
        <f>IFERROR(__xludf.DUMMYFUNCTION("""COMPUTED_VALUE"""),0.6699652777777791)</f>
        <v>0.6699652778</v>
      </c>
      <c r="D79" s="8">
        <f>IFERROR(__xludf.DUMMYFUNCTION("""COMPUTED_VALUE"""),0.01642361111111111)</f>
        <v>0.01642361111</v>
      </c>
      <c r="E79" s="6">
        <f>IFERROR(__xludf.DUMMYFUNCTION("""COMPUTED_VALUE"""),0.6863888888888903)</f>
        <v>0.6863888889</v>
      </c>
      <c r="F79" s="4" t="str">
        <f>IFERROR(__xludf.DUMMYFUNCTION("""COMPUTED_VALUE"""),"Leadership")</f>
        <v>Leadership</v>
      </c>
      <c r="G79" s="4" t="str">
        <f>IFERROR(__xludf.DUMMYFUNCTION("""COMPUTED_VALUE"""),"Web Summit 2015")</f>
        <v>Web Summit 2015</v>
      </c>
      <c r="H79" s="21" t="str">
        <f>IFERROR(__xludf.DUMMYFUNCTION("""COMPUTED_VALUE"""),"https://www.youtube.com/watch?v=M3A9SNadRcY")</f>
        <v>https://www.youtube.com/watch?v=M3A9SNadRcY</v>
      </c>
      <c r="I79" s="4" t="str">
        <f>IFERROR(__xludf.DUMMYFUNCTION("""COMPUTED_VALUE"""),"Begin on 00:10. Go to end of video.")</f>
        <v>Begin on 00:10. Go to end of video.</v>
      </c>
      <c r="J79" s="4" t="str">
        <f>IFERROR(__xludf.DUMMYFUNCTION("""COMPUTED_VALUE"""),"No")</f>
        <v>No</v>
      </c>
      <c r="K79" s="4" t="str">
        <f>IFERROR(__xludf.DUMMYFUNCTION("""COMPUTED_VALUE"""),"Taking risks with Michael Dell")</f>
        <v>Taking risks with Michael Dell</v>
      </c>
      <c r="L79" s="4" t="str">
        <f>IFERROR(__xludf.DUMMYFUNCTION("""COMPUTED_VALUE"""),"Michael Dell, Dell Technologies")</f>
        <v>Michael Dell, Dell Technologies</v>
      </c>
      <c r="M79" s="4" t="str">
        <f>IFERROR(__xludf.DUMMYFUNCTION("""COMPUTED_VALUE"""),"")</f>
        <v/>
      </c>
      <c r="N79" s="4" t="str">
        <f>IFERROR(__xludf.DUMMYFUNCTION("""COMPUTED_VALUE"""),"")</f>
        <v/>
      </c>
      <c r="O79" s="4" t="str">
        <f>IFERROR(__xludf.DUMMYFUNCTION("""COMPUTED_VALUE"""),"")</f>
        <v/>
      </c>
      <c r="P79" s="4" t="str">
        <f>IFERROR(__xludf.DUMMYFUNCTION("""COMPUTED_VALUE"""),"")</f>
        <v/>
      </c>
      <c r="Q79" s="4" t="str">
        <f>IFERROR(__xludf.DUMMYFUNCTION("""COMPUTED_VALUE"""),"In 1984, Michael Dell founded Dell Technologies with $1000 when he was just 19 years old. In this fireside, he shares how market disruptions are reserved for forward-thinking risk-takers, and unveils the story behind Dell's merger with EMC.")</f>
        <v>In 1984, Michael Dell founded Dell Technologies with $1000 when he was just 19 years old. In this fireside, he shares how market disruptions are reserved for forward-thinking risk-takers, and unveils the story behind Dell's merger with EMC.</v>
      </c>
      <c r="R79" s="4" t="str">
        <f>IFERROR(__xludf.DUMMYFUNCTION("""COMPUTED_VALUE"""),"")</f>
        <v/>
      </c>
    </row>
    <row r="80">
      <c r="A80" s="4" t="str">
        <f>IFERROR(__xludf.DUMMYFUNCTION("""COMPUTED_VALUE"""),"80 - Channel 5")</f>
        <v>80 - Channel 5</v>
      </c>
      <c r="B80" s="4" t="str">
        <f>IFERROR(__xludf.DUMMYFUNCTION("""COMPUTED_VALUE"""),"Day 1 - 23/06")</f>
        <v>Day 1 - 23/06</v>
      </c>
      <c r="C80" s="6">
        <f>IFERROR(__xludf.DUMMYFUNCTION("""COMPUTED_VALUE"""),0.6863888888888903)</f>
        <v>0.6863888889</v>
      </c>
      <c r="D80" s="8">
        <f>IFERROR(__xludf.DUMMYFUNCTION("""COMPUTED_VALUE"""),1.7361111111111112E-4)</f>
        <v>0.0001736111111</v>
      </c>
      <c r="E80" s="6">
        <f>IFERROR(__xludf.DUMMYFUNCTION("""COMPUTED_VALUE"""),0.6865625000000014)</f>
        <v>0.6865625</v>
      </c>
      <c r="F80" s="4" t="str">
        <f>IFERROR(__xludf.DUMMYFUNCTION("""COMPUTED_VALUE"""),"")</f>
        <v/>
      </c>
      <c r="G80" s="4" t="str">
        <f>IFERROR(__xludf.DUMMYFUNCTION("""COMPUTED_VALUE"""),"")</f>
        <v/>
      </c>
      <c r="H80" s="4" t="str">
        <f>IFERROR(__xludf.DUMMYFUNCTION("""COMPUTED_VALUE"""),"")</f>
        <v/>
      </c>
      <c r="I80" s="4" t="str">
        <f>IFERROR(__xludf.DUMMYFUNCTION("""COMPUTED_VALUE"""),"")</f>
        <v/>
      </c>
      <c r="J80" s="4" t="str">
        <f>IFERROR(__xludf.DUMMYFUNCTION("""COMPUTED_VALUE"""),"")</f>
        <v/>
      </c>
      <c r="K80" s="4" t="str">
        <f>IFERROR(__xludf.DUMMYFUNCTION("""COMPUTED_VALUE"""),"Talk Outro")</f>
        <v>Talk Outro</v>
      </c>
      <c r="L80" s="4" t="str">
        <f>IFERROR(__xludf.DUMMYFUNCTION("""COMPUTED_VALUE"""),"")</f>
        <v/>
      </c>
      <c r="M80" s="4" t="str">
        <f>IFERROR(__xludf.DUMMYFUNCTION("""COMPUTED_VALUE"""),"")</f>
        <v/>
      </c>
      <c r="N80" s="4" t="str">
        <f>IFERROR(__xludf.DUMMYFUNCTION("""COMPUTED_VALUE"""),"")</f>
        <v/>
      </c>
      <c r="O80" s="4" t="str">
        <f>IFERROR(__xludf.DUMMYFUNCTION("""COMPUTED_VALUE"""),"")</f>
        <v/>
      </c>
      <c r="P80" s="4" t="str">
        <f>IFERROR(__xludf.DUMMYFUNCTION("""COMPUTED_VALUE"""),"")</f>
        <v/>
      </c>
      <c r="Q80" s="4" t="str">
        <f>IFERROR(__xludf.DUMMYFUNCTION("""COMPUTED_VALUE"""),"")</f>
        <v/>
      </c>
      <c r="R80" s="4" t="str">
        <f>IFERROR(__xludf.DUMMYFUNCTION("""COMPUTED_VALUE"""),"")</f>
        <v/>
      </c>
    </row>
    <row r="81">
      <c r="A81" s="4" t="str">
        <f>IFERROR(__xludf.DUMMYFUNCTION("""COMPUTED_VALUE"""),"284 - Channel 5")</f>
        <v>284 - Channel 5</v>
      </c>
      <c r="B81" s="4" t="str">
        <f>IFERROR(__xludf.DUMMYFUNCTION("""COMPUTED_VALUE"""),"Day 1 - 23/06")</f>
        <v>Day 1 - 23/06</v>
      </c>
      <c r="C81" s="6">
        <f>IFERROR(__xludf.DUMMYFUNCTION("""COMPUTED_VALUE"""),0.6865625000000014)</f>
        <v>0.6865625</v>
      </c>
      <c r="D81" s="8">
        <f>IFERROR(__xludf.DUMMYFUNCTION("""COMPUTED_VALUE"""),3.4722222222222224E-4)</f>
        <v>0.0003472222222</v>
      </c>
      <c r="E81" s="6">
        <f>IFERROR(__xludf.DUMMYFUNCTION("""COMPUTED_VALUE"""),0.6869097222222237)</f>
        <v>0.6869097222</v>
      </c>
      <c r="F81" s="4" t="str">
        <f>IFERROR(__xludf.DUMMYFUNCTION("""COMPUTED_VALUE"""),"")</f>
        <v/>
      </c>
      <c r="G81" s="4" t="str">
        <f>IFERROR(__xludf.DUMMYFUNCTION("""COMPUTED_VALUE"""),"")</f>
        <v/>
      </c>
      <c r="H81" s="4" t="str">
        <f>IFERROR(__xludf.DUMMYFUNCTION("""COMPUTED_VALUE"""),"")</f>
        <v/>
      </c>
      <c r="I81" s="4" t="str">
        <f>IFERROR(__xludf.DUMMYFUNCTION("""COMPUTED_VALUE"""),"")</f>
        <v/>
      </c>
      <c r="J81" s="4" t="str">
        <f>IFERROR(__xludf.DUMMYFUNCTION("""COMPUTED_VALUE"""),"")</f>
        <v/>
      </c>
      <c r="K81" s="4" t="str">
        <f>IFERROR(__xludf.DUMMYFUNCTION("""COMPUTED_VALUE"""),"Web Summit Trailer - short")</f>
        <v>Web Summit Trailer - short</v>
      </c>
      <c r="L81" s="4" t="str">
        <f>IFERROR(__xludf.DUMMYFUNCTION("""COMPUTED_VALUE"""),"")</f>
        <v/>
      </c>
      <c r="M81" s="4" t="str">
        <f>IFERROR(__xludf.DUMMYFUNCTION("""COMPUTED_VALUE"""),"")</f>
        <v/>
      </c>
      <c r="N81" s="4" t="str">
        <f>IFERROR(__xludf.DUMMYFUNCTION("""COMPUTED_VALUE"""),"")</f>
        <v/>
      </c>
      <c r="O81" s="4" t="str">
        <f>IFERROR(__xludf.DUMMYFUNCTION("""COMPUTED_VALUE"""),"")</f>
        <v/>
      </c>
      <c r="P81" s="4" t="str">
        <f>IFERROR(__xludf.DUMMYFUNCTION("""COMPUTED_VALUE"""),"")</f>
        <v/>
      </c>
      <c r="Q81" s="4" t="str">
        <f>IFERROR(__xludf.DUMMYFUNCTION("""COMPUTED_VALUE"""),"")</f>
        <v/>
      </c>
      <c r="R81" s="4" t="str">
        <f>IFERROR(__xludf.DUMMYFUNCTION("""COMPUTED_VALUE"""),"")</f>
        <v/>
      </c>
    </row>
    <row r="82">
      <c r="A82" s="4" t="str">
        <f>IFERROR(__xludf.DUMMYFUNCTION("""COMPUTED_VALUE"""),"82 - Channel 5")</f>
        <v>82 - Channel 5</v>
      </c>
      <c r="B82" s="4" t="str">
        <f>IFERROR(__xludf.DUMMYFUNCTION("""COMPUTED_VALUE"""),"Day 1 - 23/06")</f>
        <v>Day 1 - 23/06</v>
      </c>
      <c r="C82" s="6">
        <f>IFERROR(__xludf.DUMMYFUNCTION("""COMPUTED_VALUE"""),0.6869097222222237)</f>
        <v>0.6869097222</v>
      </c>
      <c r="D82" s="8">
        <f>IFERROR(__xludf.DUMMYFUNCTION("""COMPUTED_VALUE"""),3.4722222222222224E-4)</f>
        <v>0.0003472222222</v>
      </c>
      <c r="E82" s="6">
        <f>IFERROR(__xludf.DUMMYFUNCTION("""COMPUTED_VALUE"""),0.687256944444446)</f>
        <v>0.6872569444</v>
      </c>
      <c r="F82" s="4" t="str">
        <f>IFERROR(__xludf.DUMMYFUNCTION("""COMPUTED_VALUE"""),"")</f>
        <v/>
      </c>
      <c r="G82" s="4" t="str">
        <f>IFERROR(__xludf.DUMMYFUNCTION("""COMPUTED_VALUE"""),"")</f>
        <v/>
      </c>
      <c r="H82" s="4" t="str">
        <f>IFERROR(__xludf.DUMMYFUNCTION("""COMPUTED_VALUE"""),"")</f>
        <v/>
      </c>
      <c r="I82" s="4" t="str">
        <f>IFERROR(__xludf.DUMMYFUNCTION("""COMPUTED_VALUE"""),"")</f>
        <v/>
      </c>
      <c r="J82" s="4" t="str">
        <f>IFERROR(__xludf.DUMMYFUNCTION("""COMPUTED_VALUE"""),"")</f>
        <v/>
      </c>
      <c r="K82" s="4" t="str">
        <f>IFERROR(__xludf.DUMMYFUNCTION("""COMPUTED_VALUE"""),"Talk Intro")</f>
        <v>Talk Intro</v>
      </c>
      <c r="L82" s="4" t="str">
        <f>IFERROR(__xludf.DUMMYFUNCTION("""COMPUTED_VALUE"""),"")</f>
        <v/>
      </c>
      <c r="M82" s="4" t="str">
        <f>IFERROR(__xludf.DUMMYFUNCTION("""COMPUTED_VALUE"""),"")</f>
        <v/>
      </c>
      <c r="N82" s="4" t="str">
        <f>IFERROR(__xludf.DUMMYFUNCTION("""COMPUTED_VALUE"""),"")</f>
        <v/>
      </c>
      <c r="O82" s="4" t="str">
        <f>IFERROR(__xludf.DUMMYFUNCTION("""COMPUTED_VALUE"""),"")</f>
        <v/>
      </c>
      <c r="P82" s="4" t="str">
        <f>IFERROR(__xludf.DUMMYFUNCTION("""COMPUTED_VALUE"""),"")</f>
        <v/>
      </c>
      <c r="Q82" s="4" t="str">
        <f>IFERROR(__xludf.DUMMYFUNCTION("""COMPUTED_VALUE"""),"")</f>
        <v/>
      </c>
      <c r="R82" s="4" t="str">
        <f>IFERROR(__xludf.DUMMYFUNCTION("""COMPUTED_VALUE"""),"")</f>
        <v/>
      </c>
    </row>
    <row r="83">
      <c r="A83" s="4" t="str">
        <f>IFERROR(__xludf.DUMMYFUNCTION("""COMPUTED_VALUE"""),"83 - Channel 5")</f>
        <v>83 - Channel 5</v>
      </c>
      <c r="B83" s="4" t="str">
        <f>IFERROR(__xludf.DUMMYFUNCTION("""COMPUTED_VALUE"""),"Day 1 - 23/06")</f>
        <v>Day 1 - 23/06</v>
      </c>
      <c r="C83" s="6">
        <f>IFERROR(__xludf.DUMMYFUNCTION("""COMPUTED_VALUE"""),0.687256944444446)</f>
        <v>0.6872569444</v>
      </c>
      <c r="D83" s="8">
        <f>IFERROR(__xludf.DUMMYFUNCTION("""COMPUTED_VALUE"""),0.012881944444444444)</f>
        <v>0.01288194444</v>
      </c>
      <c r="E83" s="6">
        <f>IFERROR(__xludf.DUMMYFUNCTION("""COMPUTED_VALUE"""),0.7001388888888904)</f>
        <v>0.7001388889</v>
      </c>
      <c r="F83" s="4" t="str">
        <f>IFERROR(__xludf.DUMMYFUNCTION("""COMPUTED_VALUE"""),"Media")</f>
        <v>Media</v>
      </c>
      <c r="G83" s="4" t="str">
        <f>IFERROR(__xludf.DUMMYFUNCTION("""COMPUTED_VALUE"""),"Web Summit 2017")</f>
        <v>Web Summit 2017</v>
      </c>
      <c r="H83" s="21" t="str">
        <f>IFERROR(__xludf.DUMMYFUNCTION("""COMPUTED_VALUE"""),"https://www.youtube.com/watch?v=5B8swYuHFGE")</f>
        <v>https://www.youtube.com/watch?v=5B8swYuHFGE</v>
      </c>
      <c r="I83" s="4" t="str">
        <f>IFERROR(__xludf.DUMMYFUNCTION("""COMPUTED_VALUE"""),"Begin at 00:08. Finish at 18:41.")</f>
        <v>Begin at 00:08. Finish at 18:41.</v>
      </c>
      <c r="J83" s="4" t="str">
        <f>IFERROR(__xludf.DUMMYFUNCTION("""COMPUTED_VALUE"""),"No")</f>
        <v>No</v>
      </c>
      <c r="K83" s="4" t="str">
        <f>IFERROR(__xludf.DUMMYFUNCTION("""COMPUTED_VALUE"""),"Rosario Dawson and Sara Sampaio discuss the rise of the celebrity activist")</f>
        <v>Rosario Dawson and Sara Sampaio discuss the rise of the celebrity activist</v>
      </c>
      <c r="L83" s="4" t="str">
        <f>IFERROR(__xludf.DUMMYFUNCTION("""COMPUTED_VALUE"""),"Rosario Dawson, Studio 189")</f>
        <v>Rosario Dawson, Studio 189</v>
      </c>
      <c r="M83" s="4" t="str">
        <f>IFERROR(__xludf.DUMMYFUNCTION("""COMPUTED_VALUE"""),"Sara Sampaio, Victoria's Secret")</f>
        <v>Sara Sampaio, Victoria's Secret</v>
      </c>
      <c r="N83" s="4" t="str">
        <f>IFERROR(__xludf.DUMMYFUNCTION("""COMPUTED_VALUE"""),"")</f>
        <v/>
      </c>
      <c r="O83" s="4" t="str">
        <f>IFERROR(__xludf.DUMMYFUNCTION("""COMPUTED_VALUE"""),"")</f>
        <v/>
      </c>
      <c r="P83" s="4" t="str">
        <f>IFERROR(__xludf.DUMMYFUNCTION("""COMPUTED_VALUE"""),"")</f>
        <v/>
      </c>
      <c r="Q83" s="4" t="str">
        <f>IFERROR(__xludf.DUMMYFUNCTION("""COMPUTED_VALUE"""),"Celebrities are often criticised for doing more harm than good. In 2018, Rosario Dawson and Sara Sampaio joined us at Web Summit to tell us about how they use their platforms to make a positive difference in the world – something that many could take a le"&amp;"sson from.")</f>
        <v>Celebrities are often criticised for doing more harm than good. In 2018, Rosario Dawson and Sara Sampaio joined us at Web Summit to tell us about how they use their platforms to make a positive difference in the world – something that many could take a lesson from.</v>
      </c>
      <c r="R83" s="4" t="str">
        <f>IFERROR(__xludf.DUMMYFUNCTION("""COMPUTED_VALUE"""),"")</f>
        <v/>
      </c>
    </row>
    <row r="84">
      <c r="A84" s="4" t="str">
        <f>IFERROR(__xludf.DUMMYFUNCTION("""COMPUTED_VALUE"""),"84 - Channel 5")</f>
        <v>84 - Channel 5</v>
      </c>
      <c r="B84" s="4" t="str">
        <f>IFERROR(__xludf.DUMMYFUNCTION("""COMPUTED_VALUE"""),"Day 1 - 23/06")</f>
        <v>Day 1 - 23/06</v>
      </c>
      <c r="C84" s="6">
        <f>IFERROR(__xludf.DUMMYFUNCTION("""COMPUTED_VALUE"""),0.7001388888888904)</f>
        <v>0.7001388889</v>
      </c>
      <c r="D84" s="8">
        <f>IFERROR(__xludf.DUMMYFUNCTION("""COMPUTED_VALUE"""),1.7361111111111112E-4)</f>
        <v>0.0001736111111</v>
      </c>
      <c r="E84" s="6">
        <f>IFERROR(__xludf.DUMMYFUNCTION("""COMPUTED_VALUE"""),0.7003125000000016)</f>
        <v>0.7003125</v>
      </c>
      <c r="F84" s="4" t="str">
        <f>IFERROR(__xludf.DUMMYFUNCTION("""COMPUTED_VALUE"""),"")</f>
        <v/>
      </c>
      <c r="G84" s="4" t="str">
        <f>IFERROR(__xludf.DUMMYFUNCTION("""COMPUTED_VALUE"""),"")</f>
        <v/>
      </c>
      <c r="H84" s="4" t="str">
        <f>IFERROR(__xludf.DUMMYFUNCTION("""COMPUTED_VALUE"""),"")</f>
        <v/>
      </c>
      <c r="I84" s="4" t="str">
        <f>IFERROR(__xludf.DUMMYFUNCTION("""COMPUTED_VALUE"""),"")</f>
        <v/>
      </c>
      <c r="J84" s="4" t="str">
        <f>IFERROR(__xludf.DUMMYFUNCTION("""COMPUTED_VALUE"""),"")</f>
        <v/>
      </c>
      <c r="K84" s="4" t="str">
        <f>IFERROR(__xludf.DUMMYFUNCTION("""COMPUTED_VALUE"""),"Talk Outro")</f>
        <v>Talk Outro</v>
      </c>
      <c r="L84" s="4" t="str">
        <f>IFERROR(__xludf.DUMMYFUNCTION("""COMPUTED_VALUE"""),"")</f>
        <v/>
      </c>
      <c r="M84" s="4" t="str">
        <f>IFERROR(__xludf.DUMMYFUNCTION("""COMPUTED_VALUE"""),"")</f>
        <v/>
      </c>
      <c r="N84" s="4" t="str">
        <f>IFERROR(__xludf.DUMMYFUNCTION("""COMPUTED_VALUE"""),"")</f>
        <v/>
      </c>
      <c r="O84" s="4" t="str">
        <f>IFERROR(__xludf.DUMMYFUNCTION("""COMPUTED_VALUE"""),"")</f>
        <v/>
      </c>
      <c r="P84" s="4" t="str">
        <f>IFERROR(__xludf.DUMMYFUNCTION("""COMPUTED_VALUE"""),"")</f>
        <v/>
      </c>
      <c r="Q84" s="4" t="str">
        <f>IFERROR(__xludf.DUMMYFUNCTION("""COMPUTED_VALUE"""),"")</f>
        <v/>
      </c>
      <c r="R84" s="4" t="str">
        <f>IFERROR(__xludf.DUMMYFUNCTION("""COMPUTED_VALUE"""),"")</f>
        <v/>
      </c>
    </row>
    <row r="85">
      <c r="A85" s="4" t="str">
        <f>IFERROR(__xludf.DUMMYFUNCTION("""COMPUTED_VALUE"""),"85 - Channel 5")</f>
        <v>85 - Channel 5</v>
      </c>
      <c r="B85" s="4" t="str">
        <f>IFERROR(__xludf.DUMMYFUNCTION("""COMPUTED_VALUE"""),"Day 1 - 23/06")</f>
        <v>Day 1 - 23/06</v>
      </c>
      <c r="C85" s="6">
        <f>IFERROR(__xludf.DUMMYFUNCTION("""COMPUTED_VALUE"""),0.7003125000000016)</f>
        <v>0.7003125</v>
      </c>
      <c r="D85" s="8">
        <f>IFERROR(__xludf.DUMMYFUNCTION("""COMPUTED_VALUE"""),2.0833333333333335E-4)</f>
        <v>0.0002083333333</v>
      </c>
      <c r="E85" s="6">
        <f>IFERROR(__xludf.DUMMYFUNCTION("""COMPUTED_VALUE"""),0.7005208333333349)</f>
        <v>0.7005208333</v>
      </c>
      <c r="F85" s="4" t="str">
        <f>IFERROR(__xludf.DUMMYFUNCTION("""COMPUTED_VALUE"""),"")</f>
        <v/>
      </c>
      <c r="G85" s="4" t="str">
        <f>IFERROR(__xludf.DUMMYFUNCTION("""COMPUTED_VALUE"""),"")</f>
        <v/>
      </c>
      <c r="H85" s="4" t="str">
        <f>IFERROR(__xludf.DUMMYFUNCTION("""COMPUTED_VALUE"""),"")</f>
        <v/>
      </c>
      <c r="I85" s="4" t="str">
        <f>IFERROR(__xludf.DUMMYFUNCTION("""COMPUTED_VALUE"""),"")</f>
        <v/>
      </c>
      <c r="J85" s="4" t="str">
        <f>IFERROR(__xludf.DUMMYFUNCTION("""COMPUTED_VALUE"""),"")</f>
        <v/>
      </c>
      <c r="K85" s="4" t="str">
        <f>IFERROR(__xludf.DUMMYFUNCTION("""COMPUTED_VALUE"""),"Holding Graphic")</f>
        <v>Holding Graphic</v>
      </c>
      <c r="L85" s="4" t="str">
        <f>IFERROR(__xludf.DUMMYFUNCTION("""COMPUTED_VALUE"""),"")</f>
        <v/>
      </c>
      <c r="M85" s="4" t="str">
        <f>IFERROR(__xludf.DUMMYFUNCTION("""COMPUTED_VALUE"""),"")</f>
        <v/>
      </c>
      <c r="N85" s="4" t="str">
        <f>IFERROR(__xludf.DUMMYFUNCTION("""COMPUTED_VALUE"""),"")</f>
        <v/>
      </c>
      <c r="O85" s="4" t="str">
        <f>IFERROR(__xludf.DUMMYFUNCTION("""COMPUTED_VALUE"""),"")</f>
        <v/>
      </c>
      <c r="P85" s="4" t="str">
        <f>IFERROR(__xludf.DUMMYFUNCTION("""COMPUTED_VALUE"""),"")</f>
        <v/>
      </c>
      <c r="Q85" s="4" t="str">
        <f>IFERROR(__xludf.DUMMYFUNCTION("""COMPUTED_VALUE"""),"")</f>
        <v/>
      </c>
      <c r="R85" s="4" t="str">
        <f>IFERROR(__xludf.DUMMYFUNCTION("""COMPUTED_VALUE"""),"")</f>
        <v/>
      </c>
    </row>
    <row r="86">
      <c r="A86" s="4" t="str">
        <f>IFERROR(__xludf.DUMMYFUNCTION("""COMPUTED_VALUE"""),"86 - Channel 5")</f>
        <v>86 - Channel 5</v>
      </c>
      <c r="B86" s="4" t="str">
        <f>IFERROR(__xludf.DUMMYFUNCTION("""COMPUTED_VALUE"""),"Day 1 - 23/06")</f>
        <v>Day 1 - 23/06</v>
      </c>
      <c r="C86" s="6">
        <f>IFERROR(__xludf.DUMMYFUNCTION("""COMPUTED_VALUE"""),0.7005208333333349)</f>
        <v>0.7005208333</v>
      </c>
      <c r="D86" s="8">
        <f>IFERROR(__xludf.DUMMYFUNCTION("""COMPUTED_VALUE"""),3.4722222222222224E-4)</f>
        <v>0.0003472222222</v>
      </c>
      <c r="E86" s="6">
        <f>IFERROR(__xludf.DUMMYFUNCTION("""COMPUTED_VALUE"""),0.7008680555555572)</f>
        <v>0.7008680556</v>
      </c>
      <c r="F86" s="4" t="str">
        <f>IFERROR(__xludf.DUMMYFUNCTION("""COMPUTED_VALUE"""),"")</f>
        <v/>
      </c>
      <c r="G86" s="4" t="str">
        <f>IFERROR(__xludf.DUMMYFUNCTION("""COMPUTED_VALUE"""),"")</f>
        <v/>
      </c>
      <c r="H86" s="4" t="str">
        <f>IFERROR(__xludf.DUMMYFUNCTION("""COMPUTED_VALUE"""),"")</f>
        <v/>
      </c>
      <c r="I86" s="4" t="str">
        <f>IFERROR(__xludf.DUMMYFUNCTION("""COMPUTED_VALUE"""),"")</f>
        <v/>
      </c>
      <c r="J86" s="4" t="str">
        <f>IFERROR(__xludf.DUMMYFUNCTION("""COMPUTED_VALUE"""),"")</f>
        <v/>
      </c>
      <c r="K86" s="4" t="str">
        <f>IFERROR(__xludf.DUMMYFUNCTION("""COMPUTED_VALUE"""),"Web Summit Trailer - short")</f>
        <v>Web Summit Trailer - short</v>
      </c>
      <c r="L86" s="4" t="str">
        <f>IFERROR(__xludf.DUMMYFUNCTION("""COMPUTED_VALUE"""),"")</f>
        <v/>
      </c>
      <c r="M86" s="4" t="str">
        <f>IFERROR(__xludf.DUMMYFUNCTION("""COMPUTED_VALUE"""),"")</f>
        <v/>
      </c>
      <c r="N86" s="4" t="str">
        <f>IFERROR(__xludf.DUMMYFUNCTION("""COMPUTED_VALUE"""),"")</f>
        <v/>
      </c>
      <c r="O86" s="4" t="str">
        <f>IFERROR(__xludf.DUMMYFUNCTION("""COMPUTED_VALUE"""),"")</f>
        <v/>
      </c>
      <c r="P86" s="4" t="str">
        <f>IFERROR(__xludf.DUMMYFUNCTION("""COMPUTED_VALUE"""),"")</f>
        <v/>
      </c>
      <c r="Q86" s="4" t="str">
        <f>IFERROR(__xludf.DUMMYFUNCTION("""COMPUTED_VALUE"""),"")</f>
        <v/>
      </c>
      <c r="R86" s="4" t="str">
        <f>IFERROR(__xludf.DUMMYFUNCTION("""COMPUTED_VALUE"""),"")</f>
        <v/>
      </c>
    </row>
    <row r="87">
      <c r="A87" s="4" t="str">
        <f>IFERROR(__xludf.DUMMYFUNCTION("""COMPUTED_VALUE"""),"87 - Channel 5")</f>
        <v>87 - Channel 5</v>
      </c>
      <c r="B87" s="4" t="str">
        <f>IFERROR(__xludf.DUMMYFUNCTION("""COMPUTED_VALUE"""),"Day 1 - 23/06")</f>
        <v>Day 1 - 23/06</v>
      </c>
      <c r="C87" s="6">
        <f>IFERROR(__xludf.DUMMYFUNCTION("""COMPUTED_VALUE"""),0.7008680555555572)</f>
        <v>0.7008680556</v>
      </c>
      <c r="D87" s="8">
        <f>IFERROR(__xludf.DUMMYFUNCTION("""COMPUTED_VALUE"""),3.4722222222222224E-4)</f>
        <v>0.0003472222222</v>
      </c>
      <c r="E87" s="6">
        <f>IFERROR(__xludf.DUMMYFUNCTION("""COMPUTED_VALUE"""),0.7012152777777795)</f>
        <v>0.7012152778</v>
      </c>
      <c r="F87" s="4" t="str">
        <f>IFERROR(__xludf.DUMMYFUNCTION("""COMPUTED_VALUE"""),"")</f>
        <v/>
      </c>
      <c r="G87" s="4" t="str">
        <f>IFERROR(__xludf.DUMMYFUNCTION("""COMPUTED_VALUE"""),"")</f>
        <v/>
      </c>
      <c r="H87" s="4" t="str">
        <f>IFERROR(__xludf.DUMMYFUNCTION("""COMPUTED_VALUE"""),"")</f>
        <v/>
      </c>
      <c r="I87" s="4" t="str">
        <f>IFERROR(__xludf.DUMMYFUNCTION("""COMPUTED_VALUE"""),"")</f>
        <v/>
      </c>
      <c r="J87" s="4" t="str">
        <f>IFERROR(__xludf.DUMMYFUNCTION("""COMPUTED_VALUE"""),"")</f>
        <v/>
      </c>
      <c r="K87" s="4" t="str">
        <f>IFERROR(__xludf.DUMMYFUNCTION("""COMPUTED_VALUE"""),"Talk Intro")</f>
        <v>Talk Intro</v>
      </c>
      <c r="L87" s="4" t="str">
        <f>IFERROR(__xludf.DUMMYFUNCTION("""COMPUTED_VALUE"""),"")</f>
        <v/>
      </c>
      <c r="M87" s="4" t="str">
        <f>IFERROR(__xludf.DUMMYFUNCTION("""COMPUTED_VALUE"""),"")</f>
        <v/>
      </c>
      <c r="N87" s="4" t="str">
        <f>IFERROR(__xludf.DUMMYFUNCTION("""COMPUTED_VALUE"""),"")</f>
        <v/>
      </c>
      <c r="O87" s="4" t="str">
        <f>IFERROR(__xludf.DUMMYFUNCTION("""COMPUTED_VALUE"""),"")</f>
        <v/>
      </c>
      <c r="P87" s="4" t="str">
        <f>IFERROR(__xludf.DUMMYFUNCTION("""COMPUTED_VALUE"""),"")</f>
        <v/>
      </c>
      <c r="Q87" s="4" t="str">
        <f>IFERROR(__xludf.DUMMYFUNCTION("""COMPUTED_VALUE"""),"")</f>
        <v/>
      </c>
      <c r="R87" s="4" t="str">
        <f>IFERROR(__xludf.DUMMYFUNCTION("""COMPUTED_VALUE"""),"")</f>
        <v/>
      </c>
    </row>
    <row r="88">
      <c r="A88" s="4" t="str">
        <f>IFERROR(__xludf.DUMMYFUNCTION("""COMPUTED_VALUE"""),"88 - Channel 5")</f>
        <v>88 - Channel 5</v>
      </c>
      <c r="B88" s="4" t="str">
        <f>IFERROR(__xludf.DUMMYFUNCTION("""COMPUTED_VALUE"""),"Day 1 - 23/06")</f>
        <v>Day 1 - 23/06</v>
      </c>
      <c r="C88" s="6">
        <f>IFERROR(__xludf.DUMMYFUNCTION("""COMPUTED_VALUE"""),0.7012152777777795)</f>
        <v>0.7012152778</v>
      </c>
      <c r="D88" s="8">
        <f>IFERROR(__xludf.DUMMYFUNCTION("""COMPUTED_VALUE"""),0.006944444444444444)</f>
        <v>0.006944444444</v>
      </c>
      <c r="E88" s="6">
        <f>IFERROR(__xludf.DUMMYFUNCTION("""COMPUTED_VALUE"""),0.7081597222222239)</f>
        <v>0.7081597222</v>
      </c>
      <c r="F88" s="4" t="str">
        <f>IFERROR(__xludf.DUMMYFUNCTION("""COMPUTED_VALUE"""),"Social Media")</f>
        <v>Social Media</v>
      </c>
      <c r="G88" s="4" t="str">
        <f>IFERROR(__xludf.DUMMYFUNCTION("""COMPUTED_VALUE"""),"")</f>
        <v/>
      </c>
      <c r="H88" s="4" t="str">
        <f>IFERROR(__xludf.DUMMYFUNCTION("""COMPUTED_VALUE"""),"")</f>
        <v/>
      </c>
      <c r="I88" s="4" t="str">
        <f>IFERROR(__xludf.DUMMYFUNCTION("""COMPUTED_VALUE"""),"")</f>
        <v/>
      </c>
      <c r="J88" s="4" t="str">
        <f>IFERROR(__xludf.DUMMYFUNCTION("""COMPUTED_VALUE"""),"No")</f>
        <v>No</v>
      </c>
      <c r="K88" s="4" t="str">
        <f>IFERROR(__xludf.DUMMYFUNCTION("""COMPUTED_VALUE"""),"Top 5 entertainers")</f>
        <v>Top 5 entertainers</v>
      </c>
      <c r="L88" s="4" t="str">
        <f>IFERROR(__xludf.DUMMYFUNCTION("""COMPUTED_VALUE"""),"Hannibal Buress, Hannibal Buress")</f>
        <v>Hannibal Buress, Hannibal Buress</v>
      </c>
      <c r="M88" s="4" t="str">
        <f>IFERROR(__xludf.DUMMYFUNCTION("""COMPUTED_VALUE"""),"David Schneider, That Lot")</f>
        <v>David Schneider, That Lot</v>
      </c>
      <c r="N88" s="4" t="str">
        <f>IFERROR(__xludf.DUMMYFUNCTION("""COMPUTED_VALUE"""),"Sophia Bush, Brilliant Anatomy")</f>
        <v>Sophia Bush, Brilliant Anatomy</v>
      </c>
      <c r="O88" s="4" t="str">
        <f>IFERROR(__xludf.DUMMYFUNCTION("""COMPUTED_VALUE"""),"Wyclef Jean, Wyclef Jean")</f>
        <v>Wyclef Jean, Wyclef Jean</v>
      </c>
      <c r="P88" s="4" t="str">
        <f>IFERROR(__xludf.DUMMYFUNCTION("""COMPUTED_VALUE"""),"Shailene Woodley, Shailene Woodley")</f>
        <v>Shailene Woodley, Shailene Woodley</v>
      </c>
      <c r="Q88" s="4" t="str">
        <f>IFERROR(__xludf.DUMMYFUNCTION("""COMPUTED_VALUE"""),"Featuring Hannibal Buress, David Schneider, Sophia Bush, Wyclef Jean and Shailene Woodley. Making people laugh and cry is a talent that many entertainers strive for. These five are all able to draw out our emotions with their performances, comedic or othe"&amp;"rwise. Strap in and prepare to be entertained!")</f>
        <v>Featuring Hannibal Buress, David Schneider, Sophia Bush, Wyclef Jean and Shailene Woodley. Making people laugh and cry is a talent that many entertainers strive for. These five are all able to draw out our emotions with their performances, comedic or otherwise. Strap in and prepare to be entertained!</v>
      </c>
      <c r="R88" s="4" t="str">
        <f>IFERROR(__xludf.DUMMYFUNCTION("""COMPUTED_VALUE"""),"")</f>
        <v/>
      </c>
    </row>
    <row r="89">
      <c r="A89" s="4" t="str">
        <f>IFERROR(__xludf.DUMMYFUNCTION("""COMPUTED_VALUE"""),"89 - Channel 5")</f>
        <v>89 - Channel 5</v>
      </c>
      <c r="B89" s="4" t="str">
        <f>IFERROR(__xludf.DUMMYFUNCTION("""COMPUTED_VALUE"""),"Day 1 - 23/06")</f>
        <v>Day 1 - 23/06</v>
      </c>
      <c r="C89" s="6">
        <f>IFERROR(__xludf.DUMMYFUNCTION("""COMPUTED_VALUE"""),0.7081597222222239)</f>
        <v>0.7081597222</v>
      </c>
      <c r="D89" s="8">
        <f>IFERROR(__xludf.DUMMYFUNCTION("""COMPUTED_VALUE"""),1.7361111111111112E-4)</f>
        <v>0.0001736111111</v>
      </c>
      <c r="E89" s="6">
        <f>IFERROR(__xludf.DUMMYFUNCTION("""COMPUTED_VALUE"""),0.708333333333335)</f>
        <v>0.7083333333</v>
      </c>
      <c r="F89" s="4" t="str">
        <f>IFERROR(__xludf.DUMMYFUNCTION("""COMPUTED_VALUE"""),"")</f>
        <v/>
      </c>
      <c r="G89" s="4" t="str">
        <f>IFERROR(__xludf.DUMMYFUNCTION("""COMPUTED_VALUE"""),"")</f>
        <v/>
      </c>
      <c r="H89" s="4" t="str">
        <f>IFERROR(__xludf.DUMMYFUNCTION("""COMPUTED_VALUE"""),"")</f>
        <v/>
      </c>
      <c r="I89" s="4" t="str">
        <f>IFERROR(__xludf.DUMMYFUNCTION("""COMPUTED_VALUE"""),"")</f>
        <v/>
      </c>
      <c r="J89" s="4" t="str">
        <f>IFERROR(__xludf.DUMMYFUNCTION("""COMPUTED_VALUE"""),"")</f>
        <v/>
      </c>
      <c r="K89" s="4" t="str">
        <f>IFERROR(__xludf.DUMMYFUNCTION("""COMPUTED_VALUE"""),"Talk Outro")</f>
        <v>Talk Outro</v>
      </c>
      <c r="L89" s="4" t="str">
        <f>IFERROR(__xludf.DUMMYFUNCTION("""COMPUTED_VALUE"""),"")</f>
        <v/>
      </c>
      <c r="M89" s="4" t="str">
        <f>IFERROR(__xludf.DUMMYFUNCTION("""COMPUTED_VALUE"""),"")</f>
        <v/>
      </c>
      <c r="N89" s="4" t="str">
        <f>IFERROR(__xludf.DUMMYFUNCTION("""COMPUTED_VALUE"""),"")</f>
        <v/>
      </c>
      <c r="O89" s="4" t="str">
        <f>IFERROR(__xludf.DUMMYFUNCTION("""COMPUTED_VALUE"""),"")</f>
        <v/>
      </c>
      <c r="P89" s="4" t="str">
        <f>IFERROR(__xludf.DUMMYFUNCTION("""COMPUTED_VALUE"""),"")</f>
        <v/>
      </c>
      <c r="Q89" s="4" t="str">
        <f>IFERROR(__xludf.DUMMYFUNCTION("""COMPUTED_VALUE"""),"")</f>
        <v/>
      </c>
      <c r="R89" s="4" t="str">
        <f>IFERROR(__xludf.DUMMYFUNCTION("""COMPUTED_VALUE"""),"")</f>
        <v/>
      </c>
    </row>
    <row r="90">
      <c r="A90" s="4" t="str">
        <f>IFERROR(__xludf.DUMMYFUNCTION("""COMPUTED_VALUE"""),"90 - Channel 5")</f>
        <v>90 - Channel 5</v>
      </c>
      <c r="B90" s="4" t="str">
        <f>IFERROR(__xludf.DUMMYFUNCTION("""COMPUTED_VALUE"""),"DAY 2 - Wednesday, 24 June")</f>
        <v>DAY 2 - Wednesday, 24 June</v>
      </c>
      <c r="C90" s="4" t="str">
        <f>IFERROR(__xludf.DUMMYFUNCTION("""COMPUTED_VALUE"""),"")</f>
        <v/>
      </c>
      <c r="D90" s="4" t="str">
        <f>IFERROR(__xludf.DUMMYFUNCTION("""COMPUTED_VALUE"""),"")</f>
        <v/>
      </c>
      <c r="E90" s="4" t="str">
        <f>IFERROR(__xludf.DUMMYFUNCTION("""COMPUTED_VALUE"""),"")</f>
        <v/>
      </c>
      <c r="F90" s="4" t="str">
        <f>IFERROR(__xludf.DUMMYFUNCTION("""COMPUTED_VALUE"""),"")</f>
        <v/>
      </c>
      <c r="G90" s="4" t="str">
        <f>IFERROR(__xludf.DUMMYFUNCTION("""COMPUTED_VALUE"""),"")</f>
        <v/>
      </c>
      <c r="H90" s="4" t="str">
        <f>IFERROR(__xludf.DUMMYFUNCTION("""COMPUTED_VALUE"""),"")</f>
        <v/>
      </c>
      <c r="I90" s="4" t="str">
        <f>IFERROR(__xludf.DUMMYFUNCTION("""COMPUTED_VALUE"""),"")</f>
        <v/>
      </c>
      <c r="J90" s="4" t="str">
        <f>IFERROR(__xludf.DUMMYFUNCTION("""COMPUTED_VALUE"""),"")</f>
        <v/>
      </c>
      <c r="K90" s="4" t="str">
        <f>IFERROR(__xludf.DUMMYFUNCTION("""COMPUTED_VALUE"""),"")</f>
        <v/>
      </c>
      <c r="L90" s="4" t="str">
        <f>IFERROR(__xludf.DUMMYFUNCTION("""COMPUTED_VALUE"""),"")</f>
        <v/>
      </c>
      <c r="M90" s="4" t="str">
        <f>IFERROR(__xludf.DUMMYFUNCTION("""COMPUTED_VALUE"""),"")</f>
        <v/>
      </c>
      <c r="N90" s="4" t="str">
        <f>IFERROR(__xludf.DUMMYFUNCTION("""COMPUTED_VALUE"""),"")</f>
        <v/>
      </c>
      <c r="O90" s="4" t="str">
        <f>IFERROR(__xludf.DUMMYFUNCTION("""COMPUTED_VALUE"""),"")</f>
        <v/>
      </c>
      <c r="P90" s="4" t="str">
        <f>IFERROR(__xludf.DUMMYFUNCTION("""COMPUTED_VALUE"""),"")</f>
        <v/>
      </c>
      <c r="Q90" s="4" t="str">
        <f>IFERROR(__xludf.DUMMYFUNCTION("""COMPUTED_VALUE"""),"")</f>
        <v/>
      </c>
      <c r="R90" s="4" t="str">
        <f>IFERROR(__xludf.DUMMYFUNCTION("""COMPUTED_VALUE"""),"")</f>
        <v/>
      </c>
    </row>
    <row r="91">
      <c r="A91" s="4" t="str">
        <f>IFERROR(__xludf.DUMMYFUNCTION("""COMPUTED_VALUE"""),"91 - Channel 5")</f>
        <v>91 - Channel 5</v>
      </c>
      <c r="B91" s="4" t="str">
        <f>IFERROR(__xludf.DUMMYFUNCTION("""COMPUTED_VALUE"""),"Day 2 - 24/06")</f>
        <v>Day 2 - 24/06</v>
      </c>
      <c r="C91" s="6">
        <f>IFERROR(__xludf.DUMMYFUNCTION("""COMPUTED_VALUE"""),0.4166666666666667)</f>
        <v>0.4166666667</v>
      </c>
      <c r="D91" s="8">
        <f>IFERROR(__xludf.DUMMYFUNCTION("""COMPUTED_VALUE"""),6.944444444444445E-4)</f>
        <v>0.0006944444444</v>
      </c>
      <c r="E91" s="6">
        <f>IFERROR(__xludf.DUMMYFUNCTION("""COMPUTED_VALUE"""),0.4173611111111111)</f>
        <v>0.4173611111</v>
      </c>
      <c r="F91" s="4" t="str">
        <f>IFERROR(__xludf.DUMMYFUNCTION("""COMPUTED_VALUE"""),"")</f>
        <v/>
      </c>
      <c r="G91" s="4" t="str">
        <f>IFERROR(__xludf.DUMMYFUNCTION("""COMPUTED_VALUE"""),"")</f>
        <v/>
      </c>
      <c r="H91" s="4" t="str">
        <f>IFERROR(__xludf.DUMMYFUNCTION("""COMPUTED_VALUE"""),"")</f>
        <v/>
      </c>
      <c r="I91" s="4" t="str">
        <f>IFERROR(__xludf.DUMMYFUNCTION("""COMPUTED_VALUE"""),"")</f>
        <v/>
      </c>
      <c r="J91" s="4" t="str">
        <f>IFERROR(__xludf.DUMMYFUNCTION("""COMPUTED_VALUE"""),"")</f>
        <v/>
      </c>
      <c r="K91" s="4" t="str">
        <f>IFERROR(__xludf.DUMMYFUNCTION("""COMPUTED_VALUE"""),"Collision from Home Day Intro")</f>
        <v>Collision from Home Day Intro</v>
      </c>
      <c r="L91" s="4" t="str">
        <f>IFERROR(__xludf.DUMMYFUNCTION("""COMPUTED_VALUE"""),"")</f>
        <v/>
      </c>
      <c r="M91" s="4" t="str">
        <f>IFERROR(__xludf.DUMMYFUNCTION("""COMPUTED_VALUE"""),"")</f>
        <v/>
      </c>
      <c r="N91" s="4" t="str">
        <f>IFERROR(__xludf.DUMMYFUNCTION("""COMPUTED_VALUE"""),"")</f>
        <v/>
      </c>
      <c r="O91" s="4" t="str">
        <f>IFERROR(__xludf.DUMMYFUNCTION("""COMPUTED_VALUE"""),"")</f>
        <v/>
      </c>
      <c r="P91" s="4" t="str">
        <f>IFERROR(__xludf.DUMMYFUNCTION("""COMPUTED_VALUE"""),"")</f>
        <v/>
      </c>
      <c r="Q91" s="4" t="str">
        <f>IFERROR(__xludf.DUMMYFUNCTION("""COMPUTED_VALUE"""),"")</f>
        <v/>
      </c>
      <c r="R91" s="4" t="str">
        <f>IFERROR(__xludf.DUMMYFUNCTION("""COMPUTED_VALUE"""),"")</f>
        <v/>
      </c>
    </row>
    <row r="92">
      <c r="A92" s="4" t="str">
        <f>IFERROR(__xludf.DUMMYFUNCTION("""COMPUTED_VALUE"""),"92 - Channel 5")</f>
        <v>92 - Channel 5</v>
      </c>
      <c r="B92" s="4" t="str">
        <f>IFERROR(__xludf.DUMMYFUNCTION("""COMPUTED_VALUE"""),"Day 2 - 24/06")</f>
        <v>Day 2 - 24/06</v>
      </c>
      <c r="C92" s="6">
        <f>IFERROR(__xludf.DUMMYFUNCTION("""COMPUTED_VALUE"""),0.4173611111111111)</f>
        <v>0.4173611111</v>
      </c>
      <c r="D92" s="8">
        <f>IFERROR(__xludf.DUMMYFUNCTION("""COMPUTED_VALUE"""),3.4722222222222224E-4)</f>
        <v>0.0003472222222</v>
      </c>
      <c r="E92" s="6">
        <f>IFERROR(__xludf.DUMMYFUNCTION("""COMPUTED_VALUE"""),0.41770833333333335)</f>
        <v>0.4177083333</v>
      </c>
      <c r="F92" s="4" t="str">
        <f>IFERROR(__xludf.DUMMYFUNCTION("""COMPUTED_VALUE"""),"")</f>
        <v/>
      </c>
      <c r="G92" s="4" t="str">
        <f>IFERROR(__xludf.DUMMYFUNCTION("""COMPUTED_VALUE"""),"")</f>
        <v/>
      </c>
      <c r="H92" s="4" t="str">
        <f>IFERROR(__xludf.DUMMYFUNCTION("""COMPUTED_VALUE"""),"")</f>
        <v/>
      </c>
      <c r="I92" s="4" t="str">
        <f>IFERROR(__xludf.DUMMYFUNCTION("""COMPUTED_VALUE"""),"")</f>
        <v/>
      </c>
      <c r="J92" s="4" t="str">
        <f>IFERROR(__xludf.DUMMYFUNCTION("""COMPUTED_VALUE"""),"")</f>
        <v/>
      </c>
      <c r="K92" s="4" t="str">
        <f>IFERROR(__xludf.DUMMYFUNCTION("""COMPUTED_VALUE"""),"Talk Intro")</f>
        <v>Talk Intro</v>
      </c>
      <c r="L92" s="4" t="str">
        <f>IFERROR(__xludf.DUMMYFUNCTION("""COMPUTED_VALUE"""),"")</f>
        <v/>
      </c>
      <c r="M92" s="4" t="str">
        <f>IFERROR(__xludf.DUMMYFUNCTION("""COMPUTED_VALUE"""),"")</f>
        <v/>
      </c>
      <c r="N92" s="4" t="str">
        <f>IFERROR(__xludf.DUMMYFUNCTION("""COMPUTED_VALUE"""),"")</f>
        <v/>
      </c>
      <c r="O92" s="4" t="str">
        <f>IFERROR(__xludf.DUMMYFUNCTION("""COMPUTED_VALUE"""),"")</f>
        <v/>
      </c>
      <c r="P92" s="4" t="str">
        <f>IFERROR(__xludf.DUMMYFUNCTION("""COMPUTED_VALUE"""),"")</f>
        <v/>
      </c>
      <c r="Q92" s="4" t="str">
        <f>IFERROR(__xludf.DUMMYFUNCTION("""COMPUTED_VALUE"""),"")</f>
        <v/>
      </c>
      <c r="R92" s="4" t="str">
        <f>IFERROR(__xludf.DUMMYFUNCTION("""COMPUTED_VALUE"""),"")</f>
        <v/>
      </c>
    </row>
    <row r="93">
      <c r="A93" s="4" t="str">
        <f>IFERROR(__xludf.DUMMYFUNCTION("""COMPUTED_VALUE"""),"93 - Channel 5")</f>
        <v>93 - Channel 5</v>
      </c>
      <c r="B93" s="4" t="str">
        <f>IFERROR(__xludf.DUMMYFUNCTION("""COMPUTED_VALUE"""),"Day 2 - 24/06")</f>
        <v>Day 2 - 24/06</v>
      </c>
      <c r="C93" s="6">
        <f>IFERROR(__xludf.DUMMYFUNCTION("""COMPUTED_VALUE"""),0.41770833333333335)</f>
        <v>0.4177083333</v>
      </c>
      <c r="D93" s="8">
        <f>IFERROR(__xludf.DUMMYFUNCTION("""COMPUTED_VALUE"""),0.01769675925925926)</f>
        <v>0.01769675926</v>
      </c>
      <c r="E93" s="6">
        <f>IFERROR(__xludf.DUMMYFUNCTION("""COMPUTED_VALUE"""),0.43540509259259264)</f>
        <v>0.4354050926</v>
      </c>
      <c r="F93" s="4" t="str">
        <f>IFERROR(__xludf.DUMMYFUNCTION("""COMPUTED_VALUE"""),"SaaS")</f>
        <v>SaaS</v>
      </c>
      <c r="G93" s="4" t="str">
        <f>IFERROR(__xludf.DUMMYFUNCTION("""COMPUTED_VALUE"""),"Web Summit 2014")</f>
        <v>Web Summit 2014</v>
      </c>
      <c r="H93" s="21" t="str">
        <f>IFERROR(__xludf.DUMMYFUNCTION("""COMPUTED_VALUE"""),"https://www.youtube.com/watch?v=Hak7KCoUqTg")</f>
        <v>https://www.youtube.com/watch?v=Hak7KCoUqTg</v>
      </c>
      <c r="I93" s="4" t="str">
        <f>IFERROR(__xludf.DUMMYFUNCTION("""COMPUTED_VALUE"""),"Start on 00:03. Finish at 25:32.")</f>
        <v>Start on 00:03. Finish at 25:32.</v>
      </c>
      <c r="J93" s="4" t="str">
        <f>IFERROR(__xludf.DUMMYFUNCTION("""COMPUTED_VALUE"""),"No")</f>
        <v>No</v>
      </c>
      <c r="K93" s="4" t="str">
        <f>IFERROR(__xludf.DUMMYFUNCTION("""COMPUTED_VALUE"""),"Building a billion dollar company with Drew Houston")</f>
        <v>Building a billion dollar company with Drew Houston</v>
      </c>
      <c r="L93" s="4" t="str">
        <f>IFERROR(__xludf.DUMMYFUNCTION("""COMPUTED_VALUE"""),"Drew Houston, Dropbox")</f>
        <v>Drew Houston, Dropbox</v>
      </c>
      <c r="M93" s="4" t="str">
        <f>IFERROR(__xludf.DUMMYFUNCTION("""COMPUTED_VALUE"""),"")</f>
        <v/>
      </c>
      <c r="N93" s="4" t="str">
        <f>IFERROR(__xludf.DUMMYFUNCTION("""COMPUTED_VALUE"""),"")</f>
        <v/>
      </c>
      <c r="O93" s="4" t="str">
        <f>IFERROR(__xludf.DUMMYFUNCTION("""COMPUTED_VALUE"""),"")</f>
        <v/>
      </c>
      <c r="P93" s="4" t="str">
        <f>IFERROR(__xludf.DUMMYFUNCTION("""COMPUTED_VALUE"""),"")</f>
        <v/>
      </c>
      <c r="Q93" s="4" t="str">
        <f>IFERROR(__xludf.DUMMYFUNCTION("""COMPUTED_VALUE"""),"Drew Houston went from eating hot pockets to leading Dropbox to a valuation of $1 billion. How did he get there and what did he learn along the way? Tune in to find out!")</f>
        <v>Drew Houston went from eating hot pockets to leading Dropbox to a valuation of $1 billion. How did he get there and what did he learn along the way? Tune in to find out!</v>
      </c>
      <c r="R93" s="4" t="str">
        <f>IFERROR(__xludf.DUMMYFUNCTION("""COMPUTED_VALUE"""),"")</f>
        <v/>
      </c>
    </row>
    <row r="94">
      <c r="A94" s="4" t="str">
        <f>IFERROR(__xludf.DUMMYFUNCTION("""COMPUTED_VALUE"""),"94 - Channel 5")</f>
        <v>94 - Channel 5</v>
      </c>
      <c r="B94" s="4" t="str">
        <f>IFERROR(__xludf.DUMMYFUNCTION("""COMPUTED_VALUE"""),"Day 2 - 24/06")</f>
        <v>Day 2 - 24/06</v>
      </c>
      <c r="C94" s="6">
        <f>IFERROR(__xludf.DUMMYFUNCTION("""COMPUTED_VALUE"""),0.43540509259259264)</f>
        <v>0.4354050926</v>
      </c>
      <c r="D94" s="8">
        <f>IFERROR(__xludf.DUMMYFUNCTION("""COMPUTED_VALUE"""),1.7361111111111112E-4)</f>
        <v>0.0001736111111</v>
      </c>
      <c r="E94" s="6">
        <f>IFERROR(__xludf.DUMMYFUNCTION("""COMPUTED_VALUE"""),0.4355787037037038)</f>
        <v>0.4355787037</v>
      </c>
      <c r="F94" s="4" t="str">
        <f>IFERROR(__xludf.DUMMYFUNCTION("""COMPUTED_VALUE"""),"")</f>
        <v/>
      </c>
      <c r="G94" s="4" t="str">
        <f>IFERROR(__xludf.DUMMYFUNCTION("""COMPUTED_VALUE"""),"")</f>
        <v/>
      </c>
      <c r="H94" s="4" t="str">
        <f>IFERROR(__xludf.DUMMYFUNCTION("""COMPUTED_VALUE"""),"")</f>
        <v/>
      </c>
      <c r="I94" s="4" t="str">
        <f>IFERROR(__xludf.DUMMYFUNCTION("""COMPUTED_VALUE"""),"")</f>
        <v/>
      </c>
      <c r="J94" s="4" t="str">
        <f>IFERROR(__xludf.DUMMYFUNCTION("""COMPUTED_VALUE"""),"")</f>
        <v/>
      </c>
      <c r="K94" s="4" t="str">
        <f>IFERROR(__xludf.DUMMYFUNCTION("""COMPUTED_VALUE"""),"Talk Outro")</f>
        <v>Talk Outro</v>
      </c>
      <c r="L94" s="4" t="str">
        <f>IFERROR(__xludf.DUMMYFUNCTION("""COMPUTED_VALUE"""),"")</f>
        <v/>
      </c>
      <c r="M94" s="4" t="str">
        <f>IFERROR(__xludf.DUMMYFUNCTION("""COMPUTED_VALUE"""),"")</f>
        <v/>
      </c>
      <c r="N94" s="4" t="str">
        <f>IFERROR(__xludf.DUMMYFUNCTION("""COMPUTED_VALUE"""),"")</f>
        <v/>
      </c>
      <c r="O94" s="4" t="str">
        <f>IFERROR(__xludf.DUMMYFUNCTION("""COMPUTED_VALUE"""),"")</f>
        <v/>
      </c>
      <c r="P94" s="4" t="str">
        <f>IFERROR(__xludf.DUMMYFUNCTION("""COMPUTED_VALUE"""),"")</f>
        <v/>
      </c>
      <c r="Q94" s="4" t="str">
        <f>IFERROR(__xludf.DUMMYFUNCTION("""COMPUTED_VALUE"""),"")</f>
        <v/>
      </c>
      <c r="R94" s="4" t="str">
        <f>IFERROR(__xludf.DUMMYFUNCTION("""COMPUTED_VALUE"""),"")</f>
        <v/>
      </c>
    </row>
    <row r="95">
      <c r="A95" s="4" t="str">
        <f>IFERROR(__xludf.DUMMYFUNCTION("""COMPUTED_VALUE"""),"95 - Channel 5")</f>
        <v>95 - Channel 5</v>
      </c>
      <c r="B95" s="4" t="str">
        <f>IFERROR(__xludf.DUMMYFUNCTION("""COMPUTED_VALUE"""),"Day 2 - 24/06")</f>
        <v>Day 2 - 24/06</v>
      </c>
      <c r="C95" s="6">
        <f>IFERROR(__xludf.DUMMYFUNCTION("""COMPUTED_VALUE"""),0.4355787037037038)</f>
        <v>0.4355787037</v>
      </c>
      <c r="D95" s="8">
        <f>IFERROR(__xludf.DUMMYFUNCTION("""COMPUTED_VALUE"""),3.4722222222222224E-4)</f>
        <v>0.0003472222222</v>
      </c>
      <c r="E95" s="6">
        <f>IFERROR(__xludf.DUMMYFUNCTION("""COMPUTED_VALUE"""),0.435925925925926)</f>
        <v>0.4359259259</v>
      </c>
      <c r="F95" s="4" t="str">
        <f>IFERROR(__xludf.DUMMYFUNCTION("""COMPUTED_VALUE"""),"")</f>
        <v/>
      </c>
      <c r="G95" s="4" t="str">
        <f>IFERROR(__xludf.DUMMYFUNCTION("""COMPUTED_VALUE"""),"")</f>
        <v/>
      </c>
      <c r="H95" s="4" t="str">
        <f>IFERROR(__xludf.DUMMYFUNCTION("""COMPUTED_VALUE"""),"")</f>
        <v/>
      </c>
      <c r="I95" s="4" t="str">
        <f>IFERROR(__xludf.DUMMYFUNCTION("""COMPUTED_VALUE"""),"")</f>
        <v/>
      </c>
      <c r="J95" s="4" t="str">
        <f>IFERROR(__xludf.DUMMYFUNCTION("""COMPUTED_VALUE"""),"")</f>
        <v/>
      </c>
      <c r="K95" s="4" t="str">
        <f>IFERROR(__xludf.DUMMYFUNCTION("""COMPUTED_VALUE"""),"Web Summit Trailer - Short")</f>
        <v>Web Summit Trailer - Short</v>
      </c>
      <c r="L95" s="4" t="str">
        <f>IFERROR(__xludf.DUMMYFUNCTION("""COMPUTED_VALUE"""),"")</f>
        <v/>
      </c>
      <c r="M95" s="4" t="str">
        <f>IFERROR(__xludf.DUMMYFUNCTION("""COMPUTED_VALUE"""),"")</f>
        <v/>
      </c>
      <c r="N95" s="4" t="str">
        <f>IFERROR(__xludf.DUMMYFUNCTION("""COMPUTED_VALUE"""),"")</f>
        <v/>
      </c>
      <c r="O95" s="4" t="str">
        <f>IFERROR(__xludf.DUMMYFUNCTION("""COMPUTED_VALUE"""),"")</f>
        <v/>
      </c>
      <c r="P95" s="4" t="str">
        <f>IFERROR(__xludf.DUMMYFUNCTION("""COMPUTED_VALUE"""),"")</f>
        <v/>
      </c>
      <c r="Q95" s="4" t="str">
        <f>IFERROR(__xludf.DUMMYFUNCTION("""COMPUTED_VALUE"""),"")</f>
        <v/>
      </c>
      <c r="R95" s="4" t="str">
        <f>IFERROR(__xludf.DUMMYFUNCTION("""COMPUTED_VALUE"""),"")</f>
        <v/>
      </c>
    </row>
    <row r="96">
      <c r="A96" s="4" t="str">
        <f>IFERROR(__xludf.DUMMYFUNCTION("""COMPUTED_VALUE"""),"97 - Channel 5")</f>
        <v>97 - Channel 5</v>
      </c>
      <c r="B96" s="4" t="str">
        <f>IFERROR(__xludf.DUMMYFUNCTION("""COMPUTED_VALUE"""),"Day 2 - 24/06")</f>
        <v>Day 2 - 24/06</v>
      </c>
      <c r="C96" s="6">
        <f>IFERROR(__xludf.DUMMYFUNCTION("""COMPUTED_VALUE"""),0.435925925925926)</f>
        <v>0.4359259259</v>
      </c>
      <c r="D96" s="8">
        <f>IFERROR(__xludf.DUMMYFUNCTION("""COMPUTED_VALUE"""),3.4722222222222224E-4)</f>
        <v>0.0003472222222</v>
      </c>
      <c r="E96" s="6">
        <f>IFERROR(__xludf.DUMMYFUNCTION("""COMPUTED_VALUE"""),0.4362731481481482)</f>
        <v>0.4362731481</v>
      </c>
      <c r="F96" s="4" t="str">
        <f>IFERROR(__xludf.DUMMYFUNCTION("""COMPUTED_VALUE"""),"")</f>
        <v/>
      </c>
      <c r="G96" s="4" t="str">
        <f>IFERROR(__xludf.DUMMYFUNCTION("""COMPUTED_VALUE"""),"")</f>
        <v/>
      </c>
      <c r="H96" s="4" t="str">
        <f>IFERROR(__xludf.DUMMYFUNCTION("""COMPUTED_VALUE"""),"")</f>
        <v/>
      </c>
      <c r="I96" s="4" t="str">
        <f>IFERROR(__xludf.DUMMYFUNCTION("""COMPUTED_VALUE"""),"")</f>
        <v/>
      </c>
      <c r="J96" s="4" t="str">
        <f>IFERROR(__xludf.DUMMYFUNCTION("""COMPUTED_VALUE"""),"")</f>
        <v/>
      </c>
      <c r="K96" s="4" t="str">
        <f>IFERROR(__xludf.DUMMYFUNCTION("""COMPUTED_VALUE"""),"Talk Intro")</f>
        <v>Talk Intro</v>
      </c>
      <c r="L96" s="4" t="str">
        <f>IFERROR(__xludf.DUMMYFUNCTION("""COMPUTED_VALUE"""),"")</f>
        <v/>
      </c>
      <c r="M96" s="4" t="str">
        <f>IFERROR(__xludf.DUMMYFUNCTION("""COMPUTED_VALUE"""),"")</f>
        <v/>
      </c>
      <c r="N96" s="4" t="str">
        <f>IFERROR(__xludf.DUMMYFUNCTION("""COMPUTED_VALUE"""),"")</f>
        <v/>
      </c>
      <c r="O96" s="4" t="str">
        <f>IFERROR(__xludf.DUMMYFUNCTION("""COMPUTED_VALUE"""),"")</f>
        <v/>
      </c>
      <c r="P96" s="4" t="str">
        <f>IFERROR(__xludf.DUMMYFUNCTION("""COMPUTED_VALUE"""),"")</f>
        <v/>
      </c>
      <c r="Q96" s="4" t="str">
        <f>IFERROR(__xludf.DUMMYFUNCTION("""COMPUTED_VALUE"""),"")</f>
        <v/>
      </c>
      <c r="R96" s="4" t="str">
        <f>IFERROR(__xludf.DUMMYFUNCTION("""COMPUTED_VALUE"""),"")</f>
        <v/>
      </c>
    </row>
    <row r="97">
      <c r="A97" s="4" t="str">
        <f>IFERROR(__xludf.DUMMYFUNCTION("""COMPUTED_VALUE"""),"98 - Channel 5")</f>
        <v>98 - Channel 5</v>
      </c>
      <c r="B97" s="4" t="str">
        <f>IFERROR(__xludf.DUMMYFUNCTION("""COMPUTED_VALUE"""),"Day 2 - 24/06")</f>
        <v>Day 2 - 24/06</v>
      </c>
      <c r="C97" s="6">
        <f>IFERROR(__xludf.DUMMYFUNCTION("""COMPUTED_VALUE"""),0.4362731481481482)</f>
        <v>0.4362731481</v>
      </c>
      <c r="D97" s="8">
        <f>IFERROR(__xludf.DUMMYFUNCTION("""COMPUTED_VALUE"""),0.014965277777777777)</f>
        <v>0.01496527778</v>
      </c>
      <c r="E97" s="6">
        <f>IFERROR(__xludf.DUMMYFUNCTION("""COMPUTED_VALUE"""),0.451238425925926)</f>
        <v>0.4512384259</v>
      </c>
      <c r="F97" s="4" t="str">
        <f>IFERROR(__xludf.DUMMYFUNCTION("""COMPUTED_VALUE"""),"Society")</f>
        <v>Society</v>
      </c>
      <c r="G97" s="4" t="str">
        <f>IFERROR(__xludf.DUMMYFUNCTION("""COMPUTED_VALUE"""),"Web Summit 2019")</f>
        <v>Web Summit 2019</v>
      </c>
      <c r="H97" s="21" t="str">
        <f>IFERROR(__xludf.DUMMYFUNCTION("""COMPUTED_VALUE"""),"https://vimeo.com/showcase/6551539/video/370970563")</f>
        <v>https://vimeo.com/showcase/6551539/video/370970563</v>
      </c>
      <c r="I97" s="4" t="str">
        <f>IFERROR(__xludf.DUMMYFUNCTION("""COMPUTED_VALUE"""),"Begin on 3 secs. To the end.")</f>
        <v>Begin on 3 secs. To the end.</v>
      </c>
      <c r="J97" s="4" t="str">
        <f>IFERROR(__xludf.DUMMYFUNCTION("""COMPUTED_VALUE"""),"No")</f>
        <v>No</v>
      </c>
      <c r="K97" s="4" t="str">
        <f>IFERROR(__xludf.DUMMYFUNCTION("""COMPUTED_VALUE"""),"Edward Snowden muses on morality in the age of surveillance")</f>
        <v>Edward Snowden muses on morality in the age of surveillance</v>
      </c>
      <c r="L97" s="4" t="str">
        <f>IFERROR(__xludf.DUMMYFUNCTION("""COMPUTED_VALUE"""),"Edward Snowden, Freedom of the Press Foundation")</f>
        <v>Edward Snowden, Freedom of the Press Foundation</v>
      </c>
      <c r="M97" s="4" t="str">
        <f>IFERROR(__xludf.DUMMYFUNCTION("""COMPUTED_VALUE"""),"")</f>
        <v/>
      </c>
      <c r="N97" s="4" t="str">
        <f>IFERROR(__xludf.DUMMYFUNCTION("""COMPUTED_VALUE"""),"")</f>
        <v/>
      </c>
      <c r="O97" s="4" t="str">
        <f>IFERROR(__xludf.DUMMYFUNCTION("""COMPUTED_VALUE"""),"")</f>
        <v/>
      </c>
      <c r="P97" s="4" t="str">
        <f>IFERROR(__xludf.DUMMYFUNCTION("""COMPUTED_VALUE"""),"")</f>
        <v/>
      </c>
      <c r="Q97" s="4" t="str">
        <f>IFERROR(__xludf.DUMMYFUNCTION("""COMPUTED_VALUE"""),"Almost no-one understands the nature of surveillance society better than Edward Snowden. At Web Summit 2019, he joined us – via video uplink – to discuss the morality of this modern, technological age. ")</f>
        <v>Almost no-one understands the nature of surveillance society better than Edward Snowden. At Web Summit 2019, he joined us – via video uplink – to discuss the morality of this modern, technological age. </v>
      </c>
      <c r="R97" s="4" t="str">
        <f>IFERROR(__xludf.DUMMYFUNCTION("""COMPUTED_VALUE"""),"")</f>
        <v/>
      </c>
    </row>
    <row r="98">
      <c r="A98" s="4" t="str">
        <f>IFERROR(__xludf.DUMMYFUNCTION("""COMPUTED_VALUE"""),"99 - Channel 5")</f>
        <v>99 - Channel 5</v>
      </c>
      <c r="B98" s="4" t="str">
        <f>IFERROR(__xludf.DUMMYFUNCTION("""COMPUTED_VALUE"""),"Day 2 - 24/06")</f>
        <v>Day 2 - 24/06</v>
      </c>
      <c r="C98" s="6">
        <f>IFERROR(__xludf.DUMMYFUNCTION("""COMPUTED_VALUE"""),0.451238425925926)</f>
        <v>0.4512384259</v>
      </c>
      <c r="D98" s="8">
        <f>IFERROR(__xludf.DUMMYFUNCTION("""COMPUTED_VALUE"""),1.7361111111111112E-4)</f>
        <v>0.0001736111111</v>
      </c>
      <c r="E98" s="6">
        <f>IFERROR(__xludf.DUMMYFUNCTION("""COMPUTED_VALUE"""),0.45141203703703714)</f>
        <v>0.451412037</v>
      </c>
      <c r="F98" s="4" t="str">
        <f>IFERROR(__xludf.DUMMYFUNCTION("""COMPUTED_VALUE"""),"")</f>
        <v/>
      </c>
      <c r="G98" s="4" t="str">
        <f>IFERROR(__xludf.DUMMYFUNCTION("""COMPUTED_VALUE"""),"")</f>
        <v/>
      </c>
      <c r="H98" s="4" t="str">
        <f>IFERROR(__xludf.DUMMYFUNCTION("""COMPUTED_VALUE"""),"")</f>
        <v/>
      </c>
      <c r="I98" s="4" t="str">
        <f>IFERROR(__xludf.DUMMYFUNCTION("""COMPUTED_VALUE"""),"")</f>
        <v/>
      </c>
      <c r="J98" s="4" t="str">
        <f>IFERROR(__xludf.DUMMYFUNCTION("""COMPUTED_VALUE"""),"")</f>
        <v/>
      </c>
      <c r="K98" s="4" t="str">
        <f>IFERROR(__xludf.DUMMYFUNCTION("""COMPUTED_VALUE"""),"Talk Outro")</f>
        <v>Talk Outro</v>
      </c>
      <c r="L98" s="4" t="str">
        <f>IFERROR(__xludf.DUMMYFUNCTION("""COMPUTED_VALUE"""),"")</f>
        <v/>
      </c>
      <c r="M98" s="4" t="str">
        <f>IFERROR(__xludf.DUMMYFUNCTION("""COMPUTED_VALUE"""),"")</f>
        <v/>
      </c>
      <c r="N98" s="4" t="str">
        <f>IFERROR(__xludf.DUMMYFUNCTION("""COMPUTED_VALUE"""),"")</f>
        <v/>
      </c>
      <c r="O98" s="4" t="str">
        <f>IFERROR(__xludf.DUMMYFUNCTION("""COMPUTED_VALUE"""),"")</f>
        <v/>
      </c>
      <c r="P98" s="4" t="str">
        <f>IFERROR(__xludf.DUMMYFUNCTION("""COMPUTED_VALUE"""),"")</f>
        <v/>
      </c>
      <c r="Q98" s="4" t="str">
        <f>IFERROR(__xludf.DUMMYFUNCTION("""COMPUTED_VALUE"""),"")</f>
        <v/>
      </c>
      <c r="R98" s="4" t="str">
        <f>IFERROR(__xludf.DUMMYFUNCTION("""COMPUTED_VALUE"""),"")</f>
        <v/>
      </c>
    </row>
    <row r="99">
      <c r="A99" s="4" t="str">
        <f>IFERROR(__xludf.DUMMYFUNCTION("""COMPUTED_VALUE"""),"100 - Channel 5")</f>
        <v>100 - Channel 5</v>
      </c>
      <c r="B99" s="4" t="str">
        <f>IFERROR(__xludf.DUMMYFUNCTION("""COMPUTED_VALUE"""),"Day 2 - 24/06")</f>
        <v>Day 2 - 24/06</v>
      </c>
      <c r="C99" s="6">
        <f>IFERROR(__xludf.DUMMYFUNCTION("""COMPUTED_VALUE"""),0.45141203703703714)</f>
        <v>0.451412037</v>
      </c>
      <c r="D99" s="8">
        <f>IFERROR(__xludf.DUMMYFUNCTION("""COMPUTED_VALUE"""),3.4722222222222224E-4)</f>
        <v>0.0003472222222</v>
      </c>
      <c r="E99" s="6">
        <f>IFERROR(__xludf.DUMMYFUNCTION("""COMPUTED_VALUE"""),0.45175925925925936)</f>
        <v>0.4517592593</v>
      </c>
      <c r="F99" s="4" t="str">
        <f>IFERROR(__xludf.DUMMYFUNCTION("""COMPUTED_VALUE"""),"")</f>
        <v/>
      </c>
      <c r="G99" s="4" t="str">
        <f>IFERROR(__xludf.DUMMYFUNCTION("""COMPUTED_VALUE"""),"")</f>
        <v/>
      </c>
      <c r="H99" s="4" t="str">
        <f>IFERROR(__xludf.DUMMYFUNCTION("""COMPUTED_VALUE"""),"")</f>
        <v/>
      </c>
      <c r="I99" s="4" t="str">
        <f>IFERROR(__xludf.DUMMYFUNCTION("""COMPUTED_VALUE"""),"")</f>
        <v/>
      </c>
      <c r="J99" s="4" t="str">
        <f>IFERROR(__xludf.DUMMYFUNCTION("""COMPUTED_VALUE"""),"")</f>
        <v/>
      </c>
      <c r="K99" s="4" t="str">
        <f>IFERROR(__xludf.DUMMYFUNCTION("""COMPUTED_VALUE"""),"Talk Intro")</f>
        <v>Talk Intro</v>
      </c>
      <c r="L99" s="4" t="str">
        <f>IFERROR(__xludf.DUMMYFUNCTION("""COMPUTED_VALUE"""),"")</f>
        <v/>
      </c>
      <c r="M99" s="4" t="str">
        <f>IFERROR(__xludf.DUMMYFUNCTION("""COMPUTED_VALUE"""),"")</f>
        <v/>
      </c>
      <c r="N99" s="4" t="str">
        <f>IFERROR(__xludf.DUMMYFUNCTION("""COMPUTED_VALUE"""),"")</f>
        <v/>
      </c>
      <c r="O99" s="4" t="str">
        <f>IFERROR(__xludf.DUMMYFUNCTION("""COMPUTED_VALUE"""),"")</f>
        <v/>
      </c>
      <c r="P99" s="4" t="str">
        <f>IFERROR(__xludf.DUMMYFUNCTION("""COMPUTED_VALUE"""),"")</f>
        <v/>
      </c>
      <c r="Q99" s="4" t="str">
        <f>IFERROR(__xludf.DUMMYFUNCTION("""COMPUTED_VALUE"""),"")</f>
        <v/>
      </c>
      <c r="R99" s="4" t="str">
        <f>IFERROR(__xludf.DUMMYFUNCTION("""COMPUTED_VALUE"""),"")</f>
        <v/>
      </c>
    </row>
    <row r="100">
      <c r="A100" s="4" t="str">
        <f>IFERROR(__xludf.DUMMYFUNCTION("""COMPUTED_VALUE"""),"101 - Channel 5")</f>
        <v>101 - Channel 5</v>
      </c>
      <c r="B100" s="4" t="str">
        <f>IFERROR(__xludf.DUMMYFUNCTION("""COMPUTED_VALUE"""),"Day 2 - 24/06")</f>
        <v>Day 2 - 24/06</v>
      </c>
      <c r="C100" s="6">
        <f>IFERROR(__xludf.DUMMYFUNCTION("""COMPUTED_VALUE"""),0.45175925925925936)</f>
        <v>0.4517592593</v>
      </c>
      <c r="D100" s="8">
        <f>IFERROR(__xludf.DUMMYFUNCTION("""COMPUTED_VALUE"""),0.006944444444444444)</f>
        <v>0.006944444444</v>
      </c>
      <c r="E100" s="6">
        <f>IFERROR(__xludf.DUMMYFUNCTION("""COMPUTED_VALUE"""),0.4587037037037038)</f>
        <v>0.4587037037</v>
      </c>
      <c r="F100" s="4" t="str">
        <f>IFERROR(__xludf.DUMMYFUNCTION("""COMPUTED_VALUE"""),"Politics")</f>
        <v>Politics</v>
      </c>
      <c r="G100" s="4" t="str">
        <f>IFERROR(__xludf.DUMMYFUNCTION("""COMPUTED_VALUE"""),"")</f>
        <v/>
      </c>
      <c r="H100" s="4" t="str">
        <f>IFERROR(__xludf.DUMMYFUNCTION("""COMPUTED_VALUE"""),"")</f>
        <v/>
      </c>
      <c r="I100" s="4" t="str">
        <f>IFERROR(__xludf.DUMMYFUNCTION("""COMPUTED_VALUE"""),"")</f>
        <v/>
      </c>
      <c r="J100" s="4" t="str">
        <f>IFERROR(__xludf.DUMMYFUNCTION("""COMPUTED_VALUE"""),"No")</f>
        <v>No</v>
      </c>
      <c r="K100" s="4" t="str">
        <f>IFERROR(__xludf.DUMMYFUNCTION("""COMPUTED_VALUE"""),"Top 5 world leaders")</f>
        <v>Top 5 world leaders</v>
      </c>
      <c r="L100" s="4" t="str">
        <f>IFERROR(__xludf.DUMMYFUNCTION("""COMPUTED_VALUE"""),"Tony Blair, Tony Blair Global Institute")</f>
        <v>Tony Blair, Tony Blair Global Institute</v>
      </c>
      <c r="M100" s="4" t="str">
        <f>IFERROR(__xludf.DUMMYFUNCTION("""COMPUTED_VALUE"""),"François Hollande, Government of France")</f>
        <v>François Hollande, Government of France</v>
      </c>
      <c r="N100" s="4" t="str">
        <f>IFERROR(__xludf.DUMMYFUNCTION("""COMPUTED_VALUE"""),"Ana Brnabić, Government of Serbia")</f>
        <v>Ana Brnabić, Government of Serbia</v>
      </c>
      <c r="O100" s="4" t="str">
        <f>IFERROR(__xludf.DUMMYFUNCTION("""COMPUTED_VALUE"""),"Justin Trudeau, Government of Canada")</f>
        <v>Justin Trudeau, Government of Canada</v>
      </c>
      <c r="P100" s="4" t="str">
        <f>IFERROR(__xludf.DUMMYFUNCTION("""COMPUTED_VALUE"""),"António Guterres, United Nations")</f>
        <v>António Guterres, United Nations</v>
      </c>
      <c r="Q100" s="4" t="str">
        <f>IFERROR(__xludf.DUMMYFUNCTION("""COMPUTED_VALUE"""),"Featuring Tony Blair, Francois Hollande, Ana Brnabić, Justin Trudeau and António Guterres. Leading a country is a unique challenge. All five of these speakers have done it. Tune in to hear from some of the world's leading politicians of the last 10 years.")</f>
        <v>Featuring Tony Blair, Francois Hollande, Ana Brnabić, Justin Trudeau and António Guterres. Leading a country is a unique challenge. All five of these speakers have done it. Tune in to hear from some of the world's leading politicians of the last 10 years.</v>
      </c>
      <c r="R100" s="4" t="str">
        <f>IFERROR(__xludf.DUMMYFUNCTION("""COMPUTED_VALUE"""),"")</f>
        <v/>
      </c>
    </row>
    <row r="101">
      <c r="A101" s="4" t="str">
        <f>IFERROR(__xludf.DUMMYFUNCTION("""COMPUTED_VALUE"""),"102 - Channel 5")</f>
        <v>102 - Channel 5</v>
      </c>
      <c r="B101" s="4" t="str">
        <f>IFERROR(__xludf.DUMMYFUNCTION("""COMPUTED_VALUE"""),"Day 2 - 24/06")</f>
        <v>Day 2 - 24/06</v>
      </c>
      <c r="C101" s="6">
        <f>IFERROR(__xludf.DUMMYFUNCTION("""COMPUTED_VALUE"""),0.4587037037037038)</f>
        <v>0.4587037037</v>
      </c>
      <c r="D101" s="8">
        <f>IFERROR(__xludf.DUMMYFUNCTION("""COMPUTED_VALUE"""),1.7361111111111112E-4)</f>
        <v>0.0001736111111</v>
      </c>
      <c r="E101" s="6">
        <f>IFERROR(__xludf.DUMMYFUNCTION("""COMPUTED_VALUE"""),0.4588773148148149)</f>
        <v>0.4588773148</v>
      </c>
      <c r="F101" s="4" t="str">
        <f>IFERROR(__xludf.DUMMYFUNCTION("""COMPUTED_VALUE"""),"")</f>
        <v/>
      </c>
      <c r="G101" s="4" t="str">
        <f>IFERROR(__xludf.DUMMYFUNCTION("""COMPUTED_VALUE"""),"")</f>
        <v/>
      </c>
      <c r="H101" s="4" t="str">
        <f>IFERROR(__xludf.DUMMYFUNCTION("""COMPUTED_VALUE"""),"")</f>
        <v/>
      </c>
      <c r="I101" s="4" t="str">
        <f>IFERROR(__xludf.DUMMYFUNCTION("""COMPUTED_VALUE"""),"")</f>
        <v/>
      </c>
      <c r="J101" s="4" t="str">
        <f>IFERROR(__xludf.DUMMYFUNCTION("""COMPUTED_VALUE"""),"")</f>
        <v/>
      </c>
      <c r="K101" s="4" t="str">
        <f>IFERROR(__xludf.DUMMYFUNCTION("""COMPUTED_VALUE"""),"Talk Outro")</f>
        <v>Talk Outro</v>
      </c>
      <c r="L101" s="4" t="str">
        <f>IFERROR(__xludf.DUMMYFUNCTION("""COMPUTED_VALUE"""),"")</f>
        <v/>
      </c>
      <c r="M101" s="4" t="str">
        <f>IFERROR(__xludf.DUMMYFUNCTION("""COMPUTED_VALUE"""),"")</f>
        <v/>
      </c>
      <c r="N101" s="4" t="str">
        <f>IFERROR(__xludf.DUMMYFUNCTION("""COMPUTED_VALUE"""),"")</f>
        <v/>
      </c>
      <c r="O101" s="4" t="str">
        <f>IFERROR(__xludf.DUMMYFUNCTION("""COMPUTED_VALUE"""),"")</f>
        <v/>
      </c>
      <c r="P101" s="4" t="str">
        <f>IFERROR(__xludf.DUMMYFUNCTION("""COMPUTED_VALUE"""),"")</f>
        <v/>
      </c>
      <c r="Q101" s="4" t="str">
        <f>IFERROR(__xludf.DUMMYFUNCTION("""COMPUTED_VALUE"""),"")</f>
        <v/>
      </c>
      <c r="R101" s="4" t="str">
        <f>IFERROR(__xludf.DUMMYFUNCTION("""COMPUTED_VALUE"""),"")</f>
        <v/>
      </c>
    </row>
    <row r="102">
      <c r="A102" s="4" t="str">
        <f>IFERROR(__xludf.DUMMYFUNCTION("""COMPUTED_VALUE"""),"337 - Channel 5")</f>
        <v>337 - Channel 5</v>
      </c>
      <c r="B102" s="4" t="str">
        <f>IFERROR(__xludf.DUMMYFUNCTION("""COMPUTED_VALUE"""),"Day 2 - 24/06")</f>
        <v>Day 2 - 24/06</v>
      </c>
      <c r="C102" s="6">
        <f>IFERROR(__xludf.DUMMYFUNCTION("""COMPUTED_VALUE"""),0.4588773148148149)</f>
        <v>0.4588773148</v>
      </c>
      <c r="D102" s="8">
        <f>IFERROR(__xludf.DUMMYFUNCTION("""COMPUTED_VALUE"""),3.4722222222222224E-4)</f>
        <v>0.0003472222222</v>
      </c>
      <c r="E102" s="6">
        <f>IFERROR(__xludf.DUMMYFUNCTION("""COMPUTED_VALUE"""),0.45922453703703714)</f>
        <v>0.459224537</v>
      </c>
      <c r="F102" s="4" t="str">
        <f>IFERROR(__xludf.DUMMYFUNCTION("""COMPUTED_VALUE"""),"")</f>
        <v/>
      </c>
      <c r="G102" s="4" t="str">
        <f>IFERROR(__xludf.DUMMYFUNCTION("""COMPUTED_VALUE"""),"")</f>
        <v/>
      </c>
      <c r="H102" s="4" t="str">
        <f>IFERROR(__xludf.DUMMYFUNCTION("""COMPUTED_VALUE"""),"")</f>
        <v/>
      </c>
      <c r="I102" s="4" t="str">
        <f>IFERROR(__xludf.DUMMYFUNCTION("""COMPUTED_VALUE"""),"")</f>
        <v/>
      </c>
      <c r="J102" s="4" t="str">
        <f>IFERROR(__xludf.DUMMYFUNCTION("""COMPUTED_VALUE"""),"")</f>
        <v/>
      </c>
      <c r="K102" s="4" t="str">
        <f>IFERROR(__xludf.DUMMYFUNCTION("""COMPUTED_VALUE"""),"Web Summit Trailer - Short")</f>
        <v>Web Summit Trailer - Short</v>
      </c>
      <c r="L102" s="4" t="str">
        <f>IFERROR(__xludf.DUMMYFUNCTION("""COMPUTED_VALUE"""),"")</f>
        <v/>
      </c>
      <c r="M102" s="4" t="str">
        <f>IFERROR(__xludf.DUMMYFUNCTION("""COMPUTED_VALUE"""),"")</f>
        <v/>
      </c>
      <c r="N102" s="4" t="str">
        <f>IFERROR(__xludf.DUMMYFUNCTION("""COMPUTED_VALUE"""),"")</f>
        <v/>
      </c>
      <c r="O102" s="4" t="str">
        <f>IFERROR(__xludf.DUMMYFUNCTION("""COMPUTED_VALUE"""),"")</f>
        <v/>
      </c>
      <c r="P102" s="4" t="str">
        <f>IFERROR(__xludf.DUMMYFUNCTION("""COMPUTED_VALUE"""),"")</f>
        <v/>
      </c>
      <c r="Q102" s="4" t="str">
        <f>IFERROR(__xludf.DUMMYFUNCTION("""COMPUTED_VALUE"""),"")</f>
        <v/>
      </c>
      <c r="R102" s="4" t="str">
        <f>IFERROR(__xludf.DUMMYFUNCTION("""COMPUTED_VALUE"""),"")</f>
        <v/>
      </c>
    </row>
    <row r="103">
      <c r="A103" s="4" t="str">
        <f>IFERROR(__xludf.DUMMYFUNCTION("""COMPUTED_VALUE"""),"104 - Channel 5")</f>
        <v>104 - Channel 5</v>
      </c>
      <c r="B103" s="4" t="str">
        <f>IFERROR(__xludf.DUMMYFUNCTION("""COMPUTED_VALUE"""),"Day 2 - 24/06")</f>
        <v>Day 2 - 24/06</v>
      </c>
      <c r="C103" s="6">
        <f>IFERROR(__xludf.DUMMYFUNCTION("""COMPUTED_VALUE"""),0.45922453703703714)</f>
        <v>0.459224537</v>
      </c>
      <c r="D103" s="8">
        <f>IFERROR(__xludf.DUMMYFUNCTION("""COMPUTED_VALUE"""),3.4722222222222224E-4)</f>
        <v>0.0003472222222</v>
      </c>
      <c r="E103" s="6">
        <f>IFERROR(__xludf.DUMMYFUNCTION("""COMPUTED_VALUE"""),0.45957175925925936)</f>
        <v>0.4595717593</v>
      </c>
      <c r="F103" s="4" t="str">
        <f>IFERROR(__xludf.DUMMYFUNCTION("""COMPUTED_VALUE"""),"")</f>
        <v/>
      </c>
      <c r="G103" s="4" t="str">
        <f>IFERROR(__xludf.DUMMYFUNCTION("""COMPUTED_VALUE"""),"")</f>
        <v/>
      </c>
      <c r="H103" s="4" t="str">
        <f>IFERROR(__xludf.DUMMYFUNCTION("""COMPUTED_VALUE"""),"")</f>
        <v/>
      </c>
      <c r="I103" s="4" t="str">
        <f>IFERROR(__xludf.DUMMYFUNCTION("""COMPUTED_VALUE"""),"")</f>
        <v/>
      </c>
      <c r="J103" s="4" t="str">
        <f>IFERROR(__xludf.DUMMYFUNCTION("""COMPUTED_VALUE"""),"")</f>
        <v/>
      </c>
      <c r="K103" s="4" t="str">
        <f>IFERROR(__xludf.DUMMYFUNCTION("""COMPUTED_VALUE"""),"Talk Intro")</f>
        <v>Talk Intro</v>
      </c>
      <c r="L103" s="4" t="str">
        <f>IFERROR(__xludf.DUMMYFUNCTION("""COMPUTED_VALUE"""),"")</f>
        <v/>
      </c>
      <c r="M103" s="4" t="str">
        <f>IFERROR(__xludf.DUMMYFUNCTION("""COMPUTED_VALUE"""),"")</f>
        <v/>
      </c>
      <c r="N103" s="4" t="str">
        <f>IFERROR(__xludf.DUMMYFUNCTION("""COMPUTED_VALUE"""),"")</f>
        <v/>
      </c>
      <c r="O103" s="4" t="str">
        <f>IFERROR(__xludf.DUMMYFUNCTION("""COMPUTED_VALUE"""),"")</f>
        <v/>
      </c>
      <c r="P103" s="4" t="str">
        <f>IFERROR(__xludf.DUMMYFUNCTION("""COMPUTED_VALUE"""),"")</f>
        <v/>
      </c>
      <c r="Q103" s="4" t="str">
        <f>IFERROR(__xludf.DUMMYFUNCTION("""COMPUTED_VALUE"""),"")</f>
        <v/>
      </c>
      <c r="R103" s="4" t="str">
        <f>IFERROR(__xludf.DUMMYFUNCTION("""COMPUTED_VALUE"""),"")</f>
        <v/>
      </c>
    </row>
    <row r="104">
      <c r="A104" s="4" t="str">
        <f>IFERROR(__xludf.DUMMYFUNCTION("""COMPUTED_VALUE"""),"105 - Channel 5")</f>
        <v>105 - Channel 5</v>
      </c>
      <c r="B104" s="4" t="str">
        <f>IFERROR(__xludf.DUMMYFUNCTION("""COMPUTED_VALUE"""),"Day 2 - 24/06")</f>
        <v>Day 2 - 24/06</v>
      </c>
      <c r="C104" s="6">
        <f>IFERROR(__xludf.DUMMYFUNCTION("""COMPUTED_VALUE"""),0.45957175925925936)</f>
        <v>0.4595717593</v>
      </c>
      <c r="D104" s="8">
        <f>IFERROR(__xludf.DUMMYFUNCTION("""COMPUTED_VALUE"""),0.018935185185185187)</f>
        <v>0.01893518519</v>
      </c>
      <c r="E104" s="6">
        <f>IFERROR(__xludf.DUMMYFUNCTION("""COMPUTED_VALUE"""),0.4785069444444445)</f>
        <v>0.4785069444</v>
      </c>
      <c r="F104" s="4" t="str">
        <f>IFERROR(__xludf.DUMMYFUNCTION("""COMPUTED_VALUE"""),"Media")</f>
        <v>Media</v>
      </c>
      <c r="G104" s="4" t="str">
        <f>IFERROR(__xludf.DUMMYFUNCTION("""COMPUTED_VALUE"""),"RISE 2017")</f>
        <v>RISE 2017</v>
      </c>
      <c r="H104" s="21" t="str">
        <f>IFERROR(__xludf.DUMMYFUNCTION("""COMPUTED_VALUE"""),"https://www.youtube.com/watch?v=-0LuUAMJcWM")</f>
        <v>https://www.youtube.com/watch?v=-0LuUAMJcWM</v>
      </c>
      <c r="I104" s="4" t="str">
        <f>IFERROR(__xludf.DUMMYFUNCTION("""COMPUTED_VALUE"""),"Banner at 8:57-10:05 needs covered. Banner from 12:06-13:17 needs covered. Banner from 25:48-end. No cuts needed - use full video, just need banners covered.")</f>
        <v>Banner at 8:57-10:05 needs covered. Banner from 12:06-13:17 needs covered. Banner from 25:48-end. No cuts needed - use full video, just need banners covered.</v>
      </c>
      <c r="J104" s="4" t="str">
        <f>IFERROR(__xludf.DUMMYFUNCTION("""COMPUTED_VALUE"""),"No")</f>
        <v>No</v>
      </c>
      <c r="K104" s="4" t="str">
        <f>IFERROR(__xludf.DUMMYFUNCTION("""COMPUTED_VALUE"""),"Joe Tsai transforms a news company with Alibaba")</f>
        <v>Joe Tsai transforms a news company with Alibaba</v>
      </c>
      <c r="L104" s="4" t="str">
        <f>IFERROR(__xludf.DUMMYFUNCTION("""COMPUTED_VALUE"""),"Joe Tsai, Alibaba")</f>
        <v>Joe Tsai, Alibaba</v>
      </c>
      <c r="M104" s="4" t="str">
        <f>IFERROR(__xludf.DUMMYFUNCTION("""COMPUTED_VALUE"""),"")</f>
        <v/>
      </c>
      <c r="N104" s="4" t="str">
        <f>IFERROR(__xludf.DUMMYFUNCTION("""COMPUTED_VALUE"""),"")</f>
        <v/>
      </c>
      <c r="O104" s="4" t="str">
        <f>IFERROR(__xludf.DUMMYFUNCTION("""COMPUTED_VALUE"""),"")</f>
        <v/>
      </c>
      <c r="P104" s="4" t="str">
        <f>IFERROR(__xludf.DUMMYFUNCTION("""COMPUTED_VALUE"""),"")</f>
        <v/>
      </c>
      <c r="Q104" s="4" t="str">
        <f>IFERROR(__xludf.DUMMYFUNCTION("""COMPUTED_VALUE"""),"Alibaba is one of the most influential tech companies in the world. One of the areas in which it has more recently expanded its reach is in the news media, acquiring the South China Morning Post in 2015. In 2017, Joe Tsai joined us at RISE to tell us abou"&amp;"t how he was transforming a news company.")</f>
        <v>Alibaba is one of the most influential tech companies in the world. One of the areas in which it has more recently expanded its reach is in the news media, acquiring the South China Morning Post in 2015. In 2017, Joe Tsai joined us at RISE to tell us about how he was transforming a news company.</v>
      </c>
      <c r="R104" s="4" t="str">
        <f>IFERROR(__xludf.DUMMYFUNCTION("""COMPUTED_VALUE"""),"")</f>
        <v/>
      </c>
    </row>
    <row r="105">
      <c r="A105" s="4" t="str">
        <f>IFERROR(__xludf.DUMMYFUNCTION("""COMPUTED_VALUE"""),"106 - Channel 5")</f>
        <v>106 - Channel 5</v>
      </c>
      <c r="B105" s="4" t="str">
        <f>IFERROR(__xludf.DUMMYFUNCTION("""COMPUTED_VALUE"""),"Day 2 - 24/06")</f>
        <v>Day 2 - 24/06</v>
      </c>
      <c r="C105" s="6">
        <f>IFERROR(__xludf.DUMMYFUNCTION("""COMPUTED_VALUE"""),0.4785069444444445)</f>
        <v>0.4785069444</v>
      </c>
      <c r="D105" s="8">
        <f>IFERROR(__xludf.DUMMYFUNCTION("""COMPUTED_VALUE"""),1.7361111111111112E-4)</f>
        <v>0.0001736111111</v>
      </c>
      <c r="E105" s="6">
        <f>IFERROR(__xludf.DUMMYFUNCTION("""COMPUTED_VALUE"""),0.47868055555555566)</f>
        <v>0.4786805556</v>
      </c>
      <c r="F105" s="4" t="str">
        <f>IFERROR(__xludf.DUMMYFUNCTION("""COMPUTED_VALUE"""),"")</f>
        <v/>
      </c>
      <c r="G105" s="4" t="str">
        <f>IFERROR(__xludf.DUMMYFUNCTION("""COMPUTED_VALUE"""),"")</f>
        <v/>
      </c>
      <c r="H105" s="4" t="str">
        <f>IFERROR(__xludf.DUMMYFUNCTION("""COMPUTED_VALUE"""),"")</f>
        <v/>
      </c>
      <c r="I105" s="4" t="str">
        <f>IFERROR(__xludf.DUMMYFUNCTION("""COMPUTED_VALUE"""),"")</f>
        <v/>
      </c>
      <c r="J105" s="4" t="str">
        <f>IFERROR(__xludf.DUMMYFUNCTION("""COMPUTED_VALUE"""),"")</f>
        <v/>
      </c>
      <c r="K105" s="4" t="str">
        <f>IFERROR(__xludf.DUMMYFUNCTION("""COMPUTED_VALUE"""),"Talk Outro")</f>
        <v>Talk Outro</v>
      </c>
      <c r="L105" s="4" t="str">
        <f>IFERROR(__xludf.DUMMYFUNCTION("""COMPUTED_VALUE"""),"")</f>
        <v/>
      </c>
      <c r="M105" s="4" t="str">
        <f>IFERROR(__xludf.DUMMYFUNCTION("""COMPUTED_VALUE"""),"")</f>
        <v/>
      </c>
      <c r="N105" s="4" t="str">
        <f>IFERROR(__xludf.DUMMYFUNCTION("""COMPUTED_VALUE"""),"")</f>
        <v/>
      </c>
      <c r="O105" s="4" t="str">
        <f>IFERROR(__xludf.DUMMYFUNCTION("""COMPUTED_VALUE"""),"")</f>
        <v/>
      </c>
      <c r="P105" s="4" t="str">
        <f>IFERROR(__xludf.DUMMYFUNCTION("""COMPUTED_VALUE"""),"")</f>
        <v/>
      </c>
      <c r="Q105" s="4" t="str">
        <f>IFERROR(__xludf.DUMMYFUNCTION("""COMPUTED_VALUE"""),"")</f>
        <v/>
      </c>
      <c r="R105" s="4" t="str">
        <f>IFERROR(__xludf.DUMMYFUNCTION("""COMPUTED_VALUE"""),"")</f>
        <v/>
      </c>
    </row>
    <row r="106">
      <c r="A106" s="4" t="str">
        <f>IFERROR(__xludf.DUMMYFUNCTION("""COMPUTED_VALUE"""),"108 - Channel 5")</f>
        <v>108 - Channel 5</v>
      </c>
      <c r="B106" s="4" t="str">
        <f>IFERROR(__xludf.DUMMYFUNCTION("""COMPUTED_VALUE"""),"Day 2 - 24/06")</f>
        <v>Day 2 - 24/06</v>
      </c>
      <c r="C106" s="6">
        <f>IFERROR(__xludf.DUMMYFUNCTION("""COMPUTED_VALUE"""),0.47868055555555566)</f>
        <v>0.4786805556</v>
      </c>
      <c r="D106" s="8">
        <f>IFERROR(__xludf.DUMMYFUNCTION("""COMPUTED_VALUE"""),3.4722222222222224E-4)</f>
        <v>0.0003472222222</v>
      </c>
      <c r="E106" s="6">
        <f>IFERROR(__xludf.DUMMYFUNCTION("""COMPUTED_VALUE"""),0.4790277777777779)</f>
        <v>0.4790277778</v>
      </c>
      <c r="F106" s="4" t="str">
        <f>IFERROR(__xludf.DUMMYFUNCTION("""COMPUTED_VALUE"""),"")</f>
        <v/>
      </c>
      <c r="G106" s="4" t="str">
        <f>IFERROR(__xludf.DUMMYFUNCTION("""COMPUTED_VALUE"""),"")</f>
        <v/>
      </c>
      <c r="H106" s="4" t="str">
        <f>IFERROR(__xludf.DUMMYFUNCTION("""COMPUTED_VALUE"""),"")</f>
        <v/>
      </c>
      <c r="I106" s="4" t="str">
        <f>IFERROR(__xludf.DUMMYFUNCTION("""COMPUTED_VALUE"""),"")</f>
        <v/>
      </c>
      <c r="J106" s="4" t="str">
        <f>IFERROR(__xludf.DUMMYFUNCTION("""COMPUTED_VALUE"""),"")</f>
        <v/>
      </c>
      <c r="K106" s="4" t="str">
        <f>IFERROR(__xludf.DUMMYFUNCTION("""COMPUTED_VALUE"""),"Talk Intro")</f>
        <v>Talk Intro</v>
      </c>
      <c r="L106" s="4" t="str">
        <f>IFERROR(__xludf.DUMMYFUNCTION("""COMPUTED_VALUE"""),"")</f>
        <v/>
      </c>
      <c r="M106" s="4" t="str">
        <f>IFERROR(__xludf.DUMMYFUNCTION("""COMPUTED_VALUE"""),"")</f>
        <v/>
      </c>
      <c r="N106" s="4" t="str">
        <f>IFERROR(__xludf.DUMMYFUNCTION("""COMPUTED_VALUE"""),"")</f>
        <v/>
      </c>
      <c r="O106" s="4" t="str">
        <f>IFERROR(__xludf.DUMMYFUNCTION("""COMPUTED_VALUE"""),"")</f>
        <v/>
      </c>
      <c r="P106" s="4" t="str">
        <f>IFERROR(__xludf.DUMMYFUNCTION("""COMPUTED_VALUE"""),"")</f>
        <v/>
      </c>
      <c r="Q106" s="4" t="str">
        <f>IFERROR(__xludf.DUMMYFUNCTION("""COMPUTED_VALUE"""),"")</f>
        <v/>
      </c>
      <c r="R106" s="4" t="str">
        <f>IFERROR(__xludf.DUMMYFUNCTION("""COMPUTED_VALUE"""),"")</f>
        <v/>
      </c>
    </row>
    <row r="107">
      <c r="A107" s="4" t="str">
        <f>IFERROR(__xludf.DUMMYFUNCTION("""COMPUTED_VALUE"""),"109 - Channel 5")</f>
        <v>109 - Channel 5</v>
      </c>
      <c r="B107" s="4" t="str">
        <f>IFERROR(__xludf.DUMMYFUNCTION("""COMPUTED_VALUE"""),"Day 2 - 24/06")</f>
        <v>Day 2 - 24/06</v>
      </c>
      <c r="C107" s="6">
        <f>IFERROR(__xludf.DUMMYFUNCTION("""COMPUTED_VALUE"""),0.4790277777777779)</f>
        <v>0.4790277778</v>
      </c>
      <c r="D107" s="8">
        <f>IFERROR(__xludf.DUMMYFUNCTION("""COMPUTED_VALUE"""),0.019965277777777776)</f>
        <v>0.01996527778</v>
      </c>
      <c r="E107" s="6">
        <f>IFERROR(__xludf.DUMMYFUNCTION("""COMPUTED_VALUE"""),0.4989930555555557)</f>
        <v>0.4989930556</v>
      </c>
      <c r="F107" s="4" t="str">
        <f>IFERROR(__xludf.DUMMYFUNCTION("""COMPUTED_VALUE"""),"Politics")</f>
        <v>Politics</v>
      </c>
      <c r="G107" s="4" t="str">
        <f>IFERROR(__xludf.DUMMYFUNCTION("""COMPUTED_VALUE"""),"Collision 2019")</f>
        <v>Collision 2019</v>
      </c>
      <c r="H107" s="21" t="str">
        <f>IFERROR(__xludf.DUMMYFUNCTION("""COMPUTED_VALUE"""),"https://vimeo.com/showcase/6061850/video/343327343")</f>
        <v>https://vimeo.com/showcase/6061850/video/343327343</v>
      </c>
      <c r="I107" s="4" t="str">
        <f>IFERROR(__xludf.DUMMYFUNCTION("""COMPUTED_VALUE"""),"From beginning. Finish at 28:45.")</f>
        <v>From beginning. Finish at 28:45.</v>
      </c>
      <c r="J107" s="4" t="str">
        <f>IFERROR(__xludf.DUMMYFUNCTION("""COMPUTED_VALUE"""),"No")</f>
        <v>No</v>
      </c>
      <c r="K107" s="4" t="str">
        <f>IFERROR(__xludf.DUMMYFUNCTION("""COMPUTED_VALUE"""),"Justin Trudeau leading Canada into a tech revolution")</f>
        <v>Justin Trudeau leading Canada into a tech revolution</v>
      </c>
      <c r="L107" s="4" t="str">
        <f>IFERROR(__xludf.DUMMYFUNCTION("""COMPUTED_VALUE"""),"Justin Trudeau, Government of Canada")</f>
        <v>Justin Trudeau, Government of Canada</v>
      </c>
      <c r="M107" s="4" t="str">
        <f>IFERROR(__xludf.DUMMYFUNCTION("""COMPUTED_VALUE"""),"")</f>
        <v/>
      </c>
      <c r="N107" s="4" t="str">
        <f>IFERROR(__xludf.DUMMYFUNCTION("""COMPUTED_VALUE"""),"")</f>
        <v/>
      </c>
      <c r="O107" s="4" t="str">
        <f>IFERROR(__xludf.DUMMYFUNCTION("""COMPUTED_VALUE"""),"")</f>
        <v/>
      </c>
      <c r="P107" s="4" t="str">
        <f>IFERROR(__xludf.DUMMYFUNCTION("""COMPUTED_VALUE"""),"")</f>
        <v/>
      </c>
      <c r="Q107" s="4" t="str">
        <f>IFERROR(__xludf.DUMMYFUNCTION("""COMPUTED_VALUE"""),"Canada, under Justin Trudeau's leadership, has become known as an open and inviting country. In this session from Collision 2019, Prime Minister Trudeau discusses why it's so important for Canada to continue to look outwards to the world, and to promote e"&amp;"conomic growth at home.")</f>
        <v>Canada, under Justin Trudeau's leadership, has become known as an open and inviting country. In this session from Collision 2019, Prime Minister Trudeau discusses why it's so important for Canada to continue to look outwards to the world, and to promote economic growth at home.</v>
      </c>
      <c r="R107" s="4" t="str">
        <f>IFERROR(__xludf.DUMMYFUNCTION("""COMPUTED_VALUE"""),"")</f>
        <v/>
      </c>
    </row>
    <row r="108">
      <c r="A108" s="4" t="str">
        <f>IFERROR(__xludf.DUMMYFUNCTION("""COMPUTED_VALUE"""),"110 - Channel 5")</f>
        <v>110 - Channel 5</v>
      </c>
      <c r="B108" s="4" t="str">
        <f>IFERROR(__xludf.DUMMYFUNCTION("""COMPUTED_VALUE"""),"Day 2 - 24/06")</f>
        <v>Day 2 - 24/06</v>
      </c>
      <c r="C108" s="6">
        <f>IFERROR(__xludf.DUMMYFUNCTION("""COMPUTED_VALUE"""),0.4989930555555557)</f>
        <v>0.4989930556</v>
      </c>
      <c r="D108" s="8">
        <f>IFERROR(__xludf.DUMMYFUNCTION("""COMPUTED_VALUE"""),1.7361111111111112E-4)</f>
        <v>0.0001736111111</v>
      </c>
      <c r="E108" s="6">
        <f>IFERROR(__xludf.DUMMYFUNCTION("""COMPUTED_VALUE"""),0.4991666666666668)</f>
        <v>0.4991666667</v>
      </c>
      <c r="F108" s="4" t="str">
        <f>IFERROR(__xludf.DUMMYFUNCTION("""COMPUTED_VALUE"""),"")</f>
        <v/>
      </c>
      <c r="G108" s="4" t="str">
        <f>IFERROR(__xludf.DUMMYFUNCTION("""COMPUTED_VALUE"""),"")</f>
        <v/>
      </c>
      <c r="H108" s="4" t="str">
        <f>IFERROR(__xludf.DUMMYFUNCTION("""COMPUTED_VALUE"""),"")</f>
        <v/>
      </c>
      <c r="I108" s="4" t="str">
        <f>IFERROR(__xludf.DUMMYFUNCTION("""COMPUTED_VALUE"""),"")</f>
        <v/>
      </c>
      <c r="J108" s="4" t="str">
        <f>IFERROR(__xludf.DUMMYFUNCTION("""COMPUTED_VALUE"""),"")</f>
        <v/>
      </c>
      <c r="K108" s="4" t="str">
        <f>IFERROR(__xludf.DUMMYFUNCTION("""COMPUTED_VALUE"""),"Talk Outro")</f>
        <v>Talk Outro</v>
      </c>
      <c r="L108" s="4" t="str">
        <f>IFERROR(__xludf.DUMMYFUNCTION("""COMPUTED_VALUE"""),"")</f>
        <v/>
      </c>
      <c r="M108" s="4" t="str">
        <f>IFERROR(__xludf.DUMMYFUNCTION("""COMPUTED_VALUE"""),"")</f>
        <v/>
      </c>
      <c r="N108" s="4" t="str">
        <f>IFERROR(__xludf.DUMMYFUNCTION("""COMPUTED_VALUE"""),"")</f>
        <v/>
      </c>
      <c r="O108" s="4" t="str">
        <f>IFERROR(__xludf.DUMMYFUNCTION("""COMPUTED_VALUE"""),"")</f>
        <v/>
      </c>
      <c r="P108" s="4" t="str">
        <f>IFERROR(__xludf.DUMMYFUNCTION("""COMPUTED_VALUE"""),"")</f>
        <v/>
      </c>
      <c r="Q108" s="4" t="str">
        <f>IFERROR(__xludf.DUMMYFUNCTION("""COMPUTED_VALUE"""),"")</f>
        <v/>
      </c>
      <c r="R108" s="4" t="str">
        <f>IFERROR(__xludf.DUMMYFUNCTION("""COMPUTED_VALUE"""),"")</f>
        <v/>
      </c>
    </row>
    <row r="109">
      <c r="A109" s="4" t="str">
        <f>IFERROR(__xludf.DUMMYFUNCTION("""COMPUTED_VALUE"""),"111 - Channel 5")</f>
        <v>111 - Channel 5</v>
      </c>
      <c r="B109" s="4" t="str">
        <f>IFERROR(__xludf.DUMMYFUNCTION("""COMPUTED_VALUE"""),"Day 2 - 24/06")</f>
        <v>Day 2 - 24/06</v>
      </c>
      <c r="C109" s="6">
        <f>IFERROR(__xludf.DUMMYFUNCTION("""COMPUTED_VALUE"""),0.4991666666666668)</f>
        <v>0.4991666667</v>
      </c>
      <c r="D109" s="8">
        <f>IFERROR(__xludf.DUMMYFUNCTION("""COMPUTED_VALUE"""),3.4722222222222224E-4)</f>
        <v>0.0003472222222</v>
      </c>
      <c r="E109" s="6">
        <f>IFERROR(__xludf.DUMMYFUNCTION("""COMPUTED_VALUE"""),0.49951388888888903)</f>
        <v>0.4995138889</v>
      </c>
      <c r="F109" s="4" t="str">
        <f>IFERROR(__xludf.DUMMYFUNCTION("""COMPUTED_VALUE"""),"")</f>
        <v/>
      </c>
      <c r="G109" s="4" t="str">
        <f>IFERROR(__xludf.DUMMYFUNCTION("""COMPUTED_VALUE"""),"")</f>
        <v/>
      </c>
      <c r="H109" s="4" t="str">
        <f>IFERROR(__xludf.DUMMYFUNCTION("""COMPUTED_VALUE"""),"")</f>
        <v/>
      </c>
      <c r="I109" s="4" t="str">
        <f>IFERROR(__xludf.DUMMYFUNCTION("""COMPUTED_VALUE"""),"")</f>
        <v/>
      </c>
      <c r="J109" s="4" t="str">
        <f>IFERROR(__xludf.DUMMYFUNCTION("""COMPUTED_VALUE"""),"")</f>
        <v/>
      </c>
      <c r="K109" s="4" t="str">
        <f>IFERROR(__xludf.DUMMYFUNCTION("""COMPUTED_VALUE"""),"Web Summit Trailer - Short")</f>
        <v>Web Summit Trailer - Short</v>
      </c>
      <c r="L109" s="4" t="str">
        <f>IFERROR(__xludf.DUMMYFUNCTION("""COMPUTED_VALUE"""),"")</f>
        <v/>
      </c>
      <c r="M109" s="4" t="str">
        <f>IFERROR(__xludf.DUMMYFUNCTION("""COMPUTED_VALUE"""),"")</f>
        <v/>
      </c>
      <c r="N109" s="4" t="str">
        <f>IFERROR(__xludf.DUMMYFUNCTION("""COMPUTED_VALUE"""),"")</f>
        <v/>
      </c>
      <c r="O109" s="4" t="str">
        <f>IFERROR(__xludf.DUMMYFUNCTION("""COMPUTED_VALUE"""),"")</f>
        <v/>
      </c>
      <c r="P109" s="4" t="str">
        <f>IFERROR(__xludf.DUMMYFUNCTION("""COMPUTED_VALUE"""),"")</f>
        <v/>
      </c>
      <c r="Q109" s="4" t="str">
        <f>IFERROR(__xludf.DUMMYFUNCTION("""COMPUTED_VALUE"""),"")</f>
        <v/>
      </c>
      <c r="R109" s="4" t="str">
        <f>IFERROR(__xludf.DUMMYFUNCTION("""COMPUTED_VALUE"""),"")</f>
        <v/>
      </c>
    </row>
    <row r="110">
      <c r="A110" s="4" t="str">
        <f>IFERROR(__xludf.DUMMYFUNCTION("""COMPUTED_VALUE"""),"112 - Channel 5")</f>
        <v>112 - Channel 5</v>
      </c>
      <c r="B110" s="4" t="str">
        <f>IFERROR(__xludf.DUMMYFUNCTION("""COMPUTED_VALUE"""),"Day 2 - 24/06")</f>
        <v>Day 2 - 24/06</v>
      </c>
      <c r="C110" s="6">
        <f>IFERROR(__xludf.DUMMYFUNCTION("""COMPUTED_VALUE"""),0.49951388888888903)</f>
        <v>0.4995138889</v>
      </c>
      <c r="D110" s="8">
        <f>IFERROR(__xludf.DUMMYFUNCTION("""COMPUTED_VALUE"""),3.4722222222222224E-4)</f>
        <v>0.0003472222222</v>
      </c>
      <c r="E110" s="6">
        <f>IFERROR(__xludf.DUMMYFUNCTION("""COMPUTED_VALUE"""),0.49986111111111126)</f>
        <v>0.4998611111</v>
      </c>
      <c r="F110" s="4" t="str">
        <f>IFERROR(__xludf.DUMMYFUNCTION("""COMPUTED_VALUE"""),"")</f>
        <v/>
      </c>
      <c r="G110" s="4" t="str">
        <f>IFERROR(__xludf.DUMMYFUNCTION("""COMPUTED_VALUE"""),"")</f>
        <v/>
      </c>
      <c r="H110" s="4" t="str">
        <f>IFERROR(__xludf.DUMMYFUNCTION("""COMPUTED_VALUE"""),"")</f>
        <v/>
      </c>
      <c r="I110" s="4" t="str">
        <f>IFERROR(__xludf.DUMMYFUNCTION("""COMPUTED_VALUE"""),"")</f>
        <v/>
      </c>
      <c r="J110" s="4" t="str">
        <f>IFERROR(__xludf.DUMMYFUNCTION("""COMPUTED_VALUE"""),"")</f>
        <v/>
      </c>
      <c r="K110" s="4" t="str">
        <f>IFERROR(__xludf.DUMMYFUNCTION("""COMPUTED_VALUE"""),"Talk Intro")</f>
        <v>Talk Intro</v>
      </c>
      <c r="L110" s="4" t="str">
        <f>IFERROR(__xludf.DUMMYFUNCTION("""COMPUTED_VALUE"""),"")</f>
        <v/>
      </c>
      <c r="M110" s="4" t="str">
        <f>IFERROR(__xludf.DUMMYFUNCTION("""COMPUTED_VALUE"""),"")</f>
        <v/>
      </c>
      <c r="N110" s="4" t="str">
        <f>IFERROR(__xludf.DUMMYFUNCTION("""COMPUTED_VALUE"""),"")</f>
        <v/>
      </c>
      <c r="O110" s="4" t="str">
        <f>IFERROR(__xludf.DUMMYFUNCTION("""COMPUTED_VALUE"""),"")</f>
        <v/>
      </c>
      <c r="P110" s="4" t="str">
        <f>IFERROR(__xludf.DUMMYFUNCTION("""COMPUTED_VALUE"""),"")</f>
        <v/>
      </c>
      <c r="Q110" s="4" t="str">
        <f>IFERROR(__xludf.DUMMYFUNCTION("""COMPUTED_VALUE"""),"")</f>
        <v/>
      </c>
      <c r="R110" s="4" t="str">
        <f>IFERROR(__xludf.DUMMYFUNCTION("""COMPUTED_VALUE"""),"")</f>
        <v/>
      </c>
    </row>
    <row r="111">
      <c r="A111" s="4" t="str">
        <f>IFERROR(__xludf.DUMMYFUNCTION("""COMPUTED_VALUE"""),"113 - Channel 5")</f>
        <v>113 - Channel 5</v>
      </c>
      <c r="B111" s="4" t="str">
        <f>IFERROR(__xludf.DUMMYFUNCTION("""COMPUTED_VALUE"""),"Day 2 - 24/06")</f>
        <v>Day 2 - 24/06</v>
      </c>
      <c r="C111" s="6">
        <f>IFERROR(__xludf.DUMMYFUNCTION("""COMPUTED_VALUE"""),0.49986111111111126)</f>
        <v>0.4998611111</v>
      </c>
      <c r="D111" s="8">
        <f>IFERROR(__xludf.DUMMYFUNCTION("""COMPUTED_VALUE"""),0.006944444444444444)</f>
        <v>0.006944444444</v>
      </c>
      <c r="E111" s="6">
        <f>IFERROR(__xludf.DUMMYFUNCTION("""COMPUTED_VALUE"""),0.5068055555555557)</f>
        <v>0.5068055556</v>
      </c>
      <c r="F111" s="4" t="str">
        <f>IFERROR(__xludf.DUMMYFUNCTION("""COMPUTED_VALUE"""),"Marketing")</f>
        <v>Marketing</v>
      </c>
      <c r="G111" s="4" t="str">
        <f>IFERROR(__xludf.DUMMYFUNCTION("""COMPUTED_VALUE"""),"")</f>
        <v/>
      </c>
      <c r="H111" s="4" t="str">
        <f>IFERROR(__xludf.DUMMYFUNCTION("""COMPUTED_VALUE"""),"")</f>
        <v/>
      </c>
      <c r="I111" s="4" t="str">
        <f>IFERROR(__xludf.DUMMYFUNCTION("""COMPUTED_VALUE"""),"")</f>
        <v/>
      </c>
      <c r="J111" s="4" t="str">
        <f>IFERROR(__xludf.DUMMYFUNCTION("""COMPUTED_VALUE"""),"No")</f>
        <v>No</v>
      </c>
      <c r="K111" s="4" t="str">
        <f>IFERROR(__xludf.DUMMYFUNCTION("""COMPUTED_VALUE"""),"Top 5 CMOs")</f>
        <v>Top 5 CMOs</v>
      </c>
      <c r="L111" s="4" t="str">
        <f>IFERROR(__xludf.DUMMYFUNCTION("""COMPUTED_VALUE"""),"Geraldine Calpin, Hilton Worldwide")</f>
        <v>Geraldine Calpin, Hilton Worldwide</v>
      </c>
      <c r="M111" s="4" t="str">
        <f>IFERROR(__xludf.DUMMYFUNCTION("""COMPUTED_VALUE"""),"Jessica Spence, Carlsberg")</f>
        <v>Jessica Spence, Carlsberg</v>
      </c>
      <c r="N111" s="4" t="str">
        <f>IFERROR(__xludf.DUMMYFUNCTION("""COMPUTED_VALUE"""),"Meredith Verdone, Bank of America - North America &amp; Michael Sneed, Johnson &amp; Johnson")</f>
        <v>Meredith Verdone, Bank of America - North America &amp; Michael Sneed, Johnson &amp; Johnson</v>
      </c>
      <c r="O111" s="4" t="str">
        <f>IFERROR(__xludf.DUMMYFUNCTION("""COMPUTED_VALUE"""),"Frank Cooper, BlackRock")</f>
        <v>Frank Cooper, BlackRock</v>
      </c>
      <c r="P111" s="4" t="str">
        <f>IFERROR(__xludf.DUMMYFUNCTION("""COMPUTED_VALUE"""),"Fernando Machado, Burger King")</f>
        <v>Fernando Machado, Burger King</v>
      </c>
      <c r="Q111" s="4" t="str">
        <f>IFERROR(__xludf.DUMMYFUNCTION("""COMPUTED_VALUE"""),"Featuring CMOs from Hilton, Carlsberg, Bank of America, BlackRock, Burger King and Johnson &amp; Johnson. A great CMO can make an average company a great one. These five CMOs are true masters of the craft. Tune in to hear how to become a great marketer.")</f>
        <v>Featuring CMOs from Hilton, Carlsberg, Bank of America, BlackRock, Burger King and Johnson &amp; Johnson. A great CMO can make an average company a great one. These five CMOs are true masters of the craft. Tune in to hear how to become a great marketer.</v>
      </c>
      <c r="R111" s="4" t="str">
        <f>IFERROR(__xludf.DUMMYFUNCTION("""COMPUTED_VALUE"""),"")</f>
        <v/>
      </c>
    </row>
    <row r="112">
      <c r="A112" s="4" t="str">
        <f>IFERROR(__xludf.DUMMYFUNCTION("""COMPUTED_VALUE"""),"114 - Channel 5")</f>
        <v>114 - Channel 5</v>
      </c>
      <c r="B112" s="4" t="str">
        <f>IFERROR(__xludf.DUMMYFUNCTION("""COMPUTED_VALUE"""),"Day 2 - 24/06")</f>
        <v>Day 2 - 24/06</v>
      </c>
      <c r="C112" s="6">
        <f>IFERROR(__xludf.DUMMYFUNCTION("""COMPUTED_VALUE"""),0.5068055555555557)</f>
        <v>0.5068055556</v>
      </c>
      <c r="D112" s="8">
        <f>IFERROR(__xludf.DUMMYFUNCTION("""COMPUTED_VALUE"""),1.7361111111111112E-4)</f>
        <v>0.0001736111111</v>
      </c>
      <c r="E112" s="6">
        <f>IFERROR(__xludf.DUMMYFUNCTION("""COMPUTED_VALUE"""),0.5069791666666669)</f>
        <v>0.5069791667</v>
      </c>
      <c r="F112" s="4" t="str">
        <f>IFERROR(__xludf.DUMMYFUNCTION("""COMPUTED_VALUE"""),"")</f>
        <v/>
      </c>
      <c r="G112" s="4" t="str">
        <f>IFERROR(__xludf.DUMMYFUNCTION("""COMPUTED_VALUE"""),"")</f>
        <v/>
      </c>
      <c r="H112" s="4" t="str">
        <f>IFERROR(__xludf.DUMMYFUNCTION("""COMPUTED_VALUE"""),"")</f>
        <v/>
      </c>
      <c r="I112" s="4" t="str">
        <f>IFERROR(__xludf.DUMMYFUNCTION("""COMPUTED_VALUE"""),"")</f>
        <v/>
      </c>
      <c r="J112" s="4" t="str">
        <f>IFERROR(__xludf.DUMMYFUNCTION("""COMPUTED_VALUE"""),"")</f>
        <v/>
      </c>
      <c r="K112" s="4" t="str">
        <f>IFERROR(__xludf.DUMMYFUNCTION("""COMPUTED_VALUE"""),"Talk Outro")</f>
        <v>Talk Outro</v>
      </c>
      <c r="L112" s="4" t="str">
        <f>IFERROR(__xludf.DUMMYFUNCTION("""COMPUTED_VALUE"""),"")</f>
        <v/>
      </c>
      <c r="M112" s="4" t="str">
        <f>IFERROR(__xludf.DUMMYFUNCTION("""COMPUTED_VALUE"""),"")</f>
        <v/>
      </c>
      <c r="N112" s="4" t="str">
        <f>IFERROR(__xludf.DUMMYFUNCTION("""COMPUTED_VALUE"""),"")</f>
        <v/>
      </c>
      <c r="O112" s="4" t="str">
        <f>IFERROR(__xludf.DUMMYFUNCTION("""COMPUTED_VALUE"""),"")</f>
        <v/>
      </c>
      <c r="P112" s="4" t="str">
        <f>IFERROR(__xludf.DUMMYFUNCTION("""COMPUTED_VALUE"""),"")</f>
        <v/>
      </c>
      <c r="Q112" s="4" t="str">
        <f>IFERROR(__xludf.DUMMYFUNCTION("""COMPUTED_VALUE"""),"")</f>
        <v/>
      </c>
      <c r="R112" s="4" t="str">
        <f>IFERROR(__xludf.DUMMYFUNCTION("""COMPUTED_VALUE"""),"")</f>
        <v/>
      </c>
    </row>
    <row r="113">
      <c r="A113" s="4" t="str">
        <f>IFERROR(__xludf.DUMMYFUNCTION("""COMPUTED_VALUE"""),"291 - Channel 5")</f>
        <v>291 - Channel 5</v>
      </c>
      <c r="B113" s="4" t="str">
        <f>IFERROR(__xludf.DUMMYFUNCTION("""COMPUTED_VALUE"""),"Day 2 - 24/06")</f>
        <v>Day 2 - 24/06</v>
      </c>
      <c r="C113" s="6">
        <f>IFERROR(__xludf.DUMMYFUNCTION("""COMPUTED_VALUE"""),0.5069791666666669)</f>
        <v>0.5069791667</v>
      </c>
      <c r="D113" s="8">
        <f>IFERROR(__xludf.DUMMYFUNCTION("""COMPUTED_VALUE"""),3.4722222222222224E-4)</f>
        <v>0.0003472222222</v>
      </c>
      <c r="E113" s="6">
        <f>IFERROR(__xludf.DUMMYFUNCTION("""COMPUTED_VALUE"""),0.5073263888888891)</f>
        <v>0.5073263889</v>
      </c>
      <c r="F113" s="4" t="str">
        <f>IFERROR(__xludf.DUMMYFUNCTION("""COMPUTED_VALUE"""),"")</f>
        <v/>
      </c>
      <c r="G113" s="4" t="str">
        <f>IFERROR(__xludf.DUMMYFUNCTION("""COMPUTED_VALUE"""),"")</f>
        <v/>
      </c>
      <c r="H113" s="4" t="str">
        <f>IFERROR(__xludf.DUMMYFUNCTION("""COMPUTED_VALUE"""),"")</f>
        <v/>
      </c>
      <c r="I113" s="4" t="str">
        <f>IFERROR(__xludf.DUMMYFUNCTION("""COMPUTED_VALUE"""),"")</f>
        <v/>
      </c>
      <c r="J113" s="4" t="str">
        <f>IFERROR(__xludf.DUMMYFUNCTION("""COMPUTED_VALUE"""),"")</f>
        <v/>
      </c>
      <c r="K113" s="4" t="str">
        <f>IFERROR(__xludf.DUMMYFUNCTION("""COMPUTED_VALUE"""),"Web Summit Trailer - Short")</f>
        <v>Web Summit Trailer - Short</v>
      </c>
      <c r="L113" s="4" t="str">
        <f>IFERROR(__xludf.DUMMYFUNCTION("""COMPUTED_VALUE"""),"")</f>
        <v/>
      </c>
      <c r="M113" s="4" t="str">
        <f>IFERROR(__xludf.DUMMYFUNCTION("""COMPUTED_VALUE"""),"")</f>
        <v/>
      </c>
      <c r="N113" s="4" t="str">
        <f>IFERROR(__xludf.DUMMYFUNCTION("""COMPUTED_VALUE"""),"")</f>
        <v/>
      </c>
      <c r="O113" s="4" t="str">
        <f>IFERROR(__xludf.DUMMYFUNCTION("""COMPUTED_VALUE"""),"")</f>
        <v/>
      </c>
      <c r="P113" s="4" t="str">
        <f>IFERROR(__xludf.DUMMYFUNCTION("""COMPUTED_VALUE"""),"")</f>
        <v/>
      </c>
      <c r="Q113" s="4" t="str">
        <f>IFERROR(__xludf.DUMMYFUNCTION("""COMPUTED_VALUE"""),"")</f>
        <v/>
      </c>
      <c r="R113" s="4" t="str">
        <f>IFERROR(__xludf.DUMMYFUNCTION("""COMPUTED_VALUE"""),"")</f>
        <v/>
      </c>
    </row>
    <row r="114">
      <c r="A114" s="4" t="str">
        <f>IFERROR(__xludf.DUMMYFUNCTION("""COMPUTED_VALUE"""),"116 - Channel 5")</f>
        <v>116 - Channel 5</v>
      </c>
      <c r="B114" s="4" t="str">
        <f>IFERROR(__xludf.DUMMYFUNCTION("""COMPUTED_VALUE"""),"Day 2 - 24/06")</f>
        <v>Day 2 - 24/06</v>
      </c>
      <c r="C114" s="6">
        <f>IFERROR(__xludf.DUMMYFUNCTION("""COMPUTED_VALUE"""),0.5073263888888891)</f>
        <v>0.5073263889</v>
      </c>
      <c r="D114" s="8">
        <f>IFERROR(__xludf.DUMMYFUNCTION("""COMPUTED_VALUE"""),3.4722222222222224E-4)</f>
        <v>0.0003472222222</v>
      </c>
      <c r="E114" s="6">
        <f>IFERROR(__xludf.DUMMYFUNCTION("""COMPUTED_VALUE"""),0.5076736111111114)</f>
        <v>0.5076736111</v>
      </c>
      <c r="F114" s="4" t="str">
        <f>IFERROR(__xludf.DUMMYFUNCTION("""COMPUTED_VALUE"""),"")</f>
        <v/>
      </c>
      <c r="G114" s="4" t="str">
        <f>IFERROR(__xludf.DUMMYFUNCTION("""COMPUTED_VALUE"""),"")</f>
        <v/>
      </c>
      <c r="H114" s="4" t="str">
        <f>IFERROR(__xludf.DUMMYFUNCTION("""COMPUTED_VALUE"""),"")</f>
        <v/>
      </c>
      <c r="I114" s="4" t="str">
        <f>IFERROR(__xludf.DUMMYFUNCTION("""COMPUTED_VALUE"""),"")</f>
        <v/>
      </c>
      <c r="J114" s="4" t="str">
        <f>IFERROR(__xludf.DUMMYFUNCTION("""COMPUTED_VALUE"""),"")</f>
        <v/>
      </c>
      <c r="K114" s="4" t="str">
        <f>IFERROR(__xludf.DUMMYFUNCTION("""COMPUTED_VALUE"""),"Talk Intro")</f>
        <v>Talk Intro</v>
      </c>
      <c r="L114" s="4" t="str">
        <f>IFERROR(__xludf.DUMMYFUNCTION("""COMPUTED_VALUE"""),"")</f>
        <v/>
      </c>
      <c r="M114" s="4" t="str">
        <f>IFERROR(__xludf.DUMMYFUNCTION("""COMPUTED_VALUE"""),"")</f>
        <v/>
      </c>
      <c r="N114" s="4" t="str">
        <f>IFERROR(__xludf.DUMMYFUNCTION("""COMPUTED_VALUE"""),"")</f>
        <v/>
      </c>
      <c r="O114" s="4" t="str">
        <f>IFERROR(__xludf.DUMMYFUNCTION("""COMPUTED_VALUE"""),"")</f>
        <v/>
      </c>
      <c r="P114" s="4" t="str">
        <f>IFERROR(__xludf.DUMMYFUNCTION("""COMPUTED_VALUE"""),"")</f>
        <v/>
      </c>
      <c r="Q114" s="4" t="str">
        <f>IFERROR(__xludf.DUMMYFUNCTION("""COMPUTED_VALUE"""),"")</f>
        <v/>
      </c>
      <c r="R114" s="4" t="str">
        <f>IFERROR(__xludf.DUMMYFUNCTION("""COMPUTED_VALUE"""),"")</f>
        <v/>
      </c>
    </row>
    <row r="115">
      <c r="A115" s="4" t="str">
        <f>IFERROR(__xludf.DUMMYFUNCTION("""COMPUTED_VALUE"""),"117 - Channel 5")</f>
        <v>117 - Channel 5</v>
      </c>
      <c r="B115" s="4" t="str">
        <f>IFERROR(__xludf.DUMMYFUNCTION("""COMPUTED_VALUE"""),"Day 2 - 24/06")</f>
        <v>Day 2 - 24/06</v>
      </c>
      <c r="C115" s="6">
        <f>IFERROR(__xludf.DUMMYFUNCTION("""COMPUTED_VALUE"""),0.5076736111111114)</f>
        <v>0.5076736111</v>
      </c>
      <c r="D115" s="8">
        <f>IFERROR(__xludf.DUMMYFUNCTION("""COMPUTED_VALUE"""),0.012060185185185186)</f>
        <v>0.01206018519</v>
      </c>
      <c r="E115" s="6">
        <f>IFERROR(__xludf.DUMMYFUNCTION("""COMPUTED_VALUE"""),0.5197337962962966)</f>
        <v>0.5197337963</v>
      </c>
      <c r="F115" s="4" t="str">
        <f>IFERROR(__xludf.DUMMYFUNCTION("""COMPUTED_VALUE"""),"Social Media")</f>
        <v>Social Media</v>
      </c>
      <c r="G115" s="4" t="str">
        <f>IFERROR(__xludf.DUMMYFUNCTION("""COMPUTED_VALUE"""),"Web Summit 2015")</f>
        <v>Web Summit 2015</v>
      </c>
      <c r="H115" s="21" t="str">
        <f>IFERROR(__xludf.DUMMYFUNCTION("""COMPUTED_VALUE"""),"https://www.youtube.com/watch?v=jnw6_o8cAM4")</f>
        <v>https://www.youtube.com/watch?v=jnw6_o8cAM4</v>
      </c>
      <c r="I115" s="4" t="str">
        <f>IFERROR(__xludf.DUMMYFUNCTION("""COMPUTED_VALUE"""),"Stat at 00:10. Go to the end.")</f>
        <v>Stat at 00:10. Go to the end.</v>
      </c>
      <c r="J115" s="4" t="str">
        <f>IFERROR(__xludf.DUMMYFUNCTION("""COMPUTED_VALUE"""),"No")</f>
        <v>No</v>
      </c>
      <c r="K115" s="4" t="str">
        <f>IFERROR(__xludf.DUMMYFUNCTION("""COMPUTED_VALUE"""),"Mike Krieger keeps Instagram in focus")</f>
        <v>Mike Krieger keeps Instagram in focus</v>
      </c>
      <c r="L115" s="4" t="str">
        <f>IFERROR(__xludf.DUMMYFUNCTION("""COMPUTED_VALUE"""),"Mike Krieger, Instagram")</f>
        <v>Mike Krieger, Instagram</v>
      </c>
      <c r="M115" s="4" t="str">
        <f>IFERROR(__xludf.DUMMYFUNCTION("""COMPUTED_VALUE"""),"")</f>
        <v/>
      </c>
      <c r="N115" s="4" t="str">
        <f>IFERROR(__xludf.DUMMYFUNCTION("""COMPUTED_VALUE"""),"")</f>
        <v/>
      </c>
      <c r="O115" s="4" t="str">
        <f>IFERROR(__xludf.DUMMYFUNCTION("""COMPUTED_VALUE"""),"")</f>
        <v/>
      </c>
      <c r="P115" s="4" t="str">
        <f>IFERROR(__xludf.DUMMYFUNCTION("""COMPUTED_VALUE"""),"")</f>
        <v/>
      </c>
      <c r="Q115" s="4" t="str">
        <f>IFERROR(__xludf.DUMMYFUNCTION("""COMPUTED_VALUE"""),"In 2010 Mike Krieger and Kevin Systrom founded Instagram. In 2015, Mike joined us at Web Summit to put Instagram in the spotlight. He explained how Instagram had been so successful, and his vision for its future – a vision that is no less relevant today, "&amp;"despite his departure from Instagram in 2018.")</f>
        <v>In 2010 Mike Krieger and Kevin Systrom founded Instagram. In 2015, Mike joined us at Web Summit to put Instagram in the spotlight. He explained how Instagram had been so successful, and his vision for its future – a vision that is no less relevant today, despite his departure from Instagram in 2018.</v>
      </c>
      <c r="R115" s="4" t="str">
        <f>IFERROR(__xludf.DUMMYFUNCTION("""COMPUTED_VALUE"""),"")</f>
        <v/>
      </c>
    </row>
    <row r="116">
      <c r="A116" s="4" t="str">
        <f>IFERROR(__xludf.DUMMYFUNCTION("""COMPUTED_VALUE"""),"118 - Channel 5")</f>
        <v>118 - Channel 5</v>
      </c>
      <c r="B116" s="4" t="str">
        <f>IFERROR(__xludf.DUMMYFUNCTION("""COMPUTED_VALUE"""),"Day 2 - 24/06")</f>
        <v>Day 2 - 24/06</v>
      </c>
      <c r="C116" s="6">
        <f>IFERROR(__xludf.DUMMYFUNCTION("""COMPUTED_VALUE"""),0.5197337962962966)</f>
        <v>0.5197337963</v>
      </c>
      <c r="D116" s="8">
        <f>IFERROR(__xludf.DUMMYFUNCTION("""COMPUTED_VALUE"""),1.7361111111111112E-4)</f>
        <v>0.0001736111111</v>
      </c>
      <c r="E116" s="6">
        <f>IFERROR(__xludf.DUMMYFUNCTION("""COMPUTED_VALUE"""),0.5199074074074077)</f>
        <v>0.5199074074</v>
      </c>
      <c r="F116" s="4" t="str">
        <f>IFERROR(__xludf.DUMMYFUNCTION("""COMPUTED_VALUE"""),"")</f>
        <v/>
      </c>
      <c r="G116" s="4" t="str">
        <f>IFERROR(__xludf.DUMMYFUNCTION("""COMPUTED_VALUE"""),"")</f>
        <v/>
      </c>
      <c r="H116" s="4" t="str">
        <f>IFERROR(__xludf.DUMMYFUNCTION("""COMPUTED_VALUE"""),"")</f>
        <v/>
      </c>
      <c r="I116" s="4" t="str">
        <f>IFERROR(__xludf.DUMMYFUNCTION("""COMPUTED_VALUE"""),"")</f>
        <v/>
      </c>
      <c r="J116" s="4" t="str">
        <f>IFERROR(__xludf.DUMMYFUNCTION("""COMPUTED_VALUE"""),"")</f>
        <v/>
      </c>
      <c r="K116" s="4" t="str">
        <f>IFERROR(__xludf.DUMMYFUNCTION("""COMPUTED_VALUE"""),"Talk Outro")</f>
        <v>Talk Outro</v>
      </c>
      <c r="L116" s="4" t="str">
        <f>IFERROR(__xludf.DUMMYFUNCTION("""COMPUTED_VALUE"""),"")</f>
        <v/>
      </c>
      <c r="M116" s="4" t="str">
        <f>IFERROR(__xludf.DUMMYFUNCTION("""COMPUTED_VALUE"""),"")</f>
        <v/>
      </c>
      <c r="N116" s="4" t="str">
        <f>IFERROR(__xludf.DUMMYFUNCTION("""COMPUTED_VALUE"""),"")</f>
        <v/>
      </c>
      <c r="O116" s="4" t="str">
        <f>IFERROR(__xludf.DUMMYFUNCTION("""COMPUTED_VALUE"""),"")</f>
        <v/>
      </c>
      <c r="P116" s="4" t="str">
        <f>IFERROR(__xludf.DUMMYFUNCTION("""COMPUTED_VALUE"""),"")</f>
        <v/>
      </c>
      <c r="Q116" s="4" t="str">
        <f>IFERROR(__xludf.DUMMYFUNCTION("""COMPUTED_VALUE"""),"")</f>
        <v/>
      </c>
      <c r="R116" s="4" t="str">
        <f>IFERROR(__xludf.DUMMYFUNCTION("""COMPUTED_VALUE"""),"")</f>
        <v/>
      </c>
    </row>
    <row r="117">
      <c r="A117" s="4" t="str">
        <f>IFERROR(__xludf.DUMMYFUNCTION("""COMPUTED_VALUE"""),"119 - Channel 5")</f>
        <v>119 - Channel 5</v>
      </c>
      <c r="B117" s="4" t="str">
        <f>IFERROR(__xludf.DUMMYFUNCTION("""COMPUTED_VALUE"""),"Day 2 - 24/06")</f>
        <v>Day 2 - 24/06</v>
      </c>
      <c r="C117" s="6">
        <f>IFERROR(__xludf.DUMMYFUNCTION("""COMPUTED_VALUE"""),0.5199074074074077)</f>
        <v>0.5199074074</v>
      </c>
      <c r="D117" s="8">
        <f>IFERROR(__xludf.DUMMYFUNCTION("""COMPUTED_VALUE"""),5.208333333333333E-4)</f>
        <v>0.0005208333333</v>
      </c>
      <c r="E117" s="6">
        <f>IFERROR(__xludf.DUMMYFUNCTION("""COMPUTED_VALUE"""),0.520428240740741)</f>
        <v>0.5204282407</v>
      </c>
      <c r="F117" s="4" t="str">
        <f>IFERROR(__xludf.DUMMYFUNCTION("""COMPUTED_VALUE"""),"")</f>
        <v/>
      </c>
      <c r="G117" s="4" t="str">
        <f>IFERROR(__xludf.DUMMYFUNCTION("""COMPUTED_VALUE"""),"")</f>
        <v/>
      </c>
      <c r="H117" s="4" t="str">
        <f>IFERROR(__xludf.DUMMYFUNCTION("""COMPUTED_VALUE"""),"")</f>
        <v/>
      </c>
      <c r="I117" s="4" t="str">
        <f>IFERROR(__xludf.DUMMYFUNCTION("""COMPUTED_VALUE"""),"")</f>
        <v/>
      </c>
      <c r="J117" s="4" t="str">
        <f>IFERROR(__xludf.DUMMYFUNCTION("""COMPUTED_VALUE"""),"")</f>
        <v/>
      </c>
      <c r="K117" s="4" t="str">
        <f>IFERROR(__xludf.DUMMYFUNCTION("""COMPUTED_VALUE"""),"Web Summit Trailer - Full")</f>
        <v>Web Summit Trailer - Full</v>
      </c>
      <c r="L117" s="4" t="str">
        <f>IFERROR(__xludf.DUMMYFUNCTION("""COMPUTED_VALUE"""),"")</f>
        <v/>
      </c>
      <c r="M117" s="4" t="str">
        <f>IFERROR(__xludf.DUMMYFUNCTION("""COMPUTED_VALUE"""),"")</f>
        <v/>
      </c>
      <c r="N117" s="4" t="str">
        <f>IFERROR(__xludf.DUMMYFUNCTION("""COMPUTED_VALUE"""),"")</f>
        <v/>
      </c>
      <c r="O117" s="4" t="str">
        <f>IFERROR(__xludf.DUMMYFUNCTION("""COMPUTED_VALUE"""),"")</f>
        <v/>
      </c>
      <c r="P117" s="4" t="str">
        <f>IFERROR(__xludf.DUMMYFUNCTION("""COMPUTED_VALUE"""),"")</f>
        <v/>
      </c>
      <c r="Q117" s="4" t="str">
        <f>IFERROR(__xludf.DUMMYFUNCTION("""COMPUTED_VALUE"""),"")</f>
        <v/>
      </c>
      <c r="R117" s="4" t="str">
        <f>IFERROR(__xludf.DUMMYFUNCTION("""COMPUTED_VALUE"""),"")</f>
        <v/>
      </c>
    </row>
    <row r="118">
      <c r="A118" s="4" t="str">
        <f>IFERROR(__xludf.DUMMYFUNCTION("""COMPUTED_VALUE"""),"293 - Channel 5")</f>
        <v>293 - Channel 5</v>
      </c>
      <c r="B118" s="4" t="str">
        <f>IFERROR(__xludf.DUMMYFUNCTION("""COMPUTED_VALUE"""),"Day 2 - 24/06")</f>
        <v>Day 2 - 24/06</v>
      </c>
      <c r="C118" s="6">
        <f>IFERROR(__xludf.DUMMYFUNCTION("""COMPUTED_VALUE"""),0.520428240740741)</f>
        <v>0.5204282407</v>
      </c>
      <c r="D118" s="8">
        <f>IFERROR(__xludf.DUMMYFUNCTION("""COMPUTED_VALUE"""),6.944444444444445E-4)</f>
        <v>0.0006944444444</v>
      </c>
      <c r="E118" s="6">
        <f>IFERROR(__xludf.DUMMYFUNCTION("""COMPUTED_VALUE"""),0.5211226851851855)</f>
        <v>0.5211226852</v>
      </c>
      <c r="F118" s="4" t="str">
        <f>IFERROR(__xludf.DUMMYFUNCTION("""COMPUTED_VALUE"""),"")</f>
        <v/>
      </c>
      <c r="G118" s="4" t="str">
        <f>IFERROR(__xludf.DUMMYFUNCTION("""COMPUTED_VALUE"""),"")</f>
        <v/>
      </c>
      <c r="H118" s="4" t="str">
        <f>IFERROR(__xludf.DUMMYFUNCTION("""COMPUTED_VALUE"""),"")</f>
        <v/>
      </c>
      <c r="I118" s="4" t="str">
        <f>IFERROR(__xludf.DUMMYFUNCTION("""COMPUTED_VALUE"""),"")</f>
        <v/>
      </c>
      <c r="J118" s="4" t="str">
        <f>IFERROR(__xludf.DUMMYFUNCTION("""COMPUTED_VALUE"""),"")</f>
        <v/>
      </c>
      <c r="K118" s="4" t="str">
        <f>IFERROR(__xludf.DUMMYFUNCTION("""COMPUTED_VALUE"""),"Holding Graphic")</f>
        <v>Holding Graphic</v>
      </c>
      <c r="L118" s="4" t="str">
        <f>IFERROR(__xludf.DUMMYFUNCTION("""COMPUTED_VALUE"""),"")</f>
        <v/>
      </c>
      <c r="M118" s="4" t="str">
        <f>IFERROR(__xludf.DUMMYFUNCTION("""COMPUTED_VALUE"""),"")</f>
        <v/>
      </c>
      <c r="N118" s="4" t="str">
        <f>IFERROR(__xludf.DUMMYFUNCTION("""COMPUTED_VALUE"""),"")</f>
        <v/>
      </c>
      <c r="O118" s="4" t="str">
        <f>IFERROR(__xludf.DUMMYFUNCTION("""COMPUTED_VALUE"""),"")</f>
        <v/>
      </c>
      <c r="P118" s="4" t="str">
        <f>IFERROR(__xludf.DUMMYFUNCTION("""COMPUTED_VALUE"""),"")</f>
        <v/>
      </c>
      <c r="Q118" s="4" t="str">
        <f>IFERROR(__xludf.DUMMYFUNCTION("""COMPUTED_VALUE"""),"")</f>
        <v/>
      </c>
      <c r="R118" s="4" t="str">
        <f>IFERROR(__xludf.DUMMYFUNCTION("""COMPUTED_VALUE"""),"")</f>
        <v/>
      </c>
    </row>
    <row r="119">
      <c r="A119" s="4" t="str">
        <f>IFERROR(__xludf.DUMMYFUNCTION("""COMPUTED_VALUE"""),"121 - Channel 5")</f>
        <v>121 - Channel 5</v>
      </c>
      <c r="B119" s="4" t="str">
        <f>IFERROR(__xludf.DUMMYFUNCTION("""COMPUTED_VALUE"""),"Day 2 - 24/06")</f>
        <v>Day 2 - 24/06</v>
      </c>
      <c r="C119" s="6">
        <f>IFERROR(__xludf.DUMMYFUNCTION("""COMPUTED_VALUE"""),0.5211226851851855)</f>
        <v>0.5211226852</v>
      </c>
      <c r="D119" s="8">
        <f>IFERROR(__xludf.DUMMYFUNCTION("""COMPUTED_VALUE"""),3.4722222222222224E-4)</f>
        <v>0.0003472222222</v>
      </c>
      <c r="E119" s="6">
        <f>IFERROR(__xludf.DUMMYFUNCTION("""COMPUTED_VALUE"""),0.5214699074074077)</f>
        <v>0.5214699074</v>
      </c>
      <c r="F119" s="4" t="str">
        <f>IFERROR(__xludf.DUMMYFUNCTION("""COMPUTED_VALUE"""),"")</f>
        <v/>
      </c>
      <c r="G119" s="4" t="str">
        <f>IFERROR(__xludf.DUMMYFUNCTION("""COMPUTED_VALUE"""),"")</f>
        <v/>
      </c>
      <c r="H119" s="4" t="str">
        <f>IFERROR(__xludf.DUMMYFUNCTION("""COMPUTED_VALUE"""),"")</f>
        <v/>
      </c>
      <c r="I119" s="4" t="str">
        <f>IFERROR(__xludf.DUMMYFUNCTION("""COMPUTED_VALUE"""),"")</f>
        <v/>
      </c>
      <c r="J119" s="4" t="str">
        <f>IFERROR(__xludf.DUMMYFUNCTION("""COMPUTED_VALUE"""),"")</f>
        <v/>
      </c>
      <c r="K119" s="4" t="str">
        <f>IFERROR(__xludf.DUMMYFUNCTION("""COMPUTED_VALUE"""),"Talk Intro")</f>
        <v>Talk Intro</v>
      </c>
      <c r="L119" s="4" t="str">
        <f>IFERROR(__xludf.DUMMYFUNCTION("""COMPUTED_VALUE"""),"")</f>
        <v/>
      </c>
      <c r="M119" s="4" t="str">
        <f>IFERROR(__xludf.DUMMYFUNCTION("""COMPUTED_VALUE"""),"")</f>
        <v/>
      </c>
      <c r="N119" s="4" t="str">
        <f>IFERROR(__xludf.DUMMYFUNCTION("""COMPUTED_VALUE"""),"")</f>
        <v/>
      </c>
      <c r="O119" s="4" t="str">
        <f>IFERROR(__xludf.DUMMYFUNCTION("""COMPUTED_VALUE"""),"")</f>
        <v/>
      </c>
      <c r="P119" s="4" t="str">
        <f>IFERROR(__xludf.DUMMYFUNCTION("""COMPUTED_VALUE"""),"")</f>
        <v/>
      </c>
      <c r="Q119" s="4" t="str">
        <f>IFERROR(__xludf.DUMMYFUNCTION("""COMPUTED_VALUE"""),"")</f>
        <v/>
      </c>
      <c r="R119" s="4" t="str">
        <f>IFERROR(__xludf.DUMMYFUNCTION("""COMPUTED_VALUE"""),"")</f>
        <v/>
      </c>
    </row>
    <row r="120">
      <c r="A120" s="4" t="str">
        <f>IFERROR(__xludf.DUMMYFUNCTION("""COMPUTED_VALUE"""),"122 - Channel 5")</f>
        <v>122 - Channel 5</v>
      </c>
      <c r="B120" s="4" t="str">
        <f>IFERROR(__xludf.DUMMYFUNCTION("""COMPUTED_VALUE"""),"Day 2 - 24/06")</f>
        <v>Day 2 - 24/06</v>
      </c>
      <c r="C120" s="6">
        <f>IFERROR(__xludf.DUMMYFUNCTION("""COMPUTED_VALUE"""),0.5214699074074077)</f>
        <v>0.5214699074</v>
      </c>
      <c r="D120" s="8">
        <f>IFERROR(__xludf.DUMMYFUNCTION("""COMPUTED_VALUE"""),0.015625)</f>
        <v>0.015625</v>
      </c>
      <c r="E120" s="6">
        <f>IFERROR(__xludf.DUMMYFUNCTION("""COMPUTED_VALUE"""),0.5370949074074077)</f>
        <v>0.5370949074</v>
      </c>
      <c r="F120" s="4" t="str">
        <f>IFERROR(__xludf.DUMMYFUNCTION("""COMPUTED_VALUE"""),"Social Media")</f>
        <v>Social Media</v>
      </c>
      <c r="G120" s="4" t="str">
        <f>IFERROR(__xludf.DUMMYFUNCTION("""COMPUTED_VALUE"""),"Web Summit 2018")</f>
        <v>Web Summit 2018</v>
      </c>
      <c r="H120" s="21" t="str">
        <f>IFERROR(__xludf.DUMMYFUNCTION("""COMPUTED_VALUE"""),"https://www.youtube.com/watch?v=2LT_sDkHYRc")</f>
        <v>https://www.youtube.com/watch?v=2LT_sDkHYRc</v>
      </c>
      <c r="I120" s="4" t="str">
        <f>IFERROR(__xludf.DUMMYFUNCTION("""COMPUTED_VALUE"""),"Go from start. Cover banner from 14:00-14:15. Finish at 22:30.")</f>
        <v>Go from start. Cover banner from 14:00-14:15. Finish at 22:30.</v>
      </c>
      <c r="J120" s="4" t="str">
        <f>IFERROR(__xludf.DUMMYFUNCTION("""COMPUTED_VALUE"""),"No")</f>
        <v>No</v>
      </c>
      <c r="K120" s="4" t="str">
        <f>IFERROR(__xludf.DUMMYFUNCTION("""COMPUTED_VALUE"""),"Ben Silbermann believes the future of search is visual with Pinterest")</f>
        <v>Ben Silbermann believes the future of search is visual with Pinterest</v>
      </c>
      <c r="L120" s="4" t="str">
        <f>IFERROR(__xludf.DUMMYFUNCTION("""COMPUTED_VALUE"""),"Ben Silbermann, Pinterest")</f>
        <v>Ben Silbermann, Pinterest</v>
      </c>
      <c r="M120" s="4" t="str">
        <f>IFERROR(__xludf.DUMMYFUNCTION("""COMPUTED_VALUE"""),"")</f>
        <v/>
      </c>
      <c r="N120" s="4" t="str">
        <f>IFERROR(__xludf.DUMMYFUNCTION("""COMPUTED_VALUE"""),"")</f>
        <v/>
      </c>
      <c r="O120" s="4" t="str">
        <f>IFERROR(__xludf.DUMMYFUNCTION("""COMPUTED_VALUE"""),"")</f>
        <v/>
      </c>
      <c r="P120" s="4" t="str">
        <f>IFERROR(__xludf.DUMMYFUNCTION("""COMPUTED_VALUE"""),"")</f>
        <v/>
      </c>
      <c r="Q120" s="4" t="str">
        <f>IFERROR(__xludf.DUMMYFUNCTION("""COMPUTED_VALUE"""),"A picture can paint a thousand words. Join us for this talk from Web Summit 2018 where Ben Silbermann, the CEO of Pinterest, makes this old saying make sense in a modern world.")</f>
        <v>A picture can paint a thousand words. Join us for this talk from Web Summit 2018 where Ben Silbermann, the CEO of Pinterest, makes this old saying make sense in a modern world.</v>
      </c>
      <c r="R120" s="4" t="str">
        <f>IFERROR(__xludf.DUMMYFUNCTION("""COMPUTED_VALUE"""),"")</f>
        <v/>
      </c>
    </row>
    <row r="121">
      <c r="A121" s="4" t="str">
        <f>IFERROR(__xludf.DUMMYFUNCTION("""COMPUTED_VALUE"""),"123 - Channel 5")</f>
        <v>123 - Channel 5</v>
      </c>
      <c r="B121" s="4" t="str">
        <f>IFERROR(__xludf.DUMMYFUNCTION("""COMPUTED_VALUE"""),"Day 2 - 24/06")</f>
        <v>Day 2 - 24/06</v>
      </c>
      <c r="C121" s="6">
        <f>IFERROR(__xludf.DUMMYFUNCTION("""COMPUTED_VALUE"""),0.5370949074074077)</f>
        <v>0.5370949074</v>
      </c>
      <c r="D121" s="8">
        <f>IFERROR(__xludf.DUMMYFUNCTION("""COMPUTED_VALUE"""),1.7361111111111112E-4)</f>
        <v>0.0001736111111</v>
      </c>
      <c r="E121" s="6">
        <f>IFERROR(__xludf.DUMMYFUNCTION("""COMPUTED_VALUE"""),0.5372685185185189)</f>
        <v>0.5372685185</v>
      </c>
      <c r="F121" s="4" t="str">
        <f>IFERROR(__xludf.DUMMYFUNCTION("""COMPUTED_VALUE"""),"")</f>
        <v/>
      </c>
      <c r="G121" s="4" t="str">
        <f>IFERROR(__xludf.DUMMYFUNCTION("""COMPUTED_VALUE"""),"")</f>
        <v/>
      </c>
      <c r="H121" s="4" t="str">
        <f>IFERROR(__xludf.DUMMYFUNCTION("""COMPUTED_VALUE"""),"")</f>
        <v/>
      </c>
      <c r="I121" s="4" t="str">
        <f>IFERROR(__xludf.DUMMYFUNCTION("""COMPUTED_VALUE"""),"")</f>
        <v/>
      </c>
      <c r="J121" s="4" t="str">
        <f>IFERROR(__xludf.DUMMYFUNCTION("""COMPUTED_VALUE"""),"")</f>
        <v/>
      </c>
      <c r="K121" s="4" t="str">
        <f>IFERROR(__xludf.DUMMYFUNCTION("""COMPUTED_VALUE"""),"Talk Outro")</f>
        <v>Talk Outro</v>
      </c>
      <c r="L121" s="4" t="str">
        <f>IFERROR(__xludf.DUMMYFUNCTION("""COMPUTED_VALUE"""),"")</f>
        <v/>
      </c>
      <c r="M121" s="4" t="str">
        <f>IFERROR(__xludf.DUMMYFUNCTION("""COMPUTED_VALUE"""),"")</f>
        <v/>
      </c>
      <c r="N121" s="4" t="str">
        <f>IFERROR(__xludf.DUMMYFUNCTION("""COMPUTED_VALUE"""),"")</f>
        <v/>
      </c>
      <c r="O121" s="4" t="str">
        <f>IFERROR(__xludf.DUMMYFUNCTION("""COMPUTED_VALUE"""),"")</f>
        <v/>
      </c>
      <c r="P121" s="4" t="str">
        <f>IFERROR(__xludf.DUMMYFUNCTION("""COMPUTED_VALUE"""),"")</f>
        <v/>
      </c>
      <c r="Q121" s="4" t="str">
        <f>IFERROR(__xludf.DUMMYFUNCTION("""COMPUTED_VALUE"""),"")</f>
        <v/>
      </c>
      <c r="R121" s="4" t="str">
        <f>IFERROR(__xludf.DUMMYFUNCTION("""COMPUTED_VALUE"""),"")</f>
        <v/>
      </c>
    </row>
    <row r="122">
      <c r="A122" s="4" t="str">
        <f>IFERROR(__xludf.DUMMYFUNCTION("""COMPUTED_VALUE"""),"124 - Channel 5")</f>
        <v>124 - Channel 5</v>
      </c>
      <c r="B122" s="4" t="str">
        <f>IFERROR(__xludf.DUMMYFUNCTION("""COMPUTED_VALUE"""),"Day 2 - 24/06")</f>
        <v>Day 2 - 24/06</v>
      </c>
      <c r="C122" s="6">
        <f>IFERROR(__xludf.DUMMYFUNCTION("""COMPUTED_VALUE"""),0.5372685185185189)</f>
        <v>0.5372685185</v>
      </c>
      <c r="D122" s="8">
        <f>IFERROR(__xludf.DUMMYFUNCTION("""COMPUTED_VALUE"""),3.4722222222222224E-4)</f>
        <v>0.0003472222222</v>
      </c>
      <c r="E122" s="6">
        <f>IFERROR(__xludf.DUMMYFUNCTION("""COMPUTED_VALUE"""),0.5376157407407411)</f>
        <v>0.5376157407</v>
      </c>
      <c r="F122" s="4" t="str">
        <f>IFERROR(__xludf.DUMMYFUNCTION("""COMPUTED_VALUE"""),"")</f>
        <v/>
      </c>
      <c r="G122" s="4" t="str">
        <f>IFERROR(__xludf.DUMMYFUNCTION("""COMPUTED_VALUE"""),"")</f>
        <v/>
      </c>
      <c r="H122" s="4" t="str">
        <f>IFERROR(__xludf.DUMMYFUNCTION("""COMPUTED_VALUE"""),"")</f>
        <v/>
      </c>
      <c r="I122" s="4" t="str">
        <f>IFERROR(__xludf.DUMMYFUNCTION("""COMPUTED_VALUE"""),"")</f>
        <v/>
      </c>
      <c r="J122" s="4" t="str">
        <f>IFERROR(__xludf.DUMMYFUNCTION("""COMPUTED_VALUE"""),"")</f>
        <v/>
      </c>
      <c r="K122" s="4" t="str">
        <f>IFERROR(__xludf.DUMMYFUNCTION("""COMPUTED_VALUE"""),"Talk Intro")</f>
        <v>Talk Intro</v>
      </c>
      <c r="L122" s="4" t="str">
        <f>IFERROR(__xludf.DUMMYFUNCTION("""COMPUTED_VALUE"""),"")</f>
        <v/>
      </c>
      <c r="M122" s="4" t="str">
        <f>IFERROR(__xludf.DUMMYFUNCTION("""COMPUTED_VALUE"""),"")</f>
        <v/>
      </c>
      <c r="N122" s="4" t="str">
        <f>IFERROR(__xludf.DUMMYFUNCTION("""COMPUTED_VALUE"""),"")</f>
        <v/>
      </c>
      <c r="O122" s="4" t="str">
        <f>IFERROR(__xludf.DUMMYFUNCTION("""COMPUTED_VALUE"""),"")</f>
        <v/>
      </c>
      <c r="P122" s="4" t="str">
        <f>IFERROR(__xludf.DUMMYFUNCTION("""COMPUTED_VALUE"""),"")</f>
        <v/>
      </c>
      <c r="Q122" s="4" t="str">
        <f>IFERROR(__xludf.DUMMYFUNCTION("""COMPUTED_VALUE"""),"")</f>
        <v/>
      </c>
      <c r="R122" s="4" t="str">
        <f>IFERROR(__xludf.DUMMYFUNCTION("""COMPUTED_VALUE"""),"")</f>
        <v/>
      </c>
    </row>
    <row r="123">
      <c r="A123" s="4" t="str">
        <f>IFERROR(__xludf.DUMMYFUNCTION("""COMPUTED_VALUE"""),"125 - Channel 5")</f>
        <v>125 - Channel 5</v>
      </c>
      <c r="B123" s="4" t="str">
        <f>IFERROR(__xludf.DUMMYFUNCTION("""COMPUTED_VALUE"""),"Day 2 - 24/06")</f>
        <v>Day 2 - 24/06</v>
      </c>
      <c r="C123" s="6">
        <f>IFERROR(__xludf.DUMMYFUNCTION("""COMPUTED_VALUE"""),0.5376157407407411)</f>
        <v>0.5376157407</v>
      </c>
      <c r="D123" s="8">
        <f>IFERROR(__xludf.DUMMYFUNCTION("""COMPUTED_VALUE"""),0.006944444444444444)</f>
        <v>0.006944444444</v>
      </c>
      <c r="E123" s="6">
        <f>IFERROR(__xludf.DUMMYFUNCTION("""COMPUTED_VALUE"""),0.5445601851851856)</f>
        <v>0.5445601852</v>
      </c>
      <c r="F123" s="4" t="str">
        <f>IFERROR(__xludf.DUMMYFUNCTION("""COMPUTED_VALUE"""),"Media")</f>
        <v>Media</v>
      </c>
      <c r="G123" s="4" t="str">
        <f>IFERROR(__xludf.DUMMYFUNCTION("""COMPUTED_VALUE"""),"")</f>
        <v/>
      </c>
      <c r="H123" s="4" t="str">
        <f>IFERROR(__xludf.DUMMYFUNCTION("""COMPUTED_VALUE"""),"")</f>
        <v/>
      </c>
      <c r="I123" s="4" t="str">
        <f>IFERROR(__xludf.DUMMYFUNCTION("""COMPUTED_VALUE"""),"")</f>
        <v/>
      </c>
      <c r="J123" s="4" t="str">
        <f>IFERROR(__xludf.DUMMYFUNCTION("""COMPUTED_VALUE"""),"No")</f>
        <v>No</v>
      </c>
      <c r="K123" s="4" t="str">
        <f>IFERROR(__xludf.DUMMYFUNCTION("""COMPUTED_VALUE"""),"Top 5 musicians")</f>
        <v>Top 5 musicians</v>
      </c>
      <c r="L123" s="4" t="str">
        <f>IFERROR(__xludf.DUMMYFUNCTION("""COMPUTED_VALUE"""),"Martin Garrix, Martin Garrix")</f>
        <v>Martin Garrix, Martin Garrix</v>
      </c>
      <c r="M123" s="4" t="str">
        <f>IFERROR(__xludf.DUMMYFUNCTION("""COMPUTED_VALUE"""),"Timbaland ., Timbaland")</f>
        <v>Timbaland ., Timbaland</v>
      </c>
      <c r="N123" s="4" t="str">
        <f>IFERROR(__xludf.DUMMYFUNCTION("""COMPUTED_VALUE"""),"Jessie Reyez, Jessie Reyez")</f>
        <v>Jessie Reyez, Jessie Reyez</v>
      </c>
      <c r="O123" s="4" t="str">
        <f>IFERROR(__xludf.DUMMYFUNCTION("""COMPUTED_VALUE"""),"Bono ., U2")</f>
        <v>Bono ., U2</v>
      </c>
      <c r="P123" s="4" t="str">
        <f>IFERROR(__xludf.DUMMYFUNCTION("""COMPUTED_VALUE"""),"Mike Shinoda, Linkin Park")</f>
        <v>Mike Shinoda, Linkin Park</v>
      </c>
      <c r="Q123" s="4" t="str">
        <f>IFERROR(__xludf.DUMMYFUNCTION("""COMPUTED_VALUE"""),"Featuring Martin Garrix, Timbaland, Jessie Reyez, Bono and Mike Shinoda. Making music is an increasingly technological endeavour. Tune in to hear from five of the most innovative musicians blending tech and creativity.")</f>
        <v>Featuring Martin Garrix, Timbaland, Jessie Reyez, Bono and Mike Shinoda. Making music is an increasingly technological endeavour. Tune in to hear from five of the most innovative musicians blending tech and creativity.</v>
      </c>
      <c r="R123" s="4" t="str">
        <f>IFERROR(__xludf.DUMMYFUNCTION("""COMPUTED_VALUE"""),"")</f>
        <v/>
      </c>
    </row>
    <row r="124">
      <c r="A124" s="4" t="str">
        <f>IFERROR(__xludf.DUMMYFUNCTION("""COMPUTED_VALUE"""),"126 - Channel 5")</f>
        <v>126 - Channel 5</v>
      </c>
      <c r="B124" s="4" t="str">
        <f>IFERROR(__xludf.DUMMYFUNCTION("""COMPUTED_VALUE"""),"Day 2 - 24/06")</f>
        <v>Day 2 - 24/06</v>
      </c>
      <c r="C124" s="6">
        <f>IFERROR(__xludf.DUMMYFUNCTION("""COMPUTED_VALUE"""),0.5445601851851856)</f>
        <v>0.5445601852</v>
      </c>
      <c r="D124" s="8">
        <f>IFERROR(__xludf.DUMMYFUNCTION("""COMPUTED_VALUE"""),1.7361111111111112E-4)</f>
        <v>0.0001736111111</v>
      </c>
      <c r="E124" s="6">
        <f>IFERROR(__xludf.DUMMYFUNCTION("""COMPUTED_VALUE"""),0.5447337962962967)</f>
        <v>0.5447337963</v>
      </c>
      <c r="F124" s="4" t="str">
        <f>IFERROR(__xludf.DUMMYFUNCTION("""COMPUTED_VALUE"""),"")</f>
        <v/>
      </c>
      <c r="G124" s="4" t="str">
        <f>IFERROR(__xludf.DUMMYFUNCTION("""COMPUTED_VALUE"""),"")</f>
        <v/>
      </c>
      <c r="H124" s="4" t="str">
        <f>IFERROR(__xludf.DUMMYFUNCTION("""COMPUTED_VALUE"""),"")</f>
        <v/>
      </c>
      <c r="I124" s="4" t="str">
        <f>IFERROR(__xludf.DUMMYFUNCTION("""COMPUTED_VALUE"""),"")</f>
        <v/>
      </c>
      <c r="J124" s="4" t="str">
        <f>IFERROR(__xludf.DUMMYFUNCTION("""COMPUTED_VALUE"""),"")</f>
        <v/>
      </c>
      <c r="K124" s="4" t="str">
        <f>IFERROR(__xludf.DUMMYFUNCTION("""COMPUTED_VALUE"""),"Talk Outro")</f>
        <v>Talk Outro</v>
      </c>
      <c r="L124" s="4" t="str">
        <f>IFERROR(__xludf.DUMMYFUNCTION("""COMPUTED_VALUE"""),"")</f>
        <v/>
      </c>
      <c r="M124" s="4" t="str">
        <f>IFERROR(__xludf.DUMMYFUNCTION("""COMPUTED_VALUE"""),"")</f>
        <v/>
      </c>
      <c r="N124" s="4" t="str">
        <f>IFERROR(__xludf.DUMMYFUNCTION("""COMPUTED_VALUE"""),"")</f>
        <v/>
      </c>
      <c r="O124" s="4" t="str">
        <f>IFERROR(__xludf.DUMMYFUNCTION("""COMPUTED_VALUE"""),"")</f>
        <v/>
      </c>
      <c r="P124" s="4" t="str">
        <f>IFERROR(__xludf.DUMMYFUNCTION("""COMPUTED_VALUE"""),"")</f>
        <v/>
      </c>
      <c r="Q124" s="4" t="str">
        <f>IFERROR(__xludf.DUMMYFUNCTION("""COMPUTED_VALUE"""),"")</f>
        <v/>
      </c>
      <c r="R124" s="4" t="str">
        <f>IFERROR(__xludf.DUMMYFUNCTION("""COMPUTED_VALUE"""),"")</f>
        <v/>
      </c>
    </row>
    <row r="125">
      <c r="A125" s="4" t="str">
        <f>IFERROR(__xludf.DUMMYFUNCTION("""COMPUTED_VALUE"""),"289 - Channel 5")</f>
        <v>289 - Channel 5</v>
      </c>
      <c r="B125" s="4" t="str">
        <f>IFERROR(__xludf.DUMMYFUNCTION("""COMPUTED_VALUE"""),"Day 2 - 24/06")</f>
        <v>Day 2 - 24/06</v>
      </c>
      <c r="C125" s="6">
        <f>IFERROR(__xludf.DUMMYFUNCTION("""COMPUTED_VALUE"""),0.5447337962962967)</f>
        <v>0.5447337963</v>
      </c>
      <c r="D125" s="8">
        <f>IFERROR(__xludf.DUMMYFUNCTION("""COMPUTED_VALUE"""),3.4722222222222224E-4)</f>
        <v>0.0003472222222</v>
      </c>
      <c r="E125" s="6">
        <f>IFERROR(__xludf.DUMMYFUNCTION("""COMPUTED_VALUE"""),0.545081018518519)</f>
        <v>0.5450810185</v>
      </c>
      <c r="F125" s="4" t="str">
        <f>IFERROR(__xludf.DUMMYFUNCTION("""COMPUTED_VALUE"""),"")</f>
        <v/>
      </c>
      <c r="G125" s="4" t="str">
        <f>IFERROR(__xludf.DUMMYFUNCTION("""COMPUTED_VALUE"""),"")</f>
        <v/>
      </c>
      <c r="H125" s="4" t="str">
        <f>IFERROR(__xludf.DUMMYFUNCTION("""COMPUTED_VALUE"""),"")</f>
        <v/>
      </c>
      <c r="I125" s="4" t="str">
        <f>IFERROR(__xludf.DUMMYFUNCTION("""COMPUTED_VALUE"""),"")</f>
        <v/>
      </c>
      <c r="J125" s="4" t="str">
        <f>IFERROR(__xludf.DUMMYFUNCTION("""COMPUTED_VALUE"""),"")</f>
        <v/>
      </c>
      <c r="K125" s="4" t="str">
        <f>IFERROR(__xludf.DUMMYFUNCTION("""COMPUTED_VALUE"""),"Web Summit Trailer - Short")</f>
        <v>Web Summit Trailer - Short</v>
      </c>
      <c r="L125" s="4" t="str">
        <f>IFERROR(__xludf.DUMMYFUNCTION("""COMPUTED_VALUE"""),"")</f>
        <v/>
      </c>
      <c r="M125" s="4" t="str">
        <f>IFERROR(__xludf.DUMMYFUNCTION("""COMPUTED_VALUE"""),"")</f>
        <v/>
      </c>
      <c r="N125" s="4" t="str">
        <f>IFERROR(__xludf.DUMMYFUNCTION("""COMPUTED_VALUE"""),"")</f>
        <v/>
      </c>
      <c r="O125" s="4" t="str">
        <f>IFERROR(__xludf.DUMMYFUNCTION("""COMPUTED_VALUE"""),"")</f>
        <v/>
      </c>
      <c r="P125" s="4" t="str">
        <f>IFERROR(__xludf.DUMMYFUNCTION("""COMPUTED_VALUE"""),"")</f>
        <v/>
      </c>
      <c r="Q125" s="4" t="str">
        <f>IFERROR(__xludf.DUMMYFUNCTION("""COMPUTED_VALUE"""),"")</f>
        <v/>
      </c>
      <c r="R125" s="4" t="str">
        <f>IFERROR(__xludf.DUMMYFUNCTION("""COMPUTED_VALUE"""),"")</f>
        <v/>
      </c>
    </row>
    <row r="126">
      <c r="A126" s="4" t="str">
        <f>IFERROR(__xludf.DUMMYFUNCTION("""COMPUTED_VALUE"""),"128 - Channel 5")</f>
        <v>128 - Channel 5</v>
      </c>
      <c r="B126" s="4" t="str">
        <f>IFERROR(__xludf.DUMMYFUNCTION("""COMPUTED_VALUE"""),"Day 2 - 24/06")</f>
        <v>Day 2 - 24/06</v>
      </c>
      <c r="C126" s="6">
        <f>IFERROR(__xludf.DUMMYFUNCTION("""COMPUTED_VALUE"""),0.545081018518519)</f>
        <v>0.5450810185</v>
      </c>
      <c r="D126" s="8">
        <f>IFERROR(__xludf.DUMMYFUNCTION("""COMPUTED_VALUE"""),3.4722222222222224E-4)</f>
        <v>0.0003472222222</v>
      </c>
      <c r="E126" s="6">
        <f>IFERROR(__xludf.DUMMYFUNCTION("""COMPUTED_VALUE"""),0.5454282407407413)</f>
        <v>0.5454282407</v>
      </c>
      <c r="F126" s="4" t="str">
        <f>IFERROR(__xludf.DUMMYFUNCTION("""COMPUTED_VALUE"""),"")</f>
        <v/>
      </c>
      <c r="G126" s="4" t="str">
        <f>IFERROR(__xludf.DUMMYFUNCTION("""COMPUTED_VALUE"""),"")</f>
        <v/>
      </c>
      <c r="H126" s="4" t="str">
        <f>IFERROR(__xludf.DUMMYFUNCTION("""COMPUTED_VALUE"""),"")</f>
        <v/>
      </c>
      <c r="I126" s="4" t="str">
        <f>IFERROR(__xludf.DUMMYFUNCTION("""COMPUTED_VALUE"""),"")</f>
        <v/>
      </c>
      <c r="J126" s="4" t="str">
        <f>IFERROR(__xludf.DUMMYFUNCTION("""COMPUTED_VALUE"""),"")</f>
        <v/>
      </c>
      <c r="K126" s="4" t="str">
        <f>IFERROR(__xludf.DUMMYFUNCTION("""COMPUTED_VALUE"""),"Talk Intro")</f>
        <v>Talk Intro</v>
      </c>
      <c r="L126" s="4" t="str">
        <f>IFERROR(__xludf.DUMMYFUNCTION("""COMPUTED_VALUE"""),"")</f>
        <v/>
      </c>
      <c r="M126" s="4" t="str">
        <f>IFERROR(__xludf.DUMMYFUNCTION("""COMPUTED_VALUE"""),"")</f>
        <v/>
      </c>
      <c r="N126" s="4" t="str">
        <f>IFERROR(__xludf.DUMMYFUNCTION("""COMPUTED_VALUE"""),"")</f>
        <v/>
      </c>
      <c r="O126" s="4" t="str">
        <f>IFERROR(__xludf.DUMMYFUNCTION("""COMPUTED_VALUE"""),"")</f>
        <v/>
      </c>
      <c r="P126" s="4" t="str">
        <f>IFERROR(__xludf.DUMMYFUNCTION("""COMPUTED_VALUE"""),"")</f>
        <v/>
      </c>
      <c r="Q126" s="4" t="str">
        <f>IFERROR(__xludf.DUMMYFUNCTION("""COMPUTED_VALUE"""),"")</f>
        <v/>
      </c>
      <c r="R126" s="4" t="str">
        <f>IFERROR(__xludf.DUMMYFUNCTION("""COMPUTED_VALUE"""),"")</f>
        <v/>
      </c>
    </row>
    <row r="127">
      <c r="A127" s="4" t="str">
        <f>IFERROR(__xludf.DUMMYFUNCTION("""COMPUTED_VALUE"""),"129 - Channel 5")</f>
        <v>129 - Channel 5</v>
      </c>
      <c r="B127" s="4" t="str">
        <f>IFERROR(__xludf.DUMMYFUNCTION("""COMPUTED_VALUE"""),"Day 2 - 24/06")</f>
        <v>Day 2 - 24/06</v>
      </c>
      <c r="C127" s="6">
        <f>IFERROR(__xludf.DUMMYFUNCTION("""COMPUTED_VALUE"""),0.5454282407407413)</f>
        <v>0.5454282407</v>
      </c>
      <c r="D127" s="8">
        <f>IFERROR(__xludf.DUMMYFUNCTION("""COMPUTED_VALUE"""),0.013287037037037036)</f>
        <v>0.01328703704</v>
      </c>
      <c r="E127" s="6">
        <f>IFERROR(__xludf.DUMMYFUNCTION("""COMPUTED_VALUE"""),0.5587152777777783)</f>
        <v>0.5587152778</v>
      </c>
      <c r="F127" s="4" t="str">
        <f>IFERROR(__xludf.DUMMYFUNCTION("""COMPUTED_VALUE"""),"Leadership")</f>
        <v>Leadership</v>
      </c>
      <c r="G127" s="4" t="str">
        <f>IFERROR(__xludf.DUMMYFUNCTION("""COMPUTED_VALUE"""),"Collision 2019")</f>
        <v>Collision 2019</v>
      </c>
      <c r="H127" s="21" t="str">
        <f>IFERROR(__xludf.DUMMYFUNCTION("""COMPUTED_VALUE"""),"https://vimeo.com/showcase/6061850/video/342951654")</f>
        <v>https://vimeo.com/showcase/6061850/video/342951654</v>
      </c>
      <c r="I127" s="4" t="str">
        <f>IFERROR(__xludf.DUMMYFUNCTION("""COMPUTED_VALUE"""),"Begin on 02:16. Finish at 21:24.")</f>
        <v>Begin on 02:16. Finish at 21:24.</v>
      </c>
      <c r="J127" s="4" t="str">
        <f>IFERROR(__xludf.DUMMYFUNCTION("""COMPUTED_VALUE"""),"No")</f>
        <v>No</v>
      </c>
      <c r="K127" s="4" t="str">
        <f>IFERROR(__xludf.DUMMYFUNCTION("""COMPUTED_VALUE"""),"Michelle Zatlyn and Jessie Reyez discuss a new era of entrepreneurship")</f>
        <v>Michelle Zatlyn and Jessie Reyez discuss a new era of entrepreneurship</v>
      </c>
      <c r="L127" s="4" t="str">
        <f>IFERROR(__xludf.DUMMYFUNCTION("""COMPUTED_VALUE"""),"Michelle Zatlyn, Cloudflare")</f>
        <v>Michelle Zatlyn, Cloudflare</v>
      </c>
      <c r="M127" s="4" t="str">
        <f>IFERROR(__xludf.DUMMYFUNCTION("""COMPUTED_VALUE"""),"Jessie Reyez, Jessie Reyez")</f>
        <v>Jessie Reyez, Jessie Reyez</v>
      </c>
      <c r="N127" s="4" t="str">
        <f>IFERROR(__xludf.DUMMYFUNCTION("""COMPUTED_VALUE"""),"")</f>
        <v/>
      </c>
      <c r="O127" s="4" t="str">
        <f>IFERROR(__xludf.DUMMYFUNCTION("""COMPUTED_VALUE"""),"")</f>
        <v/>
      </c>
      <c r="P127" s="4" t="str">
        <f>IFERROR(__xludf.DUMMYFUNCTION("""COMPUTED_VALUE"""),"")</f>
        <v/>
      </c>
      <c r="Q127" s="4" t="str">
        <f>IFERROR(__xludf.DUMMYFUNCTION("""COMPUTED_VALUE"""),"What do Michelle Zatlyn and Jessie Reyez have in common? They both know what it means to work to achieve success. At Collision 2019, they joined us on stage to tell the story of how they climbed the ladder and created something new.")</f>
        <v>What do Michelle Zatlyn and Jessie Reyez have in common? They both know what it means to work to achieve success. At Collision 2019, they joined us on stage to tell the story of how they climbed the ladder and created something new.</v>
      </c>
      <c r="R127" s="4" t="str">
        <f>IFERROR(__xludf.DUMMYFUNCTION("""COMPUTED_VALUE"""),"")</f>
        <v/>
      </c>
    </row>
    <row r="128">
      <c r="A128" s="4" t="str">
        <f>IFERROR(__xludf.DUMMYFUNCTION("""COMPUTED_VALUE"""),"130 - Channel 5")</f>
        <v>130 - Channel 5</v>
      </c>
      <c r="B128" s="4" t="str">
        <f>IFERROR(__xludf.DUMMYFUNCTION("""COMPUTED_VALUE"""),"Day 2 - 24/06")</f>
        <v>Day 2 - 24/06</v>
      </c>
      <c r="C128" s="6">
        <f>IFERROR(__xludf.DUMMYFUNCTION("""COMPUTED_VALUE"""),0.5587152777777783)</f>
        <v>0.5587152778</v>
      </c>
      <c r="D128" s="8">
        <f>IFERROR(__xludf.DUMMYFUNCTION("""COMPUTED_VALUE"""),1.7361111111111112E-4)</f>
        <v>0.0001736111111</v>
      </c>
      <c r="E128" s="6">
        <f>IFERROR(__xludf.DUMMYFUNCTION("""COMPUTED_VALUE"""),0.5588888888888894)</f>
        <v>0.5588888889</v>
      </c>
      <c r="F128" s="4" t="str">
        <f>IFERROR(__xludf.DUMMYFUNCTION("""COMPUTED_VALUE"""),"")</f>
        <v/>
      </c>
      <c r="G128" s="4" t="str">
        <f>IFERROR(__xludf.DUMMYFUNCTION("""COMPUTED_VALUE"""),"")</f>
        <v/>
      </c>
      <c r="H128" s="4" t="str">
        <f>IFERROR(__xludf.DUMMYFUNCTION("""COMPUTED_VALUE"""),"")</f>
        <v/>
      </c>
      <c r="I128" s="4" t="str">
        <f>IFERROR(__xludf.DUMMYFUNCTION("""COMPUTED_VALUE"""),"")</f>
        <v/>
      </c>
      <c r="J128" s="4" t="str">
        <f>IFERROR(__xludf.DUMMYFUNCTION("""COMPUTED_VALUE"""),"")</f>
        <v/>
      </c>
      <c r="K128" s="4" t="str">
        <f>IFERROR(__xludf.DUMMYFUNCTION("""COMPUTED_VALUE"""),"Talk Outro")</f>
        <v>Talk Outro</v>
      </c>
      <c r="L128" s="4" t="str">
        <f>IFERROR(__xludf.DUMMYFUNCTION("""COMPUTED_VALUE"""),"")</f>
        <v/>
      </c>
      <c r="M128" s="4" t="str">
        <f>IFERROR(__xludf.DUMMYFUNCTION("""COMPUTED_VALUE"""),"")</f>
        <v/>
      </c>
      <c r="N128" s="4" t="str">
        <f>IFERROR(__xludf.DUMMYFUNCTION("""COMPUTED_VALUE"""),"")</f>
        <v/>
      </c>
      <c r="O128" s="4" t="str">
        <f>IFERROR(__xludf.DUMMYFUNCTION("""COMPUTED_VALUE"""),"")</f>
        <v/>
      </c>
      <c r="P128" s="4" t="str">
        <f>IFERROR(__xludf.DUMMYFUNCTION("""COMPUTED_VALUE"""),"")</f>
        <v/>
      </c>
      <c r="Q128" s="4" t="str">
        <f>IFERROR(__xludf.DUMMYFUNCTION("""COMPUTED_VALUE"""),"")</f>
        <v/>
      </c>
      <c r="R128" s="4" t="str">
        <f>IFERROR(__xludf.DUMMYFUNCTION("""COMPUTED_VALUE"""),"")</f>
        <v/>
      </c>
    </row>
    <row r="129">
      <c r="A129" s="4" t="str">
        <f>IFERROR(__xludf.DUMMYFUNCTION("""COMPUTED_VALUE"""),"290 - Channel 5")</f>
        <v>290 - Channel 5</v>
      </c>
      <c r="B129" s="4" t="str">
        <f>IFERROR(__xludf.DUMMYFUNCTION("""COMPUTED_VALUE"""),"Day 2 - 24/06")</f>
        <v>Day 2 - 24/06</v>
      </c>
      <c r="C129" s="6">
        <f>IFERROR(__xludf.DUMMYFUNCTION("""COMPUTED_VALUE"""),0.5588888888888894)</f>
        <v>0.5588888889</v>
      </c>
      <c r="D129" s="8">
        <f>IFERROR(__xludf.DUMMYFUNCTION("""COMPUTED_VALUE"""),3.4722222222222224E-4)</f>
        <v>0.0003472222222</v>
      </c>
      <c r="E129" s="6">
        <f>IFERROR(__xludf.DUMMYFUNCTION("""COMPUTED_VALUE"""),0.5592361111111117)</f>
        <v>0.5592361111</v>
      </c>
      <c r="F129" s="4" t="str">
        <f>IFERROR(__xludf.DUMMYFUNCTION("""COMPUTED_VALUE"""),"")</f>
        <v/>
      </c>
      <c r="G129" s="4" t="str">
        <f>IFERROR(__xludf.DUMMYFUNCTION("""COMPUTED_VALUE"""),"")</f>
        <v/>
      </c>
      <c r="H129" s="4" t="str">
        <f>IFERROR(__xludf.DUMMYFUNCTION("""COMPUTED_VALUE"""),"")</f>
        <v/>
      </c>
      <c r="I129" s="4" t="str">
        <f>IFERROR(__xludf.DUMMYFUNCTION("""COMPUTED_VALUE"""),"")</f>
        <v/>
      </c>
      <c r="J129" s="4" t="str">
        <f>IFERROR(__xludf.DUMMYFUNCTION("""COMPUTED_VALUE"""),"")</f>
        <v/>
      </c>
      <c r="K129" s="4" t="str">
        <f>IFERROR(__xludf.DUMMYFUNCTION("""COMPUTED_VALUE"""),"Web Summit Trailer - Short")</f>
        <v>Web Summit Trailer - Short</v>
      </c>
      <c r="L129" s="4" t="str">
        <f>IFERROR(__xludf.DUMMYFUNCTION("""COMPUTED_VALUE"""),"")</f>
        <v/>
      </c>
      <c r="M129" s="4" t="str">
        <f>IFERROR(__xludf.DUMMYFUNCTION("""COMPUTED_VALUE"""),"")</f>
        <v/>
      </c>
      <c r="N129" s="4" t="str">
        <f>IFERROR(__xludf.DUMMYFUNCTION("""COMPUTED_VALUE"""),"")</f>
        <v/>
      </c>
      <c r="O129" s="4" t="str">
        <f>IFERROR(__xludf.DUMMYFUNCTION("""COMPUTED_VALUE"""),"")</f>
        <v/>
      </c>
      <c r="P129" s="4" t="str">
        <f>IFERROR(__xludf.DUMMYFUNCTION("""COMPUTED_VALUE"""),"")</f>
        <v/>
      </c>
      <c r="Q129" s="4" t="str">
        <f>IFERROR(__xludf.DUMMYFUNCTION("""COMPUTED_VALUE"""),"")</f>
        <v/>
      </c>
      <c r="R129" s="4" t="str">
        <f>IFERROR(__xludf.DUMMYFUNCTION("""COMPUTED_VALUE"""),"")</f>
        <v/>
      </c>
    </row>
    <row r="130">
      <c r="A130" s="4" t="str">
        <f>IFERROR(__xludf.DUMMYFUNCTION("""COMPUTED_VALUE"""),"132 - Channel 5")</f>
        <v>132 - Channel 5</v>
      </c>
      <c r="B130" s="4" t="str">
        <f>IFERROR(__xludf.DUMMYFUNCTION("""COMPUTED_VALUE"""),"Day 2 - 24/06")</f>
        <v>Day 2 - 24/06</v>
      </c>
      <c r="C130" s="6">
        <f>IFERROR(__xludf.DUMMYFUNCTION("""COMPUTED_VALUE"""),0.5592361111111117)</f>
        <v>0.5592361111</v>
      </c>
      <c r="D130" s="8">
        <f>IFERROR(__xludf.DUMMYFUNCTION("""COMPUTED_VALUE"""),3.4722222222222224E-4)</f>
        <v>0.0003472222222</v>
      </c>
      <c r="E130" s="6">
        <f>IFERROR(__xludf.DUMMYFUNCTION("""COMPUTED_VALUE"""),0.559583333333334)</f>
        <v>0.5595833333</v>
      </c>
      <c r="F130" s="4" t="str">
        <f>IFERROR(__xludf.DUMMYFUNCTION("""COMPUTED_VALUE"""),"")</f>
        <v/>
      </c>
      <c r="G130" s="4" t="str">
        <f>IFERROR(__xludf.DUMMYFUNCTION("""COMPUTED_VALUE"""),"")</f>
        <v/>
      </c>
      <c r="H130" s="4" t="str">
        <f>IFERROR(__xludf.DUMMYFUNCTION("""COMPUTED_VALUE"""),"")</f>
        <v/>
      </c>
      <c r="I130" s="4" t="str">
        <f>IFERROR(__xludf.DUMMYFUNCTION("""COMPUTED_VALUE"""),"")</f>
        <v/>
      </c>
      <c r="J130" s="4" t="str">
        <f>IFERROR(__xludf.DUMMYFUNCTION("""COMPUTED_VALUE"""),"")</f>
        <v/>
      </c>
      <c r="K130" s="4" t="str">
        <f>IFERROR(__xludf.DUMMYFUNCTION("""COMPUTED_VALUE"""),"Talk Intro")</f>
        <v>Talk Intro</v>
      </c>
      <c r="L130" s="4" t="str">
        <f>IFERROR(__xludf.DUMMYFUNCTION("""COMPUTED_VALUE"""),"")</f>
        <v/>
      </c>
      <c r="M130" s="4" t="str">
        <f>IFERROR(__xludf.DUMMYFUNCTION("""COMPUTED_VALUE"""),"")</f>
        <v/>
      </c>
      <c r="N130" s="4" t="str">
        <f>IFERROR(__xludf.DUMMYFUNCTION("""COMPUTED_VALUE"""),"")</f>
        <v/>
      </c>
      <c r="O130" s="4" t="str">
        <f>IFERROR(__xludf.DUMMYFUNCTION("""COMPUTED_VALUE"""),"")</f>
        <v/>
      </c>
      <c r="P130" s="4" t="str">
        <f>IFERROR(__xludf.DUMMYFUNCTION("""COMPUTED_VALUE"""),"")</f>
        <v/>
      </c>
      <c r="Q130" s="4" t="str">
        <f>IFERROR(__xludf.DUMMYFUNCTION("""COMPUTED_VALUE"""),"")</f>
        <v/>
      </c>
      <c r="R130" s="4" t="str">
        <f>IFERROR(__xludf.DUMMYFUNCTION("""COMPUTED_VALUE"""),"")</f>
        <v/>
      </c>
    </row>
    <row r="131">
      <c r="A131" s="4" t="str">
        <f>IFERROR(__xludf.DUMMYFUNCTION("""COMPUTED_VALUE"""),"133 - Channel 5")</f>
        <v>133 - Channel 5</v>
      </c>
      <c r="B131" s="4" t="str">
        <f>IFERROR(__xludf.DUMMYFUNCTION("""COMPUTED_VALUE"""),"Day 2 - 24/06")</f>
        <v>Day 2 - 24/06</v>
      </c>
      <c r="C131" s="6">
        <f>IFERROR(__xludf.DUMMYFUNCTION("""COMPUTED_VALUE"""),0.559583333333334)</f>
        <v>0.5595833333</v>
      </c>
      <c r="D131" s="8">
        <f>IFERROR(__xludf.DUMMYFUNCTION("""COMPUTED_VALUE"""),0.011666666666666667)</f>
        <v>0.01166666667</v>
      </c>
      <c r="E131" s="6">
        <f>IFERROR(__xludf.DUMMYFUNCTION("""COMPUTED_VALUE"""),0.5712500000000007)</f>
        <v>0.57125</v>
      </c>
      <c r="F131" s="4" t="str">
        <f>IFERROR(__xludf.DUMMYFUNCTION("""COMPUTED_VALUE"""),"Social Media")</f>
        <v>Social Media</v>
      </c>
      <c r="G131" s="4" t="str">
        <f>IFERROR(__xludf.DUMMYFUNCTION("""COMPUTED_VALUE"""),"Web Summit 2010")</f>
        <v>Web Summit 2010</v>
      </c>
      <c r="H131" s="21" t="str">
        <f>IFERROR(__xludf.DUMMYFUNCTION("""COMPUTED_VALUE"""),"https://vimeo.com/16547682")</f>
        <v>https://vimeo.com/16547682</v>
      </c>
      <c r="I131" s="4" t="str">
        <f>IFERROR(__xludf.DUMMYFUNCTION("""COMPUTED_VALUE"""),"Path Pacific - need to ask can we use")</f>
        <v>Path Pacific - need to ask can we use</v>
      </c>
      <c r="J131" s="4" t="str">
        <f>IFERROR(__xludf.DUMMYFUNCTION("""COMPUTED_VALUE"""),"No")</f>
        <v>No</v>
      </c>
      <c r="K131" s="4" t="str">
        <f>IFERROR(__xludf.DUMMYFUNCTION("""COMPUTED_VALUE"""),"Twitter and the early years with Jack Dorsey")</f>
        <v>Twitter and the early years with Jack Dorsey</v>
      </c>
      <c r="L131" s="4" t="str">
        <f>IFERROR(__xludf.DUMMYFUNCTION("""COMPUTED_VALUE"""),"Jack Dorsey, Twitter")</f>
        <v>Jack Dorsey, Twitter</v>
      </c>
      <c r="M131" s="4" t="str">
        <f>IFERROR(__xludf.DUMMYFUNCTION("""COMPUTED_VALUE"""),"")</f>
        <v/>
      </c>
      <c r="N131" s="4" t="str">
        <f>IFERROR(__xludf.DUMMYFUNCTION("""COMPUTED_VALUE"""),"")</f>
        <v/>
      </c>
      <c r="O131" s="4" t="str">
        <f>IFERROR(__xludf.DUMMYFUNCTION("""COMPUTED_VALUE"""),"")</f>
        <v/>
      </c>
      <c r="P131" s="4" t="str">
        <f>IFERROR(__xludf.DUMMYFUNCTION("""COMPUTED_VALUE"""),"")</f>
        <v/>
      </c>
      <c r="Q131" s="4" t="str">
        <f>IFERROR(__xludf.DUMMYFUNCTION("""COMPUTED_VALUE"""),"If you have ever wondered what Jack Dorsey was like before Twitter was as big as it is today, then you have come to the right place. Tune in to see Jack discussing Twitter and his vision for the future from way back in 2010 – it seems like a lifetime ago!")</f>
        <v>If you have ever wondered what Jack Dorsey was like before Twitter was as big as it is today, then you have come to the right place. Tune in to see Jack discussing Twitter and his vision for the future from way back in 2010 – it seems like a lifetime ago!</v>
      </c>
      <c r="R131" s="4" t="str">
        <f>IFERROR(__xludf.DUMMYFUNCTION("""COMPUTED_VALUE"""),"")</f>
        <v/>
      </c>
    </row>
    <row r="132">
      <c r="A132" s="4" t="str">
        <f>IFERROR(__xludf.DUMMYFUNCTION("""COMPUTED_VALUE"""),"134 - Channel 5")</f>
        <v>134 - Channel 5</v>
      </c>
      <c r="B132" s="4" t="str">
        <f>IFERROR(__xludf.DUMMYFUNCTION("""COMPUTED_VALUE"""),"Day 2 - 24/06")</f>
        <v>Day 2 - 24/06</v>
      </c>
      <c r="C132" s="6">
        <f>IFERROR(__xludf.DUMMYFUNCTION("""COMPUTED_VALUE"""),0.5712500000000007)</f>
        <v>0.57125</v>
      </c>
      <c r="D132" s="8">
        <f>IFERROR(__xludf.DUMMYFUNCTION("""COMPUTED_VALUE"""),1.7361111111111112E-4)</f>
        <v>0.0001736111111</v>
      </c>
      <c r="E132" s="6">
        <f>IFERROR(__xludf.DUMMYFUNCTION("""COMPUTED_VALUE"""),0.5714236111111118)</f>
        <v>0.5714236111</v>
      </c>
      <c r="F132" s="4" t="str">
        <f>IFERROR(__xludf.DUMMYFUNCTION("""COMPUTED_VALUE"""),"")</f>
        <v/>
      </c>
      <c r="G132" s="4" t="str">
        <f>IFERROR(__xludf.DUMMYFUNCTION("""COMPUTED_VALUE"""),"")</f>
        <v/>
      </c>
      <c r="H132" s="4" t="str">
        <f>IFERROR(__xludf.DUMMYFUNCTION("""COMPUTED_VALUE"""),"")</f>
        <v/>
      </c>
      <c r="I132" s="4" t="str">
        <f>IFERROR(__xludf.DUMMYFUNCTION("""COMPUTED_VALUE"""),"")</f>
        <v/>
      </c>
      <c r="J132" s="4" t="str">
        <f>IFERROR(__xludf.DUMMYFUNCTION("""COMPUTED_VALUE"""),"")</f>
        <v/>
      </c>
      <c r="K132" s="4" t="str">
        <f>IFERROR(__xludf.DUMMYFUNCTION("""COMPUTED_VALUE"""),"Talk Outro")</f>
        <v>Talk Outro</v>
      </c>
      <c r="L132" s="4" t="str">
        <f>IFERROR(__xludf.DUMMYFUNCTION("""COMPUTED_VALUE"""),"")</f>
        <v/>
      </c>
      <c r="M132" s="4" t="str">
        <f>IFERROR(__xludf.DUMMYFUNCTION("""COMPUTED_VALUE"""),"")</f>
        <v/>
      </c>
      <c r="N132" s="4" t="str">
        <f>IFERROR(__xludf.DUMMYFUNCTION("""COMPUTED_VALUE"""),"")</f>
        <v/>
      </c>
      <c r="O132" s="4" t="str">
        <f>IFERROR(__xludf.DUMMYFUNCTION("""COMPUTED_VALUE"""),"")</f>
        <v/>
      </c>
      <c r="P132" s="4" t="str">
        <f>IFERROR(__xludf.DUMMYFUNCTION("""COMPUTED_VALUE"""),"")</f>
        <v/>
      </c>
      <c r="Q132" s="4" t="str">
        <f>IFERROR(__xludf.DUMMYFUNCTION("""COMPUTED_VALUE"""),"")</f>
        <v/>
      </c>
      <c r="R132" s="4" t="str">
        <f>IFERROR(__xludf.DUMMYFUNCTION("""COMPUTED_VALUE"""),"")</f>
        <v/>
      </c>
    </row>
    <row r="133">
      <c r="A133" s="4" t="str">
        <f>IFERROR(__xludf.DUMMYFUNCTION("""COMPUTED_VALUE"""),"345 - Channel 5")</f>
        <v>345 - Channel 5</v>
      </c>
      <c r="B133" s="4" t="str">
        <f>IFERROR(__xludf.DUMMYFUNCTION("""COMPUTED_VALUE"""),"Day 2 - 24/06")</f>
        <v>Day 2 - 24/06</v>
      </c>
      <c r="C133" s="6">
        <f>IFERROR(__xludf.DUMMYFUNCTION("""COMPUTED_VALUE"""),0.5714236111111118)</f>
        <v>0.5714236111</v>
      </c>
      <c r="D133" s="8">
        <f>IFERROR(__xludf.DUMMYFUNCTION("""COMPUTED_VALUE"""),3.4722222222222224E-4)</f>
        <v>0.0003472222222</v>
      </c>
      <c r="E133" s="6">
        <f>IFERROR(__xludf.DUMMYFUNCTION("""COMPUTED_VALUE"""),0.5717708333333341)</f>
        <v>0.5717708333</v>
      </c>
      <c r="F133" s="4" t="str">
        <f>IFERROR(__xludf.DUMMYFUNCTION("""COMPUTED_VALUE"""),"")</f>
        <v/>
      </c>
      <c r="G133" s="4" t="str">
        <f>IFERROR(__xludf.DUMMYFUNCTION("""COMPUTED_VALUE"""),"")</f>
        <v/>
      </c>
      <c r="H133" s="4" t="str">
        <f>IFERROR(__xludf.DUMMYFUNCTION("""COMPUTED_VALUE"""),"")</f>
        <v/>
      </c>
      <c r="I133" s="4" t="str">
        <f>IFERROR(__xludf.DUMMYFUNCTION("""COMPUTED_VALUE"""),"")</f>
        <v/>
      </c>
      <c r="J133" s="4" t="str">
        <f>IFERROR(__xludf.DUMMYFUNCTION("""COMPUTED_VALUE"""),"")</f>
        <v/>
      </c>
      <c r="K133" s="4" t="str">
        <f>IFERROR(__xludf.DUMMYFUNCTION("""COMPUTED_VALUE"""),"Web Summit Trailer - Short")</f>
        <v>Web Summit Trailer - Short</v>
      </c>
      <c r="L133" s="4" t="str">
        <f>IFERROR(__xludf.DUMMYFUNCTION("""COMPUTED_VALUE"""),"")</f>
        <v/>
      </c>
      <c r="M133" s="4" t="str">
        <f>IFERROR(__xludf.DUMMYFUNCTION("""COMPUTED_VALUE"""),"")</f>
        <v/>
      </c>
      <c r="N133" s="4" t="str">
        <f>IFERROR(__xludf.DUMMYFUNCTION("""COMPUTED_VALUE"""),"")</f>
        <v/>
      </c>
      <c r="O133" s="4" t="str">
        <f>IFERROR(__xludf.DUMMYFUNCTION("""COMPUTED_VALUE"""),"")</f>
        <v/>
      </c>
      <c r="P133" s="4" t="str">
        <f>IFERROR(__xludf.DUMMYFUNCTION("""COMPUTED_VALUE"""),"")</f>
        <v/>
      </c>
      <c r="Q133" s="4" t="str">
        <f>IFERROR(__xludf.DUMMYFUNCTION("""COMPUTED_VALUE"""),"")</f>
        <v/>
      </c>
      <c r="R133" s="4" t="str">
        <f>IFERROR(__xludf.DUMMYFUNCTION("""COMPUTED_VALUE"""),"")</f>
        <v/>
      </c>
    </row>
    <row r="134">
      <c r="A134" s="4" t="str">
        <f>IFERROR(__xludf.DUMMYFUNCTION("""COMPUTED_VALUE"""),"135 - Channel 5")</f>
        <v>135 - Channel 5</v>
      </c>
      <c r="B134" s="4" t="str">
        <f>IFERROR(__xludf.DUMMYFUNCTION("""COMPUTED_VALUE"""),"Day 2 - 24/06")</f>
        <v>Day 2 - 24/06</v>
      </c>
      <c r="C134" s="6">
        <f>IFERROR(__xludf.DUMMYFUNCTION("""COMPUTED_VALUE"""),0.5717708333333341)</f>
        <v>0.5717708333</v>
      </c>
      <c r="D134" s="8">
        <f>IFERROR(__xludf.DUMMYFUNCTION("""COMPUTED_VALUE"""),8.680555555555555E-4)</f>
        <v>0.0008680555556</v>
      </c>
      <c r="E134" s="6">
        <f>IFERROR(__xludf.DUMMYFUNCTION("""COMPUTED_VALUE"""),0.5726388888888897)</f>
        <v>0.5726388889</v>
      </c>
      <c r="F134" s="4" t="str">
        <f>IFERROR(__xludf.DUMMYFUNCTION("""COMPUTED_VALUE"""),"")</f>
        <v/>
      </c>
      <c r="G134" s="4" t="str">
        <f>IFERROR(__xludf.DUMMYFUNCTION("""COMPUTED_VALUE"""),"")</f>
        <v/>
      </c>
      <c r="H134" s="4" t="str">
        <f>IFERROR(__xludf.DUMMYFUNCTION("""COMPUTED_VALUE"""),"")</f>
        <v/>
      </c>
      <c r="I134" s="4" t="str">
        <f>IFERROR(__xludf.DUMMYFUNCTION("""COMPUTED_VALUE"""),"")</f>
        <v/>
      </c>
      <c r="J134" s="4" t="str">
        <f>IFERROR(__xludf.DUMMYFUNCTION("""COMPUTED_VALUE"""),"")</f>
        <v/>
      </c>
      <c r="K134" s="4" t="str">
        <f>IFERROR(__xludf.DUMMYFUNCTION("""COMPUTED_VALUE"""),"Holding Graphic")</f>
        <v>Holding Graphic</v>
      </c>
      <c r="L134" s="4" t="str">
        <f>IFERROR(__xludf.DUMMYFUNCTION("""COMPUTED_VALUE"""),"")</f>
        <v/>
      </c>
      <c r="M134" s="4" t="str">
        <f>IFERROR(__xludf.DUMMYFUNCTION("""COMPUTED_VALUE"""),"")</f>
        <v/>
      </c>
      <c r="N134" s="4" t="str">
        <f>IFERROR(__xludf.DUMMYFUNCTION("""COMPUTED_VALUE"""),"")</f>
        <v/>
      </c>
      <c r="O134" s="4" t="str">
        <f>IFERROR(__xludf.DUMMYFUNCTION("""COMPUTED_VALUE"""),"")</f>
        <v/>
      </c>
      <c r="P134" s="4" t="str">
        <f>IFERROR(__xludf.DUMMYFUNCTION("""COMPUTED_VALUE"""),"")</f>
        <v/>
      </c>
      <c r="Q134" s="4" t="str">
        <f>IFERROR(__xludf.DUMMYFUNCTION("""COMPUTED_VALUE"""),"")</f>
        <v/>
      </c>
      <c r="R134" s="4" t="str">
        <f>IFERROR(__xludf.DUMMYFUNCTION("""COMPUTED_VALUE"""),"")</f>
        <v/>
      </c>
    </row>
    <row r="135">
      <c r="A135" s="4" t="str">
        <f>IFERROR(__xludf.DUMMYFUNCTION("""COMPUTED_VALUE"""),"136 - Channel 5")</f>
        <v>136 - Channel 5</v>
      </c>
      <c r="B135" s="4" t="str">
        <f>IFERROR(__xludf.DUMMYFUNCTION("""COMPUTED_VALUE"""),"Day 2 - 24/06")</f>
        <v>Day 2 - 24/06</v>
      </c>
      <c r="C135" s="6">
        <f>IFERROR(__xludf.DUMMYFUNCTION("""COMPUTED_VALUE"""),0.5726388888888897)</f>
        <v>0.5726388889</v>
      </c>
      <c r="D135" s="8">
        <f>IFERROR(__xludf.DUMMYFUNCTION("""COMPUTED_VALUE"""),5.208333333333333E-4)</f>
        <v>0.0005208333333</v>
      </c>
      <c r="E135" s="6">
        <f>IFERROR(__xludf.DUMMYFUNCTION("""COMPUTED_VALUE"""),0.573159722222223)</f>
        <v>0.5731597222</v>
      </c>
      <c r="F135" s="4" t="str">
        <f>IFERROR(__xludf.DUMMYFUNCTION("""COMPUTED_VALUE"""),"")</f>
        <v/>
      </c>
      <c r="G135" s="4" t="str">
        <f>IFERROR(__xludf.DUMMYFUNCTION("""COMPUTED_VALUE"""),"")</f>
        <v/>
      </c>
      <c r="H135" s="4" t="str">
        <f>IFERROR(__xludf.DUMMYFUNCTION("""COMPUTED_VALUE"""),"")</f>
        <v/>
      </c>
      <c r="I135" s="4" t="str">
        <f>IFERROR(__xludf.DUMMYFUNCTION("""COMPUTED_VALUE"""),"")</f>
        <v/>
      </c>
      <c r="J135" s="4" t="str">
        <f>IFERROR(__xludf.DUMMYFUNCTION("""COMPUTED_VALUE"""),"")</f>
        <v/>
      </c>
      <c r="K135" s="4" t="str">
        <f>IFERROR(__xludf.DUMMYFUNCTION("""COMPUTED_VALUE"""),"Web Summit Trailer - Full")</f>
        <v>Web Summit Trailer - Full</v>
      </c>
      <c r="L135" s="4" t="str">
        <f>IFERROR(__xludf.DUMMYFUNCTION("""COMPUTED_VALUE"""),"")</f>
        <v/>
      </c>
      <c r="M135" s="4" t="str">
        <f>IFERROR(__xludf.DUMMYFUNCTION("""COMPUTED_VALUE"""),"")</f>
        <v/>
      </c>
      <c r="N135" s="4" t="str">
        <f>IFERROR(__xludf.DUMMYFUNCTION("""COMPUTED_VALUE"""),"")</f>
        <v/>
      </c>
      <c r="O135" s="4" t="str">
        <f>IFERROR(__xludf.DUMMYFUNCTION("""COMPUTED_VALUE"""),"")</f>
        <v/>
      </c>
      <c r="P135" s="4" t="str">
        <f>IFERROR(__xludf.DUMMYFUNCTION("""COMPUTED_VALUE"""),"")</f>
        <v/>
      </c>
      <c r="Q135" s="4" t="str">
        <f>IFERROR(__xludf.DUMMYFUNCTION("""COMPUTED_VALUE"""),"")</f>
        <v/>
      </c>
      <c r="R135" s="4" t="str">
        <f>IFERROR(__xludf.DUMMYFUNCTION("""COMPUTED_VALUE"""),"")</f>
        <v/>
      </c>
    </row>
    <row r="136">
      <c r="A136" s="4" t="str">
        <f>IFERROR(__xludf.DUMMYFUNCTION("""COMPUTED_VALUE"""),"137 - Channel 5")</f>
        <v>137 - Channel 5</v>
      </c>
      <c r="B136" s="4" t="str">
        <f>IFERROR(__xludf.DUMMYFUNCTION("""COMPUTED_VALUE"""),"Day 2 - 24/06")</f>
        <v>Day 2 - 24/06</v>
      </c>
      <c r="C136" s="6">
        <f>IFERROR(__xludf.DUMMYFUNCTION("""COMPUTED_VALUE"""),0.573159722222223)</f>
        <v>0.5731597222</v>
      </c>
      <c r="D136" s="8">
        <f>IFERROR(__xludf.DUMMYFUNCTION("""COMPUTED_VALUE"""),3.4722222222222224E-4)</f>
        <v>0.0003472222222</v>
      </c>
      <c r="E136" s="6">
        <f>IFERROR(__xludf.DUMMYFUNCTION("""COMPUTED_VALUE"""),0.5735069444444453)</f>
        <v>0.5735069444</v>
      </c>
      <c r="F136" s="4" t="str">
        <f>IFERROR(__xludf.DUMMYFUNCTION("""COMPUTED_VALUE"""),"")</f>
        <v/>
      </c>
      <c r="G136" s="4" t="str">
        <f>IFERROR(__xludf.DUMMYFUNCTION("""COMPUTED_VALUE"""),"")</f>
        <v/>
      </c>
      <c r="H136" s="4" t="str">
        <f>IFERROR(__xludf.DUMMYFUNCTION("""COMPUTED_VALUE"""),"")</f>
        <v/>
      </c>
      <c r="I136" s="4" t="str">
        <f>IFERROR(__xludf.DUMMYFUNCTION("""COMPUTED_VALUE"""),"")</f>
        <v/>
      </c>
      <c r="J136" s="4" t="str">
        <f>IFERROR(__xludf.DUMMYFUNCTION("""COMPUTED_VALUE"""),"")</f>
        <v/>
      </c>
      <c r="K136" s="4" t="str">
        <f>IFERROR(__xludf.DUMMYFUNCTION("""COMPUTED_VALUE"""),"Talk Intro")</f>
        <v>Talk Intro</v>
      </c>
      <c r="L136" s="4" t="str">
        <f>IFERROR(__xludf.DUMMYFUNCTION("""COMPUTED_VALUE"""),"")</f>
        <v/>
      </c>
      <c r="M136" s="4" t="str">
        <f>IFERROR(__xludf.DUMMYFUNCTION("""COMPUTED_VALUE"""),"")</f>
        <v/>
      </c>
      <c r="N136" s="4" t="str">
        <f>IFERROR(__xludf.DUMMYFUNCTION("""COMPUTED_VALUE"""),"")</f>
        <v/>
      </c>
      <c r="O136" s="4" t="str">
        <f>IFERROR(__xludf.DUMMYFUNCTION("""COMPUTED_VALUE"""),"")</f>
        <v/>
      </c>
      <c r="P136" s="4" t="str">
        <f>IFERROR(__xludf.DUMMYFUNCTION("""COMPUTED_VALUE"""),"")</f>
        <v/>
      </c>
      <c r="Q136" s="4" t="str">
        <f>IFERROR(__xludf.DUMMYFUNCTION("""COMPUTED_VALUE"""),"")</f>
        <v/>
      </c>
      <c r="R136" s="4" t="str">
        <f>IFERROR(__xludf.DUMMYFUNCTION("""COMPUTED_VALUE"""),"")</f>
        <v/>
      </c>
    </row>
    <row r="137">
      <c r="A137" s="4" t="str">
        <f>IFERROR(__xludf.DUMMYFUNCTION("""COMPUTED_VALUE"""),"138 - Channel 5")</f>
        <v>138 - Channel 5</v>
      </c>
      <c r="B137" s="4" t="str">
        <f>IFERROR(__xludf.DUMMYFUNCTION("""COMPUTED_VALUE"""),"Day 2 - 24/06")</f>
        <v>Day 2 - 24/06</v>
      </c>
      <c r="C137" s="6">
        <f>IFERROR(__xludf.DUMMYFUNCTION("""COMPUTED_VALUE"""),0.5735069444444453)</f>
        <v>0.5735069444</v>
      </c>
      <c r="D137" s="8">
        <f>IFERROR(__xludf.DUMMYFUNCTION("""COMPUTED_VALUE"""),0.006944444444444444)</f>
        <v>0.006944444444</v>
      </c>
      <c r="E137" s="6">
        <f>IFERROR(__xludf.DUMMYFUNCTION("""COMPUTED_VALUE"""),0.5804513888888897)</f>
        <v>0.5804513889</v>
      </c>
      <c r="F137" s="4" t="str">
        <f>IFERROR(__xludf.DUMMYFUNCTION("""COMPUTED_VALUE"""),"Design")</f>
        <v>Design</v>
      </c>
      <c r="G137" s="4" t="str">
        <f>IFERROR(__xludf.DUMMYFUNCTION("""COMPUTED_VALUE"""),"")</f>
        <v/>
      </c>
      <c r="H137" s="4" t="str">
        <f>IFERROR(__xludf.DUMMYFUNCTION("""COMPUTED_VALUE"""),"")</f>
        <v/>
      </c>
      <c r="I137" s="4" t="str">
        <f>IFERROR(__xludf.DUMMYFUNCTION("""COMPUTED_VALUE"""),"")</f>
        <v/>
      </c>
      <c r="J137" s="4" t="str">
        <f>IFERROR(__xludf.DUMMYFUNCTION("""COMPUTED_VALUE"""),"No")</f>
        <v>No</v>
      </c>
      <c r="K137" s="4" t="str">
        <f>IFERROR(__xludf.DUMMYFUNCTION("""COMPUTED_VALUE"""),"Top 5 designers")</f>
        <v>Top 5 designers</v>
      </c>
      <c r="L137" s="4" t="str">
        <f>IFERROR(__xludf.DUMMYFUNCTION("""COMPUTED_VALUE"""),"Debbie Millman, Design Matter")</f>
        <v>Debbie Millman, Design Matter</v>
      </c>
      <c r="M137" s="4" t="str">
        <f>IFERROR(__xludf.DUMMYFUNCTION("""COMPUTED_VALUE"""),"Robert Brunner, Ammunition Group")</f>
        <v>Robert Brunner, Ammunition Group</v>
      </c>
      <c r="N137" s="4" t="str">
        <f>IFERROR(__xludf.DUMMYFUNCTION("""COMPUTED_VALUE"""),"Melanie Perkins, Canva")</f>
        <v>Melanie Perkins, Canva</v>
      </c>
      <c r="O137" s="4" t="str">
        <f>IFERROR(__xludf.DUMMYFUNCTION("""COMPUTED_VALUE"""),"Julie Zhuo, Facebook")</f>
        <v>Julie Zhuo, Facebook</v>
      </c>
      <c r="P137" s="4" t="str">
        <f>IFERROR(__xludf.DUMMYFUNCTION("""COMPUTED_VALUE"""),"Brian Collins, Collins")</f>
        <v>Brian Collins, Collins</v>
      </c>
      <c r="Q137" s="4" t="str">
        <f>IFERROR(__xludf.DUMMYFUNCTION("""COMPUTED_VALUE"""),"Featuring Debbie Millman, Robert Brunner, Melanie Perkins, Julie Zhuo and Brian Collins. The challenge of effective design is seamlessly blending creativity and practicality. Walking this difficult line is what these five speakers specialise in. Tune in t"&amp;"o learn how they do it.")</f>
        <v>Featuring Debbie Millman, Robert Brunner, Melanie Perkins, Julie Zhuo and Brian Collins. The challenge of effective design is seamlessly blending creativity and practicality. Walking this difficult line is what these five speakers specialise in. Tune in to learn how they do it.</v>
      </c>
      <c r="R137" s="4" t="str">
        <f>IFERROR(__xludf.DUMMYFUNCTION("""COMPUTED_VALUE"""),"")</f>
        <v/>
      </c>
    </row>
    <row r="138">
      <c r="A138" s="4" t="str">
        <f>IFERROR(__xludf.DUMMYFUNCTION("""COMPUTED_VALUE"""),"139 - Channel 5")</f>
        <v>139 - Channel 5</v>
      </c>
      <c r="B138" s="4" t="str">
        <f>IFERROR(__xludf.DUMMYFUNCTION("""COMPUTED_VALUE"""),"Day 2 - 24/06")</f>
        <v>Day 2 - 24/06</v>
      </c>
      <c r="C138" s="6">
        <f>IFERROR(__xludf.DUMMYFUNCTION("""COMPUTED_VALUE"""),0.5804513888888897)</f>
        <v>0.5804513889</v>
      </c>
      <c r="D138" s="8">
        <f>IFERROR(__xludf.DUMMYFUNCTION("""COMPUTED_VALUE"""),1.7361111111111112E-4)</f>
        <v>0.0001736111111</v>
      </c>
      <c r="E138" s="6">
        <f>IFERROR(__xludf.DUMMYFUNCTION("""COMPUTED_VALUE"""),0.5806250000000008)</f>
        <v>0.580625</v>
      </c>
      <c r="F138" s="4" t="str">
        <f>IFERROR(__xludf.DUMMYFUNCTION("""COMPUTED_VALUE"""),"")</f>
        <v/>
      </c>
      <c r="G138" s="4" t="str">
        <f>IFERROR(__xludf.DUMMYFUNCTION("""COMPUTED_VALUE"""),"")</f>
        <v/>
      </c>
      <c r="H138" s="4" t="str">
        <f>IFERROR(__xludf.DUMMYFUNCTION("""COMPUTED_VALUE"""),"")</f>
        <v/>
      </c>
      <c r="I138" s="4" t="str">
        <f>IFERROR(__xludf.DUMMYFUNCTION("""COMPUTED_VALUE"""),"")</f>
        <v/>
      </c>
      <c r="J138" s="4" t="str">
        <f>IFERROR(__xludf.DUMMYFUNCTION("""COMPUTED_VALUE"""),"")</f>
        <v/>
      </c>
      <c r="K138" s="4" t="str">
        <f>IFERROR(__xludf.DUMMYFUNCTION("""COMPUTED_VALUE"""),"Talk Outro")</f>
        <v>Talk Outro</v>
      </c>
      <c r="L138" s="4" t="str">
        <f>IFERROR(__xludf.DUMMYFUNCTION("""COMPUTED_VALUE"""),"")</f>
        <v/>
      </c>
      <c r="M138" s="4" t="str">
        <f>IFERROR(__xludf.DUMMYFUNCTION("""COMPUTED_VALUE"""),"")</f>
        <v/>
      </c>
      <c r="N138" s="4" t="str">
        <f>IFERROR(__xludf.DUMMYFUNCTION("""COMPUTED_VALUE"""),"")</f>
        <v/>
      </c>
      <c r="O138" s="4" t="str">
        <f>IFERROR(__xludf.DUMMYFUNCTION("""COMPUTED_VALUE"""),"")</f>
        <v/>
      </c>
      <c r="P138" s="4" t="str">
        <f>IFERROR(__xludf.DUMMYFUNCTION("""COMPUTED_VALUE"""),"")</f>
        <v/>
      </c>
      <c r="Q138" s="4" t="str">
        <f>IFERROR(__xludf.DUMMYFUNCTION("""COMPUTED_VALUE"""),"")</f>
        <v/>
      </c>
      <c r="R138" s="4" t="str">
        <f>IFERROR(__xludf.DUMMYFUNCTION("""COMPUTED_VALUE"""),"")</f>
        <v/>
      </c>
    </row>
    <row r="139">
      <c r="A139" s="4" t="str">
        <f>IFERROR(__xludf.DUMMYFUNCTION("""COMPUTED_VALUE"""),"141 - Channel 5")</f>
        <v>141 - Channel 5</v>
      </c>
      <c r="B139" s="4" t="str">
        <f>IFERROR(__xludf.DUMMYFUNCTION("""COMPUTED_VALUE"""),"Day 2 - 24/06")</f>
        <v>Day 2 - 24/06</v>
      </c>
      <c r="C139" s="6">
        <f>IFERROR(__xludf.DUMMYFUNCTION("""COMPUTED_VALUE"""),0.5806250000000008)</f>
        <v>0.580625</v>
      </c>
      <c r="D139" s="8">
        <f>IFERROR(__xludf.DUMMYFUNCTION("""COMPUTED_VALUE"""),3.4722222222222224E-4)</f>
        <v>0.0003472222222</v>
      </c>
      <c r="E139" s="6">
        <f>IFERROR(__xludf.DUMMYFUNCTION("""COMPUTED_VALUE"""),0.5809722222222231)</f>
        <v>0.5809722222</v>
      </c>
      <c r="F139" s="4" t="str">
        <f>IFERROR(__xludf.DUMMYFUNCTION("""COMPUTED_VALUE"""),"")</f>
        <v/>
      </c>
      <c r="G139" s="4" t="str">
        <f>IFERROR(__xludf.DUMMYFUNCTION("""COMPUTED_VALUE"""),"")</f>
        <v/>
      </c>
      <c r="H139" s="4" t="str">
        <f>IFERROR(__xludf.DUMMYFUNCTION("""COMPUTED_VALUE"""),"")</f>
        <v/>
      </c>
      <c r="I139" s="4" t="str">
        <f>IFERROR(__xludf.DUMMYFUNCTION("""COMPUTED_VALUE"""),"")</f>
        <v/>
      </c>
      <c r="J139" s="4" t="str">
        <f>IFERROR(__xludf.DUMMYFUNCTION("""COMPUTED_VALUE"""),"")</f>
        <v/>
      </c>
      <c r="K139" s="4" t="str">
        <f>IFERROR(__xludf.DUMMYFUNCTION("""COMPUTED_VALUE"""),"Talk Intro")</f>
        <v>Talk Intro</v>
      </c>
      <c r="L139" s="4" t="str">
        <f>IFERROR(__xludf.DUMMYFUNCTION("""COMPUTED_VALUE"""),"")</f>
        <v/>
      </c>
      <c r="M139" s="4" t="str">
        <f>IFERROR(__xludf.DUMMYFUNCTION("""COMPUTED_VALUE"""),"")</f>
        <v/>
      </c>
      <c r="N139" s="4" t="str">
        <f>IFERROR(__xludf.DUMMYFUNCTION("""COMPUTED_VALUE"""),"")</f>
        <v/>
      </c>
      <c r="O139" s="4" t="str">
        <f>IFERROR(__xludf.DUMMYFUNCTION("""COMPUTED_VALUE"""),"")</f>
        <v/>
      </c>
      <c r="P139" s="4" t="str">
        <f>IFERROR(__xludf.DUMMYFUNCTION("""COMPUTED_VALUE"""),"")</f>
        <v/>
      </c>
      <c r="Q139" s="4" t="str">
        <f>IFERROR(__xludf.DUMMYFUNCTION("""COMPUTED_VALUE"""),"")</f>
        <v/>
      </c>
      <c r="R139" s="4" t="str">
        <f>IFERROR(__xludf.DUMMYFUNCTION("""COMPUTED_VALUE"""),"")</f>
        <v/>
      </c>
    </row>
    <row r="140">
      <c r="A140" s="4" t="str">
        <f>IFERROR(__xludf.DUMMYFUNCTION("""COMPUTED_VALUE"""),"142 - Channel 5")</f>
        <v>142 - Channel 5</v>
      </c>
      <c r="B140" s="4" t="str">
        <f>IFERROR(__xludf.DUMMYFUNCTION("""COMPUTED_VALUE"""),"Day 2 - 24/06")</f>
        <v>Day 2 - 24/06</v>
      </c>
      <c r="C140" s="6">
        <f>IFERROR(__xludf.DUMMYFUNCTION("""COMPUTED_VALUE"""),0.5809722222222231)</f>
        <v>0.5809722222</v>
      </c>
      <c r="D140" s="8">
        <f>IFERROR(__xludf.DUMMYFUNCTION("""COMPUTED_VALUE"""),0.012881944444444444)</f>
        <v>0.01288194444</v>
      </c>
      <c r="E140" s="6">
        <f>IFERROR(__xludf.DUMMYFUNCTION("""COMPUTED_VALUE"""),0.5938541666666676)</f>
        <v>0.5938541667</v>
      </c>
      <c r="F140" s="4" t="str">
        <f>IFERROR(__xludf.DUMMYFUNCTION("""COMPUTED_VALUE"""),"Politics")</f>
        <v>Politics</v>
      </c>
      <c r="G140" s="4" t="str">
        <f>IFERROR(__xludf.DUMMYFUNCTION("""COMPUTED_VALUE"""),"Web Summit 2018")</f>
        <v>Web Summit 2018</v>
      </c>
      <c r="H140" s="21" t="str">
        <f>IFERROR(__xludf.DUMMYFUNCTION("""COMPUTED_VALUE"""),"https://www.youtube.com/watch?v=1gN8mUty_Ig")</f>
        <v>https://www.youtube.com/watch?v=1gN8mUty_Ig</v>
      </c>
      <c r="I140" s="4" t="str">
        <f>IFERROR(__xludf.DUMMYFUNCTION("""COMPUTED_VALUE"""),"Start on 00:02. Cover banner from 12:56-13:06. Finish at the end.")</f>
        <v>Start on 00:02. Cover banner from 12:56-13:06. Finish at the end.</v>
      </c>
      <c r="J140" s="4" t="str">
        <f>IFERROR(__xludf.DUMMYFUNCTION("""COMPUTED_VALUE"""),"No")</f>
        <v>No</v>
      </c>
      <c r="K140" s="4" t="str">
        <f>IFERROR(__xludf.DUMMYFUNCTION("""COMPUTED_VALUE"""),"Margrethe Vestager is making the competition fair")</f>
        <v>Margrethe Vestager is making the competition fair</v>
      </c>
      <c r="L140" s="4" t="str">
        <f>IFERROR(__xludf.DUMMYFUNCTION("""COMPUTED_VALUE"""),"Margrethe Vestager, European Commission")</f>
        <v>Margrethe Vestager, European Commission</v>
      </c>
      <c r="M140" s="4" t="str">
        <f>IFERROR(__xludf.DUMMYFUNCTION("""COMPUTED_VALUE"""),"")</f>
        <v/>
      </c>
      <c r="N140" s="4" t="str">
        <f>IFERROR(__xludf.DUMMYFUNCTION("""COMPUTED_VALUE"""),"")</f>
        <v/>
      </c>
      <c r="O140" s="4" t="str">
        <f>IFERROR(__xludf.DUMMYFUNCTION("""COMPUTED_VALUE"""),"")</f>
        <v/>
      </c>
      <c r="P140" s="4" t="str">
        <f>IFERROR(__xludf.DUMMYFUNCTION("""COMPUTED_VALUE"""),"")</f>
        <v/>
      </c>
      <c r="Q140" s="4" t="str">
        <f>IFERROR(__xludf.DUMMYFUNCTION("""COMPUTED_VALUE"""),"Being fairer is a good thing – few could argue with that. Many will argue about what it means to make an economy fairer. Margrethe Vestager is at the forefront of the fight to make our European (and global) economy fairer. Join us to hear how she is doing"&amp;" it.")</f>
        <v>Being fairer is a good thing – few could argue with that. Many will argue about what it means to make an economy fairer. Margrethe Vestager is at the forefront of the fight to make our European (and global) economy fairer. Join us to hear how she is doing it.</v>
      </c>
      <c r="R140" s="4" t="str">
        <f>IFERROR(__xludf.DUMMYFUNCTION("""COMPUTED_VALUE"""),"")</f>
        <v/>
      </c>
    </row>
    <row r="141">
      <c r="A141" s="4" t="str">
        <f>IFERROR(__xludf.DUMMYFUNCTION("""COMPUTED_VALUE"""),"143 - Channel 5")</f>
        <v>143 - Channel 5</v>
      </c>
      <c r="B141" s="4" t="str">
        <f>IFERROR(__xludf.DUMMYFUNCTION("""COMPUTED_VALUE"""),"Day 2 - 24/06")</f>
        <v>Day 2 - 24/06</v>
      </c>
      <c r="C141" s="6">
        <f>IFERROR(__xludf.DUMMYFUNCTION("""COMPUTED_VALUE"""),0.5938541666666676)</f>
        <v>0.5938541667</v>
      </c>
      <c r="D141" s="8">
        <f>IFERROR(__xludf.DUMMYFUNCTION("""COMPUTED_VALUE"""),1.7361111111111112E-4)</f>
        <v>0.0001736111111</v>
      </c>
      <c r="E141" s="6">
        <f>IFERROR(__xludf.DUMMYFUNCTION("""COMPUTED_VALUE"""),0.5940277777777787)</f>
        <v>0.5940277778</v>
      </c>
      <c r="F141" s="4" t="str">
        <f>IFERROR(__xludf.DUMMYFUNCTION("""COMPUTED_VALUE"""),"")</f>
        <v/>
      </c>
      <c r="G141" s="4" t="str">
        <f>IFERROR(__xludf.DUMMYFUNCTION("""COMPUTED_VALUE"""),"")</f>
        <v/>
      </c>
      <c r="H141" s="4" t="str">
        <f>IFERROR(__xludf.DUMMYFUNCTION("""COMPUTED_VALUE"""),"")</f>
        <v/>
      </c>
      <c r="I141" s="4" t="str">
        <f>IFERROR(__xludf.DUMMYFUNCTION("""COMPUTED_VALUE"""),"")</f>
        <v/>
      </c>
      <c r="J141" s="4" t="str">
        <f>IFERROR(__xludf.DUMMYFUNCTION("""COMPUTED_VALUE"""),"")</f>
        <v/>
      </c>
      <c r="K141" s="4" t="str">
        <f>IFERROR(__xludf.DUMMYFUNCTION("""COMPUTED_VALUE"""),"Talk Outro")</f>
        <v>Talk Outro</v>
      </c>
      <c r="L141" s="4" t="str">
        <f>IFERROR(__xludf.DUMMYFUNCTION("""COMPUTED_VALUE"""),"")</f>
        <v/>
      </c>
      <c r="M141" s="4" t="str">
        <f>IFERROR(__xludf.DUMMYFUNCTION("""COMPUTED_VALUE"""),"")</f>
        <v/>
      </c>
      <c r="N141" s="4" t="str">
        <f>IFERROR(__xludf.DUMMYFUNCTION("""COMPUTED_VALUE"""),"")</f>
        <v/>
      </c>
      <c r="O141" s="4" t="str">
        <f>IFERROR(__xludf.DUMMYFUNCTION("""COMPUTED_VALUE"""),"")</f>
        <v/>
      </c>
      <c r="P141" s="4" t="str">
        <f>IFERROR(__xludf.DUMMYFUNCTION("""COMPUTED_VALUE"""),"")</f>
        <v/>
      </c>
      <c r="Q141" s="4" t="str">
        <f>IFERROR(__xludf.DUMMYFUNCTION("""COMPUTED_VALUE"""),"")</f>
        <v/>
      </c>
      <c r="R141" s="4" t="str">
        <f>IFERROR(__xludf.DUMMYFUNCTION("""COMPUTED_VALUE"""),"")</f>
        <v/>
      </c>
    </row>
    <row r="142">
      <c r="A142" s="4" t="str">
        <f>IFERROR(__xludf.DUMMYFUNCTION("""COMPUTED_VALUE"""),"288 - Channel 5")</f>
        <v>288 - Channel 5</v>
      </c>
      <c r="B142" s="4" t="str">
        <f>IFERROR(__xludf.DUMMYFUNCTION("""COMPUTED_VALUE"""),"Day 2 - 24/06")</f>
        <v>Day 2 - 24/06</v>
      </c>
      <c r="C142" s="6">
        <f>IFERROR(__xludf.DUMMYFUNCTION("""COMPUTED_VALUE"""),0.5940277777777787)</f>
        <v>0.5940277778</v>
      </c>
      <c r="D142" s="8">
        <f>IFERROR(__xludf.DUMMYFUNCTION("""COMPUTED_VALUE"""),3.4722222222222224E-4)</f>
        <v>0.0003472222222</v>
      </c>
      <c r="E142" s="6">
        <f>IFERROR(__xludf.DUMMYFUNCTION("""COMPUTED_VALUE"""),0.594375000000001)</f>
        <v>0.594375</v>
      </c>
      <c r="F142" s="4" t="str">
        <f>IFERROR(__xludf.DUMMYFUNCTION("""COMPUTED_VALUE"""),"")</f>
        <v/>
      </c>
      <c r="G142" s="4" t="str">
        <f>IFERROR(__xludf.DUMMYFUNCTION("""COMPUTED_VALUE"""),"")</f>
        <v/>
      </c>
      <c r="H142" s="4" t="str">
        <f>IFERROR(__xludf.DUMMYFUNCTION("""COMPUTED_VALUE"""),"")</f>
        <v/>
      </c>
      <c r="I142" s="4" t="str">
        <f>IFERROR(__xludf.DUMMYFUNCTION("""COMPUTED_VALUE"""),"")</f>
        <v/>
      </c>
      <c r="J142" s="4" t="str">
        <f>IFERROR(__xludf.DUMMYFUNCTION("""COMPUTED_VALUE"""),"")</f>
        <v/>
      </c>
      <c r="K142" s="4" t="str">
        <f>IFERROR(__xludf.DUMMYFUNCTION("""COMPUTED_VALUE"""),"Web Summit Trailer - Short")</f>
        <v>Web Summit Trailer - Short</v>
      </c>
      <c r="L142" s="4" t="str">
        <f>IFERROR(__xludf.DUMMYFUNCTION("""COMPUTED_VALUE"""),"")</f>
        <v/>
      </c>
      <c r="M142" s="4" t="str">
        <f>IFERROR(__xludf.DUMMYFUNCTION("""COMPUTED_VALUE"""),"")</f>
        <v/>
      </c>
      <c r="N142" s="4" t="str">
        <f>IFERROR(__xludf.DUMMYFUNCTION("""COMPUTED_VALUE"""),"")</f>
        <v/>
      </c>
      <c r="O142" s="4" t="str">
        <f>IFERROR(__xludf.DUMMYFUNCTION("""COMPUTED_VALUE"""),"")</f>
        <v/>
      </c>
      <c r="P142" s="4" t="str">
        <f>IFERROR(__xludf.DUMMYFUNCTION("""COMPUTED_VALUE"""),"")</f>
        <v/>
      </c>
      <c r="Q142" s="4" t="str">
        <f>IFERROR(__xludf.DUMMYFUNCTION("""COMPUTED_VALUE"""),"")</f>
        <v/>
      </c>
      <c r="R142" s="4" t="str">
        <f>IFERROR(__xludf.DUMMYFUNCTION("""COMPUTED_VALUE"""),"")</f>
        <v/>
      </c>
    </row>
    <row r="143">
      <c r="A143" s="4" t="str">
        <f>IFERROR(__xludf.DUMMYFUNCTION("""COMPUTED_VALUE"""),"145 - Channel 5")</f>
        <v>145 - Channel 5</v>
      </c>
      <c r="B143" s="4" t="str">
        <f>IFERROR(__xludf.DUMMYFUNCTION("""COMPUTED_VALUE"""),"Day 2 - 24/06")</f>
        <v>Day 2 - 24/06</v>
      </c>
      <c r="C143" s="6">
        <f>IFERROR(__xludf.DUMMYFUNCTION("""COMPUTED_VALUE"""),0.594375000000001)</f>
        <v>0.594375</v>
      </c>
      <c r="D143" s="8">
        <f>IFERROR(__xludf.DUMMYFUNCTION("""COMPUTED_VALUE"""),3.4722222222222224E-4)</f>
        <v>0.0003472222222</v>
      </c>
      <c r="E143" s="6">
        <f>IFERROR(__xludf.DUMMYFUNCTION("""COMPUTED_VALUE"""),0.5947222222222233)</f>
        <v>0.5947222222</v>
      </c>
      <c r="F143" s="4" t="str">
        <f>IFERROR(__xludf.DUMMYFUNCTION("""COMPUTED_VALUE"""),"")</f>
        <v/>
      </c>
      <c r="G143" s="4" t="str">
        <f>IFERROR(__xludf.DUMMYFUNCTION("""COMPUTED_VALUE"""),"")</f>
        <v/>
      </c>
      <c r="H143" s="4" t="str">
        <f>IFERROR(__xludf.DUMMYFUNCTION("""COMPUTED_VALUE"""),"")</f>
        <v/>
      </c>
      <c r="I143" s="4" t="str">
        <f>IFERROR(__xludf.DUMMYFUNCTION("""COMPUTED_VALUE"""),"")</f>
        <v/>
      </c>
      <c r="J143" s="4" t="str">
        <f>IFERROR(__xludf.DUMMYFUNCTION("""COMPUTED_VALUE"""),"")</f>
        <v/>
      </c>
      <c r="K143" s="4" t="str">
        <f>IFERROR(__xludf.DUMMYFUNCTION("""COMPUTED_VALUE"""),"Talk Intro")</f>
        <v>Talk Intro</v>
      </c>
      <c r="L143" s="4" t="str">
        <f>IFERROR(__xludf.DUMMYFUNCTION("""COMPUTED_VALUE"""),"")</f>
        <v/>
      </c>
      <c r="M143" s="4" t="str">
        <f>IFERROR(__xludf.DUMMYFUNCTION("""COMPUTED_VALUE"""),"")</f>
        <v/>
      </c>
      <c r="N143" s="4" t="str">
        <f>IFERROR(__xludf.DUMMYFUNCTION("""COMPUTED_VALUE"""),"")</f>
        <v/>
      </c>
      <c r="O143" s="4" t="str">
        <f>IFERROR(__xludf.DUMMYFUNCTION("""COMPUTED_VALUE"""),"")</f>
        <v/>
      </c>
      <c r="P143" s="4" t="str">
        <f>IFERROR(__xludf.DUMMYFUNCTION("""COMPUTED_VALUE"""),"")</f>
        <v/>
      </c>
      <c r="Q143" s="4" t="str">
        <f>IFERROR(__xludf.DUMMYFUNCTION("""COMPUTED_VALUE"""),"")</f>
        <v/>
      </c>
      <c r="R143" s="4" t="str">
        <f>IFERROR(__xludf.DUMMYFUNCTION("""COMPUTED_VALUE"""),"")</f>
        <v/>
      </c>
    </row>
    <row r="144">
      <c r="A144" s="4" t="str">
        <f>IFERROR(__xludf.DUMMYFUNCTION("""COMPUTED_VALUE"""),"146 - Channel 5")</f>
        <v>146 - Channel 5</v>
      </c>
      <c r="B144" s="4" t="str">
        <f>IFERROR(__xludf.DUMMYFUNCTION("""COMPUTED_VALUE"""),"Day 2 - 24/06")</f>
        <v>Day 2 - 24/06</v>
      </c>
      <c r="C144" s="6">
        <f>IFERROR(__xludf.DUMMYFUNCTION("""COMPUTED_VALUE"""),0.5947222222222233)</f>
        <v>0.5947222222</v>
      </c>
      <c r="D144" s="8">
        <f>IFERROR(__xludf.DUMMYFUNCTION("""COMPUTED_VALUE"""),0.010960648148148148)</f>
        <v>0.01096064815</v>
      </c>
      <c r="E144" s="6">
        <f>IFERROR(__xludf.DUMMYFUNCTION("""COMPUTED_VALUE"""),0.6056828703703714)</f>
        <v>0.6056828704</v>
      </c>
      <c r="F144" s="4" t="str">
        <f>IFERROR(__xludf.DUMMYFUNCTION("""COMPUTED_VALUE"""),"Politics")</f>
        <v>Politics</v>
      </c>
      <c r="G144" s="4" t="str">
        <f>IFERROR(__xludf.DUMMYFUNCTION("""COMPUTED_VALUE"""),"RISE 2018")</f>
        <v>RISE 2018</v>
      </c>
      <c r="H144" s="21" t="str">
        <f>IFERROR(__xludf.DUMMYFUNCTION("""COMPUTED_VALUE"""),"https://www.youtube.com/watch?v=s-WqmC3Aoa4")</f>
        <v>https://www.youtube.com/watch?v=s-WqmC3Aoa4</v>
      </c>
      <c r="I144" s="4" t="str">
        <f>IFERROR(__xludf.DUMMYFUNCTION("""COMPUTED_VALUE"""),"Begin on 7 secs. Banner needs covered at 12:27-13:14. Go to the end.")</f>
        <v>Begin on 7 secs. Banner needs covered at 12:27-13:14. Go to the end.</v>
      </c>
      <c r="J144" s="4" t="str">
        <f>IFERROR(__xludf.DUMMYFUNCTION("""COMPUTED_VALUE"""),"No")</f>
        <v>No</v>
      </c>
      <c r="K144" s="4" t="str">
        <f>IFERROR(__xludf.DUMMYFUNCTION("""COMPUTED_VALUE"""),"Kara Swisher explains the disconnect between tech and governance")</f>
        <v>Kara Swisher explains the disconnect between tech and governance</v>
      </c>
      <c r="L144" s="4" t="str">
        <f>IFERROR(__xludf.DUMMYFUNCTION("""COMPUTED_VALUE"""),"Kara Swisher, Recode")</f>
        <v>Kara Swisher, Recode</v>
      </c>
      <c r="M144" s="4" t="str">
        <f>IFERROR(__xludf.DUMMYFUNCTION("""COMPUTED_VALUE"""),"")</f>
        <v/>
      </c>
      <c r="N144" s="4" t="str">
        <f>IFERROR(__xludf.DUMMYFUNCTION("""COMPUTED_VALUE"""),"")</f>
        <v/>
      </c>
      <c r="O144" s="4" t="str">
        <f>IFERROR(__xludf.DUMMYFUNCTION("""COMPUTED_VALUE"""),"")</f>
        <v/>
      </c>
      <c r="P144" s="4" t="str">
        <f>IFERROR(__xludf.DUMMYFUNCTION("""COMPUTED_VALUE"""),"")</f>
        <v/>
      </c>
      <c r="Q144" s="4" t="str">
        <f>IFERROR(__xludf.DUMMYFUNCTION("""COMPUTED_VALUE"""),"How will tech be regulated? It was true in 2018 that tech, as a sector, was massively under-regulated, and it is just as true today. Kara Swisher flags up numerous areas where regulation lags behind the abilities of tech, and behind the need for better (a"&amp;"nd more) regulation.")</f>
        <v>How will tech be regulated? It was true in 2018 that tech, as a sector, was massively under-regulated, and it is just as true today. Kara Swisher flags up numerous areas where regulation lags behind the abilities of tech, and behind the need for better (and more) regulation.</v>
      </c>
      <c r="R144" s="4" t="str">
        <f>IFERROR(__xludf.DUMMYFUNCTION("""COMPUTED_VALUE"""),"")</f>
        <v/>
      </c>
    </row>
    <row r="145">
      <c r="A145" s="4" t="str">
        <f>IFERROR(__xludf.DUMMYFUNCTION("""COMPUTED_VALUE"""),"147 - Channel 5")</f>
        <v>147 - Channel 5</v>
      </c>
      <c r="B145" s="4" t="str">
        <f>IFERROR(__xludf.DUMMYFUNCTION("""COMPUTED_VALUE"""),"Day 2 - 24/06")</f>
        <v>Day 2 - 24/06</v>
      </c>
      <c r="C145" s="6">
        <f>IFERROR(__xludf.DUMMYFUNCTION("""COMPUTED_VALUE"""),0.6056828703703714)</f>
        <v>0.6056828704</v>
      </c>
      <c r="D145" s="8">
        <f>IFERROR(__xludf.DUMMYFUNCTION("""COMPUTED_VALUE"""),1.7361111111111112E-4)</f>
        <v>0.0001736111111</v>
      </c>
      <c r="E145" s="6">
        <f>IFERROR(__xludf.DUMMYFUNCTION("""COMPUTED_VALUE"""),0.6058564814814825)</f>
        <v>0.6058564815</v>
      </c>
      <c r="F145" s="4" t="str">
        <f>IFERROR(__xludf.DUMMYFUNCTION("""COMPUTED_VALUE"""),"")</f>
        <v/>
      </c>
      <c r="G145" s="4" t="str">
        <f>IFERROR(__xludf.DUMMYFUNCTION("""COMPUTED_VALUE"""),"")</f>
        <v/>
      </c>
      <c r="H145" s="4" t="str">
        <f>IFERROR(__xludf.DUMMYFUNCTION("""COMPUTED_VALUE"""),"")</f>
        <v/>
      </c>
      <c r="I145" s="4" t="str">
        <f>IFERROR(__xludf.DUMMYFUNCTION("""COMPUTED_VALUE"""),"")</f>
        <v/>
      </c>
      <c r="J145" s="4" t="str">
        <f>IFERROR(__xludf.DUMMYFUNCTION("""COMPUTED_VALUE"""),"")</f>
        <v/>
      </c>
      <c r="K145" s="4" t="str">
        <f>IFERROR(__xludf.DUMMYFUNCTION("""COMPUTED_VALUE"""),"Talk Outro")</f>
        <v>Talk Outro</v>
      </c>
      <c r="L145" s="4" t="str">
        <f>IFERROR(__xludf.DUMMYFUNCTION("""COMPUTED_VALUE"""),"")</f>
        <v/>
      </c>
      <c r="M145" s="4" t="str">
        <f>IFERROR(__xludf.DUMMYFUNCTION("""COMPUTED_VALUE"""),"")</f>
        <v/>
      </c>
      <c r="N145" s="4" t="str">
        <f>IFERROR(__xludf.DUMMYFUNCTION("""COMPUTED_VALUE"""),"")</f>
        <v/>
      </c>
      <c r="O145" s="4" t="str">
        <f>IFERROR(__xludf.DUMMYFUNCTION("""COMPUTED_VALUE"""),"")</f>
        <v/>
      </c>
      <c r="P145" s="4" t="str">
        <f>IFERROR(__xludf.DUMMYFUNCTION("""COMPUTED_VALUE"""),"")</f>
        <v/>
      </c>
      <c r="Q145" s="4" t="str">
        <f>IFERROR(__xludf.DUMMYFUNCTION("""COMPUTED_VALUE"""),"")</f>
        <v/>
      </c>
      <c r="R145" s="4" t="str">
        <f>IFERROR(__xludf.DUMMYFUNCTION("""COMPUTED_VALUE"""),"")</f>
        <v/>
      </c>
    </row>
    <row r="146">
      <c r="A146" s="4" t="str">
        <f>IFERROR(__xludf.DUMMYFUNCTION("""COMPUTED_VALUE"""),"148 - Channel 5")</f>
        <v>148 - Channel 5</v>
      </c>
      <c r="B146" s="4" t="str">
        <f>IFERROR(__xludf.DUMMYFUNCTION("""COMPUTED_VALUE"""),"Day 2 - 24/06")</f>
        <v>Day 2 - 24/06</v>
      </c>
      <c r="C146" s="6">
        <f>IFERROR(__xludf.DUMMYFUNCTION("""COMPUTED_VALUE"""),0.6058564814814825)</f>
        <v>0.6058564815</v>
      </c>
      <c r="D146" s="8">
        <f>IFERROR(__xludf.DUMMYFUNCTION("""COMPUTED_VALUE"""),3.4722222222222224E-4)</f>
        <v>0.0003472222222</v>
      </c>
      <c r="E146" s="6">
        <f>IFERROR(__xludf.DUMMYFUNCTION("""COMPUTED_VALUE"""),0.6062037037037048)</f>
        <v>0.6062037037</v>
      </c>
      <c r="F146" s="4" t="str">
        <f>IFERROR(__xludf.DUMMYFUNCTION("""COMPUTED_VALUE"""),"")</f>
        <v/>
      </c>
      <c r="G146" s="4" t="str">
        <f>IFERROR(__xludf.DUMMYFUNCTION("""COMPUTED_VALUE"""),"")</f>
        <v/>
      </c>
      <c r="H146" s="4" t="str">
        <f>IFERROR(__xludf.DUMMYFUNCTION("""COMPUTED_VALUE"""),"")</f>
        <v/>
      </c>
      <c r="I146" s="4" t="str">
        <f>IFERROR(__xludf.DUMMYFUNCTION("""COMPUTED_VALUE"""),"")</f>
        <v/>
      </c>
      <c r="J146" s="4" t="str">
        <f>IFERROR(__xludf.DUMMYFUNCTION("""COMPUTED_VALUE"""),"")</f>
        <v/>
      </c>
      <c r="K146" s="4" t="str">
        <f>IFERROR(__xludf.DUMMYFUNCTION("""COMPUTED_VALUE"""),"Talk Intro")</f>
        <v>Talk Intro</v>
      </c>
      <c r="L146" s="4" t="str">
        <f>IFERROR(__xludf.DUMMYFUNCTION("""COMPUTED_VALUE"""),"")</f>
        <v/>
      </c>
      <c r="M146" s="4" t="str">
        <f>IFERROR(__xludf.DUMMYFUNCTION("""COMPUTED_VALUE"""),"")</f>
        <v/>
      </c>
      <c r="N146" s="4" t="str">
        <f>IFERROR(__xludf.DUMMYFUNCTION("""COMPUTED_VALUE"""),"")</f>
        <v/>
      </c>
      <c r="O146" s="4" t="str">
        <f>IFERROR(__xludf.DUMMYFUNCTION("""COMPUTED_VALUE"""),"")</f>
        <v/>
      </c>
      <c r="P146" s="4" t="str">
        <f>IFERROR(__xludf.DUMMYFUNCTION("""COMPUTED_VALUE"""),"")</f>
        <v/>
      </c>
      <c r="Q146" s="4" t="str">
        <f>IFERROR(__xludf.DUMMYFUNCTION("""COMPUTED_VALUE"""),"")</f>
        <v/>
      </c>
      <c r="R146" s="4" t="str">
        <f>IFERROR(__xludf.DUMMYFUNCTION("""COMPUTED_VALUE"""),"")</f>
        <v/>
      </c>
    </row>
    <row r="147">
      <c r="A147" s="4" t="str">
        <f>IFERROR(__xludf.DUMMYFUNCTION("""COMPUTED_VALUE"""),"149 - Channel 5")</f>
        <v>149 - Channel 5</v>
      </c>
      <c r="B147" s="4" t="str">
        <f>IFERROR(__xludf.DUMMYFUNCTION("""COMPUTED_VALUE"""),"Day 2 - 24/06")</f>
        <v>Day 2 - 24/06</v>
      </c>
      <c r="C147" s="6">
        <f>IFERROR(__xludf.DUMMYFUNCTION("""COMPUTED_VALUE"""),0.6062037037037048)</f>
        <v>0.6062037037</v>
      </c>
      <c r="D147" s="8">
        <f>IFERROR(__xludf.DUMMYFUNCTION("""COMPUTED_VALUE"""),0.006944444444444444)</f>
        <v>0.006944444444</v>
      </c>
      <c r="E147" s="6">
        <f>IFERROR(__xludf.DUMMYFUNCTION("""COMPUTED_VALUE"""),0.6131481481481492)</f>
        <v>0.6131481481</v>
      </c>
      <c r="F147" s="4" t="str">
        <f>IFERROR(__xludf.DUMMYFUNCTION("""COMPUTED_VALUE"""),"Climate")</f>
        <v>Climate</v>
      </c>
      <c r="G147" s="4" t="str">
        <f>IFERROR(__xludf.DUMMYFUNCTION("""COMPUTED_VALUE"""),"")</f>
        <v/>
      </c>
      <c r="H147" s="4" t="str">
        <f>IFERROR(__xludf.DUMMYFUNCTION("""COMPUTED_VALUE"""),"")</f>
        <v/>
      </c>
      <c r="I147" s="4" t="str">
        <f>IFERROR(__xludf.DUMMYFUNCTION("""COMPUTED_VALUE"""),"")</f>
        <v/>
      </c>
      <c r="J147" s="4" t="str">
        <f>IFERROR(__xludf.DUMMYFUNCTION("""COMPUTED_VALUE"""),"No")</f>
        <v>No</v>
      </c>
      <c r="K147" s="4" t="str">
        <f>IFERROR(__xludf.DUMMYFUNCTION("""COMPUTED_VALUE"""),"Top 5 climate talks")</f>
        <v>Top 5 climate talks</v>
      </c>
      <c r="L147" s="4" t="str">
        <f>IFERROR(__xludf.DUMMYFUNCTION("""COMPUTED_VALUE"""),"Al Gore, Generation Investment Management")</f>
        <v>Al Gore, Generation Investment Management</v>
      </c>
      <c r="M147" s="4" t="str">
        <f>IFERROR(__xludf.DUMMYFUNCTION("""COMPUTED_VALUE"""),"Christiana Figueres, Mission2020")</f>
        <v>Christiana Figueres, Mission2020</v>
      </c>
      <c r="N147" s="4" t="str">
        <f>IFERROR(__xludf.DUMMYFUNCTION("""COMPUTED_VALUE"""),"Rick Ridgeway, Patagonia")</f>
        <v>Rick Ridgeway, Patagonia</v>
      </c>
      <c r="O147" s="4" t="str">
        <f>IFERROR(__xludf.DUMMYFUNCTION("""COMPUTED_VALUE"""),"Kate Brandt, Google")</f>
        <v>Kate Brandt, Google</v>
      </c>
      <c r="P147" s="4" t="str">
        <f>IFERROR(__xludf.DUMMYFUNCTION("""COMPUTED_VALUE"""),"Steve Oldham, Carbon Engineering")</f>
        <v>Steve Oldham, Carbon Engineering</v>
      </c>
      <c r="Q147" s="4" t="str">
        <f>IFERROR(__xludf.DUMMYFUNCTION("""COMPUTED_VALUE"""),"Featuring Al Gore, Christiana Figueres, Rick Ridgeway, Kate Brandt and Steve Oldham. Climate change, even more so than Covid-19, presents a truly existential threat to our planet. Tune in to hear from five of the world's leading experts about how to comba"&amp;"t that threat.")</f>
        <v>Featuring Al Gore, Christiana Figueres, Rick Ridgeway, Kate Brandt and Steve Oldham. Climate change, even more so than Covid-19, presents a truly existential threat to our planet. Tune in to hear from five of the world's leading experts about how to combat that threat.</v>
      </c>
      <c r="R147" s="4" t="str">
        <f>IFERROR(__xludf.DUMMYFUNCTION("""COMPUTED_VALUE"""),"")</f>
        <v/>
      </c>
    </row>
    <row r="148">
      <c r="A148" s="4" t="str">
        <f>IFERROR(__xludf.DUMMYFUNCTION("""COMPUTED_VALUE"""),"150 - Channel 5")</f>
        <v>150 - Channel 5</v>
      </c>
      <c r="B148" s="4" t="str">
        <f>IFERROR(__xludf.DUMMYFUNCTION("""COMPUTED_VALUE"""),"Day 2 - 24/06")</f>
        <v>Day 2 - 24/06</v>
      </c>
      <c r="C148" s="6">
        <f>IFERROR(__xludf.DUMMYFUNCTION("""COMPUTED_VALUE"""),0.6131481481481492)</f>
        <v>0.6131481481</v>
      </c>
      <c r="D148" s="8">
        <f>IFERROR(__xludf.DUMMYFUNCTION("""COMPUTED_VALUE"""),1.7361111111111112E-4)</f>
        <v>0.0001736111111</v>
      </c>
      <c r="E148" s="6">
        <f>IFERROR(__xludf.DUMMYFUNCTION("""COMPUTED_VALUE"""),0.6133217592592604)</f>
        <v>0.6133217593</v>
      </c>
      <c r="F148" s="4" t="str">
        <f>IFERROR(__xludf.DUMMYFUNCTION("""COMPUTED_VALUE"""),"")</f>
        <v/>
      </c>
      <c r="G148" s="4" t="str">
        <f>IFERROR(__xludf.DUMMYFUNCTION("""COMPUTED_VALUE"""),"")</f>
        <v/>
      </c>
      <c r="H148" s="4" t="str">
        <f>IFERROR(__xludf.DUMMYFUNCTION("""COMPUTED_VALUE"""),"")</f>
        <v/>
      </c>
      <c r="I148" s="4" t="str">
        <f>IFERROR(__xludf.DUMMYFUNCTION("""COMPUTED_VALUE"""),"")</f>
        <v/>
      </c>
      <c r="J148" s="4" t="str">
        <f>IFERROR(__xludf.DUMMYFUNCTION("""COMPUTED_VALUE"""),"")</f>
        <v/>
      </c>
      <c r="K148" s="4" t="str">
        <f>IFERROR(__xludf.DUMMYFUNCTION("""COMPUTED_VALUE"""),"Talk Outro")</f>
        <v>Talk Outro</v>
      </c>
      <c r="L148" s="4" t="str">
        <f>IFERROR(__xludf.DUMMYFUNCTION("""COMPUTED_VALUE"""),"")</f>
        <v/>
      </c>
      <c r="M148" s="4" t="str">
        <f>IFERROR(__xludf.DUMMYFUNCTION("""COMPUTED_VALUE"""),"")</f>
        <v/>
      </c>
      <c r="N148" s="4" t="str">
        <f>IFERROR(__xludf.DUMMYFUNCTION("""COMPUTED_VALUE"""),"")</f>
        <v/>
      </c>
      <c r="O148" s="4" t="str">
        <f>IFERROR(__xludf.DUMMYFUNCTION("""COMPUTED_VALUE"""),"")</f>
        <v/>
      </c>
      <c r="P148" s="4" t="str">
        <f>IFERROR(__xludf.DUMMYFUNCTION("""COMPUTED_VALUE"""),"")</f>
        <v/>
      </c>
      <c r="Q148" s="4" t="str">
        <f>IFERROR(__xludf.DUMMYFUNCTION("""COMPUTED_VALUE"""),"")</f>
        <v/>
      </c>
      <c r="R148" s="4" t="str">
        <f>IFERROR(__xludf.DUMMYFUNCTION("""COMPUTED_VALUE"""),"")</f>
        <v/>
      </c>
    </row>
    <row r="149">
      <c r="A149" s="4" t="str">
        <f>IFERROR(__xludf.DUMMYFUNCTION("""COMPUTED_VALUE"""),"346 - Channel 5")</f>
        <v>346 - Channel 5</v>
      </c>
      <c r="B149" s="4" t="str">
        <f>IFERROR(__xludf.DUMMYFUNCTION("""COMPUTED_VALUE"""),"Day 2 - 24/06")</f>
        <v>Day 2 - 24/06</v>
      </c>
      <c r="C149" s="6">
        <f>IFERROR(__xludf.DUMMYFUNCTION("""COMPUTED_VALUE"""),0.6133217592592604)</f>
        <v>0.6133217593</v>
      </c>
      <c r="D149" s="8">
        <f>IFERROR(__xludf.DUMMYFUNCTION("""COMPUTED_VALUE"""),6.944444444444445E-4)</f>
        <v>0.0006944444444</v>
      </c>
      <c r="E149" s="6">
        <f>IFERROR(__xludf.DUMMYFUNCTION("""COMPUTED_VALUE"""),0.6140162037037048)</f>
        <v>0.6140162037</v>
      </c>
      <c r="F149" s="4" t="str">
        <f>IFERROR(__xludf.DUMMYFUNCTION("""COMPUTED_VALUE"""),"")</f>
        <v/>
      </c>
      <c r="G149" s="4" t="str">
        <f>IFERROR(__xludf.DUMMYFUNCTION("""COMPUTED_VALUE"""),"")</f>
        <v/>
      </c>
      <c r="H149" s="4" t="str">
        <f>IFERROR(__xludf.DUMMYFUNCTION("""COMPUTED_VALUE"""),"")</f>
        <v/>
      </c>
      <c r="I149" s="4" t="str">
        <f>IFERROR(__xludf.DUMMYFUNCTION("""COMPUTED_VALUE"""),"")</f>
        <v/>
      </c>
      <c r="J149" s="4" t="str">
        <f>IFERROR(__xludf.DUMMYFUNCTION("""COMPUTED_VALUE"""),"")</f>
        <v/>
      </c>
      <c r="K149" s="4" t="str">
        <f>IFERROR(__xludf.DUMMYFUNCTION("""COMPUTED_VALUE"""),"Holding Graphic")</f>
        <v>Holding Graphic</v>
      </c>
      <c r="L149" s="4" t="str">
        <f>IFERROR(__xludf.DUMMYFUNCTION("""COMPUTED_VALUE"""),"")</f>
        <v/>
      </c>
      <c r="M149" s="4" t="str">
        <f>IFERROR(__xludf.DUMMYFUNCTION("""COMPUTED_VALUE"""),"")</f>
        <v/>
      </c>
      <c r="N149" s="4" t="str">
        <f>IFERROR(__xludf.DUMMYFUNCTION("""COMPUTED_VALUE"""),"")</f>
        <v/>
      </c>
      <c r="O149" s="4" t="str">
        <f>IFERROR(__xludf.DUMMYFUNCTION("""COMPUTED_VALUE"""),"")</f>
        <v/>
      </c>
      <c r="P149" s="4" t="str">
        <f>IFERROR(__xludf.DUMMYFUNCTION("""COMPUTED_VALUE"""),"")</f>
        <v/>
      </c>
      <c r="Q149" s="4" t="str">
        <f>IFERROR(__xludf.DUMMYFUNCTION("""COMPUTED_VALUE"""),"")</f>
        <v/>
      </c>
      <c r="R149" s="4" t="str">
        <f>IFERROR(__xludf.DUMMYFUNCTION("""COMPUTED_VALUE"""),"")</f>
        <v/>
      </c>
    </row>
    <row r="150">
      <c r="A150" s="4" t="str">
        <f>IFERROR(__xludf.DUMMYFUNCTION("""COMPUTED_VALUE"""),"151 - Channel 5")</f>
        <v>151 - Channel 5</v>
      </c>
      <c r="B150" s="4" t="str">
        <f>IFERROR(__xludf.DUMMYFUNCTION("""COMPUTED_VALUE"""),"Day 2 - 24/06")</f>
        <v>Day 2 - 24/06</v>
      </c>
      <c r="C150" s="6">
        <f>IFERROR(__xludf.DUMMYFUNCTION("""COMPUTED_VALUE"""),0.6140162037037048)</f>
        <v>0.6140162037</v>
      </c>
      <c r="D150" s="8">
        <f>IFERROR(__xludf.DUMMYFUNCTION("""COMPUTED_VALUE"""),5.208333333333333E-4)</f>
        <v>0.0005208333333</v>
      </c>
      <c r="E150" s="6">
        <f>IFERROR(__xludf.DUMMYFUNCTION("""COMPUTED_VALUE"""),0.6145370370370381)</f>
        <v>0.614537037</v>
      </c>
      <c r="F150" s="4" t="str">
        <f>IFERROR(__xludf.DUMMYFUNCTION("""COMPUTED_VALUE"""),"")</f>
        <v/>
      </c>
      <c r="G150" s="4" t="str">
        <f>IFERROR(__xludf.DUMMYFUNCTION("""COMPUTED_VALUE"""),"")</f>
        <v/>
      </c>
      <c r="H150" s="4" t="str">
        <f>IFERROR(__xludf.DUMMYFUNCTION("""COMPUTED_VALUE"""),"")</f>
        <v/>
      </c>
      <c r="I150" s="4" t="str">
        <f>IFERROR(__xludf.DUMMYFUNCTION("""COMPUTED_VALUE"""),"")</f>
        <v/>
      </c>
      <c r="J150" s="4" t="str">
        <f>IFERROR(__xludf.DUMMYFUNCTION("""COMPUTED_VALUE"""),"")</f>
        <v/>
      </c>
      <c r="K150" s="4" t="str">
        <f>IFERROR(__xludf.DUMMYFUNCTION("""COMPUTED_VALUE"""),"Web Summit Trailer - Full")</f>
        <v>Web Summit Trailer - Full</v>
      </c>
      <c r="L150" s="4" t="str">
        <f>IFERROR(__xludf.DUMMYFUNCTION("""COMPUTED_VALUE"""),"")</f>
        <v/>
      </c>
      <c r="M150" s="4" t="str">
        <f>IFERROR(__xludf.DUMMYFUNCTION("""COMPUTED_VALUE"""),"")</f>
        <v/>
      </c>
      <c r="N150" s="4" t="str">
        <f>IFERROR(__xludf.DUMMYFUNCTION("""COMPUTED_VALUE"""),"")</f>
        <v/>
      </c>
      <c r="O150" s="4" t="str">
        <f>IFERROR(__xludf.DUMMYFUNCTION("""COMPUTED_VALUE"""),"")</f>
        <v/>
      </c>
      <c r="P150" s="4" t="str">
        <f>IFERROR(__xludf.DUMMYFUNCTION("""COMPUTED_VALUE"""),"")</f>
        <v/>
      </c>
      <c r="Q150" s="4" t="str">
        <f>IFERROR(__xludf.DUMMYFUNCTION("""COMPUTED_VALUE"""),"")</f>
        <v/>
      </c>
      <c r="R150" s="4" t="str">
        <f>IFERROR(__xludf.DUMMYFUNCTION("""COMPUTED_VALUE"""),"")</f>
        <v/>
      </c>
    </row>
    <row r="151">
      <c r="A151" s="4" t="str">
        <f>IFERROR(__xludf.DUMMYFUNCTION("""COMPUTED_VALUE"""),"153 - Channel 5")</f>
        <v>153 - Channel 5</v>
      </c>
      <c r="B151" s="4" t="str">
        <f>IFERROR(__xludf.DUMMYFUNCTION("""COMPUTED_VALUE"""),"Day 2 - 24/06")</f>
        <v>Day 2 - 24/06</v>
      </c>
      <c r="C151" s="6">
        <f>IFERROR(__xludf.DUMMYFUNCTION("""COMPUTED_VALUE"""),0.6145370370370381)</f>
        <v>0.614537037</v>
      </c>
      <c r="D151" s="8">
        <f>IFERROR(__xludf.DUMMYFUNCTION("""COMPUTED_VALUE"""),3.4722222222222224E-4)</f>
        <v>0.0003472222222</v>
      </c>
      <c r="E151" s="6">
        <f>IFERROR(__xludf.DUMMYFUNCTION("""COMPUTED_VALUE"""),0.6148842592592604)</f>
        <v>0.6148842593</v>
      </c>
      <c r="F151" s="4" t="str">
        <f>IFERROR(__xludf.DUMMYFUNCTION("""COMPUTED_VALUE"""),"")</f>
        <v/>
      </c>
      <c r="G151" s="4" t="str">
        <f>IFERROR(__xludf.DUMMYFUNCTION("""COMPUTED_VALUE"""),"")</f>
        <v/>
      </c>
      <c r="H151" s="4" t="str">
        <f>IFERROR(__xludf.DUMMYFUNCTION("""COMPUTED_VALUE"""),"")</f>
        <v/>
      </c>
      <c r="I151" s="4" t="str">
        <f>IFERROR(__xludf.DUMMYFUNCTION("""COMPUTED_VALUE"""),"")</f>
        <v/>
      </c>
      <c r="J151" s="4" t="str">
        <f>IFERROR(__xludf.DUMMYFUNCTION("""COMPUTED_VALUE"""),"")</f>
        <v/>
      </c>
      <c r="K151" s="4" t="str">
        <f>IFERROR(__xludf.DUMMYFUNCTION("""COMPUTED_VALUE"""),"Talk Intro")</f>
        <v>Talk Intro</v>
      </c>
      <c r="L151" s="4" t="str">
        <f>IFERROR(__xludf.DUMMYFUNCTION("""COMPUTED_VALUE"""),"")</f>
        <v/>
      </c>
      <c r="M151" s="4" t="str">
        <f>IFERROR(__xludf.DUMMYFUNCTION("""COMPUTED_VALUE"""),"")</f>
        <v/>
      </c>
      <c r="N151" s="4" t="str">
        <f>IFERROR(__xludf.DUMMYFUNCTION("""COMPUTED_VALUE"""),"")</f>
        <v/>
      </c>
      <c r="O151" s="4" t="str">
        <f>IFERROR(__xludf.DUMMYFUNCTION("""COMPUTED_VALUE"""),"")</f>
        <v/>
      </c>
      <c r="P151" s="4" t="str">
        <f>IFERROR(__xludf.DUMMYFUNCTION("""COMPUTED_VALUE"""),"")</f>
        <v/>
      </c>
      <c r="Q151" s="4" t="str">
        <f>IFERROR(__xludf.DUMMYFUNCTION("""COMPUTED_VALUE"""),"")</f>
        <v/>
      </c>
      <c r="R151" s="4" t="str">
        <f>IFERROR(__xludf.DUMMYFUNCTION("""COMPUTED_VALUE"""),"")</f>
        <v/>
      </c>
    </row>
    <row r="152">
      <c r="A152" s="4" t="str">
        <f>IFERROR(__xludf.DUMMYFUNCTION("""COMPUTED_VALUE"""),"154 - Channel 5")</f>
        <v>154 - Channel 5</v>
      </c>
      <c r="B152" s="4" t="str">
        <f>IFERROR(__xludf.DUMMYFUNCTION("""COMPUTED_VALUE"""),"Day 2 - 24/06")</f>
        <v>Day 2 - 24/06</v>
      </c>
      <c r="C152" s="6">
        <f>IFERROR(__xludf.DUMMYFUNCTION("""COMPUTED_VALUE"""),0.6148842592592604)</f>
        <v>0.6148842593</v>
      </c>
      <c r="D152" s="8">
        <f>IFERROR(__xludf.DUMMYFUNCTION("""COMPUTED_VALUE"""),0.009733796296296296)</f>
        <v>0.009733796296</v>
      </c>
      <c r="E152" s="6">
        <f>IFERROR(__xludf.DUMMYFUNCTION("""COMPUTED_VALUE"""),0.6246180555555567)</f>
        <v>0.6246180556</v>
      </c>
      <c r="F152" s="4" t="str">
        <f>IFERROR(__xludf.DUMMYFUNCTION("""COMPUTED_VALUE"""),"Society")</f>
        <v>Society</v>
      </c>
      <c r="G152" s="4" t="str">
        <f>IFERROR(__xludf.DUMMYFUNCTION("""COMPUTED_VALUE"""),"Web Summit 2018")</f>
        <v>Web Summit 2018</v>
      </c>
      <c r="H152" s="21" t="str">
        <f>IFERROR(__xludf.DUMMYFUNCTION("""COMPUTED_VALUE"""),"https://www.youtube.com/watch?v=5kJynnKNYLI&amp;list=PLxptNs2MLOjkTwMhAAgBIisGUstSaL-ul&amp;index=19")</f>
        <v>https://www.youtube.com/watch?v=5kJynnKNYLI&amp;list=PLxptNs2MLOjkTwMhAAgBIisGUstSaL-ul&amp;index=19</v>
      </c>
      <c r="I152" s="4" t="str">
        <f>IFERROR(__xludf.DUMMYFUNCTION("""COMPUTED_VALUE"""),"Start at 8 seconds, end at 14:09")</f>
        <v>Start at 8 seconds, end at 14:09</v>
      </c>
      <c r="J152" s="4" t="str">
        <f>IFERROR(__xludf.DUMMYFUNCTION("""COMPUTED_VALUE"""),"No")</f>
        <v>No</v>
      </c>
      <c r="K152" s="4" t="str">
        <f>IFERROR(__xludf.DUMMYFUNCTION("""COMPUTED_VALUE"""),"UN Secretary-General António Guterres on the state of the world")</f>
        <v>UN Secretary-General António Guterres on the state of the world</v>
      </c>
      <c r="L152" s="4" t="str">
        <f>IFERROR(__xludf.DUMMYFUNCTION("""COMPUTED_VALUE"""),"António Guterres, United Nations")</f>
        <v>António Guterres, United Nations</v>
      </c>
      <c r="M152" s="4" t="str">
        <f>IFERROR(__xludf.DUMMYFUNCTION("""COMPUTED_VALUE"""),"")</f>
        <v/>
      </c>
      <c r="N152" s="4" t="str">
        <f>IFERROR(__xludf.DUMMYFUNCTION("""COMPUTED_VALUE"""),"")</f>
        <v/>
      </c>
      <c r="O152" s="4" t="str">
        <f>IFERROR(__xludf.DUMMYFUNCTION("""COMPUTED_VALUE"""),"")</f>
        <v/>
      </c>
      <c r="P152" s="4" t="str">
        <f>IFERROR(__xludf.DUMMYFUNCTION("""COMPUTED_VALUE"""),"")</f>
        <v/>
      </c>
      <c r="Q152" s="4" t="str">
        <f>IFERROR(__xludf.DUMMYFUNCTION("""COMPUTED_VALUE"""),"Few individuals are better placed to discuss the challenges and opportunities facing the world than the secretary-general of the United Nations. Tune in to hear from António Guterres as he tells us about the biggest obstacles, and greatest opportunities, "&amp;"we face today.")</f>
        <v>Few individuals are better placed to discuss the challenges and opportunities facing the world than the secretary-general of the United Nations. Tune in to hear from António Guterres as he tells us about the biggest obstacles, and greatest opportunities, we face today.</v>
      </c>
      <c r="R152" s="4" t="str">
        <f>IFERROR(__xludf.DUMMYFUNCTION("""COMPUTED_VALUE"""),"")</f>
        <v/>
      </c>
    </row>
    <row r="153">
      <c r="A153" s="4" t="str">
        <f>IFERROR(__xludf.DUMMYFUNCTION("""COMPUTED_VALUE"""),"155 - Channel 5")</f>
        <v>155 - Channel 5</v>
      </c>
      <c r="B153" s="4" t="str">
        <f>IFERROR(__xludf.DUMMYFUNCTION("""COMPUTED_VALUE"""),"Day 2 - 24/06")</f>
        <v>Day 2 - 24/06</v>
      </c>
      <c r="C153" s="6">
        <f>IFERROR(__xludf.DUMMYFUNCTION("""COMPUTED_VALUE"""),0.6246180555555567)</f>
        <v>0.6246180556</v>
      </c>
      <c r="D153" s="8">
        <f>IFERROR(__xludf.DUMMYFUNCTION("""COMPUTED_VALUE"""),1.7361111111111112E-4)</f>
        <v>0.0001736111111</v>
      </c>
      <c r="E153" s="6">
        <f>IFERROR(__xludf.DUMMYFUNCTION("""COMPUTED_VALUE"""),0.6247916666666679)</f>
        <v>0.6247916667</v>
      </c>
      <c r="F153" s="4" t="str">
        <f>IFERROR(__xludf.DUMMYFUNCTION("""COMPUTED_VALUE"""),"")</f>
        <v/>
      </c>
      <c r="G153" s="4" t="str">
        <f>IFERROR(__xludf.DUMMYFUNCTION("""COMPUTED_VALUE"""),"")</f>
        <v/>
      </c>
      <c r="H153" s="4" t="str">
        <f>IFERROR(__xludf.DUMMYFUNCTION("""COMPUTED_VALUE"""),"")</f>
        <v/>
      </c>
      <c r="I153" s="4" t="str">
        <f>IFERROR(__xludf.DUMMYFUNCTION("""COMPUTED_VALUE"""),"")</f>
        <v/>
      </c>
      <c r="J153" s="4" t="str">
        <f>IFERROR(__xludf.DUMMYFUNCTION("""COMPUTED_VALUE"""),"")</f>
        <v/>
      </c>
      <c r="K153" s="4" t="str">
        <f>IFERROR(__xludf.DUMMYFUNCTION("""COMPUTED_VALUE"""),"Talk Outro")</f>
        <v>Talk Outro</v>
      </c>
      <c r="L153" s="4" t="str">
        <f>IFERROR(__xludf.DUMMYFUNCTION("""COMPUTED_VALUE"""),"")</f>
        <v/>
      </c>
      <c r="M153" s="4" t="str">
        <f>IFERROR(__xludf.DUMMYFUNCTION("""COMPUTED_VALUE"""),"")</f>
        <v/>
      </c>
      <c r="N153" s="4" t="str">
        <f>IFERROR(__xludf.DUMMYFUNCTION("""COMPUTED_VALUE"""),"")</f>
        <v/>
      </c>
      <c r="O153" s="4" t="str">
        <f>IFERROR(__xludf.DUMMYFUNCTION("""COMPUTED_VALUE"""),"")</f>
        <v/>
      </c>
      <c r="P153" s="4" t="str">
        <f>IFERROR(__xludf.DUMMYFUNCTION("""COMPUTED_VALUE"""),"")</f>
        <v/>
      </c>
      <c r="Q153" s="4" t="str">
        <f>IFERROR(__xludf.DUMMYFUNCTION("""COMPUTED_VALUE"""),"")</f>
        <v/>
      </c>
      <c r="R153" s="4" t="str">
        <f>IFERROR(__xludf.DUMMYFUNCTION("""COMPUTED_VALUE"""),"")</f>
        <v/>
      </c>
    </row>
    <row r="154">
      <c r="A154" s="4" t="str">
        <f>IFERROR(__xludf.DUMMYFUNCTION("""COMPUTED_VALUE"""),"287 - Channel 5")</f>
        <v>287 - Channel 5</v>
      </c>
      <c r="B154" s="4" t="str">
        <f>IFERROR(__xludf.DUMMYFUNCTION("""COMPUTED_VALUE"""),"Day 2 - 24/06")</f>
        <v>Day 2 - 24/06</v>
      </c>
      <c r="C154" s="6">
        <f>IFERROR(__xludf.DUMMYFUNCTION("""COMPUTED_VALUE"""),0.6247916666666679)</f>
        <v>0.6247916667</v>
      </c>
      <c r="D154" s="8">
        <f>IFERROR(__xludf.DUMMYFUNCTION("""COMPUTED_VALUE"""),3.4722222222222224E-4)</f>
        <v>0.0003472222222</v>
      </c>
      <c r="E154" s="6">
        <f>IFERROR(__xludf.DUMMYFUNCTION("""COMPUTED_VALUE"""),0.6251388888888901)</f>
        <v>0.6251388889</v>
      </c>
      <c r="F154" s="4" t="str">
        <f>IFERROR(__xludf.DUMMYFUNCTION("""COMPUTED_VALUE"""),"")</f>
        <v/>
      </c>
      <c r="G154" s="4" t="str">
        <f>IFERROR(__xludf.DUMMYFUNCTION("""COMPUTED_VALUE"""),"")</f>
        <v/>
      </c>
      <c r="H154" s="4" t="str">
        <f>IFERROR(__xludf.DUMMYFUNCTION("""COMPUTED_VALUE"""),"")</f>
        <v/>
      </c>
      <c r="I154" s="4" t="str">
        <f>IFERROR(__xludf.DUMMYFUNCTION("""COMPUTED_VALUE"""),"")</f>
        <v/>
      </c>
      <c r="J154" s="4" t="str">
        <f>IFERROR(__xludf.DUMMYFUNCTION("""COMPUTED_VALUE"""),"")</f>
        <v/>
      </c>
      <c r="K154" s="4" t="str">
        <f>IFERROR(__xludf.DUMMYFUNCTION("""COMPUTED_VALUE"""),"Web Summit Trailer - Short")</f>
        <v>Web Summit Trailer - Short</v>
      </c>
      <c r="L154" s="4" t="str">
        <f>IFERROR(__xludf.DUMMYFUNCTION("""COMPUTED_VALUE"""),"")</f>
        <v/>
      </c>
      <c r="M154" s="4" t="str">
        <f>IFERROR(__xludf.DUMMYFUNCTION("""COMPUTED_VALUE"""),"")</f>
        <v/>
      </c>
      <c r="N154" s="4" t="str">
        <f>IFERROR(__xludf.DUMMYFUNCTION("""COMPUTED_VALUE"""),"")</f>
        <v/>
      </c>
      <c r="O154" s="4" t="str">
        <f>IFERROR(__xludf.DUMMYFUNCTION("""COMPUTED_VALUE"""),"")</f>
        <v/>
      </c>
      <c r="P154" s="4" t="str">
        <f>IFERROR(__xludf.DUMMYFUNCTION("""COMPUTED_VALUE"""),"")</f>
        <v/>
      </c>
      <c r="Q154" s="4" t="str">
        <f>IFERROR(__xludf.DUMMYFUNCTION("""COMPUTED_VALUE"""),"")</f>
        <v/>
      </c>
      <c r="R154" s="4" t="str">
        <f>IFERROR(__xludf.DUMMYFUNCTION("""COMPUTED_VALUE"""),"")</f>
        <v/>
      </c>
    </row>
    <row r="155">
      <c r="A155" s="4" t="str">
        <f>IFERROR(__xludf.DUMMYFUNCTION("""COMPUTED_VALUE"""),"157 - Channel 5")</f>
        <v>157 - Channel 5</v>
      </c>
      <c r="B155" s="4" t="str">
        <f>IFERROR(__xludf.DUMMYFUNCTION("""COMPUTED_VALUE"""),"Day 2 - 24/06")</f>
        <v>Day 2 - 24/06</v>
      </c>
      <c r="C155" s="6">
        <f>IFERROR(__xludf.DUMMYFUNCTION("""COMPUTED_VALUE"""),0.6251388888888901)</f>
        <v>0.6251388889</v>
      </c>
      <c r="D155" s="8">
        <f>IFERROR(__xludf.DUMMYFUNCTION("""COMPUTED_VALUE"""),3.4722222222222224E-4)</f>
        <v>0.0003472222222</v>
      </c>
      <c r="E155" s="6">
        <f>IFERROR(__xludf.DUMMYFUNCTION("""COMPUTED_VALUE"""),0.6254861111111124)</f>
        <v>0.6254861111</v>
      </c>
      <c r="F155" s="4" t="str">
        <f>IFERROR(__xludf.DUMMYFUNCTION("""COMPUTED_VALUE"""),"")</f>
        <v/>
      </c>
      <c r="G155" s="4" t="str">
        <f>IFERROR(__xludf.DUMMYFUNCTION("""COMPUTED_VALUE"""),"")</f>
        <v/>
      </c>
      <c r="H155" s="4" t="str">
        <f>IFERROR(__xludf.DUMMYFUNCTION("""COMPUTED_VALUE"""),"")</f>
        <v/>
      </c>
      <c r="I155" s="4" t="str">
        <f>IFERROR(__xludf.DUMMYFUNCTION("""COMPUTED_VALUE"""),"")</f>
        <v/>
      </c>
      <c r="J155" s="4" t="str">
        <f>IFERROR(__xludf.DUMMYFUNCTION("""COMPUTED_VALUE"""),"")</f>
        <v/>
      </c>
      <c r="K155" s="4" t="str">
        <f>IFERROR(__xludf.DUMMYFUNCTION("""COMPUTED_VALUE"""),"Talk Intro")</f>
        <v>Talk Intro</v>
      </c>
      <c r="L155" s="4" t="str">
        <f>IFERROR(__xludf.DUMMYFUNCTION("""COMPUTED_VALUE"""),"")</f>
        <v/>
      </c>
      <c r="M155" s="4" t="str">
        <f>IFERROR(__xludf.DUMMYFUNCTION("""COMPUTED_VALUE"""),"")</f>
        <v/>
      </c>
      <c r="N155" s="4" t="str">
        <f>IFERROR(__xludf.DUMMYFUNCTION("""COMPUTED_VALUE"""),"")</f>
        <v/>
      </c>
      <c r="O155" s="4" t="str">
        <f>IFERROR(__xludf.DUMMYFUNCTION("""COMPUTED_VALUE"""),"")</f>
        <v/>
      </c>
      <c r="P155" s="4" t="str">
        <f>IFERROR(__xludf.DUMMYFUNCTION("""COMPUTED_VALUE"""),"")</f>
        <v/>
      </c>
      <c r="Q155" s="4" t="str">
        <f>IFERROR(__xludf.DUMMYFUNCTION("""COMPUTED_VALUE"""),"")</f>
        <v/>
      </c>
      <c r="R155" s="4" t="str">
        <f>IFERROR(__xludf.DUMMYFUNCTION("""COMPUTED_VALUE"""),"")</f>
        <v/>
      </c>
    </row>
    <row r="156">
      <c r="A156" s="4" t="str">
        <f>IFERROR(__xludf.DUMMYFUNCTION("""COMPUTED_VALUE"""),"158 - Channel 5")</f>
        <v>158 - Channel 5</v>
      </c>
      <c r="B156" s="4" t="str">
        <f>IFERROR(__xludf.DUMMYFUNCTION("""COMPUTED_VALUE"""),"Day 2 - 24/06")</f>
        <v>Day 2 - 24/06</v>
      </c>
      <c r="C156" s="6">
        <f>IFERROR(__xludf.DUMMYFUNCTION("""COMPUTED_VALUE"""),0.6254861111111124)</f>
        <v>0.6254861111</v>
      </c>
      <c r="D156" s="8">
        <f>IFERROR(__xludf.DUMMYFUNCTION("""COMPUTED_VALUE"""),0.015092592592592593)</f>
        <v>0.01509259259</v>
      </c>
      <c r="E156" s="6">
        <f>IFERROR(__xludf.DUMMYFUNCTION("""COMPUTED_VALUE"""),0.640578703703705)</f>
        <v>0.6405787037</v>
      </c>
      <c r="F156" s="4" t="str">
        <f>IFERROR(__xludf.DUMMYFUNCTION("""COMPUTED_VALUE"""),"Developers")</f>
        <v>Developers</v>
      </c>
      <c r="G156" s="4" t="str">
        <f>IFERROR(__xludf.DUMMYFUNCTION("""COMPUTED_VALUE"""),"Web Summit 2016")</f>
        <v>Web Summit 2016</v>
      </c>
      <c r="H156" s="21" t="str">
        <f>IFERROR(__xludf.DUMMYFUNCTION("""COMPUTED_VALUE"""),"https://www.youtube.com/watch?v=9avdHu40Enw&amp;list=PLxptNs2MLOjkVIxSu5hCTjqNwMuNJOhsy&amp;index=10")</f>
        <v>https://www.youtube.com/watch?v=9avdHu40Enw&amp;list=PLxptNs2MLOjkVIxSu5hCTjqNwMuNJOhsy&amp;index=10</v>
      </c>
      <c r="I156" s="4" t="str">
        <f>IFERROR(__xludf.DUMMYFUNCTION("""COMPUTED_VALUE"""),"Start at 00:08. To the end.")</f>
        <v>Start at 00:08. To the end.</v>
      </c>
      <c r="J156" s="4" t="str">
        <f>IFERROR(__xludf.DUMMYFUNCTION("""COMPUTED_VALUE"""),"No")</f>
        <v>No</v>
      </c>
      <c r="K156" s="4" t="str">
        <f>IFERROR(__xludf.DUMMYFUNCTION("""COMPUTED_VALUE"""),"Mike Schroepfer sees Facebook 10 years from now")</f>
        <v>Mike Schroepfer sees Facebook 10 years from now</v>
      </c>
      <c r="L156" s="4" t="str">
        <f>IFERROR(__xludf.DUMMYFUNCTION("""COMPUTED_VALUE"""),"Mike Schroepfer, Facebook")</f>
        <v>Mike Schroepfer, Facebook</v>
      </c>
      <c r="M156" s="4" t="str">
        <f>IFERROR(__xludf.DUMMYFUNCTION("""COMPUTED_VALUE"""),"")</f>
        <v/>
      </c>
      <c r="N156" s="4" t="str">
        <f>IFERROR(__xludf.DUMMYFUNCTION("""COMPUTED_VALUE"""),"")</f>
        <v/>
      </c>
      <c r="O156" s="4" t="str">
        <f>IFERROR(__xludf.DUMMYFUNCTION("""COMPUTED_VALUE"""),"")</f>
        <v/>
      </c>
      <c r="P156" s="4" t="str">
        <f>IFERROR(__xludf.DUMMYFUNCTION("""COMPUTED_VALUE"""),"")</f>
        <v/>
      </c>
      <c r="Q156" s="4" t="str">
        <f>IFERROR(__xludf.DUMMYFUNCTION("""COMPUTED_VALUE"""),"Four years ago, Mike Schroepfer joined us at Web Summit to explore where Facebook was planning to go in the next 10 years. We're nearly halfway through that period – tune in to find out how they are doing!")</f>
        <v>Four years ago, Mike Schroepfer joined us at Web Summit to explore where Facebook was planning to go in the next 10 years. We're nearly halfway through that period – tune in to find out how they are doing!</v>
      </c>
      <c r="R156" s="4" t="str">
        <f>IFERROR(__xludf.DUMMYFUNCTION("""COMPUTED_VALUE"""),"")</f>
        <v/>
      </c>
    </row>
    <row r="157">
      <c r="A157" s="4" t="str">
        <f>IFERROR(__xludf.DUMMYFUNCTION("""COMPUTED_VALUE"""),"159 - Channel 5")</f>
        <v>159 - Channel 5</v>
      </c>
      <c r="B157" s="4" t="str">
        <f>IFERROR(__xludf.DUMMYFUNCTION("""COMPUTED_VALUE"""),"Day 2 - 24/06")</f>
        <v>Day 2 - 24/06</v>
      </c>
      <c r="C157" s="6">
        <f>IFERROR(__xludf.DUMMYFUNCTION("""COMPUTED_VALUE"""),0.640578703703705)</f>
        <v>0.6405787037</v>
      </c>
      <c r="D157" s="8">
        <f>IFERROR(__xludf.DUMMYFUNCTION("""COMPUTED_VALUE"""),1.7361111111111112E-4)</f>
        <v>0.0001736111111</v>
      </c>
      <c r="E157" s="6">
        <f>IFERROR(__xludf.DUMMYFUNCTION("""COMPUTED_VALUE"""),0.6407523148148161)</f>
        <v>0.6407523148</v>
      </c>
      <c r="F157" s="4" t="str">
        <f>IFERROR(__xludf.DUMMYFUNCTION("""COMPUTED_VALUE"""),"")</f>
        <v/>
      </c>
      <c r="G157" s="4" t="str">
        <f>IFERROR(__xludf.DUMMYFUNCTION("""COMPUTED_VALUE"""),"")</f>
        <v/>
      </c>
      <c r="H157" s="4" t="str">
        <f>IFERROR(__xludf.DUMMYFUNCTION("""COMPUTED_VALUE"""),"")</f>
        <v/>
      </c>
      <c r="I157" s="4" t="str">
        <f>IFERROR(__xludf.DUMMYFUNCTION("""COMPUTED_VALUE"""),"")</f>
        <v/>
      </c>
      <c r="J157" s="4" t="str">
        <f>IFERROR(__xludf.DUMMYFUNCTION("""COMPUTED_VALUE"""),"")</f>
        <v/>
      </c>
      <c r="K157" s="4" t="str">
        <f>IFERROR(__xludf.DUMMYFUNCTION("""COMPUTED_VALUE"""),"Talk Outro")</f>
        <v>Talk Outro</v>
      </c>
      <c r="L157" s="4" t="str">
        <f>IFERROR(__xludf.DUMMYFUNCTION("""COMPUTED_VALUE"""),"")</f>
        <v/>
      </c>
      <c r="M157" s="4" t="str">
        <f>IFERROR(__xludf.DUMMYFUNCTION("""COMPUTED_VALUE"""),"")</f>
        <v/>
      </c>
      <c r="N157" s="4" t="str">
        <f>IFERROR(__xludf.DUMMYFUNCTION("""COMPUTED_VALUE"""),"")</f>
        <v/>
      </c>
      <c r="O157" s="4" t="str">
        <f>IFERROR(__xludf.DUMMYFUNCTION("""COMPUTED_VALUE"""),"")</f>
        <v/>
      </c>
      <c r="P157" s="4" t="str">
        <f>IFERROR(__xludf.DUMMYFUNCTION("""COMPUTED_VALUE"""),"")</f>
        <v/>
      </c>
      <c r="Q157" s="4" t="str">
        <f>IFERROR(__xludf.DUMMYFUNCTION("""COMPUTED_VALUE"""),"")</f>
        <v/>
      </c>
      <c r="R157" s="4" t="str">
        <f>IFERROR(__xludf.DUMMYFUNCTION("""COMPUTED_VALUE"""),"")</f>
        <v/>
      </c>
    </row>
    <row r="158">
      <c r="A158" s="4" t="str">
        <f>IFERROR(__xludf.DUMMYFUNCTION("""COMPUTED_VALUE"""),"160 - Channel 5")</f>
        <v>160 - Channel 5</v>
      </c>
      <c r="B158" s="4" t="str">
        <f>IFERROR(__xludf.DUMMYFUNCTION("""COMPUTED_VALUE"""),"Day 2 - 24/06")</f>
        <v>Day 2 - 24/06</v>
      </c>
      <c r="C158" s="6">
        <f>IFERROR(__xludf.DUMMYFUNCTION("""COMPUTED_VALUE"""),0.6407523148148161)</f>
        <v>0.6407523148</v>
      </c>
      <c r="D158" s="8">
        <f>IFERROR(__xludf.DUMMYFUNCTION("""COMPUTED_VALUE"""),3.4722222222222224E-4)</f>
        <v>0.0003472222222</v>
      </c>
      <c r="E158" s="6">
        <f>IFERROR(__xludf.DUMMYFUNCTION("""COMPUTED_VALUE"""),0.6410995370370384)</f>
        <v>0.641099537</v>
      </c>
      <c r="F158" s="4" t="str">
        <f>IFERROR(__xludf.DUMMYFUNCTION("""COMPUTED_VALUE"""),"")</f>
        <v/>
      </c>
      <c r="G158" s="4" t="str">
        <f>IFERROR(__xludf.DUMMYFUNCTION("""COMPUTED_VALUE"""),"")</f>
        <v/>
      </c>
      <c r="H158" s="4" t="str">
        <f>IFERROR(__xludf.DUMMYFUNCTION("""COMPUTED_VALUE"""),"")</f>
        <v/>
      </c>
      <c r="I158" s="4" t="str">
        <f>IFERROR(__xludf.DUMMYFUNCTION("""COMPUTED_VALUE"""),"")</f>
        <v/>
      </c>
      <c r="J158" s="4" t="str">
        <f>IFERROR(__xludf.DUMMYFUNCTION("""COMPUTED_VALUE"""),"")</f>
        <v/>
      </c>
      <c r="K158" s="4" t="str">
        <f>IFERROR(__xludf.DUMMYFUNCTION("""COMPUTED_VALUE"""),"Talk Intro")</f>
        <v>Talk Intro</v>
      </c>
      <c r="L158" s="4" t="str">
        <f>IFERROR(__xludf.DUMMYFUNCTION("""COMPUTED_VALUE"""),"")</f>
        <v/>
      </c>
      <c r="M158" s="4" t="str">
        <f>IFERROR(__xludf.DUMMYFUNCTION("""COMPUTED_VALUE"""),"")</f>
        <v/>
      </c>
      <c r="N158" s="4" t="str">
        <f>IFERROR(__xludf.DUMMYFUNCTION("""COMPUTED_VALUE"""),"")</f>
        <v/>
      </c>
      <c r="O158" s="4" t="str">
        <f>IFERROR(__xludf.DUMMYFUNCTION("""COMPUTED_VALUE"""),"")</f>
        <v/>
      </c>
      <c r="P158" s="4" t="str">
        <f>IFERROR(__xludf.DUMMYFUNCTION("""COMPUTED_VALUE"""),"")</f>
        <v/>
      </c>
      <c r="Q158" s="4" t="str">
        <f>IFERROR(__xludf.DUMMYFUNCTION("""COMPUTED_VALUE"""),"")</f>
        <v/>
      </c>
      <c r="R158" s="4" t="str">
        <f>IFERROR(__xludf.DUMMYFUNCTION("""COMPUTED_VALUE"""),"")</f>
        <v/>
      </c>
    </row>
    <row r="159">
      <c r="A159" s="4" t="str">
        <f>IFERROR(__xludf.DUMMYFUNCTION("""COMPUTED_VALUE"""),"161 - Channel 5")</f>
        <v>161 - Channel 5</v>
      </c>
      <c r="B159" s="4" t="str">
        <f>IFERROR(__xludf.DUMMYFUNCTION("""COMPUTED_VALUE"""),"Day 2 - 24/06")</f>
        <v>Day 2 - 24/06</v>
      </c>
      <c r="C159" s="6">
        <f>IFERROR(__xludf.DUMMYFUNCTION("""COMPUTED_VALUE"""),0.6410995370370384)</f>
        <v>0.641099537</v>
      </c>
      <c r="D159" s="8">
        <f>IFERROR(__xludf.DUMMYFUNCTION("""COMPUTED_VALUE"""),0.006944444444444444)</f>
        <v>0.006944444444</v>
      </c>
      <c r="E159" s="6">
        <f>IFERROR(__xludf.DUMMYFUNCTION("""COMPUTED_VALUE"""),0.6480439814814828)</f>
        <v>0.6480439815</v>
      </c>
      <c r="F159" s="4" t="str">
        <f>IFERROR(__xludf.DUMMYFUNCTION("""COMPUTED_VALUE"""),"Developers")</f>
        <v>Developers</v>
      </c>
      <c r="G159" s="4" t="str">
        <f>IFERROR(__xludf.DUMMYFUNCTION("""COMPUTED_VALUE"""),"")</f>
        <v/>
      </c>
      <c r="H159" s="4" t="str">
        <f>IFERROR(__xludf.DUMMYFUNCTION("""COMPUTED_VALUE"""),"")</f>
        <v/>
      </c>
      <c r="I159" s="4" t="str">
        <f>IFERROR(__xludf.DUMMYFUNCTION("""COMPUTED_VALUE"""),"")</f>
        <v/>
      </c>
      <c r="J159" s="4" t="str">
        <f>IFERROR(__xludf.DUMMYFUNCTION("""COMPUTED_VALUE"""),"No")</f>
        <v>No</v>
      </c>
      <c r="K159" s="4" t="str">
        <f>IFERROR(__xludf.DUMMYFUNCTION("""COMPUTED_VALUE"""),"Top 5 CTOs")</f>
        <v>Top 5 CTOs</v>
      </c>
      <c r="L159" s="4" t="str">
        <f>IFERROR(__xludf.DUMMYFUNCTION("""COMPUTED_VALUE"""),"Mike Schroepfer, Facebook")</f>
        <v>Mike Schroepfer, Facebook</v>
      </c>
      <c r="M159" s="4" t="str">
        <f>IFERROR(__xludf.DUMMYFUNCTION("""COMPUTED_VALUE"""),"Chris Slowe, Reddit")</f>
        <v>Chris Slowe, Reddit</v>
      </c>
      <c r="N159" s="4" t="str">
        <f>IFERROR(__xludf.DUMMYFUNCTION("""COMPUTED_VALUE"""),"Werner Vogels, Amazon")</f>
        <v>Werner Vogels, Amazon</v>
      </c>
      <c r="O159" s="4" t="str">
        <f>IFERROR(__xludf.DUMMYFUNCTION("""COMPUTED_VALUE"""),"Rebecca Parsons, ThoughtWorks")</f>
        <v>Rebecca Parsons, ThoughtWorks</v>
      </c>
      <c r="P159" s="4" t="str">
        <f>IFERROR(__xludf.DUMMYFUNCTION("""COMPUTED_VALUE"""),"Cal Henderson, Slack Technologies, Inc.")</f>
        <v>Cal Henderson, Slack Technologies, Inc.</v>
      </c>
      <c r="Q159" s="4" t="str">
        <f>IFERROR(__xludf.DUMMYFUNCTION("""COMPUTED_VALUE"""),"Featuring CTOs from Facebook, Reddit, Amazon, ThoughtWorks and Slack. The CTO is often the most important person in a burgeoning tech company. Without good tech, you will not have a good product and you will not make money. These five CTOs have built some"&amp;" of the best technology out there. Tune in to find out more.")</f>
        <v>Featuring CTOs from Facebook, Reddit, Amazon, ThoughtWorks and Slack. The CTO is often the most important person in a burgeoning tech company. Without good tech, you will not have a good product and you will not make money. These five CTOs have built some of the best technology out there. Tune in to find out more.</v>
      </c>
      <c r="R159" s="4" t="str">
        <f>IFERROR(__xludf.DUMMYFUNCTION("""COMPUTED_VALUE"""),"")</f>
        <v/>
      </c>
    </row>
    <row r="160">
      <c r="A160" s="4" t="str">
        <f>IFERROR(__xludf.DUMMYFUNCTION("""COMPUTED_VALUE"""),"162 - Channel 5")</f>
        <v>162 - Channel 5</v>
      </c>
      <c r="B160" s="4" t="str">
        <f>IFERROR(__xludf.DUMMYFUNCTION("""COMPUTED_VALUE"""),"Day 2 - 24/06")</f>
        <v>Day 2 - 24/06</v>
      </c>
      <c r="C160" s="6">
        <f>IFERROR(__xludf.DUMMYFUNCTION("""COMPUTED_VALUE"""),0.6480439814814828)</f>
        <v>0.6480439815</v>
      </c>
      <c r="D160" s="8">
        <f>IFERROR(__xludf.DUMMYFUNCTION("""COMPUTED_VALUE"""),1.7361111111111112E-4)</f>
        <v>0.0001736111111</v>
      </c>
      <c r="E160" s="6">
        <f>IFERROR(__xludf.DUMMYFUNCTION("""COMPUTED_VALUE"""),0.6482175925925939)</f>
        <v>0.6482175926</v>
      </c>
      <c r="F160" s="4" t="str">
        <f>IFERROR(__xludf.DUMMYFUNCTION("""COMPUTED_VALUE"""),"")</f>
        <v/>
      </c>
      <c r="G160" s="4" t="str">
        <f>IFERROR(__xludf.DUMMYFUNCTION("""COMPUTED_VALUE"""),"")</f>
        <v/>
      </c>
      <c r="H160" s="4" t="str">
        <f>IFERROR(__xludf.DUMMYFUNCTION("""COMPUTED_VALUE"""),"")</f>
        <v/>
      </c>
      <c r="I160" s="4" t="str">
        <f>IFERROR(__xludf.DUMMYFUNCTION("""COMPUTED_VALUE"""),"")</f>
        <v/>
      </c>
      <c r="J160" s="4" t="str">
        <f>IFERROR(__xludf.DUMMYFUNCTION("""COMPUTED_VALUE"""),"")</f>
        <v/>
      </c>
      <c r="K160" s="4" t="str">
        <f>IFERROR(__xludf.DUMMYFUNCTION("""COMPUTED_VALUE"""),"Talk Outro")</f>
        <v>Talk Outro</v>
      </c>
      <c r="L160" s="4" t="str">
        <f>IFERROR(__xludf.DUMMYFUNCTION("""COMPUTED_VALUE"""),"")</f>
        <v/>
      </c>
      <c r="M160" s="4" t="str">
        <f>IFERROR(__xludf.DUMMYFUNCTION("""COMPUTED_VALUE"""),"")</f>
        <v/>
      </c>
      <c r="N160" s="4" t="str">
        <f>IFERROR(__xludf.DUMMYFUNCTION("""COMPUTED_VALUE"""),"")</f>
        <v/>
      </c>
      <c r="O160" s="4" t="str">
        <f>IFERROR(__xludf.DUMMYFUNCTION("""COMPUTED_VALUE"""),"")</f>
        <v/>
      </c>
      <c r="P160" s="4" t="str">
        <f>IFERROR(__xludf.DUMMYFUNCTION("""COMPUTED_VALUE"""),"")</f>
        <v/>
      </c>
      <c r="Q160" s="4" t="str">
        <f>IFERROR(__xludf.DUMMYFUNCTION("""COMPUTED_VALUE"""),"")</f>
        <v/>
      </c>
      <c r="R160" s="4" t="str">
        <f>IFERROR(__xludf.DUMMYFUNCTION("""COMPUTED_VALUE"""),"")</f>
        <v/>
      </c>
    </row>
    <row r="161">
      <c r="A161" s="4" t="str">
        <f>IFERROR(__xludf.DUMMYFUNCTION("""COMPUTED_VALUE"""),"163 - Channel 5")</f>
        <v>163 - Channel 5</v>
      </c>
      <c r="B161" s="4" t="str">
        <f>IFERROR(__xludf.DUMMYFUNCTION("""COMPUTED_VALUE"""),"Day 2 - 24/06")</f>
        <v>Day 2 - 24/06</v>
      </c>
      <c r="C161" s="6">
        <f>IFERROR(__xludf.DUMMYFUNCTION("""COMPUTED_VALUE"""),0.6482175925925939)</f>
        <v>0.6482175926</v>
      </c>
      <c r="D161" s="8">
        <f>IFERROR(__xludf.DUMMYFUNCTION("""COMPUTED_VALUE"""),3.4722222222222224E-4)</f>
        <v>0.0003472222222</v>
      </c>
      <c r="E161" s="6">
        <f>IFERROR(__xludf.DUMMYFUNCTION("""COMPUTED_VALUE"""),0.6485648148148162)</f>
        <v>0.6485648148</v>
      </c>
      <c r="F161" s="4" t="str">
        <f>IFERROR(__xludf.DUMMYFUNCTION("""COMPUTED_VALUE"""),"")</f>
        <v/>
      </c>
      <c r="G161" s="4" t="str">
        <f>IFERROR(__xludf.DUMMYFUNCTION("""COMPUTED_VALUE"""),"")</f>
        <v/>
      </c>
      <c r="H161" s="4" t="str">
        <f>IFERROR(__xludf.DUMMYFUNCTION("""COMPUTED_VALUE"""),"")</f>
        <v/>
      </c>
      <c r="I161" s="4" t="str">
        <f>IFERROR(__xludf.DUMMYFUNCTION("""COMPUTED_VALUE"""),"")</f>
        <v/>
      </c>
      <c r="J161" s="4" t="str">
        <f>IFERROR(__xludf.DUMMYFUNCTION("""COMPUTED_VALUE"""),"")</f>
        <v/>
      </c>
      <c r="K161" s="4" t="str">
        <f>IFERROR(__xludf.DUMMYFUNCTION("""COMPUTED_VALUE"""),"Web Summit Trailer - Short")</f>
        <v>Web Summit Trailer - Short</v>
      </c>
      <c r="L161" s="4" t="str">
        <f>IFERROR(__xludf.DUMMYFUNCTION("""COMPUTED_VALUE"""),"")</f>
        <v/>
      </c>
      <c r="M161" s="4" t="str">
        <f>IFERROR(__xludf.DUMMYFUNCTION("""COMPUTED_VALUE"""),"")</f>
        <v/>
      </c>
      <c r="N161" s="4" t="str">
        <f>IFERROR(__xludf.DUMMYFUNCTION("""COMPUTED_VALUE"""),"")</f>
        <v/>
      </c>
      <c r="O161" s="4" t="str">
        <f>IFERROR(__xludf.DUMMYFUNCTION("""COMPUTED_VALUE"""),"")</f>
        <v/>
      </c>
      <c r="P161" s="4" t="str">
        <f>IFERROR(__xludf.DUMMYFUNCTION("""COMPUTED_VALUE"""),"")</f>
        <v/>
      </c>
      <c r="Q161" s="4" t="str">
        <f>IFERROR(__xludf.DUMMYFUNCTION("""COMPUTED_VALUE"""),"")</f>
        <v/>
      </c>
      <c r="R161" s="4" t="str">
        <f>IFERROR(__xludf.DUMMYFUNCTION("""COMPUTED_VALUE"""),"")</f>
        <v/>
      </c>
    </row>
    <row r="162">
      <c r="A162" s="4" t="str">
        <f>IFERROR(__xludf.DUMMYFUNCTION("""COMPUTED_VALUE"""),"165 - Channel 5")</f>
        <v>165 - Channel 5</v>
      </c>
      <c r="B162" s="4" t="str">
        <f>IFERROR(__xludf.DUMMYFUNCTION("""COMPUTED_VALUE"""),"Day 2 - 24/06")</f>
        <v>Day 2 - 24/06</v>
      </c>
      <c r="C162" s="6">
        <f>IFERROR(__xludf.DUMMYFUNCTION("""COMPUTED_VALUE"""),0.6485648148148162)</f>
        <v>0.6485648148</v>
      </c>
      <c r="D162" s="8">
        <f>IFERROR(__xludf.DUMMYFUNCTION("""COMPUTED_VALUE"""),3.4722222222222224E-4)</f>
        <v>0.0003472222222</v>
      </c>
      <c r="E162" s="6">
        <f>IFERROR(__xludf.DUMMYFUNCTION("""COMPUTED_VALUE"""),0.6489120370370385)</f>
        <v>0.648912037</v>
      </c>
      <c r="F162" s="4" t="str">
        <f>IFERROR(__xludf.DUMMYFUNCTION("""COMPUTED_VALUE"""),"")</f>
        <v/>
      </c>
      <c r="G162" s="4" t="str">
        <f>IFERROR(__xludf.DUMMYFUNCTION("""COMPUTED_VALUE"""),"")</f>
        <v/>
      </c>
      <c r="H162" s="4" t="str">
        <f>IFERROR(__xludf.DUMMYFUNCTION("""COMPUTED_VALUE"""),"")</f>
        <v/>
      </c>
      <c r="I162" s="4" t="str">
        <f>IFERROR(__xludf.DUMMYFUNCTION("""COMPUTED_VALUE"""),"")</f>
        <v/>
      </c>
      <c r="J162" s="4" t="str">
        <f>IFERROR(__xludf.DUMMYFUNCTION("""COMPUTED_VALUE"""),"")</f>
        <v/>
      </c>
      <c r="K162" s="4" t="str">
        <f>IFERROR(__xludf.DUMMYFUNCTION("""COMPUTED_VALUE"""),"Talk Intro")</f>
        <v>Talk Intro</v>
      </c>
      <c r="L162" s="4" t="str">
        <f>IFERROR(__xludf.DUMMYFUNCTION("""COMPUTED_VALUE"""),"")</f>
        <v/>
      </c>
      <c r="M162" s="4" t="str">
        <f>IFERROR(__xludf.DUMMYFUNCTION("""COMPUTED_VALUE"""),"")</f>
        <v/>
      </c>
      <c r="N162" s="4" t="str">
        <f>IFERROR(__xludf.DUMMYFUNCTION("""COMPUTED_VALUE"""),"")</f>
        <v/>
      </c>
      <c r="O162" s="4" t="str">
        <f>IFERROR(__xludf.DUMMYFUNCTION("""COMPUTED_VALUE"""),"")</f>
        <v/>
      </c>
      <c r="P162" s="4" t="str">
        <f>IFERROR(__xludf.DUMMYFUNCTION("""COMPUTED_VALUE"""),"")</f>
        <v/>
      </c>
      <c r="Q162" s="4" t="str">
        <f>IFERROR(__xludf.DUMMYFUNCTION("""COMPUTED_VALUE"""),"")</f>
        <v/>
      </c>
      <c r="R162" s="4" t="str">
        <f>IFERROR(__xludf.DUMMYFUNCTION("""COMPUTED_VALUE"""),"")</f>
        <v/>
      </c>
    </row>
    <row r="163">
      <c r="A163" s="4" t="str">
        <f>IFERROR(__xludf.DUMMYFUNCTION("""COMPUTED_VALUE"""),"166 - Channel 5")</f>
        <v>166 - Channel 5</v>
      </c>
      <c r="B163" s="4" t="str">
        <f>IFERROR(__xludf.DUMMYFUNCTION("""COMPUTED_VALUE"""),"Day 2 - 24/06")</f>
        <v>Day 2 - 24/06</v>
      </c>
      <c r="C163" s="6">
        <f>IFERROR(__xludf.DUMMYFUNCTION("""COMPUTED_VALUE"""),0.6489120370370385)</f>
        <v>0.648912037</v>
      </c>
      <c r="D163" s="8">
        <f>IFERROR(__xludf.DUMMYFUNCTION("""COMPUTED_VALUE"""),0.01224537037037037)</f>
        <v>0.01224537037</v>
      </c>
      <c r="E163" s="6">
        <f>IFERROR(__xludf.DUMMYFUNCTION("""COMPUTED_VALUE"""),0.6611574074074088)</f>
        <v>0.6611574074</v>
      </c>
      <c r="F163" s="4" t="str">
        <f>IFERROR(__xludf.DUMMYFUNCTION("""COMPUTED_VALUE"""),"Developers")</f>
        <v>Developers</v>
      </c>
      <c r="G163" s="4" t="str">
        <f>IFERROR(__xludf.DUMMYFUNCTION("""COMPUTED_VALUE"""),"Web Summit 2017")</f>
        <v>Web Summit 2017</v>
      </c>
      <c r="H163" s="21" t="str">
        <f>IFERROR(__xludf.DUMMYFUNCTION("""COMPUTED_VALUE"""),"https://www.youtube.com/watch?v=jCHh80YIsB8")</f>
        <v>https://www.youtube.com/watch?v=jCHh80YIsB8</v>
      </c>
      <c r="I163" s="4" t="str">
        <f>IFERROR(__xludf.DUMMYFUNCTION("""COMPUTED_VALUE"""),"Start at 00:09.  Cover banner from 1:25-1:37. Cover Banner from 11:36-11:51. Finish 17:47.")</f>
        <v>Start at 00:09.  Cover banner from 1:25-1:37. Cover Banner from 11:36-11:51. Finish 17:47.</v>
      </c>
      <c r="J163" s="4" t="str">
        <f>IFERROR(__xludf.DUMMYFUNCTION("""COMPUTED_VALUE"""),"No")</f>
        <v>No</v>
      </c>
      <c r="K163" s="4" t="str">
        <f>IFERROR(__xludf.DUMMYFUNCTION("""COMPUTED_VALUE"""),"Werner Vogels says Amazon wants to talk to you")</f>
        <v>Werner Vogels says Amazon wants to talk to you</v>
      </c>
      <c r="L163" s="4" t="str">
        <f>IFERROR(__xludf.DUMMYFUNCTION("""COMPUTED_VALUE"""),"Werner Vogels, Amazon")</f>
        <v>Werner Vogels, Amazon</v>
      </c>
      <c r="M163" s="4" t="str">
        <f>IFERROR(__xludf.DUMMYFUNCTION("""COMPUTED_VALUE"""),"")</f>
        <v/>
      </c>
      <c r="N163" s="4" t="str">
        <f>IFERROR(__xludf.DUMMYFUNCTION("""COMPUTED_VALUE"""),"")</f>
        <v/>
      </c>
      <c r="O163" s="4" t="str">
        <f>IFERROR(__xludf.DUMMYFUNCTION("""COMPUTED_VALUE"""),"")</f>
        <v/>
      </c>
      <c r="P163" s="4" t="str">
        <f>IFERROR(__xludf.DUMMYFUNCTION("""COMPUTED_VALUE"""),"")</f>
        <v/>
      </c>
      <c r="Q163" s="4" t="str">
        <f>IFERROR(__xludf.DUMMYFUNCTION("""COMPUTED_VALUE"""),"Alexa has become synonymous with smart speakers. As the technology develops, Alexa becomes more and more able to talk back. Join us to hear from Werner Vogels about how and why Amazon wants to talk to you.")</f>
        <v>Alexa has become synonymous with smart speakers. As the technology develops, Alexa becomes more and more able to talk back. Join us to hear from Werner Vogels about how and why Amazon wants to talk to you.</v>
      </c>
      <c r="R163" s="4" t="str">
        <f>IFERROR(__xludf.DUMMYFUNCTION("""COMPUTED_VALUE"""),"")</f>
        <v/>
      </c>
    </row>
    <row r="164">
      <c r="A164" s="4" t="str">
        <f>IFERROR(__xludf.DUMMYFUNCTION("""COMPUTED_VALUE"""),"167 - Channel 5")</f>
        <v>167 - Channel 5</v>
      </c>
      <c r="B164" s="4" t="str">
        <f>IFERROR(__xludf.DUMMYFUNCTION("""COMPUTED_VALUE"""),"Day 2 - 24/06")</f>
        <v>Day 2 - 24/06</v>
      </c>
      <c r="C164" s="6">
        <f>IFERROR(__xludf.DUMMYFUNCTION("""COMPUTED_VALUE"""),0.6611574074074088)</f>
        <v>0.6611574074</v>
      </c>
      <c r="D164" s="8">
        <f>IFERROR(__xludf.DUMMYFUNCTION("""COMPUTED_VALUE"""),1.7361111111111112E-4)</f>
        <v>0.0001736111111</v>
      </c>
      <c r="E164" s="6">
        <f>IFERROR(__xludf.DUMMYFUNCTION("""COMPUTED_VALUE"""),0.6613310185185199)</f>
        <v>0.6613310185</v>
      </c>
      <c r="F164" s="4" t="str">
        <f>IFERROR(__xludf.DUMMYFUNCTION("""COMPUTED_VALUE"""),"")</f>
        <v/>
      </c>
      <c r="G164" s="4" t="str">
        <f>IFERROR(__xludf.DUMMYFUNCTION("""COMPUTED_VALUE"""),"")</f>
        <v/>
      </c>
      <c r="H164" s="4" t="str">
        <f>IFERROR(__xludf.DUMMYFUNCTION("""COMPUTED_VALUE"""),"")</f>
        <v/>
      </c>
      <c r="I164" s="4" t="str">
        <f>IFERROR(__xludf.DUMMYFUNCTION("""COMPUTED_VALUE"""),"")</f>
        <v/>
      </c>
      <c r="J164" s="4" t="str">
        <f>IFERROR(__xludf.DUMMYFUNCTION("""COMPUTED_VALUE"""),"")</f>
        <v/>
      </c>
      <c r="K164" s="4" t="str">
        <f>IFERROR(__xludf.DUMMYFUNCTION("""COMPUTED_VALUE"""),"Talk Outro")</f>
        <v>Talk Outro</v>
      </c>
      <c r="L164" s="4" t="str">
        <f>IFERROR(__xludf.DUMMYFUNCTION("""COMPUTED_VALUE"""),"")</f>
        <v/>
      </c>
      <c r="M164" s="4" t="str">
        <f>IFERROR(__xludf.DUMMYFUNCTION("""COMPUTED_VALUE"""),"")</f>
        <v/>
      </c>
      <c r="N164" s="4" t="str">
        <f>IFERROR(__xludf.DUMMYFUNCTION("""COMPUTED_VALUE"""),"")</f>
        <v/>
      </c>
      <c r="O164" s="4" t="str">
        <f>IFERROR(__xludf.DUMMYFUNCTION("""COMPUTED_VALUE"""),"")</f>
        <v/>
      </c>
      <c r="P164" s="4" t="str">
        <f>IFERROR(__xludf.DUMMYFUNCTION("""COMPUTED_VALUE"""),"")</f>
        <v/>
      </c>
      <c r="Q164" s="4" t="str">
        <f>IFERROR(__xludf.DUMMYFUNCTION("""COMPUTED_VALUE"""),"")</f>
        <v/>
      </c>
      <c r="R164" s="4" t="str">
        <f>IFERROR(__xludf.DUMMYFUNCTION("""COMPUTED_VALUE"""),"")</f>
        <v/>
      </c>
    </row>
    <row r="165">
      <c r="A165" s="4" t="str">
        <f>IFERROR(__xludf.DUMMYFUNCTION("""COMPUTED_VALUE"""),"168 - Channel 5")</f>
        <v>168 - Channel 5</v>
      </c>
      <c r="B165" s="4" t="str">
        <f>IFERROR(__xludf.DUMMYFUNCTION("""COMPUTED_VALUE"""),"Day 2 - 24/06")</f>
        <v>Day 2 - 24/06</v>
      </c>
      <c r="C165" s="6">
        <f>IFERROR(__xludf.DUMMYFUNCTION("""COMPUTED_VALUE"""),0.6613310185185199)</f>
        <v>0.6613310185</v>
      </c>
      <c r="D165" s="8">
        <f>IFERROR(__xludf.DUMMYFUNCTION("""COMPUTED_VALUE"""),3.4722222222222224E-4)</f>
        <v>0.0003472222222</v>
      </c>
      <c r="E165" s="6">
        <f>IFERROR(__xludf.DUMMYFUNCTION("""COMPUTED_VALUE"""),0.6616782407407422)</f>
        <v>0.6616782407</v>
      </c>
      <c r="F165" s="4" t="str">
        <f>IFERROR(__xludf.DUMMYFUNCTION("""COMPUTED_VALUE"""),"")</f>
        <v/>
      </c>
      <c r="G165" s="4" t="str">
        <f>IFERROR(__xludf.DUMMYFUNCTION("""COMPUTED_VALUE"""),"")</f>
        <v/>
      </c>
      <c r="H165" s="4" t="str">
        <f>IFERROR(__xludf.DUMMYFUNCTION("""COMPUTED_VALUE"""),"")</f>
        <v/>
      </c>
      <c r="I165" s="4" t="str">
        <f>IFERROR(__xludf.DUMMYFUNCTION("""COMPUTED_VALUE"""),"")</f>
        <v/>
      </c>
      <c r="J165" s="4" t="str">
        <f>IFERROR(__xludf.DUMMYFUNCTION("""COMPUTED_VALUE"""),"")</f>
        <v/>
      </c>
      <c r="K165" s="4" t="str">
        <f>IFERROR(__xludf.DUMMYFUNCTION("""COMPUTED_VALUE"""),"Web Summit Trailer - Short")</f>
        <v>Web Summit Trailer - Short</v>
      </c>
      <c r="L165" s="4" t="str">
        <f>IFERROR(__xludf.DUMMYFUNCTION("""COMPUTED_VALUE"""),"")</f>
        <v/>
      </c>
      <c r="M165" s="4" t="str">
        <f>IFERROR(__xludf.DUMMYFUNCTION("""COMPUTED_VALUE"""),"")</f>
        <v/>
      </c>
      <c r="N165" s="4" t="str">
        <f>IFERROR(__xludf.DUMMYFUNCTION("""COMPUTED_VALUE"""),"")</f>
        <v/>
      </c>
      <c r="O165" s="4" t="str">
        <f>IFERROR(__xludf.DUMMYFUNCTION("""COMPUTED_VALUE"""),"")</f>
        <v/>
      </c>
      <c r="P165" s="4" t="str">
        <f>IFERROR(__xludf.DUMMYFUNCTION("""COMPUTED_VALUE"""),"")</f>
        <v/>
      </c>
      <c r="Q165" s="4" t="str">
        <f>IFERROR(__xludf.DUMMYFUNCTION("""COMPUTED_VALUE"""),"")</f>
        <v/>
      </c>
      <c r="R165" s="4" t="str">
        <f>IFERROR(__xludf.DUMMYFUNCTION("""COMPUTED_VALUE"""),"")</f>
        <v/>
      </c>
    </row>
    <row r="166">
      <c r="A166" s="4" t="str">
        <f>IFERROR(__xludf.DUMMYFUNCTION("""COMPUTED_VALUE"""),"170 - Channel 5")</f>
        <v>170 - Channel 5</v>
      </c>
      <c r="B166" s="4" t="str">
        <f>IFERROR(__xludf.DUMMYFUNCTION("""COMPUTED_VALUE"""),"Day 2 - 24/06")</f>
        <v>Day 2 - 24/06</v>
      </c>
      <c r="C166" s="6">
        <f>IFERROR(__xludf.DUMMYFUNCTION("""COMPUTED_VALUE"""),0.6616782407407422)</f>
        <v>0.6616782407</v>
      </c>
      <c r="D166" s="8">
        <f>IFERROR(__xludf.DUMMYFUNCTION("""COMPUTED_VALUE"""),3.4722222222222224E-4)</f>
        <v>0.0003472222222</v>
      </c>
      <c r="E166" s="6">
        <f>IFERROR(__xludf.DUMMYFUNCTION("""COMPUTED_VALUE"""),0.6620254629629645)</f>
        <v>0.662025463</v>
      </c>
      <c r="F166" s="4" t="str">
        <f>IFERROR(__xludf.DUMMYFUNCTION("""COMPUTED_VALUE"""),"")</f>
        <v/>
      </c>
      <c r="G166" s="4" t="str">
        <f>IFERROR(__xludf.DUMMYFUNCTION("""COMPUTED_VALUE"""),"")</f>
        <v/>
      </c>
      <c r="H166" s="4" t="str">
        <f>IFERROR(__xludf.DUMMYFUNCTION("""COMPUTED_VALUE"""),"")</f>
        <v/>
      </c>
      <c r="I166" s="4" t="str">
        <f>IFERROR(__xludf.DUMMYFUNCTION("""COMPUTED_VALUE"""),"")</f>
        <v/>
      </c>
      <c r="J166" s="4" t="str">
        <f>IFERROR(__xludf.DUMMYFUNCTION("""COMPUTED_VALUE"""),"")</f>
        <v/>
      </c>
      <c r="K166" s="4" t="str">
        <f>IFERROR(__xludf.DUMMYFUNCTION("""COMPUTED_VALUE"""),"Talk Intro")</f>
        <v>Talk Intro</v>
      </c>
      <c r="L166" s="4" t="str">
        <f>IFERROR(__xludf.DUMMYFUNCTION("""COMPUTED_VALUE"""),"")</f>
        <v/>
      </c>
      <c r="M166" s="4" t="str">
        <f>IFERROR(__xludf.DUMMYFUNCTION("""COMPUTED_VALUE"""),"")</f>
        <v/>
      </c>
      <c r="N166" s="4" t="str">
        <f>IFERROR(__xludf.DUMMYFUNCTION("""COMPUTED_VALUE"""),"")</f>
        <v/>
      </c>
      <c r="O166" s="4" t="str">
        <f>IFERROR(__xludf.DUMMYFUNCTION("""COMPUTED_VALUE"""),"")</f>
        <v/>
      </c>
      <c r="P166" s="4" t="str">
        <f>IFERROR(__xludf.DUMMYFUNCTION("""COMPUTED_VALUE"""),"")</f>
        <v/>
      </c>
      <c r="Q166" s="4" t="str">
        <f>IFERROR(__xludf.DUMMYFUNCTION("""COMPUTED_VALUE"""),"")</f>
        <v/>
      </c>
      <c r="R166" s="4" t="str">
        <f>IFERROR(__xludf.DUMMYFUNCTION("""COMPUTED_VALUE"""),"")</f>
        <v/>
      </c>
    </row>
    <row r="167">
      <c r="A167" s="4" t="str">
        <f>IFERROR(__xludf.DUMMYFUNCTION("""COMPUTED_VALUE"""),"171 - Channel 5")</f>
        <v>171 - Channel 5</v>
      </c>
      <c r="B167" s="4" t="str">
        <f>IFERROR(__xludf.DUMMYFUNCTION("""COMPUTED_VALUE"""),"Day 2 - 24/06")</f>
        <v>Day 2 - 24/06</v>
      </c>
      <c r="C167" s="6">
        <f>IFERROR(__xludf.DUMMYFUNCTION("""COMPUTED_VALUE"""),0.6620254629629645)</f>
        <v>0.662025463</v>
      </c>
      <c r="D167" s="8">
        <f>IFERROR(__xludf.DUMMYFUNCTION("""COMPUTED_VALUE"""),0.012372685185185184)</f>
        <v>0.01237268519</v>
      </c>
      <c r="E167" s="6">
        <f>IFERROR(__xludf.DUMMYFUNCTION("""COMPUTED_VALUE"""),0.6743981481481497)</f>
        <v>0.6743981481</v>
      </c>
      <c r="F167" s="4" t="str">
        <f>IFERROR(__xludf.DUMMYFUNCTION("""COMPUTED_VALUE"""),"Design")</f>
        <v>Design</v>
      </c>
      <c r="G167" s="4" t="str">
        <f>IFERROR(__xludf.DUMMYFUNCTION("""COMPUTED_VALUE"""),"RISE 2016")</f>
        <v>RISE 2016</v>
      </c>
      <c r="H167" s="21" t="str">
        <f>IFERROR(__xludf.DUMMYFUNCTION("""COMPUTED_VALUE"""),"https://www.youtube.com/watch?v=ft1KKV57yWE")</f>
        <v>https://www.youtube.com/watch?v=ft1KKV57yWE</v>
      </c>
      <c r="I167" s="4" t="str">
        <f>IFERROR(__xludf.DUMMYFUNCTION("""COMPUTED_VALUE"""),"Start at 00:04. Go to the end.")</f>
        <v>Start at 00:04. Go to the end.</v>
      </c>
      <c r="J167" s="4" t="str">
        <f>IFERROR(__xludf.DUMMYFUNCTION("""COMPUTED_VALUE"""),"No")</f>
        <v>No</v>
      </c>
      <c r="K167" s="4" t="str">
        <f>IFERROR(__xludf.DUMMYFUNCTION("""COMPUTED_VALUE"""),"Marie Kondo is organising the world")</f>
        <v>Marie Kondo is organising the world</v>
      </c>
      <c r="L167" s="4" t="str">
        <f>IFERROR(__xludf.DUMMYFUNCTION("""COMPUTED_VALUE"""),"Marie Kondo, Konmari")</f>
        <v>Marie Kondo, Konmari</v>
      </c>
      <c r="M167" s="4" t="str">
        <f>IFERROR(__xludf.DUMMYFUNCTION("""COMPUTED_VALUE"""),"")</f>
        <v/>
      </c>
      <c r="N167" s="4" t="str">
        <f>IFERROR(__xludf.DUMMYFUNCTION("""COMPUTED_VALUE"""),"")</f>
        <v/>
      </c>
      <c r="O167" s="4" t="str">
        <f>IFERROR(__xludf.DUMMYFUNCTION("""COMPUTED_VALUE"""),"")</f>
        <v/>
      </c>
      <c r="P167" s="4" t="str">
        <f>IFERROR(__xludf.DUMMYFUNCTION("""COMPUTED_VALUE"""),"")</f>
        <v/>
      </c>
      <c r="Q167" s="4" t="str">
        <f>IFERROR(__xludf.DUMMYFUNCTION("""COMPUTED_VALUE"""),"Have you ever wanted to tidy your house but just didn't know where to start? Well, you've come to the right place. Tune in to hear from Marie Kondo on how to spark joy and declutter your life.")</f>
        <v>Have you ever wanted to tidy your house but just didn't know where to start? Well, you've come to the right place. Tune in to hear from Marie Kondo on how to spark joy and declutter your life.</v>
      </c>
      <c r="R167" s="4" t="str">
        <f>IFERROR(__xludf.DUMMYFUNCTION("""COMPUTED_VALUE"""),"")</f>
        <v/>
      </c>
    </row>
    <row r="168">
      <c r="A168" s="4" t="str">
        <f>IFERROR(__xludf.DUMMYFUNCTION("""COMPUTED_VALUE"""),"172 - Channel 5")</f>
        <v>172 - Channel 5</v>
      </c>
      <c r="B168" s="4" t="str">
        <f>IFERROR(__xludf.DUMMYFUNCTION("""COMPUTED_VALUE"""),"Day 2 - 24/06")</f>
        <v>Day 2 - 24/06</v>
      </c>
      <c r="C168" s="6">
        <f>IFERROR(__xludf.DUMMYFUNCTION("""COMPUTED_VALUE"""),0.6743981481481497)</f>
        <v>0.6743981481</v>
      </c>
      <c r="D168" s="8">
        <f>IFERROR(__xludf.DUMMYFUNCTION("""COMPUTED_VALUE"""),1.7361111111111112E-4)</f>
        <v>0.0001736111111</v>
      </c>
      <c r="E168" s="6">
        <f>IFERROR(__xludf.DUMMYFUNCTION("""COMPUTED_VALUE"""),0.6745717592592608)</f>
        <v>0.6745717593</v>
      </c>
      <c r="F168" s="4" t="str">
        <f>IFERROR(__xludf.DUMMYFUNCTION("""COMPUTED_VALUE"""),"")</f>
        <v/>
      </c>
      <c r="G168" s="4" t="str">
        <f>IFERROR(__xludf.DUMMYFUNCTION("""COMPUTED_VALUE"""),"")</f>
        <v/>
      </c>
      <c r="H168" s="4" t="str">
        <f>IFERROR(__xludf.DUMMYFUNCTION("""COMPUTED_VALUE"""),"")</f>
        <v/>
      </c>
      <c r="I168" s="4" t="str">
        <f>IFERROR(__xludf.DUMMYFUNCTION("""COMPUTED_VALUE"""),"")</f>
        <v/>
      </c>
      <c r="J168" s="4" t="str">
        <f>IFERROR(__xludf.DUMMYFUNCTION("""COMPUTED_VALUE"""),"")</f>
        <v/>
      </c>
      <c r="K168" s="4" t="str">
        <f>IFERROR(__xludf.DUMMYFUNCTION("""COMPUTED_VALUE"""),"Talk Outro")</f>
        <v>Talk Outro</v>
      </c>
      <c r="L168" s="4" t="str">
        <f>IFERROR(__xludf.DUMMYFUNCTION("""COMPUTED_VALUE"""),"")</f>
        <v/>
      </c>
      <c r="M168" s="4" t="str">
        <f>IFERROR(__xludf.DUMMYFUNCTION("""COMPUTED_VALUE"""),"")</f>
        <v/>
      </c>
      <c r="N168" s="4" t="str">
        <f>IFERROR(__xludf.DUMMYFUNCTION("""COMPUTED_VALUE"""),"")</f>
        <v/>
      </c>
      <c r="O168" s="4" t="str">
        <f>IFERROR(__xludf.DUMMYFUNCTION("""COMPUTED_VALUE"""),"")</f>
        <v/>
      </c>
      <c r="P168" s="4" t="str">
        <f>IFERROR(__xludf.DUMMYFUNCTION("""COMPUTED_VALUE"""),"")</f>
        <v/>
      </c>
      <c r="Q168" s="4" t="str">
        <f>IFERROR(__xludf.DUMMYFUNCTION("""COMPUTED_VALUE"""),"")</f>
        <v/>
      </c>
      <c r="R168" s="4" t="str">
        <f>IFERROR(__xludf.DUMMYFUNCTION("""COMPUTED_VALUE"""),"")</f>
        <v/>
      </c>
    </row>
    <row r="169">
      <c r="A169" s="4" t="str">
        <f>IFERROR(__xludf.DUMMYFUNCTION("""COMPUTED_VALUE"""),"173 - Channel 5")</f>
        <v>173 - Channel 5</v>
      </c>
      <c r="B169" s="4" t="str">
        <f>IFERROR(__xludf.DUMMYFUNCTION("""COMPUTED_VALUE"""),"Day 2 - 24/06")</f>
        <v>Day 2 - 24/06</v>
      </c>
      <c r="C169" s="6">
        <f>IFERROR(__xludf.DUMMYFUNCTION("""COMPUTED_VALUE"""),0.6745717592592608)</f>
        <v>0.6745717593</v>
      </c>
      <c r="D169" s="8">
        <f>IFERROR(__xludf.DUMMYFUNCTION("""COMPUTED_VALUE"""),1.1574074074074075E-4)</f>
        <v>0.0001157407407</v>
      </c>
      <c r="E169" s="6">
        <f>IFERROR(__xludf.DUMMYFUNCTION("""COMPUTED_VALUE"""),0.6746875000000015)</f>
        <v>0.6746875</v>
      </c>
      <c r="F169" s="4" t="str">
        <f>IFERROR(__xludf.DUMMYFUNCTION("""COMPUTED_VALUE"""),"")</f>
        <v/>
      </c>
      <c r="G169" s="4" t="str">
        <f>IFERROR(__xludf.DUMMYFUNCTION("""COMPUTED_VALUE"""),"")</f>
        <v/>
      </c>
      <c r="H169" s="4" t="str">
        <f>IFERROR(__xludf.DUMMYFUNCTION("""COMPUTED_VALUE"""),"")</f>
        <v/>
      </c>
      <c r="I169" s="4" t="str">
        <f>IFERROR(__xludf.DUMMYFUNCTION("""COMPUTED_VALUE"""),"")</f>
        <v/>
      </c>
      <c r="J169" s="4" t="str">
        <f>IFERROR(__xludf.DUMMYFUNCTION("""COMPUTED_VALUE"""),"")</f>
        <v/>
      </c>
      <c r="K169" s="4" t="str">
        <f>IFERROR(__xludf.DUMMYFUNCTION("""COMPUTED_VALUE"""),"Holding Graphic")</f>
        <v>Holding Graphic</v>
      </c>
      <c r="L169" s="4" t="str">
        <f>IFERROR(__xludf.DUMMYFUNCTION("""COMPUTED_VALUE"""),"")</f>
        <v/>
      </c>
      <c r="M169" s="4" t="str">
        <f>IFERROR(__xludf.DUMMYFUNCTION("""COMPUTED_VALUE"""),"")</f>
        <v/>
      </c>
      <c r="N169" s="4" t="str">
        <f>IFERROR(__xludf.DUMMYFUNCTION("""COMPUTED_VALUE"""),"")</f>
        <v/>
      </c>
      <c r="O169" s="4" t="str">
        <f>IFERROR(__xludf.DUMMYFUNCTION("""COMPUTED_VALUE"""),"")</f>
        <v/>
      </c>
      <c r="P169" s="4" t="str">
        <f>IFERROR(__xludf.DUMMYFUNCTION("""COMPUTED_VALUE"""),"")</f>
        <v/>
      </c>
      <c r="Q169" s="4" t="str">
        <f>IFERROR(__xludf.DUMMYFUNCTION("""COMPUTED_VALUE"""),"")</f>
        <v/>
      </c>
      <c r="R169" s="4" t="str">
        <f>IFERROR(__xludf.DUMMYFUNCTION("""COMPUTED_VALUE"""),"")</f>
        <v/>
      </c>
    </row>
    <row r="170">
      <c r="A170" s="4" t="str">
        <f>IFERROR(__xludf.DUMMYFUNCTION("""COMPUTED_VALUE"""),"286 - Channel 5")</f>
        <v>286 - Channel 5</v>
      </c>
      <c r="B170" s="4" t="str">
        <f>IFERROR(__xludf.DUMMYFUNCTION("""COMPUTED_VALUE"""),"Day 2 - 24/06")</f>
        <v>Day 2 - 24/06</v>
      </c>
      <c r="C170" s="6">
        <f>IFERROR(__xludf.DUMMYFUNCTION("""COMPUTED_VALUE"""),0.6746875000000015)</f>
        <v>0.6746875</v>
      </c>
      <c r="D170" s="8">
        <f>IFERROR(__xludf.DUMMYFUNCTION("""COMPUTED_VALUE"""),3.4722222222222224E-4)</f>
        <v>0.0003472222222</v>
      </c>
      <c r="E170" s="6">
        <f>IFERROR(__xludf.DUMMYFUNCTION("""COMPUTED_VALUE"""),0.6750347222222238)</f>
        <v>0.6750347222</v>
      </c>
      <c r="F170" s="4" t="str">
        <f>IFERROR(__xludf.DUMMYFUNCTION("""COMPUTED_VALUE"""),"")</f>
        <v/>
      </c>
      <c r="G170" s="4" t="str">
        <f>IFERROR(__xludf.DUMMYFUNCTION("""COMPUTED_VALUE"""),"")</f>
        <v/>
      </c>
      <c r="H170" s="4" t="str">
        <f>IFERROR(__xludf.DUMMYFUNCTION("""COMPUTED_VALUE"""),"")</f>
        <v/>
      </c>
      <c r="I170" s="4" t="str">
        <f>IFERROR(__xludf.DUMMYFUNCTION("""COMPUTED_VALUE"""),"")</f>
        <v/>
      </c>
      <c r="J170" s="4" t="str">
        <f>IFERROR(__xludf.DUMMYFUNCTION("""COMPUTED_VALUE"""),"")</f>
        <v/>
      </c>
      <c r="K170" s="4" t="str">
        <f>IFERROR(__xludf.DUMMYFUNCTION("""COMPUTED_VALUE"""),"Web Summit Trailer - Short")</f>
        <v>Web Summit Trailer - Short</v>
      </c>
      <c r="L170" s="4" t="str">
        <f>IFERROR(__xludf.DUMMYFUNCTION("""COMPUTED_VALUE"""),"")</f>
        <v/>
      </c>
      <c r="M170" s="4" t="str">
        <f>IFERROR(__xludf.DUMMYFUNCTION("""COMPUTED_VALUE"""),"")</f>
        <v/>
      </c>
      <c r="N170" s="4" t="str">
        <f>IFERROR(__xludf.DUMMYFUNCTION("""COMPUTED_VALUE"""),"")</f>
        <v/>
      </c>
      <c r="O170" s="4" t="str">
        <f>IFERROR(__xludf.DUMMYFUNCTION("""COMPUTED_VALUE"""),"")</f>
        <v/>
      </c>
      <c r="P170" s="4" t="str">
        <f>IFERROR(__xludf.DUMMYFUNCTION("""COMPUTED_VALUE"""),"")</f>
        <v/>
      </c>
      <c r="Q170" s="4" t="str">
        <f>IFERROR(__xludf.DUMMYFUNCTION("""COMPUTED_VALUE"""),"")</f>
        <v/>
      </c>
      <c r="R170" s="4" t="str">
        <f>IFERROR(__xludf.DUMMYFUNCTION("""COMPUTED_VALUE"""),"")</f>
        <v/>
      </c>
    </row>
    <row r="171">
      <c r="A171" s="4" t="str">
        <f>IFERROR(__xludf.DUMMYFUNCTION("""COMPUTED_VALUE"""),"175 - Channel 5")</f>
        <v>175 - Channel 5</v>
      </c>
      <c r="B171" s="4" t="str">
        <f>IFERROR(__xludf.DUMMYFUNCTION("""COMPUTED_VALUE"""),"Day 2 - 24/06")</f>
        <v>Day 2 - 24/06</v>
      </c>
      <c r="C171" s="6">
        <f>IFERROR(__xludf.DUMMYFUNCTION("""COMPUTED_VALUE"""),0.6750347222222238)</f>
        <v>0.6750347222</v>
      </c>
      <c r="D171" s="8">
        <f>IFERROR(__xludf.DUMMYFUNCTION("""COMPUTED_VALUE"""),3.4722222222222224E-4)</f>
        <v>0.0003472222222</v>
      </c>
      <c r="E171" s="6">
        <f>IFERROR(__xludf.DUMMYFUNCTION("""COMPUTED_VALUE"""),0.6753819444444461)</f>
        <v>0.6753819444</v>
      </c>
      <c r="F171" s="4" t="str">
        <f>IFERROR(__xludf.DUMMYFUNCTION("""COMPUTED_VALUE"""),"")</f>
        <v/>
      </c>
      <c r="G171" s="4" t="str">
        <f>IFERROR(__xludf.DUMMYFUNCTION("""COMPUTED_VALUE"""),"")</f>
        <v/>
      </c>
      <c r="H171" s="4" t="str">
        <f>IFERROR(__xludf.DUMMYFUNCTION("""COMPUTED_VALUE"""),"")</f>
        <v/>
      </c>
      <c r="I171" s="4" t="str">
        <f>IFERROR(__xludf.DUMMYFUNCTION("""COMPUTED_VALUE"""),"")</f>
        <v/>
      </c>
      <c r="J171" s="4" t="str">
        <f>IFERROR(__xludf.DUMMYFUNCTION("""COMPUTED_VALUE"""),"")</f>
        <v/>
      </c>
      <c r="K171" s="4" t="str">
        <f>IFERROR(__xludf.DUMMYFUNCTION("""COMPUTED_VALUE"""),"Talk Intro")</f>
        <v>Talk Intro</v>
      </c>
      <c r="L171" s="4" t="str">
        <f>IFERROR(__xludf.DUMMYFUNCTION("""COMPUTED_VALUE"""),"")</f>
        <v/>
      </c>
      <c r="M171" s="4" t="str">
        <f>IFERROR(__xludf.DUMMYFUNCTION("""COMPUTED_VALUE"""),"")</f>
        <v/>
      </c>
      <c r="N171" s="4" t="str">
        <f>IFERROR(__xludf.DUMMYFUNCTION("""COMPUTED_VALUE"""),"")</f>
        <v/>
      </c>
      <c r="O171" s="4" t="str">
        <f>IFERROR(__xludf.DUMMYFUNCTION("""COMPUTED_VALUE"""),"")</f>
        <v/>
      </c>
      <c r="P171" s="4" t="str">
        <f>IFERROR(__xludf.DUMMYFUNCTION("""COMPUTED_VALUE"""),"")</f>
        <v/>
      </c>
      <c r="Q171" s="4" t="str">
        <f>IFERROR(__xludf.DUMMYFUNCTION("""COMPUTED_VALUE"""),"")</f>
        <v/>
      </c>
      <c r="R171" s="4" t="str">
        <f>IFERROR(__xludf.DUMMYFUNCTION("""COMPUTED_VALUE"""),"")</f>
        <v/>
      </c>
    </row>
    <row r="172">
      <c r="A172" s="4" t="str">
        <f>IFERROR(__xludf.DUMMYFUNCTION("""COMPUTED_VALUE"""),"176 - Channel 5")</f>
        <v>176 - Channel 5</v>
      </c>
      <c r="B172" s="4" t="str">
        <f>IFERROR(__xludf.DUMMYFUNCTION("""COMPUTED_VALUE"""),"Day 2 - 24/06")</f>
        <v>Day 2 - 24/06</v>
      </c>
      <c r="C172" s="6">
        <f>IFERROR(__xludf.DUMMYFUNCTION("""COMPUTED_VALUE"""),0.6753819444444461)</f>
        <v>0.6753819444</v>
      </c>
      <c r="D172" s="53">
        <f>IFERROR(__xludf.DUMMYFUNCTION("""COMPUTED_VALUE"""),0.013391203703703704)</f>
        <v>0.0133912037</v>
      </c>
      <c r="E172" s="6">
        <f>IFERROR(__xludf.DUMMYFUNCTION("""COMPUTED_VALUE"""),0.6887731481481498)</f>
        <v>0.6887731481</v>
      </c>
      <c r="F172" s="4" t="str">
        <f>IFERROR(__xludf.DUMMYFUNCTION("""COMPUTED_VALUE"""),"Leadership")</f>
        <v>Leadership</v>
      </c>
      <c r="G172" s="4" t="str">
        <f>IFERROR(__xludf.DUMMYFUNCTION("""COMPUTED_VALUE"""),"Web Summit 2019")</f>
        <v>Web Summit 2019</v>
      </c>
      <c r="H172" s="21" t="str">
        <f>IFERROR(__xludf.DUMMYFUNCTION("""COMPUTED_VALUE"""),"https://vimeo.com/372581211")</f>
        <v>https://vimeo.com/372581211</v>
      </c>
      <c r="I172" s="4" t="str">
        <f>IFERROR(__xludf.DUMMYFUNCTION("""COMPUTED_VALUE"""),"Start at 01:03. FInish at 20:20.")</f>
        <v>Start at 01:03. FInish at 20:20.</v>
      </c>
      <c r="J172" s="4" t="str">
        <f>IFERROR(__xludf.DUMMYFUNCTION("""COMPUTED_VALUE"""),"")</f>
        <v/>
      </c>
      <c r="K172" s="4" t="str">
        <f>IFERROR(__xludf.DUMMYFUNCTION("""COMPUTED_VALUE"""),"Superstar Becky Lynch dominates WWE as 'The Man'")</f>
        <v>Superstar Becky Lynch dominates WWE as 'The Man'</v>
      </c>
      <c r="L172" s="4" t="str">
        <f>IFERROR(__xludf.DUMMYFUNCTION("""COMPUTED_VALUE"""),"Becky Lynch, WWE")</f>
        <v>Becky Lynch, WWE</v>
      </c>
      <c r="M172" s="4" t="str">
        <f>IFERROR(__xludf.DUMMYFUNCTION("""COMPUTED_VALUE"""),"")</f>
        <v/>
      </c>
      <c r="N172" s="4" t="str">
        <f>IFERROR(__xludf.DUMMYFUNCTION("""COMPUTED_VALUE"""),"")</f>
        <v/>
      </c>
      <c r="O172" s="4" t="str">
        <f>IFERROR(__xludf.DUMMYFUNCTION("""COMPUTED_VALUE"""),"")</f>
        <v/>
      </c>
      <c r="P172" s="4" t="str">
        <f>IFERROR(__xludf.DUMMYFUNCTION("""COMPUTED_VALUE"""),"")</f>
        <v/>
      </c>
      <c r="Q172" s="4" t="str">
        <f>IFERROR(__xludf.DUMMYFUNCTION("""COMPUTED_VALUE"""),"Becky Lynch went from being an Aer Lingus flight attendant to being 'The Man' in WWE. She joined us at Web Summit 2019 to tell us how she conquered the world of wrestling.")</f>
        <v>Becky Lynch went from being an Aer Lingus flight attendant to being 'The Man' in WWE. She joined us at Web Summit 2019 to tell us how she conquered the world of wrestling.</v>
      </c>
      <c r="R172" s="4" t="str">
        <f>IFERROR(__xludf.DUMMYFUNCTION("""COMPUTED_VALUE"""),"")</f>
        <v/>
      </c>
    </row>
    <row r="173">
      <c r="A173" s="4" t="str">
        <f>IFERROR(__xludf.DUMMYFUNCTION("""COMPUTED_VALUE"""),"177 - Channel 5")</f>
        <v>177 - Channel 5</v>
      </c>
      <c r="B173" s="4" t="str">
        <f>IFERROR(__xludf.DUMMYFUNCTION("""COMPUTED_VALUE"""),"Day 2 - 24/06")</f>
        <v>Day 2 - 24/06</v>
      </c>
      <c r="C173" s="6">
        <f>IFERROR(__xludf.DUMMYFUNCTION("""COMPUTED_VALUE"""),0.6887731481481498)</f>
        <v>0.6887731481</v>
      </c>
      <c r="D173" s="8">
        <f>IFERROR(__xludf.DUMMYFUNCTION("""COMPUTED_VALUE"""),1.7361111111111112E-4)</f>
        <v>0.0001736111111</v>
      </c>
      <c r="E173" s="6">
        <f>IFERROR(__xludf.DUMMYFUNCTION("""COMPUTED_VALUE"""),0.688946759259261)</f>
        <v>0.6889467593</v>
      </c>
      <c r="F173" s="4" t="str">
        <f>IFERROR(__xludf.DUMMYFUNCTION("""COMPUTED_VALUE"""),"")</f>
        <v/>
      </c>
      <c r="G173" s="4" t="str">
        <f>IFERROR(__xludf.DUMMYFUNCTION("""COMPUTED_VALUE"""),"")</f>
        <v/>
      </c>
      <c r="H173" s="4" t="str">
        <f>IFERROR(__xludf.DUMMYFUNCTION("""COMPUTED_VALUE"""),"")</f>
        <v/>
      </c>
      <c r="I173" s="4" t="str">
        <f>IFERROR(__xludf.DUMMYFUNCTION("""COMPUTED_VALUE"""),"")</f>
        <v/>
      </c>
      <c r="J173" s="4" t="str">
        <f>IFERROR(__xludf.DUMMYFUNCTION("""COMPUTED_VALUE"""),"")</f>
        <v/>
      </c>
      <c r="K173" s="4" t="str">
        <f>IFERROR(__xludf.DUMMYFUNCTION("""COMPUTED_VALUE"""),"Talk Outro")</f>
        <v>Talk Outro</v>
      </c>
      <c r="L173" s="4" t="str">
        <f>IFERROR(__xludf.DUMMYFUNCTION("""COMPUTED_VALUE"""),"")</f>
        <v/>
      </c>
      <c r="M173" s="4" t="str">
        <f>IFERROR(__xludf.DUMMYFUNCTION("""COMPUTED_VALUE"""),"")</f>
        <v/>
      </c>
      <c r="N173" s="4" t="str">
        <f>IFERROR(__xludf.DUMMYFUNCTION("""COMPUTED_VALUE"""),"")</f>
        <v/>
      </c>
      <c r="O173" s="4" t="str">
        <f>IFERROR(__xludf.DUMMYFUNCTION("""COMPUTED_VALUE"""),"")</f>
        <v/>
      </c>
      <c r="P173" s="4" t="str">
        <f>IFERROR(__xludf.DUMMYFUNCTION("""COMPUTED_VALUE"""),"")</f>
        <v/>
      </c>
      <c r="Q173" s="4" t="str">
        <f>IFERROR(__xludf.DUMMYFUNCTION("""COMPUTED_VALUE"""),"")</f>
        <v/>
      </c>
      <c r="R173" s="4" t="str">
        <f>IFERROR(__xludf.DUMMYFUNCTION("""COMPUTED_VALUE"""),"")</f>
        <v/>
      </c>
    </row>
    <row r="174">
      <c r="A174" s="4" t="str">
        <f>IFERROR(__xludf.DUMMYFUNCTION("""COMPUTED_VALUE"""),"178 - Channel 5")</f>
        <v>178 - Channel 5</v>
      </c>
      <c r="B174" s="4" t="str">
        <f>IFERROR(__xludf.DUMMYFUNCTION("""COMPUTED_VALUE"""),"Day 2 - 24/06")</f>
        <v>Day 2 - 24/06</v>
      </c>
      <c r="C174" s="6">
        <f>IFERROR(__xludf.DUMMYFUNCTION("""COMPUTED_VALUE"""),0.688946759259261)</f>
        <v>0.6889467593</v>
      </c>
      <c r="D174" s="8">
        <f>IFERROR(__xludf.DUMMYFUNCTION("""COMPUTED_VALUE"""),3.4722222222222224E-4)</f>
        <v>0.0003472222222</v>
      </c>
      <c r="E174" s="6">
        <f>IFERROR(__xludf.DUMMYFUNCTION("""COMPUTED_VALUE"""),0.6892939814814832)</f>
        <v>0.6892939815</v>
      </c>
      <c r="F174" s="4" t="str">
        <f>IFERROR(__xludf.DUMMYFUNCTION("""COMPUTED_VALUE"""),"")</f>
        <v/>
      </c>
      <c r="G174" s="4" t="str">
        <f>IFERROR(__xludf.DUMMYFUNCTION("""COMPUTED_VALUE"""),"")</f>
        <v/>
      </c>
      <c r="H174" s="4" t="str">
        <f>IFERROR(__xludf.DUMMYFUNCTION("""COMPUTED_VALUE"""),"")</f>
        <v/>
      </c>
      <c r="I174" s="4" t="str">
        <f>IFERROR(__xludf.DUMMYFUNCTION("""COMPUTED_VALUE"""),"")</f>
        <v/>
      </c>
      <c r="J174" s="4" t="str">
        <f>IFERROR(__xludf.DUMMYFUNCTION("""COMPUTED_VALUE"""),"")</f>
        <v/>
      </c>
      <c r="K174" s="4" t="str">
        <f>IFERROR(__xludf.DUMMYFUNCTION("""COMPUTED_VALUE"""),"Talk Intro")</f>
        <v>Talk Intro</v>
      </c>
      <c r="L174" s="4" t="str">
        <f>IFERROR(__xludf.DUMMYFUNCTION("""COMPUTED_VALUE"""),"")</f>
        <v/>
      </c>
      <c r="M174" s="4" t="str">
        <f>IFERROR(__xludf.DUMMYFUNCTION("""COMPUTED_VALUE"""),"")</f>
        <v/>
      </c>
      <c r="N174" s="4" t="str">
        <f>IFERROR(__xludf.DUMMYFUNCTION("""COMPUTED_VALUE"""),"")</f>
        <v/>
      </c>
      <c r="O174" s="4" t="str">
        <f>IFERROR(__xludf.DUMMYFUNCTION("""COMPUTED_VALUE"""),"")</f>
        <v/>
      </c>
      <c r="P174" s="4" t="str">
        <f>IFERROR(__xludf.DUMMYFUNCTION("""COMPUTED_VALUE"""),"")</f>
        <v/>
      </c>
      <c r="Q174" s="4" t="str">
        <f>IFERROR(__xludf.DUMMYFUNCTION("""COMPUTED_VALUE"""),"")</f>
        <v/>
      </c>
      <c r="R174" s="4" t="str">
        <f>IFERROR(__xludf.DUMMYFUNCTION("""COMPUTED_VALUE"""),"")</f>
        <v/>
      </c>
    </row>
    <row r="175">
      <c r="A175" s="4" t="str">
        <f>IFERROR(__xludf.DUMMYFUNCTION("""COMPUTED_VALUE"""),"179 - Channel 5")</f>
        <v>179 - Channel 5</v>
      </c>
      <c r="B175" s="4" t="str">
        <f>IFERROR(__xludf.DUMMYFUNCTION("""COMPUTED_VALUE"""),"Day 2 - 24/06")</f>
        <v>Day 2 - 24/06</v>
      </c>
      <c r="C175" s="6">
        <f>IFERROR(__xludf.DUMMYFUNCTION("""COMPUTED_VALUE"""),0.6892939814814832)</f>
        <v>0.6892939815</v>
      </c>
      <c r="D175" s="8">
        <f>IFERROR(__xludf.DUMMYFUNCTION("""COMPUTED_VALUE"""),0.006944444444444444)</f>
        <v>0.006944444444</v>
      </c>
      <c r="E175" s="6">
        <f>IFERROR(__xludf.DUMMYFUNCTION("""COMPUTED_VALUE"""),0.6962384259259277)</f>
        <v>0.6962384259</v>
      </c>
      <c r="F175" s="4" t="str">
        <f>IFERROR(__xludf.DUMMYFUNCTION("""COMPUTED_VALUE"""),"Social Media")</f>
        <v>Social Media</v>
      </c>
      <c r="G175" s="4" t="str">
        <f>IFERROR(__xludf.DUMMYFUNCTION("""COMPUTED_VALUE"""),"")</f>
        <v/>
      </c>
      <c r="H175" s="4" t="str">
        <f>IFERROR(__xludf.DUMMYFUNCTION("""COMPUTED_VALUE"""),"")</f>
        <v/>
      </c>
      <c r="I175" s="4" t="str">
        <f>IFERROR(__xludf.DUMMYFUNCTION("""COMPUTED_VALUE"""),"")</f>
        <v/>
      </c>
      <c r="J175" s="4" t="str">
        <f>IFERROR(__xludf.DUMMYFUNCTION("""COMPUTED_VALUE"""),"No")</f>
        <v>No</v>
      </c>
      <c r="K175" s="4" t="str">
        <f>IFERROR(__xludf.DUMMYFUNCTION("""COMPUTED_VALUE"""),"Top 5 influencers")</f>
        <v>Top 5 influencers</v>
      </c>
      <c r="L175" s="4" t="str">
        <f>IFERROR(__xludf.DUMMYFUNCTION("""COMPUTED_VALUE"""),"Marie Kondo, Konmari")</f>
        <v>Marie Kondo, Konmari</v>
      </c>
      <c r="M175" s="4" t="str">
        <f>IFERROR(__xludf.DUMMYFUNCTION("""COMPUTED_VALUE"""),"Jenna Marbles, Jenna Marbles")</f>
        <v>Jenna Marbles, Jenna Marbles</v>
      </c>
      <c r="N175" s="4" t="str">
        <f>IFERROR(__xludf.DUMMYFUNCTION("""COMPUTED_VALUE"""),"Tyler Oakley, Tyler Oakley")</f>
        <v>Tyler Oakley, Tyler Oakley</v>
      </c>
      <c r="O175" s="4" t="str">
        <f>IFERROR(__xludf.DUMMYFUNCTION("""COMPUTED_VALUE"""),"King Bach and Josh Peck")</f>
        <v>King Bach and Josh Peck</v>
      </c>
      <c r="P175" s="4" t="str">
        <f>IFERROR(__xludf.DUMMYFUNCTION("""COMPUTED_VALUE"""),"Prilly Latuconsina, Prilly Latuconsina")</f>
        <v>Prilly Latuconsina, Prilly Latuconsina</v>
      </c>
      <c r="Q175" s="4" t="str">
        <f>IFERROR(__xludf.DUMMYFUNCTION("""COMPUTED_VALUE"""),"Featuring Marie Kondo, Jenna Marbles, Tyler Oakley, King Bach, Josh Peck and Prilly Latuconsina. Social media influencers have changed our idea of celebrity. These six are some of the most influential of all the influencers, reaching millions of people. T"&amp;"une in to hear how they did it.")</f>
        <v>Featuring Marie Kondo, Jenna Marbles, Tyler Oakley, King Bach, Josh Peck and Prilly Latuconsina. Social media influencers have changed our idea of celebrity. These six are some of the most influential of all the influencers, reaching millions of people. Tune in to hear how they did it.</v>
      </c>
      <c r="R175" s="4" t="str">
        <f>IFERROR(__xludf.DUMMYFUNCTION("""COMPUTED_VALUE"""),"")</f>
        <v/>
      </c>
    </row>
    <row r="176">
      <c r="A176" s="4" t="str">
        <f>IFERROR(__xludf.DUMMYFUNCTION("""COMPUTED_VALUE"""),"180 - Channel 5")</f>
        <v>180 - Channel 5</v>
      </c>
      <c r="B176" s="4" t="str">
        <f>IFERROR(__xludf.DUMMYFUNCTION("""COMPUTED_VALUE"""),"Day 2 - 24/06")</f>
        <v>Day 2 - 24/06</v>
      </c>
      <c r="C176" s="6">
        <f>IFERROR(__xludf.DUMMYFUNCTION("""COMPUTED_VALUE"""),0.6962384259259277)</f>
        <v>0.6962384259</v>
      </c>
      <c r="D176" s="8">
        <f>IFERROR(__xludf.DUMMYFUNCTION("""COMPUTED_VALUE"""),1.7361111111111112E-4)</f>
        <v>0.0001736111111</v>
      </c>
      <c r="E176" s="6">
        <f>IFERROR(__xludf.DUMMYFUNCTION("""COMPUTED_VALUE"""),0.6964120370370388)</f>
        <v>0.696412037</v>
      </c>
      <c r="F176" s="4" t="str">
        <f>IFERROR(__xludf.DUMMYFUNCTION("""COMPUTED_VALUE"""),"")</f>
        <v/>
      </c>
      <c r="G176" s="4" t="str">
        <f>IFERROR(__xludf.DUMMYFUNCTION("""COMPUTED_VALUE"""),"")</f>
        <v/>
      </c>
      <c r="H176" s="4" t="str">
        <f>IFERROR(__xludf.DUMMYFUNCTION("""COMPUTED_VALUE"""),"")</f>
        <v/>
      </c>
      <c r="I176" s="4" t="str">
        <f>IFERROR(__xludf.DUMMYFUNCTION("""COMPUTED_VALUE"""),"")</f>
        <v/>
      </c>
      <c r="J176" s="4" t="str">
        <f>IFERROR(__xludf.DUMMYFUNCTION("""COMPUTED_VALUE"""),"")</f>
        <v/>
      </c>
      <c r="K176" s="4" t="str">
        <f>IFERROR(__xludf.DUMMYFUNCTION("""COMPUTED_VALUE"""),"Talk Outro")</f>
        <v>Talk Outro</v>
      </c>
      <c r="L176" s="4" t="str">
        <f>IFERROR(__xludf.DUMMYFUNCTION("""COMPUTED_VALUE"""),"")</f>
        <v/>
      </c>
      <c r="M176" s="4" t="str">
        <f>IFERROR(__xludf.DUMMYFUNCTION("""COMPUTED_VALUE"""),"")</f>
        <v/>
      </c>
      <c r="N176" s="4" t="str">
        <f>IFERROR(__xludf.DUMMYFUNCTION("""COMPUTED_VALUE"""),"")</f>
        <v/>
      </c>
      <c r="O176" s="4" t="str">
        <f>IFERROR(__xludf.DUMMYFUNCTION("""COMPUTED_VALUE"""),"")</f>
        <v/>
      </c>
      <c r="P176" s="4" t="str">
        <f>IFERROR(__xludf.DUMMYFUNCTION("""COMPUTED_VALUE"""),"")</f>
        <v/>
      </c>
      <c r="Q176" s="4" t="str">
        <f>IFERROR(__xludf.DUMMYFUNCTION("""COMPUTED_VALUE"""),"")</f>
        <v/>
      </c>
      <c r="R176" s="4" t="str">
        <f>IFERROR(__xludf.DUMMYFUNCTION("""COMPUTED_VALUE"""),"")</f>
        <v/>
      </c>
    </row>
    <row r="177">
      <c r="A177" s="4" t="str">
        <f>IFERROR(__xludf.DUMMYFUNCTION("""COMPUTED_VALUE"""),"181 - Channel 5")</f>
        <v>181 - Channel 5</v>
      </c>
      <c r="B177" s="4" t="str">
        <f>IFERROR(__xludf.DUMMYFUNCTION("""COMPUTED_VALUE"""),"Day 2 - 24/06")</f>
        <v>Day 2 - 24/06</v>
      </c>
      <c r="C177" s="6">
        <f>IFERROR(__xludf.DUMMYFUNCTION("""COMPUTED_VALUE"""),0.6964120370370388)</f>
        <v>0.696412037</v>
      </c>
      <c r="D177" s="8">
        <f>IFERROR(__xludf.DUMMYFUNCTION("""COMPUTED_VALUE"""),3.4722222222222224E-4)</f>
        <v>0.0003472222222</v>
      </c>
      <c r="E177" s="6">
        <f>IFERROR(__xludf.DUMMYFUNCTION("""COMPUTED_VALUE"""),0.6967592592592611)</f>
        <v>0.6967592593</v>
      </c>
      <c r="F177" s="4" t="str">
        <f>IFERROR(__xludf.DUMMYFUNCTION("""COMPUTED_VALUE"""),"")</f>
        <v/>
      </c>
      <c r="G177" s="4" t="str">
        <f>IFERROR(__xludf.DUMMYFUNCTION("""COMPUTED_VALUE"""),"")</f>
        <v/>
      </c>
      <c r="H177" s="4" t="str">
        <f>IFERROR(__xludf.DUMMYFUNCTION("""COMPUTED_VALUE"""),"")</f>
        <v/>
      </c>
      <c r="I177" s="4" t="str">
        <f>IFERROR(__xludf.DUMMYFUNCTION("""COMPUTED_VALUE"""),"")</f>
        <v/>
      </c>
      <c r="J177" s="4" t="str">
        <f>IFERROR(__xludf.DUMMYFUNCTION("""COMPUTED_VALUE"""),"")</f>
        <v/>
      </c>
      <c r="K177" s="4" t="str">
        <f>IFERROR(__xludf.DUMMYFUNCTION("""COMPUTED_VALUE"""),"Web Summit Trailer - Short")</f>
        <v>Web Summit Trailer - Short</v>
      </c>
      <c r="L177" s="4" t="str">
        <f>IFERROR(__xludf.DUMMYFUNCTION("""COMPUTED_VALUE"""),"")</f>
        <v/>
      </c>
      <c r="M177" s="4" t="str">
        <f>IFERROR(__xludf.DUMMYFUNCTION("""COMPUTED_VALUE"""),"")</f>
        <v/>
      </c>
      <c r="N177" s="4" t="str">
        <f>IFERROR(__xludf.DUMMYFUNCTION("""COMPUTED_VALUE"""),"")</f>
        <v/>
      </c>
      <c r="O177" s="4" t="str">
        <f>IFERROR(__xludf.DUMMYFUNCTION("""COMPUTED_VALUE"""),"")</f>
        <v/>
      </c>
      <c r="P177" s="4" t="str">
        <f>IFERROR(__xludf.DUMMYFUNCTION("""COMPUTED_VALUE"""),"")</f>
        <v/>
      </c>
      <c r="Q177" s="4" t="str">
        <f>IFERROR(__xludf.DUMMYFUNCTION("""COMPUTED_VALUE"""),"")</f>
        <v/>
      </c>
      <c r="R177" s="4" t="str">
        <f>IFERROR(__xludf.DUMMYFUNCTION("""COMPUTED_VALUE"""),"")</f>
        <v/>
      </c>
    </row>
    <row r="178">
      <c r="A178" s="4" t="str">
        <f>IFERROR(__xludf.DUMMYFUNCTION("""COMPUTED_VALUE"""),"182 - Channel 5")</f>
        <v>182 - Channel 5</v>
      </c>
      <c r="B178" s="4" t="str">
        <f>IFERROR(__xludf.DUMMYFUNCTION("""COMPUTED_VALUE"""),"Day 2 - 24/06")</f>
        <v>Day 2 - 24/06</v>
      </c>
      <c r="C178" s="6">
        <f>IFERROR(__xludf.DUMMYFUNCTION("""COMPUTED_VALUE"""),0.6967592592592611)</f>
        <v>0.6967592593</v>
      </c>
      <c r="D178" s="8">
        <f>IFERROR(__xludf.DUMMYFUNCTION("""COMPUTED_VALUE"""),3.4722222222222224E-4)</f>
        <v>0.0003472222222</v>
      </c>
      <c r="E178" s="6">
        <f>IFERROR(__xludf.DUMMYFUNCTION("""COMPUTED_VALUE"""),0.6971064814814834)</f>
        <v>0.6971064815</v>
      </c>
      <c r="F178" s="4" t="str">
        <f>IFERROR(__xludf.DUMMYFUNCTION("""COMPUTED_VALUE"""),"")</f>
        <v/>
      </c>
      <c r="G178" s="4" t="str">
        <f>IFERROR(__xludf.DUMMYFUNCTION("""COMPUTED_VALUE"""),"")</f>
        <v/>
      </c>
      <c r="H178" s="4" t="str">
        <f>IFERROR(__xludf.DUMMYFUNCTION("""COMPUTED_VALUE"""),"")</f>
        <v/>
      </c>
      <c r="I178" s="4" t="str">
        <f>IFERROR(__xludf.DUMMYFUNCTION("""COMPUTED_VALUE"""),"")</f>
        <v/>
      </c>
      <c r="J178" s="4" t="str">
        <f>IFERROR(__xludf.DUMMYFUNCTION("""COMPUTED_VALUE"""),"")</f>
        <v/>
      </c>
      <c r="K178" s="4" t="str">
        <f>IFERROR(__xludf.DUMMYFUNCTION("""COMPUTED_VALUE"""),"Talk Intro")</f>
        <v>Talk Intro</v>
      </c>
      <c r="L178" s="4" t="str">
        <f>IFERROR(__xludf.DUMMYFUNCTION("""COMPUTED_VALUE"""),"")</f>
        <v/>
      </c>
      <c r="M178" s="4" t="str">
        <f>IFERROR(__xludf.DUMMYFUNCTION("""COMPUTED_VALUE"""),"")</f>
        <v/>
      </c>
      <c r="N178" s="4" t="str">
        <f>IFERROR(__xludf.DUMMYFUNCTION("""COMPUTED_VALUE"""),"")</f>
        <v/>
      </c>
      <c r="O178" s="4" t="str">
        <f>IFERROR(__xludf.DUMMYFUNCTION("""COMPUTED_VALUE"""),"")</f>
        <v/>
      </c>
      <c r="P178" s="4" t="str">
        <f>IFERROR(__xludf.DUMMYFUNCTION("""COMPUTED_VALUE"""),"")</f>
        <v/>
      </c>
      <c r="Q178" s="4" t="str">
        <f>IFERROR(__xludf.DUMMYFUNCTION("""COMPUTED_VALUE"""),"")</f>
        <v/>
      </c>
      <c r="R178" s="4" t="str">
        <f>IFERROR(__xludf.DUMMYFUNCTION("""COMPUTED_VALUE"""),"")</f>
        <v/>
      </c>
    </row>
    <row r="179">
      <c r="A179" s="4" t="str">
        <f>IFERROR(__xludf.DUMMYFUNCTION("""COMPUTED_VALUE"""),"183 - Channel 5")</f>
        <v>183 - Channel 5</v>
      </c>
      <c r="B179" s="4" t="str">
        <f>IFERROR(__xludf.DUMMYFUNCTION("""COMPUTED_VALUE"""),"Day 2 - 24/06")</f>
        <v>Day 2 - 24/06</v>
      </c>
      <c r="C179" s="6">
        <f>IFERROR(__xludf.DUMMYFUNCTION("""COMPUTED_VALUE"""),0.6971064814814834)</f>
        <v>0.6971064815</v>
      </c>
      <c r="D179" s="8">
        <f>IFERROR(__xludf.DUMMYFUNCTION("""COMPUTED_VALUE"""),0.01105324074074074)</f>
        <v>0.01105324074</v>
      </c>
      <c r="E179" s="6">
        <f>IFERROR(__xludf.DUMMYFUNCTION("""COMPUTED_VALUE"""),0.7081597222222241)</f>
        <v>0.7081597222</v>
      </c>
      <c r="F179" s="4" t="str">
        <f>IFERROR(__xludf.DUMMYFUNCTION("""COMPUTED_VALUE"""),"Finance")</f>
        <v>Finance</v>
      </c>
      <c r="G179" s="4" t="str">
        <f>IFERROR(__xludf.DUMMYFUNCTION("""COMPUTED_VALUE"""),"Web Summit 2014")</f>
        <v>Web Summit 2014</v>
      </c>
      <c r="H179" s="21" t="str">
        <f>IFERROR(__xludf.DUMMYFUNCTION("""COMPUTED_VALUE"""),"https://www.youtube.com/watch?v=hpoiGg-NFR8")</f>
        <v>https://www.youtube.com/watch?v=hpoiGg-NFR8</v>
      </c>
      <c r="I179" s="4" t="str">
        <f>IFERROR(__xludf.DUMMYFUNCTION("""COMPUTED_VALUE"""),"Begin at 00:03. Cover banner from 04:38-04:51. Finish at 15:50")</f>
        <v>Begin at 00:03. Cover banner from 04:38-04:51. Finish at 15:50</v>
      </c>
      <c r="J179" s="4" t="str">
        <f>IFERROR(__xludf.DUMMYFUNCTION("""COMPUTED_VALUE"""),"No")</f>
        <v>No</v>
      </c>
      <c r="K179" s="4" t="str">
        <f>IFERROR(__xludf.DUMMYFUNCTION("""COMPUTED_VALUE"""),"Disrupting payments with John Collison")</f>
        <v>Disrupting payments with John Collison</v>
      </c>
      <c r="L179" s="4" t="str">
        <f>IFERROR(__xludf.DUMMYFUNCTION("""COMPUTED_VALUE"""),"John Collison, Stripe")</f>
        <v>John Collison, Stripe</v>
      </c>
      <c r="M179" s="4" t="str">
        <f>IFERROR(__xludf.DUMMYFUNCTION("""COMPUTED_VALUE"""),"")</f>
        <v/>
      </c>
      <c r="N179" s="4" t="str">
        <f>IFERROR(__xludf.DUMMYFUNCTION("""COMPUTED_VALUE"""),"")</f>
        <v/>
      </c>
      <c r="O179" s="4" t="str">
        <f>IFERROR(__xludf.DUMMYFUNCTION("""COMPUTED_VALUE"""),"")</f>
        <v/>
      </c>
      <c r="P179" s="4" t="str">
        <f>IFERROR(__xludf.DUMMYFUNCTION("""COMPUTED_VALUE"""),"David Rowan, Wired")</f>
        <v>David Rowan, Wired</v>
      </c>
      <c r="Q179" s="4" t="str">
        <f>IFERROR(__xludf.DUMMYFUNCTION("""COMPUTED_VALUE"""),"The online payments market is deemed “really immature” by Stripe’s John Collison, who in his 20s led the Ireland-originated company to unicorn status, disrupting the payments industry worldwide. Partnering with Apple, Facebook, Twitter, Alibaba and the li"&amp;"kes, Stripe shows no sign of slowing down this transformation.")</f>
        <v>The online payments market is deemed “really immature” by Stripe’s John Collison, who in his 20s led the Ireland-originated company to unicorn status, disrupting the payments industry worldwide. Partnering with Apple, Facebook, Twitter, Alibaba and the likes, Stripe shows no sign of slowing down this transformation.</v>
      </c>
      <c r="R179" s="4" t="str">
        <f>IFERROR(__xludf.DUMMYFUNCTION("""COMPUTED_VALUE"""),"")</f>
        <v/>
      </c>
    </row>
    <row r="180">
      <c r="A180" s="4" t="str">
        <f>IFERROR(__xludf.DUMMYFUNCTION("""COMPUTED_VALUE"""),"184 - Channel 5")</f>
        <v>184 - Channel 5</v>
      </c>
      <c r="B180" s="4" t="str">
        <f>IFERROR(__xludf.DUMMYFUNCTION("""COMPUTED_VALUE"""),"Day 2 - 24/06")</f>
        <v>Day 2 - 24/06</v>
      </c>
      <c r="C180" s="6">
        <f>IFERROR(__xludf.DUMMYFUNCTION("""COMPUTED_VALUE"""),0.7081597222222241)</f>
        <v>0.7081597222</v>
      </c>
      <c r="D180" s="8">
        <f>IFERROR(__xludf.DUMMYFUNCTION("""COMPUTED_VALUE"""),1.7361111111111112E-4)</f>
        <v>0.0001736111111</v>
      </c>
      <c r="E180" s="6">
        <f>IFERROR(__xludf.DUMMYFUNCTION("""COMPUTED_VALUE"""),0.7083333333333353)</f>
        <v>0.7083333333</v>
      </c>
      <c r="F180" s="4" t="str">
        <f>IFERROR(__xludf.DUMMYFUNCTION("""COMPUTED_VALUE"""),"")</f>
        <v/>
      </c>
      <c r="G180" s="4" t="str">
        <f>IFERROR(__xludf.DUMMYFUNCTION("""COMPUTED_VALUE"""),"")</f>
        <v/>
      </c>
      <c r="H180" s="4" t="str">
        <f>IFERROR(__xludf.DUMMYFUNCTION("""COMPUTED_VALUE"""),"")</f>
        <v/>
      </c>
      <c r="I180" s="4" t="str">
        <f>IFERROR(__xludf.DUMMYFUNCTION("""COMPUTED_VALUE"""),"")</f>
        <v/>
      </c>
      <c r="J180" s="4" t="str">
        <f>IFERROR(__xludf.DUMMYFUNCTION("""COMPUTED_VALUE"""),"")</f>
        <v/>
      </c>
      <c r="K180" s="4" t="str">
        <f>IFERROR(__xludf.DUMMYFUNCTION("""COMPUTED_VALUE"""),"Talk Outro")</f>
        <v>Talk Outro</v>
      </c>
      <c r="L180" s="4" t="str">
        <f>IFERROR(__xludf.DUMMYFUNCTION("""COMPUTED_VALUE"""),"")</f>
        <v/>
      </c>
      <c r="M180" s="4" t="str">
        <f>IFERROR(__xludf.DUMMYFUNCTION("""COMPUTED_VALUE"""),"")</f>
        <v/>
      </c>
      <c r="N180" s="4" t="str">
        <f>IFERROR(__xludf.DUMMYFUNCTION("""COMPUTED_VALUE"""),"")</f>
        <v/>
      </c>
      <c r="O180" s="4" t="str">
        <f>IFERROR(__xludf.DUMMYFUNCTION("""COMPUTED_VALUE"""),"")</f>
        <v/>
      </c>
      <c r="P180" s="4" t="str">
        <f>IFERROR(__xludf.DUMMYFUNCTION("""COMPUTED_VALUE"""),"")</f>
        <v/>
      </c>
      <c r="Q180" s="4" t="str">
        <f>IFERROR(__xludf.DUMMYFUNCTION("""COMPUTED_VALUE"""),"")</f>
        <v/>
      </c>
      <c r="R180" s="4" t="str">
        <f>IFERROR(__xludf.DUMMYFUNCTION("""COMPUTED_VALUE"""),"")</f>
        <v/>
      </c>
    </row>
    <row r="181">
      <c r="A181" s="4" t="str">
        <f>IFERROR(__xludf.DUMMYFUNCTION("""COMPUTED_VALUE"""),"198 - Channel 5")</f>
        <v>198 - Channel 5</v>
      </c>
      <c r="B181" s="4" t="str">
        <f>IFERROR(__xludf.DUMMYFUNCTION("""COMPUTED_VALUE"""),"DAY 3 - Thursday, 25 June")</f>
        <v>DAY 3 - Thursday, 25 June</v>
      </c>
      <c r="C181" s="4" t="str">
        <f>IFERROR(__xludf.DUMMYFUNCTION("""COMPUTED_VALUE"""),"")</f>
        <v/>
      </c>
      <c r="D181" s="4" t="str">
        <f>IFERROR(__xludf.DUMMYFUNCTION("""COMPUTED_VALUE"""),"")</f>
        <v/>
      </c>
      <c r="E181" s="4" t="str">
        <f>IFERROR(__xludf.DUMMYFUNCTION("""COMPUTED_VALUE"""),"")</f>
        <v/>
      </c>
      <c r="F181" s="4" t="str">
        <f>IFERROR(__xludf.DUMMYFUNCTION("""COMPUTED_VALUE"""),"")</f>
        <v/>
      </c>
      <c r="G181" s="4" t="str">
        <f>IFERROR(__xludf.DUMMYFUNCTION("""COMPUTED_VALUE"""),"")</f>
        <v/>
      </c>
      <c r="H181" s="4" t="str">
        <f>IFERROR(__xludf.DUMMYFUNCTION("""COMPUTED_VALUE"""),"")</f>
        <v/>
      </c>
      <c r="I181" s="4" t="str">
        <f>IFERROR(__xludf.DUMMYFUNCTION("""COMPUTED_VALUE"""),"")</f>
        <v/>
      </c>
      <c r="J181" s="4" t="str">
        <f>IFERROR(__xludf.DUMMYFUNCTION("""COMPUTED_VALUE"""),"")</f>
        <v/>
      </c>
      <c r="K181" s="4" t="str">
        <f>IFERROR(__xludf.DUMMYFUNCTION("""COMPUTED_VALUE"""),"")</f>
        <v/>
      </c>
      <c r="L181" s="4" t="str">
        <f>IFERROR(__xludf.DUMMYFUNCTION("""COMPUTED_VALUE"""),"")</f>
        <v/>
      </c>
      <c r="M181" s="4" t="str">
        <f>IFERROR(__xludf.DUMMYFUNCTION("""COMPUTED_VALUE"""),"")</f>
        <v/>
      </c>
      <c r="N181" s="4" t="str">
        <f>IFERROR(__xludf.DUMMYFUNCTION("""COMPUTED_VALUE"""),"")</f>
        <v/>
      </c>
      <c r="O181" s="4" t="str">
        <f>IFERROR(__xludf.DUMMYFUNCTION("""COMPUTED_VALUE"""),"")</f>
        <v/>
      </c>
      <c r="P181" s="4" t="str">
        <f>IFERROR(__xludf.DUMMYFUNCTION("""COMPUTED_VALUE"""),"")</f>
        <v/>
      </c>
      <c r="Q181" s="4" t="str">
        <f>IFERROR(__xludf.DUMMYFUNCTION("""COMPUTED_VALUE"""),"")</f>
        <v/>
      </c>
      <c r="R181" s="4" t="str">
        <f>IFERROR(__xludf.DUMMYFUNCTION("""COMPUTED_VALUE"""),"")</f>
        <v/>
      </c>
    </row>
    <row r="182">
      <c r="A182" s="4" t="str">
        <f>IFERROR(__xludf.DUMMYFUNCTION("""COMPUTED_VALUE"""),"199 - Channel 5")</f>
        <v>199 - Channel 5</v>
      </c>
      <c r="B182" s="4" t="str">
        <f>IFERROR(__xludf.DUMMYFUNCTION("""COMPUTED_VALUE"""),"Day 3 - 25/06")</f>
        <v>Day 3 - 25/06</v>
      </c>
      <c r="C182" s="6">
        <f>IFERROR(__xludf.DUMMYFUNCTION("""COMPUTED_VALUE"""),0.4166666666666667)</f>
        <v>0.4166666667</v>
      </c>
      <c r="D182" s="8">
        <f>IFERROR(__xludf.DUMMYFUNCTION("""COMPUTED_VALUE"""),6.944444444444445E-4)</f>
        <v>0.0006944444444</v>
      </c>
      <c r="E182" s="6">
        <f>IFERROR(__xludf.DUMMYFUNCTION("""COMPUTED_VALUE"""),0.4173611111111111)</f>
        <v>0.4173611111</v>
      </c>
      <c r="F182" s="4" t="str">
        <f>IFERROR(__xludf.DUMMYFUNCTION("""COMPUTED_VALUE"""),"")</f>
        <v/>
      </c>
      <c r="G182" s="4" t="str">
        <f>IFERROR(__xludf.DUMMYFUNCTION("""COMPUTED_VALUE"""),"")</f>
        <v/>
      </c>
      <c r="H182" s="4" t="str">
        <f>IFERROR(__xludf.DUMMYFUNCTION("""COMPUTED_VALUE"""),"")</f>
        <v/>
      </c>
      <c r="I182" s="4" t="str">
        <f>IFERROR(__xludf.DUMMYFUNCTION("""COMPUTED_VALUE"""),"")</f>
        <v/>
      </c>
      <c r="J182" s="4" t="str">
        <f>IFERROR(__xludf.DUMMYFUNCTION("""COMPUTED_VALUE"""),"")</f>
        <v/>
      </c>
      <c r="K182" s="4" t="str">
        <f>IFERROR(__xludf.DUMMYFUNCTION("""COMPUTED_VALUE"""),"Collision from Home Day Intro")</f>
        <v>Collision from Home Day Intro</v>
      </c>
      <c r="L182" s="4" t="str">
        <f>IFERROR(__xludf.DUMMYFUNCTION("""COMPUTED_VALUE"""),"")</f>
        <v/>
      </c>
      <c r="M182" s="4" t="str">
        <f>IFERROR(__xludf.DUMMYFUNCTION("""COMPUTED_VALUE"""),"")</f>
        <v/>
      </c>
      <c r="N182" s="4" t="str">
        <f>IFERROR(__xludf.DUMMYFUNCTION("""COMPUTED_VALUE"""),"")</f>
        <v/>
      </c>
      <c r="O182" s="4" t="str">
        <f>IFERROR(__xludf.DUMMYFUNCTION("""COMPUTED_VALUE"""),"")</f>
        <v/>
      </c>
      <c r="P182" s="4" t="str">
        <f>IFERROR(__xludf.DUMMYFUNCTION("""COMPUTED_VALUE"""),"")</f>
        <v/>
      </c>
      <c r="Q182" s="4" t="str">
        <f>IFERROR(__xludf.DUMMYFUNCTION("""COMPUTED_VALUE"""),"")</f>
        <v/>
      </c>
      <c r="R182" s="4" t="str">
        <f>IFERROR(__xludf.DUMMYFUNCTION("""COMPUTED_VALUE"""),"")</f>
        <v/>
      </c>
    </row>
    <row r="183">
      <c r="A183" s="4" t="str">
        <f>IFERROR(__xludf.DUMMYFUNCTION("""COMPUTED_VALUE"""),"200 - Channel 5")</f>
        <v>200 - Channel 5</v>
      </c>
      <c r="B183" s="4" t="str">
        <f>IFERROR(__xludf.DUMMYFUNCTION("""COMPUTED_VALUE"""),"Day 3 - 25/06")</f>
        <v>Day 3 - 25/06</v>
      </c>
      <c r="C183" s="6">
        <f>IFERROR(__xludf.DUMMYFUNCTION("""COMPUTED_VALUE"""),0.4173611111111111)</f>
        <v>0.4173611111</v>
      </c>
      <c r="D183" s="8">
        <f>IFERROR(__xludf.DUMMYFUNCTION("""COMPUTED_VALUE"""),3.4722222222222224E-4)</f>
        <v>0.0003472222222</v>
      </c>
      <c r="E183" s="6">
        <f>IFERROR(__xludf.DUMMYFUNCTION("""COMPUTED_VALUE"""),0.41770833333333335)</f>
        <v>0.4177083333</v>
      </c>
      <c r="F183" s="4" t="str">
        <f>IFERROR(__xludf.DUMMYFUNCTION("""COMPUTED_VALUE"""),"")</f>
        <v/>
      </c>
      <c r="G183" s="4" t="str">
        <f>IFERROR(__xludf.DUMMYFUNCTION("""COMPUTED_VALUE"""),"")</f>
        <v/>
      </c>
      <c r="H183" s="4" t="str">
        <f>IFERROR(__xludf.DUMMYFUNCTION("""COMPUTED_VALUE"""),"")</f>
        <v/>
      </c>
      <c r="I183" s="4" t="str">
        <f>IFERROR(__xludf.DUMMYFUNCTION("""COMPUTED_VALUE"""),"")</f>
        <v/>
      </c>
      <c r="J183" s="4" t="str">
        <f>IFERROR(__xludf.DUMMYFUNCTION("""COMPUTED_VALUE"""),"")</f>
        <v/>
      </c>
      <c r="K183" s="4" t="str">
        <f>IFERROR(__xludf.DUMMYFUNCTION("""COMPUTED_VALUE"""),"Talk Intro")</f>
        <v>Talk Intro</v>
      </c>
      <c r="L183" s="4" t="str">
        <f>IFERROR(__xludf.DUMMYFUNCTION("""COMPUTED_VALUE"""),"")</f>
        <v/>
      </c>
      <c r="M183" s="4" t="str">
        <f>IFERROR(__xludf.DUMMYFUNCTION("""COMPUTED_VALUE"""),"")</f>
        <v/>
      </c>
      <c r="N183" s="4" t="str">
        <f>IFERROR(__xludf.DUMMYFUNCTION("""COMPUTED_VALUE"""),"")</f>
        <v/>
      </c>
      <c r="O183" s="4" t="str">
        <f>IFERROR(__xludf.DUMMYFUNCTION("""COMPUTED_VALUE"""),"")</f>
        <v/>
      </c>
      <c r="P183" s="4" t="str">
        <f>IFERROR(__xludf.DUMMYFUNCTION("""COMPUTED_VALUE"""),"")</f>
        <v/>
      </c>
      <c r="Q183" s="4" t="str">
        <f>IFERROR(__xludf.DUMMYFUNCTION("""COMPUTED_VALUE"""),"")</f>
        <v/>
      </c>
      <c r="R183" s="4" t="str">
        <f>IFERROR(__xludf.DUMMYFUNCTION("""COMPUTED_VALUE"""),"")</f>
        <v/>
      </c>
    </row>
    <row r="184">
      <c r="A184" s="4" t="str">
        <f>IFERROR(__xludf.DUMMYFUNCTION("""COMPUTED_VALUE"""),"201 - Channel 5")</f>
        <v>201 - Channel 5</v>
      </c>
      <c r="B184" s="4" t="str">
        <f>IFERROR(__xludf.DUMMYFUNCTION("""COMPUTED_VALUE"""),"Day 3 - 25/06")</f>
        <v>Day 3 - 25/06</v>
      </c>
      <c r="C184" s="6">
        <f>IFERROR(__xludf.DUMMYFUNCTION("""COMPUTED_VALUE"""),0.41770833333333335)</f>
        <v>0.4177083333</v>
      </c>
      <c r="D184" s="8">
        <f>IFERROR(__xludf.DUMMYFUNCTION("""COMPUTED_VALUE"""),0.005729166666666666)</f>
        <v>0.005729166667</v>
      </c>
      <c r="E184" s="6">
        <f>IFERROR(__xludf.DUMMYFUNCTION("""COMPUTED_VALUE"""),0.4234375)</f>
        <v>0.4234375</v>
      </c>
      <c r="F184" s="4" t="str">
        <f>IFERROR(__xludf.DUMMYFUNCTION("""COMPUTED_VALUE"""),"AI")</f>
        <v>AI</v>
      </c>
      <c r="G184" s="4" t="str">
        <f>IFERROR(__xludf.DUMMYFUNCTION("""COMPUTED_VALUE"""),"Web Summit 2017")</f>
        <v>Web Summit 2017</v>
      </c>
      <c r="H184" s="21" t="str">
        <f>IFERROR(__xludf.DUMMYFUNCTION("""COMPUTED_VALUE"""),"https://www.youtube.com/watch?v=H41Zk1GrdRg&amp;t=2s")</f>
        <v>https://www.youtube.com/watch?v=H41Zk1GrdRg&amp;t=2s</v>
      </c>
      <c r="I184" s="4" t="str">
        <f>IFERROR(__xludf.DUMMYFUNCTION("""COMPUTED_VALUE"""),"No edit needed")</f>
        <v>No edit needed</v>
      </c>
      <c r="J184" s="4" t="str">
        <f>IFERROR(__xludf.DUMMYFUNCTION("""COMPUTED_VALUE"""),"No")</f>
        <v>No</v>
      </c>
      <c r="K184" s="4" t="str">
        <f>IFERROR(__xludf.DUMMYFUNCTION("""COMPUTED_VALUE"""),"Stephen Hawking on the future promise of AI")</f>
        <v>Stephen Hawking on the future promise of AI</v>
      </c>
      <c r="L184" s="4" t="str">
        <f>IFERROR(__xludf.DUMMYFUNCTION("""COMPUTED_VALUE"""),"Stephen Hawking, Cambridge University")</f>
        <v>Stephen Hawking, Cambridge University</v>
      </c>
      <c r="M184" s="4" t="str">
        <f>IFERROR(__xludf.DUMMYFUNCTION("""COMPUTED_VALUE"""),"")</f>
        <v/>
      </c>
      <c r="N184" s="4" t="str">
        <f>IFERROR(__xludf.DUMMYFUNCTION("""COMPUTED_VALUE"""),"")</f>
        <v/>
      </c>
      <c r="O184" s="4" t="str">
        <f>IFERROR(__xludf.DUMMYFUNCTION("""COMPUTED_VALUE"""),"")</f>
        <v/>
      </c>
      <c r="P184" s="4" t="str">
        <f>IFERROR(__xludf.DUMMYFUNCTION("""COMPUTED_VALUE"""),"")</f>
        <v/>
      </c>
      <c r="Q184" s="4" t="str">
        <f>IFERROR(__xludf.DUMMYFUNCTION("""COMPUTED_VALUE"""),"Stephen Hawking was one of the greatest minds to ever live. He joined us at Web Summit 2017 and, in what was one of his last ever public speeches, warned us about the possible dangers of AI while also exhorting us to take advantage of its opportunities. T"&amp;"une in to heed his call to arms.")</f>
        <v>Stephen Hawking was one of the greatest minds to ever live. He joined us at Web Summit 2017 and, in what was one of his last ever public speeches, warned us about the possible dangers of AI while also exhorting us to take advantage of its opportunities. Tune in to heed his call to arms.</v>
      </c>
      <c r="R184" s="4" t="str">
        <f>IFERROR(__xludf.DUMMYFUNCTION("""COMPUTED_VALUE"""),"")</f>
        <v/>
      </c>
    </row>
    <row r="185">
      <c r="A185" s="4" t="str">
        <f>IFERROR(__xludf.DUMMYFUNCTION("""COMPUTED_VALUE"""),"202 - Channel 5")</f>
        <v>202 - Channel 5</v>
      </c>
      <c r="B185" s="4" t="str">
        <f>IFERROR(__xludf.DUMMYFUNCTION("""COMPUTED_VALUE"""),"Day 3 - 25/06")</f>
        <v>Day 3 - 25/06</v>
      </c>
      <c r="C185" s="6">
        <f>IFERROR(__xludf.DUMMYFUNCTION("""COMPUTED_VALUE"""),0.4234375)</f>
        <v>0.4234375</v>
      </c>
      <c r="D185" s="8">
        <f>IFERROR(__xludf.DUMMYFUNCTION("""COMPUTED_VALUE"""),1.7361111111111112E-4)</f>
        <v>0.0001736111111</v>
      </c>
      <c r="E185" s="6">
        <f>IFERROR(__xludf.DUMMYFUNCTION("""COMPUTED_VALUE"""),0.42361111111111116)</f>
        <v>0.4236111111</v>
      </c>
      <c r="F185" s="4" t="str">
        <f>IFERROR(__xludf.DUMMYFUNCTION("""COMPUTED_VALUE"""),"")</f>
        <v/>
      </c>
      <c r="G185" s="4" t="str">
        <f>IFERROR(__xludf.DUMMYFUNCTION("""COMPUTED_VALUE"""),"")</f>
        <v/>
      </c>
      <c r="H185" s="4" t="str">
        <f>IFERROR(__xludf.DUMMYFUNCTION("""COMPUTED_VALUE"""),"")</f>
        <v/>
      </c>
      <c r="I185" s="4" t="str">
        <f>IFERROR(__xludf.DUMMYFUNCTION("""COMPUTED_VALUE"""),"")</f>
        <v/>
      </c>
      <c r="J185" s="4" t="str">
        <f>IFERROR(__xludf.DUMMYFUNCTION("""COMPUTED_VALUE"""),"")</f>
        <v/>
      </c>
      <c r="K185" s="4" t="str">
        <f>IFERROR(__xludf.DUMMYFUNCTION("""COMPUTED_VALUE"""),"Talk Outro")</f>
        <v>Talk Outro</v>
      </c>
      <c r="L185" s="4" t="str">
        <f>IFERROR(__xludf.DUMMYFUNCTION("""COMPUTED_VALUE"""),"")</f>
        <v/>
      </c>
      <c r="M185" s="4" t="str">
        <f>IFERROR(__xludf.DUMMYFUNCTION("""COMPUTED_VALUE"""),"")</f>
        <v/>
      </c>
      <c r="N185" s="4" t="str">
        <f>IFERROR(__xludf.DUMMYFUNCTION("""COMPUTED_VALUE"""),"")</f>
        <v/>
      </c>
      <c r="O185" s="4" t="str">
        <f>IFERROR(__xludf.DUMMYFUNCTION("""COMPUTED_VALUE"""),"")</f>
        <v/>
      </c>
      <c r="P185" s="4" t="str">
        <f>IFERROR(__xludf.DUMMYFUNCTION("""COMPUTED_VALUE"""),"")</f>
        <v/>
      </c>
      <c r="Q185" s="4" t="str">
        <f>IFERROR(__xludf.DUMMYFUNCTION("""COMPUTED_VALUE"""),"")</f>
        <v/>
      </c>
      <c r="R185" s="4" t="str">
        <f>IFERROR(__xludf.DUMMYFUNCTION("""COMPUTED_VALUE"""),"")</f>
        <v/>
      </c>
    </row>
    <row r="186">
      <c r="A186" s="4" t="str">
        <f>IFERROR(__xludf.DUMMYFUNCTION("""COMPUTED_VALUE"""),"338 - Channel 5")</f>
        <v>338 - Channel 5</v>
      </c>
      <c r="B186" s="4" t="str">
        <f>IFERROR(__xludf.DUMMYFUNCTION("""COMPUTED_VALUE"""),"Day 3 - 25/06")</f>
        <v>Day 3 - 25/06</v>
      </c>
      <c r="C186" s="6">
        <f>IFERROR(__xludf.DUMMYFUNCTION("""COMPUTED_VALUE"""),0.42361111111111116)</f>
        <v>0.4236111111</v>
      </c>
      <c r="D186" s="8">
        <f>IFERROR(__xludf.DUMMYFUNCTION("""COMPUTED_VALUE"""),3.4722222222222224E-4)</f>
        <v>0.0003472222222</v>
      </c>
      <c r="E186" s="6">
        <f>IFERROR(__xludf.DUMMYFUNCTION("""COMPUTED_VALUE"""),0.4239583333333334)</f>
        <v>0.4239583333</v>
      </c>
      <c r="F186" s="4" t="str">
        <f>IFERROR(__xludf.DUMMYFUNCTION("""COMPUTED_VALUE"""),"")</f>
        <v/>
      </c>
      <c r="G186" s="4" t="str">
        <f>IFERROR(__xludf.DUMMYFUNCTION("""COMPUTED_VALUE"""),"")</f>
        <v/>
      </c>
      <c r="H186" s="4" t="str">
        <f>IFERROR(__xludf.DUMMYFUNCTION("""COMPUTED_VALUE"""),"")</f>
        <v/>
      </c>
      <c r="I186" s="4" t="str">
        <f>IFERROR(__xludf.DUMMYFUNCTION("""COMPUTED_VALUE"""),"")</f>
        <v/>
      </c>
      <c r="J186" s="4" t="str">
        <f>IFERROR(__xludf.DUMMYFUNCTION("""COMPUTED_VALUE"""),"")</f>
        <v/>
      </c>
      <c r="K186" s="4" t="str">
        <f>IFERROR(__xludf.DUMMYFUNCTION("""COMPUTED_VALUE"""),"Web Summit Trailer - Short")</f>
        <v>Web Summit Trailer - Short</v>
      </c>
      <c r="L186" s="4" t="str">
        <f>IFERROR(__xludf.DUMMYFUNCTION("""COMPUTED_VALUE"""),"")</f>
        <v/>
      </c>
      <c r="M186" s="4" t="str">
        <f>IFERROR(__xludf.DUMMYFUNCTION("""COMPUTED_VALUE"""),"")</f>
        <v/>
      </c>
      <c r="N186" s="4" t="str">
        <f>IFERROR(__xludf.DUMMYFUNCTION("""COMPUTED_VALUE"""),"")</f>
        <v/>
      </c>
      <c r="O186" s="4" t="str">
        <f>IFERROR(__xludf.DUMMYFUNCTION("""COMPUTED_VALUE"""),"")</f>
        <v/>
      </c>
      <c r="P186" s="4" t="str">
        <f>IFERROR(__xludf.DUMMYFUNCTION("""COMPUTED_VALUE"""),"")</f>
        <v/>
      </c>
      <c r="Q186" s="4" t="str">
        <f>IFERROR(__xludf.DUMMYFUNCTION("""COMPUTED_VALUE"""),"")</f>
        <v/>
      </c>
      <c r="R186" s="4" t="str">
        <f>IFERROR(__xludf.DUMMYFUNCTION("""COMPUTED_VALUE"""),"")</f>
        <v/>
      </c>
    </row>
    <row r="187">
      <c r="A187" s="4" t="str">
        <f>IFERROR(__xludf.DUMMYFUNCTION("""COMPUTED_VALUE"""),"204 - Channel 5")</f>
        <v>204 - Channel 5</v>
      </c>
      <c r="B187" s="4" t="str">
        <f>IFERROR(__xludf.DUMMYFUNCTION("""COMPUTED_VALUE"""),"Day 3 - 25/06")</f>
        <v>Day 3 - 25/06</v>
      </c>
      <c r="C187" s="6">
        <f>IFERROR(__xludf.DUMMYFUNCTION("""COMPUTED_VALUE"""),0.4239583333333334)</f>
        <v>0.4239583333</v>
      </c>
      <c r="D187" s="8">
        <f>IFERROR(__xludf.DUMMYFUNCTION("""COMPUTED_VALUE"""),3.4722222222222224E-4)</f>
        <v>0.0003472222222</v>
      </c>
      <c r="E187" s="6">
        <f>IFERROR(__xludf.DUMMYFUNCTION("""COMPUTED_VALUE"""),0.4243055555555556)</f>
        <v>0.4243055556</v>
      </c>
      <c r="F187" s="4" t="str">
        <f>IFERROR(__xludf.DUMMYFUNCTION("""COMPUTED_VALUE"""),"")</f>
        <v/>
      </c>
      <c r="G187" s="4" t="str">
        <f>IFERROR(__xludf.DUMMYFUNCTION("""COMPUTED_VALUE"""),"")</f>
        <v/>
      </c>
      <c r="H187" s="4" t="str">
        <f>IFERROR(__xludf.DUMMYFUNCTION("""COMPUTED_VALUE"""),"")</f>
        <v/>
      </c>
      <c r="I187" s="4" t="str">
        <f>IFERROR(__xludf.DUMMYFUNCTION("""COMPUTED_VALUE"""),"")</f>
        <v/>
      </c>
      <c r="J187" s="4" t="str">
        <f>IFERROR(__xludf.DUMMYFUNCTION("""COMPUTED_VALUE"""),"")</f>
        <v/>
      </c>
      <c r="K187" s="4" t="str">
        <f>IFERROR(__xludf.DUMMYFUNCTION("""COMPUTED_VALUE"""),"Talk Intro")</f>
        <v>Talk Intro</v>
      </c>
      <c r="L187" s="4" t="str">
        <f>IFERROR(__xludf.DUMMYFUNCTION("""COMPUTED_VALUE"""),"")</f>
        <v/>
      </c>
      <c r="M187" s="4" t="str">
        <f>IFERROR(__xludf.DUMMYFUNCTION("""COMPUTED_VALUE"""),"")</f>
        <v/>
      </c>
      <c r="N187" s="4" t="str">
        <f>IFERROR(__xludf.DUMMYFUNCTION("""COMPUTED_VALUE"""),"")</f>
        <v/>
      </c>
      <c r="O187" s="4" t="str">
        <f>IFERROR(__xludf.DUMMYFUNCTION("""COMPUTED_VALUE"""),"")</f>
        <v/>
      </c>
      <c r="P187" s="4" t="str">
        <f>IFERROR(__xludf.DUMMYFUNCTION("""COMPUTED_VALUE"""),"")</f>
        <v/>
      </c>
      <c r="Q187" s="4" t="str">
        <f>IFERROR(__xludf.DUMMYFUNCTION("""COMPUTED_VALUE"""),"")</f>
        <v/>
      </c>
      <c r="R187" s="4" t="str">
        <f>IFERROR(__xludf.DUMMYFUNCTION("""COMPUTED_VALUE"""),"")</f>
        <v/>
      </c>
    </row>
    <row r="188">
      <c r="A188" s="4" t="str">
        <f>IFERROR(__xludf.DUMMYFUNCTION("""COMPUTED_VALUE"""),"205 - Channel 5")</f>
        <v>205 - Channel 5</v>
      </c>
      <c r="B188" s="4" t="str">
        <f>IFERROR(__xludf.DUMMYFUNCTION("""COMPUTED_VALUE"""),"Day 3 - 25/06")</f>
        <v>Day 3 - 25/06</v>
      </c>
      <c r="C188" s="6">
        <f>IFERROR(__xludf.DUMMYFUNCTION("""COMPUTED_VALUE"""),0.4243055555555556)</f>
        <v>0.4243055556</v>
      </c>
      <c r="D188" s="8">
        <f>IFERROR(__xludf.DUMMYFUNCTION("""COMPUTED_VALUE"""),0.014328703703703703)</f>
        <v>0.0143287037</v>
      </c>
      <c r="E188" s="6">
        <f>IFERROR(__xludf.DUMMYFUNCTION("""COMPUTED_VALUE"""),0.4386342592592593)</f>
        <v>0.4386342593</v>
      </c>
      <c r="F188" s="4" t="str">
        <f>IFERROR(__xludf.DUMMYFUNCTION("""COMPUTED_VALUE"""),"Leadership")</f>
        <v>Leadership</v>
      </c>
      <c r="G188" s="4" t="str">
        <f>IFERROR(__xludf.DUMMYFUNCTION("""COMPUTED_VALUE"""),"Collision 2019")</f>
        <v>Collision 2019</v>
      </c>
      <c r="H188" s="21" t="str">
        <f>IFERROR(__xludf.DUMMYFUNCTION("""COMPUTED_VALUE"""),"https://vimeo.com/343099082")</f>
        <v>https://vimeo.com/343099082</v>
      </c>
      <c r="I188" s="4" t="str">
        <f>IFERROR(__xludf.DUMMYFUNCTION("""COMPUTED_VALUE"""),"Begin at 00:37. Finish at 19:45.")</f>
        <v>Begin at 00:37. Finish at 19:45.</v>
      </c>
      <c r="J188" s="4" t="str">
        <f>IFERROR(__xludf.DUMMYFUNCTION("""COMPUTED_VALUE"""),"No")</f>
        <v>No</v>
      </c>
      <c r="K188" s="4" t="str">
        <f>IFERROR(__xludf.DUMMYFUNCTION("""COMPUTED_VALUE"""),"Adi Tatarko transformed a trillion dollar industry with Houzz")</f>
        <v>Adi Tatarko transformed a trillion dollar industry with Houzz</v>
      </c>
      <c r="L188" s="4" t="str">
        <f>IFERROR(__xludf.DUMMYFUNCTION("""COMPUTED_VALUE"""),"Adi Tatarko, Houzz")</f>
        <v>Adi Tatarko, Houzz</v>
      </c>
      <c r="M188" s="4" t="str">
        <f>IFERROR(__xludf.DUMMYFUNCTION("""COMPUTED_VALUE"""),"")</f>
        <v/>
      </c>
      <c r="N188" s="4" t="str">
        <f>IFERROR(__xludf.DUMMYFUNCTION("""COMPUTED_VALUE"""),"")</f>
        <v/>
      </c>
      <c r="O188" s="4" t="str">
        <f>IFERROR(__xludf.DUMMYFUNCTION("""COMPUTED_VALUE"""),"")</f>
        <v/>
      </c>
      <c r="P188" s="4" t="str">
        <f>IFERROR(__xludf.DUMMYFUNCTION("""COMPUTED_VALUE"""),"")</f>
        <v/>
      </c>
      <c r="Q188" s="4" t="str">
        <f>IFERROR(__xludf.DUMMYFUNCTION("""COMPUTED_VALUE"""),"With more than 40 million users and a reported $4 billion valuation, Houzz took the home renovation industry by storm. At Collision 2019, the company's founder revealed how Houzz plans to continue disrupting this trillion-dollar industry.")</f>
        <v>With more than 40 million users and a reported $4 billion valuation, Houzz took the home renovation industry by storm. At Collision 2019, the company's founder revealed how Houzz plans to continue disrupting this trillion-dollar industry.</v>
      </c>
      <c r="R188" s="4" t="str">
        <f>IFERROR(__xludf.DUMMYFUNCTION("""COMPUTED_VALUE"""),"")</f>
        <v/>
      </c>
    </row>
    <row r="189">
      <c r="A189" s="4" t="str">
        <f>IFERROR(__xludf.DUMMYFUNCTION("""COMPUTED_VALUE"""),"206 - Channel 5")</f>
        <v>206 - Channel 5</v>
      </c>
      <c r="B189" s="4" t="str">
        <f>IFERROR(__xludf.DUMMYFUNCTION("""COMPUTED_VALUE"""),"Day 3 - 25/06")</f>
        <v>Day 3 - 25/06</v>
      </c>
      <c r="C189" s="6">
        <f>IFERROR(__xludf.DUMMYFUNCTION("""COMPUTED_VALUE"""),0.4386342592592593)</f>
        <v>0.4386342593</v>
      </c>
      <c r="D189" s="8">
        <f>IFERROR(__xludf.DUMMYFUNCTION("""COMPUTED_VALUE"""),1.7361111111111112E-4)</f>
        <v>0.0001736111111</v>
      </c>
      <c r="E189" s="6">
        <f>IFERROR(__xludf.DUMMYFUNCTION("""COMPUTED_VALUE"""),0.43880787037037045)</f>
        <v>0.4388078704</v>
      </c>
      <c r="F189" s="4" t="str">
        <f>IFERROR(__xludf.DUMMYFUNCTION("""COMPUTED_VALUE"""),"")</f>
        <v/>
      </c>
      <c r="G189" s="4" t="str">
        <f>IFERROR(__xludf.DUMMYFUNCTION("""COMPUTED_VALUE"""),"")</f>
        <v/>
      </c>
      <c r="H189" s="4" t="str">
        <f>IFERROR(__xludf.DUMMYFUNCTION("""COMPUTED_VALUE"""),"")</f>
        <v/>
      </c>
      <c r="I189" s="4" t="str">
        <f>IFERROR(__xludf.DUMMYFUNCTION("""COMPUTED_VALUE"""),"")</f>
        <v/>
      </c>
      <c r="J189" s="4" t="str">
        <f>IFERROR(__xludf.DUMMYFUNCTION("""COMPUTED_VALUE"""),"")</f>
        <v/>
      </c>
      <c r="K189" s="4" t="str">
        <f>IFERROR(__xludf.DUMMYFUNCTION("""COMPUTED_VALUE"""),"Talk Outro")</f>
        <v>Talk Outro</v>
      </c>
      <c r="L189" s="4" t="str">
        <f>IFERROR(__xludf.DUMMYFUNCTION("""COMPUTED_VALUE"""),"")</f>
        <v/>
      </c>
      <c r="M189" s="4" t="str">
        <f>IFERROR(__xludf.DUMMYFUNCTION("""COMPUTED_VALUE"""),"")</f>
        <v/>
      </c>
      <c r="N189" s="4" t="str">
        <f>IFERROR(__xludf.DUMMYFUNCTION("""COMPUTED_VALUE"""),"")</f>
        <v/>
      </c>
      <c r="O189" s="4" t="str">
        <f>IFERROR(__xludf.DUMMYFUNCTION("""COMPUTED_VALUE"""),"")</f>
        <v/>
      </c>
      <c r="P189" s="4" t="str">
        <f>IFERROR(__xludf.DUMMYFUNCTION("""COMPUTED_VALUE"""),"")</f>
        <v/>
      </c>
      <c r="Q189" s="4" t="str">
        <f>IFERROR(__xludf.DUMMYFUNCTION("""COMPUTED_VALUE"""),"")</f>
        <v/>
      </c>
      <c r="R189" s="4" t="str">
        <f>IFERROR(__xludf.DUMMYFUNCTION("""COMPUTED_VALUE"""),"")</f>
        <v/>
      </c>
    </row>
    <row r="190">
      <c r="A190" s="4" t="str">
        <f>IFERROR(__xludf.DUMMYFUNCTION("""COMPUTED_VALUE"""),"207 - Channel 5")</f>
        <v>207 - Channel 5</v>
      </c>
      <c r="B190" s="4" t="str">
        <f>IFERROR(__xludf.DUMMYFUNCTION("""COMPUTED_VALUE"""),"Day 3 - 25/06")</f>
        <v>Day 3 - 25/06</v>
      </c>
      <c r="C190" s="6">
        <f>IFERROR(__xludf.DUMMYFUNCTION("""COMPUTED_VALUE"""),0.43880787037037045)</f>
        <v>0.4388078704</v>
      </c>
      <c r="D190" s="8">
        <f>IFERROR(__xludf.DUMMYFUNCTION("""COMPUTED_VALUE"""),3.4722222222222224E-4)</f>
        <v>0.0003472222222</v>
      </c>
      <c r="E190" s="6">
        <f>IFERROR(__xludf.DUMMYFUNCTION("""COMPUTED_VALUE"""),0.43915509259259267)</f>
        <v>0.4391550926</v>
      </c>
      <c r="F190" s="4" t="str">
        <f>IFERROR(__xludf.DUMMYFUNCTION("""COMPUTED_VALUE"""),"")</f>
        <v/>
      </c>
      <c r="G190" s="4" t="str">
        <f>IFERROR(__xludf.DUMMYFUNCTION("""COMPUTED_VALUE"""),"")</f>
        <v/>
      </c>
      <c r="H190" s="4" t="str">
        <f>IFERROR(__xludf.DUMMYFUNCTION("""COMPUTED_VALUE"""),"")</f>
        <v/>
      </c>
      <c r="I190" s="4" t="str">
        <f>IFERROR(__xludf.DUMMYFUNCTION("""COMPUTED_VALUE"""),"")</f>
        <v/>
      </c>
      <c r="J190" s="4" t="str">
        <f>IFERROR(__xludf.DUMMYFUNCTION("""COMPUTED_VALUE"""),"")</f>
        <v/>
      </c>
      <c r="K190" s="4" t="str">
        <f>IFERROR(__xludf.DUMMYFUNCTION("""COMPUTED_VALUE"""),"Talk Intro")</f>
        <v>Talk Intro</v>
      </c>
      <c r="L190" s="4" t="str">
        <f>IFERROR(__xludf.DUMMYFUNCTION("""COMPUTED_VALUE"""),"")</f>
        <v/>
      </c>
      <c r="M190" s="4" t="str">
        <f>IFERROR(__xludf.DUMMYFUNCTION("""COMPUTED_VALUE"""),"")</f>
        <v/>
      </c>
      <c r="N190" s="4" t="str">
        <f>IFERROR(__xludf.DUMMYFUNCTION("""COMPUTED_VALUE"""),"")</f>
        <v/>
      </c>
      <c r="O190" s="4" t="str">
        <f>IFERROR(__xludf.DUMMYFUNCTION("""COMPUTED_VALUE"""),"")</f>
        <v/>
      </c>
      <c r="P190" s="4" t="str">
        <f>IFERROR(__xludf.DUMMYFUNCTION("""COMPUTED_VALUE"""),"")</f>
        <v/>
      </c>
      <c r="Q190" s="4" t="str">
        <f>IFERROR(__xludf.DUMMYFUNCTION("""COMPUTED_VALUE"""),"")</f>
        <v/>
      </c>
      <c r="R190" s="4" t="str">
        <f>IFERROR(__xludf.DUMMYFUNCTION("""COMPUTED_VALUE"""),"")</f>
        <v/>
      </c>
    </row>
    <row r="191">
      <c r="A191" s="4" t="str">
        <f>IFERROR(__xludf.DUMMYFUNCTION("""COMPUTED_VALUE"""),"208 - Channel 5")</f>
        <v>208 - Channel 5</v>
      </c>
      <c r="B191" s="4" t="str">
        <f>IFERROR(__xludf.DUMMYFUNCTION("""COMPUTED_VALUE"""),"Day 3 - 25/06")</f>
        <v>Day 3 - 25/06</v>
      </c>
      <c r="C191" s="6">
        <f>IFERROR(__xludf.DUMMYFUNCTION("""COMPUTED_VALUE"""),0.43915509259259267)</f>
        <v>0.4391550926</v>
      </c>
      <c r="D191" s="8">
        <f>IFERROR(__xludf.DUMMYFUNCTION("""COMPUTED_VALUE"""),0.006944444444444444)</f>
        <v>0.006944444444</v>
      </c>
      <c r="E191" s="6">
        <f>IFERROR(__xludf.DUMMYFUNCTION("""COMPUTED_VALUE"""),0.4460995370370371)</f>
        <v>0.446099537</v>
      </c>
      <c r="F191" s="4" t="str">
        <f>IFERROR(__xludf.DUMMYFUNCTION("""COMPUTED_VALUE"""),"Gaming")</f>
        <v>Gaming</v>
      </c>
      <c r="G191" s="4" t="str">
        <f>IFERROR(__xludf.DUMMYFUNCTION("""COMPUTED_VALUE"""),"")</f>
        <v/>
      </c>
      <c r="H191" s="4" t="str">
        <f>IFERROR(__xludf.DUMMYFUNCTION("""COMPUTED_VALUE"""),"")</f>
        <v/>
      </c>
      <c r="I191" s="4" t="str">
        <f>IFERROR(__xludf.DUMMYFUNCTION("""COMPUTED_VALUE"""),"")</f>
        <v/>
      </c>
      <c r="J191" s="4" t="str">
        <f>IFERROR(__xludf.DUMMYFUNCTION("""COMPUTED_VALUE"""),"No")</f>
        <v>No</v>
      </c>
      <c r="K191" s="4" t="str">
        <f>IFERROR(__xludf.DUMMYFUNCTION("""COMPUTED_VALUE"""),"Top 5 AR/VR talks")</f>
        <v>Top 5 AR/VR talks</v>
      </c>
      <c r="L191" s="4" t="str">
        <f>IFERROR(__xludf.DUMMYFUNCTION("""COMPUTED_VALUE"""),"Palmer Luckey, Oculus VR")</f>
        <v>Palmer Luckey, Oculus VR</v>
      </c>
      <c r="M191" s="4" t="str">
        <f>IFERROR(__xludf.DUMMYFUNCTION("""COMPUTED_VALUE"""),"Laura Miele, Electronic Arts")</f>
        <v>Laura Miele, Electronic Arts</v>
      </c>
      <c r="N191" s="4" t="str">
        <f>IFERROR(__xludf.DUMMYFUNCTION("""COMPUTED_VALUE"""),"Phil Keslin, Niantic, Inc")</f>
        <v>Phil Keslin, Niantic, Inc</v>
      </c>
      <c r="O191" s="4" t="str">
        <f>IFERROR(__xludf.DUMMYFUNCTION("""COMPUTED_VALUE"""),"Amit Singh, Google")</f>
        <v>Amit Singh, Google</v>
      </c>
      <c r="P191" s="4" t="str">
        <f>IFERROR(__xludf.DUMMYFUNCTION("""COMPUTED_VALUE"""),"Brenda Freeman, Magic Leap")</f>
        <v>Brenda Freeman, Magic Leap</v>
      </c>
      <c r="Q191" s="4" t="str">
        <f>IFERROR(__xludf.DUMMYFUNCTION("""COMPUTED_VALUE"""),"Featuring Oculus, Electronic Arts, Niantic, Google and Magic Leap. AR and VR are some of the most exciting pieces of technology out there. These five speakers all discussed how to transport us from the mundane world of the everyday to the fantastical worl"&amp;"ds of our imagination. ")</f>
        <v>Featuring Oculus, Electronic Arts, Niantic, Google and Magic Leap. AR and VR are some of the most exciting pieces of technology out there. These five speakers all discussed how to transport us from the mundane world of the everyday to the fantastical worlds of our imagination. </v>
      </c>
      <c r="R191" s="4" t="str">
        <f>IFERROR(__xludf.DUMMYFUNCTION("""COMPUTED_VALUE"""),"")</f>
        <v/>
      </c>
    </row>
    <row r="192">
      <c r="A192" s="4" t="str">
        <f>IFERROR(__xludf.DUMMYFUNCTION("""COMPUTED_VALUE"""),"209 - Channel 5")</f>
        <v>209 - Channel 5</v>
      </c>
      <c r="B192" s="4" t="str">
        <f>IFERROR(__xludf.DUMMYFUNCTION("""COMPUTED_VALUE"""),"Day 3 - 25/06")</f>
        <v>Day 3 - 25/06</v>
      </c>
      <c r="C192" s="6">
        <f>IFERROR(__xludf.DUMMYFUNCTION("""COMPUTED_VALUE"""),0.4460995370370371)</f>
        <v>0.446099537</v>
      </c>
      <c r="D192" s="8">
        <f>IFERROR(__xludf.DUMMYFUNCTION("""COMPUTED_VALUE"""),1.7361111111111112E-4)</f>
        <v>0.0001736111111</v>
      </c>
      <c r="E192" s="6">
        <f>IFERROR(__xludf.DUMMYFUNCTION("""COMPUTED_VALUE"""),0.4462731481481482)</f>
        <v>0.4462731481</v>
      </c>
      <c r="F192" s="4" t="str">
        <f>IFERROR(__xludf.DUMMYFUNCTION("""COMPUTED_VALUE"""),"")</f>
        <v/>
      </c>
      <c r="G192" s="4" t="str">
        <f>IFERROR(__xludf.DUMMYFUNCTION("""COMPUTED_VALUE"""),"")</f>
        <v/>
      </c>
      <c r="H192" s="4" t="str">
        <f>IFERROR(__xludf.DUMMYFUNCTION("""COMPUTED_VALUE"""),"")</f>
        <v/>
      </c>
      <c r="I192" s="4" t="str">
        <f>IFERROR(__xludf.DUMMYFUNCTION("""COMPUTED_VALUE"""),"")</f>
        <v/>
      </c>
      <c r="J192" s="4" t="str">
        <f>IFERROR(__xludf.DUMMYFUNCTION("""COMPUTED_VALUE"""),"")</f>
        <v/>
      </c>
      <c r="K192" s="4" t="str">
        <f>IFERROR(__xludf.DUMMYFUNCTION("""COMPUTED_VALUE"""),"Talk Outro")</f>
        <v>Talk Outro</v>
      </c>
      <c r="L192" s="4" t="str">
        <f>IFERROR(__xludf.DUMMYFUNCTION("""COMPUTED_VALUE"""),"")</f>
        <v/>
      </c>
      <c r="M192" s="4" t="str">
        <f>IFERROR(__xludf.DUMMYFUNCTION("""COMPUTED_VALUE"""),"")</f>
        <v/>
      </c>
      <c r="N192" s="4" t="str">
        <f>IFERROR(__xludf.DUMMYFUNCTION("""COMPUTED_VALUE"""),"")</f>
        <v/>
      </c>
      <c r="O192" s="4" t="str">
        <f>IFERROR(__xludf.DUMMYFUNCTION("""COMPUTED_VALUE"""),"")</f>
        <v/>
      </c>
      <c r="P192" s="4" t="str">
        <f>IFERROR(__xludf.DUMMYFUNCTION("""COMPUTED_VALUE"""),"")</f>
        <v/>
      </c>
      <c r="Q192" s="4" t="str">
        <f>IFERROR(__xludf.DUMMYFUNCTION("""COMPUTED_VALUE"""),"")</f>
        <v/>
      </c>
      <c r="R192" s="4" t="str">
        <f>IFERROR(__xludf.DUMMYFUNCTION("""COMPUTED_VALUE"""),"")</f>
        <v/>
      </c>
    </row>
    <row r="193">
      <c r="A193" s="4" t="str">
        <f>IFERROR(__xludf.DUMMYFUNCTION("""COMPUTED_VALUE"""),"210 - Channel 5")</f>
        <v>210 - Channel 5</v>
      </c>
      <c r="B193" s="4" t="str">
        <f>IFERROR(__xludf.DUMMYFUNCTION("""COMPUTED_VALUE"""),"Day 3 - 25/06")</f>
        <v>Day 3 - 25/06</v>
      </c>
      <c r="C193" s="6">
        <f>IFERROR(__xludf.DUMMYFUNCTION("""COMPUTED_VALUE"""),0.4462731481481482)</f>
        <v>0.4462731481</v>
      </c>
      <c r="D193" s="8">
        <f>IFERROR(__xludf.DUMMYFUNCTION("""COMPUTED_VALUE"""),5.208333333333333E-4)</f>
        <v>0.0005208333333</v>
      </c>
      <c r="E193" s="6">
        <f>IFERROR(__xludf.DUMMYFUNCTION("""COMPUTED_VALUE"""),0.4467939814814816)</f>
        <v>0.4467939815</v>
      </c>
      <c r="F193" s="4" t="str">
        <f>IFERROR(__xludf.DUMMYFUNCTION("""COMPUTED_VALUE"""),"")</f>
        <v/>
      </c>
      <c r="G193" s="4" t="str">
        <f>IFERROR(__xludf.DUMMYFUNCTION("""COMPUTED_VALUE"""),"")</f>
        <v/>
      </c>
      <c r="H193" s="4" t="str">
        <f>IFERROR(__xludf.DUMMYFUNCTION("""COMPUTED_VALUE"""),"")</f>
        <v/>
      </c>
      <c r="I193" s="4" t="str">
        <f>IFERROR(__xludf.DUMMYFUNCTION("""COMPUTED_VALUE"""),"")</f>
        <v/>
      </c>
      <c r="J193" s="4" t="str">
        <f>IFERROR(__xludf.DUMMYFUNCTION("""COMPUTED_VALUE"""),"")</f>
        <v/>
      </c>
      <c r="K193" s="4" t="str">
        <f>IFERROR(__xludf.DUMMYFUNCTION("""COMPUTED_VALUE"""),"Web Summit Trailer - Full")</f>
        <v>Web Summit Trailer - Full</v>
      </c>
      <c r="L193" s="4" t="str">
        <f>IFERROR(__xludf.DUMMYFUNCTION("""COMPUTED_VALUE"""),"")</f>
        <v/>
      </c>
      <c r="M193" s="4" t="str">
        <f>IFERROR(__xludf.DUMMYFUNCTION("""COMPUTED_VALUE"""),"")</f>
        <v/>
      </c>
      <c r="N193" s="4" t="str">
        <f>IFERROR(__xludf.DUMMYFUNCTION("""COMPUTED_VALUE"""),"")</f>
        <v/>
      </c>
      <c r="O193" s="4" t="str">
        <f>IFERROR(__xludf.DUMMYFUNCTION("""COMPUTED_VALUE"""),"")</f>
        <v/>
      </c>
      <c r="P193" s="4" t="str">
        <f>IFERROR(__xludf.DUMMYFUNCTION("""COMPUTED_VALUE"""),"")</f>
        <v/>
      </c>
      <c r="Q193" s="4" t="str">
        <f>IFERROR(__xludf.DUMMYFUNCTION("""COMPUTED_VALUE"""),"")</f>
        <v/>
      </c>
      <c r="R193" s="4" t="str">
        <f>IFERROR(__xludf.DUMMYFUNCTION("""COMPUTED_VALUE"""),"")</f>
        <v/>
      </c>
    </row>
    <row r="194">
      <c r="A194" s="4" t="str">
        <f>IFERROR(__xludf.DUMMYFUNCTION("""COMPUTED_VALUE"""),"211 - Channel 5")</f>
        <v>211 - Channel 5</v>
      </c>
      <c r="B194" s="4" t="str">
        <f>IFERROR(__xludf.DUMMYFUNCTION("""COMPUTED_VALUE"""),"Day 3 - 25/06")</f>
        <v>Day 3 - 25/06</v>
      </c>
      <c r="C194" s="6">
        <f>IFERROR(__xludf.DUMMYFUNCTION("""COMPUTED_VALUE"""),0.4467939814814816)</f>
        <v>0.4467939815</v>
      </c>
      <c r="D194" s="8">
        <f>IFERROR(__xludf.DUMMYFUNCTION("""COMPUTED_VALUE"""),7.291666666666667E-4)</f>
        <v>0.0007291666667</v>
      </c>
      <c r="E194" s="6">
        <f>IFERROR(__xludf.DUMMYFUNCTION("""COMPUTED_VALUE"""),0.44752314814814825)</f>
        <v>0.4475231481</v>
      </c>
      <c r="F194" s="4" t="str">
        <f>IFERROR(__xludf.DUMMYFUNCTION("""COMPUTED_VALUE"""),"")</f>
        <v/>
      </c>
      <c r="G194" s="4" t="str">
        <f>IFERROR(__xludf.DUMMYFUNCTION("""COMPUTED_VALUE"""),"")</f>
        <v/>
      </c>
      <c r="H194" s="4" t="str">
        <f>IFERROR(__xludf.DUMMYFUNCTION("""COMPUTED_VALUE"""),"")</f>
        <v/>
      </c>
      <c r="I194" s="4" t="str">
        <f>IFERROR(__xludf.DUMMYFUNCTION("""COMPUTED_VALUE"""),"")</f>
        <v/>
      </c>
      <c r="J194" s="4" t="str">
        <f>IFERROR(__xludf.DUMMYFUNCTION("""COMPUTED_VALUE"""),"")</f>
        <v/>
      </c>
      <c r="K194" s="4" t="str">
        <f>IFERROR(__xludf.DUMMYFUNCTION("""COMPUTED_VALUE"""),"Holding Graphic")</f>
        <v>Holding Graphic</v>
      </c>
      <c r="L194" s="4" t="str">
        <f>IFERROR(__xludf.DUMMYFUNCTION("""COMPUTED_VALUE"""),"")</f>
        <v/>
      </c>
      <c r="M194" s="4" t="str">
        <f>IFERROR(__xludf.DUMMYFUNCTION("""COMPUTED_VALUE"""),"")</f>
        <v/>
      </c>
      <c r="N194" s="4" t="str">
        <f>IFERROR(__xludf.DUMMYFUNCTION("""COMPUTED_VALUE"""),"")</f>
        <v/>
      </c>
      <c r="O194" s="4" t="str">
        <f>IFERROR(__xludf.DUMMYFUNCTION("""COMPUTED_VALUE"""),"")</f>
        <v/>
      </c>
      <c r="P194" s="4" t="str">
        <f>IFERROR(__xludf.DUMMYFUNCTION("""COMPUTED_VALUE"""),"")</f>
        <v/>
      </c>
      <c r="Q194" s="4" t="str">
        <f>IFERROR(__xludf.DUMMYFUNCTION("""COMPUTED_VALUE"""),"")</f>
        <v/>
      </c>
      <c r="R194" s="4" t="str">
        <f>IFERROR(__xludf.DUMMYFUNCTION("""COMPUTED_VALUE"""),"")</f>
        <v/>
      </c>
    </row>
    <row r="195">
      <c r="A195" s="4" t="str">
        <f>IFERROR(__xludf.DUMMYFUNCTION("""COMPUTED_VALUE"""),"213 - Channel 5")</f>
        <v>213 - Channel 5</v>
      </c>
      <c r="B195" s="4" t="str">
        <f>IFERROR(__xludf.DUMMYFUNCTION("""COMPUTED_VALUE"""),"Day 3 - 25/06")</f>
        <v>Day 3 - 25/06</v>
      </c>
      <c r="C195" s="6">
        <f>IFERROR(__xludf.DUMMYFUNCTION("""COMPUTED_VALUE"""),0.44752314814814825)</f>
        <v>0.4475231481</v>
      </c>
      <c r="D195" s="8">
        <f>IFERROR(__xludf.DUMMYFUNCTION("""COMPUTED_VALUE"""),3.4722222222222224E-4)</f>
        <v>0.0003472222222</v>
      </c>
      <c r="E195" s="6">
        <f>IFERROR(__xludf.DUMMYFUNCTION("""COMPUTED_VALUE"""),0.4478703703703705)</f>
        <v>0.4478703704</v>
      </c>
      <c r="F195" s="4" t="str">
        <f>IFERROR(__xludf.DUMMYFUNCTION("""COMPUTED_VALUE"""),"")</f>
        <v/>
      </c>
      <c r="G195" s="4" t="str">
        <f>IFERROR(__xludf.DUMMYFUNCTION("""COMPUTED_VALUE"""),"")</f>
        <v/>
      </c>
      <c r="H195" s="4" t="str">
        <f>IFERROR(__xludf.DUMMYFUNCTION("""COMPUTED_VALUE"""),"")</f>
        <v/>
      </c>
      <c r="I195" s="4" t="str">
        <f>IFERROR(__xludf.DUMMYFUNCTION("""COMPUTED_VALUE"""),"")</f>
        <v/>
      </c>
      <c r="J195" s="4" t="str">
        <f>IFERROR(__xludf.DUMMYFUNCTION("""COMPUTED_VALUE"""),"")</f>
        <v/>
      </c>
      <c r="K195" s="4" t="str">
        <f>IFERROR(__xludf.DUMMYFUNCTION("""COMPUTED_VALUE"""),"Talk Intro")</f>
        <v>Talk Intro</v>
      </c>
      <c r="L195" s="4" t="str">
        <f>IFERROR(__xludf.DUMMYFUNCTION("""COMPUTED_VALUE"""),"")</f>
        <v/>
      </c>
      <c r="M195" s="4" t="str">
        <f>IFERROR(__xludf.DUMMYFUNCTION("""COMPUTED_VALUE"""),"")</f>
        <v/>
      </c>
      <c r="N195" s="4" t="str">
        <f>IFERROR(__xludf.DUMMYFUNCTION("""COMPUTED_VALUE"""),"")</f>
        <v/>
      </c>
      <c r="O195" s="4" t="str">
        <f>IFERROR(__xludf.DUMMYFUNCTION("""COMPUTED_VALUE"""),"")</f>
        <v/>
      </c>
      <c r="P195" s="4" t="str">
        <f>IFERROR(__xludf.DUMMYFUNCTION("""COMPUTED_VALUE"""),"")</f>
        <v/>
      </c>
      <c r="Q195" s="4" t="str">
        <f>IFERROR(__xludf.DUMMYFUNCTION("""COMPUTED_VALUE"""),"")</f>
        <v/>
      </c>
      <c r="R195" s="4" t="str">
        <f>IFERROR(__xludf.DUMMYFUNCTION("""COMPUTED_VALUE"""),"")</f>
        <v/>
      </c>
    </row>
    <row r="196">
      <c r="A196" s="4" t="str">
        <f>IFERROR(__xludf.DUMMYFUNCTION("""COMPUTED_VALUE"""),"214 - Channel 5")</f>
        <v>214 - Channel 5</v>
      </c>
      <c r="B196" s="4" t="str">
        <f>IFERROR(__xludf.DUMMYFUNCTION("""COMPUTED_VALUE"""),"Day 3 - 25/06")</f>
        <v>Day 3 - 25/06</v>
      </c>
      <c r="C196" s="6">
        <f>IFERROR(__xludf.DUMMYFUNCTION("""COMPUTED_VALUE"""),0.4478703703703705)</f>
        <v>0.4478703704</v>
      </c>
      <c r="D196" s="8">
        <f>IFERROR(__xludf.DUMMYFUNCTION("""COMPUTED_VALUE"""),0.019363425925925926)</f>
        <v>0.01936342593</v>
      </c>
      <c r="E196" s="6">
        <f>IFERROR(__xludf.DUMMYFUNCTION("""COMPUTED_VALUE"""),0.4672337962962964)</f>
        <v>0.4672337963</v>
      </c>
      <c r="F196" s="4" t="str">
        <f>IFERROR(__xludf.DUMMYFUNCTION("""COMPUTED_VALUE"""),"Politics")</f>
        <v>Politics</v>
      </c>
      <c r="G196" s="4" t="str">
        <f>IFERROR(__xludf.DUMMYFUNCTION("""COMPUTED_VALUE"""),"Web Summit 2019")</f>
        <v>Web Summit 2019</v>
      </c>
      <c r="H196" s="21" t="str">
        <f>IFERROR(__xludf.DUMMYFUNCTION("""COMPUTED_VALUE"""),"https://vimeo.com/showcase/6551539/video/371443930")</f>
        <v>https://vimeo.com/showcase/6551539/video/371443930</v>
      </c>
      <c r="I196" s="4" t="str">
        <f>IFERROR(__xludf.DUMMYFUNCTION("""COMPUTED_VALUE"""),"Begin at 00:36 to the end.")</f>
        <v>Begin at 00:36 to the end.</v>
      </c>
      <c r="J196" s="4" t="str">
        <f>IFERROR(__xludf.DUMMYFUNCTION("""COMPUTED_VALUE"""),"No")</f>
        <v>No</v>
      </c>
      <c r="K196" s="4" t="str">
        <f>IFERROR(__xludf.DUMMYFUNCTION("""COMPUTED_VALUE"""),"Tony Blair and Ro Khanna discuss making tech work for the many")</f>
        <v>Tony Blair and Ro Khanna discuss making tech work for the many</v>
      </c>
      <c r="L196" s="4" t="str">
        <f>IFERROR(__xludf.DUMMYFUNCTION("""COMPUTED_VALUE"""),"Tony Blair, Tony Blair Global Institute")</f>
        <v>Tony Blair, Tony Blair Global Institute</v>
      </c>
      <c r="M196" s="4" t="str">
        <f>IFERROR(__xludf.DUMMYFUNCTION("""COMPUTED_VALUE"""),"Ro Khanna, US House of Representatives")</f>
        <v>Ro Khanna, US House of Representatives</v>
      </c>
      <c r="N196" s="4" t="str">
        <f>IFERROR(__xludf.DUMMYFUNCTION("""COMPUTED_VALUE"""),"")</f>
        <v/>
      </c>
      <c r="O196" s="4" t="str">
        <f>IFERROR(__xludf.DUMMYFUNCTION("""COMPUTED_VALUE"""),"")</f>
        <v/>
      </c>
      <c r="P196" s="4" t="str">
        <f>IFERROR(__xludf.DUMMYFUNCTION("""COMPUTED_VALUE"""),"")</f>
        <v/>
      </c>
      <c r="Q196" s="4" t="str">
        <f>IFERROR(__xludf.DUMMYFUNCTION("""COMPUTED_VALUE"""),"Making tech inclusive for all is a challenge that Ro Khanna and Tony Blair have pursued on either side of the Atlantic. At Web Summit 2019, they told us how they use policy to break tech out of its bubble and bring it to the masses.")</f>
        <v>Making tech inclusive for all is a challenge that Ro Khanna and Tony Blair have pursued on either side of the Atlantic. At Web Summit 2019, they told us how they use policy to break tech out of its bubble and bring it to the masses.</v>
      </c>
      <c r="R196" s="4" t="str">
        <f>IFERROR(__xludf.DUMMYFUNCTION("""COMPUTED_VALUE"""),"")</f>
        <v/>
      </c>
    </row>
    <row r="197">
      <c r="A197" s="4" t="str">
        <f>IFERROR(__xludf.DUMMYFUNCTION("""COMPUTED_VALUE"""),"215 - Channel 5")</f>
        <v>215 - Channel 5</v>
      </c>
      <c r="B197" s="4" t="str">
        <f>IFERROR(__xludf.DUMMYFUNCTION("""COMPUTED_VALUE"""),"Day 3 - 25/06")</f>
        <v>Day 3 - 25/06</v>
      </c>
      <c r="C197" s="6">
        <f>IFERROR(__xludf.DUMMYFUNCTION("""COMPUTED_VALUE"""),0.4672337962962964)</f>
        <v>0.4672337963</v>
      </c>
      <c r="D197" s="8">
        <f>IFERROR(__xludf.DUMMYFUNCTION("""COMPUTED_VALUE"""),1.7361111111111112E-4)</f>
        <v>0.0001736111111</v>
      </c>
      <c r="E197" s="6">
        <f>IFERROR(__xludf.DUMMYFUNCTION("""COMPUTED_VALUE"""),0.46740740740740755)</f>
        <v>0.4674074074</v>
      </c>
      <c r="F197" s="4" t="str">
        <f>IFERROR(__xludf.DUMMYFUNCTION("""COMPUTED_VALUE"""),"")</f>
        <v/>
      </c>
      <c r="G197" s="4" t="str">
        <f>IFERROR(__xludf.DUMMYFUNCTION("""COMPUTED_VALUE"""),"")</f>
        <v/>
      </c>
      <c r="H197" s="4" t="str">
        <f>IFERROR(__xludf.DUMMYFUNCTION("""COMPUTED_VALUE"""),"")</f>
        <v/>
      </c>
      <c r="I197" s="4" t="str">
        <f>IFERROR(__xludf.DUMMYFUNCTION("""COMPUTED_VALUE"""),"")</f>
        <v/>
      </c>
      <c r="J197" s="4" t="str">
        <f>IFERROR(__xludf.DUMMYFUNCTION("""COMPUTED_VALUE"""),"")</f>
        <v/>
      </c>
      <c r="K197" s="4" t="str">
        <f>IFERROR(__xludf.DUMMYFUNCTION("""COMPUTED_VALUE"""),"Talk Outro")</f>
        <v>Talk Outro</v>
      </c>
      <c r="L197" s="4" t="str">
        <f>IFERROR(__xludf.DUMMYFUNCTION("""COMPUTED_VALUE"""),"")</f>
        <v/>
      </c>
      <c r="M197" s="4" t="str">
        <f>IFERROR(__xludf.DUMMYFUNCTION("""COMPUTED_VALUE"""),"")</f>
        <v/>
      </c>
      <c r="N197" s="4" t="str">
        <f>IFERROR(__xludf.DUMMYFUNCTION("""COMPUTED_VALUE"""),"")</f>
        <v/>
      </c>
      <c r="O197" s="4" t="str">
        <f>IFERROR(__xludf.DUMMYFUNCTION("""COMPUTED_VALUE"""),"")</f>
        <v/>
      </c>
      <c r="P197" s="4" t="str">
        <f>IFERROR(__xludf.DUMMYFUNCTION("""COMPUTED_VALUE"""),"")</f>
        <v/>
      </c>
      <c r="Q197" s="4" t="str">
        <f>IFERROR(__xludf.DUMMYFUNCTION("""COMPUTED_VALUE"""),"")</f>
        <v/>
      </c>
      <c r="R197" s="4" t="str">
        <f>IFERROR(__xludf.DUMMYFUNCTION("""COMPUTED_VALUE"""),"")</f>
        <v/>
      </c>
    </row>
    <row r="198">
      <c r="A198" s="4" t="str">
        <f>IFERROR(__xludf.DUMMYFUNCTION("""COMPUTED_VALUE"""),"217 - Channel 5")</f>
        <v>217 - Channel 5</v>
      </c>
      <c r="B198" s="4" t="str">
        <f>IFERROR(__xludf.DUMMYFUNCTION("""COMPUTED_VALUE"""),"Day 3 - 25/06")</f>
        <v>Day 3 - 25/06</v>
      </c>
      <c r="C198" s="6">
        <f>IFERROR(__xludf.DUMMYFUNCTION("""COMPUTED_VALUE"""),0.46740740740740755)</f>
        <v>0.4674074074</v>
      </c>
      <c r="D198" s="8">
        <f>IFERROR(__xludf.DUMMYFUNCTION("""COMPUTED_VALUE"""),3.4722222222222224E-4)</f>
        <v>0.0003472222222</v>
      </c>
      <c r="E198" s="6">
        <f>IFERROR(__xludf.DUMMYFUNCTION("""COMPUTED_VALUE"""),0.46775462962962977)</f>
        <v>0.4677546296</v>
      </c>
      <c r="F198" s="4" t="str">
        <f>IFERROR(__xludf.DUMMYFUNCTION("""COMPUTED_VALUE"""),"")</f>
        <v/>
      </c>
      <c r="G198" s="4" t="str">
        <f>IFERROR(__xludf.DUMMYFUNCTION("""COMPUTED_VALUE"""),"")</f>
        <v/>
      </c>
      <c r="H198" s="4" t="str">
        <f>IFERROR(__xludf.DUMMYFUNCTION("""COMPUTED_VALUE"""),"")</f>
        <v/>
      </c>
      <c r="I198" s="4" t="str">
        <f>IFERROR(__xludf.DUMMYFUNCTION("""COMPUTED_VALUE"""),"")</f>
        <v/>
      </c>
      <c r="J198" s="4" t="str">
        <f>IFERROR(__xludf.DUMMYFUNCTION("""COMPUTED_VALUE"""),"")</f>
        <v/>
      </c>
      <c r="K198" s="4" t="str">
        <f>IFERROR(__xludf.DUMMYFUNCTION("""COMPUTED_VALUE"""),"Talk Intro")</f>
        <v>Talk Intro</v>
      </c>
      <c r="L198" s="4" t="str">
        <f>IFERROR(__xludf.DUMMYFUNCTION("""COMPUTED_VALUE"""),"")</f>
        <v/>
      </c>
      <c r="M198" s="4" t="str">
        <f>IFERROR(__xludf.DUMMYFUNCTION("""COMPUTED_VALUE"""),"")</f>
        <v/>
      </c>
      <c r="N198" s="4" t="str">
        <f>IFERROR(__xludf.DUMMYFUNCTION("""COMPUTED_VALUE"""),"")</f>
        <v/>
      </c>
      <c r="O198" s="4" t="str">
        <f>IFERROR(__xludf.DUMMYFUNCTION("""COMPUTED_VALUE"""),"")</f>
        <v/>
      </c>
      <c r="P198" s="4" t="str">
        <f>IFERROR(__xludf.DUMMYFUNCTION("""COMPUTED_VALUE"""),"")</f>
        <v/>
      </c>
      <c r="Q198" s="4" t="str">
        <f>IFERROR(__xludf.DUMMYFUNCTION("""COMPUTED_VALUE"""),"")</f>
        <v/>
      </c>
      <c r="R198" s="4" t="str">
        <f>IFERROR(__xludf.DUMMYFUNCTION("""COMPUTED_VALUE"""),"")</f>
        <v/>
      </c>
    </row>
    <row r="199">
      <c r="A199" s="4" t="str">
        <f>IFERROR(__xludf.DUMMYFUNCTION("""COMPUTED_VALUE"""),"218 - Channel 5")</f>
        <v>218 - Channel 5</v>
      </c>
      <c r="B199" s="4" t="str">
        <f>IFERROR(__xludf.DUMMYFUNCTION("""COMPUTED_VALUE"""),"Day 3 - 25/06")</f>
        <v>Day 3 - 25/06</v>
      </c>
      <c r="C199" s="6">
        <f>IFERROR(__xludf.DUMMYFUNCTION("""COMPUTED_VALUE"""),0.46775462962962977)</f>
        <v>0.4677546296</v>
      </c>
      <c r="D199" s="8">
        <f>IFERROR(__xludf.DUMMYFUNCTION("""COMPUTED_VALUE"""),0.00912037037037037)</f>
        <v>0.00912037037</v>
      </c>
      <c r="E199" s="6">
        <f>IFERROR(__xludf.DUMMYFUNCTION("""COMPUTED_VALUE"""),0.47687500000000016)</f>
        <v>0.476875</v>
      </c>
      <c r="F199" s="4" t="str">
        <f>IFERROR(__xludf.DUMMYFUNCTION("""COMPUTED_VALUE"""),"Society")</f>
        <v>Society</v>
      </c>
      <c r="G199" s="4" t="str">
        <f>IFERROR(__xludf.DUMMYFUNCTION("""COMPUTED_VALUE"""),"Web Summit 2014")</f>
        <v>Web Summit 2014</v>
      </c>
      <c r="H199" s="21" t="str">
        <f>IFERROR(__xludf.DUMMYFUNCTION("""COMPUTED_VALUE"""),"https://www.youtube.com/watch?v=YzOsxCPL4q8")</f>
        <v>https://www.youtube.com/watch?v=YzOsxCPL4q8</v>
      </c>
      <c r="I199" s="4" t="str">
        <f>IFERROR(__xludf.DUMMYFUNCTION("""COMPUTED_VALUE"""),"Start at 3 seconds. Cover coming up banner from 2:17-2:30. Cover banner from 7:16-7:36. Cover banner from 10:38-10:58. Finish 13:11.")</f>
        <v>Start at 3 seconds. Cover coming up banner from 2:17-2:30. Cover banner from 7:16-7:36. Cover banner from 10:38-10:58. Finish 13:11.</v>
      </c>
      <c r="J199" s="4" t="str">
        <f>IFERROR(__xludf.DUMMYFUNCTION("""COMPUTED_VALUE"""),"No")</f>
        <v>No</v>
      </c>
      <c r="K199" s="4" t="str">
        <f>IFERROR(__xludf.DUMMYFUNCTION("""COMPUTED_VALUE"""),"Eva Longoria faces the 'isms'")</f>
        <v>Eva Longoria faces the 'isms'</v>
      </c>
      <c r="L199" s="4" t="str">
        <f>IFERROR(__xludf.DUMMYFUNCTION("""COMPUTED_VALUE"""),"Eva Longoria, Eva Longoria")</f>
        <v>Eva Longoria, Eva Longoria</v>
      </c>
      <c r="M199" s="4" t="str">
        <f>IFERROR(__xludf.DUMMYFUNCTION("""COMPUTED_VALUE"""),"")</f>
        <v/>
      </c>
      <c r="N199" s="4" t="str">
        <f>IFERROR(__xludf.DUMMYFUNCTION("""COMPUTED_VALUE"""),"")</f>
        <v/>
      </c>
      <c r="O199" s="4" t="str">
        <f>IFERROR(__xludf.DUMMYFUNCTION("""COMPUTED_VALUE"""),"")</f>
        <v/>
      </c>
      <c r="P199" s="4" t="str">
        <f>IFERROR(__xludf.DUMMYFUNCTION("""COMPUTED_VALUE"""),"")</f>
        <v/>
      </c>
      <c r="Q199" s="4" t="str">
        <f>IFERROR(__xludf.DUMMYFUNCTION("""COMPUTED_VALUE"""),"You know Eva Longoria as a glamorous Hollywood star. Yet the politically active philanthropist took to the stage to shed light on how we can use tech to help the less privileged.")</f>
        <v>You know Eva Longoria as a glamorous Hollywood star. Yet the politically active philanthropist took to the stage to shed light on how we can use tech to help the less privileged.</v>
      </c>
      <c r="R199" s="4" t="str">
        <f>IFERROR(__xludf.DUMMYFUNCTION("""COMPUTED_VALUE"""),"")</f>
        <v/>
      </c>
    </row>
    <row r="200">
      <c r="A200" s="4" t="str">
        <f>IFERROR(__xludf.DUMMYFUNCTION("""COMPUTED_VALUE"""),"219 - Channel 5")</f>
        <v>219 - Channel 5</v>
      </c>
      <c r="B200" s="4" t="str">
        <f>IFERROR(__xludf.DUMMYFUNCTION("""COMPUTED_VALUE"""),"Day 3 - 25/06")</f>
        <v>Day 3 - 25/06</v>
      </c>
      <c r="C200" s="6">
        <f>IFERROR(__xludf.DUMMYFUNCTION("""COMPUTED_VALUE"""),0.47687500000000016)</f>
        <v>0.476875</v>
      </c>
      <c r="D200" s="8">
        <f>IFERROR(__xludf.DUMMYFUNCTION("""COMPUTED_VALUE"""),1.7361111111111112E-4)</f>
        <v>0.0001736111111</v>
      </c>
      <c r="E200" s="6">
        <f>IFERROR(__xludf.DUMMYFUNCTION("""COMPUTED_VALUE"""),0.4770486111111113)</f>
        <v>0.4770486111</v>
      </c>
      <c r="F200" s="4" t="str">
        <f>IFERROR(__xludf.DUMMYFUNCTION("""COMPUTED_VALUE"""),"")</f>
        <v/>
      </c>
      <c r="G200" s="4" t="str">
        <f>IFERROR(__xludf.DUMMYFUNCTION("""COMPUTED_VALUE"""),"")</f>
        <v/>
      </c>
      <c r="H200" s="4" t="str">
        <f>IFERROR(__xludf.DUMMYFUNCTION("""COMPUTED_VALUE"""),"")</f>
        <v/>
      </c>
      <c r="I200" s="4" t="str">
        <f>IFERROR(__xludf.DUMMYFUNCTION("""COMPUTED_VALUE"""),"")</f>
        <v/>
      </c>
      <c r="J200" s="4" t="str">
        <f>IFERROR(__xludf.DUMMYFUNCTION("""COMPUTED_VALUE"""),"")</f>
        <v/>
      </c>
      <c r="K200" s="4" t="str">
        <f>IFERROR(__xludf.DUMMYFUNCTION("""COMPUTED_VALUE"""),"Talk Outro")</f>
        <v>Talk Outro</v>
      </c>
      <c r="L200" s="4" t="str">
        <f>IFERROR(__xludf.DUMMYFUNCTION("""COMPUTED_VALUE"""),"")</f>
        <v/>
      </c>
      <c r="M200" s="4" t="str">
        <f>IFERROR(__xludf.DUMMYFUNCTION("""COMPUTED_VALUE"""),"")</f>
        <v/>
      </c>
      <c r="N200" s="4" t="str">
        <f>IFERROR(__xludf.DUMMYFUNCTION("""COMPUTED_VALUE"""),"")</f>
        <v/>
      </c>
      <c r="O200" s="4" t="str">
        <f>IFERROR(__xludf.DUMMYFUNCTION("""COMPUTED_VALUE"""),"")</f>
        <v/>
      </c>
      <c r="P200" s="4" t="str">
        <f>IFERROR(__xludf.DUMMYFUNCTION("""COMPUTED_VALUE"""),"")</f>
        <v/>
      </c>
      <c r="Q200" s="4" t="str">
        <f>IFERROR(__xludf.DUMMYFUNCTION("""COMPUTED_VALUE"""),"")</f>
        <v/>
      </c>
      <c r="R200" s="4" t="str">
        <f>IFERROR(__xludf.DUMMYFUNCTION("""COMPUTED_VALUE"""),"")</f>
        <v/>
      </c>
    </row>
    <row r="201">
      <c r="A201" s="4" t="str">
        <f>IFERROR(__xludf.DUMMYFUNCTION("""COMPUTED_VALUE"""),"220 - Channel 5")</f>
        <v>220 - Channel 5</v>
      </c>
      <c r="B201" s="4" t="str">
        <f>IFERROR(__xludf.DUMMYFUNCTION("""COMPUTED_VALUE"""),"Day 3 - 25/06")</f>
        <v>Day 3 - 25/06</v>
      </c>
      <c r="C201" s="6">
        <f>IFERROR(__xludf.DUMMYFUNCTION("""COMPUTED_VALUE"""),0.4770486111111113)</f>
        <v>0.4770486111</v>
      </c>
      <c r="D201" s="8">
        <f>IFERROR(__xludf.DUMMYFUNCTION("""COMPUTED_VALUE"""),3.4722222222222224E-4)</f>
        <v>0.0003472222222</v>
      </c>
      <c r="E201" s="6">
        <f>IFERROR(__xludf.DUMMYFUNCTION("""COMPUTED_VALUE"""),0.4773958333333335)</f>
        <v>0.4773958333</v>
      </c>
      <c r="F201" s="4" t="str">
        <f>IFERROR(__xludf.DUMMYFUNCTION("""COMPUTED_VALUE"""),"")</f>
        <v/>
      </c>
      <c r="G201" s="4" t="str">
        <f>IFERROR(__xludf.DUMMYFUNCTION("""COMPUTED_VALUE"""),"")</f>
        <v/>
      </c>
      <c r="H201" s="4" t="str">
        <f>IFERROR(__xludf.DUMMYFUNCTION("""COMPUTED_VALUE"""),"")</f>
        <v/>
      </c>
      <c r="I201" s="4" t="str">
        <f>IFERROR(__xludf.DUMMYFUNCTION("""COMPUTED_VALUE"""),"")</f>
        <v/>
      </c>
      <c r="J201" s="4" t="str">
        <f>IFERROR(__xludf.DUMMYFUNCTION("""COMPUTED_VALUE"""),"")</f>
        <v/>
      </c>
      <c r="K201" s="4" t="str">
        <f>IFERROR(__xludf.DUMMYFUNCTION("""COMPUTED_VALUE"""),"Web Summit Trailer - Short")</f>
        <v>Web Summit Trailer - Short</v>
      </c>
      <c r="L201" s="4" t="str">
        <f>IFERROR(__xludf.DUMMYFUNCTION("""COMPUTED_VALUE"""),"")</f>
        <v/>
      </c>
      <c r="M201" s="4" t="str">
        <f>IFERROR(__xludf.DUMMYFUNCTION("""COMPUTED_VALUE"""),"")</f>
        <v/>
      </c>
      <c r="N201" s="4" t="str">
        <f>IFERROR(__xludf.DUMMYFUNCTION("""COMPUTED_VALUE"""),"")</f>
        <v/>
      </c>
      <c r="O201" s="4" t="str">
        <f>IFERROR(__xludf.DUMMYFUNCTION("""COMPUTED_VALUE"""),"")</f>
        <v/>
      </c>
      <c r="P201" s="4" t="str">
        <f>IFERROR(__xludf.DUMMYFUNCTION("""COMPUTED_VALUE"""),"")</f>
        <v/>
      </c>
      <c r="Q201" s="4" t="str">
        <f>IFERROR(__xludf.DUMMYFUNCTION("""COMPUTED_VALUE"""),"")</f>
        <v/>
      </c>
      <c r="R201" s="4" t="str">
        <f>IFERROR(__xludf.DUMMYFUNCTION("""COMPUTED_VALUE"""),"")</f>
        <v/>
      </c>
    </row>
    <row r="202">
      <c r="A202" s="4" t="str">
        <f>IFERROR(__xludf.DUMMYFUNCTION("""COMPUTED_VALUE"""),"221 - Channel 5")</f>
        <v>221 - Channel 5</v>
      </c>
      <c r="B202" s="4" t="str">
        <f>IFERROR(__xludf.DUMMYFUNCTION("""COMPUTED_VALUE"""),"Day 3 - 25/06")</f>
        <v>Day 3 - 25/06</v>
      </c>
      <c r="C202" s="6">
        <f>IFERROR(__xludf.DUMMYFUNCTION("""COMPUTED_VALUE"""),0.4773958333333335)</f>
        <v>0.4773958333</v>
      </c>
      <c r="D202" s="8">
        <f>IFERROR(__xludf.DUMMYFUNCTION("""COMPUTED_VALUE"""),3.4722222222222224E-4)</f>
        <v>0.0003472222222</v>
      </c>
      <c r="E202" s="6">
        <f>IFERROR(__xludf.DUMMYFUNCTION("""COMPUTED_VALUE"""),0.47774305555555574)</f>
        <v>0.4777430556</v>
      </c>
      <c r="F202" s="4" t="str">
        <f>IFERROR(__xludf.DUMMYFUNCTION("""COMPUTED_VALUE"""),"")</f>
        <v/>
      </c>
      <c r="G202" s="4" t="str">
        <f>IFERROR(__xludf.DUMMYFUNCTION("""COMPUTED_VALUE"""),"")</f>
        <v/>
      </c>
      <c r="H202" s="4" t="str">
        <f>IFERROR(__xludf.DUMMYFUNCTION("""COMPUTED_VALUE"""),"")</f>
        <v/>
      </c>
      <c r="I202" s="4" t="str">
        <f>IFERROR(__xludf.DUMMYFUNCTION("""COMPUTED_VALUE"""),"")</f>
        <v/>
      </c>
      <c r="J202" s="4" t="str">
        <f>IFERROR(__xludf.DUMMYFUNCTION("""COMPUTED_VALUE"""),"")</f>
        <v/>
      </c>
      <c r="K202" s="4" t="str">
        <f>IFERROR(__xludf.DUMMYFUNCTION("""COMPUTED_VALUE"""),"Talk Intro")</f>
        <v>Talk Intro</v>
      </c>
      <c r="L202" s="4" t="str">
        <f>IFERROR(__xludf.DUMMYFUNCTION("""COMPUTED_VALUE"""),"")</f>
        <v/>
      </c>
      <c r="M202" s="4" t="str">
        <f>IFERROR(__xludf.DUMMYFUNCTION("""COMPUTED_VALUE"""),"")</f>
        <v/>
      </c>
      <c r="N202" s="4" t="str">
        <f>IFERROR(__xludf.DUMMYFUNCTION("""COMPUTED_VALUE"""),"")</f>
        <v/>
      </c>
      <c r="O202" s="4" t="str">
        <f>IFERROR(__xludf.DUMMYFUNCTION("""COMPUTED_VALUE"""),"")</f>
        <v/>
      </c>
      <c r="P202" s="4" t="str">
        <f>IFERROR(__xludf.DUMMYFUNCTION("""COMPUTED_VALUE"""),"")</f>
        <v/>
      </c>
      <c r="Q202" s="4" t="str">
        <f>IFERROR(__xludf.DUMMYFUNCTION("""COMPUTED_VALUE"""),"")</f>
        <v/>
      </c>
      <c r="R202" s="4" t="str">
        <f>IFERROR(__xludf.DUMMYFUNCTION("""COMPUTED_VALUE"""),"")</f>
        <v/>
      </c>
    </row>
    <row r="203">
      <c r="A203" s="4" t="str">
        <f>IFERROR(__xludf.DUMMYFUNCTION("""COMPUTED_VALUE"""),"222 - Channel 5")</f>
        <v>222 - Channel 5</v>
      </c>
      <c r="B203" s="4" t="str">
        <f>IFERROR(__xludf.DUMMYFUNCTION("""COMPUTED_VALUE"""),"Day 3 - 25/06")</f>
        <v>Day 3 - 25/06</v>
      </c>
      <c r="C203" s="6">
        <f>IFERROR(__xludf.DUMMYFUNCTION("""COMPUTED_VALUE"""),0.47774305555555574)</f>
        <v>0.4777430556</v>
      </c>
      <c r="D203" s="8">
        <f>IFERROR(__xludf.DUMMYFUNCTION("""COMPUTED_VALUE"""),0.006944444444444444)</f>
        <v>0.006944444444</v>
      </c>
      <c r="E203" s="6">
        <f>IFERROR(__xludf.DUMMYFUNCTION("""COMPUTED_VALUE"""),0.48468750000000016)</f>
        <v>0.4846875</v>
      </c>
      <c r="F203" s="4" t="str">
        <f>IFERROR(__xludf.DUMMYFUNCTION("""COMPUTED_VALUE"""),"Media")</f>
        <v>Media</v>
      </c>
      <c r="G203" s="4" t="str">
        <f>IFERROR(__xludf.DUMMYFUNCTION("""COMPUTED_VALUE"""),"")</f>
        <v/>
      </c>
      <c r="H203" s="4" t="str">
        <f>IFERROR(__xludf.DUMMYFUNCTION("""COMPUTED_VALUE"""),"")</f>
        <v/>
      </c>
      <c r="I203" s="4" t="str">
        <f>IFERROR(__xludf.DUMMYFUNCTION("""COMPUTED_VALUE"""),"")</f>
        <v/>
      </c>
      <c r="J203" s="4" t="str">
        <f>IFERROR(__xludf.DUMMYFUNCTION("""COMPUTED_VALUE"""),"No")</f>
        <v>No</v>
      </c>
      <c r="K203" s="4" t="str">
        <f>IFERROR(__xludf.DUMMYFUNCTION("""COMPUTED_VALUE"""),"Top 5 actors")</f>
        <v>Top 5 actors</v>
      </c>
      <c r="L203" s="4" t="str">
        <f>IFERROR(__xludf.DUMMYFUNCTION("""COMPUTED_VALUE"""),"Seth Rogen, Houseplant")</f>
        <v>Seth Rogen, Houseplant</v>
      </c>
      <c r="M203" s="4" t="str">
        <f>IFERROR(__xludf.DUMMYFUNCTION("""COMPUTED_VALUE"""),"Eva Longoria, Eva Longoria")</f>
        <v>Eva Longoria, Eva Longoria</v>
      </c>
      <c r="N203" s="4" t="str">
        <f>IFERROR(__xludf.DUMMYFUNCTION("""COMPUTED_VALUE"""),"Joseph Gordon-Levitt, HITRECORD")</f>
        <v>Joseph Gordon-Levitt, HITRECORD</v>
      </c>
      <c r="O203" s="4" t="str">
        <f>IFERROR(__xludf.DUMMYFUNCTION("""COMPUTED_VALUE"""),"Rosario Dawson, Studio 189")</f>
        <v>Rosario Dawson, Studio 189</v>
      </c>
      <c r="P203" s="4" t="str">
        <f>IFERROR(__xludf.DUMMYFUNCTION("""COMPUTED_VALUE"""),"Ian Somerhalder, Ian Somerhalder")</f>
        <v>Ian Somerhalder, Ian Somerhalder</v>
      </c>
      <c r="Q203" s="4" t="str">
        <f>IFERROR(__xludf.DUMMYFUNCTION("""COMPUTED_VALUE"""),"Featuring Seth Rogen, Eva Longoria, Joseph Gordon-Levitt, Rosario Dawson and Ian Somerhalder. These next five speakers have been in some of the best movies and TV shows around. From Desperate Housewives to Superbad, from Inception to the Vampire Diaries –"&amp;" these five have done it all!")</f>
        <v>Featuring Seth Rogen, Eva Longoria, Joseph Gordon-Levitt, Rosario Dawson and Ian Somerhalder. These next five speakers have been in some of the best movies and TV shows around. From Desperate Housewives to Superbad, from Inception to the Vampire Diaries – these five have done it all!</v>
      </c>
      <c r="R203" s="4" t="str">
        <f>IFERROR(__xludf.DUMMYFUNCTION("""COMPUTED_VALUE"""),"")</f>
        <v/>
      </c>
    </row>
    <row r="204">
      <c r="A204" s="4" t="str">
        <f>IFERROR(__xludf.DUMMYFUNCTION("""COMPUTED_VALUE"""),"223 - Channel 5")</f>
        <v>223 - Channel 5</v>
      </c>
      <c r="B204" s="4" t="str">
        <f>IFERROR(__xludf.DUMMYFUNCTION("""COMPUTED_VALUE"""),"Day 3 - 25/06")</f>
        <v>Day 3 - 25/06</v>
      </c>
      <c r="C204" s="6">
        <f>IFERROR(__xludf.DUMMYFUNCTION("""COMPUTED_VALUE"""),0.48468750000000016)</f>
        <v>0.4846875</v>
      </c>
      <c r="D204" s="8">
        <f>IFERROR(__xludf.DUMMYFUNCTION("""COMPUTED_VALUE"""),1.7361111111111112E-4)</f>
        <v>0.0001736111111</v>
      </c>
      <c r="E204" s="6">
        <f>IFERROR(__xludf.DUMMYFUNCTION("""COMPUTED_VALUE"""),0.4848611111111113)</f>
        <v>0.4848611111</v>
      </c>
      <c r="F204" s="4" t="str">
        <f>IFERROR(__xludf.DUMMYFUNCTION("""COMPUTED_VALUE"""),"")</f>
        <v/>
      </c>
      <c r="G204" s="4" t="str">
        <f>IFERROR(__xludf.DUMMYFUNCTION("""COMPUTED_VALUE"""),"")</f>
        <v/>
      </c>
      <c r="H204" s="4" t="str">
        <f>IFERROR(__xludf.DUMMYFUNCTION("""COMPUTED_VALUE"""),"")</f>
        <v/>
      </c>
      <c r="I204" s="4" t="str">
        <f>IFERROR(__xludf.DUMMYFUNCTION("""COMPUTED_VALUE"""),"")</f>
        <v/>
      </c>
      <c r="J204" s="4" t="str">
        <f>IFERROR(__xludf.DUMMYFUNCTION("""COMPUTED_VALUE"""),"")</f>
        <v/>
      </c>
      <c r="K204" s="4" t="str">
        <f>IFERROR(__xludf.DUMMYFUNCTION("""COMPUTED_VALUE"""),"Talk Outro")</f>
        <v>Talk Outro</v>
      </c>
      <c r="L204" s="4" t="str">
        <f>IFERROR(__xludf.DUMMYFUNCTION("""COMPUTED_VALUE"""),"")</f>
        <v/>
      </c>
      <c r="M204" s="4" t="str">
        <f>IFERROR(__xludf.DUMMYFUNCTION("""COMPUTED_VALUE"""),"")</f>
        <v/>
      </c>
      <c r="N204" s="4" t="str">
        <f>IFERROR(__xludf.DUMMYFUNCTION("""COMPUTED_VALUE"""),"")</f>
        <v/>
      </c>
      <c r="O204" s="4" t="str">
        <f>IFERROR(__xludf.DUMMYFUNCTION("""COMPUTED_VALUE"""),"")</f>
        <v/>
      </c>
      <c r="P204" s="4" t="str">
        <f>IFERROR(__xludf.DUMMYFUNCTION("""COMPUTED_VALUE"""),"")</f>
        <v/>
      </c>
      <c r="Q204" s="4" t="str">
        <f>IFERROR(__xludf.DUMMYFUNCTION("""COMPUTED_VALUE"""),"")</f>
        <v/>
      </c>
      <c r="R204" s="4" t="str">
        <f>IFERROR(__xludf.DUMMYFUNCTION("""COMPUTED_VALUE"""),"")</f>
        <v/>
      </c>
    </row>
    <row r="205">
      <c r="A205" s="4" t="str">
        <f>IFERROR(__xludf.DUMMYFUNCTION("""COMPUTED_VALUE"""),"224 - Channel 5")</f>
        <v>224 - Channel 5</v>
      </c>
      <c r="B205" s="4" t="str">
        <f>IFERROR(__xludf.DUMMYFUNCTION("""COMPUTED_VALUE"""),"Day 3 - 25/06")</f>
        <v>Day 3 - 25/06</v>
      </c>
      <c r="C205" s="6">
        <f>IFERROR(__xludf.DUMMYFUNCTION("""COMPUTED_VALUE"""),0.4848611111111113)</f>
        <v>0.4848611111</v>
      </c>
      <c r="D205" s="8">
        <f>IFERROR(__xludf.DUMMYFUNCTION("""COMPUTED_VALUE"""),5.208333333333333E-4)</f>
        <v>0.0005208333333</v>
      </c>
      <c r="E205" s="6">
        <f>IFERROR(__xludf.DUMMYFUNCTION("""COMPUTED_VALUE"""),0.48538194444444466)</f>
        <v>0.4853819444</v>
      </c>
      <c r="F205" s="4" t="str">
        <f>IFERROR(__xludf.DUMMYFUNCTION("""COMPUTED_VALUE"""),"")</f>
        <v/>
      </c>
      <c r="G205" s="4" t="str">
        <f>IFERROR(__xludf.DUMMYFUNCTION("""COMPUTED_VALUE"""),"")</f>
        <v/>
      </c>
      <c r="H205" s="4" t="str">
        <f>IFERROR(__xludf.DUMMYFUNCTION("""COMPUTED_VALUE"""),"")</f>
        <v/>
      </c>
      <c r="I205" s="4" t="str">
        <f>IFERROR(__xludf.DUMMYFUNCTION("""COMPUTED_VALUE"""),"")</f>
        <v/>
      </c>
      <c r="J205" s="4" t="str">
        <f>IFERROR(__xludf.DUMMYFUNCTION("""COMPUTED_VALUE"""),"")</f>
        <v/>
      </c>
      <c r="K205" s="4" t="str">
        <f>IFERROR(__xludf.DUMMYFUNCTION("""COMPUTED_VALUE"""),"Web Summit Trailer - Full")</f>
        <v>Web Summit Trailer - Full</v>
      </c>
      <c r="L205" s="4" t="str">
        <f>IFERROR(__xludf.DUMMYFUNCTION("""COMPUTED_VALUE"""),"")</f>
        <v/>
      </c>
      <c r="M205" s="4" t="str">
        <f>IFERROR(__xludf.DUMMYFUNCTION("""COMPUTED_VALUE"""),"")</f>
        <v/>
      </c>
      <c r="N205" s="4" t="str">
        <f>IFERROR(__xludf.DUMMYFUNCTION("""COMPUTED_VALUE"""),"")</f>
        <v/>
      </c>
      <c r="O205" s="4" t="str">
        <f>IFERROR(__xludf.DUMMYFUNCTION("""COMPUTED_VALUE"""),"")</f>
        <v/>
      </c>
      <c r="P205" s="4" t="str">
        <f>IFERROR(__xludf.DUMMYFUNCTION("""COMPUTED_VALUE"""),"")</f>
        <v/>
      </c>
      <c r="Q205" s="4" t="str">
        <f>IFERROR(__xludf.DUMMYFUNCTION("""COMPUTED_VALUE"""),"")</f>
        <v/>
      </c>
      <c r="R205" s="4" t="str">
        <f>IFERROR(__xludf.DUMMYFUNCTION("""COMPUTED_VALUE"""),"")</f>
        <v/>
      </c>
    </row>
    <row r="206">
      <c r="A206" s="4" t="str">
        <f>IFERROR(__xludf.DUMMYFUNCTION("""COMPUTED_VALUE"""),"347 - Channel 5")</f>
        <v>347 - Channel 5</v>
      </c>
      <c r="B206" s="4" t="str">
        <f>IFERROR(__xludf.DUMMYFUNCTION("""COMPUTED_VALUE"""),"Day 3 - 25/06")</f>
        <v>Day 3 - 25/06</v>
      </c>
      <c r="C206" s="6">
        <f>IFERROR(__xludf.DUMMYFUNCTION("""COMPUTED_VALUE"""),0.48538194444444466)</f>
        <v>0.4853819444</v>
      </c>
      <c r="D206" s="8">
        <f>IFERROR(__xludf.DUMMYFUNCTION("""COMPUTED_VALUE"""),6.944444444444445E-4)</f>
        <v>0.0006944444444</v>
      </c>
      <c r="E206" s="6">
        <f>IFERROR(__xludf.DUMMYFUNCTION("""COMPUTED_VALUE"""),0.4860763888888891)</f>
        <v>0.4860763889</v>
      </c>
      <c r="F206" s="4" t="str">
        <f>IFERROR(__xludf.DUMMYFUNCTION("""COMPUTED_VALUE"""),"")</f>
        <v/>
      </c>
      <c r="G206" s="4" t="str">
        <f>IFERROR(__xludf.DUMMYFUNCTION("""COMPUTED_VALUE"""),"")</f>
        <v/>
      </c>
      <c r="H206" s="4" t="str">
        <f>IFERROR(__xludf.DUMMYFUNCTION("""COMPUTED_VALUE"""),"")</f>
        <v/>
      </c>
      <c r="I206" s="4" t="str">
        <f>IFERROR(__xludf.DUMMYFUNCTION("""COMPUTED_VALUE"""),"")</f>
        <v/>
      </c>
      <c r="J206" s="4" t="str">
        <f>IFERROR(__xludf.DUMMYFUNCTION("""COMPUTED_VALUE"""),"")</f>
        <v/>
      </c>
      <c r="K206" s="4" t="str">
        <f>IFERROR(__xludf.DUMMYFUNCTION("""COMPUTED_VALUE"""),"Holding Graphic")</f>
        <v>Holding Graphic</v>
      </c>
      <c r="L206" s="4" t="str">
        <f>IFERROR(__xludf.DUMMYFUNCTION("""COMPUTED_VALUE"""),"")</f>
        <v/>
      </c>
      <c r="M206" s="4" t="str">
        <f>IFERROR(__xludf.DUMMYFUNCTION("""COMPUTED_VALUE"""),"")</f>
        <v/>
      </c>
      <c r="N206" s="4" t="str">
        <f>IFERROR(__xludf.DUMMYFUNCTION("""COMPUTED_VALUE"""),"")</f>
        <v/>
      </c>
      <c r="O206" s="4" t="str">
        <f>IFERROR(__xludf.DUMMYFUNCTION("""COMPUTED_VALUE"""),"")</f>
        <v/>
      </c>
      <c r="P206" s="4" t="str">
        <f>IFERROR(__xludf.DUMMYFUNCTION("""COMPUTED_VALUE"""),"")</f>
        <v/>
      </c>
      <c r="Q206" s="4" t="str">
        <f>IFERROR(__xludf.DUMMYFUNCTION("""COMPUTED_VALUE"""),"")</f>
        <v/>
      </c>
      <c r="R206" s="4" t="str">
        <f>IFERROR(__xludf.DUMMYFUNCTION("""COMPUTED_VALUE"""),"")</f>
        <v/>
      </c>
    </row>
    <row r="207">
      <c r="A207" s="4" t="str">
        <f>IFERROR(__xludf.DUMMYFUNCTION("""COMPUTED_VALUE"""),"226 - Channel 5")</f>
        <v>226 - Channel 5</v>
      </c>
      <c r="B207" s="4" t="str">
        <f>IFERROR(__xludf.DUMMYFUNCTION("""COMPUTED_VALUE"""),"Day 3 - 25/06")</f>
        <v>Day 3 - 25/06</v>
      </c>
      <c r="C207" s="6">
        <f>IFERROR(__xludf.DUMMYFUNCTION("""COMPUTED_VALUE"""),0.4860763888888891)</f>
        <v>0.4860763889</v>
      </c>
      <c r="D207" s="8">
        <f>IFERROR(__xludf.DUMMYFUNCTION("""COMPUTED_VALUE"""),3.4722222222222224E-4)</f>
        <v>0.0003472222222</v>
      </c>
      <c r="E207" s="6">
        <f>IFERROR(__xludf.DUMMYFUNCTION("""COMPUTED_VALUE"""),0.4864236111111113)</f>
        <v>0.4864236111</v>
      </c>
      <c r="F207" s="4" t="str">
        <f>IFERROR(__xludf.DUMMYFUNCTION("""COMPUTED_VALUE"""),"")</f>
        <v/>
      </c>
      <c r="G207" s="4" t="str">
        <f>IFERROR(__xludf.DUMMYFUNCTION("""COMPUTED_VALUE"""),"")</f>
        <v/>
      </c>
      <c r="H207" s="4" t="str">
        <f>IFERROR(__xludf.DUMMYFUNCTION("""COMPUTED_VALUE"""),"")</f>
        <v/>
      </c>
      <c r="I207" s="4" t="str">
        <f>IFERROR(__xludf.DUMMYFUNCTION("""COMPUTED_VALUE"""),"")</f>
        <v/>
      </c>
      <c r="J207" s="4" t="str">
        <f>IFERROR(__xludf.DUMMYFUNCTION("""COMPUTED_VALUE"""),"")</f>
        <v/>
      </c>
      <c r="K207" s="4" t="str">
        <f>IFERROR(__xludf.DUMMYFUNCTION("""COMPUTED_VALUE"""),"Talk Intro")</f>
        <v>Talk Intro</v>
      </c>
      <c r="L207" s="4" t="str">
        <f>IFERROR(__xludf.DUMMYFUNCTION("""COMPUTED_VALUE"""),"")</f>
        <v/>
      </c>
      <c r="M207" s="4" t="str">
        <f>IFERROR(__xludf.DUMMYFUNCTION("""COMPUTED_VALUE"""),"")</f>
        <v/>
      </c>
      <c r="N207" s="4" t="str">
        <f>IFERROR(__xludf.DUMMYFUNCTION("""COMPUTED_VALUE"""),"")</f>
        <v/>
      </c>
      <c r="O207" s="4" t="str">
        <f>IFERROR(__xludf.DUMMYFUNCTION("""COMPUTED_VALUE"""),"")</f>
        <v/>
      </c>
      <c r="P207" s="4" t="str">
        <f>IFERROR(__xludf.DUMMYFUNCTION("""COMPUTED_VALUE"""),"")</f>
        <v/>
      </c>
      <c r="Q207" s="4" t="str">
        <f>IFERROR(__xludf.DUMMYFUNCTION("""COMPUTED_VALUE"""),"")</f>
        <v/>
      </c>
      <c r="R207" s="4" t="str">
        <f>IFERROR(__xludf.DUMMYFUNCTION("""COMPUTED_VALUE"""),"")</f>
        <v/>
      </c>
    </row>
    <row r="208">
      <c r="A208" s="4" t="str">
        <f>IFERROR(__xludf.DUMMYFUNCTION("""COMPUTED_VALUE"""),"227 - Channel 5")</f>
        <v>227 - Channel 5</v>
      </c>
      <c r="B208" s="4" t="str">
        <f>IFERROR(__xludf.DUMMYFUNCTION("""COMPUTED_VALUE"""),"Day 3 - 25/06")</f>
        <v>Day 3 - 25/06</v>
      </c>
      <c r="C208" s="6">
        <f>IFERROR(__xludf.DUMMYFUNCTION("""COMPUTED_VALUE"""),0.4864236111111113)</f>
        <v>0.4864236111</v>
      </c>
      <c r="D208" s="8">
        <f>IFERROR(__xludf.DUMMYFUNCTION("""COMPUTED_VALUE"""),0.015405092592592592)</f>
        <v>0.01540509259</v>
      </c>
      <c r="E208" s="6">
        <f>IFERROR(__xludf.DUMMYFUNCTION("""COMPUTED_VALUE"""),0.5018287037037039)</f>
        <v>0.5018287037</v>
      </c>
      <c r="F208" s="4" t="str">
        <f>IFERROR(__xludf.DUMMYFUNCTION("""COMPUTED_VALUE"""),"Social Media")</f>
        <v>Social Media</v>
      </c>
      <c r="G208" s="4" t="str">
        <f>IFERROR(__xludf.DUMMYFUNCTION("""COMPUTED_VALUE"""),"Web Summit 2017")</f>
        <v>Web Summit 2017</v>
      </c>
      <c r="H208" s="21" t="str">
        <f>IFERROR(__xludf.DUMMYFUNCTION("""COMPUTED_VALUE"""),"https://www.youtube.com/watch?v=AfuudF9C6L8")</f>
        <v>https://www.youtube.com/watch?v=AfuudF9C6L8</v>
      </c>
      <c r="I208" s="4" t="str">
        <f>IFERROR(__xludf.DUMMYFUNCTION("""COMPUTED_VALUE"""),"Start at 8 seconds. Finish at 22:19.")</f>
        <v>Start at 8 seconds. Finish at 22:19.</v>
      </c>
      <c r="J208" s="4" t="str">
        <f>IFERROR(__xludf.DUMMYFUNCTION("""COMPUTED_VALUE"""),"No")</f>
        <v>No</v>
      </c>
      <c r="K208" s="4" t="str">
        <f>IFERROR(__xludf.DUMMYFUNCTION("""COMPUTED_VALUE"""),"Steve Huffman redesigns Reddit")</f>
        <v>Steve Huffman redesigns Reddit</v>
      </c>
      <c r="L208" s="4" t="str">
        <f>IFERROR(__xludf.DUMMYFUNCTION("""COMPUTED_VALUE"""),"Steve Huffman, Reddit")</f>
        <v>Steve Huffman, Reddit</v>
      </c>
      <c r="M208" s="4" t="str">
        <f>IFERROR(__xludf.DUMMYFUNCTION("""COMPUTED_VALUE"""),"")</f>
        <v/>
      </c>
      <c r="N208" s="4" t="str">
        <f>IFERROR(__xludf.DUMMYFUNCTION("""COMPUTED_VALUE"""),"")</f>
        <v/>
      </c>
      <c r="O208" s="4" t="str">
        <f>IFERROR(__xludf.DUMMYFUNCTION("""COMPUTED_VALUE"""),"")</f>
        <v/>
      </c>
      <c r="P208" s="4" t="str">
        <f>IFERROR(__xludf.DUMMYFUNCTION("""COMPUTED_VALUE"""),"")</f>
        <v/>
      </c>
      <c r="Q208" s="4" t="str">
        <f>IFERROR(__xludf.DUMMYFUNCTION("""COMPUTED_VALUE"""),"Reddit is known as the front page of the internet. In 2017, Steve Huffman joined us at Web Summit to tell us all about how they redesigned that front page. Tune in now to relive the new design.")</f>
        <v>Reddit is known as the front page of the internet. In 2017, Steve Huffman joined us at Web Summit to tell us all about how they redesigned that front page. Tune in now to relive the new design.</v>
      </c>
      <c r="R208" s="4" t="str">
        <f>IFERROR(__xludf.DUMMYFUNCTION("""COMPUTED_VALUE"""),"")</f>
        <v/>
      </c>
    </row>
    <row r="209">
      <c r="A209" s="4" t="str">
        <f>IFERROR(__xludf.DUMMYFUNCTION("""COMPUTED_VALUE"""),"228 - Channel 5")</f>
        <v>228 - Channel 5</v>
      </c>
      <c r="B209" s="4" t="str">
        <f>IFERROR(__xludf.DUMMYFUNCTION("""COMPUTED_VALUE"""),"Day 3 - 25/06")</f>
        <v>Day 3 - 25/06</v>
      </c>
      <c r="C209" s="6">
        <f>IFERROR(__xludf.DUMMYFUNCTION("""COMPUTED_VALUE"""),0.5018287037037039)</f>
        <v>0.5018287037</v>
      </c>
      <c r="D209" s="8">
        <f>IFERROR(__xludf.DUMMYFUNCTION("""COMPUTED_VALUE"""),1.7361111111111112E-4)</f>
        <v>0.0001736111111</v>
      </c>
      <c r="E209" s="6">
        <f>IFERROR(__xludf.DUMMYFUNCTION("""COMPUTED_VALUE"""),0.502002314814815)</f>
        <v>0.5020023148</v>
      </c>
      <c r="F209" s="4" t="str">
        <f>IFERROR(__xludf.DUMMYFUNCTION("""COMPUTED_VALUE"""),"")</f>
        <v/>
      </c>
      <c r="G209" s="4" t="str">
        <f>IFERROR(__xludf.DUMMYFUNCTION("""COMPUTED_VALUE"""),"")</f>
        <v/>
      </c>
      <c r="H209" s="4" t="str">
        <f>IFERROR(__xludf.DUMMYFUNCTION("""COMPUTED_VALUE"""),"")</f>
        <v/>
      </c>
      <c r="I209" s="4" t="str">
        <f>IFERROR(__xludf.DUMMYFUNCTION("""COMPUTED_VALUE"""),"")</f>
        <v/>
      </c>
      <c r="J209" s="4" t="str">
        <f>IFERROR(__xludf.DUMMYFUNCTION("""COMPUTED_VALUE"""),"")</f>
        <v/>
      </c>
      <c r="K209" s="4" t="str">
        <f>IFERROR(__xludf.DUMMYFUNCTION("""COMPUTED_VALUE"""),"Talk Outro")</f>
        <v>Talk Outro</v>
      </c>
      <c r="L209" s="4" t="str">
        <f>IFERROR(__xludf.DUMMYFUNCTION("""COMPUTED_VALUE"""),"")</f>
        <v/>
      </c>
      <c r="M209" s="4" t="str">
        <f>IFERROR(__xludf.DUMMYFUNCTION("""COMPUTED_VALUE"""),"")</f>
        <v/>
      </c>
      <c r="N209" s="4" t="str">
        <f>IFERROR(__xludf.DUMMYFUNCTION("""COMPUTED_VALUE"""),"")</f>
        <v/>
      </c>
      <c r="O209" s="4" t="str">
        <f>IFERROR(__xludf.DUMMYFUNCTION("""COMPUTED_VALUE"""),"")</f>
        <v/>
      </c>
      <c r="P209" s="4" t="str">
        <f>IFERROR(__xludf.DUMMYFUNCTION("""COMPUTED_VALUE"""),"")</f>
        <v/>
      </c>
      <c r="Q209" s="4" t="str">
        <f>IFERROR(__xludf.DUMMYFUNCTION("""COMPUTED_VALUE"""),"")</f>
        <v/>
      </c>
      <c r="R209" s="4" t="str">
        <f>IFERROR(__xludf.DUMMYFUNCTION("""COMPUTED_VALUE"""),"")</f>
        <v/>
      </c>
    </row>
    <row r="210">
      <c r="A210" s="4" t="str">
        <f>IFERROR(__xludf.DUMMYFUNCTION("""COMPUTED_VALUE"""),"229 - Channel 5")</f>
        <v>229 - Channel 5</v>
      </c>
      <c r="B210" s="4" t="str">
        <f>IFERROR(__xludf.DUMMYFUNCTION("""COMPUTED_VALUE"""),"Day 3 - 25/06")</f>
        <v>Day 3 - 25/06</v>
      </c>
      <c r="C210" s="6">
        <f>IFERROR(__xludf.DUMMYFUNCTION("""COMPUTED_VALUE"""),0.502002314814815)</f>
        <v>0.5020023148</v>
      </c>
      <c r="D210" s="8">
        <f>IFERROR(__xludf.DUMMYFUNCTION("""COMPUTED_VALUE"""),3.4722222222222224E-4)</f>
        <v>0.0003472222222</v>
      </c>
      <c r="E210" s="6">
        <f>IFERROR(__xludf.DUMMYFUNCTION("""COMPUTED_VALUE"""),0.5023495370370373)</f>
        <v>0.502349537</v>
      </c>
      <c r="F210" s="4" t="str">
        <f>IFERROR(__xludf.DUMMYFUNCTION("""COMPUTED_VALUE"""),"")</f>
        <v/>
      </c>
      <c r="G210" s="4" t="str">
        <f>IFERROR(__xludf.DUMMYFUNCTION("""COMPUTED_VALUE"""),"")</f>
        <v/>
      </c>
      <c r="H210" s="4" t="str">
        <f>IFERROR(__xludf.DUMMYFUNCTION("""COMPUTED_VALUE"""),"")</f>
        <v/>
      </c>
      <c r="I210" s="4" t="str">
        <f>IFERROR(__xludf.DUMMYFUNCTION("""COMPUTED_VALUE"""),"")</f>
        <v/>
      </c>
      <c r="J210" s="4" t="str">
        <f>IFERROR(__xludf.DUMMYFUNCTION("""COMPUTED_VALUE"""),"")</f>
        <v/>
      </c>
      <c r="K210" s="4" t="str">
        <f>IFERROR(__xludf.DUMMYFUNCTION("""COMPUTED_VALUE"""),"Talk Intro")</f>
        <v>Talk Intro</v>
      </c>
      <c r="L210" s="4" t="str">
        <f>IFERROR(__xludf.DUMMYFUNCTION("""COMPUTED_VALUE"""),"")</f>
        <v/>
      </c>
      <c r="M210" s="4" t="str">
        <f>IFERROR(__xludf.DUMMYFUNCTION("""COMPUTED_VALUE"""),"")</f>
        <v/>
      </c>
      <c r="N210" s="4" t="str">
        <f>IFERROR(__xludf.DUMMYFUNCTION("""COMPUTED_VALUE"""),"")</f>
        <v/>
      </c>
      <c r="O210" s="4" t="str">
        <f>IFERROR(__xludf.DUMMYFUNCTION("""COMPUTED_VALUE"""),"")</f>
        <v/>
      </c>
      <c r="P210" s="4" t="str">
        <f>IFERROR(__xludf.DUMMYFUNCTION("""COMPUTED_VALUE"""),"")</f>
        <v/>
      </c>
      <c r="Q210" s="4" t="str">
        <f>IFERROR(__xludf.DUMMYFUNCTION("""COMPUTED_VALUE"""),"")</f>
        <v/>
      </c>
      <c r="R210" s="4" t="str">
        <f>IFERROR(__xludf.DUMMYFUNCTION("""COMPUTED_VALUE"""),"")</f>
        <v/>
      </c>
    </row>
    <row r="211">
      <c r="A211" s="4" t="str">
        <f>IFERROR(__xludf.DUMMYFUNCTION("""COMPUTED_VALUE"""),"230 - Channel 5")</f>
        <v>230 - Channel 5</v>
      </c>
      <c r="B211" s="4" t="str">
        <f>IFERROR(__xludf.DUMMYFUNCTION("""COMPUTED_VALUE"""),"Day 3 - 25/06")</f>
        <v>Day 3 - 25/06</v>
      </c>
      <c r="C211" s="6">
        <f>IFERROR(__xludf.DUMMYFUNCTION("""COMPUTED_VALUE"""),0.5023495370370373)</f>
        <v>0.502349537</v>
      </c>
      <c r="D211" s="8">
        <f>IFERROR(__xludf.DUMMYFUNCTION("""COMPUTED_VALUE"""),0.011944444444444445)</f>
        <v>0.01194444444</v>
      </c>
      <c r="E211" s="6">
        <f>IFERROR(__xludf.DUMMYFUNCTION("""COMPUTED_VALUE"""),0.5142939814814818)</f>
        <v>0.5142939815</v>
      </c>
      <c r="F211" s="4" t="str">
        <f>IFERROR(__xludf.DUMMYFUNCTION("""COMPUTED_VALUE"""),"5G")</f>
        <v>5G</v>
      </c>
      <c r="G211" s="4" t="str">
        <f>IFERROR(__xludf.DUMMYFUNCTION("""COMPUTED_VALUE"""),"Web Summit 2019")</f>
        <v>Web Summit 2019</v>
      </c>
      <c r="H211" s="21" t="str">
        <f>IFERROR(__xludf.DUMMYFUNCTION("""COMPUTED_VALUE"""),"https://vimeo.com/showcase/6551539/video/370976186")</f>
        <v>https://vimeo.com/showcase/6551539/video/370976186</v>
      </c>
      <c r="I211" s="4" t="str">
        <f>IFERROR(__xludf.DUMMYFUNCTION("""COMPUTED_VALUE"""),"Begin at 3 secs. Go to end.")</f>
        <v>Begin at 3 secs. Go to end.</v>
      </c>
      <c r="J211" s="4" t="str">
        <f>IFERROR(__xludf.DUMMYFUNCTION("""COMPUTED_VALUE"""),"No")</f>
        <v>No</v>
      </c>
      <c r="K211" s="4" t="str">
        <f>IFERROR(__xludf.DUMMYFUNCTION("""COMPUTED_VALUE"""),"Huawei's Guo Ping believes 5G is a golden opportunity")</f>
        <v>Huawei's Guo Ping believes 5G is a golden opportunity</v>
      </c>
      <c r="L211" s="4" t="str">
        <f>IFERROR(__xludf.DUMMYFUNCTION("""COMPUTED_VALUE"""),"Guo Ping, Huawei")</f>
        <v>Guo Ping, Huawei</v>
      </c>
      <c r="M211" s="4" t="str">
        <f>IFERROR(__xludf.DUMMYFUNCTION("""COMPUTED_VALUE"""),"")</f>
        <v/>
      </c>
      <c r="N211" s="4" t="str">
        <f>IFERROR(__xludf.DUMMYFUNCTION("""COMPUTED_VALUE"""),"")</f>
        <v/>
      </c>
      <c r="O211" s="4" t="str">
        <f>IFERROR(__xludf.DUMMYFUNCTION("""COMPUTED_VALUE"""),"")</f>
        <v/>
      </c>
      <c r="P211" s="4" t="str">
        <f>IFERROR(__xludf.DUMMYFUNCTION("""COMPUTED_VALUE"""),"")</f>
        <v/>
      </c>
      <c r="Q211" s="4" t="str">
        <f>IFERROR(__xludf.DUMMYFUNCTION("""COMPUTED_VALUE"""),"5G technology: A political hoax or an inevitable social advancement? Huawei’s Guo Ping outlines the applications of the cellular data upgrade and paints a picture of future global connectivity.")</f>
        <v>5G technology: A political hoax or an inevitable social advancement? Huawei’s Guo Ping outlines the applications of the cellular data upgrade and paints a picture of future global connectivity.</v>
      </c>
      <c r="R211" s="4" t="str">
        <f>IFERROR(__xludf.DUMMYFUNCTION("""COMPUTED_VALUE"""),"")</f>
        <v/>
      </c>
    </row>
    <row r="212">
      <c r="A212" s="4" t="str">
        <f>IFERROR(__xludf.DUMMYFUNCTION("""COMPUTED_VALUE"""),"231 - Channel 5")</f>
        <v>231 - Channel 5</v>
      </c>
      <c r="B212" s="4" t="str">
        <f>IFERROR(__xludf.DUMMYFUNCTION("""COMPUTED_VALUE"""),"Day 3 - 25/06")</f>
        <v>Day 3 - 25/06</v>
      </c>
      <c r="C212" s="6">
        <f>IFERROR(__xludf.DUMMYFUNCTION("""COMPUTED_VALUE"""),0.5142939814814818)</f>
        <v>0.5142939815</v>
      </c>
      <c r="D212" s="8">
        <f>IFERROR(__xludf.DUMMYFUNCTION("""COMPUTED_VALUE"""),1.7361111111111112E-4)</f>
        <v>0.0001736111111</v>
      </c>
      <c r="E212" s="6">
        <f>IFERROR(__xludf.DUMMYFUNCTION("""COMPUTED_VALUE"""),0.5144675925925929)</f>
        <v>0.5144675926</v>
      </c>
      <c r="F212" s="4" t="str">
        <f>IFERROR(__xludf.DUMMYFUNCTION("""COMPUTED_VALUE"""),"")</f>
        <v/>
      </c>
      <c r="G212" s="4" t="str">
        <f>IFERROR(__xludf.DUMMYFUNCTION("""COMPUTED_VALUE"""),"")</f>
        <v/>
      </c>
      <c r="H212" s="4" t="str">
        <f>IFERROR(__xludf.DUMMYFUNCTION("""COMPUTED_VALUE"""),"")</f>
        <v/>
      </c>
      <c r="I212" s="4" t="str">
        <f>IFERROR(__xludf.DUMMYFUNCTION("""COMPUTED_VALUE"""),"")</f>
        <v/>
      </c>
      <c r="J212" s="4" t="str">
        <f>IFERROR(__xludf.DUMMYFUNCTION("""COMPUTED_VALUE"""),"")</f>
        <v/>
      </c>
      <c r="K212" s="4" t="str">
        <f>IFERROR(__xludf.DUMMYFUNCTION("""COMPUTED_VALUE"""),"Talk Outro")</f>
        <v>Talk Outro</v>
      </c>
      <c r="L212" s="4" t="str">
        <f>IFERROR(__xludf.DUMMYFUNCTION("""COMPUTED_VALUE"""),"")</f>
        <v/>
      </c>
      <c r="M212" s="4" t="str">
        <f>IFERROR(__xludf.DUMMYFUNCTION("""COMPUTED_VALUE"""),"")</f>
        <v/>
      </c>
      <c r="N212" s="4" t="str">
        <f>IFERROR(__xludf.DUMMYFUNCTION("""COMPUTED_VALUE"""),"")</f>
        <v/>
      </c>
      <c r="O212" s="4" t="str">
        <f>IFERROR(__xludf.DUMMYFUNCTION("""COMPUTED_VALUE"""),"")</f>
        <v/>
      </c>
      <c r="P212" s="4" t="str">
        <f>IFERROR(__xludf.DUMMYFUNCTION("""COMPUTED_VALUE"""),"")</f>
        <v/>
      </c>
      <c r="Q212" s="4" t="str">
        <f>IFERROR(__xludf.DUMMYFUNCTION("""COMPUTED_VALUE"""),"")</f>
        <v/>
      </c>
      <c r="R212" s="4" t="str">
        <f>IFERROR(__xludf.DUMMYFUNCTION("""COMPUTED_VALUE"""),"")</f>
        <v/>
      </c>
    </row>
    <row r="213">
      <c r="A213" s="4" t="str">
        <f>IFERROR(__xludf.DUMMYFUNCTION("""COMPUTED_VALUE"""),"232 - Channel 5")</f>
        <v>232 - Channel 5</v>
      </c>
      <c r="B213" s="4" t="str">
        <f>IFERROR(__xludf.DUMMYFUNCTION("""COMPUTED_VALUE"""),"Day 3 - 25/06")</f>
        <v>Day 3 - 25/06</v>
      </c>
      <c r="C213" s="6">
        <f>IFERROR(__xludf.DUMMYFUNCTION("""COMPUTED_VALUE"""),0.5144675925925929)</f>
        <v>0.5144675926</v>
      </c>
      <c r="D213" s="8">
        <f>IFERROR(__xludf.DUMMYFUNCTION("""COMPUTED_VALUE"""),3.4722222222222224E-4)</f>
        <v>0.0003472222222</v>
      </c>
      <c r="E213" s="6">
        <f>IFERROR(__xludf.DUMMYFUNCTION("""COMPUTED_VALUE"""),0.5148148148148152)</f>
        <v>0.5148148148</v>
      </c>
      <c r="F213" s="4" t="str">
        <f>IFERROR(__xludf.DUMMYFUNCTION("""COMPUTED_VALUE"""),"")</f>
        <v/>
      </c>
      <c r="G213" s="4" t="str">
        <f>IFERROR(__xludf.DUMMYFUNCTION("""COMPUTED_VALUE"""),"")</f>
        <v/>
      </c>
      <c r="H213" s="4" t="str">
        <f>IFERROR(__xludf.DUMMYFUNCTION("""COMPUTED_VALUE"""),"")</f>
        <v/>
      </c>
      <c r="I213" s="4" t="str">
        <f>IFERROR(__xludf.DUMMYFUNCTION("""COMPUTED_VALUE"""),"")</f>
        <v/>
      </c>
      <c r="J213" s="4" t="str">
        <f>IFERROR(__xludf.DUMMYFUNCTION("""COMPUTED_VALUE"""),"")</f>
        <v/>
      </c>
      <c r="K213" s="4" t="str">
        <f>IFERROR(__xludf.DUMMYFUNCTION("""COMPUTED_VALUE"""),"Talk Intro")</f>
        <v>Talk Intro</v>
      </c>
      <c r="L213" s="4" t="str">
        <f>IFERROR(__xludf.DUMMYFUNCTION("""COMPUTED_VALUE"""),"")</f>
        <v/>
      </c>
      <c r="M213" s="4" t="str">
        <f>IFERROR(__xludf.DUMMYFUNCTION("""COMPUTED_VALUE"""),"")</f>
        <v/>
      </c>
      <c r="N213" s="4" t="str">
        <f>IFERROR(__xludf.DUMMYFUNCTION("""COMPUTED_VALUE"""),"")</f>
        <v/>
      </c>
      <c r="O213" s="4" t="str">
        <f>IFERROR(__xludf.DUMMYFUNCTION("""COMPUTED_VALUE"""),"")</f>
        <v/>
      </c>
      <c r="P213" s="4" t="str">
        <f>IFERROR(__xludf.DUMMYFUNCTION("""COMPUTED_VALUE"""),"")</f>
        <v/>
      </c>
      <c r="Q213" s="4" t="str">
        <f>IFERROR(__xludf.DUMMYFUNCTION("""COMPUTED_VALUE"""),"")</f>
        <v/>
      </c>
      <c r="R213" s="4" t="str">
        <f>IFERROR(__xludf.DUMMYFUNCTION("""COMPUTED_VALUE"""),"")</f>
        <v/>
      </c>
    </row>
    <row r="214">
      <c r="A214" s="4" t="str">
        <f>IFERROR(__xludf.DUMMYFUNCTION("""COMPUTED_VALUE"""),"233 - Channel 5")</f>
        <v>233 - Channel 5</v>
      </c>
      <c r="B214" s="4" t="str">
        <f>IFERROR(__xludf.DUMMYFUNCTION("""COMPUTED_VALUE"""),"Day 3 - 25/06")</f>
        <v>Day 3 - 25/06</v>
      </c>
      <c r="C214" s="6">
        <f>IFERROR(__xludf.DUMMYFUNCTION("""COMPUTED_VALUE"""),0.5148148148148152)</f>
        <v>0.5148148148</v>
      </c>
      <c r="D214" s="8">
        <f>IFERROR(__xludf.DUMMYFUNCTION("""COMPUTED_VALUE"""),0.006944444444444444)</f>
        <v>0.006944444444</v>
      </c>
      <c r="E214" s="6">
        <f>IFERROR(__xludf.DUMMYFUNCTION("""COMPUTED_VALUE"""),0.5217592592592596)</f>
        <v>0.5217592593</v>
      </c>
      <c r="F214" s="4" t="str">
        <f>IFERROR(__xludf.DUMMYFUNCTION("""COMPUTED_VALUE"""),"Robotics")</f>
        <v>Robotics</v>
      </c>
      <c r="G214" s="4" t="str">
        <f>IFERROR(__xludf.DUMMYFUNCTION("""COMPUTED_VALUE"""),"")</f>
        <v/>
      </c>
      <c r="H214" s="4" t="str">
        <f>IFERROR(__xludf.DUMMYFUNCTION("""COMPUTED_VALUE"""),"")</f>
        <v/>
      </c>
      <c r="I214" s="4" t="str">
        <f>IFERROR(__xludf.DUMMYFUNCTION("""COMPUTED_VALUE"""),"")</f>
        <v/>
      </c>
      <c r="J214" s="4" t="str">
        <f>IFERROR(__xludf.DUMMYFUNCTION("""COMPUTED_VALUE"""),"No")</f>
        <v>No</v>
      </c>
      <c r="K214" s="4" t="str">
        <f>IFERROR(__xludf.DUMMYFUNCTION("""COMPUTED_VALUE"""),"Top 5 robots")</f>
        <v>Top 5 robots</v>
      </c>
      <c r="L214" s="4" t="str">
        <f>IFERROR(__xludf.DUMMYFUNCTION("""COMPUTED_VALUE"""),"Spot, Boston Dynamics")</f>
        <v>Spot, Boston Dynamics</v>
      </c>
      <c r="M214" s="4" t="str">
        <f>IFERROR(__xludf.DUMMYFUNCTION("""COMPUTED_VALUE"""),"Sophia The Robot, SingularityNET")</f>
        <v>Sophia The Robot, SingularityNET</v>
      </c>
      <c r="N214" s="4" t="str">
        <f>IFERROR(__xludf.DUMMYFUNCTION("""COMPUTED_VALUE"""),"New Robot, Furhat Robotics")</f>
        <v>New Robot, Furhat Robotics</v>
      </c>
      <c r="O214" s="4" t="str">
        <f>IFERROR(__xludf.DUMMYFUNCTION("""COMPUTED_VALUE"""),"Pepper, Softbank Robotics")</f>
        <v>Pepper, Softbank Robotics</v>
      </c>
      <c r="P214" s="4" t="str">
        <f>IFERROR(__xludf.DUMMYFUNCTION("""COMPUTED_VALUE"""),"Misty Robot, Misty Robotics")</f>
        <v>Misty Robot, Misty Robotics</v>
      </c>
      <c r="Q214" s="4" t="str">
        <f>IFERROR(__xludf.DUMMYFUNCTION("""COMPUTED_VALUE"""),"Featuring Spot, Sophia the robot, Furhat Robotics, Pepper from SoftBank Robotics, and Misty Robot. When we think of robots, we often think of science fiction. At our events, science fiction has become science fact. Tune in to see some of the most innovati"&amp;"ve and exciting robots ever created.")</f>
        <v>Featuring Spot, Sophia the robot, Furhat Robotics, Pepper from SoftBank Robotics, and Misty Robot. When we think of robots, we often think of science fiction. At our events, science fiction has become science fact. Tune in to see some of the most innovative and exciting robots ever created.</v>
      </c>
      <c r="R214" s="4" t="str">
        <f>IFERROR(__xludf.DUMMYFUNCTION("""COMPUTED_VALUE"""),"")</f>
        <v/>
      </c>
    </row>
    <row r="215">
      <c r="A215" s="4" t="str">
        <f>IFERROR(__xludf.DUMMYFUNCTION("""COMPUTED_VALUE"""),"234 - Channel 5")</f>
        <v>234 - Channel 5</v>
      </c>
      <c r="B215" s="4" t="str">
        <f>IFERROR(__xludf.DUMMYFUNCTION("""COMPUTED_VALUE"""),"Day 3 - 25/06")</f>
        <v>Day 3 - 25/06</v>
      </c>
      <c r="C215" s="6">
        <f>IFERROR(__xludf.DUMMYFUNCTION("""COMPUTED_VALUE"""),0.5217592592592596)</f>
        <v>0.5217592593</v>
      </c>
      <c r="D215" s="8">
        <f>IFERROR(__xludf.DUMMYFUNCTION("""COMPUTED_VALUE"""),1.7361111111111112E-4)</f>
        <v>0.0001736111111</v>
      </c>
      <c r="E215" s="6">
        <f>IFERROR(__xludf.DUMMYFUNCTION("""COMPUTED_VALUE"""),0.5219328703703707)</f>
        <v>0.5219328704</v>
      </c>
      <c r="F215" s="4" t="str">
        <f>IFERROR(__xludf.DUMMYFUNCTION("""COMPUTED_VALUE"""),"")</f>
        <v/>
      </c>
      <c r="G215" s="4" t="str">
        <f>IFERROR(__xludf.DUMMYFUNCTION("""COMPUTED_VALUE"""),"")</f>
        <v/>
      </c>
      <c r="H215" s="4" t="str">
        <f>IFERROR(__xludf.DUMMYFUNCTION("""COMPUTED_VALUE"""),"")</f>
        <v/>
      </c>
      <c r="I215" s="4" t="str">
        <f>IFERROR(__xludf.DUMMYFUNCTION("""COMPUTED_VALUE"""),"")</f>
        <v/>
      </c>
      <c r="J215" s="4" t="str">
        <f>IFERROR(__xludf.DUMMYFUNCTION("""COMPUTED_VALUE"""),"")</f>
        <v/>
      </c>
      <c r="K215" s="4" t="str">
        <f>IFERROR(__xludf.DUMMYFUNCTION("""COMPUTED_VALUE"""),"Talk Outro")</f>
        <v>Talk Outro</v>
      </c>
      <c r="L215" s="4" t="str">
        <f>IFERROR(__xludf.DUMMYFUNCTION("""COMPUTED_VALUE"""),"")</f>
        <v/>
      </c>
      <c r="M215" s="4" t="str">
        <f>IFERROR(__xludf.DUMMYFUNCTION("""COMPUTED_VALUE"""),"")</f>
        <v/>
      </c>
      <c r="N215" s="4" t="str">
        <f>IFERROR(__xludf.DUMMYFUNCTION("""COMPUTED_VALUE"""),"")</f>
        <v/>
      </c>
      <c r="O215" s="4" t="str">
        <f>IFERROR(__xludf.DUMMYFUNCTION("""COMPUTED_VALUE"""),"")</f>
        <v/>
      </c>
      <c r="P215" s="4" t="str">
        <f>IFERROR(__xludf.DUMMYFUNCTION("""COMPUTED_VALUE"""),"")</f>
        <v/>
      </c>
      <c r="Q215" s="4" t="str">
        <f>IFERROR(__xludf.DUMMYFUNCTION("""COMPUTED_VALUE"""),"")</f>
        <v/>
      </c>
      <c r="R215" s="4" t="str">
        <f>IFERROR(__xludf.DUMMYFUNCTION("""COMPUTED_VALUE"""),"")</f>
        <v/>
      </c>
    </row>
    <row r="216">
      <c r="A216" s="4" t="str">
        <f>IFERROR(__xludf.DUMMYFUNCTION("""COMPUTED_VALUE"""),"235 - Channel 5")</f>
        <v>235 - Channel 5</v>
      </c>
      <c r="B216" s="4" t="str">
        <f>IFERROR(__xludf.DUMMYFUNCTION("""COMPUTED_VALUE"""),"Day 3 - 25/06")</f>
        <v>Day 3 - 25/06</v>
      </c>
      <c r="C216" s="6">
        <f>IFERROR(__xludf.DUMMYFUNCTION("""COMPUTED_VALUE"""),0.5219328703703707)</f>
        <v>0.5219328704</v>
      </c>
      <c r="D216" s="8">
        <f>IFERROR(__xludf.DUMMYFUNCTION("""COMPUTED_VALUE"""),3.4722222222222224E-4)</f>
        <v>0.0003472222222</v>
      </c>
      <c r="E216" s="6">
        <f>IFERROR(__xludf.DUMMYFUNCTION("""COMPUTED_VALUE"""),0.522280092592593)</f>
        <v>0.5222800926</v>
      </c>
      <c r="F216" s="4" t="str">
        <f>IFERROR(__xludf.DUMMYFUNCTION("""COMPUTED_VALUE"""),"")</f>
        <v/>
      </c>
      <c r="G216" s="4" t="str">
        <f>IFERROR(__xludf.DUMMYFUNCTION("""COMPUTED_VALUE"""),"")</f>
        <v/>
      </c>
      <c r="H216" s="4" t="str">
        <f>IFERROR(__xludf.DUMMYFUNCTION("""COMPUTED_VALUE"""),"")</f>
        <v/>
      </c>
      <c r="I216" s="4" t="str">
        <f>IFERROR(__xludf.DUMMYFUNCTION("""COMPUTED_VALUE"""),"")</f>
        <v/>
      </c>
      <c r="J216" s="4" t="str">
        <f>IFERROR(__xludf.DUMMYFUNCTION("""COMPUTED_VALUE"""),"")</f>
        <v/>
      </c>
      <c r="K216" s="4" t="str">
        <f>IFERROR(__xludf.DUMMYFUNCTION("""COMPUTED_VALUE"""),"Talk Intro")</f>
        <v>Talk Intro</v>
      </c>
      <c r="L216" s="4" t="str">
        <f>IFERROR(__xludf.DUMMYFUNCTION("""COMPUTED_VALUE"""),"")</f>
        <v/>
      </c>
      <c r="M216" s="4" t="str">
        <f>IFERROR(__xludf.DUMMYFUNCTION("""COMPUTED_VALUE"""),"")</f>
        <v/>
      </c>
      <c r="N216" s="4" t="str">
        <f>IFERROR(__xludf.DUMMYFUNCTION("""COMPUTED_VALUE"""),"")</f>
        <v/>
      </c>
      <c r="O216" s="4" t="str">
        <f>IFERROR(__xludf.DUMMYFUNCTION("""COMPUTED_VALUE"""),"")</f>
        <v/>
      </c>
      <c r="P216" s="4" t="str">
        <f>IFERROR(__xludf.DUMMYFUNCTION("""COMPUTED_VALUE"""),"")</f>
        <v/>
      </c>
      <c r="Q216" s="4" t="str">
        <f>IFERROR(__xludf.DUMMYFUNCTION("""COMPUTED_VALUE"""),"")</f>
        <v/>
      </c>
      <c r="R216" s="4" t="str">
        <f>IFERROR(__xludf.DUMMYFUNCTION("""COMPUTED_VALUE"""),"")</f>
        <v/>
      </c>
    </row>
    <row r="217">
      <c r="A217" s="4" t="str">
        <f>IFERROR(__xludf.DUMMYFUNCTION("""COMPUTED_VALUE"""),"236 - Channel 5")</f>
        <v>236 - Channel 5</v>
      </c>
      <c r="B217" s="4" t="str">
        <f>IFERROR(__xludf.DUMMYFUNCTION("""COMPUTED_VALUE"""),"Day 3 - 25/06")</f>
        <v>Day 3 - 25/06</v>
      </c>
      <c r="C217" s="6">
        <f>IFERROR(__xludf.DUMMYFUNCTION("""COMPUTED_VALUE"""),0.522280092592593)</f>
        <v>0.5222800926</v>
      </c>
      <c r="D217" s="8">
        <f>IFERROR(__xludf.DUMMYFUNCTION("""COMPUTED_VALUE"""),0.015694444444444445)</f>
        <v>0.01569444444</v>
      </c>
      <c r="E217" s="6">
        <f>IFERROR(__xludf.DUMMYFUNCTION("""COMPUTED_VALUE"""),0.5379745370370375)</f>
        <v>0.537974537</v>
      </c>
      <c r="F217" s="4" t="str">
        <f>IFERROR(__xludf.DUMMYFUNCTION("""COMPUTED_VALUE"""),"Robotics")</f>
        <v>Robotics</v>
      </c>
      <c r="G217" s="4" t="str">
        <f>IFERROR(__xludf.DUMMYFUNCTION("""COMPUTED_VALUE"""),"Web Summit 2019")</f>
        <v>Web Summit 2019</v>
      </c>
      <c r="H217" s="21" t="str">
        <f>IFERROR(__xludf.DUMMYFUNCTION("""COMPUTED_VALUE"""),"https://vimeo.com/showcase/6551539/video/371653938")</f>
        <v>https://vimeo.com/showcase/6551539/video/371653938</v>
      </c>
      <c r="I217" s="4" t="str">
        <f>IFERROR(__xludf.DUMMYFUNCTION("""COMPUTED_VALUE"""),"Start at 00:56. Go to end.")</f>
        <v>Start at 00:56. Go to end.</v>
      </c>
      <c r="J217" s="4" t="str">
        <f>IFERROR(__xludf.DUMMYFUNCTION("""COMPUTED_VALUE"""),"No")</f>
        <v>No</v>
      </c>
      <c r="K217" s="4" t="str">
        <f>IFERROR(__xludf.DUMMYFUNCTION("""COMPUTED_VALUE"""),"Boston Dynamics and Marc Raibert see the future of mobile robots")</f>
        <v>Boston Dynamics and Marc Raibert see the future of mobile robots</v>
      </c>
      <c r="L217" s="4" t="str">
        <f>IFERROR(__xludf.DUMMYFUNCTION("""COMPUTED_VALUE"""),"Marc Raibert, Boston Dynamics")</f>
        <v>Marc Raibert, Boston Dynamics</v>
      </c>
      <c r="M217" s="4" t="str">
        <f>IFERROR(__xludf.DUMMYFUNCTION("""COMPUTED_VALUE"""),"")</f>
        <v/>
      </c>
      <c r="N217" s="4" t="str">
        <f>IFERROR(__xludf.DUMMYFUNCTION("""COMPUTED_VALUE"""),"")</f>
        <v/>
      </c>
      <c r="O217" s="4" t="str">
        <f>IFERROR(__xludf.DUMMYFUNCTION("""COMPUTED_VALUE"""),"")</f>
        <v/>
      </c>
      <c r="P217" s="4" t="str">
        <f>IFERROR(__xludf.DUMMYFUNCTION("""COMPUTED_VALUE"""),"")</f>
        <v/>
      </c>
      <c r="Q217" s="4" t="str">
        <f>IFERROR(__xludf.DUMMYFUNCTION("""COMPUTED_VALUE"""),"Boston Dynamics' Marc Raibert – perhaps the biggest robot fan in the world – took to the stage during Web Summit 2019 to address the boundaries limiting what robots are currently capable of doing. And, of course, he was accompanied by his buddy: the extra"&amp;"ordinary machine Spot.")</f>
        <v>Boston Dynamics' Marc Raibert – perhaps the biggest robot fan in the world – took to the stage during Web Summit 2019 to address the boundaries limiting what robots are currently capable of doing. And, of course, he was accompanied by his buddy: the extraordinary machine Spot.</v>
      </c>
      <c r="R217" s="4" t="str">
        <f>IFERROR(__xludf.DUMMYFUNCTION("""COMPUTED_VALUE"""),"")</f>
        <v/>
      </c>
    </row>
    <row r="218">
      <c r="A218" s="4" t="str">
        <f>IFERROR(__xludf.DUMMYFUNCTION("""COMPUTED_VALUE"""),"237 - Channel 5")</f>
        <v>237 - Channel 5</v>
      </c>
      <c r="B218" s="4" t="str">
        <f>IFERROR(__xludf.DUMMYFUNCTION("""COMPUTED_VALUE"""),"Day 3 - 25/06")</f>
        <v>Day 3 - 25/06</v>
      </c>
      <c r="C218" s="6">
        <f>IFERROR(__xludf.DUMMYFUNCTION("""COMPUTED_VALUE"""),0.5379745370370375)</f>
        <v>0.537974537</v>
      </c>
      <c r="D218" s="8">
        <f>IFERROR(__xludf.DUMMYFUNCTION("""COMPUTED_VALUE"""),1.7361111111111112E-4)</f>
        <v>0.0001736111111</v>
      </c>
      <c r="E218" s="6">
        <f>IFERROR(__xludf.DUMMYFUNCTION("""COMPUTED_VALUE"""),0.5381481481481486)</f>
        <v>0.5381481481</v>
      </c>
      <c r="F218" s="4" t="str">
        <f>IFERROR(__xludf.DUMMYFUNCTION("""COMPUTED_VALUE"""),"")</f>
        <v/>
      </c>
      <c r="G218" s="4" t="str">
        <f>IFERROR(__xludf.DUMMYFUNCTION("""COMPUTED_VALUE"""),"")</f>
        <v/>
      </c>
      <c r="H218" s="4" t="str">
        <f>IFERROR(__xludf.DUMMYFUNCTION("""COMPUTED_VALUE"""),"")</f>
        <v/>
      </c>
      <c r="I218" s="4" t="str">
        <f>IFERROR(__xludf.DUMMYFUNCTION("""COMPUTED_VALUE"""),"")</f>
        <v/>
      </c>
      <c r="J218" s="4" t="str">
        <f>IFERROR(__xludf.DUMMYFUNCTION("""COMPUTED_VALUE"""),"")</f>
        <v/>
      </c>
      <c r="K218" s="4" t="str">
        <f>IFERROR(__xludf.DUMMYFUNCTION("""COMPUTED_VALUE"""),"Talk Outro")</f>
        <v>Talk Outro</v>
      </c>
      <c r="L218" s="4" t="str">
        <f>IFERROR(__xludf.DUMMYFUNCTION("""COMPUTED_VALUE"""),"")</f>
        <v/>
      </c>
      <c r="M218" s="4" t="str">
        <f>IFERROR(__xludf.DUMMYFUNCTION("""COMPUTED_VALUE"""),"")</f>
        <v/>
      </c>
      <c r="N218" s="4" t="str">
        <f>IFERROR(__xludf.DUMMYFUNCTION("""COMPUTED_VALUE"""),"")</f>
        <v/>
      </c>
      <c r="O218" s="4" t="str">
        <f>IFERROR(__xludf.DUMMYFUNCTION("""COMPUTED_VALUE"""),"")</f>
        <v/>
      </c>
      <c r="P218" s="4" t="str">
        <f>IFERROR(__xludf.DUMMYFUNCTION("""COMPUTED_VALUE"""),"")</f>
        <v/>
      </c>
      <c r="Q218" s="4" t="str">
        <f>IFERROR(__xludf.DUMMYFUNCTION("""COMPUTED_VALUE"""),"")</f>
        <v/>
      </c>
      <c r="R218" s="4" t="str">
        <f>IFERROR(__xludf.DUMMYFUNCTION("""COMPUTED_VALUE"""),"")</f>
        <v/>
      </c>
    </row>
    <row r="219">
      <c r="A219" s="4" t="str">
        <f>IFERROR(__xludf.DUMMYFUNCTION("""COMPUTED_VALUE"""),"339 - Channel 5")</f>
        <v>339 - Channel 5</v>
      </c>
      <c r="B219" s="4" t="str">
        <f>IFERROR(__xludf.DUMMYFUNCTION("""COMPUTED_VALUE"""),"Day 3 - 25/06")</f>
        <v>Day 3 - 25/06</v>
      </c>
      <c r="C219" s="6">
        <f>IFERROR(__xludf.DUMMYFUNCTION("""COMPUTED_VALUE"""),0.5381481481481486)</f>
        <v>0.5381481481</v>
      </c>
      <c r="D219" s="8">
        <f>IFERROR(__xludf.DUMMYFUNCTION("""COMPUTED_VALUE"""),3.4722222222222224E-4)</f>
        <v>0.0003472222222</v>
      </c>
      <c r="E219" s="6">
        <f>IFERROR(__xludf.DUMMYFUNCTION("""COMPUTED_VALUE"""),0.5384953703703709)</f>
        <v>0.5384953704</v>
      </c>
      <c r="F219" s="4" t="str">
        <f>IFERROR(__xludf.DUMMYFUNCTION("""COMPUTED_VALUE"""),"")</f>
        <v/>
      </c>
      <c r="G219" s="4" t="str">
        <f>IFERROR(__xludf.DUMMYFUNCTION("""COMPUTED_VALUE"""),"")</f>
        <v/>
      </c>
      <c r="H219" s="4" t="str">
        <f>IFERROR(__xludf.DUMMYFUNCTION("""COMPUTED_VALUE"""),"")</f>
        <v/>
      </c>
      <c r="I219" s="4" t="str">
        <f>IFERROR(__xludf.DUMMYFUNCTION("""COMPUTED_VALUE"""),"")</f>
        <v/>
      </c>
      <c r="J219" s="4" t="str">
        <f>IFERROR(__xludf.DUMMYFUNCTION("""COMPUTED_VALUE"""),"")</f>
        <v/>
      </c>
      <c r="K219" s="4" t="str">
        <f>IFERROR(__xludf.DUMMYFUNCTION("""COMPUTED_VALUE"""),"Web Summit Trailer - Short")</f>
        <v>Web Summit Trailer - Short</v>
      </c>
      <c r="L219" s="4" t="str">
        <f>IFERROR(__xludf.DUMMYFUNCTION("""COMPUTED_VALUE"""),"")</f>
        <v/>
      </c>
      <c r="M219" s="4" t="str">
        <f>IFERROR(__xludf.DUMMYFUNCTION("""COMPUTED_VALUE"""),"")</f>
        <v/>
      </c>
      <c r="N219" s="4" t="str">
        <f>IFERROR(__xludf.DUMMYFUNCTION("""COMPUTED_VALUE"""),"")</f>
        <v/>
      </c>
      <c r="O219" s="4" t="str">
        <f>IFERROR(__xludf.DUMMYFUNCTION("""COMPUTED_VALUE"""),"")</f>
        <v/>
      </c>
      <c r="P219" s="4" t="str">
        <f>IFERROR(__xludf.DUMMYFUNCTION("""COMPUTED_VALUE"""),"")</f>
        <v/>
      </c>
      <c r="Q219" s="4" t="str">
        <f>IFERROR(__xludf.DUMMYFUNCTION("""COMPUTED_VALUE"""),"")</f>
        <v/>
      </c>
      <c r="R219" s="4" t="str">
        <f>IFERROR(__xludf.DUMMYFUNCTION("""COMPUTED_VALUE"""),"")</f>
        <v/>
      </c>
    </row>
    <row r="220">
      <c r="A220" s="4" t="str">
        <f>IFERROR(__xludf.DUMMYFUNCTION("""COMPUTED_VALUE"""),"239 - Channel 5")</f>
        <v>239 - Channel 5</v>
      </c>
      <c r="B220" s="4" t="str">
        <f>IFERROR(__xludf.DUMMYFUNCTION("""COMPUTED_VALUE"""),"Day 3 - 25/06")</f>
        <v>Day 3 - 25/06</v>
      </c>
      <c r="C220" s="6">
        <f>IFERROR(__xludf.DUMMYFUNCTION("""COMPUTED_VALUE"""),0.5384953703703709)</f>
        <v>0.5384953704</v>
      </c>
      <c r="D220" s="8">
        <f>IFERROR(__xludf.DUMMYFUNCTION("""COMPUTED_VALUE"""),3.4722222222222224E-4)</f>
        <v>0.0003472222222</v>
      </c>
      <c r="E220" s="6">
        <f>IFERROR(__xludf.DUMMYFUNCTION("""COMPUTED_VALUE"""),0.5388425925925932)</f>
        <v>0.5388425926</v>
      </c>
      <c r="F220" s="4" t="str">
        <f>IFERROR(__xludf.DUMMYFUNCTION("""COMPUTED_VALUE"""),"")</f>
        <v/>
      </c>
      <c r="G220" s="4" t="str">
        <f>IFERROR(__xludf.DUMMYFUNCTION("""COMPUTED_VALUE"""),"")</f>
        <v/>
      </c>
      <c r="H220" s="4" t="str">
        <f>IFERROR(__xludf.DUMMYFUNCTION("""COMPUTED_VALUE"""),"")</f>
        <v/>
      </c>
      <c r="I220" s="4" t="str">
        <f>IFERROR(__xludf.DUMMYFUNCTION("""COMPUTED_VALUE"""),"")</f>
        <v/>
      </c>
      <c r="J220" s="4" t="str">
        <f>IFERROR(__xludf.DUMMYFUNCTION("""COMPUTED_VALUE"""),"")</f>
        <v/>
      </c>
      <c r="K220" s="4" t="str">
        <f>IFERROR(__xludf.DUMMYFUNCTION("""COMPUTED_VALUE"""),"Talk Intro")</f>
        <v>Talk Intro</v>
      </c>
      <c r="L220" s="4" t="str">
        <f>IFERROR(__xludf.DUMMYFUNCTION("""COMPUTED_VALUE"""),"")</f>
        <v/>
      </c>
      <c r="M220" s="4" t="str">
        <f>IFERROR(__xludf.DUMMYFUNCTION("""COMPUTED_VALUE"""),"")</f>
        <v/>
      </c>
      <c r="N220" s="4" t="str">
        <f>IFERROR(__xludf.DUMMYFUNCTION("""COMPUTED_VALUE"""),"")</f>
        <v/>
      </c>
      <c r="O220" s="4" t="str">
        <f>IFERROR(__xludf.DUMMYFUNCTION("""COMPUTED_VALUE"""),"")</f>
        <v/>
      </c>
      <c r="P220" s="4" t="str">
        <f>IFERROR(__xludf.DUMMYFUNCTION("""COMPUTED_VALUE"""),"")</f>
        <v/>
      </c>
      <c r="Q220" s="4" t="str">
        <f>IFERROR(__xludf.DUMMYFUNCTION("""COMPUTED_VALUE"""),"")</f>
        <v/>
      </c>
      <c r="R220" s="4" t="str">
        <f>IFERROR(__xludf.DUMMYFUNCTION("""COMPUTED_VALUE"""),"")</f>
        <v/>
      </c>
    </row>
    <row r="221">
      <c r="A221" s="4" t="str">
        <f>IFERROR(__xludf.DUMMYFUNCTION("""COMPUTED_VALUE"""),"240 - Channel 5")</f>
        <v>240 - Channel 5</v>
      </c>
      <c r="B221" s="4" t="str">
        <f>IFERROR(__xludf.DUMMYFUNCTION("""COMPUTED_VALUE"""),"Day 3 - 25/06")</f>
        <v>Day 3 - 25/06</v>
      </c>
      <c r="C221" s="6">
        <f>IFERROR(__xludf.DUMMYFUNCTION("""COMPUTED_VALUE"""),0.5388425925925932)</f>
        <v>0.5388425926</v>
      </c>
      <c r="D221" s="8">
        <f>IFERROR(__xludf.DUMMYFUNCTION("""COMPUTED_VALUE"""),0.015347222222222222)</f>
        <v>0.01534722222</v>
      </c>
      <c r="E221" s="6">
        <f>IFERROR(__xludf.DUMMYFUNCTION("""COMPUTED_VALUE"""),0.5541898148148153)</f>
        <v>0.5541898148</v>
      </c>
      <c r="F221" s="4" t="str">
        <f>IFERROR(__xludf.DUMMYFUNCTION("""COMPUTED_VALUE"""),"Investment")</f>
        <v>Investment</v>
      </c>
      <c r="G221" s="4" t="str">
        <f>IFERROR(__xludf.DUMMYFUNCTION("""COMPUTED_VALUE"""),"RISE 2015")</f>
        <v>RISE 2015</v>
      </c>
      <c r="H221" s="21" t="str">
        <f>IFERROR(__xludf.DUMMYFUNCTION("""COMPUTED_VALUE"""),"https://www.youtube.com/watch?v=k25nALbTcDs")</f>
        <v>https://www.youtube.com/watch?v=k25nALbTcDs</v>
      </c>
      <c r="I221" s="4" t="str">
        <f>IFERROR(__xludf.DUMMYFUNCTION("""COMPUTED_VALUE"""),"Start 5 seconds. After that fine.")</f>
        <v>Start 5 seconds. After that fine.</v>
      </c>
      <c r="J221" s="4" t="str">
        <f>IFERROR(__xludf.DUMMYFUNCTION("""COMPUTED_VALUE"""),"No")</f>
        <v>No</v>
      </c>
      <c r="K221" s="4" t="str">
        <f>IFERROR(__xludf.DUMMYFUNCTION("""COMPUTED_VALUE"""),"Jenny Lee deciphers investing in China")</f>
        <v>Jenny Lee deciphers investing in China</v>
      </c>
      <c r="L221" s="4" t="str">
        <f>IFERROR(__xludf.DUMMYFUNCTION("""COMPUTED_VALUE"""),"Jenny Lee, GGV Capital")</f>
        <v>Jenny Lee, GGV Capital</v>
      </c>
      <c r="M221" s="4" t="str">
        <f>IFERROR(__xludf.DUMMYFUNCTION("""COMPUTED_VALUE"""),"")</f>
        <v/>
      </c>
      <c r="N221" s="4" t="str">
        <f>IFERROR(__xludf.DUMMYFUNCTION("""COMPUTED_VALUE"""),"")</f>
        <v/>
      </c>
      <c r="O221" s="4" t="str">
        <f>IFERROR(__xludf.DUMMYFUNCTION("""COMPUTED_VALUE"""),"")</f>
        <v/>
      </c>
      <c r="P221" s="4" t="str">
        <f>IFERROR(__xludf.DUMMYFUNCTION("""COMPUTED_VALUE"""),"")</f>
        <v/>
      </c>
      <c r="Q221" s="4" t="str">
        <f>IFERROR(__xludf.DUMMYFUNCTION("""COMPUTED_VALUE"""),"Join this fireside to find out why GGV Capital’s Jenny Lee – one of the world’s leading female investors – sees Asia as the next innovation hub, how she deciphers the Chinese markets, and what her own checklist is when creating a good product.")</f>
        <v>Join this fireside to find out why GGV Capital’s Jenny Lee – one of the world’s leading female investors – sees Asia as the next innovation hub, how she deciphers the Chinese markets, and what her own checklist is when creating a good product.</v>
      </c>
      <c r="R221" s="4" t="str">
        <f>IFERROR(__xludf.DUMMYFUNCTION("""COMPUTED_VALUE"""),"")</f>
        <v/>
      </c>
    </row>
    <row r="222">
      <c r="A222" s="4" t="str">
        <f>IFERROR(__xludf.DUMMYFUNCTION("""COMPUTED_VALUE"""),"241 - Channel 5")</f>
        <v>241 - Channel 5</v>
      </c>
      <c r="B222" s="4" t="str">
        <f>IFERROR(__xludf.DUMMYFUNCTION("""COMPUTED_VALUE"""),"Day 3 - 25/06")</f>
        <v>Day 3 - 25/06</v>
      </c>
      <c r="C222" s="6">
        <f>IFERROR(__xludf.DUMMYFUNCTION("""COMPUTED_VALUE"""),0.5541898148148153)</f>
        <v>0.5541898148</v>
      </c>
      <c r="D222" s="8">
        <f>IFERROR(__xludf.DUMMYFUNCTION("""COMPUTED_VALUE"""),1.7361111111111112E-4)</f>
        <v>0.0001736111111</v>
      </c>
      <c r="E222" s="6">
        <f>IFERROR(__xludf.DUMMYFUNCTION("""COMPUTED_VALUE"""),0.5543634259259265)</f>
        <v>0.5543634259</v>
      </c>
      <c r="F222" s="4" t="str">
        <f>IFERROR(__xludf.DUMMYFUNCTION("""COMPUTED_VALUE"""),"")</f>
        <v/>
      </c>
      <c r="G222" s="4" t="str">
        <f>IFERROR(__xludf.DUMMYFUNCTION("""COMPUTED_VALUE"""),"")</f>
        <v/>
      </c>
      <c r="H222" s="4" t="str">
        <f>IFERROR(__xludf.DUMMYFUNCTION("""COMPUTED_VALUE"""),"")</f>
        <v/>
      </c>
      <c r="I222" s="4" t="str">
        <f>IFERROR(__xludf.DUMMYFUNCTION("""COMPUTED_VALUE"""),"")</f>
        <v/>
      </c>
      <c r="J222" s="4" t="str">
        <f>IFERROR(__xludf.DUMMYFUNCTION("""COMPUTED_VALUE"""),"")</f>
        <v/>
      </c>
      <c r="K222" s="4" t="str">
        <f>IFERROR(__xludf.DUMMYFUNCTION("""COMPUTED_VALUE"""),"Talk Outro")</f>
        <v>Talk Outro</v>
      </c>
      <c r="L222" s="4" t="str">
        <f>IFERROR(__xludf.DUMMYFUNCTION("""COMPUTED_VALUE"""),"")</f>
        <v/>
      </c>
      <c r="M222" s="4" t="str">
        <f>IFERROR(__xludf.DUMMYFUNCTION("""COMPUTED_VALUE"""),"")</f>
        <v/>
      </c>
      <c r="N222" s="4" t="str">
        <f>IFERROR(__xludf.DUMMYFUNCTION("""COMPUTED_VALUE"""),"")</f>
        <v/>
      </c>
      <c r="O222" s="4" t="str">
        <f>IFERROR(__xludf.DUMMYFUNCTION("""COMPUTED_VALUE"""),"")</f>
        <v/>
      </c>
      <c r="P222" s="4" t="str">
        <f>IFERROR(__xludf.DUMMYFUNCTION("""COMPUTED_VALUE"""),"")</f>
        <v/>
      </c>
      <c r="Q222" s="4" t="str">
        <f>IFERROR(__xludf.DUMMYFUNCTION("""COMPUTED_VALUE"""),"")</f>
        <v/>
      </c>
      <c r="R222" s="4" t="str">
        <f>IFERROR(__xludf.DUMMYFUNCTION("""COMPUTED_VALUE"""),"")</f>
        <v/>
      </c>
    </row>
    <row r="223">
      <c r="A223" s="4" t="str">
        <f>IFERROR(__xludf.DUMMYFUNCTION("""COMPUTED_VALUE"""),"348 - Channel 5")</f>
        <v>348 - Channel 5</v>
      </c>
      <c r="B223" s="4" t="str">
        <f>IFERROR(__xludf.DUMMYFUNCTION("""COMPUTED_VALUE"""),"Day 3 - 25/06")</f>
        <v>Day 3 - 25/06</v>
      </c>
      <c r="C223" s="6">
        <f>IFERROR(__xludf.DUMMYFUNCTION("""COMPUTED_VALUE"""),0.5543634259259265)</f>
        <v>0.5543634259</v>
      </c>
      <c r="D223" s="8">
        <f>IFERROR(__xludf.DUMMYFUNCTION("""COMPUTED_VALUE"""),6.944444444444445E-4)</f>
        <v>0.0006944444444</v>
      </c>
      <c r="E223" s="6">
        <f>IFERROR(__xludf.DUMMYFUNCTION("""COMPUTED_VALUE"""),0.5550578703703709)</f>
        <v>0.5550578704</v>
      </c>
      <c r="F223" s="4" t="str">
        <f>IFERROR(__xludf.DUMMYFUNCTION("""COMPUTED_VALUE"""),"")</f>
        <v/>
      </c>
      <c r="G223" s="4" t="str">
        <f>IFERROR(__xludf.DUMMYFUNCTION("""COMPUTED_VALUE"""),"")</f>
        <v/>
      </c>
      <c r="H223" s="4" t="str">
        <f>IFERROR(__xludf.DUMMYFUNCTION("""COMPUTED_VALUE"""),"")</f>
        <v/>
      </c>
      <c r="I223" s="4" t="str">
        <f>IFERROR(__xludf.DUMMYFUNCTION("""COMPUTED_VALUE"""),"")</f>
        <v/>
      </c>
      <c r="J223" s="4" t="str">
        <f>IFERROR(__xludf.DUMMYFUNCTION("""COMPUTED_VALUE"""),"")</f>
        <v/>
      </c>
      <c r="K223" s="4" t="str">
        <f>IFERROR(__xludf.DUMMYFUNCTION("""COMPUTED_VALUE"""),"Holding Graphic")</f>
        <v>Holding Graphic</v>
      </c>
      <c r="L223" s="4" t="str">
        <f>IFERROR(__xludf.DUMMYFUNCTION("""COMPUTED_VALUE"""),"")</f>
        <v/>
      </c>
      <c r="M223" s="4" t="str">
        <f>IFERROR(__xludf.DUMMYFUNCTION("""COMPUTED_VALUE"""),"")</f>
        <v/>
      </c>
      <c r="N223" s="4" t="str">
        <f>IFERROR(__xludf.DUMMYFUNCTION("""COMPUTED_VALUE"""),"")</f>
        <v/>
      </c>
      <c r="O223" s="4" t="str">
        <f>IFERROR(__xludf.DUMMYFUNCTION("""COMPUTED_VALUE"""),"")</f>
        <v/>
      </c>
      <c r="P223" s="4" t="str">
        <f>IFERROR(__xludf.DUMMYFUNCTION("""COMPUTED_VALUE"""),"")</f>
        <v/>
      </c>
      <c r="Q223" s="4" t="str">
        <f>IFERROR(__xludf.DUMMYFUNCTION("""COMPUTED_VALUE"""),"")</f>
        <v/>
      </c>
      <c r="R223" s="4" t="str">
        <f>IFERROR(__xludf.DUMMYFUNCTION("""COMPUTED_VALUE"""),"")</f>
        <v/>
      </c>
    </row>
    <row r="224">
      <c r="A224" s="4" t="str">
        <f>IFERROR(__xludf.DUMMYFUNCTION("""COMPUTED_VALUE"""),"242 - Channel 5")</f>
        <v>242 - Channel 5</v>
      </c>
      <c r="B224" s="4" t="str">
        <f>IFERROR(__xludf.DUMMYFUNCTION("""COMPUTED_VALUE"""),"Day 3 - 25/06")</f>
        <v>Day 3 - 25/06</v>
      </c>
      <c r="C224" s="6">
        <f>IFERROR(__xludf.DUMMYFUNCTION("""COMPUTED_VALUE"""),0.5550578703703709)</f>
        <v>0.5550578704</v>
      </c>
      <c r="D224" s="8">
        <f>IFERROR(__xludf.DUMMYFUNCTION("""COMPUTED_VALUE"""),5.208333333333333E-4)</f>
        <v>0.0005208333333</v>
      </c>
      <c r="E224" s="6">
        <f>IFERROR(__xludf.DUMMYFUNCTION("""COMPUTED_VALUE"""),0.5555787037037042)</f>
        <v>0.5555787037</v>
      </c>
      <c r="F224" s="4" t="str">
        <f>IFERROR(__xludf.DUMMYFUNCTION("""COMPUTED_VALUE"""),"")</f>
        <v/>
      </c>
      <c r="G224" s="4" t="str">
        <f>IFERROR(__xludf.DUMMYFUNCTION("""COMPUTED_VALUE"""),"")</f>
        <v/>
      </c>
      <c r="H224" s="4" t="str">
        <f>IFERROR(__xludf.DUMMYFUNCTION("""COMPUTED_VALUE"""),"")</f>
        <v/>
      </c>
      <c r="I224" s="4" t="str">
        <f>IFERROR(__xludf.DUMMYFUNCTION("""COMPUTED_VALUE"""),"")</f>
        <v/>
      </c>
      <c r="J224" s="4" t="str">
        <f>IFERROR(__xludf.DUMMYFUNCTION("""COMPUTED_VALUE"""),"")</f>
        <v/>
      </c>
      <c r="K224" s="4" t="str">
        <f>IFERROR(__xludf.DUMMYFUNCTION("""COMPUTED_VALUE"""),"Web Summit Trailer - Full")</f>
        <v>Web Summit Trailer - Full</v>
      </c>
      <c r="L224" s="4" t="str">
        <f>IFERROR(__xludf.DUMMYFUNCTION("""COMPUTED_VALUE"""),"")</f>
        <v/>
      </c>
      <c r="M224" s="4" t="str">
        <f>IFERROR(__xludf.DUMMYFUNCTION("""COMPUTED_VALUE"""),"")</f>
        <v/>
      </c>
      <c r="N224" s="4" t="str">
        <f>IFERROR(__xludf.DUMMYFUNCTION("""COMPUTED_VALUE"""),"")</f>
        <v/>
      </c>
      <c r="O224" s="4" t="str">
        <f>IFERROR(__xludf.DUMMYFUNCTION("""COMPUTED_VALUE"""),"")</f>
        <v/>
      </c>
      <c r="P224" s="4" t="str">
        <f>IFERROR(__xludf.DUMMYFUNCTION("""COMPUTED_VALUE"""),"")</f>
        <v/>
      </c>
      <c r="Q224" s="4" t="str">
        <f>IFERROR(__xludf.DUMMYFUNCTION("""COMPUTED_VALUE"""),"")</f>
        <v/>
      </c>
      <c r="R224" s="4" t="str">
        <f>IFERROR(__xludf.DUMMYFUNCTION("""COMPUTED_VALUE"""),"")</f>
        <v/>
      </c>
    </row>
    <row r="225">
      <c r="A225" s="4" t="str">
        <f>IFERROR(__xludf.DUMMYFUNCTION("""COMPUTED_VALUE"""),"243 - Channel 5")</f>
        <v>243 - Channel 5</v>
      </c>
      <c r="B225" s="4" t="str">
        <f>IFERROR(__xludf.DUMMYFUNCTION("""COMPUTED_VALUE"""),"Day 3 - 25/06")</f>
        <v>Day 3 - 25/06</v>
      </c>
      <c r="C225" s="6">
        <f>IFERROR(__xludf.DUMMYFUNCTION("""COMPUTED_VALUE"""),0.5555787037037042)</f>
        <v>0.5555787037</v>
      </c>
      <c r="D225" s="8">
        <f>IFERROR(__xludf.DUMMYFUNCTION("""COMPUTED_VALUE"""),3.4722222222222224E-4)</f>
        <v>0.0003472222222</v>
      </c>
      <c r="E225" s="6">
        <f>IFERROR(__xludf.DUMMYFUNCTION("""COMPUTED_VALUE"""),0.5559259259259265)</f>
        <v>0.5559259259</v>
      </c>
      <c r="F225" s="4" t="str">
        <f>IFERROR(__xludf.DUMMYFUNCTION("""COMPUTED_VALUE"""),"")</f>
        <v/>
      </c>
      <c r="G225" s="4" t="str">
        <f>IFERROR(__xludf.DUMMYFUNCTION("""COMPUTED_VALUE"""),"")</f>
        <v/>
      </c>
      <c r="H225" s="4" t="str">
        <f>IFERROR(__xludf.DUMMYFUNCTION("""COMPUTED_VALUE"""),"")</f>
        <v/>
      </c>
      <c r="I225" s="4" t="str">
        <f>IFERROR(__xludf.DUMMYFUNCTION("""COMPUTED_VALUE"""),"")</f>
        <v/>
      </c>
      <c r="J225" s="4" t="str">
        <f>IFERROR(__xludf.DUMMYFUNCTION("""COMPUTED_VALUE"""),"")</f>
        <v/>
      </c>
      <c r="K225" s="4" t="str">
        <f>IFERROR(__xludf.DUMMYFUNCTION("""COMPUTED_VALUE"""),"Talk Intro")</f>
        <v>Talk Intro</v>
      </c>
      <c r="L225" s="4" t="str">
        <f>IFERROR(__xludf.DUMMYFUNCTION("""COMPUTED_VALUE"""),"")</f>
        <v/>
      </c>
      <c r="M225" s="4" t="str">
        <f>IFERROR(__xludf.DUMMYFUNCTION("""COMPUTED_VALUE"""),"")</f>
        <v/>
      </c>
      <c r="N225" s="4" t="str">
        <f>IFERROR(__xludf.DUMMYFUNCTION("""COMPUTED_VALUE"""),"")</f>
        <v/>
      </c>
      <c r="O225" s="4" t="str">
        <f>IFERROR(__xludf.DUMMYFUNCTION("""COMPUTED_VALUE"""),"")</f>
        <v/>
      </c>
      <c r="P225" s="4" t="str">
        <f>IFERROR(__xludf.DUMMYFUNCTION("""COMPUTED_VALUE"""),"")</f>
        <v/>
      </c>
      <c r="Q225" s="4" t="str">
        <f>IFERROR(__xludf.DUMMYFUNCTION("""COMPUTED_VALUE"""),"")</f>
        <v/>
      </c>
      <c r="R225" s="4" t="str">
        <f>IFERROR(__xludf.DUMMYFUNCTION("""COMPUTED_VALUE"""),"")</f>
        <v/>
      </c>
    </row>
    <row r="226">
      <c r="A226" s="4" t="str">
        <f>IFERROR(__xludf.DUMMYFUNCTION("""COMPUTED_VALUE"""),"244 - Channel 5")</f>
        <v>244 - Channel 5</v>
      </c>
      <c r="B226" s="4" t="str">
        <f>IFERROR(__xludf.DUMMYFUNCTION("""COMPUTED_VALUE"""),"Day 3 - 25/06")</f>
        <v>Day 3 - 25/06</v>
      </c>
      <c r="C226" s="6">
        <f>IFERROR(__xludf.DUMMYFUNCTION("""COMPUTED_VALUE"""),0.5559259259259265)</f>
        <v>0.5559259259</v>
      </c>
      <c r="D226" s="8">
        <f>IFERROR(__xludf.DUMMYFUNCTION("""COMPUTED_VALUE"""),0.006944444444444444)</f>
        <v>0.006944444444</v>
      </c>
      <c r="E226" s="6">
        <f>IFERROR(__xludf.DUMMYFUNCTION("""COMPUTED_VALUE"""),0.5628703703703709)</f>
        <v>0.5628703704</v>
      </c>
      <c r="F226" s="4" t="str">
        <f>IFERROR(__xludf.DUMMYFUNCTION("""COMPUTED_VALUE"""),"Marketing")</f>
        <v>Marketing</v>
      </c>
      <c r="G226" s="4" t="str">
        <f>IFERROR(__xludf.DUMMYFUNCTION("""COMPUTED_VALUE"""),"")</f>
        <v/>
      </c>
      <c r="H226" s="4" t="str">
        <f>IFERROR(__xludf.DUMMYFUNCTION("""COMPUTED_VALUE"""),"")</f>
        <v/>
      </c>
      <c r="I226" s="4" t="str">
        <f>IFERROR(__xludf.DUMMYFUNCTION("""COMPUTED_VALUE"""),"")</f>
        <v/>
      </c>
      <c r="J226" s="4" t="str">
        <f>IFERROR(__xludf.DUMMYFUNCTION("""COMPUTED_VALUE"""),"No")</f>
        <v>No</v>
      </c>
      <c r="K226" s="4" t="str">
        <f>IFERROR(__xludf.DUMMYFUNCTION("""COMPUTED_VALUE"""),"Top 5 marketing talks")</f>
        <v>Top 5 marketing talks</v>
      </c>
      <c r="L226" s="4" t="str">
        <f>IFERROR(__xludf.DUMMYFUNCTION("""COMPUTED_VALUE"""),"Gail Heimann, Weber Shandwick")</f>
        <v>Gail Heimann, Weber Shandwick</v>
      </c>
      <c r="M226" s="4" t="str">
        <f>IFERROR(__xludf.DUMMYFUNCTION("""COMPUTED_VALUE"""),"Brad Parscale, Donald J. Trump Presidential Campaign")</f>
        <v>Brad Parscale, Donald J. Trump Presidential Campaign</v>
      </c>
      <c r="N226" s="4" t="str">
        <f>IFERROR(__xludf.DUMMYFUNCTION("""COMPUTED_VALUE"""),"Barbara Martin Coppola, IKEA")</f>
        <v>Barbara Martin Coppola, IKEA</v>
      </c>
      <c r="O226" s="4" t="str">
        <f>IFERROR(__xludf.DUMMYFUNCTION("""COMPUTED_VALUE"""),"Brian Halligan, HubSpot")</f>
        <v>Brian Halligan, HubSpot</v>
      </c>
      <c r="P226" s="4" t="str">
        <f>IFERROR(__xludf.DUMMYFUNCTION("""COMPUTED_VALUE"""),"Zander Lurie, SurveyMonkey")</f>
        <v>Zander Lurie, SurveyMonkey</v>
      </c>
      <c r="Q226" s="4" t="str">
        <f>IFERROR(__xludf.DUMMYFUNCTION("""COMPUTED_VALUE"""),"If you want to learn how to be a great marketer then you need to tune in now. These five are some of the best in the business! ")</f>
        <v>If you want to learn how to be a great marketer then you need to tune in now. These five are some of the best in the business! </v>
      </c>
      <c r="R226" s="4" t="str">
        <f>IFERROR(__xludf.DUMMYFUNCTION("""COMPUTED_VALUE"""),"")</f>
        <v/>
      </c>
    </row>
    <row r="227">
      <c r="A227" s="4" t="str">
        <f>IFERROR(__xludf.DUMMYFUNCTION("""COMPUTED_VALUE"""),"245 - Channel 5")</f>
        <v>245 - Channel 5</v>
      </c>
      <c r="B227" s="4" t="str">
        <f>IFERROR(__xludf.DUMMYFUNCTION("""COMPUTED_VALUE"""),"Day 3 - 25/06")</f>
        <v>Day 3 - 25/06</v>
      </c>
      <c r="C227" s="6">
        <f>IFERROR(__xludf.DUMMYFUNCTION("""COMPUTED_VALUE"""),0.5628703703703709)</f>
        <v>0.5628703704</v>
      </c>
      <c r="D227" s="8">
        <f>IFERROR(__xludf.DUMMYFUNCTION("""COMPUTED_VALUE"""),1.7361111111111112E-4)</f>
        <v>0.0001736111111</v>
      </c>
      <c r="E227" s="6">
        <f>IFERROR(__xludf.DUMMYFUNCTION("""COMPUTED_VALUE"""),0.563043981481482)</f>
        <v>0.5630439815</v>
      </c>
      <c r="F227" s="4" t="str">
        <f>IFERROR(__xludf.DUMMYFUNCTION("""COMPUTED_VALUE"""),"")</f>
        <v/>
      </c>
      <c r="G227" s="4" t="str">
        <f>IFERROR(__xludf.DUMMYFUNCTION("""COMPUTED_VALUE"""),"")</f>
        <v/>
      </c>
      <c r="H227" s="4" t="str">
        <f>IFERROR(__xludf.DUMMYFUNCTION("""COMPUTED_VALUE"""),"")</f>
        <v/>
      </c>
      <c r="I227" s="4" t="str">
        <f>IFERROR(__xludf.DUMMYFUNCTION("""COMPUTED_VALUE"""),"")</f>
        <v/>
      </c>
      <c r="J227" s="4" t="str">
        <f>IFERROR(__xludf.DUMMYFUNCTION("""COMPUTED_VALUE"""),"")</f>
        <v/>
      </c>
      <c r="K227" s="4" t="str">
        <f>IFERROR(__xludf.DUMMYFUNCTION("""COMPUTED_VALUE"""),"Talk Outro")</f>
        <v>Talk Outro</v>
      </c>
      <c r="L227" s="4" t="str">
        <f>IFERROR(__xludf.DUMMYFUNCTION("""COMPUTED_VALUE"""),"")</f>
        <v/>
      </c>
      <c r="M227" s="4" t="str">
        <f>IFERROR(__xludf.DUMMYFUNCTION("""COMPUTED_VALUE"""),"")</f>
        <v/>
      </c>
      <c r="N227" s="4" t="str">
        <f>IFERROR(__xludf.DUMMYFUNCTION("""COMPUTED_VALUE"""),"")</f>
        <v/>
      </c>
      <c r="O227" s="4" t="str">
        <f>IFERROR(__xludf.DUMMYFUNCTION("""COMPUTED_VALUE"""),"")</f>
        <v/>
      </c>
      <c r="P227" s="4" t="str">
        <f>IFERROR(__xludf.DUMMYFUNCTION("""COMPUTED_VALUE"""),"")</f>
        <v/>
      </c>
      <c r="Q227" s="4" t="str">
        <f>IFERROR(__xludf.DUMMYFUNCTION("""COMPUTED_VALUE"""),"")</f>
        <v/>
      </c>
      <c r="R227" s="4" t="str">
        <f>IFERROR(__xludf.DUMMYFUNCTION("""COMPUTED_VALUE"""),"")</f>
        <v/>
      </c>
    </row>
    <row r="228">
      <c r="A228" s="4" t="str">
        <f>IFERROR(__xludf.DUMMYFUNCTION("""COMPUTED_VALUE"""),"340 - Channel 5")</f>
        <v>340 - Channel 5</v>
      </c>
      <c r="B228" s="4" t="str">
        <f>IFERROR(__xludf.DUMMYFUNCTION("""COMPUTED_VALUE"""),"Day 3 - 25/06")</f>
        <v>Day 3 - 25/06</v>
      </c>
      <c r="C228" s="6">
        <f>IFERROR(__xludf.DUMMYFUNCTION("""COMPUTED_VALUE"""),0.563043981481482)</f>
        <v>0.5630439815</v>
      </c>
      <c r="D228" s="8">
        <f>IFERROR(__xludf.DUMMYFUNCTION("""COMPUTED_VALUE"""),1.7361111111111112E-4)</f>
        <v>0.0001736111111</v>
      </c>
      <c r="E228" s="6">
        <f>IFERROR(__xludf.DUMMYFUNCTION("""COMPUTED_VALUE"""),0.5632175925925932)</f>
        <v>0.5632175926</v>
      </c>
      <c r="F228" s="4" t="str">
        <f>IFERROR(__xludf.DUMMYFUNCTION("""COMPUTED_VALUE"""),"")</f>
        <v/>
      </c>
      <c r="G228" s="4" t="str">
        <f>IFERROR(__xludf.DUMMYFUNCTION("""COMPUTED_VALUE"""),"")</f>
        <v/>
      </c>
      <c r="H228" s="4" t="str">
        <f>IFERROR(__xludf.DUMMYFUNCTION("""COMPUTED_VALUE"""),"")</f>
        <v/>
      </c>
      <c r="I228" s="4" t="str">
        <f>IFERROR(__xludf.DUMMYFUNCTION("""COMPUTED_VALUE"""),"")</f>
        <v/>
      </c>
      <c r="J228" s="4" t="str">
        <f>IFERROR(__xludf.DUMMYFUNCTION("""COMPUTED_VALUE"""),"")</f>
        <v/>
      </c>
      <c r="K228" s="4" t="str">
        <f>IFERROR(__xludf.DUMMYFUNCTION("""COMPUTED_VALUE"""),"Holding Graphic")</f>
        <v>Holding Graphic</v>
      </c>
      <c r="L228" s="4" t="str">
        <f>IFERROR(__xludf.DUMMYFUNCTION("""COMPUTED_VALUE"""),"")</f>
        <v/>
      </c>
      <c r="M228" s="4" t="str">
        <f>IFERROR(__xludf.DUMMYFUNCTION("""COMPUTED_VALUE"""),"")</f>
        <v/>
      </c>
      <c r="N228" s="4" t="str">
        <f>IFERROR(__xludf.DUMMYFUNCTION("""COMPUTED_VALUE"""),"")</f>
        <v/>
      </c>
      <c r="O228" s="4" t="str">
        <f>IFERROR(__xludf.DUMMYFUNCTION("""COMPUTED_VALUE"""),"")</f>
        <v/>
      </c>
      <c r="P228" s="4" t="str">
        <f>IFERROR(__xludf.DUMMYFUNCTION("""COMPUTED_VALUE"""),"")</f>
        <v/>
      </c>
      <c r="Q228" s="4" t="str">
        <f>IFERROR(__xludf.DUMMYFUNCTION("""COMPUTED_VALUE"""),"")</f>
        <v/>
      </c>
      <c r="R228" s="4" t="str">
        <f>IFERROR(__xludf.DUMMYFUNCTION("""COMPUTED_VALUE"""),"")</f>
        <v/>
      </c>
    </row>
    <row r="229">
      <c r="A229" s="4" t="str">
        <f>IFERROR(__xludf.DUMMYFUNCTION("""COMPUTED_VALUE"""),"247 - Channel 5")</f>
        <v>247 - Channel 5</v>
      </c>
      <c r="B229" s="4" t="str">
        <f>IFERROR(__xludf.DUMMYFUNCTION("""COMPUTED_VALUE"""),"Day 3 - 25/06")</f>
        <v>Day 3 - 25/06</v>
      </c>
      <c r="C229" s="6">
        <f>IFERROR(__xludf.DUMMYFUNCTION("""COMPUTED_VALUE"""),0.5632175925925932)</f>
        <v>0.5632175926</v>
      </c>
      <c r="D229" s="8">
        <f>IFERROR(__xludf.DUMMYFUNCTION("""COMPUTED_VALUE"""),3.4722222222222224E-4)</f>
        <v>0.0003472222222</v>
      </c>
      <c r="E229" s="6">
        <f>IFERROR(__xludf.DUMMYFUNCTION("""COMPUTED_VALUE"""),0.5635648148148155)</f>
        <v>0.5635648148</v>
      </c>
      <c r="F229" s="4" t="str">
        <f>IFERROR(__xludf.DUMMYFUNCTION("""COMPUTED_VALUE"""),"")</f>
        <v/>
      </c>
      <c r="G229" s="4" t="str">
        <f>IFERROR(__xludf.DUMMYFUNCTION("""COMPUTED_VALUE"""),"")</f>
        <v/>
      </c>
      <c r="H229" s="4" t="str">
        <f>IFERROR(__xludf.DUMMYFUNCTION("""COMPUTED_VALUE"""),"")</f>
        <v/>
      </c>
      <c r="I229" s="4" t="str">
        <f>IFERROR(__xludf.DUMMYFUNCTION("""COMPUTED_VALUE"""),"")</f>
        <v/>
      </c>
      <c r="J229" s="4" t="str">
        <f>IFERROR(__xludf.DUMMYFUNCTION("""COMPUTED_VALUE"""),"")</f>
        <v/>
      </c>
      <c r="K229" s="4" t="str">
        <f>IFERROR(__xludf.DUMMYFUNCTION("""COMPUTED_VALUE"""),"Talk Intro")</f>
        <v>Talk Intro</v>
      </c>
      <c r="L229" s="4" t="str">
        <f>IFERROR(__xludf.DUMMYFUNCTION("""COMPUTED_VALUE"""),"")</f>
        <v/>
      </c>
      <c r="M229" s="4" t="str">
        <f>IFERROR(__xludf.DUMMYFUNCTION("""COMPUTED_VALUE"""),"")</f>
        <v/>
      </c>
      <c r="N229" s="4" t="str">
        <f>IFERROR(__xludf.DUMMYFUNCTION("""COMPUTED_VALUE"""),"")</f>
        <v/>
      </c>
      <c r="O229" s="4" t="str">
        <f>IFERROR(__xludf.DUMMYFUNCTION("""COMPUTED_VALUE"""),"")</f>
        <v/>
      </c>
      <c r="P229" s="4" t="str">
        <f>IFERROR(__xludf.DUMMYFUNCTION("""COMPUTED_VALUE"""),"")</f>
        <v/>
      </c>
      <c r="Q229" s="4" t="str">
        <f>IFERROR(__xludf.DUMMYFUNCTION("""COMPUTED_VALUE"""),"")</f>
        <v/>
      </c>
      <c r="R229" s="4" t="str">
        <f>IFERROR(__xludf.DUMMYFUNCTION("""COMPUTED_VALUE"""),"")</f>
        <v/>
      </c>
    </row>
    <row r="230">
      <c r="A230" s="4" t="str">
        <f>IFERROR(__xludf.DUMMYFUNCTION("""COMPUTED_VALUE"""),"248 - Channel 5")</f>
        <v>248 - Channel 5</v>
      </c>
      <c r="B230" s="4" t="str">
        <f>IFERROR(__xludf.DUMMYFUNCTION("""COMPUTED_VALUE"""),"Day 3 - 25/06")</f>
        <v>Day 3 - 25/06</v>
      </c>
      <c r="C230" s="6">
        <f>IFERROR(__xludf.DUMMYFUNCTION("""COMPUTED_VALUE"""),0.5635648148148155)</f>
        <v>0.5635648148</v>
      </c>
      <c r="D230" s="8">
        <f>IFERROR(__xludf.DUMMYFUNCTION("""COMPUTED_VALUE"""),0.030439814814814815)</f>
        <v>0.03043981481</v>
      </c>
      <c r="E230" s="6">
        <f>IFERROR(__xludf.DUMMYFUNCTION("""COMPUTED_VALUE"""),0.5940046296296303)</f>
        <v>0.5940046296</v>
      </c>
      <c r="F230" s="4" t="str">
        <f>IFERROR(__xludf.DUMMYFUNCTION("""COMPUTED_VALUE"""),"Social Media")</f>
        <v>Social Media</v>
      </c>
      <c r="G230" s="4" t="str">
        <f>IFERROR(__xludf.DUMMYFUNCTION("""COMPUTED_VALUE"""),"Collision 2017")</f>
        <v>Collision 2017</v>
      </c>
      <c r="H230" s="21" t="str">
        <f>IFERROR(__xludf.DUMMYFUNCTION("""COMPUTED_VALUE"""),"https://www.youtube.com/watch?v=Jg-T2tE58wI")</f>
        <v>https://www.youtube.com/watch?v=Jg-T2tE58wI</v>
      </c>
      <c r="I230" s="4" t="str">
        <f>IFERROR(__xludf.DUMMYFUNCTION("""COMPUTED_VALUE"""),"few second of black in transition to Q&amp;A at 37:08")</f>
        <v>few second of black in transition to Q&amp;A at 37:08</v>
      </c>
      <c r="J230" s="4" t="str">
        <f>IFERROR(__xludf.DUMMYFUNCTION("""COMPUTED_VALUE"""),"No")</f>
        <v>No</v>
      </c>
      <c r="K230" s="4" t="str">
        <f>IFERROR(__xludf.DUMMYFUNCTION("""COMPUTED_VALUE"""),"What the world needs now, according to Alexis Ohanian")</f>
        <v>What the world needs now, according to Alexis Ohanian</v>
      </c>
      <c r="L230" s="4" t="str">
        <f>IFERROR(__xludf.DUMMYFUNCTION("""COMPUTED_VALUE"""),"Alexis Ohanian, Initialized Capital")</f>
        <v>Alexis Ohanian, Initialized Capital</v>
      </c>
      <c r="M230" s="4" t="str">
        <f>IFERROR(__xludf.DUMMYFUNCTION("""COMPUTED_VALUE"""),"")</f>
        <v/>
      </c>
      <c r="N230" s="4" t="str">
        <f>IFERROR(__xludf.DUMMYFUNCTION("""COMPUTED_VALUE"""),"")</f>
        <v/>
      </c>
      <c r="O230" s="4" t="str">
        <f>IFERROR(__xludf.DUMMYFUNCTION("""COMPUTED_VALUE"""),"")</f>
        <v/>
      </c>
      <c r="P230" s="4" t="str">
        <f>IFERROR(__xludf.DUMMYFUNCTION("""COMPUTED_VALUE"""),"")</f>
        <v/>
      </c>
      <c r="Q230" s="4" t="str">
        <f>IFERROR(__xludf.DUMMYFUNCTION("""COMPUTED_VALUE"""),"Alexis Ohanian joined us at Collision 2017 to talk about what the world needs: community and conversation. In today's world of isolation and quarantine, online platforms that can bring us a sense of community and belonging are far more important than they"&amp;" were even in 2017.")</f>
        <v>Alexis Ohanian joined us at Collision 2017 to talk about what the world needs: community and conversation. In today's world of isolation and quarantine, online platforms that can bring us a sense of community and belonging are far more important than they were even in 2017.</v>
      </c>
      <c r="R230" s="4" t="str">
        <f>IFERROR(__xludf.DUMMYFUNCTION("""COMPUTED_VALUE"""),"")</f>
        <v/>
      </c>
    </row>
    <row r="231">
      <c r="A231" s="4" t="str">
        <f>IFERROR(__xludf.DUMMYFUNCTION("""COMPUTED_VALUE"""),"249 - Channel 5")</f>
        <v>249 - Channel 5</v>
      </c>
      <c r="B231" s="4" t="str">
        <f>IFERROR(__xludf.DUMMYFUNCTION("""COMPUTED_VALUE"""),"Day 3 - 25/06")</f>
        <v>Day 3 - 25/06</v>
      </c>
      <c r="C231" s="6">
        <f>IFERROR(__xludf.DUMMYFUNCTION("""COMPUTED_VALUE"""),0.5940046296296303)</f>
        <v>0.5940046296</v>
      </c>
      <c r="D231" s="8">
        <f>IFERROR(__xludf.DUMMYFUNCTION("""COMPUTED_VALUE"""),1.7361111111111112E-4)</f>
        <v>0.0001736111111</v>
      </c>
      <c r="E231" s="6">
        <f>IFERROR(__xludf.DUMMYFUNCTION("""COMPUTED_VALUE"""),0.5941782407407414)</f>
        <v>0.5941782407</v>
      </c>
      <c r="F231" s="4" t="str">
        <f>IFERROR(__xludf.DUMMYFUNCTION("""COMPUTED_VALUE"""),"")</f>
        <v/>
      </c>
      <c r="G231" s="4" t="str">
        <f>IFERROR(__xludf.DUMMYFUNCTION("""COMPUTED_VALUE"""),"")</f>
        <v/>
      </c>
      <c r="H231" s="4" t="str">
        <f>IFERROR(__xludf.DUMMYFUNCTION("""COMPUTED_VALUE"""),"")</f>
        <v/>
      </c>
      <c r="I231" s="4" t="str">
        <f>IFERROR(__xludf.DUMMYFUNCTION("""COMPUTED_VALUE"""),"")</f>
        <v/>
      </c>
      <c r="J231" s="4" t="str">
        <f>IFERROR(__xludf.DUMMYFUNCTION("""COMPUTED_VALUE"""),"")</f>
        <v/>
      </c>
      <c r="K231" s="4" t="str">
        <f>IFERROR(__xludf.DUMMYFUNCTION("""COMPUTED_VALUE"""),"Talk Outro")</f>
        <v>Talk Outro</v>
      </c>
      <c r="L231" s="4" t="str">
        <f>IFERROR(__xludf.DUMMYFUNCTION("""COMPUTED_VALUE"""),"")</f>
        <v/>
      </c>
      <c r="M231" s="4" t="str">
        <f>IFERROR(__xludf.DUMMYFUNCTION("""COMPUTED_VALUE"""),"")</f>
        <v/>
      </c>
      <c r="N231" s="4" t="str">
        <f>IFERROR(__xludf.DUMMYFUNCTION("""COMPUTED_VALUE"""),"")</f>
        <v/>
      </c>
      <c r="O231" s="4" t="str">
        <f>IFERROR(__xludf.DUMMYFUNCTION("""COMPUTED_VALUE"""),"")</f>
        <v/>
      </c>
      <c r="P231" s="4" t="str">
        <f>IFERROR(__xludf.DUMMYFUNCTION("""COMPUTED_VALUE"""),"")</f>
        <v/>
      </c>
      <c r="Q231" s="4" t="str">
        <f>IFERROR(__xludf.DUMMYFUNCTION("""COMPUTED_VALUE"""),"")</f>
        <v/>
      </c>
      <c r="R231" s="4" t="str">
        <f>IFERROR(__xludf.DUMMYFUNCTION("""COMPUTED_VALUE"""),"")</f>
        <v/>
      </c>
    </row>
    <row r="232">
      <c r="A232" s="4" t="str">
        <f>IFERROR(__xludf.DUMMYFUNCTION("""COMPUTED_VALUE"""),"250 - Channel 5")</f>
        <v>250 - Channel 5</v>
      </c>
      <c r="B232" s="4" t="str">
        <f>IFERROR(__xludf.DUMMYFUNCTION("""COMPUTED_VALUE"""),"Day 3 - 25/06")</f>
        <v>Day 3 - 25/06</v>
      </c>
      <c r="C232" s="6">
        <f>IFERROR(__xludf.DUMMYFUNCTION("""COMPUTED_VALUE"""),0.5941782407407414)</f>
        <v>0.5941782407</v>
      </c>
      <c r="D232" s="8">
        <f>IFERROR(__xludf.DUMMYFUNCTION("""COMPUTED_VALUE"""),3.4722222222222224E-4)</f>
        <v>0.0003472222222</v>
      </c>
      <c r="E232" s="6">
        <f>IFERROR(__xludf.DUMMYFUNCTION("""COMPUTED_VALUE"""),0.5945254629629637)</f>
        <v>0.594525463</v>
      </c>
      <c r="F232" s="4" t="str">
        <f>IFERROR(__xludf.DUMMYFUNCTION("""COMPUTED_VALUE"""),"")</f>
        <v/>
      </c>
      <c r="G232" s="4" t="str">
        <f>IFERROR(__xludf.DUMMYFUNCTION("""COMPUTED_VALUE"""),"")</f>
        <v/>
      </c>
      <c r="H232" s="4" t="str">
        <f>IFERROR(__xludf.DUMMYFUNCTION("""COMPUTED_VALUE"""),"")</f>
        <v/>
      </c>
      <c r="I232" s="4" t="str">
        <f>IFERROR(__xludf.DUMMYFUNCTION("""COMPUTED_VALUE"""),"")</f>
        <v/>
      </c>
      <c r="J232" s="4" t="str">
        <f>IFERROR(__xludf.DUMMYFUNCTION("""COMPUTED_VALUE"""),"")</f>
        <v/>
      </c>
      <c r="K232" s="4" t="str">
        <f>IFERROR(__xludf.DUMMYFUNCTION("""COMPUTED_VALUE"""),"Talk Intro")</f>
        <v>Talk Intro</v>
      </c>
      <c r="L232" s="4" t="str">
        <f>IFERROR(__xludf.DUMMYFUNCTION("""COMPUTED_VALUE"""),"")</f>
        <v/>
      </c>
      <c r="M232" s="4" t="str">
        <f>IFERROR(__xludf.DUMMYFUNCTION("""COMPUTED_VALUE"""),"")</f>
        <v/>
      </c>
      <c r="N232" s="4" t="str">
        <f>IFERROR(__xludf.DUMMYFUNCTION("""COMPUTED_VALUE"""),"")</f>
        <v/>
      </c>
      <c r="O232" s="4" t="str">
        <f>IFERROR(__xludf.DUMMYFUNCTION("""COMPUTED_VALUE"""),"")</f>
        <v/>
      </c>
      <c r="P232" s="4" t="str">
        <f>IFERROR(__xludf.DUMMYFUNCTION("""COMPUTED_VALUE"""),"")</f>
        <v/>
      </c>
      <c r="Q232" s="4" t="str">
        <f>IFERROR(__xludf.DUMMYFUNCTION("""COMPUTED_VALUE"""),"")</f>
        <v/>
      </c>
      <c r="R232" s="4" t="str">
        <f>IFERROR(__xludf.DUMMYFUNCTION("""COMPUTED_VALUE"""),"")</f>
        <v/>
      </c>
    </row>
    <row r="233">
      <c r="A233" s="4" t="str">
        <f>IFERROR(__xludf.DUMMYFUNCTION("""COMPUTED_VALUE"""),"251 - Channel 5")</f>
        <v>251 - Channel 5</v>
      </c>
      <c r="B233" s="4" t="str">
        <f>IFERROR(__xludf.DUMMYFUNCTION("""COMPUTED_VALUE"""),"Day 3 - 25/06")</f>
        <v>Day 3 - 25/06</v>
      </c>
      <c r="C233" s="6">
        <f>IFERROR(__xludf.DUMMYFUNCTION("""COMPUTED_VALUE"""),0.5945254629629637)</f>
        <v>0.594525463</v>
      </c>
      <c r="D233" s="8">
        <f>IFERROR(__xludf.DUMMYFUNCTION("""COMPUTED_VALUE"""),0.01875)</f>
        <v>0.01875</v>
      </c>
      <c r="E233" s="6">
        <f>IFERROR(__xludf.DUMMYFUNCTION("""COMPUTED_VALUE"""),0.6132754629629638)</f>
        <v>0.613275463</v>
      </c>
      <c r="F233" s="4" t="str">
        <f>IFERROR(__xludf.DUMMYFUNCTION("""COMPUTED_VALUE"""),"Leadership")</f>
        <v>Leadership</v>
      </c>
      <c r="G233" s="4" t="str">
        <f>IFERROR(__xludf.DUMMYFUNCTION("""COMPUTED_VALUE"""),"Web Summit 2017")</f>
        <v>Web Summit 2017</v>
      </c>
      <c r="H233" s="21" t="str">
        <f>IFERROR(__xludf.DUMMYFUNCTION("""COMPUTED_VALUE"""),"https://www.youtube.com/watch?v=NFbrnaj6OYI")</f>
        <v>https://www.youtube.com/watch?v=NFbrnaj6OYI</v>
      </c>
      <c r="I233" s="4" t="str">
        <f>IFERROR(__xludf.DUMMYFUNCTION("""COMPUTED_VALUE"""),"Start on 8 seconds. URGENT: Banner 00:26-00:33 needs covered (wrong names). Finish at 27:08.")</f>
        <v>Start on 8 seconds. URGENT: Banner 00:26-00:33 needs covered (wrong names). Finish at 27:08.</v>
      </c>
      <c r="J233" s="4" t="str">
        <f>IFERROR(__xludf.DUMMYFUNCTION("""COMPUTED_VALUE"""),"No")</f>
        <v>No</v>
      </c>
      <c r="K233" s="4" t="str">
        <f>IFERROR(__xludf.DUMMYFUNCTION("""COMPUTED_VALUE"""),"Wladimir Klitschko and Dustin Moskovitz create a successful culture by living it")</f>
        <v>Wladimir Klitschko and Dustin Moskovitz create a successful culture by living it</v>
      </c>
      <c r="L233" s="4" t="str">
        <f>IFERROR(__xludf.DUMMYFUNCTION("""COMPUTED_VALUE"""),"Wladimir Klitschko, Klitschko Ventures")</f>
        <v>Wladimir Klitschko, Klitschko Ventures</v>
      </c>
      <c r="M233" s="4" t="str">
        <f>IFERROR(__xludf.DUMMYFUNCTION("""COMPUTED_VALUE"""),"Dustin Moskovitz, Asana")</f>
        <v>Dustin Moskovitz, Asana</v>
      </c>
      <c r="N233" s="4" t="str">
        <f>IFERROR(__xludf.DUMMYFUNCTION("""COMPUTED_VALUE"""),"")</f>
        <v/>
      </c>
      <c r="O233" s="4" t="str">
        <f>IFERROR(__xludf.DUMMYFUNCTION("""COMPUTED_VALUE"""),"")</f>
        <v/>
      </c>
      <c r="P233" s="4" t="str">
        <f>IFERROR(__xludf.DUMMYFUNCTION("""COMPUTED_VALUE"""),"")</f>
        <v/>
      </c>
      <c r="Q233" s="4" t="str">
        <f>IFERROR(__xludf.DUMMYFUNCTION("""COMPUTED_VALUE"""),"Wladimir Klitschko is one of the most successful boxers of all time. Dustin Moskovitz was a founder of Facebook, one of the most successful companies of all time. At Web Summit 2017, they came together to share some of their secrets to success.")</f>
        <v>Wladimir Klitschko is one of the most successful boxers of all time. Dustin Moskovitz was a founder of Facebook, one of the most successful companies of all time. At Web Summit 2017, they came together to share some of their secrets to success.</v>
      </c>
      <c r="R233" s="4" t="str">
        <f>IFERROR(__xludf.DUMMYFUNCTION("""COMPUTED_VALUE"""),"")</f>
        <v/>
      </c>
    </row>
    <row r="234">
      <c r="A234" s="4" t="str">
        <f>IFERROR(__xludf.DUMMYFUNCTION("""COMPUTED_VALUE"""),"252 - Channel 5")</f>
        <v>252 - Channel 5</v>
      </c>
      <c r="B234" s="4" t="str">
        <f>IFERROR(__xludf.DUMMYFUNCTION("""COMPUTED_VALUE"""),"Day 3 - 25/06")</f>
        <v>Day 3 - 25/06</v>
      </c>
      <c r="C234" s="6">
        <f>IFERROR(__xludf.DUMMYFUNCTION("""COMPUTED_VALUE"""),0.6132754629629638)</f>
        <v>0.613275463</v>
      </c>
      <c r="D234" s="8">
        <f>IFERROR(__xludf.DUMMYFUNCTION("""COMPUTED_VALUE"""),1.7361111111111112E-4)</f>
        <v>0.0001736111111</v>
      </c>
      <c r="E234" s="6">
        <f>IFERROR(__xludf.DUMMYFUNCTION("""COMPUTED_VALUE"""),0.6134490740740749)</f>
        <v>0.6134490741</v>
      </c>
      <c r="F234" s="4" t="str">
        <f>IFERROR(__xludf.DUMMYFUNCTION("""COMPUTED_VALUE"""),"")</f>
        <v/>
      </c>
      <c r="G234" s="4" t="str">
        <f>IFERROR(__xludf.DUMMYFUNCTION("""COMPUTED_VALUE"""),"")</f>
        <v/>
      </c>
      <c r="H234" s="4" t="str">
        <f>IFERROR(__xludf.DUMMYFUNCTION("""COMPUTED_VALUE"""),"")</f>
        <v/>
      </c>
      <c r="I234" s="4" t="str">
        <f>IFERROR(__xludf.DUMMYFUNCTION("""COMPUTED_VALUE"""),"")</f>
        <v/>
      </c>
      <c r="J234" s="4" t="str">
        <f>IFERROR(__xludf.DUMMYFUNCTION("""COMPUTED_VALUE"""),"")</f>
        <v/>
      </c>
      <c r="K234" s="4" t="str">
        <f>IFERROR(__xludf.DUMMYFUNCTION("""COMPUTED_VALUE"""),"Talk Outro")</f>
        <v>Talk Outro</v>
      </c>
      <c r="L234" s="4" t="str">
        <f>IFERROR(__xludf.DUMMYFUNCTION("""COMPUTED_VALUE"""),"")</f>
        <v/>
      </c>
      <c r="M234" s="4" t="str">
        <f>IFERROR(__xludf.DUMMYFUNCTION("""COMPUTED_VALUE"""),"")</f>
        <v/>
      </c>
      <c r="N234" s="4" t="str">
        <f>IFERROR(__xludf.DUMMYFUNCTION("""COMPUTED_VALUE"""),"")</f>
        <v/>
      </c>
      <c r="O234" s="4" t="str">
        <f>IFERROR(__xludf.DUMMYFUNCTION("""COMPUTED_VALUE"""),"")</f>
        <v/>
      </c>
      <c r="P234" s="4" t="str">
        <f>IFERROR(__xludf.DUMMYFUNCTION("""COMPUTED_VALUE"""),"")</f>
        <v/>
      </c>
      <c r="Q234" s="4" t="str">
        <f>IFERROR(__xludf.DUMMYFUNCTION("""COMPUTED_VALUE"""),"")</f>
        <v/>
      </c>
      <c r="R234" s="4" t="str">
        <f>IFERROR(__xludf.DUMMYFUNCTION("""COMPUTED_VALUE"""),"")</f>
        <v/>
      </c>
    </row>
    <row r="235">
      <c r="A235" s="4" t="str">
        <f>IFERROR(__xludf.DUMMYFUNCTION("""COMPUTED_VALUE"""),"253 - Channel 5")</f>
        <v>253 - Channel 5</v>
      </c>
      <c r="B235" s="4" t="str">
        <f>IFERROR(__xludf.DUMMYFUNCTION("""COMPUTED_VALUE"""),"Day 3 - 25/06")</f>
        <v>Day 3 - 25/06</v>
      </c>
      <c r="C235" s="6">
        <f>IFERROR(__xludf.DUMMYFUNCTION("""COMPUTED_VALUE"""),0.6134490740740749)</f>
        <v>0.6134490741</v>
      </c>
      <c r="D235" s="8">
        <f>IFERROR(__xludf.DUMMYFUNCTION("""COMPUTED_VALUE"""),5.787037037037037E-5)</f>
        <v>0.00005787037037</v>
      </c>
      <c r="E235" s="6">
        <f>IFERROR(__xludf.DUMMYFUNCTION("""COMPUTED_VALUE"""),0.6135069444444453)</f>
        <v>0.6135069444</v>
      </c>
      <c r="F235" s="4" t="str">
        <f>IFERROR(__xludf.DUMMYFUNCTION("""COMPUTED_VALUE"""),"")</f>
        <v/>
      </c>
      <c r="G235" s="4" t="str">
        <f>IFERROR(__xludf.DUMMYFUNCTION("""COMPUTED_VALUE"""),"")</f>
        <v/>
      </c>
      <c r="H235" s="4" t="str">
        <f>IFERROR(__xludf.DUMMYFUNCTION("""COMPUTED_VALUE"""),"")</f>
        <v/>
      </c>
      <c r="I235" s="4" t="str">
        <f>IFERROR(__xludf.DUMMYFUNCTION("""COMPUTED_VALUE"""),"")</f>
        <v/>
      </c>
      <c r="J235" s="4" t="str">
        <f>IFERROR(__xludf.DUMMYFUNCTION("""COMPUTED_VALUE"""),"")</f>
        <v/>
      </c>
      <c r="K235" s="4" t="str">
        <f>IFERROR(__xludf.DUMMYFUNCTION("""COMPUTED_VALUE"""),"Holding Graphic")</f>
        <v>Holding Graphic</v>
      </c>
      <c r="L235" s="4" t="str">
        <f>IFERROR(__xludf.DUMMYFUNCTION("""COMPUTED_VALUE"""),"")</f>
        <v/>
      </c>
      <c r="M235" s="4" t="str">
        <f>IFERROR(__xludf.DUMMYFUNCTION("""COMPUTED_VALUE"""),"")</f>
        <v/>
      </c>
      <c r="N235" s="4" t="str">
        <f>IFERROR(__xludf.DUMMYFUNCTION("""COMPUTED_VALUE"""),"")</f>
        <v/>
      </c>
      <c r="O235" s="4" t="str">
        <f>IFERROR(__xludf.DUMMYFUNCTION("""COMPUTED_VALUE"""),"")</f>
        <v/>
      </c>
      <c r="P235" s="4" t="str">
        <f>IFERROR(__xludf.DUMMYFUNCTION("""COMPUTED_VALUE"""),"")</f>
        <v/>
      </c>
      <c r="Q235" s="4" t="str">
        <f>IFERROR(__xludf.DUMMYFUNCTION("""COMPUTED_VALUE"""),"")</f>
        <v/>
      </c>
      <c r="R235" s="4" t="str">
        <f>IFERROR(__xludf.DUMMYFUNCTION("""COMPUTED_VALUE"""),"")</f>
        <v/>
      </c>
    </row>
    <row r="236">
      <c r="A236" s="4" t="str">
        <f>IFERROR(__xludf.DUMMYFUNCTION("""COMPUTED_VALUE"""),"254 - Channel 5")</f>
        <v>254 - Channel 5</v>
      </c>
      <c r="B236" s="4" t="str">
        <f>IFERROR(__xludf.DUMMYFUNCTION("""COMPUTED_VALUE"""),"Day 3 - 25/06")</f>
        <v>Day 3 - 25/06</v>
      </c>
      <c r="C236" s="6">
        <f>IFERROR(__xludf.DUMMYFUNCTION("""COMPUTED_VALUE"""),0.6135069444444453)</f>
        <v>0.6135069444</v>
      </c>
      <c r="D236" s="8">
        <f>IFERROR(__xludf.DUMMYFUNCTION("""COMPUTED_VALUE"""),3.4722222222222224E-4)</f>
        <v>0.0003472222222</v>
      </c>
      <c r="E236" s="6">
        <f>IFERROR(__xludf.DUMMYFUNCTION("""COMPUTED_VALUE"""),0.6138541666666676)</f>
        <v>0.6138541667</v>
      </c>
      <c r="F236" s="4" t="str">
        <f>IFERROR(__xludf.DUMMYFUNCTION("""COMPUTED_VALUE"""),"")</f>
        <v/>
      </c>
      <c r="G236" s="4" t="str">
        <f>IFERROR(__xludf.DUMMYFUNCTION("""COMPUTED_VALUE"""),"")</f>
        <v/>
      </c>
      <c r="H236" s="4" t="str">
        <f>IFERROR(__xludf.DUMMYFUNCTION("""COMPUTED_VALUE"""),"")</f>
        <v/>
      </c>
      <c r="I236" s="4" t="str">
        <f>IFERROR(__xludf.DUMMYFUNCTION("""COMPUTED_VALUE"""),"")</f>
        <v/>
      </c>
      <c r="J236" s="4" t="str">
        <f>IFERROR(__xludf.DUMMYFUNCTION("""COMPUTED_VALUE"""),"")</f>
        <v/>
      </c>
      <c r="K236" s="4" t="str">
        <f>IFERROR(__xludf.DUMMYFUNCTION("""COMPUTED_VALUE"""),"Web Summit Trailer - Short")</f>
        <v>Web Summit Trailer - Short</v>
      </c>
      <c r="L236" s="4" t="str">
        <f>IFERROR(__xludf.DUMMYFUNCTION("""COMPUTED_VALUE"""),"")</f>
        <v/>
      </c>
      <c r="M236" s="4" t="str">
        <f>IFERROR(__xludf.DUMMYFUNCTION("""COMPUTED_VALUE"""),"")</f>
        <v/>
      </c>
      <c r="N236" s="4" t="str">
        <f>IFERROR(__xludf.DUMMYFUNCTION("""COMPUTED_VALUE"""),"")</f>
        <v/>
      </c>
      <c r="O236" s="4" t="str">
        <f>IFERROR(__xludf.DUMMYFUNCTION("""COMPUTED_VALUE"""),"")</f>
        <v/>
      </c>
      <c r="P236" s="4" t="str">
        <f>IFERROR(__xludf.DUMMYFUNCTION("""COMPUTED_VALUE"""),"")</f>
        <v/>
      </c>
      <c r="Q236" s="4" t="str">
        <f>IFERROR(__xludf.DUMMYFUNCTION("""COMPUTED_VALUE"""),"")</f>
        <v/>
      </c>
      <c r="R236" s="4" t="str">
        <f>IFERROR(__xludf.DUMMYFUNCTION("""COMPUTED_VALUE"""),"")</f>
        <v/>
      </c>
    </row>
    <row r="237">
      <c r="A237" s="4" t="str">
        <f>IFERROR(__xludf.DUMMYFUNCTION("""COMPUTED_VALUE"""),"255 - Channel 5")</f>
        <v>255 - Channel 5</v>
      </c>
      <c r="B237" s="4" t="str">
        <f>IFERROR(__xludf.DUMMYFUNCTION("""COMPUTED_VALUE"""),"Day 3 - 25/06")</f>
        <v>Day 3 - 25/06</v>
      </c>
      <c r="C237" s="6">
        <f>IFERROR(__xludf.DUMMYFUNCTION("""COMPUTED_VALUE"""),0.6138541666666676)</f>
        <v>0.6138541667</v>
      </c>
      <c r="D237" s="8">
        <f>IFERROR(__xludf.DUMMYFUNCTION("""COMPUTED_VALUE"""),3.4722222222222224E-4)</f>
        <v>0.0003472222222</v>
      </c>
      <c r="E237" s="6">
        <f>IFERROR(__xludf.DUMMYFUNCTION("""COMPUTED_VALUE"""),0.6142013888888899)</f>
        <v>0.6142013889</v>
      </c>
      <c r="F237" s="4" t="str">
        <f>IFERROR(__xludf.DUMMYFUNCTION("""COMPUTED_VALUE"""),"")</f>
        <v/>
      </c>
      <c r="G237" s="4" t="str">
        <f>IFERROR(__xludf.DUMMYFUNCTION("""COMPUTED_VALUE"""),"")</f>
        <v/>
      </c>
      <c r="H237" s="4" t="str">
        <f>IFERROR(__xludf.DUMMYFUNCTION("""COMPUTED_VALUE"""),"")</f>
        <v/>
      </c>
      <c r="I237" s="4" t="str">
        <f>IFERROR(__xludf.DUMMYFUNCTION("""COMPUTED_VALUE"""),"")</f>
        <v/>
      </c>
      <c r="J237" s="4" t="str">
        <f>IFERROR(__xludf.DUMMYFUNCTION("""COMPUTED_VALUE"""),"")</f>
        <v/>
      </c>
      <c r="K237" s="4" t="str">
        <f>IFERROR(__xludf.DUMMYFUNCTION("""COMPUTED_VALUE"""),"Talk Intro")</f>
        <v>Talk Intro</v>
      </c>
      <c r="L237" s="4" t="str">
        <f>IFERROR(__xludf.DUMMYFUNCTION("""COMPUTED_VALUE"""),"")</f>
        <v/>
      </c>
      <c r="M237" s="4" t="str">
        <f>IFERROR(__xludf.DUMMYFUNCTION("""COMPUTED_VALUE"""),"")</f>
        <v/>
      </c>
      <c r="N237" s="4" t="str">
        <f>IFERROR(__xludf.DUMMYFUNCTION("""COMPUTED_VALUE"""),"")</f>
        <v/>
      </c>
      <c r="O237" s="4" t="str">
        <f>IFERROR(__xludf.DUMMYFUNCTION("""COMPUTED_VALUE"""),"")</f>
        <v/>
      </c>
      <c r="P237" s="4" t="str">
        <f>IFERROR(__xludf.DUMMYFUNCTION("""COMPUTED_VALUE"""),"")</f>
        <v/>
      </c>
      <c r="Q237" s="4" t="str">
        <f>IFERROR(__xludf.DUMMYFUNCTION("""COMPUTED_VALUE"""),"")</f>
        <v/>
      </c>
      <c r="R237" s="4" t="str">
        <f>IFERROR(__xludf.DUMMYFUNCTION("""COMPUTED_VALUE"""),"")</f>
        <v/>
      </c>
    </row>
    <row r="238">
      <c r="A238" s="4" t="str">
        <f>IFERROR(__xludf.DUMMYFUNCTION("""COMPUTED_VALUE"""),"256 - Channel 5")</f>
        <v>256 - Channel 5</v>
      </c>
      <c r="B238" s="4" t="str">
        <f>IFERROR(__xludf.DUMMYFUNCTION("""COMPUTED_VALUE"""),"Day 3 - 25/06")</f>
        <v>Day 3 - 25/06</v>
      </c>
      <c r="C238" s="6">
        <f>IFERROR(__xludf.DUMMYFUNCTION("""COMPUTED_VALUE"""),0.6142013888888899)</f>
        <v>0.6142013889</v>
      </c>
      <c r="D238" s="8">
        <f>IFERROR(__xludf.DUMMYFUNCTION("""COMPUTED_VALUE"""),0.006944444444444444)</f>
        <v>0.006944444444</v>
      </c>
      <c r="E238" s="6">
        <f>IFERROR(__xludf.DUMMYFUNCTION("""COMPUTED_VALUE"""),0.6211458333333343)</f>
        <v>0.6211458333</v>
      </c>
      <c r="F238" s="4" t="str">
        <f>IFERROR(__xludf.DUMMYFUNCTION("""COMPUTED_VALUE"""),"Gaming")</f>
        <v>Gaming</v>
      </c>
      <c r="G238" s="4" t="str">
        <f>IFERROR(__xludf.DUMMYFUNCTION("""COMPUTED_VALUE"""),"")</f>
        <v/>
      </c>
      <c r="H238" s="4" t="str">
        <f>IFERROR(__xludf.DUMMYFUNCTION("""COMPUTED_VALUE"""),"")</f>
        <v/>
      </c>
      <c r="I238" s="4" t="str">
        <f>IFERROR(__xludf.DUMMYFUNCTION("""COMPUTED_VALUE"""),"")</f>
        <v/>
      </c>
      <c r="J238" s="4" t="str">
        <f>IFERROR(__xludf.DUMMYFUNCTION("""COMPUTED_VALUE"""),"No")</f>
        <v>No</v>
      </c>
      <c r="K238" s="4" t="str">
        <f>IFERROR(__xludf.DUMMYFUNCTION("""COMPUTED_VALUE"""),"Top 5 gaming talks")</f>
        <v>Top 5 gaming talks</v>
      </c>
      <c r="L238" s="4" t="str">
        <f>IFERROR(__xludf.DUMMYFUNCTION("""COMPUTED_VALUE"""),"Kristen Garcia Dumont, Machine Zone")</f>
        <v>Kristen Garcia Dumont, Machine Zone</v>
      </c>
      <c r="M238" s="4" t="str">
        <f>IFERROR(__xludf.DUMMYFUNCTION("""COMPUTED_VALUE"""),"Shawn Layden, Sony Interactive Entertainment (PlayStation)")</f>
        <v>Shawn Layden, Sony Interactive Entertainment (PlayStation)</v>
      </c>
      <c r="N238" s="4" t="str">
        <f>IFERROR(__xludf.DUMMYFUNCTION("""COMPUTED_VALUE"""),"Helen Chiang, Minecraft")</f>
        <v>Helen Chiang, Minecraft</v>
      </c>
      <c r="O238" s="4" t="str">
        <f>IFERROR(__xludf.DUMMYFUNCTION("""COMPUTED_VALUE"""),"Kati Levoranta, Rovio Entertainment Corp. / Angry Birds")</f>
        <v>Kati Levoranta, Rovio Entertainment Corp. / Angry Birds</v>
      </c>
      <c r="P238" s="4" t="str">
        <f>IFERROR(__xludf.DUMMYFUNCTION("""COMPUTED_VALUE"""),"Andy Dinh, Team SoloMid")</f>
        <v>Andy Dinh, Team SoloMid</v>
      </c>
      <c r="Q238" s="4" t="str">
        <f>IFERROR(__xludf.DUMMYFUNCTION("""COMPUTED_VALUE"""),"Featuring Machine Zone, Sony, Minecraft, Rovio and Team SoloMid. The global video games market is, in terms of revenue, larger than the film industry. It is one of the most profitable and popular sectors of the economy. These five speakers shared with us "&amp;"their experiences from years of making amazing games.")</f>
        <v>Featuring Machine Zone, Sony, Minecraft, Rovio and Team SoloMid. The global video games market is, in terms of revenue, larger than the film industry. It is one of the most profitable and popular sectors of the economy. These five speakers shared with us their experiences from years of making amazing games.</v>
      </c>
      <c r="R238" s="4" t="str">
        <f>IFERROR(__xludf.DUMMYFUNCTION("""COMPUTED_VALUE"""),"")</f>
        <v/>
      </c>
    </row>
    <row r="239">
      <c r="A239" s="4" t="str">
        <f>IFERROR(__xludf.DUMMYFUNCTION("""COMPUTED_VALUE"""),"257 - Channel 5")</f>
        <v>257 - Channel 5</v>
      </c>
      <c r="B239" s="4" t="str">
        <f>IFERROR(__xludf.DUMMYFUNCTION("""COMPUTED_VALUE"""),"Day 3 - 25/06")</f>
        <v>Day 3 - 25/06</v>
      </c>
      <c r="C239" s="6">
        <f>IFERROR(__xludf.DUMMYFUNCTION("""COMPUTED_VALUE"""),0.6211458333333343)</f>
        <v>0.6211458333</v>
      </c>
      <c r="D239" s="8">
        <f>IFERROR(__xludf.DUMMYFUNCTION("""COMPUTED_VALUE"""),1.7361111111111112E-4)</f>
        <v>0.0001736111111</v>
      </c>
      <c r="E239" s="6">
        <f>IFERROR(__xludf.DUMMYFUNCTION("""COMPUTED_VALUE"""),0.6213194444444454)</f>
        <v>0.6213194444</v>
      </c>
      <c r="F239" s="4" t="str">
        <f>IFERROR(__xludf.DUMMYFUNCTION("""COMPUTED_VALUE"""),"")</f>
        <v/>
      </c>
      <c r="G239" s="4" t="str">
        <f>IFERROR(__xludf.DUMMYFUNCTION("""COMPUTED_VALUE"""),"")</f>
        <v/>
      </c>
      <c r="H239" s="4" t="str">
        <f>IFERROR(__xludf.DUMMYFUNCTION("""COMPUTED_VALUE"""),"")</f>
        <v/>
      </c>
      <c r="I239" s="4" t="str">
        <f>IFERROR(__xludf.DUMMYFUNCTION("""COMPUTED_VALUE"""),"")</f>
        <v/>
      </c>
      <c r="J239" s="4" t="str">
        <f>IFERROR(__xludf.DUMMYFUNCTION("""COMPUTED_VALUE"""),"")</f>
        <v/>
      </c>
      <c r="K239" s="4" t="str">
        <f>IFERROR(__xludf.DUMMYFUNCTION("""COMPUTED_VALUE"""),"Talk Outro")</f>
        <v>Talk Outro</v>
      </c>
      <c r="L239" s="4" t="str">
        <f>IFERROR(__xludf.DUMMYFUNCTION("""COMPUTED_VALUE"""),"")</f>
        <v/>
      </c>
      <c r="M239" s="4" t="str">
        <f>IFERROR(__xludf.DUMMYFUNCTION("""COMPUTED_VALUE"""),"")</f>
        <v/>
      </c>
      <c r="N239" s="4" t="str">
        <f>IFERROR(__xludf.DUMMYFUNCTION("""COMPUTED_VALUE"""),"")</f>
        <v/>
      </c>
      <c r="O239" s="4" t="str">
        <f>IFERROR(__xludf.DUMMYFUNCTION("""COMPUTED_VALUE"""),"")</f>
        <v/>
      </c>
      <c r="P239" s="4" t="str">
        <f>IFERROR(__xludf.DUMMYFUNCTION("""COMPUTED_VALUE"""),"")</f>
        <v/>
      </c>
      <c r="Q239" s="4" t="str">
        <f>IFERROR(__xludf.DUMMYFUNCTION("""COMPUTED_VALUE"""),"")</f>
        <v/>
      </c>
      <c r="R239" s="4" t="str">
        <f>IFERROR(__xludf.DUMMYFUNCTION("""COMPUTED_VALUE"""),"")</f>
        <v/>
      </c>
    </row>
    <row r="240">
      <c r="A240" s="4" t="str">
        <f>IFERROR(__xludf.DUMMYFUNCTION("""COMPUTED_VALUE"""),"341 - Channel 5")</f>
        <v>341 - Channel 5</v>
      </c>
      <c r="B240" s="4" t="str">
        <f>IFERROR(__xludf.DUMMYFUNCTION("""COMPUTED_VALUE"""),"Day 3 - 25/06")</f>
        <v>Day 3 - 25/06</v>
      </c>
      <c r="C240" s="6">
        <f>IFERROR(__xludf.DUMMYFUNCTION("""COMPUTED_VALUE"""),0.6213194444444454)</f>
        <v>0.6213194444</v>
      </c>
      <c r="D240" s="8">
        <f>IFERROR(__xludf.DUMMYFUNCTION("""COMPUTED_VALUE"""),3.4722222222222224E-4)</f>
        <v>0.0003472222222</v>
      </c>
      <c r="E240" s="6">
        <f>IFERROR(__xludf.DUMMYFUNCTION("""COMPUTED_VALUE"""),0.6216666666666677)</f>
        <v>0.6216666667</v>
      </c>
      <c r="F240" s="4" t="str">
        <f>IFERROR(__xludf.DUMMYFUNCTION("""COMPUTED_VALUE"""),"")</f>
        <v/>
      </c>
      <c r="G240" s="4" t="str">
        <f>IFERROR(__xludf.DUMMYFUNCTION("""COMPUTED_VALUE"""),"")</f>
        <v/>
      </c>
      <c r="H240" s="4" t="str">
        <f>IFERROR(__xludf.DUMMYFUNCTION("""COMPUTED_VALUE"""),"")</f>
        <v/>
      </c>
      <c r="I240" s="4" t="str">
        <f>IFERROR(__xludf.DUMMYFUNCTION("""COMPUTED_VALUE"""),"")</f>
        <v/>
      </c>
      <c r="J240" s="4" t="str">
        <f>IFERROR(__xludf.DUMMYFUNCTION("""COMPUTED_VALUE"""),"")</f>
        <v/>
      </c>
      <c r="K240" s="4" t="str">
        <f>IFERROR(__xludf.DUMMYFUNCTION("""COMPUTED_VALUE"""),"Web Summit Trailer - Short")</f>
        <v>Web Summit Trailer - Short</v>
      </c>
      <c r="L240" s="4" t="str">
        <f>IFERROR(__xludf.DUMMYFUNCTION("""COMPUTED_VALUE"""),"")</f>
        <v/>
      </c>
      <c r="M240" s="4" t="str">
        <f>IFERROR(__xludf.DUMMYFUNCTION("""COMPUTED_VALUE"""),"")</f>
        <v/>
      </c>
      <c r="N240" s="4" t="str">
        <f>IFERROR(__xludf.DUMMYFUNCTION("""COMPUTED_VALUE"""),"")</f>
        <v/>
      </c>
      <c r="O240" s="4" t="str">
        <f>IFERROR(__xludf.DUMMYFUNCTION("""COMPUTED_VALUE"""),"")</f>
        <v/>
      </c>
      <c r="P240" s="4" t="str">
        <f>IFERROR(__xludf.DUMMYFUNCTION("""COMPUTED_VALUE"""),"")</f>
        <v/>
      </c>
      <c r="Q240" s="4" t="str">
        <f>IFERROR(__xludf.DUMMYFUNCTION("""COMPUTED_VALUE"""),"")</f>
        <v/>
      </c>
      <c r="R240" s="4" t="str">
        <f>IFERROR(__xludf.DUMMYFUNCTION("""COMPUTED_VALUE"""),"")</f>
        <v/>
      </c>
    </row>
    <row r="241">
      <c r="A241" s="4" t="str">
        <f>IFERROR(__xludf.DUMMYFUNCTION("""COMPUTED_VALUE"""),"259 - Channel 5")</f>
        <v>259 - Channel 5</v>
      </c>
      <c r="B241" s="4" t="str">
        <f>IFERROR(__xludf.DUMMYFUNCTION("""COMPUTED_VALUE"""),"Day 3 - 25/06")</f>
        <v>Day 3 - 25/06</v>
      </c>
      <c r="C241" s="6">
        <f>IFERROR(__xludf.DUMMYFUNCTION("""COMPUTED_VALUE"""),0.6216666666666677)</f>
        <v>0.6216666667</v>
      </c>
      <c r="D241" s="8">
        <f>IFERROR(__xludf.DUMMYFUNCTION("""COMPUTED_VALUE"""),3.4722222222222224E-4)</f>
        <v>0.0003472222222</v>
      </c>
      <c r="E241" s="6">
        <f>IFERROR(__xludf.DUMMYFUNCTION("""COMPUTED_VALUE"""),0.62201388888889)</f>
        <v>0.6220138889</v>
      </c>
      <c r="F241" s="4" t="str">
        <f>IFERROR(__xludf.DUMMYFUNCTION("""COMPUTED_VALUE"""),"")</f>
        <v/>
      </c>
      <c r="G241" s="4" t="str">
        <f>IFERROR(__xludf.DUMMYFUNCTION("""COMPUTED_VALUE"""),"")</f>
        <v/>
      </c>
      <c r="H241" s="4" t="str">
        <f>IFERROR(__xludf.DUMMYFUNCTION("""COMPUTED_VALUE"""),"")</f>
        <v/>
      </c>
      <c r="I241" s="4" t="str">
        <f>IFERROR(__xludf.DUMMYFUNCTION("""COMPUTED_VALUE"""),"")</f>
        <v/>
      </c>
      <c r="J241" s="4" t="str">
        <f>IFERROR(__xludf.DUMMYFUNCTION("""COMPUTED_VALUE"""),"")</f>
        <v/>
      </c>
      <c r="K241" s="4" t="str">
        <f>IFERROR(__xludf.DUMMYFUNCTION("""COMPUTED_VALUE"""),"Talk Intro")</f>
        <v>Talk Intro</v>
      </c>
      <c r="L241" s="4" t="str">
        <f>IFERROR(__xludf.DUMMYFUNCTION("""COMPUTED_VALUE"""),"")</f>
        <v/>
      </c>
      <c r="M241" s="4" t="str">
        <f>IFERROR(__xludf.DUMMYFUNCTION("""COMPUTED_VALUE"""),"")</f>
        <v/>
      </c>
      <c r="N241" s="4" t="str">
        <f>IFERROR(__xludf.DUMMYFUNCTION("""COMPUTED_VALUE"""),"")</f>
        <v/>
      </c>
      <c r="O241" s="4" t="str">
        <f>IFERROR(__xludf.DUMMYFUNCTION("""COMPUTED_VALUE"""),"")</f>
        <v/>
      </c>
      <c r="P241" s="4" t="str">
        <f>IFERROR(__xludf.DUMMYFUNCTION("""COMPUTED_VALUE"""),"")</f>
        <v/>
      </c>
      <c r="Q241" s="4" t="str">
        <f>IFERROR(__xludf.DUMMYFUNCTION("""COMPUTED_VALUE"""),"")</f>
        <v/>
      </c>
      <c r="R241" s="4" t="str">
        <f>IFERROR(__xludf.DUMMYFUNCTION("""COMPUTED_VALUE"""),"")</f>
        <v/>
      </c>
    </row>
    <row r="242">
      <c r="A242" s="4" t="str">
        <f>IFERROR(__xludf.DUMMYFUNCTION("""COMPUTED_VALUE"""),"260 - Channel 5")</f>
        <v>260 - Channel 5</v>
      </c>
      <c r="B242" s="4" t="str">
        <f>IFERROR(__xludf.DUMMYFUNCTION("""COMPUTED_VALUE"""),"Day 3 - 25/06")</f>
        <v>Day 3 - 25/06</v>
      </c>
      <c r="C242" s="6">
        <f>IFERROR(__xludf.DUMMYFUNCTION("""COMPUTED_VALUE"""),0.62201388888889)</f>
        <v>0.6220138889</v>
      </c>
      <c r="D242" s="8">
        <f>IFERROR(__xludf.DUMMYFUNCTION("""COMPUTED_VALUE"""),0.023055555555555555)</f>
        <v>0.02305555556</v>
      </c>
      <c r="E242" s="6">
        <f>IFERROR(__xludf.DUMMYFUNCTION("""COMPUTED_VALUE"""),0.6450694444444456)</f>
        <v>0.6450694444</v>
      </c>
      <c r="F242" s="4" t="str">
        <f>IFERROR(__xludf.DUMMYFUNCTION("""COMPUTED_VALUE"""),"Society")</f>
        <v>Society</v>
      </c>
      <c r="G242" s="4" t="str">
        <f>IFERROR(__xludf.DUMMYFUNCTION("""COMPUTED_VALUE"""),"Web Summit 2014")</f>
        <v>Web Summit 2014</v>
      </c>
      <c r="H242" s="21" t="str">
        <f>IFERROR(__xludf.DUMMYFUNCTION("""COMPUTED_VALUE"""),"https://www.youtube.com/watch?v=YpvkdC0f9Rk&amp;t=17s")</f>
        <v>https://www.youtube.com/watch?v=YpvkdC0f9Rk&amp;t=17s</v>
      </c>
      <c r="I242" s="4" t="str">
        <f>IFERROR(__xludf.DUMMYFUNCTION("""COMPUTED_VALUE"""),"Begin at 3 seconds, finish at 33:15. At 11:08 incorrect names on lower third - will need covered.")</f>
        <v>Begin at 3 seconds, finish at 33:15. At 11:08 incorrect names on lower third - will need covered.</v>
      </c>
      <c r="J242" s="4" t="str">
        <f>IFERROR(__xludf.DUMMYFUNCTION("""COMPUTED_VALUE"""),"No")</f>
        <v>No</v>
      </c>
      <c r="K242" s="4" t="str">
        <f>IFERROR(__xludf.DUMMYFUNCTION("""COMPUTED_VALUE"""),"Bono's thoughts on music and movies")</f>
        <v>Bono's thoughts on music and movies</v>
      </c>
      <c r="L242" s="4" t="str">
        <f>IFERROR(__xludf.DUMMYFUNCTION("""COMPUTED_VALUE"""),"Bono ., U2")</f>
        <v>Bono ., U2</v>
      </c>
      <c r="M242" s="4" t="str">
        <f>IFERROR(__xludf.DUMMYFUNCTION("""COMPUTED_VALUE"""),"")</f>
        <v/>
      </c>
      <c r="N242" s="4" t="str">
        <f>IFERROR(__xludf.DUMMYFUNCTION("""COMPUTED_VALUE"""),"")</f>
        <v/>
      </c>
      <c r="O242" s="4" t="str">
        <f>IFERROR(__xludf.DUMMYFUNCTION("""COMPUTED_VALUE"""),"")</f>
        <v/>
      </c>
      <c r="P242" s="4" t="str">
        <f>IFERROR(__xludf.DUMMYFUNCTION("""COMPUTED_VALUE"""),"")</f>
        <v/>
      </c>
      <c r="Q242" s="4" t="str">
        <f>IFERROR(__xludf.DUMMYFUNCTION("""COMPUTED_VALUE"""),"How do the constant changes to these mediums – through the disruptions of tech and the transformation of the business model – impact the work of the artist? Join U2’s lead singer Bono as he explores this question.")</f>
        <v>How do the constant changes to these mediums – through the disruptions of tech and the transformation of the business model – impact the work of the artist? Join U2’s lead singer Bono as he explores this question.</v>
      </c>
      <c r="R242" s="4" t="str">
        <f>IFERROR(__xludf.DUMMYFUNCTION("""COMPUTED_VALUE"""),"")</f>
        <v/>
      </c>
    </row>
    <row r="243">
      <c r="A243" s="4" t="str">
        <f>IFERROR(__xludf.DUMMYFUNCTION("""COMPUTED_VALUE"""),"261 - Channel 5")</f>
        <v>261 - Channel 5</v>
      </c>
      <c r="B243" s="4" t="str">
        <f>IFERROR(__xludf.DUMMYFUNCTION("""COMPUTED_VALUE"""),"Day 3 - 25/06")</f>
        <v>Day 3 - 25/06</v>
      </c>
      <c r="C243" s="6">
        <f>IFERROR(__xludf.DUMMYFUNCTION("""COMPUTED_VALUE"""),0.6450694444444456)</f>
        <v>0.6450694444</v>
      </c>
      <c r="D243" s="8">
        <f>IFERROR(__xludf.DUMMYFUNCTION("""COMPUTED_VALUE"""),1.7361111111111112E-4)</f>
        <v>0.0001736111111</v>
      </c>
      <c r="E243" s="6">
        <f>IFERROR(__xludf.DUMMYFUNCTION("""COMPUTED_VALUE"""),0.6452430555555567)</f>
        <v>0.6452430556</v>
      </c>
      <c r="F243" s="4" t="str">
        <f>IFERROR(__xludf.DUMMYFUNCTION("""COMPUTED_VALUE"""),"")</f>
        <v/>
      </c>
      <c r="G243" s="4" t="str">
        <f>IFERROR(__xludf.DUMMYFUNCTION("""COMPUTED_VALUE"""),"")</f>
        <v/>
      </c>
      <c r="H243" s="4" t="str">
        <f>IFERROR(__xludf.DUMMYFUNCTION("""COMPUTED_VALUE"""),"")</f>
        <v/>
      </c>
      <c r="I243" s="4" t="str">
        <f>IFERROR(__xludf.DUMMYFUNCTION("""COMPUTED_VALUE"""),"")</f>
        <v/>
      </c>
      <c r="J243" s="4" t="str">
        <f>IFERROR(__xludf.DUMMYFUNCTION("""COMPUTED_VALUE"""),"")</f>
        <v/>
      </c>
      <c r="K243" s="4" t="str">
        <f>IFERROR(__xludf.DUMMYFUNCTION("""COMPUTED_VALUE"""),"Talk Outro")</f>
        <v>Talk Outro</v>
      </c>
      <c r="L243" s="4" t="str">
        <f>IFERROR(__xludf.DUMMYFUNCTION("""COMPUTED_VALUE"""),"")</f>
        <v/>
      </c>
      <c r="M243" s="4" t="str">
        <f>IFERROR(__xludf.DUMMYFUNCTION("""COMPUTED_VALUE"""),"")</f>
        <v/>
      </c>
      <c r="N243" s="4" t="str">
        <f>IFERROR(__xludf.DUMMYFUNCTION("""COMPUTED_VALUE"""),"")</f>
        <v/>
      </c>
      <c r="O243" s="4" t="str">
        <f>IFERROR(__xludf.DUMMYFUNCTION("""COMPUTED_VALUE"""),"")</f>
        <v/>
      </c>
      <c r="P243" s="4" t="str">
        <f>IFERROR(__xludf.DUMMYFUNCTION("""COMPUTED_VALUE"""),"")</f>
        <v/>
      </c>
      <c r="Q243" s="4" t="str">
        <f>IFERROR(__xludf.DUMMYFUNCTION("""COMPUTED_VALUE"""),"")</f>
        <v/>
      </c>
      <c r="R243" s="4" t="str">
        <f>IFERROR(__xludf.DUMMYFUNCTION("""COMPUTED_VALUE"""),"")</f>
        <v/>
      </c>
    </row>
    <row r="244">
      <c r="A244" s="4" t="str">
        <f>IFERROR(__xludf.DUMMYFUNCTION("""COMPUTED_VALUE"""),"262 - Channel 5")</f>
        <v>262 - Channel 5</v>
      </c>
      <c r="B244" s="4" t="str">
        <f>IFERROR(__xludf.DUMMYFUNCTION("""COMPUTED_VALUE"""),"Day 3 - 25/06")</f>
        <v>Day 3 - 25/06</v>
      </c>
      <c r="C244" s="6">
        <f>IFERROR(__xludf.DUMMYFUNCTION("""COMPUTED_VALUE"""),0.6452430555555567)</f>
        <v>0.6452430556</v>
      </c>
      <c r="D244" s="8">
        <f>IFERROR(__xludf.DUMMYFUNCTION("""COMPUTED_VALUE"""),3.4722222222222224E-4)</f>
        <v>0.0003472222222</v>
      </c>
      <c r="E244" s="6">
        <f>IFERROR(__xludf.DUMMYFUNCTION("""COMPUTED_VALUE"""),0.645590277777779)</f>
        <v>0.6455902778</v>
      </c>
      <c r="F244" s="4" t="str">
        <f>IFERROR(__xludf.DUMMYFUNCTION("""COMPUTED_VALUE"""),"")</f>
        <v/>
      </c>
      <c r="G244" s="4" t="str">
        <f>IFERROR(__xludf.DUMMYFUNCTION("""COMPUTED_VALUE"""),"")</f>
        <v/>
      </c>
      <c r="H244" s="4" t="str">
        <f>IFERROR(__xludf.DUMMYFUNCTION("""COMPUTED_VALUE"""),"")</f>
        <v/>
      </c>
      <c r="I244" s="4" t="str">
        <f>IFERROR(__xludf.DUMMYFUNCTION("""COMPUTED_VALUE"""),"")</f>
        <v/>
      </c>
      <c r="J244" s="4" t="str">
        <f>IFERROR(__xludf.DUMMYFUNCTION("""COMPUTED_VALUE"""),"")</f>
        <v/>
      </c>
      <c r="K244" s="4" t="str">
        <f>IFERROR(__xludf.DUMMYFUNCTION("""COMPUTED_VALUE"""),"Talk Intro")</f>
        <v>Talk Intro</v>
      </c>
      <c r="L244" s="4" t="str">
        <f>IFERROR(__xludf.DUMMYFUNCTION("""COMPUTED_VALUE"""),"")</f>
        <v/>
      </c>
      <c r="M244" s="4" t="str">
        <f>IFERROR(__xludf.DUMMYFUNCTION("""COMPUTED_VALUE"""),"")</f>
        <v/>
      </c>
      <c r="N244" s="4" t="str">
        <f>IFERROR(__xludf.DUMMYFUNCTION("""COMPUTED_VALUE"""),"")</f>
        <v/>
      </c>
      <c r="O244" s="4" t="str">
        <f>IFERROR(__xludf.DUMMYFUNCTION("""COMPUTED_VALUE"""),"")</f>
        <v/>
      </c>
      <c r="P244" s="4" t="str">
        <f>IFERROR(__xludf.DUMMYFUNCTION("""COMPUTED_VALUE"""),"")</f>
        <v/>
      </c>
      <c r="Q244" s="4" t="str">
        <f>IFERROR(__xludf.DUMMYFUNCTION("""COMPUTED_VALUE"""),"")</f>
        <v/>
      </c>
      <c r="R244" s="4" t="str">
        <f>IFERROR(__xludf.DUMMYFUNCTION("""COMPUTED_VALUE"""),"")</f>
        <v/>
      </c>
    </row>
    <row r="245">
      <c r="A245" s="4" t="str">
        <f>IFERROR(__xludf.DUMMYFUNCTION("""COMPUTED_VALUE"""),"263 - Channel 5")</f>
        <v>263 - Channel 5</v>
      </c>
      <c r="B245" s="4" t="str">
        <f>IFERROR(__xludf.DUMMYFUNCTION("""COMPUTED_VALUE"""),"Day 3 - 25/06")</f>
        <v>Day 3 - 25/06</v>
      </c>
      <c r="C245" s="6">
        <f>IFERROR(__xludf.DUMMYFUNCTION("""COMPUTED_VALUE"""),0.645590277777779)</f>
        <v>0.6455902778</v>
      </c>
      <c r="D245" s="8">
        <f>IFERROR(__xludf.DUMMYFUNCTION("""COMPUTED_VALUE"""),0.012997685185185185)</f>
        <v>0.01299768519</v>
      </c>
      <c r="E245" s="6">
        <f>IFERROR(__xludf.DUMMYFUNCTION("""COMPUTED_VALUE"""),0.6585879629629642)</f>
        <v>0.658587963</v>
      </c>
      <c r="F245" s="4" t="str">
        <f>IFERROR(__xludf.DUMMYFUNCTION("""COMPUTED_VALUE"""),"Cars")</f>
        <v>Cars</v>
      </c>
      <c r="G245" s="4" t="str">
        <f>IFERROR(__xludf.DUMMYFUNCTION("""COMPUTED_VALUE"""),"Web Summit 2015")</f>
        <v>Web Summit 2015</v>
      </c>
      <c r="H245" s="21" t="str">
        <f>IFERROR(__xludf.DUMMYFUNCTION("""COMPUTED_VALUE"""),"https://www.youtube.com/watch?v=N3rZ_dH8780")</f>
        <v>https://www.youtube.com/watch?v=N3rZ_dH8780</v>
      </c>
      <c r="I245" s="4" t="str">
        <f>IFERROR(__xludf.DUMMYFUNCTION("""COMPUTED_VALUE"""),"Start at 23 seconds")</f>
        <v>Start at 23 seconds</v>
      </c>
      <c r="J245" s="4" t="str">
        <f>IFERROR(__xludf.DUMMYFUNCTION("""COMPUTED_VALUE"""),"No")</f>
        <v>No</v>
      </c>
      <c r="K245" s="4" t="str">
        <f>IFERROR(__xludf.DUMMYFUNCTION("""COMPUTED_VALUE"""),"Bill Clay Ford on changing the way the world moves – again")</f>
        <v>Bill Clay Ford on changing the way the world moves – again</v>
      </c>
      <c r="L245" s="4" t="str">
        <f>IFERROR(__xludf.DUMMYFUNCTION("""COMPUTED_VALUE"""),"Bill Clay Ford, Ford")</f>
        <v>Bill Clay Ford, Ford</v>
      </c>
      <c r="M245" s="4" t="str">
        <f>IFERROR(__xludf.DUMMYFUNCTION("""COMPUTED_VALUE"""),"")</f>
        <v/>
      </c>
      <c r="N245" s="4" t="str">
        <f>IFERROR(__xludf.DUMMYFUNCTION("""COMPUTED_VALUE"""),"")</f>
        <v/>
      </c>
      <c r="O245" s="4" t="str">
        <f>IFERROR(__xludf.DUMMYFUNCTION("""COMPUTED_VALUE"""),"")</f>
        <v/>
      </c>
      <c r="P245" s="4" t="str">
        <f>IFERROR(__xludf.DUMMYFUNCTION("""COMPUTED_VALUE"""),"")</f>
        <v/>
      </c>
      <c r="Q245" s="4" t="str">
        <f>IFERROR(__xludf.DUMMYFUNCTION("""COMPUTED_VALUE"""),"Ford has been working to improve freedom of mobility to make people's lives better. Bill Ford wants everyone from startups to tech giants to help bring about the next revolution in transport.")</f>
        <v>Ford has been working to improve freedom of mobility to make people's lives better. Bill Ford wants everyone from startups to tech giants to help bring about the next revolution in transport.</v>
      </c>
      <c r="R245" s="4" t="str">
        <f>IFERROR(__xludf.DUMMYFUNCTION("""COMPUTED_VALUE"""),"")</f>
        <v/>
      </c>
    </row>
    <row r="246">
      <c r="A246" s="4" t="str">
        <f>IFERROR(__xludf.DUMMYFUNCTION("""COMPUTED_VALUE"""),"264 - Channel 5")</f>
        <v>264 - Channel 5</v>
      </c>
      <c r="B246" s="4" t="str">
        <f>IFERROR(__xludf.DUMMYFUNCTION("""COMPUTED_VALUE"""),"Day 3 - 25/06")</f>
        <v>Day 3 - 25/06</v>
      </c>
      <c r="C246" s="6">
        <f>IFERROR(__xludf.DUMMYFUNCTION("""COMPUTED_VALUE"""),0.6585879629629642)</f>
        <v>0.658587963</v>
      </c>
      <c r="D246" s="8">
        <f>IFERROR(__xludf.DUMMYFUNCTION("""COMPUTED_VALUE"""),1.7361111111111112E-4)</f>
        <v>0.0001736111111</v>
      </c>
      <c r="E246" s="6">
        <f>IFERROR(__xludf.DUMMYFUNCTION("""COMPUTED_VALUE"""),0.6587615740740753)</f>
        <v>0.6587615741</v>
      </c>
      <c r="F246" s="4" t="str">
        <f>IFERROR(__xludf.DUMMYFUNCTION("""COMPUTED_VALUE"""),"")</f>
        <v/>
      </c>
      <c r="G246" s="4" t="str">
        <f>IFERROR(__xludf.DUMMYFUNCTION("""COMPUTED_VALUE"""),"")</f>
        <v/>
      </c>
      <c r="H246" s="4" t="str">
        <f>IFERROR(__xludf.DUMMYFUNCTION("""COMPUTED_VALUE"""),"")</f>
        <v/>
      </c>
      <c r="I246" s="4" t="str">
        <f>IFERROR(__xludf.DUMMYFUNCTION("""COMPUTED_VALUE"""),"")</f>
        <v/>
      </c>
      <c r="J246" s="4" t="str">
        <f>IFERROR(__xludf.DUMMYFUNCTION("""COMPUTED_VALUE"""),"")</f>
        <v/>
      </c>
      <c r="K246" s="4" t="str">
        <f>IFERROR(__xludf.DUMMYFUNCTION("""COMPUTED_VALUE"""),"Talk Outro")</f>
        <v>Talk Outro</v>
      </c>
      <c r="L246" s="4" t="str">
        <f>IFERROR(__xludf.DUMMYFUNCTION("""COMPUTED_VALUE"""),"")</f>
        <v/>
      </c>
      <c r="M246" s="4" t="str">
        <f>IFERROR(__xludf.DUMMYFUNCTION("""COMPUTED_VALUE"""),"")</f>
        <v/>
      </c>
      <c r="N246" s="4" t="str">
        <f>IFERROR(__xludf.DUMMYFUNCTION("""COMPUTED_VALUE"""),"")</f>
        <v/>
      </c>
      <c r="O246" s="4" t="str">
        <f>IFERROR(__xludf.DUMMYFUNCTION("""COMPUTED_VALUE"""),"")</f>
        <v/>
      </c>
      <c r="P246" s="4" t="str">
        <f>IFERROR(__xludf.DUMMYFUNCTION("""COMPUTED_VALUE"""),"")</f>
        <v/>
      </c>
      <c r="Q246" s="4" t="str">
        <f>IFERROR(__xludf.DUMMYFUNCTION("""COMPUTED_VALUE"""),"")</f>
        <v/>
      </c>
      <c r="R246" s="4" t="str">
        <f>IFERROR(__xludf.DUMMYFUNCTION("""COMPUTED_VALUE"""),"")</f>
        <v/>
      </c>
    </row>
    <row r="247">
      <c r="A247" s="4" t="str">
        <f>IFERROR(__xludf.DUMMYFUNCTION("""COMPUTED_VALUE"""),"265 - Channel 5")</f>
        <v>265 - Channel 5</v>
      </c>
      <c r="B247" s="4" t="str">
        <f>IFERROR(__xludf.DUMMYFUNCTION("""COMPUTED_VALUE"""),"Day 3 - 25/06")</f>
        <v>Day 3 - 25/06</v>
      </c>
      <c r="C247" s="6">
        <f>IFERROR(__xludf.DUMMYFUNCTION("""COMPUTED_VALUE"""),0.6587615740740753)</f>
        <v>0.6587615741</v>
      </c>
      <c r="D247" s="8">
        <f>IFERROR(__xludf.DUMMYFUNCTION("""COMPUTED_VALUE"""),3.4722222222222224E-4)</f>
        <v>0.0003472222222</v>
      </c>
      <c r="E247" s="6">
        <f>IFERROR(__xludf.DUMMYFUNCTION("""COMPUTED_VALUE"""),0.6591087962962976)</f>
        <v>0.6591087963</v>
      </c>
      <c r="F247" s="4" t="str">
        <f>IFERROR(__xludf.DUMMYFUNCTION("""COMPUTED_VALUE"""),"")</f>
        <v/>
      </c>
      <c r="G247" s="4" t="str">
        <f>IFERROR(__xludf.DUMMYFUNCTION("""COMPUTED_VALUE"""),"")</f>
        <v/>
      </c>
      <c r="H247" s="4" t="str">
        <f>IFERROR(__xludf.DUMMYFUNCTION("""COMPUTED_VALUE"""),"")</f>
        <v/>
      </c>
      <c r="I247" s="4" t="str">
        <f>IFERROR(__xludf.DUMMYFUNCTION("""COMPUTED_VALUE"""),"")</f>
        <v/>
      </c>
      <c r="J247" s="4" t="str">
        <f>IFERROR(__xludf.DUMMYFUNCTION("""COMPUTED_VALUE"""),"")</f>
        <v/>
      </c>
      <c r="K247" s="4" t="str">
        <f>IFERROR(__xludf.DUMMYFUNCTION("""COMPUTED_VALUE"""),"Talk Intro")</f>
        <v>Talk Intro</v>
      </c>
      <c r="L247" s="4" t="str">
        <f>IFERROR(__xludf.DUMMYFUNCTION("""COMPUTED_VALUE"""),"")</f>
        <v/>
      </c>
      <c r="M247" s="4" t="str">
        <f>IFERROR(__xludf.DUMMYFUNCTION("""COMPUTED_VALUE"""),"")</f>
        <v/>
      </c>
      <c r="N247" s="4" t="str">
        <f>IFERROR(__xludf.DUMMYFUNCTION("""COMPUTED_VALUE"""),"")</f>
        <v/>
      </c>
      <c r="O247" s="4" t="str">
        <f>IFERROR(__xludf.DUMMYFUNCTION("""COMPUTED_VALUE"""),"")</f>
        <v/>
      </c>
      <c r="P247" s="4" t="str">
        <f>IFERROR(__xludf.DUMMYFUNCTION("""COMPUTED_VALUE"""),"")</f>
        <v/>
      </c>
      <c r="Q247" s="4" t="str">
        <f>IFERROR(__xludf.DUMMYFUNCTION("""COMPUTED_VALUE"""),"")</f>
        <v/>
      </c>
      <c r="R247" s="4" t="str">
        <f>IFERROR(__xludf.DUMMYFUNCTION("""COMPUTED_VALUE"""),"")</f>
        <v/>
      </c>
    </row>
    <row r="248">
      <c r="A248" s="4" t="str">
        <f>IFERROR(__xludf.DUMMYFUNCTION("""COMPUTED_VALUE"""),"266 - Channel 5")</f>
        <v>266 - Channel 5</v>
      </c>
      <c r="B248" s="4" t="str">
        <f>IFERROR(__xludf.DUMMYFUNCTION("""COMPUTED_VALUE"""),"Day 3 - 25/06")</f>
        <v>Day 3 - 25/06</v>
      </c>
      <c r="C248" s="6">
        <f>IFERROR(__xludf.DUMMYFUNCTION("""COMPUTED_VALUE"""),0.6591087962962976)</f>
        <v>0.6591087963</v>
      </c>
      <c r="D248" s="8">
        <f>IFERROR(__xludf.DUMMYFUNCTION("""COMPUTED_VALUE"""),0.006944444444444444)</f>
        <v>0.006944444444</v>
      </c>
      <c r="E248" s="6">
        <f>IFERROR(__xludf.DUMMYFUNCTION("""COMPUTED_VALUE"""),0.666053240740742)</f>
        <v>0.6660532407</v>
      </c>
      <c r="F248" s="4" t="str">
        <f>IFERROR(__xludf.DUMMYFUNCTION("""COMPUTED_VALUE"""),"Cars")</f>
        <v>Cars</v>
      </c>
      <c r="G248" s="4" t="str">
        <f>IFERROR(__xludf.DUMMYFUNCTION("""COMPUTED_VALUE"""),"")</f>
        <v/>
      </c>
      <c r="H248" s="4" t="str">
        <f>IFERROR(__xludf.DUMMYFUNCTION("""COMPUTED_VALUE"""),"")</f>
        <v/>
      </c>
      <c r="I248" s="4" t="str">
        <f>IFERROR(__xludf.DUMMYFUNCTION("""COMPUTED_VALUE"""),"")</f>
        <v/>
      </c>
      <c r="J248" s="4" t="str">
        <f>IFERROR(__xludf.DUMMYFUNCTION("""COMPUTED_VALUE"""),"No")</f>
        <v>No</v>
      </c>
      <c r="K248" s="4" t="str">
        <f>IFERROR(__xludf.DUMMYFUNCTION("""COMPUTED_VALUE"""),"Top 5 cars")</f>
        <v>Top 5 cars</v>
      </c>
      <c r="L248" s="4" t="str">
        <f>IFERROR(__xludf.DUMMYFUNCTION("""COMPUTED_VALUE"""),"Lamborghini")</f>
        <v>Lamborghini</v>
      </c>
      <c r="M248" s="4" t="str">
        <f>IFERROR(__xludf.DUMMYFUNCTION("""COMPUTED_VALUE"""),"Aston Martin")</f>
        <v>Aston Martin</v>
      </c>
      <c r="N248" s="4" t="str">
        <f>IFERROR(__xludf.DUMMYFUNCTION("""COMPUTED_VALUE"""),"Porsche")</f>
        <v>Porsche</v>
      </c>
      <c r="O248" s="4" t="str">
        <f>IFERROR(__xludf.DUMMYFUNCTION("""COMPUTED_VALUE"""),"Daimler")</f>
        <v>Daimler</v>
      </c>
      <c r="P248" s="4" t="str">
        <f>IFERROR(__xludf.DUMMYFUNCTION("""COMPUTED_VALUE"""),"Volkswagen")</f>
        <v>Volkswagen</v>
      </c>
      <c r="Q248" s="4" t="str">
        <f>IFERROR(__xludf.DUMMYFUNCTION("""COMPUTED_VALUE"""),"Featuring Lamborghini, Aston Martin, Porsche, Daimler and Volkswagen. There's just something exciting about a new car. You know a good one when you see it, and these are five of the best. Tune in to see some amazing cars unveiled on stage.")</f>
        <v>Featuring Lamborghini, Aston Martin, Porsche, Daimler and Volkswagen. There's just something exciting about a new car. You know a good one when you see it, and these are five of the best. Tune in to see some amazing cars unveiled on stage.</v>
      </c>
      <c r="R248" s="4" t="str">
        <f>IFERROR(__xludf.DUMMYFUNCTION("""COMPUTED_VALUE"""),"")</f>
        <v/>
      </c>
    </row>
    <row r="249">
      <c r="A249" s="4" t="str">
        <f>IFERROR(__xludf.DUMMYFUNCTION("""COMPUTED_VALUE"""),"267 - Channel 5")</f>
        <v>267 - Channel 5</v>
      </c>
      <c r="B249" s="4" t="str">
        <f>IFERROR(__xludf.DUMMYFUNCTION("""COMPUTED_VALUE"""),"Day 3 - 25/06")</f>
        <v>Day 3 - 25/06</v>
      </c>
      <c r="C249" s="6">
        <f>IFERROR(__xludf.DUMMYFUNCTION("""COMPUTED_VALUE"""),0.666053240740742)</f>
        <v>0.6660532407</v>
      </c>
      <c r="D249" s="8">
        <f>IFERROR(__xludf.DUMMYFUNCTION("""COMPUTED_VALUE"""),1.7361111111111112E-4)</f>
        <v>0.0001736111111</v>
      </c>
      <c r="E249" s="6">
        <f>IFERROR(__xludf.DUMMYFUNCTION("""COMPUTED_VALUE"""),0.6662268518518532)</f>
        <v>0.6662268519</v>
      </c>
      <c r="F249" s="4" t="str">
        <f>IFERROR(__xludf.DUMMYFUNCTION("""COMPUTED_VALUE"""),"")</f>
        <v/>
      </c>
      <c r="G249" s="4" t="str">
        <f>IFERROR(__xludf.DUMMYFUNCTION("""COMPUTED_VALUE"""),"")</f>
        <v/>
      </c>
      <c r="H249" s="4" t="str">
        <f>IFERROR(__xludf.DUMMYFUNCTION("""COMPUTED_VALUE"""),"")</f>
        <v/>
      </c>
      <c r="I249" s="4" t="str">
        <f>IFERROR(__xludf.DUMMYFUNCTION("""COMPUTED_VALUE"""),"")</f>
        <v/>
      </c>
      <c r="J249" s="4" t="str">
        <f>IFERROR(__xludf.DUMMYFUNCTION("""COMPUTED_VALUE"""),"")</f>
        <v/>
      </c>
      <c r="K249" s="4" t="str">
        <f>IFERROR(__xludf.DUMMYFUNCTION("""COMPUTED_VALUE"""),"Talk Outro")</f>
        <v>Talk Outro</v>
      </c>
      <c r="L249" s="4" t="str">
        <f>IFERROR(__xludf.DUMMYFUNCTION("""COMPUTED_VALUE"""),"")</f>
        <v/>
      </c>
      <c r="M249" s="4" t="str">
        <f>IFERROR(__xludf.DUMMYFUNCTION("""COMPUTED_VALUE"""),"")</f>
        <v/>
      </c>
      <c r="N249" s="4" t="str">
        <f>IFERROR(__xludf.DUMMYFUNCTION("""COMPUTED_VALUE"""),"")</f>
        <v/>
      </c>
      <c r="O249" s="4" t="str">
        <f>IFERROR(__xludf.DUMMYFUNCTION("""COMPUTED_VALUE"""),"")</f>
        <v/>
      </c>
      <c r="P249" s="4" t="str">
        <f>IFERROR(__xludf.DUMMYFUNCTION("""COMPUTED_VALUE"""),"")</f>
        <v/>
      </c>
      <c r="Q249" s="4" t="str">
        <f>IFERROR(__xludf.DUMMYFUNCTION("""COMPUTED_VALUE"""),"")</f>
        <v/>
      </c>
      <c r="R249" s="4" t="str">
        <f>IFERROR(__xludf.DUMMYFUNCTION("""COMPUTED_VALUE"""),"")</f>
        <v/>
      </c>
    </row>
    <row r="250">
      <c r="A250" s="4" t="str">
        <f>IFERROR(__xludf.DUMMYFUNCTION("""COMPUTED_VALUE"""),"342 - Channel 5")</f>
        <v>342 - Channel 5</v>
      </c>
      <c r="B250" s="4" t="str">
        <f>IFERROR(__xludf.DUMMYFUNCTION("""COMPUTED_VALUE"""),"Day 3 - 25/06")</f>
        <v>Day 3 - 25/06</v>
      </c>
      <c r="C250" s="6">
        <f>IFERROR(__xludf.DUMMYFUNCTION("""COMPUTED_VALUE"""),0.6662268518518532)</f>
        <v>0.6662268519</v>
      </c>
      <c r="D250" s="8">
        <f>IFERROR(__xludf.DUMMYFUNCTION("""COMPUTED_VALUE"""),3.4722222222222224E-4)</f>
        <v>0.0003472222222</v>
      </c>
      <c r="E250" s="6">
        <f>IFERROR(__xludf.DUMMYFUNCTION("""COMPUTED_VALUE"""),0.6665740740740754)</f>
        <v>0.6665740741</v>
      </c>
      <c r="F250" s="4" t="str">
        <f>IFERROR(__xludf.DUMMYFUNCTION("""COMPUTED_VALUE"""),"")</f>
        <v/>
      </c>
      <c r="G250" s="4" t="str">
        <f>IFERROR(__xludf.DUMMYFUNCTION("""COMPUTED_VALUE"""),"")</f>
        <v/>
      </c>
      <c r="H250" s="4" t="str">
        <f>IFERROR(__xludf.DUMMYFUNCTION("""COMPUTED_VALUE"""),"")</f>
        <v/>
      </c>
      <c r="I250" s="4" t="str">
        <f>IFERROR(__xludf.DUMMYFUNCTION("""COMPUTED_VALUE"""),"")</f>
        <v/>
      </c>
      <c r="J250" s="4" t="str">
        <f>IFERROR(__xludf.DUMMYFUNCTION("""COMPUTED_VALUE"""),"")</f>
        <v/>
      </c>
      <c r="K250" s="4" t="str">
        <f>IFERROR(__xludf.DUMMYFUNCTION("""COMPUTED_VALUE"""),"Web Summit Trailer - Short")</f>
        <v>Web Summit Trailer - Short</v>
      </c>
      <c r="L250" s="4" t="str">
        <f>IFERROR(__xludf.DUMMYFUNCTION("""COMPUTED_VALUE"""),"")</f>
        <v/>
      </c>
      <c r="M250" s="4" t="str">
        <f>IFERROR(__xludf.DUMMYFUNCTION("""COMPUTED_VALUE"""),"")</f>
        <v/>
      </c>
      <c r="N250" s="4" t="str">
        <f>IFERROR(__xludf.DUMMYFUNCTION("""COMPUTED_VALUE"""),"")</f>
        <v/>
      </c>
      <c r="O250" s="4" t="str">
        <f>IFERROR(__xludf.DUMMYFUNCTION("""COMPUTED_VALUE"""),"")</f>
        <v/>
      </c>
      <c r="P250" s="4" t="str">
        <f>IFERROR(__xludf.DUMMYFUNCTION("""COMPUTED_VALUE"""),"")</f>
        <v/>
      </c>
      <c r="Q250" s="4" t="str">
        <f>IFERROR(__xludf.DUMMYFUNCTION("""COMPUTED_VALUE"""),"")</f>
        <v/>
      </c>
      <c r="R250" s="4" t="str">
        <f>IFERROR(__xludf.DUMMYFUNCTION("""COMPUTED_VALUE"""),"")</f>
        <v/>
      </c>
    </row>
    <row r="251">
      <c r="A251" s="4" t="str">
        <f>IFERROR(__xludf.DUMMYFUNCTION("""COMPUTED_VALUE"""),"269 - Channel 5")</f>
        <v>269 - Channel 5</v>
      </c>
      <c r="B251" s="4" t="str">
        <f>IFERROR(__xludf.DUMMYFUNCTION("""COMPUTED_VALUE"""),"Day 3 - 25/06")</f>
        <v>Day 3 - 25/06</v>
      </c>
      <c r="C251" s="6">
        <f>IFERROR(__xludf.DUMMYFUNCTION("""COMPUTED_VALUE"""),0.6665740740740754)</f>
        <v>0.6665740741</v>
      </c>
      <c r="D251" s="8">
        <f>IFERROR(__xludf.DUMMYFUNCTION("""COMPUTED_VALUE"""),3.4722222222222224E-4)</f>
        <v>0.0003472222222</v>
      </c>
      <c r="E251" s="6">
        <f>IFERROR(__xludf.DUMMYFUNCTION("""COMPUTED_VALUE"""),0.6669212962962977)</f>
        <v>0.6669212963</v>
      </c>
      <c r="F251" s="4" t="str">
        <f>IFERROR(__xludf.DUMMYFUNCTION("""COMPUTED_VALUE"""),"")</f>
        <v/>
      </c>
      <c r="G251" s="4" t="str">
        <f>IFERROR(__xludf.DUMMYFUNCTION("""COMPUTED_VALUE"""),"")</f>
        <v/>
      </c>
      <c r="H251" s="4" t="str">
        <f>IFERROR(__xludf.DUMMYFUNCTION("""COMPUTED_VALUE"""),"")</f>
        <v/>
      </c>
      <c r="I251" s="4" t="str">
        <f>IFERROR(__xludf.DUMMYFUNCTION("""COMPUTED_VALUE"""),"")</f>
        <v/>
      </c>
      <c r="J251" s="4" t="str">
        <f>IFERROR(__xludf.DUMMYFUNCTION("""COMPUTED_VALUE"""),"")</f>
        <v/>
      </c>
      <c r="K251" s="4" t="str">
        <f>IFERROR(__xludf.DUMMYFUNCTION("""COMPUTED_VALUE"""),"Talk Intro")</f>
        <v>Talk Intro</v>
      </c>
      <c r="L251" s="4" t="str">
        <f>IFERROR(__xludf.DUMMYFUNCTION("""COMPUTED_VALUE"""),"")</f>
        <v/>
      </c>
      <c r="M251" s="4" t="str">
        <f>IFERROR(__xludf.DUMMYFUNCTION("""COMPUTED_VALUE"""),"")</f>
        <v/>
      </c>
      <c r="N251" s="4" t="str">
        <f>IFERROR(__xludf.DUMMYFUNCTION("""COMPUTED_VALUE"""),"")</f>
        <v/>
      </c>
      <c r="O251" s="4" t="str">
        <f>IFERROR(__xludf.DUMMYFUNCTION("""COMPUTED_VALUE"""),"")</f>
        <v/>
      </c>
      <c r="P251" s="4" t="str">
        <f>IFERROR(__xludf.DUMMYFUNCTION("""COMPUTED_VALUE"""),"")</f>
        <v/>
      </c>
      <c r="Q251" s="4" t="str">
        <f>IFERROR(__xludf.DUMMYFUNCTION("""COMPUTED_VALUE"""),"")</f>
        <v/>
      </c>
      <c r="R251" s="4" t="str">
        <f>IFERROR(__xludf.DUMMYFUNCTION("""COMPUTED_VALUE"""),"")</f>
        <v/>
      </c>
    </row>
    <row r="252">
      <c r="A252" s="4" t="str">
        <f>IFERROR(__xludf.DUMMYFUNCTION("""COMPUTED_VALUE"""),"270 - Channel 5")</f>
        <v>270 - Channel 5</v>
      </c>
      <c r="B252" s="4" t="str">
        <f>IFERROR(__xludf.DUMMYFUNCTION("""COMPUTED_VALUE"""),"Day 3 - 25/06")</f>
        <v>Day 3 - 25/06</v>
      </c>
      <c r="C252" s="6">
        <f>IFERROR(__xludf.DUMMYFUNCTION("""COMPUTED_VALUE"""),0.6669212962962977)</f>
        <v>0.6669212963</v>
      </c>
      <c r="D252" s="8">
        <f>IFERROR(__xludf.DUMMYFUNCTION("""COMPUTED_VALUE"""),0.013344907407407408)</f>
        <v>0.01334490741</v>
      </c>
      <c r="E252" s="6">
        <f>IFERROR(__xludf.DUMMYFUNCTION("""COMPUTED_VALUE"""),0.6802662037037052)</f>
        <v>0.6802662037</v>
      </c>
      <c r="F252" s="4" t="str">
        <f>IFERROR(__xludf.DUMMYFUNCTION("""COMPUTED_VALUE"""),"Mobility")</f>
        <v>Mobility</v>
      </c>
      <c r="G252" s="4" t="str">
        <f>IFERROR(__xludf.DUMMYFUNCTION("""COMPUTED_VALUE"""),"RISE 2015")</f>
        <v>RISE 2015</v>
      </c>
      <c r="H252" s="21" t="str">
        <f>IFERROR(__xludf.DUMMYFUNCTION("""COMPUTED_VALUE"""),"https://www.youtube.com/watch?v=IuH3k5v-cEs")</f>
        <v>https://www.youtube.com/watch?v=IuH3k5v-cEs</v>
      </c>
      <c r="I252" s="4" t="str">
        <f>IFERROR(__xludf.DUMMYFUNCTION("""COMPUTED_VALUE"""),"Start on 5 Seconds. All good after that.")</f>
        <v>Start on 5 Seconds. All good after that.</v>
      </c>
      <c r="J252" s="4" t="str">
        <f>IFERROR(__xludf.DUMMYFUNCTION("""COMPUTED_VALUE"""),"No")</f>
        <v>No</v>
      </c>
      <c r="K252" s="4" t="str">
        <f>IFERROR(__xludf.DUMMYFUNCTION("""COMPUTED_VALUE"""),"Jean Liu reveals the secrets behind ride-sharing with Didi Chuxing")</f>
        <v>Jean Liu reveals the secrets behind ride-sharing with Didi Chuxing</v>
      </c>
      <c r="L252" s="4" t="str">
        <f>IFERROR(__xludf.DUMMYFUNCTION("""COMPUTED_VALUE"""),"Jean Liu, Didi Chuxing")</f>
        <v>Jean Liu, Didi Chuxing</v>
      </c>
      <c r="M252" s="4" t="str">
        <f>IFERROR(__xludf.DUMMYFUNCTION("""COMPUTED_VALUE"""),"")</f>
        <v/>
      </c>
      <c r="N252" s="4" t="str">
        <f>IFERROR(__xludf.DUMMYFUNCTION("""COMPUTED_VALUE"""),"")</f>
        <v/>
      </c>
      <c r="O252" s="4" t="str">
        <f>IFERROR(__xludf.DUMMYFUNCTION("""COMPUTED_VALUE"""),"")</f>
        <v/>
      </c>
      <c r="P252" s="4" t="str">
        <f>IFERROR(__xludf.DUMMYFUNCTION("""COMPUTED_VALUE"""),"")</f>
        <v/>
      </c>
      <c r="Q252" s="4" t="str">
        <f>IFERROR(__xludf.DUMMYFUNCTION("""COMPUTED_VALUE"""),"Didi Chuxing has long been sitting on the top of the global unicorn list with its staggering rounds of financing. Didi’s president Jean Liu joined our conference in Asia five years ago to share the secrets behind the ride-sharing economy in her neck of th"&amp;"e woods.")</f>
        <v>Didi Chuxing has long been sitting on the top of the global unicorn list with its staggering rounds of financing. Didi’s president Jean Liu joined our conference in Asia five years ago to share the secrets behind the ride-sharing economy in her neck of the woods.</v>
      </c>
      <c r="R252" s="4" t="str">
        <f>IFERROR(__xludf.DUMMYFUNCTION("""COMPUTED_VALUE"""),"")</f>
        <v/>
      </c>
    </row>
    <row r="253">
      <c r="A253" s="4" t="str">
        <f>IFERROR(__xludf.DUMMYFUNCTION("""COMPUTED_VALUE"""),"271 - Channel 5")</f>
        <v>271 - Channel 5</v>
      </c>
      <c r="B253" s="4" t="str">
        <f>IFERROR(__xludf.DUMMYFUNCTION("""COMPUTED_VALUE"""),"Day 3 - 25/06")</f>
        <v>Day 3 - 25/06</v>
      </c>
      <c r="C253" s="6">
        <f>IFERROR(__xludf.DUMMYFUNCTION("""COMPUTED_VALUE"""),0.6802662037037052)</f>
        <v>0.6802662037</v>
      </c>
      <c r="D253" s="8">
        <f>IFERROR(__xludf.DUMMYFUNCTION("""COMPUTED_VALUE"""),1.7361111111111112E-4)</f>
        <v>0.0001736111111</v>
      </c>
      <c r="E253" s="6">
        <f>IFERROR(__xludf.DUMMYFUNCTION("""COMPUTED_VALUE"""),0.6804398148148163)</f>
        <v>0.6804398148</v>
      </c>
      <c r="F253" s="4" t="str">
        <f>IFERROR(__xludf.DUMMYFUNCTION("""COMPUTED_VALUE"""),"")</f>
        <v/>
      </c>
      <c r="G253" s="4" t="str">
        <f>IFERROR(__xludf.DUMMYFUNCTION("""COMPUTED_VALUE"""),"")</f>
        <v/>
      </c>
      <c r="H253" s="4" t="str">
        <f>IFERROR(__xludf.DUMMYFUNCTION("""COMPUTED_VALUE"""),"")</f>
        <v/>
      </c>
      <c r="I253" s="4" t="str">
        <f>IFERROR(__xludf.DUMMYFUNCTION("""COMPUTED_VALUE"""),"")</f>
        <v/>
      </c>
      <c r="J253" s="4" t="str">
        <f>IFERROR(__xludf.DUMMYFUNCTION("""COMPUTED_VALUE"""),"")</f>
        <v/>
      </c>
      <c r="K253" s="4" t="str">
        <f>IFERROR(__xludf.DUMMYFUNCTION("""COMPUTED_VALUE"""),"Talk Outro")</f>
        <v>Talk Outro</v>
      </c>
      <c r="L253" s="4" t="str">
        <f>IFERROR(__xludf.DUMMYFUNCTION("""COMPUTED_VALUE"""),"")</f>
        <v/>
      </c>
      <c r="M253" s="4" t="str">
        <f>IFERROR(__xludf.DUMMYFUNCTION("""COMPUTED_VALUE"""),"")</f>
        <v/>
      </c>
      <c r="N253" s="4" t="str">
        <f>IFERROR(__xludf.DUMMYFUNCTION("""COMPUTED_VALUE"""),"")</f>
        <v/>
      </c>
      <c r="O253" s="4" t="str">
        <f>IFERROR(__xludf.DUMMYFUNCTION("""COMPUTED_VALUE"""),"")</f>
        <v/>
      </c>
      <c r="P253" s="4" t="str">
        <f>IFERROR(__xludf.DUMMYFUNCTION("""COMPUTED_VALUE"""),"")</f>
        <v/>
      </c>
      <c r="Q253" s="4" t="str">
        <f>IFERROR(__xludf.DUMMYFUNCTION("""COMPUTED_VALUE"""),"")</f>
        <v/>
      </c>
      <c r="R253" s="4" t="str">
        <f>IFERROR(__xludf.DUMMYFUNCTION("""COMPUTED_VALUE"""),"")</f>
        <v/>
      </c>
    </row>
    <row r="254">
      <c r="A254" s="4" t="str">
        <f>IFERROR(__xludf.DUMMYFUNCTION("""COMPUTED_VALUE"""),"272 - Channel 5")</f>
        <v>272 - Channel 5</v>
      </c>
      <c r="B254" s="4" t="str">
        <f>IFERROR(__xludf.DUMMYFUNCTION("""COMPUTED_VALUE"""),"Day 3 - 25/06")</f>
        <v>Day 3 - 25/06</v>
      </c>
      <c r="C254" s="6">
        <f>IFERROR(__xludf.DUMMYFUNCTION("""COMPUTED_VALUE"""),0.6804398148148163)</f>
        <v>0.6804398148</v>
      </c>
      <c r="D254" s="8">
        <f>IFERROR(__xludf.DUMMYFUNCTION("""COMPUTED_VALUE"""),3.4722222222222224E-4)</f>
        <v>0.0003472222222</v>
      </c>
      <c r="E254" s="6">
        <f>IFERROR(__xludf.DUMMYFUNCTION("""COMPUTED_VALUE"""),0.6807870370370386)</f>
        <v>0.680787037</v>
      </c>
      <c r="F254" s="4" t="str">
        <f>IFERROR(__xludf.DUMMYFUNCTION("""COMPUTED_VALUE"""),"")</f>
        <v/>
      </c>
      <c r="G254" s="4" t="str">
        <f>IFERROR(__xludf.DUMMYFUNCTION("""COMPUTED_VALUE"""),"")</f>
        <v/>
      </c>
      <c r="H254" s="4" t="str">
        <f>IFERROR(__xludf.DUMMYFUNCTION("""COMPUTED_VALUE"""),"")</f>
        <v/>
      </c>
      <c r="I254" s="4" t="str">
        <f>IFERROR(__xludf.DUMMYFUNCTION("""COMPUTED_VALUE"""),"")</f>
        <v/>
      </c>
      <c r="J254" s="4" t="str">
        <f>IFERROR(__xludf.DUMMYFUNCTION("""COMPUTED_VALUE"""),"")</f>
        <v/>
      </c>
      <c r="K254" s="4" t="str">
        <f>IFERROR(__xludf.DUMMYFUNCTION("""COMPUTED_VALUE"""),"Talk Intro")</f>
        <v>Talk Intro</v>
      </c>
      <c r="L254" s="4" t="str">
        <f>IFERROR(__xludf.DUMMYFUNCTION("""COMPUTED_VALUE"""),"")</f>
        <v/>
      </c>
      <c r="M254" s="4" t="str">
        <f>IFERROR(__xludf.DUMMYFUNCTION("""COMPUTED_VALUE"""),"")</f>
        <v/>
      </c>
      <c r="N254" s="4" t="str">
        <f>IFERROR(__xludf.DUMMYFUNCTION("""COMPUTED_VALUE"""),"")</f>
        <v/>
      </c>
      <c r="O254" s="4" t="str">
        <f>IFERROR(__xludf.DUMMYFUNCTION("""COMPUTED_VALUE"""),"")</f>
        <v/>
      </c>
      <c r="P254" s="4" t="str">
        <f>IFERROR(__xludf.DUMMYFUNCTION("""COMPUTED_VALUE"""),"")</f>
        <v/>
      </c>
      <c r="Q254" s="4" t="str">
        <f>IFERROR(__xludf.DUMMYFUNCTION("""COMPUTED_VALUE"""),"")</f>
        <v/>
      </c>
      <c r="R254" s="4" t="str">
        <f>IFERROR(__xludf.DUMMYFUNCTION("""COMPUTED_VALUE"""),"")</f>
        <v/>
      </c>
    </row>
    <row r="255">
      <c r="A255" s="4" t="str">
        <f>IFERROR(__xludf.DUMMYFUNCTION("""COMPUTED_VALUE"""),"273 - Channel 5")</f>
        <v>273 - Channel 5</v>
      </c>
      <c r="B255" s="4" t="str">
        <f>IFERROR(__xludf.DUMMYFUNCTION("""COMPUTED_VALUE"""),"Day 3 - 25/06")</f>
        <v>Day 3 - 25/06</v>
      </c>
      <c r="C255" s="6">
        <f>IFERROR(__xludf.DUMMYFUNCTION("""COMPUTED_VALUE"""),0.6807870370370386)</f>
        <v>0.680787037</v>
      </c>
      <c r="D255" s="8">
        <f>IFERROR(__xludf.DUMMYFUNCTION("""COMPUTED_VALUE"""),0.012349537037037037)</f>
        <v>0.01234953704</v>
      </c>
      <c r="E255" s="6">
        <f>IFERROR(__xludf.DUMMYFUNCTION("""COMPUTED_VALUE"""),0.6931365740740756)</f>
        <v>0.6931365741</v>
      </c>
      <c r="F255" s="4" t="str">
        <f>IFERROR(__xludf.DUMMYFUNCTION("""COMPUTED_VALUE"""),"Social Media")</f>
        <v>Social Media</v>
      </c>
      <c r="G255" s="4" t="str">
        <f>IFERROR(__xludf.DUMMYFUNCTION("""COMPUTED_VALUE"""),"Web Summit 2018")</f>
        <v>Web Summit 2018</v>
      </c>
      <c r="H255" s="21" t="str">
        <f>IFERROR(__xludf.DUMMYFUNCTION("""COMPUTED_VALUE"""),"https://www.youtube.com/watch?v=JZ-omtv0vOQ")</f>
        <v>https://www.youtube.com/watch?v=JZ-omtv0vOQ</v>
      </c>
      <c r="I255" s="4" t="str">
        <f>IFERROR(__xludf.DUMMYFUNCTION("""COMPUTED_VALUE"""),"Start on 4 seconds. Cover banner from 2:34-2:41. After that good.")</f>
        <v>Start on 4 seconds. Cover banner from 2:34-2:41. After that good.</v>
      </c>
      <c r="J255" s="4" t="str">
        <f>IFERROR(__xludf.DUMMYFUNCTION("""COMPUTED_VALUE"""),"No")</f>
        <v>No</v>
      </c>
      <c r="K255" s="4" t="str">
        <f>IFERROR(__xludf.DUMMYFUNCTION("""COMPUTED_VALUE"""),"Gaming with Twitch and Machine Zone")</f>
        <v>Gaming with Twitch and Machine Zone</v>
      </c>
      <c r="L255" s="4" t="str">
        <f>IFERROR(__xludf.DUMMYFUNCTION("""COMPUTED_VALUE"""),"Emmett Shear, Twitch")</f>
        <v>Emmett Shear, Twitch</v>
      </c>
      <c r="M255" s="4" t="str">
        <f>IFERROR(__xludf.DUMMYFUNCTION("""COMPUTED_VALUE"""),"Kristen Garcia Dumont, Machine Zone")</f>
        <v>Kristen Garcia Dumont, Machine Zone</v>
      </c>
      <c r="N255" s="4" t="str">
        <f>IFERROR(__xludf.DUMMYFUNCTION("""COMPUTED_VALUE"""),"")</f>
        <v/>
      </c>
      <c r="O255" s="4" t="str">
        <f>IFERROR(__xludf.DUMMYFUNCTION("""COMPUTED_VALUE"""),"")</f>
        <v/>
      </c>
      <c r="P255" s="4" t="str">
        <f>IFERROR(__xludf.DUMMYFUNCTION("""COMPUTED_VALUE"""),"")</f>
        <v/>
      </c>
      <c r="Q255" s="4" t="str">
        <f>IFERROR(__xludf.DUMMYFUNCTION("""COMPUTED_VALUE"""),"Who doesn’t like games?! The CEOs of Twitch and Machine Zone shared their personal favourites, and their dreams of the future of games, with Web Summit audiences.")</f>
        <v>Who doesn’t like games?! The CEOs of Twitch and Machine Zone shared their personal favourites, and their dreams of the future of games, with Web Summit audiences.</v>
      </c>
      <c r="R255" s="4" t="str">
        <f>IFERROR(__xludf.DUMMYFUNCTION("""COMPUTED_VALUE"""),"")</f>
        <v/>
      </c>
    </row>
    <row r="256">
      <c r="A256" s="4" t="str">
        <f>IFERROR(__xludf.DUMMYFUNCTION("""COMPUTED_VALUE"""),"274 - Channel 5")</f>
        <v>274 - Channel 5</v>
      </c>
      <c r="B256" s="4" t="str">
        <f>IFERROR(__xludf.DUMMYFUNCTION("""COMPUTED_VALUE"""),"Day 3 - 25/06")</f>
        <v>Day 3 - 25/06</v>
      </c>
      <c r="C256" s="6">
        <f>IFERROR(__xludf.DUMMYFUNCTION("""COMPUTED_VALUE"""),0.6931365740740756)</f>
        <v>0.6931365741</v>
      </c>
      <c r="D256" s="8">
        <f>IFERROR(__xludf.DUMMYFUNCTION("""COMPUTED_VALUE"""),1.7361111111111112E-4)</f>
        <v>0.0001736111111</v>
      </c>
      <c r="E256" s="6">
        <f>IFERROR(__xludf.DUMMYFUNCTION("""COMPUTED_VALUE"""),0.6933101851851867)</f>
        <v>0.6933101852</v>
      </c>
      <c r="F256" s="4" t="str">
        <f>IFERROR(__xludf.DUMMYFUNCTION("""COMPUTED_VALUE"""),"")</f>
        <v/>
      </c>
      <c r="G256" s="4" t="str">
        <f>IFERROR(__xludf.DUMMYFUNCTION("""COMPUTED_VALUE"""),"")</f>
        <v/>
      </c>
      <c r="H256" s="4" t="str">
        <f>IFERROR(__xludf.DUMMYFUNCTION("""COMPUTED_VALUE"""),"")</f>
        <v/>
      </c>
      <c r="I256" s="4" t="str">
        <f>IFERROR(__xludf.DUMMYFUNCTION("""COMPUTED_VALUE"""),"")</f>
        <v/>
      </c>
      <c r="J256" s="4" t="str">
        <f>IFERROR(__xludf.DUMMYFUNCTION("""COMPUTED_VALUE"""),"")</f>
        <v/>
      </c>
      <c r="K256" s="4" t="str">
        <f>IFERROR(__xludf.DUMMYFUNCTION("""COMPUTED_VALUE"""),"Talk Outro")</f>
        <v>Talk Outro</v>
      </c>
      <c r="L256" s="4" t="str">
        <f>IFERROR(__xludf.DUMMYFUNCTION("""COMPUTED_VALUE"""),"")</f>
        <v/>
      </c>
      <c r="M256" s="4" t="str">
        <f>IFERROR(__xludf.DUMMYFUNCTION("""COMPUTED_VALUE"""),"")</f>
        <v/>
      </c>
      <c r="N256" s="4" t="str">
        <f>IFERROR(__xludf.DUMMYFUNCTION("""COMPUTED_VALUE"""),"")</f>
        <v/>
      </c>
      <c r="O256" s="4" t="str">
        <f>IFERROR(__xludf.DUMMYFUNCTION("""COMPUTED_VALUE"""),"")</f>
        <v/>
      </c>
      <c r="P256" s="4" t="str">
        <f>IFERROR(__xludf.DUMMYFUNCTION("""COMPUTED_VALUE"""),"")</f>
        <v/>
      </c>
      <c r="Q256" s="4" t="str">
        <f>IFERROR(__xludf.DUMMYFUNCTION("""COMPUTED_VALUE"""),"")</f>
        <v/>
      </c>
      <c r="R256" s="4" t="str">
        <f>IFERROR(__xludf.DUMMYFUNCTION("""COMPUTED_VALUE"""),"")</f>
        <v/>
      </c>
    </row>
    <row r="257">
      <c r="A257" s="4" t="str">
        <f>IFERROR(__xludf.DUMMYFUNCTION("""COMPUTED_VALUE"""),"349 - Channel 5")</f>
        <v>349 - Channel 5</v>
      </c>
      <c r="B257" s="4" t="str">
        <f>IFERROR(__xludf.DUMMYFUNCTION("""COMPUTED_VALUE"""),"Day 3 - 25/06")</f>
        <v>Day 3 - 25/06</v>
      </c>
      <c r="C257" s="6">
        <f>IFERROR(__xludf.DUMMYFUNCTION("""COMPUTED_VALUE"""),0.6933101851851867)</f>
        <v>0.6933101852</v>
      </c>
      <c r="D257" s="8">
        <f>IFERROR(__xludf.DUMMYFUNCTION("""COMPUTED_VALUE"""),6.944444444444445E-4)</f>
        <v>0.0006944444444</v>
      </c>
      <c r="E257" s="6">
        <f>IFERROR(__xludf.DUMMYFUNCTION("""COMPUTED_VALUE"""),0.6940046296296312)</f>
        <v>0.6940046296</v>
      </c>
      <c r="F257" s="4" t="str">
        <f>IFERROR(__xludf.DUMMYFUNCTION("""COMPUTED_VALUE"""),"")</f>
        <v/>
      </c>
      <c r="G257" s="4" t="str">
        <f>IFERROR(__xludf.DUMMYFUNCTION("""COMPUTED_VALUE"""),"")</f>
        <v/>
      </c>
      <c r="H257" s="4" t="str">
        <f>IFERROR(__xludf.DUMMYFUNCTION("""COMPUTED_VALUE"""),"")</f>
        <v/>
      </c>
      <c r="I257" s="4" t="str">
        <f>IFERROR(__xludf.DUMMYFUNCTION("""COMPUTED_VALUE"""),"")</f>
        <v/>
      </c>
      <c r="J257" s="4" t="str">
        <f>IFERROR(__xludf.DUMMYFUNCTION("""COMPUTED_VALUE"""),"")</f>
        <v/>
      </c>
      <c r="K257" s="4" t="str">
        <f>IFERROR(__xludf.DUMMYFUNCTION("""COMPUTED_VALUE"""),"Holding Graphic")</f>
        <v>Holding Graphic</v>
      </c>
      <c r="L257" s="4" t="str">
        <f>IFERROR(__xludf.DUMMYFUNCTION("""COMPUTED_VALUE"""),"")</f>
        <v/>
      </c>
      <c r="M257" s="4" t="str">
        <f>IFERROR(__xludf.DUMMYFUNCTION("""COMPUTED_VALUE"""),"")</f>
        <v/>
      </c>
      <c r="N257" s="4" t="str">
        <f>IFERROR(__xludf.DUMMYFUNCTION("""COMPUTED_VALUE"""),"")</f>
        <v/>
      </c>
      <c r="O257" s="4" t="str">
        <f>IFERROR(__xludf.DUMMYFUNCTION("""COMPUTED_VALUE"""),"")</f>
        <v/>
      </c>
      <c r="P257" s="4" t="str">
        <f>IFERROR(__xludf.DUMMYFUNCTION("""COMPUTED_VALUE"""),"")</f>
        <v/>
      </c>
      <c r="Q257" s="4" t="str">
        <f>IFERROR(__xludf.DUMMYFUNCTION("""COMPUTED_VALUE"""),"")</f>
        <v/>
      </c>
      <c r="R257" s="4" t="str">
        <f>IFERROR(__xludf.DUMMYFUNCTION("""COMPUTED_VALUE"""),"")</f>
        <v/>
      </c>
    </row>
    <row r="258">
      <c r="A258" s="4" t="str">
        <f>IFERROR(__xludf.DUMMYFUNCTION("""COMPUTED_VALUE"""),"275 - Channel 5")</f>
        <v>275 - Channel 5</v>
      </c>
      <c r="B258" s="4" t="str">
        <f>IFERROR(__xludf.DUMMYFUNCTION("""COMPUTED_VALUE"""),"Day 3 - 25/06")</f>
        <v>Day 3 - 25/06</v>
      </c>
      <c r="C258" s="6">
        <f>IFERROR(__xludf.DUMMYFUNCTION("""COMPUTED_VALUE"""),0.6940046296296312)</f>
        <v>0.6940046296</v>
      </c>
      <c r="D258" s="8">
        <f>IFERROR(__xludf.DUMMYFUNCTION("""COMPUTED_VALUE"""),5.208333333333333E-4)</f>
        <v>0.0005208333333</v>
      </c>
      <c r="E258" s="6">
        <f>IFERROR(__xludf.DUMMYFUNCTION("""COMPUTED_VALUE"""),0.6945254629629645)</f>
        <v>0.694525463</v>
      </c>
      <c r="F258" s="4" t="str">
        <f>IFERROR(__xludf.DUMMYFUNCTION("""COMPUTED_VALUE"""),"")</f>
        <v/>
      </c>
      <c r="G258" s="4" t="str">
        <f>IFERROR(__xludf.DUMMYFUNCTION("""COMPUTED_VALUE"""),"")</f>
        <v/>
      </c>
      <c r="H258" s="4" t="str">
        <f>IFERROR(__xludf.DUMMYFUNCTION("""COMPUTED_VALUE"""),"")</f>
        <v/>
      </c>
      <c r="I258" s="4" t="str">
        <f>IFERROR(__xludf.DUMMYFUNCTION("""COMPUTED_VALUE"""),"")</f>
        <v/>
      </c>
      <c r="J258" s="4" t="str">
        <f>IFERROR(__xludf.DUMMYFUNCTION("""COMPUTED_VALUE"""),"")</f>
        <v/>
      </c>
      <c r="K258" s="4" t="str">
        <f>IFERROR(__xludf.DUMMYFUNCTION("""COMPUTED_VALUE"""),"Web Summit Trailer - Full")</f>
        <v>Web Summit Trailer - Full</v>
      </c>
      <c r="L258" s="4" t="str">
        <f>IFERROR(__xludf.DUMMYFUNCTION("""COMPUTED_VALUE"""),"")</f>
        <v/>
      </c>
      <c r="M258" s="4" t="str">
        <f>IFERROR(__xludf.DUMMYFUNCTION("""COMPUTED_VALUE"""),"")</f>
        <v/>
      </c>
      <c r="N258" s="4" t="str">
        <f>IFERROR(__xludf.DUMMYFUNCTION("""COMPUTED_VALUE"""),"")</f>
        <v/>
      </c>
      <c r="O258" s="4" t="str">
        <f>IFERROR(__xludf.DUMMYFUNCTION("""COMPUTED_VALUE"""),"")</f>
        <v/>
      </c>
      <c r="P258" s="4" t="str">
        <f>IFERROR(__xludf.DUMMYFUNCTION("""COMPUTED_VALUE"""),"")</f>
        <v/>
      </c>
      <c r="Q258" s="4" t="str">
        <f>IFERROR(__xludf.DUMMYFUNCTION("""COMPUTED_VALUE"""),"")</f>
        <v/>
      </c>
      <c r="R258" s="4" t="str">
        <f>IFERROR(__xludf.DUMMYFUNCTION("""COMPUTED_VALUE"""),"")</f>
        <v/>
      </c>
    </row>
    <row r="259">
      <c r="A259" s="4" t="str">
        <f>IFERROR(__xludf.DUMMYFUNCTION("""COMPUTED_VALUE"""),"277 - Channel 5")</f>
        <v>277 - Channel 5</v>
      </c>
      <c r="B259" s="4" t="str">
        <f>IFERROR(__xludf.DUMMYFUNCTION("""COMPUTED_VALUE"""),"Day 3 - 25/06")</f>
        <v>Day 3 - 25/06</v>
      </c>
      <c r="C259" s="6">
        <f>IFERROR(__xludf.DUMMYFUNCTION("""COMPUTED_VALUE"""),0.6945254629629645)</f>
        <v>0.694525463</v>
      </c>
      <c r="D259" s="8">
        <f>IFERROR(__xludf.DUMMYFUNCTION("""COMPUTED_VALUE"""),3.4722222222222224E-4)</f>
        <v>0.0003472222222</v>
      </c>
      <c r="E259" s="6">
        <f>IFERROR(__xludf.DUMMYFUNCTION("""COMPUTED_VALUE"""),0.6948726851851867)</f>
        <v>0.6948726852</v>
      </c>
      <c r="F259" s="4" t="str">
        <f>IFERROR(__xludf.DUMMYFUNCTION("""COMPUTED_VALUE"""),"")</f>
        <v/>
      </c>
      <c r="G259" s="4" t="str">
        <f>IFERROR(__xludf.DUMMYFUNCTION("""COMPUTED_VALUE"""),"")</f>
        <v/>
      </c>
      <c r="H259" s="4" t="str">
        <f>IFERROR(__xludf.DUMMYFUNCTION("""COMPUTED_VALUE"""),"")</f>
        <v/>
      </c>
      <c r="I259" s="4" t="str">
        <f>IFERROR(__xludf.DUMMYFUNCTION("""COMPUTED_VALUE"""),"")</f>
        <v/>
      </c>
      <c r="J259" s="4" t="str">
        <f>IFERROR(__xludf.DUMMYFUNCTION("""COMPUTED_VALUE"""),"")</f>
        <v/>
      </c>
      <c r="K259" s="4" t="str">
        <f>IFERROR(__xludf.DUMMYFUNCTION("""COMPUTED_VALUE"""),"Talk Intro")</f>
        <v>Talk Intro</v>
      </c>
      <c r="L259" s="4" t="str">
        <f>IFERROR(__xludf.DUMMYFUNCTION("""COMPUTED_VALUE"""),"")</f>
        <v/>
      </c>
      <c r="M259" s="4" t="str">
        <f>IFERROR(__xludf.DUMMYFUNCTION("""COMPUTED_VALUE"""),"")</f>
        <v/>
      </c>
      <c r="N259" s="4" t="str">
        <f>IFERROR(__xludf.DUMMYFUNCTION("""COMPUTED_VALUE"""),"")</f>
        <v/>
      </c>
      <c r="O259" s="4" t="str">
        <f>IFERROR(__xludf.DUMMYFUNCTION("""COMPUTED_VALUE"""),"")</f>
        <v/>
      </c>
      <c r="P259" s="4" t="str">
        <f>IFERROR(__xludf.DUMMYFUNCTION("""COMPUTED_VALUE"""),"")</f>
        <v/>
      </c>
      <c r="Q259" s="4" t="str">
        <f>IFERROR(__xludf.DUMMYFUNCTION("""COMPUTED_VALUE"""),"")</f>
        <v/>
      </c>
      <c r="R259" s="4" t="str">
        <f>IFERROR(__xludf.DUMMYFUNCTION("""COMPUTED_VALUE"""),"")</f>
        <v/>
      </c>
    </row>
    <row r="260">
      <c r="A260" s="4" t="str">
        <f>IFERROR(__xludf.DUMMYFUNCTION("""COMPUTED_VALUE"""),"278 - Channel 5")</f>
        <v>278 - Channel 5</v>
      </c>
      <c r="B260" s="4" t="str">
        <f>IFERROR(__xludf.DUMMYFUNCTION("""COMPUTED_VALUE"""),"Day 3 - 25/06")</f>
        <v>Day 3 - 25/06</v>
      </c>
      <c r="C260" s="6">
        <f>IFERROR(__xludf.DUMMYFUNCTION("""COMPUTED_VALUE"""),0.6948726851851867)</f>
        <v>0.6948726852</v>
      </c>
      <c r="D260" s="8">
        <f>IFERROR(__xludf.DUMMYFUNCTION("""COMPUTED_VALUE"""),0.013287037037037036)</f>
        <v>0.01328703704</v>
      </c>
      <c r="E260" s="6">
        <f>IFERROR(__xludf.DUMMYFUNCTION("""COMPUTED_VALUE"""),0.7081597222222238)</f>
        <v>0.7081597222</v>
      </c>
      <c r="F260" s="4" t="str">
        <f>IFERROR(__xludf.DUMMYFUNCTION("""COMPUTED_VALUE"""),"Climate")</f>
        <v>Climate</v>
      </c>
      <c r="G260" s="4" t="str">
        <f>IFERROR(__xludf.DUMMYFUNCTION("""COMPUTED_VALUE"""),"Web Summit 2017")</f>
        <v>Web Summit 2017</v>
      </c>
      <c r="H260" s="21" t="str">
        <f>IFERROR(__xludf.DUMMYFUNCTION("""COMPUTED_VALUE"""),"https://www.youtube.com/watch?v=e6b2Mjrr4MU")</f>
        <v>https://www.youtube.com/watch?v=e6b2Mjrr4MU</v>
      </c>
      <c r="I260" s="4" t="str">
        <f>IFERROR(__xludf.DUMMYFUNCTION("""COMPUTED_VALUE"""),"Start at 8 seconds. Play to end.")</f>
        <v>Start at 8 seconds. Play to end.</v>
      </c>
      <c r="J260" s="4" t="str">
        <f>IFERROR(__xludf.DUMMYFUNCTION("""COMPUTED_VALUE"""),"No")</f>
        <v>No</v>
      </c>
      <c r="K260" s="4" t="str">
        <f>IFERROR(__xludf.DUMMYFUNCTION("""COMPUTED_VALUE"""),"Sustainability in big business with Booking.com, Salesforce and Mission2020 ")</f>
        <v>Sustainability in big business with Booking.com, Salesforce and Mission2020 </v>
      </c>
      <c r="L260" s="4" t="str">
        <f>IFERROR(__xludf.DUMMYFUNCTION("""COMPUTED_VALUE"""),"Gillian Tans, Booking.com")</f>
        <v>Gillian Tans, Booking.com</v>
      </c>
      <c r="M260" s="4" t="str">
        <f>IFERROR(__xludf.DUMMYFUNCTION("""COMPUTED_VALUE"""),"Suzanne DiBianca, Salesforce")</f>
        <v>Suzanne DiBianca, Salesforce</v>
      </c>
      <c r="N260" s="4" t="str">
        <f>IFERROR(__xludf.DUMMYFUNCTION("""COMPUTED_VALUE"""),"Christiana Figueres, Mission2020")</f>
        <v>Christiana Figueres, Mission2020</v>
      </c>
      <c r="O260" s="4" t="str">
        <f>IFERROR(__xludf.DUMMYFUNCTION("""COMPUTED_VALUE"""),"")</f>
        <v/>
      </c>
      <c r="P260" s="4" t="str">
        <f>IFERROR(__xludf.DUMMYFUNCTION("""COMPUTED_VALUE"""),"Philip Crowther, France 24")</f>
        <v>Philip Crowther, France 24</v>
      </c>
      <c r="Q260" s="4" t="str">
        <f>IFERROR(__xludf.DUMMYFUNCTION("""COMPUTED_VALUE"""),"Featuring Gillian Tans, Suzanne DiBianca and Christiana Figueres. Of course you’ve heard people talking on the news about sustainability. But just how serious are global business leaders when it comes to operating trades in a sustainable manner? Let’s hea"&amp;"r what companies such as Booking.com and Salesforce have to say…")</f>
        <v>Featuring Gillian Tans, Suzanne DiBianca and Christiana Figueres. Of course you’ve heard people talking on the news about sustainability. But just how serious are global business leaders when it comes to operating trades in a sustainable manner? Let’s hear what companies such as Booking.com and Salesforce have to say…</v>
      </c>
      <c r="R260" s="4" t="str">
        <f>IFERROR(__xludf.DUMMYFUNCTION("""COMPUTED_VALUE"""),"")</f>
        <v/>
      </c>
    </row>
    <row r="261">
      <c r="A261" s="4" t="str">
        <f>IFERROR(__xludf.DUMMYFUNCTION("""COMPUTED_VALUE"""),"279 - Channel 5")</f>
        <v>279 - Channel 5</v>
      </c>
      <c r="B261" s="4" t="str">
        <f>IFERROR(__xludf.DUMMYFUNCTION("""COMPUTED_VALUE"""),"Day 3 - 25/06")</f>
        <v>Day 3 - 25/06</v>
      </c>
      <c r="C261" s="6">
        <f>IFERROR(__xludf.DUMMYFUNCTION("""COMPUTED_VALUE"""),0.7081597222222238)</f>
        <v>0.7081597222</v>
      </c>
      <c r="D261" s="8">
        <f>IFERROR(__xludf.DUMMYFUNCTION("""COMPUTED_VALUE"""),1.7361111111111112E-4)</f>
        <v>0.0001736111111</v>
      </c>
      <c r="E261" s="6">
        <f>IFERROR(__xludf.DUMMYFUNCTION("""COMPUTED_VALUE"""),0.7083333333333349)</f>
        <v>0.7083333333</v>
      </c>
      <c r="F261" s="4" t="str">
        <f>IFERROR(__xludf.DUMMYFUNCTION("""COMPUTED_VALUE"""),"")</f>
        <v/>
      </c>
      <c r="G261" s="4" t="str">
        <f>IFERROR(__xludf.DUMMYFUNCTION("""COMPUTED_VALUE"""),"")</f>
        <v/>
      </c>
      <c r="H261" s="4" t="str">
        <f>IFERROR(__xludf.DUMMYFUNCTION("""COMPUTED_VALUE"""),"")</f>
        <v/>
      </c>
      <c r="I261" s="4" t="str">
        <f>IFERROR(__xludf.DUMMYFUNCTION("""COMPUTED_VALUE"""),"")</f>
        <v/>
      </c>
      <c r="J261" s="4" t="str">
        <f>IFERROR(__xludf.DUMMYFUNCTION("""COMPUTED_VALUE"""),"")</f>
        <v/>
      </c>
      <c r="K261" s="4" t="str">
        <f>IFERROR(__xludf.DUMMYFUNCTION("""COMPUTED_VALUE"""),"Talk Outro")</f>
        <v>Talk Outro</v>
      </c>
      <c r="L261" s="4" t="str">
        <f>IFERROR(__xludf.DUMMYFUNCTION("""COMPUTED_VALUE"""),"")</f>
        <v/>
      </c>
      <c r="M261" s="4" t="str">
        <f>IFERROR(__xludf.DUMMYFUNCTION("""COMPUTED_VALUE"""),"")</f>
        <v/>
      </c>
      <c r="N261" s="4" t="str">
        <f>IFERROR(__xludf.DUMMYFUNCTION("""COMPUTED_VALUE"""),"")</f>
        <v/>
      </c>
      <c r="O261" s="4" t="str">
        <f>IFERROR(__xludf.DUMMYFUNCTION("""COMPUTED_VALUE"""),"")</f>
        <v/>
      </c>
      <c r="P261" s="4" t="str">
        <f>IFERROR(__xludf.DUMMYFUNCTION("""COMPUTED_VALUE"""),"")</f>
        <v/>
      </c>
      <c r="Q261" s="4" t="str">
        <f>IFERROR(__xludf.DUMMYFUNCTION("""COMPUTED_VALUE"""),"")</f>
        <v/>
      </c>
      <c r="R261" s="4" t="str">
        <f>IFERROR(__xludf.DUMMYFUNCTION("""COMPUTED_VALUE"""),"")</f>
        <v/>
      </c>
    </row>
    <row r="262">
      <c r="A262" s="4" t="str">
        <f>IFERROR(__xludf.DUMMYFUNCTION("""COMPUTED_VALUE"""),"280 - Channel 5")</f>
        <v>280 - Channel 5</v>
      </c>
      <c r="B262" s="4" t="str">
        <f>IFERROR(__xludf.DUMMYFUNCTION("""COMPUTED_VALUE"""),"Day 3 - 25/06")</f>
        <v>Day 3 - 25/06</v>
      </c>
      <c r="C262" s="6" t="str">
        <f>IFERROR(__xludf.DUMMYFUNCTION("""COMPUTED_VALUE"""),"#REF!")</f>
        <v>#REF!</v>
      </c>
      <c r="D262" s="8">
        <f>IFERROR(__xludf.DUMMYFUNCTION("""COMPUTED_VALUE"""),0.006944444444444444)</f>
        <v>0.006944444444</v>
      </c>
      <c r="E262" s="6" t="str">
        <f>IFERROR(__xludf.DUMMYFUNCTION("""COMPUTED_VALUE"""),"#REF!")</f>
        <v>#REF!</v>
      </c>
      <c r="F262" s="4" t="str">
        <f>IFERROR(__xludf.DUMMYFUNCTION("""COMPUTED_VALUE"""),"Sport")</f>
        <v>Sport</v>
      </c>
      <c r="G262" s="4" t="str">
        <f>IFERROR(__xludf.DUMMYFUNCTION("""COMPUTED_VALUE"""),"")</f>
        <v/>
      </c>
      <c r="H262" s="4" t="str">
        <f>IFERROR(__xludf.DUMMYFUNCTION("""COMPUTED_VALUE"""),"")</f>
        <v/>
      </c>
      <c r="I262" s="4" t="str">
        <f>IFERROR(__xludf.DUMMYFUNCTION("""COMPUTED_VALUE"""),"")</f>
        <v/>
      </c>
      <c r="J262" s="4" t="str">
        <f>IFERROR(__xludf.DUMMYFUNCTION("""COMPUTED_VALUE"""),"No")</f>
        <v>No</v>
      </c>
      <c r="K262" s="4" t="str">
        <f>IFERROR(__xludf.DUMMYFUNCTION("""COMPUTED_VALUE"""),"Top 5 soccer players")</f>
        <v>Top 5 soccer players</v>
      </c>
      <c r="L262" s="4" t="str">
        <f>IFERROR(__xludf.DUMMYFUNCTION("""COMPUTED_VALUE"""),"Eric Cantona, Common Goal")</f>
        <v>Eric Cantona, Common Goal</v>
      </c>
      <c r="M262" s="4" t="str">
        <f>IFERROR(__xludf.DUMMYFUNCTION("""COMPUTED_VALUE"""),"Meghan Klingenberg, Re-Inc")</f>
        <v>Meghan Klingenberg, Re-Inc</v>
      </c>
      <c r="N262" s="4" t="str">
        <f>IFERROR(__xludf.DUMMYFUNCTION("""COMPUTED_VALUE"""),"Hope Solo, USWNT")</f>
        <v>Hope Solo, USWNT</v>
      </c>
      <c r="O262" s="4" t="str">
        <f>IFERROR(__xludf.DUMMYFUNCTION("""COMPUTED_VALUE"""),". Ronaldo, Real Valladolid")</f>
        <v>. Ronaldo, Real Valladolid</v>
      </c>
      <c r="P262" s="4" t="str">
        <f>IFERROR(__xludf.DUMMYFUNCTION("""COMPUTED_VALUE"""),"Ronaldinho ., Teqball")</f>
        <v>Ronaldinho ., Teqball</v>
      </c>
      <c r="Q262" s="4" t="str">
        <f>IFERROR(__xludf.DUMMYFUNCTION("""COMPUTED_VALUE"""),"Featuring Eric Cantona, Meghan Kingenberg, Hope Solo, Ronaldo and Ronaldinho. Eric Cantona, Ronaldinho, Hope Solo... Just some of the great footballers to have graced our stages. Tune in to hear about life after football, and what it's like to be a world "&amp;"beater.")</f>
        <v>Featuring Eric Cantona, Meghan Kingenberg, Hope Solo, Ronaldo and Ronaldinho. Eric Cantona, Ronaldinho, Hope Solo... Just some of the great footballers to have graced our stages. Tune in to hear about life after football, and what it's like to be a world beater.</v>
      </c>
      <c r="R262" s="4" t="str">
        <f>IFERROR(__xludf.DUMMYFUNCTION("""COMPUTED_VALUE"""),"")</f>
        <v/>
      </c>
    </row>
    <row r="263">
      <c r="A263" s="4" t="str">
        <f>IFERROR(__xludf.DUMMYFUNCTION("""COMPUTED_VALUE"""),"294 - Channel 5")</f>
        <v>294 - Channel 5</v>
      </c>
      <c r="B263" s="4" t="str">
        <f>IFERROR(__xludf.DUMMYFUNCTION("""COMPUTED_VALUE"""),"")</f>
        <v/>
      </c>
      <c r="C263" s="4" t="str">
        <f>IFERROR(__xludf.DUMMYFUNCTION("""COMPUTED_VALUE"""),"")</f>
        <v/>
      </c>
      <c r="D263" s="4" t="str">
        <f>IFERROR(__xludf.DUMMYFUNCTION("""COMPUTED_VALUE"""),"")</f>
        <v/>
      </c>
      <c r="E263" s="4" t="str">
        <f>IFERROR(__xludf.DUMMYFUNCTION("""COMPUTED_VALUE"""),"")</f>
        <v/>
      </c>
      <c r="F263" s="4" t="str">
        <f>IFERROR(__xludf.DUMMYFUNCTION("""COMPUTED_VALUE"""),"")</f>
        <v/>
      </c>
      <c r="G263" s="4" t="str">
        <f>IFERROR(__xludf.DUMMYFUNCTION("""COMPUTED_VALUE"""),"")</f>
        <v/>
      </c>
      <c r="H263" s="4" t="str">
        <f>IFERROR(__xludf.DUMMYFUNCTION("""COMPUTED_VALUE"""),"")</f>
        <v/>
      </c>
      <c r="I263" s="4" t="str">
        <f>IFERROR(__xludf.DUMMYFUNCTION("""COMPUTED_VALUE"""),"")</f>
        <v/>
      </c>
      <c r="J263" s="4" t="str">
        <f>IFERROR(__xludf.DUMMYFUNCTION("""COMPUTED_VALUE"""),"")</f>
        <v/>
      </c>
      <c r="K263" s="4" t="str">
        <f>IFERROR(__xludf.DUMMYFUNCTION("""COMPUTED_VALUE"""),"")</f>
        <v/>
      </c>
      <c r="L263" s="4" t="str">
        <f>IFERROR(__xludf.DUMMYFUNCTION("""COMPUTED_VALUE"""),"")</f>
        <v/>
      </c>
      <c r="M263" s="4" t="str">
        <f>IFERROR(__xludf.DUMMYFUNCTION("""COMPUTED_VALUE"""),"")</f>
        <v/>
      </c>
      <c r="N263" s="4" t="str">
        <f>IFERROR(__xludf.DUMMYFUNCTION("""COMPUTED_VALUE"""),"")</f>
        <v/>
      </c>
      <c r="O263" s="4" t="str">
        <f>IFERROR(__xludf.DUMMYFUNCTION("""COMPUTED_VALUE"""),"")</f>
        <v/>
      </c>
      <c r="P263" s="4" t="str">
        <f>IFERROR(__xludf.DUMMYFUNCTION("""COMPUTED_VALUE"""),"")</f>
        <v/>
      </c>
      <c r="Q263" s="4" t="str">
        <f>IFERROR(__xludf.DUMMYFUNCTION("""COMPUTED_VALUE"""),"")</f>
        <v/>
      </c>
      <c r="R263" s="4" t="str">
        <f>IFERROR(__xludf.DUMMYFUNCTION("""COMPUTED_VALUE"""),"")</f>
        <v/>
      </c>
    </row>
    <row r="264">
      <c r="A264" s="4" t="str">
        <f>IFERROR(__xludf.DUMMYFUNCTION("""COMPUTED_VALUE"""),"295 - Channel 5")</f>
        <v>295 - Channel 5</v>
      </c>
      <c r="B264" s="4" t="str">
        <f>IFERROR(__xludf.DUMMYFUNCTION("""COMPUTED_VALUE"""),"")</f>
        <v/>
      </c>
      <c r="C264" s="4" t="str">
        <f>IFERROR(__xludf.DUMMYFUNCTION("""COMPUTED_VALUE"""),"")</f>
        <v/>
      </c>
      <c r="D264" s="4" t="str">
        <f>IFERROR(__xludf.DUMMYFUNCTION("""COMPUTED_VALUE"""),"")</f>
        <v/>
      </c>
      <c r="E264" s="4" t="str">
        <f>IFERROR(__xludf.DUMMYFUNCTION("""COMPUTED_VALUE"""),"")</f>
        <v/>
      </c>
      <c r="F264" s="4" t="str">
        <f>IFERROR(__xludf.DUMMYFUNCTION("""COMPUTED_VALUE"""),"")</f>
        <v/>
      </c>
      <c r="G264" s="4" t="str">
        <f>IFERROR(__xludf.DUMMYFUNCTION("""COMPUTED_VALUE"""),"")</f>
        <v/>
      </c>
      <c r="H264" s="4" t="str">
        <f>IFERROR(__xludf.DUMMYFUNCTION("""COMPUTED_VALUE"""),"")</f>
        <v/>
      </c>
      <c r="I264" s="4" t="str">
        <f>IFERROR(__xludf.DUMMYFUNCTION("""COMPUTED_VALUE"""),"")</f>
        <v/>
      </c>
      <c r="J264" s="4" t="str">
        <f>IFERROR(__xludf.DUMMYFUNCTION("""COMPUTED_VALUE"""),"")</f>
        <v/>
      </c>
      <c r="K264" s="4" t="str">
        <f>IFERROR(__xludf.DUMMYFUNCTION("""COMPUTED_VALUE"""),"")</f>
        <v/>
      </c>
      <c r="L264" s="4" t="str">
        <f>IFERROR(__xludf.DUMMYFUNCTION("""COMPUTED_VALUE"""),"")</f>
        <v/>
      </c>
      <c r="M264" s="4" t="str">
        <f>IFERROR(__xludf.DUMMYFUNCTION("""COMPUTED_VALUE"""),"")</f>
        <v/>
      </c>
      <c r="N264" s="4" t="str">
        <f>IFERROR(__xludf.DUMMYFUNCTION("""COMPUTED_VALUE"""),"")</f>
        <v/>
      </c>
      <c r="O264" s="4" t="str">
        <f>IFERROR(__xludf.DUMMYFUNCTION("""COMPUTED_VALUE"""),"")</f>
        <v/>
      </c>
      <c r="P264" s="4" t="str">
        <f>IFERROR(__xludf.DUMMYFUNCTION("""COMPUTED_VALUE"""),"")</f>
        <v/>
      </c>
      <c r="Q264" s="4" t="str">
        <f>IFERROR(__xludf.DUMMYFUNCTION("""COMPUTED_VALUE"""),"")</f>
        <v/>
      </c>
      <c r="R264" s="4" t="str">
        <f>IFERROR(__xludf.DUMMYFUNCTION("""COMPUTED_VALUE"""),"")</f>
        <v/>
      </c>
    </row>
    <row r="265">
      <c r="A265" s="4" t="str">
        <f>IFERROR(__xludf.DUMMYFUNCTION("""COMPUTED_VALUE"""),"296 - Channel 5")</f>
        <v>296 - Channel 5</v>
      </c>
      <c r="B265" s="4" t="str">
        <f>IFERROR(__xludf.DUMMYFUNCTION("""COMPUTED_VALUE"""),"")</f>
        <v/>
      </c>
      <c r="C265" s="4" t="str">
        <f>IFERROR(__xludf.DUMMYFUNCTION("""COMPUTED_VALUE"""),"")</f>
        <v/>
      </c>
      <c r="D265" s="4" t="str">
        <f>IFERROR(__xludf.DUMMYFUNCTION("""COMPUTED_VALUE"""),"")</f>
        <v/>
      </c>
      <c r="E265" s="4" t="str">
        <f>IFERROR(__xludf.DUMMYFUNCTION("""COMPUTED_VALUE"""),"")</f>
        <v/>
      </c>
      <c r="F265" s="4" t="str">
        <f>IFERROR(__xludf.DUMMYFUNCTION("""COMPUTED_VALUE"""),"")</f>
        <v/>
      </c>
      <c r="G265" s="4" t="str">
        <f>IFERROR(__xludf.DUMMYFUNCTION("""COMPUTED_VALUE"""),"")</f>
        <v/>
      </c>
      <c r="H265" s="4" t="str">
        <f>IFERROR(__xludf.DUMMYFUNCTION("""COMPUTED_VALUE"""),"")</f>
        <v/>
      </c>
      <c r="I265" s="4" t="str">
        <f>IFERROR(__xludf.DUMMYFUNCTION("""COMPUTED_VALUE"""),"")</f>
        <v/>
      </c>
      <c r="J265" s="4" t="str">
        <f>IFERROR(__xludf.DUMMYFUNCTION("""COMPUTED_VALUE"""),"")</f>
        <v/>
      </c>
      <c r="K265" s="4" t="str">
        <f>IFERROR(__xludf.DUMMYFUNCTION("""COMPUTED_VALUE"""),"")</f>
        <v/>
      </c>
      <c r="L265" s="4" t="str">
        <f>IFERROR(__xludf.DUMMYFUNCTION("""COMPUTED_VALUE"""),"")</f>
        <v/>
      </c>
      <c r="M265" s="4" t="str">
        <f>IFERROR(__xludf.DUMMYFUNCTION("""COMPUTED_VALUE"""),"")</f>
        <v/>
      </c>
      <c r="N265" s="4" t="str">
        <f>IFERROR(__xludf.DUMMYFUNCTION("""COMPUTED_VALUE"""),"")</f>
        <v/>
      </c>
      <c r="O265" s="4" t="str">
        <f>IFERROR(__xludf.DUMMYFUNCTION("""COMPUTED_VALUE"""),"")</f>
        <v/>
      </c>
      <c r="P265" s="4" t="str">
        <f>IFERROR(__xludf.DUMMYFUNCTION("""COMPUTED_VALUE"""),"")</f>
        <v/>
      </c>
      <c r="Q265" s="4" t="str">
        <f>IFERROR(__xludf.DUMMYFUNCTION("""COMPUTED_VALUE"""),"")</f>
        <v/>
      </c>
      <c r="R265" s="4" t="str">
        <f>IFERROR(__xludf.DUMMYFUNCTION("""COMPUTED_VALUE"""),"")</f>
        <v/>
      </c>
    </row>
    <row r="266">
      <c r="A266" s="4" t="str">
        <f>IFERROR(__xludf.DUMMYFUNCTION("""COMPUTED_VALUE"""),"297 - Channel 5")</f>
        <v>297 - Channel 5</v>
      </c>
      <c r="B266" s="4" t="str">
        <f>IFERROR(__xludf.DUMMYFUNCTION("""COMPUTED_VALUE"""),"")</f>
        <v/>
      </c>
      <c r="C266" s="4" t="str">
        <f>IFERROR(__xludf.DUMMYFUNCTION("""COMPUTED_VALUE"""),"")</f>
        <v/>
      </c>
      <c r="D266" s="4" t="str">
        <f>IFERROR(__xludf.DUMMYFUNCTION("""COMPUTED_VALUE"""),"")</f>
        <v/>
      </c>
      <c r="E266" s="4" t="str">
        <f>IFERROR(__xludf.DUMMYFUNCTION("""COMPUTED_VALUE"""),"")</f>
        <v/>
      </c>
      <c r="F266" s="4" t="str">
        <f>IFERROR(__xludf.DUMMYFUNCTION("""COMPUTED_VALUE"""),"")</f>
        <v/>
      </c>
      <c r="G266" s="4" t="str">
        <f>IFERROR(__xludf.DUMMYFUNCTION("""COMPUTED_VALUE"""),"")</f>
        <v/>
      </c>
      <c r="H266" s="4" t="str">
        <f>IFERROR(__xludf.DUMMYFUNCTION("""COMPUTED_VALUE"""),"")</f>
        <v/>
      </c>
      <c r="I266" s="4" t="str">
        <f>IFERROR(__xludf.DUMMYFUNCTION("""COMPUTED_VALUE"""),"")</f>
        <v/>
      </c>
      <c r="J266" s="4" t="str">
        <f>IFERROR(__xludf.DUMMYFUNCTION("""COMPUTED_VALUE"""),"")</f>
        <v/>
      </c>
      <c r="K266" s="4" t="str">
        <f>IFERROR(__xludf.DUMMYFUNCTION("""COMPUTED_VALUE"""),"")</f>
        <v/>
      </c>
      <c r="L266" s="4" t="str">
        <f>IFERROR(__xludf.DUMMYFUNCTION("""COMPUTED_VALUE"""),"")</f>
        <v/>
      </c>
      <c r="M266" s="4" t="str">
        <f>IFERROR(__xludf.DUMMYFUNCTION("""COMPUTED_VALUE"""),"")</f>
        <v/>
      </c>
      <c r="N266" s="4" t="str">
        <f>IFERROR(__xludf.DUMMYFUNCTION("""COMPUTED_VALUE"""),"")</f>
        <v/>
      </c>
      <c r="O266" s="4" t="str">
        <f>IFERROR(__xludf.DUMMYFUNCTION("""COMPUTED_VALUE"""),"")</f>
        <v/>
      </c>
      <c r="P266" s="4" t="str">
        <f>IFERROR(__xludf.DUMMYFUNCTION("""COMPUTED_VALUE"""),"")</f>
        <v/>
      </c>
      <c r="Q266" s="4" t="str">
        <f>IFERROR(__xludf.DUMMYFUNCTION("""COMPUTED_VALUE"""),"")</f>
        <v/>
      </c>
      <c r="R266" s="4" t="str">
        <f>IFERROR(__xludf.DUMMYFUNCTION("""COMPUTED_VALUE"""),"")</f>
        <v/>
      </c>
    </row>
    <row r="267">
      <c r="A267" s="4" t="str">
        <f>IFERROR(__xludf.DUMMYFUNCTION("""COMPUTED_VALUE"""),"298 - Channel 5")</f>
        <v>298 - Channel 5</v>
      </c>
      <c r="B267" s="4" t="str">
        <f>IFERROR(__xludf.DUMMYFUNCTION("""COMPUTED_VALUE"""),"")</f>
        <v/>
      </c>
      <c r="C267" s="4" t="str">
        <f>IFERROR(__xludf.DUMMYFUNCTION("""COMPUTED_VALUE"""),"")</f>
        <v/>
      </c>
      <c r="D267" s="4" t="str">
        <f>IFERROR(__xludf.DUMMYFUNCTION("""COMPUTED_VALUE"""),"")</f>
        <v/>
      </c>
      <c r="E267" s="4" t="str">
        <f>IFERROR(__xludf.DUMMYFUNCTION("""COMPUTED_VALUE"""),"")</f>
        <v/>
      </c>
      <c r="F267" s="4" t="str">
        <f>IFERROR(__xludf.DUMMYFUNCTION("""COMPUTED_VALUE"""),"")</f>
        <v/>
      </c>
      <c r="G267" s="4" t="str">
        <f>IFERROR(__xludf.DUMMYFUNCTION("""COMPUTED_VALUE"""),"")</f>
        <v/>
      </c>
      <c r="H267" s="4" t="str">
        <f>IFERROR(__xludf.DUMMYFUNCTION("""COMPUTED_VALUE"""),"")</f>
        <v/>
      </c>
      <c r="I267" s="4" t="str">
        <f>IFERROR(__xludf.DUMMYFUNCTION("""COMPUTED_VALUE"""),"")</f>
        <v/>
      </c>
      <c r="J267" s="4" t="str">
        <f>IFERROR(__xludf.DUMMYFUNCTION("""COMPUTED_VALUE"""),"")</f>
        <v/>
      </c>
      <c r="K267" s="4" t="str">
        <f>IFERROR(__xludf.DUMMYFUNCTION("""COMPUTED_VALUE"""),"")</f>
        <v/>
      </c>
      <c r="L267" s="4" t="str">
        <f>IFERROR(__xludf.DUMMYFUNCTION("""COMPUTED_VALUE"""),"")</f>
        <v/>
      </c>
      <c r="M267" s="4" t="str">
        <f>IFERROR(__xludf.DUMMYFUNCTION("""COMPUTED_VALUE"""),"")</f>
        <v/>
      </c>
      <c r="N267" s="4" t="str">
        <f>IFERROR(__xludf.DUMMYFUNCTION("""COMPUTED_VALUE"""),"")</f>
        <v/>
      </c>
      <c r="O267" s="4" t="str">
        <f>IFERROR(__xludf.DUMMYFUNCTION("""COMPUTED_VALUE"""),"")</f>
        <v/>
      </c>
      <c r="P267" s="4" t="str">
        <f>IFERROR(__xludf.DUMMYFUNCTION("""COMPUTED_VALUE"""),"")</f>
        <v/>
      </c>
      <c r="Q267" s="4" t="str">
        <f>IFERROR(__xludf.DUMMYFUNCTION("""COMPUTED_VALUE"""),"")</f>
        <v/>
      </c>
      <c r="R267" s="4" t="str">
        <f>IFERROR(__xludf.DUMMYFUNCTION("""COMPUTED_VALUE"""),"")</f>
        <v/>
      </c>
    </row>
    <row r="268">
      <c r="A268" s="4" t="str">
        <f>IFERROR(__xludf.DUMMYFUNCTION("""COMPUTED_VALUE"""),"299 - Channel 5")</f>
        <v>299 - Channel 5</v>
      </c>
      <c r="B268" s="4" t="str">
        <f>IFERROR(__xludf.DUMMYFUNCTION("""COMPUTED_VALUE"""),"")</f>
        <v/>
      </c>
      <c r="C268" s="4" t="str">
        <f>IFERROR(__xludf.DUMMYFUNCTION("""COMPUTED_VALUE"""),"")</f>
        <v/>
      </c>
      <c r="D268" s="4" t="str">
        <f>IFERROR(__xludf.DUMMYFUNCTION("""COMPUTED_VALUE"""),"")</f>
        <v/>
      </c>
      <c r="E268" s="4" t="str">
        <f>IFERROR(__xludf.DUMMYFUNCTION("""COMPUTED_VALUE"""),"")</f>
        <v/>
      </c>
      <c r="F268" s="4" t="str">
        <f>IFERROR(__xludf.DUMMYFUNCTION("""COMPUTED_VALUE"""),"")</f>
        <v/>
      </c>
      <c r="G268" s="4" t="str">
        <f>IFERROR(__xludf.DUMMYFUNCTION("""COMPUTED_VALUE"""),"")</f>
        <v/>
      </c>
      <c r="H268" s="4" t="str">
        <f>IFERROR(__xludf.DUMMYFUNCTION("""COMPUTED_VALUE"""),"")</f>
        <v/>
      </c>
      <c r="I268" s="4" t="str">
        <f>IFERROR(__xludf.DUMMYFUNCTION("""COMPUTED_VALUE"""),"")</f>
        <v/>
      </c>
      <c r="J268" s="4" t="str">
        <f>IFERROR(__xludf.DUMMYFUNCTION("""COMPUTED_VALUE"""),"")</f>
        <v/>
      </c>
      <c r="K268" s="4" t="str">
        <f>IFERROR(__xludf.DUMMYFUNCTION("""COMPUTED_VALUE"""),"")</f>
        <v/>
      </c>
      <c r="L268" s="4" t="str">
        <f>IFERROR(__xludf.DUMMYFUNCTION("""COMPUTED_VALUE"""),"")</f>
        <v/>
      </c>
      <c r="M268" s="4" t="str">
        <f>IFERROR(__xludf.DUMMYFUNCTION("""COMPUTED_VALUE"""),"")</f>
        <v/>
      </c>
      <c r="N268" s="4" t="str">
        <f>IFERROR(__xludf.DUMMYFUNCTION("""COMPUTED_VALUE"""),"")</f>
        <v/>
      </c>
      <c r="O268" s="4" t="str">
        <f>IFERROR(__xludf.DUMMYFUNCTION("""COMPUTED_VALUE"""),"")</f>
        <v/>
      </c>
      <c r="P268" s="4" t="str">
        <f>IFERROR(__xludf.DUMMYFUNCTION("""COMPUTED_VALUE"""),"")</f>
        <v/>
      </c>
      <c r="Q268" s="4" t="str">
        <f>IFERROR(__xludf.DUMMYFUNCTION("""COMPUTED_VALUE"""),"")</f>
        <v/>
      </c>
      <c r="R268" s="4" t="str">
        <f>IFERROR(__xludf.DUMMYFUNCTION("""COMPUTED_VALUE"""),"")</f>
        <v/>
      </c>
    </row>
    <row r="269">
      <c r="A269" s="4" t="str">
        <f>IFERROR(__xludf.DUMMYFUNCTION("""COMPUTED_VALUE"""),"300 - Channel 5")</f>
        <v>300 - Channel 5</v>
      </c>
      <c r="B269" s="4" t="str">
        <f>IFERROR(__xludf.DUMMYFUNCTION("""COMPUTED_VALUE"""),"")</f>
        <v/>
      </c>
      <c r="C269" s="4" t="str">
        <f>IFERROR(__xludf.DUMMYFUNCTION("""COMPUTED_VALUE"""),"")</f>
        <v/>
      </c>
      <c r="D269" s="4" t="str">
        <f>IFERROR(__xludf.DUMMYFUNCTION("""COMPUTED_VALUE"""),"")</f>
        <v/>
      </c>
      <c r="E269" s="4" t="str">
        <f>IFERROR(__xludf.DUMMYFUNCTION("""COMPUTED_VALUE"""),"")</f>
        <v/>
      </c>
      <c r="F269" s="4" t="str">
        <f>IFERROR(__xludf.DUMMYFUNCTION("""COMPUTED_VALUE"""),"")</f>
        <v/>
      </c>
      <c r="G269" s="4" t="str">
        <f>IFERROR(__xludf.DUMMYFUNCTION("""COMPUTED_VALUE"""),"")</f>
        <v/>
      </c>
      <c r="H269" s="4" t="str">
        <f>IFERROR(__xludf.DUMMYFUNCTION("""COMPUTED_VALUE"""),"")</f>
        <v/>
      </c>
      <c r="I269" s="4" t="str">
        <f>IFERROR(__xludf.DUMMYFUNCTION("""COMPUTED_VALUE"""),"")</f>
        <v/>
      </c>
      <c r="J269" s="4" t="str">
        <f>IFERROR(__xludf.DUMMYFUNCTION("""COMPUTED_VALUE"""),"")</f>
        <v/>
      </c>
      <c r="K269" s="4" t="str">
        <f>IFERROR(__xludf.DUMMYFUNCTION("""COMPUTED_VALUE"""),"")</f>
        <v/>
      </c>
      <c r="L269" s="4" t="str">
        <f>IFERROR(__xludf.DUMMYFUNCTION("""COMPUTED_VALUE"""),"")</f>
        <v/>
      </c>
      <c r="M269" s="4" t="str">
        <f>IFERROR(__xludf.DUMMYFUNCTION("""COMPUTED_VALUE"""),"")</f>
        <v/>
      </c>
      <c r="N269" s="4" t="str">
        <f>IFERROR(__xludf.DUMMYFUNCTION("""COMPUTED_VALUE"""),"")</f>
        <v/>
      </c>
      <c r="O269" s="4" t="str">
        <f>IFERROR(__xludf.DUMMYFUNCTION("""COMPUTED_VALUE"""),"")</f>
        <v/>
      </c>
      <c r="P269" s="4" t="str">
        <f>IFERROR(__xludf.DUMMYFUNCTION("""COMPUTED_VALUE"""),"")</f>
        <v/>
      </c>
      <c r="Q269" s="4" t="str">
        <f>IFERROR(__xludf.DUMMYFUNCTION("""COMPUTED_VALUE"""),"")</f>
        <v/>
      </c>
      <c r="R269" s="4" t="str">
        <f>IFERROR(__xludf.DUMMYFUNCTION("""COMPUTED_VALUE"""),"")</f>
        <v/>
      </c>
    </row>
    <row r="270">
      <c r="A270" s="4" t="str">
        <f>IFERROR(__xludf.DUMMYFUNCTION("""COMPUTED_VALUE"""),"")</f>
        <v/>
      </c>
      <c r="B270" s="4" t="str">
        <f>IFERROR(__xludf.DUMMYFUNCTION("""COMPUTED_VALUE"""),"Need an index? Cut/Paste from list below")</f>
        <v>Need an index? Cut/Paste from list below</v>
      </c>
      <c r="C270" s="4" t="str">
        <f>IFERROR(__xludf.DUMMYFUNCTION("""COMPUTED_VALUE"""),"")</f>
        <v/>
      </c>
      <c r="D270" s="4" t="str">
        <f>IFERROR(__xludf.DUMMYFUNCTION("""COMPUTED_VALUE"""),"")</f>
        <v/>
      </c>
      <c r="E270" s="4" t="str">
        <f>IFERROR(__xludf.DUMMYFUNCTION("""COMPUTED_VALUE"""),"")</f>
        <v/>
      </c>
      <c r="F270" s="4" t="str">
        <f>IFERROR(__xludf.DUMMYFUNCTION("""COMPUTED_VALUE"""),"")</f>
        <v/>
      </c>
      <c r="G270" s="4" t="str">
        <f>IFERROR(__xludf.DUMMYFUNCTION("""COMPUTED_VALUE"""),"")</f>
        <v/>
      </c>
      <c r="H270" s="4" t="str">
        <f>IFERROR(__xludf.DUMMYFUNCTION("""COMPUTED_VALUE"""),"")</f>
        <v/>
      </c>
      <c r="I270" s="4" t="str">
        <f>IFERROR(__xludf.DUMMYFUNCTION("""COMPUTED_VALUE"""),"")</f>
        <v/>
      </c>
      <c r="J270" s="4" t="str">
        <f>IFERROR(__xludf.DUMMYFUNCTION("""COMPUTED_VALUE"""),"")</f>
        <v/>
      </c>
      <c r="K270" s="4" t="str">
        <f>IFERROR(__xludf.DUMMYFUNCTION("""COMPUTED_VALUE"""),"")</f>
        <v/>
      </c>
      <c r="L270" s="4" t="str">
        <f>IFERROR(__xludf.DUMMYFUNCTION("""COMPUTED_VALUE"""),"")</f>
        <v/>
      </c>
      <c r="M270" s="4" t="str">
        <f>IFERROR(__xludf.DUMMYFUNCTION("""COMPUTED_VALUE"""),"")</f>
        <v/>
      </c>
      <c r="N270" s="4" t="str">
        <f>IFERROR(__xludf.DUMMYFUNCTION("""COMPUTED_VALUE"""),"")</f>
        <v/>
      </c>
      <c r="O270" s="4" t="str">
        <f>IFERROR(__xludf.DUMMYFUNCTION("""COMPUTED_VALUE"""),"")</f>
        <v/>
      </c>
      <c r="P270" s="4" t="str">
        <f>IFERROR(__xludf.DUMMYFUNCTION("""COMPUTED_VALUE"""),"")</f>
        <v/>
      </c>
      <c r="Q270" s="4" t="str">
        <f>IFERROR(__xludf.DUMMYFUNCTION("""COMPUTED_VALUE"""),"")</f>
        <v/>
      </c>
      <c r="R270" s="4" t="str">
        <f>IFERROR(__xludf.DUMMYFUNCTION("""COMPUTED_VALUE"""),"")</f>
        <v/>
      </c>
    </row>
    <row r="271">
      <c r="A271" s="4" t="str">
        <f>IFERROR(__xludf.DUMMYFUNCTION("""COMPUTED_VALUE"""),"301 - Channel 5")</f>
        <v>301 - Channel 5</v>
      </c>
      <c r="B271" s="4" t="str">
        <f>IFERROR(__xludf.DUMMYFUNCTION("""COMPUTED_VALUE"""),"")</f>
        <v/>
      </c>
      <c r="C271" s="4" t="str">
        <f>IFERROR(__xludf.DUMMYFUNCTION("""COMPUTED_VALUE"""),"")</f>
        <v/>
      </c>
      <c r="D271" s="4" t="str">
        <f>IFERROR(__xludf.DUMMYFUNCTION("""COMPUTED_VALUE"""),"")</f>
        <v/>
      </c>
      <c r="E271" s="4" t="str">
        <f>IFERROR(__xludf.DUMMYFUNCTION("""COMPUTED_VALUE"""),"")</f>
        <v/>
      </c>
      <c r="F271" s="4" t="str">
        <f>IFERROR(__xludf.DUMMYFUNCTION("""COMPUTED_VALUE"""),"")</f>
        <v/>
      </c>
      <c r="G271" s="4" t="str">
        <f>IFERROR(__xludf.DUMMYFUNCTION("""COMPUTED_VALUE"""),"")</f>
        <v/>
      </c>
      <c r="H271" s="4" t="str">
        <f>IFERROR(__xludf.DUMMYFUNCTION("""COMPUTED_VALUE"""),"")</f>
        <v/>
      </c>
      <c r="I271" s="4" t="str">
        <f>IFERROR(__xludf.DUMMYFUNCTION("""COMPUTED_VALUE"""),"")</f>
        <v/>
      </c>
      <c r="J271" s="4" t="str">
        <f>IFERROR(__xludf.DUMMYFUNCTION("""COMPUTED_VALUE"""),"")</f>
        <v/>
      </c>
      <c r="K271" s="4" t="str">
        <f>IFERROR(__xludf.DUMMYFUNCTION("""COMPUTED_VALUE"""),"")</f>
        <v/>
      </c>
      <c r="L271" s="4" t="str">
        <f>IFERROR(__xludf.DUMMYFUNCTION("""COMPUTED_VALUE"""),"")</f>
        <v/>
      </c>
      <c r="M271" s="4" t="str">
        <f>IFERROR(__xludf.DUMMYFUNCTION("""COMPUTED_VALUE"""),"")</f>
        <v/>
      </c>
      <c r="N271" s="4" t="str">
        <f>IFERROR(__xludf.DUMMYFUNCTION("""COMPUTED_VALUE"""),"")</f>
        <v/>
      </c>
      <c r="O271" s="4" t="str">
        <f>IFERROR(__xludf.DUMMYFUNCTION("""COMPUTED_VALUE"""),"")</f>
        <v/>
      </c>
      <c r="P271" s="4" t="str">
        <f>IFERROR(__xludf.DUMMYFUNCTION("""COMPUTED_VALUE"""),"")</f>
        <v/>
      </c>
      <c r="Q271" s="4" t="str">
        <f>IFERROR(__xludf.DUMMYFUNCTION("""COMPUTED_VALUE"""),"Top 5 musicians : Martin Garrix, Timbaland, Jessie Reyez, Bono, Mike Shinoda")</f>
        <v>Top 5 musicians : Martin Garrix, Timbaland, Jessie Reyez, Bono, Mike Shinoda</v>
      </c>
      <c r="R271" s="4" t="str">
        <f>IFERROR(__xludf.DUMMYFUNCTION("""COMPUTED_VALUE"""),"")</f>
        <v/>
      </c>
    </row>
    <row r="272">
      <c r="A272" s="4" t="str">
        <f>IFERROR(__xludf.DUMMYFUNCTION("""COMPUTED_VALUE"""),"302 - Channel 5")</f>
        <v>302 - Channel 5</v>
      </c>
      <c r="B272" s="4" t="str">
        <f>IFERROR(__xludf.DUMMYFUNCTION("""COMPUTED_VALUE"""),"")</f>
        <v/>
      </c>
      <c r="C272" s="4" t="str">
        <f>IFERROR(__xludf.DUMMYFUNCTION("""COMPUTED_VALUE"""),"")</f>
        <v/>
      </c>
      <c r="D272" s="4" t="str">
        <f>IFERROR(__xludf.DUMMYFUNCTION("""COMPUTED_VALUE"""),"")</f>
        <v/>
      </c>
      <c r="E272" s="4" t="str">
        <f>IFERROR(__xludf.DUMMYFUNCTION("""COMPUTED_VALUE"""),"")</f>
        <v/>
      </c>
      <c r="F272" s="4" t="str">
        <f>IFERROR(__xludf.DUMMYFUNCTION("""COMPUTED_VALUE"""),"")</f>
        <v/>
      </c>
      <c r="G272" s="4" t="str">
        <f>IFERROR(__xludf.DUMMYFUNCTION("""COMPUTED_VALUE"""),"")</f>
        <v/>
      </c>
      <c r="H272" s="4" t="str">
        <f>IFERROR(__xludf.DUMMYFUNCTION("""COMPUTED_VALUE"""),"")</f>
        <v/>
      </c>
      <c r="I272" s="4" t="str">
        <f>IFERROR(__xludf.DUMMYFUNCTION("""COMPUTED_VALUE"""),"")</f>
        <v/>
      </c>
      <c r="J272" s="4" t="str">
        <f>IFERROR(__xludf.DUMMYFUNCTION("""COMPUTED_VALUE"""),"")</f>
        <v/>
      </c>
      <c r="K272" s="4" t="str">
        <f>IFERROR(__xludf.DUMMYFUNCTION("""COMPUTED_VALUE"""),"")</f>
        <v/>
      </c>
      <c r="L272" s="4" t="str">
        <f>IFERROR(__xludf.DUMMYFUNCTION("""COMPUTED_VALUE"""),"")</f>
        <v/>
      </c>
      <c r="M272" s="4" t="str">
        <f>IFERROR(__xludf.DUMMYFUNCTION("""COMPUTED_VALUE"""),"")</f>
        <v/>
      </c>
      <c r="N272" s="4" t="str">
        <f>IFERROR(__xludf.DUMMYFUNCTION("""COMPUTED_VALUE"""),"")</f>
        <v/>
      </c>
      <c r="O272" s="4" t="str">
        <f>IFERROR(__xludf.DUMMYFUNCTION("""COMPUTED_VALUE"""),"")</f>
        <v/>
      </c>
      <c r="P272" s="4" t="str">
        <f>IFERROR(__xludf.DUMMYFUNCTION("""COMPUTED_VALUE"""),"")</f>
        <v/>
      </c>
      <c r="Q272" s="4" t="str">
        <f>IFERROR(__xludf.DUMMYFUNCTION("""COMPUTED_VALUE"""),"Top 5 mobile gaming and/or gaming")</f>
        <v>Top 5 mobile gaming and/or gaming</v>
      </c>
      <c r="R272" s="4" t="str">
        <f>IFERROR(__xludf.DUMMYFUNCTION("""COMPUTED_VALUE"""),"")</f>
        <v/>
      </c>
    </row>
    <row r="273">
      <c r="A273" s="4" t="str">
        <f>IFERROR(__xludf.DUMMYFUNCTION("""COMPUTED_VALUE"""),"303 - Channel 5")</f>
        <v>303 - Channel 5</v>
      </c>
      <c r="B273" s="4" t="str">
        <f>IFERROR(__xludf.DUMMYFUNCTION("""COMPUTED_VALUE"""),"")</f>
        <v/>
      </c>
      <c r="C273" s="4" t="str">
        <f>IFERROR(__xludf.DUMMYFUNCTION("""COMPUTED_VALUE"""),"")</f>
        <v/>
      </c>
      <c r="D273" s="4" t="str">
        <f>IFERROR(__xludf.DUMMYFUNCTION("""COMPUTED_VALUE"""),"")</f>
        <v/>
      </c>
      <c r="E273" s="4" t="str">
        <f>IFERROR(__xludf.DUMMYFUNCTION("""COMPUTED_VALUE"""),"")</f>
        <v/>
      </c>
      <c r="F273" s="4" t="str">
        <f>IFERROR(__xludf.DUMMYFUNCTION("""COMPUTED_VALUE"""),"")</f>
        <v/>
      </c>
      <c r="G273" s="4" t="str">
        <f>IFERROR(__xludf.DUMMYFUNCTION("""COMPUTED_VALUE"""),"")</f>
        <v/>
      </c>
      <c r="H273" s="4" t="str">
        <f>IFERROR(__xludf.DUMMYFUNCTION("""COMPUTED_VALUE"""),"")</f>
        <v/>
      </c>
      <c r="I273" s="4" t="str">
        <f>IFERROR(__xludf.DUMMYFUNCTION("""COMPUTED_VALUE"""),"")</f>
        <v/>
      </c>
      <c r="J273" s="4" t="str">
        <f>IFERROR(__xludf.DUMMYFUNCTION("""COMPUTED_VALUE"""),"")</f>
        <v/>
      </c>
      <c r="K273" s="4" t="str">
        <f>IFERROR(__xludf.DUMMYFUNCTION("""COMPUTED_VALUE"""),"")</f>
        <v/>
      </c>
      <c r="L273" s="4" t="str">
        <f>IFERROR(__xludf.DUMMYFUNCTION("""COMPUTED_VALUE"""),"")</f>
        <v/>
      </c>
      <c r="M273" s="4" t="str">
        <f>IFERROR(__xludf.DUMMYFUNCTION("""COMPUTED_VALUE"""),"")</f>
        <v/>
      </c>
      <c r="N273" s="4" t="str">
        <f>IFERROR(__xludf.DUMMYFUNCTION("""COMPUTED_VALUE"""),"")</f>
        <v/>
      </c>
      <c r="O273" s="4" t="str">
        <f>IFERROR(__xludf.DUMMYFUNCTION("""COMPUTED_VALUE"""),"")</f>
        <v/>
      </c>
      <c r="P273" s="4" t="str">
        <f>IFERROR(__xludf.DUMMYFUNCTION("""COMPUTED_VALUE"""),"")</f>
        <v/>
      </c>
      <c r="Q273" s="4" t="str">
        <f>IFERROR(__xludf.DUMMYFUNCTION("""COMPUTED_VALUE"""),"Top 5 mobile devices / unboxed.")</f>
        <v>Top 5 mobile devices / unboxed.</v>
      </c>
      <c r="R273" s="4" t="str">
        <f>IFERROR(__xludf.DUMMYFUNCTION("""COMPUTED_VALUE"""),"")</f>
        <v/>
      </c>
    </row>
    <row r="274">
      <c r="A274" s="4" t="str">
        <f>IFERROR(__xludf.DUMMYFUNCTION("""COMPUTED_VALUE"""),"304 - Channel 5")</f>
        <v>304 - Channel 5</v>
      </c>
      <c r="B274" s="4" t="str">
        <f>IFERROR(__xludf.DUMMYFUNCTION("""COMPUTED_VALUE"""),"")</f>
        <v/>
      </c>
      <c r="C274" s="4" t="str">
        <f>IFERROR(__xludf.DUMMYFUNCTION("""COMPUTED_VALUE"""),"")</f>
        <v/>
      </c>
      <c r="D274" s="4" t="str">
        <f>IFERROR(__xludf.DUMMYFUNCTION("""COMPUTED_VALUE"""),"")</f>
        <v/>
      </c>
      <c r="E274" s="4" t="str">
        <f>IFERROR(__xludf.DUMMYFUNCTION("""COMPUTED_VALUE"""),"")</f>
        <v/>
      </c>
      <c r="F274" s="4" t="str">
        <f>IFERROR(__xludf.DUMMYFUNCTION("""COMPUTED_VALUE"""),"")</f>
        <v/>
      </c>
      <c r="G274" s="4" t="str">
        <f>IFERROR(__xludf.DUMMYFUNCTION("""COMPUTED_VALUE"""),"")</f>
        <v/>
      </c>
      <c r="H274" s="4" t="str">
        <f>IFERROR(__xludf.DUMMYFUNCTION("""COMPUTED_VALUE"""),"")</f>
        <v/>
      </c>
      <c r="I274" s="4" t="str">
        <f>IFERROR(__xludf.DUMMYFUNCTION("""COMPUTED_VALUE"""),"")</f>
        <v/>
      </c>
      <c r="J274" s="4" t="str">
        <f>IFERROR(__xludf.DUMMYFUNCTION("""COMPUTED_VALUE"""),"")</f>
        <v/>
      </c>
      <c r="K274" s="4" t="str">
        <f>IFERROR(__xludf.DUMMYFUNCTION("""COMPUTED_VALUE"""),"")</f>
        <v/>
      </c>
      <c r="L274" s="4" t="str">
        <f>IFERROR(__xludf.DUMMYFUNCTION("""COMPUTED_VALUE"""),"")</f>
        <v/>
      </c>
      <c r="M274" s="4" t="str">
        <f>IFERROR(__xludf.DUMMYFUNCTION("""COMPUTED_VALUE"""),"")</f>
        <v/>
      </c>
      <c r="N274" s="4" t="str">
        <f>IFERROR(__xludf.DUMMYFUNCTION("""COMPUTED_VALUE"""),"")</f>
        <v/>
      </c>
      <c r="O274" s="4" t="str">
        <f>IFERROR(__xludf.DUMMYFUNCTION("""COMPUTED_VALUE"""),"")</f>
        <v/>
      </c>
      <c r="P274" s="4" t="str">
        <f>IFERROR(__xludf.DUMMYFUNCTION("""COMPUTED_VALUE"""),"")</f>
        <v/>
      </c>
      <c r="Q274" s="4" t="str">
        <f>IFERROR(__xludf.DUMMYFUNCTION("""COMPUTED_VALUE"""),"Top 5 jokes.")</f>
        <v>Top 5 jokes.</v>
      </c>
      <c r="R274" s="4" t="str">
        <f>IFERROR(__xludf.DUMMYFUNCTION("""COMPUTED_VALUE"""),"")</f>
        <v/>
      </c>
    </row>
    <row r="275">
      <c r="A275" s="4" t="str">
        <f>IFERROR(__xludf.DUMMYFUNCTION("""COMPUTED_VALUE"""),"305 - Channel 5")</f>
        <v>305 - Channel 5</v>
      </c>
      <c r="B275" s="4" t="str">
        <f>IFERROR(__xludf.DUMMYFUNCTION("""COMPUTED_VALUE"""),"")</f>
        <v/>
      </c>
      <c r="C275" s="4" t="str">
        <f>IFERROR(__xludf.DUMMYFUNCTION("""COMPUTED_VALUE"""),"")</f>
        <v/>
      </c>
      <c r="D275" s="4" t="str">
        <f>IFERROR(__xludf.DUMMYFUNCTION("""COMPUTED_VALUE"""),"")</f>
        <v/>
      </c>
      <c r="E275" s="4" t="str">
        <f>IFERROR(__xludf.DUMMYFUNCTION("""COMPUTED_VALUE"""),"")</f>
        <v/>
      </c>
      <c r="F275" s="4" t="str">
        <f>IFERROR(__xludf.DUMMYFUNCTION("""COMPUTED_VALUE"""),"")</f>
        <v/>
      </c>
      <c r="G275" s="4" t="str">
        <f>IFERROR(__xludf.DUMMYFUNCTION("""COMPUTED_VALUE"""),"")</f>
        <v/>
      </c>
      <c r="H275" s="4" t="str">
        <f>IFERROR(__xludf.DUMMYFUNCTION("""COMPUTED_VALUE"""),"")</f>
        <v/>
      </c>
      <c r="I275" s="4" t="str">
        <f>IFERROR(__xludf.DUMMYFUNCTION("""COMPUTED_VALUE"""),"")</f>
        <v/>
      </c>
      <c r="J275" s="4" t="str">
        <f>IFERROR(__xludf.DUMMYFUNCTION("""COMPUTED_VALUE"""),"")</f>
        <v/>
      </c>
      <c r="K275" s="4" t="str">
        <f>IFERROR(__xludf.DUMMYFUNCTION("""COMPUTED_VALUE"""),"")</f>
        <v/>
      </c>
      <c r="L275" s="4" t="str">
        <f>IFERROR(__xludf.DUMMYFUNCTION("""COMPUTED_VALUE"""),"")</f>
        <v/>
      </c>
      <c r="M275" s="4" t="str">
        <f>IFERROR(__xludf.DUMMYFUNCTION("""COMPUTED_VALUE"""),"")</f>
        <v/>
      </c>
      <c r="N275" s="4" t="str">
        <f>IFERROR(__xludf.DUMMYFUNCTION("""COMPUTED_VALUE"""),"")</f>
        <v/>
      </c>
      <c r="O275" s="4" t="str">
        <f>IFERROR(__xludf.DUMMYFUNCTION("""COMPUTED_VALUE"""),"")</f>
        <v/>
      </c>
      <c r="P275" s="4" t="str">
        <f>IFERROR(__xludf.DUMMYFUNCTION("""COMPUTED_VALUE"""),"")</f>
        <v/>
      </c>
      <c r="Q275" s="4" t="str">
        <f>IFERROR(__xludf.DUMMYFUNCTION("""COMPUTED_VALUE"""),"Top 5 investors")</f>
        <v>Top 5 investors</v>
      </c>
      <c r="R275" s="4" t="str">
        <f>IFERROR(__xludf.DUMMYFUNCTION("""COMPUTED_VALUE"""),"")</f>
        <v/>
      </c>
    </row>
    <row r="276">
      <c r="A276" s="4" t="str">
        <f>IFERROR(__xludf.DUMMYFUNCTION("""COMPUTED_VALUE"""),"306 - Channel 5")</f>
        <v>306 - Channel 5</v>
      </c>
      <c r="B276" s="4" t="str">
        <f>IFERROR(__xludf.DUMMYFUNCTION("""COMPUTED_VALUE"""),"")</f>
        <v/>
      </c>
      <c r="C276" s="4" t="str">
        <f>IFERROR(__xludf.DUMMYFUNCTION("""COMPUTED_VALUE"""),"")</f>
        <v/>
      </c>
      <c r="D276" s="4" t="str">
        <f>IFERROR(__xludf.DUMMYFUNCTION("""COMPUTED_VALUE"""),"")</f>
        <v/>
      </c>
      <c r="E276" s="4" t="str">
        <f>IFERROR(__xludf.DUMMYFUNCTION("""COMPUTED_VALUE"""),"")</f>
        <v/>
      </c>
      <c r="F276" s="4" t="str">
        <f>IFERROR(__xludf.DUMMYFUNCTION("""COMPUTED_VALUE"""),"")</f>
        <v/>
      </c>
      <c r="G276" s="4" t="str">
        <f>IFERROR(__xludf.DUMMYFUNCTION("""COMPUTED_VALUE"""),"")</f>
        <v/>
      </c>
      <c r="H276" s="4" t="str">
        <f>IFERROR(__xludf.DUMMYFUNCTION("""COMPUTED_VALUE"""),"")</f>
        <v/>
      </c>
      <c r="I276" s="4" t="str">
        <f>IFERROR(__xludf.DUMMYFUNCTION("""COMPUTED_VALUE"""),"")</f>
        <v/>
      </c>
      <c r="J276" s="4" t="str">
        <f>IFERROR(__xludf.DUMMYFUNCTION("""COMPUTED_VALUE"""),"")</f>
        <v/>
      </c>
      <c r="K276" s="4" t="str">
        <f>IFERROR(__xludf.DUMMYFUNCTION("""COMPUTED_VALUE"""),"")</f>
        <v/>
      </c>
      <c r="L276" s="4" t="str">
        <f>IFERROR(__xludf.DUMMYFUNCTION("""COMPUTED_VALUE"""),"")</f>
        <v/>
      </c>
      <c r="M276" s="4" t="str">
        <f>IFERROR(__xludf.DUMMYFUNCTION("""COMPUTED_VALUE"""),"")</f>
        <v/>
      </c>
      <c r="N276" s="4" t="str">
        <f>IFERROR(__xludf.DUMMYFUNCTION("""COMPUTED_VALUE"""),"")</f>
        <v/>
      </c>
      <c r="O276" s="4" t="str">
        <f>IFERROR(__xludf.DUMMYFUNCTION("""COMPUTED_VALUE"""),"")</f>
        <v/>
      </c>
      <c r="P276" s="4" t="str">
        <f>IFERROR(__xludf.DUMMYFUNCTION("""COMPUTED_VALUE"""),"")</f>
        <v/>
      </c>
      <c r="Q276" s="4" t="str">
        <f>IFERROR(__xludf.DUMMYFUNCTION("""COMPUTED_VALUE"""),"Top 5 fashion talks")</f>
        <v>Top 5 fashion talks</v>
      </c>
      <c r="R276" s="4" t="str">
        <f>IFERROR(__xludf.DUMMYFUNCTION("""COMPUTED_VALUE"""),"")</f>
        <v/>
      </c>
    </row>
    <row r="277">
      <c r="A277" s="4" t="str">
        <f>IFERROR(__xludf.DUMMYFUNCTION("""COMPUTED_VALUE"""),"307 - Channel 5")</f>
        <v>307 - Channel 5</v>
      </c>
      <c r="B277" s="4" t="str">
        <f>IFERROR(__xludf.DUMMYFUNCTION("""COMPUTED_VALUE"""),"")</f>
        <v/>
      </c>
      <c r="C277" s="4" t="str">
        <f>IFERROR(__xludf.DUMMYFUNCTION("""COMPUTED_VALUE"""),"")</f>
        <v/>
      </c>
      <c r="D277" s="4" t="str">
        <f>IFERROR(__xludf.DUMMYFUNCTION("""COMPUTED_VALUE"""),"")</f>
        <v/>
      </c>
      <c r="E277" s="4" t="str">
        <f>IFERROR(__xludf.DUMMYFUNCTION("""COMPUTED_VALUE"""),"")</f>
        <v/>
      </c>
      <c r="F277" s="4" t="str">
        <f>IFERROR(__xludf.DUMMYFUNCTION("""COMPUTED_VALUE"""),"")</f>
        <v/>
      </c>
      <c r="G277" s="4" t="str">
        <f>IFERROR(__xludf.DUMMYFUNCTION("""COMPUTED_VALUE"""),"")</f>
        <v/>
      </c>
      <c r="H277" s="4" t="str">
        <f>IFERROR(__xludf.DUMMYFUNCTION("""COMPUTED_VALUE"""),"")</f>
        <v/>
      </c>
      <c r="I277" s="4" t="str">
        <f>IFERROR(__xludf.DUMMYFUNCTION("""COMPUTED_VALUE"""),"")</f>
        <v/>
      </c>
      <c r="J277" s="4" t="str">
        <f>IFERROR(__xludf.DUMMYFUNCTION("""COMPUTED_VALUE"""),"")</f>
        <v/>
      </c>
      <c r="K277" s="4" t="str">
        <f>IFERROR(__xludf.DUMMYFUNCTION("""COMPUTED_VALUE"""),"")</f>
        <v/>
      </c>
      <c r="L277" s="4" t="str">
        <f>IFERROR(__xludf.DUMMYFUNCTION("""COMPUTED_VALUE"""),"")</f>
        <v/>
      </c>
      <c r="M277" s="4" t="str">
        <f>IFERROR(__xludf.DUMMYFUNCTION("""COMPUTED_VALUE"""),"")</f>
        <v/>
      </c>
      <c r="N277" s="4" t="str">
        <f>IFERROR(__xludf.DUMMYFUNCTION("""COMPUTED_VALUE"""),"")</f>
        <v/>
      </c>
      <c r="O277" s="4" t="str">
        <f>IFERROR(__xludf.DUMMYFUNCTION("""COMPUTED_VALUE"""),"")</f>
        <v/>
      </c>
      <c r="P277" s="4" t="str">
        <f>IFERROR(__xludf.DUMMYFUNCTION("""COMPUTED_VALUE"""),"")</f>
        <v/>
      </c>
      <c r="Q277" s="4" t="str">
        <f>IFERROR(__xludf.DUMMYFUNCTION("""COMPUTED_VALUE"""),"Top 5 CMOs, CTOs,")</f>
        <v>Top 5 CMOs, CTOs,</v>
      </c>
      <c r="R277" s="4" t="str">
        <f>IFERROR(__xludf.DUMMYFUNCTION("""COMPUTED_VALUE"""),"")</f>
        <v/>
      </c>
    </row>
    <row r="278">
      <c r="A278" s="4" t="str">
        <f>IFERROR(__xludf.DUMMYFUNCTION("""COMPUTED_VALUE"""),"308 - Channel 5")</f>
        <v>308 - Channel 5</v>
      </c>
      <c r="B278" s="4" t="str">
        <f>IFERROR(__xludf.DUMMYFUNCTION("""COMPUTED_VALUE"""),"")</f>
        <v/>
      </c>
      <c r="C278" s="4" t="str">
        <f>IFERROR(__xludf.DUMMYFUNCTION("""COMPUTED_VALUE"""),"")</f>
        <v/>
      </c>
      <c r="D278" s="4" t="str">
        <f>IFERROR(__xludf.DUMMYFUNCTION("""COMPUTED_VALUE"""),"")</f>
        <v/>
      </c>
      <c r="E278" s="4" t="str">
        <f>IFERROR(__xludf.DUMMYFUNCTION("""COMPUTED_VALUE"""),"")</f>
        <v/>
      </c>
      <c r="F278" s="4" t="str">
        <f>IFERROR(__xludf.DUMMYFUNCTION("""COMPUTED_VALUE"""),"")</f>
        <v/>
      </c>
      <c r="G278" s="4" t="str">
        <f>IFERROR(__xludf.DUMMYFUNCTION("""COMPUTED_VALUE"""),"")</f>
        <v/>
      </c>
      <c r="H278" s="4" t="str">
        <f>IFERROR(__xludf.DUMMYFUNCTION("""COMPUTED_VALUE"""),"")</f>
        <v/>
      </c>
      <c r="I278" s="4" t="str">
        <f>IFERROR(__xludf.DUMMYFUNCTION("""COMPUTED_VALUE"""),"")</f>
        <v/>
      </c>
      <c r="J278" s="4" t="str">
        <f>IFERROR(__xludf.DUMMYFUNCTION("""COMPUTED_VALUE"""),"")</f>
        <v/>
      </c>
      <c r="K278" s="4" t="str">
        <f>IFERROR(__xludf.DUMMYFUNCTION("""COMPUTED_VALUE"""),"")</f>
        <v/>
      </c>
      <c r="L278" s="4" t="str">
        <f>IFERROR(__xludf.DUMMYFUNCTION("""COMPUTED_VALUE"""),"")</f>
        <v/>
      </c>
      <c r="M278" s="4" t="str">
        <f>IFERROR(__xludf.DUMMYFUNCTION("""COMPUTED_VALUE"""),"")</f>
        <v/>
      </c>
      <c r="N278" s="4" t="str">
        <f>IFERROR(__xludf.DUMMYFUNCTION("""COMPUTED_VALUE"""),"")</f>
        <v/>
      </c>
      <c r="O278" s="4" t="str">
        <f>IFERROR(__xludf.DUMMYFUNCTION("""COMPUTED_VALUE"""),"")</f>
        <v/>
      </c>
      <c r="P278" s="4" t="str">
        <f>IFERROR(__xludf.DUMMYFUNCTION("""COMPUTED_VALUE"""),"")</f>
        <v/>
      </c>
      <c r="Q278" s="4" t="str">
        <f>IFERROR(__xludf.DUMMYFUNCTION("""COMPUTED_VALUE"""),"Top 5 cars @ Web Summit")</f>
        <v>Top 5 cars @ Web Summit</v>
      </c>
      <c r="R278" s="4" t="str">
        <f>IFERROR(__xludf.DUMMYFUNCTION("""COMPUTED_VALUE"""),"")</f>
        <v/>
      </c>
    </row>
    <row r="279">
      <c r="A279" s="4" t="str">
        <f>IFERROR(__xludf.DUMMYFUNCTION("""COMPUTED_VALUE"""),"309 - Channel 5")</f>
        <v>309 - Channel 5</v>
      </c>
      <c r="B279" s="4" t="str">
        <f>IFERROR(__xludf.DUMMYFUNCTION("""COMPUTED_VALUE"""),"")</f>
        <v/>
      </c>
      <c r="C279" s="4" t="str">
        <f>IFERROR(__xludf.DUMMYFUNCTION("""COMPUTED_VALUE"""),"")</f>
        <v/>
      </c>
      <c r="D279" s="4" t="str">
        <f>IFERROR(__xludf.DUMMYFUNCTION("""COMPUTED_VALUE"""),"")</f>
        <v/>
      </c>
      <c r="E279" s="4" t="str">
        <f>IFERROR(__xludf.DUMMYFUNCTION("""COMPUTED_VALUE"""),"")</f>
        <v/>
      </c>
      <c r="F279" s="4" t="str">
        <f>IFERROR(__xludf.DUMMYFUNCTION("""COMPUTED_VALUE"""),"")</f>
        <v/>
      </c>
      <c r="G279" s="4" t="str">
        <f>IFERROR(__xludf.DUMMYFUNCTION("""COMPUTED_VALUE"""),"")</f>
        <v/>
      </c>
      <c r="H279" s="4" t="str">
        <f>IFERROR(__xludf.DUMMYFUNCTION("""COMPUTED_VALUE"""),"")</f>
        <v/>
      </c>
      <c r="I279" s="4" t="str">
        <f>IFERROR(__xludf.DUMMYFUNCTION("""COMPUTED_VALUE"""),"")</f>
        <v/>
      </c>
      <c r="J279" s="4" t="str">
        <f>IFERROR(__xludf.DUMMYFUNCTION("""COMPUTED_VALUE"""),"")</f>
        <v/>
      </c>
      <c r="K279" s="4" t="str">
        <f>IFERROR(__xludf.DUMMYFUNCTION("""COMPUTED_VALUE"""),"")</f>
        <v/>
      </c>
      <c r="L279" s="4" t="str">
        <f>IFERROR(__xludf.DUMMYFUNCTION("""COMPUTED_VALUE"""),"")</f>
        <v/>
      </c>
      <c r="M279" s="4" t="str">
        <f>IFERROR(__xludf.DUMMYFUNCTION("""COMPUTED_VALUE"""),"")</f>
        <v/>
      </c>
      <c r="N279" s="4" t="str">
        <f>IFERROR(__xludf.DUMMYFUNCTION("""COMPUTED_VALUE"""),"")</f>
        <v/>
      </c>
      <c r="O279" s="4" t="str">
        <f>IFERROR(__xludf.DUMMYFUNCTION("""COMPUTED_VALUE"""),"")</f>
        <v/>
      </c>
      <c r="P279" s="4" t="str">
        <f>IFERROR(__xludf.DUMMYFUNCTION("""COMPUTED_VALUE"""),"")</f>
        <v/>
      </c>
      <c r="Q279" s="4" t="str">
        <f>IFERROR(__xludf.DUMMYFUNCTION("""COMPUTED_VALUE"""),"Top 5 authors : Marie Kondo, Dan Brown, Andrew McAfee, John Skully, X?")</f>
        <v>Top 5 authors : Marie Kondo, Dan Brown, Andrew McAfee, John Skully, X?</v>
      </c>
      <c r="R279" s="4" t="str">
        <f>IFERROR(__xludf.DUMMYFUNCTION("""COMPUTED_VALUE"""),"")</f>
        <v/>
      </c>
    </row>
    <row r="280">
      <c r="A280" s="4" t="str">
        <f>IFERROR(__xludf.DUMMYFUNCTION("""COMPUTED_VALUE"""),"310 - Channel 5")</f>
        <v>310 - Channel 5</v>
      </c>
      <c r="B280" s="4" t="str">
        <f>IFERROR(__xludf.DUMMYFUNCTION("""COMPUTED_VALUE"""),"")</f>
        <v/>
      </c>
      <c r="C280" s="4" t="str">
        <f>IFERROR(__xludf.DUMMYFUNCTION("""COMPUTED_VALUE"""),"")</f>
        <v/>
      </c>
      <c r="D280" s="4" t="str">
        <f>IFERROR(__xludf.DUMMYFUNCTION("""COMPUTED_VALUE"""),"")</f>
        <v/>
      </c>
      <c r="E280" s="4" t="str">
        <f>IFERROR(__xludf.DUMMYFUNCTION("""COMPUTED_VALUE"""),"")</f>
        <v/>
      </c>
      <c r="F280" s="4" t="str">
        <f>IFERROR(__xludf.DUMMYFUNCTION("""COMPUTED_VALUE"""),"")</f>
        <v/>
      </c>
      <c r="G280" s="4" t="str">
        <f>IFERROR(__xludf.DUMMYFUNCTION("""COMPUTED_VALUE"""),"")</f>
        <v/>
      </c>
      <c r="H280" s="4" t="str">
        <f>IFERROR(__xludf.DUMMYFUNCTION("""COMPUTED_VALUE"""),"")</f>
        <v/>
      </c>
      <c r="I280" s="4" t="str">
        <f>IFERROR(__xludf.DUMMYFUNCTION("""COMPUTED_VALUE"""),"")</f>
        <v/>
      </c>
      <c r="J280" s="4" t="str">
        <f>IFERROR(__xludf.DUMMYFUNCTION("""COMPUTED_VALUE"""),"")</f>
        <v/>
      </c>
      <c r="K280" s="4" t="str">
        <f>IFERROR(__xludf.DUMMYFUNCTION("""COMPUTED_VALUE"""),"")</f>
        <v/>
      </c>
      <c r="L280" s="4" t="str">
        <f>IFERROR(__xludf.DUMMYFUNCTION("""COMPUTED_VALUE"""),"")</f>
        <v/>
      </c>
      <c r="M280" s="4" t="str">
        <f>IFERROR(__xludf.DUMMYFUNCTION("""COMPUTED_VALUE"""),"")</f>
        <v/>
      </c>
      <c r="N280" s="4" t="str">
        <f>IFERROR(__xludf.DUMMYFUNCTION("""COMPUTED_VALUE"""),"")</f>
        <v/>
      </c>
      <c r="O280" s="4" t="str">
        <f>IFERROR(__xludf.DUMMYFUNCTION("""COMPUTED_VALUE"""),"")</f>
        <v/>
      </c>
      <c r="P280" s="4" t="str">
        <f>IFERROR(__xludf.DUMMYFUNCTION("""COMPUTED_VALUE"""),"")</f>
        <v/>
      </c>
      <c r="Q280" s="4" t="str">
        <f>IFERROR(__xludf.DUMMYFUNCTION("""COMPUTED_VALUE"""),"Top 5 arguments /debates —")</f>
        <v>Top 5 arguments /debates —</v>
      </c>
      <c r="R280" s="4" t="str">
        <f>IFERROR(__xludf.DUMMYFUNCTION("""COMPUTED_VALUE"""),"")</f>
        <v/>
      </c>
    </row>
    <row r="281">
      <c r="A281" s="4" t="str">
        <f>IFERROR(__xludf.DUMMYFUNCTION("""COMPUTED_VALUE"""),"311 - Channel 5")</f>
        <v>311 - Channel 5</v>
      </c>
      <c r="B281" s="4" t="str">
        <f>IFERROR(__xludf.DUMMYFUNCTION("""COMPUTED_VALUE"""),"")</f>
        <v/>
      </c>
      <c r="C281" s="4" t="str">
        <f>IFERROR(__xludf.DUMMYFUNCTION("""COMPUTED_VALUE"""),"")</f>
        <v/>
      </c>
      <c r="D281" s="4" t="str">
        <f>IFERROR(__xludf.DUMMYFUNCTION("""COMPUTED_VALUE"""),"")</f>
        <v/>
      </c>
      <c r="E281" s="4" t="str">
        <f>IFERROR(__xludf.DUMMYFUNCTION("""COMPUTED_VALUE"""),"")</f>
        <v/>
      </c>
      <c r="F281" s="4" t="str">
        <f>IFERROR(__xludf.DUMMYFUNCTION("""COMPUTED_VALUE"""),"")</f>
        <v/>
      </c>
      <c r="G281" s="4" t="str">
        <f>IFERROR(__xludf.DUMMYFUNCTION("""COMPUTED_VALUE"""),"")</f>
        <v/>
      </c>
      <c r="H281" s="4" t="str">
        <f>IFERROR(__xludf.DUMMYFUNCTION("""COMPUTED_VALUE"""),"")</f>
        <v/>
      </c>
      <c r="I281" s="4" t="str">
        <f>IFERROR(__xludf.DUMMYFUNCTION("""COMPUTED_VALUE"""),"")</f>
        <v/>
      </c>
      <c r="J281" s="4" t="str">
        <f>IFERROR(__xludf.DUMMYFUNCTION("""COMPUTED_VALUE"""),"")</f>
        <v/>
      </c>
      <c r="K281" s="4" t="str">
        <f>IFERROR(__xludf.DUMMYFUNCTION("""COMPUTED_VALUE"""),"")</f>
        <v/>
      </c>
      <c r="L281" s="4" t="str">
        <f>IFERROR(__xludf.DUMMYFUNCTION("""COMPUTED_VALUE"""),"")</f>
        <v/>
      </c>
      <c r="M281" s="4" t="str">
        <f>IFERROR(__xludf.DUMMYFUNCTION("""COMPUTED_VALUE"""),"")</f>
        <v/>
      </c>
      <c r="N281" s="4" t="str">
        <f>IFERROR(__xludf.DUMMYFUNCTION("""COMPUTED_VALUE"""),"")</f>
        <v/>
      </c>
      <c r="O281" s="4" t="str">
        <f>IFERROR(__xludf.DUMMYFUNCTION("""COMPUTED_VALUE"""),"")</f>
        <v/>
      </c>
      <c r="P281" s="4" t="str">
        <f>IFERROR(__xludf.DUMMYFUNCTION("""COMPUTED_VALUE"""),"")</f>
        <v/>
      </c>
      <c r="Q281" s="4" t="str">
        <f>IFERROR(__xludf.DUMMYFUNCTION("""COMPUTED_VALUE"""),"Top 5 actors")</f>
        <v>Top 5 actors</v>
      </c>
      <c r="R281" s="4" t="str">
        <f>IFERROR(__xludf.DUMMYFUNCTION("""COMPUTED_VALUE"""),"")</f>
        <v/>
      </c>
    </row>
    <row r="282">
      <c r="A282" s="4" t="str">
        <f>IFERROR(__xludf.DUMMYFUNCTION("""COMPUTED_VALUE"""),"312 - Channel 5")</f>
        <v>312 - Channel 5</v>
      </c>
      <c r="B282" s="4" t="str">
        <f>IFERROR(__xludf.DUMMYFUNCTION("""COMPUTED_VALUE"""),"")</f>
        <v/>
      </c>
      <c r="C282" s="4" t="str">
        <f>IFERROR(__xludf.DUMMYFUNCTION("""COMPUTED_VALUE"""),"")</f>
        <v/>
      </c>
      <c r="D282" s="4" t="str">
        <f>IFERROR(__xludf.DUMMYFUNCTION("""COMPUTED_VALUE"""),"")</f>
        <v/>
      </c>
      <c r="E282" s="4" t="str">
        <f>IFERROR(__xludf.DUMMYFUNCTION("""COMPUTED_VALUE"""),"")</f>
        <v/>
      </c>
      <c r="F282" s="4" t="str">
        <f>IFERROR(__xludf.DUMMYFUNCTION("""COMPUTED_VALUE"""),"")</f>
        <v/>
      </c>
      <c r="G282" s="4" t="str">
        <f>IFERROR(__xludf.DUMMYFUNCTION("""COMPUTED_VALUE"""),"")</f>
        <v/>
      </c>
      <c r="H282" s="4" t="str">
        <f>IFERROR(__xludf.DUMMYFUNCTION("""COMPUTED_VALUE"""),"")</f>
        <v/>
      </c>
      <c r="I282" s="4" t="str">
        <f>IFERROR(__xludf.DUMMYFUNCTION("""COMPUTED_VALUE"""),"")</f>
        <v/>
      </c>
      <c r="J282" s="4" t="str">
        <f>IFERROR(__xludf.DUMMYFUNCTION("""COMPUTED_VALUE"""),"")</f>
        <v/>
      </c>
      <c r="K282" s="4" t="str">
        <f>IFERROR(__xludf.DUMMYFUNCTION("""COMPUTED_VALUE"""),"")</f>
        <v/>
      </c>
      <c r="L282" s="4" t="str">
        <f>IFERROR(__xludf.DUMMYFUNCTION("""COMPUTED_VALUE"""),"")</f>
        <v/>
      </c>
      <c r="M282" s="4" t="str">
        <f>IFERROR(__xludf.DUMMYFUNCTION("""COMPUTED_VALUE"""),"")</f>
        <v/>
      </c>
      <c r="N282" s="4" t="str">
        <f>IFERROR(__xludf.DUMMYFUNCTION("""COMPUTED_VALUE"""),"")</f>
        <v/>
      </c>
      <c r="O282" s="4" t="str">
        <f>IFERROR(__xludf.DUMMYFUNCTION("""COMPUTED_VALUE"""),"")</f>
        <v/>
      </c>
      <c r="P282" s="4" t="str">
        <f>IFERROR(__xludf.DUMMYFUNCTION("""COMPUTED_VALUE"""),"")</f>
        <v/>
      </c>
      <c r="Q282" s="4" t="str">
        <f>IFERROR(__xludf.DUMMYFUNCTION("""COMPUTED_VALUE"""),"Top 5 activists : Wylie, Figuerres")</f>
        <v>Top 5 activists : Wylie, Figuerres</v>
      </c>
      <c r="R282" s="4" t="str">
        <f>IFERROR(__xludf.DUMMYFUNCTION("""COMPUTED_VALUE"""),"")</f>
        <v/>
      </c>
    </row>
    <row r="283">
      <c r="A283" s="4" t="str">
        <f>IFERROR(__xludf.DUMMYFUNCTION("""COMPUTED_VALUE"""),"313 - Channel 5")</f>
        <v>313 - Channel 5</v>
      </c>
      <c r="B283" s="4" t="str">
        <f>IFERROR(__xludf.DUMMYFUNCTION("""COMPUTED_VALUE"""),"")</f>
        <v/>
      </c>
      <c r="C283" s="4" t="str">
        <f>IFERROR(__xludf.DUMMYFUNCTION("""COMPUTED_VALUE"""),"")</f>
        <v/>
      </c>
      <c r="D283" s="4" t="str">
        <f>IFERROR(__xludf.DUMMYFUNCTION("""COMPUTED_VALUE"""),"")</f>
        <v/>
      </c>
      <c r="E283" s="4" t="str">
        <f>IFERROR(__xludf.DUMMYFUNCTION("""COMPUTED_VALUE"""),"")</f>
        <v/>
      </c>
      <c r="F283" s="4" t="str">
        <f>IFERROR(__xludf.DUMMYFUNCTION("""COMPUTED_VALUE"""),"")</f>
        <v/>
      </c>
      <c r="G283" s="4" t="str">
        <f>IFERROR(__xludf.DUMMYFUNCTION("""COMPUTED_VALUE"""),"")</f>
        <v/>
      </c>
      <c r="H283" s="4" t="str">
        <f>IFERROR(__xludf.DUMMYFUNCTION("""COMPUTED_VALUE"""),"")</f>
        <v/>
      </c>
      <c r="I283" s="4" t="str">
        <f>IFERROR(__xludf.DUMMYFUNCTION("""COMPUTED_VALUE"""),"")</f>
        <v/>
      </c>
      <c r="J283" s="4" t="str">
        <f>IFERROR(__xludf.DUMMYFUNCTION("""COMPUTED_VALUE"""),"")</f>
        <v/>
      </c>
      <c r="K283" s="4" t="str">
        <f>IFERROR(__xludf.DUMMYFUNCTION("""COMPUTED_VALUE"""),"")</f>
        <v/>
      </c>
      <c r="L283" s="4" t="str">
        <f>IFERROR(__xludf.DUMMYFUNCTION("""COMPUTED_VALUE"""),"")</f>
        <v/>
      </c>
      <c r="M283" s="4" t="str">
        <f>IFERROR(__xludf.DUMMYFUNCTION("""COMPUTED_VALUE"""),"")</f>
        <v/>
      </c>
      <c r="N283" s="4" t="str">
        <f>IFERROR(__xludf.DUMMYFUNCTION("""COMPUTED_VALUE"""),"")</f>
        <v/>
      </c>
      <c r="O283" s="4" t="str">
        <f>IFERROR(__xludf.DUMMYFUNCTION("""COMPUTED_VALUE"""),"")</f>
        <v/>
      </c>
      <c r="P283" s="4" t="str">
        <f>IFERROR(__xludf.DUMMYFUNCTION("""COMPUTED_VALUE"""),"")</f>
        <v/>
      </c>
      <c r="Q283" s="4" t="str">
        <f>IFERROR(__xludf.DUMMYFUNCTION("""COMPUTED_VALUE"""),"Top 5 Academics")</f>
        <v>Top 5 Academics</v>
      </c>
      <c r="R283" s="4" t="str">
        <f>IFERROR(__xludf.DUMMYFUNCTION("""COMPUTED_VALUE"""),"")</f>
        <v/>
      </c>
    </row>
    <row r="284">
      <c r="A284" s="4" t="str">
        <f>IFERROR(__xludf.DUMMYFUNCTION("""COMPUTED_VALUE"""),"314 - Channel 5")</f>
        <v>314 - Channel 5</v>
      </c>
      <c r="B284" s="4" t="str">
        <f>IFERROR(__xludf.DUMMYFUNCTION("""COMPUTED_VALUE"""),"")</f>
        <v/>
      </c>
      <c r="C284" s="4" t="str">
        <f>IFERROR(__xludf.DUMMYFUNCTION("""COMPUTED_VALUE"""),"")</f>
        <v/>
      </c>
      <c r="D284" s="4" t="str">
        <f>IFERROR(__xludf.DUMMYFUNCTION("""COMPUTED_VALUE"""),"")</f>
        <v/>
      </c>
      <c r="E284" s="4" t="str">
        <f>IFERROR(__xludf.DUMMYFUNCTION("""COMPUTED_VALUE"""),"")</f>
        <v/>
      </c>
      <c r="F284" s="4" t="str">
        <f>IFERROR(__xludf.DUMMYFUNCTION("""COMPUTED_VALUE"""),"")</f>
        <v/>
      </c>
      <c r="G284" s="4" t="str">
        <f>IFERROR(__xludf.DUMMYFUNCTION("""COMPUTED_VALUE"""),"")</f>
        <v/>
      </c>
      <c r="H284" s="4" t="str">
        <f>IFERROR(__xludf.DUMMYFUNCTION("""COMPUTED_VALUE"""),"")</f>
        <v/>
      </c>
      <c r="I284" s="4" t="str">
        <f>IFERROR(__xludf.DUMMYFUNCTION("""COMPUTED_VALUE"""),"")</f>
        <v/>
      </c>
      <c r="J284" s="4" t="str">
        <f>IFERROR(__xludf.DUMMYFUNCTION("""COMPUTED_VALUE"""),"")</f>
        <v/>
      </c>
      <c r="K284" s="4" t="str">
        <f>IFERROR(__xludf.DUMMYFUNCTION("""COMPUTED_VALUE"""),"")</f>
        <v/>
      </c>
      <c r="L284" s="4" t="str">
        <f>IFERROR(__xludf.DUMMYFUNCTION("""COMPUTED_VALUE"""),"")</f>
        <v/>
      </c>
      <c r="M284" s="4" t="str">
        <f>IFERROR(__xludf.DUMMYFUNCTION("""COMPUTED_VALUE"""),"")</f>
        <v/>
      </c>
      <c r="N284" s="4" t="str">
        <f>IFERROR(__xludf.DUMMYFUNCTION("""COMPUTED_VALUE"""),"")</f>
        <v/>
      </c>
      <c r="O284" s="4" t="str">
        <f>IFERROR(__xludf.DUMMYFUNCTION("""COMPUTED_VALUE"""),"")</f>
        <v/>
      </c>
      <c r="P284" s="4" t="str">
        <f>IFERROR(__xludf.DUMMYFUNCTION("""COMPUTED_VALUE"""),"")</f>
        <v/>
      </c>
      <c r="Q284" s="4" t="str">
        <f>IFERROR(__xludf.DUMMYFUNCTION("""COMPUTED_VALUE"""),"")</f>
        <v/>
      </c>
      <c r="R284" s="4" t="str">
        <f>IFERROR(__xludf.DUMMYFUNCTION("""COMPUTED_VALUE"""),"")</f>
        <v/>
      </c>
    </row>
    <row r="285">
      <c r="A285" s="4" t="str">
        <f>IFERROR(__xludf.DUMMYFUNCTION("""COMPUTED_VALUE"""),"315 - Channel 5")</f>
        <v>315 - Channel 5</v>
      </c>
      <c r="B285" s="4" t="str">
        <f>IFERROR(__xludf.DUMMYFUNCTION("""COMPUTED_VALUE"""),"")</f>
        <v/>
      </c>
      <c r="C285" s="4" t="str">
        <f>IFERROR(__xludf.DUMMYFUNCTION("""COMPUTED_VALUE"""),"")</f>
        <v/>
      </c>
      <c r="D285" s="4" t="str">
        <f>IFERROR(__xludf.DUMMYFUNCTION("""COMPUTED_VALUE"""),"")</f>
        <v/>
      </c>
      <c r="E285" s="4" t="str">
        <f>IFERROR(__xludf.DUMMYFUNCTION("""COMPUTED_VALUE"""),"")</f>
        <v/>
      </c>
      <c r="F285" s="4" t="str">
        <f>IFERROR(__xludf.DUMMYFUNCTION("""COMPUTED_VALUE"""),"")</f>
        <v/>
      </c>
      <c r="G285" s="4" t="str">
        <f>IFERROR(__xludf.DUMMYFUNCTION("""COMPUTED_VALUE"""),"")</f>
        <v/>
      </c>
      <c r="H285" s="4" t="str">
        <f>IFERROR(__xludf.DUMMYFUNCTION("""COMPUTED_VALUE"""),"")</f>
        <v/>
      </c>
      <c r="I285" s="4" t="str">
        <f>IFERROR(__xludf.DUMMYFUNCTION("""COMPUTED_VALUE"""),"")</f>
        <v/>
      </c>
      <c r="J285" s="4" t="str">
        <f>IFERROR(__xludf.DUMMYFUNCTION("""COMPUTED_VALUE"""),"")</f>
        <v/>
      </c>
      <c r="K285" s="4" t="str">
        <f>IFERROR(__xludf.DUMMYFUNCTION("""COMPUTED_VALUE"""),"")</f>
        <v/>
      </c>
      <c r="L285" s="4" t="str">
        <f>IFERROR(__xludf.DUMMYFUNCTION("""COMPUTED_VALUE"""),"")</f>
        <v/>
      </c>
      <c r="M285" s="4" t="str">
        <f>IFERROR(__xludf.DUMMYFUNCTION("""COMPUTED_VALUE"""),"")</f>
        <v/>
      </c>
      <c r="N285" s="4" t="str">
        <f>IFERROR(__xludf.DUMMYFUNCTION("""COMPUTED_VALUE"""),"")</f>
        <v/>
      </c>
      <c r="O285" s="4" t="str">
        <f>IFERROR(__xludf.DUMMYFUNCTION("""COMPUTED_VALUE"""),"")</f>
        <v/>
      </c>
      <c r="P285" s="4" t="str">
        <f>IFERROR(__xludf.DUMMYFUNCTION("""COMPUTED_VALUE"""),"")</f>
        <v/>
      </c>
      <c r="Q285" s="4" t="str">
        <f>IFERROR(__xludf.DUMMYFUNCTION("""COMPUTED_VALUE"""),"")</f>
        <v/>
      </c>
      <c r="R285" s="4" t="str">
        <f>IFERROR(__xludf.DUMMYFUNCTION("""COMPUTED_VALUE"""),"")</f>
        <v/>
      </c>
    </row>
    <row r="286">
      <c r="A286" s="4" t="str">
        <f>IFERROR(__xludf.DUMMYFUNCTION("""COMPUTED_VALUE"""),"316 - Channel 5")</f>
        <v>316 - Channel 5</v>
      </c>
      <c r="B286" s="4" t="str">
        <f>IFERROR(__xludf.DUMMYFUNCTION("""COMPUTED_VALUE"""),"")</f>
        <v/>
      </c>
      <c r="C286" s="4" t="str">
        <f>IFERROR(__xludf.DUMMYFUNCTION("""COMPUTED_VALUE"""),"")</f>
        <v/>
      </c>
      <c r="D286" s="4" t="str">
        <f>IFERROR(__xludf.DUMMYFUNCTION("""COMPUTED_VALUE"""),"")</f>
        <v/>
      </c>
      <c r="E286" s="4" t="str">
        <f>IFERROR(__xludf.DUMMYFUNCTION("""COMPUTED_VALUE"""),"")</f>
        <v/>
      </c>
      <c r="F286" s="4" t="str">
        <f>IFERROR(__xludf.DUMMYFUNCTION("""COMPUTED_VALUE"""),"")</f>
        <v/>
      </c>
      <c r="G286" s="4" t="str">
        <f>IFERROR(__xludf.DUMMYFUNCTION("""COMPUTED_VALUE"""),"")</f>
        <v/>
      </c>
      <c r="H286" s="4" t="str">
        <f>IFERROR(__xludf.DUMMYFUNCTION("""COMPUTED_VALUE"""),"")</f>
        <v/>
      </c>
      <c r="I286" s="4" t="str">
        <f>IFERROR(__xludf.DUMMYFUNCTION("""COMPUTED_VALUE"""),"")</f>
        <v/>
      </c>
      <c r="J286" s="4" t="str">
        <f>IFERROR(__xludf.DUMMYFUNCTION("""COMPUTED_VALUE"""),"")</f>
        <v/>
      </c>
      <c r="K286" s="4" t="str">
        <f>IFERROR(__xludf.DUMMYFUNCTION("""COMPUTED_VALUE"""),"")</f>
        <v/>
      </c>
      <c r="L286" s="4" t="str">
        <f>IFERROR(__xludf.DUMMYFUNCTION("""COMPUTED_VALUE"""),"")</f>
        <v/>
      </c>
      <c r="M286" s="4" t="str">
        <f>IFERROR(__xludf.DUMMYFUNCTION("""COMPUTED_VALUE"""),"")</f>
        <v/>
      </c>
      <c r="N286" s="4" t="str">
        <f>IFERROR(__xludf.DUMMYFUNCTION("""COMPUTED_VALUE"""),"")</f>
        <v/>
      </c>
      <c r="O286" s="4" t="str">
        <f>IFERROR(__xludf.DUMMYFUNCTION("""COMPUTED_VALUE"""),"")</f>
        <v/>
      </c>
      <c r="P286" s="4" t="str">
        <f>IFERROR(__xludf.DUMMYFUNCTION("""COMPUTED_VALUE"""),"")</f>
        <v/>
      </c>
      <c r="Q286" s="4" t="str">
        <f>IFERROR(__xludf.DUMMYFUNCTION("""COMPUTED_VALUE"""),"")</f>
        <v/>
      </c>
      <c r="R286" s="4" t="str">
        <f>IFERROR(__xludf.DUMMYFUNCTION("""COMPUTED_VALUE"""),"")</f>
        <v/>
      </c>
    </row>
    <row r="287">
      <c r="A287" s="4" t="str">
        <f>IFERROR(__xludf.DUMMYFUNCTION("""COMPUTED_VALUE"""),"317 - Channel 5")</f>
        <v>317 - Channel 5</v>
      </c>
      <c r="B287" s="4" t="str">
        <f>IFERROR(__xludf.DUMMYFUNCTION("""COMPUTED_VALUE"""),"")</f>
        <v/>
      </c>
      <c r="C287" s="4" t="str">
        <f>IFERROR(__xludf.DUMMYFUNCTION("""COMPUTED_VALUE"""),"")</f>
        <v/>
      </c>
      <c r="D287" s="4" t="str">
        <f>IFERROR(__xludf.DUMMYFUNCTION("""COMPUTED_VALUE"""),"")</f>
        <v/>
      </c>
      <c r="E287" s="4" t="str">
        <f>IFERROR(__xludf.DUMMYFUNCTION("""COMPUTED_VALUE"""),"")</f>
        <v/>
      </c>
      <c r="F287" s="4" t="str">
        <f>IFERROR(__xludf.DUMMYFUNCTION("""COMPUTED_VALUE"""),"")</f>
        <v/>
      </c>
      <c r="G287" s="4" t="str">
        <f>IFERROR(__xludf.DUMMYFUNCTION("""COMPUTED_VALUE"""),"")</f>
        <v/>
      </c>
      <c r="H287" s="4" t="str">
        <f>IFERROR(__xludf.DUMMYFUNCTION("""COMPUTED_VALUE"""),"")</f>
        <v/>
      </c>
      <c r="I287" s="4" t="str">
        <f>IFERROR(__xludf.DUMMYFUNCTION("""COMPUTED_VALUE"""),"")</f>
        <v/>
      </c>
      <c r="J287" s="4" t="str">
        <f>IFERROR(__xludf.DUMMYFUNCTION("""COMPUTED_VALUE"""),"")</f>
        <v/>
      </c>
      <c r="K287" s="4" t="str">
        <f>IFERROR(__xludf.DUMMYFUNCTION("""COMPUTED_VALUE"""),"")</f>
        <v/>
      </c>
      <c r="L287" s="4" t="str">
        <f>IFERROR(__xludf.DUMMYFUNCTION("""COMPUTED_VALUE"""),"")</f>
        <v/>
      </c>
      <c r="M287" s="4" t="str">
        <f>IFERROR(__xludf.DUMMYFUNCTION("""COMPUTED_VALUE"""),"")</f>
        <v/>
      </c>
      <c r="N287" s="4" t="str">
        <f>IFERROR(__xludf.DUMMYFUNCTION("""COMPUTED_VALUE"""),"")</f>
        <v/>
      </c>
      <c r="O287" s="4" t="str">
        <f>IFERROR(__xludf.DUMMYFUNCTION("""COMPUTED_VALUE"""),"")</f>
        <v/>
      </c>
      <c r="P287" s="4" t="str">
        <f>IFERROR(__xludf.DUMMYFUNCTION("""COMPUTED_VALUE"""),"")</f>
        <v/>
      </c>
      <c r="Q287" s="4" t="str">
        <f>IFERROR(__xludf.DUMMYFUNCTION("""COMPUTED_VALUE"""),"")</f>
        <v/>
      </c>
      <c r="R287" s="4" t="str">
        <f>IFERROR(__xludf.DUMMYFUNCTION("""COMPUTED_VALUE"""),"")</f>
        <v/>
      </c>
    </row>
    <row r="288">
      <c r="A288" s="4" t="str">
        <f>IFERROR(__xludf.DUMMYFUNCTION("""COMPUTED_VALUE"""),"318 - Channel 5")</f>
        <v>318 - Channel 5</v>
      </c>
      <c r="B288" s="4" t="str">
        <f>IFERROR(__xludf.DUMMYFUNCTION("""COMPUTED_VALUE"""),"")</f>
        <v/>
      </c>
      <c r="C288" s="4" t="str">
        <f>IFERROR(__xludf.DUMMYFUNCTION("""COMPUTED_VALUE"""),"")</f>
        <v/>
      </c>
      <c r="D288" s="4" t="str">
        <f>IFERROR(__xludf.DUMMYFUNCTION("""COMPUTED_VALUE"""),"")</f>
        <v/>
      </c>
      <c r="E288" s="4" t="str">
        <f>IFERROR(__xludf.DUMMYFUNCTION("""COMPUTED_VALUE"""),"")</f>
        <v/>
      </c>
      <c r="F288" s="4" t="str">
        <f>IFERROR(__xludf.DUMMYFUNCTION("""COMPUTED_VALUE"""),"")</f>
        <v/>
      </c>
      <c r="G288" s="4" t="str">
        <f>IFERROR(__xludf.DUMMYFUNCTION("""COMPUTED_VALUE"""),"")</f>
        <v/>
      </c>
      <c r="H288" s="4" t="str">
        <f>IFERROR(__xludf.DUMMYFUNCTION("""COMPUTED_VALUE"""),"")</f>
        <v/>
      </c>
      <c r="I288" s="4" t="str">
        <f>IFERROR(__xludf.DUMMYFUNCTION("""COMPUTED_VALUE"""),"")</f>
        <v/>
      </c>
      <c r="J288" s="4" t="str">
        <f>IFERROR(__xludf.DUMMYFUNCTION("""COMPUTED_VALUE"""),"")</f>
        <v/>
      </c>
      <c r="K288" s="4" t="str">
        <f>IFERROR(__xludf.DUMMYFUNCTION("""COMPUTED_VALUE"""),"")</f>
        <v/>
      </c>
      <c r="L288" s="4" t="str">
        <f>IFERROR(__xludf.DUMMYFUNCTION("""COMPUTED_VALUE"""),"")</f>
        <v/>
      </c>
      <c r="M288" s="4" t="str">
        <f>IFERROR(__xludf.DUMMYFUNCTION("""COMPUTED_VALUE"""),"")</f>
        <v/>
      </c>
      <c r="N288" s="4" t="str">
        <f>IFERROR(__xludf.DUMMYFUNCTION("""COMPUTED_VALUE"""),"")</f>
        <v/>
      </c>
      <c r="O288" s="4" t="str">
        <f>IFERROR(__xludf.DUMMYFUNCTION("""COMPUTED_VALUE"""),"")</f>
        <v/>
      </c>
      <c r="P288" s="4" t="str">
        <f>IFERROR(__xludf.DUMMYFUNCTION("""COMPUTED_VALUE"""),"")</f>
        <v/>
      </c>
      <c r="Q288" s="4" t="str">
        <f>IFERROR(__xludf.DUMMYFUNCTION("""COMPUTED_VALUE"""),"")</f>
        <v/>
      </c>
      <c r="R288" s="4" t="str">
        <f>IFERROR(__xludf.DUMMYFUNCTION("""COMPUTED_VALUE"""),"")</f>
        <v/>
      </c>
    </row>
    <row r="289">
      <c r="A289" s="4" t="str">
        <f>IFERROR(__xludf.DUMMYFUNCTION("""COMPUTED_VALUE"""),"319 - Channel 5")</f>
        <v>319 - Channel 5</v>
      </c>
      <c r="B289" s="4" t="str">
        <f>IFERROR(__xludf.DUMMYFUNCTION("""COMPUTED_VALUE"""),"")</f>
        <v/>
      </c>
      <c r="C289" s="4" t="str">
        <f>IFERROR(__xludf.DUMMYFUNCTION("""COMPUTED_VALUE"""),"")</f>
        <v/>
      </c>
      <c r="D289" s="4" t="str">
        <f>IFERROR(__xludf.DUMMYFUNCTION("""COMPUTED_VALUE"""),"")</f>
        <v/>
      </c>
      <c r="E289" s="4" t="str">
        <f>IFERROR(__xludf.DUMMYFUNCTION("""COMPUTED_VALUE"""),"")</f>
        <v/>
      </c>
      <c r="F289" s="4" t="str">
        <f>IFERROR(__xludf.DUMMYFUNCTION("""COMPUTED_VALUE"""),"")</f>
        <v/>
      </c>
      <c r="G289" s="4" t="str">
        <f>IFERROR(__xludf.DUMMYFUNCTION("""COMPUTED_VALUE"""),"")</f>
        <v/>
      </c>
      <c r="H289" s="4" t="str">
        <f>IFERROR(__xludf.DUMMYFUNCTION("""COMPUTED_VALUE"""),"")</f>
        <v/>
      </c>
      <c r="I289" s="4" t="str">
        <f>IFERROR(__xludf.DUMMYFUNCTION("""COMPUTED_VALUE"""),"")</f>
        <v/>
      </c>
      <c r="J289" s="4" t="str">
        <f>IFERROR(__xludf.DUMMYFUNCTION("""COMPUTED_VALUE"""),"")</f>
        <v/>
      </c>
      <c r="K289" s="4" t="str">
        <f>IFERROR(__xludf.DUMMYFUNCTION("""COMPUTED_VALUE"""),"")</f>
        <v/>
      </c>
      <c r="L289" s="4" t="str">
        <f>IFERROR(__xludf.DUMMYFUNCTION("""COMPUTED_VALUE"""),"")</f>
        <v/>
      </c>
      <c r="M289" s="4" t="str">
        <f>IFERROR(__xludf.DUMMYFUNCTION("""COMPUTED_VALUE"""),"")</f>
        <v/>
      </c>
      <c r="N289" s="4" t="str">
        <f>IFERROR(__xludf.DUMMYFUNCTION("""COMPUTED_VALUE"""),"")</f>
        <v/>
      </c>
      <c r="O289" s="4" t="str">
        <f>IFERROR(__xludf.DUMMYFUNCTION("""COMPUTED_VALUE"""),"")</f>
        <v/>
      </c>
      <c r="P289" s="4" t="str">
        <f>IFERROR(__xludf.DUMMYFUNCTION("""COMPUTED_VALUE"""),"")</f>
        <v/>
      </c>
      <c r="Q289" s="4" t="str">
        <f>IFERROR(__xludf.DUMMYFUNCTION("""COMPUTED_VALUE"""),"")</f>
        <v/>
      </c>
      <c r="R289" s="4" t="str">
        <f>IFERROR(__xludf.DUMMYFUNCTION("""COMPUTED_VALUE"""),"")</f>
        <v/>
      </c>
    </row>
    <row r="290">
      <c r="A290" s="4" t="str">
        <f>IFERROR(__xludf.DUMMYFUNCTION("""COMPUTED_VALUE"""),"320 - Channel 5")</f>
        <v>320 - Channel 5</v>
      </c>
      <c r="B290" s="4" t="str">
        <f>IFERROR(__xludf.DUMMYFUNCTION("""COMPUTED_VALUE"""),"")</f>
        <v/>
      </c>
      <c r="C290" s="4" t="str">
        <f>IFERROR(__xludf.DUMMYFUNCTION("""COMPUTED_VALUE"""),"")</f>
        <v/>
      </c>
      <c r="D290" s="4" t="str">
        <f>IFERROR(__xludf.DUMMYFUNCTION("""COMPUTED_VALUE"""),"")</f>
        <v/>
      </c>
      <c r="E290" s="4" t="str">
        <f>IFERROR(__xludf.DUMMYFUNCTION("""COMPUTED_VALUE"""),"")</f>
        <v/>
      </c>
      <c r="F290" s="4" t="str">
        <f>IFERROR(__xludf.DUMMYFUNCTION("""COMPUTED_VALUE"""),"")</f>
        <v/>
      </c>
      <c r="G290" s="4" t="str">
        <f>IFERROR(__xludf.DUMMYFUNCTION("""COMPUTED_VALUE"""),"")</f>
        <v/>
      </c>
      <c r="H290" s="4" t="str">
        <f>IFERROR(__xludf.DUMMYFUNCTION("""COMPUTED_VALUE"""),"")</f>
        <v/>
      </c>
      <c r="I290" s="4" t="str">
        <f>IFERROR(__xludf.DUMMYFUNCTION("""COMPUTED_VALUE"""),"")</f>
        <v/>
      </c>
      <c r="J290" s="4" t="str">
        <f>IFERROR(__xludf.DUMMYFUNCTION("""COMPUTED_VALUE"""),"")</f>
        <v/>
      </c>
      <c r="K290" s="4" t="str">
        <f>IFERROR(__xludf.DUMMYFUNCTION("""COMPUTED_VALUE"""),"")</f>
        <v/>
      </c>
      <c r="L290" s="4" t="str">
        <f>IFERROR(__xludf.DUMMYFUNCTION("""COMPUTED_VALUE"""),"")</f>
        <v/>
      </c>
      <c r="M290" s="4" t="str">
        <f>IFERROR(__xludf.DUMMYFUNCTION("""COMPUTED_VALUE"""),"")</f>
        <v/>
      </c>
      <c r="N290" s="4" t="str">
        <f>IFERROR(__xludf.DUMMYFUNCTION("""COMPUTED_VALUE"""),"")</f>
        <v/>
      </c>
      <c r="O290" s="4" t="str">
        <f>IFERROR(__xludf.DUMMYFUNCTION("""COMPUTED_VALUE"""),"")</f>
        <v/>
      </c>
      <c r="P290" s="4" t="str">
        <f>IFERROR(__xludf.DUMMYFUNCTION("""COMPUTED_VALUE"""),"")</f>
        <v/>
      </c>
      <c r="Q290" s="4" t="str">
        <f>IFERROR(__xludf.DUMMYFUNCTION("""COMPUTED_VALUE"""),"")</f>
        <v/>
      </c>
      <c r="R290" s="4" t="str">
        <f>IFERROR(__xludf.DUMMYFUNCTION("""COMPUTED_VALUE"""),"")</f>
        <v/>
      </c>
    </row>
    <row r="291">
      <c r="A291" s="4" t="str">
        <f>IFERROR(__xludf.DUMMYFUNCTION("""COMPUTED_VALUE"""),"321 - Channel 5")</f>
        <v>321 - Channel 5</v>
      </c>
      <c r="B291" s="4" t="str">
        <f>IFERROR(__xludf.DUMMYFUNCTION("""COMPUTED_VALUE"""),"")</f>
        <v/>
      </c>
      <c r="C291" s="4" t="str">
        <f>IFERROR(__xludf.DUMMYFUNCTION("""COMPUTED_VALUE"""),"")</f>
        <v/>
      </c>
      <c r="D291" s="4" t="str">
        <f>IFERROR(__xludf.DUMMYFUNCTION("""COMPUTED_VALUE"""),"")</f>
        <v/>
      </c>
      <c r="E291" s="4" t="str">
        <f>IFERROR(__xludf.DUMMYFUNCTION("""COMPUTED_VALUE"""),"")</f>
        <v/>
      </c>
      <c r="F291" s="4" t="str">
        <f>IFERROR(__xludf.DUMMYFUNCTION("""COMPUTED_VALUE"""),"")</f>
        <v/>
      </c>
      <c r="G291" s="4" t="str">
        <f>IFERROR(__xludf.DUMMYFUNCTION("""COMPUTED_VALUE"""),"")</f>
        <v/>
      </c>
      <c r="H291" s="4" t="str">
        <f>IFERROR(__xludf.DUMMYFUNCTION("""COMPUTED_VALUE"""),"")</f>
        <v/>
      </c>
      <c r="I291" s="4" t="str">
        <f>IFERROR(__xludf.DUMMYFUNCTION("""COMPUTED_VALUE"""),"")</f>
        <v/>
      </c>
      <c r="J291" s="4" t="str">
        <f>IFERROR(__xludf.DUMMYFUNCTION("""COMPUTED_VALUE"""),"")</f>
        <v/>
      </c>
      <c r="K291" s="4" t="str">
        <f>IFERROR(__xludf.DUMMYFUNCTION("""COMPUTED_VALUE"""),"")</f>
        <v/>
      </c>
      <c r="L291" s="4" t="str">
        <f>IFERROR(__xludf.DUMMYFUNCTION("""COMPUTED_VALUE"""),"")</f>
        <v/>
      </c>
      <c r="M291" s="4" t="str">
        <f>IFERROR(__xludf.DUMMYFUNCTION("""COMPUTED_VALUE"""),"")</f>
        <v/>
      </c>
      <c r="N291" s="4" t="str">
        <f>IFERROR(__xludf.DUMMYFUNCTION("""COMPUTED_VALUE"""),"")</f>
        <v/>
      </c>
      <c r="O291" s="4" t="str">
        <f>IFERROR(__xludf.DUMMYFUNCTION("""COMPUTED_VALUE"""),"")</f>
        <v/>
      </c>
      <c r="P291" s="4" t="str">
        <f>IFERROR(__xludf.DUMMYFUNCTION("""COMPUTED_VALUE"""),"")</f>
        <v/>
      </c>
      <c r="Q291" s="4" t="str">
        <f>IFERROR(__xludf.DUMMYFUNCTION("""COMPUTED_VALUE"""),"")</f>
        <v/>
      </c>
      <c r="R291" s="4" t="str">
        <f>IFERROR(__xludf.DUMMYFUNCTION("""COMPUTED_VALUE"""),"")</f>
        <v/>
      </c>
    </row>
    <row r="292">
      <c r="A292" s="4" t="str">
        <f>IFERROR(__xludf.DUMMYFUNCTION("""COMPUTED_VALUE"""),"322 - Channel 5")</f>
        <v>322 - Channel 5</v>
      </c>
      <c r="B292" s="4" t="str">
        <f>IFERROR(__xludf.DUMMYFUNCTION("""COMPUTED_VALUE"""),"")</f>
        <v/>
      </c>
      <c r="C292" s="4" t="str">
        <f>IFERROR(__xludf.DUMMYFUNCTION("""COMPUTED_VALUE"""),"")</f>
        <v/>
      </c>
      <c r="D292" s="4" t="str">
        <f>IFERROR(__xludf.DUMMYFUNCTION("""COMPUTED_VALUE"""),"")</f>
        <v/>
      </c>
      <c r="E292" s="4" t="str">
        <f>IFERROR(__xludf.DUMMYFUNCTION("""COMPUTED_VALUE"""),"")</f>
        <v/>
      </c>
      <c r="F292" s="4" t="str">
        <f>IFERROR(__xludf.DUMMYFUNCTION("""COMPUTED_VALUE"""),"")</f>
        <v/>
      </c>
      <c r="G292" s="4" t="str">
        <f>IFERROR(__xludf.DUMMYFUNCTION("""COMPUTED_VALUE"""),"")</f>
        <v/>
      </c>
      <c r="H292" s="4" t="str">
        <f>IFERROR(__xludf.DUMMYFUNCTION("""COMPUTED_VALUE"""),"")</f>
        <v/>
      </c>
      <c r="I292" s="4" t="str">
        <f>IFERROR(__xludf.DUMMYFUNCTION("""COMPUTED_VALUE"""),"")</f>
        <v/>
      </c>
      <c r="J292" s="4" t="str">
        <f>IFERROR(__xludf.DUMMYFUNCTION("""COMPUTED_VALUE"""),"")</f>
        <v/>
      </c>
      <c r="K292" s="4" t="str">
        <f>IFERROR(__xludf.DUMMYFUNCTION("""COMPUTED_VALUE"""),"")</f>
        <v/>
      </c>
      <c r="L292" s="4" t="str">
        <f>IFERROR(__xludf.DUMMYFUNCTION("""COMPUTED_VALUE"""),"")</f>
        <v/>
      </c>
      <c r="M292" s="4" t="str">
        <f>IFERROR(__xludf.DUMMYFUNCTION("""COMPUTED_VALUE"""),"")</f>
        <v/>
      </c>
      <c r="N292" s="4" t="str">
        <f>IFERROR(__xludf.DUMMYFUNCTION("""COMPUTED_VALUE"""),"")</f>
        <v/>
      </c>
      <c r="O292" s="4" t="str">
        <f>IFERROR(__xludf.DUMMYFUNCTION("""COMPUTED_VALUE"""),"")</f>
        <v/>
      </c>
      <c r="P292" s="4" t="str">
        <f>IFERROR(__xludf.DUMMYFUNCTION("""COMPUTED_VALUE"""),"")</f>
        <v/>
      </c>
      <c r="Q292" s="4" t="str">
        <f>IFERROR(__xludf.DUMMYFUNCTION("""COMPUTED_VALUE"""),"")</f>
        <v/>
      </c>
      <c r="R292" s="4" t="str">
        <f>IFERROR(__xludf.DUMMYFUNCTION("""COMPUTED_VALUE"""),"")</f>
        <v/>
      </c>
    </row>
    <row r="293">
      <c r="A293" s="4" t="str">
        <f>IFERROR(__xludf.DUMMYFUNCTION("""COMPUTED_VALUE"""),"323 - Channel 5")</f>
        <v>323 - Channel 5</v>
      </c>
      <c r="B293" s="4" t="str">
        <f>IFERROR(__xludf.DUMMYFUNCTION("""COMPUTED_VALUE"""),"")</f>
        <v/>
      </c>
      <c r="C293" s="4" t="str">
        <f>IFERROR(__xludf.DUMMYFUNCTION("""COMPUTED_VALUE"""),"")</f>
        <v/>
      </c>
      <c r="D293" s="4" t="str">
        <f>IFERROR(__xludf.DUMMYFUNCTION("""COMPUTED_VALUE"""),"")</f>
        <v/>
      </c>
      <c r="E293" s="4" t="str">
        <f>IFERROR(__xludf.DUMMYFUNCTION("""COMPUTED_VALUE"""),"")</f>
        <v/>
      </c>
      <c r="F293" s="4" t="str">
        <f>IFERROR(__xludf.DUMMYFUNCTION("""COMPUTED_VALUE"""),"")</f>
        <v/>
      </c>
      <c r="G293" s="4" t="str">
        <f>IFERROR(__xludf.DUMMYFUNCTION("""COMPUTED_VALUE"""),"")</f>
        <v/>
      </c>
      <c r="H293" s="4" t="str">
        <f>IFERROR(__xludf.DUMMYFUNCTION("""COMPUTED_VALUE"""),"")</f>
        <v/>
      </c>
      <c r="I293" s="4" t="str">
        <f>IFERROR(__xludf.DUMMYFUNCTION("""COMPUTED_VALUE"""),"")</f>
        <v/>
      </c>
      <c r="J293" s="4" t="str">
        <f>IFERROR(__xludf.DUMMYFUNCTION("""COMPUTED_VALUE"""),"")</f>
        <v/>
      </c>
      <c r="K293" s="4" t="str">
        <f>IFERROR(__xludf.DUMMYFUNCTION("""COMPUTED_VALUE"""),"")</f>
        <v/>
      </c>
      <c r="L293" s="4" t="str">
        <f>IFERROR(__xludf.DUMMYFUNCTION("""COMPUTED_VALUE"""),"")</f>
        <v/>
      </c>
      <c r="M293" s="4" t="str">
        <f>IFERROR(__xludf.DUMMYFUNCTION("""COMPUTED_VALUE"""),"")</f>
        <v/>
      </c>
      <c r="N293" s="4" t="str">
        <f>IFERROR(__xludf.DUMMYFUNCTION("""COMPUTED_VALUE"""),"")</f>
        <v/>
      </c>
      <c r="O293" s="4" t="str">
        <f>IFERROR(__xludf.DUMMYFUNCTION("""COMPUTED_VALUE"""),"")</f>
        <v/>
      </c>
      <c r="P293" s="4" t="str">
        <f>IFERROR(__xludf.DUMMYFUNCTION("""COMPUTED_VALUE"""),"")</f>
        <v/>
      </c>
      <c r="Q293" s="4" t="str">
        <f>IFERROR(__xludf.DUMMYFUNCTION("""COMPUTED_VALUE"""),"")</f>
        <v/>
      </c>
      <c r="R293" s="4" t="str">
        <f>IFERROR(__xludf.DUMMYFUNCTION("""COMPUTED_VALUE"""),"")</f>
        <v/>
      </c>
    </row>
    <row r="294">
      <c r="A294" s="4" t="str">
        <f>IFERROR(__xludf.DUMMYFUNCTION("""COMPUTED_VALUE"""),"324 - Channel 5")</f>
        <v>324 - Channel 5</v>
      </c>
      <c r="B294" s="4" t="str">
        <f>IFERROR(__xludf.DUMMYFUNCTION("""COMPUTED_VALUE"""),"")</f>
        <v/>
      </c>
      <c r="C294" s="4" t="str">
        <f>IFERROR(__xludf.DUMMYFUNCTION("""COMPUTED_VALUE"""),"")</f>
        <v/>
      </c>
      <c r="D294" s="4" t="str">
        <f>IFERROR(__xludf.DUMMYFUNCTION("""COMPUTED_VALUE"""),"")</f>
        <v/>
      </c>
      <c r="E294" s="4" t="str">
        <f>IFERROR(__xludf.DUMMYFUNCTION("""COMPUTED_VALUE"""),"")</f>
        <v/>
      </c>
      <c r="F294" s="4" t="str">
        <f>IFERROR(__xludf.DUMMYFUNCTION("""COMPUTED_VALUE"""),"")</f>
        <v/>
      </c>
      <c r="G294" s="4" t="str">
        <f>IFERROR(__xludf.DUMMYFUNCTION("""COMPUTED_VALUE"""),"")</f>
        <v/>
      </c>
      <c r="H294" s="4" t="str">
        <f>IFERROR(__xludf.DUMMYFUNCTION("""COMPUTED_VALUE"""),"")</f>
        <v/>
      </c>
      <c r="I294" s="4" t="str">
        <f>IFERROR(__xludf.DUMMYFUNCTION("""COMPUTED_VALUE"""),"")</f>
        <v/>
      </c>
      <c r="J294" s="4" t="str">
        <f>IFERROR(__xludf.DUMMYFUNCTION("""COMPUTED_VALUE"""),"")</f>
        <v/>
      </c>
      <c r="K294" s="4" t="str">
        <f>IFERROR(__xludf.DUMMYFUNCTION("""COMPUTED_VALUE"""),"")</f>
        <v/>
      </c>
      <c r="L294" s="4" t="str">
        <f>IFERROR(__xludf.DUMMYFUNCTION("""COMPUTED_VALUE"""),"")</f>
        <v/>
      </c>
      <c r="M294" s="4" t="str">
        <f>IFERROR(__xludf.DUMMYFUNCTION("""COMPUTED_VALUE"""),"")</f>
        <v/>
      </c>
      <c r="N294" s="4" t="str">
        <f>IFERROR(__xludf.DUMMYFUNCTION("""COMPUTED_VALUE"""),"")</f>
        <v/>
      </c>
      <c r="O294" s="4" t="str">
        <f>IFERROR(__xludf.DUMMYFUNCTION("""COMPUTED_VALUE"""),"")</f>
        <v/>
      </c>
      <c r="P294" s="4" t="str">
        <f>IFERROR(__xludf.DUMMYFUNCTION("""COMPUTED_VALUE"""),"")</f>
        <v/>
      </c>
      <c r="Q294" s="4" t="str">
        <f>IFERROR(__xludf.DUMMYFUNCTION("""COMPUTED_VALUE"""),"")</f>
        <v/>
      </c>
      <c r="R294" s="4" t="str">
        <f>IFERROR(__xludf.DUMMYFUNCTION("""COMPUTED_VALUE"""),"")</f>
        <v/>
      </c>
    </row>
    <row r="295">
      <c r="A295" s="4" t="str">
        <f>IFERROR(__xludf.DUMMYFUNCTION("""COMPUTED_VALUE"""),"325 - Channel 5")</f>
        <v>325 - Channel 5</v>
      </c>
      <c r="B295" s="4" t="str">
        <f>IFERROR(__xludf.DUMMYFUNCTION("""COMPUTED_VALUE"""),"")</f>
        <v/>
      </c>
      <c r="C295" s="4" t="str">
        <f>IFERROR(__xludf.DUMMYFUNCTION("""COMPUTED_VALUE"""),"")</f>
        <v/>
      </c>
      <c r="D295" s="4" t="str">
        <f>IFERROR(__xludf.DUMMYFUNCTION("""COMPUTED_VALUE"""),"")</f>
        <v/>
      </c>
      <c r="E295" s="4" t="str">
        <f>IFERROR(__xludf.DUMMYFUNCTION("""COMPUTED_VALUE"""),"")</f>
        <v/>
      </c>
      <c r="F295" s="4" t="str">
        <f>IFERROR(__xludf.DUMMYFUNCTION("""COMPUTED_VALUE"""),"")</f>
        <v/>
      </c>
      <c r="G295" s="4" t="str">
        <f>IFERROR(__xludf.DUMMYFUNCTION("""COMPUTED_VALUE"""),"")</f>
        <v/>
      </c>
      <c r="H295" s="4" t="str">
        <f>IFERROR(__xludf.DUMMYFUNCTION("""COMPUTED_VALUE"""),"")</f>
        <v/>
      </c>
      <c r="I295" s="4" t="str">
        <f>IFERROR(__xludf.DUMMYFUNCTION("""COMPUTED_VALUE"""),"")</f>
        <v/>
      </c>
      <c r="J295" s="4" t="str">
        <f>IFERROR(__xludf.DUMMYFUNCTION("""COMPUTED_VALUE"""),"")</f>
        <v/>
      </c>
      <c r="K295" s="4" t="str">
        <f>IFERROR(__xludf.DUMMYFUNCTION("""COMPUTED_VALUE"""),"")</f>
        <v/>
      </c>
      <c r="L295" s="4" t="str">
        <f>IFERROR(__xludf.DUMMYFUNCTION("""COMPUTED_VALUE"""),"")</f>
        <v/>
      </c>
      <c r="M295" s="4" t="str">
        <f>IFERROR(__xludf.DUMMYFUNCTION("""COMPUTED_VALUE"""),"")</f>
        <v/>
      </c>
      <c r="N295" s="4" t="str">
        <f>IFERROR(__xludf.DUMMYFUNCTION("""COMPUTED_VALUE"""),"")</f>
        <v/>
      </c>
      <c r="O295" s="4" t="str">
        <f>IFERROR(__xludf.DUMMYFUNCTION("""COMPUTED_VALUE"""),"")</f>
        <v/>
      </c>
      <c r="P295" s="4" t="str">
        <f>IFERROR(__xludf.DUMMYFUNCTION("""COMPUTED_VALUE"""),"")</f>
        <v/>
      </c>
      <c r="Q295" s="4" t="str">
        <f>IFERROR(__xludf.DUMMYFUNCTION("""COMPUTED_VALUE"""),"")</f>
        <v/>
      </c>
      <c r="R295" s="4" t="str">
        <f>IFERROR(__xludf.DUMMYFUNCTION("""COMPUTED_VALUE"""),"")</f>
        <v/>
      </c>
    </row>
    <row r="296">
      <c r="A296" s="4" t="str">
        <f>IFERROR(__xludf.DUMMYFUNCTION("""COMPUTED_VALUE"""),"326 - Channel 5")</f>
        <v>326 - Channel 5</v>
      </c>
      <c r="B296" s="4" t="str">
        <f>IFERROR(__xludf.DUMMYFUNCTION("""COMPUTED_VALUE"""),"")</f>
        <v/>
      </c>
      <c r="C296" s="4" t="str">
        <f>IFERROR(__xludf.DUMMYFUNCTION("""COMPUTED_VALUE"""),"")</f>
        <v/>
      </c>
      <c r="D296" s="4" t="str">
        <f>IFERROR(__xludf.DUMMYFUNCTION("""COMPUTED_VALUE"""),"")</f>
        <v/>
      </c>
      <c r="E296" s="4" t="str">
        <f>IFERROR(__xludf.DUMMYFUNCTION("""COMPUTED_VALUE"""),"")</f>
        <v/>
      </c>
      <c r="F296" s="4" t="str">
        <f>IFERROR(__xludf.DUMMYFUNCTION("""COMPUTED_VALUE"""),"")</f>
        <v/>
      </c>
      <c r="G296" s="4" t="str">
        <f>IFERROR(__xludf.DUMMYFUNCTION("""COMPUTED_VALUE"""),"")</f>
        <v/>
      </c>
      <c r="H296" s="4" t="str">
        <f>IFERROR(__xludf.DUMMYFUNCTION("""COMPUTED_VALUE"""),"")</f>
        <v/>
      </c>
      <c r="I296" s="4" t="str">
        <f>IFERROR(__xludf.DUMMYFUNCTION("""COMPUTED_VALUE"""),"")</f>
        <v/>
      </c>
      <c r="J296" s="4" t="str">
        <f>IFERROR(__xludf.DUMMYFUNCTION("""COMPUTED_VALUE"""),"")</f>
        <v/>
      </c>
      <c r="K296" s="4" t="str">
        <f>IFERROR(__xludf.DUMMYFUNCTION("""COMPUTED_VALUE"""),"")</f>
        <v/>
      </c>
      <c r="L296" s="4" t="str">
        <f>IFERROR(__xludf.DUMMYFUNCTION("""COMPUTED_VALUE"""),"")</f>
        <v/>
      </c>
      <c r="M296" s="4" t="str">
        <f>IFERROR(__xludf.DUMMYFUNCTION("""COMPUTED_VALUE"""),"")</f>
        <v/>
      </c>
      <c r="N296" s="4" t="str">
        <f>IFERROR(__xludf.DUMMYFUNCTION("""COMPUTED_VALUE"""),"")</f>
        <v/>
      </c>
      <c r="O296" s="4" t="str">
        <f>IFERROR(__xludf.DUMMYFUNCTION("""COMPUTED_VALUE"""),"")</f>
        <v/>
      </c>
      <c r="P296" s="4" t="str">
        <f>IFERROR(__xludf.DUMMYFUNCTION("""COMPUTED_VALUE"""),"")</f>
        <v/>
      </c>
      <c r="Q296" s="4" t="str">
        <f>IFERROR(__xludf.DUMMYFUNCTION("""COMPUTED_VALUE"""),"")</f>
        <v/>
      </c>
      <c r="R296" s="4" t="str">
        <f>IFERROR(__xludf.DUMMYFUNCTION("""COMPUTED_VALUE"""),"")</f>
        <v/>
      </c>
    </row>
    <row r="297">
      <c r="A297" s="4" t="str">
        <f>IFERROR(__xludf.DUMMYFUNCTION("""COMPUTED_VALUE"""),"327 - Channel 5")</f>
        <v>327 - Channel 5</v>
      </c>
      <c r="B297" s="4" t="str">
        <f>IFERROR(__xludf.DUMMYFUNCTION("""COMPUTED_VALUE"""),"")</f>
        <v/>
      </c>
      <c r="C297" s="4" t="str">
        <f>IFERROR(__xludf.DUMMYFUNCTION("""COMPUTED_VALUE"""),"")</f>
        <v/>
      </c>
      <c r="D297" s="4" t="str">
        <f>IFERROR(__xludf.DUMMYFUNCTION("""COMPUTED_VALUE"""),"")</f>
        <v/>
      </c>
      <c r="E297" s="4" t="str">
        <f>IFERROR(__xludf.DUMMYFUNCTION("""COMPUTED_VALUE"""),"")</f>
        <v/>
      </c>
      <c r="F297" s="4" t="str">
        <f>IFERROR(__xludf.DUMMYFUNCTION("""COMPUTED_VALUE"""),"")</f>
        <v/>
      </c>
      <c r="G297" s="4" t="str">
        <f>IFERROR(__xludf.DUMMYFUNCTION("""COMPUTED_VALUE"""),"")</f>
        <v/>
      </c>
      <c r="H297" s="4" t="str">
        <f>IFERROR(__xludf.DUMMYFUNCTION("""COMPUTED_VALUE"""),"")</f>
        <v/>
      </c>
      <c r="I297" s="4" t="str">
        <f>IFERROR(__xludf.DUMMYFUNCTION("""COMPUTED_VALUE"""),"")</f>
        <v/>
      </c>
      <c r="J297" s="4" t="str">
        <f>IFERROR(__xludf.DUMMYFUNCTION("""COMPUTED_VALUE"""),"")</f>
        <v/>
      </c>
      <c r="K297" s="4" t="str">
        <f>IFERROR(__xludf.DUMMYFUNCTION("""COMPUTED_VALUE"""),"")</f>
        <v/>
      </c>
      <c r="L297" s="4" t="str">
        <f>IFERROR(__xludf.DUMMYFUNCTION("""COMPUTED_VALUE"""),"")</f>
        <v/>
      </c>
      <c r="M297" s="4" t="str">
        <f>IFERROR(__xludf.DUMMYFUNCTION("""COMPUTED_VALUE"""),"")</f>
        <v/>
      </c>
      <c r="N297" s="4" t="str">
        <f>IFERROR(__xludf.DUMMYFUNCTION("""COMPUTED_VALUE"""),"")</f>
        <v/>
      </c>
      <c r="O297" s="4" t="str">
        <f>IFERROR(__xludf.DUMMYFUNCTION("""COMPUTED_VALUE"""),"")</f>
        <v/>
      </c>
      <c r="P297" s="4" t="str">
        <f>IFERROR(__xludf.DUMMYFUNCTION("""COMPUTED_VALUE"""),"")</f>
        <v/>
      </c>
      <c r="Q297" s="4" t="str">
        <f>IFERROR(__xludf.DUMMYFUNCTION("""COMPUTED_VALUE"""),"")</f>
        <v/>
      </c>
      <c r="R297" s="4" t="str">
        <f>IFERROR(__xludf.DUMMYFUNCTION("""COMPUTED_VALUE"""),"")</f>
        <v/>
      </c>
    </row>
    <row r="298">
      <c r="A298" s="4" t="str">
        <f>IFERROR(__xludf.DUMMYFUNCTION("""COMPUTED_VALUE"""),"328 - Channel 5")</f>
        <v>328 - Channel 5</v>
      </c>
      <c r="B298" s="4" t="str">
        <f>IFERROR(__xludf.DUMMYFUNCTION("""COMPUTED_VALUE"""),"")</f>
        <v/>
      </c>
      <c r="C298" s="4" t="str">
        <f>IFERROR(__xludf.DUMMYFUNCTION("""COMPUTED_VALUE"""),"")</f>
        <v/>
      </c>
      <c r="D298" s="4" t="str">
        <f>IFERROR(__xludf.DUMMYFUNCTION("""COMPUTED_VALUE"""),"")</f>
        <v/>
      </c>
      <c r="E298" s="4" t="str">
        <f>IFERROR(__xludf.DUMMYFUNCTION("""COMPUTED_VALUE"""),"")</f>
        <v/>
      </c>
      <c r="F298" s="4" t="str">
        <f>IFERROR(__xludf.DUMMYFUNCTION("""COMPUTED_VALUE"""),"")</f>
        <v/>
      </c>
      <c r="G298" s="4" t="str">
        <f>IFERROR(__xludf.DUMMYFUNCTION("""COMPUTED_VALUE"""),"")</f>
        <v/>
      </c>
      <c r="H298" s="4" t="str">
        <f>IFERROR(__xludf.DUMMYFUNCTION("""COMPUTED_VALUE"""),"")</f>
        <v/>
      </c>
      <c r="I298" s="4" t="str">
        <f>IFERROR(__xludf.DUMMYFUNCTION("""COMPUTED_VALUE"""),"")</f>
        <v/>
      </c>
      <c r="J298" s="4" t="str">
        <f>IFERROR(__xludf.DUMMYFUNCTION("""COMPUTED_VALUE"""),"")</f>
        <v/>
      </c>
      <c r="K298" s="4" t="str">
        <f>IFERROR(__xludf.DUMMYFUNCTION("""COMPUTED_VALUE"""),"")</f>
        <v/>
      </c>
      <c r="L298" s="4" t="str">
        <f>IFERROR(__xludf.DUMMYFUNCTION("""COMPUTED_VALUE"""),"")</f>
        <v/>
      </c>
      <c r="M298" s="4" t="str">
        <f>IFERROR(__xludf.DUMMYFUNCTION("""COMPUTED_VALUE"""),"")</f>
        <v/>
      </c>
      <c r="N298" s="4" t="str">
        <f>IFERROR(__xludf.DUMMYFUNCTION("""COMPUTED_VALUE"""),"")</f>
        <v/>
      </c>
      <c r="O298" s="4" t="str">
        <f>IFERROR(__xludf.DUMMYFUNCTION("""COMPUTED_VALUE"""),"")</f>
        <v/>
      </c>
      <c r="P298" s="4" t="str">
        <f>IFERROR(__xludf.DUMMYFUNCTION("""COMPUTED_VALUE"""),"")</f>
        <v/>
      </c>
      <c r="Q298" s="4" t="str">
        <f>IFERROR(__xludf.DUMMYFUNCTION("""COMPUTED_VALUE"""),"")</f>
        <v/>
      </c>
      <c r="R298" s="4" t="str">
        <f>IFERROR(__xludf.DUMMYFUNCTION("""COMPUTED_VALUE"""),"")</f>
        <v/>
      </c>
    </row>
    <row r="299">
      <c r="A299" s="4" t="str">
        <f>IFERROR(__xludf.DUMMYFUNCTION("""COMPUTED_VALUE"""),"329 - Channel 5")</f>
        <v>329 - Channel 5</v>
      </c>
      <c r="B299" s="4" t="str">
        <f>IFERROR(__xludf.DUMMYFUNCTION("""COMPUTED_VALUE"""),"")</f>
        <v/>
      </c>
      <c r="C299" s="4" t="str">
        <f>IFERROR(__xludf.DUMMYFUNCTION("""COMPUTED_VALUE"""),"")</f>
        <v/>
      </c>
      <c r="D299" s="4" t="str">
        <f>IFERROR(__xludf.DUMMYFUNCTION("""COMPUTED_VALUE"""),"")</f>
        <v/>
      </c>
      <c r="E299" s="4" t="str">
        <f>IFERROR(__xludf.DUMMYFUNCTION("""COMPUTED_VALUE"""),"")</f>
        <v/>
      </c>
      <c r="F299" s="4" t="str">
        <f>IFERROR(__xludf.DUMMYFUNCTION("""COMPUTED_VALUE"""),"")</f>
        <v/>
      </c>
      <c r="G299" s="4" t="str">
        <f>IFERROR(__xludf.DUMMYFUNCTION("""COMPUTED_VALUE"""),"")</f>
        <v/>
      </c>
      <c r="H299" s="4" t="str">
        <f>IFERROR(__xludf.DUMMYFUNCTION("""COMPUTED_VALUE"""),"")</f>
        <v/>
      </c>
      <c r="I299" s="4" t="str">
        <f>IFERROR(__xludf.DUMMYFUNCTION("""COMPUTED_VALUE"""),"")</f>
        <v/>
      </c>
      <c r="J299" s="4" t="str">
        <f>IFERROR(__xludf.DUMMYFUNCTION("""COMPUTED_VALUE"""),"")</f>
        <v/>
      </c>
      <c r="K299" s="4" t="str">
        <f>IFERROR(__xludf.DUMMYFUNCTION("""COMPUTED_VALUE"""),"")</f>
        <v/>
      </c>
      <c r="L299" s="4" t="str">
        <f>IFERROR(__xludf.DUMMYFUNCTION("""COMPUTED_VALUE"""),"")</f>
        <v/>
      </c>
      <c r="M299" s="4" t="str">
        <f>IFERROR(__xludf.DUMMYFUNCTION("""COMPUTED_VALUE"""),"")</f>
        <v/>
      </c>
      <c r="N299" s="4" t="str">
        <f>IFERROR(__xludf.DUMMYFUNCTION("""COMPUTED_VALUE"""),"")</f>
        <v/>
      </c>
      <c r="O299" s="4" t="str">
        <f>IFERROR(__xludf.DUMMYFUNCTION("""COMPUTED_VALUE"""),"")</f>
        <v/>
      </c>
      <c r="P299" s="4" t="str">
        <f>IFERROR(__xludf.DUMMYFUNCTION("""COMPUTED_VALUE"""),"")</f>
        <v/>
      </c>
      <c r="Q299" s="4" t="str">
        <f>IFERROR(__xludf.DUMMYFUNCTION("""COMPUTED_VALUE"""),"")</f>
        <v/>
      </c>
      <c r="R299" s="4" t="str">
        <f>IFERROR(__xludf.DUMMYFUNCTION("""COMPUTED_VALUE"""),"")</f>
        <v/>
      </c>
    </row>
    <row r="300">
      <c r="A300" s="4" t="str">
        <f>IFERROR(__xludf.DUMMYFUNCTION("""COMPUTED_VALUE"""),"330 - Channel 5")</f>
        <v>330 - Channel 5</v>
      </c>
      <c r="B300" s="4" t="str">
        <f>IFERROR(__xludf.DUMMYFUNCTION("""COMPUTED_VALUE"""),"")</f>
        <v/>
      </c>
      <c r="C300" s="4" t="str">
        <f>IFERROR(__xludf.DUMMYFUNCTION("""COMPUTED_VALUE"""),"")</f>
        <v/>
      </c>
      <c r="D300" s="4" t="str">
        <f>IFERROR(__xludf.DUMMYFUNCTION("""COMPUTED_VALUE"""),"")</f>
        <v/>
      </c>
      <c r="E300" s="4" t="str">
        <f>IFERROR(__xludf.DUMMYFUNCTION("""COMPUTED_VALUE"""),"")</f>
        <v/>
      </c>
      <c r="F300" s="4" t="str">
        <f>IFERROR(__xludf.DUMMYFUNCTION("""COMPUTED_VALUE"""),"")</f>
        <v/>
      </c>
      <c r="G300" s="4" t="str">
        <f>IFERROR(__xludf.DUMMYFUNCTION("""COMPUTED_VALUE"""),"")</f>
        <v/>
      </c>
      <c r="H300" s="4" t="str">
        <f>IFERROR(__xludf.DUMMYFUNCTION("""COMPUTED_VALUE"""),"")</f>
        <v/>
      </c>
      <c r="I300" s="4" t="str">
        <f>IFERROR(__xludf.DUMMYFUNCTION("""COMPUTED_VALUE"""),"")</f>
        <v/>
      </c>
      <c r="J300" s="4" t="str">
        <f>IFERROR(__xludf.DUMMYFUNCTION("""COMPUTED_VALUE"""),"")</f>
        <v/>
      </c>
      <c r="K300" s="4" t="str">
        <f>IFERROR(__xludf.DUMMYFUNCTION("""COMPUTED_VALUE"""),"")</f>
        <v/>
      </c>
      <c r="L300" s="4" t="str">
        <f>IFERROR(__xludf.DUMMYFUNCTION("""COMPUTED_VALUE"""),"")</f>
        <v/>
      </c>
      <c r="M300" s="4" t="str">
        <f>IFERROR(__xludf.DUMMYFUNCTION("""COMPUTED_VALUE"""),"")</f>
        <v/>
      </c>
      <c r="N300" s="4" t="str">
        <f>IFERROR(__xludf.DUMMYFUNCTION("""COMPUTED_VALUE"""),"")</f>
        <v/>
      </c>
      <c r="O300" s="4" t="str">
        <f>IFERROR(__xludf.DUMMYFUNCTION("""COMPUTED_VALUE"""),"")</f>
        <v/>
      </c>
      <c r="P300" s="4" t="str">
        <f>IFERROR(__xludf.DUMMYFUNCTION("""COMPUTED_VALUE"""),"")</f>
        <v/>
      </c>
      <c r="Q300" s="4" t="str">
        <f>IFERROR(__xludf.DUMMYFUNCTION("""COMPUTED_VALUE"""),"")</f>
        <v/>
      </c>
      <c r="R300" s="4" t="str">
        <f>IFERROR(__xludf.DUMMYFUNCTION("""COMPUTED_VALUE"""),"")</f>
        <v/>
      </c>
    </row>
    <row r="301">
      <c r="A301" s="4" t="str">
        <f>IFERROR(__xludf.DUMMYFUNCTION("""COMPUTED_VALUE"""),"331 - Channel 5")</f>
        <v>331 - Channel 5</v>
      </c>
      <c r="B301" s="4" t="str">
        <f>IFERROR(__xludf.DUMMYFUNCTION("""COMPUTED_VALUE"""),"")</f>
        <v/>
      </c>
      <c r="C301" s="4" t="str">
        <f>IFERROR(__xludf.DUMMYFUNCTION("""COMPUTED_VALUE"""),"")</f>
        <v/>
      </c>
      <c r="D301" s="4" t="str">
        <f>IFERROR(__xludf.DUMMYFUNCTION("""COMPUTED_VALUE"""),"")</f>
        <v/>
      </c>
      <c r="E301" s="4" t="str">
        <f>IFERROR(__xludf.DUMMYFUNCTION("""COMPUTED_VALUE"""),"")</f>
        <v/>
      </c>
      <c r="F301" s="4" t="str">
        <f>IFERROR(__xludf.DUMMYFUNCTION("""COMPUTED_VALUE"""),"")</f>
        <v/>
      </c>
      <c r="G301" s="4" t="str">
        <f>IFERROR(__xludf.DUMMYFUNCTION("""COMPUTED_VALUE"""),"")</f>
        <v/>
      </c>
      <c r="H301" s="4" t="str">
        <f>IFERROR(__xludf.DUMMYFUNCTION("""COMPUTED_VALUE"""),"")</f>
        <v/>
      </c>
      <c r="I301" s="4" t="str">
        <f>IFERROR(__xludf.DUMMYFUNCTION("""COMPUTED_VALUE"""),"")</f>
        <v/>
      </c>
      <c r="J301" s="4" t="str">
        <f>IFERROR(__xludf.DUMMYFUNCTION("""COMPUTED_VALUE"""),"")</f>
        <v/>
      </c>
      <c r="K301" s="4" t="str">
        <f>IFERROR(__xludf.DUMMYFUNCTION("""COMPUTED_VALUE"""),"")</f>
        <v/>
      </c>
      <c r="L301" s="4" t="str">
        <f>IFERROR(__xludf.DUMMYFUNCTION("""COMPUTED_VALUE"""),"")</f>
        <v/>
      </c>
      <c r="M301" s="4" t="str">
        <f>IFERROR(__xludf.DUMMYFUNCTION("""COMPUTED_VALUE"""),"")</f>
        <v/>
      </c>
      <c r="N301" s="4" t="str">
        <f>IFERROR(__xludf.DUMMYFUNCTION("""COMPUTED_VALUE"""),"")</f>
        <v/>
      </c>
      <c r="O301" s="4" t="str">
        <f>IFERROR(__xludf.DUMMYFUNCTION("""COMPUTED_VALUE"""),"")</f>
        <v/>
      </c>
      <c r="P301" s="4" t="str">
        <f>IFERROR(__xludf.DUMMYFUNCTION("""COMPUTED_VALUE"""),"")</f>
        <v/>
      </c>
      <c r="Q301" s="4" t="str">
        <f>IFERROR(__xludf.DUMMYFUNCTION("""COMPUTED_VALUE"""),"")</f>
        <v/>
      </c>
      <c r="R301" s="4" t="str">
        <f>IFERROR(__xludf.DUMMYFUNCTION("""COMPUTED_VALUE"""),"")</f>
        <v/>
      </c>
    </row>
    <row r="302">
      <c r="A302" s="4" t="str">
        <f>IFERROR(__xludf.DUMMYFUNCTION("""COMPUTED_VALUE"""),"332 - Channel 5")</f>
        <v>332 - Channel 5</v>
      </c>
      <c r="B302" s="4" t="str">
        <f>IFERROR(__xludf.DUMMYFUNCTION("""COMPUTED_VALUE"""),"")</f>
        <v/>
      </c>
      <c r="C302" s="4" t="str">
        <f>IFERROR(__xludf.DUMMYFUNCTION("""COMPUTED_VALUE"""),"")</f>
        <v/>
      </c>
      <c r="D302" s="4" t="str">
        <f>IFERROR(__xludf.DUMMYFUNCTION("""COMPUTED_VALUE"""),"")</f>
        <v/>
      </c>
      <c r="E302" s="4" t="str">
        <f>IFERROR(__xludf.DUMMYFUNCTION("""COMPUTED_VALUE"""),"")</f>
        <v/>
      </c>
      <c r="F302" s="4" t="str">
        <f>IFERROR(__xludf.DUMMYFUNCTION("""COMPUTED_VALUE"""),"")</f>
        <v/>
      </c>
      <c r="G302" s="4" t="str">
        <f>IFERROR(__xludf.DUMMYFUNCTION("""COMPUTED_VALUE"""),"")</f>
        <v/>
      </c>
      <c r="H302" s="4" t="str">
        <f>IFERROR(__xludf.DUMMYFUNCTION("""COMPUTED_VALUE"""),"")</f>
        <v/>
      </c>
      <c r="I302" s="4" t="str">
        <f>IFERROR(__xludf.DUMMYFUNCTION("""COMPUTED_VALUE"""),"")</f>
        <v/>
      </c>
      <c r="J302" s="4" t="str">
        <f>IFERROR(__xludf.DUMMYFUNCTION("""COMPUTED_VALUE"""),"")</f>
        <v/>
      </c>
      <c r="K302" s="4" t="str">
        <f>IFERROR(__xludf.DUMMYFUNCTION("""COMPUTED_VALUE"""),"")</f>
        <v/>
      </c>
      <c r="L302" s="4" t="str">
        <f>IFERROR(__xludf.DUMMYFUNCTION("""COMPUTED_VALUE"""),"")</f>
        <v/>
      </c>
      <c r="M302" s="4" t="str">
        <f>IFERROR(__xludf.DUMMYFUNCTION("""COMPUTED_VALUE"""),"")</f>
        <v/>
      </c>
      <c r="N302" s="4" t="str">
        <f>IFERROR(__xludf.DUMMYFUNCTION("""COMPUTED_VALUE"""),"")</f>
        <v/>
      </c>
      <c r="O302" s="4" t="str">
        <f>IFERROR(__xludf.DUMMYFUNCTION("""COMPUTED_VALUE"""),"")</f>
        <v/>
      </c>
      <c r="P302" s="4" t="str">
        <f>IFERROR(__xludf.DUMMYFUNCTION("""COMPUTED_VALUE"""),"")</f>
        <v/>
      </c>
      <c r="Q302" s="4" t="str">
        <f>IFERROR(__xludf.DUMMYFUNCTION("""COMPUTED_VALUE"""),"")</f>
        <v/>
      </c>
      <c r="R302" s="4" t="str">
        <f>IFERROR(__xludf.DUMMYFUNCTION("""COMPUTED_VALUE"""),"")</f>
        <v/>
      </c>
    </row>
    <row r="303">
      <c r="A303" s="4" t="str">
        <f>IFERROR(__xludf.DUMMYFUNCTION("""COMPUTED_VALUE"""),"333 - Channel 5")</f>
        <v>333 - Channel 5</v>
      </c>
      <c r="B303" s="4" t="str">
        <f>IFERROR(__xludf.DUMMYFUNCTION("""COMPUTED_VALUE"""),"")</f>
        <v/>
      </c>
      <c r="C303" s="4" t="str">
        <f>IFERROR(__xludf.DUMMYFUNCTION("""COMPUTED_VALUE"""),"")</f>
        <v/>
      </c>
      <c r="D303" s="4" t="str">
        <f>IFERROR(__xludf.DUMMYFUNCTION("""COMPUTED_VALUE"""),"")</f>
        <v/>
      </c>
      <c r="E303" s="4" t="str">
        <f>IFERROR(__xludf.DUMMYFUNCTION("""COMPUTED_VALUE"""),"")</f>
        <v/>
      </c>
      <c r="F303" s="4" t="str">
        <f>IFERROR(__xludf.DUMMYFUNCTION("""COMPUTED_VALUE"""),"")</f>
        <v/>
      </c>
      <c r="G303" s="4" t="str">
        <f>IFERROR(__xludf.DUMMYFUNCTION("""COMPUTED_VALUE"""),"")</f>
        <v/>
      </c>
      <c r="H303" s="4" t="str">
        <f>IFERROR(__xludf.DUMMYFUNCTION("""COMPUTED_VALUE"""),"")</f>
        <v/>
      </c>
      <c r="I303" s="4" t="str">
        <f>IFERROR(__xludf.DUMMYFUNCTION("""COMPUTED_VALUE"""),"")</f>
        <v/>
      </c>
      <c r="J303" s="4" t="str">
        <f>IFERROR(__xludf.DUMMYFUNCTION("""COMPUTED_VALUE"""),"")</f>
        <v/>
      </c>
      <c r="K303" s="4" t="str">
        <f>IFERROR(__xludf.DUMMYFUNCTION("""COMPUTED_VALUE"""),"")</f>
        <v/>
      </c>
      <c r="L303" s="4" t="str">
        <f>IFERROR(__xludf.DUMMYFUNCTION("""COMPUTED_VALUE"""),"")</f>
        <v/>
      </c>
      <c r="M303" s="4" t="str">
        <f>IFERROR(__xludf.DUMMYFUNCTION("""COMPUTED_VALUE"""),"")</f>
        <v/>
      </c>
      <c r="N303" s="4" t="str">
        <f>IFERROR(__xludf.DUMMYFUNCTION("""COMPUTED_VALUE"""),"")</f>
        <v/>
      </c>
      <c r="O303" s="4" t="str">
        <f>IFERROR(__xludf.DUMMYFUNCTION("""COMPUTED_VALUE"""),"")</f>
        <v/>
      </c>
      <c r="P303" s="4" t="str">
        <f>IFERROR(__xludf.DUMMYFUNCTION("""COMPUTED_VALUE"""),"")</f>
        <v/>
      </c>
      <c r="Q303" s="4" t="str">
        <f>IFERROR(__xludf.DUMMYFUNCTION("""COMPUTED_VALUE"""),"")</f>
        <v/>
      </c>
      <c r="R303" s="4" t="str">
        <f>IFERROR(__xludf.DUMMYFUNCTION("""COMPUTED_VALUE"""),"")</f>
        <v/>
      </c>
    </row>
    <row r="304">
      <c r="A304" s="4" t="str">
        <f>IFERROR(__xludf.DUMMYFUNCTION("""COMPUTED_VALUE"""),"334 - Channel 5")</f>
        <v>334 - Channel 5</v>
      </c>
      <c r="B304" s="4" t="str">
        <f>IFERROR(__xludf.DUMMYFUNCTION("""COMPUTED_VALUE"""),"")</f>
        <v/>
      </c>
      <c r="C304" s="4" t="str">
        <f>IFERROR(__xludf.DUMMYFUNCTION("""COMPUTED_VALUE"""),"")</f>
        <v/>
      </c>
      <c r="D304" s="4" t="str">
        <f>IFERROR(__xludf.DUMMYFUNCTION("""COMPUTED_VALUE"""),"")</f>
        <v/>
      </c>
      <c r="E304" s="4" t="str">
        <f>IFERROR(__xludf.DUMMYFUNCTION("""COMPUTED_VALUE"""),"")</f>
        <v/>
      </c>
      <c r="F304" s="4" t="str">
        <f>IFERROR(__xludf.DUMMYFUNCTION("""COMPUTED_VALUE"""),"")</f>
        <v/>
      </c>
      <c r="G304" s="4" t="str">
        <f>IFERROR(__xludf.DUMMYFUNCTION("""COMPUTED_VALUE"""),"")</f>
        <v/>
      </c>
      <c r="H304" s="4" t="str">
        <f>IFERROR(__xludf.DUMMYFUNCTION("""COMPUTED_VALUE"""),"")</f>
        <v/>
      </c>
      <c r="I304" s="4" t="str">
        <f>IFERROR(__xludf.DUMMYFUNCTION("""COMPUTED_VALUE"""),"")</f>
        <v/>
      </c>
      <c r="J304" s="4" t="str">
        <f>IFERROR(__xludf.DUMMYFUNCTION("""COMPUTED_VALUE"""),"")</f>
        <v/>
      </c>
      <c r="K304" s="4" t="str">
        <f>IFERROR(__xludf.DUMMYFUNCTION("""COMPUTED_VALUE"""),"")</f>
        <v/>
      </c>
      <c r="L304" s="4" t="str">
        <f>IFERROR(__xludf.DUMMYFUNCTION("""COMPUTED_VALUE"""),"")</f>
        <v/>
      </c>
      <c r="M304" s="4" t="str">
        <f>IFERROR(__xludf.DUMMYFUNCTION("""COMPUTED_VALUE"""),"")</f>
        <v/>
      </c>
      <c r="N304" s="4" t="str">
        <f>IFERROR(__xludf.DUMMYFUNCTION("""COMPUTED_VALUE"""),"")</f>
        <v/>
      </c>
      <c r="O304" s="4" t="str">
        <f>IFERROR(__xludf.DUMMYFUNCTION("""COMPUTED_VALUE"""),"")</f>
        <v/>
      </c>
      <c r="P304" s="4" t="str">
        <f>IFERROR(__xludf.DUMMYFUNCTION("""COMPUTED_VALUE"""),"")</f>
        <v/>
      </c>
      <c r="Q304" s="4" t="str">
        <f>IFERROR(__xludf.DUMMYFUNCTION("""COMPUTED_VALUE"""),"")</f>
        <v/>
      </c>
      <c r="R304" s="4" t="str">
        <f>IFERROR(__xludf.DUMMYFUNCTION("""COMPUTED_VALUE"""),"")</f>
        <v/>
      </c>
    </row>
    <row r="305">
      <c r="A305" s="4" t="str">
        <f>IFERROR(__xludf.DUMMYFUNCTION("""COMPUTED_VALUE"""),"335 - Channel 5")</f>
        <v>335 - Channel 5</v>
      </c>
      <c r="B305" s="4" t="str">
        <f>IFERROR(__xludf.DUMMYFUNCTION("""COMPUTED_VALUE"""),"")</f>
        <v/>
      </c>
      <c r="C305" s="4" t="str">
        <f>IFERROR(__xludf.DUMMYFUNCTION("""COMPUTED_VALUE"""),"")</f>
        <v/>
      </c>
      <c r="D305" s="4" t="str">
        <f>IFERROR(__xludf.DUMMYFUNCTION("""COMPUTED_VALUE"""),"")</f>
        <v/>
      </c>
      <c r="E305" s="4" t="str">
        <f>IFERROR(__xludf.DUMMYFUNCTION("""COMPUTED_VALUE"""),"")</f>
        <v/>
      </c>
      <c r="F305" s="4" t="str">
        <f>IFERROR(__xludf.DUMMYFUNCTION("""COMPUTED_VALUE"""),"")</f>
        <v/>
      </c>
      <c r="G305" s="4" t="str">
        <f>IFERROR(__xludf.DUMMYFUNCTION("""COMPUTED_VALUE"""),"")</f>
        <v/>
      </c>
      <c r="H305" s="4" t="str">
        <f>IFERROR(__xludf.DUMMYFUNCTION("""COMPUTED_VALUE"""),"")</f>
        <v/>
      </c>
      <c r="I305" s="4" t="str">
        <f>IFERROR(__xludf.DUMMYFUNCTION("""COMPUTED_VALUE"""),"")</f>
        <v/>
      </c>
      <c r="J305" s="4" t="str">
        <f>IFERROR(__xludf.DUMMYFUNCTION("""COMPUTED_VALUE"""),"")</f>
        <v/>
      </c>
      <c r="K305" s="4" t="str">
        <f>IFERROR(__xludf.DUMMYFUNCTION("""COMPUTED_VALUE"""),"")</f>
        <v/>
      </c>
      <c r="L305" s="4" t="str">
        <f>IFERROR(__xludf.DUMMYFUNCTION("""COMPUTED_VALUE"""),"")</f>
        <v/>
      </c>
      <c r="M305" s="4" t="str">
        <f>IFERROR(__xludf.DUMMYFUNCTION("""COMPUTED_VALUE"""),"")</f>
        <v/>
      </c>
      <c r="N305" s="4" t="str">
        <f>IFERROR(__xludf.DUMMYFUNCTION("""COMPUTED_VALUE"""),"")</f>
        <v/>
      </c>
      <c r="O305" s="4" t="str">
        <f>IFERROR(__xludf.DUMMYFUNCTION("""COMPUTED_VALUE"""),"")</f>
        <v/>
      </c>
      <c r="P305" s="4" t="str">
        <f>IFERROR(__xludf.DUMMYFUNCTION("""COMPUTED_VALUE"""),"")</f>
        <v/>
      </c>
      <c r="Q305" s="4" t="str">
        <f>IFERROR(__xludf.DUMMYFUNCTION("""COMPUTED_VALUE"""),"")</f>
        <v/>
      </c>
      <c r="R305" s="4" t="str">
        <f>IFERROR(__xludf.DUMMYFUNCTION("""COMPUTED_VALUE"""),"")</f>
        <v/>
      </c>
    </row>
    <row r="306">
      <c r="A306" s="4" t="str">
        <f>IFERROR(__xludf.DUMMYFUNCTION("""COMPUTED_VALUE"""),"336 - Channel 5")</f>
        <v>336 - Channel 5</v>
      </c>
      <c r="B306" s="4" t="str">
        <f>IFERROR(__xludf.DUMMYFUNCTION("""COMPUTED_VALUE"""),"")</f>
        <v/>
      </c>
      <c r="C306" s="4" t="str">
        <f>IFERROR(__xludf.DUMMYFUNCTION("""COMPUTED_VALUE"""),"")</f>
        <v/>
      </c>
      <c r="D306" s="4" t="str">
        <f>IFERROR(__xludf.DUMMYFUNCTION("""COMPUTED_VALUE"""),"")</f>
        <v/>
      </c>
      <c r="E306" s="4" t="str">
        <f>IFERROR(__xludf.DUMMYFUNCTION("""COMPUTED_VALUE"""),"")</f>
        <v/>
      </c>
      <c r="F306" s="4" t="str">
        <f>IFERROR(__xludf.DUMMYFUNCTION("""COMPUTED_VALUE"""),"")</f>
        <v/>
      </c>
      <c r="G306" s="4" t="str">
        <f>IFERROR(__xludf.DUMMYFUNCTION("""COMPUTED_VALUE"""),"")</f>
        <v/>
      </c>
      <c r="H306" s="4" t="str">
        <f>IFERROR(__xludf.DUMMYFUNCTION("""COMPUTED_VALUE"""),"")</f>
        <v/>
      </c>
      <c r="I306" s="4" t="str">
        <f>IFERROR(__xludf.DUMMYFUNCTION("""COMPUTED_VALUE"""),"")</f>
        <v/>
      </c>
      <c r="J306" s="4" t="str">
        <f>IFERROR(__xludf.DUMMYFUNCTION("""COMPUTED_VALUE"""),"")</f>
        <v/>
      </c>
      <c r="K306" s="4" t="str">
        <f>IFERROR(__xludf.DUMMYFUNCTION("""COMPUTED_VALUE"""),"")</f>
        <v/>
      </c>
      <c r="L306" s="4" t="str">
        <f>IFERROR(__xludf.DUMMYFUNCTION("""COMPUTED_VALUE"""),"")</f>
        <v/>
      </c>
      <c r="M306" s="4" t="str">
        <f>IFERROR(__xludf.DUMMYFUNCTION("""COMPUTED_VALUE"""),"")</f>
        <v/>
      </c>
      <c r="N306" s="4" t="str">
        <f>IFERROR(__xludf.DUMMYFUNCTION("""COMPUTED_VALUE"""),"")</f>
        <v/>
      </c>
      <c r="O306" s="4" t="str">
        <f>IFERROR(__xludf.DUMMYFUNCTION("""COMPUTED_VALUE"""),"")</f>
        <v/>
      </c>
      <c r="P306" s="4" t="str">
        <f>IFERROR(__xludf.DUMMYFUNCTION("""COMPUTED_VALUE"""),"")</f>
        <v/>
      </c>
      <c r="Q306" s="4" t="str">
        <f>IFERROR(__xludf.DUMMYFUNCTION("""COMPUTED_VALUE"""),"")</f>
        <v/>
      </c>
      <c r="R306" s="4" t="str">
        <f>IFERROR(__xludf.DUMMYFUNCTION("""COMPUTED_VALUE"""),"")</f>
        <v/>
      </c>
    </row>
    <row r="307">
      <c r="A307" s="4" t="str">
        <f>IFERROR(__xludf.DUMMYFUNCTION("""COMPUTED_VALUE"""),"185 - Channel 5")</f>
        <v>185 - Channel 5</v>
      </c>
      <c r="B307" s="4" t="str">
        <f>IFERROR(__xludf.DUMMYFUNCTION("""COMPUTED_VALUE"""),"")</f>
        <v/>
      </c>
      <c r="C307" s="4" t="str">
        <f>IFERROR(__xludf.DUMMYFUNCTION("""COMPUTED_VALUE"""),"")</f>
        <v/>
      </c>
      <c r="D307" s="4" t="str">
        <f>IFERROR(__xludf.DUMMYFUNCTION("""COMPUTED_VALUE"""),"")</f>
        <v/>
      </c>
      <c r="E307" s="4" t="str">
        <f>IFERROR(__xludf.DUMMYFUNCTION("""COMPUTED_VALUE"""),"")</f>
        <v/>
      </c>
      <c r="F307" s="4" t="str">
        <f>IFERROR(__xludf.DUMMYFUNCTION("""COMPUTED_VALUE"""),"")</f>
        <v/>
      </c>
      <c r="G307" s="4" t="str">
        <f>IFERROR(__xludf.DUMMYFUNCTION("""COMPUTED_VALUE"""),"")</f>
        <v/>
      </c>
      <c r="H307" s="4" t="str">
        <f>IFERROR(__xludf.DUMMYFUNCTION("""COMPUTED_VALUE"""),"")</f>
        <v/>
      </c>
      <c r="I307" s="4" t="str">
        <f>IFERROR(__xludf.DUMMYFUNCTION("""COMPUTED_VALUE"""),"")</f>
        <v/>
      </c>
      <c r="J307" s="4" t="str">
        <f>IFERROR(__xludf.DUMMYFUNCTION("""COMPUTED_VALUE"""),"")</f>
        <v/>
      </c>
      <c r="K307" s="4" t="str">
        <f>IFERROR(__xludf.DUMMYFUNCTION("""COMPUTED_VALUE"""),"")</f>
        <v/>
      </c>
      <c r="L307" s="4" t="str">
        <f>IFERROR(__xludf.DUMMYFUNCTION("""COMPUTED_VALUE"""),"")</f>
        <v/>
      </c>
      <c r="M307" s="4" t="str">
        <f>IFERROR(__xludf.DUMMYFUNCTION("""COMPUTED_VALUE"""),"")</f>
        <v/>
      </c>
      <c r="N307" s="4" t="str">
        <f>IFERROR(__xludf.DUMMYFUNCTION("""COMPUTED_VALUE"""),"")</f>
        <v/>
      </c>
      <c r="O307" s="4" t="str">
        <f>IFERROR(__xludf.DUMMYFUNCTION("""COMPUTED_VALUE"""),"")</f>
        <v/>
      </c>
      <c r="P307" s="4" t="str">
        <f>IFERROR(__xludf.DUMMYFUNCTION("""COMPUTED_VALUE"""),"")</f>
        <v/>
      </c>
      <c r="Q307" s="4" t="str">
        <f>IFERROR(__xludf.DUMMYFUNCTION("""COMPUTED_VALUE"""),"")</f>
        <v/>
      </c>
      <c r="R307" s="4" t="str">
        <f>IFERROR(__xludf.DUMMYFUNCTION("""COMPUTED_VALUE"""),"")</f>
        <v/>
      </c>
    </row>
    <row r="308">
      <c r="A308" s="4" t="str">
        <f>IFERROR(__xludf.DUMMYFUNCTION("""COMPUTED_VALUE"""),"186 - Channel 5")</f>
        <v>186 - Channel 5</v>
      </c>
      <c r="B308" s="4" t="str">
        <f>IFERROR(__xludf.DUMMYFUNCTION("""COMPUTED_VALUE"""),"")</f>
        <v/>
      </c>
      <c r="C308" s="4" t="str">
        <f>IFERROR(__xludf.DUMMYFUNCTION("""COMPUTED_VALUE"""),"")</f>
        <v/>
      </c>
      <c r="D308" s="4" t="str">
        <f>IFERROR(__xludf.DUMMYFUNCTION("""COMPUTED_VALUE"""),"")</f>
        <v/>
      </c>
      <c r="E308" s="4" t="str">
        <f>IFERROR(__xludf.DUMMYFUNCTION("""COMPUTED_VALUE"""),"")</f>
        <v/>
      </c>
      <c r="F308" s="4" t="str">
        <f>IFERROR(__xludf.DUMMYFUNCTION("""COMPUTED_VALUE"""),"")</f>
        <v/>
      </c>
      <c r="G308" s="4" t="str">
        <f>IFERROR(__xludf.DUMMYFUNCTION("""COMPUTED_VALUE"""),"")</f>
        <v/>
      </c>
      <c r="H308" s="4" t="str">
        <f>IFERROR(__xludf.DUMMYFUNCTION("""COMPUTED_VALUE"""),"")</f>
        <v/>
      </c>
      <c r="I308" s="4" t="str">
        <f>IFERROR(__xludf.DUMMYFUNCTION("""COMPUTED_VALUE"""),"")</f>
        <v/>
      </c>
      <c r="J308" s="4" t="str">
        <f>IFERROR(__xludf.DUMMYFUNCTION("""COMPUTED_VALUE"""),"")</f>
        <v/>
      </c>
      <c r="K308" s="4" t="str">
        <f>IFERROR(__xludf.DUMMYFUNCTION("""COMPUTED_VALUE"""),"")</f>
        <v/>
      </c>
      <c r="L308" s="4" t="str">
        <f>IFERROR(__xludf.DUMMYFUNCTION("""COMPUTED_VALUE"""),"")</f>
        <v/>
      </c>
      <c r="M308" s="4" t="str">
        <f>IFERROR(__xludf.DUMMYFUNCTION("""COMPUTED_VALUE"""),"")</f>
        <v/>
      </c>
      <c r="N308" s="4" t="str">
        <f>IFERROR(__xludf.DUMMYFUNCTION("""COMPUTED_VALUE"""),"")</f>
        <v/>
      </c>
      <c r="O308" s="4" t="str">
        <f>IFERROR(__xludf.DUMMYFUNCTION("""COMPUTED_VALUE"""),"")</f>
        <v/>
      </c>
      <c r="P308" s="4" t="str">
        <f>IFERROR(__xludf.DUMMYFUNCTION("""COMPUTED_VALUE"""),"")</f>
        <v/>
      </c>
      <c r="Q308" s="4" t="str">
        <f>IFERROR(__xludf.DUMMYFUNCTION("""COMPUTED_VALUE"""),"")</f>
        <v/>
      </c>
      <c r="R308" s="4" t="str">
        <f>IFERROR(__xludf.DUMMYFUNCTION("""COMPUTED_VALUE"""),"")</f>
        <v/>
      </c>
    </row>
    <row r="309">
      <c r="A309" s="4" t="str">
        <f>IFERROR(__xludf.DUMMYFUNCTION("""COMPUTED_VALUE"""),"187 - Channel 5")</f>
        <v>187 - Channel 5</v>
      </c>
      <c r="B309" s="4" t="str">
        <f>IFERROR(__xludf.DUMMYFUNCTION("""COMPUTED_VALUE"""),"")</f>
        <v/>
      </c>
      <c r="C309" s="4" t="str">
        <f>IFERROR(__xludf.DUMMYFUNCTION("""COMPUTED_VALUE"""),"")</f>
        <v/>
      </c>
      <c r="D309" s="4" t="str">
        <f>IFERROR(__xludf.DUMMYFUNCTION("""COMPUTED_VALUE"""),"")</f>
        <v/>
      </c>
      <c r="E309" s="4" t="str">
        <f>IFERROR(__xludf.DUMMYFUNCTION("""COMPUTED_VALUE"""),"")</f>
        <v/>
      </c>
      <c r="F309" s="4" t="str">
        <f>IFERROR(__xludf.DUMMYFUNCTION("""COMPUTED_VALUE"""),"")</f>
        <v/>
      </c>
      <c r="G309" s="4" t="str">
        <f>IFERROR(__xludf.DUMMYFUNCTION("""COMPUTED_VALUE"""),"")</f>
        <v/>
      </c>
      <c r="H309" s="4" t="str">
        <f>IFERROR(__xludf.DUMMYFUNCTION("""COMPUTED_VALUE"""),"")</f>
        <v/>
      </c>
      <c r="I309" s="4" t="str">
        <f>IFERROR(__xludf.DUMMYFUNCTION("""COMPUTED_VALUE"""),"")</f>
        <v/>
      </c>
      <c r="J309" s="4" t="str">
        <f>IFERROR(__xludf.DUMMYFUNCTION("""COMPUTED_VALUE"""),"")</f>
        <v/>
      </c>
      <c r="K309" s="4" t="str">
        <f>IFERROR(__xludf.DUMMYFUNCTION("""COMPUTED_VALUE"""),"")</f>
        <v/>
      </c>
      <c r="L309" s="4" t="str">
        <f>IFERROR(__xludf.DUMMYFUNCTION("""COMPUTED_VALUE"""),"")</f>
        <v/>
      </c>
      <c r="M309" s="4" t="str">
        <f>IFERROR(__xludf.DUMMYFUNCTION("""COMPUTED_VALUE"""),"")</f>
        <v/>
      </c>
      <c r="N309" s="4" t="str">
        <f>IFERROR(__xludf.DUMMYFUNCTION("""COMPUTED_VALUE"""),"")</f>
        <v/>
      </c>
      <c r="O309" s="4" t="str">
        <f>IFERROR(__xludf.DUMMYFUNCTION("""COMPUTED_VALUE"""),"")</f>
        <v/>
      </c>
      <c r="P309" s="4" t="str">
        <f>IFERROR(__xludf.DUMMYFUNCTION("""COMPUTED_VALUE"""),"")</f>
        <v/>
      </c>
      <c r="Q309" s="4" t="str">
        <f>IFERROR(__xludf.DUMMYFUNCTION("""COMPUTED_VALUE"""),"")</f>
        <v/>
      </c>
      <c r="R309" s="4" t="str">
        <f>IFERROR(__xludf.DUMMYFUNCTION("""COMPUTED_VALUE"""),"")</f>
        <v/>
      </c>
    </row>
    <row r="310">
      <c r="A310" s="4" t="str">
        <f>IFERROR(__xludf.DUMMYFUNCTION("""COMPUTED_VALUE"""),"188 - Channel 5")</f>
        <v>188 - Channel 5</v>
      </c>
      <c r="B310" s="4" t="str">
        <f>IFERROR(__xludf.DUMMYFUNCTION("""COMPUTED_VALUE"""),"")</f>
        <v/>
      </c>
      <c r="C310" s="4" t="str">
        <f>IFERROR(__xludf.DUMMYFUNCTION("""COMPUTED_VALUE"""),"")</f>
        <v/>
      </c>
      <c r="D310" s="4" t="str">
        <f>IFERROR(__xludf.DUMMYFUNCTION("""COMPUTED_VALUE"""),"")</f>
        <v/>
      </c>
      <c r="E310" s="4" t="str">
        <f>IFERROR(__xludf.DUMMYFUNCTION("""COMPUTED_VALUE"""),"")</f>
        <v/>
      </c>
      <c r="F310" s="4" t="str">
        <f>IFERROR(__xludf.DUMMYFUNCTION("""COMPUTED_VALUE"""),"")</f>
        <v/>
      </c>
      <c r="G310" s="4" t="str">
        <f>IFERROR(__xludf.DUMMYFUNCTION("""COMPUTED_VALUE"""),"")</f>
        <v/>
      </c>
      <c r="H310" s="4" t="str">
        <f>IFERROR(__xludf.DUMMYFUNCTION("""COMPUTED_VALUE"""),"")</f>
        <v/>
      </c>
      <c r="I310" s="4" t="str">
        <f>IFERROR(__xludf.DUMMYFUNCTION("""COMPUTED_VALUE"""),"")</f>
        <v/>
      </c>
      <c r="J310" s="4" t="str">
        <f>IFERROR(__xludf.DUMMYFUNCTION("""COMPUTED_VALUE"""),"")</f>
        <v/>
      </c>
      <c r="K310" s="4" t="str">
        <f>IFERROR(__xludf.DUMMYFUNCTION("""COMPUTED_VALUE"""),"")</f>
        <v/>
      </c>
      <c r="L310" s="4" t="str">
        <f>IFERROR(__xludf.DUMMYFUNCTION("""COMPUTED_VALUE"""),"")</f>
        <v/>
      </c>
      <c r="M310" s="4" t="str">
        <f>IFERROR(__xludf.DUMMYFUNCTION("""COMPUTED_VALUE"""),"")</f>
        <v/>
      </c>
      <c r="N310" s="4" t="str">
        <f>IFERROR(__xludf.DUMMYFUNCTION("""COMPUTED_VALUE"""),"")</f>
        <v/>
      </c>
      <c r="O310" s="4" t="str">
        <f>IFERROR(__xludf.DUMMYFUNCTION("""COMPUTED_VALUE"""),"")</f>
        <v/>
      </c>
      <c r="P310" s="4" t="str">
        <f>IFERROR(__xludf.DUMMYFUNCTION("""COMPUTED_VALUE"""),"")</f>
        <v/>
      </c>
      <c r="Q310" s="4" t="str">
        <f>IFERROR(__xludf.DUMMYFUNCTION("""COMPUTED_VALUE"""),"")</f>
        <v/>
      </c>
      <c r="R310" s="4" t="str">
        <f>IFERROR(__xludf.DUMMYFUNCTION("""COMPUTED_VALUE"""),"")</f>
        <v/>
      </c>
    </row>
    <row r="311">
      <c r="A311" s="4" t="str">
        <f>IFERROR(__xludf.DUMMYFUNCTION("""COMPUTED_VALUE"""),"189 - Channel 5")</f>
        <v>189 - Channel 5</v>
      </c>
      <c r="B311" s="4" t="str">
        <f>IFERROR(__xludf.DUMMYFUNCTION("""COMPUTED_VALUE"""),"")</f>
        <v/>
      </c>
      <c r="C311" s="4" t="str">
        <f>IFERROR(__xludf.DUMMYFUNCTION("""COMPUTED_VALUE"""),"")</f>
        <v/>
      </c>
      <c r="D311" s="4" t="str">
        <f>IFERROR(__xludf.DUMMYFUNCTION("""COMPUTED_VALUE"""),"")</f>
        <v/>
      </c>
      <c r="E311" s="4" t="str">
        <f>IFERROR(__xludf.DUMMYFUNCTION("""COMPUTED_VALUE"""),"")</f>
        <v/>
      </c>
      <c r="F311" s="4" t="str">
        <f>IFERROR(__xludf.DUMMYFUNCTION("""COMPUTED_VALUE"""),"")</f>
        <v/>
      </c>
      <c r="G311" s="4" t="str">
        <f>IFERROR(__xludf.DUMMYFUNCTION("""COMPUTED_VALUE"""),"")</f>
        <v/>
      </c>
      <c r="H311" s="4" t="str">
        <f>IFERROR(__xludf.DUMMYFUNCTION("""COMPUTED_VALUE"""),"")</f>
        <v/>
      </c>
      <c r="I311" s="4" t="str">
        <f>IFERROR(__xludf.DUMMYFUNCTION("""COMPUTED_VALUE"""),"")</f>
        <v/>
      </c>
      <c r="J311" s="4" t="str">
        <f>IFERROR(__xludf.DUMMYFUNCTION("""COMPUTED_VALUE"""),"")</f>
        <v/>
      </c>
      <c r="K311" s="4" t="str">
        <f>IFERROR(__xludf.DUMMYFUNCTION("""COMPUTED_VALUE"""),"")</f>
        <v/>
      </c>
      <c r="L311" s="4" t="str">
        <f>IFERROR(__xludf.DUMMYFUNCTION("""COMPUTED_VALUE"""),"")</f>
        <v/>
      </c>
      <c r="M311" s="4" t="str">
        <f>IFERROR(__xludf.DUMMYFUNCTION("""COMPUTED_VALUE"""),"")</f>
        <v/>
      </c>
      <c r="N311" s="4" t="str">
        <f>IFERROR(__xludf.DUMMYFUNCTION("""COMPUTED_VALUE"""),"")</f>
        <v/>
      </c>
      <c r="O311" s="4" t="str">
        <f>IFERROR(__xludf.DUMMYFUNCTION("""COMPUTED_VALUE"""),"")</f>
        <v/>
      </c>
      <c r="P311" s="4" t="str">
        <f>IFERROR(__xludf.DUMMYFUNCTION("""COMPUTED_VALUE"""),"")</f>
        <v/>
      </c>
      <c r="Q311" s="4" t="str">
        <f>IFERROR(__xludf.DUMMYFUNCTION("""COMPUTED_VALUE"""),"")</f>
        <v/>
      </c>
      <c r="R311" s="4" t="str">
        <f>IFERROR(__xludf.DUMMYFUNCTION("""COMPUTED_VALUE"""),"")</f>
        <v/>
      </c>
    </row>
    <row r="312">
      <c r="A312" s="4" t="str">
        <f>IFERROR(__xludf.DUMMYFUNCTION("""COMPUTED_VALUE"""),"190 - Channel 5")</f>
        <v>190 - Channel 5</v>
      </c>
      <c r="B312" s="4" t="str">
        <f>IFERROR(__xludf.DUMMYFUNCTION("""COMPUTED_VALUE"""),"")</f>
        <v/>
      </c>
      <c r="C312" s="4" t="str">
        <f>IFERROR(__xludf.DUMMYFUNCTION("""COMPUTED_VALUE"""),"")</f>
        <v/>
      </c>
      <c r="D312" s="4" t="str">
        <f>IFERROR(__xludf.DUMMYFUNCTION("""COMPUTED_VALUE"""),"")</f>
        <v/>
      </c>
      <c r="E312" s="4" t="str">
        <f>IFERROR(__xludf.DUMMYFUNCTION("""COMPUTED_VALUE"""),"")</f>
        <v/>
      </c>
      <c r="F312" s="4" t="str">
        <f>IFERROR(__xludf.DUMMYFUNCTION("""COMPUTED_VALUE"""),"")</f>
        <v/>
      </c>
      <c r="G312" s="4" t="str">
        <f>IFERROR(__xludf.DUMMYFUNCTION("""COMPUTED_VALUE"""),"")</f>
        <v/>
      </c>
      <c r="H312" s="4" t="str">
        <f>IFERROR(__xludf.DUMMYFUNCTION("""COMPUTED_VALUE"""),"")</f>
        <v/>
      </c>
      <c r="I312" s="4" t="str">
        <f>IFERROR(__xludf.DUMMYFUNCTION("""COMPUTED_VALUE"""),"")</f>
        <v/>
      </c>
      <c r="J312" s="4" t="str">
        <f>IFERROR(__xludf.DUMMYFUNCTION("""COMPUTED_VALUE"""),"")</f>
        <v/>
      </c>
      <c r="K312" s="4" t="str">
        <f>IFERROR(__xludf.DUMMYFUNCTION("""COMPUTED_VALUE"""),"")</f>
        <v/>
      </c>
      <c r="L312" s="4" t="str">
        <f>IFERROR(__xludf.DUMMYFUNCTION("""COMPUTED_VALUE"""),"")</f>
        <v/>
      </c>
      <c r="M312" s="4" t="str">
        <f>IFERROR(__xludf.DUMMYFUNCTION("""COMPUTED_VALUE"""),"")</f>
        <v/>
      </c>
      <c r="N312" s="4" t="str">
        <f>IFERROR(__xludf.DUMMYFUNCTION("""COMPUTED_VALUE"""),"")</f>
        <v/>
      </c>
      <c r="O312" s="4" t="str">
        <f>IFERROR(__xludf.DUMMYFUNCTION("""COMPUTED_VALUE"""),"")</f>
        <v/>
      </c>
      <c r="P312" s="4" t="str">
        <f>IFERROR(__xludf.DUMMYFUNCTION("""COMPUTED_VALUE"""),"")</f>
        <v/>
      </c>
      <c r="Q312" s="4" t="str">
        <f>IFERROR(__xludf.DUMMYFUNCTION("""COMPUTED_VALUE"""),"")</f>
        <v/>
      </c>
      <c r="R312" s="4" t="str">
        <f>IFERROR(__xludf.DUMMYFUNCTION("""COMPUTED_VALUE"""),"")</f>
        <v/>
      </c>
    </row>
    <row r="313">
      <c r="A313" s="4" t="str">
        <f>IFERROR(__xludf.DUMMYFUNCTION("""COMPUTED_VALUE"""),"191 - Channel 5")</f>
        <v>191 - Channel 5</v>
      </c>
      <c r="B313" s="4" t="str">
        <f>IFERROR(__xludf.DUMMYFUNCTION("""COMPUTED_VALUE"""),"")</f>
        <v/>
      </c>
      <c r="C313" s="4" t="str">
        <f>IFERROR(__xludf.DUMMYFUNCTION("""COMPUTED_VALUE"""),"")</f>
        <v/>
      </c>
      <c r="D313" s="4" t="str">
        <f>IFERROR(__xludf.DUMMYFUNCTION("""COMPUTED_VALUE"""),"")</f>
        <v/>
      </c>
      <c r="E313" s="4" t="str">
        <f>IFERROR(__xludf.DUMMYFUNCTION("""COMPUTED_VALUE"""),"")</f>
        <v/>
      </c>
      <c r="F313" s="4" t="str">
        <f>IFERROR(__xludf.DUMMYFUNCTION("""COMPUTED_VALUE"""),"")</f>
        <v/>
      </c>
      <c r="G313" s="4" t="str">
        <f>IFERROR(__xludf.DUMMYFUNCTION("""COMPUTED_VALUE"""),"")</f>
        <v/>
      </c>
      <c r="H313" s="4" t="str">
        <f>IFERROR(__xludf.DUMMYFUNCTION("""COMPUTED_VALUE"""),"")</f>
        <v/>
      </c>
      <c r="I313" s="4" t="str">
        <f>IFERROR(__xludf.DUMMYFUNCTION("""COMPUTED_VALUE"""),"")</f>
        <v/>
      </c>
      <c r="J313" s="4" t="str">
        <f>IFERROR(__xludf.DUMMYFUNCTION("""COMPUTED_VALUE"""),"")</f>
        <v/>
      </c>
      <c r="K313" s="4" t="str">
        <f>IFERROR(__xludf.DUMMYFUNCTION("""COMPUTED_VALUE"""),"")</f>
        <v/>
      </c>
      <c r="L313" s="4" t="str">
        <f>IFERROR(__xludf.DUMMYFUNCTION("""COMPUTED_VALUE"""),"")</f>
        <v/>
      </c>
      <c r="M313" s="4" t="str">
        <f>IFERROR(__xludf.DUMMYFUNCTION("""COMPUTED_VALUE"""),"")</f>
        <v/>
      </c>
      <c r="N313" s="4" t="str">
        <f>IFERROR(__xludf.DUMMYFUNCTION("""COMPUTED_VALUE"""),"")</f>
        <v/>
      </c>
      <c r="O313" s="4" t="str">
        <f>IFERROR(__xludf.DUMMYFUNCTION("""COMPUTED_VALUE"""),"")</f>
        <v/>
      </c>
      <c r="P313" s="4" t="str">
        <f>IFERROR(__xludf.DUMMYFUNCTION("""COMPUTED_VALUE"""),"")</f>
        <v/>
      </c>
      <c r="Q313" s="4" t="str">
        <f>IFERROR(__xludf.DUMMYFUNCTION("""COMPUTED_VALUE"""),"")</f>
        <v/>
      </c>
      <c r="R313" s="4" t="str">
        <f>IFERROR(__xludf.DUMMYFUNCTION("""COMPUTED_VALUE"""),"")</f>
        <v/>
      </c>
    </row>
    <row r="314">
      <c r="A314" s="4" t="str">
        <f>IFERROR(__xludf.DUMMYFUNCTION("""COMPUTED_VALUE"""),"192 - Channel 5")</f>
        <v>192 - Channel 5</v>
      </c>
      <c r="B314" s="4" t="str">
        <f>IFERROR(__xludf.DUMMYFUNCTION("""COMPUTED_VALUE"""),"")</f>
        <v/>
      </c>
      <c r="C314" s="4" t="str">
        <f>IFERROR(__xludf.DUMMYFUNCTION("""COMPUTED_VALUE"""),"")</f>
        <v/>
      </c>
      <c r="D314" s="4" t="str">
        <f>IFERROR(__xludf.DUMMYFUNCTION("""COMPUTED_VALUE"""),"")</f>
        <v/>
      </c>
      <c r="E314" s="4" t="str">
        <f>IFERROR(__xludf.DUMMYFUNCTION("""COMPUTED_VALUE"""),"")</f>
        <v/>
      </c>
      <c r="F314" s="4" t="str">
        <f>IFERROR(__xludf.DUMMYFUNCTION("""COMPUTED_VALUE"""),"")</f>
        <v/>
      </c>
      <c r="G314" s="4" t="str">
        <f>IFERROR(__xludf.DUMMYFUNCTION("""COMPUTED_VALUE"""),"")</f>
        <v/>
      </c>
      <c r="H314" s="4" t="str">
        <f>IFERROR(__xludf.DUMMYFUNCTION("""COMPUTED_VALUE"""),"")</f>
        <v/>
      </c>
      <c r="I314" s="4" t="str">
        <f>IFERROR(__xludf.DUMMYFUNCTION("""COMPUTED_VALUE"""),"")</f>
        <v/>
      </c>
      <c r="J314" s="4" t="str">
        <f>IFERROR(__xludf.DUMMYFUNCTION("""COMPUTED_VALUE"""),"")</f>
        <v/>
      </c>
      <c r="K314" s="4" t="str">
        <f>IFERROR(__xludf.DUMMYFUNCTION("""COMPUTED_VALUE"""),"")</f>
        <v/>
      </c>
      <c r="L314" s="4" t="str">
        <f>IFERROR(__xludf.DUMMYFUNCTION("""COMPUTED_VALUE"""),"")</f>
        <v/>
      </c>
      <c r="M314" s="4" t="str">
        <f>IFERROR(__xludf.DUMMYFUNCTION("""COMPUTED_VALUE"""),"")</f>
        <v/>
      </c>
      <c r="N314" s="4" t="str">
        <f>IFERROR(__xludf.DUMMYFUNCTION("""COMPUTED_VALUE"""),"")</f>
        <v/>
      </c>
      <c r="O314" s="4" t="str">
        <f>IFERROR(__xludf.DUMMYFUNCTION("""COMPUTED_VALUE"""),"")</f>
        <v/>
      </c>
      <c r="P314" s="4" t="str">
        <f>IFERROR(__xludf.DUMMYFUNCTION("""COMPUTED_VALUE"""),"")</f>
        <v/>
      </c>
      <c r="Q314" s="4" t="str">
        <f>IFERROR(__xludf.DUMMYFUNCTION("""COMPUTED_VALUE"""),"")</f>
        <v/>
      </c>
      <c r="R314" s="4" t="str">
        <f>IFERROR(__xludf.DUMMYFUNCTION("""COMPUTED_VALUE"""),"")</f>
        <v/>
      </c>
    </row>
    <row r="315">
      <c r="A315" s="4" t="str">
        <f>IFERROR(__xludf.DUMMYFUNCTION("""COMPUTED_VALUE"""),"193 - Channel 5")</f>
        <v>193 - Channel 5</v>
      </c>
      <c r="B315" s="4" t="str">
        <f>IFERROR(__xludf.DUMMYFUNCTION("""COMPUTED_VALUE"""),"")</f>
        <v/>
      </c>
      <c r="C315" s="4" t="str">
        <f>IFERROR(__xludf.DUMMYFUNCTION("""COMPUTED_VALUE"""),"")</f>
        <v/>
      </c>
      <c r="D315" s="4" t="str">
        <f>IFERROR(__xludf.DUMMYFUNCTION("""COMPUTED_VALUE"""),"")</f>
        <v/>
      </c>
      <c r="E315" s="4" t="str">
        <f>IFERROR(__xludf.DUMMYFUNCTION("""COMPUTED_VALUE"""),"")</f>
        <v/>
      </c>
      <c r="F315" s="4" t="str">
        <f>IFERROR(__xludf.DUMMYFUNCTION("""COMPUTED_VALUE"""),"")</f>
        <v/>
      </c>
      <c r="G315" s="4" t="str">
        <f>IFERROR(__xludf.DUMMYFUNCTION("""COMPUTED_VALUE"""),"")</f>
        <v/>
      </c>
      <c r="H315" s="4" t="str">
        <f>IFERROR(__xludf.DUMMYFUNCTION("""COMPUTED_VALUE"""),"")</f>
        <v/>
      </c>
      <c r="I315" s="4" t="str">
        <f>IFERROR(__xludf.DUMMYFUNCTION("""COMPUTED_VALUE"""),"")</f>
        <v/>
      </c>
      <c r="J315" s="4" t="str">
        <f>IFERROR(__xludf.DUMMYFUNCTION("""COMPUTED_VALUE"""),"")</f>
        <v/>
      </c>
      <c r="K315" s="4" t="str">
        <f>IFERROR(__xludf.DUMMYFUNCTION("""COMPUTED_VALUE"""),"")</f>
        <v/>
      </c>
      <c r="L315" s="4" t="str">
        <f>IFERROR(__xludf.DUMMYFUNCTION("""COMPUTED_VALUE"""),"")</f>
        <v/>
      </c>
      <c r="M315" s="4" t="str">
        <f>IFERROR(__xludf.DUMMYFUNCTION("""COMPUTED_VALUE"""),"")</f>
        <v/>
      </c>
      <c r="N315" s="4" t="str">
        <f>IFERROR(__xludf.DUMMYFUNCTION("""COMPUTED_VALUE"""),"")</f>
        <v/>
      </c>
      <c r="O315" s="4" t="str">
        <f>IFERROR(__xludf.DUMMYFUNCTION("""COMPUTED_VALUE"""),"")</f>
        <v/>
      </c>
      <c r="P315" s="4" t="str">
        <f>IFERROR(__xludf.DUMMYFUNCTION("""COMPUTED_VALUE"""),"")</f>
        <v/>
      </c>
      <c r="Q315" s="4" t="str">
        <f>IFERROR(__xludf.DUMMYFUNCTION("""COMPUTED_VALUE"""),"")</f>
        <v/>
      </c>
      <c r="R315" s="4" t="str">
        <f>IFERROR(__xludf.DUMMYFUNCTION("""COMPUTED_VALUE"""),"")</f>
        <v/>
      </c>
    </row>
    <row r="316">
      <c r="A316" s="4" t="str">
        <f>IFERROR(__xludf.DUMMYFUNCTION("""COMPUTED_VALUE"""),"194 - Channel 5")</f>
        <v>194 - Channel 5</v>
      </c>
      <c r="B316" s="4" t="str">
        <f>IFERROR(__xludf.DUMMYFUNCTION("""COMPUTED_VALUE"""),"")</f>
        <v/>
      </c>
      <c r="C316" s="4" t="str">
        <f>IFERROR(__xludf.DUMMYFUNCTION("""COMPUTED_VALUE"""),"")</f>
        <v/>
      </c>
      <c r="D316" s="4" t="str">
        <f>IFERROR(__xludf.DUMMYFUNCTION("""COMPUTED_VALUE"""),"")</f>
        <v/>
      </c>
      <c r="E316" s="4" t="str">
        <f>IFERROR(__xludf.DUMMYFUNCTION("""COMPUTED_VALUE"""),"")</f>
        <v/>
      </c>
      <c r="F316" s="4" t="str">
        <f>IFERROR(__xludf.DUMMYFUNCTION("""COMPUTED_VALUE"""),"")</f>
        <v/>
      </c>
      <c r="G316" s="4" t="str">
        <f>IFERROR(__xludf.DUMMYFUNCTION("""COMPUTED_VALUE"""),"")</f>
        <v/>
      </c>
      <c r="H316" s="4" t="str">
        <f>IFERROR(__xludf.DUMMYFUNCTION("""COMPUTED_VALUE"""),"")</f>
        <v/>
      </c>
      <c r="I316" s="4" t="str">
        <f>IFERROR(__xludf.DUMMYFUNCTION("""COMPUTED_VALUE"""),"")</f>
        <v/>
      </c>
      <c r="J316" s="4" t="str">
        <f>IFERROR(__xludf.DUMMYFUNCTION("""COMPUTED_VALUE"""),"")</f>
        <v/>
      </c>
      <c r="K316" s="4" t="str">
        <f>IFERROR(__xludf.DUMMYFUNCTION("""COMPUTED_VALUE"""),"")</f>
        <v/>
      </c>
      <c r="L316" s="4" t="str">
        <f>IFERROR(__xludf.DUMMYFUNCTION("""COMPUTED_VALUE"""),"")</f>
        <v/>
      </c>
      <c r="M316" s="4" t="str">
        <f>IFERROR(__xludf.DUMMYFUNCTION("""COMPUTED_VALUE"""),"")</f>
        <v/>
      </c>
      <c r="N316" s="4" t="str">
        <f>IFERROR(__xludf.DUMMYFUNCTION("""COMPUTED_VALUE"""),"")</f>
        <v/>
      </c>
      <c r="O316" s="4" t="str">
        <f>IFERROR(__xludf.DUMMYFUNCTION("""COMPUTED_VALUE"""),"")</f>
        <v/>
      </c>
      <c r="P316" s="4" t="str">
        <f>IFERROR(__xludf.DUMMYFUNCTION("""COMPUTED_VALUE"""),"")</f>
        <v/>
      </c>
      <c r="Q316" s="4" t="str">
        <f>IFERROR(__xludf.DUMMYFUNCTION("""COMPUTED_VALUE"""),"")</f>
        <v/>
      </c>
      <c r="R316" s="4" t="str">
        <f>IFERROR(__xludf.DUMMYFUNCTION("""COMPUTED_VALUE"""),"")</f>
        <v/>
      </c>
    </row>
    <row r="317">
      <c r="A317" s="4" t="str">
        <f>IFERROR(__xludf.DUMMYFUNCTION("""COMPUTED_VALUE"""),"195 - Channel 5")</f>
        <v>195 - Channel 5</v>
      </c>
      <c r="B317" s="4" t="str">
        <f>IFERROR(__xludf.DUMMYFUNCTION("""COMPUTED_VALUE"""),"")</f>
        <v/>
      </c>
      <c r="C317" s="4" t="str">
        <f>IFERROR(__xludf.DUMMYFUNCTION("""COMPUTED_VALUE"""),"")</f>
        <v/>
      </c>
      <c r="D317" s="4" t="str">
        <f>IFERROR(__xludf.DUMMYFUNCTION("""COMPUTED_VALUE"""),"")</f>
        <v/>
      </c>
      <c r="E317" s="4" t="str">
        <f>IFERROR(__xludf.DUMMYFUNCTION("""COMPUTED_VALUE"""),"")</f>
        <v/>
      </c>
      <c r="F317" s="4" t="str">
        <f>IFERROR(__xludf.DUMMYFUNCTION("""COMPUTED_VALUE"""),"")</f>
        <v/>
      </c>
      <c r="G317" s="4" t="str">
        <f>IFERROR(__xludf.DUMMYFUNCTION("""COMPUTED_VALUE"""),"")</f>
        <v/>
      </c>
      <c r="H317" s="4" t="str">
        <f>IFERROR(__xludf.DUMMYFUNCTION("""COMPUTED_VALUE"""),"")</f>
        <v/>
      </c>
      <c r="I317" s="4" t="str">
        <f>IFERROR(__xludf.DUMMYFUNCTION("""COMPUTED_VALUE"""),"")</f>
        <v/>
      </c>
      <c r="J317" s="4" t="str">
        <f>IFERROR(__xludf.DUMMYFUNCTION("""COMPUTED_VALUE"""),"")</f>
        <v/>
      </c>
      <c r="K317" s="4" t="str">
        <f>IFERROR(__xludf.DUMMYFUNCTION("""COMPUTED_VALUE"""),"")</f>
        <v/>
      </c>
      <c r="L317" s="4" t="str">
        <f>IFERROR(__xludf.DUMMYFUNCTION("""COMPUTED_VALUE"""),"")</f>
        <v/>
      </c>
      <c r="M317" s="4" t="str">
        <f>IFERROR(__xludf.DUMMYFUNCTION("""COMPUTED_VALUE"""),"")</f>
        <v/>
      </c>
      <c r="N317" s="4" t="str">
        <f>IFERROR(__xludf.DUMMYFUNCTION("""COMPUTED_VALUE"""),"")</f>
        <v/>
      </c>
      <c r="O317" s="4" t="str">
        <f>IFERROR(__xludf.DUMMYFUNCTION("""COMPUTED_VALUE"""),"")</f>
        <v/>
      </c>
      <c r="P317" s="4" t="str">
        <f>IFERROR(__xludf.DUMMYFUNCTION("""COMPUTED_VALUE"""),"")</f>
        <v/>
      </c>
      <c r="Q317" s="4" t="str">
        <f>IFERROR(__xludf.DUMMYFUNCTION("""COMPUTED_VALUE"""),"")</f>
        <v/>
      </c>
      <c r="R317" s="4" t="str">
        <f>IFERROR(__xludf.DUMMYFUNCTION("""COMPUTED_VALUE"""),"")</f>
        <v/>
      </c>
    </row>
    <row r="318">
      <c r="A318" s="4" t="str">
        <f>IFERROR(__xludf.DUMMYFUNCTION("""COMPUTED_VALUE"""),"196 - Channel 5")</f>
        <v>196 - Channel 5</v>
      </c>
      <c r="B318" s="4" t="str">
        <f>IFERROR(__xludf.DUMMYFUNCTION("""COMPUTED_VALUE"""),"")</f>
        <v/>
      </c>
      <c r="C318" s="4" t="str">
        <f>IFERROR(__xludf.DUMMYFUNCTION("""COMPUTED_VALUE"""),"")</f>
        <v/>
      </c>
      <c r="D318" s="4" t="str">
        <f>IFERROR(__xludf.DUMMYFUNCTION("""COMPUTED_VALUE"""),"")</f>
        <v/>
      </c>
      <c r="E318" s="4" t="str">
        <f>IFERROR(__xludf.DUMMYFUNCTION("""COMPUTED_VALUE"""),"")</f>
        <v/>
      </c>
      <c r="F318" s="4" t="str">
        <f>IFERROR(__xludf.DUMMYFUNCTION("""COMPUTED_VALUE"""),"")</f>
        <v/>
      </c>
      <c r="G318" s="4" t="str">
        <f>IFERROR(__xludf.DUMMYFUNCTION("""COMPUTED_VALUE"""),"")</f>
        <v/>
      </c>
      <c r="H318" s="4" t="str">
        <f>IFERROR(__xludf.DUMMYFUNCTION("""COMPUTED_VALUE"""),"")</f>
        <v/>
      </c>
      <c r="I318" s="4" t="str">
        <f>IFERROR(__xludf.DUMMYFUNCTION("""COMPUTED_VALUE"""),"")</f>
        <v/>
      </c>
      <c r="J318" s="4" t="str">
        <f>IFERROR(__xludf.DUMMYFUNCTION("""COMPUTED_VALUE"""),"")</f>
        <v/>
      </c>
      <c r="K318" s="4" t="str">
        <f>IFERROR(__xludf.DUMMYFUNCTION("""COMPUTED_VALUE"""),"")</f>
        <v/>
      </c>
      <c r="L318" s="4" t="str">
        <f>IFERROR(__xludf.DUMMYFUNCTION("""COMPUTED_VALUE"""),"")</f>
        <v/>
      </c>
      <c r="M318" s="4" t="str">
        <f>IFERROR(__xludf.DUMMYFUNCTION("""COMPUTED_VALUE"""),"")</f>
        <v/>
      </c>
      <c r="N318" s="4" t="str">
        <f>IFERROR(__xludf.DUMMYFUNCTION("""COMPUTED_VALUE"""),"")</f>
        <v/>
      </c>
      <c r="O318" s="4" t="str">
        <f>IFERROR(__xludf.DUMMYFUNCTION("""COMPUTED_VALUE"""),"")</f>
        <v/>
      </c>
      <c r="P318" s="4" t="str">
        <f>IFERROR(__xludf.DUMMYFUNCTION("""COMPUTED_VALUE"""),"")</f>
        <v/>
      </c>
      <c r="Q318" s="4" t="str">
        <f>IFERROR(__xludf.DUMMYFUNCTION("""COMPUTED_VALUE"""),"")</f>
        <v/>
      </c>
      <c r="R318" s="4" t="str">
        <f>IFERROR(__xludf.DUMMYFUNCTION("""COMPUTED_VALUE"""),"")</f>
        <v/>
      </c>
    </row>
    <row r="319">
      <c r="A319" s="4" t="str">
        <f>IFERROR(__xludf.DUMMYFUNCTION("""COMPUTED_VALUE"""),"197 - Channel 5")</f>
        <v>197 - Channel 5</v>
      </c>
      <c r="B319" s="4" t="str">
        <f>IFERROR(__xludf.DUMMYFUNCTION("""COMPUTED_VALUE"""),"")</f>
        <v/>
      </c>
      <c r="C319" s="4" t="str">
        <f>IFERROR(__xludf.DUMMYFUNCTION("""COMPUTED_VALUE"""),"")</f>
        <v/>
      </c>
      <c r="D319" s="4" t="str">
        <f>IFERROR(__xludf.DUMMYFUNCTION("""COMPUTED_VALUE"""),"")</f>
        <v/>
      </c>
      <c r="E319" s="4" t="str">
        <f>IFERROR(__xludf.DUMMYFUNCTION("""COMPUTED_VALUE"""),"")</f>
        <v/>
      </c>
      <c r="F319" s="4" t="str">
        <f>IFERROR(__xludf.DUMMYFUNCTION("""COMPUTED_VALUE"""),"")</f>
        <v/>
      </c>
      <c r="G319" s="4" t="str">
        <f>IFERROR(__xludf.DUMMYFUNCTION("""COMPUTED_VALUE"""),"")</f>
        <v/>
      </c>
      <c r="H319" s="4" t="str">
        <f>IFERROR(__xludf.DUMMYFUNCTION("""COMPUTED_VALUE"""),"")</f>
        <v/>
      </c>
      <c r="I319" s="4" t="str">
        <f>IFERROR(__xludf.DUMMYFUNCTION("""COMPUTED_VALUE"""),"")</f>
        <v/>
      </c>
      <c r="J319" s="4" t="str">
        <f>IFERROR(__xludf.DUMMYFUNCTION("""COMPUTED_VALUE"""),"")</f>
        <v/>
      </c>
      <c r="K319" s="4" t="str">
        <f>IFERROR(__xludf.DUMMYFUNCTION("""COMPUTED_VALUE"""),"")</f>
        <v/>
      </c>
      <c r="L319" s="4" t="str">
        <f>IFERROR(__xludf.DUMMYFUNCTION("""COMPUTED_VALUE"""),"")</f>
        <v/>
      </c>
      <c r="M319" s="4" t="str">
        <f>IFERROR(__xludf.DUMMYFUNCTION("""COMPUTED_VALUE"""),"")</f>
        <v/>
      </c>
      <c r="N319" s="4" t="str">
        <f>IFERROR(__xludf.DUMMYFUNCTION("""COMPUTED_VALUE"""),"")</f>
        <v/>
      </c>
      <c r="O319" s="4" t="str">
        <f>IFERROR(__xludf.DUMMYFUNCTION("""COMPUTED_VALUE"""),"")</f>
        <v/>
      </c>
      <c r="P319" s="4" t="str">
        <f>IFERROR(__xludf.DUMMYFUNCTION("""COMPUTED_VALUE"""),"")</f>
        <v/>
      </c>
      <c r="Q319" s="4" t="str">
        <f>IFERROR(__xludf.DUMMYFUNCTION("""COMPUTED_VALUE"""),"")</f>
        <v/>
      </c>
      <c r="R319" s="4" t="str">
        <f>IFERROR(__xludf.DUMMYFUNCTION("""COMPUTED_VALUE"""),"")</f>
        <v/>
      </c>
    </row>
    <row r="320">
      <c r="A320" s="4" t="str">
        <f>IFERROR(__xludf.DUMMYFUNCTION("""COMPUTED_VALUE"""),"350 - Channel 5")</f>
        <v>350 - Channel 5</v>
      </c>
      <c r="B320" s="4" t="str">
        <f>IFERROR(__xludf.DUMMYFUNCTION("""COMPUTED_VALUE"""),"")</f>
        <v/>
      </c>
      <c r="C320" s="4" t="str">
        <f>IFERROR(__xludf.DUMMYFUNCTION("""COMPUTED_VALUE"""),"")</f>
        <v/>
      </c>
      <c r="D320" s="4" t="str">
        <f>IFERROR(__xludf.DUMMYFUNCTION("""COMPUTED_VALUE"""),"")</f>
        <v/>
      </c>
      <c r="E320" s="4" t="str">
        <f>IFERROR(__xludf.DUMMYFUNCTION("""COMPUTED_VALUE"""),"")</f>
        <v/>
      </c>
      <c r="F320" s="4" t="str">
        <f>IFERROR(__xludf.DUMMYFUNCTION("""COMPUTED_VALUE"""),"")</f>
        <v/>
      </c>
      <c r="G320" s="4" t="str">
        <f>IFERROR(__xludf.DUMMYFUNCTION("""COMPUTED_VALUE"""),"")</f>
        <v/>
      </c>
      <c r="H320" s="4" t="str">
        <f>IFERROR(__xludf.DUMMYFUNCTION("""COMPUTED_VALUE"""),"")</f>
        <v/>
      </c>
      <c r="I320" s="4" t="str">
        <f>IFERROR(__xludf.DUMMYFUNCTION("""COMPUTED_VALUE"""),"")</f>
        <v/>
      </c>
      <c r="J320" s="4" t="str">
        <f>IFERROR(__xludf.DUMMYFUNCTION("""COMPUTED_VALUE"""),"")</f>
        <v/>
      </c>
      <c r="K320" s="4" t="str">
        <f>IFERROR(__xludf.DUMMYFUNCTION("""COMPUTED_VALUE"""),"")</f>
        <v/>
      </c>
      <c r="L320" s="4" t="str">
        <f>IFERROR(__xludf.DUMMYFUNCTION("""COMPUTED_VALUE"""),"")</f>
        <v/>
      </c>
      <c r="M320" s="4" t="str">
        <f>IFERROR(__xludf.DUMMYFUNCTION("""COMPUTED_VALUE"""),"")</f>
        <v/>
      </c>
      <c r="N320" s="4" t="str">
        <f>IFERROR(__xludf.DUMMYFUNCTION("""COMPUTED_VALUE"""),"")</f>
        <v/>
      </c>
      <c r="O320" s="4" t="str">
        <f>IFERROR(__xludf.DUMMYFUNCTION("""COMPUTED_VALUE"""),"")</f>
        <v/>
      </c>
      <c r="P320" s="4" t="str">
        <f>IFERROR(__xludf.DUMMYFUNCTION("""COMPUTED_VALUE"""),"")</f>
        <v/>
      </c>
      <c r="Q320" s="4" t="str">
        <f>IFERROR(__xludf.DUMMYFUNCTION("""COMPUTED_VALUE"""),"")</f>
        <v/>
      </c>
      <c r="R320" s="4" t="str">
        <f>IFERROR(__xludf.DUMMYFUNCTION("""COMPUTED_VALUE"""),"")</f>
        <v/>
      </c>
    </row>
    <row r="321">
      <c r="A321" s="4" t="str">
        <f>IFERROR(__xludf.DUMMYFUNCTION("""COMPUTED_VALUE"""),"351 - Channel 5")</f>
        <v>351 - Channel 5</v>
      </c>
      <c r="B321" s="4" t="str">
        <f>IFERROR(__xludf.DUMMYFUNCTION("""COMPUTED_VALUE"""),"")</f>
        <v/>
      </c>
      <c r="C321" s="4" t="str">
        <f>IFERROR(__xludf.DUMMYFUNCTION("""COMPUTED_VALUE"""),"")</f>
        <v/>
      </c>
      <c r="D321" s="4" t="str">
        <f>IFERROR(__xludf.DUMMYFUNCTION("""COMPUTED_VALUE"""),"")</f>
        <v/>
      </c>
      <c r="E321" s="4" t="str">
        <f>IFERROR(__xludf.DUMMYFUNCTION("""COMPUTED_VALUE"""),"")</f>
        <v/>
      </c>
      <c r="F321" s="4" t="str">
        <f>IFERROR(__xludf.DUMMYFUNCTION("""COMPUTED_VALUE"""),"")</f>
        <v/>
      </c>
      <c r="G321" s="4" t="str">
        <f>IFERROR(__xludf.DUMMYFUNCTION("""COMPUTED_VALUE"""),"")</f>
        <v/>
      </c>
      <c r="H321" s="4" t="str">
        <f>IFERROR(__xludf.DUMMYFUNCTION("""COMPUTED_VALUE"""),"")</f>
        <v/>
      </c>
      <c r="I321" s="4" t="str">
        <f>IFERROR(__xludf.DUMMYFUNCTION("""COMPUTED_VALUE"""),"")</f>
        <v/>
      </c>
      <c r="J321" s="4" t="str">
        <f>IFERROR(__xludf.DUMMYFUNCTION("""COMPUTED_VALUE"""),"")</f>
        <v/>
      </c>
      <c r="K321" s="4" t="str">
        <f>IFERROR(__xludf.DUMMYFUNCTION("""COMPUTED_VALUE"""),"")</f>
        <v/>
      </c>
      <c r="L321" s="4" t="str">
        <f>IFERROR(__xludf.DUMMYFUNCTION("""COMPUTED_VALUE"""),"")</f>
        <v/>
      </c>
      <c r="M321" s="4" t="str">
        <f>IFERROR(__xludf.DUMMYFUNCTION("""COMPUTED_VALUE"""),"")</f>
        <v/>
      </c>
      <c r="N321" s="4" t="str">
        <f>IFERROR(__xludf.DUMMYFUNCTION("""COMPUTED_VALUE"""),"")</f>
        <v/>
      </c>
      <c r="O321" s="4" t="str">
        <f>IFERROR(__xludf.DUMMYFUNCTION("""COMPUTED_VALUE"""),"")</f>
        <v/>
      </c>
      <c r="P321" s="4" t="str">
        <f>IFERROR(__xludf.DUMMYFUNCTION("""COMPUTED_VALUE"""),"")</f>
        <v/>
      </c>
      <c r="Q321" s="4" t="str">
        <f>IFERROR(__xludf.DUMMYFUNCTION("""COMPUTED_VALUE"""),"")</f>
        <v/>
      </c>
      <c r="R321" s="4" t="str">
        <f>IFERROR(__xludf.DUMMYFUNCTION("""COMPUTED_VALUE"""),"")</f>
        <v/>
      </c>
    </row>
    <row r="322">
      <c r="A322" s="4" t="str">
        <f>IFERROR(__xludf.DUMMYFUNCTION("""COMPUTED_VALUE"""),"352 - Channel 5")</f>
        <v>352 - Channel 5</v>
      </c>
      <c r="B322" s="4" t="str">
        <f>IFERROR(__xludf.DUMMYFUNCTION("""COMPUTED_VALUE"""),"")</f>
        <v/>
      </c>
      <c r="C322" s="4" t="str">
        <f>IFERROR(__xludf.DUMMYFUNCTION("""COMPUTED_VALUE"""),"")</f>
        <v/>
      </c>
      <c r="D322" s="4" t="str">
        <f>IFERROR(__xludf.DUMMYFUNCTION("""COMPUTED_VALUE"""),"")</f>
        <v/>
      </c>
      <c r="E322" s="4" t="str">
        <f>IFERROR(__xludf.DUMMYFUNCTION("""COMPUTED_VALUE"""),"")</f>
        <v/>
      </c>
      <c r="F322" s="4" t="str">
        <f>IFERROR(__xludf.DUMMYFUNCTION("""COMPUTED_VALUE"""),"")</f>
        <v/>
      </c>
      <c r="G322" s="4" t="str">
        <f>IFERROR(__xludf.DUMMYFUNCTION("""COMPUTED_VALUE"""),"")</f>
        <v/>
      </c>
      <c r="H322" s="4" t="str">
        <f>IFERROR(__xludf.DUMMYFUNCTION("""COMPUTED_VALUE"""),"")</f>
        <v/>
      </c>
      <c r="I322" s="4" t="str">
        <f>IFERROR(__xludf.DUMMYFUNCTION("""COMPUTED_VALUE"""),"")</f>
        <v/>
      </c>
      <c r="J322" s="4" t="str">
        <f>IFERROR(__xludf.DUMMYFUNCTION("""COMPUTED_VALUE"""),"")</f>
        <v/>
      </c>
      <c r="K322" s="4" t="str">
        <f>IFERROR(__xludf.DUMMYFUNCTION("""COMPUTED_VALUE"""),"")</f>
        <v/>
      </c>
      <c r="L322" s="4" t="str">
        <f>IFERROR(__xludf.DUMMYFUNCTION("""COMPUTED_VALUE"""),"")</f>
        <v/>
      </c>
      <c r="M322" s="4" t="str">
        <f>IFERROR(__xludf.DUMMYFUNCTION("""COMPUTED_VALUE"""),"")</f>
        <v/>
      </c>
      <c r="N322" s="4" t="str">
        <f>IFERROR(__xludf.DUMMYFUNCTION("""COMPUTED_VALUE"""),"")</f>
        <v/>
      </c>
      <c r="O322" s="4" t="str">
        <f>IFERROR(__xludf.DUMMYFUNCTION("""COMPUTED_VALUE"""),"")</f>
        <v/>
      </c>
      <c r="P322" s="4" t="str">
        <f>IFERROR(__xludf.DUMMYFUNCTION("""COMPUTED_VALUE"""),"")</f>
        <v/>
      </c>
      <c r="Q322" s="4" t="str">
        <f>IFERROR(__xludf.DUMMYFUNCTION("""COMPUTED_VALUE"""),"")</f>
        <v/>
      </c>
      <c r="R322" s="4" t="str">
        <f>IFERROR(__xludf.DUMMYFUNCTION("""COMPUTED_VALUE"""),"")</f>
        <v/>
      </c>
    </row>
    <row r="323">
      <c r="A323" s="4" t="str">
        <f>IFERROR(__xludf.DUMMYFUNCTION("""COMPUTED_VALUE"""),"353 - Channel 5")</f>
        <v>353 - Channel 5</v>
      </c>
      <c r="B323" s="4" t="str">
        <f>IFERROR(__xludf.DUMMYFUNCTION("""COMPUTED_VALUE"""),"")</f>
        <v/>
      </c>
      <c r="C323" s="4" t="str">
        <f>IFERROR(__xludf.DUMMYFUNCTION("""COMPUTED_VALUE"""),"")</f>
        <v/>
      </c>
      <c r="D323" s="4" t="str">
        <f>IFERROR(__xludf.DUMMYFUNCTION("""COMPUTED_VALUE"""),"")</f>
        <v/>
      </c>
      <c r="E323" s="4" t="str">
        <f>IFERROR(__xludf.DUMMYFUNCTION("""COMPUTED_VALUE"""),"")</f>
        <v/>
      </c>
      <c r="F323" s="4" t="str">
        <f>IFERROR(__xludf.DUMMYFUNCTION("""COMPUTED_VALUE"""),"")</f>
        <v/>
      </c>
      <c r="G323" s="4" t="str">
        <f>IFERROR(__xludf.DUMMYFUNCTION("""COMPUTED_VALUE"""),"")</f>
        <v/>
      </c>
      <c r="H323" s="4" t="str">
        <f>IFERROR(__xludf.DUMMYFUNCTION("""COMPUTED_VALUE"""),"")</f>
        <v/>
      </c>
      <c r="I323" s="4" t="str">
        <f>IFERROR(__xludf.DUMMYFUNCTION("""COMPUTED_VALUE"""),"")</f>
        <v/>
      </c>
      <c r="J323" s="4" t="str">
        <f>IFERROR(__xludf.DUMMYFUNCTION("""COMPUTED_VALUE"""),"")</f>
        <v/>
      </c>
      <c r="K323" s="4" t="str">
        <f>IFERROR(__xludf.DUMMYFUNCTION("""COMPUTED_VALUE"""),"")</f>
        <v/>
      </c>
      <c r="L323" s="4" t="str">
        <f>IFERROR(__xludf.DUMMYFUNCTION("""COMPUTED_VALUE"""),"")</f>
        <v/>
      </c>
      <c r="M323" s="4" t="str">
        <f>IFERROR(__xludf.DUMMYFUNCTION("""COMPUTED_VALUE"""),"")</f>
        <v/>
      </c>
      <c r="N323" s="4" t="str">
        <f>IFERROR(__xludf.DUMMYFUNCTION("""COMPUTED_VALUE"""),"")</f>
        <v/>
      </c>
      <c r="O323" s="4" t="str">
        <f>IFERROR(__xludf.DUMMYFUNCTION("""COMPUTED_VALUE"""),"")</f>
        <v/>
      </c>
      <c r="P323" s="4" t="str">
        <f>IFERROR(__xludf.DUMMYFUNCTION("""COMPUTED_VALUE"""),"")</f>
        <v/>
      </c>
      <c r="Q323" s="4" t="str">
        <f>IFERROR(__xludf.DUMMYFUNCTION("""COMPUTED_VALUE"""),"")</f>
        <v/>
      </c>
      <c r="R323" s="4" t="str">
        <f>IFERROR(__xludf.DUMMYFUNCTION("""COMPUTED_VALUE"""),"")</f>
        <v/>
      </c>
    </row>
    <row r="324">
      <c r="A324" s="4" t="str">
        <f>IFERROR(__xludf.DUMMYFUNCTION("""COMPUTED_VALUE"""),"354 - Channel 5")</f>
        <v>354 - Channel 5</v>
      </c>
      <c r="B324" s="4" t="str">
        <f>IFERROR(__xludf.DUMMYFUNCTION("""COMPUTED_VALUE"""),"")</f>
        <v/>
      </c>
      <c r="C324" s="4" t="str">
        <f>IFERROR(__xludf.DUMMYFUNCTION("""COMPUTED_VALUE"""),"")</f>
        <v/>
      </c>
      <c r="D324" s="4" t="str">
        <f>IFERROR(__xludf.DUMMYFUNCTION("""COMPUTED_VALUE"""),"")</f>
        <v/>
      </c>
      <c r="E324" s="4" t="str">
        <f>IFERROR(__xludf.DUMMYFUNCTION("""COMPUTED_VALUE"""),"")</f>
        <v/>
      </c>
      <c r="F324" s="4" t="str">
        <f>IFERROR(__xludf.DUMMYFUNCTION("""COMPUTED_VALUE"""),"")</f>
        <v/>
      </c>
      <c r="G324" s="4" t="str">
        <f>IFERROR(__xludf.DUMMYFUNCTION("""COMPUTED_VALUE"""),"")</f>
        <v/>
      </c>
      <c r="H324" s="4" t="str">
        <f>IFERROR(__xludf.DUMMYFUNCTION("""COMPUTED_VALUE"""),"")</f>
        <v/>
      </c>
      <c r="I324" s="4" t="str">
        <f>IFERROR(__xludf.DUMMYFUNCTION("""COMPUTED_VALUE"""),"")</f>
        <v/>
      </c>
      <c r="J324" s="4" t="str">
        <f>IFERROR(__xludf.DUMMYFUNCTION("""COMPUTED_VALUE"""),"")</f>
        <v/>
      </c>
      <c r="K324" s="4" t="str">
        <f>IFERROR(__xludf.DUMMYFUNCTION("""COMPUTED_VALUE"""),"")</f>
        <v/>
      </c>
      <c r="L324" s="4" t="str">
        <f>IFERROR(__xludf.DUMMYFUNCTION("""COMPUTED_VALUE"""),"")</f>
        <v/>
      </c>
      <c r="M324" s="4" t="str">
        <f>IFERROR(__xludf.DUMMYFUNCTION("""COMPUTED_VALUE"""),"")</f>
        <v/>
      </c>
      <c r="N324" s="4" t="str">
        <f>IFERROR(__xludf.DUMMYFUNCTION("""COMPUTED_VALUE"""),"")</f>
        <v/>
      </c>
      <c r="O324" s="4" t="str">
        <f>IFERROR(__xludf.DUMMYFUNCTION("""COMPUTED_VALUE"""),"")</f>
        <v/>
      </c>
      <c r="P324" s="4" t="str">
        <f>IFERROR(__xludf.DUMMYFUNCTION("""COMPUTED_VALUE"""),"")</f>
        <v/>
      </c>
      <c r="Q324" s="4" t="str">
        <f>IFERROR(__xludf.DUMMYFUNCTION("""COMPUTED_VALUE"""),"")</f>
        <v/>
      </c>
      <c r="R324" s="4" t="str">
        <f>IFERROR(__xludf.DUMMYFUNCTION("""COMPUTED_VALUE"""),"")</f>
        <v/>
      </c>
    </row>
    <row r="325">
      <c r="A325" s="4" t="str">
        <f>IFERROR(__xludf.DUMMYFUNCTION("""COMPUTED_VALUE"""),"355 - Channel 5")</f>
        <v>355 - Channel 5</v>
      </c>
      <c r="B325" s="4" t="str">
        <f>IFERROR(__xludf.DUMMYFUNCTION("""COMPUTED_VALUE"""),"")</f>
        <v/>
      </c>
      <c r="C325" s="4" t="str">
        <f>IFERROR(__xludf.DUMMYFUNCTION("""COMPUTED_VALUE"""),"")</f>
        <v/>
      </c>
      <c r="D325" s="4" t="str">
        <f>IFERROR(__xludf.DUMMYFUNCTION("""COMPUTED_VALUE"""),"")</f>
        <v/>
      </c>
      <c r="E325" s="4" t="str">
        <f>IFERROR(__xludf.DUMMYFUNCTION("""COMPUTED_VALUE"""),"")</f>
        <v/>
      </c>
      <c r="F325" s="4" t="str">
        <f>IFERROR(__xludf.DUMMYFUNCTION("""COMPUTED_VALUE"""),"")</f>
        <v/>
      </c>
      <c r="G325" s="4" t="str">
        <f>IFERROR(__xludf.DUMMYFUNCTION("""COMPUTED_VALUE"""),"")</f>
        <v/>
      </c>
      <c r="H325" s="4" t="str">
        <f>IFERROR(__xludf.DUMMYFUNCTION("""COMPUTED_VALUE"""),"")</f>
        <v/>
      </c>
      <c r="I325" s="4" t="str">
        <f>IFERROR(__xludf.DUMMYFUNCTION("""COMPUTED_VALUE"""),"")</f>
        <v/>
      </c>
      <c r="J325" s="4" t="str">
        <f>IFERROR(__xludf.DUMMYFUNCTION("""COMPUTED_VALUE"""),"")</f>
        <v/>
      </c>
      <c r="K325" s="4" t="str">
        <f>IFERROR(__xludf.DUMMYFUNCTION("""COMPUTED_VALUE"""),"")</f>
        <v/>
      </c>
      <c r="L325" s="4" t="str">
        <f>IFERROR(__xludf.DUMMYFUNCTION("""COMPUTED_VALUE"""),"")</f>
        <v/>
      </c>
      <c r="M325" s="4" t="str">
        <f>IFERROR(__xludf.DUMMYFUNCTION("""COMPUTED_VALUE"""),"")</f>
        <v/>
      </c>
      <c r="N325" s="4" t="str">
        <f>IFERROR(__xludf.DUMMYFUNCTION("""COMPUTED_VALUE"""),"")</f>
        <v/>
      </c>
      <c r="O325" s="4" t="str">
        <f>IFERROR(__xludf.DUMMYFUNCTION("""COMPUTED_VALUE"""),"")</f>
        <v/>
      </c>
      <c r="P325" s="4" t="str">
        <f>IFERROR(__xludf.DUMMYFUNCTION("""COMPUTED_VALUE"""),"")</f>
        <v/>
      </c>
      <c r="Q325" s="4" t="str">
        <f>IFERROR(__xludf.DUMMYFUNCTION("""COMPUTED_VALUE"""),"")</f>
        <v/>
      </c>
      <c r="R325" s="4" t="str">
        <f>IFERROR(__xludf.DUMMYFUNCTION("""COMPUTED_VALUE"""),"")</f>
        <v/>
      </c>
    </row>
    <row r="326">
      <c r="A326" s="4" t="str">
        <f>IFERROR(__xludf.DUMMYFUNCTION("""COMPUTED_VALUE"""),"356 - Channel 5")</f>
        <v>356 - Channel 5</v>
      </c>
      <c r="B326" s="4" t="str">
        <f>IFERROR(__xludf.DUMMYFUNCTION("""COMPUTED_VALUE"""),"")</f>
        <v/>
      </c>
      <c r="C326" s="4" t="str">
        <f>IFERROR(__xludf.DUMMYFUNCTION("""COMPUTED_VALUE"""),"")</f>
        <v/>
      </c>
      <c r="D326" s="4" t="str">
        <f>IFERROR(__xludf.DUMMYFUNCTION("""COMPUTED_VALUE"""),"")</f>
        <v/>
      </c>
      <c r="E326" s="4" t="str">
        <f>IFERROR(__xludf.DUMMYFUNCTION("""COMPUTED_VALUE"""),"")</f>
        <v/>
      </c>
      <c r="F326" s="4" t="str">
        <f>IFERROR(__xludf.DUMMYFUNCTION("""COMPUTED_VALUE"""),"")</f>
        <v/>
      </c>
      <c r="G326" s="4" t="str">
        <f>IFERROR(__xludf.DUMMYFUNCTION("""COMPUTED_VALUE"""),"")</f>
        <v/>
      </c>
      <c r="H326" s="4" t="str">
        <f>IFERROR(__xludf.DUMMYFUNCTION("""COMPUTED_VALUE"""),"")</f>
        <v/>
      </c>
      <c r="I326" s="4" t="str">
        <f>IFERROR(__xludf.DUMMYFUNCTION("""COMPUTED_VALUE"""),"")</f>
        <v/>
      </c>
      <c r="J326" s="4" t="str">
        <f>IFERROR(__xludf.DUMMYFUNCTION("""COMPUTED_VALUE"""),"")</f>
        <v/>
      </c>
      <c r="K326" s="4" t="str">
        <f>IFERROR(__xludf.DUMMYFUNCTION("""COMPUTED_VALUE"""),"")</f>
        <v/>
      </c>
      <c r="L326" s="4" t="str">
        <f>IFERROR(__xludf.DUMMYFUNCTION("""COMPUTED_VALUE"""),"")</f>
        <v/>
      </c>
      <c r="M326" s="4" t="str">
        <f>IFERROR(__xludf.DUMMYFUNCTION("""COMPUTED_VALUE"""),"")</f>
        <v/>
      </c>
      <c r="N326" s="4" t="str">
        <f>IFERROR(__xludf.DUMMYFUNCTION("""COMPUTED_VALUE"""),"")</f>
        <v/>
      </c>
      <c r="O326" s="4" t="str">
        <f>IFERROR(__xludf.DUMMYFUNCTION("""COMPUTED_VALUE"""),"")</f>
        <v/>
      </c>
      <c r="P326" s="4" t="str">
        <f>IFERROR(__xludf.DUMMYFUNCTION("""COMPUTED_VALUE"""),"")</f>
        <v/>
      </c>
      <c r="Q326" s="4" t="str">
        <f>IFERROR(__xludf.DUMMYFUNCTION("""COMPUTED_VALUE"""),"")</f>
        <v/>
      </c>
      <c r="R326" s="4" t="str">
        <f>IFERROR(__xludf.DUMMYFUNCTION("""COMPUTED_VALUE"""),"")</f>
        <v/>
      </c>
    </row>
    <row r="327">
      <c r="A327" s="4" t="str">
        <f>IFERROR(__xludf.DUMMYFUNCTION("""COMPUTED_VALUE"""),"357 - Channel 5")</f>
        <v>357 - Channel 5</v>
      </c>
      <c r="B327" s="4" t="str">
        <f>IFERROR(__xludf.DUMMYFUNCTION("""COMPUTED_VALUE"""),"")</f>
        <v/>
      </c>
      <c r="C327" s="4" t="str">
        <f>IFERROR(__xludf.DUMMYFUNCTION("""COMPUTED_VALUE"""),"")</f>
        <v/>
      </c>
      <c r="D327" s="4" t="str">
        <f>IFERROR(__xludf.DUMMYFUNCTION("""COMPUTED_VALUE"""),"")</f>
        <v/>
      </c>
      <c r="E327" s="4" t="str">
        <f>IFERROR(__xludf.DUMMYFUNCTION("""COMPUTED_VALUE"""),"")</f>
        <v/>
      </c>
      <c r="F327" s="4" t="str">
        <f>IFERROR(__xludf.DUMMYFUNCTION("""COMPUTED_VALUE"""),"")</f>
        <v/>
      </c>
      <c r="G327" s="4" t="str">
        <f>IFERROR(__xludf.DUMMYFUNCTION("""COMPUTED_VALUE"""),"")</f>
        <v/>
      </c>
      <c r="H327" s="4" t="str">
        <f>IFERROR(__xludf.DUMMYFUNCTION("""COMPUTED_VALUE"""),"")</f>
        <v/>
      </c>
      <c r="I327" s="4" t="str">
        <f>IFERROR(__xludf.DUMMYFUNCTION("""COMPUTED_VALUE"""),"")</f>
        <v/>
      </c>
      <c r="J327" s="4" t="str">
        <f>IFERROR(__xludf.DUMMYFUNCTION("""COMPUTED_VALUE"""),"")</f>
        <v/>
      </c>
      <c r="K327" s="4" t="str">
        <f>IFERROR(__xludf.DUMMYFUNCTION("""COMPUTED_VALUE"""),"")</f>
        <v/>
      </c>
      <c r="L327" s="4" t="str">
        <f>IFERROR(__xludf.DUMMYFUNCTION("""COMPUTED_VALUE"""),"")</f>
        <v/>
      </c>
      <c r="M327" s="4" t="str">
        <f>IFERROR(__xludf.DUMMYFUNCTION("""COMPUTED_VALUE"""),"")</f>
        <v/>
      </c>
      <c r="N327" s="4" t="str">
        <f>IFERROR(__xludf.DUMMYFUNCTION("""COMPUTED_VALUE"""),"")</f>
        <v/>
      </c>
      <c r="O327" s="4" t="str">
        <f>IFERROR(__xludf.DUMMYFUNCTION("""COMPUTED_VALUE"""),"")</f>
        <v/>
      </c>
      <c r="P327" s="4" t="str">
        <f>IFERROR(__xludf.DUMMYFUNCTION("""COMPUTED_VALUE"""),"")</f>
        <v/>
      </c>
      <c r="Q327" s="4" t="str">
        <f>IFERROR(__xludf.DUMMYFUNCTION("""COMPUTED_VALUE"""),"")</f>
        <v/>
      </c>
      <c r="R327" s="4" t="str">
        <f>IFERROR(__xludf.DUMMYFUNCTION("""COMPUTED_VALUE"""),"")</f>
        <v/>
      </c>
    </row>
    <row r="328">
      <c r="A328" s="4" t="str">
        <f>IFERROR(__xludf.DUMMYFUNCTION("""COMPUTED_VALUE"""),"358 - Channel 5")</f>
        <v>358 - Channel 5</v>
      </c>
      <c r="B328" s="4" t="str">
        <f>IFERROR(__xludf.DUMMYFUNCTION("""COMPUTED_VALUE"""),"")</f>
        <v/>
      </c>
      <c r="C328" s="4" t="str">
        <f>IFERROR(__xludf.DUMMYFUNCTION("""COMPUTED_VALUE"""),"")</f>
        <v/>
      </c>
      <c r="D328" s="4" t="str">
        <f>IFERROR(__xludf.DUMMYFUNCTION("""COMPUTED_VALUE"""),"")</f>
        <v/>
      </c>
      <c r="E328" s="4" t="str">
        <f>IFERROR(__xludf.DUMMYFUNCTION("""COMPUTED_VALUE"""),"")</f>
        <v/>
      </c>
      <c r="F328" s="4" t="str">
        <f>IFERROR(__xludf.DUMMYFUNCTION("""COMPUTED_VALUE"""),"")</f>
        <v/>
      </c>
      <c r="G328" s="4" t="str">
        <f>IFERROR(__xludf.DUMMYFUNCTION("""COMPUTED_VALUE"""),"")</f>
        <v/>
      </c>
      <c r="H328" s="4" t="str">
        <f>IFERROR(__xludf.DUMMYFUNCTION("""COMPUTED_VALUE"""),"")</f>
        <v/>
      </c>
      <c r="I328" s="4" t="str">
        <f>IFERROR(__xludf.DUMMYFUNCTION("""COMPUTED_VALUE"""),"")</f>
        <v/>
      </c>
      <c r="J328" s="4" t="str">
        <f>IFERROR(__xludf.DUMMYFUNCTION("""COMPUTED_VALUE"""),"")</f>
        <v/>
      </c>
      <c r="K328" s="4" t="str">
        <f>IFERROR(__xludf.DUMMYFUNCTION("""COMPUTED_VALUE"""),"")</f>
        <v/>
      </c>
      <c r="L328" s="4" t="str">
        <f>IFERROR(__xludf.DUMMYFUNCTION("""COMPUTED_VALUE"""),"")</f>
        <v/>
      </c>
      <c r="M328" s="4" t="str">
        <f>IFERROR(__xludf.DUMMYFUNCTION("""COMPUTED_VALUE"""),"")</f>
        <v/>
      </c>
      <c r="N328" s="4" t="str">
        <f>IFERROR(__xludf.DUMMYFUNCTION("""COMPUTED_VALUE"""),"")</f>
        <v/>
      </c>
      <c r="O328" s="4" t="str">
        <f>IFERROR(__xludf.DUMMYFUNCTION("""COMPUTED_VALUE"""),"")</f>
        <v/>
      </c>
      <c r="P328" s="4" t="str">
        <f>IFERROR(__xludf.DUMMYFUNCTION("""COMPUTED_VALUE"""),"")</f>
        <v/>
      </c>
      <c r="Q328" s="4" t="str">
        <f>IFERROR(__xludf.DUMMYFUNCTION("""COMPUTED_VALUE"""),"")</f>
        <v/>
      </c>
      <c r="R328" s="4" t="str">
        <f>IFERROR(__xludf.DUMMYFUNCTION("""COMPUTED_VALUE"""),"")</f>
        <v/>
      </c>
    </row>
    <row r="329">
      <c r="A329" s="4" t="str">
        <f>IFERROR(__xludf.DUMMYFUNCTION("""COMPUTED_VALUE"""),"359 - Channel 5")</f>
        <v>359 - Channel 5</v>
      </c>
      <c r="B329" s="4" t="str">
        <f>IFERROR(__xludf.DUMMYFUNCTION("""COMPUTED_VALUE"""),"")</f>
        <v/>
      </c>
      <c r="C329" s="4" t="str">
        <f>IFERROR(__xludf.DUMMYFUNCTION("""COMPUTED_VALUE"""),"")</f>
        <v/>
      </c>
      <c r="D329" s="4" t="str">
        <f>IFERROR(__xludf.DUMMYFUNCTION("""COMPUTED_VALUE"""),"")</f>
        <v/>
      </c>
      <c r="E329" s="4" t="str">
        <f>IFERROR(__xludf.DUMMYFUNCTION("""COMPUTED_VALUE"""),"")</f>
        <v/>
      </c>
      <c r="F329" s="4" t="str">
        <f>IFERROR(__xludf.DUMMYFUNCTION("""COMPUTED_VALUE"""),"")</f>
        <v/>
      </c>
      <c r="G329" s="4" t="str">
        <f>IFERROR(__xludf.DUMMYFUNCTION("""COMPUTED_VALUE"""),"")</f>
        <v/>
      </c>
      <c r="H329" s="4" t="str">
        <f>IFERROR(__xludf.DUMMYFUNCTION("""COMPUTED_VALUE"""),"")</f>
        <v/>
      </c>
      <c r="I329" s="4" t="str">
        <f>IFERROR(__xludf.DUMMYFUNCTION("""COMPUTED_VALUE"""),"")</f>
        <v/>
      </c>
      <c r="J329" s="4" t="str">
        <f>IFERROR(__xludf.DUMMYFUNCTION("""COMPUTED_VALUE"""),"")</f>
        <v/>
      </c>
      <c r="K329" s="4" t="str">
        <f>IFERROR(__xludf.DUMMYFUNCTION("""COMPUTED_VALUE"""),"")</f>
        <v/>
      </c>
      <c r="L329" s="4" t="str">
        <f>IFERROR(__xludf.DUMMYFUNCTION("""COMPUTED_VALUE"""),"")</f>
        <v/>
      </c>
      <c r="M329" s="4" t="str">
        <f>IFERROR(__xludf.DUMMYFUNCTION("""COMPUTED_VALUE"""),"")</f>
        <v/>
      </c>
      <c r="N329" s="4" t="str">
        <f>IFERROR(__xludf.DUMMYFUNCTION("""COMPUTED_VALUE"""),"")</f>
        <v/>
      </c>
      <c r="O329" s="4" t="str">
        <f>IFERROR(__xludf.DUMMYFUNCTION("""COMPUTED_VALUE"""),"")</f>
        <v/>
      </c>
      <c r="P329" s="4" t="str">
        <f>IFERROR(__xludf.DUMMYFUNCTION("""COMPUTED_VALUE"""),"")</f>
        <v/>
      </c>
      <c r="Q329" s="4" t="str">
        <f>IFERROR(__xludf.DUMMYFUNCTION("""COMPUTED_VALUE"""),"")</f>
        <v/>
      </c>
      <c r="R329" s="4" t="str">
        <f>IFERROR(__xludf.DUMMYFUNCTION("""COMPUTED_VALUE"""),"")</f>
        <v/>
      </c>
    </row>
    <row r="330">
      <c r="A330" s="4" t="str">
        <f>IFERROR(__xludf.DUMMYFUNCTION("""COMPUTED_VALUE"""),"360 - Channel 5")</f>
        <v>360 - Channel 5</v>
      </c>
      <c r="B330" s="4" t="str">
        <f>IFERROR(__xludf.DUMMYFUNCTION("""COMPUTED_VALUE"""),"")</f>
        <v/>
      </c>
      <c r="C330" s="4" t="str">
        <f>IFERROR(__xludf.DUMMYFUNCTION("""COMPUTED_VALUE"""),"")</f>
        <v/>
      </c>
      <c r="D330" s="4" t="str">
        <f>IFERROR(__xludf.DUMMYFUNCTION("""COMPUTED_VALUE"""),"")</f>
        <v/>
      </c>
      <c r="E330" s="4" t="str">
        <f>IFERROR(__xludf.DUMMYFUNCTION("""COMPUTED_VALUE"""),"")</f>
        <v/>
      </c>
      <c r="F330" s="4" t="str">
        <f>IFERROR(__xludf.DUMMYFUNCTION("""COMPUTED_VALUE"""),"")</f>
        <v/>
      </c>
      <c r="G330" s="4" t="str">
        <f>IFERROR(__xludf.DUMMYFUNCTION("""COMPUTED_VALUE"""),"")</f>
        <v/>
      </c>
      <c r="H330" s="4" t="str">
        <f>IFERROR(__xludf.DUMMYFUNCTION("""COMPUTED_VALUE"""),"")</f>
        <v/>
      </c>
      <c r="I330" s="4" t="str">
        <f>IFERROR(__xludf.DUMMYFUNCTION("""COMPUTED_VALUE"""),"")</f>
        <v/>
      </c>
      <c r="J330" s="4" t="str">
        <f>IFERROR(__xludf.DUMMYFUNCTION("""COMPUTED_VALUE"""),"")</f>
        <v/>
      </c>
      <c r="K330" s="4" t="str">
        <f>IFERROR(__xludf.DUMMYFUNCTION("""COMPUTED_VALUE"""),"")</f>
        <v/>
      </c>
      <c r="L330" s="4" t="str">
        <f>IFERROR(__xludf.DUMMYFUNCTION("""COMPUTED_VALUE"""),"")</f>
        <v/>
      </c>
      <c r="M330" s="4" t="str">
        <f>IFERROR(__xludf.DUMMYFUNCTION("""COMPUTED_VALUE"""),"")</f>
        <v/>
      </c>
      <c r="N330" s="4" t="str">
        <f>IFERROR(__xludf.DUMMYFUNCTION("""COMPUTED_VALUE"""),"")</f>
        <v/>
      </c>
      <c r="O330" s="4" t="str">
        <f>IFERROR(__xludf.DUMMYFUNCTION("""COMPUTED_VALUE"""),"")</f>
        <v/>
      </c>
      <c r="P330" s="4" t="str">
        <f>IFERROR(__xludf.DUMMYFUNCTION("""COMPUTED_VALUE"""),"")</f>
        <v/>
      </c>
      <c r="Q330" s="4" t="str">
        <f>IFERROR(__xludf.DUMMYFUNCTION("""COMPUTED_VALUE"""),"")</f>
        <v/>
      </c>
      <c r="R330" s="4" t="str">
        <f>IFERROR(__xludf.DUMMYFUNCTION("""COMPUTED_VALUE"""),"")</f>
        <v/>
      </c>
    </row>
    <row r="331">
      <c r="A331" s="4" t="str">
        <f>IFERROR(__xludf.DUMMYFUNCTION("""COMPUTED_VALUE"""),"361 - Channel 5")</f>
        <v>361 - Channel 5</v>
      </c>
      <c r="B331" s="4" t="str">
        <f>IFERROR(__xludf.DUMMYFUNCTION("""COMPUTED_VALUE"""),"")</f>
        <v/>
      </c>
      <c r="C331" s="4" t="str">
        <f>IFERROR(__xludf.DUMMYFUNCTION("""COMPUTED_VALUE"""),"")</f>
        <v/>
      </c>
      <c r="D331" s="4" t="str">
        <f>IFERROR(__xludf.DUMMYFUNCTION("""COMPUTED_VALUE"""),"")</f>
        <v/>
      </c>
      <c r="E331" s="4" t="str">
        <f>IFERROR(__xludf.DUMMYFUNCTION("""COMPUTED_VALUE"""),"")</f>
        <v/>
      </c>
      <c r="F331" s="4" t="str">
        <f>IFERROR(__xludf.DUMMYFUNCTION("""COMPUTED_VALUE"""),"")</f>
        <v/>
      </c>
      <c r="G331" s="4" t="str">
        <f>IFERROR(__xludf.DUMMYFUNCTION("""COMPUTED_VALUE"""),"")</f>
        <v/>
      </c>
      <c r="H331" s="4" t="str">
        <f>IFERROR(__xludf.DUMMYFUNCTION("""COMPUTED_VALUE"""),"")</f>
        <v/>
      </c>
      <c r="I331" s="4" t="str">
        <f>IFERROR(__xludf.DUMMYFUNCTION("""COMPUTED_VALUE"""),"")</f>
        <v/>
      </c>
      <c r="J331" s="4" t="str">
        <f>IFERROR(__xludf.DUMMYFUNCTION("""COMPUTED_VALUE"""),"")</f>
        <v/>
      </c>
      <c r="K331" s="4" t="str">
        <f>IFERROR(__xludf.DUMMYFUNCTION("""COMPUTED_VALUE"""),"")</f>
        <v/>
      </c>
      <c r="L331" s="4" t="str">
        <f>IFERROR(__xludf.DUMMYFUNCTION("""COMPUTED_VALUE"""),"")</f>
        <v/>
      </c>
      <c r="M331" s="4" t="str">
        <f>IFERROR(__xludf.DUMMYFUNCTION("""COMPUTED_VALUE"""),"")</f>
        <v/>
      </c>
      <c r="N331" s="4" t="str">
        <f>IFERROR(__xludf.DUMMYFUNCTION("""COMPUTED_VALUE"""),"")</f>
        <v/>
      </c>
      <c r="O331" s="4" t="str">
        <f>IFERROR(__xludf.DUMMYFUNCTION("""COMPUTED_VALUE"""),"")</f>
        <v/>
      </c>
      <c r="P331" s="4" t="str">
        <f>IFERROR(__xludf.DUMMYFUNCTION("""COMPUTED_VALUE"""),"")</f>
        <v/>
      </c>
      <c r="Q331" s="4" t="str">
        <f>IFERROR(__xludf.DUMMYFUNCTION("""COMPUTED_VALUE"""),"")</f>
        <v/>
      </c>
      <c r="R331" s="4" t="str">
        <f>IFERROR(__xludf.DUMMYFUNCTION("""COMPUTED_VALUE"""),"")</f>
        <v/>
      </c>
    </row>
    <row r="332">
      <c r="A332" s="4" t="str">
        <f>IFERROR(__xludf.DUMMYFUNCTION("""COMPUTED_VALUE"""),"362 - Channel 5")</f>
        <v>362 - Channel 5</v>
      </c>
      <c r="B332" s="4" t="str">
        <f>IFERROR(__xludf.DUMMYFUNCTION("""COMPUTED_VALUE"""),"")</f>
        <v/>
      </c>
      <c r="C332" s="4" t="str">
        <f>IFERROR(__xludf.DUMMYFUNCTION("""COMPUTED_VALUE"""),"")</f>
        <v/>
      </c>
      <c r="D332" s="4" t="str">
        <f>IFERROR(__xludf.DUMMYFUNCTION("""COMPUTED_VALUE"""),"")</f>
        <v/>
      </c>
      <c r="E332" s="4" t="str">
        <f>IFERROR(__xludf.DUMMYFUNCTION("""COMPUTED_VALUE"""),"")</f>
        <v/>
      </c>
      <c r="F332" s="4" t="str">
        <f>IFERROR(__xludf.DUMMYFUNCTION("""COMPUTED_VALUE"""),"")</f>
        <v/>
      </c>
      <c r="G332" s="4" t="str">
        <f>IFERROR(__xludf.DUMMYFUNCTION("""COMPUTED_VALUE"""),"")</f>
        <v/>
      </c>
      <c r="H332" s="4" t="str">
        <f>IFERROR(__xludf.DUMMYFUNCTION("""COMPUTED_VALUE"""),"")</f>
        <v/>
      </c>
      <c r="I332" s="4" t="str">
        <f>IFERROR(__xludf.DUMMYFUNCTION("""COMPUTED_VALUE"""),"")</f>
        <v/>
      </c>
      <c r="J332" s="4" t="str">
        <f>IFERROR(__xludf.DUMMYFUNCTION("""COMPUTED_VALUE"""),"")</f>
        <v/>
      </c>
      <c r="K332" s="4" t="str">
        <f>IFERROR(__xludf.DUMMYFUNCTION("""COMPUTED_VALUE"""),"")</f>
        <v/>
      </c>
      <c r="L332" s="4" t="str">
        <f>IFERROR(__xludf.DUMMYFUNCTION("""COMPUTED_VALUE"""),"")</f>
        <v/>
      </c>
      <c r="M332" s="4" t="str">
        <f>IFERROR(__xludf.DUMMYFUNCTION("""COMPUTED_VALUE"""),"")</f>
        <v/>
      </c>
      <c r="N332" s="4" t="str">
        <f>IFERROR(__xludf.DUMMYFUNCTION("""COMPUTED_VALUE"""),"")</f>
        <v/>
      </c>
      <c r="O332" s="4" t="str">
        <f>IFERROR(__xludf.DUMMYFUNCTION("""COMPUTED_VALUE"""),"")</f>
        <v/>
      </c>
      <c r="P332" s="4" t="str">
        <f>IFERROR(__xludf.DUMMYFUNCTION("""COMPUTED_VALUE"""),"")</f>
        <v/>
      </c>
      <c r="Q332" s="4" t="str">
        <f>IFERROR(__xludf.DUMMYFUNCTION("""COMPUTED_VALUE"""),"")</f>
        <v/>
      </c>
      <c r="R332" s="4" t="str">
        <f>IFERROR(__xludf.DUMMYFUNCTION("""COMPUTED_VALUE"""),"")</f>
        <v/>
      </c>
    </row>
    <row r="333">
      <c r="A333" s="4" t="str">
        <f>IFERROR(__xludf.DUMMYFUNCTION("""COMPUTED_VALUE"""),"363 - Channel 5")</f>
        <v>363 - Channel 5</v>
      </c>
      <c r="B333" s="4" t="str">
        <f>IFERROR(__xludf.DUMMYFUNCTION("""COMPUTED_VALUE"""),"")</f>
        <v/>
      </c>
      <c r="C333" s="4" t="str">
        <f>IFERROR(__xludf.DUMMYFUNCTION("""COMPUTED_VALUE"""),"")</f>
        <v/>
      </c>
      <c r="D333" s="4" t="str">
        <f>IFERROR(__xludf.DUMMYFUNCTION("""COMPUTED_VALUE"""),"")</f>
        <v/>
      </c>
      <c r="E333" s="4" t="str">
        <f>IFERROR(__xludf.DUMMYFUNCTION("""COMPUTED_VALUE"""),"")</f>
        <v/>
      </c>
      <c r="F333" s="4" t="str">
        <f>IFERROR(__xludf.DUMMYFUNCTION("""COMPUTED_VALUE"""),"")</f>
        <v/>
      </c>
      <c r="G333" s="4" t="str">
        <f>IFERROR(__xludf.DUMMYFUNCTION("""COMPUTED_VALUE"""),"")</f>
        <v/>
      </c>
      <c r="H333" s="4" t="str">
        <f>IFERROR(__xludf.DUMMYFUNCTION("""COMPUTED_VALUE"""),"")</f>
        <v/>
      </c>
      <c r="I333" s="4" t="str">
        <f>IFERROR(__xludf.DUMMYFUNCTION("""COMPUTED_VALUE"""),"")</f>
        <v/>
      </c>
      <c r="J333" s="4" t="str">
        <f>IFERROR(__xludf.DUMMYFUNCTION("""COMPUTED_VALUE"""),"")</f>
        <v/>
      </c>
      <c r="K333" s="4" t="str">
        <f>IFERROR(__xludf.DUMMYFUNCTION("""COMPUTED_VALUE"""),"")</f>
        <v/>
      </c>
      <c r="L333" s="4" t="str">
        <f>IFERROR(__xludf.DUMMYFUNCTION("""COMPUTED_VALUE"""),"")</f>
        <v/>
      </c>
      <c r="M333" s="4" t="str">
        <f>IFERROR(__xludf.DUMMYFUNCTION("""COMPUTED_VALUE"""),"")</f>
        <v/>
      </c>
      <c r="N333" s="4" t="str">
        <f>IFERROR(__xludf.DUMMYFUNCTION("""COMPUTED_VALUE"""),"")</f>
        <v/>
      </c>
      <c r="O333" s="4" t="str">
        <f>IFERROR(__xludf.DUMMYFUNCTION("""COMPUTED_VALUE"""),"")</f>
        <v/>
      </c>
      <c r="P333" s="4" t="str">
        <f>IFERROR(__xludf.DUMMYFUNCTION("""COMPUTED_VALUE"""),"")</f>
        <v/>
      </c>
      <c r="Q333" s="4" t="str">
        <f>IFERROR(__xludf.DUMMYFUNCTION("""COMPUTED_VALUE"""),"")</f>
        <v/>
      </c>
      <c r="R333" s="4" t="str">
        <f>IFERROR(__xludf.DUMMYFUNCTION("""COMPUTED_VALUE"""),"")</f>
        <v/>
      </c>
    </row>
    <row r="334">
      <c r="A334" s="4" t="str">
        <f>IFERROR(__xludf.DUMMYFUNCTION("""COMPUTED_VALUE"""),"364 - Channel 5")</f>
        <v>364 - Channel 5</v>
      </c>
      <c r="B334" s="4" t="str">
        <f>IFERROR(__xludf.DUMMYFUNCTION("""COMPUTED_VALUE"""),"")</f>
        <v/>
      </c>
      <c r="C334" s="4" t="str">
        <f>IFERROR(__xludf.DUMMYFUNCTION("""COMPUTED_VALUE"""),"")</f>
        <v/>
      </c>
      <c r="D334" s="4" t="str">
        <f>IFERROR(__xludf.DUMMYFUNCTION("""COMPUTED_VALUE"""),"")</f>
        <v/>
      </c>
      <c r="E334" s="4" t="str">
        <f>IFERROR(__xludf.DUMMYFUNCTION("""COMPUTED_VALUE"""),"")</f>
        <v/>
      </c>
      <c r="F334" s="4" t="str">
        <f>IFERROR(__xludf.DUMMYFUNCTION("""COMPUTED_VALUE"""),"")</f>
        <v/>
      </c>
      <c r="G334" s="4" t="str">
        <f>IFERROR(__xludf.DUMMYFUNCTION("""COMPUTED_VALUE"""),"")</f>
        <v/>
      </c>
      <c r="H334" s="4" t="str">
        <f>IFERROR(__xludf.DUMMYFUNCTION("""COMPUTED_VALUE"""),"")</f>
        <v/>
      </c>
      <c r="I334" s="4" t="str">
        <f>IFERROR(__xludf.DUMMYFUNCTION("""COMPUTED_VALUE"""),"")</f>
        <v/>
      </c>
      <c r="J334" s="4" t="str">
        <f>IFERROR(__xludf.DUMMYFUNCTION("""COMPUTED_VALUE"""),"")</f>
        <v/>
      </c>
      <c r="K334" s="4" t="str">
        <f>IFERROR(__xludf.DUMMYFUNCTION("""COMPUTED_VALUE"""),"")</f>
        <v/>
      </c>
      <c r="L334" s="4" t="str">
        <f>IFERROR(__xludf.DUMMYFUNCTION("""COMPUTED_VALUE"""),"")</f>
        <v/>
      </c>
      <c r="M334" s="4" t="str">
        <f>IFERROR(__xludf.DUMMYFUNCTION("""COMPUTED_VALUE"""),"")</f>
        <v/>
      </c>
      <c r="N334" s="4" t="str">
        <f>IFERROR(__xludf.DUMMYFUNCTION("""COMPUTED_VALUE"""),"")</f>
        <v/>
      </c>
      <c r="O334" s="4" t="str">
        <f>IFERROR(__xludf.DUMMYFUNCTION("""COMPUTED_VALUE"""),"")</f>
        <v/>
      </c>
      <c r="P334" s="4" t="str">
        <f>IFERROR(__xludf.DUMMYFUNCTION("""COMPUTED_VALUE"""),"")</f>
        <v/>
      </c>
      <c r="Q334" s="4" t="str">
        <f>IFERROR(__xludf.DUMMYFUNCTION("""COMPUTED_VALUE"""),"")</f>
        <v/>
      </c>
      <c r="R334" s="4" t="str">
        <f>IFERROR(__xludf.DUMMYFUNCTION("""COMPUTED_VALUE"""),"")</f>
        <v/>
      </c>
    </row>
    <row r="335">
      <c r="A335" s="4" t="str">
        <f>IFERROR(__xludf.DUMMYFUNCTION("""COMPUTED_VALUE"""),"365 - Channel 5")</f>
        <v>365 - Channel 5</v>
      </c>
      <c r="B335" s="4" t="str">
        <f>IFERROR(__xludf.DUMMYFUNCTION("""COMPUTED_VALUE"""),"")</f>
        <v/>
      </c>
      <c r="C335" s="4" t="str">
        <f>IFERROR(__xludf.DUMMYFUNCTION("""COMPUTED_VALUE"""),"")</f>
        <v/>
      </c>
      <c r="D335" s="4" t="str">
        <f>IFERROR(__xludf.DUMMYFUNCTION("""COMPUTED_VALUE"""),"")</f>
        <v/>
      </c>
      <c r="E335" s="4" t="str">
        <f>IFERROR(__xludf.DUMMYFUNCTION("""COMPUTED_VALUE"""),"")</f>
        <v/>
      </c>
      <c r="F335" s="4" t="str">
        <f>IFERROR(__xludf.DUMMYFUNCTION("""COMPUTED_VALUE"""),"")</f>
        <v/>
      </c>
      <c r="G335" s="4" t="str">
        <f>IFERROR(__xludf.DUMMYFUNCTION("""COMPUTED_VALUE"""),"")</f>
        <v/>
      </c>
      <c r="H335" s="4" t="str">
        <f>IFERROR(__xludf.DUMMYFUNCTION("""COMPUTED_VALUE"""),"")</f>
        <v/>
      </c>
      <c r="I335" s="4" t="str">
        <f>IFERROR(__xludf.DUMMYFUNCTION("""COMPUTED_VALUE"""),"")</f>
        <v/>
      </c>
      <c r="J335" s="4" t="str">
        <f>IFERROR(__xludf.DUMMYFUNCTION("""COMPUTED_VALUE"""),"")</f>
        <v/>
      </c>
      <c r="K335" s="4" t="str">
        <f>IFERROR(__xludf.DUMMYFUNCTION("""COMPUTED_VALUE"""),"")</f>
        <v/>
      </c>
      <c r="L335" s="4" t="str">
        <f>IFERROR(__xludf.DUMMYFUNCTION("""COMPUTED_VALUE"""),"")</f>
        <v/>
      </c>
      <c r="M335" s="4" t="str">
        <f>IFERROR(__xludf.DUMMYFUNCTION("""COMPUTED_VALUE"""),"")</f>
        <v/>
      </c>
      <c r="N335" s="4" t="str">
        <f>IFERROR(__xludf.DUMMYFUNCTION("""COMPUTED_VALUE"""),"")</f>
        <v/>
      </c>
      <c r="O335" s="4" t="str">
        <f>IFERROR(__xludf.DUMMYFUNCTION("""COMPUTED_VALUE"""),"")</f>
        <v/>
      </c>
      <c r="P335" s="4" t="str">
        <f>IFERROR(__xludf.DUMMYFUNCTION("""COMPUTED_VALUE"""),"")</f>
        <v/>
      </c>
      <c r="Q335" s="4" t="str">
        <f>IFERROR(__xludf.DUMMYFUNCTION("""COMPUTED_VALUE"""),"")</f>
        <v/>
      </c>
      <c r="R335" s="4" t="str">
        <f>IFERROR(__xludf.DUMMYFUNCTION("""COMPUTED_VALUE"""),"")</f>
        <v/>
      </c>
    </row>
    <row r="336">
      <c r="A336" s="4" t="str">
        <f>IFERROR(__xludf.DUMMYFUNCTION("""COMPUTED_VALUE"""),"366 - Channel 5")</f>
        <v>366 - Channel 5</v>
      </c>
      <c r="B336" s="4" t="str">
        <f>IFERROR(__xludf.DUMMYFUNCTION("""COMPUTED_VALUE"""),"")</f>
        <v/>
      </c>
      <c r="C336" s="4" t="str">
        <f>IFERROR(__xludf.DUMMYFUNCTION("""COMPUTED_VALUE"""),"")</f>
        <v/>
      </c>
      <c r="D336" s="4" t="str">
        <f>IFERROR(__xludf.DUMMYFUNCTION("""COMPUTED_VALUE"""),"")</f>
        <v/>
      </c>
      <c r="E336" s="4" t="str">
        <f>IFERROR(__xludf.DUMMYFUNCTION("""COMPUTED_VALUE"""),"")</f>
        <v/>
      </c>
      <c r="F336" s="4" t="str">
        <f>IFERROR(__xludf.DUMMYFUNCTION("""COMPUTED_VALUE"""),"")</f>
        <v/>
      </c>
      <c r="G336" s="4" t="str">
        <f>IFERROR(__xludf.DUMMYFUNCTION("""COMPUTED_VALUE"""),"")</f>
        <v/>
      </c>
      <c r="H336" s="4" t="str">
        <f>IFERROR(__xludf.DUMMYFUNCTION("""COMPUTED_VALUE"""),"")</f>
        <v/>
      </c>
      <c r="I336" s="4" t="str">
        <f>IFERROR(__xludf.DUMMYFUNCTION("""COMPUTED_VALUE"""),"")</f>
        <v/>
      </c>
      <c r="J336" s="4" t="str">
        <f>IFERROR(__xludf.DUMMYFUNCTION("""COMPUTED_VALUE"""),"")</f>
        <v/>
      </c>
      <c r="K336" s="4" t="str">
        <f>IFERROR(__xludf.DUMMYFUNCTION("""COMPUTED_VALUE"""),"")</f>
        <v/>
      </c>
      <c r="L336" s="4" t="str">
        <f>IFERROR(__xludf.DUMMYFUNCTION("""COMPUTED_VALUE"""),"")</f>
        <v/>
      </c>
      <c r="M336" s="4" t="str">
        <f>IFERROR(__xludf.DUMMYFUNCTION("""COMPUTED_VALUE"""),"")</f>
        <v/>
      </c>
      <c r="N336" s="4" t="str">
        <f>IFERROR(__xludf.DUMMYFUNCTION("""COMPUTED_VALUE"""),"")</f>
        <v/>
      </c>
      <c r="O336" s="4" t="str">
        <f>IFERROR(__xludf.DUMMYFUNCTION("""COMPUTED_VALUE"""),"")</f>
        <v/>
      </c>
      <c r="P336" s="4" t="str">
        <f>IFERROR(__xludf.DUMMYFUNCTION("""COMPUTED_VALUE"""),"")</f>
        <v/>
      </c>
      <c r="Q336" s="4" t="str">
        <f>IFERROR(__xludf.DUMMYFUNCTION("""COMPUTED_VALUE"""),"")</f>
        <v/>
      </c>
      <c r="R336" s="4" t="str">
        <f>IFERROR(__xludf.DUMMYFUNCTION("""COMPUTED_VALUE"""),"")</f>
        <v/>
      </c>
    </row>
    <row r="337">
      <c r="A337" s="4" t="str">
        <f>IFERROR(__xludf.DUMMYFUNCTION("""COMPUTED_VALUE"""),"367 - Channel 5")</f>
        <v>367 - Channel 5</v>
      </c>
      <c r="B337" s="4" t="str">
        <f>IFERROR(__xludf.DUMMYFUNCTION("""COMPUTED_VALUE"""),"")</f>
        <v/>
      </c>
      <c r="C337" s="4" t="str">
        <f>IFERROR(__xludf.DUMMYFUNCTION("""COMPUTED_VALUE"""),"")</f>
        <v/>
      </c>
      <c r="D337" s="4" t="str">
        <f>IFERROR(__xludf.DUMMYFUNCTION("""COMPUTED_VALUE"""),"")</f>
        <v/>
      </c>
      <c r="E337" s="4" t="str">
        <f>IFERROR(__xludf.DUMMYFUNCTION("""COMPUTED_VALUE"""),"")</f>
        <v/>
      </c>
      <c r="F337" s="4" t="str">
        <f>IFERROR(__xludf.DUMMYFUNCTION("""COMPUTED_VALUE"""),"")</f>
        <v/>
      </c>
      <c r="G337" s="4" t="str">
        <f>IFERROR(__xludf.DUMMYFUNCTION("""COMPUTED_VALUE"""),"")</f>
        <v/>
      </c>
      <c r="H337" s="4" t="str">
        <f>IFERROR(__xludf.DUMMYFUNCTION("""COMPUTED_VALUE"""),"")</f>
        <v/>
      </c>
      <c r="I337" s="4" t="str">
        <f>IFERROR(__xludf.DUMMYFUNCTION("""COMPUTED_VALUE"""),"")</f>
        <v/>
      </c>
      <c r="J337" s="4" t="str">
        <f>IFERROR(__xludf.DUMMYFUNCTION("""COMPUTED_VALUE"""),"")</f>
        <v/>
      </c>
      <c r="K337" s="4" t="str">
        <f>IFERROR(__xludf.DUMMYFUNCTION("""COMPUTED_VALUE"""),"")</f>
        <v/>
      </c>
      <c r="L337" s="4" t="str">
        <f>IFERROR(__xludf.DUMMYFUNCTION("""COMPUTED_VALUE"""),"")</f>
        <v/>
      </c>
      <c r="M337" s="4" t="str">
        <f>IFERROR(__xludf.DUMMYFUNCTION("""COMPUTED_VALUE"""),"")</f>
        <v/>
      </c>
      <c r="N337" s="4" t="str">
        <f>IFERROR(__xludf.DUMMYFUNCTION("""COMPUTED_VALUE"""),"")</f>
        <v/>
      </c>
      <c r="O337" s="4" t="str">
        <f>IFERROR(__xludf.DUMMYFUNCTION("""COMPUTED_VALUE"""),"")</f>
        <v/>
      </c>
      <c r="P337" s="4" t="str">
        <f>IFERROR(__xludf.DUMMYFUNCTION("""COMPUTED_VALUE"""),"")</f>
        <v/>
      </c>
      <c r="Q337" s="4" t="str">
        <f>IFERROR(__xludf.DUMMYFUNCTION("""COMPUTED_VALUE"""),"")</f>
        <v/>
      </c>
      <c r="R337" s="4" t="str">
        <f>IFERROR(__xludf.DUMMYFUNCTION("""COMPUTED_VALUE"""),"")</f>
        <v/>
      </c>
    </row>
    <row r="338">
      <c r="A338" s="4" t="str">
        <f>IFERROR(__xludf.DUMMYFUNCTION("""COMPUTED_VALUE"""),"368 - Channel 5")</f>
        <v>368 - Channel 5</v>
      </c>
      <c r="B338" s="4" t="str">
        <f>IFERROR(__xludf.DUMMYFUNCTION("""COMPUTED_VALUE"""),"")</f>
        <v/>
      </c>
      <c r="C338" s="4" t="str">
        <f>IFERROR(__xludf.DUMMYFUNCTION("""COMPUTED_VALUE"""),"")</f>
        <v/>
      </c>
      <c r="D338" s="4" t="str">
        <f>IFERROR(__xludf.DUMMYFUNCTION("""COMPUTED_VALUE"""),"")</f>
        <v/>
      </c>
      <c r="E338" s="4" t="str">
        <f>IFERROR(__xludf.DUMMYFUNCTION("""COMPUTED_VALUE"""),"")</f>
        <v/>
      </c>
      <c r="F338" s="4" t="str">
        <f>IFERROR(__xludf.DUMMYFUNCTION("""COMPUTED_VALUE"""),"")</f>
        <v/>
      </c>
      <c r="G338" s="4" t="str">
        <f>IFERROR(__xludf.DUMMYFUNCTION("""COMPUTED_VALUE"""),"")</f>
        <v/>
      </c>
      <c r="H338" s="4" t="str">
        <f>IFERROR(__xludf.DUMMYFUNCTION("""COMPUTED_VALUE"""),"")</f>
        <v/>
      </c>
      <c r="I338" s="4" t="str">
        <f>IFERROR(__xludf.DUMMYFUNCTION("""COMPUTED_VALUE"""),"")</f>
        <v/>
      </c>
      <c r="J338" s="4" t="str">
        <f>IFERROR(__xludf.DUMMYFUNCTION("""COMPUTED_VALUE"""),"")</f>
        <v/>
      </c>
      <c r="K338" s="4" t="str">
        <f>IFERROR(__xludf.DUMMYFUNCTION("""COMPUTED_VALUE"""),"")</f>
        <v/>
      </c>
      <c r="L338" s="4" t="str">
        <f>IFERROR(__xludf.DUMMYFUNCTION("""COMPUTED_VALUE"""),"")</f>
        <v/>
      </c>
      <c r="M338" s="4" t="str">
        <f>IFERROR(__xludf.DUMMYFUNCTION("""COMPUTED_VALUE"""),"")</f>
        <v/>
      </c>
      <c r="N338" s="4" t="str">
        <f>IFERROR(__xludf.DUMMYFUNCTION("""COMPUTED_VALUE"""),"")</f>
        <v/>
      </c>
      <c r="O338" s="4" t="str">
        <f>IFERROR(__xludf.DUMMYFUNCTION("""COMPUTED_VALUE"""),"")</f>
        <v/>
      </c>
      <c r="P338" s="4" t="str">
        <f>IFERROR(__xludf.DUMMYFUNCTION("""COMPUTED_VALUE"""),"")</f>
        <v/>
      </c>
      <c r="Q338" s="4" t="str">
        <f>IFERROR(__xludf.DUMMYFUNCTION("""COMPUTED_VALUE"""),"")</f>
        <v/>
      </c>
      <c r="R338" s="4" t="str">
        <f>IFERROR(__xludf.DUMMYFUNCTION("""COMPUTED_VALUE"""),"")</f>
        <v/>
      </c>
    </row>
    <row r="339">
      <c r="A339" s="4" t="str">
        <f>IFERROR(__xludf.DUMMYFUNCTION("""COMPUTED_VALUE"""),"369 - Channel 5")</f>
        <v>369 - Channel 5</v>
      </c>
      <c r="B339" s="4" t="str">
        <f>IFERROR(__xludf.DUMMYFUNCTION("""COMPUTED_VALUE"""),"")</f>
        <v/>
      </c>
      <c r="C339" s="4" t="str">
        <f>IFERROR(__xludf.DUMMYFUNCTION("""COMPUTED_VALUE"""),"")</f>
        <v/>
      </c>
      <c r="D339" s="4" t="str">
        <f>IFERROR(__xludf.DUMMYFUNCTION("""COMPUTED_VALUE"""),"")</f>
        <v/>
      </c>
      <c r="E339" s="4" t="str">
        <f>IFERROR(__xludf.DUMMYFUNCTION("""COMPUTED_VALUE"""),"")</f>
        <v/>
      </c>
      <c r="F339" s="4" t="str">
        <f>IFERROR(__xludf.DUMMYFUNCTION("""COMPUTED_VALUE"""),"")</f>
        <v/>
      </c>
      <c r="G339" s="4" t="str">
        <f>IFERROR(__xludf.DUMMYFUNCTION("""COMPUTED_VALUE"""),"")</f>
        <v/>
      </c>
      <c r="H339" s="4" t="str">
        <f>IFERROR(__xludf.DUMMYFUNCTION("""COMPUTED_VALUE"""),"")</f>
        <v/>
      </c>
      <c r="I339" s="4" t="str">
        <f>IFERROR(__xludf.DUMMYFUNCTION("""COMPUTED_VALUE"""),"")</f>
        <v/>
      </c>
      <c r="J339" s="4" t="str">
        <f>IFERROR(__xludf.DUMMYFUNCTION("""COMPUTED_VALUE"""),"")</f>
        <v/>
      </c>
      <c r="K339" s="4" t="str">
        <f>IFERROR(__xludf.DUMMYFUNCTION("""COMPUTED_VALUE"""),"")</f>
        <v/>
      </c>
      <c r="L339" s="4" t="str">
        <f>IFERROR(__xludf.DUMMYFUNCTION("""COMPUTED_VALUE"""),"")</f>
        <v/>
      </c>
      <c r="M339" s="4" t="str">
        <f>IFERROR(__xludf.DUMMYFUNCTION("""COMPUTED_VALUE"""),"")</f>
        <v/>
      </c>
      <c r="N339" s="4" t="str">
        <f>IFERROR(__xludf.DUMMYFUNCTION("""COMPUTED_VALUE"""),"")</f>
        <v/>
      </c>
      <c r="O339" s="4" t="str">
        <f>IFERROR(__xludf.DUMMYFUNCTION("""COMPUTED_VALUE"""),"")</f>
        <v/>
      </c>
      <c r="P339" s="4" t="str">
        <f>IFERROR(__xludf.DUMMYFUNCTION("""COMPUTED_VALUE"""),"")</f>
        <v/>
      </c>
      <c r="Q339" s="4" t="str">
        <f>IFERROR(__xludf.DUMMYFUNCTION("""COMPUTED_VALUE"""),"")</f>
        <v/>
      </c>
      <c r="R339" s="4" t="str">
        <f>IFERROR(__xludf.DUMMYFUNCTION("""COMPUTED_VALUE"""),"")</f>
        <v/>
      </c>
    </row>
    <row r="340">
      <c r="A340" s="4" t="str">
        <f>IFERROR(__xludf.DUMMYFUNCTION("""COMPUTED_VALUE"""),"370 - Channel 5")</f>
        <v>370 - Channel 5</v>
      </c>
      <c r="B340" s="4" t="str">
        <f>IFERROR(__xludf.DUMMYFUNCTION("""COMPUTED_VALUE"""),"")</f>
        <v/>
      </c>
      <c r="C340" s="4" t="str">
        <f>IFERROR(__xludf.DUMMYFUNCTION("""COMPUTED_VALUE"""),"")</f>
        <v/>
      </c>
      <c r="D340" s="4" t="str">
        <f>IFERROR(__xludf.DUMMYFUNCTION("""COMPUTED_VALUE"""),"")</f>
        <v/>
      </c>
      <c r="E340" s="4" t="str">
        <f>IFERROR(__xludf.DUMMYFUNCTION("""COMPUTED_VALUE"""),"")</f>
        <v/>
      </c>
      <c r="F340" s="4" t="str">
        <f>IFERROR(__xludf.DUMMYFUNCTION("""COMPUTED_VALUE"""),"")</f>
        <v/>
      </c>
      <c r="G340" s="4" t="str">
        <f>IFERROR(__xludf.DUMMYFUNCTION("""COMPUTED_VALUE"""),"")</f>
        <v/>
      </c>
      <c r="H340" s="4" t="str">
        <f>IFERROR(__xludf.DUMMYFUNCTION("""COMPUTED_VALUE"""),"")</f>
        <v/>
      </c>
      <c r="I340" s="4" t="str">
        <f>IFERROR(__xludf.DUMMYFUNCTION("""COMPUTED_VALUE"""),"")</f>
        <v/>
      </c>
      <c r="J340" s="4" t="str">
        <f>IFERROR(__xludf.DUMMYFUNCTION("""COMPUTED_VALUE"""),"")</f>
        <v/>
      </c>
      <c r="K340" s="4" t="str">
        <f>IFERROR(__xludf.DUMMYFUNCTION("""COMPUTED_VALUE"""),"")</f>
        <v/>
      </c>
      <c r="L340" s="4" t="str">
        <f>IFERROR(__xludf.DUMMYFUNCTION("""COMPUTED_VALUE"""),"")</f>
        <v/>
      </c>
      <c r="M340" s="4" t="str">
        <f>IFERROR(__xludf.DUMMYFUNCTION("""COMPUTED_VALUE"""),"")</f>
        <v/>
      </c>
      <c r="N340" s="4" t="str">
        <f>IFERROR(__xludf.DUMMYFUNCTION("""COMPUTED_VALUE"""),"")</f>
        <v/>
      </c>
      <c r="O340" s="4" t="str">
        <f>IFERROR(__xludf.DUMMYFUNCTION("""COMPUTED_VALUE"""),"")</f>
        <v/>
      </c>
      <c r="P340" s="4" t="str">
        <f>IFERROR(__xludf.DUMMYFUNCTION("""COMPUTED_VALUE"""),"")</f>
        <v/>
      </c>
      <c r="Q340" s="4" t="str">
        <f>IFERROR(__xludf.DUMMYFUNCTION("""COMPUTED_VALUE"""),"")</f>
        <v/>
      </c>
      <c r="R340" s="4" t="str">
        <f>IFERROR(__xludf.DUMMYFUNCTION("""COMPUTED_VALUE"""),"")</f>
        <v/>
      </c>
    </row>
    <row r="341">
      <c r="A341" s="4" t="str">
        <f>IFERROR(__xludf.DUMMYFUNCTION("""COMPUTED_VALUE"""),"371 - Channel 5")</f>
        <v>371 - Channel 5</v>
      </c>
      <c r="B341" s="4" t="str">
        <f>IFERROR(__xludf.DUMMYFUNCTION("""COMPUTED_VALUE"""),"")</f>
        <v/>
      </c>
      <c r="C341" s="4" t="str">
        <f>IFERROR(__xludf.DUMMYFUNCTION("""COMPUTED_VALUE"""),"")</f>
        <v/>
      </c>
      <c r="D341" s="4" t="str">
        <f>IFERROR(__xludf.DUMMYFUNCTION("""COMPUTED_VALUE"""),"")</f>
        <v/>
      </c>
      <c r="E341" s="4" t="str">
        <f>IFERROR(__xludf.DUMMYFUNCTION("""COMPUTED_VALUE"""),"")</f>
        <v/>
      </c>
      <c r="F341" s="4" t="str">
        <f>IFERROR(__xludf.DUMMYFUNCTION("""COMPUTED_VALUE"""),"")</f>
        <v/>
      </c>
      <c r="G341" s="4" t="str">
        <f>IFERROR(__xludf.DUMMYFUNCTION("""COMPUTED_VALUE"""),"")</f>
        <v/>
      </c>
      <c r="H341" s="4" t="str">
        <f>IFERROR(__xludf.DUMMYFUNCTION("""COMPUTED_VALUE"""),"")</f>
        <v/>
      </c>
      <c r="I341" s="4" t="str">
        <f>IFERROR(__xludf.DUMMYFUNCTION("""COMPUTED_VALUE"""),"")</f>
        <v/>
      </c>
      <c r="J341" s="4" t="str">
        <f>IFERROR(__xludf.DUMMYFUNCTION("""COMPUTED_VALUE"""),"")</f>
        <v/>
      </c>
      <c r="K341" s="4" t="str">
        <f>IFERROR(__xludf.DUMMYFUNCTION("""COMPUTED_VALUE"""),"")</f>
        <v/>
      </c>
      <c r="L341" s="4" t="str">
        <f>IFERROR(__xludf.DUMMYFUNCTION("""COMPUTED_VALUE"""),"")</f>
        <v/>
      </c>
      <c r="M341" s="4" t="str">
        <f>IFERROR(__xludf.DUMMYFUNCTION("""COMPUTED_VALUE"""),"")</f>
        <v/>
      </c>
      <c r="N341" s="4" t="str">
        <f>IFERROR(__xludf.DUMMYFUNCTION("""COMPUTED_VALUE"""),"")</f>
        <v/>
      </c>
      <c r="O341" s="4" t="str">
        <f>IFERROR(__xludf.DUMMYFUNCTION("""COMPUTED_VALUE"""),"")</f>
        <v/>
      </c>
      <c r="P341" s="4" t="str">
        <f>IFERROR(__xludf.DUMMYFUNCTION("""COMPUTED_VALUE"""),"")</f>
        <v/>
      </c>
      <c r="Q341" s="4" t="str">
        <f>IFERROR(__xludf.DUMMYFUNCTION("""COMPUTED_VALUE"""),"")</f>
        <v/>
      </c>
      <c r="R341" s="4" t="str">
        <f>IFERROR(__xludf.DUMMYFUNCTION("""COMPUTED_VALUE"""),"")</f>
        <v/>
      </c>
    </row>
    <row r="342">
      <c r="A342" s="4" t="str">
        <f>IFERROR(__xludf.DUMMYFUNCTION("""COMPUTED_VALUE"""),"372 - Channel 5")</f>
        <v>372 - Channel 5</v>
      </c>
      <c r="B342" s="4" t="str">
        <f>IFERROR(__xludf.DUMMYFUNCTION("""COMPUTED_VALUE"""),"")</f>
        <v/>
      </c>
      <c r="C342" s="4" t="str">
        <f>IFERROR(__xludf.DUMMYFUNCTION("""COMPUTED_VALUE"""),"")</f>
        <v/>
      </c>
      <c r="D342" s="4" t="str">
        <f>IFERROR(__xludf.DUMMYFUNCTION("""COMPUTED_VALUE"""),"")</f>
        <v/>
      </c>
      <c r="E342" s="4" t="str">
        <f>IFERROR(__xludf.DUMMYFUNCTION("""COMPUTED_VALUE"""),"")</f>
        <v/>
      </c>
      <c r="F342" s="4" t="str">
        <f>IFERROR(__xludf.DUMMYFUNCTION("""COMPUTED_VALUE"""),"")</f>
        <v/>
      </c>
      <c r="G342" s="4" t="str">
        <f>IFERROR(__xludf.DUMMYFUNCTION("""COMPUTED_VALUE"""),"")</f>
        <v/>
      </c>
      <c r="H342" s="4" t="str">
        <f>IFERROR(__xludf.DUMMYFUNCTION("""COMPUTED_VALUE"""),"")</f>
        <v/>
      </c>
      <c r="I342" s="4" t="str">
        <f>IFERROR(__xludf.DUMMYFUNCTION("""COMPUTED_VALUE"""),"")</f>
        <v/>
      </c>
      <c r="J342" s="4" t="str">
        <f>IFERROR(__xludf.DUMMYFUNCTION("""COMPUTED_VALUE"""),"")</f>
        <v/>
      </c>
      <c r="K342" s="4" t="str">
        <f>IFERROR(__xludf.DUMMYFUNCTION("""COMPUTED_VALUE"""),"")</f>
        <v/>
      </c>
      <c r="L342" s="4" t="str">
        <f>IFERROR(__xludf.DUMMYFUNCTION("""COMPUTED_VALUE"""),"")</f>
        <v/>
      </c>
      <c r="M342" s="4" t="str">
        <f>IFERROR(__xludf.DUMMYFUNCTION("""COMPUTED_VALUE"""),"")</f>
        <v/>
      </c>
      <c r="N342" s="4" t="str">
        <f>IFERROR(__xludf.DUMMYFUNCTION("""COMPUTED_VALUE"""),"")</f>
        <v/>
      </c>
      <c r="O342" s="4" t="str">
        <f>IFERROR(__xludf.DUMMYFUNCTION("""COMPUTED_VALUE"""),"")</f>
        <v/>
      </c>
      <c r="P342" s="4" t="str">
        <f>IFERROR(__xludf.DUMMYFUNCTION("""COMPUTED_VALUE"""),"")</f>
        <v/>
      </c>
      <c r="Q342" s="4" t="str">
        <f>IFERROR(__xludf.DUMMYFUNCTION("""COMPUTED_VALUE"""),"")</f>
        <v/>
      </c>
      <c r="R342" s="4" t="str">
        <f>IFERROR(__xludf.DUMMYFUNCTION("""COMPUTED_VALUE"""),"")</f>
        <v/>
      </c>
    </row>
    <row r="343">
      <c r="A343" s="4" t="str">
        <f>IFERROR(__xludf.DUMMYFUNCTION("""COMPUTED_VALUE"""),"373 - Channel 5")</f>
        <v>373 - Channel 5</v>
      </c>
      <c r="B343" s="4" t="str">
        <f>IFERROR(__xludf.DUMMYFUNCTION("""COMPUTED_VALUE"""),"")</f>
        <v/>
      </c>
      <c r="C343" s="4" t="str">
        <f>IFERROR(__xludf.DUMMYFUNCTION("""COMPUTED_VALUE"""),"")</f>
        <v/>
      </c>
      <c r="D343" s="4" t="str">
        <f>IFERROR(__xludf.DUMMYFUNCTION("""COMPUTED_VALUE"""),"")</f>
        <v/>
      </c>
      <c r="E343" s="4" t="str">
        <f>IFERROR(__xludf.DUMMYFUNCTION("""COMPUTED_VALUE"""),"")</f>
        <v/>
      </c>
      <c r="F343" s="4" t="str">
        <f>IFERROR(__xludf.DUMMYFUNCTION("""COMPUTED_VALUE"""),"")</f>
        <v/>
      </c>
      <c r="G343" s="4" t="str">
        <f>IFERROR(__xludf.DUMMYFUNCTION("""COMPUTED_VALUE"""),"")</f>
        <v/>
      </c>
      <c r="H343" s="4" t="str">
        <f>IFERROR(__xludf.DUMMYFUNCTION("""COMPUTED_VALUE"""),"")</f>
        <v/>
      </c>
      <c r="I343" s="4" t="str">
        <f>IFERROR(__xludf.DUMMYFUNCTION("""COMPUTED_VALUE"""),"")</f>
        <v/>
      </c>
      <c r="J343" s="4" t="str">
        <f>IFERROR(__xludf.DUMMYFUNCTION("""COMPUTED_VALUE"""),"")</f>
        <v/>
      </c>
      <c r="K343" s="4" t="str">
        <f>IFERROR(__xludf.DUMMYFUNCTION("""COMPUTED_VALUE"""),"")</f>
        <v/>
      </c>
      <c r="L343" s="4" t="str">
        <f>IFERROR(__xludf.DUMMYFUNCTION("""COMPUTED_VALUE"""),"")</f>
        <v/>
      </c>
      <c r="M343" s="4" t="str">
        <f>IFERROR(__xludf.DUMMYFUNCTION("""COMPUTED_VALUE"""),"")</f>
        <v/>
      </c>
      <c r="N343" s="4" t="str">
        <f>IFERROR(__xludf.DUMMYFUNCTION("""COMPUTED_VALUE"""),"")</f>
        <v/>
      </c>
      <c r="O343" s="4" t="str">
        <f>IFERROR(__xludf.DUMMYFUNCTION("""COMPUTED_VALUE"""),"")</f>
        <v/>
      </c>
      <c r="P343" s="4" t="str">
        <f>IFERROR(__xludf.DUMMYFUNCTION("""COMPUTED_VALUE"""),"")</f>
        <v/>
      </c>
      <c r="Q343" s="4" t="str">
        <f>IFERROR(__xludf.DUMMYFUNCTION("""COMPUTED_VALUE"""),"")</f>
        <v/>
      </c>
      <c r="R343" s="4" t="str">
        <f>IFERROR(__xludf.DUMMYFUNCTION("""COMPUTED_VALUE"""),"")</f>
        <v/>
      </c>
    </row>
    <row r="344">
      <c r="A344" s="4" t="str">
        <f>IFERROR(__xludf.DUMMYFUNCTION("""COMPUTED_VALUE"""),"374 - Channel 5")</f>
        <v>374 - Channel 5</v>
      </c>
      <c r="B344" s="4" t="str">
        <f>IFERROR(__xludf.DUMMYFUNCTION("""COMPUTED_VALUE"""),"")</f>
        <v/>
      </c>
      <c r="C344" s="4" t="str">
        <f>IFERROR(__xludf.DUMMYFUNCTION("""COMPUTED_VALUE"""),"")</f>
        <v/>
      </c>
      <c r="D344" s="4" t="str">
        <f>IFERROR(__xludf.DUMMYFUNCTION("""COMPUTED_VALUE"""),"")</f>
        <v/>
      </c>
      <c r="E344" s="4" t="str">
        <f>IFERROR(__xludf.DUMMYFUNCTION("""COMPUTED_VALUE"""),"")</f>
        <v/>
      </c>
      <c r="F344" s="4" t="str">
        <f>IFERROR(__xludf.DUMMYFUNCTION("""COMPUTED_VALUE"""),"")</f>
        <v/>
      </c>
      <c r="G344" s="4" t="str">
        <f>IFERROR(__xludf.DUMMYFUNCTION("""COMPUTED_VALUE"""),"")</f>
        <v/>
      </c>
      <c r="H344" s="4" t="str">
        <f>IFERROR(__xludf.DUMMYFUNCTION("""COMPUTED_VALUE"""),"")</f>
        <v/>
      </c>
      <c r="I344" s="4" t="str">
        <f>IFERROR(__xludf.DUMMYFUNCTION("""COMPUTED_VALUE"""),"")</f>
        <v/>
      </c>
      <c r="J344" s="4" t="str">
        <f>IFERROR(__xludf.DUMMYFUNCTION("""COMPUTED_VALUE"""),"")</f>
        <v/>
      </c>
      <c r="K344" s="4" t="str">
        <f>IFERROR(__xludf.DUMMYFUNCTION("""COMPUTED_VALUE"""),"")</f>
        <v/>
      </c>
      <c r="L344" s="4" t="str">
        <f>IFERROR(__xludf.DUMMYFUNCTION("""COMPUTED_VALUE"""),"")</f>
        <v/>
      </c>
      <c r="M344" s="4" t="str">
        <f>IFERROR(__xludf.DUMMYFUNCTION("""COMPUTED_VALUE"""),"")</f>
        <v/>
      </c>
      <c r="N344" s="4" t="str">
        <f>IFERROR(__xludf.DUMMYFUNCTION("""COMPUTED_VALUE"""),"")</f>
        <v/>
      </c>
      <c r="O344" s="4" t="str">
        <f>IFERROR(__xludf.DUMMYFUNCTION("""COMPUTED_VALUE"""),"")</f>
        <v/>
      </c>
      <c r="P344" s="4" t="str">
        <f>IFERROR(__xludf.DUMMYFUNCTION("""COMPUTED_VALUE"""),"")</f>
        <v/>
      </c>
      <c r="Q344" s="4" t="str">
        <f>IFERROR(__xludf.DUMMYFUNCTION("""COMPUTED_VALUE"""),"")</f>
        <v/>
      </c>
      <c r="R344" s="4" t="str">
        <f>IFERROR(__xludf.DUMMYFUNCTION("""COMPUTED_VALUE"""),"")</f>
        <v/>
      </c>
    </row>
    <row r="345">
      <c r="A345" s="4" t="str">
        <f>IFERROR(__xludf.DUMMYFUNCTION("""COMPUTED_VALUE"""),"375 - Channel 5")</f>
        <v>375 - Channel 5</v>
      </c>
      <c r="B345" s="4" t="str">
        <f>IFERROR(__xludf.DUMMYFUNCTION("""COMPUTED_VALUE"""),"")</f>
        <v/>
      </c>
      <c r="C345" s="4" t="str">
        <f>IFERROR(__xludf.DUMMYFUNCTION("""COMPUTED_VALUE"""),"")</f>
        <v/>
      </c>
      <c r="D345" s="4" t="str">
        <f>IFERROR(__xludf.DUMMYFUNCTION("""COMPUTED_VALUE"""),"")</f>
        <v/>
      </c>
      <c r="E345" s="4" t="str">
        <f>IFERROR(__xludf.DUMMYFUNCTION("""COMPUTED_VALUE"""),"")</f>
        <v/>
      </c>
      <c r="F345" s="4" t="str">
        <f>IFERROR(__xludf.DUMMYFUNCTION("""COMPUTED_VALUE"""),"")</f>
        <v/>
      </c>
      <c r="G345" s="4" t="str">
        <f>IFERROR(__xludf.DUMMYFUNCTION("""COMPUTED_VALUE"""),"")</f>
        <v/>
      </c>
      <c r="H345" s="4" t="str">
        <f>IFERROR(__xludf.DUMMYFUNCTION("""COMPUTED_VALUE"""),"")</f>
        <v/>
      </c>
      <c r="I345" s="4" t="str">
        <f>IFERROR(__xludf.DUMMYFUNCTION("""COMPUTED_VALUE"""),"")</f>
        <v/>
      </c>
      <c r="J345" s="4" t="str">
        <f>IFERROR(__xludf.DUMMYFUNCTION("""COMPUTED_VALUE"""),"")</f>
        <v/>
      </c>
      <c r="K345" s="4" t="str">
        <f>IFERROR(__xludf.DUMMYFUNCTION("""COMPUTED_VALUE"""),"")</f>
        <v/>
      </c>
      <c r="L345" s="4" t="str">
        <f>IFERROR(__xludf.DUMMYFUNCTION("""COMPUTED_VALUE"""),"")</f>
        <v/>
      </c>
      <c r="M345" s="4" t="str">
        <f>IFERROR(__xludf.DUMMYFUNCTION("""COMPUTED_VALUE"""),"")</f>
        <v/>
      </c>
      <c r="N345" s="4" t="str">
        <f>IFERROR(__xludf.DUMMYFUNCTION("""COMPUTED_VALUE"""),"")</f>
        <v/>
      </c>
      <c r="O345" s="4" t="str">
        <f>IFERROR(__xludf.DUMMYFUNCTION("""COMPUTED_VALUE"""),"")</f>
        <v/>
      </c>
      <c r="P345" s="4" t="str">
        <f>IFERROR(__xludf.DUMMYFUNCTION("""COMPUTED_VALUE"""),"")</f>
        <v/>
      </c>
      <c r="Q345" s="4" t="str">
        <f>IFERROR(__xludf.DUMMYFUNCTION("""COMPUTED_VALUE"""),"")</f>
        <v/>
      </c>
      <c r="R345" s="4" t="str">
        <f>IFERROR(__xludf.DUMMYFUNCTION("""COMPUTED_VALUE"""),"")</f>
        <v/>
      </c>
    </row>
    <row r="346">
      <c r="A346" s="4" t="str">
        <f>IFERROR(__xludf.DUMMYFUNCTION("""COMPUTED_VALUE"""),"376 - Channel 5")</f>
        <v>376 - Channel 5</v>
      </c>
      <c r="B346" s="4" t="str">
        <f>IFERROR(__xludf.DUMMYFUNCTION("""COMPUTED_VALUE"""),"")</f>
        <v/>
      </c>
      <c r="C346" s="4" t="str">
        <f>IFERROR(__xludf.DUMMYFUNCTION("""COMPUTED_VALUE"""),"")</f>
        <v/>
      </c>
      <c r="D346" s="4" t="str">
        <f>IFERROR(__xludf.DUMMYFUNCTION("""COMPUTED_VALUE"""),"")</f>
        <v/>
      </c>
      <c r="E346" s="4" t="str">
        <f>IFERROR(__xludf.DUMMYFUNCTION("""COMPUTED_VALUE"""),"")</f>
        <v/>
      </c>
      <c r="F346" s="4" t="str">
        <f>IFERROR(__xludf.DUMMYFUNCTION("""COMPUTED_VALUE"""),"")</f>
        <v/>
      </c>
      <c r="G346" s="4" t="str">
        <f>IFERROR(__xludf.DUMMYFUNCTION("""COMPUTED_VALUE"""),"")</f>
        <v/>
      </c>
      <c r="H346" s="4" t="str">
        <f>IFERROR(__xludf.DUMMYFUNCTION("""COMPUTED_VALUE"""),"")</f>
        <v/>
      </c>
      <c r="I346" s="4" t="str">
        <f>IFERROR(__xludf.DUMMYFUNCTION("""COMPUTED_VALUE"""),"")</f>
        <v/>
      </c>
      <c r="J346" s="4" t="str">
        <f>IFERROR(__xludf.DUMMYFUNCTION("""COMPUTED_VALUE"""),"")</f>
        <v/>
      </c>
      <c r="K346" s="4" t="str">
        <f>IFERROR(__xludf.DUMMYFUNCTION("""COMPUTED_VALUE"""),"")</f>
        <v/>
      </c>
      <c r="L346" s="4" t="str">
        <f>IFERROR(__xludf.DUMMYFUNCTION("""COMPUTED_VALUE"""),"")</f>
        <v/>
      </c>
      <c r="M346" s="4" t="str">
        <f>IFERROR(__xludf.DUMMYFUNCTION("""COMPUTED_VALUE"""),"")</f>
        <v/>
      </c>
      <c r="N346" s="4" t="str">
        <f>IFERROR(__xludf.DUMMYFUNCTION("""COMPUTED_VALUE"""),"")</f>
        <v/>
      </c>
      <c r="O346" s="4" t="str">
        <f>IFERROR(__xludf.DUMMYFUNCTION("""COMPUTED_VALUE"""),"")</f>
        <v/>
      </c>
      <c r="P346" s="4" t="str">
        <f>IFERROR(__xludf.DUMMYFUNCTION("""COMPUTED_VALUE"""),"")</f>
        <v/>
      </c>
      <c r="Q346" s="4" t="str">
        <f>IFERROR(__xludf.DUMMYFUNCTION("""COMPUTED_VALUE"""),"")</f>
        <v/>
      </c>
      <c r="R346" s="4" t="str">
        <f>IFERROR(__xludf.DUMMYFUNCTION("""COMPUTED_VALUE"""),"")</f>
        <v/>
      </c>
    </row>
    <row r="347">
      <c r="A347" s="4" t="str">
        <f>IFERROR(__xludf.DUMMYFUNCTION("""COMPUTED_VALUE"""),"377 - Channel 5")</f>
        <v>377 - Channel 5</v>
      </c>
      <c r="B347" s="4" t="str">
        <f>IFERROR(__xludf.DUMMYFUNCTION("""COMPUTED_VALUE"""),"")</f>
        <v/>
      </c>
      <c r="C347" s="4" t="str">
        <f>IFERROR(__xludf.DUMMYFUNCTION("""COMPUTED_VALUE"""),"")</f>
        <v/>
      </c>
      <c r="D347" s="4" t="str">
        <f>IFERROR(__xludf.DUMMYFUNCTION("""COMPUTED_VALUE"""),"")</f>
        <v/>
      </c>
      <c r="E347" s="4" t="str">
        <f>IFERROR(__xludf.DUMMYFUNCTION("""COMPUTED_VALUE"""),"")</f>
        <v/>
      </c>
      <c r="F347" s="4" t="str">
        <f>IFERROR(__xludf.DUMMYFUNCTION("""COMPUTED_VALUE"""),"")</f>
        <v/>
      </c>
      <c r="G347" s="4" t="str">
        <f>IFERROR(__xludf.DUMMYFUNCTION("""COMPUTED_VALUE"""),"")</f>
        <v/>
      </c>
      <c r="H347" s="4" t="str">
        <f>IFERROR(__xludf.DUMMYFUNCTION("""COMPUTED_VALUE"""),"")</f>
        <v/>
      </c>
      <c r="I347" s="4" t="str">
        <f>IFERROR(__xludf.DUMMYFUNCTION("""COMPUTED_VALUE"""),"")</f>
        <v/>
      </c>
      <c r="J347" s="4" t="str">
        <f>IFERROR(__xludf.DUMMYFUNCTION("""COMPUTED_VALUE"""),"")</f>
        <v/>
      </c>
      <c r="K347" s="4" t="str">
        <f>IFERROR(__xludf.DUMMYFUNCTION("""COMPUTED_VALUE"""),"")</f>
        <v/>
      </c>
      <c r="L347" s="4" t="str">
        <f>IFERROR(__xludf.DUMMYFUNCTION("""COMPUTED_VALUE"""),"")</f>
        <v/>
      </c>
      <c r="M347" s="4" t="str">
        <f>IFERROR(__xludf.DUMMYFUNCTION("""COMPUTED_VALUE"""),"")</f>
        <v/>
      </c>
      <c r="N347" s="4" t="str">
        <f>IFERROR(__xludf.DUMMYFUNCTION("""COMPUTED_VALUE"""),"")</f>
        <v/>
      </c>
      <c r="O347" s="4" t="str">
        <f>IFERROR(__xludf.DUMMYFUNCTION("""COMPUTED_VALUE"""),"")</f>
        <v/>
      </c>
      <c r="P347" s="4" t="str">
        <f>IFERROR(__xludf.DUMMYFUNCTION("""COMPUTED_VALUE"""),"")</f>
        <v/>
      </c>
      <c r="Q347" s="4" t="str">
        <f>IFERROR(__xludf.DUMMYFUNCTION("""COMPUTED_VALUE"""),"")</f>
        <v/>
      </c>
      <c r="R347" s="4" t="str">
        <f>IFERROR(__xludf.DUMMYFUNCTION("""COMPUTED_VALUE"""),"")</f>
        <v/>
      </c>
    </row>
    <row r="348">
      <c r="A348" s="4" t="str">
        <f>IFERROR(__xludf.DUMMYFUNCTION("""COMPUTED_VALUE"""),"378 - Channel 5")</f>
        <v>378 - Channel 5</v>
      </c>
      <c r="B348" s="4" t="str">
        <f>IFERROR(__xludf.DUMMYFUNCTION("""COMPUTED_VALUE"""),"")</f>
        <v/>
      </c>
      <c r="C348" s="4" t="str">
        <f>IFERROR(__xludf.DUMMYFUNCTION("""COMPUTED_VALUE"""),"")</f>
        <v/>
      </c>
      <c r="D348" s="4" t="str">
        <f>IFERROR(__xludf.DUMMYFUNCTION("""COMPUTED_VALUE"""),"")</f>
        <v/>
      </c>
      <c r="E348" s="4" t="str">
        <f>IFERROR(__xludf.DUMMYFUNCTION("""COMPUTED_VALUE"""),"")</f>
        <v/>
      </c>
      <c r="F348" s="4" t="str">
        <f>IFERROR(__xludf.DUMMYFUNCTION("""COMPUTED_VALUE"""),"")</f>
        <v/>
      </c>
      <c r="G348" s="4" t="str">
        <f>IFERROR(__xludf.DUMMYFUNCTION("""COMPUTED_VALUE"""),"")</f>
        <v/>
      </c>
      <c r="H348" s="4" t="str">
        <f>IFERROR(__xludf.DUMMYFUNCTION("""COMPUTED_VALUE"""),"")</f>
        <v/>
      </c>
      <c r="I348" s="4" t="str">
        <f>IFERROR(__xludf.DUMMYFUNCTION("""COMPUTED_VALUE"""),"")</f>
        <v/>
      </c>
      <c r="J348" s="4" t="str">
        <f>IFERROR(__xludf.DUMMYFUNCTION("""COMPUTED_VALUE"""),"")</f>
        <v/>
      </c>
      <c r="K348" s="4" t="str">
        <f>IFERROR(__xludf.DUMMYFUNCTION("""COMPUTED_VALUE"""),"")</f>
        <v/>
      </c>
      <c r="L348" s="4" t="str">
        <f>IFERROR(__xludf.DUMMYFUNCTION("""COMPUTED_VALUE"""),"")</f>
        <v/>
      </c>
      <c r="M348" s="4" t="str">
        <f>IFERROR(__xludf.DUMMYFUNCTION("""COMPUTED_VALUE"""),"")</f>
        <v/>
      </c>
      <c r="N348" s="4" t="str">
        <f>IFERROR(__xludf.DUMMYFUNCTION("""COMPUTED_VALUE"""),"")</f>
        <v/>
      </c>
      <c r="O348" s="4" t="str">
        <f>IFERROR(__xludf.DUMMYFUNCTION("""COMPUTED_VALUE"""),"")</f>
        <v/>
      </c>
      <c r="P348" s="4" t="str">
        <f>IFERROR(__xludf.DUMMYFUNCTION("""COMPUTED_VALUE"""),"")</f>
        <v/>
      </c>
      <c r="Q348" s="4" t="str">
        <f>IFERROR(__xludf.DUMMYFUNCTION("""COMPUTED_VALUE"""),"")</f>
        <v/>
      </c>
      <c r="R348" s="4" t="str">
        <f>IFERROR(__xludf.DUMMYFUNCTION("""COMPUTED_VALUE"""),"")</f>
        <v/>
      </c>
    </row>
    <row r="349">
      <c r="A349" s="4" t="str">
        <f>IFERROR(__xludf.DUMMYFUNCTION("""COMPUTED_VALUE"""),"379 - Channel 5")</f>
        <v>379 - Channel 5</v>
      </c>
      <c r="B349" s="4" t="str">
        <f>IFERROR(__xludf.DUMMYFUNCTION("""COMPUTED_VALUE"""),"")</f>
        <v/>
      </c>
      <c r="C349" s="4" t="str">
        <f>IFERROR(__xludf.DUMMYFUNCTION("""COMPUTED_VALUE"""),"")</f>
        <v/>
      </c>
      <c r="D349" s="4" t="str">
        <f>IFERROR(__xludf.DUMMYFUNCTION("""COMPUTED_VALUE"""),"")</f>
        <v/>
      </c>
      <c r="E349" s="4" t="str">
        <f>IFERROR(__xludf.DUMMYFUNCTION("""COMPUTED_VALUE"""),"")</f>
        <v/>
      </c>
      <c r="F349" s="4" t="str">
        <f>IFERROR(__xludf.DUMMYFUNCTION("""COMPUTED_VALUE"""),"")</f>
        <v/>
      </c>
      <c r="G349" s="4" t="str">
        <f>IFERROR(__xludf.DUMMYFUNCTION("""COMPUTED_VALUE"""),"")</f>
        <v/>
      </c>
      <c r="H349" s="4" t="str">
        <f>IFERROR(__xludf.DUMMYFUNCTION("""COMPUTED_VALUE"""),"")</f>
        <v/>
      </c>
      <c r="I349" s="4" t="str">
        <f>IFERROR(__xludf.DUMMYFUNCTION("""COMPUTED_VALUE"""),"")</f>
        <v/>
      </c>
      <c r="J349" s="4" t="str">
        <f>IFERROR(__xludf.DUMMYFUNCTION("""COMPUTED_VALUE"""),"")</f>
        <v/>
      </c>
      <c r="K349" s="4" t="str">
        <f>IFERROR(__xludf.DUMMYFUNCTION("""COMPUTED_VALUE"""),"")</f>
        <v/>
      </c>
      <c r="L349" s="4" t="str">
        <f>IFERROR(__xludf.DUMMYFUNCTION("""COMPUTED_VALUE"""),"")</f>
        <v/>
      </c>
      <c r="M349" s="4" t="str">
        <f>IFERROR(__xludf.DUMMYFUNCTION("""COMPUTED_VALUE"""),"")</f>
        <v/>
      </c>
      <c r="N349" s="4" t="str">
        <f>IFERROR(__xludf.DUMMYFUNCTION("""COMPUTED_VALUE"""),"")</f>
        <v/>
      </c>
      <c r="O349" s="4" t="str">
        <f>IFERROR(__xludf.DUMMYFUNCTION("""COMPUTED_VALUE"""),"")</f>
        <v/>
      </c>
      <c r="P349" s="4" t="str">
        <f>IFERROR(__xludf.DUMMYFUNCTION("""COMPUTED_VALUE"""),"")</f>
        <v/>
      </c>
      <c r="Q349" s="4" t="str">
        <f>IFERROR(__xludf.DUMMYFUNCTION("""COMPUTED_VALUE"""),"")</f>
        <v/>
      </c>
      <c r="R349" s="4" t="str">
        <f>IFERROR(__xludf.DUMMYFUNCTION("""COMPUTED_VALUE"""),"")</f>
        <v/>
      </c>
    </row>
    <row r="350">
      <c r="A350" s="4" t="str">
        <f>IFERROR(__xludf.DUMMYFUNCTION("""COMPUTED_VALUE"""),"380 - Channel 5")</f>
        <v>380 - Channel 5</v>
      </c>
      <c r="B350" s="4" t="str">
        <f>IFERROR(__xludf.DUMMYFUNCTION("""COMPUTED_VALUE"""),"")</f>
        <v/>
      </c>
      <c r="C350" s="4" t="str">
        <f>IFERROR(__xludf.DUMMYFUNCTION("""COMPUTED_VALUE"""),"")</f>
        <v/>
      </c>
      <c r="D350" s="4" t="str">
        <f>IFERROR(__xludf.DUMMYFUNCTION("""COMPUTED_VALUE"""),"")</f>
        <v/>
      </c>
      <c r="E350" s="4" t="str">
        <f>IFERROR(__xludf.DUMMYFUNCTION("""COMPUTED_VALUE"""),"")</f>
        <v/>
      </c>
      <c r="F350" s="4" t="str">
        <f>IFERROR(__xludf.DUMMYFUNCTION("""COMPUTED_VALUE"""),"")</f>
        <v/>
      </c>
      <c r="G350" s="4" t="str">
        <f>IFERROR(__xludf.DUMMYFUNCTION("""COMPUTED_VALUE"""),"")</f>
        <v/>
      </c>
      <c r="H350" s="4" t="str">
        <f>IFERROR(__xludf.DUMMYFUNCTION("""COMPUTED_VALUE"""),"")</f>
        <v/>
      </c>
      <c r="I350" s="4" t="str">
        <f>IFERROR(__xludf.DUMMYFUNCTION("""COMPUTED_VALUE"""),"")</f>
        <v/>
      </c>
      <c r="J350" s="4" t="str">
        <f>IFERROR(__xludf.DUMMYFUNCTION("""COMPUTED_VALUE"""),"")</f>
        <v/>
      </c>
      <c r="K350" s="4" t="str">
        <f>IFERROR(__xludf.DUMMYFUNCTION("""COMPUTED_VALUE"""),"")</f>
        <v/>
      </c>
      <c r="L350" s="4" t="str">
        <f>IFERROR(__xludf.DUMMYFUNCTION("""COMPUTED_VALUE"""),"")</f>
        <v/>
      </c>
      <c r="M350" s="4" t="str">
        <f>IFERROR(__xludf.DUMMYFUNCTION("""COMPUTED_VALUE"""),"")</f>
        <v/>
      </c>
      <c r="N350" s="4" t="str">
        <f>IFERROR(__xludf.DUMMYFUNCTION("""COMPUTED_VALUE"""),"")</f>
        <v/>
      </c>
      <c r="O350" s="4" t="str">
        <f>IFERROR(__xludf.DUMMYFUNCTION("""COMPUTED_VALUE"""),"")</f>
        <v/>
      </c>
      <c r="P350" s="4" t="str">
        <f>IFERROR(__xludf.DUMMYFUNCTION("""COMPUTED_VALUE"""),"")</f>
        <v/>
      </c>
      <c r="Q350" s="4" t="str">
        <f>IFERROR(__xludf.DUMMYFUNCTION("""COMPUTED_VALUE"""),"")</f>
        <v/>
      </c>
      <c r="R350" s="4" t="str">
        <f>IFERROR(__xludf.DUMMYFUNCTION("""COMPUTED_VALUE"""),"")</f>
        <v/>
      </c>
    </row>
    <row r="351">
      <c r="A351" s="4" t="str">
        <f>IFERROR(__xludf.DUMMYFUNCTION("""COMPUTED_VALUE"""),"381 - Channel 5")</f>
        <v>381 - Channel 5</v>
      </c>
      <c r="B351" s="4" t="str">
        <f>IFERROR(__xludf.DUMMYFUNCTION("""COMPUTED_VALUE"""),"")</f>
        <v/>
      </c>
      <c r="C351" s="4" t="str">
        <f>IFERROR(__xludf.DUMMYFUNCTION("""COMPUTED_VALUE"""),"")</f>
        <v/>
      </c>
      <c r="D351" s="4" t="str">
        <f>IFERROR(__xludf.DUMMYFUNCTION("""COMPUTED_VALUE"""),"")</f>
        <v/>
      </c>
      <c r="E351" s="4" t="str">
        <f>IFERROR(__xludf.DUMMYFUNCTION("""COMPUTED_VALUE"""),"")</f>
        <v/>
      </c>
      <c r="F351" s="4" t="str">
        <f>IFERROR(__xludf.DUMMYFUNCTION("""COMPUTED_VALUE"""),"")</f>
        <v/>
      </c>
      <c r="G351" s="4" t="str">
        <f>IFERROR(__xludf.DUMMYFUNCTION("""COMPUTED_VALUE"""),"")</f>
        <v/>
      </c>
      <c r="H351" s="4" t="str">
        <f>IFERROR(__xludf.DUMMYFUNCTION("""COMPUTED_VALUE"""),"")</f>
        <v/>
      </c>
      <c r="I351" s="4" t="str">
        <f>IFERROR(__xludf.DUMMYFUNCTION("""COMPUTED_VALUE"""),"")</f>
        <v/>
      </c>
      <c r="J351" s="4" t="str">
        <f>IFERROR(__xludf.DUMMYFUNCTION("""COMPUTED_VALUE"""),"")</f>
        <v/>
      </c>
      <c r="K351" s="4" t="str">
        <f>IFERROR(__xludf.DUMMYFUNCTION("""COMPUTED_VALUE"""),"")</f>
        <v/>
      </c>
      <c r="L351" s="4" t="str">
        <f>IFERROR(__xludf.DUMMYFUNCTION("""COMPUTED_VALUE"""),"")</f>
        <v/>
      </c>
      <c r="M351" s="4" t="str">
        <f>IFERROR(__xludf.DUMMYFUNCTION("""COMPUTED_VALUE"""),"")</f>
        <v/>
      </c>
      <c r="N351" s="4" t="str">
        <f>IFERROR(__xludf.DUMMYFUNCTION("""COMPUTED_VALUE"""),"")</f>
        <v/>
      </c>
      <c r="O351" s="4" t="str">
        <f>IFERROR(__xludf.DUMMYFUNCTION("""COMPUTED_VALUE"""),"")</f>
        <v/>
      </c>
      <c r="P351" s="4" t="str">
        <f>IFERROR(__xludf.DUMMYFUNCTION("""COMPUTED_VALUE"""),"")</f>
        <v/>
      </c>
      <c r="Q351" s="4" t="str">
        <f>IFERROR(__xludf.DUMMYFUNCTION("""COMPUTED_VALUE"""),"")</f>
        <v/>
      </c>
      <c r="R351" s="4" t="str">
        <f>IFERROR(__xludf.DUMMYFUNCTION("""COMPUTED_VALUE"""),"")</f>
        <v/>
      </c>
    </row>
    <row r="352">
      <c r="A352" s="4" t="str">
        <f>IFERROR(__xludf.DUMMYFUNCTION("""COMPUTED_VALUE"""),"382 - Channel 5")</f>
        <v>382 - Channel 5</v>
      </c>
      <c r="B352" s="4" t="str">
        <f>IFERROR(__xludf.DUMMYFUNCTION("""COMPUTED_VALUE"""),"")</f>
        <v/>
      </c>
      <c r="C352" s="4" t="str">
        <f>IFERROR(__xludf.DUMMYFUNCTION("""COMPUTED_VALUE"""),"")</f>
        <v/>
      </c>
      <c r="D352" s="4" t="str">
        <f>IFERROR(__xludf.DUMMYFUNCTION("""COMPUTED_VALUE"""),"")</f>
        <v/>
      </c>
      <c r="E352" s="4" t="str">
        <f>IFERROR(__xludf.DUMMYFUNCTION("""COMPUTED_VALUE"""),"")</f>
        <v/>
      </c>
      <c r="F352" s="4" t="str">
        <f>IFERROR(__xludf.DUMMYFUNCTION("""COMPUTED_VALUE"""),"")</f>
        <v/>
      </c>
      <c r="G352" s="4" t="str">
        <f>IFERROR(__xludf.DUMMYFUNCTION("""COMPUTED_VALUE"""),"")</f>
        <v/>
      </c>
      <c r="H352" s="4" t="str">
        <f>IFERROR(__xludf.DUMMYFUNCTION("""COMPUTED_VALUE"""),"")</f>
        <v/>
      </c>
      <c r="I352" s="4" t="str">
        <f>IFERROR(__xludf.DUMMYFUNCTION("""COMPUTED_VALUE"""),"")</f>
        <v/>
      </c>
      <c r="J352" s="4" t="str">
        <f>IFERROR(__xludf.DUMMYFUNCTION("""COMPUTED_VALUE"""),"")</f>
        <v/>
      </c>
      <c r="K352" s="4" t="str">
        <f>IFERROR(__xludf.DUMMYFUNCTION("""COMPUTED_VALUE"""),"")</f>
        <v/>
      </c>
      <c r="L352" s="4" t="str">
        <f>IFERROR(__xludf.DUMMYFUNCTION("""COMPUTED_VALUE"""),"")</f>
        <v/>
      </c>
      <c r="M352" s="4" t="str">
        <f>IFERROR(__xludf.DUMMYFUNCTION("""COMPUTED_VALUE"""),"")</f>
        <v/>
      </c>
      <c r="N352" s="4" t="str">
        <f>IFERROR(__xludf.DUMMYFUNCTION("""COMPUTED_VALUE"""),"")</f>
        <v/>
      </c>
      <c r="O352" s="4" t="str">
        <f>IFERROR(__xludf.DUMMYFUNCTION("""COMPUTED_VALUE"""),"")</f>
        <v/>
      </c>
      <c r="P352" s="4" t="str">
        <f>IFERROR(__xludf.DUMMYFUNCTION("""COMPUTED_VALUE"""),"")</f>
        <v/>
      </c>
      <c r="Q352" s="4" t="str">
        <f>IFERROR(__xludf.DUMMYFUNCTION("""COMPUTED_VALUE"""),"")</f>
        <v/>
      </c>
      <c r="R352" s="4" t="str">
        <f>IFERROR(__xludf.DUMMYFUNCTION("""COMPUTED_VALUE"""),"")</f>
        <v/>
      </c>
    </row>
    <row r="353">
      <c r="A353" s="4" t="str">
        <f>IFERROR(__xludf.DUMMYFUNCTION("""COMPUTED_VALUE"""),"383 - Channel 5")</f>
        <v>383 - Channel 5</v>
      </c>
      <c r="B353" s="4" t="str">
        <f>IFERROR(__xludf.DUMMYFUNCTION("""COMPUTED_VALUE"""),"")</f>
        <v/>
      </c>
      <c r="C353" s="4" t="str">
        <f>IFERROR(__xludf.DUMMYFUNCTION("""COMPUTED_VALUE"""),"")</f>
        <v/>
      </c>
      <c r="D353" s="4" t="str">
        <f>IFERROR(__xludf.DUMMYFUNCTION("""COMPUTED_VALUE"""),"")</f>
        <v/>
      </c>
      <c r="E353" s="4" t="str">
        <f>IFERROR(__xludf.DUMMYFUNCTION("""COMPUTED_VALUE"""),"")</f>
        <v/>
      </c>
      <c r="F353" s="4" t="str">
        <f>IFERROR(__xludf.DUMMYFUNCTION("""COMPUTED_VALUE"""),"")</f>
        <v/>
      </c>
      <c r="G353" s="4" t="str">
        <f>IFERROR(__xludf.DUMMYFUNCTION("""COMPUTED_VALUE"""),"")</f>
        <v/>
      </c>
      <c r="H353" s="4" t="str">
        <f>IFERROR(__xludf.DUMMYFUNCTION("""COMPUTED_VALUE"""),"")</f>
        <v/>
      </c>
      <c r="I353" s="4" t="str">
        <f>IFERROR(__xludf.DUMMYFUNCTION("""COMPUTED_VALUE"""),"")</f>
        <v/>
      </c>
      <c r="J353" s="4" t="str">
        <f>IFERROR(__xludf.DUMMYFUNCTION("""COMPUTED_VALUE"""),"")</f>
        <v/>
      </c>
      <c r="K353" s="4" t="str">
        <f>IFERROR(__xludf.DUMMYFUNCTION("""COMPUTED_VALUE"""),"")</f>
        <v/>
      </c>
      <c r="L353" s="4" t="str">
        <f>IFERROR(__xludf.DUMMYFUNCTION("""COMPUTED_VALUE"""),"")</f>
        <v/>
      </c>
      <c r="M353" s="4" t="str">
        <f>IFERROR(__xludf.DUMMYFUNCTION("""COMPUTED_VALUE"""),"")</f>
        <v/>
      </c>
      <c r="N353" s="4" t="str">
        <f>IFERROR(__xludf.DUMMYFUNCTION("""COMPUTED_VALUE"""),"")</f>
        <v/>
      </c>
      <c r="O353" s="4" t="str">
        <f>IFERROR(__xludf.DUMMYFUNCTION("""COMPUTED_VALUE"""),"")</f>
        <v/>
      </c>
      <c r="P353" s="4" t="str">
        <f>IFERROR(__xludf.DUMMYFUNCTION("""COMPUTED_VALUE"""),"")</f>
        <v/>
      </c>
      <c r="Q353" s="4" t="str">
        <f>IFERROR(__xludf.DUMMYFUNCTION("""COMPUTED_VALUE"""),"")</f>
        <v/>
      </c>
      <c r="R353" s="4" t="str">
        <f>IFERROR(__xludf.DUMMYFUNCTION("""COMPUTED_VALUE"""),"")</f>
        <v/>
      </c>
    </row>
    <row r="354">
      <c r="A354" s="4" t="str">
        <f>IFERROR(__xludf.DUMMYFUNCTION("""COMPUTED_VALUE"""),"384 - Channel 5")</f>
        <v>384 - Channel 5</v>
      </c>
      <c r="B354" s="4" t="str">
        <f>IFERROR(__xludf.DUMMYFUNCTION("""COMPUTED_VALUE"""),"")</f>
        <v/>
      </c>
      <c r="C354" s="4" t="str">
        <f>IFERROR(__xludf.DUMMYFUNCTION("""COMPUTED_VALUE"""),"")</f>
        <v/>
      </c>
      <c r="D354" s="4" t="str">
        <f>IFERROR(__xludf.DUMMYFUNCTION("""COMPUTED_VALUE"""),"")</f>
        <v/>
      </c>
      <c r="E354" s="4" t="str">
        <f>IFERROR(__xludf.DUMMYFUNCTION("""COMPUTED_VALUE"""),"")</f>
        <v/>
      </c>
      <c r="F354" s="4" t="str">
        <f>IFERROR(__xludf.DUMMYFUNCTION("""COMPUTED_VALUE"""),"")</f>
        <v/>
      </c>
      <c r="G354" s="4" t="str">
        <f>IFERROR(__xludf.DUMMYFUNCTION("""COMPUTED_VALUE"""),"")</f>
        <v/>
      </c>
      <c r="H354" s="4" t="str">
        <f>IFERROR(__xludf.DUMMYFUNCTION("""COMPUTED_VALUE"""),"")</f>
        <v/>
      </c>
      <c r="I354" s="4" t="str">
        <f>IFERROR(__xludf.DUMMYFUNCTION("""COMPUTED_VALUE"""),"")</f>
        <v/>
      </c>
      <c r="J354" s="4" t="str">
        <f>IFERROR(__xludf.DUMMYFUNCTION("""COMPUTED_VALUE"""),"")</f>
        <v/>
      </c>
      <c r="K354" s="4" t="str">
        <f>IFERROR(__xludf.DUMMYFUNCTION("""COMPUTED_VALUE"""),"")</f>
        <v/>
      </c>
      <c r="L354" s="4" t="str">
        <f>IFERROR(__xludf.DUMMYFUNCTION("""COMPUTED_VALUE"""),"")</f>
        <v/>
      </c>
      <c r="M354" s="4" t="str">
        <f>IFERROR(__xludf.DUMMYFUNCTION("""COMPUTED_VALUE"""),"")</f>
        <v/>
      </c>
      <c r="N354" s="4" t="str">
        <f>IFERROR(__xludf.DUMMYFUNCTION("""COMPUTED_VALUE"""),"")</f>
        <v/>
      </c>
      <c r="O354" s="4" t="str">
        <f>IFERROR(__xludf.DUMMYFUNCTION("""COMPUTED_VALUE"""),"")</f>
        <v/>
      </c>
      <c r="P354" s="4" t="str">
        <f>IFERROR(__xludf.DUMMYFUNCTION("""COMPUTED_VALUE"""),"")</f>
        <v/>
      </c>
      <c r="Q354" s="4" t="str">
        <f>IFERROR(__xludf.DUMMYFUNCTION("""COMPUTED_VALUE"""),"")</f>
        <v/>
      </c>
      <c r="R354" s="4" t="str">
        <f>IFERROR(__xludf.DUMMYFUNCTION("""COMPUTED_VALUE"""),"")</f>
        <v/>
      </c>
    </row>
    <row r="355">
      <c r="A355" s="4" t="str">
        <f>IFERROR(__xludf.DUMMYFUNCTION("""COMPUTED_VALUE"""),"385 - Channel 5")</f>
        <v>385 - Channel 5</v>
      </c>
      <c r="B355" s="4" t="str">
        <f>IFERROR(__xludf.DUMMYFUNCTION("""COMPUTED_VALUE"""),"")</f>
        <v/>
      </c>
      <c r="C355" s="4" t="str">
        <f>IFERROR(__xludf.DUMMYFUNCTION("""COMPUTED_VALUE"""),"")</f>
        <v/>
      </c>
      <c r="D355" s="4" t="str">
        <f>IFERROR(__xludf.DUMMYFUNCTION("""COMPUTED_VALUE"""),"")</f>
        <v/>
      </c>
      <c r="E355" s="4" t="str">
        <f>IFERROR(__xludf.DUMMYFUNCTION("""COMPUTED_VALUE"""),"")</f>
        <v/>
      </c>
      <c r="F355" s="4" t="str">
        <f>IFERROR(__xludf.DUMMYFUNCTION("""COMPUTED_VALUE"""),"")</f>
        <v/>
      </c>
      <c r="G355" s="4" t="str">
        <f>IFERROR(__xludf.DUMMYFUNCTION("""COMPUTED_VALUE"""),"")</f>
        <v/>
      </c>
      <c r="H355" s="4" t="str">
        <f>IFERROR(__xludf.DUMMYFUNCTION("""COMPUTED_VALUE"""),"")</f>
        <v/>
      </c>
      <c r="I355" s="4" t="str">
        <f>IFERROR(__xludf.DUMMYFUNCTION("""COMPUTED_VALUE"""),"")</f>
        <v/>
      </c>
      <c r="J355" s="4" t="str">
        <f>IFERROR(__xludf.DUMMYFUNCTION("""COMPUTED_VALUE"""),"")</f>
        <v/>
      </c>
      <c r="K355" s="4" t="str">
        <f>IFERROR(__xludf.DUMMYFUNCTION("""COMPUTED_VALUE"""),"")</f>
        <v/>
      </c>
      <c r="L355" s="4" t="str">
        <f>IFERROR(__xludf.DUMMYFUNCTION("""COMPUTED_VALUE"""),"")</f>
        <v/>
      </c>
      <c r="M355" s="4" t="str">
        <f>IFERROR(__xludf.DUMMYFUNCTION("""COMPUTED_VALUE"""),"")</f>
        <v/>
      </c>
      <c r="N355" s="4" t="str">
        <f>IFERROR(__xludf.DUMMYFUNCTION("""COMPUTED_VALUE"""),"")</f>
        <v/>
      </c>
      <c r="O355" s="4" t="str">
        <f>IFERROR(__xludf.DUMMYFUNCTION("""COMPUTED_VALUE"""),"")</f>
        <v/>
      </c>
      <c r="P355" s="4" t="str">
        <f>IFERROR(__xludf.DUMMYFUNCTION("""COMPUTED_VALUE"""),"")</f>
        <v/>
      </c>
      <c r="Q355" s="4" t="str">
        <f>IFERROR(__xludf.DUMMYFUNCTION("""COMPUTED_VALUE"""),"")</f>
        <v/>
      </c>
      <c r="R355" s="4" t="str">
        <f>IFERROR(__xludf.DUMMYFUNCTION("""COMPUTED_VALUE"""),"")</f>
        <v/>
      </c>
    </row>
    <row r="356">
      <c r="A356" s="4" t="str">
        <f>IFERROR(__xludf.DUMMYFUNCTION("""COMPUTED_VALUE"""),"386 - Channel 5")</f>
        <v>386 - Channel 5</v>
      </c>
      <c r="B356" s="4" t="str">
        <f>IFERROR(__xludf.DUMMYFUNCTION("""COMPUTED_VALUE"""),"")</f>
        <v/>
      </c>
      <c r="C356" s="4" t="str">
        <f>IFERROR(__xludf.DUMMYFUNCTION("""COMPUTED_VALUE"""),"")</f>
        <v/>
      </c>
      <c r="D356" s="4" t="str">
        <f>IFERROR(__xludf.DUMMYFUNCTION("""COMPUTED_VALUE"""),"")</f>
        <v/>
      </c>
      <c r="E356" s="4" t="str">
        <f>IFERROR(__xludf.DUMMYFUNCTION("""COMPUTED_VALUE"""),"")</f>
        <v/>
      </c>
      <c r="F356" s="4" t="str">
        <f>IFERROR(__xludf.DUMMYFUNCTION("""COMPUTED_VALUE"""),"")</f>
        <v/>
      </c>
      <c r="G356" s="4" t="str">
        <f>IFERROR(__xludf.DUMMYFUNCTION("""COMPUTED_VALUE"""),"")</f>
        <v/>
      </c>
      <c r="H356" s="4" t="str">
        <f>IFERROR(__xludf.DUMMYFUNCTION("""COMPUTED_VALUE"""),"")</f>
        <v/>
      </c>
      <c r="I356" s="4" t="str">
        <f>IFERROR(__xludf.DUMMYFUNCTION("""COMPUTED_VALUE"""),"")</f>
        <v/>
      </c>
      <c r="J356" s="4" t="str">
        <f>IFERROR(__xludf.DUMMYFUNCTION("""COMPUTED_VALUE"""),"")</f>
        <v/>
      </c>
      <c r="K356" s="4" t="str">
        <f>IFERROR(__xludf.DUMMYFUNCTION("""COMPUTED_VALUE"""),"")</f>
        <v/>
      </c>
      <c r="L356" s="4" t="str">
        <f>IFERROR(__xludf.DUMMYFUNCTION("""COMPUTED_VALUE"""),"")</f>
        <v/>
      </c>
      <c r="M356" s="4" t="str">
        <f>IFERROR(__xludf.DUMMYFUNCTION("""COMPUTED_VALUE"""),"")</f>
        <v/>
      </c>
      <c r="N356" s="4" t="str">
        <f>IFERROR(__xludf.DUMMYFUNCTION("""COMPUTED_VALUE"""),"")</f>
        <v/>
      </c>
      <c r="O356" s="4" t="str">
        <f>IFERROR(__xludf.DUMMYFUNCTION("""COMPUTED_VALUE"""),"")</f>
        <v/>
      </c>
      <c r="P356" s="4" t="str">
        <f>IFERROR(__xludf.DUMMYFUNCTION("""COMPUTED_VALUE"""),"")</f>
        <v/>
      </c>
      <c r="Q356" s="4" t="str">
        <f>IFERROR(__xludf.DUMMYFUNCTION("""COMPUTED_VALUE"""),"")</f>
        <v/>
      </c>
      <c r="R356" s="4" t="str">
        <f>IFERROR(__xludf.DUMMYFUNCTION("""COMPUTED_VALUE"""),"")</f>
        <v/>
      </c>
    </row>
    <row r="357">
      <c r="A357" s="4" t="str">
        <f>IFERROR(__xludf.DUMMYFUNCTION("""COMPUTED_VALUE"""),"387 - Channel 5")</f>
        <v>387 - Channel 5</v>
      </c>
      <c r="B357" s="4" t="str">
        <f>IFERROR(__xludf.DUMMYFUNCTION("""COMPUTED_VALUE"""),"")</f>
        <v/>
      </c>
      <c r="C357" s="4" t="str">
        <f>IFERROR(__xludf.DUMMYFUNCTION("""COMPUTED_VALUE"""),"")</f>
        <v/>
      </c>
      <c r="D357" s="4" t="str">
        <f>IFERROR(__xludf.DUMMYFUNCTION("""COMPUTED_VALUE"""),"")</f>
        <v/>
      </c>
      <c r="E357" s="4" t="str">
        <f>IFERROR(__xludf.DUMMYFUNCTION("""COMPUTED_VALUE"""),"")</f>
        <v/>
      </c>
      <c r="F357" s="4" t="str">
        <f>IFERROR(__xludf.DUMMYFUNCTION("""COMPUTED_VALUE"""),"")</f>
        <v/>
      </c>
      <c r="G357" s="4" t="str">
        <f>IFERROR(__xludf.DUMMYFUNCTION("""COMPUTED_VALUE"""),"")</f>
        <v/>
      </c>
      <c r="H357" s="4" t="str">
        <f>IFERROR(__xludf.DUMMYFUNCTION("""COMPUTED_VALUE"""),"")</f>
        <v/>
      </c>
      <c r="I357" s="4" t="str">
        <f>IFERROR(__xludf.DUMMYFUNCTION("""COMPUTED_VALUE"""),"")</f>
        <v/>
      </c>
      <c r="J357" s="4" t="str">
        <f>IFERROR(__xludf.DUMMYFUNCTION("""COMPUTED_VALUE"""),"")</f>
        <v/>
      </c>
      <c r="K357" s="4" t="str">
        <f>IFERROR(__xludf.DUMMYFUNCTION("""COMPUTED_VALUE"""),"")</f>
        <v/>
      </c>
      <c r="L357" s="4" t="str">
        <f>IFERROR(__xludf.DUMMYFUNCTION("""COMPUTED_VALUE"""),"")</f>
        <v/>
      </c>
      <c r="M357" s="4" t="str">
        <f>IFERROR(__xludf.DUMMYFUNCTION("""COMPUTED_VALUE"""),"")</f>
        <v/>
      </c>
      <c r="N357" s="4" t="str">
        <f>IFERROR(__xludf.DUMMYFUNCTION("""COMPUTED_VALUE"""),"")</f>
        <v/>
      </c>
      <c r="O357" s="4" t="str">
        <f>IFERROR(__xludf.DUMMYFUNCTION("""COMPUTED_VALUE"""),"")</f>
        <v/>
      </c>
      <c r="P357" s="4" t="str">
        <f>IFERROR(__xludf.DUMMYFUNCTION("""COMPUTED_VALUE"""),"")</f>
        <v/>
      </c>
      <c r="Q357" s="4" t="str">
        <f>IFERROR(__xludf.DUMMYFUNCTION("""COMPUTED_VALUE"""),"")</f>
        <v/>
      </c>
      <c r="R357" s="4" t="str">
        <f>IFERROR(__xludf.DUMMYFUNCTION("""COMPUTED_VALUE"""),"")</f>
        <v/>
      </c>
    </row>
    <row r="358">
      <c r="A358" s="4" t="str">
        <f>IFERROR(__xludf.DUMMYFUNCTION("""COMPUTED_VALUE"""),"388 - Channel 5")</f>
        <v>388 - Channel 5</v>
      </c>
      <c r="B358" s="4" t="str">
        <f>IFERROR(__xludf.DUMMYFUNCTION("""COMPUTED_VALUE"""),"")</f>
        <v/>
      </c>
      <c r="C358" s="4" t="str">
        <f>IFERROR(__xludf.DUMMYFUNCTION("""COMPUTED_VALUE"""),"")</f>
        <v/>
      </c>
      <c r="D358" s="4" t="str">
        <f>IFERROR(__xludf.DUMMYFUNCTION("""COMPUTED_VALUE"""),"")</f>
        <v/>
      </c>
      <c r="E358" s="4" t="str">
        <f>IFERROR(__xludf.DUMMYFUNCTION("""COMPUTED_VALUE"""),"")</f>
        <v/>
      </c>
      <c r="F358" s="4" t="str">
        <f>IFERROR(__xludf.DUMMYFUNCTION("""COMPUTED_VALUE"""),"")</f>
        <v/>
      </c>
      <c r="G358" s="4" t="str">
        <f>IFERROR(__xludf.DUMMYFUNCTION("""COMPUTED_VALUE"""),"")</f>
        <v/>
      </c>
      <c r="H358" s="4" t="str">
        <f>IFERROR(__xludf.DUMMYFUNCTION("""COMPUTED_VALUE"""),"")</f>
        <v/>
      </c>
      <c r="I358" s="4" t="str">
        <f>IFERROR(__xludf.DUMMYFUNCTION("""COMPUTED_VALUE"""),"")</f>
        <v/>
      </c>
      <c r="J358" s="4" t="str">
        <f>IFERROR(__xludf.DUMMYFUNCTION("""COMPUTED_VALUE"""),"")</f>
        <v/>
      </c>
      <c r="K358" s="4" t="str">
        <f>IFERROR(__xludf.DUMMYFUNCTION("""COMPUTED_VALUE"""),"")</f>
        <v/>
      </c>
      <c r="L358" s="4" t="str">
        <f>IFERROR(__xludf.DUMMYFUNCTION("""COMPUTED_VALUE"""),"")</f>
        <v/>
      </c>
      <c r="M358" s="4" t="str">
        <f>IFERROR(__xludf.DUMMYFUNCTION("""COMPUTED_VALUE"""),"")</f>
        <v/>
      </c>
      <c r="N358" s="4" t="str">
        <f>IFERROR(__xludf.DUMMYFUNCTION("""COMPUTED_VALUE"""),"")</f>
        <v/>
      </c>
      <c r="O358" s="4" t="str">
        <f>IFERROR(__xludf.DUMMYFUNCTION("""COMPUTED_VALUE"""),"")</f>
        <v/>
      </c>
      <c r="P358" s="4" t="str">
        <f>IFERROR(__xludf.DUMMYFUNCTION("""COMPUTED_VALUE"""),"")</f>
        <v/>
      </c>
      <c r="Q358" s="4" t="str">
        <f>IFERROR(__xludf.DUMMYFUNCTION("""COMPUTED_VALUE"""),"")</f>
        <v/>
      </c>
      <c r="R358" s="4" t="str">
        <f>IFERROR(__xludf.DUMMYFUNCTION("""COMPUTED_VALUE"""),"")</f>
        <v/>
      </c>
    </row>
    <row r="359">
      <c r="A359" s="4" t="str">
        <f>IFERROR(__xludf.DUMMYFUNCTION("""COMPUTED_VALUE"""),"389 - Channel 5")</f>
        <v>389 - Channel 5</v>
      </c>
      <c r="B359" s="4" t="str">
        <f>IFERROR(__xludf.DUMMYFUNCTION("""COMPUTED_VALUE"""),"")</f>
        <v/>
      </c>
      <c r="C359" s="4" t="str">
        <f>IFERROR(__xludf.DUMMYFUNCTION("""COMPUTED_VALUE"""),"")</f>
        <v/>
      </c>
      <c r="D359" s="4" t="str">
        <f>IFERROR(__xludf.DUMMYFUNCTION("""COMPUTED_VALUE"""),"")</f>
        <v/>
      </c>
      <c r="E359" s="4" t="str">
        <f>IFERROR(__xludf.DUMMYFUNCTION("""COMPUTED_VALUE"""),"")</f>
        <v/>
      </c>
      <c r="F359" s="4" t="str">
        <f>IFERROR(__xludf.DUMMYFUNCTION("""COMPUTED_VALUE"""),"")</f>
        <v/>
      </c>
      <c r="G359" s="4" t="str">
        <f>IFERROR(__xludf.DUMMYFUNCTION("""COMPUTED_VALUE"""),"")</f>
        <v/>
      </c>
      <c r="H359" s="4" t="str">
        <f>IFERROR(__xludf.DUMMYFUNCTION("""COMPUTED_VALUE"""),"")</f>
        <v/>
      </c>
      <c r="I359" s="4" t="str">
        <f>IFERROR(__xludf.DUMMYFUNCTION("""COMPUTED_VALUE"""),"")</f>
        <v/>
      </c>
      <c r="J359" s="4" t="str">
        <f>IFERROR(__xludf.DUMMYFUNCTION("""COMPUTED_VALUE"""),"")</f>
        <v/>
      </c>
      <c r="K359" s="4" t="str">
        <f>IFERROR(__xludf.DUMMYFUNCTION("""COMPUTED_VALUE"""),"")</f>
        <v/>
      </c>
      <c r="L359" s="4" t="str">
        <f>IFERROR(__xludf.DUMMYFUNCTION("""COMPUTED_VALUE"""),"")</f>
        <v/>
      </c>
      <c r="M359" s="4" t="str">
        <f>IFERROR(__xludf.DUMMYFUNCTION("""COMPUTED_VALUE"""),"")</f>
        <v/>
      </c>
      <c r="N359" s="4" t="str">
        <f>IFERROR(__xludf.DUMMYFUNCTION("""COMPUTED_VALUE"""),"")</f>
        <v/>
      </c>
      <c r="O359" s="4" t="str">
        <f>IFERROR(__xludf.DUMMYFUNCTION("""COMPUTED_VALUE"""),"")</f>
        <v/>
      </c>
      <c r="P359" s="4" t="str">
        <f>IFERROR(__xludf.DUMMYFUNCTION("""COMPUTED_VALUE"""),"")</f>
        <v/>
      </c>
      <c r="Q359" s="4" t="str">
        <f>IFERROR(__xludf.DUMMYFUNCTION("""COMPUTED_VALUE"""),"")</f>
        <v/>
      </c>
      <c r="R359" s="4" t="str">
        <f>IFERROR(__xludf.DUMMYFUNCTION("""COMPUTED_VALUE"""),"")</f>
        <v/>
      </c>
    </row>
    <row r="360">
      <c r="A360" s="4" t="str">
        <f>IFERROR(__xludf.DUMMYFUNCTION("""COMPUTED_VALUE"""),"390 - Channel 5")</f>
        <v>390 - Channel 5</v>
      </c>
      <c r="B360" s="4" t="str">
        <f>IFERROR(__xludf.DUMMYFUNCTION("""COMPUTED_VALUE"""),"")</f>
        <v/>
      </c>
      <c r="C360" s="4" t="str">
        <f>IFERROR(__xludf.DUMMYFUNCTION("""COMPUTED_VALUE"""),"")</f>
        <v/>
      </c>
      <c r="D360" s="4" t="str">
        <f>IFERROR(__xludf.DUMMYFUNCTION("""COMPUTED_VALUE"""),"")</f>
        <v/>
      </c>
      <c r="E360" s="4" t="str">
        <f>IFERROR(__xludf.DUMMYFUNCTION("""COMPUTED_VALUE"""),"")</f>
        <v/>
      </c>
      <c r="F360" s="4" t="str">
        <f>IFERROR(__xludf.DUMMYFUNCTION("""COMPUTED_VALUE"""),"")</f>
        <v/>
      </c>
      <c r="G360" s="4" t="str">
        <f>IFERROR(__xludf.DUMMYFUNCTION("""COMPUTED_VALUE"""),"")</f>
        <v/>
      </c>
      <c r="H360" s="4" t="str">
        <f>IFERROR(__xludf.DUMMYFUNCTION("""COMPUTED_VALUE"""),"")</f>
        <v/>
      </c>
      <c r="I360" s="4" t="str">
        <f>IFERROR(__xludf.DUMMYFUNCTION("""COMPUTED_VALUE"""),"")</f>
        <v/>
      </c>
      <c r="J360" s="4" t="str">
        <f>IFERROR(__xludf.DUMMYFUNCTION("""COMPUTED_VALUE"""),"")</f>
        <v/>
      </c>
      <c r="K360" s="4" t="str">
        <f>IFERROR(__xludf.DUMMYFUNCTION("""COMPUTED_VALUE"""),"")</f>
        <v/>
      </c>
      <c r="L360" s="4" t="str">
        <f>IFERROR(__xludf.DUMMYFUNCTION("""COMPUTED_VALUE"""),"")</f>
        <v/>
      </c>
      <c r="M360" s="4" t="str">
        <f>IFERROR(__xludf.DUMMYFUNCTION("""COMPUTED_VALUE"""),"")</f>
        <v/>
      </c>
      <c r="N360" s="4" t="str">
        <f>IFERROR(__xludf.DUMMYFUNCTION("""COMPUTED_VALUE"""),"")</f>
        <v/>
      </c>
      <c r="O360" s="4" t="str">
        <f>IFERROR(__xludf.DUMMYFUNCTION("""COMPUTED_VALUE"""),"")</f>
        <v/>
      </c>
      <c r="P360" s="4" t="str">
        <f>IFERROR(__xludf.DUMMYFUNCTION("""COMPUTED_VALUE"""),"")</f>
        <v/>
      </c>
      <c r="Q360" s="4" t="str">
        <f>IFERROR(__xludf.DUMMYFUNCTION("""COMPUTED_VALUE"""),"")</f>
        <v/>
      </c>
      <c r="R360" s="4" t="str">
        <f>IFERROR(__xludf.DUMMYFUNCTION("""COMPUTED_VALUE"""),"")</f>
        <v/>
      </c>
    </row>
    <row r="361">
      <c r="A361" s="4" t="str">
        <f>IFERROR(__xludf.DUMMYFUNCTION("""COMPUTED_VALUE"""),"391 - Channel 5")</f>
        <v>391 - Channel 5</v>
      </c>
      <c r="B361" s="4" t="str">
        <f>IFERROR(__xludf.DUMMYFUNCTION("""COMPUTED_VALUE"""),"")</f>
        <v/>
      </c>
      <c r="C361" s="4" t="str">
        <f>IFERROR(__xludf.DUMMYFUNCTION("""COMPUTED_VALUE"""),"")</f>
        <v/>
      </c>
      <c r="D361" s="4" t="str">
        <f>IFERROR(__xludf.DUMMYFUNCTION("""COMPUTED_VALUE"""),"")</f>
        <v/>
      </c>
      <c r="E361" s="4" t="str">
        <f>IFERROR(__xludf.DUMMYFUNCTION("""COMPUTED_VALUE"""),"")</f>
        <v/>
      </c>
      <c r="F361" s="4" t="str">
        <f>IFERROR(__xludf.DUMMYFUNCTION("""COMPUTED_VALUE"""),"")</f>
        <v/>
      </c>
      <c r="G361" s="4" t="str">
        <f>IFERROR(__xludf.DUMMYFUNCTION("""COMPUTED_VALUE"""),"")</f>
        <v/>
      </c>
      <c r="H361" s="4" t="str">
        <f>IFERROR(__xludf.DUMMYFUNCTION("""COMPUTED_VALUE"""),"")</f>
        <v/>
      </c>
      <c r="I361" s="4" t="str">
        <f>IFERROR(__xludf.DUMMYFUNCTION("""COMPUTED_VALUE"""),"")</f>
        <v/>
      </c>
      <c r="J361" s="4" t="str">
        <f>IFERROR(__xludf.DUMMYFUNCTION("""COMPUTED_VALUE"""),"")</f>
        <v/>
      </c>
      <c r="K361" s="4" t="str">
        <f>IFERROR(__xludf.DUMMYFUNCTION("""COMPUTED_VALUE"""),"")</f>
        <v/>
      </c>
      <c r="L361" s="4" t="str">
        <f>IFERROR(__xludf.DUMMYFUNCTION("""COMPUTED_VALUE"""),"")</f>
        <v/>
      </c>
      <c r="M361" s="4" t="str">
        <f>IFERROR(__xludf.DUMMYFUNCTION("""COMPUTED_VALUE"""),"")</f>
        <v/>
      </c>
      <c r="N361" s="4" t="str">
        <f>IFERROR(__xludf.DUMMYFUNCTION("""COMPUTED_VALUE"""),"")</f>
        <v/>
      </c>
      <c r="O361" s="4" t="str">
        <f>IFERROR(__xludf.DUMMYFUNCTION("""COMPUTED_VALUE"""),"")</f>
        <v/>
      </c>
      <c r="P361" s="4" t="str">
        <f>IFERROR(__xludf.DUMMYFUNCTION("""COMPUTED_VALUE"""),"")</f>
        <v/>
      </c>
      <c r="Q361" s="4" t="str">
        <f>IFERROR(__xludf.DUMMYFUNCTION("""COMPUTED_VALUE"""),"")</f>
        <v/>
      </c>
      <c r="R361" s="4" t="str">
        <f>IFERROR(__xludf.DUMMYFUNCTION("""COMPUTED_VALUE"""),"")</f>
        <v/>
      </c>
    </row>
    <row r="362">
      <c r="A362" s="4" t="str">
        <f>IFERROR(__xludf.DUMMYFUNCTION("""COMPUTED_VALUE"""),"392 - Channel 5")</f>
        <v>392 - Channel 5</v>
      </c>
      <c r="B362" s="4" t="str">
        <f>IFERROR(__xludf.DUMMYFUNCTION("""COMPUTED_VALUE"""),"")</f>
        <v/>
      </c>
      <c r="C362" s="4" t="str">
        <f>IFERROR(__xludf.DUMMYFUNCTION("""COMPUTED_VALUE"""),"")</f>
        <v/>
      </c>
      <c r="D362" s="4" t="str">
        <f>IFERROR(__xludf.DUMMYFUNCTION("""COMPUTED_VALUE"""),"")</f>
        <v/>
      </c>
      <c r="E362" s="4" t="str">
        <f>IFERROR(__xludf.DUMMYFUNCTION("""COMPUTED_VALUE"""),"")</f>
        <v/>
      </c>
      <c r="F362" s="4" t="str">
        <f>IFERROR(__xludf.DUMMYFUNCTION("""COMPUTED_VALUE"""),"")</f>
        <v/>
      </c>
      <c r="G362" s="4" t="str">
        <f>IFERROR(__xludf.DUMMYFUNCTION("""COMPUTED_VALUE"""),"")</f>
        <v/>
      </c>
      <c r="H362" s="4" t="str">
        <f>IFERROR(__xludf.DUMMYFUNCTION("""COMPUTED_VALUE"""),"")</f>
        <v/>
      </c>
      <c r="I362" s="4" t="str">
        <f>IFERROR(__xludf.DUMMYFUNCTION("""COMPUTED_VALUE"""),"")</f>
        <v/>
      </c>
      <c r="J362" s="4" t="str">
        <f>IFERROR(__xludf.DUMMYFUNCTION("""COMPUTED_VALUE"""),"")</f>
        <v/>
      </c>
      <c r="K362" s="4" t="str">
        <f>IFERROR(__xludf.DUMMYFUNCTION("""COMPUTED_VALUE"""),"")</f>
        <v/>
      </c>
      <c r="L362" s="4" t="str">
        <f>IFERROR(__xludf.DUMMYFUNCTION("""COMPUTED_VALUE"""),"")</f>
        <v/>
      </c>
      <c r="M362" s="4" t="str">
        <f>IFERROR(__xludf.DUMMYFUNCTION("""COMPUTED_VALUE"""),"")</f>
        <v/>
      </c>
      <c r="N362" s="4" t="str">
        <f>IFERROR(__xludf.DUMMYFUNCTION("""COMPUTED_VALUE"""),"")</f>
        <v/>
      </c>
      <c r="O362" s="4" t="str">
        <f>IFERROR(__xludf.DUMMYFUNCTION("""COMPUTED_VALUE"""),"")</f>
        <v/>
      </c>
      <c r="P362" s="4" t="str">
        <f>IFERROR(__xludf.DUMMYFUNCTION("""COMPUTED_VALUE"""),"")</f>
        <v/>
      </c>
      <c r="Q362" s="4" t="str">
        <f>IFERROR(__xludf.DUMMYFUNCTION("""COMPUTED_VALUE"""),"")</f>
        <v/>
      </c>
      <c r="R362" s="4" t="str">
        <f>IFERROR(__xludf.DUMMYFUNCTION("""COMPUTED_VALUE"""),"")</f>
        <v/>
      </c>
    </row>
    <row r="363">
      <c r="A363" s="4" t="str">
        <f>IFERROR(__xludf.DUMMYFUNCTION("""COMPUTED_VALUE"""),"393 - Channel 5")</f>
        <v>393 - Channel 5</v>
      </c>
      <c r="B363" s="4" t="str">
        <f>IFERROR(__xludf.DUMMYFUNCTION("""COMPUTED_VALUE"""),"")</f>
        <v/>
      </c>
      <c r="C363" s="4" t="str">
        <f>IFERROR(__xludf.DUMMYFUNCTION("""COMPUTED_VALUE"""),"")</f>
        <v/>
      </c>
      <c r="D363" s="4" t="str">
        <f>IFERROR(__xludf.DUMMYFUNCTION("""COMPUTED_VALUE"""),"")</f>
        <v/>
      </c>
      <c r="E363" s="4" t="str">
        <f>IFERROR(__xludf.DUMMYFUNCTION("""COMPUTED_VALUE"""),"")</f>
        <v/>
      </c>
      <c r="F363" s="4" t="str">
        <f>IFERROR(__xludf.DUMMYFUNCTION("""COMPUTED_VALUE"""),"")</f>
        <v/>
      </c>
      <c r="G363" s="4" t="str">
        <f>IFERROR(__xludf.DUMMYFUNCTION("""COMPUTED_VALUE"""),"")</f>
        <v/>
      </c>
      <c r="H363" s="4" t="str">
        <f>IFERROR(__xludf.DUMMYFUNCTION("""COMPUTED_VALUE"""),"")</f>
        <v/>
      </c>
      <c r="I363" s="4" t="str">
        <f>IFERROR(__xludf.DUMMYFUNCTION("""COMPUTED_VALUE"""),"")</f>
        <v/>
      </c>
      <c r="J363" s="4" t="str">
        <f>IFERROR(__xludf.DUMMYFUNCTION("""COMPUTED_VALUE"""),"")</f>
        <v/>
      </c>
      <c r="K363" s="4" t="str">
        <f>IFERROR(__xludf.DUMMYFUNCTION("""COMPUTED_VALUE"""),"")</f>
        <v/>
      </c>
      <c r="L363" s="4" t="str">
        <f>IFERROR(__xludf.DUMMYFUNCTION("""COMPUTED_VALUE"""),"")</f>
        <v/>
      </c>
      <c r="M363" s="4" t="str">
        <f>IFERROR(__xludf.DUMMYFUNCTION("""COMPUTED_VALUE"""),"")</f>
        <v/>
      </c>
      <c r="N363" s="4" t="str">
        <f>IFERROR(__xludf.DUMMYFUNCTION("""COMPUTED_VALUE"""),"")</f>
        <v/>
      </c>
      <c r="O363" s="4" t="str">
        <f>IFERROR(__xludf.DUMMYFUNCTION("""COMPUTED_VALUE"""),"")</f>
        <v/>
      </c>
      <c r="P363" s="4" t="str">
        <f>IFERROR(__xludf.DUMMYFUNCTION("""COMPUTED_VALUE"""),"")</f>
        <v/>
      </c>
      <c r="Q363" s="4" t="str">
        <f>IFERROR(__xludf.DUMMYFUNCTION("""COMPUTED_VALUE"""),"")</f>
        <v/>
      </c>
      <c r="R363" s="4" t="str">
        <f>IFERROR(__xludf.DUMMYFUNCTION("""COMPUTED_VALUE"""),"")</f>
        <v/>
      </c>
    </row>
    <row r="364">
      <c r="A364" s="4" t="str">
        <f>IFERROR(__xludf.DUMMYFUNCTION("""COMPUTED_VALUE"""),"394 - Channel 5")</f>
        <v>394 - Channel 5</v>
      </c>
      <c r="B364" s="4" t="str">
        <f>IFERROR(__xludf.DUMMYFUNCTION("""COMPUTED_VALUE"""),"")</f>
        <v/>
      </c>
      <c r="C364" s="4" t="str">
        <f>IFERROR(__xludf.DUMMYFUNCTION("""COMPUTED_VALUE"""),"")</f>
        <v/>
      </c>
      <c r="D364" s="4" t="str">
        <f>IFERROR(__xludf.DUMMYFUNCTION("""COMPUTED_VALUE"""),"")</f>
        <v/>
      </c>
      <c r="E364" s="4" t="str">
        <f>IFERROR(__xludf.DUMMYFUNCTION("""COMPUTED_VALUE"""),"")</f>
        <v/>
      </c>
      <c r="F364" s="4" t="str">
        <f>IFERROR(__xludf.DUMMYFUNCTION("""COMPUTED_VALUE"""),"")</f>
        <v/>
      </c>
      <c r="G364" s="4" t="str">
        <f>IFERROR(__xludf.DUMMYFUNCTION("""COMPUTED_VALUE"""),"")</f>
        <v/>
      </c>
      <c r="H364" s="4" t="str">
        <f>IFERROR(__xludf.DUMMYFUNCTION("""COMPUTED_VALUE"""),"")</f>
        <v/>
      </c>
      <c r="I364" s="4" t="str">
        <f>IFERROR(__xludf.DUMMYFUNCTION("""COMPUTED_VALUE"""),"")</f>
        <v/>
      </c>
      <c r="J364" s="4" t="str">
        <f>IFERROR(__xludf.DUMMYFUNCTION("""COMPUTED_VALUE"""),"")</f>
        <v/>
      </c>
      <c r="K364" s="4" t="str">
        <f>IFERROR(__xludf.DUMMYFUNCTION("""COMPUTED_VALUE"""),"")</f>
        <v/>
      </c>
      <c r="L364" s="4" t="str">
        <f>IFERROR(__xludf.DUMMYFUNCTION("""COMPUTED_VALUE"""),"")</f>
        <v/>
      </c>
      <c r="M364" s="4" t="str">
        <f>IFERROR(__xludf.DUMMYFUNCTION("""COMPUTED_VALUE"""),"")</f>
        <v/>
      </c>
      <c r="N364" s="4" t="str">
        <f>IFERROR(__xludf.DUMMYFUNCTION("""COMPUTED_VALUE"""),"")</f>
        <v/>
      </c>
      <c r="O364" s="4" t="str">
        <f>IFERROR(__xludf.DUMMYFUNCTION("""COMPUTED_VALUE"""),"")</f>
        <v/>
      </c>
      <c r="P364" s="4" t="str">
        <f>IFERROR(__xludf.DUMMYFUNCTION("""COMPUTED_VALUE"""),"")</f>
        <v/>
      </c>
      <c r="Q364" s="4" t="str">
        <f>IFERROR(__xludf.DUMMYFUNCTION("""COMPUTED_VALUE"""),"")</f>
        <v/>
      </c>
      <c r="R364" s="4" t="str">
        <f>IFERROR(__xludf.DUMMYFUNCTION("""COMPUTED_VALUE"""),"")</f>
        <v/>
      </c>
    </row>
    <row r="365">
      <c r="A365" s="4" t="str">
        <f>IFERROR(__xludf.DUMMYFUNCTION("""COMPUTED_VALUE"""),"395 - Channel 5")</f>
        <v>395 - Channel 5</v>
      </c>
      <c r="B365" s="4" t="str">
        <f>IFERROR(__xludf.DUMMYFUNCTION("""COMPUTED_VALUE"""),"")</f>
        <v/>
      </c>
      <c r="C365" s="4" t="str">
        <f>IFERROR(__xludf.DUMMYFUNCTION("""COMPUTED_VALUE"""),"")</f>
        <v/>
      </c>
      <c r="D365" s="4" t="str">
        <f>IFERROR(__xludf.DUMMYFUNCTION("""COMPUTED_VALUE"""),"")</f>
        <v/>
      </c>
      <c r="E365" s="4" t="str">
        <f>IFERROR(__xludf.DUMMYFUNCTION("""COMPUTED_VALUE"""),"")</f>
        <v/>
      </c>
      <c r="F365" s="4" t="str">
        <f>IFERROR(__xludf.DUMMYFUNCTION("""COMPUTED_VALUE"""),"")</f>
        <v/>
      </c>
      <c r="G365" s="4" t="str">
        <f>IFERROR(__xludf.DUMMYFUNCTION("""COMPUTED_VALUE"""),"")</f>
        <v/>
      </c>
      <c r="H365" s="4" t="str">
        <f>IFERROR(__xludf.DUMMYFUNCTION("""COMPUTED_VALUE"""),"")</f>
        <v/>
      </c>
      <c r="I365" s="4" t="str">
        <f>IFERROR(__xludf.DUMMYFUNCTION("""COMPUTED_VALUE"""),"")</f>
        <v/>
      </c>
      <c r="J365" s="4" t="str">
        <f>IFERROR(__xludf.DUMMYFUNCTION("""COMPUTED_VALUE"""),"")</f>
        <v/>
      </c>
      <c r="K365" s="4" t="str">
        <f>IFERROR(__xludf.DUMMYFUNCTION("""COMPUTED_VALUE"""),"")</f>
        <v/>
      </c>
      <c r="L365" s="4" t="str">
        <f>IFERROR(__xludf.DUMMYFUNCTION("""COMPUTED_VALUE"""),"")</f>
        <v/>
      </c>
      <c r="M365" s="4" t="str">
        <f>IFERROR(__xludf.DUMMYFUNCTION("""COMPUTED_VALUE"""),"")</f>
        <v/>
      </c>
      <c r="N365" s="4" t="str">
        <f>IFERROR(__xludf.DUMMYFUNCTION("""COMPUTED_VALUE"""),"")</f>
        <v/>
      </c>
      <c r="O365" s="4" t="str">
        <f>IFERROR(__xludf.DUMMYFUNCTION("""COMPUTED_VALUE"""),"")</f>
        <v/>
      </c>
      <c r="P365" s="4" t="str">
        <f>IFERROR(__xludf.DUMMYFUNCTION("""COMPUTED_VALUE"""),"")</f>
        <v/>
      </c>
      <c r="Q365" s="4" t="str">
        <f>IFERROR(__xludf.DUMMYFUNCTION("""COMPUTED_VALUE"""),"")</f>
        <v/>
      </c>
      <c r="R365" s="4" t="str">
        <f>IFERROR(__xludf.DUMMYFUNCTION("""COMPUTED_VALUE"""),"")</f>
        <v/>
      </c>
    </row>
    <row r="366">
      <c r="A366" s="4" t="str">
        <f>IFERROR(__xludf.DUMMYFUNCTION("""COMPUTED_VALUE"""),"396 - Channel 5")</f>
        <v>396 - Channel 5</v>
      </c>
      <c r="B366" s="4" t="str">
        <f>IFERROR(__xludf.DUMMYFUNCTION("""COMPUTED_VALUE"""),"")</f>
        <v/>
      </c>
      <c r="C366" s="4" t="str">
        <f>IFERROR(__xludf.DUMMYFUNCTION("""COMPUTED_VALUE"""),"")</f>
        <v/>
      </c>
      <c r="D366" s="4" t="str">
        <f>IFERROR(__xludf.DUMMYFUNCTION("""COMPUTED_VALUE"""),"")</f>
        <v/>
      </c>
      <c r="E366" s="4" t="str">
        <f>IFERROR(__xludf.DUMMYFUNCTION("""COMPUTED_VALUE"""),"")</f>
        <v/>
      </c>
      <c r="F366" s="4" t="str">
        <f>IFERROR(__xludf.DUMMYFUNCTION("""COMPUTED_VALUE"""),"")</f>
        <v/>
      </c>
      <c r="G366" s="4" t="str">
        <f>IFERROR(__xludf.DUMMYFUNCTION("""COMPUTED_VALUE"""),"")</f>
        <v/>
      </c>
      <c r="H366" s="4" t="str">
        <f>IFERROR(__xludf.DUMMYFUNCTION("""COMPUTED_VALUE"""),"")</f>
        <v/>
      </c>
      <c r="I366" s="4" t="str">
        <f>IFERROR(__xludf.DUMMYFUNCTION("""COMPUTED_VALUE"""),"")</f>
        <v/>
      </c>
      <c r="J366" s="4" t="str">
        <f>IFERROR(__xludf.DUMMYFUNCTION("""COMPUTED_VALUE"""),"")</f>
        <v/>
      </c>
      <c r="K366" s="4" t="str">
        <f>IFERROR(__xludf.DUMMYFUNCTION("""COMPUTED_VALUE"""),"")</f>
        <v/>
      </c>
      <c r="L366" s="4" t="str">
        <f>IFERROR(__xludf.DUMMYFUNCTION("""COMPUTED_VALUE"""),"")</f>
        <v/>
      </c>
      <c r="M366" s="4" t="str">
        <f>IFERROR(__xludf.DUMMYFUNCTION("""COMPUTED_VALUE"""),"")</f>
        <v/>
      </c>
      <c r="N366" s="4" t="str">
        <f>IFERROR(__xludf.DUMMYFUNCTION("""COMPUTED_VALUE"""),"")</f>
        <v/>
      </c>
      <c r="O366" s="4" t="str">
        <f>IFERROR(__xludf.DUMMYFUNCTION("""COMPUTED_VALUE"""),"")</f>
        <v/>
      </c>
      <c r="P366" s="4" t="str">
        <f>IFERROR(__xludf.DUMMYFUNCTION("""COMPUTED_VALUE"""),"")</f>
        <v/>
      </c>
      <c r="Q366" s="4" t="str">
        <f>IFERROR(__xludf.DUMMYFUNCTION("""COMPUTED_VALUE"""),"")</f>
        <v/>
      </c>
      <c r="R366" s="4" t="str">
        <f>IFERROR(__xludf.DUMMYFUNCTION("""COMPUTED_VALUE"""),"")</f>
        <v/>
      </c>
    </row>
    <row r="367">
      <c r="A367" s="4" t="str">
        <f>IFERROR(__xludf.DUMMYFUNCTION("""COMPUTED_VALUE"""),"397 - Channel 5")</f>
        <v>397 - Channel 5</v>
      </c>
      <c r="B367" s="4" t="str">
        <f>IFERROR(__xludf.DUMMYFUNCTION("""COMPUTED_VALUE"""),"")</f>
        <v/>
      </c>
      <c r="C367" s="4" t="str">
        <f>IFERROR(__xludf.DUMMYFUNCTION("""COMPUTED_VALUE"""),"")</f>
        <v/>
      </c>
      <c r="D367" s="4" t="str">
        <f>IFERROR(__xludf.DUMMYFUNCTION("""COMPUTED_VALUE"""),"")</f>
        <v/>
      </c>
      <c r="E367" s="4" t="str">
        <f>IFERROR(__xludf.DUMMYFUNCTION("""COMPUTED_VALUE"""),"")</f>
        <v/>
      </c>
      <c r="F367" s="4" t="str">
        <f>IFERROR(__xludf.DUMMYFUNCTION("""COMPUTED_VALUE"""),"")</f>
        <v/>
      </c>
      <c r="G367" s="4" t="str">
        <f>IFERROR(__xludf.DUMMYFUNCTION("""COMPUTED_VALUE"""),"")</f>
        <v/>
      </c>
      <c r="H367" s="4" t="str">
        <f>IFERROR(__xludf.DUMMYFUNCTION("""COMPUTED_VALUE"""),"")</f>
        <v/>
      </c>
      <c r="I367" s="4" t="str">
        <f>IFERROR(__xludf.DUMMYFUNCTION("""COMPUTED_VALUE"""),"")</f>
        <v/>
      </c>
      <c r="J367" s="4" t="str">
        <f>IFERROR(__xludf.DUMMYFUNCTION("""COMPUTED_VALUE"""),"")</f>
        <v/>
      </c>
      <c r="K367" s="4" t="str">
        <f>IFERROR(__xludf.DUMMYFUNCTION("""COMPUTED_VALUE"""),"")</f>
        <v/>
      </c>
      <c r="L367" s="4" t="str">
        <f>IFERROR(__xludf.DUMMYFUNCTION("""COMPUTED_VALUE"""),"")</f>
        <v/>
      </c>
      <c r="M367" s="4" t="str">
        <f>IFERROR(__xludf.DUMMYFUNCTION("""COMPUTED_VALUE"""),"")</f>
        <v/>
      </c>
      <c r="N367" s="4" t="str">
        <f>IFERROR(__xludf.DUMMYFUNCTION("""COMPUTED_VALUE"""),"")</f>
        <v/>
      </c>
      <c r="O367" s="4" t="str">
        <f>IFERROR(__xludf.DUMMYFUNCTION("""COMPUTED_VALUE"""),"")</f>
        <v/>
      </c>
      <c r="P367" s="4" t="str">
        <f>IFERROR(__xludf.DUMMYFUNCTION("""COMPUTED_VALUE"""),"")</f>
        <v/>
      </c>
      <c r="Q367" s="4" t="str">
        <f>IFERROR(__xludf.DUMMYFUNCTION("""COMPUTED_VALUE"""),"")</f>
        <v/>
      </c>
      <c r="R367" s="4" t="str">
        <f>IFERROR(__xludf.DUMMYFUNCTION("""COMPUTED_VALUE"""),"")</f>
        <v/>
      </c>
    </row>
    <row r="368">
      <c r="A368" s="4" t="str">
        <f>IFERROR(__xludf.DUMMYFUNCTION("""COMPUTED_VALUE"""),"398 - Channel 5")</f>
        <v>398 - Channel 5</v>
      </c>
      <c r="B368" s="4" t="str">
        <f>IFERROR(__xludf.DUMMYFUNCTION("""COMPUTED_VALUE"""),"")</f>
        <v/>
      </c>
      <c r="C368" s="4" t="str">
        <f>IFERROR(__xludf.DUMMYFUNCTION("""COMPUTED_VALUE"""),"")</f>
        <v/>
      </c>
      <c r="D368" s="4" t="str">
        <f>IFERROR(__xludf.DUMMYFUNCTION("""COMPUTED_VALUE"""),"")</f>
        <v/>
      </c>
      <c r="E368" s="4" t="str">
        <f>IFERROR(__xludf.DUMMYFUNCTION("""COMPUTED_VALUE"""),"")</f>
        <v/>
      </c>
      <c r="F368" s="4" t="str">
        <f>IFERROR(__xludf.DUMMYFUNCTION("""COMPUTED_VALUE"""),"")</f>
        <v/>
      </c>
      <c r="G368" s="4" t="str">
        <f>IFERROR(__xludf.DUMMYFUNCTION("""COMPUTED_VALUE"""),"")</f>
        <v/>
      </c>
      <c r="H368" s="4" t="str">
        <f>IFERROR(__xludf.DUMMYFUNCTION("""COMPUTED_VALUE"""),"")</f>
        <v/>
      </c>
      <c r="I368" s="4" t="str">
        <f>IFERROR(__xludf.DUMMYFUNCTION("""COMPUTED_VALUE"""),"")</f>
        <v/>
      </c>
      <c r="J368" s="4" t="str">
        <f>IFERROR(__xludf.DUMMYFUNCTION("""COMPUTED_VALUE"""),"")</f>
        <v/>
      </c>
      <c r="K368" s="4" t="str">
        <f>IFERROR(__xludf.DUMMYFUNCTION("""COMPUTED_VALUE"""),"")</f>
        <v/>
      </c>
      <c r="L368" s="4" t="str">
        <f>IFERROR(__xludf.DUMMYFUNCTION("""COMPUTED_VALUE"""),"")</f>
        <v/>
      </c>
      <c r="M368" s="4" t="str">
        <f>IFERROR(__xludf.DUMMYFUNCTION("""COMPUTED_VALUE"""),"")</f>
        <v/>
      </c>
      <c r="N368" s="4" t="str">
        <f>IFERROR(__xludf.DUMMYFUNCTION("""COMPUTED_VALUE"""),"")</f>
        <v/>
      </c>
      <c r="O368" s="4" t="str">
        <f>IFERROR(__xludf.DUMMYFUNCTION("""COMPUTED_VALUE"""),"")</f>
        <v/>
      </c>
      <c r="P368" s="4" t="str">
        <f>IFERROR(__xludf.DUMMYFUNCTION("""COMPUTED_VALUE"""),"")</f>
        <v/>
      </c>
      <c r="Q368" s="4" t="str">
        <f>IFERROR(__xludf.DUMMYFUNCTION("""COMPUTED_VALUE"""),"")</f>
        <v/>
      </c>
      <c r="R368" s="4" t="str">
        <f>IFERROR(__xludf.DUMMYFUNCTION("""COMPUTED_VALUE"""),"")</f>
        <v/>
      </c>
    </row>
    <row r="369">
      <c r="A369" s="4" t="str">
        <f>IFERROR(__xludf.DUMMYFUNCTION("""COMPUTED_VALUE"""),"399 - Channel 5")</f>
        <v>399 - Channel 5</v>
      </c>
      <c r="B369" s="4" t="str">
        <f>IFERROR(__xludf.DUMMYFUNCTION("""COMPUTED_VALUE"""),"")</f>
        <v/>
      </c>
      <c r="C369" s="4" t="str">
        <f>IFERROR(__xludf.DUMMYFUNCTION("""COMPUTED_VALUE"""),"")</f>
        <v/>
      </c>
      <c r="D369" s="4" t="str">
        <f>IFERROR(__xludf.DUMMYFUNCTION("""COMPUTED_VALUE"""),"")</f>
        <v/>
      </c>
      <c r="E369" s="4" t="str">
        <f>IFERROR(__xludf.DUMMYFUNCTION("""COMPUTED_VALUE"""),"")</f>
        <v/>
      </c>
      <c r="F369" s="4" t="str">
        <f>IFERROR(__xludf.DUMMYFUNCTION("""COMPUTED_VALUE"""),"")</f>
        <v/>
      </c>
      <c r="G369" s="4" t="str">
        <f>IFERROR(__xludf.DUMMYFUNCTION("""COMPUTED_VALUE"""),"")</f>
        <v/>
      </c>
      <c r="H369" s="4" t="str">
        <f>IFERROR(__xludf.DUMMYFUNCTION("""COMPUTED_VALUE"""),"")</f>
        <v/>
      </c>
      <c r="I369" s="4" t="str">
        <f>IFERROR(__xludf.DUMMYFUNCTION("""COMPUTED_VALUE"""),"")</f>
        <v/>
      </c>
      <c r="J369" s="4" t="str">
        <f>IFERROR(__xludf.DUMMYFUNCTION("""COMPUTED_VALUE"""),"")</f>
        <v/>
      </c>
      <c r="K369" s="4" t="str">
        <f>IFERROR(__xludf.DUMMYFUNCTION("""COMPUTED_VALUE"""),"")</f>
        <v/>
      </c>
      <c r="L369" s="4" t="str">
        <f>IFERROR(__xludf.DUMMYFUNCTION("""COMPUTED_VALUE"""),"")</f>
        <v/>
      </c>
      <c r="M369" s="4" t="str">
        <f>IFERROR(__xludf.DUMMYFUNCTION("""COMPUTED_VALUE"""),"")</f>
        <v/>
      </c>
      <c r="N369" s="4" t="str">
        <f>IFERROR(__xludf.DUMMYFUNCTION("""COMPUTED_VALUE"""),"")</f>
        <v/>
      </c>
      <c r="O369" s="4" t="str">
        <f>IFERROR(__xludf.DUMMYFUNCTION("""COMPUTED_VALUE"""),"")</f>
        <v/>
      </c>
      <c r="P369" s="4" t="str">
        <f>IFERROR(__xludf.DUMMYFUNCTION("""COMPUTED_VALUE"""),"")</f>
        <v/>
      </c>
      <c r="Q369" s="4" t="str">
        <f>IFERROR(__xludf.DUMMYFUNCTION("""COMPUTED_VALUE"""),"")</f>
        <v/>
      </c>
      <c r="R369" s="4" t="str">
        <f>IFERROR(__xludf.DUMMYFUNCTION("""COMPUTED_VALUE"""),"")</f>
        <v/>
      </c>
    </row>
    <row r="370">
      <c r="A370" s="4" t="str">
        <f>IFERROR(__xludf.DUMMYFUNCTION("""COMPUTED_VALUE"""),"400 - Channel 5")</f>
        <v>400 - Channel 5</v>
      </c>
      <c r="B370" s="4" t="str">
        <f>IFERROR(__xludf.DUMMYFUNCTION("""COMPUTED_VALUE"""),"")</f>
        <v/>
      </c>
      <c r="C370" s="4" t="str">
        <f>IFERROR(__xludf.DUMMYFUNCTION("""COMPUTED_VALUE"""),"")</f>
        <v/>
      </c>
      <c r="D370" s="4" t="str">
        <f>IFERROR(__xludf.DUMMYFUNCTION("""COMPUTED_VALUE"""),"")</f>
        <v/>
      </c>
      <c r="E370" s="4" t="str">
        <f>IFERROR(__xludf.DUMMYFUNCTION("""COMPUTED_VALUE"""),"")</f>
        <v/>
      </c>
      <c r="F370" s="4" t="str">
        <f>IFERROR(__xludf.DUMMYFUNCTION("""COMPUTED_VALUE"""),"")</f>
        <v/>
      </c>
      <c r="G370" s="4" t="str">
        <f>IFERROR(__xludf.DUMMYFUNCTION("""COMPUTED_VALUE"""),"")</f>
        <v/>
      </c>
      <c r="H370" s="4" t="str">
        <f>IFERROR(__xludf.DUMMYFUNCTION("""COMPUTED_VALUE"""),"")</f>
        <v/>
      </c>
      <c r="I370" s="4" t="str">
        <f>IFERROR(__xludf.DUMMYFUNCTION("""COMPUTED_VALUE"""),"")</f>
        <v/>
      </c>
      <c r="J370" s="4" t="str">
        <f>IFERROR(__xludf.DUMMYFUNCTION("""COMPUTED_VALUE"""),"")</f>
        <v/>
      </c>
      <c r="K370" s="4" t="str">
        <f>IFERROR(__xludf.DUMMYFUNCTION("""COMPUTED_VALUE"""),"")</f>
        <v/>
      </c>
      <c r="L370" s="4" t="str">
        <f>IFERROR(__xludf.DUMMYFUNCTION("""COMPUTED_VALUE"""),"")</f>
        <v/>
      </c>
      <c r="M370" s="4" t="str">
        <f>IFERROR(__xludf.DUMMYFUNCTION("""COMPUTED_VALUE"""),"")</f>
        <v/>
      </c>
      <c r="N370" s="4" t="str">
        <f>IFERROR(__xludf.DUMMYFUNCTION("""COMPUTED_VALUE"""),"")</f>
        <v/>
      </c>
      <c r="O370" s="4" t="str">
        <f>IFERROR(__xludf.DUMMYFUNCTION("""COMPUTED_VALUE"""),"")</f>
        <v/>
      </c>
      <c r="P370" s="4" t="str">
        <f>IFERROR(__xludf.DUMMYFUNCTION("""COMPUTED_VALUE"""),"")</f>
        <v/>
      </c>
      <c r="Q370" s="4" t="str">
        <f>IFERROR(__xludf.DUMMYFUNCTION("""COMPUTED_VALUE"""),"")</f>
        <v/>
      </c>
      <c r="R370" s="4" t="str">
        <f>IFERROR(__xludf.DUMMYFUNCTION("""COMPUTED_VALUE"""),"")</f>
        <v/>
      </c>
    </row>
    <row r="371">
      <c r="A371" s="4" t="str">
        <f>IFERROR(__xludf.DUMMYFUNCTION("""COMPUTED_VALUE"""),"401 - Channel 5")</f>
        <v>401 - Channel 5</v>
      </c>
      <c r="B371" s="4" t="str">
        <f>IFERROR(__xludf.DUMMYFUNCTION("""COMPUTED_VALUE"""),"")</f>
        <v/>
      </c>
      <c r="C371" s="4" t="str">
        <f>IFERROR(__xludf.DUMMYFUNCTION("""COMPUTED_VALUE"""),"")</f>
        <v/>
      </c>
      <c r="D371" s="4" t="str">
        <f>IFERROR(__xludf.DUMMYFUNCTION("""COMPUTED_VALUE"""),"")</f>
        <v/>
      </c>
      <c r="E371" s="4" t="str">
        <f>IFERROR(__xludf.DUMMYFUNCTION("""COMPUTED_VALUE"""),"")</f>
        <v/>
      </c>
      <c r="F371" s="4" t="str">
        <f>IFERROR(__xludf.DUMMYFUNCTION("""COMPUTED_VALUE"""),"")</f>
        <v/>
      </c>
      <c r="G371" s="4" t="str">
        <f>IFERROR(__xludf.DUMMYFUNCTION("""COMPUTED_VALUE"""),"")</f>
        <v/>
      </c>
      <c r="H371" s="4" t="str">
        <f>IFERROR(__xludf.DUMMYFUNCTION("""COMPUTED_VALUE"""),"")</f>
        <v/>
      </c>
      <c r="I371" s="4" t="str">
        <f>IFERROR(__xludf.DUMMYFUNCTION("""COMPUTED_VALUE"""),"")</f>
        <v/>
      </c>
      <c r="J371" s="4" t="str">
        <f>IFERROR(__xludf.DUMMYFUNCTION("""COMPUTED_VALUE"""),"")</f>
        <v/>
      </c>
      <c r="K371" s="4" t="str">
        <f>IFERROR(__xludf.DUMMYFUNCTION("""COMPUTED_VALUE"""),"")</f>
        <v/>
      </c>
      <c r="L371" s="4" t="str">
        <f>IFERROR(__xludf.DUMMYFUNCTION("""COMPUTED_VALUE"""),"")</f>
        <v/>
      </c>
      <c r="M371" s="4" t="str">
        <f>IFERROR(__xludf.DUMMYFUNCTION("""COMPUTED_VALUE"""),"")</f>
        <v/>
      </c>
      <c r="N371" s="4" t="str">
        <f>IFERROR(__xludf.DUMMYFUNCTION("""COMPUTED_VALUE"""),"")</f>
        <v/>
      </c>
      <c r="O371" s="4" t="str">
        <f>IFERROR(__xludf.DUMMYFUNCTION("""COMPUTED_VALUE"""),"")</f>
        <v/>
      </c>
      <c r="P371" s="4" t="str">
        <f>IFERROR(__xludf.DUMMYFUNCTION("""COMPUTED_VALUE"""),"")</f>
        <v/>
      </c>
      <c r="Q371" s="4" t="str">
        <f>IFERROR(__xludf.DUMMYFUNCTION("""COMPUTED_VALUE"""),"")</f>
        <v/>
      </c>
      <c r="R371" s="4" t="str">
        <f>IFERROR(__xludf.DUMMYFUNCTION("""COMPUTED_VALUE"""),"")</f>
        <v/>
      </c>
    </row>
    <row r="372">
      <c r="A372" s="4" t="str">
        <f>IFERROR(__xludf.DUMMYFUNCTION("""COMPUTED_VALUE"""),"402 - Channel 5")</f>
        <v>402 - Channel 5</v>
      </c>
      <c r="B372" s="4" t="str">
        <f>IFERROR(__xludf.DUMMYFUNCTION("""COMPUTED_VALUE"""),"")</f>
        <v/>
      </c>
      <c r="C372" s="4" t="str">
        <f>IFERROR(__xludf.DUMMYFUNCTION("""COMPUTED_VALUE"""),"")</f>
        <v/>
      </c>
      <c r="D372" s="4" t="str">
        <f>IFERROR(__xludf.DUMMYFUNCTION("""COMPUTED_VALUE"""),"")</f>
        <v/>
      </c>
      <c r="E372" s="4" t="str">
        <f>IFERROR(__xludf.DUMMYFUNCTION("""COMPUTED_VALUE"""),"")</f>
        <v/>
      </c>
      <c r="F372" s="4" t="str">
        <f>IFERROR(__xludf.DUMMYFUNCTION("""COMPUTED_VALUE"""),"")</f>
        <v/>
      </c>
      <c r="G372" s="4" t="str">
        <f>IFERROR(__xludf.DUMMYFUNCTION("""COMPUTED_VALUE"""),"")</f>
        <v/>
      </c>
      <c r="H372" s="4" t="str">
        <f>IFERROR(__xludf.DUMMYFUNCTION("""COMPUTED_VALUE"""),"")</f>
        <v/>
      </c>
      <c r="I372" s="4" t="str">
        <f>IFERROR(__xludf.DUMMYFUNCTION("""COMPUTED_VALUE"""),"")</f>
        <v/>
      </c>
      <c r="J372" s="4" t="str">
        <f>IFERROR(__xludf.DUMMYFUNCTION("""COMPUTED_VALUE"""),"")</f>
        <v/>
      </c>
      <c r="K372" s="4" t="str">
        <f>IFERROR(__xludf.DUMMYFUNCTION("""COMPUTED_VALUE"""),"")</f>
        <v/>
      </c>
      <c r="L372" s="4" t="str">
        <f>IFERROR(__xludf.DUMMYFUNCTION("""COMPUTED_VALUE"""),"")</f>
        <v/>
      </c>
      <c r="M372" s="4" t="str">
        <f>IFERROR(__xludf.DUMMYFUNCTION("""COMPUTED_VALUE"""),"")</f>
        <v/>
      </c>
      <c r="N372" s="4" t="str">
        <f>IFERROR(__xludf.DUMMYFUNCTION("""COMPUTED_VALUE"""),"")</f>
        <v/>
      </c>
      <c r="O372" s="4" t="str">
        <f>IFERROR(__xludf.DUMMYFUNCTION("""COMPUTED_VALUE"""),"")</f>
        <v/>
      </c>
      <c r="P372" s="4" t="str">
        <f>IFERROR(__xludf.DUMMYFUNCTION("""COMPUTED_VALUE"""),"")</f>
        <v/>
      </c>
      <c r="Q372" s="4" t="str">
        <f>IFERROR(__xludf.DUMMYFUNCTION("""COMPUTED_VALUE"""),"")</f>
        <v/>
      </c>
      <c r="R372" s="4" t="str">
        <f>IFERROR(__xludf.DUMMYFUNCTION("""COMPUTED_VALUE"""),"")</f>
        <v/>
      </c>
    </row>
    <row r="373">
      <c r="A373" s="4" t="str">
        <f>IFERROR(__xludf.DUMMYFUNCTION("""COMPUTED_VALUE"""),"403 - Channel 5")</f>
        <v>403 - Channel 5</v>
      </c>
      <c r="B373" s="4" t="str">
        <f>IFERROR(__xludf.DUMMYFUNCTION("""COMPUTED_VALUE"""),"")</f>
        <v/>
      </c>
      <c r="C373" s="4" t="str">
        <f>IFERROR(__xludf.DUMMYFUNCTION("""COMPUTED_VALUE"""),"")</f>
        <v/>
      </c>
      <c r="D373" s="4" t="str">
        <f>IFERROR(__xludf.DUMMYFUNCTION("""COMPUTED_VALUE"""),"")</f>
        <v/>
      </c>
      <c r="E373" s="4" t="str">
        <f>IFERROR(__xludf.DUMMYFUNCTION("""COMPUTED_VALUE"""),"")</f>
        <v/>
      </c>
      <c r="F373" s="4" t="str">
        <f>IFERROR(__xludf.DUMMYFUNCTION("""COMPUTED_VALUE"""),"")</f>
        <v/>
      </c>
      <c r="G373" s="4" t="str">
        <f>IFERROR(__xludf.DUMMYFUNCTION("""COMPUTED_VALUE"""),"")</f>
        <v/>
      </c>
      <c r="H373" s="4" t="str">
        <f>IFERROR(__xludf.DUMMYFUNCTION("""COMPUTED_VALUE"""),"")</f>
        <v/>
      </c>
      <c r="I373" s="4" t="str">
        <f>IFERROR(__xludf.DUMMYFUNCTION("""COMPUTED_VALUE"""),"")</f>
        <v/>
      </c>
      <c r="J373" s="4" t="str">
        <f>IFERROR(__xludf.DUMMYFUNCTION("""COMPUTED_VALUE"""),"")</f>
        <v/>
      </c>
      <c r="K373" s="4" t="str">
        <f>IFERROR(__xludf.DUMMYFUNCTION("""COMPUTED_VALUE"""),"")</f>
        <v/>
      </c>
      <c r="L373" s="4" t="str">
        <f>IFERROR(__xludf.DUMMYFUNCTION("""COMPUTED_VALUE"""),"")</f>
        <v/>
      </c>
      <c r="M373" s="4" t="str">
        <f>IFERROR(__xludf.DUMMYFUNCTION("""COMPUTED_VALUE"""),"")</f>
        <v/>
      </c>
      <c r="N373" s="4" t="str">
        <f>IFERROR(__xludf.DUMMYFUNCTION("""COMPUTED_VALUE"""),"")</f>
        <v/>
      </c>
      <c r="O373" s="4" t="str">
        <f>IFERROR(__xludf.DUMMYFUNCTION("""COMPUTED_VALUE"""),"")</f>
        <v/>
      </c>
      <c r="P373" s="4" t="str">
        <f>IFERROR(__xludf.DUMMYFUNCTION("""COMPUTED_VALUE"""),"")</f>
        <v/>
      </c>
      <c r="Q373" s="4" t="str">
        <f>IFERROR(__xludf.DUMMYFUNCTION("""COMPUTED_VALUE"""),"")</f>
        <v/>
      </c>
      <c r="R373" s="4" t="str">
        <f>IFERROR(__xludf.DUMMYFUNCTION("""COMPUTED_VALUE"""),"")</f>
        <v/>
      </c>
    </row>
    <row r="374">
      <c r="A374" s="4" t="str">
        <f>IFERROR(__xludf.DUMMYFUNCTION("""COMPUTED_VALUE"""),"404 - Channel 5")</f>
        <v>404 - Channel 5</v>
      </c>
      <c r="B374" s="4" t="str">
        <f>IFERROR(__xludf.DUMMYFUNCTION("""COMPUTED_VALUE"""),"")</f>
        <v/>
      </c>
      <c r="C374" s="4" t="str">
        <f>IFERROR(__xludf.DUMMYFUNCTION("""COMPUTED_VALUE"""),"")</f>
        <v/>
      </c>
      <c r="D374" s="4" t="str">
        <f>IFERROR(__xludf.DUMMYFUNCTION("""COMPUTED_VALUE"""),"")</f>
        <v/>
      </c>
      <c r="E374" s="4" t="str">
        <f>IFERROR(__xludf.DUMMYFUNCTION("""COMPUTED_VALUE"""),"")</f>
        <v/>
      </c>
      <c r="F374" s="4" t="str">
        <f>IFERROR(__xludf.DUMMYFUNCTION("""COMPUTED_VALUE"""),"")</f>
        <v/>
      </c>
      <c r="G374" s="4" t="str">
        <f>IFERROR(__xludf.DUMMYFUNCTION("""COMPUTED_VALUE"""),"")</f>
        <v/>
      </c>
      <c r="H374" s="4" t="str">
        <f>IFERROR(__xludf.DUMMYFUNCTION("""COMPUTED_VALUE"""),"")</f>
        <v/>
      </c>
      <c r="I374" s="4" t="str">
        <f>IFERROR(__xludf.DUMMYFUNCTION("""COMPUTED_VALUE"""),"")</f>
        <v/>
      </c>
      <c r="J374" s="4" t="str">
        <f>IFERROR(__xludf.DUMMYFUNCTION("""COMPUTED_VALUE"""),"")</f>
        <v/>
      </c>
      <c r="K374" s="4" t="str">
        <f>IFERROR(__xludf.DUMMYFUNCTION("""COMPUTED_VALUE"""),"")</f>
        <v/>
      </c>
      <c r="L374" s="4" t="str">
        <f>IFERROR(__xludf.DUMMYFUNCTION("""COMPUTED_VALUE"""),"")</f>
        <v/>
      </c>
      <c r="M374" s="4" t="str">
        <f>IFERROR(__xludf.DUMMYFUNCTION("""COMPUTED_VALUE"""),"")</f>
        <v/>
      </c>
      <c r="N374" s="4" t="str">
        <f>IFERROR(__xludf.DUMMYFUNCTION("""COMPUTED_VALUE"""),"")</f>
        <v/>
      </c>
      <c r="O374" s="4" t="str">
        <f>IFERROR(__xludf.DUMMYFUNCTION("""COMPUTED_VALUE"""),"")</f>
        <v/>
      </c>
      <c r="P374" s="4" t="str">
        <f>IFERROR(__xludf.DUMMYFUNCTION("""COMPUTED_VALUE"""),"")</f>
        <v/>
      </c>
      <c r="Q374" s="4" t="str">
        <f>IFERROR(__xludf.DUMMYFUNCTION("""COMPUTED_VALUE"""),"")</f>
        <v/>
      </c>
      <c r="R374" s="4" t="str">
        <f>IFERROR(__xludf.DUMMYFUNCTION("""COMPUTED_VALUE"""),"")</f>
        <v/>
      </c>
    </row>
    <row r="375">
      <c r="A375" s="4" t="str">
        <f>IFERROR(__xludf.DUMMYFUNCTION("""COMPUTED_VALUE"""),"405 - Channel 5")</f>
        <v>405 - Channel 5</v>
      </c>
      <c r="B375" s="4" t="str">
        <f>IFERROR(__xludf.DUMMYFUNCTION("""COMPUTED_VALUE"""),"")</f>
        <v/>
      </c>
      <c r="C375" s="4" t="str">
        <f>IFERROR(__xludf.DUMMYFUNCTION("""COMPUTED_VALUE"""),"")</f>
        <v/>
      </c>
      <c r="D375" s="4" t="str">
        <f>IFERROR(__xludf.DUMMYFUNCTION("""COMPUTED_VALUE"""),"")</f>
        <v/>
      </c>
      <c r="E375" s="4" t="str">
        <f>IFERROR(__xludf.DUMMYFUNCTION("""COMPUTED_VALUE"""),"")</f>
        <v/>
      </c>
      <c r="F375" s="4" t="str">
        <f>IFERROR(__xludf.DUMMYFUNCTION("""COMPUTED_VALUE"""),"")</f>
        <v/>
      </c>
      <c r="G375" s="4" t="str">
        <f>IFERROR(__xludf.DUMMYFUNCTION("""COMPUTED_VALUE"""),"")</f>
        <v/>
      </c>
      <c r="H375" s="4" t="str">
        <f>IFERROR(__xludf.DUMMYFUNCTION("""COMPUTED_VALUE"""),"")</f>
        <v/>
      </c>
      <c r="I375" s="4" t="str">
        <f>IFERROR(__xludf.DUMMYFUNCTION("""COMPUTED_VALUE"""),"")</f>
        <v/>
      </c>
      <c r="J375" s="4" t="str">
        <f>IFERROR(__xludf.DUMMYFUNCTION("""COMPUTED_VALUE"""),"")</f>
        <v/>
      </c>
      <c r="K375" s="4" t="str">
        <f>IFERROR(__xludf.DUMMYFUNCTION("""COMPUTED_VALUE"""),"")</f>
        <v/>
      </c>
      <c r="L375" s="4" t="str">
        <f>IFERROR(__xludf.DUMMYFUNCTION("""COMPUTED_VALUE"""),"")</f>
        <v/>
      </c>
      <c r="M375" s="4" t="str">
        <f>IFERROR(__xludf.DUMMYFUNCTION("""COMPUTED_VALUE"""),"")</f>
        <v/>
      </c>
      <c r="N375" s="4" t="str">
        <f>IFERROR(__xludf.DUMMYFUNCTION("""COMPUTED_VALUE"""),"")</f>
        <v/>
      </c>
      <c r="O375" s="4" t="str">
        <f>IFERROR(__xludf.DUMMYFUNCTION("""COMPUTED_VALUE"""),"")</f>
        <v/>
      </c>
      <c r="P375" s="4" t="str">
        <f>IFERROR(__xludf.DUMMYFUNCTION("""COMPUTED_VALUE"""),"")</f>
        <v/>
      </c>
      <c r="Q375" s="4" t="str">
        <f>IFERROR(__xludf.DUMMYFUNCTION("""COMPUTED_VALUE"""),"")</f>
        <v/>
      </c>
      <c r="R375" s="4" t="str">
        <f>IFERROR(__xludf.DUMMYFUNCTION("""COMPUTED_VALUE"""),"")</f>
        <v/>
      </c>
    </row>
    <row r="376">
      <c r="A376" s="4" t="str">
        <f>IFERROR(__xludf.DUMMYFUNCTION("""COMPUTED_VALUE"""),"406 - Channel 5")</f>
        <v>406 - Channel 5</v>
      </c>
      <c r="B376" s="4" t="str">
        <f>IFERROR(__xludf.DUMMYFUNCTION("""COMPUTED_VALUE"""),"")</f>
        <v/>
      </c>
      <c r="C376" s="4" t="str">
        <f>IFERROR(__xludf.DUMMYFUNCTION("""COMPUTED_VALUE"""),"")</f>
        <v/>
      </c>
      <c r="D376" s="4" t="str">
        <f>IFERROR(__xludf.DUMMYFUNCTION("""COMPUTED_VALUE"""),"")</f>
        <v/>
      </c>
      <c r="E376" s="4" t="str">
        <f>IFERROR(__xludf.DUMMYFUNCTION("""COMPUTED_VALUE"""),"")</f>
        <v/>
      </c>
      <c r="F376" s="4" t="str">
        <f>IFERROR(__xludf.DUMMYFUNCTION("""COMPUTED_VALUE"""),"")</f>
        <v/>
      </c>
      <c r="G376" s="4" t="str">
        <f>IFERROR(__xludf.DUMMYFUNCTION("""COMPUTED_VALUE"""),"")</f>
        <v/>
      </c>
      <c r="H376" s="4" t="str">
        <f>IFERROR(__xludf.DUMMYFUNCTION("""COMPUTED_VALUE"""),"")</f>
        <v/>
      </c>
      <c r="I376" s="4" t="str">
        <f>IFERROR(__xludf.DUMMYFUNCTION("""COMPUTED_VALUE"""),"")</f>
        <v/>
      </c>
      <c r="J376" s="4" t="str">
        <f>IFERROR(__xludf.DUMMYFUNCTION("""COMPUTED_VALUE"""),"")</f>
        <v/>
      </c>
      <c r="K376" s="4" t="str">
        <f>IFERROR(__xludf.DUMMYFUNCTION("""COMPUTED_VALUE"""),"")</f>
        <v/>
      </c>
      <c r="L376" s="4" t="str">
        <f>IFERROR(__xludf.DUMMYFUNCTION("""COMPUTED_VALUE"""),"")</f>
        <v/>
      </c>
      <c r="M376" s="4" t="str">
        <f>IFERROR(__xludf.DUMMYFUNCTION("""COMPUTED_VALUE"""),"")</f>
        <v/>
      </c>
      <c r="N376" s="4" t="str">
        <f>IFERROR(__xludf.DUMMYFUNCTION("""COMPUTED_VALUE"""),"")</f>
        <v/>
      </c>
      <c r="O376" s="4" t="str">
        <f>IFERROR(__xludf.DUMMYFUNCTION("""COMPUTED_VALUE"""),"")</f>
        <v/>
      </c>
      <c r="P376" s="4" t="str">
        <f>IFERROR(__xludf.DUMMYFUNCTION("""COMPUTED_VALUE"""),"")</f>
        <v/>
      </c>
      <c r="Q376" s="4" t="str">
        <f>IFERROR(__xludf.DUMMYFUNCTION("""COMPUTED_VALUE"""),"")</f>
        <v/>
      </c>
      <c r="R376" s="4" t="str">
        <f>IFERROR(__xludf.DUMMYFUNCTION("""COMPUTED_VALUE"""),"")</f>
        <v/>
      </c>
    </row>
    <row r="377">
      <c r="A377" s="4" t="str">
        <f>IFERROR(__xludf.DUMMYFUNCTION("""COMPUTED_VALUE"""),"407 - Channel 5")</f>
        <v>407 - Channel 5</v>
      </c>
      <c r="B377" s="4" t="str">
        <f>IFERROR(__xludf.DUMMYFUNCTION("""COMPUTED_VALUE"""),"")</f>
        <v/>
      </c>
      <c r="C377" s="4" t="str">
        <f>IFERROR(__xludf.DUMMYFUNCTION("""COMPUTED_VALUE"""),"")</f>
        <v/>
      </c>
      <c r="D377" s="4" t="str">
        <f>IFERROR(__xludf.DUMMYFUNCTION("""COMPUTED_VALUE"""),"")</f>
        <v/>
      </c>
      <c r="E377" s="4" t="str">
        <f>IFERROR(__xludf.DUMMYFUNCTION("""COMPUTED_VALUE"""),"")</f>
        <v/>
      </c>
      <c r="F377" s="4" t="str">
        <f>IFERROR(__xludf.DUMMYFUNCTION("""COMPUTED_VALUE"""),"")</f>
        <v/>
      </c>
      <c r="G377" s="4" t="str">
        <f>IFERROR(__xludf.DUMMYFUNCTION("""COMPUTED_VALUE"""),"")</f>
        <v/>
      </c>
      <c r="H377" s="4" t="str">
        <f>IFERROR(__xludf.DUMMYFUNCTION("""COMPUTED_VALUE"""),"")</f>
        <v/>
      </c>
      <c r="I377" s="4" t="str">
        <f>IFERROR(__xludf.DUMMYFUNCTION("""COMPUTED_VALUE"""),"")</f>
        <v/>
      </c>
      <c r="J377" s="4" t="str">
        <f>IFERROR(__xludf.DUMMYFUNCTION("""COMPUTED_VALUE"""),"")</f>
        <v/>
      </c>
      <c r="K377" s="4" t="str">
        <f>IFERROR(__xludf.DUMMYFUNCTION("""COMPUTED_VALUE"""),"")</f>
        <v/>
      </c>
      <c r="L377" s="4" t="str">
        <f>IFERROR(__xludf.DUMMYFUNCTION("""COMPUTED_VALUE"""),"")</f>
        <v/>
      </c>
      <c r="M377" s="4" t="str">
        <f>IFERROR(__xludf.DUMMYFUNCTION("""COMPUTED_VALUE"""),"")</f>
        <v/>
      </c>
      <c r="N377" s="4" t="str">
        <f>IFERROR(__xludf.DUMMYFUNCTION("""COMPUTED_VALUE"""),"")</f>
        <v/>
      </c>
      <c r="O377" s="4" t="str">
        <f>IFERROR(__xludf.DUMMYFUNCTION("""COMPUTED_VALUE"""),"")</f>
        <v/>
      </c>
      <c r="P377" s="4" t="str">
        <f>IFERROR(__xludf.DUMMYFUNCTION("""COMPUTED_VALUE"""),"")</f>
        <v/>
      </c>
      <c r="Q377" s="4" t="str">
        <f>IFERROR(__xludf.DUMMYFUNCTION("""COMPUTED_VALUE"""),"")</f>
        <v/>
      </c>
      <c r="R377" s="4" t="str">
        <f>IFERROR(__xludf.DUMMYFUNCTION("""COMPUTED_VALUE"""),"")</f>
        <v/>
      </c>
    </row>
    <row r="378">
      <c r="A378" s="4" t="str">
        <f>IFERROR(__xludf.DUMMYFUNCTION("""COMPUTED_VALUE"""),"408 - Channel 5")</f>
        <v>408 - Channel 5</v>
      </c>
      <c r="B378" s="4" t="str">
        <f>IFERROR(__xludf.DUMMYFUNCTION("""COMPUTED_VALUE"""),"")</f>
        <v/>
      </c>
      <c r="C378" s="4" t="str">
        <f>IFERROR(__xludf.DUMMYFUNCTION("""COMPUTED_VALUE"""),"")</f>
        <v/>
      </c>
      <c r="D378" s="4" t="str">
        <f>IFERROR(__xludf.DUMMYFUNCTION("""COMPUTED_VALUE"""),"")</f>
        <v/>
      </c>
      <c r="E378" s="4" t="str">
        <f>IFERROR(__xludf.DUMMYFUNCTION("""COMPUTED_VALUE"""),"")</f>
        <v/>
      </c>
      <c r="F378" s="4" t="str">
        <f>IFERROR(__xludf.DUMMYFUNCTION("""COMPUTED_VALUE"""),"")</f>
        <v/>
      </c>
      <c r="G378" s="4" t="str">
        <f>IFERROR(__xludf.DUMMYFUNCTION("""COMPUTED_VALUE"""),"")</f>
        <v/>
      </c>
      <c r="H378" s="4" t="str">
        <f>IFERROR(__xludf.DUMMYFUNCTION("""COMPUTED_VALUE"""),"")</f>
        <v/>
      </c>
      <c r="I378" s="4" t="str">
        <f>IFERROR(__xludf.DUMMYFUNCTION("""COMPUTED_VALUE"""),"")</f>
        <v/>
      </c>
      <c r="J378" s="4" t="str">
        <f>IFERROR(__xludf.DUMMYFUNCTION("""COMPUTED_VALUE"""),"")</f>
        <v/>
      </c>
      <c r="K378" s="4" t="str">
        <f>IFERROR(__xludf.DUMMYFUNCTION("""COMPUTED_VALUE"""),"")</f>
        <v/>
      </c>
      <c r="L378" s="4" t="str">
        <f>IFERROR(__xludf.DUMMYFUNCTION("""COMPUTED_VALUE"""),"")</f>
        <v/>
      </c>
      <c r="M378" s="4" t="str">
        <f>IFERROR(__xludf.DUMMYFUNCTION("""COMPUTED_VALUE"""),"")</f>
        <v/>
      </c>
      <c r="N378" s="4" t="str">
        <f>IFERROR(__xludf.DUMMYFUNCTION("""COMPUTED_VALUE"""),"")</f>
        <v/>
      </c>
      <c r="O378" s="4" t="str">
        <f>IFERROR(__xludf.DUMMYFUNCTION("""COMPUTED_VALUE"""),"")</f>
        <v/>
      </c>
      <c r="P378" s="4" t="str">
        <f>IFERROR(__xludf.DUMMYFUNCTION("""COMPUTED_VALUE"""),"")</f>
        <v/>
      </c>
      <c r="Q378" s="4" t="str">
        <f>IFERROR(__xludf.DUMMYFUNCTION("""COMPUTED_VALUE"""),"")</f>
        <v/>
      </c>
      <c r="R378" s="4" t="str">
        <f>IFERROR(__xludf.DUMMYFUNCTION("""COMPUTED_VALUE"""),"")</f>
        <v/>
      </c>
    </row>
    <row r="379">
      <c r="A379" s="4" t="str">
        <f>IFERROR(__xludf.DUMMYFUNCTION("""COMPUTED_VALUE"""),"409 - Channel 5")</f>
        <v>409 - Channel 5</v>
      </c>
      <c r="B379" s="4" t="str">
        <f>IFERROR(__xludf.DUMMYFUNCTION("""COMPUTED_VALUE"""),"")</f>
        <v/>
      </c>
      <c r="C379" s="4" t="str">
        <f>IFERROR(__xludf.DUMMYFUNCTION("""COMPUTED_VALUE"""),"")</f>
        <v/>
      </c>
      <c r="D379" s="4" t="str">
        <f>IFERROR(__xludf.DUMMYFUNCTION("""COMPUTED_VALUE"""),"")</f>
        <v/>
      </c>
      <c r="E379" s="4" t="str">
        <f>IFERROR(__xludf.DUMMYFUNCTION("""COMPUTED_VALUE"""),"")</f>
        <v/>
      </c>
      <c r="F379" s="4" t="str">
        <f>IFERROR(__xludf.DUMMYFUNCTION("""COMPUTED_VALUE"""),"")</f>
        <v/>
      </c>
      <c r="G379" s="4" t="str">
        <f>IFERROR(__xludf.DUMMYFUNCTION("""COMPUTED_VALUE"""),"")</f>
        <v/>
      </c>
      <c r="H379" s="4" t="str">
        <f>IFERROR(__xludf.DUMMYFUNCTION("""COMPUTED_VALUE"""),"")</f>
        <v/>
      </c>
      <c r="I379" s="4" t="str">
        <f>IFERROR(__xludf.DUMMYFUNCTION("""COMPUTED_VALUE"""),"")</f>
        <v/>
      </c>
      <c r="J379" s="4" t="str">
        <f>IFERROR(__xludf.DUMMYFUNCTION("""COMPUTED_VALUE"""),"")</f>
        <v/>
      </c>
      <c r="K379" s="4" t="str">
        <f>IFERROR(__xludf.DUMMYFUNCTION("""COMPUTED_VALUE"""),"")</f>
        <v/>
      </c>
      <c r="L379" s="4" t="str">
        <f>IFERROR(__xludf.DUMMYFUNCTION("""COMPUTED_VALUE"""),"")</f>
        <v/>
      </c>
      <c r="M379" s="4" t="str">
        <f>IFERROR(__xludf.DUMMYFUNCTION("""COMPUTED_VALUE"""),"")</f>
        <v/>
      </c>
      <c r="N379" s="4" t="str">
        <f>IFERROR(__xludf.DUMMYFUNCTION("""COMPUTED_VALUE"""),"")</f>
        <v/>
      </c>
      <c r="O379" s="4" t="str">
        <f>IFERROR(__xludf.DUMMYFUNCTION("""COMPUTED_VALUE"""),"")</f>
        <v/>
      </c>
      <c r="P379" s="4" t="str">
        <f>IFERROR(__xludf.DUMMYFUNCTION("""COMPUTED_VALUE"""),"")</f>
        <v/>
      </c>
      <c r="Q379" s="4" t="str">
        <f>IFERROR(__xludf.DUMMYFUNCTION("""COMPUTED_VALUE"""),"")</f>
        <v/>
      </c>
      <c r="R379" s="4" t="str">
        <f>IFERROR(__xludf.DUMMYFUNCTION("""COMPUTED_VALUE"""),"")</f>
        <v/>
      </c>
    </row>
    <row r="380">
      <c r="A380" s="4" t="str">
        <f>IFERROR(__xludf.DUMMYFUNCTION("""COMPUTED_VALUE"""),"410 - Channel 5")</f>
        <v>410 - Channel 5</v>
      </c>
      <c r="B380" s="4" t="str">
        <f>IFERROR(__xludf.DUMMYFUNCTION("""COMPUTED_VALUE"""),"")</f>
        <v/>
      </c>
      <c r="C380" s="4" t="str">
        <f>IFERROR(__xludf.DUMMYFUNCTION("""COMPUTED_VALUE"""),"")</f>
        <v/>
      </c>
      <c r="D380" s="4" t="str">
        <f>IFERROR(__xludf.DUMMYFUNCTION("""COMPUTED_VALUE"""),"")</f>
        <v/>
      </c>
      <c r="E380" s="4" t="str">
        <f>IFERROR(__xludf.DUMMYFUNCTION("""COMPUTED_VALUE"""),"")</f>
        <v/>
      </c>
      <c r="F380" s="4" t="str">
        <f>IFERROR(__xludf.DUMMYFUNCTION("""COMPUTED_VALUE"""),"")</f>
        <v/>
      </c>
      <c r="G380" s="4" t="str">
        <f>IFERROR(__xludf.DUMMYFUNCTION("""COMPUTED_VALUE"""),"")</f>
        <v/>
      </c>
      <c r="H380" s="4" t="str">
        <f>IFERROR(__xludf.DUMMYFUNCTION("""COMPUTED_VALUE"""),"")</f>
        <v/>
      </c>
      <c r="I380" s="4" t="str">
        <f>IFERROR(__xludf.DUMMYFUNCTION("""COMPUTED_VALUE"""),"")</f>
        <v/>
      </c>
      <c r="J380" s="4" t="str">
        <f>IFERROR(__xludf.DUMMYFUNCTION("""COMPUTED_VALUE"""),"")</f>
        <v/>
      </c>
      <c r="K380" s="4" t="str">
        <f>IFERROR(__xludf.DUMMYFUNCTION("""COMPUTED_VALUE"""),"")</f>
        <v/>
      </c>
      <c r="L380" s="4" t="str">
        <f>IFERROR(__xludf.DUMMYFUNCTION("""COMPUTED_VALUE"""),"")</f>
        <v/>
      </c>
      <c r="M380" s="4" t="str">
        <f>IFERROR(__xludf.DUMMYFUNCTION("""COMPUTED_VALUE"""),"")</f>
        <v/>
      </c>
      <c r="N380" s="4" t="str">
        <f>IFERROR(__xludf.DUMMYFUNCTION("""COMPUTED_VALUE"""),"")</f>
        <v/>
      </c>
      <c r="O380" s="4" t="str">
        <f>IFERROR(__xludf.DUMMYFUNCTION("""COMPUTED_VALUE"""),"")</f>
        <v/>
      </c>
      <c r="P380" s="4" t="str">
        <f>IFERROR(__xludf.DUMMYFUNCTION("""COMPUTED_VALUE"""),"")</f>
        <v/>
      </c>
      <c r="Q380" s="4" t="str">
        <f>IFERROR(__xludf.DUMMYFUNCTION("""COMPUTED_VALUE"""),"")</f>
        <v/>
      </c>
      <c r="R380" s="4" t="str">
        <f>IFERROR(__xludf.DUMMYFUNCTION("""COMPUTED_VALUE"""),"")</f>
        <v/>
      </c>
    </row>
    <row r="381">
      <c r="A381" s="4" t="str">
        <f>IFERROR(__xludf.DUMMYFUNCTION("""COMPUTED_VALUE"""),"411 - Channel 5")</f>
        <v>411 - Channel 5</v>
      </c>
      <c r="B381" s="4" t="str">
        <f>IFERROR(__xludf.DUMMYFUNCTION("""COMPUTED_VALUE"""),"")</f>
        <v/>
      </c>
      <c r="C381" s="4" t="str">
        <f>IFERROR(__xludf.DUMMYFUNCTION("""COMPUTED_VALUE"""),"")</f>
        <v/>
      </c>
      <c r="D381" s="4" t="str">
        <f>IFERROR(__xludf.DUMMYFUNCTION("""COMPUTED_VALUE"""),"")</f>
        <v/>
      </c>
      <c r="E381" s="4" t="str">
        <f>IFERROR(__xludf.DUMMYFUNCTION("""COMPUTED_VALUE"""),"")</f>
        <v/>
      </c>
      <c r="F381" s="4" t="str">
        <f>IFERROR(__xludf.DUMMYFUNCTION("""COMPUTED_VALUE"""),"")</f>
        <v/>
      </c>
      <c r="G381" s="4" t="str">
        <f>IFERROR(__xludf.DUMMYFUNCTION("""COMPUTED_VALUE"""),"")</f>
        <v/>
      </c>
      <c r="H381" s="4" t="str">
        <f>IFERROR(__xludf.DUMMYFUNCTION("""COMPUTED_VALUE"""),"")</f>
        <v/>
      </c>
      <c r="I381" s="4" t="str">
        <f>IFERROR(__xludf.DUMMYFUNCTION("""COMPUTED_VALUE"""),"")</f>
        <v/>
      </c>
      <c r="J381" s="4" t="str">
        <f>IFERROR(__xludf.DUMMYFUNCTION("""COMPUTED_VALUE"""),"")</f>
        <v/>
      </c>
      <c r="K381" s="4" t="str">
        <f>IFERROR(__xludf.DUMMYFUNCTION("""COMPUTED_VALUE"""),"")</f>
        <v/>
      </c>
      <c r="L381" s="4" t="str">
        <f>IFERROR(__xludf.DUMMYFUNCTION("""COMPUTED_VALUE"""),"")</f>
        <v/>
      </c>
      <c r="M381" s="4" t="str">
        <f>IFERROR(__xludf.DUMMYFUNCTION("""COMPUTED_VALUE"""),"")</f>
        <v/>
      </c>
      <c r="N381" s="4" t="str">
        <f>IFERROR(__xludf.DUMMYFUNCTION("""COMPUTED_VALUE"""),"")</f>
        <v/>
      </c>
      <c r="O381" s="4" t="str">
        <f>IFERROR(__xludf.DUMMYFUNCTION("""COMPUTED_VALUE"""),"")</f>
        <v/>
      </c>
      <c r="P381" s="4" t="str">
        <f>IFERROR(__xludf.DUMMYFUNCTION("""COMPUTED_VALUE"""),"")</f>
        <v/>
      </c>
      <c r="Q381" s="4" t="str">
        <f>IFERROR(__xludf.DUMMYFUNCTION("""COMPUTED_VALUE"""),"")</f>
        <v/>
      </c>
      <c r="R381" s="4" t="str">
        <f>IFERROR(__xludf.DUMMYFUNCTION("""COMPUTED_VALUE"""),"")</f>
        <v/>
      </c>
    </row>
    <row r="382">
      <c r="A382" s="4" t="str">
        <f>IFERROR(__xludf.DUMMYFUNCTION("""COMPUTED_VALUE"""),"412 - Channel 5")</f>
        <v>412 - Channel 5</v>
      </c>
      <c r="B382" s="4" t="str">
        <f>IFERROR(__xludf.DUMMYFUNCTION("""COMPUTED_VALUE"""),"")</f>
        <v/>
      </c>
      <c r="C382" s="4" t="str">
        <f>IFERROR(__xludf.DUMMYFUNCTION("""COMPUTED_VALUE"""),"")</f>
        <v/>
      </c>
      <c r="D382" s="4" t="str">
        <f>IFERROR(__xludf.DUMMYFUNCTION("""COMPUTED_VALUE"""),"")</f>
        <v/>
      </c>
      <c r="E382" s="4" t="str">
        <f>IFERROR(__xludf.DUMMYFUNCTION("""COMPUTED_VALUE"""),"")</f>
        <v/>
      </c>
      <c r="F382" s="4" t="str">
        <f>IFERROR(__xludf.DUMMYFUNCTION("""COMPUTED_VALUE"""),"")</f>
        <v/>
      </c>
      <c r="G382" s="4" t="str">
        <f>IFERROR(__xludf.DUMMYFUNCTION("""COMPUTED_VALUE"""),"")</f>
        <v/>
      </c>
      <c r="H382" s="4" t="str">
        <f>IFERROR(__xludf.DUMMYFUNCTION("""COMPUTED_VALUE"""),"")</f>
        <v/>
      </c>
      <c r="I382" s="4" t="str">
        <f>IFERROR(__xludf.DUMMYFUNCTION("""COMPUTED_VALUE"""),"")</f>
        <v/>
      </c>
      <c r="J382" s="4" t="str">
        <f>IFERROR(__xludf.DUMMYFUNCTION("""COMPUTED_VALUE"""),"")</f>
        <v/>
      </c>
      <c r="K382" s="4" t="str">
        <f>IFERROR(__xludf.DUMMYFUNCTION("""COMPUTED_VALUE"""),"")</f>
        <v/>
      </c>
      <c r="L382" s="4" t="str">
        <f>IFERROR(__xludf.DUMMYFUNCTION("""COMPUTED_VALUE"""),"")</f>
        <v/>
      </c>
      <c r="M382" s="4" t="str">
        <f>IFERROR(__xludf.DUMMYFUNCTION("""COMPUTED_VALUE"""),"")</f>
        <v/>
      </c>
      <c r="N382" s="4" t="str">
        <f>IFERROR(__xludf.DUMMYFUNCTION("""COMPUTED_VALUE"""),"")</f>
        <v/>
      </c>
      <c r="O382" s="4" t="str">
        <f>IFERROR(__xludf.DUMMYFUNCTION("""COMPUTED_VALUE"""),"")</f>
        <v/>
      </c>
      <c r="P382" s="4" t="str">
        <f>IFERROR(__xludf.DUMMYFUNCTION("""COMPUTED_VALUE"""),"")</f>
        <v/>
      </c>
      <c r="Q382" s="4" t="str">
        <f>IFERROR(__xludf.DUMMYFUNCTION("""COMPUTED_VALUE"""),"")</f>
        <v/>
      </c>
      <c r="R382" s="4" t="str">
        <f>IFERROR(__xludf.DUMMYFUNCTION("""COMPUTED_VALUE"""),"")</f>
        <v/>
      </c>
    </row>
    <row r="383">
      <c r="A383" s="4" t="str">
        <f>IFERROR(__xludf.DUMMYFUNCTION("""COMPUTED_VALUE"""),"413 - Channel 5")</f>
        <v>413 - Channel 5</v>
      </c>
      <c r="B383" s="4" t="str">
        <f>IFERROR(__xludf.DUMMYFUNCTION("""COMPUTED_VALUE"""),"")</f>
        <v/>
      </c>
      <c r="C383" s="4" t="str">
        <f>IFERROR(__xludf.DUMMYFUNCTION("""COMPUTED_VALUE"""),"")</f>
        <v/>
      </c>
      <c r="D383" s="4" t="str">
        <f>IFERROR(__xludf.DUMMYFUNCTION("""COMPUTED_VALUE"""),"")</f>
        <v/>
      </c>
      <c r="E383" s="4" t="str">
        <f>IFERROR(__xludf.DUMMYFUNCTION("""COMPUTED_VALUE"""),"")</f>
        <v/>
      </c>
      <c r="F383" s="4" t="str">
        <f>IFERROR(__xludf.DUMMYFUNCTION("""COMPUTED_VALUE"""),"")</f>
        <v/>
      </c>
      <c r="G383" s="4" t="str">
        <f>IFERROR(__xludf.DUMMYFUNCTION("""COMPUTED_VALUE"""),"")</f>
        <v/>
      </c>
      <c r="H383" s="4" t="str">
        <f>IFERROR(__xludf.DUMMYFUNCTION("""COMPUTED_VALUE"""),"")</f>
        <v/>
      </c>
      <c r="I383" s="4" t="str">
        <f>IFERROR(__xludf.DUMMYFUNCTION("""COMPUTED_VALUE"""),"")</f>
        <v/>
      </c>
      <c r="J383" s="4" t="str">
        <f>IFERROR(__xludf.DUMMYFUNCTION("""COMPUTED_VALUE"""),"")</f>
        <v/>
      </c>
      <c r="K383" s="4" t="str">
        <f>IFERROR(__xludf.DUMMYFUNCTION("""COMPUTED_VALUE"""),"")</f>
        <v/>
      </c>
      <c r="L383" s="4" t="str">
        <f>IFERROR(__xludf.DUMMYFUNCTION("""COMPUTED_VALUE"""),"")</f>
        <v/>
      </c>
      <c r="M383" s="4" t="str">
        <f>IFERROR(__xludf.DUMMYFUNCTION("""COMPUTED_VALUE"""),"")</f>
        <v/>
      </c>
      <c r="N383" s="4" t="str">
        <f>IFERROR(__xludf.DUMMYFUNCTION("""COMPUTED_VALUE"""),"")</f>
        <v/>
      </c>
      <c r="O383" s="4" t="str">
        <f>IFERROR(__xludf.DUMMYFUNCTION("""COMPUTED_VALUE"""),"")</f>
        <v/>
      </c>
      <c r="P383" s="4" t="str">
        <f>IFERROR(__xludf.DUMMYFUNCTION("""COMPUTED_VALUE"""),"")</f>
        <v/>
      </c>
      <c r="Q383" s="4" t="str">
        <f>IFERROR(__xludf.DUMMYFUNCTION("""COMPUTED_VALUE"""),"")</f>
        <v/>
      </c>
      <c r="R383" s="4" t="str">
        <f>IFERROR(__xludf.DUMMYFUNCTION("""COMPUTED_VALUE"""),"")</f>
        <v/>
      </c>
    </row>
    <row r="384">
      <c r="A384" s="4" t="str">
        <f>IFERROR(__xludf.DUMMYFUNCTION("""COMPUTED_VALUE"""),"414 - Channel 5")</f>
        <v>414 - Channel 5</v>
      </c>
      <c r="B384" s="4" t="str">
        <f>IFERROR(__xludf.DUMMYFUNCTION("""COMPUTED_VALUE"""),"")</f>
        <v/>
      </c>
      <c r="C384" s="4" t="str">
        <f>IFERROR(__xludf.DUMMYFUNCTION("""COMPUTED_VALUE"""),"")</f>
        <v/>
      </c>
      <c r="D384" s="4" t="str">
        <f>IFERROR(__xludf.DUMMYFUNCTION("""COMPUTED_VALUE"""),"")</f>
        <v/>
      </c>
      <c r="E384" s="4" t="str">
        <f>IFERROR(__xludf.DUMMYFUNCTION("""COMPUTED_VALUE"""),"")</f>
        <v/>
      </c>
      <c r="F384" s="4" t="str">
        <f>IFERROR(__xludf.DUMMYFUNCTION("""COMPUTED_VALUE"""),"")</f>
        <v/>
      </c>
      <c r="G384" s="4" t="str">
        <f>IFERROR(__xludf.DUMMYFUNCTION("""COMPUTED_VALUE"""),"")</f>
        <v/>
      </c>
      <c r="H384" s="4" t="str">
        <f>IFERROR(__xludf.DUMMYFUNCTION("""COMPUTED_VALUE"""),"")</f>
        <v/>
      </c>
      <c r="I384" s="4" t="str">
        <f>IFERROR(__xludf.DUMMYFUNCTION("""COMPUTED_VALUE"""),"")</f>
        <v/>
      </c>
      <c r="J384" s="4" t="str">
        <f>IFERROR(__xludf.DUMMYFUNCTION("""COMPUTED_VALUE"""),"")</f>
        <v/>
      </c>
      <c r="K384" s="4" t="str">
        <f>IFERROR(__xludf.DUMMYFUNCTION("""COMPUTED_VALUE"""),"")</f>
        <v/>
      </c>
      <c r="L384" s="4" t="str">
        <f>IFERROR(__xludf.DUMMYFUNCTION("""COMPUTED_VALUE"""),"")</f>
        <v/>
      </c>
      <c r="M384" s="4" t="str">
        <f>IFERROR(__xludf.DUMMYFUNCTION("""COMPUTED_VALUE"""),"")</f>
        <v/>
      </c>
      <c r="N384" s="4" t="str">
        <f>IFERROR(__xludf.DUMMYFUNCTION("""COMPUTED_VALUE"""),"")</f>
        <v/>
      </c>
      <c r="O384" s="4" t="str">
        <f>IFERROR(__xludf.DUMMYFUNCTION("""COMPUTED_VALUE"""),"")</f>
        <v/>
      </c>
      <c r="P384" s="4" t="str">
        <f>IFERROR(__xludf.DUMMYFUNCTION("""COMPUTED_VALUE"""),"")</f>
        <v/>
      </c>
      <c r="Q384" s="4" t="str">
        <f>IFERROR(__xludf.DUMMYFUNCTION("""COMPUTED_VALUE"""),"")</f>
        <v/>
      </c>
      <c r="R384" s="4" t="str">
        <f>IFERROR(__xludf.DUMMYFUNCTION("""COMPUTED_VALUE"""),"")</f>
        <v/>
      </c>
    </row>
    <row r="385">
      <c r="A385" s="4" t="str">
        <f>IFERROR(__xludf.DUMMYFUNCTION("""COMPUTED_VALUE"""),"415 - Channel 5")</f>
        <v>415 - Channel 5</v>
      </c>
      <c r="B385" s="4" t="str">
        <f>IFERROR(__xludf.DUMMYFUNCTION("""COMPUTED_VALUE"""),"")</f>
        <v/>
      </c>
      <c r="C385" s="4" t="str">
        <f>IFERROR(__xludf.DUMMYFUNCTION("""COMPUTED_VALUE"""),"")</f>
        <v/>
      </c>
      <c r="D385" s="4" t="str">
        <f>IFERROR(__xludf.DUMMYFUNCTION("""COMPUTED_VALUE"""),"")</f>
        <v/>
      </c>
      <c r="E385" s="4" t="str">
        <f>IFERROR(__xludf.DUMMYFUNCTION("""COMPUTED_VALUE"""),"")</f>
        <v/>
      </c>
      <c r="F385" s="4" t="str">
        <f>IFERROR(__xludf.DUMMYFUNCTION("""COMPUTED_VALUE"""),"")</f>
        <v/>
      </c>
      <c r="G385" s="4" t="str">
        <f>IFERROR(__xludf.DUMMYFUNCTION("""COMPUTED_VALUE"""),"")</f>
        <v/>
      </c>
      <c r="H385" s="4" t="str">
        <f>IFERROR(__xludf.DUMMYFUNCTION("""COMPUTED_VALUE"""),"")</f>
        <v/>
      </c>
      <c r="I385" s="4" t="str">
        <f>IFERROR(__xludf.DUMMYFUNCTION("""COMPUTED_VALUE"""),"")</f>
        <v/>
      </c>
      <c r="J385" s="4" t="str">
        <f>IFERROR(__xludf.DUMMYFUNCTION("""COMPUTED_VALUE"""),"")</f>
        <v/>
      </c>
      <c r="K385" s="4" t="str">
        <f>IFERROR(__xludf.DUMMYFUNCTION("""COMPUTED_VALUE"""),"")</f>
        <v/>
      </c>
      <c r="L385" s="4" t="str">
        <f>IFERROR(__xludf.DUMMYFUNCTION("""COMPUTED_VALUE"""),"")</f>
        <v/>
      </c>
      <c r="M385" s="4" t="str">
        <f>IFERROR(__xludf.DUMMYFUNCTION("""COMPUTED_VALUE"""),"")</f>
        <v/>
      </c>
      <c r="N385" s="4" t="str">
        <f>IFERROR(__xludf.DUMMYFUNCTION("""COMPUTED_VALUE"""),"")</f>
        <v/>
      </c>
      <c r="O385" s="4" t="str">
        <f>IFERROR(__xludf.DUMMYFUNCTION("""COMPUTED_VALUE"""),"")</f>
        <v/>
      </c>
      <c r="P385" s="4" t="str">
        <f>IFERROR(__xludf.DUMMYFUNCTION("""COMPUTED_VALUE"""),"")</f>
        <v/>
      </c>
      <c r="Q385" s="4" t="str">
        <f>IFERROR(__xludf.DUMMYFUNCTION("""COMPUTED_VALUE"""),"")</f>
        <v/>
      </c>
      <c r="R385" s="4" t="str">
        <f>IFERROR(__xludf.DUMMYFUNCTION("""COMPUTED_VALUE"""),"")</f>
        <v/>
      </c>
    </row>
    <row r="386">
      <c r="A386" s="4" t="str">
        <f>IFERROR(__xludf.DUMMYFUNCTION("""COMPUTED_VALUE"""),"416 - Channel 5")</f>
        <v>416 - Channel 5</v>
      </c>
      <c r="B386" s="4" t="str">
        <f>IFERROR(__xludf.DUMMYFUNCTION("""COMPUTED_VALUE"""),"")</f>
        <v/>
      </c>
      <c r="C386" s="4" t="str">
        <f>IFERROR(__xludf.DUMMYFUNCTION("""COMPUTED_VALUE"""),"")</f>
        <v/>
      </c>
      <c r="D386" s="4" t="str">
        <f>IFERROR(__xludf.DUMMYFUNCTION("""COMPUTED_VALUE"""),"")</f>
        <v/>
      </c>
      <c r="E386" s="4" t="str">
        <f>IFERROR(__xludf.DUMMYFUNCTION("""COMPUTED_VALUE"""),"")</f>
        <v/>
      </c>
      <c r="F386" s="4" t="str">
        <f>IFERROR(__xludf.DUMMYFUNCTION("""COMPUTED_VALUE"""),"")</f>
        <v/>
      </c>
      <c r="G386" s="4" t="str">
        <f>IFERROR(__xludf.DUMMYFUNCTION("""COMPUTED_VALUE"""),"")</f>
        <v/>
      </c>
      <c r="H386" s="4" t="str">
        <f>IFERROR(__xludf.DUMMYFUNCTION("""COMPUTED_VALUE"""),"")</f>
        <v/>
      </c>
      <c r="I386" s="4" t="str">
        <f>IFERROR(__xludf.DUMMYFUNCTION("""COMPUTED_VALUE"""),"")</f>
        <v/>
      </c>
      <c r="J386" s="4" t="str">
        <f>IFERROR(__xludf.DUMMYFUNCTION("""COMPUTED_VALUE"""),"")</f>
        <v/>
      </c>
      <c r="K386" s="4" t="str">
        <f>IFERROR(__xludf.DUMMYFUNCTION("""COMPUTED_VALUE"""),"")</f>
        <v/>
      </c>
      <c r="L386" s="4" t="str">
        <f>IFERROR(__xludf.DUMMYFUNCTION("""COMPUTED_VALUE"""),"")</f>
        <v/>
      </c>
      <c r="M386" s="4" t="str">
        <f>IFERROR(__xludf.DUMMYFUNCTION("""COMPUTED_VALUE"""),"")</f>
        <v/>
      </c>
      <c r="N386" s="4" t="str">
        <f>IFERROR(__xludf.DUMMYFUNCTION("""COMPUTED_VALUE"""),"")</f>
        <v/>
      </c>
      <c r="O386" s="4" t="str">
        <f>IFERROR(__xludf.DUMMYFUNCTION("""COMPUTED_VALUE"""),"")</f>
        <v/>
      </c>
      <c r="P386" s="4" t="str">
        <f>IFERROR(__xludf.DUMMYFUNCTION("""COMPUTED_VALUE"""),"")</f>
        <v/>
      </c>
      <c r="Q386" s="4" t="str">
        <f>IFERROR(__xludf.DUMMYFUNCTION("""COMPUTED_VALUE"""),"")</f>
        <v/>
      </c>
      <c r="R386" s="4" t="str">
        <f>IFERROR(__xludf.DUMMYFUNCTION("""COMPUTED_VALUE"""),"")</f>
        <v/>
      </c>
    </row>
    <row r="387">
      <c r="A387" s="4" t="str">
        <f>IFERROR(__xludf.DUMMYFUNCTION("""COMPUTED_VALUE"""),"417 - Channel 5")</f>
        <v>417 - Channel 5</v>
      </c>
      <c r="B387" s="4" t="str">
        <f>IFERROR(__xludf.DUMMYFUNCTION("""COMPUTED_VALUE"""),"")</f>
        <v/>
      </c>
      <c r="C387" s="4" t="str">
        <f>IFERROR(__xludf.DUMMYFUNCTION("""COMPUTED_VALUE"""),"")</f>
        <v/>
      </c>
      <c r="D387" s="4" t="str">
        <f>IFERROR(__xludf.DUMMYFUNCTION("""COMPUTED_VALUE"""),"")</f>
        <v/>
      </c>
      <c r="E387" s="4" t="str">
        <f>IFERROR(__xludf.DUMMYFUNCTION("""COMPUTED_VALUE"""),"")</f>
        <v/>
      </c>
      <c r="F387" s="4" t="str">
        <f>IFERROR(__xludf.DUMMYFUNCTION("""COMPUTED_VALUE"""),"")</f>
        <v/>
      </c>
      <c r="G387" s="4" t="str">
        <f>IFERROR(__xludf.DUMMYFUNCTION("""COMPUTED_VALUE"""),"")</f>
        <v/>
      </c>
      <c r="H387" s="4" t="str">
        <f>IFERROR(__xludf.DUMMYFUNCTION("""COMPUTED_VALUE"""),"")</f>
        <v/>
      </c>
      <c r="I387" s="4" t="str">
        <f>IFERROR(__xludf.DUMMYFUNCTION("""COMPUTED_VALUE"""),"")</f>
        <v/>
      </c>
      <c r="J387" s="4" t="str">
        <f>IFERROR(__xludf.DUMMYFUNCTION("""COMPUTED_VALUE"""),"")</f>
        <v/>
      </c>
      <c r="K387" s="4" t="str">
        <f>IFERROR(__xludf.DUMMYFUNCTION("""COMPUTED_VALUE"""),"")</f>
        <v/>
      </c>
      <c r="L387" s="4" t="str">
        <f>IFERROR(__xludf.DUMMYFUNCTION("""COMPUTED_VALUE"""),"")</f>
        <v/>
      </c>
      <c r="M387" s="4" t="str">
        <f>IFERROR(__xludf.DUMMYFUNCTION("""COMPUTED_VALUE"""),"")</f>
        <v/>
      </c>
      <c r="N387" s="4" t="str">
        <f>IFERROR(__xludf.DUMMYFUNCTION("""COMPUTED_VALUE"""),"")</f>
        <v/>
      </c>
      <c r="O387" s="4" t="str">
        <f>IFERROR(__xludf.DUMMYFUNCTION("""COMPUTED_VALUE"""),"")</f>
        <v/>
      </c>
      <c r="P387" s="4" t="str">
        <f>IFERROR(__xludf.DUMMYFUNCTION("""COMPUTED_VALUE"""),"")</f>
        <v/>
      </c>
      <c r="Q387" s="4" t="str">
        <f>IFERROR(__xludf.DUMMYFUNCTION("""COMPUTED_VALUE"""),"")</f>
        <v/>
      </c>
      <c r="R387" s="4" t="str">
        <f>IFERROR(__xludf.DUMMYFUNCTION("""COMPUTED_VALUE"""),"")</f>
        <v/>
      </c>
    </row>
    <row r="388">
      <c r="A388" s="4" t="str">
        <f>IFERROR(__xludf.DUMMYFUNCTION("""COMPUTED_VALUE"""),"418 - Channel 5")</f>
        <v>418 - Channel 5</v>
      </c>
      <c r="B388" s="4" t="str">
        <f>IFERROR(__xludf.DUMMYFUNCTION("""COMPUTED_VALUE"""),"")</f>
        <v/>
      </c>
      <c r="C388" s="4" t="str">
        <f>IFERROR(__xludf.DUMMYFUNCTION("""COMPUTED_VALUE"""),"")</f>
        <v/>
      </c>
      <c r="D388" s="4" t="str">
        <f>IFERROR(__xludf.DUMMYFUNCTION("""COMPUTED_VALUE"""),"")</f>
        <v/>
      </c>
      <c r="E388" s="4" t="str">
        <f>IFERROR(__xludf.DUMMYFUNCTION("""COMPUTED_VALUE"""),"")</f>
        <v/>
      </c>
      <c r="F388" s="4" t="str">
        <f>IFERROR(__xludf.DUMMYFUNCTION("""COMPUTED_VALUE"""),"")</f>
        <v/>
      </c>
      <c r="G388" s="4" t="str">
        <f>IFERROR(__xludf.DUMMYFUNCTION("""COMPUTED_VALUE"""),"")</f>
        <v/>
      </c>
      <c r="H388" s="4" t="str">
        <f>IFERROR(__xludf.DUMMYFUNCTION("""COMPUTED_VALUE"""),"")</f>
        <v/>
      </c>
      <c r="I388" s="4" t="str">
        <f>IFERROR(__xludf.DUMMYFUNCTION("""COMPUTED_VALUE"""),"")</f>
        <v/>
      </c>
      <c r="J388" s="4" t="str">
        <f>IFERROR(__xludf.DUMMYFUNCTION("""COMPUTED_VALUE"""),"")</f>
        <v/>
      </c>
      <c r="K388" s="4" t="str">
        <f>IFERROR(__xludf.DUMMYFUNCTION("""COMPUTED_VALUE"""),"")</f>
        <v/>
      </c>
      <c r="L388" s="4" t="str">
        <f>IFERROR(__xludf.DUMMYFUNCTION("""COMPUTED_VALUE"""),"")</f>
        <v/>
      </c>
      <c r="M388" s="4" t="str">
        <f>IFERROR(__xludf.DUMMYFUNCTION("""COMPUTED_VALUE"""),"")</f>
        <v/>
      </c>
      <c r="N388" s="4" t="str">
        <f>IFERROR(__xludf.DUMMYFUNCTION("""COMPUTED_VALUE"""),"")</f>
        <v/>
      </c>
      <c r="O388" s="4" t="str">
        <f>IFERROR(__xludf.DUMMYFUNCTION("""COMPUTED_VALUE"""),"")</f>
        <v/>
      </c>
      <c r="P388" s="4" t="str">
        <f>IFERROR(__xludf.DUMMYFUNCTION("""COMPUTED_VALUE"""),"")</f>
        <v/>
      </c>
      <c r="Q388" s="4" t="str">
        <f>IFERROR(__xludf.DUMMYFUNCTION("""COMPUTED_VALUE"""),"")</f>
        <v/>
      </c>
      <c r="R388" s="4" t="str">
        <f>IFERROR(__xludf.DUMMYFUNCTION("""COMPUTED_VALUE"""),"")</f>
        <v/>
      </c>
    </row>
    <row r="389">
      <c r="A389" s="4" t="str">
        <f>IFERROR(__xludf.DUMMYFUNCTION("""COMPUTED_VALUE"""),"419 - Channel 5")</f>
        <v>419 - Channel 5</v>
      </c>
      <c r="B389" s="4" t="str">
        <f>IFERROR(__xludf.DUMMYFUNCTION("""COMPUTED_VALUE"""),"")</f>
        <v/>
      </c>
      <c r="C389" s="4" t="str">
        <f>IFERROR(__xludf.DUMMYFUNCTION("""COMPUTED_VALUE"""),"")</f>
        <v/>
      </c>
      <c r="D389" s="4" t="str">
        <f>IFERROR(__xludf.DUMMYFUNCTION("""COMPUTED_VALUE"""),"")</f>
        <v/>
      </c>
      <c r="E389" s="4" t="str">
        <f>IFERROR(__xludf.DUMMYFUNCTION("""COMPUTED_VALUE"""),"")</f>
        <v/>
      </c>
      <c r="F389" s="4" t="str">
        <f>IFERROR(__xludf.DUMMYFUNCTION("""COMPUTED_VALUE"""),"")</f>
        <v/>
      </c>
      <c r="G389" s="4" t="str">
        <f>IFERROR(__xludf.DUMMYFUNCTION("""COMPUTED_VALUE"""),"")</f>
        <v/>
      </c>
      <c r="H389" s="4" t="str">
        <f>IFERROR(__xludf.DUMMYFUNCTION("""COMPUTED_VALUE"""),"")</f>
        <v/>
      </c>
      <c r="I389" s="4" t="str">
        <f>IFERROR(__xludf.DUMMYFUNCTION("""COMPUTED_VALUE"""),"")</f>
        <v/>
      </c>
      <c r="J389" s="4" t="str">
        <f>IFERROR(__xludf.DUMMYFUNCTION("""COMPUTED_VALUE"""),"")</f>
        <v/>
      </c>
      <c r="K389" s="4" t="str">
        <f>IFERROR(__xludf.DUMMYFUNCTION("""COMPUTED_VALUE"""),"")</f>
        <v/>
      </c>
      <c r="L389" s="4" t="str">
        <f>IFERROR(__xludf.DUMMYFUNCTION("""COMPUTED_VALUE"""),"")</f>
        <v/>
      </c>
      <c r="M389" s="4" t="str">
        <f>IFERROR(__xludf.DUMMYFUNCTION("""COMPUTED_VALUE"""),"")</f>
        <v/>
      </c>
      <c r="N389" s="4" t="str">
        <f>IFERROR(__xludf.DUMMYFUNCTION("""COMPUTED_VALUE"""),"")</f>
        <v/>
      </c>
      <c r="O389" s="4" t="str">
        <f>IFERROR(__xludf.DUMMYFUNCTION("""COMPUTED_VALUE"""),"")</f>
        <v/>
      </c>
      <c r="P389" s="4" t="str">
        <f>IFERROR(__xludf.DUMMYFUNCTION("""COMPUTED_VALUE"""),"")</f>
        <v/>
      </c>
      <c r="Q389" s="4" t="str">
        <f>IFERROR(__xludf.DUMMYFUNCTION("""COMPUTED_VALUE"""),"")</f>
        <v/>
      </c>
      <c r="R389" s="4" t="str">
        <f>IFERROR(__xludf.DUMMYFUNCTION("""COMPUTED_VALUE"""),"")</f>
        <v/>
      </c>
    </row>
    <row r="390">
      <c r="A390" s="4" t="str">
        <f>IFERROR(__xludf.DUMMYFUNCTION("""COMPUTED_VALUE"""),"420 - Channel 5")</f>
        <v>420 - Channel 5</v>
      </c>
      <c r="B390" s="4" t="str">
        <f>IFERROR(__xludf.DUMMYFUNCTION("""COMPUTED_VALUE"""),"")</f>
        <v/>
      </c>
      <c r="C390" s="4" t="str">
        <f>IFERROR(__xludf.DUMMYFUNCTION("""COMPUTED_VALUE"""),"")</f>
        <v/>
      </c>
      <c r="D390" s="4" t="str">
        <f>IFERROR(__xludf.DUMMYFUNCTION("""COMPUTED_VALUE"""),"")</f>
        <v/>
      </c>
      <c r="E390" s="4" t="str">
        <f>IFERROR(__xludf.DUMMYFUNCTION("""COMPUTED_VALUE"""),"")</f>
        <v/>
      </c>
      <c r="F390" s="4" t="str">
        <f>IFERROR(__xludf.DUMMYFUNCTION("""COMPUTED_VALUE"""),"")</f>
        <v/>
      </c>
      <c r="G390" s="4" t="str">
        <f>IFERROR(__xludf.DUMMYFUNCTION("""COMPUTED_VALUE"""),"")</f>
        <v/>
      </c>
      <c r="H390" s="4" t="str">
        <f>IFERROR(__xludf.DUMMYFUNCTION("""COMPUTED_VALUE"""),"")</f>
        <v/>
      </c>
      <c r="I390" s="4" t="str">
        <f>IFERROR(__xludf.DUMMYFUNCTION("""COMPUTED_VALUE"""),"")</f>
        <v/>
      </c>
      <c r="J390" s="4" t="str">
        <f>IFERROR(__xludf.DUMMYFUNCTION("""COMPUTED_VALUE"""),"")</f>
        <v/>
      </c>
      <c r="K390" s="4" t="str">
        <f>IFERROR(__xludf.DUMMYFUNCTION("""COMPUTED_VALUE"""),"")</f>
        <v/>
      </c>
      <c r="L390" s="4" t="str">
        <f>IFERROR(__xludf.DUMMYFUNCTION("""COMPUTED_VALUE"""),"")</f>
        <v/>
      </c>
      <c r="M390" s="4" t="str">
        <f>IFERROR(__xludf.DUMMYFUNCTION("""COMPUTED_VALUE"""),"")</f>
        <v/>
      </c>
      <c r="N390" s="4" t="str">
        <f>IFERROR(__xludf.DUMMYFUNCTION("""COMPUTED_VALUE"""),"")</f>
        <v/>
      </c>
      <c r="O390" s="4" t="str">
        <f>IFERROR(__xludf.DUMMYFUNCTION("""COMPUTED_VALUE"""),"")</f>
        <v/>
      </c>
      <c r="P390" s="4" t="str">
        <f>IFERROR(__xludf.DUMMYFUNCTION("""COMPUTED_VALUE"""),"")</f>
        <v/>
      </c>
      <c r="Q390" s="4" t="str">
        <f>IFERROR(__xludf.DUMMYFUNCTION("""COMPUTED_VALUE"""),"")</f>
        <v/>
      </c>
      <c r="R390" s="4" t="str">
        <f>IFERROR(__xludf.DUMMYFUNCTION("""COMPUTED_VALUE"""),"")</f>
        <v/>
      </c>
    </row>
    <row r="391">
      <c r="A391" s="4" t="str">
        <f>IFERROR(__xludf.DUMMYFUNCTION("""COMPUTED_VALUE"""),"421 - Channel 5")</f>
        <v>421 - Channel 5</v>
      </c>
      <c r="B391" s="4" t="str">
        <f>IFERROR(__xludf.DUMMYFUNCTION("""COMPUTED_VALUE"""),"")</f>
        <v/>
      </c>
      <c r="C391" s="4" t="str">
        <f>IFERROR(__xludf.DUMMYFUNCTION("""COMPUTED_VALUE"""),"")</f>
        <v/>
      </c>
      <c r="D391" s="4" t="str">
        <f>IFERROR(__xludf.DUMMYFUNCTION("""COMPUTED_VALUE"""),"")</f>
        <v/>
      </c>
      <c r="E391" s="4" t="str">
        <f>IFERROR(__xludf.DUMMYFUNCTION("""COMPUTED_VALUE"""),"")</f>
        <v/>
      </c>
      <c r="F391" s="4" t="str">
        <f>IFERROR(__xludf.DUMMYFUNCTION("""COMPUTED_VALUE"""),"")</f>
        <v/>
      </c>
      <c r="G391" s="4" t="str">
        <f>IFERROR(__xludf.DUMMYFUNCTION("""COMPUTED_VALUE"""),"")</f>
        <v/>
      </c>
      <c r="H391" s="4" t="str">
        <f>IFERROR(__xludf.DUMMYFUNCTION("""COMPUTED_VALUE"""),"")</f>
        <v/>
      </c>
      <c r="I391" s="4" t="str">
        <f>IFERROR(__xludf.DUMMYFUNCTION("""COMPUTED_VALUE"""),"")</f>
        <v/>
      </c>
      <c r="J391" s="4" t="str">
        <f>IFERROR(__xludf.DUMMYFUNCTION("""COMPUTED_VALUE"""),"")</f>
        <v/>
      </c>
      <c r="K391" s="4" t="str">
        <f>IFERROR(__xludf.DUMMYFUNCTION("""COMPUTED_VALUE"""),"")</f>
        <v/>
      </c>
      <c r="L391" s="4" t="str">
        <f>IFERROR(__xludf.DUMMYFUNCTION("""COMPUTED_VALUE"""),"")</f>
        <v/>
      </c>
      <c r="M391" s="4" t="str">
        <f>IFERROR(__xludf.DUMMYFUNCTION("""COMPUTED_VALUE"""),"")</f>
        <v/>
      </c>
      <c r="N391" s="4" t="str">
        <f>IFERROR(__xludf.DUMMYFUNCTION("""COMPUTED_VALUE"""),"")</f>
        <v/>
      </c>
      <c r="O391" s="4" t="str">
        <f>IFERROR(__xludf.DUMMYFUNCTION("""COMPUTED_VALUE"""),"")</f>
        <v/>
      </c>
      <c r="P391" s="4" t="str">
        <f>IFERROR(__xludf.DUMMYFUNCTION("""COMPUTED_VALUE"""),"")</f>
        <v/>
      </c>
      <c r="Q391" s="4" t="str">
        <f>IFERROR(__xludf.DUMMYFUNCTION("""COMPUTED_VALUE"""),"")</f>
        <v/>
      </c>
      <c r="R391" s="4" t="str">
        <f>IFERROR(__xludf.DUMMYFUNCTION("""COMPUTED_VALUE"""),"")</f>
        <v/>
      </c>
    </row>
    <row r="392">
      <c r="A392" s="4" t="str">
        <f>IFERROR(__xludf.DUMMYFUNCTION("""COMPUTED_VALUE"""),"422 - Channel 5")</f>
        <v>422 - Channel 5</v>
      </c>
      <c r="B392" s="4" t="str">
        <f>IFERROR(__xludf.DUMMYFUNCTION("""COMPUTED_VALUE"""),"")</f>
        <v/>
      </c>
      <c r="C392" s="4" t="str">
        <f>IFERROR(__xludf.DUMMYFUNCTION("""COMPUTED_VALUE"""),"")</f>
        <v/>
      </c>
      <c r="D392" s="4" t="str">
        <f>IFERROR(__xludf.DUMMYFUNCTION("""COMPUTED_VALUE"""),"")</f>
        <v/>
      </c>
      <c r="E392" s="4" t="str">
        <f>IFERROR(__xludf.DUMMYFUNCTION("""COMPUTED_VALUE"""),"")</f>
        <v/>
      </c>
      <c r="F392" s="4" t="str">
        <f>IFERROR(__xludf.DUMMYFUNCTION("""COMPUTED_VALUE"""),"")</f>
        <v/>
      </c>
      <c r="G392" s="4" t="str">
        <f>IFERROR(__xludf.DUMMYFUNCTION("""COMPUTED_VALUE"""),"")</f>
        <v/>
      </c>
      <c r="H392" s="4" t="str">
        <f>IFERROR(__xludf.DUMMYFUNCTION("""COMPUTED_VALUE"""),"")</f>
        <v/>
      </c>
      <c r="I392" s="4" t="str">
        <f>IFERROR(__xludf.DUMMYFUNCTION("""COMPUTED_VALUE"""),"")</f>
        <v/>
      </c>
      <c r="J392" s="4" t="str">
        <f>IFERROR(__xludf.DUMMYFUNCTION("""COMPUTED_VALUE"""),"")</f>
        <v/>
      </c>
      <c r="K392" s="4" t="str">
        <f>IFERROR(__xludf.DUMMYFUNCTION("""COMPUTED_VALUE"""),"")</f>
        <v/>
      </c>
      <c r="L392" s="4" t="str">
        <f>IFERROR(__xludf.DUMMYFUNCTION("""COMPUTED_VALUE"""),"")</f>
        <v/>
      </c>
      <c r="M392" s="4" t="str">
        <f>IFERROR(__xludf.DUMMYFUNCTION("""COMPUTED_VALUE"""),"")</f>
        <v/>
      </c>
      <c r="N392" s="4" t="str">
        <f>IFERROR(__xludf.DUMMYFUNCTION("""COMPUTED_VALUE"""),"")</f>
        <v/>
      </c>
      <c r="O392" s="4" t="str">
        <f>IFERROR(__xludf.DUMMYFUNCTION("""COMPUTED_VALUE"""),"")</f>
        <v/>
      </c>
      <c r="P392" s="4" t="str">
        <f>IFERROR(__xludf.DUMMYFUNCTION("""COMPUTED_VALUE"""),"")</f>
        <v/>
      </c>
      <c r="Q392" s="4" t="str">
        <f>IFERROR(__xludf.DUMMYFUNCTION("""COMPUTED_VALUE"""),"")</f>
        <v/>
      </c>
      <c r="R392" s="4" t="str">
        <f>IFERROR(__xludf.DUMMYFUNCTION("""COMPUTED_VALUE"""),"")</f>
        <v/>
      </c>
    </row>
    <row r="393">
      <c r="A393" s="4" t="str">
        <f>IFERROR(__xludf.DUMMYFUNCTION("""COMPUTED_VALUE"""),"423 - Channel 5")</f>
        <v>423 - Channel 5</v>
      </c>
      <c r="B393" s="4" t="str">
        <f>IFERROR(__xludf.DUMMYFUNCTION("""COMPUTED_VALUE"""),"")</f>
        <v/>
      </c>
      <c r="C393" s="4" t="str">
        <f>IFERROR(__xludf.DUMMYFUNCTION("""COMPUTED_VALUE"""),"")</f>
        <v/>
      </c>
      <c r="D393" s="4" t="str">
        <f>IFERROR(__xludf.DUMMYFUNCTION("""COMPUTED_VALUE"""),"")</f>
        <v/>
      </c>
      <c r="E393" s="4" t="str">
        <f>IFERROR(__xludf.DUMMYFUNCTION("""COMPUTED_VALUE"""),"")</f>
        <v/>
      </c>
      <c r="F393" s="4" t="str">
        <f>IFERROR(__xludf.DUMMYFUNCTION("""COMPUTED_VALUE"""),"")</f>
        <v/>
      </c>
      <c r="G393" s="4" t="str">
        <f>IFERROR(__xludf.DUMMYFUNCTION("""COMPUTED_VALUE"""),"")</f>
        <v/>
      </c>
      <c r="H393" s="4" t="str">
        <f>IFERROR(__xludf.DUMMYFUNCTION("""COMPUTED_VALUE"""),"")</f>
        <v/>
      </c>
      <c r="I393" s="4" t="str">
        <f>IFERROR(__xludf.DUMMYFUNCTION("""COMPUTED_VALUE"""),"")</f>
        <v/>
      </c>
      <c r="J393" s="4" t="str">
        <f>IFERROR(__xludf.DUMMYFUNCTION("""COMPUTED_VALUE"""),"")</f>
        <v/>
      </c>
      <c r="K393" s="4" t="str">
        <f>IFERROR(__xludf.DUMMYFUNCTION("""COMPUTED_VALUE"""),"")</f>
        <v/>
      </c>
      <c r="L393" s="4" t="str">
        <f>IFERROR(__xludf.DUMMYFUNCTION("""COMPUTED_VALUE"""),"")</f>
        <v/>
      </c>
      <c r="M393" s="4" t="str">
        <f>IFERROR(__xludf.DUMMYFUNCTION("""COMPUTED_VALUE"""),"")</f>
        <v/>
      </c>
      <c r="N393" s="4" t="str">
        <f>IFERROR(__xludf.DUMMYFUNCTION("""COMPUTED_VALUE"""),"")</f>
        <v/>
      </c>
      <c r="O393" s="4" t="str">
        <f>IFERROR(__xludf.DUMMYFUNCTION("""COMPUTED_VALUE"""),"")</f>
        <v/>
      </c>
      <c r="P393" s="4" t="str">
        <f>IFERROR(__xludf.DUMMYFUNCTION("""COMPUTED_VALUE"""),"")</f>
        <v/>
      </c>
      <c r="Q393" s="4" t="str">
        <f>IFERROR(__xludf.DUMMYFUNCTION("""COMPUTED_VALUE"""),"")</f>
        <v/>
      </c>
      <c r="R393" s="4" t="str">
        <f>IFERROR(__xludf.DUMMYFUNCTION("""COMPUTED_VALUE"""),"")</f>
        <v/>
      </c>
    </row>
    <row r="394">
      <c r="A394" s="4" t="str">
        <f>IFERROR(__xludf.DUMMYFUNCTION("""COMPUTED_VALUE"""),"424 - Channel 5")</f>
        <v>424 - Channel 5</v>
      </c>
      <c r="B394" s="4" t="str">
        <f>IFERROR(__xludf.DUMMYFUNCTION("""COMPUTED_VALUE"""),"")</f>
        <v/>
      </c>
      <c r="C394" s="4" t="str">
        <f>IFERROR(__xludf.DUMMYFUNCTION("""COMPUTED_VALUE"""),"")</f>
        <v/>
      </c>
      <c r="D394" s="4" t="str">
        <f>IFERROR(__xludf.DUMMYFUNCTION("""COMPUTED_VALUE"""),"")</f>
        <v/>
      </c>
      <c r="E394" s="4" t="str">
        <f>IFERROR(__xludf.DUMMYFUNCTION("""COMPUTED_VALUE"""),"")</f>
        <v/>
      </c>
      <c r="F394" s="4" t="str">
        <f>IFERROR(__xludf.DUMMYFUNCTION("""COMPUTED_VALUE"""),"")</f>
        <v/>
      </c>
      <c r="G394" s="4" t="str">
        <f>IFERROR(__xludf.DUMMYFUNCTION("""COMPUTED_VALUE"""),"")</f>
        <v/>
      </c>
      <c r="H394" s="4" t="str">
        <f>IFERROR(__xludf.DUMMYFUNCTION("""COMPUTED_VALUE"""),"")</f>
        <v/>
      </c>
      <c r="I394" s="4" t="str">
        <f>IFERROR(__xludf.DUMMYFUNCTION("""COMPUTED_VALUE"""),"")</f>
        <v/>
      </c>
      <c r="J394" s="4" t="str">
        <f>IFERROR(__xludf.DUMMYFUNCTION("""COMPUTED_VALUE"""),"")</f>
        <v/>
      </c>
      <c r="K394" s="4" t="str">
        <f>IFERROR(__xludf.DUMMYFUNCTION("""COMPUTED_VALUE"""),"")</f>
        <v/>
      </c>
      <c r="L394" s="4" t="str">
        <f>IFERROR(__xludf.DUMMYFUNCTION("""COMPUTED_VALUE"""),"")</f>
        <v/>
      </c>
      <c r="M394" s="4" t="str">
        <f>IFERROR(__xludf.DUMMYFUNCTION("""COMPUTED_VALUE"""),"")</f>
        <v/>
      </c>
      <c r="N394" s="4" t="str">
        <f>IFERROR(__xludf.DUMMYFUNCTION("""COMPUTED_VALUE"""),"")</f>
        <v/>
      </c>
      <c r="O394" s="4" t="str">
        <f>IFERROR(__xludf.DUMMYFUNCTION("""COMPUTED_VALUE"""),"")</f>
        <v/>
      </c>
      <c r="P394" s="4" t="str">
        <f>IFERROR(__xludf.DUMMYFUNCTION("""COMPUTED_VALUE"""),"")</f>
        <v/>
      </c>
      <c r="Q394" s="4" t="str">
        <f>IFERROR(__xludf.DUMMYFUNCTION("""COMPUTED_VALUE"""),"")</f>
        <v/>
      </c>
      <c r="R394" s="4" t="str">
        <f>IFERROR(__xludf.DUMMYFUNCTION("""COMPUTED_VALUE"""),"")</f>
        <v/>
      </c>
    </row>
    <row r="395">
      <c r="A395" s="4" t="str">
        <f>IFERROR(__xludf.DUMMYFUNCTION("""COMPUTED_VALUE"""),"425 - Channel 5")</f>
        <v>425 - Channel 5</v>
      </c>
      <c r="B395" s="4" t="str">
        <f>IFERROR(__xludf.DUMMYFUNCTION("""COMPUTED_VALUE"""),"")</f>
        <v/>
      </c>
      <c r="C395" s="4" t="str">
        <f>IFERROR(__xludf.DUMMYFUNCTION("""COMPUTED_VALUE"""),"")</f>
        <v/>
      </c>
      <c r="D395" s="4" t="str">
        <f>IFERROR(__xludf.DUMMYFUNCTION("""COMPUTED_VALUE"""),"")</f>
        <v/>
      </c>
      <c r="E395" s="4" t="str">
        <f>IFERROR(__xludf.DUMMYFUNCTION("""COMPUTED_VALUE"""),"")</f>
        <v/>
      </c>
      <c r="F395" s="4" t="str">
        <f>IFERROR(__xludf.DUMMYFUNCTION("""COMPUTED_VALUE"""),"")</f>
        <v/>
      </c>
      <c r="G395" s="4" t="str">
        <f>IFERROR(__xludf.DUMMYFUNCTION("""COMPUTED_VALUE"""),"")</f>
        <v/>
      </c>
      <c r="H395" s="4" t="str">
        <f>IFERROR(__xludf.DUMMYFUNCTION("""COMPUTED_VALUE"""),"")</f>
        <v/>
      </c>
      <c r="I395" s="4" t="str">
        <f>IFERROR(__xludf.DUMMYFUNCTION("""COMPUTED_VALUE"""),"")</f>
        <v/>
      </c>
      <c r="J395" s="4" t="str">
        <f>IFERROR(__xludf.DUMMYFUNCTION("""COMPUTED_VALUE"""),"")</f>
        <v/>
      </c>
      <c r="K395" s="4" t="str">
        <f>IFERROR(__xludf.DUMMYFUNCTION("""COMPUTED_VALUE"""),"")</f>
        <v/>
      </c>
      <c r="L395" s="4" t="str">
        <f>IFERROR(__xludf.DUMMYFUNCTION("""COMPUTED_VALUE"""),"")</f>
        <v/>
      </c>
      <c r="M395" s="4" t="str">
        <f>IFERROR(__xludf.DUMMYFUNCTION("""COMPUTED_VALUE"""),"")</f>
        <v/>
      </c>
      <c r="N395" s="4" t="str">
        <f>IFERROR(__xludf.DUMMYFUNCTION("""COMPUTED_VALUE"""),"")</f>
        <v/>
      </c>
      <c r="O395" s="4" t="str">
        <f>IFERROR(__xludf.DUMMYFUNCTION("""COMPUTED_VALUE"""),"")</f>
        <v/>
      </c>
      <c r="P395" s="4" t="str">
        <f>IFERROR(__xludf.DUMMYFUNCTION("""COMPUTED_VALUE"""),"")</f>
        <v/>
      </c>
      <c r="Q395" s="4" t="str">
        <f>IFERROR(__xludf.DUMMYFUNCTION("""COMPUTED_VALUE"""),"")</f>
        <v/>
      </c>
      <c r="R395" s="4" t="str">
        <f>IFERROR(__xludf.DUMMYFUNCTION("""COMPUTED_VALUE"""),"")</f>
        <v/>
      </c>
    </row>
    <row r="396">
      <c r="A396" s="4" t="str">
        <f>IFERROR(__xludf.DUMMYFUNCTION("""COMPUTED_VALUE"""),"426 - Channel 5")</f>
        <v>426 - Channel 5</v>
      </c>
      <c r="B396" s="4" t="str">
        <f>IFERROR(__xludf.DUMMYFUNCTION("""COMPUTED_VALUE"""),"")</f>
        <v/>
      </c>
      <c r="C396" s="4" t="str">
        <f>IFERROR(__xludf.DUMMYFUNCTION("""COMPUTED_VALUE"""),"")</f>
        <v/>
      </c>
      <c r="D396" s="4" t="str">
        <f>IFERROR(__xludf.DUMMYFUNCTION("""COMPUTED_VALUE"""),"")</f>
        <v/>
      </c>
      <c r="E396" s="4" t="str">
        <f>IFERROR(__xludf.DUMMYFUNCTION("""COMPUTED_VALUE"""),"")</f>
        <v/>
      </c>
      <c r="F396" s="4" t="str">
        <f>IFERROR(__xludf.DUMMYFUNCTION("""COMPUTED_VALUE"""),"")</f>
        <v/>
      </c>
      <c r="G396" s="4" t="str">
        <f>IFERROR(__xludf.DUMMYFUNCTION("""COMPUTED_VALUE"""),"")</f>
        <v/>
      </c>
      <c r="H396" s="4" t="str">
        <f>IFERROR(__xludf.DUMMYFUNCTION("""COMPUTED_VALUE"""),"")</f>
        <v/>
      </c>
      <c r="I396" s="4" t="str">
        <f>IFERROR(__xludf.DUMMYFUNCTION("""COMPUTED_VALUE"""),"")</f>
        <v/>
      </c>
      <c r="J396" s="4" t="str">
        <f>IFERROR(__xludf.DUMMYFUNCTION("""COMPUTED_VALUE"""),"")</f>
        <v/>
      </c>
      <c r="K396" s="4" t="str">
        <f>IFERROR(__xludf.DUMMYFUNCTION("""COMPUTED_VALUE"""),"")</f>
        <v/>
      </c>
      <c r="L396" s="4" t="str">
        <f>IFERROR(__xludf.DUMMYFUNCTION("""COMPUTED_VALUE"""),"")</f>
        <v/>
      </c>
      <c r="M396" s="4" t="str">
        <f>IFERROR(__xludf.DUMMYFUNCTION("""COMPUTED_VALUE"""),"")</f>
        <v/>
      </c>
      <c r="N396" s="4" t="str">
        <f>IFERROR(__xludf.DUMMYFUNCTION("""COMPUTED_VALUE"""),"")</f>
        <v/>
      </c>
      <c r="O396" s="4" t="str">
        <f>IFERROR(__xludf.DUMMYFUNCTION("""COMPUTED_VALUE"""),"")</f>
        <v/>
      </c>
      <c r="P396" s="4" t="str">
        <f>IFERROR(__xludf.DUMMYFUNCTION("""COMPUTED_VALUE"""),"")</f>
        <v/>
      </c>
      <c r="Q396" s="4" t="str">
        <f>IFERROR(__xludf.DUMMYFUNCTION("""COMPUTED_VALUE"""),"")</f>
        <v/>
      </c>
      <c r="R396" s="4" t="str">
        <f>IFERROR(__xludf.DUMMYFUNCTION("""COMPUTED_VALUE"""),"")</f>
        <v/>
      </c>
    </row>
    <row r="397">
      <c r="A397" s="4" t="str">
        <f>IFERROR(__xludf.DUMMYFUNCTION("""COMPUTED_VALUE"""),"427 - Channel 5")</f>
        <v>427 - Channel 5</v>
      </c>
      <c r="B397" s="4" t="str">
        <f>IFERROR(__xludf.DUMMYFUNCTION("""COMPUTED_VALUE"""),"")</f>
        <v/>
      </c>
      <c r="C397" s="4" t="str">
        <f>IFERROR(__xludf.DUMMYFUNCTION("""COMPUTED_VALUE"""),"")</f>
        <v/>
      </c>
      <c r="D397" s="4" t="str">
        <f>IFERROR(__xludf.DUMMYFUNCTION("""COMPUTED_VALUE"""),"")</f>
        <v/>
      </c>
      <c r="E397" s="4" t="str">
        <f>IFERROR(__xludf.DUMMYFUNCTION("""COMPUTED_VALUE"""),"")</f>
        <v/>
      </c>
      <c r="F397" s="4" t="str">
        <f>IFERROR(__xludf.DUMMYFUNCTION("""COMPUTED_VALUE"""),"")</f>
        <v/>
      </c>
      <c r="G397" s="4" t="str">
        <f>IFERROR(__xludf.DUMMYFUNCTION("""COMPUTED_VALUE"""),"")</f>
        <v/>
      </c>
      <c r="H397" s="4" t="str">
        <f>IFERROR(__xludf.DUMMYFUNCTION("""COMPUTED_VALUE"""),"")</f>
        <v/>
      </c>
      <c r="I397" s="4" t="str">
        <f>IFERROR(__xludf.DUMMYFUNCTION("""COMPUTED_VALUE"""),"")</f>
        <v/>
      </c>
      <c r="J397" s="4" t="str">
        <f>IFERROR(__xludf.DUMMYFUNCTION("""COMPUTED_VALUE"""),"")</f>
        <v/>
      </c>
      <c r="K397" s="4" t="str">
        <f>IFERROR(__xludf.DUMMYFUNCTION("""COMPUTED_VALUE"""),"")</f>
        <v/>
      </c>
      <c r="L397" s="4" t="str">
        <f>IFERROR(__xludf.DUMMYFUNCTION("""COMPUTED_VALUE"""),"")</f>
        <v/>
      </c>
      <c r="M397" s="4" t="str">
        <f>IFERROR(__xludf.DUMMYFUNCTION("""COMPUTED_VALUE"""),"")</f>
        <v/>
      </c>
      <c r="N397" s="4" t="str">
        <f>IFERROR(__xludf.DUMMYFUNCTION("""COMPUTED_VALUE"""),"")</f>
        <v/>
      </c>
      <c r="O397" s="4" t="str">
        <f>IFERROR(__xludf.DUMMYFUNCTION("""COMPUTED_VALUE"""),"")</f>
        <v/>
      </c>
      <c r="P397" s="4" t="str">
        <f>IFERROR(__xludf.DUMMYFUNCTION("""COMPUTED_VALUE"""),"")</f>
        <v/>
      </c>
      <c r="Q397" s="4" t="str">
        <f>IFERROR(__xludf.DUMMYFUNCTION("""COMPUTED_VALUE"""),"")</f>
        <v/>
      </c>
      <c r="R397" s="4" t="str">
        <f>IFERROR(__xludf.DUMMYFUNCTION("""COMPUTED_VALUE"""),"")</f>
        <v/>
      </c>
    </row>
    <row r="398">
      <c r="A398" s="4" t="str">
        <f>IFERROR(__xludf.DUMMYFUNCTION("""COMPUTED_VALUE"""),"428 - Channel 5")</f>
        <v>428 - Channel 5</v>
      </c>
      <c r="B398" s="4" t="str">
        <f>IFERROR(__xludf.DUMMYFUNCTION("""COMPUTED_VALUE"""),"")</f>
        <v/>
      </c>
      <c r="C398" s="4" t="str">
        <f>IFERROR(__xludf.DUMMYFUNCTION("""COMPUTED_VALUE"""),"")</f>
        <v/>
      </c>
      <c r="D398" s="4" t="str">
        <f>IFERROR(__xludf.DUMMYFUNCTION("""COMPUTED_VALUE"""),"")</f>
        <v/>
      </c>
      <c r="E398" s="4" t="str">
        <f>IFERROR(__xludf.DUMMYFUNCTION("""COMPUTED_VALUE"""),"")</f>
        <v/>
      </c>
      <c r="F398" s="4" t="str">
        <f>IFERROR(__xludf.DUMMYFUNCTION("""COMPUTED_VALUE"""),"")</f>
        <v/>
      </c>
      <c r="G398" s="4" t="str">
        <f>IFERROR(__xludf.DUMMYFUNCTION("""COMPUTED_VALUE"""),"")</f>
        <v/>
      </c>
      <c r="H398" s="4" t="str">
        <f>IFERROR(__xludf.DUMMYFUNCTION("""COMPUTED_VALUE"""),"")</f>
        <v/>
      </c>
      <c r="I398" s="4" t="str">
        <f>IFERROR(__xludf.DUMMYFUNCTION("""COMPUTED_VALUE"""),"")</f>
        <v/>
      </c>
      <c r="J398" s="4" t="str">
        <f>IFERROR(__xludf.DUMMYFUNCTION("""COMPUTED_VALUE"""),"")</f>
        <v/>
      </c>
      <c r="K398" s="4" t="str">
        <f>IFERROR(__xludf.DUMMYFUNCTION("""COMPUTED_VALUE"""),"")</f>
        <v/>
      </c>
      <c r="L398" s="4" t="str">
        <f>IFERROR(__xludf.DUMMYFUNCTION("""COMPUTED_VALUE"""),"")</f>
        <v/>
      </c>
      <c r="M398" s="4" t="str">
        <f>IFERROR(__xludf.DUMMYFUNCTION("""COMPUTED_VALUE"""),"")</f>
        <v/>
      </c>
      <c r="N398" s="4" t="str">
        <f>IFERROR(__xludf.DUMMYFUNCTION("""COMPUTED_VALUE"""),"")</f>
        <v/>
      </c>
      <c r="O398" s="4" t="str">
        <f>IFERROR(__xludf.DUMMYFUNCTION("""COMPUTED_VALUE"""),"")</f>
        <v/>
      </c>
      <c r="P398" s="4" t="str">
        <f>IFERROR(__xludf.DUMMYFUNCTION("""COMPUTED_VALUE"""),"")</f>
        <v/>
      </c>
      <c r="Q398" s="4" t="str">
        <f>IFERROR(__xludf.DUMMYFUNCTION("""COMPUTED_VALUE"""),"")</f>
        <v/>
      </c>
      <c r="R398" s="4" t="str">
        <f>IFERROR(__xludf.DUMMYFUNCTION("""COMPUTED_VALUE"""),"")</f>
        <v/>
      </c>
    </row>
    <row r="399">
      <c r="A399" s="4" t="str">
        <f>IFERROR(__xludf.DUMMYFUNCTION("""COMPUTED_VALUE"""),"429 - Channel 5")</f>
        <v>429 - Channel 5</v>
      </c>
      <c r="B399" s="4" t="str">
        <f>IFERROR(__xludf.DUMMYFUNCTION("""COMPUTED_VALUE"""),"")</f>
        <v/>
      </c>
      <c r="C399" s="4" t="str">
        <f>IFERROR(__xludf.DUMMYFUNCTION("""COMPUTED_VALUE"""),"")</f>
        <v/>
      </c>
      <c r="D399" s="4" t="str">
        <f>IFERROR(__xludf.DUMMYFUNCTION("""COMPUTED_VALUE"""),"")</f>
        <v/>
      </c>
      <c r="E399" s="4" t="str">
        <f>IFERROR(__xludf.DUMMYFUNCTION("""COMPUTED_VALUE"""),"")</f>
        <v/>
      </c>
      <c r="F399" s="4" t="str">
        <f>IFERROR(__xludf.DUMMYFUNCTION("""COMPUTED_VALUE"""),"")</f>
        <v/>
      </c>
      <c r="G399" s="4" t="str">
        <f>IFERROR(__xludf.DUMMYFUNCTION("""COMPUTED_VALUE"""),"")</f>
        <v/>
      </c>
      <c r="H399" s="4" t="str">
        <f>IFERROR(__xludf.DUMMYFUNCTION("""COMPUTED_VALUE"""),"")</f>
        <v/>
      </c>
      <c r="I399" s="4" t="str">
        <f>IFERROR(__xludf.DUMMYFUNCTION("""COMPUTED_VALUE"""),"")</f>
        <v/>
      </c>
      <c r="J399" s="4" t="str">
        <f>IFERROR(__xludf.DUMMYFUNCTION("""COMPUTED_VALUE"""),"")</f>
        <v/>
      </c>
      <c r="K399" s="4" t="str">
        <f>IFERROR(__xludf.DUMMYFUNCTION("""COMPUTED_VALUE"""),"")</f>
        <v/>
      </c>
      <c r="L399" s="4" t="str">
        <f>IFERROR(__xludf.DUMMYFUNCTION("""COMPUTED_VALUE"""),"")</f>
        <v/>
      </c>
      <c r="M399" s="4" t="str">
        <f>IFERROR(__xludf.DUMMYFUNCTION("""COMPUTED_VALUE"""),"")</f>
        <v/>
      </c>
      <c r="N399" s="4" t="str">
        <f>IFERROR(__xludf.DUMMYFUNCTION("""COMPUTED_VALUE"""),"")</f>
        <v/>
      </c>
      <c r="O399" s="4" t="str">
        <f>IFERROR(__xludf.DUMMYFUNCTION("""COMPUTED_VALUE"""),"")</f>
        <v/>
      </c>
      <c r="P399" s="4" t="str">
        <f>IFERROR(__xludf.DUMMYFUNCTION("""COMPUTED_VALUE"""),"")</f>
        <v/>
      </c>
      <c r="Q399" s="4" t="str">
        <f>IFERROR(__xludf.DUMMYFUNCTION("""COMPUTED_VALUE"""),"")</f>
        <v/>
      </c>
      <c r="R399" s="4" t="str">
        <f>IFERROR(__xludf.DUMMYFUNCTION("""COMPUTED_VALUE"""),"")</f>
        <v/>
      </c>
    </row>
    <row r="400">
      <c r="A400" s="4" t="str">
        <f>IFERROR(__xludf.DUMMYFUNCTION("""COMPUTED_VALUE"""),"430 - Channel 5")</f>
        <v>430 - Channel 5</v>
      </c>
      <c r="B400" s="4" t="str">
        <f>IFERROR(__xludf.DUMMYFUNCTION("""COMPUTED_VALUE"""),"")</f>
        <v/>
      </c>
      <c r="C400" s="4" t="str">
        <f>IFERROR(__xludf.DUMMYFUNCTION("""COMPUTED_VALUE"""),"")</f>
        <v/>
      </c>
      <c r="D400" s="4" t="str">
        <f>IFERROR(__xludf.DUMMYFUNCTION("""COMPUTED_VALUE"""),"")</f>
        <v/>
      </c>
      <c r="E400" s="4" t="str">
        <f>IFERROR(__xludf.DUMMYFUNCTION("""COMPUTED_VALUE"""),"")</f>
        <v/>
      </c>
      <c r="F400" s="4" t="str">
        <f>IFERROR(__xludf.DUMMYFUNCTION("""COMPUTED_VALUE"""),"")</f>
        <v/>
      </c>
      <c r="G400" s="4" t="str">
        <f>IFERROR(__xludf.DUMMYFUNCTION("""COMPUTED_VALUE"""),"")</f>
        <v/>
      </c>
      <c r="H400" s="4" t="str">
        <f>IFERROR(__xludf.DUMMYFUNCTION("""COMPUTED_VALUE"""),"")</f>
        <v/>
      </c>
      <c r="I400" s="4" t="str">
        <f>IFERROR(__xludf.DUMMYFUNCTION("""COMPUTED_VALUE"""),"")</f>
        <v/>
      </c>
      <c r="J400" s="4" t="str">
        <f>IFERROR(__xludf.DUMMYFUNCTION("""COMPUTED_VALUE"""),"")</f>
        <v/>
      </c>
      <c r="K400" s="4" t="str">
        <f>IFERROR(__xludf.DUMMYFUNCTION("""COMPUTED_VALUE"""),"")</f>
        <v/>
      </c>
      <c r="L400" s="4" t="str">
        <f>IFERROR(__xludf.DUMMYFUNCTION("""COMPUTED_VALUE"""),"")</f>
        <v/>
      </c>
      <c r="M400" s="4" t="str">
        <f>IFERROR(__xludf.DUMMYFUNCTION("""COMPUTED_VALUE"""),"")</f>
        <v/>
      </c>
      <c r="N400" s="4" t="str">
        <f>IFERROR(__xludf.DUMMYFUNCTION("""COMPUTED_VALUE"""),"")</f>
        <v/>
      </c>
      <c r="O400" s="4" t="str">
        <f>IFERROR(__xludf.DUMMYFUNCTION("""COMPUTED_VALUE"""),"")</f>
        <v/>
      </c>
      <c r="P400" s="4" t="str">
        <f>IFERROR(__xludf.DUMMYFUNCTION("""COMPUTED_VALUE"""),"")</f>
        <v/>
      </c>
      <c r="Q400" s="4" t="str">
        <f>IFERROR(__xludf.DUMMYFUNCTION("""COMPUTED_VALUE"""),"")</f>
        <v/>
      </c>
      <c r="R400" s="4" t="str">
        <f>IFERROR(__xludf.DUMMYFUNCTION("""COMPUTED_VALUE"""),"")</f>
        <v/>
      </c>
    </row>
    <row r="401">
      <c r="A401" s="4" t="str">
        <f>IFERROR(__xludf.DUMMYFUNCTION("""COMPUTED_VALUE"""),"431 - Channel 5")</f>
        <v>431 - Channel 5</v>
      </c>
      <c r="B401" s="4" t="str">
        <f>IFERROR(__xludf.DUMMYFUNCTION("""COMPUTED_VALUE"""),"")</f>
        <v/>
      </c>
      <c r="C401" s="4" t="str">
        <f>IFERROR(__xludf.DUMMYFUNCTION("""COMPUTED_VALUE"""),"")</f>
        <v/>
      </c>
      <c r="D401" s="4" t="str">
        <f>IFERROR(__xludf.DUMMYFUNCTION("""COMPUTED_VALUE"""),"")</f>
        <v/>
      </c>
      <c r="E401" s="4" t="str">
        <f>IFERROR(__xludf.DUMMYFUNCTION("""COMPUTED_VALUE"""),"")</f>
        <v/>
      </c>
      <c r="F401" s="4" t="str">
        <f>IFERROR(__xludf.DUMMYFUNCTION("""COMPUTED_VALUE"""),"")</f>
        <v/>
      </c>
      <c r="G401" s="4" t="str">
        <f>IFERROR(__xludf.DUMMYFUNCTION("""COMPUTED_VALUE"""),"")</f>
        <v/>
      </c>
      <c r="H401" s="4" t="str">
        <f>IFERROR(__xludf.DUMMYFUNCTION("""COMPUTED_VALUE"""),"")</f>
        <v/>
      </c>
      <c r="I401" s="4" t="str">
        <f>IFERROR(__xludf.DUMMYFUNCTION("""COMPUTED_VALUE"""),"")</f>
        <v/>
      </c>
      <c r="J401" s="4" t="str">
        <f>IFERROR(__xludf.DUMMYFUNCTION("""COMPUTED_VALUE"""),"")</f>
        <v/>
      </c>
      <c r="K401" s="4" t="str">
        <f>IFERROR(__xludf.DUMMYFUNCTION("""COMPUTED_VALUE"""),"")</f>
        <v/>
      </c>
      <c r="L401" s="4" t="str">
        <f>IFERROR(__xludf.DUMMYFUNCTION("""COMPUTED_VALUE"""),"")</f>
        <v/>
      </c>
      <c r="M401" s="4" t="str">
        <f>IFERROR(__xludf.DUMMYFUNCTION("""COMPUTED_VALUE"""),"")</f>
        <v/>
      </c>
      <c r="N401" s="4" t="str">
        <f>IFERROR(__xludf.DUMMYFUNCTION("""COMPUTED_VALUE"""),"")</f>
        <v/>
      </c>
      <c r="O401" s="4" t="str">
        <f>IFERROR(__xludf.DUMMYFUNCTION("""COMPUTED_VALUE"""),"")</f>
        <v/>
      </c>
      <c r="P401" s="4" t="str">
        <f>IFERROR(__xludf.DUMMYFUNCTION("""COMPUTED_VALUE"""),"")</f>
        <v/>
      </c>
      <c r="Q401" s="4" t="str">
        <f>IFERROR(__xludf.DUMMYFUNCTION("""COMPUTED_VALUE"""),"")</f>
        <v/>
      </c>
      <c r="R401" s="4" t="str">
        <f>IFERROR(__xludf.DUMMYFUNCTION("""COMPUTED_VALUE"""),"")</f>
        <v/>
      </c>
    </row>
    <row r="402">
      <c r="A402" s="4" t="str">
        <f>IFERROR(__xludf.DUMMYFUNCTION("""COMPUTED_VALUE"""),"432 - Channel 5")</f>
        <v>432 - Channel 5</v>
      </c>
      <c r="B402" s="4" t="str">
        <f>IFERROR(__xludf.DUMMYFUNCTION("""COMPUTED_VALUE"""),"")</f>
        <v/>
      </c>
      <c r="C402" s="4" t="str">
        <f>IFERROR(__xludf.DUMMYFUNCTION("""COMPUTED_VALUE"""),"")</f>
        <v/>
      </c>
      <c r="D402" s="4" t="str">
        <f>IFERROR(__xludf.DUMMYFUNCTION("""COMPUTED_VALUE"""),"")</f>
        <v/>
      </c>
      <c r="E402" s="4" t="str">
        <f>IFERROR(__xludf.DUMMYFUNCTION("""COMPUTED_VALUE"""),"")</f>
        <v/>
      </c>
      <c r="F402" s="4" t="str">
        <f>IFERROR(__xludf.DUMMYFUNCTION("""COMPUTED_VALUE"""),"")</f>
        <v/>
      </c>
      <c r="G402" s="4" t="str">
        <f>IFERROR(__xludf.DUMMYFUNCTION("""COMPUTED_VALUE"""),"")</f>
        <v/>
      </c>
      <c r="H402" s="4" t="str">
        <f>IFERROR(__xludf.DUMMYFUNCTION("""COMPUTED_VALUE"""),"")</f>
        <v/>
      </c>
      <c r="I402" s="4" t="str">
        <f>IFERROR(__xludf.DUMMYFUNCTION("""COMPUTED_VALUE"""),"")</f>
        <v/>
      </c>
      <c r="J402" s="4" t="str">
        <f>IFERROR(__xludf.DUMMYFUNCTION("""COMPUTED_VALUE"""),"")</f>
        <v/>
      </c>
      <c r="K402" s="4" t="str">
        <f>IFERROR(__xludf.DUMMYFUNCTION("""COMPUTED_VALUE"""),"")</f>
        <v/>
      </c>
      <c r="L402" s="4" t="str">
        <f>IFERROR(__xludf.DUMMYFUNCTION("""COMPUTED_VALUE"""),"")</f>
        <v/>
      </c>
      <c r="M402" s="4" t="str">
        <f>IFERROR(__xludf.DUMMYFUNCTION("""COMPUTED_VALUE"""),"")</f>
        <v/>
      </c>
      <c r="N402" s="4" t="str">
        <f>IFERROR(__xludf.DUMMYFUNCTION("""COMPUTED_VALUE"""),"")</f>
        <v/>
      </c>
      <c r="O402" s="4" t="str">
        <f>IFERROR(__xludf.DUMMYFUNCTION("""COMPUTED_VALUE"""),"")</f>
        <v/>
      </c>
      <c r="P402" s="4" t="str">
        <f>IFERROR(__xludf.DUMMYFUNCTION("""COMPUTED_VALUE"""),"")</f>
        <v/>
      </c>
      <c r="Q402" s="4" t="str">
        <f>IFERROR(__xludf.DUMMYFUNCTION("""COMPUTED_VALUE"""),"")</f>
        <v/>
      </c>
      <c r="R402" s="4" t="str">
        <f>IFERROR(__xludf.DUMMYFUNCTION("""COMPUTED_VALUE"""),"")</f>
        <v/>
      </c>
    </row>
    <row r="403">
      <c r="A403" s="4" t="str">
        <f>IFERROR(__xludf.DUMMYFUNCTION("""COMPUTED_VALUE"""),"433 - Channel 5")</f>
        <v>433 - Channel 5</v>
      </c>
      <c r="B403" s="4" t="str">
        <f>IFERROR(__xludf.DUMMYFUNCTION("""COMPUTED_VALUE"""),"")</f>
        <v/>
      </c>
      <c r="C403" s="4" t="str">
        <f>IFERROR(__xludf.DUMMYFUNCTION("""COMPUTED_VALUE"""),"")</f>
        <v/>
      </c>
      <c r="D403" s="4" t="str">
        <f>IFERROR(__xludf.DUMMYFUNCTION("""COMPUTED_VALUE"""),"")</f>
        <v/>
      </c>
      <c r="E403" s="4" t="str">
        <f>IFERROR(__xludf.DUMMYFUNCTION("""COMPUTED_VALUE"""),"")</f>
        <v/>
      </c>
      <c r="F403" s="4" t="str">
        <f>IFERROR(__xludf.DUMMYFUNCTION("""COMPUTED_VALUE"""),"")</f>
        <v/>
      </c>
      <c r="G403" s="4" t="str">
        <f>IFERROR(__xludf.DUMMYFUNCTION("""COMPUTED_VALUE"""),"")</f>
        <v/>
      </c>
      <c r="H403" s="4" t="str">
        <f>IFERROR(__xludf.DUMMYFUNCTION("""COMPUTED_VALUE"""),"")</f>
        <v/>
      </c>
      <c r="I403" s="4" t="str">
        <f>IFERROR(__xludf.DUMMYFUNCTION("""COMPUTED_VALUE"""),"")</f>
        <v/>
      </c>
      <c r="J403" s="4" t="str">
        <f>IFERROR(__xludf.DUMMYFUNCTION("""COMPUTED_VALUE"""),"")</f>
        <v/>
      </c>
      <c r="K403" s="4" t="str">
        <f>IFERROR(__xludf.DUMMYFUNCTION("""COMPUTED_VALUE"""),"")</f>
        <v/>
      </c>
      <c r="L403" s="4" t="str">
        <f>IFERROR(__xludf.DUMMYFUNCTION("""COMPUTED_VALUE"""),"")</f>
        <v/>
      </c>
      <c r="M403" s="4" t="str">
        <f>IFERROR(__xludf.DUMMYFUNCTION("""COMPUTED_VALUE"""),"")</f>
        <v/>
      </c>
      <c r="N403" s="4" t="str">
        <f>IFERROR(__xludf.DUMMYFUNCTION("""COMPUTED_VALUE"""),"")</f>
        <v/>
      </c>
      <c r="O403" s="4" t="str">
        <f>IFERROR(__xludf.DUMMYFUNCTION("""COMPUTED_VALUE"""),"")</f>
        <v/>
      </c>
      <c r="P403" s="4" t="str">
        <f>IFERROR(__xludf.DUMMYFUNCTION("""COMPUTED_VALUE"""),"")</f>
        <v/>
      </c>
      <c r="Q403" s="4" t="str">
        <f>IFERROR(__xludf.DUMMYFUNCTION("""COMPUTED_VALUE"""),"")</f>
        <v/>
      </c>
      <c r="R403" s="4" t="str">
        <f>IFERROR(__xludf.DUMMYFUNCTION("""COMPUTED_VALUE"""),"")</f>
        <v/>
      </c>
    </row>
    <row r="404">
      <c r="A404" s="4" t="str">
        <f>IFERROR(__xludf.DUMMYFUNCTION("""COMPUTED_VALUE"""),"434 - Channel 5")</f>
        <v>434 - Channel 5</v>
      </c>
      <c r="B404" s="4" t="str">
        <f>IFERROR(__xludf.DUMMYFUNCTION("""COMPUTED_VALUE"""),"")</f>
        <v/>
      </c>
      <c r="C404" s="4" t="str">
        <f>IFERROR(__xludf.DUMMYFUNCTION("""COMPUTED_VALUE"""),"")</f>
        <v/>
      </c>
      <c r="D404" s="4" t="str">
        <f>IFERROR(__xludf.DUMMYFUNCTION("""COMPUTED_VALUE"""),"")</f>
        <v/>
      </c>
      <c r="E404" s="4" t="str">
        <f>IFERROR(__xludf.DUMMYFUNCTION("""COMPUTED_VALUE"""),"")</f>
        <v/>
      </c>
      <c r="F404" s="4" t="str">
        <f>IFERROR(__xludf.DUMMYFUNCTION("""COMPUTED_VALUE"""),"")</f>
        <v/>
      </c>
      <c r="G404" s="4" t="str">
        <f>IFERROR(__xludf.DUMMYFUNCTION("""COMPUTED_VALUE"""),"")</f>
        <v/>
      </c>
      <c r="H404" s="4" t="str">
        <f>IFERROR(__xludf.DUMMYFUNCTION("""COMPUTED_VALUE"""),"")</f>
        <v/>
      </c>
      <c r="I404" s="4" t="str">
        <f>IFERROR(__xludf.DUMMYFUNCTION("""COMPUTED_VALUE"""),"")</f>
        <v/>
      </c>
      <c r="J404" s="4" t="str">
        <f>IFERROR(__xludf.DUMMYFUNCTION("""COMPUTED_VALUE"""),"")</f>
        <v/>
      </c>
      <c r="K404" s="4" t="str">
        <f>IFERROR(__xludf.DUMMYFUNCTION("""COMPUTED_VALUE"""),"")</f>
        <v/>
      </c>
      <c r="L404" s="4" t="str">
        <f>IFERROR(__xludf.DUMMYFUNCTION("""COMPUTED_VALUE"""),"")</f>
        <v/>
      </c>
      <c r="M404" s="4" t="str">
        <f>IFERROR(__xludf.DUMMYFUNCTION("""COMPUTED_VALUE"""),"")</f>
        <v/>
      </c>
      <c r="N404" s="4" t="str">
        <f>IFERROR(__xludf.DUMMYFUNCTION("""COMPUTED_VALUE"""),"")</f>
        <v/>
      </c>
      <c r="O404" s="4" t="str">
        <f>IFERROR(__xludf.DUMMYFUNCTION("""COMPUTED_VALUE"""),"")</f>
        <v/>
      </c>
      <c r="P404" s="4" t="str">
        <f>IFERROR(__xludf.DUMMYFUNCTION("""COMPUTED_VALUE"""),"")</f>
        <v/>
      </c>
      <c r="Q404" s="4" t="str">
        <f>IFERROR(__xludf.DUMMYFUNCTION("""COMPUTED_VALUE"""),"")</f>
        <v/>
      </c>
      <c r="R404" s="4" t="str">
        <f>IFERROR(__xludf.DUMMYFUNCTION("""COMPUTED_VALUE"""),"")</f>
        <v/>
      </c>
    </row>
    <row r="405">
      <c r="A405" s="4" t="str">
        <f>IFERROR(__xludf.DUMMYFUNCTION("""COMPUTED_VALUE"""),"435 - Channel 5")</f>
        <v>435 - Channel 5</v>
      </c>
      <c r="B405" s="4" t="str">
        <f>IFERROR(__xludf.DUMMYFUNCTION("""COMPUTED_VALUE"""),"")</f>
        <v/>
      </c>
      <c r="C405" s="4" t="str">
        <f>IFERROR(__xludf.DUMMYFUNCTION("""COMPUTED_VALUE"""),"")</f>
        <v/>
      </c>
      <c r="D405" s="4" t="str">
        <f>IFERROR(__xludf.DUMMYFUNCTION("""COMPUTED_VALUE"""),"")</f>
        <v/>
      </c>
      <c r="E405" s="4" t="str">
        <f>IFERROR(__xludf.DUMMYFUNCTION("""COMPUTED_VALUE"""),"")</f>
        <v/>
      </c>
      <c r="F405" s="4" t="str">
        <f>IFERROR(__xludf.DUMMYFUNCTION("""COMPUTED_VALUE"""),"")</f>
        <v/>
      </c>
      <c r="G405" s="4" t="str">
        <f>IFERROR(__xludf.DUMMYFUNCTION("""COMPUTED_VALUE"""),"")</f>
        <v/>
      </c>
      <c r="H405" s="4" t="str">
        <f>IFERROR(__xludf.DUMMYFUNCTION("""COMPUTED_VALUE"""),"")</f>
        <v/>
      </c>
      <c r="I405" s="4" t="str">
        <f>IFERROR(__xludf.DUMMYFUNCTION("""COMPUTED_VALUE"""),"")</f>
        <v/>
      </c>
      <c r="J405" s="4" t="str">
        <f>IFERROR(__xludf.DUMMYFUNCTION("""COMPUTED_VALUE"""),"")</f>
        <v/>
      </c>
      <c r="K405" s="4" t="str">
        <f>IFERROR(__xludf.DUMMYFUNCTION("""COMPUTED_VALUE"""),"")</f>
        <v/>
      </c>
      <c r="L405" s="4" t="str">
        <f>IFERROR(__xludf.DUMMYFUNCTION("""COMPUTED_VALUE"""),"")</f>
        <v/>
      </c>
      <c r="M405" s="4" t="str">
        <f>IFERROR(__xludf.DUMMYFUNCTION("""COMPUTED_VALUE"""),"")</f>
        <v/>
      </c>
      <c r="N405" s="4" t="str">
        <f>IFERROR(__xludf.DUMMYFUNCTION("""COMPUTED_VALUE"""),"")</f>
        <v/>
      </c>
      <c r="O405" s="4" t="str">
        <f>IFERROR(__xludf.DUMMYFUNCTION("""COMPUTED_VALUE"""),"")</f>
        <v/>
      </c>
      <c r="P405" s="4" t="str">
        <f>IFERROR(__xludf.DUMMYFUNCTION("""COMPUTED_VALUE"""),"")</f>
        <v/>
      </c>
      <c r="Q405" s="4" t="str">
        <f>IFERROR(__xludf.DUMMYFUNCTION("""COMPUTED_VALUE"""),"")</f>
        <v/>
      </c>
      <c r="R405" s="4" t="str">
        <f>IFERROR(__xludf.DUMMYFUNCTION("""COMPUTED_VALUE"""),"")</f>
        <v/>
      </c>
    </row>
    <row r="406">
      <c r="A406" s="4" t="str">
        <f>IFERROR(__xludf.DUMMYFUNCTION("""COMPUTED_VALUE"""),"436 - Channel 5")</f>
        <v>436 - Channel 5</v>
      </c>
      <c r="B406" s="4" t="str">
        <f>IFERROR(__xludf.DUMMYFUNCTION("""COMPUTED_VALUE"""),"")</f>
        <v/>
      </c>
      <c r="C406" s="4" t="str">
        <f>IFERROR(__xludf.DUMMYFUNCTION("""COMPUTED_VALUE"""),"")</f>
        <v/>
      </c>
      <c r="D406" s="4" t="str">
        <f>IFERROR(__xludf.DUMMYFUNCTION("""COMPUTED_VALUE"""),"")</f>
        <v/>
      </c>
      <c r="E406" s="4" t="str">
        <f>IFERROR(__xludf.DUMMYFUNCTION("""COMPUTED_VALUE"""),"")</f>
        <v/>
      </c>
      <c r="F406" s="4" t="str">
        <f>IFERROR(__xludf.DUMMYFUNCTION("""COMPUTED_VALUE"""),"")</f>
        <v/>
      </c>
      <c r="G406" s="4" t="str">
        <f>IFERROR(__xludf.DUMMYFUNCTION("""COMPUTED_VALUE"""),"")</f>
        <v/>
      </c>
      <c r="H406" s="4" t="str">
        <f>IFERROR(__xludf.DUMMYFUNCTION("""COMPUTED_VALUE"""),"")</f>
        <v/>
      </c>
      <c r="I406" s="4" t="str">
        <f>IFERROR(__xludf.DUMMYFUNCTION("""COMPUTED_VALUE"""),"")</f>
        <v/>
      </c>
      <c r="J406" s="4" t="str">
        <f>IFERROR(__xludf.DUMMYFUNCTION("""COMPUTED_VALUE"""),"")</f>
        <v/>
      </c>
      <c r="K406" s="4" t="str">
        <f>IFERROR(__xludf.DUMMYFUNCTION("""COMPUTED_VALUE"""),"")</f>
        <v/>
      </c>
      <c r="L406" s="4" t="str">
        <f>IFERROR(__xludf.DUMMYFUNCTION("""COMPUTED_VALUE"""),"")</f>
        <v/>
      </c>
      <c r="M406" s="4" t="str">
        <f>IFERROR(__xludf.DUMMYFUNCTION("""COMPUTED_VALUE"""),"")</f>
        <v/>
      </c>
      <c r="N406" s="4" t="str">
        <f>IFERROR(__xludf.DUMMYFUNCTION("""COMPUTED_VALUE"""),"")</f>
        <v/>
      </c>
      <c r="O406" s="4" t="str">
        <f>IFERROR(__xludf.DUMMYFUNCTION("""COMPUTED_VALUE"""),"")</f>
        <v/>
      </c>
      <c r="P406" s="4" t="str">
        <f>IFERROR(__xludf.DUMMYFUNCTION("""COMPUTED_VALUE"""),"")</f>
        <v/>
      </c>
      <c r="Q406" s="4" t="str">
        <f>IFERROR(__xludf.DUMMYFUNCTION("""COMPUTED_VALUE"""),"")</f>
        <v/>
      </c>
      <c r="R406" s="4" t="str">
        <f>IFERROR(__xludf.DUMMYFUNCTION("""COMPUTED_VALUE"""),"")</f>
        <v/>
      </c>
    </row>
    <row r="407">
      <c r="A407" s="4" t="str">
        <f>IFERROR(__xludf.DUMMYFUNCTION("""COMPUTED_VALUE"""),"437 - Channel 5")</f>
        <v>437 - Channel 5</v>
      </c>
      <c r="B407" s="4" t="str">
        <f>IFERROR(__xludf.DUMMYFUNCTION("""COMPUTED_VALUE"""),"")</f>
        <v/>
      </c>
      <c r="C407" s="4" t="str">
        <f>IFERROR(__xludf.DUMMYFUNCTION("""COMPUTED_VALUE"""),"")</f>
        <v/>
      </c>
      <c r="D407" s="4" t="str">
        <f>IFERROR(__xludf.DUMMYFUNCTION("""COMPUTED_VALUE"""),"")</f>
        <v/>
      </c>
      <c r="E407" s="4" t="str">
        <f>IFERROR(__xludf.DUMMYFUNCTION("""COMPUTED_VALUE"""),"")</f>
        <v/>
      </c>
      <c r="F407" s="4" t="str">
        <f>IFERROR(__xludf.DUMMYFUNCTION("""COMPUTED_VALUE"""),"")</f>
        <v/>
      </c>
      <c r="G407" s="4" t="str">
        <f>IFERROR(__xludf.DUMMYFUNCTION("""COMPUTED_VALUE"""),"")</f>
        <v/>
      </c>
      <c r="H407" s="4" t="str">
        <f>IFERROR(__xludf.DUMMYFUNCTION("""COMPUTED_VALUE"""),"")</f>
        <v/>
      </c>
      <c r="I407" s="4" t="str">
        <f>IFERROR(__xludf.DUMMYFUNCTION("""COMPUTED_VALUE"""),"")</f>
        <v/>
      </c>
      <c r="J407" s="4" t="str">
        <f>IFERROR(__xludf.DUMMYFUNCTION("""COMPUTED_VALUE"""),"")</f>
        <v/>
      </c>
      <c r="K407" s="4" t="str">
        <f>IFERROR(__xludf.DUMMYFUNCTION("""COMPUTED_VALUE"""),"")</f>
        <v/>
      </c>
      <c r="L407" s="4" t="str">
        <f>IFERROR(__xludf.DUMMYFUNCTION("""COMPUTED_VALUE"""),"")</f>
        <v/>
      </c>
      <c r="M407" s="4" t="str">
        <f>IFERROR(__xludf.DUMMYFUNCTION("""COMPUTED_VALUE"""),"")</f>
        <v/>
      </c>
      <c r="N407" s="4" t="str">
        <f>IFERROR(__xludf.DUMMYFUNCTION("""COMPUTED_VALUE"""),"")</f>
        <v/>
      </c>
      <c r="O407" s="4" t="str">
        <f>IFERROR(__xludf.DUMMYFUNCTION("""COMPUTED_VALUE"""),"")</f>
        <v/>
      </c>
      <c r="P407" s="4" t="str">
        <f>IFERROR(__xludf.DUMMYFUNCTION("""COMPUTED_VALUE"""),"")</f>
        <v/>
      </c>
      <c r="Q407" s="4" t="str">
        <f>IFERROR(__xludf.DUMMYFUNCTION("""COMPUTED_VALUE"""),"")</f>
        <v/>
      </c>
      <c r="R407" s="4" t="str">
        <f>IFERROR(__xludf.DUMMYFUNCTION("""COMPUTED_VALUE"""),"")</f>
        <v/>
      </c>
    </row>
    <row r="408">
      <c r="A408" s="4" t="str">
        <f>IFERROR(__xludf.DUMMYFUNCTION("""COMPUTED_VALUE"""),"438 - Channel 5")</f>
        <v>438 - Channel 5</v>
      </c>
      <c r="B408" s="4" t="str">
        <f>IFERROR(__xludf.DUMMYFUNCTION("""COMPUTED_VALUE"""),"")</f>
        <v/>
      </c>
      <c r="C408" s="4" t="str">
        <f>IFERROR(__xludf.DUMMYFUNCTION("""COMPUTED_VALUE"""),"")</f>
        <v/>
      </c>
      <c r="D408" s="4" t="str">
        <f>IFERROR(__xludf.DUMMYFUNCTION("""COMPUTED_VALUE"""),"")</f>
        <v/>
      </c>
      <c r="E408" s="4" t="str">
        <f>IFERROR(__xludf.DUMMYFUNCTION("""COMPUTED_VALUE"""),"")</f>
        <v/>
      </c>
      <c r="F408" s="4" t="str">
        <f>IFERROR(__xludf.DUMMYFUNCTION("""COMPUTED_VALUE"""),"")</f>
        <v/>
      </c>
      <c r="G408" s="4" t="str">
        <f>IFERROR(__xludf.DUMMYFUNCTION("""COMPUTED_VALUE"""),"")</f>
        <v/>
      </c>
      <c r="H408" s="4" t="str">
        <f>IFERROR(__xludf.DUMMYFUNCTION("""COMPUTED_VALUE"""),"")</f>
        <v/>
      </c>
      <c r="I408" s="4" t="str">
        <f>IFERROR(__xludf.DUMMYFUNCTION("""COMPUTED_VALUE"""),"")</f>
        <v/>
      </c>
      <c r="J408" s="4" t="str">
        <f>IFERROR(__xludf.DUMMYFUNCTION("""COMPUTED_VALUE"""),"")</f>
        <v/>
      </c>
      <c r="K408" s="4" t="str">
        <f>IFERROR(__xludf.DUMMYFUNCTION("""COMPUTED_VALUE"""),"")</f>
        <v/>
      </c>
      <c r="L408" s="4" t="str">
        <f>IFERROR(__xludf.DUMMYFUNCTION("""COMPUTED_VALUE"""),"")</f>
        <v/>
      </c>
      <c r="M408" s="4" t="str">
        <f>IFERROR(__xludf.DUMMYFUNCTION("""COMPUTED_VALUE"""),"")</f>
        <v/>
      </c>
      <c r="N408" s="4" t="str">
        <f>IFERROR(__xludf.DUMMYFUNCTION("""COMPUTED_VALUE"""),"")</f>
        <v/>
      </c>
      <c r="O408" s="4" t="str">
        <f>IFERROR(__xludf.DUMMYFUNCTION("""COMPUTED_VALUE"""),"")</f>
        <v/>
      </c>
      <c r="P408" s="4" t="str">
        <f>IFERROR(__xludf.DUMMYFUNCTION("""COMPUTED_VALUE"""),"")</f>
        <v/>
      </c>
      <c r="Q408" s="4" t="str">
        <f>IFERROR(__xludf.DUMMYFUNCTION("""COMPUTED_VALUE"""),"")</f>
        <v/>
      </c>
      <c r="R408" s="4" t="str">
        <f>IFERROR(__xludf.DUMMYFUNCTION("""COMPUTED_VALUE"""),"")</f>
        <v/>
      </c>
    </row>
    <row r="409">
      <c r="A409" s="4" t="str">
        <f>IFERROR(__xludf.DUMMYFUNCTION("""COMPUTED_VALUE"""),"439 - Channel 5")</f>
        <v>439 - Channel 5</v>
      </c>
      <c r="B409" s="4" t="str">
        <f>IFERROR(__xludf.DUMMYFUNCTION("""COMPUTED_VALUE"""),"")</f>
        <v/>
      </c>
      <c r="C409" s="4" t="str">
        <f>IFERROR(__xludf.DUMMYFUNCTION("""COMPUTED_VALUE"""),"")</f>
        <v/>
      </c>
      <c r="D409" s="4" t="str">
        <f>IFERROR(__xludf.DUMMYFUNCTION("""COMPUTED_VALUE"""),"")</f>
        <v/>
      </c>
      <c r="E409" s="4" t="str">
        <f>IFERROR(__xludf.DUMMYFUNCTION("""COMPUTED_VALUE"""),"")</f>
        <v/>
      </c>
      <c r="F409" s="4" t="str">
        <f>IFERROR(__xludf.DUMMYFUNCTION("""COMPUTED_VALUE"""),"")</f>
        <v/>
      </c>
      <c r="G409" s="4" t="str">
        <f>IFERROR(__xludf.DUMMYFUNCTION("""COMPUTED_VALUE"""),"")</f>
        <v/>
      </c>
      <c r="H409" s="4" t="str">
        <f>IFERROR(__xludf.DUMMYFUNCTION("""COMPUTED_VALUE"""),"")</f>
        <v/>
      </c>
      <c r="I409" s="4" t="str">
        <f>IFERROR(__xludf.DUMMYFUNCTION("""COMPUTED_VALUE"""),"")</f>
        <v/>
      </c>
      <c r="J409" s="4" t="str">
        <f>IFERROR(__xludf.DUMMYFUNCTION("""COMPUTED_VALUE"""),"")</f>
        <v/>
      </c>
      <c r="K409" s="4" t="str">
        <f>IFERROR(__xludf.DUMMYFUNCTION("""COMPUTED_VALUE"""),"")</f>
        <v/>
      </c>
      <c r="L409" s="4" t="str">
        <f>IFERROR(__xludf.DUMMYFUNCTION("""COMPUTED_VALUE"""),"")</f>
        <v/>
      </c>
      <c r="M409" s="4" t="str">
        <f>IFERROR(__xludf.DUMMYFUNCTION("""COMPUTED_VALUE"""),"")</f>
        <v/>
      </c>
      <c r="N409" s="4" t="str">
        <f>IFERROR(__xludf.DUMMYFUNCTION("""COMPUTED_VALUE"""),"")</f>
        <v/>
      </c>
      <c r="O409" s="4" t="str">
        <f>IFERROR(__xludf.DUMMYFUNCTION("""COMPUTED_VALUE"""),"")</f>
        <v/>
      </c>
      <c r="P409" s="4" t="str">
        <f>IFERROR(__xludf.DUMMYFUNCTION("""COMPUTED_VALUE"""),"")</f>
        <v/>
      </c>
      <c r="Q409" s="4" t="str">
        <f>IFERROR(__xludf.DUMMYFUNCTION("""COMPUTED_VALUE"""),"")</f>
        <v/>
      </c>
      <c r="R409" s="4" t="str">
        <f>IFERROR(__xludf.DUMMYFUNCTION("""COMPUTED_VALUE"""),"")</f>
        <v/>
      </c>
    </row>
    <row r="410">
      <c r="A410" s="4" t="str">
        <f>IFERROR(__xludf.DUMMYFUNCTION("""COMPUTED_VALUE"""),"440 - Channel 5")</f>
        <v>440 - Channel 5</v>
      </c>
      <c r="B410" s="4" t="str">
        <f>IFERROR(__xludf.DUMMYFUNCTION("""COMPUTED_VALUE"""),"")</f>
        <v/>
      </c>
      <c r="C410" s="4" t="str">
        <f>IFERROR(__xludf.DUMMYFUNCTION("""COMPUTED_VALUE"""),"")</f>
        <v/>
      </c>
      <c r="D410" s="4" t="str">
        <f>IFERROR(__xludf.DUMMYFUNCTION("""COMPUTED_VALUE"""),"")</f>
        <v/>
      </c>
      <c r="E410" s="4" t="str">
        <f>IFERROR(__xludf.DUMMYFUNCTION("""COMPUTED_VALUE"""),"")</f>
        <v/>
      </c>
      <c r="F410" s="4" t="str">
        <f>IFERROR(__xludf.DUMMYFUNCTION("""COMPUTED_VALUE"""),"")</f>
        <v/>
      </c>
      <c r="G410" s="4" t="str">
        <f>IFERROR(__xludf.DUMMYFUNCTION("""COMPUTED_VALUE"""),"")</f>
        <v/>
      </c>
      <c r="H410" s="4" t="str">
        <f>IFERROR(__xludf.DUMMYFUNCTION("""COMPUTED_VALUE"""),"")</f>
        <v/>
      </c>
      <c r="I410" s="4" t="str">
        <f>IFERROR(__xludf.DUMMYFUNCTION("""COMPUTED_VALUE"""),"")</f>
        <v/>
      </c>
      <c r="J410" s="4" t="str">
        <f>IFERROR(__xludf.DUMMYFUNCTION("""COMPUTED_VALUE"""),"")</f>
        <v/>
      </c>
      <c r="K410" s="4" t="str">
        <f>IFERROR(__xludf.DUMMYFUNCTION("""COMPUTED_VALUE"""),"")</f>
        <v/>
      </c>
      <c r="L410" s="4" t="str">
        <f>IFERROR(__xludf.DUMMYFUNCTION("""COMPUTED_VALUE"""),"")</f>
        <v/>
      </c>
      <c r="M410" s="4" t="str">
        <f>IFERROR(__xludf.DUMMYFUNCTION("""COMPUTED_VALUE"""),"")</f>
        <v/>
      </c>
      <c r="N410" s="4" t="str">
        <f>IFERROR(__xludf.DUMMYFUNCTION("""COMPUTED_VALUE"""),"")</f>
        <v/>
      </c>
      <c r="O410" s="4" t="str">
        <f>IFERROR(__xludf.DUMMYFUNCTION("""COMPUTED_VALUE"""),"")</f>
        <v/>
      </c>
      <c r="P410" s="4" t="str">
        <f>IFERROR(__xludf.DUMMYFUNCTION("""COMPUTED_VALUE"""),"")</f>
        <v/>
      </c>
      <c r="Q410" s="4" t="str">
        <f>IFERROR(__xludf.DUMMYFUNCTION("""COMPUTED_VALUE"""),"")</f>
        <v/>
      </c>
      <c r="R410" s="4" t="str">
        <f>IFERROR(__xludf.DUMMYFUNCTION("""COMPUTED_VALUE"""),"")</f>
        <v/>
      </c>
    </row>
    <row r="411">
      <c r="A411" s="4" t="str">
        <f>IFERROR(__xludf.DUMMYFUNCTION("""COMPUTED_VALUE"""),"441 - Channel 5")</f>
        <v>441 - Channel 5</v>
      </c>
      <c r="B411" s="4" t="str">
        <f>IFERROR(__xludf.DUMMYFUNCTION("""COMPUTED_VALUE"""),"")</f>
        <v/>
      </c>
      <c r="C411" s="4" t="str">
        <f>IFERROR(__xludf.DUMMYFUNCTION("""COMPUTED_VALUE"""),"")</f>
        <v/>
      </c>
      <c r="D411" s="4" t="str">
        <f>IFERROR(__xludf.DUMMYFUNCTION("""COMPUTED_VALUE"""),"")</f>
        <v/>
      </c>
      <c r="E411" s="4" t="str">
        <f>IFERROR(__xludf.DUMMYFUNCTION("""COMPUTED_VALUE"""),"")</f>
        <v/>
      </c>
      <c r="F411" s="4" t="str">
        <f>IFERROR(__xludf.DUMMYFUNCTION("""COMPUTED_VALUE"""),"")</f>
        <v/>
      </c>
      <c r="G411" s="4" t="str">
        <f>IFERROR(__xludf.DUMMYFUNCTION("""COMPUTED_VALUE"""),"")</f>
        <v/>
      </c>
      <c r="H411" s="4" t="str">
        <f>IFERROR(__xludf.DUMMYFUNCTION("""COMPUTED_VALUE"""),"")</f>
        <v/>
      </c>
      <c r="I411" s="4" t="str">
        <f>IFERROR(__xludf.DUMMYFUNCTION("""COMPUTED_VALUE"""),"")</f>
        <v/>
      </c>
      <c r="J411" s="4" t="str">
        <f>IFERROR(__xludf.DUMMYFUNCTION("""COMPUTED_VALUE"""),"")</f>
        <v/>
      </c>
      <c r="K411" s="4" t="str">
        <f>IFERROR(__xludf.DUMMYFUNCTION("""COMPUTED_VALUE"""),"")</f>
        <v/>
      </c>
      <c r="L411" s="4" t="str">
        <f>IFERROR(__xludf.DUMMYFUNCTION("""COMPUTED_VALUE"""),"")</f>
        <v/>
      </c>
      <c r="M411" s="4" t="str">
        <f>IFERROR(__xludf.DUMMYFUNCTION("""COMPUTED_VALUE"""),"")</f>
        <v/>
      </c>
      <c r="N411" s="4" t="str">
        <f>IFERROR(__xludf.DUMMYFUNCTION("""COMPUTED_VALUE"""),"")</f>
        <v/>
      </c>
      <c r="O411" s="4" t="str">
        <f>IFERROR(__xludf.DUMMYFUNCTION("""COMPUTED_VALUE"""),"")</f>
        <v/>
      </c>
      <c r="P411" s="4" t="str">
        <f>IFERROR(__xludf.DUMMYFUNCTION("""COMPUTED_VALUE"""),"")</f>
        <v/>
      </c>
      <c r="Q411" s="4" t="str">
        <f>IFERROR(__xludf.DUMMYFUNCTION("""COMPUTED_VALUE"""),"")</f>
        <v/>
      </c>
      <c r="R411" s="4" t="str">
        <f>IFERROR(__xludf.DUMMYFUNCTION("""COMPUTED_VALUE"""),"")</f>
        <v/>
      </c>
    </row>
    <row r="412">
      <c r="A412" s="4" t="str">
        <f>IFERROR(__xludf.DUMMYFUNCTION("""COMPUTED_VALUE"""),"442 - Channel 5")</f>
        <v>442 - Channel 5</v>
      </c>
      <c r="B412" s="4" t="str">
        <f>IFERROR(__xludf.DUMMYFUNCTION("""COMPUTED_VALUE"""),"")</f>
        <v/>
      </c>
      <c r="C412" s="4" t="str">
        <f>IFERROR(__xludf.DUMMYFUNCTION("""COMPUTED_VALUE"""),"")</f>
        <v/>
      </c>
      <c r="D412" s="4" t="str">
        <f>IFERROR(__xludf.DUMMYFUNCTION("""COMPUTED_VALUE"""),"")</f>
        <v/>
      </c>
      <c r="E412" s="4" t="str">
        <f>IFERROR(__xludf.DUMMYFUNCTION("""COMPUTED_VALUE"""),"")</f>
        <v/>
      </c>
      <c r="F412" s="4" t="str">
        <f>IFERROR(__xludf.DUMMYFUNCTION("""COMPUTED_VALUE"""),"")</f>
        <v/>
      </c>
      <c r="G412" s="4" t="str">
        <f>IFERROR(__xludf.DUMMYFUNCTION("""COMPUTED_VALUE"""),"")</f>
        <v/>
      </c>
      <c r="H412" s="4" t="str">
        <f>IFERROR(__xludf.DUMMYFUNCTION("""COMPUTED_VALUE"""),"")</f>
        <v/>
      </c>
      <c r="I412" s="4" t="str">
        <f>IFERROR(__xludf.DUMMYFUNCTION("""COMPUTED_VALUE"""),"")</f>
        <v/>
      </c>
      <c r="J412" s="4" t="str">
        <f>IFERROR(__xludf.DUMMYFUNCTION("""COMPUTED_VALUE"""),"")</f>
        <v/>
      </c>
      <c r="K412" s="4" t="str">
        <f>IFERROR(__xludf.DUMMYFUNCTION("""COMPUTED_VALUE"""),"")</f>
        <v/>
      </c>
      <c r="L412" s="4" t="str">
        <f>IFERROR(__xludf.DUMMYFUNCTION("""COMPUTED_VALUE"""),"")</f>
        <v/>
      </c>
      <c r="M412" s="4" t="str">
        <f>IFERROR(__xludf.DUMMYFUNCTION("""COMPUTED_VALUE"""),"")</f>
        <v/>
      </c>
      <c r="N412" s="4" t="str">
        <f>IFERROR(__xludf.DUMMYFUNCTION("""COMPUTED_VALUE"""),"")</f>
        <v/>
      </c>
      <c r="O412" s="4" t="str">
        <f>IFERROR(__xludf.DUMMYFUNCTION("""COMPUTED_VALUE"""),"")</f>
        <v/>
      </c>
      <c r="P412" s="4" t="str">
        <f>IFERROR(__xludf.DUMMYFUNCTION("""COMPUTED_VALUE"""),"")</f>
        <v/>
      </c>
      <c r="Q412" s="4" t="str">
        <f>IFERROR(__xludf.DUMMYFUNCTION("""COMPUTED_VALUE"""),"")</f>
        <v/>
      </c>
      <c r="R412" s="4" t="str">
        <f>IFERROR(__xludf.DUMMYFUNCTION("""COMPUTED_VALUE"""),"")</f>
        <v/>
      </c>
    </row>
    <row r="413">
      <c r="A413" s="4" t="str">
        <f>IFERROR(__xludf.DUMMYFUNCTION("""COMPUTED_VALUE"""),"443 - Channel 5")</f>
        <v>443 - Channel 5</v>
      </c>
      <c r="B413" s="4" t="str">
        <f>IFERROR(__xludf.DUMMYFUNCTION("""COMPUTED_VALUE"""),"")</f>
        <v/>
      </c>
      <c r="C413" s="4" t="str">
        <f>IFERROR(__xludf.DUMMYFUNCTION("""COMPUTED_VALUE"""),"")</f>
        <v/>
      </c>
      <c r="D413" s="4" t="str">
        <f>IFERROR(__xludf.DUMMYFUNCTION("""COMPUTED_VALUE"""),"")</f>
        <v/>
      </c>
      <c r="E413" s="4" t="str">
        <f>IFERROR(__xludf.DUMMYFUNCTION("""COMPUTED_VALUE"""),"")</f>
        <v/>
      </c>
      <c r="F413" s="4" t="str">
        <f>IFERROR(__xludf.DUMMYFUNCTION("""COMPUTED_VALUE"""),"")</f>
        <v/>
      </c>
      <c r="G413" s="4" t="str">
        <f>IFERROR(__xludf.DUMMYFUNCTION("""COMPUTED_VALUE"""),"")</f>
        <v/>
      </c>
      <c r="H413" s="4" t="str">
        <f>IFERROR(__xludf.DUMMYFUNCTION("""COMPUTED_VALUE"""),"")</f>
        <v/>
      </c>
      <c r="I413" s="4" t="str">
        <f>IFERROR(__xludf.DUMMYFUNCTION("""COMPUTED_VALUE"""),"")</f>
        <v/>
      </c>
      <c r="J413" s="4" t="str">
        <f>IFERROR(__xludf.DUMMYFUNCTION("""COMPUTED_VALUE"""),"")</f>
        <v/>
      </c>
      <c r="K413" s="4" t="str">
        <f>IFERROR(__xludf.DUMMYFUNCTION("""COMPUTED_VALUE"""),"")</f>
        <v/>
      </c>
      <c r="L413" s="4" t="str">
        <f>IFERROR(__xludf.DUMMYFUNCTION("""COMPUTED_VALUE"""),"")</f>
        <v/>
      </c>
      <c r="M413" s="4" t="str">
        <f>IFERROR(__xludf.DUMMYFUNCTION("""COMPUTED_VALUE"""),"")</f>
        <v/>
      </c>
      <c r="N413" s="4" t="str">
        <f>IFERROR(__xludf.DUMMYFUNCTION("""COMPUTED_VALUE"""),"")</f>
        <v/>
      </c>
      <c r="O413" s="4" t="str">
        <f>IFERROR(__xludf.DUMMYFUNCTION("""COMPUTED_VALUE"""),"")</f>
        <v/>
      </c>
      <c r="P413" s="4" t="str">
        <f>IFERROR(__xludf.DUMMYFUNCTION("""COMPUTED_VALUE"""),"")</f>
        <v/>
      </c>
      <c r="Q413" s="4" t="str">
        <f>IFERROR(__xludf.DUMMYFUNCTION("""COMPUTED_VALUE"""),"")</f>
        <v/>
      </c>
      <c r="R413" s="4" t="str">
        <f>IFERROR(__xludf.DUMMYFUNCTION("""COMPUTED_VALUE"""),"")</f>
        <v/>
      </c>
    </row>
    <row r="414">
      <c r="A414" s="4" t="str">
        <f>IFERROR(__xludf.DUMMYFUNCTION("""COMPUTED_VALUE"""),"444 - Channel 5")</f>
        <v>444 - Channel 5</v>
      </c>
      <c r="B414" s="4" t="str">
        <f>IFERROR(__xludf.DUMMYFUNCTION("""COMPUTED_VALUE"""),"")</f>
        <v/>
      </c>
      <c r="C414" s="4" t="str">
        <f>IFERROR(__xludf.DUMMYFUNCTION("""COMPUTED_VALUE"""),"")</f>
        <v/>
      </c>
      <c r="D414" s="4" t="str">
        <f>IFERROR(__xludf.DUMMYFUNCTION("""COMPUTED_VALUE"""),"")</f>
        <v/>
      </c>
      <c r="E414" s="4" t="str">
        <f>IFERROR(__xludf.DUMMYFUNCTION("""COMPUTED_VALUE"""),"")</f>
        <v/>
      </c>
      <c r="F414" s="4" t="str">
        <f>IFERROR(__xludf.DUMMYFUNCTION("""COMPUTED_VALUE"""),"")</f>
        <v/>
      </c>
      <c r="G414" s="4" t="str">
        <f>IFERROR(__xludf.DUMMYFUNCTION("""COMPUTED_VALUE"""),"")</f>
        <v/>
      </c>
      <c r="H414" s="4" t="str">
        <f>IFERROR(__xludf.DUMMYFUNCTION("""COMPUTED_VALUE"""),"")</f>
        <v/>
      </c>
      <c r="I414" s="4" t="str">
        <f>IFERROR(__xludf.DUMMYFUNCTION("""COMPUTED_VALUE"""),"")</f>
        <v/>
      </c>
      <c r="J414" s="4" t="str">
        <f>IFERROR(__xludf.DUMMYFUNCTION("""COMPUTED_VALUE"""),"")</f>
        <v/>
      </c>
      <c r="K414" s="4" t="str">
        <f>IFERROR(__xludf.DUMMYFUNCTION("""COMPUTED_VALUE"""),"")</f>
        <v/>
      </c>
      <c r="L414" s="4" t="str">
        <f>IFERROR(__xludf.DUMMYFUNCTION("""COMPUTED_VALUE"""),"")</f>
        <v/>
      </c>
      <c r="M414" s="4" t="str">
        <f>IFERROR(__xludf.DUMMYFUNCTION("""COMPUTED_VALUE"""),"")</f>
        <v/>
      </c>
      <c r="N414" s="4" t="str">
        <f>IFERROR(__xludf.DUMMYFUNCTION("""COMPUTED_VALUE"""),"")</f>
        <v/>
      </c>
      <c r="O414" s="4" t="str">
        <f>IFERROR(__xludf.DUMMYFUNCTION("""COMPUTED_VALUE"""),"")</f>
        <v/>
      </c>
      <c r="P414" s="4" t="str">
        <f>IFERROR(__xludf.DUMMYFUNCTION("""COMPUTED_VALUE"""),"")</f>
        <v/>
      </c>
      <c r="Q414" s="4" t="str">
        <f>IFERROR(__xludf.DUMMYFUNCTION("""COMPUTED_VALUE"""),"")</f>
        <v/>
      </c>
      <c r="R414" s="4" t="str">
        <f>IFERROR(__xludf.DUMMYFUNCTION("""COMPUTED_VALUE"""),"")</f>
        <v/>
      </c>
    </row>
    <row r="415">
      <c r="A415" s="4" t="str">
        <f>IFERROR(__xludf.DUMMYFUNCTION("""COMPUTED_VALUE"""),"445 - Channel 5")</f>
        <v>445 - Channel 5</v>
      </c>
      <c r="B415" s="4" t="str">
        <f>IFERROR(__xludf.DUMMYFUNCTION("""COMPUTED_VALUE"""),"")</f>
        <v/>
      </c>
      <c r="C415" s="4" t="str">
        <f>IFERROR(__xludf.DUMMYFUNCTION("""COMPUTED_VALUE"""),"")</f>
        <v/>
      </c>
      <c r="D415" s="4" t="str">
        <f>IFERROR(__xludf.DUMMYFUNCTION("""COMPUTED_VALUE"""),"")</f>
        <v/>
      </c>
      <c r="E415" s="4" t="str">
        <f>IFERROR(__xludf.DUMMYFUNCTION("""COMPUTED_VALUE"""),"")</f>
        <v/>
      </c>
      <c r="F415" s="4" t="str">
        <f>IFERROR(__xludf.DUMMYFUNCTION("""COMPUTED_VALUE"""),"")</f>
        <v/>
      </c>
      <c r="G415" s="4" t="str">
        <f>IFERROR(__xludf.DUMMYFUNCTION("""COMPUTED_VALUE"""),"")</f>
        <v/>
      </c>
      <c r="H415" s="4" t="str">
        <f>IFERROR(__xludf.DUMMYFUNCTION("""COMPUTED_VALUE"""),"")</f>
        <v/>
      </c>
      <c r="I415" s="4" t="str">
        <f>IFERROR(__xludf.DUMMYFUNCTION("""COMPUTED_VALUE"""),"")</f>
        <v/>
      </c>
      <c r="J415" s="4" t="str">
        <f>IFERROR(__xludf.DUMMYFUNCTION("""COMPUTED_VALUE"""),"")</f>
        <v/>
      </c>
      <c r="K415" s="4" t="str">
        <f>IFERROR(__xludf.DUMMYFUNCTION("""COMPUTED_VALUE"""),"")</f>
        <v/>
      </c>
      <c r="L415" s="4" t="str">
        <f>IFERROR(__xludf.DUMMYFUNCTION("""COMPUTED_VALUE"""),"")</f>
        <v/>
      </c>
      <c r="M415" s="4" t="str">
        <f>IFERROR(__xludf.DUMMYFUNCTION("""COMPUTED_VALUE"""),"")</f>
        <v/>
      </c>
      <c r="N415" s="4" t="str">
        <f>IFERROR(__xludf.DUMMYFUNCTION("""COMPUTED_VALUE"""),"")</f>
        <v/>
      </c>
      <c r="O415" s="4" t="str">
        <f>IFERROR(__xludf.DUMMYFUNCTION("""COMPUTED_VALUE"""),"")</f>
        <v/>
      </c>
      <c r="P415" s="4" t="str">
        <f>IFERROR(__xludf.DUMMYFUNCTION("""COMPUTED_VALUE"""),"")</f>
        <v/>
      </c>
      <c r="Q415" s="4" t="str">
        <f>IFERROR(__xludf.DUMMYFUNCTION("""COMPUTED_VALUE"""),"")</f>
        <v/>
      </c>
      <c r="R415" s="4" t="str">
        <f>IFERROR(__xludf.DUMMYFUNCTION("""COMPUTED_VALUE"""),"")</f>
        <v/>
      </c>
    </row>
    <row r="416">
      <c r="A416" s="4" t="str">
        <f>IFERROR(__xludf.DUMMYFUNCTION("""COMPUTED_VALUE"""),"446 - Channel 5")</f>
        <v>446 - Channel 5</v>
      </c>
      <c r="B416" s="4" t="str">
        <f>IFERROR(__xludf.DUMMYFUNCTION("""COMPUTED_VALUE"""),"")</f>
        <v/>
      </c>
      <c r="C416" s="4" t="str">
        <f>IFERROR(__xludf.DUMMYFUNCTION("""COMPUTED_VALUE"""),"")</f>
        <v/>
      </c>
      <c r="D416" s="4" t="str">
        <f>IFERROR(__xludf.DUMMYFUNCTION("""COMPUTED_VALUE"""),"")</f>
        <v/>
      </c>
      <c r="E416" s="4" t="str">
        <f>IFERROR(__xludf.DUMMYFUNCTION("""COMPUTED_VALUE"""),"")</f>
        <v/>
      </c>
      <c r="F416" s="4" t="str">
        <f>IFERROR(__xludf.DUMMYFUNCTION("""COMPUTED_VALUE"""),"")</f>
        <v/>
      </c>
      <c r="G416" s="4" t="str">
        <f>IFERROR(__xludf.DUMMYFUNCTION("""COMPUTED_VALUE"""),"")</f>
        <v/>
      </c>
      <c r="H416" s="4" t="str">
        <f>IFERROR(__xludf.DUMMYFUNCTION("""COMPUTED_VALUE"""),"")</f>
        <v/>
      </c>
      <c r="I416" s="4" t="str">
        <f>IFERROR(__xludf.DUMMYFUNCTION("""COMPUTED_VALUE"""),"")</f>
        <v/>
      </c>
      <c r="J416" s="4" t="str">
        <f>IFERROR(__xludf.DUMMYFUNCTION("""COMPUTED_VALUE"""),"")</f>
        <v/>
      </c>
      <c r="K416" s="4" t="str">
        <f>IFERROR(__xludf.DUMMYFUNCTION("""COMPUTED_VALUE"""),"")</f>
        <v/>
      </c>
      <c r="L416" s="4" t="str">
        <f>IFERROR(__xludf.DUMMYFUNCTION("""COMPUTED_VALUE"""),"")</f>
        <v/>
      </c>
      <c r="M416" s="4" t="str">
        <f>IFERROR(__xludf.DUMMYFUNCTION("""COMPUTED_VALUE"""),"")</f>
        <v/>
      </c>
      <c r="N416" s="4" t="str">
        <f>IFERROR(__xludf.DUMMYFUNCTION("""COMPUTED_VALUE"""),"")</f>
        <v/>
      </c>
      <c r="O416" s="4" t="str">
        <f>IFERROR(__xludf.DUMMYFUNCTION("""COMPUTED_VALUE"""),"")</f>
        <v/>
      </c>
      <c r="P416" s="4" t="str">
        <f>IFERROR(__xludf.DUMMYFUNCTION("""COMPUTED_VALUE"""),"")</f>
        <v/>
      </c>
      <c r="Q416" s="4" t="str">
        <f>IFERROR(__xludf.DUMMYFUNCTION("""COMPUTED_VALUE"""),"")</f>
        <v/>
      </c>
      <c r="R416" s="4" t="str">
        <f>IFERROR(__xludf.DUMMYFUNCTION("""COMPUTED_VALUE"""),"")</f>
        <v/>
      </c>
    </row>
    <row r="417">
      <c r="A417" s="4" t="str">
        <f>IFERROR(__xludf.DUMMYFUNCTION("""COMPUTED_VALUE"""),"447 - Channel 5")</f>
        <v>447 - Channel 5</v>
      </c>
      <c r="B417" s="4" t="str">
        <f>IFERROR(__xludf.DUMMYFUNCTION("""COMPUTED_VALUE"""),"")</f>
        <v/>
      </c>
      <c r="C417" s="4" t="str">
        <f>IFERROR(__xludf.DUMMYFUNCTION("""COMPUTED_VALUE"""),"")</f>
        <v/>
      </c>
      <c r="D417" s="4" t="str">
        <f>IFERROR(__xludf.DUMMYFUNCTION("""COMPUTED_VALUE"""),"")</f>
        <v/>
      </c>
      <c r="E417" s="4" t="str">
        <f>IFERROR(__xludf.DUMMYFUNCTION("""COMPUTED_VALUE"""),"")</f>
        <v/>
      </c>
      <c r="F417" s="4" t="str">
        <f>IFERROR(__xludf.DUMMYFUNCTION("""COMPUTED_VALUE"""),"")</f>
        <v/>
      </c>
      <c r="G417" s="4" t="str">
        <f>IFERROR(__xludf.DUMMYFUNCTION("""COMPUTED_VALUE"""),"")</f>
        <v/>
      </c>
      <c r="H417" s="4" t="str">
        <f>IFERROR(__xludf.DUMMYFUNCTION("""COMPUTED_VALUE"""),"")</f>
        <v/>
      </c>
      <c r="I417" s="4" t="str">
        <f>IFERROR(__xludf.DUMMYFUNCTION("""COMPUTED_VALUE"""),"")</f>
        <v/>
      </c>
      <c r="J417" s="4" t="str">
        <f>IFERROR(__xludf.DUMMYFUNCTION("""COMPUTED_VALUE"""),"")</f>
        <v/>
      </c>
      <c r="K417" s="4" t="str">
        <f>IFERROR(__xludf.DUMMYFUNCTION("""COMPUTED_VALUE"""),"")</f>
        <v/>
      </c>
      <c r="L417" s="4" t="str">
        <f>IFERROR(__xludf.DUMMYFUNCTION("""COMPUTED_VALUE"""),"")</f>
        <v/>
      </c>
      <c r="M417" s="4" t="str">
        <f>IFERROR(__xludf.DUMMYFUNCTION("""COMPUTED_VALUE"""),"")</f>
        <v/>
      </c>
      <c r="N417" s="4" t="str">
        <f>IFERROR(__xludf.DUMMYFUNCTION("""COMPUTED_VALUE"""),"")</f>
        <v/>
      </c>
      <c r="O417" s="4" t="str">
        <f>IFERROR(__xludf.DUMMYFUNCTION("""COMPUTED_VALUE"""),"")</f>
        <v/>
      </c>
      <c r="P417" s="4" t="str">
        <f>IFERROR(__xludf.DUMMYFUNCTION("""COMPUTED_VALUE"""),"")</f>
        <v/>
      </c>
      <c r="Q417" s="4" t="str">
        <f>IFERROR(__xludf.DUMMYFUNCTION("""COMPUTED_VALUE"""),"")</f>
        <v/>
      </c>
      <c r="R417" s="4" t="str">
        <f>IFERROR(__xludf.DUMMYFUNCTION("""COMPUTED_VALUE"""),"")</f>
        <v/>
      </c>
    </row>
    <row r="418">
      <c r="A418" s="4" t="str">
        <f>IFERROR(__xludf.DUMMYFUNCTION("""COMPUTED_VALUE"""),"448 - Channel 5")</f>
        <v>448 - Channel 5</v>
      </c>
      <c r="B418" s="4" t="str">
        <f>IFERROR(__xludf.DUMMYFUNCTION("""COMPUTED_VALUE"""),"")</f>
        <v/>
      </c>
      <c r="C418" s="4" t="str">
        <f>IFERROR(__xludf.DUMMYFUNCTION("""COMPUTED_VALUE"""),"")</f>
        <v/>
      </c>
      <c r="D418" s="4" t="str">
        <f>IFERROR(__xludf.DUMMYFUNCTION("""COMPUTED_VALUE"""),"")</f>
        <v/>
      </c>
      <c r="E418" s="4" t="str">
        <f>IFERROR(__xludf.DUMMYFUNCTION("""COMPUTED_VALUE"""),"")</f>
        <v/>
      </c>
      <c r="F418" s="4" t="str">
        <f>IFERROR(__xludf.DUMMYFUNCTION("""COMPUTED_VALUE"""),"")</f>
        <v/>
      </c>
      <c r="G418" s="4" t="str">
        <f>IFERROR(__xludf.DUMMYFUNCTION("""COMPUTED_VALUE"""),"")</f>
        <v/>
      </c>
      <c r="H418" s="4" t="str">
        <f>IFERROR(__xludf.DUMMYFUNCTION("""COMPUTED_VALUE"""),"")</f>
        <v/>
      </c>
      <c r="I418" s="4" t="str">
        <f>IFERROR(__xludf.DUMMYFUNCTION("""COMPUTED_VALUE"""),"")</f>
        <v/>
      </c>
      <c r="J418" s="4" t="str">
        <f>IFERROR(__xludf.DUMMYFUNCTION("""COMPUTED_VALUE"""),"")</f>
        <v/>
      </c>
      <c r="K418" s="4" t="str">
        <f>IFERROR(__xludf.DUMMYFUNCTION("""COMPUTED_VALUE"""),"")</f>
        <v/>
      </c>
      <c r="L418" s="4" t="str">
        <f>IFERROR(__xludf.DUMMYFUNCTION("""COMPUTED_VALUE"""),"")</f>
        <v/>
      </c>
      <c r="M418" s="4" t="str">
        <f>IFERROR(__xludf.DUMMYFUNCTION("""COMPUTED_VALUE"""),"")</f>
        <v/>
      </c>
      <c r="N418" s="4" t="str">
        <f>IFERROR(__xludf.DUMMYFUNCTION("""COMPUTED_VALUE"""),"")</f>
        <v/>
      </c>
      <c r="O418" s="4" t="str">
        <f>IFERROR(__xludf.DUMMYFUNCTION("""COMPUTED_VALUE"""),"")</f>
        <v/>
      </c>
      <c r="P418" s="4" t="str">
        <f>IFERROR(__xludf.DUMMYFUNCTION("""COMPUTED_VALUE"""),"")</f>
        <v/>
      </c>
      <c r="Q418" s="4" t="str">
        <f>IFERROR(__xludf.DUMMYFUNCTION("""COMPUTED_VALUE"""),"")</f>
        <v/>
      </c>
      <c r="R418" s="4" t="str">
        <f>IFERROR(__xludf.DUMMYFUNCTION("""COMPUTED_VALUE"""),"")</f>
        <v/>
      </c>
    </row>
    <row r="419">
      <c r="A419" s="4" t="str">
        <f>IFERROR(__xludf.DUMMYFUNCTION("""COMPUTED_VALUE"""),"449 - Channel 5")</f>
        <v>449 - Channel 5</v>
      </c>
      <c r="B419" s="4" t="str">
        <f>IFERROR(__xludf.DUMMYFUNCTION("""COMPUTED_VALUE"""),"")</f>
        <v/>
      </c>
      <c r="C419" s="4" t="str">
        <f>IFERROR(__xludf.DUMMYFUNCTION("""COMPUTED_VALUE"""),"")</f>
        <v/>
      </c>
      <c r="D419" s="4" t="str">
        <f>IFERROR(__xludf.DUMMYFUNCTION("""COMPUTED_VALUE"""),"")</f>
        <v/>
      </c>
      <c r="E419" s="4" t="str">
        <f>IFERROR(__xludf.DUMMYFUNCTION("""COMPUTED_VALUE"""),"")</f>
        <v/>
      </c>
      <c r="F419" s="4" t="str">
        <f>IFERROR(__xludf.DUMMYFUNCTION("""COMPUTED_VALUE"""),"")</f>
        <v/>
      </c>
      <c r="G419" s="4" t="str">
        <f>IFERROR(__xludf.DUMMYFUNCTION("""COMPUTED_VALUE"""),"")</f>
        <v/>
      </c>
      <c r="H419" s="4" t="str">
        <f>IFERROR(__xludf.DUMMYFUNCTION("""COMPUTED_VALUE"""),"")</f>
        <v/>
      </c>
      <c r="I419" s="4" t="str">
        <f>IFERROR(__xludf.DUMMYFUNCTION("""COMPUTED_VALUE"""),"")</f>
        <v/>
      </c>
      <c r="J419" s="4" t="str">
        <f>IFERROR(__xludf.DUMMYFUNCTION("""COMPUTED_VALUE"""),"")</f>
        <v/>
      </c>
      <c r="K419" s="4" t="str">
        <f>IFERROR(__xludf.DUMMYFUNCTION("""COMPUTED_VALUE"""),"")</f>
        <v/>
      </c>
      <c r="L419" s="4" t="str">
        <f>IFERROR(__xludf.DUMMYFUNCTION("""COMPUTED_VALUE"""),"")</f>
        <v/>
      </c>
      <c r="M419" s="4" t="str">
        <f>IFERROR(__xludf.DUMMYFUNCTION("""COMPUTED_VALUE"""),"")</f>
        <v/>
      </c>
      <c r="N419" s="4" t="str">
        <f>IFERROR(__xludf.DUMMYFUNCTION("""COMPUTED_VALUE"""),"")</f>
        <v/>
      </c>
      <c r="O419" s="4" t="str">
        <f>IFERROR(__xludf.DUMMYFUNCTION("""COMPUTED_VALUE"""),"")</f>
        <v/>
      </c>
      <c r="P419" s="4" t="str">
        <f>IFERROR(__xludf.DUMMYFUNCTION("""COMPUTED_VALUE"""),"")</f>
        <v/>
      </c>
      <c r="Q419" s="4" t="str">
        <f>IFERROR(__xludf.DUMMYFUNCTION("""COMPUTED_VALUE"""),"")</f>
        <v/>
      </c>
      <c r="R419" s="4" t="str">
        <f>IFERROR(__xludf.DUMMYFUNCTION("""COMPUTED_VALUE"""),"")</f>
        <v/>
      </c>
    </row>
    <row r="420">
      <c r="A420" s="4" t="str">
        <f>IFERROR(__xludf.DUMMYFUNCTION("""COMPUTED_VALUE"""),"450 - Channel 5")</f>
        <v>450 - Channel 5</v>
      </c>
      <c r="B420" s="4" t="str">
        <f>IFERROR(__xludf.DUMMYFUNCTION("""COMPUTED_VALUE"""),"")</f>
        <v/>
      </c>
      <c r="C420" s="4" t="str">
        <f>IFERROR(__xludf.DUMMYFUNCTION("""COMPUTED_VALUE"""),"")</f>
        <v/>
      </c>
      <c r="D420" s="4" t="str">
        <f>IFERROR(__xludf.DUMMYFUNCTION("""COMPUTED_VALUE"""),"")</f>
        <v/>
      </c>
      <c r="E420" s="4" t="str">
        <f>IFERROR(__xludf.DUMMYFUNCTION("""COMPUTED_VALUE"""),"")</f>
        <v/>
      </c>
      <c r="F420" s="4" t="str">
        <f>IFERROR(__xludf.DUMMYFUNCTION("""COMPUTED_VALUE"""),"")</f>
        <v/>
      </c>
      <c r="G420" s="4" t="str">
        <f>IFERROR(__xludf.DUMMYFUNCTION("""COMPUTED_VALUE"""),"")</f>
        <v/>
      </c>
      <c r="H420" s="4" t="str">
        <f>IFERROR(__xludf.DUMMYFUNCTION("""COMPUTED_VALUE"""),"")</f>
        <v/>
      </c>
      <c r="I420" s="4" t="str">
        <f>IFERROR(__xludf.DUMMYFUNCTION("""COMPUTED_VALUE"""),"")</f>
        <v/>
      </c>
      <c r="J420" s="4" t="str">
        <f>IFERROR(__xludf.DUMMYFUNCTION("""COMPUTED_VALUE"""),"")</f>
        <v/>
      </c>
      <c r="K420" s="4" t="str">
        <f>IFERROR(__xludf.DUMMYFUNCTION("""COMPUTED_VALUE"""),"")</f>
        <v/>
      </c>
      <c r="L420" s="4" t="str">
        <f>IFERROR(__xludf.DUMMYFUNCTION("""COMPUTED_VALUE"""),"")</f>
        <v/>
      </c>
      <c r="M420" s="4" t="str">
        <f>IFERROR(__xludf.DUMMYFUNCTION("""COMPUTED_VALUE"""),"")</f>
        <v/>
      </c>
      <c r="N420" s="4" t="str">
        <f>IFERROR(__xludf.DUMMYFUNCTION("""COMPUTED_VALUE"""),"")</f>
        <v/>
      </c>
      <c r="O420" s="4" t="str">
        <f>IFERROR(__xludf.DUMMYFUNCTION("""COMPUTED_VALUE"""),"")</f>
        <v/>
      </c>
      <c r="P420" s="4" t="str">
        <f>IFERROR(__xludf.DUMMYFUNCTION("""COMPUTED_VALUE"""),"")</f>
        <v/>
      </c>
      <c r="Q420" s="4" t="str">
        <f>IFERROR(__xludf.DUMMYFUNCTION("""COMPUTED_VALUE"""),"")</f>
        <v/>
      </c>
      <c r="R420" s="4" t="str">
        <f>IFERROR(__xludf.DUMMYFUNCTION("""COMPUTED_VALUE"""),"")</f>
        <v/>
      </c>
    </row>
  </sheetData>
  <hyperlinks>
    <hyperlink r:id="rId1" ref="H5"/>
    <hyperlink r:id="rId2" ref="H8"/>
    <hyperlink r:id="rId3" ref="H15"/>
    <hyperlink r:id="rId4" ref="H19"/>
    <hyperlink r:id="rId5" ref="H27"/>
    <hyperlink r:id="rId6" ref="H31"/>
    <hyperlink r:id="rId7" ref="H40"/>
    <hyperlink r:id="rId8" ref="H43"/>
    <hyperlink r:id="rId9" ref="H51"/>
    <hyperlink r:id="rId10" ref="H56"/>
    <hyperlink r:id="rId11" ref="H64"/>
    <hyperlink r:id="rId12" ref="H67"/>
    <hyperlink r:id="rId13" ref="H75"/>
    <hyperlink r:id="rId14" ref="H79"/>
    <hyperlink r:id="rId15" ref="H83"/>
    <hyperlink r:id="rId16" ref="H93"/>
    <hyperlink r:id="rId17" ref="H97"/>
    <hyperlink r:id="rId18" ref="H104"/>
    <hyperlink r:id="rId19" ref="H107"/>
    <hyperlink r:id="rId20" ref="H115"/>
    <hyperlink r:id="rId21" ref="H120"/>
    <hyperlink r:id="rId22" ref="H127"/>
    <hyperlink r:id="rId23" ref="H131"/>
    <hyperlink r:id="rId24" ref="H140"/>
    <hyperlink r:id="rId25" ref="H144"/>
    <hyperlink r:id="rId26" ref="H152"/>
    <hyperlink r:id="rId27" ref="H156"/>
    <hyperlink r:id="rId28" ref="H163"/>
    <hyperlink r:id="rId29" ref="H167"/>
    <hyperlink r:id="rId30" ref="H172"/>
    <hyperlink r:id="rId31" ref="H179"/>
    <hyperlink r:id="rId32" ref="H184"/>
    <hyperlink r:id="rId33" ref="H188"/>
    <hyperlink r:id="rId34" ref="H196"/>
    <hyperlink r:id="rId35" ref="H199"/>
    <hyperlink r:id="rId36" ref="H208"/>
    <hyperlink r:id="rId37" ref="H211"/>
    <hyperlink r:id="rId38" ref="H217"/>
    <hyperlink r:id="rId39" ref="H221"/>
    <hyperlink r:id="rId40" ref="H230"/>
    <hyperlink r:id="rId41" ref="H233"/>
    <hyperlink r:id="rId42" ref="H242"/>
    <hyperlink r:id="rId43" ref="H245"/>
    <hyperlink r:id="rId44" ref="H252"/>
    <hyperlink r:id="rId45" ref="H255"/>
    <hyperlink r:id="rId46" ref="H260"/>
  </hyperlinks>
  <drawing r:id="rId4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75"/>
  <cols>
    <col customWidth="1" min="1" max="1" width="18.71"/>
    <col customWidth="1" min="3" max="3" width="25.0"/>
    <col customWidth="1" min="4" max="4" width="23.0"/>
    <col customWidth="1" min="5" max="5" width="21.43"/>
    <col customWidth="1" min="6" max="6" width="22.57"/>
    <col customWidth="1" min="7" max="8" width="20.71"/>
    <col customWidth="1" min="10" max="10" width="17.86"/>
    <col customWidth="1" min="11" max="11" width="20.43"/>
    <col customWidth="1" min="12" max="12" width="26.0"/>
    <col customWidth="1" min="13" max="13" width="18.71"/>
    <col customWidth="1" min="14" max="14" width="22.57"/>
  </cols>
  <sheetData>
    <row r="1" ht="34.5" customHeight="1">
      <c r="A1" s="1" t="s">
        <v>0</v>
      </c>
      <c r="K1" s="2"/>
      <c r="L1" s="1" t="s">
        <v>1</v>
      </c>
      <c r="N1" s="5">
        <v>43973.0</v>
      </c>
    </row>
    <row r="2" ht="25.5" customHeight="1">
      <c r="A2" s="7"/>
      <c r="B2" s="9" t="s">
        <v>2</v>
      </c>
      <c r="C2" s="9" t="s">
        <v>3</v>
      </c>
      <c r="D2" s="9" t="s">
        <v>4</v>
      </c>
      <c r="E2" s="9" t="s">
        <v>5</v>
      </c>
      <c r="F2" s="9" t="s">
        <v>6</v>
      </c>
      <c r="G2" s="9" t="s">
        <v>7</v>
      </c>
      <c r="H2" s="9" t="s">
        <v>8</v>
      </c>
      <c r="I2" s="9" t="s">
        <v>9</v>
      </c>
      <c r="J2" s="9" t="s">
        <v>10</v>
      </c>
      <c r="K2" s="2"/>
      <c r="L2" s="9" t="s">
        <v>11</v>
      </c>
      <c r="M2" s="9" t="s">
        <v>12</v>
      </c>
      <c r="N2" s="9" t="s">
        <v>13</v>
      </c>
    </row>
    <row r="3">
      <c r="A3" s="11" t="s">
        <v>14</v>
      </c>
      <c r="B3" s="12">
        <f>COUNTIFS('Channel 1-4'!$I$2:$I993, "&lt;&gt;", 'Channel 1-4'!$B$2:$B993, "Channel 1")</f>
        <v>342</v>
      </c>
      <c r="C3" s="12">
        <f>COUNTIFS('Channel 1-4'!$R$2:$R993, TRUE, 'Channel 1-4'!$I$2:$I993, "&lt;&gt;", 'Channel 1-4'!$B$2:$B993, "Channel 1")</f>
        <v>79</v>
      </c>
      <c r="D3" s="12">
        <f>COUNTIFS('Channel 1-4'!$V$2:$V993, TRUE, 'Channel 1-4'!$I$2:$I993, "&lt;&gt;", 'Channel 1-4'!$B$2:$B993, "Channel 1")</f>
        <v>73</v>
      </c>
      <c r="E3" s="14">
        <f t="shared" ref="E3:E11" si="1">D3/B3</f>
        <v>0.2134502924</v>
      </c>
      <c r="F3" s="14">
        <f t="shared" ref="F3:F11" si="2">D3/C3</f>
        <v>0.9240506329</v>
      </c>
      <c r="G3" s="15">
        <f>COUNTIFS('Channel 1-4'!$W$2:$W993, TRUE, 'Channel 1-4'!$I$2:$I993, "&lt;&gt;", 'Channel 1-4'!$B$2:$B993, "Channel 1")</f>
        <v>64</v>
      </c>
      <c r="H3" s="14">
        <f t="shared" ref="H3:H11" si="3">G3/D3</f>
        <v>0.8767123288</v>
      </c>
      <c r="I3" s="15">
        <f>COUNTIFS('Channel 1-4'!$X$2:$X993, TRUE, 'Channel 1-4'!$I$2:$I993, "&lt;&gt;", 'Channel 1-4'!$B$2:$B993, "Channel 1")</f>
        <v>41</v>
      </c>
      <c r="J3" s="14">
        <f t="shared" ref="J3:J11" si="4">I3/B3</f>
        <v>0.1198830409</v>
      </c>
      <c r="K3" s="16"/>
      <c r="L3" s="17" t="s">
        <v>15</v>
      </c>
      <c r="M3" s="18"/>
      <c r="N3" s="18"/>
    </row>
    <row r="4">
      <c r="A4" s="19" t="s">
        <v>16</v>
      </c>
      <c r="B4" s="20">
        <f>COUNTIFS('Channel 1-4'!$I$2:$I993, "&lt;&gt;", 'Channel 1-4'!$B$2:$B993, "Channel 2")</f>
        <v>299</v>
      </c>
      <c r="C4" s="20">
        <f>COUNTIFS('Channel 1-4'!$R$2:$R993, TRUE, 'Channel 1-4'!$I$2:$I993, "&lt;&gt;", 'Channel 1-4'!$B$2:$B993, "Channel 2")</f>
        <v>82</v>
      </c>
      <c r="D4" s="20">
        <f>COUNTIFS('Channel 1-4'!$V$2:$V993, TRUE, 'Channel 1-4'!$I$2:$I993, "&lt;&gt;", 'Channel 1-4'!$B$2:$B993, "Channel 2")</f>
        <v>76</v>
      </c>
      <c r="E4" s="22">
        <f t="shared" si="1"/>
        <v>0.254180602</v>
      </c>
      <c r="F4" s="22">
        <f t="shared" si="2"/>
        <v>0.9268292683</v>
      </c>
      <c r="G4" s="25">
        <f>COUNTIFS('Channel 1-4'!$W$2:$W993, TRUE, 'Channel 1-4'!$I$2:$I993, "&lt;&gt;", 'Channel 1-4'!$B$2:$B993, "Channel 2")</f>
        <v>72</v>
      </c>
      <c r="H4" s="22">
        <f t="shared" si="3"/>
        <v>0.9473684211</v>
      </c>
      <c r="I4" s="25">
        <f>COUNTIFS('Channel 1-4'!$X$2:$X993, TRUE, 'Channel 1-4'!$I$2:$I993, "&lt;&gt;", 'Channel 1-4'!$B$2:$B993, "Channel 2")</f>
        <v>32</v>
      </c>
      <c r="J4" s="22">
        <f t="shared" si="4"/>
        <v>0.1070234114</v>
      </c>
      <c r="K4" s="16"/>
      <c r="L4" s="17" t="s">
        <v>17</v>
      </c>
      <c r="M4" s="18" t="s">
        <v>18</v>
      </c>
      <c r="N4" s="18"/>
    </row>
    <row r="5">
      <c r="A5" s="26" t="s">
        <v>19</v>
      </c>
      <c r="B5" s="27">
        <f>COUNTIFS('Channel 1-4'!$I$2:$I993, "&lt;&gt;", 'Channel 1-4'!$B$2:$B993, "Channel 3")</f>
        <v>249</v>
      </c>
      <c r="C5" s="27">
        <f>COUNTIFS('Channel 1-4'!$R$2:$R993, TRUE, 'Channel 1-4'!$I$2:$I993, "&lt;&gt;", 'Channel 1-4'!$B$2:$B993, "Channel 3")</f>
        <v>86</v>
      </c>
      <c r="D5" s="27">
        <f>COUNTIFS('Channel 1-4'!$V$2:$V993, TRUE, 'Channel 1-4'!$I$2:$I993, "&lt;&gt;", 'Channel 1-4'!$B$2:$B993, "Channel 3")</f>
        <v>83</v>
      </c>
      <c r="E5" s="28">
        <f t="shared" si="1"/>
        <v>0.3333333333</v>
      </c>
      <c r="F5" s="28">
        <f t="shared" si="2"/>
        <v>0.9651162791</v>
      </c>
      <c r="G5" s="29">
        <f>COUNTIFS('Channel 1-4'!$W$2:$W993, TRUE, 'Channel 1-4'!$I$2:$I993, "&lt;&gt;", 'Channel 1-4'!$B$2:$B993, "Channel 3")</f>
        <v>79</v>
      </c>
      <c r="H5" s="28">
        <f t="shared" si="3"/>
        <v>0.9518072289</v>
      </c>
      <c r="I5" s="29">
        <f>COUNTIFS('Channel 1-4'!$X$2:$X993, TRUE, 'Channel 1-4'!$I$2:$I993, "&lt;&gt;", 'Channel 1-4'!$B$2:$B993, "Channel 3")</f>
        <v>6</v>
      </c>
      <c r="J5" s="28">
        <f t="shared" si="4"/>
        <v>0.02409638554</v>
      </c>
      <c r="K5" s="16"/>
      <c r="L5" s="17" t="s">
        <v>20</v>
      </c>
      <c r="M5" s="18" t="s">
        <v>21</v>
      </c>
      <c r="N5" s="18"/>
    </row>
    <row r="6">
      <c r="A6" s="30" t="s">
        <v>22</v>
      </c>
      <c r="B6" s="31">
        <f>COUNTIFS('Channel 1-4'!$I$2:$I993, "&lt;&gt;", 'Channel 1-4'!$B$2:$B993, "Channel 4")</f>
        <v>105</v>
      </c>
      <c r="C6" s="31">
        <f>COUNTIFS('Channel 1-4'!$R$2:$R993, TRUE, 'Channel 1-4'!$I$2:$I993, "&lt;&gt;", 'Channel 1-4'!$B$2:$B993, "Channel 4")</f>
        <v>15</v>
      </c>
      <c r="D6" s="31">
        <f>COUNTIFS('Channel 1-4'!$V$2:$V993, TRUE, 'Channel 1-4'!$I$2:$I993, "&lt;&gt;", 'Channel 1-4'!$B$2:$B993, "Channel 4")</f>
        <v>15</v>
      </c>
      <c r="E6" s="32">
        <f t="shared" si="1"/>
        <v>0.1428571429</v>
      </c>
      <c r="F6" s="32">
        <f t="shared" si="2"/>
        <v>1</v>
      </c>
      <c r="G6" s="33">
        <f>COUNTIFS('Channel 1-4'!$W$2:$W993, TRUE, 'Channel 1-4'!$I$2:$I993, "&lt;&gt;", 'Channel 1-4'!$B$2:$B993, "Channel 4")</f>
        <v>11</v>
      </c>
      <c r="H6" s="32">
        <f t="shared" si="3"/>
        <v>0.7333333333</v>
      </c>
      <c r="I6" s="33">
        <f>COUNTIFS('Channel 1-4'!$X$2:$X993, TRUE, 'Channel 1-4'!$I$2:$I993, "&lt;&gt;", 'Channel 1-4'!$B$2:$B993, "Channel 4")</f>
        <v>0</v>
      </c>
      <c r="J6" s="32">
        <f t="shared" si="4"/>
        <v>0</v>
      </c>
      <c r="K6" s="16"/>
      <c r="L6" s="17" t="s">
        <v>23</v>
      </c>
      <c r="M6" s="18" t="s">
        <v>21</v>
      </c>
      <c r="N6" s="18"/>
    </row>
    <row r="7">
      <c r="A7" s="34" t="s">
        <v>24</v>
      </c>
      <c r="B7" s="27">
        <f>COUNTIFS('Channel 1-4'!$I$2:$I993, "&lt;&gt;", 'Channel 1-4'!$B$2:$B993, "Surplus ch.")</f>
        <v>89</v>
      </c>
      <c r="C7" s="27">
        <f>COUNTIFS('Channel 1-4'!$R$2:$R993, TRUE, 'Channel 1-4'!$I$2:$I993, "&lt;&gt;", 'Channel 1-4'!$B$2:$B993, "Surplus ch.")</f>
        <v>40</v>
      </c>
      <c r="D7" s="27">
        <f>COUNTIFS('Channel 1-4'!$V$2:$V993, TRUE, 'Channel 1-4'!$I$2:$I993, "&lt;&gt;", 'Channel 1-4'!$B$2:$B993, "Surplus ch.")</f>
        <v>35</v>
      </c>
      <c r="E7" s="28">
        <f t="shared" si="1"/>
        <v>0.393258427</v>
      </c>
      <c r="F7" s="28">
        <f t="shared" si="2"/>
        <v>0.875</v>
      </c>
      <c r="G7" s="29">
        <f>COUNTIFS('Channel 1-4'!$W$2:$W993, TRUE, 'Channel 1-4'!$I$2:$I993, "&lt;&gt;", 'Channel 1-4'!$B$2:$B993, "Surplus ch.")</f>
        <v>32</v>
      </c>
      <c r="H7" s="28">
        <f t="shared" si="3"/>
        <v>0.9142857143</v>
      </c>
      <c r="I7" s="29">
        <f>COUNTIFS('Channel 1-4'!$X$2:$X993, TRUE, 'Channel 1-4'!$I$2:$I993, "&lt;&gt;", 'Channel 1-4'!$B$2:$B993, "Surplus ch.")</f>
        <v>17</v>
      </c>
      <c r="J7" s="28">
        <f t="shared" si="4"/>
        <v>0.191011236</v>
      </c>
      <c r="K7" s="16"/>
      <c r="L7" s="17" t="s">
        <v>25</v>
      </c>
      <c r="M7" s="18" t="s">
        <v>26</v>
      </c>
      <c r="N7" s="18"/>
    </row>
    <row r="8">
      <c r="A8" s="35" t="s">
        <v>27</v>
      </c>
      <c r="B8" s="36">
        <f>COUNTIFS('Channel 5'!$H$2:$H993,"&lt;&gt;*null*", 'Channel 5'!$H$2:$H993, "&lt;&gt;")</f>
        <v>258</v>
      </c>
      <c r="C8" s="36">
        <f>COUNTIFS('Channel 5'!$R$3:$R993, TRUE, 'Channel 5'!$H$3:$H993, "&lt;&gt;")</f>
        <v>68</v>
      </c>
      <c r="D8" s="36">
        <f>COUNTIFS('Channel 5'!$V$3:$V993, TRUE, 'Channel 5'!$H$3:$H993, "&lt;&gt;")</f>
        <v>63</v>
      </c>
      <c r="E8" s="37">
        <f t="shared" si="1"/>
        <v>0.2441860465</v>
      </c>
      <c r="F8" s="37">
        <f t="shared" si="2"/>
        <v>0.9264705882</v>
      </c>
      <c r="G8" s="38">
        <f>COUNTIFS('Channel 5'!$W$3:$W993, TRUE, 'Channel 5'!$H$3:$H993, "&lt;&gt;")</f>
        <v>62</v>
      </c>
      <c r="H8" s="37">
        <f t="shared" si="3"/>
        <v>0.9841269841</v>
      </c>
      <c r="I8" s="38">
        <f>COUNTIFS('Channel 5'!$X$3:$X993, TRUE, 'Channel 5'!$H$3:$H993, "&lt;&gt;")</f>
        <v>0</v>
      </c>
      <c r="J8" s="37">
        <f t="shared" si="4"/>
        <v>0</v>
      </c>
      <c r="K8" s="16"/>
      <c r="L8" s="17" t="s">
        <v>28</v>
      </c>
      <c r="M8" s="18" t="s">
        <v>21</v>
      </c>
      <c r="N8" s="18"/>
    </row>
    <row r="9">
      <c r="A9" s="35" t="s">
        <v>29</v>
      </c>
      <c r="B9" s="36">
        <f>COUNTIFS('Channel 5_surplus'!$A$2:$A993,"&lt;&gt;*null*", 'Channel 5_surplus'!$A$2:$A993, "&lt;&gt;")</f>
        <v>50</v>
      </c>
      <c r="C9" s="36">
        <f>COUNTIFS('Channel 5_surplus'!$F$2:$F993, TRUE, 'Channel 5_surplus'!$A2:$A993, "&lt;&gt;")</f>
        <v>50</v>
      </c>
      <c r="D9" s="36">
        <f>COUNTIFS('Channel 5_surplus'!$I$2:$I993, TRUE, 'Channel 5_surplus'!$A2:$A993, "&lt;&gt;")</f>
        <v>49</v>
      </c>
      <c r="E9" s="37">
        <f t="shared" si="1"/>
        <v>0.98</v>
      </c>
      <c r="F9" s="37">
        <f t="shared" si="2"/>
        <v>0.98</v>
      </c>
      <c r="G9" s="36">
        <f>COUNTIFS('Channel 5_surplus'!$J$2:$J993, TRUE, 'Channel 5_surplus'!$A2:$A993, "&lt;&gt;")</f>
        <v>0</v>
      </c>
      <c r="H9" s="37">
        <f t="shared" si="3"/>
        <v>0</v>
      </c>
      <c r="I9" s="36">
        <f>COUNTIFS('Channel 5_surplus'!$K$2:$K993, TRUE, 'Channel 5_surplus'!$A2:$A993, "&lt;&gt;")</f>
        <v>0</v>
      </c>
      <c r="J9" s="37">
        <f t="shared" si="4"/>
        <v>0</v>
      </c>
      <c r="K9" s="16"/>
      <c r="L9" s="17" t="s">
        <v>30</v>
      </c>
      <c r="M9" s="18" t="s">
        <v>21</v>
      </c>
      <c r="N9" s="18"/>
    </row>
    <row r="10" ht="16.5" customHeight="1">
      <c r="A10" s="39" t="s">
        <v>31</v>
      </c>
      <c r="B10" s="40">
        <f t="shared" ref="B10:D10" si="5">SUM(B3:B8)</f>
        <v>1342</v>
      </c>
      <c r="C10" s="40">
        <f t="shared" si="5"/>
        <v>370</v>
      </c>
      <c r="D10" s="40">
        <f t="shared" si="5"/>
        <v>345</v>
      </c>
      <c r="E10" s="41">
        <f t="shared" si="1"/>
        <v>0.2570789866</v>
      </c>
      <c r="F10" s="41">
        <f t="shared" si="2"/>
        <v>0.9324324324</v>
      </c>
      <c r="G10" s="40">
        <f>SUM(G3:G8)</f>
        <v>320</v>
      </c>
      <c r="H10" s="41">
        <f t="shared" si="3"/>
        <v>0.9275362319</v>
      </c>
      <c r="I10" s="40">
        <f>SUM(I3:I8)</f>
        <v>96</v>
      </c>
      <c r="J10" s="41">
        <f t="shared" si="4"/>
        <v>0.07153502235</v>
      </c>
      <c r="L10" s="17" t="s">
        <v>32</v>
      </c>
      <c r="M10" s="18" t="s">
        <v>18</v>
      </c>
      <c r="N10" s="18"/>
    </row>
    <row r="11">
      <c r="A11" s="42" t="s">
        <v>33</v>
      </c>
      <c r="B11" s="4">
        <f t="shared" ref="B11:D11" si="6">SUM(B3:B6, B8)</f>
        <v>1253</v>
      </c>
      <c r="C11" s="4">
        <f t="shared" si="6"/>
        <v>330</v>
      </c>
      <c r="D11" s="4">
        <f t="shared" si="6"/>
        <v>310</v>
      </c>
      <c r="E11" s="43">
        <f t="shared" si="1"/>
        <v>0.2474062251</v>
      </c>
      <c r="F11" s="43">
        <f t="shared" si="2"/>
        <v>0.9393939394</v>
      </c>
      <c r="G11" s="4">
        <f>SUM(G3:G6, G8)</f>
        <v>288</v>
      </c>
      <c r="H11" s="43">
        <f t="shared" si="3"/>
        <v>0.9290322581</v>
      </c>
      <c r="I11" s="4">
        <f>SUM(I3:I6, I8)</f>
        <v>79</v>
      </c>
      <c r="J11" s="43">
        <f t="shared" si="4"/>
        <v>0.06304868316</v>
      </c>
    </row>
    <row r="12">
      <c r="E12" s="43"/>
      <c r="F12" s="43"/>
      <c r="L12" s="45" t="s">
        <v>34</v>
      </c>
    </row>
    <row r="13">
      <c r="E13" s="43"/>
      <c r="F13" s="43"/>
    </row>
    <row r="14">
      <c r="E14" s="43"/>
      <c r="F14" s="43"/>
    </row>
    <row r="15">
      <c r="E15" s="43"/>
      <c r="F15" s="43"/>
    </row>
    <row r="16" ht="39.75" customHeight="1">
      <c r="A16" s="9"/>
      <c r="B16" s="46" t="s">
        <v>31</v>
      </c>
      <c r="C16" s="46" t="s">
        <v>35</v>
      </c>
      <c r="D16" s="46" t="s">
        <v>36</v>
      </c>
      <c r="E16" s="46" t="s">
        <v>37</v>
      </c>
      <c r="F16" s="46" t="s">
        <v>38</v>
      </c>
      <c r="H16" s="46" t="s">
        <v>39</v>
      </c>
      <c r="I16" s="46" t="s">
        <v>40</v>
      </c>
      <c r="J16" s="46" t="s">
        <v>41</v>
      </c>
      <c r="K16" s="46" t="s">
        <v>42</v>
      </c>
      <c r="L16" s="46" t="s">
        <v>43</v>
      </c>
    </row>
    <row r="17" ht="30.75" customHeight="1">
      <c r="A17" s="9" t="s">
        <v>44</v>
      </c>
      <c r="B17" s="47">
        <f>COUNTIFS('Channel 1-4'!$I$2:$I993, "&lt;&gt;", 'Channel 1-4'!$H$2:$H993, "Fireside") + COUNTIFS('Channel 1-4'!$I$2:$I993, "&lt;&gt;", 'Channel 1-4'!$H$2:$H993, "Super Fireside") + COUNTIFS('Channel 1-4'!$I$2:$I993, "&lt;&gt;", 'Channel 1-4'!$H$2:$H993, "Keynote") + COUNTIFS('Channel 1-4'!$I$2:$I993, "&lt;&gt;", 'Channel 1-4'!$H$2:$H993, "Panel")+ COUNTIFS('Channel 1-4'!$I$2:$I993, "&lt;&gt;", 'Channel 1-4'!$H$2:$H993, "Podcast")</f>
        <v>335</v>
      </c>
      <c r="C17" s="47" t="str">
        <f>IFERROR(__xludf.DUMMYFUNCTION("IMPORTRANGE(""https://docs.google.com/spreadsheets/d/1giNx-yVE0ZeqC5AYTzjk_FBmjgA6uCuiQxg9bScgevY/edit#gid=65049691"", ""Video due date recap!F13"")"),"#REF!")</f>
        <v>#REF!</v>
      </c>
      <c r="D17" s="47" t="str">
        <f>C17-E17 - COUNTIFS('Channel 1-4'!$I$2:$I993, "&lt;&gt;", 'Channel 1-4'!$Q$2:$Q993, "RE-RECORD")</f>
        <v>#REF!</v>
      </c>
      <c r="E17" s="47">
        <f>COUNTIFS('Channel 1-4'!$I$2:$I993, "&lt;&gt;", 'Channel 1-4'!$H$2:$H993, "Fireside", 'Channel 1-4'!$R$2:$R993, TRUE) + COUNTIFS('Channel 1-4'!$I$2:$I993, "&lt;&gt;", 'Channel 1-4'!$H$2:$H993, "Super Fireside", 'Channel 1-4'!$R$2:$R993, TRUE) + COUNTIFS('Channel 1-4'!$I$2:$I993, "&lt;&gt;", 'Channel 1-4'!$H$2:$H993, "Keynote", 'Channel 1-4'!$R$2:$R993, TRUE) + COUNTIFS('Channel 1-4'!$I$2:$I993, "&lt;&gt;", 'Channel 1-4'!$H$2:$H993, "Panel", 'Channel 1-4'!$R$2:$R993, TRUE)+ COUNTIFS('Channel 1-4'!$I$2:$I993, "&lt;&gt;", 'Channel 1-4'!$H$2:$H993, "Podcast", 'Channel 1-4'!$R$2:$R993, TRUE)</f>
        <v>266</v>
      </c>
      <c r="F17" s="47">
        <f>COUNTIFS('Channel 1-4'!$I$2:$I993, "&lt;&gt;", 'Channel 1-4'!$H$2:$H993, "Fireside", 'Channel 1-4'!$V$2:$V993, TRUE) + COUNTIFS('Channel 1-4'!$I$2:$I993, "&lt;&gt;", 'Channel 1-4'!$H$2:$H993, "Super Fireside", 'Channel 1-4'!$V$2:$V993, TRUE) + COUNTIFS('Channel 1-4'!$I$2:$I993, "&lt;&gt;", 'Channel 1-4'!$H$2:$H993, "Keynote", 'Channel 1-4'!$V$2:$V993, TRUE) + COUNTIFS('Channel 1-4'!$I$2:$I993, "&lt;&gt;", 'Channel 1-4'!$H$2:$H993, "Panel", 'Channel 1-4'!$V$2:$V993, TRUE)+ COUNTIFS('Channel 1-4'!$I$2:$I993, "&lt;&gt;", 'Channel 1-4'!$H$2:$H993, "Podcast", 'Channel 1-4'!$V$2:$V993, TRUE)</f>
        <v>252</v>
      </c>
      <c r="H17" s="4" t="str">
        <f>IFERROR(__xludf.DUMMYFUNCTION("IMPORTRANGE(""https://docs.google.com/spreadsheets/d/1giNx-yVE0ZeqC5AYTzjk_FBmjgA6uCuiQxg9bScgevY/edit#gid=65049691"", ""Video due date recap!A2:B"")"),"T- 9 - 20/04/2020")</f>
        <v>T- 9 - 20/04/2020</v>
      </c>
      <c r="I17" s="4">
        <f>IFERROR(__xludf.DUMMYFUNCTION("""COMPUTED_VALUE"""),15.0)</f>
        <v>15</v>
      </c>
      <c r="J17" s="4" t="str">
        <f>IFERROR(__xludf.DUMMYFUNCTION("IMPORTRANGE(""https://docs.google.com/spreadsheets/d/1giNx-yVE0ZeqC5AYTzjk_FBmjgA6uCuiQxg9bScgevY/edit#gid=65049691"", ""Video due date recap!F2:F"")"),"#REF!")</f>
        <v>#REF!</v>
      </c>
      <c r="K17" s="4" t="str">
        <f t="shared" ref="K17:K20" si="7">J17-I17</f>
        <v>#REF!</v>
      </c>
      <c r="L17" s="4">
        <f>I17</f>
        <v>15</v>
      </c>
    </row>
    <row r="18">
      <c r="E18" s="43"/>
      <c r="F18" s="43"/>
      <c r="H18" s="4" t="str">
        <f>IFERROR(__xludf.DUMMYFUNCTION("""COMPUTED_VALUE"""),"T- 8 - 27/04/2020")</f>
        <v>T- 8 - 27/04/2020</v>
      </c>
      <c r="I18" s="4">
        <f>IFERROR(__xludf.DUMMYFUNCTION("""COMPUTED_VALUE"""),14.0)</f>
        <v>14</v>
      </c>
      <c r="K18" s="4">
        <f t="shared" si="7"/>
        <v>-14</v>
      </c>
      <c r="L18" s="4">
        <f>I18+I17</f>
        <v>29</v>
      </c>
    </row>
    <row r="19">
      <c r="E19" s="43"/>
      <c r="F19" s="43"/>
      <c r="H19" s="4" t="str">
        <f>IFERROR(__xludf.DUMMYFUNCTION("""COMPUTED_VALUE"""),"T- 7 - 04/05/2020")</f>
        <v>T- 7 - 04/05/2020</v>
      </c>
      <c r="I19" s="4">
        <f>IFERROR(__xludf.DUMMYFUNCTION("""COMPUTED_VALUE"""),33.0)</f>
        <v>33</v>
      </c>
      <c r="K19" s="4">
        <f t="shared" si="7"/>
        <v>-33</v>
      </c>
      <c r="L19" s="4">
        <f>SUM(I17:I19)</f>
        <v>62</v>
      </c>
    </row>
    <row r="20">
      <c r="E20" s="43"/>
      <c r="F20" s="43"/>
      <c r="H20" s="4" t="str">
        <f>IFERROR(__xludf.DUMMYFUNCTION("""COMPUTED_VALUE"""),"T- 6 - 11/05/2020")</f>
        <v>T- 6 - 11/05/2020</v>
      </c>
      <c r="I20" s="4">
        <f>IFERROR(__xludf.DUMMYFUNCTION("""COMPUTED_VALUE"""),37.0)</f>
        <v>37</v>
      </c>
      <c r="K20" s="4">
        <f t="shared" si="7"/>
        <v>-37</v>
      </c>
      <c r="L20" s="4">
        <f>SUM(I17:I20)</f>
        <v>99</v>
      </c>
    </row>
    <row r="21">
      <c r="E21" s="43"/>
      <c r="F21" s="43"/>
      <c r="H21" s="4" t="str">
        <f>IFERROR(__xludf.DUMMYFUNCTION("""COMPUTED_VALUE"""),"T- 5 - 18/05/2020")</f>
        <v>T- 5 - 18/05/2020</v>
      </c>
      <c r="I21" s="4">
        <f>IFERROR(__xludf.DUMMYFUNCTION("""COMPUTED_VALUE"""),67.0)</f>
        <v>67</v>
      </c>
      <c r="L21" s="4">
        <f>SUM(I17:I21)</f>
        <v>166</v>
      </c>
    </row>
    <row r="22">
      <c r="E22" s="43"/>
      <c r="F22" s="43"/>
      <c r="H22" s="4" t="str">
        <f>IFERROR(__xludf.DUMMYFUNCTION("""COMPUTED_VALUE"""),"T- 4 - 25/05/2020")</f>
        <v>T- 4 - 25/05/2020</v>
      </c>
      <c r="I22" s="4">
        <f>IFERROR(__xludf.DUMMYFUNCTION("""COMPUTED_VALUE"""),64.0)</f>
        <v>64</v>
      </c>
      <c r="L22" s="4">
        <f>SUM(I17:I22)</f>
        <v>230</v>
      </c>
    </row>
    <row r="23">
      <c r="E23" s="43"/>
      <c r="F23" s="43"/>
      <c r="H23" s="4" t="str">
        <f>IFERROR(__xludf.DUMMYFUNCTION("""COMPUTED_VALUE"""),"T- 3 - 01/06/2020")</f>
        <v>T- 3 - 01/06/2020</v>
      </c>
      <c r="I23" s="4">
        <f>IFERROR(__xludf.DUMMYFUNCTION("""COMPUTED_VALUE"""),53.0)</f>
        <v>53</v>
      </c>
      <c r="L23" s="4">
        <f>SUM(I17:I23)</f>
        <v>283</v>
      </c>
    </row>
    <row r="24">
      <c r="E24" s="43"/>
      <c r="F24" s="43"/>
      <c r="H24" s="4" t="str">
        <f>IFERROR(__xludf.DUMMYFUNCTION("""COMPUTED_VALUE"""),"T- 2 - 08/06/2020")</f>
        <v>T- 2 - 08/06/2020</v>
      </c>
      <c r="I24" s="4">
        <f>IFERROR(__xludf.DUMMYFUNCTION("""COMPUTED_VALUE"""),37.0)</f>
        <v>37</v>
      </c>
      <c r="L24" s="4">
        <f>SUM(I17:I24)</f>
        <v>320</v>
      </c>
    </row>
    <row r="25">
      <c r="E25" s="43"/>
      <c r="F25" s="43"/>
      <c r="H25" s="4" t="str">
        <f>IFERROR(__xludf.DUMMYFUNCTION("""COMPUTED_VALUE"""),"T- 1 - 15/06/2020")</f>
        <v>T- 1 - 15/06/2020</v>
      </c>
      <c r="I25" s="4">
        <f>IFERROR(__xludf.DUMMYFUNCTION("""COMPUTED_VALUE"""),2.0)</f>
        <v>2</v>
      </c>
      <c r="L25" s="4">
        <f>SUM(I17:I25)</f>
        <v>322</v>
      </c>
    </row>
    <row r="26">
      <c r="E26" s="43"/>
      <c r="F26" s="43"/>
      <c r="H26" s="4" t="str">
        <f>IFERROR(__xludf.DUMMYFUNCTION("""COMPUTED_VALUE"""),"EVENT - 22/06/2020")</f>
        <v>EVENT - 22/06/2020</v>
      </c>
      <c r="I26" s="4">
        <f>IFERROR(__xludf.DUMMYFUNCTION("""COMPUTED_VALUE"""),0.0)</f>
        <v>0</v>
      </c>
      <c r="L26" s="4">
        <f>SUM(I17:I26)</f>
        <v>322</v>
      </c>
    </row>
    <row r="27">
      <c r="E27" s="43"/>
      <c r="F27" s="43"/>
      <c r="H27" s="4" t="str">
        <f>IFERROR(__xludf.DUMMYFUNCTION("""COMPUTED_VALUE"""),"N/A")</f>
        <v>N/A</v>
      </c>
      <c r="I27" s="4">
        <f>IFERROR(__xludf.DUMMYFUNCTION("""COMPUTED_VALUE"""),0.0)</f>
        <v>0</v>
      </c>
      <c r="L27" s="4">
        <f>SUM(I17:I27)</f>
        <v>322</v>
      </c>
    </row>
    <row r="28">
      <c r="E28" s="43"/>
      <c r="F28" s="43"/>
      <c r="H28" s="40" t="str">
        <f>IFERROR(__xludf.DUMMYFUNCTION("""COMPUTED_VALUE"""),"Total")</f>
        <v>Total</v>
      </c>
      <c r="I28" s="40">
        <f>IFERROR(__xludf.DUMMYFUNCTION("""COMPUTED_VALUE"""),322.0)</f>
        <v>322</v>
      </c>
      <c r="J28" s="40"/>
      <c r="K28" s="40"/>
      <c r="L28" s="40">
        <f>SUM(I17:I27)</f>
        <v>322</v>
      </c>
    </row>
    <row r="29">
      <c r="E29" s="43"/>
      <c r="F29" s="43"/>
    </row>
    <row r="30">
      <c r="E30" s="43"/>
      <c r="F30" s="43"/>
    </row>
    <row r="31">
      <c r="E31" s="43"/>
      <c r="F31" s="43"/>
    </row>
    <row r="32">
      <c r="E32" s="43"/>
      <c r="F32" s="43"/>
    </row>
    <row r="33">
      <c r="E33" s="43"/>
      <c r="F33" s="43"/>
    </row>
    <row r="34">
      <c r="E34" s="43"/>
      <c r="F34" s="43"/>
    </row>
    <row r="35">
      <c r="E35" s="43"/>
      <c r="F35" s="43"/>
    </row>
    <row r="36">
      <c r="E36" s="43"/>
      <c r="F36" s="43"/>
    </row>
    <row r="37">
      <c r="E37" s="43"/>
      <c r="F37" s="43"/>
    </row>
    <row r="38">
      <c r="E38" s="43"/>
      <c r="F38" s="43"/>
    </row>
    <row r="39">
      <c r="E39" s="43"/>
      <c r="F39" s="43"/>
    </row>
    <row r="40">
      <c r="E40" s="43"/>
      <c r="F40" s="43"/>
    </row>
    <row r="41">
      <c r="E41" s="43"/>
      <c r="F41" s="43"/>
    </row>
    <row r="42">
      <c r="E42" s="43"/>
      <c r="F42" s="43"/>
    </row>
    <row r="43">
      <c r="E43" s="43"/>
      <c r="F43" s="43"/>
    </row>
    <row r="44">
      <c r="E44" s="43"/>
      <c r="F44" s="43"/>
    </row>
    <row r="45">
      <c r="E45" s="43"/>
      <c r="F45" s="43"/>
    </row>
    <row r="46">
      <c r="E46" s="43"/>
      <c r="F46" s="43"/>
    </row>
    <row r="47">
      <c r="E47" s="43"/>
      <c r="F47" s="43"/>
    </row>
    <row r="48">
      <c r="E48" s="43"/>
      <c r="F48" s="43"/>
    </row>
    <row r="49">
      <c r="E49" s="43"/>
      <c r="F49" s="43"/>
    </row>
    <row r="50">
      <c r="E50" s="43"/>
      <c r="F50" s="43"/>
    </row>
    <row r="51">
      <c r="E51" s="43"/>
      <c r="F51" s="43"/>
    </row>
    <row r="52">
      <c r="E52" s="43"/>
      <c r="F52" s="43"/>
    </row>
    <row r="53">
      <c r="E53" s="43"/>
      <c r="F53" s="43"/>
    </row>
    <row r="54">
      <c r="E54" s="43"/>
      <c r="F54" s="43"/>
    </row>
    <row r="55">
      <c r="E55" s="43"/>
      <c r="F55" s="43"/>
    </row>
    <row r="56">
      <c r="E56" s="43"/>
      <c r="F56" s="43"/>
    </row>
    <row r="57">
      <c r="E57" s="43"/>
      <c r="F57" s="43"/>
    </row>
    <row r="58">
      <c r="E58" s="43"/>
      <c r="F58" s="43"/>
    </row>
    <row r="59">
      <c r="E59" s="43"/>
      <c r="F59" s="43"/>
    </row>
    <row r="60">
      <c r="E60" s="43"/>
      <c r="F60" s="43"/>
    </row>
    <row r="61">
      <c r="E61" s="43"/>
      <c r="F61" s="43"/>
    </row>
    <row r="62">
      <c r="E62" s="43"/>
      <c r="F62" s="43"/>
    </row>
    <row r="63">
      <c r="E63" s="43"/>
      <c r="F63" s="43"/>
    </row>
    <row r="64">
      <c r="E64" s="43"/>
      <c r="F64" s="43"/>
    </row>
    <row r="65">
      <c r="E65" s="43"/>
      <c r="F65" s="43"/>
    </row>
    <row r="66">
      <c r="E66" s="43"/>
      <c r="F66" s="43"/>
    </row>
    <row r="67">
      <c r="E67" s="43"/>
      <c r="F67" s="43"/>
    </row>
    <row r="68">
      <c r="E68" s="43"/>
      <c r="F68" s="43"/>
    </row>
    <row r="69">
      <c r="E69" s="43"/>
      <c r="F69" s="43"/>
    </row>
    <row r="70">
      <c r="E70" s="43"/>
      <c r="F70" s="43"/>
    </row>
    <row r="71">
      <c r="E71" s="43"/>
      <c r="F71" s="43"/>
    </row>
    <row r="72">
      <c r="E72" s="43"/>
      <c r="F72" s="43"/>
    </row>
    <row r="73">
      <c r="E73" s="43"/>
      <c r="F73" s="43"/>
    </row>
    <row r="74">
      <c r="E74" s="43"/>
      <c r="F74" s="43"/>
    </row>
    <row r="75">
      <c r="E75" s="43"/>
      <c r="F75" s="43"/>
    </row>
    <row r="76">
      <c r="E76" s="43"/>
      <c r="F76" s="43"/>
    </row>
    <row r="77">
      <c r="E77" s="43"/>
      <c r="F77" s="43"/>
    </row>
    <row r="78">
      <c r="E78" s="43"/>
      <c r="F78" s="43"/>
    </row>
    <row r="79">
      <c r="E79" s="43"/>
      <c r="F79" s="43"/>
    </row>
    <row r="80">
      <c r="E80" s="43"/>
      <c r="F80" s="43"/>
    </row>
    <row r="81">
      <c r="E81" s="43"/>
      <c r="F81" s="43"/>
    </row>
    <row r="82">
      <c r="E82" s="43"/>
      <c r="F82" s="43"/>
    </row>
    <row r="83">
      <c r="E83" s="43"/>
      <c r="F83" s="43"/>
    </row>
    <row r="84">
      <c r="E84" s="43"/>
      <c r="F84" s="43"/>
    </row>
    <row r="85">
      <c r="E85" s="43"/>
      <c r="F85" s="43"/>
    </row>
    <row r="86">
      <c r="E86" s="43"/>
      <c r="F86" s="43"/>
    </row>
    <row r="87">
      <c r="E87" s="43"/>
      <c r="F87" s="43"/>
    </row>
    <row r="88">
      <c r="E88" s="43"/>
      <c r="F88" s="43"/>
    </row>
    <row r="89">
      <c r="E89" s="43"/>
      <c r="F89" s="43"/>
    </row>
    <row r="90">
      <c r="E90" s="43"/>
      <c r="F90" s="43"/>
    </row>
    <row r="91">
      <c r="E91" s="43"/>
      <c r="F91" s="43"/>
    </row>
    <row r="92">
      <c r="E92" s="43"/>
      <c r="F92" s="43"/>
    </row>
    <row r="93">
      <c r="E93" s="43"/>
      <c r="F93" s="43"/>
    </row>
    <row r="94">
      <c r="E94" s="43"/>
      <c r="F94" s="43"/>
    </row>
    <row r="95">
      <c r="E95" s="43"/>
      <c r="F95" s="43"/>
    </row>
    <row r="96">
      <c r="E96" s="43"/>
      <c r="F96" s="43"/>
    </row>
    <row r="97">
      <c r="E97" s="43"/>
      <c r="F97" s="43"/>
    </row>
    <row r="98">
      <c r="E98" s="43"/>
      <c r="F98" s="43"/>
    </row>
    <row r="99">
      <c r="E99" s="43"/>
      <c r="F99" s="43"/>
    </row>
    <row r="100">
      <c r="E100" s="43"/>
      <c r="F100" s="43"/>
    </row>
    <row r="101">
      <c r="E101" s="43"/>
      <c r="F101" s="43"/>
    </row>
    <row r="102">
      <c r="E102" s="43"/>
      <c r="F102" s="43"/>
    </row>
    <row r="103">
      <c r="E103" s="43"/>
      <c r="F103" s="43"/>
    </row>
    <row r="104">
      <c r="E104" s="43"/>
      <c r="F104" s="43"/>
    </row>
    <row r="105">
      <c r="E105" s="43"/>
      <c r="F105" s="43"/>
    </row>
    <row r="106">
      <c r="E106" s="43"/>
      <c r="F106" s="43"/>
    </row>
    <row r="107">
      <c r="E107" s="43"/>
      <c r="F107" s="43"/>
    </row>
    <row r="108">
      <c r="E108" s="43"/>
      <c r="F108" s="43"/>
    </row>
    <row r="109">
      <c r="E109" s="43"/>
      <c r="F109" s="43"/>
    </row>
    <row r="110">
      <c r="E110" s="43"/>
      <c r="F110" s="43"/>
    </row>
    <row r="111">
      <c r="E111" s="43"/>
      <c r="F111" s="43"/>
    </row>
    <row r="112">
      <c r="E112" s="43"/>
      <c r="F112" s="43"/>
    </row>
    <row r="113">
      <c r="E113" s="43"/>
      <c r="F113" s="43"/>
    </row>
    <row r="114">
      <c r="E114" s="43"/>
      <c r="F114" s="43"/>
    </row>
    <row r="115">
      <c r="E115" s="43"/>
      <c r="F115" s="43"/>
    </row>
    <row r="116">
      <c r="E116" s="43"/>
      <c r="F116" s="43"/>
    </row>
    <row r="117">
      <c r="E117" s="43"/>
      <c r="F117" s="43"/>
    </row>
    <row r="118">
      <c r="E118" s="43"/>
      <c r="F118" s="43"/>
    </row>
    <row r="119">
      <c r="E119" s="43"/>
      <c r="F119" s="43"/>
    </row>
    <row r="120">
      <c r="E120" s="43"/>
      <c r="F120" s="43"/>
    </row>
    <row r="121">
      <c r="E121" s="43"/>
      <c r="F121" s="43"/>
    </row>
    <row r="122">
      <c r="E122" s="43"/>
      <c r="F122" s="43"/>
    </row>
    <row r="123">
      <c r="E123" s="43"/>
      <c r="F123" s="43"/>
    </row>
    <row r="124">
      <c r="E124" s="43"/>
      <c r="F124" s="43"/>
    </row>
    <row r="125">
      <c r="E125" s="43"/>
      <c r="F125" s="43"/>
    </row>
    <row r="126">
      <c r="E126" s="43"/>
      <c r="F126" s="43"/>
    </row>
    <row r="127">
      <c r="E127" s="43"/>
      <c r="F127" s="43"/>
    </row>
    <row r="128">
      <c r="E128" s="43"/>
      <c r="F128" s="43"/>
    </row>
    <row r="129">
      <c r="E129" s="43"/>
      <c r="F129" s="43"/>
    </row>
    <row r="130">
      <c r="E130" s="43"/>
      <c r="F130" s="43"/>
    </row>
    <row r="131">
      <c r="E131" s="43"/>
      <c r="F131" s="43"/>
    </row>
    <row r="132">
      <c r="E132" s="43"/>
      <c r="F132" s="43"/>
    </row>
    <row r="133">
      <c r="E133" s="43"/>
      <c r="F133" s="43"/>
    </row>
    <row r="134">
      <c r="E134" s="43"/>
      <c r="F134" s="43"/>
    </row>
    <row r="135">
      <c r="E135" s="43"/>
      <c r="F135" s="43"/>
    </row>
    <row r="136">
      <c r="E136" s="43"/>
      <c r="F136" s="43"/>
    </row>
    <row r="137">
      <c r="E137" s="43"/>
      <c r="F137" s="43"/>
    </row>
    <row r="138">
      <c r="E138" s="43"/>
      <c r="F138" s="43"/>
    </row>
    <row r="139">
      <c r="E139" s="43"/>
      <c r="F139" s="43"/>
    </row>
    <row r="140">
      <c r="E140" s="43"/>
      <c r="F140" s="43"/>
    </row>
    <row r="141">
      <c r="E141" s="43"/>
      <c r="F141" s="43"/>
    </row>
    <row r="142">
      <c r="E142" s="43"/>
      <c r="F142" s="43"/>
    </row>
    <row r="143">
      <c r="E143" s="43"/>
      <c r="F143" s="43"/>
    </row>
    <row r="144">
      <c r="E144" s="43"/>
      <c r="F144" s="43"/>
    </row>
    <row r="145">
      <c r="E145" s="43"/>
      <c r="F145" s="43"/>
    </row>
    <row r="146">
      <c r="E146" s="43"/>
      <c r="F146" s="43"/>
    </row>
    <row r="147">
      <c r="E147" s="43"/>
      <c r="F147" s="43"/>
    </row>
    <row r="148">
      <c r="E148" s="43"/>
      <c r="F148" s="43"/>
    </row>
    <row r="149">
      <c r="E149" s="43"/>
      <c r="F149" s="43"/>
    </row>
    <row r="150">
      <c r="E150" s="43"/>
      <c r="F150" s="43"/>
    </row>
    <row r="151">
      <c r="E151" s="43"/>
      <c r="F151" s="43"/>
    </row>
    <row r="152">
      <c r="E152" s="43"/>
      <c r="F152" s="43"/>
    </row>
    <row r="153">
      <c r="E153" s="43"/>
      <c r="F153" s="43"/>
    </row>
    <row r="154">
      <c r="E154" s="43"/>
      <c r="F154" s="43"/>
    </row>
    <row r="155">
      <c r="E155" s="43"/>
      <c r="F155" s="43"/>
    </row>
    <row r="156">
      <c r="E156" s="43"/>
      <c r="F156" s="43"/>
    </row>
    <row r="157">
      <c r="E157" s="43"/>
      <c r="F157" s="43"/>
    </row>
    <row r="158">
      <c r="E158" s="43"/>
      <c r="F158" s="43"/>
    </row>
    <row r="159">
      <c r="E159" s="43"/>
      <c r="F159" s="43"/>
    </row>
    <row r="160">
      <c r="E160" s="43"/>
      <c r="F160" s="43"/>
    </row>
    <row r="161">
      <c r="E161" s="43"/>
      <c r="F161" s="43"/>
    </row>
    <row r="162">
      <c r="E162" s="43"/>
      <c r="F162" s="43"/>
    </row>
    <row r="163">
      <c r="E163" s="43"/>
      <c r="F163" s="43"/>
    </row>
    <row r="164">
      <c r="E164" s="43"/>
      <c r="F164" s="43"/>
    </row>
    <row r="165">
      <c r="E165" s="43"/>
      <c r="F165" s="43"/>
    </row>
    <row r="166">
      <c r="E166" s="43"/>
      <c r="F166" s="43"/>
    </row>
    <row r="167">
      <c r="E167" s="43"/>
      <c r="F167" s="43"/>
    </row>
    <row r="168">
      <c r="E168" s="43"/>
      <c r="F168" s="43"/>
    </row>
    <row r="169">
      <c r="E169" s="43"/>
      <c r="F169" s="43"/>
    </row>
    <row r="170">
      <c r="E170" s="43"/>
      <c r="F170" s="43"/>
    </row>
    <row r="171">
      <c r="E171" s="43"/>
      <c r="F171" s="43"/>
    </row>
    <row r="172">
      <c r="E172" s="43"/>
      <c r="F172" s="43"/>
    </row>
    <row r="173">
      <c r="E173" s="43"/>
      <c r="F173" s="43"/>
    </row>
    <row r="174">
      <c r="E174" s="43"/>
      <c r="F174" s="43"/>
    </row>
    <row r="175">
      <c r="E175" s="43"/>
      <c r="F175" s="43"/>
    </row>
    <row r="176">
      <c r="E176" s="43"/>
      <c r="F176" s="43"/>
    </row>
    <row r="177">
      <c r="E177" s="43"/>
      <c r="F177" s="43"/>
    </row>
    <row r="178">
      <c r="E178" s="43"/>
      <c r="F178" s="43"/>
    </row>
    <row r="179">
      <c r="E179" s="43"/>
      <c r="F179" s="43"/>
    </row>
    <row r="180">
      <c r="E180" s="43"/>
      <c r="F180" s="43"/>
    </row>
    <row r="181">
      <c r="E181" s="43"/>
      <c r="F181" s="43"/>
    </row>
    <row r="182">
      <c r="E182" s="43"/>
      <c r="F182" s="43"/>
    </row>
    <row r="183">
      <c r="E183" s="43"/>
      <c r="F183" s="43"/>
    </row>
    <row r="184">
      <c r="E184" s="43"/>
      <c r="F184" s="43"/>
    </row>
    <row r="185">
      <c r="E185" s="43"/>
      <c r="F185" s="43"/>
    </row>
    <row r="186">
      <c r="E186" s="43"/>
      <c r="F186" s="43"/>
    </row>
    <row r="187">
      <c r="E187" s="43"/>
      <c r="F187" s="43"/>
    </row>
    <row r="188">
      <c r="E188" s="43"/>
      <c r="F188" s="43"/>
    </row>
    <row r="189">
      <c r="E189" s="43"/>
      <c r="F189" s="43"/>
    </row>
    <row r="190">
      <c r="E190" s="43"/>
      <c r="F190" s="43"/>
    </row>
    <row r="191">
      <c r="E191" s="43"/>
      <c r="F191" s="43"/>
    </row>
    <row r="192">
      <c r="E192" s="43"/>
      <c r="F192" s="43"/>
    </row>
    <row r="193">
      <c r="E193" s="43"/>
      <c r="F193" s="43"/>
    </row>
    <row r="194">
      <c r="E194" s="43"/>
      <c r="F194" s="43"/>
    </row>
    <row r="195">
      <c r="E195" s="43"/>
      <c r="F195" s="43"/>
    </row>
    <row r="196">
      <c r="E196" s="43"/>
      <c r="F196" s="43"/>
    </row>
    <row r="197">
      <c r="E197" s="43"/>
      <c r="F197" s="43"/>
    </row>
    <row r="198">
      <c r="E198" s="43"/>
      <c r="F198" s="43"/>
    </row>
    <row r="199">
      <c r="E199" s="43"/>
      <c r="F199" s="43"/>
    </row>
    <row r="200">
      <c r="E200" s="43"/>
      <c r="F200" s="43"/>
    </row>
    <row r="201">
      <c r="E201" s="43"/>
      <c r="F201" s="43"/>
    </row>
    <row r="202">
      <c r="E202" s="43"/>
      <c r="F202" s="43"/>
    </row>
    <row r="203">
      <c r="E203" s="43"/>
      <c r="F203" s="43"/>
    </row>
    <row r="204">
      <c r="E204" s="43"/>
      <c r="F204" s="43"/>
    </row>
    <row r="205">
      <c r="E205" s="43"/>
      <c r="F205" s="43"/>
    </row>
    <row r="206">
      <c r="E206" s="43"/>
      <c r="F206" s="43"/>
    </row>
    <row r="207">
      <c r="E207" s="43"/>
      <c r="F207" s="43"/>
    </row>
    <row r="208">
      <c r="E208" s="43"/>
      <c r="F208" s="43"/>
    </row>
    <row r="209">
      <c r="E209" s="43"/>
      <c r="F209" s="43"/>
    </row>
    <row r="210">
      <c r="E210" s="43"/>
      <c r="F210" s="43"/>
    </row>
    <row r="211">
      <c r="E211" s="43"/>
      <c r="F211" s="43"/>
    </row>
    <row r="212">
      <c r="E212" s="43"/>
      <c r="F212" s="43"/>
    </row>
    <row r="213">
      <c r="E213" s="43"/>
      <c r="F213" s="43"/>
    </row>
    <row r="214">
      <c r="E214" s="43"/>
      <c r="F214" s="43"/>
    </row>
    <row r="215">
      <c r="E215" s="43"/>
      <c r="F215" s="43"/>
    </row>
    <row r="216">
      <c r="E216" s="43"/>
      <c r="F216" s="43"/>
    </row>
    <row r="217">
      <c r="E217" s="43"/>
      <c r="F217" s="43"/>
    </row>
    <row r="218">
      <c r="E218" s="43"/>
      <c r="F218" s="43"/>
    </row>
    <row r="219">
      <c r="E219" s="43"/>
      <c r="F219" s="43"/>
    </row>
    <row r="220">
      <c r="E220" s="43"/>
      <c r="F220" s="43"/>
    </row>
    <row r="221">
      <c r="E221" s="43"/>
      <c r="F221" s="43"/>
    </row>
    <row r="222">
      <c r="E222" s="43"/>
      <c r="F222" s="43"/>
    </row>
    <row r="223">
      <c r="E223" s="43"/>
      <c r="F223" s="43"/>
    </row>
    <row r="224">
      <c r="E224" s="43"/>
      <c r="F224" s="43"/>
    </row>
    <row r="225">
      <c r="E225" s="43"/>
      <c r="F225" s="43"/>
    </row>
    <row r="226">
      <c r="E226" s="43"/>
      <c r="F226" s="43"/>
    </row>
    <row r="227">
      <c r="E227" s="43"/>
      <c r="F227" s="43"/>
    </row>
    <row r="228">
      <c r="E228" s="43"/>
      <c r="F228" s="43"/>
    </row>
    <row r="229">
      <c r="E229" s="43"/>
      <c r="F229" s="43"/>
    </row>
    <row r="230">
      <c r="E230" s="43"/>
      <c r="F230" s="43"/>
    </row>
    <row r="231">
      <c r="E231" s="43"/>
      <c r="F231" s="43"/>
    </row>
    <row r="232">
      <c r="E232" s="43"/>
      <c r="F232" s="43"/>
    </row>
    <row r="233">
      <c r="E233" s="43"/>
      <c r="F233" s="43"/>
    </row>
    <row r="234">
      <c r="E234" s="43"/>
      <c r="F234" s="43"/>
    </row>
    <row r="235">
      <c r="E235" s="43"/>
      <c r="F235" s="43"/>
    </row>
    <row r="236">
      <c r="E236" s="43"/>
      <c r="F236" s="43"/>
    </row>
    <row r="237">
      <c r="E237" s="43"/>
      <c r="F237" s="43"/>
    </row>
    <row r="238">
      <c r="E238" s="43"/>
      <c r="F238" s="43"/>
    </row>
    <row r="239">
      <c r="E239" s="43"/>
      <c r="F239" s="43"/>
    </row>
    <row r="240">
      <c r="E240" s="43"/>
      <c r="F240" s="43"/>
    </row>
    <row r="241">
      <c r="E241" s="43"/>
      <c r="F241" s="43"/>
    </row>
    <row r="242">
      <c r="E242" s="43"/>
      <c r="F242" s="43"/>
    </row>
    <row r="243">
      <c r="E243" s="43"/>
      <c r="F243" s="43"/>
    </row>
    <row r="244">
      <c r="E244" s="43"/>
      <c r="F244" s="43"/>
    </row>
    <row r="245">
      <c r="E245" s="43"/>
      <c r="F245" s="43"/>
    </row>
    <row r="246">
      <c r="E246" s="43"/>
      <c r="F246" s="43"/>
    </row>
    <row r="247">
      <c r="E247" s="43"/>
      <c r="F247" s="43"/>
    </row>
    <row r="248">
      <c r="E248" s="43"/>
      <c r="F248" s="43"/>
    </row>
    <row r="249">
      <c r="E249" s="43"/>
      <c r="F249" s="43"/>
    </row>
    <row r="250">
      <c r="E250" s="43"/>
      <c r="F250" s="43"/>
    </row>
    <row r="251">
      <c r="E251" s="43"/>
      <c r="F251" s="43"/>
    </row>
    <row r="252">
      <c r="E252" s="43"/>
      <c r="F252" s="43"/>
    </row>
    <row r="253">
      <c r="E253" s="43"/>
      <c r="F253" s="43"/>
    </row>
    <row r="254">
      <c r="E254" s="43"/>
      <c r="F254" s="43"/>
    </row>
    <row r="255">
      <c r="E255" s="43"/>
      <c r="F255" s="43"/>
    </row>
    <row r="256">
      <c r="E256" s="43"/>
      <c r="F256" s="43"/>
    </row>
    <row r="257">
      <c r="E257" s="43"/>
      <c r="F257" s="43"/>
    </row>
    <row r="258">
      <c r="E258" s="43"/>
      <c r="F258" s="43"/>
    </row>
    <row r="259">
      <c r="E259" s="43"/>
      <c r="F259" s="43"/>
    </row>
    <row r="260">
      <c r="E260" s="43"/>
      <c r="F260" s="43"/>
    </row>
    <row r="261">
      <c r="E261" s="43"/>
      <c r="F261" s="43"/>
    </row>
    <row r="262">
      <c r="E262" s="43"/>
      <c r="F262" s="43"/>
    </row>
    <row r="263">
      <c r="E263" s="43"/>
      <c r="F263" s="43"/>
    </row>
    <row r="264">
      <c r="E264" s="43"/>
      <c r="F264" s="43"/>
    </row>
    <row r="265">
      <c r="E265" s="43"/>
      <c r="F265" s="43"/>
    </row>
    <row r="266">
      <c r="E266" s="43"/>
      <c r="F266" s="43"/>
    </row>
    <row r="267">
      <c r="E267" s="43"/>
      <c r="F267" s="43"/>
    </row>
    <row r="268">
      <c r="E268" s="43"/>
      <c r="F268" s="43"/>
    </row>
    <row r="269">
      <c r="E269" s="43"/>
      <c r="F269" s="43"/>
    </row>
    <row r="270">
      <c r="E270" s="43"/>
      <c r="F270" s="43"/>
    </row>
    <row r="271">
      <c r="E271" s="43"/>
      <c r="F271" s="43"/>
    </row>
    <row r="272">
      <c r="E272" s="43"/>
      <c r="F272" s="43"/>
    </row>
    <row r="273">
      <c r="E273" s="43"/>
      <c r="F273" s="43"/>
    </row>
    <row r="274">
      <c r="E274" s="43"/>
      <c r="F274" s="43"/>
    </row>
    <row r="275">
      <c r="E275" s="43"/>
      <c r="F275" s="43"/>
    </row>
    <row r="276">
      <c r="E276" s="43"/>
      <c r="F276" s="43"/>
    </row>
    <row r="277">
      <c r="E277" s="43"/>
      <c r="F277" s="43"/>
    </row>
    <row r="278">
      <c r="E278" s="43"/>
      <c r="F278" s="43"/>
    </row>
    <row r="279">
      <c r="E279" s="43"/>
      <c r="F279" s="43"/>
    </row>
    <row r="280">
      <c r="E280" s="43"/>
      <c r="F280" s="43"/>
    </row>
    <row r="281">
      <c r="E281" s="43"/>
      <c r="F281" s="43"/>
    </row>
    <row r="282">
      <c r="E282" s="43"/>
      <c r="F282" s="43"/>
    </row>
    <row r="283">
      <c r="E283" s="43"/>
      <c r="F283" s="43"/>
    </row>
    <row r="284">
      <c r="E284" s="43"/>
      <c r="F284" s="43"/>
    </row>
    <row r="285">
      <c r="E285" s="43"/>
      <c r="F285" s="43"/>
    </row>
    <row r="286">
      <c r="E286" s="43"/>
      <c r="F286" s="43"/>
    </row>
    <row r="287">
      <c r="E287" s="43"/>
      <c r="F287" s="43"/>
    </row>
    <row r="288">
      <c r="E288" s="43"/>
      <c r="F288" s="43"/>
    </row>
    <row r="289">
      <c r="E289" s="43"/>
      <c r="F289" s="43"/>
    </row>
    <row r="290">
      <c r="E290" s="43"/>
      <c r="F290" s="43"/>
    </row>
    <row r="291">
      <c r="E291" s="43"/>
      <c r="F291" s="43"/>
    </row>
    <row r="292">
      <c r="E292" s="43"/>
      <c r="F292" s="43"/>
    </row>
    <row r="293">
      <c r="E293" s="43"/>
      <c r="F293" s="43"/>
    </row>
    <row r="294">
      <c r="E294" s="43"/>
      <c r="F294" s="43"/>
    </row>
    <row r="295">
      <c r="E295" s="43"/>
      <c r="F295" s="43"/>
    </row>
    <row r="296">
      <c r="E296" s="43"/>
      <c r="F296" s="43"/>
    </row>
    <row r="297">
      <c r="E297" s="43"/>
      <c r="F297" s="43"/>
    </row>
    <row r="298">
      <c r="E298" s="43"/>
      <c r="F298" s="43"/>
    </row>
    <row r="299">
      <c r="E299" s="43"/>
      <c r="F299" s="43"/>
    </row>
    <row r="300">
      <c r="E300" s="43"/>
      <c r="F300" s="43"/>
    </row>
    <row r="301">
      <c r="E301" s="43"/>
      <c r="F301" s="43"/>
    </row>
    <row r="302">
      <c r="E302" s="43"/>
      <c r="F302" s="43"/>
    </row>
    <row r="303">
      <c r="E303" s="43"/>
      <c r="F303" s="43"/>
    </row>
    <row r="304">
      <c r="E304" s="43"/>
      <c r="F304" s="43"/>
    </row>
    <row r="305">
      <c r="E305" s="43"/>
      <c r="F305" s="43"/>
    </row>
    <row r="306">
      <c r="E306" s="43"/>
      <c r="F306" s="43"/>
    </row>
    <row r="307">
      <c r="E307" s="43"/>
      <c r="F307" s="43"/>
    </row>
    <row r="308">
      <c r="E308" s="43"/>
      <c r="F308" s="43"/>
    </row>
    <row r="309">
      <c r="E309" s="43"/>
      <c r="F309" s="43"/>
    </row>
    <row r="310">
      <c r="E310" s="43"/>
      <c r="F310" s="43"/>
    </row>
    <row r="311">
      <c r="E311" s="43"/>
      <c r="F311" s="43"/>
    </row>
    <row r="312">
      <c r="E312" s="43"/>
      <c r="F312" s="43"/>
    </row>
    <row r="313">
      <c r="E313" s="43"/>
      <c r="F313" s="43"/>
    </row>
    <row r="314">
      <c r="E314" s="43"/>
      <c r="F314" s="43"/>
    </row>
    <row r="315">
      <c r="E315" s="43"/>
      <c r="F315" s="43"/>
    </row>
    <row r="316">
      <c r="E316" s="43"/>
      <c r="F316" s="43"/>
    </row>
    <row r="317">
      <c r="E317" s="43"/>
      <c r="F317" s="43"/>
    </row>
    <row r="318">
      <c r="E318" s="43"/>
      <c r="F318" s="43"/>
    </row>
    <row r="319">
      <c r="E319" s="43"/>
      <c r="F319" s="43"/>
    </row>
    <row r="320">
      <c r="E320" s="43"/>
      <c r="F320" s="43"/>
    </row>
    <row r="321">
      <c r="E321" s="43"/>
      <c r="F321" s="43"/>
    </row>
    <row r="322">
      <c r="E322" s="43"/>
      <c r="F322" s="43"/>
    </row>
    <row r="323">
      <c r="E323" s="43"/>
      <c r="F323" s="43"/>
    </row>
    <row r="324">
      <c r="E324" s="43"/>
      <c r="F324" s="43"/>
    </row>
    <row r="325">
      <c r="E325" s="43"/>
      <c r="F325" s="43"/>
    </row>
    <row r="326">
      <c r="E326" s="43"/>
      <c r="F326" s="43"/>
    </row>
    <row r="327">
      <c r="E327" s="43"/>
      <c r="F327" s="43"/>
    </row>
    <row r="328">
      <c r="E328" s="43"/>
      <c r="F328" s="43"/>
    </row>
    <row r="329">
      <c r="E329" s="43"/>
      <c r="F329" s="43"/>
    </row>
    <row r="330">
      <c r="E330" s="43"/>
      <c r="F330" s="43"/>
    </row>
    <row r="331">
      <c r="E331" s="43"/>
      <c r="F331" s="43"/>
    </row>
    <row r="332">
      <c r="E332" s="43"/>
      <c r="F332" s="43"/>
    </row>
    <row r="333">
      <c r="E333" s="43"/>
      <c r="F333" s="43"/>
    </row>
    <row r="334">
      <c r="E334" s="43"/>
      <c r="F334" s="43"/>
    </row>
    <row r="335">
      <c r="E335" s="43"/>
      <c r="F335" s="43"/>
    </row>
    <row r="336">
      <c r="E336" s="43"/>
      <c r="F336" s="43"/>
    </row>
    <row r="337">
      <c r="E337" s="43"/>
      <c r="F337" s="43"/>
    </row>
    <row r="338">
      <c r="E338" s="43"/>
      <c r="F338" s="43"/>
    </row>
    <row r="339">
      <c r="E339" s="43"/>
      <c r="F339" s="43"/>
    </row>
    <row r="340">
      <c r="E340" s="43"/>
      <c r="F340" s="43"/>
    </row>
    <row r="341">
      <c r="E341" s="43"/>
      <c r="F341" s="43"/>
    </row>
    <row r="342">
      <c r="E342" s="43"/>
      <c r="F342" s="43"/>
    </row>
    <row r="343">
      <c r="E343" s="43"/>
      <c r="F343" s="43"/>
    </row>
    <row r="344">
      <c r="E344" s="43"/>
      <c r="F344" s="43"/>
    </row>
    <row r="345">
      <c r="E345" s="43"/>
      <c r="F345" s="43"/>
    </row>
    <row r="346">
      <c r="E346" s="43"/>
      <c r="F346" s="43"/>
    </row>
    <row r="347">
      <c r="E347" s="43"/>
      <c r="F347" s="43"/>
    </row>
    <row r="348">
      <c r="E348" s="43"/>
      <c r="F348" s="43"/>
    </row>
    <row r="349">
      <c r="E349" s="43"/>
      <c r="F349" s="43"/>
    </row>
    <row r="350">
      <c r="E350" s="43"/>
      <c r="F350" s="43"/>
    </row>
    <row r="351">
      <c r="E351" s="43"/>
      <c r="F351" s="43"/>
    </row>
    <row r="352">
      <c r="E352" s="43"/>
      <c r="F352" s="43"/>
    </row>
    <row r="353">
      <c r="E353" s="43"/>
      <c r="F353" s="43"/>
    </row>
    <row r="354">
      <c r="E354" s="43"/>
      <c r="F354" s="43"/>
    </row>
    <row r="355">
      <c r="E355" s="43"/>
      <c r="F355" s="43"/>
    </row>
    <row r="356">
      <c r="E356" s="43"/>
      <c r="F356" s="43"/>
    </row>
    <row r="357">
      <c r="E357" s="43"/>
      <c r="F357" s="43"/>
    </row>
    <row r="358">
      <c r="E358" s="43"/>
      <c r="F358" s="43"/>
    </row>
    <row r="359">
      <c r="E359" s="43"/>
      <c r="F359" s="43"/>
    </row>
    <row r="360">
      <c r="E360" s="43"/>
      <c r="F360" s="43"/>
    </row>
    <row r="361">
      <c r="E361" s="43"/>
      <c r="F361" s="43"/>
    </row>
    <row r="362">
      <c r="E362" s="43"/>
      <c r="F362" s="43"/>
    </row>
    <row r="363">
      <c r="E363" s="43"/>
      <c r="F363" s="43"/>
    </row>
    <row r="364">
      <c r="E364" s="43"/>
      <c r="F364" s="43"/>
    </row>
    <row r="365">
      <c r="E365" s="43"/>
      <c r="F365" s="43"/>
    </row>
    <row r="366">
      <c r="E366" s="43"/>
      <c r="F366" s="43"/>
    </row>
    <row r="367">
      <c r="E367" s="43"/>
      <c r="F367" s="43"/>
    </row>
    <row r="368">
      <c r="E368" s="43"/>
      <c r="F368" s="43"/>
    </row>
    <row r="369">
      <c r="E369" s="43"/>
      <c r="F369" s="43"/>
    </row>
    <row r="370">
      <c r="E370" s="43"/>
      <c r="F370" s="43"/>
    </row>
    <row r="371">
      <c r="E371" s="43"/>
      <c r="F371" s="43"/>
    </row>
    <row r="372">
      <c r="E372" s="43"/>
      <c r="F372" s="43"/>
    </row>
    <row r="373">
      <c r="E373" s="43"/>
      <c r="F373" s="43"/>
    </row>
    <row r="374">
      <c r="E374" s="43"/>
      <c r="F374" s="43"/>
    </row>
    <row r="375">
      <c r="E375" s="43"/>
      <c r="F375" s="43"/>
    </row>
    <row r="376">
      <c r="E376" s="43"/>
      <c r="F376" s="43"/>
    </row>
    <row r="377">
      <c r="E377" s="43"/>
      <c r="F377" s="43"/>
    </row>
    <row r="378">
      <c r="E378" s="43"/>
      <c r="F378" s="43"/>
    </row>
    <row r="379">
      <c r="E379" s="43"/>
      <c r="F379" s="43"/>
    </row>
    <row r="380">
      <c r="E380" s="43"/>
      <c r="F380" s="43"/>
    </row>
    <row r="381">
      <c r="E381" s="43"/>
      <c r="F381" s="43"/>
    </row>
    <row r="382">
      <c r="E382" s="43"/>
      <c r="F382" s="43"/>
    </row>
    <row r="383">
      <c r="E383" s="43"/>
      <c r="F383" s="43"/>
    </row>
    <row r="384">
      <c r="E384" s="43"/>
      <c r="F384" s="43"/>
    </row>
    <row r="385">
      <c r="E385" s="43"/>
      <c r="F385" s="43"/>
    </row>
    <row r="386">
      <c r="E386" s="43"/>
      <c r="F386" s="43"/>
    </row>
    <row r="387">
      <c r="E387" s="43"/>
      <c r="F387" s="43"/>
    </row>
    <row r="388">
      <c r="E388" s="43"/>
      <c r="F388" s="43"/>
    </row>
    <row r="389">
      <c r="E389" s="43"/>
      <c r="F389" s="43"/>
    </row>
    <row r="390">
      <c r="E390" s="43"/>
      <c r="F390" s="43"/>
    </row>
    <row r="391">
      <c r="E391" s="43"/>
      <c r="F391" s="43"/>
    </row>
    <row r="392">
      <c r="E392" s="43"/>
      <c r="F392" s="43"/>
    </row>
    <row r="393">
      <c r="E393" s="43"/>
      <c r="F393" s="43"/>
    </row>
    <row r="394">
      <c r="E394" s="43"/>
      <c r="F394" s="43"/>
    </row>
    <row r="395">
      <c r="E395" s="43"/>
      <c r="F395" s="43"/>
    </row>
    <row r="396">
      <c r="E396" s="43"/>
      <c r="F396" s="43"/>
    </row>
    <row r="397">
      <c r="E397" s="43"/>
      <c r="F397" s="43"/>
    </row>
    <row r="398">
      <c r="E398" s="43"/>
      <c r="F398" s="43"/>
    </row>
    <row r="399">
      <c r="E399" s="43"/>
      <c r="F399" s="43"/>
    </row>
    <row r="400">
      <c r="E400" s="43"/>
      <c r="F400" s="43"/>
    </row>
    <row r="401">
      <c r="E401" s="43"/>
      <c r="F401" s="43"/>
    </row>
    <row r="402">
      <c r="E402" s="43"/>
      <c r="F402" s="43"/>
    </row>
    <row r="403">
      <c r="E403" s="43"/>
      <c r="F403" s="43"/>
    </row>
    <row r="404">
      <c r="E404" s="43"/>
      <c r="F404" s="43"/>
    </row>
    <row r="405">
      <c r="E405" s="43"/>
      <c r="F405" s="43"/>
    </row>
    <row r="406">
      <c r="E406" s="43"/>
      <c r="F406" s="43"/>
    </row>
    <row r="407">
      <c r="E407" s="43"/>
      <c r="F407" s="43"/>
    </row>
    <row r="408">
      <c r="E408" s="43"/>
      <c r="F408" s="43"/>
    </row>
    <row r="409">
      <c r="E409" s="43"/>
      <c r="F409" s="43"/>
    </row>
    <row r="410">
      <c r="E410" s="43"/>
      <c r="F410" s="43"/>
    </row>
    <row r="411">
      <c r="E411" s="43"/>
      <c r="F411" s="43"/>
    </row>
    <row r="412">
      <c r="E412" s="43"/>
      <c r="F412" s="43"/>
    </row>
    <row r="413">
      <c r="E413" s="43"/>
      <c r="F413" s="43"/>
    </row>
    <row r="414">
      <c r="E414" s="43"/>
      <c r="F414" s="43"/>
    </row>
    <row r="415">
      <c r="E415" s="43"/>
      <c r="F415" s="43"/>
    </row>
    <row r="416">
      <c r="E416" s="43"/>
      <c r="F416" s="43"/>
    </row>
    <row r="417">
      <c r="E417" s="43"/>
      <c r="F417" s="43"/>
    </row>
    <row r="418">
      <c r="E418" s="43"/>
      <c r="F418" s="43"/>
    </row>
    <row r="419">
      <c r="E419" s="43"/>
      <c r="F419" s="43"/>
    </row>
    <row r="420">
      <c r="E420" s="43"/>
      <c r="F420" s="43"/>
    </row>
    <row r="421">
      <c r="E421" s="43"/>
      <c r="F421" s="43"/>
    </row>
    <row r="422">
      <c r="E422" s="43"/>
      <c r="F422" s="43"/>
    </row>
    <row r="423">
      <c r="E423" s="43"/>
      <c r="F423" s="43"/>
    </row>
    <row r="424">
      <c r="E424" s="43"/>
      <c r="F424" s="43"/>
    </row>
    <row r="425">
      <c r="E425" s="43"/>
      <c r="F425" s="43"/>
    </row>
    <row r="426">
      <c r="E426" s="43"/>
      <c r="F426" s="43"/>
    </row>
    <row r="427">
      <c r="E427" s="43"/>
      <c r="F427" s="43"/>
    </row>
    <row r="428">
      <c r="E428" s="43"/>
      <c r="F428" s="43"/>
    </row>
    <row r="429">
      <c r="E429" s="43"/>
      <c r="F429" s="43"/>
    </row>
    <row r="430">
      <c r="E430" s="43"/>
      <c r="F430" s="43"/>
    </row>
    <row r="431">
      <c r="E431" s="43"/>
      <c r="F431" s="43"/>
    </row>
    <row r="432">
      <c r="E432" s="43"/>
      <c r="F432" s="43"/>
    </row>
    <row r="433">
      <c r="E433" s="43"/>
      <c r="F433" s="43"/>
    </row>
    <row r="434">
      <c r="E434" s="43"/>
      <c r="F434" s="43"/>
    </row>
    <row r="435">
      <c r="E435" s="43"/>
      <c r="F435" s="43"/>
    </row>
    <row r="436">
      <c r="E436" s="43"/>
      <c r="F436" s="43"/>
    </row>
    <row r="437">
      <c r="E437" s="43"/>
      <c r="F437" s="43"/>
    </row>
    <row r="438">
      <c r="E438" s="43"/>
      <c r="F438" s="43"/>
    </row>
    <row r="439">
      <c r="E439" s="43"/>
      <c r="F439" s="43"/>
    </row>
    <row r="440">
      <c r="E440" s="43"/>
      <c r="F440" s="43"/>
    </row>
    <row r="441">
      <c r="E441" s="43"/>
      <c r="F441" s="43"/>
    </row>
    <row r="442">
      <c r="E442" s="43"/>
      <c r="F442" s="43"/>
    </row>
    <row r="443">
      <c r="E443" s="43"/>
      <c r="F443" s="43"/>
    </row>
    <row r="444">
      <c r="E444" s="43"/>
      <c r="F444" s="43"/>
    </row>
    <row r="445">
      <c r="E445" s="43"/>
      <c r="F445" s="43"/>
    </row>
    <row r="446">
      <c r="E446" s="43"/>
      <c r="F446" s="43"/>
    </row>
    <row r="447">
      <c r="E447" s="43"/>
      <c r="F447" s="43"/>
    </row>
    <row r="448">
      <c r="E448" s="43"/>
      <c r="F448" s="43"/>
    </row>
    <row r="449">
      <c r="E449" s="43"/>
      <c r="F449" s="43"/>
    </row>
    <row r="450">
      <c r="E450" s="43"/>
      <c r="F450" s="43"/>
    </row>
    <row r="451">
      <c r="E451" s="43"/>
      <c r="F451" s="43"/>
    </row>
    <row r="452">
      <c r="E452" s="43"/>
      <c r="F452" s="43"/>
    </row>
    <row r="453">
      <c r="E453" s="43"/>
      <c r="F453" s="43"/>
    </row>
    <row r="454">
      <c r="E454" s="43"/>
      <c r="F454" s="43"/>
    </row>
    <row r="455">
      <c r="E455" s="43"/>
      <c r="F455" s="43"/>
    </row>
    <row r="456">
      <c r="E456" s="43"/>
      <c r="F456" s="43"/>
    </row>
    <row r="457">
      <c r="E457" s="43"/>
      <c r="F457" s="43"/>
    </row>
    <row r="458">
      <c r="E458" s="43"/>
      <c r="F458" s="43"/>
    </row>
    <row r="459">
      <c r="E459" s="43"/>
      <c r="F459" s="43"/>
    </row>
    <row r="460">
      <c r="E460" s="43"/>
      <c r="F460" s="43"/>
    </row>
    <row r="461">
      <c r="E461" s="43"/>
      <c r="F461" s="43"/>
    </row>
    <row r="462">
      <c r="E462" s="43"/>
      <c r="F462" s="43"/>
    </row>
    <row r="463">
      <c r="E463" s="43"/>
      <c r="F463" s="43"/>
    </row>
    <row r="464">
      <c r="E464" s="43"/>
      <c r="F464" s="43"/>
    </row>
    <row r="465">
      <c r="E465" s="43"/>
      <c r="F465" s="43"/>
    </row>
    <row r="466">
      <c r="E466" s="43"/>
      <c r="F466" s="43"/>
    </row>
    <row r="467">
      <c r="E467" s="43"/>
      <c r="F467" s="43"/>
    </row>
    <row r="468">
      <c r="E468" s="43"/>
      <c r="F468" s="43"/>
    </row>
    <row r="469">
      <c r="E469" s="43"/>
      <c r="F469" s="43"/>
    </row>
    <row r="470">
      <c r="E470" s="43"/>
      <c r="F470" s="43"/>
    </row>
    <row r="471">
      <c r="E471" s="43"/>
      <c r="F471" s="43"/>
    </row>
    <row r="472">
      <c r="E472" s="43"/>
      <c r="F472" s="43"/>
    </row>
    <row r="473">
      <c r="E473" s="43"/>
      <c r="F473" s="43"/>
    </row>
    <row r="474">
      <c r="E474" s="43"/>
      <c r="F474" s="43"/>
    </row>
    <row r="475">
      <c r="E475" s="43"/>
      <c r="F475" s="43"/>
    </row>
    <row r="476">
      <c r="E476" s="43"/>
      <c r="F476" s="43"/>
    </row>
    <row r="477">
      <c r="E477" s="43"/>
      <c r="F477" s="43"/>
    </row>
    <row r="478">
      <c r="E478" s="43"/>
      <c r="F478" s="43"/>
    </row>
    <row r="479">
      <c r="E479" s="43"/>
      <c r="F479" s="43"/>
    </row>
    <row r="480">
      <c r="E480" s="43"/>
      <c r="F480" s="43"/>
    </row>
    <row r="481">
      <c r="E481" s="43"/>
      <c r="F481" s="43"/>
    </row>
    <row r="482">
      <c r="E482" s="43"/>
      <c r="F482" s="43"/>
    </row>
    <row r="483">
      <c r="E483" s="43"/>
      <c r="F483" s="43"/>
    </row>
    <row r="484">
      <c r="E484" s="43"/>
      <c r="F484" s="43"/>
    </row>
    <row r="485">
      <c r="E485" s="43"/>
      <c r="F485" s="43"/>
    </row>
    <row r="486">
      <c r="E486" s="43"/>
      <c r="F486" s="43"/>
    </row>
    <row r="487">
      <c r="E487" s="43"/>
      <c r="F487" s="43"/>
    </row>
    <row r="488">
      <c r="E488" s="43"/>
      <c r="F488" s="43"/>
    </row>
    <row r="489">
      <c r="E489" s="43"/>
      <c r="F489" s="43"/>
    </row>
    <row r="490">
      <c r="E490" s="43"/>
      <c r="F490" s="43"/>
    </row>
    <row r="491">
      <c r="E491" s="43"/>
      <c r="F491" s="43"/>
    </row>
    <row r="492">
      <c r="E492" s="43"/>
      <c r="F492" s="43"/>
    </row>
    <row r="493">
      <c r="E493" s="43"/>
      <c r="F493" s="43"/>
    </row>
    <row r="494">
      <c r="E494" s="43"/>
      <c r="F494" s="43"/>
    </row>
    <row r="495">
      <c r="E495" s="43"/>
      <c r="F495" s="43"/>
    </row>
    <row r="496">
      <c r="E496" s="43"/>
      <c r="F496" s="43"/>
    </row>
    <row r="497">
      <c r="E497" s="43"/>
      <c r="F497" s="43"/>
    </row>
    <row r="498">
      <c r="E498" s="43"/>
      <c r="F498" s="43"/>
    </row>
    <row r="499">
      <c r="E499" s="43"/>
      <c r="F499" s="43"/>
    </row>
    <row r="500">
      <c r="E500" s="43"/>
      <c r="F500" s="43"/>
    </row>
    <row r="501">
      <c r="E501" s="43"/>
      <c r="F501" s="43"/>
    </row>
    <row r="502">
      <c r="E502" s="43"/>
      <c r="F502" s="43"/>
    </row>
    <row r="503">
      <c r="E503" s="43"/>
      <c r="F503" s="43"/>
    </row>
    <row r="504">
      <c r="E504" s="43"/>
      <c r="F504" s="43"/>
    </row>
    <row r="505">
      <c r="E505" s="43"/>
      <c r="F505" s="43"/>
    </row>
    <row r="506">
      <c r="E506" s="43"/>
      <c r="F506" s="43"/>
    </row>
    <row r="507">
      <c r="E507" s="43"/>
      <c r="F507" s="43"/>
    </row>
    <row r="508">
      <c r="E508" s="43"/>
      <c r="F508" s="43"/>
    </row>
    <row r="509">
      <c r="E509" s="43"/>
      <c r="F509" s="43"/>
    </row>
    <row r="510">
      <c r="E510" s="43"/>
      <c r="F510" s="43"/>
    </row>
    <row r="511">
      <c r="E511" s="43"/>
      <c r="F511" s="43"/>
    </row>
    <row r="512">
      <c r="E512" s="43"/>
      <c r="F512" s="43"/>
    </row>
    <row r="513">
      <c r="E513" s="43"/>
      <c r="F513" s="43"/>
    </row>
    <row r="514">
      <c r="E514" s="43"/>
      <c r="F514" s="43"/>
    </row>
    <row r="515">
      <c r="E515" s="43"/>
      <c r="F515" s="43"/>
    </row>
    <row r="516">
      <c r="E516" s="43"/>
      <c r="F516" s="43"/>
    </row>
    <row r="517">
      <c r="E517" s="43"/>
      <c r="F517" s="43"/>
    </row>
    <row r="518">
      <c r="E518" s="43"/>
      <c r="F518" s="43"/>
    </row>
    <row r="519">
      <c r="E519" s="43"/>
      <c r="F519" s="43"/>
    </row>
    <row r="520">
      <c r="E520" s="43"/>
      <c r="F520" s="43"/>
    </row>
    <row r="521">
      <c r="E521" s="43"/>
      <c r="F521" s="43"/>
    </row>
    <row r="522">
      <c r="E522" s="43"/>
      <c r="F522" s="43"/>
    </row>
    <row r="523">
      <c r="E523" s="43"/>
      <c r="F523" s="43"/>
    </row>
    <row r="524">
      <c r="E524" s="43"/>
      <c r="F524" s="43"/>
    </row>
    <row r="525">
      <c r="E525" s="43"/>
      <c r="F525" s="43"/>
    </row>
    <row r="526">
      <c r="E526" s="43"/>
      <c r="F526" s="43"/>
    </row>
    <row r="527">
      <c r="E527" s="43"/>
      <c r="F527" s="43"/>
    </row>
    <row r="528">
      <c r="E528" s="43"/>
      <c r="F528" s="43"/>
    </row>
    <row r="529">
      <c r="E529" s="43"/>
      <c r="F529" s="43"/>
    </row>
    <row r="530">
      <c r="E530" s="43"/>
      <c r="F530" s="43"/>
    </row>
    <row r="531">
      <c r="E531" s="43"/>
      <c r="F531" s="43"/>
    </row>
    <row r="532">
      <c r="E532" s="43"/>
      <c r="F532" s="43"/>
    </row>
    <row r="533">
      <c r="E533" s="43"/>
      <c r="F533" s="43"/>
    </row>
    <row r="534">
      <c r="E534" s="43"/>
      <c r="F534" s="43"/>
    </row>
    <row r="535">
      <c r="E535" s="43"/>
      <c r="F535" s="43"/>
    </row>
    <row r="536">
      <c r="E536" s="43"/>
      <c r="F536" s="43"/>
    </row>
    <row r="537">
      <c r="E537" s="43"/>
      <c r="F537" s="43"/>
    </row>
    <row r="538">
      <c r="E538" s="43"/>
      <c r="F538" s="43"/>
    </row>
    <row r="539">
      <c r="E539" s="43"/>
      <c r="F539" s="43"/>
    </row>
    <row r="540">
      <c r="E540" s="43"/>
      <c r="F540" s="43"/>
    </row>
    <row r="541">
      <c r="E541" s="43"/>
      <c r="F541" s="43"/>
    </row>
    <row r="542">
      <c r="E542" s="43"/>
      <c r="F542" s="43"/>
    </row>
    <row r="543">
      <c r="E543" s="43"/>
      <c r="F543" s="43"/>
    </row>
    <row r="544">
      <c r="E544" s="43"/>
      <c r="F544" s="43"/>
    </row>
    <row r="545">
      <c r="E545" s="43"/>
      <c r="F545" s="43"/>
    </row>
    <row r="546">
      <c r="E546" s="43"/>
      <c r="F546" s="43"/>
    </row>
    <row r="547">
      <c r="E547" s="43"/>
      <c r="F547" s="43"/>
    </row>
    <row r="548">
      <c r="E548" s="43"/>
      <c r="F548" s="43"/>
    </row>
    <row r="549">
      <c r="E549" s="43"/>
      <c r="F549" s="43"/>
    </row>
    <row r="550">
      <c r="E550" s="43"/>
      <c r="F550" s="43"/>
    </row>
    <row r="551">
      <c r="E551" s="43"/>
      <c r="F551" s="43"/>
    </row>
    <row r="552">
      <c r="E552" s="43"/>
      <c r="F552" s="43"/>
    </row>
    <row r="553">
      <c r="E553" s="43"/>
      <c r="F553" s="43"/>
    </row>
    <row r="554">
      <c r="E554" s="43"/>
      <c r="F554" s="43"/>
    </row>
    <row r="555">
      <c r="E555" s="43"/>
      <c r="F555" s="43"/>
    </row>
    <row r="556">
      <c r="E556" s="43"/>
      <c r="F556" s="43"/>
    </row>
    <row r="557">
      <c r="E557" s="43"/>
      <c r="F557" s="43"/>
    </row>
    <row r="558">
      <c r="E558" s="43"/>
      <c r="F558" s="43"/>
    </row>
    <row r="559">
      <c r="E559" s="43"/>
      <c r="F559" s="43"/>
    </row>
    <row r="560">
      <c r="E560" s="43"/>
      <c r="F560" s="43"/>
    </row>
    <row r="561">
      <c r="E561" s="43"/>
      <c r="F561" s="43"/>
    </row>
    <row r="562">
      <c r="E562" s="43"/>
      <c r="F562" s="43"/>
    </row>
    <row r="563">
      <c r="E563" s="43"/>
      <c r="F563" s="43"/>
    </row>
    <row r="564">
      <c r="E564" s="43"/>
      <c r="F564" s="43"/>
    </row>
    <row r="565">
      <c r="E565" s="43"/>
      <c r="F565" s="43"/>
    </row>
    <row r="566">
      <c r="E566" s="43"/>
      <c r="F566" s="43"/>
    </row>
    <row r="567">
      <c r="E567" s="43"/>
      <c r="F567" s="43"/>
    </row>
    <row r="568">
      <c r="E568" s="43"/>
      <c r="F568" s="43"/>
    </row>
    <row r="569">
      <c r="E569" s="43"/>
      <c r="F569" s="43"/>
    </row>
    <row r="570">
      <c r="E570" s="43"/>
      <c r="F570" s="43"/>
    </row>
    <row r="571">
      <c r="E571" s="43"/>
      <c r="F571" s="43"/>
    </row>
    <row r="572">
      <c r="E572" s="43"/>
      <c r="F572" s="43"/>
    </row>
    <row r="573">
      <c r="E573" s="43"/>
      <c r="F573" s="43"/>
    </row>
    <row r="574">
      <c r="E574" s="43"/>
      <c r="F574" s="43"/>
    </row>
    <row r="575">
      <c r="E575" s="43"/>
      <c r="F575" s="43"/>
    </row>
    <row r="576">
      <c r="E576" s="43"/>
      <c r="F576" s="43"/>
    </row>
    <row r="577">
      <c r="E577" s="43"/>
      <c r="F577" s="43"/>
    </row>
    <row r="578">
      <c r="E578" s="43"/>
      <c r="F578" s="43"/>
    </row>
    <row r="579">
      <c r="E579" s="43"/>
      <c r="F579" s="43"/>
    </row>
    <row r="580">
      <c r="E580" s="43"/>
      <c r="F580" s="43"/>
    </row>
    <row r="581">
      <c r="E581" s="43"/>
      <c r="F581" s="43"/>
    </row>
    <row r="582">
      <c r="E582" s="43"/>
      <c r="F582" s="43"/>
    </row>
    <row r="583">
      <c r="E583" s="43"/>
      <c r="F583" s="43"/>
    </row>
    <row r="584">
      <c r="E584" s="43"/>
      <c r="F584" s="43"/>
    </row>
    <row r="585">
      <c r="E585" s="43"/>
      <c r="F585" s="43"/>
    </row>
    <row r="586">
      <c r="E586" s="43"/>
      <c r="F586" s="43"/>
    </row>
    <row r="587">
      <c r="E587" s="43"/>
      <c r="F587" s="43"/>
    </row>
    <row r="588">
      <c r="E588" s="43"/>
      <c r="F588" s="43"/>
    </row>
    <row r="589">
      <c r="E589" s="43"/>
      <c r="F589" s="43"/>
    </row>
    <row r="590">
      <c r="E590" s="43"/>
      <c r="F590" s="43"/>
    </row>
    <row r="591">
      <c r="E591" s="43"/>
      <c r="F591" s="43"/>
    </row>
    <row r="592">
      <c r="E592" s="43"/>
      <c r="F592" s="43"/>
    </row>
    <row r="593">
      <c r="E593" s="43"/>
      <c r="F593" s="43"/>
    </row>
    <row r="594">
      <c r="E594" s="43"/>
      <c r="F594" s="43"/>
    </row>
    <row r="595">
      <c r="E595" s="43"/>
      <c r="F595" s="43"/>
    </row>
    <row r="596">
      <c r="E596" s="43"/>
      <c r="F596" s="43"/>
    </row>
    <row r="597">
      <c r="E597" s="43"/>
      <c r="F597" s="43"/>
    </row>
    <row r="598">
      <c r="E598" s="43"/>
      <c r="F598" s="43"/>
    </row>
    <row r="599">
      <c r="E599" s="43"/>
      <c r="F599" s="43"/>
    </row>
    <row r="600">
      <c r="E600" s="43"/>
      <c r="F600" s="43"/>
    </row>
    <row r="601">
      <c r="E601" s="43"/>
      <c r="F601" s="43"/>
    </row>
    <row r="602">
      <c r="E602" s="43"/>
      <c r="F602" s="43"/>
    </row>
    <row r="603">
      <c r="E603" s="43"/>
      <c r="F603" s="43"/>
    </row>
    <row r="604">
      <c r="E604" s="43"/>
      <c r="F604" s="43"/>
    </row>
    <row r="605">
      <c r="E605" s="43"/>
      <c r="F605" s="43"/>
    </row>
    <row r="606">
      <c r="E606" s="43"/>
      <c r="F606" s="43"/>
    </row>
    <row r="607">
      <c r="E607" s="43"/>
      <c r="F607" s="43"/>
    </row>
    <row r="608">
      <c r="E608" s="43"/>
      <c r="F608" s="43"/>
    </row>
    <row r="609">
      <c r="E609" s="43"/>
      <c r="F609" s="43"/>
    </row>
    <row r="610">
      <c r="E610" s="43"/>
      <c r="F610" s="43"/>
    </row>
    <row r="611">
      <c r="E611" s="43"/>
      <c r="F611" s="43"/>
    </row>
    <row r="612">
      <c r="E612" s="43"/>
      <c r="F612" s="43"/>
    </row>
    <row r="613">
      <c r="E613" s="43"/>
      <c r="F613" s="43"/>
    </row>
    <row r="614">
      <c r="E614" s="43"/>
      <c r="F614" s="43"/>
    </row>
    <row r="615">
      <c r="E615" s="43"/>
      <c r="F615" s="43"/>
    </row>
    <row r="616">
      <c r="E616" s="43"/>
      <c r="F616" s="43"/>
    </row>
    <row r="617">
      <c r="E617" s="43"/>
      <c r="F617" s="43"/>
    </row>
    <row r="618">
      <c r="E618" s="43"/>
      <c r="F618" s="43"/>
    </row>
    <row r="619">
      <c r="E619" s="43"/>
      <c r="F619" s="43"/>
    </row>
    <row r="620">
      <c r="E620" s="43"/>
      <c r="F620" s="43"/>
    </row>
    <row r="621">
      <c r="E621" s="43"/>
      <c r="F621" s="43"/>
    </row>
    <row r="622">
      <c r="E622" s="43"/>
      <c r="F622" s="43"/>
    </row>
    <row r="623">
      <c r="E623" s="43"/>
      <c r="F623" s="43"/>
    </row>
    <row r="624">
      <c r="E624" s="43"/>
      <c r="F624" s="43"/>
    </row>
    <row r="625">
      <c r="E625" s="43"/>
      <c r="F625" s="43"/>
    </row>
    <row r="626">
      <c r="E626" s="43"/>
      <c r="F626" s="43"/>
    </row>
    <row r="627">
      <c r="E627" s="43"/>
      <c r="F627" s="43"/>
    </row>
    <row r="628">
      <c r="E628" s="43"/>
      <c r="F628" s="43"/>
    </row>
    <row r="629">
      <c r="E629" s="43"/>
      <c r="F629" s="43"/>
    </row>
    <row r="630">
      <c r="E630" s="43"/>
      <c r="F630" s="43"/>
    </row>
    <row r="631">
      <c r="E631" s="43"/>
      <c r="F631" s="43"/>
    </row>
    <row r="632">
      <c r="E632" s="43"/>
      <c r="F632" s="43"/>
    </row>
    <row r="633">
      <c r="E633" s="43"/>
      <c r="F633" s="43"/>
    </row>
    <row r="634">
      <c r="E634" s="43"/>
      <c r="F634" s="43"/>
    </row>
    <row r="635">
      <c r="E635" s="43"/>
      <c r="F635" s="43"/>
    </row>
    <row r="636">
      <c r="E636" s="43"/>
      <c r="F636" s="43"/>
    </row>
    <row r="637">
      <c r="E637" s="43"/>
      <c r="F637" s="43"/>
    </row>
    <row r="638">
      <c r="E638" s="43"/>
      <c r="F638" s="43"/>
    </row>
    <row r="639">
      <c r="E639" s="43"/>
      <c r="F639" s="43"/>
    </row>
    <row r="640">
      <c r="E640" s="43"/>
      <c r="F640" s="43"/>
    </row>
    <row r="641">
      <c r="E641" s="43"/>
      <c r="F641" s="43"/>
    </row>
    <row r="642">
      <c r="E642" s="43"/>
      <c r="F642" s="43"/>
    </row>
    <row r="643">
      <c r="E643" s="43"/>
      <c r="F643" s="43"/>
    </row>
    <row r="644">
      <c r="E644" s="43"/>
      <c r="F644" s="43"/>
    </row>
    <row r="645">
      <c r="E645" s="43"/>
      <c r="F645" s="43"/>
    </row>
    <row r="646">
      <c r="E646" s="43"/>
      <c r="F646" s="43"/>
    </row>
    <row r="647">
      <c r="E647" s="43"/>
      <c r="F647" s="43"/>
    </row>
    <row r="648">
      <c r="E648" s="43"/>
      <c r="F648" s="43"/>
    </row>
    <row r="649">
      <c r="E649" s="43"/>
      <c r="F649" s="43"/>
    </row>
    <row r="650">
      <c r="E650" s="43"/>
      <c r="F650" s="43"/>
    </row>
    <row r="651">
      <c r="E651" s="43"/>
      <c r="F651" s="43"/>
    </row>
    <row r="652">
      <c r="E652" s="43"/>
      <c r="F652" s="43"/>
    </row>
    <row r="653">
      <c r="E653" s="43"/>
      <c r="F653" s="43"/>
    </row>
    <row r="654">
      <c r="E654" s="43"/>
      <c r="F654" s="43"/>
    </row>
    <row r="655">
      <c r="E655" s="43"/>
      <c r="F655" s="43"/>
    </row>
    <row r="656">
      <c r="E656" s="43"/>
      <c r="F656" s="43"/>
    </row>
    <row r="657">
      <c r="E657" s="43"/>
      <c r="F657" s="43"/>
    </row>
    <row r="658">
      <c r="E658" s="43"/>
      <c r="F658" s="43"/>
    </row>
    <row r="659">
      <c r="E659" s="43"/>
      <c r="F659" s="43"/>
    </row>
    <row r="660">
      <c r="E660" s="43"/>
      <c r="F660" s="43"/>
    </row>
    <row r="661">
      <c r="E661" s="43"/>
      <c r="F661" s="43"/>
    </row>
    <row r="662">
      <c r="E662" s="43"/>
      <c r="F662" s="43"/>
    </row>
    <row r="663">
      <c r="E663" s="43"/>
      <c r="F663" s="43"/>
    </row>
    <row r="664">
      <c r="E664" s="43"/>
      <c r="F664" s="43"/>
    </row>
    <row r="665">
      <c r="E665" s="43"/>
      <c r="F665" s="43"/>
    </row>
    <row r="666">
      <c r="E666" s="43"/>
      <c r="F666" s="43"/>
    </row>
    <row r="667">
      <c r="E667" s="43"/>
      <c r="F667" s="43"/>
    </row>
    <row r="668">
      <c r="E668" s="43"/>
      <c r="F668" s="43"/>
    </row>
    <row r="669">
      <c r="E669" s="43"/>
      <c r="F669" s="43"/>
    </row>
    <row r="670">
      <c r="E670" s="43"/>
      <c r="F670" s="43"/>
    </row>
    <row r="671">
      <c r="E671" s="43"/>
      <c r="F671" s="43"/>
    </row>
    <row r="672">
      <c r="E672" s="43"/>
      <c r="F672" s="43"/>
    </row>
    <row r="673">
      <c r="E673" s="43"/>
      <c r="F673" s="43"/>
    </row>
    <row r="674">
      <c r="E674" s="43"/>
      <c r="F674" s="43"/>
    </row>
    <row r="675">
      <c r="E675" s="43"/>
      <c r="F675" s="43"/>
    </row>
    <row r="676">
      <c r="E676" s="43"/>
      <c r="F676" s="43"/>
    </row>
    <row r="677">
      <c r="E677" s="43"/>
      <c r="F677" s="43"/>
    </row>
    <row r="678">
      <c r="E678" s="43"/>
      <c r="F678" s="43"/>
    </row>
    <row r="679">
      <c r="E679" s="43"/>
      <c r="F679" s="43"/>
    </row>
    <row r="680">
      <c r="E680" s="43"/>
      <c r="F680" s="43"/>
    </row>
    <row r="681">
      <c r="E681" s="43"/>
      <c r="F681" s="43"/>
    </row>
    <row r="682">
      <c r="E682" s="43"/>
      <c r="F682" s="43"/>
    </row>
    <row r="683">
      <c r="E683" s="43"/>
      <c r="F683" s="43"/>
    </row>
    <row r="684">
      <c r="E684" s="43"/>
      <c r="F684" s="43"/>
    </row>
    <row r="685">
      <c r="E685" s="43"/>
      <c r="F685" s="43"/>
    </row>
    <row r="686">
      <c r="E686" s="43"/>
      <c r="F686" s="43"/>
    </row>
    <row r="687">
      <c r="E687" s="43"/>
      <c r="F687" s="43"/>
    </row>
    <row r="688">
      <c r="E688" s="43"/>
      <c r="F688" s="43"/>
    </row>
    <row r="689">
      <c r="E689" s="43"/>
      <c r="F689" s="43"/>
    </row>
    <row r="690">
      <c r="E690" s="43"/>
      <c r="F690" s="43"/>
    </row>
    <row r="691">
      <c r="E691" s="43"/>
      <c r="F691" s="43"/>
    </row>
    <row r="692">
      <c r="E692" s="43"/>
      <c r="F692" s="43"/>
    </row>
    <row r="693">
      <c r="E693" s="43"/>
      <c r="F693" s="43"/>
    </row>
    <row r="694">
      <c r="E694" s="43"/>
      <c r="F694" s="43"/>
    </row>
    <row r="695">
      <c r="E695" s="43"/>
      <c r="F695" s="43"/>
    </row>
    <row r="696">
      <c r="E696" s="43"/>
      <c r="F696" s="43"/>
    </row>
    <row r="697">
      <c r="E697" s="43"/>
      <c r="F697" s="43"/>
    </row>
    <row r="698">
      <c r="E698" s="43"/>
      <c r="F698" s="43"/>
    </row>
    <row r="699">
      <c r="E699" s="43"/>
      <c r="F699" s="43"/>
    </row>
    <row r="700">
      <c r="E700" s="43"/>
      <c r="F700" s="43"/>
    </row>
    <row r="701">
      <c r="E701" s="43"/>
      <c r="F701" s="43"/>
    </row>
    <row r="702">
      <c r="E702" s="43"/>
      <c r="F702" s="43"/>
    </row>
    <row r="703">
      <c r="E703" s="43"/>
      <c r="F703" s="43"/>
    </row>
    <row r="704">
      <c r="E704" s="43"/>
      <c r="F704" s="43"/>
    </row>
    <row r="705">
      <c r="E705" s="43"/>
      <c r="F705" s="43"/>
    </row>
    <row r="706">
      <c r="E706" s="43"/>
      <c r="F706" s="43"/>
    </row>
    <row r="707">
      <c r="E707" s="43"/>
      <c r="F707" s="43"/>
    </row>
    <row r="708">
      <c r="E708" s="43"/>
      <c r="F708" s="43"/>
    </row>
    <row r="709">
      <c r="E709" s="43"/>
      <c r="F709" s="43"/>
    </row>
    <row r="710">
      <c r="E710" s="43"/>
      <c r="F710" s="43"/>
    </row>
    <row r="711">
      <c r="E711" s="43"/>
      <c r="F711" s="43"/>
    </row>
    <row r="712">
      <c r="E712" s="43"/>
      <c r="F712" s="43"/>
    </row>
    <row r="713">
      <c r="E713" s="43"/>
      <c r="F713" s="43"/>
    </row>
    <row r="714">
      <c r="E714" s="43"/>
      <c r="F714" s="43"/>
    </row>
    <row r="715">
      <c r="E715" s="43"/>
      <c r="F715" s="43"/>
    </row>
    <row r="716">
      <c r="E716" s="43"/>
      <c r="F716" s="43"/>
    </row>
    <row r="717">
      <c r="E717" s="43"/>
      <c r="F717" s="43"/>
    </row>
    <row r="718">
      <c r="E718" s="43"/>
      <c r="F718" s="43"/>
    </row>
    <row r="719">
      <c r="E719" s="43"/>
      <c r="F719" s="43"/>
    </row>
    <row r="720">
      <c r="E720" s="43"/>
      <c r="F720" s="43"/>
    </row>
    <row r="721">
      <c r="E721" s="43"/>
      <c r="F721" s="43"/>
    </row>
    <row r="722">
      <c r="E722" s="43"/>
      <c r="F722" s="43"/>
    </row>
    <row r="723">
      <c r="E723" s="43"/>
      <c r="F723" s="43"/>
    </row>
    <row r="724">
      <c r="E724" s="43"/>
      <c r="F724" s="43"/>
    </row>
    <row r="725">
      <c r="E725" s="43"/>
      <c r="F725" s="43"/>
    </row>
    <row r="726">
      <c r="E726" s="43"/>
      <c r="F726" s="43"/>
    </row>
    <row r="727">
      <c r="E727" s="43"/>
      <c r="F727" s="43"/>
    </row>
    <row r="728">
      <c r="E728" s="43"/>
      <c r="F728" s="43"/>
    </row>
    <row r="729">
      <c r="E729" s="43"/>
      <c r="F729" s="43"/>
    </row>
    <row r="730">
      <c r="E730" s="43"/>
      <c r="F730" s="43"/>
    </row>
    <row r="731">
      <c r="E731" s="43"/>
      <c r="F731" s="43"/>
    </row>
    <row r="732">
      <c r="E732" s="43"/>
      <c r="F732" s="43"/>
    </row>
    <row r="733">
      <c r="E733" s="43"/>
      <c r="F733" s="43"/>
    </row>
    <row r="734">
      <c r="E734" s="43"/>
      <c r="F734" s="43"/>
    </row>
    <row r="735">
      <c r="E735" s="43"/>
      <c r="F735" s="43"/>
    </row>
    <row r="736">
      <c r="E736" s="43"/>
      <c r="F736" s="43"/>
    </row>
    <row r="737">
      <c r="E737" s="43"/>
      <c r="F737" s="43"/>
    </row>
    <row r="738">
      <c r="E738" s="43"/>
      <c r="F738" s="43"/>
    </row>
    <row r="739">
      <c r="E739" s="43"/>
      <c r="F739" s="43"/>
    </row>
    <row r="740">
      <c r="E740" s="43"/>
      <c r="F740" s="43"/>
    </row>
    <row r="741">
      <c r="E741" s="43"/>
      <c r="F741" s="43"/>
    </row>
    <row r="742">
      <c r="E742" s="43"/>
      <c r="F742" s="43"/>
    </row>
    <row r="743">
      <c r="E743" s="43"/>
      <c r="F743" s="43"/>
    </row>
    <row r="744">
      <c r="E744" s="43"/>
      <c r="F744" s="43"/>
    </row>
    <row r="745">
      <c r="E745" s="43"/>
      <c r="F745" s="43"/>
    </row>
    <row r="746">
      <c r="E746" s="43"/>
      <c r="F746" s="43"/>
    </row>
    <row r="747">
      <c r="E747" s="43"/>
      <c r="F747" s="43"/>
    </row>
    <row r="748">
      <c r="E748" s="43"/>
      <c r="F748" s="43"/>
    </row>
    <row r="749">
      <c r="E749" s="43"/>
      <c r="F749" s="43"/>
    </row>
    <row r="750">
      <c r="E750" s="43"/>
      <c r="F750" s="43"/>
    </row>
    <row r="751">
      <c r="E751" s="43"/>
      <c r="F751" s="43"/>
    </row>
    <row r="752">
      <c r="E752" s="43"/>
      <c r="F752" s="43"/>
    </row>
    <row r="753">
      <c r="E753" s="43"/>
      <c r="F753" s="43"/>
    </row>
    <row r="754">
      <c r="E754" s="43"/>
      <c r="F754" s="43"/>
    </row>
    <row r="755">
      <c r="E755" s="43"/>
      <c r="F755" s="43"/>
    </row>
    <row r="756">
      <c r="E756" s="43"/>
      <c r="F756" s="43"/>
    </row>
    <row r="757">
      <c r="E757" s="43"/>
      <c r="F757" s="43"/>
    </row>
    <row r="758">
      <c r="E758" s="43"/>
      <c r="F758" s="43"/>
    </row>
    <row r="759">
      <c r="E759" s="43"/>
      <c r="F759" s="43"/>
    </row>
    <row r="760">
      <c r="E760" s="43"/>
      <c r="F760" s="43"/>
    </row>
    <row r="761">
      <c r="E761" s="43"/>
      <c r="F761" s="43"/>
    </row>
    <row r="762">
      <c r="E762" s="43"/>
      <c r="F762" s="43"/>
    </row>
    <row r="763">
      <c r="E763" s="43"/>
      <c r="F763" s="43"/>
    </row>
    <row r="764">
      <c r="E764" s="43"/>
      <c r="F764" s="43"/>
    </row>
    <row r="765">
      <c r="E765" s="43"/>
      <c r="F765" s="43"/>
    </row>
    <row r="766">
      <c r="E766" s="43"/>
      <c r="F766" s="43"/>
    </row>
    <row r="767">
      <c r="E767" s="43"/>
      <c r="F767" s="43"/>
    </row>
    <row r="768">
      <c r="E768" s="43"/>
      <c r="F768" s="43"/>
    </row>
    <row r="769">
      <c r="E769" s="43"/>
      <c r="F769" s="43"/>
    </row>
    <row r="770">
      <c r="E770" s="43"/>
      <c r="F770" s="43"/>
    </row>
    <row r="771">
      <c r="E771" s="43"/>
      <c r="F771" s="43"/>
    </row>
    <row r="772">
      <c r="E772" s="43"/>
      <c r="F772" s="43"/>
    </row>
    <row r="773">
      <c r="E773" s="43"/>
      <c r="F773" s="43"/>
    </row>
    <row r="774">
      <c r="E774" s="43"/>
      <c r="F774" s="43"/>
    </row>
    <row r="775">
      <c r="E775" s="43"/>
      <c r="F775" s="43"/>
    </row>
    <row r="776">
      <c r="E776" s="43"/>
      <c r="F776" s="43"/>
    </row>
    <row r="777">
      <c r="E777" s="43"/>
      <c r="F777" s="43"/>
    </row>
    <row r="778">
      <c r="E778" s="43"/>
      <c r="F778" s="43"/>
    </row>
    <row r="779">
      <c r="E779" s="43"/>
      <c r="F779" s="43"/>
    </row>
    <row r="780">
      <c r="E780" s="43"/>
      <c r="F780" s="43"/>
    </row>
    <row r="781">
      <c r="E781" s="43"/>
      <c r="F781" s="43"/>
    </row>
    <row r="782">
      <c r="E782" s="43"/>
      <c r="F782" s="43"/>
    </row>
    <row r="783">
      <c r="E783" s="43"/>
      <c r="F783" s="43"/>
    </row>
    <row r="784">
      <c r="E784" s="43"/>
      <c r="F784" s="43"/>
    </row>
    <row r="785">
      <c r="E785" s="43"/>
      <c r="F785" s="43"/>
    </row>
    <row r="786">
      <c r="E786" s="43"/>
      <c r="F786" s="43"/>
    </row>
    <row r="787">
      <c r="E787" s="43"/>
      <c r="F787" s="43"/>
    </row>
    <row r="788">
      <c r="E788" s="43"/>
      <c r="F788" s="43"/>
    </row>
    <row r="789">
      <c r="E789" s="43"/>
      <c r="F789" s="43"/>
    </row>
    <row r="790">
      <c r="E790" s="43"/>
      <c r="F790" s="43"/>
    </row>
    <row r="791">
      <c r="E791" s="43"/>
      <c r="F791" s="43"/>
    </row>
    <row r="792">
      <c r="E792" s="43"/>
      <c r="F792" s="43"/>
    </row>
    <row r="793">
      <c r="E793" s="43"/>
      <c r="F793" s="43"/>
    </row>
    <row r="794">
      <c r="E794" s="43"/>
      <c r="F794" s="43"/>
    </row>
    <row r="795">
      <c r="E795" s="43"/>
      <c r="F795" s="43"/>
    </row>
    <row r="796">
      <c r="E796" s="43"/>
      <c r="F796" s="43"/>
    </row>
    <row r="797">
      <c r="E797" s="43"/>
      <c r="F797" s="43"/>
    </row>
    <row r="798">
      <c r="E798" s="43"/>
      <c r="F798" s="43"/>
    </row>
    <row r="799">
      <c r="E799" s="43"/>
      <c r="F799" s="43"/>
    </row>
    <row r="800">
      <c r="E800" s="43"/>
      <c r="F800" s="43"/>
    </row>
    <row r="801">
      <c r="E801" s="43"/>
      <c r="F801" s="43"/>
    </row>
    <row r="802">
      <c r="E802" s="43"/>
      <c r="F802" s="43"/>
    </row>
    <row r="803">
      <c r="E803" s="43"/>
      <c r="F803" s="43"/>
    </row>
    <row r="804">
      <c r="E804" s="43"/>
      <c r="F804" s="43"/>
    </row>
    <row r="805">
      <c r="E805" s="43"/>
      <c r="F805" s="43"/>
    </row>
    <row r="806">
      <c r="E806" s="43"/>
      <c r="F806" s="43"/>
    </row>
    <row r="807">
      <c r="E807" s="43"/>
      <c r="F807" s="43"/>
    </row>
    <row r="808">
      <c r="E808" s="43"/>
      <c r="F808" s="43"/>
    </row>
    <row r="809">
      <c r="E809" s="43"/>
      <c r="F809" s="43"/>
    </row>
    <row r="810">
      <c r="E810" s="43"/>
      <c r="F810" s="43"/>
    </row>
    <row r="811">
      <c r="E811" s="43"/>
      <c r="F811" s="43"/>
    </row>
    <row r="812">
      <c r="E812" s="43"/>
      <c r="F812" s="43"/>
    </row>
    <row r="813">
      <c r="E813" s="43"/>
      <c r="F813" s="43"/>
    </row>
    <row r="814">
      <c r="E814" s="43"/>
      <c r="F814" s="43"/>
    </row>
    <row r="815">
      <c r="E815" s="43"/>
      <c r="F815" s="43"/>
    </row>
    <row r="816">
      <c r="E816" s="43"/>
      <c r="F816" s="43"/>
    </row>
    <row r="817">
      <c r="E817" s="43"/>
      <c r="F817" s="43"/>
    </row>
    <row r="818">
      <c r="E818" s="43"/>
      <c r="F818" s="43"/>
    </row>
    <row r="819">
      <c r="E819" s="43"/>
      <c r="F819" s="43"/>
    </row>
    <row r="820">
      <c r="E820" s="43"/>
      <c r="F820" s="43"/>
    </row>
    <row r="821">
      <c r="E821" s="43"/>
      <c r="F821" s="43"/>
    </row>
    <row r="822">
      <c r="E822" s="43"/>
      <c r="F822" s="43"/>
    </row>
    <row r="823">
      <c r="E823" s="43"/>
      <c r="F823" s="43"/>
    </row>
    <row r="824">
      <c r="E824" s="43"/>
      <c r="F824" s="43"/>
    </row>
    <row r="825">
      <c r="E825" s="43"/>
      <c r="F825" s="43"/>
    </row>
    <row r="826">
      <c r="E826" s="43"/>
      <c r="F826" s="43"/>
    </row>
    <row r="827">
      <c r="E827" s="43"/>
      <c r="F827" s="43"/>
    </row>
    <row r="828">
      <c r="E828" s="43"/>
      <c r="F828" s="43"/>
    </row>
    <row r="829">
      <c r="E829" s="43"/>
      <c r="F829" s="43"/>
    </row>
    <row r="830">
      <c r="E830" s="43"/>
      <c r="F830" s="43"/>
    </row>
    <row r="831">
      <c r="E831" s="43"/>
      <c r="F831" s="43"/>
    </row>
    <row r="832">
      <c r="E832" s="43"/>
      <c r="F832" s="43"/>
    </row>
    <row r="833">
      <c r="E833" s="43"/>
      <c r="F833" s="43"/>
    </row>
    <row r="834">
      <c r="E834" s="43"/>
      <c r="F834" s="43"/>
    </row>
    <row r="835">
      <c r="E835" s="43"/>
      <c r="F835" s="43"/>
    </row>
    <row r="836">
      <c r="E836" s="43"/>
      <c r="F836" s="43"/>
    </row>
    <row r="837">
      <c r="E837" s="43"/>
      <c r="F837" s="43"/>
    </row>
    <row r="838">
      <c r="E838" s="43"/>
      <c r="F838" s="43"/>
    </row>
    <row r="839">
      <c r="E839" s="43"/>
      <c r="F839" s="43"/>
    </row>
    <row r="840">
      <c r="E840" s="43"/>
      <c r="F840" s="43"/>
    </row>
    <row r="841">
      <c r="E841" s="43"/>
      <c r="F841" s="43"/>
    </row>
    <row r="842">
      <c r="E842" s="43"/>
      <c r="F842" s="43"/>
    </row>
    <row r="843">
      <c r="E843" s="43"/>
      <c r="F843" s="43"/>
    </row>
    <row r="844">
      <c r="E844" s="43"/>
      <c r="F844" s="43"/>
    </row>
    <row r="845">
      <c r="E845" s="43"/>
      <c r="F845" s="43"/>
    </row>
    <row r="846">
      <c r="E846" s="43"/>
      <c r="F846" s="43"/>
    </row>
    <row r="847">
      <c r="E847" s="43"/>
      <c r="F847" s="43"/>
    </row>
    <row r="848">
      <c r="E848" s="43"/>
      <c r="F848" s="43"/>
    </row>
    <row r="849">
      <c r="E849" s="43"/>
      <c r="F849" s="43"/>
    </row>
    <row r="850">
      <c r="E850" s="43"/>
      <c r="F850" s="43"/>
    </row>
    <row r="851">
      <c r="E851" s="43"/>
      <c r="F851" s="43"/>
    </row>
    <row r="852">
      <c r="E852" s="43"/>
      <c r="F852" s="43"/>
    </row>
    <row r="853">
      <c r="E853" s="43"/>
      <c r="F853" s="43"/>
    </row>
    <row r="854">
      <c r="E854" s="43"/>
      <c r="F854" s="43"/>
    </row>
    <row r="855">
      <c r="E855" s="43"/>
      <c r="F855" s="43"/>
    </row>
    <row r="856">
      <c r="E856" s="43"/>
      <c r="F856" s="43"/>
    </row>
    <row r="857">
      <c r="E857" s="43"/>
      <c r="F857" s="43"/>
    </row>
    <row r="858">
      <c r="E858" s="43"/>
      <c r="F858" s="43"/>
    </row>
    <row r="859">
      <c r="E859" s="43"/>
      <c r="F859" s="43"/>
    </row>
    <row r="860">
      <c r="E860" s="43"/>
      <c r="F860" s="43"/>
    </row>
    <row r="861">
      <c r="E861" s="43"/>
      <c r="F861" s="43"/>
    </row>
    <row r="862">
      <c r="E862" s="43"/>
      <c r="F862" s="43"/>
    </row>
    <row r="863">
      <c r="E863" s="43"/>
      <c r="F863" s="43"/>
    </row>
    <row r="864">
      <c r="E864" s="43"/>
      <c r="F864" s="43"/>
    </row>
    <row r="865">
      <c r="E865" s="43"/>
      <c r="F865" s="43"/>
    </row>
    <row r="866">
      <c r="E866" s="43"/>
      <c r="F866" s="43"/>
    </row>
    <row r="867">
      <c r="E867" s="43"/>
      <c r="F867" s="43"/>
    </row>
    <row r="868">
      <c r="E868" s="43"/>
      <c r="F868" s="43"/>
    </row>
    <row r="869">
      <c r="E869" s="43"/>
      <c r="F869" s="43"/>
    </row>
    <row r="870">
      <c r="E870" s="43"/>
      <c r="F870" s="43"/>
    </row>
    <row r="871">
      <c r="E871" s="43"/>
      <c r="F871" s="43"/>
    </row>
    <row r="872">
      <c r="E872" s="43"/>
      <c r="F872" s="43"/>
    </row>
    <row r="873">
      <c r="E873" s="43"/>
      <c r="F873" s="43"/>
    </row>
    <row r="874">
      <c r="E874" s="43"/>
      <c r="F874" s="43"/>
    </row>
    <row r="875">
      <c r="E875" s="43"/>
      <c r="F875" s="43"/>
    </row>
    <row r="876">
      <c r="E876" s="43"/>
      <c r="F876" s="43"/>
    </row>
    <row r="877">
      <c r="E877" s="43"/>
      <c r="F877" s="43"/>
    </row>
    <row r="878">
      <c r="E878" s="43"/>
      <c r="F878" s="43"/>
    </row>
    <row r="879">
      <c r="E879" s="43"/>
      <c r="F879" s="43"/>
    </row>
    <row r="880">
      <c r="E880" s="43"/>
      <c r="F880" s="43"/>
    </row>
    <row r="881">
      <c r="E881" s="43"/>
      <c r="F881" s="43"/>
    </row>
    <row r="882">
      <c r="E882" s="43"/>
      <c r="F882" s="43"/>
    </row>
    <row r="883">
      <c r="E883" s="43"/>
      <c r="F883" s="43"/>
    </row>
    <row r="884">
      <c r="E884" s="43"/>
      <c r="F884" s="43"/>
    </row>
    <row r="885">
      <c r="E885" s="43"/>
      <c r="F885" s="43"/>
    </row>
    <row r="886">
      <c r="E886" s="43"/>
      <c r="F886" s="43"/>
    </row>
    <row r="887">
      <c r="E887" s="43"/>
      <c r="F887" s="43"/>
    </row>
    <row r="888">
      <c r="E888" s="43"/>
      <c r="F888" s="43"/>
    </row>
    <row r="889">
      <c r="E889" s="43"/>
      <c r="F889" s="43"/>
    </row>
    <row r="890">
      <c r="E890" s="43"/>
      <c r="F890" s="43"/>
    </row>
    <row r="891">
      <c r="E891" s="43"/>
      <c r="F891" s="43"/>
    </row>
    <row r="892">
      <c r="E892" s="43"/>
      <c r="F892" s="43"/>
    </row>
    <row r="893">
      <c r="E893" s="43"/>
      <c r="F893" s="43"/>
    </row>
    <row r="894">
      <c r="E894" s="43"/>
      <c r="F894" s="43"/>
    </row>
    <row r="895">
      <c r="E895" s="43"/>
      <c r="F895" s="43"/>
    </row>
    <row r="896">
      <c r="E896" s="43"/>
      <c r="F896" s="43"/>
    </row>
    <row r="897">
      <c r="E897" s="43"/>
      <c r="F897" s="43"/>
    </row>
    <row r="898">
      <c r="E898" s="43"/>
      <c r="F898" s="43"/>
    </row>
    <row r="899">
      <c r="E899" s="43"/>
      <c r="F899" s="43"/>
    </row>
    <row r="900">
      <c r="E900" s="43"/>
      <c r="F900" s="43"/>
    </row>
    <row r="901">
      <c r="E901" s="43"/>
      <c r="F901" s="43"/>
    </row>
    <row r="902">
      <c r="E902" s="43"/>
      <c r="F902" s="43"/>
    </row>
    <row r="903">
      <c r="E903" s="43"/>
      <c r="F903" s="43"/>
    </row>
    <row r="904">
      <c r="E904" s="43"/>
      <c r="F904" s="43"/>
    </row>
    <row r="905">
      <c r="E905" s="43"/>
      <c r="F905" s="43"/>
    </row>
    <row r="906">
      <c r="E906" s="43"/>
      <c r="F906" s="43"/>
    </row>
    <row r="907">
      <c r="E907" s="43"/>
      <c r="F907" s="43"/>
    </row>
    <row r="908">
      <c r="E908" s="43"/>
      <c r="F908" s="43"/>
    </row>
    <row r="909">
      <c r="E909" s="43"/>
      <c r="F909" s="43"/>
    </row>
    <row r="910">
      <c r="E910" s="43"/>
      <c r="F910" s="43"/>
    </row>
    <row r="911">
      <c r="E911" s="43"/>
      <c r="F911" s="43"/>
    </row>
    <row r="912">
      <c r="E912" s="43"/>
      <c r="F912" s="43"/>
    </row>
    <row r="913">
      <c r="E913" s="43"/>
      <c r="F913" s="43"/>
    </row>
    <row r="914">
      <c r="E914" s="43"/>
      <c r="F914" s="43"/>
    </row>
    <row r="915">
      <c r="E915" s="43"/>
      <c r="F915" s="43"/>
    </row>
    <row r="916">
      <c r="E916" s="43"/>
      <c r="F916" s="43"/>
    </row>
    <row r="917">
      <c r="E917" s="43"/>
      <c r="F917" s="43"/>
    </row>
    <row r="918">
      <c r="E918" s="43"/>
      <c r="F918" s="43"/>
    </row>
    <row r="919">
      <c r="E919" s="43"/>
      <c r="F919" s="43"/>
    </row>
    <row r="920">
      <c r="E920" s="43"/>
      <c r="F920" s="43"/>
    </row>
    <row r="921">
      <c r="E921" s="43"/>
      <c r="F921" s="43"/>
    </row>
    <row r="922">
      <c r="E922" s="43"/>
      <c r="F922" s="43"/>
    </row>
    <row r="923">
      <c r="E923" s="43"/>
      <c r="F923" s="43"/>
    </row>
    <row r="924">
      <c r="E924" s="43"/>
      <c r="F924" s="43"/>
    </row>
    <row r="925">
      <c r="E925" s="43"/>
      <c r="F925" s="43"/>
    </row>
    <row r="926">
      <c r="E926" s="43"/>
      <c r="F926" s="43"/>
    </row>
    <row r="927">
      <c r="E927" s="43"/>
      <c r="F927" s="43"/>
    </row>
    <row r="928">
      <c r="E928" s="43"/>
      <c r="F928" s="43"/>
    </row>
    <row r="929">
      <c r="E929" s="43"/>
      <c r="F929" s="43"/>
    </row>
    <row r="930">
      <c r="E930" s="43"/>
      <c r="F930" s="43"/>
    </row>
    <row r="931">
      <c r="E931" s="43"/>
      <c r="F931" s="43"/>
    </row>
    <row r="932">
      <c r="E932" s="43"/>
      <c r="F932" s="43"/>
    </row>
    <row r="933">
      <c r="E933" s="43"/>
      <c r="F933" s="43"/>
    </row>
    <row r="934">
      <c r="E934" s="43"/>
      <c r="F934" s="43"/>
    </row>
    <row r="935">
      <c r="E935" s="43"/>
      <c r="F935" s="43"/>
    </row>
    <row r="936">
      <c r="E936" s="43"/>
      <c r="F936" s="43"/>
    </row>
    <row r="937">
      <c r="E937" s="43"/>
      <c r="F937" s="43"/>
    </row>
    <row r="938">
      <c r="E938" s="43"/>
      <c r="F938" s="43"/>
    </row>
    <row r="939">
      <c r="E939" s="43"/>
      <c r="F939" s="43"/>
    </row>
    <row r="940">
      <c r="E940" s="43"/>
      <c r="F940" s="43"/>
    </row>
    <row r="941">
      <c r="E941" s="43"/>
      <c r="F941" s="43"/>
    </row>
    <row r="942">
      <c r="E942" s="43"/>
      <c r="F942" s="43"/>
    </row>
    <row r="943">
      <c r="E943" s="43"/>
      <c r="F943" s="43"/>
    </row>
    <row r="944">
      <c r="E944" s="43"/>
      <c r="F944" s="43"/>
    </row>
    <row r="945">
      <c r="E945" s="43"/>
      <c r="F945" s="43"/>
    </row>
    <row r="946">
      <c r="E946" s="43"/>
      <c r="F946" s="43"/>
    </row>
    <row r="947">
      <c r="E947" s="43"/>
      <c r="F947" s="43"/>
    </row>
    <row r="948">
      <c r="E948" s="43"/>
      <c r="F948" s="43"/>
    </row>
    <row r="949">
      <c r="E949" s="43"/>
      <c r="F949" s="43"/>
    </row>
    <row r="950">
      <c r="E950" s="43"/>
      <c r="F950" s="43"/>
    </row>
    <row r="951">
      <c r="E951" s="43"/>
      <c r="F951" s="43"/>
    </row>
    <row r="952">
      <c r="E952" s="43"/>
      <c r="F952" s="43"/>
    </row>
    <row r="953">
      <c r="E953" s="43"/>
      <c r="F953" s="43"/>
    </row>
    <row r="954">
      <c r="E954" s="43"/>
      <c r="F954" s="43"/>
    </row>
    <row r="955">
      <c r="E955" s="43"/>
      <c r="F955" s="43"/>
    </row>
    <row r="956">
      <c r="E956" s="43"/>
      <c r="F956" s="43"/>
    </row>
    <row r="957">
      <c r="E957" s="43"/>
      <c r="F957" s="43"/>
    </row>
    <row r="958">
      <c r="E958" s="43"/>
      <c r="F958" s="43"/>
    </row>
    <row r="959">
      <c r="E959" s="43"/>
      <c r="F959" s="43"/>
    </row>
    <row r="960">
      <c r="E960" s="43"/>
      <c r="F960" s="43"/>
    </row>
    <row r="961">
      <c r="E961" s="43"/>
      <c r="F961" s="43"/>
    </row>
    <row r="962">
      <c r="E962" s="43"/>
      <c r="F962" s="43"/>
    </row>
    <row r="963">
      <c r="E963" s="43"/>
      <c r="F963" s="43"/>
    </row>
    <row r="964">
      <c r="E964" s="43"/>
      <c r="F964" s="43"/>
    </row>
    <row r="965">
      <c r="E965" s="43"/>
      <c r="F965" s="43"/>
    </row>
    <row r="966">
      <c r="E966" s="43"/>
      <c r="F966" s="43"/>
    </row>
    <row r="967">
      <c r="E967" s="43"/>
      <c r="F967" s="43"/>
    </row>
    <row r="968">
      <c r="E968" s="43"/>
      <c r="F968" s="43"/>
    </row>
    <row r="969">
      <c r="E969" s="43"/>
      <c r="F969" s="43"/>
    </row>
    <row r="970">
      <c r="E970" s="43"/>
      <c r="F970" s="43"/>
    </row>
    <row r="971">
      <c r="E971" s="43"/>
      <c r="F971" s="43"/>
    </row>
    <row r="972">
      <c r="E972" s="43"/>
      <c r="F972" s="43"/>
    </row>
    <row r="973">
      <c r="E973" s="43"/>
      <c r="F973" s="43"/>
    </row>
    <row r="974">
      <c r="E974" s="43"/>
      <c r="F974" s="43"/>
    </row>
    <row r="975">
      <c r="E975" s="43"/>
      <c r="F975" s="43"/>
    </row>
    <row r="976">
      <c r="E976" s="43"/>
      <c r="F976" s="43"/>
    </row>
    <row r="977">
      <c r="E977" s="43"/>
      <c r="F977" s="43"/>
    </row>
    <row r="978">
      <c r="E978" s="43"/>
      <c r="F978" s="43"/>
    </row>
    <row r="979">
      <c r="E979" s="43"/>
      <c r="F979" s="43"/>
    </row>
    <row r="980">
      <c r="E980" s="43"/>
      <c r="F980" s="43"/>
    </row>
    <row r="981">
      <c r="E981" s="43"/>
      <c r="F981" s="43"/>
    </row>
    <row r="982">
      <c r="E982" s="43"/>
      <c r="F982" s="43"/>
    </row>
    <row r="983">
      <c r="E983" s="43"/>
      <c r="F983" s="43"/>
    </row>
    <row r="984">
      <c r="E984" s="43"/>
      <c r="F984" s="43"/>
    </row>
    <row r="985">
      <c r="E985" s="43"/>
      <c r="F985" s="43"/>
    </row>
    <row r="986">
      <c r="E986" s="43"/>
      <c r="F986" s="43"/>
    </row>
    <row r="987">
      <c r="E987" s="43"/>
      <c r="F987" s="43"/>
    </row>
    <row r="988">
      <c r="E988" s="43"/>
      <c r="F988" s="43"/>
    </row>
    <row r="989">
      <c r="E989" s="43"/>
      <c r="F989" s="43"/>
    </row>
    <row r="990">
      <c r="E990" s="43"/>
      <c r="F990" s="43"/>
    </row>
    <row r="991">
      <c r="E991" s="43"/>
      <c r="F991" s="43"/>
    </row>
    <row r="992">
      <c r="E992" s="43"/>
      <c r="F992" s="43"/>
    </row>
    <row r="993">
      <c r="E993" s="43"/>
      <c r="F993" s="43"/>
    </row>
  </sheetData>
  <autoFilter ref="$A$1:$J$11"/>
  <mergeCells count="2">
    <mergeCell ref="A1:J1"/>
    <mergeCell ref="L1:M1"/>
  </mergeCells>
  <conditionalFormatting sqref="L3:L10">
    <cfRule type="cellIs" dxfId="0" priority="1" operator="equal">
      <formula>"ID null"</formula>
    </cfRule>
  </conditionalFormatting>
  <dataValidations>
    <dataValidation type="list" allowBlank="1" sqref="L3:L10">
      <formula1>Lists!$B$2:$B$1000</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71"/>
    <col hidden="1" min="3" max="7" width="14.43"/>
    <col hidden="1" min="10" max="14" width="14.43"/>
    <col customWidth="1" min="16" max="16" width="18.57"/>
    <col customWidth="1" min="17" max="17" width="26.14"/>
    <col customWidth="1" min="18" max="19" width="22.14"/>
    <col customWidth="1" min="20" max="20" width="22.0"/>
  </cols>
  <sheetData>
    <row r="1" ht="26.25" customHeight="1">
      <c r="A1" s="48" t="s">
        <v>45</v>
      </c>
      <c r="B1" s="49" t="str">
        <f t="array" ref="B1:N3244">IFERROR(VLOOKUP(A1:A3244, Master!A1:AA3244, {2, 3, 4, 5, 6, 10, 11, 13, 14, 15, 16, 17, 18}, FALSE), IFERROR(VLOOKUP(A1:A3244, master5!A1:AA3244, {"", 3, 4, 5, 6, 10, 11, 13, 14, 15, 16, 17, 18}, FALSE), "Channel 5"))
</f>
        <v>Channel</v>
      </c>
      <c r="C1" s="48" t="s">
        <v>46</v>
      </c>
      <c r="D1" s="48" t="s">
        <v>47</v>
      </c>
      <c r="E1" s="48" t="s">
        <v>48</v>
      </c>
      <c r="F1" s="48" t="s">
        <v>49</v>
      </c>
      <c r="G1" s="48" t="s">
        <v>50</v>
      </c>
      <c r="H1" s="48" t="s">
        <v>51</v>
      </c>
      <c r="I1" s="48" t="s">
        <v>52</v>
      </c>
      <c r="J1" s="48" t="s">
        <v>53</v>
      </c>
      <c r="K1" s="48" t="s">
        <v>54</v>
      </c>
      <c r="L1" s="48" t="s">
        <v>55</v>
      </c>
      <c r="M1" s="48" t="s">
        <v>56</v>
      </c>
      <c r="N1" s="48" t="s">
        <v>57</v>
      </c>
      <c r="O1" s="50" t="s">
        <v>58</v>
      </c>
      <c r="P1" s="48" t="s">
        <v>59</v>
      </c>
      <c r="Q1" s="48" t="s">
        <v>60</v>
      </c>
      <c r="R1" s="48" t="s">
        <v>61</v>
      </c>
      <c r="S1" s="48" t="s">
        <v>62</v>
      </c>
      <c r="T1" s="48" t="s">
        <v>63</v>
      </c>
    </row>
    <row r="2" hidden="1">
      <c r="A2" s="4" t="str">
        <f>IFERROR(__xludf.DUMMYFUNCTION("QUERY({Master!A2:A3244; master5!A2:A3244}, ""where Col1 &lt;&gt;''"")"),"1 - Channel")</f>
        <v>1 - Channel</v>
      </c>
      <c r="B2" s="4" t="s">
        <v>64</v>
      </c>
      <c r="C2" s="4"/>
      <c r="D2" s="6"/>
      <c r="E2" s="6"/>
      <c r="F2" s="6"/>
      <c r="G2" s="4"/>
      <c r="H2" s="4"/>
      <c r="I2" s="4"/>
      <c r="J2" s="4"/>
      <c r="K2" s="4"/>
      <c r="L2" s="4"/>
      <c r="M2" s="4"/>
      <c r="N2" s="4"/>
      <c r="O2" s="51" t="b">
        <v>0</v>
      </c>
      <c r="P2" s="51" t="b">
        <v>0</v>
      </c>
      <c r="Q2" s="51" t="b">
        <v>0</v>
      </c>
      <c r="R2" s="51" t="b">
        <v>0</v>
      </c>
      <c r="S2" s="51" t="b">
        <v>0</v>
      </c>
      <c r="T2" s="52"/>
    </row>
    <row r="3" hidden="1">
      <c r="A3" s="4" t="str">
        <f>IFERROR(__xludf.DUMMYFUNCTION("""COMPUTED_VALUE"""),"2 - Channel")</f>
        <v>2 - Channel</v>
      </c>
      <c r="B3" s="4" t="s">
        <v>65</v>
      </c>
      <c r="C3" s="4"/>
      <c r="D3" s="6"/>
      <c r="E3" s="6"/>
      <c r="F3" s="6"/>
      <c r="G3" s="4"/>
      <c r="H3" s="4"/>
      <c r="I3" s="4"/>
      <c r="J3" s="4"/>
      <c r="K3" s="4"/>
      <c r="L3" s="4"/>
      <c r="M3" s="4"/>
      <c r="N3" s="4"/>
      <c r="O3" s="51" t="b">
        <v>0</v>
      </c>
      <c r="P3" s="51" t="b">
        <v>0</v>
      </c>
      <c r="Q3" s="51" t="b">
        <v>0</v>
      </c>
      <c r="R3" s="51" t="b">
        <v>0</v>
      </c>
      <c r="S3" s="51" t="b">
        <v>0</v>
      </c>
    </row>
    <row r="4" hidden="1">
      <c r="A4" s="4" t="str">
        <f>IFERROR(__xludf.DUMMYFUNCTION("""COMPUTED_VALUE"""),"3 - Channel")</f>
        <v>3 - Channel</v>
      </c>
      <c r="B4" s="4" t="s">
        <v>14</v>
      </c>
      <c r="C4" s="4" t="s">
        <v>66</v>
      </c>
      <c r="D4" s="6">
        <v>0.4166666666666667</v>
      </c>
      <c r="E4" s="6">
        <v>0.0010416666666666667</v>
      </c>
      <c r="F4" s="6">
        <v>0.41770833333333335</v>
      </c>
      <c r="G4" s="4"/>
      <c r="H4" s="4" t="s">
        <v>67</v>
      </c>
      <c r="I4" s="4" t="s">
        <v>68</v>
      </c>
      <c r="J4" s="4" t="s">
        <v>69</v>
      </c>
      <c r="K4" s="4"/>
      <c r="L4" s="4"/>
      <c r="M4" s="4"/>
      <c r="N4" s="4" t="s">
        <v>70</v>
      </c>
      <c r="O4" s="51" t="b">
        <v>0</v>
      </c>
      <c r="P4" s="51" t="b">
        <v>0</v>
      </c>
      <c r="Q4" s="51" t="b">
        <v>0</v>
      </c>
      <c r="R4" s="51" t="b">
        <v>0</v>
      </c>
      <c r="S4" s="51" t="b">
        <v>0</v>
      </c>
    </row>
    <row r="5" hidden="1">
      <c r="A5" s="4" t="str">
        <f>IFERROR(__xludf.DUMMYFUNCTION("""COMPUTED_VALUE"""),"4 - Channel")</f>
        <v>4 - Channel</v>
      </c>
      <c r="B5" s="4" t="s">
        <v>14</v>
      </c>
      <c r="C5" s="4" t="s">
        <v>66</v>
      </c>
      <c r="D5" s="6">
        <v>0.41770833333333335</v>
      </c>
      <c r="E5" s="6">
        <v>0.001388888888888889</v>
      </c>
      <c r="F5" s="6">
        <v>0.41909722222222223</v>
      </c>
      <c r="G5" s="4"/>
      <c r="H5" s="4" t="s">
        <v>71</v>
      </c>
      <c r="I5" s="4" t="s">
        <v>72</v>
      </c>
      <c r="J5" s="4" t="s">
        <v>73</v>
      </c>
      <c r="K5" s="4"/>
      <c r="L5" s="4"/>
      <c r="M5" s="4"/>
      <c r="N5" s="4" t="s">
        <v>70</v>
      </c>
      <c r="O5" s="51" t="b">
        <v>0</v>
      </c>
      <c r="P5" s="51" t="b">
        <v>0</v>
      </c>
      <c r="Q5" s="51" t="b">
        <v>0</v>
      </c>
      <c r="R5" s="51" t="b">
        <v>0</v>
      </c>
      <c r="S5" s="51" t="b">
        <v>0</v>
      </c>
    </row>
    <row r="6" hidden="1">
      <c r="A6" s="4" t="str">
        <f>IFERROR(__xludf.DUMMYFUNCTION("""COMPUTED_VALUE"""),"6 - Channel")</f>
        <v>6 - Channel</v>
      </c>
      <c r="B6" s="4" t="s">
        <v>14</v>
      </c>
      <c r="C6" s="4" t="s">
        <v>66</v>
      </c>
      <c r="D6" s="6">
        <v>0.41909722222222223</v>
      </c>
      <c r="E6" s="6">
        <v>0.006944444444444444</v>
      </c>
      <c r="F6" s="6">
        <v>0.42604166666666665</v>
      </c>
      <c r="G6" s="4"/>
      <c r="H6" s="4" t="s">
        <v>74</v>
      </c>
      <c r="I6" s="4" t="s">
        <v>75</v>
      </c>
      <c r="J6" s="4" t="s">
        <v>76</v>
      </c>
      <c r="K6" s="4" t="s">
        <v>73</v>
      </c>
      <c r="L6" s="4"/>
      <c r="M6" s="4"/>
      <c r="N6" s="4"/>
      <c r="O6" s="51" t="b">
        <v>0</v>
      </c>
      <c r="P6" s="51" t="b">
        <v>0</v>
      </c>
      <c r="Q6" s="51" t="b">
        <v>0</v>
      </c>
      <c r="R6" s="51" t="b">
        <v>0</v>
      </c>
      <c r="S6" s="51" t="b">
        <v>0</v>
      </c>
    </row>
    <row r="7" hidden="1">
      <c r="A7" s="4" t="str">
        <f>IFERROR(__xludf.DUMMYFUNCTION("""COMPUTED_VALUE"""),"1819 - Channel")</f>
        <v>1819 - Channel</v>
      </c>
      <c r="B7" s="4" t="s">
        <v>14</v>
      </c>
      <c r="C7" s="4" t="s">
        <v>66</v>
      </c>
      <c r="D7" s="6">
        <v>0.42604166666666665</v>
      </c>
      <c r="E7" s="6">
        <v>1.7361111111111112E-4</v>
      </c>
      <c r="F7" s="6">
        <v>0.4262152777777778</v>
      </c>
      <c r="G7" s="4"/>
      <c r="H7" s="4" t="s">
        <v>77</v>
      </c>
      <c r="I7" s="4" t="s">
        <v>78</v>
      </c>
      <c r="J7" s="4" t="s">
        <v>69</v>
      </c>
      <c r="K7" s="4"/>
      <c r="L7" s="4"/>
      <c r="M7" s="4"/>
      <c r="N7" s="4"/>
      <c r="O7" s="51" t="b">
        <v>0</v>
      </c>
      <c r="P7" s="51" t="b">
        <v>0</v>
      </c>
      <c r="Q7" s="51" t="b">
        <v>0</v>
      </c>
      <c r="R7" s="51" t="b">
        <v>0</v>
      </c>
      <c r="S7" s="51" t="b">
        <v>0</v>
      </c>
    </row>
    <row r="8" hidden="1">
      <c r="A8" s="4" t="str">
        <f>IFERROR(__xludf.DUMMYFUNCTION("""COMPUTED_VALUE"""),"1611 - Channel")</f>
        <v>1611 - Channel</v>
      </c>
      <c r="B8" s="4" t="s">
        <v>14</v>
      </c>
      <c r="C8" s="4" t="s">
        <v>66</v>
      </c>
      <c r="D8" s="6">
        <v>0.4262152777777778</v>
      </c>
      <c r="E8" s="6">
        <v>5.208333333333333E-4</v>
      </c>
      <c r="F8" s="6">
        <v>0.42673611111111115</v>
      </c>
      <c r="G8" s="4"/>
      <c r="H8" s="4" t="s">
        <v>79</v>
      </c>
      <c r="I8" s="4" t="s">
        <v>80</v>
      </c>
      <c r="J8" s="4" t="s">
        <v>69</v>
      </c>
      <c r="K8" s="4"/>
      <c r="L8" s="4"/>
      <c r="M8" s="4"/>
      <c r="N8" s="4"/>
      <c r="O8" s="51" t="b">
        <v>0</v>
      </c>
      <c r="P8" s="51" t="b">
        <v>0</v>
      </c>
      <c r="Q8" s="51" t="b">
        <v>0</v>
      </c>
      <c r="R8" s="51" t="b">
        <v>0</v>
      </c>
      <c r="S8" s="51" t="b">
        <v>0</v>
      </c>
    </row>
    <row r="9" hidden="1">
      <c r="A9" s="4" t="str">
        <f>IFERROR(__xludf.DUMMYFUNCTION("""COMPUTED_VALUE"""),"1532 - Channel")</f>
        <v>1532 - Channel</v>
      </c>
      <c r="B9" s="4" t="s">
        <v>14</v>
      </c>
      <c r="C9" s="4" t="s">
        <v>66</v>
      </c>
      <c r="D9" s="6">
        <v>0.42673611111111115</v>
      </c>
      <c r="E9" s="6">
        <v>2.314814814814815E-4</v>
      </c>
      <c r="F9" s="6">
        <v>0.42696759259259265</v>
      </c>
      <c r="G9" s="4"/>
      <c r="H9" s="4" t="s">
        <v>81</v>
      </c>
      <c r="I9" s="4" t="s">
        <v>82</v>
      </c>
      <c r="J9" s="4" t="s">
        <v>73</v>
      </c>
      <c r="K9" s="4"/>
      <c r="L9" s="4"/>
      <c r="M9" s="4"/>
      <c r="N9" s="4"/>
      <c r="O9" s="51" t="b">
        <v>0</v>
      </c>
      <c r="P9" s="51" t="b">
        <v>0</v>
      </c>
      <c r="Q9" s="51" t="b">
        <v>0</v>
      </c>
      <c r="R9" s="51" t="b">
        <v>0</v>
      </c>
      <c r="S9" s="51" t="b">
        <v>0</v>
      </c>
    </row>
    <row r="10" hidden="1">
      <c r="A10" s="4" t="str">
        <f>IFERROR(__xludf.DUMMYFUNCTION("""COMPUTED_VALUE"""),"1364 - Channel")</f>
        <v>1364 - Channel</v>
      </c>
      <c r="B10" s="4" t="s">
        <v>14</v>
      </c>
      <c r="C10" s="4" t="s">
        <v>66</v>
      </c>
      <c r="D10" s="6">
        <v>0.42696759259259265</v>
      </c>
      <c r="E10" s="6">
        <v>0.0020833333333333333</v>
      </c>
      <c r="F10" s="6">
        <v>0.429050925925926</v>
      </c>
      <c r="G10" s="4"/>
      <c r="H10" s="4" t="s">
        <v>83</v>
      </c>
      <c r="I10" s="4" t="s">
        <v>84</v>
      </c>
      <c r="J10" s="4"/>
      <c r="K10" s="4"/>
      <c r="L10" s="4"/>
      <c r="M10" s="4"/>
      <c r="N10" s="4"/>
      <c r="O10" s="51" t="b">
        <v>0</v>
      </c>
      <c r="P10" s="51" t="b">
        <v>0</v>
      </c>
      <c r="Q10" s="51" t="b">
        <v>0</v>
      </c>
      <c r="R10" s="51" t="b">
        <v>0</v>
      </c>
      <c r="S10" s="51" t="b">
        <v>0</v>
      </c>
    </row>
    <row r="11" hidden="1">
      <c r="A11" s="4" t="str">
        <f>IFERROR(__xludf.DUMMYFUNCTION("""COMPUTED_VALUE"""),"1713 - Channel")</f>
        <v>1713 - Channel</v>
      </c>
      <c r="B11" s="4" t="s">
        <v>14</v>
      </c>
      <c r="C11" s="4" t="s">
        <v>66</v>
      </c>
      <c r="D11" s="6">
        <v>0.429050925925926</v>
      </c>
      <c r="E11" s="6">
        <v>2.314814814814815E-4</v>
      </c>
      <c r="F11" s="6">
        <v>0.4292824074074075</v>
      </c>
      <c r="G11" s="4"/>
      <c r="H11" s="4" t="s">
        <v>85</v>
      </c>
      <c r="I11" s="4" t="s">
        <v>86</v>
      </c>
      <c r="J11" s="4" t="s">
        <v>73</v>
      </c>
      <c r="K11" s="4"/>
      <c r="L11" s="4"/>
      <c r="M11" s="4"/>
      <c r="N11" s="4"/>
      <c r="O11" s="51" t="b">
        <v>0</v>
      </c>
      <c r="P11" s="51" t="b">
        <v>0</v>
      </c>
      <c r="Q11" s="51" t="b">
        <v>0</v>
      </c>
      <c r="R11" s="51" t="b">
        <v>0</v>
      </c>
      <c r="S11" s="51" t="b">
        <v>0</v>
      </c>
    </row>
    <row r="12" hidden="1">
      <c r="A12" s="4" t="str">
        <f>IFERROR(__xludf.DUMMYFUNCTION("""COMPUTED_VALUE"""),"1692 - Channel")</f>
        <v>1692 - Channel</v>
      </c>
      <c r="B12" s="4" t="s">
        <v>14</v>
      </c>
      <c r="C12" s="4" t="s">
        <v>66</v>
      </c>
      <c r="D12" s="6">
        <v>0.429050925925926</v>
      </c>
      <c r="E12" s="6">
        <v>3.4722222222222224E-4</v>
      </c>
      <c r="F12" s="6">
        <v>0.4293981481481482</v>
      </c>
      <c r="G12" s="4"/>
      <c r="H12" s="4" t="s">
        <v>87</v>
      </c>
      <c r="I12" s="4" t="s">
        <v>88</v>
      </c>
      <c r="J12" s="4" t="s">
        <v>69</v>
      </c>
      <c r="K12" s="4"/>
      <c r="L12" s="4"/>
      <c r="M12" s="4"/>
      <c r="N12" s="4"/>
      <c r="O12" s="51" t="b">
        <v>0</v>
      </c>
      <c r="P12" s="51" t="b">
        <v>0</v>
      </c>
      <c r="Q12" s="51" t="b">
        <v>0</v>
      </c>
      <c r="R12" s="51" t="b">
        <v>0</v>
      </c>
      <c r="S12" s="51" t="b">
        <v>0</v>
      </c>
    </row>
    <row r="13" hidden="1">
      <c r="A13" s="4" t="str">
        <f>IFERROR(__xludf.DUMMYFUNCTION("""COMPUTED_VALUE"""),"1820 - Channel")</f>
        <v>1820 - Channel</v>
      </c>
      <c r="B13" s="4" t="s">
        <v>14</v>
      </c>
      <c r="C13" s="4" t="s">
        <v>66</v>
      </c>
      <c r="D13" s="6">
        <v>0.4293981481481482</v>
      </c>
      <c r="E13" s="6">
        <v>5.208333333333333E-4</v>
      </c>
      <c r="F13" s="6">
        <v>0.42991898148148155</v>
      </c>
      <c r="G13" s="4"/>
      <c r="H13" s="4" t="s">
        <v>89</v>
      </c>
      <c r="I13" s="4" t="s">
        <v>80</v>
      </c>
      <c r="J13" s="4" t="s">
        <v>90</v>
      </c>
      <c r="K13" s="4"/>
      <c r="L13" s="4"/>
      <c r="M13" s="4"/>
      <c r="N13" s="4"/>
      <c r="O13" s="51" t="b">
        <v>0</v>
      </c>
      <c r="P13" s="51" t="b">
        <v>0</v>
      </c>
      <c r="Q13" s="51" t="b">
        <v>0</v>
      </c>
      <c r="R13" s="51" t="b">
        <v>0</v>
      </c>
      <c r="S13" s="51" t="b">
        <v>0</v>
      </c>
    </row>
    <row r="14" hidden="1">
      <c r="A14" s="4" t="str">
        <f>IFERROR(__xludf.DUMMYFUNCTION("""COMPUTED_VALUE"""),"7 - Channel")</f>
        <v>7 - Channel</v>
      </c>
      <c r="B14" s="4" t="s">
        <v>14</v>
      </c>
      <c r="C14" s="4" t="s">
        <v>66</v>
      </c>
      <c r="D14" s="6">
        <v>0.42991898148148155</v>
      </c>
      <c r="E14" s="6">
        <v>2.314814814814815E-4</v>
      </c>
      <c r="F14" s="6">
        <v>0.43015046296296305</v>
      </c>
      <c r="G14" s="4"/>
      <c r="H14" s="4" t="s">
        <v>81</v>
      </c>
      <c r="I14" s="4" t="s">
        <v>91</v>
      </c>
      <c r="J14" s="4" t="s">
        <v>73</v>
      </c>
      <c r="K14" s="4" t="s">
        <v>92</v>
      </c>
      <c r="L14" s="4"/>
      <c r="M14" s="4"/>
      <c r="N14" s="4" t="s">
        <v>70</v>
      </c>
      <c r="O14" s="51" t="b">
        <v>0</v>
      </c>
      <c r="P14" s="51" t="b">
        <v>0</v>
      </c>
      <c r="Q14" s="51" t="b">
        <v>0</v>
      </c>
      <c r="R14" s="51" t="b">
        <v>0</v>
      </c>
      <c r="S14" s="51" t="b">
        <v>0</v>
      </c>
    </row>
    <row r="15" hidden="1">
      <c r="A15" s="4" t="str">
        <f>IFERROR(__xludf.DUMMYFUNCTION("""COMPUTED_VALUE"""),"137 - Channel")</f>
        <v>137 - Channel</v>
      </c>
      <c r="B15" s="4" t="s">
        <v>14</v>
      </c>
      <c r="C15" s="4" t="s">
        <v>66</v>
      </c>
      <c r="D15" s="6">
        <v>0.43015046296296305</v>
      </c>
      <c r="E15" s="6">
        <v>0.009027777777777777</v>
      </c>
      <c r="F15" s="6">
        <v>0.43917824074074086</v>
      </c>
      <c r="G15" s="4" t="s">
        <v>93</v>
      </c>
      <c r="H15" s="4" t="s">
        <v>94</v>
      </c>
      <c r="I15" s="4" t="s">
        <v>95</v>
      </c>
      <c r="J15" s="4" t="s">
        <v>96</v>
      </c>
      <c r="K15" s="4"/>
      <c r="L15" s="4"/>
      <c r="M15" s="4"/>
      <c r="N15" s="4" t="s">
        <v>97</v>
      </c>
      <c r="O15" s="51" t="b">
        <v>0</v>
      </c>
      <c r="P15" s="51" t="b">
        <v>0</v>
      </c>
      <c r="Q15" s="51" t="b">
        <v>0</v>
      </c>
      <c r="R15" s="51" t="b">
        <v>0</v>
      </c>
      <c r="S15" s="51" t="b">
        <v>0</v>
      </c>
    </row>
    <row r="16" hidden="1">
      <c r="A16" s="4" t="str">
        <f>IFERROR(__xludf.DUMMYFUNCTION("""COMPUTED_VALUE"""),"2294 - Channel")</f>
        <v>2294 - Channel</v>
      </c>
      <c r="B16" s="4" t="s">
        <v>14</v>
      </c>
      <c r="C16" s="4" t="s">
        <v>66</v>
      </c>
      <c r="D16" s="6">
        <v>0.43917824074074086</v>
      </c>
      <c r="E16" s="6">
        <v>5.208333333333333E-4</v>
      </c>
      <c r="F16" s="6">
        <v>0.4396990740740742</v>
      </c>
      <c r="G16" s="4"/>
      <c r="H16" s="4" t="s">
        <v>89</v>
      </c>
      <c r="I16" s="4"/>
      <c r="J16" s="4" t="s">
        <v>69</v>
      </c>
      <c r="K16" s="4"/>
      <c r="L16" s="4"/>
      <c r="M16" s="4"/>
      <c r="N16" s="4"/>
      <c r="O16" s="51" t="b">
        <v>0</v>
      </c>
      <c r="P16" s="51" t="b">
        <v>0</v>
      </c>
      <c r="Q16" s="51" t="b">
        <v>0</v>
      </c>
      <c r="R16" s="51" t="b">
        <v>0</v>
      </c>
      <c r="S16" s="51" t="b">
        <v>0</v>
      </c>
    </row>
    <row r="17" hidden="1">
      <c r="A17" s="4" t="str">
        <f>IFERROR(__xludf.DUMMYFUNCTION("""COMPUTED_VALUE"""),"2293 - Channel")</f>
        <v>2293 - Channel</v>
      </c>
      <c r="B17" s="4" t="s">
        <v>14</v>
      </c>
      <c r="C17" s="4" t="s">
        <v>66</v>
      </c>
      <c r="D17" s="6">
        <v>0.4396990740740742</v>
      </c>
      <c r="E17" s="6">
        <v>3.4722222222222224E-4</v>
      </c>
      <c r="F17" s="6">
        <v>0.44004629629629644</v>
      </c>
      <c r="G17" s="4"/>
      <c r="H17" s="4" t="s">
        <v>87</v>
      </c>
      <c r="I17" s="4"/>
      <c r="J17" s="4" t="s">
        <v>69</v>
      </c>
      <c r="K17" s="4"/>
      <c r="L17" s="4"/>
      <c r="M17" s="4"/>
      <c r="N17" s="4"/>
      <c r="O17" s="51" t="b">
        <v>0</v>
      </c>
      <c r="P17" s="51" t="b">
        <v>0</v>
      </c>
      <c r="Q17" s="51" t="b">
        <v>0</v>
      </c>
      <c r="R17" s="51" t="b">
        <v>0</v>
      </c>
      <c r="S17" s="51" t="b">
        <v>0</v>
      </c>
    </row>
    <row r="18" hidden="1">
      <c r="A18" s="4" t="str">
        <f>IFERROR(__xludf.DUMMYFUNCTION("""COMPUTED_VALUE"""),"100 - Channel")</f>
        <v>100 - Channel</v>
      </c>
      <c r="B18" s="4" t="s">
        <v>14</v>
      </c>
      <c r="C18" s="4" t="s">
        <v>66</v>
      </c>
      <c r="D18" s="6">
        <v>0.44004629629629644</v>
      </c>
      <c r="E18" s="6">
        <v>2.314814814814815E-4</v>
      </c>
      <c r="F18" s="6">
        <v>0.44027777777777793</v>
      </c>
      <c r="G18" s="4"/>
      <c r="H18" s="4" t="s">
        <v>81</v>
      </c>
      <c r="I18" s="4" t="s">
        <v>98</v>
      </c>
      <c r="J18" s="4" t="s">
        <v>92</v>
      </c>
      <c r="K18" s="4"/>
      <c r="L18" s="4"/>
      <c r="M18" s="4"/>
      <c r="N18" s="4" t="s">
        <v>70</v>
      </c>
      <c r="O18" s="51" t="b">
        <v>0</v>
      </c>
      <c r="P18" s="51" t="b">
        <v>0</v>
      </c>
      <c r="Q18" s="51" t="b">
        <v>0</v>
      </c>
      <c r="R18" s="51" t="b">
        <v>0</v>
      </c>
      <c r="S18" s="51" t="b">
        <v>0</v>
      </c>
    </row>
    <row r="19" hidden="1">
      <c r="A19" s="4" t="str">
        <f>IFERROR(__xludf.DUMMYFUNCTION("""COMPUTED_VALUE"""),"101 - Channel")</f>
        <v>101 - Channel</v>
      </c>
      <c r="B19" s="4" t="s">
        <v>14</v>
      </c>
      <c r="C19" s="4" t="s">
        <v>66</v>
      </c>
      <c r="D19" s="6">
        <v>0.44027777777777793</v>
      </c>
      <c r="E19" s="6">
        <v>0.0020833333333333333</v>
      </c>
      <c r="F19" s="6">
        <v>0.44236111111111126</v>
      </c>
      <c r="G19" s="4"/>
      <c r="H19" s="4" t="s">
        <v>83</v>
      </c>
      <c r="I19" s="4" t="s">
        <v>99</v>
      </c>
      <c r="J19" s="4" t="s">
        <v>90</v>
      </c>
      <c r="K19" s="4"/>
      <c r="L19" s="4"/>
      <c r="M19" s="4"/>
      <c r="N19" s="4" t="s">
        <v>70</v>
      </c>
      <c r="O19" s="51" t="b">
        <v>0</v>
      </c>
      <c r="P19" s="51" t="b">
        <v>0</v>
      </c>
      <c r="Q19" s="51" t="b">
        <v>0</v>
      </c>
      <c r="R19" s="51" t="b">
        <v>0</v>
      </c>
      <c r="S19" s="51" t="b">
        <v>0</v>
      </c>
    </row>
    <row r="20" hidden="1">
      <c r="A20" s="4" t="str">
        <f>IFERROR(__xludf.DUMMYFUNCTION("""COMPUTED_VALUE"""),"2235 - Channel")</f>
        <v>2235 - Channel</v>
      </c>
      <c r="B20" s="4" t="s">
        <v>14</v>
      </c>
      <c r="C20" s="4" t="s">
        <v>66</v>
      </c>
      <c r="D20" s="6">
        <v>0.44236111111111126</v>
      </c>
      <c r="E20" s="6">
        <v>2.314814814814815E-4</v>
      </c>
      <c r="F20" s="6">
        <v>0.44259259259259276</v>
      </c>
      <c r="G20" s="4"/>
      <c r="H20" s="4" t="s">
        <v>85</v>
      </c>
      <c r="I20" s="4" t="s">
        <v>86</v>
      </c>
      <c r="J20" s="4" t="s">
        <v>92</v>
      </c>
      <c r="K20" s="4"/>
      <c r="L20" s="4"/>
      <c r="M20" s="4"/>
      <c r="N20" s="4"/>
      <c r="O20" s="51" t="b">
        <v>0</v>
      </c>
      <c r="P20" s="51" t="b">
        <v>0</v>
      </c>
      <c r="Q20" s="51" t="b">
        <v>0</v>
      </c>
      <c r="R20" s="51" t="b">
        <v>0</v>
      </c>
      <c r="S20" s="51" t="b">
        <v>0</v>
      </c>
    </row>
    <row r="21" hidden="1">
      <c r="A21" s="4" t="str">
        <f>IFERROR(__xludf.DUMMYFUNCTION("""COMPUTED_VALUE"""),"53 - Channel")</f>
        <v>53 - Channel</v>
      </c>
      <c r="B21" s="4" t="s">
        <v>14</v>
      </c>
      <c r="C21" s="4" t="s">
        <v>66</v>
      </c>
      <c r="D21" s="6">
        <v>0.44259259259259276</v>
      </c>
      <c r="E21" s="6">
        <v>2.314814814814815E-4</v>
      </c>
      <c r="F21" s="6">
        <v>0.44282407407407426</v>
      </c>
      <c r="G21" s="4"/>
      <c r="H21" s="4" t="s">
        <v>81</v>
      </c>
      <c r="I21" s="4" t="s">
        <v>91</v>
      </c>
      <c r="J21" s="4" t="s">
        <v>73</v>
      </c>
      <c r="K21" s="4" t="s">
        <v>92</v>
      </c>
      <c r="L21" s="4"/>
      <c r="M21" s="4"/>
      <c r="N21" s="4" t="s">
        <v>70</v>
      </c>
      <c r="O21" s="51" t="b">
        <v>0</v>
      </c>
      <c r="P21" s="51" t="b">
        <v>0</v>
      </c>
      <c r="Q21" s="51" t="b">
        <v>0</v>
      </c>
      <c r="R21" s="51" t="b">
        <v>0</v>
      </c>
      <c r="S21" s="51" t="b">
        <v>0</v>
      </c>
    </row>
    <row r="22" hidden="1">
      <c r="A22" s="4" t="str">
        <f>IFERROR(__xludf.DUMMYFUNCTION("""COMPUTED_VALUE"""),"337 - Channel")</f>
        <v>337 - Channel</v>
      </c>
      <c r="B22" s="4" t="s">
        <v>14</v>
      </c>
      <c r="C22" s="4" t="s">
        <v>66</v>
      </c>
      <c r="D22" s="6">
        <v>0.44282407407407426</v>
      </c>
      <c r="E22" s="6">
        <v>0.013888888888888888</v>
      </c>
      <c r="F22" s="6">
        <v>0.45671296296296315</v>
      </c>
      <c r="G22" s="4"/>
      <c r="H22" s="4" t="s">
        <v>94</v>
      </c>
      <c r="I22" s="4" t="s">
        <v>100</v>
      </c>
      <c r="J22" s="4" t="s">
        <v>101</v>
      </c>
      <c r="K22" s="4"/>
      <c r="L22" s="4"/>
      <c r="M22" s="4"/>
      <c r="N22" s="4" t="s">
        <v>102</v>
      </c>
      <c r="O22" s="51" t="b">
        <v>0</v>
      </c>
      <c r="P22" s="51" t="b">
        <v>0</v>
      </c>
      <c r="Q22" s="51" t="b">
        <v>0</v>
      </c>
      <c r="R22" s="51" t="b">
        <v>0</v>
      </c>
      <c r="S22" s="51" t="b">
        <v>0</v>
      </c>
    </row>
    <row r="23" hidden="1">
      <c r="A23" s="4" t="str">
        <f>IFERROR(__xludf.DUMMYFUNCTION("""COMPUTED_VALUE"""),"1821 - Channel")</f>
        <v>1821 - Channel</v>
      </c>
      <c r="B23" s="4" t="s">
        <v>14</v>
      </c>
      <c r="C23" s="4" t="s">
        <v>66</v>
      </c>
      <c r="D23" s="6">
        <v>0.45671296296296315</v>
      </c>
      <c r="E23" s="6">
        <v>0.0016203703703703703</v>
      </c>
      <c r="F23" s="6">
        <v>0.45833333333333354</v>
      </c>
      <c r="G23" s="4"/>
      <c r="H23" s="4"/>
      <c r="I23" s="4"/>
      <c r="J23" s="4"/>
      <c r="K23" s="4"/>
      <c r="L23" s="4"/>
      <c r="M23" s="4"/>
      <c r="N23" s="4"/>
      <c r="O23" s="51" t="b">
        <v>0</v>
      </c>
      <c r="P23" s="51" t="b">
        <v>0</v>
      </c>
      <c r="Q23" s="51" t="b">
        <v>0</v>
      </c>
      <c r="R23" s="51" t="b">
        <v>0</v>
      </c>
      <c r="S23" s="51" t="b">
        <v>0</v>
      </c>
    </row>
    <row r="24" hidden="1">
      <c r="A24" s="4" t="str">
        <f>IFERROR(__xludf.DUMMYFUNCTION("""COMPUTED_VALUE"""),"21 - Channel")</f>
        <v>21 - Channel</v>
      </c>
      <c r="B24" s="4" t="s">
        <v>14</v>
      </c>
      <c r="C24" s="4" t="s">
        <v>66</v>
      </c>
      <c r="D24" s="6"/>
      <c r="E24" s="6"/>
      <c r="F24" s="6"/>
      <c r="G24" s="4"/>
      <c r="H24" s="4"/>
      <c r="I24" s="4"/>
      <c r="J24" s="4"/>
      <c r="K24" s="4"/>
      <c r="L24" s="4"/>
      <c r="M24" s="4"/>
      <c r="N24" s="4" t="s">
        <v>70</v>
      </c>
      <c r="O24" s="51" t="b">
        <v>0</v>
      </c>
      <c r="P24" s="51" t="b">
        <v>0</v>
      </c>
      <c r="Q24" s="51" t="b">
        <v>0</v>
      </c>
      <c r="R24" s="51" t="b">
        <v>0</v>
      </c>
      <c r="S24" s="51" t="b">
        <v>0</v>
      </c>
    </row>
    <row r="25" hidden="1">
      <c r="A25" s="4" t="str">
        <f>IFERROR(__xludf.DUMMYFUNCTION("""COMPUTED_VALUE"""),"1901 - Channel")</f>
        <v>1901 - Channel</v>
      </c>
      <c r="B25" s="4" t="s">
        <v>14</v>
      </c>
      <c r="C25" s="4" t="s">
        <v>66</v>
      </c>
      <c r="D25" s="6">
        <v>0.45833333333333354</v>
      </c>
      <c r="E25" s="6">
        <v>6.944444444444445E-4</v>
      </c>
      <c r="F25" s="6">
        <v>0.459027777777778</v>
      </c>
      <c r="G25" s="4"/>
      <c r="H25" s="4" t="s">
        <v>103</v>
      </c>
      <c r="I25" s="4" t="s">
        <v>104</v>
      </c>
      <c r="J25" s="4" t="s">
        <v>105</v>
      </c>
      <c r="K25" s="4"/>
      <c r="L25" s="4"/>
      <c r="M25" s="4"/>
      <c r="N25" s="4"/>
      <c r="O25" s="51" t="b">
        <v>0</v>
      </c>
      <c r="P25" s="51" t="b">
        <v>0</v>
      </c>
      <c r="Q25" s="51" t="b">
        <v>0</v>
      </c>
      <c r="R25" s="51" t="b">
        <v>0</v>
      </c>
      <c r="S25" s="51" t="b">
        <v>0</v>
      </c>
    </row>
    <row r="26" hidden="1">
      <c r="A26" s="4" t="str">
        <f>IFERROR(__xludf.DUMMYFUNCTION("""COMPUTED_VALUE"""),"1822 - Channel")</f>
        <v>1822 - Channel</v>
      </c>
      <c r="B26" s="4" t="s">
        <v>14</v>
      </c>
      <c r="C26" s="4" t="s">
        <v>66</v>
      </c>
      <c r="D26" s="6">
        <v>0.459027777777778</v>
      </c>
      <c r="E26" s="6">
        <v>3.4722222222222224E-4</v>
      </c>
      <c r="F26" s="6">
        <v>0.4593750000000002</v>
      </c>
      <c r="G26" s="4"/>
      <c r="H26" s="4" t="s">
        <v>89</v>
      </c>
      <c r="I26" s="4"/>
      <c r="J26" s="4" t="s">
        <v>69</v>
      </c>
      <c r="K26" s="4"/>
      <c r="L26" s="4"/>
      <c r="M26" s="4"/>
      <c r="N26" s="4"/>
      <c r="O26" s="51" t="b">
        <v>0</v>
      </c>
      <c r="P26" s="51" t="b">
        <v>0</v>
      </c>
      <c r="Q26" s="51" t="b">
        <v>0</v>
      </c>
      <c r="R26" s="51" t="b">
        <v>0</v>
      </c>
      <c r="S26" s="51" t="b">
        <v>0</v>
      </c>
    </row>
    <row r="27" hidden="1">
      <c r="A27" s="4" t="str">
        <f>IFERROR(__xludf.DUMMYFUNCTION("""COMPUTED_VALUE"""),"23 - Channel")</f>
        <v>23 - Channel</v>
      </c>
      <c r="B27" s="4" t="s">
        <v>14</v>
      </c>
      <c r="C27" s="4" t="s">
        <v>66</v>
      </c>
      <c r="D27" s="6">
        <v>0.4593750000000002</v>
      </c>
      <c r="E27" s="6">
        <v>2.314814814814815E-4</v>
      </c>
      <c r="F27" s="6">
        <v>0.4596064814814817</v>
      </c>
      <c r="G27" s="4"/>
      <c r="H27" s="4" t="s">
        <v>81</v>
      </c>
      <c r="I27" s="4" t="s">
        <v>81</v>
      </c>
      <c r="J27" s="4" t="s">
        <v>105</v>
      </c>
      <c r="K27" s="4"/>
      <c r="L27" s="4"/>
      <c r="M27" s="4"/>
      <c r="N27" s="4" t="s">
        <v>70</v>
      </c>
      <c r="O27" s="51" t="b">
        <v>0</v>
      </c>
      <c r="P27" s="51" t="b">
        <v>0</v>
      </c>
      <c r="Q27" s="51" t="b">
        <v>0</v>
      </c>
      <c r="R27" s="51" t="b">
        <v>0</v>
      </c>
      <c r="S27" s="51" t="b">
        <v>0</v>
      </c>
    </row>
    <row r="28" hidden="1">
      <c r="A28" s="4" t="str">
        <f>IFERROR(__xludf.DUMMYFUNCTION("""COMPUTED_VALUE"""),"24 - Channel")</f>
        <v>24 - Channel</v>
      </c>
      <c r="B28" s="4" t="s">
        <v>14</v>
      </c>
      <c r="C28" s="4" t="s">
        <v>66</v>
      </c>
      <c r="D28" s="6">
        <v>0.4596064814814817</v>
      </c>
      <c r="E28" s="6">
        <v>0.008819444444444444</v>
      </c>
      <c r="F28" s="6">
        <v>0.46842592592592613</v>
      </c>
      <c r="G28" s="4" t="s">
        <v>106</v>
      </c>
      <c r="H28" s="4" t="s">
        <v>107</v>
      </c>
      <c r="I28" s="4" t="s">
        <v>108</v>
      </c>
      <c r="J28" s="4" t="s">
        <v>109</v>
      </c>
      <c r="K28" s="4"/>
      <c r="L28" s="4"/>
      <c r="M28" s="4"/>
      <c r="N28" s="4" t="s">
        <v>110</v>
      </c>
      <c r="O28" s="51" t="b">
        <v>0</v>
      </c>
      <c r="P28" s="51" t="b">
        <v>0</v>
      </c>
      <c r="Q28" s="51" t="b">
        <v>0</v>
      </c>
      <c r="R28" s="51" t="b">
        <v>0</v>
      </c>
      <c r="S28" s="51" t="b">
        <v>0</v>
      </c>
    </row>
    <row r="29" hidden="1">
      <c r="A29" s="4" t="str">
        <f>IFERROR(__xludf.DUMMYFUNCTION("""COMPUTED_VALUE"""),"1823 - Channel")</f>
        <v>1823 - Channel</v>
      </c>
      <c r="B29" s="4" t="s">
        <v>14</v>
      </c>
      <c r="C29" s="4" t="s">
        <v>66</v>
      </c>
      <c r="D29" s="6">
        <v>0.46842592592592613</v>
      </c>
      <c r="E29" s="6">
        <v>3.4722222222222224E-4</v>
      </c>
      <c r="F29" s="6">
        <v>0.46877314814814836</v>
      </c>
      <c r="G29" s="4"/>
      <c r="H29" s="4" t="s">
        <v>87</v>
      </c>
      <c r="I29" s="4"/>
      <c r="J29" s="4"/>
      <c r="K29" s="4"/>
      <c r="L29" s="4"/>
      <c r="M29" s="4"/>
      <c r="N29" s="4"/>
      <c r="O29" s="51" t="b">
        <v>0</v>
      </c>
      <c r="P29" s="51" t="b">
        <v>0</v>
      </c>
      <c r="Q29" s="51" t="b">
        <v>0</v>
      </c>
      <c r="R29" s="51" t="b">
        <v>0</v>
      </c>
      <c r="S29" s="51" t="b">
        <v>0</v>
      </c>
    </row>
    <row r="30" hidden="1">
      <c r="A30" s="4" t="str">
        <f>IFERROR(__xludf.DUMMYFUNCTION("""COMPUTED_VALUE"""),"26 - Channel")</f>
        <v>26 - Channel</v>
      </c>
      <c r="B30" s="4" t="s">
        <v>14</v>
      </c>
      <c r="C30" s="4" t="s">
        <v>66</v>
      </c>
      <c r="D30" s="6">
        <v>0.46877314814814836</v>
      </c>
      <c r="E30" s="6">
        <v>2.314814814814815E-4</v>
      </c>
      <c r="F30" s="6">
        <v>0.46900462962962985</v>
      </c>
      <c r="G30" s="4"/>
      <c r="H30" s="4" t="s">
        <v>81</v>
      </c>
      <c r="I30" s="4" t="s">
        <v>111</v>
      </c>
      <c r="J30" s="4" t="s">
        <v>105</v>
      </c>
      <c r="K30" s="4"/>
      <c r="L30" s="4"/>
      <c r="M30" s="4"/>
      <c r="N30" s="4" t="s">
        <v>70</v>
      </c>
      <c r="O30" s="51" t="b">
        <v>0</v>
      </c>
      <c r="P30" s="51" t="b">
        <v>0</v>
      </c>
      <c r="Q30" s="51" t="b">
        <v>0</v>
      </c>
      <c r="R30" s="51" t="b">
        <v>0</v>
      </c>
      <c r="S30" s="51" t="b">
        <v>0</v>
      </c>
    </row>
    <row r="31" hidden="1">
      <c r="A31" s="4" t="str">
        <f>IFERROR(__xludf.DUMMYFUNCTION("""COMPUTED_VALUE"""),"27 - Channel")</f>
        <v>27 - Channel</v>
      </c>
      <c r="B31" s="4" t="s">
        <v>14</v>
      </c>
      <c r="C31" s="4" t="s">
        <v>66</v>
      </c>
      <c r="D31" s="6">
        <v>0.46900462962962985</v>
      </c>
      <c r="E31" s="6">
        <v>0.0020833333333333333</v>
      </c>
      <c r="F31" s="6">
        <v>0.4710879629629632</v>
      </c>
      <c r="G31" s="4" t="s">
        <v>106</v>
      </c>
      <c r="H31" s="4" t="s">
        <v>83</v>
      </c>
      <c r="I31" s="4" t="s">
        <v>112</v>
      </c>
      <c r="J31" s="4"/>
      <c r="K31" s="4"/>
      <c r="L31" s="4"/>
      <c r="M31" s="4"/>
      <c r="N31" s="4" t="s">
        <v>70</v>
      </c>
      <c r="O31" s="51" t="b">
        <v>0</v>
      </c>
      <c r="P31" s="51" t="b">
        <v>0</v>
      </c>
      <c r="Q31" s="51" t="b">
        <v>0</v>
      </c>
      <c r="R31" s="51" t="b">
        <v>0</v>
      </c>
      <c r="S31" s="51" t="b">
        <v>0</v>
      </c>
    </row>
    <row r="32" hidden="1">
      <c r="A32" s="4" t="str">
        <f>IFERROR(__xludf.DUMMYFUNCTION("""COMPUTED_VALUE"""),"2236 - Channel")</f>
        <v>2236 - Channel</v>
      </c>
      <c r="B32" s="4" t="s">
        <v>14</v>
      </c>
      <c r="C32" s="4" t="s">
        <v>66</v>
      </c>
      <c r="D32" s="6">
        <v>0.4710879629629632</v>
      </c>
      <c r="E32" s="6">
        <v>2.314814814814815E-4</v>
      </c>
      <c r="F32" s="6">
        <v>0.4713194444444447</v>
      </c>
      <c r="G32" s="4"/>
      <c r="H32" s="4" t="s">
        <v>85</v>
      </c>
      <c r="I32" s="4" t="s">
        <v>86</v>
      </c>
      <c r="J32" s="4" t="s">
        <v>105</v>
      </c>
      <c r="K32" s="4"/>
      <c r="L32" s="4"/>
      <c r="M32" s="4"/>
      <c r="N32" s="4"/>
      <c r="O32" s="51" t="b">
        <v>0</v>
      </c>
      <c r="P32" s="51" t="b">
        <v>0</v>
      </c>
      <c r="Q32" s="51" t="b">
        <v>0</v>
      </c>
      <c r="R32" s="51" t="b">
        <v>0</v>
      </c>
      <c r="S32" s="51" t="b">
        <v>0</v>
      </c>
    </row>
    <row r="33" hidden="1">
      <c r="A33" s="4" t="str">
        <f>IFERROR(__xludf.DUMMYFUNCTION("""COMPUTED_VALUE"""),"1824 - Channel")</f>
        <v>1824 - Channel</v>
      </c>
      <c r="B33" s="4" t="s">
        <v>14</v>
      </c>
      <c r="C33" s="4" t="s">
        <v>66</v>
      </c>
      <c r="D33" s="6">
        <v>0.4713194444444447</v>
      </c>
      <c r="E33" s="6">
        <v>5.208333333333333E-4</v>
      </c>
      <c r="F33" s="6">
        <v>0.47184027777777804</v>
      </c>
      <c r="G33" s="4"/>
      <c r="H33" s="4" t="s">
        <v>79</v>
      </c>
      <c r="I33" s="4"/>
      <c r="J33" s="4"/>
      <c r="K33" s="4"/>
      <c r="L33" s="4"/>
      <c r="M33" s="4"/>
      <c r="N33" s="4"/>
      <c r="O33" s="51" t="b">
        <v>0</v>
      </c>
      <c r="P33" s="51" t="b">
        <v>0</v>
      </c>
      <c r="Q33" s="51" t="b">
        <v>0</v>
      </c>
      <c r="R33" s="51" t="b">
        <v>0</v>
      </c>
      <c r="S33" s="51" t="b">
        <v>0</v>
      </c>
    </row>
    <row r="34" hidden="1">
      <c r="A34" s="4" t="str">
        <f>IFERROR(__xludf.DUMMYFUNCTION("""COMPUTED_VALUE"""),"30 - Channel")</f>
        <v>30 - Channel</v>
      </c>
      <c r="B34" s="4" t="s">
        <v>14</v>
      </c>
      <c r="C34" s="4" t="s">
        <v>66</v>
      </c>
      <c r="D34" s="6">
        <v>0.47184027777777804</v>
      </c>
      <c r="E34" s="6">
        <v>2.314814814814815E-4</v>
      </c>
      <c r="F34" s="6">
        <v>0.47207175925925954</v>
      </c>
      <c r="G34" s="4"/>
      <c r="H34" s="4" t="s">
        <v>81</v>
      </c>
      <c r="I34" s="4" t="s">
        <v>81</v>
      </c>
      <c r="J34" s="4" t="s">
        <v>73</v>
      </c>
      <c r="K34" s="4" t="s">
        <v>105</v>
      </c>
      <c r="L34" s="4"/>
      <c r="M34" s="4"/>
      <c r="N34" s="4" t="s">
        <v>70</v>
      </c>
      <c r="O34" s="51" t="b">
        <v>0</v>
      </c>
      <c r="P34" s="51" t="b">
        <v>0</v>
      </c>
      <c r="Q34" s="51" t="b">
        <v>0</v>
      </c>
      <c r="R34" s="51" t="b">
        <v>0</v>
      </c>
      <c r="S34" s="51" t="b">
        <v>0</v>
      </c>
    </row>
    <row r="35" hidden="1">
      <c r="A35" s="4" t="str">
        <f>IFERROR(__xludf.DUMMYFUNCTION("""COMPUTED_VALUE"""),"1376 - Channel")</f>
        <v>1376 - Channel</v>
      </c>
      <c r="B35" s="4" t="s">
        <v>14</v>
      </c>
      <c r="C35" s="4" t="s">
        <v>66</v>
      </c>
      <c r="D35" s="6">
        <v>0.47207175925925954</v>
      </c>
      <c r="E35" s="6">
        <v>0.008043981481481482</v>
      </c>
      <c r="F35" s="6">
        <v>0.48011574074074104</v>
      </c>
      <c r="G35" s="4"/>
      <c r="H35" s="4" t="s">
        <v>107</v>
      </c>
      <c r="I35" s="4" t="s">
        <v>113</v>
      </c>
      <c r="J35" s="4" t="s">
        <v>114</v>
      </c>
      <c r="K35" s="4" t="s">
        <v>115</v>
      </c>
      <c r="L35" s="4"/>
      <c r="M35" s="4"/>
      <c r="N35" s="4" t="s">
        <v>116</v>
      </c>
      <c r="O35" s="51" t="b">
        <v>0</v>
      </c>
      <c r="P35" s="51" t="b">
        <v>0</v>
      </c>
      <c r="Q35" s="51" t="b">
        <v>0</v>
      </c>
      <c r="R35" s="51" t="b">
        <v>0</v>
      </c>
      <c r="S35" s="51" t="b">
        <v>0</v>
      </c>
    </row>
    <row r="36" hidden="1">
      <c r="A36" s="4" t="str">
        <f>IFERROR(__xludf.DUMMYFUNCTION("""COMPUTED_VALUE"""),"33 - Channel")</f>
        <v>33 - Channel</v>
      </c>
      <c r="B36" s="4" t="s">
        <v>14</v>
      </c>
      <c r="C36" s="4" t="s">
        <v>66</v>
      </c>
      <c r="D36" s="6">
        <v>0.48011574074074104</v>
      </c>
      <c r="E36" s="6">
        <v>3.4722222222222224E-4</v>
      </c>
      <c r="F36" s="6">
        <v>0.48046296296296326</v>
      </c>
      <c r="G36" s="4"/>
      <c r="H36" s="4" t="s">
        <v>87</v>
      </c>
      <c r="I36" s="4"/>
      <c r="J36" s="4" t="s">
        <v>69</v>
      </c>
      <c r="K36" s="4"/>
      <c r="L36" s="4"/>
      <c r="M36" s="4"/>
      <c r="N36" s="4" t="s">
        <v>70</v>
      </c>
      <c r="O36" s="51" t="b">
        <v>0</v>
      </c>
      <c r="P36" s="51" t="b">
        <v>0</v>
      </c>
      <c r="Q36" s="51" t="b">
        <v>0</v>
      </c>
      <c r="R36" s="51" t="b">
        <v>0</v>
      </c>
      <c r="S36" s="51" t="b">
        <v>0</v>
      </c>
    </row>
    <row r="37" hidden="1">
      <c r="A37" s="4" t="str">
        <f>IFERROR(__xludf.DUMMYFUNCTION("""COMPUTED_VALUE"""),"34 - Channel")</f>
        <v>34 - Channel</v>
      </c>
      <c r="B37" s="4" t="s">
        <v>14</v>
      </c>
      <c r="C37" s="4" t="s">
        <v>66</v>
      </c>
      <c r="D37" s="6">
        <v>0.48046296296296326</v>
      </c>
      <c r="E37" s="6">
        <v>2.314814814814815E-4</v>
      </c>
      <c r="F37" s="6">
        <v>0.48069444444444476</v>
      </c>
      <c r="G37" s="4"/>
      <c r="H37" s="4" t="s">
        <v>81</v>
      </c>
      <c r="I37" s="4" t="s">
        <v>117</v>
      </c>
      <c r="J37" s="4" t="s">
        <v>105</v>
      </c>
      <c r="K37" s="4"/>
      <c r="L37" s="4"/>
      <c r="M37" s="4"/>
      <c r="N37" s="4" t="s">
        <v>70</v>
      </c>
      <c r="O37" s="51" t="b">
        <v>0</v>
      </c>
      <c r="P37" s="51" t="b">
        <v>0</v>
      </c>
      <c r="Q37" s="51" t="b">
        <v>0</v>
      </c>
      <c r="R37" s="51" t="b">
        <v>0</v>
      </c>
      <c r="S37" s="51" t="b">
        <v>0</v>
      </c>
    </row>
    <row r="38" hidden="1">
      <c r="A38" s="4" t="str">
        <f>IFERROR(__xludf.DUMMYFUNCTION("""COMPUTED_VALUE"""),"1363 - Channel")</f>
        <v>1363 - Channel</v>
      </c>
      <c r="B38" s="4" t="s">
        <v>14</v>
      </c>
      <c r="C38" s="4" t="s">
        <v>66</v>
      </c>
      <c r="D38" s="6">
        <v>0.48069444444444476</v>
      </c>
      <c r="E38" s="6">
        <v>0.0020833333333333333</v>
      </c>
      <c r="F38" s="6">
        <v>0.4827777777777781</v>
      </c>
      <c r="G38" s="4"/>
      <c r="H38" s="4" t="s">
        <v>83</v>
      </c>
      <c r="I38" s="4" t="s">
        <v>118</v>
      </c>
      <c r="J38" s="4" t="s">
        <v>90</v>
      </c>
      <c r="K38" s="4"/>
      <c r="L38" s="4"/>
      <c r="M38" s="4"/>
      <c r="N38" s="4" t="s">
        <v>70</v>
      </c>
      <c r="O38" s="51" t="b">
        <v>0</v>
      </c>
      <c r="P38" s="51" t="b">
        <v>0</v>
      </c>
      <c r="Q38" s="51" t="b">
        <v>0</v>
      </c>
      <c r="R38" s="51" t="b">
        <v>0</v>
      </c>
      <c r="S38" s="51" t="b">
        <v>0</v>
      </c>
    </row>
    <row r="39" hidden="1">
      <c r="A39" s="4" t="str">
        <f>IFERROR(__xludf.DUMMYFUNCTION("""COMPUTED_VALUE"""),"2237 - Channel")</f>
        <v>2237 - Channel</v>
      </c>
      <c r="B39" s="4" t="s">
        <v>14</v>
      </c>
      <c r="C39" s="4" t="s">
        <v>66</v>
      </c>
      <c r="D39" s="6">
        <v>0.4827777777777781</v>
      </c>
      <c r="E39" s="6">
        <v>2.314814814814815E-4</v>
      </c>
      <c r="F39" s="6">
        <v>0.4830092592592596</v>
      </c>
      <c r="G39" s="4"/>
      <c r="H39" s="4" t="s">
        <v>85</v>
      </c>
      <c r="I39" s="4" t="s">
        <v>86</v>
      </c>
      <c r="J39" s="4" t="s">
        <v>105</v>
      </c>
      <c r="K39" s="4"/>
      <c r="L39" s="4"/>
      <c r="M39" s="4"/>
      <c r="N39" s="4"/>
      <c r="O39" s="51" t="b">
        <v>0</v>
      </c>
      <c r="P39" s="51" t="b">
        <v>0</v>
      </c>
      <c r="Q39" s="51" t="b">
        <v>0</v>
      </c>
      <c r="R39" s="51" t="b">
        <v>0</v>
      </c>
      <c r="S39" s="51" t="b">
        <v>0</v>
      </c>
    </row>
    <row r="40" hidden="1">
      <c r="A40" s="4" t="str">
        <f>IFERROR(__xludf.DUMMYFUNCTION("""COMPUTED_VALUE"""),"1641 - Channel")</f>
        <v>1641 - Channel</v>
      </c>
      <c r="B40" s="4" t="s">
        <v>14</v>
      </c>
      <c r="C40" s="4" t="s">
        <v>66</v>
      </c>
      <c r="D40" s="6">
        <v>0.4830092592592596</v>
      </c>
      <c r="E40" s="6">
        <v>5.208333333333333E-4</v>
      </c>
      <c r="F40" s="6">
        <v>0.48353009259259294</v>
      </c>
      <c r="G40" s="4"/>
      <c r="H40" s="4" t="s">
        <v>89</v>
      </c>
      <c r="I40" s="4" t="s">
        <v>80</v>
      </c>
      <c r="J40" s="4" t="s">
        <v>69</v>
      </c>
      <c r="K40" s="4"/>
      <c r="L40" s="4"/>
      <c r="M40" s="4"/>
      <c r="N40" s="4" t="s">
        <v>70</v>
      </c>
      <c r="O40" s="51" t="b">
        <v>0</v>
      </c>
      <c r="P40" s="51" t="b">
        <v>0</v>
      </c>
      <c r="Q40" s="51" t="b">
        <v>0</v>
      </c>
      <c r="R40" s="51" t="b">
        <v>0</v>
      </c>
      <c r="S40" s="51" t="b">
        <v>0</v>
      </c>
    </row>
    <row r="41" hidden="1">
      <c r="A41" s="4" t="str">
        <f>IFERROR(__xludf.DUMMYFUNCTION("""COMPUTED_VALUE"""),"1817 - Channel")</f>
        <v>1817 - Channel</v>
      </c>
      <c r="B41" s="4" t="s">
        <v>14</v>
      </c>
      <c r="C41" s="4" t="s">
        <v>66</v>
      </c>
      <c r="D41" s="6">
        <v>0.48353009259259294</v>
      </c>
      <c r="E41" s="6">
        <v>3.4722222222222224E-4</v>
      </c>
      <c r="F41" s="6">
        <v>0.48387731481481516</v>
      </c>
      <c r="G41" s="4"/>
      <c r="H41" s="4" t="s">
        <v>87</v>
      </c>
      <c r="I41" s="4"/>
      <c r="J41" s="4" t="s">
        <v>69</v>
      </c>
      <c r="K41" s="4"/>
      <c r="L41" s="4"/>
      <c r="M41" s="4"/>
      <c r="N41" s="4"/>
      <c r="O41" s="51" t="b">
        <v>0</v>
      </c>
      <c r="P41" s="51" t="b">
        <v>0</v>
      </c>
      <c r="Q41" s="51" t="b">
        <v>0</v>
      </c>
      <c r="R41" s="51" t="b">
        <v>0</v>
      </c>
      <c r="S41" s="51" t="b">
        <v>0</v>
      </c>
    </row>
    <row r="42" hidden="1">
      <c r="A42" s="4" t="str">
        <f>IFERROR(__xludf.DUMMYFUNCTION("""COMPUTED_VALUE"""),"249 - Channel")</f>
        <v>249 - Channel</v>
      </c>
      <c r="B42" s="4" t="s">
        <v>14</v>
      </c>
      <c r="C42" s="4" t="s">
        <v>66</v>
      </c>
      <c r="D42" s="6">
        <v>0.48387731481481516</v>
      </c>
      <c r="E42" s="6">
        <v>2.314814814814815E-4</v>
      </c>
      <c r="F42" s="6">
        <v>0.48410879629629666</v>
      </c>
      <c r="G42" s="4"/>
      <c r="H42" s="4" t="s">
        <v>81</v>
      </c>
      <c r="I42" s="4" t="s">
        <v>119</v>
      </c>
      <c r="J42" s="4" t="s">
        <v>73</v>
      </c>
      <c r="K42" s="4" t="s">
        <v>105</v>
      </c>
      <c r="L42" s="4"/>
      <c r="M42" s="4"/>
      <c r="N42" s="4" t="s">
        <v>70</v>
      </c>
      <c r="O42" s="51" t="b">
        <v>0</v>
      </c>
      <c r="P42" s="51" t="b">
        <v>0</v>
      </c>
      <c r="Q42" s="51" t="b">
        <v>0</v>
      </c>
      <c r="R42" s="51" t="b">
        <v>0</v>
      </c>
      <c r="S42" s="51" t="b">
        <v>0</v>
      </c>
    </row>
    <row r="43" hidden="1">
      <c r="A43" s="4" t="str">
        <f>IFERROR(__xludf.DUMMYFUNCTION("""COMPUTED_VALUE"""),"233 - Channel")</f>
        <v>233 - Channel</v>
      </c>
      <c r="B43" s="4" t="s">
        <v>14</v>
      </c>
      <c r="C43" s="4" t="s">
        <v>66</v>
      </c>
      <c r="D43" s="6">
        <v>0.48410879629629666</v>
      </c>
      <c r="E43" s="6">
        <v>0.010416666666666666</v>
      </c>
      <c r="F43" s="6">
        <v>0.49452546296296335</v>
      </c>
      <c r="G43" s="4" t="s">
        <v>120</v>
      </c>
      <c r="H43" s="4" t="s">
        <v>74</v>
      </c>
      <c r="I43" s="4" t="s">
        <v>121</v>
      </c>
      <c r="J43" s="4" t="s">
        <v>122</v>
      </c>
      <c r="K43" s="4" t="s">
        <v>123</v>
      </c>
      <c r="L43" s="4" t="s">
        <v>124</v>
      </c>
      <c r="M43" s="4"/>
      <c r="N43" s="4" t="s">
        <v>125</v>
      </c>
      <c r="O43" s="51" t="b">
        <v>0</v>
      </c>
      <c r="P43" s="51" t="b">
        <v>0</v>
      </c>
      <c r="Q43" s="51" t="b">
        <v>0</v>
      </c>
      <c r="R43" s="51" t="b">
        <v>0</v>
      </c>
      <c r="S43" s="51" t="b">
        <v>0</v>
      </c>
    </row>
    <row r="44" hidden="1">
      <c r="A44" s="4" t="str">
        <f>IFERROR(__xludf.DUMMYFUNCTION("""COMPUTED_VALUE"""),"1362 - Channel")</f>
        <v>1362 - Channel</v>
      </c>
      <c r="B44" s="4" t="s">
        <v>14</v>
      </c>
      <c r="C44" s="4" t="s">
        <v>66</v>
      </c>
      <c r="D44" s="6">
        <v>0.49452546296296335</v>
      </c>
      <c r="E44" s="6">
        <v>3.4722222222222224E-4</v>
      </c>
      <c r="F44" s="6">
        <v>0.49487268518518557</v>
      </c>
      <c r="G44" s="4"/>
      <c r="H44" s="4" t="s">
        <v>87</v>
      </c>
      <c r="I44" s="4" t="s">
        <v>88</v>
      </c>
      <c r="J44" s="4" t="s">
        <v>69</v>
      </c>
      <c r="K44" s="4"/>
      <c r="L44" s="4"/>
      <c r="M44" s="4"/>
      <c r="N44" s="4"/>
      <c r="O44" s="51" t="b">
        <v>0</v>
      </c>
      <c r="P44" s="51" t="b">
        <v>0</v>
      </c>
      <c r="Q44" s="51" t="b">
        <v>0</v>
      </c>
      <c r="R44" s="51" t="b">
        <v>0</v>
      </c>
      <c r="S44" s="51" t="b">
        <v>0</v>
      </c>
    </row>
    <row r="45" hidden="1">
      <c r="A45" s="4" t="str">
        <f>IFERROR(__xludf.DUMMYFUNCTION("""COMPUTED_VALUE"""),"1818 - Channel")</f>
        <v>1818 - Channel</v>
      </c>
      <c r="B45" s="4" t="s">
        <v>14</v>
      </c>
      <c r="C45" s="4" t="s">
        <v>66</v>
      </c>
      <c r="D45" s="6">
        <v>0.49487268518518557</v>
      </c>
      <c r="E45" s="6">
        <v>0.005555555555555556</v>
      </c>
      <c r="F45" s="6">
        <v>0.5004282407407411</v>
      </c>
      <c r="G45" s="4"/>
      <c r="H45" s="4" t="s">
        <v>126</v>
      </c>
      <c r="I45" s="4"/>
      <c r="J45" s="4"/>
      <c r="K45" s="4"/>
      <c r="L45" s="4"/>
      <c r="M45" s="4"/>
      <c r="N45" s="4"/>
      <c r="O45" s="51" t="b">
        <v>0</v>
      </c>
      <c r="P45" s="51" t="b">
        <v>0</v>
      </c>
      <c r="Q45" s="51" t="b">
        <v>0</v>
      </c>
      <c r="R45" s="51" t="b">
        <v>0</v>
      </c>
      <c r="S45" s="51" t="b">
        <v>0</v>
      </c>
    </row>
    <row r="46" hidden="1">
      <c r="A46" s="4" t="str">
        <f>IFERROR(__xludf.DUMMYFUNCTION("""COMPUTED_VALUE"""),"38 - Channel")</f>
        <v>38 - Channel</v>
      </c>
      <c r="B46" s="4" t="s">
        <v>14</v>
      </c>
      <c r="C46" s="4" t="s">
        <v>66</v>
      </c>
      <c r="D46" s="6">
        <v>0.5004282407407411</v>
      </c>
      <c r="E46" s="6">
        <v>5.208333333333333E-4</v>
      </c>
      <c r="F46" s="6">
        <v>0.5009490740740744</v>
      </c>
      <c r="G46" s="4"/>
      <c r="H46" s="4" t="s">
        <v>79</v>
      </c>
      <c r="I46" s="4" t="s">
        <v>80</v>
      </c>
      <c r="J46" s="4" t="s">
        <v>69</v>
      </c>
      <c r="K46" s="4"/>
      <c r="L46" s="4"/>
      <c r="M46" s="4"/>
      <c r="N46" s="4" t="s">
        <v>70</v>
      </c>
      <c r="O46" s="51" t="b">
        <v>0</v>
      </c>
      <c r="P46" s="51" t="b">
        <v>0</v>
      </c>
      <c r="Q46" s="51" t="b">
        <v>0</v>
      </c>
      <c r="R46" s="51" t="b">
        <v>0</v>
      </c>
      <c r="S46" s="51" t="b">
        <v>0</v>
      </c>
    </row>
    <row r="47" hidden="1">
      <c r="A47" s="4" t="str">
        <f>IFERROR(__xludf.DUMMYFUNCTION("""COMPUTED_VALUE"""),"1814 - Channel")</f>
        <v>1814 - Channel</v>
      </c>
      <c r="B47" s="4" t="s">
        <v>14</v>
      </c>
      <c r="C47" s="4" t="s">
        <v>66</v>
      </c>
      <c r="D47" s="6"/>
      <c r="E47" s="6"/>
      <c r="F47" s="6"/>
      <c r="G47" s="4"/>
      <c r="H47" s="4"/>
      <c r="I47" s="4"/>
      <c r="J47" s="4"/>
      <c r="K47" s="4"/>
      <c r="L47" s="4"/>
      <c r="M47" s="4"/>
      <c r="N47" s="4"/>
      <c r="O47" s="51" t="b">
        <v>0</v>
      </c>
      <c r="P47" s="51" t="b">
        <v>0</v>
      </c>
      <c r="Q47" s="51" t="b">
        <v>0</v>
      </c>
      <c r="R47" s="51" t="b">
        <v>0</v>
      </c>
      <c r="S47" s="51" t="b">
        <v>0</v>
      </c>
    </row>
    <row r="48" hidden="1">
      <c r="A48" s="4" t="str">
        <f>IFERROR(__xludf.DUMMYFUNCTION("""COMPUTED_VALUE"""),"1632 - Channel")</f>
        <v>1632 - Channel</v>
      </c>
      <c r="B48" s="4" t="s">
        <v>14</v>
      </c>
      <c r="C48" s="4" t="s">
        <v>66</v>
      </c>
      <c r="D48" s="6">
        <v>0.5009490740740744</v>
      </c>
      <c r="E48" s="6">
        <v>6.944444444444445E-4</v>
      </c>
      <c r="F48" s="6">
        <v>0.5016435185185188</v>
      </c>
      <c r="G48" s="4"/>
      <c r="H48" s="4" t="s">
        <v>103</v>
      </c>
      <c r="I48" s="4" t="s">
        <v>127</v>
      </c>
      <c r="J48" s="4" t="s">
        <v>128</v>
      </c>
      <c r="K48" s="4"/>
      <c r="L48" s="4"/>
      <c r="M48" s="4"/>
      <c r="N48" s="4"/>
      <c r="O48" s="51" t="b">
        <v>0</v>
      </c>
      <c r="P48" s="51" t="b">
        <v>0</v>
      </c>
      <c r="Q48" s="51" t="b">
        <v>0</v>
      </c>
      <c r="R48" s="51" t="b">
        <v>0</v>
      </c>
      <c r="S48" s="51" t="b">
        <v>0</v>
      </c>
    </row>
    <row r="49" hidden="1">
      <c r="A49" s="4" t="str">
        <f>IFERROR(__xludf.DUMMYFUNCTION("""COMPUTED_VALUE"""),"1609 - Channel")</f>
        <v>1609 - Channel</v>
      </c>
      <c r="B49" s="4" t="s">
        <v>14</v>
      </c>
      <c r="C49" s="4" t="s">
        <v>66</v>
      </c>
      <c r="D49" s="6">
        <v>0.5016435185185188</v>
      </c>
      <c r="E49" s="6">
        <v>0.0010416666666666667</v>
      </c>
      <c r="F49" s="6">
        <v>0.5026851851851856</v>
      </c>
      <c r="G49" s="4"/>
      <c r="H49" s="4" t="s">
        <v>67</v>
      </c>
      <c r="I49" s="4" t="s">
        <v>68</v>
      </c>
      <c r="J49" s="4" t="s">
        <v>69</v>
      </c>
      <c r="K49" s="4"/>
      <c r="L49" s="4"/>
      <c r="M49" s="4"/>
      <c r="N49" s="4"/>
      <c r="O49" s="51" t="b">
        <v>0</v>
      </c>
      <c r="P49" s="51" t="b">
        <v>0</v>
      </c>
      <c r="Q49" s="51" t="b">
        <v>0</v>
      </c>
      <c r="R49" s="51" t="b">
        <v>0</v>
      </c>
      <c r="S49" s="51" t="b">
        <v>0</v>
      </c>
    </row>
    <row r="50" hidden="1">
      <c r="A50" s="4" t="str">
        <f>IFERROR(__xludf.DUMMYFUNCTION("""COMPUTED_VALUE"""),"39 - Channel")</f>
        <v>39 - Channel</v>
      </c>
      <c r="B50" s="4" t="s">
        <v>14</v>
      </c>
      <c r="C50" s="4" t="s">
        <v>66</v>
      </c>
      <c r="D50" s="6">
        <v>0.5026851851851856</v>
      </c>
      <c r="E50" s="6">
        <v>2.314814814814815E-4</v>
      </c>
      <c r="F50" s="6">
        <v>0.502916666666667</v>
      </c>
      <c r="G50" s="4"/>
      <c r="H50" s="4" t="s">
        <v>81</v>
      </c>
      <c r="I50" s="4" t="s">
        <v>119</v>
      </c>
      <c r="J50" s="4" t="s">
        <v>128</v>
      </c>
      <c r="K50" s="4"/>
      <c r="L50" s="4"/>
      <c r="M50" s="4"/>
      <c r="N50" s="4" t="s">
        <v>70</v>
      </c>
      <c r="O50" s="51" t="b">
        <v>0</v>
      </c>
      <c r="P50" s="51" t="b">
        <v>0</v>
      </c>
      <c r="Q50" s="51" t="b">
        <v>0</v>
      </c>
      <c r="R50" s="51" t="b">
        <v>0</v>
      </c>
      <c r="S50" s="51" t="b">
        <v>0</v>
      </c>
    </row>
    <row r="51" hidden="1">
      <c r="A51" s="4" t="str">
        <f>IFERROR(__xludf.DUMMYFUNCTION("""COMPUTED_VALUE"""),"40 - Channel")</f>
        <v>40 - Channel</v>
      </c>
      <c r="B51" s="4" t="s">
        <v>14</v>
      </c>
      <c r="C51" s="4" t="s">
        <v>66</v>
      </c>
      <c r="D51" s="6">
        <v>0.502916666666667</v>
      </c>
      <c r="E51" s="6">
        <v>0.008333333333333333</v>
      </c>
      <c r="F51" s="6">
        <v>0.5112500000000003</v>
      </c>
      <c r="G51" s="4" t="s">
        <v>129</v>
      </c>
      <c r="H51" s="4" t="s">
        <v>94</v>
      </c>
      <c r="I51" s="4" t="s">
        <v>130</v>
      </c>
      <c r="J51" s="4" t="s">
        <v>131</v>
      </c>
      <c r="K51" s="4"/>
      <c r="L51" s="4"/>
      <c r="M51" s="4"/>
      <c r="N51" s="4" t="s">
        <v>132</v>
      </c>
      <c r="O51" s="51" t="b">
        <v>0</v>
      </c>
      <c r="P51" s="51" t="b">
        <v>0</v>
      </c>
      <c r="Q51" s="51" t="b">
        <v>0</v>
      </c>
      <c r="R51" s="51" t="b">
        <v>0</v>
      </c>
      <c r="S51" s="51" t="b">
        <v>0</v>
      </c>
    </row>
    <row r="52" hidden="1">
      <c r="A52" s="4" t="str">
        <f>IFERROR(__xludf.DUMMYFUNCTION("""COMPUTED_VALUE"""),"1630 - Channel")</f>
        <v>1630 - Channel</v>
      </c>
      <c r="B52" s="4" t="s">
        <v>14</v>
      </c>
      <c r="C52" s="4" t="s">
        <v>66</v>
      </c>
      <c r="D52" s="6">
        <v>0.5112500000000003</v>
      </c>
      <c r="E52" s="6">
        <v>0.0012152777777777778</v>
      </c>
      <c r="F52" s="6">
        <v>0.5124652777777781</v>
      </c>
      <c r="G52" s="4"/>
      <c r="H52" s="4" t="s">
        <v>79</v>
      </c>
      <c r="I52" s="4" t="s">
        <v>80</v>
      </c>
      <c r="J52" s="4" t="s">
        <v>69</v>
      </c>
      <c r="K52" s="4"/>
      <c r="L52" s="4"/>
      <c r="M52" s="4"/>
      <c r="N52" s="4"/>
      <c r="O52" s="51" t="b">
        <v>0</v>
      </c>
      <c r="P52" s="51" t="b">
        <v>0</v>
      </c>
      <c r="Q52" s="51" t="b">
        <v>0</v>
      </c>
      <c r="R52" s="51" t="b">
        <v>0</v>
      </c>
      <c r="S52" s="51" t="b">
        <v>0</v>
      </c>
    </row>
    <row r="53" hidden="1">
      <c r="A53" s="4" t="str">
        <f>IFERROR(__xludf.DUMMYFUNCTION("""COMPUTED_VALUE"""),"42 - Channel")</f>
        <v>42 - Channel</v>
      </c>
      <c r="B53" s="4" t="s">
        <v>14</v>
      </c>
      <c r="C53" s="4" t="s">
        <v>66</v>
      </c>
      <c r="D53" s="6">
        <v>0.5124652777777781</v>
      </c>
      <c r="E53" s="6">
        <v>2.314814814814815E-4</v>
      </c>
      <c r="F53" s="6">
        <v>0.5126967592592595</v>
      </c>
      <c r="G53" s="4"/>
      <c r="H53" s="4" t="s">
        <v>81</v>
      </c>
      <c r="I53" s="4" t="s">
        <v>133</v>
      </c>
      <c r="J53" s="4" t="s">
        <v>128</v>
      </c>
      <c r="K53" s="4"/>
      <c r="L53" s="4"/>
      <c r="M53" s="4"/>
      <c r="N53" s="4" t="s">
        <v>70</v>
      </c>
      <c r="O53" s="51" t="b">
        <v>0</v>
      </c>
      <c r="P53" s="51" t="b">
        <v>0</v>
      </c>
      <c r="Q53" s="51" t="b">
        <v>0</v>
      </c>
      <c r="R53" s="51" t="b">
        <v>0</v>
      </c>
      <c r="S53" s="51" t="b">
        <v>0</v>
      </c>
    </row>
    <row r="54" hidden="1">
      <c r="A54" s="4" t="str">
        <f>IFERROR(__xludf.DUMMYFUNCTION("""COMPUTED_VALUE"""),"43 - Channel")</f>
        <v>43 - Channel</v>
      </c>
      <c r="B54" s="4" t="s">
        <v>14</v>
      </c>
      <c r="C54" s="4" t="s">
        <v>66</v>
      </c>
      <c r="D54" s="6">
        <v>0.5126967592592595</v>
      </c>
      <c r="E54" s="6">
        <v>0.0020833333333333333</v>
      </c>
      <c r="F54" s="6">
        <v>0.5147800925925928</v>
      </c>
      <c r="G54" s="4" t="s">
        <v>129</v>
      </c>
      <c r="H54" s="4" t="s">
        <v>83</v>
      </c>
      <c r="I54" s="4" t="s">
        <v>134</v>
      </c>
      <c r="J54" s="4"/>
      <c r="K54" s="4"/>
      <c r="L54" s="4"/>
      <c r="M54" s="4"/>
      <c r="N54" s="4" t="s">
        <v>70</v>
      </c>
      <c r="O54" s="51" t="b">
        <v>0</v>
      </c>
      <c r="P54" s="51" t="b">
        <v>0</v>
      </c>
      <c r="Q54" s="51" t="b">
        <v>0</v>
      </c>
      <c r="R54" s="51" t="b">
        <v>0</v>
      </c>
      <c r="S54" s="51" t="b">
        <v>0</v>
      </c>
    </row>
    <row r="55" hidden="1">
      <c r="A55" s="4" t="str">
        <f>IFERROR(__xludf.DUMMYFUNCTION("""COMPUTED_VALUE"""),"2239 - Channel")</f>
        <v>2239 - Channel</v>
      </c>
      <c r="B55" s="4" t="s">
        <v>14</v>
      </c>
      <c r="C55" s="4" t="s">
        <v>66</v>
      </c>
      <c r="D55" s="6">
        <v>0.5147800925925928</v>
      </c>
      <c r="E55" s="6">
        <v>2.314814814814815E-4</v>
      </c>
      <c r="F55" s="6">
        <v>0.5150115740740743</v>
      </c>
      <c r="G55" s="4"/>
      <c r="H55" s="4" t="s">
        <v>85</v>
      </c>
      <c r="I55" s="4" t="s">
        <v>86</v>
      </c>
      <c r="J55" s="4" t="s">
        <v>128</v>
      </c>
      <c r="K55" s="4"/>
      <c r="L55" s="4"/>
      <c r="M55" s="4"/>
      <c r="N55" s="4"/>
      <c r="O55" s="51" t="b">
        <v>0</v>
      </c>
      <c r="P55" s="51" t="b">
        <v>0</v>
      </c>
      <c r="Q55" s="51" t="b">
        <v>0</v>
      </c>
      <c r="R55" s="51" t="b">
        <v>0</v>
      </c>
      <c r="S55" s="51" t="b">
        <v>0</v>
      </c>
    </row>
    <row r="56" hidden="1">
      <c r="A56" s="4" t="str">
        <f>IFERROR(__xludf.DUMMYFUNCTION("""COMPUTED_VALUE"""),"1610 - Channel")</f>
        <v>1610 - Channel</v>
      </c>
      <c r="B56" s="4" t="s">
        <v>14</v>
      </c>
      <c r="C56" s="4" t="s">
        <v>66</v>
      </c>
      <c r="D56" s="6">
        <v>0.5147800925925928</v>
      </c>
      <c r="E56" s="6">
        <v>5.208333333333333E-4</v>
      </c>
      <c r="F56" s="6">
        <v>0.5153009259259261</v>
      </c>
      <c r="G56" s="4"/>
      <c r="H56" s="4" t="s">
        <v>89</v>
      </c>
      <c r="I56" s="4" t="s">
        <v>80</v>
      </c>
      <c r="J56" s="4" t="s">
        <v>69</v>
      </c>
      <c r="K56" s="4"/>
      <c r="L56" s="4"/>
      <c r="M56" s="4"/>
      <c r="N56" s="4"/>
      <c r="O56" s="51" t="b">
        <v>0</v>
      </c>
      <c r="P56" s="51" t="b">
        <v>0</v>
      </c>
      <c r="Q56" s="51" t="b">
        <v>0</v>
      </c>
      <c r="R56" s="51" t="b">
        <v>0</v>
      </c>
      <c r="S56" s="51" t="b">
        <v>0</v>
      </c>
    </row>
    <row r="57" hidden="1">
      <c r="A57" s="4" t="str">
        <f>IFERROR(__xludf.DUMMYFUNCTION("""COMPUTED_VALUE"""),"1608 - Channel")</f>
        <v>1608 - Channel</v>
      </c>
      <c r="B57" s="4" t="s">
        <v>14</v>
      </c>
      <c r="C57" s="4" t="s">
        <v>66</v>
      </c>
      <c r="D57" s="6">
        <v>0.5153009259259261</v>
      </c>
      <c r="E57" s="6">
        <v>3.4722222222222224E-4</v>
      </c>
      <c r="F57" s="6">
        <v>0.5156481481481484</v>
      </c>
      <c r="G57" s="4"/>
      <c r="H57" s="4" t="s">
        <v>87</v>
      </c>
      <c r="I57" s="4" t="s">
        <v>88</v>
      </c>
      <c r="J57" s="4" t="s">
        <v>69</v>
      </c>
      <c r="K57" s="4"/>
      <c r="L57" s="4"/>
      <c r="M57" s="4"/>
      <c r="N57" s="4"/>
      <c r="O57" s="51" t="b">
        <v>0</v>
      </c>
      <c r="P57" s="51" t="b">
        <v>0</v>
      </c>
      <c r="Q57" s="51" t="b">
        <v>0</v>
      </c>
      <c r="R57" s="51" t="b">
        <v>0</v>
      </c>
      <c r="S57" s="51" t="b">
        <v>0</v>
      </c>
    </row>
    <row r="58" hidden="1">
      <c r="A58" s="4" t="str">
        <f>IFERROR(__xludf.DUMMYFUNCTION("""COMPUTED_VALUE"""),"1425 - Channel")</f>
        <v>1425 - Channel</v>
      </c>
      <c r="B58" s="4" t="s">
        <v>14</v>
      </c>
      <c r="C58" s="4" t="s">
        <v>66</v>
      </c>
      <c r="D58" s="6">
        <v>0.5156481481481484</v>
      </c>
      <c r="E58" s="6">
        <v>2.314814814814815E-4</v>
      </c>
      <c r="F58" s="6">
        <v>0.5158796296296299</v>
      </c>
      <c r="G58" s="4"/>
      <c r="H58" s="4" t="s">
        <v>81</v>
      </c>
      <c r="I58" s="4" t="s">
        <v>91</v>
      </c>
      <c r="J58" s="4" t="s">
        <v>73</v>
      </c>
      <c r="K58" s="4" t="s">
        <v>128</v>
      </c>
      <c r="L58" s="4"/>
      <c r="M58" s="4"/>
      <c r="N58" s="4" t="s">
        <v>70</v>
      </c>
      <c r="O58" s="51" t="b">
        <v>0</v>
      </c>
      <c r="P58" s="51" t="b">
        <v>0</v>
      </c>
      <c r="Q58" s="51" t="b">
        <v>0</v>
      </c>
      <c r="R58" s="51" t="b">
        <v>0</v>
      </c>
      <c r="S58" s="51" t="b">
        <v>0</v>
      </c>
    </row>
    <row r="59" hidden="1">
      <c r="A59" s="4" t="str">
        <f>IFERROR(__xludf.DUMMYFUNCTION("""COMPUTED_VALUE"""),"31 - Channel")</f>
        <v>31 - Channel</v>
      </c>
      <c r="B59" s="4" t="s">
        <v>14</v>
      </c>
      <c r="C59" s="4" t="s">
        <v>66</v>
      </c>
      <c r="D59" s="6">
        <v>0.5158796296296299</v>
      </c>
      <c r="E59" s="6">
        <v>0.013888888888888888</v>
      </c>
      <c r="F59" s="6">
        <v>0.5297685185185187</v>
      </c>
      <c r="G59" s="4"/>
      <c r="H59" s="4" t="s">
        <v>94</v>
      </c>
      <c r="I59" s="4" t="s">
        <v>135</v>
      </c>
      <c r="J59" s="4" t="s">
        <v>136</v>
      </c>
      <c r="K59" s="4"/>
      <c r="L59" s="4"/>
      <c r="M59" s="4"/>
      <c r="N59" s="4" t="s">
        <v>137</v>
      </c>
      <c r="O59" s="51" t="b">
        <v>0</v>
      </c>
      <c r="P59" s="51" t="b">
        <v>0</v>
      </c>
      <c r="Q59" s="51" t="b">
        <v>0</v>
      </c>
      <c r="R59" s="51" t="b">
        <v>0</v>
      </c>
      <c r="S59" s="51" t="b">
        <v>0</v>
      </c>
    </row>
    <row r="60" hidden="1">
      <c r="A60" s="4" t="str">
        <f>IFERROR(__xludf.DUMMYFUNCTION("""COMPUTED_VALUE"""),"50 - Channel")</f>
        <v>50 - Channel</v>
      </c>
      <c r="B60" s="4" t="s">
        <v>14</v>
      </c>
      <c r="C60" s="4" t="s">
        <v>66</v>
      </c>
      <c r="D60" s="6">
        <v>0.5297685185185187</v>
      </c>
      <c r="E60" s="6">
        <v>2.314814814814815E-4</v>
      </c>
      <c r="F60" s="6">
        <v>0.5300000000000001</v>
      </c>
      <c r="G60" s="4"/>
      <c r="H60" s="4" t="s">
        <v>81</v>
      </c>
      <c r="I60" s="4" t="s">
        <v>138</v>
      </c>
      <c r="J60" s="4" t="s">
        <v>128</v>
      </c>
      <c r="K60" s="4"/>
      <c r="L60" s="4"/>
      <c r="M60" s="4"/>
      <c r="N60" s="4"/>
      <c r="O60" s="51" t="b">
        <v>0</v>
      </c>
      <c r="P60" s="51" t="b">
        <v>0</v>
      </c>
      <c r="Q60" s="51" t="b">
        <v>0</v>
      </c>
      <c r="R60" s="51" t="b">
        <v>0</v>
      </c>
      <c r="S60" s="51" t="b">
        <v>0</v>
      </c>
    </row>
    <row r="61" hidden="1">
      <c r="A61" s="4" t="str">
        <f>IFERROR(__xludf.DUMMYFUNCTION("""COMPUTED_VALUE"""),"51 - Channel")</f>
        <v>51 - Channel</v>
      </c>
      <c r="B61" s="4" t="s">
        <v>14</v>
      </c>
      <c r="C61" s="4" t="s">
        <v>66</v>
      </c>
      <c r="D61" s="6">
        <v>0.5300000000000001</v>
      </c>
      <c r="E61" s="6">
        <v>0.0020833333333333333</v>
      </c>
      <c r="F61" s="6">
        <v>0.5320833333333335</v>
      </c>
      <c r="G61" s="4"/>
      <c r="H61" s="4" t="s">
        <v>83</v>
      </c>
      <c r="I61" s="4" t="s">
        <v>139</v>
      </c>
      <c r="J61" s="4"/>
      <c r="K61" s="4"/>
      <c r="L61" s="4"/>
      <c r="M61" s="4"/>
      <c r="N61" s="4"/>
      <c r="O61" s="51" t="b">
        <v>0</v>
      </c>
      <c r="P61" s="51" t="b">
        <v>0</v>
      </c>
      <c r="Q61" s="51" t="b">
        <v>0</v>
      </c>
      <c r="R61" s="51" t="b">
        <v>0</v>
      </c>
      <c r="S61" s="51" t="b">
        <v>0</v>
      </c>
    </row>
    <row r="62" hidden="1">
      <c r="A62" s="4" t="str">
        <f>IFERROR(__xludf.DUMMYFUNCTION("""COMPUTED_VALUE"""),"2240 - Channel")</f>
        <v>2240 - Channel</v>
      </c>
      <c r="B62" s="4" t="s">
        <v>14</v>
      </c>
      <c r="C62" s="4" t="s">
        <v>66</v>
      </c>
      <c r="D62" s="6">
        <v>0.5320833333333335</v>
      </c>
      <c r="E62" s="6">
        <v>2.314814814814815E-4</v>
      </c>
      <c r="F62" s="6">
        <v>0.5323148148148149</v>
      </c>
      <c r="G62" s="4"/>
      <c r="H62" s="4" t="s">
        <v>85</v>
      </c>
      <c r="I62" s="4" t="s">
        <v>86</v>
      </c>
      <c r="J62" s="4" t="s">
        <v>128</v>
      </c>
      <c r="K62" s="4"/>
      <c r="L62" s="4"/>
      <c r="M62" s="4"/>
      <c r="N62" s="4"/>
      <c r="O62" s="51" t="b">
        <v>0</v>
      </c>
      <c r="P62" s="51" t="b">
        <v>0</v>
      </c>
      <c r="Q62" s="51" t="b">
        <v>0</v>
      </c>
      <c r="R62" s="51" t="b">
        <v>0</v>
      </c>
      <c r="S62" s="51" t="b">
        <v>0</v>
      </c>
    </row>
    <row r="63" hidden="1">
      <c r="A63" s="4" t="str">
        <f>IFERROR(__xludf.DUMMYFUNCTION("""COMPUTED_VALUE"""),"52 - Channel")</f>
        <v>52 - Channel</v>
      </c>
      <c r="B63" s="4" t="s">
        <v>14</v>
      </c>
      <c r="C63" s="4" t="s">
        <v>66</v>
      </c>
      <c r="D63" s="6">
        <v>0.5323148148148149</v>
      </c>
      <c r="E63" s="6">
        <v>3.4722222222222224E-4</v>
      </c>
      <c r="F63" s="6">
        <v>0.5326620370370372</v>
      </c>
      <c r="G63" s="4"/>
      <c r="H63" s="4" t="s">
        <v>87</v>
      </c>
      <c r="I63" s="4" t="s">
        <v>88</v>
      </c>
      <c r="J63" s="4"/>
      <c r="K63" s="4"/>
      <c r="L63" s="4"/>
      <c r="M63" s="4"/>
      <c r="N63" s="4"/>
      <c r="O63" s="51" t="b">
        <v>0</v>
      </c>
      <c r="P63" s="51" t="b">
        <v>0</v>
      </c>
      <c r="Q63" s="51" t="b">
        <v>0</v>
      </c>
      <c r="R63" s="51" t="b">
        <v>0</v>
      </c>
      <c r="S63" s="51" t="b">
        <v>0</v>
      </c>
    </row>
    <row r="64" hidden="1">
      <c r="A64" s="4" t="str">
        <f>IFERROR(__xludf.DUMMYFUNCTION("""COMPUTED_VALUE"""),"197 - Channel")</f>
        <v>197 - Channel</v>
      </c>
      <c r="B64" s="4" t="s">
        <v>14</v>
      </c>
      <c r="C64" s="4" t="s">
        <v>66</v>
      </c>
      <c r="D64" s="6">
        <v>0.5326620370370372</v>
      </c>
      <c r="E64" s="6">
        <v>2.314814814814815E-4</v>
      </c>
      <c r="F64" s="6">
        <v>0.5328935185185186</v>
      </c>
      <c r="G64" s="4"/>
      <c r="H64" s="4" t="s">
        <v>81</v>
      </c>
      <c r="I64" s="4" t="s">
        <v>119</v>
      </c>
      <c r="J64" s="4" t="s">
        <v>73</v>
      </c>
      <c r="K64" s="4" t="s">
        <v>128</v>
      </c>
      <c r="L64" s="4"/>
      <c r="M64" s="4"/>
      <c r="N64" s="4" t="s">
        <v>70</v>
      </c>
      <c r="O64" s="51" t="b">
        <v>0</v>
      </c>
      <c r="P64" s="51" t="b">
        <v>0</v>
      </c>
      <c r="Q64" s="51" t="b">
        <v>0</v>
      </c>
      <c r="R64" s="51" t="b">
        <v>0</v>
      </c>
      <c r="S64" s="51" t="b">
        <v>0</v>
      </c>
    </row>
    <row r="65" hidden="1">
      <c r="A65" s="4" t="str">
        <f>IFERROR(__xludf.DUMMYFUNCTION("""COMPUTED_VALUE"""),"198 - Channel")</f>
        <v>198 - Channel</v>
      </c>
      <c r="B65" s="4" t="s">
        <v>14</v>
      </c>
      <c r="C65" s="4" t="s">
        <v>66</v>
      </c>
      <c r="D65" s="6">
        <v>0.5328935185185186</v>
      </c>
      <c r="E65" s="6">
        <v>0.010416666666666666</v>
      </c>
      <c r="F65" s="6">
        <v>0.5433101851851853</v>
      </c>
      <c r="G65" s="4" t="s">
        <v>140</v>
      </c>
      <c r="H65" s="4" t="s">
        <v>107</v>
      </c>
      <c r="I65" s="4" t="s">
        <v>141</v>
      </c>
      <c r="J65" s="4" t="s">
        <v>142</v>
      </c>
      <c r="K65" s="4" t="s">
        <v>143</v>
      </c>
      <c r="L65" s="4"/>
      <c r="M65" s="4"/>
      <c r="N65" s="4" t="s">
        <v>144</v>
      </c>
      <c r="O65" s="51" t="b">
        <v>0</v>
      </c>
      <c r="P65" s="51" t="b">
        <v>0</v>
      </c>
      <c r="Q65" s="51" t="b">
        <v>0</v>
      </c>
      <c r="R65" s="51" t="b">
        <v>0</v>
      </c>
      <c r="S65" s="51" t="b">
        <v>0</v>
      </c>
    </row>
    <row r="66" hidden="1">
      <c r="A66" s="4" t="str">
        <f>IFERROR(__xludf.DUMMYFUNCTION("""COMPUTED_VALUE"""),"1810 - Channel")</f>
        <v>1810 - Channel</v>
      </c>
      <c r="B66" s="4" t="s">
        <v>14</v>
      </c>
      <c r="C66" s="4" t="s">
        <v>66</v>
      </c>
      <c r="D66" s="6"/>
      <c r="E66" s="6"/>
      <c r="F66" s="6"/>
      <c r="G66" s="4"/>
      <c r="H66" s="4"/>
      <c r="I66" s="4"/>
      <c r="J66" s="4"/>
      <c r="K66" s="4"/>
      <c r="L66" s="4"/>
      <c r="M66" s="4"/>
      <c r="N66" s="4"/>
      <c r="O66" s="51" t="b">
        <v>0</v>
      </c>
      <c r="P66" s="51" t="b">
        <v>0</v>
      </c>
      <c r="Q66" s="51" t="b">
        <v>0</v>
      </c>
      <c r="R66" s="51" t="b">
        <v>0</v>
      </c>
      <c r="S66" s="51" t="b">
        <v>0</v>
      </c>
    </row>
    <row r="67" hidden="1">
      <c r="A67" s="4" t="str">
        <f>IFERROR(__xludf.DUMMYFUNCTION("""COMPUTED_VALUE"""),"57 - Channel")</f>
        <v>57 - Channel</v>
      </c>
      <c r="B67" s="4" t="s">
        <v>14</v>
      </c>
      <c r="C67" s="4" t="s">
        <v>66</v>
      </c>
      <c r="D67" s="6">
        <v>0.5433101851851853</v>
      </c>
      <c r="E67" s="6">
        <v>3.4722222222222224E-4</v>
      </c>
      <c r="F67" s="6">
        <v>0.5436574074074075</v>
      </c>
      <c r="G67" s="4"/>
      <c r="H67" s="4" t="s">
        <v>87</v>
      </c>
      <c r="I67" s="4" t="s">
        <v>88</v>
      </c>
      <c r="J67" s="4" t="s">
        <v>69</v>
      </c>
      <c r="K67" s="4"/>
      <c r="L67" s="4"/>
      <c r="M67" s="4"/>
      <c r="N67" s="4" t="s">
        <v>70</v>
      </c>
      <c r="O67" s="51" t="b">
        <v>0</v>
      </c>
      <c r="P67" s="51" t="b">
        <v>0</v>
      </c>
      <c r="Q67" s="51" t="b">
        <v>0</v>
      </c>
      <c r="R67" s="51" t="b">
        <v>0</v>
      </c>
      <c r="S67" s="51" t="b">
        <v>0</v>
      </c>
    </row>
    <row r="68" hidden="1">
      <c r="A68" s="4" t="str">
        <f>IFERROR(__xludf.DUMMYFUNCTION("""COMPUTED_VALUE"""),"1647 - Channel")</f>
        <v>1647 - Channel</v>
      </c>
      <c r="B68" s="4" t="s">
        <v>14</v>
      </c>
      <c r="C68" s="4" t="s">
        <v>66</v>
      </c>
      <c r="D68" s="6">
        <v>0.5436574074074075</v>
      </c>
      <c r="E68" s="6">
        <v>6.944444444444445E-4</v>
      </c>
      <c r="F68" s="6">
        <v>0.544351851851852</v>
      </c>
      <c r="G68" s="4"/>
      <c r="H68" s="4" t="s">
        <v>103</v>
      </c>
      <c r="I68" s="4" t="s">
        <v>145</v>
      </c>
      <c r="J68" s="4" t="s">
        <v>92</v>
      </c>
      <c r="K68" s="4"/>
      <c r="L68" s="4"/>
      <c r="M68" s="4"/>
      <c r="N68" s="4"/>
      <c r="O68" s="51" t="b">
        <v>0</v>
      </c>
      <c r="P68" s="51" t="b">
        <v>0</v>
      </c>
      <c r="Q68" s="51" t="b">
        <v>0</v>
      </c>
      <c r="R68" s="51" t="b">
        <v>0</v>
      </c>
      <c r="S68" s="51" t="b">
        <v>0</v>
      </c>
    </row>
    <row r="69" hidden="1">
      <c r="A69" s="4" t="str">
        <f>IFERROR(__xludf.DUMMYFUNCTION("""COMPUTED_VALUE"""),"1467 - Channel")</f>
        <v>1467 - Channel</v>
      </c>
      <c r="B69" s="4" t="s">
        <v>14</v>
      </c>
      <c r="C69" s="4" t="s">
        <v>66</v>
      </c>
      <c r="D69" s="6">
        <v>0.544351851851852</v>
      </c>
      <c r="E69" s="6">
        <v>2.314814814814815E-4</v>
      </c>
      <c r="F69" s="6">
        <v>0.5445833333333334</v>
      </c>
      <c r="G69" s="4"/>
      <c r="H69" s="4" t="s">
        <v>81</v>
      </c>
      <c r="I69" s="4" t="s">
        <v>91</v>
      </c>
      <c r="J69" s="4" t="s">
        <v>92</v>
      </c>
      <c r="K69" s="4"/>
      <c r="L69" s="4"/>
      <c r="M69" s="4"/>
      <c r="N69" s="4" t="s">
        <v>70</v>
      </c>
      <c r="O69" s="51" t="b">
        <v>0</v>
      </c>
      <c r="P69" s="51" t="b">
        <v>0</v>
      </c>
      <c r="Q69" s="51" t="b">
        <v>0</v>
      </c>
      <c r="R69" s="51" t="b">
        <v>0</v>
      </c>
      <c r="S69" s="51" t="b">
        <v>0</v>
      </c>
    </row>
    <row r="70" hidden="1">
      <c r="A70" s="4" t="str">
        <f>IFERROR(__xludf.DUMMYFUNCTION("""COMPUTED_VALUE"""),"830 - Channel")</f>
        <v>830 - Channel</v>
      </c>
      <c r="B70" s="4" t="s">
        <v>14</v>
      </c>
      <c r="C70" s="4" t="s">
        <v>66</v>
      </c>
      <c r="D70" s="6">
        <v>0.5445833333333334</v>
      </c>
      <c r="E70" s="6">
        <v>0.010763888888888889</v>
      </c>
      <c r="F70" s="6">
        <v>0.5553472222222223</v>
      </c>
      <c r="G70" s="4" t="s">
        <v>146</v>
      </c>
      <c r="H70" s="4" t="s">
        <v>94</v>
      </c>
      <c r="I70" s="4" t="s">
        <v>147</v>
      </c>
      <c r="J70" s="4" t="s">
        <v>148</v>
      </c>
      <c r="K70" s="4"/>
      <c r="L70" s="4"/>
      <c r="M70" s="4"/>
      <c r="N70" s="4" t="s">
        <v>149</v>
      </c>
      <c r="O70" s="51" t="b">
        <v>0</v>
      </c>
      <c r="P70" s="51" t="b">
        <v>0</v>
      </c>
      <c r="Q70" s="51" t="b">
        <v>0</v>
      </c>
      <c r="R70" s="51" t="b">
        <v>0</v>
      </c>
      <c r="S70" s="51" t="b">
        <v>0</v>
      </c>
    </row>
    <row r="71" hidden="1">
      <c r="A71" s="4" t="str">
        <f>IFERROR(__xludf.DUMMYFUNCTION("""COMPUTED_VALUE"""),"61 - Channel")</f>
        <v>61 - Channel</v>
      </c>
      <c r="B71" s="4" t="s">
        <v>14</v>
      </c>
      <c r="C71" s="4" t="s">
        <v>66</v>
      </c>
      <c r="D71" s="6">
        <v>0.5553472222222223</v>
      </c>
      <c r="E71" s="6">
        <v>2.314814814814815E-4</v>
      </c>
      <c r="F71" s="6">
        <v>0.5555787037037038</v>
      </c>
      <c r="G71" s="4"/>
      <c r="H71" s="4" t="s">
        <v>81</v>
      </c>
      <c r="I71" s="4" t="s">
        <v>150</v>
      </c>
      <c r="J71" s="4" t="s">
        <v>92</v>
      </c>
      <c r="K71" s="4"/>
      <c r="L71" s="4"/>
      <c r="M71" s="4"/>
      <c r="N71" s="4" t="s">
        <v>70</v>
      </c>
      <c r="O71" s="51" t="b">
        <v>0</v>
      </c>
      <c r="P71" s="51" t="b">
        <v>0</v>
      </c>
      <c r="Q71" s="51" t="b">
        <v>0</v>
      </c>
      <c r="R71" s="51" t="b">
        <v>0</v>
      </c>
      <c r="S71" s="51" t="b">
        <v>0</v>
      </c>
    </row>
    <row r="72" hidden="1">
      <c r="A72" s="4" t="str">
        <f>IFERROR(__xludf.DUMMYFUNCTION("""COMPUTED_VALUE"""),"62 - Channel")</f>
        <v>62 - Channel</v>
      </c>
      <c r="B72" s="4" t="s">
        <v>14</v>
      </c>
      <c r="C72" s="4" t="s">
        <v>66</v>
      </c>
      <c r="D72" s="6">
        <v>0.5555787037037038</v>
      </c>
      <c r="E72" s="6">
        <v>0.0020833333333333333</v>
      </c>
      <c r="F72" s="6">
        <v>0.5576620370370371</v>
      </c>
      <c r="G72" s="4" t="s">
        <v>151</v>
      </c>
      <c r="H72" s="4" t="s">
        <v>83</v>
      </c>
      <c r="I72" s="4" t="s">
        <v>152</v>
      </c>
      <c r="J72" s="4"/>
      <c r="K72" s="4"/>
      <c r="L72" s="4"/>
      <c r="M72" s="4"/>
      <c r="N72" s="4" t="s">
        <v>70</v>
      </c>
      <c r="O72" s="51" t="b">
        <v>0</v>
      </c>
      <c r="P72" s="51" t="b">
        <v>0</v>
      </c>
      <c r="Q72" s="51" t="b">
        <v>0</v>
      </c>
      <c r="R72" s="51" t="b">
        <v>0</v>
      </c>
      <c r="S72" s="51" t="b">
        <v>0</v>
      </c>
    </row>
    <row r="73" hidden="1">
      <c r="A73" s="4" t="str">
        <f>IFERROR(__xludf.DUMMYFUNCTION("""COMPUTED_VALUE"""),"2241 - Channel")</f>
        <v>2241 - Channel</v>
      </c>
      <c r="B73" s="4" t="s">
        <v>14</v>
      </c>
      <c r="C73" s="4" t="s">
        <v>66</v>
      </c>
      <c r="D73" s="6">
        <v>0.5576620370370371</v>
      </c>
      <c r="E73" s="6">
        <v>2.314814814814815E-4</v>
      </c>
      <c r="F73" s="6">
        <v>0.5578935185185185</v>
      </c>
      <c r="G73" s="4"/>
      <c r="H73" s="4" t="s">
        <v>85</v>
      </c>
      <c r="I73" s="4" t="s">
        <v>86</v>
      </c>
      <c r="J73" s="4" t="s">
        <v>92</v>
      </c>
      <c r="K73" s="4"/>
      <c r="L73" s="4"/>
      <c r="M73" s="4"/>
      <c r="N73" s="4"/>
      <c r="O73" s="51" t="b">
        <v>0</v>
      </c>
      <c r="P73" s="51" t="b">
        <v>0</v>
      </c>
      <c r="Q73" s="51" t="b">
        <v>0</v>
      </c>
      <c r="R73" s="51" t="b">
        <v>0</v>
      </c>
      <c r="S73" s="51" t="b">
        <v>0</v>
      </c>
    </row>
    <row r="74" hidden="1">
      <c r="A74" s="4" t="str">
        <f>IFERROR(__xludf.DUMMYFUNCTION("""COMPUTED_VALUE"""),"1815 - Channel")</f>
        <v>1815 - Channel</v>
      </c>
      <c r="B74" s="4" t="s">
        <v>14</v>
      </c>
      <c r="C74" s="4" t="s">
        <v>66</v>
      </c>
      <c r="D74" s="6">
        <v>0.5578935185185185</v>
      </c>
      <c r="E74" s="6">
        <v>3.4722222222222224E-4</v>
      </c>
      <c r="F74" s="6">
        <v>0.5582407407407408</v>
      </c>
      <c r="G74" s="4"/>
      <c r="H74" s="4" t="s">
        <v>89</v>
      </c>
      <c r="I74" s="4" t="s">
        <v>153</v>
      </c>
      <c r="J74" s="4"/>
      <c r="K74" s="4"/>
      <c r="L74" s="4"/>
      <c r="M74" s="4"/>
      <c r="N74" s="4"/>
      <c r="O74" s="51" t="b">
        <v>0</v>
      </c>
      <c r="P74" s="51" t="b">
        <v>0</v>
      </c>
      <c r="Q74" s="51" t="b">
        <v>0</v>
      </c>
      <c r="R74" s="51" t="b">
        <v>0</v>
      </c>
      <c r="S74" s="51" t="b">
        <v>0</v>
      </c>
    </row>
    <row r="75" hidden="1">
      <c r="A75" s="4" t="str">
        <f>IFERROR(__xludf.DUMMYFUNCTION("""COMPUTED_VALUE"""),"58 - Channel")</f>
        <v>58 - Channel</v>
      </c>
      <c r="B75" s="4" t="s">
        <v>14</v>
      </c>
      <c r="C75" s="4" t="s">
        <v>66</v>
      </c>
      <c r="D75" s="6">
        <v>0.5582407407407408</v>
      </c>
      <c r="E75" s="6">
        <v>2.314814814814815E-4</v>
      </c>
      <c r="F75" s="6">
        <v>0.5584722222222223</v>
      </c>
      <c r="G75" s="4"/>
      <c r="H75" s="4" t="s">
        <v>81</v>
      </c>
      <c r="I75" s="4" t="s">
        <v>91</v>
      </c>
      <c r="J75" s="4" t="s">
        <v>92</v>
      </c>
      <c r="K75" s="4"/>
      <c r="L75" s="4"/>
      <c r="M75" s="4"/>
      <c r="N75" s="4" t="s">
        <v>70</v>
      </c>
      <c r="O75" s="51" t="b">
        <v>0</v>
      </c>
      <c r="P75" s="51" t="b">
        <v>0</v>
      </c>
      <c r="Q75" s="51" t="b">
        <v>0</v>
      </c>
      <c r="R75" s="51" t="b">
        <v>0</v>
      </c>
      <c r="S75" s="51" t="b">
        <v>0</v>
      </c>
    </row>
    <row r="76" hidden="1">
      <c r="A76" s="4" t="str">
        <f>IFERROR(__xludf.DUMMYFUNCTION("""COMPUTED_VALUE"""),"59 - Channel")</f>
        <v>59 - Channel</v>
      </c>
      <c r="B76" s="4" t="s">
        <v>14</v>
      </c>
      <c r="C76" s="4" t="s">
        <v>66</v>
      </c>
      <c r="D76" s="6">
        <v>0.5584722222222223</v>
      </c>
      <c r="E76" s="6">
        <v>0.00818287037037037</v>
      </c>
      <c r="F76" s="6">
        <v>0.5666550925925926</v>
      </c>
      <c r="G76" s="4" t="s">
        <v>140</v>
      </c>
      <c r="H76" s="4" t="s">
        <v>107</v>
      </c>
      <c r="I76" s="4" t="s">
        <v>154</v>
      </c>
      <c r="J76" s="4" t="s">
        <v>155</v>
      </c>
      <c r="K76" s="4" t="s">
        <v>156</v>
      </c>
      <c r="L76" s="4"/>
      <c r="M76" s="4"/>
      <c r="N76" s="4" t="s">
        <v>157</v>
      </c>
      <c r="O76" s="51" t="b">
        <v>0</v>
      </c>
      <c r="P76" s="51" t="b">
        <v>0</v>
      </c>
      <c r="Q76" s="51" t="b">
        <v>0</v>
      </c>
      <c r="R76" s="51" t="b">
        <v>0</v>
      </c>
      <c r="S76" s="51" t="b">
        <v>0</v>
      </c>
    </row>
    <row r="77" hidden="1">
      <c r="A77" s="4" t="str">
        <f>IFERROR(__xludf.DUMMYFUNCTION("""COMPUTED_VALUE"""),"69 - Channel")</f>
        <v>69 - Channel</v>
      </c>
      <c r="B77" s="4" t="s">
        <v>14</v>
      </c>
      <c r="C77" s="4" t="s">
        <v>66</v>
      </c>
      <c r="D77" s="6">
        <v>0.5666550925925926</v>
      </c>
      <c r="E77" s="6">
        <v>2.314814814814815E-4</v>
      </c>
      <c r="F77" s="6">
        <v>0.5668865740740741</v>
      </c>
      <c r="G77" s="4"/>
      <c r="H77" s="4" t="s">
        <v>81</v>
      </c>
      <c r="I77" s="4" t="s">
        <v>158</v>
      </c>
      <c r="J77" s="4" t="s">
        <v>92</v>
      </c>
      <c r="K77" s="4"/>
      <c r="L77" s="4"/>
      <c r="M77" s="4"/>
      <c r="N77" s="4" t="s">
        <v>70</v>
      </c>
      <c r="O77" s="51" t="b">
        <v>0</v>
      </c>
      <c r="P77" s="51" t="b">
        <v>0</v>
      </c>
      <c r="Q77" s="51" t="b">
        <v>0</v>
      </c>
      <c r="R77" s="51" t="b">
        <v>0</v>
      </c>
      <c r="S77" s="51" t="b">
        <v>0</v>
      </c>
    </row>
    <row r="78" hidden="1">
      <c r="A78" s="4" t="str">
        <f>IFERROR(__xludf.DUMMYFUNCTION("""COMPUTED_VALUE"""),"1399 - Channel")</f>
        <v>1399 - Channel</v>
      </c>
      <c r="B78" s="4" t="s">
        <v>14</v>
      </c>
      <c r="C78" s="4" t="s">
        <v>66</v>
      </c>
      <c r="D78" s="6">
        <v>0.5668865740740741</v>
      </c>
      <c r="E78" s="6">
        <v>0.0020833333333333333</v>
      </c>
      <c r="F78" s="6">
        <v>0.5689699074074074</v>
      </c>
      <c r="G78" s="4"/>
      <c r="H78" s="4" t="s">
        <v>83</v>
      </c>
      <c r="I78" s="4" t="s">
        <v>159</v>
      </c>
      <c r="J78" s="4"/>
      <c r="K78" s="4"/>
      <c r="L78" s="4"/>
      <c r="M78" s="4"/>
      <c r="N78" s="4"/>
      <c r="O78" s="51" t="b">
        <v>0</v>
      </c>
      <c r="P78" s="51" t="b">
        <v>0</v>
      </c>
      <c r="Q78" s="51" t="b">
        <v>0</v>
      </c>
      <c r="R78" s="51" t="b">
        <v>0</v>
      </c>
      <c r="S78" s="51" t="b">
        <v>0</v>
      </c>
    </row>
    <row r="79" hidden="1">
      <c r="A79" s="4" t="str">
        <f>IFERROR(__xludf.DUMMYFUNCTION("""COMPUTED_VALUE"""),"2242 - Channel")</f>
        <v>2242 - Channel</v>
      </c>
      <c r="B79" s="4" t="s">
        <v>14</v>
      </c>
      <c r="C79" s="4" t="s">
        <v>66</v>
      </c>
      <c r="D79" s="6">
        <v>0.5689699074074074</v>
      </c>
      <c r="E79" s="6">
        <v>2.314814814814815E-4</v>
      </c>
      <c r="F79" s="6">
        <v>0.5692013888888888</v>
      </c>
      <c r="G79" s="4"/>
      <c r="H79" s="4" t="s">
        <v>85</v>
      </c>
      <c r="I79" s="4" t="s">
        <v>86</v>
      </c>
      <c r="J79" s="4" t="s">
        <v>92</v>
      </c>
      <c r="K79" s="4"/>
      <c r="L79" s="4"/>
      <c r="M79" s="4"/>
      <c r="N79" s="4"/>
      <c r="O79" s="51" t="b">
        <v>0</v>
      </c>
      <c r="P79" s="51" t="b">
        <v>0</v>
      </c>
      <c r="Q79" s="51" t="b">
        <v>0</v>
      </c>
      <c r="R79" s="51" t="b">
        <v>0</v>
      </c>
      <c r="S79" s="51" t="b">
        <v>0</v>
      </c>
    </row>
    <row r="80" hidden="1">
      <c r="A80" s="4" t="str">
        <f>IFERROR(__xludf.DUMMYFUNCTION("""COMPUTED_VALUE"""),"1395 - Channel")</f>
        <v>1395 - Channel</v>
      </c>
      <c r="B80" s="4" t="s">
        <v>14</v>
      </c>
      <c r="C80" s="4" t="s">
        <v>66</v>
      </c>
      <c r="D80" s="6">
        <v>0.5692013888888888</v>
      </c>
      <c r="E80" s="6">
        <v>3.4722222222222224E-4</v>
      </c>
      <c r="F80" s="6">
        <v>0.5695486111111111</v>
      </c>
      <c r="G80" s="4"/>
      <c r="H80" s="4" t="s">
        <v>79</v>
      </c>
      <c r="I80" s="4" t="s">
        <v>80</v>
      </c>
      <c r="J80" s="4" t="s">
        <v>69</v>
      </c>
      <c r="K80" s="4"/>
      <c r="L80" s="4"/>
      <c r="M80" s="4"/>
      <c r="N80" s="4"/>
      <c r="O80" s="51" t="b">
        <v>0</v>
      </c>
      <c r="P80" s="51" t="b">
        <v>0</v>
      </c>
      <c r="Q80" s="51" t="b">
        <v>0</v>
      </c>
      <c r="R80" s="51" t="b">
        <v>0</v>
      </c>
      <c r="S80" s="51" t="b">
        <v>0</v>
      </c>
    </row>
    <row r="81" hidden="1">
      <c r="A81" s="4" t="str">
        <f>IFERROR(__xludf.DUMMYFUNCTION("""COMPUTED_VALUE"""),"311 - Channel")</f>
        <v>311 - Channel</v>
      </c>
      <c r="B81" s="4" t="s">
        <v>14</v>
      </c>
      <c r="C81" s="4" t="s">
        <v>66</v>
      </c>
      <c r="D81" s="6">
        <v>0.5695486111111111</v>
      </c>
      <c r="E81" s="6">
        <v>2.314814814814815E-4</v>
      </c>
      <c r="F81" s="6">
        <v>0.5697800925925925</v>
      </c>
      <c r="G81" s="4"/>
      <c r="H81" s="4" t="s">
        <v>81</v>
      </c>
      <c r="I81" s="4" t="s">
        <v>91</v>
      </c>
      <c r="J81" s="4" t="s">
        <v>92</v>
      </c>
      <c r="K81" s="4"/>
      <c r="L81" s="4"/>
      <c r="M81" s="4"/>
      <c r="N81" s="4" t="s">
        <v>70</v>
      </c>
      <c r="O81" s="51" t="b">
        <v>0</v>
      </c>
      <c r="P81" s="51" t="b">
        <v>0</v>
      </c>
      <c r="Q81" s="51" t="b">
        <v>0</v>
      </c>
      <c r="R81" s="51" t="b">
        <v>0</v>
      </c>
      <c r="S81" s="51" t="b">
        <v>0</v>
      </c>
    </row>
    <row r="82" hidden="1">
      <c r="A82" s="4" t="str">
        <f>IFERROR(__xludf.DUMMYFUNCTION("""COMPUTED_VALUE"""),"312 - Channel")</f>
        <v>312 - Channel</v>
      </c>
      <c r="B82" s="4" t="s">
        <v>14</v>
      </c>
      <c r="C82" s="4" t="s">
        <v>66</v>
      </c>
      <c r="D82" s="6">
        <v>0.5697800925925925</v>
      </c>
      <c r="E82" s="6">
        <v>0.013657407407407408</v>
      </c>
      <c r="F82" s="6">
        <v>0.5834374999999999</v>
      </c>
      <c r="G82" s="4"/>
      <c r="H82" s="4" t="s">
        <v>74</v>
      </c>
      <c r="I82" s="4" t="s">
        <v>160</v>
      </c>
      <c r="J82" s="4" t="s">
        <v>161</v>
      </c>
      <c r="K82" s="4" t="s">
        <v>162</v>
      </c>
      <c r="L82" s="4"/>
      <c r="M82" s="4"/>
      <c r="N82" s="4" t="s">
        <v>163</v>
      </c>
      <c r="O82" s="51" t="b">
        <v>0</v>
      </c>
      <c r="P82" s="51" t="b">
        <v>0</v>
      </c>
      <c r="Q82" s="51" t="b">
        <v>0</v>
      </c>
      <c r="R82" s="51" t="b">
        <v>0</v>
      </c>
      <c r="S82" s="51" t="b">
        <v>0</v>
      </c>
    </row>
    <row r="83" hidden="1">
      <c r="A83" s="4" t="str">
        <f>IFERROR(__xludf.DUMMYFUNCTION("""COMPUTED_VALUE"""),"1801 - Channel")</f>
        <v>1801 - Channel</v>
      </c>
      <c r="B83" s="4" t="s">
        <v>14</v>
      </c>
      <c r="C83" s="4" t="s">
        <v>66</v>
      </c>
      <c r="D83" s="6">
        <v>0.5834374999999999</v>
      </c>
      <c r="E83" s="6">
        <v>2.314814814814815E-4</v>
      </c>
      <c r="F83" s="6">
        <v>0.5836689814814814</v>
      </c>
      <c r="G83" s="4"/>
      <c r="H83" s="4" t="s">
        <v>81</v>
      </c>
      <c r="I83" s="4" t="s">
        <v>91</v>
      </c>
      <c r="J83" s="4" t="s">
        <v>92</v>
      </c>
      <c r="K83" s="4"/>
      <c r="L83" s="4"/>
      <c r="M83" s="4"/>
      <c r="N83" s="4" t="s">
        <v>70</v>
      </c>
      <c r="O83" s="51" t="b">
        <v>0</v>
      </c>
      <c r="P83" s="51" t="b">
        <v>0</v>
      </c>
      <c r="Q83" s="51" t="b">
        <v>0</v>
      </c>
      <c r="R83" s="51" t="b">
        <v>0</v>
      </c>
      <c r="S83" s="51" t="b">
        <v>0</v>
      </c>
    </row>
    <row r="84" hidden="1">
      <c r="A84" s="4" t="str">
        <f>IFERROR(__xludf.DUMMYFUNCTION("""COMPUTED_VALUE"""),"93 - Channel")</f>
        <v>93 - Channel</v>
      </c>
      <c r="B84" s="4" t="s">
        <v>14</v>
      </c>
      <c r="C84" s="4" t="s">
        <v>66</v>
      </c>
      <c r="D84" s="6">
        <v>0.5836689814814814</v>
      </c>
      <c r="E84" s="6">
        <v>0.0060416666666666665</v>
      </c>
      <c r="F84" s="6">
        <v>0.589710648148148</v>
      </c>
      <c r="G84" s="4" t="s">
        <v>164</v>
      </c>
      <c r="H84" s="4" t="s">
        <v>165</v>
      </c>
      <c r="I84" s="4" t="s">
        <v>166</v>
      </c>
      <c r="J84" s="4" t="s">
        <v>167</v>
      </c>
      <c r="K84" s="4"/>
      <c r="L84" s="4"/>
      <c r="M84" s="4"/>
      <c r="N84" s="4" t="s">
        <v>70</v>
      </c>
      <c r="O84" s="51" t="b">
        <v>0</v>
      </c>
      <c r="P84" s="51" t="b">
        <v>0</v>
      </c>
      <c r="Q84" s="51" t="b">
        <v>0</v>
      </c>
      <c r="R84" s="51" t="b">
        <v>0</v>
      </c>
      <c r="S84" s="51" t="b">
        <v>0</v>
      </c>
    </row>
    <row r="85" hidden="1">
      <c r="A85" s="4" t="str">
        <f>IFERROR(__xludf.DUMMYFUNCTION("""COMPUTED_VALUE"""),"1377 - Channel")</f>
        <v>1377 - Channel</v>
      </c>
      <c r="B85" s="4" t="s">
        <v>14</v>
      </c>
      <c r="C85" s="4" t="s">
        <v>66</v>
      </c>
      <c r="D85" s="6"/>
      <c r="E85" s="6"/>
      <c r="F85" s="6"/>
      <c r="G85" s="4"/>
      <c r="H85" s="4"/>
      <c r="I85" s="4"/>
      <c r="J85" s="4"/>
      <c r="K85" s="4"/>
      <c r="L85" s="4"/>
      <c r="M85" s="4"/>
      <c r="N85" s="4"/>
      <c r="O85" s="51" t="b">
        <v>0</v>
      </c>
      <c r="P85" s="51" t="b">
        <v>0</v>
      </c>
      <c r="Q85" s="51" t="b">
        <v>0</v>
      </c>
      <c r="R85" s="51" t="b">
        <v>0</v>
      </c>
      <c r="S85" s="51" t="b">
        <v>0</v>
      </c>
    </row>
    <row r="86" hidden="1">
      <c r="A86" s="4" t="str">
        <f>IFERROR(__xludf.DUMMYFUNCTION("""COMPUTED_VALUE"""),"78 - Channel")</f>
        <v>78 - Channel</v>
      </c>
      <c r="B86" s="4" t="s">
        <v>14</v>
      </c>
      <c r="C86" s="4" t="s">
        <v>66</v>
      </c>
      <c r="D86" s="6">
        <v>0.589710648148148</v>
      </c>
      <c r="E86" s="6">
        <v>6.944444444444445E-4</v>
      </c>
      <c r="F86" s="6">
        <v>0.5904050925925924</v>
      </c>
      <c r="G86" s="4"/>
      <c r="H86" s="4" t="s">
        <v>103</v>
      </c>
      <c r="I86" s="4" t="s">
        <v>168</v>
      </c>
      <c r="J86" s="4" t="s">
        <v>128</v>
      </c>
      <c r="K86" s="4"/>
      <c r="L86" s="4"/>
      <c r="M86" s="4"/>
      <c r="N86" s="4"/>
      <c r="O86" s="51" t="b">
        <v>0</v>
      </c>
      <c r="P86" s="51" t="b">
        <v>0</v>
      </c>
      <c r="Q86" s="51" t="b">
        <v>0</v>
      </c>
      <c r="R86" s="51" t="b">
        <v>0</v>
      </c>
      <c r="S86" s="51" t="b">
        <v>0</v>
      </c>
    </row>
    <row r="87" hidden="1">
      <c r="A87" s="4" t="str">
        <f>IFERROR(__xludf.DUMMYFUNCTION("""COMPUTED_VALUE"""),"1655 - Channel")</f>
        <v>1655 - Channel</v>
      </c>
      <c r="B87" s="4" t="s">
        <v>14</v>
      </c>
      <c r="C87" s="4" t="s">
        <v>66</v>
      </c>
      <c r="D87" s="6">
        <v>0.5904050925925924</v>
      </c>
      <c r="E87" s="6">
        <v>3.4722222222222224E-4</v>
      </c>
      <c r="F87" s="6">
        <v>0.5907523148148147</v>
      </c>
      <c r="G87" s="4"/>
      <c r="H87" s="4" t="s">
        <v>87</v>
      </c>
      <c r="I87" s="4" t="s">
        <v>88</v>
      </c>
      <c r="J87" s="4" t="s">
        <v>69</v>
      </c>
      <c r="K87" s="4"/>
      <c r="L87" s="4"/>
      <c r="M87" s="4"/>
      <c r="N87" s="4"/>
      <c r="O87" s="51" t="b">
        <v>0</v>
      </c>
      <c r="P87" s="51" t="b">
        <v>0</v>
      </c>
      <c r="Q87" s="51" t="b">
        <v>0</v>
      </c>
      <c r="R87" s="51" t="b">
        <v>0</v>
      </c>
      <c r="S87" s="51" t="b">
        <v>0</v>
      </c>
    </row>
    <row r="88" hidden="1">
      <c r="A88" s="4" t="str">
        <f>IFERROR(__xludf.DUMMYFUNCTION("""COMPUTED_VALUE"""),"18 - Channel")</f>
        <v>18 - Channel</v>
      </c>
      <c r="B88" s="4" t="s">
        <v>14</v>
      </c>
      <c r="C88" s="4" t="s">
        <v>66</v>
      </c>
      <c r="D88" s="6">
        <v>0.5907523148148147</v>
      </c>
      <c r="E88" s="6">
        <v>2.314814814814815E-4</v>
      </c>
      <c r="F88" s="6">
        <v>0.5909837962962962</v>
      </c>
      <c r="G88" s="4"/>
      <c r="H88" s="4" t="s">
        <v>81</v>
      </c>
      <c r="I88" s="4" t="s">
        <v>91</v>
      </c>
      <c r="J88" s="4" t="s">
        <v>128</v>
      </c>
      <c r="K88" s="4"/>
      <c r="L88" s="4"/>
      <c r="M88" s="4"/>
      <c r="N88" s="4"/>
      <c r="O88" s="51" t="b">
        <v>0</v>
      </c>
      <c r="P88" s="51" t="b">
        <v>0</v>
      </c>
      <c r="Q88" s="51" t="b">
        <v>0</v>
      </c>
      <c r="R88" s="51" t="b">
        <v>0</v>
      </c>
      <c r="S88" s="51" t="b">
        <v>0</v>
      </c>
    </row>
    <row r="89" hidden="1">
      <c r="A89" s="4" t="str">
        <f>IFERROR(__xludf.DUMMYFUNCTION("""COMPUTED_VALUE"""),"19 - Channel")</f>
        <v>19 - Channel</v>
      </c>
      <c r="B89" s="4" t="s">
        <v>14</v>
      </c>
      <c r="C89" s="4" t="s">
        <v>66</v>
      </c>
      <c r="D89" s="6">
        <v>0.5909837962962962</v>
      </c>
      <c r="E89" s="6">
        <v>0.00625</v>
      </c>
      <c r="F89" s="6">
        <v>0.5972337962962961</v>
      </c>
      <c r="G89" s="4"/>
      <c r="H89" s="4" t="s">
        <v>94</v>
      </c>
      <c r="I89" s="4" t="s">
        <v>169</v>
      </c>
      <c r="J89" s="4" t="s">
        <v>170</v>
      </c>
      <c r="K89" s="4"/>
      <c r="L89" s="4"/>
      <c r="M89" s="4"/>
      <c r="N89" s="4" t="s">
        <v>171</v>
      </c>
      <c r="O89" s="51" t="b">
        <v>0</v>
      </c>
      <c r="P89" s="51" t="b">
        <v>0</v>
      </c>
      <c r="Q89" s="51" t="b">
        <v>0</v>
      </c>
      <c r="R89" s="51" t="b">
        <v>0</v>
      </c>
      <c r="S89" s="51" t="b">
        <v>0</v>
      </c>
    </row>
    <row r="90" hidden="1">
      <c r="A90" s="4" t="str">
        <f>IFERROR(__xludf.DUMMYFUNCTION("""COMPUTED_VALUE"""),"81 - Channel")</f>
        <v>81 - Channel</v>
      </c>
      <c r="B90" s="4" t="s">
        <v>14</v>
      </c>
      <c r="C90" s="4" t="s">
        <v>66</v>
      </c>
      <c r="D90" s="6">
        <v>0.5972337962962961</v>
      </c>
      <c r="E90" s="6">
        <v>2.314814814814815E-4</v>
      </c>
      <c r="F90" s="6">
        <v>0.5974652777777776</v>
      </c>
      <c r="G90" s="4"/>
      <c r="H90" s="4" t="s">
        <v>81</v>
      </c>
      <c r="I90" s="4" t="s">
        <v>172</v>
      </c>
      <c r="J90" s="4" t="s">
        <v>128</v>
      </c>
      <c r="K90" s="4"/>
      <c r="L90" s="4"/>
      <c r="M90" s="4"/>
      <c r="N90" s="4" t="s">
        <v>70</v>
      </c>
      <c r="O90" s="51" t="b">
        <v>0</v>
      </c>
      <c r="P90" s="51" t="b">
        <v>0</v>
      </c>
      <c r="Q90" s="51" t="b">
        <v>0</v>
      </c>
      <c r="R90" s="51" t="b">
        <v>0</v>
      </c>
      <c r="S90" s="51" t="b">
        <v>0</v>
      </c>
    </row>
    <row r="91" hidden="1">
      <c r="A91" s="4" t="str">
        <f>IFERROR(__xludf.DUMMYFUNCTION("""COMPUTED_VALUE"""),"82 - Channel")</f>
        <v>82 - Channel</v>
      </c>
      <c r="B91" s="4" t="s">
        <v>14</v>
      </c>
      <c r="C91" s="4" t="s">
        <v>66</v>
      </c>
      <c r="D91" s="6">
        <v>0.5974652777777776</v>
      </c>
      <c r="E91" s="6">
        <v>0.0020833333333333333</v>
      </c>
      <c r="F91" s="6">
        <v>0.5995486111111109</v>
      </c>
      <c r="G91" s="4"/>
      <c r="H91" s="4" t="s">
        <v>83</v>
      </c>
      <c r="I91" s="4" t="s">
        <v>173</v>
      </c>
      <c r="J91" s="4"/>
      <c r="K91" s="4"/>
      <c r="L91" s="4"/>
      <c r="M91" s="4"/>
      <c r="N91" s="4"/>
      <c r="O91" s="51" t="b">
        <v>0</v>
      </c>
      <c r="P91" s="51" t="b">
        <v>0</v>
      </c>
      <c r="Q91" s="51" t="b">
        <v>0</v>
      </c>
      <c r="R91" s="51" t="b">
        <v>0</v>
      </c>
      <c r="S91" s="51" t="b">
        <v>0</v>
      </c>
    </row>
    <row r="92" hidden="1">
      <c r="A92" s="4" t="str">
        <f>IFERROR(__xludf.DUMMYFUNCTION("""COMPUTED_VALUE"""),"2243 - Channel")</f>
        <v>2243 - Channel</v>
      </c>
      <c r="B92" s="4" t="s">
        <v>14</v>
      </c>
      <c r="C92" s="4" t="s">
        <v>66</v>
      </c>
      <c r="D92" s="6">
        <v>0.5995486111111109</v>
      </c>
      <c r="E92" s="6">
        <v>2.314814814814815E-4</v>
      </c>
      <c r="F92" s="6">
        <v>0.5997800925925924</v>
      </c>
      <c r="G92" s="4"/>
      <c r="H92" s="4" t="s">
        <v>85</v>
      </c>
      <c r="I92" s="4" t="s">
        <v>86</v>
      </c>
      <c r="J92" s="4" t="s">
        <v>128</v>
      </c>
      <c r="K92" s="4"/>
      <c r="L92" s="4"/>
      <c r="M92" s="4"/>
      <c r="N92" s="4"/>
      <c r="O92" s="51" t="b">
        <v>0</v>
      </c>
      <c r="P92" s="51" t="b">
        <v>0</v>
      </c>
      <c r="Q92" s="51" t="b">
        <v>0</v>
      </c>
      <c r="R92" s="51" t="b">
        <v>0</v>
      </c>
      <c r="S92" s="51" t="b">
        <v>0</v>
      </c>
    </row>
    <row r="93" hidden="1">
      <c r="A93" s="4" t="str">
        <f>IFERROR(__xludf.DUMMYFUNCTION("""COMPUTED_VALUE"""),"1435 - Channel")</f>
        <v>1435 - Channel</v>
      </c>
      <c r="B93" s="4" t="s">
        <v>14</v>
      </c>
      <c r="C93" s="4" t="s">
        <v>66</v>
      </c>
      <c r="D93" s="6">
        <v>0.5995486111111109</v>
      </c>
      <c r="E93" s="6">
        <v>3.4722222222222224E-4</v>
      </c>
      <c r="F93" s="6">
        <v>0.5998958333333332</v>
      </c>
      <c r="G93" s="4"/>
      <c r="H93" s="4" t="s">
        <v>89</v>
      </c>
      <c r="I93" s="4" t="s">
        <v>80</v>
      </c>
      <c r="J93" s="4" t="s">
        <v>69</v>
      </c>
      <c r="K93" s="4"/>
      <c r="L93" s="4"/>
      <c r="M93" s="4"/>
      <c r="N93" s="4"/>
      <c r="O93" s="51" t="b">
        <v>0</v>
      </c>
      <c r="P93" s="51" t="b">
        <v>0</v>
      </c>
      <c r="Q93" s="51" t="b">
        <v>0</v>
      </c>
      <c r="R93" s="51" t="b">
        <v>0</v>
      </c>
      <c r="S93" s="51" t="b">
        <v>0</v>
      </c>
    </row>
    <row r="94" hidden="1">
      <c r="A94" s="4" t="str">
        <f>IFERROR(__xludf.DUMMYFUNCTION("""COMPUTED_VALUE"""),"85 - Channel")</f>
        <v>85 - Channel</v>
      </c>
      <c r="B94" s="4" t="s">
        <v>14</v>
      </c>
      <c r="C94" s="4" t="s">
        <v>66</v>
      </c>
      <c r="D94" s="6">
        <v>0.5998958333333332</v>
      </c>
      <c r="E94" s="6">
        <v>2.314814814814815E-4</v>
      </c>
      <c r="F94" s="6">
        <v>0.6001273148148146</v>
      </c>
      <c r="G94" s="4"/>
      <c r="H94" s="4" t="s">
        <v>81</v>
      </c>
      <c r="I94" s="4" t="s">
        <v>81</v>
      </c>
      <c r="J94" s="4" t="s">
        <v>128</v>
      </c>
      <c r="K94" s="4"/>
      <c r="L94" s="4"/>
      <c r="M94" s="4"/>
      <c r="N94" s="4" t="s">
        <v>70</v>
      </c>
      <c r="O94" s="51" t="b">
        <v>0</v>
      </c>
      <c r="P94" s="51" t="b">
        <v>0</v>
      </c>
      <c r="Q94" s="51" t="b">
        <v>0</v>
      </c>
      <c r="R94" s="51" t="b">
        <v>0</v>
      </c>
      <c r="S94" s="51" t="b">
        <v>0</v>
      </c>
    </row>
    <row r="95" hidden="1">
      <c r="A95" s="4" t="str">
        <f>IFERROR(__xludf.DUMMYFUNCTION("""COMPUTED_VALUE"""),"86 - Channel")</f>
        <v>86 - Channel</v>
      </c>
      <c r="B95" s="4" t="s">
        <v>14</v>
      </c>
      <c r="C95" s="4" t="s">
        <v>66</v>
      </c>
      <c r="D95" s="6">
        <v>0.6001273148148146</v>
      </c>
      <c r="E95" s="6">
        <v>0.008240740740740741</v>
      </c>
      <c r="F95" s="6">
        <v>0.6083680555555554</v>
      </c>
      <c r="G95" s="4" t="s">
        <v>164</v>
      </c>
      <c r="H95" s="4" t="s">
        <v>107</v>
      </c>
      <c r="I95" s="4" t="s">
        <v>174</v>
      </c>
      <c r="J95" s="4" t="s">
        <v>175</v>
      </c>
      <c r="K95" s="4" t="s">
        <v>176</v>
      </c>
      <c r="L95" s="4"/>
      <c r="M95" s="4"/>
      <c r="N95" s="4" t="s">
        <v>177</v>
      </c>
      <c r="O95" s="51" t="b">
        <v>0</v>
      </c>
      <c r="P95" s="51" t="b">
        <v>0</v>
      </c>
      <c r="Q95" s="51" t="b">
        <v>0</v>
      </c>
      <c r="R95" s="51" t="b">
        <v>0</v>
      </c>
      <c r="S95" s="51" t="b">
        <v>0</v>
      </c>
    </row>
    <row r="96" hidden="1">
      <c r="A96" s="4" t="str">
        <f>IFERROR(__xludf.DUMMYFUNCTION("""COMPUTED_VALUE"""),"1649 - Channel")</f>
        <v>1649 - Channel</v>
      </c>
      <c r="B96" s="4" t="s">
        <v>14</v>
      </c>
      <c r="C96" s="4" t="s">
        <v>66</v>
      </c>
      <c r="D96" s="6">
        <v>0.6083680555555554</v>
      </c>
      <c r="E96" s="6">
        <v>3.4722222222222224E-4</v>
      </c>
      <c r="F96" s="6">
        <v>0.6087152777777777</v>
      </c>
      <c r="G96" s="4"/>
      <c r="H96" s="4" t="s">
        <v>87</v>
      </c>
      <c r="I96" s="4" t="s">
        <v>88</v>
      </c>
      <c r="J96" s="4" t="s">
        <v>69</v>
      </c>
      <c r="K96" s="4"/>
      <c r="L96" s="4"/>
      <c r="M96" s="4"/>
      <c r="N96" s="4"/>
      <c r="O96" s="51" t="b">
        <v>0</v>
      </c>
      <c r="P96" s="51" t="b">
        <v>0</v>
      </c>
      <c r="Q96" s="51" t="b">
        <v>0</v>
      </c>
      <c r="R96" s="51" t="b">
        <v>0</v>
      </c>
      <c r="S96" s="51" t="b">
        <v>0</v>
      </c>
    </row>
    <row r="97" hidden="1">
      <c r="A97" s="4" t="str">
        <f>IFERROR(__xludf.DUMMYFUNCTION("""COMPUTED_VALUE"""),"1607 - Channel")</f>
        <v>1607 - Channel</v>
      </c>
      <c r="B97" s="4" t="s">
        <v>14</v>
      </c>
      <c r="C97" s="4" t="s">
        <v>66</v>
      </c>
      <c r="D97" s="6">
        <v>0.6087152777777777</v>
      </c>
      <c r="E97" s="6">
        <v>5.208333333333333E-4</v>
      </c>
      <c r="F97" s="6">
        <v>0.609236111111111</v>
      </c>
      <c r="G97" s="4"/>
      <c r="H97" s="4" t="s">
        <v>79</v>
      </c>
      <c r="I97" s="4" t="s">
        <v>80</v>
      </c>
      <c r="J97" s="4" t="s">
        <v>69</v>
      </c>
      <c r="K97" s="4"/>
      <c r="L97" s="4"/>
      <c r="M97" s="4"/>
      <c r="N97" s="4"/>
      <c r="O97" s="51" t="b">
        <v>0</v>
      </c>
      <c r="P97" s="51" t="b">
        <v>0</v>
      </c>
      <c r="Q97" s="51" t="b">
        <v>0</v>
      </c>
      <c r="R97" s="51" t="b">
        <v>0</v>
      </c>
      <c r="S97" s="51" t="b">
        <v>0</v>
      </c>
    </row>
    <row r="98" hidden="1">
      <c r="A98" s="4" t="str">
        <f>IFERROR(__xludf.DUMMYFUNCTION("""COMPUTED_VALUE"""),"1412 - Channel")</f>
        <v>1412 - Channel</v>
      </c>
      <c r="B98" s="4" t="s">
        <v>14</v>
      </c>
      <c r="C98" s="4" t="s">
        <v>66</v>
      </c>
      <c r="D98" s="6">
        <v>0.609236111111111</v>
      </c>
      <c r="E98" s="6">
        <v>2.314814814814815E-4</v>
      </c>
      <c r="F98" s="6">
        <v>0.6094675925925924</v>
      </c>
      <c r="G98" s="4"/>
      <c r="H98" s="4" t="s">
        <v>81</v>
      </c>
      <c r="I98" s="4" t="s">
        <v>178</v>
      </c>
      <c r="J98" s="4" t="s">
        <v>128</v>
      </c>
      <c r="K98" s="4"/>
      <c r="L98" s="4"/>
      <c r="M98" s="4"/>
      <c r="N98" s="4"/>
      <c r="O98" s="51" t="b">
        <v>0</v>
      </c>
      <c r="P98" s="51" t="b">
        <v>0</v>
      </c>
      <c r="Q98" s="51" t="b">
        <v>0</v>
      </c>
      <c r="R98" s="51" t="b">
        <v>0</v>
      </c>
      <c r="S98" s="51" t="b">
        <v>0</v>
      </c>
    </row>
    <row r="99" hidden="1">
      <c r="A99" s="4" t="str">
        <f>IFERROR(__xludf.DUMMYFUNCTION("""COMPUTED_VALUE"""),"310 - Channel")</f>
        <v>310 - Channel</v>
      </c>
      <c r="B99" s="4" t="s">
        <v>14</v>
      </c>
      <c r="C99" s="4" t="s">
        <v>66</v>
      </c>
      <c r="D99" s="6">
        <v>0.6094675925925924</v>
      </c>
      <c r="E99" s="6">
        <v>0.0020833333333333333</v>
      </c>
      <c r="F99" s="6">
        <v>0.6115509259259257</v>
      </c>
      <c r="G99" s="4"/>
      <c r="H99" s="4" t="s">
        <v>83</v>
      </c>
      <c r="I99" s="4" t="s">
        <v>179</v>
      </c>
      <c r="J99" s="4"/>
      <c r="K99" s="4"/>
      <c r="L99" s="4"/>
      <c r="M99" s="4"/>
      <c r="N99" s="4" t="s">
        <v>70</v>
      </c>
      <c r="O99" s="51" t="b">
        <v>0</v>
      </c>
      <c r="P99" s="51" t="b">
        <v>0</v>
      </c>
      <c r="Q99" s="51" t="b">
        <v>0</v>
      </c>
      <c r="R99" s="51" t="b">
        <v>0</v>
      </c>
      <c r="S99" s="51" t="b">
        <v>0</v>
      </c>
    </row>
    <row r="100" hidden="1">
      <c r="A100" s="4" t="str">
        <f>IFERROR(__xludf.DUMMYFUNCTION("""COMPUTED_VALUE"""),"2244 - Channel")</f>
        <v>2244 - Channel</v>
      </c>
      <c r="B100" s="4" t="s">
        <v>14</v>
      </c>
      <c r="C100" s="4" t="s">
        <v>66</v>
      </c>
      <c r="D100" s="6">
        <v>0.6115509259259257</v>
      </c>
      <c r="E100" s="6">
        <v>2.314814814814815E-4</v>
      </c>
      <c r="F100" s="6">
        <v>0.6117824074074072</v>
      </c>
      <c r="G100" s="4"/>
      <c r="H100" s="4" t="s">
        <v>85</v>
      </c>
      <c r="I100" s="4" t="s">
        <v>86</v>
      </c>
      <c r="J100" s="4" t="s">
        <v>128</v>
      </c>
      <c r="K100" s="4"/>
      <c r="L100" s="4"/>
      <c r="M100" s="4"/>
      <c r="N100" s="4"/>
      <c r="O100" s="51" t="b">
        <v>0</v>
      </c>
      <c r="P100" s="51" t="b">
        <v>0</v>
      </c>
      <c r="Q100" s="51" t="b">
        <v>0</v>
      </c>
      <c r="R100" s="51" t="b">
        <v>0</v>
      </c>
      <c r="S100" s="51" t="b">
        <v>0</v>
      </c>
    </row>
    <row r="101" hidden="1">
      <c r="A101" s="4" t="str">
        <f>IFERROR(__xludf.DUMMYFUNCTION("""COMPUTED_VALUE"""),"606 - Channel")</f>
        <v>606 - Channel</v>
      </c>
      <c r="B101" s="4" t="s">
        <v>14</v>
      </c>
      <c r="C101" s="4" t="s">
        <v>66</v>
      </c>
      <c r="D101" s="6">
        <v>0.6117824074074072</v>
      </c>
      <c r="E101" s="6">
        <v>2.314814814814815E-4</v>
      </c>
      <c r="F101" s="6">
        <v>0.6120138888888886</v>
      </c>
      <c r="G101" s="4"/>
      <c r="H101" s="4" t="s">
        <v>81</v>
      </c>
      <c r="I101" s="4" t="s">
        <v>91</v>
      </c>
      <c r="J101" s="4" t="s">
        <v>73</v>
      </c>
      <c r="K101" s="4" t="s">
        <v>128</v>
      </c>
      <c r="L101" s="4"/>
      <c r="M101" s="4"/>
      <c r="N101" s="4"/>
      <c r="O101" s="51" t="b">
        <v>0</v>
      </c>
      <c r="P101" s="51" t="b">
        <v>0</v>
      </c>
      <c r="Q101" s="51" t="b">
        <v>0</v>
      </c>
      <c r="R101" s="51" t="b">
        <v>0</v>
      </c>
      <c r="S101" s="51" t="b">
        <v>0</v>
      </c>
    </row>
    <row r="102" hidden="1">
      <c r="A102" s="4" t="str">
        <f>IFERROR(__xludf.DUMMYFUNCTION("""COMPUTED_VALUE"""),"446 - Channel")</f>
        <v>446 - Channel</v>
      </c>
      <c r="B102" s="4" t="s">
        <v>14</v>
      </c>
      <c r="C102" s="4" t="s">
        <v>66</v>
      </c>
      <c r="D102" s="6">
        <v>0.6120138888888886</v>
      </c>
      <c r="E102" s="6">
        <v>0.010023148148148147</v>
      </c>
      <c r="F102" s="6">
        <v>0.6220370370370368</v>
      </c>
      <c r="G102" s="4"/>
      <c r="H102" s="4" t="s">
        <v>74</v>
      </c>
      <c r="I102" s="4" t="s">
        <v>180</v>
      </c>
      <c r="J102" s="4" t="s">
        <v>181</v>
      </c>
      <c r="K102" s="4" t="s">
        <v>182</v>
      </c>
      <c r="L102" s="4" t="s">
        <v>183</v>
      </c>
      <c r="M102" s="4"/>
      <c r="N102" s="4" t="s">
        <v>184</v>
      </c>
      <c r="O102" s="51" t="b">
        <v>0</v>
      </c>
      <c r="P102" s="51" t="b">
        <v>0</v>
      </c>
      <c r="Q102" s="51" t="b">
        <v>0</v>
      </c>
      <c r="R102" s="51" t="b">
        <v>0</v>
      </c>
      <c r="S102" s="51" t="b">
        <v>0</v>
      </c>
    </row>
    <row r="103" hidden="1">
      <c r="A103" s="4" t="str">
        <f>IFERROR(__xludf.DUMMYFUNCTION("""COMPUTED_VALUE"""),"327 - Channel")</f>
        <v>327 - Channel</v>
      </c>
      <c r="B103" s="4" t="s">
        <v>14</v>
      </c>
      <c r="C103" s="4" t="s">
        <v>66</v>
      </c>
      <c r="D103" s="6">
        <v>0.6220370370370368</v>
      </c>
      <c r="E103" s="6">
        <v>2.314814814814815E-4</v>
      </c>
      <c r="F103" s="6">
        <v>0.6222685185185183</v>
      </c>
      <c r="G103" s="4"/>
      <c r="H103" s="4" t="s">
        <v>81</v>
      </c>
      <c r="I103" s="4" t="s">
        <v>91</v>
      </c>
      <c r="J103" s="4" t="s">
        <v>128</v>
      </c>
      <c r="K103" s="4"/>
      <c r="L103" s="4"/>
      <c r="M103" s="4"/>
      <c r="N103" s="4" t="s">
        <v>70</v>
      </c>
      <c r="O103" s="51" t="b">
        <v>0</v>
      </c>
      <c r="P103" s="51" t="b">
        <v>0</v>
      </c>
      <c r="Q103" s="51" t="b">
        <v>0</v>
      </c>
      <c r="R103" s="51" t="b">
        <v>0</v>
      </c>
      <c r="S103" s="51" t="b">
        <v>0</v>
      </c>
    </row>
    <row r="104" hidden="1">
      <c r="A104" s="4" t="str">
        <f>IFERROR(__xludf.DUMMYFUNCTION("""COMPUTED_VALUE"""),"317 - Channel")</f>
        <v>317 - Channel</v>
      </c>
      <c r="B104" s="4" t="s">
        <v>14</v>
      </c>
      <c r="C104" s="4" t="s">
        <v>66</v>
      </c>
      <c r="D104" s="6">
        <v>0.6222685185185183</v>
      </c>
      <c r="E104" s="6">
        <v>0.0067476851851851856</v>
      </c>
      <c r="F104" s="6">
        <v>0.6290162037037035</v>
      </c>
      <c r="G104" s="4"/>
      <c r="H104" s="4" t="s">
        <v>165</v>
      </c>
      <c r="I104" s="4" t="s">
        <v>185</v>
      </c>
      <c r="J104" s="4" t="s">
        <v>186</v>
      </c>
      <c r="K104" s="4"/>
      <c r="L104" s="4"/>
      <c r="M104" s="4"/>
      <c r="N104" s="4" t="s">
        <v>70</v>
      </c>
      <c r="O104" s="51" t="b">
        <v>0</v>
      </c>
      <c r="P104" s="51" t="b">
        <v>0</v>
      </c>
      <c r="Q104" s="51" t="b">
        <v>0</v>
      </c>
      <c r="R104" s="51" t="b">
        <v>0</v>
      </c>
      <c r="S104" s="51" t="b">
        <v>0</v>
      </c>
    </row>
    <row r="105" hidden="1">
      <c r="A105" s="4" t="str">
        <f>IFERROR(__xludf.DUMMYFUNCTION("""COMPUTED_VALUE"""),"95 - Channel")</f>
        <v>95 - Channel</v>
      </c>
      <c r="B105" s="4" t="s">
        <v>14</v>
      </c>
      <c r="C105" s="4" t="s">
        <v>66</v>
      </c>
      <c r="D105" s="6"/>
      <c r="E105" s="6"/>
      <c r="F105" s="6"/>
      <c r="G105" s="4"/>
      <c r="H105" s="4"/>
      <c r="I105" s="4"/>
      <c r="J105" s="4"/>
      <c r="K105" s="4"/>
      <c r="L105" s="4"/>
      <c r="M105" s="4"/>
      <c r="N105" s="4" t="s">
        <v>70</v>
      </c>
      <c r="O105" s="51" t="b">
        <v>0</v>
      </c>
      <c r="P105" s="51" t="b">
        <v>0</v>
      </c>
      <c r="Q105" s="51" t="b">
        <v>0</v>
      </c>
      <c r="R105" s="51" t="b">
        <v>0</v>
      </c>
      <c r="S105" s="51" t="b">
        <v>0</v>
      </c>
    </row>
    <row r="106" hidden="1">
      <c r="A106" s="4" t="str">
        <f>IFERROR(__xludf.DUMMYFUNCTION("""COMPUTED_VALUE"""),"1816 - Channel")</f>
        <v>1816 - Channel</v>
      </c>
      <c r="B106" s="4" t="s">
        <v>14</v>
      </c>
      <c r="C106" s="4" t="s">
        <v>66</v>
      </c>
      <c r="D106" s="6">
        <v>0.6290162037037035</v>
      </c>
      <c r="E106" s="6">
        <v>3.4722222222222224E-4</v>
      </c>
      <c r="F106" s="6">
        <v>0.6293634259259258</v>
      </c>
      <c r="G106" s="4"/>
      <c r="H106" s="4" t="s">
        <v>87</v>
      </c>
      <c r="I106" s="4" t="s">
        <v>187</v>
      </c>
      <c r="J106" s="4" t="s">
        <v>69</v>
      </c>
      <c r="K106" s="4"/>
      <c r="L106" s="4"/>
      <c r="M106" s="4"/>
      <c r="N106" s="4"/>
      <c r="O106" s="51" t="b">
        <v>0</v>
      </c>
      <c r="P106" s="51" t="b">
        <v>0</v>
      </c>
      <c r="Q106" s="51" t="b">
        <v>0</v>
      </c>
      <c r="R106" s="51" t="b">
        <v>0</v>
      </c>
      <c r="S106" s="51" t="b">
        <v>0</v>
      </c>
    </row>
    <row r="107" hidden="1">
      <c r="A107" s="4" t="str">
        <f>IFERROR(__xludf.DUMMYFUNCTION("""COMPUTED_VALUE"""),"1961 - Channel")</f>
        <v>1961 - Channel</v>
      </c>
      <c r="B107" s="4" t="s">
        <v>14</v>
      </c>
      <c r="C107" s="4" t="s">
        <v>66</v>
      </c>
      <c r="D107" s="6">
        <v>0.6293634259259258</v>
      </c>
      <c r="E107" s="6">
        <v>6.944444444444445E-4</v>
      </c>
      <c r="F107" s="6">
        <v>0.6300578703703702</v>
      </c>
      <c r="G107" s="4"/>
      <c r="H107" s="4" t="s">
        <v>103</v>
      </c>
      <c r="I107" s="4" t="s">
        <v>188</v>
      </c>
      <c r="J107" s="4" t="s">
        <v>128</v>
      </c>
      <c r="K107" s="4"/>
      <c r="L107" s="4"/>
      <c r="M107" s="4"/>
      <c r="N107" s="4"/>
      <c r="O107" s="51" t="b">
        <v>0</v>
      </c>
      <c r="P107" s="51" t="b">
        <v>0</v>
      </c>
      <c r="Q107" s="51" t="b">
        <v>0</v>
      </c>
      <c r="R107" s="51" t="b">
        <v>0</v>
      </c>
      <c r="S107" s="51" t="b">
        <v>0</v>
      </c>
    </row>
    <row r="108" hidden="1">
      <c r="A108" s="4" t="str">
        <f>IFERROR(__xludf.DUMMYFUNCTION("""COMPUTED_VALUE"""),"115 - Channel")</f>
        <v>115 - Channel</v>
      </c>
      <c r="B108" s="4" t="s">
        <v>14</v>
      </c>
      <c r="C108" s="4" t="s">
        <v>66</v>
      </c>
      <c r="D108" s="6">
        <v>0.6300578703703702</v>
      </c>
      <c r="E108" s="6">
        <v>2.314814814814815E-4</v>
      </c>
      <c r="F108" s="6">
        <v>0.6302893518518516</v>
      </c>
      <c r="G108" s="4"/>
      <c r="H108" s="4" t="s">
        <v>81</v>
      </c>
      <c r="I108" s="4" t="s">
        <v>91</v>
      </c>
      <c r="J108" s="4" t="s">
        <v>128</v>
      </c>
      <c r="K108" s="4"/>
      <c r="L108" s="4"/>
      <c r="M108" s="4"/>
      <c r="N108" s="4" t="s">
        <v>70</v>
      </c>
      <c r="O108" s="51" t="b">
        <v>0</v>
      </c>
      <c r="P108" s="51" t="b">
        <v>0</v>
      </c>
      <c r="Q108" s="51" t="b">
        <v>0</v>
      </c>
      <c r="R108" s="51" t="b">
        <v>0</v>
      </c>
      <c r="S108" s="51" t="b">
        <v>0</v>
      </c>
    </row>
    <row r="109" hidden="1">
      <c r="A109" s="4" t="str">
        <f>IFERROR(__xludf.DUMMYFUNCTION("""COMPUTED_VALUE"""),"90 - Channel")</f>
        <v>90 - Channel</v>
      </c>
      <c r="B109" s="4" t="s">
        <v>14</v>
      </c>
      <c r="C109" s="4" t="s">
        <v>66</v>
      </c>
      <c r="D109" s="6">
        <v>0.6302893518518516</v>
      </c>
      <c r="E109" s="6">
        <v>0.008680555555555556</v>
      </c>
      <c r="F109" s="6">
        <v>0.6389699074074072</v>
      </c>
      <c r="G109" s="4" t="s">
        <v>189</v>
      </c>
      <c r="H109" s="4" t="s">
        <v>107</v>
      </c>
      <c r="I109" s="4" t="s">
        <v>190</v>
      </c>
      <c r="J109" s="4" t="s">
        <v>191</v>
      </c>
      <c r="K109" s="4" t="s">
        <v>192</v>
      </c>
      <c r="L109" s="4"/>
      <c r="M109" s="4"/>
      <c r="N109" s="4" t="s">
        <v>193</v>
      </c>
      <c r="O109" s="51" t="b">
        <v>0</v>
      </c>
      <c r="P109" s="51" t="b">
        <v>0</v>
      </c>
      <c r="Q109" s="51" t="b">
        <v>0</v>
      </c>
      <c r="R109" s="51" t="b">
        <v>0</v>
      </c>
      <c r="S109" s="51" t="b">
        <v>0</v>
      </c>
    </row>
    <row r="110" hidden="1">
      <c r="A110" s="4" t="str">
        <f>IFERROR(__xludf.DUMMYFUNCTION("""COMPUTED_VALUE"""),"15 - Channel")</f>
        <v>15 - Channel</v>
      </c>
      <c r="B110" s="4" t="s">
        <v>14</v>
      </c>
      <c r="C110" s="4" t="s">
        <v>66</v>
      </c>
      <c r="D110" s="6">
        <v>0.6389699074074072</v>
      </c>
      <c r="E110" s="6">
        <v>2.314814814814815E-4</v>
      </c>
      <c r="F110" s="6">
        <v>0.6392013888888887</v>
      </c>
      <c r="G110" s="4"/>
      <c r="H110" s="4" t="s">
        <v>81</v>
      </c>
      <c r="I110" s="4" t="s">
        <v>194</v>
      </c>
      <c r="J110" s="4" t="s">
        <v>128</v>
      </c>
      <c r="K110" s="4"/>
      <c r="L110" s="4"/>
      <c r="M110" s="4"/>
      <c r="N110" s="4" t="s">
        <v>70</v>
      </c>
      <c r="O110" s="51" t="b">
        <v>0</v>
      </c>
      <c r="P110" s="51" t="b">
        <v>0</v>
      </c>
      <c r="Q110" s="51" t="b">
        <v>0</v>
      </c>
      <c r="R110" s="51" t="b">
        <v>0</v>
      </c>
      <c r="S110" s="51" t="b">
        <v>0</v>
      </c>
    </row>
    <row r="111" hidden="1">
      <c r="A111" s="4" t="str">
        <f>IFERROR(__xludf.DUMMYFUNCTION("""COMPUTED_VALUE"""),"16 - Channel")</f>
        <v>16 - Channel</v>
      </c>
      <c r="B111" s="4" t="s">
        <v>14</v>
      </c>
      <c r="C111" s="4" t="s">
        <v>66</v>
      </c>
      <c r="D111" s="6">
        <v>0.6392013888888887</v>
      </c>
      <c r="E111" s="6">
        <v>0.0020833333333333333</v>
      </c>
      <c r="F111" s="6">
        <v>0.641284722222222</v>
      </c>
      <c r="G111" s="4" t="s">
        <v>195</v>
      </c>
      <c r="H111" s="4" t="s">
        <v>83</v>
      </c>
      <c r="I111" s="4" t="s">
        <v>196</v>
      </c>
      <c r="J111" s="4"/>
      <c r="K111" s="4"/>
      <c r="L111" s="4"/>
      <c r="M111" s="4"/>
      <c r="N111" s="4" t="s">
        <v>70</v>
      </c>
      <c r="O111" s="51" t="b">
        <v>0</v>
      </c>
      <c r="P111" s="51" t="b">
        <v>0</v>
      </c>
      <c r="Q111" s="51" t="b">
        <v>0</v>
      </c>
      <c r="R111" s="51" t="b">
        <v>0</v>
      </c>
      <c r="S111" s="51" t="b">
        <v>0</v>
      </c>
    </row>
    <row r="112" hidden="1">
      <c r="A112" s="4" t="str">
        <f>IFERROR(__xludf.DUMMYFUNCTION("""COMPUTED_VALUE"""),"2245 - Channel")</f>
        <v>2245 - Channel</v>
      </c>
      <c r="B112" s="4" t="s">
        <v>14</v>
      </c>
      <c r="C112" s="4" t="s">
        <v>66</v>
      </c>
      <c r="D112" s="6">
        <v>0.641284722222222</v>
      </c>
      <c r="E112" s="6">
        <v>2.314814814814815E-4</v>
      </c>
      <c r="F112" s="6">
        <v>0.6415162037037034</v>
      </c>
      <c r="G112" s="4"/>
      <c r="H112" s="4" t="s">
        <v>85</v>
      </c>
      <c r="I112" s="4" t="s">
        <v>86</v>
      </c>
      <c r="J112" s="4" t="s">
        <v>128</v>
      </c>
      <c r="K112" s="4"/>
      <c r="L112" s="4"/>
      <c r="M112" s="4"/>
      <c r="N112" s="4"/>
      <c r="O112" s="51" t="b">
        <v>0</v>
      </c>
      <c r="P112" s="51" t="b">
        <v>0</v>
      </c>
      <c r="Q112" s="51" t="b">
        <v>0</v>
      </c>
      <c r="R112" s="51" t="b">
        <v>0</v>
      </c>
      <c r="S112" s="51" t="b">
        <v>0</v>
      </c>
    </row>
    <row r="113" hidden="1">
      <c r="A113" s="4" t="str">
        <f>IFERROR(__xludf.DUMMYFUNCTION("""COMPUTED_VALUE"""),"1812 - Channel")</f>
        <v>1812 - Channel</v>
      </c>
      <c r="B113" s="4" t="s">
        <v>14</v>
      </c>
      <c r="C113" s="4" t="s">
        <v>66</v>
      </c>
      <c r="D113" s="6">
        <v>0.6415162037037034</v>
      </c>
      <c r="E113" s="6">
        <v>3.4722222222222224E-4</v>
      </c>
      <c r="F113" s="6">
        <v>0.6418634259259257</v>
      </c>
      <c r="G113" s="4"/>
      <c r="H113" s="4" t="s">
        <v>87</v>
      </c>
      <c r="I113" s="4" t="s">
        <v>187</v>
      </c>
      <c r="J113" s="4"/>
      <c r="K113" s="4"/>
      <c r="L113" s="4"/>
      <c r="M113" s="4"/>
      <c r="N113" s="4"/>
      <c r="O113" s="51" t="b">
        <v>0</v>
      </c>
      <c r="P113" s="51" t="b">
        <v>0</v>
      </c>
      <c r="Q113" s="51" t="b">
        <v>0</v>
      </c>
      <c r="R113" s="51" t="b">
        <v>0</v>
      </c>
      <c r="S113" s="51" t="b">
        <v>0</v>
      </c>
    </row>
    <row r="114" hidden="1">
      <c r="A114" s="4" t="str">
        <f>IFERROR(__xludf.DUMMYFUNCTION("""COMPUTED_VALUE"""),"160 - Channel")</f>
        <v>160 - Channel</v>
      </c>
      <c r="B114" s="4" t="s">
        <v>14</v>
      </c>
      <c r="C114" s="4" t="s">
        <v>66</v>
      </c>
      <c r="D114" s="6">
        <v>0.6418634259259257</v>
      </c>
      <c r="E114" s="6">
        <v>2.314814814814815E-4</v>
      </c>
      <c r="F114" s="6">
        <v>0.6420949074074072</v>
      </c>
      <c r="G114" s="4"/>
      <c r="H114" s="4" t="s">
        <v>81</v>
      </c>
      <c r="I114" s="4" t="s">
        <v>91</v>
      </c>
      <c r="J114" s="4" t="s">
        <v>73</v>
      </c>
      <c r="K114" s="4" t="s">
        <v>128</v>
      </c>
      <c r="L114" s="4"/>
      <c r="M114" s="4"/>
      <c r="N114" s="4" t="s">
        <v>70</v>
      </c>
      <c r="O114" s="51" t="b">
        <v>0</v>
      </c>
      <c r="P114" s="51" t="b">
        <v>0</v>
      </c>
      <c r="Q114" s="51" t="b">
        <v>0</v>
      </c>
      <c r="R114" s="51" t="b">
        <v>0</v>
      </c>
      <c r="S114" s="51" t="b">
        <v>0</v>
      </c>
    </row>
    <row r="115" hidden="1">
      <c r="A115" s="4" t="str">
        <f>IFERROR(__xludf.DUMMYFUNCTION("""COMPUTED_VALUE"""),"161 - Channel")</f>
        <v>161 - Channel</v>
      </c>
      <c r="B115" s="4" t="s">
        <v>14</v>
      </c>
      <c r="C115" s="4" t="s">
        <v>66</v>
      </c>
      <c r="D115" s="6">
        <v>0.6420949074074072</v>
      </c>
      <c r="E115" s="6">
        <v>0.011458333333333333</v>
      </c>
      <c r="F115" s="6">
        <v>0.6535532407407405</v>
      </c>
      <c r="G115" s="4"/>
      <c r="H115" s="4" t="s">
        <v>74</v>
      </c>
      <c r="I115" s="4" t="s">
        <v>197</v>
      </c>
      <c r="J115" s="4" t="s">
        <v>198</v>
      </c>
      <c r="K115" s="4" t="s">
        <v>199</v>
      </c>
      <c r="L115" s="4" t="s">
        <v>200</v>
      </c>
      <c r="M115" s="4"/>
      <c r="N115" s="4" t="s">
        <v>201</v>
      </c>
      <c r="O115" s="51" t="b">
        <v>0</v>
      </c>
      <c r="P115" s="51" t="b">
        <v>0</v>
      </c>
      <c r="Q115" s="51" t="b">
        <v>0</v>
      </c>
      <c r="R115" s="51" t="b">
        <v>0</v>
      </c>
      <c r="S115" s="51" t="b">
        <v>0</v>
      </c>
    </row>
    <row r="116" hidden="1">
      <c r="A116" s="4" t="str">
        <f>IFERROR(__xludf.DUMMYFUNCTION("""COMPUTED_VALUE"""),"1954 - Channel")</f>
        <v>1954 - Channel</v>
      </c>
      <c r="B116" s="4" t="s">
        <v>14</v>
      </c>
      <c r="C116" s="4" t="s">
        <v>66</v>
      </c>
      <c r="D116" s="6">
        <v>0.6535532407407405</v>
      </c>
      <c r="E116" s="6">
        <v>5.208333333333333E-4</v>
      </c>
      <c r="F116" s="6">
        <v>0.6540740740740738</v>
      </c>
      <c r="G116" s="4"/>
      <c r="H116" s="4" t="s">
        <v>89</v>
      </c>
      <c r="I116" s="4" t="s">
        <v>80</v>
      </c>
      <c r="J116" s="4" t="s">
        <v>69</v>
      </c>
      <c r="K116" s="4"/>
      <c r="L116" s="4"/>
      <c r="M116" s="4"/>
      <c r="N116" s="4"/>
      <c r="O116" s="51" t="b">
        <v>0</v>
      </c>
      <c r="P116" s="51" t="b">
        <v>0</v>
      </c>
      <c r="Q116" s="51" t="b">
        <v>0</v>
      </c>
      <c r="R116" s="51" t="b">
        <v>0</v>
      </c>
      <c r="S116" s="51" t="b">
        <v>0</v>
      </c>
    </row>
    <row r="117" hidden="1">
      <c r="A117" s="4" t="str">
        <f>IFERROR(__xludf.DUMMYFUNCTION("""COMPUTED_VALUE"""),"1808 - Channel")</f>
        <v>1808 - Channel</v>
      </c>
      <c r="B117" s="4" t="s">
        <v>14</v>
      </c>
      <c r="C117" s="4" t="s">
        <v>66</v>
      </c>
      <c r="D117" s="6">
        <v>0.6540740740740738</v>
      </c>
      <c r="E117" s="6">
        <v>0.0010416666666666667</v>
      </c>
      <c r="F117" s="6">
        <v>0.6551157407407405</v>
      </c>
      <c r="G117" s="4"/>
      <c r="H117" s="4" t="s">
        <v>67</v>
      </c>
      <c r="I117" s="4" t="s">
        <v>68</v>
      </c>
      <c r="J117" s="4" t="s">
        <v>69</v>
      </c>
      <c r="K117" s="4"/>
      <c r="L117" s="4"/>
      <c r="M117" s="4"/>
      <c r="N117" s="4"/>
      <c r="O117" s="51" t="b">
        <v>0</v>
      </c>
      <c r="P117" s="51" t="b">
        <v>0</v>
      </c>
      <c r="Q117" s="51" t="b">
        <v>0</v>
      </c>
      <c r="R117" s="51" t="b">
        <v>0</v>
      </c>
      <c r="S117" s="51" t="b">
        <v>0</v>
      </c>
    </row>
    <row r="118" hidden="1">
      <c r="A118" s="4" t="str">
        <f>IFERROR(__xludf.DUMMYFUNCTION("""COMPUTED_VALUE"""),"1807 - Channel")</f>
        <v>1807 - Channel</v>
      </c>
      <c r="B118" s="4" t="s">
        <v>14</v>
      </c>
      <c r="C118" s="4" t="s">
        <v>66</v>
      </c>
      <c r="D118" s="6">
        <v>0.6551157407407405</v>
      </c>
      <c r="E118" s="6">
        <v>2.314814814814815E-4</v>
      </c>
      <c r="F118" s="6">
        <v>0.655347222222222</v>
      </c>
      <c r="G118" s="4"/>
      <c r="H118" s="4" t="s">
        <v>81</v>
      </c>
      <c r="I118" s="4"/>
      <c r="J118" s="4" t="s">
        <v>128</v>
      </c>
      <c r="K118" s="4"/>
      <c r="L118" s="4"/>
      <c r="M118" s="4"/>
      <c r="N118" s="4"/>
      <c r="O118" s="51" t="b">
        <v>0</v>
      </c>
      <c r="P118" s="51" t="b">
        <v>0</v>
      </c>
      <c r="Q118" s="51" t="b">
        <v>0</v>
      </c>
      <c r="R118" s="51" t="b">
        <v>0</v>
      </c>
      <c r="S118" s="51" t="b">
        <v>0</v>
      </c>
    </row>
    <row r="119" hidden="1">
      <c r="A119" s="4" t="str">
        <f>IFERROR(__xludf.DUMMYFUNCTION("""COMPUTED_VALUE"""),"1806 - Channel")</f>
        <v>1806 - Channel</v>
      </c>
      <c r="B119" s="4" t="s">
        <v>14</v>
      </c>
      <c r="C119" s="4" t="s">
        <v>66</v>
      </c>
      <c r="D119" s="6">
        <v>0.655347222222222</v>
      </c>
      <c r="E119" s="6">
        <v>0.013888888888888888</v>
      </c>
      <c r="F119" s="6">
        <v>0.6692361111111108</v>
      </c>
      <c r="G119" s="4"/>
      <c r="H119" s="4" t="s">
        <v>74</v>
      </c>
      <c r="I119" s="4" t="s">
        <v>202</v>
      </c>
      <c r="J119" s="4" t="s">
        <v>203</v>
      </c>
      <c r="K119" s="4"/>
      <c r="L119" s="4"/>
      <c r="M119" s="4"/>
      <c r="N119" s="4" t="s">
        <v>204</v>
      </c>
      <c r="O119" s="51" t="b">
        <v>0</v>
      </c>
      <c r="P119" s="51" t="b">
        <v>0</v>
      </c>
      <c r="Q119" s="51" t="b">
        <v>0</v>
      </c>
      <c r="R119" s="51" t="b">
        <v>0</v>
      </c>
      <c r="S119" s="51" t="b">
        <v>0</v>
      </c>
    </row>
    <row r="120" hidden="1">
      <c r="A120" s="4" t="str">
        <f>IFERROR(__xludf.DUMMYFUNCTION("""COMPUTED_VALUE"""),"1385 - Channel")</f>
        <v>1385 - Channel</v>
      </c>
      <c r="B120" s="4" t="s">
        <v>14</v>
      </c>
      <c r="C120" s="4" t="s">
        <v>66</v>
      </c>
      <c r="D120" s="6"/>
      <c r="E120" s="6"/>
      <c r="F120" s="6"/>
      <c r="G120" s="4"/>
      <c r="H120" s="4"/>
      <c r="I120" s="4"/>
      <c r="J120" s="4"/>
      <c r="K120" s="4"/>
      <c r="L120" s="4"/>
      <c r="M120" s="4"/>
      <c r="N120" s="4"/>
      <c r="O120" s="51" t="b">
        <v>0</v>
      </c>
      <c r="P120" s="51" t="b">
        <v>0</v>
      </c>
      <c r="Q120" s="51" t="b">
        <v>0</v>
      </c>
      <c r="R120" s="51" t="b">
        <v>0</v>
      </c>
      <c r="S120" s="51" t="b">
        <v>0</v>
      </c>
    </row>
    <row r="121" hidden="1">
      <c r="A121" s="4" t="str">
        <f>IFERROR(__xludf.DUMMYFUNCTION("""COMPUTED_VALUE"""),"114 - Channel")</f>
        <v>114 - Channel</v>
      </c>
      <c r="B121" s="4" t="s">
        <v>14</v>
      </c>
      <c r="C121" s="4" t="s">
        <v>66</v>
      </c>
      <c r="D121" s="6">
        <v>0.6692361111111108</v>
      </c>
      <c r="E121" s="6">
        <v>6.944444444444445E-4</v>
      </c>
      <c r="F121" s="6">
        <v>0.6699305555555553</v>
      </c>
      <c r="G121" s="4"/>
      <c r="H121" s="4" t="s">
        <v>103</v>
      </c>
      <c r="I121" s="4" t="s">
        <v>205</v>
      </c>
      <c r="J121" s="4" t="s">
        <v>92</v>
      </c>
      <c r="K121" s="4"/>
      <c r="L121" s="4"/>
      <c r="M121" s="4"/>
      <c r="N121" s="4" t="s">
        <v>70</v>
      </c>
      <c r="O121" s="51" t="b">
        <v>0</v>
      </c>
      <c r="P121" s="51" t="b">
        <v>0</v>
      </c>
      <c r="Q121" s="51" t="b">
        <v>0</v>
      </c>
      <c r="R121" s="51" t="b">
        <v>0</v>
      </c>
      <c r="S121" s="51" t="b">
        <v>0</v>
      </c>
    </row>
    <row r="122" hidden="1">
      <c r="A122" s="4" t="str">
        <f>IFERROR(__xludf.DUMMYFUNCTION("""COMPUTED_VALUE"""),"1957 - Channel")</f>
        <v>1957 - Channel</v>
      </c>
      <c r="B122" s="4" t="s">
        <v>14</v>
      </c>
      <c r="C122" s="4" t="s">
        <v>66</v>
      </c>
      <c r="D122" s="6">
        <v>0.6699305555555553</v>
      </c>
      <c r="E122" s="6">
        <v>3.4722222222222224E-4</v>
      </c>
      <c r="F122" s="6">
        <v>0.6702777777777775</v>
      </c>
      <c r="G122" s="4"/>
      <c r="H122" s="4" t="s">
        <v>79</v>
      </c>
      <c r="I122" s="4" t="s">
        <v>80</v>
      </c>
      <c r="J122" s="4" t="s">
        <v>69</v>
      </c>
      <c r="K122" s="4"/>
      <c r="L122" s="4"/>
      <c r="M122" s="4"/>
      <c r="N122" s="4"/>
      <c r="O122" s="51" t="b">
        <v>0</v>
      </c>
      <c r="P122" s="51" t="b">
        <v>0</v>
      </c>
      <c r="Q122" s="51" t="b">
        <v>0</v>
      </c>
      <c r="R122" s="51" t="b">
        <v>0</v>
      </c>
      <c r="S122" s="51" t="b">
        <v>0</v>
      </c>
    </row>
    <row r="123" hidden="1">
      <c r="A123" s="4" t="str">
        <f>IFERROR(__xludf.DUMMYFUNCTION("""COMPUTED_VALUE"""),"2281 - Channel")</f>
        <v>2281 - Channel</v>
      </c>
      <c r="B123" s="4" t="s">
        <v>14</v>
      </c>
      <c r="C123" s="4" t="s">
        <v>66</v>
      </c>
      <c r="D123" s="6">
        <v>0.6702777777777775</v>
      </c>
      <c r="E123" s="6">
        <v>2.314814814814815E-4</v>
      </c>
      <c r="F123" s="6">
        <v>0.670509259259259</v>
      </c>
      <c r="G123" s="4"/>
      <c r="H123" s="4" t="s">
        <v>81</v>
      </c>
      <c r="I123" s="4" t="s">
        <v>91</v>
      </c>
      <c r="J123" s="4" t="s">
        <v>92</v>
      </c>
      <c r="K123" s="4"/>
      <c r="L123" s="4"/>
      <c r="M123" s="4"/>
      <c r="N123" s="4"/>
      <c r="O123" s="51" t="b">
        <v>0</v>
      </c>
      <c r="P123" s="51" t="b">
        <v>0</v>
      </c>
      <c r="Q123" s="51" t="b">
        <v>0</v>
      </c>
      <c r="R123" s="51" t="b">
        <v>0</v>
      </c>
      <c r="S123" s="51" t="b">
        <v>0</v>
      </c>
    </row>
    <row r="124" hidden="1">
      <c r="A124" s="4" t="str">
        <f>IFERROR(__xludf.DUMMYFUNCTION("""COMPUTED_VALUE"""),"2279 - Channel")</f>
        <v>2279 - Channel</v>
      </c>
      <c r="B124" s="4" t="s">
        <v>14</v>
      </c>
      <c r="C124" s="4" t="s">
        <v>66</v>
      </c>
      <c r="D124" s="6">
        <v>0.670509259259259</v>
      </c>
      <c r="E124" s="6">
        <v>0.014421296296296297</v>
      </c>
      <c r="F124" s="6">
        <v>0.6849305555555553</v>
      </c>
      <c r="G124" s="4"/>
      <c r="H124" s="4" t="s">
        <v>74</v>
      </c>
      <c r="I124" s="4" t="s">
        <v>206</v>
      </c>
      <c r="J124" s="4" t="s">
        <v>207</v>
      </c>
      <c r="K124" s="4" t="s">
        <v>208</v>
      </c>
      <c r="L124" s="4"/>
      <c r="M124" s="4"/>
      <c r="N124" s="4" t="s">
        <v>96</v>
      </c>
      <c r="O124" s="51" t="b">
        <v>0</v>
      </c>
      <c r="P124" s="51" t="b">
        <v>0</v>
      </c>
      <c r="Q124" s="51" t="b">
        <v>0</v>
      </c>
      <c r="R124" s="51" t="b">
        <v>0</v>
      </c>
      <c r="S124" s="51" t="b">
        <v>0</v>
      </c>
    </row>
    <row r="125" hidden="1">
      <c r="A125" s="4" t="str">
        <f>IFERROR(__xludf.DUMMYFUNCTION("""COMPUTED_VALUE"""),"119 - Channel")</f>
        <v>119 - Channel</v>
      </c>
      <c r="B125" s="4" t="s">
        <v>14</v>
      </c>
      <c r="C125" s="4" t="s">
        <v>66</v>
      </c>
      <c r="D125" s="6">
        <v>0.6849305555555553</v>
      </c>
      <c r="E125" s="6">
        <v>2.314814814814815E-4</v>
      </c>
      <c r="F125" s="6">
        <v>0.6851620370370367</v>
      </c>
      <c r="G125" s="4"/>
      <c r="H125" s="4" t="s">
        <v>81</v>
      </c>
      <c r="I125" s="4" t="s">
        <v>209</v>
      </c>
      <c r="J125" s="4" t="s">
        <v>92</v>
      </c>
      <c r="K125" s="4"/>
      <c r="L125" s="4"/>
      <c r="M125" s="4"/>
      <c r="N125" s="4" t="s">
        <v>70</v>
      </c>
      <c r="O125" s="51" t="b">
        <v>0</v>
      </c>
      <c r="P125" s="51" t="b">
        <v>0</v>
      </c>
      <c r="Q125" s="51" t="b">
        <v>0</v>
      </c>
      <c r="R125" s="51" t="b">
        <v>0</v>
      </c>
      <c r="S125" s="51" t="b">
        <v>0</v>
      </c>
    </row>
    <row r="126" hidden="1">
      <c r="A126" s="4" t="str">
        <f>IFERROR(__xludf.DUMMYFUNCTION("""COMPUTED_VALUE"""),"120 - Channel")</f>
        <v>120 - Channel</v>
      </c>
      <c r="B126" s="4" t="s">
        <v>14</v>
      </c>
      <c r="C126" s="4" t="s">
        <v>66</v>
      </c>
      <c r="D126" s="6">
        <v>0.6851620370370367</v>
      </c>
      <c r="E126" s="6">
        <v>0.0020833333333333333</v>
      </c>
      <c r="F126" s="6">
        <v>0.68724537037037</v>
      </c>
      <c r="G126" s="4" t="s">
        <v>210</v>
      </c>
      <c r="H126" s="4" t="s">
        <v>83</v>
      </c>
      <c r="I126" s="4" t="s">
        <v>211</v>
      </c>
      <c r="J126" s="4"/>
      <c r="K126" s="4"/>
      <c r="L126" s="4"/>
      <c r="M126" s="4"/>
      <c r="N126" s="4" t="s">
        <v>70</v>
      </c>
      <c r="O126" s="51" t="b">
        <v>0</v>
      </c>
      <c r="P126" s="51" t="b">
        <v>0</v>
      </c>
      <c r="Q126" s="51" t="b">
        <v>0</v>
      </c>
      <c r="R126" s="51" t="b">
        <v>0</v>
      </c>
      <c r="S126" s="51" t="b">
        <v>0</v>
      </c>
    </row>
    <row r="127" hidden="1">
      <c r="A127" s="4" t="str">
        <f>IFERROR(__xludf.DUMMYFUNCTION("""COMPUTED_VALUE"""),"2246 - Channel")</f>
        <v>2246 - Channel</v>
      </c>
      <c r="B127" s="4" t="s">
        <v>14</v>
      </c>
      <c r="C127" s="4" t="s">
        <v>66</v>
      </c>
      <c r="D127" s="6">
        <v>0.68724537037037</v>
      </c>
      <c r="E127" s="6">
        <v>2.314814814814815E-4</v>
      </c>
      <c r="F127" s="6">
        <v>0.6874768518518515</v>
      </c>
      <c r="G127" s="4"/>
      <c r="H127" s="4" t="s">
        <v>85</v>
      </c>
      <c r="I127" s="4" t="s">
        <v>86</v>
      </c>
      <c r="J127" s="4" t="s">
        <v>92</v>
      </c>
      <c r="K127" s="4"/>
      <c r="L127" s="4"/>
      <c r="M127" s="4"/>
      <c r="N127" s="4"/>
      <c r="O127" s="51" t="b">
        <v>0</v>
      </c>
      <c r="P127" s="51" t="b">
        <v>0</v>
      </c>
      <c r="Q127" s="51" t="b">
        <v>0</v>
      </c>
      <c r="R127" s="51" t="b">
        <v>0</v>
      </c>
      <c r="S127" s="51" t="b">
        <v>0</v>
      </c>
    </row>
    <row r="128" hidden="1">
      <c r="A128" s="4" t="str">
        <f>IFERROR(__xludf.DUMMYFUNCTION("""COMPUTED_VALUE"""),"1386 - Channel")</f>
        <v>1386 - Channel</v>
      </c>
      <c r="B128" s="4" t="s">
        <v>14</v>
      </c>
      <c r="C128" s="4" t="s">
        <v>66</v>
      </c>
      <c r="D128" s="6">
        <v>0.68724537037037</v>
      </c>
      <c r="E128" s="6">
        <v>3.4722222222222224E-4</v>
      </c>
      <c r="F128" s="6">
        <v>0.6875925925925923</v>
      </c>
      <c r="G128" s="4"/>
      <c r="H128" s="4" t="s">
        <v>87</v>
      </c>
      <c r="I128" s="4" t="s">
        <v>88</v>
      </c>
      <c r="J128" s="4" t="s">
        <v>69</v>
      </c>
      <c r="K128" s="4"/>
      <c r="L128" s="4"/>
      <c r="M128" s="4"/>
      <c r="N128" s="4"/>
      <c r="O128" s="51" t="b">
        <v>0</v>
      </c>
      <c r="P128" s="51" t="b">
        <v>0</v>
      </c>
      <c r="Q128" s="51" t="b">
        <v>0</v>
      </c>
      <c r="R128" s="51" t="b">
        <v>0</v>
      </c>
      <c r="S128" s="51" t="b">
        <v>0</v>
      </c>
    </row>
    <row r="129" hidden="1">
      <c r="A129" s="4" t="str">
        <f>IFERROR(__xludf.DUMMYFUNCTION("""COMPUTED_VALUE"""),"1471 - Channel")</f>
        <v>1471 - Channel</v>
      </c>
      <c r="B129" s="4" t="s">
        <v>14</v>
      </c>
      <c r="C129" s="4" t="s">
        <v>66</v>
      </c>
      <c r="D129" s="6">
        <v>0.6875925925925923</v>
      </c>
      <c r="E129" s="6">
        <v>2.314814814814815E-4</v>
      </c>
      <c r="F129" s="6">
        <v>0.6878240740740738</v>
      </c>
      <c r="G129" s="4"/>
      <c r="H129" s="4" t="s">
        <v>81</v>
      </c>
      <c r="I129" s="4" t="s">
        <v>91</v>
      </c>
      <c r="J129" s="4" t="s">
        <v>92</v>
      </c>
      <c r="K129" s="4"/>
      <c r="L129" s="4"/>
      <c r="M129" s="4"/>
      <c r="N129" s="4" t="s">
        <v>70</v>
      </c>
      <c r="O129" s="51" t="b">
        <v>0</v>
      </c>
      <c r="P129" s="51" t="b">
        <v>0</v>
      </c>
      <c r="Q129" s="51" t="b">
        <v>0</v>
      </c>
      <c r="R129" s="51" t="b">
        <v>0</v>
      </c>
      <c r="S129" s="51" t="b">
        <v>0</v>
      </c>
    </row>
    <row r="130" hidden="1">
      <c r="A130" s="4" t="str">
        <f>IFERROR(__xludf.DUMMYFUNCTION("""COMPUTED_VALUE"""),"1472 - Channel")</f>
        <v>1472 - Channel</v>
      </c>
      <c r="B130" s="4" t="s">
        <v>14</v>
      </c>
      <c r="C130" s="4" t="s">
        <v>66</v>
      </c>
      <c r="D130" s="6">
        <v>0.6878240740740738</v>
      </c>
      <c r="E130" s="6">
        <v>0.013888888888888888</v>
      </c>
      <c r="F130" s="6">
        <v>0.7017129629629626</v>
      </c>
      <c r="G130" s="4"/>
      <c r="H130" s="4" t="s">
        <v>94</v>
      </c>
      <c r="I130" s="4" t="s">
        <v>212</v>
      </c>
      <c r="J130" s="4" t="s">
        <v>213</v>
      </c>
      <c r="K130" s="4"/>
      <c r="L130" s="4"/>
      <c r="M130" s="4"/>
      <c r="N130" s="4" t="s">
        <v>214</v>
      </c>
      <c r="O130" s="51" t="b">
        <v>0</v>
      </c>
      <c r="P130" s="51" t="b">
        <v>0</v>
      </c>
      <c r="Q130" s="51" t="b">
        <v>0</v>
      </c>
      <c r="R130" s="51" t="b">
        <v>0</v>
      </c>
      <c r="S130" s="51" t="b">
        <v>0</v>
      </c>
    </row>
    <row r="131" hidden="1">
      <c r="A131" s="4" t="str">
        <f>IFERROR(__xludf.DUMMYFUNCTION("""COMPUTED_VALUE"""),"126 - Channel")</f>
        <v>126 - Channel</v>
      </c>
      <c r="B131" s="4" t="s">
        <v>14</v>
      </c>
      <c r="C131" s="4" t="s">
        <v>66</v>
      </c>
      <c r="D131" s="6">
        <v>0.7017129629629626</v>
      </c>
      <c r="E131" s="6">
        <v>3.4722222222222224E-4</v>
      </c>
      <c r="F131" s="6">
        <v>0.7020601851851849</v>
      </c>
      <c r="G131" s="4"/>
      <c r="H131" s="4" t="s">
        <v>79</v>
      </c>
      <c r="I131" s="4" t="s">
        <v>80</v>
      </c>
      <c r="J131" s="4" t="s">
        <v>69</v>
      </c>
      <c r="K131" s="4"/>
      <c r="L131" s="4"/>
      <c r="M131" s="4"/>
      <c r="N131" s="4" t="s">
        <v>70</v>
      </c>
      <c r="O131" s="51" t="b">
        <v>0</v>
      </c>
      <c r="P131" s="51" t="b">
        <v>0</v>
      </c>
      <c r="Q131" s="51" t="b">
        <v>0</v>
      </c>
      <c r="R131" s="51" t="b">
        <v>0</v>
      </c>
      <c r="S131" s="51" t="b">
        <v>0</v>
      </c>
    </row>
    <row r="132" hidden="1">
      <c r="A132" s="4" t="str">
        <f>IFERROR(__xludf.DUMMYFUNCTION("""COMPUTED_VALUE"""),"1962 - Channel")</f>
        <v>1962 - Channel</v>
      </c>
      <c r="B132" s="4" t="s">
        <v>14</v>
      </c>
      <c r="C132" s="4" t="s">
        <v>66</v>
      </c>
      <c r="D132" s="6">
        <v>0.7020601851851849</v>
      </c>
      <c r="E132" s="6">
        <v>2.314814814814815E-4</v>
      </c>
      <c r="F132" s="6">
        <v>0.7022916666666663</v>
      </c>
      <c r="G132" s="4"/>
      <c r="H132" s="4" t="s">
        <v>81</v>
      </c>
      <c r="I132" s="4" t="s">
        <v>215</v>
      </c>
      <c r="J132" s="4" t="s">
        <v>92</v>
      </c>
      <c r="K132" s="4"/>
      <c r="L132" s="4"/>
      <c r="M132" s="4"/>
      <c r="N132" s="4"/>
      <c r="O132" s="51" t="b">
        <v>0</v>
      </c>
      <c r="P132" s="51" t="b">
        <v>0</v>
      </c>
      <c r="Q132" s="51" t="b">
        <v>0</v>
      </c>
      <c r="R132" s="51" t="b">
        <v>0</v>
      </c>
      <c r="S132" s="51" t="b">
        <v>0</v>
      </c>
    </row>
    <row r="133" hidden="1">
      <c r="A133" s="4" t="str">
        <f>IFERROR(__xludf.DUMMYFUNCTION("""COMPUTED_VALUE"""),"1963 - Channel")</f>
        <v>1963 - Channel</v>
      </c>
      <c r="B133" s="4" t="s">
        <v>14</v>
      </c>
      <c r="C133" s="4" t="s">
        <v>66</v>
      </c>
      <c r="D133" s="6">
        <v>0.7022916666666663</v>
      </c>
      <c r="E133" s="6">
        <v>0.0020833333333333333</v>
      </c>
      <c r="F133" s="6">
        <v>0.7043749999999996</v>
      </c>
      <c r="G133" s="4"/>
      <c r="H133" s="4" t="s">
        <v>83</v>
      </c>
      <c r="I133" s="4" t="s">
        <v>216</v>
      </c>
      <c r="J133" s="4" t="s">
        <v>90</v>
      </c>
      <c r="K133" s="4"/>
      <c r="L133" s="4"/>
      <c r="M133" s="4"/>
      <c r="N133" s="4"/>
      <c r="O133" s="51" t="b">
        <v>0</v>
      </c>
      <c r="P133" s="51" t="b">
        <v>0</v>
      </c>
      <c r="Q133" s="51" t="b">
        <v>0</v>
      </c>
      <c r="R133" s="51" t="b">
        <v>0</v>
      </c>
      <c r="S133" s="51" t="b">
        <v>0</v>
      </c>
    </row>
    <row r="134" hidden="1">
      <c r="A134" s="4" t="str">
        <f>IFERROR(__xludf.DUMMYFUNCTION("""COMPUTED_VALUE"""),"2247 - Channel")</f>
        <v>2247 - Channel</v>
      </c>
      <c r="B134" s="4" t="s">
        <v>14</v>
      </c>
      <c r="C134" s="4" t="s">
        <v>66</v>
      </c>
      <c r="D134" s="6">
        <v>0.7043749999999996</v>
      </c>
      <c r="E134" s="6">
        <v>2.314814814814815E-4</v>
      </c>
      <c r="F134" s="6">
        <v>0.7046064814814811</v>
      </c>
      <c r="G134" s="4"/>
      <c r="H134" s="4" t="s">
        <v>85</v>
      </c>
      <c r="I134" s="4" t="s">
        <v>86</v>
      </c>
      <c r="J134" s="4" t="s">
        <v>92</v>
      </c>
      <c r="K134" s="4"/>
      <c r="L134" s="4"/>
      <c r="M134" s="4"/>
      <c r="N134" s="4"/>
      <c r="O134" s="51" t="b">
        <v>0</v>
      </c>
      <c r="P134" s="51" t="b">
        <v>0</v>
      </c>
      <c r="Q134" s="51" t="b">
        <v>0</v>
      </c>
      <c r="R134" s="51" t="b">
        <v>0</v>
      </c>
      <c r="S134" s="51" t="b">
        <v>0</v>
      </c>
    </row>
    <row r="135" hidden="1">
      <c r="A135" s="4" t="str">
        <f>IFERROR(__xludf.DUMMYFUNCTION("""COMPUTED_VALUE"""),"1388 - Channel")</f>
        <v>1388 - Channel</v>
      </c>
      <c r="B135" s="4" t="s">
        <v>14</v>
      </c>
      <c r="C135" s="4" t="s">
        <v>66</v>
      </c>
      <c r="D135" s="6">
        <v>0.7046064814814811</v>
      </c>
      <c r="E135" s="6">
        <v>3.4722222222222224E-4</v>
      </c>
      <c r="F135" s="6">
        <v>0.7049537037037034</v>
      </c>
      <c r="G135" s="4"/>
      <c r="H135" s="4" t="s">
        <v>89</v>
      </c>
      <c r="I135" s="4" t="s">
        <v>80</v>
      </c>
      <c r="J135" s="4" t="s">
        <v>69</v>
      </c>
      <c r="K135" s="4"/>
      <c r="L135" s="4"/>
      <c r="M135" s="4"/>
      <c r="N135" s="4"/>
      <c r="O135" s="51" t="b">
        <v>0</v>
      </c>
      <c r="P135" s="51" t="b">
        <v>0</v>
      </c>
      <c r="Q135" s="51" t="b">
        <v>0</v>
      </c>
      <c r="R135" s="51" t="b">
        <v>0</v>
      </c>
      <c r="S135" s="51" t="b">
        <v>0</v>
      </c>
    </row>
    <row r="136" hidden="1">
      <c r="A136" s="4" t="str">
        <f>IFERROR(__xludf.DUMMYFUNCTION("""COMPUTED_VALUE"""),"47 - Channel")</f>
        <v>47 - Channel</v>
      </c>
      <c r="B136" s="4" t="s">
        <v>14</v>
      </c>
      <c r="C136" s="4" t="s">
        <v>66</v>
      </c>
      <c r="D136" s="6">
        <v>0.7049537037037034</v>
      </c>
      <c r="E136" s="6">
        <v>2.314814814814815E-4</v>
      </c>
      <c r="F136" s="6">
        <v>0.7051851851851848</v>
      </c>
      <c r="G136" s="4"/>
      <c r="H136" s="4" t="s">
        <v>81</v>
      </c>
      <c r="I136" s="4" t="s">
        <v>91</v>
      </c>
      <c r="J136" s="4" t="s">
        <v>73</v>
      </c>
      <c r="K136" s="4" t="s">
        <v>92</v>
      </c>
      <c r="L136" s="4"/>
      <c r="M136" s="4"/>
      <c r="N136" s="4" t="s">
        <v>70</v>
      </c>
      <c r="O136" s="51" t="b">
        <v>0</v>
      </c>
      <c r="P136" s="51" t="b">
        <v>0</v>
      </c>
      <c r="Q136" s="51" t="b">
        <v>0</v>
      </c>
      <c r="R136" s="51" t="b">
        <v>0</v>
      </c>
      <c r="S136" s="51" t="b">
        <v>0</v>
      </c>
    </row>
    <row r="137" hidden="1">
      <c r="A137" s="4" t="str">
        <f>IFERROR(__xludf.DUMMYFUNCTION("""COMPUTED_VALUE"""),"1275 - Channel")</f>
        <v>1275 - Channel</v>
      </c>
      <c r="B137" s="4" t="s">
        <v>14</v>
      </c>
      <c r="C137" s="4" t="s">
        <v>66</v>
      </c>
      <c r="D137" s="6">
        <v>0.7051851851851848</v>
      </c>
      <c r="E137" s="6">
        <v>0.010416666666666666</v>
      </c>
      <c r="F137" s="6">
        <v>0.7156018518518514</v>
      </c>
      <c r="G137" s="4" t="s">
        <v>140</v>
      </c>
      <c r="H137" s="4" t="s">
        <v>165</v>
      </c>
      <c r="I137" s="4" t="s">
        <v>217</v>
      </c>
      <c r="J137" s="4" t="s">
        <v>218</v>
      </c>
      <c r="K137" s="4"/>
      <c r="L137" s="4"/>
      <c r="M137" s="4"/>
      <c r="N137" s="4"/>
      <c r="O137" s="51" t="b">
        <v>0</v>
      </c>
      <c r="P137" s="51" t="b">
        <v>0</v>
      </c>
      <c r="Q137" s="51" t="b">
        <v>0</v>
      </c>
      <c r="R137" s="51" t="b">
        <v>0</v>
      </c>
      <c r="S137" s="51" t="b">
        <v>0</v>
      </c>
    </row>
    <row r="138" hidden="1">
      <c r="A138" s="4" t="str">
        <f>IFERROR(__xludf.DUMMYFUNCTION("""COMPUTED_VALUE"""),"131 - Channel")</f>
        <v>131 - Channel</v>
      </c>
      <c r="B138" s="4" t="s">
        <v>14</v>
      </c>
      <c r="C138" s="4" t="s">
        <v>66</v>
      </c>
      <c r="D138" s="6">
        <v>0.7156018518518514</v>
      </c>
      <c r="E138" s="6">
        <v>6.944444444444445E-4</v>
      </c>
      <c r="F138" s="6">
        <v>0.7162962962962959</v>
      </c>
      <c r="G138" s="4"/>
      <c r="H138" s="4" t="s">
        <v>71</v>
      </c>
      <c r="I138" s="4" t="s">
        <v>219</v>
      </c>
      <c r="J138" s="4" t="s">
        <v>73</v>
      </c>
      <c r="K138" s="4"/>
      <c r="L138" s="4"/>
      <c r="M138" s="4"/>
      <c r="N138" s="4" t="s">
        <v>70</v>
      </c>
      <c r="O138" s="51" t="b">
        <v>0</v>
      </c>
      <c r="P138" s="51" t="b">
        <v>0</v>
      </c>
      <c r="Q138" s="51" t="b">
        <v>0</v>
      </c>
      <c r="R138" s="51" t="b">
        <v>0</v>
      </c>
      <c r="S138" s="51" t="b">
        <v>0</v>
      </c>
    </row>
    <row r="139" hidden="1">
      <c r="A139" s="4" t="str">
        <f>IFERROR(__xludf.DUMMYFUNCTION("""COMPUTED_VALUE"""),"132 - Channel")</f>
        <v>132 - Channel</v>
      </c>
      <c r="B139" s="4" t="s">
        <v>220</v>
      </c>
      <c r="C139" s="4"/>
      <c r="D139" s="6"/>
      <c r="E139" s="6"/>
      <c r="F139" s="6"/>
      <c r="G139" s="4"/>
      <c r="H139" s="4"/>
      <c r="I139" s="4"/>
      <c r="J139" s="4"/>
      <c r="K139" s="4"/>
      <c r="L139" s="4"/>
      <c r="M139" s="4"/>
      <c r="N139" s="4" t="s">
        <v>70</v>
      </c>
      <c r="O139" s="51" t="b">
        <v>0</v>
      </c>
      <c r="P139" s="51" t="b">
        <v>0</v>
      </c>
      <c r="Q139" s="51" t="b">
        <v>0</v>
      </c>
      <c r="R139" s="51" t="b">
        <v>0</v>
      </c>
      <c r="S139" s="51" t="b">
        <v>0</v>
      </c>
    </row>
    <row r="140" hidden="1">
      <c r="A140" s="4" t="str">
        <f>IFERROR(__xludf.DUMMYFUNCTION("""COMPUTED_VALUE"""),"133 - Channel")</f>
        <v>133 - Channel</v>
      </c>
      <c r="B140" s="4" t="s">
        <v>14</v>
      </c>
      <c r="C140" s="4" t="s">
        <v>221</v>
      </c>
      <c r="D140" s="6"/>
      <c r="E140" s="6"/>
      <c r="F140" s="6"/>
      <c r="G140" s="4"/>
      <c r="H140" s="4"/>
      <c r="I140" s="4"/>
      <c r="J140" s="4"/>
      <c r="K140" s="4"/>
      <c r="L140" s="4"/>
      <c r="M140" s="4"/>
      <c r="N140" s="4" t="s">
        <v>70</v>
      </c>
      <c r="O140" s="51" t="b">
        <v>0</v>
      </c>
      <c r="P140" s="51" t="b">
        <v>0</v>
      </c>
      <c r="Q140" s="51" t="b">
        <v>0</v>
      </c>
      <c r="R140" s="51" t="b">
        <v>0</v>
      </c>
      <c r="S140" s="51" t="b">
        <v>0</v>
      </c>
    </row>
    <row r="141" hidden="1">
      <c r="A141" s="4" t="str">
        <f>IFERROR(__xludf.DUMMYFUNCTION("""COMPUTED_VALUE"""),"134 - Channel")</f>
        <v>134 - Channel</v>
      </c>
      <c r="B141" s="4" t="s">
        <v>14</v>
      </c>
      <c r="C141" s="4" t="s">
        <v>221</v>
      </c>
      <c r="D141" s="6">
        <v>0.4166666666666667</v>
      </c>
      <c r="E141" s="6">
        <v>0.0010416666666666667</v>
      </c>
      <c r="F141" s="6">
        <v>0.41770833333333335</v>
      </c>
      <c r="G141" s="4"/>
      <c r="H141" s="4" t="s">
        <v>67</v>
      </c>
      <c r="I141" s="4" t="s">
        <v>68</v>
      </c>
      <c r="J141" s="4" t="s">
        <v>69</v>
      </c>
      <c r="K141" s="4"/>
      <c r="L141" s="4"/>
      <c r="M141" s="4"/>
      <c r="N141" s="4" t="s">
        <v>70</v>
      </c>
      <c r="O141" s="51" t="b">
        <v>0</v>
      </c>
      <c r="P141" s="51" t="b">
        <v>0</v>
      </c>
      <c r="Q141" s="51" t="b">
        <v>0</v>
      </c>
      <c r="R141" s="51" t="b">
        <v>0</v>
      </c>
      <c r="S141" s="51" t="b">
        <v>0</v>
      </c>
    </row>
    <row r="142" hidden="1">
      <c r="A142" s="4" t="str">
        <f>IFERROR(__xludf.DUMMYFUNCTION("""COMPUTED_VALUE"""),"135 - Channel")</f>
        <v>135 - Channel</v>
      </c>
      <c r="B142" s="4" t="s">
        <v>14</v>
      </c>
      <c r="C142" s="4" t="s">
        <v>221</v>
      </c>
      <c r="D142" s="6">
        <v>0.41770833333333335</v>
      </c>
      <c r="E142" s="6">
        <v>6.944444444444445E-4</v>
      </c>
      <c r="F142" s="6">
        <v>0.4184027777777778</v>
      </c>
      <c r="G142" s="4"/>
      <c r="H142" s="4" t="s">
        <v>103</v>
      </c>
      <c r="I142" s="4" t="s">
        <v>222</v>
      </c>
      <c r="J142" s="4" t="s">
        <v>128</v>
      </c>
      <c r="K142" s="4"/>
      <c r="L142" s="4"/>
      <c r="M142" s="4"/>
      <c r="N142" s="4" t="s">
        <v>70</v>
      </c>
      <c r="O142" s="51" t="b">
        <v>0</v>
      </c>
      <c r="P142" s="51" t="b">
        <v>0</v>
      </c>
      <c r="Q142" s="51" t="b">
        <v>0</v>
      </c>
      <c r="R142" s="51" t="b">
        <v>0</v>
      </c>
      <c r="S142" s="51" t="b">
        <v>0</v>
      </c>
    </row>
    <row r="143" hidden="1">
      <c r="A143" s="4" t="str">
        <f>IFERROR(__xludf.DUMMYFUNCTION("""COMPUTED_VALUE"""),"1811 - Channel")</f>
        <v>1811 - Channel</v>
      </c>
      <c r="B143" s="4" t="s">
        <v>14</v>
      </c>
      <c r="C143" s="4" t="s">
        <v>221</v>
      </c>
      <c r="D143" s="6">
        <v>0.4184027777777778</v>
      </c>
      <c r="E143" s="6">
        <v>3.4722222222222224E-4</v>
      </c>
      <c r="F143" s="6">
        <v>0.41875</v>
      </c>
      <c r="G143" s="4"/>
      <c r="H143" s="4" t="s">
        <v>79</v>
      </c>
      <c r="I143" s="4" t="s">
        <v>80</v>
      </c>
      <c r="J143" s="4" t="s">
        <v>69</v>
      </c>
      <c r="K143" s="4"/>
      <c r="L143" s="4"/>
      <c r="M143" s="4"/>
      <c r="N143" s="4"/>
      <c r="O143" s="51" t="b">
        <v>0</v>
      </c>
      <c r="P143" s="51" t="b">
        <v>0</v>
      </c>
      <c r="Q143" s="51" t="b">
        <v>0</v>
      </c>
      <c r="R143" s="51" t="b">
        <v>0</v>
      </c>
      <c r="S143" s="51" t="b">
        <v>0</v>
      </c>
    </row>
    <row r="144" hidden="1">
      <c r="A144" s="4" t="str">
        <f>IFERROR(__xludf.DUMMYFUNCTION("""COMPUTED_VALUE"""),"2295 - Channel")</f>
        <v>2295 - Channel</v>
      </c>
      <c r="B144" s="4" t="s">
        <v>14</v>
      </c>
      <c r="C144" s="4" t="s">
        <v>221</v>
      </c>
      <c r="D144" s="6">
        <v>0.41875</v>
      </c>
      <c r="E144" s="6">
        <v>2.314814814814815E-4</v>
      </c>
      <c r="F144" s="6">
        <v>0.4189814814814815</v>
      </c>
      <c r="G144" s="4"/>
      <c r="H144" s="4" t="s">
        <v>81</v>
      </c>
      <c r="I144" s="4" t="s">
        <v>91</v>
      </c>
      <c r="J144" s="4" t="s">
        <v>73</v>
      </c>
      <c r="K144" s="4" t="s">
        <v>128</v>
      </c>
      <c r="L144" s="4"/>
      <c r="M144" s="4"/>
      <c r="N144" s="4" t="s">
        <v>70</v>
      </c>
      <c r="O144" s="51" t="b">
        <v>0</v>
      </c>
      <c r="P144" s="51" t="b">
        <v>0</v>
      </c>
      <c r="Q144" s="51" t="b">
        <v>0</v>
      </c>
      <c r="R144" s="51" t="b">
        <v>0</v>
      </c>
      <c r="S144" s="51" t="b">
        <v>0</v>
      </c>
    </row>
    <row r="145" hidden="1">
      <c r="A145" s="4" t="str">
        <f>IFERROR(__xludf.DUMMYFUNCTION("""COMPUTED_VALUE"""),"2283 - Channel")</f>
        <v>2283 - Channel</v>
      </c>
      <c r="B145" s="4" t="s">
        <v>14</v>
      </c>
      <c r="C145" s="4" t="s">
        <v>221</v>
      </c>
      <c r="D145" s="6">
        <v>0.4189814814814815</v>
      </c>
      <c r="E145" s="6">
        <v>0.011111111111111112</v>
      </c>
      <c r="F145" s="6">
        <v>0.43009259259259264</v>
      </c>
      <c r="G145" s="4"/>
      <c r="H145" s="4" t="s">
        <v>94</v>
      </c>
      <c r="I145" s="4" t="s">
        <v>223</v>
      </c>
      <c r="J145" s="4" t="s">
        <v>224</v>
      </c>
      <c r="K145" s="4"/>
      <c r="L145" s="4"/>
      <c r="M145" s="4"/>
      <c r="N145" s="4" t="s">
        <v>149</v>
      </c>
      <c r="O145" s="51" t="b">
        <v>0</v>
      </c>
      <c r="P145" s="51" t="b">
        <v>0</v>
      </c>
      <c r="Q145" s="51" t="b">
        <v>0</v>
      </c>
      <c r="R145" s="51" t="b">
        <v>0</v>
      </c>
      <c r="S145" s="51" t="b">
        <v>0</v>
      </c>
    </row>
    <row r="146" hidden="1">
      <c r="A146" s="4" t="str">
        <f>IFERROR(__xludf.DUMMYFUNCTION("""COMPUTED_VALUE"""),"139 - Channel")</f>
        <v>139 - Channel</v>
      </c>
      <c r="B146" s="4" t="s">
        <v>14</v>
      </c>
      <c r="C146" s="4" t="s">
        <v>221</v>
      </c>
      <c r="D146" s="6">
        <v>0.43009259259259264</v>
      </c>
      <c r="E146" s="6">
        <v>2.314814814814815E-4</v>
      </c>
      <c r="F146" s="6">
        <v>0.43032407407407414</v>
      </c>
      <c r="G146" s="4"/>
      <c r="H146" s="4" t="s">
        <v>81</v>
      </c>
      <c r="I146" s="4" t="s">
        <v>225</v>
      </c>
      <c r="J146" s="4" t="s">
        <v>128</v>
      </c>
      <c r="K146" s="4"/>
      <c r="L146" s="4"/>
      <c r="M146" s="4"/>
      <c r="N146" s="4" t="s">
        <v>70</v>
      </c>
      <c r="O146" s="51" t="b">
        <v>0</v>
      </c>
      <c r="P146" s="51" t="b">
        <v>0</v>
      </c>
      <c r="Q146" s="51" t="b">
        <v>0</v>
      </c>
      <c r="R146" s="51" t="b">
        <v>0</v>
      </c>
      <c r="S146" s="51" t="b">
        <v>0</v>
      </c>
    </row>
    <row r="147" hidden="1">
      <c r="A147" s="4" t="str">
        <f>IFERROR(__xludf.DUMMYFUNCTION("""COMPUTED_VALUE"""),"140 - Channel")</f>
        <v>140 - Channel</v>
      </c>
      <c r="B147" s="4" t="s">
        <v>14</v>
      </c>
      <c r="C147" s="4" t="s">
        <v>221</v>
      </c>
      <c r="D147" s="6">
        <v>0.43032407407407414</v>
      </c>
      <c r="E147" s="6">
        <v>0.0020833333333333333</v>
      </c>
      <c r="F147" s="6">
        <v>0.43240740740740746</v>
      </c>
      <c r="G147" s="4" t="s">
        <v>106</v>
      </c>
      <c r="H147" s="4" t="s">
        <v>83</v>
      </c>
      <c r="I147" s="4" t="s">
        <v>226</v>
      </c>
      <c r="J147" s="4"/>
      <c r="K147" s="4"/>
      <c r="L147" s="4"/>
      <c r="M147" s="4"/>
      <c r="N147" s="4" t="s">
        <v>70</v>
      </c>
      <c r="O147" s="51" t="b">
        <v>0</v>
      </c>
      <c r="P147" s="51" t="b">
        <v>0</v>
      </c>
      <c r="Q147" s="51" t="b">
        <v>0</v>
      </c>
      <c r="R147" s="51" t="b">
        <v>0</v>
      </c>
      <c r="S147" s="51" t="b">
        <v>0</v>
      </c>
    </row>
    <row r="148" hidden="1">
      <c r="A148" s="4" t="str">
        <f>IFERROR(__xludf.DUMMYFUNCTION("""COMPUTED_VALUE"""),"2248 - Channel")</f>
        <v>2248 - Channel</v>
      </c>
      <c r="B148" s="4" t="s">
        <v>14</v>
      </c>
      <c r="C148" s="4" t="s">
        <v>221</v>
      </c>
      <c r="D148" s="6">
        <v>0.43240740740740746</v>
      </c>
      <c r="E148" s="6">
        <v>2.314814814814815E-4</v>
      </c>
      <c r="F148" s="6">
        <v>0.43263888888888896</v>
      </c>
      <c r="G148" s="4"/>
      <c r="H148" s="4" t="s">
        <v>85</v>
      </c>
      <c r="I148" s="4" t="s">
        <v>86</v>
      </c>
      <c r="J148" s="4" t="s">
        <v>128</v>
      </c>
      <c r="K148" s="4"/>
      <c r="L148" s="4"/>
      <c r="M148" s="4"/>
      <c r="N148" s="4"/>
      <c r="O148" s="51" t="b">
        <v>0</v>
      </c>
      <c r="P148" s="51" t="b">
        <v>0</v>
      </c>
      <c r="Q148" s="51" t="b">
        <v>0</v>
      </c>
      <c r="R148" s="51" t="b">
        <v>0</v>
      </c>
      <c r="S148" s="51" t="b">
        <v>0</v>
      </c>
    </row>
    <row r="149" hidden="1">
      <c r="A149" s="4" t="str">
        <f>IFERROR(__xludf.DUMMYFUNCTION("""COMPUTED_VALUE"""),"1606 - Channel")</f>
        <v>1606 - Channel</v>
      </c>
      <c r="B149" s="4" t="s">
        <v>14</v>
      </c>
      <c r="C149" s="4" t="s">
        <v>221</v>
      </c>
      <c r="D149" s="6">
        <v>0.43263888888888896</v>
      </c>
      <c r="E149" s="6">
        <v>3.4722222222222224E-4</v>
      </c>
      <c r="F149" s="6">
        <v>0.4329861111111112</v>
      </c>
      <c r="G149" s="4"/>
      <c r="H149" s="4" t="s">
        <v>79</v>
      </c>
      <c r="I149" s="4" t="s">
        <v>80</v>
      </c>
      <c r="J149" s="4" t="s">
        <v>69</v>
      </c>
      <c r="K149" s="4"/>
      <c r="L149" s="4"/>
      <c r="M149" s="4"/>
      <c r="N149" s="4"/>
      <c r="O149" s="51" t="b">
        <v>0</v>
      </c>
      <c r="P149" s="51" t="b">
        <v>0</v>
      </c>
      <c r="Q149" s="51" t="b">
        <v>0</v>
      </c>
      <c r="R149" s="51" t="b">
        <v>0</v>
      </c>
      <c r="S149" s="51" t="b">
        <v>0</v>
      </c>
    </row>
    <row r="150" hidden="1">
      <c r="A150" s="4" t="str">
        <f>IFERROR(__xludf.DUMMYFUNCTION("""COMPUTED_VALUE"""),"1536 - Channel")</f>
        <v>1536 - Channel</v>
      </c>
      <c r="B150" s="4" t="s">
        <v>14</v>
      </c>
      <c r="C150" s="4" t="s">
        <v>221</v>
      </c>
      <c r="D150" s="6">
        <v>0.4329861111111112</v>
      </c>
      <c r="E150" s="6">
        <v>2.314814814814815E-4</v>
      </c>
      <c r="F150" s="6">
        <v>0.4332175925925927</v>
      </c>
      <c r="G150" s="4"/>
      <c r="H150" s="4" t="s">
        <v>81</v>
      </c>
      <c r="I150" s="4" t="s">
        <v>119</v>
      </c>
      <c r="J150" s="4" t="s">
        <v>128</v>
      </c>
      <c r="K150" s="4"/>
      <c r="L150" s="4"/>
      <c r="M150" s="4"/>
      <c r="N150" s="4"/>
      <c r="O150" s="51" t="b">
        <v>0</v>
      </c>
      <c r="P150" s="51" t="b">
        <v>0</v>
      </c>
      <c r="Q150" s="51" t="b">
        <v>0</v>
      </c>
      <c r="R150" s="51" t="b">
        <v>0</v>
      </c>
      <c r="S150" s="51" t="b">
        <v>0</v>
      </c>
    </row>
    <row r="151" hidden="1">
      <c r="A151" s="4" t="str">
        <f>IFERROR(__xludf.DUMMYFUNCTION("""COMPUTED_VALUE"""),"1436 - Channel")</f>
        <v>1436 - Channel</v>
      </c>
      <c r="B151" s="4" t="s">
        <v>14</v>
      </c>
      <c r="C151" s="4" t="s">
        <v>221</v>
      </c>
      <c r="D151" s="6">
        <v>0.4332175925925927</v>
      </c>
      <c r="E151" s="6">
        <v>0.009722222222222222</v>
      </c>
      <c r="F151" s="6">
        <v>0.4429398148148149</v>
      </c>
      <c r="G151" s="4"/>
      <c r="H151" s="4" t="s">
        <v>107</v>
      </c>
      <c r="I151" s="4" t="s">
        <v>227</v>
      </c>
      <c r="J151" s="4" t="s">
        <v>228</v>
      </c>
      <c r="K151" s="4" t="s">
        <v>229</v>
      </c>
      <c r="L151" s="4"/>
      <c r="M151" s="4"/>
      <c r="N151" s="4" t="s">
        <v>230</v>
      </c>
      <c r="O151" s="51" t="b">
        <v>0</v>
      </c>
      <c r="P151" s="51" t="b">
        <v>0</v>
      </c>
      <c r="Q151" s="51" t="b">
        <v>0</v>
      </c>
      <c r="R151" s="51" t="b">
        <v>0</v>
      </c>
      <c r="S151" s="51" t="b">
        <v>0</v>
      </c>
    </row>
    <row r="152" hidden="1">
      <c r="A152" s="4" t="str">
        <f>IFERROR(__xludf.DUMMYFUNCTION("""COMPUTED_VALUE"""),"185 - Channel")</f>
        <v>185 - Channel</v>
      </c>
      <c r="B152" s="4" t="s">
        <v>14</v>
      </c>
      <c r="C152" s="4" t="s">
        <v>221</v>
      </c>
      <c r="D152" s="6">
        <v>0.4429398148148149</v>
      </c>
      <c r="E152" s="6">
        <v>2.314814814814815E-4</v>
      </c>
      <c r="F152" s="6">
        <v>0.4431712962962964</v>
      </c>
      <c r="G152" s="4"/>
      <c r="H152" s="4" t="s">
        <v>81</v>
      </c>
      <c r="I152" s="4" t="s">
        <v>91</v>
      </c>
      <c r="J152" s="4" t="s">
        <v>128</v>
      </c>
      <c r="K152" s="4"/>
      <c r="L152" s="4"/>
      <c r="M152" s="4"/>
      <c r="N152" s="4"/>
      <c r="O152" s="51" t="b">
        <v>0</v>
      </c>
      <c r="P152" s="51" t="b">
        <v>0</v>
      </c>
      <c r="Q152" s="51" t="b">
        <v>0</v>
      </c>
      <c r="R152" s="51" t="b">
        <v>0</v>
      </c>
      <c r="S152" s="51" t="b">
        <v>0</v>
      </c>
    </row>
    <row r="153" hidden="1">
      <c r="A153" s="4" t="str">
        <f>IFERROR(__xludf.DUMMYFUNCTION("""COMPUTED_VALUE"""),"1365 - Channel")</f>
        <v>1365 - Channel</v>
      </c>
      <c r="B153" s="4" t="s">
        <v>14</v>
      </c>
      <c r="C153" s="4" t="s">
        <v>221</v>
      </c>
      <c r="D153" s="6">
        <v>0.4431712962962964</v>
      </c>
      <c r="E153" s="6">
        <v>0.0020833333333333333</v>
      </c>
      <c r="F153" s="6">
        <v>0.44525462962962975</v>
      </c>
      <c r="G153" s="4"/>
      <c r="H153" s="4" t="s">
        <v>165</v>
      </c>
      <c r="I153" s="4" t="s">
        <v>231</v>
      </c>
      <c r="J153" s="4" t="s">
        <v>232</v>
      </c>
      <c r="K153" s="4"/>
      <c r="L153" s="4"/>
      <c r="M153" s="4"/>
      <c r="N153" s="4"/>
      <c r="O153" s="51" t="b">
        <v>0</v>
      </c>
      <c r="P153" s="51" t="b">
        <v>0</v>
      </c>
      <c r="Q153" s="51" t="b">
        <v>0</v>
      </c>
      <c r="R153" s="51" t="b">
        <v>0</v>
      </c>
      <c r="S153" s="51" t="b">
        <v>0</v>
      </c>
    </row>
    <row r="154" hidden="1">
      <c r="A154" s="4" t="str">
        <f>IFERROR(__xludf.DUMMYFUNCTION("""COMPUTED_VALUE"""),"374 - Channel")</f>
        <v>374 - Channel</v>
      </c>
      <c r="B154" s="4" t="s">
        <v>14</v>
      </c>
      <c r="C154" s="4" t="s">
        <v>221</v>
      </c>
      <c r="D154" s="6">
        <v>0.44525462962962975</v>
      </c>
      <c r="E154" s="6">
        <v>2.314814814814815E-4</v>
      </c>
      <c r="F154" s="6">
        <v>0.44548611111111125</v>
      </c>
      <c r="G154" s="4"/>
      <c r="H154" s="4" t="s">
        <v>81</v>
      </c>
      <c r="I154" s="4" t="s">
        <v>233</v>
      </c>
      <c r="J154" s="4" t="s">
        <v>128</v>
      </c>
      <c r="K154" s="4"/>
      <c r="L154" s="4"/>
      <c r="M154" s="4"/>
      <c r="N154" s="4" t="s">
        <v>70</v>
      </c>
      <c r="O154" s="51" t="b">
        <v>0</v>
      </c>
      <c r="P154" s="51" t="b">
        <v>0</v>
      </c>
      <c r="Q154" s="51" t="b">
        <v>0</v>
      </c>
      <c r="R154" s="51" t="b">
        <v>0</v>
      </c>
      <c r="S154" s="51" t="b">
        <v>0</v>
      </c>
    </row>
    <row r="155" hidden="1">
      <c r="A155" s="4" t="str">
        <f>IFERROR(__xludf.DUMMYFUNCTION("""COMPUTED_VALUE"""),"375 - Channel")</f>
        <v>375 - Channel</v>
      </c>
      <c r="B155" s="4" t="s">
        <v>14</v>
      </c>
      <c r="C155" s="4" t="s">
        <v>221</v>
      </c>
      <c r="D155" s="6">
        <v>0.44548611111111125</v>
      </c>
      <c r="E155" s="6">
        <v>0.0020833333333333333</v>
      </c>
      <c r="F155" s="6">
        <v>0.4475694444444446</v>
      </c>
      <c r="G155" s="4"/>
      <c r="H155" s="4" t="s">
        <v>83</v>
      </c>
      <c r="I155" s="4" t="s">
        <v>234</v>
      </c>
      <c r="J155" s="4"/>
      <c r="K155" s="4"/>
      <c r="L155" s="4"/>
      <c r="M155" s="4"/>
      <c r="N155" s="4" t="s">
        <v>70</v>
      </c>
      <c r="O155" s="51" t="b">
        <v>0</v>
      </c>
      <c r="P155" s="51" t="b">
        <v>0</v>
      </c>
      <c r="Q155" s="51" t="b">
        <v>0</v>
      </c>
      <c r="R155" s="51" t="b">
        <v>0</v>
      </c>
      <c r="S155" s="51" t="b">
        <v>0</v>
      </c>
    </row>
    <row r="156" hidden="1">
      <c r="A156" s="4" t="str">
        <f>IFERROR(__xludf.DUMMYFUNCTION("""COMPUTED_VALUE"""),"2249 - Channel")</f>
        <v>2249 - Channel</v>
      </c>
      <c r="B156" s="4" t="s">
        <v>14</v>
      </c>
      <c r="C156" s="4" t="s">
        <v>221</v>
      </c>
      <c r="D156" s="6">
        <v>0.4475694444444446</v>
      </c>
      <c r="E156" s="6">
        <v>2.314814814814815E-4</v>
      </c>
      <c r="F156" s="6">
        <v>0.4478009259259261</v>
      </c>
      <c r="G156" s="4"/>
      <c r="H156" s="4" t="s">
        <v>85</v>
      </c>
      <c r="I156" s="4" t="s">
        <v>86</v>
      </c>
      <c r="J156" s="4" t="s">
        <v>128</v>
      </c>
      <c r="K156" s="4"/>
      <c r="L156" s="4"/>
      <c r="M156" s="4"/>
      <c r="N156" s="4"/>
      <c r="O156" s="51" t="b">
        <v>0</v>
      </c>
      <c r="P156" s="51" t="b">
        <v>0</v>
      </c>
      <c r="Q156" s="51" t="b">
        <v>0</v>
      </c>
      <c r="R156" s="51" t="b">
        <v>0</v>
      </c>
      <c r="S156" s="51" t="b">
        <v>0</v>
      </c>
    </row>
    <row r="157" hidden="1">
      <c r="A157" s="4" t="str">
        <f>IFERROR(__xludf.DUMMYFUNCTION("""COMPUTED_VALUE"""),"1955 - Channel")</f>
        <v>1955 - Channel</v>
      </c>
      <c r="B157" s="4" t="s">
        <v>14</v>
      </c>
      <c r="C157" s="4" t="s">
        <v>221</v>
      </c>
      <c r="D157" s="6">
        <v>0.4478009259259261</v>
      </c>
      <c r="E157" s="6">
        <v>3.4722222222222224E-4</v>
      </c>
      <c r="F157" s="6">
        <v>0.4481481481481483</v>
      </c>
      <c r="G157" s="4"/>
      <c r="H157" s="4" t="s">
        <v>89</v>
      </c>
      <c r="I157" s="4" t="s">
        <v>80</v>
      </c>
      <c r="J157" s="4" t="s">
        <v>69</v>
      </c>
      <c r="K157" s="4"/>
      <c r="L157" s="4"/>
      <c r="M157" s="4"/>
      <c r="N157" s="4"/>
      <c r="O157" s="51" t="b">
        <v>0</v>
      </c>
      <c r="P157" s="51" t="b">
        <v>0</v>
      </c>
      <c r="Q157" s="51" t="b">
        <v>0</v>
      </c>
      <c r="R157" s="51" t="b">
        <v>0</v>
      </c>
      <c r="S157" s="51" t="b">
        <v>0</v>
      </c>
    </row>
    <row r="158" hidden="1">
      <c r="A158" s="4" t="str">
        <f>IFERROR(__xludf.DUMMYFUNCTION("""COMPUTED_VALUE"""),"275 - Channel")</f>
        <v>275 - Channel</v>
      </c>
      <c r="B158" s="4" t="s">
        <v>14</v>
      </c>
      <c r="C158" s="4" t="s">
        <v>221</v>
      </c>
      <c r="D158" s="6">
        <v>0.4481481481481483</v>
      </c>
      <c r="E158" s="6">
        <v>2.314814814814815E-4</v>
      </c>
      <c r="F158" s="6">
        <v>0.4483796296296298</v>
      </c>
      <c r="G158" s="4"/>
      <c r="H158" s="4" t="s">
        <v>81</v>
      </c>
      <c r="I158" s="4" t="s">
        <v>81</v>
      </c>
      <c r="J158" s="4" t="s">
        <v>73</v>
      </c>
      <c r="K158" s="4" t="s">
        <v>128</v>
      </c>
      <c r="L158" s="4"/>
      <c r="M158" s="4"/>
      <c r="N158" s="4" t="s">
        <v>70</v>
      </c>
      <c r="O158" s="51" t="b">
        <v>0</v>
      </c>
      <c r="P158" s="51" t="b">
        <v>0</v>
      </c>
      <c r="Q158" s="51" t="b">
        <v>0</v>
      </c>
      <c r="R158" s="51" t="b">
        <v>0</v>
      </c>
      <c r="S158" s="51" t="b">
        <v>0</v>
      </c>
    </row>
    <row r="159" hidden="1">
      <c r="A159" s="4" t="str">
        <f>IFERROR(__xludf.DUMMYFUNCTION("""COMPUTED_VALUE"""),"276 - Channel")</f>
        <v>276 - Channel</v>
      </c>
      <c r="B159" s="4" t="s">
        <v>14</v>
      </c>
      <c r="C159" s="4" t="s">
        <v>221</v>
      </c>
      <c r="D159" s="6">
        <v>0.4483796296296298</v>
      </c>
      <c r="E159" s="6">
        <v>0.010416666666666666</v>
      </c>
      <c r="F159" s="6">
        <v>0.4587962962962965</v>
      </c>
      <c r="G159" s="4"/>
      <c r="H159" s="4" t="s">
        <v>94</v>
      </c>
      <c r="I159" s="4" t="s">
        <v>235</v>
      </c>
      <c r="J159" s="4" t="s">
        <v>236</v>
      </c>
      <c r="K159" s="4"/>
      <c r="L159" s="4"/>
      <c r="M159" s="4"/>
      <c r="N159" s="4" t="s">
        <v>237</v>
      </c>
      <c r="O159" s="51" t="b">
        <v>0</v>
      </c>
      <c r="P159" s="51" t="b">
        <v>0</v>
      </c>
      <c r="Q159" s="51" t="b">
        <v>0</v>
      </c>
      <c r="R159" s="51" t="b">
        <v>0</v>
      </c>
      <c r="S159" s="51" t="b">
        <v>0</v>
      </c>
    </row>
    <row r="160" hidden="1">
      <c r="A160" s="4" t="str">
        <f>IFERROR(__xludf.DUMMYFUNCTION("""COMPUTED_VALUE"""),"1517 - Channel")</f>
        <v>1517 - Channel</v>
      </c>
      <c r="B160" s="4" t="s">
        <v>14</v>
      </c>
      <c r="C160" s="4" t="s">
        <v>221</v>
      </c>
      <c r="D160" s="6"/>
      <c r="E160" s="6"/>
      <c r="F160" s="6"/>
      <c r="G160" s="4"/>
      <c r="H160" s="4"/>
      <c r="I160" s="4"/>
      <c r="J160" s="4"/>
      <c r="K160" s="4"/>
      <c r="L160" s="4"/>
      <c r="M160" s="4"/>
      <c r="N160" s="4"/>
      <c r="O160" s="51" t="b">
        <v>0</v>
      </c>
      <c r="P160" s="51" t="b">
        <v>0</v>
      </c>
      <c r="Q160" s="51" t="b">
        <v>0</v>
      </c>
      <c r="R160" s="51" t="b">
        <v>0</v>
      </c>
      <c r="S160" s="51" t="b">
        <v>0</v>
      </c>
    </row>
    <row r="161" hidden="1">
      <c r="A161" s="4" t="str">
        <f>IFERROR(__xludf.DUMMYFUNCTION("""COMPUTED_VALUE"""),"152 - Channel")</f>
        <v>152 - Channel</v>
      </c>
      <c r="B161" s="4" t="s">
        <v>14</v>
      </c>
      <c r="C161" s="4" t="s">
        <v>221</v>
      </c>
      <c r="D161" s="6">
        <v>0.4587962962962965</v>
      </c>
      <c r="E161" s="6">
        <v>6.944444444444445E-4</v>
      </c>
      <c r="F161" s="6">
        <v>0.4594907407407409</v>
      </c>
      <c r="G161" s="4"/>
      <c r="H161" s="4" t="s">
        <v>103</v>
      </c>
      <c r="I161" s="4" t="s">
        <v>238</v>
      </c>
      <c r="J161" s="4" t="s">
        <v>128</v>
      </c>
      <c r="K161" s="4"/>
      <c r="L161" s="4"/>
      <c r="M161" s="4"/>
      <c r="N161" s="4" t="s">
        <v>70</v>
      </c>
      <c r="O161" s="51" t="b">
        <v>0</v>
      </c>
      <c r="P161" s="51" t="b">
        <v>0</v>
      </c>
      <c r="Q161" s="51" t="b">
        <v>0</v>
      </c>
      <c r="R161" s="51" t="b">
        <v>0</v>
      </c>
      <c r="S161" s="51" t="b">
        <v>0</v>
      </c>
    </row>
    <row r="162" hidden="1">
      <c r="A162" s="4" t="str">
        <f>IFERROR(__xludf.DUMMYFUNCTION("""COMPUTED_VALUE"""),"1956 - Channel")</f>
        <v>1956 - Channel</v>
      </c>
      <c r="B162" s="4" t="s">
        <v>14</v>
      </c>
      <c r="C162" s="4" t="s">
        <v>221</v>
      </c>
      <c r="D162" s="6">
        <v>0.4594907407407409</v>
      </c>
      <c r="E162" s="6">
        <v>3.4722222222222224E-4</v>
      </c>
      <c r="F162" s="6">
        <v>0.45983796296296314</v>
      </c>
      <c r="G162" s="4"/>
      <c r="H162" s="4" t="s">
        <v>79</v>
      </c>
      <c r="I162" s="4" t="s">
        <v>80</v>
      </c>
      <c r="J162" s="4" t="s">
        <v>69</v>
      </c>
      <c r="K162" s="4"/>
      <c r="L162" s="4"/>
      <c r="M162" s="4"/>
      <c r="N162" s="4"/>
      <c r="O162" s="51" t="b">
        <v>0</v>
      </c>
      <c r="P162" s="51" t="b">
        <v>0</v>
      </c>
      <c r="Q162" s="51" t="b">
        <v>0</v>
      </c>
      <c r="R162" s="51" t="b">
        <v>0</v>
      </c>
      <c r="S162" s="51" t="b">
        <v>0</v>
      </c>
    </row>
    <row r="163" hidden="1">
      <c r="A163" s="4" t="str">
        <f>IFERROR(__xludf.DUMMYFUNCTION("""COMPUTED_VALUE"""),"65 - Channel")</f>
        <v>65 - Channel</v>
      </c>
      <c r="B163" s="4" t="s">
        <v>14</v>
      </c>
      <c r="C163" s="4" t="s">
        <v>221</v>
      </c>
      <c r="D163" s="6">
        <v>0.4594907407407409</v>
      </c>
      <c r="E163" s="6">
        <v>2.314814814814815E-4</v>
      </c>
      <c r="F163" s="6">
        <v>0.4597222222222224</v>
      </c>
      <c r="G163" s="4"/>
      <c r="H163" s="4" t="s">
        <v>81</v>
      </c>
      <c r="I163" s="4" t="s">
        <v>91</v>
      </c>
      <c r="J163" s="4" t="s">
        <v>128</v>
      </c>
      <c r="K163" s="4"/>
      <c r="L163" s="4"/>
      <c r="M163" s="4"/>
      <c r="N163" s="4" t="s">
        <v>70</v>
      </c>
      <c r="O163" s="51" t="b">
        <v>0</v>
      </c>
      <c r="P163" s="51" t="b">
        <v>0</v>
      </c>
      <c r="Q163" s="51" t="b">
        <v>0</v>
      </c>
      <c r="R163" s="51" t="b">
        <v>0</v>
      </c>
      <c r="S163" s="51" t="b">
        <v>0</v>
      </c>
    </row>
    <row r="164" hidden="1">
      <c r="A164" s="4" t="str">
        <f>IFERROR(__xludf.DUMMYFUNCTION("""COMPUTED_VALUE"""),"54 - Channel")</f>
        <v>54 - Channel</v>
      </c>
      <c r="B164" s="4" t="s">
        <v>14</v>
      </c>
      <c r="C164" s="4" t="s">
        <v>221</v>
      </c>
      <c r="D164" s="6">
        <v>0.4597222222222224</v>
      </c>
      <c r="E164" s="6">
        <v>0.010416666666666666</v>
      </c>
      <c r="F164" s="6">
        <v>0.4701388888888891</v>
      </c>
      <c r="G164" s="4"/>
      <c r="H164" s="4" t="s">
        <v>107</v>
      </c>
      <c r="I164" s="4" t="s">
        <v>239</v>
      </c>
      <c r="J164" s="4" t="s">
        <v>240</v>
      </c>
      <c r="K164" s="4" t="s">
        <v>241</v>
      </c>
      <c r="L164" s="4"/>
      <c r="M164" s="4"/>
      <c r="N164" s="4" t="s">
        <v>242</v>
      </c>
      <c r="O164" s="51" t="b">
        <v>0</v>
      </c>
      <c r="P164" s="51" t="b">
        <v>0</v>
      </c>
      <c r="Q164" s="51" t="b">
        <v>0</v>
      </c>
      <c r="R164" s="51" t="b">
        <v>0</v>
      </c>
      <c r="S164" s="51" t="b">
        <v>0</v>
      </c>
    </row>
    <row r="165" hidden="1">
      <c r="A165" s="4" t="str">
        <f>IFERROR(__xludf.DUMMYFUNCTION("""COMPUTED_VALUE"""),"156 - Channel")</f>
        <v>156 - Channel</v>
      </c>
      <c r="B165" s="4" t="s">
        <v>14</v>
      </c>
      <c r="C165" s="4" t="s">
        <v>221</v>
      </c>
      <c r="D165" s="6">
        <v>0.4701388888888891</v>
      </c>
      <c r="E165" s="6">
        <v>2.314814814814815E-4</v>
      </c>
      <c r="F165" s="6">
        <v>0.4703703703703706</v>
      </c>
      <c r="G165" s="4"/>
      <c r="H165" s="4" t="s">
        <v>81</v>
      </c>
      <c r="I165" s="4" t="s">
        <v>243</v>
      </c>
      <c r="J165" s="4" t="s">
        <v>128</v>
      </c>
      <c r="K165" s="4"/>
      <c r="L165" s="4"/>
      <c r="M165" s="4"/>
      <c r="N165" s="4" t="s">
        <v>70</v>
      </c>
      <c r="O165" s="51" t="b">
        <v>0</v>
      </c>
      <c r="P165" s="51" t="b">
        <v>0</v>
      </c>
      <c r="Q165" s="51" t="b">
        <v>0</v>
      </c>
      <c r="R165" s="51" t="b">
        <v>0</v>
      </c>
      <c r="S165" s="51" t="b">
        <v>0</v>
      </c>
    </row>
    <row r="166" hidden="1">
      <c r="A166" s="4" t="str">
        <f>IFERROR(__xludf.DUMMYFUNCTION("""COMPUTED_VALUE"""),"157 - Channel")</f>
        <v>157 - Channel</v>
      </c>
      <c r="B166" s="4" t="s">
        <v>14</v>
      </c>
      <c r="C166" s="4" t="s">
        <v>221</v>
      </c>
      <c r="D166" s="6">
        <v>0.4703703703703706</v>
      </c>
      <c r="E166" s="6">
        <v>0.0020833333333333333</v>
      </c>
      <c r="F166" s="6">
        <v>0.47245370370370393</v>
      </c>
      <c r="G166" s="4"/>
      <c r="H166" s="4" t="s">
        <v>83</v>
      </c>
      <c r="I166" s="4" t="s">
        <v>244</v>
      </c>
      <c r="J166" s="4"/>
      <c r="K166" s="4"/>
      <c r="L166" s="4"/>
      <c r="M166" s="4"/>
      <c r="N166" s="4" t="s">
        <v>70</v>
      </c>
      <c r="O166" s="51" t="b">
        <v>0</v>
      </c>
      <c r="P166" s="51" t="b">
        <v>0</v>
      </c>
      <c r="Q166" s="51" t="b">
        <v>0</v>
      </c>
      <c r="R166" s="51" t="b">
        <v>0</v>
      </c>
      <c r="S166" s="51" t="b">
        <v>0</v>
      </c>
    </row>
    <row r="167" hidden="1">
      <c r="A167" s="4" t="str">
        <f>IFERROR(__xludf.DUMMYFUNCTION("""COMPUTED_VALUE"""),"2250 - Channel")</f>
        <v>2250 - Channel</v>
      </c>
      <c r="B167" s="4" t="s">
        <v>14</v>
      </c>
      <c r="C167" s="4" t="s">
        <v>221</v>
      </c>
      <c r="D167" s="6">
        <v>0.47245370370370393</v>
      </c>
      <c r="E167" s="6">
        <v>2.314814814814815E-4</v>
      </c>
      <c r="F167" s="6">
        <v>0.47268518518518543</v>
      </c>
      <c r="G167" s="4"/>
      <c r="H167" s="4" t="s">
        <v>85</v>
      </c>
      <c r="I167" s="4" t="s">
        <v>86</v>
      </c>
      <c r="J167" s="4" t="s">
        <v>128</v>
      </c>
      <c r="K167" s="4"/>
      <c r="L167" s="4"/>
      <c r="M167" s="4"/>
      <c r="N167" s="4"/>
      <c r="O167" s="51" t="b">
        <v>0</v>
      </c>
      <c r="P167" s="51" t="b">
        <v>0</v>
      </c>
      <c r="Q167" s="51" t="b">
        <v>0</v>
      </c>
      <c r="R167" s="51" t="b">
        <v>0</v>
      </c>
      <c r="S167" s="51" t="b">
        <v>0</v>
      </c>
    </row>
    <row r="168" hidden="1">
      <c r="A168" s="4" t="str">
        <f>IFERROR(__xludf.DUMMYFUNCTION("""COMPUTED_VALUE"""),"1809 - Channel")</f>
        <v>1809 - Channel</v>
      </c>
      <c r="B168" s="4" t="s">
        <v>14</v>
      </c>
      <c r="C168" s="4" t="s">
        <v>221</v>
      </c>
      <c r="D168" s="6">
        <v>0.47268518518518543</v>
      </c>
      <c r="E168" s="6">
        <v>3.4722222222222224E-4</v>
      </c>
      <c r="F168" s="6">
        <v>0.47303240740740765</v>
      </c>
      <c r="G168" s="4"/>
      <c r="H168" s="4" t="s">
        <v>87</v>
      </c>
      <c r="I168" s="4" t="s">
        <v>187</v>
      </c>
      <c r="J168" s="4" t="s">
        <v>69</v>
      </c>
      <c r="K168" s="4"/>
      <c r="L168" s="4"/>
      <c r="M168" s="4"/>
      <c r="N168" s="4"/>
      <c r="O168" s="51" t="b">
        <v>0</v>
      </c>
      <c r="P168" s="51" t="b">
        <v>0</v>
      </c>
      <c r="Q168" s="51" t="b">
        <v>0</v>
      </c>
      <c r="R168" s="51" t="b">
        <v>0</v>
      </c>
      <c r="S168" s="51" t="b">
        <v>0</v>
      </c>
    </row>
    <row r="169" hidden="1">
      <c r="A169" s="4" t="str">
        <f>IFERROR(__xludf.DUMMYFUNCTION("""COMPUTED_VALUE"""),"1513 - Channel")</f>
        <v>1513 - Channel</v>
      </c>
      <c r="B169" s="4" t="s">
        <v>14</v>
      </c>
      <c r="C169" s="4" t="s">
        <v>221</v>
      </c>
      <c r="D169" s="6">
        <v>0.47303240740740765</v>
      </c>
      <c r="E169" s="6">
        <v>2.314814814814815E-4</v>
      </c>
      <c r="F169" s="6">
        <v>0.47326388888888915</v>
      </c>
      <c r="G169" s="4"/>
      <c r="H169" s="4" t="s">
        <v>81</v>
      </c>
      <c r="I169" s="4" t="s">
        <v>91</v>
      </c>
      <c r="J169" s="4" t="s">
        <v>128</v>
      </c>
      <c r="K169" s="4"/>
      <c r="L169" s="4"/>
      <c r="M169" s="4"/>
      <c r="N169" s="4" t="s">
        <v>70</v>
      </c>
      <c r="O169" s="51" t="b">
        <v>0</v>
      </c>
      <c r="P169" s="51" t="b">
        <v>0</v>
      </c>
      <c r="Q169" s="51" t="b">
        <v>0</v>
      </c>
      <c r="R169" s="51" t="b">
        <v>0</v>
      </c>
      <c r="S169" s="51" t="b">
        <v>0</v>
      </c>
    </row>
    <row r="170" hidden="1">
      <c r="A170" s="4" t="str">
        <f>IFERROR(__xludf.DUMMYFUNCTION("""COMPUTED_VALUE"""),"70 - Channel")</f>
        <v>70 - Channel</v>
      </c>
      <c r="B170" s="4" t="s">
        <v>14</v>
      </c>
      <c r="C170" s="4" t="s">
        <v>221</v>
      </c>
      <c r="D170" s="6">
        <v>0.47326388888888915</v>
      </c>
      <c r="E170" s="6">
        <v>0.002199074074074074</v>
      </c>
      <c r="F170" s="6">
        <v>0.4754629629629632</v>
      </c>
      <c r="G170" s="4" t="s">
        <v>245</v>
      </c>
      <c r="H170" s="4" t="s">
        <v>165</v>
      </c>
      <c r="I170" s="4" t="s">
        <v>246</v>
      </c>
      <c r="J170" s="4" t="s">
        <v>247</v>
      </c>
      <c r="K170" s="4"/>
      <c r="L170" s="4"/>
      <c r="M170" s="4"/>
      <c r="N170" s="4"/>
      <c r="O170" s="51" t="b">
        <v>0</v>
      </c>
      <c r="P170" s="51" t="b">
        <v>0</v>
      </c>
      <c r="Q170" s="51" t="b">
        <v>0</v>
      </c>
      <c r="R170" s="51" t="b">
        <v>0</v>
      </c>
      <c r="S170" s="51" t="b">
        <v>0</v>
      </c>
    </row>
    <row r="171" hidden="1">
      <c r="A171" s="4" t="str">
        <f>IFERROR(__xludf.DUMMYFUNCTION("""COMPUTED_VALUE"""),"163 - Channel")</f>
        <v>163 - Channel</v>
      </c>
      <c r="B171" s="4" t="s">
        <v>14</v>
      </c>
      <c r="C171" s="4" t="s">
        <v>221</v>
      </c>
      <c r="D171" s="6">
        <v>0.4754629629629632</v>
      </c>
      <c r="E171" s="6">
        <v>2.314814814814815E-4</v>
      </c>
      <c r="F171" s="6">
        <v>0.4756944444444447</v>
      </c>
      <c r="G171" s="4"/>
      <c r="H171" s="4" t="s">
        <v>81</v>
      </c>
      <c r="I171" s="4" t="s">
        <v>91</v>
      </c>
      <c r="J171" s="4" t="s">
        <v>128</v>
      </c>
      <c r="K171" s="4"/>
      <c r="L171" s="4"/>
      <c r="M171" s="4"/>
      <c r="N171" s="4" t="s">
        <v>70</v>
      </c>
      <c r="O171" s="51" t="b">
        <v>0</v>
      </c>
      <c r="P171" s="51" t="b">
        <v>0</v>
      </c>
      <c r="Q171" s="51" t="b">
        <v>0</v>
      </c>
      <c r="R171" s="51" t="b">
        <v>0</v>
      </c>
      <c r="S171" s="51" t="b">
        <v>0</v>
      </c>
    </row>
    <row r="172" hidden="1">
      <c r="A172" s="4" t="str">
        <f>IFERROR(__xludf.DUMMYFUNCTION("""COMPUTED_VALUE"""),"154 - Channel")</f>
        <v>154 - Channel</v>
      </c>
      <c r="B172" s="4" t="s">
        <v>14</v>
      </c>
      <c r="C172" s="4" t="s">
        <v>221</v>
      </c>
      <c r="D172" s="6">
        <v>0.4756944444444447</v>
      </c>
      <c r="E172" s="6">
        <v>0.009722222222222222</v>
      </c>
      <c r="F172" s="6">
        <v>0.48541666666666694</v>
      </c>
      <c r="G172" s="4"/>
      <c r="H172" s="4" t="s">
        <v>248</v>
      </c>
      <c r="I172" s="4" t="s">
        <v>249</v>
      </c>
      <c r="J172" s="4" t="s">
        <v>69</v>
      </c>
      <c r="K172" s="4"/>
      <c r="L172" s="4"/>
      <c r="M172" s="4"/>
      <c r="N172" s="4" t="s">
        <v>70</v>
      </c>
      <c r="O172" s="51" t="b">
        <v>0</v>
      </c>
      <c r="P172" s="51" t="b">
        <v>0</v>
      </c>
      <c r="Q172" s="51" t="b">
        <v>0</v>
      </c>
      <c r="R172" s="51" t="b">
        <v>0</v>
      </c>
      <c r="S172" s="51" t="b">
        <v>0</v>
      </c>
    </row>
    <row r="173" hidden="1">
      <c r="A173" s="4" t="str">
        <f>IFERROR(__xludf.DUMMYFUNCTION("""COMPUTED_VALUE"""),"153 - Channel")</f>
        <v>153 - Channel</v>
      </c>
      <c r="B173" s="4" t="s">
        <v>14</v>
      </c>
      <c r="C173" s="4" t="s">
        <v>221</v>
      </c>
      <c r="D173" s="6">
        <v>0.48541666666666694</v>
      </c>
      <c r="E173" s="6">
        <v>2.314814814814815E-4</v>
      </c>
      <c r="F173" s="6">
        <v>0.48564814814814844</v>
      </c>
      <c r="G173" s="4"/>
      <c r="H173" s="4" t="s">
        <v>81</v>
      </c>
      <c r="I173" s="4" t="s">
        <v>91</v>
      </c>
      <c r="J173" s="4" t="s">
        <v>128</v>
      </c>
      <c r="K173" s="4"/>
      <c r="L173" s="4"/>
      <c r="M173" s="4"/>
      <c r="N173" s="4" t="s">
        <v>70</v>
      </c>
      <c r="O173" s="51" t="b">
        <v>0</v>
      </c>
      <c r="P173" s="51" t="b">
        <v>0</v>
      </c>
      <c r="Q173" s="51" t="b">
        <v>0</v>
      </c>
      <c r="R173" s="51" t="b">
        <v>0</v>
      </c>
      <c r="S173" s="51" t="b">
        <v>0</v>
      </c>
    </row>
    <row r="174" hidden="1">
      <c r="A174" s="4" t="str">
        <f>IFERROR(__xludf.DUMMYFUNCTION("""COMPUTED_VALUE"""),"148 - Channel")</f>
        <v>148 - Channel</v>
      </c>
      <c r="B174" s="4" t="s">
        <v>14</v>
      </c>
      <c r="C174" s="4" t="s">
        <v>221</v>
      </c>
      <c r="D174" s="6">
        <v>0.48564814814814844</v>
      </c>
      <c r="E174" s="6">
        <v>0.009722222222222222</v>
      </c>
      <c r="F174" s="6">
        <v>0.4953703703703707</v>
      </c>
      <c r="G174" s="4"/>
      <c r="H174" s="4" t="s">
        <v>107</v>
      </c>
      <c r="I174" s="4" t="s">
        <v>250</v>
      </c>
      <c r="J174" s="4" t="s">
        <v>251</v>
      </c>
      <c r="K174" s="4" t="s">
        <v>252</v>
      </c>
      <c r="L174" s="4"/>
      <c r="M174" s="4"/>
      <c r="N174" s="4" t="s">
        <v>253</v>
      </c>
      <c r="O174" s="51" t="b">
        <v>0</v>
      </c>
      <c r="P174" s="51" t="b">
        <v>0</v>
      </c>
      <c r="Q174" s="51" t="b">
        <v>0</v>
      </c>
      <c r="R174" s="51" t="b">
        <v>0</v>
      </c>
      <c r="S174" s="51" t="b">
        <v>0</v>
      </c>
    </row>
    <row r="175" hidden="1">
      <c r="A175" s="4" t="str">
        <f>IFERROR(__xludf.DUMMYFUNCTION("""COMPUTED_VALUE"""),"1551 - Channel")</f>
        <v>1551 - Channel</v>
      </c>
      <c r="B175" s="4" t="s">
        <v>14</v>
      </c>
      <c r="C175" s="4" t="s">
        <v>221</v>
      </c>
      <c r="D175" s="6">
        <v>0.4953703703703707</v>
      </c>
      <c r="E175" s="6">
        <v>2.314814814814815E-4</v>
      </c>
      <c r="F175" s="6">
        <v>0.4956018518518522</v>
      </c>
      <c r="G175" s="4"/>
      <c r="H175" s="4" t="s">
        <v>81</v>
      </c>
      <c r="I175" s="4" t="s">
        <v>91</v>
      </c>
      <c r="J175" s="4" t="s">
        <v>128</v>
      </c>
      <c r="K175" s="4"/>
      <c r="L175" s="4"/>
      <c r="M175" s="4"/>
      <c r="N175" s="4"/>
      <c r="O175" s="51" t="b">
        <v>0</v>
      </c>
      <c r="P175" s="51" t="b">
        <v>0</v>
      </c>
      <c r="Q175" s="51" t="b">
        <v>0</v>
      </c>
      <c r="R175" s="51" t="b">
        <v>0</v>
      </c>
      <c r="S175" s="51" t="b">
        <v>0</v>
      </c>
    </row>
    <row r="176" hidden="1">
      <c r="A176" s="4" t="str">
        <f>IFERROR(__xludf.DUMMYFUNCTION("""COMPUTED_VALUE"""),"1552 - Channel")</f>
        <v>1552 - Channel</v>
      </c>
      <c r="B176" s="4" t="s">
        <v>14</v>
      </c>
      <c r="C176" s="4" t="s">
        <v>221</v>
      </c>
      <c r="D176" s="6">
        <v>0.4956018518518522</v>
      </c>
      <c r="E176" s="6">
        <v>0.005555555555555556</v>
      </c>
      <c r="F176" s="6">
        <v>0.5011574074074078</v>
      </c>
      <c r="G176" s="4"/>
      <c r="H176" s="4" t="s">
        <v>165</v>
      </c>
      <c r="I176" s="4" t="s">
        <v>254</v>
      </c>
      <c r="J176" s="4" t="s">
        <v>255</v>
      </c>
      <c r="K176" s="4"/>
      <c r="L176" s="4"/>
      <c r="M176" s="4"/>
      <c r="N176" s="4"/>
      <c r="O176" s="51" t="b">
        <v>0</v>
      </c>
      <c r="P176" s="51" t="b">
        <v>0</v>
      </c>
      <c r="Q176" s="51" t="b">
        <v>0</v>
      </c>
      <c r="R176" s="51" t="b">
        <v>0</v>
      </c>
      <c r="S176" s="51" t="b">
        <v>0</v>
      </c>
    </row>
    <row r="177" hidden="1">
      <c r="A177" s="4" t="str">
        <f>IFERROR(__xludf.DUMMYFUNCTION("""COMPUTED_VALUE"""),"1521 - Channel")</f>
        <v>1521 - Channel</v>
      </c>
      <c r="B177" s="4" t="s">
        <v>14</v>
      </c>
      <c r="C177" s="4" t="s">
        <v>221</v>
      </c>
      <c r="D177" s="6"/>
      <c r="E177" s="6"/>
      <c r="F177" s="6"/>
      <c r="G177" s="4"/>
      <c r="H177" s="4"/>
      <c r="I177" s="4"/>
      <c r="J177" s="4"/>
      <c r="K177" s="4"/>
      <c r="L177" s="4"/>
      <c r="M177" s="4"/>
      <c r="N177" s="4"/>
      <c r="O177" s="51" t="b">
        <v>0</v>
      </c>
      <c r="P177" s="51" t="b">
        <v>0</v>
      </c>
      <c r="Q177" s="51" t="b">
        <v>0</v>
      </c>
      <c r="R177" s="51" t="b">
        <v>0</v>
      </c>
      <c r="S177" s="51" t="b">
        <v>0</v>
      </c>
    </row>
    <row r="178" hidden="1">
      <c r="A178" s="4" t="str">
        <f>IFERROR(__xludf.DUMMYFUNCTION("""COMPUTED_VALUE"""),"170 - Channel")</f>
        <v>170 - Channel</v>
      </c>
      <c r="B178" s="4" t="s">
        <v>14</v>
      </c>
      <c r="C178" s="4" t="s">
        <v>221</v>
      </c>
      <c r="D178" s="6">
        <v>0.5011574074074078</v>
      </c>
      <c r="E178" s="6">
        <v>3.4722222222222224E-4</v>
      </c>
      <c r="F178" s="6">
        <v>0.50150462962963</v>
      </c>
      <c r="G178" s="4"/>
      <c r="H178" s="4" t="s">
        <v>87</v>
      </c>
      <c r="I178" s="4" t="s">
        <v>88</v>
      </c>
      <c r="J178" s="4" t="s">
        <v>69</v>
      </c>
      <c r="K178" s="4"/>
      <c r="L178" s="4"/>
      <c r="M178" s="4"/>
      <c r="N178" s="4" t="s">
        <v>70</v>
      </c>
      <c r="O178" s="51" t="b">
        <v>0</v>
      </c>
      <c r="P178" s="51" t="b">
        <v>0</v>
      </c>
      <c r="Q178" s="51" t="b">
        <v>0</v>
      </c>
      <c r="R178" s="51" t="b">
        <v>0</v>
      </c>
      <c r="S178" s="51" t="b">
        <v>0</v>
      </c>
    </row>
    <row r="179" hidden="1">
      <c r="A179" s="4" t="str">
        <f>IFERROR(__xludf.DUMMYFUNCTION("""COMPUTED_VALUE"""),"1726 - Channel")</f>
        <v>1726 - Channel</v>
      </c>
      <c r="B179" s="4" t="s">
        <v>14</v>
      </c>
      <c r="C179" s="4" t="s">
        <v>221</v>
      </c>
      <c r="D179" s="6">
        <v>0.50150462962963</v>
      </c>
      <c r="E179" s="6">
        <v>6.944444444444445E-4</v>
      </c>
      <c r="F179" s="6">
        <v>0.5021990740740745</v>
      </c>
      <c r="G179" s="4"/>
      <c r="H179" s="4" t="s">
        <v>103</v>
      </c>
      <c r="I179" s="4" t="s">
        <v>256</v>
      </c>
      <c r="J179" s="4" t="s">
        <v>128</v>
      </c>
      <c r="K179" s="4"/>
      <c r="L179" s="4"/>
      <c r="M179" s="4"/>
      <c r="N179" s="4"/>
      <c r="O179" s="51" t="b">
        <v>0</v>
      </c>
      <c r="P179" s="51" t="b">
        <v>0</v>
      </c>
      <c r="Q179" s="51" t="b">
        <v>0</v>
      </c>
      <c r="R179" s="51" t="b">
        <v>0</v>
      </c>
      <c r="S179" s="51" t="b">
        <v>0</v>
      </c>
    </row>
    <row r="180" hidden="1">
      <c r="A180" s="4" t="str">
        <f>IFERROR(__xludf.DUMMYFUNCTION("""COMPUTED_VALUE"""),"171 - Channel")</f>
        <v>171 - Channel</v>
      </c>
      <c r="B180" s="4" t="s">
        <v>14</v>
      </c>
      <c r="C180" s="4" t="s">
        <v>221</v>
      </c>
      <c r="D180" s="6">
        <v>0.5021990740740745</v>
      </c>
      <c r="E180" s="6">
        <v>2.314814814814815E-4</v>
      </c>
      <c r="F180" s="6">
        <v>0.5024305555555559</v>
      </c>
      <c r="G180" s="4"/>
      <c r="H180" s="4" t="s">
        <v>81</v>
      </c>
      <c r="I180" s="4" t="s">
        <v>91</v>
      </c>
      <c r="J180" s="4" t="s">
        <v>128</v>
      </c>
      <c r="K180" s="4"/>
      <c r="L180" s="4"/>
      <c r="M180" s="4"/>
      <c r="N180" s="4" t="s">
        <v>70</v>
      </c>
      <c r="O180" s="51" t="b">
        <v>0</v>
      </c>
      <c r="P180" s="51" t="b">
        <v>0</v>
      </c>
      <c r="Q180" s="51" t="b">
        <v>0</v>
      </c>
      <c r="R180" s="51" t="b">
        <v>0</v>
      </c>
      <c r="S180" s="51" t="b">
        <v>0</v>
      </c>
    </row>
    <row r="181" hidden="1">
      <c r="A181" s="4" t="str">
        <f>IFERROR(__xludf.DUMMYFUNCTION("""COMPUTED_VALUE"""),"328 - Channel")</f>
        <v>328 - Channel</v>
      </c>
      <c r="B181" s="4" t="s">
        <v>14</v>
      </c>
      <c r="C181" s="4" t="s">
        <v>221</v>
      </c>
      <c r="D181" s="6">
        <v>0.5024305555555559</v>
      </c>
      <c r="E181" s="6">
        <v>0.009027777777777777</v>
      </c>
      <c r="F181" s="6">
        <v>0.5114583333333337</v>
      </c>
      <c r="G181" s="4"/>
      <c r="H181" s="4" t="s">
        <v>107</v>
      </c>
      <c r="I181" s="4" t="s">
        <v>257</v>
      </c>
      <c r="J181" s="4" t="s">
        <v>258</v>
      </c>
      <c r="K181" s="4" t="s">
        <v>259</v>
      </c>
      <c r="L181" s="4"/>
      <c r="M181" s="4"/>
      <c r="N181" s="4" t="s">
        <v>260</v>
      </c>
      <c r="O181" s="51" t="b">
        <v>0</v>
      </c>
      <c r="P181" s="51" t="b">
        <v>0</v>
      </c>
      <c r="Q181" s="51" t="b">
        <v>0</v>
      </c>
      <c r="R181" s="51" t="b">
        <v>0</v>
      </c>
      <c r="S181" s="51" t="b">
        <v>0</v>
      </c>
    </row>
    <row r="182" hidden="1">
      <c r="A182" s="4" t="str">
        <f>IFERROR(__xludf.DUMMYFUNCTION("""COMPUTED_VALUE"""),"1390 - Channel")</f>
        <v>1390 - Channel</v>
      </c>
      <c r="B182" s="4" t="s">
        <v>14</v>
      </c>
      <c r="C182" s="4" t="s">
        <v>221</v>
      </c>
      <c r="D182" s="6">
        <v>0.5114583333333337</v>
      </c>
      <c r="E182" s="6">
        <v>3.4722222222222224E-4</v>
      </c>
      <c r="F182" s="6">
        <v>0.511805555555556</v>
      </c>
      <c r="G182" s="4"/>
      <c r="H182" s="4" t="s">
        <v>89</v>
      </c>
      <c r="I182" s="4" t="s">
        <v>80</v>
      </c>
      <c r="J182" s="4" t="s">
        <v>69</v>
      </c>
      <c r="K182" s="4"/>
      <c r="L182" s="4"/>
      <c r="M182" s="4"/>
      <c r="N182" s="4"/>
      <c r="O182" s="51" t="b">
        <v>0</v>
      </c>
      <c r="P182" s="51" t="b">
        <v>0</v>
      </c>
      <c r="Q182" s="51" t="b">
        <v>0</v>
      </c>
      <c r="R182" s="51" t="b">
        <v>0</v>
      </c>
      <c r="S182" s="51" t="b">
        <v>0</v>
      </c>
    </row>
    <row r="183" hidden="1">
      <c r="A183" s="4" t="str">
        <f>IFERROR(__xludf.DUMMYFUNCTION("""COMPUTED_VALUE"""),"174 - Channel")</f>
        <v>174 - Channel</v>
      </c>
      <c r="B183" s="4" t="s">
        <v>14</v>
      </c>
      <c r="C183" s="4" t="s">
        <v>221</v>
      </c>
      <c r="D183" s="6">
        <v>0.511805555555556</v>
      </c>
      <c r="E183" s="6">
        <v>2.314814814814815E-4</v>
      </c>
      <c r="F183" s="6">
        <v>0.5120370370370374</v>
      </c>
      <c r="G183" s="4"/>
      <c r="H183" s="4" t="s">
        <v>81</v>
      </c>
      <c r="I183" s="4" t="s">
        <v>261</v>
      </c>
      <c r="J183" s="4" t="s">
        <v>128</v>
      </c>
      <c r="K183" s="4"/>
      <c r="L183" s="4"/>
      <c r="M183" s="4"/>
      <c r="N183" s="4" t="s">
        <v>70</v>
      </c>
      <c r="O183" s="51" t="b">
        <v>0</v>
      </c>
      <c r="P183" s="51" t="b">
        <v>0</v>
      </c>
      <c r="Q183" s="51" t="b">
        <v>0</v>
      </c>
      <c r="R183" s="51" t="b">
        <v>0</v>
      </c>
      <c r="S183" s="51" t="b">
        <v>0</v>
      </c>
    </row>
    <row r="184" hidden="1">
      <c r="A184" s="4" t="str">
        <f>IFERROR(__xludf.DUMMYFUNCTION("""COMPUTED_VALUE"""),"176 - Channel")</f>
        <v>176 - Channel</v>
      </c>
      <c r="B184" s="4" t="s">
        <v>14</v>
      </c>
      <c r="C184" s="4" t="s">
        <v>221</v>
      </c>
      <c r="D184" s="6">
        <v>0.5120370370370374</v>
      </c>
      <c r="E184" s="6">
        <v>0.0020833333333333333</v>
      </c>
      <c r="F184" s="6">
        <v>0.5141203703703707</v>
      </c>
      <c r="G184" s="4"/>
      <c r="H184" s="4" t="s">
        <v>83</v>
      </c>
      <c r="I184" s="4" t="s">
        <v>262</v>
      </c>
      <c r="J184" s="4"/>
      <c r="K184" s="4"/>
      <c r="L184" s="4"/>
      <c r="M184" s="4"/>
      <c r="N184" s="4" t="s">
        <v>70</v>
      </c>
      <c r="O184" s="51" t="b">
        <v>0</v>
      </c>
      <c r="P184" s="51" t="b">
        <v>0</v>
      </c>
      <c r="Q184" s="51" t="b">
        <v>0</v>
      </c>
      <c r="R184" s="51" t="b">
        <v>0</v>
      </c>
      <c r="S184" s="51" t="b">
        <v>0</v>
      </c>
    </row>
    <row r="185" hidden="1">
      <c r="A185" s="4" t="str">
        <f>IFERROR(__xludf.DUMMYFUNCTION("""COMPUTED_VALUE"""),"2251 - Channel")</f>
        <v>2251 - Channel</v>
      </c>
      <c r="B185" s="4" t="s">
        <v>14</v>
      </c>
      <c r="C185" s="4" t="s">
        <v>221</v>
      </c>
      <c r="D185" s="6">
        <v>0.5141203703703707</v>
      </c>
      <c r="E185" s="6">
        <v>2.314814814814815E-4</v>
      </c>
      <c r="F185" s="6">
        <v>0.5143518518518522</v>
      </c>
      <c r="G185" s="4"/>
      <c r="H185" s="4" t="s">
        <v>85</v>
      </c>
      <c r="I185" s="4" t="s">
        <v>86</v>
      </c>
      <c r="J185" s="4" t="s">
        <v>128</v>
      </c>
      <c r="K185" s="4"/>
      <c r="L185" s="4"/>
      <c r="M185" s="4"/>
      <c r="N185" s="4"/>
      <c r="O185" s="51" t="b">
        <v>0</v>
      </c>
      <c r="P185" s="51" t="b">
        <v>0</v>
      </c>
      <c r="Q185" s="51" t="b">
        <v>0</v>
      </c>
      <c r="R185" s="51" t="b">
        <v>0</v>
      </c>
      <c r="S185" s="51" t="b">
        <v>0</v>
      </c>
    </row>
    <row r="186" hidden="1">
      <c r="A186" s="4" t="str">
        <f>IFERROR(__xludf.DUMMYFUNCTION("""COMPUTED_VALUE"""),"1396 - Channel")</f>
        <v>1396 - Channel</v>
      </c>
      <c r="B186" s="4" t="s">
        <v>14</v>
      </c>
      <c r="C186" s="4" t="s">
        <v>221</v>
      </c>
      <c r="D186" s="6">
        <v>0.5143518518518522</v>
      </c>
      <c r="E186" s="6">
        <v>3.4722222222222224E-4</v>
      </c>
      <c r="F186" s="6">
        <v>0.5146990740740744</v>
      </c>
      <c r="G186" s="4"/>
      <c r="H186" s="4" t="s">
        <v>89</v>
      </c>
      <c r="I186" s="4" t="s">
        <v>80</v>
      </c>
      <c r="J186" s="4" t="s">
        <v>69</v>
      </c>
      <c r="K186" s="4"/>
      <c r="L186" s="4"/>
      <c r="M186" s="4"/>
      <c r="N186" s="4"/>
      <c r="O186" s="51" t="b">
        <v>0</v>
      </c>
      <c r="P186" s="51" t="b">
        <v>0</v>
      </c>
      <c r="Q186" s="51" t="b">
        <v>0</v>
      </c>
      <c r="R186" s="51" t="b">
        <v>0</v>
      </c>
      <c r="S186" s="51" t="b">
        <v>0</v>
      </c>
    </row>
    <row r="187" hidden="1">
      <c r="A187" s="4" t="str">
        <f>IFERROR(__xludf.DUMMYFUNCTION("""COMPUTED_VALUE"""),"362 - Channel")</f>
        <v>362 - Channel</v>
      </c>
      <c r="B187" s="4" t="s">
        <v>14</v>
      </c>
      <c r="C187" s="4" t="s">
        <v>221</v>
      </c>
      <c r="D187" s="6">
        <v>0.5146990740740744</v>
      </c>
      <c r="E187" s="6">
        <v>2.314814814814815E-4</v>
      </c>
      <c r="F187" s="6">
        <v>0.5149305555555559</v>
      </c>
      <c r="G187" s="4"/>
      <c r="H187" s="4" t="s">
        <v>81</v>
      </c>
      <c r="I187" s="4" t="s">
        <v>81</v>
      </c>
      <c r="J187" s="4" t="s">
        <v>128</v>
      </c>
      <c r="K187" s="4"/>
      <c r="L187" s="4"/>
      <c r="M187" s="4"/>
      <c r="N187" s="4" t="s">
        <v>70</v>
      </c>
      <c r="O187" s="51" t="b">
        <v>0</v>
      </c>
      <c r="P187" s="51" t="b">
        <v>0</v>
      </c>
      <c r="Q187" s="51" t="b">
        <v>0</v>
      </c>
      <c r="R187" s="51" t="b">
        <v>0</v>
      </c>
      <c r="S187" s="51" t="b">
        <v>0</v>
      </c>
    </row>
    <row r="188" hidden="1">
      <c r="A188" s="4" t="str">
        <f>IFERROR(__xludf.DUMMYFUNCTION("""COMPUTED_VALUE"""),"348 - Channel")</f>
        <v>348 - Channel</v>
      </c>
      <c r="B188" s="4" t="s">
        <v>14</v>
      </c>
      <c r="C188" s="4" t="s">
        <v>221</v>
      </c>
      <c r="D188" s="6">
        <v>0.5149305555555559</v>
      </c>
      <c r="E188" s="6">
        <v>0.013402777777777777</v>
      </c>
      <c r="F188" s="6">
        <v>0.5283333333333337</v>
      </c>
      <c r="G188" s="4"/>
      <c r="H188" s="4" t="s">
        <v>107</v>
      </c>
      <c r="I188" s="4" t="s">
        <v>263</v>
      </c>
      <c r="J188" s="4" t="s">
        <v>264</v>
      </c>
      <c r="K188" s="4" t="s">
        <v>265</v>
      </c>
      <c r="L188" s="4"/>
      <c r="M188" s="4"/>
      <c r="N188" s="4" t="s">
        <v>266</v>
      </c>
      <c r="O188" s="51" t="b">
        <v>0</v>
      </c>
      <c r="P188" s="51" t="b">
        <v>0</v>
      </c>
      <c r="Q188" s="51" t="b">
        <v>0</v>
      </c>
      <c r="R188" s="51" t="b">
        <v>0</v>
      </c>
      <c r="S188" s="51" t="b">
        <v>0</v>
      </c>
    </row>
    <row r="189" hidden="1">
      <c r="A189" s="4" t="str">
        <f>IFERROR(__xludf.DUMMYFUNCTION("""COMPUTED_VALUE"""),"1802 - Channel")</f>
        <v>1802 - Channel</v>
      </c>
      <c r="B189" s="4" t="s">
        <v>14</v>
      </c>
      <c r="C189" s="4" t="s">
        <v>221</v>
      </c>
      <c r="D189" s="6">
        <v>0.5283333333333337</v>
      </c>
      <c r="E189" s="6">
        <v>3.4722222222222224E-4</v>
      </c>
      <c r="F189" s="6">
        <v>0.5286805555555559</v>
      </c>
      <c r="G189" s="4"/>
      <c r="H189" s="4" t="s">
        <v>87</v>
      </c>
      <c r="I189" s="4" t="s">
        <v>88</v>
      </c>
      <c r="J189" s="4" t="s">
        <v>69</v>
      </c>
      <c r="K189" s="4"/>
      <c r="L189" s="4"/>
      <c r="M189" s="4"/>
      <c r="N189" s="4" t="s">
        <v>70</v>
      </c>
      <c r="O189" s="51" t="b">
        <v>0</v>
      </c>
      <c r="P189" s="51" t="b">
        <v>0</v>
      </c>
      <c r="Q189" s="51" t="b">
        <v>0</v>
      </c>
      <c r="R189" s="51" t="b">
        <v>0</v>
      </c>
      <c r="S189" s="51" t="b">
        <v>0</v>
      </c>
    </row>
    <row r="190" hidden="1">
      <c r="A190" s="4" t="str">
        <f>IFERROR(__xludf.DUMMYFUNCTION("""COMPUTED_VALUE"""),"111 - Channel")</f>
        <v>111 - Channel</v>
      </c>
      <c r="B190" s="4" t="s">
        <v>14</v>
      </c>
      <c r="C190" s="4" t="s">
        <v>221</v>
      </c>
      <c r="D190" s="6">
        <v>0.5286805555555559</v>
      </c>
      <c r="E190" s="6">
        <v>2.314814814814815E-4</v>
      </c>
      <c r="F190" s="6">
        <v>0.5289120370370374</v>
      </c>
      <c r="G190" s="4"/>
      <c r="H190" s="4" t="s">
        <v>81</v>
      </c>
      <c r="I190" s="4" t="s">
        <v>91</v>
      </c>
      <c r="J190" s="4" t="s">
        <v>128</v>
      </c>
      <c r="K190" s="4"/>
      <c r="L190" s="4"/>
      <c r="M190" s="4"/>
      <c r="N190" s="4" t="s">
        <v>70</v>
      </c>
      <c r="O190" s="51" t="b">
        <v>0</v>
      </c>
      <c r="P190" s="51" t="b">
        <v>0</v>
      </c>
      <c r="Q190" s="51" t="b">
        <v>0</v>
      </c>
      <c r="R190" s="51" t="b">
        <v>0</v>
      </c>
      <c r="S190" s="51" t="b">
        <v>0</v>
      </c>
    </row>
    <row r="191" hidden="1">
      <c r="A191" s="4" t="str">
        <f>IFERROR(__xludf.DUMMYFUNCTION("""COMPUTED_VALUE"""),"1602 - Channel")</f>
        <v>1602 - Channel</v>
      </c>
      <c r="B191" s="4" t="s">
        <v>14</v>
      </c>
      <c r="C191" s="4" t="s">
        <v>221</v>
      </c>
      <c r="D191" s="6">
        <v>0.5289120370370374</v>
      </c>
      <c r="E191" s="6">
        <v>0.010416666666666666</v>
      </c>
      <c r="F191" s="6">
        <v>0.539328703703704</v>
      </c>
      <c r="G191" s="4"/>
      <c r="H191" s="4" t="s">
        <v>107</v>
      </c>
      <c r="I191" s="4" t="s">
        <v>267</v>
      </c>
      <c r="J191" s="4" t="s">
        <v>268</v>
      </c>
      <c r="K191" s="4" t="s">
        <v>269</v>
      </c>
      <c r="L191" s="4"/>
      <c r="M191" s="4"/>
      <c r="N191" s="4" t="s">
        <v>270</v>
      </c>
      <c r="O191" s="51" t="b">
        <v>0</v>
      </c>
      <c r="P191" s="51" t="b">
        <v>0</v>
      </c>
      <c r="Q191" s="51" t="b">
        <v>0</v>
      </c>
      <c r="R191" s="51" t="b">
        <v>0</v>
      </c>
      <c r="S191" s="51" t="b">
        <v>0</v>
      </c>
    </row>
    <row r="192" hidden="1">
      <c r="A192" s="4" t="str">
        <f>IFERROR(__xludf.DUMMYFUNCTION("""COMPUTED_VALUE"""),"1522 - Channel")</f>
        <v>1522 - Channel</v>
      </c>
      <c r="B192" s="4" t="s">
        <v>14</v>
      </c>
      <c r="C192" s="4" t="s">
        <v>221</v>
      </c>
      <c r="D192" s="6">
        <v>0.539328703703704</v>
      </c>
      <c r="E192" s="6">
        <v>0.0010416666666666667</v>
      </c>
      <c r="F192" s="6">
        <v>0.5403703703703707</v>
      </c>
      <c r="G192" s="4"/>
      <c r="H192" s="4" t="s">
        <v>126</v>
      </c>
      <c r="I192" s="4"/>
      <c r="J192" s="4"/>
      <c r="K192" s="4"/>
      <c r="L192" s="4"/>
      <c r="M192" s="4"/>
      <c r="N192" s="4"/>
      <c r="O192" s="51" t="b">
        <v>0</v>
      </c>
      <c r="P192" s="51" t="b">
        <v>0</v>
      </c>
      <c r="Q192" s="51" t="b">
        <v>0</v>
      </c>
      <c r="R192" s="51" t="b">
        <v>0</v>
      </c>
      <c r="S192" s="51" t="b">
        <v>0</v>
      </c>
    </row>
    <row r="193" hidden="1">
      <c r="A193" s="4" t="str">
        <f>IFERROR(__xludf.DUMMYFUNCTION("""COMPUTED_VALUE"""),"1393 - Channel")</f>
        <v>1393 - Channel</v>
      </c>
      <c r="B193" s="4" t="s">
        <v>14</v>
      </c>
      <c r="C193" s="4" t="s">
        <v>221</v>
      </c>
      <c r="D193" s="6"/>
      <c r="E193" s="6"/>
      <c r="F193" s="6"/>
      <c r="G193" s="4"/>
      <c r="H193" s="4"/>
      <c r="I193" s="4"/>
      <c r="J193" s="4"/>
      <c r="K193" s="4"/>
      <c r="L193" s="4"/>
      <c r="M193" s="4"/>
      <c r="N193" s="4"/>
      <c r="O193" s="51" t="b">
        <v>0</v>
      </c>
      <c r="P193" s="51" t="b">
        <v>0</v>
      </c>
      <c r="Q193" s="51" t="b">
        <v>0</v>
      </c>
      <c r="R193" s="51" t="b">
        <v>0</v>
      </c>
      <c r="S193" s="51" t="b">
        <v>0</v>
      </c>
    </row>
    <row r="194" hidden="1">
      <c r="A194" s="4" t="str">
        <f>IFERROR(__xludf.DUMMYFUNCTION("""COMPUTED_VALUE"""),"188 - Channel")</f>
        <v>188 - Channel</v>
      </c>
      <c r="B194" s="4" t="s">
        <v>14</v>
      </c>
      <c r="C194" s="4" t="s">
        <v>221</v>
      </c>
      <c r="D194" s="6">
        <v>0.5403703703703707</v>
      </c>
      <c r="E194" s="6">
        <v>6.944444444444445E-4</v>
      </c>
      <c r="F194" s="6">
        <v>0.5410648148148152</v>
      </c>
      <c r="G194" s="4"/>
      <c r="H194" s="4" t="s">
        <v>103</v>
      </c>
      <c r="I194" s="4" t="s">
        <v>271</v>
      </c>
      <c r="J194" s="4" t="s">
        <v>128</v>
      </c>
      <c r="K194" s="4"/>
      <c r="L194" s="4"/>
      <c r="M194" s="4"/>
      <c r="N194" s="4" t="s">
        <v>70</v>
      </c>
      <c r="O194" s="51" t="b">
        <v>0</v>
      </c>
      <c r="P194" s="51" t="b">
        <v>0</v>
      </c>
      <c r="Q194" s="51" t="b">
        <v>0</v>
      </c>
      <c r="R194" s="51" t="b">
        <v>0</v>
      </c>
      <c r="S194" s="51" t="b">
        <v>0</v>
      </c>
    </row>
    <row r="195" hidden="1">
      <c r="A195" s="4" t="str">
        <f>IFERROR(__xludf.DUMMYFUNCTION("""COMPUTED_VALUE"""),"1803 - Channel")</f>
        <v>1803 - Channel</v>
      </c>
      <c r="B195" s="4" t="s">
        <v>14</v>
      </c>
      <c r="C195" s="4" t="s">
        <v>221</v>
      </c>
      <c r="D195" s="6">
        <v>0.5410648148148152</v>
      </c>
      <c r="E195" s="6">
        <v>0.0010416666666666667</v>
      </c>
      <c r="F195" s="6">
        <v>0.5421064814814819</v>
      </c>
      <c r="G195" s="4"/>
      <c r="H195" s="4" t="s">
        <v>67</v>
      </c>
      <c r="I195" s="4" t="s">
        <v>68</v>
      </c>
      <c r="J195" s="4" t="s">
        <v>69</v>
      </c>
      <c r="K195" s="4"/>
      <c r="L195" s="4"/>
      <c r="M195" s="4"/>
      <c r="N195" s="4" t="s">
        <v>70</v>
      </c>
      <c r="O195" s="51" t="b">
        <v>0</v>
      </c>
      <c r="P195" s="51" t="b">
        <v>0</v>
      </c>
      <c r="Q195" s="51" t="b">
        <v>0</v>
      </c>
      <c r="R195" s="51" t="b">
        <v>0</v>
      </c>
      <c r="S195" s="51" t="b">
        <v>0</v>
      </c>
    </row>
    <row r="196" hidden="1">
      <c r="A196" s="4" t="str">
        <f>IFERROR(__xludf.DUMMYFUNCTION("""COMPUTED_VALUE"""),"220 - Channel")</f>
        <v>220 - Channel</v>
      </c>
      <c r="B196" s="4" t="s">
        <v>14</v>
      </c>
      <c r="C196" s="4" t="s">
        <v>221</v>
      </c>
      <c r="D196" s="6">
        <v>0.5421064814814819</v>
      </c>
      <c r="E196" s="6">
        <v>2.314814814814815E-4</v>
      </c>
      <c r="F196" s="6">
        <v>0.5423379629629633</v>
      </c>
      <c r="G196" s="4"/>
      <c r="H196" s="4" t="s">
        <v>81</v>
      </c>
      <c r="I196" s="4" t="s">
        <v>91</v>
      </c>
      <c r="J196" s="4" t="s">
        <v>73</v>
      </c>
      <c r="K196" s="4" t="s">
        <v>128</v>
      </c>
      <c r="L196" s="4"/>
      <c r="M196" s="4"/>
      <c r="N196" s="4" t="s">
        <v>70</v>
      </c>
      <c r="O196" s="51" t="b">
        <v>0</v>
      </c>
      <c r="P196" s="51" t="b">
        <v>0</v>
      </c>
      <c r="Q196" s="51" t="b">
        <v>0</v>
      </c>
      <c r="R196" s="51" t="b">
        <v>0</v>
      </c>
      <c r="S196" s="51" t="b">
        <v>0</v>
      </c>
    </row>
    <row r="197" hidden="1">
      <c r="A197" s="4" t="str">
        <f>IFERROR(__xludf.DUMMYFUNCTION("""COMPUTED_VALUE"""),"79 - Channel")</f>
        <v>79 - Channel</v>
      </c>
      <c r="B197" s="4" t="s">
        <v>14</v>
      </c>
      <c r="C197" s="4" t="s">
        <v>221</v>
      </c>
      <c r="D197" s="6">
        <v>0.5423379629629633</v>
      </c>
      <c r="E197" s="6">
        <v>0.008969907407407407</v>
      </c>
      <c r="F197" s="6">
        <v>0.5513078703703708</v>
      </c>
      <c r="G197" s="4"/>
      <c r="H197" s="4" t="s">
        <v>165</v>
      </c>
      <c r="I197" s="4" t="s">
        <v>272</v>
      </c>
      <c r="J197" s="4" t="s">
        <v>273</v>
      </c>
      <c r="K197" s="4"/>
      <c r="L197" s="4"/>
      <c r="M197" s="4"/>
      <c r="N197" s="4" t="s">
        <v>70</v>
      </c>
      <c r="O197" s="51" t="b">
        <v>0</v>
      </c>
      <c r="P197" s="51" t="b">
        <v>0</v>
      </c>
      <c r="Q197" s="51" t="b">
        <v>0</v>
      </c>
      <c r="R197" s="51" t="b">
        <v>0</v>
      </c>
      <c r="S197" s="51" t="b">
        <v>0</v>
      </c>
    </row>
    <row r="198" hidden="1">
      <c r="A198" s="4" t="str">
        <f>IFERROR(__xludf.DUMMYFUNCTION("""COMPUTED_VALUE"""),"193 - Channel")</f>
        <v>193 - Channel</v>
      </c>
      <c r="B198" s="4" t="s">
        <v>14</v>
      </c>
      <c r="C198" s="4" t="s">
        <v>221</v>
      </c>
      <c r="D198" s="6">
        <v>0.5513078703703708</v>
      </c>
      <c r="E198" s="6">
        <v>2.314814814814815E-4</v>
      </c>
      <c r="F198" s="6">
        <v>0.5515393518518522</v>
      </c>
      <c r="G198" s="4"/>
      <c r="H198" s="4" t="s">
        <v>81</v>
      </c>
      <c r="I198" s="4" t="s">
        <v>274</v>
      </c>
      <c r="J198" s="4" t="s">
        <v>128</v>
      </c>
      <c r="K198" s="4"/>
      <c r="L198" s="4"/>
      <c r="M198" s="4"/>
      <c r="N198" s="4" t="s">
        <v>70</v>
      </c>
      <c r="O198" s="51" t="b">
        <v>0</v>
      </c>
      <c r="P198" s="51" t="b">
        <v>0</v>
      </c>
      <c r="Q198" s="51" t="b">
        <v>0</v>
      </c>
      <c r="R198" s="51" t="b">
        <v>0</v>
      </c>
      <c r="S198" s="51" t="b">
        <v>0</v>
      </c>
    </row>
    <row r="199" hidden="1">
      <c r="A199" s="4" t="str">
        <f>IFERROR(__xludf.DUMMYFUNCTION("""COMPUTED_VALUE"""),"194 - Channel")</f>
        <v>194 - Channel</v>
      </c>
      <c r="B199" s="4" t="s">
        <v>14</v>
      </c>
      <c r="C199" s="4" t="s">
        <v>221</v>
      </c>
      <c r="D199" s="6">
        <v>0.5515393518518522</v>
      </c>
      <c r="E199" s="6">
        <v>0.0020833333333333333</v>
      </c>
      <c r="F199" s="6">
        <v>0.5536226851851855</v>
      </c>
      <c r="G199" s="4" t="s">
        <v>275</v>
      </c>
      <c r="H199" s="4" t="s">
        <v>83</v>
      </c>
      <c r="I199" s="4" t="s">
        <v>276</v>
      </c>
      <c r="J199" s="4"/>
      <c r="K199" s="4"/>
      <c r="L199" s="4"/>
      <c r="M199" s="4"/>
      <c r="N199" s="4" t="s">
        <v>70</v>
      </c>
      <c r="O199" s="51" t="b">
        <v>0</v>
      </c>
      <c r="P199" s="51" t="b">
        <v>0</v>
      </c>
      <c r="Q199" s="51" t="b">
        <v>0</v>
      </c>
      <c r="R199" s="51" t="b">
        <v>0</v>
      </c>
      <c r="S199" s="51" t="b">
        <v>0</v>
      </c>
    </row>
    <row r="200" hidden="1">
      <c r="A200" s="4" t="str">
        <f>IFERROR(__xludf.DUMMYFUNCTION("""COMPUTED_VALUE"""),"2252 - Channel")</f>
        <v>2252 - Channel</v>
      </c>
      <c r="B200" s="4" t="s">
        <v>14</v>
      </c>
      <c r="C200" s="4" t="s">
        <v>221</v>
      </c>
      <c r="D200" s="6">
        <v>0.5536226851851855</v>
      </c>
      <c r="E200" s="6">
        <v>2.314814814814815E-4</v>
      </c>
      <c r="F200" s="6">
        <v>0.553854166666667</v>
      </c>
      <c r="G200" s="4"/>
      <c r="H200" s="4" t="s">
        <v>85</v>
      </c>
      <c r="I200" s="4" t="s">
        <v>86</v>
      </c>
      <c r="J200" s="4" t="s">
        <v>128</v>
      </c>
      <c r="K200" s="4"/>
      <c r="L200" s="4"/>
      <c r="M200" s="4"/>
      <c r="N200" s="4"/>
      <c r="O200" s="51" t="b">
        <v>0</v>
      </c>
      <c r="P200" s="51" t="b">
        <v>0</v>
      </c>
      <c r="Q200" s="51" t="b">
        <v>0</v>
      </c>
      <c r="R200" s="51" t="b">
        <v>0</v>
      </c>
      <c r="S200" s="51" t="b">
        <v>0</v>
      </c>
    </row>
    <row r="201" hidden="1">
      <c r="A201" s="4" t="str">
        <f>IFERROR(__xludf.DUMMYFUNCTION("""COMPUTED_VALUE"""),"166 - Channel")</f>
        <v>166 - Channel</v>
      </c>
      <c r="B201" s="4" t="s">
        <v>14</v>
      </c>
      <c r="C201" s="4" t="s">
        <v>221</v>
      </c>
      <c r="D201" s="6">
        <v>0.553854166666667</v>
      </c>
      <c r="E201" s="6">
        <v>2.314814814814815E-4</v>
      </c>
      <c r="F201" s="6">
        <v>0.5540856481481484</v>
      </c>
      <c r="G201" s="4"/>
      <c r="H201" s="4" t="s">
        <v>81</v>
      </c>
      <c r="I201" s="4" t="s">
        <v>91</v>
      </c>
      <c r="J201" s="4" t="s">
        <v>128</v>
      </c>
      <c r="K201" s="4"/>
      <c r="L201" s="4"/>
      <c r="M201" s="4"/>
      <c r="N201" s="4" t="s">
        <v>70</v>
      </c>
      <c r="O201" s="51" t="b">
        <v>0</v>
      </c>
      <c r="P201" s="51" t="b">
        <v>0</v>
      </c>
      <c r="Q201" s="51" t="b">
        <v>0</v>
      </c>
      <c r="R201" s="51" t="b">
        <v>0</v>
      </c>
      <c r="S201" s="51" t="b">
        <v>0</v>
      </c>
    </row>
    <row r="202" hidden="1">
      <c r="A202" s="4" t="str">
        <f>IFERROR(__xludf.DUMMYFUNCTION("""COMPUTED_VALUE"""),"1485 - Channel")</f>
        <v>1485 - Channel</v>
      </c>
      <c r="B202" s="4" t="s">
        <v>14</v>
      </c>
      <c r="C202" s="4" t="s">
        <v>221</v>
      </c>
      <c r="D202" s="6">
        <v>0.5540856481481484</v>
      </c>
      <c r="E202" s="6">
        <v>0.008333333333333333</v>
      </c>
      <c r="F202" s="6">
        <v>0.5624189814814817</v>
      </c>
      <c r="G202" s="4"/>
      <c r="H202" s="4" t="s">
        <v>94</v>
      </c>
      <c r="I202" s="4" t="s">
        <v>277</v>
      </c>
      <c r="J202" s="4" t="s">
        <v>278</v>
      </c>
      <c r="K202" s="4"/>
      <c r="L202" s="4"/>
      <c r="M202" s="4"/>
      <c r="N202" s="4" t="s">
        <v>279</v>
      </c>
      <c r="O202" s="51" t="b">
        <v>0</v>
      </c>
      <c r="P202" s="51" t="b">
        <v>0</v>
      </c>
      <c r="Q202" s="51" t="b">
        <v>0</v>
      </c>
      <c r="R202" s="51" t="b">
        <v>0</v>
      </c>
      <c r="S202" s="51" t="b">
        <v>0</v>
      </c>
    </row>
    <row r="203" hidden="1">
      <c r="A203" s="4" t="str">
        <f>IFERROR(__xludf.DUMMYFUNCTION("""COMPUTED_VALUE"""),"214 - Channel")</f>
        <v>214 - Channel</v>
      </c>
      <c r="B203" s="4" t="s">
        <v>14</v>
      </c>
      <c r="C203" s="4" t="s">
        <v>221</v>
      </c>
      <c r="D203" s="6">
        <v>0.5624189814814817</v>
      </c>
      <c r="E203" s="6">
        <v>2.314814814814815E-4</v>
      </c>
      <c r="F203" s="6">
        <v>0.5626504629629632</v>
      </c>
      <c r="G203" s="4"/>
      <c r="H203" s="4" t="s">
        <v>81</v>
      </c>
      <c r="I203" s="4" t="s">
        <v>119</v>
      </c>
      <c r="J203" s="4" t="s">
        <v>128</v>
      </c>
      <c r="K203" s="4"/>
      <c r="L203" s="4"/>
      <c r="M203" s="4"/>
      <c r="N203" s="4" t="s">
        <v>70</v>
      </c>
      <c r="O203" s="51" t="b">
        <v>0</v>
      </c>
      <c r="P203" s="51" t="b">
        <v>0</v>
      </c>
      <c r="Q203" s="51" t="b">
        <v>0</v>
      </c>
      <c r="R203" s="51" t="b">
        <v>0</v>
      </c>
      <c r="S203" s="51" t="b">
        <v>0</v>
      </c>
    </row>
    <row r="204" hidden="1">
      <c r="A204" s="4" t="str">
        <f>IFERROR(__xludf.DUMMYFUNCTION("""COMPUTED_VALUE"""),"1056 - Channel")</f>
        <v>1056 - Channel</v>
      </c>
      <c r="B204" s="4" t="s">
        <v>14</v>
      </c>
      <c r="C204" s="4" t="s">
        <v>221</v>
      </c>
      <c r="D204" s="6">
        <v>0.5626504629629632</v>
      </c>
      <c r="E204" s="6">
        <v>0.010416666666666666</v>
      </c>
      <c r="F204" s="6">
        <v>0.5730671296296298</v>
      </c>
      <c r="G204" s="4" t="s">
        <v>280</v>
      </c>
      <c r="H204" s="4" t="s">
        <v>74</v>
      </c>
      <c r="I204" s="4" t="s">
        <v>281</v>
      </c>
      <c r="J204" s="4" t="s">
        <v>282</v>
      </c>
      <c r="K204" s="4" t="s">
        <v>283</v>
      </c>
      <c r="L204" s="4" t="s">
        <v>284</v>
      </c>
      <c r="M204" s="4"/>
      <c r="N204" s="4" t="s">
        <v>285</v>
      </c>
      <c r="O204" s="51" t="b">
        <v>0</v>
      </c>
      <c r="P204" s="51" t="b">
        <v>0</v>
      </c>
      <c r="Q204" s="51" t="b">
        <v>0</v>
      </c>
      <c r="R204" s="51" t="b">
        <v>0</v>
      </c>
      <c r="S204" s="51" t="b">
        <v>0</v>
      </c>
    </row>
    <row r="205" hidden="1">
      <c r="A205" s="4" t="str">
        <f>IFERROR(__xludf.DUMMYFUNCTION("""COMPUTED_VALUE"""),"200 - Channel")</f>
        <v>200 - Channel</v>
      </c>
      <c r="B205" s="4" t="s">
        <v>14</v>
      </c>
      <c r="C205" s="4" t="s">
        <v>221</v>
      </c>
      <c r="D205" s="6">
        <v>0.5730671296296298</v>
      </c>
      <c r="E205" s="6">
        <v>5.208333333333333E-4</v>
      </c>
      <c r="F205" s="6">
        <v>0.5735879629629631</v>
      </c>
      <c r="G205" s="4"/>
      <c r="H205" s="4" t="s">
        <v>79</v>
      </c>
      <c r="I205" s="4" t="s">
        <v>80</v>
      </c>
      <c r="J205" s="4" t="s">
        <v>69</v>
      </c>
      <c r="K205" s="4"/>
      <c r="L205" s="4"/>
      <c r="M205" s="4"/>
      <c r="N205" s="4" t="s">
        <v>70</v>
      </c>
      <c r="O205" s="51" t="b">
        <v>0</v>
      </c>
      <c r="P205" s="51" t="b">
        <v>0</v>
      </c>
      <c r="Q205" s="51" t="b">
        <v>0</v>
      </c>
      <c r="R205" s="51" t="b">
        <v>0</v>
      </c>
      <c r="S205" s="51" t="b">
        <v>0</v>
      </c>
    </row>
    <row r="206" hidden="1">
      <c r="A206" s="4" t="str">
        <f>IFERROR(__xludf.DUMMYFUNCTION("""COMPUTED_VALUE"""),"1428 - Channel")</f>
        <v>1428 - Channel</v>
      </c>
      <c r="B206" s="4" t="s">
        <v>14</v>
      </c>
      <c r="C206" s="4" t="s">
        <v>221</v>
      </c>
      <c r="D206" s="6">
        <v>0.5735879629629631</v>
      </c>
      <c r="E206" s="6">
        <v>2.314814814814815E-4</v>
      </c>
      <c r="F206" s="6">
        <v>0.5738194444444445</v>
      </c>
      <c r="G206" s="4"/>
      <c r="H206" s="4" t="s">
        <v>81</v>
      </c>
      <c r="I206" s="4" t="s">
        <v>286</v>
      </c>
      <c r="J206" s="4" t="s">
        <v>128</v>
      </c>
      <c r="K206" s="4"/>
      <c r="L206" s="4"/>
      <c r="M206" s="4"/>
      <c r="N206" s="4"/>
      <c r="O206" s="51" t="b">
        <v>0</v>
      </c>
      <c r="P206" s="51" t="b">
        <v>0</v>
      </c>
      <c r="Q206" s="51" t="b">
        <v>0</v>
      </c>
      <c r="R206" s="51" t="b">
        <v>0</v>
      </c>
      <c r="S206" s="51" t="b">
        <v>0</v>
      </c>
    </row>
    <row r="207" hidden="1">
      <c r="A207" s="4" t="str">
        <f>IFERROR(__xludf.DUMMYFUNCTION("""COMPUTED_VALUE"""),"72 - Channel")</f>
        <v>72 - Channel</v>
      </c>
      <c r="B207" s="4" t="s">
        <v>14</v>
      </c>
      <c r="C207" s="4" t="s">
        <v>221</v>
      </c>
      <c r="D207" s="6">
        <v>0.5738194444444445</v>
      </c>
      <c r="E207" s="6">
        <v>0.0020833333333333333</v>
      </c>
      <c r="F207" s="6">
        <v>0.5759027777777779</v>
      </c>
      <c r="G207" s="4"/>
      <c r="H207" s="4" t="s">
        <v>83</v>
      </c>
      <c r="I207" s="4" t="s">
        <v>287</v>
      </c>
      <c r="J207" s="4"/>
      <c r="K207" s="4"/>
      <c r="L207" s="4"/>
      <c r="M207" s="4"/>
      <c r="N207" s="4" t="s">
        <v>70</v>
      </c>
      <c r="O207" s="51" t="b">
        <v>0</v>
      </c>
      <c r="P207" s="51" t="b">
        <v>0</v>
      </c>
      <c r="Q207" s="51" t="b">
        <v>0</v>
      </c>
      <c r="R207" s="51" t="b">
        <v>0</v>
      </c>
      <c r="S207" s="51" t="b">
        <v>0</v>
      </c>
    </row>
    <row r="208" hidden="1">
      <c r="A208" s="4" t="str">
        <f>IFERROR(__xludf.DUMMYFUNCTION("""COMPUTED_VALUE"""),"2253 - Channel")</f>
        <v>2253 - Channel</v>
      </c>
      <c r="B208" s="4" t="s">
        <v>14</v>
      </c>
      <c r="C208" s="4" t="s">
        <v>221</v>
      </c>
      <c r="D208" s="6">
        <v>0.5759027777777779</v>
      </c>
      <c r="E208" s="6">
        <v>2.314814814814815E-4</v>
      </c>
      <c r="F208" s="6">
        <v>0.5761342592592593</v>
      </c>
      <c r="G208" s="4"/>
      <c r="H208" s="4" t="s">
        <v>85</v>
      </c>
      <c r="I208" s="4" t="s">
        <v>86</v>
      </c>
      <c r="J208" s="4" t="s">
        <v>128</v>
      </c>
      <c r="K208" s="4"/>
      <c r="L208" s="4"/>
      <c r="M208" s="4"/>
      <c r="N208" s="4"/>
      <c r="O208" s="51" t="b">
        <v>0</v>
      </c>
      <c r="P208" s="51" t="b">
        <v>0</v>
      </c>
      <c r="Q208" s="51" t="b">
        <v>0</v>
      </c>
      <c r="R208" s="51" t="b">
        <v>0</v>
      </c>
      <c r="S208" s="51" t="b">
        <v>0</v>
      </c>
    </row>
    <row r="209" hidden="1">
      <c r="A209" s="4" t="str">
        <f>IFERROR(__xludf.DUMMYFUNCTION("""COMPUTED_VALUE"""),"1804 - Channel")</f>
        <v>1804 - Channel</v>
      </c>
      <c r="B209" s="4" t="s">
        <v>14</v>
      </c>
      <c r="C209" s="4" t="s">
        <v>221</v>
      </c>
      <c r="D209" s="6">
        <v>0.5761342592592593</v>
      </c>
      <c r="E209" s="6">
        <v>0.001388888888888889</v>
      </c>
      <c r="F209" s="6">
        <v>0.5775231481481482</v>
      </c>
      <c r="G209" s="4"/>
      <c r="H209" s="4" t="s">
        <v>126</v>
      </c>
      <c r="I209" s="4"/>
      <c r="J209" s="4" t="s">
        <v>69</v>
      </c>
      <c r="K209" s="4"/>
      <c r="L209" s="4"/>
      <c r="M209" s="4"/>
      <c r="N209" s="4" t="s">
        <v>70</v>
      </c>
      <c r="O209" s="51" t="b">
        <v>0</v>
      </c>
      <c r="P209" s="51" t="b">
        <v>0</v>
      </c>
      <c r="Q209" s="51" t="b">
        <v>0</v>
      </c>
      <c r="R209" s="51" t="b">
        <v>0</v>
      </c>
      <c r="S209" s="51" t="b">
        <v>0</v>
      </c>
    </row>
    <row r="210" hidden="1">
      <c r="A210" s="4" t="str">
        <f>IFERROR(__xludf.DUMMYFUNCTION("""COMPUTED_VALUE"""),"1805 - Channel")</f>
        <v>1805 - Channel</v>
      </c>
      <c r="B210" s="4" t="s">
        <v>14</v>
      </c>
      <c r="C210" s="4" t="s">
        <v>221</v>
      </c>
      <c r="D210" s="6">
        <v>0.5775231481481482</v>
      </c>
      <c r="E210" s="6">
        <v>3.4722222222222224E-4</v>
      </c>
      <c r="F210" s="6">
        <v>0.5778703703703705</v>
      </c>
      <c r="G210" s="4"/>
      <c r="H210" s="4" t="s">
        <v>87</v>
      </c>
      <c r="I210" s="4" t="s">
        <v>88</v>
      </c>
      <c r="J210" s="4" t="s">
        <v>69</v>
      </c>
      <c r="K210" s="4"/>
      <c r="L210" s="4"/>
      <c r="M210" s="4"/>
      <c r="N210" s="4"/>
      <c r="O210" s="51" t="b">
        <v>0</v>
      </c>
      <c r="P210" s="51" t="b">
        <v>0</v>
      </c>
      <c r="Q210" s="51" t="b">
        <v>0</v>
      </c>
      <c r="R210" s="51" t="b">
        <v>0</v>
      </c>
      <c r="S210" s="51" t="b">
        <v>0</v>
      </c>
    </row>
    <row r="211" hidden="1">
      <c r="A211" s="4" t="str">
        <f>IFERROR(__xludf.DUMMYFUNCTION("""COMPUTED_VALUE"""),"1371 - Channel")</f>
        <v>1371 - Channel</v>
      </c>
      <c r="B211" s="4" t="s">
        <v>14</v>
      </c>
      <c r="C211" s="4" t="s">
        <v>221</v>
      </c>
      <c r="D211" s="6">
        <v>0.5778703703703705</v>
      </c>
      <c r="E211" s="6">
        <v>2.314814814814815E-4</v>
      </c>
      <c r="F211" s="6">
        <v>0.5781018518518519</v>
      </c>
      <c r="G211" s="4"/>
      <c r="H211" s="4" t="s">
        <v>81</v>
      </c>
      <c r="I211" s="4" t="s">
        <v>91</v>
      </c>
      <c r="J211" s="4" t="s">
        <v>128</v>
      </c>
      <c r="K211" s="4"/>
      <c r="L211" s="4"/>
      <c r="M211" s="4"/>
      <c r="N211" s="4"/>
      <c r="O211" s="51" t="b">
        <v>0</v>
      </c>
      <c r="P211" s="51" t="b">
        <v>0</v>
      </c>
      <c r="Q211" s="51" t="b">
        <v>0</v>
      </c>
      <c r="R211" s="51" t="b">
        <v>0</v>
      </c>
      <c r="S211" s="51" t="b">
        <v>0</v>
      </c>
    </row>
    <row r="212" hidden="1">
      <c r="A212" s="4" t="str">
        <f>IFERROR(__xludf.DUMMYFUNCTION("""COMPUTED_VALUE"""),"183 - Channel")</f>
        <v>183 - Channel</v>
      </c>
      <c r="B212" s="4" t="s">
        <v>14</v>
      </c>
      <c r="C212" s="4" t="s">
        <v>221</v>
      </c>
      <c r="D212" s="6">
        <v>0.5781018518518519</v>
      </c>
      <c r="E212" s="6">
        <v>0.008333333333333333</v>
      </c>
      <c r="F212" s="6">
        <v>0.5864351851851852</v>
      </c>
      <c r="G212" s="4"/>
      <c r="H212" s="4" t="s">
        <v>248</v>
      </c>
      <c r="I212" s="4" t="s">
        <v>288</v>
      </c>
      <c r="J212" s="4" t="s">
        <v>69</v>
      </c>
      <c r="K212" s="4"/>
      <c r="L212" s="4"/>
      <c r="M212" s="4"/>
      <c r="N212" s="4" t="s">
        <v>70</v>
      </c>
      <c r="O212" s="51" t="b">
        <v>0</v>
      </c>
      <c r="P212" s="51" t="b">
        <v>0</v>
      </c>
      <c r="Q212" s="51" t="b">
        <v>0</v>
      </c>
      <c r="R212" s="51" t="b">
        <v>0</v>
      </c>
      <c r="S212" s="51" t="b">
        <v>0</v>
      </c>
    </row>
    <row r="213" hidden="1">
      <c r="A213" s="4" t="str">
        <f>IFERROR(__xludf.DUMMYFUNCTION("""COMPUTED_VALUE"""),"347 - Channel")</f>
        <v>347 - Channel</v>
      </c>
      <c r="B213" s="4" t="s">
        <v>14</v>
      </c>
      <c r="C213" s="4" t="s">
        <v>289</v>
      </c>
      <c r="D213" s="6">
        <v>0.5864351851851852</v>
      </c>
      <c r="E213" s="6">
        <v>2.314814814814815E-4</v>
      </c>
      <c r="F213" s="6">
        <v>0.5866666666666667</v>
      </c>
      <c r="G213" s="4"/>
      <c r="H213" s="4" t="s">
        <v>81</v>
      </c>
      <c r="I213" s="4" t="s">
        <v>91</v>
      </c>
      <c r="J213" s="4" t="s">
        <v>128</v>
      </c>
      <c r="K213" s="4"/>
      <c r="L213" s="4"/>
      <c r="M213" s="4"/>
      <c r="N213" s="4"/>
      <c r="O213" s="51" t="b">
        <v>0</v>
      </c>
      <c r="P213" s="51" t="b">
        <v>0</v>
      </c>
      <c r="Q213" s="51" t="b">
        <v>0</v>
      </c>
      <c r="R213" s="51" t="b">
        <v>0</v>
      </c>
      <c r="S213" s="51" t="b">
        <v>0</v>
      </c>
    </row>
    <row r="214" hidden="1">
      <c r="A214" s="4" t="str">
        <f>IFERROR(__xludf.DUMMYFUNCTION("""COMPUTED_VALUE"""),"201 - Channel")</f>
        <v>201 - Channel</v>
      </c>
      <c r="B214" s="4" t="s">
        <v>14</v>
      </c>
      <c r="C214" s="4" t="s">
        <v>289</v>
      </c>
      <c r="D214" s="6">
        <v>0.5866666666666667</v>
      </c>
      <c r="E214" s="6">
        <v>0.004861111111111111</v>
      </c>
      <c r="F214" s="6">
        <v>0.5915277777777778</v>
      </c>
      <c r="G214" s="4"/>
      <c r="H214" s="4" t="s">
        <v>165</v>
      </c>
      <c r="I214" s="4" t="s">
        <v>290</v>
      </c>
      <c r="J214" s="4" t="s">
        <v>291</v>
      </c>
      <c r="K214" s="4"/>
      <c r="L214" s="4"/>
      <c r="M214" s="4"/>
      <c r="N214" s="4"/>
      <c r="O214" s="51" t="b">
        <v>0</v>
      </c>
      <c r="P214" s="51" t="b">
        <v>0</v>
      </c>
      <c r="Q214" s="51" t="b">
        <v>0</v>
      </c>
      <c r="R214" s="51" t="b">
        <v>0</v>
      </c>
      <c r="S214" s="51" t="b">
        <v>0</v>
      </c>
    </row>
    <row r="215" hidden="1">
      <c r="A215" s="4" t="str">
        <f>IFERROR(__xludf.DUMMYFUNCTION("""COMPUTED_VALUE"""),"1800 - Channel")</f>
        <v>1800 - Channel</v>
      </c>
      <c r="B215" s="4"/>
      <c r="C215" s="4"/>
      <c r="D215" s="6"/>
      <c r="E215" s="6"/>
      <c r="F215" s="6"/>
      <c r="G215" s="4"/>
      <c r="H215" s="4"/>
      <c r="I215" s="4"/>
      <c r="J215" s="4"/>
      <c r="K215" s="4"/>
      <c r="L215" s="4"/>
      <c r="M215" s="4"/>
      <c r="N215" s="4"/>
      <c r="O215" s="51" t="b">
        <v>0</v>
      </c>
      <c r="P215" s="51" t="b">
        <v>0</v>
      </c>
      <c r="Q215" s="51" t="b">
        <v>0</v>
      </c>
      <c r="R215" s="51" t="b">
        <v>0</v>
      </c>
      <c r="S215" s="51" t="b">
        <v>0</v>
      </c>
    </row>
    <row r="216" hidden="1">
      <c r="A216" s="4" t="str">
        <f>IFERROR(__xludf.DUMMYFUNCTION("""COMPUTED_VALUE"""),"1712 - Channel")</f>
        <v>1712 - Channel</v>
      </c>
      <c r="B216" s="4" t="s">
        <v>14</v>
      </c>
      <c r="C216" s="4" t="s">
        <v>221</v>
      </c>
      <c r="D216" s="6">
        <v>0.5915277777777778</v>
      </c>
      <c r="E216" s="6">
        <v>5.787037037037037E-4</v>
      </c>
      <c r="F216" s="6">
        <v>0.5921064814814815</v>
      </c>
      <c r="G216" s="4"/>
      <c r="H216" s="4" t="s">
        <v>126</v>
      </c>
      <c r="I216" s="4" t="s">
        <v>292</v>
      </c>
      <c r="J216" s="4" t="s">
        <v>90</v>
      </c>
      <c r="K216" s="4"/>
      <c r="L216" s="4"/>
      <c r="M216" s="4"/>
      <c r="N216" s="4"/>
      <c r="O216" s="51" t="b">
        <v>0</v>
      </c>
      <c r="P216" s="51" t="b">
        <v>0</v>
      </c>
      <c r="Q216" s="51" t="b">
        <v>0</v>
      </c>
      <c r="R216" s="51" t="b">
        <v>0</v>
      </c>
      <c r="S216" s="51" t="b">
        <v>0</v>
      </c>
    </row>
    <row r="217" hidden="1">
      <c r="A217" s="4" t="str">
        <f>IFERROR(__xludf.DUMMYFUNCTION("""COMPUTED_VALUE"""),"207 - Channel")</f>
        <v>207 - Channel</v>
      </c>
      <c r="B217" s="4" t="s">
        <v>14</v>
      </c>
      <c r="C217" s="4" t="s">
        <v>221</v>
      </c>
      <c r="D217" s="6">
        <v>0.5921064814814815</v>
      </c>
      <c r="E217" s="6">
        <v>6.944444444444445E-4</v>
      </c>
      <c r="F217" s="6">
        <v>0.5928009259259259</v>
      </c>
      <c r="G217" s="4"/>
      <c r="H217" s="4" t="s">
        <v>103</v>
      </c>
      <c r="I217" s="4" t="s">
        <v>293</v>
      </c>
      <c r="J217" s="4" t="s">
        <v>128</v>
      </c>
      <c r="K217" s="4"/>
      <c r="L217" s="4"/>
      <c r="M217" s="4"/>
      <c r="N217" s="4" t="s">
        <v>70</v>
      </c>
      <c r="O217" s="51" t="b">
        <v>0</v>
      </c>
      <c r="P217" s="51" t="b">
        <v>0</v>
      </c>
      <c r="Q217" s="51" t="b">
        <v>0</v>
      </c>
      <c r="R217" s="51" t="b">
        <v>0</v>
      </c>
      <c r="S217" s="51" t="b">
        <v>0</v>
      </c>
    </row>
    <row r="218" hidden="1">
      <c r="A218" s="4" t="str">
        <f>IFERROR(__xludf.DUMMYFUNCTION("""COMPUTED_VALUE"""),"203 - Channel")</f>
        <v>203 - Channel</v>
      </c>
      <c r="B218" s="4" t="s">
        <v>14</v>
      </c>
      <c r="C218" s="4" t="s">
        <v>221</v>
      </c>
      <c r="D218" s="6">
        <v>0.5928009259259259</v>
      </c>
      <c r="E218" s="6">
        <v>2.314814814814815E-4</v>
      </c>
      <c r="F218" s="6">
        <v>0.5930324074074074</v>
      </c>
      <c r="G218" s="4"/>
      <c r="H218" s="4" t="s">
        <v>81</v>
      </c>
      <c r="I218" s="4" t="s">
        <v>81</v>
      </c>
      <c r="J218" s="4" t="s">
        <v>128</v>
      </c>
      <c r="K218" s="4"/>
      <c r="L218" s="4"/>
      <c r="M218" s="4"/>
      <c r="N218" s="4" t="s">
        <v>70</v>
      </c>
      <c r="O218" s="51" t="b">
        <v>0</v>
      </c>
      <c r="P218" s="51" t="b">
        <v>0</v>
      </c>
      <c r="Q218" s="51" t="b">
        <v>0</v>
      </c>
      <c r="R218" s="51" t="b">
        <v>0</v>
      </c>
      <c r="S218" s="51" t="b">
        <v>0</v>
      </c>
    </row>
    <row r="219" hidden="1">
      <c r="A219" s="4" t="str">
        <f>IFERROR(__xludf.DUMMYFUNCTION("""COMPUTED_VALUE"""),"204 - Channel")</f>
        <v>204 - Channel</v>
      </c>
      <c r="B219" s="4" t="s">
        <v>14</v>
      </c>
      <c r="C219" s="4" t="s">
        <v>221</v>
      </c>
      <c r="D219" s="6">
        <v>0.5930324074074074</v>
      </c>
      <c r="E219" s="6">
        <v>0.011111111111111112</v>
      </c>
      <c r="F219" s="6">
        <v>0.6041435185185184</v>
      </c>
      <c r="G219" s="4" t="s">
        <v>140</v>
      </c>
      <c r="H219" s="4" t="s">
        <v>94</v>
      </c>
      <c r="I219" s="4" t="s">
        <v>294</v>
      </c>
      <c r="J219" s="4" t="s">
        <v>295</v>
      </c>
      <c r="K219" s="4"/>
      <c r="L219" s="4"/>
      <c r="M219" s="4"/>
      <c r="N219" s="4" t="s">
        <v>296</v>
      </c>
      <c r="O219" s="51" t="b">
        <v>0</v>
      </c>
      <c r="P219" s="51" t="b">
        <v>0</v>
      </c>
      <c r="Q219" s="51" t="b">
        <v>0</v>
      </c>
      <c r="R219" s="51" t="b">
        <v>0</v>
      </c>
      <c r="S219" s="51" t="b">
        <v>0</v>
      </c>
    </row>
    <row r="220" hidden="1">
      <c r="A220" s="4" t="str">
        <f>IFERROR(__xludf.DUMMYFUNCTION("""COMPUTED_VALUE"""),"211 - Channel")</f>
        <v>211 - Channel</v>
      </c>
      <c r="B220" s="4" t="s">
        <v>14</v>
      </c>
      <c r="C220" s="4" t="s">
        <v>221</v>
      </c>
      <c r="D220" s="6">
        <v>0.6041435185185184</v>
      </c>
      <c r="E220" s="6">
        <v>2.314814814814815E-4</v>
      </c>
      <c r="F220" s="6">
        <v>0.6043749999999999</v>
      </c>
      <c r="G220" s="4"/>
      <c r="H220" s="4" t="s">
        <v>81</v>
      </c>
      <c r="I220" s="4" t="s">
        <v>297</v>
      </c>
      <c r="J220" s="4" t="s">
        <v>128</v>
      </c>
      <c r="K220" s="4"/>
      <c r="L220" s="4"/>
      <c r="M220" s="4"/>
      <c r="N220" s="4" t="s">
        <v>70</v>
      </c>
      <c r="O220" s="51" t="b">
        <v>0</v>
      </c>
      <c r="P220" s="51" t="b">
        <v>0</v>
      </c>
      <c r="Q220" s="51" t="b">
        <v>0</v>
      </c>
      <c r="R220" s="51" t="b">
        <v>0</v>
      </c>
      <c r="S220" s="51" t="b">
        <v>0</v>
      </c>
    </row>
    <row r="221" hidden="1">
      <c r="A221" s="4" t="str">
        <f>IFERROR(__xludf.DUMMYFUNCTION("""COMPUTED_VALUE"""),"212 - Channel")</f>
        <v>212 - Channel</v>
      </c>
      <c r="B221" s="4" t="s">
        <v>14</v>
      </c>
      <c r="C221" s="4" t="s">
        <v>221</v>
      </c>
      <c r="D221" s="6">
        <v>0.6043749999999999</v>
      </c>
      <c r="E221" s="6">
        <v>0.0020833333333333333</v>
      </c>
      <c r="F221" s="6">
        <v>0.6064583333333332</v>
      </c>
      <c r="G221" s="4"/>
      <c r="H221" s="4" t="s">
        <v>83</v>
      </c>
      <c r="I221" s="4" t="s">
        <v>298</v>
      </c>
      <c r="J221" s="4"/>
      <c r="K221" s="4"/>
      <c r="L221" s="4"/>
      <c r="M221" s="4"/>
      <c r="N221" s="4" t="s">
        <v>70</v>
      </c>
      <c r="O221" s="51" t="b">
        <v>0</v>
      </c>
      <c r="P221" s="51" t="b">
        <v>0</v>
      </c>
      <c r="Q221" s="51" t="b">
        <v>0</v>
      </c>
      <c r="R221" s="51" t="b">
        <v>0</v>
      </c>
      <c r="S221" s="51" t="b">
        <v>0</v>
      </c>
    </row>
    <row r="222" hidden="1">
      <c r="A222" s="4" t="str">
        <f>IFERROR(__xludf.DUMMYFUNCTION("""COMPUTED_VALUE"""),"2254 - Channel")</f>
        <v>2254 - Channel</v>
      </c>
      <c r="B222" s="4" t="s">
        <v>14</v>
      </c>
      <c r="C222" s="4" t="s">
        <v>221</v>
      </c>
      <c r="D222" s="6">
        <v>0.6064583333333332</v>
      </c>
      <c r="E222" s="6">
        <v>2.314814814814815E-4</v>
      </c>
      <c r="F222" s="6">
        <v>0.6066898148148147</v>
      </c>
      <c r="G222" s="4"/>
      <c r="H222" s="4" t="s">
        <v>85</v>
      </c>
      <c r="I222" s="4" t="s">
        <v>86</v>
      </c>
      <c r="J222" s="4" t="s">
        <v>128</v>
      </c>
      <c r="K222" s="4"/>
      <c r="L222" s="4"/>
      <c r="M222" s="4"/>
      <c r="N222" s="4"/>
      <c r="O222" s="51" t="b">
        <v>0</v>
      </c>
      <c r="P222" s="51" t="b">
        <v>0</v>
      </c>
      <c r="Q222" s="51" t="b">
        <v>0</v>
      </c>
      <c r="R222" s="51" t="b">
        <v>0</v>
      </c>
      <c r="S222" s="51" t="b">
        <v>0</v>
      </c>
    </row>
    <row r="223" hidden="1">
      <c r="A223" s="4" t="str">
        <f>IFERROR(__xludf.DUMMYFUNCTION("""COMPUTED_VALUE"""),"123 - Channel")</f>
        <v>123 - Channel</v>
      </c>
      <c r="B223" s="4" t="s">
        <v>14</v>
      </c>
      <c r="C223" s="4" t="s">
        <v>221</v>
      </c>
      <c r="D223" s="6">
        <v>0.6066898148148147</v>
      </c>
      <c r="E223" s="6">
        <v>2.314814814814815E-4</v>
      </c>
      <c r="F223" s="6">
        <v>0.6069212962962961</v>
      </c>
      <c r="G223" s="4"/>
      <c r="H223" s="4" t="s">
        <v>81</v>
      </c>
      <c r="I223" s="4" t="s">
        <v>81</v>
      </c>
      <c r="J223" s="4" t="s">
        <v>128</v>
      </c>
      <c r="K223" s="4"/>
      <c r="L223" s="4"/>
      <c r="M223" s="4"/>
      <c r="N223" s="4" t="s">
        <v>70</v>
      </c>
      <c r="O223" s="51" t="b">
        <v>0</v>
      </c>
      <c r="P223" s="51" t="b">
        <v>0</v>
      </c>
      <c r="Q223" s="51" t="b">
        <v>0</v>
      </c>
      <c r="R223" s="51" t="b">
        <v>0</v>
      </c>
      <c r="S223" s="51" t="b">
        <v>0</v>
      </c>
    </row>
    <row r="224" hidden="1">
      <c r="A224" s="4" t="str">
        <f>IFERROR(__xludf.DUMMYFUNCTION("""COMPUTED_VALUE"""),"215 - Channel")</f>
        <v>215 - Channel</v>
      </c>
      <c r="B224" s="4" t="s">
        <v>14</v>
      </c>
      <c r="C224" s="4" t="s">
        <v>221</v>
      </c>
      <c r="D224" s="6">
        <v>0.6069212962962961</v>
      </c>
      <c r="E224" s="6">
        <v>0.009722222222222222</v>
      </c>
      <c r="F224" s="6">
        <v>0.6166435185185183</v>
      </c>
      <c r="G224" s="4" t="s">
        <v>299</v>
      </c>
      <c r="H224" s="4" t="s">
        <v>107</v>
      </c>
      <c r="I224" s="4" t="s">
        <v>300</v>
      </c>
      <c r="J224" s="4" t="s">
        <v>301</v>
      </c>
      <c r="K224" s="4" t="s">
        <v>302</v>
      </c>
      <c r="L224" s="4"/>
      <c r="M224" s="4"/>
      <c r="N224" s="4" t="s">
        <v>132</v>
      </c>
      <c r="O224" s="51" t="b">
        <v>0</v>
      </c>
      <c r="P224" s="51" t="b">
        <v>0</v>
      </c>
      <c r="Q224" s="51" t="b">
        <v>0</v>
      </c>
      <c r="R224" s="51" t="b">
        <v>0</v>
      </c>
      <c r="S224" s="51" t="b">
        <v>0</v>
      </c>
    </row>
    <row r="225" hidden="1">
      <c r="A225" s="4" t="str">
        <f>IFERROR(__xludf.DUMMYFUNCTION("""COMPUTED_VALUE"""),"1708 - Channel")</f>
        <v>1708 - Channel</v>
      </c>
      <c r="B225" s="4" t="s">
        <v>14</v>
      </c>
      <c r="C225" s="4" t="s">
        <v>221</v>
      </c>
      <c r="D225" s="6">
        <v>0.6166435185185183</v>
      </c>
      <c r="E225" s="6">
        <v>3.4722222222222224E-4</v>
      </c>
      <c r="F225" s="6">
        <v>0.6169907407407406</v>
      </c>
      <c r="G225" s="4"/>
      <c r="H225" s="4" t="s">
        <v>87</v>
      </c>
      <c r="I225" s="4" t="s">
        <v>88</v>
      </c>
      <c r="J225" s="4" t="s">
        <v>69</v>
      </c>
      <c r="K225" s="4"/>
      <c r="L225" s="4"/>
      <c r="M225" s="4"/>
      <c r="N225" s="4"/>
      <c r="O225" s="51" t="b">
        <v>0</v>
      </c>
      <c r="P225" s="51" t="b">
        <v>0</v>
      </c>
      <c r="Q225" s="51" t="b">
        <v>0</v>
      </c>
      <c r="R225" s="51" t="b">
        <v>0</v>
      </c>
      <c r="S225" s="51" t="b">
        <v>0</v>
      </c>
    </row>
    <row r="226" hidden="1">
      <c r="A226" s="4" t="str">
        <f>IFERROR(__xludf.DUMMYFUNCTION("""COMPUTED_VALUE"""),"189 - Channel")</f>
        <v>189 - Channel</v>
      </c>
      <c r="B226" s="4" t="s">
        <v>14</v>
      </c>
      <c r="C226" s="4" t="s">
        <v>221</v>
      </c>
      <c r="D226" s="6">
        <v>0.6169907407407406</v>
      </c>
      <c r="E226" s="6">
        <v>2.314814814814815E-4</v>
      </c>
      <c r="F226" s="6">
        <v>0.617222222222222</v>
      </c>
      <c r="G226" s="4"/>
      <c r="H226" s="4" t="s">
        <v>81</v>
      </c>
      <c r="I226" s="4" t="s">
        <v>81</v>
      </c>
      <c r="J226" s="4" t="s">
        <v>128</v>
      </c>
      <c r="K226" s="4"/>
      <c r="L226" s="4"/>
      <c r="M226" s="4"/>
      <c r="N226" s="4" t="s">
        <v>70</v>
      </c>
      <c r="O226" s="51" t="b">
        <v>0</v>
      </c>
      <c r="P226" s="51" t="b">
        <v>0</v>
      </c>
      <c r="Q226" s="51" t="b">
        <v>0</v>
      </c>
      <c r="R226" s="51" t="b">
        <v>0</v>
      </c>
      <c r="S226" s="51" t="b">
        <v>0</v>
      </c>
    </row>
    <row r="227" hidden="1">
      <c r="A227" s="4" t="str">
        <f>IFERROR(__xludf.DUMMYFUNCTION("""COMPUTED_VALUE"""),"172 - Channel")</f>
        <v>172 - Channel</v>
      </c>
      <c r="B227" s="4" t="s">
        <v>14</v>
      </c>
      <c r="C227" s="4" t="s">
        <v>221</v>
      </c>
      <c r="D227" s="6">
        <v>0.617222222222222</v>
      </c>
      <c r="E227" s="6">
        <v>0.009722222222222222</v>
      </c>
      <c r="F227" s="6">
        <v>0.6269444444444442</v>
      </c>
      <c r="G227" s="4" t="s">
        <v>280</v>
      </c>
      <c r="H227" s="4" t="s">
        <v>107</v>
      </c>
      <c r="I227" s="4" t="s">
        <v>303</v>
      </c>
      <c r="J227" s="4" t="s">
        <v>304</v>
      </c>
      <c r="K227" s="4" t="s">
        <v>305</v>
      </c>
      <c r="L227" s="4"/>
      <c r="M227" s="4"/>
      <c r="N227" s="4" t="s">
        <v>306</v>
      </c>
      <c r="O227" s="51" t="b">
        <v>0</v>
      </c>
      <c r="P227" s="51" t="b">
        <v>0</v>
      </c>
      <c r="Q227" s="51" t="b">
        <v>0</v>
      </c>
      <c r="R227" s="51" t="b">
        <v>0</v>
      </c>
      <c r="S227" s="51" t="b">
        <v>0</v>
      </c>
    </row>
    <row r="228" hidden="1">
      <c r="A228" s="4" t="str">
        <f>IFERROR(__xludf.DUMMYFUNCTION("""COMPUTED_VALUE"""),"1370 - Channel")</f>
        <v>1370 - Channel</v>
      </c>
      <c r="B228" s="4" t="s">
        <v>14</v>
      </c>
      <c r="C228" s="4" t="s">
        <v>221</v>
      </c>
      <c r="D228" s="6">
        <v>0.6269444444444442</v>
      </c>
      <c r="E228" s="6">
        <v>5.671296296296297E-4</v>
      </c>
      <c r="F228" s="6">
        <v>0.6275115740740739</v>
      </c>
      <c r="G228" s="4"/>
      <c r="H228" s="4" t="s">
        <v>126</v>
      </c>
      <c r="I228" s="4" t="s">
        <v>307</v>
      </c>
      <c r="J228" s="4" t="s">
        <v>90</v>
      </c>
      <c r="K228" s="4"/>
      <c r="L228" s="4"/>
      <c r="M228" s="4"/>
      <c r="N228" s="4"/>
      <c r="O228" s="51" t="b">
        <v>0</v>
      </c>
      <c r="P228" s="51" t="b">
        <v>0</v>
      </c>
      <c r="Q228" s="51" t="b">
        <v>0</v>
      </c>
      <c r="R228" s="51" t="b">
        <v>0</v>
      </c>
      <c r="S228" s="51" t="b">
        <v>0</v>
      </c>
    </row>
    <row r="229" hidden="1">
      <c r="A229" s="4" t="str">
        <f>IFERROR(__xludf.DUMMYFUNCTION("""COMPUTED_VALUE"""),"342 - Channel")</f>
        <v>342 - Channel</v>
      </c>
      <c r="B229" s="4" t="s">
        <v>14</v>
      </c>
      <c r="C229" s="4" t="s">
        <v>221</v>
      </c>
      <c r="D229" s="6">
        <v>0.6275115740740739</v>
      </c>
      <c r="E229" s="6">
        <v>2.314814814814815E-4</v>
      </c>
      <c r="F229" s="6">
        <v>0.6277430555555553</v>
      </c>
      <c r="G229" s="4"/>
      <c r="H229" s="4" t="s">
        <v>81</v>
      </c>
      <c r="I229" s="4" t="s">
        <v>91</v>
      </c>
      <c r="J229" s="4" t="s">
        <v>128</v>
      </c>
      <c r="K229" s="4"/>
      <c r="L229" s="4"/>
      <c r="M229" s="4"/>
      <c r="N229" s="4" t="s">
        <v>70</v>
      </c>
      <c r="O229" s="51" t="b">
        <v>0</v>
      </c>
      <c r="P229" s="51" t="b">
        <v>0</v>
      </c>
      <c r="Q229" s="51" t="b">
        <v>0</v>
      </c>
      <c r="R229" s="51" t="b">
        <v>0</v>
      </c>
      <c r="S229" s="51" t="b">
        <v>0</v>
      </c>
    </row>
    <row r="230" hidden="1">
      <c r="A230" s="4" t="str">
        <f>IFERROR(__xludf.DUMMYFUNCTION("""COMPUTED_VALUE"""),"363 - Channel")</f>
        <v>363 - Channel</v>
      </c>
      <c r="B230" s="4" t="s">
        <v>14</v>
      </c>
      <c r="C230" s="4" t="s">
        <v>221</v>
      </c>
      <c r="D230" s="6">
        <v>0.6277430555555553</v>
      </c>
      <c r="E230" s="6">
        <v>0.006944444444444444</v>
      </c>
      <c r="F230" s="6">
        <v>0.6346874999999997</v>
      </c>
      <c r="G230" s="4" t="s">
        <v>245</v>
      </c>
      <c r="H230" s="4" t="s">
        <v>165</v>
      </c>
      <c r="I230" s="4" t="s">
        <v>308</v>
      </c>
      <c r="J230" s="4" t="s">
        <v>309</v>
      </c>
      <c r="K230" s="4"/>
      <c r="L230" s="4"/>
      <c r="M230" s="4"/>
      <c r="N230" s="4" t="s">
        <v>70</v>
      </c>
      <c r="O230" s="51" t="b">
        <v>0</v>
      </c>
      <c r="P230" s="51" t="b">
        <v>0</v>
      </c>
      <c r="Q230" s="51" t="b">
        <v>0</v>
      </c>
      <c r="R230" s="51" t="b">
        <v>0</v>
      </c>
      <c r="S230" s="51" t="b">
        <v>0</v>
      </c>
    </row>
    <row r="231" hidden="1">
      <c r="A231" s="4" t="str">
        <f>IFERROR(__xludf.DUMMYFUNCTION("""COMPUTED_VALUE"""),"1516 - Channel")</f>
        <v>1516 - Channel</v>
      </c>
      <c r="B231" s="4" t="s">
        <v>14</v>
      </c>
      <c r="C231" s="4" t="s">
        <v>221</v>
      </c>
      <c r="D231" s="6"/>
      <c r="E231" s="6"/>
      <c r="F231" s="6"/>
      <c r="G231" s="4"/>
      <c r="H231" s="4"/>
      <c r="I231" s="4"/>
      <c r="J231" s="4"/>
      <c r="K231" s="4"/>
      <c r="L231" s="4"/>
      <c r="M231" s="4"/>
      <c r="N231" s="4"/>
      <c r="O231" s="51" t="b">
        <v>0</v>
      </c>
      <c r="P231" s="51" t="b">
        <v>0</v>
      </c>
      <c r="Q231" s="51" t="b">
        <v>0</v>
      </c>
      <c r="R231" s="51" t="b">
        <v>0</v>
      </c>
      <c r="S231" s="51" t="b">
        <v>0</v>
      </c>
    </row>
    <row r="232" hidden="1">
      <c r="A232" s="4" t="str">
        <f>IFERROR(__xludf.DUMMYFUNCTION("""COMPUTED_VALUE"""),"1401 - Channel")</f>
        <v>1401 - Channel</v>
      </c>
      <c r="B232" s="4" t="s">
        <v>14</v>
      </c>
      <c r="C232" s="4" t="s">
        <v>221</v>
      </c>
      <c r="D232" s="6">
        <v>0.6346874999999997</v>
      </c>
      <c r="E232" s="6">
        <v>6.944444444444445E-4</v>
      </c>
      <c r="F232" s="6">
        <v>0.6353819444444442</v>
      </c>
      <c r="G232" s="4"/>
      <c r="H232" s="4" t="s">
        <v>103</v>
      </c>
      <c r="I232" s="4" t="s">
        <v>310</v>
      </c>
      <c r="J232" s="4" t="s">
        <v>92</v>
      </c>
      <c r="K232" s="4"/>
      <c r="L232" s="4"/>
      <c r="M232" s="4"/>
      <c r="N232" s="4"/>
      <c r="O232" s="51" t="b">
        <v>0</v>
      </c>
      <c r="P232" s="51" t="b">
        <v>0</v>
      </c>
      <c r="Q232" s="51" t="b">
        <v>0</v>
      </c>
      <c r="R232" s="51" t="b">
        <v>0</v>
      </c>
      <c r="S232" s="51" t="b">
        <v>0</v>
      </c>
    </row>
    <row r="233" hidden="1">
      <c r="A233" s="4" t="str">
        <f>IFERROR(__xludf.DUMMYFUNCTION("""COMPUTED_VALUE"""),"89 - Channel")</f>
        <v>89 - Channel</v>
      </c>
      <c r="B233" s="4" t="s">
        <v>14</v>
      </c>
      <c r="C233" s="4" t="s">
        <v>221</v>
      </c>
      <c r="D233" s="6">
        <v>0.6353819444444442</v>
      </c>
      <c r="E233" s="6">
        <v>2.314814814814815E-4</v>
      </c>
      <c r="F233" s="6">
        <v>0.6356134259259256</v>
      </c>
      <c r="G233" s="4"/>
      <c r="H233" s="4" t="s">
        <v>81</v>
      </c>
      <c r="I233" s="4" t="s">
        <v>81</v>
      </c>
      <c r="J233" s="4" t="s">
        <v>92</v>
      </c>
      <c r="K233" s="4"/>
      <c r="L233" s="4"/>
      <c r="M233" s="4"/>
      <c r="N233" s="4" t="s">
        <v>70</v>
      </c>
      <c r="O233" s="51" t="b">
        <v>0</v>
      </c>
      <c r="P233" s="51" t="b">
        <v>0</v>
      </c>
      <c r="Q233" s="51" t="b">
        <v>0</v>
      </c>
      <c r="R233" s="51" t="b">
        <v>0</v>
      </c>
      <c r="S233" s="51" t="b">
        <v>0</v>
      </c>
    </row>
    <row r="234" hidden="1">
      <c r="A234" s="4" t="str">
        <f>IFERROR(__xludf.DUMMYFUNCTION("""COMPUTED_VALUE"""),"1276 - Channel")</f>
        <v>1276 - Channel</v>
      </c>
      <c r="B234" s="4" t="s">
        <v>14</v>
      </c>
      <c r="C234" s="4" t="s">
        <v>221</v>
      </c>
      <c r="D234" s="6">
        <v>0.6356134259259256</v>
      </c>
      <c r="E234" s="6">
        <v>0.010416666666666666</v>
      </c>
      <c r="F234" s="6">
        <v>0.6460300925925923</v>
      </c>
      <c r="G234" s="4" t="s">
        <v>106</v>
      </c>
      <c r="H234" s="4" t="s">
        <v>107</v>
      </c>
      <c r="I234" s="4" t="s">
        <v>311</v>
      </c>
      <c r="J234" s="4" t="s">
        <v>312</v>
      </c>
      <c r="K234" s="4"/>
      <c r="L234" s="4"/>
      <c r="M234" s="4"/>
      <c r="N234" s="4" t="s">
        <v>313</v>
      </c>
      <c r="O234" s="51" t="b">
        <v>0</v>
      </c>
      <c r="P234" s="51" t="b">
        <v>0</v>
      </c>
      <c r="Q234" s="51" t="b">
        <v>0</v>
      </c>
      <c r="R234" s="51" t="b">
        <v>0</v>
      </c>
      <c r="S234" s="51" t="b">
        <v>0</v>
      </c>
    </row>
    <row r="235" hidden="1">
      <c r="A235" s="4" t="str">
        <f>IFERROR(__xludf.DUMMYFUNCTION("""COMPUTED_VALUE"""),"1402 - Channel")</f>
        <v>1402 - Channel</v>
      </c>
      <c r="B235" s="4" t="s">
        <v>14</v>
      </c>
      <c r="C235" s="4" t="s">
        <v>221</v>
      </c>
      <c r="D235" s="6">
        <v>0.6460300925925923</v>
      </c>
      <c r="E235" s="6">
        <v>3.4722222222222224E-4</v>
      </c>
      <c r="F235" s="6">
        <v>0.6463773148148145</v>
      </c>
      <c r="G235" s="4"/>
      <c r="H235" s="4" t="s">
        <v>79</v>
      </c>
      <c r="I235" s="4" t="s">
        <v>80</v>
      </c>
      <c r="J235" s="4" t="s">
        <v>69</v>
      </c>
      <c r="K235" s="4"/>
      <c r="L235" s="4"/>
      <c r="M235" s="4"/>
      <c r="N235" s="4"/>
      <c r="O235" s="51" t="b">
        <v>0</v>
      </c>
      <c r="P235" s="51" t="b">
        <v>0</v>
      </c>
      <c r="Q235" s="51" t="b">
        <v>0</v>
      </c>
      <c r="R235" s="51" t="b">
        <v>0</v>
      </c>
      <c r="S235" s="51" t="b">
        <v>0</v>
      </c>
    </row>
    <row r="236" hidden="1">
      <c r="A236" s="4" t="str">
        <f>IFERROR(__xludf.DUMMYFUNCTION("""COMPUTED_VALUE"""),"229 - Channel")</f>
        <v>229 - Channel</v>
      </c>
      <c r="B236" s="4" t="s">
        <v>14</v>
      </c>
      <c r="C236" s="4" t="s">
        <v>221</v>
      </c>
      <c r="D236" s="6">
        <v>0.6463773148148145</v>
      </c>
      <c r="E236" s="6">
        <v>2.314814814814815E-4</v>
      </c>
      <c r="F236" s="6">
        <v>0.646608796296296</v>
      </c>
      <c r="G236" s="4" t="s">
        <v>314</v>
      </c>
      <c r="H236" s="4" t="s">
        <v>81</v>
      </c>
      <c r="I236" s="4" t="s">
        <v>315</v>
      </c>
      <c r="J236" s="4" t="s">
        <v>92</v>
      </c>
      <c r="K236" s="4"/>
      <c r="L236" s="4"/>
      <c r="M236" s="4"/>
      <c r="N236" s="4" t="s">
        <v>70</v>
      </c>
      <c r="O236" s="51" t="b">
        <v>0</v>
      </c>
      <c r="P236" s="51" t="b">
        <v>0</v>
      </c>
      <c r="Q236" s="51" t="b">
        <v>0</v>
      </c>
      <c r="R236" s="51" t="b">
        <v>0</v>
      </c>
      <c r="S236" s="51" t="b">
        <v>0</v>
      </c>
    </row>
    <row r="237" hidden="1">
      <c r="A237" s="4" t="str">
        <f>IFERROR(__xludf.DUMMYFUNCTION("""COMPUTED_VALUE"""),"230 - Channel")</f>
        <v>230 - Channel</v>
      </c>
      <c r="B237" s="4" t="s">
        <v>14</v>
      </c>
      <c r="C237" s="4" t="s">
        <v>221</v>
      </c>
      <c r="D237" s="6">
        <v>0.646608796296296</v>
      </c>
      <c r="E237" s="6">
        <v>0.0020833333333333333</v>
      </c>
      <c r="F237" s="6">
        <v>0.6486921296296293</v>
      </c>
      <c r="G237" s="4"/>
      <c r="H237" s="4" t="s">
        <v>83</v>
      </c>
      <c r="I237" s="4" t="s">
        <v>316</v>
      </c>
      <c r="J237" s="4"/>
      <c r="K237" s="4"/>
      <c r="L237" s="4"/>
      <c r="M237" s="4"/>
      <c r="N237" s="4" t="s">
        <v>70</v>
      </c>
      <c r="O237" s="51" t="b">
        <v>0</v>
      </c>
      <c r="P237" s="51" t="b">
        <v>0</v>
      </c>
      <c r="Q237" s="51" t="b">
        <v>0</v>
      </c>
      <c r="R237" s="51" t="b">
        <v>0</v>
      </c>
      <c r="S237" s="51" t="b">
        <v>0</v>
      </c>
    </row>
    <row r="238" hidden="1">
      <c r="A238" s="4" t="str">
        <f>IFERROR(__xludf.DUMMYFUNCTION("""COMPUTED_VALUE"""),"2255 - Channel")</f>
        <v>2255 - Channel</v>
      </c>
      <c r="B238" s="4" t="s">
        <v>14</v>
      </c>
      <c r="C238" s="4" t="s">
        <v>221</v>
      </c>
      <c r="D238" s="6">
        <v>0.6486921296296293</v>
      </c>
      <c r="E238" s="6">
        <v>2.314814814814815E-4</v>
      </c>
      <c r="F238" s="6">
        <v>0.6489236111111107</v>
      </c>
      <c r="G238" s="4"/>
      <c r="H238" s="4" t="s">
        <v>85</v>
      </c>
      <c r="I238" s="4" t="s">
        <v>86</v>
      </c>
      <c r="J238" s="4" t="s">
        <v>92</v>
      </c>
      <c r="K238" s="4"/>
      <c r="L238" s="4"/>
      <c r="M238" s="4"/>
      <c r="N238" s="4"/>
      <c r="O238" s="51" t="b">
        <v>0</v>
      </c>
      <c r="P238" s="51" t="b">
        <v>0</v>
      </c>
      <c r="Q238" s="51" t="b">
        <v>0</v>
      </c>
      <c r="R238" s="51" t="b">
        <v>0</v>
      </c>
      <c r="S238" s="51" t="b">
        <v>0</v>
      </c>
    </row>
    <row r="239" hidden="1">
      <c r="A239" s="4" t="str">
        <f>IFERROR(__xludf.DUMMYFUNCTION("""COMPUTED_VALUE"""),"225 - Channel")</f>
        <v>225 - Channel</v>
      </c>
      <c r="B239" s="4" t="s">
        <v>14</v>
      </c>
      <c r="C239" s="4" t="s">
        <v>221</v>
      </c>
      <c r="D239" s="6">
        <v>0.6489236111111107</v>
      </c>
      <c r="E239" s="6">
        <v>2.314814814814815E-4</v>
      </c>
      <c r="F239" s="6">
        <v>0.6491550925925922</v>
      </c>
      <c r="G239" s="4" t="s">
        <v>314</v>
      </c>
      <c r="H239" s="4" t="s">
        <v>81</v>
      </c>
      <c r="I239" s="4" t="s">
        <v>91</v>
      </c>
      <c r="J239" s="4" t="s">
        <v>92</v>
      </c>
      <c r="K239" s="4"/>
      <c r="L239" s="4"/>
      <c r="M239" s="4"/>
      <c r="N239" s="4" t="s">
        <v>70</v>
      </c>
      <c r="O239" s="51" t="b">
        <v>0</v>
      </c>
      <c r="P239" s="51" t="b">
        <v>0</v>
      </c>
      <c r="Q239" s="51" t="b">
        <v>0</v>
      </c>
      <c r="R239" s="51" t="b">
        <v>0</v>
      </c>
      <c r="S239" s="51" t="b">
        <v>0</v>
      </c>
    </row>
    <row r="240" hidden="1">
      <c r="A240" s="4" t="str">
        <f>IFERROR(__xludf.DUMMYFUNCTION("""COMPUTED_VALUE"""),"226 - Channel")</f>
        <v>226 - Channel</v>
      </c>
      <c r="B240" s="4" t="s">
        <v>14</v>
      </c>
      <c r="C240" s="4" t="s">
        <v>221</v>
      </c>
      <c r="D240" s="6">
        <v>0.6491550925925922</v>
      </c>
      <c r="E240" s="6">
        <v>0.005555555555555556</v>
      </c>
      <c r="F240" s="6">
        <v>0.6547106481481477</v>
      </c>
      <c r="G240" s="4"/>
      <c r="H240" s="4" t="s">
        <v>94</v>
      </c>
      <c r="I240" s="4" t="s">
        <v>317</v>
      </c>
      <c r="J240" s="4" t="s">
        <v>318</v>
      </c>
      <c r="K240" s="4"/>
      <c r="L240" s="4"/>
      <c r="M240" s="4"/>
      <c r="N240" s="4" t="s">
        <v>128</v>
      </c>
      <c r="O240" s="51" t="b">
        <v>0</v>
      </c>
      <c r="P240" s="51" t="b">
        <v>0</v>
      </c>
      <c r="Q240" s="51" t="b">
        <v>0</v>
      </c>
      <c r="R240" s="51" t="b">
        <v>0</v>
      </c>
      <c r="S240" s="51" t="b">
        <v>0</v>
      </c>
    </row>
    <row r="241" hidden="1">
      <c r="A241" s="4" t="str">
        <f>IFERROR(__xludf.DUMMYFUNCTION("""COMPUTED_VALUE"""),"136 - Channel")</f>
        <v>136 - Channel</v>
      </c>
      <c r="B241" s="4" t="s">
        <v>14</v>
      </c>
      <c r="C241" s="4" t="s">
        <v>221</v>
      </c>
      <c r="D241" s="6">
        <v>0.6547106481481477</v>
      </c>
      <c r="E241" s="6">
        <v>2.314814814814815E-4</v>
      </c>
      <c r="F241" s="6">
        <v>0.6549421296296292</v>
      </c>
      <c r="G241" s="4"/>
      <c r="H241" s="4" t="s">
        <v>81</v>
      </c>
      <c r="I241" s="4" t="s">
        <v>91</v>
      </c>
      <c r="J241" s="4" t="s">
        <v>73</v>
      </c>
      <c r="K241" s="4" t="s">
        <v>92</v>
      </c>
      <c r="L241" s="4"/>
      <c r="M241" s="4"/>
      <c r="N241" s="4" t="s">
        <v>70</v>
      </c>
      <c r="O241" s="51" t="b">
        <v>0</v>
      </c>
      <c r="P241" s="51" t="b">
        <v>0</v>
      </c>
      <c r="Q241" s="51" t="b">
        <v>0</v>
      </c>
      <c r="R241" s="51" t="b">
        <v>0</v>
      </c>
      <c r="S241" s="51" t="b">
        <v>0</v>
      </c>
    </row>
    <row r="242" hidden="1">
      <c r="A242" s="4" t="str">
        <f>IFERROR(__xludf.DUMMYFUNCTION("""COMPUTED_VALUE"""),"8 - Channel")</f>
        <v>8 - Channel</v>
      </c>
      <c r="B242" s="4" t="s">
        <v>14</v>
      </c>
      <c r="C242" s="4" t="s">
        <v>221</v>
      </c>
      <c r="D242" s="6">
        <v>0.6549421296296292</v>
      </c>
      <c r="E242" s="6">
        <v>0.00951388888888889</v>
      </c>
      <c r="F242" s="6">
        <v>0.6644560185185181</v>
      </c>
      <c r="G242" s="4" t="s">
        <v>151</v>
      </c>
      <c r="H242" s="4" t="s">
        <v>94</v>
      </c>
      <c r="I242" s="4" t="s">
        <v>319</v>
      </c>
      <c r="J242" s="4" t="s">
        <v>320</v>
      </c>
      <c r="K242" s="4"/>
      <c r="L242" s="4"/>
      <c r="M242" s="4"/>
      <c r="N242" s="4" t="s">
        <v>321</v>
      </c>
      <c r="O242" s="51" t="b">
        <v>0</v>
      </c>
      <c r="P242" s="51" t="b">
        <v>0</v>
      </c>
      <c r="Q242" s="51" t="b">
        <v>0</v>
      </c>
      <c r="R242" s="51" t="b">
        <v>0</v>
      </c>
      <c r="S242" s="51" t="b">
        <v>0</v>
      </c>
    </row>
    <row r="243" hidden="1">
      <c r="A243" s="4" t="str">
        <f>IFERROR(__xludf.DUMMYFUNCTION("""COMPUTED_VALUE"""),"1410 - Channel")</f>
        <v>1410 - Channel</v>
      </c>
      <c r="B243" s="4" t="s">
        <v>14</v>
      </c>
      <c r="C243" s="4" t="s">
        <v>221</v>
      </c>
      <c r="D243" s="6">
        <v>0.6644560185185181</v>
      </c>
      <c r="E243" s="6">
        <v>2.314814814814815E-4</v>
      </c>
      <c r="F243" s="6">
        <v>0.6646874999999995</v>
      </c>
      <c r="G243" s="4"/>
      <c r="H243" s="4" t="s">
        <v>81</v>
      </c>
      <c r="I243" s="4" t="s">
        <v>322</v>
      </c>
      <c r="J243" s="4" t="s">
        <v>92</v>
      </c>
      <c r="K243" s="4"/>
      <c r="L243" s="4"/>
      <c r="M243" s="4"/>
      <c r="N243" s="4"/>
      <c r="O243" s="51" t="b">
        <v>0</v>
      </c>
      <c r="P243" s="51" t="b">
        <v>0</v>
      </c>
      <c r="Q243" s="51" t="b">
        <v>0</v>
      </c>
      <c r="R243" s="51" t="b">
        <v>0</v>
      </c>
      <c r="S243" s="51" t="b">
        <v>0</v>
      </c>
    </row>
    <row r="244" hidden="1">
      <c r="A244" s="4" t="str">
        <f>IFERROR(__xludf.DUMMYFUNCTION("""COMPUTED_VALUE"""),"294 - Channel")</f>
        <v>294 - Channel</v>
      </c>
      <c r="B244" s="4" t="s">
        <v>14</v>
      </c>
      <c r="C244" s="4" t="s">
        <v>221</v>
      </c>
      <c r="D244" s="6">
        <v>0.6646874999999995</v>
      </c>
      <c r="E244" s="6">
        <v>0.0020833333333333333</v>
      </c>
      <c r="F244" s="6">
        <v>0.6667708333333329</v>
      </c>
      <c r="G244" s="4"/>
      <c r="H244" s="4" t="s">
        <v>83</v>
      </c>
      <c r="I244" s="4" t="s">
        <v>323</v>
      </c>
      <c r="J244" s="4"/>
      <c r="K244" s="4"/>
      <c r="L244" s="4"/>
      <c r="M244" s="4"/>
      <c r="N244" s="4" t="s">
        <v>70</v>
      </c>
      <c r="O244" s="51" t="b">
        <v>0</v>
      </c>
      <c r="P244" s="51" t="b">
        <v>0</v>
      </c>
      <c r="Q244" s="51" t="b">
        <v>0</v>
      </c>
      <c r="R244" s="51" t="b">
        <v>0</v>
      </c>
      <c r="S244" s="51" t="b">
        <v>0</v>
      </c>
    </row>
    <row r="245" hidden="1">
      <c r="A245" s="4" t="str">
        <f>IFERROR(__xludf.DUMMYFUNCTION("""COMPUTED_VALUE"""),"2256 - Channel")</f>
        <v>2256 - Channel</v>
      </c>
      <c r="B245" s="4" t="s">
        <v>14</v>
      </c>
      <c r="C245" s="4" t="s">
        <v>221</v>
      </c>
      <c r="D245" s="6">
        <v>0.6667708333333329</v>
      </c>
      <c r="E245" s="6">
        <v>2.314814814814815E-4</v>
      </c>
      <c r="F245" s="6">
        <v>0.6670023148148143</v>
      </c>
      <c r="G245" s="4"/>
      <c r="H245" s="4" t="s">
        <v>85</v>
      </c>
      <c r="I245" s="4" t="s">
        <v>86</v>
      </c>
      <c r="J245" s="4" t="s">
        <v>92</v>
      </c>
      <c r="K245" s="4"/>
      <c r="L245" s="4"/>
      <c r="M245" s="4"/>
      <c r="N245" s="4"/>
      <c r="O245" s="51" t="b">
        <v>0</v>
      </c>
      <c r="P245" s="51" t="b">
        <v>0</v>
      </c>
      <c r="Q245" s="51" t="b">
        <v>0</v>
      </c>
      <c r="R245" s="51" t="b">
        <v>0</v>
      </c>
      <c r="S245" s="51" t="b">
        <v>0</v>
      </c>
    </row>
    <row r="246" hidden="1">
      <c r="A246" s="4" t="str">
        <f>IFERROR(__xludf.DUMMYFUNCTION("""COMPUTED_VALUE"""),"232 - Channel")</f>
        <v>232 - Channel</v>
      </c>
      <c r="B246" s="4" t="s">
        <v>14</v>
      </c>
      <c r="C246" s="4" t="s">
        <v>221</v>
      </c>
      <c r="D246" s="6">
        <v>0.6670023148148143</v>
      </c>
      <c r="E246" s="6">
        <v>2.314814814814815E-4</v>
      </c>
      <c r="F246" s="6">
        <v>0.6672337962962958</v>
      </c>
      <c r="G246" s="4"/>
      <c r="H246" s="4" t="s">
        <v>81</v>
      </c>
      <c r="I246" s="4" t="s">
        <v>91</v>
      </c>
      <c r="J246" s="4" t="s">
        <v>92</v>
      </c>
      <c r="K246" s="4"/>
      <c r="L246" s="4"/>
      <c r="M246" s="4"/>
      <c r="N246" s="4" t="s">
        <v>70</v>
      </c>
      <c r="O246" s="51" t="b">
        <v>0</v>
      </c>
      <c r="P246" s="51" t="b">
        <v>0</v>
      </c>
      <c r="Q246" s="51" t="b">
        <v>0</v>
      </c>
      <c r="R246" s="51" t="b">
        <v>0</v>
      </c>
      <c r="S246" s="51" t="b">
        <v>0</v>
      </c>
    </row>
    <row r="247" hidden="1">
      <c r="A247" s="4" t="str">
        <f>IFERROR(__xludf.DUMMYFUNCTION("""COMPUTED_VALUE"""),"217 - Channel")</f>
        <v>217 - Channel</v>
      </c>
      <c r="B247" s="4" t="s">
        <v>14</v>
      </c>
      <c r="C247" s="4" t="s">
        <v>221</v>
      </c>
      <c r="D247" s="6">
        <v>0.6672337962962958</v>
      </c>
      <c r="E247" s="6">
        <v>0.011111111111111112</v>
      </c>
      <c r="F247" s="6">
        <v>0.6783449074074068</v>
      </c>
      <c r="G247" s="4"/>
      <c r="H247" s="4" t="s">
        <v>248</v>
      </c>
      <c r="I247" s="4" t="s">
        <v>324</v>
      </c>
      <c r="J247" s="4" t="s">
        <v>69</v>
      </c>
      <c r="K247" s="4"/>
      <c r="L247" s="4"/>
      <c r="M247" s="4"/>
      <c r="N247" s="4" t="s">
        <v>70</v>
      </c>
      <c r="O247" s="51" t="b">
        <v>0</v>
      </c>
      <c r="P247" s="51" t="b">
        <v>0</v>
      </c>
      <c r="Q247" s="51" t="b">
        <v>0</v>
      </c>
      <c r="R247" s="51" t="b">
        <v>0</v>
      </c>
      <c r="S247" s="51" t="b">
        <v>0</v>
      </c>
    </row>
    <row r="248" hidden="1">
      <c r="A248" s="4" t="str">
        <f>IFERROR(__xludf.DUMMYFUNCTION("""COMPUTED_VALUE"""),"1523 - Channel")</f>
        <v>1523 - Channel</v>
      </c>
      <c r="B248" s="4" t="s">
        <v>14</v>
      </c>
      <c r="C248" s="4" t="s">
        <v>221</v>
      </c>
      <c r="D248" s="6"/>
      <c r="E248" s="6"/>
      <c r="F248" s="6"/>
      <c r="G248" s="4"/>
      <c r="H248" s="4"/>
      <c r="I248" s="4"/>
      <c r="J248" s="4"/>
      <c r="K248" s="4"/>
      <c r="L248" s="4"/>
      <c r="M248" s="4"/>
      <c r="N248" s="4"/>
      <c r="O248" s="51" t="b">
        <v>0</v>
      </c>
      <c r="P248" s="51" t="b">
        <v>0</v>
      </c>
      <c r="Q248" s="51" t="b">
        <v>0</v>
      </c>
      <c r="R248" s="51" t="b">
        <v>0</v>
      </c>
      <c r="S248" s="51" t="b">
        <v>0</v>
      </c>
    </row>
    <row r="249" hidden="1">
      <c r="A249" s="4" t="str">
        <f>IFERROR(__xludf.DUMMYFUNCTION("""COMPUTED_VALUE"""),"242 - Channel")</f>
        <v>242 - Channel</v>
      </c>
      <c r="B249" s="4" t="s">
        <v>14</v>
      </c>
      <c r="C249" s="4" t="s">
        <v>221</v>
      </c>
      <c r="D249" s="6">
        <v>0.6783449074074068</v>
      </c>
      <c r="E249" s="6">
        <v>6.944444444444445E-4</v>
      </c>
      <c r="F249" s="6">
        <v>0.6790393518518513</v>
      </c>
      <c r="G249" s="4"/>
      <c r="H249" s="4" t="s">
        <v>103</v>
      </c>
      <c r="I249" s="4" t="s">
        <v>325</v>
      </c>
      <c r="J249" s="4" t="s">
        <v>128</v>
      </c>
      <c r="K249" s="4"/>
      <c r="L249" s="4"/>
      <c r="M249" s="4"/>
      <c r="N249" s="4" t="s">
        <v>70</v>
      </c>
      <c r="O249" s="51" t="b">
        <v>0</v>
      </c>
      <c r="P249" s="51" t="b">
        <v>0</v>
      </c>
      <c r="Q249" s="51" t="b">
        <v>0</v>
      </c>
      <c r="R249" s="51" t="b">
        <v>0</v>
      </c>
      <c r="S249" s="51" t="b">
        <v>0</v>
      </c>
    </row>
    <row r="250" hidden="1">
      <c r="A250" s="4" t="str">
        <f>IFERROR(__xludf.DUMMYFUNCTION("""COMPUTED_VALUE"""),"243 - Channel")</f>
        <v>243 - Channel</v>
      </c>
      <c r="B250" s="4" t="s">
        <v>14</v>
      </c>
      <c r="C250" s="4" t="s">
        <v>221</v>
      </c>
      <c r="D250" s="6">
        <v>0.6790393518518513</v>
      </c>
      <c r="E250" s="6">
        <v>2.314814814814815E-4</v>
      </c>
      <c r="F250" s="6">
        <v>0.6792708333333327</v>
      </c>
      <c r="G250" s="4"/>
      <c r="H250" s="4" t="s">
        <v>81</v>
      </c>
      <c r="I250" s="4" t="s">
        <v>81</v>
      </c>
      <c r="J250" s="4" t="s">
        <v>73</v>
      </c>
      <c r="K250" s="4" t="s">
        <v>128</v>
      </c>
      <c r="L250" s="4"/>
      <c r="M250" s="4"/>
      <c r="N250" s="4" t="s">
        <v>70</v>
      </c>
      <c r="O250" s="51" t="b">
        <v>0</v>
      </c>
      <c r="P250" s="51" t="b">
        <v>0</v>
      </c>
      <c r="Q250" s="51" t="b">
        <v>0</v>
      </c>
      <c r="R250" s="51" t="b">
        <v>0</v>
      </c>
      <c r="S250" s="51" t="b">
        <v>0</v>
      </c>
    </row>
    <row r="251" hidden="1">
      <c r="A251" s="4" t="str">
        <f>IFERROR(__xludf.DUMMYFUNCTION("""COMPUTED_VALUE"""),"244 - Channel")</f>
        <v>244 - Channel</v>
      </c>
      <c r="B251" s="4" t="s">
        <v>14</v>
      </c>
      <c r="C251" s="4" t="s">
        <v>221</v>
      </c>
      <c r="D251" s="6">
        <v>0.6792708333333327</v>
      </c>
      <c r="E251" s="6">
        <v>0.009537037037037037</v>
      </c>
      <c r="F251" s="6">
        <v>0.6888078703703697</v>
      </c>
      <c r="G251" s="4" t="s">
        <v>120</v>
      </c>
      <c r="H251" s="4" t="s">
        <v>107</v>
      </c>
      <c r="I251" s="4" t="s">
        <v>326</v>
      </c>
      <c r="J251" s="4" t="s">
        <v>327</v>
      </c>
      <c r="K251" s="4" t="s">
        <v>328</v>
      </c>
      <c r="L251" s="4"/>
      <c r="M251" s="4"/>
      <c r="N251" s="4" t="s">
        <v>329</v>
      </c>
      <c r="O251" s="51" t="b">
        <v>0</v>
      </c>
      <c r="P251" s="51" t="b">
        <v>0</v>
      </c>
      <c r="Q251" s="51" t="b">
        <v>0</v>
      </c>
      <c r="R251" s="51" t="b">
        <v>0</v>
      </c>
      <c r="S251" s="51" t="b">
        <v>0</v>
      </c>
    </row>
    <row r="252" hidden="1">
      <c r="A252" s="4" t="str">
        <f>IFERROR(__xludf.DUMMYFUNCTION("""COMPUTED_VALUE"""),"246 - Channel")</f>
        <v>246 - Channel</v>
      </c>
      <c r="B252" s="4" t="s">
        <v>14</v>
      </c>
      <c r="C252" s="4" t="s">
        <v>221</v>
      </c>
      <c r="D252" s="6">
        <v>0.6888078703703697</v>
      </c>
      <c r="E252" s="6">
        <v>2.314814814814815E-4</v>
      </c>
      <c r="F252" s="6">
        <v>0.6890393518518512</v>
      </c>
      <c r="G252" s="4"/>
      <c r="H252" s="4" t="s">
        <v>81</v>
      </c>
      <c r="I252" s="4" t="s">
        <v>330</v>
      </c>
      <c r="J252" s="4" t="s">
        <v>128</v>
      </c>
      <c r="K252" s="4"/>
      <c r="L252" s="4"/>
      <c r="M252" s="4"/>
      <c r="N252" s="4" t="s">
        <v>70</v>
      </c>
      <c r="O252" s="51" t="b">
        <v>0</v>
      </c>
      <c r="P252" s="51" t="b">
        <v>0</v>
      </c>
      <c r="Q252" s="51" t="b">
        <v>0</v>
      </c>
      <c r="R252" s="51" t="b">
        <v>0</v>
      </c>
      <c r="S252" s="51" t="b">
        <v>0</v>
      </c>
    </row>
    <row r="253" hidden="1">
      <c r="A253" s="4" t="str">
        <f>IFERROR(__xludf.DUMMYFUNCTION("""COMPUTED_VALUE"""),"247 - Channel")</f>
        <v>247 - Channel</v>
      </c>
      <c r="B253" s="4" t="s">
        <v>14</v>
      </c>
      <c r="C253" s="4" t="s">
        <v>221</v>
      </c>
      <c r="D253" s="6">
        <v>0.6890393518518512</v>
      </c>
      <c r="E253" s="6">
        <v>0.0020833333333333333</v>
      </c>
      <c r="F253" s="6">
        <v>0.6911226851851845</v>
      </c>
      <c r="G253" s="4" t="s">
        <v>331</v>
      </c>
      <c r="H253" s="4" t="s">
        <v>83</v>
      </c>
      <c r="I253" s="4" t="s">
        <v>332</v>
      </c>
      <c r="J253" s="4"/>
      <c r="K253" s="4"/>
      <c r="L253" s="4"/>
      <c r="M253" s="4"/>
      <c r="N253" s="4" t="s">
        <v>70</v>
      </c>
      <c r="O253" s="51" t="b">
        <v>0</v>
      </c>
      <c r="P253" s="51" t="b">
        <v>0</v>
      </c>
      <c r="Q253" s="51" t="b">
        <v>0</v>
      </c>
      <c r="R253" s="51" t="b">
        <v>0</v>
      </c>
      <c r="S253" s="51" t="b">
        <v>0</v>
      </c>
    </row>
    <row r="254" hidden="1">
      <c r="A254" s="4" t="str">
        <f>IFERROR(__xludf.DUMMYFUNCTION("""COMPUTED_VALUE"""),"2257 - Channel")</f>
        <v>2257 - Channel</v>
      </c>
      <c r="B254" s="4" t="s">
        <v>14</v>
      </c>
      <c r="C254" s="4" t="s">
        <v>221</v>
      </c>
      <c r="D254" s="6">
        <v>0.6911226851851845</v>
      </c>
      <c r="E254" s="6">
        <v>2.314814814814815E-4</v>
      </c>
      <c r="F254" s="6">
        <v>0.6913541666666659</v>
      </c>
      <c r="G254" s="4"/>
      <c r="H254" s="4" t="s">
        <v>85</v>
      </c>
      <c r="I254" s="4" t="s">
        <v>86</v>
      </c>
      <c r="J254" s="4" t="s">
        <v>128</v>
      </c>
      <c r="K254" s="4"/>
      <c r="L254" s="4"/>
      <c r="M254" s="4"/>
      <c r="N254" s="4"/>
      <c r="O254" s="51" t="b">
        <v>0</v>
      </c>
      <c r="P254" s="51" t="b">
        <v>0</v>
      </c>
      <c r="Q254" s="51" t="b">
        <v>0</v>
      </c>
      <c r="R254" s="51" t="b">
        <v>0</v>
      </c>
      <c r="S254" s="51" t="b">
        <v>0</v>
      </c>
    </row>
    <row r="255" hidden="1">
      <c r="A255" s="4" t="str">
        <f>IFERROR(__xludf.DUMMYFUNCTION("""COMPUTED_VALUE"""),"295 - Channel")</f>
        <v>295 - Channel</v>
      </c>
      <c r="B255" s="4" t="s">
        <v>14</v>
      </c>
      <c r="C255" s="4" t="s">
        <v>289</v>
      </c>
      <c r="D255" s="6">
        <v>0.6913541666666659</v>
      </c>
      <c r="E255" s="6">
        <v>2.314814814814815E-4</v>
      </c>
      <c r="F255" s="6">
        <v>0.6915856481481474</v>
      </c>
      <c r="G255" s="4"/>
      <c r="H255" s="4" t="s">
        <v>81</v>
      </c>
      <c r="I255" s="4" t="s">
        <v>91</v>
      </c>
      <c r="J255" s="4" t="s">
        <v>73</v>
      </c>
      <c r="K255" s="4" t="s">
        <v>105</v>
      </c>
      <c r="L255" s="4"/>
      <c r="M255" s="4"/>
      <c r="N255" s="4" t="s">
        <v>70</v>
      </c>
      <c r="O255" s="51" t="b">
        <v>0</v>
      </c>
      <c r="P255" s="51" t="b">
        <v>0</v>
      </c>
      <c r="Q255" s="51" t="b">
        <v>0</v>
      </c>
      <c r="R255" s="51" t="b">
        <v>0</v>
      </c>
      <c r="S255" s="51" t="b">
        <v>0</v>
      </c>
    </row>
    <row r="256" hidden="1">
      <c r="A256" s="4" t="str">
        <f>IFERROR(__xludf.DUMMYFUNCTION("""COMPUTED_VALUE"""),"296 - Channel")</f>
        <v>296 - Channel</v>
      </c>
      <c r="B256" s="4" t="s">
        <v>14</v>
      </c>
      <c r="C256" s="4" t="s">
        <v>289</v>
      </c>
      <c r="D256" s="6">
        <v>0.6915856481481474</v>
      </c>
      <c r="E256" s="6">
        <v>0.010416666666666666</v>
      </c>
      <c r="F256" s="6">
        <v>0.702002314814814</v>
      </c>
      <c r="G256" s="4"/>
      <c r="H256" s="4" t="s">
        <v>107</v>
      </c>
      <c r="I256" s="4" t="s">
        <v>333</v>
      </c>
      <c r="J256" s="4" t="s">
        <v>334</v>
      </c>
      <c r="K256" s="4" t="s">
        <v>335</v>
      </c>
      <c r="L256" s="4"/>
      <c r="M256" s="4"/>
      <c r="N256" s="4" t="s">
        <v>336</v>
      </c>
      <c r="O256" s="51" t="b">
        <v>0</v>
      </c>
      <c r="P256" s="51" t="b">
        <v>0</v>
      </c>
      <c r="Q256" s="51" t="b">
        <v>0</v>
      </c>
      <c r="R256" s="51" t="b">
        <v>0</v>
      </c>
      <c r="S256" s="51" t="b">
        <v>0</v>
      </c>
    </row>
    <row r="257" hidden="1">
      <c r="A257" s="4" t="str">
        <f>IFERROR(__xludf.DUMMYFUNCTION("""COMPUTED_VALUE"""),"253 - Channel")</f>
        <v>253 - Channel</v>
      </c>
      <c r="B257" s="4" t="s">
        <v>14</v>
      </c>
      <c r="C257" s="4" t="s">
        <v>221</v>
      </c>
      <c r="D257" s="6">
        <v>0.702002314814814</v>
      </c>
      <c r="E257" s="6">
        <v>3.4722222222222224E-4</v>
      </c>
      <c r="F257" s="6">
        <v>0.7023495370370363</v>
      </c>
      <c r="G257" s="4"/>
      <c r="H257" s="4" t="s">
        <v>89</v>
      </c>
      <c r="I257" s="4" t="s">
        <v>80</v>
      </c>
      <c r="J257" s="4" t="s">
        <v>69</v>
      </c>
      <c r="K257" s="4"/>
      <c r="L257" s="4"/>
      <c r="M257" s="4"/>
      <c r="N257" s="4" t="s">
        <v>70</v>
      </c>
      <c r="O257" s="51" t="b">
        <v>0</v>
      </c>
      <c r="P257" s="51" t="b">
        <v>0</v>
      </c>
      <c r="Q257" s="51" t="b">
        <v>0</v>
      </c>
      <c r="R257" s="51" t="b">
        <v>0</v>
      </c>
      <c r="S257" s="51" t="b">
        <v>0</v>
      </c>
    </row>
    <row r="258" hidden="1">
      <c r="A258" s="4" t="str">
        <f>IFERROR(__xludf.DUMMYFUNCTION("""COMPUTED_VALUE"""),"145 - Channel")</f>
        <v>145 - Channel</v>
      </c>
      <c r="B258" s="4" t="s">
        <v>14</v>
      </c>
      <c r="C258" s="4" t="s">
        <v>221</v>
      </c>
      <c r="D258" s="6">
        <v>0.7023495370370363</v>
      </c>
      <c r="E258" s="6">
        <v>0.0010416666666666667</v>
      </c>
      <c r="F258" s="6">
        <v>0.703391203703703</v>
      </c>
      <c r="G258" s="4"/>
      <c r="H258" s="4" t="s">
        <v>248</v>
      </c>
      <c r="I258" s="4" t="s">
        <v>337</v>
      </c>
      <c r="J258" s="4" t="s">
        <v>90</v>
      </c>
      <c r="K258" s="4"/>
      <c r="L258" s="4"/>
      <c r="M258" s="4"/>
      <c r="N258" s="4" t="s">
        <v>70</v>
      </c>
      <c r="O258" s="51" t="b">
        <v>0</v>
      </c>
      <c r="P258" s="51" t="b">
        <v>0</v>
      </c>
      <c r="Q258" s="51" t="b">
        <v>0</v>
      </c>
      <c r="R258" s="51" t="b">
        <v>0</v>
      </c>
      <c r="S258" s="51" t="b">
        <v>0</v>
      </c>
    </row>
    <row r="259" hidden="1">
      <c r="A259" s="4" t="str">
        <f>IFERROR(__xludf.DUMMYFUNCTION("""COMPUTED_VALUE"""),"252 - Channel")</f>
        <v>252 - Channel</v>
      </c>
      <c r="B259" s="4" t="s">
        <v>14</v>
      </c>
      <c r="C259" s="4" t="s">
        <v>221</v>
      </c>
      <c r="D259" s="6">
        <v>0.703391203703703</v>
      </c>
      <c r="E259" s="6">
        <v>2.314814814814815E-4</v>
      </c>
      <c r="F259" s="6">
        <v>0.7036226851851844</v>
      </c>
      <c r="G259" s="4"/>
      <c r="H259" s="4" t="s">
        <v>81</v>
      </c>
      <c r="I259" s="4" t="s">
        <v>119</v>
      </c>
      <c r="J259" s="4" t="s">
        <v>128</v>
      </c>
      <c r="K259" s="4"/>
      <c r="L259" s="4"/>
      <c r="M259" s="4"/>
      <c r="N259" s="4"/>
      <c r="O259" s="51" t="b">
        <v>0</v>
      </c>
      <c r="P259" s="51" t="b">
        <v>0</v>
      </c>
      <c r="Q259" s="51" t="b">
        <v>0</v>
      </c>
      <c r="R259" s="51" t="b">
        <v>0</v>
      </c>
      <c r="S259" s="51" t="b">
        <v>0</v>
      </c>
    </row>
    <row r="260" hidden="1">
      <c r="A260" s="4" t="str">
        <f>IFERROR(__xludf.DUMMYFUNCTION("""COMPUTED_VALUE"""),"235 - Channel")</f>
        <v>235 - Channel</v>
      </c>
      <c r="B260" s="4" t="s">
        <v>14</v>
      </c>
      <c r="C260" s="4" t="s">
        <v>221</v>
      </c>
      <c r="D260" s="6">
        <v>0.7036226851851844</v>
      </c>
      <c r="E260" s="6">
        <v>0.002777777777777778</v>
      </c>
      <c r="F260" s="6">
        <v>0.7064004629629622</v>
      </c>
      <c r="G260" s="4"/>
      <c r="H260" s="4" t="s">
        <v>248</v>
      </c>
      <c r="I260" s="4" t="s">
        <v>338</v>
      </c>
      <c r="J260" s="4" t="s">
        <v>69</v>
      </c>
      <c r="K260" s="4"/>
      <c r="L260" s="4"/>
      <c r="M260" s="4"/>
      <c r="N260" s="4" t="s">
        <v>70</v>
      </c>
      <c r="O260" s="51" t="b">
        <v>0</v>
      </c>
      <c r="P260" s="51" t="b">
        <v>0</v>
      </c>
      <c r="Q260" s="51" t="b">
        <v>0</v>
      </c>
      <c r="R260" s="51" t="b">
        <v>0</v>
      </c>
      <c r="S260" s="51" t="b">
        <v>0</v>
      </c>
    </row>
    <row r="261" hidden="1">
      <c r="A261" s="4" t="str">
        <f>IFERROR(__xludf.DUMMYFUNCTION("""COMPUTED_VALUE"""),"182 - Channel")</f>
        <v>182 - Channel</v>
      </c>
      <c r="B261" s="4" t="s">
        <v>14</v>
      </c>
      <c r="C261" s="4" t="s">
        <v>221</v>
      </c>
      <c r="D261" s="6">
        <v>0.7064004629629622</v>
      </c>
      <c r="E261" s="6">
        <v>2.314814814814815E-4</v>
      </c>
      <c r="F261" s="6">
        <v>0.7066319444444437</v>
      </c>
      <c r="G261" s="4"/>
      <c r="H261" s="4" t="s">
        <v>81</v>
      </c>
      <c r="I261" s="4" t="s">
        <v>91</v>
      </c>
      <c r="J261" s="4" t="s">
        <v>73</v>
      </c>
      <c r="K261" s="4" t="s">
        <v>128</v>
      </c>
      <c r="L261" s="4"/>
      <c r="M261" s="4"/>
      <c r="N261" s="4" t="s">
        <v>70</v>
      </c>
      <c r="O261" s="51" t="b">
        <v>0</v>
      </c>
      <c r="P261" s="51" t="b">
        <v>0</v>
      </c>
      <c r="Q261" s="51" t="b">
        <v>0</v>
      </c>
      <c r="R261" s="51" t="b">
        <v>0</v>
      </c>
      <c r="S261" s="51" t="b">
        <v>0</v>
      </c>
    </row>
    <row r="262" hidden="1">
      <c r="A262" s="4" t="str">
        <f>IFERROR(__xludf.DUMMYFUNCTION("""COMPUTED_VALUE"""),"180 - Channel")</f>
        <v>180 - Channel</v>
      </c>
      <c r="B262" s="4" t="s">
        <v>14</v>
      </c>
      <c r="C262" s="4" t="s">
        <v>221</v>
      </c>
      <c r="D262" s="6">
        <v>0.7066319444444437</v>
      </c>
      <c r="E262" s="6">
        <v>0.013888888888888888</v>
      </c>
      <c r="F262" s="6">
        <v>0.7205208333333325</v>
      </c>
      <c r="G262" s="4"/>
      <c r="H262" s="4" t="s">
        <v>107</v>
      </c>
      <c r="I262" s="4" t="s">
        <v>339</v>
      </c>
      <c r="J262" s="4" t="s">
        <v>340</v>
      </c>
      <c r="K262" s="4" t="s">
        <v>341</v>
      </c>
      <c r="L262" s="4"/>
      <c r="M262" s="4"/>
      <c r="N262" s="4" t="s">
        <v>342</v>
      </c>
      <c r="O262" s="51" t="b">
        <v>0</v>
      </c>
      <c r="P262" s="51" t="b">
        <v>0</v>
      </c>
      <c r="Q262" s="51" t="b">
        <v>0</v>
      </c>
      <c r="R262" s="51" t="b">
        <v>0</v>
      </c>
      <c r="S262" s="51" t="b">
        <v>0</v>
      </c>
    </row>
    <row r="263" hidden="1">
      <c r="A263" s="4" t="str">
        <f>IFERROR(__xludf.DUMMYFUNCTION("""COMPUTED_VALUE"""),"258 - Channel")</f>
        <v>258 - Channel</v>
      </c>
      <c r="B263" s="4" t="s">
        <v>14</v>
      </c>
      <c r="C263" s="4" t="s">
        <v>221</v>
      </c>
      <c r="D263" s="6">
        <v>0.7205208333333325</v>
      </c>
      <c r="E263" s="6">
        <v>6.944444444444445E-4</v>
      </c>
      <c r="F263" s="6">
        <v>0.7212152777777769</v>
      </c>
      <c r="G263" s="4"/>
      <c r="H263" s="4" t="s">
        <v>71</v>
      </c>
      <c r="I263" s="4" t="s">
        <v>343</v>
      </c>
      <c r="J263" s="4" t="s">
        <v>73</v>
      </c>
      <c r="K263" s="4"/>
      <c r="L263" s="4"/>
      <c r="M263" s="4"/>
      <c r="N263" s="4" t="s">
        <v>70</v>
      </c>
      <c r="O263" s="51" t="b">
        <v>0</v>
      </c>
      <c r="P263" s="51" t="b">
        <v>0</v>
      </c>
      <c r="Q263" s="51" t="b">
        <v>0</v>
      </c>
      <c r="R263" s="51" t="b">
        <v>0</v>
      </c>
      <c r="S263" s="51" t="b">
        <v>0</v>
      </c>
    </row>
    <row r="264" hidden="1">
      <c r="A264" s="4" t="str">
        <f>IFERROR(__xludf.DUMMYFUNCTION("""COMPUTED_VALUE"""),"260 - Channel")</f>
        <v>260 - Channel</v>
      </c>
      <c r="B264" s="4" t="s">
        <v>344</v>
      </c>
      <c r="C264" s="4"/>
      <c r="D264" s="6"/>
      <c r="E264" s="6"/>
      <c r="F264" s="6"/>
      <c r="G264" s="4"/>
      <c r="H264" s="4"/>
      <c r="I264" s="4"/>
      <c r="J264" s="4"/>
      <c r="K264" s="4"/>
      <c r="L264" s="4"/>
      <c r="M264" s="4"/>
      <c r="N264" s="4" t="s">
        <v>70</v>
      </c>
      <c r="O264" s="51" t="b">
        <v>0</v>
      </c>
      <c r="P264" s="51" t="b">
        <v>0</v>
      </c>
      <c r="Q264" s="51" t="b">
        <v>0</v>
      </c>
      <c r="R264" s="51" t="b">
        <v>0</v>
      </c>
      <c r="S264" s="51" t="b">
        <v>0</v>
      </c>
    </row>
    <row r="265" hidden="1">
      <c r="A265" s="4" t="str">
        <f>IFERROR(__xludf.DUMMYFUNCTION("""COMPUTED_VALUE"""),"261 - Channel")</f>
        <v>261 - Channel</v>
      </c>
      <c r="B265" s="4" t="s">
        <v>14</v>
      </c>
      <c r="C265" s="4" t="s">
        <v>289</v>
      </c>
      <c r="D265" s="6">
        <v>0.4166666666666667</v>
      </c>
      <c r="E265" s="6">
        <v>0.0010416666666666667</v>
      </c>
      <c r="F265" s="6">
        <v>0.41770833333333335</v>
      </c>
      <c r="G265" s="4"/>
      <c r="H265" s="4" t="s">
        <v>67</v>
      </c>
      <c r="I265" s="4" t="s">
        <v>68</v>
      </c>
      <c r="J265" s="4" t="s">
        <v>69</v>
      </c>
      <c r="K265" s="4"/>
      <c r="L265" s="4"/>
      <c r="M265" s="4"/>
      <c r="N265" s="4" t="s">
        <v>70</v>
      </c>
      <c r="O265" s="51" t="b">
        <v>0</v>
      </c>
      <c r="P265" s="51" t="b">
        <v>0</v>
      </c>
      <c r="Q265" s="51" t="b">
        <v>0</v>
      </c>
      <c r="R265" s="51" t="b">
        <v>0</v>
      </c>
      <c r="S265" s="51" t="b">
        <v>0</v>
      </c>
    </row>
    <row r="266" hidden="1">
      <c r="A266" s="4" t="str">
        <f>IFERROR(__xludf.DUMMYFUNCTION("""COMPUTED_VALUE"""),"262 - Channel")</f>
        <v>262 - Channel</v>
      </c>
      <c r="B266" s="4" t="s">
        <v>14</v>
      </c>
      <c r="C266" s="4" t="s">
        <v>289</v>
      </c>
      <c r="D266" s="6">
        <v>0.41770833333333335</v>
      </c>
      <c r="E266" s="6">
        <v>6.944444444444445E-4</v>
      </c>
      <c r="F266" s="6">
        <v>0.4184027777777778</v>
      </c>
      <c r="G266" s="4"/>
      <c r="H266" s="4" t="s">
        <v>103</v>
      </c>
      <c r="I266" s="4" t="s">
        <v>345</v>
      </c>
      <c r="J266" s="4" t="s">
        <v>105</v>
      </c>
      <c r="K266" s="4"/>
      <c r="L266" s="4"/>
      <c r="M266" s="4"/>
      <c r="N266" s="4" t="s">
        <v>70</v>
      </c>
      <c r="O266" s="51" t="b">
        <v>0</v>
      </c>
      <c r="P266" s="51" t="b">
        <v>0</v>
      </c>
      <c r="Q266" s="51" t="b">
        <v>0</v>
      </c>
      <c r="R266" s="51" t="b">
        <v>0</v>
      </c>
      <c r="S266" s="51" t="b">
        <v>0</v>
      </c>
    </row>
    <row r="267" hidden="1">
      <c r="A267" s="4" t="str">
        <f>IFERROR(__xludf.DUMMYFUNCTION("""COMPUTED_VALUE"""),"263 - Channel")</f>
        <v>263 - Channel</v>
      </c>
      <c r="B267" s="4" t="s">
        <v>14</v>
      </c>
      <c r="C267" s="4" t="s">
        <v>289</v>
      </c>
      <c r="D267" s="6">
        <v>0.4184027777777778</v>
      </c>
      <c r="E267" s="6">
        <v>2.314814814814815E-4</v>
      </c>
      <c r="F267" s="6">
        <v>0.4186342592592593</v>
      </c>
      <c r="G267" s="4"/>
      <c r="H267" s="4" t="s">
        <v>81</v>
      </c>
      <c r="I267" s="4" t="s">
        <v>81</v>
      </c>
      <c r="J267" s="4" t="s">
        <v>105</v>
      </c>
      <c r="K267" s="4"/>
      <c r="L267" s="4"/>
      <c r="M267" s="4"/>
      <c r="N267" s="4" t="s">
        <v>70</v>
      </c>
      <c r="O267" s="51" t="b">
        <v>0</v>
      </c>
      <c r="P267" s="51" t="b">
        <v>0</v>
      </c>
      <c r="Q267" s="51" t="b">
        <v>0</v>
      </c>
      <c r="R267" s="51" t="b">
        <v>0</v>
      </c>
      <c r="S267" s="51" t="b">
        <v>0</v>
      </c>
    </row>
    <row r="268" hidden="1">
      <c r="A268" s="4" t="str">
        <f>IFERROR(__xludf.DUMMYFUNCTION("""COMPUTED_VALUE"""),"264 - Channel")</f>
        <v>264 - Channel</v>
      </c>
      <c r="B268" s="4" t="s">
        <v>14</v>
      </c>
      <c r="C268" s="4" t="s">
        <v>289</v>
      </c>
      <c r="D268" s="6">
        <v>0.4186342592592593</v>
      </c>
      <c r="E268" s="6">
        <v>0.009606481481481481</v>
      </c>
      <c r="F268" s="6">
        <v>0.42824074074074076</v>
      </c>
      <c r="G268" s="4"/>
      <c r="H268" s="4" t="s">
        <v>94</v>
      </c>
      <c r="I268" s="4" t="s">
        <v>346</v>
      </c>
      <c r="J268" s="4" t="s">
        <v>347</v>
      </c>
      <c r="K268" s="4"/>
      <c r="L268" s="4"/>
      <c r="M268" s="4"/>
      <c r="N268" s="4" t="s">
        <v>348</v>
      </c>
      <c r="O268" s="51" t="b">
        <v>0</v>
      </c>
      <c r="P268" s="51" t="b">
        <v>0</v>
      </c>
      <c r="Q268" s="51" t="b">
        <v>0</v>
      </c>
      <c r="R268" s="51" t="b">
        <v>0</v>
      </c>
      <c r="S268" s="51" t="b">
        <v>0</v>
      </c>
    </row>
    <row r="269" hidden="1">
      <c r="A269" s="4" t="str">
        <f>IFERROR(__xludf.DUMMYFUNCTION("""COMPUTED_VALUE"""),"266 - Channel")</f>
        <v>266 - Channel</v>
      </c>
      <c r="B269" s="4" t="s">
        <v>14</v>
      </c>
      <c r="C269" s="4" t="s">
        <v>289</v>
      </c>
      <c r="D269" s="6">
        <v>0.42824074074074076</v>
      </c>
      <c r="E269" s="6">
        <v>2.314814814814815E-4</v>
      </c>
      <c r="F269" s="6">
        <v>0.42847222222222225</v>
      </c>
      <c r="G269" s="4"/>
      <c r="H269" s="4" t="s">
        <v>81</v>
      </c>
      <c r="I269" s="4" t="s">
        <v>349</v>
      </c>
      <c r="J269" s="4" t="s">
        <v>73</v>
      </c>
      <c r="K269" s="4" t="s">
        <v>105</v>
      </c>
      <c r="L269" s="4"/>
      <c r="M269" s="4"/>
      <c r="N269" s="4" t="s">
        <v>70</v>
      </c>
      <c r="O269" s="51" t="b">
        <v>0</v>
      </c>
      <c r="P269" s="51" t="b">
        <v>0</v>
      </c>
      <c r="Q269" s="51" t="b">
        <v>0</v>
      </c>
      <c r="R269" s="51" t="b">
        <v>0</v>
      </c>
      <c r="S269" s="51" t="b">
        <v>0</v>
      </c>
    </row>
    <row r="270" hidden="1">
      <c r="A270" s="4" t="str">
        <f>IFERROR(__xludf.DUMMYFUNCTION("""COMPUTED_VALUE"""),"267 - Channel")</f>
        <v>267 - Channel</v>
      </c>
      <c r="B270" s="4" t="s">
        <v>14</v>
      </c>
      <c r="C270" s="4" t="s">
        <v>289</v>
      </c>
      <c r="D270" s="6">
        <v>0.42847222222222225</v>
      </c>
      <c r="E270" s="6">
        <v>0.0020833333333333333</v>
      </c>
      <c r="F270" s="6">
        <v>0.4305555555555556</v>
      </c>
      <c r="G270" s="4" t="s">
        <v>120</v>
      </c>
      <c r="H270" s="4" t="s">
        <v>83</v>
      </c>
      <c r="I270" s="4" t="s">
        <v>350</v>
      </c>
      <c r="J270" s="4"/>
      <c r="K270" s="4"/>
      <c r="L270" s="4"/>
      <c r="M270" s="4"/>
      <c r="N270" s="4" t="s">
        <v>70</v>
      </c>
      <c r="O270" s="51" t="b">
        <v>0</v>
      </c>
      <c r="P270" s="51" t="b">
        <v>0</v>
      </c>
      <c r="Q270" s="51" t="b">
        <v>0</v>
      </c>
      <c r="R270" s="51" t="b">
        <v>0</v>
      </c>
      <c r="S270" s="51" t="b">
        <v>0</v>
      </c>
    </row>
    <row r="271" hidden="1">
      <c r="A271" s="4" t="str">
        <f>IFERROR(__xludf.DUMMYFUNCTION("""COMPUTED_VALUE"""),"2258 - Channel")</f>
        <v>2258 - Channel</v>
      </c>
      <c r="B271" s="4" t="s">
        <v>14</v>
      </c>
      <c r="C271" s="4" t="s">
        <v>289</v>
      </c>
      <c r="D271" s="6">
        <v>0.4305555555555556</v>
      </c>
      <c r="E271" s="6">
        <v>2.314814814814815E-4</v>
      </c>
      <c r="F271" s="6">
        <v>0.4307870370370371</v>
      </c>
      <c r="G271" s="4"/>
      <c r="H271" s="4" t="s">
        <v>85</v>
      </c>
      <c r="I271" s="4" t="s">
        <v>86</v>
      </c>
      <c r="J271" s="4" t="s">
        <v>73</v>
      </c>
      <c r="K271" s="4"/>
      <c r="L271" s="4"/>
      <c r="M271" s="4"/>
      <c r="N271" s="4"/>
      <c r="O271" s="51" t="b">
        <v>0</v>
      </c>
      <c r="P271" s="51" t="b">
        <v>0</v>
      </c>
      <c r="Q271" s="51" t="b">
        <v>0</v>
      </c>
      <c r="R271" s="51" t="b">
        <v>0</v>
      </c>
      <c r="S271" s="51" t="b">
        <v>0</v>
      </c>
    </row>
    <row r="272" hidden="1">
      <c r="A272" s="4" t="str">
        <f>IFERROR(__xludf.DUMMYFUNCTION("""COMPUTED_VALUE"""),"269 - Channel")</f>
        <v>269 - Channel</v>
      </c>
      <c r="B272" s="4" t="s">
        <v>14</v>
      </c>
      <c r="C272" s="4" t="s">
        <v>289</v>
      </c>
      <c r="D272" s="6">
        <v>0.4307870370370371</v>
      </c>
      <c r="E272" s="6">
        <v>5.208333333333333E-4</v>
      </c>
      <c r="F272" s="6">
        <v>0.43130787037037044</v>
      </c>
      <c r="G272" s="4"/>
      <c r="H272" s="4" t="s">
        <v>126</v>
      </c>
      <c r="I272" s="4" t="s">
        <v>351</v>
      </c>
      <c r="J272" s="4" t="s">
        <v>90</v>
      </c>
      <c r="K272" s="4"/>
      <c r="L272" s="4"/>
      <c r="M272" s="4"/>
      <c r="N272" s="4" t="s">
        <v>70</v>
      </c>
      <c r="O272" s="51" t="b">
        <v>0</v>
      </c>
      <c r="P272" s="51" t="b">
        <v>0</v>
      </c>
      <c r="Q272" s="51" t="b">
        <v>0</v>
      </c>
      <c r="R272" s="51" t="b">
        <v>0</v>
      </c>
      <c r="S272" s="51" t="b">
        <v>0</v>
      </c>
    </row>
    <row r="273" hidden="1">
      <c r="A273" s="4" t="str">
        <f>IFERROR(__xludf.DUMMYFUNCTION("""COMPUTED_VALUE"""),"270 - Channel")</f>
        <v>270 - Channel</v>
      </c>
      <c r="B273" s="4" t="s">
        <v>14</v>
      </c>
      <c r="C273" s="4" t="s">
        <v>289</v>
      </c>
      <c r="D273" s="6">
        <v>0.43130787037037044</v>
      </c>
      <c r="E273" s="6">
        <v>3.4722222222222224E-4</v>
      </c>
      <c r="F273" s="6">
        <v>0.43165509259259266</v>
      </c>
      <c r="G273" s="4"/>
      <c r="H273" s="4" t="s">
        <v>89</v>
      </c>
      <c r="I273" s="4" t="s">
        <v>80</v>
      </c>
      <c r="J273" s="4" t="s">
        <v>69</v>
      </c>
      <c r="K273" s="4"/>
      <c r="L273" s="4"/>
      <c r="M273" s="4"/>
      <c r="N273" s="4" t="s">
        <v>70</v>
      </c>
      <c r="O273" s="51" t="b">
        <v>0</v>
      </c>
      <c r="P273" s="51" t="b">
        <v>0</v>
      </c>
      <c r="Q273" s="51" t="b">
        <v>0</v>
      </c>
      <c r="R273" s="51" t="b">
        <v>0</v>
      </c>
      <c r="S273" s="51" t="b">
        <v>0</v>
      </c>
    </row>
    <row r="274" hidden="1">
      <c r="A274" s="4" t="str">
        <f>IFERROR(__xludf.DUMMYFUNCTION("""COMPUTED_VALUE"""),"371 - Channel")</f>
        <v>371 - Channel</v>
      </c>
      <c r="B274" s="4" t="s">
        <v>14</v>
      </c>
      <c r="C274" s="4" t="s">
        <v>289</v>
      </c>
      <c r="D274" s="6">
        <v>0.43165509259259266</v>
      </c>
      <c r="E274" s="6">
        <v>2.314814814814815E-4</v>
      </c>
      <c r="F274" s="6">
        <v>0.43188657407407416</v>
      </c>
      <c r="G274" s="4"/>
      <c r="H274" s="4" t="s">
        <v>81</v>
      </c>
      <c r="I274" s="4" t="s">
        <v>81</v>
      </c>
      <c r="J274" s="4" t="s">
        <v>105</v>
      </c>
      <c r="K274" s="4"/>
      <c r="L274" s="4"/>
      <c r="M274" s="4"/>
      <c r="N274" s="4" t="s">
        <v>70</v>
      </c>
      <c r="O274" s="51" t="b">
        <v>0</v>
      </c>
      <c r="P274" s="51" t="b">
        <v>0</v>
      </c>
      <c r="Q274" s="51" t="b">
        <v>0</v>
      </c>
      <c r="R274" s="51" t="b">
        <v>0</v>
      </c>
      <c r="S274" s="51" t="b">
        <v>0</v>
      </c>
    </row>
    <row r="275" hidden="1">
      <c r="A275" s="4" t="str">
        <f>IFERROR(__xludf.DUMMYFUNCTION("""COMPUTED_VALUE"""),"372 - Channel")</f>
        <v>372 - Channel</v>
      </c>
      <c r="B275" s="4" t="s">
        <v>14</v>
      </c>
      <c r="C275" s="4" t="s">
        <v>289</v>
      </c>
      <c r="D275" s="6">
        <v>0.43188657407407416</v>
      </c>
      <c r="E275" s="6">
        <v>0.009722222222222222</v>
      </c>
      <c r="F275" s="6">
        <v>0.4416087962962964</v>
      </c>
      <c r="G275" s="4"/>
      <c r="H275" s="4" t="s">
        <v>94</v>
      </c>
      <c r="I275" s="4" t="s">
        <v>352</v>
      </c>
      <c r="J275" s="4" t="s">
        <v>353</v>
      </c>
      <c r="K275" s="4"/>
      <c r="L275" s="4"/>
      <c r="M275" s="4"/>
      <c r="N275" s="4" t="s">
        <v>354</v>
      </c>
      <c r="O275" s="51" t="b">
        <v>0</v>
      </c>
      <c r="P275" s="51" t="b">
        <v>0</v>
      </c>
      <c r="Q275" s="51" t="b">
        <v>0</v>
      </c>
      <c r="R275" s="51" t="b">
        <v>0</v>
      </c>
      <c r="S275" s="51" t="b">
        <v>0</v>
      </c>
    </row>
    <row r="276" hidden="1">
      <c r="A276" s="4" t="str">
        <f>IFERROR(__xludf.DUMMYFUNCTION("""COMPUTED_VALUE"""),"274 - Channel")</f>
        <v>274 - Channel</v>
      </c>
      <c r="B276" s="4" t="s">
        <v>14</v>
      </c>
      <c r="C276" s="4" t="s">
        <v>289</v>
      </c>
      <c r="D276" s="6">
        <v>0.4416087962962964</v>
      </c>
      <c r="E276" s="6">
        <v>6.712962962962962E-4</v>
      </c>
      <c r="F276" s="6">
        <v>0.4422800925925927</v>
      </c>
      <c r="G276" s="4"/>
      <c r="H276" s="4" t="s">
        <v>126</v>
      </c>
      <c r="I276" s="4" t="s">
        <v>355</v>
      </c>
      <c r="J276" s="4" t="s">
        <v>90</v>
      </c>
      <c r="K276" s="4"/>
      <c r="L276" s="4"/>
      <c r="M276" s="4"/>
      <c r="N276" s="4" t="s">
        <v>70</v>
      </c>
      <c r="O276" s="51" t="b">
        <v>0</v>
      </c>
      <c r="P276" s="51" t="b">
        <v>0</v>
      </c>
      <c r="Q276" s="51" t="b">
        <v>0</v>
      </c>
      <c r="R276" s="51" t="b">
        <v>0</v>
      </c>
      <c r="S276" s="51" t="b">
        <v>0</v>
      </c>
    </row>
    <row r="277" hidden="1">
      <c r="A277" s="4" t="str">
        <f>IFERROR(__xludf.DUMMYFUNCTION("""COMPUTED_VALUE"""),"384 - Channel")</f>
        <v>384 - Channel</v>
      </c>
      <c r="B277" s="4" t="s">
        <v>14</v>
      </c>
      <c r="C277" s="4" t="s">
        <v>289</v>
      </c>
      <c r="D277" s="6">
        <v>0.4422800925925927</v>
      </c>
      <c r="E277" s="6">
        <v>2.314814814814815E-4</v>
      </c>
      <c r="F277" s="6">
        <v>0.4425115740740742</v>
      </c>
      <c r="G277" s="4"/>
      <c r="H277" s="4" t="s">
        <v>81</v>
      </c>
      <c r="I277" s="4" t="s">
        <v>119</v>
      </c>
      <c r="J277" s="4" t="s">
        <v>105</v>
      </c>
      <c r="K277" s="4"/>
      <c r="L277" s="4"/>
      <c r="M277" s="4"/>
      <c r="N277" s="4" t="s">
        <v>70</v>
      </c>
      <c r="O277" s="51" t="b">
        <v>0</v>
      </c>
      <c r="P277" s="51" t="b">
        <v>0</v>
      </c>
      <c r="Q277" s="51" t="b">
        <v>0</v>
      </c>
      <c r="R277" s="51" t="b">
        <v>0</v>
      </c>
      <c r="S277" s="51" t="b">
        <v>0</v>
      </c>
    </row>
    <row r="278" hidden="1">
      <c r="A278" s="4" t="str">
        <f>IFERROR(__xludf.DUMMYFUNCTION("""COMPUTED_VALUE"""),"385 - Channel")</f>
        <v>385 - Channel</v>
      </c>
      <c r="B278" s="4" t="s">
        <v>14</v>
      </c>
      <c r="C278" s="4" t="s">
        <v>289</v>
      </c>
      <c r="D278" s="6">
        <v>0.4425115740740742</v>
      </c>
      <c r="E278" s="6">
        <v>0.004861111111111111</v>
      </c>
      <c r="F278" s="6">
        <v>0.4473726851851853</v>
      </c>
      <c r="G278" s="4"/>
      <c r="H278" s="4" t="s">
        <v>165</v>
      </c>
      <c r="I278" s="4" t="s">
        <v>356</v>
      </c>
      <c r="J278" s="4" t="s">
        <v>357</v>
      </c>
      <c r="K278" s="4"/>
      <c r="L278" s="4"/>
      <c r="M278" s="4"/>
      <c r="N278" s="4" t="s">
        <v>70</v>
      </c>
      <c r="O278" s="51" t="b">
        <v>0</v>
      </c>
      <c r="P278" s="51" t="b">
        <v>0</v>
      </c>
      <c r="Q278" s="51" t="b">
        <v>0</v>
      </c>
      <c r="R278" s="51" t="b">
        <v>0</v>
      </c>
      <c r="S278" s="51" t="b">
        <v>0</v>
      </c>
    </row>
    <row r="279" hidden="1">
      <c r="A279" s="4" t="str">
        <f>IFERROR(__xludf.DUMMYFUNCTION("""COMPUTED_VALUE"""),"1720 - Channel")</f>
        <v>1720 - Channel</v>
      </c>
      <c r="B279" s="4" t="s">
        <v>14</v>
      </c>
      <c r="C279" s="4" t="s">
        <v>289</v>
      </c>
      <c r="D279" s="6">
        <v>0.4473726851851853</v>
      </c>
      <c r="E279" s="6">
        <v>2.314814814814815E-4</v>
      </c>
      <c r="F279" s="6">
        <v>0.4476041666666668</v>
      </c>
      <c r="G279" s="4"/>
      <c r="H279" s="4" t="s">
        <v>81</v>
      </c>
      <c r="I279" s="4" t="s">
        <v>91</v>
      </c>
      <c r="J279" s="4" t="s">
        <v>73</v>
      </c>
      <c r="K279" s="4" t="s">
        <v>105</v>
      </c>
      <c r="L279" s="4"/>
      <c r="M279" s="4"/>
      <c r="N279" s="4" t="s">
        <v>70</v>
      </c>
      <c r="O279" s="51" t="b">
        <v>0</v>
      </c>
      <c r="P279" s="51" t="b">
        <v>0</v>
      </c>
      <c r="Q279" s="51" t="b">
        <v>0</v>
      </c>
      <c r="R279" s="51" t="b">
        <v>0</v>
      </c>
      <c r="S279" s="51" t="b">
        <v>0</v>
      </c>
    </row>
    <row r="280" hidden="1">
      <c r="A280" s="4" t="str">
        <f>IFERROR(__xludf.DUMMYFUNCTION("""COMPUTED_VALUE"""),"1715 - Channel")</f>
        <v>1715 - Channel</v>
      </c>
      <c r="B280" s="4" t="s">
        <v>14</v>
      </c>
      <c r="C280" s="4" t="s">
        <v>289</v>
      </c>
      <c r="D280" s="6">
        <v>0.4476041666666668</v>
      </c>
      <c r="E280" s="6">
        <v>2.314814814814815E-4</v>
      </c>
      <c r="F280" s="6">
        <v>0.4478356481481483</v>
      </c>
      <c r="G280" s="4"/>
      <c r="H280" s="4" t="s">
        <v>81</v>
      </c>
      <c r="I280" s="4" t="s">
        <v>81</v>
      </c>
      <c r="J280" s="4" t="s">
        <v>105</v>
      </c>
      <c r="K280" s="4"/>
      <c r="L280" s="4"/>
      <c r="M280" s="4"/>
      <c r="N280" s="4"/>
      <c r="O280" s="51" t="b">
        <v>0</v>
      </c>
      <c r="P280" s="51" t="b">
        <v>0</v>
      </c>
      <c r="Q280" s="51" t="b">
        <v>0</v>
      </c>
      <c r="R280" s="51" t="b">
        <v>0</v>
      </c>
      <c r="S280" s="51" t="b">
        <v>0</v>
      </c>
    </row>
    <row r="281" hidden="1">
      <c r="A281" s="4" t="str">
        <f>IFERROR(__xludf.DUMMYFUNCTION("""COMPUTED_VALUE"""),"1716 - Channel")</f>
        <v>1716 - Channel</v>
      </c>
      <c r="B281" s="4" t="s">
        <v>14</v>
      </c>
      <c r="C281" s="4" t="s">
        <v>289</v>
      </c>
      <c r="D281" s="6">
        <v>0.4478356481481483</v>
      </c>
      <c r="E281" s="6">
        <v>0.010416666666666666</v>
      </c>
      <c r="F281" s="6">
        <v>0.458252314814815</v>
      </c>
      <c r="G281" s="4" t="s">
        <v>358</v>
      </c>
      <c r="H281" s="4" t="s">
        <v>94</v>
      </c>
      <c r="I281" s="4" t="s">
        <v>359</v>
      </c>
      <c r="J281" s="4" t="s">
        <v>360</v>
      </c>
      <c r="K281" s="4"/>
      <c r="L281" s="4"/>
      <c r="M281" s="4"/>
      <c r="N281" s="4" t="s">
        <v>361</v>
      </c>
      <c r="O281" s="51" t="b">
        <v>0</v>
      </c>
      <c r="P281" s="51" t="b">
        <v>0</v>
      </c>
      <c r="Q281" s="51" t="b">
        <v>0</v>
      </c>
      <c r="R281" s="51" t="b">
        <v>0</v>
      </c>
      <c r="S281" s="51" t="b">
        <v>0</v>
      </c>
    </row>
    <row r="282" hidden="1">
      <c r="A282" s="4" t="str">
        <f>IFERROR(__xludf.DUMMYFUNCTION("""COMPUTED_VALUE"""),"1796 - Channel")</f>
        <v>1796 - Channel</v>
      </c>
      <c r="B282" s="4" t="s">
        <v>14</v>
      </c>
      <c r="C282" s="4" t="s">
        <v>289</v>
      </c>
      <c r="D282" s="6"/>
      <c r="E282" s="6"/>
      <c r="F282" s="6"/>
      <c r="G282" s="4"/>
      <c r="H282" s="4"/>
      <c r="I282" s="4"/>
      <c r="J282" s="4"/>
      <c r="K282" s="4"/>
      <c r="L282" s="4"/>
      <c r="M282" s="4"/>
      <c r="N282" s="4"/>
      <c r="O282" s="51" t="b">
        <v>0</v>
      </c>
      <c r="P282" s="51" t="b">
        <v>0</v>
      </c>
      <c r="Q282" s="51" t="b">
        <v>0</v>
      </c>
      <c r="R282" s="51" t="b">
        <v>0</v>
      </c>
      <c r="S282" s="51" t="b">
        <v>0</v>
      </c>
    </row>
    <row r="283" hidden="1">
      <c r="A283" s="4" t="str">
        <f>IFERROR(__xludf.DUMMYFUNCTION("""COMPUTED_VALUE"""),"290 - Channel")</f>
        <v>290 - Channel</v>
      </c>
      <c r="B283" s="4" t="s">
        <v>14</v>
      </c>
      <c r="C283" s="4" t="s">
        <v>289</v>
      </c>
      <c r="D283" s="6">
        <v>0.458252314814815</v>
      </c>
      <c r="E283" s="6">
        <v>6.944444444444445E-4</v>
      </c>
      <c r="F283" s="6">
        <v>0.45894675925925943</v>
      </c>
      <c r="G283" s="4"/>
      <c r="H283" s="4" t="s">
        <v>103</v>
      </c>
      <c r="I283" s="4" t="s">
        <v>362</v>
      </c>
      <c r="J283" s="4" t="s">
        <v>128</v>
      </c>
      <c r="K283" s="4"/>
      <c r="L283" s="4"/>
      <c r="M283" s="4"/>
      <c r="N283" s="4" t="s">
        <v>70</v>
      </c>
      <c r="O283" s="51" t="b">
        <v>0</v>
      </c>
      <c r="P283" s="51" t="b">
        <v>0</v>
      </c>
      <c r="Q283" s="51" t="b">
        <v>0</v>
      </c>
      <c r="R283" s="51" t="b">
        <v>0</v>
      </c>
      <c r="S283" s="51" t="b">
        <v>0</v>
      </c>
    </row>
    <row r="284" hidden="1">
      <c r="A284" s="4" t="str">
        <f>IFERROR(__xludf.DUMMYFUNCTION("""COMPUTED_VALUE"""),"1408 - Channel")</f>
        <v>1408 - Channel</v>
      </c>
      <c r="B284" s="4" t="s">
        <v>14</v>
      </c>
      <c r="C284" s="4" t="s">
        <v>289</v>
      </c>
      <c r="D284" s="6">
        <v>0.45894675925925943</v>
      </c>
      <c r="E284" s="6">
        <v>3.4722222222222224E-4</v>
      </c>
      <c r="F284" s="6">
        <v>0.45929398148148165</v>
      </c>
      <c r="G284" s="4"/>
      <c r="H284" s="4" t="s">
        <v>87</v>
      </c>
      <c r="I284" s="4" t="s">
        <v>88</v>
      </c>
      <c r="J284" s="4" t="s">
        <v>69</v>
      </c>
      <c r="K284" s="4"/>
      <c r="L284" s="4"/>
      <c r="M284" s="4"/>
      <c r="N284" s="4"/>
      <c r="O284" s="51" t="b">
        <v>0</v>
      </c>
      <c r="P284" s="51" t="b">
        <v>0</v>
      </c>
      <c r="Q284" s="51" t="b">
        <v>0</v>
      </c>
      <c r="R284" s="51" t="b">
        <v>0</v>
      </c>
      <c r="S284" s="51" t="b">
        <v>0</v>
      </c>
    </row>
    <row r="285" hidden="1">
      <c r="A285" s="4" t="str">
        <f>IFERROR(__xludf.DUMMYFUNCTION("""COMPUTED_VALUE"""),"287 - Channel")</f>
        <v>287 - Channel</v>
      </c>
      <c r="B285" s="4" t="s">
        <v>14</v>
      </c>
      <c r="C285" s="4" t="s">
        <v>289</v>
      </c>
      <c r="D285" s="6">
        <v>0.45929398148148165</v>
      </c>
      <c r="E285" s="6">
        <v>2.314814814814815E-4</v>
      </c>
      <c r="F285" s="6">
        <v>0.45952546296296315</v>
      </c>
      <c r="G285" s="4"/>
      <c r="H285" s="4" t="s">
        <v>81</v>
      </c>
      <c r="I285" s="4" t="s">
        <v>81</v>
      </c>
      <c r="J285" s="4" t="s">
        <v>128</v>
      </c>
      <c r="K285" s="4" t="s">
        <v>128</v>
      </c>
      <c r="L285" s="4"/>
      <c r="M285" s="4"/>
      <c r="N285" s="4" t="s">
        <v>70</v>
      </c>
      <c r="O285" s="51" t="b">
        <v>0</v>
      </c>
      <c r="P285" s="51" t="b">
        <v>0</v>
      </c>
      <c r="Q285" s="51" t="b">
        <v>0</v>
      </c>
      <c r="R285" s="51" t="b">
        <v>0</v>
      </c>
      <c r="S285" s="51" t="b">
        <v>0</v>
      </c>
    </row>
    <row r="286" hidden="1">
      <c r="A286" s="4" t="str">
        <f>IFERROR(__xludf.DUMMYFUNCTION("""COMPUTED_VALUE"""),"288 - Channel")</f>
        <v>288 - Channel</v>
      </c>
      <c r="B286" s="4" t="s">
        <v>14</v>
      </c>
      <c r="C286" s="4" t="s">
        <v>289</v>
      </c>
      <c r="D286" s="6">
        <v>0.45952546296296315</v>
      </c>
      <c r="E286" s="6">
        <v>0.008796296296296297</v>
      </c>
      <c r="F286" s="6">
        <v>0.46832175925925945</v>
      </c>
      <c r="G286" s="4" t="s">
        <v>140</v>
      </c>
      <c r="H286" s="4" t="s">
        <v>107</v>
      </c>
      <c r="I286" s="4" t="s">
        <v>363</v>
      </c>
      <c r="J286" s="4" t="s">
        <v>364</v>
      </c>
      <c r="K286" s="4" t="s">
        <v>365</v>
      </c>
      <c r="L286" s="4"/>
      <c r="M286" s="4"/>
      <c r="N286" s="4" t="s">
        <v>366</v>
      </c>
      <c r="O286" s="51" t="b">
        <v>0</v>
      </c>
      <c r="P286" s="51" t="b">
        <v>0</v>
      </c>
      <c r="Q286" s="51" t="b">
        <v>0</v>
      </c>
      <c r="R286" s="51" t="b">
        <v>0</v>
      </c>
      <c r="S286" s="51" t="b">
        <v>0</v>
      </c>
    </row>
    <row r="287" hidden="1">
      <c r="A287" s="4" t="str">
        <f>IFERROR(__xludf.DUMMYFUNCTION("""COMPUTED_VALUE"""),"283 - Channel")</f>
        <v>283 - Channel</v>
      </c>
      <c r="B287" s="4" t="s">
        <v>14</v>
      </c>
      <c r="C287" s="4" t="s">
        <v>289</v>
      </c>
      <c r="D287" s="6">
        <v>0.46832175925925945</v>
      </c>
      <c r="E287" s="6">
        <v>3.4722222222222224E-4</v>
      </c>
      <c r="F287" s="6">
        <v>0.4686689814814817</v>
      </c>
      <c r="G287" s="4"/>
      <c r="H287" s="4"/>
      <c r="I287" s="4" t="s">
        <v>367</v>
      </c>
      <c r="J287" s="4" t="s">
        <v>128</v>
      </c>
      <c r="K287" s="4"/>
      <c r="L287" s="4"/>
      <c r="M287" s="4"/>
      <c r="N287" s="4" t="s">
        <v>70</v>
      </c>
      <c r="O287" s="51" t="b">
        <v>0</v>
      </c>
      <c r="P287" s="51" t="b">
        <v>0</v>
      </c>
      <c r="Q287" s="51" t="b">
        <v>0</v>
      </c>
      <c r="R287" s="51" t="b">
        <v>0</v>
      </c>
      <c r="S287" s="51" t="b">
        <v>0</v>
      </c>
    </row>
    <row r="288" hidden="1">
      <c r="A288" s="4" t="str">
        <f>IFERROR(__xludf.DUMMYFUNCTION("""COMPUTED_VALUE"""),"284 - Channel")</f>
        <v>284 - Channel</v>
      </c>
      <c r="B288" s="4" t="s">
        <v>14</v>
      </c>
      <c r="C288" s="4" t="s">
        <v>289</v>
      </c>
      <c r="D288" s="6">
        <v>0.4686689814814817</v>
      </c>
      <c r="E288" s="6">
        <v>0.0020833333333333333</v>
      </c>
      <c r="F288" s="6">
        <v>0.470752314814815</v>
      </c>
      <c r="G288" s="4" t="s">
        <v>368</v>
      </c>
      <c r="H288" s="4" t="s">
        <v>83</v>
      </c>
      <c r="I288" s="4" t="s">
        <v>369</v>
      </c>
      <c r="J288" s="4"/>
      <c r="K288" s="4"/>
      <c r="L288" s="4"/>
      <c r="M288" s="4"/>
      <c r="N288" s="4" t="s">
        <v>70</v>
      </c>
      <c r="O288" s="51" t="b">
        <v>0</v>
      </c>
      <c r="P288" s="51" t="b">
        <v>0</v>
      </c>
      <c r="Q288" s="51" t="b">
        <v>0</v>
      </c>
      <c r="R288" s="51" t="b">
        <v>0</v>
      </c>
      <c r="S288" s="51" t="b">
        <v>0</v>
      </c>
    </row>
    <row r="289" hidden="1">
      <c r="A289" s="4" t="str">
        <f>IFERROR(__xludf.DUMMYFUNCTION("""COMPUTED_VALUE"""),"2259 - Channel")</f>
        <v>2259 - Channel</v>
      </c>
      <c r="B289" s="4" t="s">
        <v>14</v>
      </c>
      <c r="C289" s="4" t="s">
        <v>289</v>
      </c>
      <c r="D289" s="6">
        <v>0.470752314814815</v>
      </c>
      <c r="E289" s="6">
        <v>2.314814814814815E-4</v>
      </c>
      <c r="F289" s="6">
        <v>0.4709837962962965</v>
      </c>
      <c r="G289" s="4"/>
      <c r="H289" s="4" t="s">
        <v>85</v>
      </c>
      <c r="I289" s="4" t="s">
        <v>86</v>
      </c>
      <c r="J289" s="4" t="s">
        <v>128</v>
      </c>
      <c r="K289" s="4"/>
      <c r="L289" s="4"/>
      <c r="M289" s="4"/>
      <c r="N289" s="4"/>
      <c r="O289" s="51" t="b">
        <v>0</v>
      </c>
      <c r="P289" s="51" t="b">
        <v>0</v>
      </c>
      <c r="Q289" s="51" t="b">
        <v>0</v>
      </c>
      <c r="R289" s="51" t="b">
        <v>0</v>
      </c>
      <c r="S289" s="51" t="b">
        <v>0</v>
      </c>
    </row>
    <row r="290" hidden="1">
      <c r="A290" s="4" t="str">
        <f>IFERROR(__xludf.DUMMYFUNCTION("""COMPUTED_VALUE"""),"286 - Channel")</f>
        <v>286 - Channel</v>
      </c>
      <c r="B290" s="4" t="s">
        <v>14</v>
      </c>
      <c r="C290" s="4" t="s">
        <v>289</v>
      </c>
      <c r="D290" s="6">
        <v>0.4709837962962965</v>
      </c>
      <c r="E290" s="6">
        <v>5.208333333333333E-4</v>
      </c>
      <c r="F290" s="6">
        <v>0.47150462962962986</v>
      </c>
      <c r="G290" s="4"/>
      <c r="H290" s="4" t="s">
        <v>79</v>
      </c>
      <c r="I290" s="4" t="s">
        <v>370</v>
      </c>
      <c r="J290" s="4" t="s">
        <v>69</v>
      </c>
      <c r="K290" s="4"/>
      <c r="L290" s="4"/>
      <c r="M290" s="4"/>
      <c r="N290" s="4" t="s">
        <v>70</v>
      </c>
      <c r="O290" s="51" t="b">
        <v>0</v>
      </c>
      <c r="P290" s="51" t="b">
        <v>0</v>
      </c>
      <c r="Q290" s="51" t="b">
        <v>0</v>
      </c>
      <c r="R290" s="51" t="b">
        <v>0</v>
      </c>
      <c r="S290" s="51" t="b">
        <v>0</v>
      </c>
    </row>
    <row r="291" hidden="1">
      <c r="A291" s="4" t="str">
        <f>IFERROR(__xludf.DUMMYFUNCTION("""COMPUTED_VALUE"""),"291 - Channel")</f>
        <v>291 - Channel</v>
      </c>
      <c r="B291" s="4" t="s">
        <v>14</v>
      </c>
      <c r="C291" s="4" t="s">
        <v>289</v>
      </c>
      <c r="D291" s="6">
        <v>0.47150462962962986</v>
      </c>
      <c r="E291" s="6">
        <v>2.314814814814815E-4</v>
      </c>
      <c r="F291" s="6">
        <v>0.47173611111111136</v>
      </c>
      <c r="G291" s="4"/>
      <c r="H291" s="4" t="s">
        <v>81</v>
      </c>
      <c r="I291" s="4" t="s">
        <v>91</v>
      </c>
      <c r="J291" s="4" t="s">
        <v>128</v>
      </c>
      <c r="K291" s="4"/>
      <c r="L291" s="4"/>
      <c r="M291" s="4"/>
      <c r="N291" s="4" t="s">
        <v>70</v>
      </c>
      <c r="O291" s="51" t="b">
        <v>0</v>
      </c>
      <c r="P291" s="51" t="b">
        <v>0</v>
      </c>
      <c r="Q291" s="51" t="b">
        <v>0</v>
      </c>
      <c r="R291" s="51" t="b">
        <v>0</v>
      </c>
      <c r="S291" s="51" t="b">
        <v>0</v>
      </c>
    </row>
    <row r="292" hidden="1">
      <c r="A292" s="4" t="str">
        <f>IFERROR(__xludf.DUMMYFUNCTION("""COMPUTED_VALUE"""),"1297 - Channel")</f>
        <v>1297 - Channel</v>
      </c>
      <c r="B292" s="4" t="s">
        <v>14</v>
      </c>
      <c r="C292" s="4" t="s">
        <v>289</v>
      </c>
      <c r="D292" s="6">
        <v>0.47173611111111136</v>
      </c>
      <c r="E292" s="6">
        <v>0.0020833333333333333</v>
      </c>
      <c r="F292" s="6">
        <v>0.4738194444444447</v>
      </c>
      <c r="G292" s="4" t="s">
        <v>371</v>
      </c>
      <c r="H292" s="4" t="s">
        <v>165</v>
      </c>
      <c r="I292" s="4" t="s">
        <v>372</v>
      </c>
      <c r="J292" s="4" t="s">
        <v>373</v>
      </c>
      <c r="K292" s="4"/>
      <c r="L292" s="4"/>
      <c r="M292" s="4"/>
      <c r="N292" s="4" t="s">
        <v>70</v>
      </c>
      <c r="O292" s="51" t="b">
        <v>0</v>
      </c>
      <c r="P292" s="51" t="b">
        <v>0</v>
      </c>
      <c r="Q292" s="51" t="b">
        <v>0</v>
      </c>
      <c r="R292" s="51" t="b">
        <v>0</v>
      </c>
      <c r="S292" s="51" t="b">
        <v>0</v>
      </c>
    </row>
    <row r="293" hidden="1">
      <c r="A293" s="4" t="str">
        <f>IFERROR(__xludf.DUMMYFUNCTION("""COMPUTED_VALUE"""),"255 - Channel")</f>
        <v>255 - Channel</v>
      </c>
      <c r="B293" s="4" t="s">
        <v>14</v>
      </c>
      <c r="C293" s="4" t="s">
        <v>289</v>
      </c>
      <c r="D293" s="6">
        <v>0.4738194444444447</v>
      </c>
      <c r="E293" s="6">
        <v>2.314814814814815E-4</v>
      </c>
      <c r="F293" s="6">
        <v>0.4740509259259262</v>
      </c>
      <c r="G293" s="4"/>
      <c r="H293" s="4" t="s">
        <v>81</v>
      </c>
      <c r="I293" s="4" t="s">
        <v>81</v>
      </c>
      <c r="J293" s="4" t="s">
        <v>128</v>
      </c>
      <c r="K293" s="4"/>
      <c r="L293" s="4"/>
      <c r="M293" s="4"/>
      <c r="N293" s="4" t="s">
        <v>70</v>
      </c>
      <c r="O293" s="51" t="b">
        <v>0</v>
      </c>
      <c r="P293" s="51" t="b">
        <v>0</v>
      </c>
      <c r="Q293" s="51" t="b">
        <v>0</v>
      </c>
      <c r="R293" s="51" t="b">
        <v>0</v>
      </c>
      <c r="S293" s="51" t="b">
        <v>0</v>
      </c>
    </row>
    <row r="294" hidden="1">
      <c r="A294" s="4" t="str">
        <f>IFERROR(__xludf.DUMMYFUNCTION("""COMPUTED_VALUE"""),"256 - Channel")</f>
        <v>256 - Channel</v>
      </c>
      <c r="B294" s="4" t="s">
        <v>14</v>
      </c>
      <c r="C294" s="4" t="s">
        <v>289</v>
      </c>
      <c r="D294" s="6">
        <v>0.4740509259259262</v>
      </c>
      <c r="E294" s="6">
        <v>0.01037037037037037</v>
      </c>
      <c r="F294" s="6">
        <v>0.48442129629629654</v>
      </c>
      <c r="G294" s="4" t="s">
        <v>151</v>
      </c>
      <c r="H294" s="4" t="s">
        <v>74</v>
      </c>
      <c r="I294" s="4" t="s">
        <v>374</v>
      </c>
      <c r="J294" s="4" t="s">
        <v>375</v>
      </c>
      <c r="K294" s="4" t="s">
        <v>376</v>
      </c>
      <c r="L294" s="4" t="s">
        <v>377</v>
      </c>
      <c r="M294" s="4"/>
      <c r="N294" s="4" t="s">
        <v>378</v>
      </c>
      <c r="O294" s="51" t="b">
        <v>0</v>
      </c>
      <c r="P294" s="51" t="b">
        <v>0</v>
      </c>
      <c r="Q294" s="51" t="b">
        <v>0</v>
      </c>
      <c r="R294" s="51" t="b">
        <v>0</v>
      </c>
      <c r="S294" s="51" t="b">
        <v>0</v>
      </c>
    </row>
    <row r="295" hidden="1">
      <c r="A295" s="4" t="str">
        <f>IFERROR(__xludf.DUMMYFUNCTION("""COMPUTED_VALUE"""),"1431 - Channel")</f>
        <v>1431 - Channel</v>
      </c>
      <c r="B295" s="4" t="s">
        <v>14</v>
      </c>
      <c r="C295" s="4" t="s">
        <v>289</v>
      </c>
      <c r="D295" s="6">
        <v>0.48442129629629654</v>
      </c>
      <c r="E295" s="6">
        <v>2.314814814814815E-4</v>
      </c>
      <c r="F295" s="6">
        <v>0.48465277777777804</v>
      </c>
      <c r="G295" s="4"/>
      <c r="H295" s="4" t="s">
        <v>81</v>
      </c>
      <c r="I295" s="4" t="s">
        <v>91</v>
      </c>
      <c r="J295" s="4" t="s">
        <v>128</v>
      </c>
      <c r="K295" s="4"/>
      <c r="L295" s="4"/>
      <c r="M295" s="4"/>
      <c r="N295" s="4"/>
      <c r="O295" s="51" t="b">
        <v>0</v>
      </c>
      <c r="P295" s="51" t="b">
        <v>0</v>
      </c>
      <c r="Q295" s="51" t="b">
        <v>0</v>
      </c>
      <c r="R295" s="51" t="b">
        <v>0</v>
      </c>
      <c r="S295" s="51" t="b">
        <v>0</v>
      </c>
    </row>
    <row r="296" hidden="1">
      <c r="A296" s="4" t="str">
        <f>IFERROR(__xludf.DUMMYFUNCTION("""COMPUTED_VALUE"""),"66 - Channel")</f>
        <v>66 - Channel</v>
      </c>
      <c r="B296" s="4" t="s">
        <v>14</v>
      </c>
      <c r="C296" s="4" t="s">
        <v>289</v>
      </c>
      <c r="D296" s="6">
        <v>0.48465277777777804</v>
      </c>
      <c r="E296" s="6">
        <v>0.01170138888888889</v>
      </c>
      <c r="F296" s="6">
        <v>0.49635416666666693</v>
      </c>
      <c r="G296" s="4" t="s">
        <v>151</v>
      </c>
      <c r="H296" s="4" t="s">
        <v>107</v>
      </c>
      <c r="I296" s="4" t="s">
        <v>379</v>
      </c>
      <c r="J296" s="4" t="s">
        <v>380</v>
      </c>
      <c r="K296" s="4" t="s">
        <v>381</v>
      </c>
      <c r="L296" s="4"/>
      <c r="M296" s="4"/>
      <c r="N296" s="4" t="s">
        <v>382</v>
      </c>
      <c r="O296" s="51" t="b">
        <v>0</v>
      </c>
      <c r="P296" s="51" t="b">
        <v>0</v>
      </c>
      <c r="Q296" s="51" t="b">
        <v>0</v>
      </c>
      <c r="R296" s="51" t="b">
        <v>0</v>
      </c>
      <c r="S296" s="51" t="b">
        <v>0</v>
      </c>
    </row>
    <row r="297" hidden="1">
      <c r="A297" s="4" t="str">
        <f>IFERROR(__xludf.DUMMYFUNCTION("""COMPUTED_VALUE"""),"1797 - Channel")</f>
        <v>1797 - Channel</v>
      </c>
      <c r="B297" s="4" t="s">
        <v>14</v>
      </c>
      <c r="C297" s="4" t="s">
        <v>289</v>
      </c>
      <c r="D297" s="6"/>
      <c r="E297" s="6"/>
      <c r="F297" s="6"/>
      <c r="G297" s="4"/>
      <c r="H297" s="4"/>
      <c r="I297" s="4"/>
      <c r="J297" s="4"/>
      <c r="K297" s="4"/>
      <c r="L297" s="4"/>
      <c r="M297" s="4"/>
      <c r="N297" s="4"/>
      <c r="O297" s="51" t="b">
        <v>0</v>
      </c>
      <c r="P297" s="51" t="b">
        <v>0</v>
      </c>
      <c r="Q297" s="51" t="b">
        <v>0</v>
      </c>
      <c r="R297" s="51" t="b">
        <v>0</v>
      </c>
      <c r="S297" s="51" t="b">
        <v>0</v>
      </c>
    </row>
    <row r="298" hidden="1">
      <c r="A298" s="4" t="str">
        <f>IFERROR(__xludf.DUMMYFUNCTION("""COMPUTED_VALUE"""),"299 - Channel")</f>
        <v>299 - Channel</v>
      </c>
      <c r="B298" s="4" t="s">
        <v>14</v>
      </c>
      <c r="C298" s="4" t="s">
        <v>289</v>
      </c>
      <c r="D298" s="6">
        <v>0.49635416666666693</v>
      </c>
      <c r="E298" s="6">
        <v>0.0010416666666666667</v>
      </c>
      <c r="F298" s="6">
        <v>0.4973958333333336</v>
      </c>
      <c r="G298" s="4"/>
      <c r="H298" s="4" t="s">
        <v>67</v>
      </c>
      <c r="I298" s="4" t="s">
        <v>68</v>
      </c>
      <c r="J298" s="4" t="s">
        <v>69</v>
      </c>
      <c r="K298" s="4"/>
      <c r="L298" s="4"/>
      <c r="M298" s="4"/>
      <c r="N298" s="4" t="s">
        <v>70</v>
      </c>
      <c r="O298" s="51" t="b">
        <v>0</v>
      </c>
      <c r="P298" s="51" t="b">
        <v>0</v>
      </c>
      <c r="Q298" s="51" t="b">
        <v>0</v>
      </c>
      <c r="R298" s="51" t="b">
        <v>0</v>
      </c>
      <c r="S298" s="51" t="b">
        <v>0</v>
      </c>
    </row>
    <row r="299" hidden="1">
      <c r="A299" s="4" t="str">
        <f>IFERROR(__xludf.DUMMYFUNCTION("""COMPUTED_VALUE"""),"300 - Channel")</f>
        <v>300 - Channel</v>
      </c>
      <c r="B299" s="4" t="s">
        <v>14</v>
      </c>
      <c r="C299" s="4" t="s">
        <v>289</v>
      </c>
      <c r="D299" s="6">
        <v>0.4973958333333336</v>
      </c>
      <c r="E299" s="6">
        <v>6.944444444444445E-4</v>
      </c>
      <c r="F299" s="6">
        <v>0.49809027777777803</v>
      </c>
      <c r="G299" s="4"/>
      <c r="H299" s="4" t="s">
        <v>103</v>
      </c>
      <c r="I299" s="4" t="s">
        <v>383</v>
      </c>
      <c r="J299" s="4" t="s">
        <v>92</v>
      </c>
      <c r="K299" s="4"/>
      <c r="L299" s="4"/>
      <c r="M299" s="4"/>
      <c r="N299" s="4" t="s">
        <v>70</v>
      </c>
      <c r="O299" s="51" t="b">
        <v>0</v>
      </c>
      <c r="P299" s="51" t="b">
        <v>0</v>
      </c>
      <c r="Q299" s="51" t="b">
        <v>0</v>
      </c>
      <c r="R299" s="51" t="b">
        <v>0</v>
      </c>
      <c r="S299" s="51" t="b">
        <v>0</v>
      </c>
    </row>
    <row r="300" hidden="1">
      <c r="A300" s="4" t="str">
        <f>IFERROR(__xludf.DUMMYFUNCTION("""COMPUTED_VALUE"""),"1407 - Channel")</f>
        <v>1407 - Channel</v>
      </c>
      <c r="B300" s="4" t="s">
        <v>14</v>
      </c>
      <c r="C300" s="4" t="s">
        <v>289</v>
      </c>
      <c r="D300" s="6">
        <v>0.49809027777777803</v>
      </c>
      <c r="E300" s="6">
        <v>0.0010416666666666667</v>
      </c>
      <c r="F300" s="6">
        <v>0.4991319444444447</v>
      </c>
      <c r="G300" s="4"/>
      <c r="H300" s="4" t="s">
        <v>248</v>
      </c>
      <c r="I300" s="21" t="s">
        <v>384</v>
      </c>
      <c r="J300" s="4" t="s">
        <v>69</v>
      </c>
      <c r="K300" s="4"/>
      <c r="L300" s="4"/>
      <c r="M300" s="4"/>
      <c r="N300" s="4"/>
      <c r="O300" s="51" t="b">
        <v>0</v>
      </c>
      <c r="P300" s="51" t="b">
        <v>0</v>
      </c>
      <c r="Q300" s="51" t="b">
        <v>0</v>
      </c>
      <c r="R300" s="51" t="b">
        <v>0</v>
      </c>
      <c r="S300" s="51" t="b">
        <v>0</v>
      </c>
    </row>
    <row r="301" hidden="1">
      <c r="A301" s="4" t="str">
        <f>IFERROR(__xludf.DUMMYFUNCTION("""COMPUTED_VALUE"""),"307 - Channel")</f>
        <v>307 - Channel</v>
      </c>
      <c r="B301" s="4" t="s">
        <v>14</v>
      </c>
      <c r="C301" s="4" t="s">
        <v>289</v>
      </c>
      <c r="D301" s="6">
        <v>0.4991319444444447</v>
      </c>
      <c r="E301" s="6">
        <v>2.314814814814815E-4</v>
      </c>
      <c r="F301" s="6">
        <v>0.4993634259259262</v>
      </c>
      <c r="G301" s="4"/>
      <c r="H301" s="4" t="s">
        <v>81</v>
      </c>
      <c r="I301" s="4" t="s">
        <v>81</v>
      </c>
      <c r="J301" s="4" t="s">
        <v>92</v>
      </c>
      <c r="K301" s="4"/>
      <c r="L301" s="4"/>
      <c r="M301" s="4"/>
      <c r="N301" s="4" t="s">
        <v>70</v>
      </c>
      <c r="O301" s="51" t="b">
        <v>0</v>
      </c>
      <c r="P301" s="51" t="b">
        <v>0</v>
      </c>
      <c r="Q301" s="51" t="b">
        <v>0</v>
      </c>
      <c r="R301" s="51" t="b">
        <v>0</v>
      </c>
      <c r="S301" s="51" t="b">
        <v>0</v>
      </c>
    </row>
    <row r="302" hidden="1">
      <c r="A302" s="4" t="str">
        <f>IFERROR(__xludf.DUMMYFUNCTION("""COMPUTED_VALUE"""),"308 - Channel")</f>
        <v>308 - Channel</v>
      </c>
      <c r="B302" s="4" t="s">
        <v>14</v>
      </c>
      <c r="C302" s="4" t="s">
        <v>289</v>
      </c>
      <c r="D302" s="6">
        <v>0.4993634259259262</v>
      </c>
      <c r="E302" s="6">
        <v>0.010416666666666666</v>
      </c>
      <c r="F302" s="6">
        <v>0.5097800925925928</v>
      </c>
      <c r="G302" s="4"/>
      <c r="H302" s="4" t="s">
        <v>248</v>
      </c>
      <c r="I302" s="4" t="s">
        <v>385</v>
      </c>
      <c r="J302" s="4" t="s">
        <v>69</v>
      </c>
      <c r="K302" s="4"/>
      <c r="L302" s="4"/>
      <c r="M302" s="4"/>
      <c r="N302" s="4" t="s">
        <v>70</v>
      </c>
      <c r="O302" s="51" t="b">
        <v>0</v>
      </c>
      <c r="P302" s="51" t="b">
        <v>0</v>
      </c>
      <c r="Q302" s="51" t="b">
        <v>0</v>
      </c>
      <c r="R302" s="51" t="b">
        <v>0</v>
      </c>
      <c r="S302" s="51" t="b">
        <v>0</v>
      </c>
    </row>
    <row r="303" hidden="1">
      <c r="A303" s="4" t="str">
        <f>IFERROR(__xludf.DUMMYFUNCTION("""COMPUTED_VALUE"""),"1600 - Channel")</f>
        <v>1600 - Channel</v>
      </c>
      <c r="B303" s="4" t="s">
        <v>14</v>
      </c>
      <c r="C303" s="4" t="s">
        <v>289</v>
      </c>
      <c r="D303" s="6">
        <v>0.5097800925925928</v>
      </c>
      <c r="E303" s="6">
        <v>3.4722222222222224E-4</v>
      </c>
      <c r="F303" s="6">
        <v>0.5101273148148151</v>
      </c>
      <c r="G303" s="4"/>
      <c r="H303" s="4" t="s">
        <v>79</v>
      </c>
      <c r="I303" s="4" t="s">
        <v>80</v>
      </c>
      <c r="J303" s="4" t="s">
        <v>69</v>
      </c>
      <c r="K303" s="4"/>
      <c r="L303" s="4"/>
      <c r="M303" s="4"/>
      <c r="N303" s="4"/>
      <c r="O303" s="51" t="b">
        <v>0</v>
      </c>
      <c r="P303" s="51" t="b">
        <v>0</v>
      </c>
      <c r="Q303" s="51" t="b">
        <v>0</v>
      </c>
      <c r="R303" s="51" t="b">
        <v>0</v>
      </c>
      <c r="S303" s="51" t="b">
        <v>0</v>
      </c>
    </row>
    <row r="304" hidden="1">
      <c r="A304" s="4" t="str">
        <f>IFERROR(__xludf.DUMMYFUNCTION("""COMPUTED_VALUE"""),"303 - Channel")</f>
        <v>303 - Channel</v>
      </c>
      <c r="B304" s="4" t="s">
        <v>14</v>
      </c>
      <c r="C304" s="4" t="s">
        <v>289</v>
      </c>
      <c r="D304" s="6">
        <v>0.5101273148148151</v>
      </c>
      <c r="E304" s="6">
        <v>2.314814814814815E-4</v>
      </c>
      <c r="F304" s="6">
        <v>0.5103587962962965</v>
      </c>
      <c r="G304" s="4"/>
      <c r="H304" s="4" t="s">
        <v>81</v>
      </c>
      <c r="I304" s="4" t="s">
        <v>386</v>
      </c>
      <c r="J304" s="4" t="s">
        <v>92</v>
      </c>
      <c r="K304" s="4"/>
      <c r="L304" s="4"/>
      <c r="M304" s="4"/>
      <c r="N304" s="4" t="s">
        <v>70</v>
      </c>
      <c r="O304" s="51" t="b">
        <v>0</v>
      </c>
      <c r="P304" s="51" t="b">
        <v>0</v>
      </c>
      <c r="Q304" s="51" t="b">
        <v>0</v>
      </c>
      <c r="R304" s="51" t="b">
        <v>0</v>
      </c>
      <c r="S304" s="51" t="b">
        <v>0</v>
      </c>
    </row>
    <row r="305" hidden="1">
      <c r="A305" s="4" t="str">
        <f>IFERROR(__xludf.DUMMYFUNCTION("""COMPUTED_VALUE"""),"304 - Channel")</f>
        <v>304 - Channel</v>
      </c>
      <c r="B305" s="4" t="s">
        <v>14</v>
      </c>
      <c r="C305" s="4" t="s">
        <v>289</v>
      </c>
      <c r="D305" s="6">
        <v>0.5103587962962965</v>
      </c>
      <c r="E305" s="6">
        <v>0.0020833333333333333</v>
      </c>
      <c r="F305" s="6">
        <v>0.5124421296296299</v>
      </c>
      <c r="G305" s="4" t="s">
        <v>151</v>
      </c>
      <c r="H305" s="4" t="s">
        <v>83</v>
      </c>
      <c r="I305" s="4" t="s">
        <v>387</v>
      </c>
      <c r="J305" s="4"/>
      <c r="K305" s="4"/>
      <c r="L305" s="4"/>
      <c r="M305" s="4"/>
      <c r="N305" s="4" t="s">
        <v>70</v>
      </c>
      <c r="O305" s="51" t="b">
        <v>0</v>
      </c>
      <c r="P305" s="51" t="b">
        <v>0</v>
      </c>
      <c r="Q305" s="51" t="b">
        <v>0</v>
      </c>
      <c r="R305" s="51" t="b">
        <v>0</v>
      </c>
      <c r="S305" s="51" t="b">
        <v>0</v>
      </c>
    </row>
    <row r="306" hidden="1">
      <c r="A306" s="4" t="str">
        <f>IFERROR(__xludf.DUMMYFUNCTION("""COMPUTED_VALUE"""),"2260 - Channel")</f>
        <v>2260 - Channel</v>
      </c>
      <c r="B306" s="4" t="s">
        <v>14</v>
      </c>
      <c r="C306" s="4" t="s">
        <v>289</v>
      </c>
      <c r="D306" s="6">
        <v>0.5124421296296299</v>
      </c>
      <c r="E306" s="6">
        <v>2.314814814814815E-4</v>
      </c>
      <c r="F306" s="6">
        <v>0.5126736111111113</v>
      </c>
      <c r="G306" s="4"/>
      <c r="H306" s="4" t="s">
        <v>85</v>
      </c>
      <c r="I306" s="4" t="s">
        <v>86</v>
      </c>
      <c r="J306" s="4" t="s">
        <v>92</v>
      </c>
      <c r="K306" s="4"/>
      <c r="L306" s="4"/>
      <c r="M306" s="4"/>
      <c r="N306" s="4"/>
      <c r="O306" s="51" t="b">
        <v>0</v>
      </c>
      <c r="P306" s="51" t="b">
        <v>0</v>
      </c>
      <c r="Q306" s="51" t="b">
        <v>0</v>
      </c>
      <c r="R306" s="51" t="b">
        <v>0</v>
      </c>
      <c r="S306" s="51" t="b">
        <v>0</v>
      </c>
    </row>
    <row r="307" hidden="1">
      <c r="A307" s="4" t="str">
        <f>IFERROR(__xludf.DUMMYFUNCTION("""COMPUTED_VALUE"""),"306 - Channel")</f>
        <v>306 - Channel</v>
      </c>
      <c r="B307" s="4" t="s">
        <v>14</v>
      </c>
      <c r="C307" s="4" t="s">
        <v>289</v>
      </c>
      <c r="D307" s="6">
        <v>0.5126736111111113</v>
      </c>
      <c r="E307" s="6">
        <v>3.4722222222222224E-4</v>
      </c>
      <c r="F307" s="6">
        <v>0.5130208333333336</v>
      </c>
      <c r="G307" s="4"/>
      <c r="H307" s="4" t="s">
        <v>79</v>
      </c>
      <c r="I307" s="4" t="s">
        <v>388</v>
      </c>
      <c r="J307" s="4" t="s">
        <v>69</v>
      </c>
      <c r="K307" s="4"/>
      <c r="L307" s="4"/>
      <c r="M307" s="4"/>
      <c r="N307" s="4" t="s">
        <v>70</v>
      </c>
      <c r="O307" s="51" t="b">
        <v>0</v>
      </c>
      <c r="P307" s="51" t="b">
        <v>0</v>
      </c>
      <c r="Q307" s="51" t="b">
        <v>0</v>
      </c>
      <c r="R307" s="51" t="b">
        <v>0</v>
      </c>
      <c r="S307" s="51" t="b">
        <v>0</v>
      </c>
    </row>
    <row r="308" hidden="1">
      <c r="A308" s="4" t="str">
        <f>IFERROR(__xludf.DUMMYFUNCTION("""COMPUTED_VALUE"""),"1434 - Channel")</f>
        <v>1434 - Channel</v>
      </c>
      <c r="B308" s="4" t="s">
        <v>14</v>
      </c>
      <c r="C308" s="4" t="s">
        <v>289</v>
      </c>
      <c r="D308" s="6">
        <v>0.5130208333333336</v>
      </c>
      <c r="E308" s="6">
        <v>2.314814814814815E-4</v>
      </c>
      <c r="F308" s="6">
        <v>0.513252314814815</v>
      </c>
      <c r="G308" s="4"/>
      <c r="H308" s="4" t="s">
        <v>81</v>
      </c>
      <c r="I308" s="4" t="s">
        <v>81</v>
      </c>
      <c r="J308" s="4" t="s">
        <v>92</v>
      </c>
      <c r="K308" s="4"/>
      <c r="L308" s="4"/>
      <c r="M308" s="4"/>
      <c r="N308" s="4"/>
      <c r="O308" s="51" t="b">
        <v>0</v>
      </c>
      <c r="P308" s="51" t="b">
        <v>0</v>
      </c>
      <c r="Q308" s="51" t="b">
        <v>0</v>
      </c>
      <c r="R308" s="51" t="b">
        <v>0</v>
      </c>
      <c r="S308" s="51" t="b">
        <v>0</v>
      </c>
    </row>
    <row r="309" hidden="1">
      <c r="A309" s="4" t="str">
        <f>IFERROR(__xludf.DUMMYFUNCTION("""COMPUTED_VALUE"""),"35 - Channel")</f>
        <v>35 - Channel</v>
      </c>
      <c r="B309" s="4" t="s">
        <v>14</v>
      </c>
      <c r="C309" s="4" t="s">
        <v>289</v>
      </c>
      <c r="D309" s="6">
        <v>0.513252314814815</v>
      </c>
      <c r="E309" s="6">
        <v>0.010416666666666666</v>
      </c>
      <c r="F309" s="6">
        <v>0.5236689814814817</v>
      </c>
      <c r="G309" s="4" t="s">
        <v>358</v>
      </c>
      <c r="H309" s="4" t="s">
        <v>107</v>
      </c>
      <c r="I309" s="4" t="s">
        <v>389</v>
      </c>
      <c r="J309" s="4" t="s">
        <v>390</v>
      </c>
      <c r="K309" s="4" t="s">
        <v>391</v>
      </c>
      <c r="L309" s="4"/>
      <c r="M309" s="4"/>
      <c r="N309" s="4" t="s">
        <v>321</v>
      </c>
      <c r="O309" s="51" t="b">
        <v>0</v>
      </c>
      <c r="P309" s="51" t="b">
        <v>0</v>
      </c>
      <c r="Q309" s="51" t="b">
        <v>0</v>
      </c>
      <c r="R309" s="51" t="b">
        <v>0</v>
      </c>
      <c r="S309" s="51" t="b">
        <v>0</v>
      </c>
    </row>
    <row r="310" hidden="1">
      <c r="A310" s="4" t="str">
        <f>IFERROR(__xludf.DUMMYFUNCTION("""COMPUTED_VALUE"""),"147 - Channel")</f>
        <v>147 - Channel</v>
      </c>
      <c r="B310" s="4" t="s">
        <v>14</v>
      </c>
      <c r="C310" s="4" t="s">
        <v>289</v>
      </c>
      <c r="D310" s="6">
        <v>0.5236689814814817</v>
      </c>
      <c r="E310" s="6">
        <v>2.314814814814815E-4</v>
      </c>
      <c r="F310" s="6">
        <v>0.5239004629629631</v>
      </c>
      <c r="G310" s="4"/>
      <c r="H310" s="4" t="s">
        <v>81</v>
      </c>
      <c r="I310" s="4" t="s">
        <v>392</v>
      </c>
      <c r="J310" s="4" t="s">
        <v>92</v>
      </c>
      <c r="K310" s="4"/>
      <c r="L310" s="4"/>
      <c r="M310" s="4"/>
      <c r="N310" s="4" t="s">
        <v>70</v>
      </c>
      <c r="O310" s="51" t="b">
        <v>0</v>
      </c>
      <c r="P310" s="51" t="b">
        <v>0</v>
      </c>
      <c r="Q310" s="51" t="b">
        <v>0</v>
      </c>
      <c r="R310" s="51" t="b">
        <v>0</v>
      </c>
      <c r="S310" s="51" t="b">
        <v>0</v>
      </c>
    </row>
    <row r="311" hidden="1">
      <c r="A311" s="4" t="str">
        <f>IFERROR(__xludf.DUMMYFUNCTION("""COMPUTED_VALUE"""),"1540 - Channel")</f>
        <v>1540 - Channel</v>
      </c>
      <c r="B311" s="4" t="s">
        <v>14</v>
      </c>
      <c r="C311" s="4" t="s">
        <v>289</v>
      </c>
      <c r="D311" s="6">
        <v>0.5239004629629631</v>
      </c>
      <c r="E311" s="6">
        <v>0.0020833333333333333</v>
      </c>
      <c r="F311" s="6">
        <v>0.5259837962962964</v>
      </c>
      <c r="G311" s="4"/>
      <c r="H311" s="4" t="s">
        <v>83</v>
      </c>
      <c r="I311" s="4" t="s">
        <v>393</v>
      </c>
      <c r="J311" s="4"/>
      <c r="K311" s="4"/>
      <c r="L311" s="4"/>
      <c r="M311" s="4"/>
      <c r="N311" s="4"/>
      <c r="O311" s="51" t="b">
        <v>0</v>
      </c>
      <c r="P311" s="51" t="b">
        <v>0</v>
      </c>
      <c r="Q311" s="51" t="b">
        <v>0</v>
      </c>
      <c r="R311" s="51" t="b">
        <v>0</v>
      </c>
      <c r="S311" s="51" t="b">
        <v>0</v>
      </c>
    </row>
    <row r="312" hidden="1">
      <c r="A312" s="4" t="str">
        <f>IFERROR(__xludf.DUMMYFUNCTION("""COMPUTED_VALUE"""),"1737- Channel1 ")</f>
        <v>1737- Channel1 </v>
      </c>
      <c r="B312" s="4" t="s">
        <v>14</v>
      </c>
      <c r="C312" s="4" t="s">
        <v>289</v>
      </c>
      <c r="D312" s="6">
        <v>0.5259837962962964</v>
      </c>
      <c r="E312" s="6">
        <v>2.314814814814815E-4</v>
      </c>
      <c r="F312" s="6">
        <v>0.5262152777777779</v>
      </c>
      <c r="G312" s="4"/>
      <c r="H312" s="4" t="s">
        <v>85</v>
      </c>
      <c r="I312" s="4" t="s">
        <v>86</v>
      </c>
      <c r="J312" s="4" t="s">
        <v>92</v>
      </c>
      <c r="K312" s="4"/>
      <c r="L312" s="4"/>
      <c r="M312" s="4"/>
      <c r="N312" s="4"/>
      <c r="O312" s="51" t="b">
        <v>0</v>
      </c>
      <c r="P312" s="51" t="b">
        <v>0</v>
      </c>
      <c r="Q312" s="51" t="b">
        <v>0</v>
      </c>
      <c r="R312" s="51" t="b">
        <v>0</v>
      </c>
      <c r="S312" s="51" t="b">
        <v>0</v>
      </c>
    </row>
    <row r="313" hidden="1">
      <c r="A313" s="4" t="str">
        <f>IFERROR(__xludf.DUMMYFUNCTION("""COMPUTED_VALUE"""),"1645 - Channel")</f>
        <v>1645 - Channel</v>
      </c>
      <c r="B313" s="4" t="s">
        <v>14</v>
      </c>
      <c r="C313" s="4" t="s">
        <v>289</v>
      </c>
      <c r="D313" s="6">
        <v>0.5262152777777779</v>
      </c>
      <c r="E313" s="6">
        <v>2.314814814814815E-4</v>
      </c>
      <c r="F313" s="6">
        <v>0.5264467592592593</v>
      </c>
      <c r="G313" s="4"/>
      <c r="H313" s="4" t="s">
        <v>81</v>
      </c>
      <c r="I313" s="4" t="s">
        <v>81</v>
      </c>
      <c r="J313" s="4" t="s">
        <v>73</v>
      </c>
      <c r="K313" s="4" t="s">
        <v>92</v>
      </c>
      <c r="L313" s="4"/>
      <c r="M313" s="4"/>
      <c r="N313" s="4"/>
      <c r="O313" s="51" t="b">
        <v>0</v>
      </c>
      <c r="P313" s="51" t="b">
        <v>0</v>
      </c>
      <c r="Q313" s="51" t="b">
        <v>0</v>
      </c>
      <c r="R313" s="51" t="b">
        <v>0</v>
      </c>
      <c r="S313" s="51" t="b">
        <v>0</v>
      </c>
    </row>
    <row r="314" hidden="1">
      <c r="A314" s="4" t="str">
        <f>IFERROR(__xludf.DUMMYFUNCTION("""COMPUTED_VALUE"""),"221 - Channel")</f>
        <v>221 - Channel</v>
      </c>
      <c r="B314" s="4" t="s">
        <v>14</v>
      </c>
      <c r="C314" s="4" t="s">
        <v>289</v>
      </c>
      <c r="D314" s="6">
        <v>0.5264467592592593</v>
      </c>
      <c r="E314" s="6">
        <v>0.008101851851851851</v>
      </c>
      <c r="F314" s="6">
        <v>0.5345486111111112</v>
      </c>
      <c r="G314" s="4" t="s">
        <v>394</v>
      </c>
      <c r="H314" s="4" t="s">
        <v>94</v>
      </c>
      <c r="I314" s="4" t="s">
        <v>395</v>
      </c>
      <c r="J314" s="4" t="s">
        <v>396</v>
      </c>
      <c r="K314" s="4"/>
      <c r="L314" s="4"/>
      <c r="M314" s="4"/>
      <c r="N314" s="4" t="s">
        <v>397</v>
      </c>
      <c r="O314" s="51" t="b">
        <v>0</v>
      </c>
      <c r="P314" s="51" t="b">
        <v>0</v>
      </c>
      <c r="Q314" s="51" t="b">
        <v>0</v>
      </c>
      <c r="R314" s="51" t="b">
        <v>0</v>
      </c>
      <c r="S314" s="51" t="b">
        <v>0</v>
      </c>
    </row>
    <row r="315" hidden="1">
      <c r="A315" s="4" t="str">
        <f>IFERROR(__xludf.DUMMYFUNCTION("""COMPUTED_VALUE"""),"316 - Channel")</f>
        <v>316 - Channel</v>
      </c>
      <c r="B315" s="4" t="s">
        <v>14</v>
      </c>
      <c r="C315" s="4" t="s">
        <v>289</v>
      </c>
      <c r="D315" s="6">
        <v>0.5345486111111112</v>
      </c>
      <c r="E315" s="6">
        <v>2.314814814814815E-4</v>
      </c>
      <c r="F315" s="6">
        <v>0.5347800925925926</v>
      </c>
      <c r="G315" s="4"/>
      <c r="H315" s="4" t="s">
        <v>81</v>
      </c>
      <c r="I315" s="4" t="s">
        <v>81</v>
      </c>
      <c r="J315" s="4" t="s">
        <v>92</v>
      </c>
      <c r="K315" s="4"/>
      <c r="L315" s="4"/>
      <c r="M315" s="4"/>
      <c r="N315" s="4" t="s">
        <v>70</v>
      </c>
      <c r="O315" s="51" t="b">
        <v>0</v>
      </c>
      <c r="P315" s="51" t="b">
        <v>0</v>
      </c>
      <c r="Q315" s="51" t="b">
        <v>0</v>
      </c>
      <c r="R315" s="51" t="b">
        <v>0</v>
      </c>
      <c r="S315" s="51" t="b">
        <v>0</v>
      </c>
    </row>
    <row r="316" hidden="1">
      <c r="A316" s="4" t="str">
        <f>IFERROR(__xludf.DUMMYFUNCTION("""COMPUTED_VALUE"""),"1281 - Channel")</f>
        <v>1281 - Channel</v>
      </c>
      <c r="B316" s="4" t="s">
        <v>14</v>
      </c>
      <c r="C316" s="4" t="s">
        <v>289</v>
      </c>
      <c r="D316" s="6">
        <v>0.5347800925925926</v>
      </c>
      <c r="E316" s="6">
        <v>0.009606481481481481</v>
      </c>
      <c r="F316" s="6">
        <v>0.5443865740740741</v>
      </c>
      <c r="G316" s="4" t="s">
        <v>398</v>
      </c>
      <c r="H316" s="4" t="s">
        <v>107</v>
      </c>
      <c r="I316" s="4" t="s">
        <v>399</v>
      </c>
      <c r="J316" s="4" t="s">
        <v>400</v>
      </c>
      <c r="K316" s="4" t="s">
        <v>401</v>
      </c>
      <c r="L316" s="4"/>
      <c r="M316" s="4"/>
      <c r="N316" s="4" t="s">
        <v>402</v>
      </c>
      <c r="O316" s="51" t="b">
        <v>0</v>
      </c>
      <c r="P316" s="51" t="b">
        <v>0</v>
      </c>
      <c r="Q316" s="51" t="b">
        <v>0</v>
      </c>
      <c r="R316" s="51" t="b">
        <v>0</v>
      </c>
      <c r="S316" s="51" t="b">
        <v>0</v>
      </c>
    </row>
    <row r="317" hidden="1">
      <c r="A317" s="4" t="str">
        <f>IFERROR(__xludf.DUMMYFUNCTION("""COMPUTED_VALUE"""),"1571 - Channel")</f>
        <v>1571 - Channel</v>
      </c>
      <c r="B317" s="4" t="s">
        <v>14</v>
      </c>
      <c r="C317" s="4" t="s">
        <v>289</v>
      </c>
      <c r="D317" s="6"/>
      <c r="E317" s="6"/>
      <c r="F317" s="6"/>
      <c r="G317" s="4"/>
      <c r="H317" s="4"/>
      <c r="I317" s="4"/>
      <c r="J317" s="4"/>
      <c r="K317" s="4"/>
      <c r="L317" s="4"/>
      <c r="M317" s="4"/>
      <c r="N317" s="4"/>
      <c r="O317" s="51" t="b">
        <v>0</v>
      </c>
      <c r="P317" s="51" t="b">
        <v>0</v>
      </c>
      <c r="Q317" s="51" t="b">
        <v>0</v>
      </c>
      <c r="R317" s="51" t="b">
        <v>0</v>
      </c>
      <c r="S317" s="51" t="b">
        <v>0</v>
      </c>
    </row>
    <row r="318" hidden="1">
      <c r="A318" s="4" t="str">
        <f>IFERROR(__xludf.DUMMYFUNCTION("""COMPUTED_VALUE"""),"314 - Channel")</f>
        <v>314 - Channel</v>
      </c>
      <c r="B318" s="4" t="s">
        <v>14</v>
      </c>
      <c r="C318" s="4" t="s">
        <v>289</v>
      </c>
      <c r="D318" s="6">
        <v>0.5443865740740741</v>
      </c>
      <c r="E318" s="6">
        <v>3.4722222222222224E-4</v>
      </c>
      <c r="F318" s="6">
        <v>0.5447337962962964</v>
      </c>
      <c r="G318" s="4"/>
      <c r="H318" s="4" t="s">
        <v>87</v>
      </c>
      <c r="I318" s="4" t="s">
        <v>88</v>
      </c>
      <c r="J318" s="4" t="s">
        <v>69</v>
      </c>
      <c r="K318" s="4"/>
      <c r="L318" s="4"/>
      <c r="M318" s="4"/>
      <c r="N318" s="4" t="s">
        <v>70</v>
      </c>
      <c r="O318" s="51" t="b">
        <v>0</v>
      </c>
      <c r="P318" s="51" t="b">
        <v>0</v>
      </c>
      <c r="Q318" s="51" t="b">
        <v>0</v>
      </c>
      <c r="R318" s="51" t="b">
        <v>0</v>
      </c>
      <c r="S318" s="51" t="b">
        <v>0</v>
      </c>
    </row>
    <row r="319" hidden="1">
      <c r="A319" s="4" t="str">
        <f>IFERROR(__xludf.DUMMYFUNCTION("""COMPUTED_VALUE"""),"315 - Channel")</f>
        <v>315 - Channel</v>
      </c>
      <c r="B319" s="4" t="s">
        <v>14</v>
      </c>
      <c r="C319" s="4" t="s">
        <v>289</v>
      </c>
      <c r="D319" s="6">
        <v>0.5447337962962964</v>
      </c>
      <c r="E319" s="6">
        <v>6.944444444444445E-4</v>
      </c>
      <c r="F319" s="6">
        <v>0.5454282407407408</v>
      </c>
      <c r="G319" s="4"/>
      <c r="H319" s="4" t="s">
        <v>103</v>
      </c>
      <c r="I319" s="4" t="s">
        <v>403</v>
      </c>
      <c r="J319" s="4" t="s">
        <v>105</v>
      </c>
      <c r="K319" s="4"/>
      <c r="L319" s="4"/>
      <c r="M319" s="4"/>
      <c r="N319" s="4" t="s">
        <v>70</v>
      </c>
      <c r="O319" s="51" t="b">
        <v>0</v>
      </c>
      <c r="P319" s="51" t="b">
        <v>0</v>
      </c>
      <c r="Q319" s="51" t="b">
        <v>0</v>
      </c>
      <c r="R319" s="51" t="b">
        <v>0</v>
      </c>
      <c r="S319" s="51" t="b">
        <v>0</v>
      </c>
    </row>
    <row r="320" hidden="1">
      <c r="A320" s="4" t="str">
        <f>IFERROR(__xludf.DUMMYFUNCTION("""COMPUTED_VALUE"""),"2269 - Channel")</f>
        <v>2269 - Channel</v>
      </c>
      <c r="B320" s="4" t="s">
        <v>14</v>
      </c>
      <c r="C320" s="4" t="s">
        <v>289</v>
      </c>
      <c r="D320" s="6">
        <v>0.5454282407407408</v>
      </c>
      <c r="E320" s="6">
        <v>2.314814814814815E-4</v>
      </c>
      <c r="F320" s="6">
        <v>0.5456597222222223</v>
      </c>
      <c r="G320" s="4"/>
      <c r="H320" s="4" t="s">
        <v>81</v>
      </c>
      <c r="I320" s="4" t="s">
        <v>81</v>
      </c>
      <c r="J320" s="4" t="s">
        <v>73</v>
      </c>
      <c r="K320" s="4" t="s">
        <v>105</v>
      </c>
      <c r="L320" s="4"/>
      <c r="M320" s="4"/>
      <c r="N320" s="4"/>
      <c r="O320" s="51" t="b">
        <v>0</v>
      </c>
      <c r="P320" s="51" t="b">
        <v>0</v>
      </c>
      <c r="Q320" s="51" t="b">
        <v>0</v>
      </c>
      <c r="R320" s="51" t="b">
        <v>0</v>
      </c>
      <c r="S320" s="51" t="b">
        <v>0</v>
      </c>
    </row>
    <row r="321" hidden="1">
      <c r="A321" s="4" t="str">
        <f>IFERROR(__xludf.DUMMYFUNCTION("""COMPUTED_VALUE"""),"2270 - Channel")</f>
        <v>2270 - Channel</v>
      </c>
      <c r="B321" s="4" t="s">
        <v>14</v>
      </c>
      <c r="C321" s="4" t="s">
        <v>289</v>
      </c>
      <c r="D321" s="6">
        <v>0.5456597222222223</v>
      </c>
      <c r="E321" s="6">
        <v>0.010416666666666666</v>
      </c>
      <c r="F321" s="6">
        <v>0.5560763888888889</v>
      </c>
      <c r="G321" s="4"/>
      <c r="H321" s="4" t="s">
        <v>107</v>
      </c>
      <c r="I321" s="4" t="s">
        <v>404</v>
      </c>
      <c r="J321" s="4" t="s">
        <v>405</v>
      </c>
      <c r="K321" s="4" t="s">
        <v>406</v>
      </c>
      <c r="L321" s="4"/>
      <c r="M321" s="4"/>
      <c r="N321" s="4" t="s">
        <v>407</v>
      </c>
      <c r="O321" s="51" t="b">
        <v>0</v>
      </c>
      <c r="P321" s="51" t="b">
        <v>0</v>
      </c>
      <c r="Q321" s="51" t="b">
        <v>0</v>
      </c>
      <c r="R321" s="51" t="b">
        <v>0</v>
      </c>
      <c r="S321" s="51" t="b">
        <v>0</v>
      </c>
    </row>
    <row r="322" hidden="1">
      <c r="A322" s="4" t="str">
        <f>IFERROR(__xludf.DUMMYFUNCTION("""COMPUTED_VALUE"""),"319 - Channel")</f>
        <v>319 - Channel</v>
      </c>
      <c r="B322" s="4" t="s">
        <v>14</v>
      </c>
      <c r="C322" s="4" t="s">
        <v>289</v>
      </c>
      <c r="D322" s="6">
        <v>0.5560763888888889</v>
      </c>
      <c r="E322" s="6">
        <v>2.314814814814815E-4</v>
      </c>
      <c r="F322" s="6">
        <v>0.5563078703703703</v>
      </c>
      <c r="G322" s="4"/>
      <c r="H322" s="4" t="s">
        <v>81</v>
      </c>
      <c r="I322" s="4" t="s">
        <v>408</v>
      </c>
      <c r="J322" s="4" t="s">
        <v>105</v>
      </c>
      <c r="K322" s="4"/>
      <c r="L322" s="4"/>
      <c r="M322" s="4"/>
      <c r="N322" s="4" t="s">
        <v>70</v>
      </c>
      <c r="O322" s="51" t="b">
        <v>0</v>
      </c>
      <c r="P322" s="51" t="b">
        <v>0</v>
      </c>
      <c r="Q322" s="51" t="b">
        <v>0</v>
      </c>
      <c r="R322" s="51" t="b">
        <v>0</v>
      </c>
      <c r="S322" s="51" t="b">
        <v>0</v>
      </c>
    </row>
    <row r="323" hidden="1">
      <c r="A323" s="4" t="str">
        <f>IFERROR(__xludf.DUMMYFUNCTION("""COMPUTED_VALUE"""),"320 - Channel")</f>
        <v>320 - Channel</v>
      </c>
      <c r="B323" s="4" t="s">
        <v>14</v>
      </c>
      <c r="C323" s="4" t="s">
        <v>289</v>
      </c>
      <c r="D323" s="6">
        <v>0.5563078703703703</v>
      </c>
      <c r="E323" s="6">
        <v>0.0020833333333333333</v>
      </c>
      <c r="F323" s="6">
        <v>0.5583912037037037</v>
      </c>
      <c r="G323" s="4" t="s">
        <v>409</v>
      </c>
      <c r="H323" s="4" t="s">
        <v>83</v>
      </c>
      <c r="I323" s="4" t="s">
        <v>410</v>
      </c>
      <c r="J323" s="4"/>
      <c r="K323" s="4"/>
      <c r="L323" s="4"/>
      <c r="M323" s="4"/>
      <c r="N323" s="4" t="s">
        <v>70</v>
      </c>
      <c r="O323" s="51" t="b">
        <v>0</v>
      </c>
      <c r="P323" s="51" t="b">
        <v>0</v>
      </c>
      <c r="Q323" s="51" t="b">
        <v>0</v>
      </c>
      <c r="R323" s="51" t="b">
        <v>0</v>
      </c>
      <c r="S323" s="51" t="b">
        <v>0</v>
      </c>
    </row>
    <row r="324" hidden="1">
      <c r="A324" s="4" t="str">
        <f>IFERROR(__xludf.DUMMYFUNCTION("""COMPUTED_VALUE"""),"2261 - Channel")</f>
        <v>2261 - Channel</v>
      </c>
      <c r="B324" s="4" t="s">
        <v>14</v>
      </c>
      <c r="C324" s="4" t="s">
        <v>289</v>
      </c>
      <c r="D324" s="6">
        <v>0.5583912037037037</v>
      </c>
      <c r="E324" s="6">
        <v>2.314814814814815E-4</v>
      </c>
      <c r="F324" s="6">
        <v>0.5586226851851851</v>
      </c>
      <c r="G324" s="4"/>
      <c r="H324" s="4" t="s">
        <v>85</v>
      </c>
      <c r="I324" s="4" t="s">
        <v>86</v>
      </c>
      <c r="J324" s="4" t="s">
        <v>105</v>
      </c>
      <c r="K324" s="4"/>
      <c r="L324" s="4"/>
      <c r="M324" s="4"/>
      <c r="N324" s="4"/>
      <c r="O324" s="51" t="b">
        <v>0</v>
      </c>
      <c r="P324" s="51" t="b">
        <v>0</v>
      </c>
      <c r="Q324" s="51" t="b">
        <v>0</v>
      </c>
      <c r="R324" s="51" t="b">
        <v>0</v>
      </c>
      <c r="S324" s="51" t="b">
        <v>0</v>
      </c>
    </row>
    <row r="325" hidden="1">
      <c r="A325" s="4" t="str">
        <f>IFERROR(__xludf.DUMMYFUNCTION("""COMPUTED_VALUE"""),"322 - Channel")</f>
        <v>322 - Channel</v>
      </c>
      <c r="B325" s="4" t="s">
        <v>14</v>
      </c>
      <c r="C325" s="4" t="s">
        <v>289</v>
      </c>
      <c r="D325" s="6">
        <v>0.5583912037037037</v>
      </c>
      <c r="E325" s="6">
        <v>5.902777777777778E-4</v>
      </c>
      <c r="F325" s="6">
        <v>0.5589814814814814</v>
      </c>
      <c r="G325" s="4"/>
      <c r="H325" s="4" t="s">
        <v>126</v>
      </c>
      <c r="I325" s="4" t="s">
        <v>411</v>
      </c>
      <c r="J325" s="4" t="s">
        <v>90</v>
      </c>
      <c r="K325" s="4"/>
      <c r="L325" s="4"/>
      <c r="M325" s="4"/>
      <c r="N325" s="4" t="s">
        <v>70</v>
      </c>
      <c r="O325" s="51" t="b">
        <v>0</v>
      </c>
      <c r="P325" s="51" t="b">
        <v>0</v>
      </c>
      <c r="Q325" s="51" t="b">
        <v>0</v>
      </c>
      <c r="R325" s="51" t="b">
        <v>0</v>
      </c>
      <c r="S325" s="51" t="b">
        <v>0</v>
      </c>
    </row>
    <row r="326" hidden="1">
      <c r="A326" s="4" t="str">
        <f>IFERROR(__xludf.DUMMYFUNCTION("""COMPUTED_VALUE"""),"324 - Channel")</f>
        <v>324 - Channel</v>
      </c>
      <c r="B326" s="4" t="s">
        <v>14</v>
      </c>
      <c r="C326" s="4" t="s">
        <v>289</v>
      </c>
      <c r="D326" s="6">
        <v>0.5589814814814814</v>
      </c>
      <c r="E326" s="6">
        <v>2.314814814814815E-4</v>
      </c>
      <c r="F326" s="6">
        <v>0.5592129629629629</v>
      </c>
      <c r="G326" s="4"/>
      <c r="H326" s="4" t="s">
        <v>81</v>
      </c>
      <c r="I326" s="4" t="s">
        <v>81</v>
      </c>
      <c r="J326" s="4" t="s">
        <v>105</v>
      </c>
      <c r="K326" s="4"/>
      <c r="L326" s="4"/>
      <c r="M326" s="4"/>
      <c r="N326" s="4" t="s">
        <v>70</v>
      </c>
      <c r="O326" s="51" t="b">
        <v>0</v>
      </c>
      <c r="P326" s="51" t="b">
        <v>0</v>
      </c>
      <c r="Q326" s="51" t="b">
        <v>0</v>
      </c>
      <c r="R326" s="51" t="b">
        <v>0</v>
      </c>
      <c r="S326" s="51" t="b">
        <v>0</v>
      </c>
    </row>
    <row r="327" hidden="1">
      <c r="A327" s="4" t="str">
        <f>IFERROR(__xludf.DUMMYFUNCTION("""COMPUTED_VALUE"""),"343 - Channel")</f>
        <v>343 - Channel</v>
      </c>
      <c r="B327" s="4" t="s">
        <v>14</v>
      </c>
      <c r="C327" s="4" t="s">
        <v>289</v>
      </c>
      <c r="D327" s="6">
        <v>0.5592129629629629</v>
      </c>
      <c r="E327" s="6">
        <v>0.010416666666666666</v>
      </c>
      <c r="F327" s="6">
        <v>0.5696296296296295</v>
      </c>
      <c r="G327" s="4"/>
      <c r="H327" s="4" t="s">
        <v>107</v>
      </c>
      <c r="I327" s="4" t="s">
        <v>412</v>
      </c>
      <c r="J327" s="4" t="s">
        <v>413</v>
      </c>
      <c r="K327" s="4" t="s">
        <v>414</v>
      </c>
      <c r="L327" s="4"/>
      <c r="M327" s="4"/>
      <c r="N327" s="4" t="s">
        <v>415</v>
      </c>
      <c r="O327" s="51" t="b">
        <v>0</v>
      </c>
      <c r="P327" s="51" t="b">
        <v>0</v>
      </c>
      <c r="Q327" s="51" t="b">
        <v>0</v>
      </c>
      <c r="R327" s="51" t="b">
        <v>0</v>
      </c>
      <c r="S327" s="51" t="b">
        <v>0</v>
      </c>
    </row>
    <row r="328" hidden="1">
      <c r="A328" s="4" t="str">
        <f>IFERROR(__xludf.DUMMYFUNCTION("""COMPUTED_VALUE"""),"331 - Channel")</f>
        <v>331 - Channel</v>
      </c>
      <c r="B328" s="4" t="s">
        <v>14</v>
      </c>
      <c r="C328" s="4" t="s">
        <v>289</v>
      </c>
      <c r="D328" s="6">
        <v>0.5696296296296295</v>
      </c>
      <c r="E328" s="6">
        <v>2.314814814814815E-4</v>
      </c>
      <c r="F328" s="6">
        <v>0.5698611111111109</v>
      </c>
      <c r="G328" s="4"/>
      <c r="H328" s="4" t="s">
        <v>81</v>
      </c>
      <c r="I328" s="4" t="s">
        <v>416</v>
      </c>
      <c r="J328" s="4" t="s">
        <v>73</v>
      </c>
      <c r="K328" s="4" t="s">
        <v>105</v>
      </c>
      <c r="L328" s="4"/>
      <c r="M328" s="4"/>
      <c r="N328" s="4" t="s">
        <v>70</v>
      </c>
      <c r="O328" s="51" t="b">
        <v>0</v>
      </c>
      <c r="P328" s="51" t="b">
        <v>0</v>
      </c>
      <c r="Q328" s="51" t="b">
        <v>0</v>
      </c>
      <c r="R328" s="51" t="b">
        <v>0</v>
      </c>
      <c r="S328" s="51" t="b">
        <v>0</v>
      </c>
    </row>
    <row r="329" hidden="1">
      <c r="A329" s="4" t="str">
        <f>IFERROR(__xludf.DUMMYFUNCTION("""COMPUTED_VALUE"""),"254 - Channel")</f>
        <v>254 - Channel</v>
      </c>
      <c r="B329" s="4" t="s">
        <v>14</v>
      </c>
      <c r="C329" s="4" t="s">
        <v>289</v>
      </c>
      <c r="D329" s="6">
        <v>0.5698611111111109</v>
      </c>
      <c r="E329" s="6">
        <v>0.0020833333333333333</v>
      </c>
      <c r="F329" s="6">
        <v>0.5719444444444443</v>
      </c>
      <c r="G329" s="4"/>
      <c r="H329" s="4" t="s">
        <v>83</v>
      </c>
      <c r="I329" s="4" t="s">
        <v>417</v>
      </c>
      <c r="J329" s="4"/>
      <c r="K329" s="4"/>
      <c r="L329" s="4"/>
      <c r="M329" s="4"/>
      <c r="N329" s="4" t="s">
        <v>70</v>
      </c>
      <c r="O329" s="51" t="b">
        <v>0</v>
      </c>
      <c r="P329" s="51" t="b">
        <v>0</v>
      </c>
      <c r="Q329" s="51" t="b">
        <v>0</v>
      </c>
      <c r="R329" s="51" t="b">
        <v>0</v>
      </c>
      <c r="S329" s="51" t="b">
        <v>0</v>
      </c>
    </row>
    <row r="330" hidden="1">
      <c r="A330" s="4" t="str">
        <f>IFERROR(__xludf.DUMMYFUNCTION("""COMPUTED_VALUE"""),"2262 - Channel")</f>
        <v>2262 - Channel</v>
      </c>
      <c r="B330" s="4" t="s">
        <v>14</v>
      </c>
      <c r="C330" s="4" t="s">
        <v>289</v>
      </c>
      <c r="D330" s="6">
        <v>0.5719444444444443</v>
      </c>
      <c r="E330" s="6">
        <v>2.314814814814815E-4</v>
      </c>
      <c r="F330" s="6">
        <v>0.5721759259259257</v>
      </c>
      <c r="G330" s="4"/>
      <c r="H330" s="4" t="s">
        <v>85</v>
      </c>
      <c r="I330" s="4" t="s">
        <v>86</v>
      </c>
      <c r="J330" s="4" t="s">
        <v>73</v>
      </c>
      <c r="K330" s="4"/>
      <c r="L330" s="4"/>
      <c r="M330" s="4"/>
      <c r="N330" s="4"/>
      <c r="O330" s="51" t="b">
        <v>0</v>
      </c>
      <c r="P330" s="51" t="b">
        <v>0</v>
      </c>
      <c r="Q330" s="51" t="b">
        <v>0</v>
      </c>
      <c r="R330" s="51" t="b">
        <v>0</v>
      </c>
      <c r="S330" s="51" t="b">
        <v>0</v>
      </c>
    </row>
    <row r="331" hidden="1">
      <c r="A331" s="4" t="str">
        <f>IFERROR(__xludf.DUMMYFUNCTION("""COMPUTED_VALUE"""),"2266 - Channel")</f>
        <v>2266 - Channel</v>
      </c>
      <c r="B331" s="4" t="s">
        <v>14</v>
      </c>
      <c r="C331" s="4" t="s">
        <v>289</v>
      </c>
      <c r="D331" s="6">
        <v>0.5719444444444443</v>
      </c>
      <c r="E331" s="6">
        <v>2.314814814814815E-4</v>
      </c>
      <c r="F331" s="6">
        <v>0.5721759259259257</v>
      </c>
      <c r="G331" s="4"/>
      <c r="H331" s="4" t="s">
        <v>81</v>
      </c>
      <c r="I331" s="4" t="s">
        <v>81</v>
      </c>
      <c r="J331" s="4" t="s">
        <v>105</v>
      </c>
      <c r="K331" s="4"/>
      <c r="L331" s="4"/>
      <c r="M331" s="4"/>
      <c r="N331" s="4"/>
      <c r="O331" s="51" t="b">
        <v>0</v>
      </c>
      <c r="P331" s="51" t="b">
        <v>0</v>
      </c>
      <c r="Q331" s="51" t="b">
        <v>0</v>
      </c>
      <c r="R331" s="51" t="b">
        <v>0</v>
      </c>
      <c r="S331" s="51" t="b">
        <v>0</v>
      </c>
    </row>
    <row r="332" hidden="1">
      <c r="A332" s="4" t="str">
        <f>IFERROR(__xludf.DUMMYFUNCTION("""COMPUTED_VALUE"""),"2267 - Channel")</f>
        <v>2267 - Channel</v>
      </c>
      <c r="B332" s="4" t="s">
        <v>14</v>
      </c>
      <c r="C332" s="4" t="s">
        <v>289</v>
      </c>
      <c r="D332" s="6">
        <v>0.5721759259259257</v>
      </c>
      <c r="E332" s="6">
        <v>0.008333333333333333</v>
      </c>
      <c r="F332" s="6">
        <v>0.580509259259259</v>
      </c>
      <c r="G332" s="4"/>
      <c r="H332" s="4" t="s">
        <v>94</v>
      </c>
      <c r="I332" s="4" t="s">
        <v>418</v>
      </c>
      <c r="J332" s="4" t="s">
        <v>419</v>
      </c>
      <c r="K332" s="4"/>
      <c r="L332" s="4"/>
      <c r="M332" s="4"/>
      <c r="N332" s="4" t="s">
        <v>270</v>
      </c>
      <c r="O332" s="51" t="b">
        <v>0</v>
      </c>
      <c r="P332" s="51" t="b">
        <v>0</v>
      </c>
      <c r="Q332" s="51" t="b">
        <v>0</v>
      </c>
      <c r="R332" s="51" t="b">
        <v>0</v>
      </c>
      <c r="S332" s="51" t="b">
        <v>0</v>
      </c>
    </row>
    <row r="333" hidden="1">
      <c r="A333" s="56" t="str">
        <f>IFERROR(__xludf.DUMMYFUNCTION("""COMPUTED_VALUE"""),"381 - Channel")</f>
        <v>381 - Channel</v>
      </c>
      <c r="B333" s="56" t="s">
        <v>14</v>
      </c>
      <c r="C333" s="56" t="s">
        <v>289</v>
      </c>
      <c r="D333" s="57">
        <v>0.580509259259259</v>
      </c>
      <c r="E333" s="57">
        <v>2.314814814814815E-4</v>
      </c>
      <c r="F333" s="57">
        <v>0.5807407407407404</v>
      </c>
      <c r="G333" s="56"/>
      <c r="H333" s="56" t="s">
        <v>81</v>
      </c>
      <c r="I333" s="56" t="s">
        <v>119</v>
      </c>
      <c r="J333" s="56" t="s">
        <v>105</v>
      </c>
      <c r="K333" s="56"/>
      <c r="L333" s="56"/>
      <c r="M333" s="56"/>
      <c r="N333" s="56"/>
      <c r="O333" s="51" t="b">
        <v>0</v>
      </c>
      <c r="P333" s="51" t="b">
        <v>0</v>
      </c>
      <c r="Q333" s="51" t="b">
        <v>0</v>
      </c>
      <c r="R333" s="51" t="b">
        <v>0</v>
      </c>
      <c r="S333" s="51" t="b">
        <v>0</v>
      </c>
      <c r="T333" s="56"/>
    </row>
    <row r="334" hidden="1">
      <c r="A334" s="4" t="str">
        <f>IFERROR(__xludf.DUMMYFUNCTION("""COMPUTED_VALUE"""),"382 - Channel")</f>
        <v>382 - Channel</v>
      </c>
      <c r="B334" s="4" t="s">
        <v>14</v>
      </c>
      <c r="C334" s="4" t="s">
        <v>289</v>
      </c>
      <c r="D334" s="6">
        <v>0.5807407407407404</v>
      </c>
      <c r="E334" s="6">
        <v>0.005555555555555556</v>
      </c>
      <c r="F334" s="6">
        <v>0.586296296296296</v>
      </c>
      <c r="G334" s="4"/>
      <c r="H334" s="4" t="s">
        <v>165</v>
      </c>
      <c r="I334" s="4" t="s">
        <v>420</v>
      </c>
      <c r="J334" s="4" t="s">
        <v>421</v>
      </c>
      <c r="K334" s="4"/>
      <c r="L334" s="4"/>
      <c r="M334" s="4"/>
      <c r="N334" s="4"/>
      <c r="O334" s="51" t="b">
        <v>0</v>
      </c>
      <c r="P334" s="51" t="b">
        <v>0</v>
      </c>
      <c r="Q334" s="51" t="b">
        <v>0</v>
      </c>
      <c r="R334" s="51" t="b">
        <v>0</v>
      </c>
      <c r="S334" s="51" t="b">
        <v>0</v>
      </c>
    </row>
    <row r="335" hidden="1">
      <c r="A335" s="56" t="str">
        <f>IFERROR(__xludf.DUMMYFUNCTION("""COMPUTED_VALUE"""),"334 - Channel")</f>
        <v>334 - Channel</v>
      </c>
      <c r="B335" s="56" t="s">
        <v>14</v>
      </c>
      <c r="C335" s="56" t="s">
        <v>289</v>
      </c>
      <c r="D335" s="57">
        <v>0.586296296296296</v>
      </c>
      <c r="E335" s="57">
        <v>3.4722222222222224E-4</v>
      </c>
      <c r="F335" s="57">
        <v>0.5866435185185183</v>
      </c>
      <c r="G335" s="56"/>
      <c r="H335" s="56" t="s">
        <v>79</v>
      </c>
      <c r="I335" s="56" t="s">
        <v>80</v>
      </c>
      <c r="J335" s="56" t="s">
        <v>69</v>
      </c>
      <c r="K335" s="56"/>
      <c r="L335" s="56"/>
      <c r="M335" s="56"/>
      <c r="N335" s="56" t="s">
        <v>70</v>
      </c>
      <c r="O335" s="51" t="b">
        <v>0</v>
      </c>
      <c r="P335" s="51" t="b">
        <v>0</v>
      </c>
      <c r="Q335" s="51" t="b">
        <v>0</v>
      </c>
      <c r="R335" s="51" t="b">
        <v>0</v>
      </c>
      <c r="S335" s="51" t="b">
        <v>0</v>
      </c>
      <c r="T335" s="56"/>
    </row>
    <row r="336" hidden="1">
      <c r="A336" s="4" t="str">
        <f>IFERROR(__xludf.DUMMYFUNCTION("""COMPUTED_VALUE"""),"1798 - Channel")</f>
        <v>1798 - Channel</v>
      </c>
      <c r="B336" s="4" t="s">
        <v>14</v>
      </c>
      <c r="C336" s="4" t="s">
        <v>289</v>
      </c>
      <c r="D336" s="6"/>
      <c r="E336" s="6"/>
      <c r="F336" s="6"/>
      <c r="G336" s="4"/>
      <c r="H336" s="4"/>
      <c r="I336" s="4"/>
      <c r="J336" s="4"/>
      <c r="K336" s="4"/>
      <c r="L336" s="4"/>
      <c r="M336" s="4"/>
      <c r="N336" s="4"/>
      <c r="O336" s="51" t="b">
        <v>0</v>
      </c>
      <c r="P336" s="51" t="b">
        <v>0</v>
      </c>
      <c r="Q336" s="51" t="b">
        <v>0</v>
      </c>
      <c r="R336" s="51" t="b">
        <v>0</v>
      </c>
      <c r="S336" s="51" t="b">
        <v>0</v>
      </c>
    </row>
    <row r="337" hidden="1">
      <c r="A337" s="56" t="str">
        <f>IFERROR(__xludf.DUMMYFUNCTION("""COMPUTED_VALUE"""),"335 - Channel")</f>
        <v>335 - Channel</v>
      </c>
      <c r="B337" s="56" t="s">
        <v>14</v>
      </c>
      <c r="C337" s="56" t="s">
        <v>289</v>
      </c>
      <c r="D337" s="57">
        <v>0.5866435185185183</v>
      </c>
      <c r="E337" s="57">
        <v>6.944444444444445E-4</v>
      </c>
      <c r="F337" s="57">
        <v>0.5873379629629627</v>
      </c>
      <c r="G337" s="56"/>
      <c r="H337" s="56" t="s">
        <v>103</v>
      </c>
      <c r="I337" s="56" t="s">
        <v>422</v>
      </c>
      <c r="J337" s="56" t="s">
        <v>128</v>
      </c>
      <c r="K337" s="56"/>
      <c r="L337" s="56"/>
      <c r="M337" s="56"/>
      <c r="N337" s="56" t="s">
        <v>70</v>
      </c>
      <c r="O337" s="51" t="b">
        <v>0</v>
      </c>
      <c r="P337" s="51" t="b">
        <v>0</v>
      </c>
      <c r="Q337" s="51" t="b">
        <v>0</v>
      </c>
      <c r="R337" s="51" t="b">
        <v>0</v>
      </c>
      <c r="S337" s="51" t="b">
        <v>0</v>
      </c>
      <c r="T337" s="56"/>
    </row>
    <row r="338" hidden="1">
      <c r="A338" s="4" t="str">
        <f>IFERROR(__xludf.DUMMYFUNCTION("""COMPUTED_VALUE"""),"1588 - Channel")</f>
        <v>1588 - Channel</v>
      </c>
      <c r="B338" s="4" t="s">
        <v>14</v>
      </c>
      <c r="C338" s="4" t="s">
        <v>289</v>
      </c>
      <c r="D338" s="6">
        <v>0.5873379629629627</v>
      </c>
      <c r="E338" s="6">
        <v>2.314814814814815E-4</v>
      </c>
      <c r="F338" s="6">
        <v>0.5875694444444441</v>
      </c>
      <c r="G338" s="4"/>
      <c r="H338" s="4" t="s">
        <v>81</v>
      </c>
      <c r="I338" s="4" t="s">
        <v>119</v>
      </c>
      <c r="J338" s="4" t="s">
        <v>128</v>
      </c>
      <c r="K338" s="4"/>
      <c r="L338" s="4"/>
      <c r="M338" s="4"/>
      <c r="N338" s="4"/>
      <c r="O338" s="51" t="b">
        <v>0</v>
      </c>
      <c r="P338" s="51" t="b">
        <v>0</v>
      </c>
      <c r="Q338" s="51" t="b">
        <v>0</v>
      </c>
      <c r="R338" s="51" t="b">
        <v>0</v>
      </c>
      <c r="S338" s="51" t="b">
        <v>0</v>
      </c>
    </row>
    <row r="339" hidden="1">
      <c r="A339" s="56" t="str">
        <f>IFERROR(__xludf.DUMMYFUNCTION("""COMPUTED_VALUE"""),"1589 - Channel")</f>
        <v>1589 - Channel</v>
      </c>
      <c r="B339" s="56" t="s">
        <v>14</v>
      </c>
      <c r="C339" s="56" t="s">
        <v>289</v>
      </c>
      <c r="D339" s="57">
        <v>0.5875694444444441</v>
      </c>
      <c r="E339" s="57">
        <v>0.010416666666666666</v>
      </c>
      <c r="F339" s="57">
        <v>0.5979861111111108</v>
      </c>
      <c r="G339" s="56"/>
      <c r="H339" s="56" t="s">
        <v>94</v>
      </c>
      <c r="I339" s="56" t="s">
        <v>423</v>
      </c>
      <c r="J339" s="56" t="s">
        <v>424</v>
      </c>
      <c r="K339" s="56"/>
      <c r="L339" s="56"/>
      <c r="M339" s="56"/>
      <c r="N339" s="56" t="s">
        <v>425</v>
      </c>
      <c r="O339" s="51" t="b">
        <v>0</v>
      </c>
      <c r="P339" s="51" t="b">
        <v>0</v>
      </c>
      <c r="Q339" s="51" t="b">
        <v>0</v>
      </c>
      <c r="R339" s="51" t="b">
        <v>0</v>
      </c>
      <c r="S339" s="51" t="b">
        <v>0</v>
      </c>
      <c r="T339" s="56"/>
    </row>
    <row r="340" hidden="1">
      <c r="A340" s="56" t="str">
        <f>IFERROR(__xludf.DUMMYFUNCTION("""COMPUTED_VALUE"""),"1421 - Channel")</f>
        <v>1421 - Channel</v>
      </c>
      <c r="B340" s="56" t="s">
        <v>14</v>
      </c>
      <c r="C340" s="56" t="s">
        <v>289</v>
      </c>
      <c r="D340" s="57">
        <v>0.5979861111111108</v>
      </c>
      <c r="E340" s="57">
        <v>0.0012037037037037038</v>
      </c>
      <c r="F340" s="57">
        <v>0.5991898148148145</v>
      </c>
      <c r="G340" s="56"/>
      <c r="H340" s="56" t="s">
        <v>126</v>
      </c>
      <c r="I340" s="56" t="s">
        <v>426</v>
      </c>
      <c r="J340" s="56" t="s">
        <v>90</v>
      </c>
      <c r="K340" s="56"/>
      <c r="L340" s="56"/>
      <c r="M340" s="56"/>
      <c r="N340" s="56"/>
      <c r="O340" s="51" t="b">
        <v>0</v>
      </c>
      <c r="P340" s="51" t="b">
        <v>0</v>
      </c>
      <c r="Q340" s="51" t="b">
        <v>0</v>
      </c>
      <c r="R340" s="51" t="b">
        <v>0</v>
      </c>
      <c r="S340" s="51" t="b">
        <v>0</v>
      </c>
      <c r="T340" s="56"/>
    </row>
    <row r="341" hidden="1">
      <c r="A341" s="4" t="str">
        <f>IFERROR(__xludf.DUMMYFUNCTION("""COMPUTED_VALUE"""),"339 - Channel")</f>
        <v>339 - Channel</v>
      </c>
      <c r="B341" s="4" t="s">
        <v>14</v>
      </c>
      <c r="C341" s="4" t="s">
        <v>289</v>
      </c>
      <c r="D341" s="6">
        <v>0.5991898148148145</v>
      </c>
      <c r="E341" s="6">
        <v>2.314814814814815E-4</v>
      </c>
      <c r="F341" s="6">
        <v>0.5994212962962959</v>
      </c>
      <c r="G341" s="4"/>
      <c r="H341" s="4" t="s">
        <v>81</v>
      </c>
      <c r="I341" s="4" t="s">
        <v>427</v>
      </c>
      <c r="J341" s="4" t="s">
        <v>128</v>
      </c>
      <c r="K341" s="4"/>
      <c r="L341" s="4"/>
      <c r="M341" s="4"/>
      <c r="N341" s="4" t="s">
        <v>70</v>
      </c>
      <c r="O341" s="51" t="b">
        <v>0</v>
      </c>
      <c r="P341" s="51" t="b">
        <v>0</v>
      </c>
      <c r="Q341" s="51" t="b">
        <v>0</v>
      </c>
      <c r="R341" s="51" t="b">
        <v>0</v>
      </c>
      <c r="S341" s="51" t="b">
        <v>0</v>
      </c>
    </row>
    <row r="342" hidden="1">
      <c r="A342" s="56" t="str">
        <f>IFERROR(__xludf.DUMMYFUNCTION("""COMPUTED_VALUE"""),"340 - Channel")</f>
        <v>340 - Channel</v>
      </c>
      <c r="B342" s="56" t="s">
        <v>14</v>
      </c>
      <c r="C342" s="56" t="s">
        <v>289</v>
      </c>
      <c r="D342" s="57">
        <v>0.5994212962962959</v>
      </c>
      <c r="E342" s="57">
        <v>0.0020833333333333333</v>
      </c>
      <c r="F342" s="57">
        <v>0.6015046296296293</v>
      </c>
      <c r="G342" s="56"/>
      <c r="H342" s="56" t="s">
        <v>83</v>
      </c>
      <c r="I342" s="56" t="s">
        <v>428</v>
      </c>
      <c r="J342" s="56"/>
      <c r="K342" s="56"/>
      <c r="L342" s="56"/>
      <c r="M342" s="56"/>
      <c r="N342" s="56" t="s">
        <v>70</v>
      </c>
      <c r="O342" s="51" t="b">
        <v>0</v>
      </c>
      <c r="P342" s="51" t="b">
        <v>0</v>
      </c>
      <c r="Q342" s="51" t="b">
        <v>0</v>
      </c>
      <c r="R342" s="51" t="b">
        <v>0</v>
      </c>
      <c r="S342" s="51" t="b">
        <v>0</v>
      </c>
      <c r="T342" s="56"/>
    </row>
    <row r="343" hidden="1">
      <c r="A343" s="56" t="str">
        <f>IFERROR(__xludf.DUMMYFUNCTION("""COMPUTED_VALUE"""),"2263 - Channel")</f>
        <v>2263 - Channel</v>
      </c>
      <c r="B343" s="56" t="s">
        <v>14</v>
      </c>
      <c r="C343" s="56" t="s">
        <v>289</v>
      </c>
      <c r="D343" s="57">
        <v>0.6015046296296293</v>
      </c>
      <c r="E343" s="57">
        <v>2.314814814814815E-4</v>
      </c>
      <c r="F343" s="57">
        <v>0.6017361111111107</v>
      </c>
      <c r="G343" s="56"/>
      <c r="H343" s="56" t="s">
        <v>85</v>
      </c>
      <c r="I343" s="56" t="s">
        <v>86</v>
      </c>
      <c r="J343" s="56" t="s">
        <v>128</v>
      </c>
      <c r="K343" s="56"/>
      <c r="L343" s="56"/>
      <c r="M343" s="56"/>
      <c r="N343" s="56"/>
      <c r="O343" s="51" t="b">
        <v>0</v>
      </c>
      <c r="P343" s="51" t="b">
        <v>0</v>
      </c>
      <c r="Q343" s="51" t="b">
        <v>0</v>
      </c>
      <c r="R343" s="51" t="b">
        <v>0</v>
      </c>
      <c r="S343" s="51" t="b">
        <v>0</v>
      </c>
      <c r="T343" s="56"/>
    </row>
    <row r="344" hidden="1">
      <c r="A344" s="4" t="str">
        <f>IFERROR(__xludf.DUMMYFUNCTION("""COMPUTED_VALUE"""),"1424 - Channel")</f>
        <v>1424 - Channel</v>
      </c>
      <c r="B344" s="4" t="s">
        <v>14</v>
      </c>
      <c r="C344" s="4" t="s">
        <v>289</v>
      </c>
      <c r="D344" s="6">
        <v>0.6017361111111107</v>
      </c>
      <c r="E344" s="6">
        <v>5.208333333333333E-4</v>
      </c>
      <c r="F344" s="6">
        <v>0.602256944444444</v>
      </c>
      <c r="G344" s="4"/>
      <c r="H344" s="4" t="s">
        <v>79</v>
      </c>
      <c r="I344" s="4" t="s">
        <v>80</v>
      </c>
      <c r="J344" s="4" t="s">
        <v>69</v>
      </c>
      <c r="K344" s="4"/>
      <c r="L344" s="4"/>
      <c r="M344" s="4"/>
      <c r="N344" s="4"/>
      <c r="O344" s="51" t="b">
        <v>0</v>
      </c>
      <c r="P344" s="51" t="b">
        <v>0</v>
      </c>
      <c r="Q344" s="51" t="b">
        <v>0</v>
      </c>
      <c r="R344" s="51" t="b">
        <v>0</v>
      </c>
      <c r="S344" s="51" t="b">
        <v>0</v>
      </c>
    </row>
    <row r="345" hidden="1">
      <c r="A345" s="56" t="str">
        <f>IFERROR(__xludf.DUMMYFUNCTION("""COMPUTED_VALUE"""),"1405 - Channel")</f>
        <v>1405 - Channel</v>
      </c>
      <c r="B345" s="56" t="s">
        <v>14</v>
      </c>
      <c r="C345" s="56" t="s">
        <v>289</v>
      </c>
      <c r="D345" s="57">
        <v>0.602256944444444</v>
      </c>
      <c r="E345" s="57">
        <v>2.314814814814815E-4</v>
      </c>
      <c r="F345" s="57">
        <v>0.6024884259259254</v>
      </c>
      <c r="G345" s="56"/>
      <c r="H345" s="56" t="s">
        <v>81</v>
      </c>
      <c r="I345" s="56" t="s">
        <v>81</v>
      </c>
      <c r="J345" s="56" t="s">
        <v>73</v>
      </c>
      <c r="K345" s="56" t="s">
        <v>128</v>
      </c>
      <c r="L345" s="56"/>
      <c r="M345" s="56"/>
      <c r="N345" s="56"/>
      <c r="O345" s="51" t="b">
        <v>0</v>
      </c>
      <c r="P345" s="51" t="b">
        <v>0</v>
      </c>
      <c r="Q345" s="51" t="b">
        <v>0</v>
      </c>
      <c r="R345" s="51" t="b">
        <v>0</v>
      </c>
      <c r="S345" s="51" t="b">
        <v>0</v>
      </c>
      <c r="T345" s="56"/>
    </row>
    <row r="346" hidden="1">
      <c r="A346" s="4" t="str">
        <f>IFERROR(__xludf.DUMMYFUNCTION("""COMPUTED_VALUE"""),"1279 - Channel")</f>
        <v>1279 - Channel</v>
      </c>
      <c r="B346" s="4" t="s">
        <v>14</v>
      </c>
      <c r="C346" s="4" t="s">
        <v>289</v>
      </c>
      <c r="D346" s="6">
        <v>0.6024884259259254</v>
      </c>
      <c r="E346" s="6">
        <v>0.011111111111111112</v>
      </c>
      <c r="F346" s="6">
        <v>0.6135995370370365</v>
      </c>
      <c r="G346" s="4" t="s">
        <v>358</v>
      </c>
      <c r="H346" s="4" t="s">
        <v>74</v>
      </c>
      <c r="I346" s="4" t="s">
        <v>429</v>
      </c>
      <c r="J346" s="4" t="s">
        <v>430</v>
      </c>
      <c r="K346" s="4" t="s">
        <v>431</v>
      </c>
      <c r="L346" s="4" t="s">
        <v>432</v>
      </c>
      <c r="M346" s="4"/>
      <c r="N346" s="4" t="s">
        <v>433</v>
      </c>
      <c r="O346" s="51" t="b">
        <v>0</v>
      </c>
      <c r="P346" s="51" t="b">
        <v>0</v>
      </c>
      <c r="Q346" s="51" t="b">
        <v>0</v>
      </c>
      <c r="R346" s="51" t="b">
        <v>0</v>
      </c>
      <c r="S346" s="51" t="b">
        <v>0</v>
      </c>
    </row>
    <row r="347" hidden="1">
      <c r="A347" s="56" t="str">
        <f>IFERROR(__xludf.DUMMYFUNCTION("""COMPUTED_VALUE"""),"1427 - Channel")</f>
        <v>1427 - Channel</v>
      </c>
      <c r="B347" s="56" t="s">
        <v>14</v>
      </c>
      <c r="C347" s="56" t="s">
        <v>289</v>
      </c>
      <c r="D347" s="57">
        <v>0.6135995370370365</v>
      </c>
      <c r="E347" s="57">
        <v>2.314814814814815E-4</v>
      </c>
      <c r="F347" s="57">
        <v>0.613831018518518</v>
      </c>
      <c r="G347" s="56"/>
      <c r="H347" s="56" t="s">
        <v>81</v>
      </c>
      <c r="I347" s="56" t="s">
        <v>434</v>
      </c>
      <c r="J347" s="56" t="s">
        <v>128</v>
      </c>
      <c r="K347" s="56"/>
      <c r="L347" s="56"/>
      <c r="M347" s="56"/>
      <c r="N347" s="56" t="s">
        <v>70</v>
      </c>
      <c r="O347" s="51" t="b">
        <v>0</v>
      </c>
      <c r="P347" s="51" t="b">
        <v>0</v>
      </c>
      <c r="Q347" s="51" t="b">
        <v>0</v>
      </c>
      <c r="R347" s="51" t="b">
        <v>0</v>
      </c>
      <c r="S347" s="51" t="b">
        <v>0</v>
      </c>
      <c r="T347" s="56"/>
    </row>
    <row r="348" hidden="1">
      <c r="A348" s="4" t="str">
        <f>IFERROR(__xludf.DUMMYFUNCTION("""COMPUTED_VALUE"""),"1429 - Channel")</f>
        <v>1429 - Channel</v>
      </c>
      <c r="B348" s="4" t="s">
        <v>14</v>
      </c>
      <c r="C348" s="4" t="s">
        <v>289</v>
      </c>
      <c r="D348" s="6">
        <v>0.613831018518518</v>
      </c>
      <c r="E348" s="6">
        <v>0.0020833333333333333</v>
      </c>
      <c r="F348" s="6">
        <v>0.6159143518518513</v>
      </c>
      <c r="G348" s="4"/>
      <c r="H348" s="4" t="s">
        <v>83</v>
      </c>
      <c r="I348" s="4" t="s">
        <v>435</v>
      </c>
      <c r="J348" s="4"/>
      <c r="K348" s="4"/>
      <c r="L348" s="4"/>
      <c r="M348" s="4"/>
      <c r="N348" s="4" t="s">
        <v>70</v>
      </c>
      <c r="O348" s="51" t="b">
        <v>0</v>
      </c>
      <c r="P348" s="51" t="b">
        <v>0</v>
      </c>
      <c r="Q348" s="51" t="b">
        <v>0</v>
      </c>
      <c r="R348" s="51" t="b">
        <v>0</v>
      </c>
      <c r="S348" s="51" t="b">
        <v>0</v>
      </c>
    </row>
    <row r="349" hidden="1">
      <c r="A349" s="56" t="str">
        <f>IFERROR(__xludf.DUMMYFUNCTION("""COMPUTED_VALUE"""),"2264 - Channel")</f>
        <v>2264 - Channel</v>
      </c>
      <c r="B349" s="56" t="s">
        <v>14</v>
      </c>
      <c r="C349" s="56" t="s">
        <v>289</v>
      </c>
      <c r="D349" s="57">
        <v>0.6159143518518513</v>
      </c>
      <c r="E349" s="57">
        <v>2.314814814814815E-4</v>
      </c>
      <c r="F349" s="57">
        <v>0.6161458333333327</v>
      </c>
      <c r="G349" s="56"/>
      <c r="H349" s="56" t="s">
        <v>85</v>
      </c>
      <c r="I349" s="56" t="s">
        <v>86</v>
      </c>
      <c r="J349" s="56" t="s">
        <v>128</v>
      </c>
      <c r="K349" s="56"/>
      <c r="L349" s="56"/>
      <c r="M349" s="56"/>
      <c r="N349" s="56"/>
      <c r="O349" s="51" t="b">
        <v>0</v>
      </c>
      <c r="P349" s="51" t="b">
        <v>0</v>
      </c>
      <c r="Q349" s="51" t="b">
        <v>0</v>
      </c>
      <c r="R349" s="51" t="b">
        <v>0</v>
      </c>
      <c r="S349" s="51" t="b">
        <v>0</v>
      </c>
      <c r="T349" s="56"/>
    </row>
    <row r="350" hidden="1">
      <c r="A350" s="56" t="str">
        <f>IFERROR(__xludf.DUMMYFUNCTION("""COMPUTED_VALUE"""),"12 - Channel")</f>
        <v>12 - Channel</v>
      </c>
      <c r="B350" s="56" t="s">
        <v>14</v>
      </c>
      <c r="C350" s="56" t="s">
        <v>289</v>
      </c>
      <c r="D350" s="57">
        <v>0.6161458333333327</v>
      </c>
      <c r="E350" s="57">
        <v>2.314814814814815E-4</v>
      </c>
      <c r="F350" s="57">
        <v>0.6163773148148142</v>
      </c>
      <c r="G350" s="56"/>
      <c r="H350" s="56" t="s">
        <v>81</v>
      </c>
      <c r="I350" s="56" t="s">
        <v>81</v>
      </c>
      <c r="J350" s="56" t="s">
        <v>128</v>
      </c>
      <c r="K350" s="56"/>
      <c r="L350" s="56"/>
      <c r="M350" s="56"/>
      <c r="N350" s="56" t="s">
        <v>70</v>
      </c>
      <c r="O350" s="51" t="b">
        <v>0</v>
      </c>
      <c r="P350" s="51" t="b">
        <v>0</v>
      </c>
      <c r="Q350" s="51" t="b">
        <v>0</v>
      </c>
      <c r="R350" s="51" t="b">
        <v>0</v>
      </c>
      <c r="S350" s="51" t="b">
        <v>0</v>
      </c>
      <c r="T350" s="56"/>
    </row>
    <row r="351" hidden="1">
      <c r="A351" s="4" t="str">
        <f>IFERROR(__xludf.DUMMYFUNCTION("""COMPUTED_VALUE"""),"13 - Channel")</f>
        <v>13 - Channel</v>
      </c>
      <c r="B351" s="4" t="s">
        <v>14</v>
      </c>
      <c r="C351" s="4" t="s">
        <v>289</v>
      </c>
      <c r="D351" s="6">
        <v>0.6163773148148142</v>
      </c>
      <c r="E351" s="6">
        <v>0.010416666666666666</v>
      </c>
      <c r="F351" s="6">
        <v>0.6267939814814808</v>
      </c>
      <c r="G351" s="4" t="s">
        <v>151</v>
      </c>
      <c r="H351" s="4" t="s">
        <v>107</v>
      </c>
      <c r="I351" s="4" t="s">
        <v>436</v>
      </c>
      <c r="J351" s="4" t="s">
        <v>437</v>
      </c>
      <c r="K351" s="4" t="s">
        <v>438</v>
      </c>
      <c r="L351" s="4"/>
      <c r="M351" s="4"/>
      <c r="N351" s="4" t="s">
        <v>439</v>
      </c>
      <c r="O351" s="51" t="b">
        <v>0</v>
      </c>
      <c r="P351" s="51" t="b">
        <v>0</v>
      </c>
      <c r="Q351" s="51" t="b">
        <v>0</v>
      </c>
      <c r="R351" s="51" t="b">
        <v>0</v>
      </c>
      <c r="S351" s="51" t="b">
        <v>0</v>
      </c>
    </row>
    <row r="352" hidden="1">
      <c r="A352" s="56" t="str">
        <f>IFERROR(__xludf.DUMMYFUNCTION("""COMPUTED_VALUE"""),"1594 - Channel")</f>
        <v>1594 - Channel</v>
      </c>
      <c r="B352" s="56" t="s">
        <v>14</v>
      </c>
      <c r="C352" s="56" t="s">
        <v>289</v>
      </c>
      <c r="D352" s="57">
        <v>0.6267939814814808</v>
      </c>
      <c r="E352" s="57">
        <v>3.4722222222222224E-4</v>
      </c>
      <c r="F352" s="57">
        <v>0.6271412037037031</v>
      </c>
      <c r="G352" s="56"/>
      <c r="H352" s="56" t="s">
        <v>79</v>
      </c>
      <c r="I352" s="56" t="s">
        <v>80</v>
      </c>
      <c r="J352" s="56" t="s">
        <v>69</v>
      </c>
      <c r="K352" s="56"/>
      <c r="L352" s="56"/>
      <c r="M352" s="56"/>
      <c r="N352" s="56"/>
      <c r="O352" s="51" t="b">
        <v>0</v>
      </c>
      <c r="P352" s="51" t="b">
        <v>0</v>
      </c>
      <c r="Q352" s="51" t="b">
        <v>0</v>
      </c>
      <c r="R352" s="51" t="b">
        <v>0</v>
      </c>
      <c r="S352" s="51" t="b">
        <v>0</v>
      </c>
      <c r="T352" s="56"/>
    </row>
    <row r="353" hidden="1">
      <c r="A353" s="4" t="str">
        <f>IFERROR(__xludf.DUMMYFUNCTION("""COMPUTED_VALUE"""),"1799 - Channel")</f>
        <v>1799 - Channel</v>
      </c>
      <c r="B353" s="4" t="s">
        <v>14</v>
      </c>
      <c r="C353" s="4" t="s">
        <v>289</v>
      </c>
      <c r="D353" s="6"/>
      <c r="E353" s="6"/>
      <c r="F353" s="6"/>
      <c r="G353" s="4"/>
      <c r="H353" s="4"/>
      <c r="I353" s="4"/>
      <c r="J353" s="4"/>
      <c r="K353" s="4"/>
      <c r="L353" s="4"/>
      <c r="M353" s="4"/>
      <c r="N353" s="4"/>
      <c r="O353" s="51" t="b">
        <v>0</v>
      </c>
      <c r="P353" s="51" t="b">
        <v>0</v>
      </c>
      <c r="Q353" s="51" t="b">
        <v>0</v>
      </c>
      <c r="R353" s="51" t="b">
        <v>0</v>
      </c>
      <c r="S353" s="51" t="b">
        <v>0</v>
      </c>
    </row>
    <row r="354" hidden="1">
      <c r="A354" s="56" t="str">
        <f>IFERROR(__xludf.DUMMYFUNCTION("""COMPUTED_VALUE"""),"351 - Channel")</f>
        <v>351 - Channel</v>
      </c>
      <c r="B354" s="56" t="s">
        <v>14</v>
      </c>
      <c r="C354" s="56" t="s">
        <v>289</v>
      </c>
      <c r="D354" s="57">
        <v>0.6271412037037031</v>
      </c>
      <c r="E354" s="57">
        <v>0.0010416666666666667</v>
      </c>
      <c r="F354" s="57">
        <v>0.6281828703703698</v>
      </c>
      <c r="G354" s="56"/>
      <c r="H354" s="56" t="s">
        <v>67</v>
      </c>
      <c r="I354" s="56" t="s">
        <v>68</v>
      </c>
      <c r="J354" s="56" t="s">
        <v>69</v>
      </c>
      <c r="K354" s="56"/>
      <c r="L354" s="56"/>
      <c r="M354" s="56"/>
      <c r="N354" s="56" t="s">
        <v>70</v>
      </c>
      <c r="O354" s="51" t="b">
        <v>0</v>
      </c>
      <c r="P354" s="51" t="b">
        <v>0</v>
      </c>
      <c r="Q354" s="51" t="b">
        <v>0</v>
      </c>
      <c r="R354" s="51" t="b">
        <v>0</v>
      </c>
      <c r="S354" s="51" t="b">
        <v>0</v>
      </c>
      <c r="T354" s="56"/>
    </row>
    <row r="355" hidden="1">
      <c r="A355" s="4" t="str">
        <f>IFERROR(__xludf.DUMMYFUNCTION("""COMPUTED_VALUE"""),"352 - Channel")</f>
        <v>352 - Channel</v>
      </c>
      <c r="B355" s="4" t="s">
        <v>14</v>
      </c>
      <c r="C355" s="4" t="s">
        <v>289</v>
      </c>
      <c r="D355" s="6">
        <v>0.6281828703703698</v>
      </c>
      <c r="E355" s="6">
        <v>6.944444444444445E-4</v>
      </c>
      <c r="F355" s="6">
        <v>0.6288773148148142</v>
      </c>
      <c r="G355" s="4"/>
      <c r="H355" s="4" t="s">
        <v>103</v>
      </c>
      <c r="I355" s="4" t="s">
        <v>440</v>
      </c>
      <c r="J355" s="4" t="s">
        <v>92</v>
      </c>
      <c r="K355" s="4"/>
      <c r="L355" s="4"/>
      <c r="M355" s="4"/>
      <c r="N355" s="4" t="s">
        <v>70</v>
      </c>
      <c r="O355" s="51" t="b">
        <v>0</v>
      </c>
      <c r="P355" s="51" t="b">
        <v>0</v>
      </c>
      <c r="Q355" s="51" t="b">
        <v>0</v>
      </c>
      <c r="R355" s="51" t="b">
        <v>0</v>
      </c>
      <c r="S355" s="51" t="b">
        <v>0</v>
      </c>
    </row>
    <row r="356" hidden="1">
      <c r="A356" s="56" t="str">
        <f>IFERROR(__xludf.DUMMYFUNCTION("""COMPUTED_VALUE"""),"1966 - Channel")</f>
        <v>1966 - Channel</v>
      </c>
      <c r="B356" s="56" t="s">
        <v>14</v>
      </c>
      <c r="C356" s="56" t="s">
        <v>289</v>
      </c>
      <c r="D356" s="57">
        <v>0.6288773148148142</v>
      </c>
      <c r="E356" s="57">
        <v>2.314814814814815E-4</v>
      </c>
      <c r="F356" s="57">
        <v>0.6291087962962957</v>
      </c>
      <c r="G356" s="56"/>
      <c r="H356" s="56" t="s">
        <v>81</v>
      </c>
      <c r="I356" s="56" t="s">
        <v>81</v>
      </c>
      <c r="J356" s="56" t="s">
        <v>92</v>
      </c>
      <c r="K356" s="56"/>
      <c r="L356" s="56"/>
      <c r="M356" s="56"/>
      <c r="N356" s="56"/>
      <c r="O356" s="51" t="b">
        <v>0</v>
      </c>
      <c r="P356" s="51" t="b">
        <v>0</v>
      </c>
      <c r="Q356" s="51" t="b">
        <v>0</v>
      </c>
      <c r="R356" s="51" t="b">
        <v>0</v>
      </c>
      <c r="S356" s="51" t="b">
        <v>0</v>
      </c>
      <c r="T356" s="56"/>
    </row>
    <row r="357" hidden="1">
      <c r="A357" s="56" t="str">
        <f>IFERROR(__xludf.DUMMYFUNCTION("""COMPUTED_VALUE"""),"129 - Channel")</f>
        <v>129 - Channel</v>
      </c>
      <c r="B357" s="56" t="s">
        <v>14</v>
      </c>
      <c r="C357" s="56" t="s">
        <v>289</v>
      </c>
      <c r="D357" s="57">
        <v>0.6291087962962957</v>
      </c>
      <c r="E357" s="57">
        <v>0.010601851851851852</v>
      </c>
      <c r="F357" s="57">
        <v>0.6397106481481475</v>
      </c>
      <c r="G357" s="56" t="s">
        <v>441</v>
      </c>
      <c r="H357" s="56" t="s">
        <v>74</v>
      </c>
      <c r="I357" s="56" t="s">
        <v>442</v>
      </c>
      <c r="J357" s="56" t="s">
        <v>443</v>
      </c>
      <c r="K357" s="56" t="s">
        <v>444</v>
      </c>
      <c r="L357" s="56"/>
      <c r="M357" s="56"/>
      <c r="N357" s="56" t="s">
        <v>306</v>
      </c>
      <c r="O357" s="51" t="b">
        <v>0</v>
      </c>
      <c r="P357" s="51" t="b">
        <v>0</v>
      </c>
      <c r="Q357" s="51" t="b">
        <v>0</v>
      </c>
      <c r="R357" s="51" t="b">
        <v>0</v>
      </c>
      <c r="S357" s="51" t="b">
        <v>0</v>
      </c>
      <c r="T357" s="56"/>
    </row>
    <row r="358" hidden="1">
      <c r="A358" s="4" t="str">
        <f>IFERROR(__xludf.DUMMYFUNCTION("""COMPUTED_VALUE"""),"107 - Channel")</f>
        <v>107 - Channel</v>
      </c>
      <c r="B358" s="4" t="s">
        <v>14</v>
      </c>
      <c r="C358" s="4" t="s">
        <v>289</v>
      </c>
      <c r="D358" s="6">
        <v>0.642777777777777</v>
      </c>
      <c r="E358" s="6">
        <v>2.314814814814815E-4</v>
      </c>
      <c r="F358" s="6">
        <v>0.6430092592592584</v>
      </c>
      <c r="G358" s="4"/>
      <c r="H358" s="4" t="s">
        <v>81</v>
      </c>
      <c r="I358" s="4" t="s">
        <v>81</v>
      </c>
      <c r="J358" s="4" t="s">
        <v>92</v>
      </c>
      <c r="K358" s="4"/>
      <c r="L358" s="4"/>
      <c r="M358" s="4"/>
      <c r="N358" s="4" t="s">
        <v>70</v>
      </c>
      <c r="O358" s="51" t="b">
        <v>0</v>
      </c>
      <c r="P358" s="51" t="b">
        <v>0</v>
      </c>
      <c r="Q358" s="51" t="b">
        <v>0</v>
      </c>
      <c r="R358" s="51" t="b">
        <v>0</v>
      </c>
      <c r="S358" s="51" t="b">
        <v>0</v>
      </c>
    </row>
    <row r="359" hidden="1">
      <c r="A359" s="56" t="str">
        <f>IFERROR(__xludf.DUMMYFUNCTION("""COMPUTED_VALUE"""),"356 - Channel")</f>
        <v>356 - Channel</v>
      </c>
      <c r="B359" s="56" t="s">
        <v>14</v>
      </c>
      <c r="C359" s="56" t="s">
        <v>289</v>
      </c>
      <c r="D359" s="57">
        <v>0.6397106481481475</v>
      </c>
      <c r="E359" s="57">
        <v>2.314814814814815E-4</v>
      </c>
      <c r="F359" s="57">
        <v>0.6399421296296289</v>
      </c>
      <c r="G359" s="56"/>
      <c r="H359" s="56" t="s">
        <v>81</v>
      </c>
      <c r="I359" s="56" t="s">
        <v>445</v>
      </c>
      <c r="J359" s="56" t="s">
        <v>73</v>
      </c>
      <c r="K359" s="56" t="s">
        <v>92</v>
      </c>
      <c r="L359" s="56"/>
      <c r="M359" s="56"/>
      <c r="N359" s="56" t="s">
        <v>70</v>
      </c>
      <c r="O359" s="51" t="b">
        <v>0</v>
      </c>
      <c r="P359" s="51" t="b">
        <v>0</v>
      </c>
      <c r="Q359" s="51" t="b">
        <v>0</v>
      </c>
      <c r="R359" s="51" t="b">
        <v>0</v>
      </c>
      <c r="S359" s="51" t="b">
        <v>0</v>
      </c>
      <c r="T359" s="56"/>
    </row>
    <row r="360" hidden="1">
      <c r="A360" s="4" t="str">
        <f>IFERROR(__xludf.DUMMYFUNCTION("""COMPUTED_VALUE"""),"357 - Channel")</f>
        <v>357 - Channel</v>
      </c>
      <c r="B360" s="4" t="s">
        <v>14</v>
      </c>
      <c r="C360" s="4" t="s">
        <v>289</v>
      </c>
      <c r="D360" s="6">
        <v>0.6399421296296289</v>
      </c>
      <c r="E360" s="6">
        <v>0.0020833333333333333</v>
      </c>
      <c r="F360" s="6">
        <v>0.6420254629629623</v>
      </c>
      <c r="G360" s="4" t="s">
        <v>446</v>
      </c>
      <c r="H360" s="4" t="s">
        <v>83</v>
      </c>
      <c r="I360" s="4" t="s">
        <v>447</v>
      </c>
      <c r="J360" s="4"/>
      <c r="K360" s="4"/>
      <c r="L360" s="4"/>
      <c r="M360" s="4"/>
      <c r="N360" s="4" t="s">
        <v>70</v>
      </c>
      <c r="O360" s="51" t="b">
        <v>0</v>
      </c>
      <c r="P360" s="51" t="b">
        <v>0</v>
      </c>
      <c r="Q360" s="51" t="b">
        <v>0</v>
      </c>
      <c r="R360" s="51" t="b">
        <v>0</v>
      </c>
      <c r="S360" s="51" t="b">
        <v>0</v>
      </c>
    </row>
    <row r="361" hidden="1">
      <c r="A361" s="4" t="str">
        <f>IFERROR(__xludf.DUMMYFUNCTION("""COMPUTED_VALUE"""),"2265 - Channel")</f>
        <v>2265 - Channel</v>
      </c>
      <c r="B361" s="4" t="s">
        <v>14</v>
      </c>
      <c r="C361" s="4" t="s">
        <v>289</v>
      </c>
      <c r="D361" s="6">
        <v>0.6420254629629623</v>
      </c>
      <c r="E361" s="6">
        <v>2.314814814814815E-4</v>
      </c>
      <c r="F361" s="6">
        <v>0.6422569444444437</v>
      </c>
      <c r="G361" s="4"/>
      <c r="H361" s="4" t="s">
        <v>85</v>
      </c>
      <c r="I361" s="4" t="s">
        <v>86</v>
      </c>
      <c r="J361" s="4" t="s">
        <v>73</v>
      </c>
      <c r="K361" s="4"/>
      <c r="L361" s="4"/>
      <c r="M361" s="4"/>
      <c r="N361" s="4"/>
      <c r="O361" s="51" t="b">
        <v>0</v>
      </c>
      <c r="P361" s="51" t="b">
        <v>0</v>
      </c>
      <c r="Q361" s="51" t="b">
        <v>0</v>
      </c>
      <c r="R361" s="51" t="b">
        <v>0</v>
      </c>
      <c r="S361" s="51" t="b">
        <v>0</v>
      </c>
    </row>
    <row r="362" hidden="1">
      <c r="A362" s="56" t="str">
        <f>IFERROR(__xludf.DUMMYFUNCTION("""COMPUTED_VALUE"""),"1591 - Channel")</f>
        <v>1591 - Channel</v>
      </c>
      <c r="B362" s="56" t="s">
        <v>14</v>
      </c>
      <c r="C362" s="56" t="s">
        <v>289</v>
      </c>
      <c r="D362" s="57">
        <v>0.6422569444444437</v>
      </c>
      <c r="E362" s="57">
        <v>5.208333333333333E-4</v>
      </c>
      <c r="F362" s="57">
        <v>0.642777777777777</v>
      </c>
      <c r="G362" s="56"/>
      <c r="H362" s="56" t="s">
        <v>79</v>
      </c>
      <c r="I362" s="56" t="s">
        <v>80</v>
      </c>
      <c r="J362" s="56" t="s">
        <v>69</v>
      </c>
      <c r="K362" s="56"/>
      <c r="L362" s="56"/>
      <c r="M362" s="56"/>
      <c r="N362" s="56"/>
      <c r="O362" s="51" t="b">
        <v>0</v>
      </c>
      <c r="P362" s="51" t="b">
        <v>0</v>
      </c>
      <c r="Q362" s="51" t="b">
        <v>0</v>
      </c>
      <c r="R362" s="51" t="b">
        <v>0</v>
      </c>
      <c r="S362" s="51" t="b">
        <v>0</v>
      </c>
      <c r="T362" s="56"/>
    </row>
    <row r="363" hidden="1">
      <c r="A363" s="4" t="str">
        <f>IFERROR(__xludf.DUMMYFUNCTION("""COMPUTED_VALUE"""),"109 - Channel")</f>
        <v>109 - Channel</v>
      </c>
      <c r="B363" s="4" t="s">
        <v>14</v>
      </c>
      <c r="C363" s="4" t="s">
        <v>289</v>
      </c>
      <c r="D363" s="6">
        <v>0.6430092592592584</v>
      </c>
      <c r="E363" s="6">
        <v>0.005555555555555556</v>
      </c>
      <c r="F363" s="6">
        <v>0.648564814814814</v>
      </c>
      <c r="G363" s="4"/>
      <c r="H363" s="4" t="s">
        <v>94</v>
      </c>
      <c r="I363" s="4" t="s">
        <v>448</v>
      </c>
      <c r="J363" s="4" t="s">
        <v>449</v>
      </c>
      <c r="K363" s="4"/>
      <c r="L363" s="4"/>
      <c r="M363" s="4"/>
      <c r="N363" s="4" t="s">
        <v>105</v>
      </c>
      <c r="O363" s="51" t="b">
        <v>0</v>
      </c>
      <c r="P363" s="51" t="b">
        <v>0</v>
      </c>
      <c r="Q363" s="51" t="b">
        <v>0</v>
      </c>
      <c r="R363" s="51" t="b">
        <v>0</v>
      </c>
      <c r="S363" s="51" t="b">
        <v>0</v>
      </c>
    </row>
    <row r="364" hidden="1">
      <c r="A364" s="56" t="str">
        <f>IFERROR(__xludf.DUMMYFUNCTION("""COMPUTED_VALUE"""),"2280 - Channel")</f>
        <v>2280 - Channel</v>
      </c>
      <c r="B364" s="56" t="s">
        <v>14</v>
      </c>
      <c r="C364" s="56" t="s">
        <v>289</v>
      </c>
      <c r="D364" s="57">
        <v>0.648564814814814</v>
      </c>
      <c r="E364" s="57">
        <v>2.314814814814815E-4</v>
      </c>
      <c r="F364" s="57">
        <v>0.6487962962962954</v>
      </c>
      <c r="G364" s="56"/>
      <c r="H364" s="56" t="s">
        <v>81</v>
      </c>
      <c r="I364" s="56" t="s">
        <v>81</v>
      </c>
      <c r="J364" s="56" t="s">
        <v>105</v>
      </c>
      <c r="K364" s="56"/>
      <c r="L364" s="56"/>
      <c r="M364" s="56"/>
      <c r="N364" s="56"/>
      <c r="O364" s="51" t="b">
        <v>0</v>
      </c>
      <c r="P364" s="51" t="b">
        <v>0</v>
      </c>
      <c r="Q364" s="51" t="b">
        <v>0</v>
      </c>
      <c r="R364" s="51" t="b">
        <v>0</v>
      </c>
      <c r="S364" s="51" t="b">
        <v>0</v>
      </c>
      <c r="T364" s="56"/>
    </row>
    <row r="365" hidden="1">
      <c r="A365" s="4" t="str">
        <f>IFERROR(__xludf.DUMMYFUNCTION("""COMPUTED_VALUE"""),"104 - Channel")</f>
        <v>104 - Channel</v>
      </c>
      <c r="B365" s="4" t="s">
        <v>14</v>
      </c>
      <c r="C365" s="4" t="s">
        <v>289</v>
      </c>
      <c r="D365" s="6">
        <v>0.6487962962962954</v>
      </c>
      <c r="E365" s="6">
        <v>0.011111111111111112</v>
      </c>
      <c r="F365" s="6">
        <v>0.6599074074074065</v>
      </c>
      <c r="G365" s="4"/>
      <c r="H365" s="4" t="s">
        <v>107</v>
      </c>
      <c r="I365" s="4" t="s">
        <v>450</v>
      </c>
      <c r="J365" s="4" t="s">
        <v>451</v>
      </c>
      <c r="K365" s="4" t="s">
        <v>452</v>
      </c>
      <c r="L365" s="4"/>
      <c r="M365" s="4"/>
      <c r="N365" s="4" t="s">
        <v>453</v>
      </c>
      <c r="O365" s="51" t="b">
        <v>0</v>
      </c>
      <c r="P365" s="51" t="b">
        <v>0</v>
      </c>
      <c r="Q365" s="51" t="b">
        <v>0</v>
      </c>
      <c r="R365" s="51" t="b">
        <v>0</v>
      </c>
      <c r="S365" s="51" t="b">
        <v>0</v>
      </c>
    </row>
    <row r="366" hidden="1">
      <c r="A366" s="4" t="str">
        <f>IFERROR(__xludf.DUMMYFUNCTION("""COMPUTED_VALUE"""),"97 - Channel")</f>
        <v>97 - Channel</v>
      </c>
      <c r="B366" s="4" t="s">
        <v>14</v>
      </c>
      <c r="C366" s="4" t="s">
        <v>289</v>
      </c>
      <c r="D366" s="6">
        <v>0.6599074074074065</v>
      </c>
      <c r="E366" s="6">
        <v>2.314814814814815E-4</v>
      </c>
      <c r="F366" s="6">
        <v>0.6601388888888879</v>
      </c>
      <c r="G366" s="4"/>
      <c r="H366" s="4" t="s">
        <v>81</v>
      </c>
      <c r="I366" s="4" t="s">
        <v>81</v>
      </c>
      <c r="J366" s="4" t="s">
        <v>92</v>
      </c>
      <c r="K366" s="4"/>
      <c r="L366" s="4"/>
      <c r="M366" s="4"/>
      <c r="N366" s="4" t="s">
        <v>70</v>
      </c>
      <c r="O366" s="51" t="b">
        <v>0</v>
      </c>
      <c r="P366" s="51" t="b">
        <v>0</v>
      </c>
      <c r="Q366" s="51" t="b">
        <v>0</v>
      </c>
      <c r="R366" s="51" t="b">
        <v>0</v>
      </c>
      <c r="S366" s="51" t="b">
        <v>0</v>
      </c>
    </row>
    <row r="367" hidden="1">
      <c r="A367" s="4" t="str">
        <f>IFERROR(__xludf.DUMMYFUNCTION("""COMPUTED_VALUE"""),"98 - Channel")</f>
        <v>98 - Channel</v>
      </c>
      <c r="B367" s="4" t="s">
        <v>14</v>
      </c>
      <c r="C367" s="4" t="s">
        <v>289</v>
      </c>
      <c r="D367" s="6">
        <v>0.6601388888888879</v>
      </c>
      <c r="E367" s="6">
        <v>0.008206018518518519</v>
      </c>
      <c r="F367" s="6">
        <v>0.6683449074074065</v>
      </c>
      <c r="G367" s="4" t="s">
        <v>358</v>
      </c>
      <c r="H367" s="4" t="s">
        <v>107</v>
      </c>
      <c r="I367" s="4" t="s">
        <v>454</v>
      </c>
      <c r="J367" s="4" t="s">
        <v>102</v>
      </c>
      <c r="K367" s="4" t="s">
        <v>455</v>
      </c>
      <c r="L367" s="4"/>
      <c r="M367" s="4"/>
      <c r="N367" s="4" t="s">
        <v>97</v>
      </c>
      <c r="O367" s="51" t="b">
        <v>0</v>
      </c>
      <c r="P367" s="51" t="b">
        <v>0</v>
      </c>
      <c r="Q367" s="51" t="b">
        <v>0</v>
      </c>
      <c r="R367" s="51" t="b">
        <v>0</v>
      </c>
      <c r="S367" s="51" t="b">
        <v>0</v>
      </c>
    </row>
    <row r="368" hidden="1">
      <c r="A368" s="4" t="str">
        <f>IFERROR(__xludf.DUMMYFUNCTION("""COMPUTED_VALUE"""),"1795 - Channel")</f>
        <v>1795 - Channel</v>
      </c>
      <c r="B368" s="4" t="s">
        <v>14</v>
      </c>
      <c r="C368" s="4" t="s">
        <v>289</v>
      </c>
      <c r="D368" s="6"/>
      <c r="E368" s="6"/>
      <c r="F368" s="6"/>
      <c r="G368" s="4"/>
      <c r="H368" s="4"/>
      <c r="I368" s="4"/>
      <c r="J368" s="4"/>
      <c r="K368" s="4"/>
      <c r="L368" s="4"/>
      <c r="M368" s="4"/>
      <c r="N368" s="4"/>
      <c r="O368" s="51" t="b">
        <v>0</v>
      </c>
      <c r="P368" s="51" t="b">
        <v>0</v>
      </c>
      <c r="Q368" s="51" t="b">
        <v>0</v>
      </c>
      <c r="R368" s="51" t="b">
        <v>0</v>
      </c>
      <c r="S368" s="51" t="b">
        <v>0</v>
      </c>
    </row>
    <row r="369" hidden="1">
      <c r="A369" s="4" t="str">
        <f>IFERROR(__xludf.DUMMYFUNCTION("""COMPUTED_VALUE"""),"370 - Channel")</f>
        <v>370 - Channel</v>
      </c>
      <c r="B369" s="4" t="s">
        <v>14</v>
      </c>
      <c r="C369" s="4" t="s">
        <v>289</v>
      </c>
      <c r="D369" s="6">
        <v>0.6683449074074065</v>
      </c>
      <c r="E369" s="6">
        <v>6.944444444444445E-4</v>
      </c>
      <c r="F369" s="6">
        <v>0.6690393518518509</v>
      </c>
      <c r="G369" s="4"/>
      <c r="H369" s="4" t="s">
        <v>103</v>
      </c>
      <c r="I369" s="4" t="s">
        <v>456</v>
      </c>
      <c r="J369" s="4" t="s">
        <v>128</v>
      </c>
      <c r="K369" s="4" t="s">
        <v>457</v>
      </c>
      <c r="L369" s="4"/>
      <c r="M369" s="4"/>
      <c r="N369" s="4" t="s">
        <v>70</v>
      </c>
      <c r="O369" s="51" t="b">
        <v>0</v>
      </c>
      <c r="P369" s="51" t="b">
        <v>0</v>
      </c>
      <c r="Q369" s="51" t="b">
        <v>0</v>
      </c>
      <c r="R369" s="51" t="b">
        <v>0</v>
      </c>
      <c r="S369" s="51" t="b">
        <v>0</v>
      </c>
    </row>
    <row r="370" hidden="1">
      <c r="A370" s="56" t="str">
        <f>IFERROR(__xludf.DUMMYFUNCTION("""COMPUTED_VALUE"""),"142 - Channel")</f>
        <v>142 - Channel</v>
      </c>
      <c r="B370" s="56" t="s">
        <v>14</v>
      </c>
      <c r="C370" s="56" t="s">
        <v>289</v>
      </c>
      <c r="D370" s="57">
        <v>0.6690393518518509</v>
      </c>
      <c r="E370" s="57">
        <v>2.314814814814815E-4</v>
      </c>
      <c r="F370" s="57">
        <v>0.6692708333333324</v>
      </c>
      <c r="G370" s="56"/>
      <c r="H370" s="56" t="s">
        <v>81</v>
      </c>
      <c r="I370" s="56" t="s">
        <v>81</v>
      </c>
      <c r="J370" s="56" t="s">
        <v>128</v>
      </c>
      <c r="K370" s="56"/>
      <c r="L370" s="56"/>
      <c r="M370" s="56"/>
      <c r="N370" s="56" t="s">
        <v>70</v>
      </c>
      <c r="O370" s="51" t="b">
        <v>0</v>
      </c>
      <c r="P370" s="51" t="b">
        <v>0</v>
      </c>
      <c r="Q370" s="51" t="b">
        <v>0</v>
      </c>
      <c r="R370" s="51" t="b">
        <v>0</v>
      </c>
      <c r="S370" s="51" t="b">
        <v>0</v>
      </c>
      <c r="T370" s="56"/>
    </row>
    <row r="371" hidden="1">
      <c r="A371" s="4" t="str">
        <f>IFERROR(__xludf.DUMMYFUNCTION("""COMPUTED_VALUE"""),"143 - Channel")</f>
        <v>143 - Channel</v>
      </c>
      <c r="B371" s="4" t="s">
        <v>14</v>
      </c>
      <c r="C371" s="4" t="s">
        <v>289</v>
      </c>
      <c r="D371" s="6">
        <v>0.6692708333333324</v>
      </c>
      <c r="E371" s="6">
        <v>0.011203703703703704</v>
      </c>
      <c r="F371" s="6">
        <v>0.6804745370370361</v>
      </c>
      <c r="G371" s="4"/>
      <c r="H371" s="4" t="s">
        <v>107</v>
      </c>
      <c r="I371" s="4" t="s">
        <v>458</v>
      </c>
      <c r="J371" s="4" t="s">
        <v>459</v>
      </c>
      <c r="K371" s="4" t="s">
        <v>460</v>
      </c>
      <c r="L371" s="4"/>
      <c r="M371" s="4"/>
      <c r="N371" s="4" t="s">
        <v>461</v>
      </c>
      <c r="O371" s="51" t="b">
        <v>0</v>
      </c>
      <c r="P371" s="51" t="b">
        <v>0</v>
      </c>
      <c r="Q371" s="51" t="b">
        <v>0</v>
      </c>
      <c r="R371" s="51" t="b">
        <v>0</v>
      </c>
      <c r="S371" s="51" t="b">
        <v>0</v>
      </c>
    </row>
    <row r="372" hidden="1">
      <c r="A372" s="56" t="str">
        <f>IFERROR(__xludf.DUMMYFUNCTION("""COMPUTED_VALUE"""),"377 - Channel")</f>
        <v>377 - Channel</v>
      </c>
      <c r="B372" s="56" t="s">
        <v>14</v>
      </c>
      <c r="C372" s="56" t="s">
        <v>289</v>
      </c>
      <c r="D372" s="57">
        <v>0.6804745370370361</v>
      </c>
      <c r="E372" s="57">
        <v>2.314814814814815E-4</v>
      </c>
      <c r="F372" s="57">
        <v>0.6807060185185175</v>
      </c>
      <c r="G372" s="56"/>
      <c r="H372" s="56" t="s">
        <v>81</v>
      </c>
      <c r="I372" s="56" t="s">
        <v>81</v>
      </c>
      <c r="J372" s="56" t="s">
        <v>73</v>
      </c>
      <c r="K372" s="56" t="s">
        <v>128</v>
      </c>
      <c r="L372" s="56"/>
      <c r="M372" s="56"/>
      <c r="N372" s="56" t="s">
        <v>70</v>
      </c>
      <c r="O372" s="51" t="b">
        <v>0</v>
      </c>
      <c r="P372" s="51" t="b">
        <v>0</v>
      </c>
      <c r="Q372" s="51" t="b">
        <v>0</v>
      </c>
      <c r="R372" s="51" t="b">
        <v>0</v>
      </c>
      <c r="S372" s="51" t="b">
        <v>0</v>
      </c>
      <c r="T372" s="56"/>
    </row>
    <row r="373" hidden="1">
      <c r="A373" s="56" t="str">
        <f>IFERROR(__xludf.DUMMYFUNCTION("""COMPUTED_VALUE"""),"378 - Channel")</f>
        <v>378 - Channel</v>
      </c>
      <c r="B373" s="56" t="s">
        <v>14</v>
      </c>
      <c r="C373" s="56" t="s">
        <v>289</v>
      </c>
      <c r="D373" s="57">
        <v>0.6807060185185175</v>
      </c>
      <c r="E373" s="57">
        <v>0.010416666666666666</v>
      </c>
      <c r="F373" s="57">
        <v>0.6911226851851842</v>
      </c>
      <c r="G373" s="56" t="s">
        <v>140</v>
      </c>
      <c r="H373" s="56" t="s">
        <v>94</v>
      </c>
      <c r="I373" s="56" t="s">
        <v>462</v>
      </c>
      <c r="J373" s="56" t="s">
        <v>463</v>
      </c>
      <c r="K373" s="56"/>
      <c r="L373" s="56"/>
      <c r="M373" s="56"/>
      <c r="N373" s="56" t="s">
        <v>464</v>
      </c>
      <c r="O373" s="51" t="b">
        <v>0</v>
      </c>
      <c r="P373" s="51" t="b">
        <v>0</v>
      </c>
      <c r="Q373" s="51" t="b">
        <v>0</v>
      </c>
      <c r="R373" s="51" t="b">
        <v>0</v>
      </c>
      <c r="S373" s="51" t="b">
        <v>0</v>
      </c>
      <c r="T373" s="56"/>
    </row>
    <row r="374" hidden="1">
      <c r="A374" s="4" t="str">
        <f>IFERROR(__xludf.DUMMYFUNCTION("""COMPUTED_VALUE"""),"1718 - Channel")</f>
        <v>1718 - Channel</v>
      </c>
      <c r="B374" s="4" t="s">
        <v>14</v>
      </c>
      <c r="C374" s="4" t="s">
        <v>289</v>
      </c>
      <c r="D374" s="6">
        <v>0.6911226851851842</v>
      </c>
      <c r="E374" s="6">
        <v>0.0010416666666666667</v>
      </c>
      <c r="F374" s="6">
        <v>0.6921643518518509</v>
      </c>
      <c r="G374" s="4"/>
      <c r="H374" s="4" t="s">
        <v>248</v>
      </c>
      <c r="I374" s="4" t="s">
        <v>465</v>
      </c>
      <c r="J374" s="4" t="s">
        <v>90</v>
      </c>
      <c r="K374" s="4"/>
      <c r="L374" s="4"/>
      <c r="M374" s="4"/>
      <c r="N374" s="4"/>
      <c r="O374" s="51" t="b">
        <v>0</v>
      </c>
      <c r="P374" s="51" t="b">
        <v>0</v>
      </c>
      <c r="Q374" s="51" t="b">
        <v>0</v>
      </c>
      <c r="R374" s="51" t="b">
        <v>0</v>
      </c>
      <c r="S374" s="51" t="b">
        <v>0</v>
      </c>
    </row>
    <row r="375" hidden="1">
      <c r="A375" s="56" t="str">
        <f>IFERROR(__xludf.DUMMYFUNCTION("""COMPUTED_VALUE"""),"1618 - Channel")</f>
        <v>1618 - Channel</v>
      </c>
      <c r="B375" s="56" t="s">
        <v>14</v>
      </c>
      <c r="C375" s="56" t="s">
        <v>289</v>
      </c>
      <c r="D375" s="57">
        <v>0.6921643518518509</v>
      </c>
      <c r="E375" s="57">
        <v>2.314814814814815E-4</v>
      </c>
      <c r="F375" s="57">
        <v>0.6923958333333323</v>
      </c>
      <c r="G375" s="56"/>
      <c r="H375" s="56" t="s">
        <v>81</v>
      </c>
      <c r="I375" s="56" t="s">
        <v>119</v>
      </c>
      <c r="J375" s="56" t="s">
        <v>128</v>
      </c>
      <c r="K375" s="56"/>
      <c r="L375" s="56"/>
      <c r="M375" s="56"/>
      <c r="N375" s="56" t="s">
        <v>70</v>
      </c>
      <c r="O375" s="51" t="b">
        <v>0</v>
      </c>
      <c r="P375" s="51" t="b">
        <v>0</v>
      </c>
      <c r="Q375" s="51" t="b">
        <v>0</v>
      </c>
      <c r="R375" s="51" t="b">
        <v>0</v>
      </c>
      <c r="S375" s="51" t="b">
        <v>0</v>
      </c>
      <c r="T375" s="56"/>
    </row>
    <row r="376" hidden="1">
      <c r="A376" s="56" t="str">
        <f>IFERROR(__xludf.DUMMYFUNCTION("""COMPUTED_VALUE"""),"387 - Channel")</f>
        <v>387 - Channel</v>
      </c>
      <c r="B376" s="56" t="s">
        <v>14</v>
      </c>
      <c r="C376" s="56" t="s">
        <v>289</v>
      </c>
      <c r="D376" s="57">
        <v>0.6923958333333323</v>
      </c>
      <c r="E376" s="57">
        <v>0.004166666666666667</v>
      </c>
      <c r="F376" s="57">
        <v>0.696562499999999</v>
      </c>
      <c r="G376" s="56"/>
      <c r="H376" s="56" t="s">
        <v>248</v>
      </c>
      <c r="I376" s="56" t="s">
        <v>466</v>
      </c>
      <c r="J376" s="56" t="s">
        <v>92</v>
      </c>
      <c r="K376" s="56" t="s">
        <v>105</v>
      </c>
      <c r="L376" s="56"/>
      <c r="M376" s="56"/>
      <c r="N376" s="56" t="s">
        <v>70</v>
      </c>
      <c r="O376" s="51" t="b">
        <v>0</v>
      </c>
      <c r="P376" s="51" t="b">
        <v>0</v>
      </c>
      <c r="Q376" s="51" t="b">
        <v>0</v>
      </c>
      <c r="R376" s="51" t="b">
        <v>0</v>
      </c>
      <c r="S376" s="51" t="b">
        <v>0</v>
      </c>
      <c r="T376" s="56"/>
    </row>
    <row r="377" hidden="1">
      <c r="A377" s="4" t="str">
        <f>IFERROR(__xludf.DUMMYFUNCTION("""COMPUTED_VALUE"""),"1612 - Channel")</f>
        <v>1612 - Channel</v>
      </c>
      <c r="B377" s="4" t="s">
        <v>14</v>
      </c>
      <c r="C377" s="4" t="s">
        <v>289</v>
      </c>
      <c r="D377" s="6">
        <v>0.696562499999999</v>
      </c>
      <c r="E377" s="6">
        <v>2.314814814814815E-4</v>
      </c>
      <c r="F377" s="6">
        <v>0.6967939814814804</v>
      </c>
      <c r="G377" s="4"/>
      <c r="H377" s="4" t="s">
        <v>81</v>
      </c>
      <c r="I377" s="4" t="s">
        <v>81</v>
      </c>
      <c r="J377" s="4" t="s">
        <v>128</v>
      </c>
      <c r="K377" s="4"/>
      <c r="L377" s="4"/>
      <c r="M377" s="4"/>
      <c r="N377" s="4"/>
      <c r="O377" s="51" t="b">
        <v>0</v>
      </c>
      <c r="P377" s="51" t="b">
        <v>0</v>
      </c>
      <c r="Q377" s="51" t="b">
        <v>0</v>
      </c>
      <c r="R377" s="51" t="b">
        <v>0</v>
      </c>
      <c r="S377" s="51" t="b">
        <v>0</v>
      </c>
    </row>
    <row r="378" hidden="1">
      <c r="A378" s="56" t="str">
        <f>IFERROR(__xludf.DUMMYFUNCTION("""COMPUTED_VALUE"""),"1613 - Channel")</f>
        <v>1613 - Channel</v>
      </c>
      <c r="B378" s="56" t="s">
        <v>14</v>
      </c>
      <c r="C378" s="56" t="s">
        <v>289</v>
      </c>
      <c r="D378" s="57">
        <v>0.6967939814814804</v>
      </c>
      <c r="E378" s="57">
        <v>0.013888888888888888</v>
      </c>
      <c r="F378" s="57">
        <v>0.7106828703703693</v>
      </c>
      <c r="G378" s="56"/>
      <c r="H378" s="56" t="s">
        <v>94</v>
      </c>
      <c r="I378" s="56" t="s">
        <v>202</v>
      </c>
      <c r="J378" s="56" t="s">
        <v>467</v>
      </c>
      <c r="K378" s="56"/>
      <c r="L378" s="56"/>
      <c r="M378" s="56"/>
      <c r="N378" s="56" t="s">
        <v>342</v>
      </c>
      <c r="O378" s="51" t="b">
        <v>0</v>
      </c>
      <c r="P378" s="51" t="b">
        <v>0</v>
      </c>
      <c r="Q378" s="51" t="b">
        <v>0</v>
      </c>
      <c r="R378" s="51" t="b">
        <v>0</v>
      </c>
      <c r="S378" s="51" t="b">
        <v>0</v>
      </c>
      <c r="T378" s="56"/>
    </row>
    <row r="379" hidden="1">
      <c r="A379" s="4" t="str">
        <f>IFERROR(__xludf.DUMMYFUNCTION("""COMPUTED_VALUE"""),"388 - Channel")</f>
        <v>388 - Channel</v>
      </c>
      <c r="B379" s="4" t="s">
        <v>14</v>
      </c>
      <c r="C379" s="4" t="s">
        <v>289</v>
      </c>
      <c r="D379" s="6">
        <v>0.7106828703703693</v>
      </c>
      <c r="E379" s="6">
        <v>6.944444444444445E-4</v>
      </c>
      <c r="F379" s="6">
        <v>0.7113773148148137</v>
      </c>
      <c r="G379" s="4"/>
      <c r="H379" s="4" t="s">
        <v>71</v>
      </c>
      <c r="I379" s="4" t="s">
        <v>468</v>
      </c>
      <c r="J379" s="4" t="s">
        <v>73</v>
      </c>
      <c r="K379" s="4"/>
      <c r="L379" s="4"/>
      <c r="M379" s="4"/>
      <c r="N379" s="4" t="s">
        <v>70</v>
      </c>
      <c r="O379" s="51" t="b">
        <v>0</v>
      </c>
      <c r="P379" s="51" t="b">
        <v>0</v>
      </c>
      <c r="Q379" s="51" t="b">
        <v>0</v>
      </c>
      <c r="R379" s="51" t="b">
        <v>0</v>
      </c>
      <c r="S379" s="51" t="b">
        <v>0</v>
      </c>
    </row>
    <row r="380" hidden="1">
      <c r="A380" s="4" t="str">
        <f>IFERROR(__xludf.DUMMYFUNCTION("""COMPUTED_VALUE"""),"389 - Channel")</f>
        <v>389 - Channel</v>
      </c>
      <c r="B380" s="4" t="s">
        <v>469</v>
      </c>
      <c r="C380" s="4"/>
      <c r="D380" s="6"/>
      <c r="E380" s="6"/>
      <c r="F380" s="6"/>
      <c r="G380" s="4"/>
      <c r="H380" s="4"/>
      <c r="I380" s="4"/>
      <c r="J380" s="4"/>
      <c r="K380" s="4"/>
      <c r="L380" s="4"/>
      <c r="M380" s="4"/>
      <c r="N380" s="4" t="s">
        <v>70</v>
      </c>
      <c r="O380" s="51" t="b">
        <v>0</v>
      </c>
      <c r="P380" s="51" t="b">
        <v>0</v>
      </c>
      <c r="Q380" s="51" t="b">
        <v>0</v>
      </c>
      <c r="R380" s="51" t="b">
        <v>0</v>
      </c>
      <c r="S380" s="51" t="b">
        <v>0</v>
      </c>
    </row>
    <row r="381" hidden="1">
      <c r="A381" s="56" t="str">
        <f>IFERROR(__xludf.DUMMYFUNCTION("""COMPUTED_VALUE"""),"390 - Channel")</f>
        <v>390 - Channel</v>
      </c>
      <c r="B381" s="56" t="s">
        <v>65</v>
      </c>
      <c r="C381" s="56"/>
      <c r="D381" s="57"/>
      <c r="E381" s="57"/>
      <c r="F381" s="57"/>
      <c r="G381" s="56"/>
      <c r="H381" s="56"/>
      <c r="I381" s="56"/>
      <c r="J381" s="56"/>
      <c r="K381" s="56"/>
      <c r="L381" s="56"/>
      <c r="M381" s="56"/>
      <c r="N381" s="56" t="s">
        <v>70</v>
      </c>
      <c r="O381" s="51" t="b">
        <v>0</v>
      </c>
      <c r="P381" s="51" t="b">
        <v>0</v>
      </c>
      <c r="Q381" s="51" t="b">
        <v>0</v>
      </c>
      <c r="R381" s="51" t="b">
        <v>0</v>
      </c>
      <c r="S381" s="51" t="b">
        <v>0</v>
      </c>
      <c r="T381" s="56"/>
    </row>
    <row r="382" hidden="1">
      <c r="A382" s="4" t="str">
        <f>IFERROR(__xludf.DUMMYFUNCTION("""COMPUTED_VALUE"""),"391 - Channel")</f>
        <v>391 - Channel</v>
      </c>
      <c r="B382" s="4" t="s">
        <v>16</v>
      </c>
      <c r="C382" s="4" t="s">
        <v>66</v>
      </c>
      <c r="D382" s="6">
        <v>0.4166666666666667</v>
      </c>
      <c r="E382" s="6">
        <v>0.0010416666666666667</v>
      </c>
      <c r="F382" s="6">
        <v>0.41770833333333335</v>
      </c>
      <c r="G382" s="4" t="s">
        <v>195</v>
      </c>
      <c r="H382" s="4" t="s">
        <v>67</v>
      </c>
      <c r="I382" s="4" t="s">
        <v>470</v>
      </c>
      <c r="J382" s="4"/>
      <c r="K382" s="4"/>
      <c r="L382" s="4"/>
      <c r="M382" s="4"/>
      <c r="N382" s="4" t="s">
        <v>70</v>
      </c>
      <c r="O382" s="51" t="b">
        <v>0</v>
      </c>
      <c r="P382" s="51" t="b">
        <v>0</v>
      </c>
      <c r="Q382" s="51" t="b">
        <v>0</v>
      </c>
      <c r="R382" s="51" t="b">
        <v>0</v>
      </c>
      <c r="S382" s="51" t="b">
        <v>0</v>
      </c>
    </row>
    <row r="383" hidden="1">
      <c r="A383" s="56" t="str">
        <f>IFERROR(__xludf.DUMMYFUNCTION("""COMPUTED_VALUE"""),"1667 - Channel")</f>
        <v>1667 - Channel</v>
      </c>
      <c r="B383" s="56" t="s">
        <v>16</v>
      </c>
      <c r="C383" s="56" t="s">
        <v>66</v>
      </c>
      <c r="D383" s="57">
        <v>0.41770833333333335</v>
      </c>
      <c r="E383" s="57">
        <v>2.314814814814815E-4</v>
      </c>
      <c r="F383" s="57">
        <v>0.41793981481481485</v>
      </c>
      <c r="G383" s="56"/>
      <c r="H383" s="56" t="s">
        <v>471</v>
      </c>
      <c r="I383" s="56" t="s">
        <v>472</v>
      </c>
      <c r="J383" s="56"/>
      <c r="K383" s="56"/>
      <c r="L383" s="56"/>
      <c r="M383" s="56"/>
      <c r="N383" s="56"/>
      <c r="O383" s="51" t="b">
        <v>0</v>
      </c>
      <c r="P383" s="51" t="b">
        <v>0</v>
      </c>
      <c r="Q383" s="51" t="b">
        <v>0</v>
      </c>
      <c r="R383" s="51" t="b">
        <v>0</v>
      </c>
      <c r="S383" s="51" t="b">
        <v>0</v>
      </c>
      <c r="T383" s="56"/>
    </row>
    <row r="384">
      <c r="A384" s="4" t="str">
        <f>IFERROR(__xludf.DUMMYFUNCTION("""COMPUTED_VALUE"""),"392 - Channel")</f>
        <v>392 - Channel</v>
      </c>
      <c r="B384" s="4" t="s">
        <v>16</v>
      </c>
      <c r="C384" s="4" t="s">
        <v>66</v>
      </c>
      <c r="D384" s="6">
        <v>0.41793981481481485</v>
      </c>
      <c r="E384" s="6">
        <v>3.4722222222222224E-4</v>
      </c>
      <c r="F384" s="6">
        <v>0.41828703703703707</v>
      </c>
      <c r="G384" s="4" t="s">
        <v>195</v>
      </c>
      <c r="H384" s="4" t="s">
        <v>81</v>
      </c>
      <c r="I384" s="4" t="s">
        <v>81</v>
      </c>
      <c r="J384" s="4"/>
      <c r="K384" s="4"/>
      <c r="L384" s="4"/>
      <c r="M384" s="4"/>
      <c r="N384" s="4" t="s">
        <v>70</v>
      </c>
      <c r="O384" s="51" t="b">
        <v>0</v>
      </c>
      <c r="P384" s="51" t="b">
        <v>0</v>
      </c>
      <c r="Q384" s="51" t="b">
        <v>0</v>
      </c>
      <c r="R384" s="51" t="b">
        <v>0</v>
      </c>
      <c r="S384" s="51" t="b">
        <v>0</v>
      </c>
    </row>
    <row r="385" hidden="1">
      <c r="A385" s="4" t="str">
        <f>IFERROR(__xludf.DUMMYFUNCTION("""COMPUTED_VALUE"""),"393 - Channel")</f>
        <v>393 - Channel</v>
      </c>
      <c r="B385" s="4" t="s">
        <v>16</v>
      </c>
      <c r="C385" s="4" t="s">
        <v>66</v>
      </c>
      <c r="D385" s="6">
        <v>0.41828703703703707</v>
      </c>
      <c r="E385" s="6">
        <v>0.006944444444444444</v>
      </c>
      <c r="F385" s="6">
        <v>0.4252314814814815</v>
      </c>
      <c r="G385" s="4" t="s">
        <v>195</v>
      </c>
      <c r="H385" s="4" t="s">
        <v>165</v>
      </c>
      <c r="I385" s="4" t="s">
        <v>473</v>
      </c>
      <c r="J385" s="4" t="s">
        <v>474</v>
      </c>
      <c r="K385" s="4"/>
      <c r="L385" s="4"/>
      <c r="M385" s="4"/>
      <c r="N385" s="4" t="s">
        <v>70</v>
      </c>
      <c r="O385" s="51" t="b">
        <v>0</v>
      </c>
      <c r="P385" s="51" t="b">
        <v>0</v>
      </c>
      <c r="Q385" s="51" t="b">
        <v>0</v>
      </c>
      <c r="R385" s="51" t="b">
        <v>0</v>
      </c>
      <c r="S385" s="51" t="b">
        <v>0</v>
      </c>
    </row>
    <row r="386">
      <c r="A386" s="56" t="str">
        <f>IFERROR(__xludf.DUMMYFUNCTION("""COMPUTED_VALUE"""),"394 - Channel")</f>
        <v>394 - Channel</v>
      </c>
      <c r="B386" s="56" t="s">
        <v>16</v>
      </c>
      <c r="C386" s="56" t="s">
        <v>66</v>
      </c>
      <c r="D386" s="57">
        <v>0.4252314814814815</v>
      </c>
      <c r="E386" s="57">
        <v>1.7361111111111112E-4</v>
      </c>
      <c r="F386" s="57">
        <v>0.4254050925925926</v>
      </c>
      <c r="G386" s="56" t="s">
        <v>195</v>
      </c>
      <c r="H386" s="56" t="s">
        <v>85</v>
      </c>
      <c r="I386" s="56" t="s">
        <v>85</v>
      </c>
      <c r="J386" s="56"/>
      <c r="K386" s="56"/>
      <c r="L386" s="56"/>
      <c r="M386" s="56"/>
      <c r="N386" s="56" t="s">
        <v>70</v>
      </c>
      <c r="O386" s="51" t="b">
        <v>0</v>
      </c>
      <c r="P386" s="51" t="b">
        <v>0</v>
      </c>
      <c r="Q386" s="51" t="b">
        <v>0</v>
      </c>
      <c r="R386" s="51" t="b">
        <v>0</v>
      </c>
      <c r="S386" s="51" t="b">
        <v>0</v>
      </c>
      <c r="T386" s="56"/>
    </row>
    <row r="387" hidden="1">
      <c r="A387" s="4" t="str">
        <f>IFERROR(__xludf.DUMMYFUNCTION("""COMPUTED_VALUE"""),"439 - Channel")</f>
        <v>439 - Channel</v>
      </c>
      <c r="B387" s="4" t="s">
        <v>16</v>
      </c>
      <c r="C387" s="4" t="s">
        <v>66</v>
      </c>
      <c r="D387" s="6">
        <v>0.4254050925925926</v>
      </c>
      <c r="E387" s="6">
        <v>1.7361111111111112E-4</v>
      </c>
      <c r="F387" s="6">
        <v>0.42557870370370376</v>
      </c>
      <c r="G387" s="4" t="s">
        <v>129</v>
      </c>
      <c r="H387" s="4" t="s">
        <v>77</v>
      </c>
      <c r="I387" s="4" t="s">
        <v>475</v>
      </c>
      <c r="J387" s="4"/>
      <c r="K387" s="4"/>
      <c r="L387" s="4"/>
      <c r="M387" s="4"/>
      <c r="N387" s="4"/>
      <c r="O387" s="51" t="b">
        <v>0</v>
      </c>
      <c r="P387" s="51" t="b">
        <v>0</v>
      </c>
      <c r="Q387" s="51" t="b">
        <v>0</v>
      </c>
      <c r="R387" s="51" t="b">
        <v>0</v>
      </c>
      <c r="S387" s="51" t="b">
        <v>0</v>
      </c>
    </row>
    <row r="388">
      <c r="A388" s="56" t="str">
        <f>IFERROR(__xludf.DUMMYFUNCTION("""COMPUTED_VALUE"""),"395 - Channel")</f>
        <v>395 - Channel</v>
      </c>
      <c r="B388" s="56" t="s">
        <v>16</v>
      </c>
      <c r="C388" s="56" t="s">
        <v>66</v>
      </c>
      <c r="D388" s="57">
        <v>0.4254050925925926</v>
      </c>
      <c r="E388" s="57">
        <v>3.356481481481481E-4</v>
      </c>
      <c r="F388" s="57">
        <v>0.42574074074074075</v>
      </c>
      <c r="G388" s="56" t="s">
        <v>195</v>
      </c>
      <c r="H388" s="56" t="s">
        <v>81</v>
      </c>
      <c r="I388" s="56" t="s">
        <v>81</v>
      </c>
      <c r="J388" s="56"/>
      <c r="K388" s="56"/>
      <c r="L388" s="56"/>
      <c r="M388" s="56"/>
      <c r="N388" s="56" t="s">
        <v>70</v>
      </c>
      <c r="O388" s="51" t="b">
        <v>0</v>
      </c>
      <c r="P388" s="51" t="b">
        <v>0</v>
      </c>
      <c r="Q388" s="51" t="b">
        <v>0</v>
      </c>
      <c r="R388" s="51" t="b">
        <v>0</v>
      </c>
      <c r="S388" s="51" t="b">
        <v>0</v>
      </c>
      <c r="T388" s="56"/>
    </row>
    <row r="389" hidden="1">
      <c r="A389" s="4" t="str">
        <f>IFERROR(__xludf.DUMMYFUNCTION("""COMPUTED_VALUE"""),"396 - Channel")</f>
        <v>396 - Channel</v>
      </c>
      <c r="B389" s="4" t="s">
        <v>16</v>
      </c>
      <c r="C389" s="4" t="s">
        <v>66</v>
      </c>
      <c r="D389" s="6">
        <v>0.42574074074074075</v>
      </c>
      <c r="E389" s="6">
        <v>0.00982638888888889</v>
      </c>
      <c r="F389" s="6">
        <v>0.4355671296296296</v>
      </c>
      <c r="G389" s="4" t="s">
        <v>195</v>
      </c>
      <c r="H389" s="4" t="s">
        <v>74</v>
      </c>
      <c r="I389" s="4" t="s">
        <v>476</v>
      </c>
      <c r="J389" s="4" t="s">
        <v>477</v>
      </c>
      <c r="K389" s="4" t="s">
        <v>478</v>
      </c>
      <c r="L389" s="4" t="s">
        <v>479</v>
      </c>
      <c r="M389" s="4"/>
      <c r="N389" s="4" t="s">
        <v>480</v>
      </c>
      <c r="O389" s="51" t="b">
        <v>0</v>
      </c>
      <c r="P389" s="51" t="b">
        <v>0</v>
      </c>
      <c r="Q389" s="51" t="b">
        <v>0</v>
      </c>
      <c r="R389" s="51" t="b">
        <v>0</v>
      </c>
      <c r="S389" s="51" t="b">
        <v>0</v>
      </c>
    </row>
    <row r="390">
      <c r="A390" s="4" t="str">
        <f>IFERROR(__xludf.DUMMYFUNCTION("""COMPUTED_VALUE"""),"397 - Channel")</f>
        <v>397 - Channel</v>
      </c>
      <c r="B390" s="4" t="s">
        <v>16</v>
      </c>
      <c r="C390" s="4" t="s">
        <v>66</v>
      </c>
      <c r="D390" s="6">
        <v>0.4355671296296296</v>
      </c>
      <c r="E390" s="6">
        <v>1.7361111111111112E-4</v>
      </c>
      <c r="F390" s="6">
        <v>0.43574074074074076</v>
      </c>
      <c r="G390" s="4" t="s">
        <v>195</v>
      </c>
      <c r="H390" s="4" t="s">
        <v>85</v>
      </c>
      <c r="I390" s="4" t="s">
        <v>85</v>
      </c>
      <c r="J390" s="4"/>
      <c r="K390" s="4"/>
      <c r="L390" s="4"/>
      <c r="M390" s="4"/>
      <c r="N390" s="4" t="s">
        <v>70</v>
      </c>
      <c r="O390" s="51" t="b">
        <v>0</v>
      </c>
      <c r="P390" s="51" t="b">
        <v>0</v>
      </c>
      <c r="Q390" s="51" t="b">
        <v>0</v>
      </c>
      <c r="R390" s="51" t="b">
        <v>0</v>
      </c>
      <c r="S390" s="51" t="b">
        <v>0</v>
      </c>
    </row>
    <row r="391">
      <c r="A391" s="4" t="str">
        <f>IFERROR(__xludf.DUMMYFUNCTION("""COMPUTED_VALUE"""),"493 - Channel")</f>
        <v>493 - Channel</v>
      </c>
      <c r="B391" s="4" t="s">
        <v>16</v>
      </c>
      <c r="C391" s="4" t="s">
        <v>66</v>
      </c>
      <c r="D391" s="6">
        <v>0.43574074074074076</v>
      </c>
      <c r="E391" s="6">
        <v>3.4722222222222224E-4</v>
      </c>
      <c r="F391" s="6">
        <v>0.436087962962963</v>
      </c>
      <c r="G391" s="4" t="s">
        <v>481</v>
      </c>
      <c r="H391" s="4" t="s">
        <v>81</v>
      </c>
      <c r="I391" s="4" t="s">
        <v>81</v>
      </c>
      <c r="J391" s="4"/>
      <c r="K391" s="4"/>
      <c r="L391" s="4"/>
      <c r="M391" s="4"/>
      <c r="N391" s="4"/>
      <c r="O391" s="51" t="b">
        <v>0</v>
      </c>
      <c r="P391" s="51" t="b">
        <v>0</v>
      </c>
      <c r="Q391" s="51" t="b">
        <v>0</v>
      </c>
      <c r="R391" s="51" t="b">
        <v>0</v>
      </c>
      <c r="S391" s="51" t="b">
        <v>0</v>
      </c>
    </row>
    <row r="392" hidden="1">
      <c r="A392" s="56" t="str">
        <f>IFERROR(__xludf.DUMMYFUNCTION("""COMPUTED_VALUE"""),"494 - Channel")</f>
        <v>494 - Channel</v>
      </c>
      <c r="B392" s="56" t="s">
        <v>16</v>
      </c>
      <c r="C392" s="56" t="s">
        <v>66</v>
      </c>
      <c r="D392" s="57">
        <v>0.436087962962963</v>
      </c>
      <c r="E392" s="57">
        <v>0.0076851851851851855</v>
      </c>
      <c r="F392" s="57">
        <v>0.44377314814814817</v>
      </c>
      <c r="G392" s="56" t="s">
        <v>481</v>
      </c>
      <c r="H392" s="56" t="s">
        <v>165</v>
      </c>
      <c r="I392" s="56" t="s">
        <v>482</v>
      </c>
      <c r="J392" s="56" t="s">
        <v>483</v>
      </c>
      <c r="K392" s="56"/>
      <c r="L392" s="56"/>
      <c r="M392" s="56"/>
      <c r="N392" s="56"/>
      <c r="O392" s="51" t="b">
        <v>0</v>
      </c>
      <c r="P392" s="51" t="b">
        <v>0</v>
      </c>
      <c r="Q392" s="51" t="b">
        <v>0</v>
      </c>
      <c r="R392" s="51" t="b">
        <v>0</v>
      </c>
      <c r="S392" s="51" t="b">
        <v>0</v>
      </c>
      <c r="T392" s="56"/>
    </row>
    <row r="393">
      <c r="A393" s="4" t="str">
        <f>IFERROR(__xludf.DUMMYFUNCTION("""COMPUTED_VALUE"""),"495- Channel")</f>
        <v>495- Channel</v>
      </c>
      <c r="B393" s="4" t="s">
        <v>16</v>
      </c>
      <c r="C393" s="4" t="s">
        <v>66</v>
      </c>
      <c r="D393" s="6">
        <v>0.44377314814814817</v>
      </c>
      <c r="E393" s="6">
        <v>1.7361111111111112E-4</v>
      </c>
      <c r="F393" s="6">
        <v>0.4439467592592593</v>
      </c>
      <c r="G393" s="4" t="s">
        <v>481</v>
      </c>
      <c r="H393" s="4" t="s">
        <v>85</v>
      </c>
      <c r="I393" s="4" t="s">
        <v>484</v>
      </c>
      <c r="J393" s="4"/>
      <c r="K393" s="4"/>
      <c r="L393" s="4"/>
      <c r="M393" s="4"/>
      <c r="N393" s="4"/>
      <c r="O393" s="51" t="b">
        <v>0</v>
      </c>
      <c r="P393" s="51" t="b">
        <v>0</v>
      </c>
      <c r="Q393" s="51" t="b">
        <v>0</v>
      </c>
      <c r="R393" s="51" t="b">
        <v>0</v>
      </c>
      <c r="S393" s="51" t="b">
        <v>0</v>
      </c>
    </row>
    <row r="394" hidden="1">
      <c r="A394" s="56" t="str">
        <f>IFERROR(__xludf.DUMMYFUNCTION("""COMPUTED_VALUE"""),"489 - Channel")</f>
        <v>489 - Channel</v>
      </c>
      <c r="B394" s="56" t="s">
        <v>16</v>
      </c>
      <c r="C394" s="56" t="s">
        <v>66</v>
      </c>
      <c r="D394" s="57">
        <v>0.4439467592592593</v>
      </c>
      <c r="E394" s="57">
        <v>3.4722222222222224E-4</v>
      </c>
      <c r="F394" s="57">
        <v>0.4442939814814815</v>
      </c>
      <c r="G394" s="56" t="s">
        <v>195</v>
      </c>
      <c r="H394" s="56" t="s">
        <v>81</v>
      </c>
      <c r="I394" s="56" t="s">
        <v>81</v>
      </c>
      <c r="J394" s="56"/>
      <c r="K394" s="56"/>
      <c r="L394" s="56"/>
      <c r="M394" s="56"/>
      <c r="N394" s="56"/>
      <c r="O394" s="51" t="b">
        <v>0</v>
      </c>
      <c r="P394" s="51" t="b">
        <v>0</v>
      </c>
      <c r="Q394" s="51" t="b">
        <v>0</v>
      </c>
      <c r="R394" s="51" t="b">
        <v>0</v>
      </c>
      <c r="S394" s="51" t="b">
        <v>0</v>
      </c>
      <c r="T394" s="56"/>
    </row>
    <row r="395">
      <c r="A395" s="4" t="str">
        <f>IFERROR(__xludf.DUMMYFUNCTION("""COMPUTED_VALUE"""),"490 - Channel")</f>
        <v>490 - Channel</v>
      </c>
      <c r="B395" s="4" t="s">
        <v>16</v>
      </c>
      <c r="C395" s="4" t="s">
        <v>66</v>
      </c>
      <c r="D395" s="6">
        <v>0.4442939814814815</v>
      </c>
      <c r="E395" s="6">
        <v>0.01476851851851852</v>
      </c>
      <c r="F395" s="6">
        <v>0.45906250000000004</v>
      </c>
      <c r="G395" s="4" t="s">
        <v>195</v>
      </c>
      <c r="H395" s="4" t="s">
        <v>107</v>
      </c>
      <c r="I395" s="4" t="s">
        <v>485</v>
      </c>
      <c r="J395" s="4" t="s">
        <v>486</v>
      </c>
      <c r="K395" s="4" t="s">
        <v>487</v>
      </c>
      <c r="L395" s="4"/>
      <c r="M395" s="4"/>
      <c r="N395" s="4" t="s">
        <v>488</v>
      </c>
      <c r="O395" s="51" t="b">
        <v>0</v>
      </c>
      <c r="P395" s="51" t="b">
        <v>0</v>
      </c>
      <c r="Q395" s="51" t="b">
        <v>0</v>
      </c>
      <c r="R395" s="51" t="b">
        <v>0</v>
      </c>
      <c r="S395" s="51" t="b">
        <v>0</v>
      </c>
    </row>
    <row r="396" hidden="1">
      <c r="A396" s="4" t="str">
        <f>IFERROR(__xludf.DUMMYFUNCTION("""COMPUTED_VALUE"""),"491 - Channel")</f>
        <v>491 - Channel</v>
      </c>
      <c r="B396" s="4" t="s">
        <v>16</v>
      </c>
      <c r="C396" s="4" t="s">
        <v>66</v>
      </c>
      <c r="D396" s="6">
        <v>0.45906250000000004</v>
      </c>
      <c r="E396" s="6">
        <v>1.7361111111111112E-4</v>
      </c>
      <c r="F396" s="6">
        <v>0.4592361111111112</v>
      </c>
      <c r="G396" s="4" t="s">
        <v>195</v>
      </c>
      <c r="H396" s="4" t="s">
        <v>85</v>
      </c>
      <c r="I396" s="4" t="s">
        <v>85</v>
      </c>
      <c r="J396" s="4"/>
      <c r="K396" s="4"/>
      <c r="L396" s="4"/>
      <c r="M396" s="4"/>
      <c r="N396" s="4"/>
      <c r="O396" s="51" t="b">
        <v>0</v>
      </c>
      <c r="P396" s="51" t="b">
        <v>0</v>
      </c>
      <c r="Q396" s="51" t="b">
        <v>0</v>
      </c>
      <c r="R396" s="51" t="b">
        <v>0</v>
      </c>
      <c r="S396" s="51" t="b">
        <v>0</v>
      </c>
    </row>
    <row r="397">
      <c r="A397" s="4" t="str">
        <f>IFERROR(__xludf.DUMMYFUNCTION("""COMPUTED_VALUE"""),"1451 - Channel")</f>
        <v>1451 - Channel</v>
      </c>
      <c r="B397" s="4" t="s">
        <v>16</v>
      </c>
      <c r="C397" s="4" t="s">
        <v>66</v>
      </c>
      <c r="D397" s="6"/>
      <c r="E397" s="6"/>
      <c r="F397" s="6"/>
      <c r="G397" s="4"/>
      <c r="H397" s="4"/>
      <c r="I397" s="4"/>
      <c r="J397" s="4"/>
      <c r="K397" s="4"/>
      <c r="L397" s="4"/>
      <c r="M397" s="4"/>
      <c r="N397" s="4"/>
      <c r="O397" s="51" t="b">
        <v>0</v>
      </c>
      <c r="P397" s="51" t="b">
        <v>0</v>
      </c>
      <c r="Q397" s="51" t="b">
        <v>0</v>
      </c>
      <c r="R397" s="51" t="b">
        <v>0</v>
      </c>
      <c r="S397" s="51" t="b">
        <v>0</v>
      </c>
    </row>
    <row r="398" hidden="1">
      <c r="A398" s="56" t="str">
        <f>IFERROR(__xludf.DUMMYFUNCTION("""COMPUTED_VALUE"""),"407 - Channel")</f>
        <v>407 - Channel</v>
      </c>
      <c r="B398" s="56" t="s">
        <v>16</v>
      </c>
      <c r="C398" s="56" t="s">
        <v>66</v>
      </c>
      <c r="D398" s="57">
        <v>0.4592361111111112</v>
      </c>
      <c r="E398" s="57">
        <v>3.4722222222222224E-4</v>
      </c>
      <c r="F398" s="57">
        <v>0.4595833333333334</v>
      </c>
      <c r="G398" s="56" t="s">
        <v>106</v>
      </c>
      <c r="H398" s="56" t="s">
        <v>81</v>
      </c>
      <c r="I398" s="56" t="s">
        <v>81</v>
      </c>
      <c r="J398" s="56"/>
      <c r="K398" s="56"/>
      <c r="L398" s="56"/>
      <c r="M398" s="56"/>
      <c r="N398" s="56" t="s">
        <v>70</v>
      </c>
      <c r="O398" s="51" t="b">
        <v>0</v>
      </c>
      <c r="P398" s="51" t="b">
        <v>0</v>
      </c>
      <c r="Q398" s="51" t="b">
        <v>0</v>
      </c>
      <c r="R398" s="51" t="b">
        <v>0</v>
      </c>
      <c r="S398" s="51" t="b">
        <v>0</v>
      </c>
      <c r="T398" s="56"/>
    </row>
    <row r="399">
      <c r="A399" s="4" t="str">
        <f>IFERROR(__xludf.DUMMYFUNCTION("""COMPUTED_VALUE"""),"408 - Channel")</f>
        <v>408 - Channel</v>
      </c>
      <c r="B399" s="4" t="s">
        <v>16</v>
      </c>
      <c r="C399" s="4" t="s">
        <v>66</v>
      </c>
      <c r="D399" s="6">
        <v>0.4595833333333334</v>
      </c>
      <c r="E399" s="6">
        <v>0.010613425925925925</v>
      </c>
      <c r="F399" s="6">
        <v>0.4701967592592593</v>
      </c>
      <c r="G399" s="4" t="s">
        <v>106</v>
      </c>
      <c r="H399" s="4" t="s">
        <v>107</v>
      </c>
      <c r="I399" s="4" t="s">
        <v>489</v>
      </c>
      <c r="J399" s="4" t="s">
        <v>490</v>
      </c>
      <c r="K399" s="4" t="s">
        <v>491</v>
      </c>
      <c r="L399" s="4"/>
      <c r="M399" s="4"/>
      <c r="N399" s="4" t="s">
        <v>492</v>
      </c>
      <c r="O399" s="51" t="b">
        <v>0</v>
      </c>
      <c r="P399" s="51" t="b">
        <v>0</v>
      </c>
      <c r="Q399" s="51" t="b">
        <v>0</v>
      </c>
      <c r="R399" s="51" t="b">
        <v>0</v>
      </c>
      <c r="S399" s="51" t="b">
        <v>0</v>
      </c>
    </row>
    <row r="400" hidden="1">
      <c r="A400" s="56" t="str">
        <f>IFERROR(__xludf.DUMMYFUNCTION("""COMPUTED_VALUE"""),"411 - Channel")</f>
        <v>411 - Channel</v>
      </c>
      <c r="B400" s="56" t="s">
        <v>16</v>
      </c>
      <c r="C400" s="56" t="s">
        <v>66</v>
      </c>
      <c r="D400" s="57">
        <v>0.4701967592592593</v>
      </c>
      <c r="E400" s="57">
        <v>3.4722222222222224E-4</v>
      </c>
      <c r="F400" s="57">
        <v>0.4705439814814815</v>
      </c>
      <c r="G400" s="56" t="s">
        <v>106</v>
      </c>
      <c r="H400" s="56" t="s">
        <v>81</v>
      </c>
      <c r="I400" s="56" t="s">
        <v>81</v>
      </c>
      <c r="J400" s="56"/>
      <c r="K400" s="56"/>
      <c r="L400" s="56"/>
      <c r="M400" s="56"/>
      <c r="N400" s="56" t="s">
        <v>70</v>
      </c>
      <c r="O400" s="51" t="b">
        <v>0</v>
      </c>
      <c r="P400" s="51" t="b">
        <v>0</v>
      </c>
      <c r="Q400" s="51" t="b">
        <v>0</v>
      </c>
      <c r="R400" s="51" t="b">
        <v>0</v>
      </c>
      <c r="S400" s="51" t="b">
        <v>0</v>
      </c>
      <c r="T400" s="56"/>
    </row>
    <row r="401" hidden="1">
      <c r="A401" s="4" t="str">
        <f>IFERROR(__xludf.DUMMYFUNCTION("""COMPUTED_VALUE"""),"412 - Channel")</f>
        <v>412 - Channel</v>
      </c>
      <c r="B401" s="4" t="s">
        <v>16</v>
      </c>
      <c r="C401" s="4" t="s">
        <v>66</v>
      </c>
      <c r="D401" s="6">
        <v>0.4705439814814815</v>
      </c>
      <c r="E401" s="6">
        <v>0.013888888888888888</v>
      </c>
      <c r="F401" s="6">
        <v>0.4844328703703704</v>
      </c>
      <c r="G401" s="4" t="s">
        <v>106</v>
      </c>
      <c r="H401" s="4" t="s">
        <v>94</v>
      </c>
      <c r="I401" s="4" t="s">
        <v>493</v>
      </c>
      <c r="J401" s="4" t="s">
        <v>494</v>
      </c>
      <c r="K401" s="4"/>
      <c r="L401" s="4"/>
      <c r="M401" s="4"/>
      <c r="N401" s="4" t="s">
        <v>495</v>
      </c>
      <c r="O401" s="51" t="b">
        <v>0</v>
      </c>
      <c r="P401" s="51" t="b">
        <v>0</v>
      </c>
      <c r="Q401" s="51" t="b">
        <v>0</v>
      </c>
      <c r="R401" s="51" t="b">
        <v>0</v>
      </c>
      <c r="S401" s="51" t="b">
        <v>0</v>
      </c>
    </row>
    <row r="402">
      <c r="A402" s="4" t="str">
        <f>IFERROR(__xludf.DUMMYFUNCTION("""COMPUTED_VALUE"""),"1452 - Channel")</f>
        <v>1452 - Channel</v>
      </c>
      <c r="B402" s="4" t="s">
        <v>16</v>
      </c>
      <c r="C402" s="4" t="s">
        <v>66</v>
      </c>
      <c r="D402" s="6">
        <v>0.4844328703703704</v>
      </c>
      <c r="E402" s="6">
        <v>3.4722222222222224E-4</v>
      </c>
      <c r="F402" s="6">
        <v>0.48478009259259264</v>
      </c>
      <c r="G402" s="4" t="s">
        <v>106</v>
      </c>
      <c r="H402" s="4" t="s">
        <v>89</v>
      </c>
      <c r="I402" s="4" t="s">
        <v>89</v>
      </c>
      <c r="J402" s="4"/>
      <c r="K402" s="4"/>
      <c r="L402" s="4"/>
      <c r="M402" s="4"/>
      <c r="N402" s="4"/>
      <c r="O402" s="51" t="b">
        <v>0</v>
      </c>
      <c r="P402" s="51" t="b">
        <v>0</v>
      </c>
      <c r="Q402" s="51" t="b">
        <v>0</v>
      </c>
      <c r="R402" s="51" t="b">
        <v>0</v>
      </c>
      <c r="S402" s="51" t="b">
        <v>0</v>
      </c>
    </row>
    <row r="403" hidden="1">
      <c r="A403" s="4" t="str">
        <f>IFERROR(__xludf.DUMMYFUNCTION("""COMPUTED_VALUE"""),"416 - Channel")</f>
        <v>416 - Channel</v>
      </c>
      <c r="B403" s="4" t="s">
        <v>16</v>
      </c>
      <c r="C403" s="4" t="s">
        <v>66</v>
      </c>
      <c r="D403" s="6">
        <v>0.48478009259259264</v>
      </c>
      <c r="E403" s="6">
        <v>3.4722222222222224E-4</v>
      </c>
      <c r="F403" s="6">
        <v>0.48512731481481486</v>
      </c>
      <c r="G403" s="4" t="s">
        <v>106</v>
      </c>
      <c r="H403" s="4" t="s">
        <v>81</v>
      </c>
      <c r="I403" s="4" t="s">
        <v>81</v>
      </c>
      <c r="J403" s="4"/>
      <c r="K403" s="4"/>
      <c r="L403" s="4"/>
      <c r="M403" s="4"/>
      <c r="N403" s="4"/>
      <c r="O403" s="51" t="b">
        <v>0</v>
      </c>
      <c r="P403" s="51" t="b">
        <v>0</v>
      </c>
      <c r="Q403" s="51" t="b">
        <v>0</v>
      </c>
      <c r="R403" s="51" t="b">
        <v>0</v>
      </c>
      <c r="S403" s="51" t="b">
        <v>0</v>
      </c>
    </row>
    <row r="404">
      <c r="A404" s="56" t="str">
        <f>IFERROR(__xludf.DUMMYFUNCTION("""COMPUTED_VALUE"""),"417 - Channel")</f>
        <v>417 - Channel</v>
      </c>
      <c r="B404" s="56" t="s">
        <v>16</v>
      </c>
      <c r="C404" s="56" t="s">
        <v>66</v>
      </c>
      <c r="D404" s="57">
        <v>0.48512731481481486</v>
      </c>
      <c r="E404" s="57">
        <v>0.007476851851851852</v>
      </c>
      <c r="F404" s="57">
        <v>0.49260416666666673</v>
      </c>
      <c r="G404" s="56" t="s">
        <v>106</v>
      </c>
      <c r="H404" s="56" t="s">
        <v>165</v>
      </c>
      <c r="I404" s="56" t="s">
        <v>496</v>
      </c>
      <c r="J404" s="56" t="s">
        <v>497</v>
      </c>
      <c r="K404" s="56"/>
      <c r="L404" s="56"/>
      <c r="M404" s="56"/>
      <c r="N404" s="56"/>
      <c r="O404" s="51" t="b">
        <v>0</v>
      </c>
      <c r="P404" s="51" t="b">
        <v>0</v>
      </c>
      <c r="Q404" s="51" t="b">
        <v>0</v>
      </c>
      <c r="R404" s="51" t="b">
        <v>0</v>
      </c>
      <c r="S404" s="51" t="b">
        <v>0</v>
      </c>
      <c r="T404" s="56"/>
    </row>
    <row r="405" hidden="1">
      <c r="A405" s="4" t="str">
        <f>IFERROR(__xludf.DUMMYFUNCTION("""COMPUTED_VALUE"""),"336 - Channel")</f>
        <v>336 - Channel</v>
      </c>
      <c r="B405" s="4" t="s">
        <v>16</v>
      </c>
      <c r="C405" s="4" t="s">
        <v>66</v>
      </c>
      <c r="D405" s="6">
        <v>0.49260416666666673</v>
      </c>
      <c r="E405" s="6">
        <v>3.4722222222222224E-4</v>
      </c>
      <c r="F405" s="6">
        <v>0.49295138888888895</v>
      </c>
      <c r="G405" s="4" t="s">
        <v>195</v>
      </c>
      <c r="H405" s="4" t="s">
        <v>81</v>
      </c>
      <c r="I405" s="4" t="s">
        <v>91</v>
      </c>
      <c r="J405" s="4"/>
      <c r="K405" s="4"/>
      <c r="L405" s="4"/>
      <c r="M405" s="4"/>
      <c r="N405" s="4" t="s">
        <v>70</v>
      </c>
      <c r="O405" s="51" t="b">
        <v>0</v>
      </c>
      <c r="P405" s="51" t="b">
        <v>0</v>
      </c>
      <c r="Q405" s="51" t="b">
        <v>0</v>
      </c>
      <c r="R405" s="51" t="b">
        <v>0</v>
      </c>
      <c r="S405" s="51" t="b">
        <v>0</v>
      </c>
    </row>
    <row r="406">
      <c r="A406" s="56" t="str">
        <f>IFERROR(__xludf.DUMMYFUNCTION("""COMPUTED_VALUE"""),"116 - Channel")</f>
        <v>116 - Channel</v>
      </c>
      <c r="B406" s="56" t="s">
        <v>16</v>
      </c>
      <c r="C406" s="56" t="s">
        <v>66</v>
      </c>
      <c r="D406" s="57">
        <v>0.49295138888888895</v>
      </c>
      <c r="E406" s="57">
        <v>0.006944444444444444</v>
      </c>
      <c r="F406" s="57">
        <v>0.4998958333333334</v>
      </c>
      <c r="G406" s="56" t="s">
        <v>195</v>
      </c>
      <c r="H406" s="56" t="s">
        <v>165</v>
      </c>
      <c r="I406" s="56" t="s">
        <v>498</v>
      </c>
      <c r="J406" s="56" t="s">
        <v>499</v>
      </c>
      <c r="K406" s="56"/>
      <c r="L406" s="56"/>
      <c r="M406" s="56"/>
      <c r="N406" s="56" t="s">
        <v>70</v>
      </c>
      <c r="O406" s="51" t="b">
        <v>0</v>
      </c>
      <c r="P406" s="51" t="b">
        <v>0</v>
      </c>
      <c r="Q406" s="51" t="b">
        <v>0</v>
      </c>
      <c r="R406" s="51" t="b">
        <v>0</v>
      </c>
      <c r="S406" s="51" t="b">
        <v>0</v>
      </c>
      <c r="T406" s="56"/>
    </row>
    <row r="407" hidden="1">
      <c r="A407" s="4" t="str">
        <f>IFERROR(__xludf.DUMMYFUNCTION("""COMPUTED_VALUE"""),"338 - Channel")</f>
        <v>338 - Channel</v>
      </c>
      <c r="B407" s="4" t="s">
        <v>16</v>
      </c>
      <c r="C407" s="4" t="s">
        <v>66</v>
      </c>
      <c r="D407" s="6">
        <v>0.4998958333333334</v>
      </c>
      <c r="E407" s="6">
        <v>1.7361111111111112E-4</v>
      </c>
      <c r="F407" s="6">
        <v>0.5000694444444445</v>
      </c>
      <c r="G407" s="4" t="s">
        <v>195</v>
      </c>
      <c r="H407" s="4" t="s">
        <v>85</v>
      </c>
      <c r="I407" s="4" t="s">
        <v>500</v>
      </c>
      <c r="J407" s="4"/>
      <c r="K407" s="4"/>
      <c r="L407" s="4"/>
      <c r="M407" s="4"/>
      <c r="N407" s="4" t="s">
        <v>70</v>
      </c>
      <c r="O407" s="51" t="b">
        <v>0</v>
      </c>
      <c r="P407" s="51" t="b">
        <v>0</v>
      </c>
      <c r="Q407" s="51" t="b">
        <v>0</v>
      </c>
      <c r="R407" s="51" t="b">
        <v>0</v>
      </c>
      <c r="S407" s="51" t="b">
        <v>0</v>
      </c>
    </row>
    <row r="408" hidden="1">
      <c r="A408" s="4" t="str">
        <f>IFERROR(__xludf.DUMMYFUNCTION("""COMPUTED_VALUE"""),"1560 - Channel")</f>
        <v>1560 - Channel</v>
      </c>
      <c r="B408" s="4" t="s">
        <v>16</v>
      </c>
      <c r="C408" s="4" t="s">
        <v>66</v>
      </c>
      <c r="D408" s="6">
        <v>0.5000694444444445</v>
      </c>
      <c r="E408" s="6">
        <v>2.314814814814815E-4</v>
      </c>
      <c r="F408" s="6">
        <v>0.5003009259259259</v>
      </c>
      <c r="G408" s="4"/>
      <c r="H408" s="4"/>
      <c r="I408" s="4" t="s">
        <v>501</v>
      </c>
      <c r="J408" s="4"/>
      <c r="K408" s="4"/>
      <c r="L408" s="4"/>
      <c r="M408" s="4"/>
      <c r="N408" s="4"/>
      <c r="O408" s="51" t="b">
        <v>0</v>
      </c>
      <c r="P408" s="51" t="b">
        <v>0</v>
      </c>
      <c r="Q408" s="51" t="b">
        <v>0</v>
      </c>
      <c r="R408" s="51" t="b">
        <v>0</v>
      </c>
      <c r="S408" s="51" t="b">
        <v>0</v>
      </c>
    </row>
    <row r="409">
      <c r="A409" s="56" t="str">
        <f>IFERROR(__xludf.DUMMYFUNCTION("""COMPUTED_VALUE"""),"1339 - Channel")</f>
        <v>1339 - Channel</v>
      </c>
      <c r="B409" s="56" t="s">
        <v>16</v>
      </c>
      <c r="C409" s="56" t="s">
        <v>66</v>
      </c>
      <c r="D409" s="57"/>
      <c r="E409" s="57"/>
      <c r="F409" s="57"/>
      <c r="G409" s="56"/>
      <c r="H409" s="56"/>
      <c r="I409" s="56"/>
      <c r="J409" s="56"/>
      <c r="K409" s="56"/>
      <c r="L409" s="56"/>
      <c r="M409" s="56"/>
      <c r="N409" s="56"/>
      <c r="O409" s="51" t="b">
        <v>0</v>
      </c>
      <c r="P409" s="51" t="b">
        <v>0</v>
      </c>
      <c r="Q409" s="51" t="b">
        <v>0</v>
      </c>
      <c r="R409" s="51" t="b">
        <v>0</v>
      </c>
      <c r="S409" s="51" t="b">
        <v>0</v>
      </c>
      <c r="T409" s="56"/>
    </row>
    <row r="410" hidden="1">
      <c r="A410" s="4" t="str">
        <f>IFERROR(__xludf.DUMMYFUNCTION("""COMPUTED_VALUE"""),"425 - Channel")</f>
        <v>425 - Channel</v>
      </c>
      <c r="B410" s="4" t="s">
        <v>16</v>
      </c>
      <c r="C410" s="4" t="s">
        <v>66</v>
      </c>
      <c r="D410" s="6">
        <v>0.5003009259259259</v>
      </c>
      <c r="E410" s="6">
        <v>3.4722222222222224E-4</v>
      </c>
      <c r="F410" s="6">
        <v>0.5006481481481482</v>
      </c>
      <c r="G410" s="4" t="s">
        <v>129</v>
      </c>
      <c r="H410" s="4" t="s">
        <v>81</v>
      </c>
      <c r="I410" s="4" t="s">
        <v>81</v>
      </c>
      <c r="J410" s="4"/>
      <c r="K410" s="4"/>
      <c r="L410" s="4"/>
      <c r="M410" s="4"/>
      <c r="N410" s="4" t="s">
        <v>70</v>
      </c>
      <c r="O410" s="51" t="b">
        <v>0</v>
      </c>
      <c r="P410" s="51" t="b">
        <v>0</v>
      </c>
      <c r="Q410" s="51" t="b">
        <v>0</v>
      </c>
      <c r="R410" s="51" t="b">
        <v>0</v>
      </c>
      <c r="S410" s="51" t="b">
        <v>0</v>
      </c>
    </row>
    <row r="411" hidden="1">
      <c r="A411" s="56" t="str">
        <f>IFERROR(__xludf.DUMMYFUNCTION("""COMPUTED_VALUE"""),"426 - Channel")</f>
        <v>426 - Channel</v>
      </c>
      <c r="B411" s="56" t="s">
        <v>16</v>
      </c>
      <c r="C411" s="56" t="s">
        <v>66</v>
      </c>
      <c r="D411" s="57">
        <v>0.5006481481481482</v>
      </c>
      <c r="E411" s="57">
        <v>0.007766203703703704</v>
      </c>
      <c r="F411" s="57">
        <v>0.5084143518518519</v>
      </c>
      <c r="G411" s="56" t="s">
        <v>129</v>
      </c>
      <c r="H411" s="56" t="s">
        <v>107</v>
      </c>
      <c r="I411" s="56" t="s">
        <v>502</v>
      </c>
      <c r="J411" s="56" t="s">
        <v>503</v>
      </c>
      <c r="K411" s="56" t="s">
        <v>504</v>
      </c>
      <c r="L411" s="56"/>
      <c r="M411" s="56"/>
      <c r="N411" s="56" t="s">
        <v>505</v>
      </c>
      <c r="O411" s="51" t="b">
        <v>0</v>
      </c>
      <c r="P411" s="51" t="b">
        <v>0</v>
      </c>
      <c r="Q411" s="51" t="b">
        <v>0</v>
      </c>
      <c r="R411" s="51" t="b">
        <v>0</v>
      </c>
      <c r="S411" s="51" t="b">
        <v>0</v>
      </c>
      <c r="T411" s="56"/>
    </row>
    <row r="412" hidden="1">
      <c r="A412" s="4" t="str">
        <f>IFERROR(__xludf.DUMMYFUNCTION("""COMPUTED_VALUE"""),"428 - Channel")</f>
        <v>428 - Channel</v>
      </c>
      <c r="B412" s="4" t="s">
        <v>16</v>
      </c>
      <c r="C412" s="4" t="s">
        <v>66</v>
      </c>
      <c r="D412" s="6">
        <v>0.5084143518518519</v>
      </c>
      <c r="E412" s="6">
        <v>2.314814814814815E-4</v>
      </c>
      <c r="F412" s="6">
        <v>0.5086458333333334</v>
      </c>
      <c r="G412" s="4" t="s">
        <v>129</v>
      </c>
      <c r="H412" s="4" t="s">
        <v>506</v>
      </c>
      <c r="I412" s="4" t="s">
        <v>507</v>
      </c>
      <c r="J412" s="4"/>
      <c r="K412" s="4"/>
      <c r="L412" s="4"/>
      <c r="M412" s="4"/>
      <c r="N412" s="4" t="s">
        <v>70</v>
      </c>
      <c r="O412" s="51" t="b">
        <v>0</v>
      </c>
      <c r="P412" s="51" t="b">
        <v>0</v>
      </c>
      <c r="Q412" s="51" t="b">
        <v>0</v>
      </c>
      <c r="R412" s="51" t="b">
        <v>0</v>
      </c>
      <c r="S412" s="51" t="b">
        <v>0</v>
      </c>
    </row>
    <row r="413" hidden="1">
      <c r="A413" s="56" t="str">
        <f>IFERROR(__xludf.DUMMYFUNCTION("""COMPUTED_VALUE"""),"429 - Channel")</f>
        <v>429 - Channel</v>
      </c>
      <c r="B413" s="56" t="s">
        <v>16</v>
      </c>
      <c r="C413" s="56" t="s">
        <v>66</v>
      </c>
      <c r="D413" s="57">
        <v>0.5086458333333334</v>
      </c>
      <c r="E413" s="57">
        <v>3.4722222222222224E-4</v>
      </c>
      <c r="F413" s="57">
        <v>0.5089930555555556</v>
      </c>
      <c r="G413" s="56" t="s">
        <v>129</v>
      </c>
      <c r="H413" s="56" t="s">
        <v>87</v>
      </c>
      <c r="I413" s="56" t="s">
        <v>508</v>
      </c>
      <c r="J413" s="56"/>
      <c r="K413" s="56"/>
      <c r="L413" s="56"/>
      <c r="M413" s="56"/>
      <c r="N413" s="56" t="s">
        <v>70</v>
      </c>
      <c r="O413" s="51" t="b">
        <v>0</v>
      </c>
      <c r="P413" s="51" t="b">
        <v>0</v>
      </c>
      <c r="Q413" s="51" t="b">
        <v>0</v>
      </c>
      <c r="R413" s="51" t="b">
        <v>0</v>
      </c>
      <c r="S413" s="51" t="b">
        <v>0</v>
      </c>
      <c r="T413" s="56"/>
    </row>
    <row r="414" hidden="1">
      <c r="A414" s="4" t="str">
        <f>IFERROR(__xludf.DUMMYFUNCTION("""COMPUTED_VALUE"""),"430 - Channel")</f>
        <v>430 - Channel</v>
      </c>
      <c r="B414" s="4" t="s">
        <v>16</v>
      </c>
      <c r="C414" s="4" t="s">
        <v>66</v>
      </c>
      <c r="D414" s="6">
        <v>0.5089930555555556</v>
      </c>
      <c r="E414" s="6">
        <v>1.7361111111111112E-4</v>
      </c>
      <c r="F414" s="6">
        <v>0.5091666666666668</v>
      </c>
      <c r="G414" s="4" t="s">
        <v>129</v>
      </c>
      <c r="H414" s="4" t="s">
        <v>77</v>
      </c>
      <c r="I414" s="4" t="s">
        <v>509</v>
      </c>
      <c r="J414" s="4"/>
      <c r="K414" s="4"/>
      <c r="L414" s="4"/>
      <c r="M414" s="4"/>
      <c r="N414" s="4" t="s">
        <v>70</v>
      </c>
      <c r="O414" s="51" t="b">
        <v>0</v>
      </c>
      <c r="P414" s="51" t="b">
        <v>0</v>
      </c>
      <c r="Q414" s="51" t="b">
        <v>0</v>
      </c>
      <c r="R414" s="51" t="b">
        <v>0</v>
      </c>
      <c r="S414" s="51" t="b">
        <v>0</v>
      </c>
    </row>
    <row r="415" hidden="1">
      <c r="A415" s="56" t="str">
        <f>IFERROR(__xludf.DUMMYFUNCTION("""COMPUTED_VALUE"""),"431 - Channel")</f>
        <v>431 - Channel</v>
      </c>
      <c r="B415" s="56" t="s">
        <v>16</v>
      </c>
      <c r="C415" s="56" t="s">
        <v>66</v>
      </c>
      <c r="D415" s="57">
        <v>0.5091666666666668</v>
      </c>
      <c r="E415" s="57">
        <v>1.7361111111111112E-4</v>
      </c>
      <c r="F415" s="57">
        <v>0.5093402777777779</v>
      </c>
      <c r="G415" s="56" t="s">
        <v>129</v>
      </c>
      <c r="H415" s="56" t="s">
        <v>77</v>
      </c>
      <c r="I415" s="56" t="s">
        <v>510</v>
      </c>
      <c r="J415" s="56"/>
      <c r="K415" s="56"/>
      <c r="L415" s="56"/>
      <c r="M415" s="56"/>
      <c r="N415" s="56" t="s">
        <v>70</v>
      </c>
      <c r="O415" s="51" t="b">
        <v>0</v>
      </c>
      <c r="P415" s="51" t="b">
        <v>0</v>
      </c>
      <c r="Q415" s="51" t="b">
        <v>0</v>
      </c>
      <c r="R415" s="51" t="b">
        <v>0</v>
      </c>
      <c r="S415" s="51" t="b">
        <v>0</v>
      </c>
      <c r="T415" s="56"/>
    </row>
    <row r="416">
      <c r="A416" s="56" t="str">
        <f>IFERROR(__xludf.DUMMYFUNCTION("""COMPUTED_VALUE"""),"432 - Channel")</f>
        <v>432 - Channel</v>
      </c>
      <c r="B416" s="56" t="s">
        <v>16</v>
      </c>
      <c r="C416" s="56" t="s">
        <v>66</v>
      </c>
      <c r="D416" s="57">
        <v>0.5093402777777779</v>
      </c>
      <c r="E416" s="57">
        <v>3.4722222222222224E-4</v>
      </c>
      <c r="F416" s="57">
        <v>0.5096875000000002</v>
      </c>
      <c r="G416" s="56" t="s">
        <v>129</v>
      </c>
      <c r="H416" s="56" t="s">
        <v>511</v>
      </c>
      <c r="I416" s="56" t="s">
        <v>511</v>
      </c>
      <c r="J416" s="56"/>
      <c r="K416" s="56"/>
      <c r="L416" s="56"/>
      <c r="M416" s="56"/>
      <c r="N416" s="56" t="s">
        <v>70</v>
      </c>
      <c r="O416" s="51" t="b">
        <v>0</v>
      </c>
      <c r="P416" s="51" t="b">
        <v>0</v>
      </c>
      <c r="Q416" s="51" t="b">
        <v>0</v>
      </c>
      <c r="R416" s="51" t="b">
        <v>0</v>
      </c>
      <c r="S416" s="51" t="b">
        <v>0</v>
      </c>
      <c r="T416" s="56"/>
    </row>
    <row r="417" hidden="1">
      <c r="A417" s="4" t="str">
        <f>IFERROR(__xludf.DUMMYFUNCTION("""COMPUTED_VALUE"""),"433 - Channel")</f>
        <v>433 - Channel</v>
      </c>
      <c r="B417" s="4" t="s">
        <v>16</v>
      </c>
      <c r="C417" s="4" t="s">
        <v>66</v>
      </c>
      <c r="D417" s="6">
        <v>0.5096875000000002</v>
      </c>
      <c r="E417" s="6">
        <v>3.4722222222222224E-4</v>
      </c>
      <c r="F417" s="6">
        <v>0.5100347222222225</v>
      </c>
      <c r="G417" s="4" t="s">
        <v>129</v>
      </c>
      <c r="H417" s="4" t="s">
        <v>81</v>
      </c>
      <c r="I417" s="4" t="s">
        <v>81</v>
      </c>
      <c r="J417" s="4"/>
      <c r="K417" s="4"/>
      <c r="L417" s="4"/>
      <c r="M417" s="4"/>
      <c r="N417" s="4" t="s">
        <v>70</v>
      </c>
      <c r="O417" s="51" t="b">
        <v>0</v>
      </c>
      <c r="P417" s="51" t="b">
        <v>0</v>
      </c>
      <c r="Q417" s="51" t="b">
        <v>0</v>
      </c>
      <c r="R417" s="51" t="b">
        <v>0</v>
      </c>
      <c r="S417" s="51" t="b">
        <v>0</v>
      </c>
    </row>
    <row r="418">
      <c r="A418" s="56" t="str">
        <f>IFERROR(__xludf.DUMMYFUNCTION("""COMPUTED_VALUE"""),"434 - Channel")</f>
        <v>434 - Channel</v>
      </c>
      <c r="B418" s="56" t="s">
        <v>16</v>
      </c>
      <c r="C418" s="56" t="s">
        <v>66</v>
      </c>
      <c r="D418" s="57">
        <v>0.5100347222222225</v>
      </c>
      <c r="E418" s="57">
        <v>0.013888888888888888</v>
      </c>
      <c r="F418" s="57">
        <v>0.5239236111111113</v>
      </c>
      <c r="G418" s="56" t="s">
        <v>129</v>
      </c>
      <c r="H418" s="56" t="s">
        <v>94</v>
      </c>
      <c r="I418" s="56" t="s">
        <v>512</v>
      </c>
      <c r="J418" s="56" t="s">
        <v>513</v>
      </c>
      <c r="K418" s="56"/>
      <c r="L418" s="56"/>
      <c r="M418" s="56"/>
      <c r="N418" s="56" t="s">
        <v>514</v>
      </c>
      <c r="O418" s="51" t="b">
        <v>0</v>
      </c>
      <c r="P418" s="51" t="b">
        <v>0</v>
      </c>
      <c r="Q418" s="51" t="b">
        <v>0</v>
      </c>
      <c r="R418" s="51" t="b">
        <v>0</v>
      </c>
      <c r="S418" s="51" t="b">
        <v>0</v>
      </c>
      <c r="T418" s="56"/>
    </row>
    <row r="419">
      <c r="A419" s="4" t="str">
        <f>IFERROR(__xludf.DUMMYFUNCTION("""COMPUTED_VALUE"""),"435 - Channel")</f>
        <v>435 - Channel</v>
      </c>
      <c r="B419" s="4" t="s">
        <v>16</v>
      </c>
      <c r="C419" s="4" t="s">
        <v>66</v>
      </c>
      <c r="D419" s="6">
        <v>0.5239236111111113</v>
      </c>
      <c r="E419" s="6">
        <v>1.7361111111111112E-4</v>
      </c>
      <c r="F419" s="6">
        <v>0.5240972222222224</v>
      </c>
      <c r="G419" s="4" t="s">
        <v>129</v>
      </c>
      <c r="H419" s="4" t="s">
        <v>85</v>
      </c>
      <c r="I419" s="4" t="s">
        <v>85</v>
      </c>
      <c r="J419" s="4"/>
      <c r="K419" s="4"/>
      <c r="L419" s="4"/>
      <c r="M419" s="4"/>
      <c r="N419" s="4" t="s">
        <v>70</v>
      </c>
      <c r="O419" s="51" t="b">
        <v>0</v>
      </c>
      <c r="P419" s="51" t="b">
        <v>0</v>
      </c>
      <c r="Q419" s="51" t="b">
        <v>0</v>
      </c>
      <c r="R419" s="51" t="b">
        <v>0</v>
      </c>
      <c r="S419" s="51" t="b">
        <v>0</v>
      </c>
    </row>
    <row r="420" hidden="1">
      <c r="A420" s="4" t="str">
        <f>IFERROR(__xludf.DUMMYFUNCTION("""COMPUTED_VALUE"""),"436 - Channel")</f>
        <v>436 - Channel</v>
      </c>
      <c r="B420" s="4" t="s">
        <v>16</v>
      </c>
      <c r="C420" s="4" t="s">
        <v>66</v>
      </c>
      <c r="D420" s="6">
        <v>0.5240972222222224</v>
      </c>
      <c r="E420" s="6">
        <v>3.4722222222222224E-4</v>
      </c>
      <c r="F420" s="6">
        <v>0.5244444444444447</v>
      </c>
      <c r="G420" s="4" t="s">
        <v>129</v>
      </c>
      <c r="H420" s="4" t="s">
        <v>81</v>
      </c>
      <c r="I420" s="4" t="s">
        <v>81</v>
      </c>
      <c r="J420" s="4"/>
      <c r="K420" s="4"/>
      <c r="L420" s="4"/>
      <c r="M420" s="4"/>
      <c r="N420" s="4" t="s">
        <v>70</v>
      </c>
      <c r="O420" s="51" t="b">
        <v>0</v>
      </c>
      <c r="P420" s="51" t="b">
        <v>0</v>
      </c>
      <c r="Q420" s="51" t="b">
        <v>0</v>
      </c>
      <c r="R420" s="51" t="b">
        <v>0</v>
      </c>
      <c r="S420" s="51" t="b">
        <v>0</v>
      </c>
    </row>
    <row r="421">
      <c r="A421" s="56" t="str">
        <f>IFERROR(__xludf.DUMMYFUNCTION("""COMPUTED_VALUE"""),"1293 - Channel")</f>
        <v>1293 - Channel</v>
      </c>
      <c r="B421" s="56" t="s">
        <v>16</v>
      </c>
      <c r="C421" s="56" t="s">
        <v>66</v>
      </c>
      <c r="D421" s="57">
        <v>0.5244444444444447</v>
      </c>
      <c r="E421" s="57">
        <v>0.0020833333333333333</v>
      </c>
      <c r="F421" s="57">
        <v>0.526527777777778</v>
      </c>
      <c r="G421" s="56" t="s">
        <v>129</v>
      </c>
      <c r="H421" s="56" t="s">
        <v>165</v>
      </c>
      <c r="I421" s="56" t="s">
        <v>515</v>
      </c>
      <c r="J421" s="56" t="s">
        <v>516</v>
      </c>
      <c r="K421" s="56"/>
      <c r="L421" s="56"/>
      <c r="M421" s="56"/>
      <c r="N421" s="56" t="s">
        <v>70</v>
      </c>
      <c r="O421" s="51" t="b">
        <v>0</v>
      </c>
      <c r="P421" s="51" t="b">
        <v>0</v>
      </c>
      <c r="Q421" s="51" t="b">
        <v>0</v>
      </c>
      <c r="R421" s="51" t="b">
        <v>0</v>
      </c>
      <c r="S421" s="51" t="b">
        <v>0</v>
      </c>
      <c r="T421" s="56"/>
    </row>
    <row r="422">
      <c r="A422" s="4" t="str">
        <f>IFERROR(__xludf.DUMMYFUNCTION("""COMPUTED_VALUE"""),"438 - Channel")</f>
        <v>438 - Channel</v>
      </c>
      <c r="B422" s="4" t="s">
        <v>16</v>
      </c>
      <c r="C422" s="4" t="s">
        <v>66</v>
      </c>
      <c r="D422" s="6">
        <v>0.526527777777778</v>
      </c>
      <c r="E422" s="6">
        <v>1.7361111111111112E-4</v>
      </c>
      <c r="F422" s="6">
        <v>0.5267013888888892</v>
      </c>
      <c r="G422" s="4" t="s">
        <v>129</v>
      </c>
      <c r="H422" s="4" t="s">
        <v>85</v>
      </c>
      <c r="I422" s="4" t="s">
        <v>85</v>
      </c>
      <c r="J422" s="4"/>
      <c r="K422" s="4"/>
      <c r="L422" s="4"/>
      <c r="M422" s="4"/>
      <c r="N422" s="4" t="s">
        <v>70</v>
      </c>
      <c r="O422" s="51" t="b">
        <v>0</v>
      </c>
      <c r="P422" s="51" t="b">
        <v>0</v>
      </c>
      <c r="Q422" s="51" t="b">
        <v>0</v>
      </c>
      <c r="R422" s="51" t="b">
        <v>0</v>
      </c>
      <c r="S422" s="51" t="b">
        <v>0</v>
      </c>
    </row>
    <row r="423" hidden="1">
      <c r="A423" s="56" t="str">
        <f>IFERROR(__xludf.DUMMYFUNCTION("""COMPUTED_VALUE"""),"440 - Channel")</f>
        <v>440 - Channel</v>
      </c>
      <c r="B423" s="56" t="s">
        <v>16</v>
      </c>
      <c r="C423" s="56" t="s">
        <v>66</v>
      </c>
      <c r="D423" s="57">
        <v>0.5267013888888892</v>
      </c>
      <c r="E423" s="57">
        <v>3.4722222222222224E-4</v>
      </c>
      <c r="F423" s="57">
        <v>0.5270486111111115</v>
      </c>
      <c r="G423" s="56" t="s">
        <v>129</v>
      </c>
      <c r="H423" s="56" t="s">
        <v>81</v>
      </c>
      <c r="I423" s="56" t="s">
        <v>81</v>
      </c>
      <c r="J423" s="56"/>
      <c r="K423" s="56"/>
      <c r="L423" s="56"/>
      <c r="M423" s="56"/>
      <c r="N423" s="56" t="s">
        <v>70</v>
      </c>
      <c r="O423" s="51" t="b">
        <v>0</v>
      </c>
      <c r="P423" s="51" t="b">
        <v>0</v>
      </c>
      <c r="Q423" s="51" t="b">
        <v>0</v>
      </c>
      <c r="R423" s="51" t="b">
        <v>0</v>
      </c>
      <c r="S423" s="51" t="b">
        <v>0</v>
      </c>
      <c r="T423" s="56"/>
    </row>
    <row r="424">
      <c r="A424" s="4" t="str">
        <f>IFERROR(__xludf.DUMMYFUNCTION("""COMPUTED_VALUE"""),"441 - Channel")</f>
        <v>441 - Channel</v>
      </c>
      <c r="B424" s="4" t="s">
        <v>16</v>
      </c>
      <c r="C424" s="4" t="s">
        <v>66</v>
      </c>
      <c r="D424" s="6">
        <v>0.5270486111111115</v>
      </c>
      <c r="E424" s="6">
        <v>0.0125</v>
      </c>
      <c r="F424" s="6">
        <v>0.5395486111111114</v>
      </c>
      <c r="G424" s="4" t="s">
        <v>129</v>
      </c>
      <c r="H424" s="4" t="s">
        <v>107</v>
      </c>
      <c r="I424" s="4" t="s">
        <v>517</v>
      </c>
      <c r="J424" s="4" t="s">
        <v>518</v>
      </c>
      <c r="K424" s="4" t="s">
        <v>519</v>
      </c>
      <c r="L424" s="4"/>
      <c r="M424" s="4"/>
      <c r="N424" s="4" t="s">
        <v>520</v>
      </c>
      <c r="O424" s="51" t="b">
        <v>0</v>
      </c>
      <c r="P424" s="51" t="b">
        <v>0</v>
      </c>
      <c r="Q424" s="51" t="b">
        <v>0</v>
      </c>
      <c r="R424" s="51" t="b">
        <v>0</v>
      </c>
      <c r="S424" s="51" t="b">
        <v>0</v>
      </c>
    </row>
    <row r="425" hidden="1">
      <c r="A425" s="4" t="str">
        <f>IFERROR(__xludf.DUMMYFUNCTION("""COMPUTED_VALUE"""),"442 - Channel")</f>
        <v>442 - Channel</v>
      </c>
      <c r="B425" s="4" t="s">
        <v>16</v>
      </c>
      <c r="C425" s="4" t="s">
        <v>66</v>
      </c>
      <c r="D425" s="6">
        <v>0.5395486111111114</v>
      </c>
      <c r="E425" s="6">
        <v>1.7361111111111112E-4</v>
      </c>
      <c r="F425" s="6">
        <v>0.5397222222222225</v>
      </c>
      <c r="G425" s="4" t="s">
        <v>129</v>
      </c>
      <c r="H425" s="4" t="s">
        <v>85</v>
      </c>
      <c r="I425" s="4" t="s">
        <v>521</v>
      </c>
      <c r="J425" s="4"/>
      <c r="K425" s="4"/>
      <c r="L425" s="4"/>
      <c r="M425" s="4"/>
      <c r="N425" s="4" t="s">
        <v>70</v>
      </c>
      <c r="O425" s="51" t="b">
        <v>0</v>
      </c>
      <c r="P425" s="51" t="b">
        <v>0</v>
      </c>
      <c r="Q425" s="51" t="b">
        <v>0</v>
      </c>
      <c r="R425" s="51" t="b">
        <v>0</v>
      </c>
      <c r="S425" s="51" t="b">
        <v>0</v>
      </c>
    </row>
    <row r="426" hidden="1">
      <c r="A426" s="56" t="str">
        <f>IFERROR(__xludf.DUMMYFUNCTION("""COMPUTED_VALUE"""),"443 - Channel")</f>
        <v>443 - Channel</v>
      </c>
      <c r="B426" s="56" t="s">
        <v>16</v>
      </c>
      <c r="C426" s="56" t="s">
        <v>66</v>
      </c>
      <c r="D426" s="57">
        <v>0.5397222222222225</v>
      </c>
      <c r="E426" s="57">
        <v>3.4722222222222224E-4</v>
      </c>
      <c r="F426" s="57">
        <v>0.5400694444444448</v>
      </c>
      <c r="G426" s="56" t="s">
        <v>129</v>
      </c>
      <c r="H426" s="56" t="s">
        <v>89</v>
      </c>
      <c r="I426" s="56" t="s">
        <v>89</v>
      </c>
      <c r="J426" s="56"/>
      <c r="K426" s="56"/>
      <c r="L426" s="56"/>
      <c r="M426" s="56"/>
      <c r="N426" s="56" t="s">
        <v>70</v>
      </c>
      <c r="O426" s="51" t="b">
        <v>0</v>
      </c>
      <c r="P426" s="51" t="b">
        <v>0</v>
      </c>
      <c r="Q426" s="51" t="b">
        <v>0</v>
      </c>
      <c r="R426" s="51" t="b">
        <v>0</v>
      </c>
      <c r="S426" s="51" t="b">
        <v>0</v>
      </c>
      <c r="T426" s="56"/>
    </row>
    <row r="427">
      <c r="A427" s="4" t="str">
        <f>IFERROR(__xludf.DUMMYFUNCTION("""COMPUTED_VALUE"""),"1505 - Channel")</f>
        <v>1505 - Channel</v>
      </c>
      <c r="B427" s="4" t="s">
        <v>16</v>
      </c>
      <c r="C427" s="4" t="s">
        <v>66</v>
      </c>
      <c r="D427" s="6"/>
      <c r="E427" s="6"/>
      <c r="F427" s="6"/>
      <c r="G427" s="4"/>
      <c r="H427" s="4"/>
      <c r="I427" s="4"/>
      <c r="J427" s="4"/>
      <c r="K427" s="4"/>
      <c r="L427" s="4"/>
      <c r="M427" s="4"/>
      <c r="N427" s="4"/>
      <c r="O427" s="51" t="b">
        <v>0</v>
      </c>
      <c r="P427" s="51" t="b">
        <v>0</v>
      </c>
      <c r="Q427" s="51" t="b">
        <v>0</v>
      </c>
      <c r="R427" s="51" t="b">
        <v>0</v>
      </c>
      <c r="S427" s="51" t="b">
        <v>0</v>
      </c>
    </row>
    <row r="428" hidden="1">
      <c r="A428" s="56" t="str">
        <f>IFERROR(__xludf.DUMMYFUNCTION("""COMPUTED_VALUE"""),"445 - Channel")</f>
        <v>445 - Channel</v>
      </c>
      <c r="B428" s="56" t="s">
        <v>16</v>
      </c>
      <c r="C428" s="56" t="s">
        <v>66</v>
      </c>
      <c r="D428" s="57">
        <v>0.5400694444444448</v>
      </c>
      <c r="E428" s="57">
        <v>3.4722222222222224E-4</v>
      </c>
      <c r="F428" s="57">
        <v>0.5404166666666671</v>
      </c>
      <c r="G428" s="56" t="s">
        <v>151</v>
      </c>
      <c r="H428" s="56" t="s">
        <v>81</v>
      </c>
      <c r="I428" s="56" t="s">
        <v>81</v>
      </c>
      <c r="J428" s="56"/>
      <c r="K428" s="56"/>
      <c r="L428" s="56"/>
      <c r="M428" s="56"/>
      <c r="N428" s="56" t="s">
        <v>70</v>
      </c>
      <c r="O428" s="51" t="b">
        <v>0</v>
      </c>
      <c r="P428" s="51" t="b">
        <v>0</v>
      </c>
      <c r="Q428" s="51" t="b">
        <v>0</v>
      </c>
      <c r="R428" s="51" t="b">
        <v>0</v>
      </c>
      <c r="S428" s="51" t="b">
        <v>0</v>
      </c>
      <c r="T428" s="56"/>
    </row>
    <row r="429" hidden="1">
      <c r="A429" s="56" t="str">
        <f>IFERROR(__xludf.DUMMYFUNCTION("""COMPUTED_VALUE"""),"1372 - Channel")</f>
        <v>1372 - Channel</v>
      </c>
      <c r="B429" s="56" t="s">
        <v>16</v>
      </c>
      <c r="C429" s="56" t="s">
        <v>66</v>
      </c>
      <c r="D429" s="57">
        <v>0.5404166666666671</v>
      </c>
      <c r="E429" s="57">
        <v>0.010416666666666666</v>
      </c>
      <c r="F429" s="57">
        <v>0.5508333333333337</v>
      </c>
      <c r="G429" s="56" t="s">
        <v>151</v>
      </c>
      <c r="H429" s="56" t="s">
        <v>94</v>
      </c>
      <c r="I429" s="56" t="s">
        <v>522</v>
      </c>
      <c r="J429" s="56" t="s">
        <v>523</v>
      </c>
      <c r="K429" s="56"/>
      <c r="L429" s="56"/>
      <c r="M429" s="56"/>
      <c r="N429" s="56" t="s">
        <v>524</v>
      </c>
      <c r="O429" s="51" t="b">
        <v>0</v>
      </c>
      <c r="P429" s="51" t="b">
        <v>0</v>
      </c>
      <c r="Q429" s="51" t="b">
        <v>0</v>
      </c>
      <c r="R429" s="51" t="b">
        <v>0</v>
      </c>
      <c r="S429" s="51" t="b">
        <v>0</v>
      </c>
      <c r="T429" s="56"/>
    </row>
    <row r="430" hidden="1">
      <c r="A430" s="4" t="str">
        <f>IFERROR(__xludf.DUMMYFUNCTION("""COMPUTED_VALUE"""),"1340 - Channel")</f>
        <v>1340 - Channel</v>
      </c>
      <c r="B430" s="4" t="s">
        <v>16</v>
      </c>
      <c r="C430" s="4" t="s">
        <v>66</v>
      </c>
      <c r="D430" s="6">
        <v>0.5508333333333337</v>
      </c>
      <c r="E430" s="6">
        <v>3.4722222222222224E-4</v>
      </c>
      <c r="F430" s="6">
        <v>0.551180555555556</v>
      </c>
      <c r="G430" s="4" t="s">
        <v>151</v>
      </c>
      <c r="H430" s="4" t="s">
        <v>87</v>
      </c>
      <c r="I430" s="4" t="s">
        <v>525</v>
      </c>
      <c r="J430" s="4"/>
      <c r="K430" s="4"/>
      <c r="L430" s="4"/>
      <c r="M430" s="4"/>
      <c r="N430" s="4"/>
      <c r="O430" s="51" t="b">
        <v>0</v>
      </c>
      <c r="P430" s="51" t="b">
        <v>0</v>
      </c>
      <c r="Q430" s="51" t="b">
        <v>0</v>
      </c>
      <c r="R430" s="51" t="b">
        <v>0</v>
      </c>
      <c r="S430" s="51" t="b">
        <v>0</v>
      </c>
    </row>
    <row r="431">
      <c r="A431" s="56" t="str">
        <f>IFERROR(__xludf.DUMMYFUNCTION("""COMPUTED_VALUE"""),"448 - Channel")</f>
        <v>448 - Channel</v>
      </c>
      <c r="B431" s="56" t="s">
        <v>16</v>
      </c>
      <c r="C431" s="56" t="s">
        <v>66</v>
      </c>
      <c r="D431" s="57">
        <v>0.551180555555556</v>
      </c>
      <c r="E431" s="57">
        <v>1.7361111111111112E-4</v>
      </c>
      <c r="F431" s="57">
        <v>0.5513541666666671</v>
      </c>
      <c r="G431" s="56" t="s">
        <v>151</v>
      </c>
      <c r="H431" s="56" t="s">
        <v>77</v>
      </c>
      <c r="I431" s="56" t="s">
        <v>526</v>
      </c>
      <c r="J431" s="56"/>
      <c r="K431" s="56"/>
      <c r="L431" s="56"/>
      <c r="M431" s="56"/>
      <c r="N431" s="56" t="s">
        <v>70</v>
      </c>
      <c r="O431" s="51" t="b">
        <v>0</v>
      </c>
      <c r="P431" s="51" t="b">
        <v>0</v>
      </c>
      <c r="Q431" s="51" t="b">
        <v>0</v>
      </c>
      <c r="R431" s="51" t="b">
        <v>0</v>
      </c>
      <c r="S431" s="51" t="b">
        <v>0</v>
      </c>
      <c r="T431" s="56"/>
    </row>
    <row r="432" hidden="1">
      <c r="A432" s="4" t="str">
        <f>IFERROR(__xludf.DUMMYFUNCTION("""COMPUTED_VALUE"""),"449 - Channel")</f>
        <v>449 - Channel</v>
      </c>
      <c r="B432" s="4" t="s">
        <v>16</v>
      </c>
      <c r="C432" s="4" t="s">
        <v>66</v>
      </c>
      <c r="D432" s="6">
        <v>0.5513541666666671</v>
      </c>
      <c r="E432" s="6">
        <v>3.4722222222222224E-4</v>
      </c>
      <c r="F432" s="6">
        <v>0.5517013888888894</v>
      </c>
      <c r="G432" s="4" t="s">
        <v>151</v>
      </c>
      <c r="H432" s="4" t="s">
        <v>81</v>
      </c>
      <c r="I432" s="4" t="s">
        <v>81</v>
      </c>
      <c r="J432" s="4"/>
      <c r="K432" s="4"/>
      <c r="L432" s="4"/>
      <c r="M432" s="4"/>
      <c r="N432" s="4" t="s">
        <v>70</v>
      </c>
      <c r="O432" s="51" t="b">
        <v>0</v>
      </c>
      <c r="P432" s="51" t="b">
        <v>0</v>
      </c>
      <c r="Q432" s="51" t="b">
        <v>0</v>
      </c>
      <c r="R432" s="51" t="b">
        <v>0</v>
      </c>
      <c r="S432" s="51" t="b">
        <v>0</v>
      </c>
    </row>
    <row r="433">
      <c r="A433" s="4" t="str">
        <f>IFERROR(__xludf.DUMMYFUNCTION("""COMPUTED_VALUE"""),"450 - Channel")</f>
        <v>450 - Channel</v>
      </c>
      <c r="B433" s="4" t="s">
        <v>16</v>
      </c>
      <c r="C433" s="4" t="s">
        <v>66</v>
      </c>
      <c r="D433" s="6">
        <v>0.5517013888888894</v>
      </c>
      <c r="E433" s="6">
        <v>0.013888888888888888</v>
      </c>
      <c r="F433" s="6">
        <v>0.5655902777777783</v>
      </c>
      <c r="G433" s="4" t="s">
        <v>151</v>
      </c>
      <c r="H433" s="4" t="s">
        <v>107</v>
      </c>
      <c r="I433" s="4" t="s">
        <v>527</v>
      </c>
      <c r="J433" s="4" t="s">
        <v>528</v>
      </c>
      <c r="K433" s="4" t="s">
        <v>529</v>
      </c>
      <c r="L433" s="4"/>
      <c r="M433" s="4"/>
      <c r="N433" s="4" t="s">
        <v>214</v>
      </c>
      <c r="O433" s="51" t="b">
        <v>0</v>
      </c>
      <c r="P433" s="51" t="b">
        <v>0</v>
      </c>
      <c r="Q433" s="51" t="b">
        <v>0</v>
      </c>
      <c r="R433" s="51" t="b">
        <v>0</v>
      </c>
      <c r="S433" s="51" t="b">
        <v>0</v>
      </c>
    </row>
    <row r="434" hidden="1">
      <c r="A434" s="56" t="str">
        <f>IFERROR(__xludf.DUMMYFUNCTION("""COMPUTED_VALUE"""),"451 - Channel")</f>
        <v>451 - Channel</v>
      </c>
      <c r="B434" s="56" t="s">
        <v>16</v>
      </c>
      <c r="C434" s="56" t="s">
        <v>66</v>
      </c>
      <c r="D434" s="57">
        <v>0.5655902777777783</v>
      </c>
      <c r="E434" s="57">
        <v>1.7361111111111112E-4</v>
      </c>
      <c r="F434" s="57">
        <v>0.5657638888888894</v>
      </c>
      <c r="G434" s="56" t="s">
        <v>151</v>
      </c>
      <c r="H434" s="56" t="s">
        <v>85</v>
      </c>
      <c r="I434" s="56" t="s">
        <v>85</v>
      </c>
      <c r="J434" s="56"/>
      <c r="K434" s="56"/>
      <c r="L434" s="56"/>
      <c r="M434" s="56"/>
      <c r="N434" s="56" t="s">
        <v>70</v>
      </c>
      <c r="O434" s="51" t="b">
        <v>0</v>
      </c>
      <c r="P434" s="51" t="b">
        <v>0</v>
      </c>
      <c r="Q434" s="51" t="b">
        <v>0</v>
      </c>
      <c r="R434" s="51" t="b">
        <v>0</v>
      </c>
      <c r="S434" s="51" t="b">
        <v>0</v>
      </c>
      <c r="T434" s="56"/>
    </row>
    <row r="435" hidden="1">
      <c r="A435" s="4" t="str">
        <f>IFERROR(__xludf.DUMMYFUNCTION("""COMPUTED_VALUE"""),"452 - Channel")</f>
        <v>452 - Channel</v>
      </c>
      <c r="B435" s="4" t="s">
        <v>16</v>
      </c>
      <c r="C435" s="4" t="s">
        <v>66</v>
      </c>
      <c r="D435" s="6">
        <v>0.5657638888888894</v>
      </c>
      <c r="E435" s="6">
        <v>2.546296296296296E-4</v>
      </c>
      <c r="F435" s="6">
        <v>0.566018518518519</v>
      </c>
      <c r="G435" s="4" t="s">
        <v>151</v>
      </c>
      <c r="H435" s="4" t="s">
        <v>506</v>
      </c>
      <c r="I435" s="4" t="s">
        <v>530</v>
      </c>
      <c r="J435" s="4"/>
      <c r="K435" s="4"/>
      <c r="L435" s="4"/>
      <c r="M435" s="4"/>
      <c r="N435" s="4" t="s">
        <v>70</v>
      </c>
      <c r="O435" s="51" t="b">
        <v>0</v>
      </c>
      <c r="P435" s="51" t="b">
        <v>0</v>
      </c>
      <c r="Q435" s="51" t="b">
        <v>0</v>
      </c>
      <c r="R435" s="51" t="b">
        <v>0</v>
      </c>
      <c r="S435" s="51" t="b">
        <v>0</v>
      </c>
    </row>
    <row r="436" hidden="1">
      <c r="A436" s="56" t="str">
        <f>IFERROR(__xludf.DUMMYFUNCTION("""COMPUTED_VALUE"""),"453 - Channel")</f>
        <v>453 - Channel</v>
      </c>
      <c r="B436" s="56" t="s">
        <v>16</v>
      </c>
      <c r="C436" s="56" t="s">
        <v>66</v>
      </c>
      <c r="D436" s="57">
        <v>0.566018518518519</v>
      </c>
      <c r="E436" s="57">
        <v>3.4722222222222224E-4</v>
      </c>
      <c r="F436" s="57">
        <v>0.5663657407407413</v>
      </c>
      <c r="G436" s="56" t="s">
        <v>151</v>
      </c>
      <c r="H436" s="56" t="s">
        <v>89</v>
      </c>
      <c r="I436" s="56" t="s">
        <v>89</v>
      </c>
      <c r="J436" s="56"/>
      <c r="K436" s="56"/>
      <c r="L436" s="56"/>
      <c r="M436" s="56"/>
      <c r="N436" s="56" t="s">
        <v>70</v>
      </c>
      <c r="O436" s="51" t="b">
        <v>0</v>
      </c>
      <c r="P436" s="51" t="b">
        <v>0</v>
      </c>
      <c r="Q436" s="51" t="b">
        <v>0</v>
      </c>
      <c r="R436" s="51" t="b">
        <v>0</v>
      </c>
      <c r="S436" s="51" t="b">
        <v>0</v>
      </c>
      <c r="T436" s="56"/>
    </row>
    <row r="437">
      <c r="A437" s="4" t="str">
        <f>IFERROR(__xludf.DUMMYFUNCTION("""COMPUTED_VALUE"""),"454 - Channel")</f>
        <v>454 - Channel</v>
      </c>
      <c r="B437" s="4" t="s">
        <v>16</v>
      </c>
      <c r="C437" s="4" t="s">
        <v>66</v>
      </c>
      <c r="D437" s="6">
        <v>0.5663657407407413</v>
      </c>
      <c r="E437" s="6">
        <v>1.7361111111111112E-4</v>
      </c>
      <c r="F437" s="6">
        <v>0.5665393518518524</v>
      </c>
      <c r="G437" s="4" t="s">
        <v>151</v>
      </c>
      <c r="H437" s="4" t="s">
        <v>77</v>
      </c>
      <c r="I437" s="4" t="s">
        <v>531</v>
      </c>
      <c r="J437" s="4"/>
      <c r="K437" s="4"/>
      <c r="L437" s="4"/>
      <c r="M437" s="4"/>
      <c r="N437" s="4" t="s">
        <v>70</v>
      </c>
      <c r="O437" s="51" t="b">
        <v>0</v>
      </c>
      <c r="P437" s="51" t="b">
        <v>0</v>
      </c>
      <c r="Q437" s="51" t="b">
        <v>0</v>
      </c>
      <c r="R437" s="51" t="b">
        <v>0</v>
      </c>
      <c r="S437" s="51" t="b">
        <v>0</v>
      </c>
    </row>
    <row r="438" hidden="1">
      <c r="A438" s="56" t="str">
        <f>IFERROR(__xludf.DUMMYFUNCTION("""COMPUTED_VALUE"""),"455 - Channel")</f>
        <v>455 - Channel</v>
      </c>
      <c r="B438" s="56" t="s">
        <v>16</v>
      </c>
      <c r="C438" s="56" t="s">
        <v>66</v>
      </c>
      <c r="D438" s="57">
        <v>0.5665393518518524</v>
      </c>
      <c r="E438" s="57">
        <v>1.7361111111111112E-4</v>
      </c>
      <c r="F438" s="57">
        <v>0.5667129629629636</v>
      </c>
      <c r="G438" s="56" t="s">
        <v>151</v>
      </c>
      <c r="H438" s="56" t="s">
        <v>81</v>
      </c>
      <c r="I438" s="56" t="s">
        <v>81</v>
      </c>
      <c r="J438" s="56"/>
      <c r="K438" s="56"/>
      <c r="L438" s="56"/>
      <c r="M438" s="56"/>
      <c r="N438" s="56" t="s">
        <v>70</v>
      </c>
      <c r="O438" s="51" t="b">
        <v>0</v>
      </c>
      <c r="P438" s="51" t="b">
        <v>0</v>
      </c>
      <c r="Q438" s="51" t="b">
        <v>0</v>
      </c>
      <c r="R438" s="51" t="b">
        <v>0</v>
      </c>
      <c r="S438" s="51" t="b">
        <v>0</v>
      </c>
      <c r="T438" s="56"/>
    </row>
    <row r="439" hidden="1">
      <c r="A439" s="4" t="str">
        <f>IFERROR(__xludf.DUMMYFUNCTION("""COMPUTED_VALUE"""),"456 - Channel")</f>
        <v>456 - Channel</v>
      </c>
      <c r="B439" s="4" t="s">
        <v>16</v>
      </c>
      <c r="C439" s="4" t="s">
        <v>66</v>
      </c>
      <c r="D439" s="6">
        <v>0.5667129629629636</v>
      </c>
      <c r="E439" s="6">
        <v>0.010416666666666666</v>
      </c>
      <c r="F439" s="6">
        <v>0.5771296296296302</v>
      </c>
      <c r="G439" s="4" t="s">
        <v>151</v>
      </c>
      <c r="H439" s="4" t="s">
        <v>74</v>
      </c>
      <c r="I439" s="4" t="s">
        <v>532</v>
      </c>
      <c r="J439" s="4" t="s">
        <v>533</v>
      </c>
      <c r="K439" s="4" t="s">
        <v>534</v>
      </c>
      <c r="L439" s="4" t="s">
        <v>535</v>
      </c>
      <c r="M439" s="4"/>
      <c r="N439" s="4" t="s">
        <v>149</v>
      </c>
      <c r="O439" s="51" t="b">
        <v>0</v>
      </c>
      <c r="P439" s="51" t="b">
        <v>0</v>
      </c>
      <c r="Q439" s="51" t="b">
        <v>0</v>
      </c>
      <c r="R439" s="51" t="b">
        <v>0</v>
      </c>
      <c r="S439" s="51" t="b">
        <v>0</v>
      </c>
    </row>
    <row r="440" hidden="1">
      <c r="A440" s="56" t="str">
        <f>IFERROR(__xludf.DUMMYFUNCTION("""COMPUTED_VALUE"""),"458 - Channel")</f>
        <v>458 - Channel</v>
      </c>
      <c r="B440" s="56" t="s">
        <v>16</v>
      </c>
      <c r="C440" s="56" t="s">
        <v>66</v>
      </c>
      <c r="D440" s="57">
        <v>0.5771296296296302</v>
      </c>
      <c r="E440" s="57">
        <v>3.4722222222222224E-4</v>
      </c>
      <c r="F440" s="57">
        <v>0.5774768518518525</v>
      </c>
      <c r="G440" s="56" t="s">
        <v>151</v>
      </c>
      <c r="H440" s="56" t="s">
        <v>87</v>
      </c>
      <c r="I440" s="56" t="s">
        <v>525</v>
      </c>
      <c r="J440" s="56"/>
      <c r="K440" s="56"/>
      <c r="L440" s="56"/>
      <c r="M440" s="56"/>
      <c r="N440" s="56" t="s">
        <v>70</v>
      </c>
      <c r="O440" s="51" t="b">
        <v>0</v>
      </c>
      <c r="P440" s="51" t="b">
        <v>0</v>
      </c>
      <c r="Q440" s="51" t="b">
        <v>0</v>
      </c>
      <c r="R440" s="51" t="b">
        <v>0</v>
      </c>
      <c r="S440" s="51" t="b">
        <v>0</v>
      </c>
      <c r="T440" s="56"/>
    </row>
    <row r="441" hidden="1">
      <c r="A441" s="56" t="str">
        <f>IFERROR(__xludf.DUMMYFUNCTION("""COMPUTED_VALUE"""),"459 - Channel")</f>
        <v>459 - Channel</v>
      </c>
      <c r="B441" s="56" t="s">
        <v>16</v>
      </c>
      <c r="C441" s="56" t="s">
        <v>66</v>
      </c>
      <c r="D441" s="57">
        <v>0.5774768518518525</v>
      </c>
      <c r="E441" s="57">
        <v>2.0833333333333335E-4</v>
      </c>
      <c r="F441" s="57">
        <v>0.5776851851851859</v>
      </c>
      <c r="G441" s="56" t="s">
        <v>151</v>
      </c>
      <c r="H441" s="56" t="s">
        <v>506</v>
      </c>
      <c r="I441" s="56" t="s">
        <v>545</v>
      </c>
      <c r="J441" s="56"/>
      <c r="K441" s="56"/>
      <c r="L441" s="56"/>
      <c r="M441" s="56"/>
      <c r="N441" s="56" t="s">
        <v>70</v>
      </c>
      <c r="O441" s="51" t="b">
        <v>0</v>
      </c>
      <c r="P441" s="51" t="b">
        <v>0</v>
      </c>
      <c r="Q441" s="51" t="b">
        <v>0</v>
      </c>
      <c r="R441" s="51" t="b">
        <v>0</v>
      </c>
      <c r="S441" s="51" t="b">
        <v>0</v>
      </c>
      <c r="T441" s="56"/>
    </row>
    <row r="442">
      <c r="A442" s="4" t="str">
        <f>IFERROR(__xludf.DUMMYFUNCTION("""COMPUTED_VALUE"""),"460 - Channel")</f>
        <v>460 - Channel</v>
      </c>
      <c r="B442" s="4" t="s">
        <v>16</v>
      </c>
      <c r="C442" s="4" t="s">
        <v>66</v>
      </c>
      <c r="D442" s="6">
        <v>0.5776851851851859</v>
      </c>
      <c r="E442" s="6">
        <v>2.314814814814815E-4</v>
      </c>
      <c r="F442" s="6">
        <v>0.5779166666666673</v>
      </c>
      <c r="G442" s="4" t="s">
        <v>151</v>
      </c>
      <c r="H442" s="4" t="s">
        <v>506</v>
      </c>
      <c r="I442" s="4" t="s">
        <v>548</v>
      </c>
      <c r="J442" s="4"/>
      <c r="K442" s="4"/>
      <c r="L442" s="4"/>
      <c r="M442" s="4"/>
      <c r="N442" s="4" t="s">
        <v>70</v>
      </c>
      <c r="O442" s="51" t="b">
        <v>0</v>
      </c>
      <c r="P442" s="51" t="b">
        <v>0</v>
      </c>
      <c r="Q442" s="51" t="b">
        <v>0</v>
      </c>
      <c r="R442" s="51" t="b">
        <v>0</v>
      </c>
      <c r="S442" s="51" t="b">
        <v>0</v>
      </c>
    </row>
    <row r="443" hidden="1">
      <c r="A443" s="56" t="str">
        <f>IFERROR(__xludf.DUMMYFUNCTION("""COMPUTED_VALUE"""),"461 - Channel")</f>
        <v>461 - Channel</v>
      </c>
      <c r="B443" s="56" t="s">
        <v>16</v>
      </c>
      <c r="C443" s="56" t="s">
        <v>66</v>
      </c>
      <c r="D443" s="57">
        <v>0.5779166666666673</v>
      </c>
      <c r="E443" s="57">
        <v>3.4722222222222224E-4</v>
      </c>
      <c r="F443" s="57">
        <v>0.5782638888888896</v>
      </c>
      <c r="G443" s="56" t="s">
        <v>151</v>
      </c>
      <c r="H443" s="56" t="s">
        <v>81</v>
      </c>
      <c r="I443" s="56" t="s">
        <v>81</v>
      </c>
      <c r="J443" s="56"/>
      <c r="K443" s="56"/>
      <c r="L443" s="56"/>
      <c r="M443" s="56"/>
      <c r="N443" s="56" t="s">
        <v>70</v>
      </c>
      <c r="O443" s="51" t="b">
        <v>0</v>
      </c>
      <c r="P443" s="51" t="b">
        <v>0</v>
      </c>
      <c r="Q443" s="51" t="b">
        <v>0</v>
      </c>
      <c r="R443" s="51" t="b">
        <v>0</v>
      </c>
      <c r="S443" s="51" t="b">
        <v>0</v>
      </c>
      <c r="T443" s="56"/>
    </row>
    <row r="444" hidden="1">
      <c r="A444" s="56" t="str">
        <f>IFERROR(__xludf.DUMMYFUNCTION("""COMPUTED_VALUE"""),"462 - Channel")</f>
        <v>462 - Channel</v>
      </c>
      <c r="B444" s="56" t="s">
        <v>16</v>
      </c>
      <c r="C444" s="56" t="s">
        <v>66</v>
      </c>
      <c r="D444" s="57">
        <v>0.5782638888888896</v>
      </c>
      <c r="E444" s="57">
        <v>0.0021412037037037038</v>
      </c>
      <c r="F444" s="57">
        <v>0.5804050925925933</v>
      </c>
      <c r="G444" s="56" t="s">
        <v>151</v>
      </c>
      <c r="H444" s="56" t="s">
        <v>165</v>
      </c>
      <c r="I444" s="56" t="s">
        <v>549</v>
      </c>
      <c r="J444" s="56" t="s">
        <v>550</v>
      </c>
      <c r="K444" s="56"/>
      <c r="L444" s="56"/>
      <c r="M444" s="56"/>
      <c r="N444" s="56" t="s">
        <v>70</v>
      </c>
      <c r="O444" s="51" t="b">
        <v>0</v>
      </c>
      <c r="P444" s="51" t="b">
        <v>0</v>
      </c>
      <c r="Q444" s="51" t="b">
        <v>0</v>
      </c>
      <c r="R444" s="51" t="b">
        <v>0</v>
      </c>
      <c r="S444" s="51" t="b">
        <v>0</v>
      </c>
      <c r="T444" s="56"/>
    </row>
    <row r="445" hidden="1">
      <c r="A445" s="4" t="str">
        <f>IFERROR(__xludf.DUMMYFUNCTION("""COMPUTED_VALUE"""),"464 - Channel")</f>
        <v>464 - Channel</v>
      </c>
      <c r="B445" s="4" t="s">
        <v>16</v>
      </c>
      <c r="C445" s="4" t="s">
        <v>66</v>
      </c>
      <c r="D445" s="6">
        <v>0.5804050925925933</v>
      </c>
      <c r="E445" s="6">
        <v>1.7361111111111112E-4</v>
      </c>
      <c r="F445" s="6">
        <v>0.5805787037037045</v>
      </c>
      <c r="G445" s="4" t="s">
        <v>151</v>
      </c>
      <c r="H445" s="4" t="s">
        <v>77</v>
      </c>
      <c r="I445" s="4" t="s">
        <v>551</v>
      </c>
      <c r="J445" s="4"/>
      <c r="K445" s="4"/>
      <c r="L445" s="4"/>
      <c r="M445" s="4"/>
      <c r="N445" s="4" t="s">
        <v>70</v>
      </c>
      <c r="O445" s="51" t="b">
        <v>0</v>
      </c>
      <c r="P445" s="51" t="b">
        <v>0</v>
      </c>
      <c r="Q445" s="51" t="b">
        <v>0</v>
      </c>
      <c r="R445" s="51" t="b">
        <v>0</v>
      </c>
      <c r="S445" s="51" t="b">
        <v>0</v>
      </c>
    </row>
    <row r="446" hidden="1">
      <c r="A446" s="56" t="str">
        <f>IFERROR(__xludf.DUMMYFUNCTION("""COMPUTED_VALUE"""),"465 - Channel")</f>
        <v>465 - Channel</v>
      </c>
      <c r="B446" s="56" t="s">
        <v>16</v>
      </c>
      <c r="C446" s="56" t="s">
        <v>66</v>
      </c>
      <c r="D446" s="57">
        <v>0.5805787037037045</v>
      </c>
      <c r="E446" s="57">
        <v>3.4722222222222224E-4</v>
      </c>
      <c r="F446" s="57">
        <v>0.5809259259259267</v>
      </c>
      <c r="G446" s="56" t="s">
        <v>151</v>
      </c>
      <c r="H446" s="56" t="s">
        <v>506</v>
      </c>
      <c r="I446" s="56" t="s">
        <v>552</v>
      </c>
      <c r="J446" s="56"/>
      <c r="K446" s="56"/>
      <c r="L446" s="56"/>
      <c r="M446" s="56"/>
      <c r="N446" s="56" t="s">
        <v>70</v>
      </c>
      <c r="O446" s="51" t="b">
        <v>0</v>
      </c>
      <c r="P446" s="51" t="b">
        <v>0</v>
      </c>
      <c r="Q446" s="51" t="b">
        <v>0</v>
      </c>
      <c r="R446" s="51" t="b">
        <v>0</v>
      </c>
      <c r="S446" s="51" t="b">
        <v>0</v>
      </c>
      <c r="T446" s="56"/>
    </row>
    <row r="447">
      <c r="A447" s="56" t="str">
        <f>IFERROR(__xludf.DUMMYFUNCTION("""COMPUTED_VALUE"""),"467 - Channel")</f>
        <v>467 - Channel</v>
      </c>
      <c r="B447" s="56" t="s">
        <v>16</v>
      </c>
      <c r="C447" s="56" t="s">
        <v>66</v>
      </c>
      <c r="D447" s="57"/>
      <c r="E447" s="57"/>
      <c r="F447" s="57"/>
      <c r="G447" s="56"/>
      <c r="H447" s="56"/>
      <c r="I447" s="56"/>
      <c r="J447" s="56"/>
      <c r="K447" s="56"/>
      <c r="L447" s="56"/>
      <c r="M447" s="56"/>
      <c r="N447" s="56" t="s">
        <v>70</v>
      </c>
      <c r="O447" s="51" t="b">
        <v>0</v>
      </c>
      <c r="P447" s="51" t="b">
        <v>0</v>
      </c>
      <c r="Q447" s="51" t="b">
        <v>0</v>
      </c>
      <c r="R447" s="51" t="b">
        <v>0</v>
      </c>
      <c r="S447" s="51" t="b">
        <v>0</v>
      </c>
      <c r="T447" s="56"/>
    </row>
    <row r="448" hidden="1">
      <c r="A448" s="4" t="str">
        <f>IFERROR(__xludf.DUMMYFUNCTION("""COMPUTED_VALUE"""),"468 - Channel")</f>
        <v>468 - Channel</v>
      </c>
      <c r="B448" s="4" t="s">
        <v>16</v>
      </c>
      <c r="C448" s="4" t="s">
        <v>66</v>
      </c>
      <c r="D448" s="6">
        <v>0.5809259259259267</v>
      </c>
      <c r="E448" s="6">
        <v>3.4722222222222224E-4</v>
      </c>
      <c r="F448" s="6">
        <v>0.581273148148149</v>
      </c>
      <c r="G448" s="4" t="s">
        <v>93</v>
      </c>
      <c r="H448" s="4" t="s">
        <v>81</v>
      </c>
      <c r="I448" s="4" t="s">
        <v>81</v>
      </c>
      <c r="J448" s="4"/>
      <c r="K448" s="4"/>
      <c r="L448" s="4"/>
      <c r="M448" s="4"/>
      <c r="N448" s="4" t="s">
        <v>70</v>
      </c>
      <c r="O448" s="51" t="b">
        <v>0</v>
      </c>
      <c r="P448" s="51" t="b">
        <v>0</v>
      </c>
      <c r="Q448" s="51" t="b">
        <v>0</v>
      </c>
      <c r="R448" s="51" t="b">
        <v>0</v>
      </c>
      <c r="S448" s="51" t="b">
        <v>0</v>
      </c>
    </row>
    <row r="449">
      <c r="A449" s="56" t="str">
        <f>IFERROR(__xludf.DUMMYFUNCTION("""COMPUTED_VALUE"""),"469 - Channel")</f>
        <v>469 - Channel</v>
      </c>
      <c r="B449" s="56" t="s">
        <v>16</v>
      </c>
      <c r="C449" s="56" t="s">
        <v>66</v>
      </c>
      <c r="D449" s="57">
        <v>0.581273148148149</v>
      </c>
      <c r="E449" s="57">
        <v>0.01167824074074074</v>
      </c>
      <c r="F449" s="57">
        <v>0.5929513888888898</v>
      </c>
      <c r="G449" s="56" t="s">
        <v>93</v>
      </c>
      <c r="H449" s="56" t="s">
        <v>74</v>
      </c>
      <c r="I449" s="56" t="s">
        <v>553</v>
      </c>
      <c r="J449" s="56" t="s">
        <v>554</v>
      </c>
      <c r="K449" s="56" t="s">
        <v>555</v>
      </c>
      <c r="L449" s="56" t="s">
        <v>556</v>
      </c>
      <c r="M449" s="56"/>
      <c r="N449" s="56" t="s">
        <v>557</v>
      </c>
      <c r="O449" s="51" t="b">
        <v>0</v>
      </c>
      <c r="P449" s="51" t="b">
        <v>0</v>
      </c>
      <c r="Q449" s="51" t="b">
        <v>0</v>
      </c>
      <c r="R449" s="51" t="b">
        <v>0</v>
      </c>
      <c r="S449" s="51" t="b">
        <v>0</v>
      </c>
      <c r="T449" s="56"/>
    </row>
    <row r="450" hidden="1">
      <c r="A450" s="4" t="str">
        <f>IFERROR(__xludf.DUMMYFUNCTION("""COMPUTED_VALUE"""),"470 - Channel")</f>
        <v>470 - Channel</v>
      </c>
      <c r="B450" s="4" t="s">
        <v>16</v>
      </c>
      <c r="C450" s="4" t="s">
        <v>66</v>
      </c>
      <c r="D450" s="6">
        <v>0.5929513888888898</v>
      </c>
      <c r="E450" s="6">
        <v>1.7361111111111112E-4</v>
      </c>
      <c r="F450" s="6">
        <v>0.5931250000000009</v>
      </c>
      <c r="G450" s="4" t="s">
        <v>93</v>
      </c>
      <c r="H450" s="4" t="s">
        <v>85</v>
      </c>
      <c r="I450" s="4" t="s">
        <v>85</v>
      </c>
      <c r="J450" s="4"/>
      <c r="K450" s="4"/>
      <c r="L450" s="4"/>
      <c r="M450" s="4"/>
      <c r="N450" s="4" t="s">
        <v>70</v>
      </c>
      <c r="O450" s="51" t="b">
        <v>0</v>
      </c>
      <c r="P450" s="51" t="b">
        <v>0</v>
      </c>
      <c r="Q450" s="51" t="b">
        <v>0</v>
      </c>
      <c r="R450" s="51" t="b">
        <v>0</v>
      </c>
      <c r="S450" s="51" t="b">
        <v>0</v>
      </c>
    </row>
    <row r="451" hidden="1">
      <c r="A451" s="4" t="str">
        <f>IFERROR(__xludf.DUMMYFUNCTION("""COMPUTED_VALUE"""),"471 - Channel")</f>
        <v>471 - Channel</v>
      </c>
      <c r="B451" s="4" t="s">
        <v>16</v>
      </c>
      <c r="C451" s="4" t="s">
        <v>66</v>
      </c>
      <c r="D451" s="6">
        <v>0.5931250000000009</v>
      </c>
      <c r="E451" s="6">
        <v>3.4722222222222224E-4</v>
      </c>
      <c r="F451" s="6">
        <v>0.5934722222222232</v>
      </c>
      <c r="G451" s="4" t="s">
        <v>93</v>
      </c>
      <c r="H451" s="4" t="s">
        <v>89</v>
      </c>
      <c r="I451" s="4" t="s">
        <v>89</v>
      </c>
      <c r="J451" s="4"/>
      <c r="K451" s="4"/>
      <c r="L451" s="4"/>
      <c r="M451" s="4"/>
      <c r="N451" s="4" t="s">
        <v>70</v>
      </c>
      <c r="O451" s="51" t="b">
        <v>0</v>
      </c>
      <c r="P451" s="51" t="b">
        <v>0</v>
      </c>
      <c r="Q451" s="51" t="b">
        <v>0</v>
      </c>
      <c r="R451" s="51" t="b">
        <v>0</v>
      </c>
      <c r="S451" s="51" t="b">
        <v>0</v>
      </c>
    </row>
    <row r="452">
      <c r="A452" s="4" t="str">
        <f>IFERROR(__xludf.DUMMYFUNCTION("""COMPUTED_VALUE"""),"472 - Channel")</f>
        <v>472 - Channel</v>
      </c>
      <c r="B452" s="4" t="s">
        <v>16</v>
      </c>
      <c r="C452" s="4" t="s">
        <v>66</v>
      </c>
      <c r="D452" s="6">
        <v>0.5934722222222232</v>
      </c>
      <c r="E452" s="6">
        <v>3.4722222222222224E-4</v>
      </c>
      <c r="F452" s="6">
        <v>0.5938194444444455</v>
      </c>
      <c r="G452" s="4" t="s">
        <v>93</v>
      </c>
      <c r="H452" s="4" t="s">
        <v>511</v>
      </c>
      <c r="I452" s="4" t="s">
        <v>511</v>
      </c>
      <c r="J452" s="4"/>
      <c r="K452" s="4"/>
      <c r="L452" s="4"/>
      <c r="M452" s="4"/>
      <c r="N452" s="4" t="s">
        <v>70</v>
      </c>
      <c r="O452" s="51" t="b">
        <v>0</v>
      </c>
      <c r="P452" s="51" t="b">
        <v>0</v>
      </c>
      <c r="Q452" s="51" t="b">
        <v>0</v>
      </c>
      <c r="R452" s="51" t="b">
        <v>0</v>
      </c>
      <c r="S452" s="51" t="b">
        <v>0</v>
      </c>
    </row>
    <row r="453" hidden="1">
      <c r="A453" s="4" t="str">
        <f>IFERROR(__xludf.DUMMYFUNCTION("""COMPUTED_VALUE"""),"473 - Channel")</f>
        <v>473 - Channel</v>
      </c>
      <c r="B453" s="4" t="s">
        <v>16</v>
      </c>
      <c r="C453" s="4" t="s">
        <v>66</v>
      </c>
      <c r="D453" s="6">
        <v>0.5938194444444455</v>
      </c>
      <c r="E453" s="6">
        <v>3.4722222222222224E-4</v>
      </c>
      <c r="F453" s="6">
        <v>0.5941666666666677</v>
      </c>
      <c r="G453" s="4" t="s">
        <v>93</v>
      </c>
      <c r="H453" s="4" t="s">
        <v>81</v>
      </c>
      <c r="I453" s="4" t="s">
        <v>81</v>
      </c>
      <c r="J453" s="4"/>
      <c r="K453" s="4"/>
      <c r="L453" s="4"/>
      <c r="M453" s="4"/>
      <c r="N453" s="4" t="s">
        <v>70</v>
      </c>
      <c r="O453" s="51" t="b">
        <v>0</v>
      </c>
      <c r="P453" s="51" t="b">
        <v>0</v>
      </c>
      <c r="Q453" s="51" t="b">
        <v>0</v>
      </c>
      <c r="R453" s="51" t="b">
        <v>0</v>
      </c>
      <c r="S453" s="51" t="b">
        <v>0</v>
      </c>
    </row>
    <row r="454" hidden="1">
      <c r="A454" s="56" t="str">
        <f>IFERROR(__xludf.DUMMYFUNCTION("""COMPUTED_VALUE"""),"474 - Channel")</f>
        <v>474 - Channel</v>
      </c>
      <c r="B454" s="56" t="s">
        <v>16</v>
      </c>
      <c r="C454" s="56" t="s">
        <v>66</v>
      </c>
      <c r="D454" s="57">
        <v>0.5941666666666677</v>
      </c>
      <c r="E454" s="57">
        <v>0.008333333333333333</v>
      </c>
      <c r="F454" s="57">
        <v>0.602500000000001</v>
      </c>
      <c r="G454" s="56" t="s">
        <v>93</v>
      </c>
      <c r="H454" s="56" t="s">
        <v>94</v>
      </c>
      <c r="I454" s="56" t="s">
        <v>558</v>
      </c>
      <c r="J454" s="56" t="s">
        <v>559</v>
      </c>
      <c r="K454" s="56"/>
      <c r="L454" s="56"/>
      <c r="M454" s="56"/>
      <c r="N454" s="56" t="s">
        <v>560</v>
      </c>
      <c r="O454" s="51" t="b">
        <v>0</v>
      </c>
      <c r="P454" s="51" t="b">
        <v>0</v>
      </c>
      <c r="Q454" s="51" t="b">
        <v>0</v>
      </c>
      <c r="R454" s="51" t="b">
        <v>0</v>
      </c>
      <c r="S454" s="51" t="b">
        <v>0</v>
      </c>
      <c r="T454" s="56"/>
    </row>
    <row r="455">
      <c r="A455" s="4" t="str">
        <f>IFERROR(__xludf.DUMMYFUNCTION("""COMPUTED_VALUE"""),"476 - Channel")</f>
        <v>476 - Channel</v>
      </c>
      <c r="B455" s="4" t="s">
        <v>16</v>
      </c>
      <c r="C455" s="4" t="s">
        <v>66</v>
      </c>
      <c r="D455" s="6">
        <v>0.602500000000001</v>
      </c>
      <c r="E455" s="6">
        <v>3.4722222222222224E-4</v>
      </c>
      <c r="F455" s="6">
        <v>0.6028472222222233</v>
      </c>
      <c r="G455" s="4" t="s">
        <v>93</v>
      </c>
      <c r="H455" s="4" t="s">
        <v>87</v>
      </c>
      <c r="I455" s="4" t="s">
        <v>525</v>
      </c>
      <c r="J455" s="4"/>
      <c r="K455" s="4"/>
      <c r="L455" s="4"/>
      <c r="M455" s="4"/>
      <c r="N455" s="4" t="s">
        <v>70</v>
      </c>
      <c r="O455" s="51" t="b">
        <v>0</v>
      </c>
      <c r="P455" s="51" t="b">
        <v>0</v>
      </c>
      <c r="Q455" s="51" t="b">
        <v>0</v>
      </c>
      <c r="R455" s="51" t="b">
        <v>0</v>
      </c>
      <c r="S455" s="51" t="b">
        <v>0</v>
      </c>
    </row>
    <row r="456" hidden="1">
      <c r="A456" s="56" t="str">
        <f>IFERROR(__xludf.DUMMYFUNCTION("""COMPUTED_VALUE"""),"477 - Channel")</f>
        <v>477 - Channel</v>
      </c>
      <c r="B456" s="56" t="s">
        <v>16</v>
      </c>
      <c r="C456" s="56" t="s">
        <v>66</v>
      </c>
      <c r="D456" s="57">
        <v>0.6028472222222233</v>
      </c>
      <c r="E456" s="57">
        <v>3.4722222222222224E-4</v>
      </c>
      <c r="F456" s="57">
        <v>0.6031944444444456</v>
      </c>
      <c r="G456" s="56" t="s">
        <v>93</v>
      </c>
      <c r="H456" s="56" t="s">
        <v>81</v>
      </c>
      <c r="I456" s="56" t="s">
        <v>81</v>
      </c>
      <c r="J456" s="56"/>
      <c r="K456" s="56"/>
      <c r="L456" s="56"/>
      <c r="M456" s="56"/>
      <c r="N456" s="56" t="s">
        <v>70</v>
      </c>
      <c r="O456" s="51" t="b">
        <v>0</v>
      </c>
      <c r="P456" s="51" t="b">
        <v>0</v>
      </c>
      <c r="Q456" s="51" t="b">
        <v>0</v>
      </c>
      <c r="R456" s="51" t="b">
        <v>0</v>
      </c>
      <c r="S456" s="51" t="b">
        <v>0</v>
      </c>
      <c r="T456" s="56"/>
    </row>
    <row r="457">
      <c r="A457" s="4" t="str">
        <f>IFERROR(__xludf.DUMMYFUNCTION("""COMPUTED_VALUE"""),"478 - Channel")</f>
        <v>478 - Channel</v>
      </c>
      <c r="B457" s="4" t="s">
        <v>16</v>
      </c>
      <c r="C457" s="4" t="s">
        <v>66</v>
      </c>
      <c r="D457" s="6">
        <v>0.6031944444444456</v>
      </c>
      <c r="E457" s="6">
        <v>0.010347222222222223</v>
      </c>
      <c r="F457" s="6">
        <v>0.6135416666666678</v>
      </c>
      <c r="G457" s="4" t="s">
        <v>93</v>
      </c>
      <c r="H457" s="4" t="s">
        <v>74</v>
      </c>
      <c r="I457" s="4" t="s">
        <v>561</v>
      </c>
      <c r="J457" s="4" t="s">
        <v>433</v>
      </c>
      <c r="K457" s="4" t="s">
        <v>562</v>
      </c>
      <c r="L457" s="4" t="s">
        <v>149</v>
      </c>
      <c r="M457" s="4"/>
      <c r="N457" s="4" t="s">
        <v>563</v>
      </c>
      <c r="O457" s="51" t="b">
        <v>0</v>
      </c>
      <c r="P457" s="51" t="b">
        <v>0</v>
      </c>
      <c r="Q457" s="51" t="b">
        <v>0</v>
      </c>
      <c r="R457" s="51" t="b">
        <v>0</v>
      </c>
      <c r="S457" s="51" t="b">
        <v>0</v>
      </c>
    </row>
    <row r="458" hidden="1">
      <c r="A458" s="56" t="str">
        <f>IFERROR(__xludf.DUMMYFUNCTION("""COMPUTED_VALUE"""),"480 - Channel")</f>
        <v>480 - Channel</v>
      </c>
      <c r="B458" s="56" t="s">
        <v>16</v>
      </c>
      <c r="C458" s="56" t="s">
        <v>66</v>
      </c>
      <c r="D458" s="57">
        <v>0.6135416666666678</v>
      </c>
      <c r="E458" s="57">
        <v>3.4722222222222224E-4</v>
      </c>
      <c r="F458" s="57">
        <v>0.61388888888889</v>
      </c>
      <c r="G458" s="56" t="s">
        <v>93</v>
      </c>
      <c r="H458" s="56" t="s">
        <v>81</v>
      </c>
      <c r="I458" s="56" t="s">
        <v>81</v>
      </c>
      <c r="J458" s="56"/>
      <c r="K458" s="56"/>
      <c r="L458" s="56"/>
      <c r="M458" s="56"/>
      <c r="N458" s="56" t="s">
        <v>70</v>
      </c>
      <c r="O458" s="51" t="b">
        <v>0</v>
      </c>
      <c r="P458" s="51" t="b">
        <v>0</v>
      </c>
      <c r="Q458" s="51" t="b">
        <v>0</v>
      </c>
      <c r="R458" s="51" t="b">
        <v>0</v>
      </c>
      <c r="S458" s="51" t="b">
        <v>0</v>
      </c>
      <c r="T458" s="56"/>
    </row>
    <row r="459" hidden="1">
      <c r="A459" s="4" t="str">
        <f>IFERROR(__xludf.DUMMYFUNCTION("""COMPUTED_VALUE"""),"481 - Channel")</f>
        <v>481 - Channel</v>
      </c>
      <c r="B459" s="4" t="s">
        <v>16</v>
      </c>
      <c r="C459" s="4" t="s">
        <v>66</v>
      </c>
      <c r="D459" s="6">
        <v>0.61388888888889</v>
      </c>
      <c r="E459" s="6">
        <v>0.007615740740740741</v>
      </c>
      <c r="F459" s="6">
        <v>0.6215046296296308</v>
      </c>
      <c r="G459" s="4" t="s">
        <v>93</v>
      </c>
      <c r="H459" s="4" t="s">
        <v>107</v>
      </c>
      <c r="I459" s="4" t="s">
        <v>564</v>
      </c>
      <c r="J459" s="4" t="s">
        <v>565</v>
      </c>
      <c r="K459" s="4" t="s">
        <v>566</v>
      </c>
      <c r="L459" s="4"/>
      <c r="M459" s="4"/>
      <c r="N459" s="4" t="s">
        <v>567</v>
      </c>
      <c r="O459" s="51" t="b">
        <v>0</v>
      </c>
      <c r="P459" s="51" t="b">
        <v>0</v>
      </c>
      <c r="Q459" s="51" t="b">
        <v>0</v>
      </c>
      <c r="R459" s="51" t="b">
        <v>0</v>
      </c>
      <c r="S459" s="51" t="b">
        <v>0</v>
      </c>
    </row>
    <row r="460" hidden="1">
      <c r="A460" s="56" t="str">
        <f>IFERROR(__xludf.DUMMYFUNCTION("""COMPUTED_VALUE"""),"483 - Channel")</f>
        <v>483 - Channel</v>
      </c>
      <c r="B460" s="56" t="s">
        <v>16</v>
      </c>
      <c r="C460" s="56" t="s">
        <v>66</v>
      </c>
      <c r="D460" s="57">
        <v>0.6215046296296308</v>
      </c>
      <c r="E460" s="57">
        <v>3.4722222222222224E-4</v>
      </c>
      <c r="F460" s="57">
        <v>0.6218518518518531</v>
      </c>
      <c r="G460" s="56" t="s">
        <v>93</v>
      </c>
      <c r="H460" s="56" t="s">
        <v>89</v>
      </c>
      <c r="I460" s="56" t="s">
        <v>89</v>
      </c>
      <c r="J460" s="56"/>
      <c r="K460" s="56"/>
      <c r="L460" s="56"/>
      <c r="M460" s="56"/>
      <c r="N460" s="56" t="s">
        <v>70</v>
      </c>
      <c r="O460" s="51" t="b">
        <v>0</v>
      </c>
      <c r="P460" s="51" t="b">
        <v>0</v>
      </c>
      <c r="Q460" s="51" t="b">
        <v>0</v>
      </c>
      <c r="R460" s="51" t="b">
        <v>0</v>
      </c>
      <c r="S460" s="51" t="b">
        <v>0</v>
      </c>
      <c r="T460" s="56"/>
    </row>
    <row r="461">
      <c r="A461" s="56" t="str">
        <f>IFERROR(__xludf.DUMMYFUNCTION("""COMPUTED_VALUE"""),"484 - Channel")</f>
        <v>484 - Channel</v>
      </c>
      <c r="B461" s="56" t="s">
        <v>16</v>
      </c>
      <c r="C461" s="56" t="s">
        <v>66</v>
      </c>
      <c r="D461" s="57"/>
      <c r="E461" s="57"/>
      <c r="F461" s="57"/>
      <c r="G461" s="56"/>
      <c r="H461" s="56"/>
      <c r="I461" s="56"/>
      <c r="J461" s="56"/>
      <c r="K461" s="56"/>
      <c r="L461" s="56"/>
      <c r="M461" s="56"/>
      <c r="N461" s="56" t="s">
        <v>70</v>
      </c>
      <c r="O461" s="51" t="b">
        <v>0</v>
      </c>
      <c r="P461" s="51" t="b">
        <v>0</v>
      </c>
      <c r="Q461" s="51" t="b">
        <v>0</v>
      </c>
      <c r="R461" s="51" t="b">
        <v>0</v>
      </c>
      <c r="S461" s="51" t="b">
        <v>0</v>
      </c>
      <c r="T461" s="56"/>
    </row>
    <row r="462" hidden="1">
      <c r="A462" s="4" t="str">
        <f>IFERROR(__xludf.DUMMYFUNCTION("""COMPUTED_VALUE"""),"485 - Channel")</f>
        <v>485 - Channel</v>
      </c>
      <c r="B462" s="4" t="s">
        <v>16</v>
      </c>
      <c r="C462" s="4" t="s">
        <v>66</v>
      </c>
      <c r="D462" s="6">
        <v>0.6218518518518531</v>
      </c>
      <c r="E462" s="6">
        <v>3.4722222222222224E-4</v>
      </c>
      <c r="F462" s="6">
        <v>0.6221990740740754</v>
      </c>
      <c r="G462" s="4" t="s">
        <v>481</v>
      </c>
      <c r="H462" s="4" t="s">
        <v>81</v>
      </c>
      <c r="I462" s="4" t="s">
        <v>81</v>
      </c>
      <c r="J462" s="4"/>
      <c r="K462" s="4"/>
      <c r="L462" s="4"/>
      <c r="M462" s="4"/>
      <c r="N462" s="4" t="s">
        <v>70</v>
      </c>
      <c r="O462" s="51" t="b">
        <v>0</v>
      </c>
      <c r="P462" s="51" t="b">
        <v>0</v>
      </c>
      <c r="Q462" s="51" t="b">
        <v>0</v>
      </c>
      <c r="R462" s="51" t="b">
        <v>0</v>
      </c>
      <c r="S462" s="51" t="b">
        <v>0</v>
      </c>
    </row>
    <row r="463">
      <c r="A463" s="56" t="str">
        <f>IFERROR(__xludf.DUMMYFUNCTION("""COMPUTED_VALUE"""),"486 - Channel")</f>
        <v>486 - Channel</v>
      </c>
      <c r="B463" s="56" t="s">
        <v>16</v>
      </c>
      <c r="C463" s="56" t="s">
        <v>66</v>
      </c>
      <c r="D463" s="57">
        <v>0.6221990740740754</v>
      </c>
      <c r="E463" s="57">
        <v>0.012152777777777778</v>
      </c>
      <c r="F463" s="57">
        <v>0.6343518518518532</v>
      </c>
      <c r="G463" s="56" t="s">
        <v>481</v>
      </c>
      <c r="H463" s="56" t="s">
        <v>74</v>
      </c>
      <c r="I463" s="56" t="s">
        <v>568</v>
      </c>
      <c r="J463" s="56" t="s">
        <v>569</v>
      </c>
      <c r="K463" s="56" t="s">
        <v>570</v>
      </c>
      <c r="L463" s="56" t="s">
        <v>571</v>
      </c>
      <c r="M463" s="56"/>
      <c r="N463" s="56" t="s">
        <v>572</v>
      </c>
      <c r="O463" s="51" t="b">
        <v>0</v>
      </c>
      <c r="P463" s="51" t="b">
        <v>0</v>
      </c>
      <c r="Q463" s="51" t="b">
        <v>0</v>
      </c>
      <c r="R463" s="51" t="b">
        <v>0</v>
      </c>
      <c r="S463" s="51" t="b">
        <v>0</v>
      </c>
      <c r="T463" s="56"/>
    </row>
    <row r="464" hidden="1">
      <c r="A464" s="56" t="str">
        <f>IFERROR(__xludf.DUMMYFUNCTION("""COMPUTED_VALUE"""),"487 - Channel")</f>
        <v>487 - Channel</v>
      </c>
      <c r="B464" s="56" t="s">
        <v>16</v>
      </c>
      <c r="C464" s="56" t="s">
        <v>66</v>
      </c>
      <c r="D464" s="57">
        <v>0.6343518518518532</v>
      </c>
      <c r="E464" s="57">
        <v>1.7361111111111112E-4</v>
      </c>
      <c r="F464" s="57">
        <v>0.6345254629629643</v>
      </c>
      <c r="G464" s="56" t="s">
        <v>481</v>
      </c>
      <c r="H464" s="56" t="s">
        <v>85</v>
      </c>
      <c r="I464" s="56" t="s">
        <v>85</v>
      </c>
      <c r="J464" s="56"/>
      <c r="K464" s="56"/>
      <c r="L464" s="56"/>
      <c r="M464" s="56"/>
      <c r="N464" s="56" t="s">
        <v>70</v>
      </c>
      <c r="O464" s="51" t="b">
        <v>0</v>
      </c>
      <c r="P464" s="51" t="b">
        <v>0</v>
      </c>
      <c r="Q464" s="51" t="b">
        <v>0</v>
      </c>
      <c r="R464" s="51" t="b">
        <v>0</v>
      </c>
      <c r="S464" s="51" t="b">
        <v>0</v>
      </c>
      <c r="T464" s="56"/>
    </row>
    <row r="465" hidden="1">
      <c r="A465" s="4" t="str">
        <f>IFERROR(__xludf.DUMMYFUNCTION("""COMPUTED_VALUE"""),"488 - Channel")</f>
        <v>488 - Channel</v>
      </c>
      <c r="B465" s="4" t="s">
        <v>16</v>
      </c>
      <c r="C465" s="4" t="s">
        <v>66</v>
      </c>
      <c r="D465" s="6">
        <v>0.6345254629629643</v>
      </c>
      <c r="E465" s="6">
        <v>1.7361111111111112E-4</v>
      </c>
      <c r="F465" s="6">
        <v>0.6346990740740754</v>
      </c>
      <c r="G465" s="4" t="s">
        <v>481</v>
      </c>
      <c r="H465" s="4" t="s">
        <v>77</v>
      </c>
      <c r="I465" s="4" t="s">
        <v>573</v>
      </c>
      <c r="J465" s="4"/>
      <c r="K465" s="4"/>
      <c r="L465" s="4"/>
      <c r="M465" s="4"/>
      <c r="N465" s="4" t="s">
        <v>70</v>
      </c>
      <c r="O465" s="51" t="b">
        <v>0</v>
      </c>
      <c r="P465" s="51" t="b">
        <v>0</v>
      </c>
      <c r="Q465" s="51" t="b">
        <v>0</v>
      </c>
      <c r="R465" s="51" t="b">
        <v>0</v>
      </c>
      <c r="S465" s="51" t="b">
        <v>0</v>
      </c>
    </row>
    <row r="466">
      <c r="A466" s="56" t="str">
        <f>IFERROR(__xludf.DUMMYFUNCTION("""COMPUTED_VALUE"""),"398 - Channel")</f>
        <v>398 - Channel</v>
      </c>
      <c r="B466" s="56" t="s">
        <v>16</v>
      </c>
      <c r="C466" s="56" t="s">
        <v>66</v>
      </c>
      <c r="D466" s="57">
        <v>0.6346990740740754</v>
      </c>
      <c r="E466" s="57">
        <v>3.4722222222222224E-4</v>
      </c>
      <c r="F466" s="57">
        <v>0.6350462962962977</v>
      </c>
      <c r="G466" s="56" t="s">
        <v>195</v>
      </c>
      <c r="H466" s="56" t="s">
        <v>511</v>
      </c>
      <c r="I466" s="56" t="s">
        <v>511</v>
      </c>
      <c r="J466" s="56"/>
      <c r="K466" s="56"/>
      <c r="L466" s="56"/>
      <c r="M466" s="56"/>
      <c r="N466" s="56" t="s">
        <v>70</v>
      </c>
      <c r="O466" s="51" t="b">
        <v>0</v>
      </c>
      <c r="P466" s="51" t="b">
        <v>0</v>
      </c>
      <c r="Q466" s="51" t="b">
        <v>0</v>
      </c>
      <c r="R466" s="51" t="b">
        <v>0</v>
      </c>
      <c r="S466" s="51" t="b">
        <v>0</v>
      </c>
      <c r="T466" s="56"/>
    </row>
    <row r="467" hidden="1">
      <c r="A467" s="4" t="str">
        <f>IFERROR(__xludf.DUMMYFUNCTION("""COMPUTED_VALUE"""),"402 - Channel")</f>
        <v>402 - Channel</v>
      </c>
      <c r="B467" s="4" t="s">
        <v>16</v>
      </c>
      <c r="C467" s="4" t="s">
        <v>66</v>
      </c>
      <c r="D467" s="6">
        <v>0.6346990740740754</v>
      </c>
      <c r="E467" s="6">
        <v>3.4722222222222224E-4</v>
      </c>
      <c r="F467" s="6">
        <v>0.6350462962962977</v>
      </c>
      <c r="G467" s="4" t="s">
        <v>481</v>
      </c>
      <c r="H467" s="4" t="s">
        <v>81</v>
      </c>
      <c r="I467" s="4" t="s">
        <v>81</v>
      </c>
      <c r="J467" s="4"/>
      <c r="K467" s="4"/>
      <c r="L467" s="4"/>
      <c r="M467" s="4"/>
      <c r="N467" s="4" t="s">
        <v>70</v>
      </c>
      <c r="O467" s="51" t="b">
        <v>0</v>
      </c>
      <c r="P467" s="51" t="b">
        <v>0</v>
      </c>
      <c r="Q467" s="51" t="b">
        <v>0</v>
      </c>
      <c r="R467" s="51" t="b">
        <v>0</v>
      </c>
      <c r="S467" s="51" t="b">
        <v>0</v>
      </c>
    </row>
    <row r="468">
      <c r="A468" s="56" t="str">
        <f>IFERROR(__xludf.DUMMYFUNCTION("""COMPUTED_VALUE"""),"403 - Channel")</f>
        <v>403 - Channel</v>
      </c>
      <c r="B468" s="56" t="s">
        <v>16</v>
      </c>
      <c r="C468" s="56" t="s">
        <v>66</v>
      </c>
      <c r="D468" s="57">
        <v>0.6350462962962977</v>
      </c>
      <c r="E468" s="57">
        <v>0.013888888888888888</v>
      </c>
      <c r="F468" s="57">
        <v>0.6489351851851866</v>
      </c>
      <c r="G468" s="56" t="s">
        <v>481</v>
      </c>
      <c r="H468" s="56" t="s">
        <v>107</v>
      </c>
      <c r="I468" s="56" t="s">
        <v>574</v>
      </c>
      <c r="J468" s="56" t="s">
        <v>575</v>
      </c>
      <c r="K468" s="56" t="s">
        <v>576</v>
      </c>
      <c r="L468" s="56"/>
      <c r="M468" s="56"/>
      <c r="N468" s="56" t="s">
        <v>577</v>
      </c>
      <c r="O468" s="51" t="b">
        <v>0</v>
      </c>
      <c r="P468" s="51" t="b">
        <v>0</v>
      </c>
      <c r="Q468" s="51" t="b">
        <v>0</v>
      </c>
      <c r="R468" s="51" t="b">
        <v>0</v>
      </c>
      <c r="S468" s="51" t="b">
        <v>0</v>
      </c>
      <c r="T468" s="56"/>
    </row>
    <row r="469" hidden="1">
      <c r="A469" s="4" t="str">
        <f>IFERROR(__xludf.DUMMYFUNCTION("""COMPUTED_VALUE"""),"399 - Channel")</f>
        <v>399 - Channel</v>
      </c>
      <c r="B469" s="4" t="s">
        <v>16</v>
      </c>
      <c r="C469" s="4" t="s">
        <v>66</v>
      </c>
      <c r="D469" s="6">
        <v>0.6489351851851866</v>
      </c>
      <c r="E469" s="6">
        <v>3.4722222222222224E-4</v>
      </c>
      <c r="F469" s="6">
        <v>0.6492824074074088</v>
      </c>
      <c r="G469" s="4" t="s">
        <v>195</v>
      </c>
      <c r="H469" s="4" t="s">
        <v>81</v>
      </c>
      <c r="I469" s="4" t="s">
        <v>81</v>
      </c>
      <c r="J469" s="4"/>
      <c r="K469" s="4"/>
      <c r="L469" s="4"/>
      <c r="M469" s="4"/>
      <c r="N469" s="4" t="s">
        <v>70</v>
      </c>
      <c r="O469" s="51" t="b">
        <v>0</v>
      </c>
      <c r="P469" s="51" t="b">
        <v>0</v>
      </c>
      <c r="Q469" s="51" t="b">
        <v>0</v>
      </c>
      <c r="R469" s="51" t="b">
        <v>0</v>
      </c>
      <c r="S469" s="51" t="b">
        <v>0</v>
      </c>
    </row>
    <row r="470">
      <c r="A470" s="56" t="str">
        <f>IFERROR(__xludf.DUMMYFUNCTION("""COMPUTED_VALUE"""),"400 - Channel")</f>
        <v>400 - Channel</v>
      </c>
      <c r="B470" s="56" t="s">
        <v>16</v>
      </c>
      <c r="C470" s="56" t="s">
        <v>66</v>
      </c>
      <c r="D470" s="57">
        <v>0.6492824074074088</v>
      </c>
      <c r="E470" s="57">
        <v>0.008356481481481482</v>
      </c>
      <c r="F470" s="57">
        <v>0.6576388888888903</v>
      </c>
      <c r="G470" s="56" t="s">
        <v>195</v>
      </c>
      <c r="H470" s="56" t="s">
        <v>165</v>
      </c>
      <c r="I470" s="56" t="s">
        <v>578</v>
      </c>
      <c r="J470" s="56" t="s">
        <v>579</v>
      </c>
      <c r="K470" s="56"/>
      <c r="L470" s="56"/>
      <c r="M470" s="56"/>
      <c r="N470" s="56" t="s">
        <v>70</v>
      </c>
      <c r="O470" s="51" t="b">
        <v>0</v>
      </c>
      <c r="P470" s="51" t="b">
        <v>0</v>
      </c>
      <c r="Q470" s="51" t="b">
        <v>0</v>
      </c>
      <c r="R470" s="51" t="b">
        <v>0</v>
      </c>
      <c r="S470" s="51" t="b">
        <v>0</v>
      </c>
      <c r="T470" s="56"/>
    </row>
    <row r="471" hidden="1">
      <c r="A471" s="4" t="str">
        <f>IFERROR(__xludf.DUMMYFUNCTION("""COMPUTED_VALUE"""),"401 - Channel")</f>
        <v>401 - Channel</v>
      </c>
      <c r="B471" s="4" t="s">
        <v>16</v>
      </c>
      <c r="C471" s="4" t="s">
        <v>66</v>
      </c>
      <c r="D471" s="6">
        <v>0.6576388888888903</v>
      </c>
      <c r="E471" s="6">
        <v>1.7361111111111112E-4</v>
      </c>
      <c r="F471" s="6">
        <v>0.6578125000000015</v>
      </c>
      <c r="G471" s="4" t="s">
        <v>195</v>
      </c>
      <c r="H471" s="4" t="s">
        <v>85</v>
      </c>
      <c r="I471" s="4" t="s">
        <v>580</v>
      </c>
      <c r="J471" s="4"/>
      <c r="K471" s="4"/>
      <c r="L471" s="4"/>
      <c r="M471" s="4"/>
      <c r="N471" s="4" t="s">
        <v>70</v>
      </c>
      <c r="O471" s="51" t="b">
        <v>0</v>
      </c>
      <c r="P471" s="51" t="b">
        <v>0</v>
      </c>
      <c r="Q471" s="51" t="b">
        <v>0</v>
      </c>
      <c r="R471" s="51" t="b">
        <v>0</v>
      </c>
      <c r="S471" s="51" t="b">
        <v>0</v>
      </c>
    </row>
    <row r="472" hidden="1">
      <c r="A472" s="4" t="str">
        <f>IFERROR(__xludf.DUMMYFUNCTION("""COMPUTED_VALUE"""),"492 - Channel")</f>
        <v>492 - Channel</v>
      </c>
      <c r="B472" s="4" t="s">
        <v>16</v>
      </c>
      <c r="C472" s="4" t="s">
        <v>66</v>
      </c>
      <c r="D472" s="6">
        <v>0.6578125000000015</v>
      </c>
      <c r="E472" s="6">
        <v>1.7361111111111112E-4</v>
      </c>
      <c r="F472" s="6">
        <v>0.6579861111111126</v>
      </c>
      <c r="G472" s="4" t="s">
        <v>481</v>
      </c>
      <c r="H472" s="4" t="s">
        <v>77</v>
      </c>
      <c r="I472" s="4" t="s">
        <v>581</v>
      </c>
      <c r="J472" s="4"/>
      <c r="K472" s="4"/>
      <c r="L472" s="4"/>
      <c r="M472" s="4"/>
      <c r="N472" s="4" t="s">
        <v>70</v>
      </c>
      <c r="O472" s="51" t="b">
        <v>0</v>
      </c>
      <c r="P472" s="51" t="b">
        <v>0</v>
      </c>
      <c r="Q472" s="51" t="b">
        <v>0</v>
      </c>
      <c r="R472" s="51" t="b">
        <v>0</v>
      </c>
      <c r="S472" s="51" t="b">
        <v>0</v>
      </c>
    </row>
    <row r="473">
      <c r="A473" s="56" t="str">
        <f>IFERROR(__xludf.DUMMYFUNCTION("""COMPUTED_VALUE"""),"1449 - Channel")</f>
        <v>1449 - Channel</v>
      </c>
      <c r="B473" s="56" t="s">
        <v>16</v>
      </c>
      <c r="C473" s="56" t="s">
        <v>66</v>
      </c>
      <c r="D473" s="57">
        <v>0.6579861111111126</v>
      </c>
      <c r="E473" s="57">
        <v>3.4722222222222224E-4</v>
      </c>
      <c r="F473" s="57">
        <v>0.6583333333333349</v>
      </c>
      <c r="G473" s="56" t="s">
        <v>481</v>
      </c>
      <c r="H473" s="56" t="s">
        <v>89</v>
      </c>
      <c r="I473" s="56" t="s">
        <v>582</v>
      </c>
      <c r="J473" s="56"/>
      <c r="K473" s="56"/>
      <c r="L473" s="56"/>
      <c r="M473" s="56"/>
      <c r="N473" s="56"/>
      <c r="O473" s="51" t="b">
        <v>0</v>
      </c>
      <c r="P473" s="51" t="b">
        <v>0</v>
      </c>
      <c r="Q473" s="51" t="b">
        <v>0</v>
      </c>
      <c r="R473" s="51" t="b">
        <v>0</v>
      </c>
      <c r="S473" s="51" t="b">
        <v>0</v>
      </c>
      <c r="T473" s="56"/>
    </row>
    <row r="474" hidden="1">
      <c r="A474" s="4" t="str">
        <f>IFERROR(__xludf.DUMMYFUNCTION("""COMPUTED_VALUE"""),"496 - Channel")</f>
        <v>496 - Channel</v>
      </c>
      <c r="B474" s="4" t="s">
        <v>16</v>
      </c>
      <c r="C474" s="4" t="s">
        <v>66</v>
      </c>
      <c r="D474" s="6">
        <v>0.6583333333333349</v>
      </c>
      <c r="E474" s="6">
        <v>3.4722222222222224E-4</v>
      </c>
      <c r="F474" s="6">
        <v>0.6586805555555572</v>
      </c>
      <c r="G474" s="4" t="s">
        <v>481</v>
      </c>
      <c r="H474" s="4" t="s">
        <v>81</v>
      </c>
      <c r="I474" s="4" t="s">
        <v>81</v>
      </c>
      <c r="J474" s="4"/>
      <c r="K474" s="4"/>
      <c r="L474" s="4"/>
      <c r="M474" s="4"/>
      <c r="N474" s="4" t="s">
        <v>70</v>
      </c>
      <c r="O474" s="51" t="b">
        <v>0</v>
      </c>
      <c r="P474" s="51" t="b">
        <v>0</v>
      </c>
      <c r="Q474" s="51" t="b">
        <v>0</v>
      </c>
      <c r="R474" s="51" t="b">
        <v>0</v>
      </c>
      <c r="S474" s="51" t="b">
        <v>0</v>
      </c>
    </row>
    <row r="475" hidden="1">
      <c r="A475" s="56" t="str">
        <f>IFERROR(__xludf.DUMMYFUNCTION("""COMPUTED_VALUE"""),"497 - Channel")</f>
        <v>497 - Channel</v>
      </c>
      <c r="B475" s="56" t="s">
        <v>16</v>
      </c>
      <c r="C475" s="56" t="s">
        <v>66</v>
      </c>
      <c r="D475" s="57">
        <v>0.6586805555555572</v>
      </c>
      <c r="E475" s="57">
        <v>0.005555555555555556</v>
      </c>
      <c r="F475" s="57">
        <v>0.6642361111111127</v>
      </c>
      <c r="G475" s="56" t="s">
        <v>481</v>
      </c>
      <c r="H475" s="56" t="s">
        <v>165</v>
      </c>
      <c r="I475" s="56" t="s">
        <v>583</v>
      </c>
      <c r="J475" s="56" t="s">
        <v>584</v>
      </c>
      <c r="K475" s="56"/>
      <c r="L475" s="56"/>
      <c r="M475" s="56"/>
      <c r="N475" s="56" t="s">
        <v>70</v>
      </c>
      <c r="O475" s="51" t="b">
        <v>0</v>
      </c>
      <c r="P475" s="51" t="b">
        <v>0</v>
      </c>
      <c r="Q475" s="51" t="b">
        <v>0</v>
      </c>
      <c r="R475" s="51" t="b">
        <v>0</v>
      </c>
      <c r="S475" s="51" t="b">
        <v>0</v>
      </c>
      <c r="T475" s="56"/>
    </row>
    <row r="476">
      <c r="A476" s="4" t="str">
        <f>IFERROR(__xludf.DUMMYFUNCTION("""COMPUTED_VALUE"""),"499 - Channel")</f>
        <v>499 - Channel</v>
      </c>
      <c r="B476" s="4" t="s">
        <v>16</v>
      </c>
      <c r="C476" s="4" t="s">
        <v>66</v>
      </c>
      <c r="D476" s="6"/>
      <c r="E476" s="6"/>
      <c r="F476" s="6"/>
      <c r="G476" s="4"/>
      <c r="H476" s="4"/>
      <c r="I476" s="4"/>
      <c r="J476" s="4"/>
      <c r="K476" s="4"/>
      <c r="L476" s="4"/>
      <c r="M476" s="4"/>
      <c r="N476" s="4" t="s">
        <v>70</v>
      </c>
      <c r="O476" s="51" t="b">
        <v>0</v>
      </c>
      <c r="P476" s="51" t="b">
        <v>0</v>
      </c>
      <c r="Q476" s="51" t="b">
        <v>0</v>
      </c>
      <c r="R476" s="51" t="b">
        <v>0</v>
      </c>
      <c r="S476" s="51" t="b">
        <v>0</v>
      </c>
    </row>
    <row r="477" hidden="1">
      <c r="A477" s="56" t="str">
        <f>IFERROR(__xludf.DUMMYFUNCTION("""COMPUTED_VALUE"""),"501 - Channel")</f>
        <v>501 - Channel</v>
      </c>
      <c r="B477" s="56" t="s">
        <v>16</v>
      </c>
      <c r="C477" s="56" t="s">
        <v>66</v>
      </c>
      <c r="D477" s="57">
        <v>0.6642361111111127</v>
      </c>
      <c r="E477" s="57">
        <v>3.4722222222222224E-4</v>
      </c>
      <c r="F477" s="57">
        <v>0.664583333333335</v>
      </c>
      <c r="G477" s="56" t="s">
        <v>140</v>
      </c>
      <c r="H477" s="56" t="s">
        <v>81</v>
      </c>
      <c r="I477" s="56" t="s">
        <v>81</v>
      </c>
      <c r="J477" s="56"/>
      <c r="K477" s="56"/>
      <c r="L477" s="56"/>
      <c r="M477" s="56"/>
      <c r="N477" s="56" t="s">
        <v>70</v>
      </c>
      <c r="O477" s="51" t="b">
        <v>0</v>
      </c>
      <c r="P477" s="51" t="b">
        <v>0</v>
      </c>
      <c r="Q477" s="51" t="b">
        <v>0</v>
      </c>
      <c r="R477" s="51" t="b">
        <v>0</v>
      </c>
      <c r="S477" s="51" t="b">
        <v>0</v>
      </c>
      <c r="T477" s="56"/>
    </row>
    <row r="478">
      <c r="A478" s="4" t="str">
        <f>IFERROR(__xludf.DUMMYFUNCTION("""COMPUTED_VALUE"""),"502 - Channel")</f>
        <v>502 - Channel</v>
      </c>
      <c r="B478" s="4" t="s">
        <v>16</v>
      </c>
      <c r="C478" s="4" t="s">
        <v>66</v>
      </c>
      <c r="D478" s="6">
        <v>0.664583333333335</v>
      </c>
      <c r="E478" s="6">
        <v>0.010416666666666666</v>
      </c>
      <c r="F478" s="6">
        <v>0.6750000000000016</v>
      </c>
      <c r="G478" s="4" t="s">
        <v>140</v>
      </c>
      <c r="H478" s="4" t="s">
        <v>74</v>
      </c>
      <c r="I478" s="4" t="s">
        <v>585</v>
      </c>
      <c r="J478" s="4" t="s">
        <v>586</v>
      </c>
      <c r="K478" s="4" t="s">
        <v>587</v>
      </c>
      <c r="L478" s="4"/>
      <c r="M478" s="4"/>
      <c r="N478" s="4" t="s">
        <v>588</v>
      </c>
      <c r="O478" s="51" t="b">
        <v>0</v>
      </c>
      <c r="P478" s="51" t="b">
        <v>0</v>
      </c>
      <c r="Q478" s="51" t="b">
        <v>0</v>
      </c>
      <c r="R478" s="51" t="b">
        <v>0</v>
      </c>
      <c r="S478" s="51" t="b">
        <v>0</v>
      </c>
    </row>
    <row r="479" hidden="1">
      <c r="A479" s="56" t="str">
        <f>IFERROR(__xludf.DUMMYFUNCTION("""COMPUTED_VALUE"""),"503 - Channel")</f>
        <v>503 - Channel</v>
      </c>
      <c r="B479" s="56" t="s">
        <v>16</v>
      </c>
      <c r="C479" s="56" t="s">
        <v>66</v>
      </c>
      <c r="D479" s="57">
        <v>0.6750000000000016</v>
      </c>
      <c r="E479" s="57">
        <v>1.7361111111111112E-4</v>
      </c>
      <c r="F479" s="57">
        <v>0.6751736111111127</v>
      </c>
      <c r="G479" s="56" t="s">
        <v>140</v>
      </c>
      <c r="H479" s="56" t="s">
        <v>85</v>
      </c>
      <c r="I479" s="56" t="s">
        <v>484</v>
      </c>
      <c r="J479" s="56"/>
      <c r="K479" s="56"/>
      <c r="L479" s="56"/>
      <c r="M479" s="56"/>
      <c r="N479" s="56"/>
      <c r="O479" s="51" t="b">
        <v>0</v>
      </c>
      <c r="P479" s="51" t="b">
        <v>0</v>
      </c>
      <c r="Q479" s="51" t="b">
        <v>0</v>
      </c>
      <c r="R479" s="51" t="b">
        <v>0</v>
      </c>
      <c r="S479" s="51" t="b">
        <v>0</v>
      </c>
      <c r="T479" s="56"/>
    </row>
    <row r="480">
      <c r="A480" s="56" t="str">
        <f>IFERROR(__xludf.DUMMYFUNCTION("""COMPUTED_VALUE"""),"504 - Channel")</f>
        <v>504 - Channel</v>
      </c>
      <c r="B480" s="56" t="s">
        <v>16</v>
      </c>
      <c r="C480" s="56" t="s">
        <v>66</v>
      </c>
      <c r="D480" s="57">
        <v>0.6751736111111127</v>
      </c>
      <c r="E480" s="57">
        <v>3.4722222222222224E-4</v>
      </c>
      <c r="F480" s="57">
        <v>0.675520833333335</v>
      </c>
      <c r="G480" s="56" t="s">
        <v>140</v>
      </c>
      <c r="H480" s="56" t="s">
        <v>81</v>
      </c>
      <c r="I480" s="56" t="s">
        <v>81</v>
      </c>
      <c r="J480" s="56"/>
      <c r="K480" s="56"/>
      <c r="L480" s="56"/>
      <c r="M480" s="56"/>
      <c r="N480" s="56" t="s">
        <v>70</v>
      </c>
      <c r="O480" s="51" t="b">
        <v>0</v>
      </c>
      <c r="P480" s="51" t="b">
        <v>0</v>
      </c>
      <c r="Q480" s="51" t="b">
        <v>0</v>
      </c>
      <c r="R480" s="51" t="b">
        <v>0</v>
      </c>
      <c r="S480" s="51" t="b">
        <v>0</v>
      </c>
      <c r="T480" s="56"/>
    </row>
    <row r="481" hidden="1">
      <c r="A481" s="4" t="str">
        <f>IFERROR(__xludf.DUMMYFUNCTION("""COMPUTED_VALUE"""),"505 - Channel")</f>
        <v>505 - Channel</v>
      </c>
      <c r="B481" s="4" t="s">
        <v>16</v>
      </c>
      <c r="C481" s="4" t="s">
        <v>66</v>
      </c>
      <c r="D481" s="6">
        <v>0.675520833333335</v>
      </c>
      <c r="E481" s="6">
        <v>0.008356481481481482</v>
      </c>
      <c r="F481" s="6">
        <v>0.6838773148148165</v>
      </c>
      <c r="G481" s="4" t="s">
        <v>140</v>
      </c>
      <c r="H481" s="4" t="s">
        <v>94</v>
      </c>
      <c r="I481" s="4" t="s">
        <v>589</v>
      </c>
      <c r="J481" s="4" t="s">
        <v>590</v>
      </c>
      <c r="K481" s="4"/>
      <c r="L481" s="4"/>
      <c r="M481" s="4"/>
      <c r="N481" s="4" t="s">
        <v>591</v>
      </c>
      <c r="O481" s="51" t="b">
        <v>0</v>
      </c>
      <c r="P481" s="51" t="b">
        <v>0</v>
      </c>
      <c r="Q481" s="51" t="b">
        <v>0</v>
      </c>
      <c r="R481" s="51" t="b">
        <v>0</v>
      </c>
      <c r="S481" s="51" t="b">
        <v>0</v>
      </c>
    </row>
    <row r="482">
      <c r="A482" s="56" t="str">
        <f>IFERROR(__xludf.DUMMYFUNCTION("""COMPUTED_VALUE"""),"507 - Channel")</f>
        <v>507 - Channel</v>
      </c>
      <c r="B482" s="56" t="s">
        <v>16</v>
      </c>
      <c r="C482" s="56" t="s">
        <v>66</v>
      </c>
      <c r="D482" s="57">
        <v>0.6838773148148165</v>
      </c>
      <c r="E482" s="57">
        <v>1.7361111111111112E-4</v>
      </c>
      <c r="F482" s="57">
        <v>0.6840509259259276</v>
      </c>
      <c r="G482" s="56" t="s">
        <v>140</v>
      </c>
      <c r="H482" s="56" t="s">
        <v>81</v>
      </c>
      <c r="I482" s="56" t="s">
        <v>81</v>
      </c>
      <c r="J482" s="56"/>
      <c r="K482" s="56"/>
      <c r="L482" s="56"/>
      <c r="M482" s="56"/>
      <c r="N482" s="56" t="s">
        <v>70</v>
      </c>
      <c r="O482" s="51" t="b">
        <v>0</v>
      </c>
      <c r="P482" s="51" t="b">
        <v>0</v>
      </c>
      <c r="Q482" s="51" t="b">
        <v>0</v>
      </c>
      <c r="R482" s="51" t="b">
        <v>0</v>
      </c>
      <c r="S482" s="51" t="b">
        <v>0</v>
      </c>
      <c r="T482" s="56"/>
    </row>
    <row r="483">
      <c r="A483" s="4" t="str">
        <f>IFERROR(__xludf.DUMMYFUNCTION("""COMPUTED_VALUE"""),"508 - Channel")</f>
        <v>508 - Channel</v>
      </c>
      <c r="B483" s="4" t="s">
        <v>16</v>
      </c>
      <c r="C483" s="4" t="s">
        <v>66</v>
      </c>
      <c r="D483" s="6">
        <v>0.6840509259259276</v>
      </c>
      <c r="E483" s="6">
        <v>0.007546296296296297</v>
      </c>
      <c r="F483" s="6">
        <v>0.691597222222224</v>
      </c>
      <c r="G483" s="4" t="s">
        <v>140</v>
      </c>
      <c r="H483" s="4" t="s">
        <v>165</v>
      </c>
      <c r="I483" s="4" t="s">
        <v>593</v>
      </c>
      <c r="J483" s="4" t="s">
        <v>594</v>
      </c>
      <c r="K483" s="4"/>
      <c r="L483" s="4"/>
      <c r="M483" s="4"/>
      <c r="N483" s="4" t="s">
        <v>70</v>
      </c>
      <c r="O483" s="51" t="b">
        <v>0</v>
      </c>
      <c r="P483" s="51" t="b">
        <v>0</v>
      </c>
      <c r="Q483" s="51" t="b">
        <v>0</v>
      </c>
      <c r="R483" s="51" t="b">
        <v>0</v>
      </c>
      <c r="S483" s="51" t="b">
        <v>0</v>
      </c>
    </row>
    <row r="484" hidden="1">
      <c r="A484" s="56" t="str">
        <f>IFERROR(__xludf.DUMMYFUNCTION("""COMPUTED_VALUE"""),"509 - Channel")</f>
        <v>509 - Channel</v>
      </c>
      <c r="B484" s="56" t="s">
        <v>16</v>
      </c>
      <c r="C484" s="56" t="s">
        <v>66</v>
      </c>
      <c r="D484" s="57">
        <v>0.691597222222224</v>
      </c>
      <c r="E484" s="57">
        <v>1.7361111111111112E-4</v>
      </c>
      <c r="F484" s="57">
        <v>0.6917708333333351</v>
      </c>
      <c r="G484" s="56" t="s">
        <v>140</v>
      </c>
      <c r="H484" s="56" t="s">
        <v>85</v>
      </c>
      <c r="I484" s="56" t="s">
        <v>85</v>
      </c>
      <c r="J484" s="56"/>
      <c r="K484" s="56"/>
      <c r="L484" s="56"/>
      <c r="M484" s="56"/>
      <c r="N484" s="56" t="s">
        <v>70</v>
      </c>
      <c r="O484" s="51" t="b">
        <v>0</v>
      </c>
      <c r="P484" s="51" t="b">
        <v>0</v>
      </c>
      <c r="Q484" s="51" t="b">
        <v>0</v>
      </c>
      <c r="R484" s="51" t="b">
        <v>0</v>
      </c>
      <c r="S484" s="51" t="b">
        <v>0</v>
      </c>
      <c r="T484" s="56"/>
    </row>
    <row r="485" hidden="1">
      <c r="A485" s="4" t="str">
        <f>IFERROR(__xludf.DUMMYFUNCTION("""COMPUTED_VALUE"""),"510 - Channel")</f>
        <v>510 - Channel</v>
      </c>
      <c r="B485" s="4" t="s">
        <v>16</v>
      </c>
      <c r="C485" s="4" t="s">
        <v>66</v>
      </c>
      <c r="D485" s="6">
        <v>0.6917708333333351</v>
      </c>
      <c r="E485" s="6">
        <v>3.4722222222222224E-4</v>
      </c>
      <c r="F485" s="6">
        <v>0.6921180555555574</v>
      </c>
      <c r="G485" s="4" t="s">
        <v>140</v>
      </c>
      <c r="H485" s="4" t="s">
        <v>81</v>
      </c>
      <c r="I485" s="4" t="s">
        <v>81</v>
      </c>
      <c r="J485" s="4"/>
      <c r="K485" s="4"/>
      <c r="L485" s="4"/>
      <c r="M485" s="4"/>
      <c r="N485" s="4" t="s">
        <v>70</v>
      </c>
      <c r="O485" s="51" t="b">
        <v>0</v>
      </c>
      <c r="P485" s="51" t="b">
        <v>0</v>
      </c>
      <c r="Q485" s="51" t="b">
        <v>0</v>
      </c>
      <c r="R485" s="51" t="b">
        <v>0</v>
      </c>
      <c r="S485" s="51" t="b">
        <v>0</v>
      </c>
    </row>
    <row r="486" hidden="1">
      <c r="A486" s="56" t="str">
        <f>IFERROR(__xludf.DUMMYFUNCTION("""COMPUTED_VALUE"""),"511 - Channel")</f>
        <v>511 - Channel</v>
      </c>
      <c r="B486" s="56" t="s">
        <v>16</v>
      </c>
      <c r="C486" s="56" t="s">
        <v>66</v>
      </c>
      <c r="D486" s="57">
        <v>0.6921180555555574</v>
      </c>
      <c r="E486" s="57">
        <v>0.014131944444444445</v>
      </c>
      <c r="F486" s="57">
        <v>0.7062500000000018</v>
      </c>
      <c r="G486" s="56" t="s">
        <v>140</v>
      </c>
      <c r="H486" s="56" t="s">
        <v>94</v>
      </c>
      <c r="I486" s="56" t="s">
        <v>595</v>
      </c>
      <c r="J486" s="56" t="s">
        <v>596</v>
      </c>
      <c r="K486" s="56"/>
      <c r="L486" s="56"/>
      <c r="M486" s="56"/>
      <c r="N486" s="56" t="s">
        <v>201</v>
      </c>
      <c r="O486" s="51" t="b">
        <v>0</v>
      </c>
      <c r="P486" s="51" t="b">
        <v>0</v>
      </c>
      <c r="Q486" s="51" t="b">
        <v>0</v>
      </c>
      <c r="R486" s="51" t="b">
        <v>0</v>
      </c>
      <c r="S486" s="51" t="b">
        <v>0</v>
      </c>
      <c r="T486" s="56"/>
    </row>
    <row r="487" hidden="1">
      <c r="A487" s="4" t="str">
        <f>IFERROR(__xludf.DUMMYFUNCTION("""COMPUTED_VALUE"""),"513 - Channel")</f>
        <v>513 - Channel</v>
      </c>
      <c r="B487" s="4" t="s">
        <v>16</v>
      </c>
      <c r="C487" s="4" t="s">
        <v>66</v>
      </c>
      <c r="D487" s="6">
        <v>0.7062500000000018</v>
      </c>
      <c r="E487" s="6">
        <v>3.587962962962963E-4</v>
      </c>
      <c r="F487" s="6">
        <v>0.7066087962962981</v>
      </c>
      <c r="G487" s="4" t="s">
        <v>140</v>
      </c>
      <c r="H487" s="4" t="s">
        <v>598</v>
      </c>
      <c r="I487" s="4" t="s">
        <v>598</v>
      </c>
      <c r="J487" s="4"/>
      <c r="K487" s="4"/>
      <c r="L487" s="4"/>
      <c r="M487" s="4"/>
      <c r="N487" s="4" t="s">
        <v>70</v>
      </c>
      <c r="O487" s="51" t="b">
        <v>0</v>
      </c>
      <c r="P487" s="51" t="b">
        <v>0</v>
      </c>
      <c r="Q487" s="51" t="b">
        <v>0</v>
      </c>
      <c r="R487" s="51" t="b">
        <v>0</v>
      </c>
      <c r="S487" s="51" t="b">
        <v>0</v>
      </c>
    </row>
    <row r="488" hidden="1">
      <c r="A488" s="56" t="str">
        <f>IFERROR(__xludf.DUMMYFUNCTION("""COMPUTED_VALUE"""),"1666 - Channel")</f>
        <v>1666 - Channel</v>
      </c>
      <c r="B488" s="56"/>
      <c r="C488" s="56"/>
      <c r="D488" s="57"/>
      <c r="E488" s="57"/>
      <c r="F488" s="57"/>
      <c r="G488" s="56"/>
      <c r="H488" s="56"/>
      <c r="I488" s="56"/>
      <c r="J488" s="56"/>
      <c r="K488" s="56"/>
      <c r="L488" s="56"/>
      <c r="M488" s="56"/>
      <c r="N488" s="56"/>
      <c r="O488" s="51" t="b">
        <v>0</v>
      </c>
      <c r="P488" s="51" t="b">
        <v>0</v>
      </c>
      <c r="Q488" s="51" t="b">
        <v>0</v>
      </c>
      <c r="R488" s="51" t="b">
        <v>0</v>
      </c>
      <c r="S488" s="51" t="b">
        <v>0</v>
      </c>
      <c r="T488" s="56"/>
    </row>
    <row r="489" hidden="1">
      <c r="A489" s="4" t="str">
        <f>IFERROR(__xludf.DUMMYFUNCTION("""COMPUTED_VALUE"""),"515 - Channel")</f>
        <v>515 - Channel</v>
      </c>
      <c r="B489" s="4" t="s">
        <v>220</v>
      </c>
      <c r="C489" s="4"/>
      <c r="D489" s="6"/>
      <c r="E489" s="6"/>
      <c r="F489" s="6"/>
      <c r="G489" s="4"/>
      <c r="H489" s="4"/>
      <c r="I489" s="4"/>
      <c r="J489" s="4"/>
      <c r="K489" s="4"/>
      <c r="L489" s="4"/>
      <c r="M489" s="4"/>
      <c r="N489" s="4" t="s">
        <v>70</v>
      </c>
      <c r="O489" s="51" t="b">
        <v>0</v>
      </c>
      <c r="P489" s="51" t="b">
        <v>0</v>
      </c>
      <c r="Q489" s="51" t="b">
        <v>0</v>
      </c>
      <c r="R489" s="51" t="b">
        <v>0</v>
      </c>
      <c r="S489" s="51" t="b">
        <v>0</v>
      </c>
    </row>
    <row r="490">
      <c r="A490" s="56" t="str">
        <f>IFERROR(__xludf.DUMMYFUNCTION("""COMPUTED_VALUE"""),"1714 - Channel")</f>
        <v>1714 - Channel</v>
      </c>
      <c r="B490" s="56"/>
      <c r="C490" s="56"/>
      <c r="D490" s="57"/>
      <c r="E490" s="57"/>
      <c r="F490" s="57"/>
      <c r="G490" s="56"/>
      <c r="H490" s="56"/>
      <c r="I490" s="56"/>
      <c r="J490" s="56"/>
      <c r="K490" s="56"/>
      <c r="L490" s="56"/>
      <c r="M490" s="56"/>
      <c r="N490" s="56"/>
      <c r="O490" s="51" t="b">
        <v>0</v>
      </c>
      <c r="P490" s="51" t="b">
        <v>0</v>
      </c>
      <c r="Q490" s="51" t="b">
        <v>0</v>
      </c>
      <c r="R490" s="51" t="b">
        <v>0</v>
      </c>
      <c r="S490" s="51" t="b">
        <v>0</v>
      </c>
      <c r="T490" s="56"/>
    </row>
    <row r="491" hidden="1">
      <c r="A491" s="56" t="str">
        <f>IFERROR(__xludf.DUMMYFUNCTION("""COMPUTED_VALUE"""),"516 - Channel")</f>
        <v>516 - Channel</v>
      </c>
      <c r="B491" s="56" t="s">
        <v>16</v>
      </c>
      <c r="C491" s="56" t="s">
        <v>221</v>
      </c>
      <c r="D491" s="57">
        <v>0.4166666666666667</v>
      </c>
      <c r="E491" s="57">
        <v>0.0010416666666666667</v>
      </c>
      <c r="F491" s="57">
        <v>0.41770833333333335</v>
      </c>
      <c r="G491" s="56" t="s">
        <v>394</v>
      </c>
      <c r="H491" s="56" t="s">
        <v>67</v>
      </c>
      <c r="I491" s="56" t="s">
        <v>67</v>
      </c>
      <c r="J491" s="56"/>
      <c r="K491" s="56"/>
      <c r="L491" s="56"/>
      <c r="M491" s="56"/>
      <c r="N491" s="56" t="s">
        <v>70</v>
      </c>
      <c r="O491" s="51" t="b">
        <v>0</v>
      </c>
      <c r="P491" s="51" t="b">
        <v>0</v>
      </c>
      <c r="Q491" s="51" t="b">
        <v>0</v>
      </c>
      <c r="R491" s="51" t="b">
        <v>0</v>
      </c>
      <c r="S491" s="51" t="b">
        <v>0</v>
      </c>
      <c r="T491" s="56"/>
    </row>
    <row r="492">
      <c r="A492" s="4" t="str">
        <f>IFERROR(__xludf.DUMMYFUNCTION("""COMPUTED_VALUE"""),"517 - Channel")</f>
        <v>517 - Channel</v>
      </c>
      <c r="B492" s="4" t="s">
        <v>16</v>
      </c>
      <c r="C492" s="4" t="s">
        <v>221</v>
      </c>
      <c r="D492" s="6">
        <v>0.41770833333333335</v>
      </c>
      <c r="E492" s="6">
        <v>3.4722222222222224E-4</v>
      </c>
      <c r="F492" s="6">
        <v>0.41805555555555557</v>
      </c>
      <c r="G492" s="4" t="s">
        <v>394</v>
      </c>
      <c r="H492" s="4" t="s">
        <v>81</v>
      </c>
      <c r="I492" s="4" t="s">
        <v>81</v>
      </c>
      <c r="J492" s="4"/>
      <c r="K492" s="4"/>
      <c r="L492" s="4"/>
      <c r="M492" s="4"/>
      <c r="N492" s="4" t="s">
        <v>70</v>
      </c>
      <c r="O492" s="51" t="b">
        <v>0</v>
      </c>
      <c r="P492" s="51" t="b">
        <v>0</v>
      </c>
      <c r="Q492" s="51" t="b">
        <v>0</v>
      </c>
      <c r="R492" s="51" t="b">
        <v>0</v>
      </c>
      <c r="S492" s="51" t="b">
        <v>0</v>
      </c>
    </row>
    <row r="493" hidden="1">
      <c r="A493" s="56" t="str">
        <f>IFERROR(__xludf.DUMMYFUNCTION("""COMPUTED_VALUE"""),"518 - Channel")</f>
        <v>518 - Channel</v>
      </c>
      <c r="B493" s="56" t="s">
        <v>16</v>
      </c>
      <c r="C493" s="56" t="s">
        <v>221</v>
      </c>
      <c r="D493" s="57">
        <v>0.41805555555555557</v>
      </c>
      <c r="E493" s="57">
        <v>0.00837962962962963</v>
      </c>
      <c r="F493" s="57">
        <v>0.4264351851851852</v>
      </c>
      <c r="G493" s="56" t="s">
        <v>394</v>
      </c>
      <c r="H493" s="56" t="s">
        <v>107</v>
      </c>
      <c r="I493" s="56" t="s">
        <v>602</v>
      </c>
      <c r="J493" s="56" t="s">
        <v>603</v>
      </c>
      <c r="K493" s="56" t="s">
        <v>604</v>
      </c>
      <c r="L493" s="56"/>
      <c r="M493" s="56"/>
      <c r="N493" s="56" t="s">
        <v>605</v>
      </c>
      <c r="O493" s="51" t="b">
        <v>0</v>
      </c>
      <c r="P493" s="51" t="b">
        <v>0</v>
      </c>
      <c r="Q493" s="51" t="b">
        <v>0</v>
      </c>
      <c r="R493" s="51" t="b">
        <v>0</v>
      </c>
      <c r="S493" s="51" t="b">
        <v>0</v>
      </c>
      <c r="T493" s="56"/>
    </row>
    <row r="494">
      <c r="A494" s="4" t="str">
        <f>IFERROR(__xludf.DUMMYFUNCTION("""COMPUTED_VALUE"""),"519 - Channel")</f>
        <v>519 - Channel</v>
      </c>
      <c r="B494" s="4" t="s">
        <v>16</v>
      </c>
      <c r="C494" s="4" t="s">
        <v>221</v>
      </c>
      <c r="D494" s="6">
        <v>0.4264351851851852</v>
      </c>
      <c r="E494" s="6">
        <v>1.7361111111111112E-4</v>
      </c>
      <c r="F494" s="6">
        <v>0.42660879629629633</v>
      </c>
      <c r="G494" s="4" t="s">
        <v>394</v>
      </c>
      <c r="H494" s="4" t="s">
        <v>85</v>
      </c>
      <c r="I494" s="4" t="s">
        <v>85</v>
      </c>
      <c r="J494" s="4"/>
      <c r="K494" s="4"/>
      <c r="L494" s="4"/>
      <c r="M494" s="4"/>
      <c r="N494" s="4" t="s">
        <v>70</v>
      </c>
      <c r="O494" s="51" t="b">
        <v>0</v>
      </c>
      <c r="P494" s="51" t="b">
        <v>0</v>
      </c>
      <c r="Q494" s="51" t="b">
        <v>0</v>
      </c>
      <c r="R494" s="51" t="b">
        <v>0</v>
      </c>
      <c r="S494" s="51" t="b">
        <v>0</v>
      </c>
    </row>
    <row r="495" hidden="1">
      <c r="A495" s="56" t="str">
        <f>IFERROR(__xludf.DUMMYFUNCTION("""COMPUTED_VALUE"""),"531 - Channel")</f>
        <v>531 - Channel</v>
      </c>
      <c r="B495" s="56" t="s">
        <v>16</v>
      </c>
      <c r="C495" s="56" t="s">
        <v>221</v>
      </c>
      <c r="D495" s="57">
        <v>0.42660879629629633</v>
      </c>
      <c r="E495" s="57">
        <v>1.7361111111111112E-4</v>
      </c>
      <c r="F495" s="57">
        <v>0.42678240740740747</v>
      </c>
      <c r="G495" s="56" t="s">
        <v>394</v>
      </c>
      <c r="H495" s="56" t="s">
        <v>77</v>
      </c>
      <c r="I495" s="56" t="s">
        <v>608</v>
      </c>
      <c r="J495" s="56"/>
      <c r="K495" s="56"/>
      <c r="L495" s="56"/>
      <c r="M495" s="56"/>
      <c r="N495" s="56"/>
      <c r="O495" s="51" t="b">
        <v>0</v>
      </c>
      <c r="P495" s="51" t="b">
        <v>0</v>
      </c>
      <c r="Q495" s="51" t="b">
        <v>0</v>
      </c>
      <c r="R495" s="51" t="b">
        <v>0</v>
      </c>
      <c r="S495" s="51" t="b">
        <v>0</v>
      </c>
      <c r="T495" s="56"/>
    </row>
    <row r="496">
      <c r="A496" s="4" t="str">
        <f>IFERROR(__xludf.DUMMYFUNCTION("""COMPUTED_VALUE"""),"520 - Channel")</f>
        <v>520 - Channel</v>
      </c>
      <c r="B496" s="4" t="s">
        <v>16</v>
      </c>
      <c r="C496" s="4" t="s">
        <v>221</v>
      </c>
      <c r="D496" s="6">
        <v>0.42678240740740747</v>
      </c>
      <c r="E496" s="6">
        <v>3.4722222222222224E-4</v>
      </c>
      <c r="F496" s="6">
        <v>0.4271296296296297</v>
      </c>
      <c r="G496" s="4" t="s">
        <v>394</v>
      </c>
      <c r="H496" s="4" t="s">
        <v>81</v>
      </c>
      <c r="I496" s="4" t="s">
        <v>81</v>
      </c>
      <c r="J496" s="4"/>
      <c r="K496" s="4"/>
      <c r="L496" s="4"/>
      <c r="M496" s="4"/>
      <c r="N496" s="4" t="s">
        <v>70</v>
      </c>
      <c r="O496" s="51" t="b">
        <v>0</v>
      </c>
      <c r="P496" s="51" t="b">
        <v>0</v>
      </c>
      <c r="Q496" s="51" t="b">
        <v>0</v>
      </c>
      <c r="R496" s="51" t="b">
        <v>0</v>
      </c>
      <c r="S496" s="51" t="b">
        <v>0</v>
      </c>
    </row>
    <row r="497">
      <c r="A497" s="56" t="str">
        <f>IFERROR(__xludf.DUMMYFUNCTION("""COMPUTED_VALUE"""),"521 - Channel")</f>
        <v>521 - Channel</v>
      </c>
      <c r="B497" s="56" t="s">
        <v>16</v>
      </c>
      <c r="C497" s="56" t="s">
        <v>221</v>
      </c>
      <c r="D497" s="57">
        <v>0.4271296296296297</v>
      </c>
      <c r="E497" s="57">
        <v>0.0125</v>
      </c>
      <c r="F497" s="57">
        <v>0.4396296296296297</v>
      </c>
      <c r="G497" s="56" t="s">
        <v>394</v>
      </c>
      <c r="H497" s="56" t="s">
        <v>107</v>
      </c>
      <c r="I497" s="56" t="s">
        <v>613</v>
      </c>
      <c r="J497" s="56" t="s">
        <v>614</v>
      </c>
      <c r="K497" s="56" t="s">
        <v>615</v>
      </c>
      <c r="L497" s="56"/>
      <c r="M497" s="56"/>
      <c r="N497" s="56" t="s">
        <v>616</v>
      </c>
      <c r="O497" s="51" t="b">
        <v>0</v>
      </c>
      <c r="P497" s="51" t="b">
        <v>0</v>
      </c>
      <c r="Q497" s="51" t="b">
        <v>0</v>
      </c>
      <c r="R497" s="51" t="b">
        <v>0</v>
      </c>
      <c r="S497" s="51" t="b">
        <v>0</v>
      </c>
      <c r="T497" s="56"/>
    </row>
    <row r="498" hidden="1">
      <c r="A498" s="56" t="str">
        <f>IFERROR(__xludf.DUMMYFUNCTION("""COMPUTED_VALUE"""),"522 - Channel")</f>
        <v>522 - Channel</v>
      </c>
      <c r="B498" s="56" t="s">
        <v>16</v>
      </c>
      <c r="C498" s="56" t="s">
        <v>221</v>
      </c>
      <c r="D498" s="57">
        <v>0.4396296296296297</v>
      </c>
      <c r="E498" s="57">
        <v>1.7361111111111112E-4</v>
      </c>
      <c r="F498" s="57">
        <v>0.43980324074074084</v>
      </c>
      <c r="G498" s="56" t="s">
        <v>394</v>
      </c>
      <c r="H498" s="56" t="s">
        <v>85</v>
      </c>
      <c r="I498" s="56" t="s">
        <v>85</v>
      </c>
      <c r="J498" s="56"/>
      <c r="K498" s="56"/>
      <c r="L498" s="56"/>
      <c r="M498" s="56"/>
      <c r="N498" s="56" t="s">
        <v>70</v>
      </c>
      <c r="O498" s="51" t="b">
        <v>0</v>
      </c>
      <c r="P498" s="51" t="b">
        <v>0</v>
      </c>
      <c r="Q498" s="51" t="b">
        <v>0</v>
      </c>
      <c r="R498" s="51" t="b">
        <v>0</v>
      </c>
      <c r="S498" s="51" t="b">
        <v>0</v>
      </c>
      <c r="T498" s="56"/>
    </row>
    <row r="499">
      <c r="A499" s="4" t="str">
        <f>IFERROR(__xludf.DUMMYFUNCTION("""COMPUTED_VALUE"""),"523 - Channel")</f>
        <v>523 - Channel</v>
      </c>
      <c r="B499" s="4" t="s">
        <v>16</v>
      </c>
      <c r="C499" s="4" t="s">
        <v>221</v>
      </c>
      <c r="D499" s="6">
        <v>0.43980324074074084</v>
      </c>
      <c r="E499" s="6">
        <v>3.4722222222222224E-4</v>
      </c>
      <c r="F499" s="6">
        <v>0.44015046296296306</v>
      </c>
      <c r="G499" s="4" t="s">
        <v>394</v>
      </c>
      <c r="H499" s="4" t="s">
        <v>81</v>
      </c>
      <c r="I499" s="4" t="s">
        <v>81</v>
      </c>
      <c r="J499" s="4"/>
      <c r="K499" s="4"/>
      <c r="L499" s="4"/>
      <c r="M499" s="4"/>
      <c r="N499" s="4" t="s">
        <v>70</v>
      </c>
      <c r="O499" s="51" t="b">
        <v>0</v>
      </c>
      <c r="P499" s="51" t="b">
        <v>0</v>
      </c>
      <c r="Q499" s="51" t="b">
        <v>0</v>
      </c>
      <c r="R499" s="51" t="b">
        <v>0</v>
      </c>
      <c r="S499" s="51" t="b">
        <v>0</v>
      </c>
    </row>
    <row r="500">
      <c r="A500" s="56" t="str">
        <f>IFERROR(__xludf.DUMMYFUNCTION("""COMPUTED_VALUE"""),"524 - Channel")</f>
        <v>524 - Channel</v>
      </c>
      <c r="B500" s="56" t="s">
        <v>16</v>
      </c>
      <c r="C500" s="56" t="s">
        <v>221</v>
      </c>
      <c r="D500" s="57">
        <v>0.44015046296296306</v>
      </c>
      <c r="E500" s="57">
        <v>0.008333333333333333</v>
      </c>
      <c r="F500" s="57">
        <v>0.4484837962962964</v>
      </c>
      <c r="G500" s="56" t="s">
        <v>394</v>
      </c>
      <c r="H500" s="56" t="s">
        <v>107</v>
      </c>
      <c r="I500" s="56" t="s">
        <v>620</v>
      </c>
      <c r="J500" s="56" t="s">
        <v>621</v>
      </c>
      <c r="K500" s="56" t="s">
        <v>622</v>
      </c>
      <c r="L500" s="56"/>
      <c r="M500" s="56"/>
      <c r="N500" s="56" t="s">
        <v>605</v>
      </c>
      <c r="O500" s="51" t="b">
        <v>0</v>
      </c>
      <c r="P500" s="51" t="b">
        <v>0</v>
      </c>
      <c r="Q500" s="51" t="b">
        <v>0</v>
      </c>
      <c r="R500" s="51" t="b">
        <v>0</v>
      </c>
      <c r="S500" s="51" t="b">
        <v>0</v>
      </c>
      <c r="T500" s="56"/>
    </row>
    <row r="501" hidden="1">
      <c r="A501" s="4" t="str">
        <f>IFERROR(__xludf.DUMMYFUNCTION("""COMPUTED_VALUE"""),"525 - Channel")</f>
        <v>525 - Channel</v>
      </c>
      <c r="B501" s="4" t="s">
        <v>16</v>
      </c>
      <c r="C501" s="4" t="s">
        <v>221</v>
      </c>
      <c r="D501" s="6">
        <v>0.4484837962962964</v>
      </c>
      <c r="E501" s="6">
        <v>1.7361111111111112E-4</v>
      </c>
      <c r="F501" s="6">
        <v>0.44865740740740756</v>
      </c>
      <c r="G501" s="4" t="s">
        <v>394</v>
      </c>
      <c r="H501" s="4" t="s">
        <v>85</v>
      </c>
      <c r="I501" s="4" t="s">
        <v>85</v>
      </c>
      <c r="J501" s="4"/>
      <c r="K501" s="4"/>
      <c r="L501" s="4"/>
      <c r="M501" s="4"/>
      <c r="N501" s="4" t="s">
        <v>70</v>
      </c>
      <c r="O501" s="51" t="b">
        <v>0</v>
      </c>
      <c r="P501" s="51" t="b">
        <v>0</v>
      </c>
      <c r="Q501" s="51" t="b">
        <v>0</v>
      </c>
      <c r="R501" s="51" t="b">
        <v>0</v>
      </c>
      <c r="S501" s="51" t="b">
        <v>0</v>
      </c>
    </row>
    <row r="502">
      <c r="A502" s="4" t="str">
        <f>IFERROR(__xludf.DUMMYFUNCTION("""COMPUTED_VALUE"""),"815 - Channel")</f>
        <v>815 - Channel</v>
      </c>
      <c r="B502" s="4" t="s">
        <v>16</v>
      </c>
      <c r="C502" s="4" t="s">
        <v>221</v>
      </c>
      <c r="D502" s="6">
        <v>0.44865740740740756</v>
      </c>
      <c r="E502" s="6">
        <v>3.4722222222222224E-4</v>
      </c>
      <c r="F502" s="6">
        <v>0.4490046296296298</v>
      </c>
      <c r="G502" s="4" t="s">
        <v>164</v>
      </c>
      <c r="H502" s="4" t="s">
        <v>81</v>
      </c>
      <c r="I502" s="4" t="s">
        <v>81</v>
      </c>
      <c r="J502" s="4"/>
      <c r="K502" s="4"/>
      <c r="L502" s="4"/>
      <c r="M502" s="4"/>
      <c r="N502" s="4"/>
      <c r="O502" s="51" t="b">
        <v>0</v>
      </c>
      <c r="P502" s="51" t="b">
        <v>0</v>
      </c>
      <c r="Q502" s="51" t="b">
        <v>0</v>
      </c>
      <c r="R502" s="51" t="b">
        <v>0</v>
      </c>
      <c r="S502" s="51" t="b">
        <v>0</v>
      </c>
    </row>
    <row r="503" hidden="1">
      <c r="A503" s="4" t="str">
        <f>IFERROR(__xludf.DUMMYFUNCTION("""COMPUTED_VALUE"""),"816 - Channel")</f>
        <v>816 - Channel</v>
      </c>
      <c r="B503" s="4" t="s">
        <v>16</v>
      </c>
      <c r="C503" s="4" t="s">
        <v>221</v>
      </c>
      <c r="D503" s="6">
        <v>0.4490046296296298</v>
      </c>
      <c r="E503" s="6">
        <v>0.010578703703703703</v>
      </c>
      <c r="F503" s="6">
        <v>0.4595833333333335</v>
      </c>
      <c r="G503" s="4" t="s">
        <v>164</v>
      </c>
      <c r="H503" s="4" t="s">
        <v>165</v>
      </c>
      <c r="I503" s="4" t="s">
        <v>623</v>
      </c>
      <c r="J503" s="4" t="s">
        <v>624</v>
      </c>
      <c r="K503" s="4"/>
      <c r="L503" s="4"/>
      <c r="M503" s="4"/>
      <c r="N503" s="4"/>
      <c r="O503" s="51" t="b">
        <v>0</v>
      </c>
      <c r="P503" s="51" t="b">
        <v>0</v>
      </c>
      <c r="Q503" s="51" t="b">
        <v>0</v>
      </c>
      <c r="R503" s="51" t="b">
        <v>0</v>
      </c>
      <c r="S503" s="51" t="b">
        <v>0</v>
      </c>
    </row>
    <row r="504">
      <c r="A504" s="4" t="str">
        <f>IFERROR(__xludf.DUMMYFUNCTION("""COMPUTED_VALUE"""),"817 - Channel")</f>
        <v>817 - Channel</v>
      </c>
      <c r="B504" s="4" t="s">
        <v>16</v>
      </c>
      <c r="C504" s="4" t="s">
        <v>221</v>
      </c>
      <c r="D504" s="6">
        <v>0.4595833333333335</v>
      </c>
      <c r="E504" s="6">
        <v>1.7361111111111112E-4</v>
      </c>
      <c r="F504" s="6">
        <v>0.45975694444444465</v>
      </c>
      <c r="G504" s="4" t="s">
        <v>164</v>
      </c>
      <c r="H504" s="4" t="s">
        <v>85</v>
      </c>
      <c r="I504" s="4" t="s">
        <v>85</v>
      </c>
      <c r="J504" s="4"/>
      <c r="K504" s="4"/>
      <c r="L504" s="4"/>
      <c r="M504" s="4"/>
      <c r="N504" s="4"/>
      <c r="O504" s="51" t="b">
        <v>0</v>
      </c>
      <c r="P504" s="51" t="b">
        <v>0</v>
      </c>
      <c r="Q504" s="51" t="b">
        <v>0</v>
      </c>
      <c r="R504" s="51" t="b">
        <v>0</v>
      </c>
      <c r="S504" s="51" t="b">
        <v>0</v>
      </c>
    </row>
    <row r="505" hidden="1">
      <c r="A505" s="4" t="str">
        <f>IFERROR(__xludf.DUMMYFUNCTION("""COMPUTED_VALUE"""),"529 - Channel")</f>
        <v>529 - Channel</v>
      </c>
      <c r="B505" s="4" t="s">
        <v>16</v>
      </c>
      <c r="C505" s="4" t="s">
        <v>221</v>
      </c>
      <c r="D505" s="6"/>
      <c r="E505" s="6"/>
      <c r="F505" s="6"/>
      <c r="G505" s="4"/>
      <c r="H505" s="4"/>
      <c r="I505" s="4"/>
      <c r="J505" s="4"/>
      <c r="K505" s="4"/>
      <c r="L505" s="4"/>
      <c r="M505" s="4"/>
      <c r="N505" s="4" t="s">
        <v>70</v>
      </c>
      <c r="O505" s="51" t="b">
        <v>0</v>
      </c>
      <c r="P505" s="51" t="b">
        <v>0</v>
      </c>
      <c r="Q505" s="51" t="b">
        <v>0</v>
      </c>
      <c r="R505" s="51" t="b">
        <v>0</v>
      </c>
      <c r="S505" s="51" t="b">
        <v>0</v>
      </c>
    </row>
    <row r="506" hidden="1">
      <c r="A506" s="56" t="str">
        <f>IFERROR(__xludf.DUMMYFUNCTION("""COMPUTED_VALUE"""),"532 - Channel")</f>
        <v>532 - Channel</v>
      </c>
      <c r="B506" s="56" t="s">
        <v>16</v>
      </c>
      <c r="C506" s="56" t="s">
        <v>221</v>
      </c>
      <c r="D506" s="57">
        <v>0.45975694444444465</v>
      </c>
      <c r="E506" s="57">
        <v>3.4722222222222224E-4</v>
      </c>
      <c r="F506" s="57">
        <v>0.46010416666666687</v>
      </c>
      <c r="G506" s="56" t="s">
        <v>195</v>
      </c>
      <c r="H506" s="56" t="s">
        <v>81</v>
      </c>
      <c r="I506" s="56" t="s">
        <v>81</v>
      </c>
      <c r="J506" s="56"/>
      <c r="K506" s="56"/>
      <c r="L506" s="56"/>
      <c r="M506" s="56"/>
      <c r="N506" s="56" t="s">
        <v>70</v>
      </c>
      <c r="O506" s="51" t="b">
        <v>0</v>
      </c>
      <c r="P506" s="51" t="b">
        <v>0</v>
      </c>
      <c r="Q506" s="51" t="b">
        <v>0</v>
      </c>
      <c r="R506" s="51" t="b">
        <v>0</v>
      </c>
      <c r="S506" s="51" t="b">
        <v>0</v>
      </c>
      <c r="T506" s="56"/>
    </row>
    <row r="507" hidden="1">
      <c r="A507" s="4" t="str">
        <f>IFERROR(__xludf.DUMMYFUNCTION("""COMPUTED_VALUE"""),"533 - Channel")</f>
        <v>533 - Channel</v>
      </c>
      <c r="B507" s="4" t="s">
        <v>16</v>
      </c>
      <c r="C507" s="4" t="s">
        <v>221</v>
      </c>
      <c r="D507" s="6">
        <v>0.46010416666666687</v>
      </c>
      <c r="E507" s="6">
        <v>0.006712962962962963</v>
      </c>
      <c r="F507" s="6">
        <v>0.46681712962962985</v>
      </c>
      <c r="G507" s="4" t="s">
        <v>195</v>
      </c>
      <c r="H507" s="4" t="s">
        <v>165</v>
      </c>
      <c r="I507" s="4" t="s">
        <v>627</v>
      </c>
      <c r="J507" s="4" t="s">
        <v>628</v>
      </c>
      <c r="K507" s="4"/>
      <c r="L507" s="4"/>
      <c r="M507" s="4"/>
      <c r="N507" s="4" t="s">
        <v>70</v>
      </c>
      <c r="O507" s="51" t="b">
        <v>0</v>
      </c>
      <c r="P507" s="51" t="b">
        <v>0</v>
      </c>
      <c r="Q507" s="51" t="b">
        <v>0</v>
      </c>
      <c r="R507" s="51" t="b">
        <v>0</v>
      </c>
      <c r="S507" s="51" t="b">
        <v>0</v>
      </c>
    </row>
    <row r="508">
      <c r="A508" s="56" t="str">
        <f>IFERROR(__xludf.DUMMYFUNCTION("""COMPUTED_VALUE"""),"535 - Channel")</f>
        <v>535 - Channel</v>
      </c>
      <c r="B508" s="56" t="s">
        <v>16</v>
      </c>
      <c r="C508" s="56" t="s">
        <v>221</v>
      </c>
      <c r="D508" s="57">
        <v>0.46681712962962985</v>
      </c>
      <c r="E508" s="57">
        <v>2.314814814814815E-4</v>
      </c>
      <c r="F508" s="57">
        <v>0.46704861111111134</v>
      </c>
      <c r="G508" s="56" t="s">
        <v>195</v>
      </c>
      <c r="H508" s="56" t="s">
        <v>506</v>
      </c>
      <c r="I508" s="56" t="s">
        <v>632</v>
      </c>
      <c r="J508" s="56"/>
      <c r="K508" s="56"/>
      <c r="L508" s="56"/>
      <c r="M508" s="56"/>
      <c r="N508" s="56" t="s">
        <v>70</v>
      </c>
      <c r="O508" s="51" t="b">
        <v>0</v>
      </c>
      <c r="P508" s="51" t="b">
        <v>0</v>
      </c>
      <c r="Q508" s="51" t="b">
        <v>0</v>
      </c>
      <c r="R508" s="51" t="b">
        <v>0</v>
      </c>
      <c r="S508" s="51" t="b">
        <v>0</v>
      </c>
      <c r="T508" s="56"/>
    </row>
    <row r="509" hidden="1">
      <c r="A509" s="56" t="str">
        <f>IFERROR(__xludf.DUMMYFUNCTION("""COMPUTED_VALUE"""),"536 - Channel")</f>
        <v>536 - Channel</v>
      </c>
      <c r="B509" s="56" t="s">
        <v>16</v>
      </c>
      <c r="C509" s="56" t="s">
        <v>221</v>
      </c>
      <c r="D509" s="57">
        <v>0.46704861111111134</v>
      </c>
      <c r="E509" s="57">
        <v>3.4722222222222224E-4</v>
      </c>
      <c r="F509" s="57">
        <v>0.46739583333333357</v>
      </c>
      <c r="G509" s="56" t="s">
        <v>195</v>
      </c>
      <c r="H509" s="56" t="s">
        <v>89</v>
      </c>
      <c r="I509" s="56" t="s">
        <v>89</v>
      </c>
      <c r="J509" s="56"/>
      <c r="K509" s="56"/>
      <c r="L509" s="56"/>
      <c r="M509" s="56"/>
      <c r="N509" s="56" t="s">
        <v>70</v>
      </c>
      <c r="O509" s="51" t="b">
        <v>0</v>
      </c>
      <c r="P509" s="51" t="b">
        <v>0</v>
      </c>
      <c r="Q509" s="51" t="b">
        <v>0</v>
      </c>
      <c r="R509" s="51" t="b">
        <v>0</v>
      </c>
      <c r="S509" s="51" t="b">
        <v>0</v>
      </c>
      <c r="T509" s="56"/>
    </row>
    <row r="510" hidden="1">
      <c r="A510" s="4" t="str">
        <f>IFERROR(__xludf.DUMMYFUNCTION("""COMPUTED_VALUE"""),"537 - Channel")</f>
        <v>537 - Channel</v>
      </c>
      <c r="B510" s="4" t="s">
        <v>16</v>
      </c>
      <c r="C510" s="4" t="s">
        <v>221</v>
      </c>
      <c r="D510" s="6">
        <v>0.46739583333333357</v>
      </c>
      <c r="E510" s="6">
        <v>3.4722222222222224E-4</v>
      </c>
      <c r="F510" s="6">
        <v>0.4677430555555558</v>
      </c>
      <c r="G510" s="4" t="s">
        <v>195</v>
      </c>
      <c r="H510" s="4" t="s">
        <v>81</v>
      </c>
      <c r="I510" s="4" t="s">
        <v>81</v>
      </c>
      <c r="J510" s="4"/>
      <c r="K510" s="4"/>
      <c r="L510" s="4"/>
      <c r="M510" s="4"/>
      <c r="N510" s="4" t="s">
        <v>70</v>
      </c>
      <c r="O510" s="51" t="b">
        <v>0</v>
      </c>
      <c r="P510" s="51" t="b">
        <v>0</v>
      </c>
      <c r="Q510" s="51" t="b">
        <v>0</v>
      </c>
      <c r="R510" s="51" t="b">
        <v>0</v>
      </c>
      <c r="S510" s="51" t="b">
        <v>0</v>
      </c>
    </row>
    <row r="511">
      <c r="A511" s="56" t="str">
        <f>IFERROR(__xludf.DUMMYFUNCTION("""COMPUTED_VALUE"""),"538 - Channel")</f>
        <v>538 - Channel</v>
      </c>
      <c r="B511" s="56" t="s">
        <v>16</v>
      </c>
      <c r="C511" s="56" t="s">
        <v>221</v>
      </c>
      <c r="D511" s="57">
        <v>0.4677430555555558</v>
      </c>
      <c r="E511" s="57">
        <v>0.010717592592592593</v>
      </c>
      <c r="F511" s="57">
        <v>0.47846064814814837</v>
      </c>
      <c r="G511" s="56" t="s">
        <v>195</v>
      </c>
      <c r="H511" s="56" t="s">
        <v>94</v>
      </c>
      <c r="I511" s="56" t="s">
        <v>634</v>
      </c>
      <c r="J511" s="56" t="s">
        <v>635</v>
      </c>
      <c r="K511" s="56"/>
      <c r="L511" s="56"/>
      <c r="M511" s="56"/>
      <c r="N511" s="56" t="s">
        <v>637</v>
      </c>
      <c r="O511" s="51" t="b">
        <v>0</v>
      </c>
      <c r="P511" s="51" t="b">
        <v>0</v>
      </c>
      <c r="Q511" s="51" t="b">
        <v>0</v>
      </c>
      <c r="R511" s="51" t="b">
        <v>0</v>
      </c>
      <c r="S511" s="51" t="b">
        <v>0</v>
      </c>
      <c r="T511" s="56"/>
    </row>
    <row r="512" hidden="1">
      <c r="A512" s="56" t="str">
        <f>IFERROR(__xludf.DUMMYFUNCTION("""COMPUTED_VALUE"""),"565 - Channel")</f>
        <v>565 - Channel</v>
      </c>
      <c r="B512" s="56" t="s">
        <v>16</v>
      </c>
      <c r="C512" s="56" t="s">
        <v>221</v>
      </c>
      <c r="D512" s="57">
        <v>0.47846064814814837</v>
      </c>
      <c r="E512" s="57">
        <v>1.7361111111111112E-4</v>
      </c>
      <c r="F512" s="57">
        <v>0.4786342592592595</v>
      </c>
      <c r="G512" s="56" t="s">
        <v>195</v>
      </c>
      <c r="H512" s="56" t="s">
        <v>77</v>
      </c>
      <c r="I512" s="56" t="s">
        <v>638</v>
      </c>
      <c r="J512" s="56"/>
      <c r="K512" s="56"/>
      <c r="L512" s="56"/>
      <c r="M512" s="56"/>
      <c r="N512" s="56"/>
      <c r="O512" s="51" t="b">
        <v>0</v>
      </c>
      <c r="P512" s="51" t="b">
        <v>0</v>
      </c>
      <c r="Q512" s="51" t="b">
        <v>0</v>
      </c>
      <c r="R512" s="51" t="b">
        <v>0</v>
      </c>
      <c r="S512" s="51" t="b">
        <v>0</v>
      </c>
      <c r="T512" s="56"/>
    </row>
    <row r="513">
      <c r="A513" s="4" t="str">
        <f>IFERROR(__xludf.DUMMYFUNCTION("""COMPUTED_VALUE"""),"541 - Channel")</f>
        <v>541 - Channel</v>
      </c>
      <c r="B513" s="4" t="s">
        <v>16</v>
      </c>
      <c r="C513" s="4" t="s">
        <v>221</v>
      </c>
      <c r="D513" s="6">
        <v>0.4786342592592595</v>
      </c>
      <c r="E513" s="6">
        <v>3.4722222222222224E-4</v>
      </c>
      <c r="F513" s="6">
        <v>0.47898148148148173</v>
      </c>
      <c r="G513" s="4" t="s">
        <v>195</v>
      </c>
      <c r="H513" s="4" t="s">
        <v>81</v>
      </c>
      <c r="I513" s="4" t="s">
        <v>81</v>
      </c>
      <c r="J513" s="4"/>
      <c r="K513" s="4"/>
      <c r="L513" s="4"/>
      <c r="M513" s="4"/>
      <c r="N513" s="4" t="s">
        <v>70</v>
      </c>
      <c r="O513" s="51" t="b">
        <v>0</v>
      </c>
      <c r="P513" s="51" t="b">
        <v>0</v>
      </c>
      <c r="Q513" s="51" t="b">
        <v>0</v>
      </c>
      <c r="R513" s="51" t="b">
        <v>0</v>
      </c>
      <c r="S513" s="51" t="b">
        <v>0</v>
      </c>
    </row>
    <row r="514">
      <c r="A514" s="56" t="str">
        <f>IFERROR(__xludf.DUMMYFUNCTION("""COMPUTED_VALUE"""),"542 - Channel")</f>
        <v>542 - Channel</v>
      </c>
      <c r="B514" s="56" t="s">
        <v>16</v>
      </c>
      <c r="C514" s="56" t="s">
        <v>221</v>
      </c>
      <c r="D514" s="57">
        <v>0.47898148148148173</v>
      </c>
      <c r="E514" s="57">
        <v>0.007060185185185185</v>
      </c>
      <c r="F514" s="57">
        <v>0.4860416666666669</v>
      </c>
      <c r="G514" s="56" t="s">
        <v>195</v>
      </c>
      <c r="H514" s="56" t="s">
        <v>165</v>
      </c>
      <c r="I514" s="56" t="s">
        <v>641</v>
      </c>
      <c r="J514" s="56" t="s">
        <v>642</v>
      </c>
      <c r="K514" s="56"/>
      <c r="L514" s="56"/>
      <c r="M514" s="56"/>
      <c r="N514" s="56" t="s">
        <v>70</v>
      </c>
      <c r="O514" s="51" t="b">
        <v>0</v>
      </c>
      <c r="P514" s="51" t="b">
        <v>0</v>
      </c>
      <c r="Q514" s="51" t="b">
        <v>0</v>
      </c>
      <c r="R514" s="51" t="b">
        <v>0</v>
      </c>
      <c r="S514" s="51" t="b">
        <v>0</v>
      </c>
      <c r="T514" s="56"/>
    </row>
    <row r="515" hidden="1">
      <c r="A515" s="56" t="str">
        <f>IFERROR(__xludf.DUMMYFUNCTION("""COMPUTED_VALUE"""),"543 - Channel")</f>
        <v>543 - Channel</v>
      </c>
      <c r="B515" s="56" t="s">
        <v>16</v>
      </c>
      <c r="C515" s="56" t="s">
        <v>221</v>
      </c>
      <c r="D515" s="57">
        <v>0.4860416666666669</v>
      </c>
      <c r="E515" s="57">
        <v>1.7361111111111112E-4</v>
      </c>
      <c r="F515" s="57">
        <v>0.48621527777777807</v>
      </c>
      <c r="G515" s="56" t="s">
        <v>195</v>
      </c>
      <c r="H515" s="56" t="s">
        <v>85</v>
      </c>
      <c r="I515" s="56" t="s">
        <v>85</v>
      </c>
      <c r="J515" s="56"/>
      <c r="K515" s="56"/>
      <c r="L515" s="56"/>
      <c r="M515" s="56"/>
      <c r="N515" s="56" t="s">
        <v>70</v>
      </c>
      <c r="O515" s="51" t="b">
        <v>0</v>
      </c>
      <c r="P515" s="51" t="b">
        <v>0</v>
      </c>
      <c r="Q515" s="51" t="b">
        <v>0</v>
      </c>
      <c r="R515" s="51" t="b">
        <v>0</v>
      </c>
      <c r="S515" s="51" t="b">
        <v>0</v>
      </c>
      <c r="T515" s="56"/>
    </row>
    <row r="516" hidden="1">
      <c r="A516" s="4" t="str">
        <f>IFERROR(__xludf.DUMMYFUNCTION("""COMPUTED_VALUE"""),"545 - Channel")</f>
        <v>545 - Channel</v>
      </c>
      <c r="B516" s="4" t="s">
        <v>16</v>
      </c>
      <c r="C516" s="4" t="s">
        <v>221</v>
      </c>
      <c r="D516" s="6">
        <v>0.48621527777777807</v>
      </c>
      <c r="E516" s="6">
        <v>3.4722222222222224E-4</v>
      </c>
      <c r="F516" s="6">
        <v>0.4865625000000003</v>
      </c>
      <c r="G516" s="4" t="s">
        <v>195</v>
      </c>
      <c r="H516" s="4" t="s">
        <v>81</v>
      </c>
      <c r="I516" s="4" t="s">
        <v>81</v>
      </c>
      <c r="J516" s="4"/>
      <c r="K516" s="4"/>
      <c r="L516" s="4"/>
      <c r="M516" s="4"/>
      <c r="N516" s="4" t="s">
        <v>70</v>
      </c>
      <c r="O516" s="51" t="b">
        <v>0</v>
      </c>
      <c r="P516" s="51" t="b">
        <v>0</v>
      </c>
      <c r="Q516" s="51" t="b">
        <v>0</v>
      </c>
      <c r="R516" s="51" t="b">
        <v>0</v>
      </c>
      <c r="S516" s="51" t="b">
        <v>0</v>
      </c>
    </row>
    <row r="517">
      <c r="A517" s="56" t="str">
        <f>IFERROR(__xludf.DUMMYFUNCTION("""COMPUTED_VALUE"""),"546 - Channel")</f>
        <v>546 - Channel</v>
      </c>
      <c r="B517" s="56" t="s">
        <v>16</v>
      </c>
      <c r="C517" s="56" t="s">
        <v>221</v>
      </c>
      <c r="D517" s="57">
        <v>0.4865625000000003</v>
      </c>
      <c r="E517" s="57">
        <v>0.011273148148148148</v>
      </c>
      <c r="F517" s="57">
        <v>0.49783564814814846</v>
      </c>
      <c r="G517" s="56" t="s">
        <v>195</v>
      </c>
      <c r="H517" s="56" t="s">
        <v>74</v>
      </c>
      <c r="I517" s="56" t="s">
        <v>644</v>
      </c>
      <c r="J517" s="56" t="s">
        <v>646</v>
      </c>
      <c r="K517" s="56" t="s">
        <v>647</v>
      </c>
      <c r="L517" s="56" t="s">
        <v>648</v>
      </c>
      <c r="M517" s="56"/>
      <c r="N517" s="56" t="s">
        <v>649</v>
      </c>
      <c r="O517" s="51" t="b">
        <v>0</v>
      </c>
      <c r="P517" s="51" t="b">
        <v>0</v>
      </c>
      <c r="Q517" s="51" t="b">
        <v>0</v>
      </c>
      <c r="R517" s="51" t="b">
        <v>0</v>
      </c>
      <c r="S517" s="51" t="b">
        <v>0</v>
      </c>
      <c r="T517" s="56"/>
    </row>
    <row r="518" hidden="1">
      <c r="A518" s="4" t="str">
        <f>IFERROR(__xludf.DUMMYFUNCTION("""COMPUTED_VALUE"""),"548 - Channel")</f>
        <v>548 - Channel</v>
      </c>
      <c r="B518" s="4" t="s">
        <v>16</v>
      </c>
      <c r="C518" s="4" t="s">
        <v>221</v>
      </c>
      <c r="D518" s="6">
        <v>0.49783564814814846</v>
      </c>
      <c r="E518" s="6">
        <v>2.4305555555555555E-4</v>
      </c>
      <c r="F518" s="6">
        <v>0.498078703703704</v>
      </c>
      <c r="G518" s="4" t="s">
        <v>195</v>
      </c>
      <c r="H518" s="4" t="s">
        <v>506</v>
      </c>
      <c r="I518" s="4" t="s">
        <v>651</v>
      </c>
      <c r="J518" s="4"/>
      <c r="K518" s="4"/>
      <c r="L518" s="4"/>
      <c r="M518" s="4"/>
      <c r="N518" s="4" t="s">
        <v>70</v>
      </c>
      <c r="O518" s="51" t="b">
        <v>0</v>
      </c>
      <c r="P518" s="51" t="b">
        <v>0</v>
      </c>
      <c r="Q518" s="51" t="b">
        <v>0</v>
      </c>
      <c r="R518" s="51" t="b">
        <v>0</v>
      </c>
      <c r="S518" s="51" t="b">
        <v>0</v>
      </c>
    </row>
    <row r="519" hidden="1">
      <c r="A519" s="56" t="str">
        <f>IFERROR(__xludf.DUMMYFUNCTION("""COMPUTED_VALUE"""),"1585 - Channel")</f>
        <v>1585 - Channel</v>
      </c>
      <c r="B519" s="56" t="s">
        <v>16</v>
      </c>
      <c r="C519" s="56" t="s">
        <v>221</v>
      </c>
      <c r="D519" s="57">
        <v>0.498078703703704</v>
      </c>
      <c r="E519" s="57">
        <v>3.4722222222222224E-4</v>
      </c>
      <c r="F519" s="57">
        <v>0.4984259259259262</v>
      </c>
      <c r="G519" s="56" t="s">
        <v>195</v>
      </c>
      <c r="H519" s="56" t="s">
        <v>81</v>
      </c>
      <c r="I519" s="56" t="s">
        <v>81</v>
      </c>
      <c r="J519" s="56"/>
      <c r="K519" s="56"/>
      <c r="L519" s="56"/>
      <c r="M519" s="56"/>
      <c r="N519" s="56" t="s">
        <v>70</v>
      </c>
      <c r="O519" s="51" t="b">
        <v>0</v>
      </c>
      <c r="P519" s="51" t="b">
        <v>0</v>
      </c>
      <c r="Q519" s="51" t="b">
        <v>0</v>
      </c>
      <c r="R519" s="51" t="b">
        <v>0</v>
      </c>
      <c r="S519" s="51" t="b">
        <v>0</v>
      </c>
      <c r="T519" s="56"/>
    </row>
    <row r="520">
      <c r="A520" s="4" t="str">
        <f>IFERROR(__xludf.DUMMYFUNCTION("""COMPUTED_VALUE"""),"437 - Channel")</f>
        <v>437 - Channel</v>
      </c>
      <c r="B520" s="4" t="s">
        <v>16</v>
      </c>
      <c r="C520" s="4" t="s">
        <v>221</v>
      </c>
      <c r="D520" s="6">
        <v>0.4984259259259262</v>
      </c>
      <c r="E520" s="6">
        <v>0.0021296296296296298</v>
      </c>
      <c r="F520" s="6">
        <v>0.5005555555555559</v>
      </c>
      <c r="G520" s="4" t="s">
        <v>129</v>
      </c>
      <c r="H520" s="4" t="s">
        <v>165</v>
      </c>
      <c r="I520" s="4" t="s">
        <v>655</v>
      </c>
      <c r="J520" s="4" t="s">
        <v>656</v>
      </c>
      <c r="K520" s="4"/>
      <c r="L520" s="4"/>
      <c r="M520" s="4"/>
      <c r="N520" s="4" t="s">
        <v>70</v>
      </c>
      <c r="O520" s="51" t="b">
        <v>0</v>
      </c>
      <c r="P520" s="51" t="b">
        <v>0</v>
      </c>
      <c r="Q520" s="51" t="b">
        <v>0</v>
      </c>
      <c r="R520" s="51" t="b">
        <v>0</v>
      </c>
      <c r="S520" s="51" t="b">
        <v>0</v>
      </c>
    </row>
    <row r="521" hidden="1">
      <c r="A521" s="56" t="str">
        <f>IFERROR(__xludf.DUMMYFUNCTION("""COMPUTED_VALUE"""),"553 - Channel")</f>
        <v>553 - Channel</v>
      </c>
      <c r="B521" s="56" t="s">
        <v>16</v>
      </c>
      <c r="C521" s="56" t="s">
        <v>221</v>
      </c>
      <c r="D521" s="57"/>
      <c r="E521" s="57"/>
      <c r="F521" s="57"/>
      <c r="G521" s="56"/>
      <c r="H521" s="56"/>
      <c r="I521" s="56"/>
      <c r="J521" s="56"/>
      <c r="K521" s="56"/>
      <c r="L521" s="56"/>
      <c r="M521" s="56"/>
      <c r="N521" s="56" t="s">
        <v>70</v>
      </c>
      <c r="O521" s="51" t="b">
        <v>0</v>
      </c>
      <c r="P521" s="51" t="b">
        <v>0</v>
      </c>
      <c r="Q521" s="51" t="b">
        <v>0</v>
      </c>
      <c r="R521" s="51" t="b">
        <v>0</v>
      </c>
      <c r="S521" s="51" t="b">
        <v>0</v>
      </c>
      <c r="T521" s="56"/>
    </row>
    <row r="522">
      <c r="A522" s="56" t="str">
        <f>IFERROR(__xludf.DUMMYFUNCTION("""COMPUTED_VALUE"""),"562 - Channel")</f>
        <v>562 - Channel</v>
      </c>
      <c r="B522" s="56" t="s">
        <v>16</v>
      </c>
      <c r="C522" s="56" t="s">
        <v>221</v>
      </c>
      <c r="D522" s="57">
        <v>0.5005555555555559</v>
      </c>
      <c r="E522" s="57">
        <v>3.4722222222222224E-4</v>
      </c>
      <c r="F522" s="57">
        <v>0.5009027777777781</v>
      </c>
      <c r="G522" s="56" t="s">
        <v>658</v>
      </c>
      <c r="H522" s="56" t="s">
        <v>81</v>
      </c>
      <c r="I522" s="56" t="s">
        <v>81</v>
      </c>
      <c r="J522" s="56"/>
      <c r="K522" s="56"/>
      <c r="L522" s="56"/>
      <c r="M522" s="56"/>
      <c r="N522" s="56"/>
      <c r="O522" s="51" t="b">
        <v>0</v>
      </c>
      <c r="P522" s="51" t="b">
        <v>0</v>
      </c>
      <c r="Q522" s="51" t="b">
        <v>0</v>
      </c>
      <c r="R522" s="51" t="b">
        <v>0</v>
      </c>
      <c r="S522" s="51" t="b">
        <v>0</v>
      </c>
      <c r="T522" s="56"/>
    </row>
    <row r="523" hidden="1">
      <c r="A523" s="4" t="str">
        <f>IFERROR(__xludf.DUMMYFUNCTION("""COMPUTED_VALUE"""),"563 - Channel")</f>
        <v>563 - Channel</v>
      </c>
      <c r="B523" s="4" t="s">
        <v>16</v>
      </c>
      <c r="C523" s="4" t="s">
        <v>221</v>
      </c>
      <c r="D523" s="6">
        <v>0.5009027777777781</v>
      </c>
      <c r="E523" s="6">
        <v>0.010763888888888889</v>
      </c>
      <c r="F523" s="6">
        <v>0.511666666666667</v>
      </c>
      <c r="G523" s="4" t="s">
        <v>658</v>
      </c>
      <c r="H523" s="4" t="s">
        <v>94</v>
      </c>
      <c r="I523" s="4" t="s">
        <v>660</v>
      </c>
      <c r="J523" s="4" t="s">
        <v>661</v>
      </c>
      <c r="K523" s="4"/>
      <c r="L523" s="4"/>
      <c r="M523" s="4"/>
      <c r="N523" s="4" t="s">
        <v>662</v>
      </c>
      <c r="O523" s="51" t="b">
        <v>0</v>
      </c>
      <c r="P523" s="51" t="b">
        <v>0</v>
      </c>
      <c r="Q523" s="51" t="b">
        <v>0</v>
      </c>
      <c r="R523" s="51" t="b">
        <v>0</v>
      </c>
      <c r="S523" s="51" t="b">
        <v>0</v>
      </c>
    </row>
    <row r="524" hidden="1">
      <c r="A524" s="56" t="str">
        <f>IFERROR(__xludf.DUMMYFUNCTION("""COMPUTED_VALUE"""),"558 - Channel")</f>
        <v>558 - Channel</v>
      </c>
      <c r="B524" s="56" t="s">
        <v>16</v>
      </c>
      <c r="C524" s="56" t="s">
        <v>221</v>
      </c>
      <c r="D524" s="57">
        <v>0.511666666666667</v>
      </c>
      <c r="E524" s="57">
        <v>3.4722222222222224E-4</v>
      </c>
      <c r="F524" s="57">
        <v>0.5120138888888893</v>
      </c>
      <c r="G524" s="56" t="s">
        <v>658</v>
      </c>
      <c r="H524" s="56" t="s">
        <v>81</v>
      </c>
      <c r="I524" s="56" t="s">
        <v>81</v>
      </c>
      <c r="J524" s="56"/>
      <c r="K524" s="56"/>
      <c r="L524" s="56"/>
      <c r="M524" s="56"/>
      <c r="N524" s="56" t="s">
        <v>70</v>
      </c>
      <c r="O524" s="51" t="b">
        <v>0</v>
      </c>
      <c r="P524" s="51" t="b">
        <v>0</v>
      </c>
      <c r="Q524" s="51" t="b">
        <v>0</v>
      </c>
      <c r="R524" s="51" t="b">
        <v>0</v>
      </c>
      <c r="S524" s="51" t="b">
        <v>0</v>
      </c>
      <c r="T524" s="56"/>
    </row>
    <row r="525">
      <c r="A525" s="4" t="str">
        <f>IFERROR(__xludf.DUMMYFUNCTION("""COMPUTED_VALUE"""),"559 - Channel")</f>
        <v>559 - Channel</v>
      </c>
      <c r="B525" s="4" t="s">
        <v>16</v>
      </c>
      <c r="C525" s="4" t="s">
        <v>221</v>
      </c>
      <c r="D525" s="6">
        <v>0.5120138888888893</v>
      </c>
      <c r="E525" s="6">
        <v>0.014131944444444445</v>
      </c>
      <c r="F525" s="6">
        <v>0.5261458333333338</v>
      </c>
      <c r="G525" s="4" t="s">
        <v>658</v>
      </c>
      <c r="H525" s="4" t="s">
        <v>94</v>
      </c>
      <c r="I525" s="4" t="s">
        <v>664</v>
      </c>
      <c r="J525" s="4" t="s">
        <v>665</v>
      </c>
      <c r="K525" s="4"/>
      <c r="L525" s="4"/>
      <c r="M525" s="4"/>
      <c r="N525" s="4" t="s">
        <v>662</v>
      </c>
      <c r="O525" s="51" t="b">
        <v>0</v>
      </c>
      <c r="P525" s="51" t="b">
        <v>0</v>
      </c>
      <c r="Q525" s="51" t="b">
        <v>0</v>
      </c>
      <c r="R525" s="51" t="b">
        <v>0</v>
      </c>
      <c r="S525" s="51" t="b">
        <v>0</v>
      </c>
    </row>
    <row r="526" hidden="1">
      <c r="A526" s="56" t="str">
        <f>IFERROR(__xludf.DUMMYFUNCTION("""COMPUTED_VALUE"""),"561 - Channel")</f>
        <v>561 - Channel</v>
      </c>
      <c r="B526" s="56" t="s">
        <v>16</v>
      </c>
      <c r="C526" s="56" t="s">
        <v>221</v>
      </c>
      <c r="D526" s="57">
        <v>0.5261458333333338</v>
      </c>
      <c r="E526" s="57">
        <v>2.0833333333333335E-4</v>
      </c>
      <c r="F526" s="57">
        <v>0.5263541666666671</v>
      </c>
      <c r="G526" s="56" t="s">
        <v>658</v>
      </c>
      <c r="H526" s="56" t="s">
        <v>506</v>
      </c>
      <c r="I526" s="56" t="s">
        <v>667</v>
      </c>
      <c r="J526" s="56"/>
      <c r="K526" s="56"/>
      <c r="L526" s="56"/>
      <c r="M526" s="56"/>
      <c r="N526" s="56" t="s">
        <v>70</v>
      </c>
      <c r="O526" s="51" t="b">
        <v>0</v>
      </c>
      <c r="P526" s="51" t="b">
        <v>0</v>
      </c>
      <c r="Q526" s="51" t="b">
        <v>0</v>
      </c>
      <c r="R526" s="51" t="b">
        <v>0</v>
      </c>
      <c r="S526" s="51" t="b">
        <v>0</v>
      </c>
      <c r="T526" s="56"/>
    </row>
    <row r="527">
      <c r="A527" s="4" t="str">
        <f>IFERROR(__xludf.DUMMYFUNCTION("""COMPUTED_VALUE"""),"554 - Channel")</f>
        <v>554 - Channel</v>
      </c>
      <c r="B527" s="4" t="s">
        <v>16</v>
      </c>
      <c r="C527" s="4" t="s">
        <v>221</v>
      </c>
      <c r="D527" s="6">
        <v>0.5263541666666671</v>
      </c>
      <c r="E527" s="6">
        <v>3.4722222222222224E-4</v>
      </c>
      <c r="F527" s="6">
        <v>0.5267013888888894</v>
      </c>
      <c r="G527" s="4" t="s">
        <v>658</v>
      </c>
      <c r="H527" s="4" t="s">
        <v>81</v>
      </c>
      <c r="I527" s="4" t="s">
        <v>81</v>
      </c>
      <c r="J527" s="4"/>
      <c r="K527" s="4"/>
      <c r="L527" s="4"/>
      <c r="M527" s="4"/>
      <c r="N527" s="4" t="s">
        <v>70</v>
      </c>
      <c r="O527" s="51" t="b">
        <v>0</v>
      </c>
      <c r="P527" s="51" t="b">
        <v>0</v>
      </c>
      <c r="Q527" s="51" t="b">
        <v>0</v>
      </c>
      <c r="R527" s="51" t="b">
        <v>0</v>
      </c>
      <c r="S527" s="51" t="b">
        <v>0</v>
      </c>
    </row>
    <row r="528" hidden="1">
      <c r="A528" s="56" t="str">
        <f>IFERROR(__xludf.DUMMYFUNCTION("""COMPUTED_VALUE"""),"555 - Channel")</f>
        <v>555 - Channel</v>
      </c>
      <c r="B528" s="56" t="s">
        <v>16</v>
      </c>
      <c r="C528" s="56" t="s">
        <v>221</v>
      </c>
      <c r="D528" s="57">
        <v>0.5267013888888894</v>
      </c>
      <c r="E528" s="57">
        <v>0.011122685185185185</v>
      </c>
      <c r="F528" s="57">
        <v>0.5378240740740746</v>
      </c>
      <c r="G528" s="56" t="s">
        <v>658</v>
      </c>
      <c r="H528" s="56" t="s">
        <v>74</v>
      </c>
      <c r="I528" s="56" t="s">
        <v>669</v>
      </c>
      <c r="J528" s="56" t="s">
        <v>670</v>
      </c>
      <c r="K528" s="56" t="s">
        <v>671</v>
      </c>
      <c r="L528" s="56" t="s">
        <v>672</v>
      </c>
      <c r="M528" s="56"/>
      <c r="N528" s="56" t="s">
        <v>673</v>
      </c>
      <c r="O528" s="51" t="b">
        <v>0</v>
      </c>
      <c r="P528" s="51" t="b">
        <v>0</v>
      </c>
      <c r="Q528" s="51" t="b">
        <v>0</v>
      </c>
      <c r="R528" s="51" t="b">
        <v>0</v>
      </c>
      <c r="S528" s="51" t="b">
        <v>0</v>
      </c>
      <c r="T528" s="56"/>
    </row>
    <row r="529">
      <c r="A529" s="56" t="str">
        <f>IFERROR(__xludf.DUMMYFUNCTION("""COMPUTED_VALUE"""),"566 - Channel")</f>
        <v>566 - Channel</v>
      </c>
      <c r="B529" s="56" t="s">
        <v>16</v>
      </c>
      <c r="C529" s="56" t="s">
        <v>221</v>
      </c>
      <c r="D529" s="57">
        <v>0.5378240740740746</v>
      </c>
      <c r="E529" s="57">
        <v>3.4722222222222224E-4</v>
      </c>
      <c r="F529" s="57">
        <v>0.5381712962962969</v>
      </c>
      <c r="G529" s="56" t="s">
        <v>658</v>
      </c>
      <c r="H529" s="56" t="s">
        <v>81</v>
      </c>
      <c r="I529" s="56" t="s">
        <v>81</v>
      </c>
      <c r="J529" s="56"/>
      <c r="K529" s="56"/>
      <c r="L529" s="56"/>
      <c r="M529" s="56"/>
      <c r="N529" s="56" t="s">
        <v>70</v>
      </c>
      <c r="O529" s="51" t="b">
        <v>0</v>
      </c>
      <c r="P529" s="51" t="b">
        <v>0</v>
      </c>
      <c r="Q529" s="51" t="b">
        <v>0</v>
      </c>
      <c r="R529" s="51" t="b">
        <v>0</v>
      </c>
      <c r="S529" s="51" t="b">
        <v>0</v>
      </c>
      <c r="T529" s="56"/>
    </row>
    <row r="530" hidden="1">
      <c r="A530" s="4" t="str">
        <f>IFERROR(__xludf.DUMMYFUNCTION("""COMPUTED_VALUE"""),"567 - Channel")</f>
        <v>567 - Channel</v>
      </c>
      <c r="B530" s="4" t="s">
        <v>16</v>
      </c>
      <c r="C530" s="4" t="s">
        <v>221</v>
      </c>
      <c r="D530" s="6">
        <v>0.5381712962962969</v>
      </c>
      <c r="E530" s="6">
        <v>0.0020949074074074073</v>
      </c>
      <c r="F530" s="6">
        <v>0.5402662037037043</v>
      </c>
      <c r="G530" s="4" t="s">
        <v>658</v>
      </c>
      <c r="H530" s="4" t="s">
        <v>165</v>
      </c>
      <c r="I530" s="4" t="s">
        <v>675</v>
      </c>
      <c r="J530" s="4" t="s">
        <v>676</v>
      </c>
      <c r="K530" s="4"/>
      <c r="L530" s="4"/>
      <c r="M530" s="4"/>
      <c r="N530" s="4" t="s">
        <v>70</v>
      </c>
      <c r="O530" s="51" t="b">
        <v>0</v>
      </c>
      <c r="P530" s="51" t="b">
        <v>0</v>
      </c>
      <c r="Q530" s="51" t="b">
        <v>0</v>
      </c>
      <c r="R530" s="51" t="b">
        <v>0</v>
      </c>
      <c r="S530" s="51" t="b">
        <v>0</v>
      </c>
    </row>
    <row r="531" hidden="1">
      <c r="A531" s="56" t="str">
        <f>IFERROR(__xludf.DUMMYFUNCTION("""COMPUTED_VALUE"""),"568 - Channel")</f>
        <v>568 - Channel</v>
      </c>
      <c r="B531" s="56" t="s">
        <v>16</v>
      </c>
      <c r="C531" s="56" t="s">
        <v>221</v>
      </c>
      <c r="D531" s="57">
        <v>0.5402662037037043</v>
      </c>
      <c r="E531" s="57">
        <v>1.7361111111111112E-4</v>
      </c>
      <c r="F531" s="57">
        <v>0.5404398148148154</v>
      </c>
      <c r="G531" s="56" t="s">
        <v>658</v>
      </c>
      <c r="H531" s="56" t="s">
        <v>85</v>
      </c>
      <c r="I531" s="56" t="s">
        <v>85</v>
      </c>
      <c r="J531" s="56"/>
      <c r="K531" s="56"/>
      <c r="L531" s="56"/>
      <c r="M531" s="56"/>
      <c r="N531" s="56" t="s">
        <v>70</v>
      </c>
      <c r="O531" s="51" t="b">
        <v>0</v>
      </c>
      <c r="P531" s="51" t="b">
        <v>0</v>
      </c>
      <c r="Q531" s="51" t="b">
        <v>0</v>
      </c>
      <c r="R531" s="51" t="b">
        <v>0</v>
      </c>
      <c r="S531" s="51" t="b">
        <v>0</v>
      </c>
      <c r="T531" s="56"/>
    </row>
    <row r="532" hidden="1">
      <c r="A532" s="4" t="str">
        <f>IFERROR(__xludf.DUMMYFUNCTION("""COMPUTED_VALUE"""),"569 - Channel")</f>
        <v>569 - Channel</v>
      </c>
      <c r="B532" s="4" t="s">
        <v>16</v>
      </c>
      <c r="C532" s="4" t="s">
        <v>221</v>
      </c>
      <c r="D532" s="6">
        <v>0.5404398148148154</v>
      </c>
      <c r="E532" s="6">
        <v>2.0833333333333335E-4</v>
      </c>
      <c r="F532" s="6">
        <v>0.5406481481481488</v>
      </c>
      <c r="G532" s="4" t="s">
        <v>658</v>
      </c>
      <c r="H532" s="4" t="s">
        <v>506</v>
      </c>
      <c r="I532" s="4" t="s">
        <v>679</v>
      </c>
      <c r="J532" s="4"/>
      <c r="K532" s="4"/>
      <c r="L532" s="4"/>
      <c r="M532" s="4"/>
      <c r="N532" s="4" t="s">
        <v>70</v>
      </c>
      <c r="O532" s="51" t="b">
        <v>0</v>
      </c>
      <c r="P532" s="51" t="b">
        <v>0</v>
      </c>
      <c r="Q532" s="51" t="b">
        <v>0</v>
      </c>
      <c r="R532" s="51" t="b">
        <v>0</v>
      </c>
      <c r="S532" s="51" t="b">
        <v>0</v>
      </c>
    </row>
    <row r="533" hidden="1">
      <c r="A533" s="56" t="str">
        <f>IFERROR(__xludf.DUMMYFUNCTION("""COMPUTED_VALUE"""),"570 - Channel")</f>
        <v>570 - Channel</v>
      </c>
      <c r="B533" s="56" t="s">
        <v>16</v>
      </c>
      <c r="C533" s="56" t="s">
        <v>221</v>
      </c>
      <c r="D533" s="57">
        <v>0.5406481481481488</v>
      </c>
      <c r="E533" s="57">
        <v>6.944444444444445E-4</v>
      </c>
      <c r="F533" s="57">
        <v>0.5413425925925932</v>
      </c>
      <c r="G533" s="56" t="s">
        <v>658</v>
      </c>
      <c r="H533" s="56" t="s">
        <v>103</v>
      </c>
      <c r="I533" s="56" t="s">
        <v>681</v>
      </c>
      <c r="J533" s="56"/>
      <c r="K533" s="56"/>
      <c r="L533" s="56"/>
      <c r="M533" s="56"/>
      <c r="N533" s="56" t="s">
        <v>70</v>
      </c>
      <c r="O533" s="51" t="b">
        <v>0</v>
      </c>
      <c r="P533" s="51" t="b">
        <v>0</v>
      </c>
      <c r="Q533" s="51" t="b">
        <v>0</v>
      </c>
      <c r="R533" s="51" t="b">
        <v>0</v>
      </c>
      <c r="S533" s="51" t="b">
        <v>0</v>
      </c>
      <c r="T533" s="56"/>
    </row>
    <row r="534" hidden="1">
      <c r="A534" s="4" t="str">
        <f>IFERROR(__xludf.DUMMYFUNCTION("""COMPUTED_VALUE"""),"571 - Channel")</f>
        <v>571 - Channel</v>
      </c>
      <c r="B534" s="4" t="s">
        <v>16</v>
      </c>
      <c r="C534" s="4" t="s">
        <v>221</v>
      </c>
      <c r="D534" s="6">
        <v>0.5413425925925932</v>
      </c>
      <c r="E534" s="6">
        <v>1.7361111111111112E-4</v>
      </c>
      <c r="F534" s="6">
        <v>0.5415162037037043</v>
      </c>
      <c r="G534" s="4" t="s">
        <v>658</v>
      </c>
      <c r="H534" s="4" t="s">
        <v>77</v>
      </c>
      <c r="I534" s="4" t="s">
        <v>682</v>
      </c>
      <c r="J534" s="4"/>
      <c r="K534" s="4"/>
      <c r="L534" s="4"/>
      <c r="M534" s="4"/>
      <c r="N534" s="4" t="s">
        <v>70</v>
      </c>
      <c r="O534" s="51" t="b">
        <v>0</v>
      </c>
      <c r="P534" s="51" t="b">
        <v>0</v>
      </c>
      <c r="Q534" s="51" t="b">
        <v>0</v>
      </c>
      <c r="R534" s="51" t="b">
        <v>0</v>
      </c>
      <c r="S534" s="51" t="b">
        <v>0</v>
      </c>
    </row>
    <row r="535">
      <c r="A535" s="56" t="str">
        <f>IFERROR(__xludf.DUMMYFUNCTION("""COMPUTED_VALUE"""),"572 - Channel")</f>
        <v>572 - Channel</v>
      </c>
      <c r="B535" s="56" t="s">
        <v>16</v>
      </c>
      <c r="C535" s="56" t="s">
        <v>221</v>
      </c>
      <c r="D535" s="57"/>
      <c r="E535" s="57"/>
      <c r="F535" s="57"/>
      <c r="G535" s="56"/>
      <c r="H535" s="56"/>
      <c r="I535" s="56"/>
      <c r="J535" s="56"/>
      <c r="K535" s="56"/>
      <c r="L535" s="56"/>
      <c r="M535" s="56"/>
      <c r="N535" s="56" t="s">
        <v>70</v>
      </c>
      <c r="O535" s="51" t="b">
        <v>0</v>
      </c>
      <c r="P535" s="51" t="b">
        <v>0</v>
      </c>
      <c r="Q535" s="51" t="b">
        <v>0</v>
      </c>
      <c r="R535" s="51" t="b">
        <v>0</v>
      </c>
      <c r="S535" s="51" t="b">
        <v>0</v>
      </c>
      <c r="T535" s="56"/>
    </row>
    <row r="536" hidden="1">
      <c r="A536" s="56" t="str">
        <f>IFERROR(__xludf.DUMMYFUNCTION("""COMPUTED_VALUE"""),"573 - Channel")</f>
        <v>573 - Channel</v>
      </c>
      <c r="B536" s="56" t="s">
        <v>16</v>
      </c>
      <c r="C536" s="56" t="s">
        <v>221</v>
      </c>
      <c r="D536" s="57">
        <v>0.5415162037037043</v>
      </c>
      <c r="E536" s="57">
        <v>1.7361111111111112E-4</v>
      </c>
      <c r="F536" s="57">
        <v>0.5416898148148155</v>
      </c>
      <c r="G536" s="56" t="s">
        <v>140</v>
      </c>
      <c r="H536" s="56" t="s">
        <v>77</v>
      </c>
      <c r="I536" s="56" t="s">
        <v>684</v>
      </c>
      <c r="J536" s="56"/>
      <c r="K536" s="56"/>
      <c r="L536" s="56"/>
      <c r="M536" s="56"/>
      <c r="N536" s="56" t="s">
        <v>70</v>
      </c>
      <c r="O536" s="51" t="b">
        <v>0</v>
      </c>
      <c r="P536" s="51" t="b">
        <v>0</v>
      </c>
      <c r="Q536" s="51" t="b">
        <v>0</v>
      </c>
      <c r="R536" s="51" t="b">
        <v>0</v>
      </c>
      <c r="S536" s="51" t="b">
        <v>0</v>
      </c>
      <c r="T536" s="56"/>
    </row>
    <row r="537">
      <c r="A537" s="4" t="str">
        <f>IFERROR(__xludf.DUMMYFUNCTION("""COMPUTED_VALUE"""),"574 - Channel")</f>
        <v>574 - Channel</v>
      </c>
      <c r="B537" s="4" t="s">
        <v>16</v>
      </c>
      <c r="C537" s="4" t="s">
        <v>221</v>
      </c>
      <c r="D537" s="6">
        <v>0.5416898148148155</v>
      </c>
      <c r="E537" s="6">
        <v>3.4722222222222224E-4</v>
      </c>
      <c r="F537" s="6">
        <v>0.5420370370370378</v>
      </c>
      <c r="G537" s="4" t="s">
        <v>140</v>
      </c>
      <c r="H537" s="4" t="s">
        <v>81</v>
      </c>
      <c r="I537" s="4" t="s">
        <v>81</v>
      </c>
      <c r="J537" s="4"/>
      <c r="K537" s="4"/>
      <c r="L537" s="4"/>
      <c r="M537" s="4"/>
      <c r="N537" s="4" t="s">
        <v>70</v>
      </c>
      <c r="O537" s="51" t="b">
        <v>0</v>
      </c>
      <c r="P537" s="51" t="b">
        <v>0</v>
      </c>
      <c r="Q537" s="51" t="b">
        <v>0</v>
      </c>
      <c r="R537" s="51" t="b">
        <v>0</v>
      </c>
      <c r="S537" s="51" t="b">
        <v>0</v>
      </c>
    </row>
    <row r="538" hidden="1">
      <c r="A538" s="56" t="str">
        <f>IFERROR(__xludf.DUMMYFUNCTION("""COMPUTED_VALUE"""),"575 - Channel")</f>
        <v>575 - Channel</v>
      </c>
      <c r="B538" s="56" t="s">
        <v>16</v>
      </c>
      <c r="C538" s="56" t="s">
        <v>221</v>
      </c>
      <c r="D538" s="57">
        <v>0.5420370370370378</v>
      </c>
      <c r="E538" s="57">
        <v>0.009641203703703704</v>
      </c>
      <c r="F538" s="57">
        <v>0.5516782407407415</v>
      </c>
      <c r="G538" s="56" t="s">
        <v>140</v>
      </c>
      <c r="H538" s="56" t="s">
        <v>74</v>
      </c>
      <c r="I538" s="56" t="s">
        <v>686</v>
      </c>
      <c r="J538" s="56" t="s">
        <v>687</v>
      </c>
      <c r="K538" s="56" t="s">
        <v>688</v>
      </c>
      <c r="L538" s="56"/>
      <c r="M538" s="56"/>
      <c r="N538" s="56" t="s">
        <v>689</v>
      </c>
      <c r="O538" s="51" t="b">
        <v>0</v>
      </c>
      <c r="P538" s="51" t="b">
        <v>0</v>
      </c>
      <c r="Q538" s="51" t="b">
        <v>0</v>
      </c>
      <c r="R538" s="51" t="b">
        <v>0</v>
      </c>
      <c r="S538" s="51" t="b">
        <v>0</v>
      </c>
      <c r="T538" s="56"/>
    </row>
    <row r="539">
      <c r="A539" s="56" t="str">
        <f>IFERROR(__xludf.DUMMYFUNCTION("""COMPUTED_VALUE"""),"577 - Channel")</f>
        <v>577 - Channel</v>
      </c>
      <c r="B539" s="56" t="s">
        <v>16</v>
      </c>
      <c r="C539" s="56" t="s">
        <v>221</v>
      </c>
      <c r="D539" s="57">
        <v>0.5516782407407415</v>
      </c>
      <c r="E539" s="57">
        <v>3.4722222222222224E-4</v>
      </c>
      <c r="F539" s="57">
        <v>0.5520254629629637</v>
      </c>
      <c r="G539" s="56" t="s">
        <v>140</v>
      </c>
      <c r="H539" s="56" t="s">
        <v>81</v>
      </c>
      <c r="I539" s="56" t="s">
        <v>81</v>
      </c>
      <c r="J539" s="56"/>
      <c r="K539" s="56"/>
      <c r="L539" s="56"/>
      <c r="M539" s="56"/>
      <c r="N539" s="56" t="s">
        <v>70</v>
      </c>
      <c r="O539" s="51" t="b">
        <v>0</v>
      </c>
      <c r="P539" s="51" t="b">
        <v>0</v>
      </c>
      <c r="Q539" s="51" t="b">
        <v>0</v>
      </c>
      <c r="R539" s="51" t="b">
        <v>0</v>
      </c>
      <c r="S539" s="51" t="b">
        <v>0</v>
      </c>
      <c r="T539" s="56"/>
    </row>
    <row r="540" hidden="1">
      <c r="A540" s="4" t="str">
        <f>IFERROR(__xludf.DUMMYFUNCTION("""COMPUTED_VALUE"""),"578 - Channel")</f>
        <v>578 - Channel</v>
      </c>
      <c r="B540" s="4" t="s">
        <v>16</v>
      </c>
      <c r="C540" s="4" t="s">
        <v>221</v>
      </c>
      <c r="D540" s="6">
        <v>0.5520254629629637</v>
      </c>
      <c r="E540" s="6">
        <v>0.009340277777777777</v>
      </c>
      <c r="F540" s="6">
        <v>0.5613657407407415</v>
      </c>
      <c r="G540" s="4" t="s">
        <v>140</v>
      </c>
      <c r="H540" s="4" t="s">
        <v>107</v>
      </c>
      <c r="I540" s="4" t="s">
        <v>691</v>
      </c>
      <c r="J540" s="4" t="s">
        <v>693</v>
      </c>
      <c r="K540" s="4" t="s">
        <v>694</v>
      </c>
      <c r="L540" s="4"/>
      <c r="M540" s="4"/>
      <c r="N540" s="4" t="s">
        <v>144</v>
      </c>
      <c r="O540" s="51" t="b">
        <v>0</v>
      </c>
      <c r="P540" s="51" t="b">
        <v>0</v>
      </c>
      <c r="Q540" s="51" t="b">
        <v>0</v>
      </c>
      <c r="R540" s="51" t="b">
        <v>0</v>
      </c>
      <c r="S540" s="51" t="b">
        <v>0</v>
      </c>
    </row>
    <row r="541">
      <c r="A541" s="56" t="str">
        <f>IFERROR(__xludf.DUMMYFUNCTION("""COMPUTED_VALUE"""),"581 - Channel")</f>
        <v>581 - Channel</v>
      </c>
      <c r="B541" s="56" t="s">
        <v>16</v>
      </c>
      <c r="C541" s="56" t="s">
        <v>221</v>
      </c>
      <c r="D541" s="57">
        <v>0.5613657407407415</v>
      </c>
      <c r="E541" s="57">
        <v>3.4722222222222224E-4</v>
      </c>
      <c r="F541" s="57">
        <v>0.5617129629629638</v>
      </c>
      <c r="G541" s="56" t="s">
        <v>140</v>
      </c>
      <c r="H541" s="56" t="s">
        <v>81</v>
      </c>
      <c r="I541" s="56" t="s">
        <v>81</v>
      </c>
      <c r="J541" s="56"/>
      <c r="K541" s="56"/>
      <c r="L541" s="56"/>
      <c r="M541" s="56"/>
      <c r="N541" s="56" t="s">
        <v>70</v>
      </c>
      <c r="O541" s="51" t="b">
        <v>0</v>
      </c>
      <c r="P541" s="51" t="b">
        <v>0</v>
      </c>
      <c r="Q541" s="51" t="b">
        <v>0</v>
      </c>
      <c r="R541" s="51" t="b">
        <v>0</v>
      </c>
      <c r="S541" s="51" t="b">
        <v>0</v>
      </c>
      <c r="T541" s="56"/>
    </row>
    <row r="542" hidden="1">
      <c r="A542" s="56" t="str">
        <f>IFERROR(__xludf.DUMMYFUNCTION("""COMPUTED_VALUE"""),"582 - Channel")</f>
        <v>582 - Channel</v>
      </c>
      <c r="B542" s="56" t="s">
        <v>16</v>
      </c>
      <c r="C542" s="56" t="s">
        <v>221</v>
      </c>
      <c r="D542" s="57">
        <v>0.5617129629629638</v>
      </c>
      <c r="E542" s="57">
        <v>0.008333333333333333</v>
      </c>
      <c r="F542" s="57">
        <v>0.5700462962962971</v>
      </c>
      <c r="G542" s="56" t="s">
        <v>140</v>
      </c>
      <c r="H542" s="56" t="s">
        <v>107</v>
      </c>
      <c r="I542" s="56" t="s">
        <v>698</v>
      </c>
      <c r="J542" s="56" t="s">
        <v>699</v>
      </c>
      <c r="K542" s="56" t="s">
        <v>700</v>
      </c>
      <c r="L542" s="56"/>
      <c r="M542" s="56"/>
      <c r="N542" s="56" t="s">
        <v>701</v>
      </c>
      <c r="O542" s="51" t="b">
        <v>0</v>
      </c>
      <c r="P542" s="51" t="b">
        <v>0</v>
      </c>
      <c r="Q542" s="51" t="b">
        <v>0</v>
      </c>
      <c r="R542" s="51" t="b">
        <v>0</v>
      </c>
      <c r="S542" s="51" t="b">
        <v>0</v>
      </c>
      <c r="T542" s="56"/>
    </row>
    <row r="543" hidden="1">
      <c r="A543" s="4" t="str">
        <f>IFERROR(__xludf.DUMMYFUNCTION("""COMPUTED_VALUE"""),"584 - Channel")</f>
        <v>584 - Channel</v>
      </c>
      <c r="B543" s="4" t="s">
        <v>16</v>
      </c>
      <c r="C543" s="4" t="s">
        <v>221</v>
      </c>
      <c r="D543" s="6">
        <v>0.5700462962962971</v>
      </c>
      <c r="E543" s="6">
        <v>3.4722222222222224E-4</v>
      </c>
      <c r="F543" s="6">
        <v>0.5703935185185194</v>
      </c>
      <c r="G543" s="4" t="s">
        <v>140</v>
      </c>
      <c r="H543" s="4" t="s">
        <v>81</v>
      </c>
      <c r="I543" s="4" t="s">
        <v>81</v>
      </c>
      <c r="J543" s="4"/>
      <c r="K543" s="4"/>
      <c r="L543" s="4"/>
      <c r="M543" s="4"/>
      <c r="N543" s="4" t="s">
        <v>70</v>
      </c>
      <c r="O543" s="51" t="b">
        <v>0</v>
      </c>
      <c r="P543" s="51" t="b">
        <v>0</v>
      </c>
      <c r="Q543" s="51" t="b">
        <v>0</v>
      </c>
      <c r="R543" s="51" t="b">
        <v>0</v>
      </c>
      <c r="S543" s="51" t="b">
        <v>0</v>
      </c>
    </row>
    <row r="544">
      <c r="A544" s="56" t="str">
        <f>IFERROR(__xludf.DUMMYFUNCTION("""COMPUTED_VALUE"""),"585 - Channel")</f>
        <v>585 - Channel</v>
      </c>
      <c r="B544" s="56" t="s">
        <v>16</v>
      </c>
      <c r="C544" s="56" t="s">
        <v>221</v>
      </c>
      <c r="D544" s="57">
        <v>0.5703935185185194</v>
      </c>
      <c r="E544" s="57">
        <v>0.0125</v>
      </c>
      <c r="F544" s="57">
        <v>0.5828935185185193</v>
      </c>
      <c r="G544" s="56" t="s">
        <v>140</v>
      </c>
      <c r="H544" s="56" t="s">
        <v>94</v>
      </c>
      <c r="I544" s="56" t="s">
        <v>704</v>
      </c>
      <c r="J544" s="56" t="s">
        <v>705</v>
      </c>
      <c r="K544" s="56"/>
      <c r="L544" s="56"/>
      <c r="M544" s="56"/>
      <c r="N544" s="56" t="s">
        <v>706</v>
      </c>
      <c r="O544" s="51" t="b">
        <v>0</v>
      </c>
      <c r="P544" s="51" t="b">
        <v>0</v>
      </c>
      <c r="Q544" s="51" t="b">
        <v>0</v>
      </c>
      <c r="R544" s="51" t="b">
        <v>0</v>
      </c>
      <c r="S544" s="51" t="b">
        <v>0</v>
      </c>
      <c r="T544" s="56"/>
    </row>
    <row r="545" hidden="1">
      <c r="A545" s="4" t="str">
        <f>IFERROR(__xludf.DUMMYFUNCTION("""COMPUTED_VALUE"""),"1669 - Channel")</f>
        <v>1669 - Channel</v>
      </c>
      <c r="B545" s="4"/>
      <c r="C545" s="4"/>
      <c r="D545" s="6"/>
      <c r="E545" s="6"/>
      <c r="F545" s="6"/>
      <c r="G545" s="4"/>
      <c r="H545" s="4"/>
      <c r="I545" s="4"/>
      <c r="J545" s="4"/>
      <c r="K545" s="4"/>
      <c r="L545" s="4"/>
      <c r="M545" s="4"/>
      <c r="N545" s="4"/>
      <c r="O545" s="51" t="b">
        <v>0</v>
      </c>
      <c r="P545" s="51" t="b">
        <v>0</v>
      </c>
      <c r="Q545" s="51" t="b">
        <v>0</v>
      </c>
      <c r="R545" s="51" t="b">
        <v>0</v>
      </c>
      <c r="S545" s="51" t="b">
        <v>0</v>
      </c>
    </row>
    <row r="546">
      <c r="A546" s="4" t="str">
        <f>IFERROR(__xludf.DUMMYFUNCTION("""COMPUTED_VALUE"""),"596 - Channel")</f>
        <v>596 - Channel</v>
      </c>
      <c r="B546" s="4" t="s">
        <v>16</v>
      </c>
      <c r="C546" s="4" t="s">
        <v>221</v>
      </c>
      <c r="D546" s="6">
        <v>0.5828935185185193</v>
      </c>
      <c r="E546" s="6">
        <v>3.4722222222222224E-4</v>
      </c>
      <c r="F546" s="6">
        <v>0.5832407407407416</v>
      </c>
      <c r="G546" s="4" t="s">
        <v>189</v>
      </c>
      <c r="H546" s="4" t="s">
        <v>81</v>
      </c>
      <c r="I546" s="4" t="s">
        <v>81</v>
      </c>
      <c r="J546" s="4"/>
      <c r="K546" s="4"/>
      <c r="L546" s="4"/>
      <c r="M546" s="4"/>
      <c r="N546" s="4"/>
      <c r="O546" s="51" t="b">
        <v>0</v>
      </c>
      <c r="P546" s="51" t="b">
        <v>0</v>
      </c>
      <c r="Q546" s="51" t="b">
        <v>0</v>
      </c>
      <c r="R546" s="51" t="b">
        <v>0</v>
      </c>
      <c r="S546" s="51" t="b">
        <v>0</v>
      </c>
    </row>
    <row r="547" hidden="1">
      <c r="A547" s="56" t="str">
        <f>IFERROR(__xludf.DUMMYFUNCTION("""COMPUTED_VALUE"""),"597 - Channel")</f>
        <v>597 - Channel</v>
      </c>
      <c r="B547" s="56" t="s">
        <v>16</v>
      </c>
      <c r="C547" s="56" t="s">
        <v>221</v>
      </c>
      <c r="D547" s="57">
        <v>0.5832407407407416</v>
      </c>
      <c r="E547" s="57">
        <v>0.010231481481481482</v>
      </c>
      <c r="F547" s="57">
        <v>0.5934722222222231</v>
      </c>
      <c r="G547" s="56" t="s">
        <v>189</v>
      </c>
      <c r="H547" s="56" t="s">
        <v>165</v>
      </c>
      <c r="I547" s="56" t="s">
        <v>709</v>
      </c>
      <c r="J547" s="56" t="s">
        <v>710</v>
      </c>
      <c r="K547" s="56"/>
      <c r="L547" s="56"/>
      <c r="M547" s="56"/>
      <c r="N547" s="56"/>
      <c r="O547" s="51" t="b">
        <v>0</v>
      </c>
      <c r="P547" s="51" t="b">
        <v>0</v>
      </c>
      <c r="Q547" s="51" t="b">
        <v>0</v>
      </c>
      <c r="R547" s="51" t="b">
        <v>0</v>
      </c>
      <c r="S547" s="51" t="b">
        <v>0</v>
      </c>
      <c r="T547" s="56"/>
    </row>
    <row r="548" hidden="1">
      <c r="A548" s="4" t="str">
        <f>IFERROR(__xludf.DUMMYFUNCTION("""COMPUTED_VALUE"""),"591 - Channel")</f>
        <v>591 - Channel</v>
      </c>
      <c r="B548" s="4" t="s">
        <v>16</v>
      </c>
      <c r="C548" s="4" t="s">
        <v>221</v>
      </c>
      <c r="D548" s="6">
        <v>0.5934722222222231</v>
      </c>
      <c r="E548" s="6">
        <v>3.4722222222222224E-4</v>
      </c>
      <c r="F548" s="6">
        <v>0.5938194444444453</v>
      </c>
      <c r="G548" s="4" t="s">
        <v>189</v>
      </c>
      <c r="H548" s="4" t="s">
        <v>81</v>
      </c>
      <c r="I548" s="4" t="s">
        <v>81</v>
      </c>
      <c r="J548" s="4"/>
      <c r="K548" s="4"/>
      <c r="L548" s="4"/>
      <c r="M548" s="4"/>
      <c r="N548" s="4" t="s">
        <v>70</v>
      </c>
      <c r="O548" s="51" t="b">
        <v>0</v>
      </c>
      <c r="P548" s="51" t="b">
        <v>0</v>
      </c>
      <c r="Q548" s="51" t="b">
        <v>0</v>
      </c>
      <c r="R548" s="51" t="b">
        <v>0</v>
      </c>
      <c r="S548" s="51" t="b">
        <v>0</v>
      </c>
    </row>
    <row r="549">
      <c r="A549" s="56" t="str">
        <f>IFERROR(__xludf.DUMMYFUNCTION("""COMPUTED_VALUE"""),"594 - Channel")</f>
        <v>594 - Channel</v>
      </c>
      <c r="B549" s="56" t="s">
        <v>16</v>
      </c>
      <c r="C549" s="56" t="s">
        <v>221</v>
      </c>
      <c r="D549" s="57">
        <v>0.5938194444444453</v>
      </c>
      <c r="E549" s="57">
        <v>0.013888888888888888</v>
      </c>
      <c r="F549" s="57">
        <v>0.6077083333333342</v>
      </c>
      <c r="G549" s="56" t="s">
        <v>189</v>
      </c>
      <c r="H549" s="56" t="s">
        <v>107</v>
      </c>
      <c r="I549" s="56" t="s">
        <v>713</v>
      </c>
      <c r="J549" s="56" t="s">
        <v>714</v>
      </c>
      <c r="K549" s="56"/>
      <c r="L549" s="56"/>
      <c r="M549" s="56"/>
      <c r="N549" s="56" t="s">
        <v>715</v>
      </c>
      <c r="O549" s="51" t="b">
        <v>0</v>
      </c>
      <c r="P549" s="51" t="b">
        <v>0</v>
      </c>
      <c r="Q549" s="51" t="b">
        <v>0</v>
      </c>
      <c r="R549" s="51" t="b">
        <v>0</v>
      </c>
      <c r="S549" s="51" t="b">
        <v>0</v>
      </c>
      <c r="T549" s="56"/>
    </row>
    <row r="550" hidden="1">
      <c r="A550" s="56" t="str">
        <f>IFERROR(__xludf.DUMMYFUNCTION("""COMPUTED_VALUE"""),"580 - Channel")</f>
        <v>580 - Channel</v>
      </c>
      <c r="B550" s="56" t="s">
        <v>16</v>
      </c>
      <c r="C550" s="56" t="s">
        <v>221</v>
      </c>
      <c r="D550" s="57">
        <v>0.6077083333333342</v>
      </c>
      <c r="E550" s="57">
        <v>1.7361111111111112E-4</v>
      </c>
      <c r="F550" s="57">
        <v>0.6078819444444453</v>
      </c>
      <c r="G550" s="56" t="s">
        <v>140</v>
      </c>
      <c r="H550" s="56" t="s">
        <v>77</v>
      </c>
      <c r="I550" s="56" t="s">
        <v>717</v>
      </c>
      <c r="J550" s="56"/>
      <c r="K550" s="56"/>
      <c r="L550" s="56"/>
      <c r="M550" s="56"/>
      <c r="N550" s="56" t="s">
        <v>70</v>
      </c>
      <c r="O550" s="51" t="b">
        <v>0</v>
      </c>
      <c r="P550" s="51" t="b">
        <v>0</v>
      </c>
      <c r="Q550" s="51" t="b">
        <v>0</v>
      </c>
      <c r="R550" s="51" t="b">
        <v>0</v>
      </c>
      <c r="S550" s="51" t="b">
        <v>0</v>
      </c>
      <c r="T550" s="56"/>
    </row>
    <row r="551">
      <c r="A551" s="4" t="str">
        <f>IFERROR(__xludf.DUMMYFUNCTION("""COMPUTED_VALUE"""),"662 - Channel")</f>
        <v>662 - Channel</v>
      </c>
      <c r="B551" s="4" t="s">
        <v>16</v>
      </c>
      <c r="C551" s="4" t="s">
        <v>221</v>
      </c>
      <c r="D551" s="6">
        <v>0.6078819444444453</v>
      </c>
      <c r="E551" s="6">
        <v>3.4722222222222224E-4</v>
      </c>
      <c r="F551" s="6">
        <v>0.6082291666666676</v>
      </c>
      <c r="G551" s="4" t="s">
        <v>195</v>
      </c>
      <c r="H551" s="4" t="s">
        <v>81</v>
      </c>
      <c r="I551" s="4" t="s">
        <v>81</v>
      </c>
      <c r="J551" s="4"/>
      <c r="K551" s="4"/>
      <c r="L551" s="4"/>
      <c r="M551" s="4"/>
      <c r="N551" s="4"/>
      <c r="O551" s="51" t="b">
        <v>0</v>
      </c>
      <c r="P551" s="51" t="b">
        <v>0</v>
      </c>
      <c r="Q551" s="51" t="b">
        <v>0</v>
      </c>
      <c r="R551" s="51" t="b">
        <v>0</v>
      </c>
      <c r="S551" s="51" t="b">
        <v>0</v>
      </c>
    </row>
    <row r="552" hidden="1">
      <c r="A552" s="56" t="str">
        <f>IFERROR(__xludf.DUMMYFUNCTION("""COMPUTED_VALUE"""),"663 - Channel")</f>
        <v>663 - Channel</v>
      </c>
      <c r="B552" s="56" t="s">
        <v>16</v>
      </c>
      <c r="C552" s="56" t="s">
        <v>221</v>
      </c>
      <c r="D552" s="57">
        <v>0.6082291666666676</v>
      </c>
      <c r="E552" s="57">
        <v>0.006944444444444444</v>
      </c>
      <c r="F552" s="57">
        <v>0.615173611111112</v>
      </c>
      <c r="G552" s="56" t="s">
        <v>195</v>
      </c>
      <c r="H552" s="56" t="s">
        <v>165</v>
      </c>
      <c r="I552" s="56" t="s">
        <v>719</v>
      </c>
      <c r="J552" s="56" t="s">
        <v>720</v>
      </c>
      <c r="K552" s="56"/>
      <c r="L552" s="56"/>
      <c r="M552" s="56"/>
      <c r="N552" s="56" t="s">
        <v>70</v>
      </c>
      <c r="O552" s="51" t="b">
        <v>0</v>
      </c>
      <c r="P552" s="51" t="b">
        <v>0</v>
      </c>
      <c r="Q552" s="51" t="b">
        <v>0</v>
      </c>
      <c r="R552" s="51" t="b">
        <v>0</v>
      </c>
      <c r="S552" s="51" t="b">
        <v>0</v>
      </c>
      <c r="T552" s="56"/>
    </row>
    <row r="553">
      <c r="A553" s="56" t="str">
        <f>IFERROR(__xludf.DUMMYFUNCTION("""COMPUTED_VALUE"""),"599 - Channel")</f>
        <v>599 - Channel</v>
      </c>
      <c r="B553" s="56" t="s">
        <v>16</v>
      </c>
      <c r="C553" s="56" t="s">
        <v>221</v>
      </c>
      <c r="D553" s="57">
        <v>0.615173611111112</v>
      </c>
      <c r="E553" s="57">
        <v>3.4722222222222224E-4</v>
      </c>
      <c r="F553" s="57">
        <v>0.6155208333333343</v>
      </c>
      <c r="G553" s="56" t="s">
        <v>189</v>
      </c>
      <c r="H553" s="56" t="s">
        <v>81</v>
      </c>
      <c r="I553" s="56" t="s">
        <v>81</v>
      </c>
      <c r="J553" s="56"/>
      <c r="K553" s="56"/>
      <c r="L553" s="56"/>
      <c r="M553" s="56"/>
      <c r="N553" s="56" t="s">
        <v>70</v>
      </c>
      <c r="O553" s="51" t="b">
        <v>0</v>
      </c>
      <c r="P553" s="51" t="b">
        <v>0</v>
      </c>
      <c r="Q553" s="51" t="b">
        <v>0</v>
      </c>
      <c r="R553" s="51" t="b">
        <v>0</v>
      </c>
      <c r="S553" s="51" t="b">
        <v>0</v>
      </c>
      <c r="T553" s="56"/>
    </row>
    <row r="554" hidden="1">
      <c r="A554" s="4" t="str">
        <f>IFERROR(__xludf.DUMMYFUNCTION("""COMPUTED_VALUE"""),"600 - Channel")</f>
        <v>600 - Channel</v>
      </c>
      <c r="B554" s="4" t="s">
        <v>16</v>
      </c>
      <c r="C554" s="4" t="s">
        <v>221</v>
      </c>
      <c r="D554" s="6">
        <v>0.6155208333333343</v>
      </c>
      <c r="E554" s="6">
        <v>0.008333333333333333</v>
      </c>
      <c r="F554" s="6">
        <v>0.6238541666666676</v>
      </c>
      <c r="G554" s="4" t="s">
        <v>189</v>
      </c>
      <c r="H554" s="4" t="s">
        <v>94</v>
      </c>
      <c r="I554" s="4" t="s">
        <v>724</v>
      </c>
      <c r="J554" s="4" t="s">
        <v>725</v>
      </c>
      <c r="K554" s="4"/>
      <c r="L554" s="4"/>
      <c r="M554" s="4"/>
      <c r="N554" s="4" t="s">
        <v>321</v>
      </c>
      <c r="O554" s="51" t="b">
        <v>0</v>
      </c>
      <c r="P554" s="51" t="b">
        <v>0</v>
      </c>
      <c r="Q554" s="51" t="b">
        <v>0</v>
      </c>
      <c r="R554" s="51" t="b">
        <v>0</v>
      </c>
      <c r="S554" s="51" t="b">
        <v>0</v>
      </c>
    </row>
    <row r="555">
      <c r="A555" s="56" t="str">
        <f>IFERROR(__xludf.DUMMYFUNCTION("""COMPUTED_VALUE"""),"601 - Channel")</f>
        <v>601 - Channel</v>
      </c>
      <c r="B555" s="56" t="s">
        <v>16</v>
      </c>
      <c r="C555" s="56" t="s">
        <v>221</v>
      </c>
      <c r="D555" s="57">
        <v>0.6238541666666676</v>
      </c>
      <c r="E555" s="57">
        <v>1.7361111111111112E-4</v>
      </c>
      <c r="F555" s="57">
        <v>0.6240277777777787</v>
      </c>
      <c r="G555" s="56" t="s">
        <v>189</v>
      </c>
      <c r="H555" s="56" t="s">
        <v>85</v>
      </c>
      <c r="I555" s="56" t="s">
        <v>85</v>
      </c>
      <c r="J555" s="56"/>
      <c r="K555" s="56"/>
      <c r="L555" s="56"/>
      <c r="M555" s="56"/>
      <c r="N555" s="56" t="s">
        <v>70</v>
      </c>
      <c r="O555" s="51" t="b">
        <v>0</v>
      </c>
      <c r="P555" s="51" t="b">
        <v>0</v>
      </c>
      <c r="Q555" s="51" t="b">
        <v>0</v>
      </c>
      <c r="R555" s="51" t="b">
        <v>0</v>
      </c>
      <c r="S555" s="51" t="b">
        <v>0</v>
      </c>
      <c r="T555" s="56"/>
    </row>
    <row r="556" hidden="1">
      <c r="A556" s="56" t="str">
        <f>IFERROR(__xludf.DUMMYFUNCTION("""COMPUTED_VALUE"""),"602 - Channel")</f>
        <v>602 - Channel</v>
      </c>
      <c r="B556" s="56" t="s">
        <v>16</v>
      </c>
      <c r="C556" s="56" t="s">
        <v>221</v>
      </c>
      <c r="D556" s="57"/>
      <c r="E556" s="57"/>
      <c r="F556" s="57"/>
      <c r="G556" s="56"/>
      <c r="H556" s="56"/>
      <c r="I556" s="56"/>
      <c r="J556" s="56"/>
      <c r="K556" s="56"/>
      <c r="L556" s="56"/>
      <c r="M556" s="56"/>
      <c r="N556" s="56" t="s">
        <v>70</v>
      </c>
      <c r="O556" s="51" t="b">
        <v>0</v>
      </c>
      <c r="P556" s="51" t="b">
        <v>0</v>
      </c>
      <c r="Q556" s="51" t="b">
        <v>0</v>
      </c>
      <c r="R556" s="51" t="b">
        <v>0</v>
      </c>
      <c r="S556" s="51" t="b">
        <v>0</v>
      </c>
      <c r="T556" s="56"/>
    </row>
    <row r="557">
      <c r="A557" s="4" t="str">
        <f>IFERROR(__xludf.DUMMYFUNCTION("""COMPUTED_VALUE"""),"526 - Channel")</f>
        <v>526 - Channel</v>
      </c>
      <c r="B557" s="4" t="s">
        <v>16</v>
      </c>
      <c r="C557" s="4" t="s">
        <v>221</v>
      </c>
      <c r="D557" s="6">
        <v>0.6240277777777787</v>
      </c>
      <c r="E557" s="6">
        <v>3.4722222222222224E-4</v>
      </c>
      <c r="F557" s="6">
        <v>0.624375000000001</v>
      </c>
      <c r="G557" s="4" t="s">
        <v>394</v>
      </c>
      <c r="H557" s="4" t="s">
        <v>81</v>
      </c>
      <c r="I557" s="4" t="s">
        <v>81</v>
      </c>
      <c r="J557" s="4"/>
      <c r="K557" s="4"/>
      <c r="L557" s="4"/>
      <c r="M557" s="4"/>
      <c r="N557" s="4" t="s">
        <v>70</v>
      </c>
      <c r="O557" s="51" t="b">
        <v>0</v>
      </c>
      <c r="P557" s="51" t="b">
        <v>0</v>
      </c>
      <c r="Q557" s="51" t="b">
        <v>0</v>
      </c>
      <c r="R557" s="51" t="b">
        <v>0</v>
      </c>
      <c r="S557" s="51" t="b">
        <v>0</v>
      </c>
    </row>
    <row r="558">
      <c r="A558" s="56" t="str">
        <f>IFERROR(__xludf.DUMMYFUNCTION("""COMPUTED_VALUE"""),"527 - Channel")</f>
        <v>527 - Channel</v>
      </c>
      <c r="B558" s="56" t="s">
        <v>16</v>
      </c>
      <c r="C558" s="56" t="s">
        <v>221</v>
      </c>
      <c r="D558" s="57">
        <v>0.624375000000001</v>
      </c>
      <c r="E558" s="57">
        <v>0.008333333333333333</v>
      </c>
      <c r="F558" s="57">
        <v>0.6327083333333343</v>
      </c>
      <c r="G558" s="56" t="s">
        <v>394</v>
      </c>
      <c r="H558" s="56" t="s">
        <v>107</v>
      </c>
      <c r="I558" s="56" t="s">
        <v>729</v>
      </c>
      <c r="J558" s="56" t="s">
        <v>730</v>
      </c>
      <c r="K558" s="81" t="s">
        <v>492</v>
      </c>
      <c r="L558" s="56"/>
      <c r="M558" s="56"/>
      <c r="N558" s="56" t="s">
        <v>733</v>
      </c>
      <c r="O558" s="51" t="b">
        <v>0</v>
      </c>
      <c r="P558" s="51" t="b">
        <v>0</v>
      </c>
      <c r="Q558" s="51" t="b">
        <v>0</v>
      </c>
      <c r="R558" s="51" t="b">
        <v>0</v>
      </c>
      <c r="S558" s="51" t="b">
        <v>0</v>
      </c>
      <c r="T558" s="56"/>
    </row>
    <row r="559" hidden="1">
      <c r="A559" s="4" t="str">
        <f>IFERROR(__xludf.DUMMYFUNCTION("""COMPUTED_VALUE"""),"528 - Channel")</f>
        <v>528 - Channel</v>
      </c>
      <c r="B559" s="4" t="s">
        <v>16</v>
      </c>
      <c r="C559" s="4" t="s">
        <v>221</v>
      </c>
      <c r="D559" s="6">
        <v>0.6327083333333343</v>
      </c>
      <c r="E559" s="6">
        <v>1.7361111111111112E-4</v>
      </c>
      <c r="F559" s="6">
        <v>0.6328819444444455</v>
      </c>
      <c r="G559" s="4" t="s">
        <v>394</v>
      </c>
      <c r="H559" s="4" t="s">
        <v>85</v>
      </c>
      <c r="I559" s="4" t="s">
        <v>85</v>
      </c>
      <c r="J559" s="4"/>
      <c r="K559" s="4"/>
      <c r="L559" s="4"/>
      <c r="M559" s="4"/>
      <c r="N559" s="4" t="s">
        <v>70</v>
      </c>
      <c r="O559" s="51" t="b">
        <v>0</v>
      </c>
      <c r="P559" s="51" t="b">
        <v>0</v>
      </c>
      <c r="Q559" s="51" t="b">
        <v>0</v>
      </c>
      <c r="R559" s="51" t="b">
        <v>0</v>
      </c>
      <c r="S559" s="51" t="b">
        <v>0</v>
      </c>
    </row>
    <row r="560">
      <c r="A560" s="4" t="str">
        <f>IFERROR(__xludf.DUMMYFUNCTION("""COMPUTED_VALUE"""),"1456 - Channel")</f>
        <v>1456 - Channel</v>
      </c>
      <c r="B560" s="4" t="s">
        <v>16</v>
      </c>
      <c r="C560" s="4" t="s">
        <v>221</v>
      </c>
      <c r="D560" s="6">
        <v>0.6328819444444455</v>
      </c>
      <c r="E560" s="6">
        <v>3.4722222222222224E-4</v>
      </c>
      <c r="F560" s="6">
        <v>0.6332291666666677</v>
      </c>
      <c r="G560" s="4" t="s">
        <v>737</v>
      </c>
      <c r="H560" s="4" t="s">
        <v>81</v>
      </c>
      <c r="I560" s="4" t="s">
        <v>81</v>
      </c>
      <c r="J560" s="4"/>
      <c r="K560" s="4"/>
      <c r="L560" s="4"/>
      <c r="M560" s="4"/>
      <c r="N560" s="4" t="s">
        <v>70</v>
      </c>
      <c r="O560" s="51" t="b">
        <v>0</v>
      </c>
      <c r="P560" s="51" t="b">
        <v>0</v>
      </c>
      <c r="Q560" s="51" t="b">
        <v>0</v>
      </c>
      <c r="R560" s="51" t="b">
        <v>0</v>
      </c>
      <c r="S560" s="51" t="b">
        <v>0</v>
      </c>
    </row>
    <row r="561" hidden="1">
      <c r="A561" s="4" t="str">
        <f>IFERROR(__xludf.DUMMYFUNCTION("""COMPUTED_VALUE"""),"1457 - Channel")</f>
        <v>1457 - Channel</v>
      </c>
      <c r="B561" s="4" t="s">
        <v>16</v>
      </c>
      <c r="C561" s="4" t="s">
        <v>221</v>
      </c>
      <c r="D561" s="6">
        <v>0.6332291666666677</v>
      </c>
      <c r="E561" s="6">
        <v>0.009027777777777777</v>
      </c>
      <c r="F561" s="6">
        <v>0.6422569444444455</v>
      </c>
      <c r="G561" s="4" t="s">
        <v>737</v>
      </c>
      <c r="H561" s="4" t="s">
        <v>94</v>
      </c>
      <c r="I561" s="4" t="s">
        <v>738</v>
      </c>
      <c r="J561" s="4" t="s">
        <v>740</v>
      </c>
      <c r="K561" s="4"/>
      <c r="L561" s="4"/>
      <c r="M561" s="4"/>
      <c r="N561" s="4" t="s">
        <v>742</v>
      </c>
      <c r="O561" s="51" t="b">
        <v>0</v>
      </c>
      <c r="P561" s="51" t="b">
        <v>0</v>
      </c>
      <c r="Q561" s="51" t="b">
        <v>0</v>
      </c>
      <c r="R561" s="51" t="b">
        <v>0</v>
      </c>
      <c r="S561" s="51" t="b">
        <v>0</v>
      </c>
    </row>
    <row r="562">
      <c r="A562" s="4" t="str">
        <f>IFERROR(__xludf.DUMMYFUNCTION("""COMPUTED_VALUE"""),"659 - Channel")</f>
        <v>659 - Channel</v>
      </c>
      <c r="B562" s="4" t="s">
        <v>16</v>
      </c>
      <c r="C562" s="4" t="s">
        <v>221</v>
      </c>
      <c r="D562" s="6">
        <v>0.6422569444444455</v>
      </c>
      <c r="E562" s="6">
        <v>3.4722222222222224E-4</v>
      </c>
      <c r="F562" s="6">
        <v>0.6426041666666678</v>
      </c>
      <c r="G562" s="4" t="s">
        <v>737</v>
      </c>
      <c r="H562" s="4" t="s">
        <v>81</v>
      </c>
      <c r="I562" s="4" t="s">
        <v>81</v>
      </c>
      <c r="J562" s="4"/>
      <c r="K562" s="4"/>
      <c r="L562" s="4"/>
      <c r="M562" s="4"/>
      <c r="N562" s="4"/>
      <c r="O562" s="51" t="b">
        <v>0</v>
      </c>
      <c r="P562" s="51" t="b">
        <v>0</v>
      </c>
      <c r="Q562" s="51" t="b">
        <v>0</v>
      </c>
      <c r="R562" s="51" t="b">
        <v>0</v>
      </c>
      <c r="S562" s="51" t="b">
        <v>0</v>
      </c>
    </row>
    <row r="563">
      <c r="A563" s="4" t="str">
        <f>IFERROR(__xludf.DUMMYFUNCTION("""COMPUTED_VALUE"""),"660 - Channel")</f>
        <v>660 - Channel</v>
      </c>
      <c r="B563" s="4" t="s">
        <v>16</v>
      </c>
      <c r="C563" s="4" t="s">
        <v>221</v>
      </c>
      <c r="D563" s="6">
        <v>0.6426041666666678</v>
      </c>
      <c r="E563" s="6">
        <v>0.013888888888888888</v>
      </c>
      <c r="F563" s="6">
        <v>0.6564930555555566</v>
      </c>
      <c r="G563" s="4" t="s">
        <v>737</v>
      </c>
      <c r="H563" s="4" t="s">
        <v>94</v>
      </c>
      <c r="I563" s="4" t="s">
        <v>745</v>
      </c>
      <c r="J563" s="4" t="s">
        <v>746</v>
      </c>
      <c r="K563" s="4"/>
      <c r="L563" s="4"/>
      <c r="M563" s="4"/>
      <c r="N563" s="4" t="s">
        <v>171</v>
      </c>
      <c r="O563" s="51" t="b">
        <v>0</v>
      </c>
      <c r="P563" s="51" t="b">
        <v>0</v>
      </c>
      <c r="Q563" s="51" t="b">
        <v>0</v>
      </c>
      <c r="R563" s="51" t="b">
        <v>0</v>
      </c>
      <c r="S563" s="51" t="b">
        <v>0</v>
      </c>
    </row>
    <row r="564" hidden="1">
      <c r="A564" s="56" t="str">
        <f>IFERROR(__xludf.DUMMYFUNCTION("""COMPUTED_VALUE"""),"686 - Channel")</f>
        <v>686 - Channel</v>
      </c>
      <c r="B564" s="56" t="s">
        <v>16</v>
      </c>
      <c r="C564" s="56" t="s">
        <v>221</v>
      </c>
      <c r="D564" s="57">
        <v>0.6564930555555566</v>
      </c>
      <c r="E564" s="57">
        <v>3.4722222222222224E-4</v>
      </c>
      <c r="F564" s="57">
        <v>0.6568402777777789</v>
      </c>
      <c r="G564" s="56" t="s">
        <v>151</v>
      </c>
      <c r="H564" s="56" t="s">
        <v>81</v>
      </c>
      <c r="I564" s="56" t="s">
        <v>81</v>
      </c>
      <c r="J564" s="56"/>
      <c r="K564" s="56"/>
      <c r="L564" s="56"/>
      <c r="M564" s="56"/>
      <c r="N564" s="56"/>
      <c r="O564" s="51" t="b">
        <v>0</v>
      </c>
      <c r="P564" s="51" t="b">
        <v>0</v>
      </c>
      <c r="Q564" s="51" t="b">
        <v>0</v>
      </c>
      <c r="R564" s="51" t="b">
        <v>0</v>
      </c>
      <c r="S564" s="51" t="b">
        <v>0</v>
      </c>
      <c r="T564" s="56"/>
    </row>
    <row r="565">
      <c r="A565" s="4" t="str">
        <f>IFERROR(__xludf.DUMMYFUNCTION("""COMPUTED_VALUE"""),"687 - Channel")</f>
        <v>687 - Channel</v>
      </c>
      <c r="B565" s="4" t="s">
        <v>16</v>
      </c>
      <c r="C565" s="4" t="s">
        <v>221</v>
      </c>
      <c r="D565" s="6">
        <v>0.6568402777777789</v>
      </c>
      <c r="E565" s="6">
        <v>0.010416666666666666</v>
      </c>
      <c r="F565" s="6">
        <v>0.6672569444444455</v>
      </c>
      <c r="G565" s="4" t="s">
        <v>151</v>
      </c>
      <c r="H565" s="4" t="s">
        <v>107</v>
      </c>
      <c r="I565" s="4" t="s">
        <v>748</v>
      </c>
      <c r="J565" s="4" t="s">
        <v>749</v>
      </c>
      <c r="K565" s="4" t="s">
        <v>751</v>
      </c>
      <c r="L565" s="4"/>
      <c r="M565" s="4"/>
      <c r="N565" s="4" t="s">
        <v>752</v>
      </c>
      <c r="O565" s="51" t="b">
        <v>0</v>
      </c>
      <c r="P565" s="51" t="b">
        <v>0</v>
      </c>
      <c r="Q565" s="51" t="b">
        <v>0</v>
      </c>
      <c r="R565" s="51" t="b">
        <v>0</v>
      </c>
      <c r="S565" s="51" t="b">
        <v>0</v>
      </c>
    </row>
    <row r="566" hidden="1">
      <c r="A566" s="56" t="str">
        <f>IFERROR(__xludf.DUMMYFUNCTION("""COMPUTED_VALUE"""),"615 - Channel")</f>
        <v>615 - Channel</v>
      </c>
      <c r="B566" s="56" t="s">
        <v>16</v>
      </c>
      <c r="C566" s="56" t="s">
        <v>221</v>
      </c>
      <c r="D566" s="57"/>
      <c r="E566" s="57"/>
      <c r="F566" s="57"/>
      <c r="G566" s="56"/>
      <c r="H566" s="56"/>
      <c r="I566" s="56"/>
      <c r="J566" s="56"/>
      <c r="K566" s="56"/>
      <c r="L566" s="56"/>
      <c r="M566" s="56"/>
      <c r="N566" s="56"/>
      <c r="O566" s="51" t="b">
        <v>0</v>
      </c>
      <c r="P566" s="51" t="b">
        <v>0</v>
      </c>
      <c r="Q566" s="51" t="b">
        <v>0</v>
      </c>
      <c r="R566" s="51" t="b">
        <v>0</v>
      </c>
      <c r="S566" s="51" t="b">
        <v>0</v>
      </c>
      <c r="T566" s="56"/>
    </row>
    <row r="567" hidden="1">
      <c r="A567" s="56" t="str">
        <f>IFERROR(__xludf.DUMMYFUNCTION("""COMPUTED_VALUE"""),"593 - Channel")</f>
        <v>593 - Channel</v>
      </c>
      <c r="B567" s="56" t="s">
        <v>16</v>
      </c>
      <c r="C567" s="56" t="s">
        <v>221</v>
      </c>
      <c r="D567" s="57">
        <v>0.6672569444444455</v>
      </c>
      <c r="E567" s="57">
        <v>3.4722222222222224E-4</v>
      </c>
      <c r="F567" s="57">
        <v>0.6676041666666678</v>
      </c>
      <c r="G567" s="56" t="s">
        <v>754</v>
      </c>
      <c r="H567" s="56" t="s">
        <v>506</v>
      </c>
      <c r="I567" s="56" t="s">
        <v>755</v>
      </c>
      <c r="J567" s="56"/>
      <c r="K567" s="56"/>
      <c r="L567" s="56"/>
      <c r="M567" s="56"/>
      <c r="N567" s="56"/>
      <c r="O567" s="51" t="b">
        <v>0</v>
      </c>
      <c r="P567" s="51" t="b">
        <v>0</v>
      </c>
      <c r="Q567" s="51" t="b">
        <v>0</v>
      </c>
      <c r="R567" s="51" t="b">
        <v>0</v>
      </c>
      <c r="S567" s="51" t="b">
        <v>0</v>
      </c>
      <c r="T567" s="56"/>
    </row>
    <row r="568">
      <c r="A568" s="4" t="str">
        <f>IFERROR(__xludf.DUMMYFUNCTION("""COMPUTED_VALUE"""),"617 - Channel")</f>
        <v>617 - Channel</v>
      </c>
      <c r="B568" s="4" t="s">
        <v>16</v>
      </c>
      <c r="C568" s="4" t="s">
        <v>221</v>
      </c>
      <c r="D568" s="6">
        <v>0.6676041666666678</v>
      </c>
      <c r="E568" s="6">
        <v>3.4722222222222224E-4</v>
      </c>
      <c r="F568" s="6">
        <v>0.66795138888889</v>
      </c>
      <c r="G568" s="4" t="s">
        <v>754</v>
      </c>
      <c r="H568" s="4" t="s">
        <v>81</v>
      </c>
      <c r="I568" s="4" t="s">
        <v>81</v>
      </c>
      <c r="J568" s="4"/>
      <c r="K568" s="4"/>
      <c r="L568" s="4"/>
      <c r="M568" s="4"/>
      <c r="N568" s="4"/>
      <c r="O568" s="51" t="b">
        <v>0</v>
      </c>
      <c r="P568" s="51" t="b">
        <v>0</v>
      </c>
      <c r="Q568" s="51" t="b">
        <v>0</v>
      </c>
      <c r="R568" s="51" t="b">
        <v>0</v>
      </c>
      <c r="S568" s="51" t="b">
        <v>0</v>
      </c>
    </row>
    <row r="569" hidden="1">
      <c r="A569" s="56" t="str">
        <f>IFERROR(__xludf.DUMMYFUNCTION("""COMPUTED_VALUE"""),"618 - Channel")</f>
        <v>618 - Channel</v>
      </c>
      <c r="B569" s="56" t="s">
        <v>16</v>
      </c>
      <c r="C569" s="56" t="s">
        <v>221</v>
      </c>
      <c r="D569" s="57">
        <v>0.66795138888889</v>
      </c>
      <c r="E569" s="57">
        <v>0.008333333333333333</v>
      </c>
      <c r="F569" s="57">
        <v>0.6762847222222234</v>
      </c>
      <c r="G569" s="56" t="s">
        <v>754</v>
      </c>
      <c r="H569" s="56" t="s">
        <v>107</v>
      </c>
      <c r="I569" s="56" t="s">
        <v>758</v>
      </c>
      <c r="J569" s="56" t="s">
        <v>759</v>
      </c>
      <c r="K569" s="56" t="s">
        <v>760</v>
      </c>
      <c r="L569" s="56"/>
      <c r="M569" s="56"/>
      <c r="N569" s="56" t="s">
        <v>761</v>
      </c>
      <c r="O569" s="51" t="b">
        <v>0</v>
      </c>
      <c r="P569" s="51" t="b">
        <v>0</v>
      </c>
      <c r="Q569" s="51" t="b">
        <v>0</v>
      </c>
      <c r="R569" s="51" t="b">
        <v>0</v>
      </c>
      <c r="S569" s="51" t="b">
        <v>0</v>
      </c>
      <c r="T569" s="56"/>
    </row>
    <row r="570">
      <c r="A570" s="4" t="str">
        <f>IFERROR(__xludf.DUMMYFUNCTION("""COMPUTED_VALUE"""),"619 - Channel")</f>
        <v>619 - Channel</v>
      </c>
      <c r="B570" s="4" t="s">
        <v>16</v>
      </c>
      <c r="C570" s="4" t="s">
        <v>221</v>
      </c>
      <c r="D570" s="6">
        <v>0.6762847222222234</v>
      </c>
      <c r="E570" s="6">
        <v>1.7361111111111112E-4</v>
      </c>
      <c r="F570" s="6">
        <v>0.6764583333333345</v>
      </c>
      <c r="G570" s="4" t="s">
        <v>754</v>
      </c>
      <c r="H570" s="4" t="s">
        <v>85</v>
      </c>
      <c r="I570" s="4" t="s">
        <v>85</v>
      </c>
      <c r="J570" s="4"/>
      <c r="K570" s="4"/>
      <c r="L570" s="4"/>
      <c r="M570" s="4"/>
      <c r="N570" s="4" t="s">
        <v>70</v>
      </c>
      <c r="O570" s="51" t="b">
        <v>0</v>
      </c>
      <c r="P570" s="51" t="b">
        <v>0</v>
      </c>
      <c r="Q570" s="51" t="b">
        <v>0</v>
      </c>
      <c r="R570" s="51" t="b">
        <v>0</v>
      </c>
      <c r="S570" s="51" t="b">
        <v>0</v>
      </c>
    </row>
    <row r="571">
      <c r="A571" s="56" t="str">
        <f>IFERROR(__xludf.DUMMYFUNCTION("""COMPUTED_VALUE"""),"621 - Channel")</f>
        <v>621 - Channel</v>
      </c>
      <c r="B571" s="56" t="s">
        <v>16</v>
      </c>
      <c r="C571" s="56" t="s">
        <v>221</v>
      </c>
      <c r="D571" s="57">
        <v>0.6764583333333345</v>
      </c>
      <c r="E571" s="57">
        <v>3.4722222222222224E-4</v>
      </c>
      <c r="F571" s="57">
        <v>0.6768055555555568</v>
      </c>
      <c r="G571" s="56" t="s">
        <v>754</v>
      </c>
      <c r="H571" s="56" t="s">
        <v>81</v>
      </c>
      <c r="I571" s="56" t="s">
        <v>81</v>
      </c>
      <c r="J571" s="56"/>
      <c r="K571" s="56"/>
      <c r="L571" s="56"/>
      <c r="M571" s="56"/>
      <c r="N571" s="56" t="s">
        <v>70</v>
      </c>
      <c r="O571" s="51" t="b">
        <v>0</v>
      </c>
      <c r="P571" s="51" t="b">
        <v>0</v>
      </c>
      <c r="Q571" s="51" t="b">
        <v>0</v>
      </c>
      <c r="R571" s="51" t="b">
        <v>0</v>
      </c>
      <c r="S571" s="51" t="b">
        <v>0</v>
      </c>
      <c r="T571" s="56"/>
    </row>
    <row r="572" hidden="1">
      <c r="A572" s="4" t="str">
        <f>IFERROR(__xludf.DUMMYFUNCTION("""COMPUTED_VALUE"""),"622 - Channel")</f>
        <v>622 - Channel</v>
      </c>
      <c r="B572" s="4" t="s">
        <v>16</v>
      </c>
      <c r="C572" s="4" t="s">
        <v>221</v>
      </c>
      <c r="D572" s="6">
        <v>0.6768055555555568</v>
      </c>
      <c r="E572" s="6">
        <v>0.013888888888888888</v>
      </c>
      <c r="F572" s="6">
        <v>0.6906944444444456</v>
      </c>
      <c r="G572" s="4" t="s">
        <v>754</v>
      </c>
      <c r="H572" s="4" t="s">
        <v>94</v>
      </c>
      <c r="I572" s="4" t="s">
        <v>763</v>
      </c>
      <c r="J572" s="4" t="s">
        <v>764</v>
      </c>
      <c r="K572" s="4"/>
      <c r="L572" s="4"/>
      <c r="M572" s="4"/>
      <c r="N572" s="4" t="s">
        <v>765</v>
      </c>
      <c r="O572" s="51" t="b">
        <v>0</v>
      </c>
      <c r="P572" s="51" t="b">
        <v>0</v>
      </c>
      <c r="Q572" s="51" t="b">
        <v>0</v>
      </c>
      <c r="R572" s="51" t="b">
        <v>0</v>
      </c>
      <c r="S572" s="51" t="b">
        <v>0</v>
      </c>
    </row>
    <row r="573">
      <c r="A573" s="56" t="str">
        <f>IFERROR(__xludf.DUMMYFUNCTION("""COMPUTED_VALUE"""),"624 - Channel")</f>
        <v>624 - Channel</v>
      </c>
      <c r="B573" s="56" t="s">
        <v>16</v>
      </c>
      <c r="C573" s="56" t="s">
        <v>221</v>
      </c>
      <c r="D573" s="57">
        <v>0.6906944444444456</v>
      </c>
      <c r="E573" s="57">
        <v>3.4722222222222224E-4</v>
      </c>
      <c r="F573" s="57">
        <v>0.6910416666666679</v>
      </c>
      <c r="G573" s="56" t="s">
        <v>754</v>
      </c>
      <c r="H573" s="56" t="s">
        <v>81</v>
      </c>
      <c r="I573" s="56" t="s">
        <v>81</v>
      </c>
      <c r="J573" s="56"/>
      <c r="K573" s="56"/>
      <c r="L573" s="56"/>
      <c r="M573" s="56"/>
      <c r="N573" s="56" t="s">
        <v>70</v>
      </c>
      <c r="O573" s="51" t="b">
        <v>0</v>
      </c>
      <c r="P573" s="51" t="b">
        <v>0</v>
      </c>
      <c r="Q573" s="51" t="b">
        <v>0</v>
      </c>
      <c r="R573" s="51" t="b">
        <v>0</v>
      </c>
      <c r="S573" s="51" t="b">
        <v>0</v>
      </c>
      <c r="T573" s="56"/>
    </row>
    <row r="574">
      <c r="A574" s="4" t="str">
        <f>IFERROR(__xludf.DUMMYFUNCTION("""COMPUTED_VALUE"""),"625 - Channel")</f>
        <v>625 - Channel</v>
      </c>
      <c r="B574" s="4" t="s">
        <v>16</v>
      </c>
      <c r="C574" s="4" t="s">
        <v>221</v>
      </c>
      <c r="D574" s="6">
        <v>0.6910416666666679</v>
      </c>
      <c r="E574" s="6">
        <v>0.007974537037037037</v>
      </c>
      <c r="F574" s="6">
        <v>0.6990162037037049</v>
      </c>
      <c r="G574" s="4" t="s">
        <v>754</v>
      </c>
      <c r="H574" s="4" t="s">
        <v>94</v>
      </c>
      <c r="I574" s="4" t="s">
        <v>767</v>
      </c>
      <c r="J574" s="4" t="s">
        <v>768</v>
      </c>
      <c r="K574" s="4"/>
      <c r="L574" s="4"/>
      <c r="M574" s="4"/>
      <c r="N574" s="4" t="s">
        <v>769</v>
      </c>
      <c r="O574" s="51" t="b">
        <v>0</v>
      </c>
      <c r="P574" s="51" t="b">
        <v>0</v>
      </c>
      <c r="Q574" s="51" t="b">
        <v>0</v>
      </c>
      <c r="R574" s="51" t="b">
        <v>0</v>
      </c>
      <c r="S574" s="51" t="b">
        <v>0</v>
      </c>
    </row>
    <row r="575" hidden="1">
      <c r="A575" s="56" t="str">
        <f>IFERROR(__xludf.DUMMYFUNCTION("""COMPUTED_VALUE"""),"627 - Channel")</f>
        <v>627 - Channel</v>
      </c>
      <c r="B575" s="56" t="s">
        <v>16</v>
      </c>
      <c r="C575" s="56" t="s">
        <v>221</v>
      </c>
      <c r="D575" s="57">
        <v>0.6990162037037049</v>
      </c>
      <c r="E575" s="57">
        <v>3.4722222222222224E-4</v>
      </c>
      <c r="F575" s="57">
        <v>0.6993634259259272</v>
      </c>
      <c r="G575" s="56" t="s">
        <v>754</v>
      </c>
      <c r="H575" s="56" t="s">
        <v>81</v>
      </c>
      <c r="I575" s="56" t="s">
        <v>81</v>
      </c>
      <c r="J575" s="56"/>
      <c r="K575" s="56"/>
      <c r="L575" s="56"/>
      <c r="M575" s="56"/>
      <c r="N575" s="56" t="s">
        <v>70</v>
      </c>
      <c r="O575" s="51" t="b">
        <v>0</v>
      </c>
      <c r="P575" s="51" t="b">
        <v>0</v>
      </c>
      <c r="Q575" s="51" t="b">
        <v>0</v>
      </c>
      <c r="R575" s="51" t="b">
        <v>0</v>
      </c>
      <c r="S575" s="51" t="b">
        <v>0</v>
      </c>
      <c r="T575" s="56"/>
    </row>
    <row r="576">
      <c r="A576" s="4" t="str">
        <f>IFERROR(__xludf.DUMMYFUNCTION("""COMPUTED_VALUE"""),"628 - Channel")</f>
        <v>628 - Channel</v>
      </c>
      <c r="B576" s="4" t="s">
        <v>16</v>
      </c>
      <c r="C576" s="4" t="s">
        <v>221</v>
      </c>
      <c r="D576" s="6">
        <v>0.6993634259259272</v>
      </c>
      <c r="E576" s="6">
        <v>0.008078703703703704</v>
      </c>
      <c r="F576" s="6">
        <v>0.7074421296296308</v>
      </c>
      <c r="G576" s="4" t="s">
        <v>754</v>
      </c>
      <c r="H576" s="4" t="s">
        <v>107</v>
      </c>
      <c r="I576" s="4" t="s">
        <v>771</v>
      </c>
      <c r="J576" s="4" t="s">
        <v>772</v>
      </c>
      <c r="K576" s="4" t="s">
        <v>773</v>
      </c>
      <c r="L576" s="4"/>
      <c r="M576" s="4"/>
      <c r="N576" s="4" t="s">
        <v>102</v>
      </c>
      <c r="O576" s="51" t="b">
        <v>0</v>
      </c>
      <c r="P576" s="51" t="b">
        <v>0</v>
      </c>
      <c r="Q576" s="51" t="b">
        <v>0</v>
      </c>
      <c r="R576" s="51" t="b">
        <v>0</v>
      </c>
      <c r="S576" s="51" t="b">
        <v>0</v>
      </c>
    </row>
    <row r="577">
      <c r="A577" s="56" t="str">
        <f>IFERROR(__xludf.DUMMYFUNCTION("""COMPUTED_VALUE"""),"631 - Channel")</f>
        <v>631 - Channel</v>
      </c>
      <c r="B577" s="56" t="s">
        <v>16</v>
      </c>
      <c r="C577" s="56" t="s">
        <v>221</v>
      </c>
      <c r="D577" s="57">
        <v>0.7074421296296308</v>
      </c>
      <c r="E577" s="57">
        <v>3.4722222222222224E-4</v>
      </c>
      <c r="F577" s="57">
        <v>0.7077893518518531</v>
      </c>
      <c r="G577" s="56" t="s">
        <v>754</v>
      </c>
      <c r="H577" s="56" t="s">
        <v>598</v>
      </c>
      <c r="I577" s="56" t="s">
        <v>598</v>
      </c>
      <c r="J577" s="56"/>
      <c r="K577" s="56"/>
      <c r="L577" s="56"/>
      <c r="M577" s="56"/>
      <c r="N577" s="56" t="s">
        <v>70</v>
      </c>
      <c r="O577" s="51" t="b">
        <v>0</v>
      </c>
      <c r="P577" s="51" t="b">
        <v>0</v>
      </c>
      <c r="Q577" s="51" t="b">
        <v>0</v>
      </c>
      <c r="R577" s="51" t="b">
        <v>0</v>
      </c>
      <c r="S577" s="51" t="b">
        <v>0</v>
      </c>
      <c r="T577" s="56"/>
    </row>
    <row r="578" hidden="1">
      <c r="A578" s="4" t="str">
        <f>IFERROR(__xludf.DUMMYFUNCTION("""COMPUTED_VALUE"""),"632 - Channel")</f>
        <v>632 - Channel</v>
      </c>
      <c r="B578" s="4" t="s">
        <v>16</v>
      </c>
      <c r="C578" s="4"/>
      <c r="D578" s="6"/>
      <c r="E578" s="6"/>
      <c r="F578" s="6"/>
      <c r="G578" s="4"/>
      <c r="H578" s="4"/>
      <c r="I578" s="4"/>
      <c r="J578" s="4"/>
      <c r="K578" s="4"/>
      <c r="L578" s="4"/>
      <c r="M578" s="4"/>
      <c r="N578" s="4" t="s">
        <v>70</v>
      </c>
      <c r="O578" s="51" t="b">
        <v>0</v>
      </c>
      <c r="P578" s="51" t="b">
        <v>0</v>
      </c>
      <c r="Q578" s="51" t="b">
        <v>0</v>
      </c>
      <c r="R578" s="51" t="b">
        <v>0</v>
      </c>
      <c r="S578" s="51" t="b">
        <v>0</v>
      </c>
    </row>
    <row r="579">
      <c r="A579" s="56" t="str">
        <f>IFERROR(__xludf.DUMMYFUNCTION("""COMPUTED_VALUE"""),"633 - Channel")</f>
        <v>633 - Channel</v>
      </c>
      <c r="B579" s="56" t="s">
        <v>16</v>
      </c>
      <c r="C579" s="56"/>
      <c r="D579" s="57"/>
      <c r="E579" s="57"/>
      <c r="F579" s="57"/>
      <c r="G579" s="56"/>
      <c r="H579" s="56"/>
      <c r="I579" s="56"/>
      <c r="J579" s="56"/>
      <c r="K579" s="56"/>
      <c r="L579" s="56"/>
      <c r="M579" s="56"/>
      <c r="N579" s="56" t="s">
        <v>70</v>
      </c>
      <c r="O579" s="51" t="b">
        <v>0</v>
      </c>
      <c r="P579" s="51" t="b">
        <v>0</v>
      </c>
      <c r="Q579" s="51" t="b">
        <v>0</v>
      </c>
      <c r="R579" s="51" t="b">
        <v>0</v>
      </c>
      <c r="S579" s="51" t="b">
        <v>0</v>
      </c>
      <c r="T579" s="56"/>
    </row>
    <row r="580" hidden="1">
      <c r="A580" s="4" t="str">
        <f>IFERROR(__xludf.DUMMYFUNCTION("""COMPUTED_VALUE"""),"634 - Channel")</f>
        <v>634 - Channel</v>
      </c>
      <c r="B580" s="4" t="s">
        <v>344</v>
      </c>
      <c r="C580" s="4"/>
      <c r="D580" s="6"/>
      <c r="E580" s="6"/>
      <c r="F580" s="6"/>
      <c r="G580" s="4"/>
      <c r="H580" s="4"/>
      <c r="I580" s="4"/>
      <c r="J580" s="4"/>
      <c r="K580" s="4"/>
      <c r="L580" s="4"/>
      <c r="M580" s="4"/>
      <c r="N580" s="4" t="s">
        <v>70</v>
      </c>
      <c r="O580" s="51" t="b">
        <v>0</v>
      </c>
      <c r="P580" s="51" t="b">
        <v>0</v>
      </c>
      <c r="Q580" s="51" t="b">
        <v>0</v>
      </c>
      <c r="R580" s="51" t="b">
        <v>0</v>
      </c>
      <c r="S580" s="51" t="b">
        <v>0</v>
      </c>
    </row>
    <row r="581" hidden="1">
      <c r="A581" s="56" t="str">
        <f>IFERROR(__xludf.DUMMYFUNCTION("""COMPUTED_VALUE"""),"635 - Channel")</f>
        <v>635 - Channel</v>
      </c>
      <c r="B581" s="56" t="s">
        <v>16</v>
      </c>
      <c r="C581" s="56" t="s">
        <v>289</v>
      </c>
      <c r="D581" s="57">
        <v>0.4166666666666667</v>
      </c>
      <c r="E581" s="57">
        <v>0.0010416666666666667</v>
      </c>
      <c r="F581" s="57">
        <v>0.41770833333333335</v>
      </c>
      <c r="G581" s="56" t="s">
        <v>120</v>
      </c>
      <c r="H581" s="56" t="s">
        <v>67</v>
      </c>
      <c r="I581" s="56" t="s">
        <v>67</v>
      </c>
      <c r="J581" s="56"/>
      <c r="K581" s="56"/>
      <c r="L581" s="56"/>
      <c r="M581" s="56"/>
      <c r="N581" s="56" t="s">
        <v>70</v>
      </c>
      <c r="O581" s="51" t="b">
        <v>0</v>
      </c>
      <c r="P581" s="51" t="b">
        <v>0</v>
      </c>
      <c r="Q581" s="51" t="b">
        <v>0</v>
      </c>
      <c r="R581" s="51" t="b">
        <v>0</v>
      </c>
      <c r="S581" s="51" t="b">
        <v>0</v>
      </c>
      <c r="T581" s="56"/>
    </row>
    <row r="582" hidden="1">
      <c r="A582" s="4" t="str">
        <f>IFERROR(__xludf.DUMMYFUNCTION("""COMPUTED_VALUE"""),"636 - Channel")</f>
        <v>636 - Channel</v>
      </c>
      <c r="B582" s="4" t="s">
        <v>16</v>
      </c>
      <c r="C582" s="4" t="s">
        <v>289</v>
      </c>
      <c r="D582" s="6">
        <v>0.41770833333333335</v>
      </c>
      <c r="E582" s="6">
        <v>1.7361111111111112E-4</v>
      </c>
      <c r="F582" s="6">
        <v>0.4178819444444445</v>
      </c>
      <c r="G582" s="4" t="s">
        <v>120</v>
      </c>
      <c r="H582" s="4" t="s">
        <v>81</v>
      </c>
      <c r="I582" s="4" t="s">
        <v>81</v>
      </c>
      <c r="J582" s="4"/>
      <c r="K582" s="4"/>
      <c r="L582" s="4"/>
      <c r="M582" s="4"/>
      <c r="N582" s="4" t="s">
        <v>70</v>
      </c>
      <c r="O582" s="51" t="b">
        <v>0</v>
      </c>
      <c r="P582" s="51" t="b">
        <v>0</v>
      </c>
      <c r="Q582" s="51" t="b">
        <v>0</v>
      </c>
      <c r="R582" s="51" t="b">
        <v>0</v>
      </c>
      <c r="S582" s="51" t="b">
        <v>0</v>
      </c>
    </row>
    <row r="583" hidden="1">
      <c r="A583" s="4" t="str">
        <f>IFERROR(__xludf.DUMMYFUNCTION("""COMPUTED_VALUE"""),"637 - Channel")</f>
        <v>637 - Channel</v>
      </c>
      <c r="B583" s="4" t="s">
        <v>16</v>
      </c>
      <c r="C583" s="4" t="s">
        <v>289</v>
      </c>
      <c r="D583" s="6">
        <v>0.4178819444444445</v>
      </c>
      <c r="E583" s="6">
        <v>0.011435185185185185</v>
      </c>
      <c r="F583" s="6">
        <v>0.42931712962962965</v>
      </c>
      <c r="G583" s="4" t="s">
        <v>120</v>
      </c>
      <c r="H583" s="4" t="s">
        <v>74</v>
      </c>
      <c r="I583" s="4" t="s">
        <v>779</v>
      </c>
      <c r="J583" s="4" t="s">
        <v>780</v>
      </c>
      <c r="K583" s="4" t="s">
        <v>781</v>
      </c>
      <c r="L583" s="4" t="s">
        <v>782</v>
      </c>
      <c r="M583" s="4"/>
      <c r="N583" s="4" t="s">
        <v>783</v>
      </c>
      <c r="O583" s="51" t="b">
        <v>0</v>
      </c>
      <c r="P583" s="51" t="b">
        <v>0</v>
      </c>
      <c r="Q583" s="51" t="b">
        <v>0</v>
      </c>
      <c r="R583" s="51" t="b">
        <v>0</v>
      </c>
      <c r="S583" s="51" t="b">
        <v>0</v>
      </c>
    </row>
    <row r="584" hidden="1">
      <c r="A584" s="56" t="str">
        <f>IFERROR(__xludf.DUMMYFUNCTION("""COMPUTED_VALUE"""),"638 - Channel")</f>
        <v>638 - Channel</v>
      </c>
      <c r="B584" s="56" t="s">
        <v>16</v>
      </c>
      <c r="C584" s="56" t="s">
        <v>289</v>
      </c>
      <c r="D584" s="57">
        <v>0.42931712962962965</v>
      </c>
      <c r="E584" s="57">
        <v>1.7361111111111112E-4</v>
      </c>
      <c r="F584" s="57">
        <v>0.4294907407407408</v>
      </c>
      <c r="G584" s="56" t="s">
        <v>120</v>
      </c>
      <c r="H584" s="56" t="s">
        <v>85</v>
      </c>
      <c r="I584" s="56" t="s">
        <v>85</v>
      </c>
      <c r="J584" s="56"/>
      <c r="K584" s="56"/>
      <c r="L584" s="56"/>
      <c r="M584" s="56"/>
      <c r="N584" s="56" t="s">
        <v>70</v>
      </c>
      <c r="O584" s="51" t="b">
        <v>0</v>
      </c>
      <c r="P584" s="51" t="b">
        <v>0</v>
      </c>
      <c r="Q584" s="51" t="b">
        <v>0</v>
      </c>
      <c r="R584" s="51" t="b">
        <v>0</v>
      </c>
      <c r="S584" s="51" t="b">
        <v>0</v>
      </c>
      <c r="T584" s="56"/>
    </row>
    <row r="585">
      <c r="A585" s="4" t="str">
        <f>IFERROR(__xludf.DUMMYFUNCTION("""COMPUTED_VALUE"""),"639 - Channel")</f>
        <v>639 - Channel</v>
      </c>
      <c r="B585" s="4" t="s">
        <v>16</v>
      </c>
      <c r="C585" s="4" t="s">
        <v>289</v>
      </c>
      <c r="D585" s="6">
        <v>0.4294907407407408</v>
      </c>
      <c r="E585" s="6">
        <v>3.4722222222222224E-4</v>
      </c>
      <c r="F585" s="6">
        <v>0.429837962962963</v>
      </c>
      <c r="G585" s="4" t="s">
        <v>120</v>
      </c>
      <c r="H585" s="4" t="s">
        <v>81</v>
      </c>
      <c r="I585" s="4" t="s">
        <v>81</v>
      </c>
      <c r="J585" s="4"/>
      <c r="K585" s="4"/>
      <c r="L585" s="4"/>
      <c r="M585" s="4"/>
      <c r="N585" s="4" t="s">
        <v>70</v>
      </c>
      <c r="O585" s="51" t="b">
        <v>0</v>
      </c>
      <c r="P585" s="51" t="b">
        <v>0</v>
      </c>
      <c r="Q585" s="51" t="b">
        <v>0</v>
      </c>
      <c r="R585" s="51" t="b">
        <v>0</v>
      </c>
      <c r="S585" s="51" t="b">
        <v>0</v>
      </c>
    </row>
    <row r="586" hidden="1">
      <c r="A586" s="56" t="str">
        <f>IFERROR(__xludf.DUMMYFUNCTION("""COMPUTED_VALUE"""),"640 - Channel")</f>
        <v>640 - Channel</v>
      </c>
      <c r="B586" s="56" t="s">
        <v>16</v>
      </c>
      <c r="C586" s="56" t="s">
        <v>289</v>
      </c>
      <c r="D586" s="57">
        <v>0.429837962962963</v>
      </c>
      <c r="E586" s="57">
        <v>0.01363425925925926</v>
      </c>
      <c r="F586" s="57">
        <v>0.44347222222222227</v>
      </c>
      <c r="G586" s="56" t="s">
        <v>120</v>
      </c>
      <c r="H586" s="56" t="s">
        <v>94</v>
      </c>
      <c r="I586" s="56" t="s">
        <v>792</v>
      </c>
      <c r="J586" s="56" t="s">
        <v>794</v>
      </c>
      <c r="K586" s="56"/>
      <c r="L586" s="56"/>
      <c r="M586" s="56"/>
      <c r="N586" s="56" t="s">
        <v>795</v>
      </c>
      <c r="O586" s="51" t="b">
        <v>0</v>
      </c>
      <c r="P586" s="51" t="b">
        <v>0</v>
      </c>
      <c r="Q586" s="51" t="b">
        <v>0</v>
      </c>
      <c r="R586" s="51" t="b">
        <v>0</v>
      </c>
      <c r="S586" s="51" t="b">
        <v>0</v>
      </c>
      <c r="T586" s="56"/>
    </row>
    <row r="587">
      <c r="A587" s="56" t="str">
        <f>IFERROR(__xludf.DUMMYFUNCTION("""COMPUTED_VALUE"""),"641 - Channel")</f>
        <v>641 - Channel</v>
      </c>
      <c r="B587" s="56" t="s">
        <v>16</v>
      </c>
      <c r="C587" s="56" t="s">
        <v>289</v>
      </c>
      <c r="D587" s="57">
        <v>0.44347222222222227</v>
      </c>
      <c r="E587" s="57">
        <v>3.4722222222222224E-4</v>
      </c>
      <c r="F587" s="57">
        <v>0.4438194444444445</v>
      </c>
      <c r="G587" s="56" t="s">
        <v>120</v>
      </c>
      <c r="H587" s="56" t="s">
        <v>85</v>
      </c>
      <c r="I587" s="56" t="s">
        <v>796</v>
      </c>
      <c r="J587" s="56"/>
      <c r="K587" s="56"/>
      <c r="L587" s="56"/>
      <c r="M587" s="56"/>
      <c r="N587" s="56" t="s">
        <v>70</v>
      </c>
      <c r="O587" s="51" t="b">
        <v>0</v>
      </c>
      <c r="P587" s="51" t="b">
        <v>0</v>
      </c>
      <c r="Q587" s="51" t="b">
        <v>0</v>
      </c>
      <c r="R587" s="51" t="b">
        <v>0</v>
      </c>
      <c r="S587" s="51" t="b">
        <v>0</v>
      </c>
      <c r="T587" s="56"/>
    </row>
    <row r="588">
      <c r="A588" s="4" t="str">
        <f>IFERROR(__xludf.DUMMYFUNCTION("""COMPUTED_VALUE"""),"643 - Channel")</f>
        <v>643 - Channel</v>
      </c>
      <c r="B588" s="4" t="s">
        <v>16</v>
      </c>
      <c r="C588" s="4" t="s">
        <v>289</v>
      </c>
      <c r="D588" s="6">
        <v>0.4438194444444445</v>
      </c>
      <c r="E588" s="6">
        <v>1.7361111111111112E-4</v>
      </c>
      <c r="F588" s="6">
        <v>0.4439930555555556</v>
      </c>
      <c r="G588" s="4" t="s">
        <v>120</v>
      </c>
      <c r="H588" s="4" t="s">
        <v>77</v>
      </c>
      <c r="I588" s="4" t="s">
        <v>798</v>
      </c>
      <c r="J588" s="4"/>
      <c r="K588" s="4"/>
      <c r="L588" s="4"/>
      <c r="M588" s="4"/>
      <c r="N588" s="4" t="s">
        <v>70</v>
      </c>
      <c r="O588" s="51" t="b">
        <v>0</v>
      </c>
      <c r="P588" s="51" t="b">
        <v>0</v>
      </c>
      <c r="Q588" s="51" t="b">
        <v>0</v>
      </c>
      <c r="R588" s="51" t="b">
        <v>0</v>
      </c>
      <c r="S588" s="51" t="b">
        <v>0</v>
      </c>
    </row>
    <row r="589" hidden="1">
      <c r="A589" s="56" t="str">
        <f>IFERROR(__xludf.DUMMYFUNCTION("""COMPUTED_VALUE"""),"644 - Channel")</f>
        <v>644 - Channel</v>
      </c>
      <c r="B589" s="56" t="s">
        <v>16</v>
      </c>
      <c r="C589" s="56" t="s">
        <v>289</v>
      </c>
      <c r="D589" s="57">
        <v>0.4439930555555556</v>
      </c>
      <c r="E589" s="57">
        <v>3.4722222222222224E-4</v>
      </c>
      <c r="F589" s="57">
        <v>0.44434027777777785</v>
      </c>
      <c r="G589" s="56" t="s">
        <v>120</v>
      </c>
      <c r="H589" s="56" t="s">
        <v>81</v>
      </c>
      <c r="I589" s="56" t="s">
        <v>81</v>
      </c>
      <c r="J589" s="56"/>
      <c r="K589" s="56"/>
      <c r="L589" s="56"/>
      <c r="M589" s="56"/>
      <c r="N589" s="56" t="s">
        <v>70</v>
      </c>
      <c r="O589" s="51" t="b">
        <v>0</v>
      </c>
      <c r="P589" s="51" t="b">
        <v>0</v>
      </c>
      <c r="Q589" s="51" t="b">
        <v>0</v>
      </c>
      <c r="R589" s="51" t="b">
        <v>0</v>
      </c>
      <c r="S589" s="51" t="b">
        <v>0</v>
      </c>
      <c r="T589" s="56"/>
    </row>
    <row r="590">
      <c r="A590" s="56" t="str">
        <f>IFERROR(__xludf.DUMMYFUNCTION("""COMPUTED_VALUE"""),"645 - Channel")</f>
        <v>645 - Channel</v>
      </c>
      <c r="B590" s="56" t="s">
        <v>16</v>
      </c>
      <c r="C590" s="56" t="s">
        <v>289</v>
      </c>
      <c r="D590" s="57">
        <v>0.44434027777777785</v>
      </c>
      <c r="E590" s="57">
        <v>0.0025</v>
      </c>
      <c r="F590" s="57">
        <v>0.44684027777777785</v>
      </c>
      <c r="G590" s="56" t="s">
        <v>120</v>
      </c>
      <c r="H590" s="56" t="s">
        <v>165</v>
      </c>
      <c r="I590" s="56" t="s">
        <v>801</v>
      </c>
      <c r="J590" s="56" t="s">
        <v>802</v>
      </c>
      <c r="K590" s="56"/>
      <c r="L590" s="56"/>
      <c r="M590" s="56"/>
      <c r="N590" s="56" t="s">
        <v>70</v>
      </c>
      <c r="O590" s="51" t="b">
        <v>0</v>
      </c>
      <c r="P590" s="51" t="b">
        <v>0</v>
      </c>
      <c r="Q590" s="51" t="b">
        <v>0</v>
      </c>
      <c r="R590" s="51" t="b">
        <v>0</v>
      </c>
      <c r="S590" s="51" t="b">
        <v>0</v>
      </c>
      <c r="T590" s="56"/>
    </row>
    <row r="591" hidden="1">
      <c r="A591" s="4" t="str">
        <f>IFERROR(__xludf.DUMMYFUNCTION("""COMPUTED_VALUE"""),"646 - Channel")</f>
        <v>646 - Channel</v>
      </c>
      <c r="B591" s="4" t="s">
        <v>16</v>
      </c>
      <c r="C591" s="4" t="s">
        <v>289</v>
      </c>
      <c r="D591" s="6">
        <v>0.44684027777777785</v>
      </c>
      <c r="E591" s="6">
        <v>1.7361111111111112E-4</v>
      </c>
      <c r="F591" s="6">
        <v>0.447013888888889</v>
      </c>
      <c r="G591" s="4" t="s">
        <v>120</v>
      </c>
      <c r="H591" s="4" t="s">
        <v>85</v>
      </c>
      <c r="I591" s="4" t="s">
        <v>85</v>
      </c>
      <c r="J591" s="4"/>
      <c r="K591" s="4"/>
      <c r="L591" s="4"/>
      <c r="M591" s="4"/>
      <c r="N591" s="4" t="s">
        <v>70</v>
      </c>
      <c r="O591" s="51" t="b">
        <v>0</v>
      </c>
      <c r="P591" s="51" t="b">
        <v>0</v>
      </c>
      <c r="Q591" s="51" t="b">
        <v>0</v>
      </c>
      <c r="R591" s="51" t="b">
        <v>0</v>
      </c>
      <c r="S591" s="51" t="b">
        <v>0</v>
      </c>
    </row>
    <row r="592">
      <c r="A592" s="56" t="str">
        <f>IFERROR(__xludf.DUMMYFUNCTION("""COMPUTED_VALUE"""),"647 - Channel")</f>
        <v>647 - Channel</v>
      </c>
      <c r="B592" s="56" t="s">
        <v>16</v>
      </c>
      <c r="C592" s="56" t="s">
        <v>289</v>
      </c>
      <c r="D592" s="57">
        <v>0.447013888888889</v>
      </c>
      <c r="E592" s="57">
        <v>3.4722222222222224E-4</v>
      </c>
      <c r="F592" s="57">
        <v>0.4473611111111112</v>
      </c>
      <c r="G592" s="56" t="s">
        <v>120</v>
      </c>
      <c r="H592" s="56" t="s">
        <v>506</v>
      </c>
      <c r="I592" s="56" t="s">
        <v>755</v>
      </c>
      <c r="J592" s="56"/>
      <c r="K592" s="56"/>
      <c r="L592" s="56"/>
      <c r="M592" s="56"/>
      <c r="N592" s="56" t="s">
        <v>70</v>
      </c>
      <c r="O592" s="51" t="b">
        <v>0</v>
      </c>
      <c r="P592" s="51" t="b">
        <v>0</v>
      </c>
      <c r="Q592" s="51" t="b">
        <v>0</v>
      </c>
      <c r="R592" s="51" t="b">
        <v>0</v>
      </c>
      <c r="S592" s="51" t="b">
        <v>0</v>
      </c>
      <c r="T592" s="56"/>
    </row>
    <row r="593" hidden="1">
      <c r="A593" s="56" t="str">
        <f>IFERROR(__xludf.DUMMYFUNCTION("""COMPUTED_VALUE"""),"648 - Channel")</f>
        <v>648 - Channel</v>
      </c>
      <c r="B593" s="56" t="s">
        <v>16</v>
      </c>
      <c r="C593" s="56" t="s">
        <v>289</v>
      </c>
      <c r="D593" s="57">
        <v>0.4473611111111112</v>
      </c>
      <c r="E593" s="57">
        <v>3.4722222222222224E-4</v>
      </c>
      <c r="F593" s="57">
        <v>0.44770833333333343</v>
      </c>
      <c r="G593" s="56" t="s">
        <v>120</v>
      </c>
      <c r="H593" s="56" t="s">
        <v>81</v>
      </c>
      <c r="I593" s="56" t="s">
        <v>81</v>
      </c>
      <c r="J593" s="56"/>
      <c r="K593" s="56"/>
      <c r="L593" s="56"/>
      <c r="M593" s="56"/>
      <c r="N593" s="56" t="s">
        <v>70</v>
      </c>
      <c r="O593" s="51" t="b">
        <v>0</v>
      </c>
      <c r="P593" s="51" t="b">
        <v>0</v>
      </c>
      <c r="Q593" s="51" t="b">
        <v>0</v>
      </c>
      <c r="R593" s="51" t="b">
        <v>0</v>
      </c>
      <c r="S593" s="51" t="b">
        <v>0</v>
      </c>
      <c r="T593" s="56"/>
    </row>
    <row r="594">
      <c r="A594" s="4" t="str">
        <f>IFERROR(__xludf.DUMMYFUNCTION("""COMPUTED_VALUE"""),"649 - Channel")</f>
        <v>649 - Channel</v>
      </c>
      <c r="B594" s="4" t="s">
        <v>16</v>
      </c>
      <c r="C594" s="4" t="s">
        <v>289</v>
      </c>
      <c r="D594" s="6">
        <v>0.44770833333333343</v>
      </c>
      <c r="E594" s="6">
        <v>0.007569444444444445</v>
      </c>
      <c r="F594" s="6">
        <v>0.4552777777777779</v>
      </c>
      <c r="G594" s="4" t="s">
        <v>120</v>
      </c>
      <c r="H594" s="4" t="s">
        <v>107</v>
      </c>
      <c r="I594" s="4" t="s">
        <v>805</v>
      </c>
      <c r="J594" s="4" t="s">
        <v>806</v>
      </c>
      <c r="K594" s="4" t="s">
        <v>807</v>
      </c>
      <c r="L594" s="4"/>
      <c r="M594" s="4"/>
      <c r="N594" s="4" t="s">
        <v>808</v>
      </c>
      <c r="O594" s="51" t="b">
        <v>0</v>
      </c>
      <c r="P594" s="51" t="b">
        <v>0</v>
      </c>
      <c r="Q594" s="51" t="b">
        <v>0</v>
      </c>
      <c r="R594" s="51" t="b">
        <v>0</v>
      </c>
      <c r="S594" s="51" t="b">
        <v>0</v>
      </c>
    </row>
    <row r="595" hidden="1">
      <c r="A595" s="56" t="str">
        <f>IFERROR(__xludf.DUMMYFUNCTION("""COMPUTED_VALUE"""),"650 - Channel")</f>
        <v>650 - Channel</v>
      </c>
      <c r="B595" s="56" t="s">
        <v>16</v>
      </c>
      <c r="C595" s="56" t="s">
        <v>289</v>
      </c>
      <c r="D595" s="57">
        <v>0.4552777777777779</v>
      </c>
      <c r="E595" s="57">
        <v>1.7361111111111112E-4</v>
      </c>
      <c r="F595" s="57">
        <v>0.45545138888888903</v>
      </c>
      <c r="G595" s="56" t="s">
        <v>120</v>
      </c>
      <c r="H595" s="56" t="s">
        <v>85</v>
      </c>
      <c r="I595" s="56" t="s">
        <v>85</v>
      </c>
      <c r="J595" s="56"/>
      <c r="K595" s="56"/>
      <c r="L595" s="56"/>
      <c r="M595" s="56"/>
      <c r="N595" s="56" t="s">
        <v>70</v>
      </c>
      <c r="O595" s="51" t="b">
        <v>0</v>
      </c>
      <c r="P595" s="51" t="b">
        <v>0</v>
      </c>
      <c r="Q595" s="51" t="b">
        <v>0</v>
      </c>
      <c r="R595" s="51" t="b">
        <v>0</v>
      </c>
      <c r="S595" s="51" t="b">
        <v>0</v>
      </c>
      <c r="T595" s="56"/>
    </row>
    <row r="596">
      <c r="A596" s="4" t="str">
        <f>IFERROR(__xludf.DUMMYFUNCTION("""COMPUTED_VALUE"""),"652 - Channel")</f>
        <v>652 - Channel</v>
      </c>
      <c r="B596" s="4" t="s">
        <v>16</v>
      </c>
      <c r="C596" s="4" t="s">
        <v>289</v>
      </c>
      <c r="D596" s="6">
        <v>0.45545138888888903</v>
      </c>
      <c r="E596" s="6">
        <v>1.7361111111111112E-4</v>
      </c>
      <c r="F596" s="6">
        <v>0.45562500000000017</v>
      </c>
      <c r="G596" s="4" t="s">
        <v>120</v>
      </c>
      <c r="H596" s="4" t="s">
        <v>77</v>
      </c>
      <c r="I596" s="4" t="s">
        <v>810</v>
      </c>
      <c r="J596" s="4"/>
      <c r="K596" s="4"/>
      <c r="L596" s="4"/>
      <c r="M596" s="4"/>
      <c r="N596" s="4" t="s">
        <v>70</v>
      </c>
      <c r="O596" s="51" t="b">
        <v>0</v>
      </c>
      <c r="P596" s="51" t="b">
        <v>0</v>
      </c>
      <c r="Q596" s="51" t="b">
        <v>0</v>
      </c>
      <c r="R596" s="51" t="b">
        <v>0</v>
      </c>
      <c r="S596" s="51" t="b">
        <v>0</v>
      </c>
    </row>
    <row r="597" hidden="1">
      <c r="A597" s="56" t="str">
        <f>IFERROR(__xludf.DUMMYFUNCTION("""COMPUTED_VALUE"""),"653 - Channel")</f>
        <v>653 - Channel</v>
      </c>
      <c r="B597" s="56" t="s">
        <v>16</v>
      </c>
      <c r="C597" s="56" t="s">
        <v>289</v>
      </c>
      <c r="D597" s="57">
        <v>0.45562500000000017</v>
      </c>
      <c r="E597" s="57">
        <v>3.4722222222222224E-4</v>
      </c>
      <c r="F597" s="57">
        <v>0.4559722222222224</v>
      </c>
      <c r="G597" s="56" t="s">
        <v>120</v>
      </c>
      <c r="H597" s="56" t="s">
        <v>81</v>
      </c>
      <c r="I597" s="56" t="s">
        <v>81</v>
      </c>
      <c r="J597" s="56"/>
      <c r="K597" s="56"/>
      <c r="L597" s="56"/>
      <c r="M597" s="56"/>
      <c r="N597" s="56" t="s">
        <v>70</v>
      </c>
      <c r="O597" s="51" t="b">
        <v>0</v>
      </c>
      <c r="P597" s="51" t="b">
        <v>0</v>
      </c>
      <c r="Q597" s="51" t="b">
        <v>0</v>
      </c>
      <c r="R597" s="51" t="b">
        <v>0</v>
      </c>
      <c r="S597" s="51" t="b">
        <v>0</v>
      </c>
      <c r="T597" s="56"/>
    </row>
    <row r="598">
      <c r="A598" s="4" t="str">
        <f>IFERROR(__xludf.DUMMYFUNCTION("""COMPUTED_VALUE"""),"654 - Channel")</f>
        <v>654 - Channel</v>
      </c>
      <c r="B598" s="4" t="s">
        <v>16</v>
      </c>
      <c r="C598" s="4" t="s">
        <v>289</v>
      </c>
      <c r="D598" s="6">
        <v>0.4559722222222224</v>
      </c>
      <c r="E598" s="6">
        <v>0.0021064814814814813</v>
      </c>
      <c r="F598" s="6">
        <v>0.45807870370370385</v>
      </c>
      <c r="G598" s="4" t="s">
        <v>120</v>
      </c>
      <c r="H598" s="4" t="s">
        <v>165</v>
      </c>
      <c r="I598" s="4" t="s">
        <v>812</v>
      </c>
      <c r="J598" s="4" t="s">
        <v>813</v>
      </c>
      <c r="K598" s="4"/>
      <c r="L598" s="4"/>
      <c r="M598" s="4"/>
      <c r="N598" s="4" t="s">
        <v>70</v>
      </c>
      <c r="O598" s="51" t="b">
        <v>0</v>
      </c>
      <c r="P598" s="51" t="b">
        <v>0</v>
      </c>
      <c r="Q598" s="51" t="b">
        <v>0</v>
      </c>
      <c r="R598" s="51" t="b">
        <v>0</v>
      </c>
      <c r="S598" s="51" t="b">
        <v>0</v>
      </c>
    </row>
    <row r="599" hidden="1">
      <c r="A599" s="56" t="str">
        <f>IFERROR(__xludf.DUMMYFUNCTION("""COMPUTED_VALUE"""),"655 - Channel")</f>
        <v>655 - Channel</v>
      </c>
      <c r="B599" s="56" t="s">
        <v>16</v>
      </c>
      <c r="C599" s="56" t="s">
        <v>289</v>
      </c>
      <c r="D599" s="57">
        <v>0.45807870370370385</v>
      </c>
      <c r="E599" s="57">
        <v>2.662037037037037E-4</v>
      </c>
      <c r="F599" s="57">
        <v>0.4583449074074076</v>
      </c>
      <c r="G599" s="56" t="s">
        <v>120</v>
      </c>
      <c r="H599" s="56" t="s">
        <v>85</v>
      </c>
      <c r="I599" s="56" t="s">
        <v>815</v>
      </c>
      <c r="J599" s="56"/>
      <c r="K599" s="56"/>
      <c r="L599" s="56"/>
      <c r="M599" s="56"/>
      <c r="N599" s="56" t="s">
        <v>70</v>
      </c>
      <c r="O599" s="51" t="b">
        <v>0</v>
      </c>
      <c r="P599" s="51" t="b">
        <v>0</v>
      </c>
      <c r="Q599" s="51" t="b">
        <v>0</v>
      </c>
      <c r="R599" s="51" t="b">
        <v>0</v>
      </c>
      <c r="S599" s="51" t="b">
        <v>0</v>
      </c>
      <c r="T599" s="56"/>
    </row>
    <row r="600">
      <c r="A600" s="4" t="str">
        <f>IFERROR(__xludf.DUMMYFUNCTION("""COMPUTED_VALUE"""),"656 - Channel")</f>
        <v>656 - Channel</v>
      </c>
      <c r="B600" s="4" t="s">
        <v>16</v>
      </c>
      <c r="C600" s="4" t="s">
        <v>289</v>
      </c>
      <c r="D600" s="6">
        <v>0.4583449074074076</v>
      </c>
      <c r="E600" s="6">
        <v>3.4722222222222224E-4</v>
      </c>
      <c r="F600" s="6">
        <v>0.4586921296296298</v>
      </c>
      <c r="G600" s="4" t="s">
        <v>120</v>
      </c>
      <c r="H600" s="4" t="s">
        <v>506</v>
      </c>
      <c r="I600" s="4" t="s">
        <v>755</v>
      </c>
      <c r="J600" s="4"/>
      <c r="K600" s="4"/>
      <c r="L600" s="4"/>
      <c r="M600" s="4"/>
      <c r="N600" s="4" t="s">
        <v>70</v>
      </c>
      <c r="O600" s="51" t="b">
        <v>0</v>
      </c>
      <c r="P600" s="51" t="b">
        <v>0</v>
      </c>
      <c r="Q600" s="51" t="b">
        <v>0</v>
      </c>
      <c r="R600" s="51" t="b">
        <v>0</v>
      </c>
      <c r="S600" s="51" t="b">
        <v>0</v>
      </c>
    </row>
    <row r="601" hidden="1">
      <c r="A601" s="56" t="str">
        <f>IFERROR(__xludf.DUMMYFUNCTION("""COMPUTED_VALUE"""),"658 - Channel")</f>
        <v>658 - Channel</v>
      </c>
      <c r="B601" s="56" t="s">
        <v>16</v>
      </c>
      <c r="C601" s="56" t="s">
        <v>289</v>
      </c>
      <c r="D601" s="57"/>
      <c r="E601" s="57"/>
      <c r="F601" s="57"/>
      <c r="G601" s="56"/>
      <c r="H601" s="56"/>
      <c r="I601" s="56"/>
      <c r="J601" s="56"/>
      <c r="K601" s="56"/>
      <c r="L601" s="56"/>
      <c r="M601" s="56"/>
      <c r="N601" s="56" t="s">
        <v>70</v>
      </c>
      <c r="O601" s="51" t="b">
        <v>0</v>
      </c>
      <c r="P601" s="51" t="b">
        <v>0</v>
      </c>
      <c r="Q601" s="51" t="b">
        <v>0</v>
      </c>
      <c r="R601" s="51" t="b">
        <v>0</v>
      </c>
      <c r="S601" s="51" t="b">
        <v>0</v>
      </c>
      <c r="T601" s="56"/>
    </row>
    <row r="602">
      <c r="A602" s="4" t="str">
        <f>IFERROR(__xludf.DUMMYFUNCTION("""COMPUTED_VALUE"""),"609 - Channel")</f>
        <v>609 - Channel</v>
      </c>
      <c r="B602" s="4" t="s">
        <v>16</v>
      </c>
      <c r="C602" s="4" t="s">
        <v>289</v>
      </c>
      <c r="D602" s="6">
        <v>0.4586921296296298</v>
      </c>
      <c r="E602" s="6">
        <v>3.4722222222222224E-4</v>
      </c>
      <c r="F602" s="6">
        <v>0.459039351851852</v>
      </c>
      <c r="G602" s="4" t="s">
        <v>737</v>
      </c>
      <c r="H602" s="4" t="s">
        <v>81</v>
      </c>
      <c r="I602" s="4" t="s">
        <v>81</v>
      </c>
      <c r="J602" s="4"/>
      <c r="K602" s="4"/>
      <c r="L602" s="4"/>
      <c r="M602" s="4"/>
      <c r="N602" s="4"/>
      <c r="O602" s="51" t="b">
        <v>0</v>
      </c>
      <c r="P602" s="51" t="b">
        <v>0</v>
      </c>
      <c r="Q602" s="51" t="b">
        <v>0</v>
      </c>
      <c r="R602" s="51" t="b">
        <v>0</v>
      </c>
      <c r="S602" s="51" t="b">
        <v>0</v>
      </c>
    </row>
    <row r="603" hidden="1">
      <c r="A603" s="56" t="str">
        <f>IFERROR(__xludf.DUMMYFUNCTION("""COMPUTED_VALUE"""),"610 - Channel")</f>
        <v>610 - Channel</v>
      </c>
      <c r="B603" s="56" t="s">
        <v>16</v>
      </c>
      <c r="C603" s="56" t="s">
        <v>289</v>
      </c>
      <c r="D603" s="57">
        <v>0.459039351851852</v>
      </c>
      <c r="E603" s="57">
        <v>0.0125</v>
      </c>
      <c r="F603" s="57">
        <v>0.47153935185185203</v>
      </c>
      <c r="G603" s="56" t="s">
        <v>737</v>
      </c>
      <c r="H603" s="56" t="s">
        <v>107</v>
      </c>
      <c r="I603" s="56" t="s">
        <v>817</v>
      </c>
      <c r="J603" s="56" t="s">
        <v>818</v>
      </c>
      <c r="K603" s="56" t="s">
        <v>819</v>
      </c>
      <c r="L603" s="56"/>
      <c r="M603" s="56"/>
      <c r="N603" s="56" t="s">
        <v>214</v>
      </c>
      <c r="O603" s="51" t="b">
        <v>0</v>
      </c>
      <c r="P603" s="51" t="b">
        <v>0</v>
      </c>
      <c r="Q603" s="51" t="b">
        <v>0</v>
      </c>
      <c r="R603" s="51" t="b">
        <v>0</v>
      </c>
      <c r="S603" s="51" t="b">
        <v>0</v>
      </c>
      <c r="T603" s="56"/>
    </row>
    <row r="604" hidden="1">
      <c r="A604" s="4" t="str">
        <f>IFERROR(__xludf.DUMMYFUNCTION("""COMPUTED_VALUE"""),"611 - Channel")</f>
        <v>611 - Channel</v>
      </c>
      <c r="B604" s="4" t="s">
        <v>16</v>
      </c>
      <c r="C604" s="4" t="s">
        <v>289</v>
      </c>
      <c r="D604" s="6">
        <v>0.47153935185185203</v>
      </c>
      <c r="E604" s="6">
        <v>1.7361111111111112E-4</v>
      </c>
      <c r="F604" s="6">
        <v>0.47171296296296317</v>
      </c>
      <c r="G604" s="4" t="s">
        <v>737</v>
      </c>
      <c r="H604" s="4" t="s">
        <v>85</v>
      </c>
      <c r="I604" s="4" t="s">
        <v>85</v>
      </c>
      <c r="J604" s="4"/>
      <c r="K604" s="4"/>
      <c r="L604" s="4"/>
      <c r="M604" s="4"/>
      <c r="N604" s="4" t="s">
        <v>70</v>
      </c>
      <c r="O604" s="51" t="b">
        <v>0</v>
      </c>
      <c r="P604" s="51" t="b">
        <v>0</v>
      </c>
      <c r="Q604" s="51" t="b">
        <v>0</v>
      </c>
      <c r="R604" s="51" t="b">
        <v>0</v>
      </c>
      <c r="S604" s="51" t="b">
        <v>0</v>
      </c>
    </row>
    <row r="605">
      <c r="A605" s="56" t="str">
        <f>IFERROR(__xludf.DUMMYFUNCTION("""COMPUTED_VALUE"""),"1391 - Channel")</f>
        <v>1391 - Channel</v>
      </c>
      <c r="B605" s="56" t="s">
        <v>16</v>
      </c>
      <c r="C605" s="56" t="s">
        <v>289</v>
      </c>
      <c r="D605" s="57">
        <v>0.47171296296296317</v>
      </c>
      <c r="E605" s="57">
        <v>3.4722222222222224E-4</v>
      </c>
      <c r="F605" s="57">
        <v>0.4720601851851854</v>
      </c>
      <c r="G605" s="56" t="s">
        <v>195</v>
      </c>
      <c r="H605" s="56" t="s">
        <v>81</v>
      </c>
      <c r="I605" s="56" t="s">
        <v>81</v>
      </c>
      <c r="J605" s="56" t="s">
        <v>105</v>
      </c>
      <c r="K605" s="56"/>
      <c r="L605" s="56"/>
      <c r="M605" s="56"/>
      <c r="N605" s="56"/>
      <c r="O605" s="51" t="b">
        <v>0</v>
      </c>
      <c r="P605" s="51" t="b">
        <v>0</v>
      </c>
      <c r="Q605" s="51" t="b">
        <v>0</v>
      </c>
      <c r="R605" s="51" t="b">
        <v>0</v>
      </c>
      <c r="S605" s="51" t="b">
        <v>0</v>
      </c>
      <c r="T605" s="56"/>
    </row>
    <row r="606" hidden="1">
      <c r="A606" s="4" t="str">
        <f>IFERROR(__xludf.DUMMYFUNCTION("""COMPUTED_VALUE"""),"1294 - Channel")</f>
        <v>1294 - Channel</v>
      </c>
      <c r="B606" s="4" t="s">
        <v>16</v>
      </c>
      <c r="C606" s="4" t="s">
        <v>289</v>
      </c>
      <c r="D606" s="6">
        <v>0.4720601851851854</v>
      </c>
      <c r="E606" s="6">
        <v>0.010393518518518519</v>
      </c>
      <c r="F606" s="6">
        <v>0.4824537037037039</v>
      </c>
      <c r="G606" s="4" t="s">
        <v>195</v>
      </c>
      <c r="H606" s="4" t="s">
        <v>74</v>
      </c>
      <c r="I606" s="4" t="s">
        <v>822</v>
      </c>
      <c r="J606" s="4" t="s">
        <v>823</v>
      </c>
      <c r="K606" s="4" t="s">
        <v>824</v>
      </c>
      <c r="L606" s="4" t="s">
        <v>825</v>
      </c>
      <c r="M606" s="4"/>
      <c r="N606" s="4" t="s">
        <v>826</v>
      </c>
      <c r="O606" s="51" t="b">
        <v>0</v>
      </c>
      <c r="P606" s="51" t="b">
        <v>0</v>
      </c>
      <c r="Q606" s="51" t="b">
        <v>0</v>
      </c>
      <c r="R606" s="51" t="b">
        <v>0</v>
      </c>
      <c r="S606" s="51" t="b">
        <v>0</v>
      </c>
    </row>
    <row r="607">
      <c r="A607" s="56" t="str">
        <f>IFERROR(__xludf.DUMMYFUNCTION("""COMPUTED_VALUE"""),"181 - Channel")</f>
        <v>181 - Channel</v>
      </c>
      <c r="B607" s="56" t="s">
        <v>16</v>
      </c>
      <c r="C607" s="56" t="s">
        <v>289</v>
      </c>
      <c r="D607" s="57">
        <v>0.4824537037037039</v>
      </c>
      <c r="E607" s="57">
        <v>1.7361111111111112E-4</v>
      </c>
      <c r="F607" s="57">
        <v>0.482627314814815</v>
      </c>
      <c r="G607" s="56" t="s">
        <v>195</v>
      </c>
      <c r="H607" s="56" t="s">
        <v>85</v>
      </c>
      <c r="I607" s="56" t="s">
        <v>85</v>
      </c>
      <c r="J607" s="56" t="s">
        <v>105</v>
      </c>
      <c r="K607" s="56"/>
      <c r="L607" s="56"/>
      <c r="M607" s="56"/>
      <c r="N607" s="56" t="s">
        <v>70</v>
      </c>
      <c r="O607" s="51" t="b">
        <v>0</v>
      </c>
      <c r="P607" s="51" t="b">
        <v>0</v>
      </c>
      <c r="Q607" s="51" t="b">
        <v>0</v>
      </c>
      <c r="R607" s="51" t="b">
        <v>0</v>
      </c>
      <c r="S607" s="51" t="b">
        <v>0</v>
      </c>
      <c r="T607" s="56"/>
    </row>
    <row r="608">
      <c r="A608" s="4" t="str">
        <f>IFERROR(__xludf.DUMMYFUNCTION("""COMPUTED_VALUE"""),"588 - Channel")</f>
        <v>588 - Channel</v>
      </c>
      <c r="B608" s="4" t="s">
        <v>16</v>
      </c>
      <c r="C608" s="4" t="s">
        <v>289</v>
      </c>
      <c r="D608" s="6">
        <v>0.482627314814815</v>
      </c>
      <c r="E608" s="6">
        <v>3.4722222222222224E-4</v>
      </c>
      <c r="F608" s="6">
        <v>0.48297453703703724</v>
      </c>
      <c r="G608" s="4" t="s">
        <v>189</v>
      </c>
      <c r="H608" s="4" t="s">
        <v>81</v>
      </c>
      <c r="I608" s="4" t="s">
        <v>81</v>
      </c>
      <c r="J608" s="4"/>
      <c r="K608" s="4"/>
      <c r="L608" s="4"/>
      <c r="M608" s="4"/>
      <c r="N608" s="4" t="s">
        <v>70</v>
      </c>
      <c r="O608" s="51" t="b">
        <v>0</v>
      </c>
      <c r="P608" s="51" t="b">
        <v>0</v>
      </c>
      <c r="Q608" s="51" t="b">
        <v>0</v>
      </c>
      <c r="R608" s="51" t="b">
        <v>0</v>
      </c>
      <c r="S608" s="51" t="b">
        <v>0</v>
      </c>
    </row>
    <row r="609" hidden="1">
      <c r="A609" s="4" t="str">
        <f>IFERROR(__xludf.DUMMYFUNCTION("""COMPUTED_VALUE"""),"589 - Channel")</f>
        <v>589 - Channel</v>
      </c>
      <c r="B609" s="4" t="s">
        <v>16</v>
      </c>
      <c r="C609" s="4" t="s">
        <v>289</v>
      </c>
      <c r="D609" s="6">
        <v>0.48297453703703724</v>
      </c>
      <c r="E609" s="6">
        <v>0.008333333333333333</v>
      </c>
      <c r="F609" s="6">
        <v>0.4913078703703706</v>
      </c>
      <c r="G609" s="4" t="s">
        <v>189</v>
      </c>
      <c r="H609" s="4" t="s">
        <v>107</v>
      </c>
      <c r="I609" s="4" t="s">
        <v>828</v>
      </c>
      <c r="J609" s="4" t="s">
        <v>829</v>
      </c>
      <c r="K609" s="4" t="s">
        <v>830</v>
      </c>
      <c r="L609" s="4"/>
      <c r="M609" s="4"/>
      <c r="N609" s="4" t="s">
        <v>831</v>
      </c>
      <c r="O609" s="51" t="b">
        <v>0</v>
      </c>
      <c r="P609" s="51" t="b">
        <v>0</v>
      </c>
      <c r="Q609" s="51" t="b">
        <v>0</v>
      </c>
      <c r="R609" s="51" t="b">
        <v>0</v>
      </c>
      <c r="S609" s="51" t="b">
        <v>0</v>
      </c>
    </row>
    <row r="610">
      <c r="A610" s="56" t="str">
        <f>IFERROR(__xludf.DUMMYFUNCTION("""COMPUTED_VALUE"""),"590 - Channel")</f>
        <v>590 - Channel</v>
      </c>
      <c r="B610" s="56" t="s">
        <v>16</v>
      </c>
      <c r="C610" s="56" t="s">
        <v>289</v>
      </c>
      <c r="D610" s="57">
        <v>0.4913078703703706</v>
      </c>
      <c r="E610" s="57">
        <v>1.7361111111111112E-4</v>
      </c>
      <c r="F610" s="57">
        <v>0.49148148148148174</v>
      </c>
      <c r="G610" s="56" t="s">
        <v>189</v>
      </c>
      <c r="H610" s="56" t="s">
        <v>85</v>
      </c>
      <c r="I610" s="56" t="s">
        <v>85</v>
      </c>
      <c r="J610" s="56"/>
      <c r="K610" s="56"/>
      <c r="L610" s="56"/>
      <c r="M610" s="56"/>
      <c r="N610" s="56" t="s">
        <v>70</v>
      </c>
      <c r="O610" s="51" t="b">
        <v>0</v>
      </c>
      <c r="P610" s="51" t="b">
        <v>0</v>
      </c>
      <c r="Q610" s="51" t="b">
        <v>0</v>
      </c>
      <c r="R610" s="51" t="b">
        <v>0</v>
      </c>
      <c r="S610" s="51" t="b">
        <v>0</v>
      </c>
      <c r="T610" s="56"/>
    </row>
    <row r="611">
      <c r="A611" s="4" t="str">
        <f>IFERROR(__xludf.DUMMYFUNCTION("""COMPUTED_VALUE"""),"668 - Channel")</f>
        <v>668 - Channel</v>
      </c>
      <c r="B611" s="4" t="s">
        <v>16</v>
      </c>
      <c r="C611" s="4" t="s">
        <v>289</v>
      </c>
      <c r="D611" s="6">
        <v>0.49148148148148174</v>
      </c>
      <c r="E611" s="6">
        <v>3.4722222222222224E-4</v>
      </c>
      <c r="F611" s="6">
        <v>0.49182870370370396</v>
      </c>
      <c r="G611" s="4" t="s">
        <v>195</v>
      </c>
      <c r="H611" s="4" t="s">
        <v>81</v>
      </c>
      <c r="I611" s="4" t="s">
        <v>81</v>
      </c>
      <c r="J611" s="4"/>
      <c r="K611" s="4"/>
      <c r="L611" s="4"/>
      <c r="M611" s="4"/>
      <c r="N611" s="4" t="s">
        <v>70</v>
      </c>
      <c r="O611" s="51" t="b">
        <v>0</v>
      </c>
      <c r="P611" s="51" t="b">
        <v>0</v>
      </c>
      <c r="Q611" s="51" t="b">
        <v>0</v>
      </c>
      <c r="R611" s="51" t="b">
        <v>0</v>
      </c>
      <c r="S611" s="51" t="b">
        <v>0</v>
      </c>
    </row>
    <row r="612" hidden="1">
      <c r="A612" s="56" t="str">
        <f>IFERROR(__xludf.DUMMYFUNCTION("""COMPUTED_VALUE"""),"669 - Channel")</f>
        <v>669 - Channel</v>
      </c>
      <c r="B612" s="56" t="s">
        <v>16</v>
      </c>
      <c r="C612" s="56" t="s">
        <v>289</v>
      </c>
      <c r="D612" s="57">
        <v>0.49182870370370396</v>
      </c>
      <c r="E612" s="57">
        <v>0.007268518518518519</v>
      </c>
      <c r="F612" s="57">
        <v>0.49909722222222247</v>
      </c>
      <c r="G612" s="56" t="s">
        <v>195</v>
      </c>
      <c r="H612" s="56" t="s">
        <v>165</v>
      </c>
      <c r="I612" s="56" t="s">
        <v>834</v>
      </c>
      <c r="J612" s="56" t="s">
        <v>835</v>
      </c>
      <c r="K612" s="56"/>
      <c r="L612" s="56"/>
      <c r="M612" s="56"/>
      <c r="N612" s="56" t="s">
        <v>70</v>
      </c>
      <c r="O612" s="51" t="b">
        <v>0</v>
      </c>
      <c r="P612" s="51" t="b">
        <v>0</v>
      </c>
      <c r="Q612" s="51" t="b">
        <v>0</v>
      </c>
      <c r="R612" s="51" t="b">
        <v>0</v>
      </c>
      <c r="S612" s="51" t="b">
        <v>0</v>
      </c>
      <c r="T612" s="56"/>
    </row>
    <row r="613">
      <c r="A613" s="4" t="str">
        <f>IFERROR(__xludf.DUMMYFUNCTION("""COMPUTED_VALUE"""),"670 - Channel")</f>
        <v>670 - Channel</v>
      </c>
      <c r="B613" s="4" t="s">
        <v>16</v>
      </c>
      <c r="C613" s="4" t="s">
        <v>289</v>
      </c>
      <c r="D613" s="6">
        <v>0.49909722222222247</v>
      </c>
      <c r="E613" s="6">
        <v>1.7361111111111112E-4</v>
      </c>
      <c r="F613" s="6">
        <v>0.4992708333333336</v>
      </c>
      <c r="G613" s="4" t="s">
        <v>195</v>
      </c>
      <c r="H613" s="4" t="s">
        <v>85</v>
      </c>
      <c r="I613" s="4" t="s">
        <v>85</v>
      </c>
      <c r="J613" s="4"/>
      <c r="K613" s="4"/>
      <c r="L613" s="4"/>
      <c r="M613" s="4"/>
      <c r="N613" s="4" t="s">
        <v>70</v>
      </c>
      <c r="O613" s="51" t="b">
        <v>0</v>
      </c>
      <c r="P613" s="51" t="b">
        <v>0</v>
      </c>
      <c r="Q613" s="51" t="b">
        <v>0</v>
      </c>
      <c r="R613" s="51" t="b">
        <v>0</v>
      </c>
      <c r="S613" s="51" t="b">
        <v>0</v>
      </c>
    </row>
    <row r="614">
      <c r="A614" s="56" t="str">
        <f>IFERROR(__xludf.DUMMYFUNCTION("""COMPUTED_VALUE"""),"671 - Channel")</f>
        <v>671 - Channel</v>
      </c>
      <c r="B614" s="56" t="s">
        <v>16</v>
      </c>
      <c r="C614" s="56" t="s">
        <v>289</v>
      </c>
      <c r="D614" s="57"/>
      <c r="E614" s="57"/>
      <c r="F614" s="57"/>
      <c r="G614" s="56"/>
      <c r="H614" s="56"/>
      <c r="I614" s="56"/>
      <c r="J614" s="56"/>
      <c r="K614" s="56"/>
      <c r="L614" s="56"/>
      <c r="M614" s="56"/>
      <c r="N614" s="56" t="s">
        <v>70</v>
      </c>
      <c r="O614" s="51" t="b">
        <v>0</v>
      </c>
      <c r="P614" s="51" t="b">
        <v>0</v>
      </c>
      <c r="Q614" s="51" t="b">
        <v>0</v>
      </c>
      <c r="R614" s="51" t="b">
        <v>0</v>
      </c>
      <c r="S614" s="51" t="b">
        <v>0</v>
      </c>
      <c r="T614" s="56"/>
    </row>
    <row r="615" hidden="1">
      <c r="A615" s="4" t="str">
        <f>IFERROR(__xludf.DUMMYFUNCTION("""COMPUTED_VALUE"""),"672 - Channel")</f>
        <v>672 - Channel</v>
      </c>
      <c r="B615" s="4" t="s">
        <v>16</v>
      </c>
      <c r="C615" s="4" t="s">
        <v>289</v>
      </c>
      <c r="D615" s="6">
        <v>0.4992708333333336</v>
      </c>
      <c r="E615" s="6">
        <v>3.4722222222222224E-4</v>
      </c>
      <c r="F615" s="6">
        <v>0.49961805555555583</v>
      </c>
      <c r="G615" s="4" t="s">
        <v>151</v>
      </c>
      <c r="H615" s="4" t="s">
        <v>81</v>
      </c>
      <c r="I615" s="4" t="s">
        <v>81</v>
      </c>
      <c r="J615" s="4"/>
      <c r="K615" s="4"/>
      <c r="L615" s="4"/>
      <c r="M615" s="4"/>
      <c r="N615" s="4" t="s">
        <v>70</v>
      </c>
      <c r="O615" s="51" t="b">
        <v>0</v>
      </c>
      <c r="P615" s="51" t="b">
        <v>0</v>
      </c>
      <c r="Q615" s="51" t="b">
        <v>0</v>
      </c>
      <c r="R615" s="51" t="b">
        <v>0</v>
      </c>
      <c r="S615" s="51" t="b">
        <v>0</v>
      </c>
    </row>
    <row r="616">
      <c r="A616" s="56" t="str">
        <f>IFERROR(__xludf.DUMMYFUNCTION("""COMPUTED_VALUE"""),"673 - Channel")</f>
        <v>673 - Channel</v>
      </c>
      <c r="B616" s="56" t="s">
        <v>16</v>
      </c>
      <c r="C616" s="56" t="s">
        <v>289</v>
      </c>
      <c r="D616" s="57">
        <v>0.49961805555555583</v>
      </c>
      <c r="E616" s="57">
        <v>0.008854166666666666</v>
      </c>
      <c r="F616" s="57">
        <v>0.5084722222222225</v>
      </c>
      <c r="G616" s="56" t="s">
        <v>151</v>
      </c>
      <c r="H616" s="56" t="s">
        <v>107</v>
      </c>
      <c r="I616" s="56" t="s">
        <v>838</v>
      </c>
      <c r="J616" s="56" t="s">
        <v>839</v>
      </c>
      <c r="K616" s="56" t="s">
        <v>840</v>
      </c>
      <c r="L616" s="56"/>
      <c r="M616" s="56"/>
      <c r="N616" s="56" t="s">
        <v>841</v>
      </c>
      <c r="O616" s="51" t="b">
        <v>0</v>
      </c>
      <c r="P616" s="51" t="b">
        <v>0</v>
      </c>
      <c r="Q616" s="51" t="b">
        <v>0</v>
      </c>
      <c r="R616" s="51" t="b">
        <v>0</v>
      </c>
      <c r="S616" s="51" t="b">
        <v>0</v>
      </c>
      <c r="T616" s="56"/>
    </row>
    <row r="617" hidden="1">
      <c r="A617" s="4" t="str">
        <f>IFERROR(__xludf.DUMMYFUNCTION("""COMPUTED_VALUE"""),"674 - Channel")</f>
        <v>674 - Channel</v>
      </c>
      <c r="B617" s="4" t="s">
        <v>16</v>
      </c>
      <c r="C617" s="4" t="s">
        <v>289</v>
      </c>
      <c r="D617" s="6">
        <v>0.5084722222222225</v>
      </c>
      <c r="E617" s="6">
        <v>1.7361111111111112E-4</v>
      </c>
      <c r="F617" s="6">
        <v>0.5086458333333337</v>
      </c>
      <c r="G617" s="4" t="s">
        <v>151</v>
      </c>
      <c r="H617" s="4" t="s">
        <v>85</v>
      </c>
      <c r="I617" s="4" t="s">
        <v>85</v>
      </c>
      <c r="J617" s="4"/>
      <c r="K617" s="4"/>
      <c r="L617" s="4"/>
      <c r="M617" s="4"/>
      <c r="N617" s="4" t="s">
        <v>70</v>
      </c>
      <c r="O617" s="51" t="b">
        <v>0</v>
      </c>
      <c r="P617" s="51" t="b">
        <v>0</v>
      </c>
      <c r="Q617" s="51" t="b">
        <v>0</v>
      </c>
      <c r="R617" s="51" t="b">
        <v>0</v>
      </c>
      <c r="S617" s="51" t="b">
        <v>0</v>
      </c>
    </row>
    <row r="618">
      <c r="A618" s="56" t="str">
        <f>IFERROR(__xludf.DUMMYFUNCTION("""COMPUTED_VALUE"""),"675 - Channel")</f>
        <v>675 - Channel</v>
      </c>
      <c r="B618" s="56" t="s">
        <v>16</v>
      </c>
      <c r="C618" s="56" t="s">
        <v>289</v>
      </c>
      <c r="D618" s="57">
        <v>0.5086458333333337</v>
      </c>
      <c r="E618" s="57">
        <v>3.4722222222222224E-4</v>
      </c>
      <c r="F618" s="57">
        <v>0.508993055555556</v>
      </c>
      <c r="G618" s="56" t="s">
        <v>151</v>
      </c>
      <c r="H618" s="56" t="s">
        <v>511</v>
      </c>
      <c r="I618" s="56" t="s">
        <v>511</v>
      </c>
      <c r="J618" s="56"/>
      <c r="K618" s="56"/>
      <c r="L618" s="56"/>
      <c r="M618" s="56"/>
      <c r="N618" s="56" t="s">
        <v>70</v>
      </c>
      <c r="O618" s="51" t="b">
        <v>0</v>
      </c>
      <c r="P618" s="51" t="b">
        <v>0</v>
      </c>
      <c r="Q618" s="51" t="b">
        <v>0</v>
      </c>
      <c r="R618" s="51" t="b">
        <v>0</v>
      </c>
      <c r="S618" s="51" t="b">
        <v>0</v>
      </c>
      <c r="T618" s="56"/>
    </row>
    <row r="619" hidden="1">
      <c r="A619" s="4" t="str">
        <f>IFERROR(__xludf.DUMMYFUNCTION("""COMPUTED_VALUE"""),"676 - Channel")</f>
        <v>676 - Channel</v>
      </c>
      <c r="B619" s="4" t="s">
        <v>16</v>
      </c>
      <c r="C619" s="4" t="s">
        <v>289</v>
      </c>
      <c r="D619" s="6">
        <v>0.508993055555556</v>
      </c>
      <c r="E619" s="6">
        <v>3.4722222222222224E-4</v>
      </c>
      <c r="F619" s="6">
        <v>0.5093402777777782</v>
      </c>
      <c r="G619" s="4" t="s">
        <v>151</v>
      </c>
      <c r="H619" s="4" t="s">
        <v>81</v>
      </c>
      <c r="I619" s="4" t="s">
        <v>81</v>
      </c>
      <c r="J619" s="4"/>
      <c r="K619" s="4"/>
      <c r="L619" s="4"/>
      <c r="M619" s="4"/>
      <c r="N619" s="4" t="s">
        <v>70</v>
      </c>
      <c r="O619" s="51" t="b">
        <v>0</v>
      </c>
      <c r="P619" s="51" t="b">
        <v>0</v>
      </c>
      <c r="Q619" s="51" t="b">
        <v>0</v>
      </c>
      <c r="R619" s="51" t="b">
        <v>0</v>
      </c>
      <c r="S619" s="51" t="b">
        <v>0</v>
      </c>
    </row>
    <row r="620">
      <c r="A620" s="56" t="str">
        <f>IFERROR(__xludf.DUMMYFUNCTION("""COMPUTED_VALUE"""),"677 - Channel")</f>
        <v>677 - Channel</v>
      </c>
      <c r="B620" s="56" t="s">
        <v>16</v>
      </c>
      <c r="C620" s="56" t="s">
        <v>289</v>
      </c>
      <c r="D620" s="57">
        <v>0.5093402777777782</v>
      </c>
      <c r="E620" s="57">
        <v>0.016574074074074074</v>
      </c>
      <c r="F620" s="57">
        <v>0.5259143518518523</v>
      </c>
      <c r="G620" s="56" t="s">
        <v>151</v>
      </c>
      <c r="H620" s="56" t="s">
        <v>94</v>
      </c>
      <c r="I620" s="56" t="s">
        <v>844</v>
      </c>
      <c r="J620" s="56" t="s">
        <v>845</v>
      </c>
      <c r="K620" s="56"/>
      <c r="L620" s="56"/>
      <c r="M620" s="56"/>
      <c r="N620" s="56" t="s">
        <v>846</v>
      </c>
      <c r="O620" s="51" t="b">
        <v>0</v>
      </c>
      <c r="P620" s="51" t="b">
        <v>0</v>
      </c>
      <c r="Q620" s="51" t="b">
        <v>0</v>
      </c>
      <c r="R620" s="51" t="b">
        <v>0</v>
      </c>
      <c r="S620" s="51" t="b">
        <v>0</v>
      </c>
      <c r="T620" s="56"/>
    </row>
    <row r="621" hidden="1">
      <c r="A621" s="56" t="str">
        <f>IFERROR(__xludf.DUMMYFUNCTION("""COMPUTED_VALUE"""),"678 - Channel")</f>
        <v>678 - Channel</v>
      </c>
      <c r="B621" s="56" t="s">
        <v>16</v>
      </c>
      <c r="C621" s="56" t="s">
        <v>289</v>
      </c>
      <c r="D621" s="57">
        <v>0.5259143518518523</v>
      </c>
      <c r="E621" s="57">
        <v>1.7361111111111112E-4</v>
      </c>
      <c r="F621" s="57">
        <v>0.5260879629629635</v>
      </c>
      <c r="G621" s="56" t="s">
        <v>151</v>
      </c>
      <c r="H621" s="56" t="s">
        <v>85</v>
      </c>
      <c r="I621" s="56" t="s">
        <v>85</v>
      </c>
      <c r="J621" s="56"/>
      <c r="K621" s="56"/>
      <c r="L621" s="56"/>
      <c r="M621" s="56"/>
      <c r="N621" s="56" t="s">
        <v>70</v>
      </c>
      <c r="O621" s="51" t="b">
        <v>0</v>
      </c>
      <c r="P621" s="51" t="b">
        <v>0</v>
      </c>
      <c r="Q621" s="51" t="b">
        <v>0</v>
      </c>
      <c r="R621" s="51" t="b">
        <v>0</v>
      </c>
      <c r="S621" s="51" t="b">
        <v>0</v>
      </c>
      <c r="T621" s="56"/>
    </row>
    <row r="622">
      <c r="A622" s="4" t="str">
        <f>IFERROR(__xludf.DUMMYFUNCTION("""COMPUTED_VALUE"""),"679 - Channel")</f>
        <v>679 - Channel</v>
      </c>
      <c r="B622" s="4" t="s">
        <v>16</v>
      </c>
      <c r="C622" s="4" t="s">
        <v>289</v>
      </c>
      <c r="D622" s="6">
        <v>0.5260879629629635</v>
      </c>
      <c r="E622" s="6">
        <v>1.7361111111111112E-4</v>
      </c>
      <c r="F622" s="6">
        <v>0.5262615740740746</v>
      </c>
      <c r="G622" s="4" t="s">
        <v>151</v>
      </c>
      <c r="H622" s="4" t="s">
        <v>77</v>
      </c>
      <c r="I622" s="4" t="s">
        <v>682</v>
      </c>
      <c r="J622" s="4"/>
      <c r="K622" s="4"/>
      <c r="L622" s="4"/>
      <c r="M622" s="4"/>
      <c r="N622" s="4" t="s">
        <v>70</v>
      </c>
      <c r="O622" s="51" t="b">
        <v>0</v>
      </c>
      <c r="P622" s="51" t="b">
        <v>0</v>
      </c>
      <c r="Q622" s="51" t="b">
        <v>0</v>
      </c>
      <c r="R622" s="51" t="b">
        <v>0</v>
      </c>
      <c r="S622" s="51" t="b">
        <v>0</v>
      </c>
    </row>
    <row r="623" hidden="1">
      <c r="A623" s="56" t="str">
        <f>IFERROR(__xludf.DUMMYFUNCTION("""COMPUTED_VALUE"""),"681 - Channel")</f>
        <v>681 - Channel</v>
      </c>
      <c r="B623" s="56" t="s">
        <v>16</v>
      </c>
      <c r="C623" s="56" t="s">
        <v>289</v>
      </c>
      <c r="D623" s="57">
        <v>0.5262615740740746</v>
      </c>
      <c r="E623" s="57">
        <v>3.4722222222222224E-4</v>
      </c>
      <c r="F623" s="57">
        <v>0.5266087962962969</v>
      </c>
      <c r="G623" s="56" t="s">
        <v>151</v>
      </c>
      <c r="H623" s="56" t="s">
        <v>81</v>
      </c>
      <c r="I623" s="56" t="s">
        <v>81</v>
      </c>
      <c r="J623" s="56"/>
      <c r="K623" s="56"/>
      <c r="L623" s="56"/>
      <c r="M623" s="56"/>
      <c r="N623" s="56" t="s">
        <v>70</v>
      </c>
      <c r="O623" s="51" t="b">
        <v>0</v>
      </c>
      <c r="P623" s="51" t="b">
        <v>0</v>
      </c>
      <c r="Q623" s="51" t="b">
        <v>0</v>
      </c>
      <c r="R623" s="51" t="b">
        <v>0</v>
      </c>
      <c r="S623" s="51" t="b">
        <v>0</v>
      </c>
      <c r="T623" s="56"/>
    </row>
    <row r="624">
      <c r="A624" s="56" t="str">
        <f>IFERROR(__xludf.DUMMYFUNCTION("""COMPUTED_VALUE"""),"682 - Channel")</f>
        <v>682 - Channel</v>
      </c>
      <c r="B624" s="56" t="s">
        <v>16</v>
      </c>
      <c r="C624" s="56" t="s">
        <v>289</v>
      </c>
      <c r="D624" s="57">
        <v>0.5266087962962969</v>
      </c>
      <c r="E624" s="57">
        <v>0.0023263888888888887</v>
      </c>
      <c r="F624" s="57">
        <v>0.5289351851851858</v>
      </c>
      <c r="G624" s="56" t="s">
        <v>151</v>
      </c>
      <c r="H624" s="56" t="s">
        <v>165</v>
      </c>
      <c r="I624" s="56" t="s">
        <v>850</v>
      </c>
      <c r="J624" s="56" t="s">
        <v>851</v>
      </c>
      <c r="K624" s="56"/>
      <c r="L624" s="56"/>
      <c r="M624" s="56"/>
      <c r="N624" s="56" t="s">
        <v>70</v>
      </c>
      <c r="O624" s="51" t="b">
        <v>0</v>
      </c>
      <c r="P624" s="51" t="b">
        <v>0</v>
      </c>
      <c r="Q624" s="51" t="b">
        <v>0</v>
      </c>
      <c r="R624" s="51" t="b">
        <v>0</v>
      </c>
      <c r="S624" s="51" t="b">
        <v>0</v>
      </c>
      <c r="T624" s="56"/>
    </row>
    <row r="625" hidden="1">
      <c r="A625" s="4" t="str">
        <f>IFERROR(__xludf.DUMMYFUNCTION("""COMPUTED_VALUE"""),"683 - Channel")</f>
        <v>683 - Channel</v>
      </c>
      <c r="B625" s="4" t="s">
        <v>16</v>
      </c>
      <c r="C625" s="4" t="s">
        <v>289</v>
      </c>
      <c r="D625" s="6">
        <v>0.5289351851851858</v>
      </c>
      <c r="E625" s="6">
        <v>1.7361111111111112E-4</v>
      </c>
      <c r="F625" s="6">
        <v>0.5291087962962969</v>
      </c>
      <c r="G625" s="4" t="s">
        <v>151</v>
      </c>
      <c r="H625" s="4" t="s">
        <v>85</v>
      </c>
      <c r="I625" s="4" t="s">
        <v>85</v>
      </c>
      <c r="J625" s="4"/>
      <c r="K625" s="4"/>
      <c r="L625" s="4"/>
      <c r="M625" s="4"/>
      <c r="N625" s="4" t="s">
        <v>70</v>
      </c>
      <c r="O625" s="51" t="b">
        <v>0</v>
      </c>
      <c r="P625" s="51" t="b">
        <v>0</v>
      </c>
      <c r="Q625" s="51" t="b">
        <v>0</v>
      </c>
      <c r="R625" s="51" t="b">
        <v>0</v>
      </c>
      <c r="S625" s="51" t="b">
        <v>0</v>
      </c>
    </row>
    <row r="626">
      <c r="A626" s="56" t="str">
        <f>IFERROR(__xludf.DUMMYFUNCTION("""COMPUTED_VALUE"""),"684 - Channel")</f>
        <v>684 - Channel</v>
      </c>
      <c r="B626" s="56" t="s">
        <v>16</v>
      </c>
      <c r="C626" s="56" t="s">
        <v>289</v>
      </c>
      <c r="D626" s="57">
        <v>0.5291087962962969</v>
      </c>
      <c r="E626" s="57">
        <v>1.7361111111111112E-4</v>
      </c>
      <c r="F626" s="57">
        <v>0.5292824074074081</v>
      </c>
      <c r="G626" s="56" t="s">
        <v>151</v>
      </c>
      <c r="H626" s="56" t="s">
        <v>77</v>
      </c>
      <c r="I626" s="56" t="s">
        <v>853</v>
      </c>
      <c r="J626" s="56"/>
      <c r="K626" s="56"/>
      <c r="L626" s="56"/>
      <c r="M626" s="56"/>
      <c r="N626" s="56" t="s">
        <v>70</v>
      </c>
      <c r="O626" s="51" t="b">
        <v>0</v>
      </c>
      <c r="P626" s="51" t="b">
        <v>0</v>
      </c>
      <c r="Q626" s="51" t="b">
        <v>0</v>
      </c>
      <c r="R626" s="51" t="b">
        <v>0</v>
      </c>
      <c r="S626" s="51" t="b">
        <v>0</v>
      </c>
      <c r="T626" s="56"/>
    </row>
    <row r="627" hidden="1">
      <c r="A627" s="56" t="str">
        <f>IFERROR(__xludf.DUMMYFUNCTION("""COMPUTED_VALUE"""),"685 - Channel")</f>
        <v>685 - Channel</v>
      </c>
      <c r="B627" s="56" t="s">
        <v>16</v>
      </c>
      <c r="C627" s="56" t="s">
        <v>289</v>
      </c>
      <c r="D627" s="57">
        <v>0.5292824074074081</v>
      </c>
      <c r="E627" s="57">
        <v>3.4722222222222224E-4</v>
      </c>
      <c r="F627" s="57">
        <v>0.5296296296296303</v>
      </c>
      <c r="G627" s="56" t="s">
        <v>151</v>
      </c>
      <c r="H627" s="56" t="s">
        <v>506</v>
      </c>
      <c r="I627" s="56" t="s">
        <v>755</v>
      </c>
      <c r="J627" s="56"/>
      <c r="K627" s="56"/>
      <c r="L627" s="56"/>
      <c r="M627" s="56"/>
      <c r="N627" s="56" t="s">
        <v>70</v>
      </c>
      <c r="O627" s="51" t="b">
        <v>0</v>
      </c>
      <c r="P627" s="51" t="b">
        <v>0</v>
      </c>
      <c r="Q627" s="51" t="b">
        <v>0</v>
      </c>
      <c r="R627" s="51" t="b">
        <v>0</v>
      </c>
      <c r="S627" s="51" t="b">
        <v>0</v>
      </c>
      <c r="T627" s="56"/>
    </row>
    <row r="628">
      <c r="A628" s="4" t="str">
        <f>IFERROR(__xludf.DUMMYFUNCTION("""COMPUTED_VALUE"""),"612 - Channel")</f>
        <v>612 - Channel</v>
      </c>
      <c r="B628" s="4" t="s">
        <v>16</v>
      </c>
      <c r="C628" s="4" t="s">
        <v>289</v>
      </c>
      <c r="D628" s="6">
        <v>0.5296296296296303</v>
      </c>
      <c r="E628" s="6">
        <v>3.4722222222222224E-4</v>
      </c>
      <c r="F628" s="6">
        <v>0.5299768518518526</v>
      </c>
      <c r="G628" s="4" t="s">
        <v>737</v>
      </c>
      <c r="H628" s="4" t="s">
        <v>81</v>
      </c>
      <c r="I628" s="4" t="s">
        <v>81</v>
      </c>
      <c r="J628" s="4"/>
      <c r="K628" s="4"/>
      <c r="L628" s="4"/>
      <c r="M628" s="4"/>
      <c r="N628" s="4" t="s">
        <v>70</v>
      </c>
      <c r="O628" s="51" t="b">
        <v>0</v>
      </c>
      <c r="P628" s="51" t="b">
        <v>0</v>
      </c>
      <c r="Q628" s="51" t="b">
        <v>0</v>
      </c>
      <c r="R628" s="51" t="b">
        <v>0</v>
      </c>
      <c r="S628" s="51" t="b">
        <v>0</v>
      </c>
    </row>
    <row r="629" hidden="1">
      <c r="A629" s="56" t="str">
        <f>IFERROR(__xludf.DUMMYFUNCTION("""COMPUTED_VALUE"""),"613 - Channel")</f>
        <v>613 - Channel</v>
      </c>
      <c r="B629" s="56" t="s">
        <v>16</v>
      </c>
      <c r="C629" s="56" t="s">
        <v>289</v>
      </c>
      <c r="D629" s="57">
        <v>0.5299768518518526</v>
      </c>
      <c r="E629" s="57">
        <v>0.010138888888888888</v>
      </c>
      <c r="F629" s="57">
        <v>0.5401157407407415</v>
      </c>
      <c r="G629" s="56" t="s">
        <v>737</v>
      </c>
      <c r="H629" s="56" t="s">
        <v>74</v>
      </c>
      <c r="I629" s="56" t="s">
        <v>855</v>
      </c>
      <c r="J629" s="56" t="s">
        <v>856</v>
      </c>
      <c r="K629" s="56" t="s">
        <v>857</v>
      </c>
      <c r="L629" s="56" t="s">
        <v>858</v>
      </c>
      <c r="M629" s="56"/>
      <c r="N629" s="56" t="s">
        <v>859</v>
      </c>
      <c r="O629" s="51" t="b">
        <v>0</v>
      </c>
      <c r="P629" s="51" t="b">
        <v>0</v>
      </c>
      <c r="Q629" s="51" t="b">
        <v>0</v>
      </c>
      <c r="R629" s="51" t="b">
        <v>0</v>
      </c>
      <c r="S629" s="51" t="b">
        <v>0</v>
      </c>
      <c r="T629" s="56"/>
    </row>
    <row r="630" hidden="1">
      <c r="A630" s="4" t="str">
        <f>IFERROR(__xludf.DUMMYFUNCTION("""COMPUTED_VALUE"""),"614 - Channel")</f>
        <v>614 - Channel</v>
      </c>
      <c r="B630" s="4" t="s">
        <v>16</v>
      </c>
      <c r="C630" s="4" t="s">
        <v>289</v>
      </c>
      <c r="D630" s="6">
        <v>0.5401157407407415</v>
      </c>
      <c r="E630" s="6">
        <v>1.7361111111111112E-4</v>
      </c>
      <c r="F630" s="6">
        <v>0.5402893518518527</v>
      </c>
      <c r="G630" s="4" t="s">
        <v>737</v>
      </c>
      <c r="H630" s="4" t="s">
        <v>85</v>
      </c>
      <c r="I630" s="4" t="s">
        <v>85</v>
      </c>
      <c r="J630" s="4"/>
      <c r="K630" s="4"/>
      <c r="L630" s="4"/>
      <c r="M630" s="4"/>
      <c r="N630" s="4" t="s">
        <v>70</v>
      </c>
      <c r="O630" s="51" t="b">
        <v>0</v>
      </c>
      <c r="P630" s="51" t="b">
        <v>0</v>
      </c>
      <c r="Q630" s="51" t="b">
        <v>0</v>
      </c>
      <c r="R630" s="51" t="b">
        <v>0</v>
      </c>
      <c r="S630" s="51" t="b">
        <v>0</v>
      </c>
    </row>
    <row r="631">
      <c r="A631" s="56" t="str">
        <f>IFERROR(__xludf.DUMMYFUNCTION("""COMPUTED_VALUE"""),"691 - Channel")</f>
        <v>691 - Channel</v>
      </c>
      <c r="B631" s="56" t="s">
        <v>16</v>
      </c>
      <c r="C631" s="56" t="s">
        <v>289</v>
      </c>
      <c r="D631" s="57"/>
      <c r="E631" s="57"/>
      <c r="F631" s="57"/>
      <c r="G631" s="56"/>
      <c r="H631" s="56"/>
      <c r="I631" s="56"/>
      <c r="J631" s="56"/>
      <c r="K631" s="56"/>
      <c r="L631" s="56"/>
      <c r="M631" s="56"/>
      <c r="N631" s="56" t="s">
        <v>70</v>
      </c>
      <c r="O631" s="51" t="b">
        <v>0</v>
      </c>
      <c r="P631" s="51" t="b">
        <v>0</v>
      </c>
      <c r="Q631" s="51" t="b">
        <v>0</v>
      </c>
      <c r="R631" s="51" t="b">
        <v>0</v>
      </c>
      <c r="S631" s="51" t="b">
        <v>0</v>
      </c>
      <c r="T631" s="56"/>
    </row>
    <row r="632" hidden="1">
      <c r="A632" s="4" t="str">
        <f>IFERROR(__xludf.DUMMYFUNCTION("""COMPUTED_VALUE"""),"692 - Channel")</f>
        <v>692 - Channel</v>
      </c>
      <c r="B632" s="4" t="s">
        <v>16</v>
      </c>
      <c r="C632" s="4" t="s">
        <v>289</v>
      </c>
      <c r="D632" s="6">
        <v>0.5402893518518527</v>
      </c>
      <c r="E632" s="6">
        <v>3.4722222222222224E-4</v>
      </c>
      <c r="F632" s="6">
        <v>0.540636574074075</v>
      </c>
      <c r="G632" s="4" t="s">
        <v>409</v>
      </c>
      <c r="H632" s="4" t="s">
        <v>81</v>
      </c>
      <c r="I632" s="4" t="s">
        <v>81</v>
      </c>
      <c r="J632" s="4"/>
      <c r="K632" s="4"/>
      <c r="L632" s="4"/>
      <c r="M632" s="4"/>
      <c r="N632" s="4" t="s">
        <v>70</v>
      </c>
      <c r="O632" s="51" t="b">
        <v>0</v>
      </c>
      <c r="P632" s="51" t="b">
        <v>0</v>
      </c>
      <c r="Q632" s="51" t="b">
        <v>0</v>
      </c>
      <c r="R632" s="51" t="b">
        <v>0</v>
      </c>
      <c r="S632" s="51" t="b">
        <v>0</v>
      </c>
    </row>
    <row r="633">
      <c r="A633" s="56" t="str">
        <f>IFERROR(__xludf.DUMMYFUNCTION("""COMPUTED_VALUE"""),"693 - Channel")</f>
        <v>693 - Channel</v>
      </c>
      <c r="B633" s="56" t="s">
        <v>16</v>
      </c>
      <c r="C633" s="56" t="s">
        <v>289</v>
      </c>
      <c r="D633" s="57">
        <v>0.540636574074075</v>
      </c>
      <c r="E633" s="57">
        <v>0.010243055555555556</v>
      </c>
      <c r="F633" s="57">
        <v>0.5508796296296306</v>
      </c>
      <c r="G633" s="56" t="s">
        <v>409</v>
      </c>
      <c r="H633" s="56" t="s">
        <v>107</v>
      </c>
      <c r="I633" s="56" t="s">
        <v>864</v>
      </c>
      <c r="J633" s="56" t="s">
        <v>865</v>
      </c>
      <c r="K633" s="56" t="s">
        <v>866</v>
      </c>
      <c r="L633" s="56"/>
      <c r="M633" s="56"/>
      <c r="N633" s="56" t="s">
        <v>868</v>
      </c>
      <c r="O633" s="51" t="b">
        <v>0</v>
      </c>
      <c r="P633" s="51" t="b">
        <v>0</v>
      </c>
      <c r="Q633" s="51" t="b">
        <v>0</v>
      </c>
      <c r="R633" s="51" t="b">
        <v>0</v>
      </c>
      <c r="S633" s="51" t="b">
        <v>0</v>
      </c>
      <c r="T633" s="56"/>
    </row>
    <row r="634" hidden="1">
      <c r="A634" s="56" t="str">
        <f>IFERROR(__xludf.DUMMYFUNCTION("""COMPUTED_VALUE"""),"694 - Channel")</f>
        <v>694 - Channel</v>
      </c>
      <c r="B634" s="56" t="s">
        <v>16</v>
      </c>
      <c r="C634" s="56" t="s">
        <v>289</v>
      </c>
      <c r="D634" s="57">
        <v>0.5508796296296306</v>
      </c>
      <c r="E634" s="57">
        <v>1.7361111111111112E-4</v>
      </c>
      <c r="F634" s="57">
        <v>0.5510532407407417</v>
      </c>
      <c r="G634" s="56" t="s">
        <v>409</v>
      </c>
      <c r="H634" s="56" t="s">
        <v>85</v>
      </c>
      <c r="I634" s="56" t="s">
        <v>85</v>
      </c>
      <c r="J634" s="56"/>
      <c r="K634" s="56"/>
      <c r="L634" s="56"/>
      <c r="M634" s="56"/>
      <c r="N634" s="56" t="s">
        <v>70</v>
      </c>
      <c r="O634" s="51" t="b">
        <v>0</v>
      </c>
      <c r="P634" s="51" t="b">
        <v>0</v>
      </c>
      <c r="Q634" s="51" t="b">
        <v>0</v>
      </c>
      <c r="R634" s="51" t="b">
        <v>0</v>
      </c>
      <c r="S634" s="51" t="b">
        <v>0</v>
      </c>
      <c r="T634" s="56"/>
    </row>
    <row r="635">
      <c r="A635" s="4" t="str">
        <f>IFERROR(__xludf.DUMMYFUNCTION("""COMPUTED_VALUE"""),"695 - Channel")</f>
        <v>695 - Channel</v>
      </c>
      <c r="B635" s="4" t="s">
        <v>16</v>
      </c>
      <c r="C635" s="4" t="s">
        <v>289</v>
      </c>
      <c r="D635" s="6">
        <v>0.5510532407407417</v>
      </c>
      <c r="E635" s="6">
        <v>1.7361111111111112E-4</v>
      </c>
      <c r="F635" s="6">
        <v>0.5512268518518528</v>
      </c>
      <c r="G635" s="4" t="s">
        <v>409</v>
      </c>
      <c r="H635" s="4" t="s">
        <v>77</v>
      </c>
      <c r="I635" s="4" t="s">
        <v>870</v>
      </c>
      <c r="J635" s="4"/>
      <c r="K635" s="4"/>
      <c r="L635" s="4"/>
      <c r="M635" s="4"/>
      <c r="N635" s="4" t="s">
        <v>70</v>
      </c>
      <c r="O635" s="51" t="b">
        <v>0</v>
      </c>
      <c r="P635" s="51" t="b">
        <v>0</v>
      </c>
      <c r="Q635" s="51" t="b">
        <v>0</v>
      </c>
      <c r="R635" s="51" t="b">
        <v>0</v>
      </c>
      <c r="S635" s="51" t="b">
        <v>0</v>
      </c>
    </row>
    <row r="636" hidden="1">
      <c r="A636" s="56" t="str">
        <f>IFERROR(__xludf.DUMMYFUNCTION("""COMPUTED_VALUE"""),"696 - Channel")</f>
        <v>696 - Channel</v>
      </c>
      <c r="B636" s="56" t="s">
        <v>16</v>
      </c>
      <c r="C636" s="56" t="s">
        <v>289</v>
      </c>
      <c r="D636" s="57">
        <v>0.5512268518518528</v>
      </c>
      <c r="E636" s="57">
        <v>3.4722222222222224E-4</v>
      </c>
      <c r="F636" s="57">
        <v>0.5515740740740751</v>
      </c>
      <c r="G636" s="56" t="s">
        <v>409</v>
      </c>
      <c r="H636" s="56" t="s">
        <v>81</v>
      </c>
      <c r="I636" s="56" t="s">
        <v>81</v>
      </c>
      <c r="J636" s="56"/>
      <c r="K636" s="56"/>
      <c r="L636" s="56"/>
      <c r="M636" s="56"/>
      <c r="N636" s="56" t="s">
        <v>70</v>
      </c>
      <c r="O636" s="51" t="b">
        <v>0</v>
      </c>
      <c r="P636" s="51" t="b">
        <v>0</v>
      </c>
      <c r="Q636" s="51" t="b">
        <v>0</v>
      </c>
      <c r="R636" s="51" t="b">
        <v>0</v>
      </c>
      <c r="S636" s="51" t="b">
        <v>0</v>
      </c>
      <c r="T636" s="56"/>
    </row>
    <row r="637">
      <c r="A637" s="4" t="str">
        <f>IFERROR(__xludf.DUMMYFUNCTION("""COMPUTED_VALUE"""),"697 - Channel")</f>
        <v>697 - Channel</v>
      </c>
      <c r="B637" s="4" t="s">
        <v>16</v>
      </c>
      <c r="C637" s="4" t="s">
        <v>289</v>
      </c>
      <c r="D637" s="6">
        <v>0.5515740740740751</v>
      </c>
      <c r="E637" s="6">
        <v>0.013888888888888888</v>
      </c>
      <c r="F637" s="6">
        <v>0.5654629629629639</v>
      </c>
      <c r="G637" s="4" t="s">
        <v>409</v>
      </c>
      <c r="H637" s="4" t="s">
        <v>94</v>
      </c>
      <c r="I637" s="4" t="s">
        <v>875</v>
      </c>
      <c r="J637" s="4" t="s">
        <v>876</v>
      </c>
      <c r="K637" s="4"/>
      <c r="L637" s="4"/>
      <c r="M637" s="4"/>
      <c r="N637" s="4" t="s">
        <v>877</v>
      </c>
      <c r="O637" s="51" t="b">
        <v>0</v>
      </c>
      <c r="P637" s="51" t="b">
        <v>0</v>
      </c>
      <c r="Q637" s="51" t="b">
        <v>0</v>
      </c>
      <c r="R637" s="51" t="b">
        <v>0</v>
      </c>
      <c r="S637" s="51" t="b">
        <v>0</v>
      </c>
    </row>
    <row r="638" hidden="1">
      <c r="A638" s="56" t="str">
        <f>IFERROR(__xludf.DUMMYFUNCTION("""COMPUTED_VALUE"""),"698 - Channel")</f>
        <v>698 - Channel</v>
      </c>
      <c r="B638" s="56" t="s">
        <v>16</v>
      </c>
      <c r="C638" s="56" t="s">
        <v>289</v>
      </c>
      <c r="D638" s="57">
        <v>0.5654629629629639</v>
      </c>
      <c r="E638" s="57">
        <v>1.7361111111111112E-4</v>
      </c>
      <c r="F638" s="57">
        <v>0.5656365740740751</v>
      </c>
      <c r="G638" s="56" t="s">
        <v>409</v>
      </c>
      <c r="H638" s="56" t="s">
        <v>85</v>
      </c>
      <c r="I638" s="56" t="s">
        <v>85</v>
      </c>
      <c r="J638" s="56"/>
      <c r="K638" s="56"/>
      <c r="L638" s="56"/>
      <c r="M638" s="56"/>
      <c r="N638" s="56" t="s">
        <v>70</v>
      </c>
      <c r="O638" s="51" t="b">
        <v>0</v>
      </c>
      <c r="P638" s="51" t="b">
        <v>0</v>
      </c>
      <c r="Q638" s="51" t="b">
        <v>0</v>
      </c>
      <c r="R638" s="51" t="b">
        <v>0</v>
      </c>
      <c r="S638" s="51" t="b">
        <v>0</v>
      </c>
      <c r="T638" s="56"/>
    </row>
    <row r="639">
      <c r="A639" s="4" t="str">
        <f>IFERROR(__xludf.DUMMYFUNCTION("""COMPUTED_VALUE"""),"700 - Channel")</f>
        <v>700 - Channel</v>
      </c>
      <c r="B639" s="4" t="s">
        <v>16</v>
      </c>
      <c r="C639" s="4" t="s">
        <v>289</v>
      </c>
      <c r="D639" s="6">
        <v>0.5656365740740751</v>
      </c>
      <c r="E639" s="6">
        <v>2.662037037037037E-4</v>
      </c>
      <c r="F639" s="6">
        <v>0.5659027777777788</v>
      </c>
      <c r="G639" s="4" t="s">
        <v>409</v>
      </c>
      <c r="H639" s="4" t="s">
        <v>81</v>
      </c>
      <c r="I639" s="4" t="s">
        <v>879</v>
      </c>
      <c r="J639" s="4"/>
      <c r="K639" s="4"/>
      <c r="L639" s="4"/>
      <c r="M639" s="4"/>
      <c r="N639" s="4" t="s">
        <v>70</v>
      </c>
      <c r="O639" s="51" t="b">
        <v>0</v>
      </c>
      <c r="P639" s="51" t="b">
        <v>0</v>
      </c>
      <c r="Q639" s="51" t="b">
        <v>0</v>
      </c>
      <c r="R639" s="51" t="b">
        <v>0</v>
      </c>
      <c r="S639" s="51" t="b">
        <v>0</v>
      </c>
    </row>
    <row r="640" hidden="1">
      <c r="A640" s="56" t="str">
        <f>IFERROR(__xludf.DUMMYFUNCTION("""COMPUTED_VALUE"""),"701 - Channel")</f>
        <v>701 - Channel</v>
      </c>
      <c r="B640" s="56" t="s">
        <v>16</v>
      </c>
      <c r="C640" s="56" t="s">
        <v>289</v>
      </c>
      <c r="D640" s="57">
        <v>0.5659027777777788</v>
      </c>
      <c r="E640" s="57">
        <v>0.0020949074074074073</v>
      </c>
      <c r="F640" s="57">
        <v>0.5679976851851861</v>
      </c>
      <c r="G640" s="56" t="s">
        <v>409</v>
      </c>
      <c r="H640" s="56" t="s">
        <v>165</v>
      </c>
      <c r="I640" s="56" t="s">
        <v>881</v>
      </c>
      <c r="J640" s="56" t="s">
        <v>882</v>
      </c>
      <c r="K640" s="56"/>
      <c r="L640" s="56"/>
      <c r="M640" s="56"/>
      <c r="N640" s="56" t="s">
        <v>70</v>
      </c>
      <c r="O640" s="51" t="b">
        <v>0</v>
      </c>
      <c r="P640" s="51" t="b">
        <v>0</v>
      </c>
      <c r="Q640" s="51" t="b">
        <v>0</v>
      </c>
      <c r="R640" s="51" t="b">
        <v>0</v>
      </c>
      <c r="S640" s="51" t="b">
        <v>0</v>
      </c>
      <c r="T640" s="56"/>
    </row>
    <row r="641">
      <c r="A641" s="4" t="str">
        <f>IFERROR(__xludf.DUMMYFUNCTION("""COMPUTED_VALUE"""),"702 - Channel")</f>
        <v>702 - Channel</v>
      </c>
      <c r="B641" s="4" t="s">
        <v>16</v>
      </c>
      <c r="C641" s="4" t="s">
        <v>289</v>
      </c>
      <c r="D641" s="6">
        <v>0.5679976851851861</v>
      </c>
      <c r="E641" s="6">
        <v>1.7361111111111112E-4</v>
      </c>
      <c r="F641" s="6">
        <v>0.5681712962962973</v>
      </c>
      <c r="G641" s="4" t="s">
        <v>409</v>
      </c>
      <c r="H641" s="4" t="s">
        <v>85</v>
      </c>
      <c r="I641" s="4" t="s">
        <v>85</v>
      </c>
      <c r="J641" s="4"/>
      <c r="K641" s="4"/>
      <c r="L641" s="4"/>
      <c r="M641" s="4"/>
      <c r="N641" s="4" t="s">
        <v>70</v>
      </c>
      <c r="O641" s="51" t="b">
        <v>0</v>
      </c>
      <c r="P641" s="51" t="b">
        <v>0</v>
      </c>
      <c r="Q641" s="51" t="b">
        <v>0</v>
      </c>
      <c r="R641" s="51" t="b">
        <v>0</v>
      </c>
      <c r="S641" s="51" t="b">
        <v>0</v>
      </c>
    </row>
    <row r="642">
      <c r="A642" s="56" t="str">
        <f>IFERROR(__xludf.DUMMYFUNCTION("""COMPUTED_VALUE"""),"703 - Channel")</f>
        <v>703 - Channel</v>
      </c>
      <c r="B642" s="56" t="s">
        <v>16</v>
      </c>
      <c r="C642" s="56" t="s">
        <v>289</v>
      </c>
      <c r="D642" s="57">
        <v>0.5681712962962973</v>
      </c>
      <c r="E642" s="57">
        <v>3.4722222222222224E-4</v>
      </c>
      <c r="F642" s="57">
        <v>0.5685185185185195</v>
      </c>
      <c r="G642" s="56" t="s">
        <v>409</v>
      </c>
      <c r="H642" s="56" t="s">
        <v>81</v>
      </c>
      <c r="I642" s="56" t="s">
        <v>81</v>
      </c>
      <c r="J642" s="56"/>
      <c r="K642" s="56"/>
      <c r="L642" s="56"/>
      <c r="M642" s="56"/>
      <c r="N642" s="56" t="s">
        <v>70</v>
      </c>
      <c r="O642" s="51" t="b">
        <v>0</v>
      </c>
      <c r="P642" s="51" t="b">
        <v>0</v>
      </c>
      <c r="Q642" s="51" t="b">
        <v>0</v>
      </c>
      <c r="R642" s="51" t="b">
        <v>0</v>
      </c>
      <c r="S642" s="51" t="b">
        <v>0</v>
      </c>
      <c r="T642" s="56"/>
    </row>
    <row r="643" hidden="1">
      <c r="A643" s="4" t="str">
        <f>IFERROR(__xludf.DUMMYFUNCTION("""COMPUTED_VALUE"""),"704 - Channel")</f>
        <v>704 - Channel</v>
      </c>
      <c r="B643" s="4" t="s">
        <v>16</v>
      </c>
      <c r="C643" s="4" t="s">
        <v>289</v>
      </c>
      <c r="D643" s="6">
        <v>0.5685185185185195</v>
      </c>
      <c r="E643" s="6">
        <v>0.010324074074074074</v>
      </c>
      <c r="F643" s="6">
        <v>0.5788425925925936</v>
      </c>
      <c r="G643" s="4" t="s">
        <v>409</v>
      </c>
      <c r="H643" s="4" t="s">
        <v>94</v>
      </c>
      <c r="I643" s="4" t="s">
        <v>886</v>
      </c>
      <c r="J643" s="4" t="s">
        <v>887</v>
      </c>
      <c r="K643" s="4"/>
      <c r="L643" s="4"/>
      <c r="M643" s="4"/>
      <c r="N643" s="4" t="s">
        <v>888</v>
      </c>
      <c r="O643" s="51" t="b">
        <v>0</v>
      </c>
      <c r="P643" s="51" t="b">
        <v>0</v>
      </c>
      <c r="Q643" s="51" t="b">
        <v>0</v>
      </c>
      <c r="R643" s="51" t="b">
        <v>0</v>
      </c>
      <c r="S643" s="51" t="b">
        <v>0</v>
      </c>
    </row>
    <row r="644">
      <c r="A644" s="56" t="str">
        <f>IFERROR(__xludf.DUMMYFUNCTION("""COMPUTED_VALUE"""),"705 - Channel")</f>
        <v>705 - Channel</v>
      </c>
      <c r="B644" s="56" t="s">
        <v>16</v>
      </c>
      <c r="C644" s="56" t="s">
        <v>289</v>
      </c>
      <c r="D644" s="57">
        <v>0.5788425925925936</v>
      </c>
      <c r="E644" s="57">
        <v>1.7361111111111112E-4</v>
      </c>
      <c r="F644" s="57">
        <v>0.5790162037037048</v>
      </c>
      <c r="G644" s="56" t="s">
        <v>409</v>
      </c>
      <c r="H644" s="56" t="s">
        <v>85</v>
      </c>
      <c r="I644" s="56" t="s">
        <v>85</v>
      </c>
      <c r="J644" s="56"/>
      <c r="K644" s="56"/>
      <c r="L644" s="56"/>
      <c r="M644" s="56"/>
      <c r="N644" s="56" t="s">
        <v>70</v>
      </c>
      <c r="O644" s="51" t="b">
        <v>0</v>
      </c>
      <c r="P644" s="51" t="b">
        <v>0</v>
      </c>
      <c r="Q644" s="51" t="b">
        <v>0</v>
      </c>
      <c r="R644" s="51" t="b">
        <v>0</v>
      </c>
      <c r="S644" s="51" t="b">
        <v>0</v>
      </c>
      <c r="T644" s="56"/>
    </row>
    <row r="645">
      <c r="A645" s="4" t="str">
        <f>IFERROR(__xludf.DUMMYFUNCTION("""COMPUTED_VALUE"""),"707 - Channel")</f>
        <v>707 - Channel</v>
      </c>
      <c r="B645" s="4" t="s">
        <v>16</v>
      </c>
      <c r="C645" s="4" t="s">
        <v>289</v>
      </c>
      <c r="D645" s="6">
        <v>0.5790162037037048</v>
      </c>
      <c r="E645" s="6">
        <v>2.314814814814815E-4</v>
      </c>
      <c r="F645" s="6">
        <v>0.5792476851851862</v>
      </c>
      <c r="G645" s="4" t="s">
        <v>409</v>
      </c>
      <c r="H645" s="4" t="s">
        <v>81</v>
      </c>
      <c r="I645" s="4" t="s">
        <v>892</v>
      </c>
      <c r="J645" s="4"/>
      <c r="K645" s="4"/>
      <c r="L645" s="4"/>
      <c r="M645" s="4"/>
      <c r="N645" s="4" t="s">
        <v>70</v>
      </c>
      <c r="O645" s="51" t="b">
        <v>0</v>
      </c>
      <c r="P645" s="51" t="b">
        <v>0</v>
      </c>
      <c r="Q645" s="51" t="b">
        <v>0</v>
      </c>
      <c r="R645" s="51" t="b">
        <v>0</v>
      </c>
      <c r="S645" s="51" t="b">
        <v>0</v>
      </c>
    </row>
    <row r="646" hidden="1">
      <c r="A646" s="56" t="str">
        <f>IFERROR(__xludf.DUMMYFUNCTION("""COMPUTED_VALUE"""),"708 - Channel")</f>
        <v>708 - Channel</v>
      </c>
      <c r="B646" s="56" t="s">
        <v>16</v>
      </c>
      <c r="C646" s="56" t="s">
        <v>289</v>
      </c>
      <c r="D646" s="57">
        <v>0.5792476851851862</v>
      </c>
      <c r="E646" s="57">
        <v>0.0024421296296296296</v>
      </c>
      <c r="F646" s="57">
        <v>0.5816898148148159</v>
      </c>
      <c r="G646" s="56" t="s">
        <v>409</v>
      </c>
      <c r="H646" s="56" t="s">
        <v>165</v>
      </c>
      <c r="I646" s="56" t="s">
        <v>893</v>
      </c>
      <c r="J646" s="56" t="s">
        <v>894</v>
      </c>
      <c r="K646" s="56"/>
      <c r="L646" s="56"/>
      <c r="M646" s="56"/>
      <c r="N646" s="56" t="s">
        <v>70</v>
      </c>
      <c r="O646" s="51" t="b">
        <v>0</v>
      </c>
      <c r="P646" s="51" t="b">
        <v>0</v>
      </c>
      <c r="Q646" s="51" t="b">
        <v>0</v>
      </c>
      <c r="R646" s="51" t="b">
        <v>0</v>
      </c>
      <c r="S646" s="51" t="b">
        <v>0</v>
      </c>
      <c r="T646" s="56"/>
    </row>
    <row r="647">
      <c r="A647" s="4" t="str">
        <f>IFERROR(__xludf.DUMMYFUNCTION("""COMPUTED_VALUE"""),"709 - Channel")</f>
        <v>709 - Channel</v>
      </c>
      <c r="B647" s="4" t="s">
        <v>16</v>
      </c>
      <c r="C647" s="4" t="s">
        <v>289</v>
      </c>
      <c r="D647" s="6">
        <v>0.5816898148148159</v>
      </c>
      <c r="E647" s="6">
        <v>1.7361111111111112E-4</v>
      </c>
      <c r="F647" s="6">
        <v>0.581863425925927</v>
      </c>
      <c r="G647" s="4" t="s">
        <v>409</v>
      </c>
      <c r="H647" s="4" t="s">
        <v>85</v>
      </c>
      <c r="I647" s="4" t="s">
        <v>85</v>
      </c>
      <c r="J647" s="4"/>
      <c r="K647" s="4"/>
      <c r="L647" s="4"/>
      <c r="M647" s="4"/>
      <c r="N647" s="4" t="s">
        <v>70</v>
      </c>
      <c r="O647" s="51" t="b">
        <v>0</v>
      </c>
      <c r="P647" s="51" t="b">
        <v>0</v>
      </c>
      <c r="Q647" s="51" t="b">
        <v>0</v>
      </c>
      <c r="R647" s="51" t="b">
        <v>0</v>
      </c>
      <c r="S647" s="51" t="b">
        <v>0</v>
      </c>
    </row>
    <row r="648">
      <c r="A648" s="56" t="str">
        <f>IFERROR(__xludf.DUMMYFUNCTION("""COMPUTED_VALUE"""),"710 - Channel")</f>
        <v>710 - Channel</v>
      </c>
      <c r="B648" s="56" t="s">
        <v>16</v>
      </c>
      <c r="C648" s="56" t="s">
        <v>289</v>
      </c>
      <c r="D648" s="57"/>
      <c r="E648" s="57"/>
      <c r="F648" s="57"/>
      <c r="G648" s="56"/>
      <c r="H648" s="56"/>
      <c r="I648" s="56"/>
      <c r="J648" s="56"/>
      <c r="K648" s="56"/>
      <c r="L648" s="56"/>
      <c r="M648" s="56"/>
      <c r="N648" s="56" t="s">
        <v>70</v>
      </c>
      <c r="O648" s="51" t="b">
        <v>0</v>
      </c>
      <c r="P648" s="51" t="b">
        <v>0</v>
      </c>
      <c r="Q648" s="51" t="b">
        <v>0</v>
      </c>
      <c r="R648" s="51" t="b">
        <v>0</v>
      </c>
      <c r="S648" s="51" t="b">
        <v>0</v>
      </c>
      <c r="T648" s="56"/>
    </row>
    <row r="649" hidden="1">
      <c r="A649" s="4" t="str">
        <f>IFERROR(__xludf.DUMMYFUNCTION("""COMPUTED_VALUE"""),"712 - Channel")</f>
        <v>712 - Channel</v>
      </c>
      <c r="B649" s="4" t="s">
        <v>16</v>
      </c>
      <c r="C649" s="4" t="s">
        <v>289</v>
      </c>
      <c r="D649" s="6">
        <v>0.581863425925927</v>
      </c>
      <c r="E649" s="6">
        <v>3.4722222222222224E-4</v>
      </c>
      <c r="F649" s="6">
        <v>0.5822106481481493</v>
      </c>
      <c r="G649" s="4" t="s">
        <v>245</v>
      </c>
      <c r="H649" s="4" t="s">
        <v>81</v>
      </c>
      <c r="I649" s="4" t="s">
        <v>81</v>
      </c>
      <c r="J649" s="4"/>
      <c r="K649" s="4"/>
      <c r="L649" s="4"/>
      <c r="M649" s="4"/>
      <c r="N649" s="4" t="s">
        <v>70</v>
      </c>
      <c r="O649" s="51" t="b">
        <v>0</v>
      </c>
      <c r="P649" s="51" t="b">
        <v>0</v>
      </c>
      <c r="Q649" s="51" t="b">
        <v>0</v>
      </c>
      <c r="R649" s="51" t="b">
        <v>0</v>
      </c>
      <c r="S649" s="51" t="b">
        <v>0</v>
      </c>
    </row>
    <row r="650">
      <c r="A650" s="4" t="str">
        <f>IFERROR(__xludf.DUMMYFUNCTION("""COMPUTED_VALUE"""),"713 - Channel")</f>
        <v>713 - Channel</v>
      </c>
      <c r="B650" s="4" t="s">
        <v>16</v>
      </c>
      <c r="C650" s="4" t="s">
        <v>289</v>
      </c>
      <c r="D650" s="6">
        <v>0.5822106481481493</v>
      </c>
      <c r="E650" s="6">
        <v>0.0096875</v>
      </c>
      <c r="F650" s="6">
        <v>0.5918981481481492</v>
      </c>
      <c r="G650" s="4" t="s">
        <v>245</v>
      </c>
      <c r="H650" s="4" t="s">
        <v>74</v>
      </c>
      <c r="I650" s="4" t="s">
        <v>900</v>
      </c>
      <c r="J650" s="4" t="s">
        <v>901</v>
      </c>
      <c r="K650" s="4" t="s">
        <v>902</v>
      </c>
      <c r="L650" s="4" t="s">
        <v>903</v>
      </c>
      <c r="M650" s="4"/>
      <c r="N650" s="4" t="s">
        <v>904</v>
      </c>
      <c r="O650" s="51" t="b">
        <v>0</v>
      </c>
      <c r="P650" s="51" t="b">
        <v>0</v>
      </c>
      <c r="Q650" s="51" t="b">
        <v>0</v>
      </c>
      <c r="R650" s="51" t="b">
        <v>0</v>
      </c>
      <c r="S650" s="51" t="b">
        <v>0</v>
      </c>
    </row>
    <row r="651" hidden="1">
      <c r="A651" s="4" t="str">
        <f>IFERROR(__xludf.DUMMYFUNCTION("""COMPUTED_VALUE"""),"714 - Channel")</f>
        <v>714 - Channel</v>
      </c>
      <c r="B651" s="4" t="s">
        <v>16</v>
      </c>
      <c r="C651" s="4" t="s">
        <v>289</v>
      </c>
      <c r="D651" s="6">
        <v>0.5918981481481492</v>
      </c>
      <c r="E651" s="6">
        <v>1.7361111111111112E-4</v>
      </c>
      <c r="F651" s="6">
        <v>0.5920717592592604</v>
      </c>
      <c r="G651" s="4" t="s">
        <v>245</v>
      </c>
      <c r="H651" s="4" t="s">
        <v>85</v>
      </c>
      <c r="I651" s="4" t="s">
        <v>85</v>
      </c>
      <c r="J651" s="4"/>
      <c r="K651" s="4"/>
      <c r="L651" s="4"/>
      <c r="M651" s="4"/>
      <c r="N651" s="4" t="s">
        <v>70</v>
      </c>
      <c r="O651" s="51" t="b">
        <v>0</v>
      </c>
      <c r="P651" s="51" t="b">
        <v>0</v>
      </c>
      <c r="Q651" s="51" t="b">
        <v>0</v>
      </c>
      <c r="R651" s="51" t="b">
        <v>0</v>
      </c>
      <c r="S651" s="51" t="b">
        <v>0</v>
      </c>
    </row>
    <row r="652">
      <c r="A652" s="56" t="str">
        <f>IFERROR(__xludf.DUMMYFUNCTION("""COMPUTED_VALUE"""),"715 - Channel")</f>
        <v>715 - Channel</v>
      </c>
      <c r="B652" s="56" t="s">
        <v>16</v>
      </c>
      <c r="C652" s="56" t="s">
        <v>289</v>
      </c>
      <c r="D652" s="57">
        <v>0.5920717592592604</v>
      </c>
      <c r="E652" s="57">
        <v>3.4722222222222224E-4</v>
      </c>
      <c r="F652" s="57">
        <v>0.5924189814814826</v>
      </c>
      <c r="G652" s="56" t="s">
        <v>245</v>
      </c>
      <c r="H652" s="56" t="s">
        <v>81</v>
      </c>
      <c r="I652" s="56" t="s">
        <v>81</v>
      </c>
      <c r="J652" s="56"/>
      <c r="K652" s="56"/>
      <c r="L652" s="56"/>
      <c r="M652" s="56"/>
      <c r="N652" s="56" t="s">
        <v>70</v>
      </c>
      <c r="O652" s="51" t="b">
        <v>0</v>
      </c>
      <c r="P652" s="51" t="b">
        <v>0</v>
      </c>
      <c r="Q652" s="51" t="b">
        <v>0</v>
      </c>
      <c r="R652" s="51" t="b">
        <v>0</v>
      </c>
      <c r="S652" s="51" t="b">
        <v>0</v>
      </c>
      <c r="T652" s="56"/>
    </row>
    <row r="653" hidden="1">
      <c r="A653" s="4" t="str">
        <f>IFERROR(__xludf.DUMMYFUNCTION("""COMPUTED_VALUE"""),"716 - Channel")</f>
        <v>716 - Channel</v>
      </c>
      <c r="B653" s="4" t="s">
        <v>16</v>
      </c>
      <c r="C653" s="4" t="s">
        <v>289</v>
      </c>
      <c r="D653" s="6">
        <v>0.5924189814814826</v>
      </c>
      <c r="E653" s="6">
        <v>0.014085648148148147</v>
      </c>
      <c r="F653" s="6">
        <v>0.6065046296296308</v>
      </c>
      <c r="G653" s="4" t="s">
        <v>245</v>
      </c>
      <c r="H653" s="4" t="s">
        <v>107</v>
      </c>
      <c r="I653" s="4" t="s">
        <v>907</v>
      </c>
      <c r="J653" s="4" t="s">
        <v>908</v>
      </c>
      <c r="K653" s="4" t="s">
        <v>909</v>
      </c>
      <c r="L653" s="4"/>
      <c r="M653" s="4"/>
      <c r="N653" s="4" t="s">
        <v>910</v>
      </c>
      <c r="O653" s="51" t="b">
        <v>0</v>
      </c>
      <c r="P653" s="51" t="b">
        <v>0</v>
      </c>
      <c r="Q653" s="51" t="b">
        <v>0</v>
      </c>
      <c r="R653" s="51" t="b">
        <v>0</v>
      </c>
      <c r="S653" s="51" t="b">
        <v>0</v>
      </c>
    </row>
    <row r="654">
      <c r="A654" s="56" t="str">
        <f>IFERROR(__xludf.DUMMYFUNCTION("""COMPUTED_VALUE"""),"717 - Channel")</f>
        <v>717 - Channel</v>
      </c>
      <c r="B654" s="56" t="s">
        <v>16</v>
      </c>
      <c r="C654" s="56" t="s">
        <v>289</v>
      </c>
      <c r="D654" s="57">
        <v>0.6065046296296308</v>
      </c>
      <c r="E654" s="57">
        <v>1.7361111111111112E-4</v>
      </c>
      <c r="F654" s="57">
        <v>0.606678240740742</v>
      </c>
      <c r="G654" s="56" t="s">
        <v>245</v>
      </c>
      <c r="H654" s="56" t="s">
        <v>85</v>
      </c>
      <c r="I654" s="56" t="s">
        <v>85</v>
      </c>
      <c r="J654" s="56"/>
      <c r="K654" s="56"/>
      <c r="L654" s="56"/>
      <c r="M654" s="56"/>
      <c r="N654" s="56" t="s">
        <v>70</v>
      </c>
      <c r="O654" s="51" t="b">
        <v>0</v>
      </c>
      <c r="P654" s="51" t="b">
        <v>0</v>
      </c>
      <c r="Q654" s="51" t="b">
        <v>0</v>
      </c>
      <c r="R654" s="51" t="b">
        <v>0</v>
      </c>
      <c r="S654" s="51" t="b">
        <v>0</v>
      </c>
      <c r="T654" s="56"/>
    </row>
    <row r="655">
      <c r="A655" s="4" t="str">
        <f>IFERROR(__xludf.DUMMYFUNCTION("""COMPUTED_VALUE"""),"718 - Channel")</f>
        <v>718 - Channel</v>
      </c>
      <c r="B655" s="4" t="s">
        <v>16</v>
      </c>
      <c r="C655" s="4" t="s">
        <v>289</v>
      </c>
      <c r="D655" s="6">
        <v>0.606678240740742</v>
      </c>
      <c r="E655" s="6">
        <v>3.4722222222222224E-4</v>
      </c>
      <c r="F655" s="6">
        <v>0.6070254629629642</v>
      </c>
      <c r="G655" s="4" t="s">
        <v>245</v>
      </c>
      <c r="H655" s="4" t="s">
        <v>89</v>
      </c>
      <c r="I655" s="4" t="s">
        <v>525</v>
      </c>
      <c r="J655" s="4"/>
      <c r="K655" s="4"/>
      <c r="L655" s="4"/>
      <c r="M655" s="4"/>
      <c r="N655" s="4" t="s">
        <v>70</v>
      </c>
      <c r="O655" s="51" t="b">
        <v>0</v>
      </c>
      <c r="P655" s="51" t="b">
        <v>0</v>
      </c>
      <c r="Q655" s="51" t="b">
        <v>0</v>
      </c>
      <c r="R655" s="51" t="b">
        <v>0</v>
      </c>
      <c r="S655" s="51" t="b">
        <v>0</v>
      </c>
    </row>
    <row r="656" hidden="1">
      <c r="A656" s="56" t="str">
        <f>IFERROR(__xludf.DUMMYFUNCTION("""COMPUTED_VALUE"""),"719 - Channel")</f>
        <v>719 - Channel</v>
      </c>
      <c r="B656" s="56" t="s">
        <v>16</v>
      </c>
      <c r="C656" s="56" t="s">
        <v>289</v>
      </c>
      <c r="D656" s="57">
        <v>0.6070254629629642</v>
      </c>
      <c r="E656" s="57">
        <v>3.4722222222222224E-4</v>
      </c>
      <c r="F656" s="57">
        <v>0.6073726851851865</v>
      </c>
      <c r="G656" s="56" t="s">
        <v>245</v>
      </c>
      <c r="H656" s="56" t="s">
        <v>81</v>
      </c>
      <c r="I656" s="56" t="s">
        <v>81</v>
      </c>
      <c r="J656" s="56"/>
      <c r="K656" s="56"/>
      <c r="L656" s="56"/>
      <c r="M656" s="56"/>
      <c r="N656" s="56" t="s">
        <v>70</v>
      </c>
      <c r="O656" s="51" t="b">
        <v>0</v>
      </c>
      <c r="P656" s="51" t="b">
        <v>0</v>
      </c>
      <c r="Q656" s="51" t="b">
        <v>0</v>
      </c>
      <c r="R656" s="51" t="b">
        <v>0</v>
      </c>
      <c r="S656" s="51" t="b">
        <v>0</v>
      </c>
      <c r="T656" s="56"/>
    </row>
    <row r="657">
      <c r="A657" s="4" t="str">
        <f>IFERROR(__xludf.DUMMYFUNCTION("""COMPUTED_VALUE"""),"720 - Channel")</f>
        <v>720 - Channel</v>
      </c>
      <c r="B657" s="4" t="s">
        <v>16</v>
      </c>
      <c r="C657" s="4" t="s">
        <v>289</v>
      </c>
      <c r="D657" s="6">
        <v>0.6073726851851865</v>
      </c>
      <c r="E657" s="6">
        <v>0.00798611111111111</v>
      </c>
      <c r="F657" s="6">
        <v>0.6153587962962976</v>
      </c>
      <c r="G657" s="4" t="s">
        <v>245</v>
      </c>
      <c r="H657" s="4" t="s">
        <v>165</v>
      </c>
      <c r="I657" s="4" t="s">
        <v>915</v>
      </c>
      <c r="J657" s="4" t="s">
        <v>916</v>
      </c>
      <c r="K657" s="4"/>
      <c r="L657" s="4"/>
      <c r="M657" s="4"/>
      <c r="N657" s="4" t="s">
        <v>70</v>
      </c>
      <c r="O657" s="51" t="b">
        <v>0</v>
      </c>
      <c r="P657" s="51" t="b">
        <v>0</v>
      </c>
      <c r="Q657" s="51" t="b">
        <v>0</v>
      </c>
      <c r="R657" s="51" t="b">
        <v>0</v>
      </c>
      <c r="S657" s="51" t="b">
        <v>0</v>
      </c>
    </row>
    <row r="658" hidden="1">
      <c r="A658" s="56" t="str">
        <f>IFERROR(__xludf.DUMMYFUNCTION("""COMPUTED_VALUE"""),"721 - Channel")</f>
        <v>721 - Channel</v>
      </c>
      <c r="B658" s="56" t="s">
        <v>16</v>
      </c>
      <c r="C658" s="56" t="s">
        <v>289</v>
      </c>
      <c r="D658" s="57">
        <v>0.6153587962962976</v>
      </c>
      <c r="E658" s="57">
        <v>1.7361111111111112E-4</v>
      </c>
      <c r="F658" s="57">
        <v>0.6155324074074088</v>
      </c>
      <c r="G658" s="56" t="s">
        <v>245</v>
      </c>
      <c r="H658" s="56" t="s">
        <v>85</v>
      </c>
      <c r="I658" s="56" t="s">
        <v>85</v>
      </c>
      <c r="J658" s="56"/>
      <c r="K658" s="56"/>
      <c r="L658" s="56"/>
      <c r="M658" s="56"/>
      <c r="N658" s="56" t="s">
        <v>70</v>
      </c>
      <c r="O658" s="51" t="b">
        <v>0</v>
      </c>
      <c r="P658" s="51" t="b">
        <v>0</v>
      </c>
      <c r="Q658" s="51" t="b">
        <v>0</v>
      </c>
      <c r="R658" s="51" t="b">
        <v>0</v>
      </c>
      <c r="S658" s="51" t="b">
        <v>0</v>
      </c>
      <c r="T658" s="56"/>
    </row>
    <row r="659">
      <c r="A659" s="56" t="str">
        <f>IFERROR(__xludf.DUMMYFUNCTION("""COMPUTED_VALUE"""),"722 - Channel")</f>
        <v>722 - Channel</v>
      </c>
      <c r="B659" s="56" t="s">
        <v>16</v>
      </c>
      <c r="C659" s="56" t="s">
        <v>289</v>
      </c>
      <c r="D659" s="57">
        <v>0.6155324074074088</v>
      </c>
      <c r="E659" s="57">
        <v>3.4722222222222224E-4</v>
      </c>
      <c r="F659" s="57">
        <v>0.615879629629631</v>
      </c>
      <c r="G659" s="56" t="s">
        <v>245</v>
      </c>
      <c r="H659" s="56" t="s">
        <v>89</v>
      </c>
      <c r="I659" s="56" t="s">
        <v>89</v>
      </c>
      <c r="J659" s="56"/>
      <c r="K659" s="56"/>
      <c r="L659" s="56"/>
      <c r="M659" s="56"/>
      <c r="N659" s="56" t="s">
        <v>70</v>
      </c>
      <c r="O659" s="51" t="b">
        <v>0</v>
      </c>
      <c r="P659" s="51" t="b">
        <v>0</v>
      </c>
      <c r="Q659" s="51" t="b">
        <v>0</v>
      </c>
      <c r="R659" s="51" t="b">
        <v>0</v>
      </c>
      <c r="S659" s="51" t="b">
        <v>0</v>
      </c>
      <c r="T659" s="56"/>
    </row>
    <row r="660" hidden="1">
      <c r="A660" s="4" t="str">
        <f>IFERROR(__xludf.DUMMYFUNCTION("""COMPUTED_VALUE"""),"723 - Channel")</f>
        <v>723 - Channel</v>
      </c>
      <c r="B660" s="4" t="s">
        <v>16</v>
      </c>
      <c r="C660" s="4" t="s">
        <v>289</v>
      </c>
      <c r="D660" s="6">
        <v>0.615879629629631</v>
      </c>
      <c r="E660" s="6">
        <v>3.4722222222222224E-4</v>
      </c>
      <c r="F660" s="6">
        <v>0.6162268518518533</v>
      </c>
      <c r="G660" s="4" t="s">
        <v>245</v>
      </c>
      <c r="H660" s="4" t="s">
        <v>81</v>
      </c>
      <c r="I660" s="4" t="s">
        <v>81</v>
      </c>
      <c r="J660" s="4"/>
      <c r="K660" s="4"/>
      <c r="L660" s="4"/>
      <c r="M660" s="4"/>
      <c r="N660" s="4" t="s">
        <v>70</v>
      </c>
      <c r="O660" s="51" t="b">
        <v>0</v>
      </c>
      <c r="P660" s="51" t="b">
        <v>0</v>
      </c>
      <c r="Q660" s="51" t="b">
        <v>0</v>
      </c>
      <c r="R660" s="51" t="b">
        <v>0</v>
      </c>
      <c r="S660" s="51" t="b">
        <v>0</v>
      </c>
    </row>
    <row r="661">
      <c r="A661" s="56" t="str">
        <f>IFERROR(__xludf.DUMMYFUNCTION("""COMPUTED_VALUE"""),"724 - Channel")</f>
        <v>724 - Channel</v>
      </c>
      <c r="B661" s="56" t="s">
        <v>16</v>
      </c>
      <c r="C661" s="56" t="s">
        <v>289</v>
      </c>
      <c r="D661" s="57">
        <v>0.6162268518518533</v>
      </c>
      <c r="E661" s="57">
        <v>0.006944444444444444</v>
      </c>
      <c r="F661" s="57">
        <v>0.6231712962962977</v>
      </c>
      <c r="G661" s="56" t="s">
        <v>245</v>
      </c>
      <c r="H661" s="56" t="s">
        <v>165</v>
      </c>
      <c r="I661" s="56" t="s">
        <v>921</v>
      </c>
      <c r="J661" s="56" t="s">
        <v>922</v>
      </c>
      <c r="K661" s="56"/>
      <c r="L661" s="56"/>
      <c r="M661" s="56"/>
      <c r="N661" s="56" t="s">
        <v>70</v>
      </c>
      <c r="O661" s="51" t="b">
        <v>0</v>
      </c>
      <c r="P661" s="51" t="b">
        <v>0</v>
      </c>
      <c r="Q661" s="51" t="b">
        <v>0</v>
      </c>
      <c r="R661" s="51" t="b">
        <v>0</v>
      </c>
      <c r="S661" s="51" t="b">
        <v>0</v>
      </c>
      <c r="T661" s="56"/>
    </row>
    <row r="662" hidden="1">
      <c r="A662" s="4" t="str">
        <f>IFERROR(__xludf.DUMMYFUNCTION("""COMPUTED_VALUE"""),"725 - Channel")</f>
        <v>725 - Channel</v>
      </c>
      <c r="B662" s="4" t="s">
        <v>16</v>
      </c>
      <c r="C662" s="4" t="s">
        <v>289</v>
      </c>
      <c r="D662" s="6">
        <v>0.6231712962962977</v>
      </c>
      <c r="E662" s="6">
        <v>1.7361111111111112E-4</v>
      </c>
      <c r="F662" s="6">
        <v>0.6233449074074089</v>
      </c>
      <c r="G662" s="4" t="s">
        <v>245</v>
      </c>
      <c r="H662" s="4" t="s">
        <v>85</v>
      </c>
      <c r="I662" s="4" t="s">
        <v>85</v>
      </c>
      <c r="J662" s="4"/>
      <c r="K662" s="4"/>
      <c r="L662" s="4"/>
      <c r="M662" s="4"/>
      <c r="N662" s="4" t="s">
        <v>70</v>
      </c>
      <c r="O662" s="51" t="b">
        <v>0</v>
      </c>
      <c r="P662" s="51" t="b">
        <v>0</v>
      </c>
      <c r="Q662" s="51" t="b">
        <v>0</v>
      </c>
      <c r="R662" s="51" t="b">
        <v>0</v>
      </c>
      <c r="S662" s="51" t="b">
        <v>0</v>
      </c>
    </row>
    <row r="663">
      <c r="A663" s="4" t="str">
        <f>IFERROR(__xludf.DUMMYFUNCTION("""COMPUTED_VALUE"""),"1579 - Channel")</f>
        <v>1579 - Channel</v>
      </c>
      <c r="B663" s="4" t="s">
        <v>16</v>
      </c>
      <c r="C663" s="4"/>
      <c r="D663" s="6"/>
      <c r="E663" s="6"/>
      <c r="F663" s="6"/>
      <c r="G663" s="4"/>
      <c r="H663" s="4"/>
      <c r="I663" s="4"/>
      <c r="J663" s="4"/>
      <c r="K663" s="4"/>
      <c r="L663" s="4"/>
      <c r="M663" s="4"/>
      <c r="N663" s="4"/>
      <c r="O663" s="51" t="b">
        <v>0</v>
      </c>
      <c r="P663" s="51" t="b">
        <v>0</v>
      </c>
      <c r="Q663" s="51" t="b">
        <v>0</v>
      </c>
      <c r="R663" s="51" t="b">
        <v>0</v>
      </c>
      <c r="S663" s="51" t="b">
        <v>0</v>
      </c>
    </row>
    <row r="664" hidden="1">
      <c r="A664" s="4" t="str">
        <f>IFERROR(__xludf.DUMMYFUNCTION("""COMPUTED_VALUE"""),"754 - Channel")</f>
        <v>754 - Channel</v>
      </c>
      <c r="B664" s="4" t="s">
        <v>16</v>
      </c>
      <c r="C664" s="4" t="s">
        <v>289</v>
      </c>
      <c r="D664" s="6">
        <v>0.6233449074074089</v>
      </c>
      <c r="E664" s="6">
        <v>3.4722222222222224E-4</v>
      </c>
      <c r="F664" s="6">
        <v>0.6236921296296312</v>
      </c>
      <c r="G664" s="4" t="s">
        <v>924</v>
      </c>
      <c r="H664" s="4" t="s">
        <v>81</v>
      </c>
      <c r="I664" s="4" t="s">
        <v>81</v>
      </c>
      <c r="J664" s="4"/>
      <c r="K664" s="4"/>
      <c r="L664" s="4"/>
      <c r="M664" s="4"/>
      <c r="N664" s="4"/>
      <c r="O664" s="51" t="b">
        <v>0</v>
      </c>
      <c r="P664" s="51" t="b">
        <v>0</v>
      </c>
      <c r="Q664" s="51" t="b">
        <v>0</v>
      </c>
      <c r="R664" s="51" t="b">
        <v>0</v>
      </c>
      <c r="S664" s="51" t="b">
        <v>0</v>
      </c>
    </row>
    <row r="665">
      <c r="A665" s="4" t="str">
        <f>IFERROR(__xludf.DUMMYFUNCTION("""COMPUTED_VALUE"""),"755 - Channel")</f>
        <v>755 - Channel</v>
      </c>
      <c r="B665" s="4" t="s">
        <v>16</v>
      </c>
      <c r="C665" s="4" t="s">
        <v>289</v>
      </c>
      <c r="D665" s="6">
        <v>0.6236921296296312</v>
      </c>
      <c r="E665" s="6">
        <v>0.007407407407407408</v>
      </c>
      <c r="F665" s="6">
        <v>0.6310995370370386</v>
      </c>
      <c r="G665" s="4" t="s">
        <v>924</v>
      </c>
      <c r="H665" s="4" t="s">
        <v>165</v>
      </c>
      <c r="I665" s="4" t="s">
        <v>926</v>
      </c>
      <c r="J665" s="4" t="s">
        <v>927</v>
      </c>
      <c r="K665" s="4"/>
      <c r="L665" s="4"/>
      <c r="M665" s="4"/>
      <c r="N665" s="4"/>
      <c r="O665" s="51" t="b">
        <v>0</v>
      </c>
      <c r="P665" s="51" t="b">
        <v>0</v>
      </c>
      <c r="Q665" s="51" t="b">
        <v>0</v>
      </c>
      <c r="R665" s="51" t="b">
        <v>0</v>
      </c>
      <c r="S665" s="51" t="b">
        <v>0</v>
      </c>
    </row>
    <row r="666" hidden="1">
      <c r="A666" s="4" t="str">
        <f>IFERROR(__xludf.DUMMYFUNCTION("""COMPUTED_VALUE"""),"756 - Channel")</f>
        <v>756 - Channel</v>
      </c>
      <c r="B666" s="4" t="s">
        <v>16</v>
      </c>
      <c r="C666" s="4" t="s">
        <v>289</v>
      </c>
      <c r="D666" s="6">
        <v>0.6310995370370386</v>
      </c>
      <c r="E666" s="6">
        <v>1.7361111111111112E-4</v>
      </c>
      <c r="F666" s="6">
        <v>0.6312731481481497</v>
      </c>
      <c r="G666" s="4" t="s">
        <v>924</v>
      </c>
      <c r="H666" s="4" t="s">
        <v>85</v>
      </c>
      <c r="I666" s="4" t="s">
        <v>85</v>
      </c>
      <c r="J666" s="4"/>
      <c r="K666" s="4"/>
      <c r="L666" s="4"/>
      <c r="M666" s="4"/>
      <c r="N666" s="4"/>
      <c r="O666" s="51" t="b">
        <v>0</v>
      </c>
      <c r="P666" s="51" t="b">
        <v>0</v>
      </c>
      <c r="Q666" s="51" t="b">
        <v>0</v>
      </c>
      <c r="R666" s="51" t="b">
        <v>0</v>
      </c>
      <c r="S666" s="51" t="b">
        <v>0</v>
      </c>
    </row>
    <row r="667">
      <c r="A667" s="56" t="str">
        <f>IFERROR(__xludf.DUMMYFUNCTION("""COMPUTED_VALUE"""),"757 - Channel")</f>
        <v>757 - Channel</v>
      </c>
      <c r="B667" s="56" t="s">
        <v>16</v>
      </c>
      <c r="C667" s="56" t="s">
        <v>289</v>
      </c>
      <c r="D667" s="57">
        <v>0.6312731481481497</v>
      </c>
      <c r="E667" s="57">
        <v>1.7361111111111112E-4</v>
      </c>
      <c r="F667" s="57">
        <v>0.6314467592592609</v>
      </c>
      <c r="G667" s="56" t="s">
        <v>924</v>
      </c>
      <c r="H667" s="56" t="s">
        <v>77</v>
      </c>
      <c r="I667" s="56" t="s">
        <v>930</v>
      </c>
      <c r="J667" s="56"/>
      <c r="K667" s="56"/>
      <c r="L667" s="56"/>
      <c r="M667" s="56"/>
      <c r="N667" s="56"/>
      <c r="O667" s="51" t="b">
        <v>0</v>
      </c>
      <c r="P667" s="51" t="b">
        <v>0</v>
      </c>
      <c r="Q667" s="51" t="b">
        <v>0</v>
      </c>
      <c r="R667" s="51" t="b">
        <v>0</v>
      </c>
      <c r="S667" s="51" t="b">
        <v>0</v>
      </c>
      <c r="T667" s="56"/>
    </row>
    <row r="668" hidden="1">
      <c r="A668" s="4" t="str">
        <f>IFERROR(__xludf.DUMMYFUNCTION("""COMPUTED_VALUE"""),"758 - Channel")</f>
        <v>758 - Channel</v>
      </c>
      <c r="B668" s="4" t="s">
        <v>16</v>
      </c>
      <c r="C668" s="4" t="s">
        <v>289</v>
      </c>
      <c r="D668" s="6">
        <v>0.6314467592592609</v>
      </c>
      <c r="E668" s="6">
        <v>3.4722222222222224E-4</v>
      </c>
      <c r="F668" s="6">
        <v>0.6317939814814831</v>
      </c>
      <c r="G668" s="4" t="s">
        <v>924</v>
      </c>
      <c r="H668" s="4" t="s">
        <v>89</v>
      </c>
      <c r="I668" s="4" t="s">
        <v>89</v>
      </c>
      <c r="J668" s="4"/>
      <c r="K668" s="4"/>
      <c r="L668" s="4"/>
      <c r="M668" s="4"/>
      <c r="N668" s="4" t="s">
        <v>70</v>
      </c>
      <c r="O668" s="51" t="b">
        <v>0</v>
      </c>
      <c r="P668" s="51" t="b">
        <v>0</v>
      </c>
      <c r="Q668" s="51" t="b">
        <v>0</v>
      </c>
      <c r="R668" s="51" t="b">
        <v>0</v>
      </c>
      <c r="S668" s="51" t="b">
        <v>0</v>
      </c>
    </row>
    <row r="669">
      <c r="A669" s="56" t="str">
        <f>IFERROR(__xludf.DUMMYFUNCTION("""COMPUTED_VALUE"""),"766 - Channel")</f>
        <v>766 - Channel</v>
      </c>
      <c r="B669" s="56" t="s">
        <v>16</v>
      </c>
      <c r="C669" s="56" t="s">
        <v>289</v>
      </c>
      <c r="D669" s="57">
        <v>0.6317939814814831</v>
      </c>
      <c r="E669" s="57">
        <v>1.7361111111111112E-4</v>
      </c>
      <c r="F669" s="57">
        <v>0.6319675925925943</v>
      </c>
      <c r="G669" s="56" t="s">
        <v>924</v>
      </c>
      <c r="H669" s="56" t="s">
        <v>77</v>
      </c>
      <c r="I669" s="56" t="s">
        <v>932</v>
      </c>
      <c r="J669" s="56"/>
      <c r="K669" s="56"/>
      <c r="L669" s="56"/>
      <c r="M669" s="56"/>
      <c r="N669" s="56"/>
      <c r="O669" s="51" t="b">
        <v>0</v>
      </c>
      <c r="P669" s="51" t="b">
        <v>0</v>
      </c>
      <c r="Q669" s="51" t="b">
        <v>0</v>
      </c>
      <c r="R669" s="51" t="b">
        <v>0</v>
      </c>
      <c r="S669" s="51" t="b">
        <v>0</v>
      </c>
      <c r="T669" s="56"/>
    </row>
    <row r="670" hidden="1">
      <c r="A670" s="56" t="str">
        <f>IFERROR(__xludf.DUMMYFUNCTION("""COMPUTED_VALUE"""),"759 - Channel")</f>
        <v>759 - Channel</v>
      </c>
      <c r="B670" s="56" t="s">
        <v>16</v>
      </c>
      <c r="C670" s="56" t="s">
        <v>289</v>
      </c>
      <c r="D670" s="57">
        <v>0.6317939814814831</v>
      </c>
      <c r="E670" s="57">
        <v>3.4722222222222224E-4</v>
      </c>
      <c r="F670" s="57">
        <v>0.6321412037037054</v>
      </c>
      <c r="G670" s="56" t="s">
        <v>924</v>
      </c>
      <c r="H670" s="56" t="s">
        <v>81</v>
      </c>
      <c r="I670" s="56" t="s">
        <v>81</v>
      </c>
      <c r="J670" s="56"/>
      <c r="K670" s="56"/>
      <c r="L670" s="56"/>
      <c r="M670" s="56"/>
      <c r="N670" s="56" t="s">
        <v>70</v>
      </c>
      <c r="O670" s="51" t="b">
        <v>0</v>
      </c>
      <c r="P670" s="51" t="b">
        <v>0</v>
      </c>
      <c r="Q670" s="51" t="b">
        <v>0</v>
      </c>
      <c r="R670" s="51" t="b">
        <v>0</v>
      </c>
      <c r="S670" s="51" t="b">
        <v>0</v>
      </c>
      <c r="T670" s="56"/>
    </row>
    <row r="671" hidden="1">
      <c r="A671" s="4" t="str">
        <f>IFERROR(__xludf.DUMMYFUNCTION("""COMPUTED_VALUE"""),"760 - Channel")</f>
        <v>760 - Channel</v>
      </c>
      <c r="B671" s="4" t="s">
        <v>16</v>
      </c>
      <c r="C671" s="4" t="s">
        <v>289</v>
      </c>
      <c r="D671" s="6">
        <v>0.6321412037037054</v>
      </c>
      <c r="E671" s="6">
        <v>0.008333333333333333</v>
      </c>
      <c r="F671" s="6">
        <v>0.6404745370370387</v>
      </c>
      <c r="G671" s="4" t="s">
        <v>924</v>
      </c>
      <c r="H671" s="4" t="s">
        <v>165</v>
      </c>
      <c r="I671" s="4" t="s">
        <v>934</v>
      </c>
      <c r="J671" s="4" t="s">
        <v>935</v>
      </c>
      <c r="K671" s="4"/>
      <c r="L671" s="4"/>
      <c r="M671" s="4"/>
      <c r="N671" s="4" t="s">
        <v>70</v>
      </c>
      <c r="O671" s="51" t="b">
        <v>0</v>
      </c>
      <c r="P671" s="51" t="b">
        <v>0</v>
      </c>
      <c r="Q671" s="51" t="b">
        <v>0</v>
      </c>
      <c r="R671" s="51" t="b">
        <v>0</v>
      </c>
      <c r="S671" s="51" t="b">
        <v>0</v>
      </c>
    </row>
    <row r="672" hidden="1">
      <c r="A672" s="56" t="str">
        <f>IFERROR(__xludf.DUMMYFUNCTION("""COMPUTED_VALUE"""),"761 - Channel")</f>
        <v>761 - Channel</v>
      </c>
      <c r="B672" s="56" t="s">
        <v>16</v>
      </c>
      <c r="C672" s="56" t="s">
        <v>289</v>
      </c>
      <c r="D672" s="57">
        <v>0.6404745370370387</v>
      </c>
      <c r="E672" s="57">
        <v>1.7361111111111112E-4</v>
      </c>
      <c r="F672" s="57">
        <v>0.6406481481481499</v>
      </c>
      <c r="G672" s="56" t="s">
        <v>924</v>
      </c>
      <c r="H672" s="56" t="s">
        <v>85</v>
      </c>
      <c r="I672" s="56" t="s">
        <v>85</v>
      </c>
      <c r="J672" s="56"/>
      <c r="K672" s="56"/>
      <c r="L672" s="56"/>
      <c r="M672" s="56"/>
      <c r="N672" s="56" t="s">
        <v>70</v>
      </c>
      <c r="O672" s="51" t="b">
        <v>0</v>
      </c>
      <c r="P672" s="51" t="b">
        <v>0</v>
      </c>
      <c r="Q672" s="51" t="b">
        <v>0</v>
      </c>
      <c r="R672" s="51" t="b">
        <v>0</v>
      </c>
      <c r="S672" s="51" t="b">
        <v>0</v>
      </c>
      <c r="T672" s="56"/>
    </row>
    <row r="673">
      <c r="A673" s="4" t="str">
        <f>IFERROR(__xludf.DUMMYFUNCTION("""COMPUTED_VALUE"""),"762 - Channel")</f>
        <v>762 - Channel</v>
      </c>
      <c r="B673" s="4" t="s">
        <v>16</v>
      </c>
      <c r="C673" s="4" t="s">
        <v>289</v>
      </c>
      <c r="D673" s="6">
        <v>0.6406481481481499</v>
      </c>
      <c r="E673" s="6">
        <v>3.4722222222222224E-4</v>
      </c>
      <c r="F673" s="6">
        <v>0.6409953703703721</v>
      </c>
      <c r="G673" s="4" t="s">
        <v>924</v>
      </c>
      <c r="H673" s="4" t="s">
        <v>506</v>
      </c>
      <c r="I673" s="4" t="s">
        <v>937</v>
      </c>
      <c r="J673" s="4"/>
      <c r="K673" s="4"/>
      <c r="L673" s="4"/>
      <c r="M673" s="4"/>
      <c r="N673" s="4" t="s">
        <v>70</v>
      </c>
      <c r="O673" s="51" t="b">
        <v>0</v>
      </c>
      <c r="P673" s="51" t="b">
        <v>0</v>
      </c>
      <c r="Q673" s="51" t="b">
        <v>0</v>
      </c>
      <c r="R673" s="51" t="b">
        <v>0</v>
      </c>
      <c r="S673" s="51" t="b">
        <v>0</v>
      </c>
    </row>
    <row r="674" hidden="1">
      <c r="A674" s="56" t="str">
        <f>IFERROR(__xludf.DUMMYFUNCTION("""COMPUTED_VALUE"""),"763 - Channel")</f>
        <v>763 - Channel</v>
      </c>
      <c r="B674" s="56" t="s">
        <v>16</v>
      </c>
      <c r="C674" s="56" t="s">
        <v>289</v>
      </c>
      <c r="D674" s="57">
        <v>0.6409953703703721</v>
      </c>
      <c r="E674" s="57">
        <v>3.4722222222222224E-4</v>
      </c>
      <c r="F674" s="57">
        <v>0.6413425925925944</v>
      </c>
      <c r="G674" s="56" t="s">
        <v>924</v>
      </c>
      <c r="H674" s="56" t="s">
        <v>81</v>
      </c>
      <c r="I674" s="56" t="s">
        <v>81</v>
      </c>
      <c r="J674" s="56"/>
      <c r="K674" s="56"/>
      <c r="L674" s="56"/>
      <c r="M674" s="56"/>
      <c r="N674" s="56" t="s">
        <v>70</v>
      </c>
      <c r="O674" s="51" t="b">
        <v>0</v>
      </c>
      <c r="P674" s="51" t="b">
        <v>0</v>
      </c>
      <c r="Q674" s="51" t="b">
        <v>0</v>
      </c>
      <c r="R674" s="51" t="b">
        <v>0</v>
      </c>
      <c r="S674" s="51" t="b">
        <v>0</v>
      </c>
      <c r="T674" s="56"/>
    </row>
    <row r="675">
      <c r="A675" s="4" t="str">
        <f>IFERROR(__xludf.DUMMYFUNCTION("""COMPUTED_VALUE"""),"764 - Channel")</f>
        <v>764 - Channel</v>
      </c>
      <c r="B675" s="4" t="s">
        <v>16</v>
      </c>
      <c r="C675" s="4" t="s">
        <v>289</v>
      </c>
      <c r="D675" s="6">
        <v>0.6413425925925944</v>
      </c>
      <c r="E675" s="6">
        <v>0.010416666666666666</v>
      </c>
      <c r="F675" s="6">
        <v>0.651759259259261</v>
      </c>
      <c r="G675" s="4" t="s">
        <v>924</v>
      </c>
      <c r="H675" s="4" t="s">
        <v>74</v>
      </c>
      <c r="I675" s="4" t="s">
        <v>939</v>
      </c>
      <c r="J675" s="4" t="s">
        <v>940</v>
      </c>
      <c r="K675" s="4" t="s">
        <v>941</v>
      </c>
      <c r="L675" s="4" t="s">
        <v>942</v>
      </c>
      <c r="M675" s="4"/>
      <c r="N675" s="4" t="s">
        <v>943</v>
      </c>
      <c r="O675" s="51" t="b">
        <v>0</v>
      </c>
      <c r="P675" s="51" t="b">
        <v>0</v>
      </c>
      <c r="Q675" s="51" t="b">
        <v>0</v>
      </c>
      <c r="R675" s="51" t="b">
        <v>0</v>
      </c>
      <c r="S675" s="51" t="b">
        <v>0</v>
      </c>
    </row>
    <row r="676" hidden="1">
      <c r="A676" s="56" t="str">
        <f>IFERROR(__xludf.DUMMYFUNCTION("""COMPUTED_VALUE"""),"765 - Channel")</f>
        <v>765 - Channel</v>
      </c>
      <c r="B676" s="56" t="s">
        <v>16</v>
      </c>
      <c r="C676" s="56" t="s">
        <v>289</v>
      </c>
      <c r="D676" s="57">
        <v>0.651759259259261</v>
      </c>
      <c r="E676" s="57">
        <v>1.7361111111111112E-4</v>
      </c>
      <c r="F676" s="57">
        <v>0.6519328703703722</v>
      </c>
      <c r="G676" s="56" t="s">
        <v>924</v>
      </c>
      <c r="H676" s="56" t="s">
        <v>85</v>
      </c>
      <c r="I676" s="56" t="s">
        <v>85</v>
      </c>
      <c r="J676" s="56"/>
      <c r="K676" s="56"/>
      <c r="L676" s="56"/>
      <c r="M676" s="56"/>
      <c r="N676" s="56" t="s">
        <v>70</v>
      </c>
      <c r="O676" s="51" t="b">
        <v>0</v>
      </c>
      <c r="P676" s="51" t="b">
        <v>0</v>
      </c>
      <c r="Q676" s="51" t="b">
        <v>0</v>
      </c>
      <c r="R676" s="51" t="b">
        <v>0</v>
      </c>
      <c r="S676" s="51" t="b">
        <v>0</v>
      </c>
      <c r="T676" s="56"/>
    </row>
    <row r="677">
      <c r="A677" s="56" t="str">
        <f>IFERROR(__xludf.DUMMYFUNCTION("""COMPUTED_VALUE"""),"767 - Channel")</f>
        <v>767 - Channel</v>
      </c>
      <c r="B677" s="56" t="s">
        <v>16</v>
      </c>
      <c r="C677" s="56" t="s">
        <v>289</v>
      </c>
      <c r="D677" s="57">
        <v>0.6519328703703722</v>
      </c>
      <c r="E677" s="57">
        <v>3.4722222222222224E-4</v>
      </c>
      <c r="F677" s="57">
        <v>0.6522800925925945</v>
      </c>
      <c r="G677" s="56" t="s">
        <v>924</v>
      </c>
      <c r="H677" s="56" t="s">
        <v>81</v>
      </c>
      <c r="I677" s="56" t="s">
        <v>81</v>
      </c>
      <c r="J677" s="56"/>
      <c r="K677" s="56"/>
      <c r="L677" s="56"/>
      <c r="M677" s="56"/>
      <c r="N677" s="56" t="s">
        <v>70</v>
      </c>
      <c r="O677" s="51" t="b">
        <v>0</v>
      </c>
      <c r="P677" s="51" t="b">
        <v>0</v>
      </c>
      <c r="Q677" s="51" t="b">
        <v>0</v>
      </c>
      <c r="R677" s="51" t="b">
        <v>0</v>
      </c>
      <c r="S677" s="51" t="b">
        <v>0</v>
      </c>
      <c r="T677" s="56"/>
    </row>
    <row r="678" hidden="1">
      <c r="A678" s="4" t="str">
        <f>IFERROR(__xludf.DUMMYFUNCTION("""COMPUTED_VALUE"""),"768 - Channel")</f>
        <v>768 - Channel</v>
      </c>
      <c r="B678" s="4" t="s">
        <v>16</v>
      </c>
      <c r="C678" s="4" t="s">
        <v>289</v>
      </c>
      <c r="D678" s="6">
        <v>0.6522800925925945</v>
      </c>
      <c r="E678" s="6">
        <v>0.006030092592592593</v>
      </c>
      <c r="F678" s="6">
        <v>0.658310185185187</v>
      </c>
      <c r="G678" s="4" t="s">
        <v>924</v>
      </c>
      <c r="H678" s="4" t="s">
        <v>165</v>
      </c>
      <c r="I678" s="4" t="s">
        <v>948</v>
      </c>
      <c r="J678" s="4" t="s">
        <v>949</v>
      </c>
      <c r="K678" s="4"/>
      <c r="L678" s="4"/>
      <c r="M678" s="4"/>
      <c r="N678" s="4" t="s">
        <v>70</v>
      </c>
      <c r="O678" s="51" t="b">
        <v>0</v>
      </c>
      <c r="P678" s="51" t="b">
        <v>0</v>
      </c>
      <c r="Q678" s="51" t="b">
        <v>0</v>
      </c>
      <c r="R678" s="51" t="b">
        <v>0</v>
      </c>
      <c r="S678" s="51" t="b">
        <v>0</v>
      </c>
    </row>
    <row r="679">
      <c r="A679" s="56" t="str">
        <f>IFERROR(__xludf.DUMMYFUNCTION("""COMPUTED_VALUE"""),"769 - Channel")</f>
        <v>769 - Channel</v>
      </c>
      <c r="B679" s="56" t="s">
        <v>16</v>
      </c>
      <c r="C679" s="56" t="s">
        <v>289</v>
      </c>
      <c r="D679" s="57">
        <v>0.658310185185187</v>
      </c>
      <c r="E679" s="57">
        <v>1.7361111111111112E-4</v>
      </c>
      <c r="F679" s="57">
        <v>0.6584837962962982</v>
      </c>
      <c r="G679" s="56" t="s">
        <v>924</v>
      </c>
      <c r="H679" s="56" t="s">
        <v>85</v>
      </c>
      <c r="I679" s="56" t="s">
        <v>85</v>
      </c>
      <c r="J679" s="56"/>
      <c r="K679" s="56"/>
      <c r="L679" s="56"/>
      <c r="M679" s="56"/>
      <c r="N679" s="56" t="s">
        <v>70</v>
      </c>
      <c r="O679" s="51" t="b">
        <v>0</v>
      </c>
      <c r="P679" s="51" t="b">
        <v>0</v>
      </c>
      <c r="Q679" s="51" t="b">
        <v>0</v>
      </c>
      <c r="R679" s="51" t="b">
        <v>0</v>
      </c>
      <c r="S679" s="51" t="b">
        <v>0</v>
      </c>
      <c r="T679" s="56"/>
    </row>
    <row r="680">
      <c r="A680" s="4" t="str">
        <f>IFERROR(__xludf.DUMMYFUNCTION("""COMPUTED_VALUE"""),"1646 - Channel")</f>
        <v>1646 - Channel</v>
      </c>
      <c r="B680" s="4" t="s">
        <v>16</v>
      </c>
      <c r="C680" s="4" t="s">
        <v>289</v>
      </c>
      <c r="D680" s="6">
        <v>0.6584837962962982</v>
      </c>
      <c r="E680" s="6">
        <v>3.4722222222222224E-4</v>
      </c>
      <c r="F680" s="6">
        <v>0.6588310185185204</v>
      </c>
      <c r="G680" s="4" t="s">
        <v>924</v>
      </c>
      <c r="H680" s="4"/>
      <c r="I680" s="4" t="s">
        <v>81</v>
      </c>
      <c r="J680" s="4"/>
      <c r="K680" s="4"/>
      <c r="L680" s="4"/>
      <c r="M680" s="4"/>
      <c r="N680" s="4"/>
      <c r="O680" s="51" t="b">
        <v>0</v>
      </c>
      <c r="P680" s="51" t="b">
        <v>0</v>
      </c>
      <c r="Q680" s="51" t="b">
        <v>0</v>
      </c>
      <c r="R680" s="51" t="b">
        <v>0</v>
      </c>
      <c r="S680" s="51" t="b">
        <v>0</v>
      </c>
    </row>
    <row r="681" hidden="1">
      <c r="A681" s="56" t="str">
        <f>IFERROR(__xludf.DUMMYFUNCTION("""COMPUTED_VALUE"""),"770 - Channel")</f>
        <v>770 - Channel</v>
      </c>
      <c r="B681" s="56" t="s">
        <v>16</v>
      </c>
      <c r="C681" s="56" t="s">
        <v>289</v>
      </c>
      <c r="D681" s="57">
        <v>0.6588310185185204</v>
      </c>
      <c r="E681" s="57">
        <v>0.005914351851851852</v>
      </c>
      <c r="F681" s="57">
        <v>0.6647453703703723</v>
      </c>
      <c r="G681" s="56" t="s">
        <v>924</v>
      </c>
      <c r="H681" s="56" t="s">
        <v>165</v>
      </c>
      <c r="I681" s="56" t="s">
        <v>952</v>
      </c>
      <c r="J681" s="56" t="s">
        <v>953</v>
      </c>
      <c r="K681" s="56"/>
      <c r="L681" s="56"/>
      <c r="M681" s="56"/>
      <c r="N681" s="56" t="s">
        <v>70</v>
      </c>
      <c r="O681" s="51" t="b">
        <v>0</v>
      </c>
      <c r="P681" s="51" t="b">
        <v>0</v>
      </c>
      <c r="Q681" s="51" t="b">
        <v>0</v>
      </c>
      <c r="R681" s="51" t="b">
        <v>0</v>
      </c>
      <c r="S681" s="51" t="b">
        <v>0</v>
      </c>
      <c r="T681" s="56"/>
    </row>
    <row r="682">
      <c r="A682" s="4" t="str">
        <f>IFERROR(__xludf.DUMMYFUNCTION("""COMPUTED_VALUE"""),"1651 - Channel")</f>
        <v>1651 - Channel</v>
      </c>
      <c r="B682" s="4" t="s">
        <v>16</v>
      </c>
      <c r="C682" s="4" t="s">
        <v>289</v>
      </c>
      <c r="D682" s="6">
        <v>0.6647453703703723</v>
      </c>
      <c r="E682" s="6">
        <v>1.7361111111111112E-4</v>
      </c>
      <c r="F682" s="6">
        <v>0.6649189814814834</v>
      </c>
      <c r="G682" s="4" t="s">
        <v>924</v>
      </c>
      <c r="H682" s="4"/>
      <c r="I682" s="4" t="s">
        <v>85</v>
      </c>
      <c r="J682" s="4"/>
      <c r="K682" s="4"/>
      <c r="L682" s="4"/>
      <c r="M682" s="4"/>
      <c r="N682" s="4"/>
      <c r="O682" s="51" t="b">
        <v>0</v>
      </c>
      <c r="P682" s="51" t="b">
        <v>0</v>
      </c>
      <c r="Q682" s="51" t="b">
        <v>0</v>
      </c>
      <c r="R682" s="51" t="b">
        <v>0</v>
      </c>
      <c r="S682" s="51" t="b">
        <v>0</v>
      </c>
    </row>
    <row r="683" hidden="1">
      <c r="A683" s="56" t="str">
        <f>IFERROR(__xludf.DUMMYFUNCTION("""COMPUTED_VALUE"""),"727 - Channel")</f>
        <v>727 - Channel</v>
      </c>
      <c r="B683" s="56" t="s">
        <v>16</v>
      </c>
      <c r="C683" s="56" t="s">
        <v>289</v>
      </c>
      <c r="D683" s="57"/>
      <c r="E683" s="57"/>
      <c r="F683" s="57"/>
      <c r="G683" s="56"/>
      <c r="H683" s="56"/>
      <c r="I683" s="56"/>
      <c r="J683" s="56"/>
      <c r="K683" s="56"/>
      <c r="L683" s="56"/>
      <c r="M683" s="56"/>
      <c r="N683" s="56" t="s">
        <v>70</v>
      </c>
      <c r="O683" s="51" t="b">
        <v>0</v>
      </c>
      <c r="P683" s="51" t="b">
        <v>0</v>
      </c>
      <c r="Q683" s="51" t="b">
        <v>0</v>
      </c>
      <c r="R683" s="51" t="b">
        <v>0</v>
      </c>
      <c r="S683" s="51" t="b">
        <v>0</v>
      </c>
      <c r="T683" s="56"/>
    </row>
    <row r="684" hidden="1">
      <c r="A684" s="56" t="str">
        <f>IFERROR(__xludf.DUMMYFUNCTION("""COMPUTED_VALUE"""),"728 - Channel")</f>
        <v>728 - Channel</v>
      </c>
      <c r="B684" s="56" t="s">
        <v>16</v>
      </c>
      <c r="C684" s="56" t="s">
        <v>289</v>
      </c>
      <c r="D684" s="57">
        <v>0.6649189814814834</v>
      </c>
      <c r="E684" s="57">
        <v>3.4722222222222224E-4</v>
      </c>
      <c r="F684" s="57">
        <v>0.6652662037037057</v>
      </c>
      <c r="G684" s="56" t="s">
        <v>140</v>
      </c>
      <c r="H684" s="56" t="s">
        <v>89</v>
      </c>
      <c r="I684" s="56" t="s">
        <v>89</v>
      </c>
      <c r="J684" s="56"/>
      <c r="K684" s="56"/>
      <c r="L684" s="56"/>
      <c r="M684" s="56"/>
      <c r="N684" s="56" t="s">
        <v>70</v>
      </c>
      <c r="O684" s="51" t="b">
        <v>0</v>
      </c>
      <c r="P684" s="51" t="b">
        <v>0</v>
      </c>
      <c r="Q684" s="51" t="b">
        <v>0</v>
      </c>
      <c r="R684" s="51" t="b">
        <v>0</v>
      </c>
      <c r="S684" s="51" t="b">
        <v>0</v>
      </c>
      <c r="T684" s="56"/>
    </row>
    <row r="685" hidden="1">
      <c r="A685" s="4" t="str">
        <f>IFERROR(__xludf.DUMMYFUNCTION("""COMPUTED_VALUE"""),"729 - Channel")</f>
        <v>729 - Channel</v>
      </c>
      <c r="B685" s="4" t="s">
        <v>16</v>
      </c>
      <c r="C685" s="4" t="s">
        <v>289</v>
      </c>
      <c r="D685" s="6">
        <v>0.6652662037037057</v>
      </c>
      <c r="E685" s="6">
        <v>3.4722222222222224E-4</v>
      </c>
      <c r="F685" s="6">
        <v>0.665613425925928</v>
      </c>
      <c r="G685" s="4" t="s">
        <v>140</v>
      </c>
      <c r="H685" s="4" t="s">
        <v>81</v>
      </c>
      <c r="I685" s="4" t="s">
        <v>81</v>
      </c>
      <c r="J685" s="4"/>
      <c r="K685" s="4"/>
      <c r="L685" s="4"/>
      <c r="M685" s="4"/>
      <c r="N685" s="4" t="s">
        <v>70</v>
      </c>
      <c r="O685" s="51" t="b">
        <v>0</v>
      </c>
      <c r="P685" s="51" t="b">
        <v>0</v>
      </c>
      <c r="Q685" s="51" t="b">
        <v>0</v>
      </c>
      <c r="R685" s="51" t="b">
        <v>0</v>
      </c>
      <c r="S685" s="51" t="b">
        <v>0</v>
      </c>
    </row>
    <row r="686" hidden="1">
      <c r="A686" s="56" t="str">
        <f>IFERROR(__xludf.DUMMYFUNCTION("""COMPUTED_VALUE"""),"730 - Channel")</f>
        <v>730 - Channel</v>
      </c>
      <c r="B686" s="56" t="s">
        <v>16</v>
      </c>
      <c r="C686" s="56" t="s">
        <v>289</v>
      </c>
      <c r="D686" s="57">
        <v>0.665613425925928</v>
      </c>
      <c r="E686" s="57">
        <v>0.006944444444444444</v>
      </c>
      <c r="F686" s="57">
        <v>0.6725578703703724</v>
      </c>
      <c r="G686" s="56" t="s">
        <v>140</v>
      </c>
      <c r="H686" s="56" t="s">
        <v>165</v>
      </c>
      <c r="I686" s="56" t="s">
        <v>959</v>
      </c>
      <c r="J686" s="56" t="s">
        <v>960</v>
      </c>
      <c r="K686" s="56"/>
      <c r="L686" s="56"/>
      <c r="M686" s="56"/>
      <c r="N686" s="56" t="s">
        <v>70</v>
      </c>
      <c r="O686" s="51" t="b">
        <v>0</v>
      </c>
      <c r="P686" s="51" t="b">
        <v>0</v>
      </c>
      <c r="Q686" s="51" t="b">
        <v>0</v>
      </c>
      <c r="R686" s="51" t="b">
        <v>0</v>
      </c>
      <c r="S686" s="51" t="b">
        <v>0</v>
      </c>
      <c r="T686" s="56"/>
    </row>
    <row r="687" hidden="1">
      <c r="A687" s="4" t="str">
        <f>IFERROR(__xludf.DUMMYFUNCTION("""COMPUTED_VALUE"""),"731 - Channel")</f>
        <v>731 - Channel</v>
      </c>
      <c r="B687" s="4" t="s">
        <v>16</v>
      </c>
      <c r="C687" s="4" t="s">
        <v>289</v>
      </c>
      <c r="D687" s="6">
        <v>0.6725578703703724</v>
      </c>
      <c r="E687" s="6">
        <v>1.7361111111111112E-4</v>
      </c>
      <c r="F687" s="6">
        <v>0.6727314814814835</v>
      </c>
      <c r="G687" s="4" t="s">
        <v>140</v>
      </c>
      <c r="H687" s="4" t="s">
        <v>85</v>
      </c>
      <c r="I687" s="4" t="s">
        <v>85</v>
      </c>
      <c r="J687" s="4"/>
      <c r="K687" s="4"/>
      <c r="L687" s="4"/>
      <c r="M687" s="4"/>
      <c r="N687" s="4" t="s">
        <v>70</v>
      </c>
      <c r="O687" s="51" t="b">
        <v>0</v>
      </c>
      <c r="P687" s="51" t="b">
        <v>0</v>
      </c>
      <c r="Q687" s="51" t="b">
        <v>0</v>
      </c>
      <c r="R687" s="51" t="b">
        <v>0</v>
      </c>
      <c r="S687" s="51" t="b">
        <v>0</v>
      </c>
    </row>
    <row r="688">
      <c r="A688" s="4" t="str">
        <f>IFERROR(__xludf.DUMMYFUNCTION("""COMPUTED_VALUE"""),"733 - Channel")</f>
        <v>733 - Channel</v>
      </c>
      <c r="B688" s="4" t="s">
        <v>16</v>
      </c>
      <c r="C688" s="4" t="s">
        <v>289</v>
      </c>
      <c r="D688" s="6">
        <v>0.6727314814814835</v>
      </c>
      <c r="E688" s="6">
        <v>3.4722222222222224E-4</v>
      </c>
      <c r="F688" s="6">
        <v>0.6730787037037058</v>
      </c>
      <c r="G688" s="4" t="s">
        <v>140</v>
      </c>
      <c r="H688" s="4" t="s">
        <v>81</v>
      </c>
      <c r="I688" s="4" t="s">
        <v>81</v>
      </c>
      <c r="J688" s="4"/>
      <c r="K688" s="4"/>
      <c r="L688" s="4"/>
      <c r="M688" s="4"/>
      <c r="N688" s="4" t="s">
        <v>70</v>
      </c>
      <c r="O688" s="51" t="b">
        <v>0</v>
      </c>
      <c r="P688" s="51" t="b">
        <v>0</v>
      </c>
      <c r="Q688" s="51" t="b">
        <v>0</v>
      </c>
      <c r="R688" s="51" t="b">
        <v>0</v>
      </c>
      <c r="S688" s="51" t="b">
        <v>0</v>
      </c>
    </row>
    <row r="689" hidden="1">
      <c r="A689" s="4" t="str">
        <f>IFERROR(__xludf.DUMMYFUNCTION("""COMPUTED_VALUE"""),"734 - Channel")</f>
        <v>734 - Channel</v>
      </c>
      <c r="B689" s="4" t="s">
        <v>16</v>
      </c>
      <c r="C689" s="4" t="s">
        <v>289</v>
      </c>
      <c r="D689" s="6">
        <v>0.6730787037037058</v>
      </c>
      <c r="E689" s="6">
        <v>0.008761574074074074</v>
      </c>
      <c r="F689" s="6">
        <v>0.6818402777777799</v>
      </c>
      <c r="G689" s="4" t="s">
        <v>140</v>
      </c>
      <c r="H689" s="4" t="s">
        <v>107</v>
      </c>
      <c r="I689" s="4" t="s">
        <v>963</v>
      </c>
      <c r="J689" s="4" t="s">
        <v>143</v>
      </c>
      <c r="K689" s="4" t="s">
        <v>964</v>
      </c>
      <c r="L689" s="4"/>
      <c r="M689" s="4"/>
      <c r="N689" s="4" t="s">
        <v>594</v>
      </c>
      <c r="O689" s="51" t="b">
        <v>0</v>
      </c>
      <c r="P689" s="51" t="b">
        <v>0</v>
      </c>
      <c r="Q689" s="51" t="b">
        <v>0</v>
      </c>
      <c r="R689" s="51" t="b">
        <v>0</v>
      </c>
      <c r="S689" s="51" t="b">
        <v>0</v>
      </c>
    </row>
    <row r="690">
      <c r="A690" s="4" t="str">
        <f>IFERROR(__xludf.DUMMYFUNCTION("""COMPUTED_VALUE"""),"735 - Channel")</f>
        <v>735 - Channel</v>
      </c>
      <c r="B690" s="4" t="s">
        <v>16</v>
      </c>
      <c r="C690" s="4" t="s">
        <v>289</v>
      </c>
      <c r="D690" s="6">
        <v>0.6818402777777799</v>
      </c>
      <c r="E690" s="6">
        <v>1.7361111111111112E-4</v>
      </c>
      <c r="F690" s="6">
        <v>0.682013888888891</v>
      </c>
      <c r="G690" s="4" t="s">
        <v>140</v>
      </c>
      <c r="H690" s="4" t="s">
        <v>85</v>
      </c>
      <c r="I690" s="4" t="s">
        <v>85</v>
      </c>
      <c r="J690" s="4"/>
      <c r="K690" s="4"/>
      <c r="L690" s="4"/>
      <c r="M690" s="4"/>
      <c r="N690" s="4" t="s">
        <v>70</v>
      </c>
      <c r="O690" s="51" t="b">
        <v>0</v>
      </c>
      <c r="P690" s="51" t="b">
        <v>0</v>
      </c>
      <c r="Q690" s="51" t="b">
        <v>0</v>
      </c>
      <c r="R690" s="51" t="b">
        <v>0</v>
      </c>
      <c r="S690" s="51" t="b">
        <v>0</v>
      </c>
    </row>
    <row r="691">
      <c r="A691" s="4" t="str">
        <f>IFERROR(__xludf.DUMMYFUNCTION("""COMPUTED_VALUE"""),"736 - Channel")</f>
        <v>736 - Channel</v>
      </c>
      <c r="B691" s="4" t="s">
        <v>16</v>
      </c>
      <c r="C691" s="4" t="s">
        <v>289</v>
      </c>
      <c r="D691" s="6">
        <v>0.682013888888891</v>
      </c>
      <c r="E691" s="6">
        <v>3.4722222222222224E-4</v>
      </c>
      <c r="F691" s="6">
        <v>0.6823611111111133</v>
      </c>
      <c r="G691" s="4" t="s">
        <v>140</v>
      </c>
      <c r="H691" s="4" t="s">
        <v>506</v>
      </c>
      <c r="I691" s="4" t="s">
        <v>967</v>
      </c>
      <c r="J691" s="4"/>
      <c r="K691" s="4"/>
      <c r="L691" s="4"/>
      <c r="M691" s="4"/>
      <c r="N691" s="4" t="s">
        <v>70</v>
      </c>
      <c r="O691" s="51" t="b">
        <v>0</v>
      </c>
      <c r="P691" s="51" t="b">
        <v>0</v>
      </c>
      <c r="Q691" s="51" t="b">
        <v>0</v>
      </c>
      <c r="R691" s="51" t="b">
        <v>0</v>
      </c>
      <c r="S691" s="51" t="b">
        <v>0</v>
      </c>
    </row>
    <row r="692" hidden="1">
      <c r="A692" s="4" t="str">
        <f>IFERROR(__xludf.DUMMYFUNCTION("""COMPUTED_VALUE"""),"737 - Channel")</f>
        <v>737 - Channel</v>
      </c>
      <c r="B692" s="4" t="s">
        <v>16</v>
      </c>
      <c r="C692" s="4" t="s">
        <v>289</v>
      </c>
      <c r="D692" s="6">
        <v>0.6823611111111133</v>
      </c>
      <c r="E692" s="6">
        <v>3.4722222222222224E-4</v>
      </c>
      <c r="F692" s="6">
        <v>0.6827083333333356</v>
      </c>
      <c r="G692" s="4" t="s">
        <v>140</v>
      </c>
      <c r="H692" s="4" t="s">
        <v>81</v>
      </c>
      <c r="I692" s="4" t="s">
        <v>81</v>
      </c>
      <c r="J692" s="4"/>
      <c r="K692" s="4"/>
      <c r="L692" s="4"/>
      <c r="M692" s="4"/>
      <c r="N692" s="4" t="s">
        <v>70</v>
      </c>
      <c r="O692" s="51" t="b">
        <v>0</v>
      </c>
      <c r="P692" s="51" t="b">
        <v>0</v>
      </c>
      <c r="Q692" s="51" t="b">
        <v>0</v>
      </c>
      <c r="R692" s="51" t="b">
        <v>0</v>
      </c>
      <c r="S692" s="51" t="b">
        <v>0</v>
      </c>
    </row>
    <row r="693">
      <c r="A693" s="4" t="str">
        <f>IFERROR(__xludf.DUMMYFUNCTION("""COMPUTED_VALUE"""),"738 - Channel")</f>
        <v>738 - Channel</v>
      </c>
      <c r="B693" s="4" t="s">
        <v>16</v>
      </c>
      <c r="C693" s="4" t="s">
        <v>289</v>
      </c>
      <c r="D693" s="6">
        <v>0.6827083333333356</v>
      </c>
      <c r="E693" s="6">
        <v>0.003472222222222222</v>
      </c>
      <c r="F693" s="6">
        <v>0.6861805555555578</v>
      </c>
      <c r="G693" s="4" t="s">
        <v>140</v>
      </c>
      <c r="H693" s="4" t="s">
        <v>165</v>
      </c>
      <c r="I693" s="4" t="s">
        <v>968</v>
      </c>
      <c r="J693" s="4" t="s">
        <v>969</v>
      </c>
      <c r="K693" s="4"/>
      <c r="L693" s="4"/>
      <c r="M693" s="4"/>
      <c r="N693" s="4" t="s">
        <v>70</v>
      </c>
      <c r="O693" s="51" t="b">
        <v>0</v>
      </c>
      <c r="P693" s="51" t="b">
        <v>0</v>
      </c>
      <c r="Q693" s="51" t="b">
        <v>0</v>
      </c>
      <c r="R693" s="51" t="b">
        <v>0</v>
      </c>
      <c r="S693" s="51" t="b">
        <v>0</v>
      </c>
    </row>
    <row r="694" hidden="1">
      <c r="A694" s="4" t="str">
        <f>IFERROR(__xludf.DUMMYFUNCTION("""COMPUTED_VALUE"""),"739 - Channel")</f>
        <v>739 - Channel</v>
      </c>
      <c r="B694" s="4" t="s">
        <v>16</v>
      </c>
      <c r="C694" s="4" t="s">
        <v>289</v>
      </c>
      <c r="D694" s="6">
        <v>0.6861805555555578</v>
      </c>
      <c r="E694" s="6">
        <v>1.7361111111111112E-4</v>
      </c>
      <c r="F694" s="6">
        <v>0.6863541666666689</v>
      </c>
      <c r="G694" s="4" t="s">
        <v>140</v>
      </c>
      <c r="H694" s="4" t="s">
        <v>85</v>
      </c>
      <c r="I694" s="4" t="s">
        <v>85</v>
      </c>
      <c r="J694" s="4"/>
      <c r="K694" s="4"/>
      <c r="L694" s="4"/>
      <c r="M694" s="4"/>
      <c r="N694" s="4" t="s">
        <v>70</v>
      </c>
      <c r="O694" s="51" t="b">
        <v>0</v>
      </c>
      <c r="P694" s="51" t="b">
        <v>0</v>
      </c>
      <c r="Q694" s="51" t="b">
        <v>0</v>
      </c>
      <c r="R694" s="51" t="b">
        <v>0</v>
      </c>
      <c r="S694" s="51" t="b">
        <v>0</v>
      </c>
    </row>
    <row r="695">
      <c r="A695" s="56" t="str">
        <f>IFERROR(__xludf.DUMMYFUNCTION("""COMPUTED_VALUE"""),"741 - Channel")</f>
        <v>741 - Channel</v>
      </c>
      <c r="B695" s="56" t="s">
        <v>16</v>
      </c>
      <c r="C695" s="56" t="s">
        <v>289</v>
      </c>
      <c r="D695" s="57">
        <v>0.6863541666666689</v>
      </c>
      <c r="E695" s="57">
        <v>3.4722222222222224E-4</v>
      </c>
      <c r="F695" s="57">
        <v>0.6867013888888912</v>
      </c>
      <c r="G695" s="56" t="s">
        <v>140</v>
      </c>
      <c r="H695" s="56" t="s">
        <v>81</v>
      </c>
      <c r="I695" s="56" t="s">
        <v>81</v>
      </c>
      <c r="J695" s="56"/>
      <c r="K695" s="56"/>
      <c r="L695" s="56"/>
      <c r="M695" s="56"/>
      <c r="N695" s="56" t="s">
        <v>70</v>
      </c>
      <c r="O695" s="51" t="b">
        <v>0</v>
      </c>
      <c r="P695" s="51" t="b">
        <v>0</v>
      </c>
      <c r="Q695" s="51" t="b">
        <v>0</v>
      </c>
      <c r="R695" s="51" t="b">
        <v>0</v>
      </c>
      <c r="S695" s="51" t="b">
        <v>0</v>
      </c>
      <c r="T695" s="56"/>
    </row>
    <row r="696" hidden="1">
      <c r="A696" s="4" t="str">
        <f>IFERROR(__xludf.DUMMYFUNCTION("""COMPUTED_VALUE"""),"1446 - Channel")</f>
        <v>1446 - Channel</v>
      </c>
      <c r="B696" s="4" t="s">
        <v>16</v>
      </c>
      <c r="C696" s="4" t="s">
        <v>289</v>
      </c>
      <c r="D696" s="6">
        <v>0.6867013888888912</v>
      </c>
      <c r="E696" s="6">
        <v>0.010416666666666666</v>
      </c>
      <c r="F696" s="6">
        <v>0.6971180555555578</v>
      </c>
      <c r="G696" s="4" t="s">
        <v>140</v>
      </c>
      <c r="H696" s="4" t="s">
        <v>94</v>
      </c>
      <c r="I696" s="4" t="s">
        <v>975</v>
      </c>
      <c r="J696" s="4" t="s">
        <v>976</v>
      </c>
      <c r="K696" s="4"/>
      <c r="L696" s="4"/>
      <c r="M696" s="4"/>
      <c r="N696" s="4" t="s">
        <v>977</v>
      </c>
      <c r="O696" s="51" t="b">
        <v>0</v>
      </c>
      <c r="P696" s="51" t="b">
        <v>0</v>
      </c>
      <c r="Q696" s="51" t="b">
        <v>0</v>
      </c>
      <c r="R696" s="51" t="b">
        <v>0</v>
      </c>
      <c r="S696" s="51" t="b">
        <v>0</v>
      </c>
    </row>
    <row r="697">
      <c r="A697" s="56" t="str">
        <f>IFERROR(__xludf.DUMMYFUNCTION("""COMPUTED_VALUE"""),"743 - Channel")</f>
        <v>743 - Channel</v>
      </c>
      <c r="B697" s="56" t="s">
        <v>16</v>
      </c>
      <c r="C697" s="56" t="s">
        <v>289</v>
      </c>
      <c r="D697" s="57">
        <v>0.6971180555555578</v>
      </c>
      <c r="E697" s="57">
        <v>1.7361111111111112E-4</v>
      </c>
      <c r="F697" s="57">
        <v>0.697291666666669</v>
      </c>
      <c r="G697" s="56" t="s">
        <v>140</v>
      </c>
      <c r="H697" s="56" t="s">
        <v>85</v>
      </c>
      <c r="I697" s="56" t="s">
        <v>85</v>
      </c>
      <c r="J697" s="56"/>
      <c r="K697" s="56"/>
      <c r="L697" s="56"/>
      <c r="M697" s="56"/>
      <c r="N697" s="56" t="s">
        <v>70</v>
      </c>
      <c r="O697" s="51" t="b">
        <v>0</v>
      </c>
      <c r="P697" s="51" t="b">
        <v>0</v>
      </c>
      <c r="Q697" s="51" t="b">
        <v>0</v>
      </c>
      <c r="R697" s="51" t="b">
        <v>0</v>
      </c>
      <c r="S697" s="51" t="b">
        <v>0</v>
      </c>
      <c r="T697" s="56"/>
    </row>
    <row r="698">
      <c r="A698" s="4" t="str">
        <f>IFERROR(__xludf.DUMMYFUNCTION("""COMPUTED_VALUE"""),"1447 - Channel")</f>
        <v>1447 - Channel</v>
      </c>
      <c r="B698" s="4" t="s">
        <v>16</v>
      </c>
      <c r="C698" s="4" t="s">
        <v>289</v>
      </c>
      <c r="D698" s="6">
        <v>0.7059259259259284</v>
      </c>
      <c r="E698" s="6">
        <v>3.4722222222222224E-4</v>
      </c>
      <c r="F698" s="6">
        <v>0.7062731481481507</v>
      </c>
      <c r="G698" s="4" t="s">
        <v>140</v>
      </c>
      <c r="H698" s="4" t="s">
        <v>87</v>
      </c>
      <c r="I698" s="4" t="s">
        <v>979</v>
      </c>
      <c r="J698" s="4"/>
      <c r="K698" s="4"/>
      <c r="L698" s="4"/>
      <c r="M698" s="4"/>
      <c r="N698" s="4"/>
      <c r="O698" s="51" t="b">
        <v>0</v>
      </c>
      <c r="P698" s="51" t="b">
        <v>0</v>
      </c>
      <c r="Q698" s="51" t="b">
        <v>0</v>
      </c>
      <c r="R698" s="51" t="b">
        <v>0</v>
      </c>
      <c r="S698" s="51" t="b">
        <v>0</v>
      </c>
    </row>
    <row r="699" hidden="1">
      <c r="A699" s="56" t="str">
        <f>IFERROR(__xludf.DUMMYFUNCTION("""COMPUTED_VALUE"""),"745 - Channel")</f>
        <v>745 - Channel</v>
      </c>
      <c r="B699" s="56" t="s">
        <v>16</v>
      </c>
      <c r="C699" s="56" t="s">
        <v>289</v>
      </c>
      <c r="D699" s="57">
        <v>0.697291666666669</v>
      </c>
      <c r="E699" s="57">
        <v>3.4722222222222224E-4</v>
      </c>
      <c r="F699" s="57">
        <v>0.6976388888888913</v>
      </c>
      <c r="G699" s="56" t="s">
        <v>140</v>
      </c>
      <c r="H699" s="56" t="s">
        <v>81</v>
      </c>
      <c r="I699" s="56" t="s">
        <v>81</v>
      </c>
      <c r="J699" s="56"/>
      <c r="K699" s="56"/>
      <c r="L699" s="56"/>
      <c r="M699" s="56"/>
      <c r="N699" s="56" t="s">
        <v>70</v>
      </c>
      <c r="O699" s="51" t="b">
        <v>0</v>
      </c>
      <c r="P699" s="51" t="b">
        <v>0</v>
      </c>
      <c r="Q699" s="51" t="b">
        <v>0</v>
      </c>
      <c r="R699" s="51" t="b">
        <v>0</v>
      </c>
      <c r="S699" s="51" t="b">
        <v>0</v>
      </c>
      <c r="T699" s="56"/>
    </row>
    <row r="700">
      <c r="A700" s="56" t="str">
        <f>IFERROR(__xludf.DUMMYFUNCTION("""COMPUTED_VALUE"""),"746 - Channel")</f>
        <v>746 - Channel</v>
      </c>
      <c r="B700" s="56" t="s">
        <v>16</v>
      </c>
      <c r="C700" s="56" t="s">
        <v>289</v>
      </c>
      <c r="D700" s="57">
        <v>0.6976388888888913</v>
      </c>
      <c r="E700" s="57">
        <v>0.005555555555555556</v>
      </c>
      <c r="F700" s="57">
        <v>0.7031944444444468</v>
      </c>
      <c r="G700" s="56" t="s">
        <v>140</v>
      </c>
      <c r="H700" s="56" t="s">
        <v>165</v>
      </c>
      <c r="I700" s="56" t="s">
        <v>981</v>
      </c>
      <c r="J700" s="56" t="s">
        <v>982</v>
      </c>
      <c r="K700" s="56"/>
      <c r="L700" s="56"/>
      <c r="M700" s="56"/>
      <c r="N700" s="56" t="s">
        <v>70</v>
      </c>
      <c r="O700" s="51" t="b">
        <v>0</v>
      </c>
      <c r="P700" s="51" t="b">
        <v>0</v>
      </c>
      <c r="Q700" s="51" t="b">
        <v>0</v>
      </c>
      <c r="R700" s="51" t="b">
        <v>0</v>
      </c>
      <c r="S700" s="51" t="b">
        <v>0</v>
      </c>
      <c r="T700" s="56"/>
    </row>
    <row r="701" hidden="1">
      <c r="A701" s="4" t="str">
        <f>IFERROR(__xludf.DUMMYFUNCTION("""COMPUTED_VALUE"""),"747 - Channel")</f>
        <v>747 - Channel</v>
      </c>
      <c r="B701" s="4" t="s">
        <v>16</v>
      </c>
      <c r="C701" s="4" t="s">
        <v>289</v>
      </c>
      <c r="D701" s="6">
        <v>0.7031944444444468</v>
      </c>
      <c r="E701" s="6">
        <v>1.7361111111111112E-4</v>
      </c>
      <c r="F701" s="6">
        <v>0.7033680555555579</v>
      </c>
      <c r="G701" s="4" t="s">
        <v>140</v>
      </c>
      <c r="H701" s="4" t="s">
        <v>85</v>
      </c>
      <c r="I701" s="4" t="s">
        <v>85</v>
      </c>
      <c r="J701" s="4"/>
      <c r="K701" s="4"/>
      <c r="L701" s="4"/>
      <c r="M701" s="4"/>
      <c r="N701" s="4" t="s">
        <v>70</v>
      </c>
      <c r="O701" s="51" t="b">
        <v>0</v>
      </c>
      <c r="P701" s="51" t="b">
        <v>0</v>
      </c>
      <c r="Q701" s="51" t="b">
        <v>0</v>
      </c>
      <c r="R701" s="51" t="b">
        <v>0</v>
      </c>
      <c r="S701" s="51" t="b">
        <v>0</v>
      </c>
    </row>
    <row r="702">
      <c r="A702" s="4" t="str">
        <f>IFERROR(__xludf.DUMMYFUNCTION("""COMPUTED_VALUE"""),"749 - Channel")</f>
        <v>749 - Channel</v>
      </c>
      <c r="B702" s="4" t="s">
        <v>16</v>
      </c>
      <c r="C702" s="4" t="s">
        <v>289</v>
      </c>
      <c r="D702" s="6">
        <v>0.7033680555555579</v>
      </c>
      <c r="E702" s="6">
        <v>3.4722222222222224E-4</v>
      </c>
      <c r="F702" s="6">
        <v>0.7037152777777802</v>
      </c>
      <c r="G702" s="4" t="s">
        <v>140</v>
      </c>
      <c r="H702" s="4" t="s">
        <v>81</v>
      </c>
      <c r="I702" s="4" t="s">
        <v>81</v>
      </c>
      <c r="J702" s="4"/>
      <c r="K702" s="4"/>
      <c r="L702" s="4"/>
      <c r="M702" s="4"/>
      <c r="N702" s="4" t="s">
        <v>70</v>
      </c>
      <c r="O702" s="51" t="b">
        <v>0</v>
      </c>
      <c r="P702" s="51" t="b">
        <v>0</v>
      </c>
      <c r="Q702" s="51" t="b">
        <v>0</v>
      </c>
      <c r="R702" s="51" t="b">
        <v>0</v>
      </c>
      <c r="S702" s="51" t="b">
        <v>0</v>
      </c>
    </row>
    <row r="703" hidden="1">
      <c r="A703" s="56" t="str">
        <f>IFERROR(__xludf.DUMMYFUNCTION("""COMPUTED_VALUE"""),"750 - Channel")</f>
        <v>750 - Channel</v>
      </c>
      <c r="B703" s="56" t="s">
        <v>16</v>
      </c>
      <c r="C703" s="56" t="s">
        <v>289</v>
      </c>
      <c r="D703" s="57">
        <v>0.7037152777777802</v>
      </c>
      <c r="E703" s="57">
        <v>0.002037037037037037</v>
      </c>
      <c r="F703" s="57">
        <v>0.7057523148148173</v>
      </c>
      <c r="G703" s="56" t="s">
        <v>140</v>
      </c>
      <c r="H703" s="56" t="s">
        <v>165</v>
      </c>
      <c r="I703" s="56" t="s">
        <v>984</v>
      </c>
      <c r="J703" s="56" t="s">
        <v>985</v>
      </c>
      <c r="K703" s="56"/>
      <c r="L703" s="56"/>
      <c r="M703" s="56"/>
      <c r="N703" s="56" t="s">
        <v>70</v>
      </c>
      <c r="O703" s="51" t="b">
        <v>0</v>
      </c>
      <c r="P703" s="51" t="b">
        <v>0</v>
      </c>
      <c r="Q703" s="51" t="b">
        <v>0</v>
      </c>
      <c r="R703" s="51" t="b">
        <v>0</v>
      </c>
      <c r="S703" s="51" t="b">
        <v>0</v>
      </c>
      <c r="T703" s="56"/>
    </row>
    <row r="704">
      <c r="A704" s="4" t="str">
        <f>IFERROR(__xludf.DUMMYFUNCTION("""COMPUTED_VALUE"""),"751 - Channel")</f>
        <v>751 - Channel</v>
      </c>
      <c r="B704" s="4" t="s">
        <v>16</v>
      </c>
      <c r="C704" s="4" t="s">
        <v>289</v>
      </c>
      <c r="D704" s="6">
        <v>0.7057523148148173</v>
      </c>
      <c r="E704" s="6">
        <v>1.7361111111111112E-4</v>
      </c>
      <c r="F704" s="6">
        <v>0.7059259259259284</v>
      </c>
      <c r="G704" s="4" t="s">
        <v>140</v>
      </c>
      <c r="H704" s="4" t="s">
        <v>85</v>
      </c>
      <c r="I704" s="4" t="s">
        <v>85</v>
      </c>
      <c r="J704" s="4"/>
      <c r="K704" s="4"/>
      <c r="L704" s="4"/>
      <c r="M704" s="4"/>
      <c r="N704" s="4" t="s">
        <v>70</v>
      </c>
      <c r="O704" s="51" t="b">
        <v>0</v>
      </c>
      <c r="P704" s="51" t="b">
        <v>0</v>
      </c>
      <c r="Q704" s="51" t="b">
        <v>0</v>
      </c>
      <c r="R704" s="51" t="b">
        <v>0</v>
      </c>
      <c r="S704" s="51" t="b">
        <v>0</v>
      </c>
    </row>
    <row r="705">
      <c r="A705" s="4" t="str">
        <f>IFERROR(__xludf.DUMMYFUNCTION("""COMPUTED_VALUE"""),"771 - Channel")</f>
        <v>771 - Channel</v>
      </c>
      <c r="B705" s="4" t="s">
        <v>16</v>
      </c>
      <c r="C705" s="4" t="s">
        <v>289</v>
      </c>
      <c r="D705" s="6">
        <v>0.7062731481481507</v>
      </c>
      <c r="E705" s="6">
        <v>3.935185185185185E-4</v>
      </c>
      <c r="F705" s="6">
        <v>0.7066666666666692</v>
      </c>
      <c r="G705" s="4" t="s">
        <v>924</v>
      </c>
      <c r="H705" s="4" t="s">
        <v>598</v>
      </c>
      <c r="I705" s="4" t="s">
        <v>598</v>
      </c>
      <c r="J705" s="4"/>
      <c r="K705" s="4"/>
      <c r="L705" s="4"/>
      <c r="M705" s="4"/>
      <c r="N705" s="4" t="s">
        <v>70</v>
      </c>
      <c r="O705" s="51" t="b">
        <v>0</v>
      </c>
      <c r="P705" s="51" t="b">
        <v>0</v>
      </c>
      <c r="Q705" s="51" t="b">
        <v>0</v>
      </c>
      <c r="R705" s="51" t="b">
        <v>0</v>
      </c>
      <c r="S705" s="51" t="b">
        <v>0</v>
      </c>
    </row>
    <row r="706" hidden="1">
      <c r="A706" s="56" t="str">
        <f>IFERROR(__xludf.DUMMYFUNCTION("""COMPUTED_VALUE"""),"772 - Channel")</f>
        <v>772 - Channel</v>
      </c>
      <c r="B706" s="56" t="s">
        <v>16</v>
      </c>
      <c r="C706" s="56"/>
      <c r="D706" s="57"/>
      <c r="E706" s="57"/>
      <c r="F706" s="57"/>
      <c r="G706" s="56"/>
      <c r="H706" s="56"/>
      <c r="I706" s="56"/>
      <c r="J706" s="56"/>
      <c r="K706" s="56"/>
      <c r="L706" s="56"/>
      <c r="M706" s="56"/>
      <c r="N706" s="56" t="s">
        <v>70</v>
      </c>
      <c r="O706" s="51" t="b">
        <v>0</v>
      </c>
      <c r="P706" s="51" t="b">
        <v>0</v>
      </c>
      <c r="Q706" s="51" t="b">
        <v>0</v>
      </c>
      <c r="R706" s="51" t="b">
        <v>0</v>
      </c>
      <c r="S706" s="51" t="b">
        <v>0</v>
      </c>
      <c r="T706" s="56"/>
    </row>
    <row r="707">
      <c r="A707" s="4" t="str">
        <f>IFERROR(__xludf.DUMMYFUNCTION("""COMPUTED_VALUE"""),"773 - Channel")</f>
        <v>773 - Channel</v>
      </c>
      <c r="B707" s="4" t="s">
        <v>16</v>
      </c>
      <c r="C707" s="4"/>
      <c r="D707" s="6"/>
      <c r="E707" s="6"/>
      <c r="F707" s="6"/>
      <c r="G707" s="4"/>
      <c r="H707" s="4"/>
      <c r="I707" s="4"/>
      <c r="J707" s="4"/>
      <c r="K707" s="4"/>
      <c r="L707" s="4"/>
      <c r="M707" s="4"/>
      <c r="N707" s="4" t="s">
        <v>70</v>
      </c>
      <c r="O707" s="51" t="b">
        <v>0</v>
      </c>
      <c r="P707" s="51" t="b">
        <v>0</v>
      </c>
      <c r="Q707" s="51" t="b">
        <v>0</v>
      </c>
      <c r="R707" s="51" t="b">
        <v>0</v>
      </c>
      <c r="S707" s="51" t="b">
        <v>0</v>
      </c>
    </row>
    <row r="708" hidden="1">
      <c r="A708" s="4" t="str">
        <f>IFERROR(__xludf.DUMMYFUNCTION("""COMPUTED_VALUE"""),"774 - Channel")</f>
        <v>774 - Channel</v>
      </c>
      <c r="B708" s="4" t="s">
        <v>16</v>
      </c>
      <c r="C708" s="4"/>
      <c r="D708" s="6"/>
      <c r="E708" s="6"/>
      <c r="F708" s="6"/>
      <c r="G708" s="4"/>
      <c r="H708" s="4"/>
      <c r="I708" s="4"/>
      <c r="J708" s="4"/>
      <c r="K708" s="4"/>
      <c r="L708" s="4"/>
      <c r="M708" s="4"/>
      <c r="N708" s="4" t="s">
        <v>70</v>
      </c>
      <c r="O708" s="51" t="b">
        <v>0</v>
      </c>
      <c r="P708" s="51" t="b">
        <v>0</v>
      </c>
      <c r="Q708" s="51" t="b">
        <v>0</v>
      </c>
      <c r="R708" s="51" t="b">
        <v>0</v>
      </c>
      <c r="S708" s="51" t="b">
        <v>0</v>
      </c>
    </row>
    <row r="709" hidden="1">
      <c r="A709" s="56" t="str">
        <f>IFERROR(__xludf.DUMMYFUNCTION("""COMPUTED_VALUE"""),"775 - Channel")</f>
        <v>775 - Channel</v>
      </c>
      <c r="B709" s="56" t="s">
        <v>990</v>
      </c>
      <c r="C709" s="56"/>
      <c r="D709" s="57"/>
      <c r="E709" s="57"/>
      <c r="F709" s="57"/>
      <c r="G709" s="56"/>
      <c r="H709" s="56"/>
      <c r="I709" s="56"/>
      <c r="J709" s="56"/>
      <c r="K709" s="56"/>
      <c r="L709" s="56"/>
      <c r="M709" s="56"/>
      <c r="N709" s="56" t="s">
        <v>70</v>
      </c>
      <c r="O709" s="51" t="b">
        <v>0</v>
      </c>
      <c r="P709" s="51" t="b">
        <v>0</v>
      </c>
      <c r="Q709" s="51" t="b">
        <v>0</v>
      </c>
      <c r="R709" s="51" t="b">
        <v>0</v>
      </c>
      <c r="S709" s="51" t="b">
        <v>0</v>
      </c>
      <c r="T709" s="56"/>
    </row>
    <row r="710" hidden="1">
      <c r="A710" s="4" t="str">
        <f>IFERROR(__xludf.DUMMYFUNCTION("""COMPUTED_VALUE"""),"776 - Channel")</f>
        <v>776 - Channel</v>
      </c>
      <c r="B710" s="4" t="s">
        <v>65</v>
      </c>
      <c r="C710" s="4"/>
      <c r="D710" s="6"/>
      <c r="E710" s="6"/>
      <c r="F710" s="6"/>
      <c r="G710" s="4"/>
      <c r="H710" s="4"/>
      <c r="I710" s="4"/>
      <c r="J710" s="4"/>
      <c r="K710" s="4"/>
      <c r="L710" s="4"/>
      <c r="M710" s="4"/>
      <c r="N710" s="4" t="s">
        <v>70</v>
      </c>
      <c r="O710" s="51" t="b">
        <v>0</v>
      </c>
      <c r="P710" s="51" t="b">
        <v>0</v>
      </c>
      <c r="Q710" s="51" t="b">
        <v>0</v>
      </c>
      <c r="R710" s="51" t="b">
        <v>0</v>
      </c>
      <c r="S710" s="51" t="b">
        <v>0</v>
      </c>
    </row>
    <row r="711" hidden="1">
      <c r="A711" s="56" t="str">
        <f>IFERROR(__xludf.DUMMYFUNCTION("""COMPUTED_VALUE"""),"777 - Channel")</f>
        <v>777 - Channel</v>
      </c>
      <c r="B711" s="56" t="s">
        <v>19</v>
      </c>
      <c r="C711" s="56" t="s">
        <v>66</v>
      </c>
      <c r="D711" s="57">
        <v>0.4166666666666667</v>
      </c>
      <c r="E711" s="57">
        <v>0.0010416666666666667</v>
      </c>
      <c r="F711" s="57">
        <v>0.41770833333333335</v>
      </c>
      <c r="G711" s="56"/>
      <c r="H711" s="56" t="s">
        <v>67</v>
      </c>
      <c r="I711" s="56"/>
      <c r="J711" s="56"/>
      <c r="K711" s="56"/>
      <c r="L711" s="56"/>
      <c r="M711" s="56"/>
      <c r="N711" s="56" t="s">
        <v>70</v>
      </c>
      <c r="O711" s="51" t="b">
        <v>0</v>
      </c>
      <c r="P711" s="51" t="b">
        <v>0</v>
      </c>
      <c r="Q711" s="51" t="b">
        <v>0</v>
      </c>
      <c r="R711" s="51" t="b">
        <v>0</v>
      </c>
      <c r="S711" s="51" t="b">
        <v>0</v>
      </c>
      <c r="T711" s="56"/>
    </row>
    <row r="712" hidden="1">
      <c r="A712" s="4" t="str">
        <f>IFERROR(__xludf.DUMMYFUNCTION("""COMPUTED_VALUE"""),"794 - Channel")</f>
        <v>794 - Channel</v>
      </c>
      <c r="B712" s="4" t="s">
        <v>19</v>
      </c>
      <c r="C712" s="4" t="s">
        <v>66</v>
      </c>
      <c r="D712" s="6">
        <v>0.41770833333333335</v>
      </c>
      <c r="E712" s="6">
        <v>1.7361111111111112E-4</v>
      </c>
      <c r="F712" s="6">
        <v>0.4178819444444445</v>
      </c>
      <c r="G712" s="4" t="s">
        <v>120</v>
      </c>
      <c r="H712" s="4" t="s">
        <v>77</v>
      </c>
      <c r="I712" s="4" t="s">
        <v>993</v>
      </c>
      <c r="J712" s="4"/>
      <c r="K712" s="4"/>
      <c r="L712" s="4"/>
      <c r="M712" s="4"/>
      <c r="N712" s="4" t="s">
        <v>70</v>
      </c>
      <c r="O712" s="51" t="b">
        <v>0</v>
      </c>
      <c r="P712" s="51" t="b">
        <v>0</v>
      </c>
      <c r="Q712" s="51" t="b">
        <v>0</v>
      </c>
      <c r="R712" s="51" t="b">
        <v>0</v>
      </c>
      <c r="S712" s="51" t="b">
        <v>0</v>
      </c>
    </row>
    <row r="713" hidden="1">
      <c r="A713" s="4" t="str">
        <f>IFERROR(__xludf.DUMMYFUNCTION("""COMPUTED_VALUE"""),"789 - Channel")</f>
        <v>789 - Channel</v>
      </c>
      <c r="B713" s="4" t="s">
        <v>19</v>
      </c>
      <c r="C713" s="4" t="s">
        <v>66</v>
      </c>
      <c r="D713" s="6">
        <v>0.4178819444444445</v>
      </c>
      <c r="E713" s="6">
        <v>3.4722222222222224E-4</v>
      </c>
      <c r="F713" s="6">
        <v>0.4182291666666667</v>
      </c>
      <c r="G713" s="4" t="s">
        <v>120</v>
      </c>
      <c r="H713" s="4" t="s">
        <v>81</v>
      </c>
      <c r="I713" s="4" t="s">
        <v>81</v>
      </c>
      <c r="J713" s="4"/>
      <c r="K713" s="4"/>
      <c r="L713" s="4"/>
      <c r="M713" s="4"/>
      <c r="N713" s="4" t="s">
        <v>70</v>
      </c>
      <c r="O713" s="51" t="b">
        <v>0</v>
      </c>
      <c r="P713" s="51" t="b">
        <v>0</v>
      </c>
      <c r="Q713" s="51" t="b">
        <v>0</v>
      </c>
      <c r="R713" s="51" t="b">
        <v>0</v>
      </c>
      <c r="S713" s="51" t="b">
        <v>0</v>
      </c>
    </row>
    <row r="714" hidden="1">
      <c r="A714" s="56" t="str">
        <f>IFERROR(__xludf.DUMMYFUNCTION("""COMPUTED_VALUE"""),"790 - Channel")</f>
        <v>790 - Channel</v>
      </c>
      <c r="B714" s="56" t="s">
        <v>19</v>
      </c>
      <c r="C714" s="56" t="s">
        <v>66</v>
      </c>
      <c r="D714" s="57">
        <v>0.4182291666666667</v>
      </c>
      <c r="E714" s="57">
        <v>0.009791666666666667</v>
      </c>
      <c r="F714" s="57">
        <v>0.42802083333333335</v>
      </c>
      <c r="G714" s="56" t="s">
        <v>120</v>
      </c>
      <c r="H714" s="56" t="s">
        <v>94</v>
      </c>
      <c r="I714" s="56" t="s">
        <v>996</v>
      </c>
      <c r="J714" s="56" t="s">
        <v>997</v>
      </c>
      <c r="K714" s="56"/>
      <c r="L714" s="56"/>
      <c r="M714" s="56"/>
      <c r="N714" s="56" t="s">
        <v>998</v>
      </c>
      <c r="O714" s="51" t="b">
        <v>0</v>
      </c>
      <c r="P714" s="51" t="b">
        <v>0</v>
      </c>
      <c r="Q714" s="51" t="b">
        <v>0</v>
      </c>
      <c r="R714" s="51" t="b">
        <v>0</v>
      </c>
      <c r="S714" s="51" t="b">
        <v>0</v>
      </c>
      <c r="T714" s="56"/>
    </row>
    <row r="715" hidden="1">
      <c r="A715" s="4" t="str">
        <f>IFERROR(__xludf.DUMMYFUNCTION("""COMPUTED_VALUE"""),"782 - Channel")</f>
        <v>782 - Channel</v>
      </c>
      <c r="B715" s="4" t="s">
        <v>19</v>
      </c>
      <c r="C715" s="4" t="s">
        <v>66</v>
      </c>
      <c r="D715" s="6">
        <v>0.42802083333333335</v>
      </c>
      <c r="E715" s="6">
        <v>2.314814814814815E-4</v>
      </c>
      <c r="F715" s="6">
        <v>0.42825231481481485</v>
      </c>
      <c r="G715" s="4" t="s">
        <v>120</v>
      </c>
      <c r="H715" s="4" t="s">
        <v>81</v>
      </c>
      <c r="I715" s="4" t="s">
        <v>81</v>
      </c>
      <c r="J715" s="4"/>
      <c r="K715" s="4"/>
      <c r="L715" s="4"/>
      <c r="M715" s="4"/>
      <c r="N715" s="4" t="s">
        <v>70</v>
      </c>
      <c r="O715" s="51" t="b">
        <v>0</v>
      </c>
      <c r="P715" s="51" t="b">
        <v>0</v>
      </c>
      <c r="Q715" s="51" t="b">
        <v>0</v>
      </c>
      <c r="R715" s="51" t="b">
        <v>0</v>
      </c>
      <c r="S715" s="51" t="b">
        <v>0</v>
      </c>
    </row>
    <row r="716">
      <c r="A716" s="4" t="str">
        <f>IFERROR(__xludf.DUMMYFUNCTION("""COMPUTED_VALUE"""),"783 - Channel")</f>
        <v>783 - Channel</v>
      </c>
      <c r="B716" s="4" t="s">
        <v>19</v>
      </c>
      <c r="C716" s="4" t="s">
        <v>66</v>
      </c>
      <c r="D716" s="6">
        <v>0.42825231481481485</v>
      </c>
      <c r="E716" s="6">
        <v>0.013888888888888888</v>
      </c>
      <c r="F716" s="6">
        <v>0.44214120370370374</v>
      </c>
      <c r="G716" s="4" t="s">
        <v>120</v>
      </c>
      <c r="H716" s="4" t="s">
        <v>94</v>
      </c>
      <c r="I716" s="4" t="s">
        <v>999</v>
      </c>
      <c r="J716" s="4" t="s">
        <v>1000</v>
      </c>
      <c r="K716" s="4"/>
      <c r="L716" s="4"/>
      <c r="M716" s="4"/>
      <c r="N716" s="4" t="s">
        <v>1002</v>
      </c>
      <c r="O716" s="51" t="b">
        <v>0</v>
      </c>
      <c r="P716" s="51" t="b">
        <v>0</v>
      </c>
      <c r="Q716" s="51" t="b">
        <v>0</v>
      </c>
      <c r="R716" s="51" t="b">
        <v>0</v>
      </c>
      <c r="S716" s="51" t="b">
        <v>0</v>
      </c>
    </row>
    <row r="717" hidden="1">
      <c r="A717" s="56" t="str">
        <f>IFERROR(__xludf.DUMMYFUNCTION("""COMPUTED_VALUE"""),"784 - Channel")</f>
        <v>784 - Channel</v>
      </c>
      <c r="B717" s="56" t="s">
        <v>19</v>
      </c>
      <c r="C717" s="56" t="s">
        <v>66</v>
      </c>
      <c r="D717" s="57">
        <v>0.44214120370370374</v>
      </c>
      <c r="E717" s="57">
        <v>1.7361111111111112E-4</v>
      </c>
      <c r="F717" s="57">
        <v>0.4423148148148149</v>
      </c>
      <c r="G717" s="56" t="s">
        <v>120</v>
      </c>
      <c r="H717" s="56" t="s">
        <v>85</v>
      </c>
      <c r="I717" s="56" t="s">
        <v>1004</v>
      </c>
      <c r="J717" s="56"/>
      <c r="K717" s="56"/>
      <c r="L717" s="56"/>
      <c r="M717" s="56"/>
      <c r="N717" s="56" t="s">
        <v>70</v>
      </c>
      <c r="O717" s="51" t="b">
        <v>0</v>
      </c>
      <c r="P717" s="51" t="b">
        <v>0</v>
      </c>
      <c r="Q717" s="51" t="b">
        <v>0</v>
      </c>
      <c r="R717" s="51" t="b">
        <v>0</v>
      </c>
      <c r="S717" s="51" t="b">
        <v>0</v>
      </c>
      <c r="T717" s="56"/>
    </row>
    <row r="718">
      <c r="A718" s="4" t="str">
        <f>IFERROR(__xludf.DUMMYFUNCTION("""COMPUTED_VALUE"""),"785 - Channel")</f>
        <v>785 - Channel</v>
      </c>
      <c r="B718" s="4" t="s">
        <v>19</v>
      </c>
      <c r="C718" s="4" t="s">
        <v>66</v>
      </c>
      <c r="D718" s="6">
        <v>0.4423148148148149</v>
      </c>
      <c r="E718" s="6">
        <v>2.314814814814815E-4</v>
      </c>
      <c r="F718" s="6">
        <v>0.4425462962962964</v>
      </c>
      <c r="G718" s="4" t="s">
        <v>120</v>
      </c>
      <c r="H718" s="4" t="s">
        <v>81</v>
      </c>
      <c r="I718" s="4" t="s">
        <v>81</v>
      </c>
      <c r="J718" s="4"/>
      <c r="K718" s="4"/>
      <c r="L718" s="4"/>
      <c r="M718" s="4"/>
      <c r="N718" s="4" t="s">
        <v>70</v>
      </c>
      <c r="O718" s="51" t="b">
        <v>0</v>
      </c>
      <c r="P718" s="51" t="b">
        <v>0</v>
      </c>
      <c r="Q718" s="51" t="b">
        <v>0</v>
      </c>
      <c r="R718" s="51" t="b">
        <v>0</v>
      </c>
      <c r="S718" s="51" t="b">
        <v>0</v>
      </c>
    </row>
    <row r="719" hidden="1">
      <c r="A719" s="56" t="str">
        <f>IFERROR(__xludf.DUMMYFUNCTION("""COMPUTED_VALUE"""),"786 - Channel")</f>
        <v>786 - Channel</v>
      </c>
      <c r="B719" s="56" t="s">
        <v>19</v>
      </c>
      <c r="C719" s="56" t="s">
        <v>66</v>
      </c>
      <c r="D719" s="57">
        <v>0.4425462962962964</v>
      </c>
      <c r="E719" s="57">
        <v>0.0018287037037037037</v>
      </c>
      <c r="F719" s="57">
        <v>0.4443750000000001</v>
      </c>
      <c r="G719" s="56" t="s">
        <v>120</v>
      </c>
      <c r="H719" s="56" t="s">
        <v>165</v>
      </c>
      <c r="I719" s="56" t="s">
        <v>1006</v>
      </c>
      <c r="J719" s="56" t="s">
        <v>1007</v>
      </c>
      <c r="K719" s="56"/>
      <c r="L719" s="56"/>
      <c r="M719" s="56"/>
      <c r="N719" s="56" t="s">
        <v>70</v>
      </c>
      <c r="O719" s="51" t="b">
        <v>0</v>
      </c>
      <c r="P719" s="51" t="b">
        <v>0</v>
      </c>
      <c r="Q719" s="51" t="b">
        <v>0</v>
      </c>
      <c r="R719" s="51" t="b">
        <v>0</v>
      </c>
      <c r="S719" s="51" t="b">
        <v>0</v>
      </c>
      <c r="T719" s="56"/>
    </row>
    <row r="720">
      <c r="A720" s="4" t="str">
        <f>IFERROR(__xludf.DUMMYFUNCTION("""COMPUTED_VALUE"""),"793 - Channel")</f>
        <v>793 - Channel</v>
      </c>
      <c r="B720" s="4" t="s">
        <v>19</v>
      </c>
      <c r="C720" s="4" t="s">
        <v>66</v>
      </c>
      <c r="D720" s="6">
        <v>0.4443750000000001</v>
      </c>
      <c r="E720" s="6">
        <v>3.4722222222222224E-4</v>
      </c>
      <c r="F720" s="6">
        <v>0.4447222222222223</v>
      </c>
      <c r="G720" s="4" t="s">
        <v>120</v>
      </c>
      <c r="H720" s="4" t="s">
        <v>77</v>
      </c>
      <c r="I720" s="4" t="s">
        <v>1009</v>
      </c>
      <c r="J720" s="4"/>
      <c r="K720" s="4"/>
      <c r="L720" s="4"/>
      <c r="M720" s="4"/>
      <c r="N720" s="4" t="s">
        <v>70</v>
      </c>
      <c r="O720" s="51" t="b">
        <v>0</v>
      </c>
      <c r="P720" s="51" t="b">
        <v>0</v>
      </c>
      <c r="Q720" s="51" t="b">
        <v>0</v>
      </c>
      <c r="R720" s="51" t="b">
        <v>0</v>
      </c>
      <c r="S720" s="51" t="b">
        <v>0</v>
      </c>
    </row>
    <row r="721">
      <c r="A721" s="4" t="str">
        <f>IFERROR(__xludf.DUMMYFUNCTION("""COMPUTED_VALUE"""),"779 - Channel")</f>
        <v>779 - Channel</v>
      </c>
      <c r="B721" s="4" t="s">
        <v>19</v>
      </c>
      <c r="C721" s="4" t="s">
        <v>66</v>
      </c>
      <c r="D721" s="6">
        <v>0.4447222222222223</v>
      </c>
      <c r="E721" s="6">
        <v>2.314814814814815E-4</v>
      </c>
      <c r="F721" s="6">
        <v>0.4449537037037038</v>
      </c>
      <c r="G721" s="4" t="s">
        <v>120</v>
      </c>
      <c r="H721" s="4" t="s">
        <v>81</v>
      </c>
      <c r="I721" s="4" t="s">
        <v>81</v>
      </c>
      <c r="J721" s="4"/>
      <c r="K721" s="4"/>
      <c r="L721" s="4"/>
      <c r="M721" s="4"/>
      <c r="N721" s="4" t="s">
        <v>70</v>
      </c>
      <c r="O721" s="51" t="b">
        <v>0</v>
      </c>
      <c r="P721" s="51" t="b">
        <v>0</v>
      </c>
      <c r="Q721" s="51" t="b">
        <v>0</v>
      </c>
      <c r="R721" s="51" t="b">
        <v>0</v>
      </c>
      <c r="S721" s="51" t="b">
        <v>0</v>
      </c>
    </row>
    <row r="722" hidden="1">
      <c r="A722" s="4" t="str">
        <f>IFERROR(__xludf.DUMMYFUNCTION("""COMPUTED_VALUE"""),"780 - Channel")</f>
        <v>780 - Channel</v>
      </c>
      <c r="B722" s="4" t="s">
        <v>19</v>
      </c>
      <c r="C722" s="4" t="s">
        <v>66</v>
      </c>
      <c r="D722" s="6">
        <v>0.4449537037037038</v>
      </c>
      <c r="E722" s="6">
        <v>0.009652777777777777</v>
      </c>
      <c r="F722" s="6">
        <v>0.4546064814814816</v>
      </c>
      <c r="G722" s="4" t="s">
        <v>120</v>
      </c>
      <c r="H722" s="4" t="s">
        <v>107</v>
      </c>
      <c r="I722" s="4" t="s">
        <v>1011</v>
      </c>
      <c r="J722" s="4" t="s">
        <v>1012</v>
      </c>
      <c r="K722" s="4" t="s">
        <v>1013</v>
      </c>
      <c r="L722" s="4"/>
      <c r="M722" s="4"/>
      <c r="N722" s="4" t="s">
        <v>1002</v>
      </c>
      <c r="O722" s="51" t="b">
        <v>0</v>
      </c>
      <c r="P722" s="51" t="b">
        <v>0</v>
      </c>
      <c r="Q722" s="51" t="b">
        <v>0</v>
      </c>
      <c r="R722" s="51" t="b">
        <v>0</v>
      </c>
      <c r="S722" s="51" t="b">
        <v>0</v>
      </c>
    </row>
    <row r="723" hidden="1">
      <c r="A723" s="56" t="str">
        <f>IFERROR(__xludf.DUMMYFUNCTION("""COMPUTED_VALUE"""),"880 - Channel")</f>
        <v>880 - Channel</v>
      </c>
      <c r="B723" s="56" t="s">
        <v>19</v>
      </c>
      <c r="C723" s="56" t="s">
        <v>66</v>
      </c>
      <c r="D723" s="57">
        <v>0.4546064814814816</v>
      </c>
      <c r="E723" s="57">
        <v>3.0092592592592595E-4</v>
      </c>
      <c r="F723" s="57">
        <v>0.4549074074074075</v>
      </c>
      <c r="G723" s="56" t="s">
        <v>210</v>
      </c>
      <c r="H723" s="56" t="s">
        <v>506</v>
      </c>
      <c r="I723" s="56" t="s">
        <v>1015</v>
      </c>
      <c r="J723" s="56"/>
      <c r="K723" s="56"/>
      <c r="L723" s="56"/>
      <c r="M723" s="56"/>
      <c r="N723" s="56" t="s">
        <v>70</v>
      </c>
      <c r="O723" s="51" t="b">
        <v>0</v>
      </c>
      <c r="P723" s="51" t="b">
        <v>0</v>
      </c>
      <c r="Q723" s="51" t="b">
        <v>0</v>
      </c>
      <c r="R723" s="51" t="b">
        <v>0</v>
      </c>
      <c r="S723" s="51" t="b">
        <v>0</v>
      </c>
      <c r="T723" s="56"/>
    </row>
    <row r="724">
      <c r="A724" s="4" t="str">
        <f>IFERROR(__xludf.DUMMYFUNCTION("""COMPUTED_VALUE"""),"1039 - Channel")</f>
        <v>1039 - Channel</v>
      </c>
      <c r="B724" s="4" t="s">
        <v>19</v>
      </c>
      <c r="C724" s="4" t="s">
        <v>289</v>
      </c>
      <c r="D724" s="6">
        <v>0.4549074074074075</v>
      </c>
      <c r="E724" s="6">
        <v>2.314814814814815E-4</v>
      </c>
      <c r="F724" s="6">
        <v>0.455138888888889</v>
      </c>
      <c r="G724" s="4" t="s">
        <v>1017</v>
      </c>
      <c r="H724" s="4" t="s">
        <v>81</v>
      </c>
      <c r="I724" s="4" t="s">
        <v>81</v>
      </c>
      <c r="J724" s="4"/>
      <c r="K724" s="4"/>
      <c r="L724" s="4"/>
      <c r="M724" s="4"/>
      <c r="N724" s="4" t="s">
        <v>70</v>
      </c>
      <c r="O724" s="51" t="b">
        <v>0</v>
      </c>
      <c r="P724" s="51" t="b">
        <v>0</v>
      </c>
      <c r="Q724" s="51" t="b">
        <v>0</v>
      </c>
      <c r="R724" s="51" t="b">
        <v>0</v>
      </c>
      <c r="S724" s="51" t="b">
        <v>0</v>
      </c>
    </row>
    <row r="725" hidden="1">
      <c r="A725" s="56" t="str">
        <f>IFERROR(__xludf.DUMMYFUNCTION("""COMPUTED_VALUE"""),"1040 - Channel")</f>
        <v>1040 - Channel</v>
      </c>
      <c r="B725" s="56" t="s">
        <v>19</v>
      </c>
      <c r="C725" s="56" t="s">
        <v>289</v>
      </c>
      <c r="D725" s="57">
        <v>0.455138888888889</v>
      </c>
      <c r="E725" s="57">
        <v>0.0019560185185185184</v>
      </c>
      <c r="F725" s="57">
        <v>0.4570949074074075</v>
      </c>
      <c r="G725" s="56" t="s">
        <v>1017</v>
      </c>
      <c r="H725" s="56" t="s">
        <v>165</v>
      </c>
      <c r="I725" s="56" t="s">
        <v>1018</v>
      </c>
      <c r="J725" s="56" t="s">
        <v>1019</v>
      </c>
      <c r="K725" s="56"/>
      <c r="L725" s="56"/>
      <c r="M725" s="56"/>
      <c r="N725" s="56" t="s">
        <v>70</v>
      </c>
      <c r="O725" s="51" t="b">
        <v>0</v>
      </c>
      <c r="P725" s="51" t="b">
        <v>0</v>
      </c>
      <c r="Q725" s="51" t="b">
        <v>0</v>
      </c>
      <c r="R725" s="51" t="b">
        <v>0</v>
      </c>
      <c r="S725" s="51" t="b">
        <v>0</v>
      </c>
      <c r="T725" s="56"/>
    </row>
    <row r="726" hidden="1">
      <c r="A726" s="4" t="str">
        <f>IFERROR(__xludf.DUMMYFUNCTION("""COMPUTED_VALUE"""),"1341 - Channel")</f>
        <v>1341 - Channel</v>
      </c>
      <c r="B726" s="4" t="s">
        <v>19</v>
      </c>
      <c r="C726" s="4" t="s">
        <v>66</v>
      </c>
      <c r="D726" s="6"/>
      <c r="E726" s="6"/>
      <c r="F726" s="6"/>
      <c r="G726" s="4"/>
      <c r="H726" s="4"/>
      <c r="I726" s="4"/>
      <c r="J726" s="4"/>
      <c r="K726" s="4"/>
      <c r="L726" s="4"/>
      <c r="M726" s="4"/>
      <c r="N726" s="4"/>
      <c r="O726" s="51" t="b">
        <v>0</v>
      </c>
      <c r="P726" s="51" t="b">
        <v>0</v>
      </c>
      <c r="Q726" s="51" t="b">
        <v>0</v>
      </c>
      <c r="R726" s="51" t="b">
        <v>0</v>
      </c>
      <c r="S726" s="51" t="b">
        <v>0</v>
      </c>
    </row>
    <row r="727">
      <c r="A727" s="56" t="str">
        <f>IFERROR(__xludf.DUMMYFUNCTION("""COMPUTED_VALUE"""),"795 - Channel")</f>
        <v>795 - Channel</v>
      </c>
      <c r="B727" s="56" t="s">
        <v>19</v>
      </c>
      <c r="C727" s="56" t="s">
        <v>66</v>
      </c>
      <c r="D727" s="57">
        <v>0.4583333333333333</v>
      </c>
      <c r="E727" s="57">
        <v>3.4722222222222224E-4</v>
      </c>
      <c r="F727" s="57">
        <v>0.45868055555555554</v>
      </c>
      <c r="G727" s="56" t="s">
        <v>441</v>
      </c>
      <c r="H727" s="56" t="s">
        <v>81</v>
      </c>
      <c r="I727" s="56" t="s">
        <v>81</v>
      </c>
      <c r="J727" s="56"/>
      <c r="K727" s="56"/>
      <c r="L727" s="56"/>
      <c r="M727" s="56"/>
      <c r="N727" s="56" t="s">
        <v>70</v>
      </c>
      <c r="O727" s="51" t="b">
        <v>0</v>
      </c>
      <c r="P727" s="51" t="b">
        <v>0</v>
      </c>
      <c r="Q727" s="51" t="b">
        <v>0</v>
      </c>
      <c r="R727" s="51" t="b">
        <v>0</v>
      </c>
      <c r="S727" s="51" t="b">
        <v>0</v>
      </c>
      <c r="T727" s="56"/>
    </row>
    <row r="728" hidden="1">
      <c r="A728" s="4" t="str">
        <f>IFERROR(__xludf.DUMMYFUNCTION("""COMPUTED_VALUE"""),"796 - Channel")</f>
        <v>796 - Channel</v>
      </c>
      <c r="B728" s="4" t="s">
        <v>19</v>
      </c>
      <c r="C728" s="4" t="s">
        <v>66</v>
      </c>
      <c r="D728" s="6">
        <v>0.45868055555555554</v>
      </c>
      <c r="E728" s="6">
        <v>0.010833333333333334</v>
      </c>
      <c r="F728" s="6">
        <v>0.4695138888888889</v>
      </c>
      <c r="G728" s="4" t="s">
        <v>441</v>
      </c>
      <c r="H728" s="4" t="s">
        <v>107</v>
      </c>
      <c r="I728" s="4" t="s">
        <v>1022</v>
      </c>
      <c r="J728" s="4" t="s">
        <v>1023</v>
      </c>
      <c r="K728" s="4" t="s">
        <v>1024</v>
      </c>
      <c r="L728" s="4"/>
      <c r="M728" s="4"/>
      <c r="N728" s="4" t="s">
        <v>514</v>
      </c>
      <c r="O728" s="51" t="b">
        <v>0</v>
      </c>
      <c r="P728" s="51" t="b">
        <v>0</v>
      </c>
      <c r="Q728" s="51" t="b">
        <v>0</v>
      </c>
      <c r="R728" s="51" t="b">
        <v>0</v>
      </c>
      <c r="S728" s="51" t="b">
        <v>0</v>
      </c>
    </row>
    <row r="729" hidden="1">
      <c r="A729" s="4" t="str">
        <f>IFERROR(__xludf.DUMMYFUNCTION("""COMPUTED_VALUE"""),"798 - Channel")</f>
        <v>798 - Channel</v>
      </c>
      <c r="B729" s="4" t="s">
        <v>19</v>
      </c>
      <c r="C729" s="4" t="s">
        <v>66</v>
      </c>
      <c r="D729" s="6">
        <v>0.4695138888888889</v>
      </c>
      <c r="E729" s="6">
        <v>2.314814814814815E-4</v>
      </c>
      <c r="F729" s="6">
        <v>0.4697453703703704</v>
      </c>
      <c r="G729" s="4" t="s">
        <v>441</v>
      </c>
      <c r="H729" s="4" t="s">
        <v>81</v>
      </c>
      <c r="I729" s="4" t="s">
        <v>81</v>
      </c>
      <c r="J729" s="4"/>
      <c r="K729" s="4"/>
      <c r="L729" s="4"/>
      <c r="M729" s="4"/>
      <c r="N729" s="4" t="s">
        <v>70</v>
      </c>
      <c r="O729" s="51" t="b">
        <v>0</v>
      </c>
      <c r="P729" s="51" t="b">
        <v>0</v>
      </c>
      <c r="Q729" s="51" t="b">
        <v>0</v>
      </c>
      <c r="R729" s="51" t="b">
        <v>0</v>
      </c>
      <c r="S729" s="51" t="b">
        <v>0</v>
      </c>
    </row>
    <row r="730">
      <c r="A730" s="56" t="str">
        <f>IFERROR(__xludf.DUMMYFUNCTION("""COMPUTED_VALUE"""),"799 - Channel")</f>
        <v>799 - Channel</v>
      </c>
      <c r="B730" s="56" t="s">
        <v>19</v>
      </c>
      <c r="C730" s="56" t="s">
        <v>66</v>
      </c>
      <c r="D730" s="57">
        <v>0.4697453703703704</v>
      </c>
      <c r="E730" s="57">
        <v>0.007060185185185185</v>
      </c>
      <c r="F730" s="57">
        <v>0.4768055555555556</v>
      </c>
      <c r="G730" s="56" t="s">
        <v>441</v>
      </c>
      <c r="H730" s="56" t="s">
        <v>165</v>
      </c>
      <c r="I730" s="56" t="s">
        <v>1027</v>
      </c>
      <c r="J730" s="56" t="s">
        <v>1028</v>
      </c>
      <c r="K730" s="56"/>
      <c r="L730" s="56"/>
      <c r="M730" s="56"/>
      <c r="N730" s="56" t="s">
        <v>70</v>
      </c>
      <c r="O730" s="51" t="b">
        <v>0</v>
      </c>
      <c r="P730" s="51" t="b">
        <v>0</v>
      </c>
      <c r="Q730" s="51" t="b">
        <v>0</v>
      </c>
      <c r="R730" s="51" t="b">
        <v>0</v>
      </c>
      <c r="S730" s="51" t="b">
        <v>0</v>
      </c>
      <c r="T730" s="56"/>
    </row>
    <row r="731" hidden="1">
      <c r="A731" s="4" t="str">
        <f>IFERROR(__xludf.DUMMYFUNCTION("""COMPUTED_VALUE"""),"803 - Channel")</f>
        <v>803 - Channel</v>
      </c>
      <c r="B731" s="4" t="s">
        <v>19</v>
      </c>
      <c r="C731" s="4" t="s">
        <v>66</v>
      </c>
      <c r="D731" s="6">
        <v>0.4768055555555556</v>
      </c>
      <c r="E731" s="6">
        <v>2.314814814814815E-4</v>
      </c>
      <c r="F731" s="6">
        <v>0.4770370370370371</v>
      </c>
      <c r="G731" s="4" t="s">
        <v>441</v>
      </c>
      <c r="H731" s="4" t="s">
        <v>81</v>
      </c>
      <c r="I731" s="4" t="s">
        <v>81</v>
      </c>
      <c r="J731" s="4"/>
      <c r="K731" s="4"/>
      <c r="L731" s="4"/>
      <c r="M731" s="4"/>
      <c r="N731" s="4" t="s">
        <v>70</v>
      </c>
      <c r="O731" s="51" t="b">
        <v>0</v>
      </c>
      <c r="P731" s="51" t="b">
        <v>0</v>
      </c>
      <c r="Q731" s="51" t="b">
        <v>0</v>
      </c>
      <c r="R731" s="51" t="b">
        <v>0</v>
      </c>
      <c r="S731" s="51" t="b">
        <v>0</v>
      </c>
    </row>
    <row r="732">
      <c r="A732" s="56" t="str">
        <f>IFERROR(__xludf.DUMMYFUNCTION("""COMPUTED_VALUE"""),"804 - Channel")</f>
        <v>804 - Channel</v>
      </c>
      <c r="B732" s="56" t="s">
        <v>19</v>
      </c>
      <c r="C732" s="56" t="s">
        <v>66</v>
      </c>
      <c r="D732" s="57">
        <v>0.4770370370370371</v>
      </c>
      <c r="E732" s="57">
        <v>3.4722222222222224E-4</v>
      </c>
      <c r="F732" s="57">
        <v>0.4773842592592593</v>
      </c>
      <c r="G732" s="56" t="s">
        <v>441</v>
      </c>
      <c r="H732" s="56" t="s">
        <v>511</v>
      </c>
      <c r="I732" s="56" t="s">
        <v>511</v>
      </c>
      <c r="J732" s="56"/>
      <c r="K732" s="56"/>
      <c r="L732" s="56"/>
      <c r="M732" s="56"/>
      <c r="N732" s="56" t="s">
        <v>70</v>
      </c>
      <c r="O732" s="51" t="b">
        <v>0</v>
      </c>
      <c r="P732" s="51" t="b">
        <v>0</v>
      </c>
      <c r="Q732" s="51" t="b">
        <v>0</v>
      </c>
      <c r="R732" s="51" t="b">
        <v>0</v>
      </c>
      <c r="S732" s="51" t="b">
        <v>0</v>
      </c>
      <c r="T732" s="56"/>
    </row>
    <row r="733" hidden="1">
      <c r="A733" s="4" t="str">
        <f>IFERROR(__xludf.DUMMYFUNCTION("""COMPUTED_VALUE"""),"805 - Channel")</f>
        <v>805 - Channel</v>
      </c>
      <c r="B733" s="4" t="s">
        <v>19</v>
      </c>
      <c r="C733" s="4" t="s">
        <v>66</v>
      </c>
      <c r="D733" s="6">
        <v>0.4773842592592593</v>
      </c>
      <c r="E733" s="6">
        <v>0.011458333333333333</v>
      </c>
      <c r="F733" s="6">
        <v>0.48884259259259266</v>
      </c>
      <c r="G733" s="4" t="s">
        <v>441</v>
      </c>
      <c r="H733" s="4" t="s">
        <v>165</v>
      </c>
      <c r="I733" s="4" t="s">
        <v>1031</v>
      </c>
      <c r="J733" s="4" t="s">
        <v>1032</v>
      </c>
      <c r="K733" s="4" t="s">
        <v>1033</v>
      </c>
      <c r="L733" s="4"/>
      <c r="M733" s="4"/>
      <c r="N733" s="4" t="s">
        <v>70</v>
      </c>
      <c r="O733" s="51" t="b">
        <v>0</v>
      </c>
      <c r="P733" s="51" t="b">
        <v>0</v>
      </c>
      <c r="Q733" s="51" t="b">
        <v>0</v>
      </c>
      <c r="R733" s="51" t="b">
        <v>0</v>
      </c>
      <c r="S733" s="51" t="b">
        <v>0</v>
      </c>
    </row>
    <row r="734">
      <c r="A734" s="4" t="str">
        <f>IFERROR(__xludf.DUMMYFUNCTION("""COMPUTED_VALUE"""),"806 - Channel")</f>
        <v>806 - Channel</v>
      </c>
      <c r="B734" s="4" t="s">
        <v>19</v>
      </c>
      <c r="C734" s="4" t="s">
        <v>66</v>
      </c>
      <c r="D734" s="6">
        <v>0.48884259259259266</v>
      </c>
      <c r="E734" s="6">
        <v>1.7361111111111112E-4</v>
      </c>
      <c r="F734" s="6">
        <v>0.4890162037037038</v>
      </c>
      <c r="G734" s="4" t="s">
        <v>441</v>
      </c>
      <c r="H734" s="4" t="s">
        <v>85</v>
      </c>
      <c r="I734" s="4" t="s">
        <v>1004</v>
      </c>
      <c r="J734" s="4"/>
      <c r="K734" s="4"/>
      <c r="L734" s="4"/>
      <c r="M734" s="4"/>
      <c r="N734" s="4" t="s">
        <v>70</v>
      </c>
      <c r="O734" s="51" t="b">
        <v>0</v>
      </c>
      <c r="P734" s="51" t="b">
        <v>0</v>
      </c>
      <c r="Q734" s="51" t="b">
        <v>0</v>
      </c>
      <c r="R734" s="51" t="b">
        <v>0</v>
      </c>
      <c r="S734" s="51" t="b">
        <v>0</v>
      </c>
    </row>
    <row r="735" hidden="1">
      <c r="A735" s="56" t="str">
        <f>IFERROR(__xludf.DUMMYFUNCTION("""COMPUTED_VALUE"""),"844 - Channel")</f>
        <v>844 - Channel</v>
      </c>
      <c r="B735" s="56" t="s">
        <v>19</v>
      </c>
      <c r="C735" s="56" t="s">
        <v>66</v>
      </c>
      <c r="D735" s="57">
        <v>0.4890162037037038</v>
      </c>
      <c r="E735" s="57">
        <v>2.314814814814815E-4</v>
      </c>
      <c r="F735" s="57">
        <v>0.4892476851851853</v>
      </c>
      <c r="G735" s="56" t="s">
        <v>245</v>
      </c>
      <c r="H735" s="56" t="s">
        <v>81</v>
      </c>
      <c r="I735" s="56" t="s">
        <v>81</v>
      </c>
      <c r="J735" s="56"/>
      <c r="K735" s="56"/>
      <c r="L735" s="56"/>
      <c r="M735" s="56"/>
      <c r="N735" s="56" t="s">
        <v>70</v>
      </c>
      <c r="O735" s="51" t="b">
        <v>0</v>
      </c>
      <c r="P735" s="51" t="b">
        <v>0</v>
      </c>
      <c r="Q735" s="51" t="b">
        <v>0</v>
      </c>
      <c r="R735" s="51" t="b">
        <v>0</v>
      </c>
      <c r="S735" s="51" t="b">
        <v>0</v>
      </c>
      <c r="T735" s="56"/>
    </row>
    <row r="736" hidden="1">
      <c r="A736" s="4" t="str">
        <f>IFERROR(__xludf.DUMMYFUNCTION("""COMPUTED_VALUE"""),"1725 - Channel")</f>
        <v>1725 - Channel</v>
      </c>
      <c r="B736" s="4" t="s">
        <v>19</v>
      </c>
      <c r="C736" s="4" t="s">
        <v>66</v>
      </c>
      <c r="D736" s="6">
        <v>0.4892476851851853</v>
      </c>
      <c r="E736" s="6">
        <v>0.0010416666666666667</v>
      </c>
      <c r="F736" s="6">
        <v>0.49028935185185196</v>
      </c>
      <c r="G736" s="4"/>
      <c r="H736" s="4" t="s">
        <v>67</v>
      </c>
      <c r="I736" s="4" t="s">
        <v>67</v>
      </c>
      <c r="J736" s="4"/>
      <c r="K736" s="4"/>
      <c r="L736" s="4"/>
      <c r="M736" s="4"/>
      <c r="N736" s="4"/>
      <c r="O736" s="51" t="b">
        <v>0</v>
      </c>
      <c r="P736" s="51" t="b">
        <v>0</v>
      </c>
      <c r="Q736" s="51" t="b">
        <v>0</v>
      </c>
      <c r="R736" s="51" t="b">
        <v>0</v>
      </c>
      <c r="S736" s="51" t="b">
        <v>0</v>
      </c>
    </row>
    <row r="737">
      <c r="A737" s="56" t="str">
        <f>IFERROR(__xludf.DUMMYFUNCTION("""COMPUTED_VALUE"""),"845 - Channel")</f>
        <v>845 - Channel</v>
      </c>
      <c r="B737" s="56" t="s">
        <v>19</v>
      </c>
      <c r="C737" s="56" t="s">
        <v>66</v>
      </c>
      <c r="D737" s="57">
        <v>0.49028935185185196</v>
      </c>
      <c r="E737" s="57">
        <v>0.008587962962962962</v>
      </c>
      <c r="F737" s="57">
        <v>0.4988773148148149</v>
      </c>
      <c r="G737" s="56" t="s">
        <v>245</v>
      </c>
      <c r="H737" s="56" t="s">
        <v>94</v>
      </c>
      <c r="I737" s="56" t="s">
        <v>1037</v>
      </c>
      <c r="J737" s="56" t="s">
        <v>1038</v>
      </c>
      <c r="K737" s="56"/>
      <c r="L737" s="56"/>
      <c r="M737" s="56"/>
      <c r="N737" s="56" t="s">
        <v>1039</v>
      </c>
      <c r="O737" s="51" t="b">
        <v>0</v>
      </c>
      <c r="P737" s="51" t="b">
        <v>0</v>
      </c>
      <c r="Q737" s="51" t="b">
        <v>0</v>
      </c>
      <c r="R737" s="51" t="b">
        <v>0</v>
      </c>
      <c r="S737" s="51" t="b">
        <v>0</v>
      </c>
      <c r="T737" s="56"/>
    </row>
    <row r="738">
      <c r="A738" s="4" t="str">
        <f>IFERROR(__xludf.DUMMYFUNCTION("""COMPUTED_VALUE"""),"828 - Channel")</f>
        <v>828 - Channel</v>
      </c>
      <c r="B738" s="4" t="s">
        <v>19</v>
      </c>
      <c r="C738" s="4" t="s">
        <v>66</v>
      </c>
      <c r="D738" s="6">
        <v>0.4988773148148149</v>
      </c>
      <c r="E738" s="6">
        <v>2.0833333333333335E-4</v>
      </c>
      <c r="F738" s="6">
        <v>0.4990856481481482</v>
      </c>
      <c r="G738" s="4" t="s">
        <v>1040</v>
      </c>
      <c r="H738" s="4" t="s">
        <v>506</v>
      </c>
      <c r="I738" s="4" t="s">
        <v>1041</v>
      </c>
      <c r="J738" s="4"/>
      <c r="K738" s="4"/>
      <c r="L738" s="4"/>
      <c r="M738" s="4"/>
      <c r="N738" s="4" t="s">
        <v>70</v>
      </c>
      <c r="O738" s="51" t="b">
        <v>0</v>
      </c>
      <c r="P738" s="51" t="b">
        <v>0</v>
      </c>
      <c r="Q738" s="51" t="b">
        <v>0</v>
      </c>
      <c r="R738" s="51" t="b">
        <v>0</v>
      </c>
      <c r="S738" s="51" t="b">
        <v>0</v>
      </c>
    </row>
    <row r="739" hidden="1">
      <c r="A739" s="56" t="str">
        <f>IFERROR(__xludf.DUMMYFUNCTION("""COMPUTED_VALUE"""),"1342 - Channel")</f>
        <v>1342 - Channel</v>
      </c>
      <c r="B739" s="56" t="s">
        <v>19</v>
      </c>
      <c r="C739" s="56" t="s">
        <v>66</v>
      </c>
      <c r="D739" s="57"/>
      <c r="E739" s="57"/>
      <c r="F739" s="57"/>
      <c r="G739" s="56"/>
      <c r="H739" s="56"/>
      <c r="I739" s="56"/>
      <c r="J739" s="56"/>
      <c r="K739" s="56"/>
      <c r="L739" s="56"/>
      <c r="M739" s="56"/>
      <c r="N739" s="56"/>
      <c r="O739" s="51" t="b">
        <v>0</v>
      </c>
      <c r="P739" s="51" t="b">
        <v>0</v>
      </c>
      <c r="Q739" s="51" t="b">
        <v>0</v>
      </c>
      <c r="R739" s="51" t="b">
        <v>0</v>
      </c>
      <c r="S739" s="51" t="b">
        <v>0</v>
      </c>
      <c r="T739" s="56"/>
    </row>
    <row r="740" hidden="1">
      <c r="A740" s="4" t="str">
        <f>IFERROR(__xludf.DUMMYFUNCTION("""COMPUTED_VALUE"""),"811 - Channel")</f>
        <v>811 - Channel</v>
      </c>
      <c r="B740" s="4" t="s">
        <v>19</v>
      </c>
      <c r="C740" s="4" t="s">
        <v>66</v>
      </c>
      <c r="D740" s="6">
        <v>0.5</v>
      </c>
      <c r="E740" s="6">
        <v>3.4722222222222224E-4</v>
      </c>
      <c r="F740" s="6">
        <v>0.5003472222222223</v>
      </c>
      <c r="G740" s="4" t="s">
        <v>164</v>
      </c>
      <c r="H740" s="4" t="s">
        <v>81</v>
      </c>
      <c r="I740" s="4" t="s">
        <v>81</v>
      </c>
      <c r="J740" s="4"/>
      <c r="K740" s="4"/>
      <c r="L740" s="4"/>
      <c r="M740" s="4"/>
      <c r="N740" s="4" t="s">
        <v>70</v>
      </c>
      <c r="O740" s="51" t="b">
        <v>0</v>
      </c>
      <c r="P740" s="51" t="b">
        <v>0</v>
      </c>
      <c r="Q740" s="51" t="b">
        <v>0</v>
      </c>
      <c r="R740" s="51" t="b">
        <v>0</v>
      </c>
      <c r="S740" s="51" t="b">
        <v>0</v>
      </c>
    </row>
    <row r="741" hidden="1">
      <c r="A741" s="56" t="str">
        <f>IFERROR(__xludf.DUMMYFUNCTION("""COMPUTED_VALUE"""),"812 - Channel")</f>
        <v>812 - Channel</v>
      </c>
      <c r="B741" s="56" t="s">
        <v>19</v>
      </c>
      <c r="C741" s="56" t="s">
        <v>66</v>
      </c>
      <c r="D741" s="57">
        <v>0.5003472222222223</v>
      </c>
      <c r="E741" s="57">
        <v>0.006944444444444444</v>
      </c>
      <c r="F741" s="57">
        <v>0.5072916666666667</v>
      </c>
      <c r="G741" s="56" t="s">
        <v>164</v>
      </c>
      <c r="H741" s="56" t="s">
        <v>94</v>
      </c>
      <c r="I741" s="56" t="s">
        <v>1044</v>
      </c>
      <c r="J741" s="56" t="s">
        <v>1045</v>
      </c>
      <c r="K741" s="56"/>
      <c r="L741" s="56"/>
      <c r="M741" s="56"/>
      <c r="N741" s="56" t="s">
        <v>253</v>
      </c>
      <c r="O741" s="51" t="b">
        <v>0</v>
      </c>
      <c r="P741" s="51" t="b">
        <v>0</v>
      </c>
      <c r="Q741" s="51" t="b">
        <v>0</v>
      </c>
      <c r="R741" s="51" t="b">
        <v>0</v>
      </c>
      <c r="S741" s="51" t="b">
        <v>0</v>
      </c>
      <c r="T741" s="56"/>
    </row>
    <row r="742">
      <c r="A742" s="4" t="str">
        <f>IFERROR(__xludf.DUMMYFUNCTION("""COMPUTED_VALUE"""),"1724 - Channel")</f>
        <v>1724 - Channel</v>
      </c>
      <c r="B742" s="4" t="s">
        <v>19</v>
      </c>
      <c r="C742" s="4" t="s">
        <v>66</v>
      </c>
      <c r="D742" s="6">
        <v>0.5072916666666667</v>
      </c>
      <c r="E742" s="6">
        <v>5.208333333333333E-4</v>
      </c>
      <c r="F742" s="6">
        <v>0.5078125</v>
      </c>
      <c r="G742" s="4"/>
      <c r="H742" s="4" t="s">
        <v>79</v>
      </c>
      <c r="I742" s="4" t="s">
        <v>79</v>
      </c>
      <c r="J742" s="4"/>
      <c r="K742" s="4"/>
      <c r="L742" s="4"/>
      <c r="M742" s="4"/>
      <c r="N742" s="4"/>
      <c r="O742" s="51" t="b">
        <v>0</v>
      </c>
      <c r="P742" s="51" t="b">
        <v>0</v>
      </c>
      <c r="Q742" s="51" t="b">
        <v>0</v>
      </c>
      <c r="R742" s="51" t="b">
        <v>0</v>
      </c>
      <c r="S742" s="51" t="b">
        <v>0</v>
      </c>
    </row>
    <row r="743" hidden="1">
      <c r="A743" s="56" t="str">
        <f>IFERROR(__xludf.DUMMYFUNCTION("""COMPUTED_VALUE"""),"665 - Channel")</f>
        <v>665 - Channel</v>
      </c>
      <c r="B743" s="56" t="s">
        <v>19</v>
      </c>
      <c r="C743" s="56" t="s">
        <v>66</v>
      </c>
      <c r="D743" s="57">
        <v>0.5078125</v>
      </c>
      <c r="E743" s="57">
        <v>3.4722222222222224E-4</v>
      </c>
      <c r="F743" s="57">
        <v>0.5081597222222223</v>
      </c>
      <c r="G743" s="56" t="s">
        <v>195</v>
      </c>
      <c r="H743" s="56" t="s">
        <v>81</v>
      </c>
      <c r="I743" s="56" t="s">
        <v>81</v>
      </c>
      <c r="J743" s="56"/>
      <c r="K743" s="56"/>
      <c r="L743" s="56"/>
      <c r="M743" s="56"/>
      <c r="N743" s="56" t="s">
        <v>70</v>
      </c>
      <c r="O743" s="51" t="b">
        <v>0</v>
      </c>
      <c r="P743" s="51" t="b">
        <v>0</v>
      </c>
      <c r="Q743" s="51" t="b">
        <v>0</v>
      </c>
      <c r="R743" s="51" t="b">
        <v>0</v>
      </c>
      <c r="S743" s="51" t="b">
        <v>0</v>
      </c>
      <c r="T743" s="56"/>
    </row>
    <row r="744">
      <c r="A744" s="4" t="str">
        <f>IFERROR(__xludf.DUMMYFUNCTION("""COMPUTED_VALUE"""),"666 - Channel")</f>
        <v>666 - Channel</v>
      </c>
      <c r="B744" s="4" t="s">
        <v>19</v>
      </c>
      <c r="C744" s="4" t="s">
        <v>66</v>
      </c>
      <c r="D744" s="6">
        <v>0.5081597222222223</v>
      </c>
      <c r="E744" s="6">
        <v>0.006805555555555555</v>
      </c>
      <c r="F744" s="6">
        <v>0.5149652777777778</v>
      </c>
      <c r="G744" s="4" t="s">
        <v>195</v>
      </c>
      <c r="H744" s="4" t="s">
        <v>107</v>
      </c>
      <c r="I744" s="4" t="s">
        <v>1048</v>
      </c>
      <c r="J744" s="4" t="s">
        <v>1049</v>
      </c>
      <c r="K744" s="4" t="s">
        <v>1050</v>
      </c>
      <c r="L744" s="4"/>
      <c r="M744" s="4"/>
      <c r="N744" s="4" t="s">
        <v>829</v>
      </c>
      <c r="O744" s="51" t="b">
        <v>0</v>
      </c>
      <c r="P744" s="51" t="b">
        <v>0</v>
      </c>
      <c r="Q744" s="51" t="b">
        <v>0</v>
      </c>
      <c r="R744" s="51" t="b">
        <v>0</v>
      </c>
      <c r="S744" s="51" t="b">
        <v>0</v>
      </c>
    </row>
    <row r="745" hidden="1">
      <c r="A745" s="4" t="str">
        <f>IFERROR(__xludf.DUMMYFUNCTION("""COMPUTED_VALUE"""),"818 - Channel")</f>
        <v>818 - Channel</v>
      </c>
      <c r="B745" s="4" t="s">
        <v>19</v>
      </c>
      <c r="C745" s="4" t="s">
        <v>66</v>
      </c>
      <c r="D745" s="6">
        <v>0.5149652777777778</v>
      </c>
      <c r="E745" s="6">
        <v>2.314814814814815E-4</v>
      </c>
      <c r="F745" s="6">
        <v>0.5151967592592592</v>
      </c>
      <c r="G745" s="4" t="s">
        <v>164</v>
      </c>
      <c r="H745" s="4" t="s">
        <v>81</v>
      </c>
      <c r="I745" s="4" t="s">
        <v>81</v>
      </c>
      <c r="J745" s="4"/>
      <c r="K745" s="4"/>
      <c r="L745" s="4"/>
      <c r="M745" s="4"/>
      <c r="N745" s="4" t="s">
        <v>70</v>
      </c>
      <c r="O745" s="51" t="b">
        <v>0</v>
      </c>
      <c r="P745" s="51" t="b">
        <v>0</v>
      </c>
      <c r="Q745" s="51" t="b">
        <v>0</v>
      </c>
      <c r="R745" s="51" t="b">
        <v>0</v>
      </c>
      <c r="S745" s="51" t="b">
        <v>0</v>
      </c>
    </row>
    <row r="746">
      <c r="A746" s="4" t="str">
        <f>IFERROR(__xludf.DUMMYFUNCTION("""COMPUTED_VALUE"""),"819 - Channel")</f>
        <v>819 - Channel</v>
      </c>
      <c r="B746" s="4" t="s">
        <v>19</v>
      </c>
      <c r="C746" s="4" t="s">
        <v>66</v>
      </c>
      <c r="D746" s="6">
        <v>0.5151967592592592</v>
      </c>
      <c r="E746" s="6">
        <v>0.0070023148148148145</v>
      </c>
      <c r="F746" s="6">
        <v>0.5221990740740741</v>
      </c>
      <c r="G746" s="4" t="s">
        <v>164</v>
      </c>
      <c r="H746" s="4" t="s">
        <v>165</v>
      </c>
      <c r="I746" s="4" t="s">
        <v>1053</v>
      </c>
      <c r="J746" s="4" t="s">
        <v>1054</v>
      </c>
      <c r="K746" s="4"/>
      <c r="L746" s="4"/>
      <c r="M746" s="4"/>
      <c r="N746" s="4" t="s">
        <v>70</v>
      </c>
      <c r="O746" s="51" t="b">
        <v>0</v>
      </c>
      <c r="P746" s="51" t="b">
        <v>0</v>
      </c>
      <c r="Q746" s="51" t="b">
        <v>0</v>
      </c>
      <c r="R746" s="51" t="b">
        <v>0</v>
      </c>
      <c r="S746" s="51" t="b">
        <v>0</v>
      </c>
    </row>
    <row r="747" hidden="1">
      <c r="A747" s="56" t="str">
        <f>IFERROR(__xludf.DUMMYFUNCTION("""COMPUTED_VALUE"""),"1671 - Channel")</f>
        <v>1671 - Channel</v>
      </c>
      <c r="B747" s="56" t="s">
        <v>19</v>
      </c>
      <c r="C747" s="56" t="s">
        <v>66</v>
      </c>
      <c r="D747" s="57">
        <v>0.5221990740740741</v>
      </c>
      <c r="E747" s="57">
        <v>0.0010416666666666667</v>
      </c>
      <c r="F747" s="57">
        <v>0.5232407407407408</v>
      </c>
      <c r="G747" s="56"/>
      <c r="H747" s="56" t="s">
        <v>67</v>
      </c>
      <c r="I747" s="56" t="s">
        <v>67</v>
      </c>
      <c r="J747" s="56"/>
      <c r="K747" s="56"/>
      <c r="L747" s="56"/>
      <c r="M747" s="56"/>
      <c r="N747" s="56"/>
      <c r="O747" s="51" t="b">
        <v>0</v>
      </c>
      <c r="P747" s="51" t="b">
        <v>0</v>
      </c>
      <c r="Q747" s="51" t="b">
        <v>0</v>
      </c>
      <c r="R747" s="51" t="b">
        <v>0</v>
      </c>
      <c r="S747" s="51" t="b">
        <v>0</v>
      </c>
      <c r="T747" s="56"/>
    </row>
    <row r="748" hidden="1">
      <c r="A748" s="4" t="str">
        <f>IFERROR(__xludf.DUMMYFUNCTION("""COMPUTED_VALUE"""),"822 - Channel")</f>
        <v>822 - Channel</v>
      </c>
      <c r="B748" s="4" t="s">
        <v>19</v>
      </c>
      <c r="C748" s="4" t="s">
        <v>66</v>
      </c>
      <c r="D748" s="6">
        <v>0.5232407407407408</v>
      </c>
      <c r="E748" s="6">
        <v>2.314814814814815E-4</v>
      </c>
      <c r="F748" s="6">
        <v>0.5234722222222222</v>
      </c>
      <c r="G748" s="4" t="s">
        <v>164</v>
      </c>
      <c r="H748" s="4" t="s">
        <v>81</v>
      </c>
      <c r="I748" s="4" t="s">
        <v>81</v>
      </c>
      <c r="J748" s="4"/>
      <c r="K748" s="4"/>
      <c r="L748" s="4"/>
      <c r="M748" s="4"/>
      <c r="N748" s="4" t="s">
        <v>70</v>
      </c>
      <c r="O748" s="51" t="b">
        <v>0</v>
      </c>
      <c r="P748" s="51" t="b">
        <v>0</v>
      </c>
      <c r="Q748" s="51" t="b">
        <v>0</v>
      </c>
      <c r="R748" s="51" t="b">
        <v>0</v>
      </c>
      <c r="S748" s="51" t="b">
        <v>0</v>
      </c>
    </row>
    <row r="749">
      <c r="A749" s="4" t="str">
        <f>IFERROR(__xludf.DUMMYFUNCTION("""COMPUTED_VALUE"""),"823 - Channel")</f>
        <v>823 - Channel</v>
      </c>
      <c r="B749" s="4" t="s">
        <v>19</v>
      </c>
      <c r="C749" s="4" t="s">
        <v>66</v>
      </c>
      <c r="D749" s="6">
        <v>0.5234722222222222</v>
      </c>
      <c r="E749" s="6">
        <v>0.007453703703703704</v>
      </c>
      <c r="F749" s="6">
        <v>0.5309259259259259</v>
      </c>
      <c r="G749" s="4" t="s">
        <v>164</v>
      </c>
      <c r="H749" s="4" t="s">
        <v>107</v>
      </c>
      <c r="I749" s="4" t="s">
        <v>1058</v>
      </c>
      <c r="J749" s="4" t="s">
        <v>1059</v>
      </c>
      <c r="K749" s="4" t="s">
        <v>1060</v>
      </c>
      <c r="L749" s="4"/>
      <c r="M749" s="4"/>
      <c r="N749" s="4" t="s">
        <v>439</v>
      </c>
      <c r="O749" s="51" t="b">
        <v>0</v>
      </c>
      <c r="P749" s="51" t="b">
        <v>0</v>
      </c>
      <c r="Q749" s="51" t="b">
        <v>0</v>
      </c>
      <c r="R749" s="51" t="b">
        <v>0</v>
      </c>
      <c r="S749" s="51" t="b">
        <v>0</v>
      </c>
    </row>
    <row r="750" hidden="1">
      <c r="A750" s="56" t="str">
        <f>IFERROR(__xludf.DUMMYFUNCTION("""COMPUTED_VALUE"""),"825 - Channel")</f>
        <v>825 - Channel</v>
      </c>
      <c r="B750" s="56" t="s">
        <v>19</v>
      </c>
      <c r="C750" s="56" t="s">
        <v>66</v>
      </c>
      <c r="D750" s="57">
        <v>0.5309259259259259</v>
      </c>
      <c r="E750" s="57">
        <v>2.314814814814815E-4</v>
      </c>
      <c r="F750" s="57">
        <v>0.5311574074074074</v>
      </c>
      <c r="G750" s="56" t="s">
        <v>164</v>
      </c>
      <c r="H750" s="56" t="s">
        <v>81</v>
      </c>
      <c r="I750" s="56" t="s">
        <v>81</v>
      </c>
      <c r="J750" s="56"/>
      <c r="K750" s="56"/>
      <c r="L750" s="56"/>
      <c r="M750" s="56"/>
      <c r="N750" s="56" t="s">
        <v>70</v>
      </c>
      <c r="O750" s="51" t="b">
        <v>0</v>
      </c>
      <c r="P750" s="51" t="b">
        <v>0</v>
      </c>
      <c r="Q750" s="51" t="b">
        <v>0</v>
      </c>
      <c r="R750" s="51" t="b">
        <v>0</v>
      </c>
      <c r="S750" s="51" t="b">
        <v>0</v>
      </c>
      <c r="T750" s="56"/>
    </row>
    <row r="751">
      <c r="A751" s="4" t="str">
        <f>IFERROR(__xludf.DUMMYFUNCTION("""COMPUTED_VALUE"""),"826 - Channel")</f>
        <v>826 - Channel</v>
      </c>
      <c r="B751" s="4" t="s">
        <v>19</v>
      </c>
      <c r="C751" s="4" t="s">
        <v>66</v>
      </c>
      <c r="D751" s="6">
        <v>0.5311574074074074</v>
      </c>
      <c r="E751" s="6">
        <v>0.00931712962962963</v>
      </c>
      <c r="F751" s="6">
        <v>0.540474537037037</v>
      </c>
      <c r="G751" s="4" t="s">
        <v>164</v>
      </c>
      <c r="H751" s="4" t="s">
        <v>74</v>
      </c>
      <c r="I751" s="4" t="s">
        <v>1062</v>
      </c>
      <c r="J751" s="4" t="s">
        <v>1063</v>
      </c>
      <c r="K751" s="4" t="s">
        <v>1064</v>
      </c>
      <c r="L751" s="4" t="s">
        <v>1065</v>
      </c>
      <c r="M751" s="4"/>
      <c r="N751" s="4" t="s">
        <v>1067</v>
      </c>
      <c r="O751" s="51" t="b">
        <v>0</v>
      </c>
      <c r="P751" s="51" t="b">
        <v>0</v>
      </c>
      <c r="Q751" s="51" t="b">
        <v>0</v>
      </c>
      <c r="R751" s="51" t="b">
        <v>0</v>
      </c>
      <c r="S751" s="51" t="b">
        <v>0</v>
      </c>
    </row>
    <row r="752" hidden="1">
      <c r="A752" s="56" t="str">
        <f>IFERROR(__xludf.DUMMYFUNCTION("""COMPUTED_VALUE"""),"1343 - Channel")</f>
        <v>1343 - Channel</v>
      </c>
      <c r="B752" s="56" t="s">
        <v>19</v>
      </c>
      <c r="C752" s="56" t="s">
        <v>66</v>
      </c>
      <c r="D752" s="57"/>
      <c r="E752" s="57"/>
      <c r="F752" s="57"/>
      <c r="G752" s="56"/>
      <c r="H752" s="56"/>
      <c r="I752" s="56"/>
      <c r="J752" s="56"/>
      <c r="K752" s="56"/>
      <c r="L752" s="56"/>
      <c r="M752" s="56"/>
      <c r="N752" s="56"/>
      <c r="O752" s="51" t="b">
        <v>0</v>
      </c>
      <c r="P752" s="51" t="b">
        <v>0</v>
      </c>
      <c r="Q752" s="51" t="b">
        <v>0</v>
      </c>
      <c r="R752" s="51" t="b">
        <v>0</v>
      </c>
      <c r="S752" s="51" t="b">
        <v>0</v>
      </c>
      <c r="T752" s="56"/>
    </row>
    <row r="753" hidden="1">
      <c r="A753" s="4" t="str">
        <f>IFERROR(__xludf.DUMMYFUNCTION("""COMPUTED_VALUE"""),"836 - Channel")</f>
        <v>836 - Channel</v>
      </c>
      <c r="B753" s="4" t="s">
        <v>19</v>
      </c>
      <c r="C753" s="4" t="s">
        <v>66</v>
      </c>
      <c r="D753" s="6">
        <v>0.5416666666666666</v>
      </c>
      <c r="E753" s="6">
        <v>3.4722222222222224E-4</v>
      </c>
      <c r="F753" s="6">
        <v>0.5420138888888889</v>
      </c>
      <c r="G753" s="4" t="s">
        <v>146</v>
      </c>
      <c r="H753" s="4" t="s">
        <v>81</v>
      </c>
      <c r="I753" s="4" t="s">
        <v>81</v>
      </c>
      <c r="J753" s="4"/>
      <c r="K753" s="4"/>
      <c r="L753" s="4"/>
      <c r="M753" s="4"/>
      <c r="N753" s="4" t="s">
        <v>70</v>
      </c>
      <c r="O753" s="51" t="b">
        <v>0</v>
      </c>
      <c r="P753" s="51" t="b">
        <v>0</v>
      </c>
      <c r="Q753" s="51" t="b">
        <v>0</v>
      </c>
      <c r="R753" s="51" t="b">
        <v>0</v>
      </c>
      <c r="S753" s="51" t="b">
        <v>0</v>
      </c>
    </row>
    <row r="754">
      <c r="A754" s="4" t="str">
        <f>IFERROR(__xludf.DUMMYFUNCTION("""COMPUTED_VALUE"""),"837 - Channel")</f>
        <v>837 - Channel</v>
      </c>
      <c r="B754" s="4" t="s">
        <v>19</v>
      </c>
      <c r="C754" s="4" t="s">
        <v>66</v>
      </c>
      <c r="D754" s="6">
        <v>0.5420138888888889</v>
      </c>
      <c r="E754" s="6">
        <v>0.008067129629629629</v>
      </c>
      <c r="F754" s="6">
        <v>0.5500810185185185</v>
      </c>
      <c r="G754" s="4" t="s">
        <v>146</v>
      </c>
      <c r="H754" s="4" t="s">
        <v>94</v>
      </c>
      <c r="I754" s="4" t="s">
        <v>1069</v>
      </c>
      <c r="J754" s="4" t="s">
        <v>1070</v>
      </c>
      <c r="K754" s="4"/>
      <c r="L754" s="4"/>
      <c r="M754" s="4"/>
      <c r="N754" s="4" t="s">
        <v>1071</v>
      </c>
      <c r="O754" s="51" t="b">
        <v>0</v>
      </c>
      <c r="P754" s="51" t="b">
        <v>0</v>
      </c>
      <c r="Q754" s="51" t="b">
        <v>0</v>
      </c>
      <c r="R754" s="51" t="b">
        <v>0</v>
      </c>
      <c r="S754" s="51" t="b">
        <v>0</v>
      </c>
    </row>
    <row r="755" hidden="1">
      <c r="A755" s="56" t="str">
        <f>IFERROR(__xludf.DUMMYFUNCTION("""COMPUTED_VALUE"""),"833 - Channel")</f>
        <v>833 - Channel</v>
      </c>
      <c r="B755" s="56" t="s">
        <v>19</v>
      </c>
      <c r="C755" s="56" t="s">
        <v>66</v>
      </c>
      <c r="D755" s="57">
        <v>0.5500810185185185</v>
      </c>
      <c r="E755" s="57">
        <v>2.314814814814815E-4</v>
      </c>
      <c r="F755" s="57">
        <v>0.5503125</v>
      </c>
      <c r="G755" s="56" t="s">
        <v>146</v>
      </c>
      <c r="H755" s="56" t="s">
        <v>81</v>
      </c>
      <c r="I755" s="56" t="s">
        <v>81</v>
      </c>
      <c r="J755" s="56"/>
      <c r="K755" s="56"/>
      <c r="L755" s="56"/>
      <c r="M755" s="56"/>
      <c r="N755" s="56" t="s">
        <v>70</v>
      </c>
      <c r="O755" s="51" t="b">
        <v>0</v>
      </c>
      <c r="P755" s="51" t="b">
        <v>0</v>
      </c>
      <c r="Q755" s="51" t="b">
        <v>0</v>
      </c>
      <c r="R755" s="51" t="b">
        <v>0</v>
      </c>
      <c r="S755" s="51" t="b">
        <v>0</v>
      </c>
      <c r="T755" s="56"/>
    </row>
    <row r="756">
      <c r="A756" s="4" t="str">
        <f>IFERROR(__xludf.DUMMYFUNCTION("""COMPUTED_VALUE"""),"834 - Channel")</f>
        <v>834 - Channel</v>
      </c>
      <c r="B756" s="4" t="s">
        <v>19</v>
      </c>
      <c r="C756" s="4" t="s">
        <v>66</v>
      </c>
      <c r="D756" s="6">
        <v>0.5503125</v>
      </c>
      <c r="E756" s="6">
        <v>0.010416666666666666</v>
      </c>
      <c r="F756" s="6">
        <v>0.5607291666666666</v>
      </c>
      <c r="G756" s="4" t="s">
        <v>146</v>
      </c>
      <c r="H756" s="4" t="s">
        <v>94</v>
      </c>
      <c r="I756" s="4" t="s">
        <v>1073</v>
      </c>
      <c r="J756" s="4" t="s">
        <v>1074</v>
      </c>
      <c r="K756" s="4"/>
      <c r="L756" s="4"/>
      <c r="M756" s="4"/>
      <c r="N756" s="4" t="s">
        <v>1075</v>
      </c>
      <c r="O756" s="51" t="b">
        <v>0</v>
      </c>
      <c r="P756" s="51" t="b">
        <v>0</v>
      </c>
      <c r="Q756" s="51" t="b">
        <v>0</v>
      </c>
      <c r="R756" s="51" t="b">
        <v>0</v>
      </c>
      <c r="S756" s="51" t="b">
        <v>0</v>
      </c>
    </row>
    <row r="757" hidden="1">
      <c r="A757" s="4" t="str">
        <f>IFERROR(__xludf.DUMMYFUNCTION("""COMPUTED_VALUE"""),"1382 - Channel")</f>
        <v>1382 - Channel</v>
      </c>
      <c r="B757" s="4" t="s">
        <v>19</v>
      </c>
      <c r="C757" s="4" t="s">
        <v>66</v>
      </c>
      <c r="D757" s="6">
        <v>0.5607291666666666</v>
      </c>
      <c r="E757" s="6">
        <v>3.4722222222222224E-4</v>
      </c>
      <c r="F757" s="6">
        <v>0.5610763888888889</v>
      </c>
      <c r="G757" s="4" t="s">
        <v>146</v>
      </c>
      <c r="H757" s="4" t="s">
        <v>81</v>
      </c>
      <c r="I757" s="4" t="s">
        <v>81</v>
      </c>
      <c r="J757" s="4"/>
      <c r="K757" s="4"/>
      <c r="L757" s="4"/>
      <c r="M757" s="4"/>
      <c r="N757" s="4" t="s">
        <v>70</v>
      </c>
      <c r="O757" s="51" t="b">
        <v>0</v>
      </c>
      <c r="P757" s="51" t="b">
        <v>0</v>
      </c>
      <c r="Q757" s="51" t="b">
        <v>0</v>
      </c>
      <c r="R757" s="51" t="b">
        <v>0</v>
      </c>
      <c r="S757" s="51" t="b">
        <v>0</v>
      </c>
    </row>
    <row r="758">
      <c r="A758" s="4" t="str">
        <f>IFERROR(__xludf.DUMMYFUNCTION("""COMPUTED_VALUE"""),"1383 - Channel")</f>
        <v>1383 - Channel</v>
      </c>
      <c r="B758" s="4" t="s">
        <v>19</v>
      </c>
      <c r="C758" s="4" t="s">
        <v>66</v>
      </c>
      <c r="D758" s="6">
        <v>0.5610763888888889</v>
      </c>
      <c r="E758" s="6">
        <v>0.012025462962962963</v>
      </c>
      <c r="F758" s="6">
        <v>0.5731018518518518</v>
      </c>
      <c r="G758" s="4" t="s">
        <v>146</v>
      </c>
      <c r="H758" s="4" t="s">
        <v>94</v>
      </c>
      <c r="I758" s="4" t="s">
        <v>1078</v>
      </c>
      <c r="J758" s="4" t="s">
        <v>1079</v>
      </c>
      <c r="K758" s="4"/>
      <c r="L758" s="4"/>
      <c r="M758" s="4"/>
      <c r="N758" s="4" t="s">
        <v>1081</v>
      </c>
      <c r="O758" s="51" t="b">
        <v>0</v>
      </c>
      <c r="P758" s="51" t="b">
        <v>0</v>
      </c>
      <c r="Q758" s="51" t="b">
        <v>0</v>
      </c>
      <c r="R758" s="51" t="b">
        <v>0</v>
      </c>
      <c r="S758" s="51" t="b">
        <v>0</v>
      </c>
    </row>
    <row r="759" hidden="1">
      <c r="A759" s="4" t="str">
        <f>IFERROR(__xludf.DUMMYFUNCTION("""COMPUTED_VALUE"""),"1384 - Channel ")</f>
        <v>1384 - Channel </v>
      </c>
      <c r="B759" s="4" t="s">
        <v>19</v>
      </c>
      <c r="C759" s="4" t="s">
        <v>66</v>
      </c>
      <c r="D759" s="6">
        <v>0.5731018518518518</v>
      </c>
      <c r="E759" s="6">
        <v>1.7361111111111112E-4</v>
      </c>
      <c r="F759" s="6">
        <v>0.573275462962963</v>
      </c>
      <c r="G759" s="4"/>
      <c r="H759" s="4" t="s">
        <v>85</v>
      </c>
      <c r="I759" s="4" t="s">
        <v>1082</v>
      </c>
      <c r="J759" s="4"/>
      <c r="K759" s="4"/>
      <c r="L759" s="4"/>
      <c r="M759" s="4"/>
      <c r="N759" s="4"/>
      <c r="O759" s="51" t="b">
        <v>0</v>
      </c>
      <c r="P759" s="51" t="b">
        <v>0</v>
      </c>
      <c r="Q759" s="51" t="b">
        <v>0</v>
      </c>
      <c r="R759" s="51" t="b">
        <v>0</v>
      </c>
      <c r="S759" s="51" t="b">
        <v>0</v>
      </c>
    </row>
    <row r="760">
      <c r="A760" s="56" t="str">
        <f>IFERROR(__xludf.DUMMYFUNCTION("""COMPUTED_VALUE"""),"1566 - Channel")</f>
        <v>1566 - Channel</v>
      </c>
      <c r="B760" s="56" t="s">
        <v>19</v>
      </c>
      <c r="C760" s="56" t="s">
        <v>66</v>
      </c>
      <c r="D760" s="57">
        <v>0.573275462962963</v>
      </c>
      <c r="E760" s="57">
        <v>1.7361111111111112E-4</v>
      </c>
      <c r="F760" s="57">
        <v>0.5734490740740741</v>
      </c>
      <c r="G760" s="56"/>
      <c r="H760" s="56" t="s">
        <v>77</v>
      </c>
      <c r="I760" s="56" t="s">
        <v>77</v>
      </c>
      <c r="J760" s="56"/>
      <c r="K760" s="56"/>
      <c r="L760" s="56"/>
      <c r="M760" s="56"/>
      <c r="N760" s="56"/>
      <c r="O760" s="51" t="b">
        <v>0</v>
      </c>
      <c r="P760" s="51" t="b">
        <v>0</v>
      </c>
      <c r="Q760" s="51" t="b">
        <v>0</v>
      </c>
      <c r="R760" s="51" t="b">
        <v>0</v>
      </c>
      <c r="S760" s="51" t="b">
        <v>0</v>
      </c>
      <c r="T760" s="56"/>
    </row>
    <row r="761" hidden="1">
      <c r="A761" s="4" t="str">
        <f>IFERROR(__xludf.DUMMYFUNCTION("""COMPUTED_VALUE"""),"839 - Channel")</f>
        <v>839 - Channel</v>
      </c>
      <c r="B761" s="4" t="s">
        <v>19</v>
      </c>
      <c r="C761" s="4" t="s">
        <v>66</v>
      </c>
      <c r="D761" s="6">
        <v>0.5734490740740741</v>
      </c>
      <c r="E761" s="6">
        <v>2.314814814814815E-4</v>
      </c>
      <c r="F761" s="6">
        <v>0.5736805555555555</v>
      </c>
      <c r="G761" s="4" t="s">
        <v>146</v>
      </c>
      <c r="H761" s="4" t="s">
        <v>81</v>
      </c>
      <c r="I761" s="4" t="s">
        <v>81</v>
      </c>
      <c r="J761" s="4"/>
      <c r="K761" s="4"/>
      <c r="L761" s="4"/>
      <c r="M761" s="4"/>
      <c r="N761" s="4" t="s">
        <v>70</v>
      </c>
      <c r="O761" s="51" t="b">
        <v>0</v>
      </c>
      <c r="P761" s="51" t="b">
        <v>0</v>
      </c>
      <c r="Q761" s="51" t="b">
        <v>0</v>
      </c>
      <c r="R761" s="51" t="b">
        <v>0</v>
      </c>
      <c r="S761" s="51" t="b">
        <v>0</v>
      </c>
    </row>
    <row r="762">
      <c r="A762" s="56" t="str">
        <f>IFERROR(__xludf.DUMMYFUNCTION("""COMPUTED_VALUE"""),"840 - Channel")</f>
        <v>840 - Channel</v>
      </c>
      <c r="B762" s="56" t="s">
        <v>19</v>
      </c>
      <c r="C762" s="56" t="s">
        <v>66</v>
      </c>
      <c r="D762" s="57">
        <v>0.5736805555555555</v>
      </c>
      <c r="E762" s="57">
        <v>0.009097222222222222</v>
      </c>
      <c r="F762" s="57">
        <v>0.5827777777777777</v>
      </c>
      <c r="G762" s="56" t="s">
        <v>146</v>
      </c>
      <c r="H762" s="56" t="s">
        <v>94</v>
      </c>
      <c r="I762" s="56" t="s">
        <v>1085</v>
      </c>
      <c r="J762" s="56" t="s">
        <v>1086</v>
      </c>
      <c r="K762" s="56"/>
      <c r="L762" s="56"/>
      <c r="M762" s="56"/>
      <c r="N762" s="56" t="s">
        <v>1087</v>
      </c>
      <c r="O762" s="51" t="b">
        <v>0</v>
      </c>
      <c r="P762" s="51" t="b">
        <v>0</v>
      </c>
      <c r="Q762" s="51" t="b">
        <v>0</v>
      </c>
      <c r="R762" s="51" t="b">
        <v>0</v>
      </c>
      <c r="S762" s="51" t="b">
        <v>0</v>
      </c>
      <c r="T762" s="56"/>
    </row>
    <row r="763" hidden="1">
      <c r="A763" s="4" t="str">
        <f>IFERROR(__xludf.DUMMYFUNCTION("""COMPUTED_VALUE"""),"1561 - Channel")</f>
        <v>1561 - Channel</v>
      </c>
      <c r="B763" s="4" t="s">
        <v>19</v>
      </c>
      <c r="C763" s="4" t="s">
        <v>66</v>
      </c>
      <c r="D763" s="6"/>
      <c r="E763" s="6"/>
      <c r="F763" s="6"/>
      <c r="G763" s="4"/>
      <c r="H763" s="4"/>
      <c r="I763" s="4"/>
      <c r="J763" s="4"/>
      <c r="K763" s="4"/>
      <c r="L763" s="4"/>
      <c r="M763" s="4"/>
      <c r="N763" s="4"/>
      <c r="O763" s="51" t="b">
        <v>0</v>
      </c>
      <c r="P763" s="51" t="b">
        <v>0</v>
      </c>
      <c r="Q763" s="51" t="b">
        <v>0</v>
      </c>
      <c r="R763" s="51" t="b">
        <v>0</v>
      </c>
      <c r="S763" s="51" t="b">
        <v>0</v>
      </c>
    </row>
    <row r="764" hidden="1">
      <c r="A764" s="4" t="str">
        <f>IFERROR(__xludf.DUMMYFUNCTION("""COMPUTED_VALUE"""),"843 - Channel")</f>
        <v>843 - Channel</v>
      </c>
      <c r="B764" s="4" t="s">
        <v>19</v>
      </c>
      <c r="C764" s="4" t="s">
        <v>66</v>
      </c>
      <c r="D764" s="6">
        <v>0.5833333333333334</v>
      </c>
      <c r="E764" s="6">
        <v>1.9675925925925926E-4</v>
      </c>
      <c r="F764" s="6">
        <v>0.5835300925925926</v>
      </c>
      <c r="G764" s="4" t="s">
        <v>245</v>
      </c>
      <c r="H764" s="4" t="s">
        <v>506</v>
      </c>
      <c r="I764" s="4" t="s">
        <v>1093</v>
      </c>
      <c r="J764" s="4"/>
      <c r="K764" s="4"/>
      <c r="L764" s="4"/>
      <c r="M764" s="4"/>
      <c r="N764" s="4" t="s">
        <v>70</v>
      </c>
      <c r="O764" s="51" t="b">
        <v>0</v>
      </c>
      <c r="P764" s="51" t="b">
        <v>0</v>
      </c>
      <c r="Q764" s="51" t="b">
        <v>0</v>
      </c>
      <c r="R764" s="51" t="b">
        <v>0</v>
      </c>
      <c r="S764" s="51" t="b">
        <v>0</v>
      </c>
    </row>
    <row r="765" hidden="1">
      <c r="A765" s="56" t="str">
        <f>IFERROR(__xludf.DUMMYFUNCTION("""COMPUTED_VALUE"""),"802 - Channel")</f>
        <v>802 - Channel</v>
      </c>
      <c r="B765" s="56" t="s">
        <v>19</v>
      </c>
      <c r="C765" s="56" t="s">
        <v>66</v>
      </c>
      <c r="D765" s="57">
        <v>0.5835300925925926</v>
      </c>
      <c r="E765" s="57">
        <v>1.7361111111111112E-4</v>
      </c>
      <c r="F765" s="57">
        <v>0.5837037037037037</v>
      </c>
      <c r="G765" s="56" t="s">
        <v>441</v>
      </c>
      <c r="H765" s="56" t="s">
        <v>77</v>
      </c>
      <c r="I765" s="56" t="s">
        <v>1098</v>
      </c>
      <c r="J765" s="56"/>
      <c r="K765" s="56"/>
      <c r="L765" s="56"/>
      <c r="M765" s="56"/>
      <c r="N765" s="56" t="s">
        <v>70</v>
      </c>
      <c r="O765" s="51" t="b">
        <v>0</v>
      </c>
      <c r="P765" s="51" t="b">
        <v>0</v>
      </c>
      <c r="Q765" s="51" t="b">
        <v>0</v>
      </c>
      <c r="R765" s="51" t="b">
        <v>0</v>
      </c>
      <c r="S765" s="51" t="b">
        <v>0</v>
      </c>
      <c r="T765" s="56"/>
    </row>
    <row r="766" hidden="1">
      <c r="A766" s="4" t="str">
        <f>IFERROR(__xludf.DUMMYFUNCTION("""COMPUTED_VALUE"""),"808 - Channel")</f>
        <v>808 - Channel</v>
      </c>
      <c r="B766" s="4" t="s">
        <v>19</v>
      </c>
      <c r="C766" s="4" t="s">
        <v>66</v>
      </c>
      <c r="D766" s="6">
        <v>0.5837037037037037</v>
      </c>
      <c r="E766" s="6">
        <v>2.314814814814815E-4</v>
      </c>
      <c r="F766" s="6">
        <v>0.5839351851851852</v>
      </c>
      <c r="G766" s="4" t="s">
        <v>441</v>
      </c>
      <c r="H766" s="4" t="s">
        <v>81</v>
      </c>
      <c r="I766" s="4" t="s">
        <v>81</v>
      </c>
      <c r="J766" s="4"/>
      <c r="K766" s="4"/>
      <c r="L766" s="4"/>
      <c r="M766" s="4"/>
      <c r="N766" s="4" t="s">
        <v>70</v>
      </c>
      <c r="O766" s="51" t="b">
        <v>0</v>
      </c>
      <c r="P766" s="51" t="b">
        <v>0</v>
      </c>
      <c r="Q766" s="51" t="b">
        <v>0</v>
      </c>
      <c r="R766" s="51" t="b">
        <v>0</v>
      </c>
      <c r="S766" s="51" t="b">
        <v>0</v>
      </c>
    </row>
    <row r="767">
      <c r="A767" s="4" t="str">
        <f>IFERROR(__xludf.DUMMYFUNCTION("""COMPUTED_VALUE"""),"809 - Channel")</f>
        <v>809 - Channel</v>
      </c>
      <c r="B767" s="4" t="s">
        <v>19</v>
      </c>
      <c r="C767" s="4" t="s">
        <v>66</v>
      </c>
      <c r="D767" s="6">
        <v>0.5839351851851852</v>
      </c>
      <c r="E767" s="6">
        <v>0.009791666666666667</v>
      </c>
      <c r="F767" s="6">
        <v>0.5937268518518518</v>
      </c>
      <c r="G767" s="4" t="s">
        <v>441</v>
      </c>
      <c r="H767" s="4" t="s">
        <v>165</v>
      </c>
      <c r="I767" s="4" t="s">
        <v>1099</v>
      </c>
      <c r="J767" s="4" t="s">
        <v>1100</v>
      </c>
      <c r="K767" s="4"/>
      <c r="L767" s="4"/>
      <c r="M767" s="4"/>
      <c r="N767" s="4" t="s">
        <v>70</v>
      </c>
      <c r="O767" s="51" t="b">
        <v>0</v>
      </c>
      <c r="P767" s="51" t="b">
        <v>0</v>
      </c>
      <c r="Q767" s="51" t="b">
        <v>0</v>
      </c>
      <c r="R767" s="51" t="b">
        <v>0</v>
      </c>
      <c r="S767" s="51" t="b">
        <v>0</v>
      </c>
    </row>
    <row r="768" hidden="1">
      <c r="A768" s="56" t="str">
        <f>IFERROR(__xludf.DUMMYFUNCTION("""COMPUTED_VALUE"""),"847 - Channel")</f>
        <v>847 - Channel</v>
      </c>
      <c r="B768" s="56" t="s">
        <v>19</v>
      </c>
      <c r="C768" s="56" t="s">
        <v>66</v>
      </c>
      <c r="D768" s="57">
        <v>0.5937268518518518</v>
      </c>
      <c r="E768" s="57">
        <v>6.944444444444445E-4</v>
      </c>
      <c r="F768" s="57">
        <v>0.5944212962962963</v>
      </c>
      <c r="G768" s="56" t="s">
        <v>245</v>
      </c>
      <c r="H768" s="56" t="s">
        <v>103</v>
      </c>
      <c r="I768" s="56" t="s">
        <v>103</v>
      </c>
      <c r="J768" s="56"/>
      <c r="K768" s="56"/>
      <c r="L768" s="56"/>
      <c r="M768" s="56"/>
      <c r="N768" s="56" t="s">
        <v>70</v>
      </c>
      <c r="O768" s="51" t="b">
        <v>0</v>
      </c>
      <c r="P768" s="51" t="b">
        <v>0</v>
      </c>
      <c r="Q768" s="51" t="b">
        <v>0</v>
      </c>
      <c r="R768" s="51" t="b">
        <v>0</v>
      </c>
      <c r="S768" s="51" t="b">
        <v>0</v>
      </c>
      <c r="T768" s="56"/>
    </row>
    <row r="769" hidden="1">
      <c r="A769" s="4" t="str">
        <f>IFERROR(__xludf.DUMMYFUNCTION("""COMPUTED_VALUE"""),"848 - Channel")</f>
        <v>848 - Channel</v>
      </c>
      <c r="B769" s="4" t="s">
        <v>19</v>
      </c>
      <c r="C769" s="4" t="s">
        <v>66</v>
      </c>
      <c r="D769" s="6">
        <v>0.5944212962962963</v>
      </c>
      <c r="E769" s="6">
        <v>2.314814814814815E-4</v>
      </c>
      <c r="F769" s="6">
        <v>0.5946527777777777</v>
      </c>
      <c r="G769" s="4" t="s">
        <v>245</v>
      </c>
      <c r="H769" s="4" t="s">
        <v>81</v>
      </c>
      <c r="I769" s="4" t="s">
        <v>81</v>
      </c>
      <c r="J769" s="4"/>
      <c r="K769" s="4"/>
      <c r="L769" s="4"/>
      <c r="M769" s="4"/>
      <c r="N769" s="4" t="s">
        <v>70</v>
      </c>
      <c r="O769" s="51" t="b">
        <v>0</v>
      </c>
      <c r="P769" s="51" t="b">
        <v>0</v>
      </c>
      <c r="Q769" s="51" t="b">
        <v>0</v>
      </c>
      <c r="R769" s="51" t="b">
        <v>0</v>
      </c>
      <c r="S769" s="51" t="b">
        <v>0</v>
      </c>
    </row>
    <row r="770">
      <c r="A770" s="4" t="str">
        <f>IFERROR(__xludf.DUMMYFUNCTION("""COMPUTED_VALUE"""),"849 - Channel")</f>
        <v>849 - Channel</v>
      </c>
      <c r="B770" s="4" t="s">
        <v>19</v>
      </c>
      <c r="C770" s="4" t="s">
        <v>66</v>
      </c>
      <c r="D770" s="6">
        <v>0.5946527777777777</v>
      </c>
      <c r="E770" s="6">
        <v>0.01380787037037037</v>
      </c>
      <c r="F770" s="6">
        <v>0.608460648148148</v>
      </c>
      <c r="G770" s="4" t="s">
        <v>245</v>
      </c>
      <c r="H770" s="4" t="s">
        <v>94</v>
      </c>
      <c r="I770" s="4" t="s">
        <v>1104</v>
      </c>
      <c r="J770" s="4" t="s">
        <v>1106</v>
      </c>
      <c r="K770" s="4"/>
      <c r="L770" s="4"/>
      <c r="M770" s="4"/>
      <c r="N770" s="4" t="s">
        <v>1108</v>
      </c>
      <c r="O770" s="51" t="b">
        <v>0</v>
      </c>
      <c r="P770" s="51" t="b">
        <v>0</v>
      </c>
      <c r="Q770" s="51" t="b">
        <v>0</v>
      </c>
      <c r="R770" s="51" t="b">
        <v>0</v>
      </c>
      <c r="S770" s="51" t="b">
        <v>0</v>
      </c>
    </row>
    <row r="771" hidden="1">
      <c r="A771" s="56" t="str">
        <f>IFERROR(__xludf.DUMMYFUNCTION("""COMPUTED_VALUE"""),"850 - Channel")</f>
        <v>850 - Channel</v>
      </c>
      <c r="B771" s="56" t="s">
        <v>19</v>
      </c>
      <c r="C771" s="56" t="s">
        <v>66</v>
      </c>
      <c r="D771" s="57">
        <v>0.608460648148148</v>
      </c>
      <c r="E771" s="57">
        <v>1.7361111111111112E-4</v>
      </c>
      <c r="F771" s="57">
        <v>0.6086342592592592</v>
      </c>
      <c r="G771" s="56"/>
      <c r="H771" s="56" t="s">
        <v>85</v>
      </c>
      <c r="I771" s="56" t="s">
        <v>1082</v>
      </c>
      <c r="J771" s="56"/>
      <c r="K771" s="56"/>
      <c r="L771" s="56"/>
      <c r="M771" s="56"/>
      <c r="N771" s="56"/>
      <c r="O771" s="51" t="b">
        <v>0</v>
      </c>
      <c r="P771" s="51" t="b">
        <v>0</v>
      </c>
      <c r="Q771" s="51" t="b">
        <v>0</v>
      </c>
      <c r="R771" s="51" t="b">
        <v>0</v>
      </c>
      <c r="S771" s="51" t="b">
        <v>0</v>
      </c>
      <c r="T771" s="56"/>
    </row>
    <row r="772">
      <c r="A772" s="4" t="str">
        <f>IFERROR(__xludf.DUMMYFUNCTION("""COMPUTED_VALUE"""),"1673 - Channel")</f>
        <v>1673 - Channel</v>
      </c>
      <c r="B772" s="4" t="s">
        <v>19</v>
      </c>
      <c r="C772" s="4" t="s">
        <v>66</v>
      </c>
      <c r="D772" s="6">
        <v>0.6086342592592592</v>
      </c>
      <c r="E772" s="6">
        <v>3.4722222222222224E-4</v>
      </c>
      <c r="F772" s="6">
        <v>0.6089814814814815</v>
      </c>
      <c r="G772" s="4"/>
      <c r="H772" s="4" t="s">
        <v>87</v>
      </c>
      <c r="I772" s="4" t="s">
        <v>87</v>
      </c>
      <c r="J772" s="4"/>
      <c r="K772" s="4"/>
      <c r="L772" s="4"/>
      <c r="M772" s="4"/>
      <c r="N772" s="4"/>
      <c r="O772" s="51" t="b">
        <v>0</v>
      </c>
      <c r="P772" s="51" t="b">
        <v>0</v>
      </c>
      <c r="Q772" s="51" t="b">
        <v>0</v>
      </c>
      <c r="R772" s="51" t="b">
        <v>0</v>
      </c>
      <c r="S772" s="51" t="b">
        <v>0</v>
      </c>
    </row>
    <row r="773" hidden="1">
      <c r="A773" s="4" t="str">
        <f>IFERROR(__xludf.DUMMYFUNCTION("""COMPUTED_VALUE"""),"864 - Channel")</f>
        <v>864 - Channel</v>
      </c>
      <c r="B773" s="4" t="s">
        <v>19</v>
      </c>
      <c r="C773" s="4" t="s">
        <v>66</v>
      </c>
      <c r="D773" s="6">
        <v>0.6089814814814815</v>
      </c>
      <c r="E773" s="6">
        <v>2.4305555555555555E-4</v>
      </c>
      <c r="F773" s="6">
        <v>0.609224537037037</v>
      </c>
      <c r="G773" s="4" t="s">
        <v>1040</v>
      </c>
      <c r="H773" s="4" t="s">
        <v>506</v>
      </c>
      <c r="I773" s="4" t="s">
        <v>1112</v>
      </c>
      <c r="J773" s="4"/>
      <c r="K773" s="4"/>
      <c r="L773" s="4"/>
      <c r="M773" s="4"/>
      <c r="N773" s="4" t="s">
        <v>70</v>
      </c>
      <c r="O773" s="51" t="b">
        <v>0</v>
      </c>
      <c r="P773" s="51" t="b">
        <v>0</v>
      </c>
      <c r="Q773" s="51" t="b">
        <v>0</v>
      </c>
      <c r="R773" s="51" t="b">
        <v>0</v>
      </c>
      <c r="S773" s="51" t="b">
        <v>0</v>
      </c>
    </row>
    <row r="774" hidden="1">
      <c r="A774" s="4" t="str">
        <f>IFERROR(__xludf.DUMMYFUNCTION("""COMPUTED_VALUE"""),"1042 - Channel")</f>
        <v>1042 - Channel</v>
      </c>
      <c r="B774" s="4" t="s">
        <v>19</v>
      </c>
      <c r="C774" s="4" t="s">
        <v>66</v>
      </c>
      <c r="D774" s="6">
        <v>0.609224537037037</v>
      </c>
      <c r="E774" s="6">
        <v>2.314814814814815E-4</v>
      </c>
      <c r="F774" s="6">
        <v>0.6094560185185185</v>
      </c>
      <c r="G774" s="4" t="s">
        <v>1017</v>
      </c>
      <c r="H774" s="4" t="s">
        <v>81</v>
      </c>
      <c r="I774" s="4" t="s">
        <v>81</v>
      </c>
      <c r="J774" s="4"/>
      <c r="K774" s="4"/>
      <c r="L774" s="4"/>
      <c r="M774" s="4"/>
      <c r="N774" s="4" t="s">
        <v>70</v>
      </c>
      <c r="O774" s="51" t="b">
        <v>0</v>
      </c>
      <c r="P774" s="51" t="b">
        <v>0</v>
      </c>
      <c r="Q774" s="51" t="b">
        <v>0</v>
      </c>
      <c r="R774" s="51" t="b">
        <v>0</v>
      </c>
      <c r="S774" s="51" t="b">
        <v>0</v>
      </c>
    </row>
    <row r="775">
      <c r="A775" s="4" t="str">
        <f>IFERROR(__xludf.DUMMYFUNCTION("""COMPUTED_VALUE"""),"1043 - Channel")</f>
        <v>1043 - Channel</v>
      </c>
      <c r="B775" s="4" t="s">
        <v>19</v>
      </c>
      <c r="C775" s="4" t="s">
        <v>66</v>
      </c>
      <c r="D775" s="6">
        <v>0.6094560185185185</v>
      </c>
      <c r="E775" s="6">
        <v>0.013888888888888888</v>
      </c>
      <c r="F775" s="6">
        <v>0.6233449074074073</v>
      </c>
      <c r="G775" s="4" t="s">
        <v>1017</v>
      </c>
      <c r="H775" s="4" t="s">
        <v>94</v>
      </c>
      <c r="I775" s="4" t="s">
        <v>1114</v>
      </c>
      <c r="J775" s="4" t="s">
        <v>1115</v>
      </c>
      <c r="K775" s="4"/>
      <c r="L775" s="4"/>
      <c r="M775" s="4"/>
      <c r="N775" s="4" t="s">
        <v>1116</v>
      </c>
      <c r="O775" s="51" t="b">
        <v>0</v>
      </c>
      <c r="P775" s="51" t="b">
        <v>0</v>
      </c>
      <c r="Q775" s="51" t="b">
        <v>0</v>
      </c>
      <c r="R775" s="51" t="b">
        <v>0</v>
      </c>
      <c r="S775" s="51" t="b">
        <v>0</v>
      </c>
    </row>
    <row r="776" hidden="1">
      <c r="A776" s="56" t="str">
        <f>IFERROR(__xludf.DUMMYFUNCTION("""COMPUTED_VALUE"""),"857 - Channel")</f>
        <v>857 - Channel</v>
      </c>
      <c r="B776" s="56" t="s">
        <v>19</v>
      </c>
      <c r="C776" s="56" t="s">
        <v>66</v>
      </c>
      <c r="D776" s="57">
        <v>0.6233449074074073</v>
      </c>
      <c r="E776" s="57">
        <v>5.208333333333333E-4</v>
      </c>
      <c r="F776" s="57">
        <v>0.6238657407407406</v>
      </c>
      <c r="G776" s="56" t="s">
        <v>245</v>
      </c>
      <c r="H776" s="56" t="s">
        <v>79</v>
      </c>
      <c r="I776" s="56" t="s">
        <v>79</v>
      </c>
      <c r="J776" s="56"/>
      <c r="K776" s="56"/>
      <c r="L776" s="56"/>
      <c r="M776" s="56"/>
      <c r="N776" s="56" t="s">
        <v>70</v>
      </c>
      <c r="O776" s="51" t="b">
        <v>0</v>
      </c>
      <c r="P776" s="51" t="b">
        <v>0</v>
      </c>
      <c r="Q776" s="51" t="b">
        <v>0</v>
      </c>
      <c r="R776" s="51" t="b">
        <v>0</v>
      </c>
      <c r="S776" s="51" t="b">
        <v>0</v>
      </c>
      <c r="T776" s="56"/>
    </row>
    <row r="777" hidden="1">
      <c r="A777" s="4" t="str">
        <f>IFERROR(__xludf.DUMMYFUNCTION("""COMPUTED_VALUE"""),"1574 - Channel")</f>
        <v>1574 - Channel</v>
      </c>
      <c r="B777" s="4" t="s">
        <v>19</v>
      </c>
      <c r="C777" s="4" t="s">
        <v>66</v>
      </c>
      <c r="D777" s="6">
        <v>0.6238657407407406</v>
      </c>
      <c r="E777" s="6">
        <v>3.4722222222222224E-4</v>
      </c>
      <c r="F777" s="6">
        <v>0.6242129629629629</v>
      </c>
      <c r="G777" s="4"/>
      <c r="H777" s="4" t="s">
        <v>77</v>
      </c>
      <c r="I777" s="4" t="s">
        <v>1009</v>
      </c>
      <c r="J777" s="4"/>
      <c r="K777" s="4"/>
      <c r="L777" s="4"/>
      <c r="M777" s="4"/>
      <c r="N777" s="4"/>
      <c r="O777" s="51" t="b">
        <v>0</v>
      </c>
      <c r="P777" s="51" t="b">
        <v>0</v>
      </c>
      <c r="Q777" s="51" t="b">
        <v>0</v>
      </c>
      <c r="R777" s="51" t="b">
        <v>0</v>
      </c>
      <c r="S777" s="51" t="b">
        <v>0</v>
      </c>
    </row>
    <row r="778" hidden="1">
      <c r="A778" s="4" t="str">
        <f>IFERROR(__xludf.DUMMYFUNCTION("""COMPUTED_VALUE"""),"1643 - Channel")</f>
        <v>1643 - Channel</v>
      </c>
      <c r="B778" s="4"/>
      <c r="C778" s="4"/>
      <c r="D778" s="6"/>
      <c r="E778" s="6"/>
      <c r="F778" s="6"/>
      <c r="G778" s="4"/>
      <c r="H778" s="4"/>
      <c r="I778" s="4"/>
      <c r="J778" s="4"/>
      <c r="K778" s="4"/>
      <c r="L778" s="4"/>
      <c r="M778" s="4"/>
      <c r="N778" s="4"/>
      <c r="O778" s="51" t="b">
        <v>0</v>
      </c>
      <c r="P778" s="51" t="b">
        <v>0</v>
      </c>
      <c r="Q778" s="51" t="b">
        <v>0</v>
      </c>
      <c r="R778" s="51" t="b">
        <v>0</v>
      </c>
      <c r="S778" s="51" t="b">
        <v>0</v>
      </c>
    </row>
    <row r="779" hidden="1">
      <c r="A779" s="56" t="str">
        <f>IFERROR(__xludf.DUMMYFUNCTION("""COMPUTED_VALUE"""),"858 - Channel")</f>
        <v>858 - Channel</v>
      </c>
      <c r="B779" s="56" t="s">
        <v>19</v>
      </c>
      <c r="C779" s="56" t="s">
        <v>66</v>
      </c>
      <c r="D779" s="57">
        <v>0.625</v>
      </c>
      <c r="E779" s="57">
        <v>3.4722222222222224E-4</v>
      </c>
      <c r="F779" s="57">
        <v>0.6253472222222223</v>
      </c>
      <c r="G779" s="56" t="s">
        <v>1040</v>
      </c>
      <c r="H779" s="56" t="s">
        <v>81</v>
      </c>
      <c r="I779" s="56" t="s">
        <v>81</v>
      </c>
      <c r="J779" s="56"/>
      <c r="K779" s="56"/>
      <c r="L779" s="56"/>
      <c r="M779" s="56"/>
      <c r="N779" s="56" t="s">
        <v>70</v>
      </c>
      <c r="O779" s="51" t="b">
        <v>0</v>
      </c>
      <c r="P779" s="51" t="b">
        <v>0</v>
      </c>
      <c r="Q779" s="51" t="b">
        <v>0</v>
      </c>
      <c r="R779" s="51" t="b">
        <v>0</v>
      </c>
      <c r="S779" s="51" t="b">
        <v>0</v>
      </c>
      <c r="T779" s="56"/>
    </row>
    <row r="780">
      <c r="A780" s="4" t="str">
        <f>IFERROR(__xludf.DUMMYFUNCTION("""COMPUTED_VALUE"""),"859 - Channel")</f>
        <v>859 - Channel</v>
      </c>
      <c r="B780" s="4" t="s">
        <v>19</v>
      </c>
      <c r="C780" s="4" t="s">
        <v>66</v>
      </c>
      <c r="D780" s="6">
        <v>0.6253472222222223</v>
      </c>
      <c r="E780" s="6">
        <v>0.009953703703703704</v>
      </c>
      <c r="F780" s="6">
        <v>0.635300925925926</v>
      </c>
      <c r="G780" s="4" t="s">
        <v>1040</v>
      </c>
      <c r="H780" s="4" t="s">
        <v>107</v>
      </c>
      <c r="I780" s="4" t="s">
        <v>1122</v>
      </c>
      <c r="J780" s="4" t="s">
        <v>1123</v>
      </c>
      <c r="K780" s="4" t="s">
        <v>1124</v>
      </c>
      <c r="L780" s="4"/>
      <c r="M780" s="4"/>
      <c r="N780" s="4" t="s">
        <v>689</v>
      </c>
      <c r="O780" s="51" t="b">
        <v>0</v>
      </c>
      <c r="P780" s="51" t="b">
        <v>0</v>
      </c>
      <c r="Q780" s="51" t="b">
        <v>0</v>
      </c>
      <c r="R780" s="51" t="b">
        <v>0</v>
      </c>
      <c r="S780" s="51" t="b">
        <v>0</v>
      </c>
    </row>
    <row r="781" hidden="1">
      <c r="A781" s="4" t="str">
        <f>IFERROR(__xludf.DUMMYFUNCTION("""COMPUTED_VALUE"""),"861 - Channel")</f>
        <v>861 - Channel</v>
      </c>
      <c r="B781" s="4" t="s">
        <v>19</v>
      </c>
      <c r="C781" s="4" t="s">
        <v>66</v>
      </c>
      <c r="D781" s="6">
        <v>0.635300925925926</v>
      </c>
      <c r="E781" s="6">
        <v>2.314814814814815E-4</v>
      </c>
      <c r="F781" s="6">
        <v>0.6355324074074075</v>
      </c>
      <c r="G781" s="4" t="s">
        <v>1040</v>
      </c>
      <c r="H781" s="4" t="s">
        <v>81</v>
      </c>
      <c r="I781" s="4" t="s">
        <v>1127</v>
      </c>
      <c r="J781" s="4"/>
      <c r="K781" s="4"/>
      <c r="L781" s="4"/>
      <c r="M781" s="4"/>
      <c r="N781" s="4" t="s">
        <v>70</v>
      </c>
      <c r="O781" s="51" t="b">
        <v>0</v>
      </c>
      <c r="P781" s="51" t="b">
        <v>0</v>
      </c>
      <c r="Q781" s="51" t="b">
        <v>0</v>
      </c>
      <c r="R781" s="51" t="b">
        <v>0</v>
      </c>
      <c r="S781" s="51" t="b">
        <v>0</v>
      </c>
    </row>
    <row r="782">
      <c r="A782" s="56" t="str">
        <f>IFERROR(__xludf.DUMMYFUNCTION("""COMPUTED_VALUE"""),"862 - Channel")</f>
        <v>862 - Channel</v>
      </c>
      <c r="B782" s="56" t="s">
        <v>19</v>
      </c>
      <c r="C782" s="56" t="s">
        <v>66</v>
      </c>
      <c r="D782" s="57">
        <v>0.6355324074074075</v>
      </c>
      <c r="E782" s="57">
        <v>0.0021527777777777778</v>
      </c>
      <c r="F782" s="57">
        <v>0.6376851851851852</v>
      </c>
      <c r="G782" s="56" t="s">
        <v>1040</v>
      </c>
      <c r="H782" s="56" t="s">
        <v>165</v>
      </c>
      <c r="I782" s="56" t="s">
        <v>1128</v>
      </c>
      <c r="J782" s="56" t="s">
        <v>1129</v>
      </c>
      <c r="K782" s="56"/>
      <c r="L782" s="56"/>
      <c r="M782" s="56"/>
      <c r="N782" s="56" t="s">
        <v>70</v>
      </c>
      <c r="O782" s="51" t="b">
        <v>0</v>
      </c>
      <c r="P782" s="51" t="b">
        <v>0</v>
      </c>
      <c r="Q782" s="51" t="b">
        <v>0</v>
      </c>
      <c r="R782" s="51" t="b">
        <v>0</v>
      </c>
      <c r="S782" s="51" t="b">
        <v>0</v>
      </c>
      <c r="T782" s="56"/>
    </row>
    <row r="783" hidden="1">
      <c r="A783" s="4" t="str">
        <f>IFERROR(__xludf.DUMMYFUNCTION("""COMPUTED_VALUE"""),"851 - Channel")</f>
        <v>851 - Channel</v>
      </c>
      <c r="B783" s="4" t="s">
        <v>19</v>
      </c>
      <c r="C783" s="4" t="s">
        <v>66</v>
      </c>
      <c r="D783" s="6">
        <v>0.6376851851851852</v>
      </c>
      <c r="E783" s="6">
        <v>1.7361111111111112E-4</v>
      </c>
      <c r="F783" s="6">
        <v>0.6378587962962964</v>
      </c>
      <c r="G783" s="4" t="s">
        <v>245</v>
      </c>
      <c r="H783" s="4" t="s">
        <v>77</v>
      </c>
      <c r="I783" s="4" t="s">
        <v>1131</v>
      </c>
      <c r="J783" s="4"/>
      <c r="K783" s="4"/>
      <c r="L783" s="4"/>
      <c r="M783" s="4"/>
      <c r="N783" s="4" t="s">
        <v>70</v>
      </c>
      <c r="O783" s="51" t="b">
        <v>0</v>
      </c>
      <c r="P783" s="51" t="b">
        <v>0</v>
      </c>
      <c r="Q783" s="51" t="b">
        <v>0</v>
      </c>
      <c r="R783" s="51" t="b">
        <v>0</v>
      </c>
      <c r="S783" s="51" t="b">
        <v>0</v>
      </c>
    </row>
    <row r="784" hidden="1">
      <c r="A784" s="4" t="str">
        <f>IFERROR(__xludf.DUMMYFUNCTION("""COMPUTED_VALUE"""),"865 - Channel")</f>
        <v>865 - Channel</v>
      </c>
      <c r="B784" s="4" t="s">
        <v>19</v>
      </c>
      <c r="C784" s="4" t="s">
        <v>66</v>
      </c>
      <c r="D784" s="6">
        <v>0.6378587962962964</v>
      </c>
      <c r="E784" s="6">
        <v>2.314814814814815E-4</v>
      </c>
      <c r="F784" s="6">
        <v>0.6380902777777778</v>
      </c>
      <c r="G784" s="4" t="s">
        <v>1040</v>
      </c>
      <c r="H784" s="4" t="s">
        <v>81</v>
      </c>
      <c r="I784" s="4" t="s">
        <v>81</v>
      </c>
      <c r="J784" s="4"/>
      <c r="K784" s="4"/>
      <c r="L784" s="4"/>
      <c r="M784" s="4"/>
      <c r="N784" s="4" t="s">
        <v>70</v>
      </c>
      <c r="O784" s="51" t="b">
        <v>0</v>
      </c>
      <c r="P784" s="51" t="b">
        <v>0</v>
      </c>
      <c r="Q784" s="51" t="b">
        <v>0</v>
      </c>
      <c r="R784" s="51" t="b">
        <v>0</v>
      </c>
      <c r="S784" s="51" t="b">
        <v>0</v>
      </c>
    </row>
    <row r="785">
      <c r="A785" s="56" t="str">
        <f>IFERROR(__xludf.DUMMYFUNCTION("""COMPUTED_VALUE"""),"866 - Channel")</f>
        <v>866 - Channel</v>
      </c>
      <c r="B785" s="56" t="s">
        <v>19</v>
      </c>
      <c r="C785" s="56" t="s">
        <v>66</v>
      </c>
      <c r="D785" s="57">
        <v>0.6380902777777778</v>
      </c>
      <c r="E785" s="57">
        <v>0.009837962962962963</v>
      </c>
      <c r="F785" s="57">
        <v>0.6479282407407407</v>
      </c>
      <c r="G785" s="56" t="s">
        <v>1040</v>
      </c>
      <c r="H785" s="56" t="s">
        <v>94</v>
      </c>
      <c r="I785" s="56" t="s">
        <v>1133</v>
      </c>
      <c r="J785" s="56" t="s">
        <v>1134</v>
      </c>
      <c r="K785" s="56"/>
      <c r="L785" s="56"/>
      <c r="M785" s="56"/>
      <c r="N785" s="56" t="s">
        <v>342</v>
      </c>
      <c r="O785" s="51" t="b">
        <v>0</v>
      </c>
      <c r="P785" s="51" t="b">
        <v>0</v>
      </c>
      <c r="Q785" s="51" t="b">
        <v>0</v>
      </c>
      <c r="R785" s="51" t="b">
        <v>0</v>
      </c>
      <c r="S785" s="51" t="b">
        <v>0</v>
      </c>
      <c r="T785" s="56"/>
    </row>
    <row r="786" hidden="1">
      <c r="A786" s="4" t="str">
        <f>IFERROR(__xludf.DUMMYFUNCTION("""COMPUTED_VALUE"""),"1672 - Channel")</f>
        <v>1672 - Channel</v>
      </c>
      <c r="B786" s="4" t="s">
        <v>19</v>
      </c>
      <c r="C786" s="4" t="s">
        <v>66</v>
      </c>
      <c r="D786" s="6">
        <v>0.6479282407407407</v>
      </c>
      <c r="E786" s="6">
        <v>0.0010416666666666667</v>
      </c>
      <c r="F786" s="6">
        <v>0.6489699074074075</v>
      </c>
      <c r="G786" s="4"/>
      <c r="H786" s="4" t="s">
        <v>67</v>
      </c>
      <c r="I786" s="4" t="s">
        <v>67</v>
      </c>
      <c r="J786" s="4"/>
      <c r="K786" s="4"/>
      <c r="L786" s="4"/>
      <c r="M786" s="4"/>
      <c r="N786" s="4"/>
      <c r="O786" s="51" t="b">
        <v>0</v>
      </c>
      <c r="P786" s="51" t="b">
        <v>0</v>
      </c>
      <c r="Q786" s="51" t="b">
        <v>0</v>
      </c>
      <c r="R786" s="51" t="b">
        <v>0</v>
      </c>
      <c r="S786" s="51" t="b">
        <v>0</v>
      </c>
    </row>
    <row r="787" hidden="1">
      <c r="A787" s="4" t="str">
        <f>IFERROR(__xludf.DUMMYFUNCTION("""COMPUTED_VALUE"""),"868 - Channel")</f>
        <v>868 - Channel</v>
      </c>
      <c r="B787" s="4" t="s">
        <v>19</v>
      </c>
      <c r="C787" s="4" t="s">
        <v>66</v>
      </c>
      <c r="D787" s="6">
        <v>0.6489699074074075</v>
      </c>
      <c r="E787" s="6">
        <v>2.314814814814815E-4</v>
      </c>
      <c r="F787" s="6">
        <v>0.6492013888888889</v>
      </c>
      <c r="G787" s="4" t="s">
        <v>1040</v>
      </c>
      <c r="H787" s="4" t="s">
        <v>81</v>
      </c>
      <c r="I787" s="4" t="s">
        <v>81</v>
      </c>
      <c r="J787" s="4"/>
      <c r="K787" s="4"/>
      <c r="L787" s="4"/>
      <c r="M787" s="4"/>
      <c r="N787" s="4" t="s">
        <v>70</v>
      </c>
      <c r="O787" s="51" t="b">
        <v>0</v>
      </c>
      <c r="P787" s="51" t="b">
        <v>0</v>
      </c>
      <c r="Q787" s="51" t="b">
        <v>0</v>
      </c>
      <c r="R787" s="51" t="b">
        <v>0</v>
      </c>
      <c r="S787" s="51" t="b">
        <v>0</v>
      </c>
    </row>
    <row r="788">
      <c r="A788" s="4" t="str">
        <f>IFERROR(__xludf.DUMMYFUNCTION("""COMPUTED_VALUE"""),"869 - Channel")</f>
        <v>869 - Channel</v>
      </c>
      <c r="B788" s="4" t="s">
        <v>19</v>
      </c>
      <c r="C788" s="4" t="s">
        <v>66</v>
      </c>
      <c r="D788" s="6">
        <v>0.6492013888888889</v>
      </c>
      <c r="E788" s="6">
        <v>0.007893518518518518</v>
      </c>
      <c r="F788" s="6">
        <v>0.6570949074074074</v>
      </c>
      <c r="G788" s="4" t="s">
        <v>1040</v>
      </c>
      <c r="H788" s="4" t="s">
        <v>94</v>
      </c>
      <c r="I788" s="4" t="s">
        <v>1138</v>
      </c>
      <c r="J788" s="4" t="s">
        <v>1139</v>
      </c>
      <c r="K788" s="4"/>
      <c r="L788" s="4"/>
      <c r="M788" s="4"/>
      <c r="N788" s="4" t="s">
        <v>132</v>
      </c>
      <c r="O788" s="51" t="b">
        <v>0</v>
      </c>
      <c r="P788" s="51" t="b">
        <v>0</v>
      </c>
      <c r="Q788" s="51" t="b">
        <v>0</v>
      </c>
      <c r="R788" s="51" t="b">
        <v>0</v>
      </c>
      <c r="S788" s="51" t="b">
        <v>0</v>
      </c>
    </row>
    <row r="789" hidden="1">
      <c r="A789" s="4" t="str">
        <f>IFERROR(__xludf.DUMMYFUNCTION("""COMPUTED_VALUE"""),"940 - Channel")</f>
        <v>940 - Channel</v>
      </c>
      <c r="B789" s="4" t="s">
        <v>19</v>
      </c>
      <c r="C789" s="4" t="s">
        <v>66</v>
      </c>
      <c r="D789" s="6">
        <v>0.6570949074074074</v>
      </c>
      <c r="E789" s="6">
        <v>3.4722222222222224E-4</v>
      </c>
      <c r="F789" s="6">
        <v>0.6574421296296297</v>
      </c>
      <c r="G789" s="4" t="s">
        <v>275</v>
      </c>
      <c r="H789" s="4" t="s">
        <v>506</v>
      </c>
      <c r="I789" s="4" t="s">
        <v>1141</v>
      </c>
      <c r="J789" s="4"/>
      <c r="K789" s="4"/>
      <c r="L789" s="4"/>
      <c r="M789" s="4"/>
      <c r="N789" s="4" t="s">
        <v>70</v>
      </c>
      <c r="O789" s="51" t="b">
        <v>0</v>
      </c>
      <c r="P789" s="51" t="b">
        <v>0</v>
      </c>
      <c r="Q789" s="51" t="b">
        <v>0</v>
      </c>
      <c r="R789" s="51" t="b">
        <v>0</v>
      </c>
      <c r="S789" s="51" t="b">
        <v>0</v>
      </c>
    </row>
    <row r="790" hidden="1">
      <c r="A790" s="4" t="str">
        <f>IFERROR(__xludf.DUMMYFUNCTION("""COMPUTED_VALUE"""),"871 - Channel")</f>
        <v>871 - Channel</v>
      </c>
      <c r="B790" s="4" t="s">
        <v>19</v>
      </c>
      <c r="C790" s="4" t="s">
        <v>66</v>
      </c>
      <c r="D790" s="6">
        <v>0.6574421296296297</v>
      </c>
      <c r="E790" s="6">
        <v>2.314814814814815E-4</v>
      </c>
      <c r="F790" s="6">
        <v>0.6576736111111111</v>
      </c>
      <c r="G790" s="4" t="s">
        <v>1040</v>
      </c>
      <c r="H790" s="4" t="s">
        <v>81</v>
      </c>
      <c r="I790" s="4" t="s">
        <v>81</v>
      </c>
      <c r="J790" s="4"/>
      <c r="K790" s="4"/>
      <c r="L790" s="4"/>
      <c r="M790" s="4"/>
      <c r="N790" s="4" t="s">
        <v>70</v>
      </c>
      <c r="O790" s="51" t="b">
        <v>0</v>
      </c>
      <c r="P790" s="51" t="b">
        <v>0</v>
      </c>
      <c r="Q790" s="51" t="b">
        <v>0</v>
      </c>
      <c r="R790" s="51" t="b">
        <v>0</v>
      </c>
      <c r="S790" s="51" t="b">
        <v>0</v>
      </c>
    </row>
    <row r="791">
      <c r="A791" s="4" t="str">
        <f>IFERROR(__xludf.DUMMYFUNCTION("""COMPUTED_VALUE"""),"872 - Channel")</f>
        <v>872 - Channel</v>
      </c>
      <c r="B791" s="4" t="s">
        <v>19</v>
      </c>
      <c r="C791" s="4" t="s">
        <v>66</v>
      </c>
      <c r="D791" s="6">
        <v>0.6576736111111111</v>
      </c>
      <c r="E791" s="6">
        <v>0.008518518518518519</v>
      </c>
      <c r="F791" s="6">
        <v>0.6661921296296296</v>
      </c>
      <c r="G791" s="4" t="s">
        <v>1040</v>
      </c>
      <c r="H791" s="4" t="s">
        <v>94</v>
      </c>
      <c r="I791" s="4" t="s">
        <v>1143</v>
      </c>
      <c r="J791" s="4" t="s">
        <v>1144</v>
      </c>
      <c r="K791" s="4" t="s">
        <v>1145</v>
      </c>
      <c r="L791" s="4"/>
      <c r="M791" s="4"/>
      <c r="N791" s="4"/>
      <c r="O791" s="51" t="b">
        <v>0</v>
      </c>
      <c r="P791" s="51" t="b">
        <v>0</v>
      </c>
      <c r="Q791" s="51" t="b">
        <v>0</v>
      </c>
      <c r="R791" s="51" t="b">
        <v>0</v>
      </c>
      <c r="S791" s="51" t="b">
        <v>0</v>
      </c>
    </row>
    <row r="792" hidden="1">
      <c r="A792" s="4" t="str">
        <f>IFERROR(__xludf.DUMMYFUNCTION("""COMPUTED_VALUE"""),"856 - Channel")</f>
        <v>856 - Channel</v>
      </c>
      <c r="B792" s="4" t="s">
        <v>19</v>
      </c>
      <c r="C792" s="4" t="s">
        <v>66</v>
      </c>
      <c r="D792" s="6">
        <v>0.6661921296296296</v>
      </c>
      <c r="E792" s="6">
        <v>1.9675925925925926E-4</v>
      </c>
      <c r="F792" s="6">
        <v>0.6663888888888888</v>
      </c>
      <c r="G792" s="4" t="s">
        <v>245</v>
      </c>
      <c r="H792" s="4" t="s">
        <v>506</v>
      </c>
      <c r="I792" s="4" t="s">
        <v>1146</v>
      </c>
      <c r="J792" s="4"/>
      <c r="K792" s="4"/>
      <c r="L792" s="4"/>
      <c r="M792" s="4"/>
      <c r="N792" s="4" t="s">
        <v>70</v>
      </c>
      <c r="O792" s="51" t="b">
        <v>0</v>
      </c>
      <c r="P792" s="51" t="b">
        <v>0</v>
      </c>
      <c r="Q792" s="51" t="b">
        <v>0</v>
      </c>
      <c r="R792" s="51" t="b">
        <v>0</v>
      </c>
      <c r="S792" s="51" t="b">
        <v>0</v>
      </c>
    </row>
    <row r="793" hidden="1">
      <c r="A793" s="4" t="str">
        <f>IFERROR(__xludf.DUMMYFUNCTION("""COMPUTED_VALUE"""),"1346 - Channel")</f>
        <v>1346 - Channel</v>
      </c>
      <c r="B793" s="4" t="s">
        <v>19</v>
      </c>
      <c r="C793" s="4" t="s">
        <v>66</v>
      </c>
      <c r="D793" s="6"/>
      <c r="E793" s="6"/>
      <c r="F793" s="6"/>
      <c r="G793" s="4"/>
      <c r="H793" s="4"/>
      <c r="I793" s="4"/>
      <c r="J793" s="4"/>
      <c r="K793" s="4"/>
      <c r="L793" s="4"/>
      <c r="M793" s="4"/>
      <c r="N793" s="4"/>
      <c r="O793" s="51" t="b">
        <v>0</v>
      </c>
      <c r="P793" s="51" t="b">
        <v>0</v>
      </c>
      <c r="Q793" s="51" t="b">
        <v>0</v>
      </c>
      <c r="R793" s="51" t="b">
        <v>0</v>
      </c>
      <c r="S793" s="51" t="b">
        <v>0</v>
      </c>
    </row>
    <row r="794" hidden="1">
      <c r="A794" s="56" t="str">
        <f>IFERROR(__xludf.DUMMYFUNCTION("""COMPUTED_VALUE"""),"1512 - Channel")</f>
        <v>1512 - Channel</v>
      </c>
      <c r="B794" s="56" t="s">
        <v>19</v>
      </c>
      <c r="C794" s="56" t="s">
        <v>66</v>
      </c>
      <c r="D794" s="57">
        <v>0.6666666666666666</v>
      </c>
      <c r="E794" s="57">
        <v>1.7361111111111112E-4</v>
      </c>
      <c r="F794" s="57">
        <v>0.6668402777777778</v>
      </c>
      <c r="G794" s="56" t="s">
        <v>210</v>
      </c>
      <c r="H794" s="56" t="s">
        <v>77</v>
      </c>
      <c r="I794" s="56" t="s">
        <v>1149</v>
      </c>
      <c r="J794" s="56"/>
      <c r="K794" s="56"/>
      <c r="L794" s="56"/>
      <c r="M794" s="56"/>
      <c r="N794" s="56"/>
      <c r="O794" s="51" t="b">
        <v>0</v>
      </c>
      <c r="P794" s="51" t="b">
        <v>0</v>
      </c>
      <c r="Q794" s="51" t="b">
        <v>0</v>
      </c>
      <c r="R794" s="51" t="b">
        <v>0</v>
      </c>
      <c r="S794" s="51" t="b">
        <v>0</v>
      </c>
      <c r="T794" s="56"/>
    </row>
    <row r="795" hidden="1">
      <c r="A795" s="4" t="str">
        <f>IFERROR(__xludf.DUMMYFUNCTION("""COMPUTED_VALUE"""),"874 - Channel")</f>
        <v>874 - Channel</v>
      </c>
      <c r="B795" s="4" t="s">
        <v>19</v>
      </c>
      <c r="C795" s="4" t="s">
        <v>66</v>
      </c>
      <c r="D795" s="6">
        <v>0.6668402777777778</v>
      </c>
      <c r="E795" s="6">
        <v>3.4722222222222224E-4</v>
      </c>
      <c r="F795" s="6">
        <v>0.6671875</v>
      </c>
      <c r="G795" s="4" t="s">
        <v>210</v>
      </c>
      <c r="H795" s="4" t="s">
        <v>81</v>
      </c>
      <c r="I795" s="4" t="s">
        <v>81</v>
      </c>
      <c r="J795" s="4"/>
      <c r="K795" s="4"/>
      <c r="L795" s="4"/>
      <c r="M795" s="4"/>
      <c r="N795" s="4" t="s">
        <v>70</v>
      </c>
      <c r="O795" s="51" t="b">
        <v>0</v>
      </c>
      <c r="P795" s="51" t="b">
        <v>0</v>
      </c>
      <c r="Q795" s="51" t="b">
        <v>0</v>
      </c>
      <c r="R795" s="51" t="b">
        <v>0</v>
      </c>
      <c r="S795" s="51" t="b">
        <v>0</v>
      </c>
    </row>
    <row r="796">
      <c r="A796" s="4" t="str">
        <f>IFERROR(__xludf.DUMMYFUNCTION("""COMPUTED_VALUE"""),"875 - Channel")</f>
        <v>875 - Channel</v>
      </c>
      <c r="B796" s="4" t="s">
        <v>19</v>
      </c>
      <c r="C796" s="4" t="s">
        <v>66</v>
      </c>
      <c r="D796" s="6">
        <v>0.6671875</v>
      </c>
      <c r="E796" s="6">
        <v>0.010011574074074074</v>
      </c>
      <c r="F796" s="6">
        <v>0.6771990740740741</v>
      </c>
      <c r="G796" s="4" t="s">
        <v>210</v>
      </c>
      <c r="H796" s="4" t="s">
        <v>107</v>
      </c>
      <c r="I796" s="4" t="s">
        <v>1152</v>
      </c>
      <c r="J796" s="4" t="s">
        <v>1153</v>
      </c>
      <c r="K796" s="4" t="s">
        <v>1154</v>
      </c>
      <c r="L796" s="4"/>
      <c r="M796" s="4"/>
      <c r="N796" s="4" t="s">
        <v>1155</v>
      </c>
      <c r="O796" s="51" t="b">
        <v>0</v>
      </c>
      <c r="P796" s="51" t="b">
        <v>0</v>
      </c>
      <c r="Q796" s="51" t="b">
        <v>0</v>
      </c>
      <c r="R796" s="51" t="b">
        <v>0</v>
      </c>
      <c r="S796" s="51" t="b">
        <v>0</v>
      </c>
    </row>
    <row r="797" hidden="1">
      <c r="A797" s="56" t="str">
        <f>IFERROR(__xludf.DUMMYFUNCTION("""COMPUTED_VALUE"""),"1510 - Channel")</f>
        <v>1510 - Channel</v>
      </c>
      <c r="B797" s="56" t="s">
        <v>19</v>
      </c>
      <c r="C797" s="56" t="s">
        <v>66</v>
      </c>
      <c r="D797" s="57">
        <v>0.6771990740740741</v>
      </c>
      <c r="E797" s="57">
        <v>1.7361111111111112E-4</v>
      </c>
      <c r="F797" s="57">
        <v>0.6773726851851852</v>
      </c>
      <c r="G797" s="56" t="s">
        <v>210</v>
      </c>
      <c r="H797" s="56" t="s">
        <v>77</v>
      </c>
      <c r="I797" s="56" t="s">
        <v>1156</v>
      </c>
      <c r="J797" s="56"/>
      <c r="K797" s="56"/>
      <c r="L797" s="56"/>
      <c r="M797" s="56"/>
      <c r="N797" s="56"/>
      <c r="O797" s="51" t="b">
        <v>0</v>
      </c>
      <c r="P797" s="51" t="b">
        <v>0</v>
      </c>
      <c r="Q797" s="51" t="b">
        <v>0</v>
      </c>
      <c r="R797" s="51" t="b">
        <v>0</v>
      </c>
      <c r="S797" s="51" t="b">
        <v>0</v>
      </c>
      <c r="T797" s="56"/>
    </row>
    <row r="798" hidden="1">
      <c r="A798" s="4" t="str">
        <f>IFERROR(__xludf.DUMMYFUNCTION("""COMPUTED_VALUE"""),"877 - Channel")</f>
        <v>877 - Channel</v>
      </c>
      <c r="B798" s="4" t="s">
        <v>19</v>
      </c>
      <c r="C798" s="4" t="s">
        <v>66</v>
      </c>
      <c r="D798" s="6">
        <v>0.6773726851851852</v>
      </c>
      <c r="E798" s="6">
        <v>2.314814814814815E-4</v>
      </c>
      <c r="F798" s="6">
        <v>0.6776041666666667</v>
      </c>
      <c r="G798" s="4" t="s">
        <v>210</v>
      </c>
      <c r="H798" s="4" t="s">
        <v>81</v>
      </c>
      <c r="I798" s="4" t="s">
        <v>81</v>
      </c>
      <c r="J798" s="4"/>
      <c r="K798" s="4"/>
      <c r="L798" s="4"/>
      <c r="M798" s="4"/>
      <c r="N798" s="4" t="s">
        <v>70</v>
      </c>
      <c r="O798" s="51" t="b">
        <v>0</v>
      </c>
      <c r="P798" s="51" t="b">
        <v>0</v>
      </c>
      <c r="Q798" s="51" t="b">
        <v>0</v>
      </c>
      <c r="R798" s="51" t="b">
        <v>0</v>
      </c>
      <c r="S798" s="51" t="b">
        <v>0</v>
      </c>
    </row>
    <row r="799">
      <c r="A799" s="4" t="str">
        <f>IFERROR(__xludf.DUMMYFUNCTION("""COMPUTED_VALUE"""),"878 - Channel")</f>
        <v>878 - Channel</v>
      </c>
      <c r="B799" s="4" t="s">
        <v>19</v>
      </c>
      <c r="C799" s="4" t="s">
        <v>66</v>
      </c>
      <c r="D799" s="6">
        <v>0.6776041666666667</v>
      </c>
      <c r="E799" s="6">
        <v>0.014849537037037038</v>
      </c>
      <c r="F799" s="6">
        <v>0.6924537037037037</v>
      </c>
      <c r="G799" s="4" t="s">
        <v>210</v>
      </c>
      <c r="H799" s="4" t="s">
        <v>94</v>
      </c>
      <c r="I799" s="4" t="s">
        <v>1159</v>
      </c>
      <c r="J799" s="4" t="s">
        <v>1160</v>
      </c>
      <c r="K799" s="4"/>
      <c r="L799" s="4"/>
      <c r="M799" s="4"/>
      <c r="N799" s="4" t="s">
        <v>96</v>
      </c>
      <c r="O799" s="51" t="b">
        <v>0</v>
      </c>
      <c r="P799" s="51" t="b">
        <v>0</v>
      </c>
      <c r="Q799" s="51" t="b">
        <v>0</v>
      </c>
      <c r="R799" s="51" t="b">
        <v>0</v>
      </c>
      <c r="S799" s="51" t="b">
        <v>0</v>
      </c>
    </row>
    <row r="800" hidden="1">
      <c r="A800" s="4" t="str">
        <f>IFERROR(__xludf.DUMMYFUNCTION("""COMPUTED_VALUE"""),"1674 - Channel")</f>
        <v>1674 - Channel</v>
      </c>
      <c r="B800" s="4" t="s">
        <v>19</v>
      </c>
      <c r="C800" s="4" t="s">
        <v>66</v>
      </c>
      <c r="D800" s="6">
        <v>0.6924537037037037</v>
      </c>
      <c r="E800" s="6">
        <v>3.4722222222222224E-4</v>
      </c>
      <c r="F800" s="6">
        <v>0.692800925925926</v>
      </c>
      <c r="G800" s="4"/>
      <c r="H800" s="4" t="s">
        <v>89</v>
      </c>
      <c r="I800" s="4" t="s">
        <v>89</v>
      </c>
      <c r="J800" s="4"/>
      <c r="K800" s="4"/>
      <c r="L800" s="4"/>
      <c r="M800" s="4"/>
      <c r="N800" s="4"/>
      <c r="O800" s="51" t="b">
        <v>0</v>
      </c>
      <c r="P800" s="51" t="b">
        <v>0</v>
      </c>
      <c r="Q800" s="51" t="b">
        <v>0</v>
      </c>
      <c r="R800" s="51" t="b">
        <v>0</v>
      </c>
      <c r="S800" s="51" t="b">
        <v>0</v>
      </c>
    </row>
    <row r="801" hidden="1">
      <c r="A801" s="4" t="str">
        <f>IFERROR(__xludf.DUMMYFUNCTION("""COMPUTED_VALUE"""),"881 - Channel")</f>
        <v>881 - Channel</v>
      </c>
      <c r="B801" s="4" t="s">
        <v>19</v>
      </c>
      <c r="C801" s="4" t="s">
        <v>66</v>
      </c>
      <c r="D801" s="6">
        <v>0.692800925925926</v>
      </c>
      <c r="E801" s="6">
        <v>2.314814814814815E-4</v>
      </c>
      <c r="F801" s="6">
        <v>0.6930324074074075</v>
      </c>
      <c r="G801" s="4" t="s">
        <v>210</v>
      </c>
      <c r="H801" s="4" t="s">
        <v>81</v>
      </c>
      <c r="I801" s="4" t="s">
        <v>81</v>
      </c>
      <c r="J801" s="4"/>
      <c r="K801" s="4"/>
      <c r="L801" s="4"/>
      <c r="M801" s="4"/>
      <c r="N801" s="4" t="s">
        <v>70</v>
      </c>
      <c r="O801" s="51" t="b">
        <v>0</v>
      </c>
      <c r="P801" s="51" t="b">
        <v>0</v>
      </c>
      <c r="Q801" s="51" t="b">
        <v>0</v>
      </c>
      <c r="R801" s="51" t="b">
        <v>0</v>
      </c>
      <c r="S801" s="51" t="b">
        <v>0</v>
      </c>
    </row>
    <row r="802">
      <c r="A802" s="56" t="str">
        <f>IFERROR(__xludf.DUMMYFUNCTION("""COMPUTED_VALUE"""),"882 - Channel")</f>
        <v>882 - Channel</v>
      </c>
      <c r="B802" s="56" t="s">
        <v>19</v>
      </c>
      <c r="C802" s="56" t="s">
        <v>66</v>
      </c>
      <c r="D802" s="57">
        <v>0.6930324074074075</v>
      </c>
      <c r="E802" s="57">
        <v>0.0020949074074074073</v>
      </c>
      <c r="F802" s="57">
        <v>0.6951273148148148</v>
      </c>
      <c r="G802" s="56" t="s">
        <v>210</v>
      </c>
      <c r="H802" s="56" t="s">
        <v>165</v>
      </c>
      <c r="I802" s="56" t="s">
        <v>1162</v>
      </c>
      <c r="J802" s="56" t="s">
        <v>1164</v>
      </c>
      <c r="K802" s="56"/>
      <c r="L802" s="56"/>
      <c r="M802" s="56"/>
      <c r="N802" s="56" t="s">
        <v>70</v>
      </c>
      <c r="O802" s="51" t="b">
        <v>0</v>
      </c>
      <c r="P802" s="51" t="b">
        <v>0</v>
      </c>
      <c r="Q802" s="51" t="b">
        <v>0</v>
      </c>
      <c r="R802" s="51" t="b">
        <v>0</v>
      </c>
      <c r="S802" s="51" t="b">
        <v>0</v>
      </c>
      <c r="T802" s="56"/>
    </row>
    <row r="803" hidden="1">
      <c r="A803" s="4" t="str">
        <f>IFERROR(__xludf.DUMMYFUNCTION("""COMPUTED_VALUE"""),"1581 - Channel")</f>
        <v>1581 - Channel</v>
      </c>
      <c r="B803" s="4" t="s">
        <v>19</v>
      </c>
      <c r="C803" s="4" t="s">
        <v>66</v>
      </c>
      <c r="D803" s="6">
        <v>0.6951273148148148</v>
      </c>
      <c r="E803" s="6">
        <v>1.7361111111111112E-4</v>
      </c>
      <c r="F803" s="6">
        <v>0.695300925925926</v>
      </c>
      <c r="G803" s="4"/>
      <c r="H803" s="4" t="s">
        <v>77</v>
      </c>
      <c r="I803" s="4" t="s">
        <v>1131</v>
      </c>
      <c r="J803" s="4"/>
      <c r="K803" s="4"/>
      <c r="L803" s="4"/>
      <c r="M803" s="4"/>
      <c r="N803" s="4"/>
      <c r="O803" s="51" t="b">
        <v>0</v>
      </c>
      <c r="P803" s="51" t="b">
        <v>0</v>
      </c>
      <c r="Q803" s="51" t="b">
        <v>0</v>
      </c>
      <c r="R803" s="51" t="b">
        <v>0</v>
      </c>
      <c r="S803" s="51" t="b">
        <v>0</v>
      </c>
    </row>
    <row r="804" hidden="1">
      <c r="A804" s="4" t="str">
        <f>IFERROR(__xludf.DUMMYFUNCTION("""COMPUTED_VALUE"""),"885 - Channel")</f>
        <v>885 - Channel</v>
      </c>
      <c r="B804" s="4" t="s">
        <v>19</v>
      </c>
      <c r="C804" s="4" t="s">
        <v>66</v>
      </c>
      <c r="D804" s="6">
        <v>0.695300925925926</v>
      </c>
      <c r="E804" s="6">
        <v>2.314814814814815E-4</v>
      </c>
      <c r="F804" s="6">
        <v>0.6955324074074074</v>
      </c>
      <c r="G804" s="4" t="s">
        <v>210</v>
      </c>
      <c r="H804" s="4" t="s">
        <v>81</v>
      </c>
      <c r="I804" s="4" t="s">
        <v>81</v>
      </c>
      <c r="J804" s="4"/>
      <c r="K804" s="4"/>
      <c r="L804" s="4"/>
      <c r="M804" s="4"/>
      <c r="N804" s="4" t="s">
        <v>70</v>
      </c>
      <c r="O804" s="51" t="b">
        <v>0</v>
      </c>
      <c r="P804" s="51" t="b">
        <v>0</v>
      </c>
      <c r="Q804" s="51" t="b">
        <v>0</v>
      </c>
      <c r="R804" s="51" t="b">
        <v>0</v>
      </c>
      <c r="S804" s="51" t="b">
        <v>0</v>
      </c>
    </row>
    <row r="805">
      <c r="A805" s="56" t="str">
        <f>IFERROR(__xludf.DUMMYFUNCTION("""COMPUTED_VALUE"""),"1337 - Channel")</f>
        <v>1337 - Channel</v>
      </c>
      <c r="B805" s="56" t="s">
        <v>19</v>
      </c>
      <c r="C805" s="56" t="s">
        <v>66</v>
      </c>
      <c r="D805" s="57">
        <v>0.6955324074074074</v>
      </c>
      <c r="E805" s="57">
        <v>0.01238425925925926</v>
      </c>
      <c r="F805" s="57">
        <v>0.7079166666666666</v>
      </c>
      <c r="G805" s="56" t="s">
        <v>210</v>
      </c>
      <c r="H805" s="56" t="s">
        <v>107</v>
      </c>
      <c r="I805" s="56" t="s">
        <v>1166</v>
      </c>
      <c r="J805" s="56" t="s">
        <v>1167</v>
      </c>
      <c r="K805" s="56" t="s">
        <v>1168</v>
      </c>
      <c r="L805" s="56"/>
      <c r="M805" s="56"/>
      <c r="N805" s="56" t="s">
        <v>1169</v>
      </c>
      <c r="O805" s="51" t="b">
        <v>0</v>
      </c>
      <c r="P805" s="51" t="b">
        <v>0</v>
      </c>
      <c r="Q805" s="51" t="b">
        <v>0</v>
      </c>
      <c r="R805" s="51" t="b">
        <v>0</v>
      </c>
      <c r="S805" s="51" t="b">
        <v>0</v>
      </c>
      <c r="T805" s="56"/>
    </row>
    <row r="806" hidden="1">
      <c r="A806" s="4" t="str">
        <f>IFERROR(__xludf.DUMMYFUNCTION("""COMPUTED_VALUE"""),"887 - Channel")</f>
        <v>887 - Channel</v>
      </c>
      <c r="B806" s="4" t="s">
        <v>19</v>
      </c>
      <c r="C806" s="4" t="s">
        <v>66</v>
      </c>
      <c r="D806" s="6">
        <v>0.7079166666666666</v>
      </c>
      <c r="E806" s="6">
        <v>2.8935185185185184E-4</v>
      </c>
      <c r="F806" s="6">
        <v>0.7082060185185185</v>
      </c>
      <c r="G806" s="4"/>
      <c r="H806" s="4" t="s">
        <v>85</v>
      </c>
      <c r="I806" s="4" t="s">
        <v>85</v>
      </c>
      <c r="J806" s="4"/>
      <c r="K806" s="4"/>
      <c r="L806" s="4"/>
      <c r="M806" s="4"/>
      <c r="N806" s="4"/>
      <c r="O806" s="51" t="b">
        <v>0</v>
      </c>
      <c r="P806" s="51" t="b">
        <v>0</v>
      </c>
      <c r="Q806" s="51" t="b">
        <v>0</v>
      </c>
      <c r="R806" s="51" t="b">
        <v>0</v>
      </c>
      <c r="S806" s="51" t="b">
        <v>0</v>
      </c>
    </row>
    <row r="807">
      <c r="A807" s="4" t="str">
        <f>IFERROR(__xludf.DUMMYFUNCTION("""COMPUTED_VALUE"""),"889 - Channel")</f>
        <v>889 - Channel</v>
      </c>
      <c r="B807" s="4" t="s">
        <v>19</v>
      </c>
      <c r="C807" s="4" t="s">
        <v>66</v>
      </c>
      <c r="D807" s="6">
        <v>0.7082060185185185</v>
      </c>
      <c r="E807" s="6">
        <v>3.4722222222222224E-4</v>
      </c>
      <c r="F807" s="6">
        <v>0.7085532407407408</v>
      </c>
      <c r="G807" s="4"/>
      <c r="H807" s="4" t="s">
        <v>598</v>
      </c>
      <c r="I807" s="4" t="s">
        <v>1171</v>
      </c>
      <c r="J807" s="4"/>
      <c r="K807" s="4"/>
      <c r="L807" s="4"/>
      <c r="M807" s="4"/>
      <c r="N807" s="4" t="s">
        <v>70</v>
      </c>
      <c r="O807" s="51" t="b">
        <v>0</v>
      </c>
      <c r="P807" s="51" t="b">
        <v>0</v>
      </c>
      <c r="Q807" s="51" t="b">
        <v>0</v>
      </c>
      <c r="R807" s="51" t="b">
        <v>0</v>
      </c>
      <c r="S807" s="51" t="b">
        <v>0</v>
      </c>
    </row>
    <row r="808" hidden="1">
      <c r="A808" s="56" t="str">
        <f>IFERROR(__xludf.DUMMYFUNCTION("""COMPUTED_VALUE"""),"890 - Channel")</f>
        <v>890 - Channel</v>
      </c>
      <c r="B808" s="56" t="s">
        <v>19</v>
      </c>
      <c r="C808" s="56" t="s">
        <v>66</v>
      </c>
      <c r="D808" s="57"/>
      <c r="E808" s="57"/>
      <c r="F808" s="57"/>
      <c r="G808" s="56"/>
      <c r="H808" s="56"/>
      <c r="I808" s="56"/>
      <c r="J808" s="56"/>
      <c r="K808" s="56"/>
      <c r="L808" s="56"/>
      <c r="M808" s="56"/>
      <c r="N808" s="56" t="s">
        <v>70</v>
      </c>
      <c r="O808" s="51" t="b">
        <v>0</v>
      </c>
      <c r="P808" s="51" t="b">
        <v>0</v>
      </c>
      <c r="Q808" s="51" t="b">
        <v>0</v>
      </c>
      <c r="R808" s="51" t="b">
        <v>0</v>
      </c>
      <c r="S808" s="51" t="b">
        <v>0</v>
      </c>
      <c r="T808" s="56"/>
    </row>
    <row r="809" hidden="1">
      <c r="A809" s="4" t="str">
        <f>IFERROR(__xludf.DUMMYFUNCTION("""COMPUTED_VALUE"""),"891 - Channel")</f>
        <v>891 - Channel</v>
      </c>
      <c r="B809" s="4" t="s">
        <v>19</v>
      </c>
      <c r="C809" s="4" t="s">
        <v>66</v>
      </c>
      <c r="D809" s="6"/>
      <c r="E809" s="6"/>
      <c r="F809" s="6"/>
      <c r="G809" s="4"/>
      <c r="H809" s="4"/>
      <c r="I809" s="4"/>
      <c r="J809" s="4"/>
      <c r="K809" s="4"/>
      <c r="L809" s="4"/>
      <c r="M809" s="4"/>
      <c r="N809" s="4" t="s">
        <v>70</v>
      </c>
      <c r="O809" s="51" t="b">
        <v>0</v>
      </c>
      <c r="P809" s="51" t="b">
        <v>0</v>
      </c>
      <c r="Q809" s="51" t="b">
        <v>0</v>
      </c>
      <c r="R809" s="51" t="b">
        <v>0</v>
      </c>
      <c r="S809" s="51" t="b">
        <v>0</v>
      </c>
    </row>
    <row r="810" hidden="1">
      <c r="A810" s="4" t="str">
        <f>IFERROR(__xludf.DUMMYFUNCTION("""COMPUTED_VALUE"""),"892 - Channel")</f>
        <v>892 - Channel</v>
      </c>
      <c r="B810" s="4" t="s">
        <v>19</v>
      </c>
      <c r="C810" s="4" t="s">
        <v>66</v>
      </c>
      <c r="D810" s="6"/>
      <c r="E810" s="6"/>
      <c r="F810" s="6"/>
      <c r="G810" s="4"/>
      <c r="H810" s="4"/>
      <c r="I810" s="4"/>
      <c r="J810" s="4"/>
      <c r="K810" s="4"/>
      <c r="L810" s="4"/>
      <c r="M810" s="4"/>
      <c r="N810" s="4" t="s">
        <v>70</v>
      </c>
      <c r="O810" s="51" t="b">
        <v>0</v>
      </c>
      <c r="P810" s="51" t="b">
        <v>0</v>
      </c>
      <c r="Q810" s="51" t="b">
        <v>0</v>
      </c>
      <c r="R810" s="51" t="b">
        <v>0</v>
      </c>
      <c r="S810" s="51" t="b">
        <v>0</v>
      </c>
    </row>
    <row r="811" hidden="1">
      <c r="A811" s="56" t="str">
        <f>IFERROR(__xludf.DUMMYFUNCTION("""COMPUTED_VALUE"""),"893 - Channel")</f>
        <v>893 - Channel</v>
      </c>
      <c r="B811" s="56" t="s">
        <v>19</v>
      </c>
      <c r="C811" s="56" t="s">
        <v>66</v>
      </c>
      <c r="D811" s="57"/>
      <c r="E811" s="57"/>
      <c r="F811" s="57"/>
      <c r="G811" s="56"/>
      <c r="H811" s="56"/>
      <c r="I811" s="56"/>
      <c r="J811" s="56"/>
      <c r="K811" s="56"/>
      <c r="L811" s="56"/>
      <c r="M811" s="56"/>
      <c r="N811" s="56" t="s">
        <v>70</v>
      </c>
      <c r="O811" s="51" t="b">
        <v>0</v>
      </c>
      <c r="P811" s="51" t="b">
        <v>0</v>
      </c>
      <c r="Q811" s="51" t="b">
        <v>0</v>
      </c>
      <c r="R811" s="51" t="b">
        <v>0</v>
      </c>
      <c r="S811" s="51" t="b">
        <v>0</v>
      </c>
      <c r="T811" s="56"/>
    </row>
    <row r="812" hidden="1">
      <c r="A812" s="4" t="str">
        <f>IFERROR(__xludf.DUMMYFUNCTION("""COMPUTED_VALUE"""),"894 - Channel")</f>
        <v>894 - Channel</v>
      </c>
      <c r="B812" s="4" t="s">
        <v>220</v>
      </c>
      <c r="C812" s="4"/>
      <c r="D812" s="6"/>
      <c r="E812" s="6"/>
      <c r="F812" s="6"/>
      <c r="G812" s="4"/>
      <c r="H812" s="4"/>
      <c r="I812" s="4"/>
      <c r="J812" s="4"/>
      <c r="K812" s="4"/>
      <c r="L812" s="4"/>
      <c r="M812" s="4"/>
      <c r="N812" s="4" t="s">
        <v>70</v>
      </c>
      <c r="O812" s="51" t="b">
        <v>0</v>
      </c>
      <c r="P812" s="51" t="b">
        <v>0</v>
      </c>
      <c r="Q812" s="51" t="b">
        <v>0</v>
      </c>
      <c r="R812" s="51" t="b">
        <v>0</v>
      </c>
      <c r="S812" s="51" t="b">
        <v>0</v>
      </c>
    </row>
    <row r="813" hidden="1">
      <c r="A813" s="4" t="str">
        <f>IFERROR(__xludf.DUMMYFUNCTION("""COMPUTED_VALUE"""),"895 - Channel")</f>
        <v>895 - Channel</v>
      </c>
      <c r="B813" s="4" t="s">
        <v>19</v>
      </c>
      <c r="C813" s="4" t="s">
        <v>221</v>
      </c>
      <c r="D813" s="6">
        <v>0.4166666666666667</v>
      </c>
      <c r="E813" s="6">
        <v>0.0010416666666666667</v>
      </c>
      <c r="F813" s="6">
        <v>0.41770833333333335</v>
      </c>
      <c r="G813" s="4" t="s">
        <v>106</v>
      </c>
      <c r="H813" s="4" t="s">
        <v>67</v>
      </c>
      <c r="I813" s="4" t="s">
        <v>67</v>
      </c>
      <c r="J813" s="4"/>
      <c r="K813" s="4"/>
      <c r="L813" s="4"/>
      <c r="M813" s="4"/>
      <c r="N813" s="4" t="s">
        <v>70</v>
      </c>
      <c r="O813" s="51" t="b">
        <v>0</v>
      </c>
      <c r="P813" s="51" t="b">
        <v>0</v>
      </c>
      <c r="Q813" s="51" t="b">
        <v>0</v>
      </c>
      <c r="R813" s="51" t="b">
        <v>0</v>
      </c>
      <c r="S813" s="51" t="b">
        <v>0</v>
      </c>
    </row>
    <row r="814" hidden="1">
      <c r="A814" s="4" t="str">
        <f>IFERROR(__xludf.DUMMYFUNCTION("""COMPUTED_VALUE"""),"896 - Channel")</f>
        <v>896 - Channel</v>
      </c>
      <c r="B814" s="4" t="s">
        <v>19</v>
      </c>
      <c r="C814" s="4" t="s">
        <v>221</v>
      </c>
      <c r="D814" s="6">
        <v>0.41770833333333335</v>
      </c>
      <c r="E814" s="6">
        <v>3.4722222222222224E-4</v>
      </c>
      <c r="F814" s="6">
        <v>0.41805555555555557</v>
      </c>
      <c r="G814" s="4" t="s">
        <v>106</v>
      </c>
      <c r="H814" s="4" t="s">
        <v>81</v>
      </c>
      <c r="I814" s="4" t="s">
        <v>81</v>
      </c>
      <c r="J814" s="4"/>
      <c r="K814" s="4"/>
      <c r="L814" s="4"/>
      <c r="M814" s="4"/>
      <c r="N814" s="4" t="s">
        <v>70</v>
      </c>
      <c r="O814" s="51" t="b">
        <v>0</v>
      </c>
      <c r="P814" s="51" t="b">
        <v>0</v>
      </c>
      <c r="Q814" s="51" t="b">
        <v>0</v>
      </c>
      <c r="R814" s="51" t="b">
        <v>0</v>
      </c>
      <c r="S814" s="51" t="b">
        <v>0</v>
      </c>
    </row>
    <row r="815">
      <c r="A815" s="4" t="str">
        <f>IFERROR(__xludf.DUMMYFUNCTION("""COMPUTED_VALUE"""),"897 - Channel")</f>
        <v>897 - Channel</v>
      </c>
      <c r="B815" s="4" t="s">
        <v>19</v>
      </c>
      <c r="C815" s="4" t="s">
        <v>221</v>
      </c>
      <c r="D815" s="6">
        <v>0.41805555555555557</v>
      </c>
      <c r="E815" s="6">
        <v>0.009895833333333333</v>
      </c>
      <c r="F815" s="6">
        <v>0.4279513888888889</v>
      </c>
      <c r="G815" s="4" t="s">
        <v>106</v>
      </c>
      <c r="H815" s="4" t="s">
        <v>107</v>
      </c>
      <c r="I815" s="4" t="s">
        <v>1178</v>
      </c>
      <c r="J815" s="4" t="s">
        <v>1179</v>
      </c>
      <c r="K815" s="4" t="s">
        <v>1180</v>
      </c>
      <c r="L815" s="4"/>
      <c r="M815" s="4"/>
      <c r="N815" s="4" t="s">
        <v>1183</v>
      </c>
      <c r="O815" s="51" t="b">
        <v>0</v>
      </c>
      <c r="P815" s="51" t="b">
        <v>0</v>
      </c>
      <c r="Q815" s="51" t="b">
        <v>0</v>
      </c>
      <c r="R815" s="51" t="b">
        <v>0</v>
      </c>
      <c r="S815" s="51" t="b">
        <v>0</v>
      </c>
    </row>
    <row r="816" hidden="1">
      <c r="A816" s="56" t="str">
        <f>IFERROR(__xludf.DUMMYFUNCTION("""COMPUTED_VALUE"""),"1015 - Channel")</f>
        <v>1015 - Channel</v>
      </c>
      <c r="B816" s="56" t="s">
        <v>19</v>
      </c>
      <c r="C816" s="56" t="s">
        <v>289</v>
      </c>
      <c r="D816" s="57">
        <v>0.4279513888888889</v>
      </c>
      <c r="E816" s="57">
        <v>1.7361111111111112E-4</v>
      </c>
      <c r="F816" s="57">
        <v>0.42812500000000003</v>
      </c>
      <c r="G816" s="56" t="s">
        <v>299</v>
      </c>
      <c r="H816" s="56" t="s">
        <v>77</v>
      </c>
      <c r="I816" s="56" t="s">
        <v>1184</v>
      </c>
      <c r="J816" s="56"/>
      <c r="K816" s="56"/>
      <c r="L816" s="56"/>
      <c r="M816" s="56"/>
      <c r="N816" s="56" t="s">
        <v>70</v>
      </c>
      <c r="O816" s="51" t="b">
        <v>0</v>
      </c>
      <c r="P816" s="51" t="b">
        <v>0</v>
      </c>
      <c r="Q816" s="51" t="b">
        <v>0</v>
      </c>
      <c r="R816" s="51" t="b">
        <v>0</v>
      </c>
      <c r="S816" s="51" t="b">
        <v>0</v>
      </c>
      <c r="T816" s="56"/>
    </row>
    <row r="817" hidden="1">
      <c r="A817" s="4" t="str">
        <f>IFERROR(__xludf.DUMMYFUNCTION("""COMPUTED_VALUE"""),"899 - Channel")</f>
        <v>899 - Channel</v>
      </c>
      <c r="B817" s="4" t="s">
        <v>19</v>
      </c>
      <c r="C817" s="4" t="s">
        <v>221</v>
      </c>
      <c r="D817" s="6">
        <v>0.42812500000000003</v>
      </c>
      <c r="E817" s="6">
        <v>2.314814814814815E-4</v>
      </c>
      <c r="F817" s="6">
        <v>0.42835648148148153</v>
      </c>
      <c r="G817" s="4" t="s">
        <v>106</v>
      </c>
      <c r="H817" s="4" t="s">
        <v>81</v>
      </c>
      <c r="I817" s="4" t="s">
        <v>81</v>
      </c>
      <c r="J817" s="4"/>
      <c r="K817" s="4"/>
      <c r="L817" s="4"/>
      <c r="M817" s="4"/>
      <c r="N817" s="4" t="s">
        <v>70</v>
      </c>
      <c r="O817" s="51" t="b">
        <v>0</v>
      </c>
      <c r="P817" s="51" t="b">
        <v>0</v>
      </c>
      <c r="Q817" s="51" t="b">
        <v>0</v>
      </c>
      <c r="R817" s="51" t="b">
        <v>0</v>
      </c>
      <c r="S817" s="51" t="b">
        <v>0</v>
      </c>
    </row>
    <row r="818">
      <c r="A818" s="56" t="str">
        <f>IFERROR(__xludf.DUMMYFUNCTION("""COMPUTED_VALUE"""),"900 - Channel")</f>
        <v>900 - Channel</v>
      </c>
      <c r="B818" s="56" t="s">
        <v>19</v>
      </c>
      <c r="C818" s="56" t="s">
        <v>221</v>
      </c>
      <c r="D818" s="57">
        <v>0.42835648148148153</v>
      </c>
      <c r="E818" s="57">
        <v>0.013888888888888888</v>
      </c>
      <c r="F818" s="57">
        <v>0.4422453703703704</v>
      </c>
      <c r="G818" s="56" t="s">
        <v>106</v>
      </c>
      <c r="H818" s="56" t="s">
        <v>94</v>
      </c>
      <c r="I818" s="56" t="s">
        <v>1187</v>
      </c>
      <c r="J818" s="56" t="s">
        <v>1188</v>
      </c>
      <c r="K818" s="56"/>
      <c r="L818" s="56"/>
      <c r="M818" s="56"/>
      <c r="N818" s="56" t="s">
        <v>495</v>
      </c>
      <c r="O818" s="51" t="b">
        <v>0</v>
      </c>
      <c r="P818" s="51" t="b">
        <v>0</v>
      </c>
      <c r="Q818" s="51" t="b">
        <v>0</v>
      </c>
      <c r="R818" s="51" t="b">
        <v>0</v>
      </c>
      <c r="S818" s="51" t="b">
        <v>0</v>
      </c>
      <c r="T818" s="56"/>
    </row>
    <row r="819" hidden="1">
      <c r="A819" s="4" t="str">
        <f>IFERROR(__xludf.DUMMYFUNCTION("""COMPUTED_VALUE"""),"1558 - Channel")</f>
        <v>1558 - Channel</v>
      </c>
      <c r="B819" s="4" t="s">
        <v>19</v>
      </c>
      <c r="C819" s="4" t="s">
        <v>221</v>
      </c>
      <c r="D819" s="6">
        <v>0.4422453703703704</v>
      </c>
      <c r="E819" s="6">
        <v>6.944444444444445E-4</v>
      </c>
      <c r="F819" s="6">
        <v>0.44293981481481487</v>
      </c>
      <c r="G819" s="4" t="s">
        <v>106</v>
      </c>
      <c r="H819" s="4" t="s">
        <v>79</v>
      </c>
      <c r="I819" s="4" t="s">
        <v>79</v>
      </c>
      <c r="J819" s="4"/>
      <c r="K819" s="4"/>
      <c r="L819" s="4"/>
      <c r="M819" s="4"/>
      <c r="N819" s="4"/>
      <c r="O819" s="51" t="b">
        <v>0</v>
      </c>
      <c r="P819" s="51" t="b">
        <v>0</v>
      </c>
      <c r="Q819" s="51" t="b">
        <v>0</v>
      </c>
      <c r="R819" s="51" t="b">
        <v>0</v>
      </c>
      <c r="S819" s="51" t="b">
        <v>0</v>
      </c>
    </row>
    <row r="820" hidden="1">
      <c r="A820" s="56" t="str">
        <f>IFERROR(__xludf.DUMMYFUNCTION("""COMPUTED_VALUE"""),"906 - Channel")</f>
        <v>906 - Channel</v>
      </c>
      <c r="B820" s="56" t="s">
        <v>19</v>
      </c>
      <c r="C820" s="56" t="s">
        <v>221</v>
      </c>
      <c r="D820" s="57">
        <v>0.44293981481481487</v>
      </c>
      <c r="E820" s="57">
        <v>1.6203703703703703E-4</v>
      </c>
      <c r="F820" s="57">
        <v>0.4431018518518519</v>
      </c>
      <c r="G820" s="56" t="s">
        <v>106</v>
      </c>
      <c r="H820" s="56" t="s">
        <v>506</v>
      </c>
      <c r="I820" s="56" t="s">
        <v>1190</v>
      </c>
      <c r="J820" s="56"/>
      <c r="K820" s="56"/>
      <c r="L820" s="56"/>
      <c r="M820" s="56"/>
      <c r="N820" s="56" t="s">
        <v>70</v>
      </c>
      <c r="O820" s="51" t="b">
        <v>0</v>
      </c>
      <c r="P820" s="51" t="b">
        <v>0</v>
      </c>
      <c r="Q820" s="51" t="b">
        <v>0</v>
      </c>
      <c r="R820" s="51" t="b">
        <v>0</v>
      </c>
      <c r="S820" s="51" t="b">
        <v>0</v>
      </c>
      <c r="T820" s="56"/>
    </row>
    <row r="821" hidden="1">
      <c r="A821" s="4" t="str">
        <f>IFERROR(__xludf.DUMMYFUNCTION("""COMPUTED_VALUE"""),"902 - Channel")</f>
        <v>902 - Channel</v>
      </c>
      <c r="B821" s="4" t="s">
        <v>19</v>
      </c>
      <c r="C821" s="4" t="s">
        <v>221</v>
      </c>
      <c r="D821" s="6">
        <v>0.4431018518518519</v>
      </c>
      <c r="E821" s="6">
        <v>3.4722222222222224E-4</v>
      </c>
      <c r="F821" s="6">
        <v>0.44344907407407413</v>
      </c>
      <c r="G821" s="4" t="s">
        <v>106</v>
      </c>
      <c r="H821" s="4" t="s">
        <v>511</v>
      </c>
      <c r="I821" s="4" t="s">
        <v>1191</v>
      </c>
      <c r="J821" s="4"/>
      <c r="K821" s="4"/>
      <c r="L821" s="4"/>
      <c r="M821" s="4"/>
      <c r="N821" s="4" t="s">
        <v>70</v>
      </c>
      <c r="O821" s="51" t="b">
        <v>0</v>
      </c>
      <c r="P821" s="51" t="b">
        <v>0</v>
      </c>
      <c r="Q821" s="51" t="b">
        <v>0</v>
      </c>
      <c r="R821" s="51" t="b">
        <v>0</v>
      </c>
      <c r="S821" s="51" t="b">
        <v>0</v>
      </c>
    </row>
    <row r="822" hidden="1">
      <c r="A822" s="56" t="str">
        <f>IFERROR(__xludf.DUMMYFUNCTION("""COMPUTED_VALUE"""),"1108 - Channel")</f>
        <v>1108 - Channel</v>
      </c>
      <c r="B822" s="56" t="s">
        <v>19</v>
      </c>
      <c r="C822" s="56" t="s">
        <v>221</v>
      </c>
      <c r="D822" s="57">
        <v>0.44344907407407413</v>
      </c>
      <c r="E822" s="57">
        <v>2.314814814814815E-4</v>
      </c>
      <c r="F822" s="57">
        <v>0.44368055555555563</v>
      </c>
      <c r="G822" s="56" t="s">
        <v>1193</v>
      </c>
      <c r="H822" s="56" t="s">
        <v>81</v>
      </c>
      <c r="I822" s="56" t="s">
        <v>81</v>
      </c>
      <c r="J822" s="56"/>
      <c r="K822" s="56"/>
      <c r="L822" s="56"/>
      <c r="M822" s="56"/>
      <c r="N822" s="56" t="s">
        <v>70</v>
      </c>
      <c r="O822" s="51" t="b">
        <v>0</v>
      </c>
      <c r="P822" s="51" t="b">
        <v>0</v>
      </c>
      <c r="Q822" s="51" t="b">
        <v>0</v>
      </c>
      <c r="R822" s="51" t="b">
        <v>0</v>
      </c>
      <c r="S822" s="51" t="b">
        <v>0</v>
      </c>
      <c r="T822" s="56"/>
    </row>
    <row r="823">
      <c r="A823" s="4" t="str">
        <f>IFERROR(__xludf.DUMMYFUNCTION("""COMPUTED_VALUE"""),"1109 - Channel")</f>
        <v>1109 - Channel</v>
      </c>
      <c r="B823" s="4" t="s">
        <v>19</v>
      </c>
      <c r="C823" s="4" t="s">
        <v>221</v>
      </c>
      <c r="D823" s="6">
        <v>0.44368055555555563</v>
      </c>
      <c r="E823" s="6">
        <v>0.013888888888888888</v>
      </c>
      <c r="F823" s="6">
        <v>0.45756944444444453</v>
      </c>
      <c r="G823" s="4" t="s">
        <v>1193</v>
      </c>
      <c r="H823" s="4" t="s">
        <v>94</v>
      </c>
      <c r="I823" s="4" t="s">
        <v>1195</v>
      </c>
      <c r="J823" s="4" t="s">
        <v>1196</v>
      </c>
      <c r="K823" s="4"/>
      <c r="L823" s="4"/>
      <c r="M823" s="4"/>
      <c r="N823" s="4" t="s">
        <v>1197</v>
      </c>
      <c r="O823" s="51" t="b">
        <v>0</v>
      </c>
      <c r="P823" s="51" t="b">
        <v>0</v>
      </c>
      <c r="Q823" s="51" t="b">
        <v>0</v>
      </c>
      <c r="R823" s="51" t="b">
        <v>0</v>
      </c>
      <c r="S823" s="51" t="b">
        <v>0</v>
      </c>
    </row>
    <row r="824" hidden="1">
      <c r="A824" s="4" t="str">
        <f>IFERROR(__xludf.DUMMYFUNCTION("""COMPUTED_VALUE"""),"1347 - Channel")</f>
        <v>1347 - Channel</v>
      </c>
      <c r="B824" s="4" t="s">
        <v>19</v>
      </c>
      <c r="C824" s="4" t="s">
        <v>221</v>
      </c>
      <c r="D824" s="6"/>
      <c r="E824" s="6"/>
      <c r="F824" s="6"/>
      <c r="G824" s="4"/>
      <c r="H824" s="4"/>
      <c r="I824" s="4"/>
      <c r="J824" s="4"/>
      <c r="K824" s="4"/>
      <c r="L824" s="4"/>
      <c r="M824" s="4"/>
      <c r="N824" s="4"/>
      <c r="O824" s="51" t="b">
        <v>0</v>
      </c>
      <c r="P824" s="51" t="b">
        <v>0</v>
      </c>
      <c r="Q824" s="51" t="b">
        <v>0</v>
      </c>
      <c r="R824" s="51" t="b">
        <v>0</v>
      </c>
      <c r="S824" s="51" t="b">
        <v>0</v>
      </c>
    </row>
    <row r="825" hidden="1">
      <c r="A825" s="56" t="str">
        <f>IFERROR(__xludf.DUMMYFUNCTION("""COMPUTED_VALUE"""),"1723 - Channel")</f>
        <v>1723 - Channel</v>
      </c>
      <c r="B825" s="56" t="s">
        <v>19</v>
      </c>
      <c r="C825" s="56" t="s">
        <v>221</v>
      </c>
      <c r="D825" s="57">
        <v>0.4583333333333333</v>
      </c>
      <c r="E825" s="57">
        <v>6.944444444444445E-4</v>
      </c>
      <c r="F825" s="57">
        <v>0.45902777777777776</v>
      </c>
      <c r="G825" s="56"/>
      <c r="H825" s="56" t="s">
        <v>103</v>
      </c>
      <c r="I825" s="56" t="s">
        <v>103</v>
      </c>
      <c r="J825" s="56"/>
      <c r="K825" s="56"/>
      <c r="L825" s="56"/>
      <c r="M825" s="56"/>
      <c r="N825" s="56"/>
      <c r="O825" s="51" t="b">
        <v>0</v>
      </c>
      <c r="P825" s="51" t="b">
        <v>0</v>
      </c>
      <c r="Q825" s="51" t="b">
        <v>0</v>
      </c>
      <c r="R825" s="51" t="b">
        <v>0</v>
      </c>
      <c r="S825" s="51" t="b">
        <v>0</v>
      </c>
      <c r="T825" s="56"/>
    </row>
    <row r="826" hidden="1">
      <c r="A826" s="4" t="str">
        <f>IFERROR(__xludf.DUMMYFUNCTION("""COMPUTED_VALUE"""),"1721 - Channel")</f>
        <v>1721 - Channel</v>
      </c>
      <c r="B826" s="4" t="s">
        <v>19</v>
      </c>
      <c r="C826" s="4" t="s">
        <v>221</v>
      </c>
      <c r="D826" s="6">
        <v>0.45902777777777776</v>
      </c>
      <c r="E826" s="6">
        <v>3.4722222222222224E-4</v>
      </c>
      <c r="F826" s="6">
        <v>0.459375</v>
      </c>
      <c r="G826" s="4" t="s">
        <v>358</v>
      </c>
      <c r="H826" s="4" t="s">
        <v>81</v>
      </c>
      <c r="I826" s="4" t="s">
        <v>81</v>
      </c>
      <c r="J826" s="4"/>
      <c r="K826" s="4"/>
      <c r="L826" s="4"/>
      <c r="M826" s="4"/>
      <c r="N826" s="4" t="s">
        <v>70</v>
      </c>
      <c r="O826" s="51" t="b">
        <v>0</v>
      </c>
      <c r="P826" s="51" t="b">
        <v>0</v>
      </c>
      <c r="Q826" s="51" t="b">
        <v>0</v>
      </c>
      <c r="R826" s="51" t="b">
        <v>0</v>
      </c>
      <c r="S826" s="51" t="b">
        <v>0</v>
      </c>
    </row>
    <row r="827">
      <c r="A827" s="56" t="str">
        <f>IFERROR(__xludf.DUMMYFUNCTION("""COMPUTED_VALUE"""),"1262 - Channel")</f>
        <v>1262 - Channel</v>
      </c>
      <c r="B827" s="56" t="s">
        <v>19</v>
      </c>
      <c r="C827" s="56" t="s">
        <v>221</v>
      </c>
      <c r="D827" s="57">
        <v>0.459375</v>
      </c>
      <c r="E827" s="57">
        <v>0.006805555555555555</v>
      </c>
      <c r="F827" s="57">
        <v>0.46618055555555554</v>
      </c>
      <c r="G827" s="56" t="s">
        <v>481</v>
      </c>
      <c r="H827" s="56" t="s">
        <v>107</v>
      </c>
      <c r="I827" s="56" t="s">
        <v>1201</v>
      </c>
      <c r="J827" s="56" t="s">
        <v>1202</v>
      </c>
      <c r="K827" s="56" t="s">
        <v>1203</v>
      </c>
      <c r="L827" s="56"/>
      <c r="M827" s="56"/>
      <c r="N827" s="56" t="s">
        <v>1205</v>
      </c>
      <c r="O827" s="51" t="b">
        <v>0</v>
      </c>
      <c r="P827" s="51" t="b">
        <v>0</v>
      </c>
      <c r="Q827" s="51" t="b">
        <v>0</v>
      </c>
      <c r="R827" s="51" t="b">
        <v>0</v>
      </c>
      <c r="S827" s="51" t="b">
        <v>0</v>
      </c>
      <c r="T827" s="56"/>
    </row>
    <row r="828" hidden="1">
      <c r="A828" s="4" t="str">
        <f>IFERROR(__xludf.DUMMYFUNCTION("""COMPUTED_VALUE"""),"1722 - Channel")</f>
        <v>1722 - Channel</v>
      </c>
      <c r="B828" s="4" t="s">
        <v>19</v>
      </c>
      <c r="C828" s="4" t="s">
        <v>221</v>
      </c>
      <c r="D828" s="6">
        <v>0.46618055555555554</v>
      </c>
      <c r="E828" s="6">
        <v>0.0010416666666666667</v>
      </c>
      <c r="F828" s="6">
        <v>0.4672222222222222</v>
      </c>
      <c r="G828" s="4"/>
      <c r="H828" s="4" t="s">
        <v>67</v>
      </c>
      <c r="I828" s="4" t="s">
        <v>67</v>
      </c>
      <c r="J828" s="4"/>
      <c r="K828" s="4"/>
      <c r="L828" s="4"/>
      <c r="M828" s="4"/>
      <c r="N828" s="4"/>
      <c r="O828" s="51" t="b">
        <v>0</v>
      </c>
      <c r="P828" s="51" t="b">
        <v>0</v>
      </c>
      <c r="Q828" s="51" t="b">
        <v>0</v>
      </c>
      <c r="R828" s="51" t="b">
        <v>0</v>
      </c>
      <c r="S828" s="51" t="b">
        <v>0</v>
      </c>
    </row>
    <row r="829" hidden="1">
      <c r="A829" s="4" t="str">
        <f>IFERROR(__xludf.DUMMYFUNCTION("""COMPUTED_VALUE"""),"910 - Channel")</f>
        <v>910 - Channel</v>
      </c>
      <c r="B829" s="4" t="s">
        <v>19</v>
      </c>
      <c r="C829" s="4" t="s">
        <v>221</v>
      </c>
      <c r="D829" s="6">
        <v>0.4672222222222222</v>
      </c>
      <c r="E829" s="6">
        <v>1.7361111111111112E-4</v>
      </c>
      <c r="F829" s="6">
        <v>0.46739583333333334</v>
      </c>
      <c r="G829" s="4" t="s">
        <v>358</v>
      </c>
      <c r="H829" s="4" t="s">
        <v>77</v>
      </c>
      <c r="I829" s="4" t="s">
        <v>993</v>
      </c>
      <c r="J829" s="4"/>
      <c r="K829" s="4"/>
      <c r="L829" s="4"/>
      <c r="M829" s="4"/>
      <c r="N829" s="4" t="s">
        <v>70</v>
      </c>
      <c r="O829" s="51" t="b">
        <v>0</v>
      </c>
      <c r="P829" s="51" t="b">
        <v>0</v>
      </c>
      <c r="Q829" s="51" t="b">
        <v>0</v>
      </c>
      <c r="R829" s="51" t="b">
        <v>0</v>
      </c>
      <c r="S829" s="51" t="b">
        <v>0</v>
      </c>
    </row>
    <row r="830" hidden="1">
      <c r="A830" s="56" t="str">
        <f>IFERROR(__xludf.DUMMYFUNCTION("""COMPUTED_VALUE"""),"911 - Channel")</f>
        <v>911 - Channel</v>
      </c>
      <c r="B830" s="56" t="s">
        <v>19</v>
      </c>
      <c r="C830" s="56" t="s">
        <v>221</v>
      </c>
      <c r="D830" s="57">
        <v>0.46739583333333334</v>
      </c>
      <c r="E830" s="57">
        <v>2.314814814814815E-4</v>
      </c>
      <c r="F830" s="57">
        <v>0.46762731481481484</v>
      </c>
      <c r="G830" s="56" t="s">
        <v>358</v>
      </c>
      <c r="H830" s="56" t="s">
        <v>81</v>
      </c>
      <c r="I830" s="56" t="s">
        <v>81</v>
      </c>
      <c r="J830" s="56"/>
      <c r="K830" s="56"/>
      <c r="L830" s="56"/>
      <c r="M830" s="56"/>
      <c r="N830" s="56" t="s">
        <v>70</v>
      </c>
      <c r="O830" s="51" t="b">
        <v>0</v>
      </c>
      <c r="P830" s="51" t="b">
        <v>0</v>
      </c>
      <c r="Q830" s="51" t="b">
        <v>0</v>
      </c>
      <c r="R830" s="51" t="b">
        <v>0</v>
      </c>
      <c r="S830" s="51" t="b">
        <v>0</v>
      </c>
      <c r="T830" s="56"/>
    </row>
    <row r="831">
      <c r="A831" s="4" t="str">
        <f>IFERROR(__xludf.DUMMYFUNCTION("""COMPUTED_VALUE"""),"912 - Channel")</f>
        <v>912 - Channel</v>
      </c>
      <c r="B831" s="4" t="s">
        <v>19</v>
      </c>
      <c r="C831" s="4" t="s">
        <v>221</v>
      </c>
      <c r="D831" s="6">
        <v>0.46762731481481484</v>
      </c>
      <c r="E831" s="6">
        <v>0.013888888888888888</v>
      </c>
      <c r="F831" s="6">
        <v>0.48151620370370374</v>
      </c>
      <c r="G831" s="4" t="s">
        <v>358</v>
      </c>
      <c r="H831" s="4" t="s">
        <v>94</v>
      </c>
      <c r="I831" s="4" t="s">
        <v>1208</v>
      </c>
      <c r="J831" s="4" t="s">
        <v>1209</v>
      </c>
      <c r="K831" s="4"/>
      <c r="L831" s="4"/>
      <c r="M831" s="4"/>
      <c r="N831" s="4" t="s">
        <v>1210</v>
      </c>
      <c r="O831" s="51" t="b">
        <v>0</v>
      </c>
      <c r="P831" s="51" t="b">
        <v>0</v>
      </c>
      <c r="Q831" s="51" t="b">
        <v>0</v>
      </c>
      <c r="R831" s="51" t="b">
        <v>0</v>
      </c>
      <c r="S831" s="51" t="b">
        <v>0</v>
      </c>
    </row>
    <row r="832" hidden="1">
      <c r="A832" s="56" t="str">
        <f>IFERROR(__xludf.DUMMYFUNCTION("""COMPUTED_VALUE"""),"1658 - Channel")</f>
        <v>1658 - Channel</v>
      </c>
      <c r="B832" s="56" t="s">
        <v>19</v>
      </c>
      <c r="C832" s="56" t="s">
        <v>221</v>
      </c>
      <c r="D832" s="57">
        <v>0.48151620370370374</v>
      </c>
      <c r="E832" s="57">
        <v>3.4722222222222224E-4</v>
      </c>
      <c r="F832" s="57">
        <v>0.48186342592592596</v>
      </c>
      <c r="G832" s="56"/>
      <c r="H832" s="56" t="s">
        <v>89</v>
      </c>
      <c r="I832" s="56" t="s">
        <v>89</v>
      </c>
      <c r="J832" s="56"/>
      <c r="K832" s="56"/>
      <c r="L832" s="56"/>
      <c r="M832" s="56"/>
      <c r="N832" s="56"/>
      <c r="O832" s="51" t="b">
        <v>0</v>
      </c>
      <c r="P832" s="51" t="b">
        <v>0</v>
      </c>
      <c r="Q832" s="51" t="b">
        <v>0</v>
      </c>
      <c r="R832" s="51" t="b">
        <v>0</v>
      </c>
      <c r="S832" s="51" t="b">
        <v>0</v>
      </c>
      <c r="T832" s="56"/>
    </row>
    <row r="833" hidden="1">
      <c r="A833" s="4" t="str">
        <f>IFERROR(__xludf.DUMMYFUNCTION("""COMPUTED_VALUE"""),"916 - Channel")</f>
        <v>916 - Channel</v>
      </c>
      <c r="B833" s="4" t="s">
        <v>19</v>
      </c>
      <c r="C833" s="4" t="s">
        <v>221</v>
      </c>
      <c r="D833" s="6">
        <v>0.48186342592592596</v>
      </c>
      <c r="E833" s="6">
        <v>2.314814814814815E-4</v>
      </c>
      <c r="F833" s="6">
        <v>0.48209490740740746</v>
      </c>
      <c r="G833" s="4" t="s">
        <v>358</v>
      </c>
      <c r="H833" s="4" t="s">
        <v>81</v>
      </c>
      <c r="I833" s="4" t="s">
        <v>81</v>
      </c>
      <c r="J833" s="4"/>
      <c r="K833" s="4"/>
      <c r="L833" s="4"/>
      <c r="M833" s="4"/>
      <c r="N833" s="4" t="s">
        <v>70</v>
      </c>
      <c r="O833" s="51" t="b">
        <v>0</v>
      </c>
      <c r="P833" s="51" t="b">
        <v>0</v>
      </c>
      <c r="Q833" s="51" t="b">
        <v>0</v>
      </c>
      <c r="R833" s="51" t="b">
        <v>0</v>
      </c>
      <c r="S833" s="51" t="b">
        <v>0</v>
      </c>
    </row>
    <row r="834">
      <c r="A834" s="56" t="str">
        <f>IFERROR(__xludf.DUMMYFUNCTION("""COMPUTED_VALUE"""),"917 - Channel")</f>
        <v>917 - Channel</v>
      </c>
      <c r="B834" s="56" t="s">
        <v>19</v>
      </c>
      <c r="C834" s="56" t="s">
        <v>221</v>
      </c>
      <c r="D834" s="57">
        <v>0.48209490740740746</v>
      </c>
      <c r="E834" s="57">
        <v>0.014328703703703703</v>
      </c>
      <c r="F834" s="57">
        <v>0.49642361111111116</v>
      </c>
      <c r="G834" s="56" t="s">
        <v>358</v>
      </c>
      <c r="H834" s="56" t="s">
        <v>94</v>
      </c>
      <c r="I834" s="56" t="s">
        <v>1212</v>
      </c>
      <c r="J834" s="56" t="s">
        <v>1213</v>
      </c>
      <c r="K834" s="56" t="s">
        <v>320</v>
      </c>
      <c r="L834" s="56"/>
      <c r="M834" s="56"/>
      <c r="N834" s="56"/>
      <c r="O834" s="51" t="b">
        <v>0</v>
      </c>
      <c r="P834" s="51" t="b">
        <v>0</v>
      </c>
      <c r="Q834" s="51" t="b">
        <v>0</v>
      </c>
      <c r="R834" s="51" t="b">
        <v>0</v>
      </c>
      <c r="S834" s="51" t="b">
        <v>0</v>
      </c>
      <c r="T834" s="56"/>
    </row>
    <row r="835" hidden="1">
      <c r="A835" s="4" t="str">
        <f>IFERROR(__xludf.DUMMYFUNCTION("""COMPUTED_VALUE"""),"919 - Channel")</f>
        <v>919 - Channel</v>
      </c>
      <c r="B835" s="4" t="s">
        <v>19</v>
      </c>
      <c r="C835" s="4" t="s">
        <v>221</v>
      </c>
      <c r="D835" s="6">
        <v>0.49642361111111116</v>
      </c>
      <c r="E835" s="6">
        <v>3.4722222222222224E-4</v>
      </c>
      <c r="F835" s="6">
        <v>0.4967708333333334</v>
      </c>
      <c r="G835" s="4" t="s">
        <v>358</v>
      </c>
      <c r="H835" s="4" t="s">
        <v>77</v>
      </c>
      <c r="I835" s="4" t="s">
        <v>1009</v>
      </c>
      <c r="J835" s="4"/>
      <c r="K835" s="4"/>
      <c r="L835" s="4"/>
      <c r="M835" s="4"/>
      <c r="N835" s="4" t="s">
        <v>70</v>
      </c>
      <c r="O835" s="51" t="b">
        <v>0</v>
      </c>
      <c r="P835" s="51" t="b">
        <v>0</v>
      </c>
      <c r="Q835" s="51" t="b">
        <v>0</v>
      </c>
      <c r="R835" s="51" t="b">
        <v>0</v>
      </c>
      <c r="S835" s="51" t="b">
        <v>0</v>
      </c>
    </row>
    <row r="836" hidden="1">
      <c r="A836" s="4" t="str">
        <f>IFERROR(__xludf.DUMMYFUNCTION("""COMPUTED_VALUE"""),"952 - Channel")</f>
        <v>952 - Channel</v>
      </c>
      <c r="B836" s="4" t="s">
        <v>19</v>
      </c>
      <c r="C836" s="4" t="s">
        <v>221</v>
      </c>
      <c r="D836" s="6">
        <v>0.4967708333333334</v>
      </c>
      <c r="E836" s="6">
        <v>3.4722222222222224E-4</v>
      </c>
      <c r="F836" s="6">
        <v>0.4971180555555556</v>
      </c>
      <c r="G836" s="4" t="s">
        <v>275</v>
      </c>
      <c r="H836" s="4" t="s">
        <v>506</v>
      </c>
      <c r="I836" s="4" t="s">
        <v>1141</v>
      </c>
      <c r="J836" s="4"/>
      <c r="K836" s="4"/>
      <c r="L836" s="4"/>
      <c r="M836" s="4"/>
      <c r="N836" s="4" t="s">
        <v>70</v>
      </c>
      <c r="O836" s="51" t="b">
        <v>0</v>
      </c>
      <c r="P836" s="51" t="b">
        <v>0</v>
      </c>
      <c r="Q836" s="51" t="b">
        <v>0</v>
      </c>
      <c r="R836" s="51" t="b">
        <v>0</v>
      </c>
      <c r="S836" s="51" t="b">
        <v>0</v>
      </c>
    </row>
    <row r="837" hidden="1">
      <c r="A837" s="4" t="str">
        <f>IFERROR(__xludf.DUMMYFUNCTION("""COMPUTED_VALUE"""),"1348 - Channel")</f>
        <v>1348 - Channel</v>
      </c>
      <c r="B837" s="4" t="s">
        <v>19</v>
      </c>
      <c r="C837" s="4" t="s">
        <v>221</v>
      </c>
      <c r="D837" s="6"/>
      <c r="E837" s="6"/>
      <c r="F837" s="6"/>
      <c r="G837" s="4"/>
      <c r="H837" s="4"/>
      <c r="I837" s="4"/>
      <c r="J837" s="4"/>
      <c r="K837" s="4"/>
      <c r="L837" s="4"/>
      <c r="M837" s="4"/>
      <c r="N837" s="4"/>
      <c r="O837" s="51" t="b">
        <v>0</v>
      </c>
      <c r="P837" s="51" t="b">
        <v>0</v>
      </c>
      <c r="Q837" s="51" t="b">
        <v>0</v>
      </c>
      <c r="R837" s="51" t="b">
        <v>0</v>
      </c>
      <c r="S837" s="51" t="b">
        <v>0</v>
      </c>
    </row>
    <row r="838" hidden="1">
      <c r="A838" s="56" t="str">
        <f>IFERROR(__xludf.DUMMYFUNCTION("""COMPUTED_VALUE"""),"920 - Channel")</f>
        <v>920 - Channel</v>
      </c>
      <c r="B838" s="56" t="s">
        <v>19</v>
      </c>
      <c r="C838" s="56" t="s">
        <v>221</v>
      </c>
      <c r="D838" s="57">
        <v>0.5</v>
      </c>
      <c r="E838" s="57">
        <v>3.4722222222222224E-4</v>
      </c>
      <c r="F838" s="57">
        <v>0.5003472222222223</v>
      </c>
      <c r="G838" s="56" t="s">
        <v>441</v>
      </c>
      <c r="H838" s="56" t="s">
        <v>81</v>
      </c>
      <c r="I838" s="56" t="s">
        <v>81</v>
      </c>
      <c r="J838" s="56"/>
      <c r="K838" s="56"/>
      <c r="L838" s="56"/>
      <c r="M838" s="56"/>
      <c r="N838" s="56" t="s">
        <v>70</v>
      </c>
      <c r="O838" s="51" t="b">
        <v>0</v>
      </c>
      <c r="P838" s="51" t="b">
        <v>0</v>
      </c>
      <c r="Q838" s="51" t="b">
        <v>0</v>
      </c>
      <c r="R838" s="51" t="b">
        <v>0</v>
      </c>
      <c r="S838" s="51" t="b">
        <v>0</v>
      </c>
      <c r="T838" s="56"/>
    </row>
    <row r="839">
      <c r="A839" s="4" t="str">
        <f>IFERROR(__xludf.DUMMYFUNCTION("""COMPUTED_VALUE"""),"921 - Channel")</f>
        <v>921 - Channel</v>
      </c>
      <c r="B839" s="4" t="s">
        <v>19</v>
      </c>
      <c r="C839" s="4" t="s">
        <v>221</v>
      </c>
      <c r="D839" s="6">
        <v>0.5003472222222223</v>
      </c>
      <c r="E839" s="6">
        <v>0.0096875</v>
      </c>
      <c r="F839" s="6">
        <v>0.5100347222222222</v>
      </c>
      <c r="G839" s="4" t="s">
        <v>441</v>
      </c>
      <c r="H839" s="4" t="s">
        <v>107</v>
      </c>
      <c r="I839" s="4" t="s">
        <v>1218</v>
      </c>
      <c r="J839" s="4" t="s">
        <v>1219</v>
      </c>
      <c r="K839" s="4" t="s">
        <v>1220</v>
      </c>
      <c r="L839" s="4"/>
      <c r="M839" s="4"/>
      <c r="N839" s="4" t="s">
        <v>402</v>
      </c>
      <c r="O839" s="51" t="b">
        <v>0</v>
      </c>
      <c r="P839" s="51" t="b">
        <v>0</v>
      </c>
      <c r="Q839" s="51" t="b">
        <v>0</v>
      </c>
      <c r="R839" s="51" t="b">
        <v>0</v>
      </c>
      <c r="S839" s="51" t="b">
        <v>0</v>
      </c>
    </row>
    <row r="840" hidden="1">
      <c r="A840" s="56" t="str">
        <f>IFERROR(__xludf.DUMMYFUNCTION("""COMPUTED_VALUE"""),"925 - Channel")</f>
        <v>925 - Channel</v>
      </c>
      <c r="B840" s="56" t="s">
        <v>19</v>
      </c>
      <c r="C840" s="56" t="s">
        <v>221</v>
      </c>
      <c r="D840" s="57">
        <v>0.5100347222222222</v>
      </c>
      <c r="E840" s="57">
        <v>2.314814814814815E-4</v>
      </c>
      <c r="F840" s="57">
        <v>0.5102662037037037</v>
      </c>
      <c r="G840" s="56" t="s">
        <v>441</v>
      </c>
      <c r="H840" s="56" t="s">
        <v>81</v>
      </c>
      <c r="I840" s="56" t="s">
        <v>81</v>
      </c>
      <c r="J840" s="56"/>
      <c r="K840" s="56"/>
      <c r="L840" s="56"/>
      <c r="M840" s="56"/>
      <c r="N840" s="56" t="s">
        <v>70</v>
      </c>
      <c r="O840" s="51" t="b">
        <v>0</v>
      </c>
      <c r="P840" s="51" t="b">
        <v>0</v>
      </c>
      <c r="Q840" s="51" t="b">
        <v>0</v>
      </c>
      <c r="R840" s="51" t="b">
        <v>0</v>
      </c>
      <c r="S840" s="51" t="b">
        <v>0</v>
      </c>
      <c r="T840" s="56"/>
    </row>
    <row r="841">
      <c r="A841" s="4" t="str">
        <f>IFERROR(__xludf.DUMMYFUNCTION("""COMPUTED_VALUE"""),"926 - Channel")</f>
        <v>926 - Channel</v>
      </c>
      <c r="B841" s="4" t="s">
        <v>19</v>
      </c>
      <c r="C841" s="4" t="s">
        <v>221</v>
      </c>
      <c r="D841" s="6">
        <v>0.5102662037037037</v>
      </c>
      <c r="E841" s="6">
        <v>0.013229166666666667</v>
      </c>
      <c r="F841" s="6">
        <v>0.5234953703703703</v>
      </c>
      <c r="G841" s="4" t="s">
        <v>441</v>
      </c>
      <c r="H841" s="4" t="s">
        <v>94</v>
      </c>
      <c r="I841" s="4" t="s">
        <v>1222</v>
      </c>
      <c r="J841" s="4" t="s">
        <v>1223</v>
      </c>
      <c r="K841" s="4"/>
      <c r="L841" s="4"/>
      <c r="M841" s="4"/>
      <c r="N841" s="4" t="s">
        <v>1224</v>
      </c>
      <c r="O841" s="51" t="b">
        <v>0</v>
      </c>
      <c r="P841" s="51" t="b">
        <v>0</v>
      </c>
      <c r="Q841" s="51" t="b">
        <v>0</v>
      </c>
      <c r="R841" s="51" t="b">
        <v>0</v>
      </c>
      <c r="S841" s="51" t="b">
        <v>0</v>
      </c>
    </row>
    <row r="842" hidden="1">
      <c r="A842" s="56" t="str">
        <f>IFERROR(__xludf.DUMMYFUNCTION("""COMPUTED_VALUE"""),"1582 - Channel")</f>
        <v>1582 - Channel</v>
      </c>
      <c r="B842" s="56" t="s">
        <v>19</v>
      </c>
      <c r="C842" s="56" t="s">
        <v>221</v>
      </c>
      <c r="D842" s="57">
        <v>0.5234953703703703</v>
      </c>
      <c r="E842" s="57">
        <v>2.314814814814815E-4</v>
      </c>
      <c r="F842" s="57">
        <v>0.5237268518518517</v>
      </c>
      <c r="G842" s="56"/>
      <c r="H842" s="56" t="s">
        <v>81</v>
      </c>
      <c r="I842" s="56" t="s">
        <v>81</v>
      </c>
      <c r="J842" s="56"/>
      <c r="K842" s="56"/>
      <c r="L842" s="56"/>
      <c r="M842" s="56"/>
      <c r="N842" s="56"/>
      <c r="O842" s="51" t="b">
        <v>0</v>
      </c>
      <c r="P842" s="51" t="b">
        <v>0</v>
      </c>
      <c r="Q842" s="51" t="b">
        <v>0</v>
      </c>
      <c r="R842" s="51" t="b">
        <v>0</v>
      </c>
      <c r="S842" s="51" t="b">
        <v>0</v>
      </c>
      <c r="T842" s="56"/>
    </row>
    <row r="843">
      <c r="A843" s="4" t="str">
        <f>IFERROR(__xludf.DUMMYFUNCTION("""COMPUTED_VALUE"""),"1583 - Channel")</f>
        <v>1583 - Channel</v>
      </c>
      <c r="B843" s="4" t="s">
        <v>19</v>
      </c>
      <c r="C843" s="4" t="s">
        <v>221</v>
      </c>
      <c r="D843" s="6">
        <v>0.5237268518518517</v>
      </c>
      <c r="E843" s="6">
        <v>0.010416666666666666</v>
      </c>
      <c r="F843" s="6">
        <v>0.5341435185185184</v>
      </c>
      <c r="G843" s="4"/>
      <c r="H843" s="4" t="s">
        <v>94</v>
      </c>
      <c r="I843" s="4" t="s">
        <v>1226</v>
      </c>
      <c r="J843" s="4" t="s">
        <v>1227</v>
      </c>
      <c r="K843" s="4"/>
      <c r="L843" s="4"/>
      <c r="M843" s="4"/>
      <c r="N843" s="4" t="s">
        <v>520</v>
      </c>
      <c r="O843" s="51" t="b">
        <v>0</v>
      </c>
      <c r="P843" s="51" t="b">
        <v>0</v>
      </c>
      <c r="Q843" s="51" t="b">
        <v>0</v>
      </c>
      <c r="R843" s="51" t="b">
        <v>0</v>
      </c>
      <c r="S843" s="51" t="b">
        <v>0</v>
      </c>
    </row>
    <row r="844" hidden="1">
      <c r="A844" s="56" t="str">
        <f>IFERROR(__xludf.DUMMYFUNCTION("""COMPUTED_VALUE"""),"956 - Channel")</f>
        <v>956 - Channel</v>
      </c>
      <c r="B844" s="56" t="s">
        <v>19</v>
      </c>
      <c r="C844" s="56" t="s">
        <v>221</v>
      </c>
      <c r="D844" s="57">
        <v>0.5341435185185184</v>
      </c>
      <c r="E844" s="57">
        <v>2.314814814814815E-4</v>
      </c>
      <c r="F844" s="57">
        <v>0.5343749999999998</v>
      </c>
      <c r="G844" s="56" t="s">
        <v>93</v>
      </c>
      <c r="H844" s="56" t="s">
        <v>81</v>
      </c>
      <c r="I844" s="56" t="s">
        <v>81</v>
      </c>
      <c r="J844" s="56"/>
      <c r="K844" s="56"/>
      <c r="L844" s="56"/>
      <c r="M844" s="56"/>
      <c r="N844" s="56" t="s">
        <v>70</v>
      </c>
      <c r="O844" s="51" t="b">
        <v>0</v>
      </c>
      <c r="P844" s="51" t="b">
        <v>0</v>
      </c>
      <c r="Q844" s="51" t="b">
        <v>0</v>
      </c>
      <c r="R844" s="51" t="b">
        <v>0</v>
      </c>
      <c r="S844" s="51" t="b">
        <v>0</v>
      </c>
      <c r="T844" s="56"/>
    </row>
    <row r="845">
      <c r="A845" s="4" t="str">
        <f>IFERROR(__xludf.DUMMYFUNCTION("""COMPUTED_VALUE"""),"957 - Channel")</f>
        <v>957 - Channel</v>
      </c>
      <c r="B845" s="4" t="s">
        <v>19</v>
      </c>
      <c r="C845" s="4" t="s">
        <v>221</v>
      </c>
      <c r="D845" s="6">
        <v>0.5343749999999998</v>
      </c>
      <c r="E845" s="6">
        <v>0.007048611111111111</v>
      </c>
      <c r="F845" s="6">
        <v>0.5414236111111109</v>
      </c>
      <c r="G845" s="4" t="s">
        <v>93</v>
      </c>
      <c r="H845" s="4" t="s">
        <v>94</v>
      </c>
      <c r="I845" s="4" t="s">
        <v>1229</v>
      </c>
      <c r="J845" s="4" t="s">
        <v>557</v>
      </c>
      <c r="K845" s="4"/>
      <c r="L845" s="4"/>
      <c r="M845" s="4"/>
      <c r="N845" s="4" t="s">
        <v>560</v>
      </c>
      <c r="O845" s="51" t="b">
        <v>0</v>
      </c>
      <c r="P845" s="51" t="b">
        <v>0</v>
      </c>
      <c r="Q845" s="51" t="b">
        <v>0</v>
      </c>
      <c r="R845" s="51" t="b">
        <v>0</v>
      </c>
      <c r="S845" s="51" t="b">
        <v>0</v>
      </c>
    </row>
    <row r="846" hidden="1">
      <c r="A846" s="56" t="str">
        <f>IFERROR(__xludf.DUMMYFUNCTION("""COMPUTED_VALUE"""),"1349 - Channel")</f>
        <v>1349 - Channel</v>
      </c>
      <c r="B846" s="56" t="s">
        <v>19</v>
      </c>
      <c r="C846" s="56"/>
      <c r="D846" s="57"/>
      <c r="E846" s="57"/>
      <c r="F846" s="57"/>
      <c r="G846" s="56"/>
      <c r="H846" s="56"/>
      <c r="I846" s="56"/>
      <c r="J846" s="56"/>
      <c r="K846" s="56"/>
      <c r="L846" s="56"/>
      <c r="M846" s="56"/>
      <c r="N846" s="56"/>
      <c r="O846" s="51" t="b">
        <v>0</v>
      </c>
      <c r="P846" s="51" t="b">
        <v>0</v>
      </c>
      <c r="Q846" s="51" t="b">
        <v>0</v>
      </c>
      <c r="R846" s="51" t="b">
        <v>0</v>
      </c>
      <c r="S846" s="51" t="b">
        <v>0</v>
      </c>
      <c r="T846" s="56"/>
    </row>
    <row r="847" hidden="1">
      <c r="A847" s="4" t="str">
        <f>IFERROR(__xludf.DUMMYFUNCTION("""COMPUTED_VALUE"""),"928 - Channel")</f>
        <v>928 - Channel</v>
      </c>
      <c r="B847" s="4" t="s">
        <v>19</v>
      </c>
      <c r="C847" s="4" t="s">
        <v>221</v>
      </c>
      <c r="D847" s="6">
        <v>0.5416666666666666</v>
      </c>
      <c r="E847" s="6">
        <v>3.4722222222222224E-4</v>
      </c>
      <c r="F847" s="6">
        <v>0.5420138888888889</v>
      </c>
      <c r="G847" s="4" t="s">
        <v>441</v>
      </c>
      <c r="H847" s="4" t="s">
        <v>81</v>
      </c>
      <c r="I847" s="4" t="s">
        <v>81</v>
      </c>
      <c r="J847" s="4"/>
      <c r="K847" s="4"/>
      <c r="L847" s="4"/>
      <c r="M847" s="4"/>
      <c r="N847" s="4" t="s">
        <v>70</v>
      </c>
      <c r="O847" s="51" t="b">
        <v>0</v>
      </c>
      <c r="P847" s="51" t="b">
        <v>0</v>
      </c>
      <c r="Q847" s="51" t="b">
        <v>0</v>
      </c>
      <c r="R847" s="51" t="b">
        <v>0</v>
      </c>
      <c r="S847" s="51" t="b">
        <v>0</v>
      </c>
    </row>
    <row r="848">
      <c r="A848" s="4" t="str">
        <f>IFERROR(__xludf.DUMMYFUNCTION("""COMPUTED_VALUE"""),"929 - Channel")</f>
        <v>929 - Channel</v>
      </c>
      <c r="B848" s="4" t="s">
        <v>19</v>
      </c>
      <c r="C848" s="4" t="s">
        <v>221</v>
      </c>
      <c r="D848" s="6">
        <v>0.5420138888888889</v>
      </c>
      <c r="E848" s="6">
        <v>0.007662037037037037</v>
      </c>
      <c r="F848" s="6">
        <v>0.549675925925926</v>
      </c>
      <c r="G848" s="4" t="s">
        <v>441</v>
      </c>
      <c r="H848" s="4" t="s">
        <v>94</v>
      </c>
      <c r="I848" s="4" t="s">
        <v>1232</v>
      </c>
      <c r="J848" s="4" t="s">
        <v>1233</v>
      </c>
      <c r="K848" s="4"/>
      <c r="L848" s="4"/>
      <c r="M848" s="4"/>
      <c r="N848" s="4" t="s">
        <v>415</v>
      </c>
      <c r="O848" s="51" t="b">
        <v>0</v>
      </c>
      <c r="P848" s="51" t="b">
        <v>0</v>
      </c>
      <c r="Q848" s="51" t="b">
        <v>0</v>
      </c>
      <c r="R848" s="51" t="b">
        <v>0</v>
      </c>
      <c r="S848" s="51" t="b">
        <v>0</v>
      </c>
    </row>
    <row r="849" hidden="1">
      <c r="A849" s="56" t="str">
        <f>IFERROR(__xludf.DUMMYFUNCTION("""COMPUTED_VALUE"""),"1638 - Channel")</f>
        <v>1638 - Channel</v>
      </c>
      <c r="B849" s="56" t="s">
        <v>19</v>
      </c>
      <c r="C849" s="56" t="s">
        <v>221</v>
      </c>
      <c r="D849" s="57">
        <v>0.549675925925926</v>
      </c>
      <c r="E849" s="57">
        <v>2.314814814814815E-4</v>
      </c>
      <c r="F849" s="57">
        <v>0.5499074074074074</v>
      </c>
      <c r="G849" s="56"/>
      <c r="H849" s="56" t="s">
        <v>81</v>
      </c>
      <c r="I849" s="56" t="s">
        <v>81</v>
      </c>
      <c r="J849" s="56"/>
      <c r="K849" s="56"/>
      <c r="L849" s="56"/>
      <c r="M849" s="56"/>
      <c r="N849" s="56"/>
      <c r="O849" s="51" t="b">
        <v>0</v>
      </c>
      <c r="P849" s="51" t="b">
        <v>0</v>
      </c>
      <c r="Q849" s="51" t="b">
        <v>0</v>
      </c>
      <c r="R849" s="51" t="b">
        <v>0</v>
      </c>
      <c r="S849" s="51" t="b">
        <v>0</v>
      </c>
      <c r="T849" s="56"/>
    </row>
    <row r="850">
      <c r="A850" s="4" t="str">
        <f>IFERROR(__xludf.DUMMYFUNCTION("""COMPUTED_VALUE"""),"1639 - Channel")</f>
        <v>1639 - Channel</v>
      </c>
      <c r="B850" s="4" t="s">
        <v>19</v>
      </c>
      <c r="C850" s="4" t="s">
        <v>221</v>
      </c>
      <c r="D850" s="6">
        <v>0.5499074074074074</v>
      </c>
      <c r="E850" s="6">
        <v>0.0021412037037037038</v>
      </c>
      <c r="F850" s="6">
        <v>0.5520486111111111</v>
      </c>
      <c r="G850" s="4" t="s">
        <v>129</v>
      </c>
      <c r="H850" s="4" t="s">
        <v>165</v>
      </c>
      <c r="I850" s="4" t="s">
        <v>1235</v>
      </c>
      <c r="J850" s="4" t="s">
        <v>1236</v>
      </c>
      <c r="K850" s="4"/>
      <c r="L850" s="4"/>
      <c r="M850" s="4"/>
      <c r="N850" s="4"/>
      <c r="O850" s="51" t="b">
        <v>0</v>
      </c>
      <c r="P850" s="51" t="b">
        <v>0</v>
      </c>
      <c r="Q850" s="51" t="b">
        <v>0</v>
      </c>
      <c r="R850" s="51" t="b">
        <v>0</v>
      </c>
      <c r="S850" s="51" t="b">
        <v>0</v>
      </c>
    </row>
    <row r="851" hidden="1">
      <c r="A851" s="56" t="str">
        <f>IFERROR(__xludf.DUMMYFUNCTION("""COMPUTED_VALUE"""),"1676 - Channel")</f>
        <v>1676 - Channel</v>
      </c>
      <c r="B851" s="56" t="s">
        <v>19</v>
      </c>
      <c r="C851" s="56" t="s">
        <v>221</v>
      </c>
      <c r="D851" s="57">
        <v>0.5520486111111111</v>
      </c>
      <c r="E851" s="57">
        <v>3.4722222222222224E-4</v>
      </c>
      <c r="F851" s="57">
        <v>0.5523958333333334</v>
      </c>
      <c r="G851" s="56"/>
      <c r="H851" s="56" t="s">
        <v>87</v>
      </c>
      <c r="I851" s="56" t="s">
        <v>87</v>
      </c>
      <c r="J851" s="56"/>
      <c r="K851" s="56"/>
      <c r="L851" s="56"/>
      <c r="M851" s="56"/>
      <c r="N851" s="56"/>
      <c r="O851" s="51" t="b">
        <v>0</v>
      </c>
      <c r="P851" s="51" t="b">
        <v>0</v>
      </c>
      <c r="Q851" s="51" t="b">
        <v>0</v>
      </c>
      <c r="R851" s="51" t="b">
        <v>0</v>
      </c>
      <c r="S851" s="51" t="b">
        <v>0</v>
      </c>
      <c r="T851" s="56"/>
    </row>
    <row r="852" hidden="1">
      <c r="A852" s="4" t="str">
        <f>IFERROR(__xludf.DUMMYFUNCTION("""COMPUTED_VALUE"""),"942 - Channel")</f>
        <v>942 - Channel</v>
      </c>
      <c r="B852" s="4" t="s">
        <v>19</v>
      </c>
      <c r="C852" s="4" t="s">
        <v>221</v>
      </c>
      <c r="D852" s="6">
        <v>0.5523958333333334</v>
      </c>
      <c r="E852" s="6">
        <v>2.314814814814815E-4</v>
      </c>
      <c r="F852" s="6">
        <v>0.5526273148148149</v>
      </c>
      <c r="G852" s="4" t="s">
        <v>275</v>
      </c>
      <c r="H852" s="4" t="s">
        <v>81</v>
      </c>
      <c r="I852" s="4" t="s">
        <v>81</v>
      </c>
      <c r="J852" s="4"/>
      <c r="K852" s="4"/>
      <c r="L852" s="4"/>
      <c r="M852" s="4"/>
      <c r="N852" s="4" t="s">
        <v>70</v>
      </c>
      <c r="O852" s="51" t="b">
        <v>0</v>
      </c>
      <c r="P852" s="51" t="b">
        <v>0</v>
      </c>
      <c r="Q852" s="51" t="b">
        <v>0</v>
      </c>
      <c r="R852" s="51" t="b">
        <v>0</v>
      </c>
      <c r="S852" s="51" t="b">
        <v>0</v>
      </c>
    </row>
    <row r="853">
      <c r="A853" s="56" t="str">
        <f>IFERROR(__xludf.DUMMYFUNCTION("""COMPUTED_VALUE"""),"943 - Channel")</f>
        <v>943 - Channel</v>
      </c>
      <c r="B853" s="56" t="s">
        <v>19</v>
      </c>
      <c r="C853" s="56" t="s">
        <v>221</v>
      </c>
      <c r="D853" s="57">
        <v>0.5526273148148149</v>
      </c>
      <c r="E853" s="57">
        <v>0.013865740740740741</v>
      </c>
      <c r="F853" s="57">
        <v>0.5664930555555556</v>
      </c>
      <c r="G853" s="56" t="s">
        <v>275</v>
      </c>
      <c r="H853" s="56" t="s">
        <v>94</v>
      </c>
      <c r="I853" s="56" t="s">
        <v>1240</v>
      </c>
      <c r="J853" s="56" t="s">
        <v>1241</v>
      </c>
      <c r="K853" s="56"/>
      <c r="L853" s="56"/>
      <c r="M853" s="56"/>
      <c r="N853" s="56" t="s">
        <v>378</v>
      </c>
      <c r="O853" s="51" t="b">
        <v>0</v>
      </c>
      <c r="P853" s="51" t="b">
        <v>0</v>
      </c>
      <c r="Q853" s="51" t="b">
        <v>0</v>
      </c>
      <c r="R853" s="51" t="b">
        <v>0</v>
      </c>
      <c r="S853" s="51" t="b">
        <v>0</v>
      </c>
      <c r="T853" s="56"/>
    </row>
    <row r="854" hidden="1">
      <c r="A854" s="4" t="str">
        <f>IFERROR(__xludf.DUMMYFUNCTION("""COMPUTED_VALUE"""),"935 - Channel")</f>
        <v>935 - Channel</v>
      </c>
      <c r="B854" s="4" t="s">
        <v>19</v>
      </c>
      <c r="C854" s="4" t="s">
        <v>221</v>
      </c>
      <c r="D854" s="6">
        <v>0.5664930555555556</v>
      </c>
      <c r="E854" s="6">
        <v>2.314814814814815E-4</v>
      </c>
      <c r="F854" s="6">
        <v>0.5667245370370371</v>
      </c>
      <c r="G854" s="4" t="s">
        <v>275</v>
      </c>
      <c r="H854" s="4" t="s">
        <v>81</v>
      </c>
      <c r="I854" s="4" t="s">
        <v>81</v>
      </c>
      <c r="J854" s="4"/>
      <c r="K854" s="4"/>
      <c r="L854" s="4"/>
      <c r="M854" s="4"/>
      <c r="N854" s="4" t="s">
        <v>70</v>
      </c>
      <c r="O854" s="51" t="b">
        <v>0</v>
      </c>
      <c r="P854" s="51" t="b">
        <v>0</v>
      </c>
      <c r="Q854" s="51" t="b">
        <v>0</v>
      </c>
      <c r="R854" s="51" t="b">
        <v>0</v>
      </c>
      <c r="S854" s="51" t="b">
        <v>0</v>
      </c>
    </row>
    <row r="855">
      <c r="A855" s="4" t="str">
        <f>IFERROR(__xludf.DUMMYFUNCTION("""COMPUTED_VALUE"""),"936 - Channel")</f>
        <v>936 - Channel</v>
      </c>
      <c r="B855" s="4" t="s">
        <v>19</v>
      </c>
      <c r="C855" s="4" t="s">
        <v>221</v>
      </c>
      <c r="D855" s="6">
        <v>0.5667245370370371</v>
      </c>
      <c r="E855" s="6">
        <v>0.009039351851851852</v>
      </c>
      <c r="F855" s="6">
        <v>0.575763888888889</v>
      </c>
      <c r="G855" s="4" t="s">
        <v>275</v>
      </c>
      <c r="H855" s="4" t="s">
        <v>165</v>
      </c>
      <c r="I855" s="4" t="s">
        <v>1243</v>
      </c>
      <c r="J855" s="4" t="s">
        <v>1244</v>
      </c>
      <c r="K855" s="4"/>
      <c r="L855" s="4"/>
      <c r="M855" s="4"/>
      <c r="N855" s="4" t="s">
        <v>70</v>
      </c>
      <c r="O855" s="51" t="b">
        <v>0</v>
      </c>
      <c r="P855" s="51" t="b">
        <v>0</v>
      </c>
      <c r="Q855" s="51" t="b">
        <v>0</v>
      </c>
      <c r="R855" s="51" t="b">
        <v>0</v>
      </c>
      <c r="S855" s="51" t="b">
        <v>0</v>
      </c>
    </row>
    <row r="856" hidden="1">
      <c r="A856" s="56" t="str">
        <f>IFERROR(__xludf.DUMMYFUNCTION("""COMPUTED_VALUE"""),"949 - Channel")</f>
        <v>949 - Channel</v>
      </c>
      <c r="B856" s="56" t="s">
        <v>19</v>
      </c>
      <c r="C856" s="56" t="s">
        <v>221</v>
      </c>
      <c r="D856" s="57">
        <v>0.575763888888889</v>
      </c>
      <c r="E856" s="57">
        <v>2.314814814814815E-4</v>
      </c>
      <c r="F856" s="57">
        <v>0.5759953703703704</v>
      </c>
      <c r="G856" s="56"/>
      <c r="H856" s="56" t="s">
        <v>81</v>
      </c>
      <c r="I856" s="56" t="s">
        <v>81</v>
      </c>
      <c r="J856" s="56"/>
      <c r="K856" s="56"/>
      <c r="L856" s="56"/>
      <c r="M856" s="56"/>
      <c r="N856" s="56"/>
      <c r="O856" s="51" t="b">
        <v>0</v>
      </c>
      <c r="P856" s="51" t="b">
        <v>0</v>
      </c>
      <c r="Q856" s="51" t="b">
        <v>0</v>
      </c>
      <c r="R856" s="51" t="b">
        <v>0</v>
      </c>
      <c r="S856" s="51" t="b">
        <v>0</v>
      </c>
      <c r="T856" s="56"/>
    </row>
    <row r="857">
      <c r="A857" s="4" t="str">
        <f>IFERROR(__xludf.DUMMYFUNCTION("""COMPUTED_VALUE"""),"950 - Channel")</f>
        <v>950 - Channel</v>
      </c>
      <c r="B857" s="4" t="s">
        <v>19</v>
      </c>
      <c r="C857" s="4" t="s">
        <v>221</v>
      </c>
      <c r="D857" s="6">
        <v>0.5759953703703704</v>
      </c>
      <c r="E857" s="6">
        <v>0.0069328703703703705</v>
      </c>
      <c r="F857" s="6">
        <v>0.5829282407407408</v>
      </c>
      <c r="G857" s="4" t="s">
        <v>275</v>
      </c>
      <c r="H857" s="4" t="s">
        <v>165</v>
      </c>
      <c r="I857" s="4" t="s">
        <v>1248</v>
      </c>
      <c r="J857" s="4" t="s">
        <v>1249</v>
      </c>
      <c r="K857" s="4"/>
      <c r="L857" s="4"/>
      <c r="M857" s="4"/>
      <c r="N857" s="4" t="s">
        <v>70</v>
      </c>
      <c r="O857" s="51" t="b">
        <v>0</v>
      </c>
      <c r="P857" s="51" t="b">
        <v>0</v>
      </c>
      <c r="Q857" s="51" t="b">
        <v>0</v>
      </c>
      <c r="R857" s="51" t="b">
        <v>0</v>
      </c>
      <c r="S857" s="51" t="b">
        <v>0</v>
      </c>
    </row>
    <row r="858" hidden="1">
      <c r="A858" s="56" t="str">
        <f>IFERROR(__xludf.DUMMYFUNCTION("""COMPUTED_VALUE"""),"962 - Channel")</f>
        <v>962 - Channel</v>
      </c>
      <c r="B858" s="56" t="s">
        <v>19</v>
      </c>
      <c r="C858" s="56" t="s">
        <v>221</v>
      </c>
      <c r="D858" s="57">
        <v>0.5829282407407408</v>
      </c>
      <c r="E858" s="57">
        <v>3.4722222222222224E-4</v>
      </c>
      <c r="F858" s="57">
        <v>0.5832754629629631</v>
      </c>
      <c r="G858" s="56" t="s">
        <v>93</v>
      </c>
      <c r="H858" s="56" t="s">
        <v>506</v>
      </c>
      <c r="I858" s="56" t="s">
        <v>1141</v>
      </c>
      <c r="J858" s="56"/>
      <c r="K858" s="56"/>
      <c r="L858" s="56"/>
      <c r="M858" s="56"/>
      <c r="N858" s="56" t="s">
        <v>70</v>
      </c>
      <c r="O858" s="51" t="b">
        <v>0</v>
      </c>
      <c r="P858" s="51" t="b">
        <v>0</v>
      </c>
      <c r="Q858" s="51" t="b">
        <v>0</v>
      </c>
      <c r="R858" s="51" t="b">
        <v>0</v>
      </c>
      <c r="S858" s="51" t="b">
        <v>0</v>
      </c>
      <c r="T858" s="56"/>
    </row>
    <row r="859" hidden="1">
      <c r="A859" s="4" t="str">
        <f>IFERROR(__xludf.DUMMYFUNCTION("""COMPUTED_VALUE"""),"1350 - Channel")</f>
        <v>1350 - Channel</v>
      </c>
      <c r="B859" s="4" t="s">
        <v>19</v>
      </c>
      <c r="C859" s="4" t="s">
        <v>221</v>
      </c>
      <c r="D859" s="6"/>
      <c r="E859" s="6"/>
      <c r="F859" s="6"/>
      <c r="G859" s="4"/>
      <c r="H859" s="4"/>
      <c r="I859" s="4"/>
      <c r="J859" s="4"/>
      <c r="K859" s="4"/>
      <c r="L859" s="4"/>
      <c r="M859" s="4"/>
      <c r="N859" s="4"/>
      <c r="O859" s="51" t="b">
        <v>0</v>
      </c>
      <c r="P859" s="51" t="b">
        <v>0</v>
      </c>
      <c r="Q859" s="51" t="b">
        <v>0</v>
      </c>
      <c r="R859" s="51" t="b">
        <v>0</v>
      </c>
      <c r="S859" s="51" t="b">
        <v>0</v>
      </c>
    </row>
    <row r="860" hidden="1">
      <c r="A860" s="4" t="str">
        <f>IFERROR(__xludf.DUMMYFUNCTION("""COMPUTED_VALUE"""),"953 - Channel")</f>
        <v>953 - Channel</v>
      </c>
      <c r="B860" s="4" t="s">
        <v>19</v>
      </c>
      <c r="C860" s="4" t="s">
        <v>221</v>
      </c>
      <c r="D860" s="6">
        <v>0.5833333333333334</v>
      </c>
      <c r="E860" s="6">
        <v>3.4722222222222224E-4</v>
      </c>
      <c r="F860" s="6">
        <v>0.5836805555555556</v>
      </c>
      <c r="G860" s="4" t="s">
        <v>93</v>
      </c>
      <c r="H860" s="4" t="s">
        <v>81</v>
      </c>
      <c r="I860" s="4" t="s">
        <v>81</v>
      </c>
      <c r="J860" s="4"/>
      <c r="K860" s="4"/>
      <c r="L860" s="4"/>
      <c r="M860" s="4"/>
      <c r="N860" s="4" t="s">
        <v>70</v>
      </c>
      <c r="O860" s="51" t="b">
        <v>0</v>
      </c>
      <c r="P860" s="51" t="b">
        <v>0</v>
      </c>
      <c r="Q860" s="51" t="b">
        <v>0</v>
      </c>
      <c r="R860" s="51" t="b">
        <v>0</v>
      </c>
      <c r="S860" s="51" t="b">
        <v>0</v>
      </c>
    </row>
    <row r="861">
      <c r="A861" s="56" t="str">
        <f>IFERROR(__xludf.DUMMYFUNCTION("""COMPUTED_VALUE"""),"954 - Channel")</f>
        <v>954 - Channel</v>
      </c>
      <c r="B861" s="56" t="s">
        <v>19</v>
      </c>
      <c r="C861" s="56" t="s">
        <v>221</v>
      </c>
      <c r="D861" s="57">
        <v>0.5836805555555556</v>
      </c>
      <c r="E861" s="57">
        <v>0.00866898148148148</v>
      </c>
      <c r="F861" s="57">
        <v>0.5923495370370371</v>
      </c>
      <c r="G861" s="56" t="s">
        <v>93</v>
      </c>
      <c r="H861" s="56" t="s">
        <v>94</v>
      </c>
      <c r="I861" s="56" t="s">
        <v>1255</v>
      </c>
      <c r="J861" s="56" t="s">
        <v>1210</v>
      </c>
      <c r="K861" s="56"/>
      <c r="L861" s="56"/>
      <c r="M861" s="56"/>
      <c r="N861" s="56" t="s">
        <v>563</v>
      </c>
      <c r="O861" s="51" t="b">
        <v>0</v>
      </c>
      <c r="P861" s="51" t="b">
        <v>0</v>
      </c>
      <c r="Q861" s="51" t="b">
        <v>0</v>
      </c>
      <c r="R861" s="51" t="b">
        <v>0</v>
      </c>
      <c r="S861" s="51" t="b">
        <v>0</v>
      </c>
      <c r="T861" s="56"/>
    </row>
    <row r="862" hidden="1">
      <c r="A862" s="4" t="str">
        <f>IFERROR(__xludf.DUMMYFUNCTION("""COMPUTED_VALUE"""),"931 - Channel")</f>
        <v>931 - Channel</v>
      </c>
      <c r="B862" s="4" t="s">
        <v>19</v>
      </c>
      <c r="C862" s="4" t="s">
        <v>221</v>
      </c>
      <c r="D862" s="6">
        <v>0.5923495370370371</v>
      </c>
      <c r="E862" s="6">
        <v>2.314814814814815E-4</v>
      </c>
      <c r="F862" s="6">
        <v>0.5925810185185185</v>
      </c>
      <c r="G862" s="4" t="s">
        <v>441</v>
      </c>
      <c r="H862" s="4" t="s">
        <v>81</v>
      </c>
      <c r="I862" s="4" t="s">
        <v>81</v>
      </c>
      <c r="J862" s="4"/>
      <c r="K862" s="4"/>
      <c r="L862" s="4"/>
      <c r="M862" s="4"/>
      <c r="N862" s="4" t="s">
        <v>70</v>
      </c>
      <c r="O862" s="51" t="b">
        <v>0</v>
      </c>
      <c r="P862" s="51" t="b">
        <v>0</v>
      </c>
      <c r="Q862" s="51" t="b">
        <v>0</v>
      </c>
      <c r="R862" s="51" t="b">
        <v>0</v>
      </c>
      <c r="S862" s="51" t="b">
        <v>0</v>
      </c>
    </row>
    <row r="863">
      <c r="A863" s="56" t="str">
        <f>IFERROR(__xludf.DUMMYFUNCTION("""COMPUTED_VALUE"""),"932 - Channel")</f>
        <v>932 - Channel</v>
      </c>
      <c r="B863" s="56" t="s">
        <v>19</v>
      </c>
      <c r="C863" s="56" t="s">
        <v>221</v>
      </c>
      <c r="D863" s="57">
        <v>0.5925810185185185</v>
      </c>
      <c r="E863" s="57">
        <v>0.009236111111111112</v>
      </c>
      <c r="F863" s="57">
        <v>0.6018171296296296</v>
      </c>
      <c r="G863" s="56" t="s">
        <v>441</v>
      </c>
      <c r="H863" s="56" t="s">
        <v>94</v>
      </c>
      <c r="I863" s="56" t="s">
        <v>1257</v>
      </c>
      <c r="J863" s="56" t="s">
        <v>1258</v>
      </c>
      <c r="K863" s="56"/>
      <c r="L863" s="56"/>
      <c r="M863" s="56"/>
      <c r="N863" s="56" t="s">
        <v>1259</v>
      </c>
      <c r="O863" s="51" t="b">
        <v>0</v>
      </c>
      <c r="P863" s="51" t="b">
        <v>0</v>
      </c>
      <c r="Q863" s="51" t="b">
        <v>0</v>
      </c>
      <c r="R863" s="51" t="b">
        <v>0</v>
      </c>
      <c r="S863" s="51" t="b">
        <v>0</v>
      </c>
      <c r="T863" s="56"/>
    </row>
    <row r="864" hidden="1">
      <c r="A864" s="4" t="str">
        <f>IFERROR(__xludf.DUMMYFUNCTION("""COMPUTED_VALUE"""),"959 - Channel")</f>
        <v>959 - Channel</v>
      </c>
      <c r="B864" s="4" t="s">
        <v>19</v>
      </c>
      <c r="C864" s="4" t="s">
        <v>221</v>
      </c>
      <c r="D864" s="6">
        <v>0.6018171296296296</v>
      </c>
      <c r="E864" s="6">
        <v>2.314814814814815E-4</v>
      </c>
      <c r="F864" s="6">
        <v>0.6020486111111111</v>
      </c>
      <c r="G864" s="4" t="s">
        <v>93</v>
      </c>
      <c r="H864" s="4" t="s">
        <v>81</v>
      </c>
      <c r="I864" s="4" t="s">
        <v>81</v>
      </c>
      <c r="J864" s="4"/>
      <c r="K864" s="4"/>
      <c r="L864" s="4"/>
      <c r="M864" s="4"/>
      <c r="N864" s="4" t="s">
        <v>70</v>
      </c>
      <c r="O864" s="51" t="b">
        <v>0</v>
      </c>
      <c r="P864" s="51" t="b">
        <v>0</v>
      </c>
      <c r="Q864" s="51" t="b">
        <v>0</v>
      </c>
      <c r="R864" s="51" t="b">
        <v>0</v>
      </c>
      <c r="S864" s="51" t="b">
        <v>0</v>
      </c>
    </row>
    <row r="865">
      <c r="A865" s="56" t="str">
        <f>IFERROR(__xludf.DUMMYFUNCTION("""COMPUTED_VALUE"""),"960 - Channel")</f>
        <v>960 - Channel</v>
      </c>
      <c r="B865" s="56" t="s">
        <v>19</v>
      </c>
      <c r="C865" s="56" t="s">
        <v>221</v>
      </c>
      <c r="D865" s="57">
        <v>0.6020486111111111</v>
      </c>
      <c r="E865" s="57">
        <v>0.008263888888888888</v>
      </c>
      <c r="F865" s="57">
        <v>0.6103124999999999</v>
      </c>
      <c r="G865" s="56" t="s">
        <v>93</v>
      </c>
      <c r="H865" s="56" t="s">
        <v>94</v>
      </c>
      <c r="I865" s="56" t="s">
        <v>1262</v>
      </c>
      <c r="J865" s="56" t="s">
        <v>96</v>
      </c>
      <c r="K865" s="56"/>
      <c r="L865" s="56"/>
      <c r="M865" s="56"/>
      <c r="N865" s="56" t="s">
        <v>591</v>
      </c>
      <c r="O865" s="51" t="b">
        <v>0</v>
      </c>
      <c r="P865" s="51" t="b">
        <v>0</v>
      </c>
      <c r="Q865" s="51" t="b">
        <v>0</v>
      </c>
      <c r="R865" s="51" t="b">
        <v>0</v>
      </c>
      <c r="S865" s="51" t="b">
        <v>0</v>
      </c>
      <c r="T865" s="56"/>
    </row>
    <row r="866" hidden="1">
      <c r="A866" s="4" t="str">
        <f>IFERROR(__xludf.DUMMYFUNCTION("""COMPUTED_VALUE"""),"963 - Channel")</f>
        <v>963 - Channel</v>
      </c>
      <c r="B866" s="4" t="s">
        <v>19</v>
      </c>
      <c r="C866" s="4" t="s">
        <v>221</v>
      </c>
      <c r="D866" s="6">
        <v>0.6103124999999999</v>
      </c>
      <c r="E866" s="6">
        <v>2.314814814814815E-4</v>
      </c>
      <c r="F866" s="6">
        <v>0.6105439814814814</v>
      </c>
      <c r="G866" s="4" t="s">
        <v>93</v>
      </c>
      <c r="H866" s="4" t="s">
        <v>81</v>
      </c>
      <c r="I866" s="4" t="s">
        <v>81</v>
      </c>
      <c r="J866" s="4"/>
      <c r="K866" s="4"/>
      <c r="L866" s="4"/>
      <c r="M866" s="4"/>
      <c r="N866" s="4" t="s">
        <v>70</v>
      </c>
      <c r="O866" s="51" t="b">
        <v>0</v>
      </c>
      <c r="P866" s="51" t="b">
        <v>0</v>
      </c>
      <c r="Q866" s="51" t="b">
        <v>0</v>
      </c>
      <c r="R866" s="51" t="b">
        <v>0</v>
      </c>
      <c r="S866" s="51" t="b">
        <v>0</v>
      </c>
    </row>
    <row r="867">
      <c r="A867" s="4" t="str">
        <f>IFERROR(__xludf.DUMMYFUNCTION("""COMPUTED_VALUE"""),"964 - Channel")</f>
        <v>964 - Channel</v>
      </c>
      <c r="B867" s="4" t="s">
        <v>19</v>
      </c>
      <c r="C867" s="4" t="s">
        <v>221</v>
      </c>
      <c r="D867" s="6">
        <v>0.6105439814814814</v>
      </c>
      <c r="E867" s="6">
        <v>0.007025462962962963</v>
      </c>
      <c r="F867" s="6">
        <v>0.6175694444444443</v>
      </c>
      <c r="G867" s="4" t="s">
        <v>93</v>
      </c>
      <c r="H867" s="4" t="s">
        <v>94</v>
      </c>
      <c r="I867" s="4" t="s">
        <v>1266</v>
      </c>
      <c r="J867" s="4" t="s">
        <v>1267</v>
      </c>
      <c r="K867" s="4"/>
      <c r="L867" s="4"/>
      <c r="M867" s="4"/>
      <c r="N867" s="4" t="s">
        <v>1269</v>
      </c>
      <c r="O867" s="51" t="b">
        <v>0</v>
      </c>
      <c r="P867" s="51" t="b">
        <v>0</v>
      </c>
      <c r="Q867" s="51" t="b">
        <v>0</v>
      </c>
      <c r="R867" s="51" t="b">
        <v>0</v>
      </c>
      <c r="S867" s="51" t="b">
        <v>0</v>
      </c>
    </row>
    <row r="868" hidden="1">
      <c r="A868" s="56" t="str">
        <f>IFERROR(__xludf.DUMMYFUNCTION("""COMPUTED_VALUE"""),"966 - Channel")</f>
        <v>966 - Channel</v>
      </c>
      <c r="B868" s="56" t="s">
        <v>19</v>
      </c>
      <c r="C868" s="56" t="s">
        <v>221</v>
      </c>
      <c r="D868" s="57">
        <v>0.6175694444444443</v>
      </c>
      <c r="E868" s="57">
        <v>2.314814814814815E-4</v>
      </c>
      <c r="F868" s="57">
        <v>0.6178009259259257</v>
      </c>
      <c r="G868" s="56" t="s">
        <v>93</v>
      </c>
      <c r="H868" s="56" t="s">
        <v>81</v>
      </c>
      <c r="I868" s="56" t="s">
        <v>81</v>
      </c>
      <c r="J868" s="56"/>
      <c r="K868" s="56"/>
      <c r="L868" s="56"/>
      <c r="M868" s="56"/>
      <c r="N868" s="56" t="s">
        <v>70</v>
      </c>
      <c r="O868" s="51" t="b">
        <v>0</v>
      </c>
      <c r="P868" s="51" t="b">
        <v>0</v>
      </c>
      <c r="Q868" s="51" t="b">
        <v>0</v>
      </c>
      <c r="R868" s="51" t="b">
        <v>0</v>
      </c>
      <c r="S868" s="51" t="b">
        <v>0</v>
      </c>
      <c r="T868" s="56"/>
    </row>
    <row r="869">
      <c r="A869" s="4" t="str">
        <f>IFERROR(__xludf.DUMMYFUNCTION("""COMPUTED_VALUE"""),"967 - Channel")</f>
        <v>967 - Channel</v>
      </c>
      <c r="B869" s="4" t="s">
        <v>19</v>
      </c>
      <c r="C869" s="4" t="s">
        <v>221</v>
      </c>
      <c r="D869" s="6">
        <v>0.6178009259259257</v>
      </c>
      <c r="E869" s="6">
        <v>0.0077314814814814815</v>
      </c>
      <c r="F869" s="6">
        <v>0.6255324074074072</v>
      </c>
      <c r="G869" s="4" t="s">
        <v>93</v>
      </c>
      <c r="H869" s="4" t="s">
        <v>107</v>
      </c>
      <c r="I869" s="4" t="s">
        <v>1272</v>
      </c>
      <c r="J869" s="4" t="s">
        <v>795</v>
      </c>
      <c r="K869" s="4" t="s">
        <v>1273</v>
      </c>
      <c r="L869" s="4"/>
      <c r="M869" s="4"/>
      <c r="N869" s="4" t="s">
        <v>1274</v>
      </c>
      <c r="O869" s="51" t="b">
        <v>0</v>
      </c>
      <c r="P869" s="51" t="b">
        <v>0</v>
      </c>
      <c r="Q869" s="51" t="b">
        <v>0</v>
      </c>
      <c r="R869" s="51" t="b">
        <v>0</v>
      </c>
      <c r="S869" s="51" t="b">
        <v>0</v>
      </c>
    </row>
    <row r="870" hidden="1">
      <c r="A870" s="4" t="str">
        <f>IFERROR(__xludf.DUMMYFUNCTION("""COMPUTED_VALUE"""),"1351 - Channel")</f>
        <v>1351 - Channel</v>
      </c>
      <c r="B870" s="4" t="s">
        <v>19</v>
      </c>
      <c r="C870" s="4" t="s">
        <v>221</v>
      </c>
      <c r="D870" s="6"/>
      <c r="E870" s="6"/>
      <c r="F870" s="6"/>
      <c r="G870" s="4"/>
      <c r="H870" s="4"/>
      <c r="I870" s="4"/>
      <c r="J870" s="4"/>
      <c r="K870" s="4"/>
      <c r="L870" s="4"/>
      <c r="M870" s="4"/>
      <c r="N870" s="4"/>
      <c r="O870" s="51" t="b">
        <v>0</v>
      </c>
      <c r="P870" s="51" t="b">
        <v>0</v>
      </c>
      <c r="Q870" s="51" t="b">
        <v>0</v>
      </c>
      <c r="R870" s="51" t="b">
        <v>0</v>
      </c>
      <c r="S870" s="51" t="b">
        <v>0</v>
      </c>
    </row>
    <row r="871" hidden="1">
      <c r="A871" s="4" t="str">
        <f>IFERROR(__xludf.DUMMYFUNCTION("""COMPUTED_VALUE"""),"986 - Channel")</f>
        <v>986 - Channel</v>
      </c>
      <c r="B871" s="4" t="s">
        <v>19</v>
      </c>
      <c r="C871" s="4" t="s">
        <v>221</v>
      </c>
      <c r="D871" s="6">
        <v>0.625</v>
      </c>
      <c r="E871" s="6">
        <v>3.4722222222222224E-4</v>
      </c>
      <c r="F871" s="6">
        <v>0.6253472222222223</v>
      </c>
      <c r="G871" s="4" t="s">
        <v>331</v>
      </c>
      <c r="H871" s="4" t="s">
        <v>81</v>
      </c>
      <c r="I871" s="4" t="s">
        <v>81</v>
      </c>
      <c r="J871" s="4"/>
      <c r="K871" s="4"/>
      <c r="L871" s="4"/>
      <c r="M871" s="4"/>
      <c r="N871" s="4" t="s">
        <v>70</v>
      </c>
      <c r="O871" s="51" t="b">
        <v>0</v>
      </c>
      <c r="P871" s="51" t="b">
        <v>0</v>
      </c>
      <c r="Q871" s="51" t="b">
        <v>0</v>
      </c>
      <c r="R871" s="51" t="b">
        <v>0</v>
      </c>
      <c r="S871" s="51" t="b">
        <v>0</v>
      </c>
    </row>
    <row r="872">
      <c r="A872" s="4" t="str">
        <f>IFERROR(__xludf.DUMMYFUNCTION("""COMPUTED_VALUE"""),"987 - Channel")</f>
        <v>987 - Channel</v>
      </c>
      <c r="B872" s="4" t="s">
        <v>19</v>
      </c>
      <c r="C872" s="4" t="s">
        <v>221</v>
      </c>
      <c r="D872" s="6">
        <v>0.6253472222222223</v>
      </c>
      <c r="E872" s="6">
        <v>0.010833333333333334</v>
      </c>
      <c r="F872" s="6">
        <v>0.6361805555555556</v>
      </c>
      <c r="G872" s="4" t="s">
        <v>331</v>
      </c>
      <c r="H872" s="4" t="s">
        <v>94</v>
      </c>
      <c r="I872" s="4" t="s">
        <v>1276</v>
      </c>
      <c r="J872" s="4" t="s">
        <v>1277</v>
      </c>
      <c r="K872" s="4"/>
      <c r="L872" s="4"/>
      <c r="M872" s="4"/>
      <c r="N872" s="4" t="s">
        <v>1278</v>
      </c>
      <c r="O872" s="51" t="b">
        <v>0</v>
      </c>
      <c r="P872" s="51" t="b">
        <v>0</v>
      </c>
      <c r="Q872" s="51" t="b">
        <v>0</v>
      </c>
      <c r="R872" s="51" t="b">
        <v>0</v>
      </c>
      <c r="S872" s="51" t="b">
        <v>0</v>
      </c>
    </row>
    <row r="873" hidden="1">
      <c r="A873" s="4" t="str">
        <f>IFERROR(__xludf.DUMMYFUNCTION("""COMPUTED_VALUE"""),"973 - Channel")</f>
        <v>973 - Channel</v>
      </c>
      <c r="B873" s="4" t="s">
        <v>19</v>
      </c>
      <c r="C873" s="4" t="s">
        <v>221</v>
      </c>
      <c r="D873" s="6">
        <v>0.6361805555555556</v>
      </c>
      <c r="E873" s="6">
        <v>2.314814814814815E-4</v>
      </c>
      <c r="F873" s="6">
        <v>0.6364120370370371</v>
      </c>
      <c r="G873" s="4" t="s">
        <v>398</v>
      </c>
      <c r="H873" s="4" t="s">
        <v>81</v>
      </c>
      <c r="I873" s="4" t="s">
        <v>81</v>
      </c>
      <c r="J873" s="4"/>
      <c r="K873" s="4"/>
      <c r="L873" s="4"/>
      <c r="M873" s="4"/>
      <c r="N873" s="4" t="s">
        <v>70</v>
      </c>
      <c r="O873" s="51" t="b">
        <v>0</v>
      </c>
      <c r="P873" s="51" t="b">
        <v>0</v>
      </c>
      <c r="Q873" s="51" t="b">
        <v>0</v>
      </c>
      <c r="R873" s="51" t="b">
        <v>0</v>
      </c>
      <c r="S873" s="51" t="b">
        <v>0</v>
      </c>
    </row>
    <row r="874">
      <c r="A874" s="4" t="str">
        <f>IFERROR(__xludf.DUMMYFUNCTION("""COMPUTED_VALUE"""),"974 - Channel")</f>
        <v>974 - Channel</v>
      </c>
      <c r="B874" s="4" t="s">
        <v>19</v>
      </c>
      <c r="C874" s="4" t="s">
        <v>221</v>
      </c>
      <c r="D874" s="6">
        <v>0.6364120370370371</v>
      </c>
      <c r="E874" s="6">
        <v>0.013888888888888888</v>
      </c>
      <c r="F874" s="6">
        <v>0.6503009259259259</v>
      </c>
      <c r="G874" s="4" t="s">
        <v>398</v>
      </c>
      <c r="H874" s="4" t="s">
        <v>94</v>
      </c>
      <c r="I874" s="4" t="s">
        <v>1280</v>
      </c>
      <c r="J874" s="4" t="s">
        <v>1281</v>
      </c>
      <c r="K874" s="4"/>
      <c r="L874" s="4"/>
      <c r="M874" s="4"/>
      <c r="N874" s="4" t="s">
        <v>520</v>
      </c>
      <c r="O874" s="51" t="b">
        <v>0</v>
      </c>
      <c r="P874" s="51" t="b">
        <v>0</v>
      </c>
      <c r="Q874" s="51" t="b">
        <v>0</v>
      </c>
      <c r="R874" s="51" t="b">
        <v>0</v>
      </c>
      <c r="S874" s="51" t="b">
        <v>0</v>
      </c>
    </row>
    <row r="875" hidden="1">
      <c r="A875" s="56" t="str">
        <f>IFERROR(__xludf.DUMMYFUNCTION("""COMPUTED_VALUE"""),"978 - Channel")</f>
        <v>978 - Channel</v>
      </c>
      <c r="B875" s="56" t="s">
        <v>19</v>
      </c>
      <c r="C875" s="56" t="s">
        <v>221</v>
      </c>
      <c r="D875" s="57">
        <v>0.6503009259259259</v>
      </c>
      <c r="E875" s="57">
        <v>2.314814814814815E-4</v>
      </c>
      <c r="F875" s="57">
        <v>0.6505324074074074</v>
      </c>
      <c r="G875" s="56" t="s">
        <v>398</v>
      </c>
      <c r="H875" s="56" t="s">
        <v>81</v>
      </c>
      <c r="I875" s="56" t="s">
        <v>81</v>
      </c>
      <c r="J875" s="56"/>
      <c r="K875" s="56"/>
      <c r="L875" s="56"/>
      <c r="M875" s="56"/>
      <c r="N875" s="56" t="s">
        <v>70</v>
      </c>
      <c r="O875" s="51" t="b">
        <v>0</v>
      </c>
      <c r="P875" s="51" t="b">
        <v>0</v>
      </c>
      <c r="Q875" s="51" t="b">
        <v>0</v>
      </c>
      <c r="R875" s="51" t="b">
        <v>0</v>
      </c>
      <c r="S875" s="51" t="b">
        <v>0</v>
      </c>
      <c r="T875" s="56"/>
    </row>
    <row r="876">
      <c r="A876" s="4" t="str">
        <f>IFERROR(__xludf.DUMMYFUNCTION("""COMPUTED_VALUE"""),"979 - Channel")</f>
        <v>979 - Channel</v>
      </c>
      <c r="B876" s="4" t="s">
        <v>19</v>
      </c>
      <c r="C876" s="4" t="s">
        <v>221</v>
      </c>
      <c r="D876" s="6">
        <v>0.6505324074074074</v>
      </c>
      <c r="E876" s="6">
        <v>0.010439814814814815</v>
      </c>
      <c r="F876" s="6">
        <v>0.6609722222222222</v>
      </c>
      <c r="G876" s="4" t="s">
        <v>398</v>
      </c>
      <c r="H876" s="4" t="s">
        <v>94</v>
      </c>
      <c r="I876" s="4" t="s">
        <v>1283</v>
      </c>
      <c r="J876" s="4" t="s">
        <v>1284</v>
      </c>
      <c r="K876" s="4"/>
      <c r="L876" s="4"/>
      <c r="M876" s="4"/>
      <c r="N876" s="4" t="s">
        <v>1286</v>
      </c>
      <c r="O876" s="51" t="b">
        <v>0</v>
      </c>
      <c r="P876" s="51" t="b">
        <v>0</v>
      </c>
      <c r="Q876" s="51" t="b">
        <v>0</v>
      </c>
      <c r="R876" s="51" t="b">
        <v>0</v>
      </c>
      <c r="S876" s="51" t="b">
        <v>0</v>
      </c>
    </row>
    <row r="877" hidden="1">
      <c r="A877" s="56" t="str">
        <f>IFERROR(__xludf.DUMMYFUNCTION("""COMPUTED_VALUE"""),"1675 - Channel")</f>
        <v>1675 - Channel</v>
      </c>
      <c r="B877" s="56" t="s">
        <v>19</v>
      </c>
      <c r="C877" s="56" t="s">
        <v>221</v>
      </c>
      <c r="D877" s="57">
        <v>0.6609722222222222</v>
      </c>
      <c r="E877" s="57">
        <v>0.0010416666666666667</v>
      </c>
      <c r="F877" s="57">
        <v>0.6620138888888889</v>
      </c>
      <c r="G877" s="56"/>
      <c r="H877" s="56" t="s">
        <v>67</v>
      </c>
      <c r="I877" s="56" t="s">
        <v>67</v>
      </c>
      <c r="J877" s="56"/>
      <c r="K877" s="56"/>
      <c r="L877" s="56"/>
      <c r="M877" s="56"/>
      <c r="N877" s="56"/>
      <c r="O877" s="51" t="b">
        <v>0</v>
      </c>
      <c r="P877" s="51" t="b">
        <v>0</v>
      </c>
      <c r="Q877" s="51" t="b">
        <v>0</v>
      </c>
      <c r="R877" s="51" t="b">
        <v>0</v>
      </c>
      <c r="S877" s="51" t="b">
        <v>0</v>
      </c>
      <c r="T877" s="56"/>
    </row>
    <row r="878" hidden="1">
      <c r="A878" s="56" t="str">
        <f>IFERROR(__xludf.DUMMYFUNCTION("""COMPUTED_VALUE"""),"990 - Channel")</f>
        <v>990 - Channel</v>
      </c>
      <c r="B878" s="56" t="s">
        <v>19</v>
      </c>
      <c r="C878" s="56" t="s">
        <v>221</v>
      </c>
      <c r="D878" s="57">
        <v>0.6620138888888889</v>
      </c>
      <c r="E878" s="57">
        <v>2.314814814814815E-4</v>
      </c>
      <c r="F878" s="57">
        <v>0.6622453703703703</v>
      </c>
      <c r="G878" s="56" t="s">
        <v>331</v>
      </c>
      <c r="H878" s="56" t="s">
        <v>81</v>
      </c>
      <c r="I878" s="56" t="s">
        <v>81</v>
      </c>
      <c r="J878" s="56"/>
      <c r="K878" s="56"/>
      <c r="L878" s="56"/>
      <c r="M878" s="56"/>
      <c r="N878" s="56" t="s">
        <v>70</v>
      </c>
      <c r="O878" s="51" t="b">
        <v>0</v>
      </c>
      <c r="P878" s="51" t="b">
        <v>0</v>
      </c>
      <c r="Q878" s="51" t="b">
        <v>0</v>
      </c>
      <c r="R878" s="51" t="b">
        <v>0</v>
      </c>
      <c r="S878" s="51" t="b">
        <v>0</v>
      </c>
      <c r="T878" s="56"/>
    </row>
    <row r="879">
      <c r="A879" s="4" t="str">
        <f>IFERROR(__xludf.DUMMYFUNCTION("""COMPUTED_VALUE"""),"991 - Channel")</f>
        <v>991 - Channel</v>
      </c>
      <c r="B879" s="4" t="s">
        <v>19</v>
      </c>
      <c r="C879" s="4" t="s">
        <v>221</v>
      </c>
      <c r="D879" s="6">
        <v>0.6622453703703703</v>
      </c>
      <c r="E879" s="6">
        <v>0.0022800925925925927</v>
      </c>
      <c r="F879" s="6">
        <v>0.6645254629629629</v>
      </c>
      <c r="G879" s="4" t="s">
        <v>331</v>
      </c>
      <c r="H879" s="4" t="s">
        <v>165</v>
      </c>
      <c r="I879" s="4" t="s">
        <v>1289</v>
      </c>
      <c r="J879" s="4" t="s">
        <v>1290</v>
      </c>
      <c r="K879" s="4"/>
      <c r="L879" s="4"/>
      <c r="M879" s="4"/>
      <c r="N879" s="4" t="s">
        <v>70</v>
      </c>
      <c r="O879" s="51" t="b">
        <v>0</v>
      </c>
      <c r="P879" s="51" t="b">
        <v>0</v>
      </c>
      <c r="Q879" s="51" t="b">
        <v>0</v>
      </c>
      <c r="R879" s="51" t="b">
        <v>0</v>
      </c>
      <c r="S879" s="51" t="b">
        <v>0</v>
      </c>
    </row>
    <row r="880" hidden="1">
      <c r="A880" s="56" t="str">
        <f>IFERROR(__xludf.DUMMYFUNCTION("""COMPUTED_VALUE"""),"981 - Channel")</f>
        <v>981 - Channel</v>
      </c>
      <c r="B880" s="56" t="s">
        <v>19</v>
      </c>
      <c r="C880" s="56" t="s">
        <v>221</v>
      </c>
      <c r="D880" s="57">
        <v>0.6645254629629629</v>
      </c>
      <c r="E880" s="57">
        <v>2.314814814814815E-4</v>
      </c>
      <c r="F880" s="57">
        <v>0.6647569444444443</v>
      </c>
      <c r="G880" s="56" t="s">
        <v>398</v>
      </c>
      <c r="H880" s="56" t="s">
        <v>81</v>
      </c>
      <c r="I880" s="56" t="s">
        <v>81</v>
      </c>
      <c r="J880" s="56"/>
      <c r="K880" s="56"/>
      <c r="L880" s="56"/>
      <c r="M880" s="56"/>
      <c r="N880" s="56" t="s">
        <v>70</v>
      </c>
      <c r="O880" s="51" t="b">
        <v>0</v>
      </c>
      <c r="P880" s="51" t="b">
        <v>0</v>
      </c>
      <c r="Q880" s="51" t="b">
        <v>0</v>
      </c>
      <c r="R880" s="51" t="b">
        <v>0</v>
      </c>
      <c r="S880" s="51" t="b">
        <v>0</v>
      </c>
      <c r="T880" s="56"/>
    </row>
    <row r="881">
      <c r="A881" s="56" t="str">
        <f>IFERROR(__xludf.DUMMYFUNCTION("""COMPUTED_VALUE"""),"982 - Channel")</f>
        <v>982 - Channel</v>
      </c>
      <c r="B881" s="56" t="s">
        <v>19</v>
      </c>
      <c r="C881" s="56" t="s">
        <v>221</v>
      </c>
      <c r="D881" s="57">
        <v>0.6647569444444443</v>
      </c>
      <c r="E881" s="57">
        <v>0.0018402777777777777</v>
      </c>
      <c r="F881" s="57">
        <v>0.6665972222222221</v>
      </c>
      <c r="G881" s="56" t="s">
        <v>398</v>
      </c>
      <c r="H881" s="56" t="s">
        <v>165</v>
      </c>
      <c r="I881" s="56" t="s">
        <v>1294</v>
      </c>
      <c r="J881" s="56" t="s">
        <v>1295</v>
      </c>
      <c r="K881" s="56"/>
      <c r="L881" s="56"/>
      <c r="M881" s="56"/>
      <c r="N881" s="56" t="s">
        <v>70</v>
      </c>
      <c r="O881" s="51" t="b">
        <v>0</v>
      </c>
      <c r="P881" s="51" t="b">
        <v>0</v>
      </c>
      <c r="Q881" s="51" t="b">
        <v>0</v>
      </c>
      <c r="R881" s="51" t="b">
        <v>0</v>
      </c>
      <c r="S881" s="51" t="b">
        <v>0</v>
      </c>
      <c r="T881" s="56"/>
    </row>
    <row r="882" hidden="1">
      <c r="A882" s="4" t="str">
        <f>IFERROR(__xludf.DUMMYFUNCTION("""COMPUTED_VALUE"""),"1580 - Channel")</f>
        <v>1580 - Channel</v>
      </c>
      <c r="B882" s="4" t="s">
        <v>19</v>
      </c>
      <c r="C882" s="4"/>
      <c r="D882" s="6"/>
      <c r="E882" s="6"/>
      <c r="F882" s="6"/>
      <c r="G882" s="4"/>
      <c r="H882" s="4"/>
      <c r="I882" s="4"/>
      <c r="J882" s="4"/>
      <c r="K882" s="4"/>
      <c r="L882" s="4"/>
      <c r="M882" s="4"/>
      <c r="N882" s="4"/>
      <c r="O882" s="51" t="b">
        <v>0</v>
      </c>
      <c r="P882" s="51" t="b">
        <v>0</v>
      </c>
      <c r="Q882" s="51" t="b">
        <v>0</v>
      </c>
      <c r="R882" s="51" t="b">
        <v>0</v>
      </c>
      <c r="S882" s="51" t="b">
        <v>0</v>
      </c>
    </row>
    <row r="883" hidden="1">
      <c r="A883" s="56" t="str">
        <f>IFERROR(__xludf.DUMMYFUNCTION("""COMPUTED_VALUE"""),"1562 - Channel")</f>
        <v>1562 - Channel</v>
      </c>
      <c r="B883" s="56" t="s">
        <v>19</v>
      </c>
      <c r="C883" s="56" t="s">
        <v>221</v>
      </c>
      <c r="D883" s="57">
        <v>0.6666666666666666</v>
      </c>
      <c r="E883" s="57">
        <v>3.4722222222222224E-4</v>
      </c>
      <c r="F883" s="57">
        <v>0.6670138888888889</v>
      </c>
      <c r="G883" s="56"/>
      <c r="H883" s="56" t="s">
        <v>81</v>
      </c>
      <c r="I883" s="56" t="s">
        <v>1127</v>
      </c>
      <c r="J883" s="56"/>
      <c r="K883" s="56"/>
      <c r="L883" s="56"/>
      <c r="M883" s="56"/>
      <c r="N883" s="56"/>
      <c r="O883" s="51" t="b">
        <v>0</v>
      </c>
      <c r="P883" s="51" t="b">
        <v>0</v>
      </c>
      <c r="Q883" s="51" t="b">
        <v>0</v>
      </c>
      <c r="R883" s="51" t="b">
        <v>0</v>
      </c>
      <c r="S883" s="51" t="b">
        <v>0</v>
      </c>
      <c r="T883" s="56"/>
    </row>
    <row r="884">
      <c r="A884" s="4" t="str">
        <f>IFERROR(__xludf.DUMMYFUNCTION("""COMPUTED_VALUE"""),"1264 - Channel")</f>
        <v>1264 - Channel</v>
      </c>
      <c r="B884" s="4" t="s">
        <v>19</v>
      </c>
      <c r="C884" s="4" t="s">
        <v>221</v>
      </c>
      <c r="D884" s="6">
        <v>0.6670138888888889</v>
      </c>
      <c r="E884" s="6">
        <v>0.010416666666666666</v>
      </c>
      <c r="F884" s="6">
        <v>0.6774305555555555</v>
      </c>
      <c r="G884" s="4" t="s">
        <v>368</v>
      </c>
      <c r="H884" s="4" t="s">
        <v>74</v>
      </c>
      <c r="I884" s="4" t="s">
        <v>1298</v>
      </c>
      <c r="J884" s="4" t="s">
        <v>1299</v>
      </c>
      <c r="K884" s="4" t="s">
        <v>1300</v>
      </c>
      <c r="L884" s="4"/>
      <c r="M884" s="4"/>
      <c r="N884" s="4" t="s">
        <v>253</v>
      </c>
      <c r="O884" s="51" t="b">
        <v>0</v>
      </c>
      <c r="P884" s="51" t="b">
        <v>0</v>
      </c>
      <c r="Q884" s="51" t="b">
        <v>0</v>
      </c>
      <c r="R884" s="51" t="b">
        <v>0</v>
      </c>
      <c r="S884" s="51" t="b">
        <v>0</v>
      </c>
    </row>
    <row r="885" hidden="1">
      <c r="A885" s="56" t="str">
        <f>IFERROR(__xludf.DUMMYFUNCTION("""COMPUTED_VALUE"""),"994 - Channel")</f>
        <v>994 - Channel</v>
      </c>
      <c r="B885" s="56" t="s">
        <v>19</v>
      </c>
      <c r="C885" s="56" t="s">
        <v>221</v>
      </c>
      <c r="D885" s="57">
        <v>0.6774305555555555</v>
      </c>
      <c r="E885" s="57">
        <v>2.314814814814815E-4</v>
      </c>
      <c r="F885" s="57">
        <v>0.677662037037037</v>
      </c>
      <c r="G885" s="56" t="s">
        <v>331</v>
      </c>
      <c r="H885" s="56" t="s">
        <v>81</v>
      </c>
      <c r="I885" s="56" t="s">
        <v>81</v>
      </c>
      <c r="J885" s="56"/>
      <c r="K885" s="56"/>
      <c r="L885" s="56"/>
      <c r="M885" s="56"/>
      <c r="N885" s="56" t="s">
        <v>70</v>
      </c>
      <c r="O885" s="51" t="b">
        <v>0</v>
      </c>
      <c r="P885" s="51" t="b">
        <v>0</v>
      </c>
      <c r="Q885" s="51" t="b">
        <v>0</v>
      </c>
      <c r="R885" s="51" t="b">
        <v>0</v>
      </c>
      <c r="S885" s="51" t="b">
        <v>0</v>
      </c>
      <c r="T885" s="56"/>
    </row>
    <row r="886">
      <c r="A886" s="4" t="str">
        <f>IFERROR(__xludf.DUMMYFUNCTION("""COMPUTED_VALUE"""),"995 - Channel")</f>
        <v>995 - Channel</v>
      </c>
      <c r="B886" s="4" t="s">
        <v>19</v>
      </c>
      <c r="C886" s="4" t="s">
        <v>221</v>
      </c>
      <c r="D886" s="6">
        <v>0.677662037037037</v>
      </c>
      <c r="E886" s="6">
        <v>0.014050925925925927</v>
      </c>
      <c r="F886" s="6">
        <v>0.6917129629629629</v>
      </c>
      <c r="G886" s="4" t="s">
        <v>331</v>
      </c>
      <c r="H886" s="4" t="s">
        <v>94</v>
      </c>
      <c r="I886" s="4" t="s">
        <v>1302</v>
      </c>
      <c r="J886" s="4" t="s">
        <v>1304</v>
      </c>
      <c r="K886" s="4"/>
      <c r="L886" s="4"/>
      <c r="M886" s="4"/>
      <c r="N886" s="4" t="s">
        <v>1305</v>
      </c>
      <c r="O886" s="51" t="b">
        <v>0</v>
      </c>
      <c r="P886" s="51" t="b">
        <v>0</v>
      </c>
      <c r="Q886" s="51" t="b">
        <v>0</v>
      </c>
      <c r="R886" s="51" t="b">
        <v>0</v>
      </c>
      <c r="S886" s="51" t="b">
        <v>0</v>
      </c>
    </row>
    <row r="887" hidden="1">
      <c r="A887" s="56" t="str">
        <f>IFERROR(__xludf.DUMMYFUNCTION("""COMPUTED_VALUE"""),"1373 - Channel")</f>
        <v>1373 - Channel</v>
      </c>
      <c r="B887" s="56" t="s">
        <v>19</v>
      </c>
      <c r="C887" s="56" t="s">
        <v>221</v>
      </c>
      <c r="D887" s="57">
        <v>0.6917129629629629</v>
      </c>
      <c r="E887" s="57">
        <v>2.314814814814815E-4</v>
      </c>
      <c r="F887" s="57">
        <v>0.6919444444444444</v>
      </c>
      <c r="G887" s="56"/>
      <c r="H887" s="56" t="s">
        <v>81</v>
      </c>
      <c r="I887" s="56" t="s">
        <v>81</v>
      </c>
      <c r="J887" s="56"/>
      <c r="K887" s="56"/>
      <c r="L887" s="56"/>
      <c r="M887" s="56"/>
      <c r="N887" s="56"/>
      <c r="O887" s="51" t="b">
        <v>0</v>
      </c>
      <c r="P887" s="51" t="b">
        <v>0</v>
      </c>
      <c r="Q887" s="51" t="b">
        <v>0</v>
      </c>
      <c r="R887" s="51" t="b">
        <v>0</v>
      </c>
      <c r="S887" s="51" t="b">
        <v>0</v>
      </c>
      <c r="T887" s="56"/>
    </row>
    <row r="888">
      <c r="A888" s="4" t="str">
        <f>IFERROR(__xludf.DUMMYFUNCTION("""COMPUTED_VALUE"""),"250 - Channel")</f>
        <v>250 - Channel</v>
      </c>
      <c r="B888" s="4" t="s">
        <v>19</v>
      </c>
      <c r="C888" s="4" t="s">
        <v>221</v>
      </c>
      <c r="D888" s="6">
        <v>0.6919444444444444</v>
      </c>
      <c r="E888" s="6">
        <v>0.008680555555555556</v>
      </c>
      <c r="F888" s="6">
        <v>0.7006249999999999</v>
      </c>
      <c r="G888" s="4" t="s">
        <v>129</v>
      </c>
      <c r="H888" s="4" t="s">
        <v>107</v>
      </c>
      <c r="I888" s="4" t="s">
        <v>1306</v>
      </c>
      <c r="J888" s="4" t="s">
        <v>1307</v>
      </c>
      <c r="K888" s="4" t="s">
        <v>1308</v>
      </c>
      <c r="L888" s="4"/>
      <c r="M888" s="4"/>
      <c r="N888" s="4" t="s">
        <v>1309</v>
      </c>
      <c r="O888" s="51" t="b">
        <v>0</v>
      </c>
      <c r="P888" s="51" t="b">
        <v>0</v>
      </c>
      <c r="Q888" s="51" t="b">
        <v>0</v>
      </c>
      <c r="R888" s="51" t="b">
        <v>0</v>
      </c>
      <c r="S888" s="51" t="b">
        <v>0</v>
      </c>
    </row>
    <row r="889" hidden="1">
      <c r="A889" s="4" t="str">
        <f>IFERROR(__xludf.DUMMYFUNCTION("""COMPUTED_VALUE"""),"1659 - Channel")</f>
        <v>1659 - Channel</v>
      </c>
      <c r="B889" s="4" t="s">
        <v>19</v>
      </c>
      <c r="C889" s="4" t="s">
        <v>221</v>
      </c>
      <c r="D889" s="6">
        <v>0.7006249999999999</v>
      </c>
      <c r="E889" s="6">
        <v>1.7361111111111112E-4</v>
      </c>
      <c r="F889" s="6">
        <v>0.7007986111111111</v>
      </c>
      <c r="G889" s="4"/>
      <c r="H889" s="4" t="s">
        <v>77</v>
      </c>
      <c r="I889" s="4" t="s">
        <v>1098</v>
      </c>
      <c r="J889" s="4"/>
      <c r="K889" s="4"/>
      <c r="L889" s="4"/>
      <c r="M889" s="4"/>
      <c r="N889" s="4"/>
      <c r="O889" s="51" t="b">
        <v>0</v>
      </c>
      <c r="P889" s="51" t="b">
        <v>0</v>
      </c>
      <c r="Q889" s="51" t="b">
        <v>0</v>
      </c>
      <c r="R889" s="51" t="b">
        <v>0</v>
      </c>
      <c r="S889" s="51" t="b">
        <v>0</v>
      </c>
    </row>
    <row r="890" hidden="1">
      <c r="A890" s="4" t="str">
        <f>IFERROR(__xludf.DUMMYFUNCTION("""COMPUTED_VALUE"""),"1000 - Channel")</f>
        <v>1000 - Channel</v>
      </c>
      <c r="B890" s="4" t="s">
        <v>19</v>
      </c>
      <c r="C890" s="4" t="s">
        <v>221</v>
      </c>
      <c r="D890" s="6">
        <v>0.7007986111111111</v>
      </c>
      <c r="E890" s="6">
        <v>2.314814814814815E-4</v>
      </c>
      <c r="F890" s="6">
        <v>0.7010300925925925</v>
      </c>
      <c r="G890" s="4" t="s">
        <v>331</v>
      </c>
      <c r="H890" s="4" t="s">
        <v>81</v>
      </c>
      <c r="I890" s="4" t="s">
        <v>81</v>
      </c>
      <c r="J890" s="4"/>
      <c r="K890" s="4"/>
      <c r="L890" s="4"/>
      <c r="M890" s="4"/>
      <c r="N890" s="4" t="s">
        <v>70</v>
      </c>
      <c r="O890" s="51" t="b">
        <v>0</v>
      </c>
      <c r="P890" s="51" t="b">
        <v>0</v>
      </c>
      <c r="Q890" s="51" t="b">
        <v>0</v>
      </c>
      <c r="R890" s="51" t="b">
        <v>0</v>
      </c>
      <c r="S890" s="51" t="b">
        <v>0</v>
      </c>
    </row>
    <row r="891">
      <c r="A891" s="56" t="str">
        <f>IFERROR(__xludf.DUMMYFUNCTION("""COMPUTED_VALUE"""),"1001 - Channel")</f>
        <v>1001 - Channel</v>
      </c>
      <c r="B891" s="56" t="s">
        <v>19</v>
      </c>
      <c r="C891" s="56" t="s">
        <v>221</v>
      </c>
      <c r="D891" s="57">
        <v>0.7010300925925925</v>
      </c>
      <c r="E891" s="57">
        <v>0.0068865740740740745</v>
      </c>
      <c r="F891" s="57">
        <v>0.7079166666666666</v>
      </c>
      <c r="G891" s="56" t="s">
        <v>331</v>
      </c>
      <c r="H891" s="56" t="s">
        <v>94</v>
      </c>
      <c r="I891" s="56" t="s">
        <v>1311</v>
      </c>
      <c r="J891" s="56" t="s">
        <v>1312</v>
      </c>
      <c r="K891" s="56"/>
      <c r="L891" s="56"/>
      <c r="M891" s="56"/>
      <c r="N891" s="56" t="s">
        <v>1313</v>
      </c>
      <c r="O891" s="51" t="b">
        <v>0</v>
      </c>
      <c r="P891" s="51" t="b">
        <v>0</v>
      </c>
      <c r="Q891" s="51" t="b">
        <v>0</v>
      </c>
      <c r="R891" s="51" t="b">
        <v>0</v>
      </c>
      <c r="S891" s="51" t="b">
        <v>0</v>
      </c>
      <c r="T891" s="56"/>
    </row>
    <row r="892" hidden="1">
      <c r="A892" s="4" t="str">
        <f>IFERROR(__xludf.DUMMYFUNCTION("""COMPUTED_VALUE"""),"1003 - Channel")</f>
        <v>1003 - Channel</v>
      </c>
      <c r="B892" s="4" t="s">
        <v>19</v>
      </c>
      <c r="C892" s="4" t="s">
        <v>221</v>
      </c>
      <c r="D892" s="6">
        <v>0.7079166666666666</v>
      </c>
      <c r="E892" s="6">
        <v>3.4722222222222224E-4</v>
      </c>
      <c r="F892" s="6">
        <v>0.7082638888888889</v>
      </c>
      <c r="G892" s="4"/>
      <c r="H892" s="4" t="s">
        <v>598</v>
      </c>
      <c r="I892" s="4" t="s">
        <v>1171</v>
      </c>
      <c r="J892" s="4"/>
      <c r="K892" s="4"/>
      <c r="L892" s="4"/>
      <c r="M892" s="4"/>
      <c r="N892" s="4" t="s">
        <v>70</v>
      </c>
      <c r="O892" s="51" t="b">
        <v>0</v>
      </c>
      <c r="P892" s="51" t="b">
        <v>0</v>
      </c>
      <c r="Q892" s="51" t="b">
        <v>0</v>
      </c>
      <c r="R892" s="51" t="b">
        <v>0</v>
      </c>
      <c r="S892" s="51" t="b">
        <v>0</v>
      </c>
    </row>
    <row r="893" hidden="1">
      <c r="A893" s="4" t="str">
        <f>IFERROR(__xludf.DUMMYFUNCTION("""COMPUTED_VALUE"""),"1575 - Channel")</f>
        <v>1575 - Channel</v>
      </c>
      <c r="B893" s="4" t="s">
        <v>19</v>
      </c>
      <c r="C893" s="4" t="s">
        <v>221</v>
      </c>
      <c r="D893" s="6"/>
      <c r="E893" s="6"/>
      <c r="F893" s="6"/>
      <c r="G893" s="4"/>
      <c r="H893" s="4"/>
      <c r="I893" s="4"/>
      <c r="J893" s="4"/>
      <c r="K893" s="4"/>
      <c r="L893" s="4"/>
      <c r="M893" s="4"/>
      <c r="N893" s="4"/>
      <c r="O893" s="51" t="b">
        <v>0</v>
      </c>
      <c r="P893" s="51" t="b">
        <v>0</v>
      </c>
      <c r="Q893" s="51" t="b">
        <v>0</v>
      </c>
      <c r="R893" s="51" t="b">
        <v>0</v>
      </c>
      <c r="S893" s="51" t="b">
        <v>0</v>
      </c>
    </row>
    <row r="894" hidden="1">
      <c r="A894" s="4" t="str">
        <f>IFERROR(__xludf.DUMMYFUNCTION("""COMPUTED_VALUE"""),"1004 - Channel")</f>
        <v>1004 - Channel</v>
      </c>
      <c r="B894" s="4" t="s">
        <v>344</v>
      </c>
      <c r="C894" s="4"/>
      <c r="D894" s="6"/>
      <c r="E894" s="6"/>
      <c r="F894" s="6"/>
      <c r="G894" s="4"/>
      <c r="H894" s="4"/>
      <c r="I894" s="4"/>
      <c r="J894" s="4"/>
      <c r="K894" s="4"/>
      <c r="L894" s="4"/>
      <c r="M894" s="4"/>
      <c r="N894" s="4" t="s">
        <v>70</v>
      </c>
      <c r="O894" s="51" t="b">
        <v>0</v>
      </c>
      <c r="P894" s="51" t="b">
        <v>0</v>
      </c>
      <c r="Q894" s="51" t="b">
        <v>0</v>
      </c>
      <c r="R894" s="51" t="b">
        <v>0</v>
      </c>
      <c r="S894" s="51" t="b">
        <v>0</v>
      </c>
    </row>
    <row r="895" hidden="1">
      <c r="A895" s="4" t="str">
        <f>IFERROR(__xludf.DUMMYFUNCTION("""COMPUTED_VALUE"""),"1559 - Channel")</f>
        <v>1559 - Channel</v>
      </c>
      <c r="B895" s="4" t="s">
        <v>19</v>
      </c>
      <c r="C895" s="4" t="s">
        <v>289</v>
      </c>
      <c r="D895" s="6">
        <v>0.4166666666666667</v>
      </c>
      <c r="E895" s="6">
        <v>0.0010416666666666667</v>
      </c>
      <c r="F895" s="6">
        <v>0.41770833333333335</v>
      </c>
      <c r="G895" s="4"/>
      <c r="H895" s="4" t="s">
        <v>67</v>
      </c>
      <c r="I895" s="4" t="s">
        <v>67</v>
      </c>
      <c r="J895" s="4"/>
      <c r="K895" s="4"/>
      <c r="L895" s="4"/>
      <c r="M895" s="4"/>
      <c r="N895" s="4"/>
      <c r="O895" s="51" t="b">
        <v>0</v>
      </c>
      <c r="P895" s="51" t="b">
        <v>0</v>
      </c>
      <c r="Q895" s="51" t="b">
        <v>0</v>
      </c>
      <c r="R895" s="51" t="b">
        <v>0</v>
      </c>
      <c r="S895" s="51" t="b">
        <v>0</v>
      </c>
    </row>
    <row r="896" hidden="1">
      <c r="A896" s="56" t="str">
        <f>IFERROR(__xludf.DUMMYFUNCTION("""COMPUTED_VALUE"""),"1011 - Channel")</f>
        <v>1011 - Channel</v>
      </c>
      <c r="B896" s="56" t="s">
        <v>19</v>
      </c>
      <c r="C896" s="56" t="s">
        <v>289</v>
      </c>
      <c r="D896" s="57">
        <v>0.41770833333333335</v>
      </c>
      <c r="E896" s="57">
        <v>1.7361111111111112E-4</v>
      </c>
      <c r="F896" s="57">
        <v>0.4178819444444445</v>
      </c>
      <c r="G896" s="56" t="s">
        <v>299</v>
      </c>
      <c r="H896" s="56" t="s">
        <v>77</v>
      </c>
      <c r="I896" s="56" t="s">
        <v>1316</v>
      </c>
      <c r="J896" s="56"/>
      <c r="K896" s="56"/>
      <c r="L896" s="56"/>
      <c r="M896" s="56"/>
      <c r="N896" s="56" t="s">
        <v>70</v>
      </c>
      <c r="O896" s="51" t="b">
        <v>0</v>
      </c>
      <c r="P896" s="51" t="b">
        <v>0</v>
      </c>
      <c r="Q896" s="51" t="b">
        <v>0</v>
      </c>
      <c r="R896" s="51" t="b">
        <v>0</v>
      </c>
      <c r="S896" s="51" t="b">
        <v>0</v>
      </c>
      <c r="T896" s="56"/>
    </row>
    <row r="897" hidden="1">
      <c r="A897" s="4" t="str">
        <f>IFERROR(__xludf.DUMMYFUNCTION("""COMPUTED_VALUE"""),"1005 - Channel")</f>
        <v>1005 - Channel</v>
      </c>
      <c r="B897" s="4" t="s">
        <v>19</v>
      </c>
      <c r="C897" s="4" t="s">
        <v>289</v>
      </c>
      <c r="D897" s="6">
        <v>0.4178819444444445</v>
      </c>
      <c r="E897" s="6">
        <v>3.4722222222222224E-4</v>
      </c>
      <c r="F897" s="6">
        <v>0.4182291666666667</v>
      </c>
      <c r="G897" s="4" t="s">
        <v>299</v>
      </c>
      <c r="H897" s="4" t="s">
        <v>81</v>
      </c>
      <c r="I897" s="4" t="s">
        <v>81</v>
      </c>
      <c r="J897" s="4"/>
      <c r="K897" s="4"/>
      <c r="L897" s="4"/>
      <c r="M897" s="4"/>
      <c r="N897" s="4" t="s">
        <v>70</v>
      </c>
      <c r="O897" s="51" t="b">
        <v>0</v>
      </c>
      <c r="P897" s="51" t="b">
        <v>0</v>
      </c>
      <c r="Q897" s="51" t="b">
        <v>0</v>
      </c>
      <c r="R897" s="51" t="b">
        <v>0</v>
      </c>
      <c r="S897" s="51" t="b">
        <v>0</v>
      </c>
    </row>
    <row r="898">
      <c r="A898" s="4" t="str">
        <f>IFERROR(__xludf.DUMMYFUNCTION("""COMPUTED_VALUE"""),"1006 - Channel")</f>
        <v>1006 - Channel</v>
      </c>
      <c r="B898" s="4" t="s">
        <v>19</v>
      </c>
      <c r="C898" s="4" t="s">
        <v>289</v>
      </c>
      <c r="D898" s="6">
        <v>0.4182291666666667</v>
      </c>
      <c r="E898" s="6">
        <v>0.005104166666666667</v>
      </c>
      <c r="F898" s="6">
        <v>0.4233333333333334</v>
      </c>
      <c r="G898" s="4" t="s">
        <v>299</v>
      </c>
      <c r="H898" s="4" t="s">
        <v>165</v>
      </c>
      <c r="I898" s="4" t="s">
        <v>1319</v>
      </c>
      <c r="J898" s="4" t="s">
        <v>163</v>
      </c>
      <c r="K898" s="4"/>
      <c r="L898" s="4"/>
      <c r="M898" s="4"/>
      <c r="N898" s="4" t="s">
        <v>70</v>
      </c>
      <c r="O898" s="51" t="b">
        <v>0</v>
      </c>
      <c r="P898" s="51" t="b">
        <v>0</v>
      </c>
      <c r="Q898" s="51" t="b">
        <v>0</v>
      </c>
      <c r="R898" s="51" t="b">
        <v>0</v>
      </c>
      <c r="S898" s="51" t="b">
        <v>0</v>
      </c>
    </row>
    <row r="899" hidden="1">
      <c r="A899" s="56" t="str">
        <f>IFERROR(__xludf.DUMMYFUNCTION("""COMPUTED_VALUE"""),"1008 - Channel")</f>
        <v>1008 - Channel</v>
      </c>
      <c r="B899" s="56" t="s">
        <v>19</v>
      </c>
      <c r="C899" s="56" t="s">
        <v>289</v>
      </c>
      <c r="D899" s="57">
        <v>0.4233333333333334</v>
      </c>
      <c r="E899" s="57">
        <v>2.314814814814815E-4</v>
      </c>
      <c r="F899" s="57">
        <v>0.4235648148148149</v>
      </c>
      <c r="G899" s="56" t="s">
        <v>299</v>
      </c>
      <c r="H899" s="56" t="s">
        <v>81</v>
      </c>
      <c r="I899" s="56" t="s">
        <v>81</v>
      </c>
      <c r="J899" s="56"/>
      <c r="K899" s="56"/>
      <c r="L899" s="56"/>
      <c r="M899" s="56"/>
      <c r="N899" s="56" t="s">
        <v>70</v>
      </c>
      <c r="O899" s="51" t="b">
        <v>0</v>
      </c>
      <c r="P899" s="51" t="b">
        <v>0</v>
      </c>
      <c r="Q899" s="51" t="b">
        <v>0</v>
      </c>
      <c r="R899" s="51" t="b">
        <v>0</v>
      </c>
      <c r="S899" s="51" t="b">
        <v>0</v>
      </c>
      <c r="T899" s="56"/>
    </row>
    <row r="900">
      <c r="A900" s="4" t="str">
        <f>IFERROR(__xludf.DUMMYFUNCTION("""COMPUTED_VALUE"""),"1007 - Channel ")</f>
        <v>1007 - Channel </v>
      </c>
      <c r="B900" s="4" t="s">
        <v>19</v>
      </c>
      <c r="C900" s="4" t="s">
        <v>289</v>
      </c>
      <c r="D900" s="6">
        <v>0.4235648148148149</v>
      </c>
      <c r="E900" s="6">
        <v>1.7361111111111112E-4</v>
      </c>
      <c r="F900" s="6">
        <v>0.42373842592592603</v>
      </c>
      <c r="G900" s="4"/>
      <c r="H900" s="4" t="s">
        <v>85</v>
      </c>
      <c r="I900" s="4" t="s">
        <v>1321</v>
      </c>
      <c r="J900" s="4"/>
      <c r="K900" s="4"/>
      <c r="L900" s="4"/>
      <c r="M900" s="4"/>
      <c r="N900" s="4"/>
      <c r="O900" s="51" t="b">
        <v>0</v>
      </c>
      <c r="P900" s="51" t="b">
        <v>0</v>
      </c>
      <c r="Q900" s="51" t="b">
        <v>0</v>
      </c>
      <c r="R900" s="51" t="b">
        <v>0</v>
      </c>
      <c r="S900" s="51" t="b">
        <v>0</v>
      </c>
    </row>
    <row r="901">
      <c r="A901" s="56" t="str">
        <f>IFERROR(__xludf.DUMMYFUNCTION("""COMPUTED_VALUE"""),"1009 - Channel")</f>
        <v>1009 - Channel</v>
      </c>
      <c r="B901" s="56" t="s">
        <v>19</v>
      </c>
      <c r="C901" s="56" t="s">
        <v>289</v>
      </c>
      <c r="D901" s="57">
        <v>0.42373842592592603</v>
      </c>
      <c r="E901" s="57">
        <v>0.008483796296296297</v>
      </c>
      <c r="F901" s="57">
        <v>0.43222222222222234</v>
      </c>
      <c r="G901" s="56" t="s">
        <v>299</v>
      </c>
      <c r="H901" s="56" t="s">
        <v>165</v>
      </c>
      <c r="I901" s="56" t="s">
        <v>1322</v>
      </c>
      <c r="J901" s="56" t="s">
        <v>1323</v>
      </c>
      <c r="K901" s="56"/>
      <c r="L901" s="56"/>
      <c r="M901" s="56"/>
      <c r="N901" s="56" t="s">
        <v>70</v>
      </c>
      <c r="O901" s="51" t="b">
        <v>0</v>
      </c>
      <c r="P901" s="51" t="b">
        <v>0</v>
      </c>
      <c r="Q901" s="51" t="b">
        <v>0</v>
      </c>
      <c r="R901" s="51" t="b">
        <v>0</v>
      </c>
      <c r="S901" s="51" t="b">
        <v>0</v>
      </c>
      <c r="T901" s="56"/>
    </row>
    <row r="902" hidden="1">
      <c r="A902" s="4" t="str">
        <f>IFERROR(__xludf.DUMMYFUNCTION("""COMPUTED_VALUE"""),"1010 - Channel")</f>
        <v>1010 - Channel</v>
      </c>
      <c r="B902" s="4" t="s">
        <v>19</v>
      </c>
      <c r="C902" s="4" t="s">
        <v>289</v>
      </c>
      <c r="D902" s="6">
        <v>0.43222222222222234</v>
      </c>
      <c r="E902" s="6">
        <v>1.7361111111111112E-4</v>
      </c>
      <c r="F902" s="6">
        <v>0.4323958333333335</v>
      </c>
      <c r="G902" s="4"/>
      <c r="H902" s="4" t="s">
        <v>85</v>
      </c>
      <c r="I902" s="4" t="s">
        <v>1327</v>
      </c>
      <c r="J902" s="4"/>
      <c r="K902" s="4"/>
      <c r="L902" s="4"/>
      <c r="M902" s="4"/>
      <c r="N902" s="4"/>
      <c r="O902" s="51" t="b">
        <v>0</v>
      </c>
      <c r="P902" s="51" t="b">
        <v>0</v>
      </c>
      <c r="Q902" s="51" t="b">
        <v>0</v>
      </c>
      <c r="R902" s="51" t="b">
        <v>0</v>
      </c>
      <c r="S902" s="51" t="b">
        <v>0</v>
      </c>
    </row>
    <row r="903">
      <c r="A903" s="4" t="str">
        <f>IFERROR(__xludf.DUMMYFUNCTION("""COMPUTED_VALUE"""),"1012 - Channel")</f>
        <v>1012 - Channel</v>
      </c>
      <c r="B903" s="4" t="s">
        <v>19</v>
      </c>
      <c r="C903" s="4" t="s">
        <v>289</v>
      </c>
      <c r="D903" s="6">
        <v>0.4323958333333335</v>
      </c>
      <c r="E903" s="6">
        <v>2.314814814814815E-4</v>
      </c>
      <c r="F903" s="6">
        <v>0.432627314814815</v>
      </c>
      <c r="G903" s="4" t="s">
        <v>299</v>
      </c>
      <c r="H903" s="4" t="s">
        <v>81</v>
      </c>
      <c r="I903" s="4" t="s">
        <v>81</v>
      </c>
      <c r="J903" s="4"/>
      <c r="K903" s="4"/>
      <c r="L903" s="4"/>
      <c r="M903" s="4"/>
      <c r="N903" s="4" t="s">
        <v>70</v>
      </c>
      <c r="O903" s="51" t="b">
        <v>0</v>
      </c>
      <c r="P903" s="51" t="b">
        <v>0</v>
      </c>
      <c r="Q903" s="51" t="b">
        <v>0</v>
      </c>
      <c r="R903" s="51" t="b">
        <v>0</v>
      </c>
      <c r="S903" s="51" t="b">
        <v>0</v>
      </c>
    </row>
    <row r="904">
      <c r="A904" s="4" t="str">
        <f>IFERROR(__xludf.DUMMYFUNCTION("""COMPUTED_VALUE"""),"1013 - Channel")</f>
        <v>1013 - Channel</v>
      </c>
      <c r="B904" s="4" t="s">
        <v>19</v>
      </c>
      <c r="C904" s="4" t="s">
        <v>289</v>
      </c>
      <c r="D904" s="6">
        <v>0.432627314814815</v>
      </c>
      <c r="E904" s="6">
        <v>0.010902777777777779</v>
      </c>
      <c r="F904" s="6">
        <v>0.44353009259259274</v>
      </c>
      <c r="G904" s="4" t="s">
        <v>299</v>
      </c>
      <c r="H904" s="4" t="s">
        <v>107</v>
      </c>
      <c r="I904" s="4" t="s">
        <v>1329</v>
      </c>
      <c r="J904" s="4" t="s">
        <v>1331</v>
      </c>
      <c r="K904" s="4" t="s">
        <v>1332</v>
      </c>
      <c r="L904" s="4"/>
      <c r="M904" s="4"/>
      <c r="N904" s="4" t="s">
        <v>102</v>
      </c>
      <c r="O904" s="51" t="b">
        <v>0</v>
      </c>
      <c r="P904" s="51" t="b">
        <v>0</v>
      </c>
      <c r="Q904" s="51" t="b">
        <v>0</v>
      </c>
      <c r="R904" s="51" t="b">
        <v>0</v>
      </c>
      <c r="S904" s="51" t="b">
        <v>0</v>
      </c>
    </row>
    <row r="905" hidden="1">
      <c r="A905" s="4" t="str">
        <f>IFERROR(__xludf.DUMMYFUNCTION("""COMPUTED_VALUE"""),"1014 - Channel")</f>
        <v>1014 - Channel</v>
      </c>
      <c r="B905" s="4" t="s">
        <v>19</v>
      </c>
      <c r="C905" s="4" t="s">
        <v>289</v>
      </c>
      <c r="D905" s="6">
        <v>0.44353009259259274</v>
      </c>
      <c r="E905" s="6">
        <v>1.7361111111111112E-4</v>
      </c>
      <c r="F905" s="6">
        <v>0.4437037037037039</v>
      </c>
      <c r="G905" s="4" t="s">
        <v>299</v>
      </c>
      <c r="H905" s="4" t="s">
        <v>85</v>
      </c>
      <c r="I905" s="4" t="s">
        <v>85</v>
      </c>
      <c r="J905" s="4"/>
      <c r="K905" s="4"/>
      <c r="L905" s="4"/>
      <c r="M905" s="4"/>
      <c r="N905" s="4" t="s">
        <v>70</v>
      </c>
      <c r="O905" s="51" t="b">
        <v>0</v>
      </c>
      <c r="P905" s="51" t="b">
        <v>0</v>
      </c>
      <c r="Q905" s="51" t="b">
        <v>0</v>
      </c>
      <c r="R905" s="51" t="b">
        <v>0</v>
      </c>
      <c r="S905" s="51" t="b">
        <v>0</v>
      </c>
    </row>
    <row r="906">
      <c r="A906" s="56" t="str">
        <f>IFERROR(__xludf.DUMMYFUNCTION("""COMPUTED_VALUE"""),"1016 - Channel")</f>
        <v>1016 - Channel</v>
      </c>
      <c r="B906" s="56" t="s">
        <v>19</v>
      </c>
      <c r="C906" s="56" t="s">
        <v>289</v>
      </c>
      <c r="D906" s="57">
        <v>0.4437037037037039</v>
      </c>
      <c r="E906" s="57">
        <v>3.4722222222222224E-4</v>
      </c>
      <c r="F906" s="57">
        <v>0.4440509259259261</v>
      </c>
      <c r="G906" s="56" t="s">
        <v>299</v>
      </c>
      <c r="H906" s="56" t="s">
        <v>511</v>
      </c>
      <c r="I906" s="56" t="s">
        <v>511</v>
      </c>
      <c r="J906" s="56"/>
      <c r="K906" s="56"/>
      <c r="L906" s="56"/>
      <c r="M906" s="56"/>
      <c r="N906" s="56" t="s">
        <v>70</v>
      </c>
      <c r="O906" s="51" t="b">
        <v>0</v>
      </c>
      <c r="P906" s="51" t="b">
        <v>0</v>
      </c>
      <c r="Q906" s="51" t="b">
        <v>0</v>
      </c>
      <c r="R906" s="51" t="b">
        <v>0</v>
      </c>
      <c r="S906" s="51" t="b">
        <v>0</v>
      </c>
      <c r="T906" s="56"/>
    </row>
    <row r="907" hidden="1">
      <c r="A907" s="4" t="str">
        <f>IFERROR(__xludf.DUMMYFUNCTION("""COMPUTED_VALUE"""),"1017 - Channel")</f>
        <v>1017 - Channel</v>
      </c>
      <c r="B907" s="4" t="s">
        <v>19</v>
      </c>
      <c r="C907" s="4" t="s">
        <v>289</v>
      </c>
      <c r="D907" s="6">
        <v>0.4440509259259261</v>
      </c>
      <c r="E907" s="6">
        <v>2.314814814814815E-4</v>
      </c>
      <c r="F907" s="6">
        <v>0.4442824074074076</v>
      </c>
      <c r="G907" s="4" t="s">
        <v>299</v>
      </c>
      <c r="H907" s="4" t="s">
        <v>81</v>
      </c>
      <c r="I907" s="4" t="s">
        <v>81</v>
      </c>
      <c r="J907" s="4"/>
      <c r="K907" s="4"/>
      <c r="L907" s="4"/>
      <c r="M907" s="4"/>
      <c r="N907" s="4" t="s">
        <v>70</v>
      </c>
      <c r="O907" s="51" t="b">
        <v>0</v>
      </c>
      <c r="P907" s="51" t="b">
        <v>0</v>
      </c>
      <c r="Q907" s="51" t="b">
        <v>0</v>
      </c>
      <c r="R907" s="51" t="b">
        <v>0</v>
      </c>
      <c r="S907" s="51" t="b">
        <v>0</v>
      </c>
    </row>
    <row r="908">
      <c r="A908" s="56" t="str">
        <f>IFERROR(__xludf.DUMMYFUNCTION("""COMPUTED_VALUE"""),"1018 - Channel")</f>
        <v>1018 - Channel</v>
      </c>
      <c r="B908" s="56" t="s">
        <v>19</v>
      </c>
      <c r="C908" s="56" t="s">
        <v>289</v>
      </c>
      <c r="D908" s="57">
        <v>0.4442824074074076</v>
      </c>
      <c r="E908" s="57">
        <v>0.00798611111111111</v>
      </c>
      <c r="F908" s="57">
        <v>0.4522685185185187</v>
      </c>
      <c r="G908" s="56" t="s">
        <v>299</v>
      </c>
      <c r="H908" s="56" t="s">
        <v>94</v>
      </c>
      <c r="I908" s="56" t="s">
        <v>1334</v>
      </c>
      <c r="J908" s="56" t="s">
        <v>1335</v>
      </c>
      <c r="K908" s="56"/>
      <c r="L908" s="56"/>
      <c r="M908" s="56"/>
      <c r="N908" s="56" t="s">
        <v>1269</v>
      </c>
      <c r="O908" s="51" t="b">
        <v>0</v>
      </c>
      <c r="P908" s="51" t="b">
        <v>0</v>
      </c>
      <c r="Q908" s="51" t="b">
        <v>0</v>
      </c>
      <c r="R908" s="51" t="b">
        <v>0</v>
      </c>
      <c r="S908" s="51" t="b">
        <v>0</v>
      </c>
      <c r="T908" s="56"/>
    </row>
    <row r="909" hidden="1">
      <c r="A909" s="4" t="str">
        <f>IFERROR(__xludf.DUMMYFUNCTION("""COMPUTED_VALUE"""),"1576 - Channel")</f>
        <v>1576 - Channel</v>
      </c>
      <c r="B909" s="4" t="s">
        <v>19</v>
      </c>
      <c r="C909" s="4" t="s">
        <v>289</v>
      </c>
      <c r="D909" s="6">
        <v>0.4522685185185187</v>
      </c>
      <c r="E909" s="6">
        <v>2.314814814814815E-4</v>
      </c>
      <c r="F909" s="6">
        <v>0.4525000000000002</v>
      </c>
      <c r="G909" s="4"/>
      <c r="H909" s="4" t="s">
        <v>81</v>
      </c>
      <c r="I909" s="4" t="s">
        <v>81</v>
      </c>
      <c r="J909" s="4"/>
      <c r="K909" s="4"/>
      <c r="L909" s="4"/>
      <c r="M909" s="4"/>
      <c r="N909" s="4"/>
      <c r="O909" s="51" t="b">
        <v>0</v>
      </c>
      <c r="P909" s="51" t="b">
        <v>0</v>
      </c>
      <c r="Q909" s="51" t="b">
        <v>0</v>
      </c>
      <c r="R909" s="51" t="b">
        <v>0</v>
      </c>
      <c r="S909" s="51" t="b">
        <v>0</v>
      </c>
    </row>
    <row r="910">
      <c r="A910" s="56" t="str">
        <f>IFERROR(__xludf.DUMMYFUNCTION("""COMPUTED_VALUE"""),"984 - Channel")</f>
        <v>984 - Channel</v>
      </c>
      <c r="B910" s="56" t="s">
        <v>19</v>
      </c>
      <c r="C910" s="56" t="s">
        <v>221</v>
      </c>
      <c r="D910" s="57">
        <v>0.4525000000000002</v>
      </c>
      <c r="E910" s="57">
        <v>0.00542824074074074</v>
      </c>
      <c r="F910" s="57">
        <v>0.4579282407407409</v>
      </c>
      <c r="G910" s="56" t="s">
        <v>398</v>
      </c>
      <c r="H910" s="56" t="s">
        <v>165</v>
      </c>
      <c r="I910" s="56" t="s">
        <v>1337</v>
      </c>
      <c r="J910" s="56" t="s">
        <v>1338</v>
      </c>
      <c r="K910" s="56"/>
      <c r="L910" s="56"/>
      <c r="M910" s="56"/>
      <c r="N910" s="56" t="s">
        <v>70</v>
      </c>
      <c r="O910" s="51" t="b">
        <v>0</v>
      </c>
      <c r="P910" s="51" t="b">
        <v>0</v>
      </c>
      <c r="Q910" s="51" t="b">
        <v>0</v>
      </c>
      <c r="R910" s="51" t="b">
        <v>0</v>
      </c>
      <c r="S910" s="51" t="b">
        <v>0</v>
      </c>
      <c r="T910" s="56"/>
    </row>
    <row r="911" hidden="1">
      <c r="A911" s="4" t="str">
        <f>IFERROR(__xludf.DUMMYFUNCTION("""COMPUTED_VALUE"""),"1353 - Channel")</f>
        <v>1353 - Channel</v>
      </c>
      <c r="B911" s="4" t="s">
        <v>19</v>
      </c>
      <c r="C911" s="4" t="s">
        <v>289</v>
      </c>
      <c r="D911" s="6"/>
      <c r="E911" s="6"/>
      <c r="F911" s="6"/>
      <c r="G911" s="4"/>
      <c r="H911" s="4"/>
      <c r="I911" s="4"/>
      <c r="J911" s="4"/>
      <c r="K911" s="4"/>
      <c r="L911" s="4"/>
      <c r="M911" s="4"/>
      <c r="N911" s="4"/>
      <c r="O911" s="51" t="b">
        <v>0</v>
      </c>
      <c r="P911" s="51" t="b">
        <v>0</v>
      </c>
      <c r="Q911" s="51" t="b">
        <v>0</v>
      </c>
      <c r="R911" s="51" t="b">
        <v>0</v>
      </c>
      <c r="S911" s="51" t="b">
        <v>0</v>
      </c>
    </row>
    <row r="912" hidden="1">
      <c r="A912" s="56" t="str">
        <f>IFERROR(__xludf.DUMMYFUNCTION("""COMPUTED_VALUE"""),"1657 - Channel")</f>
        <v>1657 - Channel</v>
      </c>
      <c r="B912" s="56" t="s">
        <v>19</v>
      </c>
      <c r="C912" s="56" t="s">
        <v>289</v>
      </c>
      <c r="D912" s="57">
        <v>0.4583333333333333</v>
      </c>
      <c r="E912" s="57">
        <v>1.7361111111111112E-4</v>
      </c>
      <c r="F912" s="57">
        <v>0.45850694444444445</v>
      </c>
      <c r="G912" s="56" t="s">
        <v>368</v>
      </c>
      <c r="H912" s="56" t="s">
        <v>77</v>
      </c>
      <c r="I912" s="56" t="s">
        <v>1316</v>
      </c>
      <c r="J912" s="56"/>
      <c r="K912" s="56"/>
      <c r="L912" s="56"/>
      <c r="M912" s="56"/>
      <c r="N912" s="56" t="s">
        <v>70</v>
      </c>
      <c r="O912" s="51" t="b">
        <v>0</v>
      </c>
      <c r="P912" s="51" t="b">
        <v>0</v>
      </c>
      <c r="Q912" s="51" t="b">
        <v>0</v>
      </c>
      <c r="R912" s="51" t="b">
        <v>0</v>
      </c>
      <c r="S912" s="51" t="b">
        <v>0</v>
      </c>
      <c r="T912" s="56"/>
    </row>
    <row r="913" hidden="1">
      <c r="A913" s="4" t="str">
        <f>IFERROR(__xludf.DUMMYFUNCTION("""COMPUTED_VALUE"""),"1021 - Channel")</f>
        <v>1021 - Channel</v>
      </c>
      <c r="B913" s="4" t="s">
        <v>19</v>
      </c>
      <c r="C913" s="4" t="s">
        <v>289</v>
      </c>
      <c r="D913" s="6">
        <v>0.45850694444444445</v>
      </c>
      <c r="E913" s="6">
        <v>2.314814814814815E-4</v>
      </c>
      <c r="F913" s="6">
        <v>0.45873842592592595</v>
      </c>
      <c r="G913" s="4" t="s">
        <v>368</v>
      </c>
      <c r="H913" s="4" t="s">
        <v>81</v>
      </c>
      <c r="I913" s="4" t="s">
        <v>81</v>
      </c>
      <c r="J913" s="4"/>
      <c r="K913" s="4"/>
      <c r="L913" s="4"/>
      <c r="M913" s="4"/>
      <c r="N913" s="4" t="s">
        <v>70</v>
      </c>
      <c r="O913" s="51" t="b">
        <v>0</v>
      </c>
      <c r="P913" s="51" t="b">
        <v>0</v>
      </c>
      <c r="Q913" s="51" t="b">
        <v>0</v>
      </c>
      <c r="R913" s="51" t="b">
        <v>0</v>
      </c>
      <c r="S913" s="51" t="b">
        <v>0</v>
      </c>
    </row>
    <row r="914">
      <c r="A914" s="56" t="str">
        <f>IFERROR(__xludf.DUMMYFUNCTION("""COMPUTED_VALUE"""),"1022 - Channel")</f>
        <v>1022 - Channel</v>
      </c>
      <c r="B914" s="56" t="s">
        <v>19</v>
      </c>
      <c r="C914" s="56" t="s">
        <v>289</v>
      </c>
      <c r="D914" s="57">
        <v>0.45873842592592595</v>
      </c>
      <c r="E914" s="57">
        <v>0.008611111111111111</v>
      </c>
      <c r="F914" s="57">
        <v>0.4673495370370371</v>
      </c>
      <c r="G914" s="56" t="s">
        <v>368</v>
      </c>
      <c r="H914" s="56" t="s">
        <v>94</v>
      </c>
      <c r="I914" s="56" t="s">
        <v>1341</v>
      </c>
      <c r="J914" s="56" t="s">
        <v>1342</v>
      </c>
      <c r="K914" s="56" t="s">
        <v>1343</v>
      </c>
      <c r="L914" s="56"/>
      <c r="M914" s="56"/>
      <c r="N914" s="56"/>
      <c r="O914" s="51" t="b">
        <v>0</v>
      </c>
      <c r="P914" s="51" t="b">
        <v>0</v>
      </c>
      <c r="Q914" s="51" t="b">
        <v>0</v>
      </c>
      <c r="R914" s="51" t="b">
        <v>0</v>
      </c>
      <c r="S914" s="51" t="b">
        <v>0</v>
      </c>
      <c r="T914" s="56"/>
    </row>
    <row r="915" hidden="1">
      <c r="A915" s="4" t="str">
        <f>IFERROR(__xludf.DUMMYFUNCTION("""COMPUTED_VALUE"""),"1024 - Channel")</f>
        <v>1024 - Channel</v>
      </c>
      <c r="B915" s="4" t="s">
        <v>19</v>
      </c>
      <c r="C915" s="4" t="s">
        <v>289</v>
      </c>
      <c r="D915" s="6">
        <v>0.4673495370370371</v>
      </c>
      <c r="E915" s="6">
        <v>1.7361111111111112E-4</v>
      </c>
      <c r="F915" s="6">
        <v>0.4675231481481482</v>
      </c>
      <c r="G915" s="4" t="s">
        <v>368</v>
      </c>
      <c r="H915" s="4" t="s">
        <v>77</v>
      </c>
      <c r="I915" s="4" t="s">
        <v>1009</v>
      </c>
      <c r="J915" s="4"/>
      <c r="K915" s="4"/>
      <c r="L915" s="4"/>
      <c r="M915" s="4"/>
      <c r="N915" s="4" t="s">
        <v>70</v>
      </c>
      <c r="O915" s="51" t="b">
        <v>0</v>
      </c>
      <c r="P915" s="51" t="b">
        <v>0</v>
      </c>
      <c r="Q915" s="51" t="b">
        <v>0</v>
      </c>
      <c r="R915" s="51" t="b">
        <v>0</v>
      </c>
      <c r="S915" s="51" t="b">
        <v>0</v>
      </c>
    </row>
    <row r="916" hidden="1">
      <c r="A916" s="56" t="str">
        <f>IFERROR(__xludf.DUMMYFUNCTION("""COMPUTED_VALUE"""),"1070 - Channel")</f>
        <v>1070 - Channel</v>
      </c>
      <c r="B916" s="56" t="s">
        <v>19</v>
      </c>
      <c r="C916" s="56" t="s">
        <v>289</v>
      </c>
      <c r="D916" s="57">
        <v>0.4675231481481482</v>
      </c>
      <c r="E916" s="57">
        <v>3.4722222222222224E-4</v>
      </c>
      <c r="F916" s="57">
        <v>0.46787037037037044</v>
      </c>
      <c r="G916" s="56" t="s">
        <v>1345</v>
      </c>
      <c r="H916" s="56" t="s">
        <v>506</v>
      </c>
      <c r="I916" s="56" t="s">
        <v>1141</v>
      </c>
      <c r="J916" s="56"/>
      <c r="K916" s="56"/>
      <c r="L916" s="56"/>
      <c r="M916" s="56"/>
      <c r="N916" s="56" t="s">
        <v>70</v>
      </c>
      <c r="O916" s="51" t="b">
        <v>0</v>
      </c>
      <c r="P916" s="51" t="b">
        <v>0</v>
      </c>
      <c r="Q916" s="51" t="b">
        <v>0</v>
      </c>
      <c r="R916" s="51" t="b">
        <v>0</v>
      </c>
      <c r="S916" s="51" t="b">
        <v>0</v>
      </c>
      <c r="T916" s="56"/>
    </row>
    <row r="917" hidden="1">
      <c r="A917" s="4" t="str">
        <f>IFERROR(__xludf.DUMMYFUNCTION("""COMPUTED_VALUE"""),"1025 - Channel")</f>
        <v>1025 - Channel</v>
      </c>
      <c r="B917" s="4" t="s">
        <v>19</v>
      </c>
      <c r="C917" s="4" t="s">
        <v>289</v>
      </c>
      <c r="D917" s="6">
        <v>0.46787037037037044</v>
      </c>
      <c r="E917" s="6">
        <v>3.4722222222222224E-4</v>
      </c>
      <c r="F917" s="6">
        <v>0.46821759259259266</v>
      </c>
      <c r="G917" s="4" t="s">
        <v>368</v>
      </c>
      <c r="H917" s="4" t="s">
        <v>511</v>
      </c>
      <c r="I917" s="4" t="s">
        <v>511</v>
      </c>
      <c r="J917" s="4"/>
      <c r="K917" s="4"/>
      <c r="L917" s="4"/>
      <c r="M917" s="4"/>
      <c r="N917" s="4" t="s">
        <v>70</v>
      </c>
      <c r="O917" s="51" t="b">
        <v>0</v>
      </c>
      <c r="P917" s="51" t="b">
        <v>0</v>
      </c>
      <c r="Q917" s="51" t="b">
        <v>0</v>
      </c>
      <c r="R917" s="51" t="b">
        <v>0</v>
      </c>
      <c r="S917" s="51" t="b">
        <v>0</v>
      </c>
    </row>
    <row r="918" hidden="1">
      <c r="A918" s="56" t="str">
        <f>IFERROR(__xludf.DUMMYFUNCTION("""COMPUTED_VALUE"""),"1026 - Channel")</f>
        <v>1026 - Channel</v>
      </c>
      <c r="B918" s="56" t="s">
        <v>19</v>
      </c>
      <c r="C918" s="56" t="s">
        <v>289</v>
      </c>
      <c r="D918" s="57">
        <v>0.46821759259259266</v>
      </c>
      <c r="E918" s="57">
        <v>2.314814814814815E-4</v>
      </c>
      <c r="F918" s="57">
        <v>0.46844907407407416</v>
      </c>
      <c r="G918" s="56" t="s">
        <v>368</v>
      </c>
      <c r="H918" s="56" t="s">
        <v>81</v>
      </c>
      <c r="I918" s="56" t="s">
        <v>81</v>
      </c>
      <c r="J918" s="56"/>
      <c r="K918" s="56"/>
      <c r="L918" s="56"/>
      <c r="M918" s="56"/>
      <c r="N918" s="56" t="s">
        <v>70</v>
      </c>
      <c r="O918" s="51" t="b">
        <v>0</v>
      </c>
      <c r="P918" s="51" t="b">
        <v>0</v>
      </c>
      <c r="Q918" s="51" t="b">
        <v>0</v>
      </c>
      <c r="R918" s="51" t="b">
        <v>0</v>
      </c>
      <c r="S918" s="51" t="b">
        <v>0</v>
      </c>
      <c r="T918" s="56"/>
    </row>
    <row r="919">
      <c r="A919" s="4" t="str">
        <f>IFERROR(__xludf.DUMMYFUNCTION("""COMPUTED_VALUE"""),"1027 - Channel")</f>
        <v>1027 - Channel</v>
      </c>
      <c r="B919" s="4" t="s">
        <v>19</v>
      </c>
      <c r="C919" s="4" t="s">
        <v>289</v>
      </c>
      <c r="D919" s="6">
        <v>0.46844907407407416</v>
      </c>
      <c r="E919" s="6">
        <v>0.013888888888888888</v>
      </c>
      <c r="F919" s="6">
        <v>0.48233796296296305</v>
      </c>
      <c r="G919" s="4" t="s">
        <v>368</v>
      </c>
      <c r="H919" s="4" t="s">
        <v>165</v>
      </c>
      <c r="I919" s="4" t="s">
        <v>1348</v>
      </c>
      <c r="J919" s="4" t="s">
        <v>1349</v>
      </c>
      <c r="K919" s="4"/>
      <c r="L919" s="4"/>
      <c r="M919" s="4"/>
      <c r="N919" s="4" t="s">
        <v>70</v>
      </c>
      <c r="O919" s="51" t="b">
        <v>0</v>
      </c>
      <c r="P919" s="51" t="b">
        <v>0</v>
      </c>
      <c r="Q919" s="51" t="b">
        <v>0</v>
      </c>
      <c r="R919" s="51" t="b">
        <v>0</v>
      </c>
      <c r="S919" s="51" t="b">
        <v>0</v>
      </c>
    </row>
    <row r="920" hidden="1">
      <c r="A920" s="56" t="str">
        <f>IFERROR(__xludf.DUMMYFUNCTION("""COMPUTED_VALUE"""),"1680 - Channel")</f>
        <v>1680 - Channel</v>
      </c>
      <c r="B920" s="56" t="s">
        <v>19</v>
      </c>
      <c r="C920" s="56" t="s">
        <v>289</v>
      </c>
      <c r="D920" s="57">
        <v>0.48233796296296305</v>
      </c>
      <c r="E920" s="57">
        <v>0.0010416666666666667</v>
      </c>
      <c r="F920" s="57">
        <v>0.4833796296296297</v>
      </c>
      <c r="G920" s="56"/>
      <c r="H920" s="56" t="s">
        <v>67</v>
      </c>
      <c r="I920" s="56" t="s">
        <v>67</v>
      </c>
      <c r="J920" s="56"/>
      <c r="K920" s="56"/>
      <c r="L920" s="56"/>
      <c r="M920" s="56"/>
      <c r="N920" s="56"/>
      <c r="O920" s="51" t="b">
        <v>0</v>
      </c>
      <c r="P920" s="51" t="b">
        <v>0</v>
      </c>
      <c r="Q920" s="51" t="b">
        <v>0</v>
      </c>
      <c r="R920" s="51" t="b">
        <v>0</v>
      </c>
      <c r="S920" s="51" t="b">
        <v>0</v>
      </c>
      <c r="T920" s="56"/>
    </row>
    <row r="921" hidden="1">
      <c r="A921" s="4" t="str">
        <f>IFERROR(__xludf.DUMMYFUNCTION("""COMPUTED_VALUE"""),"1029 - Channel")</f>
        <v>1029 - Channel</v>
      </c>
      <c r="B921" s="4" t="s">
        <v>19</v>
      </c>
      <c r="C921" s="4" t="s">
        <v>289</v>
      </c>
      <c r="D921" s="6">
        <v>0.4833796296296297</v>
      </c>
      <c r="E921" s="6">
        <v>2.314814814814815E-4</v>
      </c>
      <c r="F921" s="6">
        <v>0.4836111111111112</v>
      </c>
      <c r="G921" s="4" t="s">
        <v>368</v>
      </c>
      <c r="H921" s="4" t="s">
        <v>81</v>
      </c>
      <c r="I921" s="4" t="s">
        <v>81</v>
      </c>
      <c r="J921" s="4"/>
      <c r="K921" s="4"/>
      <c r="L921" s="4"/>
      <c r="M921" s="4"/>
      <c r="N921" s="4" t="s">
        <v>70</v>
      </c>
      <c r="O921" s="51" t="b">
        <v>0</v>
      </c>
      <c r="P921" s="51" t="b">
        <v>0</v>
      </c>
      <c r="Q921" s="51" t="b">
        <v>0</v>
      </c>
      <c r="R921" s="51" t="b">
        <v>0</v>
      </c>
      <c r="S921" s="51" t="b">
        <v>0</v>
      </c>
    </row>
    <row r="922">
      <c r="A922" s="56" t="str">
        <f>IFERROR(__xludf.DUMMYFUNCTION("""COMPUTED_VALUE"""),"1030 - Channel")</f>
        <v>1030 - Channel</v>
      </c>
      <c r="B922" s="56" t="s">
        <v>19</v>
      </c>
      <c r="C922" s="56" t="s">
        <v>289</v>
      </c>
      <c r="D922" s="57">
        <v>0.4836111111111112</v>
      </c>
      <c r="E922" s="57">
        <v>0.009085648148148148</v>
      </c>
      <c r="F922" s="57">
        <v>0.4926967592592594</v>
      </c>
      <c r="G922" s="56" t="s">
        <v>368</v>
      </c>
      <c r="H922" s="56" t="s">
        <v>94</v>
      </c>
      <c r="I922" s="56" t="s">
        <v>1354</v>
      </c>
      <c r="J922" s="56" t="s">
        <v>1355</v>
      </c>
      <c r="K922" s="56"/>
      <c r="L922" s="56"/>
      <c r="M922" s="56"/>
      <c r="N922" s="56" t="s">
        <v>1356</v>
      </c>
      <c r="O922" s="51" t="b">
        <v>0</v>
      </c>
      <c r="P922" s="51" t="b">
        <v>0</v>
      </c>
      <c r="Q922" s="51" t="b">
        <v>0</v>
      </c>
      <c r="R922" s="51" t="b">
        <v>0</v>
      </c>
      <c r="S922" s="51" t="b">
        <v>0</v>
      </c>
      <c r="T922" s="56"/>
    </row>
    <row r="923" hidden="1">
      <c r="A923" s="4" t="str">
        <f>IFERROR(__xludf.DUMMYFUNCTION("""COMPUTED_VALUE"""),"1033 - Channel")</f>
        <v>1033 - Channel</v>
      </c>
      <c r="B923" s="4" t="s">
        <v>19</v>
      </c>
      <c r="C923" s="4" t="s">
        <v>289</v>
      </c>
      <c r="D923" s="6">
        <v>0.4926967592592594</v>
      </c>
      <c r="E923" s="6">
        <v>2.314814814814815E-4</v>
      </c>
      <c r="F923" s="6">
        <v>0.4929282407407409</v>
      </c>
      <c r="G923" s="4" t="s">
        <v>368</v>
      </c>
      <c r="H923" s="4" t="s">
        <v>81</v>
      </c>
      <c r="I923" s="4" t="s">
        <v>81</v>
      </c>
      <c r="J923" s="4"/>
      <c r="K923" s="4"/>
      <c r="L923" s="4"/>
      <c r="M923" s="4"/>
      <c r="N923" s="4" t="s">
        <v>70</v>
      </c>
      <c r="O923" s="51" t="b">
        <v>0</v>
      </c>
      <c r="P923" s="51" t="b">
        <v>0</v>
      </c>
      <c r="Q923" s="51" t="b">
        <v>0</v>
      </c>
      <c r="R923" s="51" t="b">
        <v>0</v>
      </c>
      <c r="S923" s="51" t="b">
        <v>0</v>
      </c>
    </row>
    <row r="924">
      <c r="A924" s="4" t="str">
        <f>IFERROR(__xludf.DUMMYFUNCTION("""COMPUTED_VALUE"""),"1034 - Channel")</f>
        <v>1034 - Channel</v>
      </c>
      <c r="B924" s="4" t="s">
        <v>19</v>
      </c>
      <c r="C924" s="4" t="s">
        <v>289</v>
      </c>
      <c r="D924" s="6">
        <v>0.4929282407407409</v>
      </c>
      <c r="E924" s="6">
        <v>0.006597222222222222</v>
      </c>
      <c r="F924" s="6">
        <v>0.4995254629629631</v>
      </c>
      <c r="G924" s="4" t="s">
        <v>368</v>
      </c>
      <c r="H924" s="4" t="s">
        <v>165</v>
      </c>
      <c r="I924" s="4" t="s">
        <v>1359</v>
      </c>
      <c r="J924" s="4" t="s">
        <v>1360</v>
      </c>
      <c r="K924" s="4"/>
      <c r="L924" s="4"/>
      <c r="M924" s="4"/>
      <c r="N924" s="4" t="s">
        <v>70</v>
      </c>
      <c r="O924" s="51" t="b">
        <v>0</v>
      </c>
      <c r="P924" s="51" t="b">
        <v>0</v>
      </c>
      <c r="Q924" s="51" t="b">
        <v>0</v>
      </c>
      <c r="R924" s="51" t="b">
        <v>0</v>
      </c>
      <c r="S924" s="51" t="b">
        <v>0</v>
      </c>
    </row>
    <row r="925" hidden="1">
      <c r="A925" s="56" t="str">
        <f>IFERROR(__xludf.DUMMYFUNCTION("""COMPUTED_VALUE"""),"1020 - Channel")</f>
        <v>1020 - Channel</v>
      </c>
      <c r="B925" s="56" t="s">
        <v>19</v>
      </c>
      <c r="C925" s="56" t="s">
        <v>289</v>
      </c>
      <c r="D925" s="57">
        <v>0.4995254629629631</v>
      </c>
      <c r="E925" s="57">
        <v>2.777777777777778E-4</v>
      </c>
      <c r="F925" s="57">
        <v>0.49980324074074084</v>
      </c>
      <c r="G925" s="56" t="s">
        <v>368</v>
      </c>
      <c r="H925" s="56" t="s">
        <v>506</v>
      </c>
      <c r="I925" s="56" t="s">
        <v>1361</v>
      </c>
      <c r="J925" s="56"/>
      <c r="K925" s="56"/>
      <c r="L925" s="56"/>
      <c r="M925" s="56"/>
      <c r="N925" s="56" t="s">
        <v>70</v>
      </c>
      <c r="O925" s="51" t="b">
        <v>0</v>
      </c>
      <c r="P925" s="51" t="b">
        <v>0</v>
      </c>
      <c r="Q925" s="51" t="b">
        <v>0</v>
      </c>
      <c r="R925" s="51" t="b">
        <v>0</v>
      </c>
      <c r="S925" s="51" t="b">
        <v>0</v>
      </c>
      <c r="T925" s="56"/>
    </row>
    <row r="926" hidden="1">
      <c r="A926" s="4" t="str">
        <f>IFERROR(__xludf.DUMMYFUNCTION("""COMPUTED_VALUE"""),"1354 - Channel")</f>
        <v>1354 - Channel</v>
      </c>
      <c r="B926" s="4" t="s">
        <v>19</v>
      </c>
      <c r="C926" s="4" t="s">
        <v>289</v>
      </c>
      <c r="D926" s="6"/>
      <c r="E926" s="6"/>
      <c r="F926" s="6"/>
      <c r="G926" s="4"/>
      <c r="H926" s="4"/>
      <c r="I926" s="4"/>
      <c r="J926" s="4"/>
      <c r="K926" s="4"/>
      <c r="L926" s="4"/>
      <c r="M926" s="4"/>
      <c r="N926" s="4"/>
      <c r="O926" s="51" t="b">
        <v>0</v>
      </c>
      <c r="P926" s="51" t="b">
        <v>0</v>
      </c>
      <c r="Q926" s="51" t="b">
        <v>0</v>
      </c>
      <c r="R926" s="51" t="b">
        <v>0</v>
      </c>
      <c r="S926" s="51" t="b">
        <v>0</v>
      </c>
    </row>
    <row r="927" hidden="1">
      <c r="A927" s="56" t="str">
        <f>IFERROR(__xludf.DUMMYFUNCTION("""COMPUTED_VALUE"""),"1670 - Channel")</f>
        <v>1670 - Channel</v>
      </c>
      <c r="B927" s="56" t="s">
        <v>19</v>
      </c>
      <c r="C927" s="56" t="s">
        <v>289</v>
      </c>
      <c r="D927" s="57">
        <v>0.5</v>
      </c>
      <c r="E927" s="57">
        <v>1.7361111111111112E-4</v>
      </c>
      <c r="F927" s="57">
        <v>0.5001736111111111</v>
      </c>
      <c r="G927" s="56"/>
      <c r="H927" s="56" t="s">
        <v>77</v>
      </c>
      <c r="I927" s="56" t="s">
        <v>1364</v>
      </c>
      <c r="J927" s="56"/>
      <c r="K927" s="56"/>
      <c r="L927" s="56"/>
      <c r="M927" s="56"/>
      <c r="N927" s="56"/>
      <c r="O927" s="51" t="b">
        <v>0</v>
      </c>
      <c r="P927" s="51" t="b">
        <v>0</v>
      </c>
      <c r="Q927" s="51" t="b">
        <v>0</v>
      </c>
      <c r="R927" s="51" t="b">
        <v>0</v>
      </c>
      <c r="S927" s="51" t="b">
        <v>0</v>
      </c>
      <c r="T927" s="56"/>
    </row>
    <row r="928" hidden="1">
      <c r="A928" s="4" t="str">
        <f>IFERROR(__xludf.DUMMYFUNCTION("""COMPUTED_VALUE"""),"1036 - Channel")</f>
        <v>1036 - Channel</v>
      </c>
      <c r="B928" s="4" t="s">
        <v>19</v>
      </c>
      <c r="C928" s="4" t="s">
        <v>289</v>
      </c>
      <c r="D928" s="6">
        <v>0.5001736111111111</v>
      </c>
      <c r="E928" s="6">
        <v>3.4722222222222224E-4</v>
      </c>
      <c r="F928" s="6">
        <v>0.5005208333333334</v>
      </c>
      <c r="G928" s="4" t="s">
        <v>1017</v>
      </c>
      <c r="H928" s="4" t="s">
        <v>81</v>
      </c>
      <c r="I928" s="4" t="s">
        <v>81</v>
      </c>
      <c r="J928" s="4"/>
      <c r="K928" s="4"/>
      <c r="L928" s="4"/>
      <c r="M928" s="4"/>
      <c r="N928" s="4" t="s">
        <v>70</v>
      </c>
      <c r="O928" s="51" t="b">
        <v>0</v>
      </c>
      <c r="P928" s="51" t="b">
        <v>0</v>
      </c>
      <c r="Q928" s="51" t="b">
        <v>0</v>
      </c>
      <c r="R928" s="51" t="b">
        <v>0</v>
      </c>
      <c r="S928" s="51" t="b">
        <v>0</v>
      </c>
    </row>
    <row r="929">
      <c r="A929" s="56" t="str">
        <f>IFERROR(__xludf.DUMMYFUNCTION("""COMPUTED_VALUE"""),"1037 - Channel")</f>
        <v>1037 - Channel</v>
      </c>
      <c r="B929" s="56" t="s">
        <v>19</v>
      </c>
      <c r="C929" s="56" t="s">
        <v>289</v>
      </c>
      <c r="D929" s="57">
        <v>0.5005208333333334</v>
      </c>
      <c r="E929" s="57">
        <v>0.0090625</v>
      </c>
      <c r="F929" s="57">
        <v>0.5095833333333334</v>
      </c>
      <c r="G929" s="56" t="s">
        <v>1017</v>
      </c>
      <c r="H929" s="56" t="s">
        <v>107</v>
      </c>
      <c r="I929" s="56" t="s">
        <v>1366</v>
      </c>
      <c r="J929" s="56" t="s">
        <v>1367</v>
      </c>
      <c r="K929" s="56" t="s">
        <v>1368</v>
      </c>
      <c r="L929" s="56"/>
      <c r="M929" s="56"/>
      <c r="N929" s="56" t="s">
        <v>1369</v>
      </c>
      <c r="O929" s="51" t="b">
        <v>0</v>
      </c>
      <c r="P929" s="51" t="b">
        <v>0</v>
      </c>
      <c r="Q929" s="51" t="b">
        <v>0</v>
      </c>
      <c r="R929" s="51" t="b">
        <v>0</v>
      </c>
      <c r="S929" s="51" t="b">
        <v>0</v>
      </c>
      <c r="T929" s="56"/>
    </row>
    <row r="930" hidden="1">
      <c r="A930" s="4" t="str">
        <f>IFERROR(__xludf.DUMMYFUNCTION("""COMPUTED_VALUE"""),"1048 - Channel")</f>
        <v>1048 - Channel</v>
      </c>
      <c r="B930" s="4" t="s">
        <v>19</v>
      </c>
      <c r="C930" s="4" t="s">
        <v>289</v>
      </c>
      <c r="D930" s="6">
        <v>0.5095833333333334</v>
      </c>
      <c r="E930" s="6">
        <v>2.314814814814815E-4</v>
      </c>
      <c r="F930" s="6">
        <v>0.5098148148148148</v>
      </c>
      <c r="G930" s="4" t="s">
        <v>1017</v>
      </c>
      <c r="H930" s="4" t="s">
        <v>81</v>
      </c>
      <c r="I930" s="4" t="s">
        <v>81</v>
      </c>
      <c r="J930" s="4"/>
      <c r="K930" s="4"/>
      <c r="L930" s="4"/>
      <c r="M930" s="4"/>
      <c r="N930" s="4" t="s">
        <v>70</v>
      </c>
      <c r="O930" s="51" t="b">
        <v>0</v>
      </c>
      <c r="P930" s="51" t="b">
        <v>0</v>
      </c>
      <c r="Q930" s="51" t="b">
        <v>0</v>
      </c>
      <c r="R930" s="51" t="b">
        <v>0</v>
      </c>
      <c r="S930" s="51" t="b">
        <v>0</v>
      </c>
    </row>
    <row r="931">
      <c r="A931" s="56" t="str">
        <f>IFERROR(__xludf.DUMMYFUNCTION("""COMPUTED_VALUE"""),"1049 - Channel")</f>
        <v>1049 - Channel</v>
      </c>
      <c r="B931" s="56" t="s">
        <v>19</v>
      </c>
      <c r="C931" s="56" t="s">
        <v>289</v>
      </c>
      <c r="D931" s="57">
        <v>0.5098148148148148</v>
      </c>
      <c r="E931" s="57">
        <v>0.0077777777777777776</v>
      </c>
      <c r="F931" s="57">
        <v>0.5175925925925926</v>
      </c>
      <c r="G931" s="56" t="s">
        <v>1017</v>
      </c>
      <c r="H931" s="56" t="s">
        <v>165</v>
      </c>
      <c r="I931" s="56" t="s">
        <v>1372</v>
      </c>
      <c r="J931" s="56" t="s">
        <v>1374</v>
      </c>
      <c r="K931" s="56"/>
      <c r="L931" s="56"/>
      <c r="M931" s="56"/>
      <c r="N931" s="56" t="s">
        <v>70</v>
      </c>
      <c r="O931" s="51" t="b">
        <v>0</v>
      </c>
      <c r="P931" s="51" t="b">
        <v>0</v>
      </c>
      <c r="Q931" s="51" t="b">
        <v>0</v>
      </c>
      <c r="R931" s="51" t="b">
        <v>0</v>
      </c>
      <c r="S931" s="51" t="b">
        <v>0</v>
      </c>
      <c r="T931" s="56"/>
    </row>
    <row r="932" hidden="1">
      <c r="A932" s="4" t="str">
        <f>IFERROR(__xludf.DUMMYFUNCTION("""COMPUTED_VALUE"""),"1045 - Channel")</f>
        <v>1045 - Channel</v>
      </c>
      <c r="B932" s="4" t="s">
        <v>19</v>
      </c>
      <c r="C932" s="4" t="s">
        <v>289</v>
      </c>
      <c r="D932" s="6">
        <v>0.5175925925925926</v>
      </c>
      <c r="E932" s="6">
        <v>2.314814814814815E-4</v>
      </c>
      <c r="F932" s="6">
        <v>0.517824074074074</v>
      </c>
      <c r="G932" s="4" t="s">
        <v>1017</v>
      </c>
      <c r="H932" s="4" t="s">
        <v>81</v>
      </c>
      <c r="I932" s="4" t="s">
        <v>81</v>
      </c>
      <c r="J932" s="4"/>
      <c r="K932" s="4"/>
      <c r="L932" s="4"/>
      <c r="M932" s="4"/>
      <c r="N932" s="4" t="s">
        <v>70</v>
      </c>
      <c r="O932" s="51" t="b">
        <v>0</v>
      </c>
      <c r="P932" s="51" t="b">
        <v>0</v>
      </c>
      <c r="Q932" s="51" t="b">
        <v>0</v>
      </c>
      <c r="R932" s="51" t="b">
        <v>0</v>
      </c>
      <c r="S932" s="51" t="b">
        <v>0</v>
      </c>
    </row>
    <row r="933">
      <c r="A933" s="56" t="str">
        <f>IFERROR(__xludf.DUMMYFUNCTION("""COMPUTED_VALUE"""),"1046 - Channel")</f>
        <v>1046 - Channel</v>
      </c>
      <c r="B933" s="56" t="s">
        <v>19</v>
      </c>
      <c r="C933" s="56" t="s">
        <v>289</v>
      </c>
      <c r="D933" s="57">
        <v>0.517824074074074</v>
      </c>
      <c r="E933" s="57">
        <v>0.0077777777777777776</v>
      </c>
      <c r="F933" s="57">
        <v>0.5256018518518518</v>
      </c>
      <c r="G933" s="56" t="s">
        <v>1017</v>
      </c>
      <c r="H933" s="56" t="s">
        <v>94</v>
      </c>
      <c r="I933" s="56" t="s">
        <v>1375</v>
      </c>
      <c r="J933" s="56" t="s">
        <v>1376</v>
      </c>
      <c r="K933" s="56"/>
      <c r="L933" s="56"/>
      <c r="M933" s="56"/>
      <c r="N933" s="56" t="s">
        <v>464</v>
      </c>
      <c r="O933" s="51" t="b">
        <v>0</v>
      </c>
      <c r="P933" s="51" t="b">
        <v>0</v>
      </c>
      <c r="Q933" s="51" t="b">
        <v>0</v>
      </c>
      <c r="R933" s="51" t="b">
        <v>0</v>
      </c>
      <c r="S933" s="51" t="b">
        <v>0</v>
      </c>
      <c r="T933" s="56"/>
    </row>
    <row r="934" hidden="1">
      <c r="A934" s="4" t="str">
        <f>IFERROR(__xludf.DUMMYFUNCTION("""COMPUTED_VALUE"""),"903 - Channel")</f>
        <v>903 - Channel</v>
      </c>
      <c r="B934" s="4" t="s">
        <v>19</v>
      </c>
      <c r="C934" s="4" t="s">
        <v>289</v>
      </c>
      <c r="D934" s="6">
        <v>0.5256018518518518</v>
      </c>
      <c r="E934" s="6">
        <v>0.0</v>
      </c>
      <c r="F934" s="6">
        <v>0.5256018518518518</v>
      </c>
      <c r="G934" s="4" t="s">
        <v>106</v>
      </c>
      <c r="H934" s="4" t="s">
        <v>81</v>
      </c>
      <c r="I934" s="4" t="s">
        <v>81</v>
      </c>
      <c r="J934" s="4"/>
      <c r="K934" s="4"/>
      <c r="L934" s="4"/>
      <c r="M934" s="4"/>
      <c r="N934" s="4" t="s">
        <v>70</v>
      </c>
      <c r="O934" s="51" t="b">
        <v>0</v>
      </c>
      <c r="P934" s="51" t="b">
        <v>0</v>
      </c>
      <c r="Q934" s="51" t="b">
        <v>0</v>
      </c>
      <c r="R934" s="51" t="b">
        <v>0</v>
      </c>
      <c r="S934" s="51" t="b">
        <v>0</v>
      </c>
    </row>
    <row r="935">
      <c r="A935" s="56" t="str">
        <f>IFERROR(__xludf.DUMMYFUNCTION("""COMPUTED_VALUE"""),"904 - Channel")</f>
        <v>904 - Channel</v>
      </c>
      <c r="B935" s="56" t="s">
        <v>19</v>
      </c>
      <c r="C935" s="56" t="s">
        <v>289</v>
      </c>
      <c r="D935" s="57">
        <v>0.5256018518518518</v>
      </c>
      <c r="E935" s="57">
        <v>0.01355324074074074</v>
      </c>
      <c r="F935" s="57">
        <v>0.5391550925925925</v>
      </c>
      <c r="G935" s="56" t="s">
        <v>106</v>
      </c>
      <c r="H935" s="56" t="s">
        <v>94</v>
      </c>
      <c r="I935" s="56" t="s">
        <v>1378</v>
      </c>
      <c r="J935" s="56" t="s">
        <v>1379</v>
      </c>
      <c r="K935" s="56"/>
      <c r="L935" s="56"/>
      <c r="M935" s="56"/>
      <c r="N935" s="56" t="s">
        <v>1380</v>
      </c>
      <c r="O935" s="51" t="b">
        <v>0</v>
      </c>
      <c r="P935" s="51" t="b">
        <v>0</v>
      </c>
      <c r="Q935" s="51" t="b">
        <v>0</v>
      </c>
      <c r="R935" s="51" t="b">
        <v>0</v>
      </c>
      <c r="S935" s="51" t="b">
        <v>0</v>
      </c>
      <c r="T935" s="56"/>
    </row>
    <row r="936" hidden="1">
      <c r="A936" s="4" t="str">
        <f>IFERROR(__xludf.DUMMYFUNCTION("""COMPUTED_VALUE"""),"905 - Channel")</f>
        <v>905 - Channel</v>
      </c>
      <c r="B936" s="4" t="s">
        <v>19</v>
      </c>
      <c r="C936" s="4" t="s">
        <v>289</v>
      </c>
      <c r="D936" s="6">
        <v>0.5391550925925925</v>
      </c>
      <c r="E936" s="6">
        <v>1.7361111111111112E-4</v>
      </c>
      <c r="F936" s="6">
        <v>0.5393287037037037</v>
      </c>
      <c r="G936" s="4" t="s">
        <v>106</v>
      </c>
      <c r="H936" s="4" t="s">
        <v>85</v>
      </c>
      <c r="I936" s="4" t="s">
        <v>85</v>
      </c>
      <c r="J936" s="4"/>
      <c r="K936" s="4"/>
      <c r="L936" s="4"/>
      <c r="M936" s="4"/>
      <c r="N936" s="4" t="s">
        <v>70</v>
      </c>
      <c r="O936" s="51" t="b">
        <v>0</v>
      </c>
      <c r="P936" s="51" t="b">
        <v>0</v>
      </c>
      <c r="Q936" s="51" t="b">
        <v>0</v>
      </c>
      <c r="R936" s="51" t="b">
        <v>0</v>
      </c>
      <c r="S936" s="51" t="b">
        <v>0</v>
      </c>
    </row>
    <row r="937">
      <c r="A937" s="4" t="str">
        <f>IFERROR(__xludf.DUMMYFUNCTION("""COMPUTED_VALUE"""),"1355 - Channel")</f>
        <v>1355 - Channel</v>
      </c>
      <c r="B937" s="4" t="s">
        <v>19</v>
      </c>
      <c r="C937" s="4" t="s">
        <v>289</v>
      </c>
      <c r="D937" s="6"/>
      <c r="E937" s="6"/>
      <c r="F937" s="6"/>
      <c r="G937" s="4"/>
      <c r="H937" s="4"/>
      <c r="I937" s="4"/>
      <c r="J937" s="4"/>
      <c r="K937" s="4"/>
      <c r="L937" s="4"/>
      <c r="M937" s="4"/>
      <c r="N937" s="4"/>
      <c r="O937" s="51" t="b">
        <v>0</v>
      </c>
      <c r="P937" s="51" t="b">
        <v>0</v>
      </c>
      <c r="Q937" s="51" t="b">
        <v>0</v>
      </c>
      <c r="R937" s="51" t="b">
        <v>0</v>
      </c>
      <c r="S937" s="51" t="b">
        <v>0</v>
      </c>
    </row>
    <row r="938" hidden="1">
      <c r="A938" s="56" t="str">
        <f>IFERROR(__xludf.DUMMYFUNCTION("""COMPUTED_VALUE"""),"1051 - Channel")</f>
        <v>1051 - Channel</v>
      </c>
      <c r="B938" s="56" t="s">
        <v>19</v>
      </c>
      <c r="C938" s="56" t="s">
        <v>289</v>
      </c>
      <c r="D938" s="57">
        <v>0.5416666666666666</v>
      </c>
      <c r="E938" s="57">
        <v>3.4722222222222224E-4</v>
      </c>
      <c r="F938" s="57">
        <v>0.5420138888888889</v>
      </c>
      <c r="G938" s="56" t="s">
        <v>280</v>
      </c>
      <c r="H938" s="56" t="s">
        <v>81</v>
      </c>
      <c r="I938" s="56" t="s">
        <v>81</v>
      </c>
      <c r="J938" s="56"/>
      <c r="K938" s="56"/>
      <c r="L938" s="56"/>
      <c r="M938" s="56"/>
      <c r="N938" s="56" t="s">
        <v>70</v>
      </c>
      <c r="O938" s="51" t="b">
        <v>0</v>
      </c>
      <c r="P938" s="51" t="b">
        <v>0</v>
      </c>
      <c r="Q938" s="51" t="b">
        <v>0</v>
      </c>
      <c r="R938" s="51" t="b">
        <v>0</v>
      </c>
      <c r="S938" s="51" t="b">
        <v>0</v>
      </c>
      <c r="T938" s="56"/>
    </row>
    <row r="939">
      <c r="A939" s="4" t="str">
        <f>IFERROR(__xludf.DUMMYFUNCTION("""COMPUTED_VALUE"""),"1052 - Channel")</f>
        <v>1052 - Channel</v>
      </c>
      <c r="B939" s="4" t="s">
        <v>19</v>
      </c>
      <c r="C939" s="4" t="s">
        <v>289</v>
      </c>
      <c r="D939" s="6">
        <v>0.5420138888888889</v>
      </c>
      <c r="E939" s="6">
        <v>0.010717592592592593</v>
      </c>
      <c r="F939" s="6">
        <v>0.5527314814814815</v>
      </c>
      <c r="G939" s="4" t="s">
        <v>280</v>
      </c>
      <c r="H939" s="4" t="s">
        <v>94</v>
      </c>
      <c r="I939" s="4" t="s">
        <v>1385</v>
      </c>
      <c r="J939" s="4" t="s">
        <v>1386</v>
      </c>
      <c r="K939" s="4"/>
      <c r="L939" s="4"/>
      <c r="M939" s="4"/>
      <c r="N939" s="4" t="s">
        <v>1387</v>
      </c>
      <c r="O939" s="51" t="b">
        <v>0</v>
      </c>
      <c r="P939" s="51" t="b">
        <v>0</v>
      </c>
      <c r="Q939" s="51" t="b">
        <v>0</v>
      </c>
      <c r="R939" s="51" t="b">
        <v>0</v>
      </c>
      <c r="S939" s="51" t="b">
        <v>0</v>
      </c>
    </row>
    <row r="940" hidden="1">
      <c r="A940" s="4" t="str">
        <f>IFERROR(__xludf.DUMMYFUNCTION("""COMPUTED_VALUE"""),"1055 - Channel")</f>
        <v>1055 - Channel</v>
      </c>
      <c r="B940" s="4" t="s">
        <v>19</v>
      </c>
      <c r="C940" s="4" t="s">
        <v>289</v>
      </c>
      <c r="D940" s="6">
        <v>0.5527314814814815</v>
      </c>
      <c r="E940" s="6">
        <v>2.314814814814815E-4</v>
      </c>
      <c r="F940" s="6">
        <v>0.552962962962963</v>
      </c>
      <c r="G940" s="4" t="s">
        <v>280</v>
      </c>
      <c r="H940" s="4" t="s">
        <v>81</v>
      </c>
      <c r="I940" s="4" t="s">
        <v>81</v>
      </c>
      <c r="J940" s="4"/>
      <c r="K940" s="4"/>
      <c r="L940" s="4"/>
      <c r="M940" s="4"/>
      <c r="N940" s="4" t="s">
        <v>70</v>
      </c>
      <c r="O940" s="51" t="b">
        <v>0</v>
      </c>
      <c r="P940" s="51" t="b">
        <v>0</v>
      </c>
      <c r="Q940" s="51" t="b">
        <v>0</v>
      </c>
      <c r="R940" s="51" t="b">
        <v>0</v>
      </c>
      <c r="S940" s="51" t="b">
        <v>0</v>
      </c>
    </row>
    <row r="941">
      <c r="A941" s="56" t="str">
        <f>IFERROR(__xludf.DUMMYFUNCTION("""COMPUTED_VALUE"""),"1361 - Channel")</f>
        <v>1361 - Channel</v>
      </c>
      <c r="B941" s="56" t="s">
        <v>19</v>
      </c>
      <c r="C941" s="56" t="s">
        <v>289</v>
      </c>
      <c r="D941" s="57">
        <v>0.552962962962963</v>
      </c>
      <c r="E941" s="57">
        <v>0.012152777777777778</v>
      </c>
      <c r="F941" s="57">
        <v>0.5651157407407408</v>
      </c>
      <c r="G941" s="56" t="s">
        <v>280</v>
      </c>
      <c r="H941" s="56" t="s">
        <v>74</v>
      </c>
      <c r="I941" s="56" t="s">
        <v>1389</v>
      </c>
      <c r="J941" s="56" t="s">
        <v>1390</v>
      </c>
      <c r="K941" s="56" t="s">
        <v>1391</v>
      </c>
      <c r="L941" s="56" t="s">
        <v>1392</v>
      </c>
      <c r="M941" s="56" t="s">
        <v>1393</v>
      </c>
      <c r="N941" s="56" t="s">
        <v>425</v>
      </c>
      <c r="O941" s="51" t="b">
        <v>0</v>
      </c>
      <c r="P941" s="51" t="b">
        <v>0</v>
      </c>
      <c r="Q941" s="51" t="b">
        <v>0</v>
      </c>
      <c r="R941" s="51" t="b">
        <v>0</v>
      </c>
      <c r="S941" s="51" t="b">
        <v>0</v>
      </c>
      <c r="T941" s="56"/>
    </row>
    <row r="942" hidden="1">
      <c r="A942" s="4" t="str">
        <f>IFERROR(__xludf.DUMMYFUNCTION("""COMPUTED_VALUE"""),"1061 - Channel")</f>
        <v>1061 - Channel</v>
      </c>
      <c r="B942" s="4" t="s">
        <v>19</v>
      </c>
      <c r="C942" s="4" t="s">
        <v>289</v>
      </c>
      <c r="D942" s="6">
        <v>0.5651157407407408</v>
      </c>
      <c r="E942" s="6">
        <v>2.314814814814815E-4</v>
      </c>
      <c r="F942" s="6">
        <v>0.5653472222222222</v>
      </c>
      <c r="G942" s="4" t="s">
        <v>280</v>
      </c>
      <c r="H942" s="4" t="s">
        <v>81</v>
      </c>
      <c r="I942" s="4" t="s">
        <v>81</v>
      </c>
      <c r="J942" s="4"/>
      <c r="K942" s="4"/>
      <c r="L942" s="4"/>
      <c r="M942" s="4"/>
      <c r="N942" s="4" t="s">
        <v>70</v>
      </c>
      <c r="O942" s="51" t="b">
        <v>0</v>
      </c>
      <c r="P942" s="51" t="b">
        <v>0</v>
      </c>
      <c r="Q942" s="51" t="b">
        <v>0</v>
      </c>
      <c r="R942" s="51" t="b">
        <v>0</v>
      </c>
      <c r="S942" s="51" t="b">
        <v>0</v>
      </c>
    </row>
    <row r="943">
      <c r="A943" s="4" t="str">
        <f>IFERROR(__xludf.DUMMYFUNCTION("""COMPUTED_VALUE"""),"1062 - Channel")</f>
        <v>1062 - Channel</v>
      </c>
      <c r="B943" s="4" t="s">
        <v>19</v>
      </c>
      <c r="C943" s="4" t="s">
        <v>289</v>
      </c>
      <c r="D943" s="6">
        <v>0.5653472222222222</v>
      </c>
      <c r="E943" s="6">
        <v>0.008078703703703704</v>
      </c>
      <c r="F943" s="6">
        <v>0.5734259259259259</v>
      </c>
      <c r="G943" s="4" t="s">
        <v>280</v>
      </c>
      <c r="H943" s="4" t="s">
        <v>107</v>
      </c>
      <c r="I943" s="4" t="s">
        <v>1396</v>
      </c>
      <c r="J943" s="4" t="s">
        <v>1397</v>
      </c>
      <c r="K943" s="4" t="s">
        <v>1398</v>
      </c>
      <c r="L943" s="4"/>
      <c r="M943" s="4"/>
      <c r="N943" s="4" t="s">
        <v>1399</v>
      </c>
      <c r="O943" s="51" t="b">
        <v>0</v>
      </c>
      <c r="P943" s="51" t="b">
        <v>0</v>
      </c>
      <c r="Q943" s="51" t="b">
        <v>0</v>
      </c>
      <c r="R943" s="51" t="b">
        <v>0</v>
      </c>
      <c r="S943" s="51" t="b">
        <v>0</v>
      </c>
    </row>
    <row r="944" hidden="1">
      <c r="A944" s="56" t="str">
        <f>IFERROR(__xludf.DUMMYFUNCTION("""COMPUTED_VALUE"""),"1058 - Channel")</f>
        <v>1058 - Channel</v>
      </c>
      <c r="B944" s="56" t="s">
        <v>19</v>
      </c>
      <c r="C944" s="56" t="s">
        <v>289</v>
      </c>
      <c r="D944" s="57">
        <v>0.5734259259259259</v>
      </c>
      <c r="E944" s="57">
        <v>2.314814814814815E-4</v>
      </c>
      <c r="F944" s="57">
        <v>0.5736574074074073</v>
      </c>
      <c r="G944" s="56" t="s">
        <v>280</v>
      </c>
      <c r="H944" s="56" t="s">
        <v>81</v>
      </c>
      <c r="I944" s="56" t="s">
        <v>81</v>
      </c>
      <c r="J944" s="56"/>
      <c r="K944" s="56"/>
      <c r="L944" s="56"/>
      <c r="M944" s="56"/>
      <c r="N944" s="56" t="s">
        <v>70</v>
      </c>
      <c r="O944" s="51" t="b">
        <v>0</v>
      </c>
      <c r="P944" s="51" t="b">
        <v>0</v>
      </c>
      <c r="Q944" s="51" t="b">
        <v>0</v>
      </c>
      <c r="R944" s="51" t="b">
        <v>0</v>
      </c>
      <c r="S944" s="51" t="b">
        <v>0</v>
      </c>
      <c r="T944" s="56"/>
    </row>
    <row r="945">
      <c r="A945" s="4" t="str">
        <f>IFERROR(__xludf.DUMMYFUNCTION("""COMPUTED_VALUE"""),"1059 - Channel")</f>
        <v>1059 - Channel</v>
      </c>
      <c r="B945" s="4" t="s">
        <v>19</v>
      </c>
      <c r="C945" s="4" t="s">
        <v>289</v>
      </c>
      <c r="D945" s="6">
        <v>0.5736574074074073</v>
      </c>
      <c r="E945" s="6">
        <v>0.008333333333333333</v>
      </c>
      <c r="F945" s="6">
        <v>0.5819907407407406</v>
      </c>
      <c r="G945" s="4" t="s">
        <v>280</v>
      </c>
      <c r="H945" s="4" t="s">
        <v>94</v>
      </c>
      <c r="I945" s="4" t="s">
        <v>1401</v>
      </c>
      <c r="J945" s="4" t="s">
        <v>1402</v>
      </c>
      <c r="K945" s="4" t="s">
        <v>1403</v>
      </c>
      <c r="L945" s="4"/>
      <c r="M945" s="4"/>
      <c r="N945" s="4" t="s">
        <v>1399</v>
      </c>
      <c r="O945" s="51" t="b">
        <v>0</v>
      </c>
      <c r="P945" s="51" t="b">
        <v>0</v>
      </c>
      <c r="Q945" s="51" t="b">
        <v>0</v>
      </c>
      <c r="R945" s="51" t="b">
        <v>0</v>
      </c>
      <c r="S945" s="51" t="b">
        <v>0</v>
      </c>
    </row>
    <row r="946" hidden="1">
      <c r="A946" s="4" t="str">
        <f>IFERROR(__xludf.DUMMYFUNCTION("""COMPUTED_VALUE"""),"1356 - Channel")</f>
        <v>1356 - Channel</v>
      </c>
      <c r="B946" s="4" t="s">
        <v>19</v>
      </c>
      <c r="C946" s="4" t="s">
        <v>289</v>
      </c>
      <c r="D946" s="6"/>
      <c r="E946" s="6"/>
      <c r="F946" s="6"/>
      <c r="G946" s="4"/>
      <c r="H946" s="4"/>
      <c r="I946" s="4"/>
      <c r="J946" s="4"/>
      <c r="K946" s="4"/>
      <c r="L946" s="4"/>
      <c r="M946" s="4"/>
      <c r="N946" s="4"/>
      <c r="O946" s="51" t="b">
        <v>0</v>
      </c>
      <c r="P946" s="51" t="b">
        <v>0</v>
      </c>
      <c r="Q946" s="51" t="b">
        <v>0</v>
      </c>
      <c r="R946" s="51" t="b">
        <v>0</v>
      </c>
      <c r="S946" s="51" t="b">
        <v>0</v>
      </c>
    </row>
    <row r="947" hidden="1">
      <c r="A947" s="56" t="str">
        <f>IFERROR(__xludf.DUMMYFUNCTION("""COMPUTED_VALUE"""),"1564 - Channel")</f>
        <v>1564 - Channel</v>
      </c>
      <c r="B947" s="56" t="s">
        <v>19</v>
      </c>
      <c r="C947" s="56" t="s">
        <v>289</v>
      </c>
      <c r="D947" s="57">
        <v>0.5833333333333334</v>
      </c>
      <c r="E947" s="57">
        <v>3.4722222222222224E-4</v>
      </c>
      <c r="F947" s="57">
        <v>0.5836805555555556</v>
      </c>
      <c r="G947" s="56"/>
      <c r="H947" s="56" t="s">
        <v>81</v>
      </c>
      <c r="I947" s="56" t="s">
        <v>81</v>
      </c>
      <c r="J947" s="56"/>
      <c r="K947" s="56"/>
      <c r="L947" s="56"/>
      <c r="M947" s="56"/>
      <c r="N947" s="56"/>
      <c r="O947" s="51" t="b">
        <v>0</v>
      </c>
      <c r="P947" s="51" t="b">
        <v>0</v>
      </c>
      <c r="Q947" s="51" t="b">
        <v>0</v>
      </c>
      <c r="R947" s="51" t="b">
        <v>0</v>
      </c>
      <c r="S947" s="51" t="b">
        <v>0</v>
      </c>
      <c r="T947" s="56"/>
    </row>
    <row r="948">
      <c r="A948" s="4" t="str">
        <f>IFERROR(__xludf.DUMMYFUNCTION("""COMPUTED_VALUE"""),"1261 - Channel")</f>
        <v>1261 - Channel</v>
      </c>
      <c r="B948" s="4" t="s">
        <v>19</v>
      </c>
      <c r="C948" s="4" t="s">
        <v>289</v>
      </c>
      <c r="D948" s="6">
        <v>0.5836805555555556</v>
      </c>
      <c r="E948" s="6">
        <v>0.009699074074074074</v>
      </c>
      <c r="F948" s="6">
        <v>0.5933796296296298</v>
      </c>
      <c r="G948" s="4" t="s">
        <v>245</v>
      </c>
      <c r="H948" s="4" t="s">
        <v>107</v>
      </c>
      <c r="I948" s="4" t="s">
        <v>1408</v>
      </c>
      <c r="J948" s="4" t="s">
        <v>1410</v>
      </c>
      <c r="K948" s="4" t="s">
        <v>1411</v>
      </c>
      <c r="L948" s="4"/>
      <c r="M948" s="4"/>
      <c r="N948" s="4" t="s">
        <v>439</v>
      </c>
      <c r="O948" s="51" t="b">
        <v>0</v>
      </c>
      <c r="P948" s="51" t="b">
        <v>0</v>
      </c>
      <c r="Q948" s="51" t="b">
        <v>0</v>
      </c>
      <c r="R948" s="51" t="b">
        <v>0</v>
      </c>
      <c r="S948" s="51" t="b">
        <v>0</v>
      </c>
    </row>
    <row r="949" hidden="1">
      <c r="A949" s="4" t="str">
        <f>IFERROR(__xludf.DUMMYFUNCTION("""COMPUTED_VALUE"""),"1067 - Channel")</f>
        <v>1067 - Channel</v>
      </c>
      <c r="B949" s="4" t="s">
        <v>19</v>
      </c>
      <c r="C949" s="4" t="s">
        <v>289</v>
      </c>
      <c r="D949" s="6">
        <v>0.5933796296296298</v>
      </c>
      <c r="E949" s="6">
        <v>2.314814814814815E-4</v>
      </c>
      <c r="F949" s="6">
        <v>0.5936111111111112</v>
      </c>
      <c r="G949" s="4" t="s">
        <v>1345</v>
      </c>
      <c r="H949" s="4" t="s">
        <v>81</v>
      </c>
      <c r="I949" s="4" t="s">
        <v>81</v>
      </c>
      <c r="J949" s="4"/>
      <c r="K949" s="4"/>
      <c r="L949" s="4"/>
      <c r="M949" s="4"/>
      <c r="N949" s="4" t="s">
        <v>70</v>
      </c>
      <c r="O949" s="51" t="b">
        <v>0</v>
      </c>
      <c r="P949" s="51" t="b">
        <v>0</v>
      </c>
      <c r="Q949" s="51" t="b">
        <v>0</v>
      </c>
      <c r="R949" s="51" t="b">
        <v>0</v>
      </c>
      <c r="S949" s="51" t="b">
        <v>0</v>
      </c>
    </row>
    <row r="950">
      <c r="A950" s="56" t="str">
        <f>IFERROR(__xludf.DUMMYFUNCTION("""COMPUTED_VALUE"""),"1068 - Channel")</f>
        <v>1068 - Channel</v>
      </c>
      <c r="B950" s="56" t="s">
        <v>19</v>
      </c>
      <c r="C950" s="56" t="s">
        <v>289</v>
      </c>
      <c r="D950" s="57">
        <v>0.5936111111111112</v>
      </c>
      <c r="E950" s="57">
        <v>0.0021064814814814813</v>
      </c>
      <c r="F950" s="57">
        <v>0.5957175925925927</v>
      </c>
      <c r="G950" s="56" t="s">
        <v>1345</v>
      </c>
      <c r="H950" s="56" t="s">
        <v>165</v>
      </c>
      <c r="I950" s="56" t="s">
        <v>1413</v>
      </c>
      <c r="J950" s="56" t="s">
        <v>1414</v>
      </c>
      <c r="K950" s="56"/>
      <c r="L950" s="56"/>
      <c r="M950" s="56"/>
      <c r="N950" s="56" t="s">
        <v>70</v>
      </c>
      <c r="O950" s="51" t="b">
        <v>0</v>
      </c>
      <c r="P950" s="51" t="b">
        <v>0</v>
      </c>
      <c r="Q950" s="51" t="b">
        <v>0</v>
      </c>
      <c r="R950" s="51" t="b">
        <v>0</v>
      </c>
      <c r="S950" s="51" t="b">
        <v>0</v>
      </c>
      <c r="T950" s="56"/>
    </row>
    <row r="951" hidden="1">
      <c r="A951" s="4" t="str">
        <f>IFERROR(__xludf.DUMMYFUNCTION("""COMPUTED_VALUE"""),"1071 - Channel")</f>
        <v>1071 - Channel</v>
      </c>
      <c r="B951" s="4" t="s">
        <v>19</v>
      </c>
      <c r="C951" s="4" t="s">
        <v>289</v>
      </c>
      <c r="D951" s="6">
        <v>0.5957175925925927</v>
      </c>
      <c r="E951" s="6">
        <v>2.314814814814815E-4</v>
      </c>
      <c r="F951" s="6">
        <v>0.5959490740740742</v>
      </c>
      <c r="G951" s="4" t="s">
        <v>1345</v>
      </c>
      <c r="H951" s="4" t="s">
        <v>81</v>
      </c>
      <c r="I951" s="4" t="s">
        <v>81</v>
      </c>
      <c r="J951" s="4"/>
      <c r="K951" s="4"/>
      <c r="L951" s="4"/>
      <c r="M951" s="4"/>
      <c r="N951" s="4" t="s">
        <v>70</v>
      </c>
      <c r="O951" s="51" t="b">
        <v>0</v>
      </c>
      <c r="P951" s="51" t="b">
        <v>0</v>
      </c>
      <c r="Q951" s="51" t="b">
        <v>0</v>
      </c>
      <c r="R951" s="51" t="b">
        <v>0</v>
      </c>
      <c r="S951" s="51" t="b">
        <v>0</v>
      </c>
    </row>
    <row r="952">
      <c r="A952" s="4" t="str">
        <f>IFERROR(__xludf.DUMMYFUNCTION("""COMPUTED_VALUE"""),"1072 - Channel")</f>
        <v>1072 - Channel</v>
      </c>
      <c r="B952" s="4" t="s">
        <v>19</v>
      </c>
      <c r="C952" s="4" t="s">
        <v>289</v>
      </c>
      <c r="D952" s="6">
        <v>0.5959490740740742</v>
      </c>
      <c r="E952" s="6">
        <v>0.005613425925925926</v>
      </c>
      <c r="F952" s="6">
        <v>0.6015625000000001</v>
      </c>
      <c r="G952" s="4" t="s">
        <v>1345</v>
      </c>
      <c r="H952" s="4" t="s">
        <v>165</v>
      </c>
      <c r="I952" s="4" t="s">
        <v>1416</v>
      </c>
      <c r="J952" s="4" t="s">
        <v>1418</v>
      </c>
      <c r="K952" s="4"/>
      <c r="L952" s="4"/>
      <c r="M952" s="4"/>
      <c r="N952" s="4" t="s">
        <v>70</v>
      </c>
      <c r="O952" s="51" t="b">
        <v>0</v>
      </c>
      <c r="P952" s="51" t="b">
        <v>0</v>
      </c>
      <c r="Q952" s="51" t="b">
        <v>0</v>
      </c>
      <c r="R952" s="51" t="b">
        <v>0</v>
      </c>
      <c r="S952" s="51" t="b">
        <v>0</v>
      </c>
    </row>
    <row r="953" hidden="1">
      <c r="A953" s="56" t="str">
        <f>IFERROR(__xludf.DUMMYFUNCTION("""COMPUTED_VALUE"""),"1074 - Channel")</f>
        <v>1074 - Channel</v>
      </c>
      <c r="B953" s="56" t="s">
        <v>19</v>
      </c>
      <c r="C953" s="56" t="s">
        <v>289</v>
      </c>
      <c r="D953" s="57">
        <v>0.6015625000000001</v>
      </c>
      <c r="E953" s="57">
        <v>2.314814814814815E-4</v>
      </c>
      <c r="F953" s="57">
        <v>0.6017939814814816</v>
      </c>
      <c r="G953" s="56" t="s">
        <v>1345</v>
      </c>
      <c r="H953" s="56" t="s">
        <v>81</v>
      </c>
      <c r="I953" s="56" t="s">
        <v>81</v>
      </c>
      <c r="J953" s="56"/>
      <c r="K953" s="56"/>
      <c r="L953" s="56"/>
      <c r="M953" s="56"/>
      <c r="N953" s="56" t="s">
        <v>70</v>
      </c>
      <c r="O953" s="51" t="b">
        <v>0</v>
      </c>
      <c r="P953" s="51" t="b">
        <v>0</v>
      </c>
      <c r="Q953" s="51" t="b">
        <v>0</v>
      </c>
      <c r="R953" s="51" t="b">
        <v>0</v>
      </c>
      <c r="S953" s="51" t="b">
        <v>0</v>
      </c>
      <c r="T953" s="56"/>
    </row>
    <row r="954">
      <c r="A954" s="4" t="str">
        <f>IFERROR(__xludf.DUMMYFUNCTION("""COMPUTED_VALUE"""),"1075 - Channel")</f>
        <v>1075 - Channel</v>
      </c>
      <c r="B954" s="4" t="s">
        <v>19</v>
      </c>
      <c r="C954" s="4" t="s">
        <v>289</v>
      </c>
      <c r="D954" s="6">
        <v>0.6017939814814816</v>
      </c>
      <c r="E954" s="6">
        <v>0.007361111111111111</v>
      </c>
      <c r="F954" s="6">
        <v>0.6091550925925927</v>
      </c>
      <c r="G954" s="4" t="s">
        <v>1345</v>
      </c>
      <c r="H954" s="4" t="s">
        <v>107</v>
      </c>
      <c r="I954" s="4" t="s">
        <v>1421</v>
      </c>
      <c r="J954" s="4" t="s">
        <v>1423</v>
      </c>
      <c r="K954" s="4" t="s">
        <v>1424</v>
      </c>
      <c r="L954" s="4"/>
      <c r="M954" s="4"/>
      <c r="N954" s="4" t="s">
        <v>1425</v>
      </c>
      <c r="O954" s="51" t="b">
        <v>0</v>
      </c>
      <c r="P954" s="51" t="b">
        <v>0</v>
      </c>
      <c r="Q954" s="51" t="b">
        <v>0</v>
      </c>
      <c r="R954" s="51" t="b">
        <v>0</v>
      </c>
      <c r="S954" s="51" t="b">
        <v>0</v>
      </c>
    </row>
    <row r="955" hidden="1">
      <c r="A955" s="4" t="str">
        <f>IFERROR(__xludf.DUMMYFUNCTION("""COMPUTED_VALUE"""),"1077 - Channel")</f>
        <v>1077 - Channel</v>
      </c>
      <c r="B955" s="4" t="s">
        <v>19</v>
      </c>
      <c r="C955" s="4" t="s">
        <v>289</v>
      </c>
      <c r="D955" s="6">
        <v>0.6091550925925927</v>
      </c>
      <c r="E955" s="6">
        <v>2.314814814814815E-4</v>
      </c>
      <c r="F955" s="6">
        <v>0.6093865740740741</v>
      </c>
      <c r="G955" s="4" t="s">
        <v>1345</v>
      </c>
      <c r="H955" s="4" t="s">
        <v>81</v>
      </c>
      <c r="I955" s="4" t="s">
        <v>81</v>
      </c>
      <c r="J955" s="4"/>
      <c r="K955" s="4"/>
      <c r="L955" s="4"/>
      <c r="M955" s="4"/>
      <c r="N955" s="4" t="s">
        <v>70</v>
      </c>
      <c r="O955" s="51" t="b">
        <v>0</v>
      </c>
      <c r="P955" s="51" t="b">
        <v>0</v>
      </c>
      <c r="Q955" s="51" t="b">
        <v>0</v>
      </c>
      <c r="R955" s="51" t="b">
        <v>0</v>
      </c>
      <c r="S955" s="51" t="b">
        <v>0</v>
      </c>
    </row>
    <row r="956">
      <c r="A956" s="4" t="str">
        <f>IFERROR(__xludf.DUMMYFUNCTION("""COMPUTED_VALUE"""),"1078 - Channel")</f>
        <v>1078 - Channel</v>
      </c>
      <c r="B956" s="4" t="s">
        <v>19</v>
      </c>
      <c r="C956" s="4" t="s">
        <v>289</v>
      </c>
      <c r="D956" s="6">
        <v>0.6093865740740741</v>
      </c>
      <c r="E956" s="6">
        <v>0.006944444444444444</v>
      </c>
      <c r="F956" s="6">
        <v>0.6163310185185186</v>
      </c>
      <c r="G956" s="4" t="s">
        <v>1345</v>
      </c>
      <c r="H956" s="4" t="s">
        <v>165</v>
      </c>
      <c r="I956" s="4" t="s">
        <v>1427</v>
      </c>
      <c r="J956" s="4" t="s">
        <v>1428</v>
      </c>
      <c r="K956" s="4"/>
      <c r="L956" s="4"/>
      <c r="M956" s="4"/>
      <c r="N956" s="4" t="s">
        <v>70</v>
      </c>
      <c r="O956" s="51" t="b">
        <v>0</v>
      </c>
      <c r="P956" s="51" t="b">
        <v>0</v>
      </c>
      <c r="Q956" s="51" t="b">
        <v>0</v>
      </c>
      <c r="R956" s="51" t="b">
        <v>0</v>
      </c>
      <c r="S956" s="51" t="b">
        <v>0</v>
      </c>
    </row>
    <row r="957" hidden="1">
      <c r="A957" s="4" t="str">
        <f>IFERROR(__xludf.DUMMYFUNCTION("""COMPUTED_VALUE"""),"1080 - Channel")</f>
        <v>1080 - Channel</v>
      </c>
      <c r="B957" s="4" t="s">
        <v>19</v>
      </c>
      <c r="C957" s="4" t="s">
        <v>289</v>
      </c>
      <c r="D957" s="6">
        <v>0.6163310185185186</v>
      </c>
      <c r="E957" s="6">
        <v>2.314814814814815E-4</v>
      </c>
      <c r="F957" s="6">
        <v>0.6165625</v>
      </c>
      <c r="G957" s="4" t="s">
        <v>1345</v>
      </c>
      <c r="H957" s="4" t="s">
        <v>81</v>
      </c>
      <c r="I957" s="4" t="s">
        <v>81</v>
      </c>
      <c r="J957" s="4"/>
      <c r="K957" s="4"/>
      <c r="L957" s="4"/>
      <c r="M957" s="4"/>
      <c r="N957" s="4" t="s">
        <v>70</v>
      </c>
      <c r="O957" s="51" t="b">
        <v>0</v>
      </c>
      <c r="P957" s="51" t="b">
        <v>0</v>
      </c>
      <c r="Q957" s="51" t="b">
        <v>0</v>
      </c>
      <c r="R957" s="51" t="b">
        <v>0</v>
      </c>
      <c r="S957" s="51" t="b">
        <v>0</v>
      </c>
    </row>
    <row r="958">
      <c r="A958" s="56" t="str">
        <f>IFERROR(__xludf.DUMMYFUNCTION("""COMPUTED_VALUE"""),"1081 - Channel")</f>
        <v>1081 - Channel</v>
      </c>
      <c r="B958" s="56" t="s">
        <v>19</v>
      </c>
      <c r="C958" s="56" t="s">
        <v>289</v>
      </c>
      <c r="D958" s="57">
        <v>0.6165625</v>
      </c>
      <c r="E958" s="57">
        <v>0.007523148148148148</v>
      </c>
      <c r="F958" s="57">
        <v>0.6240856481481482</v>
      </c>
      <c r="G958" s="56" t="s">
        <v>1345</v>
      </c>
      <c r="H958" s="56" t="s">
        <v>94</v>
      </c>
      <c r="I958" s="56" t="s">
        <v>1431</v>
      </c>
      <c r="J958" s="56" t="s">
        <v>1432</v>
      </c>
      <c r="K958" s="56"/>
      <c r="L958" s="56"/>
      <c r="M958" s="56"/>
      <c r="N958" s="56" t="s">
        <v>1433</v>
      </c>
      <c r="O958" s="51" t="b">
        <v>0</v>
      </c>
      <c r="P958" s="51" t="b">
        <v>0</v>
      </c>
      <c r="Q958" s="51" t="b">
        <v>0</v>
      </c>
      <c r="R958" s="51" t="b">
        <v>0</v>
      </c>
      <c r="S958" s="51" t="b">
        <v>0</v>
      </c>
      <c r="T958" s="56"/>
    </row>
    <row r="959" hidden="1">
      <c r="A959" s="4" t="str">
        <f>IFERROR(__xludf.DUMMYFUNCTION("""COMPUTED_VALUE"""),"1357 - Channel")</f>
        <v>1357 - Channel</v>
      </c>
      <c r="B959" s="4" t="s">
        <v>19</v>
      </c>
      <c r="C959" s="4" t="s">
        <v>289</v>
      </c>
      <c r="D959" s="6"/>
      <c r="E959" s="6"/>
      <c r="F959" s="6"/>
      <c r="G959" s="4"/>
      <c r="H959" s="4"/>
      <c r="I959" s="4"/>
      <c r="J959" s="4"/>
      <c r="K959" s="4"/>
      <c r="L959" s="4"/>
      <c r="M959" s="4"/>
      <c r="N959" s="4"/>
      <c r="O959" s="51" t="b">
        <v>0</v>
      </c>
      <c r="P959" s="51" t="b">
        <v>0</v>
      </c>
      <c r="Q959" s="51" t="b">
        <v>0</v>
      </c>
      <c r="R959" s="51" t="b">
        <v>0</v>
      </c>
      <c r="S959" s="51" t="b">
        <v>0</v>
      </c>
    </row>
    <row r="960" hidden="1">
      <c r="A960" s="4" t="str">
        <f>IFERROR(__xludf.DUMMYFUNCTION("""COMPUTED_VALUE"""),"1086 - Channel")</f>
        <v>1086 - Channel</v>
      </c>
      <c r="B960" s="4" t="s">
        <v>19</v>
      </c>
      <c r="C960" s="4" t="s">
        <v>289</v>
      </c>
      <c r="D960" s="6">
        <v>0.625</v>
      </c>
      <c r="E960" s="6">
        <v>3.4722222222222224E-4</v>
      </c>
      <c r="F960" s="6">
        <v>0.6253472222222223</v>
      </c>
      <c r="G960" s="4" t="s">
        <v>446</v>
      </c>
      <c r="H960" s="4" t="s">
        <v>81</v>
      </c>
      <c r="I960" s="4" t="s">
        <v>81</v>
      </c>
      <c r="J960" s="4"/>
      <c r="K960" s="4"/>
      <c r="L960" s="4"/>
      <c r="M960" s="4"/>
      <c r="N960" s="4" t="s">
        <v>70</v>
      </c>
      <c r="O960" s="51" t="b">
        <v>0</v>
      </c>
      <c r="P960" s="51" t="b">
        <v>0</v>
      </c>
      <c r="Q960" s="51" t="b">
        <v>0</v>
      </c>
      <c r="R960" s="51" t="b">
        <v>0</v>
      </c>
      <c r="S960" s="51" t="b">
        <v>0</v>
      </c>
    </row>
    <row r="961">
      <c r="A961" s="56" t="str">
        <f>IFERROR(__xludf.DUMMYFUNCTION("""COMPUTED_VALUE"""),"1087 - Channel")</f>
        <v>1087 - Channel</v>
      </c>
      <c r="B961" s="56" t="s">
        <v>19</v>
      </c>
      <c r="C961" s="56" t="s">
        <v>289</v>
      </c>
      <c r="D961" s="57">
        <v>0.6253472222222223</v>
      </c>
      <c r="E961" s="57">
        <v>0.010590277777777778</v>
      </c>
      <c r="F961" s="57">
        <v>0.6359375</v>
      </c>
      <c r="G961" s="56" t="s">
        <v>446</v>
      </c>
      <c r="H961" s="56" t="s">
        <v>94</v>
      </c>
      <c r="I961" s="56" t="s">
        <v>1437</v>
      </c>
      <c r="J961" s="56" t="s">
        <v>1439</v>
      </c>
      <c r="K961" s="56"/>
      <c r="L961" s="56"/>
      <c r="M961" s="56"/>
      <c r="N961" s="56" t="s">
        <v>1441</v>
      </c>
      <c r="O961" s="51" t="b">
        <v>0</v>
      </c>
      <c r="P961" s="51" t="b">
        <v>0</v>
      </c>
      <c r="Q961" s="51" t="b">
        <v>0</v>
      </c>
      <c r="R961" s="51" t="b">
        <v>0</v>
      </c>
      <c r="S961" s="51" t="b">
        <v>0</v>
      </c>
      <c r="T961" s="56"/>
    </row>
    <row r="962" hidden="1">
      <c r="A962" s="4" t="str">
        <f>IFERROR(__xludf.DUMMYFUNCTION("""COMPUTED_VALUE"""),"1032 - Channel")</f>
        <v>1032 - Channel</v>
      </c>
      <c r="B962" s="4" t="s">
        <v>19</v>
      </c>
      <c r="C962" s="4" t="s">
        <v>289</v>
      </c>
      <c r="D962" s="6">
        <v>0.6359375</v>
      </c>
      <c r="E962" s="6">
        <v>1.7361111111111112E-4</v>
      </c>
      <c r="F962" s="6">
        <v>0.6361111111111112</v>
      </c>
      <c r="G962" s="4" t="s">
        <v>368</v>
      </c>
      <c r="H962" s="4" t="s">
        <v>77</v>
      </c>
      <c r="I962" s="4" t="s">
        <v>1443</v>
      </c>
      <c r="J962" s="4"/>
      <c r="K962" s="4"/>
      <c r="L962" s="4"/>
      <c r="M962" s="4"/>
      <c r="N962" s="4" t="s">
        <v>70</v>
      </c>
      <c r="O962" s="51" t="b">
        <v>0</v>
      </c>
      <c r="P962" s="51" t="b">
        <v>0</v>
      </c>
      <c r="Q962" s="51" t="b">
        <v>0</v>
      </c>
      <c r="R962" s="51" t="b">
        <v>0</v>
      </c>
      <c r="S962" s="51" t="b">
        <v>0</v>
      </c>
    </row>
    <row r="963" hidden="1">
      <c r="A963" s="56" t="str">
        <f>IFERROR(__xludf.DUMMYFUNCTION("""COMPUTED_VALUE"""),"1089 - Channel")</f>
        <v>1089 - Channel</v>
      </c>
      <c r="B963" s="56" t="s">
        <v>19</v>
      </c>
      <c r="C963" s="56" t="s">
        <v>289</v>
      </c>
      <c r="D963" s="57">
        <v>0.6361111111111112</v>
      </c>
      <c r="E963" s="57">
        <v>2.314814814814815E-4</v>
      </c>
      <c r="F963" s="57">
        <v>0.6363425925925926</v>
      </c>
      <c r="G963" s="56" t="s">
        <v>446</v>
      </c>
      <c r="H963" s="56" t="s">
        <v>81</v>
      </c>
      <c r="I963" s="56" t="s">
        <v>81</v>
      </c>
      <c r="J963" s="56"/>
      <c r="K963" s="56"/>
      <c r="L963" s="56"/>
      <c r="M963" s="56"/>
      <c r="N963" s="56" t="s">
        <v>70</v>
      </c>
      <c r="O963" s="51" t="b">
        <v>0</v>
      </c>
      <c r="P963" s="51" t="b">
        <v>0</v>
      </c>
      <c r="Q963" s="51" t="b">
        <v>0</v>
      </c>
      <c r="R963" s="51" t="b">
        <v>0</v>
      </c>
      <c r="S963" s="51" t="b">
        <v>0</v>
      </c>
      <c r="T963" s="56"/>
    </row>
    <row r="964">
      <c r="A964" s="4" t="str">
        <f>IFERROR(__xludf.DUMMYFUNCTION("""COMPUTED_VALUE"""),"1090 - Channel")</f>
        <v>1090 - Channel</v>
      </c>
      <c r="B964" s="4" t="s">
        <v>19</v>
      </c>
      <c r="C964" s="4" t="s">
        <v>289</v>
      </c>
      <c r="D964" s="6">
        <v>0.6363425925925926</v>
      </c>
      <c r="E964" s="6">
        <v>0.013888888888888888</v>
      </c>
      <c r="F964" s="6">
        <v>0.6502314814814815</v>
      </c>
      <c r="G964" s="4" t="s">
        <v>446</v>
      </c>
      <c r="H964" s="4" t="s">
        <v>107</v>
      </c>
      <c r="I964" s="4" t="s">
        <v>1447</v>
      </c>
      <c r="J964" s="4" t="s">
        <v>1448</v>
      </c>
      <c r="K964" s="4" t="s">
        <v>1449</v>
      </c>
      <c r="L964" s="4"/>
      <c r="M964" s="4"/>
      <c r="N964" s="4" t="s">
        <v>733</v>
      </c>
      <c r="O964" s="51" t="b">
        <v>0</v>
      </c>
      <c r="P964" s="51" t="b">
        <v>0</v>
      </c>
      <c r="Q964" s="51" t="b">
        <v>0</v>
      </c>
      <c r="R964" s="51" t="b">
        <v>0</v>
      </c>
      <c r="S964" s="51" t="b">
        <v>0</v>
      </c>
    </row>
    <row r="965" hidden="1">
      <c r="A965" s="4" t="str">
        <f>IFERROR(__xludf.DUMMYFUNCTION("""COMPUTED_VALUE"""),"1681 - Channel")</f>
        <v>1681 - Channel</v>
      </c>
      <c r="B965" s="4" t="s">
        <v>19</v>
      </c>
      <c r="C965" s="4" t="s">
        <v>289</v>
      </c>
      <c r="D965" s="6">
        <v>0.6502314814814815</v>
      </c>
      <c r="E965" s="6">
        <v>0.0010416666666666667</v>
      </c>
      <c r="F965" s="6">
        <v>0.6512731481481482</v>
      </c>
      <c r="G965" s="4"/>
      <c r="H965" s="4" t="s">
        <v>67</v>
      </c>
      <c r="I965" s="4" t="s">
        <v>67</v>
      </c>
      <c r="J965" s="4"/>
      <c r="K965" s="4"/>
      <c r="L965" s="4"/>
      <c r="M965" s="4"/>
      <c r="N965" s="4"/>
      <c r="O965" s="51" t="b">
        <v>0</v>
      </c>
      <c r="P965" s="51" t="b">
        <v>0</v>
      </c>
      <c r="Q965" s="51" t="b">
        <v>0</v>
      </c>
      <c r="R965" s="51" t="b">
        <v>0</v>
      </c>
      <c r="S965" s="51" t="b">
        <v>0</v>
      </c>
    </row>
    <row r="966" hidden="1">
      <c r="A966" s="4" t="str">
        <f>IFERROR(__xludf.DUMMYFUNCTION("""COMPUTED_VALUE"""),"1368 - Channel")</f>
        <v>1368 - Channel</v>
      </c>
      <c r="B966" s="4" t="s">
        <v>19</v>
      </c>
      <c r="C966" s="4" t="s">
        <v>289</v>
      </c>
      <c r="D966" s="6">
        <v>0.6512731481481482</v>
      </c>
      <c r="E966" s="6">
        <v>2.314814814814815E-4</v>
      </c>
      <c r="F966" s="6">
        <v>0.6515046296296296</v>
      </c>
      <c r="G966" s="4" t="s">
        <v>446</v>
      </c>
      <c r="H966" s="4" t="s">
        <v>81</v>
      </c>
      <c r="I966" s="4" t="s">
        <v>81</v>
      </c>
      <c r="J966" s="4"/>
      <c r="K966" s="4"/>
      <c r="L966" s="4"/>
      <c r="M966" s="4"/>
      <c r="N966" s="4" t="s">
        <v>70</v>
      </c>
      <c r="O966" s="51" t="b">
        <v>0</v>
      </c>
      <c r="P966" s="51" t="b">
        <v>0</v>
      </c>
      <c r="Q966" s="51" t="b">
        <v>0</v>
      </c>
      <c r="R966" s="51" t="b">
        <v>0</v>
      </c>
      <c r="S966" s="51" t="b">
        <v>0</v>
      </c>
    </row>
    <row r="967">
      <c r="A967" s="4" t="str">
        <f>IFERROR(__xludf.DUMMYFUNCTION("""COMPUTED_VALUE"""),"1273 - Channel")</f>
        <v>1273 - Channel</v>
      </c>
      <c r="B967" s="4" t="s">
        <v>19</v>
      </c>
      <c r="C967" s="4" t="s">
        <v>289</v>
      </c>
      <c r="D967" s="6">
        <v>0.6515046296296296</v>
      </c>
      <c r="E967" s="6">
        <v>0.0020833333333333333</v>
      </c>
      <c r="F967" s="6">
        <v>0.653587962962963</v>
      </c>
      <c r="G967" s="4" t="s">
        <v>140</v>
      </c>
      <c r="H967" s="4" t="s">
        <v>165</v>
      </c>
      <c r="I967" s="4" t="s">
        <v>1452</v>
      </c>
      <c r="J967" s="4" t="s">
        <v>1453</v>
      </c>
      <c r="K967" s="4"/>
      <c r="L967" s="4"/>
      <c r="M967" s="4"/>
      <c r="N967" s="4" t="s">
        <v>70</v>
      </c>
      <c r="O967" s="51" t="b">
        <v>0</v>
      </c>
      <c r="P967" s="51" t="b">
        <v>0</v>
      </c>
      <c r="Q967" s="51" t="b">
        <v>0</v>
      </c>
      <c r="R967" s="51" t="b">
        <v>0</v>
      </c>
      <c r="S967" s="51" t="b">
        <v>0</v>
      </c>
    </row>
    <row r="968" hidden="1">
      <c r="A968" s="4" t="str">
        <f>IFERROR(__xludf.DUMMYFUNCTION("""COMPUTED_VALUE"""),"985 - Channel")</f>
        <v>985 - Channel</v>
      </c>
      <c r="B968" s="4" t="s">
        <v>19</v>
      </c>
      <c r="C968" s="4" t="s">
        <v>289</v>
      </c>
      <c r="D968" s="6">
        <v>0.653587962962963</v>
      </c>
      <c r="E968" s="6">
        <v>1.7361111111111112E-4</v>
      </c>
      <c r="F968" s="6">
        <v>0.6537615740740741</v>
      </c>
      <c r="G968" s="4" t="s">
        <v>331</v>
      </c>
      <c r="H968" s="4" t="s">
        <v>77</v>
      </c>
      <c r="I968" s="4" t="s">
        <v>1454</v>
      </c>
      <c r="J968" s="4"/>
      <c r="K968" s="4"/>
      <c r="L968" s="4"/>
      <c r="M968" s="4"/>
      <c r="N968" s="4" t="s">
        <v>70</v>
      </c>
      <c r="O968" s="51" t="b">
        <v>0</v>
      </c>
      <c r="P968" s="51" t="b">
        <v>0</v>
      </c>
      <c r="Q968" s="51" t="b">
        <v>0</v>
      </c>
      <c r="R968" s="51" t="b">
        <v>0</v>
      </c>
      <c r="S968" s="51" t="b">
        <v>0</v>
      </c>
    </row>
    <row r="969" hidden="1">
      <c r="A969" s="4" t="str">
        <f>IFERROR(__xludf.DUMMYFUNCTION("""COMPUTED_VALUE"""),"1098 - Channel")</f>
        <v>1098 - Channel</v>
      </c>
      <c r="B969" s="4" t="s">
        <v>19</v>
      </c>
      <c r="C969" s="4" t="s">
        <v>289</v>
      </c>
      <c r="D969" s="6">
        <v>0.6537615740740741</v>
      </c>
      <c r="E969" s="6">
        <v>2.314814814814815E-4</v>
      </c>
      <c r="F969" s="6">
        <v>0.6539930555555555</v>
      </c>
      <c r="G969" s="4" t="s">
        <v>446</v>
      </c>
      <c r="H969" s="4" t="s">
        <v>81</v>
      </c>
      <c r="I969" s="4" t="s">
        <v>81</v>
      </c>
      <c r="J969" s="4"/>
      <c r="K969" s="4"/>
      <c r="L969" s="4"/>
      <c r="M969" s="4"/>
      <c r="N969" s="4" t="s">
        <v>70</v>
      </c>
      <c r="O969" s="51" t="b">
        <v>0</v>
      </c>
      <c r="P969" s="51" t="b">
        <v>0</v>
      </c>
      <c r="Q969" s="51" t="b">
        <v>0</v>
      </c>
      <c r="R969" s="51" t="b">
        <v>0</v>
      </c>
      <c r="S969" s="51" t="b">
        <v>0</v>
      </c>
    </row>
    <row r="970">
      <c r="A970" s="4" t="str">
        <f>IFERROR(__xludf.DUMMYFUNCTION("""COMPUTED_VALUE"""),"1099 - Channel")</f>
        <v>1099 - Channel</v>
      </c>
      <c r="B970" s="4" t="s">
        <v>19</v>
      </c>
      <c r="C970" s="4" t="s">
        <v>289</v>
      </c>
      <c r="D970" s="6">
        <v>0.6539930555555555</v>
      </c>
      <c r="E970" s="6">
        <v>0.010069444444444445</v>
      </c>
      <c r="F970" s="6">
        <v>0.6640625</v>
      </c>
      <c r="G970" s="4" t="s">
        <v>446</v>
      </c>
      <c r="H970" s="4" t="s">
        <v>107</v>
      </c>
      <c r="I970" s="4" t="s">
        <v>1457</v>
      </c>
      <c r="J970" s="4" t="s">
        <v>1458</v>
      </c>
      <c r="K970" s="4" t="s">
        <v>1459</v>
      </c>
      <c r="L970" s="4"/>
      <c r="M970" s="4"/>
      <c r="N970" s="4" t="s">
        <v>1460</v>
      </c>
      <c r="O970" s="51" t="b">
        <v>0</v>
      </c>
      <c r="P970" s="51" t="b">
        <v>0</v>
      </c>
      <c r="Q970" s="51" t="b">
        <v>0</v>
      </c>
      <c r="R970" s="51" t="b">
        <v>0</v>
      </c>
      <c r="S970" s="51" t="b">
        <v>0</v>
      </c>
    </row>
    <row r="971" hidden="1">
      <c r="A971" s="4" t="str">
        <f>IFERROR(__xludf.DUMMYFUNCTION("""COMPUTED_VALUE"""),"1101 - Channel")</f>
        <v>1101 - Channel</v>
      </c>
      <c r="B971" s="4" t="s">
        <v>19</v>
      </c>
      <c r="C971" s="4" t="s">
        <v>289</v>
      </c>
      <c r="D971" s="6">
        <v>0.6640625</v>
      </c>
      <c r="E971" s="6">
        <v>1.7361111111111112E-4</v>
      </c>
      <c r="F971" s="6">
        <v>0.6642361111111111</v>
      </c>
      <c r="G971" s="4" t="s">
        <v>446</v>
      </c>
      <c r="H971" s="4" t="s">
        <v>506</v>
      </c>
      <c r="I971" s="4" t="s">
        <v>1461</v>
      </c>
      <c r="J971" s="4"/>
      <c r="K971" s="4"/>
      <c r="L971" s="4"/>
      <c r="M971" s="4"/>
      <c r="N971" s="4" t="s">
        <v>70</v>
      </c>
      <c r="O971" s="51" t="b">
        <v>0</v>
      </c>
      <c r="P971" s="51" t="b">
        <v>0</v>
      </c>
      <c r="Q971" s="51" t="b">
        <v>0</v>
      </c>
      <c r="R971" s="51" t="b">
        <v>0</v>
      </c>
      <c r="S971" s="51" t="b">
        <v>0</v>
      </c>
    </row>
    <row r="972" hidden="1">
      <c r="A972" s="56" t="str">
        <f>IFERROR(__xludf.DUMMYFUNCTION("""COMPUTED_VALUE"""),"1083 - Channel")</f>
        <v>1083 - Channel</v>
      </c>
      <c r="B972" s="56" t="s">
        <v>19</v>
      </c>
      <c r="C972" s="56" t="s">
        <v>289</v>
      </c>
      <c r="D972" s="57">
        <v>0.6642361111111111</v>
      </c>
      <c r="E972" s="57">
        <v>2.314814814814815E-4</v>
      </c>
      <c r="F972" s="57">
        <v>0.6644675925925926</v>
      </c>
      <c r="G972" s="56" t="s">
        <v>446</v>
      </c>
      <c r="H972" s="56" t="s">
        <v>81</v>
      </c>
      <c r="I972" s="56" t="s">
        <v>81</v>
      </c>
      <c r="J972" s="56"/>
      <c r="K972" s="56"/>
      <c r="L972" s="56"/>
      <c r="M972" s="56"/>
      <c r="N972" s="56" t="s">
        <v>70</v>
      </c>
      <c r="O972" s="51" t="b">
        <v>0</v>
      </c>
      <c r="P972" s="51" t="b">
        <v>0</v>
      </c>
      <c r="Q972" s="51" t="b">
        <v>0</v>
      </c>
      <c r="R972" s="51" t="b">
        <v>0</v>
      </c>
      <c r="S972" s="51" t="b">
        <v>0</v>
      </c>
      <c r="T972" s="56"/>
    </row>
    <row r="973">
      <c r="A973" s="4" t="str">
        <f>IFERROR(__xludf.DUMMYFUNCTION("""COMPUTED_VALUE"""),"1084 - Channel")</f>
        <v>1084 - Channel</v>
      </c>
      <c r="B973" s="4" t="s">
        <v>19</v>
      </c>
      <c r="C973" s="4" t="s">
        <v>289</v>
      </c>
      <c r="D973" s="6">
        <v>0.6644675925925926</v>
      </c>
      <c r="E973" s="6">
        <v>0.001990740740740741</v>
      </c>
      <c r="F973" s="6">
        <v>0.6664583333333334</v>
      </c>
      <c r="G973" s="4" t="s">
        <v>446</v>
      </c>
      <c r="H973" s="4" t="s">
        <v>165</v>
      </c>
      <c r="I973" s="4" t="s">
        <v>1464</v>
      </c>
      <c r="J973" s="4" t="s">
        <v>1465</v>
      </c>
      <c r="K973" s="4"/>
      <c r="L973" s="4"/>
      <c r="M973" s="4"/>
      <c r="N973" s="4" t="s">
        <v>70</v>
      </c>
      <c r="O973" s="51" t="b">
        <v>0</v>
      </c>
      <c r="P973" s="51" t="b">
        <v>0</v>
      </c>
      <c r="Q973" s="51" t="b">
        <v>0</v>
      </c>
      <c r="R973" s="51" t="b">
        <v>0</v>
      </c>
      <c r="S973" s="51" t="b">
        <v>0</v>
      </c>
    </row>
    <row r="974" hidden="1">
      <c r="A974" s="4" t="str">
        <f>IFERROR(__xludf.DUMMYFUNCTION("""COMPUTED_VALUE"""),"1358 - Channel")</f>
        <v>1358 - Channel</v>
      </c>
      <c r="B974" s="4" t="s">
        <v>19</v>
      </c>
      <c r="C974" s="4" t="s">
        <v>289</v>
      </c>
      <c r="D974" s="6"/>
      <c r="E974" s="6"/>
      <c r="F974" s="6"/>
      <c r="G974" s="4"/>
      <c r="H974" s="4"/>
      <c r="I974" s="4"/>
      <c r="J974" s="4"/>
      <c r="K974" s="4"/>
      <c r="L974" s="4"/>
      <c r="M974" s="4"/>
      <c r="N974" s="4"/>
      <c r="O974" s="51" t="b">
        <v>0</v>
      </c>
      <c r="P974" s="51" t="b">
        <v>0</v>
      </c>
      <c r="Q974" s="51" t="b">
        <v>0</v>
      </c>
      <c r="R974" s="51" t="b">
        <v>0</v>
      </c>
      <c r="S974" s="51" t="b">
        <v>0</v>
      </c>
    </row>
    <row r="975" hidden="1">
      <c r="A975" s="56" t="str">
        <f>IFERROR(__xludf.DUMMYFUNCTION("""COMPUTED_VALUE"""),"1102 - Channel")</f>
        <v>1102 - Channel</v>
      </c>
      <c r="B975" s="56" t="s">
        <v>19</v>
      </c>
      <c r="C975" s="56" t="s">
        <v>289</v>
      </c>
      <c r="D975" s="57">
        <v>0.6666666666666666</v>
      </c>
      <c r="E975" s="57">
        <v>3.4722222222222224E-4</v>
      </c>
      <c r="F975" s="57">
        <v>0.6670138888888889</v>
      </c>
      <c r="G975" s="56" t="s">
        <v>1193</v>
      </c>
      <c r="H975" s="56" t="s">
        <v>81</v>
      </c>
      <c r="I975" s="56" t="s">
        <v>81</v>
      </c>
      <c r="J975" s="56"/>
      <c r="K975" s="56"/>
      <c r="L975" s="56"/>
      <c r="M975" s="56"/>
      <c r="N975" s="56" t="s">
        <v>70</v>
      </c>
      <c r="O975" s="51" t="b">
        <v>0</v>
      </c>
      <c r="P975" s="51" t="b">
        <v>0</v>
      </c>
      <c r="Q975" s="51" t="b">
        <v>0</v>
      </c>
      <c r="R975" s="51" t="b">
        <v>0</v>
      </c>
      <c r="S975" s="51" t="b">
        <v>0</v>
      </c>
      <c r="T975" s="56"/>
    </row>
    <row r="976">
      <c r="A976" s="4" t="str">
        <f>IFERROR(__xludf.DUMMYFUNCTION("""COMPUTED_VALUE"""),"1103 - Channel")</f>
        <v>1103 - Channel</v>
      </c>
      <c r="B976" s="4" t="s">
        <v>19</v>
      </c>
      <c r="C976" s="4" t="s">
        <v>289</v>
      </c>
      <c r="D976" s="6">
        <v>0.6670138888888889</v>
      </c>
      <c r="E976" s="6">
        <v>0.008217592592592592</v>
      </c>
      <c r="F976" s="6">
        <v>0.6752314814814815</v>
      </c>
      <c r="G976" s="4" t="s">
        <v>1193</v>
      </c>
      <c r="H976" s="4" t="s">
        <v>94</v>
      </c>
      <c r="I976" s="4" t="s">
        <v>1469</v>
      </c>
      <c r="J976" s="4" t="s">
        <v>1470</v>
      </c>
      <c r="K976" s="4"/>
      <c r="L976" s="4"/>
      <c r="M976" s="4"/>
      <c r="N976" s="4" t="s">
        <v>1471</v>
      </c>
      <c r="O976" s="51" t="b">
        <v>0</v>
      </c>
      <c r="P976" s="51" t="b">
        <v>0</v>
      </c>
      <c r="Q976" s="51" t="b">
        <v>0</v>
      </c>
      <c r="R976" s="51" t="b">
        <v>0</v>
      </c>
      <c r="S976" s="51" t="b">
        <v>0</v>
      </c>
    </row>
    <row r="977" hidden="1">
      <c r="A977" s="4" t="str">
        <f>IFERROR(__xludf.DUMMYFUNCTION("""COMPUTED_VALUE"""),"1105 - Channel")</f>
        <v>1105 - Channel</v>
      </c>
      <c r="B977" s="4" t="s">
        <v>19</v>
      </c>
      <c r="C977" s="4" t="s">
        <v>289</v>
      </c>
      <c r="D977" s="6">
        <v>0.6752314814814815</v>
      </c>
      <c r="E977" s="6">
        <v>2.314814814814815E-4</v>
      </c>
      <c r="F977" s="6">
        <v>0.6754629629629629</v>
      </c>
      <c r="G977" s="4" t="s">
        <v>1193</v>
      </c>
      <c r="H977" s="4" t="s">
        <v>506</v>
      </c>
      <c r="I977" s="4" t="s">
        <v>1141</v>
      </c>
      <c r="J977" s="4"/>
      <c r="K977" s="4"/>
      <c r="L977" s="4"/>
      <c r="M977" s="4"/>
      <c r="N977" s="4" t="s">
        <v>70</v>
      </c>
      <c r="O977" s="51" t="b">
        <v>0</v>
      </c>
      <c r="P977" s="51" t="b">
        <v>0</v>
      </c>
      <c r="Q977" s="51" t="b">
        <v>0</v>
      </c>
      <c r="R977" s="51" t="b">
        <v>0</v>
      </c>
      <c r="S977" s="51" t="b">
        <v>0</v>
      </c>
    </row>
    <row r="978" hidden="1">
      <c r="A978" s="56" t="str">
        <f>IFERROR(__xludf.DUMMYFUNCTION("""COMPUTED_VALUE"""),"1106 - Channel")</f>
        <v>1106 - Channel</v>
      </c>
      <c r="B978" s="56" t="s">
        <v>19</v>
      </c>
      <c r="C978" s="56" t="s">
        <v>289</v>
      </c>
      <c r="D978" s="57">
        <v>0.6754629629629629</v>
      </c>
      <c r="E978" s="57">
        <v>3.4722222222222224E-4</v>
      </c>
      <c r="F978" s="57">
        <v>0.6758101851851852</v>
      </c>
      <c r="G978" s="56" t="s">
        <v>1193</v>
      </c>
      <c r="H978" s="56" t="s">
        <v>89</v>
      </c>
      <c r="I978" s="56" t="s">
        <v>89</v>
      </c>
      <c r="J978" s="56"/>
      <c r="K978" s="56"/>
      <c r="L978" s="56"/>
      <c r="M978" s="56"/>
      <c r="N978" s="56" t="s">
        <v>70</v>
      </c>
      <c r="O978" s="51" t="b">
        <v>0</v>
      </c>
      <c r="P978" s="51" t="b">
        <v>0</v>
      </c>
      <c r="Q978" s="51" t="b">
        <v>0</v>
      </c>
      <c r="R978" s="51" t="b">
        <v>0</v>
      </c>
      <c r="S978" s="51" t="b">
        <v>0</v>
      </c>
      <c r="T978" s="56"/>
    </row>
    <row r="979" hidden="1">
      <c r="A979" s="4" t="str">
        <f>IFERROR(__xludf.DUMMYFUNCTION("""COMPUTED_VALUE"""),"1107 - Channel")</f>
        <v>1107 - Channel</v>
      </c>
      <c r="B979" s="4" t="s">
        <v>19</v>
      </c>
      <c r="C979" s="4" t="s">
        <v>289</v>
      </c>
      <c r="D979" s="6">
        <v>0.6758101851851852</v>
      </c>
      <c r="E979" s="6">
        <v>6.944444444444445E-4</v>
      </c>
      <c r="F979" s="6">
        <v>0.6765046296296297</v>
      </c>
      <c r="G979" s="4" t="s">
        <v>1193</v>
      </c>
      <c r="H979" s="4" t="s">
        <v>103</v>
      </c>
      <c r="I979" s="4" t="s">
        <v>103</v>
      </c>
      <c r="J979" s="4"/>
      <c r="K979" s="4"/>
      <c r="L979" s="4"/>
      <c r="M979" s="4"/>
      <c r="N979" s="4" t="s">
        <v>70</v>
      </c>
      <c r="O979" s="51" t="b">
        <v>0</v>
      </c>
      <c r="P979" s="51" t="b">
        <v>0</v>
      </c>
      <c r="Q979" s="51" t="b">
        <v>0</v>
      </c>
      <c r="R979" s="51" t="b">
        <v>0</v>
      </c>
      <c r="S979" s="51" t="b">
        <v>0</v>
      </c>
    </row>
    <row r="980" hidden="1">
      <c r="A980" s="4" t="str">
        <f>IFERROR(__xludf.DUMMYFUNCTION("""COMPUTED_VALUE"""),"852 - Channel")</f>
        <v>852 - Channel</v>
      </c>
      <c r="B980" s="4" t="s">
        <v>19</v>
      </c>
      <c r="C980" s="4" t="s">
        <v>289</v>
      </c>
      <c r="D980" s="6">
        <v>0.6765046296296297</v>
      </c>
      <c r="E980" s="6">
        <v>2.314814814814815E-4</v>
      </c>
      <c r="F980" s="6">
        <v>0.6767361111111111</v>
      </c>
      <c r="G980" s="4" t="s">
        <v>245</v>
      </c>
      <c r="H980" s="4" t="s">
        <v>81</v>
      </c>
      <c r="I980" s="4" t="s">
        <v>81</v>
      </c>
      <c r="J980" s="4"/>
      <c r="K980" s="4"/>
      <c r="L980" s="4"/>
      <c r="M980" s="4"/>
      <c r="N980" s="4" t="s">
        <v>70</v>
      </c>
      <c r="O980" s="51" t="b">
        <v>0</v>
      </c>
      <c r="P980" s="51" t="b">
        <v>0</v>
      </c>
      <c r="Q980" s="51" t="b">
        <v>0</v>
      </c>
      <c r="R980" s="51" t="b">
        <v>0</v>
      </c>
      <c r="S980" s="51" t="b">
        <v>0</v>
      </c>
    </row>
    <row r="981">
      <c r="A981" s="56" t="str">
        <f>IFERROR(__xludf.DUMMYFUNCTION("""COMPUTED_VALUE"""),"853 - Channel")</f>
        <v>853 - Channel</v>
      </c>
      <c r="B981" s="56" t="s">
        <v>19</v>
      </c>
      <c r="C981" s="56" t="s">
        <v>289</v>
      </c>
      <c r="D981" s="57">
        <v>0.6767361111111111</v>
      </c>
      <c r="E981" s="57">
        <v>0.015011574074074075</v>
      </c>
      <c r="F981" s="57">
        <v>0.6917476851851851</v>
      </c>
      <c r="G981" s="56" t="s">
        <v>245</v>
      </c>
      <c r="H981" s="56" t="s">
        <v>94</v>
      </c>
      <c r="I981" s="56" t="s">
        <v>1475</v>
      </c>
      <c r="J981" s="56" t="s">
        <v>1476</v>
      </c>
      <c r="K981" s="56"/>
      <c r="L981" s="56"/>
      <c r="M981" s="56"/>
      <c r="N981" s="56" t="s">
        <v>1477</v>
      </c>
      <c r="O981" s="51" t="b">
        <v>0</v>
      </c>
      <c r="P981" s="51" t="b">
        <v>0</v>
      </c>
      <c r="Q981" s="51" t="b">
        <v>0</v>
      </c>
      <c r="R981" s="51" t="b">
        <v>0</v>
      </c>
      <c r="S981" s="51" t="b">
        <v>0</v>
      </c>
      <c r="T981" s="56"/>
    </row>
    <row r="982" hidden="1">
      <c r="A982" s="4" t="str">
        <f>IFERROR(__xludf.DUMMYFUNCTION("""COMPUTED_VALUE"""),"1682 - Channel")</f>
        <v>1682 - Channel</v>
      </c>
      <c r="B982" s="4" t="s">
        <v>19</v>
      </c>
      <c r="C982" s="4" t="s">
        <v>289</v>
      </c>
      <c r="D982" s="6">
        <v>0.6917476851851851</v>
      </c>
      <c r="E982" s="6">
        <v>3.4722222222222224E-4</v>
      </c>
      <c r="F982" s="6">
        <v>0.6920949074074074</v>
      </c>
      <c r="G982" s="4"/>
      <c r="H982" s="4" t="s">
        <v>87</v>
      </c>
      <c r="I982" s="4" t="s">
        <v>87</v>
      </c>
      <c r="J982" s="4"/>
      <c r="K982" s="4"/>
      <c r="L982" s="4"/>
      <c r="M982" s="4"/>
      <c r="N982" s="4"/>
      <c r="O982" s="51" t="b">
        <v>0</v>
      </c>
      <c r="P982" s="51" t="b">
        <v>0</v>
      </c>
      <c r="Q982" s="51" t="b">
        <v>0</v>
      </c>
      <c r="R982" s="51" t="b">
        <v>0</v>
      </c>
      <c r="S982" s="51" t="b">
        <v>0</v>
      </c>
    </row>
    <row r="983" hidden="1">
      <c r="A983" s="4" t="str">
        <f>IFERROR(__xludf.DUMMYFUNCTION("""COMPUTED_VALUE"""),"1111 - Channel")</f>
        <v>1111 - Channel</v>
      </c>
      <c r="B983" s="4" t="s">
        <v>19</v>
      </c>
      <c r="C983" s="4" t="s">
        <v>289</v>
      </c>
      <c r="D983" s="6">
        <v>0.6920949074074074</v>
      </c>
      <c r="E983" s="6">
        <v>2.314814814814815E-4</v>
      </c>
      <c r="F983" s="6">
        <v>0.6923263888888889</v>
      </c>
      <c r="G983" s="4" t="s">
        <v>1193</v>
      </c>
      <c r="H983" s="4" t="s">
        <v>81</v>
      </c>
      <c r="I983" s="4" t="s">
        <v>81</v>
      </c>
      <c r="J983" s="4"/>
      <c r="K983" s="4"/>
      <c r="L983" s="4"/>
      <c r="M983" s="4"/>
      <c r="N983" s="4" t="s">
        <v>70</v>
      </c>
      <c r="O983" s="51" t="b">
        <v>0</v>
      </c>
      <c r="P983" s="51" t="b">
        <v>0</v>
      </c>
      <c r="Q983" s="51" t="b">
        <v>0</v>
      </c>
      <c r="R983" s="51" t="b">
        <v>0</v>
      </c>
      <c r="S983" s="51" t="b">
        <v>0</v>
      </c>
    </row>
    <row r="984">
      <c r="A984" s="56" t="str">
        <f>IFERROR(__xludf.DUMMYFUNCTION("""COMPUTED_VALUE"""),"1298 - Channel")</f>
        <v>1298 - Channel</v>
      </c>
      <c r="B984" s="56" t="s">
        <v>19</v>
      </c>
      <c r="C984" s="56" t="s">
        <v>289</v>
      </c>
      <c r="D984" s="57">
        <v>0.6923263888888889</v>
      </c>
      <c r="E984" s="57">
        <v>0.006782407407407407</v>
      </c>
      <c r="F984" s="57">
        <v>0.6991087962962963</v>
      </c>
      <c r="G984" s="56" t="s">
        <v>481</v>
      </c>
      <c r="H984" s="56" t="s">
        <v>74</v>
      </c>
      <c r="I984" s="56" t="s">
        <v>1480</v>
      </c>
      <c r="J984" s="56" t="s">
        <v>1481</v>
      </c>
      <c r="K984" s="56" t="s">
        <v>1482</v>
      </c>
      <c r="L984" s="56" t="s">
        <v>1483</v>
      </c>
      <c r="M984" s="56"/>
      <c r="N984" s="56" t="s">
        <v>1484</v>
      </c>
      <c r="O984" s="51" t="b">
        <v>0</v>
      </c>
      <c r="P984" s="51" t="b">
        <v>0</v>
      </c>
      <c r="Q984" s="51" t="b">
        <v>0</v>
      </c>
      <c r="R984" s="51" t="b">
        <v>0</v>
      </c>
      <c r="S984" s="51" t="b">
        <v>0</v>
      </c>
      <c r="T984" s="56"/>
    </row>
    <row r="985" hidden="1">
      <c r="A985" s="4" t="str">
        <f>IFERROR(__xludf.DUMMYFUNCTION("""COMPUTED_VALUE"""),"1114 - Channel")</f>
        <v>1114 - Channel</v>
      </c>
      <c r="B985" s="4" t="s">
        <v>19</v>
      </c>
      <c r="C985" s="4" t="s">
        <v>289</v>
      </c>
      <c r="D985" s="6">
        <v>0.6991087962962963</v>
      </c>
      <c r="E985" s="6">
        <v>2.314814814814815E-4</v>
      </c>
      <c r="F985" s="6">
        <v>0.6993402777777777</v>
      </c>
      <c r="G985" s="4" t="s">
        <v>1193</v>
      </c>
      <c r="H985" s="4" t="s">
        <v>81</v>
      </c>
      <c r="I985" s="4" t="s">
        <v>81</v>
      </c>
      <c r="J985" s="4"/>
      <c r="K985" s="4"/>
      <c r="L985" s="4"/>
      <c r="M985" s="4"/>
      <c r="N985" s="4" t="s">
        <v>70</v>
      </c>
      <c r="O985" s="51" t="b">
        <v>0</v>
      </c>
      <c r="P985" s="51" t="b">
        <v>0</v>
      </c>
      <c r="Q985" s="51" t="b">
        <v>0</v>
      </c>
      <c r="R985" s="51" t="b">
        <v>0</v>
      </c>
      <c r="S985" s="51" t="b">
        <v>0</v>
      </c>
    </row>
    <row r="986">
      <c r="A986" s="4" t="str">
        <f>IFERROR(__xludf.DUMMYFUNCTION("""COMPUTED_VALUE"""),"1115 - Channel")</f>
        <v>1115 - Channel</v>
      </c>
      <c r="B986" s="4" t="s">
        <v>19</v>
      </c>
      <c r="C986" s="4" t="s">
        <v>289</v>
      </c>
      <c r="D986" s="6">
        <v>0.6993402777777777</v>
      </c>
      <c r="E986" s="6">
        <v>0.0078125</v>
      </c>
      <c r="F986" s="6">
        <v>0.7071527777777777</v>
      </c>
      <c r="G986" s="4" t="s">
        <v>1193</v>
      </c>
      <c r="H986" s="4" t="s">
        <v>94</v>
      </c>
      <c r="I986" s="4" t="s">
        <v>1487</v>
      </c>
      <c r="J986" s="4" t="s">
        <v>1488</v>
      </c>
      <c r="K986" s="4"/>
      <c r="L986" s="4"/>
      <c r="M986" s="4"/>
      <c r="N986" s="4" t="s">
        <v>1471</v>
      </c>
      <c r="O986" s="51" t="b">
        <v>0</v>
      </c>
      <c r="P986" s="51" t="b">
        <v>0</v>
      </c>
      <c r="Q986" s="51" t="b">
        <v>0</v>
      </c>
      <c r="R986" s="51" t="b">
        <v>0</v>
      </c>
      <c r="S986" s="51" t="b">
        <v>0</v>
      </c>
    </row>
    <row r="987" hidden="1">
      <c r="A987" s="56" t="str">
        <f>IFERROR(__xludf.DUMMYFUNCTION("""COMPUTED_VALUE"""),"1117 - Channel")</f>
        <v>1117 - Channel</v>
      </c>
      <c r="B987" s="56" t="s">
        <v>19</v>
      </c>
      <c r="C987" s="56" t="s">
        <v>289</v>
      </c>
      <c r="D987" s="57">
        <v>0.7071527777777777</v>
      </c>
      <c r="E987" s="57">
        <v>3.4722222222222224E-4</v>
      </c>
      <c r="F987" s="57">
        <v>0.7075</v>
      </c>
      <c r="G987" s="56" t="s">
        <v>1193</v>
      </c>
      <c r="H987" s="56" t="s">
        <v>598</v>
      </c>
      <c r="I987" s="56" t="s">
        <v>1171</v>
      </c>
      <c r="J987" s="56"/>
      <c r="K987" s="56"/>
      <c r="L987" s="56"/>
      <c r="M987" s="56"/>
      <c r="N987" s="56" t="s">
        <v>70</v>
      </c>
      <c r="O987" s="51" t="b">
        <v>0</v>
      </c>
      <c r="P987" s="51" t="b">
        <v>0</v>
      </c>
      <c r="Q987" s="51" t="b">
        <v>0</v>
      </c>
      <c r="R987" s="51" t="b">
        <v>0</v>
      </c>
      <c r="S987" s="51" t="b">
        <v>0</v>
      </c>
      <c r="T987" s="56"/>
    </row>
    <row r="988" hidden="1">
      <c r="A988" s="4" t="str">
        <f>IFERROR(__xludf.DUMMYFUNCTION("""COMPUTED_VALUE"""),"1118 - Channel")</f>
        <v>1118 - Channel</v>
      </c>
      <c r="B988" s="4" t="s">
        <v>19</v>
      </c>
      <c r="C988" s="4" t="s">
        <v>289</v>
      </c>
      <c r="D988" s="6"/>
      <c r="E988" s="6"/>
      <c r="F988" s="6"/>
      <c r="G988" s="4"/>
      <c r="H988" s="4"/>
      <c r="I988" s="4"/>
      <c r="J988" s="4"/>
      <c r="K988" s="4"/>
      <c r="L988" s="4"/>
      <c r="M988" s="4"/>
      <c r="N988" s="4"/>
      <c r="O988" s="51" t="b">
        <v>0</v>
      </c>
      <c r="P988" s="51" t="b">
        <v>0</v>
      </c>
      <c r="Q988" s="51" t="b">
        <v>0</v>
      </c>
      <c r="R988" s="51" t="b">
        <v>0</v>
      </c>
      <c r="S988" s="51" t="b">
        <v>0</v>
      </c>
    </row>
    <row r="989" hidden="1">
      <c r="A989" s="4" t="str">
        <f>IFERROR(__xludf.DUMMYFUNCTION("""COMPUTED_VALUE"""),"1119 - Channel")</f>
        <v>1119 - Channel</v>
      </c>
      <c r="B989" s="4" t="s">
        <v>19</v>
      </c>
      <c r="C989" s="4" t="s">
        <v>289</v>
      </c>
      <c r="D989" s="6"/>
      <c r="E989" s="6"/>
      <c r="F989" s="6"/>
      <c r="G989" s="4"/>
      <c r="H989" s="4"/>
      <c r="I989" s="4"/>
      <c r="J989" s="4"/>
      <c r="K989" s="4"/>
      <c r="L989" s="4"/>
      <c r="M989" s="4"/>
      <c r="N989" s="4" t="s">
        <v>70</v>
      </c>
      <c r="O989" s="51" t="b">
        <v>0</v>
      </c>
      <c r="P989" s="51" t="b">
        <v>0</v>
      </c>
      <c r="Q989" s="51" t="b">
        <v>0</v>
      </c>
      <c r="R989" s="51" t="b">
        <v>0</v>
      </c>
      <c r="S989" s="51" t="b">
        <v>0</v>
      </c>
    </row>
    <row r="990" hidden="1">
      <c r="A990" s="56" t="str">
        <f>IFERROR(__xludf.DUMMYFUNCTION("""COMPUTED_VALUE"""),"1120 - Channel")</f>
        <v>1120 - Channel</v>
      </c>
      <c r="B990" s="56" t="s">
        <v>19</v>
      </c>
      <c r="C990" s="56" t="s">
        <v>289</v>
      </c>
      <c r="D990" s="57"/>
      <c r="E990" s="57"/>
      <c r="F990" s="57"/>
      <c r="G990" s="56"/>
      <c r="H990" s="56"/>
      <c r="I990" s="56"/>
      <c r="J990" s="56"/>
      <c r="K990" s="56"/>
      <c r="L990" s="56"/>
      <c r="M990" s="56"/>
      <c r="N990" s="56" t="s">
        <v>70</v>
      </c>
      <c r="O990" s="51" t="b">
        <v>0</v>
      </c>
      <c r="P990" s="51" t="b">
        <v>0</v>
      </c>
      <c r="Q990" s="51" t="b">
        <v>0</v>
      </c>
      <c r="R990" s="51" t="b">
        <v>0</v>
      </c>
      <c r="S990" s="51" t="b">
        <v>0</v>
      </c>
      <c r="T990" s="56"/>
    </row>
    <row r="991" hidden="1">
      <c r="A991" s="4" t="str">
        <f>IFERROR(__xludf.DUMMYFUNCTION("""COMPUTED_VALUE"""),"1121 - Channel")</f>
        <v>1121 - Channel</v>
      </c>
      <c r="B991" s="4" t="s">
        <v>1494</v>
      </c>
      <c r="C991" s="4"/>
      <c r="D991" s="6"/>
      <c r="E991" s="6"/>
      <c r="F991" s="6"/>
      <c r="G991" s="4"/>
      <c r="H991" s="4"/>
      <c r="I991" s="4"/>
      <c r="J991" s="4"/>
      <c r="K991" s="4"/>
      <c r="L991" s="4"/>
      <c r="M991" s="4"/>
      <c r="N991" s="4" t="s">
        <v>70</v>
      </c>
      <c r="O991" s="51" t="b">
        <v>0</v>
      </c>
      <c r="P991" s="51" t="b">
        <v>0</v>
      </c>
      <c r="Q991" s="51" t="b">
        <v>0</v>
      </c>
      <c r="R991" s="51" t="b">
        <v>0</v>
      </c>
      <c r="S991" s="51" t="b">
        <v>0</v>
      </c>
    </row>
    <row r="992" hidden="1">
      <c r="A992" s="4" t="str">
        <f>IFERROR(__xludf.DUMMYFUNCTION("""COMPUTED_VALUE"""),"1122 - Channel")</f>
        <v>1122 - Channel</v>
      </c>
      <c r="B992" s="4" t="s">
        <v>65</v>
      </c>
      <c r="C992" s="4"/>
      <c r="D992" s="6"/>
      <c r="E992" s="6"/>
      <c r="F992" s="6"/>
      <c r="G992" s="4"/>
      <c r="H992" s="4"/>
      <c r="I992" s="4"/>
      <c r="J992" s="4"/>
      <c r="K992" s="4"/>
      <c r="L992" s="4"/>
      <c r="M992" s="4"/>
      <c r="N992" s="4" t="s">
        <v>70</v>
      </c>
      <c r="O992" s="51" t="b">
        <v>0</v>
      </c>
      <c r="P992" s="51" t="b">
        <v>0</v>
      </c>
      <c r="Q992" s="51" t="b">
        <v>0</v>
      </c>
      <c r="R992" s="51" t="b">
        <v>0</v>
      </c>
      <c r="S992" s="51" t="b">
        <v>0</v>
      </c>
    </row>
    <row r="993" hidden="1">
      <c r="A993" s="56" t="str">
        <f>IFERROR(__xludf.DUMMYFUNCTION("""COMPUTED_VALUE"""),"1123 - Channel")</f>
        <v>1123 - Channel</v>
      </c>
      <c r="B993" s="56" t="s">
        <v>22</v>
      </c>
      <c r="C993" s="56" t="s">
        <v>66</v>
      </c>
      <c r="D993" s="57">
        <v>0.4166666666666667</v>
      </c>
      <c r="E993" s="57">
        <v>0.001388888888888889</v>
      </c>
      <c r="F993" s="57">
        <v>0.41805555555555557</v>
      </c>
      <c r="G993" s="56"/>
      <c r="H993" s="56" t="s">
        <v>79</v>
      </c>
      <c r="I993" s="56" t="s">
        <v>1497</v>
      </c>
      <c r="J993" s="56"/>
      <c r="K993" s="56"/>
      <c r="L993" s="56"/>
      <c r="M993" s="56"/>
      <c r="N993" s="56" t="s">
        <v>70</v>
      </c>
      <c r="O993" s="51" t="b">
        <v>0</v>
      </c>
      <c r="P993" s="51" t="b">
        <v>0</v>
      </c>
      <c r="Q993" s="51" t="b">
        <v>0</v>
      </c>
      <c r="R993" s="51" t="b">
        <v>0</v>
      </c>
      <c r="S993" s="51" t="b">
        <v>0</v>
      </c>
      <c r="T993" s="56"/>
    </row>
    <row r="994" hidden="1">
      <c r="A994" s="4" t="str">
        <f>IFERROR(__xludf.DUMMYFUNCTION("""COMPUTED_VALUE"""),"1175 - Channel")</f>
        <v>1175 - Channel</v>
      </c>
      <c r="B994" s="4" t="s">
        <v>22</v>
      </c>
      <c r="C994" s="4" t="s">
        <v>66</v>
      </c>
      <c r="D994" s="6">
        <v>0.41805555555555557</v>
      </c>
      <c r="E994" s="6">
        <v>3.4722222222222224E-4</v>
      </c>
      <c r="F994" s="6">
        <v>0.4184027777777778</v>
      </c>
      <c r="G994" s="4"/>
      <c r="H994" s="4" t="s">
        <v>81</v>
      </c>
      <c r="I994" s="4" t="s">
        <v>1498</v>
      </c>
      <c r="J994" s="4"/>
      <c r="K994" s="4"/>
      <c r="L994" s="4"/>
      <c r="M994" s="4"/>
      <c r="N994" s="4" t="s">
        <v>70</v>
      </c>
      <c r="O994" s="51" t="b">
        <v>0</v>
      </c>
      <c r="P994" s="51" t="b">
        <v>0</v>
      </c>
      <c r="Q994" s="51" t="b">
        <v>0</v>
      </c>
      <c r="R994" s="51" t="b">
        <v>0</v>
      </c>
      <c r="S994" s="51" t="b">
        <v>0</v>
      </c>
    </row>
    <row r="995">
      <c r="A995" s="4" t="str">
        <f>IFERROR(__xludf.DUMMYFUNCTION("""COMPUTED_VALUE"""),"1176 - Channel")</f>
        <v>1176 - Channel</v>
      </c>
      <c r="B995" s="4" t="s">
        <v>22</v>
      </c>
      <c r="C995" s="4" t="s">
        <v>66</v>
      </c>
      <c r="D995" s="6">
        <v>0.4184027777777778</v>
      </c>
      <c r="E995" s="6">
        <v>0.03280092592592593</v>
      </c>
      <c r="F995" s="6">
        <v>0.4512037037037037</v>
      </c>
      <c r="G995" s="4"/>
      <c r="H995" s="4" t="s">
        <v>1501</v>
      </c>
      <c r="I995" s="4" t="s">
        <v>1502</v>
      </c>
      <c r="J995" s="4" t="s">
        <v>148</v>
      </c>
      <c r="K995" s="4"/>
      <c r="L995" s="4"/>
      <c r="M995" s="4"/>
      <c r="N995" s="4" t="s">
        <v>92</v>
      </c>
      <c r="O995" s="51" t="b">
        <v>0</v>
      </c>
      <c r="P995" s="51" t="b">
        <v>0</v>
      </c>
      <c r="Q995" s="51" t="b">
        <v>0</v>
      </c>
      <c r="R995" s="51" t="b">
        <v>0</v>
      </c>
      <c r="S995" s="51" t="b">
        <v>0</v>
      </c>
    </row>
    <row r="996" hidden="1">
      <c r="A996" s="56" t="str">
        <f>IFERROR(__xludf.DUMMYFUNCTION("""COMPUTED_VALUE"""),"1177 - Channel")</f>
        <v>1177 - Channel</v>
      </c>
      <c r="B996" s="56" t="s">
        <v>22</v>
      </c>
      <c r="C996" s="56" t="s">
        <v>66</v>
      </c>
      <c r="D996" s="57">
        <v>0.4512037037037037</v>
      </c>
      <c r="E996" s="57">
        <v>0.0012037037037037038</v>
      </c>
      <c r="F996" s="57">
        <v>0.4524074074074074</v>
      </c>
      <c r="G996" s="56"/>
      <c r="H996" s="56" t="s">
        <v>79</v>
      </c>
      <c r="I996" s="56" t="s">
        <v>1497</v>
      </c>
      <c r="J996" s="56"/>
      <c r="K996" s="56"/>
      <c r="L996" s="56"/>
      <c r="M996" s="56"/>
      <c r="N996" s="56" t="s">
        <v>70</v>
      </c>
      <c r="O996" s="51" t="b">
        <v>0</v>
      </c>
      <c r="P996" s="51" t="b">
        <v>0</v>
      </c>
      <c r="Q996" s="51" t="b">
        <v>0</v>
      </c>
      <c r="R996" s="51" t="b">
        <v>0</v>
      </c>
      <c r="S996" s="51" t="b">
        <v>0</v>
      </c>
      <c r="T996" s="56"/>
    </row>
    <row r="997" hidden="1">
      <c r="A997" s="4" t="str">
        <f>IFERROR(__xludf.DUMMYFUNCTION("""COMPUTED_VALUE"""),"1145 - Channel")</f>
        <v>1145 - Channel</v>
      </c>
      <c r="B997" s="4" t="s">
        <v>22</v>
      </c>
      <c r="C997" s="4" t="s">
        <v>66</v>
      </c>
      <c r="D997" s="6">
        <v>0.4524074074074074</v>
      </c>
      <c r="E997" s="6">
        <v>3.4722222222222224E-4</v>
      </c>
      <c r="F997" s="6">
        <v>0.45275462962962965</v>
      </c>
      <c r="G997" s="4"/>
      <c r="H997" s="4" t="s">
        <v>81</v>
      </c>
      <c r="I997" s="4" t="s">
        <v>1498</v>
      </c>
      <c r="J997" s="4"/>
      <c r="K997" s="4"/>
      <c r="L997" s="4"/>
      <c r="M997" s="4"/>
      <c r="N997" s="4" t="s">
        <v>70</v>
      </c>
      <c r="O997" s="51" t="b">
        <v>0</v>
      </c>
      <c r="P997" s="51" t="b">
        <v>0</v>
      </c>
      <c r="Q997" s="51" t="b">
        <v>0</v>
      </c>
      <c r="R997" s="51" t="b">
        <v>0</v>
      </c>
      <c r="S997" s="51" t="b">
        <v>0</v>
      </c>
    </row>
    <row r="998">
      <c r="A998" s="4" t="str">
        <f>IFERROR(__xludf.DUMMYFUNCTION("""COMPUTED_VALUE"""),"1146 - Channel")</f>
        <v>1146 - Channel</v>
      </c>
      <c r="B998" s="4" t="s">
        <v>22</v>
      </c>
      <c r="C998" s="4" t="s">
        <v>66</v>
      </c>
      <c r="D998" s="6">
        <v>0.45275462962962965</v>
      </c>
      <c r="E998" s="6">
        <v>0.026319444444444444</v>
      </c>
      <c r="F998" s="6">
        <v>0.4790740740740741</v>
      </c>
      <c r="G998" s="4"/>
      <c r="H998" s="4" t="s">
        <v>1501</v>
      </c>
      <c r="I998" s="4" t="s">
        <v>1504</v>
      </c>
      <c r="J998" s="4" t="s">
        <v>1505</v>
      </c>
      <c r="K998" s="4"/>
      <c r="L998" s="4"/>
      <c r="M998" s="4"/>
      <c r="N998" s="4" t="s">
        <v>110</v>
      </c>
      <c r="O998" s="51" t="b">
        <v>0</v>
      </c>
      <c r="P998" s="51" t="b">
        <v>0</v>
      </c>
      <c r="Q998" s="51" t="b">
        <v>0</v>
      </c>
      <c r="R998" s="51" t="b">
        <v>0</v>
      </c>
      <c r="S998" s="51" t="b">
        <v>0</v>
      </c>
    </row>
    <row r="999" hidden="1">
      <c r="A999" s="56" t="str">
        <f>IFERROR(__xludf.DUMMYFUNCTION("""COMPUTED_VALUE"""),"1147 - Channel")</f>
        <v>1147 - Channel</v>
      </c>
      <c r="B999" s="56" t="s">
        <v>22</v>
      </c>
      <c r="C999" s="56" t="s">
        <v>66</v>
      </c>
      <c r="D999" s="57">
        <v>0.4790740740740741</v>
      </c>
      <c r="E999" s="57">
        <v>0.0012037037037037038</v>
      </c>
      <c r="F999" s="57">
        <v>0.4802777777777778</v>
      </c>
      <c r="G999" s="56"/>
      <c r="H999" s="56" t="s">
        <v>79</v>
      </c>
      <c r="I999" s="56" t="s">
        <v>1497</v>
      </c>
      <c r="J999" s="56"/>
      <c r="K999" s="56"/>
      <c r="L999" s="56"/>
      <c r="M999" s="56"/>
      <c r="N999" s="56" t="s">
        <v>70</v>
      </c>
      <c r="O999" s="51" t="b">
        <v>0</v>
      </c>
      <c r="P999" s="51" t="b">
        <v>0</v>
      </c>
      <c r="Q999" s="51" t="b">
        <v>0</v>
      </c>
      <c r="R999" s="51" t="b">
        <v>0</v>
      </c>
      <c r="S999" s="51" t="b">
        <v>0</v>
      </c>
      <c r="T999" s="56"/>
    </row>
    <row r="1000" hidden="1">
      <c r="A1000" s="4" t="str">
        <f>IFERROR(__xludf.DUMMYFUNCTION("""COMPUTED_VALUE"""),"1130 - Channel")</f>
        <v>1130 - Channel</v>
      </c>
      <c r="B1000" s="4" t="s">
        <v>22</v>
      </c>
      <c r="C1000" s="4" t="s">
        <v>66</v>
      </c>
      <c r="D1000" s="6">
        <v>0.4802777777777778</v>
      </c>
      <c r="E1000" s="6">
        <v>3.4722222222222224E-4</v>
      </c>
      <c r="F1000" s="6">
        <v>0.480625</v>
      </c>
      <c r="G1000" s="4"/>
      <c r="H1000" s="4" t="s">
        <v>81</v>
      </c>
      <c r="I1000" s="4" t="s">
        <v>1498</v>
      </c>
      <c r="J1000" s="4"/>
      <c r="K1000" s="4"/>
      <c r="L1000" s="4"/>
      <c r="M1000" s="4"/>
      <c r="N1000" s="4" t="s">
        <v>70</v>
      </c>
      <c r="O1000" s="51" t="b">
        <v>0</v>
      </c>
      <c r="P1000" s="51" t="b">
        <v>0</v>
      </c>
      <c r="Q1000" s="51" t="b">
        <v>0</v>
      </c>
      <c r="R1000" s="51" t="b">
        <v>0</v>
      </c>
      <c r="S1000" s="51" t="b">
        <v>0</v>
      </c>
    </row>
    <row r="1001">
      <c r="A1001" s="4" t="str">
        <f>IFERROR(__xludf.DUMMYFUNCTION("""COMPUTED_VALUE"""),"1131 - Channel")</f>
        <v>1131 - Channel</v>
      </c>
      <c r="B1001" s="4" t="s">
        <v>22</v>
      </c>
      <c r="C1001" s="4" t="s">
        <v>66</v>
      </c>
      <c r="D1001" s="6">
        <v>0.480625</v>
      </c>
      <c r="E1001" s="6">
        <v>0.04774305555555555</v>
      </c>
      <c r="F1001" s="6">
        <v>0.5283680555555555</v>
      </c>
      <c r="G1001" s="4"/>
      <c r="H1001" s="4" t="s">
        <v>1501</v>
      </c>
      <c r="I1001" s="4" t="s">
        <v>1508</v>
      </c>
      <c r="J1001" s="4" t="s">
        <v>1332</v>
      </c>
      <c r="K1001" s="4"/>
      <c r="L1001" s="4"/>
      <c r="M1001" s="4"/>
      <c r="N1001" s="4" t="s">
        <v>97</v>
      </c>
      <c r="O1001" s="51" t="b">
        <v>0</v>
      </c>
      <c r="P1001" s="51" t="b">
        <v>0</v>
      </c>
      <c r="Q1001" s="51" t="b">
        <v>0</v>
      </c>
      <c r="R1001" s="51" t="b">
        <v>0</v>
      </c>
      <c r="S1001" s="51" t="b">
        <v>0</v>
      </c>
    </row>
    <row r="1002" hidden="1">
      <c r="A1002" s="4" t="str">
        <f>IFERROR(__xludf.DUMMYFUNCTION("""COMPUTED_VALUE"""),"1132 - Channel")</f>
        <v>1132 - Channel</v>
      </c>
      <c r="B1002" s="4" t="s">
        <v>22</v>
      </c>
      <c r="C1002" s="4" t="s">
        <v>66</v>
      </c>
      <c r="D1002" s="6">
        <v>0.5283680555555555</v>
      </c>
      <c r="E1002" s="6">
        <v>0.0012037037037037038</v>
      </c>
      <c r="F1002" s="6">
        <v>0.5295717592592593</v>
      </c>
      <c r="G1002" s="4"/>
      <c r="H1002" s="4" t="s">
        <v>79</v>
      </c>
      <c r="I1002" s="4" t="s">
        <v>1497</v>
      </c>
      <c r="J1002" s="4"/>
      <c r="K1002" s="4"/>
      <c r="L1002" s="4"/>
      <c r="M1002" s="4"/>
      <c r="N1002" s="4" t="s">
        <v>70</v>
      </c>
      <c r="O1002" s="51" t="b">
        <v>0</v>
      </c>
      <c r="P1002" s="51" t="b">
        <v>0</v>
      </c>
      <c r="Q1002" s="51" t="b">
        <v>0</v>
      </c>
      <c r="R1002" s="51" t="b">
        <v>0</v>
      </c>
      <c r="S1002" s="51" t="b">
        <v>0</v>
      </c>
    </row>
    <row r="1003" hidden="1">
      <c r="A1003" s="4" t="str">
        <f>IFERROR(__xludf.DUMMYFUNCTION("""COMPUTED_VALUE"""),"1222 - Channel")</f>
        <v>1222 - Channel</v>
      </c>
      <c r="B1003" s="4" t="s">
        <v>22</v>
      </c>
      <c r="C1003" s="4" t="s">
        <v>66</v>
      </c>
      <c r="D1003" s="6">
        <v>0.5295717592592593</v>
      </c>
      <c r="E1003" s="6">
        <v>3.4722222222222224E-4</v>
      </c>
      <c r="F1003" s="6">
        <v>0.5299189814814815</v>
      </c>
      <c r="G1003" s="4"/>
      <c r="H1003" s="4" t="s">
        <v>81</v>
      </c>
      <c r="I1003" s="4" t="s">
        <v>1498</v>
      </c>
      <c r="J1003" s="4"/>
      <c r="K1003" s="4"/>
      <c r="L1003" s="4"/>
      <c r="M1003" s="4"/>
      <c r="N1003" s="4" t="s">
        <v>70</v>
      </c>
      <c r="O1003" s="51" t="b">
        <v>0</v>
      </c>
      <c r="P1003" s="51" t="b">
        <v>0</v>
      </c>
      <c r="Q1003" s="51" t="b">
        <v>0</v>
      </c>
      <c r="R1003" s="51" t="b">
        <v>0</v>
      </c>
      <c r="S1003" s="51" t="b">
        <v>0</v>
      </c>
    </row>
    <row r="1004">
      <c r="A1004" s="4" t="str">
        <f>IFERROR(__xludf.DUMMYFUNCTION("""COMPUTED_VALUE"""),"1223 - Channel")</f>
        <v>1223 - Channel</v>
      </c>
      <c r="B1004" s="4" t="s">
        <v>22</v>
      </c>
      <c r="C1004" s="4" t="s">
        <v>66</v>
      </c>
      <c r="D1004" s="6">
        <v>0.5299189814814815</v>
      </c>
      <c r="E1004" s="6">
        <v>0.025208333333333333</v>
      </c>
      <c r="F1004" s="6">
        <v>0.5551273148148148</v>
      </c>
      <c r="G1004" s="4"/>
      <c r="H1004" s="4" t="s">
        <v>1501</v>
      </c>
      <c r="I1004" s="4" t="s">
        <v>1511</v>
      </c>
      <c r="J1004" s="4" t="s">
        <v>1045</v>
      </c>
      <c r="K1004" s="4"/>
      <c r="L1004" s="4"/>
      <c r="M1004" s="4"/>
      <c r="N1004" s="4" t="s">
        <v>1512</v>
      </c>
      <c r="O1004" s="51" t="b">
        <v>0</v>
      </c>
      <c r="P1004" s="51" t="b">
        <v>0</v>
      </c>
      <c r="Q1004" s="51" t="b">
        <v>0</v>
      </c>
      <c r="R1004" s="51" t="b">
        <v>0</v>
      </c>
      <c r="S1004" s="51" t="b">
        <v>0</v>
      </c>
    </row>
    <row r="1005" hidden="1">
      <c r="A1005" s="4" t="str">
        <f>IFERROR(__xludf.DUMMYFUNCTION("""COMPUTED_VALUE"""),"1135 - Channel")</f>
        <v>1135 - Channel</v>
      </c>
      <c r="B1005" s="4" t="s">
        <v>22</v>
      </c>
      <c r="C1005" s="4" t="s">
        <v>66</v>
      </c>
      <c r="D1005" s="6">
        <v>0.5551273148148148</v>
      </c>
      <c r="E1005" s="6">
        <v>0.0012037037037037038</v>
      </c>
      <c r="F1005" s="6">
        <v>0.5563310185185185</v>
      </c>
      <c r="G1005" s="4"/>
      <c r="H1005" s="4" t="s">
        <v>79</v>
      </c>
      <c r="I1005" s="4" t="s">
        <v>1497</v>
      </c>
      <c r="J1005" s="4"/>
      <c r="K1005" s="4"/>
      <c r="L1005" s="4"/>
      <c r="M1005" s="4"/>
      <c r="N1005" s="4" t="s">
        <v>70</v>
      </c>
      <c r="O1005" s="51" t="b">
        <v>0</v>
      </c>
      <c r="P1005" s="51" t="b">
        <v>0</v>
      </c>
      <c r="Q1005" s="51" t="b">
        <v>0</v>
      </c>
      <c r="R1005" s="51" t="b">
        <v>0</v>
      </c>
      <c r="S1005" s="51" t="b">
        <v>0</v>
      </c>
    </row>
    <row r="1006" hidden="1">
      <c r="A1006" s="4" t="str">
        <f>IFERROR(__xludf.DUMMYFUNCTION("""COMPUTED_VALUE"""),"1136 - Channel")</f>
        <v>1136 - Channel</v>
      </c>
      <c r="B1006" s="4" t="s">
        <v>22</v>
      </c>
      <c r="C1006" s="4" t="s">
        <v>66</v>
      </c>
      <c r="D1006" s="6">
        <v>0.5563310185185185</v>
      </c>
      <c r="E1006" s="6">
        <v>3.4722222222222224E-4</v>
      </c>
      <c r="F1006" s="6">
        <v>0.5566782407407408</v>
      </c>
      <c r="G1006" s="4"/>
      <c r="H1006" s="4" t="s">
        <v>81</v>
      </c>
      <c r="I1006" s="4" t="s">
        <v>1498</v>
      </c>
      <c r="J1006" s="4"/>
      <c r="K1006" s="4"/>
      <c r="L1006" s="4"/>
      <c r="M1006" s="4"/>
      <c r="N1006" s="4" t="s">
        <v>70</v>
      </c>
      <c r="O1006" s="51" t="b">
        <v>0</v>
      </c>
      <c r="P1006" s="51" t="b">
        <v>0</v>
      </c>
      <c r="Q1006" s="51" t="b">
        <v>0</v>
      </c>
      <c r="R1006" s="51" t="b">
        <v>0</v>
      </c>
      <c r="S1006" s="51" t="b">
        <v>0</v>
      </c>
    </row>
    <row r="1007">
      <c r="A1007" s="4" t="str">
        <f>IFERROR(__xludf.DUMMYFUNCTION("""COMPUTED_VALUE"""),"1137 - Channel")</f>
        <v>1137 - Channel</v>
      </c>
      <c r="B1007" s="4" t="s">
        <v>22</v>
      </c>
      <c r="C1007" s="4" t="s">
        <v>66</v>
      </c>
      <c r="D1007" s="6">
        <v>0.5566782407407408</v>
      </c>
      <c r="E1007" s="6">
        <v>0.04164351851851852</v>
      </c>
      <c r="F1007" s="6">
        <v>0.5983217592592593</v>
      </c>
      <c r="G1007" s="4"/>
      <c r="H1007" s="4" t="s">
        <v>1501</v>
      </c>
      <c r="I1007" s="4" t="s">
        <v>1515</v>
      </c>
      <c r="J1007" s="4" t="s">
        <v>1386</v>
      </c>
      <c r="K1007" s="4"/>
      <c r="L1007" s="4"/>
      <c r="M1007" s="4"/>
      <c r="N1007" s="4" t="s">
        <v>1387</v>
      </c>
      <c r="O1007" s="51" t="b">
        <v>0</v>
      </c>
      <c r="P1007" s="51" t="b">
        <v>0</v>
      </c>
      <c r="Q1007" s="51" t="b">
        <v>0</v>
      </c>
      <c r="R1007" s="51" t="b">
        <v>0</v>
      </c>
      <c r="S1007" s="51" t="b">
        <v>0</v>
      </c>
    </row>
    <row r="1008" hidden="1">
      <c r="A1008" s="4" t="str">
        <f>IFERROR(__xludf.DUMMYFUNCTION("""COMPUTED_VALUE"""),"1138 - Channel")</f>
        <v>1138 - Channel</v>
      </c>
      <c r="B1008" s="4" t="s">
        <v>22</v>
      </c>
      <c r="C1008" s="4" t="s">
        <v>66</v>
      </c>
      <c r="D1008" s="6">
        <v>0.5983217592592593</v>
      </c>
      <c r="E1008" s="6">
        <v>0.0012037037037037038</v>
      </c>
      <c r="F1008" s="6">
        <v>0.599525462962963</v>
      </c>
      <c r="G1008" s="4"/>
      <c r="H1008" s="4" t="s">
        <v>79</v>
      </c>
      <c r="I1008" s="4" t="s">
        <v>1497</v>
      </c>
      <c r="J1008" s="4"/>
      <c r="K1008" s="4"/>
      <c r="L1008" s="4"/>
      <c r="M1008" s="4"/>
      <c r="N1008" s="4" t="s">
        <v>70</v>
      </c>
      <c r="O1008" s="51" t="b">
        <v>0</v>
      </c>
      <c r="P1008" s="51" t="b">
        <v>0</v>
      </c>
      <c r="Q1008" s="51" t="b">
        <v>0</v>
      </c>
      <c r="R1008" s="51" t="b">
        <v>0</v>
      </c>
      <c r="S1008" s="51" t="b">
        <v>0</v>
      </c>
    </row>
    <row r="1009" hidden="1">
      <c r="A1009" s="4" t="str">
        <f>IFERROR(__xludf.DUMMYFUNCTION("""COMPUTED_VALUE"""),"1193 - Channel")</f>
        <v>1193 - Channel</v>
      </c>
      <c r="B1009" s="4" t="s">
        <v>22</v>
      </c>
      <c r="C1009" s="4" t="s">
        <v>66</v>
      </c>
      <c r="D1009" s="6">
        <v>0.599525462962963</v>
      </c>
      <c r="E1009" s="6">
        <v>3.4722222222222224E-4</v>
      </c>
      <c r="F1009" s="6">
        <v>0.5998726851851853</v>
      </c>
      <c r="G1009" s="4"/>
      <c r="H1009" s="4" t="s">
        <v>81</v>
      </c>
      <c r="I1009" s="4" t="s">
        <v>1498</v>
      </c>
      <c r="J1009" s="4"/>
      <c r="K1009" s="4"/>
      <c r="L1009" s="4"/>
      <c r="M1009" s="4"/>
      <c r="N1009" s="4" t="s">
        <v>70</v>
      </c>
      <c r="O1009" s="51" t="b">
        <v>0</v>
      </c>
      <c r="P1009" s="51" t="b">
        <v>0</v>
      </c>
      <c r="Q1009" s="51" t="b">
        <v>0</v>
      </c>
      <c r="R1009" s="51" t="b">
        <v>0</v>
      </c>
      <c r="S1009" s="51" t="b">
        <v>0</v>
      </c>
    </row>
    <row r="1010">
      <c r="A1010" s="4" t="str">
        <f>IFERROR(__xludf.DUMMYFUNCTION("""COMPUTED_VALUE"""),"1194 - Channel")</f>
        <v>1194 - Channel</v>
      </c>
      <c r="B1010" s="4" t="s">
        <v>22</v>
      </c>
      <c r="C1010" s="4" t="s">
        <v>66</v>
      </c>
      <c r="D1010" s="6">
        <v>0.5998726851851853</v>
      </c>
      <c r="E1010" s="6">
        <v>0.032442129629629626</v>
      </c>
      <c r="F1010" s="6">
        <v>0.632314814814815</v>
      </c>
      <c r="G1010" s="4"/>
      <c r="H1010" s="4" t="s">
        <v>1501</v>
      </c>
      <c r="I1010" s="4" t="s">
        <v>1519</v>
      </c>
      <c r="J1010" s="4" t="s">
        <v>1520</v>
      </c>
      <c r="K1010" s="4" t="s">
        <v>1521</v>
      </c>
      <c r="L1010" s="4" t="s">
        <v>1522</v>
      </c>
      <c r="M1010" s="4"/>
      <c r="N1010" s="4" t="s">
        <v>1523</v>
      </c>
      <c r="O1010" s="51" t="b">
        <v>0</v>
      </c>
      <c r="P1010" s="51" t="b">
        <v>0</v>
      </c>
      <c r="Q1010" s="51" t="b">
        <v>0</v>
      </c>
      <c r="R1010" s="51" t="b">
        <v>0</v>
      </c>
      <c r="S1010" s="51" t="b">
        <v>0</v>
      </c>
    </row>
    <row r="1011" hidden="1">
      <c r="A1011" s="4" t="str">
        <f>IFERROR(__xludf.DUMMYFUNCTION("""COMPUTED_VALUE"""),"1195 - Channel")</f>
        <v>1195 - Channel</v>
      </c>
      <c r="B1011" s="4" t="s">
        <v>22</v>
      </c>
      <c r="C1011" s="4" t="s">
        <v>66</v>
      </c>
      <c r="D1011" s="6">
        <v>0.632314814814815</v>
      </c>
      <c r="E1011" s="6">
        <v>0.0012037037037037038</v>
      </c>
      <c r="F1011" s="6">
        <v>0.6335185185185187</v>
      </c>
      <c r="G1011" s="4"/>
      <c r="H1011" s="4" t="s">
        <v>79</v>
      </c>
      <c r="I1011" s="4" t="s">
        <v>1497</v>
      </c>
      <c r="J1011" s="4"/>
      <c r="K1011" s="4"/>
      <c r="L1011" s="4"/>
      <c r="M1011" s="4"/>
      <c r="N1011" s="4" t="s">
        <v>70</v>
      </c>
      <c r="O1011" s="51" t="b">
        <v>0</v>
      </c>
      <c r="P1011" s="51" t="b">
        <v>0</v>
      </c>
      <c r="Q1011" s="51" t="b">
        <v>0</v>
      </c>
      <c r="R1011" s="51" t="b">
        <v>0</v>
      </c>
      <c r="S1011" s="51" t="b">
        <v>0</v>
      </c>
    </row>
    <row r="1012" hidden="1">
      <c r="A1012" s="4" t="str">
        <f>IFERROR(__xludf.DUMMYFUNCTION("""COMPUTED_VALUE"""),"1190 - Channel")</f>
        <v>1190 - Channel</v>
      </c>
      <c r="B1012" s="4" t="s">
        <v>22</v>
      </c>
      <c r="C1012" s="4" t="s">
        <v>66</v>
      </c>
      <c r="D1012" s="6">
        <v>0.6335185185185187</v>
      </c>
      <c r="E1012" s="6">
        <v>3.4722222222222224E-4</v>
      </c>
      <c r="F1012" s="6">
        <v>0.633865740740741</v>
      </c>
      <c r="G1012" s="4"/>
      <c r="H1012" s="4" t="s">
        <v>81</v>
      </c>
      <c r="I1012" s="4" t="s">
        <v>1498</v>
      </c>
      <c r="J1012" s="4"/>
      <c r="K1012" s="4"/>
      <c r="L1012" s="4"/>
      <c r="M1012" s="4"/>
      <c r="N1012" s="4" t="s">
        <v>70</v>
      </c>
      <c r="O1012" s="51" t="b">
        <v>0</v>
      </c>
      <c r="P1012" s="51" t="b">
        <v>0</v>
      </c>
      <c r="Q1012" s="51" t="b">
        <v>0</v>
      </c>
      <c r="R1012" s="51" t="b">
        <v>0</v>
      </c>
      <c r="S1012" s="51" t="b">
        <v>0</v>
      </c>
    </row>
    <row r="1013">
      <c r="A1013" s="4" t="str">
        <f>IFERROR(__xludf.DUMMYFUNCTION("""COMPUTED_VALUE"""),"1191 - Channel")</f>
        <v>1191 - Channel</v>
      </c>
      <c r="B1013" s="4" t="s">
        <v>22</v>
      </c>
      <c r="C1013" s="4" t="s">
        <v>66</v>
      </c>
      <c r="D1013" s="6">
        <v>0.633865740740741</v>
      </c>
      <c r="E1013" s="6">
        <v>0.029166666666666667</v>
      </c>
      <c r="F1013" s="6">
        <v>0.6630324074074077</v>
      </c>
      <c r="G1013" s="4"/>
      <c r="H1013" s="4" t="s">
        <v>1501</v>
      </c>
      <c r="I1013" s="4" t="s">
        <v>1525</v>
      </c>
      <c r="J1013" s="4" t="s">
        <v>201</v>
      </c>
      <c r="K1013" s="4" t="s">
        <v>1526</v>
      </c>
      <c r="L1013" s="4"/>
      <c r="M1013" s="4"/>
      <c r="N1013" s="4" t="s">
        <v>752</v>
      </c>
      <c r="O1013" s="51" t="b">
        <v>0</v>
      </c>
      <c r="P1013" s="51" t="b">
        <v>0</v>
      </c>
      <c r="Q1013" s="51" t="b">
        <v>0</v>
      </c>
      <c r="R1013" s="51" t="b">
        <v>0</v>
      </c>
      <c r="S1013" s="51" t="b">
        <v>0</v>
      </c>
    </row>
    <row r="1014" hidden="1">
      <c r="A1014" s="4" t="str">
        <f>IFERROR(__xludf.DUMMYFUNCTION("""COMPUTED_VALUE"""),"1192 - Channel")</f>
        <v>1192 - Channel</v>
      </c>
      <c r="B1014" s="4" t="s">
        <v>22</v>
      </c>
      <c r="C1014" s="4" t="s">
        <v>66</v>
      </c>
      <c r="D1014" s="6">
        <v>0.6630324074074077</v>
      </c>
      <c r="E1014" s="6">
        <v>0.0012037037037037038</v>
      </c>
      <c r="F1014" s="6">
        <v>0.6642361111111114</v>
      </c>
      <c r="G1014" s="4"/>
      <c r="H1014" s="4" t="s">
        <v>79</v>
      </c>
      <c r="I1014" s="4" t="s">
        <v>1497</v>
      </c>
      <c r="J1014" s="4"/>
      <c r="K1014" s="4"/>
      <c r="L1014" s="4"/>
      <c r="M1014" s="4"/>
      <c r="N1014" s="4" t="s">
        <v>70</v>
      </c>
      <c r="O1014" s="51" t="b">
        <v>0</v>
      </c>
      <c r="P1014" s="51" t="b">
        <v>0</v>
      </c>
      <c r="Q1014" s="51" t="b">
        <v>0</v>
      </c>
      <c r="R1014" s="51" t="b">
        <v>0</v>
      </c>
      <c r="S1014" s="51" t="b">
        <v>0</v>
      </c>
    </row>
    <row r="1015" hidden="1">
      <c r="A1015" s="4" t="str">
        <f>IFERROR(__xludf.DUMMYFUNCTION("""COMPUTED_VALUE"""),"1127 - Channel")</f>
        <v>1127 - Channel</v>
      </c>
      <c r="B1015" s="4" t="s">
        <v>22</v>
      </c>
      <c r="C1015" s="4" t="s">
        <v>66</v>
      </c>
      <c r="D1015" s="6">
        <v>0.6642361111111114</v>
      </c>
      <c r="E1015" s="6">
        <v>3.4722222222222224E-4</v>
      </c>
      <c r="F1015" s="6">
        <v>0.6645833333333336</v>
      </c>
      <c r="G1015" s="4"/>
      <c r="H1015" s="4" t="s">
        <v>81</v>
      </c>
      <c r="I1015" s="4" t="s">
        <v>1498</v>
      </c>
      <c r="J1015" s="4"/>
      <c r="K1015" s="4"/>
      <c r="L1015" s="4"/>
      <c r="M1015" s="4"/>
      <c r="N1015" s="4" t="s">
        <v>70</v>
      </c>
      <c r="O1015" s="51" t="b">
        <v>0</v>
      </c>
      <c r="P1015" s="51" t="b">
        <v>0</v>
      </c>
      <c r="Q1015" s="51" t="b">
        <v>0</v>
      </c>
      <c r="R1015" s="51" t="b">
        <v>0</v>
      </c>
      <c r="S1015" s="51" t="b">
        <v>0</v>
      </c>
    </row>
    <row r="1016">
      <c r="A1016" s="4" t="str">
        <f>IFERROR(__xludf.DUMMYFUNCTION("""COMPUTED_VALUE"""),"1128 - Channel")</f>
        <v>1128 - Channel</v>
      </c>
      <c r="B1016" s="4" t="s">
        <v>22</v>
      </c>
      <c r="C1016" s="4" t="s">
        <v>66</v>
      </c>
      <c r="D1016" s="6">
        <v>0.6645833333333336</v>
      </c>
      <c r="E1016" s="6">
        <v>0.017326388888888888</v>
      </c>
      <c r="F1016" s="6">
        <v>0.6819097222222226</v>
      </c>
      <c r="G1016" s="4"/>
      <c r="H1016" s="4" t="s">
        <v>1501</v>
      </c>
      <c r="I1016" s="4" t="s">
        <v>1529</v>
      </c>
      <c r="J1016" s="4" t="s">
        <v>579</v>
      </c>
      <c r="K1016" s="4"/>
      <c r="L1016" s="4"/>
      <c r="M1016" s="4"/>
      <c r="N1016" s="4" t="s">
        <v>1530</v>
      </c>
      <c r="O1016" s="51" t="b">
        <v>0</v>
      </c>
      <c r="P1016" s="51" t="b">
        <v>0</v>
      </c>
      <c r="Q1016" s="51" t="b">
        <v>0</v>
      </c>
      <c r="R1016" s="51" t="b">
        <v>0</v>
      </c>
      <c r="S1016" s="51" t="b">
        <v>0</v>
      </c>
    </row>
    <row r="1017" hidden="1">
      <c r="A1017" s="4" t="str">
        <f>IFERROR(__xludf.DUMMYFUNCTION("""COMPUTED_VALUE"""),"1129 - Channel")</f>
        <v>1129 - Channel</v>
      </c>
      <c r="B1017" s="4" t="s">
        <v>22</v>
      </c>
      <c r="C1017" s="4" t="s">
        <v>66</v>
      </c>
      <c r="D1017" s="6">
        <v>0.6819097222222226</v>
      </c>
      <c r="E1017" s="6">
        <v>0.0012037037037037038</v>
      </c>
      <c r="F1017" s="6">
        <v>0.6831134259259263</v>
      </c>
      <c r="G1017" s="4"/>
      <c r="H1017" s="4" t="s">
        <v>79</v>
      </c>
      <c r="I1017" s="4" t="s">
        <v>1497</v>
      </c>
      <c r="J1017" s="4"/>
      <c r="K1017" s="4"/>
      <c r="L1017" s="4"/>
      <c r="M1017" s="4"/>
      <c r="N1017" s="4" t="s">
        <v>70</v>
      </c>
      <c r="O1017" s="51" t="b">
        <v>0</v>
      </c>
      <c r="P1017" s="51" t="b">
        <v>0</v>
      </c>
      <c r="Q1017" s="51" t="b">
        <v>0</v>
      </c>
      <c r="R1017" s="51" t="b">
        <v>0</v>
      </c>
      <c r="S1017" s="51" t="b">
        <v>0</v>
      </c>
    </row>
    <row r="1018" hidden="1">
      <c r="A1018" s="4" t="str">
        <f>IFERROR(__xludf.DUMMYFUNCTION("""COMPUTED_VALUE"""),"1663 - Channel")</f>
        <v>1663 - Channel</v>
      </c>
      <c r="B1018" s="4" t="s">
        <v>22</v>
      </c>
      <c r="C1018" s="4" t="s">
        <v>66</v>
      </c>
      <c r="D1018" s="6">
        <v>0.6831134259259263</v>
      </c>
      <c r="E1018" s="6">
        <v>3.4722222222222224E-4</v>
      </c>
      <c r="F1018" s="6">
        <v>0.6834606481481486</v>
      </c>
      <c r="G1018" s="4"/>
      <c r="H1018" s="4" t="s">
        <v>81</v>
      </c>
      <c r="I1018" s="4" t="s">
        <v>1498</v>
      </c>
      <c r="J1018" s="4"/>
      <c r="K1018" s="4"/>
      <c r="L1018" s="4"/>
      <c r="M1018" s="4"/>
      <c r="N1018" s="4"/>
      <c r="O1018" s="51" t="b">
        <v>0</v>
      </c>
      <c r="P1018" s="51" t="b">
        <v>0</v>
      </c>
      <c r="Q1018" s="51" t="b">
        <v>0</v>
      </c>
      <c r="R1018" s="51" t="b">
        <v>0</v>
      </c>
      <c r="S1018" s="51" t="b">
        <v>0</v>
      </c>
    </row>
    <row r="1019">
      <c r="A1019" s="4" t="str">
        <f>IFERROR(__xludf.DUMMYFUNCTION("""COMPUTED_VALUE"""),"1664 - Channel")</f>
        <v>1664 - Channel</v>
      </c>
      <c r="B1019" s="4" t="s">
        <v>22</v>
      </c>
      <c r="C1019" s="4" t="s">
        <v>66</v>
      </c>
      <c r="D1019" s="6">
        <v>0.6834606481481486</v>
      </c>
      <c r="E1019" s="6">
        <v>0.018055555555555554</v>
      </c>
      <c r="F1019" s="6">
        <v>0.7015162037037042</v>
      </c>
      <c r="G1019" s="4"/>
      <c r="H1019" s="4" t="s">
        <v>1501</v>
      </c>
      <c r="I1019" s="4" t="s">
        <v>1532</v>
      </c>
      <c r="J1019" s="4" t="s">
        <v>282</v>
      </c>
      <c r="K1019" s="4" t="s">
        <v>283</v>
      </c>
      <c r="L1019" s="4" t="s">
        <v>284</v>
      </c>
      <c r="M1019" s="4"/>
      <c r="N1019" s="4" t="s">
        <v>285</v>
      </c>
      <c r="O1019" s="51" t="b">
        <v>0</v>
      </c>
      <c r="P1019" s="51" t="b">
        <v>0</v>
      </c>
      <c r="Q1019" s="51" t="b">
        <v>0</v>
      </c>
      <c r="R1019" s="51" t="b">
        <v>0</v>
      </c>
      <c r="S1019" s="51" t="b">
        <v>0</v>
      </c>
    </row>
    <row r="1020" hidden="1">
      <c r="A1020" s="4" t="str">
        <f>IFERROR(__xludf.DUMMYFUNCTION("""COMPUTED_VALUE"""),"1665 - Channel")</f>
        <v>1665 - Channel</v>
      </c>
      <c r="B1020" s="4" t="s">
        <v>22</v>
      </c>
      <c r="C1020" s="4" t="s">
        <v>66</v>
      </c>
      <c r="D1020" s="6">
        <v>0.7015162037037042</v>
      </c>
      <c r="E1020" s="6">
        <v>0.0012037037037037038</v>
      </c>
      <c r="F1020" s="6">
        <v>0.7027199074074079</v>
      </c>
      <c r="G1020" s="4"/>
      <c r="H1020" s="4" t="s">
        <v>79</v>
      </c>
      <c r="I1020" s="4" t="s">
        <v>1497</v>
      </c>
      <c r="J1020" s="4"/>
      <c r="K1020" s="4"/>
      <c r="L1020" s="4"/>
      <c r="M1020" s="4"/>
      <c r="N1020" s="4"/>
      <c r="O1020" s="51" t="b">
        <v>0</v>
      </c>
      <c r="P1020" s="51" t="b">
        <v>0</v>
      </c>
      <c r="Q1020" s="51" t="b">
        <v>0</v>
      </c>
      <c r="R1020" s="51" t="b">
        <v>0</v>
      </c>
      <c r="S1020" s="51" t="b">
        <v>0</v>
      </c>
    </row>
    <row r="1021" hidden="1">
      <c r="A1021" s="4" t="str">
        <f>IFERROR(__xludf.DUMMYFUNCTION("""COMPUTED_VALUE"""),"1151 - Channel")</f>
        <v>1151 - Channel</v>
      </c>
      <c r="B1021" s="4" t="s">
        <v>22</v>
      </c>
      <c r="C1021" s="4" t="s">
        <v>66</v>
      </c>
      <c r="D1021" s="6">
        <v>0.6831134259259263</v>
      </c>
      <c r="E1021" s="6">
        <v>0.0</v>
      </c>
      <c r="F1021" s="6">
        <v>0.6831134259259263</v>
      </c>
      <c r="G1021" s="4"/>
      <c r="H1021" s="4" t="s">
        <v>85</v>
      </c>
      <c r="I1021" s="4" t="s">
        <v>1538</v>
      </c>
      <c r="J1021" s="4"/>
      <c r="K1021" s="4"/>
      <c r="L1021" s="4"/>
      <c r="M1021" s="4"/>
      <c r="N1021" s="4" t="s">
        <v>70</v>
      </c>
      <c r="O1021" s="51" t="b">
        <v>0</v>
      </c>
      <c r="P1021" s="51" t="b">
        <v>0</v>
      </c>
      <c r="Q1021" s="51" t="b">
        <v>0</v>
      </c>
      <c r="R1021" s="51" t="b">
        <v>0</v>
      </c>
      <c r="S1021" s="51" t="b">
        <v>0</v>
      </c>
    </row>
    <row r="1022">
      <c r="A1022" s="4" t="str">
        <f>IFERROR(__xludf.DUMMYFUNCTION("""COMPUTED_VALUE"""),"1152 - Channel")</f>
        <v>1152 - Channel</v>
      </c>
      <c r="B1022" s="4" t="s">
        <v>22</v>
      </c>
      <c r="C1022" s="4" t="s">
        <v>66</v>
      </c>
      <c r="D1022" s="6">
        <v>0.6831134259259263</v>
      </c>
      <c r="E1022" s="6">
        <v>0.0</v>
      </c>
      <c r="F1022" s="6">
        <v>0.6831134259259263</v>
      </c>
      <c r="G1022" s="4"/>
      <c r="H1022" s="4"/>
      <c r="I1022" s="4"/>
      <c r="J1022" s="4"/>
      <c r="K1022" s="4"/>
      <c r="L1022" s="4"/>
      <c r="M1022" s="4"/>
      <c r="N1022" s="4" t="s">
        <v>70</v>
      </c>
      <c r="O1022" s="51" t="b">
        <v>0</v>
      </c>
      <c r="P1022" s="51" t="b">
        <v>0</v>
      </c>
      <c r="Q1022" s="51" t="b">
        <v>0</v>
      </c>
      <c r="R1022" s="51" t="b">
        <v>0</v>
      </c>
      <c r="S1022" s="51" t="b">
        <v>0</v>
      </c>
    </row>
    <row r="1023" hidden="1">
      <c r="A1023" s="56" t="str">
        <f>IFERROR(__xludf.DUMMYFUNCTION("""COMPUTED_VALUE"""),"1153 - Channel")</f>
        <v>1153 - Channel</v>
      </c>
      <c r="B1023" s="56" t="s">
        <v>22</v>
      </c>
      <c r="C1023" s="56" t="s">
        <v>66</v>
      </c>
      <c r="D1023" s="57">
        <v>0.6831134259259263</v>
      </c>
      <c r="E1023" s="57">
        <v>0.0</v>
      </c>
      <c r="F1023" s="57">
        <v>0.6831134259259263</v>
      </c>
      <c r="G1023" s="56"/>
      <c r="H1023" s="56"/>
      <c r="I1023" s="56"/>
      <c r="J1023" s="56"/>
      <c r="K1023" s="56"/>
      <c r="L1023" s="56"/>
      <c r="M1023" s="56"/>
      <c r="N1023" s="56" t="s">
        <v>70</v>
      </c>
      <c r="O1023" s="51" t="b">
        <v>0</v>
      </c>
      <c r="P1023" s="51" t="b">
        <v>0</v>
      </c>
      <c r="Q1023" s="51" t="b">
        <v>0</v>
      </c>
      <c r="R1023" s="51" t="b">
        <v>0</v>
      </c>
      <c r="S1023" s="51" t="b">
        <v>0</v>
      </c>
      <c r="T1023" s="56"/>
    </row>
    <row r="1024" hidden="1">
      <c r="A1024" s="4" t="str">
        <f>IFERROR(__xludf.DUMMYFUNCTION("""COMPUTED_VALUE"""),"1154 - Channel")</f>
        <v>1154 - Channel</v>
      </c>
      <c r="B1024" s="4" t="s">
        <v>22</v>
      </c>
      <c r="C1024" s="4" t="s">
        <v>66</v>
      </c>
      <c r="D1024" s="6">
        <v>0.6831134259259263</v>
      </c>
      <c r="E1024" s="6">
        <v>0.0</v>
      </c>
      <c r="F1024" s="6">
        <v>0.6831134259259263</v>
      </c>
      <c r="G1024" s="4"/>
      <c r="H1024" s="4"/>
      <c r="I1024" s="4"/>
      <c r="J1024" s="4"/>
      <c r="K1024" s="4"/>
      <c r="L1024" s="4"/>
      <c r="M1024" s="4"/>
      <c r="N1024" s="4" t="s">
        <v>70</v>
      </c>
      <c r="O1024" s="51" t="b">
        <v>0</v>
      </c>
      <c r="P1024" s="51" t="b">
        <v>0</v>
      </c>
      <c r="Q1024" s="51" t="b">
        <v>0</v>
      </c>
      <c r="R1024" s="51" t="b">
        <v>0</v>
      </c>
      <c r="S1024" s="51" t="b">
        <v>0</v>
      </c>
    </row>
    <row r="1025" hidden="1">
      <c r="A1025" s="4" t="str">
        <f>IFERROR(__xludf.DUMMYFUNCTION("""COMPUTED_VALUE"""),"1155 - Channel")</f>
        <v>1155 - Channel</v>
      </c>
      <c r="B1025" s="4" t="s">
        <v>22</v>
      </c>
      <c r="C1025" s="4" t="s">
        <v>66</v>
      </c>
      <c r="D1025" s="6">
        <v>0.6831134259259263</v>
      </c>
      <c r="E1025" s="6">
        <v>0.0</v>
      </c>
      <c r="F1025" s="6">
        <v>0.6831134259259263</v>
      </c>
      <c r="G1025" s="4"/>
      <c r="H1025" s="4"/>
      <c r="I1025" s="4"/>
      <c r="J1025" s="4"/>
      <c r="K1025" s="4"/>
      <c r="L1025" s="4"/>
      <c r="M1025" s="4"/>
      <c r="N1025" s="4" t="s">
        <v>70</v>
      </c>
      <c r="O1025" s="51" t="b">
        <v>0</v>
      </c>
      <c r="P1025" s="51" t="b">
        <v>0</v>
      </c>
      <c r="Q1025" s="51" t="b">
        <v>0</v>
      </c>
      <c r="R1025" s="51" t="b">
        <v>0</v>
      </c>
      <c r="S1025" s="51" t="b">
        <v>0</v>
      </c>
    </row>
    <row r="1026" hidden="1">
      <c r="A1026" s="56" t="str">
        <f>IFERROR(__xludf.DUMMYFUNCTION("""COMPUTED_VALUE"""),"1156 - Channel")</f>
        <v>1156 - Channel</v>
      </c>
      <c r="B1026" s="56" t="s">
        <v>22</v>
      </c>
      <c r="C1026" s="56" t="s">
        <v>66</v>
      </c>
      <c r="D1026" s="57">
        <v>0.6831134259259263</v>
      </c>
      <c r="E1026" s="57">
        <v>0.0</v>
      </c>
      <c r="F1026" s="57">
        <v>0.6831134259259263</v>
      </c>
      <c r="G1026" s="56"/>
      <c r="H1026" s="56"/>
      <c r="I1026" s="56"/>
      <c r="J1026" s="56"/>
      <c r="K1026" s="56"/>
      <c r="L1026" s="56"/>
      <c r="M1026" s="56"/>
      <c r="N1026" s="56" t="s">
        <v>70</v>
      </c>
      <c r="O1026" s="51" t="b">
        <v>0</v>
      </c>
      <c r="P1026" s="51" t="b">
        <v>0</v>
      </c>
      <c r="Q1026" s="51" t="b">
        <v>0</v>
      </c>
      <c r="R1026" s="51" t="b">
        <v>0</v>
      </c>
      <c r="S1026" s="51" t="b">
        <v>0</v>
      </c>
      <c r="T1026" s="56"/>
    </row>
    <row r="1027" hidden="1">
      <c r="A1027" s="4" t="str">
        <f>IFERROR(__xludf.DUMMYFUNCTION("""COMPUTED_VALUE"""),"1157 - Channel")</f>
        <v>1157 - Channel</v>
      </c>
      <c r="B1027" s="4" t="s">
        <v>22</v>
      </c>
      <c r="C1027" s="4" t="s">
        <v>66</v>
      </c>
      <c r="D1027" s="6">
        <v>0.6831134259259263</v>
      </c>
      <c r="E1027" s="6">
        <v>0.0</v>
      </c>
      <c r="F1027" s="6">
        <v>0.6831134259259263</v>
      </c>
      <c r="G1027" s="4"/>
      <c r="H1027" s="4"/>
      <c r="I1027" s="4"/>
      <c r="J1027" s="4"/>
      <c r="K1027" s="4"/>
      <c r="L1027" s="4"/>
      <c r="M1027" s="4"/>
      <c r="N1027" s="4" t="s">
        <v>70</v>
      </c>
      <c r="O1027" s="51" t="b">
        <v>0</v>
      </c>
      <c r="P1027" s="51" t="b">
        <v>0</v>
      </c>
      <c r="Q1027" s="51" t="b">
        <v>0</v>
      </c>
      <c r="R1027" s="51" t="b">
        <v>0</v>
      </c>
      <c r="S1027" s="51" t="b">
        <v>0</v>
      </c>
    </row>
    <row r="1028" hidden="1">
      <c r="A1028" s="4" t="str">
        <f>IFERROR(__xludf.DUMMYFUNCTION("""COMPUTED_VALUE"""),"1158 - Channel")</f>
        <v>1158 - Channel</v>
      </c>
      <c r="B1028" s="4" t="s">
        <v>22</v>
      </c>
      <c r="C1028" s="4" t="s">
        <v>66</v>
      </c>
      <c r="D1028" s="6">
        <v>0.6831134259259263</v>
      </c>
      <c r="E1028" s="6">
        <v>0.0</v>
      </c>
      <c r="F1028" s="6">
        <v>0.6831134259259263</v>
      </c>
      <c r="G1028" s="4"/>
      <c r="H1028" s="4"/>
      <c r="I1028" s="4"/>
      <c r="J1028" s="4"/>
      <c r="K1028" s="4"/>
      <c r="L1028" s="4"/>
      <c r="M1028" s="4"/>
      <c r="N1028" s="4" t="s">
        <v>70</v>
      </c>
      <c r="O1028" s="51" t="b">
        <v>0</v>
      </c>
      <c r="P1028" s="51" t="b">
        <v>0</v>
      </c>
      <c r="Q1028" s="51" t="b">
        <v>0</v>
      </c>
      <c r="R1028" s="51" t="b">
        <v>0</v>
      </c>
      <c r="S1028" s="51" t="b">
        <v>0</v>
      </c>
    </row>
    <row r="1029" hidden="1">
      <c r="A1029" s="56" t="str">
        <f>IFERROR(__xludf.DUMMYFUNCTION("""COMPUTED_VALUE"""),"1159 - Channel")</f>
        <v>1159 - Channel</v>
      </c>
      <c r="B1029" s="56" t="s">
        <v>22</v>
      </c>
      <c r="C1029" s="56" t="s">
        <v>66</v>
      </c>
      <c r="D1029" s="57">
        <v>0.6831134259259263</v>
      </c>
      <c r="E1029" s="57">
        <v>0.0</v>
      </c>
      <c r="F1029" s="57">
        <v>0.6831134259259263</v>
      </c>
      <c r="G1029" s="56"/>
      <c r="H1029" s="56"/>
      <c r="I1029" s="56"/>
      <c r="J1029" s="56"/>
      <c r="K1029" s="56"/>
      <c r="L1029" s="56"/>
      <c r="M1029" s="56"/>
      <c r="N1029" s="56" t="s">
        <v>70</v>
      </c>
      <c r="O1029" s="51" t="b">
        <v>0</v>
      </c>
      <c r="P1029" s="51" t="b">
        <v>0</v>
      </c>
      <c r="Q1029" s="51" t="b">
        <v>0</v>
      </c>
      <c r="R1029" s="51" t="b">
        <v>0</v>
      </c>
      <c r="S1029" s="51" t="b">
        <v>0</v>
      </c>
      <c r="T1029" s="56"/>
    </row>
    <row r="1030" hidden="1">
      <c r="A1030" s="4" t="str">
        <f>IFERROR(__xludf.DUMMYFUNCTION("""COMPUTED_VALUE"""),"1160 - Channel")</f>
        <v>1160 - Channel</v>
      </c>
      <c r="B1030" s="4" t="s">
        <v>22</v>
      </c>
      <c r="C1030" s="4" t="s">
        <v>66</v>
      </c>
      <c r="D1030" s="6">
        <v>0.6831134259259263</v>
      </c>
      <c r="E1030" s="6">
        <v>0.0</v>
      </c>
      <c r="F1030" s="6">
        <v>0.6831134259259263</v>
      </c>
      <c r="G1030" s="4"/>
      <c r="H1030" s="4"/>
      <c r="I1030" s="4"/>
      <c r="J1030" s="4"/>
      <c r="K1030" s="4"/>
      <c r="L1030" s="4"/>
      <c r="M1030" s="4"/>
      <c r="N1030" s="4" t="s">
        <v>70</v>
      </c>
      <c r="O1030" s="51" t="b">
        <v>0</v>
      </c>
      <c r="P1030" s="51" t="b">
        <v>0</v>
      </c>
      <c r="Q1030" s="51" t="b">
        <v>0</v>
      </c>
      <c r="R1030" s="51" t="b">
        <v>0</v>
      </c>
      <c r="S1030" s="51" t="b">
        <v>0</v>
      </c>
    </row>
    <row r="1031" hidden="1">
      <c r="A1031" s="4" t="str">
        <f>IFERROR(__xludf.DUMMYFUNCTION("""COMPUTED_VALUE"""),"1161 - Channel")</f>
        <v>1161 - Channel</v>
      </c>
      <c r="B1031" s="4" t="s">
        <v>22</v>
      </c>
      <c r="C1031" s="4" t="s">
        <v>66</v>
      </c>
      <c r="D1031" s="6"/>
      <c r="E1031" s="6"/>
      <c r="F1031" s="6"/>
      <c r="G1031" s="4"/>
      <c r="H1031" s="4"/>
      <c r="I1031" s="4"/>
      <c r="J1031" s="4"/>
      <c r="K1031" s="4"/>
      <c r="L1031" s="4"/>
      <c r="M1031" s="4"/>
      <c r="N1031" s="4" t="s">
        <v>70</v>
      </c>
      <c r="O1031" s="51" t="b">
        <v>0</v>
      </c>
      <c r="P1031" s="51" t="b">
        <v>0</v>
      </c>
      <c r="Q1031" s="51" t="b">
        <v>0</v>
      </c>
      <c r="R1031" s="51" t="b">
        <v>0</v>
      </c>
      <c r="S1031" s="51" t="b">
        <v>0</v>
      </c>
    </row>
    <row r="1032" hidden="1">
      <c r="A1032" s="56" t="str">
        <f>IFERROR(__xludf.DUMMYFUNCTION("""COMPUTED_VALUE"""),"1162 - Channel")</f>
        <v>1162 - Channel</v>
      </c>
      <c r="B1032" s="56" t="s">
        <v>22</v>
      </c>
      <c r="C1032" s="56" t="s">
        <v>66</v>
      </c>
      <c r="D1032" s="57"/>
      <c r="E1032" s="57"/>
      <c r="F1032" s="57"/>
      <c r="G1032" s="56"/>
      <c r="H1032" s="56"/>
      <c r="I1032" s="56"/>
      <c r="J1032" s="56"/>
      <c r="K1032" s="56"/>
      <c r="L1032" s="56"/>
      <c r="M1032" s="56"/>
      <c r="N1032" s="56" t="s">
        <v>70</v>
      </c>
      <c r="O1032" s="51" t="b">
        <v>0</v>
      </c>
      <c r="P1032" s="51" t="b">
        <v>0</v>
      </c>
      <c r="Q1032" s="51" t="b">
        <v>0</v>
      </c>
      <c r="R1032" s="51" t="b">
        <v>0</v>
      </c>
      <c r="S1032" s="51" t="b">
        <v>0</v>
      </c>
      <c r="T1032" s="56"/>
    </row>
    <row r="1033" hidden="1">
      <c r="A1033" s="4" t="str">
        <f>IFERROR(__xludf.DUMMYFUNCTION("""COMPUTED_VALUE"""),"1163 - Channel")</f>
        <v>1163 - Channel</v>
      </c>
      <c r="B1033" s="4" t="s">
        <v>22</v>
      </c>
      <c r="C1033" s="4" t="s">
        <v>66</v>
      </c>
      <c r="D1033" s="6"/>
      <c r="E1033" s="6"/>
      <c r="F1033" s="6"/>
      <c r="G1033" s="4"/>
      <c r="H1033" s="4"/>
      <c r="I1033" s="4"/>
      <c r="J1033" s="4"/>
      <c r="K1033" s="4"/>
      <c r="L1033" s="4"/>
      <c r="M1033" s="4"/>
      <c r="N1033" s="4" t="s">
        <v>70</v>
      </c>
      <c r="O1033" s="51" t="b">
        <v>0</v>
      </c>
      <c r="P1033" s="51" t="b">
        <v>0</v>
      </c>
      <c r="Q1033" s="51" t="b">
        <v>0</v>
      </c>
      <c r="R1033" s="51" t="b">
        <v>0</v>
      </c>
      <c r="S1033" s="51" t="b">
        <v>0</v>
      </c>
    </row>
    <row r="1034" hidden="1">
      <c r="A1034" s="4" t="str">
        <f>IFERROR(__xludf.DUMMYFUNCTION("""COMPUTED_VALUE"""),"1164 - Channel")</f>
        <v>1164 - Channel</v>
      </c>
      <c r="B1034" s="4" t="s">
        <v>22</v>
      </c>
      <c r="C1034" s="4" t="s">
        <v>66</v>
      </c>
      <c r="D1034" s="6"/>
      <c r="E1034" s="6"/>
      <c r="F1034" s="6"/>
      <c r="G1034" s="4"/>
      <c r="H1034" s="4"/>
      <c r="I1034" s="4"/>
      <c r="J1034" s="4"/>
      <c r="K1034" s="4"/>
      <c r="L1034" s="4"/>
      <c r="M1034" s="4"/>
      <c r="N1034" s="4" t="s">
        <v>70</v>
      </c>
      <c r="O1034" s="51" t="b">
        <v>0</v>
      </c>
      <c r="P1034" s="51" t="b">
        <v>0</v>
      </c>
      <c r="Q1034" s="51" t="b">
        <v>0</v>
      </c>
      <c r="R1034" s="51" t="b">
        <v>0</v>
      </c>
      <c r="S1034" s="51" t="b">
        <v>0</v>
      </c>
    </row>
    <row r="1035" hidden="1">
      <c r="A1035" s="56" t="str">
        <f>IFERROR(__xludf.DUMMYFUNCTION("""COMPUTED_VALUE"""),"1165 - Channel")</f>
        <v>1165 - Channel</v>
      </c>
      <c r="B1035" s="56" t="s">
        <v>22</v>
      </c>
      <c r="C1035" s="56" t="s">
        <v>66</v>
      </c>
      <c r="D1035" s="57"/>
      <c r="E1035" s="57"/>
      <c r="F1035" s="57"/>
      <c r="G1035" s="56"/>
      <c r="H1035" s="56"/>
      <c r="I1035" s="56"/>
      <c r="J1035" s="56"/>
      <c r="K1035" s="56"/>
      <c r="L1035" s="56"/>
      <c r="M1035" s="56"/>
      <c r="N1035" s="56" t="s">
        <v>70</v>
      </c>
      <c r="O1035" s="51" t="b">
        <v>0</v>
      </c>
      <c r="P1035" s="51" t="b">
        <v>0</v>
      </c>
      <c r="Q1035" s="51" t="b">
        <v>0</v>
      </c>
      <c r="R1035" s="51" t="b">
        <v>0</v>
      </c>
      <c r="S1035" s="51" t="b">
        <v>0</v>
      </c>
      <c r="T1035" s="56"/>
    </row>
    <row r="1036" hidden="1">
      <c r="A1036" s="4" t="str">
        <f>IFERROR(__xludf.DUMMYFUNCTION("""COMPUTED_VALUE"""),"1166 - Channel")</f>
        <v>1166 - Channel</v>
      </c>
      <c r="B1036" s="4" t="s">
        <v>22</v>
      </c>
      <c r="C1036" s="4" t="s">
        <v>66</v>
      </c>
      <c r="D1036" s="6"/>
      <c r="E1036" s="6"/>
      <c r="F1036" s="6"/>
      <c r="G1036" s="4"/>
      <c r="H1036" s="4"/>
      <c r="I1036" s="4"/>
      <c r="J1036" s="4"/>
      <c r="K1036" s="4"/>
      <c r="L1036" s="4"/>
      <c r="M1036" s="4"/>
      <c r="N1036" s="4" t="s">
        <v>70</v>
      </c>
      <c r="O1036" s="51" t="b">
        <v>0</v>
      </c>
      <c r="P1036" s="51" t="b">
        <v>0</v>
      </c>
      <c r="Q1036" s="51" t="b">
        <v>0</v>
      </c>
      <c r="R1036" s="51" t="b">
        <v>0</v>
      </c>
      <c r="S1036" s="51" t="b">
        <v>0</v>
      </c>
    </row>
    <row r="1037" hidden="1">
      <c r="A1037" s="4" t="str">
        <f>IFERROR(__xludf.DUMMYFUNCTION("""COMPUTED_VALUE"""),"1167 - Channel")</f>
        <v>1167 - Channel</v>
      </c>
      <c r="B1037" s="4" t="s">
        <v>22</v>
      </c>
      <c r="C1037" s="4" t="s">
        <v>66</v>
      </c>
      <c r="D1037" s="6"/>
      <c r="E1037" s="6"/>
      <c r="F1037" s="6"/>
      <c r="G1037" s="4"/>
      <c r="H1037" s="4"/>
      <c r="I1037" s="4"/>
      <c r="J1037" s="4"/>
      <c r="K1037" s="4"/>
      <c r="L1037" s="4"/>
      <c r="M1037" s="4"/>
      <c r="N1037" s="4" t="s">
        <v>70</v>
      </c>
      <c r="O1037" s="51" t="b">
        <v>0</v>
      </c>
      <c r="P1037" s="51" t="b">
        <v>0</v>
      </c>
      <c r="Q1037" s="51" t="b">
        <v>0</v>
      </c>
      <c r="R1037" s="51" t="b">
        <v>0</v>
      </c>
      <c r="S1037" s="51" t="b">
        <v>0</v>
      </c>
    </row>
    <row r="1038" hidden="1">
      <c r="A1038" s="56" t="str">
        <f>IFERROR(__xludf.DUMMYFUNCTION("""COMPUTED_VALUE"""),"1168 - Channel")</f>
        <v>1168 - Channel</v>
      </c>
      <c r="B1038" s="56" t="s">
        <v>22</v>
      </c>
      <c r="C1038" s="56" t="s">
        <v>66</v>
      </c>
      <c r="D1038" s="57"/>
      <c r="E1038" s="57"/>
      <c r="F1038" s="57"/>
      <c r="G1038" s="56"/>
      <c r="H1038" s="56"/>
      <c r="I1038" s="56"/>
      <c r="J1038" s="56"/>
      <c r="K1038" s="56"/>
      <c r="L1038" s="56"/>
      <c r="M1038" s="56"/>
      <c r="N1038" s="56" t="s">
        <v>70</v>
      </c>
      <c r="O1038" s="51" t="b">
        <v>0</v>
      </c>
      <c r="P1038" s="51" t="b">
        <v>0</v>
      </c>
      <c r="Q1038" s="51" t="b">
        <v>0</v>
      </c>
      <c r="R1038" s="51" t="b">
        <v>0</v>
      </c>
      <c r="S1038" s="51" t="b">
        <v>0</v>
      </c>
      <c r="T1038" s="56"/>
    </row>
    <row r="1039" hidden="1">
      <c r="A1039" s="4" t="str">
        <f>IFERROR(__xludf.DUMMYFUNCTION("""COMPUTED_VALUE"""),"1169 - Channel")</f>
        <v>1169 - Channel</v>
      </c>
      <c r="B1039" s="4" t="s">
        <v>22</v>
      </c>
      <c r="C1039" s="4" t="s">
        <v>66</v>
      </c>
      <c r="D1039" s="6"/>
      <c r="E1039" s="6"/>
      <c r="F1039" s="6"/>
      <c r="G1039" s="4"/>
      <c r="H1039" s="4"/>
      <c r="I1039" s="4"/>
      <c r="J1039" s="4"/>
      <c r="K1039" s="4"/>
      <c r="L1039" s="4"/>
      <c r="M1039" s="4"/>
      <c r="N1039" s="4"/>
      <c r="O1039" s="51" t="b">
        <v>0</v>
      </c>
      <c r="P1039" s="51" t="b">
        <v>0</v>
      </c>
      <c r="Q1039" s="51" t="b">
        <v>0</v>
      </c>
      <c r="R1039" s="51" t="b">
        <v>0</v>
      </c>
      <c r="S1039" s="51" t="b">
        <v>0</v>
      </c>
    </row>
    <row r="1040" hidden="1">
      <c r="A1040" s="4" t="str">
        <f>IFERROR(__xludf.DUMMYFUNCTION("""COMPUTED_VALUE"""),"1170 - Channel")</f>
        <v>1170 - Channel</v>
      </c>
      <c r="B1040" s="4" t="s">
        <v>22</v>
      </c>
      <c r="C1040" s="4" t="s">
        <v>66</v>
      </c>
      <c r="D1040" s="6"/>
      <c r="E1040" s="6"/>
      <c r="F1040" s="6"/>
      <c r="G1040" s="4"/>
      <c r="H1040" s="4"/>
      <c r="I1040" s="4"/>
      <c r="J1040" s="4"/>
      <c r="K1040" s="4"/>
      <c r="L1040" s="4"/>
      <c r="M1040" s="4"/>
      <c r="N1040" s="4"/>
      <c r="O1040" s="51" t="b">
        <v>0</v>
      </c>
      <c r="P1040" s="51" t="b">
        <v>0</v>
      </c>
      <c r="Q1040" s="51" t="b">
        <v>0</v>
      </c>
      <c r="R1040" s="51" t="b">
        <v>0</v>
      </c>
      <c r="S1040" s="51" t="b">
        <v>0</v>
      </c>
    </row>
    <row r="1041" hidden="1">
      <c r="A1041" s="56" t="str">
        <f>IFERROR(__xludf.DUMMYFUNCTION("""COMPUTED_VALUE"""),"1171 - Channel")</f>
        <v>1171 - Channel</v>
      </c>
      <c r="B1041" s="56" t="s">
        <v>22</v>
      </c>
      <c r="C1041" s="56" t="s">
        <v>66</v>
      </c>
      <c r="D1041" s="57"/>
      <c r="E1041" s="57"/>
      <c r="F1041" s="57"/>
      <c r="G1041" s="56"/>
      <c r="H1041" s="56"/>
      <c r="I1041" s="56"/>
      <c r="J1041" s="56"/>
      <c r="K1041" s="56"/>
      <c r="L1041" s="56"/>
      <c r="M1041" s="56"/>
      <c r="N1041" s="56"/>
      <c r="O1041" s="51" t="b">
        <v>0</v>
      </c>
      <c r="P1041" s="51" t="b">
        <v>0</v>
      </c>
      <c r="Q1041" s="51" t="b">
        <v>0</v>
      </c>
      <c r="R1041" s="51" t="b">
        <v>0</v>
      </c>
      <c r="S1041" s="51" t="b">
        <v>0</v>
      </c>
      <c r="T1041" s="56"/>
    </row>
    <row r="1042" hidden="1">
      <c r="A1042" s="4" t="str">
        <f>IFERROR(__xludf.DUMMYFUNCTION("""COMPUTED_VALUE"""),"1172 - Channel")</f>
        <v>1172 - Channel</v>
      </c>
      <c r="B1042" s="4" t="s">
        <v>22</v>
      </c>
      <c r="C1042" s="4" t="s">
        <v>66</v>
      </c>
      <c r="D1042" s="6"/>
      <c r="E1042" s="6"/>
      <c r="F1042" s="6"/>
      <c r="G1042" s="4"/>
      <c r="H1042" s="4"/>
      <c r="I1042" s="4"/>
      <c r="J1042" s="4"/>
      <c r="K1042" s="4"/>
      <c r="L1042" s="4"/>
      <c r="M1042" s="4"/>
      <c r="N1042" s="4" t="s">
        <v>70</v>
      </c>
      <c r="O1042" s="51" t="b">
        <v>0</v>
      </c>
      <c r="P1042" s="51" t="b">
        <v>0</v>
      </c>
      <c r="Q1042" s="51" t="b">
        <v>0</v>
      </c>
      <c r="R1042" s="51" t="b">
        <v>0</v>
      </c>
      <c r="S1042" s="51" t="b">
        <v>0</v>
      </c>
    </row>
    <row r="1043" hidden="1">
      <c r="A1043" s="4" t="str">
        <f>IFERROR(__xludf.DUMMYFUNCTION("""COMPUTED_VALUE"""),"1173 - Channel")</f>
        <v>1173 - Channel</v>
      </c>
      <c r="B1043" s="4" t="s">
        <v>220</v>
      </c>
      <c r="C1043" s="4"/>
      <c r="D1043" s="6"/>
      <c r="E1043" s="6"/>
      <c r="F1043" s="6"/>
      <c r="G1043" s="4"/>
      <c r="H1043" s="4"/>
      <c r="I1043" s="4"/>
      <c r="J1043" s="4"/>
      <c r="K1043" s="4"/>
      <c r="L1043" s="4"/>
      <c r="M1043" s="4"/>
      <c r="N1043" s="4"/>
      <c r="O1043" s="51" t="b">
        <v>0</v>
      </c>
      <c r="P1043" s="51" t="b">
        <v>0</v>
      </c>
      <c r="Q1043" s="51" t="b">
        <v>0</v>
      </c>
      <c r="R1043" s="51" t="b">
        <v>0</v>
      </c>
      <c r="S1043" s="51" t="b">
        <v>0</v>
      </c>
    </row>
    <row r="1044" hidden="1">
      <c r="A1044" s="56" t="str">
        <f>IFERROR(__xludf.DUMMYFUNCTION("""COMPUTED_VALUE"""),"1174 - Channel")</f>
        <v>1174 - Channel</v>
      </c>
      <c r="B1044" s="56" t="s">
        <v>22</v>
      </c>
      <c r="C1044" s="56" t="s">
        <v>221</v>
      </c>
      <c r="D1044" s="57">
        <v>0.4166666666666667</v>
      </c>
      <c r="E1044" s="57">
        <v>0.0012037037037037038</v>
      </c>
      <c r="F1044" s="57">
        <v>0.4178703703703704</v>
      </c>
      <c r="G1044" s="56"/>
      <c r="H1044" s="56" t="s">
        <v>79</v>
      </c>
      <c r="I1044" s="56" t="s">
        <v>1497</v>
      </c>
      <c r="J1044" s="56"/>
      <c r="K1044" s="56"/>
      <c r="L1044" s="56"/>
      <c r="M1044" s="56"/>
      <c r="N1044" s="56" t="s">
        <v>70</v>
      </c>
      <c r="O1044" s="51" t="b">
        <v>0</v>
      </c>
      <c r="P1044" s="51" t="b">
        <v>0</v>
      </c>
      <c r="Q1044" s="51" t="b">
        <v>0</v>
      </c>
      <c r="R1044" s="51" t="b">
        <v>0</v>
      </c>
      <c r="S1044" s="51" t="b">
        <v>0</v>
      </c>
      <c r="T1044" s="56"/>
    </row>
    <row r="1045" hidden="1">
      <c r="A1045" s="4" t="str">
        <f>IFERROR(__xludf.DUMMYFUNCTION("""COMPUTED_VALUE"""),"1124 - Channel")</f>
        <v>1124 - Channel</v>
      </c>
      <c r="B1045" s="4" t="s">
        <v>22</v>
      </c>
      <c r="C1045" s="4" t="s">
        <v>221</v>
      </c>
      <c r="D1045" s="6">
        <v>0.4178703703703704</v>
      </c>
      <c r="E1045" s="6">
        <v>3.4722222222222224E-4</v>
      </c>
      <c r="F1045" s="6">
        <v>0.4182175925925926</v>
      </c>
      <c r="G1045" s="4"/>
      <c r="H1045" s="4" t="s">
        <v>81</v>
      </c>
      <c r="I1045" s="4" t="s">
        <v>1558</v>
      </c>
      <c r="J1045" s="4"/>
      <c r="K1045" s="4"/>
      <c r="L1045" s="4"/>
      <c r="M1045" s="4"/>
      <c r="N1045" s="4" t="s">
        <v>70</v>
      </c>
      <c r="O1045" s="51" t="b">
        <v>0</v>
      </c>
      <c r="P1045" s="51" t="b">
        <v>0</v>
      </c>
      <c r="Q1045" s="51" t="b">
        <v>0</v>
      </c>
      <c r="R1045" s="51" t="b">
        <v>0</v>
      </c>
      <c r="S1045" s="51" t="b">
        <v>0</v>
      </c>
    </row>
    <row r="1046">
      <c r="A1046" s="4" t="str">
        <f>IFERROR(__xludf.DUMMYFUNCTION("""COMPUTED_VALUE"""),"1125 - Channel")</f>
        <v>1125 - Channel</v>
      </c>
      <c r="B1046" s="4" t="s">
        <v>22</v>
      </c>
      <c r="C1046" s="4" t="s">
        <v>221</v>
      </c>
      <c r="D1046" s="6">
        <v>0.4182175925925926</v>
      </c>
      <c r="E1046" s="6">
        <v>0.02048611111111111</v>
      </c>
      <c r="F1046" s="6">
        <v>0.4387037037037037</v>
      </c>
      <c r="G1046" s="4"/>
      <c r="H1046" s="4" t="s">
        <v>1501</v>
      </c>
      <c r="I1046" s="4" t="s">
        <v>1559</v>
      </c>
      <c r="J1046" s="4" t="s">
        <v>1160</v>
      </c>
      <c r="K1046" s="4"/>
      <c r="L1046" s="4"/>
      <c r="M1046" s="4"/>
      <c r="N1046" s="4" t="s">
        <v>96</v>
      </c>
      <c r="O1046" s="51" t="b">
        <v>0</v>
      </c>
      <c r="P1046" s="51" t="b">
        <v>0</v>
      </c>
      <c r="Q1046" s="51" t="b">
        <v>0</v>
      </c>
      <c r="R1046" s="51" t="b">
        <v>0</v>
      </c>
      <c r="S1046" s="51" t="b">
        <v>0</v>
      </c>
    </row>
    <row r="1047" hidden="1">
      <c r="A1047" s="56" t="str">
        <f>IFERROR(__xludf.DUMMYFUNCTION("""COMPUTED_VALUE"""),"1445 - Channel")</f>
        <v>1445 - Channel</v>
      </c>
      <c r="B1047" s="56" t="s">
        <v>22</v>
      </c>
      <c r="C1047" s="56" t="s">
        <v>221</v>
      </c>
      <c r="D1047" s="57">
        <v>0.4387037037037037</v>
      </c>
      <c r="E1047" s="57">
        <v>0.0012037037037037038</v>
      </c>
      <c r="F1047" s="57">
        <v>0.4399074074074074</v>
      </c>
      <c r="G1047" s="56"/>
      <c r="H1047" s="56" t="s">
        <v>79</v>
      </c>
      <c r="I1047" s="56" t="s">
        <v>1497</v>
      </c>
      <c r="J1047" s="56"/>
      <c r="K1047" s="56"/>
      <c r="L1047" s="56"/>
      <c r="M1047" s="56"/>
      <c r="N1047" s="56" t="s">
        <v>70</v>
      </c>
      <c r="O1047" s="51" t="b">
        <v>0</v>
      </c>
      <c r="P1047" s="51" t="b">
        <v>0</v>
      </c>
      <c r="Q1047" s="51" t="b">
        <v>0</v>
      </c>
      <c r="R1047" s="51" t="b">
        <v>0</v>
      </c>
      <c r="S1047" s="51" t="b">
        <v>0</v>
      </c>
      <c r="T1047" s="56"/>
    </row>
    <row r="1048" hidden="1">
      <c r="A1048" s="4" t="str">
        <f>IFERROR(__xludf.DUMMYFUNCTION("""COMPUTED_VALUE"""),"1181 - Channel")</f>
        <v>1181 - Channel</v>
      </c>
      <c r="B1048" s="4" t="s">
        <v>22</v>
      </c>
      <c r="C1048" s="4" t="s">
        <v>221</v>
      </c>
      <c r="D1048" s="6">
        <v>0.4399074074074074</v>
      </c>
      <c r="E1048" s="6">
        <v>3.4722222222222224E-4</v>
      </c>
      <c r="F1048" s="6">
        <v>0.44025462962962963</v>
      </c>
      <c r="G1048" s="4"/>
      <c r="H1048" s="4" t="s">
        <v>81</v>
      </c>
      <c r="I1048" s="4" t="s">
        <v>1498</v>
      </c>
      <c r="J1048" s="4"/>
      <c r="K1048" s="4"/>
      <c r="L1048" s="4"/>
      <c r="M1048" s="4"/>
      <c r="N1048" s="4" t="s">
        <v>70</v>
      </c>
      <c r="O1048" s="51" t="b">
        <v>0</v>
      </c>
      <c r="P1048" s="51" t="b">
        <v>0</v>
      </c>
      <c r="Q1048" s="51" t="b">
        <v>0</v>
      </c>
      <c r="R1048" s="51" t="b">
        <v>0</v>
      </c>
      <c r="S1048" s="51" t="b">
        <v>0</v>
      </c>
    </row>
    <row r="1049">
      <c r="A1049" s="4" t="str">
        <f>IFERROR(__xludf.DUMMYFUNCTION("""COMPUTED_VALUE"""),"1182 - Channel")</f>
        <v>1182 - Channel</v>
      </c>
      <c r="B1049" s="4" t="s">
        <v>22</v>
      </c>
      <c r="C1049" s="4" t="s">
        <v>221</v>
      </c>
      <c r="D1049" s="6">
        <v>0.44025462962962963</v>
      </c>
      <c r="E1049" s="6">
        <v>0.03009259259259259</v>
      </c>
      <c r="F1049" s="6">
        <v>0.47034722222222225</v>
      </c>
      <c r="G1049" s="4"/>
      <c r="H1049" s="4" t="s">
        <v>1501</v>
      </c>
      <c r="I1049" s="4" t="s">
        <v>1562</v>
      </c>
      <c r="J1049" s="4" t="s">
        <v>1331</v>
      </c>
      <c r="K1049" s="4"/>
      <c r="L1049" s="4"/>
      <c r="M1049" s="4"/>
      <c r="N1049" s="4" t="s">
        <v>605</v>
      </c>
      <c r="O1049" s="51" t="b">
        <v>0</v>
      </c>
      <c r="P1049" s="51" t="b">
        <v>0</v>
      </c>
      <c r="Q1049" s="51" t="b">
        <v>0</v>
      </c>
      <c r="R1049" s="51" t="b">
        <v>0</v>
      </c>
      <c r="S1049" s="51" t="b">
        <v>0</v>
      </c>
    </row>
    <row r="1050" hidden="1">
      <c r="A1050" s="4" t="str">
        <f>IFERROR(__xludf.DUMMYFUNCTION("""COMPUTED_VALUE"""),"1183 - Channel")</f>
        <v>1183 - Channel</v>
      </c>
      <c r="B1050" s="4" t="s">
        <v>22</v>
      </c>
      <c r="C1050" s="4" t="s">
        <v>221</v>
      </c>
      <c r="D1050" s="6">
        <v>0.47034722222222225</v>
      </c>
      <c r="E1050" s="6">
        <v>0.0012037037037037038</v>
      </c>
      <c r="F1050" s="6">
        <v>0.47155092592592596</v>
      </c>
      <c r="G1050" s="4"/>
      <c r="H1050" s="4" t="s">
        <v>79</v>
      </c>
      <c r="I1050" s="4" t="s">
        <v>1497</v>
      </c>
      <c r="J1050" s="4"/>
      <c r="K1050" s="4"/>
      <c r="L1050" s="4"/>
      <c r="M1050" s="4"/>
      <c r="N1050" s="4" t="s">
        <v>70</v>
      </c>
      <c r="O1050" s="51" t="b">
        <v>0</v>
      </c>
      <c r="P1050" s="51" t="b">
        <v>0</v>
      </c>
      <c r="Q1050" s="51" t="b">
        <v>0</v>
      </c>
      <c r="R1050" s="51" t="b">
        <v>0</v>
      </c>
      <c r="S1050" s="51" t="b">
        <v>0</v>
      </c>
    </row>
    <row r="1051" hidden="1">
      <c r="A1051" s="4" t="str">
        <f>IFERROR(__xludf.DUMMYFUNCTION("""COMPUTED_VALUE"""),"1683 - Channel")</f>
        <v>1683 - Channel</v>
      </c>
      <c r="B1051" s="4" t="s">
        <v>22</v>
      </c>
      <c r="C1051" s="4" t="s">
        <v>221</v>
      </c>
      <c r="D1051" s="6">
        <v>0.47155092592592596</v>
      </c>
      <c r="E1051" s="6">
        <v>3.4722222222222224E-4</v>
      </c>
      <c r="F1051" s="6">
        <v>0.4718981481481482</v>
      </c>
      <c r="G1051" s="4"/>
      <c r="H1051" s="4" t="s">
        <v>81</v>
      </c>
      <c r="I1051" s="4" t="s">
        <v>1498</v>
      </c>
      <c r="J1051" s="4"/>
      <c r="K1051" s="4"/>
      <c r="L1051" s="4"/>
      <c r="M1051" s="4"/>
      <c r="N1051" s="4"/>
      <c r="O1051" s="51" t="b">
        <v>0</v>
      </c>
      <c r="P1051" s="51" t="b">
        <v>0</v>
      </c>
      <c r="Q1051" s="51" t="b">
        <v>0</v>
      </c>
      <c r="R1051" s="51" t="b">
        <v>0</v>
      </c>
      <c r="S1051" s="51" t="b">
        <v>0</v>
      </c>
    </row>
    <row r="1052">
      <c r="A1052" s="4" t="str">
        <f>IFERROR(__xludf.DUMMYFUNCTION("""COMPUTED_VALUE"""),"1684 - Channel")</f>
        <v>1684 - Channel</v>
      </c>
      <c r="B1052" s="4" t="s">
        <v>22</v>
      </c>
      <c r="C1052" s="4" t="s">
        <v>221</v>
      </c>
      <c r="D1052" s="6">
        <v>0.4718981481481482</v>
      </c>
      <c r="E1052" s="6">
        <v>0.012546296296296297</v>
      </c>
      <c r="F1052" s="6">
        <v>0.48444444444444446</v>
      </c>
      <c r="G1052" s="4"/>
      <c r="H1052" s="4" t="s">
        <v>74</v>
      </c>
      <c r="I1052" s="4" t="s">
        <v>797</v>
      </c>
      <c r="J1052" s="4" t="s">
        <v>787</v>
      </c>
      <c r="K1052" s="4" t="s">
        <v>788</v>
      </c>
      <c r="L1052" s="4" t="s">
        <v>789</v>
      </c>
      <c r="M1052" s="4"/>
      <c r="N1052" s="4" t="s">
        <v>790</v>
      </c>
      <c r="O1052" s="51" t="b">
        <v>0</v>
      </c>
      <c r="P1052" s="51" t="b">
        <v>0</v>
      </c>
      <c r="Q1052" s="51" t="b">
        <v>0</v>
      </c>
      <c r="R1052" s="51" t="b">
        <v>0</v>
      </c>
      <c r="S1052" s="51" t="b">
        <v>0</v>
      </c>
    </row>
    <row r="1053" hidden="1">
      <c r="A1053" s="4" t="str">
        <f>IFERROR(__xludf.DUMMYFUNCTION("""COMPUTED_VALUE"""),"1685 - Channel")</f>
        <v>1685 - Channel</v>
      </c>
      <c r="B1053" s="4" t="s">
        <v>22</v>
      </c>
      <c r="C1053" s="4" t="s">
        <v>221</v>
      </c>
      <c r="D1053" s="6">
        <v>0.48444444444444446</v>
      </c>
      <c r="E1053" s="6">
        <v>0.0012037037037037038</v>
      </c>
      <c r="F1053" s="6">
        <v>0.48564814814814816</v>
      </c>
      <c r="G1053" s="4"/>
      <c r="H1053" s="4" t="s">
        <v>79</v>
      </c>
      <c r="I1053" s="4" t="s">
        <v>1497</v>
      </c>
      <c r="J1053" s="4"/>
      <c r="K1053" s="4"/>
      <c r="L1053" s="4"/>
      <c r="M1053" s="4"/>
      <c r="N1053" s="4"/>
      <c r="O1053" s="51" t="b">
        <v>0</v>
      </c>
      <c r="P1053" s="51" t="b">
        <v>0</v>
      </c>
      <c r="Q1053" s="51" t="b">
        <v>0</v>
      </c>
      <c r="R1053" s="51" t="b">
        <v>0</v>
      </c>
      <c r="S1053" s="51" t="b">
        <v>0</v>
      </c>
    </row>
    <row r="1054" hidden="1">
      <c r="A1054" s="4" t="str">
        <f>IFERROR(__xludf.DUMMYFUNCTION("""COMPUTED_VALUE"""),"1213 - Channel")</f>
        <v>1213 - Channel</v>
      </c>
      <c r="B1054" s="4" t="s">
        <v>22</v>
      </c>
      <c r="C1054" s="4" t="s">
        <v>221</v>
      </c>
      <c r="D1054" s="6">
        <v>0.48564814814814816</v>
      </c>
      <c r="E1054" s="6">
        <v>3.4722222222222224E-4</v>
      </c>
      <c r="F1054" s="6">
        <v>0.4859953703703704</v>
      </c>
      <c r="G1054" s="4"/>
      <c r="H1054" s="4" t="s">
        <v>81</v>
      </c>
      <c r="I1054" s="4" t="s">
        <v>1498</v>
      </c>
      <c r="J1054" s="4"/>
      <c r="K1054" s="4"/>
      <c r="L1054" s="4"/>
      <c r="M1054" s="4"/>
      <c r="N1054" s="4" t="s">
        <v>70</v>
      </c>
      <c r="O1054" s="51" t="b">
        <v>0</v>
      </c>
      <c r="P1054" s="51" t="b">
        <v>0</v>
      </c>
      <c r="Q1054" s="51" t="b">
        <v>0</v>
      </c>
      <c r="R1054" s="51" t="b">
        <v>0</v>
      </c>
      <c r="S1054" s="51" t="b">
        <v>0</v>
      </c>
    </row>
    <row r="1055">
      <c r="A1055" s="4" t="str">
        <f>IFERROR(__xludf.DUMMYFUNCTION("""COMPUTED_VALUE"""),"1214 - Channel")</f>
        <v>1214 - Channel</v>
      </c>
      <c r="B1055" s="4" t="s">
        <v>22</v>
      </c>
      <c r="C1055" s="4" t="s">
        <v>221</v>
      </c>
      <c r="D1055" s="6">
        <v>0.4859953703703704</v>
      </c>
      <c r="E1055" s="6">
        <v>0.02971064814814815</v>
      </c>
      <c r="F1055" s="6">
        <v>0.5157060185185185</v>
      </c>
      <c r="G1055" s="4"/>
      <c r="H1055" s="4" t="s">
        <v>1501</v>
      </c>
      <c r="I1055" s="4" t="s">
        <v>1567</v>
      </c>
      <c r="J1055" s="4" t="s">
        <v>624</v>
      </c>
      <c r="K1055" s="4"/>
      <c r="L1055" s="4"/>
      <c r="M1055" s="4"/>
      <c r="N1055" s="4" t="s">
        <v>201</v>
      </c>
      <c r="O1055" s="51" t="b">
        <v>0</v>
      </c>
      <c r="P1055" s="51" t="b">
        <v>0</v>
      </c>
      <c r="Q1055" s="51" t="b">
        <v>0</v>
      </c>
      <c r="R1055" s="51" t="b">
        <v>0</v>
      </c>
      <c r="S1055" s="51" t="b">
        <v>0</v>
      </c>
    </row>
    <row r="1056" hidden="1">
      <c r="A1056" s="4" t="str">
        <f>IFERROR(__xludf.DUMMYFUNCTION("""COMPUTED_VALUE"""),"1215 - Channel")</f>
        <v>1215 - Channel</v>
      </c>
      <c r="B1056" s="4" t="s">
        <v>22</v>
      </c>
      <c r="C1056" s="4" t="s">
        <v>221</v>
      </c>
      <c r="D1056" s="6">
        <v>0.5157060185185185</v>
      </c>
      <c r="E1056" s="6">
        <v>0.0012037037037037038</v>
      </c>
      <c r="F1056" s="6">
        <v>0.5169097222222222</v>
      </c>
      <c r="G1056" s="4"/>
      <c r="H1056" s="4" t="s">
        <v>79</v>
      </c>
      <c r="I1056" s="4" t="s">
        <v>1497</v>
      </c>
      <c r="J1056" s="4"/>
      <c r="K1056" s="4"/>
      <c r="L1056" s="4"/>
      <c r="M1056" s="4"/>
      <c r="N1056" s="4" t="s">
        <v>70</v>
      </c>
      <c r="O1056" s="51" t="b">
        <v>0</v>
      </c>
      <c r="P1056" s="51" t="b">
        <v>0</v>
      </c>
      <c r="Q1056" s="51" t="b">
        <v>0</v>
      </c>
      <c r="R1056" s="51" t="b">
        <v>0</v>
      </c>
      <c r="S1056" s="51" t="b">
        <v>0</v>
      </c>
    </row>
    <row r="1057" hidden="1">
      <c r="A1057" s="4" t="str">
        <f>IFERROR(__xludf.DUMMYFUNCTION("""COMPUTED_VALUE"""),"1187 - Channel")</f>
        <v>1187 - Channel</v>
      </c>
      <c r="B1057" s="4" t="s">
        <v>22</v>
      </c>
      <c r="C1057" s="4" t="s">
        <v>221</v>
      </c>
      <c r="D1057" s="6">
        <v>0.5169097222222222</v>
      </c>
      <c r="E1057" s="6">
        <v>3.4722222222222224E-4</v>
      </c>
      <c r="F1057" s="6">
        <v>0.5172569444444445</v>
      </c>
      <c r="G1057" s="4"/>
      <c r="H1057" s="4" t="s">
        <v>81</v>
      </c>
      <c r="I1057" s="4" t="s">
        <v>1498</v>
      </c>
      <c r="J1057" s="4"/>
      <c r="K1057" s="4"/>
      <c r="L1057" s="4"/>
      <c r="M1057" s="4"/>
      <c r="N1057" s="4" t="s">
        <v>70</v>
      </c>
      <c r="O1057" s="51" t="b">
        <v>0</v>
      </c>
      <c r="P1057" s="51" t="b">
        <v>0</v>
      </c>
      <c r="Q1057" s="51" t="b">
        <v>0</v>
      </c>
      <c r="R1057" s="51" t="b">
        <v>0</v>
      </c>
      <c r="S1057" s="51" t="b">
        <v>0</v>
      </c>
    </row>
    <row r="1058">
      <c r="A1058" s="4" t="str">
        <f>IFERROR(__xludf.DUMMYFUNCTION("""COMPUTED_VALUE"""),"1188 - Channel")</f>
        <v>1188 - Channel</v>
      </c>
      <c r="B1058" s="4" t="s">
        <v>22</v>
      </c>
      <c r="C1058" s="4" t="s">
        <v>221</v>
      </c>
      <c r="D1058" s="6">
        <v>0.5172569444444445</v>
      </c>
      <c r="E1058" s="6">
        <v>0.03125</v>
      </c>
      <c r="F1058" s="6">
        <v>0.5485069444444445</v>
      </c>
      <c r="G1058" s="4"/>
      <c r="H1058" s="4" t="s">
        <v>1501</v>
      </c>
      <c r="I1058" s="4" t="s">
        <v>1569</v>
      </c>
      <c r="J1058" s="4" t="s">
        <v>1570</v>
      </c>
      <c r="K1058" s="4"/>
      <c r="L1058" s="4"/>
      <c r="M1058" s="4"/>
      <c r="N1058" s="4" t="s">
        <v>1572</v>
      </c>
      <c r="O1058" s="51" t="b">
        <v>0</v>
      </c>
      <c r="P1058" s="51" t="b">
        <v>0</v>
      </c>
      <c r="Q1058" s="51" t="b">
        <v>0</v>
      </c>
      <c r="R1058" s="51" t="b">
        <v>0</v>
      </c>
      <c r="S1058" s="51" t="b">
        <v>0</v>
      </c>
    </row>
    <row r="1059" hidden="1">
      <c r="A1059" s="4" t="str">
        <f>IFERROR(__xludf.DUMMYFUNCTION("""COMPUTED_VALUE"""),"1189 - Channel")</f>
        <v>1189 - Channel</v>
      </c>
      <c r="B1059" s="4" t="s">
        <v>22</v>
      </c>
      <c r="C1059" s="4" t="s">
        <v>221</v>
      </c>
      <c r="D1059" s="6">
        <v>0.5485069444444445</v>
      </c>
      <c r="E1059" s="6">
        <v>0.0012037037037037038</v>
      </c>
      <c r="F1059" s="6">
        <v>0.5497106481481482</v>
      </c>
      <c r="G1059" s="4"/>
      <c r="H1059" s="4" t="s">
        <v>79</v>
      </c>
      <c r="I1059" s="4" t="s">
        <v>1497</v>
      </c>
      <c r="J1059" s="4"/>
      <c r="K1059" s="4"/>
      <c r="L1059" s="4"/>
      <c r="M1059" s="4"/>
      <c r="N1059" s="4" t="s">
        <v>70</v>
      </c>
      <c r="O1059" s="51" t="b">
        <v>0</v>
      </c>
      <c r="P1059" s="51" t="b">
        <v>0</v>
      </c>
      <c r="Q1059" s="51" t="b">
        <v>0</v>
      </c>
      <c r="R1059" s="51" t="b">
        <v>0</v>
      </c>
      <c r="S1059" s="51" t="b">
        <v>0</v>
      </c>
    </row>
    <row r="1060" hidden="1">
      <c r="A1060" s="4" t="str">
        <f>IFERROR(__xludf.DUMMYFUNCTION("""COMPUTED_VALUE"""),"1142 - Channel")</f>
        <v>1142 - Channel</v>
      </c>
      <c r="B1060" s="4" t="s">
        <v>22</v>
      </c>
      <c r="C1060" s="4" t="s">
        <v>221</v>
      </c>
      <c r="D1060" s="6">
        <v>0.5497106481481482</v>
      </c>
      <c r="E1060" s="6">
        <v>3.4722222222222224E-4</v>
      </c>
      <c r="F1060" s="6">
        <v>0.5500578703703705</v>
      </c>
      <c r="G1060" s="4"/>
      <c r="H1060" s="4" t="s">
        <v>81</v>
      </c>
      <c r="I1060" s="4" t="s">
        <v>1498</v>
      </c>
      <c r="J1060" s="4"/>
      <c r="K1060" s="4"/>
      <c r="L1060" s="4"/>
      <c r="M1060" s="4"/>
      <c r="N1060" s="4" t="s">
        <v>70</v>
      </c>
      <c r="O1060" s="51" t="b">
        <v>0</v>
      </c>
      <c r="P1060" s="51" t="b">
        <v>0</v>
      </c>
      <c r="Q1060" s="51" t="b">
        <v>0</v>
      </c>
      <c r="R1060" s="51" t="b">
        <v>0</v>
      </c>
      <c r="S1060" s="51" t="b">
        <v>0</v>
      </c>
    </row>
    <row r="1061">
      <c r="A1061" s="56" t="str">
        <f>IFERROR(__xludf.DUMMYFUNCTION("""COMPUTED_VALUE"""),"1143 - Channel")</f>
        <v>1143 - Channel</v>
      </c>
      <c r="B1061" s="56" t="s">
        <v>22</v>
      </c>
      <c r="C1061" s="56" t="s">
        <v>221</v>
      </c>
      <c r="D1061" s="57">
        <v>0.5500578703703705</v>
      </c>
      <c r="E1061" s="57">
        <v>0.029675925925925925</v>
      </c>
      <c r="F1061" s="57">
        <v>0.5797337962962964</v>
      </c>
      <c r="G1061" s="56"/>
      <c r="H1061" s="56" t="s">
        <v>1501</v>
      </c>
      <c r="I1061" s="56" t="s">
        <v>1573</v>
      </c>
      <c r="J1061" s="56" t="s">
        <v>236</v>
      </c>
      <c r="K1061" s="56"/>
      <c r="L1061" s="56"/>
      <c r="M1061" s="56"/>
      <c r="N1061" s="56" t="s">
        <v>1574</v>
      </c>
      <c r="O1061" s="51" t="b">
        <v>0</v>
      </c>
      <c r="P1061" s="51" t="b">
        <v>0</v>
      </c>
      <c r="Q1061" s="51" t="b">
        <v>0</v>
      </c>
      <c r="R1061" s="51" t="b">
        <v>0</v>
      </c>
      <c r="S1061" s="51" t="b">
        <v>0</v>
      </c>
      <c r="T1061" s="56"/>
    </row>
    <row r="1062" hidden="1">
      <c r="A1062" s="4" t="str">
        <f>IFERROR(__xludf.DUMMYFUNCTION("""COMPUTED_VALUE"""),"1144 - Channel")</f>
        <v>1144 - Channel</v>
      </c>
      <c r="B1062" s="4" t="s">
        <v>22</v>
      </c>
      <c r="C1062" s="4" t="s">
        <v>221</v>
      </c>
      <c r="D1062" s="6">
        <v>0.5797337962962964</v>
      </c>
      <c r="E1062" s="6">
        <v>0.0012037037037037038</v>
      </c>
      <c r="F1062" s="6">
        <v>0.5809375000000001</v>
      </c>
      <c r="G1062" s="4"/>
      <c r="H1062" s="4" t="s">
        <v>79</v>
      </c>
      <c r="I1062" s="4" t="s">
        <v>1577</v>
      </c>
      <c r="J1062" s="4"/>
      <c r="K1062" s="4"/>
      <c r="L1062" s="4"/>
      <c r="M1062" s="4"/>
      <c r="N1062" s="4" t="s">
        <v>70</v>
      </c>
      <c r="O1062" s="51" t="b">
        <v>0</v>
      </c>
      <c r="P1062" s="51" t="b">
        <v>0</v>
      </c>
      <c r="Q1062" s="51" t="b">
        <v>0</v>
      </c>
      <c r="R1062" s="51" t="b">
        <v>0</v>
      </c>
      <c r="S1062" s="51" t="b">
        <v>0</v>
      </c>
    </row>
    <row r="1063" hidden="1">
      <c r="A1063" s="4" t="str">
        <f>IFERROR(__xludf.DUMMYFUNCTION("""COMPUTED_VALUE"""),"1139 - Channel")</f>
        <v>1139 - Channel</v>
      </c>
      <c r="B1063" s="4" t="s">
        <v>22</v>
      </c>
      <c r="C1063" s="4" t="s">
        <v>221</v>
      </c>
      <c r="D1063" s="6">
        <v>0.5809375000000001</v>
      </c>
      <c r="E1063" s="6">
        <v>3.4722222222222224E-4</v>
      </c>
      <c r="F1063" s="6">
        <v>0.5812847222222224</v>
      </c>
      <c r="G1063" s="4"/>
      <c r="H1063" s="4" t="s">
        <v>81</v>
      </c>
      <c r="I1063" s="4" t="s">
        <v>1498</v>
      </c>
      <c r="J1063" s="4"/>
      <c r="K1063" s="4"/>
      <c r="L1063" s="4"/>
      <c r="M1063" s="4"/>
      <c r="N1063" s="4" t="s">
        <v>70</v>
      </c>
      <c r="O1063" s="51" t="b">
        <v>0</v>
      </c>
      <c r="P1063" s="51" t="b">
        <v>0</v>
      </c>
      <c r="Q1063" s="51" t="b">
        <v>0</v>
      </c>
      <c r="R1063" s="51" t="b">
        <v>0</v>
      </c>
      <c r="S1063" s="51" t="b">
        <v>0</v>
      </c>
    </row>
    <row r="1064">
      <c r="A1064" s="56" t="str">
        <f>IFERROR(__xludf.DUMMYFUNCTION("""COMPUTED_VALUE"""),"1140 - Channel")</f>
        <v>1140 - Channel</v>
      </c>
      <c r="B1064" s="56" t="s">
        <v>22</v>
      </c>
      <c r="C1064" s="56" t="s">
        <v>221</v>
      </c>
      <c r="D1064" s="57">
        <v>0.5812847222222224</v>
      </c>
      <c r="E1064" s="57">
        <v>0.040671296296296296</v>
      </c>
      <c r="F1064" s="57">
        <v>0.6219560185185187</v>
      </c>
      <c r="G1064" s="56"/>
      <c r="H1064" s="56" t="s">
        <v>1501</v>
      </c>
      <c r="I1064" s="56" t="s">
        <v>1579</v>
      </c>
      <c r="J1064" s="56" t="s">
        <v>1134</v>
      </c>
      <c r="K1064" s="56"/>
      <c r="L1064" s="56"/>
      <c r="M1064" s="56"/>
      <c r="N1064" s="56" t="s">
        <v>433</v>
      </c>
      <c r="O1064" s="51" t="b">
        <v>0</v>
      </c>
      <c r="P1064" s="51" t="b">
        <v>0</v>
      </c>
      <c r="Q1064" s="51" t="b">
        <v>0</v>
      </c>
      <c r="R1064" s="51" t="b">
        <v>0</v>
      </c>
      <c r="S1064" s="51" t="b">
        <v>0</v>
      </c>
      <c r="T1064" s="56"/>
    </row>
    <row r="1065" hidden="1">
      <c r="A1065" s="4" t="str">
        <f>IFERROR(__xludf.DUMMYFUNCTION("""COMPUTED_VALUE"""),"1141 - Channel")</f>
        <v>1141 - Channel</v>
      </c>
      <c r="B1065" s="4" t="s">
        <v>22</v>
      </c>
      <c r="C1065" s="4" t="s">
        <v>221</v>
      </c>
      <c r="D1065" s="6">
        <v>0.6219560185185187</v>
      </c>
      <c r="E1065" s="6">
        <v>0.0012037037037037038</v>
      </c>
      <c r="F1065" s="6">
        <v>0.6231597222222224</v>
      </c>
      <c r="G1065" s="4"/>
      <c r="H1065" s="4" t="s">
        <v>79</v>
      </c>
      <c r="I1065" s="4" t="s">
        <v>1497</v>
      </c>
      <c r="J1065" s="4"/>
      <c r="K1065" s="4"/>
      <c r="L1065" s="4"/>
      <c r="M1065" s="4"/>
      <c r="N1065" s="4" t="s">
        <v>70</v>
      </c>
      <c r="O1065" s="51" t="b">
        <v>0</v>
      </c>
      <c r="P1065" s="51" t="b">
        <v>0</v>
      </c>
      <c r="Q1065" s="51" t="b">
        <v>0</v>
      </c>
      <c r="R1065" s="51" t="b">
        <v>0</v>
      </c>
      <c r="S1065" s="51" t="b">
        <v>0</v>
      </c>
    </row>
    <row r="1066" hidden="1">
      <c r="A1066" s="4" t="str">
        <f>IFERROR(__xludf.DUMMYFUNCTION("""COMPUTED_VALUE"""),"1196 - Channel")</f>
        <v>1196 - Channel</v>
      </c>
      <c r="B1066" s="4" t="s">
        <v>22</v>
      </c>
      <c r="C1066" s="4" t="s">
        <v>221</v>
      </c>
      <c r="D1066" s="6">
        <v>0.6231597222222224</v>
      </c>
      <c r="E1066" s="6">
        <v>3.472222222222222E-5</v>
      </c>
      <c r="F1066" s="6">
        <v>0.6231944444444446</v>
      </c>
      <c r="G1066" s="4"/>
      <c r="H1066" s="4" t="s">
        <v>81</v>
      </c>
      <c r="I1066" s="4" t="s">
        <v>1498</v>
      </c>
      <c r="J1066" s="4"/>
      <c r="K1066" s="4"/>
      <c r="L1066" s="4"/>
      <c r="M1066" s="4"/>
      <c r="N1066" s="4" t="s">
        <v>70</v>
      </c>
      <c r="O1066" s="51" t="b">
        <v>0</v>
      </c>
      <c r="P1066" s="51" t="b">
        <v>0</v>
      </c>
      <c r="Q1066" s="51" t="b">
        <v>0</v>
      </c>
      <c r="R1066" s="51" t="b">
        <v>0</v>
      </c>
      <c r="S1066" s="51" t="b">
        <v>0</v>
      </c>
    </row>
    <row r="1067">
      <c r="A1067" s="56" t="str">
        <f>IFERROR(__xludf.DUMMYFUNCTION("""COMPUTED_VALUE"""),"1197 - Channel")</f>
        <v>1197 - Channel</v>
      </c>
      <c r="B1067" s="56" t="s">
        <v>22</v>
      </c>
      <c r="C1067" s="56" t="s">
        <v>221</v>
      </c>
      <c r="D1067" s="57">
        <v>0.6231944444444446</v>
      </c>
      <c r="E1067" s="57">
        <v>0.034826388888888886</v>
      </c>
      <c r="F1067" s="57">
        <v>0.6580208333333335</v>
      </c>
      <c r="G1067" s="56"/>
      <c r="H1067" s="56" t="s">
        <v>1501</v>
      </c>
      <c r="I1067" s="56" t="s">
        <v>1582</v>
      </c>
      <c r="J1067" s="56" t="s">
        <v>1583</v>
      </c>
      <c r="K1067" s="56"/>
      <c r="L1067" s="56"/>
      <c r="M1067" s="56"/>
      <c r="N1067" s="56" t="s">
        <v>1584</v>
      </c>
      <c r="O1067" s="51" t="b">
        <v>0</v>
      </c>
      <c r="P1067" s="51" t="b">
        <v>0</v>
      </c>
      <c r="Q1067" s="51" t="b">
        <v>0</v>
      </c>
      <c r="R1067" s="51" t="b">
        <v>0</v>
      </c>
      <c r="S1067" s="51" t="b">
        <v>0</v>
      </c>
      <c r="T1067" s="56"/>
    </row>
    <row r="1068" hidden="1">
      <c r="A1068" s="4" t="str">
        <f>IFERROR(__xludf.DUMMYFUNCTION("""COMPUTED_VALUE"""),"1198 - Channel")</f>
        <v>1198 - Channel</v>
      </c>
      <c r="B1068" s="4" t="s">
        <v>22</v>
      </c>
      <c r="C1068" s="4" t="s">
        <v>221</v>
      </c>
      <c r="D1068" s="6">
        <v>0.6580208333333335</v>
      </c>
      <c r="E1068" s="6">
        <v>0.0012037037037037038</v>
      </c>
      <c r="F1068" s="6">
        <v>0.6592245370370372</v>
      </c>
      <c r="G1068" s="4"/>
      <c r="H1068" s="4" t="s">
        <v>79</v>
      </c>
      <c r="I1068" s="4" t="s">
        <v>1497</v>
      </c>
      <c r="J1068" s="4"/>
      <c r="K1068" s="4"/>
      <c r="L1068" s="4"/>
      <c r="M1068" s="4"/>
      <c r="N1068" s="4" t="s">
        <v>70</v>
      </c>
      <c r="O1068" s="51" t="b">
        <v>0</v>
      </c>
      <c r="P1068" s="51" t="b">
        <v>0</v>
      </c>
      <c r="Q1068" s="51" t="b">
        <v>0</v>
      </c>
      <c r="R1068" s="51" t="b">
        <v>0</v>
      </c>
      <c r="S1068" s="51" t="b">
        <v>0</v>
      </c>
    </row>
    <row r="1069" hidden="1">
      <c r="A1069" s="4" t="str">
        <f>IFERROR(__xludf.DUMMYFUNCTION("""COMPUTED_VALUE"""),"1199 - Channel")</f>
        <v>1199 - Channel</v>
      </c>
      <c r="B1069" s="4" t="s">
        <v>22</v>
      </c>
      <c r="C1069" s="4" t="s">
        <v>221</v>
      </c>
      <c r="D1069" s="6">
        <v>0.6592245370370372</v>
      </c>
      <c r="E1069" s="6">
        <v>3.4722222222222224E-4</v>
      </c>
      <c r="F1069" s="6">
        <v>0.6595717592592595</v>
      </c>
      <c r="G1069" s="4"/>
      <c r="H1069" s="4" t="s">
        <v>81</v>
      </c>
      <c r="I1069" s="4" t="s">
        <v>1498</v>
      </c>
      <c r="J1069" s="4"/>
      <c r="K1069" s="4"/>
      <c r="L1069" s="4"/>
      <c r="M1069" s="4"/>
      <c r="N1069" s="4" t="s">
        <v>70</v>
      </c>
      <c r="O1069" s="51" t="b">
        <v>0</v>
      </c>
      <c r="P1069" s="51" t="b">
        <v>0</v>
      </c>
      <c r="Q1069" s="51" t="b">
        <v>0</v>
      </c>
      <c r="R1069" s="51" t="b">
        <v>0</v>
      </c>
      <c r="S1069" s="51" t="b">
        <v>0</v>
      </c>
    </row>
    <row r="1070">
      <c r="A1070" s="56" t="str">
        <f>IFERROR(__xludf.DUMMYFUNCTION("""COMPUTED_VALUE"""),"1200 - Channel")</f>
        <v>1200 - Channel</v>
      </c>
      <c r="B1070" s="56" t="s">
        <v>22</v>
      </c>
      <c r="C1070" s="56" t="s">
        <v>221</v>
      </c>
      <c r="D1070" s="57">
        <v>0.6595717592592595</v>
      </c>
      <c r="E1070" s="57">
        <v>0.01766203703703704</v>
      </c>
      <c r="F1070" s="57">
        <v>0.6772337962962965</v>
      </c>
      <c r="G1070" s="56"/>
      <c r="H1070" s="56" t="s">
        <v>1501</v>
      </c>
      <c r="I1070" s="56" t="s">
        <v>1587</v>
      </c>
      <c r="J1070" s="56" t="s">
        <v>278</v>
      </c>
      <c r="K1070" s="56"/>
      <c r="L1070" s="56"/>
      <c r="M1070" s="56"/>
      <c r="N1070" s="56" t="s">
        <v>279</v>
      </c>
      <c r="O1070" s="51" t="b">
        <v>0</v>
      </c>
      <c r="P1070" s="51" t="b">
        <v>0</v>
      </c>
      <c r="Q1070" s="51" t="b">
        <v>0</v>
      </c>
      <c r="R1070" s="51" t="b">
        <v>0</v>
      </c>
      <c r="S1070" s="51" t="b">
        <v>0</v>
      </c>
      <c r="T1070" s="56"/>
    </row>
    <row r="1071" hidden="1">
      <c r="A1071" s="4" t="str">
        <f>IFERROR(__xludf.DUMMYFUNCTION("""COMPUTED_VALUE"""),"1201 - Channel")</f>
        <v>1201 - Channel</v>
      </c>
      <c r="B1071" s="4" t="s">
        <v>22</v>
      </c>
      <c r="C1071" s="4" t="s">
        <v>221</v>
      </c>
      <c r="D1071" s="6">
        <v>0.6772337962962965</v>
      </c>
      <c r="E1071" s="6">
        <v>0.0012037037037037038</v>
      </c>
      <c r="F1071" s="6">
        <v>0.6784375000000002</v>
      </c>
      <c r="G1071" s="4"/>
      <c r="H1071" s="4" t="s">
        <v>79</v>
      </c>
      <c r="I1071" s="4" t="s">
        <v>1497</v>
      </c>
      <c r="J1071" s="4"/>
      <c r="K1071" s="4"/>
      <c r="L1071" s="4"/>
      <c r="M1071" s="4"/>
      <c r="N1071" s="4" t="s">
        <v>70</v>
      </c>
      <c r="O1071" s="51" t="b">
        <v>0</v>
      </c>
      <c r="P1071" s="51" t="b">
        <v>0</v>
      </c>
      <c r="Q1071" s="51" t="b">
        <v>0</v>
      </c>
      <c r="R1071" s="51" t="b">
        <v>0</v>
      </c>
      <c r="S1071" s="51" t="b">
        <v>0</v>
      </c>
    </row>
    <row r="1072" hidden="1">
      <c r="A1072" s="4" t="str">
        <f>IFERROR(__xludf.DUMMYFUNCTION("""COMPUTED_VALUE"""),"1660 - Channel")</f>
        <v>1660 - Channel</v>
      </c>
      <c r="B1072" s="4" t="s">
        <v>22</v>
      </c>
      <c r="C1072" s="4" t="s">
        <v>221</v>
      </c>
      <c r="D1072" s="6">
        <v>0.6784375000000002</v>
      </c>
      <c r="E1072" s="6">
        <v>3.4722222222222224E-4</v>
      </c>
      <c r="F1072" s="6">
        <v>0.6787847222222225</v>
      </c>
      <c r="G1072" s="4"/>
      <c r="H1072" s="4" t="s">
        <v>81</v>
      </c>
      <c r="I1072" s="4" t="s">
        <v>1498</v>
      </c>
      <c r="J1072" s="4"/>
      <c r="K1072" s="4"/>
      <c r="L1072" s="4"/>
      <c r="M1072" s="4"/>
      <c r="N1072" s="4"/>
      <c r="O1072" s="51" t="b">
        <v>0</v>
      </c>
      <c r="P1072" s="51" t="b">
        <v>0</v>
      </c>
      <c r="Q1072" s="51" t="b">
        <v>0</v>
      </c>
      <c r="R1072" s="51" t="b">
        <v>0</v>
      </c>
      <c r="S1072" s="51" t="b">
        <v>0</v>
      </c>
    </row>
    <row r="1073">
      <c r="A1073" s="56" t="str">
        <f>IFERROR(__xludf.DUMMYFUNCTION("""COMPUTED_VALUE"""),"1661 - Channel")</f>
        <v>1661 - Channel</v>
      </c>
      <c r="B1073" s="56" t="s">
        <v>22</v>
      </c>
      <c r="C1073" s="56" t="s">
        <v>221</v>
      </c>
      <c r="D1073" s="57">
        <v>0.6787847222222225</v>
      </c>
      <c r="E1073" s="57">
        <v>0.027777777777777776</v>
      </c>
      <c r="F1073" s="57">
        <v>0.7065625000000003</v>
      </c>
      <c r="G1073" s="56"/>
      <c r="H1073" s="56" t="s">
        <v>1501</v>
      </c>
      <c r="I1073" s="56" t="s">
        <v>1589</v>
      </c>
      <c r="J1073" s="56" t="s">
        <v>1227</v>
      </c>
      <c r="K1073" s="56"/>
      <c r="L1073" s="56"/>
      <c r="M1073" s="56"/>
      <c r="N1073" s="56" t="s">
        <v>520</v>
      </c>
      <c r="O1073" s="51" t="b">
        <v>0</v>
      </c>
      <c r="P1073" s="51" t="b">
        <v>0</v>
      </c>
      <c r="Q1073" s="51" t="b">
        <v>0</v>
      </c>
      <c r="R1073" s="51" t="b">
        <v>0</v>
      </c>
      <c r="S1073" s="51" t="b">
        <v>0</v>
      </c>
      <c r="T1073" s="56"/>
    </row>
    <row r="1074" hidden="1">
      <c r="A1074" s="4" t="str">
        <f>IFERROR(__xludf.DUMMYFUNCTION("""COMPUTED_VALUE"""),"1662 - Channel")</f>
        <v>1662 - Channel</v>
      </c>
      <c r="B1074" s="4" t="s">
        <v>22</v>
      </c>
      <c r="C1074" s="4" t="s">
        <v>221</v>
      </c>
      <c r="D1074" s="6">
        <v>0.7065625000000003</v>
      </c>
      <c r="E1074" s="6">
        <v>0.0012037037037037038</v>
      </c>
      <c r="F1074" s="6">
        <v>0.707766203703704</v>
      </c>
      <c r="G1074" s="4"/>
      <c r="H1074" s="4" t="s">
        <v>79</v>
      </c>
      <c r="I1074" s="4" t="s">
        <v>1497</v>
      </c>
      <c r="J1074" s="4"/>
      <c r="K1074" s="4"/>
      <c r="L1074" s="4"/>
      <c r="M1074" s="4"/>
      <c r="N1074" s="4"/>
      <c r="O1074" s="51" t="b">
        <v>0</v>
      </c>
      <c r="P1074" s="51" t="b">
        <v>0</v>
      </c>
      <c r="Q1074" s="51" t="b">
        <v>0</v>
      </c>
      <c r="R1074" s="51" t="b">
        <v>0</v>
      </c>
      <c r="S1074" s="51" t="b">
        <v>0</v>
      </c>
    </row>
    <row r="1075" hidden="1">
      <c r="A1075" s="4" t="str">
        <f>IFERROR(__xludf.DUMMYFUNCTION("""COMPUTED_VALUE"""),"1202 - Channel")</f>
        <v>1202 - Channel</v>
      </c>
      <c r="B1075" s="4" t="s">
        <v>22</v>
      </c>
      <c r="C1075" s="4" t="s">
        <v>221</v>
      </c>
      <c r="D1075" s="6">
        <v>0.707766203703704</v>
      </c>
      <c r="E1075" s="6">
        <v>3.4722222222222224E-4</v>
      </c>
      <c r="F1075" s="6">
        <v>0.7081134259259263</v>
      </c>
      <c r="G1075" s="4"/>
      <c r="H1075" s="4" t="s">
        <v>85</v>
      </c>
      <c r="I1075" s="4" t="s">
        <v>1538</v>
      </c>
      <c r="J1075" s="4"/>
      <c r="K1075" s="4"/>
      <c r="L1075" s="4"/>
      <c r="M1075" s="4"/>
      <c r="N1075" s="4" t="s">
        <v>70</v>
      </c>
      <c r="O1075" s="51" t="b">
        <v>0</v>
      </c>
      <c r="P1075" s="51" t="b">
        <v>0</v>
      </c>
      <c r="Q1075" s="51" t="b">
        <v>0</v>
      </c>
      <c r="R1075" s="51" t="b">
        <v>0</v>
      </c>
      <c r="S1075" s="51" t="b">
        <v>0</v>
      </c>
    </row>
    <row r="1076">
      <c r="A1076" s="56" t="str">
        <f>IFERROR(__xludf.DUMMYFUNCTION("""COMPUTED_VALUE"""),"1203 - Channel")</f>
        <v>1203 - Channel</v>
      </c>
      <c r="B1076" s="56" t="s">
        <v>22</v>
      </c>
      <c r="C1076" s="56" t="s">
        <v>221</v>
      </c>
      <c r="D1076" s="57">
        <v>0.7081134259259263</v>
      </c>
      <c r="E1076" s="57">
        <v>0.0</v>
      </c>
      <c r="F1076" s="57">
        <v>0.7081134259259263</v>
      </c>
      <c r="G1076" s="56"/>
      <c r="H1076" s="56"/>
      <c r="I1076" s="56"/>
      <c r="J1076" s="56"/>
      <c r="K1076" s="56"/>
      <c r="L1076" s="56"/>
      <c r="M1076" s="56"/>
      <c r="N1076" s="56" t="s">
        <v>70</v>
      </c>
      <c r="O1076" s="51" t="b">
        <v>0</v>
      </c>
      <c r="P1076" s="51" t="b">
        <v>0</v>
      </c>
      <c r="Q1076" s="51" t="b">
        <v>0</v>
      </c>
      <c r="R1076" s="51" t="b">
        <v>0</v>
      </c>
      <c r="S1076" s="51" t="b">
        <v>0</v>
      </c>
      <c r="T1076" s="56"/>
    </row>
    <row r="1077" hidden="1">
      <c r="A1077" s="4" t="str">
        <f>IFERROR(__xludf.DUMMYFUNCTION("""COMPUTED_VALUE"""),"1204 - Channel")</f>
        <v>1204 - Channel</v>
      </c>
      <c r="B1077" s="4" t="s">
        <v>22</v>
      </c>
      <c r="C1077" s="4" t="s">
        <v>221</v>
      </c>
      <c r="D1077" s="6">
        <v>0.7081134259259263</v>
      </c>
      <c r="E1077" s="6">
        <v>0.0</v>
      </c>
      <c r="F1077" s="6">
        <v>0.7081134259259263</v>
      </c>
      <c r="G1077" s="4"/>
      <c r="H1077" s="4"/>
      <c r="I1077" s="4"/>
      <c r="J1077" s="4"/>
      <c r="K1077" s="4"/>
      <c r="L1077" s="4"/>
      <c r="M1077" s="4"/>
      <c r="N1077" s="4" t="s">
        <v>70</v>
      </c>
      <c r="O1077" s="51" t="b">
        <v>0</v>
      </c>
      <c r="P1077" s="51" t="b">
        <v>0</v>
      </c>
      <c r="Q1077" s="51" t="b">
        <v>0</v>
      </c>
      <c r="R1077" s="51" t="b">
        <v>0</v>
      </c>
      <c r="S1077" s="51" t="b">
        <v>0</v>
      </c>
    </row>
    <row r="1078" hidden="1">
      <c r="A1078" s="4" t="str">
        <f>IFERROR(__xludf.DUMMYFUNCTION("""COMPUTED_VALUE"""),"1205 - Channel")</f>
        <v>1205 - Channel</v>
      </c>
      <c r="B1078" s="4" t="s">
        <v>22</v>
      </c>
      <c r="C1078" s="4" t="s">
        <v>221</v>
      </c>
      <c r="D1078" s="6">
        <v>0.7081134259259263</v>
      </c>
      <c r="E1078" s="6">
        <v>0.0</v>
      </c>
      <c r="F1078" s="6">
        <v>0.7081134259259263</v>
      </c>
      <c r="G1078" s="4"/>
      <c r="H1078" s="4"/>
      <c r="I1078" s="4"/>
      <c r="J1078" s="4"/>
      <c r="K1078" s="4"/>
      <c r="L1078" s="4"/>
      <c r="M1078" s="4"/>
      <c r="N1078" s="4" t="s">
        <v>70</v>
      </c>
      <c r="O1078" s="51" t="b">
        <v>0</v>
      </c>
      <c r="P1078" s="51" t="b">
        <v>0</v>
      </c>
      <c r="Q1078" s="51" t="b">
        <v>0</v>
      </c>
      <c r="R1078" s="51" t="b">
        <v>0</v>
      </c>
      <c r="S1078" s="51" t="b">
        <v>0</v>
      </c>
    </row>
    <row r="1079" hidden="1">
      <c r="A1079" s="56" t="str">
        <f>IFERROR(__xludf.DUMMYFUNCTION("""COMPUTED_VALUE"""),"1206 - Channel")</f>
        <v>1206 - Channel</v>
      </c>
      <c r="B1079" s="56" t="s">
        <v>22</v>
      </c>
      <c r="C1079" s="56" t="s">
        <v>221</v>
      </c>
      <c r="D1079" s="57">
        <v>0.7081134259259263</v>
      </c>
      <c r="E1079" s="57">
        <v>0.0</v>
      </c>
      <c r="F1079" s="57">
        <v>0.7081134259259263</v>
      </c>
      <c r="G1079" s="56"/>
      <c r="H1079" s="56"/>
      <c r="I1079" s="56"/>
      <c r="J1079" s="56"/>
      <c r="K1079" s="56"/>
      <c r="L1079" s="56"/>
      <c r="M1079" s="56"/>
      <c r="N1079" s="56" t="s">
        <v>70</v>
      </c>
      <c r="O1079" s="51" t="b">
        <v>0</v>
      </c>
      <c r="P1079" s="51" t="b">
        <v>0</v>
      </c>
      <c r="Q1079" s="51" t="b">
        <v>0</v>
      </c>
      <c r="R1079" s="51" t="b">
        <v>0</v>
      </c>
      <c r="S1079" s="51" t="b">
        <v>0</v>
      </c>
      <c r="T1079" s="56"/>
    </row>
    <row r="1080" hidden="1">
      <c r="A1080" s="4" t="str">
        <f>IFERROR(__xludf.DUMMYFUNCTION("""COMPUTED_VALUE"""),"1207 - Channel")</f>
        <v>1207 - Channel</v>
      </c>
      <c r="B1080" s="4" t="s">
        <v>22</v>
      </c>
      <c r="C1080" s="4" t="s">
        <v>221</v>
      </c>
      <c r="D1080" s="6">
        <v>0.7081134259259263</v>
      </c>
      <c r="E1080" s="6">
        <v>0.0</v>
      </c>
      <c r="F1080" s="6">
        <v>0.7081134259259263</v>
      </c>
      <c r="G1080" s="4"/>
      <c r="H1080" s="4"/>
      <c r="I1080" s="4"/>
      <c r="J1080" s="4"/>
      <c r="K1080" s="4"/>
      <c r="L1080" s="4"/>
      <c r="M1080" s="4"/>
      <c r="N1080" s="4" t="s">
        <v>70</v>
      </c>
      <c r="O1080" s="51" t="b">
        <v>0</v>
      </c>
      <c r="P1080" s="51" t="b">
        <v>0</v>
      </c>
      <c r="Q1080" s="51" t="b">
        <v>0</v>
      </c>
      <c r="R1080" s="51" t="b">
        <v>0</v>
      </c>
      <c r="S1080" s="51" t="b">
        <v>0</v>
      </c>
    </row>
    <row r="1081" hidden="1">
      <c r="A1081" s="4" t="str">
        <f>IFERROR(__xludf.DUMMYFUNCTION("""COMPUTED_VALUE"""),"1208 - Channel")</f>
        <v>1208 - Channel</v>
      </c>
      <c r="B1081" s="4" t="s">
        <v>344</v>
      </c>
      <c r="C1081" s="4"/>
      <c r="D1081" s="6"/>
      <c r="E1081" s="6"/>
      <c r="F1081" s="6"/>
      <c r="G1081" s="4"/>
      <c r="H1081" s="4"/>
      <c r="I1081" s="4"/>
      <c r="J1081" s="4"/>
      <c r="K1081" s="4"/>
      <c r="L1081" s="4"/>
      <c r="M1081" s="4"/>
      <c r="N1081" s="4" t="s">
        <v>70</v>
      </c>
      <c r="O1081" s="51" t="b">
        <v>0</v>
      </c>
      <c r="P1081" s="51" t="b">
        <v>0</v>
      </c>
      <c r="Q1081" s="51" t="b">
        <v>0</v>
      </c>
      <c r="R1081" s="51" t="b">
        <v>0</v>
      </c>
      <c r="S1081" s="51" t="b">
        <v>0</v>
      </c>
    </row>
    <row r="1082" hidden="1">
      <c r="A1082" s="4" t="str">
        <f>IFERROR(__xludf.DUMMYFUNCTION("""COMPUTED_VALUE"""),"1209 - Channel")</f>
        <v>1209 - Channel</v>
      </c>
      <c r="B1082" s="4" t="s">
        <v>22</v>
      </c>
      <c r="C1082" s="4" t="s">
        <v>289</v>
      </c>
      <c r="D1082" s="6">
        <v>0.4166666666666667</v>
      </c>
      <c r="E1082" s="6">
        <v>0.0012037037037037038</v>
      </c>
      <c r="F1082" s="6">
        <v>0.4178703703703704</v>
      </c>
      <c r="G1082" s="4"/>
      <c r="H1082" s="4" t="s">
        <v>79</v>
      </c>
      <c r="I1082" s="4" t="s">
        <v>1497</v>
      </c>
      <c r="J1082" s="4"/>
      <c r="K1082" s="4"/>
      <c r="L1082" s="4"/>
      <c r="M1082" s="4"/>
      <c r="N1082" s="4" t="s">
        <v>70</v>
      </c>
      <c r="O1082" s="51" t="b">
        <v>0</v>
      </c>
      <c r="P1082" s="51" t="b">
        <v>0</v>
      </c>
      <c r="Q1082" s="51" t="b">
        <v>0</v>
      </c>
      <c r="R1082" s="51" t="b">
        <v>0</v>
      </c>
      <c r="S1082" s="51" t="b">
        <v>0</v>
      </c>
    </row>
    <row r="1083" hidden="1">
      <c r="A1083" s="4" t="str">
        <f>IFERROR(__xludf.DUMMYFUNCTION("""COMPUTED_VALUE"""),"1686 - Channel")</f>
        <v>1686 - Channel</v>
      </c>
      <c r="B1083" s="4" t="s">
        <v>22</v>
      </c>
      <c r="C1083" s="4" t="s">
        <v>289</v>
      </c>
      <c r="D1083" s="6">
        <v>0.4178703703703704</v>
      </c>
      <c r="E1083" s="6">
        <v>3.4722222222222224E-4</v>
      </c>
      <c r="F1083" s="6">
        <v>0.4182175925925926</v>
      </c>
      <c r="G1083" s="4"/>
      <c r="H1083" s="4" t="s">
        <v>81</v>
      </c>
      <c r="I1083" s="4" t="s">
        <v>1498</v>
      </c>
      <c r="J1083" s="4"/>
      <c r="K1083" s="4"/>
      <c r="L1083" s="4"/>
      <c r="M1083" s="4"/>
      <c r="N1083" s="4"/>
      <c r="O1083" s="51" t="b">
        <v>0</v>
      </c>
      <c r="P1083" s="51" t="b">
        <v>0</v>
      </c>
      <c r="Q1083" s="51" t="b">
        <v>0</v>
      </c>
      <c r="R1083" s="51" t="b">
        <v>0</v>
      </c>
      <c r="S1083" s="51" t="b">
        <v>0</v>
      </c>
    </row>
    <row r="1084">
      <c r="A1084" s="4" t="str">
        <f>IFERROR(__xludf.DUMMYFUNCTION("""COMPUTED_VALUE"""),"1687 - Channel")</f>
        <v>1687 - Channel</v>
      </c>
      <c r="B1084" s="4" t="s">
        <v>22</v>
      </c>
      <c r="C1084" s="4" t="s">
        <v>289</v>
      </c>
      <c r="D1084" s="6">
        <v>0.4182175925925926</v>
      </c>
      <c r="E1084" s="6">
        <v>0.009189814814814816</v>
      </c>
      <c r="F1084" s="6">
        <v>0.4274074074074074</v>
      </c>
      <c r="G1084" s="4"/>
      <c r="H1084" s="4" t="s">
        <v>107</v>
      </c>
      <c r="I1084" s="4" t="s">
        <v>1268</v>
      </c>
      <c r="J1084" s="4" t="s">
        <v>765</v>
      </c>
      <c r="K1084" s="4" t="s">
        <v>1263</v>
      </c>
      <c r="L1084" s="4"/>
      <c r="M1084" s="4"/>
      <c r="N1084" s="4" t="s">
        <v>1264</v>
      </c>
      <c r="O1084" s="51" t="b">
        <v>0</v>
      </c>
      <c r="P1084" s="51" t="b">
        <v>0</v>
      </c>
      <c r="Q1084" s="51" t="b">
        <v>0</v>
      </c>
      <c r="R1084" s="51" t="b">
        <v>0</v>
      </c>
      <c r="S1084" s="51" t="b">
        <v>0</v>
      </c>
    </row>
    <row r="1085" hidden="1">
      <c r="A1085" s="4" t="str">
        <f>IFERROR(__xludf.DUMMYFUNCTION("""COMPUTED_VALUE"""),"1688 - Channel")</f>
        <v>1688 - Channel</v>
      </c>
      <c r="B1085" s="4" t="s">
        <v>22</v>
      </c>
      <c r="C1085" s="4" t="s">
        <v>289</v>
      </c>
      <c r="D1085" s="6">
        <v>0.4274074074074074</v>
      </c>
      <c r="E1085" s="6">
        <v>0.0012037037037037038</v>
      </c>
      <c r="F1085" s="6">
        <v>0.4286111111111111</v>
      </c>
      <c r="G1085" s="4"/>
      <c r="H1085" s="4" t="s">
        <v>79</v>
      </c>
      <c r="I1085" s="4" t="s">
        <v>1497</v>
      </c>
      <c r="J1085" s="4"/>
      <c r="K1085" s="4"/>
      <c r="L1085" s="4"/>
      <c r="M1085" s="4"/>
      <c r="N1085" s="4"/>
      <c r="O1085" s="51" t="b">
        <v>0</v>
      </c>
      <c r="P1085" s="51" t="b">
        <v>0</v>
      </c>
      <c r="Q1085" s="51" t="b">
        <v>0</v>
      </c>
      <c r="R1085" s="51" t="b">
        <v>0</v>
      </c>
      <c r="S1085" s="51" t="b">
        <v>0</v>
      </c>
    </row>
    <row r="1086" hidden="1">
      <c r="A1086" s="4" t="str">
        <f>IFERROR(__xludf.DUMMYFUNCTION("""COMPUTED_VALUE"""),"1689 - Channel")</f>
        <v>1689 - Channel</v>
      </c>
      <c r="B1086" s="4" t="s">
        <v>22</v>
      </c>
      <c r="C1086" s="4" t="s">
        <v>289</v>
      </c>
      <c r="D1086" s="6">
        <v>0.4286111111111111</v>
      </c>
      <c r="E1086" s="6">
        <v>3.4722222222222224E-4</v>
      </c>
      <c r="F1086" s="6">
        <v>0.42895833333333333</v>
      </c>
      <c r="G1086" s="4"/>
      <c r="H1086" s="4" t="s">
        <v>81</v>
      </c>
      <c r="I1086" s="4" t="s">
        <v>1498</v>
      </c>
      <c r="J1086" s="4"/>
      <c r="K1086" s="4"/>
      <c r="L1086" s="4"/>
      <c r="M1086" s="4"/>
      <c r="N1086" s="4"/>
      <c r="O1086" s="51" t="b">
        <v>0</v>
      </c>
      <c r="P1086" s="51" t="b">
        <v>0</v>
      </c>
      <c r="Q1086" s="51" t="b">
        <v>0</v>
      </c>
      <c r="R1086" s="51" t="b">
        <v>0</v>
      </c>
      <c r="S1086" s="51" t="b">
        <v>0</v>
      </c>
    </row>
    <row r="1087">
      <c r="A1087" s="4" t="str">
        <f>IFERROR(__xludf.DUMMYFUNCTION("""COMPUTED_VALUE"""),"1690 - Channel")</f>
        <v>1690 - Channel</v>
      </c>
      <c r="B1087" s="4" t="s">
        <v>22</v>
      </c>
      <c r="C1087" s="4" t="s">
        <v>289</v>
      </c>
      <c r="D1087" s="6">
        <v>0.42895833333333333</v>
      </c>
      <c r="E1087" s="6">
        <v>0.010416666666666666</v>
      </c>
      <c r="F1087" s="6">
        <v>0.439375</v>
      </c>
      <c r="G1087" s="4"/>
      <c r="H1087" s="4" t="s">
        <v>74</v>
      </c>
      <c r="I1087" s="4" t="s">
        <v>1599</v>
      </c>
      <c r="J1087" s="4" t="s">
        <v>1600</v>
      </c>
      <c r="K1087" s="4" t="s">
        <v>1601</v>
      </c>
      <c r="L1087" s="4" t="s">
        <v>1602</v>
      </c>
      <c r="M1087" s="4"/>
      <c r="N1087" s="4" t="s">
        <v>1603</v>
      </c>
      <c r="O1087" s="51" t="b">
        <v>0</v>
      </c>
      <c r="P1087" s="51" t="b">
        <v>0</v>
      </c>
      <c r="Q1087" s="51" t="b">
        <v>0</v>
      </c>
      <c r="R1087" s="51" t="b">
        <v>0</v>
      </c>
      <c r="S1087" s="51" t="b">
        <v>0</v>
      </c>
    </row>
    <row r="1088" hidden="1">
      <c r="A1088" s="4" t="str">
        <f>IFERROR(__xludf.DUMMYFUNCTION("""COMPUTED_VALUE"""),"1691 - Channel")</f>
        <v>1691 - Channel</v>
      </c>
      <c r="B1088" s="4" t="s">
        <v>22</v>
      </c>
      <c r="C1088" s="4" t="s">
        <v>289</v>
      </c>
      <c r="D1088" s="6">
        <v>0.439375</v>
      </c>
      <c r="E1088" s="6">
        <v>0.0012037037037037038</v>
      </c>
      <c r="F1088" s="6">
        <v>0.4405787037037037</v>
      </c>
      <c r="G1088" s="4"/>
      <c r="H1088" s="4" t="s">
        <v>79</v>
      </c>
      <c r="I1088" s="4" t="s">
        <v>1497</v>
      </c>
      <c r="J1088" s="4"/>
      <c r="K1088" s="4"/>
      <c r="L1088" s="4"/>
      <c r="M1088" s="4"/>
      <c r="N1088" s="4"/>
      <c r="O1088" s="51" t="b">
        <v>0</v>
      </c>
      <c r="P1088" s="51" t="b">
        <v>0</v>
      </c>
      <c r="Q1088" s="51" t="b">
        <v>0</v>
      </c>
      <c r="R1088" s="51" t="b">
        <v>0</v>
      </c>
      <c r="S1088" s="51" t="b">
        <v>0</v>
      </c>
    </row>
    <row r="1089" hidden="1">
      <c r="A1089" s="4" t="str">
        <f>IFERROR(__xludf.DUMMYFUNCTION("""COMPUTED_VALUE"""),"1148 - Channel")</f>
        <v>1148 - Channel</v>
      </c>
      <c r="B1089" s="4" t="s">
        <v>22</v>
      </c>
      <c r="C1089" s="4" t="s">
        <v>289</v>
      </c>
      <c r="D1089" s="6">
        <v>0.4405787037037037</v>
      </c>
      <c r="E1089" s="6">
        <v>3.4722222222222224E-4</v>
      </c>
      <c r="F1089" s="6">
        <v>0.44092592592592594</v>
      </c>
      <c r="G1089" s="4"/>
      <c r="H1089" s="4" t="s">
        <v>81</v>
      </c>
      <c r="I1089" s="4" t="s">
        <v>1498</v>
      </c>
      <c r="J1089" s="4"/>
      <c r="K1089" s="4"/>
      <c r="L1089" s="4"/>
      <c r="M1089" s="4"/>
      <c r="N1089" s="4" t="s">
        <v>70</v>
      </c>
      <c r="O1089" s="51" t="b">
        <v>0</v>
      </c>
      <c r="P1089" s="51" t="b">
        <v>0</v>
      </c>
      <c r="Q1089" s="51" t="b">
        <v>0</v>
      </c>
      <c r="R1089" s="51" t="b">
        <v>0</v>
      </c>
      <c r="S1089" s="51" t="b">
        <v>0</v>
      </c>
    </row>
    <row r="1090">
      <c r="A1090" s="4" t="str">
        <f>IFERROR(__xludf.DUMMYFUNCTION("""COMPUTED_VALUE"""),"1149 - Channel")</f>
        <v>1149 - Channel</v>
      </c>
      <c r="B1090" s="4" t="s">
        <v>22</v>
      </c>
      <c r="C1090" s="4" t="s">
        <v>289</v>
      </c>
      <c r="D1090" s="6">
        <v>0.44092592592592594</v>
      </c>
      <c r="E1090" s="6">
        <v>0.03125</v>
      </c>
      <c r="F1090" s="6">
        <v>0.47217592592592594</v>
      </c>
      <c r="G1090" s="4"/>
      <c r="H1090" s="4" t="s">
        <v>1501</v>
      </c>
      <c r="I1090" s="4" t="s">
        <v>1605</v>
      </c>
      <c r="J1090" s="4" t="s">
        <v>255</v>
      </c>
      <c r="K1090" s="4"/>
      <c r="L1090" s="4"/>
      <c r="M1090" s="4"/>
      <c r="N1090" s="4" t="s">
        <v>439</v>
      </c>
      <c r="O1090" s="51" t="b">
        <v>0</v>
      </c>
      <c r="P1090" s="51" t="b">
        <v>0</v>
      </c>
      <c r="Q1090" s="51" t="b">
        <v>0</v>
      </c>
      <c r="R1090" s="51" t="b">
        <v>0</v>
      </c>
      <c r="S1090" s="51" t="b">
        <v>0</v>
      </c>
    </row>
    <row r="1091" hidden="1">
      <c r="A1091" s="4" t="str">
        <f>IFERROR(__xludf.DUMMYFUNCTION("""COMPUTED_VALUE"""),"1150 - Channel")</f>
        <v>1150 - Channel</v>
      </c>
      <c r="B1091" s="4" t="s">
        <v>22</v>
      </c>
      <c r="C1091" s="4" t="s">
        <v>289</v>
      </c>
      <c r="D1091" s="6">
        <v>0.47217592592592594</v>
      </c>
      <c r="E1091" s="6">
        <v>0.001388888888888889</v>
      </c>
      <c r="F1091" s="6">
        <v>0.4735648148148148</v>
      </c>
      <c r="G1091" s="4"/>
      <c r="H1091" s="4" t="s">
        <v>79</v>
      </c>
      <c r="I1091" s="4" t="s">
        <v>1497</v>
      </c>
      <c r="J1091" s="4"/>
      <c r="K1091" s="4"/>
      <c r="L1091" s="4"/>
      <c r="M1091" s="4"/>
      <c r="N1091" s="4" t="s">
        <v>70</v>
      </c>
      <c r="O1091" s="51" t="b">
        <v>0</v>
      </c>
      <c r="P1091" s="51" t="b">
        <v>0</v>
      </c>
      <c r="Q1091" s="51" t="b">
        <v>0</v>
      </c>
      <c r="R1091" s="51" t="b">
        <v>0</v>
      </c>
      <c r="S1091" s="51" t="b">
        <v>0</v>
      </c>
    </row>
    <row r="1092" hidden="1">
      <c r="A1092" s="4" t="str">
        <f>IFERROR(__xludf.DUMMYFUNCTION("""COMPUTED_VALUE"""),"1184 - Channel")</f>
        <v>1184 - Channel</v>
      </c>
      <c r="B1092" s="4" t="s">
        <v>22</v>
      </c>
      <c r="C1092" s="4" t="s">
        <v>289</v>
      </c>
      <c r="D1092" s="6">
        <v>0.4735648148148148</v>
      </c>
      <c r="E1092" s="6">
        <v>3.4722222222222224E-4</v>
      </c>
      <c r="F1092" s="6">
        <v>0.47391203703703705</v>
      </c>
      <c r="G1092" s="4"/>
      <c r="H1092" s="4" t="s">
        <v>81</v>
      </c>
      <c r="I1092" s="4" t="s">
        <v>1498</v>
      </c>
      <c r="J1092" s="4"/>
      <c r="K1092" s="4"/>
      <c r="L1092" s="4"/>
      <c r="M1092" s="4"/>
      <c r="N1092" s="4" t="s">
        <v>70</v>
      </c>
      <c r="O1092" s="51" t="b">
        <v>0</v>
      </c>
      <c r="P1092" s="51" t="b">
        <v>0</v>
      </c>
      <c r="Q1092" s="51" t="b">
        <v>0</v>
      </c>
      <c r="R1092" s="51" t="b">
        <v>0</v>
      </c>
      <c r="S1092" s="51" t="b">
        <v>0</v>
      </c>
    </row>
    <row r="1093">
      <c r="A1093" s="4" t="str">
        <f>IFERROR(__xludf.DUMMYFUNCTION("""COMPUTED_VALUE"""),"1185 - Channel")</f>
        <v>1185 - Channel</v>
      </c>
      <c r="B1093" s="4" t="s">
        <v>22</v>
      </c>
      <c r="C1093" s="4" t="s">
        <v>289</v>
      </c>
      <c r="D1093" s="6">
        <v>0.47391203703703705</v>
      </c>
      <c r="E1093" s="6">
        <v>0.026354166666666668</v>
      </c>
      <c r="F1093" s="6">
        <v>0.5002662037037037</v>
      </c>
      <c r="G1093" s="4"/>
      <c r="H1093" s="4" t="s">
        <v>1501</v>
      </c>
      <c r="I1093" s="4" t="s">
        <v>1608</v>
      </c>
      <c r="J1093" s="4" t="s">
        <v>916</v>
      </c>
      <c r="K1093" s="4"/>
      <c r="L1093" s="4"/>
      <c r="M1093" s="4"/>
      <c r="N1093" s="4" t="s">
        <v>230</v>
      </c>
      <c r="O1093" s="51" t="b">
        <v>0</v>
      </c>
      <c r="P1093" s="51" t="b">
        <v>0</v>
      </c>
      <c r="Q1093" s="51" t="b">
        <v>0</v>
      </c>
      <c r="R1093" s="51" t="b">
        <v>0</v>
      </c>
      <c r="S1093" s="51" t="b">
        <v>0</v>
      </c>
    </row>
    <row r="1094" hidden="1">
      <c r="A1094" s="4" t="str">
        <f>IFERROR(__xludf.DUMMYFUNCTION("""COMPUTED_VALUE"""),"1186 - Channel")</f>
        <v>1186 - Channel</v>
      </c>
      <c r="B1094" s="4" t="s">
        <v>22</v>
      </c>
      <c r="C1094" s="4" t="s">
        <v>289</v>
      </c>
      <c r="D1094" s="6">
        <v>0.5002662037037037</v>
      </c>
      <c r="E1094" s="6">
        <v>0.001388888888888889</v>
      </c>
      <c r="F1094" s="6">
        <v>0.5016550925925926</v>
      </c>
      <c r="G1094" s="4"/>
      <c r="H1094" s="4" t="s">
        <v>79</v>
      </c>
      <c r="I1094" s="4" t="s">
        <v>1497</v>
      </c>
      <c r="J1094" s="4"/>
      <c r="K1094" s="4"/>
      <c r="L1094" s="4"/>
      <c r="M1094" s="4"/>
      <c r="N1094" s="4" t="s">
        <v>70</v>
      </c>
      <c r="O1094" s="51" t="b">
        <v>0</v>
      </c>
      <c r="P1094" s="51" t="b">
        <v>0</v>
      </c>
      <c r="Q1094" s="51" t="b">
        <v>0</v>
      </c>
      <c r="R1094" s="51" t="b">
        <v>0</v>
      </c>
      <c r="S1094" s="51" t="b">
        <v>0</v>
      </c>
    </row>
    <row r="1095" hidden="1">
      <c r="A1095" s="4" t="str">
        <f>IFERROR(__xludf.DUMMYFUNCTION("""COMPUTED_VALUE"""),"1219 - Channel")</f>
        <v>1219 - Channel</v>
      </c>
      <c r="B1095" s="4" t="s">
        <v>22</v>
      </c>
      <c r="C1095" s="4" t="s">
        <v>289</v>
      </c>
      <c r="D1095" s="6">
        <v>0.5016550925925926</v>
      </c>
      <c r="E1095" s="6">
        <v>3.4722222222222224E-4</v>
      </c>
      <c r="F1095" s="6">
        <v>0.5020023148148148</v>
      </c>
      <c r="G1095" s="4"/>
      <c r="H1095" s="4" t="s">
        <v>81</v>
      </c>
      <c r="I1095" s="4" t="s">
        <v>1498</v>
      </c>
      <c r="J1095" s="4"/>
      <c r="K1095" s="4"/>
      <c r="L1095" s="4"/>
      <c r="M1095" s="4"/>
      <c r="N1095" s="4" t="s">
        <v>70</v>
      </c>
      <c r="O1095" s="51" t="b">
        <v>0</v>
      </c>
      <c r="P1095" s="51" t="b">
        <v>0</v>
      </c>
      <c r="Q1095" s="51" t="b">
        <v>0</v>
      </c>
      <c r="R1095" s="51" t="b">
        <v>0</v>
      </c>
      <c r="S1095" s="51" t="b">
        <v>0</v>
      </c>
    </row>
    <row r="1096">
      <c r="A1096" s="4" t="str">
        <f>IFERROR(__xludf.DUMMYFUNCTION("""COMPUTED_VALUE"""),"1220 - Channel")</f>
        <v>1220 - Channel</v>
      </c>
      <c r="B1096" s="4" t="s">
        <v>22</v>
      </c>
      <c r="C1096" s="4" t="s">
        <v>289</v>
      </c>
      <c r="D1096" s="6">
        <v>0.5020023148148148</v>
      </c>
      <c r="E1096" s="6">
        <v>0.037141203703703704</v>
      </c>
      <c r="F1096" s="6">
        <v>0.5391435185185185</v>
      </c>
      <c r="G1096" s="4"/>
      <c r="H1096" s="4" t="s">
        <v>1501</v>
      </c>
      <c r="I1096" s="4" t="s">
        <v>1611</v>
      </c>
      <c r="J1096" s="4" t="s">
        <v>710</v>
      </c>
      <c r="K1096" s="4"/>
      <c r="L1096" s="4"/>
      <c r="M1096" s="4"/>
      <c r="N1096" s="4" t="s">
        <v>1612</v>
      </c>
      <c r="O1096" s="51" t="b">
        <v>0</v>
      </c>
      <c r="P1096" s="51" t="b">
        <v>0</v>
      </c>
      <c r="Q1096" s="51" t="b">
        <v>0</v>
      </c>
      <c r="R1096" s="51" t="b">
        <v>0</v>
      </c>
      <c r="S1096" s="51" t="b">
        <v>0</v>
      </c>
    </row>
    <row r="1097" hidden="1">
      <c r="A1097" s="4" t="str">
        <f>IFERROR(__xludf.DUMMYFUNCTION("""COMPUTED_VALUE"""),"1221 - Channel")</f>
        <v>1221 - Channel</v>
      </c>
      <c r="B1097" s="4" t="s">
        <v>22</v>
      </c>
      <c r="C1097" s="4" t="s">
        <v>289</v>
      </c>
      <c r="D1097" s="6">
        <v>0.5391435185185185</v>
      </c>
      <c r="E1097" s="6">
        <v>0.001388888888888889</v>
      </c>
      <c r="F1097" s="6">
        <v>0.5405324074074074</v>
      </c>
      <c r="G1097" s="4"/>
      <c r="H1097" s="4" t="s">
        <v>79</v>
      </c>
      <c r="I1097" s="4" t="s">
        <v>1497</v>
      </c>
      <c r="J1097" s="4"/>
      <c r="K1097" s="4"/>
      <c r="L1097" s="4"/>
      <c r="M1097" s="4"/>
      <c r="N1097" s="4" t="s">
        <v>70</v>
      </c>
      <c r="O1097" s="51" t="b">
        <v>0</v>
      </c>
      <c r="P1097" s="51" t="b">
        <v>0</v>
      </c>
      <c r="Q1097" s="51" t="b">
        <v>0</v>
      </c>
      <c r="R1097" s="51" t="b">
        <v>0</v>
      </c>
      <c r="S1097" s="51" t="b">
        <v>0</v>
      </c>
    </row>
    <row r="1098" hidden="1">
      <c r="A1098" s="4" t="str">
        <f>IFERROR(__xludf.DUMMYFUNCTION("""COMPUTED_VALUE"""),"1225 - Channel")</f>
        <v>1225 - Channel</v>
      </c>
      <c r="B1098" s="4" t="s">
        <v>22</v>
      </c>
      <c r="C1098" s="4" t="s">
        <v>289</v>
      </c>
      <c r="D1098" s="6">
        <v>0.5405324074074074</v>
      </c>
      <c r="E1098" s="6">
        <v>3.4722222222222224E-4</v>
      </c>
      <c r="F1098" s="6">
        <v>0.5408796296296297</v>
      </c>
      <c r="G1098" s="4"/>
      <c r="H1098" s="4" t="s">
        <v>81</v>
      </c>
      <c r="I1098" s="4" t="s">
        <v>1498</v>
      </c>
      <c r="J1098" s="4"/>
      <c r="K1098" s="4"/>
      <c r="L1098" s="4"/>
      <c r="M1098" s="4"/>
      <c r="N1098" s="4" t="s">
        <v>70</v>
      </c>
      <c r="O1098" s="51" t="b">
        <v>0</v>
      </c>
      <c r="P1098" s="51" t="b">
        <v>0</v>
      </c>
      <c r="Q1098" s="51" t="b">
        <v>0</v>
      </c>
      <c r="R1098" s="51" t="b">
        <v>0</v>
      </c>
      <c r="S1098" s="51" t="b">
        <v>0</v>
      </c>
    </row>
    <row r="1099">
      <c r="A1099" s="4" t="str">
        <f>IFERROR(__xludf.DUMMYFUNCTION("""COMPUTED_VALUE"""),"1226 - Channel")</f>
        <v>1226 - Channel</v>
      </c>
      <c r="B1099" s="4" t="s">
        <v>22</v>
      </c>
      <c r="C1099" s="4" t="s">
        <v>289</v>
      </c>
      <c r="D1099" s="6">
        <v>0.5408796296296297</v>
      </c>
      <c r="E1099" s="6">
        <v>0.02746527777777778</v>
      </c>
      <c r="F1099" s="6">
        <v>0.5683449074074074</v>
      </c>
      <c r="G1099" s="4"/>
      <c r="H1099" s="4" t="s">
        <v>1501</v>
      </c>
      <c r="I1099" s="4" t="s">
        <v>1614</v>
      </c>
      <c r="J1099" s="4" t="s">
        <v>421</v>
      </c>
      <c r="K1099" s="4"/>
      <c r="L1099" s="4"/>
      <c r="M1099" s="4"/>
      <c r="N1099" s="4" t="s">
        <v>1615</v>
      </c>
      <c r="O1099" s="51" t="b">
        <v>0</v>
      </c>
      <c r="P1099" s="51" t="b">
        <v>0</v>
      </c>
      <c r="Q1099" s="51" t="b">
        <v>0</v>
      </c>
      <c r="R1099" s="51" t="b">
        <v>0</v>
      </c>
      <c r="S1099" s="51" t="b">
        <v>0</v>
      </c>
    </row>
    <row r="1100" hidden="1">
      <c r="A1100" s="4" t="str">
        <f>IFERROR(__xludf.DUMMYFUNCTION("""COMPUTED_VALUE"""),"1227 - Channel")</f>
        <v>1227 - Channel</v>
      </c>
      <c r="B1100" s="4" t="s">
        <v>22</v>
      </c>
      <c r="C1100" s="4" t="s">
        <v>289</v>
      </c>
      <c r="D1100" s="6">
        <v>0.5683449074074074</v>
      </c>
      <c r="E1100" s="6">
        <v>0.001388888888888889</v>
      </c>
      <c r="F1100" s="6">
        <v>0.5697337962962963</v>
      </c>
      <c r="G1100" s="4"/>
      <c r="H1100" s="4" t="s">
        <v>79</v>
      </c>
      <c r="I1100" s="4" t="s">
        <v>1497</v>
      </c>
      <c r="J1100" s="4"/>
      <c r="K1100" s="4"/>
      <c r="L1100" s="4"/>
      <c r="M1100" s="4"/>
      <c r="N1100" s="4" t="s">
        <v>70</v>
      </c>
      <c r="O1100" s="51" t="b">
        <v>0</v>
      </c>
      <c r="P1100" s="51" t="b">
        <v>0</v>
      </c>
      <c r="Q1100" s="51" t="b">
        <v>0</v>
      </c>
      <c r="R1100" s="51" t="b">
        <v>0</v>
      </c>
      <c r="S1100" s="51" t="b">
        <v>0</v>
      </c>
    </row>
    <row r="1101" hidden="1">
      <c r="A1101" s="4" t="str">
        <f>IFERROR(__xludf.DUMMYFUNCTION("""COMPUTED_VALUE"""),"1178 - Channel")</f>
        <v>1178 - Channel</v>
      </c>
      <c r="B1101" s="4" t="s">
        <v>22</v>
      </c>
      <c r="C1101" s="4" t="s">
        <v>289</v>
      </c>
      <c r="D1101" s="6">
        <v>0.5697337962962963</v>
      </c>
      <c r="E1101" s="6">
        <v>3.4722222222222224E-4</v>
      </c>
      <c r="F1101" s="6">
        <v>0.5700810185185186</v>
      </c>
      <c r="G1101" s="4"/>
      <c r="H1101" s="4" t="s">
        <v>81</v>
      </c>
      <c r="I1101" s="4" t="s">
        <v>1498</v>
      </c>
      <c r="J1101" s="4"/>
      <c r="K1101" s="4"/>
      <c r="L1101" s="4"/>
      <c r="M1101" s="4"/>
      <c r="N1101" s="4" t="s">
        <v>70</v>
      </c>
      <c r="O1101" s="51" t="b">
        <v>0</v>
      </c>
      <c r="P1101" s="51" t="b">
        <v>0</v>
      </c>
      <c r="Q1101" s="51" t="b">
        <v>0</v>
      </c>
      <c r="R1101" s="51" t="b">
        <v>0</v>
      </c>
      <c r="S1101" s="51" t="b">
        <v>0</v>
      </c>
    </row>
    <row r="1102">
      <c r="A1102" s="4" t="str">
        <f>IFERROR(__xludf.DUMMYFUNCTION("""COMPUTED_VALUE"""),"1179 - Channel")</f>
        <v>1179 - Channel</v>
      </c>
      <c r="B1102" s="4" t="s">
        <v>22</v>
      </c>
      <c r="C1102" s="4" t="s">
        <v>289</v>
      </c>
      <c r="D1102" s="6">
        <v>0.5700810185185186</v>
      </c>
      <c r="E1102" s="6">
        <v>0.03125</v>
      </c>
      <c r="F1102" s="6">
        <v>0.6013310185185186</v>
      </c>
      <c r="G1102" s="4"/>
      <c r="H1102" s="4" t="s">
        <v>1501</v>
      </c>
      <c r="I1102" s="4" t="s">
        <v>1625</v>
      </c>
      <c r="J1102" s="4" t="s">
        <v>725</v>
      </c>
      <c r="K1102" s="4"/>
      <c r="L1102" s="4"/>
      <c r="M1102" s="4"/>
      <c r="N1102" s="4" t="s">
        <v>520</v>
      </c>
      <c r="O1102" s="51" t="b">
        <v>0</v>
      </c>
      <c r="P1102" s="51" t="b">
        <v>0</v>
      </c>
      <c r="Q1102" s="51" t="b">
        <v>0</v>
      </c>
      <c r="R1102" s="51" t="b">
        <v>0</v>
      </c>
      <c r="S1102" s="51" t="b">
        <v>0</v>
      </c>
    </row>
    <row r="1103" hidden="1">
      <c r="A1103" s="4" t="str">
        <f>IFERROR(__xludf.DUMMYFUNCTION("""COMPUTED_VALUE"""),"1180 - Channel")</f>
        <v>1180 - Channel</v>
      </c>
      <c r="B1103" s="4" t="s">
        <v>22</v>
      </c>
      <c r="C1103" s="4" t="s">
        <v>289</v>
      </c>
      <c r="D1103" s="6">
        <v>0.6013310185185186</v>
      </c>
      <c r="E1103" s="6">
        <v>0.001388888888888889</v>
      </c>
      <c r="F1103" s="6">
        <v>0.6027199074074074</v>
      </c>
      <c r="G1103" s="4"/>
      <c r="H1103" s="4" t="s">
        <v>79</v>
      </c>
      <c r="I1103" s="4" t="s">
        <v>1497</v>
      </c>
      <c r="J1103" s="4"/>
      <c r="K1103" s="4"/>
      <c r="L1103" s="4"/>
      <c r="M1103" s="4"/>
      <c r="N1103" s="4" t="s">
        <v>70</v>
      </c>
      <c r="O1103" s="51" t="b">
        <v>0</v>
      </c>
      <c r="P1103" s="51" t="b">
        <v>0</v>
      </c>
      <c r="Q1103" s="51" t="b">
        <v>0</v>
      </c>
      <c r="R1103" s="51" t="b">
        <v>0</v>
      </c>
      <c r="S1103" s="51" t="b">
        <v>0</v>
      </c>
    </row>
    <row r="1104" hidden="1">
      <c r="A1104" s="4" t="str">
        <f>IFERROR(__xludf.DUMMYFUNCTION("""COMPUTED_VALUE"""),"1231 - Channel")</f>
        <v>1231 - Channel</v>
      </c>
      <c r="B1104" s="4" t="s">
        <v>22</v>
      </c>
      <c r="C1104" s="4" t="s">
        <v>289</v>
      </c>
      <c r="D1104" s="6">
        <v>0.6027199074074074</v>
      </c>
      <c r="E1104" s="6">
        <v>3.4722222222222224E-4</v>
      </c>
      <c r="F1104" s="6">
        <v>0.6030671296296297</v>
      </c>
      <c r="G1104" s="4"/>
      <c r="H1104" s="4" t="s">
        <v>81</v>
      </c>
      <c r="I1104" s="4" t="s">
        <v>1498</v>
      </c>
      <c r="J1104" s="4"/>
      <c r="K1104" s="4"/>
      <c r="L1104" s="4"/>
      <c r="M1104" s="4"/>
      <c r="N1104" s="4" t="s">
        <v>70</v>
      </c>
      <c r="O1104" s="51" t="b">
        <v>0</v>
      </c>
      <c r="P1104" s="51" t="b">
        <v>0</v>
      </c>
      <c r="Q1104" s="51" t="b">
        <v>0</v>
      </c>
      <c r="R1104" s="51" t="b">
        <v>0</v>
      </c>
      <c r="S1104" s="51" t="b">
        <v>0</v>
      </c>
    </row>
    <row r="1105">
      <c r="A1105" s="4" t="str">
        <f>IFERROR(__xludf.DUMMYFUNCTION("""COMPUTED_VALUE"""),"1232 - Channel")</f>
        <v>1232 - Channel</v>
      </c>
      <c r="B1105" s="4" t="s">
        <v>22</v>
      </c>
      <c r="C1105" s="4" t="s">
        <v>289</v>
      </c>
      <c r="D1105" s="6">
        <v>0.6030671296296297</v>
      </c>
      <c r="E1105" s="6">
        <v>0.021041666666666667</v>
      </c>
      <c r="F1105" s="6">
        <v>0.6241087962962963</v>
      </c>
      <c r="G1105" s="4"/>
      <c r="H1105" s="4" t="s">
        <v>1501</v>
      </c>
      <c r="I1105" s="4" t="s">
        <v>1630</v>
      </c>
      <c r="J1105" s="4" t="s">
        <v>845</v>
      </c>
      <c r="K1105" s="4"/>
      <c r="L1105" s="4"/>
      <c r="M1105" s="4"/>
      <c r="N1105" s="4" t="s">
        <v>846</v>
      </c>
      <c r="O1105" s="51" t="b">
        <v>0</v>
      </c>
      <c r="P1105" s="51" t="b">
        <v>0</v>
      </c>
      <c r="Q1105" s="51" t="b">
        <v>0</v>
      </c>
      <c r="R1105" s="51" t="b">
        <v>0</v>
      </c>
      <c r="S1105" s="51" t="b">
        <v>0</v>
      </c>
    </row>
    <row r="1106" hidden="1">
      <c r="A1106" s="4" t="str">
        <f>IFERROR(__xludf.DUMMYFUNCTION("""COMPUTED_VALUE"""),"1233 - Channel")</f>
        <v>1233 - Channel</v>
      </c>
      <c r="B1106" s="4" t="s">
        <v>22</v>
      </c>
      <c r="C1106" s="4" t="s">
        <v>289</v>
      </c>
      <c r="D1106" s="6">
        <v>0.6241087962962963</v>
      </c>
      <c r="E1106" s="6">
        <v>0.001388888888888889</v>
      </c>
      <c r="F1106" s="6">
        <v>0.6254976851851852</v>
      </c>
      <c r="G1106" s="4"/>
      <c r="H1106" s="4" t="s">
        <v>79</v>
      </c>
      <c r="I1106" s="4" t="s">
        <v>1497</v>
      </c>
      <c r="J1106" s="4"/>
      <c r="K1106" s="4"/>
      <c r="L1106" s="4"/>
      <c r="M1106" s="4"/>
      <c r="N1106" s="4" t="s">
        <v>70</v>
      </c>
      <c r="O1106" s="51" t="b">
        <v>0</v>
      </c>
      <c r="P1106" s="51" t="b">
        <v>0</v>
      </c>
      <c r="Q1106" s="51" t="b">
        <v>0</v>
      </c>
      <c r="R1106" s="51" t="b">
        <v>0</v>
      </c>
      <c r="S1106" s="51" t="b">
        <v>0</v>
      </c>
    </row>
    <row r="1107" hidden="1">
      <c r="A1107" s="4" t="str">
        <f>IFERROR(__xludf.DUMMYFUNCTION("""COMPUTED_VALUE"""),"1210 - Channel")</f>
        <v>1210 - Channel</v>
      </c>
      <c r="B1107" s="4" t="s">
        <v>22</v>
      </c>
      <c r="C1107" s="4" t="s">
        <v>289</v>
      </c>
      <c r="D1107" s="6">
        <v>0.6254976851851852</v>
      </c>
      <c r="E1107" s="6">
        <v>3.4722222222222224E-4</v>
      </c>
      <c r="F1107" s="6">
        <v>0.6258449074074075</v>
      </c>
      <c r="G1107" s="4"/>
      <c r="H1107" s="4" t="s">
        <v>81</v>
      </c>
      <c r="I1107" s="4" t="s">
        <v>1498</v>
      </c>
      <c r="J1107" s="4"/>
      <c r="K1107" s="4"/>
      <c r="L1107" s="4"/>
      <c r="M1107" s="4"/>
      <c r="N1107" s="4" t="s">
        <v>70</v>
      </c>
      <c r="O1107" s="51" t="b">
        <v>0</v>
      </c>
      <c r="P1107" s="51" t="b">
        <v>0</v>
      </c>
      <c r="Q1107" s="51" t="b">
        <v>0</v>
      </c>
      <c r="R1107" s="51" t="b">
        <v>0</v>
      </c>
      <c r="S1107" s="51" t="b">
        <v>0</v>
      </c>
    </row>
    <row r="1108">
      <c r="A1108" s="4" t="str">
        <f>IFERROR(__xludf.DUMMYFUNCTION("""COMPUTED_VALUE"""),"1211 - Channel")</f>
        <v>1211 - Channel</v>
      </c>
      <c r="B1108" s="4" t="s">
        <v>22</v>
      </c>
      <c r="C1108" s="4" t="s">
        <v>289</v>
      </c>
      <c r="D1108" s="6">
        <v>0.6258449074074075</v>
      </c>
      <c r="E1108" s="6">
        <v>0.025185185185185185</v>
      </c>
      <c r="F1108" s="6">
        <v>0.6510300925925927</v>
      </c>
      <c r="G1108" s="4"/>
      <c r="H1108" s="4" t="s">
        <v>1501</v>
      </c>
      <c r="I1108" s="4" t="s">
        <v>1634</v>
      </c>
      <c r="J1108" s="4" t="s">
        <v>908</v>
      </c>
      <c r="K1108" s="4" t="s">
        <v>909</v>
      </c>
      <c r="L1108" s="4"/>
      <c r="M1108" s="4"/>
      <c r="N1108" s="4" t="s">
        <v>910</v>
      </c>
      <c r="O1108" s="51" t="b">
        <v>0</v>
      </c>
      <c r="P1108" s="51" t="b">
        <v>0</v>
      </c>
      <c r="Q1108" s="51" t="b">
        <v>0</v>
      </c>
      <c r="R1108" s="51" t="b">
        <v>0</v>
      </c>
      <c r="S1108" s="51" t="b">
        <v>0</v>
      </c>
    </row>
    <row r="1109" hidden="1">
      <c r="A1109" s="4" t="str">
        <f>IFERROR(__xludf.DUMMYFUNCTION("""COMPUTED_VALUE"""),"1230 - Channel")</f>
        <v>1230 - Channel</v>
      </c>
      <c r="B1109" s="4" t="s">
        <v>22</v>
      </c>
      <c r="C1109" s="4" t="s">
        <v>289</v>
      </c>
      <c r="D1109" s="6">
        <v>0.6510300925925927</v>
      </c>
      <c r="E1109" s="6">
        <v>0.001388888888888889</v>
      </c>
      <c r="F1109" s="6">
        <v>0.6524189814814816</v>
      </c>
      <c r="G1109" s="4"/>
      <c r="H1109" s="4" t="s">
        <v>79</v>
      </c>
      <c r="I1109" s="4" t="s">
        <v>1497</v>
      </c>
      <c r="J1109" s="4"/>
      <c r="K1109" s="4"/>
      <c r="L1109" s="4"/>
      <c r="M1109" s="4"/>
      <c r="N1109" s="4" t="s">
        <v>70</v>
      </c>
      <c r="O1109" s="51" t="b">
        <v>0</v>
      </c>
      <c r="P1109" s="51" t="b">
        <v>0</v>
      </c>
      <c r="Q1109" s="51" t="b">
        <v>0</v>
      </c>
      <c r="R1109" s="51" t="b">
        <v>0</v>
      </c>
      <c r="S1109" s="51" t="b">
        <v>0</v>
      </c>
    </row>
    <row r="1110" hidden="1">
      <c r="A1110" s="4" t="str">
        <f>IFERROR(__xludf.DUMMYFUNCTION("""COMPUTED_VALUE"""),"1693 - Channel")</f>
        <v>1693 - Channel</v>
      </c>
      <c r="B1110" s="4" t="s">
        <v>22</v>
      </c>
      <c r="C1110" s="4" t="s">
        <v>289</v>
      </c>
      <c r="D1110" s="6">
        <v>0.6524189814814816</v>
      </c>
      <c r="E1110" s="6">
        <v>3.4722222222222224E-4</v>
      </c>
      <c r="F1110" s="6">
        <v>0.6527662037037039</v>
      </c>
      <c r="G1110" s="4"/>
      <c r="H1110" s="4" t="s">
        <v>81</v>
      </c>
      <c r="I1110" s="4" t="s">
        <v>1498</v>
      </c>
      <c r="J1110" s="4"/>
      <c r="K1110" s="4"/>
      <c r="L1110" s="4"/>
      <c r="M1110" s="4"/>
      <c r="N1110" s="4"/>
      <c r="O1110" s="51" t="b">
        <v>0</v>
      </c>
      <c r="P1110" s="51" t="b">
        <v>0</v>
      </c>
      <c r="Q1110" s="51" t="b">
        <v>0</v>
      </c>
      <c r="R1110" s="51" t="b">
        <v>0</v>
      </c>
      <c r="S1110" s="51" t="b">
        <v>0</v>
      </c>
    </row>
    <row r="1111">
      <c r="A1111" s="4" t="str">
        <f>IFERROR(__xludf.DUMMYFUNCTION("""COMPUTED_VALUE"""),"1694 - Channel")</f>
        <v>1694 - Channel</v>
      </c>
      <c r="B1111" s="4" t="s">
        <v>22</v>
      </c>
      <c r="C1111" s="4" t="s">
        <v>289</v>
      </c>
      <c r="D1111" s="6">
        <v>0.6527662037037039</v>
      </c>
      <c r="E1111" s="6">
        <v>0.00712962962962963</v>
      </c>
      <c r="F1111" s="6">
        <v>0.6598958333333335</v>
      </c>
      <c r="G1111" s="4"/>
      <c r="H1111" s="4" t="s">
        <v>94</v>
      </c>
      <c r="I1111" s="4" t="s">
        <v>1444</v>
      </c>
      <c r="J1111" s="4" t="s">
        <v>1438</v>
      </c>
      <c r="K1111" s="4"/>
      <c r="L1111" s="4"/>
      <c r="M1111" s="4"/>
      <c r="N1111" s="4" t="s">
        <v>1440</v>
      </c>
      <c r="O1111" s="51" t="b">
        <v>0</v>
      </c>
      <c r="P1111" s="51" t="b">
        <v>0</v>
      </c>
      <c r="Q1111" s="51" t="b">
        <v>0</v>
      </c>
      <c r="R1111" s="51" t="b">
        <v>0</v>
      </c>
      <c r="S1111" s="51" t="b">
        <v>0</v>
      </c>
    </row>
    <row r="1112" hidden="1">
      <c r="A1112" s="4" t="str">
        <f>IFERROR(__xludf.DUMMYFUNCTION("""COMPUTED_VALUE"""),"1695 - Channel")</f>
        <v>1695 - Channel</v>
      </c>
      <c r="B1112" s="4" t="s">
        <v>22</v>
      </c>
      <c r="C1112" s="4" t="s">
        <v>289</v>
      </c>
      <c r="D1112" s="6">
        <v>0.6598958333333335</v>
      </c>
      <c r="E1112" s="6">
        <v>0.0012037037037037038</v>
      </c>
      <c r="F1112" s="6">
        <v>0.6610995370370372</v>
      </c>
      <c r="G1112" s="4"/>
      <c r="H1112" s="4" t="s">
        <v>79</v>
      </c>
      <c r="I1112" s="4" t="s">
        <v>1497</v>
      </c>
      <c r="J1112" s="4"/>
      <c r="K1112" s="4"/>
      <c r="L1112" s="4"/>
      <c r="M1112" s="4"/>
      <c r="N1112" s="4"/>
      <c r="O1112" s="51" t="b">
        <v>0</v>
      </c>
      <c r="P1112" s="51" t="b">
        <v>0</v>
      </c>
      <c r="Q1112" s="51" t="b">
        <v>0</v>
      </c>
      <c r="R1112" s="51" t="b">
        <v>0</v>
      </c>
      <c r="S1112" s="51" t="b">
        <v>0</v>
      </c>
    </row>
    <row r="1113" hidden="1">
      <c r="A1113" s="4" t="str">
        <f>IFERROR(__xludf.DUMMYFUNCTION("""COMPUTED_VALUE"""),"1696 - Channel")</f>
        <v>1696 - Channel</v>
      </c>
      <c r="B1113" s="4" t="s">
        <v>22</v>
      </c>
      <c r="C1113" s="4" t="s">
        <v>289</v>
      </c>
      <c r="D1113" s="6">
        <v>0.6610995370370372</v>
      </c>
      <c r="E1113" s="6">
        <v>3.4722222222222224E-4</v>
      </c>
      <c r="F1113" s="6">
        <v>0.6614467592592594</v>
      </c>
      <c r="G1113" s="4"/>
      <c r="H1113" s="4" t="s">
        <v>81</v>
      </c>
      <c r="I1113" s="4" t="s">
        <v>1498</v>
      </c>
      <c r="J1113" s="4"/>
      <c r="K1113" s="4"/>
      <c r="L1113" s="4"/>
      <c r="M1113" s="4"/>
      <c r="N1113" s="4"/>
      <c r="O1113" s="51" t="b">
        <v>0</v>
      </c>
      <c r="P1113" s="51" t="b">
        <v>0</v>
      </c>
      <c r="Q1113" s="51" t="b">
        <v>0</v>
      </c>
      <c r="R1113" s="51" t="b">
        <v>0</v>
      </c>
      <c r="S1113" s="51" t="b">
        <v>0</v>
      </c>
    </row>
    <row r="1114">
      <c r="A1114" s="4" t="str">
        <f>IFERROR(__xludf.DUMMYFUNCTION("""COMPUTED_VALUE"""),"1697 - Channel")</f>
        <v>1697 - Channel</v>
      </c>
      <c r="B1114" s="4" t="s">
        <v>22</v>
      </c>
      <c r="C1114" s="4" t="s">
        <v>289</v>
      </c>
      <c r="D1114" s="6">
        <v>0.6614467592592594</v>
      </c>
      <c r="E1114" s="6">
        <v>0.010416666666666666</v>
      </c>
      <c r="F1114" s="6">
        <v>0.6718634259259261</v>
      </c>
      <c r="G1114" s="4"/>
      <c r="H1114" s="4" t="s">
        <v>94</v>
      </c>
      <c r="I1114" s="4" t="s">
        <v>1638</v>
      </c>
      <c r="J1114" s="4" t="s">
        <v>1639</v>
      </c>
      <c r="K1114" s="4"/>
      <c r="L1114" s="4"/>
      <c r="M1114" s="4"/>
      <c r="N1114" s="4" t="s">
        <v>1640</v>
      </c>
      <c r="O1114" s="51" t="b">
        <v>0</v>
      </c>
      <c r="P1114" s="51" t="b">
        <v>0</v>
      </c>
      <c r="Q1114" s="51" t="b">
        <v>0</v>
      </c>
      <c r="R1114" s="51" t="b">
        <v>0</v>
      </c>
      <c r="S1114" s="51" t="b">
        <v>0</v>
      </c>
    </row>
    <row r="1115" hidden="1">
      <c r="A1115" s="56" t="str">
        <f>IFERROR(__xludf.DUMMYFUNCTION("""COMPUTED_VALUE"""),"1698 - Channel")</f>
        <v>1698 - Channel</v>
      </c>
      <c r="B1115" s="56" t="s">
        <v>22</v>
      </c>
      <c r="C1115" s="56" t="s">
        <v>289</v>
      </c>
      <c r="D1115" s="57">
        <v>0.6718634259259261</v>
      </c>
      <c r="E1115" s="57">
        <v>0.0012037037037037038</v>
      </c>
      <c r="F1115" s="57">
        <v>0.6730671296296298</v>
      </c>
      <c r="G1115" s="56"/>
      <c r="H1115" s="56" t="s">
        <v>79</v>
      </c>
      <c r="I1115" s="56" t="s">
        <v>1497</v>
      </c>
      <c r="J1115" s="56"/>
      <c r="K1115" s="56"/>
      <c r="L1115" s="56"/>
      <c r="M1115" s="56"/>
      <c r="N1115" s="56"/>
      <c r="O1115" s="51" t="b">
        <v>0</v>
      </c>
      <c r="P1115" s="51" t="b">
        <v>0</v>
      </c>
      <c r="Q1115" s="51" t="b">
        <v>0</v>
      </c>
      <c r="R1115" s="51" t="b">
        <v>0</v>
      </c>
      <c r="S1115" s="51" t="b">
        <v>0</v>
      </c>
      <c r="T1115" s="56"/>
    </row>
    <row r="1116" hidden="1">
      <c r="A1116" s="4" t="str">
        <f>IFERROR(__xludf.DUMMYFUNCTION("""COMPUTED_VALUE"""),"1699 - Channel")</f>
        <v>1699 - Channel</v>
      </c>
      <c r="B1116" s="4" t="s">
        <v>22</v>
      </c>
      <c r="C1116" s="4" t="s">
        <v>289</v>
      </c>
      <c r="D1116" s="6">
        <v>0.6730671296296298</v>
      </c>
      <c r="E1116" s="6">
        <v>3.4722222222222224E-4</v>
      </c>
      <c r="F1116" s="6">
        <v>0.673414351851852</v>
      </c>
      <c r="G1116" s="4"/>
      <c r="H1116" s="4" t="s">
        <v>81</v>
      </c>
      <c r="I1116" s="4" t="s">
        <v>1498</v>
      </c>
      <c r="J1116" s="4"/>
      <c r="K1116" s="4"/>
      <c r="L1116" s="4"/>
      <c r="M1116" s="4"/>
      <c r="N1116" s="4"/>
      <c r="O1116" s="51" t="b">
        <v>0</v>
      </c>
      <c r="P1116" s="51" t="b">
        <v>0</v>
      </c>
      <c r="Q1116" s="51" t="b">
        <v>0</v>
      </c>
      <c r="R1116" s="51" t="b">
        <v>0</v>
      </c>
      <c r="S1116" s="51" t="b">
        <v>0</v>
      </c>
    </row>
    <row r="1117">
      <c r="A1117" s="56" t="str">
        <f>IFERROR(__xludf.DUMMYFUNCTION("""COMPUTED_VALUE"""),"1700 - Channel")</f>
        <v>1700 - Channel</v>
      </c>
      <c r="B1117" s="56" t="s">
        <v>22</v>
      </c>
      <c r="C1117" s="56" t="s">
        <v>289</v>
      </c>
      <c r="D1117" s="57">
        <v>0.673414351851852</v>
      </c>
      <c r="E1117" s="57">
        <v>0.008333333333333333</v>
      </c>
      <c r="F1117" s="57">
        <v>0.6817476851851854</v>
      </c>
      <c r="G1117" s="56"/>
      <c r="H1117" s="56" t="s">
        <v>94</v>
      </c>
      <c r="I1117" s="56" t="s">
        <v>1643</v>
      </c>
      <c r="J1117" s="56" t="s">
        <v>1644</v>
      </c>
      <c r="K1117" s="56"/>
      <c r="L1117" s="56"/>
      <c r="M1117" s="56"/>
      <c r="N1117" s="56" t="s">
        <v>1071</v>
      </c>
      <c r="O1117" s="51" t="b">
        <v>0</v>
      </c>
      <c r="P1117" s="51" t="b">
        <v>0</v>
      </c>
      <c r="Q1117" s="51" t="b">
        <v>0</v>
      </c>
      <c r="R1117" s="51" t="b">
        <v>0</v>
      </c>
      <c r="S1117" s="51" t="b">
        <v>0</v>
      </c>
      <c r="T1117" s="56"/>
    </row>
    <row r="1118" hidden="1">
      <c r="A1118" s="4" t="str">
        <f>IFERROR(__xludf.DUMMYFUNCTION("""COMPUTED_VALUE"""),"1701 - Channel")</f>
        <v>1701 - Channel</v>
      </c>
      <c r="B1118" s="4" t="s">
        <v>22</v>
      </c>
      <c r="C1118" s="4" t="s">
        <v>289</v>
      </c>
      <c r="D1118" s="6">
        <v>0.6817476851851854</v>
      </c>
      <c r="E1118" s="6">
        <v>0.0012037037037037038</v>
      </c>
      <c r="F1118" s="6">
        <v>0.6829513888888891</v>
      </c>
      <c r="G1118" s="4"/>
      <c r="H1118" s="4" t="s">
        <v>79</v>
      </c>
      <c r="I1118" s="4" t="s">
        <v>1497</v>
      </c>
      <c r="J1118" s="4"/>
      <c r="K1118" s="4"/>
      <c r="L1118" s="4"/>
      <c r="M1118" s="4"/>
      <c r="N1118" s="4"/>
      <c r="O1118" s="51" t="b">
        <v>0</v>
      </c>
      <c r="P1118" s="51" t="b">
        <v>0</v>
      </c>
      <c r="Q1118" s="51" t="b">
        <v>0</v>
      </c>
      <c r="R1118" s="51" t="b">
        <v>0</v>
      </c>
      <c r="S1118" s="51" t="b">
        <v>0</v>
      </c>
    </row>
    <row r="1119" hidden="1">
      <c r="A1119" s="4" t="str">
        <f>IFERROR(__xludf.DUMMYFUNCTION("""COMPUTED_VALUE"""),"1702 - Channel")</f>
        <v>1702 - Channel</v>
      </c>
      <c r="B1119" s="4" t="s">
        <v>22</v>
      </c>
      <c r="C1119" s="4" t="s">
        <v>289</v>
      </c>
      <c r="D1119" s="6">
        <v>0.6829513888888891</v>
      </c>
      <c r="E1119" s="6">
        <v>3.4722222222222224E-4</v>
      </c>
      <c r="F1119" s="6">
        <v>0.6832986111111113</v>
      </c>
      <c r="G1119" s="4"/>
      <c r="H1119" s="4" t="s">
        <v>81</v>
      </c>
      <c r="I1119" s="4" t="s">
        <v>1498</v>
      </c>
      <c r="J1119" s="4"/>
      <c r="K1119" s="4"/>
      <c r="L1119" s="4"/>
      <c r="M1119" s="4"/>
      <c r="N1119" s="4"/>
      <c r="O1119" s="51" t="b">
        <v>0</v>
      </c>
      <c r="P1119" s="51" t="b">
        <v>0</v>
      </c>
      <c r="Q1119" s="51" t="b">
        <v>0</v>
      </c>
      <c r="R1119" s="51" t="b">
        <v>0</v>
      </c>
      <c r="S1119" s="51" t="b">
        <v>0</v>
      </c>
    </row>
    <row r="1120">
      <c r="A1120" s="4" t="str">
        <f>IFERROR(__xludf.DUMMYFUNCTION("""COMPUTED_VALUE"""),"1703 - Channel")</f>
        <v>1703 - Channel</v>
      </c>
      <c r="B1120" s="4" t="s">
        <v>22</v>
      </c>
      <c r="C1120" s="4" t="s">
        <v>289</v>
      </c>
      <c r="D1120" s="6">
        <v>0.6832986111111113</v>
      </c>
      <c r="E1120" s="6">
        <v>0.010416666666666666</v>
      </c>
      <c r="F1120" s="6">
        <v>0.693715277777778</v>
      </c>
      <c r="G1120" s="4"/>
      <c r="H1120" s="4" t="s">
        <v>74</v>
      </c>
      <c r="I1120" s="4" t="s">
        <v>1646</v>
      </c>
      <c r="J1120" s="4" t="s">
        <v>1647</v>
      </c>
      <c r="K1120" s="4" t="s">
        <v>1648</v>
      </c>
      <c r="L1120" s="4" t="s">
        <v>1649</v>
      </c>
      <c r="M1120" s="4"/>
      <c r="N1120" s="4" t="s">
        <v>859</v>
      </c>
      <c r="O1120" s="51" t="b">
        <v>0</v>
      </c>
      <c r="P1120" s="51" t="b">
        <v>0</v>
      </c>
      <c r="Q1120" s="51" t="b">
        <v>0</v>
      </c>
      <c r="R1120" s="51" t="b">
        <v>0</v>
      </c>
      <c r="S1120" s="51" t="b">
        <v>0</v>
      </c>
    </row>
    <row r="1121" hidden="1">
      <c r="A1121" s="4" t="str">
        <f>IFERROR(__xludf.DUMMYFUNCTION("""COMPUTED_VALUE"""),"1704 - Channel")</f>
        <v>1704 - Channel</v>
      </c>
      <c r="B1121" s="4" t="s">
        <v>22</v>
      </c>
      <c r="C1121" s="4" t="s">
        <v>289</v>
      </c>
      <c r="D1121" s="6">
        <v>0.693715277777778</v>
      </c>
      <c r="E1121" s="6">
        <v>0.0012037037037037038</v>
      </c>
      <c r="F1121" s="6">
        <v>0.6949189814814817</v>
      </c>
      <c r="G1121" s="4"/>
      <c r="H1121" s="4" t="s">
        <v>79</v>
      </c>
      <c r="I1121" s="4" t="s">
        <v>1497</v>
      </c>
      <c r="J1121" s="4"/>
      <c r="K1121" s="4"/>
      <c r="L1121" s="4"/>
      <c r="M1121" s="4"/>
      <c r="N1121" s="4"/>
      <c r="O1121" s="51" t="b">
        <v>0</v>
      </c>
      <c r="P1121" s="51" t="b">
        <v>0</v>
      </c>
      <c r="Q1121" s="51" t="b">
        <v>0</v>
      </c>
      <c r="R1121" s="51" t="b">
        <v>0</v>
      </c>
      <c r="S1121" s="51" t="b">
        <v>0</v>
      </c>
    </row>
    <row r="1122" hidden="1">
      <c r="A1122" s="4" t="str">
        <f>IFERROR(__xludf.DUMMYFUNCTION("""COMPUTED_VALUE"""),"1705 - Channel")</f>
        <v>1705 - Channel</v>
      </c>
      <c r="B1122" s="4" t="s">
        <v>22</v>
      </c>
      <c r="C1122" s="4" t="s">
        <v>289</v>
      </c>
      <c r="D1122" s="6">
        <v>0.6949189814814817</v>
      </c>
      <c r="E1122" s="6">
        <v>3.4722222222222224E-4</v>
      </c>
      <c r="F1122" s="6">
        <v>0.695266203703704</v>
      </c>
      <c r="G1122" s="4"/>
      <c r="H1122" s="4" t="s">
        <v>81</v>
      </c>
      <c r="I1122" s="4" t="s">
        <v>1498</v>
      </c>
      <c r="J1122" s="4"/>
      <c r="K1122" s="4"/>
      <c r="L1122" s="4"/>
      <c r="M1122" s="4"/>
      <c r="N1122" s="4"/>
      <c r="O1122" s="51" t="b">
        <v>0</v>
      </c>
      <c r="P1122" s="51" t="b">
        <v>0</v>
      </c>
      <c r="Q1122" s="51" t="b">
        <v>0</v>
      </c>
      <c r="R1122" s="51" t="b">
        <v>0</v>
      </c>
      <c r="S1122" s="51" t="b">
        <v>0</v>
      </c>
    </row>
    <row r="1123">
      <c r="A1123" s="4" t="str">
        <f>IFERROR(__xludf.DUMMYFUNCTION("""COMPUTED_VALUE"""),"1706 - Channel")</f>
        <v>1706 - Channel</v>
      </c>
      <c r="B1123" s="4" t="s">
        <v>22</v>
      </c>
      <c r="C1123" s="4" t="s">
        <v>289</v>
      </c>
      <c r="D1123" s="6">
        <v>0.695266203703704</v>
      </c>
      <c r="E1123" s="6">
        <v>0.008333333333333333</v>
      </c>
      <c r="F1123" s="6">
        <v>0.7035995370370373</v>
      </c>
      <c r="G1123" s="4"/>
      <c r="H1123" s="4" t="s">
        <v>107</v>
      </c>
      <c r="I1123" s="4" t="s">
        <v>1652</v>
      </c>
      <c r="J1123" s="4" t="s">
        <v>1653</v>
      </c>
      <c r="K1123" s="4" t="s">
        <v>1654</v>
      </c>
      <c r="L1123" s="4"/>
      <c r="M1123" s="4"/>
      <c r="N1123" s="4" t="s">
        <v>1655</v>
      </c>
      <c r="O1123" s="51" t="b">
        <v>0</v>
      </c>
      <c r="P1123" s="51" t="b">
        <v>0</v>
      </c>
      <c r="Q1123" s="51" t="b">
        <v>0</v>
      </c>
      <c r="R1123" s="51" t="b">
        <v>0</v>
      </c>
      <c r="S1123" s="51" t="b">
        <v>0</v>
      </c>
    </row>
    <row r="1124" hidden="1">
      <c r="A1124" s="4" t="str">
        <f>IFERROR(__xludf.DUMMYFUNCTION("""COMPUTED_VALUE"""),"1707 - Channel")</f>
        <v>1707 - Channel</v>
      </c>
      <c r="B1124" s="4" t="s">
        <v>22</v>
      </c>
      <c r="C1124" s="4" t="s">
        <v>289</v>
      </c>
      <c r="D1124" s="6">
        <v>0.7035995370370373</v>
      </c>
      <c r="E1124" s="6">
        <v>0.0012037037037037038</v>
      </c>
      <c r="F1124" s="6">
        <v>0.704803240740741</v>
      </c>
      <c r="G1124" s="4"/>
      <c r="H1124" s="4" t="s">
        <v>79</v>
      </c>
      <c r="I1124" s="4" t="s">
        <v>1497</v>
      </c>
      <c r="J1124" s="4"/>
      <c r="K1124" s="4"/>
      <c r="L1124" s="4"/>
      <c r="M1124" s="4"/>
      <c r="N1124" s="4"/>
      <c r="O1124" s="51" t="b">
        <v>0</v>
      </c>
      <c r="P1124" s="51" t="b">
        <v>0</v>
      </c>
      <c r="Q1124" s="51" t="b">
        <v>0</v>
      </c>
      <c r="R1124" s="51" t="b">
        <v>0</v>
      </c>
      <c r="S1124" s="51" t="b">
        <v>0</v>
      </c>
    </row>
    <row r="1125" hidden="1">
      <c r="A1125" s="4" t="str">
        <f>IFERROR(__xludf.DUMMYFUNCTION("""COMPUTED_VALUE"""),"1246 - Channel")</f>
        <v>1246 - Channel</v>
      </c>
      <c r="B1125" s="4" t="s">
        <v>22</v>
      </c>
      <c r="C1125" s="4" t="s">
        <v>289</v>
      </c>
      <c r="D1125" s="6">
        <v>0.704803240740741</v>
      </c>
      <c r="E1125" s="6">
        <v>3.4722222222222224E-4</v>
      </c>
      <c r="F1125" s="6">
        <v>0.7051504629629632</v>
      </c>
      <c r="G1125" s="4"/>
      <c r="H1125" s="4" t="s">
        <v>1656</v>
      </c>
      <c r="I1125" s="4" t="s">
        <v>85</v>
      </c>
      <c r="J1125" s="4"/>
      <c r="K1125" s="4"/>
      <c r="L1125" s="4"/>
      <c r="M1125" s="4"/>
      <c r="N1125" s="4" t="s">
        <v>70</v>
      </c>
      <c r="O1125" s="51" t="b">
        <v>0</v>
      </c>
      <c r="P1125" s="51" t="b">
        <v>0</v>
      </c>
      <c r="Q1125" s="51" t="b">
        <v>0</v>
      </c>
      <c r="R1125" s="51" t="b">
        <v>0</v>
      </c>
      <c r="S1125" s="51" t="b">
        <v>0</v>
      </c>
    </row>
    <row r="1126">
      <c r="A1126" s="4" t="str">
        <f>IFERROR(__xludf.DUMMYFUNCTION("""COMPUTED_VALUE"""),"1247 - Channel")</f>
        <v>1247 - Channel</v>
      </c>
      <c r="B1126" s="4" t="s">
        <v>22</v>
      </c>
      <c r="C1126" s="4" t="s">
        <v>289</v>
      </c>
      <c r="D1126" s="6">
        <v>0.7051504629629632</v>
      </c>
      <c r="E1126" s="6"/>
      <c r="F1126" s="6">
        <v>0.7051504629629632</v>
      </c>
      <c r="G1126" s="4"/>
      <c r="H1126" s="4"/>
      <c r="I1126" s="4"/>
      <c r="J1126" s="4"/>
      <c r="K1126" s="4"/>
      <c r="L1126" s="4"/>
      <c r="M1126" s="4"/>
      <c r="N1126" s="4" t="s">
        <v>70</v>
      </c>
      <c r="O1126" s="51" t="b">
        <v>0</v>
      </c>
      <c r="P1126" s="51" t="b">
        <v>0</v>
      </c>
      <c r="Q1126" s="51" t="b">
        <v>0</v>
      </c>
      <c r="R1126" s="51" t="b">
        <v>0</v>
      </c>
      <c r="S1126" s="51" t="b">
        <v>0</v>
      </c>
    </row>
    <row r="1127" hidden="1">
      <c r="A1127" s="4" t="str">
        <f>IFERROR(__xludf.DUMMYFUNCTION("""COMPUTED_VALUE"""),"1248 - Channel")</f>
        <v>1248 - Channel</v>
      </c>
      <c r="B1127" s="4" t="s">
        <v>22</v>
      </c>
      <c r="C1127" s="4" t="s">
        <v>289</v>
      </c>
      <c r="D1127" s="6">
        <v>0.7051504629629632</v>
      </c>
      <c r="E1127" s="6"/>
      <c r="F1127" s="6">
        <v>0.7051504629629632</v>
      </c>
      <c r="G1127" s="4"/>
      <c r="H1127" s="4"/>
      <c r="I1127" s="4"/>
      <c r="J1127" s="4"/>
      <c r="K1127" s="4"/>
      <c r="L1127" s="4"/>
      <c r="M1127" s="4"/>
      <c r="N1127" s="4" t="s">
        <v>70</v>
      </c>
      <c r="O1127" s="51" t="b">
        <v>0</v>
      </c>
      <c r="P1127" s="51" t="b">
        <v>0</v>
      </c>
      <c r="Q1127" s="51" t="b">
        <v>0</v>
      </c>
      <c r="R1127" s="51" t="b">
        <v>0</v>
      </c>
      <c r="S1127" s="51" t="b">
        <v>0</v>
      </c>
    </row>
    <row r="1128" hidden="1">
      <c r="A1128" s="4" t="str">
        <f>IFERROR(__xludf.DUMMYFUNCTION("""COMPUTED_VALUE"""),"1249 - Channel")</f>
        <v>1249 - Channel</v>
      </c>
      <c r="B1128" s="4" t="s">
        <v>22</v>
      </c>
      <c r="C1128" s="4" t="s">
        <v>289</v>
      </c>
      <c r="D1128" s="6">
        <v>0.7051504629629632</v>
      </c>
      <c r="E1128" s="6"/>
      <c r="F1128" s="6">
        <v>0.7051504629629632</v>
      </c>
      <c r="G1128" s="4"/>
      <c r="H1128" s="4"/>
      <c r="I1128" s="4"/>
      <c r="J1128" s="4"/>
      <c r="K1128" s="4"/>
      <c r="L1128" s="4"/>
      <c r="M1128" s="4"/>
      <c r="N1128" s="4" t="s">
        <v>70</v>
      </c>
      <c r="O1128" s="51" t="b">
        <v>0</v>
      </c>
      <c r="P1128" s="51" t="b">
        <v>0</v>
      </c>
      <c r="Q1128" s="51" t="b">
        <v>0</v>
      </c>
      <c r="R1128" s="51" t="b">
        <v>0</v>
      </c>
      <c r="S1128" s="51" t="b">
        <v>0</v>
      </c>
    </row>
    <row r="1129" hidden="1">
      <c r="A1129" s="4" t="str">
        <f>IFERROR(__xludf.DUMMYFUNCTION("""COMPUTED_VALUE"""),"1250 - Channel")</f>
        <v>1250 - Channel</v>
      </c>
      <c r="B1129" s="4" t="s">
        <v>22</v>
      </c>
      <c r="C1129" s="4" t="s">
        <v>289</v>
      </c>
      <c r="D1129" s="6">
        <v>0.7051504629629632</v>
      </c>
      <c r="E1129" s="6"/>
      <c r="F1129" s="6">
        <v>0.7051504629629632</v>
      </c>
      <c r="G1129" s="4"/>
      <c r="H1129" s="4"/>
      <c r="I1129" s="4"/>
      <c r="J1129" s="4"/>
      <c r="K1129" s="4"/>
      <c r="L1129" s="4"/>
      <c r="M1129" s="4"/>
      <c r="N1129" s="4" t="s">
        <v>70</v>
      </c>
      <c r="O1129" s="51" t="b">
        <v>0</v>
      </c>
      <c r="P1129" s="51" t="b">
        <v>0</v>
      </c>
      <c r="Q1129" s="51" t="b">
        <v>0</v>
      </c>
      <c r="R1129" s="51" t="b">
        <v>0</v>
      </c>
      <c r="S1129" s="51" t="b">
        <v>0</v>
      </c>
    </row>
    <row r="1130" hidden="1">
      <c r="A1130" s="4" t="str">
        <f>IFERROR(__xludf.DUMMYFUNCTION("""COMPUTED_VALUE"""),"1251 - Channel")</f>
        <v>1251 - Channel</v>
      </c>
      <c r="B1130" s="4" t="s">
        <v>22</v>
      </c>
      <c r="C1130" s="4" t="s">
        <v>289</v>
      </c>
      <c r="D1130" s="6">
        <v>0.7051504629629632</v>
      </c>
      <c r="E1130" s="6"/>
      <c r="F1130" s="6">
        <v>0.7051504629629632</v>
      </c>
      <c r="G1130" s="4"/>
      <c r="H1130" s="4"/>
      <c r="I1130" s="4"/>
      <c r="J1130" s="4"/>
      <c r="K1130" s="4"/>
      <c r="L1130" s="4"/>
      <c r="M1130" s="4"/>
      <c r="N1130" s="4" t="s">
        <v>70</v>
      </c>
      <c r="O1130" s="51" t="b">
        <v>0</v>
      </c>
      <c r="P1130" s="51" t="b">
        <v>0</v>
      </c>
      <c r="Q1130" s="51" t="b">
        <v>0</v>
      </c>
      <c r="R1130" s="51" t="b">
        <v>0</v>
      </c>
      <c r="S1130" s="51" t="b">
        <v>0</v>
      </c>
    </row>
    <row r="1131" hidden="1">
      <c r="A1131" s="4" t="str">
        <f>IFERROR(__xludf.DUMMYFUNCTION("""COMPUTED_VALUE"""),"1252 - Channel")</f>
        <v>1252 - Channel</v>
      </c>
      <c r="B1131" s="4" t="s">
        <v>22</v>
      </c>
      <c r="C1131" s="4" t="s">
        <v>289</v>
      </c>
      <c r="D1131" s="6">
        <v>0.7051504629629632</v>
      </c>
      <c r="E1131" s="6"/>
      <c r="F1131" s="6">
        <v>0.7051504629629632</v>
      </c>
      <c r="G1131" s="4"/>
      <c r="H1131" s="4"/>
      <c r="I1131" s="4"/>
      <c r="J1131" s="4"/>
      <c r="K1131" s="4"/>
      <c r="L1131" s="4"/>
      <c r="M1131" s="4"/>
      <c r="N1131" s="4" t="s">
        <v>70</v>
      </c>
      <c r="O1131" s="51" t="b">
        <v>0</v>
      </c>
      <c r="P1131" s="51" t="b">
        <v>0</v>
      </c>
      <c r="Q1131" s="51" t="b">
        <v>0</v>
      </c>
      <c r="R1131" s="51" t="b">
        <v>0</v>
      </c>
      <c r="S1131" s="51" t="b">
        <v>0</v>
      </c>
    </row>
    <row r="1132" hidden="1">
      <c r="A1132" s="56" t="str">
        <f>IFERROR(__xludf.DUMMYFUNCTION("""COMPUTED_VALUE"""),"1253 - Channel")</f>
        <v>1253 - Channel</v>
      </c>
      <c r="B1132" s="56" t="s">
        <v>22</v>
      </c>
      <c r="C1132" s="56"/>
      <c r="D1132" s="57"/>
      <c r="E1132" s="57"/>
      <c r="F1132" s="57"/>
      <c r="G1132" s="56"/>
      <c r="H1132" s="56"/>
      <c r="I1132" s="56"/>
      <c r="J1132" s="56"/>
      <c r="K1132" s="56"/>
      <c r="L1132" s="56"/>
      <c r="M1132" s="56"/>
      <c r="N1132" s="56" t="s">
        <v>70</v>
      </c>
      <c r="O1132" s="51" t="b">
        <v>0</v>
      </c>
      <c r="P1132" s="51" t="b">
        <v>0</v>
      </c>
      <c r="Q1132" s="51" t="b">
        <v>0</v>
      </c>
      <c r="R1132" s="51" t="b">
        <v>0</v>
      </c>
      <c r="S1132" s="51" t="b">
        <v>0</v>
      </c>
      <c r="T1132" s="56"/>
    </row>
    <row r="1133" hidden="1">
      <c r="A1133" s="4" t="str">
        <f>IFERROR(__xludf.DUMMYFUNCTION("""COMPUTED_VALUE"""),"1254 - Channel")</f>
        <v>1254 - Channel</v>
      </c>
      <c r="B1133" s="4" t="s">
        <v>1667</v>
      </c>
      <c r="C1133" s="4"/>
      <c r="D1133" s="6"/>
      <c r="E1133" s="6"/>
      <c r="F1133" s="6"/>
      <c r="G1133" s="4"/>
      <c r="H1133" s="4"/>
      <c r="I1133" s="4"/>
      <c r="J1133" s="4"/>
      <c r="K1133" s="4"/>
      <c r="L1133" s="4"/>
      <c r="M1133" s="4"/>
      <c r="N1133" s="4" t="s">
        <v>70</v>
      </c>
      <c r="O1133" s="51" t="b">
        <v>0</v>
      </c>
      <c r="P1133" s="51" t="b">
        <v>0</v>
      </c>
      <c r="Q1133" s="51" t="b">
        <v>0</v>
      </c>
      <c r="R1133" s="51" t="b">
        <v>0</v>
      </c>
      <c r="S1133" s="51" t="b">
        <v>0</v>
      </c>
    </row>
    <row r="1134" hidden="1">
      <c r="A1134" s="56" t="str">
        <f>IFERROR(__xludf.DUMMYFUNCTION("""COMPUTED_VALUE"""),"1255 - Channel")</f>
        <v>1255 - Channel</v>
      </c>
      <c r="B1134" s="56"/>
      <c r="C1134" s="56"/>
      <c r="D1134" s="57"/>
      <c r="E1134" s="57"/>
      <c r="F1134" s="57"/>
      <c r="G1134" s="56"/>
      <c r="H1134" s="56"/>
      <c r="I1134" s="56"/>
      <c r="J1134" s="56"/>
      <c r="K1134" s="56"/>
      <c r="L1134" s="56"/>
      <c r="M1134" s="56"/>
      <c r="N1134" s="56" t="s">
        <v>70</v>
      </c>
      <c r="O1134" s="51" t="b">
        <v>0</v>
      </c>
      <c r="P1134" s="51" t="b">
        <v>0</v>
      </c>
      <c r="Q1134" s="51" t="b">
        <v>0</v>
      </c>
      <c r="R1134" s="51" t="b">
        <v>0</v>
      </c>
      <c r="S1134" s="51" t="b">
        <v>0</v>
      </c>
      <c r="T1134" s="56"/>
    </row>
    <row r="1135" hidden="1">
      <c r="A1135" s="56" t="str">
        <f>IFERROR(__xludf.DUMMYFUNCTION("""COMPUTED_VALUE"""),"1256 - Channel")</f>
        <v>1256 - Channel</v>
      </c>
      <c r="B1135" s="56" t="s">
        <v>785</v>
      </c>
      <c r="C1135" s="56" t="s">
        <v>66</v>
      </c>
      <c r="D1135" s="57">
        <v>0.4166666666666667</v>
      </c>
      <c r="E1135" s="57">
        <v>0.010416666666666666</v>
      </c>
      <c r="F1135" s="57">
        <v>0.42708333333333337</v>
      </c>
      <c r="G1135" s="56" t="s">
        <v>140</v>
      </c>
      <c r="H1135" s="56" t="s">
        <v>107</v>
      </c>
      <c r="I1135" s="56" t="s">
        <v>1671</v>
      </c>
      <c r="J1135" s="56" t="s">
        <v>1672</v>
      </c>
      <c r="K1135" s="56" t="s">
        <v>1673</v>
      </c>
      <c r="L1135" s="56"/>
      <c r="M1135" s="56"/>
      <c r="N1135" s="56" t="s">
        <v>1674</v>
      </c>
      <c r="O1135" s="51" t="b">
        <v>0</v>
      </c>
      <c r="P1135" s="51" t="b">
        <v>0</v>
      </c>
      <c r="Q1135" s="51" t="b">
        <v>0</v>
      </c>
      <c r="R1135" s="51" t="b">
        <v>0</v>
      </c>
      <c r="S1135" s="51" t="b">
        <v>0</v>
      </c>
      <c r="T1135" s="56"/>
    </row>
    <row r="1136" hidden="1">
      <c r="A1136" s="4" t="str">
        <f>IFERROR(__xludf.DUMMYFUNCTION("""COMPUTED_VALUE"""),"1258 - Channel")</f>
        <v>1258 - Channel</v>
      </c>
      <c r="B1136" s="4" t="s">
        <v>785</v>
      </c>
      <c r="C1136" s="4" t="s">
        <v>66</v>
      </c>
      <c r="D1136" s="6">
        <v>0.42708333333333337</v>
      </c>
      <c r="E1136" s="6">
        <v>0.010416666666666666</v>
      </c>
      <c r="F1136" s="6">
        <v>0.43750000000000006</v>
      </c>
      <c r="G1136" s="4" t="s">
        <v>106</v>
      </c>
      <c r="H1136" s="4" t="s">
        <v>74</v>
      </c>
      <c r="I1136" s="4" t="s">
        <v>1675</v>
      </c>
      <c r="J1136" s="4" t="s">
        <v>1600</v>
      </c>
      <c r="K1136" s="4" t="s">
        <v>1601</v>
      </c>
      <c r="L1136" s="4" t="s">
        <v>1602</v>
      </c>
      <c r="M1136" s="4"/>
      <c r="N1136" s="4" t="s">
        <v>1603</v>
      </c>
      <c r="O1136" s="51" t="b">
        <v>0</v>
      </c>
      <c r="P1136" s="51" t="b">
        <v>0</v>
      </c>
      <c r="Q1136" s="51" t="b">
        <v>0</v>
      </c>
      <c r="R1136" s="51" t="b">
        <v>0</v>
      </c>
      <c r="S1136" s="51" t="b">
        <v>0</v>
      </c>
    </row>
    <row r="1137" hidden="1">
      <c r="A1137" s="4" t="str">
        <f>IFERROR(__xludf.DUMMYFUNCTION("""COMPUTED_VALUE"""),"1260 - Channel")</f>
        <v>1260 - Channel</v>
      </c>
      <c r="B1137" s="4" t="s">
        <v>785</v>
      </c>
      <c r="C1137" s="4" t="s">
        <v>66</v>
      </c>
      <c r="D1137" s="6">
        <v>0.43750000000000006</v>
      </c>
      <c r="E1137" s="6">
        <v>0.010416666666666666</v>
      </c>
      <c r="F1137" s="6">
        <v>0.44791666666666674</v>
      </c>
      <c r="G1137" s="4" t="s">
        <v>140</v>
      </c>
      <c r="H1137" s="4" t="s">
        <v>74</v>
      </c>
      <c r="I1137" s="4" t="s">
        <v>1677</v>
      </c>
      <c r="J1137" s="4" t="s">
        <v>1678</v>
      </c>
      <c r="K1137" s="4" t="s">
        <v>1679</v>
      </c>
      <c r="L1137" s="4" t="s">
        <v>1680</v>
      </c>
      <c r="M1137" s="4"/>
      <c r="N1137" s="4" t="s">
        <v>144</v>
      </c>
      <c r="O1137" s="51" t="b">
        <v>0</v>
      </c>
      <c r="P1137" s="51" t="b">
        <v>0</v>
      </c>
      <c r="Q1137" s="51" t="b">
        <v>0</v>
      </c>
      <c r="R1137" s="51" t="b">
        <v>0</v>
      </c>
      <c r="S1137" s="51" t="b">
        <v>0</v>
      </c>
    </row>
    <row r="1138" hidden="1">
      <c r="A1138" s="4" t="str">
        <f>IFERROR(__xludf.DUMMYFUNCTION("""COMPUTED_VALUE"""),"1263 - Channel")</f>
        <v>1263 - Channel</v>
      </c>
      <c r="B1138" s="4" t="s">
        <v>785</v>
      </c>
      <c r="C1138" s="4" t="s">
        <v>66</v>
      </c>
      <c r="D1138" s="6">
        <v>0.44791666666666674</v>
      </c>
      <c r="E1138" s="6">
        <v>0.007638888888888889</v>
      </c>
      <c r="F1138" s="6">
        <v>0.4555555555555556</v>
      </c>
      <c r="G1138" s="4" t="s">
        <v>481</v>
      </c>
      <c r="H1138" s="4" t="s">
        <v>107</v>
      </c>
      <c r="I1138" s="4" t="s">
        <v>1681</v>
      </c>
      <c r="J1138" s="4" t="s">
        <v>1682</v>
      </c>
      <c r="K1138" s="4" t="s">
        <v>1684</v>
      </c>
      <c r="L1138" s="4"/>
      <c r="M1138" s="4"/>
      <c r="N1138" s="4" t="s">
        <v>270</v>
      </c>
      <c r="O1138" s="51" t="b">
        <v>0</v>
      </c>
      <c r="P1138" s="51" t="b">
        <v>0</v>
      </c>
      <c r="Q1138" s="51" t="b">
        <v>0</v>
      </c>
      <c r="R1138" s="51" t="b">
        <v>0</v>
      </c>
      <c r="S1138" s="51" t="b">
        <v>0</v>
      </c>
    </row>
    <row r="1139" hidden="1">
      <c r="A1139" s="4" t="str">
        <f>IFERROR(__xludf.DUMMYFUNCTION("""COMPUTED_VALUE"""),"1267 - Channel")</f>
        <v>1267 - Channel</v>
      </c>
      <c r="B1139" s="4" t="s">
        <v>785</v>
      </c>
      <c r="C1139" s="4" t="s">
        <v>66</v>
      </c>
      <c r="D1139" s="6">
        <v>0.4555555555555556</v>
      </c>
      <c r="E1139" s="6">
        <v>0.005555555555555556</v>
      </c>
      <c r="F1139" s="6">
        <v>0.46111111111111114</v>
      </c>
      <c r="G1139" s="4" t="s">
        <v>441</v>
      </c>
      <c r="H1139" s="4" t="s">
        <v>165</v>
      </c>
      <c r="I1139" s="4" t="s">
        <v>1685</v>
      </c>
      <c r="J1139" s="4" t="s">
        <v>1686</v>
      </c>
      <c r="K1139" s="4"/>
      <c r="L1139" s="4"/>
      <c r="M1139" s="4"/>
      <c r="N1139" s="4" t="s">
        <v>70</v>
      </c>
      <c r="O1139" s="51" t="b">
        <v>0</v>
      </c>
      <c r="P1139" s="51" t="b">
        <v>0</v>
      </c>
      <c r="Q1139" s="51" t="b">
        <v>0</v>
      </c>
      <c r="R1139" s="51" t="b">
        <v>0</v>
      </c>
      <c r="S1139" s="51" t="b">
        <v>0</v>
      </c>
    </row>
    <row r="1140" hidden="1">
      <c r="A1140" s="4" t="str">
        <f>IFERROR(__xludf.DUMMYFUNCTION("""COMPUTED_VALUE"""),"1268 - Channel")</f>
        <v>1268 - Channel</v>
      </c>
      <c r="B1140" s="4" t="s">
        <v>785</v>
      </c>
      <c r="C1140" s="4" t="s">
        <v>66</v>
      </c>
      <c r="D1140" s="6">
        <v>0.46111111111111114</v>
      </c>
      <c r="E1140" s="6">
        <v>0.008333333333333333</v>
      </c>
      <c r="F1140" s="6">
        <v>0.4694444444444445</v>
      </c>
      <c r="G1140" s="4" t="s">
        <v>358</v>
      </c>
      <c r="H1140" s="4" t="s">
        <v>107</v>
      </c>
      <c r="I1140" s="4" t="s">
        <v>1688</v>
      </c>
      <c r="J1140" s="4" t="s">
        <v>1689</v>
      </c>
      <c r="K1140" s="4" t="s">
        <v>1690</v>
      </c>
      <c r="L1140" s="4"/>
      <c r="M1140" s="4"/>
      <c r="N1140" s="21" t="s">
        <v>1691</v>
      </c>
      <c r="O1140" s="51" t="b">
        <v>0</v>
      </c>
      <c r="P1140" s="51" t="b">
        <v>0</v>
      </c>
      <c r="Q1140" s="51" t="b">
        <v>0</v>
      </c>
      <c r="R1140" s="51" t="b">
        <v>0</v>
      </c>
      <c r="S1140" s="51" t="b">
        <v>0</v>
      </c>
    </row>
    <row r="1141" hidden="1">
      <c r="A1141" s="4" t="str">
        <f>IFERROR(__xludf.DUMMYFUNCTION("""COMPUTED_VALUE"""),"1269 - Channel")</f>
        <v>1269 - Channel</v>
      </c>
      <c r="B1141" s="4" t="s">
        <v>785</v>
      </c>
      <c r="C1141" s="4" t="s">
        <v>66</v>
      </c>
      <c r="D1141" s="6">
        <v>0.4694444444444445</v>
      </c>
      <c r="E1141" s="6">
        <v>0.010416666666666666</v>
      </c>
      <c r="F1141" s="6">
        <v>0.4798611111111112</v>
      </c>
      <c r="G1141" s="4" t="s">
        <v>245</v>
      </c>
      <c r="H1141" s="4" t="s">
        <v>107</v>
      </c>
      <c r="I1141" s="4" t="s">
        <v>1693</v>
      </c>
      <c r="J1141" s="4" t="s">
        <v>1694</v>
      </c>
      <c r="K1141" s="4" t="s">
        <v>1695</v>
      </c>
      <c r="L1141" s="4"/>
      <c r="M1141" s="4"/>
      <c r="N1141" s="4" t="s">
        <v>1696</v>
      </c>
      <c r="O1141" s="51" t="b">
        <v>0</v>
      </c>
      <c r="P1141" s="51" t="b">
        <v>0</v>
      </c>
      <c r="Q1141" s="51" t="b">
        <v>0</v>
      </c>
      <c r="R1141" s="51" t="b">
        <v>0</v>
      </c>
      <c r="S1141" s="51" t="b">
        <v>0</v>
      </c>
    </row>
    <row r="1142" hidden="1">
      <c r="A1142" s="4" t="str">
        <f>IFERROR(__xludf.DUMMYFUNCTION("""COMPUTED_VALUE"""),"1270 - Channel")</f>
        <v>1270 - Channel</v>
      </c>
      <c r="B1142" s="4" t="s">
        <v>785</v>
      </c>
      <c r="C1142" s="4" t="s">
        <v>66</v>
      </c>
      <c r="D1142" s="6">
        <v>0.4798611111111112</v>
      </c>
      <c r="E1142" s="6">
        <v>0.010416666666666666</v>
      </c>
      <c r="F1142" s="6">
        <v>0.49027777777777787</v>
      </c>
      <c r="G1142" s="4" t="s">
        <v>754</v>
      </c>
      <c r="H1142" s="4" t="s">
        <v>74</v>
      </c>
      <c r="I1142" s="4" t="s">
        <v>1697</v>
      </c>
      <c r="J1142" s="4" t="s">
        <v>1698</v>
      </c>
      <c r="K1142" s="4" t="s">
        <v>1699</v>
      </c>
      <c r="L1142" s="4" t="s">
        <v>1700</v>
      </c>
      <c r="M1142" s="4"/>
      <c r="N1142" s="4" t="s">
        <v>125</v>
      </c>
      <c r="O1142" s="51" t="b">
        <v>0</v>
      </c>
      <c r="P1142" s="51" t="b">
        <v>0</v>
      </c>
      <c r="Q1142" s="51" t="b">
        <v>0</v>
      </c>
      <c r="R1142" s="51" t="b">
        <v>0</v>
      </c>
      <c r="S1142" s="51" t="b">
        <v>0</v>
      </c>
    </row>
    <row r="1143" hidden="1">
      <c r="A1143" s="4" t="str">
        <f>IFERROR(__xludf.DUMMYFUNCTION("""COMPUTED_VALUE"""),"1271 - Channel")</f>
        <v>1271 - Channel</v>
      </c>
      <c r="B1143" s="4" t="s">
        <v>785</v>
      </c>
      <c r="C1143" s="4" t="s">
        <v>66</v>
      </c>
      <c r="D1143" s="6">
        <v>0.49027777777777787</v>
      </c>
      <c r="E1143" s="6">
        <v>0.010416666666666666</v>
      </c>
      <c r="F1143" s="6">
        <v>0.5006944444444446</v>
      </c>
      <c r="G1143" s="4" t="s">
        <v>129</v>
      </c>
      <c r="H1143" s="4" t="s">
        <v>74</v>
      </c>
      <c r="I1143" s="4" t="s">
        <v>1702</v>
      </c>
      <c r="J1143" s="4" t="s">
        <v>1703</v>
      </c>
      <c r="K1143" s="4" t="s">
        <v>1704</v>
      </c>
      <c r="L1143" s="4"/>
      <c r="M1143" s="4"/>
      <c r="N1143" s="4" t="s">
        <v>1705</v>
      </c>
      <c r="O1143" s="51" t="b">
        <v>0</v>
      </c>
      <c r="P1143" s="51" t="b">
        <v>0</v>
      </c>
      <c r="Q1143" s="51" t="b">
        <v>0</v>
      </c>
      <c r="R1143" s="51" t="b">
        <v>0</v>
      </c>
      <c r="S1143" s="51" t="b">
        <v>0</v>
      </c>
    </row>
    <row r="1144" hidden="1">
      <c r="A1144" s="4" t="str">
        <f>IFERROR(__xludf.DUMMYFUNCTION("""COMPUTED_VALUE"""),"1274 - Channel")</f>
        <v>1274 - Channel</v>
      </c>
      <c r="B1144" s="4" t="s">
        <v>785</v>
      </c>
      <c r="C1144" s="4" t="s">
        <v>66</v>
      </c>
      <c r="D1144" s="6">
        <v>0.5006944444444446</v>
      </c>
      <c r="E1144" s="6">
        <v>0.008333333333333333</v>
      </c>
      <c r="F1144" s="6">
        <v>0.5090277777777779</v>
      </c>
      <c r="G1144" s="4" t="s">
        <v>446</v>
      </c>
      <c r="H1144" s="4" t="s">
        <v>107</v>
      </c>
      <c r="I1144" s="4" t="s">
        <v>1706</v>
      </c>
      <c r="J1144" s="4" t="s">
        <v>1653</v>
      </c>
      <c r="K1144" s="4" t="s">
        <v>1654</v>
      </c>
      <c r="L1144" s="4"/>
      <c r="M1144" s="4"/>
      <c r="N1144" s="4" t="s">
        <v>1655</v>
      </c>
      <c r="O1144" s="51" t="b">
        <v>0</v>
      </c>
      <c r="P1144" s="51" t="b">
        <v>0</v>
      </c>
      <c r="Q1144" s="51" t="b">
        <v>0</v>
      </c>
      <c r="R1144" s="51" t="b">
        <v>0</v>
      </c>
      <c r="S1144" s="51" t="b">
        <v>0</v>
      </c>
    </row>
    <row r="1145" hidden="1">
      <c r="A1145" s="4" t="str">
        <f>IFERROR(__xludf.DUMMYFUNCTION("""COMPUTED_VALUE"""),"1278 - Channel")</f>
        <v>1278 - Channel</v>
      </c>
      <c r="B1145" s="4" t="s">
        <v>785</v>
      </c>
      <c r="C1145" s="4" t="s">
        <v>221</v>
      </c>
      <c r="D1145" s="6">
        <v>0.5090277777777779</v>
      </c>
      <c r="E1145" s="6">
        <v>0.010416666666666666</v>
      </c>
      <c r="F1145" s="6">
        <v>0.5194444444444445</v>
      </c>
      <c r="G1145" s="4" t="s">
        <v>737</v>
      </c>
      <c r="H1145" s="4" t="s">
        <v>74</v>
      </c>
      <c r="I1145" s="4" t="s">
        <v>1707</v>
      </c>
      <c r="J1145" s="4" t="s">
        <v>1708</v>
      </c>
      <c r="K1145" s="4" t="s">
        <v>1709</v>
      </c>
      <c r="L1145" s="4" t="s">
        <v>1710</v>
      </c>
      <c r="M1145" s="4"/>
      <c r="N1145" s="4" t="s">
        <v>1711</v>
      </c>
      <c r="O1145" s="51" t="b">
        <v>0</v>
      </c>
      <c r="P1145" s="51" t="b">
        <v>0</v>
      </c>
      <c r="Q1145" s="51" t="b">
        <v>0</v>
      </c>
      <c r="R1145" s="51" t="b">
        <v>0</v>
      </c>
      <c r="S1145" s="51" t="b">
        <v>0</v>
      </c>
    </row>
    <row r="1146" hidden="1">
      <c r="A1146" s="4" t="str">
        <f>IFERROR(__xludf.DUMMYFUNCTION("""COMPUTED_VALUE"""),"1282 - Channel")</f>
        <v>1282 - Channel</v>
      </c>
      <c r="B1146" s="4" t="s">
        <v>785</v>
      </c>
      <c r="C1146" s="4" t="s">
        <v>221</v>
      </c>
      <c r="D1146" s="6">
        <v>0.5194444444444445</v>
      </c>
      <c r="E1146" s="6">
        <v>0.007638888888888889</v>
      </c>
      <c r="F1146" s="6">
        <v>0.5270833333333333</v>
      </c>
      <c r="G1146" s="4" t="s">
        <v>398</v>
      </c>
      <c r="H1146" s="4" t="s">
        <v>94</v>
      </c>
      <c r="I1146" s="4" t="s">
        <v>1713</v>
      </c>
      <c r="J1146" s="4" t="s">
        <v>1714</v>
      </c>
      <c r="K1146" s="4"/>
      <c r="L1146" s="4"/>
      <c r="M1146" s="4"/>
      <c r="N1146" s="4" t="s">
        <v>1715</v>
      </c>
      <c r="O1146" s="51" t="b">
        <v>0</v>
      </c>
      <c r="P1146" s="51" t="b">
        <v>0</v>
      </c>
      <c r="Q1146" s="51" t="b">
        <v>0</v>
      </c>
      <c r="R1146" s="51" t="b">
        <v>0</v>
      </c>
      <c r="S1146" s="51" t="b">
        <v>0</v>
      </c>
    </row>
    <row r="1147" hidden="1">
      <c r="A1147" s="4" t="str">
        <f>IFERROR(__xludf.DUMMYFUNCTION("""COMPUTED_VALUE"""),"1283 - Channel")</f>
        <v>1283 - Channel</v>
      </c>
      <c r="B1147" s="4" t="s">
        <v>785</v>
      </c>
      <c r="C1147" s="4" t="s">
        <v>289</v>
      </c>
      <c r="D1147" s="6">
        <v>0.5270833333333333</v>
      </c>
      <c r="E1147" s="6">
        <v>0.0</v>
      </c>
      <c r="F1147" s="6">
        <v>0.5270833333333333</v>
      </c>
      <c r="G1147" s="4" t="s">
        <v>658</v>
      </c>
      <c r="H1147" s="4" t="s">
        <v>94</v>
      </c>
      <c r="I1147" s="4" t="s">
        <v>1717</v>
      </c>
      <c r="J1147" s="4" t="s">
        <v>1639</v>
      </c>
      <c r="K1147" s="4"/>
      <c r="L1147" s="4"/>
      <c r="M1147" s="4"/>
      <c r="N1147" s="4" t="s">
        <v>1718</v>
      </c>
      <c r="O1147" s="51" t="b">
        <v>0</v>
      </c>
      <c r="P1147" s="51" t="b">
        <v>0</v>
      </c>
      <c r="Q1147" s="51" t="b">
        <v>0</v>
      </c>
      <c r="R1147" s="51" t="b">
        <v>0</v>
      </c>
      <c r="S1147" s="51" t="b">
        <v>0</v>
      </c>
    </row>
    <row r="1148" hidden="1">
      <c r="A1148" s="4" t="str">
        <f>IFERROR(__xludf.DUMMYFUNCTION("""COMPUTED_VALUE"""),"1289 - Channel")</f>
        <v>1289 - Channel</v>
      </c>
      <c r="B1148" s="4" t="s">
        <v>785</v>
      </c>
      <c r="C1148" s="4" t="s">
        <v>221</v>
      </c>
      <c r="D1148" s="6">
        <v>0.5270833333333333</v>
      </c>
      <c r="E1148" s="6">
        <v>0.010416666666666666</v>
      </c>
      <c r="F1148" s="6">
        <v>0.5375</v>
      </c>
      <c r="G1148" s="4" t="s">
        <v>151</v>
      </c>
      <c r="H1148" s="4" t="s">
        <v>74</v>
      </c>
      <c r="I1148" s="4" t="s">
        <v>1719</v>
      </c>
      <c r="J1148" s="4" t="s">
        <v>1720</v>
      </c>
      <c r="K1148" s="4" t="s">
        <v>1721</v>
      </c>
      <c r="L1148" s="4" t="s">
        <v>1722</v>
      </c>
      <c r="M1148" s="4"/>
      <c r="N1148" s="4" t="s">
        <v>1723</v>
      </c>
      <c r="O1148" s="51" t="b">
        <v>0</v>
      </c>
      <c r="P1148" s="51" t="b">
        <v>0</v>
      </c>
      <c r="Q1148" s="51" t="b">
        <v>0</v>
      </c>
      <c r="R1148" s="51" t="b">
        <v>0</v>
      </c>
      <c r="S1148" s="51" t="b">
        <v>0</v>
      </c>
    </row>
    <row r="1149" hidden="1">
      <c r="A1149" s="4" t="str">
        <f>IFERROR(__xludf.DUMMYFUNCTION("""COMPUTED_VALUE"""),"164 - Channel")</f>
        <v>164 - Channel</v>
      </c>
      <c r="B1149" s="4" t="s">
        <v>785</v>
      </c>
      <c r="C1149" s="4" t="s">
        <v>221</v>
      </c>
      <c r="D1149" s="6">
        <v>0.5375</v>
      </c>
      <c r="E1149" s="6">
        <v>0.005729166666666666</v>
      </c>
      <c r="F1149" s="6">
        <v>0.5432291666666667</v>
      </c>
      <c r="G1149" s="4" t="s">
        <v>106</v>
      </c>
      <c r="H1149" s="4" t="s">
        <v>165</v>
      </c>
      <c r="I1149" s="4" t="s">
        <v>1246</v>
      </c>
      <c r="J1149" s="4" t="s">
        <v>1247</v>
      </c>
      <c r="K1149" s="4"/>
      <c r="L1149" s="4"/>
      <c r="M1149" s="4"/>
      <c r="N1149" s="4" t="s">
        <v>70</v>
      </c>
      <c r="O1149" s="51" t="b">
        <v>0</v>
      </c>
      <c r="P1149" s="51" t="b">
        <v>0</v>
      </c>
      <c r="Q1149" s="51" t="b">
        <v>0</v>
      </c>
      <c r="R1149" s="51" t="b">
        <v>0</v>
      </c>
      <c r="S1149" s="51" t="b">
        <v>0</v>
      </c>
    </row>
    <row r="1150" hidden="1">
      <c r="A1150" s="4" t="str">
        <f>IFERROR(__xludf.DUMMYFUNCTION("""COMPUTED_VALUE"""),"1286 - Channel")</f>
        <v>1286 - Channel</v>
      </c>
      <c r="B1150" s="4" t="s">
        <v>785</v>
      </c>
      <c r="C1150" s="4" t="s">
        <v>289</v>
      </c>
      <c r="D1150" s="6">
        <v>0.5432291666666667</v>
      </c>
      <c r="E1150" s="6">
        <v>0.010416666666666666</v>
      </c>
      <c r="F1150" s="6">
        <v>0.5536458333333333</v>
      </c>
      <c r="G1150" s="4" t="s">
        <v>210</v>
      </c>
      <c r="H1150" s="4" t="s">
        <v>74</v>
      </c>
      <c r="I1150" s="4" t="s">
        <v>1724</v>
      </c>
      <c r="J1150" s="4" t="s">
        <v>1725</v>
      </c>
      <c r="K1150" s="4" t="s">
        <v>1727</v>
      </c>
      <c r="L1150" s="4" t="s">
        <v>1728</v>
      </c>
      <c r="M1150" s="4"/>
      <c r="N1150" s="4" t="s">
        <v>1729</v>
      </c>
      <c r="O1150" s="51" t="b">
        <v>0</v>
      </c>
      <c r="P1150" s="51" t="b">
        <v>0</v>
      </c>
      <c r="Q1150" s="51" t="b">
        <v>0</v>
      </c>
      <c r="R1150" s="51" t="b">
        <v>0</v>
      </c>
      <c r="S1150" s="51" t="b">
        <v>0</v>
      </c>
    </row>
    <row r="1151" hidden="1">
      <c r="A1151" s="4" t="str">
        <f>IFERROR(__xludf.DUMMYFUNCTION("""COMPUTED_VALUE"""),"1288 - Channel")</f>
        <v>1288 - Channel</v>
      </c>
      <c r="B1151" s="4" t="s">
        <v>785</v>
      </c>
      <c r="C1151" s="4" t="s">
        <v>221</v>
      </c>
      <c r="D1151" s="6">
        <v>0.5536458333333333</v>
      </c>
      <c r="E1151" s="6">
        <v>0.010416666666666666</v>
      </c>
      <c r="F1151" s="6">
        <v>0.5640624999999999</v>
      </c>
      <c r="G1151" s="4" t="s">
        <v>151</v>
      </c>
      <c r="H1151" s="4" t="s">
        <v>74</v>
      </c>
      <c r="I1151" s="4" t="s">
        <v>1731</v>
      </c>
      <c r="J1151" s="4" t="s">
        <v>1732</v>
      </c>
      <c r="K1151" s="4" t="s">
        <v>1733</v>
      </c>
      <c r="L1151" s="4" t="s">
        <v>1734</v>
      </c>
      <c r="M1151" s="4"/>
      <c r="N1151" s="4" t="s">
        <v>1735</v>
      </c>
      <c r="O1151" s="51" t="b">
        <v>0</v>
      </c>
      <c r="P1151" s="51" t="b">
        <v>0</v>
      </c>
      <c r="Q1151" s="51" t="b">
        <v>0</v>
      </c>
      <c r="R1151" s="51" t="b">
        <v>0</v>
      </c>
      <c r="S1151" s="51" t="b">
        <v>0</v>
      </c>
    </row>
    <row r="1152" hidden="1">
      <c r="A1152" s="56" t="str">
        <f>IFERROR(__xludf.DUMMYFUNCTION("""COMPUTED_VALUE"""),"1290 - Channel")</f>
        <v>1290 - Channel</v>
      </c>
      <c r="B1152" s="56" t="s">
        <v>785</v>
      </c>
      <c r="C1152" s="56" t="s">
        <v>221</v>
      </c>
      <c r="D1152" s="57">
        <v>0.5375</v>
      </c>
      <c r="E1152" s="57">
        <v>0.010416666666666666</v>
      </c>
      <c r="F1152" s="57">
        <v>0.5479166666666666</v>
      </c>
      <c r="G1152" s="56" t="s">
        <v>245</v>
      </c>
      <c r="H1152" s="56" t="s">
        <v>94</v>
      </c>
      <c r="I1152" s="56" t="s">
        <v>1736</v>
      </c>
      <c r="J1152" s="56" t="s">
        <v>1737</v>
      </c>
      <c r="K1152" s="56" t="s">
        <v>1738</v>
      </c>
      <c r="L1152" s="56"/>
      <c r="M1152" s="56"/>
      <c r="N1152" s="56" t="s">
        <v>1696</v>
      </c>
      <c r="O1152" s="51" t="b">
        <v>0</v>
      </c>
      <c r="P1152" s="51" t="b">
        <v>0</v>
      </c>
      <c r="Q1152" s="51" t="b">
        <v>0</v>
      </c>
      <c r="R1152" s="51" t="b">
        <v>0</v>
      </c>
      <c r="S1152" s="51" t="b">
        <v>0</v>
      </c>
      <c r="T1152" s="56"/>
    </row>
    <row r="1153" hidden="1">
      <c r="A1153" s="4" t="str">
        <f>IFERROR(__xludf.DUMMYFUNCTION("""COMPUTED_VALUE"""),"1291 - Channel")</f>
        <v>1291 - Channel</v>
      </c>
      <c r="B1153" s="4" t="s">
        <v>785</v>
      </c>
      <c r="C1153" s="4" t="s">
        <v>289</v>
      </c>
      <c r="D1153" s="6">
        <v>0.5479166666666666</v>
      </c>
      <c r="E1153" s="6">
        <v>0.011111111111111112</v>
      </c>
      <c r="F1153" s="6">
        <v>0.5590277777777777</v>
      </c>
      <c r="G1153" s="4" t="s">
        <v>151</v>
      </c>
      <c r="H1153" s="4" t="s">
        <v>74</v>
      </c>
      <c r="I1153" s="4" t="s">
        <v>1740</v>
      </c>
      <c r="J1153" s="4" t="s">
        <v>1741</v>
      </c>
      <c r="K1153" s="4" t="s">
        <v>1742</v>
      </c>
      <c r="L1153" s="4" t="s">
        <v>1264</v>
      </c>
      <c r="M1153" s="4"/>
      <c r="N1153" s="4" t="s">
        <v>1743</v>
      </c>
      <c r="O1153" s="51" t="b">
        <v>0</v>
      </c>
      <c r="P1153" s="51" t="b">
        <v>0</v>
      </c>
      <c r="Q1153" s="51" t="b">
        <v>0</v>
      </c>
      <c r="R1153" s="51" t="b">
        <v>0</v>
      </c>
      <c r="S1153" s="51" t="b">
        <v>0</v>
      </c>
    </row>
    <row r="1154" hidden="1">
      <c r="A1154" s="56" t="str">
        <f>IFERROR(__xludf.DUMMYFUNCTION("""COMPUTED_VALUE"""),"167 - Channel")</f>
        <v>167 - Channel</v>
      </c>
      <c r="B1154" s="56" t="s">
        <v>785</v>
      </c>
      <c r="C1154" s="56" t="s">
        <v>221</v>
      </c>
      <c r="D1154" s="57">
        <v>0.5590277777777777</v>
      </c>
      <c r="E1154" s="57">
        <v>0.009189814814814816</v>
      </c>
      <c r="F1154" s="57">
        <v>0.5682175925925925</v>
      </c>
      <c r="G1154" s="56" t="s">
        <v>93</v>
      </c>
      <c r="H1154" s="56" t="s">
        <v>107</v>
      </c>
      <c r="I1154" s="56" t="s">
        <v>1261</v>
      </c>
      <c r="J1154" s="56" t="s">
        <v>765</v>
      </c>
      <c r="K1154" s="56" t="s">
        <v>1263</v>
      </c>
      <c r="L1154" s="56"/>
      <c r="M1154" s="56"/>
      <c r="N1154" s="56" t="s">
        <v>1264</v>
      </c>
      <c r="O1154" s="51" t="b">
        <v>0</v>
      </c>
      <c r="P1154" s="51" t="b">
        <v>0</v>
      </c>
      <c r="Q1154" s="51" t="b">
        <v>0</v>
      </c>
      <c r="R1154" s="51" t="b">
        <v>0</v>
      </c>
      <c r="S1154" s="51" t="b">
        <v>0</v>
      </c>
      <c r="T1154" s="56"/>
    </row>
    <row r="1155" hidden="1">
      <c r="A1155" s="56" t="str">
        <f>IFERROR(__xludf.DUMMYFUNCTION("""COMPUTED_VALUE"""),"886 - Channel")</f>
        <v>886 - Channel</v>
      </c>
      <c r="B1155" s="56" t="s">
        <v>785</v>
      </c>
      <c r="C1155" s="56" t="s">
        <v>66</v>
      </c>
      <c r="D1155" s="57">
        <v>0.5682175925925925</v>
      </c>
      <c r="E1155" s="57">
        <v>0.011979166666666667</v>
      </c>
      <c r="F1155" s="57">
        <v>0.5801967592592592</v>
      </c>
      <c r="G1155" s="56" t="s">
        <v>210</v>
      </c>
      <c r="H1155" s="56" t="s">
        <v>74</v>
      </c>
      <c r="I1155" s="56" t="s">
        <v>1745</v>
      </c>
      <c r="J1155" s="56" t="s">
        <v>1746</v>
      </c>
      <c r="K1155" s="56" t="s">
        <v>1747</v>
      </c>
      <c r="L1155" s="56" t="s">
        <v>1748</v>
      </c>
      <c r="M1155" s="56"/>
      <c r="N1155" s="56" t="s">
        <v>1749</v>
      </c>
      <c r="O1155" s="51" t="b">
        <v>0</v>
      </c>
      <c r="P1155" s="51" t="b">
        <v>0</v>
      </c>
      <c r="Q1155" s="51" t="b">
        <v>0</v>
      </c>
      <c r="R1155" s="51" t="b">
        <v>0</v>
      </c>
      <c r="S1155" s="51" t="b">
        <v>0</v>
      </c>
      <c r="T1155" s="56"/>
    </row>
    <row r="1156" hidden="1">
      <c r="A1156" s="4" t="str">
        <f>IFERROR(__xludf.DUMMYFUNCTION("""COMPUTED_VALUE"""),"1092 - Channel")</f>
        <v>1092 - Channel</v>
      </c>
      <c r="B1156" s="4" t="s">
        <v>785</v>
      </c>
      <c r="C1156" s="4" t="s">
        <v>289</v>
      </c>
      <c r="D1156" s="6">
        <v>0.5801967592592592</v>
      </c>
      <c r="E1156" s="6">
        <v>3.4722222222222224E-4</v>
      </c>
      <c r="F1156" s="6">
        <v>0.5805439814814815</v>
      </c>
      <c r="G1156" s="4" t="s">
        <v>446</v>
      </c>
      <c r="H1156" s="4" t="s">
        <v>81</v>
      </c>
      <c r="I1156" s="4" t="s">
        <v>81</v>
      </c>
      <c r="J1156" s="4"/>
      <c r="K1156" s="4"/>
      <c r="L1156" s="4"/>
      <c r="M1156" s="4"/>
      <c r="N1156" s="4" t="s">
        <v>70</v>
      </c>
      <c r="O1156" s="51" t="b">
        <v>0</v>
      </c>
      <c r="P1156" s="51" t="b">
        <v>0</v>
      </c>
      <c r="Q1156" s="51" t="b">
        <v>0</v>
      </c>
      <c r="R1156" s="51" t="b">
        <v>0</v>
      </c>
      <c r="S1156" s="51" t="b">
        <v>0</v>
      </c>
    </row>
    <row r="1157">
      <c r="A1157" s="56" t="str">
        <f>IFERROR(__xludf.DUMMYFUNCTION("""COMPUTED_VALUE"""),"1093 - Channel")</f>
        <v>1093 - Channel</v>
      </c>
      <c r="B1157" s="56" t="s">
        <v>785</v>
      </c>
      <c r="C1157" s="56" t="s">
        <v>289</v>
      </c>
      <c r="D1157" s="57">
        <v>0.5805439814814815</v>
      </c>
      <c r="E1157" s="57">
        <v>0.0020833333333333333</v>
      </c>
      <c r="F1157" s="57">
        <v>0.5826273148148148</v>
      </c>
      <c r="G1157" s="56" t="s">
        <v>446</v>
      </c>
      <c r="H1157" s="56" t="s">
        <v>165</v>
      </c>
      <c r="I1157" s="56" t="s">
        <v>1750</v>
      </c>
      <c r="J1157" s="56" t="s">
        <v>1751</v>
      </c>
      <c r="K1157" s="56"/>
      <c r="L1157" s="56"/>
      <c r="M1157" s="56"/>
      <c r="N1157" s="56" t="s">
        <v>70</v>
      </c>
      <c r="O1157" s="51" t="b">
        <v>0</v>
      </c>
      <c r="P1157" s="51" t="b">
        <v>0</v>
      </c>
      <c r="Q1157" s="51" t="b">
        <v>0</v>
      </c>
      <c r="R1157" s="51" t="b">
        <v>0</v>
      </c>
      <c r="S1157" s="51" t="b">
        <v>0</v>
      </c>
      <c r="T1157" s="56"/>
    </row>
    <row r="1158" hidden="1">
      <c r="A1158" s="56" t="str">
        <f>IFERROR(__xludf.DUMMYFUNCTION("""COMPUTED_VALUE"""),"1094 - Channel")</f>
        <v>1094 - Channel</v>
      </c>
      <c r="B1158" s="56" t="s">
        <v>785</v>
      </c>
      <c r="C1158" s="56" t="s">
        <v>289</v>
      </c>
      <c r="D1158" s="57">
        <v>0.5826273148148148</v>
      </c>
      <c r="E1158" s="57">
        <v>1.7361111111111112E-4</v>
      </c>
      <c r="F1158" s="57">
        <v>0.5828009259259259</v>
      </c>
      <c r="G1158" s="56" t="s">
        <v>446</v>
      </c>
      <c r="H1158" s="56" t="s">
        <v>85</v>
      </c>
      <c r="I1158" s="56" t="s">
        <v>85</v>
      </c>
      <c r="J1158" s="56"/>
      <c r="K1158" s="56"/>
      <c r="L1158" s="56"/>
      <c r="M1158" s="56"/>
      <c r="N1158" s="56" t="s">
        <v>70</v>
      </c>
      <c r="O1158" s="51" t="b">
        <v>0</v>
      </c>
      <c r="P1158" s="51" t="b">
        <v>0</v>
      </c>
      <c r="Q1158" s="51" t="b">
        <v>0</v>
      </c>
      <c r="R1158" s="51" t="b">
        <v>0</v>
      </c>
      <c r="S1158" s="51" t="b">
        <v>0</v>
      </c>
      <c r="T1158" s="56"/>
    </row>
    <row r="1159">
      <c r="A1159" s="4" t="str">
        <f>IFERROR(__xludf.DUMMYFUNCTION("""COMPUTED_VALUE"""),"209 - Channel")</f>
        <v>209 - Channel</v>
      </c>
      <c r="B1159" s="4" t="s">
        <v>785</v>
      </c>
      <c r="C1159" s="4" t="s">
        <v>221</v>
      </c>
      <c r="D1159" s="6">
        <v>0.5828009259259259</v>
      </c>
      <c r="E1159" s="6">
        <v>0.00712962962962963</v>
      </c>
      <c r="F1159" s="6">
        <v>0.5899305555555555</v>
      </c>
      <c r="G1159" s="4" t="s">
        <v>129</v>
      </c>
      <c r="H1159" s="4" t="s">
        <v>94</v>
      </c>
      <c r="I1159" s="4" t="s">
        <v>1436</v>
      </c>
      <c r="J1159" s="4" t="s">
        <v>1438</v>
      </c>
      <c r="K1159" s="4"/>
      <c r="L1159" s="4"/>
      <c r="M1159" s="4"/>
      <c r="N1159" s="4" t="s">
        <v>1440</v>
      </c>
      <c r="O1159" s="51" t="b">
        <v>0</v>
      </c>
      <c r="P1159" s="51" t="b">
        <v>0</v>
      </c>
      <c r="Q1159" s="51" t="b">
        <v>0</v>
      </c>
      <c r="R1159" s="51" t="b">
        <v>0</v>
      </c>
      <c r="S1159" s="51" t="b">
        <v>0</v>
      </c>
    </row>
    <row r="1160" hidden="1">
      <c r="A1160" s="56" t="str">
        <f>IFERROR(__xludf.DUMMYFUNCTION("""COMPUTED_VALUE"""),"48 - Channel")</f>
        <v>48 - Channel</v>
      </c>
      <c r="B1160" s="56" t="s">
        <v>785</v>
      </c>
      <c r="C1160" s="56" t="s">
        <v>66</v>
      </c>
      <c r="D1160" s="57">
        <v>0.5899305555555555</v>
      </c>
      <c r="E1160" s="57">
        <v>0.012546296296296297</v>
      </c>
      <c r="F1160" s="57">
        <v>0.6024768518518518</v>
      </c>
      <c r="G1160" s="56"/>
      <c r="H1160" s="56" t="s">
        <v>74</v>
      </c>
      <c r="I1160" s="56" t="s">
        <v>786</v>
      </c>
      <c r="J1160" s="56" t="s">
        <v>787</v>
      </c>
      <c r="K1160" s="56" t="s">
        <v>788</v>
      </c>
      <c r="L1160" s="56" t="s">
        <v>789</v>
      </c>
      <c r="M1160" s="56"/>
      <c r="N1160" s="56" t="s">
        <v>790</v>
      </c>
      <c r="O1160" s="51" t="b">
        <v>0</v>
      </c>
      <c r="P1160" s="51" t="b">
        <v>0</v>
      </c>
      <c r="Q1160" s="51" t="b">
        <v>0</v>
      </c>
      <c r="R1160" s="51" t="b">
        <v>0</v>
      </c>
      <c r="S1160" s="51" t="b">
        <v>0</v>
      </c>
      <c r="T1160" s="56"/>
    </row>
    <row r="1161" hidden="1">
      <c r="A1161" s="56" t="str">
        <f>IFERROR(__xludf.DUMMYFUNCTION("""COMPUTED_VALUE"""),"124 - Channel")</f>
        <v>124 - Channel</v>
      </c>
      <c r="B1161" s="56" t="s">
        <v>785</v>
      </c>
      <c r="C1161" s="56" t="s">
        <v>66</v>
      </c>
      <c r="D1161" s="57">
        <v>0.6024768518518518</v>
      </c>
      <c r="E1161" s="57">
        <v>0.010416666666666666</v>
      </c>
      <c r="F1161" s="57">
        <v>0.6128935185185185</v>
      </c>
      <c r="G1161" s="56" t="s">
        <v>93</v>
      </c>
      <c r="H1161" s="56" t="s">
        <v>107</v>
      </c>
      <c r="I1161" s="56" t="s">
        <v>1088</v>
      </c>
      <c r="J1161" s="56" t="s">
        <v>1089</v>
      </c>
      <c r="K1161" s="56" t="s">
        <v>1090</v>
      </c>
      <c r="L1161" s="56"/>
      <c r="M1161" s="56"/>
      <c r="N1161" s="56" t="s">
        <v>1091</v>
      </c>
      <c r="O1161" s="51" t="b">
        <v>0</v>
      </c>
      <c r="P1161" s="51" t="b">
        <v>0</v>
      </c>
      <c r="Q1161" s="51" t="b">
        <v>0</v>
      </c>
      <c r="R1161" s="51" t="b">
        <v>0</v>
      </c>
      <c r="S1161" s="51" t="b">
        <v>0</v>
      </c>
      <c r="T1161" s="56"/>
    </row>
    <row r="1162" hidden="1">
      <c r="A1162" s="4" t="str">
        <f>IFERROR(__xludf.DUMMYFUNCTION("""COMPUTED_VALUE"""),"420 - Channel")</f>
        <v>420 - Channel</v>
      </c>
      <c r="B1162" s="4" t="s">
        <v>785</v>
      </c>
      <c r="C1162" s="4" t="s">
        <v>66</v>
      </c>
      <c r="D1162" s="6">
        <v>0.6128935185185185</v>
      </c>
      <c r="E1162" s="6">
        <v>0.005555555555555556</v>
      </c>
      <c r="F1162" s="6">
        <v>0.618449074074074</v>
      </c>
      <c r="G1162" s="4" t="s">
        <v>106</v>
      </c>
      <c r="H1162" s="4" t="s">
        <v>165</v>
      </c>
      <c r="I1162" s="4" t="s">
        <v>1755</v>
      </c>
      <c r="J1162" s="4" t="s">
        <v>1756</v>
      </c>
      <c r="K1162" s="4"/>
      <c r="L1162" s="4"/>
      <c r="M1162" s="4"/>
      <c r="N1162" s="4" t="s">
        <v>70</v>
      </c>
      <c r="O1162" s="51" t="b">
        <v>0</v>
      </c>
      <c r="P1162" s="51" t="b">
        <v>0</v>
      </c>
      <c r="Q1162" s="51" t="b">
        <v>0</v>
      </c>
      <c r="R1162" s="51" t="b">
        <v>0</v>
      </c>
      <c r="S1162" s="51" t="b">
        <v>0</v>
      </c>
    </row>
    <row r="1163" hidden="1">
      <c r="A1163" s="56" t="str">
        <f>IFERROR(__xludf.DUMMYFUNCTION("""COMPUTED_VALUE"""),"103 - Channel")</f>
        <v>103 - Channel</v>
      </c>
      <c r="B1163" s="56" t="s">
        <v>785</v>
      </c>
      <c r="C1163" s="56" t="s">
        <v>66</v>
      </c>
      <c r="D1163" s="57">
        <v>0.618449074074074</v>
      </c>
      <c r="E1163" s="57">
        <v>3.4722222222222224E-4</v>
      </c>
      <c r="F1163" s="57">
        <v>0.6187962962962963</v>
      </c>
      <c r="G1163" s="56"/>
      <c r="H1163" s="56" t="s">
        <v>81</v>
      </c>
      <c r="I1163" s="56" t="s">
        <v>81</v>
      </c>
      <c r="J1163" s="56" t="s">
        <v>92</v>
      </c>
      <c r="K1163" s="56"/>
      <c r="L1163" s="56"/>
      <c r="M1163" s="56"/>
      <c r="N1163" s="56" t="s">
        <v>70</v>
      </c>
      <c r="O1163" s="51" t="b">
        <v>0</v>
      </c>
      <c r="P1163" s="51" t="b">
        <v>0</v>
      </c>
      <c r="Q1163" s="51" t="b">
        <v>0</v>
      </c>
      <c r="R1163" s="51" t="b">
        <v>0</v>
      </c>
      <c r="S1163" s="51" t="b">
        <v>0</v>
      </c>
      <c r="T1163" s="56"/>
    </row>
    <row r="1164">
      <c r="A1164" s="56" t="str">
        <f>IFERROR(__xludf.DUMMYFUNCTION("""COMPUTED_VALUE"""),"301 - Channel")</f>
        <v>301 - Channel</v>
      </c>
      <c r="B1164" s="56" t="s">
        <v>785</v>
      </c>
      <c r="C1164" s="56" t="s">
        <v>66</v>
      </c>
      <c r="D1164" s="57">
        <v>0.618449074074074</v>
      </c>
      <c r="E1164" s="57">
        <v>0.008333333333333333</v>
      </c>
      <c r="F1164" s="57">
        <v>0.6267824074074073</v>
      </c>
      <c r="G1164" s="56"/>
      <c r="H1164" s="56" t="s">
        <v>94</v>
      </c>
      <c r="I1164" s="56" t="s">
        <v>1758</v>
      </c>
      <c r="J1164" s="56" t="s">
        <v>1759</v>
      </c>
      <c r="K1164" s="56"/>
      <c r="L1164" s="56"/>
      <c r="M1164" s="56"/>
      <c r="N1164" s="56" t="s">
        <v>1071</v>
      </c>
      <c r="O1164" s="51" t="b">
        <v>0</v>
      </c>
      <c r="P1164" s="51" t="b">
        <v>0</v>
      </c>
      <c r="Q1164" s="51" t="b">
        <v>0</v>
      </c>
      <c r="R1164" s="51" t="b">
        <v>0</v>
      </c>
      <c r="S1164" s="51" t="b">
        <v>0</v>
      </c>
      <c r="T1164" s="56"/>
    </row>
    <row r="1165" hidden="1">
      <c r="A1165" s="4" t="str">
        <f>IFERROR(__xludf.DUMMYFUNCTION("""COMPUTED_VALUE"""),"105 - Channel")</f>
        <v>105 - Channel</v>
      </c>
      <c r="B1165" s="4" t="s">
        <v>785</v>
      </c>
      <c r="C1165" s="4" t="s">
        <v>66</v>
      </c>
      <c r="D1165" s="6">
        <v>0.6267824074074073</v>
      </c>
      <c r="E1165" s="6">
        <v>1.7361111111111112E-4</v>
      </c>
      <c r="F1165" s="6">
        <v>0.6269560185185185</v>
      </c>
      <c r="G1165" s="4"/>
      <c r="H1165" s="4" t="s">
        <v>85</v>
      </c>
      <c r="I1165" s="4" t="s">
        <v>500</v>
      </c>
      <c r="J1165" s="4" t="s">
        <v>128</v>
      </c>
      <c r="K1165" s="4"/>
      <c r="L1165" s="4"/>
      <c r="M1165" s="4"/>
      <c r="N1165" s="4" t="s">
        <v>70</v>
      </c>
      <c r="O1165" s="51" t="b">
        <v>0</v>
      </c>
      <c r="P1165" s="51" t="b">
        <v>0</v>
      </c>
      <c r="Q1165" s="51" t="b">
        <v>0</v>
      </c>
      <c r="R1165" s="51" t="b">
        <v>0</v>
      </c>
      <c r="S1165" s="51" t="b">
        <v>0</v>
      </c>
    </row>
    <row r="1166">
      <c r="A1166" s="56" t="str">
        <f>IFERROR(__xludf.DUMMYFUNCTION("""COMPUTED_VALUE"""),"271 - Channel")</f>
        <v>271 - Channel</v>
      </c>
      <c r="B1166" s="56" t="s">
        <v>785</v>
      </c>
      <c r="C1166" s="56" t="s">
        <v>289</v>
      </c>
      <c r="D1166" s="57">
        <v>0.6269560185185185</v>
      </c>
      <c r="E1166" s="57">
        <v>3.4722222222222224E-4</v>
      </c>
      <c r="F1166" s="57">
        <v>0.6273032407407407</v>
      </c>
      <c r="G1166" s="56" t="s">
        <v>314</v>
      </c>
      <c r="H1166" s="56" t="s">
        <v>81</v>
      </c>
      <c r="I1166" s="56" t="s">
        <v>81</v>
      </c>
      <c r="J1166" s="56" t="s">
        <v>92</v>
      </c>
      <c r="K1166" s="56"/>
      <c r="L1166" s="56"/>
      <c r="M1166" s="56"/>
      <c r="N1166" s="56" t="s">
        <v>70</v>
      </c>
      <c r="O1166" s="51" t="b">
        <v>0</v>
      </c>
      <c r="P1166" s="51" t="b">
        <v>0</v>
      </c>
      <c r="Q1166" s="51" t="b">
        <v>0</v>
      </c>
      <c r="R1166" s="51" t="b">
        <v>0</v>
      </c>
      <c r="S1166" s="51" t="b">
        <v>0</v>
      </c>
      <c r="T1166" s="56"/>
    </row>
    <row r="1167">
      <c r="A1167" s="56" t="str">
        <f>IFERROR(__xludf.DUMMYFUNCTION("""COMPUTED_VALUE"""),"272 - Channel")</f>
        <v>272 - Channel</v>
      </c>
      <c r="B1167" s="56" t="s">
        <v>785</v>
      </c>
      <c r="C1167" s="56" t="s">
        <v>289</v>
      </c>
      <c r="D1167" s="57">
        <v>0.6273032407407407</v>
      </c>
      <c r="E1167" s="57">
        <v>0.01423611111111111</v>
      </c>
      <c r="F1167" s="57">
        <v>0.6415393518518518</v>
      </c>
      <c r="G1167" s="56" t="s">
        <v>658</v>
      </c>
      <c r="H1167" s="56" t="s">
        <v>74</v>
      </c>
      <c r="I1167" s="56" t="s">
        <v>1618</v>
      </c>
      <c r="J1167" s="56" t="s">
        <v>1619</v>
      </c>
      <c r="K1167" s="56" t="s">
        <v>1620</v>
      </c>
      <c r="L1167" s="56" t="s">
        <v>1621</v>
      </c>
      <c r="M1167" s="56" t="s">
        <v>1622</v>
      </c>
      <c r="N1167" s="56" t="s">
        <v>1623</v>
      </c>
      <c r="O1167" s="51" t="b">
        <v>0</v>
      </c>
      <c r="P1167" s="51" t="b">
        <v>0</v>
      </c>
      <c r="Q1167" s="51" t="b">
        <v>0</v>
      </c>
      <c r="R1167" s="51" t="b">
        <v>0</v>
      </c>
      <c r="S1167" s="51" t="b">
        <v>0</v>
      </c>
      <c r="T1167" s="56"/>
    </row>
    <row r="1168" hidden="1">
      <c r="A1168" s="4" t="str">
        <f>IFERROR(__xludf.DUMMYFUNCTION("""COMPUTED_VALUE"""),"273 - Channel")</f>
        <v>273 - Channel</v>
      </c>
      <c r="B1168" s="4" t="s">
        <v>785</v>
      </c>
      <c r="C1168" s="4" t="s">
        <v>289</v>
      </c>
      <c r="D1168" s="6">
        <v>0.6415393518518518</v>
      </c>
      <c r="E1168" s="6">
        <v>1.7361111111111112E-4</v>
      </c>
      <c r="F1168" s="6">
        <v>0.641712962962963</v>
      </c>
      <c r="G1168" s="4" t="s">
        <v>314</v>
      </c>
      <c r="H1168" s="4" t="s">
        <v>85</v>
      </c>
      <c r="I1168" s="4" t="s">
        <v>85</v>
      </c>
      <c r="J1168" s="4" t="s">
        <v>128</v>
      </c>
      <c r="K1168" s="4"/>
      <c r="L1168" s="4"/>
      <c r="M1168" s="4"/>
      <c r="N1168" s="4" t="s">
        <v>70</v>
      </c>
      <c r="O1168" s="51" t="b">
        <v>0</v>
      </c>
      <c r="P1168" s="51" t="b">
        <v>0</v>
      </c>
      <c r="Q1168" s="51" t="b">
        <v>0</v>
      </c>
      <c r="R1168" s="51" t="b">
        <v>0</v>
      </c>
      <c r="S1168" s="51" t="b">
        <v>0</v>
      </c>
    </row>
    <row r="1169">
      <c r="A1169" s="4" t="str">
        <f>IFERROR(__xludf.DUMMYFUNCTION("""COMPUTED_VALUE"""),"607 - Channel")</f>
        <v>607 - Channel</v>
      </c>
      <c r="B1169" s="4" t="s">
        <v>785</v>
      </c>
      <c r="C1169" s="4" t="s">
        <v>221</v>
      </c>
      <c r="D1169" s="6">
        <v>0.641712962962963</v>
      </c>
      <c r="E1169" s="6">
        <v>1.7361111111111112E-4</v>
      </c>
      <c r="F1169" s="6">
        <v>0.6418865740740741</v>
      </c>
      <c r="G1169" s="4" t="s">
        <v>737</v>
      </c>
      <c r="H1169" s="4" t="s">
        <v>74</v>
      </c>
      <c r="I1169" s="4" t="s">
        <v>1763</v>
      </c>
      <c r="J1169" s="4" t="s">
        <v>1647</v>
      </c>
      <c r="K1169" s="4" t="s">
        <v>1648</v>
      </c>
      <c r="L1169" s="4" t="s">
        <v>1649</v>
      </c>
      <c r="M1169" s="4"/>
      <c r="N1169" s="4" t="s">
        <v>859</v>
      </c>
      <c r="O1169" s="51" t="b">
        <v>0</v>
      </c>
      <c r="P1169" s="51" t="b">
        <v>0</v>
      </c>
      <c r="Q1169" s="51" t="b">
        <v>0</v>
      </c>
      <c r="R1169" s="51" t="b">
        <v>0</v>
      </c>
      <c r="S1169" s="51" t="b">
        <v>0</v>
      </c>
    </row>
    <row r="1170" hidden="1">
      <c r="A1170" s="56" t="str">
        <f>IFERROR(__xludf.DUMMYFUNCTION("""COMPUTED_VALUE"""),"1437 - Channel")</f>
        <v>1437 - Channel</v>
      </c>
      <c r="B1170" s="56" t="s">
        <v>785</v>
      </c>
      <c r="C1170" s="56" t="s">
        <v>66</v>
      </c>
      <c r="D1170" s="57">
        <v>0.6418865740740741</v>
      </c>
      <c r="E1170" s="57">
        <v>3.4722222222222224E-4</v>
      </c>
      <c r="F1170" s="57">
        <v>0.6422337962962964</v>
      </c>
      <c r="G1170" s="56"/>
      <c r="H1170" s="56" t="s">
        <v>81</v>
      </c>
      <c r="I1170" s="56" t="s">
        <v>81</v>
      </c>
      <c r="J1170" s="56" t="s">
        <v>128</v>
      </c>
      <c r="K1170" s="56"/>
      <c r="L1170" s="56"/>
      <c r="M1170" s="56"/>
      <c r="N1170" s="56" t="s">
        <v>70</v>
      </c>
      <c r="O1170" s="51" t="b">
        <v>0</v>
      </c>
      <c r="P1170" s="51" t="b">
        <v>0</v>
      </c>
      <c r="Q1170" s="51" t="b">
        <v>0</v>
      </c>
      <c r="R1170" s="51" t="b">
        <v>0</v>
      </c>
      <c r="S1170" s="51" t="b">
        <v>0</v>
      </c>
      <c r="T1170" s="56"/>
    </row>
    <row r="1171">
      <c r="A1171" s="4" t="str">
        <f>IFERROR(__xludf.DUMMYFUNCTION("""COMPUTED_VALUE"""),"127 - Channel")</f>
        <v>127 - Channel</v>
      </c>
      <c r="B1171" s="4" t="s">
        <v>785</v>
      </c>
      <c r="C1171" s="4" t="s">
        <v>66</v>
      </c>
      <c r="D1171" s="6">
        <v>0.6422337962962964</v>
      </c>
      <c r="E1171" s="6">
        <v>0.0020833333333333333</v>
      </c>
      <c r="F1171" s="6">
        <v>0.6443171296296297</v>
      </c>
      <c r="G1171" s="4" t="s">
        <v>195</v>
      </c>
      <c r="H1171" s="4" t="s">
        <v>165</v>
      </c>
      <c r="I1171" s="4" t="s">
        <v>1105</v>
      </c>
      <c r="J1171" s="4" t="s">
        <v>1107</v>
      </c>
      <c r="K1171" s="4"/>
      <c r="L1171" s="4"/>
      <c r="M1171" s="4"/>
      <c r="N1171" s="4" t="s">
        <v>70</v>
      </c>
      <c r="O1171" s="51" t="b">
        <v>0</v>
      </c>
      <c r="P1171" s="51" t="b">
        <v>0</v>
      </c>
      <c r="Q1171" s="51" t="b">
        <v>0</v>
      </c>
      <c r="R1171" s="51" t="b">
        <v>0</v>
      </c>
      <c r="S1171" s="51" t="b">
        <v>0</v>
      </c>
    </row>
    <row r="1172" hidden="1">
      <c r="A1172" s="4" t="str">
        <f>IFERROR(__xludf.DUMMYFUNCTION("""COMPUTED_VALUE"""),"128 - Channel")</f>
        <v>128 - Channel</v>
      </c>
      <c r="B1172" s="4" t="s">
        <v>785</v>
      </c>
      <c r="C1172" s="4" t="s">
        <v>66</v>
      </c>
      <c r="D1172" s="6">
        <v>0.6443171296296297</v>
      </c>
      <c r="E1172" s="6">
        <v>3.4722222222222224E-4</v>
      </c>
      <c r="F1172" s="6">
        <v>0.644664351851852</v>
      </c>
      <c r="G1172" s="4"/>
      <c r="H1172" s="4" t="s">
        <v>81</v>
      </c>
      <c r="I1172" s="4" t="s">
        <v>974</v>
      </c>
      <c r="J1172" s="4" t="s">
        <v>105</v>
      </c>
      <c r="K1172" s="4"/>
      <c r="L1172" s="4"/>
      <c r="M1172" s="4"/>
      <c r="N1172" s="4" t="s">
        <v>70</v>
      </c>
      <c r="O1172" s="51" t="b">
        <v>0</v>
      </c>
      <c r="P1172" s="51" t="b">
        <v>0</v>
      </c>
      <c r="Q1172" s="51" t="b">
        <v>0</v>
      </c>
      <c r="R1172" s="51" t="b">
        <v>0</v>
      </c>
      <c r="S1172" s="51" t="b">
        <v>0</v>
      </c>
    </row>
    <row r="1173">
      <c r="A1173" s="56" t="str">
        <f>IFERROR(__xludf.DUMMYFUNCTION("""COMPUTED_VALUE"""),"359 - Channel")</f>
        <v>359 - Channel</v>
      </c>
      <c r="B1173" s="56" t="s">
        <v>785</v>
      </c>
      <c r="C1173" s="56" t="s">
        <v>289</v>
      </c>
      <c r="D1173" s="57">
        <v>0.644664351851852</v>
      </c>
      <c r="E1173" s="57">
        <v>3.4722222222222224E-4</v>
      </c>
      <c r="F1173" s="57">
        <v>0.6450115740740743</v>
      </c>
      <c r="G1173" s="56"/>
      <c r="H1173" s="56" t="s">
        <v>81</v>
      </c>
      <c r="I1173" s="56" t="s">
        <v>81</v>
      </c>
      <c r="J1173" s="56"/>
      <c r="K1173" s="56"/>
      <c r="L1173" s="56"/>
      <c r="M1173" s="56"/>
      <c r="N1173" s="56" t="s">
        <v>70</v>
      </c>
      <c r="O1173" s="51" t="b">
        <v>0</v>
      </c>
      <c r="P1173" s="51" t="b">
        <v>0</v>
      </c>
      <c r="Q1173" s="51" t="b">
        <v>0</v>
      </c>
      <c r="R1173" s="51" t="b">
        <v>0</v>
      </c>
      <c r="S1173" s="51" t="b">
        <v>0</v>
      </c>
      <c r="T1173" s="56"/>
    </row>
    <row r="1174">
      <c r="A1174" s="4" t="str">
        <f>IFERROR(__xludf.DUMMYFUNCTION("""COMPUTED_VALUE"""),"360 - Channel")</f>
        <v>360 - Channel</v>
      </c>
      <c r="B1174" s="4" t="s">
        <v>785</v>
      </c>
      <c r="C1174" s="4" t="s">
        <v>289</v>
      </c>
      <c r="D1174" s="6">
        <v>0.6450115740740743</v>
      </c>
      <c r="E1174" s="6">
        <v>0.006944444444444444</v>
      </c>
      <c r="F1174" s="6">
        <v>0.6519560185185187</v>
      </c>
      <c r="G1174" s="4"/>
      <c r="H1174" s="4" t="s">
        <v>165</v>
      </c>
      <c r="I1174" s="4" t="s">
        <v>1768</v>
      </c>
      <c r="J1174" s="4" t="s">
        <v>1769</v>
      </c>
      <c r="K1174" s="4"/>
      <c r="L1174" s="4"/>
      <c r="M1174" s="4"/>
      <c r="N1174" s="4" t="s">
        <v>70</v>
      </c>
      <c r="O1174" s="51" t="b">
        <v>0</v>
      </c>
      <c r="P1174" s="51" t="b">
        <v>0</v>
      </c>
      <c r="Q1174" s="51" t="b">
        <v>0</v>
      </c>
      <c r="R1174" s="51" t="b">
        <v>0</v>
      </c>
      <c r="S1174" s="51" t="b">
        <v>0</v>
      </c>
    </row>
    <row r="1175" hidden="1">
      <c r="A1175" s="4" t="str">
        <f>IFERROR(__xludf.DUMMYFUNCTION("""COMPUTED_VALUE"""),"361 - Channel")</f>
        <v>361 - Channel</v>
      </c>
      <c r="B1175" s="4" t="s">
        <v>785</v>
      </c>
      <c r="C1175" s="4" t="s">
        <v>289</v>
      </c>
      <c r="D1175" s="6">
        <v>0.6519560185185187</v>
      </c>
      <c r="E1175" s="6">
        <v>1.7361111111111112E-4</v>
      </c>
      <c r="F1175" s="6">
        <v>0.6521296296296298</v>
      </c>
      <c r="G1175" s="4"/>
      <c r="H1175" s="4" t="s">
        <v>85</v>
      </c>
      <c r="I1175" s="4" t="s">
        <v>85</v>
      </c>
      <c r="J1175" s="4"/>
      <c r="K1175" s="4"/>
      <c r="L1175" s="4"/>
      <c r="M1175" s="4"/>
      <c r="N1175" s="4" t="s">
        <v>70</v>
      </c>
      <c r="O1175" s="51" t="b">
        <v>0</v>
      </c>
      <c r="P1175" s="51" t="b">
        <v>0</v>
      </c>
      <c r="Q1175" s="51" t="b">
        <v>0</v>
      </c>
      <c r="R1175" s="51" t="b">
        <v>0</v>
      </c>
      <c r="S1175" s="51" t="b">
        <v>0</v>
      </c>
    </row>
    <row r="1176">
      <c r="A1176" s="56" t="str">
        <f>IFERROR(__xludf.DUMMYFUNCTION("""COMPUTED_VALUE"""),"366 - Channel")</f>
        <v>366 - Channel</v>
      </c>
      <c r="B1176" s="56" t="s">
        <v>785</v>
      </c>
      <c r="C1176" s="56" t="s">
        <v>289</v>
      </c>
      <c r="D1176" s="57">
        <v>0.6521296296296298</v>
      </c>
      <c r="E1176" s="57">
        <v>3.4722222222222224E-4</v>
      </c>
      <c r="F1176" s="57">
        <v>0.6524768518518521</v>
      </c>
      <c r="G1176" s="56"/>
      <c r="H1176" s="56" t="s">
        <v>81</v>
      </c>
      <c r="I1176" s="56" t="s">
        <v>81</v>
      </c>
      <c r="J1176" s="56"/>
      <c r="K1176" s="56"/>
      <c r="L1176" s="56"/>
      <c r="M1176" s="56"/>
      <c r="N1176" s="56" t="s">
        <v>70</v>
      </c>
      <c r="O1176" s="51" t="b">
        <v>0</v>
      </c>
      <c r="P1176" s="51" t="b">
        <v>0</v>
      </c>
      <c r="Q1176" s="51" t="b">
        <v>0</v>
      </c>
      <c r="R1176" s="51" t="b">
        <v>0</v>
      </c>
      <c r="S1176" s="51" t="b">
        <v>0</v>
      </c>
      <c r="T1176" s="56"/>
    </row>
    <row r="1177">
      <c r="A1177" s="4" t="str">
        <f>IFERROR(__xludf.DUMMYFUNCTION("""COMPUTED_VALUE"""),"367 - Channel")</f>
        <v>367 - Channel</v>
      </c>
      <c r="B1177" s="4" t="s">
        <v>785</v>
      </c>
      <c r="C1177" s="4" t="s">
        <v>289</v>
      </c>
      <c r="D1177" s="6">
        <v>0.6524768518518521</v>
      </c>
      <c r="E1177" s="6">
        <v>0.010416666666666666</v>
      </c>
      <c r="F1177" s="6">
        <v>0.6628935185185187</v>
      </c>
      <c r="G1177" s="4" t="s">
        <v>140</v>
      </c>
      <c r="H1177" s="4" t="s">
        <v>74</v>
      </c>
      <c r="I1177" s="4" t="s">
        <v>1771</v>
      </c>
      <c r="J1177" s="4" t="s">
        <v>1772</v>
      </c>
      <c r="K1177" s="4" t="s">
        <v>1773</v>
      </c>
      <c r="L1177" s="4" t="s">
        <v>1774</v>
      </c>
      <c r="M1177" s="4"/>
      <c r="N1177" s="4" t="s">
        <v>1775</v>
      </c>
      <c r="O1177" s="51" t="b">
        <v>0</v>
      </c>
      <c r="P1177" s="51" t="b">
        <v>0</v>
      </c>
      <c r="Q1177" s="51" t="b">
        <v>0</v>
      </c>
      <c r="R1177" s="51" t="b">
        <v>0</v>
      </c>
      <c r="S1177" s="51" t="b">
        <v>0</v>
      </c>
    </row>
    <row r="1178" hidden="1">
      <c r="A1178" s="4" t="str">
        <f>IFERROR(__xludf.DUMMYFUNCTION("""COMPUTED_VALUE"""),"368 - Channel")</f>
        <v>368 - Channel</v>
      </c>
      <c r="B1178" s="4" t="s">
        <v>785</v>
      </c>
      <c r="C1178" s="4" t="s">
        <v>289</v>
      </c>
      <c r="D1178" s="6">
        <v>0.6628935185185187</v>
      </c>
      <c r="E1178" s="6">
        <v>1.7361111111111112E-4</v>
      </c>
      <c r="F1178" s="6">
        <v>0.6630671296296299</v>
      </c>
      <c r="G1178" s="4"/>
      <c r="H1178" s="4"/>
      <c r="I1178" s="4"/>
      <c r="J1178" s="4"/>
      <c r="K1178" s="4"/>
      <c r="L1178" s="4"/>
      <c r="M1178" s="4"/>
      <c r="N1178" s="4" t="s">
        <v>70</v>
      </c>
      <c r="O1178" s="51" t="b">
        <v>0</v>
      </c>
      <c r="P1178" s="51" t="b">
        <v>0</v>
      </c>
      <c r="Q1178" s="51" t="b">
        <v>0</v>
      </c>
      <c r="R1178" s="51" t="b">
        <v>0</v>
      </c>
      <c r="S1178" s="51" t="b">
        <v>0</v>
      </c>
    </row>
    <row r="1179" hidden="1">
      <c r="A1179" s="56" t="str">
        <f>IFERROR(__xludf.DUMMYFUNCTION("""COMPUTED_VALUE"""),"92 - Channel")</f>
        <v>92 - Channel</v>
      </c>
      <c r="B1179" s="56" t="s">
        <v>785</v>
      </c>
      <c r="C1179" s="56" t="s">
        <v>289</v>
      </c>
      <c r="D1179" s="57">
        <v>0.6630671296296299</v>
      </c>
      <c r="E1179" s="57">
        <v>3.4722222222222224E-4</v>
      </c>
      <c r="F1179" s="57">
        <v>0.6634143518518522</v>
      </c>
      <c r="G1179" s="56"/>
      <c r="H1179" s="56" t="s">
        <v>81</v>
      </c>
      <c r="I1179" s="56" t="s">
        <v>81</v>
      </c>
      <c r="J1179" s="56" t="s">
        <v>105</v>
      </c>
      <c r="K1179" s="56"/>
      <c r="L1179" s="56"/>
      <c r="M1179" s="56"/>
      <c r="N1179" s="56" t="s">
        <v>70</v>
      </c>
      <c r="O1179" s="51" t="b">
        <v>0</v>
      </c>
      <c r="P1179" s="51" t="b">
        <v>0</v>
      </c>
      <c r="Q1179" s="51" t="b">
        <v>0</v>
      </c>
      <c r="R1179" s="51" t="b">
        <v>0</v>
      </c>
      <c r="S1179" s="51" t="b">
        <v>0</v>
      </c>
      <c r="T1179" s="56"/>
    </row>
    <row r="1180">
      <c r="A1180" s="4" t="str">
        <f>IFERROR(__xludf.DUMMYFUNCTION("""COMPUTED_VALUE"""),"190 - Channel")</f>
        <v>190 - Channel</v>
      </c>
      <c r="B1180" s="4" t="s">
        <v>785</v>
      </c>
      <c r="C1180" s="4" t="s">
        <v>289</v>
      </c>
      <c r="D1180" s="6">
        <v>0.6634143518518522</v>
      </c>
      <c r="E1180" s="6">
        <v>0.006944444444444444</v>
      </c>
      <c r="F1180" s="6">
        <v>0.6703587962962966</v>
      </c>
      <c r="G1180" s="4"/>
      <c r="H1180" s="4" t="s">
        <v>165</v>
      </c>
      <c r="I1180" s="4" t="s">
        <v>1351</v>
      </c>
      <c r="J1180" s="4" t="s">
        <v>1352</v>
      </c>
      <c r="K1180" s="4"/>
      <c r="L1180" s="4"/>
      <c r="M1180" s="4"/>
      <c r="N1180" s="4"/>
      <c r="O1180" s="51" t="b">
        <v>0</v>
      </c>
      <c r="P1180" s="51" t="b">
        <v>0</v>
      </c>
      <c r="Q1180" s="51" t="b">
        <v>0</v>
      </c>
      <c r="R1180" s="51" t="b">
        <v>0</v>
      </c>
      <c r="S1180" s="51" t="b">
        <v>0</v>
      </c>
    </row>
    <row r="1181" hidden="1">
      <c r="A1181" s="4" t="str">
        <f>IFERROR(__xludf.DUMMYFUNCTION("""COMPUTED_VALUE"""),"94 - Channel")</f>
        <v>94 - Channel</v>
      </c>
      <c r="B1181" s="4" t="s">
        <v>785</v>
      </c>
      <c r="C1181" s="4" t="s">
        <v>289</v>
      </c>
      <c r="D1181" s="6">
        <v>0.6703587962962966</v>
      </c>
      <c r="E1181" s="6">
        <v>1.7361111111111112E-4</v>
      </c>
      <c r="F1181" s="6">
        <v>0.6705324074074077</v>
      </c>
      <c r="G1181" s="4"/>
      <c r="H1181" s="4" t="s">
        <v>85</v>
      </c>
      <c r="I1181" s="4" t="s">
        <v>974</v>
      </c>
      <c r="J1181" s="4" t="s">
        <v>128</v>
      </c>
      <c r="K1181" s="4"/>
      <c r="L1181" s="4"/>
      <c r="M1181" s="4"/>
      <c r="N1181" s="4" t="s">
        <v>70</v>
      </c>
      <c r="O1181" s="51" t="b">
        <v>0</v>
      </c>
      <c r="P1181" s="51" t="b">
        <v>0</v>
      </c>
      <c r="Q1181" s="51" t="b">
        <v>0</v>
      </c>
      <c r="R1181" s="51" t="b">
        <v>0</v>
      </c>
      <c r="S1181" s="51" t="b">
        <v>0</v>
      </c>
    </row>
    <row r="1182">
      <c r="A1182" s="56" t="str">
        <f>IFERROR(__xludf.DUMMYFUNCTION("""COMPUTED_VALUE"""),"280 - Channel")</f>
        <v>280 - Channel</v>
      </c>
      <c r="B1182" s="56" t="s">
        <v>785</v>
      </c>
      <c r="C1182" s="56" t="s">
        <v>289</v>
      </c>
      <c r="D1182" s="57">
        <v>0.6705324074074077</v>
      </c>
      <c r="E1182" s="57">
        <v>3.4722222222222224E-4</v>
      </c>
      <c r="F1182" s="57">
        <v>0.67087962962963</v>
      </c>
      <c r="G1182" s="56" t="s">
        <v>314</v>
      </c>
      <c r="H1182" s="56" t="s">
        <v>81</v>
      </c>
      <c r="I1182" s="56" t="s">
        <v>81</v>
      </c>
      <c r="J1182" s="56" t="s">
        <v>128</v>
      </c>
      <c r="K1182" s="56"/>
      <c r="L1182" s="56"/>
      <c r="M1182" s="56"/>
      <c r="N1182" s="56" t="s">
        <v>70</v>
      </c>
      <c r="O1182" s="51" t="b">
        <v>0</v>
      </c>
      <c r="P1182" s="51" t="b">
        <v>0</v>
      </c>
      <c r="Q1182" s="51" t="b">
        <v>0</v>
      </c>
      <c r="R1182" s="51" t="b">
        <v>0</v>
      </c>
      <c r="S1182" s="51" t="b">
        <v>0</v>
      </c>
      <c r="T1182" s="56"/>
    </row>
    <row r="1183">
      <c r="A1183" s="4" t="str">
        <f>IFERROR(__xludf.DUMMYFUNCTION("""COMPUTED_VALUE"""),"281 - Channel")</f>
        <v>281 - Channel</v>
      </c>
      <c r="B1183" s="4" t="s">
        <v>785</v>
      </c>
      <c r="C1183" s="4" t="s">
        <v>289</v>
      </c>
      <c r="D1183" s="6">
        <v>0.67087962962963</v>
      </c>
      <c r="E1183" s="6">
        <v>0.008055555555555555</v>
      </c>
      <c r="F1183" s="6">
        <v>0.6789351851851856</v>
      </c>
      <c r="G1183" s="4" t="s">
        <v>1040</v>
      </c>
      <c r="H1183" s="4" t="s">
        <v>107</v>
      </c>
      <c r="I1183" s="4" t="s">
        <v>1661</v>
      </c>
      <c r="J1183" s="4" t="s">
        <v>1662</v>
      </c>
      <c r="K1183" s="4" t="s">
        <v>1663</v>
      </c>
      <c r="L1183" s="4"/>
      <c r="M1183" s="4"/>
      <c r="N1183" s="4" t="s">
        <v>1664</v>
      </c>
      <c r="O1183" s="51" t="b">
        <v>0</v>
      </c>
      <c r="P1183" s="51" t="b">
        <v>0</v>
      </c>
      <c r="Q1183" s="51" t="b">
        <v>0</v>
      </c>
      <c r="R1183" s="51" t="b">
        <v>0</v>
      </c>
      <c r="S1183" s="51" t="b">
        <v>0</v>
      </c>
    </row>
    <row r="1184" hidden="1">
      <c r="A1184" s="4" t="str">
        <f>IFERROR(__xludf.DUMMYFUNCTION("""COMPUTED_VALUE"""),"282 - Channel")</f>
        <v>282 - Channel</v>
      </c>
      <c r="B1184" s="4" t="s">
        <v>785</v>
      </c>
      <c r="C1184" s="4" t="s">
        <v>289</v>
      </c>
      <c r="D1184" s="6">
        <v>0.6789351851851856</v>
      </c>
      <c r="E1184" s="6">
        <v>1.7361111111111112E-4</v>
      </c>
      <c r="F1184" s="6">
        <v>0.6791087962962967</v>
      </c>
      <c r="G1184" s="4" t="s">
        <v>314</v>
      </c>
      <c r="H1184" s="4" t="s">
        <v>85</v>
      </c>
      <c r="I1184" s="4" t="s">
        <v>85</v>
      </c>
      <c r="J1184" s="4" t="s">
        <v>128</v>
      </c>
      <c r="K1184" s="4"/>
      <c r="L1184" s="4"/>
      <c r="M1184" s="4"/>
      <c r="N1184" s="4" t="s">
        <v>70</v>
      </c>
      <c r="O1184" s="51" t="b">
        <v>0</v>
      </c>
      <c r="P1184" s="51" t="b">
        <v>0</v>
      </c>
      <c r="Q1184" s="51" t="b">
        <v>0</v>
      </c>
      <c r="R1184" s="51" t="b">
        <v>0</v>
      </c>
      <c r="S1184" s="51" t="b">
        <v>0</v>
      </c>
    </row>
    <row r="1185">
      <c r="A1185" s="4" t="str">
        <f>IFERROR(__xludf.DUMMYFUNCTION("""COMPUTED_VALUE"""),"325 - Channel")</f>
        <v>325 - Channel</v>
      </c>
      <c r="B1185" s="4" t="s">
        <v>785</v>
      </c>
      <c r="C1185" s="4" t="s">
        <v>289</v>
      </c>
      <c r="D1185" s="6">
        <v>0.6791087962962967</v>
      </c>
      <c r="E1185" s="6">
        <v>0.006944444444444444</v>
      </c>
      <c r="F1185" s="6">
        <v>0.6860532407407411</v>
      </c>
      <c r="G1185" s="4"/>
      <c r="H1185" s="4" t="s">
        <v>165</v>
      </c>
      <c r="I1185" s="4" t="s">
        <v>1781</v>
      </c>
      <c r="J1185" s="4" t="s">
        <v>1782</v>
      </c>
      <c r="K1185" s="4"/>
      <c r="L1185" s="4"/>
      <c r="M1185" s="4"/>
      <c r="N1185" s="4" t="s">
        <v>70</v>
      </c>
      <c r="O1185" s="51" t="b">
        <v>0</v>
      </c>
      <c r="P1185" s="51" t="b">
        <v>0</v>
      </c>
      <c r="Q1185" s="51" t="b">
        <v>0</v>
      </c>
      <c r="R1185" s="51" t="b">
        <v>0</v>
      </c>
      <c r="S1185" s="51" t="b">
        <v>0</v>
      </c>
    </row>
    <row r="1186" hidden="1">
      <c r="A1186" s="4" t="str">
        <f>IFERROR(__xludf.DUMMYFUNCTION("""COMPUTED_VALUE"""),"326 - Channel")</f>
        <v>326 - Channel</v>
      </c>
      <c r="B1186" s="4" t="s">
        <v>785</v>
      </c>
      <c r="C1186" s="4" t="s">
        <v>289</v>
      </c>
      <c r="D1186" s="6">
        <v>0.6860532407407411</v>
      </c>
      <c r="E1186" s="6">
        <v>1.7361111111111112E-4</v>
      </c>
      <c r="F1186" s="6">
        <v>0.6862268518518523</v>
      </c>
      <c r="G1186" s="4"/>
      <c r="H1186" s="4" t="s">
        <v>85</v>
      </c>
      <c r="I1186" s="4" t="s">
        <v>85</v>
      </c>
      <c r="J1186" s="4" t="s">
        <v>128</v>
      </c>
      <c r="K1186" s="4"/>
      <c r="L1186" s="4"/>
      <c r="M1186" s="4"/>
      <c r="N1186" s="4" t="s">
        <v>70</v>
      </c>
      <c r="O1186" s="51" t="b">
        <v>0</v>
      </c>
      <c r="P1186" s="51" t="b">
        <v>0</v>
      </c>
      <c r="Q1186" s="51" t="b">
        <v>0</v>
      </c>
      <c r="R1186" s="51" t="b">
        <v>0</v>
      </c>
      <c r="S1186" s="51" t="b">
        <v>0</v>
      </c>
    </row>
    <row r="1187">
      <c r="A1187" s="4" t="str">
        <f>IFERROR(__xludf.DUMMYFUNCTION("""COMPUTED_VALUE"""),"353 - Channel")</f>
        <v>353 - Channel</v>
      </c>
      <c r="B1187" s="4" t="s">
        <v>785</v>
      </c>
      <c r="C1187" s="4" t="s">
        <v>289</v>
      </c>
      <c r="D1187" s="6">
        <v>0.6862268518518523</v>
      </c>
      <c r="E1187" s="6">
        <v>3.4722222222222224E-4</v>
      </c>
      <c r="F1187" s="6">
        <v>0.6865740740740746</v>
      </c>
      <c r="G1187" s="4" t="s">
        <v>314</v>
      </c>
      <c r="H1187" s="4" t="s">
        <v>81</v>
      </c>
      <c r="I1187" s="4" t="s">
        <v>81</v>
      </c>
      <c r="J1187" s="4" t="s">
        <v>128</v>
      </c>
      <c r="K1187" s="4"/>
      <c r="L1187" s="4"/>
      <c r="M1187" s="4"/>
      <c r="N1187" s="4" t="s">
        <v>70</v>
      </c>
      <c r="O1187" s="51" t="b">
        <v>0</v>
      </c>
      <c r="P1187" s="51" t="b">
        <v>0</v>
      </c>
      <c r="Q1187" s="51" t="b">
        <v>0</v>
      </c>
      <c r="R1187" s="51" t="b">
        <v>0</v>
      </c>
      <c r="S1187" s="51" t="b">
        <v>0</v>
      </c>
    </row>
    <row r="1188">
      <c r="A1188" s="4" t="str">
        <f>IFERROR(__xludf.DUMMYFUNCTION("""COMPUTED_VALUE"""),"354 - Channel")</f>
        <v>354 - Channel</v>
      </c>
      <c r="B1188" s="4" t="s">
        <v>785</v>
      </c>
      <c r="C1188" s="4" t="s">
        <v>289</v>
      </c>
      <c r="D1188" s="6">
        <v>0.6865740740740746</v>
      </c>
      <c r="E1188" s="6">
        <v>0.008333333333333333</v>
      </c>
      <c r="F1188" s="6">
        <v>0.6949074074074079</v>
      </c>
      <c r="G1188" s="4" t="s">
        <v>481</v>
      </c>
      <c r="H1188" s="4" t="s">
        <v>165</v>
      </c>
      <c r="I1188" s="4" t="s">
        <v>1785</v>
      </c>
      <c r="J1188" s="4" t="s">
        <v>1786</v>
      </c>
      <c r="K1188" s="4"/>
      <c r="L1188" s="4"/>
      <c r="M1188" s="4"/>
      <c r="N1188" s="4" t="s">
        <v>70</v>
      </c>
      <c r="O1188" s="51" t="b">
        <v>0</v>
      </c>
      <c r="P1188" s="51" t="b">
        <v>0</v>
      </c>
      <c r="Q1188" s="51" t="b">
        <v>0</v>
      </c>
      <c r="R1188" s="51" t="b">
        <v>0</v>
      </c>
      <c r="S1188" s="51" t="b">
        <v>0</v>
      </c>
    </row>
    <row r="1189" hidden="1">
      <c r="A1189" s="4" t="str">
        <f>IFERROR(__xludf.DUMMYFUNCTION("""COMPUTED_VALUE"""),"355 - Channel")</f>
        <v>355 - Channel</v>
      </c>
      <c r="B1189" s="4" t="s">
        <v>785</v>
      </c>
      <c r="C1189" s="4" t="s">
        <v>289</v>
      </c>
      <c r="D1189" s="6">
        <v>0.6949074074074079</v>
      </c>
      <c r="E1189" s="6">
        <v>1.7361111111111112E-4</v>
      </c>
      <c r="F1189" s="6">
        <v>0.695081018518519</v>
      </c>
      <c r="G1189" s="4"/>
      <c r="H1189" s="4" t="s">
        <v>85</v>
      </c>
      <c r="I1189" s="4" t="s">
        <v>85</v>
      </c>
      <c r="J1189" s="4" t="s">
        <v>92</v>
      </c>
      <c r="K1189" s="4"/>
      <c r="L1189" s="4"/>
      <c r="M1189" s="4"/>
      <c r="N1189" s="4" t="s">
        <v>70</v>
      </c>
      <c r="O1189" s="51" t="b">
        <v>0</v>
      </c>
      <c r="P1189" s="51" t="b">
        <v>0</v>
      </c>
      <c r="Q1189" s="51" t="b">
        <v>0</v>
      </c>
      <c r="R1189" s="51" t="b">
        <v>0</v>
      </c>
      <c r="S1189" s="51" t="b">
        <v>0</v>
      </c>
    </row>
    <row r="1190">
      <c r="A1190" s="4" t="str">
        <f>IFERROR(__xludf.DUMMYFUNCTION("""COMPUTED_VALUE"""),"997 - Channel")</f>
        <v>997 - Channel</v>
      </c>
      <c r="B1190" s="4" t="s">
        <v>785</v>
      </c>
      <c r="C1190" s="4" t="s">
        <v>221</v>
      </c>
      <c r="D1190" s="6">
        <v>0.695081018518519</v>
      </c>
      <c r="E1190" s="6">
        <v>3.4722222222222224E-4</v>
      </c>
      <c r="F1190" s="6">
        <v>0.6954282407407413</v>
      </c>
      <c r="G1190" s="4" t="s">
        <v>331</v>
      </c>
      <c r="H1190" s="4" t="s">
        <v>81</v>
      </c>
      <c r="I1190" s="4" t="s">
        <v>81</v>
      </c>
      <c r="J1190" s="4"/>
      <c r="K1190" s="4"/>
      <c r="L1190" s="4"/>
      <c r="M1190" s="4"/>
      <c r="N1190" s="4" t="s">
        <v>70</v>
      </c>
      <c r="O1190" s="51" t="b">
        <v>0</v>
      </c>
      <c r="P1190" s="51" t="b">
        <v>0</v>
      </c>
      <c r="Q1190" s="51" t="b">
        <v>0</v>
      </c>
      <c r="R1190" s="51" t="b">
        <v>0</v>
      </c>
      <c r="S1190" s="51" t="b">
        <v>0</v>
      </c>
    </row>
    <row r="1191">
      <c r="A1191" s="4" t="str">
        <f>IFERROR(__xludf.DUMMYFUNCTION("""COMPUTED_VALUE"""),"998 - Channel")</f>
        <v>998 - Channel</v>
      </c>
      <c r="B1191" s="4" t="s">
        <v>785</v>
      </c>
      <c r="C1191" s="4" t="s">
        <v>221</v>
      </c>
      <c r="D1191" s="6">
        <v>0.6954282407407413</v>
      </c>
      <c r="E1191" s="6">
        <v>0.008333333333333333</v>
      </c>
      <c r="F1191" s="6">
        <v>0.7037615740740746</v>
      </c>
      <c r="G1191" s="4" t="s">
        <v>331</v>
      </c>
      <c r="H1191" s="4" t="s">
        <v>107</v>
      </c>
      <c r="I1191" s="4" t="s">
        <v>1789</v>
      </c>
      <c r="J1191" s="4" t="s">
        <v>1790</v>
      </c>
      <c r="K1191" s="4" t="s">
        <v>1791</v>
      </c>
      <c r="L1191" s="4"/>
      <c r="M1191" s="4"/>
      <c r="N1191" s="4" t="s">
        <v>1775</v>
      </c>
      <c r="O1191" s="51" t="b">
        <v>0</v>
      </c>
      <c r="P1191" s="51" t="b">
        <v>0</v>
      </c>
      <c r="Q1191" s="51" t="b">
        <v>0</v>
      </c>
      <c r="R1191" s="51" t="b">
        <v>0</v>
      </c>
      <c r="S1191" s="51" t="b">
        <v>0</v>
      </c>
    </row>
    <row r="1192" hidden="1">
      <c r="A1192" s="4" t="str">
        <f>IFERROR(__xludf.DUMMYFUNCTION("""COMPUTED_VALUE"""),"999 - Channel")</f>
        <v>999 - Channel</v>
      </c>
      <c r="B1192" s="4" t="s">
        <v>785</v>
      </c>
      <c r="C1192" s="4" t="s">
        <v>221</v>
      </c>
      <c r="D1192" s="6">
        <v>0.7037615740740746</v>
      </c>
      <c r="E1192" s="6">
        <v>1.7361111111111112E-4</v>
      </c>
      <c r="F1192" s="6">
        <v>0.7039351851851857</v>
      </c>
      <c r="G1192" s="4" t="s">
        <v>331</v>
      </c>
      <c r="H1192" s="4" t="s">
        <v>85</v>
      </c>
      <c r="I1192" s="4" t="s">
        <v>85</v>
      </c>
      <c r="J1192" s="4"/>
      <c r="K1192" s="4"/>
      <c r="L1192" s="4"/>
      <c r="M1192" s="4"/>
      <c r="N1192" s="4" t="s">
        <v>70</v>
      </c>
      <c r="O1192" s="51" t="b">
        <v>0</v>
      </c>
      <c r="P1192" s="51" t="b">
        <v>0</v>
      </c>
      <c r="Q1192" s="51" t="b">
        <v>0</v>
      </c>
      <c r="R1192" s="51" t="b">
        <v>0</v>
      </c>
      <c r="S1192" s="51" t="b">
        <v>0</v>
      </c>
    </row>
    <row r="1193">
      <c r="A1193" s="4" t="str">
        <f>IFERROR(__xludf.DUMMYFUNCTION("""COMPUTED_VALUE"""),"1064 - Channel")</f>
        <v>1064 - Channel</v>
      </c>
      <c r="B1193" s="4" t="s">
        <v>785</v>
      </c>
      <c r="C1193" s="4" t="s">
        <v>289</v>
      </c>
      <c r="D1193" s="6">
        <v>0.7039351851851857</v>
      </c>
      <c r="E1193" s="6">
        <v>3.4722222222222224E-4</v>
      </c>
      <c r="F1193" s="6">
        <v>0.704282407407408</v>
      </c>
      <c r="G1193" s="4" t="s">
        <v>1345</v>
      </c>
      <c r="H1193" s="4" t="s">
        <v>81</v>
      </c>
      <c r="I1193" s="4" t="s">
        <v>81</v>
      </c>
      <c r="J1193" s="4"/>
      <c r="K1193" s="4"/>
      <c r="L1193" s="4"/>
      <c r="M1193" s="4"/>
      <c r="N1193" s="4" t="s">
        <v>70</v>
      </c>
      <c r="O1193" s="51" t="b">
        <v>0</v>
      </c>
      <c r="P1193" s="51" t="b">
        <v>0</v>
      </c>
      <c r="Q1193" s="51" t="b">
        <v>0</v>
      </c>
      <c r="R1193" s="51" t="b">
        <v>0</v>
      </c>
      <c r="S1193" s="51" t="b">
        <v>0</v>
      </c>
    </row>
    <row r="1194">
      <c r="A1194" s="4" t="str">
        <f>IFERROR(__xludf.DUMMYFUNCTION("""COMPUTED_VALUE"""),"1065 - Channel")</f>
        <v>1065 - Channel</v>
      </c>
      <c r="B1194" s="4" t="s">
        <v>785</v>
      </c>
      <c r="C1194" s="4" t="s">
        <v>289</v>
      </c>
      <c r="D1194" s="6">
        <v>0.704282407407408</v>
      </c>
      <c r="E1194" s="6">
        <v>0.007326388888888889</v>
      </c>
      <c r="F1194" s="6">
        <v>0.7116087962962969</v>
      </c>
      <c r="G1194" s="4" t="s">
        <v>1345</v>
      </c>
      <c r="H1194" s="4" t="s">
        <v>165</v>
      </c>
      <c r="I1194" s="4" t="s">
        <v>1794</v>
      </c>
      <c r="J1194" s="4" t="s">
        <v>1795</v>
      </c>
      <c r="K1194" s="4"/>
      <c r="L1194" s="4"/>
      <c r="M1194" s="4"/>
      <c r="N1194" s="4" t="s">
        <v>70</v>
      </c>
      <c r="O1194" s="51" t="b">
        <v>0</v>
      </c>
      <c r="P1194" s="51" t="b">
        <v>0</v>
      </c>
      <c r="Q1194" s="51" t="b">
        <v>0</v>
      </c>
      <c r="R1194" s="51" t="b">
        <v>0</v>
      </c>
      <c r="S1194" s="51" t="b">
        <v>0</v>
      </c>
    </row>
    <row r="1195" hidden="1">
      <c r="A1195" s="4" t="str">
        <f>IFERROR(__xludf.DUMMYFUNCTION("""COMPUTED_VALUE"""),"1066 - Channel")</f>
        <v>1066 - Channel</v>
      </c>
      <c r="B1195" s="4" t="s">
        <v>785</v>
      </c>
      <c r="C1195" s="4" t="s">
        <v>289</v>
      </c>
      <c r="D1195" s="6">
        <v>0.7116087962962969</v>
      </c>
      <c r="E1195" s="6">
        <v>1.7361111111111112E-4</v>
      </c>
      <c r="F1195" s="6">
        <v>0.7117824074074081</v>
      </c>
      <c r="G1195" s="4" t="s">
        <v>1345</v>
      </c>
      <c r="H1195" s="4" t="s">
        <v>85</v>
      </c>
      <c r="I1195" s="4" t="s">
        <v>85</v>
      </c>
      <c r="J1195" s="4"/>
      <c r="K1195" s="4"/>
      <c r="L1195" s="4"/>
      <c r="M1195" s="4"/>
      <c r="N1195" s="4" t="s">
        <v>70</v>
      </c>
      <c r="O1195" s="51" t="b">
        <v>0</v>
      </c>
      <c r="P1195" s="51" t="b">
        <v>0</v>
      </c>
      <c r="Q1195" s="51" t="b">
        <v>0</v>
      </c>
      <c r="R1195" s="51" t="b">
        <v>0</v>
      </c>
      <c r="S1195" s="51" t="b">
        <v>0</v>
      </c>
    </row>
    <row r="1196">
      <c r="A1196" s="4" t="str">
        <f>IFERROR(__xludf.DUMMYFUNCTION("""COMPUTED_VALUE"""),"945 - Channel")</f>
        <v>945 - Channel</v>
      </c>
      <c r="B1196" s="4" t="s">
        <v>785</v>
      </c>
      <c r="C1196" s="4" t="s">
        <v>221</v>
      </c>
      <c r="D1196" s="6">
        <v>0.7117824074074081</v>
      </c>
      <c r="E1196" s="6">
        <v>3.4722222222222224E-4</v>
      </c>
      <c r="F1196" s="6">
        <v>0.7121296296296303</v>
      </c>
      <c r="G1196" s="4" t="s">
        <v>275</v>
      </c>
      <c r="H1196" s="4" t="s">
        <v>81</v>
      </c>
      <c r="I1196" s="4" t="s">
        <v>81</v>
      </c>
      <c r="J1196" s="4"/>
      <c r="K1196" s="4"/>
      <c r="L1196" s="4"/>
      <c r="M1196" s="4"/>
      <c r="N1196" s="4" t="s">
        <v>70</v>
      </c>
      <c r="O1196" s="51" t="b">
        <v>0</v>
      </c>
      <c r="P1196" s="51" t="b">
        <v>0</v>
      </c>
      <c r="Q1196" s="51" t="b">
        <v>0</v>
      </c>
      <c r="R1196" s="51" t="b">
        <v>0</v>
      </c>
      <c r="S1196" s="51" t="b">
        <v>0</v>
      </c>
    </row>
    <row r="1197">
      <c r="A1197" s="4" t="str">
        <f>IFERROR(__xludf.DUMMYFUNCTION("""COMPUTED_VALUE"""),"946 - Channel")</f>
        <v>946 - Channel</v>
      </c>
      <c r="B1197" s="4" t="s">
        <v>785</v>
      </c>
      <c r="C1197" s="4" t="s">
        <v>221</v>
      </c>
      <c r="D1197" s="6">
        <v>0.7121296296296303</v>
      </c>
      <c r="E1197" s="6">
        <v>0.007638888888888889</v>
      </c>
      <c r="F1197" s="6">
        <v>0.7197685185185192</v>
      </c>
      <c r="G1197" s="4" t="s">
        <v>275</v>
      </c>
      <c r="H1197" s="4" t="s">
        <v>165</v>
      </c>
      <c r="I1197" s="4" t="s">
        <v>1797</v>
      </c>
      <c r="J1197" s="4" t="s">
        <v>1798</v>
      </c>
      <c r="K1197" s="4"/>
      <c r="L1197" s="4"/>
      <c r="M1197" s="4"/>
      <c r="N1197" s="4" t="s">
        <v>70</v>
      </c>
      <c r="O1197" s="51" t="b">
        <v>0</v>
      </c>
      <c r="P1197" s="51" t="b">
        <v>0</v>
      </c>
      <c r="Q1197" s="51" t="b">
        <v>0</v>
      </c>
      <c r="R1197" s="51" t="b">
        <v>0</v>
      </c>
      <c r="S1197" s="51" t="b">
        <v>0</v>
      </c>
    </row>
    <row r="1198" hidden="1">
      <c r="A1198" s="4" t="str">
        <f>IFERROR(__xludf.DUMMYFUNCTION("""COMPUTED_VALUE"""),"947 - Channel")</f>
        <v>947 - Channel</v>
      </c>
      <c r="B1198" s="4" t="s">
        <v>785</v>
      </c>
      <c r="C1198" s="4" t="s">
        <v>221</v>
      </c>
      <c r="D1198" s="6">
        <v>0.7197685185185192</v>
      </c>
      <c r="E1198" s="6">
        <v>1.7361111111111112E-4</v>
      </c>
      <c r="F1198" s="6">
        <v>0.7199421296296303</v>
      </c>
      <c r="G1198" s="4" t="s">
        <v>275</v>
      </c>
      <c r="H1198" s="4" t="s">
        <v>85</v>
      </c>
      <c r="I1198" s="4" t="s">
        <v>85</v>
      </c>
      <c r="J1198" s="4"/>
      <c r="K1198" s="4"/>
      <c r="L1198" s="4"/>
      <c r="M1198" s="4"/>
      <c r="N1198" s="4" t="s">
        <v>70</v>
      </c>
      <c r="O1198" s="51" t="b">
        <v>0</v>
      </c>
      <c r="P1198" s="51" t="b">
        <v>0</v>
      </c>
      <c r="Q1198" s="51" t="b">
        <v>0</v>
      </c>
      <c r="R1198" s="51" t="b">
        <v>0</v>
      </c>
      <c r="S1198" s="51" t="b">
        <v>0</v>
      </c>
    </row>
    <row r="1199">
      <c r="A1199" s="4" t="str">
        <f>IFERROR(__xludf.DUMMYFUNCTION("""COMPUTED_VALUE"""),"419 - Channel")</f>
        <v>419 - Channel</v>
      </c>
      <c r="B1199" s="4" t="s">
        <v>785</v>
      </c>
      <c r="C1199" s="4" t="s">
        <v>66</v>
      </c>
      <c r="D1199" s="6">
        <v>0.49224537037037047</v>
      </c>
      <c r="E1199" s="6">
        <v>3.4722222222222224E-4</v>
      </c>
      <c r="F1199" s="6">
        <v>0.4925925925925927</v>
      </c>
      <c r="G1199" s="4" t="s">
        <v>106</v>
      </c>
      <c r="H1199" s="4" t="s">
        <v>81</v>
      </c>
      <c r="I1199" s="4" t="s">
        <v>81</v>
      </c>
      <c r="J1199" s="4"/>
      <c r="K1199" s="4"/>
      <c r="L1199" s="4"/>
      <c r="M1199" s="4"/>
      <c r="N1199" s="4" t="s">
        <v>70</v>
      </c>
      <c r="O1199" s="51" t="b">
        <v>0</v>
      </c>
      <c r="P1199" s="51" t="b">
        <v>0</v>
      </c>
      <c r="Q1199" s="51" t="b">
        <v>0</v>
      </c>
      <c r="R1199" s="51" t="b">
        <v>0</v>
      </c>
      <c r="S1199" s="51" t="b">
        <v>0</v>
      </c>
    </row>
    <row r="1200">
      <c r="A1200" s="4" t="str">
        <f>IFERROR(__xludf.DUMMYFUNCTION("""COMPUTED_VALUE"""),"742 - Channel")</f>
        <v>742 - Channel</v>
      </c>
      <c r="B1200" s="4" t="s">
        <v>785</v>
      </c>
      <c r="C1200" s="4" t="s">
        <v>66</v>
      </c>
      <c r="D1200" s="6">
        <v>0.4925925925925927</v>
      </c>
      <c r="E1200" s="6">
        <v>0.006944444444444444</v>
      </c>
      <c r="F1200" s="6">
        <v>0.4995370370370371</v>
      </c>
      <c r="G1200" s="4" t="s">
        <v>106</v>
      </c>
      <c r="H1200" s="4" t="s">
        <v>165</v>
      </c>
      <c r="I1200" s="4" t="s">
        <v>1800</v>
      </c>
      <c r="J1200" s="4" t="s">
        <v>1801</v>
      </c>
      <c r="K1200" s="4"/>
      <c r="L1200" s="4"/>
      <c r="M1200" s="4"/>
      <c r="N1200" s="4" t="s">
        <v>70</v>
      </c>
      <c r="O1200" s="51" t="b">
        <v>0</v>
      </c>
      <c r="P1200" s="51" t="b">
        <v>0</v>
      </c>
      <c r="Q1200" s="51" t="b">
        <v>0</v>
      </c>
      <c r="R1200" s="51" t="b">
        <v>0</v>
      </c>
      <c r="S1200" s="51" t="b">
        <v>0</v>
      </c>
    </row>
    <row r="1201" hidden="1">
      <c r="A1201" s="4" t="str">
        <f>IFERROR(__xludf.DUMMYFUNCTION("""COMPUTED_VALUE"""),"421 - Channel")</f>
        <v>421 - Channel</v>
      </c>
      <c r="B1201" s="4" t="s">
        <v>785</v>
      </c>
      <c r="C1201" s="4" t="s">
        <v>66</v>
      </c>
      <c r="D1201" s="6">
        <v>0.4995370370370371</v>
      </c>
      <c r="E1201" s="6">
        <v>1.7361111111111112E-4</v>
      </c>
      <c r="F1201" s="6">
        <v>0.49971064814814825</v>
      </c>
      <c r="G1201" s="4" t="s">
        <v>106</v>
      </c>
      <c r="H1201" s="4" t="s">
        <v>85</v>
      </c>
      <c r="I1201" s="4" t="s">
        <v>85</v>
      </c>
      <c r="J1201" s="4"/>
      <c r="K1201" s="4"/>
      <c r="L1201" s="4"/>
      <c r="M1201" s="4"/>
      <c r="N1201" s="4" t="s">
        <v>70</v>
      </c>
      <c r="O1201" s="51" t="b">
        <v>0</v>
      </c>
      <c r="P1201" s="51" t="b">
        <v>0</v>
      </c>
      <c r="Q1201" s="51" t="b">
        <v>0</v>
      </c>
      <c r="R1201" s="51" t="b">
        <v>0</v>
      </c>
      <c r="S1201" s="51" t="b">
        <v>0</v>
      </c>
    </row>
    <row r="1202">
      <c r="A1202" s="4" t="str">
        <f>IFERROR(__xludf.DUMMYFUNCTION("""COMPUTED_VALUE"""),"549 - Channel")</f>
        <v>549 - Channel</v>
      </c>
      <c r="B1202" s="4" t="s">
        <v>785</v>
      </c>
      <c r="C1202" s="4" t="s">
        <v>221</v>
      </c>
      <c r="D1202" s="6">
        <v>0.498078703703704</v>
      </c>
      <c r="E1202" s="6">
        <v>3.4722222222222224E-4</v>
      </c>
      <c r="F1202" s="6">
        <v>0.4984259259259262</v>
      </c>
      <c r="G1202" s="4" t="s">
        <v>195</v>
      </c>
      <c r="H1202" s="4" t="s">
        <v>81</v>
      </c>
      <c r="I1202" s="4" t="s">
        <v>81</v>
      </c>
      <c r="J1202" s="4"/>
      <c r="K1202" s="4"/>
      <c r="L1202" s="4"/>
      <c r="M1202" s="4"/>
      <c r="N1202" s="4" t="s">
        <v>70</v>
      </c>
      <c r="O1202" s="51" t="b">
        <v>0</v>
      </c>
      <c r="P1202" s="51" t="b">
        <v>0</v>
      </c>
      <c r="Q1202" s="51" t="b">
        <v>0</v>
      </c>
      <c r="R1202" s="51" t="b">
        <v>0</v>
      </c>
      <c r="S1202" s="51" t="b">
        <v>0</v>
      </c>
    </row>
    <row r="1203">
      <c r="A1203" s="4" t="str">
        <f>IFERROR(__xludf.DUMMYFUNCTION("""COMPUTED_VALUE"""),"550 - Channel")</f>
        <v>550 - Channel</v>
      </c>
      <c r="B1203" s="4" t="s">
        <v>785</v>
      </c>
      <c r="C1203" s="4" t="s">
        <v>221</v>
      </c>
      <c r="D1203" s="6">
        <v>0.4984259259259262</v>
      </c>
      <c r="E1203" s="6">
        <v>0.0020833333333333333</v>
      </c>
      <c r="F1203" s="6">
        <v>0.5005092592592596</v>
      </c>
      <c r="G1203" s="4" t="s">
        <v>195</v>
      </c>
      <c r="H1203" s="4" t="s">
        <v>165</v>
      </c>
      <c r="I1203" s="4" t="s">
        <v>1804</v>
      </c>
      <c r="J1203" s="4" t="s">
        <v>1805</v>
      </c>
      <c r="K1203" s="4"/>
      <c r="L1203" s="4"/>
      <c r="M1203" s="4"/>
      <c r="N1203" s="4" t="s">
        <v>70</v>
      </c>
      <c r="O1203" s="51" t="b">
        <v>0</v>
      </c>
      <c r="P1203" s="51" t="b">
        <v>0</v>
      </c>
      <c r="Q1203" s="51" t="b">
        <v>0</v>
      </c>
      <c r="R1203" s="51" t="b">
        <v>0</v>
      </c>
      <c r="S1203" s="51" t="b">
        <v>0</v>
      </c>
    </row>
    <row r="1204" hidden="1">
      <c r="A1204" s="4" t="str">
        <f>IFERROR(__xludf.DUMMYFUNCTION("""COMPUTED_VALUE"""),"551 - Channel")</f>
        <v>551 - Channel</v>
      </c>
      <c r="B1204" s="4" t="s">
        <v>785</v>
      </c>
      <c r="C1204" s="4" t="s">
        <v>221</v>
      </c>
      <c r="D1204" s="6">
        <v>0.5005092592592596</v>
      </c>
      <c r="E1204" s="6">
        <v>2.4305555555555555E-4</v>
      </c>
      <c r="F1204" s="6">
        <v>0.5007523148148152</v>
      </c>
      <c r="G1204" s="4" t="s">
        <v>195</v>
      </c>
      <c r="H1204" s="4" t="s">
        <v>85</v>
      </c>
      <c r="I1204" s="4" t="s">
        <v>1807</v>
      </c>
      <c r="J1204" s="4"/>
      <c r="K1204" s="4"/>
      <c r="L1204" s="4"/>
      <c r="M1204" s="4"/>
      <c r="N1204" s="4" t="s">
        <v>70</v>
      </c>
      <c r="O1204" s="51" t="b">
        <v>0</v>
      </c>
      <c r="P1204" s="51" t="b">
        <v>0</v>
      </c>
      <c r="Q1204" s="51" t="b">
        <v>0</v>
      </c>
      <c r="R1204" s="51" t="b">
        <v>0</v>
      </c>
      <c r="S1204" s="51" t="b">
        <v>0</v>
      </c>
    </row>
    <row r="1205">
      <c r="A1205" s="4" t="str">
        <f>IFERROR(__xludf.DUMMYFUNCTION("""COMPUTED_VALUE"""),"1234 - Channel")</f>
        <v>1234 - Channel</v>
      </c>
      <c r="B1205" s="4" t="s">
        <v>785</v>
      </c>
      <c r="C1205" s="4" t="s">
        <v>289</v>
      </c>
      <c r="D1205" s="6">
        <v>0.5007523148148152</v>
      </c>
      <c r="E1205" s="6">
        <v>3.4722222222222224E-4</v>
      </c>
      <c r="F1205" s="6">
        <v>0.5010995370370375</v>
      </c>
      <c r="G1205" s="4"/>
      <c r="H1205" s="4" t="s">
        <v>81</v>
      </c>
      <c r="I1205" s="4" t="s">
        <v>1498</v>
      </c>
      <c r="J1205" s="4"/>
      <c r="K1205" s="4"/>
      <c r="L1205" s="4"/>
      <c r="M1205" s="4"/>
      <c r="N1205" s="4" t="s">
        <v>70</v>
      </c>
      <c r="O1205" s="51" t="b">
        <v>0</v>
      </c>
      <c r="P1205" s="51" t="b">
        <v>0</v>
      </c>
      <c r="Q1205" s="51" t="b">
        <v>0</v>
      </c>
      <c r="R1205" s="51" t="b">
        <v>0</v>
      </c>
      <c r="S1205" s="51" t="b">
        <v>0</v>
      </c>
    </row>
    <row r="1206">
      <c r="A1206" s="4" t="str">
        <f>IFERROR(__xludf.DUMMYFUNCTION("""COMPUTED_VALUE"""),"1235 - Channel")</f>
        <v>1235 - Channel</v>
      </c>
      <c r="B1206" s="4" t="s">
        <v>785</v>
      </c>
      <c r="C1206" s="4" t="s">
        <v>289</v>
      </c>
      <c r="D1206" s="6">
        <v>0.5010995370370375</v>
      </c>
      <c r="E1206" s="6">
        <v>0.014155092592592592</v>
      </c>
      <c r="F1206" s="6">
        <v>0.5152546296296301</v>
      </c>
      <c r="G1206" s="4"/>
      <c r="H1206" s="4" t="s">
        <v>1501</v>
      </c>
      <c r="I1206" s="4" t="s">
        <v>1810</v>
      </c>
      <c r="J1206" s="4" t="s">
        <v>596</v>
      </c>
      <c r="K1206" s="4"/>
      <c r="L1206" s="4"/>
      <c r="M1206" s="4"/>
      <c r="N1206" s="4" t="s">
        <v>201</v>
      </c>
      <c r="O1206" s="51" t="b">
        <v>0</v>
      </c>
      <c r="P1206" s="51" t="b">
        <v>0</v>
      </c>
      <c r="Q1206" s="51" t="b">
        <v>0</v>
      </c>
      <c r="R1206" s="51" t="b">
        <v>0</v>
      </c>
      <c r="S1206" s="51" t="b">
        <v>0</v>
      </c>
    </row>
    <row r="1207" hidden="1">
      <c r="A1207" s="4" t="str">
        <f>IFERROR(__xludf.DUMMYFUNCTION("""COMPUTED_VALUE"""),"1656 - Channel")</f>
        <v>1656 - Channel</v>
      </c>
      <c r="B1207" s="4" t="s">
        <v>785</v>
      </c>
      <c r="C1207" s="4" t="s">
        <v>289</v>
      </c>
      <c r="D1207" s="6">
        <v>0.5152546296296301</v>
      </c>
      <c r="E1207" s="6">
        <v>0.001388888888888889</v>
      </c>
      <c r="F1207" s="6">
        <v>0.516643518518519</v>
      </c>
      <c r="G1207" s="4"/>
      <c r="H1207" s="4" t="s">
        <v>79</v>
      </c>
      <c r="I1207" s="4" t="s">
        <v>1497</v>
      </c>
      <c r="J1207" s="4"/>
      <c r="K1207" s="4"/>
      <c r="L1207" s="4"/>
      <c r="M1207" s="4"/>
      <c r="N1207" s="4"/>
      <c r="O1207" s="51" t="b">
        <v>0</v>
      </c>
      <c r="P1207" s="51" t="b">
        <v>0</v>
      </c>
      <c r="Q1207" s="51" t="b">
        <v>0</v>
      </c>
      <c r="R1207" s="51" t="b">
        <v>0</v>
      </c>
      <c r="S1207" s="51" t="b">
        <v>0</v>
      </c>
    </row>
    <row r="1208" hidden="1">
      <c r="A1208" s="4" t="str">
        <f>IFERROR(__xludf.DUMMYFUNCTION("""COMPUTED_VALUE"""),"1243 - Channel")</f>
        <v>1243 - Channel</v>
      </c>
      <c r="B1208" s="4" t="s">
        <v>785</v>
      </c>
      <c r="C1208" s="4" t="s">
        <v>221</v>
      </c>
      <c r="D1208" s="6">
        <v>0.5007523148148152</v>
      </c>
      <c r="E1208" s="6">
        <v>3.4722222222222224E-4</v>
      </c>
      <c r="F1208" s="6">
        <v>0.5010995370370375</v>
      </c>
      <c r="G1208" s="4"/>
      <c r="H1208" s="4" t="s">
        <v>81</v>
      </c>
      <c r="I1208" s="4" t="s">
        <v>1498</v>
      </c>
      <c r="J1208" s="4"/>
      <c r="K1208" s="4"/>
      <c r="L1208" s="4"/>
      <c r="M1208" s="4"/>
      <c r="N1208" s="4" t="s">
        <v>70</v>
      </c>
      <c r="O1208" s="51" t="b">
        <v>0</v>
      </c>
      <c r="P1208" s="51" t="b">
        <v>0</v>
      </c>
      <c r="Q1208" s="51" t="b">
        <v>0</v>
      </c>
      <c r="R1208" s="51" t="b">
        <v>0</v>
      </c>
      <c r="S1208" s="51" t="b">
        <v>0</v>
      </c>
    </row>
    <row r="1209">
      <c r="A1209" s="4" t="str">
        <f>IFERROR(__xludf.DUMMYFUNCTION("""COMPUTED_VALUE"""),"1244 - Channel")</f>
        <v>1244 - Channel</v>
      </c>
      <c r="B1209" s="4" t="s">
        <v>785</v>
      </c>
      <c r="C1209" s="4" t="s">
        <v>221</v>
      </c>
      <c r="D1209" s="6">
        <v>0.5010995370370375</v>
      </c>
      <c r="E1209" s="6">
        <v>0.013888888888888888</v>
      </c>
      <c r="F1209" s="6">
        <v>0.5149884259259263</v>
      </c>
      <c r="G1209" s="4"/>
      <c r="H1209" s="4" t="s">
        <v>1501</v>
      </c>
      <c r="I1209" s="4" t="s">
        <v>1815</v>
      </c>
      <c r="J1209" s="4" t="s">
        <v>1196</v>
      </c>
      <c r="K1209" s="4"/>
      <c r="L1209" s="4"/>
      <c r="M1209" s="4"/>
      <c r="N1209" s="4" t="s">
        <v>1197</v>
      </c>
      <c r="O1209" s="51" t="b">
        <v>0</v>
      </c>
      <c r="P1209" s="51" t="b">
        <v>0</v>
      </c>
      <c r="Q1209" s="51" t="b">
        <v>0</v>
      </c>
      <c r="R1209" s="51" t="b">
        <v>0</v>
      </c>
      <c r="S1209" s="51" t="b">
        <v>0</v>
      </c>
    </row>
    <row r="1210" hidden="1">
      <c r="A1210" s="4" t="str">
        <f>IFERROR(__xludf.DUMMYFUNCTION("""COMPUTED_VALUE"""),"1653 - Channel")</f>
        <v>1653 - Channel</v>
      </c>
      <c r="B1210" s="4" t="s">
        <v>785</v>
      </c>
      <c r="C1210" s="4" t="s">
        <v>221</v>
      </c>
      <c r="D1210" s="6">
        <v>0.5149884259259263</v>
      </c>
      <c r="E1210" s="6">
        <v>0.001388888888888889</v>
      </c>
      <c r="F1210" s="6">
        <v>0.5163773148148152</v>
      </c>
      <c r="G1210" s="4"/>
      <c r="H1210" s="4" t="s">
        <v>79</v>
      </c>
      <c r="I1210" s="4" t="s">
        <v>1497</v>
      </c>
      <c r="J1210" s="4"/>
      <c r="K1210" s="4"/>
      <c r="L1210" s="4"/>
      <c r="M1210" s="4"/>
      <c r="N1210" s="4"/>
      <c r="O1210" s="51" t="b">
        <v>0</v>
      </c>
      <c r="P1210" s="51" t="b">
        <v>0</v>
      </c>
      <c r="Q1210" s="51" t="b">
        <v>0</v>
      </c>
      <c r="R1210" s="51" t="b">
        <v>0</v>
      </c>
      <c r="S1210" s="51" t="b">
        <v>0</v>
      </c>
    </row>
    <row r="1211" hidden="1">
      <c r="A1211" s="4" t="str">
        <f>IFERROR(__xludf.DUMMYFUNCTION("""COMPUTED_VALUE"""),"1237 - Channel")</f>
        <v>1237 - Channel</v>
      </c>
      <c r="B1211" s="4" t="s">
        <v>785</v>
      </c>
      <c r="C1211" s="4" t="s">
        <v>66</v>
      </c>
      <c r="D1211" s="6">
        <v>0.516643518518519</v>
      </c>
      <c r="E1211" s="6">
        <v>3.4722222222222224E-4</v>
      </c>
      <c r="F1211" s="6">
        <v>0.5169907407407413</v>
      </c>
      <c r="G1211" s="4"/>
      <c r="H1211" s="4" t="s">
        <v>81</v>
      </c>
      <c r="I1211" s="4" t="s">
        <v>1498</v>
      </c>
      <c r="J1211" s="4"/>
      <c r="K1211" s="4"/>
      <c r="L1211" s="4"/>
      <c r="M1211" s="4"/>
      <c r="N1211" s="4" t="s">
        <v>70</v>
      </c>
      <c r="O1211" s="51" t="b">
        <v>0</v>
      </c>
      <c r="P1211" s="51" t="b">
        <v>0</v>
      </c>
      <c r="Q1211" s="51" t="b">
        <v>0</v>
      </c>
      <c r="R1211" s="51" t="b">
        <v>0</v>
      </c>
      <c r="S1211" s="51" t="b">
        <v>0</v>
      </c>
    </row>
    <row r="1212">
      <c r="A1212" s="4" t="str">
        <f>IFERROR(__xludf.DUMMYFUNCTION("""COMPUTED_VALUE"""),"1238 - Channel")</f>
        <v>1238 - Channel</v>
      </c>
      <c r="B1212" s="4" t="s">
        <v>785</v>
      </c>
      <c r="C1212" s="4" t="s">
        <v>66</v>
      </c>
      <c r="D1212" s="6">
        <v>0.5169907407407413</v>
      </c>
      <c r="E1212" s="6">
        <v>0.013888888888888888</v>
      </c>
      <c r="F1212" s="6">
        <v>0.5308796296296301</v>
      </c>
      <c r="G1212" s="4"/>
      <c r="H1212" s="4" t="s">
        <v>1501</v>
      </c>
      <c r="I1212" s="4" t="s">
        <v>1817</v>
      </c>
      <c r="J1212" s="4" t="s">
        <v>494</v>
      </c>
      <c r="K1212" s="4"/>
      <c r="L1212" s="4"/>
      <c r="M1212" s="4"/>
      <c r="N1212" s="4" t="s">
        <v>495</v>
      </c>
      <c r="O1212" s="51" t="b">
        <v>0</v>
      </c>
      <c r="P1212" s="51" t="b">
        <v>0</v>
      </c>
      <c r="Q1212" s="51" t="b">
        <v>0</v>
      </c>
      <c r="R1212" s="51" t="b">
        <v>0</v>
      </c>
      <c r="S1212" s="51" t="b">
        <v>0</v>
      </c>
    </row>
    <row r="1213" hidden="1">
      <c r="A1213" s="4" t="str">
        <f>IFERROR(__xludf.DUMMYFUNCTION("""COMPUTED_VALUE"""),"1239 - Channel")</f>
        <v>1239 - Channel</v>
      </c>
      <c r="B1213" s="4" t="s">
        <v>785</v>
      </c>
      <c r="C1213" s="4" t="s">
        <v>66</v>
      </c>
      <c r="D1213" s="6">
        <v>0.5308796296296301</v>
      </c>
      <c r="E1213" s="6">
        <v>0.001388888888888889</v>
      </c>
      <c r="F1213" s="6">
        <v>0.532268518518519</v>
      </c>
      <c r="G1213" s="4"/>
      <c r="H1213" s="4" t="s">
        <v>79</v>
      </c>
      <c r="I1213" s="4" t="s">
        <v>1497</v>
      </c>
      <c r="J1213" s="4"/>
      <c r="K1213" s="4"/>
      <c r="L1213" s="4"/>
      <c r="M1213" s="4"/>
      <c r="N1213" s="4" t="s">
        <v>70</v>
      </c>
      <c r="O1213" s="51" t="b">
        <v>0</v>
      </c>
      <c r="P1213" s="51" t="b">
        <v>0</v>
      </c>
      <c r="Q1213" s="51" t="b">
        <v>0</v>
      </c>
      <c r="R1213" s="51" t="b">
        <v>0</v>
      </c>
      <c r="S1213" s="51" t="b">
        <v>0</v>
      </c>
    </row>
    <row r="1214" hidden="1">
      <c r="A1214" s="4" t="str">
        <f>IFERROR(__xludf.DUMMYFUNCTION("""COMPUTED_VALUE"""),"1228 - Channel")</f>
        <v>1228 - Channel</v>
      </c>
      <c r="B1214" s="4" t="s">
        <v>785</v>
      </c>
      <c r="C1214" s="4" t="s">
        <v>289</v>
      </c>
      <c r="D1214" s="6">
        <v>0.41805555555555557</v>
      </c>
      <c r="E1214" s="6">
        <v>3.4722222222222224E-4</v>
      </c>
      <c r="F1214" s="6">
        <v>0.4184027777777778</v>
      </c>
      <c r="G1214" s="4"/>
      <c r="H1214" s="4" t="s">
        <v>81</v>
      </c>
      <c r="I1214" s="4" t="s">
        <v>1498</v>
      </c>
      <c r="J1214" s="4"/>
      <c r="K1214" s="4"/>
      <c r="L1214" s="4"/>
      <c r="M1214" s="4"/>
      <c r="N1214" s="4" t="s">
        <v>70</v>
      </c>
      <c r="O1214" s="51" t="b">
        <v>0</v>
      </c>
      <c r="P1214" s="51" t="b">
        <v>0</v>
      </c>
      <c r="Q1214" s="51" t="b">
        <v>0</v>
      </c>
      <c r="R1214" s="51" t="b">
        <v>0</v>
      </c>
      <c r="S1214" s="51" t="b">
        <v>0</v>
      </c>
    </row>
    <row r="1215">
      <c r="A1215" s="4" t="str">
        <f>IFERROR(__xludf.DUMMYFUNCTION("""COMPUTED_VALUE"""),"1229 - Channel")</f>
        <v>1229 - Channel</v>
      </c>
      <c r="B1215" s="4" t="s">
        <v>785</v>
      </c>
      <c r="C1215" s="4" t="s">
        <v>289</v>
      </c>
      <c r="D1215" s="6">
        <v>0.4184027777777778</v>
      </c>
      <c r="E1215" s="6">
        <v>0.013888888888888888</v>
      </c>
      <c r="F1215" s="6">
        <v>0.4322916666666667</v>
      </c>
      <c r="G1215" s="4"/>
      <c r="H1215" s="4" t="s">
        <v>1501</v>
      </c>
      <c r="I1215" s="4" t="s">
        <v>1821</v>
      </c>
      <c r="J1215" s="4" t="s">
        <v>528</v>
      </c>
      <c r="K1215" s="4" t="s">
        <v>529</v>
      </c>
      <c r="L1215" s="4"/>
      <c r="M1215" s="4"/>
      <c r="N1215" s="4" t="s">
        <v>214</v>
      </c>
      <c r="O1215" s="51" t="b">
        <v>0</v>
      </c>
      <c r="P1215" s="51" t="b">
        <v>0</v>
      </c>
      <c r="Q1215" s="51" t="b">
        <v>0</v>
      </c>
      <c r="R1215" s="51" t="b">
        <v>0</v>
      </c>
      <c r="S1215" s="51" t="b">
        <v>0</v>
      </c>
    </row>
    <row r="1216" hidden="1">
      <c r="A1216" s="4" t="str">
        <f>IFERROR(__xludf.DUMMYFUNCTION("""COMPUTED_VALUE"""),"1212 - Channel")</f>
        <v>1212 - Channel</v>
      </c>
      <c r="B1216" s="4" t="s">
        <v>785</v>
      </c>
      <c r="C1216" s="4" t="s">
        <v>289</v>
      </c>
      <c r="D1216" s="6">
        <v>0.4322916666666667</v>
      </c>
      <c r="E1216" s="6">
        <v>0.001388888888888889</v>
      </c>
      <c r="F1216" s="6">
        <v>0.43368055555555557</v>
      </c>
      <c r="G1216" s="4"/>
      <c r="H1216" s="4" t="s">
        <v>79</v>
      </c>
      <c r="I1216" s="4" t="s">
        <v>1497</v>
      </c>
      <c r="J1216" s="4"/>
      <c r="K1216" s="4"/>
      <c r="L1216" s="4"/>
      <c r="M1216" s="4"/>
      <c r="N1216" s="4" t="s">
        <v>70</v>
      </c>
      <c r="O1216" s="51" t="b">
        <v>0</v>
      </c>
      <c r="P1216" s="51" t="b">
        <v>0</v>
      </c>
      <c r="Q1216" s="51" t="b">
        <v>0</v>
      </c>
      <c r="R1216" s="51" t="b">
        <v>0</v>
      </c>
      <c r="S1216" s="51" t="b">
        <v>0</v>
      </c>
    </row>
    <row r="1217" hidden="1">
      <c r="A1217" s="4" t="str">
        <f>IFERROR(__xludf.DUMMYFUNCTION("""COMPUTED_VALUE"""),"1240 - Channel")</f>
        <v>1240 - Channel</v>
      </c>
      <c r="B1217" s="4" t="s">
        <v>785</v>
      </c>
      <c r="C1217" s="4" t="s">
        <v>289</v>
      </c>
      <c r="D1217" s="6">
        <v>0.43368055555555557</v>
      </c>
      <c r="E1217" s="6">
        <v>3.4722222222222224E-4</v>
      </c>
      <c r="F1217" s="6">
        <v>0.4340277777777778</v>
      </c>
      <c r="G1217" s="4"/>
      <c r="H1217" s="4" t="s">
        <v>81</v>
      </c>
      <c r="I1217" s="4" t="s">
        <v>1498</v>
      </c>
      <c r="J1217" s="4"/>
      <c r="K1217" s="4"/>
      <c r="L1217" s="4"/>
      <c r="M1217" s="4"/>
      <c r="N1217" s="4" t="s">
        <v>70</v>
      </c>
      <c r="O1217" s="51" t="b">
        <v>0</v>
      </c>
      <c r="P1217" s="51" t="b">
        <v>0</v>
      </c>
      <c r="Q1217" s="51" t="b">
        <v>0</v>
      </c>
      <c r="R1217" s="51" t="b">
        <v>0</v>
      </c>
      <c r="S1217" s="51" t="b">
        <v>0</v>
      </c>
    </row>
    <row r="1218">
      <c r="A1218" s="4" t="str">
        <f>IFERROR(__xludf.DUMMYFUNCTION("""COMPUTED_VALUE"""),"1241 - Channel")</f>
        <v>1241 - Channel</v>
      </c>
      <c r="B1218" s="4" t="s">
        <v>785</v>
      </c>
      <c r="C1218" s="4" t="s">
        <v>289</v>
      </c>
      <c r="D1218" s="6">
        <v>0.4340277777777778</v>
      </c>
      <c r="E1218" s="6">
        <v>0.013888888888888888</v>
      </c>
      <c r="F1218" s="6">
        <v>0.4479166666666667</v>
      </c>
      <c r="G1218" s="4"/>
      <c r="H1218" s="4" t="s">
        <v>1501</v>
      </c>
      <c r="I1218" s="4" t="s">
        <v>1825</v>
      </c>
      <c r="J1218" s="4" t="s">
        <v>218</v>
      </c>
      <c r="K1218" s="4"/>
      <c r="L1218" s="4"/>
      <c r="M1218" s="4"/>
      <c r="N1218" s="4"/>
      <c r="O1218" s="51" t="b">
        <v>0</v>
      </c>
      <c r="P1218" s="51" t="b">
        <v>0</v>
      </c>
      <c r="Q1218" s="51" t="b">
        <v>0</v>
      </c>
      <c r="R1218" s="51" t="b">
        <v>0</v>
      </c>
      <c r="S1218" s="51" t="b">
        <v>0</v>
      </c>
    </row>
    <row r="1219" hidden="1">
      <c r="A1219" s="4" t="str">
        <f>IFERROR(__xludf.DUMMYFUNCTION("""COMPUTED_VALUE"""),"1654 - Channel")</f>
        <v>1654 - Channel</v>
      </c>
      <c r="B1219" s="4" t="s">
        <v>785</v>
      </c>
      <c r="C1219" s="4" t="s">
        <v>289</v>
      </c>
      <c r="D1219" s="6">
        <v>0.4479166666666667</v>
      </c>
      <c r="E1219" s="6">
        <v>0.001388888888888889</v>
      </c>
      <c r="F1219" s="6">
        <v>0.44930555555555557</v>
      </c>
      <c r="G1219" s="4"/>
      <c r="H1219" s="4" t="s">
        <v>79</v>
      </c>
      <c r="I1219" s="4" t="s">
        <v>1497</v>
      </c>
      <c r="J1219" s="4"/>
      <c r="K1219" s="4"/>
      <c r="L1219" s="4"/>
      <c r="M1219" s="4"/>
      <c r="N1219" s="4"/>
      <c r="O1219" s="51" t="b">
        <v>0</v>
      </c>
      <c r="P1219" s="51" t="b">
        <v>0</v>
      </c>
      <c r="Q1219" s="51" t="b">
        <v>0</v>
      </c>
      <c r="R1219" s="51" t="b">
        <v>0</v>
      </c>
      <c r="S1219" s="51" t="b">
        <v>0</v>
      </c>
    </row>
    <row r="1220" hidden="1">
      <c r="A1220" s="4" t="str">
        <f>IFERROR(__xludf.DUMMYFUNCTION("""COMPUTED_VALUE"""),"1453 - Channel")</f>
        <v>1453 - Channel</v>
      </c>
      <c r="B1220" s="4" t="s">
        <v>785</v>
      </c>
      <c r="C1220" s="4" t="s">
        <v>289</v>
      </c>
      <c r="D1220" s="6">
        <v>0.44930555555555557</v>
      </c>
      <c r="E1220" s="6">
        <v>3.356481481481481E-4</v>
      </c>
      <c r="F1220" s="6">
        <v>0.4496412037037037</v>
      </c>
      <c r="G1220" s="4" t="s">
        <v>737</v>
      </c>
      <c r="H1220" s="4" t="s">
        <v>81</v>
      </c>
      <c r="I1220" s="4" t="s">
        <v>81</v>
      </c>
      <c r="J1220" s="4"/>
      <c r="K1220" s="4"/>
      <c r="L1220" s="4"/>
      <c r="M1220" s="4"/>
      <c r="N1220" s="4" t="s">
        <v>70</v>
      </c>
      <c r="O1220" s="51" t="b">
        <v>0</v>
      </c>
      <c r="P1220" s="51" t="b">
        <v>0</v>
      </c>
      <c r="Q1220" s="51" t="b">
        <v>0</v>
      </c>
      <c r="R1220" s="51" t="b">
        <v>0</v>
      </c>
      <c r="S1220" s="51" t="b">
        <v>0</v>
      </c>
    </row>
    <row r="1221">
      <c r="A1221" s="4" t="str">
        <f>IFERROR(__xludf.DUMMYFUNCTION("""COMPUTED_VALUE"""),"604 - Channel")</f>
        <v>604 - Channel</v>
      </c>
      <c r="B1221" s="4" t="s">
        <v>785</v>
      </c>
      <c r="C1221" s="4" t="s">
        <v>289</v>
      </c>
      <c r="D1221" s="6">
        <v>0.4496412037037037</v>
      </c>
      <c r="E1221" s="6">
        <v>0.010416666666666666</v>
      </c>
      <c r="F1221" s="6">
        <v>0.4600578703703704</v>
      </c>
      <c r="G1221" s="4" t="s">
        <v>737</v>
      </c>
      <c r="H1221" s="4" t="s">
        <v>74</v>
      </c>
      <c r="I1221" s="4" t="s">
        <v>1829</v>
      </c>
      <c r="J1221" s="4" t="s">
        <v>1830</v>
      </c>
      <c r="K1221" s="4" t="s">
        <v>1831</v>
      </c>
      <c r="L1221" s="4" t="s">
        <v>1832</v>
      </c>
      <c r="M1221" s="4"/>
      <c r="N1221" s="4" t="s">
        <v>184</v>
      </c>
      <c r="O1221" s="51" t="b">
        <v>0</v>
      </c>
      <c r="P1221" s="51" t="b">
        <v>0</v>
      </c>
      <c r="Q1221" s="51" t="b">
        <v>0</v>
      </c>
      <c r="R1221" s="51" t="b">
        <v>0</v>
      </c>
      <c r="S1221" s="51" t="b">
        <v>0</v>
      </c>
    </row>
    <row r="1222" hidden="1">
      <c r="A1222" s="4" t="str">
        <f>IFERROR(__xludf.DUMMYFUNCTION("""COMPUTED_VALUE"""),"1455 - Channel")</f>
        <v>1455 - Channel</v>
      </c>
      <c r="B1222" s="4" t="s">
        <v>785</v>
      </c>
      <c r="C1222" s="4" t="s">
        <v>289</v>
      </c>
      <c r="D1222" s="6">
        <v>0.4600578703703704</v>
      </c>
      <c r="E1222" s="6">
        <v>1.7361111111111112E-4</v>
      </c>
      <c r="F1222" s="6">
        <v>0.4602314814814815</v>
      </c>
      <c r="G1222" s="4" t="s">
        <v>737</v>
      </c>
      <c r="H1222" s="4" t="s">
        <v>85</v>
      </c>
      <c r="I1222" s="4" t="s">
        <v>85</v>
      </c>
      <c r="J1222" s="4"/>
      <c r="K1222" s="4"/>
      <c r="L1222" s="4"/>
      <c r="M1222" s="4"/>
      <c r="N1222" s="4" t="s">
        <v>70</v>
      </c>
      <c r="O1222" s="51" t="b">
        <v>0</v>
      </c>
      <c r="P1222" s="51" t="b">
        <v>0</v>
      </c>
      <c r="Q1222" s="51" t="b">
        <v>0</v>
      </c>
      <c r="R1222" s="51" t="b">
        <v>0</v>
      </c>
      <c r="S1222" s="51" t="b">
        <v>0</v>
      </c>
    </row>
    <row r="1223">
      <c r="A1223" s="4" t="str">
        <f>IFERROR(__xludf.DUMMYFUNCTION("""COMPUTED_VALUE"""),"208 - Channel")</f>
        <v>208 - Channel</v>
      </c>
      <c r="B1223" s="4" t="s">
        <v>785</v>
      </c>
      <c r="C1223" s="4" t="s">
        <v>221</v>
      </c>
      <c r="D1223" s="6">
        <v>0.4602314814814815</v>
      </c>
      <c r="E1223" s="6">
        <v>2.314814814814815E-4</v>
      </c>
      <c r="F1223" s="6">
        <v>0.460462962962963</v>
      </c>
      <c r="G1223" s="4"/>
      <c r="H1223" s="4" t="s">
        <v>81</v>
      </c>
      <c r="I1223" s="4" t="s">
        <v>91</v>
      </c>
      <c r="J1223" s="4" t="s">
        <v>128</v>
      </c>
      <c r="K1223" s="4"/>
      <c r="L1223" s="4"/>
      <c r="M1223" s="4"/>
      <c r="N1223" s="4" t="s">
        <v>70</v>
      </c>
      <c r="O1223" s="51" t="b">
        <v>0</v>
      </c>
      <c r="P1223" s="51" t="b">
        <v>0</v>
      </c>
      <c r="Q1223" s="51" t="b">
        <v>0</v>
      </c>
      <c r="R1223" s="51" t="b">
        <v>0</v>
      </c>
      <c r="S1223" s="51" t="b">
        <v>0</v>
      </c>
    </row>
    <row r="1224">
      <c r="A1224" s="4" t="str">
        <f>IFERROR(__xludf.DUMMYFUNCTION("""COMPUTED_VALUE"""),"239 - Channel")</f>
        <v>239 - Channel</v>
      </c>
      <c r="B1224" s="4" t="s">
        <v>785</v>
      </c>
      <c r="C1224" s="4" t="s">
        <v>221</v>
      </c>
      <c r="D1224" s="6">
        <v>0.460462962962963</v>
      </c>
      <c r="E1224" s="6">
        <v>0.008333333333333333</v>
      </c>
      <c r="F1224" s="6">
        <v>0.4687962962962964</v>
      </c>
      <c r="G1224" s="4"/>
      <c r="H1224" s="4" t="s">
        <v>94</v>
      </c>
      <c r="I1224" s="4" t="s">
        <v>1534</v>
      </c>
      <c r="J1224" s="4" t="s">
        <v>1535</v>
      </c>
      <c r="K1224" s="4"/>
      <c r="L1224" s="4"/>
      <c r="M1224" s="4"/>
      <c r="N1224" s="4" t="s">
        <v>1536</v>
      </c>
      <c r="O1224" s="51" t="b">
        <v>0</v>
      </c>
      <c r="P1224" s="51" t="b">
        <v>0</v>
      </c>
      <c r="Q1224" s="51" t="b">
        <v>0</v>
      </c>
      <c r="R1224" s="51" t="b">
        <v>0</v>
      </c>
      <c r="S1224" s="51" t="b">
        <v>0</v>
      </c>
    </row>
    <row r="1225" hidden="1">
      <c r="A1225" s="4" t="str">
        <f>IFERROR(__xludf.DUMMYFUNCTION("""COMPUTED_VALUE"""),"1555 - Channel")</f>
        <v>1555 - Channel</v>
      </c>
      <c r="B1225" s="4" t="s">
        <v>785</v>
      </c>
      <c r="C1225" s="4"/>
      <c r="D1225" s="6"/>
      <c r="E1225" s="6"/>
      <c r="F1225" s="6"/>
      <c r="G1225" s="4"/>
      <c r="H1225" s="4"/>
      <c r="I1225" s="4"/>
      <c r="J1225" s="4"/>
      <c r="K1225" s="4"/>
      <c r="L1225" s="4"/>
      <c r="M1225" s="4"/>
      <c r="N1225" s="4"/>
      <c r="O1225" s="51" t="b">
        <v>0</v>
      </c>
      <c r="P1225" s="51" t="b">
        <v>0</v>
      </c>
      <c r="Q1225" s="51" t="b">
        <v>0</v>
      </c>
      <c r="R1225" s="51" t="b">
        <v>0</v>
      </c>
      <c r="S1225" s="51" t="b">
        <v>0</v>
      </c>
    </row>
    <row r="1226" hidden="1">
      <c r="A1226" s="4" t="str">
        <f>IFERROR(__xludf.DUMMYFUNCTION("""COMPUTED_VALUE"""),"1556 - Channel")</f>
        <v>1556 - Channel</v>
      </c>
      <c r="B1226" s="4" t="s">
        <v>785</v>
      </c>
      <c r="C1226" s="4"/>
      <c r="D1226" s="6"/>
      <c r="E1226" s="6"/>
      <c r="F1226" s="6"/>
      <c r="G1226" s="4"/>
      <c r="H1226" s="4"/>
      <c r="I1226" s="4"/>
      <c r="J1226" s="4"/>
      <c r="K1226" s="4"/>
      <c r="L1226" s="4"/>
      <c r="M1226" s="4"/>
      <c r="N1226" s="4"/>
      <c r="O1226" s="51" t="b">
        <v>0</v>
      </c>
      <c r="P1226" s="51" t="b">
        <v>0</v>
      </c>
      <c r="Q1226" s="51" t="b">
        <v>0</v>
      </c>
      <c r="R1226" s="51" t="b">
        <v>0</v>
      </c>
      <c r="S1226" s="51" t="b">
        <v>0</v>
      </c>
    </row>
    <row r="1227" hidden="1">
      <c r="A1227" s="4" t="str">
        <f>IFERROR(__xludf.DUMMYFUNCTION("""COMPUTED_VALUE"""),"1732 - Channel")</f>
        <v>1732 - Channel</v>
      </c>
      <c r="B1227" s="4"/>
      <c r="C1227" s="4"/>
      <c r="D1227" s="6"/>
      <c r="E1227" s="6"/>
      <c r="F1227" s="6"/>
      <c r="G1227" s="4"/>
      <c r="H1227" s="4"/>
      <c r="I1227" s="4"/>
      <c r="J1227" s="4"/>
      <c r="K1227" s="4"/>
      <c r="L1227" s="4"/>
      <c r="M1227" s="4"/>
      <c r="N1227" s="4" t="s">
        <v>70</v>
      </c>
      <c r="O1227" s="51" t="b">
        <v>0</v>
      </c>
      <c r="P1227" s="51" t="b">
        <v>0</v>
      </c>
      <c r="Q1227" s="51" t="b">
        <v>0</v>
      </c>
      <c r="R1227" s="51" t="b">
        <v>0</v>
      </c>
      <c r="S1227" s="51" t="b">
        <v>0</v>
      </c>
    </row>
    <row r="1228" hidden="1">
      <c r="A1228" s="4" t="str">
        <f>IFERROR(__xludf.DUMMYFUNCTION("""COMPUTED_VALUE"""),"1733 - Channel")</f>
        <v>1733 - Channel</v>
      </c>
      <c r="B1228" s="4"/>
      <c r="C1228" s="4"/>
      <c r="D1228" s="6"/>
      <c r="E1228" s="6"/>
      <c r="F1228" s="6"/>
      <c r="G1228" s="4"/>
      <c r="H1228" s="4"/>
      <c r="I1228" s="4"/>
      <c r="J1228" s="4"/>
      <c r="K1228" s="4"/>
      <c r="L1228" s="4"/>
      <c r="M1228" s="4"/>
      <c r="N1228" s="4" t="s">
        <v>70</v>
      </c>
      <c r="O1228" s="51" t="b">
        <v>0</v>
      </c>
      <c r="P1228" s="51" t="b">
        <v>0</v>
      </c>
      <c r="Q1228" s="51" t="b">
        <v>0</v>
      </c>
      <c r="R1228" s="51" t="b">
        <v>0</v>
      </c>
      <c r="S1228" s="51" t="b">
        <v>0</v>
      </c>
    </row>
    <row r="1229" hidden="1">
      <c r="A1229" s="4" t="str">
        <f>IFERROR(__xludf.DUMMYFUNCTION("""COMPUTED_VALUE"""),"1734 - Channel")</f>
        <v>1734 - Channel</v>
      </c>
      <c r="B1229" s="4"/>
      <c r="C1229" s="4"/>
      <c r="D1229" s="6"/>
      <c r="E1229" s="6"/>
      <c r="F1229" s="6"/>
      <c r="G1229" s="4"/>
      <c r="H1229" s="4"/>
      <c r="I1229" s="4"/>
      <c r="J1229" s="4"/>
      <c r="K1229" s="4"/>
      <c r="L1229" s="4"/>
      <c r="M1229" s="4"/>
      <c r="N1229" s="4" t="s">
        <v>70</v>
      </c>
      <c r="O1229" s="51" t="b">
        <v>0</v>
      </c>
      <c r="P1229" s="51" t="b">
        <v>0</v>
      </c>
      <c r="Q1229" s="51" t="b">
        <v>0</v>
      </c>
      <c r="R1229" s="51" t="b">
        <v>0</v>
      </c>
      <c r="S1229" s="51" t="b">
        <v>0</v>
      </c>
    </row>
    <row r="1230" hidden="1">
      <c r="A1230" s="4" t="str">
        <f>IFERROR(__xludf.DUMMYFUNCTION("""COMPUTED_VALUE"""),"1735 - Channel")</f>
        <v>1735 - Channel</v>
      </c>
      <c r="B1230" s="4"/>
      <c r="C1230" s="4"/>
      <c r="D1230" s="6"/>
      <c r="E1230" s="6"/>
      <c r="F1230" s="6"/>
      <c r="G1230" s="4"/>
      <c r="H1230" s="4"/>
      <c r="I1230" s="4"/>
      <c r="J1230" s="4"/>
      <c r="K1230" s="4"/>
      <c r="L1230" s="4"/>
      <c r="M1230" s="4"/>
      <c r="N1230" s="4" t="s">
        <v>70</v>
      </c>
      <c r="O1230" s="51" t="b">
        <v>0</v>
      </c>
      <c r="P1230" s="51" t="b">
        <v>0</v>
      </c>
      <c r="Q1230" s="51" t="b">
        <v>0</v>
      </c>
      <c r="R1230" s="51" t="b">
        <v>0</v>
      </c>
      <c r="S1230" s="51" t="b">
        <v>0</v>
      </c>
    </row>
    <row r="1231" hidden="1">
      <c r="A1231" s="4" t="str">
        <f>IFERROR(__xludf.DUMMYFUNCTION("""COMPUTED_VALUE"""),"1736 - Channel")</f>
        <v>1736 - Channel</v>
      </c>
      <c r="B1231" s="4"/>
      <c r="C1231" s="4"/>
      <c r="D1231" s="6"/>
      <c r="E1231" s="6"/>
      <c r="F1231" s="6"/>
      <c r="G1231" s="4"/>
      <c r="H1231" s="4"/>
      <c r="I1231" s="4"/>
      <c r="J1231" s="4"/>
      <c r="K1231" s="4"/>
      <c r="L1231" s="4"/>
      <c r="M1231" s="4"/>
      <c r="N1231" s="4" t="s">
        <v>70</v>
      </c>
      <c r="O1231" s="51" t="b">
        <v>0</v>
      </c>
      <c r="P1231" s="51" t="b">
        <v>0</v>
      </c>
      <c r="Q1231" s="51" t="b">
        <v>0</v>
      </c>
      <c r="R1231" s="51" t="b">
        <v>0</v>
      </c>
      <c r="S1231" s="51" t="b">
        <v>0</v>
      </c>
    </row>
    <row r="1232" hidden="1">
      <c r="A1232" s="4" t="str">
        <f>IFERROR(__xludf.DUMMYFUNCTION("""COMPUTED_VALUE"""),"1737 - Channel")</f>
        <v>1737 - Channel</v>
      </c>
      <c r="B1232" s="4"/>
      <c r="C1232" s="4"/>
      <c r="D1232" s="6"/>
      <c r="E1232" s="6"/>
      <c r="F1232" s="6"/>
      <c r="G1232" s="4"/>
      <c r="H1232" s="4"/>
      <c r="I1232" s="4"/>
      <c r="J1232" s="4"/>
      <c r="K1232" s="4"/>
      <c r="L1232" s="4"/>
      <c r="M1232" s="4"/>
      <c r="N1232" s="4" t="s">
        <v>70</v>
      </c>
      <c r="O1232" s="51" t="b">
        <v>0</v>
      </c>
      <c r="P1232" s="51" t="b">
        <v>0</v>
      </c>
      <c r="Q1232" s="51" t="b">
        <v>0</v>
      </c>
      <c r="R1232" s="51" t="b">
        <v>0</v>
      </c>
      <c r="S1232" s="51" t="b">
        <v>0</v>
      </c>
    </row>
    <row r="1233" hidden="1">
      <c r="A1233" s="4" t="str">
        <f>IFERROR(__xludf.DUMMYFUNCTION("""COMPUTED_VALUE"""),"1738 - Channel")</f>
        <v>1738 - Channel</v>
      </c>
      <c r="B1233" s="4"/>
      <c r="C1233" s="4"/>
      <c r="D1233" s="6"/>
      <c r="E1233" s="6"/>
      <c r="F1233" s="6"/>
      <c r="G1233" s="4"/>
      <c r="H1233" s="4"/>
      <c r="I1233" s="4"/>
      <c r="J1233" s="4"/>
      <c r="K1233" s="4"/>
      <c r="L1233" s="4"/>
      <c r="M1233" s="4"/>
      <c r="N1233" s="4" t="s">
        <v>70</v>
      </c>
      <c r="O1233" s="51" t="b">
        <v>0</v>
      </c>
      <c r="P1233" s="51" t="b">
        <v>0</v>
      </c>
      <c r="Q1233" s="51" t="b">
        <v>0</v>
      </c>
      <c r="R1233" s="51" t="b">
        <v>0</v>
      </c>
      <c r="S1233" s="51" t="b">
        <v>0</v>
      </c>
    </row>
    <row r="1234" hidden="1">
      <c r="A1234" s="4" t="str">
        <f>IFERROR(__xludf.DUMMYFUNCTION("""COMPUTED_VALUE"""),"1739 - Channel")</f>
        <v>1739 - Channel</v>
      </c>
      <c r="B1234" s="4"/>
      <c r="C1234" s="4"/>
      <c r="D1234" s="6"/>
      <c r="E1234" s="6"/>
      <c r="F1234" s="6"/>
      <c r="G1234" s="4"/>
      <c r="H1234" s="4"/>
      <c r="I1234" s="4"/>
      <c r="J1234" s="4"/>
      <c r="K1234" s="4"/>
      <c r="L1234" s="4"/>
      <c r="M1234" s="4"/>
      <c r="N1234" s="4" t="s">
        <v>70</v>
      </c>
      <c r="O1234" s="51" t="b">
        <v>0</v>
      </c>
      <c r="P1234" s="51" t="b">
        <v>0</v>
      </c>
      <c r="Q1234" s="51" t="b">
        <v>0</v>
      </c>
      <c r="R1234" s="51" t="b">
        <v>0</v>
      </c>
      <c r="S1234" s="51" t="b">
        <v>0</v>
      </c>
    </row>
    <row r="1235" hidden="1">
      <c r="A1235" s="4" t="str">
        <f>IFERROR(__xludf.DUMMYFUNCTION("""COMPUTED_VALUE"""),"1740 - Channel")</f>
        <v>1740 - Channel</v>
      </c>
      <c r="B1235" s="4"/>
      <c r="C1235" s="4"/>
      <c r="D1235" s="6"/>
      <c r="E1235" s="6"/>
      <c r="F1235" s="6"/>
      <c r="G1235" s="4"/>
      <c r="H1235" s="4"/>
      <c r="I1235" s="4"/>
      <c r="J1235" s="4"/>
      <c r="K1235" s="4"/>
      <c r="L1235" s="4"/>
      <c r="M1235" s="4"/>
      <c r="N1235" s="4" t="s">
        <v>70</v>
      </c>
      <c r="O1235" s="51" t="b">
        <v>0</v>
      </c>
      <c r="P1235" s="51" t="b">
        <v>0</v>
      </c>
      <c r="Q1235" s="51" t="b">
        <v>0</v>
      </c>
      <c r="R1235" s="51" t="b">
        <v>0</v>
      </c>
      <c r="S1235" s="51" t="b">
        <v>0</v>
      </c>
    </row>
    <row r="1236" hidden="1">
      <c r="A1236" s="4" t="str">
        <f>IFERROR(__xludf.DUMMYFUNCTION("""COMPUTED_VALUE"""),"1741 - Channel")</f>
        <v>1741 - Channel</v>
      </c>
      <c r="B1236" s="4"/>
      <c r="C1236" s="4"/>
      <c r="D1236" s="6"/>
      <c r="E1236" s="6"/>
      <c r="F1236" s="6"/>
      <c r="G1236" s="4"/>
      <c r="H1236" s="4"/>
      <c r="I1236" s="4"/>
      <c r="J1236" s="4"/>
      <c r="K1236" s="4"/>
      <c r="L1236" s="4"/>
      <c r="M1236" s="4"/>
      <c r="N1236" s="4" t="s">
        <v>70</v>
      </c>
      <c r="O1236" s="51" t="b">
        <v>0</v>
      </c>
      <c r="P1236" s="51" t="b">
        <v>0</v>
      </c>
      <c r="Q1236" s="51" t="b">
        <v>0</v>
      </c>
      <c r="R1236" s="51" t="b">
        <v>0</v>
      </c>
      <c r="S1236" s="51" t="b">
        <v>0</v>
      </c>
    </row>
    <row r="1237" hidden="1">
      <c r="A1237" s="4" t="str">
        <f>IFERROR(__xludf.DUMMYFUNCTION("""COMPUTED_VALUE"""),"1742 - Channel")</f>
        <v>1742 - Channel</v>
      </c>
      <c r="B1237" s="4"/>
      <c r="C1237" s="4"/>
      <c r="D1237" s="6"/>
      <c r="E1237" s="6"/>
      <c r="F1237" s="6"/>
      <c r="G1237" s="4"/>
      <c r="H1237" s="4"/>
      <c r="I1237" s="4"/>
      <c r="J1237" s="4"/>
      <c r="K1237" s="4"/>
      <c r="L1237" s="4"/>
      <c r="M1237" s="4"/>
      <c r="N1237" s="4" t="s">
        <v>70</v>
      </c>
      <c r="O1237" s="51" t="b">
        <v>0</v>
      </c>
      <c r="P1237" s="51" t="b">
        <v>0</v>
      </c>
      <c r="Q1237" s="51" t="b">
        <v>0</v>
      </c>
      <c r="R1237" s="51" t="b">
        <v>0</v>
      </c>
      <c r="S1237" s="51" t="b">
        <v>0</v>
      </c>
    </row>
    <row r="1238" hidden="1">
      <c r="A1238" s="4" t="str">
        <f>IFERROR(__xludf.DUMMYFUNCTION("""COMPUTED_VALUE"""),"1743 - Channel")</f>
        <v>1743 - Channel</v>
      </c>
      <c r="B1238" s="4"/>
      <c r="C1238" s="4"/>
      <c r="D1238" s="6"/>
      <c r="E1238" s="6"/>
      <c r="F1238" s="6"/>
      <c r="G1238" s="4"/>
      <c r="H1238" s="4"/>
      <c r="I1238" s="4"/>
      <c r="J1238" s="4"/>
      <c r="K1238" s="4"/>
      <c r="L1238" s="4"/>
      <c r="M1238" s="4"/>
      <c r="N1238" s="4" t="s">
        <v>70</v>
      </c>
      <c r="O1238" s="51" t="b">
        <v>0</v>
      </c>
      <c r="P1238" s="51" t="b">
        <v>0</v>
      </c>
      <c r="Q1238" s="51" t="b">
        <v>0</v>
      </c>
      <c r="R1238" s="51" t="b">
        <v>0</v>
      </c>
      <c r="S1238" s="51" t="b">
        <v>0</v>
      </c>
    </row>
    <row r="1239" hidden="1">
      <c r="A1239" s="4" t="str">
        <f>IFERROR(__xludf.DUMMYFUNCTION("""COMPUTED_VALUE"""),"1744 - Channel")</f>
        <v>1744 - Channel</v>
      </c>
      <c r="B1239" s="4"/>
      <c r="C1239" s="4"/>
      <c r="D1239" s="6"/>
      <c r="E1239" s="6"/>
      <c r="F1239" s="6"/>
      <c r="G1239" s="4"/>
      <c r="H1239" s="4"/>
      <c r="I1239" s="4"/>
      <c r="J1239" s="4"/>
      <c r="K1239" s="4"/>
      <c r="L1239" s="4"/>
      <c r="M1239" s="4"/>
      <c r="N1239" s="4" t="s">
        <v>70</v>
      </c>
      <c r="O1239" s="51" t="b">
        <v>0</v>
      </c>
      <c r="P1239" s="51" t="b">
        <v>0</v>
      </c>
      <c r="Q1239" s="51" t="b">
        <v>0</v>
      </c>
      <c r="R1239" s="51" t="b">
        <v>0</v>
      </c>
      <c r="S1239" s="51" t="b">
        <v>0</v>
      </c>
    </row>
    <row r="1240" hidden="1">
      <c r="A1240" s="4" t="str">
        <f>IFERROR(__xludf.DUMMYFUNCTION("""COMPUTED_VALUE"""),"1745 - Channel")</f>
        <v>1745 - Channel</v>
      </c>
      <c r="B1240" s="4"/>
      <c r="C1240" s="4"/>
      <c r="D1240" s="6"/>
      <c r="E1240" s="6"/>
      <c r="F1240" s="6"/>
      <c r="G1240" s="4"/>
      <c r="H1240" s="4"/>
      <c r="I1240" s="4"/>
      <c r="J1240" s="4"/>
      <c r="K1240" s="4"/>
      <c r="L1240" s="4"/>
      <c r="M1240" s="4"/>
      <c r="N1240" s="4" t="s">
        <v>70</v>
      </c>
      <c r="O1240" s="51" t="b">
        <v>0</v>
      </c>
      <c r="P1240" s="51" t="b">
        <v>0</v>
      </c>
      <c r="Q1240" s="51" t="b">
        <v>0</v>
      </c>
      <c r="R1240" s="51" t="b">
        <v>0</v>
      </c>
      <c r="S1240" s="51" t="b">
        <v>0</v>
      </c>
    </row>
    <row r="1241" hidden="1">
      <c r="A1241" s="4" t="str">
        <f>IFERROR(__xludf.DUMMYFUNCTION("""COMPUTED_VALUE"""),"1746 - Channel")</f>
        <v>1746 - Channel</v>
      </c>
      <c r="B1241" s="4"/>
      <c r="C1241" s="4"/>
      <c r="D1241" s="6"/>
      <c r="E1241" s="6"/>
      <c r="F1241" s="6"/>
      <c r="G1241" s="4"/>
      <c r="H1241" s="4"/>
      <c r="I1241" s="4"/>
      <c r="J1241" s="4"/>
      <c r="K1241" s="4"/>
      <c r="L1241" s="4"/>
      <c r="M1241" s="4"/>
      <c r="N1241" s="4" t="s">
        <v>70</v>
      </c>
      <c r="O1241" s="51" t="b">
        <v>0</v>
      </c>
      <c r="P1241" s="51" t="b">
        <v>0</v>
      </c>
      <c r="Q1241" s="51" t="b">
        <v>0</v>
      </c>
      <c r="R1241" s="51" t="b">
        <v>0</v>
      </c>
      <c r="S1241" s="51" t="b">
        <v>0</v>
      </c>
    </row>
    <row r="1242" hidden="1">
      <c r="A1242" s="4" t="str">
        <f>IFERROR(__xludf.DUMMYFUNCTION("""COMPUTED_VALUE"""),"1747 - Channel")</f>
        <v>1747 - Channel</v>
      </c>
      <c r="B1242" s="4"/>
      <c r="C1242" s="4"/>
      <c r="D1242" s="6"/>
      <c r="E1242" s="6"/>
      <c r="F1242" s="6"/>
      <c r="G1242" s="4"/>
      <c r="H1242" s="4"/>
      <c r="I1242" s="4"/>
      <c r="J1242" s="4"/>
      <c r="K1242" s="4"/>
      <c r="L1242" s="4"/>
      <c r="M1242" s="4"/>
      <c r="N1242" s="4" t="s">
        <v>70</v>
      </c>
      <c r="O1242" s="51" t="b">
        <v>0</v>
      </c>
      <c r="P1242" s="51" t="b">
        <v>0</v>
      </c>
      <c r="Q1242" s="51" t="b">
        <v>0</v>
      </c>
      <c r="R1242" s="51" t="b">
        <v>0</v>
      </c>
      <c r="S1242" s="51" t="b">
        <v>0</v>
      </c>
    </row>
    <row r="1243" hidden="1">
      <c r="A1243" s="4" t="str">
        <f>IFERROR(__xludf.DUMMYFUNCTION("""COMPUTED_VALUE"""),"1748 - Channel")</f>
        <v>1748 - Channel</v>
      </c>
      <c r="B1243" s="4"/>
      <c r="C1243" s="4"/>
      <c r="D1243" s="6"/>
      <c r="E1243" s="6"/>
      <c r="F1243" s="6"/>
      <c r="G1243" s="4"/>
      <c r="H1243" s="4"/>
      <c r="I1243" s="4"/>
      <c r="J1243" s="4"/>
      <c r="K1243" s="4"/>
      <c r="L1243" s="4"/>
      <c r="M1243" s="4"/>
      <c r="N1243" s="4" t="s">
        <v>70</v>
      </c>
      <c r="O1243" s="51" t="b">
        <v>0</v>
      </c>
      <c r="P1243" s="51" t="b">
        <v>0</v>
      </c>
      <c r="Q1243" s="51" t="b">
        <v>0</v>
      </c>
      <c r="R1243" s="51" t="b">
        <v>0</v>
      </c>
      <c r="S1243" s="51" t="b">
        <v>0</v>
      </c>
    </row>
    <row r="1244" hidden="1">
      <c r="A1244" s="4" t="str">
        <f>IFERROR(__xludf.DUMMYFUNCTION("""COMPUTED_VALUE"""),"1749 - Channel")</f>
        <v>1749 - Channel</v>
      </c>
      <c r="B1244" s="4"/>
      <c r="C1244" s="4"/>
      <c r="D1244" s="6"/>
      <c r="E1244" s="6"/>
      <c r="F1244" s="6"/>
      <c r="G1244" s="4"/>
      <c r="H1244" s="4"/>
      <c r="I1244" s="4"/>
      <c r="J1244" s="4"/>
      <c r="K1244" s="4"/>
      <c r="L1244" s="4"/>
      <c r="M1244" s="4"/>
      <c r="N1244" s="4" t="s">
        <v>70</v>
      </c>
      <c r="O1244" s="51" t="b">
        <v>0</v>
      </c>
      <c r="P1244" s="51" t="b">
        <v>0</v>
      </c>
      <c r="Q1244" s="51" t="b">
        <v>0</v>
      </c>
      <c r="R1244" s="51" t="b">
        <v>0</v>
      </c>
      <c r="S1244" s="51" t="b">
        <v>0</v>
      </c>
    </row>
    <row r="1245" hidden="1">
      <c r="A1245" s="4" t="str">
        <f>IFERROR(__xludf.DUMMYFUNCTION("""COMPUTED_VALUE"""),"1750 - Channel")</f>
        <v>1750 - Channel</v>
      </c>
      <c r="B1245" s="4"/>
      <c r="C1245" s="4"/>
      <c r="D1245" s="6"/>
      <c r="E1245" s="6"/>
      <c r="F1245" s="6"/>
      <c r="G1245" s="4"/>
      <c r="H1245" s="4"/>
      <c r="I1245" s="4"/>
      <c r="J1245" s="4"/>
      <c r="K1245" s="4"/>
      <c r="L1245" s="4"/>
      <c r="M1245" s="4"/>
      <c r="N1245" s="4" t="s">
        <v>70</v>
      </c>
      <c r="O1245" s="51" t="b">
        <v>0</v>
      </c>
      <c r="P1245" s="51" t="b">
        <v>0</v>
      </c>
      <c r="Q1245" s="51" t="b">
        <v>0</v>
      </c>
      <c r="R1245" s="51" t="b">
        <v>0</v>
      </c>
      <c r="S1245" s="51" t="b">
        <v>0</v>
      </c>
    </row>
    <row r="1246" hidden="1">
      <c r="A1246" s="4" t="str">
        <f>IFERROR(__xludf.DUMMYFUNCTION("""COMPUTED_VALUE"""),"1751 - Channel")</f>
        <v>1751 - Channel</v>
      </c>
      <c r="B1246" s="4"/>
      <c r="C1246" s="4"/>
      <c r="D1246" s="6"/>
      <c r="E1246" s="6"/>
      <c r="F1246" s="6"/>
      <c r="G1246" s="4"/>
      <c r="H1246" s="4"/>
      <c r="I1246" s="4"/>
      <c r="J1246" s="4"/>
      <c r="K1246" s="4"/>
      <c r="L1246" s="4"/>
      <c r="M1246" s="4"/>
      <c r="N1246" s="4" t="s">
        <v>70</v>
      </c>
      <c r="O1246" s="51" t="b">
        <v>0</v>
      </c>
      <c r="P1246" s="51" t="b">
        <v>0</v>
      </c>
      <c r="Q1246" s="51" t="b">
        <v>0</v>
      </c>
      <c r="R1246" s="51" t="b">
        <v>0</v>
      </c>
      <c r="S1246" s="51" t="b">
        <v>0</v>
      </c>
    </row>
    <row r="1247" hidden="1">
      <c r="A1247" s="4" t="str">
        <f>IFERROR(__xludf.DUMMYFUNCTION("""COMPUTED_VALUE"""),"1752 - Channel")</f>
        <v>1752 - Channel</v>
      </c>
      <c r="B1247" s="4"/>
      <c r="C1247" s="4"/>
      <c r="D1247" s="6"/>
      <c r="E1247" s="6"/>
      <c r="F1247" s="6"/>
      <c r="G1247" s="4"/>
      <c r="H1247" s="4"/>
      <c r="I1247" s="4"/>
      <c r="J1247" s="4"/>
      <c r="K1247" s="4"/>
      <c r="L1247" s="4"/>
      <c r="M1247" s="4"/>
      <c r="N1247" s="4" t="s">
        <v>70</v>
      </c>
      <c r="O1247" s="51" t="b">
        <v>0</v>
      </c>
      <c r="P1247" s="51" t="b">
        <v>0</v>
      </c>
      <c r="Q1247" s="51" t="b">
        <v>0</v>
      </c>
      <c r="R1247" s="51" t="b">
        <v>0</v>
      </c>
      <c r="S1247" s="51" t="b">
        <v>0</v>
      </c>
    </row>
    <row r="1248" hidden="1">
      <c r="A1248" s="4" t="str">
        <f>IFERROR(__xludf.DUMMYFUNCTION("""COMPUTED_VALUE"""),"1753 - Channel")</f>
        <v>1753 - Channel</v>
      </c>
      <c r="B1248" s="4"/>
      <c r="C1248" s="4"/>
      <c r="D1248" s="6"/>
      <c r="E1248" s="6"/>
      <c r="F1248" s="6"/>
      <c r="G1248" s="4"/>
      <c r="H1248" s="4"/>
      <c r="I1248" s="4"/>
      <c r="J1248" s="4"/>
      <c r="K1248" s="4"/>
      <c r="L1248" s="4"/>
      <c r="M1248" s="4"/>
      <c r="N1248" s="4" t="s">
        <v>70</v>
      </c>
      <c r="O1248" s="51" t="b">
        <v>0</v>
      </c>
      <c r="P1248" s="51" t="b">
        <v>0</v>
      </c>
      <c r="Q1248" s="51" t="b">
        <v>0</v>
      </c>
      <c r="R1248" s="51" t="b">
        <v>0</v>
      </c>
      <c r="S1248" s="51" t="b">
        <v>0</v>
      </c>
    </row>
    <row r="1249" hidden="1">
      <c r="A1249" s="4" t="str">
        <f>IFERROR(__xludf.DUMMYFUNCTION("""COMPUTED_VALUE"""),"1754 - Channel")</f>
        <v>1754 - Channel</v>
      </c>
      <c r="B1249" s="4"/>
      <c r="C1249" s="4"/>
      <c r="D1249" s="6"/>
      <c r="E1249" s="6"/>
      <c r="F1249" s="6"/>
      <c r="G1249" s="4"/>
      <c r="H1249" s="4"/>
      <c r="I1249" s="4"/>
      <c r="J1249" s="4"/>
      <c r="K1249" s="4"/>
      <c r="L1249" s="4"/>
      <c r="M1249" s="4"/>
      <c r="N1249" s="4" t="s">
        <v>70</v>
      </c>
      <c r="O1249" s="51" t="b">
        <v>0</v>
      </c>
      <c r="P1249" s="51" t="b">
        <v>0</v>
      </c>
      <c r="Q1249" s="51" t="b">
        <v>0</v>
      </c>
      <c r="R1249" s="51" t="b">
        <v>0</v>
      </c>
      <c r="S1249" s="51" t="b">
        <v>0</v>
      </c>
    </row>
    <row r="1250" hidden="1">
      <c r="A1250" s="4" t="str">
        <f>IFERROR(__xludf.DUMMYFUNCTION("""COMPUTED_VALUE"""),"1755 - Channel")</f>
        <v>1755 - Channel</v>
      </c>
      <c r="B1250" s="4"/>
      <c r="C1250" s="4"/>
      <c r="D1250" s="6"/>
      <c r="E1250" s="6"/>
      <c r="F1250" s="6"/>
      <c r="G1250" s="4"/>
      <c r="H1250" s="4"/>
      <c r="I1250" s="4"/>
      <c r="J1250" s="4"/>
      <c r="K1250" s="4"/>
      <c r="L1250" s="4"/>
      <c r="M1250" s="4"/>
      <c r="N1250" s="4" t="s">
        <v>70</v>
      </c>
      <c r="O1250" s="51" t="b">
        <v>0</v>
      </c>
      <c r="P1250" s="51" t="b">
        <v>0</v>
      </c>
      <c r="Q1250" s="51" t="b">
        <v>0</v>
      </c>
      <c r="R1250" s="51" t="b">
        <v>0</v>
      </c>
      <c r="S1250" s="51" t="b">
        <v>0</v>
      </c>
    </row>
    <row r="1251" hidden="1">
      <c r="A1251" s="4" t="str">
        <f>IFERROR(__xludf.DUMMYFUNCTION("""COMPUTED_VALUE"""),"1756 - Channel")</f>
        <v>1756 - Channel</v>
      </c>
      <c r="B1251" s="4"/>
      <c r="C1251" s="4"/>
      <c r="D1251" s="6"/>
      <c r="E1251" s="6"/>
      <c r="F1251" s="6"/>
      <c r="G1251" s="4"/>
      <c r="H1251" s="4"/>
      <c r="I1251" s="4"/>
      <c r="J1251" s="4"/>
      <c r="K1251" s="4"/>
      <c r="L1251" s="4"/>
      <c r="M1251" s="4"/>
      <c r="N1251" s="4" t="s">
        <v>70</v>
      </c>
      <c r="O1251" s="51" t="b">
        <v>0</v>
      </c>
      <c r="P1251" s="51" t="b">
        <v>0</v>
      </c>
      <c r="Q1251" s="51" t="b">
        <v>0</v>
      </c>
      <c r="R1251" s="51" t="b">
        <v>0</v>
      </c>
      <c r="S1251" s="51" t="b">
        <v>0</v>
      </c>
    </row>
    <row r="1252" hidden="1">
      <c r="A1252" s="4" t="str">
        <f>IFERROR(__xludf.DUMMYFUNCTION("""COMPUTED_VALUE"""),"1757 - Channel")</f>
        <v>1757 - Channel</v>
      </c>
      <c r="B1252" s="4"/>
      <c r="C1252" s="4"/>
      <c r="D1252" s="6"/>
      <c r="E1252" s="6"/>
      <c r="F1252" s="6"/>
      <c r="G1252" s="4"/>
      <c r="H1252" s="4"/>
      <c r="I1252" s="4"/>
      <c r="J1252" s="4"/>
      <c r="K1252" s="4"/>
      <c r="L1252" s="4"/>
      <c r="M1252" s="4"/>
      <c r="N1252" s="4" t="s">
        <v>70</v>
      </c>
      <c r="O1252" s="51" t="b">
        <v>0</v>
      </c>
      <c r="P1252" s="51" t="b">
        <v>0</v>
      </c>
      <c r="Q1252" s="51" t="b">
        <v>0</v>
      </c>
      <c r="R1252" s="51" t="b">
        <v>0</v>
      </c>
      <c r="S1252" s="51" t="b">
        <v>0</v>
      </c>
    </row>
    <row r="1253" hidden="1">
      <c r="A1253" s="4" t="str">
        <f>IFERROR(__xludf.DUMMYFUNCTION("""COMPUTED_VALUE"""),"1758 - Channel")</f>
        <v>1758 - Channel</v>
      </c>
      <c r="B1253" s="4"/>
      <c r="C1253" s="4"/>
      <c r="D1253" s="6"/>
      <c r="E1253" s="6"/>
      <c r="F1253" s="6"/>
      <c r="G1253" s="4"/>
      <c r="H1253" s="4"/>
      <c r="I1253" s="4"/>
      <c r="J1253" s="4"/>
      <c r="K1253" s="4"/>
      <c r="L1253" s="4"/>
      <c r="M1253" s="4"/>
      <c r="N1253" s="4" t="s">
        <v>70</v>
      </c>
      <c r="O1253" s="51" t="b">
        <v>0</v>
      </c>
      <c r="P1253" s="51" t="b">
        <v>0</v>
      </c>
      <c r="Q1253" s="51" t="b">
        <v>0</v>
      </c>
      <c r="R1253" s="51" t="b">
        <v>0</v>
      </c>
      <c r="S1253" s="51" t="b">
        <v>0</v>
      </c>
    </row>
    <row r="1254" hidden="1">
      <c r="A1254" s="4" t="str">
        <f>IFERROR(__xludf.DUMMYFUNCTION("""COMPUTED_VALUE"""),"1759 - Channel")</f>
        <v>1759 - Channel</v>
      </c>
      <c r="B1254" s="4"/>
      <c r="C1254" s="4"/>
      <c r="D1254" s="6"/>
      <c r="E1254" s="6"/>
      <c r="F1254" s="6"/>
      <c r="G1254" s="4"/>
      <c r="H1254" s="4"/>
      <c r="I1254" s="4"/>
      <c r="J1254" s="4"/>
      <c r="K1254" s="4"/>
      <c r="L1254" s="4"/>
      <c r="M1254" s="4"/>
      <c r="N1254" s="4" t="s">
        <v>70</v>
      </c>
      <c r="O1254" s="51" t="b">
        <v>0</v>
      </c>
      <c r="P1254" s="51" t="b">
        <v>0</v>
      </c>
      <c r="Q1254" s="51" t="b">
        <v>0</v>
      </c>
      <c r="R1254" s="51" t="b">
        <v>0</v>
      </c>
      <c r="S1254" s="51" t="b">
        <v>0</v>
      </c>
    </row>
    <row r="1255" hidden="1">
      <c r="A1255" s="4" t="str">
        <f>IFERROR(__xludf.DUMMYFUNCTION("""COMPUTED_VALUE"""),"1760 - Channel")</f>
        <v>1760 - Channel</v>
      </c>
      <c r="B1255" s="4"/>
      <c r="C1255" s="4"/>
      <c r="D1255" s="6"/>
      <c r="E1255" s="6"/>
      <c r="F1255" s="6"/>
      <c r="G1255" s="4"/>
      <c r="H1255" s="4"/>
      <c r="I1255" s="4"/>
      <c r="J1255" s="4"/>
      <c r="K1255" s="4"/>
      <c r="L1255" s="4"/>
      <c r="M1255" s="4"/>
      <c r="N1255" s="4" t="s">
        <v>70</v>
      </c>
      <c r="O1255" s="51" t="b">
        <v>0</v>
      </c>
      <c r="P1255" s="51" t="b">
        <v>0</v>
      </c>
      <c r="Q1255" s="51" t="b">
        <v>0</v>
      </c>
      <c r="R1255" s="51" t="b">
        <v>0</v>
      </c>
      <c r="S1255" s="51" t="b">
        <v>0</v>
      </c>
    </row>
    <row r="1256" hidden="1">
      <c r="A1256" s="4" t="str">
        <f>IFERROR(__xludf.DUMMYFUNCTION("""COMPUTED_VALUE"""),"1761 - Channel")</f>
        <v>1761 - Channel</v>
      </c>
      <c r="B1256" s="4"/>
      <c r="C1256" s="4"/>
      <c r="D1256" s="6"/>
      <c r="E1256" s="6"/>
      <c r="F1256" s="6"/>
      <c r="G1256" s="4"/>
      <c r="H1256" s="4"/>
      <c r="I1256" s="4"/>
      <c r="J1256" s="4"/>
      <c r="K1256" s="4"/>
      <c r="L1256" s="4"/>
      <c r="M1256" s="4"/>
      <c r="N1256" s="4" t="s">
        <v>70</v>
      </c>
      <c r="O1256" s="51" t="b">
        <v>0</v>
      </c>
      <c r="P1256" s="51" t="b">
        <v>0</v>
      </c>
      <c r="Q1256" s="51" t="b">
        <v>0</v>
      </c>
      <c r="R1256" s="51" t="b">
        <v>0</v>
      </c>
      <c r="S1256" s="51" t="b">
        <v>0</v>
      </c>
    </row>
    <row r="1257" hidden="1">
      <c r="A1257" s="4" t="str">
        <f>IFERROR(__xludf.DUMMYFUNCTION("""COMPUTED_VALUE"""),"1762 - Channel")</f>
        <v>1762 - Channel</v>
      </c>
      <c r="B1257" s="4"/>
      <c r="C1257" s="4"/>
      <c r="D1257" s="6"/>
      <c r="E1257" s="6"/>
      <c r="F1257" s="6"/>
      <c r="G1257" s="4"/>
      <c r="H1257" s="4"/>
      <c r="I1257" s="4"/>
      <c r="J1257" s="4"/>
      <c r="K1257" s="4"/>
      <c r="L1257" s="4"/>
      <c r="M1257" s="4"/>
      <c r="N1257" s="4" t="s">
        <v>70</v>
      </c>
      <c r="O1257" s="51" t="b">
        <v>0</v>
      </c>
      <c r="P1257" s="51" t="b">
        <v>0</v>
      </c>
      <c r="Q1257" s="51" t="b">
        <v>0</v>
      </c>
      <c r="R1257" s="51" t="b">
        <v>0</v>
      </c>
      <c r="S1257" s="51" t="b">
        <v>0</v>
      </c>
    </row>
    <row r="1258" hidden="1">
      <c r="A1258" s="4" t="str">
        <f>IFERROR(__xludf.DUMMYFUNCTION("""COMPUTED_VALUE"""),"1763 - Channel")</f>
        <v>1763 - Channel</v>
      </c>
      <c r="B1258" s="4"/>
      <c r="C1258" s="4"/>
      <c r="D1258" s="6"/>
      <c r="E1258" s="6"/>
      <c r="F1258" s="6"/>
      <c r="G1258" s="4"/>
      <c r="H1258" s="4"/>
      <c r="I1258" s="4"/>
      <c r="J1258" s="4"/>
      <c r="K1258" s="4"/>
      <c r="L1258" s="4"/>
      <c r="M1258" s="4"/>
      <c r="N1258" s="4" t="s">
        <v>70</v>
      </c>
      <c r="O1258" s="51" t="b">
        <v>0</v>
      </c>
      <c r="P1258" s="51" t="b">
        <v>0</v>
      </c>
      <c r="Q1258" s="51" t="b">
        <v>0</v>
      </c>
      <c r="R1258" s="51" t="b">
        <v>0</v>
      </c>
      <c r="S1258" s="51" t="b">
        <v>0</v>
      </c>
    </row>
    <row r="1259" hidden="1">
      <c r="A1259" s="4" t="str">
        <f>IFERROR(__xludf.DUMMYFUNCTION("""COMPUTED_VALUE"""),"1764 - Channel")</f>
        <v>1764 - Channel</v>
      </c>
      <c r="B1259" s="4"/>
      <c r="C1259" s="4"/>
      <c r="D1259" s="6"/>
      <c r="E1259" s="6"/>
      <c r="F1259" s="6"/>
      <c r="G1259" s="4"/>
      <c r="H1259" s="4"/>
      <c r="I1259" s="4"/>
      <c r="J1259" s="4"/>
      <c r="K1259" s="4"/>
      <c r="L1259" s="4"/>
      <c r="M1259" s="4"/>
      <c r="N1259" s="4" t="s">
        <v>70</v>
      </c>
      <c r="O1259" s="51" t="b">
        <v>0</v>
      </c>
      <c r="P1259" s="51" t="b">
        <v>0</v>
      </c>
      <c r="Q1259" s="51" t="b">
        <v>0</v>
      </c>
      <c r="R1259" s="51" t="b">
        <v>0</v>
      </c>
      <c r="S1259" s="51" t="b">
        <v>0</v>
      </c>
    </row>
    <row r="1260" hidden="1">
      <c r="A1260" s="4" t="str">
        <f>IFERROR(__xludf.DUMMYFUNCTION("""COMPUTED_VALUE"""),"1765 - Channel")</f>
        <v>1765 - Channel</v>
      </c>
      <c r="B1260" s="4"/>
      <c r="C1260" s="4"/>
      <c r="D1260" s="6"/>
      <c r="E1260" s="6"/>
      <c r="F1260" s="6"/>
      <c r="G1260" s="4"/>
      <c r="H1260" s="4"/>
      <c r="I1260" s="4"/>
      <c r="J1260" s="4"/>
      <c r="K1260" s="4"/>
      <c r="L1260" s="4"/>
      <c r="M1260" s="4"/>
      <c r="N1260" s="4" t="s">
        <v>70</v>
      </c>
      <c r="O1260" s="51" t="b">
        <v>0</v>
      </c>
      <c r="P1260" s="51" t="b">
        <v>0</v>
      </c>
      <c r="Q1260" s="51" t="b">
        <v>0</v>
      </c>
      <c r="R1260" s="51" t="b">
        <v>0</v>
      </c>
      <c r="S1260" s="51" t="b">
        <v>0</v>
      </c>
    </row>
    <row r="1261" hidden="1">
      <c r="A1261" s="4" t="str">
        <f>IFERROR(__xludf.DUMMYFUNCTION("""COMPUTED_VALUE"""),"1766 - Channel")</f>
        <v>1766 - Channel</v>
      </c>
      <c r="B1261" s="4"/>
      <c r="C1261" s="4"/>
      <c r="D1261" s="6"/>
      <c r="E1261" s="6"/>
      <c r="F1261" s="6"/>
      <c r="G1261" s="4"/>
      <c r="H1261" s="4"/>
      <c r="I1261" s="4"/>
      <c r="J1261" s="4"/>
      <c r="K1261" s="4"/>
      <c r="L1261" s="4"/>
      <c r="M1261" s="4"/>
      <c r="N1261" s="4" t="s">
        <v>70</v>
      </c>
      <c r="O1261" s="51" t="b">
        <v>0</v>
      </c>
      <c r="P1261" s="51" t="b">
        <v>0</v>
      </c>
      <c r="Q1261" s="51" t="b">
        <v>0</v>
      </c>
      <c r="R1261" s="51" t="b">
        <v>0</v>
      </c>
      <c r="S1261" s="51" t="b">
        <v>0</v>
      </c>
    </row>
    <row r="1262" hidden="1">
      <c r="A1262" s="4" t="str">
        <f>IFERROR(__xludf.DUMMYFUNCTION("""COMPUTED_VALUE"""),"1767 - Channel")</f>
        <v>1767 - Channel</v>
      </c>
      <c r="B1262" s="4"/>
      <c r="C1262" s="4"/>
      <c r="D1262" s="6"/>
      <c r="E1262" s="6"/>
      <c r="F1262" s="6"/>
      <c r="G1262" s="4"/>
      <c r="H1262" s="4"/>
      <c r="I1262" s="4"/>
      <c r="J1262" s="4"/>
      <c r="K1262" s="4"/>
      <c r="L1262" s="4"/>
      <c r="M1262" s="4"/>
      <c r="N1262" s="4" t="s">
        <v>70</v>
      </c>
      <c r="O1262" s="51" t="b">
        <v>0</v>
      </c>
      <c r="P1262" s="51" t="b">
        <v>0</v>
      </c>
      <c r="Q1262" s="51" t="b">
        <v>0</v>
      </c>
      <c r="R1262" s="51" t="b">
        <v>0</v>
      </c>
      <c r="S1262" s="51" t="b">
        <v>0</v>
      </c>
    </row>
    <row r="1263" hidden="1">
      <c r="A1263" s="4" t="str">
        <f>IFERROR(__xludf.DUMMYFUNCTION("""COMPUTED_VALUE"""),"1768 - Channel")</f>
        <v>1768 - Channel</v>
      </c>
      <c r="B1263" s="4"/>
      <c r="C1263" s="4"/>
      <c r="D1263" s="6"/>
      <c r="E1263" s="6"/>
      <c r="F1263" s="6"/>
      <c r="G1263" s="4"/>
      <c r="H1263" s="4"/>
      <c r="I1263" s="4"/>
      <c r="J1263" s="4"/>
      <c r="K1263" s="4"/>
      <c r="L1263" s="4"/>
      <c r="M1263" s="4"/>
      <c r="N1263" s="4" t="s">
        <v>70</v>
      </c>
      <c r="O1263" s="51" t="b">
        <v>0</v>
      </c>
      <c r="P1263" s="51" t="b">
        <v>0</v>
      </c>
      <c r="Q1263" s="51" t="b">
        <v>0</v>
      </c>
      <c r="R1263" s="51" t="b">
        <v>0</v>
      </c>
      <c r="S1263" s="51" t="b">
        <v>0</v>
      </c>
    </row>
    <row r="1264" hidden="1">
      <c r="A1264" s="4" t="str">
        <f>IFERROR(__xludf.DUMMYFUNCTION("""COMPUTED_VALUE"""),"1769 - Channel")</f>
        <v>1769 - Channel</v>
      </c>
      <c r="B1264" s="4"/>
      <c r="C1264" s="4"/>
      <c r="D1264" s="6"/>
      <c r="E1264" s="6"/>
      <c r="F1264" s="6"/>
      <c r="G1264" s="4"/>
      <c r="H1264" s="4"/>
      <c r="I1264" s="4"/>
      <c r="J1264" s="4"/>
      <c r="K1264" s="4"/>
      <c r="L1264" s="4"/>
      <c r="M1264" s="4"/>
      <c r="N1264" s="4" t="s">
        <v>70</v>
      </c>
      <c r="O1264" s="51" t="b">
        <v>0</v>
      </c>
      <c r="P1264" s="51" t="b">
        <v>0</v>
      </c>
      <c r="Q1264" s="51" t="b">
        <v>0</v>
      </c>
      <c r="R1264" s="51" t="b">
        <v>0</v>
      </c>
      <c r="S1264" s="51" t="b">
        <v>0</v>
      </c>
    </row>
    <row r="1265" hidden="1">
      <c r="A1265" s="4" t="str">
        <f>IFERROR(__xludf.DUMMYFUNCTION("""COMPUTED_VALUE"""),"1770 - Channel")</f>
        <v>1770 - Channel</v>
      </c>
      <c r="B1265" s="4"/>
      <c r="C1265" s="4"/>
      <c r="D1265" s="6"/>
      <c r="E1265" s="6"/>
      <c r="F1265" s="6"/>
      <c r="G1265" s="4"/>
      <c r="H1265" s="4"/>
      <c r="I1265" s="4"/>
      <c r="J1265" s="4"/>
      <c r="K1265" s="4"/>
      <c r="L1265" s="4"/>
      <c r="M1265" s="4"/>
      <c r="N1265" s="4" t="s">
        <v>70</v>
      </c>
      <c r="O1265" s="51" t="b">
        <v>0</v>
      </c>
      <c r="P1265" s="51" t="b">
        <v>0</v>
      </c>
      <c r="Q1265" s="51" t="b">
        <v>0</v>
      </c>
      <c r="R1265" s="51" t="b">
        <v>0</v>
      </c>
      <c r="S1265" s="51" t="b">
        <v>0</v>
      </c>
    </row>
    <row r="1266" hidden="1">
      <c r="A1266" s="4" t="str">
        <f>IFERROR(__xludf.DUMMYFUNCTION("""COMPUTED_VALUE"""),"1771 - Channel")</f>
        <v>1771 - Channel</v>
      </c>
      <c r="B1266" s="4"/>
      <c r="C1266" s="4"/>
      <c r="D1266" s="6"/>
      <c r="E1266" s="6"/>
      <c r="F1266" s="6"/>
      <c r="G1266" s="4"/>
      <c r="H1266" s="4"/>
      <c r="I1266" s="4"/>
      <c r="J1266" s="4"/>
      <c r="K1266" s="4"/>
      <c r="L1266" s="4"/>
      <c r="M1266" s="4"/>
      <c r="N1266" s="4" t="s">
        <v>70</v>
      </c>
      <c r="O1266" s="51" t="b">
        <v>0</v>
      </c>
      <c r="P1266" s="51" t="b">
        <v>0</v>
      </c>
      <c r="Q1266" s="51" t="b">
        <v>0</v>
      </c>
      <c r="R1266" s="51" t="b">
        <v>0</v>
      </c>
      <c r="S1266" s="51" t="b">
        <v>0</v>
      </c>
    </row>
    <row r="1267" hidden="1">
      <c r="A1267" s="4" t="str">
        <f>IFERROR(__xludf.DUMMYFUNCTION("""COMPUTED_VALUE"""),"1772 - Channel")</f>
        <v>1772 - Channel</v>
      </c>
      <c r="B1267" s="4"/>
      <c r="C1267" s="4"/>
      <c r="D1267" s="6"/>
      <c r="E1267" s="6"/>
      <c r="F1267" s="6"/>
      <c r="G1267" s="4"/>
      <c r="H1267" s="4"/>
      <c r="I1267" s="4"/>
      <c r="J1267" s="4"/>
      <c r="K1267" s="4"/>
      <c r="L1267" s="4"/>
      <c r="M1267" s="4"/>
      <c r="N1267" s="4" t="s">
        <v>70</v>
      </c>
      <c r="O1267" s="51" t="b">
        <v>0</v>
      </c>
      <c r="P1267" s="51" t="b">
        <v>0</v>
      </c>
      <c r="Q1267" s="51" t="b">
        <v>0</v>
      </c>
      <c r="R1267" s="51" t="b">
        <v>0</v>
      </c>
      <c r="S1267" s="51" t="b">
        <v>0</v>
      </c>
    </row>
    <row r="1268" hidden="1">
      <c r="A1268" s="4" t="str">
        <f>IFERROR(__xludf.DUMMYFUNCTION("""COMPUTED_VALUE"""),"1773 - Channel")</f>
        <v>1773 - Channel</v>
      </c>
      <c r="B1268" s="4"/>
      <c r="C1268" s="4"/>
      <c r="D1268" s="6"/>
      <c r="E1268" s="6"/>
      <c r="F1268" s="6"/>
      <c r="G1268" s="4"/>
      <c r="H1268" s="4"/>
      <c r="I1268" s="4"/>
      <c r="J1268" s="4"/>
      <c r="K1268" s="4"/>
      <c r="L1268" s="4"/>
      <c r="M1268" s="4"/>
      <c r="N1268" s="4" t="s">
        <v>70</v>
      </c>
      <c r="O1268" s="51" t="b">
        <v>0</v>
      </c>
      <c r="P1268" s="51" t="b">
        <v>0</v>
      </c>
      <c r="Q1268" s="51" t="b">
        <v>0</v>
      </c>
      <c r="R1268" s="51" t="b">
        <v>0</v>
      </c>
      <c r="S1268" s="51" t="b">
        <v>0</v>
      </c>
    </row>
    <row r="1269" hidden="1">
      <c r="A1269" s="4" t="str">
        <f>IFERROR(__xludf.DUMMYFUNCTION("""COMPUTED_VALUE"""),"1774 - Channel")</f>
        <v>1774 - Channel</v>
      </c>
      <c r="B1269" s="4"/>
      <c r="C1269" s="4"/>
      <c r="D1269" s="6"/>
      <c r="E1269" s="6"/>
      <c r="F1269" s="6"/>
      <c r="G1269" s="4"/>
      <c r="H1269" s="4"/>
      <c r="I1269" s="4"/>
      <c r="J1269" s="4"/>
      <c r="K1269" s="4"/>
      <c r="L1269" s="4"/>
      <c r="M1269" s="4"/>
      <c r="N1269" s="4" t="s">
        <v>70</v>
      </c>
      <c r="O1269" s="51" t="b">
        <v>0</v>
      </c>
      <c r="P1269" s="51" t="b">
        <v>0</v>
      </c>
      <c r="Q1269" s="51" t="b">
        <v>0</v>
      </c>
      <c r="R1269" s="51" t="b">
        <v>0</v>
      </c>
      <c r="S1269" s="51" t="b">
        <v>0</v>
      </c>
    </row>
    <row r="1270" hidden="1">
      <c r="A1270" s="4" t="str">
        <f>IFERROR(__xludf.DUMMYFUNCTION("""COMPUTED_VALUE"""),"1775 - Channel")</f>
        <v>1775 - Channel</v>
      </c>
      <c r="B1270" s="4"/>
      <c r="C1270" s="4"/>
      <c r="D1270" s="6"/>
      <c r="E1270" s="6"/>
      <c r="F1270" s="6"/>
      <c r="G1270" s="4"/>
      <c r="H1270" s="4"/>
      <c r="I1270" s="4"/>
      <c r="J1270" s="4"/>
      <c r="K1270" s="4"/>
      <c r="L1270" s="4"/>
      <c r="M1270" s="4"/>
      <c r="N1270" s="4" t="s">
        <v>70</v>
      </c>
      <c r="O1270" s="51" t="b">
        <v>0</v>
      </c>
      <c r="P1270" s="51" t="b">
        <v>0</v>
      </c>
      <c r="Q1270" s="51" t="b">
        <v>0</v>
      </c>
      <c r="R1270" s="51" t="b">
        <v>0</v>
      </c>
      <c r="S1270" s="51" t="b">
        <v>0</v>
      </c>
    </row>
    <row r="1271" hidden="1">
      <c r="A1271" s="4" t="str">
        <f>IFERROR(__xludf.DUMMYFUNCTION("""COMPUTED_VALUE"""),"1776 - Channel")</f>
        <v>1776 - Channel</v>
      </c>
      <c r="B1271" s="4"/>
      <c r="C1271" s="4"/>
      <c r="D1271" s="6"/>
      <c r="E1271" s="6"/>
      <c r="F1271" s="6"/>
      <c r="G1271" s="4"/>
      <c r="H1271" s="4"/>
      <c r="I1271" s="4"/>
      <c r="J1271" s="4"/>
      <c r="K1271" s="4"/>
      <c r="L1271" s="4"/>
      <c r="M1271" s="4"/>
      <c r="N1271" s="4" t="s">
        <v>70</v>
      </c>
      <c r="O1271" s="51" t="b">
        <v>0</v>
      </c>
      <c r="P1271" s="51" t="b">
        <v>0</v>
      </c>
      <c r="Q1271" s="51" t="b">
        <v>0</v>
      </c>
      <c r="R1271" s="51" t="b">
        <v>0</v>
      </c>
      <c r="S1271" s="51" t="b">
        <v>0</v>
      </c>
    </row>
    <row r="1272" hidden="1">
      <c r="A1272" s="4" t="str">
        <f>IFERROR(__xludf.DUMMYFUNCTION("""COMPUTED_VALUE"""),"1777 - Channel")</f>
        <v>1777 - Channel</v>
      </c>
      <c r="B1272" s="4"/>
      <c r="C1272" s="4"/>
      <c r="D1272" s="6"/>
      <c r="E1272" s="6"/>
      <c r="F1272" s="6"/>
      <c r="G1272" s="4"/>
      <c r="H1272" s="4"/>
      <c r="I1272" s="4"/>
      <c r="J1272" s="4"/>
      <c r="K1272" s="4"/>
      <c r="L1272" s="4"/>
      <c r="M1272" s="4"/>
      <c r="N1272" s="4" t="s">
        <v>70</v>
      </c>
      <c r="O1272" s="51" t="b">
        <v>0</v>
      </c>
      <c r="P1272" s="51" t="b">
        <v>0</v>
      </c>
      <c r="Q1272" s="51" t="b">
        <v>0</v>
      </c>
      <c r="R1272" s="51" t="b">
        <v>0</v>
      </c>
      <c r="S1272" s="51" t="b">
        <v>0</v>
      </c>
    </row>
    <row r="1273" hidden="1">
      <c r="A1273" s="4" t="str">
        <f>IFERROR(__xludf.DUMMYFUNCTION("""COMPUTED_VALUE"""),"1778 - Channel")</f>
        <v>1778 - Channel</v>
      </c>
      <c r="B1273" s="4"/>
      <c r="C1273" s="4"/>
      <c r="D1273" s="6"/>
      <c r="E1273" s="6"/>
      <c r="F1273" s="6"/>
      <c r="G1273" s="4"/>
      <c r="H1273" s="4"/>
      <c r="I1273" s="4"/>
      <c r="J1273" s="4"/>
      <c r="K1273" s="4"/>
      <c r="L1273" s="4"/>
      <c r="M1273" s="4"/>
      <c r="N1273" s="4" t="s">
        <v>70</v>
      </c>
      <c r="O1273" s="51" t="b">
        <v>0</v>
      </c>
      <c r="P1273" s="51" t="b">
        <v>0</v>
      </c>
      <c r="Q1273" s="51" t="b">
        <v>0</v>
      </c>
      <c r="R1273" s="51" t="b">
        <v>0</v>
      </c>
      <c r="S1273" s="51" t="b">
        <v>0</v>
      </c>
    </row>
    <row r="1274" hidden="1">
      <c r="A1274" s="4" t="str">
        <f>IFERROR(__xludf.DUMMYFUNCTION("""COMPUTED_VALUE"""),"1779 - Channel")</f>
        <v>1779 - Channel</v>
      </c>
      <c r="B1274" s="4"/>
      <c r="C1274" s="4"/>
      <c r="D1274" s="6"/>
      <c r="E1274" s="6"/>
      <c r="F1274" s="6"/>
      <c r="G1274" s="4"/>
      <c r="H1274" s="4"/>
      <c r="I1274" s="4"/>
      <c r="J1274" s="4"/>
      <c r="K1274" s="4"/>
      <c r="L1274" s="4"/>
      <c r="M1274" s="4"/>
      <c r="N1274" s="4" t="s">
        <v>70</v>
      </c>
      <c r="O1274" s="51" t="b">
        <v>0</v>
      </c>
      <c r="P1274" s="51" t="b">
        <v>0</v>
      </c>
      <c r="Q1274" s="51" t="b">
        <v>0</v>
      </c>
      <c r="R1274" s="51" t="b">
        <v>0</v>
      </c>
      <c r="S1274" s="51" t="b">
        <v>0</v>
      </c>
    </row>
    <row r="1275" hidden="1">
      <c r="A1275" s="4" t="str">
        <f>IFERROR(__xludf.DUMMYFUNCTION("""COMPUTED_VALUE"""),"1780 - Channel")</f>
        <v>1780 - Channel</v>
      </c>
      <c r="B1275" s="4"/>
      <c r="C1275" s="4"/>
      <c r="D1275" s="6"/>
      <c r="E1275" s="6"/>
      <c r="F1275" s="6"/>
      <c r="G1275" s="4"/>
      <c r="H1275" s="4"/>
      <c r="I1275" s="4"/>
      <c r="J1275" s="4"/>
      <c r="K1275" s="4"/>
      <c r="L1275" s="4"/>
      <c r="M1275" s="4"/>
      <c r="N1275" s="4" t="s">
        <v>70</v>
      </c>
      <c r="O1275" s="51" t="b">
        <v>0</v>
      </c>
      <c r="P1275" s="51" t="b">
        <v>0</v>
      </c>
      <c r="Q1275" s="51" t="b">
        <v>0</v>
      </c>
      <c r="R1275" s="51" t="b">
        <v>0</v>
      </c>
      <c r="S1275" s="51" t="b">
        <v>0</v>
      </c>
    </row>
    <row r="1276" hidden="1">
      <c r="A1276" s="4" t="str">
        <f>IFERROR(__xludf.DUMMYFUNCTION("""COMPUTED_VALUE"""),"1781 - Channel")</f>
        <v>1781 - Channel</v>
      </c>
      <c r="B1276" s="4"/>
      <c r="C1276" s="4"/>
      <c r="D1276" s="6"/>
      <c r="E1276" s="6"/>
      <c r="F1276" s="6"/>
      <c r="G1276" s="4"/>
      <c r="H1276" s="4"/>
      <c r="I1276" s="4"/>
      <c r="J1276" s="4"/>
      <c r="K1276" s="4"/>
      <c r="L1276" s="4"/>
      <c r="M1276" s="4"/>
      <c r="N1276" s="4" t="s">
        <v>70</v>
      </c>
      <c r="O1276" s="51" t="b">
        <v>0</v>
      </c>
      <c r="P1276" s="51" t="b">
        <v>0</v>
      </c>
      <c r="Q1276" s="51" t="b">
        <v>0</v>
      </c>
      <c r="R1276" s="51" t="b">
        <v>0</v>
      </c>
      <c r="S1276" s="51" t="b">
        <v>0</v>
      </c>
    </row>
    <row r="1277" hidden="1">
      <c r="A1277" s="4" t="str">
        <f>IFERROR(__xludf.DUMMYFUNCTION("""COMPUTED_VALUE"""),"1782 - Channel")</f>
        <v>1782 - Channel</v>
      </c>
      <c r="B1277" s="4"/>
      <c r="C1277" s="4"/>
      <c r="D1277" s="6"/>
      <c r="E1277" s="6"/>
      <c r="F1277" s="6"/>
      <c r="G1277" s="4"/>
      <c r="H1277" s="4"/>
      <c r="I1277" s="4"/>
      <c r="J1277" s="4"/>
      <c r="K1277" s="4"/>
      <c r="L1277" s="4"/>
      <c r="M1277" s="4"/>
      <c r="N1277" s="4" t="s">
        <v>70</v>
      </c>
      <c r="O1277" s="51" t="b">
        <v>0</v>
      </c>
      <c r="P1277" s="51" t="b">
        <v>0</v>
      </c>
      <c r="Q1277" s="51" t="b">
        <v>0</v>
      </c>
      <c r="R1277" s="51" t="b">
        <v>0</v>
      </c>
      <c r="S1277" s="51" t="b">
        <v>0</v>
      </c>
    </row>
    <row r="1278" hidden="1">
      <c r="A1278" s="4" t="str">
        <f>IFERROR(__xludf.DUMMYFUNCTION("""COMPUTED_VALUE"""),"1783 - Channel")</f>
        <v>1783 - Channel</v>
      </c>
      <c r="B1278" s="4"/>
      <c r="C1278" s="4"/>
      <c r="D1278" s="6"/>
      <c r="E1278" s="6"/>
      <c r="F1278" s="6"/>
      <c r="G1278" s="4"/>
      <c r="H1278" s="4"/>
      <c r="I1278" s="4"/>
      <c r="J1278" s="4"/>
      <c r="K1278" s="4"/>
      <c r="L1278" s="4"/>
      <c r="M1278" s="4"/>
      <c r="N1278" s="4" t="s">
        <v>70</v>
      </c>
      <c r="O1278" s="51" t="b">
        <v>0</v>
      </c>
      <c r="P1278" s="51" t="b">
        <v>0</v>
      </c>
      <c r="Q1278" s="51" t="b">
        <v>0</v>
      </c>
      <c r="R1278" s="51" t="b">
        <v>0</v>
      </c>
      <c r="S1278" s="51" t="b">
        <v>0</v>
      </c>
    </row>
    <row r="1279" hidden="1">
      <c r="A1279" s="4" t="str">
        <f>IFERROR(__xludf.DUMMYFUNCTION("""COMPUTED_VALUE"""),"1784 - Channel")</f>
        <v>1784 - Channel</v>
      </c>
      <c r="B1279" s="4"/>
      <c r="C1279" s="4"/>
      <c r="D1279" s="6"/>
      <c r="E1279" s="6"/>
      <c r="F1279" s="6"/>
      <c r="G1279" s="4"/>
      <c r="H1279" s="4"/>
      <c r="I1279" s="4"/>
      <c r="J1279" s="4"/>
      <c r="K1279" s="4"/>
      <c r="L1279" s="4"/>
      <c r="M1279" s="4"/>
      <c r="N1279" s="4" t="s">
        <v>70</v>
      </c>
      <c r="O1279" s="51" t="b">
        <v>0</v>
      </c>
      <c r="P1279" s="51" t="b">
        <v>0</v>
      </c>
      <c r="Q1279" s="51" t="b">
        <v>0</v>
      </c>
      <c r="R1279" s="51" t="b">
        <v>0</v>
      </c>
      <c r="S1279" s="51" t="b">
        <v>0</v>
      </c>
    </row>
    <row r="1280" hidden="1">
      <c r="A1280" s="4" t="str">
        <f>IFERROR(__xludf.DUMMYFUNCTION("""COMPUTED_VALUE"""),"1785 - Channel")</f>
        <v>1785 - Channel</v>
      </c>
      <c r="B1280" s="4"/>
      <c r="C1280" s="4"/>
      <c r="D1280" s="6"/>
      <c r="E1280" s="6"/>
      <c r="F1280" s="6"/>
      <c r="G1280" s="4"/>
      <c r="H1280" s="4"/>
      <c r="I1280" s="4"/>
      <c r="J1280" s="4"/>
      <c r="K1280" s="4"/>
      <c r="L1280" s="4"/>
      <c r="M1280" s="4"/>
      <c r="N1280" s="4" t="s">
        <v>70</v>
      </c>
      <c r="O1280" s="51" t="b">
        <v>0</v>
      </c>
      <c r="P1280" s="51" t="b">
        <v>0</v>
      </c>
      <c r="Q1280" s="51" t="b">
        <v>0</v>
      </c>
      <c r="R1280" s="51" t="b">
        <v>0</v>
      </c>
      <c r="S1280" s="51" t="b">
        <v>0</v>
      </c>
    </row>
    <row r="1281" hidden="1">
      <c r="A1281" s="4" t="str">
        <f>IFERROR(__xludf.DUMMYFUNCTION("""COMPUTED_VALUE"""),"1786 - Channel")</f>
        <v>1786 - Channel</v>
      </c>
      <c r="B1281" s="4"/>
      <c r="C1281" s="4"/>
      <c r="D1281" s="6"/>
      <c r="E1281" s="6"/>
      <c r="F1281" s="6"/>
      <c r="G1281" s="4"/>
      <c r="H1281" s="4"/>
      <c r="I1281" s="4"/>
      <c r="J1281" s="4"/>
      <c r="K1281" s="4"/>
      <c r="L1281" s="4"/>
      <c r="M1281" s="4"/>
      <c r="N1281" s="4" t="s">
        <v>70</v>
      </c>
      <c r="O1281" s="51" t="b">
        <v>0</v>
      </c>
      <c r="P1281" s="51" t="b">
        <v>0</v>
      </c>
      <c r="Q1281" s="51" t="b">
        <v>0</v>
      </c>
      <c r="R1281" s="51" t="b">
        <v>0</v>
      </c>
      <c r="S1281" s="51" t="b">
        <v>0</v>
      </c>
    </row>
    <row r="1282" hidden="1">
      <c r="A1282" s="4" t="str">
        <f>IFERROR(__xludf.DUMMYFUNCTION("""COMPUTED_VALUE"""),"1787 - Channel")</f>
        <v>1787 - Channel</v>
      </c>
      <c r="B1282" s="4"/>
      <c r="C1282" s="4"/>
      <c r="D1282" s="6"/>
      <c r="E1282" s="6"/>
      <c r="F1282" s="6"/>
      <c r="G1282" s="4"/>
      <c r="H1282" s="4"/>
      <c r="I1282" s="4"/>
      <c r="J1282" s="4"/>
      <c r="K1282" s="4"/>
      <c r="L1282" s="4"/>
      <c r="M1282" s="4"/>
      <c r="N1282" s="4" t="s">
        <v>70</v>
      </c>
      <c r="O1282" s="51" t="b">
        <v>0</v>
      </c>
      <c r="P1282" s="51" t="b">
        <v>0</v>
      </c>
      <c r="Q1282" s="51" t="b">
        <v>0</v>
      </c>
      <c r="R1282" s="51" t="b">
        <v>0</v>
      </c>
      <c r="S1282" s="51" t="b">
        <v>0</v>
      </c>
    </row>
    <row r="1283" hidden="1">
      <c r="A1283" s="4" t="str">
        <f>IFERROR(__xludf.DUMMYFUNCTION("""COMPUTED_VALUE"""),"1788 - Channel")</f>
        <v>1788 - Channel</v>
      </c>
      <c r="B1283" s="4"/>
      <c r="C1283" s="4"/>
      <c r="D1283" s="6"/>
      <c r="E1283" s="6"/>
      <c r="F1283" s="6"/>
      <c r="G1283" s="4"/>
      <c r="H1283" s="4"/>
      <c r="I1283" s="4"/>
      <c r="J1283" s="4"/>
      <c r="K1283" s="4"/>
      <c r="L1283" s="4"/>
      <c r="M1283" s="4"/>
      <c r="N1283" s="4" t="s">
        <v>70</v>
      </c>
      <c r="O1283" s="51" t="b">
        <v>0</v>
      </c>
      <c r="P1283" s="51" t="b">
        <v>0</v>
      </c>
      <c r="Q1283" s="51" t="b">
        <v>0</v>
      </c>
      <c r="R1283" s="51" t="b">
        <v>0</v>
      </c>
      <c r="S1283" s="51" t="b">
        <v>0</v>
      </c>
    </row>
    <row r="1284" hidden="1">
      <c r="A1284" s="4" t="str">
        <f>IFERROR(__xludf.DUMMYFUNCTION("""COMPUTED_VALUE"""),"1789 - Channel")</f>
        <v>1789 - Channel</v>
      </c>
      <c r="B1284" s="4"/>
      <c r="C1284" s="4"/>
      <c r="D1284" s="6"/>
      <c r="E1284" s="6"/>
      <c r="F1284" s="6"/>
      <c r="G1284" s="4"/>
      <c r="H1284" s="4"/>
      <c r="I1284" s="4"/>
      <c r="J1284" s="4"/>
      <c r="K1284" s="4"/>
      <c r="L1284" s="4"/>
      <c r="M1284" s="4"/>
      <c r="N1284" s="4" t="s">
        <v>70</v>
      </c>
      <c r="O1284" s="51" t="b">
        <v>0</v>
      </c>
      <c r="P1284" s="51" t="b">
        <v>0</v>
      </c>
      <c r="Q1284" s="51" t="b">
        <v>0</v>
      </c>
      <c r="R1284" s="51" t="b">
        <v>0</v>
      </c>
      <c r="S1284" s="51" t="b">
        <v>0</v>
      </c>
    </row>
    <row r="1285" hidden="1">
      <c r="A1285" s="4" t="str">
        <f>IFERROR(__xludf.DUMMYFUNCTION("""COMPUTED_VALUE"""),"1790 - Channel")</f>
        <v>1790 - Channel</v>
      </c>
      <c r="B1285" s="4"/>
      <c r="C1285" s="4"/>
      <c r="D1285" s="6"/>
      <c r="E1285" s="6"/>
      <c r="F1285" s="6"/>
      <c r="G1285" s="4"/>
      <c r="H1285" s="4"/>
      <c r="I1285" s="4"/>
      <c r="J1285" s="4"/>
      <c r="K1285" s="4"/>
      <c r="L1285" s="4"/>
      <c r="M1285" s="4"/>
      <c r="N1285" s="4" t="s">
        <v>70</v>
      </c>
      <c r="O1285" s="51" t="b">
        <v>0</v>
      </c>
      <c r="P1285" s="51" t="b">
        <v>0</v>
      </c>
      <c r="Q1285" s="51" t="b">
        <v>0</v>
      </c>
      <c r="R1285" s="51" t="b">
        <v>0</v>
      </c>
      <c r="S1285" s="51" t="b">
        <v>0</v>
      </c>
    </row>
    <row r="1286" hidden="1">
      <c r="A1286" s="4" t="str">
        <f>IFERROR(__xludf.DUMMYFUNCTION("""COMPUTED_VALUE"""),"1791 - Channel")</f>
        <v>1791 - Channel</v>
      </c>
      <c r="B1286" s="4"/>
      <c r="C1286" s="4"/>
      <c r="D1286" s="6"/>
      <c r="E1286" s="6"/>
      <c r="F1286" s="6"/>
      <c r="G1286" s="4"/>
      <c r="H1286" s="4"/>
      <c r="I1286" s="4"/>
      <c r="J1286" s="4"/>
      <c r="K1286" s="4"/>
      <c r="L1286" s="4"/>
      <c r="M1286" s="4"/>
      <c r="N1286" s="4" t="s">
        <v>70</v>
      </c>
      <c r="O1286" s="51" t="b">
        <v>0</v>
      </c>
      <c r="P1286" s="51" t="b">
        <v>0</v>
      </c>
      <c r="Q1286" s="51" t="b">
        <v>0</v>
      </c>
      <c r="R1286" s="51" t="b">
        <v>0</v>
      </c>
      <c r="S1286" s="51" t="b">
        <v>0</v>
      </c>
    </row>
    <row r="1287" hidden="1">
      <c r="A1287" s="4" t="str">
        <f>IFERROR(__xludf.DUMMYFUNCTION("""COMPUTED_VALUE"""),"1792 - Channel")</f>
        <v>1792 - Channel</v>
      </c>
      <c r="B1287" s="4"/>
      <c r="C1287" s="4"/>
      <c r="D1287" s="6"/>
      <c r="E1287" s="6"/>
      <c r="F1287" s="6"/>
      <c r="G1287" s="4"/>
      <c r="H1287" s="4"/>
      <c r="I1287" s="4"/>
      <c r="J1287" s="4"/>
      <c r="K1287" s="4"/>
      <c r="L1287" s="4"/>
      <c r="M1287" s="4"/>
      <c r="N1287" s="4" t="s">
        <v>70</v>
      </c>
      <c r="O1287" s="51" t="b">
        <v>0</v>
      </c>
      <c r="P1287" s="51" t="b">
        <v>0</v>
      </c>
      <c r="Q1287" s="51" t="b">
        <v>0</v>
      </c>
      <c r="R1287" s="51" t="b">
        <v>0</v>
      </c>
      <c r="S1287" s="51" t="b">
        <v>0</v>
      </c>
    </row>
    <row r="1288" hidden="1">
      <c r="A1288" s="4" t="str">
        <f>IFERROR(__xludf.DUMMYFUNCTION("""COMPUTED_VALUE"""),"1793 - Channel")</f>
        <v>1793 - Channel</v>
      </c>
      <c r="B1288" s="4"/>
      <c r="C1288" s="4"/>
      <c r="D1288" s="6"/>
      <c r="E1288" s="6"/>
      <c r="F1288" s="6"/>
      <c r="G1288" s="4"/>
      <c r="H1288" s="4"/>
      <c r="I1288" s="4"/>
      <c r="J1288" s="4"/>
      <c r="K1288" s="4"/>
      <c r="L1288" s="4"/>
      <c r="M1288" s="4"/>
      <c r="N1288" s="4" t="s">
        <v>70</v>
      </c>
      <c r="O1288" s="51" t="b">
        <v>0</v>
      </c>
      <c r="P1288" s="51" t="b">
        <v>0</v>
      </c>
      <c r="Q1288" s="51" t="b">
        <v>0</v>
      </c>
      <c r="R1288" s="51" t="b">
        <v>0</v>
      </c>
      <c r="S1288" s="51" t="b">
        <v>0</v>
      </c>
    </row>
    <row r="1289" hidden="1">
      <c r="A1289" s="4" t="str">
        <f>IFERROR(__xludf.DUMMYFUNCTION("""COMPUTED_VALUE"""),"1794 - Channel")</f>
        <v>1794 - Channel</v>
      </c>
      <c r="B1289" s="4"/>
      <c r="C1289" s="4"/>
      <c r="D1289" s="6"/>
      <c r="E1289" s="6"/>
      <c r="F1289" s="6"/>
      <c r="G1289" s="4"/>
      <c r="H1289" s="4"/>
      <c r="I1289" s="4"/>
      <c r="J1289" s="4"/>
      <c r="K1289" s="4"/>
      <c r="L1289" s="4"/>
      <c r="M1289" s="4"/>
      <c r="N1289" s="4" t="s">
        <v>70</v>
      </c>
      <c r="O1289" s="51" t="b">
        <v>0</v>
      </c>
      <c r="P1289" s="51" t="b">
        <v>0</v>
      </c>
      <c r="Q1289" s="51" t="b">
        <v>0</v>
      </c>
      <c r="R1289" s="51" t="b">
        <v>0</v>
      </c>
      <c r="S1289" s="51" t="b">
        <v>0</v>
      </c>
    </row>
    <row r="1290" hidden="1">
      <c r="A1290" s="4" t="str">
        <f>IFERROR(__xludf.DUMMYFUNCTION("""COMPUTED_VALUE"""),"1825 - Channel")</f>
        <v>1825 - Channel</v>
      </c>
      <c r="B1290" s="4"/>
      <c r="C1290" s="4"/>
      <c r="D1290" s="6"/>
      <c r="E1290" s="6"/>
      <c r="F1290" s="6"/>
      <c r="G1290" s="4"/>
      <c r="H1290" s="4"/>
      <c r="I1290" s="4"/>
      <c r="J1290" s="4"/>
      <c r="K1290" s="4"/>
      <c r="L1290" s="4"/>
      <c r="M1290" s="4"/>
      <c r="N1290" s="4" t="s">
        <v>70</v>
      </c>
      <c r="O1290" s="51" t="b">
        <v>0</v>
      </c>
      <c r="P1290" s="51" t="b">
        <v>0</v>
      </c>
      <c r="Q1290" s="51" t="b">
        <v>0</v>
      </c>
      <c r="R1290" s="51" t="b">
        <v>0</v>
      </c>
      <c r="S1290" s="51" t="b">
        <v>0</v>
      </c>
    </row>
    <row r="1291" hidden="1">
      <c r="A1291" s="4" t="str">
        <f>IFERROR(__xludf.DUMMYFUNCTION("""COMPUTED_VALUE"""),"1826 - Channel")</f>
        <v>1826 - Channel</v>
      </c>
      <c r="B1291" s="4"/>
      <c r="C1291" s="4"/>
      <c r="D1291" s="6"/>
      <c r="E1291" s="6"/>
      <c r="F1291" s="6"/>
      <c r="G1291" s="4"/>
      <c r="H1291" s="4"/>
      <c r="I1291" s="4"/>
      <c r="J1291" s="4"/>
      <c r="K1291" s="4"/>
      <c r="L1291" s="4"/>
      <c r="M1291" s="4"/>
      <c r="N1291" s="4" t="s">
        <v>70</v>
      </c>
      <c r="O1291" s="51" t="b">
        <v>0</v>
      </c>
      <c r="P1291" s="51" t="b">
        <v>0</v>
      </c>
      <c r="Q1291" s="51" t="b">
        <v>0</v>
      </c>
      <c r="R1291" s="51" t="b">
        <v>0</v>
      </c>
      <c r="S1291" s="51" t="b">
        <v>0</v>
      </c>
    </row>
    <row r="1292" hidden="1">
      <c r="A1292" s="4" t="str">
        <f>IFERROR(__xludf.DUMMYFUNCTION("""COMPUTED_VALUE"""),"1827 - Channel")</f>
        <v>1827 - Channel</v>
      </c>
      <c r="B1292" s="4"/>
      <c r="C1292" s="4"/>
      <c r="D1292" s="6"/>
      <c r="E1292" s="6"/>
      <c r="F1292" s="6"/>
      <c r="G1292" s="4"/>
      <c r="H1292" s="4"/>
      <c r="I1292" s="4"/>
      <c r="J1292" s="4"/>
      <c r="K1292" s="4"/>
      <c r="L1292" s="4"/>
      <c r="M1292" s="4"/>
      <c r="N1292" s="4" t="s">
        <v>70</v>
      </c>
      <c r="O1292" s="51" t="b">
        <v>0</v>
      </c>
      <c r="P1292" s="51" t="b">
        <v>0</v>
      </c>
      <c r="Q1292" s="51" t="b">
        <v>0</v>
      </c>
      <c r="R1292" s="51" t="b">
        <v>0</v>
      </c>
      <c r="S1292" s="51" t="b">
        <v>0</v>
      </c>
    </row>
    <row r="1293" hidden="1">
      <c r="A1293" s="4" t="str">
        <f>IFERROR(__xludf.DUMMYFUNCTION("""COMPUTED_VALUE"""),"1828 - Channel")</f>
        <v>1828 - Channel</v>
      </c>
      <c r="B1293" s="4"/>
      <c r="C1293" s="4"/>
      <c r="D1293" s="6"/>
      <c r="E1293" s="6"/>
      <c r="F1293" s="6"/>
      <c r="G1293" s="4"/>
      <c r="H1293" s="4"/>
      <c r="I1293" s="4"/>
      <c r="J1293" s="4"/>
      <c r="K1293" s="4"/>
      <c r="L1293" s="4"/>
      <c r="M1293" s="4"/>
      <c r="N1293" s="4" t="s">
        <v>70</v>
      </c>
      <c r="O1293" s="51" t="b">
        <v>0</v>
      </c>
      <c r="P1293" s="51" t="b">
        <v>0</v>
      </c>
      <c r="Q1293" s="51" t="b">
        <v>0</v>
      </c>
      <c r="R1293" s="51" t="b">
        <v>0</v>
      </c>
      <c r="S1293" s="51" t="b">
        <v>0</v>
      </c>
    </row>
    <row r="1294" hidden="1">
      <c r="A1294" s="4" t="str">
        <f>IFERROR(__xludf.DUMMYFUNCTION("""COMPUTED_VALUE"""),"1829 - Channel")</f>
        <v>1829 - Channel</v>
      </c>
      <c r="B1294" s="4"/>
      <c r="C1294" s="4"/>
      <c r="D1294" s="6"/>
      <c r="E1294" s="6"/>
      <c r="F1294" s="6"/>
      <c r="G1294" s="4"/>
      <c r="H1294" s="4"/>
      <c r="I1294" s="4"/>
      <c r="J1294" s="4"/>
      <c r="K1294" s="4"/>
      <c r="L1294" s="4"/>
      <c r="M1294" s="4"/>
      <c r="N1294" s="4" t="s">
        <v>70</v>
      </c>
      <c r="O1294" s="51" t="b">
        <v>0</v>
      </c>
      <c r="P1294" s="51" t="b">
        <v>0</v>
      </c>
      <c r="Q1294" s="51" t="b">
        <v>0</v>
      </c>
      <c r="R1294" s="51" t="b">
        <v>0</v>
      </c>
      <c r="S1294" s="51" t="b">
        <v>0</v>
      </c>
    </row>
    <row r="1295" hidden="1">
      <c r="A1295" s="4" t="str">
        <f>IFERROR(__xludf.DUMMYFUNCTION("""COMPUTED_VALUE"""),"1830 - Channel")</f>
        <v>1830 - Channel</v>
      </c>
      <c r="B1295" s="4"/>
      <c r="C1295" s="4"/>
      <c r="D1295" s="6"/>
      <c r="E1295" s="6"/>
      <c r="F1295" s="6"/>
      <c r="G1295" s="4"/>
      <c r="H1295" s="4"/>
      <c r="I1295" s="4"/>
      <c r="J1295" s="4"/>
      <c r="K1295" s="4"/>
      <c r="L1295" s="4"/>
      <c r="M1295" s="4"/>
      <c r="N1295" s="4" t="s">
        <v>70</v>
      </c>
      <c r="O1295" s="51" t="b">
        <v>0</v>
      </c>
      <c r="P1295" s="51" t="b">
        <v>0</v>
      </c>
      <c r="Q1295" s="51" t="b">
        <v>0</v>
      </c>
      <c r="R1295" s="51" t="b">
        <v>0</v>
      </c>
      <c r="S1295" s="51" t="b">
        <v>0</v>
      </c>
    </row>
    <row r="1296" hidden="1">
      <c r="A1296" s="4" t="str">
        <f>IFERROR(__xludf.DUMMYFUNCTION("""COMPUTED_VALUE"""),"1831 - Channel")</f>
        <v>1831 - Channel</v>
      </c>
      <c r="B1296" s="4"/>
      <c r="C1296" s="4"/>
      <c r="D1296" s="6"/>
      <c r="E1296" s="6"/>
      <c r="F1296" s="6"/>
      <c r="G1296" s="4"/>
      <c r="H1296" s="4"/>
      <c r="I1296" s="4"/>
      <c r="J1296" s="4"/>
      <c r="K1296" s="4"/>
      <c r="L1296" s="4"/>
      <c r="M1296" s="4"/>
      <c r="N1296" s="4" t="s">
        <v>70</v>
      </c>
      <c r="O1296" s="51" t="b">
        <v>0</v>
      </c>
      <c r="P1296" s="51" t="b">
        <v>0</v>
      </c>
      <c r="Q1296" s="51" t="b">
        <v>0</v>
      </c>
      <c r="R1296" s="51" t="b">
        <v>0</v>
      </c>
      <c r="S1296" s="51" t="b">
        <v>0</v>
      </c>
    </row>
    <row r="1297" hidden="1">
      <c r="A1297" s="4" t="str">
        <f>IFERROR(__xludf.DUMMYFUNCTION("""COMPUTED_VALUE"""),"1832 - Channel")</f>
        <v>1832 - Channel</v>
      </c>
      <c r="B1297" s="4"/>
      <c r="C1297" s="4"/>
      <c r="D1297" s="6"/>
      <c r="E1297" s="6"/>
      <c r="F1297" s="6"/>
      <c r="G1297" s="4"/>
      <c r="H1297" s="4"/>
      <c r="I1297" s="4"/>
      <c r="J1297" s="4"/>
      <c r="K1297" s="4"/>
      <c r="L1297" s="4"/>
      <c r="M1297" s="4"/>
      <c r="N1297" s="4" t="s">
        <v>70</v>
      </c>
      <c r="O1297" s="51" t="b">
        <v>0</v>
      </c>
      <c r="P1297" s="51" t="b">
        <v>0</v>
      </c>
      <c r="Q1297" s="51" t="b">
        <v>0</v>
      </c>
      <c r="R1297" s="51" t="b">
        <v>0</v>
      </c>
      <c r="S1297" s="51" t="b">
        <v>0</v>
      </c>
    </row>
    <row r="1298" hidden="1">
      <c r="A1298" s="4" t="str">
        <f>IFERROR(__xludf.DUMMYFUNCTION("""COMPUTED_VALUE"""),"1833 - Channel")</f>
        <v>1833 - Channel</v>
      </c>
      <c r="B1298" s="4"/>
      <c r="C1298" s="4"/>
      <c r="D1298" s="6"/>
      <c r="E1298" s="6"/>
      <c r="F1298" s="6"/>
      <c r="G1298" s="4"/>
      <c r="H1298" s="4"/>
      <c r="I1298" s="4"/>
      <c r="J1298" s="4"/>
      <c r="K1298" s="4"/>
      <c r="L1298" s="4"/>
      <c r="M1298" s="4"/>
      <c r="N1298" s="4" t="s">
        <v>70</v>
      </c>
      <c r="O1298" s="51" t="b">
        <v>0</v>
      </c>
      <c r="P1298" s="51" t="b">
        <v>0</v>
      </c>
      <c r="Q1298" s="51" t="b">
        <v>0</v>
      </c>
      <c r="R1298" s="51" t="b">
        <v>0</v>
      </c>
      <c r="S1298" s="51" t="b">
        <v>0</v>
      </c>
    </row>
    <row r="1299" hidden="1">
      <c r="A1299" s="4" t="str">
        <f>IFERROR(__xludf.DUMMYFUNCTION("""COMPUTED_VALUE"""),"1835 - Channel")</f>
        <v>1835 - Channel</v>
      </c>
      <c r="B1299" s="4"/>
      <c r="C1299" s="4"/>
      <c r="D1299" s="6"/>
      <c r="E1299" s="6"/>
      <c r="F1299" s="6"/>
      <c r="G1299" s="4"/>
      <c r="H1299" s="4"/>
      <c r="I1299" s="4"/>
      <c r="J1299" s="4"/>
      <c r="K1299" s="4"/>
      <c r="L1299" s="4"/>
      <c r="M1299" s="4"/>
      <c r="N1299" s="4" t="s">
        <v>70</v>
      </c>
      <c r="O1299" s="51" t="b">
        <v>0</v>
      </c>
      <c r="P1299" s="51" t="b">
        <v>0</v>
      </c>
      <c r="Q1299" s="51" t="b">
        <v>0</v>
      </c>
      <c r="R1299" s="51" t="b">
        <v>0</v>
      </c>
      <c r="S1299" s="51" t="b">
        <v>0</v>
      </c>
    </row>
    <row r="1300" hidden="1">
      <c r="A1300" s="4" t="str">
        <f>IFERROR(__xludf.DUMMYFUNCTION("""COMPUTED_VALUE"""),"1836 - Channel")</f>
        <v>1836 - Channel</v>
      </c>
      <c r="B1300" s="4"/>
      <c r="C1300" s="4"/>
      <c r="D1300" s="6"/>
      <c r="E1300" s="6"/>
      <c r="F1300" s="6"/>
      <c r="G1300" s="4"/>
      <c r="H1300" s="4"/>
      <c r="I1300" s="4"/>
      <c r="J1300" s="4"/>
      <c r="K1300" s="4"/>
      <c r="L1300" s="4"/>
      <c r="M1300" s="4"/>
      <c r="N1300" s="4" t="s">
        <v>70</v>
      </c>
      <c r="O1300" s="51" t="b">
        <v>0</v>
      </c>
      <c r="P1300" s="51" t="b">
        <v>0</v>
      </c>
      <c r="Q1300" s="51" t="b">
        <v>0</v>
      </c>
      <c r="R1300" s="51" t="b">
        <v>0</v>
      </c>
      <c r="S1300" s="51" t="b">
        <v>0</v>
      </c>
    </row>
    <row r="1301" hidden="1">
      <c r="A1301" s="4" t="str">
        <f>IFERROR(__xludf.DUMMYFUNCTION("""COMPUTED_VALUE"""),"1837 - Channel")</f>
        <v>1837 - Channel</v>
      </c>
      <c r="B1301" s="4"/>
      <c r="C1301" s="4"/>
      <c r="D1301" s="6"/>
      <c r="E1301" s="6"/>
      <c r="F1301" s="6"/>
      <c r="G1301" s="4"/>
      <c r="H1301" s="4"/>
      <c r="I1301" s="4"/>
      <c r="J1301" s="4"/>
      <c r="K1301" s="4"/>
      <c r="L1301" s="4"/>
      <c r="M1301" s="4"/>
      <c r="N1301" s="4" t="s">
        <v>70</v>
      </c>
      <c r="O1301" s="51" t="b">
        <v>0</v>
      </c>
      <c r="P1301" s="51" t="b">
        <v>0</v>
      </c>
      <c r="Q1301" s="51" t="b">
        <v>0</v>
      </c>
      <c r="R1301" s="51" t="b">
        <v>0</v>
      </c>
      <c r="S1301" s="51" t="b">
        <v>0</v>
      </c>
    </row>
    <row r="1302" hidden="1">
      <c r="A1302" s="4" t="str">
        <f>IFERROR(__xludf.DUMMYFUNCTION("""COMPUTED_VALUE"""),"1838 - Channel")</f>
        <v>1838 - Channel</v>
      </c>
      <c r="B1302" s="4"/>
      <c r="C1302" s="4"/>
      <c r="D1302" s="6"/>
      <c r="E1302" s="6"/>
      <c r="F1302" s="6"/>
      <c r="G1302" s="4"/>
      <c r="H1302" s="4"/>
      <c r="I1302" s="4"/>
      <c r="J1302" s="4"/>
      <c r="K1302" s="4"/>
      <c r="L1302" s="4"/>
      <c r="M1302" s="4"/>
      <c r="N1302" s="4" t="s">
        <v>70</v>
      </c>
      <c r="O1302" s="51" t="b">
        <v>0</v>
      </c>
      <c r="P1302" s="51" t="b">
        <v>0</v>
      </c>
      <c r="Q1302" s="51" t="b">
        <v>0</v>
      </c>
      <c r="R1302" s="51" t="b">
        <v>0</v>
      </c>
      <c r="S1302" s="51" t="b">
        <v>0</v>
      </c>
    </row>
    <row r="1303" hidden="1">
      <c r="A1303" s="4" t="str">
        <f>IFERROR(__xludf.DUMMYFUNCTION("""COMPUTED_VALUE"""),"1839 - Channel")</f>
        <v>1839 - Channel</v>
      </c>
      <c r="B1303" s="4"/>
      <c r="C1303" s="4"/>
      <c r="D1303" s="6"/>
      <c r="E1303" s="6"/>
      <c r="F1303" s="6"/>
      <c r="G1303" s="4"/>
      <c r="H1303" s="4"/>
      <c r="I1303" s="4"/>
      <c r="J1303" s="4"/>
      <c r="K1303" s="4"/>
      <c r="L1303" s="4"/>
      <c r="M1303" s="4"/>
      <c r="N1303" s="4" t="s">
        <v>70</v>
      </c>
      <c r="O1303" s="51" t="b">
        <v>0</v>
      </c>
      <c r="P1303" s="51" t="b">
        <v>0</v>
      </c>
      <c r="Q1303" s="51" t="b">
        <v>0</v>
      </c>
      <c r="R1303" s="51" t="b">
        <v>0</v>
      </c>
      <c r="S1303" s="51" t="b">
        <v>0</v>
      </c>
    </row>
    <row r="1304" hidden="1">
      <c r="A1304" s="4" t="str">
        <f>IFERROR(__xludf.DUMMYFUNCTION("""COMPUTED_VALUE"""),"1840 - Channel")</f>
        <v>1840 - Channel</v>
      </c>
      <c r="B1304" s="4"/>
      <c r="C1304" s="4"/>
      <c r="D1304" s="6"/>
      <c r="E1304" s="6"/>
      <c r="F1304" s="6"/>
      <c r="G1304" s="4"/>
      <c r="H1304" s="4"/>
      <c r="I1304" s="4"/>
      <c r="J1304" s="4"/>
      <c r="K1304" s="4"/>
      <c r="L1304" s="4"/>
      <c r="M1304" s="4"/>
      <c r="N1304" s="4" t="s">
        <v>70</v>
      </c>
      <c r="O1304" s="51" t="b">
        <v>0</v>
      </c>
      <c r="P1304" s="51" t="b">
        <v>0</v>
      </c>
      <c r="Q1304" s="51" t="b">
        <v>0</v>
      </c>
      <c r="R1304" s="51" t="b">
        <v>0</v>
      </c>
      <c r="S1304" s="51" t="b">
        <v>0</v>
      </c>
    </row>
    <row r="1305" hidden="1">
      <c r="A1305" s="4" t="str">
        <f>IFERROR(__xludf.DUMMYFUNCTION("""COMPUTED_VALUE"""),"1841 - Channel")</f>
        <v>1841 - Channel</v>
      </c>
      <c r="B1305" s="4"/>
      <c r="C1305" s="4"/>
      <c r="D1305" s="6"/>
      <c r="E1305" s="6"/>
      <c r="F1305" s="6"/>
      <c r="G1305" s="4"/>
      <c r="H1305" s="4"/>
      <c r="I1305" s="4"/>
      <c r="J1305" s="4"/>
      <c r="K1305" s="4"/>
      <c r="L1305" s="4"/>
      <c r="M1305" s="4"/>
      <c r="N1305" s="4" t="s">
        <v>70</v>
      </c>
      <c r="O1305" s="51" t="b">
        <v>0</v>
      </c>
      <c r="P1305" s="51" t="b">
        <v>0</v>
      </c>
      <c r="Q1305" s="51" t="b">
        <v>0</v>
      </c>
      <c r="R1305" s="51" t="b">
        <v>0</v>
      </c>
      <c r="S1305" s="51" t="b">
        <v>0</v>
      </c>
    </row>
    <row r="1306" hidden="1">
      <c r="A1306" s="4" t="str">
        <f>IFERROR(__xludf.DUMMYFUNCTION("""COMPUTED_VALUE"""),"1842 - Channel")</f>
        <v>1842 - Channel</v>
      </c>
      <c r="B1306" s="4"/>
      <c r="C1306" s="4"/>
      <c r="D1306" s="6"/>
      <c r="E1306" s="6"/>
      <c r="F1306" s="6"/>
      <c r="G1306" s="4"/>
      <c r="H1306" s="4"/>
      <c r="I1306" s="4"/>
      <c r="J1306" s="4"/>
      <c r="K1306" s="4"/>
      <c r="L1306" s="4"/>
      <c r="M1306" s="4"/>
      <c r="N1306" s="4" t="s">
        <v>70</v>
      </c>
      <c r="O1306" s="51" t="b">
        <v>0</v>
      </c>
      <c r="P1306" s="51" t="b">
        <v>0</v>
      </c>
      <c r="Q1306" s="51" t="b">
        <v>0</v>
      </c>
      <c r="R1306" s="51" t="b">
        <v>0</v>
      </c>
      <c r="S1306" s="51" t="b">
        <v>0</v>
      </c>
    </row>
    <row r="1307" hidden="1">
      <c r="A1307" s="4" t="str">
        <f>IFERROR(__xludf.DUMMYFUNCTION("""COMPUTED_VALUE"""),"1843 - Channel")</f>
        <v>1843 - Channel</v>
      </c>
      <c r="B1307" s="4"/>
      <c r="C1307" s="4"/>
      <c r="D1307" s="6"/>
      <c r="E1307" s="6"/>
      <c r="F1307" s="6"/>
      <c r="G1307" s="4"/>
      <c r="H1307" s="4"/>
      <c r="I1307" s="4"/>
      <c r="J1307" s="4"/>
      <c r="K1307" s="4"/>
      <c r="L1307" s="4"/>
      <c r="M1307" s="4"/>
      <c r="N1307" s="4" t="s">
        <v>70</v>
      </c>
      <c r="O1307" s="51" t="b">
        <v>0</v>
      </c>
      <c r="P1307" s="51" t="b">
        <v>0</v>
      </c>
      <c r="Q1307" s="51" t="b">
        <v>0</v>
      </c>
      <c r="R1307" s="51" t="b">
        <v>0</v>
      </c>
      <c r="S1307" s="51" t="b">
        <v>0</v>
      </c>
    </row>
    <row r="1308" hidden="1">
      <c r="A1308" s="4" t="str">
        <f>IFERROR(__xludf.DUMMYFUNCTION("""COMPUTED_VALUE"""),"1844 - Channel")</f>
        <v>1844 - Channel</v>
      </c>
      <c r="B1308" s="4"/>
      <c r="C1308" s="4"/>
      <c r="D1308" s="6"/>
      <c r="E1308" s="6"/>
      <c r="F1308" s="6"/>
      <c r="G1308" s="4"/>
      <c r="H1308" s="4"/>
      <c r="I1308" s="4"/>
      <c r="J1308" s="4"/>
      <c r="K1308" s="4"/>
      <c r="L1308" s="4"/>
      <c r="M1308" s="4"/>
      <c r="N1308" s="4" t="s">
        <v>70</v>
      </c>
      <c r="O1308" s="51" t="b">
        <v>0</v>
      </c>
      <c r="P1308" s="51" t="b">
        <v>0</v>
      </c>
      <c r="Q1308" s="51" t="b">
        <v>0</v>
      </c>
      <c r="R1308" s="51" t="b">
        <v>0</v>
      </c>
      <c r="S1308" s="51" t="b">
        <v>0</v>
      </c>
    </row>
    <row r="1309" hidden="1">
      <c r="A1309" s="4" t="str">
        <f>IFERROR(__xludf.DUMMYFUNCTION("""COMPUTED_VALUE"""),"1845 - Channel")</f>
        <v>1845 - Channel</v>
      </c>
      <c r="B1309" s="4"/>
      <c r="C1309" s="4"/>
      <c r="D1309" s="6"/>
      <c r="E1309" s="6"/>
      <c r="F1309" s="6"/>
      <c r="G1309" s="4"/>
      <c r="H1309" s="4"/>
      <c r="I1309" s="4"/>
      <c r="J1309" s="4"/>
      <c r="K1309" s="4"/>
      <c r="L1309" s="4"/>
      <c r="M1309" s="4"/>
      <c r="N1309" s="4" t="s">
        <v>70</v>
      </c>
      <c r="O1309" s="51" t="b">
        <v>0</v>
      </c>
      <c r="P1309" s="51" t="b">
        <v>0</v>
      </c>
      <c r="Q1309" s="51" t="b">
        <v>0</v>
      </c>
      <c r="R1309" s="51" t="b">
        <v>0</v>
      </c>
      <c r="S1309" s="51" t="b">
        <v>0</v>
      </c>
    </row>
    <row r="1310" hidden="1">
      <c r="A1310" s="4" t="str">
        <f>IFERROR(__xludf.DUMMYFUNCTION("""COMPUTED_VALUE"""),"1846 - Channel")</f>
        <v>1846 - Channel</v>
      </c>
      <c r="B1310" s="4"/>
      <c r="C1310" s="4"/>
      <c r="D1310" s="6"/>
      <c r="E1310" s="6"/>
      <c r="F1310" s="6"/>
      <c r="G1310" s="4"/>
      <c r="H1310" s="4"/>
      <c r="I1310" s="4"/>
      <c r="J1310" s="4"/>
      <c r="K1310" s="4"/>
      <c r="L1310" s="4"/>
      <c r="M1310" s="4"/>
      <c r="N1310" s="4" t="s">
        <v>70</v>
      </c>
      <c r="O1310" s="51" t="b">
        <v>0</v>
      </c>
      <c r="P1310" s="51" t="b">
        <v>0</v>
      </c>
      <c r="Q1310" s="51" t="b">
        <v>0</v>
      </c>
      <c r="R1310" s="51" t="b">
        <v>0</v>
      </c>
      <c r="S1310" s="51" t="b">
        <v>0</v>
      </c>
    </row>
    <row r="1311" hidden="1">
      <c r="A1311" s="4" t="str">
        <f>IFERROR(__xludf.DUMMYFUNCTION("""COMPUTED_VALUE"""),"1847 - Channel")</f>
        <v>1847 - Channel</v>
      </c>
      <c r="B1311" s="4"/>
      <c r="C1311" s="4"/>
      <c r="D1311" s="6"/>
      <c r="E1311" s="6"/>
      <c r="F1311" s="6"/>
      <c r="G1311" s="4"/>
      <c r="H1311" s="4"/>
      <c r="I1311" s="4"/>
      <c r="J1311" s="4"/>
      <c r="K1311" s="4"/>
      <c r="L1311" s="4"/>
      <c r="M1311" s="4"/>
      <c r="N1311" s="4" t="s">
        <v>70</v>
      </c>
      <c r="O1311" s="51" t="b">
        <v>0</v>
      </c>
      <c r="P1311" s="51" t="b">
        <v>0</v>
      </c>
      <c r="Q1311" s="51" t="b">
        <v>0</v>
      </c>
      <c r="R1311" s="51" t="b">
        <v>0</v>
      </c>
      <c r="S1311" s="51" t="b">
        <v>0</v>
      </c>
    </row>
    <row r="1312" hidden="1">
      <c r="A1312" s="4" t="str">
        <f>IFERROR(__xludf.DUMMYFUNCTION("""COMPUTED_VALUE"""),"1848 - Channel")</f>
        <v>1848 - Channel</v>
      </c>
      <c r="B1312" s="4"/>
      <c r="C1312" s="4"/>
      <c r="D1312" s="6"/>
      <c r="E1312" s="6"/>
      <c r="F1312" s="6"/>
      <c r="G1312" s="4"/>
      <c r="H1312" s="4"/>
      <c r="I1312" s="4"/>
      <c r="J1312" s="4"/>
      <c r="K1312" s="4"/>
      <c r="L1312" s="4"/>
      <c r="M1312" s="4"/>
      <c r="N1312" s="4" t="s">
        <v>70</v>
      </c>
      <c r="O1312" s="51" t="b">
        <v>0</v>
      </c>
      <c r="P1312" s="51" t="b">
        <v>0</v>
      </c>
      <c r="Q1312" s="51" t="b">
        <v>0</v>
      </c>
      <c r="R1312" s="51" t="b">
        <v>0</v>
      </c>
      <c r="S1312" s="51" t="b">
        <v>0</v>
      </c>
    </row>
    <row r="1313" hidden="1">
      <c r="A1313" s="4" t="str">
        <f>IFERROR(__xludf.DUMMYFUNCTION("""COMPUTED_VALUE"""),"1849 - Channel")</f>
        <v>1849 - Channel</v>
      </c>
      <c r="B1313" s="4"/>
      <c r="C1313" s="4"/>
      <c r="D1313" s="6"/>
      <c r="E1313" s="6"/>
      <c r="F1313" s="6"/>
      <c r="G1313" s="4"/>
      <c r="H1313" s="4"/>
      <c r="I1313" s="4"/>
      <c r="J1313" s="4"/>
      <c r="K1313" s="4"/>
      <c r="L1313" s="4"/>
      <c r="M1313" s="4"/>
      <c r="N1313" s="4" t="s">
        <v>70</v>
      </c>
      <c r="O1313" s="51" t="b">
        <v>0</v>
      </c>
      <c r="P1313" s="51" t="b">
        <v>0</v>
      </c>
      <c r="Q1313" s="51" t="b">
        <v>0</v>
      </c>
      <c r="R1313" s="51" t="b">
        <v>0</v>
      </c>
      <c r="S1313" s="51" t="b">
        <v>0</v>
      </c>
    </row>
    <row r="1314" hidden="1">
      <c r="A1314" s="4" t="str">
        <f>IFERROR(__xludf.DUMMYFUNCTION("""COMPUTED_VALUE"""),"1850 - Channel")</f>
        <v>1850 - Channel</v>
      </c>
      <c r="B1314" s="4"/>
      <c r="C1314" s="4"/>
      <c r="D1314" s="6"/>
      <c r="E1314" s="6"/>
      <c r="F1314" s="6"/>
      <c r="G1314" s="4"/>
      <c r="H1314" s="4"/>
      <c r="I1314" s="4"/>
      <c r="J1314" s="4"/>
      <c r="K1314" s="4"/>
      <c r="L1314" s="4"/>
      <c r="M1314" s="4"/>
      <c r="N1314" s="4" t="s">
        <v>70</v>
      </c>
      <c r="O1314" s="51" t="b">
        <v>0</v>
      </c>
      <c r="P1314" s="51" t="b">
        <v>0</v>
      </c>
      <c r="Q1314" s="51" t="b">
        <v>0</v>
      </c>
      <c r="R1314" s="51" t="b">
        <v>0</v>
      </c>
      <c r="S1314" s="51" t="b">
        <v>0</v>
      </c>
    </row>
    <row r="1315" hidden="1">
      <c r="A1315" s="4" t="str">
        <f>IFERROR(__xludf.DUMMYFUNCTION("""COMPUTED_VALUE"""),"1851 - Channel")</f>
        <v>1851 - Channel</v>
      </c>
      <c r="B1315" s="4"/>
      <c r="C1315" s="4"/>
      <c r="D1315" s="6"/>
      <c r="E1315" s="6"/>
      <c r="F1315" s="6"/>
      <c r="G1315" s="4"/>
      <c r="H1315" s="4"/>
      <c r="I1315" s="4"/>
      <c r="J1315" s="4"/>
      <c r="K1315" s="4"/>
      <c r="L1315" s="4"/>
      <c r="M1315" s="4"/>
      <c r="N1315" s="4" t="s">
        <v>70</v>
      </c>
      <c r="O1315" s="51" t="b">
        <v>0</v>
      </c>
      <c r="P1315" s="51" t="b">
        <v>0</v>
      </c>
      <c r="Q1315" s="51" t="b">
        <v>0</v>
      </c>
      <c r="R1315" s="51" t="b">
        <v>0</v>
      </c>
      <c r="S1315" s="51" t="b">
        <v>0</v>
      </c>
    </row>
    <row r="1316" hidden="1">
      <c r="A1316" s="4" t="str">
        <f>IFERROR(__xludf.DUMMYFUNCTION("""COMPUTED_VALUE"""),"1852 - Channel")</f>
        <v>1852 - Channel</v>
      </c>
      <c r="B1316" s="4"/>
      <c r="C1316" s="4"/>
      <c r="D1316" s="6"/>
      <c r="E1316" s="6"/>
      <c r="F1316" s="6"/>
      <c r="G1316" s="4"/>
      <c r="H1316" s="4"/>
      <c r="I1316" s="4"/>
      <c r="J1316" s="4"/>
      <c r="K1316" s="4"/>
      <c r="L1316" s="4"/>
      <c r="M1316" s="4"/>
      <c r="N1316" s="4" t="s">
        <v>70</v>
      </c>
      <c r="O1316" s="51" t="b">
        <v>0</v>
      </c>
      <c r="P1316" s="51" t="b">
        <v>0</v>
      </c>
      <c r="Q1316" s="51" t="b">
        <v>0</v>
      </c>
      <c r="R1316" s="51" t="b">
        <v>0</v>
      </c>
      <c r="S1316" s="51" t="b">
        <v>0</v>
      </c>
    </row>
    <row r="1317" hidden="1">
      <c r="A1317" s="4" t="str">
        <f>IFERROR(__xludf.DUMMYFUNCTION("""COMPUTED_VALUE"""),"1853 - Channel")</f>
        <v>1853 - Channel</v>
      </c>
      <c r="B1317" s="4"/>
      <c r="C1317" s="4"/>
      <c r="D1317" s="6"/>
      <c r="E1317" s="6"/>
      <c r="F1317" s="6"/>
      <c r="G1317" s="4"/>
      <c r="H1317" s="4"/>
      <c r="I1317" s="4"/>
      <c r="J1317" s="4"/>
      <c r="K1317" s="4"/>
      <c r="L1317" s="4"/>
      <c r="M1317" s="4"/>
      <c r="N1317" s="4" t="s">
        <v>70</v>
      </c>
      <c r="O1317" s="51" t="b">
        <v>0</v>
      </c>
      <c r="P1317" s="51" t="b">
        <v>0</v>
      </c>
      <c r="Q1317" s="51" t="b">
        <v>0</v>
      </c>
      <c r="R1317" s="51" t="b">
        <v>0</v>
      </c>
      <c r="S1317" s="51" t="b">
        <v>0</v>
      </c>
    </row>
    <row r="1318" hidden="1">
      <c r="A1318" s="4" t="str">
        <f>IFERROR(__xludf.DUMMYFUNCTION("""COMPUTED_VALUE"""),"1854 - Channel")</f>
        <v>1854 - Channel</v>
      </c>
      <c r="B1318" s="4"/>
      <c r="C1318" s="4"/>
      <c r="D1318" s="6"/>
      <c r="E1318" s="6"/>
      <c r="F1318" s="6"/>
      <c r="G1318" s="4"/>
      <c r="H1318" s="4"/>
      <c r="I1318" s="4"/>
      <c r="J1318" s="4"/>
      <c r="K1318" s="4"/>
      <c r="L1318" s="4"/>
      <c r="M1318" s="4"/>
      <c r="N1318" s="4" t="s">
        <v>70</v>
      </c>
      <c r="O1318" s="51" t="b">
        <v>0</v>
      </c>
      <c r="P1318" s="51" t="b">
        <v>0</v>
      </c>
      <c r="Q1318" s="51" t="b">
        <v>0</v>
      </c>
      <c r="R1318" s="51" t="b">
        <v>0</v>
      </c>
      <c r="S1318" s="51" t="b">
        <v>0</v>
      </c>
    </row>
    <row r="1319" hidden="1">
      <c r="A1319" s="4" t="str">
        <f>IFERROR(__xludf.DUMMYFUNCTION("""COMPUTED_VALUE"""),"1855 - Channel")</f>
        <v>1855 - Channel</v>
      </c>
      <c r="B1319" s="4"/>
      <c r="C1319" s="4"/>
      <c r="D1319" s="6"/>
      <c r="E1319" s="6"/>
      <c r="F1319" s="6"/>
      <c r="G1319" s="4"/>
      <c r="H1319" s="4"/>
      <c r="I1319" s="4"/>
      <c r="J1319" s="4"/>
      <c r="K1319" s="4"/>
      <c r="L1319" s="4"/>
      <c r="M1319" s="4"/>
      <c r="N1319" s="4" t="s">
        <v>70</v>
      </c>
      <c r="O1319" s="51" t="b">
        <v>0</v>
      </c>
      <c r="P1319" s="51" t="b">
        <v>0</v>
      </c>
      <c r="Q1319" s="51" t="b">
        <v>0</v>
      </c>
      <c r="R1319" s="51" t="b">
        <v>0</v>
      </c>
      <c r="S1319" s="51" t="b">
        <v>0</v>
      </c>
    </row>
    <row r="1320" hidden="1">
      <c r="A1320" s="4" t="str">
        <f>IFERROR(__xludf.DUMMYFUNCTION("""COMPUTED_VALUE"""),"1856 - Channel")</f>
        <v>1856 - Channel</v>
      </c>
      <c r="B1320" s="4"/>
      <c r="C1320" s="4"/>
      <c r="D1320" s="6"/>
      <c r="E1320" s="6"/>
      <c r="F1320" s="6"/>
      <c r="G1320" s="4"/>
      <c r="H1320" s="4"/>
      <c r="I1320" s="4"/>
      <c r="J1320" s="4"/>
      <c r="K1320" s="4"/>
      <c r="L1320" s="4"/>
      <c r="M1320" s="4"/>
      <c r="N1320" s="4" t="s">
        <v>70</v>
      </c>
      <c r="O1320" s="51" t="b">
        <v>0</v>
      </c>
      <c r="P1320" s="51" t="b">
        <v>0</v>
      </c>
      <c r="Q1320" s="51" t="b">
        <v>0</v>
      </c>
      <c r="R1320" s="51" t="b">
        <v>0</v>
      </c>
      <c r="S1320" s="51" t="b">
        <v>0</v>
      </c>
    </row>
    <row r="1321" hidden="1">
      <c r="A1321" s="4" t="str">
        <f>IFERROR(__xludf.DUMMYFUNCTION("""COMPUTED_VALUE"""),"1857 - Channel")</f>
        <v>1857 - Channel</v>
      </c>
      <c r="B1321" s="4"/>
      <c r="C1321" s="4"/>
      <c r="D1321" s="6"/>
      <c r="E1321" s="6"/>
      <c r="F1321" s="6"/>
      <c r="G1321" s="4"/>
      <c r="H1321" s="4"/>
      <c r="I1321" s="4"/>
      <c r="J1321" s="4"/>
      <c r="K1321" s="4"/>
      <c r="L1321" s="4"/>
      <c r="M1321" s="4"/>
      <c r="N1321" s="4" t="s">
        <v>70</v>
      </c>
      <c r="O1321" s="51" t="b">
        <v>0</v>
      </c>
      <c r="P1321" s="51" t="b">
        <v>0</v>
      </c>
      <c r="Q1321" s="51" t="b">
        <v>0</v>
      </c>
      <c r="R1321" s="51" t="b">
        <v>0</v>
      </c>
      <c r="S1321" s="51" t="b">
        <v>0</v>
      </c>
    </row>
    <row r="1322" hidden="1">
      <c r="A1322" s="4" t="str">
        <f>IFERROR(__xludf.DUMMYFUNCTION("""COMPUTED_VALUE"""),"1858 - Channel")</f>
        <v>1858 - Channel</v>
      </c>
      <c r="B1322" s="4"/>
      <c r="C1322" s="4"/>
      <c r="D1322" s="6"/>
      <c r="E1322" s="6"/>
      <c r="F1322" s="6"/>
      <c r="G1322" s="4"/>
      <c r="H1322" s="4"/>
      <c r="I1322" s="4"/>
      <c r="J1322" s="4"/>
      <c r="K1322" s="4"/>
      <c r="L1322" s="4"/>
      <c r="M1322" s="4"/>
      <c r="N1322" s="4" t="s">
        <v>70</v>
      </c>
      <c r="O1322" s="51" t="b">
        <v>0</v>
      </c>
      <c r="P1322" s="51" t="b">
        <v>0</v>
      </c>
      <c r="Q1322" s="51" t="b">
        <v>0</v>
      </c>
      <c r="R1322" s="51" t="b">
        <v>0</v>
      </c>
      <c r="S1322" s="51" t="b">
        <v>0</v>
      </c>
    </row>
    <row r="1323" hidden="1">
      <c r="A1323" s="4" t="str">
        <f>IFERROR(__xludf.DUMMYFUNCTION("""COMPUTED_VALUE"""),"1859 - Channel")</f>
        <v>1859 - Channel</v>
      </c>
      <c r="B1323" s="4"/>
      <c r="C1323" s="4"/>
      <c r="D1323" s="6"/>
      <c r="E1323" s="6"/>
      <c r="F1323" s="6"/>
      <c r="G1323" s="4"/>
      <c r="H1323" s="4"/>
      <c r="I1323" s="4"/>
      <c r="J1323" s="4"/>
      <c r="K1323" s="4"/>
      <c r="L1323" s="4"/>
      <c r="M1323" s="4"/>
      <c r="N1323" s="4" t="s">
        <v>70</v>
      </c>
      <c r="O1323" s="51" t="b">
        <v>0</v>
      </c>
      <c r="P1323" s="51" t="b">
        <v>0</v>
      </c>
      <c r="Q1323" s="51" t="b">
        <v>0</v>
      </c>
      <c r="R1323" s="51" t="b">
        <v>0</v>
      </c>
      <c r="S1323" s="51" t="b">
        <v>0</v>
      </c>
    </row>
    <row r="1324" hidden="1">
      <c r="A1324" s="4" t="str">
        <f>IFERROR(__xludf.DUMMYFUNCTION("""COMPUTED_VALUE"""),"1860 - Channel")</f>
        <v>1860 - Channel</v>
      </c>
      <c r="B1324" s="4"/>
      <c r="C1324" s="4"/>
      <c r="D1324" s="6"/>
      <c r="E1324" s="6"/>
      <c r="F1324" s="6"/>
      <c r="G1324" s="4"/>
      <c r="H1324" s="4"/>
      <c r="I1324" s="4"/>
      <c r="J1324" s="4"/>
      <c r="K1324" s="4"/>
      <c r="L1324" s="4"/>
      <c r="M1324" s="4"/>
      <c r="N1324" s="4" t="s">
        <v>70</v>
      </c>
      <c r="O1324" s="51" t="b">
        <v>0</v>
      </c>
      <c r="P1324" s="51" t="b">
        <v>0</v>
      </c>
      <c r="Q1324" s="51" t="b">
        <v>0</v>
      </c>
      <c r="R1324" s="51" t="b">
        <v>0</v>
      </c>
      <c r="S1324" s="51" t="b">
        <v>0</v>
      </c>
    </row>
    <row r="1325" hidden="1">
      <c r="A1325" s="4" t="str">
        <f>IFERROR(__xludf.DUMMYFUNCTION("""COMPUTED_VALUE"""),"1861 - Channel")</f>
        <v>1861 - Channel</v>
      </c>
      <c r="B1325" s="4"/>
      <c r="C1325" s="4"/>
      <c r="D1325" s="6"/>
      <c r="E1325" s="6"/>
      <c r="F1325" s="6"/>
      <c r="G1325" s="4"/>
      <c r="H1325" s="4"/>
      <c r="I1325" s="4"/>
      <c r="J1325" s="4"/>
      <c r="K1325" s="4"/>
      <c r="L1325" s="4"/>
      <c r="M1325" s="4"/>
      <c r="N1325" s="4" t="s">
        <v>70</v>
      </c>
      <c r="O1325" s="51" t="b">
        <v>0</v>
      </c>
      <c r="P1325" s="51" t="b">
        <v>0</v>
      </c>
      <c r="Q1325" s="51" t="b">
        <v>0</v>
      </c>
      <c r="R1325" s="51" t="b">
        <v>0</v>
      </c>
      <c r="S1325" s="51" t="b">
        <v>0</v>
      </c>
    </row>
    <row r="1326" hidden="1">
      <c r="A1326" s="4" t="str">
        <f>IFERROR(__xludf.DUMMYFUNCTION("""COMPUTED_VALUE"""),"1862 - Channel")</f>
        <v>1862 - Channel</v>
      </c>
      <c r="B1326" s="4"/>
      <c r="C1326" s="4"/>
      <c r="D1326" s="6"/>
      <c r="E1326" s="6"/>
      <c r="F1326" s="6"/>
      <c r="G1326" s="4"/>
      <c r="H1326" s="4"/>
      <c r="I1326" s="4"/>
      <c r="J1326" s="4"/>
      <c r="K1326" s="4"/>
      <c r="L1326" s="4"/>
      <c r="M1326" s="4"/>
      <c r="N1326" s="4" t="s">
        <v>70</v>
      </c>
      <c r="O1326" s="51" t="b">
        <v>0</v>
      </c>
      <c r="P1326" s="51" t="b">
        <v>0</v>
      </c>
      <c r="Q1326" s="51" t="b">
        <v>0</v>
      </c>
      <c r="R1326" s="51" t="b">
        <v>0</v>
      </c>
      <c r="S1326" s="51" t="b">
        <v>0</v>
      </c>
    </row>
    <row r="1327" hidden="1">
      <c r="A1327" s="4" t="str">
        <f>IFERROR(__xludf.DUMMYFUNCTION("""COMPUTED_VALUE"""),"1863 - Channel")</f>
        <v>1863 - Channel</v>
      </c>
      <c r="B1327" s="4"/>
      <c r="C1327" s="4"/>
      <c r="D1327" s="6"/>
      <c r="E1327" s="6"/>
      <c r="F1327" s="6"/>
      <c r="G1327" s="4"/>
      <c r="H1327" s="4"/>
      <c r="I1327" s="4"/>
      <c r="J1327" s="4"/>
      <c r="K1327" s="4"/>
      <c r="L1327" s="4"/>
      <c r="M1327" s="4"/>
      <c r="N1327" s="4" t="s">
        <v>70</v>
      </c>
      <c r="O1327" s="51" t="b">
        <v>0</v>
      </c>
      <c r="P1327" s="51" t="b">
        <v>0</v>
      </c>
      <c r="Q1327" s="51" t="b">
        <v>0</v>
      </c>
      <c r="R1327" s="51" t="b">
        <v>0</v>
      </c>
      <c r="S1327" s="51" t="b">
        <v>0</v>
      </c>
    </row>
    <row r="1328" hidden="1">
      <c r="A1328" s="4" t="str">
        <f>IFERROR(__xludf.DUMMYFUNCTION("""COMPUTED_VALUE"""),"1864 - Channel")</f>
        <v>1864 - Channel</v>
      </c>
      <c r="B1328" s="4"/>
      <c r="C1328" s="4"/>
      <c r="D1328" s="6"/>
      <c r="E1328" s="6"/>
      <c r="F1328" s="6"/>
      <c r="G1328" s="4"/>
      <c r="H1328" s="4"/>
      <c r="I1328" s="4"/>
      <c r="J1328" s="4"/>
      <c r="K1328" s="4"/>
      <c r="L1328" s="4"/>
      <c r="M1328" s="4"/>
      <c r="N1328" s="4" t="s">
        <v>70</v>
      </c>
      <c r="O1328" s="51" t="b">
        <v>0</v>
      </c>
      <c r="P1328" s="51" t="b">
        <v>0</v>
      </c>
      <c r="Q1328" s="51" t="b">
        <v>0</v>
      </c>
      <c r="R1328" s="51" t="b">
        <v>0</v>
      </c>
      <c r="S1328" s="51" t="b">
        <v>0</v>
      </c>
    </row>
    <row r="1329" hidden="1">
      <c r="A1329" s="4" t="str">
        <f>IFERROR(__xludf.DUMMYFUNCTION("""COMPUTED_VALUE"""),"1865 - Channel")</f>
        <v>1865 - Channel</v>
      </c>
      <c r="B1329" s="4"/>
      <c r="C1329" s="4"/>
      <c r="D1329" s="6"/>
      <c r="E1329" s="6"/>
      <c r="F1329" s="6"/>
      <c r="G1329" s="4"/>
      <c r="H1329" s="4"/>
      <c r="I1329" s="4"/>
      <c r="J1329" s="4"/>
      <c r="K1329" s="4"/>
      <c r="L1329" s="4"/>
      <c r="M1329" s="4"/>
      <c r="N1329" s="4" t="s">
        <v>70</v>
      </c>
      <c r="O1329" s="51" t="b">
        <v>0</v>
      </c>
      <c r="P1329" s="51" t="b">
        <v>0</v>
      </c>
      <c r="Q1329" s="51" t="b">
        <v>0</v>
      </c>
      <c r="R1329" s="51" t="b">
        <v>0</v>
      </c>
      <c r="S1329" s="51" t="b">
        <v>0</v>
      </c>
    </row>
    <row r="1330" hidden="1">
      <c r="A1330" s="4" t="str">
        <f>IFERROR(__xludf.DUMMYFUNCTION("""COMPUTED_VALUE"""),"1866 - Channel")</f>
        <v>1866 - Channel</v>
      </c>
      <c r="B1330" s="4"/>
      <c r="C1330" s="4"/>
      <c r="D1330" s="6"/>
      <c r="E1330" s="6"/>
      <c r="F1330" s="6"/>
      <c r="G1330" s="4"/>
      <c r="H1330" s="4"/>
      <c r="I1330" s="4"/>
      <c r="J1330" s="4"/>
      <c r="K1330" s="4"/>
      <c r="L1330" s="4"/>
      <c r="M1330" s="4"/>
      <c r="N1330" s="4" t="s">
        <v>70</v>
      </c>
      <c r="O1330" s="51" t="b">
        <v>0</v>
      </c>
      <c r="P1330" s="51" t="b">
        <v>0</v>
      </c>
      <c r="Q1330" s="51" t="b">
        <v>0</v>
      </c>
      <c r="R1330" s="51" t="b">
        <v>0</v>
      </c>
      <c r="S1330" s="51" t="b">
        <v>0</v>
      </c>
    </row>
    <row r="1331" hidden="1">
      <c r="A1331" s="4" t="str">
        <f>IFERROR(__xludf.DUMMYFUNCTION("""COMPUTED_VALUE"""),"1867 - Channel")</f>
        <v>1867 - Channel</v>
      </c>
      <c r="B1331" s="4"/>
      <c r="C1331" s="4"/>
      <c r="D1331" s="6"/>
      <c r="E1331" s="6"/>
      <c r="F1331" s="6"/>
      <c r="G1331" s="4"/>
      <c r="H1331" s="4"/>
      <c r="I1331" s="4"/>
      <c r="J1331" s="4"/>
      <c r="K1331" s="4"/>
      <c r="L1331" s="4"/>
      <c r="M1331" s="4"/>
      <c r="N1331" s="4" t="s">
        <v>70</v>
      </c>
      <c r="O1331" s="51" t="b">
        <v>0</v>
      </c>
      <c r="P1331" s="51" t="b">
        <v>0</v>
      </c>
      <c r="Q1331" s="51" t="b">
        <v>0</v>
      </c>
      <c r="R1331" s="51" t="b">
        <v>0</v>
      </c>
      <c r="S1331" s="51" t="b">
        <v>0</v>
      </c>
    </row>
    <row r="1332" hidden="1">
      <c r="A1332" s="4" t="str">
        <f>IFERROR(__xludf.DUMMYFUNCTION("""COMPUTED_VALUE"""),"1868 - Channel")</f>
        <v>1868 - Channel</v>
      </c>
      <c r="B1332" s="4"/>
      <c r="C1332" s="4"/>
      <c r="D1332" s="6"/>
      <c r="E1332" s="6"/>
      <c r="F1332" s="6"/>
      <c r="G1332" s="4"/>
      <c r="H1332" s="4"/>
      <c r="I1332" s="4"/>
      <c r="J1332" s="4"/>
      <c r="K1332" s="4"/>
      <c r="L1332" s="4"/>
      <c r="M1332" s="4"/>
      <c r="N1332" s="4" t="s">
        <v>70</v>
      </c>
      <c r="O1332" s="51" t="b">
        <v>0</v>
      </c>
      <c r="P1332" s="51" t="b">
        <v>0</v>
      </c>
      <c r="Q1332" s="51" t="b">
        <v>0</v>
      </c>
      <c r="R1332" s="51" t="b">
        <v>0</v>
      </c>
      <c r="S1332" s="51" t="b">
        <v>0</v>
      </c>
    </row>
    <row r="1333" hidden="1">
      <c r="A1333" s="4" t="str">
        <f>IFERROR(__xludf.DUMMYFUNCTION("""COMPUTED_VALUE"""),"1869 - Channel")</f>
        <v>1869 - Channel</v>
      </c>
      <c r="B1333" s="4"/>
      <c r="C1333" s="4"/>
      <c r="D1333" s="6"/>
      <c r="E1333" s="6"/>
      <c r="F1333" s="6"/>
      <c r="G1333" s="4"/>
      <c r="H1333" s="4"/>
      <c r="I1333" s="4"/>
      <c r="J1333" s="4"/>
      <c r="K1333" s="4"/>
      <c r="L1333" s="4"/>
      <c r="M1333" s="4"/>
      <c r="N1333" s="4" t="s">
        <v>70</v>
      </c>
      <c r="O1333" s="51" t="b">
        <v>0</v>
      </c>
      <c r="P1333" s="51" t="b">
        <v>0</v>
      </c>
      <c r="Q1333" s="51" t="b">
        <v>0</v>
      </c>
      <c r="R1333" s="51" t="b">
        <v>0</v>
      </c>
      <c r="S1333" s="51" t="b">
        <v>0</v>
      </c>
    </row>
    <row r="1334" hidden="1">
      <c r="A1334" s="4" t="str">
        <f>IFERROR(__xludf.DUMMYFUNCTION("""COMPUTED_VALUE"""),"1870 - Channel")</f>
        <v>1870 - Channel</v>
      </c>
      <c r="B1334" s="4"/>
      <c r="C1334" s="4"/>
      <c r="D1334" s="6"/>
      <c r="E1334" s="6"/>
      <c r="F1334" s="6"/>
      <c r="G1334" s="4"/>
      <c r="H1334" s="4"/>
      <c r="I1334" s="4"/>
      <c r="J1334" s="4"/>
      <c r="K1334" s="4"/>
      <c r="L1334" s="4"/>
      <c r="M1334" s="4"/>
      <c r="N1334" s="4" t="s">
        <v>70</v>
      </c>
      <c r="O1334" s="51" t="b">
        <v>0</v>
      </c>
      <c r="P1334" s="51" t="b">
        <v>0</v>
      </c>
      <c r="Q1334" s="51" t="b">
        <v>0</v>
      </c>
      <c r="R1334" s="51" t="b">
        <v>0</v>
      </c>
      <c r="S1334" s="51" t="b">
        <v>0</v>
      </c>
    </row>
    <row r="1335" hidden="1">
      <c r="A1335" s="4" t="str">
        <f>IFERROR(__xludf.DUMMYFUNCTION("""COMPUTED_VALUE"""),"1871 - Channel")</f>
        <v>1871 - Channel</v>
      </c>
      <c r="B1335" s="4"/>
      <c r="C1335" s="4"/>
      <c r="D1335" s="6"/>
      <c r="E1335" s="6"/>
      <c r="F1335" s="6"/>
      <c r="G1335" s="4"/>
      <c r="H1335" s="4"/>
      <c r="I1335" s="4"/>
      <c r="J1335" s="4"/>
      <c r="K1335" s="4"/>
      <c r="L1335" s="4"/>
      <c r="M1335" s="4"/>
      <c r="N1335" s="4" t="s">
        <v>70</v>
      </c>
      <c r="O1335" s="51" t="b">
        <v>0</v>
      </c>
      <c r="P1335" s="51" t="b">
        <v>0</v>
      </c>
      <c r="Q1335" s="51" t="b">
        <v>0</v>
      </c>
      <c r="R1335" s="51" t="b">
        <v>0</v>
      </c>
      <c r="S1335" s="51" t="b">
        <v>0</v>
      </c>
    </row>
    <row r="1336" hidden="1">
      <c r="A1336" s="4" t="str">
        <f>IFERROR(__xludf.DUMMYFUNCTION("""COMPUTED_VALUE"""),"1872 - Channel")</f>
        <v>1872 - Channel</v>
      </c>
      <c r="B1336" s="4"/>
      <c r="C1336" s="4"/>
      <c r="D1336" s="6"/>
      <c r="E1336" s="6"/>
      <c r="F1336" s="6"/>
      <c r="G1336" s="4"/>
      <c r="H1336" s="4"/>
      <c r="I1336" s="4"/>
      <c r="J1336" s="4"/>
      <c r="K1336" s="4"/>
      <c r="L1336" s="4"/>
      <c r="M1336" s="4"/>
      <c r="N1336" s="4" t="s">
        <v>70</v>
      </c>
      <c r="O1336" s="51" t="b">
        <v>0</v>
      </c>
      <c r="P1336" s="51" t="b">
        <v>0</v>
      </c>
      <c r="Q1336" s="51" t="b">
        <v>0</v>
      </c>
      <c r="R1336" s="51" t="b">
        <v>0</v>
      </c>
      <c r="S1336" s="51" t="b">
        <v>0</v>
      </c>
    </row>
    <row r="1337" hidden="1">
      <c r="A1337" s="4" t="str">
        <f>IFERROR(__xludf.DUMMYFUNCTION("""COMPUTED_VALUE"""),"1873 - Channel")</f>
        <v>1873 - Channel</v>
      </c>
      <c r="B1337" s="4"/>
      <c r="C1337" s="4"/>
      <c r="D1337" s="6"/>
      <c r="E1337" s="6"/>
      <c r="F1337" s="6"/>
      <c r="G1337" s="4"/>
      <c r="H1337" s="4"/>
      <c r="I1337" s="4"/>
      <c r="J1337" s="4"/>
      <c r="K1337" s="4"/>
      <c r="L1337" s="4"/>
      <c r="M1337" s="4"/>
      <c r="N1337" s="4" t="s">
        <v>70</v>
      </c>
      <c r="O1337" s="51" t="b">
        <v>0</v>
      </c>
      <c r="P1337" s="51" t="b">
        <v>0</v>
      </c>
      <c r="Q1337" s="51" t="b">
        <v>0</v>
      </c>
      <c r="R1337" s="51" t="b">
        <v>0</v>
      </c>
      <c r="S1337" s="51" t="b">
        <v>0</v>
      </c>
    </row>
    <row r="1338" hidden="1">
      <c r="A1338" s="4" t="str">
        <f>IFERROR(__xludf.DUMMYFUNCTION("""COMPUTED_VALUE"""),"1874 - Channel")</f>
        <v>1874 - Channel</v>
      </c>
      <c r="B1338" s="4"/>
      <c r="C1338" s="4"/>
      <c r="D1338" s="6"/>
      <c r="E1338" s="6"/>
      <c r="F1338" s="6"/>
      <c r="G1338" s="4"/>
      <c r="H1338" s="4"/>
      <c r="I1338" s="4"/>
      <c r="J1338" s="4"/>
      <c r="K1338" s="4"/>
      <c r="L1338" s="4"/>
      <c r="M1338" s="4"/>
      <c r="N1338" s="4" t="s">
        <v>70</v>
      </c>
      <c r="O1338" s="51" t="b">
        <v>0</v>
      </c>
      <c r="P1338" s="51" t="b">
        <v>0</v>
      </c>
      <c r="Q1338" s="51" t="b">
        <v>0</v>
      </c>
      <c r="R1338" s="51" t="b">
        <v>0</v>
      </c>
      <c r="S1338" s="51" t="b">
        <v>0</v>
      </c>
    </row>
    <row r="1339" hidden="1">
      <c r="A1339" s="4" t="str">
        <f>IFERROR(__xludf.DUMMYFUNCTION("""COMPUTED_VALUE"""),"1875 - Channel")</f>
        <v>1875 - Channel</v>
      </c>
      <c r="B1339" s="4"/>
      <c r="C1339" s="4"/>
      <c r="D1339" s="6"/>
      <c r="E1339" s="6"/>
      <c r="F1339" s="6"/>
      <c r="G1339" s="4"/>
      <c r="H1339" s="4"/>
      <c r="I1339" s="4"/>
      <c r="J1339" s="4"/>
      <c r="K1339" s="4"/>
      <c r="L1339" s="4"/>
      <c r="M1339" s="4"/>
      <c r="N1339" s="4" t="s">
        <v>70</v>
      </c>
      <c r="O1339" s="51" t="b">
        <v>0</v>
      </c>
      <c r="P1339" s="51" t="b">
        <v>0</v>
      </c>
      <c r="Q1339" s="51" t="b">
        <v>0</v>
      </c>
      <c r="R1339" s="51" t="b">
        <v>0</v>
      </c>
      <c r="S1339" s="51" t="b">
        <v>0</v>
      </c>
    </row>
    <row r="1340" hidden="1">
      <c r="A1340" s="4" t="str">
        <f>IFERROR(__xludf.DUMMYFUNCTION("""COMPUTED_VALUE"""),"1876 - Channel")</f>
        <v>1876 - Channel</v>
      </c>
      <c r="B1340" s="4"/>
      <c r="C1340" s="4"/>
      <c r="D1340" s="6"/>
      <c r="E1340" s="6"/>
      <c r="F1340" s="6"/>
      <c r="G1340" s="4"/>
      <c r="H1340" s="4"/>
      <c r="I1340" s="4"/>
      <c r="J1340" s="4"/>
      <c r="K1340" s="4"/>
      <c r="L1340" s="4"/>
      <c r="M1340" s="4"/>
      <c r="N1340" s="4" t="s">
        <v>70</v>
      </c>
      <c r="O1340" s="51" t="b">
        <v>0</v>
      </c>
      <c r="P1340" s="51" t="b">
        <v>0</v>
      </c>
      <c r="Q1340" s="51" t="b">
        <v>0</v>
      </c>
      <c r="R1340" s="51" t="b">
        <v>0</v>
      </c>
      <c r="S1340" s="51" t="b">
        <v>0</v>
      </c>
    </row>
    <row r="1341" hidden="1">
      <c r="A1341" s="4" t="str">
        <f>IFERROR(__xludf.DUMMYFUNCTION("""COMPUTED_VALUE"""),"1877 - Channel")</f>
        <v>1877 - Channel</v>
      </c>
      <c r="B1341" s="4"/>
      <c r="C1341" s="4"/>
      <c r="D1341" s="6"/>
      <c r="E1341" s="6"/>
      <c r="F1341" s="6"/>
      <c r="G1341" s="4"/>
      <c r="H1341" s="4"/>
      <c r="I1341" s="4"/>
      <c r="J1341" s="4"/>
      <c r="K1341" s="4"/>
      <c r="L1341" s="4"/>
      <c r="M1341" s="4"/>
      <c r="N1341" s="4" t="s">
        <v>70</v>
      </c>
      <c r="O1341" s="51" t="b">
        <v>0</v>
      </c>
      <c r="P1341" s="51" t="b">
        <v>0</v>
      </c>
      <c r="Q1341" s="51" t="b">
        <v>0</v>
      </c>
      <c r="R1341" s="51" t="b">
        <v>0</v>
      </c>
      <c r="S1341" s="51" t="b">
        <v>0</v>
      </c>
    </row>
    <row r="1342" hidden="1">
      <c r="A1342" s="4" t="str">
        <f>IFERROR(__xludf.DUMMYFUNCTION("""COMPUTED_VALUE"""),"1878 - Channel")</f>
        <v>1878 - Channel</v>
      </c>
      <c r="B1342" s="4"/>
      <c r="C1342" s="4"/>
      <c r="D1342" s="6"/>
      <c r="E1342" s="6"/>
      <c r="F1342" s="6"/>
      <c r="G1342" s="4"/>
      <c r="H1342" s="4"/>
      <c r="I1342" s="4"/>
      <c r="J1342" s="4"/>
      <c r="K1342" s="4"/>
      <c r="L1342" s="4"/>
      <c r="M1342" s="4"/>
      <c r="N1342" s="4" t="s">
        <v>70</v>
      </c>
      <c r="O1342" s="51" t="b">
        <v>0</v>
      </c>
      <c r="P1342" s="51" t="b">
        <v>0</v>
      </c>
      <c r="Q1342" s="51" t="b">
        <v>0</v>
      </c>
      <c r="R1342" s="51" t="b">
        <v>0</v>
      </c>
      <c r="S1342" s="51" t="b">
        <v>0</v>
      </c>
    </row>
    <row r="1343" hidden="1">
      <c r="A1343" s="4" t="str">
        <f>IFERROR(__xludf.DUMMYFUNCTION("""COMPUTED_VALUE"""),"1879 - Channel")</f>
        <v>1879 - Channel</v>
      </c>
      <c r="B1343" s="4"/>
      <c r="C1343" s="4"/>
      <c r="D1343" s="6"/>
      <c r="E1343" s="6"/>
      <c r="F1343" s="6"/>
      <c r="G1343" s="4"/>
      <c r="H1343" s="4"/>
      <c r="I1343" s="4"/>
      <c r="J1343" s="4"/>
      <c r="K1343" s="4"/>
      <c r="L1343" s="4"/>
      <c r="M1343" s="4"/>
      <c r="N1343" s="4" t="s">
        <v>70</v>
      </c>
      <c r="O1343" s="51" t="b">
        <v>0</v>
      </c>
      <c r="P1343" s="51" t="b">
        <v>0</v>
      </c>
      <c r="Q1343" s="51" t="b">
        <v>0</v>
      </c>
      <c r="R1343" s="51" t="b">
        <v>0</v>
      </c>
      <c r="S1343" s="51" t="b">
        <v>0</v>
      </c>
    </row>
    <row r="1344" hidden="1">
      <c r="A1344" s="4" t="str">
        <f>IFERROR(__xludf.DUMMYFUNCTION("""COMPUTED_VALUE"""),"1880 - Channel")</f>
        <v>1880 - Channel</v>
      </c>
      <c r="B1344" s="4"/>
      <c r="C1344" s="4"/>
      <c r="D1344" s="6"/>
      <c r="E1344" s="6"/>
      <c r="F1344" s="6"/>
      <c r="G1344" s="4"/>
      <c r="H1344" s="4"/>
      <c r="I1344" s="4"/>
      <c r="J1344" s="4"/>
      <c r="K1344" s="4"/>
      <c r="L1344" s="4"/>
      <c r="M1344" s="4"/>
      <c r="N1344" s="4" t="s">
        <v>70</v>
      </c>
      <c r="O1344" s="51" t="b">
        <v>0</v>
      </c>
      <c r="P1344" s="51" t="b">
        <v>0</v>
      </c>
      <c r="Q1344" s="51" t="b">
        <v>0</v>
      </c>
      <c r="R1344" s="51" t="b">
        <v>0</v>
      </c>
      <c r="S1344" s="51" t="b">
        <v>0</v>
      </c>
    </row>
    <row r="1345" hidden="1">
      <c r="A1345" s="4" t="str">
        <f>IFERROR(__xludf.DUMMYFUNCTION("""COMPUTED_VALUE"""),"1881 - Channel")</f>
        <v>1881 - Channel</v>
      </c>
      <c r="B1345" s="4"/>
      <c r="C1345" s="4"/>
      <c r="D1345" s="6"/>
      <c r="E1345" s="6"/>
      <c r="F1345" s="6"/>
      <c r="G1345" s="4"/>
      <c r="H1345" s="4"/>
      <c r="I1345" s="4"/>
      <c r="J1345" s="4"/>
      <c r="K1345" s="4"/>
      <c r="L1345" s="4"/>
      <c r="M1345" s="4"/>
      <c r="N1345" s="4" t="s">
        <v>70</v>
      </c>
      <c r="O1345" s="51" t="b">
        <v>0</v>
      </c>
      <c r="P1345" s="51" t="b">
        <v>0</v>
      </c>
      <c r="Q1345" s="51" t="b">
        <v>0</v>
      </c>
      <c r="R1345" s="51" t="b">
        <v>0</v>
      </c>
      <c r="S1345" s="51" t="b">
        <v>0</v>
      </c>
    </row>
    <row r="1346" hidden="1">
      <c r="A1346" s="4" t="str">
        <f>IFERROR(__xludf.DUMMYFUNCTION("""COMPUTED_VALUE"""),"1882 - Channel")</f>
        <v>1882 - Channel</v>
      </c>
      <c r="B1346" s="4"/>
      <c r="C1346" s="4"/>
      <c r="D1346" s="6"/>
      <c r="E1346" s="6"/>
      <c r="F1346" s="6"/>
      <c r="G1346" s="4"/>
      <c r="H1346" s="4"/>
      <c r="I1346" s="4"/>
      <c r="J1346" s="4"/>
      <c r="K1346" s="4"/>
      <c r="L1346" s="4"/>
      <c r="M1346" s="4"/>
      <c r="N1346" s="4" t="s">
        <v>70</v>
      </c>
      <c r="O1346" s="51" t="b">
        <v>0</v>
      </c>
      <c r="P1346" s="51" t="b">
        <v>0</v>
      </c>
      <c r="Q1346" s="51" t="b">
        <v>0</v>
      </c>
      <c r="R1346" s="51" t="b">
        <v>0</v>
      </c>
      <c r="S1346" s="51" t="b">
        <v>0</v>
      </c>
    </row>
    <row r="1347" hidden="1">
      <c r="A1347" s="4" t="str">
        <f>IFERROR(__xludf.DUMMYFUNCTION("""COMPUTED_VALUE"""),"1883 - Channel")</f>
        <v>1883 - Channel</v>
      </c>
      <c r="B1347" s="4"/>
      <c r="C1347" s="4"/>
      <c r="D1347" s="6"/>
      <c r="E1347" s="6"/>
      <c r="F1347" s="6"/>
      <c r="G1347" s="4"/>
      <c r="H1347" s="4"/>
      <c r="I1347" s="4"/>
      <c r="J1347" s="4"/>
      <c r="K1347" s="4"/>
      <c r="L1347" s="4"/>
      <c r="M1347" s="4"/>
      <c r="N1347" s="4" t="s">
        <v>70</v>
      </c>
      <c r="O1347" s="51" t="b">
        <v>0</v>
      </c>
      <c r="P1347" s="51" t="b">
        <v>0</v>
      </c>
      <c r="Q1347" s="51" t="b">
        <v>0</v>
      </c>
      <c r="R1347" s="51" t="b">
        <v>0</v>
      </c>
      <c r="S1347" s="51" t="b">
        <v>0</v>
      </c>
    </row>
    <row r="1348" hidden="1">
      <c r="A1348" s="4" t="str">
        <f>IFERROR(__xludf.DUMMYFUNCTION("""COMPUTED_VALUE"""),"1884 - Channel")</f>
        <v>1884 - Channel</v>
      </c>
      <c r="B1348" s="4"/>
      <c r="C1348" s="4"/>
      <c r="D1348" s="6"/>
      <c r="E1348" s="6"/>
      <c r="F1348" s="6"/>
      <c r="G1348" s="4"/>
      <c r="H1348" s="4"/>
      <c r="I1348" s="4"/>
      <c r="J1348" s="4"/>
      <c r="K1348" s="4"/>
      <c r="L1348" s="4"/>
      <c r="M1348" s="4"/>
      <c r="N1348" s="4" t="s">
        <v>70</v>
      </c>
      <c r="O1348" s="51" t="b">
        <v>0</v>
      </c>
      <c r="P1348" s="51" t="b">
        <v>0</v>
      </c>
      <c r="Q1348" s="51" t="b">
        <v>0</v>
      </c>
      <c r="R1348" s="51" t="b">
        <v>0</v>
      </c>
      <c r="S1348" s="51" t="b">
        <v>0</v>
      </c>
    </row>
    <row r="1349" hidden="1">
      <c r="A1349" s="4" t="str">
        <f>IFERROR(__xludf.DUMMYFUNCTION("""COMPUTED_VALUE"""),"1885 - Channel")</f>
        <v>1885 - Channel</v>
      </c>
      <c r="B1349" s="4"/>
      <c r="C1349" s="4"/>
      <c r="D1349" s="6"/>
      <c r="E1349" s="6"/>
      <c r="F1349" s="6"/>
      <c r="G1349" s="4"/>
      <c r="H1349" s="4"/>
      <c r="I1349" s="4"/>
      <c r="J1349" s="4"/>
      <c r="K1349" s="4"/>
      <c r="L1349" s="4"/>
      <c r="M1349" s="4"/>
      <c r="N1349" s="4" t="s">
        <v>70</v>
      </c>
      <c r="O1349" s="51" t="b">
        <v>0</v>
      </c>
      <c r="P1349" s="51" t="b">
        <v>0</v>
      </c>
      <c r="Q1349" s="51" t="b">
        <v>0</v>
      </c>
      <c r="R1349" s="51" t="b">
        <v>0</v>
      </c>
      <c r="S1349" s="51" t="b">
        <v>0</v>
      </c>
    </row>
    <row r="1350" hidden="1">
      <c r="A1350" s="4" t="str">
        <f>IFERROR(__xludf.DUMMYFUNCTION("""COMPUTED_VALUE"""),"1886 - Channel")</f>
        <v>1886 - Channel</v>
      </c>
      <c r="B1350" s="4"/>
      <c r="C1350" s="4"/>
      <c r="D1350" s="6"/>
      <c r="E1350" s="6"/>
      <c r="F1350" s="6"/>
      <c r="G1350" s="4"/>
      <c r="H1350" s="4"/>
      <c r="I1350" s="4"/>
      <c r="J1350" s="4"/>
      <c r="K1350" s="4"/>
      <c r="L1350" s="4"/>
      <c r="M1350" s="4"/>
      <c r="N1350" s="4" t="s">
        <v>70</v>
      </c>
      <c r="O1350" s="51" t="b">
        <v>0</v>
      </c>
      <c r="P1350" s="51" t="b">
        <v>0</v>
      </c>
      <c r="Q1350" s="51" t="b">
        <v>0</v>
      </c>
      <c r="R1350" s="51" t="b">
        <v>0</v>
      </c>
      <c r="S1350" s="51" t="b">
        <v>0</v>
      </c>
    </row>
    <row r="1351" hidden="1">
      <c r="A1351" s="4" t="str">
        <f>IFERROR(__xludf.DUMMYFUNCTION("""COMPUTED_VALUE"""),"1887 - Channel")</f>
        <v>1887 - Channel</v>
      </c>
      <c r="B1351" s="4"/>
      <c r="C1351" s="4"/>
      <c r="D1351" s="6"/>
      <c r="E1351" s="6"/>
      <c r="F1351" s="6"/>
      <c r="G1351" s="4"/>
      <c r="H1351" s="4"/>
      <c r="I1351" s="4"/>
      <c r="J1351" s="4"/>
      <c r="K1351" s="4"/>
      <c r="L1351" s="4"/>
      <c r="M1351" s="4"/>
      <c r="N1351" s="4" t="s">
        <v>70</v>
      </c>
      <c r="O1351" s="51" t="b">
        <v>0</v>
      </c>
      <c r="P1351" s="51" t="b">
        <v>0</v>
      </c>
      <c r="Q1351" s="51" t="b">
        <v>0</v>
      </c>
      <c r="R1351" s="51" t="b">
        <v>0</v>
      </c>
      <c r="S1351" s="51" t="b">
        <v>0</v>
      </c>
    </row>
    <row r="1352" hidden="1">
      <c r="A1352" s="4" t="str">
        <f>IFERROR(__xludf.DUMMYFUNCTION("""COMPUTED_VALUE"""),"1888 - Channel")</f>
        <v>1888 - Channel</v>
      </c>
      <c r="B1352" s="4"/>
      <c r="C1352" s="4"/>
      <c r="D1352" s="6"/>
      <c r="E1352" s="6"/>
      <c r="F1352" s="6"/>
      <c r="G1352" s="4"/>
      <c r="H1352" s="4"/>
      <c r="I1352" s="4"/>
      <c r="J1352" s="4"/>
      <c r="K1352" s="4"/>
      <c r="L1352" s="4"/>
      <c r="M1352" s="4"/>
      <c r="N1352" s="4" t="s">
        <v>70</v>
      </c>
      <c r="O1352" s="51" t="b">
        <v>0</v>
      </c>
      <c r="P1352" s="51" t="b">
        <v>0</v>
      </c>
      <c r="Q1352" s="51" t="b">
        <v>0</v>
      </c>
      <c r="R1352" s="51" t="b">
        <v>0</v>
      </c>
      <c r="S1352" s="51" t="b">
        <v>0</v>
      </c>
    </row>
    <row r="1353" hidden="1">
      <c r="A1353" s="4" t="str">
        <f>IFERROR(__xludf.DUMMYFUNCTION("""COMPUTED_VALUE"""),"1889 - Channel")</f>
        <v>1889 - Channel</v>
      </c>
      <c r="B1353" s="4"/>
      <c r="C1353" s="4"/>
      <c r="D1353" s="6"/>
      <c r="E1353" s="6"/>
      <c r="F1353" s="6"/>
      <c r="G1353" s="4"/>
      <c r="H1353" s="4"/>
      <c r="I1353" s="4"/>
      <c r="J1353" s="4"/>
      <c r="K1353" s="4"/>
      <c r="L1353" s="4"/>
      <c r="M1353" s="4"/>
      <c r="N1353" s="4" t="s">
        <v>70</v>
      </c>
      <c r="O1353" s="51" t="b">
        <v>0</v>
      </c>
      <c r="P1353" s="51" t="b">
        <v>0</v>
      </c>
      <c r="Q1353" s="51" t="b">
        <v>0</v>
      </c>
      <c r="R1353" s="51" t="b">
        <v>0</v>
      </c>
      <c r="S1353" s="51" t="b">
        <v>0</v>
      </c>
    </row>
    <row r="1354" hidden="1">
      <c r="A1354" s="4" t="str">
        <f>IFERROR(__xludf.DUMMYFUNCTION("""COMPUTED_VALUE"""),"1890 - Channel")</f>
        <v>1890 - Channel</v>
      </c>
      <c r="B1354" s="4"/>
      <c r="C1354" s="4"/>
      <c r="D1354" s="6"/>
      <c r="E1354" s="6"/>
      <c r="F1354" s="6"/>
      <c r="G1354" s="4"/>
      <c r="H1354" s="4"/>
      <c r="I1354" s="4"/>
      <c r="J1354" s="4"/>
      <c r="K1354" s="4"/>
      <c r="L1354" s="4"/>
      <c r="M1354" s="4"/>
      <c r="N1354" s="4" t="s">
        <v>70</v>
      </c>
      <c r="O1354" s="51" t="b">
        <v>0</v>
      </c>
      <c r="P1354" s="51" t="b">
        <v>0</v>
      </c>
      <c r="Q1354" s="51" t="b">
        <v>0</v>
      </c>
      <c r="R1354" s="51" t="b">
        <v>0</v>
      </c>
      <c r="S1354" s="51" t="b">
        <v>0</v>
      </c>
    </row>
    <row r="1355" hidden="1">
      <c r="A1355" s="4" t="str">
        <f>IFERROR(__xludf.DUMMYFUNCTION("""COMPUTED_VALUE"""),"1891 - Channel")</f>
        <v>1891 - Channel</v>
      </c>
      <c r="B1355" s="4"/>
      <c r="C1355" s="4"/>
      <c r="D1355" s="6"/>
      <c r="E1355" s="6"/>
      <c r="F1355" s="6"/>
      <c r="G1355" s="4"/>
      <c r="H1355" s="4"/>
      <c r="I1355" s="4"/>
      <c r="J1355" s="4"/>
      <c r="K1355" s="4"/>
      <c r="L1355" s="4"/>
      <c r="M1355" s="4"/>
      <c r="N1355" s="4" t="s">
        <v>70</v>
      </c>
      <c r="O1355" s="51" t="b">
        <v>0</v>
      </c>
      <c r="P1355" s="51" t="b">
        <v>0</v>
      </c>
      <c r="Q1355" s="51" t="b">
        <v>0</v>
      </c>
      <c r="R1355" s="51" t="b">
        <v>0</v>
      </c>
      <c r="S1355" s="51" t="b">
        <v>0</v>
      </c>
    </row>
    <row r="1356" hidden="1">
      <c r="A1356" s="4" t="str">
        <f>IFERROR(__xludf.DUMMYFUNCTION("""COMPUTED_VALUE"""),"1892 - Channel")</f>
        <v>1892 - Channel</v>
      </c>
      <c r="B1356" s="4"/>
      <c r="C1356" s="4"/>
      <c r="D1356" s="6"/>
      <c r="E1356" s="6"/>
      <c r="F1356" s="6"/>
      <c r="G1356" s="4"/>
      <c r="H1356" s="4"/>
      <c r="I1356" s="4"/>
      <c r="J1356" s="4"/>
      <c r="K1356" s="4"/>
      <c r="L1356" s="4"/>
      <c r="M1356" s="4"/>
      <c r="N1356" s="4" t="s">
        <v>70</v>
      </c>
      <c r="O1356" s="51" t="b">
        <v>0</v>
      </c>
      <c r="P1356" s="51" t="b">
        <v>0</v>
      </c>
      <c r="Q1356" s="51" t="b">
        <v>0</v>
      </c>
      <c r="R1356" s="51" t="b">
        <v>0</v>
      </c>
      <c r="S1356" s="51" t="b">
        <v>0</v>
      </c>
    </row>
    <row r="1357" hidden="1">
      <c r="A1357" s="4" t="str">
        <f>IFERROR(__xludf.DUMMYFUNCTION("""COMPUTED_VALUE"""),"1893 - Channel")</f>
        <v>1893 - Channel</v>
      </c>
      <c r="B1357" s="4"/>
      <c r="C1357" s="4"/>
      <c r="D1357" s="6"/>
      <c r="E1357" s="6"/>
      <c r="F1357" s="6"/>
      <c r="G1357" s="4"/>
      <c r="H1357" s="4"/>
      <c r="I1357" s="4"/>
      <c r="J1357" s="4"/>
      <c r="K1357" s="4"/>
      <c r="L1357" s="4"/>
      <c r="M1357" s="4"/>
      <c r="N1357" s="4" t="s">
        <v>70</v>
      </c>
      <c r="O1357" s="51" t="b">
        <v>0</v>
      </c>
      <c r="P1357" s="51" t="b">
        <v>0</v>
      </c>
      <c r="Q1357" s="51" t="b">
        <v>0</v>
      </c>
      <c r="R1357" s="51" t="b">
        <v>0</v>
      </c>
      <c r="S1357" s="51" t="b">
        <v>0</v>
      </c>
    </row>
    <row r="1358" hidden="1">
      <c r="A1358" s="4" t="str">
        <f>IFERROR(__xludf.DUMMYFUNCTION("""COMPUTED_VALUE"""),"1894 - Channel")</f>
        <v>1894 - Channel</v>
      </c>
      <c r="B1358" s="4"/>
      <c r="C1358" s="4"/>
      <c r="D1358" s="6"/>
      <c r="E1358" s="6"/>
      <c r="F1358" s="6"/>
      <c r="G1358" s="4"/>
      <c r="H1358" s="4"/>
      <c r="I1358" s="4"/>
      <c r="J1358" s="4"/>
      <c r="K1358" s="4"/>
      <c r="L1358" s="4"/>
      <c r="M1358" s="4"/>
      <c r="N1358" s="4" t="s">
        <v>70</v>
      </c>
      <c r="O1358" s="51" t="b">
        <v>0</v>
      </c>
      <c r="P1358" s="51" t="b">
        <v>0</v>
      </c>
      <c r="Q1358" s="51" t="b">
        <v>0</v>
      </c>
      <c r="R1358" s="51" t="b">
        <v>0</v>
      </c>
      <c r="S1358" s="51" t="b">
        <v>0</v>
      </c>
    </row>
    <row r="1359" hidden="1">
      <c r="A1359" s="4" t="str">
        <f>IFERROR(__xludf.DUMMYFUNCTION("""COMPUTED_VALUE"""),"1895 - Channel")</f>
        <v>1895 - Channel</v>
      </c>
      <c r="B1359" s="4"/>
      <c r="C1359" s="4"/>
      <c r="D1359" s="6"/>
      <c r="E1359" s="6"/>
      <c r="F1359" s="6"/>
      <c r="G1359" s="4"/>
      <c r="H1359" s="4"/>
      <c r="I1359" s="4"/>
      <c r="J1359" s="4"/>
      <c r="K1359" s="4"/>
      <c r="L1359" s="4"/>
      <c r="M1359" s="4"/>
      <c r="N1359" s="4" t="s">
        <v>70</v>
      </c>
      <c r="O1359" s="51" t="b">
        <v>0</v>
      </c>
      <c r="P1359" s="51" t="b">
        <v>0</v>
      </c>
      <c r="Q1359" s="51" t="b">
        <v>0</v>
      </c>
      <c r="R1359" s="51" t="b">
        <v>0</v>
      </c>
      <c r="S1359" s="51" t="b">
        <v>0</v>
      </c>
    </row>
    <row r="1360" hidden="1">
      <c r="A1360" s="4" t="str">
        <f>IFERROR(__xludf.DUMMYFUNCTION("""COMPUTED_VALUE"""),"1896 - Channel")</f>
        <v>1896 - Channel</v>
      </c>
      <c r="B1360" s="4"/>
      <c r="C1360" s="4"/>
      <c r="D1360" s="6"/>
      <c r="E1360" s="6"/>
      <c r="F1360" s="6"/>
      <c r="G1360" s="4"/>
      <c r="H1360" s="4"/>
      <c r="I1360" s="4"/>
      <c r="J1360" s="4"/>
      <c r="K1360" s="4"/>
      <c r="L1360" s="4"/>
      <c r="M1360" s="4"/>
      <c r="N1360" s="4" t="s">
        <v>70</v>
      </c>
      <c r="O1360" s="51" t="b">
        <v>0</v>
      </c>
      <c r="P1360" s="51" t="b">
        <v>0</v>
      </c>
      <c r="Q1360" s="51" t="b">
        <v>0</v>
      </c>
      <c r="R1360" s="51" t="b">
        <v>0</v>
      </c>
      <c r="S1360" s="51" t="b">
        <v>0</v>
      </c>
    </row>
    <row r="1361" hidden="1">
      <c r="A1361" s="4" t="str">
        <f>IFERROR(__xludf.DUMMYFUNCTION("""COMPUTED_VALUE"""),"1897 - Channel")</f>
        <v>1897 - Channel</v>
      </c>
      <c r="B1361" s="4"/>
      <c r="C1361" s="4"/>
      <c r="D1361" s="6"/>
      <c r="E1361" s="6"/>
      <c r="F1361" s="6"/>
      <c r="G1361" s="4"/>
      <c r="H1361" s="4"/>
      <c r="I1361" s="4"/>
      <c r="J1361" s="4"/>
      <c r="K1361" s="4"/>
      <c r="L1361" s="4"/>
      <c r="M1361" s="4"/>
      <c r="N1361" s="4" t="s">
        <v>70</v>
      </c>
      <c r="O1361" s="51" t="b">
        <v>0</v>
      </c>
      <c r="P1361" s="51" t="b">
        <v>0</v>
      </c>
      <c r="Q1361" s="51" t="b">
        <v>0</v>
      </c>
      <c r="R1361" s="51" t="b">
        <v>0</v>
      </c>
      <c r="S1361" s="51" t="b">
        <v>0</v>
      </c>
    </row>
    <row r="1362" hidden="1">
      <c r="A1362" s="4" t="str">
        <f>IFERROR(__xludf.DUMMYFUNCTION("""COMPUTED_VALUE"""),"1898 - Channel")</f>
        <v>1898 - Channel</v>
      </c>
      <c r="B1362" s="4"/>
      <c r="C1362" s="4"/>
      <c r="D1362" s="6"/>
      <c r="E1362" s="6"/>
      <c r="F1362" s="6"/>
      <c r="G1362" s="4"/>
      <c r="H1362" s="4"/>
      <c r="I1362" s="4"/>
      <c r="J1362" s="4"/>
      <c r="K1362" s="4"/>
      <c r="L1362" s="4"/>
      <c r="M1362" s="4"/>
      <c r="N1362" s="4" t="s">
        <v>70</v>
      </c>
      <c r="O1362" s="51" t="b">
        <v>0</v>
      </c>
      <c r="P1362" s="51" t="b">
        <v>0</v>
      </c>
      <c r="Q1362" s="51" t="b">
        <v>0</v>
      </c>
      <c r="R1362" s="51" t="b">
        <v>0</v>
      </c>
      <c r="S1362" s="51" t="b">
        <v>0</v>
      </c>
    </row>
    <row r="1363" hidden="1">
      <c r="A1363" s="4" t="str">
        <f>IFERROR(__xludf.DUMMYFUNCTION("""COMPUTED_VALUE"""),"1899 - Channel")</f>
        <v>1899 - Channel</v>
      </c>
      <c r="B1363" s="4"/>
      <c r="C1363" s="4"/>
      <c r="D1363" s="6"/>
      <c r="E1363" s="6"/>
      <c r="F1363" s="6"/>
      <c r="G1363" s="4"/>
      <c r="H1363" s="4"/>
      <c r="I1363" s="4"/>
      <c r="J1363" s="4"/>
      <c r="K1363" s="4"/>
      <c r="L1363" s="4"/>
      <c r="M1363" s="4"/>
      <c r="N1363" s="4" t="s">
        <v>70</v>
      </c>
      <c r="O1363" s="51" t="b">
        <v>0</v>
      </c>
      <c r="P1363" s="51" t="b">
        <v>0</v>
      </c>
      <c r="Q1363" s="51" t="b">
        <v>0</v>
      </c>
      <c r="R1363" s="51" t="b">
        <v>0</v>
      </c>
      <c r="S1363" s="51" t="b">
        <v>0</v>
      </c>
    </row>
    <row r="1364" hidden="1">
      <c r="A1364" s="4" t="str">
        <f>IFERROR(__xludf.DUMMYFUNCTION("""COMPUTED_VALUE"""),"1900 - Channel")</f>
        <v>1900 - Channel</v>
      </c>
      <c r="B1364" s="4"/>
      <c r="C1364" s="4"/>
      <c r="D1364" s="6"/>
      <c r="E1364" s="6"/>
      <c r="F1364" s="6"/>
      <c r="G1364" s="4"/>
      <c r="H1364" s="4"/>
      <c r="I1364" s="4"/>
      <c r="J1364" s="4"/>
      <c r="K1364" s="4"/>
      <c r="L1364" s="4"/>
      <c r="M1364" s="4"/>
      <c r="N1364" s="4" t="s">
        <v>70</v>
      </c>
      <c r="O1364" s="51" t="b">
        <v>0</v>
      </c>
      <c r="P1364" s="51" t="b">
        <v>0</v>
      </c>
      <c r="Q1364" s="51" t="b">
        <v>0</v>
      </c>
      <c r="R1364" s="51" t="b">
        <v>0</v>
      </c>
      <c r="S1364" s="51" t="b">
        <v>0</v>
      </c>
    </row>
    <row r="1365" hidden="1">
      <c r="A1365" s="4" t="str">
        <f>IFERROR(__xludf.DUMMYFUNCTION("""COMPUTED_VALUE"""),"1902 - Channel")</f>
        <v>1902 - Channel</v>
      </c>
      <c r="B1365" s="4"/>
      <c r="C1365" s="4"/>
      <c r="D1365" s="6"/>
      <c r="E1365" s="6"/>
      <c r="F1365" s="6"/>
      <c r="G1365" s="4"/>
      <c r="H1365" s="4"/>
      <c r="I1365" s="4"/>
      <c r="J1365" s="4"/>
      <c r="K1365" s="4"/>
      <c r="L1365" s="4"/>
      <c r="M1365" s="4"/>
      <c r="N1365" s="4" t="s">
        <v>70</v>
      </c>
      <c r="O1365" s="51" t="b">
        <v>0</v>
      </c>
      <c r="P1365" s="51" t="b">
        <v>0</v>
      </c>
      <c r="Q1365" s="51" t="b">
        <v>0</v>
      </c>
      <c r="R1365" s="51" t="b">
        <v>0</v>
      </c>
      <c r="S1365" s="51" t="b">
        <v>0</v>
      </c>
    </row>
    <row r="1366" hidden="1">
      <c r="A1366" s="4" t="str">
        <f>IFERROR(__xludf.DUMMYFUNCTION("""COMPUTED_VALUE"""),"1903 - Channel")</f>
        <v>1903 - Channel</v>
      </c>
      <c r="B1366" s="4"/>
      <c r="C1366" s="4"/>
      <c r="D1366" s="6"/>
      <c r="E1366" s="6"/>
      <c r="F1366" s="6"/>
      <c r="G1366" s="4"/>
      <c r="H1366" s="4"/>
      <c r="I1366" s="4"/>
      <c r="J1366" s="4"/>
      <c r="K1366" s="4"/>
      <c r="L1366" s="4"/>
      <c r="M1366" s="4"/>
      <c r="N1366" s="4" t="s">
        <v>70</v>
      </c>
      <c r="O1366" s="51" t="b">
        <v>0</v>
      </c>
      <c r="P1366" s="51" t="b">
        <v>0</v>
      </c>
      <c r="Q1366" s="51" t="b">
        <v>0</v>
      </c>
      <c r="R1366" s="51" t="b">
        <v>0</v>
      </c>
      <c r="S1366" s="51" t="b">
        <v>0</v>
      </c>
    </row>
    <row r="1367" hidden="1">
      <c r="A1367" s="4" t="str">
        <f>IFERROR(__xludf.DUMMYFUNCTION("""COMPUTED_VALUE"""),"1904 - Channel")</f>
        <v>1904 - Channel</v>
      </c>
      <c r="B1367" s="4"/>
      <c r="C1367" s="4"/>
      <c r="D1367" s="6"/>
      <c r="E1367" s="6"/>
      <c r="F1367" s="6"/>
      <c r="G1367" s="4"/>
      <c r="H1367" s="4"/>
      <c r="I1367" s="4"/>
      <c r="J1367" s="4"/>
      <c r="K1367" s="4"/>
      <c r="L1367" s="4"/>
      <c r="M1367" s="4"/>
      <c r="N1367" s="4" t="s">
        <v>70</v>
      </c>
      <c r="O1367" s="51" t="b">
        <v>0</v>
      </c>
      <c r="P1367" s="51" t="b">
        <v>0</v>
      </c>
      <c r="Q1367" s="51" t="b">
        <v>0</v>
      </c>
      <c r="R1367" s="51" t="b">
        <v>0</v>
      </c>
      <c r="S1367" s="51" t="b">
        <v>0</v>
      </c>
    </row>
    <row r="1368" hidden="1">
      <c r="A1368" s="4" t="str">
        <f>IFERROR(__xludf.DUMMYFUNCTION("""COMPUTED_VALUE"""),"1905 - Channel")</f>
        <v>1905 - Channel</v>
      </c>
      <c r="B1368" s="4"/>
      <c r="C1368" s="4"/>
      <c r="D1368" s="6"/>
      <c r="E1368" s="6"/>
      <c r="F1368" s="6"/>
      <c r="G1368" s="4"/>
      <c r="H1368" s="4"/>
      <c r="I1368" s="4"/>
      <c r="J1368" s="4"/>
      <c r="K1368" s="4"/>
      <c r="L1368" s="4"/>
      <c r="M1368" s="4"/>
      <c r="N1368" s="4" t="s">
        <v>70</v>
      </c>
      <c r="O1368" s="51" t="b">
        <v>0</v>
      </c>
      <c r="P1368" s="51" t="b">
        <v>0</v>
      </c>
      <c r="Q1368" s="51" t="b">
        <v>0</v>
      </c>
      <c r="R1368" s="51" t="b">
        <v>0</v>
      </c>
      <c r="S1368" s="51" t="b">
        <v>0</v>
      </c>
    </row>
    <row r="1369" hidden="1">
      <c r="A1369" s="4" t="str">
        <f>IFERROR(__xludf.DUMMYFUNCTION("""COMPUTED_VALUE"""),"1906 - Channel")</f>
        <v>1906 - Channel</v>
      </c>
      <c r="B1369" s="4"/>
      <c r="C1369" s="4"/>
      <c r="D1369" s="6"/>
      <c r="E1369" s="6"/>
      <c r="F1369" s="6"/>
      <c r="G1369" s="4"/>
      <c r="H1369" s="4"/>
      <c r="I1369" s="4"/>
      <c r="J1369" s="4"/>
      <c r="K1369" s="4"/>
      <c r="L1369" s="4"/>
      <c r="M1369" s="4"/>
      <c r="N1369" s="4" t="s">
        <v>70</v>
      </c>
      <c r="O1369" s="51" t="b">
        <v>0</v>
      </c>
      <c r="P1369" s="51" t="b">
        <v>0</v>
      </c>
      <c r="Q1369" s="51" t="b">
        <v>0</v>
      </c>
      <c r="R1369" s="51" t="b">
        <v>0</v>
      </c>
      <c r="S1369" s="51" t="b">
        <v>0</v>
      </c>
    </row>
    <row r="1370" hidden="1">
      <c r="A1370" s="4" t="str">
        <f>IFERROR(__xludf.DUMMYFUNCTION("""COMPUTED_VALUE"""),"1907 - Channel")</f>
        <v>1907 - Channel</v>
      </c>
      <c r="B1370" s="4"/>
      <c r="C1370" s="4"/>
      <c r="D1370" s="6"/>
      <c r="E1370" s="6"/>
      <c r="F1370" s="6"/>
      <c r="G1370" s="4"/>
      <c r="H1370" s="4"/>
      <c r="I1370" s="4"/>
      <c r="J1370" s="4"/>
      <c r="K1370" s="4"/>
      <c r="L1370" s="4"/>
      <c r="M1370" s="4"/>
      <c r="N1370" s="4" t="s">
        <v>70</v>
      </c>
      <c r="O1370" s="51" t="b">
        <v>0</v>
      </c>
      <c r="P1370" s="51" t="b">
        <v>0</v>
      </c>
      <c r="Q1370" s="51" t="b">
        <v>0</v>
      </c>
      <c r="R1370" s="51" t="b">
        <v>0</v>
      </c>
      <c r="S1370" s="51" t="b">
        <v>0</v>
      </c>
    </row>
    <row r="1371" hidden="1">
      <c r="A1371" s="4" t="str">
        <f>IFERROR(__xludf.DUMMYFUNCTION("""COMPUTED_VALUE"""),"1908 - Channel")</f>
        <v>1908 - Channel</v>
      </c>
      <c r="B1371" s="4"/>
      <c r="C1371" s="4"/>
      <c r="D1371" s="6"/>
      <c r="E1371" s="6"/>
      <c r="F1371" s="6"/>
      <c r="G1371" s="4"/>
      <c r="H1371" s="4"/>
      <c r="I1371" s="4"/>
      <c r="J1371" s="4"/>
      <c r="K1371" s="4"/>
      <c r="L1371" s="4"/>
      <c r="M1371" s="4"/>
      <c r="N1371" s="4" t="s">
        <v>70</v>
      </c>
      <c r="O1371" s="51" t="b">
        <v>0</v>
      </c>
      <c r="P1371" s="51" t="b">
        <v>0</v>
      </c>
      <c r="Q1371" s="51" t="b">
        <v>0</v>
      </c>
      <c r="R1371" s="51" t="b">
        <v>0</v>
      </c>
      <c r="S1371" s="51" t="b">
        <v>0</v>
      </c>
    </row>
    <row r="1372" hidden="1">
      <c r="A1372" s="4" t="str">
        <f>IFERROR(__xludf.DUMMYFUNCTION("""COMPUTED_VALUE"""),"1909 - Channel")</f>
        <v>1909 - Channel</v>
      </c>
      <c r="B1372" s="4"/>
      <c r="C1372" s="4"/>
      <c r="D1372" s="6"/>
      <c r="E1372" s="6"/>
      <c r="F1372" s="6"/>
      <c r="G1372" s="4"/>
      <c r="H1372" s="4"/>
      <c r="I1372" s="4"/>
      <c r="J1372" s="4"/>
      <c r="K1372" s="4"/>
      <c r="L1372" s="4"/>
      <c r="M1372" s="4"/>
      <c r="N1372" s="4" t="s">
        <v>70</v>
      </c>
      <c r="O1372" s="51" t="b">
        <v>0</v>
      </c>
      <c r="P1372" s="51" t="b">
        <v>0</v>
      </c>
      <c r="Q1372" s="51" t="b">
        <v>0</v>
      </c>
      <c r="R1372" s="51" t="b">
        <v>0</v>
      </c>
      <c r="S1372" s="51" t="b">
        <v>0</v>
      </c>
    </row>
    <row r="1373" hidden="1">
      <c r="A1373" s="4" t="str">
        <f>IFERROR(__xludf.DUMMYFUNCTION("""COMPUTED_VALUE"""),"1910 - Channel")</f>
        <v>1910 - Channel</v>
      </c>
      <c r="B1373" s="4"/>
      <c r="C1373" s="4"/>
      <c r="D1373" s="6"/>
      <c r="E1373" s="6"/>
      <c r="F1373" s="6"/>
      <c r="G1373" s="4"/>
      <c r="H1373" s="4"/>
      <c r="I1373" s="4"/>
      <c r="J1373" s="4"/>
      <c r="K1373" s="4"/>
      <c r="L1373" s="4"/>
      <c r="M1373" s="4"/>
      <c r="N1373" s="4" t="s">
        <v>70</v>
      </c>
      <c r="O1373" s="51" t="b">
        <v>0</v>
      </c>
      <c r="P1373" s="51" t="b">
        <v>0</v>
      </c>
      <c r="Q1373" s="51" t="b">
        <v>0</v>
      </c>
      <c r="R1373" s="51" t="b">
        <v>0</v>
      </c>
      <c r="S1373" s="51" t="b">
        <v>0</v>
      </c>
    </row>
    <row r="1374" hidden="1">
      <c r="A1374" s="4" t="str">
        <f>IFERROR(__xludf.DUMMYFUNCTION("""COMPUTED_VALUE"""),"1911 - Channel")</f>
        <v>1911 - Channel</v>
      </c>
      <c r="B1374" s="4"/>
      <c r="C1374" s="4"/>
      <c r="D1374" s="6"/>
      <c r="E1374" s="6"/>
      <c r="F1374" s="6"/>
      <c r="G1374" s="4"/>
      <c r="H1374" s="4"/>
      <c r="I1374" s="4"/>
      <c r="J1374" s="4"/>
      <c r="K1374" s="4"/>
      <c r="L1374" s="4"/>
      <c r="M1374" s="4"/>
      <c r="N1374" s="4" t="s">
        <v>70</v>
      </c>
      <c r="O1374" s="51" t="b">
        <v>0</v>
      </c>
      <c r="P1374" s="51" t="b">
        <v>0</v>
      </c>
      <c r="Q1374" s="51" t="b">
        <v>0</v>
      </c>
      <c r="R1374" s="51" t="b">
        <v>0</v>
      </c>
      <c r="S1374" s="51" t="b">
        <v>0</v>
      </c>
    </row>
    <row r="1375" hidden="1">
      <c r="A1375" s="4" t="str">
        <f>IFERROR(__xludf.DUMMYFUNCTION("""COMPUTED_VALUE"""),"1912 - Channel")</f>
        <v>1912 - Channel</v>
      </c>
      <c r="B1375" s="4"/>
      <c r="C1375" s="4"/>
      <c r="D1375" s="6"/>
      <c r="E1375" s="6"/>
      <c r="F1375" s="6"/>
      <c r="G1375" s="4"/>
      <c r="H1375" s="4"/>
      <c r="I1375" s="4"/>
      <c r="J1375" s="4"/>
      <c r="K1375" s="4"/>
      <c r="L1375" s="4"/>
      <c r="M1375" s="4"/>
      <c r="N1375" s="4" t="s">
        <v>70</v>
      </c>
      <c r="O1375" s="51" t="b">
        <v>0</v>
      </c>
      <c r="P1375" s="51" t="b">
        <v>0</v>
      </c>
      <c r="Q1375" s="51" t="b">
        <v>0</v>
      </c>
      <c r="R1375" s="51" t="b">
        <v>0</v>
      </c>
      <c r="S1375" s="51" t="b">
        <v>0</v>
      </c>
    </row>
    <row r="1376" hidden="1">
      <c r="A1376" s="4" t="str">
        <f>IFERROR(__xludf.DUMMYFUNCTION("""COMPUTED_VALUE"""),"1913 - Channel")</f>
        <v>1913 - Channel</v>
      </c>
      <c r="B1376" s="4"/>
      <c r="C1376" s="4"/>
      <c r="D1376" s="6"/>
      <c r="E1376" s="6"/>
      <c r="F1376" s="6"/>
      <c r="G1376" s="4"/>
      <c r="H1376" s="4"/>
      <c r="I1376" s="4"/>
      <c r="J1376" s="4"/>
      <c r="K1376" s="4"/>
      <c r="L1376" s="4"/>
      <c r="M1376" s="4"/>
      <c r="N1376" s="4" t="s">
        <v>70</v>
      </c>
      <c r="O1376" s="51" t="b">
        <v>0</v>
      </c>
      <c r="P1376" s="51" t="b">
        <v>0</v>
      </c>
      <c r="Q1376" s="51" t="b">
        <v>0</v>
      </c>
      <c r="R1376" s="51" t="b">
        <v>0</v>
      </c>
      <c r="S1376" s="51" t="b">
        <v>0</v>
      </c>
    </row>
    <row r="1377" hidden="1">
      <c r="A1377" s="4" t="str">
        <f>IFERROR(__xludf.DUMMYFUNCTION("""COMPUTED_VALUE"""),"1914 - Channel")</f>
        <v>1914 - Channel</v>
      </c>
      <c r="B1377" s="4"/>
      <c r="C1377" s="4"/>
      <c r="D1377" s="6"/>
      <c r="E1377" s="6"/>
      <c r="F1377" s="6"/>
      <c r="G1377" s="4"/>
      <c r="H1377" s="4"/>
      <c r="I1377" s="4"/>
      <c r="J1377" s="4"/>
      <c r="K1377" s="4"/>
      <c r="L1377" s="4"/>
      <c r="M1377" s="4"/>
      <c r="N1377" s="4" t="s">
        <v>70</v>
      </c>
      <c r="O1377" s="51" t="b">
        <v>0</v>
      </c>
      <c r="P1377" s="51" t="b">
        <v>0</v>
      </c>
      <c r="Q1377" s="51" t="b">
        <v>0</v>
      </c>
      <c r="R1377" s="51" t="b">
        <v>0</v>
      </c>
      <c r="S1377" s="51" t="b">
        <v>0</v>
      </c>
    </row>
    <row r="1378" hidden="1">
      <c r="A1378" s="4" t="str">
        <f>IFERROR(__xludf.DUMMYFUNCTION("""COMPUTED_VALUE"""),"1915 - Channel")</f>
        <v>1915 - Channel</v>
      </c>
      <c r="B1378" s="4"/>
      <c r="C1378" s="4"/>
      <c r="D1378" s="6"/>
      <c r="E1378" s="6"/>
      <c r="F1378" s="6"/>
      <c r="G1378" s="4"/>
      <c r="H1378" s="4"/>
      <c r="I1378" s="4"/>
      <c r="J1378" s="4"/>
      <c r="K1378" s="4"/>
      <c r="L1378" s="4"/>
      <c r="M1378" s="4"/>
      <c r="N1378" s="4" t="s">
        <v>70</v>
      </c>
      <c r="O1378" s="51" t="b">
        <v>0</v>
      </c>
      <c r="P1378" s="51" t="b">
        <v>0</v>
      </c>
      <c r="Q1378" s="51" t="b">
        <v>0</v>
      </c>
      <c r="R1378" s="51" t="b">
        <v>0</v>
      </c>
      <c r="S1378" s="51" t="b">
        <v>0</v>
      </c>
    </row>
    <row r="1379" hidden="1">
      <c r="A1379" s="4" t="str">
        <f>IFERROR(__xludf.DUMMYFUNCTION("""COMPUTED_VALUE"""),"1916 - Channel")</f>
        <v>1916 - Channel</v>
      </c>
      <c r="B1379" s="4"/>
      <c r="C1379" s="4"/>
      <c r="D1379" s="6"/>
      <c r="E1379" s="6"/>
      <c r="F1379" s="6"/>
      <c r="G1379" s="4"/>
      <c r="H1379" s="4"/>
      <c r="I1379" s="4"/>
      <c r="J1379" s="4"/>
      <c r="K1379" s="4"/>
      <c r="L1379" s="4"/>
      <c r="M1379" s="4"/>
      <c r="N1379" s="4" t="s">
        <v>70</v>
      </c>
      <c r="O1379" s="51" t="b">
        <v>0</v>
      </c>
      <c r="P1379" s="51" t="b">
        <v>0</v>
      </c>
      <c r="Q1379" s="51" t="b">
        <v>0</v>
      </c>
      <c r="R1379" s="51" t="b">
        <v>0</v>
      </c>
      <c r="S1379" s="51" t="b">
        <v>0</v>
      </c>
    </row>
    <row r="1380" hidden="1">
      <c r="A1380" s="4" t="str">
        <f>IFERROR(__xludf.DUMMYFUNCTION("""COMPUTED_VALUE"""),"1917 - Channel")</f>
        <v>1917 - Channel</v>
      </c>
      <c r="B1380" s="4"/>
      <c r="C1380" s="4"/>
      <c r="D1380" s="6"/>
      <c r="E1380" s="6"/>
      <c r="F1380" s="6"/>
      <c r="G1380" s="4"/>
      <c r="H1380" s="4"/>
      <c r="I1380" s="4"/>
      <c r="J1380" s="4"/>
      <c r="K1380" s="4"/>
      <c r="L1380" s="4"/>
      <c r="M1380" s="4"/>
      <c r="N1380" s="4" t="s">
        <v>70</v>
      </c>
      <c r="O1380" s="51" t="b">
        <v>0</v>
      </c>
      <c r="P1380" s="51" t="b">
        <v>0</v>
      </c>
      <c r="Q1380" s="51" t="b">
        <v>0</v>
      </c>
      <c r="R1380" s="51" t="b">
        <v>0</v>
      </c>
      <c r="S1380" s="51" t="b">
        <v>0</v>
      </c>
    </row>
    <row r="1381" hidden="1">
      <c r="A1381" s="4" t="str">
        <f>IFERROR(__xludf.DUMMYFUNCTION("""COMPUTED_VALUE"""),"1918 - Channel")</f>
        <v>1918 - Channel</v>
      </c>
      <c r="B1381" s="4"/>
      <c r="C1381" s="4"/>
      <c r="D1381" s="6"/>
      <c r="E1381" s="6"/>
      <c r="F1381" s="6"/>
      <c r="G1381" s="4"/>
      <c r="H1381" s="4"/>
      <c r="I1381" s="4"/>
      <c r="J1381" s="4"/>
      <c r="K1381" s="4"/>
      <c r="L1381" s="4"/>
      <c r="M1381" s="4"/>
      <c r="N1381" s="4" t="s">
        <v>70</v>
      </c>
      <c r="O1381" s="51" t="b">
        <v>0</v>
      </c>
      <c r="P1381" s="51" t="b">
        <v>0</v>
      </c>
      <c r="Q1381" s="51" t="b">
        <v>0</v>
      </c>
      <c r="R1381" s="51" t="b">
        <v>0</v>
      </c>
      <c r="S1381" s="51" t="b">
        <v>0</v>
      </c>
    </row>
    <row r="1382" hidden="1">
      <c r="A1382" s="4" t="str">
        <f>IFERROR(__xludf.DUMMYFUNCTION("""COMPUTED_VALUE"""),"1919 - Channel")</f>
        <v>1919 - Channel</v>
      </c>
      <c r="B1382" s="4"/>
      <c r="C1382" s="4"/>
      <c r="D1382" s="6"/>
      <c r="E1382" s="6"/>
      <c r="F1382" s="6"/>
      <c r="G1382" s="4"/>
      <c r="H1382" s="4"/>
      <c r="I1382" s="4"/>
      <c r="J1382" s="4"/>
      <c r="K1382" s="4"/>
      <c r="L1382" s="4"/>
      <c r="M1382" s="4"/>
      <c r="N1382" s="4" t="s">
        <v>70</v>
      </c>
      <c r="O1382" s="51" t="b">
        <v>0</v>
      </c>
      <c r="P1382" s="51" t="b">
        <v>0</v>
      </c>
      <c r="Q1382" s="51" t="b">
        <v>0</v>
      </c>
      <c r="R1382" s="51" t="b">
        <v>0</v>
      </c>
      <c r="S1382" s="51" t="b">
        <v>0</v>
      </c>
    </row>
    <row r="1383" hidden="1">
      <c r="A1383" s="4" t="str">
        <f>IFERROR(__xludf.DUMMYFUNCTION("""COMPUTED_VALUE"""),"1920 - Channel")</f>
        <v>1920 - Channel</v>
      </c>
      <c r="B1383" s="4"/>
      <c r="C1383" s="4"/>
      <c r="D1383" s="6"/>
      <c r="E1383" s="6"/>
      <c r="F1383" s="6"/>
      <c r="G1383" s="4"/>
      <c r="H1383" s="4"/>
      <c r="I1383" s="4"/>
      <c r="J1383" s="4"/>
      <c r="K1383" s="4"/>
      <c r="L1383" s="4"/>
      <c r="M1383" s="4"/>
      <c r="N1383" s="4" t="s">
        <v>70</v>
      </c>
      <c r="O1383" s="51" t="b">
        <v>0</v>
      </c>
      <c r="P1383" s="51" t="b">
        <v>0</v>
      </c>
      <c r="Q1383" s="51" t="b">
        <v>0</v>
      </c>
      <c r="R1383" s="51" t="b">
        <v>0</v>
      </c>
      <c r="S1383" s="51" t="b">
        <v>0</v>
      </c>
    </row>
    <row r="1384" hidden="1">
      <c r="A1384" s="4" t="str">
        <f>IFERROR(__xludf.DUMMYFUNCTION("""COMPUTED_VALUE"""),"1921 - Channel")</f>
        <v>1921 - Channel</v>
      </c>
      <c r="B1384" s="4"/>
      <c r="C1384" s="4"/>
      <c r="D1384" s="6"/>
      <c r="E1384" s="6"/>
      <c r="F1384" s="6"/>
      <c r="G1384" s="4"/>
      <c r="H1384" s="4"/>
      <c r="I1384" s="4"/>
      <c r="J1384" s="4"/>
      <c r="K1384" s="4"/>
      <c r="L1384" s="4"/>
      <c r="M1384" s="4"/>
      <c r="N1384" s="4" t="s">
        <v>70</v>
      </c>
      <c r="O1384" s="51" t="b">
        <v>0</v>
      </c>
      <c r="P1384" s="51" t="b">
        <v>0</v>
      </c>
      <c r="Q1384" s="51" t="b">
        <v>0</v>
      </c>
      <c r="R1384" s="51" t="b">
        <v>0</v>
      </c>
      <c r="S1384" s="51" t="b">
        <v>0</v>
      </c>
    </row>
    <row r="1385" hidden="1">
      <c r="A1385" s="4" t="str">
        <f>IFERROR(__xludf.DUMMYFUNCTION("""COMPUTED_VALUE"""),"1922 - Channel")</f>
        <v>1922 - Channel</v>
      </c>
      <c r="B1385" s="4"/>
      <c r="C1385" s="4"/>
      <c r="D1385" s="6"/>
      <c r="E1385" s="6"/>
      <c r="F1385" s="6"/>
      <c r="G1385" s="4"/>
      <c r="H1385" s="4"/>
      <c r="I1385" s="4"/>
      <c r="J1385" s="4"/>
      <c r="K1385" s="4"/>
      <c r="L1385" s="4"/>
      <c r="M1385" s="4"/>
      <c r="N1385" s="4" t="s">
        <v>70</v>
      </c>
      <c r="O1385" s="51" t="b">
        <v>0</v>
      </c>
      <c r="P1385" s="51" t="b">
        <v>0</v>
      </c>
      <c r="Q1385" s="51" t="b">
        <v>0</v>
      </c>
      <c r="R1385" s="51" t="b">
        <v>0</v>
      </c>
      <c r="S1385" s="51" t="b">
        <v>0</v>
      </c>
    </row>
    <row r="1386" hidden="1">
      <c r="A1386" s="4" t="str">
        <f>IFERROR(__xludf.DUMMYFUNCTION("""COMPUTED_VALUE"""),"1923 - Channel")</f>
        <v>1923 - Channel</v>
      </c>
      <c r="B1386" s="4"/>
      <c r="C1386" s="4"/>
      <c r="D1386" s="6"/>
      <c r="E1386" s="6"/>
      <c r="F1386" s="6"/>
      <c r="G1386" s="4"/>
      <c r="H1386" s="4"/>
      <c r="I1386" s="4"/>
      <c r="J1386" s="4"/>
      <c r="K1386" s="4"/>
      <c r="L1386" s="4"/>
      <c r="M1386" s="4"/>
      <c r="N1386" s="4" t="s">
        <v>70</v>
      </c>
      <c r="O1386" s="51" t="b">
        <v>0</v>
      </c>
      <c r="P1386" s="51" t="b">
        <v>0</v>
      </c>
      <c r="Q1386" s="51" t="b">
        <v>0</v>
      </c>
      <c r="R1386" s="51" t="b">
        <v>0</v>
      </c>
      <c r="S1386" s="51" t="b">
        <v>0</v>
      </c>
    </row>
    <row r="1387" hidden="1">
      <c r="A1387" s="4" t="str">
        <f>IFERROR(__xludf.DUMMYFUNCTION("""COMPUTED_VALUE"""),"1924 - Channel")</f>
        <v>1924 - Channel</v>
      </c>
      <c r="B1387" s="4"/>
      <c r="C1387" s="4"/>
      <c r="D1387" s="6"/>
      <c r="E1387" s="6"/>
      <c r="F1387" s="6"/>
      <c r="G1387" s="4"/>
      <c r="H1387" s="4"/>
      <c r="I1387" s="4"/>
      <c r="J1387" s="4"/>
      <c r="K1387" s="4"/>
      <c r="L1387" s="4"/>
      <c r="M1387" s="4"/>
      <c r="N1387" s="4" t="s">
        <v>70</v>
      </c>
      <c r="O1387" s="51" t="b">
        <v>0</v>
      </c>
      <c r="P1387" s="51" t="b">
        <v>0</v>
      </c>
      <c r="Q1387" s="51" t="b">
        <v>0</v>
      </c>
      <c r="R1387" s="51" t="b">
        <v>0</v>
      </c>
      <c r="S1387" s="51" t="b">
        <v>0</v>
      </c>
    </row>
    <row r="1388" hidden="1">
      <c r="A1388" s="4" t="str">
        <f>IFERROR(__xludf.DUMMYFUNCTION("""COMPUTED_VALUE"""),"1925 - Channel")</f>
        <v>1925 - Channel</v>
      </c>
      <c r="B1388" s="4"/>
      <c r="C1388" s="4"/>
      <c r="D1388" s="6"/>
      <c r="E1388" s="6"/>
      <c r="F1388" s="6"/>
      <c r="G1388" s="4"/>
      <c r="H1388" s="4"/>
      <c r="I1388" s="4"/>
      <c r="J1388" s="4"/>
      <c r="K1388" s="4"/>
      <c r="L1388" s="4"/>
      <c r="M1388" s="4"/>
      <c r="N1388" s="4" t="s">
        <v>70</v>
      </c>
      <c r="O1388" s="51" t="b">
        <v>0</v>
      </c>
      <c r="P1388" s="51" t="b">
        <v>0</v>
      </c>
      <c r="Q1388" s="51" t="b">
        <v>0</v>
      </c>
      <c r="R1388" s="51" t="b">
        <v>0</v>
      </c>
      <c r="S1388" s="51" t="b">
        <v>0</v>
      </c>
    </row>
    <row r="1389" hidden="1">
      <c r="A1389" s="4" t="str">
        <f>IFERROR(__xludf.DUMMYFUNCTION("""COMPUTED_VALUE"""),"1926 - Channel")</f>
        <v>1926 - Channel</v>
      </c>
      <c r="B1389" s="4"/>
      <c r="C1389" s="4"/>
      <c r="D1389" s="6"/>
      <c r="E1389" s="6"/>
      <c r="F1389" s="6"/>
      <c r="G1389" s="4"/>
      <c r="H1389" s="4"/>
      <c r="I1389" s="4"/>
      <c r="J1389" s="4"/>
      <c r="K1389" s="4"/>
      <c r="L1389" s="4"/>
      <c r="M1389" s="4"/>
      <c r="N1389" s="4" t="s">
        <v>70</v>
      </c>
      <c r="O1389" s="51" t="b">
        <v>0</v>
      </c>
      <c r="P1389" s="51" t="b">
        <v>0</v>
      </c>
      <c r="Q1389" s="51" t="b">
        <v>0</v>
      </c>
      <c r="R1389" s="51" t="b">
        <v>0</v>
      </c>
      <c r="S1389" s="51" t="b">
        <v>0</v>
      </c>
    </row>
    <row r="1390" hidden="1">
      <c r="A1390" s="4" t="str">
        <f>IFERROR(__xludf.DUMMYFUNCTION("""COMPUTED_VALUE"""),"1927 - Channel")</f>
        <v>1927 - Channel</v>
      </c>
      <c r="B1390" s="4"/>
      <c r="C1390" s="4"/>
      <c r="D1390" s="6"/>
      <c r="E1390" s="6"/>
      <c r="F1390" s="6"/>
      <c r="G1390" s="4"/>
      <c r="H1390" s="4"/>
      <c r="I1390" s="4"/>
      <c r="J1390" s="4"/>
      <c r="K1390" s="4"/>
      <c r="L1390" s="4"/>
      <c r="M1390" s="4"/>
      <c r="N1390" s="4" t="s">
        <v>70</v>
      </c>
      <c r="O1390" s="51" t="b">
        <v>0</v>
      </c>
      <c r="P1390" s="51" t="b">
        <v>0</v>
      </c>
      <c r="Q1390" s="51" t="b">
        <v>0</v>
      </c>
      <c r="R1390" s="51" t="b">
        <v>0</v>
      </c>
      <c r="S1390" s="51" t="b">
        <v>0</v>
      </c>
    </row>
    <row r="1391" hidden="1">
      <c r="A1391" s="4" t="str">
        <f>IFERROR(__xludf.DUMMYFUNCTION("""COMPUTED_VALUE"""),"1928 - Channel")</f>
        <v>1928 - Channel</v>
      </c>
      <c r="B1391" s="4"/>
      <c r="C1391" s="4"/>
      <c r="D1391" s="6"/>
      <c r="E1391" s="6"/>
      <c r="F1391" s="6"/>
      <c r="G1391" s="4"/>
      <c r="H1391" s="4"/>
      <c r="I1391" s="4"/>
      <c r="J1391" s="4"/>
      <c r="K1391" s="4"/>
      <c r="L1391" s="4"/>
      <c r="M1391" s="4"/>
      <c r="N1391" s="4" t="s">
        <v>70</v>
      </c>
      <c r="O1391" s="51" t="b">
        <v>0</v>
      </c>
      <c r="P1391" s="51" t="b">
        <v>0</v>
      </c>
      <c r="Q1391" s="51" t="b">
        <v>0</v>
      </c>
      <c r="R1391" s="51" t="b">
        <v>0</v>
      </c>
      <c r="S1391" s="51" t="b">
        <v>0</v>
      </c>
    </row>
    <row r="1392" hidden="1">
      <c r="A1392" s="4" t="str">
        <f>IFERROR(__xludf.DUMMYFUNCTION("""COMPUTED_VALUE"""),"1929 - Channel")</f>
        <v>1929 - Channel</v>
      </c>
      <c r="B1392" s="4"/>
      <c r="C1392" s="4"/>
      <c r="D1392" s="6"/>
      <c r="E1392" s="6"/>
      <c r="F1392" s="6"/>
      <c r="G1392" s="4"/>
      <c r="H1392" s="4"/>
      <c r="I1392" s="4"/>
      <c r="J1392" s="4"/>
      <c r="K1392" s="4"/>
      <c r="L1392" s="4"/>
      <c r="M1392" s="4"/>
      <c r="N1392" s="4" t="s">
        <v>70</v>
      </c>
      <c r="O1392" s="51" t="b">
        <v>0</v>
      </c>
      <c r="P1392" s="51" t="b">
        <v>0</v>
      </c>
      <c r="Q1392" s="51" t="b">
        <v>0</v>
      </c>
      <c r="R1392" s="51" t="b">
        <v>0</v>
      </c>
      <c r="S1392" s="51" t="b">
        <v>0</v>
      </c>
    </row>
    <row r="1393" hidden="1">
      <c r="A1393" s="4" t="str">
        <f>IFERROR(__xludf.DUMMYFUNCTION("""COMPUTED_VALUE"""),"1930 - Channel")</f>
        <v>1930 - Channel</v>
      </c>
      <c r="B1393" s="4"/>
      <c r="C1393" s="4"/>
      <c r="D1393" s="6"/>
      <c r="E1393" s="6"/>
      <c r="F1393" s="6"/>
      <c r="G1393" s="4"/>
      <c r="H1393" s="4"/>
      <c r="I1393" s="4"/>
      <c r="J1393" s="4"/>
      <c r="K1393" s="4"/>
      <c r="L1393" s="4"/>
      <c r="M1393" s="4"/>
      <c r="N1393" s="4" t="s">
        <v>70</v>
      </c>
      <c r="O1393" s="51" t="b">
        <v>0</v>
      </c>
      <c r="P1393" s="51" t="b">
        <v>0</v>
      </c>
      <c r="Q1393" s="51" t="b">
        <v>0</v>
      </c>
      <c r="R1393" s="51" t="b">
        <v>0</v>
      </c>
      <c r="S1393" s="51" t="b">
        <v>0</v>
      </c>
    </row>
    <row r="1394" hidden="1">
      <c r="A1394" s="4" t="str">
        <f>IFERROR(__xludf.DUMMYFUNCTION("""COMPUTED_VALUE"""),"1931 - Channel")</f>
        <v>1931 - Channel</v>
      </c>
      <c r="B1394" s="4"/>
      <c r="C1394" s="4"/>
      <c r="D1394" s="6"/>
      <c r="E1394" s="6"/>
      <c r="F1394" s="6"/>
      <c r="G1394" s="4"/>
      <c r="H1394" s="4"/>
      <c r="I1394" s="4"/>
      <c r="J1394" s="4"/>
      <c r="K1394" s="4"/>
      <c r="L1394" s="4"/>
      <c r="M1394" s="4"/>
      <c r="N1394" s="4" t="s">
        <v>70</v>
      </c>
      <c r="O1394" s="51" t="b">
        <v>0</v>
      </c>
      <c r="P1394" s="51" t="b">
        <v>0</v>
      </c>
      <c r="Q1394" s="51" t="b">
        <v>0</v>
      </c>
      <c r="R1394" s="51" t="b">
        <v>0</v>
      </c>
      <c r="S1394" s="51" t="b">
        <v>0</v>
      </c>
    </row>
    <row r="1395" hidden="1">
      <c r="A1395" s="4" t="str">
        <f>IFERROR(__xludf.DUMMYFUNCTION("""COMPUTED_VALUE"""),"1932 - Channel")</f>
        <v>1932 - Channel</v>
      </c>
      <c r="B1395" s="4"/>
      <c r="C1395" s="4"/>
      <c r="D1395" s="6"/>
      <c r="E1395" s="6"/>
      <c r="F1395" s="6"/>
      <c r="G1395" s="4"/>
      <c r="H1395" s="4"/>
      <c r="I1395" s="4"/>
      <c r="J1395" s="4"/>
      <c r="K1395" s="4"/>
      <c r="L1395" s="4"/>
      <c r="M1395" s="4"/>
      <c r="N1395" s="4" t="s">
        <v>70</v>
      </c>
      <c r="O1395" s="51" t="b">
        <v>0</v>
      </c>
      <c r="P1395" s="51" t="b">
        <v>0</v>
      </c>
      <c r="Q1395" s="51" t="b">
        <v>0</v>
      </c>
      <c r="R1395" s="51" t="b">
        <v>0</v>
      </c>
      <c r="S1395" s="51" t="b">
        <v>0</v>
      </c>
    </row>
    <row r="1396" hidden="1">
      <c r="A1396" s="4" t="str">
        <f>IFERROR(__xludf.DUMMYFUNCTION("""COMPUTED_VALUE"""),"1933 - Channel")</f>
        <v>1933 - Channel</v>
      </c>
      <c r="B1396" s="4"/>
      <c r="C1396" s="4"/>
      <c r="D1396" s="6"/>
      <c r="E1396" s="6"/>
      <c r="F1396" s="6"/>
      <c r="G1396" s="4"/>
      <c r="H1396" s="4"/>
      <c r="I1396" s="4"/>
      <c r="J1396" s="4"/>
      <c r="K1396" s="4"/>
      <c r="L1396" s="4"/>
      <c r="M1396" s="4"/>
      <c r="N1396" s="4" t="s">
        <v>70</v>
      </c>
      <c r="O1396" s="51" t="b">
        <v>0</v>
      </c>
      <c r="P1396" s="51" t="b">
        <v>0</v>
      </c>
      <c r="Q1396" s="51" t="b">
        <v>0</v>
      </c>
      <c r="R1396" s="51" t="b">
        <v>0</v>
      </c>
      <c r="S1396" s="51" t="b">
        <v>0</v>
      </c>
    </row>
    <row r="1397" hidden="1">
      <c r="A1397" s="4" t="str">
        <f>IFERROR(__xludf.DUMMYFUNCTION("""COMPUTED_VALUE"""),"1934 - Channel")</f>
        <v>1934 - Channel</v>
      </c>
      <c r="B1397" s="4"/>
      <c r="C1397" s="4"/>
      <c r="D1397" s="6"/>
      <c r="E1397" s="6"/>
      <c r="F1397" s="6"/>
      <c r="G1397" s="4"/>
      <c r="H1397" s="4"/>
      <c r="I1397" s="4"/>
      <c r="J1397" s="4"/>
      <c r="K1397" s="4"/>
      <c r="L1397" s="4"/>
      <c r="M1397" s="4"/>
      <c r="N1397" s="4" t="s">
        <v>70</v>
      </c>
      <c r="O1397" s="51" t="b">
        <v>0</v>
      </c>
      <c r="P1397" s="51" t="b">
        <v>0</v>
      </c>
      <c r="Q1397" s="51" t="b">
        <v>0</v>
      </c>
      <c r="R1397" s="51" t="b">
        <v>0</v>
      </c>
      <c r="S1397" s="51" t="b">
        <v>0</v>
      </c>
    </row>
    <row r="1398" hidden="1">
      <c r="A1398" s="4" t="str">
        <f>IFERROR(__xludf.DUMMYFUNCTION("""COMPUTED_VALUE"""),"1935 - Channel")</f>
        <v>1935 - Channel</v>
      </c>
      <c r="B1398" s="4"/>
      <c r="C1398" s="4"/>
      <c r="D1398" s="6"/>
      <c r="E1398" s="6"/>
      <c r="F1398" s="6"/>
      <c r="G1398" s="4"/>
      <c r="H1398" s="4"/>
      <c r="I1398" s="4"/>
      <c r="J1398" s="4"/>
      <c r="K1398" s="4"/>
      <c r="L1398" s="4"/>
      <c r="M1398" s="4"/>
      <c r="N1398" s="4" t="s">
        <v>70</v>
      </c>
      <c r="O1398" s="51" t="b">
        <v>0</v>
      </c>
      <c r="P1398" s="51" t="b">
        <v>0</v>
      </c>
      <c r="Q1398" s="51" t="b">
        <v>0</v>
      </c>
      <c r="R1398" s="51" t="b">
        <v>0</v>
      </c>
      <c r="S1398" s="51" t="b">
        <v>0</v>
      </c>
    </row>
    <row r="1399" hidden="1">
      <c r="A1399" s="4" t="str">
        <f>IFERROR(__xludf.DUMMYFUNCTION("""COMPUTED_VALUE"""),"1936 - Channel")</f>
        <v>1936 - Channel</v>
      </c>
      <c r="B1399" s="4"/>
      <c r="C1399" s="4"/>
      <c r="D1399" s="6"/>
      <c r="E1399" s="6"/>
      <c r="F1399" s="6"/>
      <c r="G1399" s="4"/>
      <c r="H1399" s="4"/>
      <c r="I1399" s="4"/>
      <c r="J1399" s="4"/>
      <c r="K1399" s="4"/>
      <c r="L1399" s="4"/>
      <c r="M1399" s="4"/>
      <c r="N1399" s="4" t="s">
        <v>70</v>
      </c>
      <c r="O1399" s="51" t="b">
        <v>0</v>
      </c>
      <c r="P1399" s="51" t="b">
        <v>0</v>
      </c>
      <c r="Q1399" s="51" t="b">
        <v>0</v>
      </c>
      <c r="R1399" s="51" t="b">
        <v>0</v>
      </c>
      <c r="S1399" s="51" t="b">
        <v>0</v>
      </c>
    </row>
    <row r="1400" hidden="1">
      <c r="A1400" s="4" t="str">
        <f>IFERROR(__xludf.DUMMYFUNCTION("""COMPUTED_VALUE"""),"1937 - Channel")</f>
        <v>1937 - Channel</v>
      </c>
      <c r="B1400" s="4"/>
      <c r="C1400" s="4"/>
      <c r="D1400" s="6"/>
      <c r="E1400" s="6"/>
      <c r="F1400" s="6"/>
      <c r="G1400" s="4"/>
      <c r="H1400" s="4"/>
      <c r="I1400" s="4"/>
      <c r="J1400" s="4"/>
      <c r="K1400" s="4"/>
      <c r="L1400" s="4"/>
      <c r="M1400" s="4"/>
      <c r="N1400" s="4" t="s">
        <v>70</v>
      </c>
      <c r="O1400" s="51" t="b">
        <v>0</v>
      </c>
      <c r="P1400" s="51" t="b">
        <v>0</v>
      </c>
      <c r="Q1400" s="51" t="b">
        <v>0</v>
      </c>
      <c r="R1400" s="51" t="b">
        <v>0</v>
      </c>
      <c r="S1400" s="51" t="b">
        <v>0</v>
      </c>
    </row>
    <row r="1401" hidden="1">
      <c r="A1401" s="4" t="str">
        <f>IFERROR(__xludf.DUMMYFUNCTION("""COMPUTED_VALUE"""),"1938 - Channel")</f>
        <v>1938 - Channel</v>
      </c>
      <c r="B1401" s="4"/>
      <c r="C1401" s="4"/>
      <c r="D1401" s="6"/>
      <c r="E1401" s="6"/>
      <c r="F1401" s="6"/>
      <c r="G1401" s="4"/>
      <c r="H1401" s="4"/>
      <c r="I1401" s="4"/>
      <c r="J1401" s="4"/>
      <c r="K1401" s="4"/>
      <c r="L1401" s="4"/>
      <c r="M1401" s="4"/>
      <c r="N1401" s="4" t="s">
        <v>70</v>
      </c>
      <c r="O1401" s="51" t="b">
        <v>0</v>
      </c>
      <c r="P1401" s="51" t="b">
        <v>0</v>
      </c>
      <c r="Q1401" s="51" t="b">
        <v>0</v>
      </c>
      <c r="R1401" s="51" t="b">
        <v>0</v>
      </c>
      <c r="S1401" s="51" t="b">
        <v>0</v>
      </c>
    </row>
    <row r="1402" hidden="1">
      <c r="A1402" s="4" t="str">
        <f>IFERROR(__xludf.DUMMYFUNCTION("""COMPUTED_VALUE"""),"1939 - Channel")</f>
        <v>1939 - Channel</v>
      </c>
      <c r="B1402" s="4"/>
      <c r="C1402" s="4"/>
      <c r="D1402" s="6"/>
      <c r="E1402" s="6"/>
      <c r="F1402" s="6"/>
      <c r="G1402" s="4"/>
      <c r="H1402" s="4"/>
      <c r="I1402" s="4"/>
      <c r="J1402" s="4"/>
      <c r="K1402" s="4"/>
      <c r="L1402" s="4"/>
      <c r="M1402" s="4"/>
      <c r="N1402" s="4" t="s">
        <v>70</v>
      </c>
      <c r="O1402" s="51" t="b">
        <v>0</v>
      </c>
      <c r="P1402" s="51" t="b">
        <v>0</v>
      </c>
      <c r="Q1402" s="51" t="b">
        <v>0</v>
      </c>
      <c r="R1402" s="51" t="b">
        <v>0</v>
      </c>
      <c r="S1402" s="51" t="b">
        <v>0</v>
      </c>
    </row>
    <row r="1403" hidden="1">
      <c r="A1403" s="4" t="str">
        <f>IFERROR(__xludf.DUMMYFUNCTION("""COMPUTED_VALUE"""),"1940 - Channel")</f>
        <v>1940 - Channel</v>
      </c>
      <c r="B1403" s="4"/>
      <c r="C1403" s="4"/>
      <c r="D1403" s="6"/>
      <c r="E1403" s="6"/>
      <c r="F1403" s="6"/>
      <c r="G1403" s="4"/>
      <c r="H1403" s="4"/>
      <c r="I1403" s="4"/>
      <c r="J1403" s="4"/>
      <c r="K1403" s="4"/>
      <c r="L1403" s="4"/>
      <c r="M1403" s="4"/>
      <c r="N1403" s="4" t="s">
        <v>70</v>
      </c>
      <c r="O1403" s="51" t="b">
        <v>0</v>
      </c>
      <c r="P1403" s="51" t="b">
        <v>0</v>
      </c>
      <c r="Q1403" s="51" t="b">
        <v>0</v>
      </c>
      <c r="R1403" s="51" t="b">
        <v>0</v>
      </c>
      <c r="S1403" s="51" t="b">
        <v>0</v>
      </c>
    </row>
    <row r="1404" hidden="1">
      <c r="A1404" s="4" t="str">
        <f>IFERROR(__xludf.DUMMYFUNCTION("""COMPUTED_VALUE"""),"1941 - Channel")</f>
        <v>1941 - Channel</v>
      </c>
      <c r="B1404" s="4"/>
      <c r="C1404" s="4"/>
      <c r="D1404" s="6"/>
      <c r="E1404" s="6"/>
      <c r="F1404" s="6"/>
      <c r="G1404" s="4"/>
      <c r="H1404" s="4"/>
      <c r="I1404" s="4"/>
      <c r="J1404" s="4"/>
      <c r="K1404" s="4"/>
      <c r="L1404" s="4"/>
      <c r="M1404" s="4"/>
      <c r="N1404" s="4" t="s">
        <v>70</v>
      </c>
      <c r="O1404" s="51" t="b">
        <v>0</v>
      </c>
      <c r="P1404" s="51" t="b">
        <v>0</v>
      </c>
      <c r="Q1404" s="51" t="b">
        <v>0</v>
      </c>
      <c r="R1404" s="51" t="b">
        <v>0</v>
      </c>
      <c r="S1404" s="51" t="b">
        <v>0</v>
      </c>
    </row>
    <row r="1405" hidden="1">
      <c r="A1405" s="4" t="str">
        <f>IFERROR(__xludf.DUMMYFUNCTION("""COMPUTED_VALUE"""),"1942 - Channel")</f>
        <v>1942 - Channel</v>
      </c>
      <c r="B1405" s="4"/>
      <c r="C1405" s="4"/>
      <c r="D1405" s="6"/>
      <c r="E1405" s="6"/>
      <c r="F1405" s="6"/>
      <c r="G1405" s="4"/>
      <c r="H1405" s="4"/>
      <c r="I1405" s="4"/>
      <c r="J1405" s="4"/>
      <c r="K1405" s="4"/>
      <c r="L1405" s="4"/>
      <c r="M1405" s="4"/>
      <c r="N1405" s="4" t="s">
        <v>70</v>
      </c>
      <c r="O1405" s="51" t="b">
        <v>0</v>
      </c>
      <c r="P1405" s="51" t="b">
        <v>0</v>
      </c>
      <c r="Q1405" s="51" t="b">
        <v>0</v>
      </c>
      <c r="R1405" s="51" t="b">
        <v>0</v>
      </c>
      <c r="S1405" s="51" t="b">
        <v>0</v>
      </c>
    </row>
    <row r="1406" hidden="1">
      <c r="A1406" s="4" t="str">
        <f>IFERROR(__xludf.DUMMYFUNCTION("""COMPUTED_VALUE"""),"1943 - Channel")</f>
        <v>1943 - Channel</v>
      </c>
      <c r="B1406" s="4"/>
      <c r="C1406" s="4"/>
      <c r="D1406" s="6"/>
      <c r="E1406" s="6"/>
      <c r="F1406" s="6"/>
      <c r="G1406" s="4"/>
      <c r="H1406" s="4"/>
      <c r="I1406" s="4"/>
      <c r="J1406" s="4"/>
      <c r="K1406" s="4"/>
      <c r="L1406" s="4"/>
      <c r="M1406" s="4"/>
      <c r="N1406" s="4" t="s">
        <v>70</v>
      </c>
      <c r="O1406" s="51" t="b">
        <v>0</v>
      </c>
      <c r="P1406" s="51" t="b">
        <v>0</v>
      </c>
      <c r="Q1406" s="51" t="b">
        <v>0</v>
      </c>
      <c r="R1406" s="51" t="b">
        <v>0</v>
      </c>
      <c r="S1406" s="51" t="b">
        <v>0</v>
      </c>
    </row>
    <row r="1407" hidden="1">
      <c r="A1407" s="4" t="str">
        <f>IFERROR(__xludf.DUMMYFUNCTION("""COMPUTED_VALUE"""),"1944 - Channel")</f>
        <v>1944 - Channel</v>
      </c>
      <c r="B1407" s="4"/>
      <c r="C1407" s="4"/>
      <c r="D1407" s="6"/>
      <c r="E1407" s="6"/>
      <c r="F1407" s="6"/>
      <c r="G1407" s="4"/>
      <c r="H1407" s="4"/>
      <c r="I1407" s="4"/>
      <c r="J1407" s="4"/>
      <c r="K1407" s="4"/>
      <c r="L1407" s="4"/>
      <c r="M1407" s="4"/>
      <c r="N1407" s="4" t="s">
        <v>70</v>
      </c>
      <c r="O1407" s="51" t="b">
        <v>0</v>
      </c>
      <c r="P1407" s="51" t="b">
        <v>0</v>
      </c>
      <c r="Q1407" s="51" t="b">
        <v>0</v>
      </c>
      <c r="R1407" s="51" t="b">
        <v>0</v>
      </c>
      <c r="S1407" s="51" t="b">
        <v>0</v>
      </c>
    </row>
    <row r="1408" hidden="1">
      <c r="A1408" s="4" t="str">
        <f>IFERROR(__xludf.DUMMYFUNCTION("""COMPUTED_VALUE"""),"1945 - Channel")</f>
        <v>1945 - Channel</v>
      </c>
      <c r="B1408" s="4"/>
      <c r="C1408" s="4"/>
      <c r="D1408" s="6"/>
      <c r="E1408" s="6"/>
      <c r="F1408" s="6"/>
      <c r="G1408" s="4"/>
      <c r="H1408" s="4"/>
      <c r="I1408" s="4"/>
      <c r="J1408" s="4"/>
      <c r="K1408" s="4"/>
      <c r="L1408" s="4"/>
      <c r="M1408" s="4"/>
      <c r="N1408" s="4" t="s">
        <v>70</v>
      </c>
      <c r="O1408" s="51" t="b">
        <v>0</v>
      </c>
      <c r="P1408" s="51" t="b">
        <v>0</v>
      </c>
      <c r="Q1408" s="51" t="b">
        <v>0</v>
      </c>
      <c r="R1408" s="51" t="b">
        <v>0</v>
      </c>
      <c r="S1408" s="51" t="b">
        <v>0</v>
      </c>
    </row>
    <row r="1409" hidden="1">
      <c r="A1409" s="4" t="str">
        <f>IFERROR(__xludf.DUMMYFUNCTION("""COMPUTED_VALUE"""),"1946 - Channel")</f>
        <v>1946 - Channel</v>
      </c>
      <c r="B1409" s="4"/>
      <c r="C1409" s="4"/>
      <c r="D1409" s="6"/>
      <c r="E1409" s="6"/>
      <c r="F1409" s="6"/>
      <c r="G1409" s="4"/>
      <c r="H1409" s="4"/>
      <c r="I1409" s="4"/>
      <c r="J1409" s="4"/>
      <c r="K1409" s="4"/>
      <c r="L1409" s="4"/>
      <c r="M1409" s="4"/>
      <c r="N1409" s="4" t="s">
        <v>70</v>
      </c>
      <c r="O1409" s="51" t="b">
        <v>0</v>
      </c>
      <c r="P1409" s="51" t="b">
        <v>0</v>
      </c>
      <c r="Q1409" s="51" t="b">
        <v>0</v>
      </c>
      <c r="R1409" s="51" t="b">
        <v>0</v>
      </c>
      <c r="S1409" s="51" t="b">
        <v>0</v>
      </c>
    </row>
    <row r="1410" hidden="1">
      <c r="A1410" s="4" t="str">
        <f>IFERROR(__xludf.DUMMYFUNCTION("""COMPUTED_VALUE"""),"1947 - Channel")</f>
        <v>1947 - Channel</v>
      </c>
      <c r="B1410" s="4"/>
      <c r="C1410" s="4"/>
      <c r="D1410" s="6"/>
      <c r="E1410" s="6"/>
      <c r="F1410" s="6"/>
      <c r="G1410" s="4"/>
      <c r="H1410" s="4"/>
      <c r="I1410" s="4"/>
      <c r="J1410" s="4"/>
      <c r="K1410" s="4"/>
      <c r="L1410" s="4"/>
      <c r="M1410" s="4"/>
      <c r="N1410" s="4" t="s">
        <v>70</v>
      </c>
      <c r="O1410" s="51" t="b">
        <v>0</v>
      </c>
      <c r="P1410" s="51" t="b">
        <v>0</v>
      </c>
      <c r="Q1410" s="51" t="b">
        <v>0</v>
      </c>
      <c r="R1410" s="51" t="b">
        <v>0</v>
      </c>
      <c r="S1410" s="51" t="b">
        <v>0</v>
      </c>
    </row>
    <row r="1411" hidden="1">
      <c r="A1411" s="4" t="str">
        <f>IFERROR(__xludf.DUMMYFUNCTION("""COMPUTED_VALUE"""),"1948 - Channel")</f>
        <v>1948 - Channel</v>
      </c>
      <c r="B1411" s="4"/>
      <c r="C1411" s="4"/>
      <c r="D1411" s="6"/>
      <c r="E1411" s="6"/>
      <c r="F1411" s="6"/>
      <c r="G1411" s="4"/>
      <c r="H1411" s="4"/>
      <c r="I1411" s="4"/>
      <c r="J1411" s="4"/>
      <c r="K1411" s="4"/>
      <c r="L1411" s="4"/>
      <c r="M1411" s="4"/>
      <c r="N1411" s="4" t="s">
        <v>70</v>
      </c>
      <c r="O1411" s="51" t="b">
        <v>0</v>
      </c>
      <c r="P1411" s="51" t="b">
        <v>0</v>
      </c>
      <c r="Q1411" s="51" t="b">
        <v>0</v>
      </c>
      <c r="R1411" s="51" t="b">
        <v>0</v>
      </c>
      <c r="S1411" s="51" t="b">
        <v>0</v>
      </c>
    </row>
    <row r="1412" hidden="1">
      <c r="A1412" s="4" t="str">
        <f>IFERROR(__xludf.DUMMYFUNCTION("""COMPUTED_VALUE"""),"1949 - Channel")</f>
        <v>1949 - Channel</v>
      </c>
      <c r="B1412" s="4"/>
      <c r="C1412" s="4"/>
      <c r="D1412" s="6"/>
      <c r="E1412" s="6"/>
      <c r="F1412" s="6"/>
      <c r="G1412" s="4"/>
      <c r="H1412" s="4"/>
      <c r="I1412" s="4"/>
      <c r="J1412" s="4"/>
      <c r="K1412" s="4"/>
      <c r="L1412" s="4"/>
      <c r="M1412" s="4"/>
      <c r="N1412" s="4" t="s">
        <v>70</v>
      </c>
      <c r="O1412" s="51" t="b">
        <v>0</v>
      </c>
      <c r="P1412" s="51" t="b">
        <v>0</v>
      </c>
      <c r="Q1412" s="51" t="b">
        <v>0</v>
      </c>
      <c r="R1412" s="51" t="b">
        <v>0</v>
      </c>
      <c r="S1412" s="51" t="b">
        <v>0</v>
      </c>
    </row>
    <row r="1413" hidden="1">
      <c r="A1413" s="4" t="str">
        <f>IFERROR(__xludf.DUMMYFUNCTION("""COMPUTED_VALUE"""),"1950 - Channel")</f>
        <v>1950 - Channel</v>
      </c>
      <c r="B1413" s="4"/>
      <c r="C1413" s="4"/>
      <c r="D1413" s="6"/>
      <c r="E1413" s="6"/>
      <c r="F1413" s="6"/>
      <c r="G1413" s="4"/>
      <c r="H1413" s="4"/>
      <c r="I1413" s="4"/>
      <c r="J1413" s="4"/>
      <c r="K1413" s="4"/>
      <c r="L1413" s="4"/>
      <c r="M1413" s="4"/>
      <c r="N1413" s="4" t="s">
        <v>70</v>
      </c>
      <c r="O1413" s="51" t="b">
        <v>0</v>
      </c>
      <c r="P1413" s="51" t="b">
        <v>0</v>
      </c>
      <c r="Q1413" s="51" t="b">
        <v>0</v>
      </c>
      <c r="R1413" s="51" t="b">
        <v>0</v>
      </c>
      <c r="S1413" s="51" t="b">
        <v>0</v>
      </c>
    </row>
    <row r="1414" hidden="1">
      <c r="A1414" s="4" t="str">
        <f>IFERROR(__xludf.DUMMYFUNCTION("""COMPUTED_VALUE"""),"1951 - Channel")</f>
        <v>1951 - Channel</v>
      </c>
      <c r="B1414" s="4"/>
      <c r="C1414" s="4"/>
      <c r="D1414" s="6"/>
      <c r="E1414" s="6"/>
      <c r="F1414" s="6"/>
      <c r="G1414" s="4"/>
      <c r="H1414" s="4"/>
      <c r="I1414" s="4"/>
      <c r="J1414" s="4"/>
      <c r="K1414" s="4"/>
      <c r="L1414" s="4"/>
      <c r="M1414" s="4"/>
      <c r="N1414" s="4" t="s">
        <v>70</v>
      </c>
      <c r="O1414" s="51" t="b">
        <v>0</v>
      </c>
      <c r="P1414" s="51" t="b">
        <v>0</v>
      </c>
      <c r="Q1414" s="51" t="b">
        <v>0</v>
      </c>
      <c r="R1414" s="51" t="b">
        <v>0</v>
      </c>
      <c r="S1414" s="51" t="b">
        <v>0</v>
      </c>
    </row>
    <row r="1415" hidden="1">
      <c r="A1415" s="4" t="str">
        <f>IFERROR(__xludf.DUMMYFUNCTION("""COMPUTED_VALUE"""),"1953 - Channel")</f>
        <v>1953 - Channel</v>
      </c>
      <c r="B1415" s="4"/>
      <c r="C1415" s="4"/>
      <c r="D1415" s="6"/>
      <c r="E1415" s="6"/>
      <c r="F1415" s="6"/>
      <c r="G1415" s="4"/>
      <c r="H1415" s="4"/>
      <c r="I1415" s="4"/>
      <c r="J1415" s="4"/>
      <c r="K1415" s="4"/>
      <c r="L1415" s="4"/>
      <c r="M1415" s="4"/>
      <c r="N1415" s="4" t="s">
        <v>70</v>
      </c>
      <c r="O1415" s="51" t="b">
        <v>0</v>
      </c>
      <c r="P1415" s="51" t="b">
        <v>0</v>
      </c>
      <c r="Q1415" s="51" t="b">
        <v>0</v>
      </c>
      <c r="R1415" s="51" t="b">
        <v>0</v>
      </c>
      <c r="S1415" s="51" t="b">
        <v>0</v>
      </c>
    </row>
    <row r="1416" hidden="1">
      <c r="A1416" s="4" t="str">
        <f>IFERROR(__xludf.DUMMYFUNCTION("""COMPUTED_VALUE"""),"1970 - Channel")</f>
        <v>1970 - Channel</v>
      </c>
      <c r="B1416" s="4"/>
      <c r="C1416" s="4"/>
      <c r="D1416" s="6"/>
      <c r="E1416" s="6"/>
      <c r="F1416" s="6"/>
      <c r="G1416" s="4"/>
      <c r="H1416" s="4"/>
      <c r="I1416" s="4"/>
      <c r="J1416" s="4"/>
      <c r="K1416" s="4"/>
      <c r="L1416" s="4"/>
      <c r="M1416" s="4"/>
      <c r="N1416" s="4" t="s">
        <v>70</v>
      </c>
      <c r="O1416" s="51" t="b">
        <v>0</v>
      </c>
      <c r="P1416" s="51" t="b">
        <v>0</v>
      </c>
      <c r="Q1416" s="51" t="b">
        <v>0</v>
      </c>
      <c r="R1416" s="51" t="b">
        <v>0</v>
      </c>
      <c r="S1416" s="51" t="b">
        <v>0</v>
      </c>
    </row>
    <row r="1417" hidden="1">
      <c r="A1417" s="4" t="str">
        <f>IFERROR(__xludf.DUMMYFUNCTION("""COMPUTED_VALUE"""),"1971 - Channel")</f>
        <v>1971 - Channel</v>
      </c>
      <c r="B1417" s="4"/>
      <c r="C1417" s="4"/>
      <c r="D1417" s="6"/>
      <c r="E1417" s="6"/>
      <c r="F1417" s="6"/>
      <c r="G1417" s="4"/>
      <c r="H1417" s="4"/>
      <c r="I1417" s="4"/>
      <c r="J1417" s="4"/>
      <c r="K1417" s="4"/>
      <c r="L1417" s="4"/>
      <c r="M1417" s="4"/>
      <c r="N1417" s="4" t="s">
        <v>70</v>
      </c>
      <c r="O1417" s="51" t="b">
        <v>0</v>
      </c>
      <c r="P1417" s="51" t="b">
        <v>0</v>
      </c>
      <c r="Q1417" s="51" t="b">
        <v>0</v>
      </c>
      <c r="R1417" s="51" t="b">
        <v>0</v>
      </c>
      <c r="S1417" s="51" t="b">
        <v>0</v>
      </c>
    </row>
    <row r="1418" hidden="1">
      <c r="A1418" s="4" t="str">
        <f>IFERROR(__xludf.DUMMYFUNCTION("""COMPUTED_VALUE"""),"1972 - Channel")</f>
        <v>1972 - Channel</v>
      </c>
      <c r="B1418" s="4"/>
      <c r="C1418" s="4"/>
      <c r="D1418" s="6"/>
      <c r="E1418" s="6"/>
      <c r="F1418" s="6"/>
      <c r="G1418" s="4"/>
      <c r="H1418" s="4"/>
      <c r="I1418" s="4"/>
      <c r="J1418" s="4"/>
      <c r="K1418" s="4"/>
      <c r="L1418" s="4"/>
      <c r="M1418" s="4"/>
      <c r="N1418" s="4" t="s">
        <v>70</v>
      </c>
      <c r="O1418" s="51" t="b">
        <v>0</v>
      </c>
      <c r="P1418" s="51" t="b">
        <v>0</v>
      </c>
      <c r="Q1418" s="51" t="b">
        <v>0</v>
      </c>
      <c r="R1418" s="51" t="b">
        <v>0</v>
      </c>
      <c r="S1418" s="51" t="b">
        <v>0</v>
      </c>
    </row>
    <row r="1419" hidden="1">
      <c r="A1419" s="4" t="str">
        <f>IFERROR(__xludf.DUMMYFUNCTION("""COMPUTED_VALUE"""),"1973 - Channel")</f>
        <v>1973 - Channel</v>
      </c>
      <c r="B1419" s="4"/>
      <c r="C1419" s="4"/>
      <c r="D1419" s="6"/>
      <c r="E1419" s="6"/>
      <c r="F1419" s="6"/>
      <c r="G1419" s="4"/>
      <c r="H1419" s="4"/>
      <c r="I1419" s="4"/>
      <c r="J1419" s="4"/>
      <c r="K1419" s="4"/>
      <c r="L1419" s="4"/>
      <c r="M1419" s="4"/>
      <c r="N1419" s="4" t="s">
        <v>70</v>
      </c>
      <c r="O1419" s="51" t="b">
        <v>0</v>
      </c>
      <c r="P1419" s="51" t="b">
        <v>0</v>
      </c>
      <c r="Q1419" s="51" t="b">
        <v>0</v>
      </c>
      <c r="R1419" s="51" t="b">
        <v>0</v>
      </c>
      <c r="S1419" s="51" t="b">
        <v>0</v>
      </c>
    </row>
    <row r="1420" hidden="1">
      <c r="A1420" s="4" t="str">
        <f>IFERROR(__xludf.DUMMYFUNCTION("""COMPUTED_VALUE"""),"1974 - Channel")</f>
        <v>1974 - Channel</v>
      </c>
      <c r="B1420" s="4"/>
      <c r="C1420" s="4"/>
      <c r="D1420" s="6"/>
      <c r="E1420" s="6"/>
      <c r="F1420" s="6"/>
      <c r="G1420" s="4"/>
      <c r="H1420" s="4"/>
      <c r="I1420" s="4"/>
      <c r="J1420" s="4"/>
      <c r="K1420" s="4"/>
      <c r="L1420" s="4"/>
      <c r="M1420" s="4"/>
      <c r="N1420" s="4" t="s">
        <v>70</v>
      </c>
      <c r="O1420" s="51" t="b">
        <v>0</v>
      </c>
      <c r="P1420" s="51" t="b">
        <v>0</v>
      </c>
      <c r="Q1420" s="51" t="b">
        <v>0</v>
      </c>
      <c r="R1420" s="51" t="b">
        <v>0</v>
      </c>
      <c r="S1420" s="51" t="b">
        <v>0</v>
      </c>
    </row>
    <row r="1421" hidden="1">
      <c r="A1421" s="4" t="str">
        <f>IFERROR(__xludf.DUMMYFUNCTION("""COMPUTED_VALUE"""),"1975 - Channel")</f>
        <v>1975 - Channel</v>
      </c>
      <c r="B1421" s="4"/>
      <c r="C1421" s="4"/>
      <c r="D1421" s="6"/>
      <c r="E1421" s="6"/>
      <c r="F1421" s="6"/>
      <c r="G1421" s="4"/>
      <c r="H1421" s="4"/>
      <c r="I1421" s="4"/>
      <c r="J1421" s="4"/>
      <c r="K1421" s="4"/>
      <c r="L1421" s="4"/>
      <c r="M1421" s="4"/>
      <c r="N1421" s="4" t="s">
        <v>70</v>
      </c>
      <c r="O1421" s="51" t="b">
        <v>0</v>
      </c>
      <c r="P1421" s="51" t="b">
        <v>0</v>
      </c>
      <c r="Q1421" s="51" t="b">
        <v>0</v>
      </c>
      <c r="R1421" s="51" t="b">
        <v>0</v>
      </c>
      <c r="S1421" s="51" t="b">
        <v>0</v>
      </c>
    </row>
    <row r="1422" hidden="1">
      <c r="A1422" s="4" t="str">
        <f>IFERROR(__xludf.DUMMYFUNCTION("""COMPUTED_VALUE"""),"1976 - Channel")</f>
        <v>1976 - Channel</v>
      </c>
      <c r="B1422" s="4"/>
      <c r="C1422" s="4"/>
      <c r="D1422" s="6"/>
      <c r="E1422" s="6"/>
      <c r="F1422" s="6"/>
      <c r="G1422" s="4"/>
      <c r="H1422" s="4"/>
      <c r="I1422" s="4"/>
      <c r="J1422" s="4"/>
      <c r="K1422" s="4"/>
      <c r="L1422" s="4"/>
      <c r="M1422" s="4"/>
      <c r="N1422" s="4" t="s">
        <v>70</v>
      </c>
      <c r="O1422" s="51" t="b">
        <v>0</v>
      </c>
      <c r="P1422" s="51" t="b">
        <v>0</v>
      </c>
      <c r="Q1422" s="51" t="b">
        <v>0</v>
      </c>
      <c r="R1422" s="51" t="b">
        <v>0</v>
      </c>
      <c r="S1422" s="51" t="b">
        <v>0</v>
      </c>
    </row>
    <row r="1423" hidden="1">
      <c r="A1423" s="4" t="str">
        <f>IFERROR(__xludf.DUMMYFUNCTION("""COMPUTED_VALUE"""),"1977 - Channel")</f>
        <v>1977 - Channel</v>
      </c>
      <c r="B1423" s="4"/>
      <c r="C1423" s="4"/>
      <c r="D1423" s="6"/>
      <c r="E1423" s="6"/>
      <c r="F1423" s="6"/>
      <c r="G1423" s="4"/>
      <c r="H1423" s="4"/>
      <c r="I1423" s="4"/>
      <c r="J1423" s="4"/>
      <c r="K1423" s="4"/>
      <c r="L1423" s="4"/>
      <c r="M1423" s="4"/>
      <c r="N1423" s="4" t="s">
        <v>70</v>
      </c>
      <c r="O1423" s="51" t="b">
        <v>0</v>
      </c>
      <c r="P1423" s="51" t="b">
        <v>0</v>
      </c>
      <c r="Q1423" s="51" t="b">
        <v>0</v>
      </c>
      <c r="R1423" s="51" t="b">
        <v>0</v>
      </c>
      <c r="S1423" s="51" t="b">
        <v>0</v>
      </c>
    </row>
    <row r="1424" hidden="1">
      <c r="A1424" s="4" t="str">
        <f>IFERROR(__xludf.DUMMYFUNCTION("""COMPUTED_VALUE"""),"1978 - Channel")</f>
        <v>1978 - Channel</v>
      </c>
      <c r="B1424" s="4"/>
      <c r="C1424" s="4"/>
      <c r="D1424" s="6"/>
      <c r="E1424" s="6"/>
      <c r="F1424" s="6"/>
      <c r="G1424" s="4"/>
      <c r="H1424" s="4"/>
      <c r="I1424" s="4"/>
      <c r="J1424" s="4"/>
      <c r="K1424" s="4"/>
      <c r="L1424" s="4"/>
      <c r="M1424" s="4"/>
      <c r="N1424" s="4" t="s">
        <v>70</v>
      </c>
      <c r="O1424" s="51" t="b">
        <v>0</v>
      </c>
      <c r="P1424" s="51" t="b">
        <v>0</v>
      </c>
      <c r="Q1424" s="51" t="b">
        <v>0</v>
      </c>
      <c r="R1424" s="51" t="b">
        <v>0</v>
      </c>
      <c r="S1424" s="51" t="b">
        <v>0</v>
      </c>
    </row>
    <row r="1425" hidden="1">
      <c r="A1425" s="4" t="str">
        <f>IFERROR(__xludf.DUMMYFUNCTION("""COMPUTED_VALUE"""),"1979 - Channel")</f>
        <v>1979 - Channel</v>
      </c>
      <c r="B1425" s="4"/>
      <c r="C1425" s="4"/>
      <c r="D1425" s="6"/>
      <c r="E1425" s="6"/>
      <c r="F1425" s="6"/>
      <c r="G1425" s="4"/>
      <c r="H1425" s="4"/>
      <c r="I1425" s="4"/>
      <c r="J1425" s="4"/>
      <c r="K1425" s="4"/>
      <c r="L1425" s="4"/>
      <c r="M1425" s="4"/>
      <c r="N1425" s="4" t="s">
        <v>70</v>
      </c>
      <c r="O1425" s="51" t="b">
        <v>0</v>
      </c>
      <c r="P1425" s="51" t="b">
        <v>0</v>
      </c>
      <c r="Q1425" s="51" t="b">
        <v>0</v>
      </c>
      <c r="R1425" s="51" t="b">
        <v>0</v>
      </c>
      <c r="S1425" s="51" t="b">
        <v>0</v>
      </c>
    </row>
    <row r="1426" hidden="1">
      <c r="A1426" s="4" t="str">
        <f>IFERROR(__xludf.DUMMYFUNCTION("""COMPUTED_VALUE"""),"1980 - Channel")</f>
        <v>1980 - Channel</v>
      </c>
      <c r="B1426" s="4"/>
      <c r="C1426" s="4"/>
      <c r="D1426" s="6"/>
      <c r="E1426" s="6"/>
      <c r="F1426" s="6"/>
      <c r="G1426" s="4"/>
      <c r="H1426" s="4"/>
      <c r="I1426" s="4"/>
      <c r="J1426" s="4"/>
      <c r="K1426" s="4"/>
      <c r="L1426" s="4"/>
      <c r="M1426" s="4"/>
      <c r="N1426" s="4" t="s">
        <v>70</v>
      </c>
      <c r="O1426" s="51" t="b">
        <v>0</v>
      </c>
      <c r="P1426" s="51" t="b">
        <v>0</v>
      </c>
      <c r="Q1426" s="51" t="b">
        <v>0</v>
      </c>
      <c r="R1426" s="51" t="b">
        <v>0</v>
      </c>
      <c r="S1426" s="51" t="b">
        <v>0</v>
      </c>
    </row>
    <row r="1427" hidden="1">
      <c r="A1427" s="4" t="str">
        <f>IFERROR(__xludf.DUMMYFUNCTION("""COMPUTED_VALUE"""),"1981 - Channel")</f>
        <v>1981 - Channel</v>
      </c>
      <c r="B1427" s="4"/>
      <c r="C1427" s="4"/>
      <c r="D1427" s="6"/>
      <c r="E1427" s="6"/>
      <c r="F1427" s="6"/>
      <c r="G1427" s="4"/>
      <c r="H1427" s="4"/>
      <c r="I1427" s="4"/>
      <c r="J1427" s="4"/>
      <c r="K1427" s="4"/>
      <c r="L1427" s="4"/>
      <c r="M1427" s="4"/>
      <c r="N1427" s="4" t="s">
        <v>70</v>
      </c>
      <c r="O1427" s="51" t="b">
        <v>0</v>
      </c>
      <c r="P1427" s="51" t="b">
        <v>0</v>
      </c>
      <c r="Q1427" s="51" t="b">
        <v>0</v>
      </c>
      <c r="R1427" s="51" t="b">
        <v>0</v>
      </c>
      <c r="S1427" s="51" t="b">
        <v>0</v>
      </c>
    </row>
    <row r="1428" hidden="1">
      <c r="A1428" s="4" t="str">
        <f>IFERROR(__xludf.DUMMYFUNCTION("""COMPUTED_VALUE"""),"1982 - Channel")</f>
        <v>1982 - Channel</v>
      </c>
      <c r="B1428" s="4"/>
      <c r="C1428" s="4"/>
      <c r="D1428" s="6"/>
      <c r="E1428" s="6"/>
      <c r="F1428" s="6"/>
      <c r="G1428" s="4"/>
      <c r="H1428" s="4"/>
      <c r="I1428" s="4"/>
      <c r="J1428" s="4"/>
      <c r="K1428" s="4"/>
      <c r="L1428" s="4"/>
      <c r="M1428" s="4"/>
      <c r="N1428" s="4" t="s">
        <v>70</v>
      </c>
      <c r="O1428" s="51" t="b">
        <v>0</v>
      </c>
      <c r="P1428" s="51" t="b">
        <v>0</v>
      </c>
      <c r="Q1428" s="51" t="b">
        <v>0</v>
      </c>
      <c r="R1428" s="51" t="b">
        <v>0</v>
      </c>
      <c r="S1428" s="51" t="b">
        <v>0</v>
      </c>
    </row>
    <row r="1429" hidden="1">
      <c r="A1429" s="4" t="str">
        <f>IFERROR(__xludf.DUMMYFUNCTION("""COMPUTED_VALUE"""),"1983 - Channel")</f>
        <v>1983 - Channel</v>
      </c>
      <c r="B1429" s="4"/>
      <c r="C1429" s="4"/>
      <c r="D1429" s="6"/>
      <c r="E1429" s="6"/>
      <c r="F1429" s="6"/>
      <c r="G1429" s="4"/>
      <c r="H1429" s="4"/>
      <c r="I1429" s="4"/>
      <c r="J1429" s="4"/>
      <c r="K1429" s="4"/>
      <c r="L1429" s="4"/>
      <c r="M1429" s="4"/>
      <c r="N1429" s="4" t="s">
        <v>70</v>
      </c>
      <c r="O1429" s="51" t="b">
        <v>0</v>
      </c>
      <c r="P1429" s="51" t="b">
        <v>0</v>
      </c>
      <c r="Q1429" s="51" t="b">
        <v>0</v>
      </c>
      <c r="R1429" s="51" t="b">
        <v>0</v>
      </c>
      <c r="S1429" s="51" t="b">
        <v>0</v>
      </c>
    </row>
    <row r="1430" hidden="1">
      <c r="A1430" s="4" t="str">
        <f>IFERROR(__xludf.DUMMYFUNCTION("""COMPUTED_VALUE"""),"1984 - Channel")</f>
        <v>1984 - Channel</v>
      </c>
      <c r="B1430" s="4"/>
      <c r="C1430" s="4"/>
      <c r="D1430" s="6"/>
      <c r="E1430" s="6"/>
      <c r="F1430" s="6"/>
      <c r="G1430" s="4"/>
      <c r="H1430" s="4"/>
      <c r="I1430" s="4"/>
      <c r="J1430" s="4"/>
      <c r="K1430" s="4"/>
      <c r="L1430" s="4"/>
      <c r="M1430" s="4"/>
      <c r="N1430" s="4" t="s">
        <v>70</v>
      </c>
      <c r="O1430" s="51" t="b">
        <v>0</v>
      </c>
      <c r="P1430" s="51" t="b">
        <v>0</v>
      </c>
      <c r="Q1430" s="51" t="b">
        <v>0</v>
      </c>
      <c r="R1430" s="51" t="b">
        <v>0</v>
      </c>
      <c r="S1430" s="51" t="b">
        <v>0</v>
      </c>
    </row>
    <row r="1431" hidden="1">
      <c r="A1431" s="4" t="str">
        <f>IFERROR(__xludf.DUMMYFUNCTION("""COMPUTED_VALUE"""),"1985 - Channel")</f>
        <v>1985 - Channel</v>
      </c>
      <c r="B1431" s="4"/>
      <c r="C1431" s="4"/>
      <c r="D1431" s="6"/>
      <c r="E1431" s="6"/>
      <c r="F1431" s="6"/>
      <c r="G1431" s="4"/>
      <c r="H1431" s="4"/>
      <c r="I1431" s="4"/>
      <c r="J1431" s="4"/>
      <c r="K1431" s="4"/>
      <c r="L1431" s="4"/>
      <c r="M1431" s="4"/>
      <c r="N1431" s="4" t="s">
        <v>70</v>
      </c>
      <c r="O1431" s="51" t="b">
        <v>0</v>
      </c>
      <c r="P1431" s="51" t="b">
        <v>0</v>
      </c>
      <c r="Q1431" s="51" t="b">
        <v>0</v>
      </c>
      <c r="R1431" s="51" t="b">
        <v>0</v>
      </c>
      <c r="S1431" s="51" t="b">
        <v>0</v>
      </c>
    </row>
    <row r="1432" hidden="1">
      <c r="A1432" s="4" t="str">
        <f>IFERROR(__xludf.DUMMYFUNCTION("""COMPUTED_VALUE"""),"1986 - Channel")</f>
        <v>1986 - Channel</v>
      </c>
      <c r="B1432" s="4"/>
      <c r="C1432" s="4"/>
      <c r="D1432" s="6"/>
      <c r="E1432" s="6"/>
      <c r="F1432" s="6"/>
      <c r="G1432" s="4"/>
      <c r="H1432" s="4"/>
      <c r="I1432" s="4"/>
      <c r="J1432" s="4"/>
      <c r="K1432" s="4"/>
      <c r="L1432" s="4"/>
      <c r="M1432" s="4"/>
      <c r="N1432" s="4" t="s">
        <v>70</v>
      </c>
      <c r="O1432" s="51" t="b">
        <v>0</v>
      </c>
      <c r="P1432" s="51" t="b">
        <v>0</v>
      </c>
      <c r="Q1432" s="51" t="b">
        <v>0</v>
      </c>
      <c r="R1432" s="51" t="b">
        <v>0</v>
      </c>
      <c r="S1432" s="51" t="b">
        <v>0</v>
      </c>
    </row>
    <row r="1433" hidden="1">
      <c r="A1433" s="4" t="str">
        <f>IFERROR(__xludf.DUMMYFUNCTION("""COMPUTED_VALUE"""),"1987 - Channel")</f>
        <v>1987 - Channel</v>
      </c>
      <c r="B1433" s="4"/>
      <c r="C1433" s="4"/>
      <c r="D1433" s="6"/>
      <c r="E1433" s="6"/>
      <c r="F1433" s="6"/>
      <c r="G1433" s="4"/>
      <c r="H1433" s="4"/>
      <c r="I1433" s="4"/>
      <c r="J1433" s="4"/>
      <c r="K1433" s="4"/>
      <c r="L1433" s="4"/>
      <c r="M1433" s="4"/>
      <c r="N1433" s="4" t="s">
        <v>70</v>
      </c>
      <c r="O1433" s="51" t="b">
        <v>0</v>
      </c>
      <c r="P1433" s="51" t="b">
        <v>0</v>
      </c>
      <c r="Q1433" s="51" t="b">
        <v>0</v>
      </c>
      <c r="R1433" s="51" t="b">
        <v>0</v>
      </c>
      <c r="S1433" s="51" t="b">
        <v>0</v>
      </c>
    </row>
    <row r="1434" hidden="1">
      <c r="A1434" s="4" t="str">
        <f>IFERROR(__xludf.DUMMYFUNCTION("""COMPUTED_VALUE"""),"1988 - Channel")</f>
        <v>1988 - Channel</v>
      </c>
      <c r="B1434" s="4"/>
      <c r="C1434" s="4"/>
      <c r="D1434" s="6"/>
      <c r="E1434" s="6"/>
      <c r="F1434" s="6"/>
      <c r="G1434" s="4"/>
      <c r="H1434" s="4"/>
      <c r="I1434" s="4"/>
      <c r="J1434" s="4"/>
      <c r="K1434" s="4"/>
      <c r="L1434" s="4"/>
      <c r="M1434" s="4"/>
      <c r="N1434" s="4" t="s">
        <v>70</v>
      </c>
      <c r="O1434" s="51" t="b">
        <v>0</v>
      </c>
      <c r="P1434" s="51" t="b">
        <v>0</v>
      </c>
      <c r="Q1434" s="51" t="b">
        <v>0</v>
      </c>
      <c r="R1434" s="51" t="b">
        <v>0</v>
      </c>
      <c r="S1434" s="51" t="b">
        <v>0</v>
      </c>
    </row>
    <row r="1435" hidden="1">
      <c r="A1435" s="4" t="str">
        <f>IFERROR(__xludf.DUMMYFUNCTION("""COMPUTED_VALUE"""),"1989 - Channel")</f>
        <v>1989 - Channel</v>
      </c>
      <c r="B1435" s="4"/>
      <c r="C1435" s="4"/>
      <c r="D1435" s="6"/>
      <c r="E1435" s="6"/>
      <c r="F1435" s="6"/>
      <c r="G1435" s="4"/>
      <c r="H1435" s="4"/>
      <c r="I1435" s="4"/>
      <c r="J1435" s="4"/>
      <c r="K1435" s="4"/>
      <c r="L1435" s="4"/>
      <c r="M1435" s="4"/>
      <c r="N1435" s="4" t="s">
        <v>70</v>
      </c>
      <c r="O1435" s="51" t="b">
        <v>0</v>
      </c>
      <c r="P1435" s="51" t="b">
        <v>0</v>
      </c>
      <c r="Q1435" s="51" t="b">
        <v>0</v>
      </c>
      <c r="R1435" s="51" t="b">
        <v>0</v>
      </c>
      <c r="S1435" s="51" t="b">
        <v>0</v>
      </c>
    </row>
    <row r="1436" hidden="1">
      <c r="A1436" s="4" t="str">
        <f>IFERROR(__xludf.DUMMYFUNCTION("""COMPUTED_VALUE"""),"1990 - Channel")</f>
        <v>1990 - Channel</v>
      </c>
      <c r="B1436" s="4"/>
      <c r="C1436" s="4"/>
      <c r="D1436" s="6"/>
      <c r="E1436" s="6"/>
      <c r="F1436" s="6"/>
      <c r="G1436" s="4"/>
      <c r="H1436" s="4"/>
      <c r="I1436" s="4"/>
      <c r="J1436" s="4"/>
      <c r="K1436" s="4"/>
      <c r="L1436" s="4"/>
      <c r="M1436" s="4"/>
      <c r="N1436" s="4" t="s">
        <v>70</v>
      </c>
      <c r="O1436" s="51" t="b">
        <v>0</v>
      </c>
      <c r="P1436" s="51" t="b">
        <v>0</v>
      </c>
      <c r="Q1436" s="51" t="b">
        <v>0</v>
      </c>
      <c r="R1436" s="51" t="b">
        <v>0</v>
      </c>
      <c r="S1436" s="51" t="b">
        <v>0</v>
      </c>
    </row>
    <row r="1437" hidden="1">
      <c r="A1437" s="4" t="str">
        <f>IFERROR(__xludf.DUMMYFUNCTION("""COMPUTED_VALUE"""),"1991 - Channel")</f>
        <v>1991 - Channel</v>
      </c>
      <c r="B1437" s="4"/>
      <c r="C1437" s="4"/>
      <c r="D1437" s="6"/>
      <c r="E1437" s="6"/>
      <c r="F1437" s="6"/>
      <c r="G1437" s="4"/>
      <c r="H1437" s="4"/>
      <c r="I1437" s="4"/>
      <c r="J1437" s="4"/>
      <c r="K1437" s="4"/>
      <c r="L1437" s="4"/>
      <c r="M1437" s="4"/>
      <c r="N1437" s="4" t="s">
        <v>70</v>
      </c>
      <c r="O1437" s="51" t="b">
        <v>0</v>
      </c>
      <c r="P1437" s="51" t="b">
        <v>0</v>
      </c>
      <c r="Q1437" s="51" t="b">
        <v>0</v>
      </c>
      <c r="R1437" s="51" t="b">
        <v>0</v>
      </c>
      <c r="S1437" s="51" t="b">
        <v>0</v>
      </c>
    </row>
    <row r="1438" hidden="1">
      <c r="A1438" s="4" t="str">
        <f>IFERROR(__xludf.DUMMYFUNCTION("""COMPUTED_VALUE"""),"1992 - Channel")</f>
        <v>1992 - Channel</v>
      </c>
      <c r="B1438" s="4"/>
      <c r="C1438" s="4"/>
      <c r="D1438" s="6"/>
      <c r="E1438" s="6"/>
      <c r="F1438" s="6"/>
      <c r="G1438" s="4"/>
      <c r="H1438" s="4"/>
      <c r="I1438" s="4"/>
      <c r="J1438" s="4"/>
      <c r="K1438" s="4"/>
      <c r="L1438" s="4"/>
      <c r="M1438" s="4"/>
      <c r="N1438" s="4" t="s">
        <v>70</v>
      </c>
      <c r="O1438" s="51" t="b">
        <v>0</v>
      </c>
      <c r="P1438" s="51" t="b">
        <v>0</v>
      </c>
      <c r="Q1438" s="51" t="b">
        <v>0</v>
      </c>
      <c r="R1438" s="51" t="b">
        <v>0</v>
      </c>
      <c r="S1438" s="51" t="b">
        <v>0</v>
      </c>
    </row>
    <row r="1439" hidden="1">
      <c r="A1439" s="4" t="str">
        <f>IFERROR(__xludf.DUMMYFUNCTION("""COMPUTED_VALUE"""),"1993 - Channel")</f>
        <v>1993 - Channel</v>
      </c>
      <c r="B1439" s="4"/>
      <c r="C1439" s="4"/>
      <c r="D1439" s="6"/>
      <c r="E1439" s="6"/>
      <c r="F1439" s="6"/>
      <c r="G1439" s="4"/>
      <c r="H1439" s="4"/>
      <c r="I1439" s="4"/>
      <c r="J1439" s="4"/>
      <c r="K1439" s="4"/>
      <c r="L1439" s="4"/>
      <c r="M1439" s="4"/>
      <c r="N1439" s="4" t="s">
        <v>70</v>
      </c>
      <c r="O1439" s="51" t="b">
        <v>0</v>
      </c>
      <c r="P1439" s="51" t="b">
        <v>0</v>
      </c>
      <c r="Q1439" s="51" t="b">
        <v>0</v>
      </c>
      <c r="R1439" s="51" t="b">
        <v>0</v>
      </c>
      <c r="S1439" s="51" t="b">
        <v>0</v>
      </c>
    </row>
    <row r="1440" hidden="1">
      <c r="A1440" s="4" t="str">
        <f>IFERROR(__xludf.DUMMYFUNCTION("""COMPUTED_VALUE"""),"1994 - Channel")</f>
        <v>1994 - Channel</v>
      </c>
      <c r="B1440" s="4"/>
      <c r="C1440" s="4"/>
      <c r="D1440" s="6"/>
      <c r="E1440" s="6"/>
      <c r="F1440" s="6"/>
      <c r="G1440" s="4"/>
      <c r="H1440" s="4"/>
      <c r="I1440" s="4"/>
      <c r="J1440" s="4"/>
      <c r="K1440" s="4"/>
      <c r="L1440" s="4"/>
      <c r="M1440" s="4"/>
      <c r="N1440" s="4" t="s">
        <v>70</v>
      </c>
      <c r="O1440" s="51" t="b">
        <v>0</v>
      </c>
      <c r="P1440" s="51" t="b">
        <v>0</v>
      </c>
      <c r="Q1440" s="51" t="b">
        <v>0</v>
      </c>
      <c r="R1440" s="51" t="b">
        <v>0</v>
      </c>
      <c r="S1440" s="51" t="b">
        <v>0</v>
      </c>
    </row>
    <row r="1441" hidden="1">
      <c r="A1441" s="4" t="str">
        <f>IFERROR(__xludf.DUMMYFUNCTION("""COMPUTED_VALUE"""),"1995 - Channel")</f>
        <v>1995 - Channel</v>
      </c>
      <c r="B1441" s="4"/>
      <c r="C1441" s="4"/>
      <c r="D1441" s="6"/>
      <c r="E1441" s="6"/>
      <c r="F1441" s="6"/>
      <c r="G1441" s="4"/>
      <c r="H1441" s="4"/>
      <c r="I1441" s="4"/>
      <c r="J1441" s="4"/>
      <c r="K1441" s="4"/>
      <c r="L1441" s="4"/>
      <c r="M1441" s="4"/>
      <c r="N1441" s="4" t="s">
        <v>70</v>
      </c>
      <c r="O1441" s="51" t="b">
        <v>0</v>
      </c>
      <c r="P1441" s="51" t="b">
        <v>0</v>
      </c>
      <c r="Q1441" s="51" t="b">
        <v>0</v>
      </c>
      <c r="R1441" s="51" t="b">
        <v>0</v>
      </c>
      <c r="S1441" s="51" t="b">
        <v>0</v>
      </c>
    </row>
    <row r="1442" hidden="1">
      <c r="A1442" s="4" t="str">
        <f>IFERROR(__xludf.DUMMYFUNCTION("""COMPUTED_VALUE"""),"1996 - Channel")</f>
        <v>1996 - Channel</v>
      </c>
      <c r="B1442" s="4"/>
      <c r="C1442" s="4"/>
      <c r="D1442" s="6"/>
      <c r="E1442" s="6"/>
      <c r="F1442" s="6"/>
      <c r="G1442" s="4"/>
      <c r="H1442" s="4"/>
      <c r="I1442" s="4"/>
      <c r="J1442" s="4"/>
      <c r="K1442" s="4"/>
      <c r="L1442" s="4"/>
      <c r="M1442" s="4"/>
      <c r="N1442" s="4" t="s">
        <v>70</v>
      </c>
      <c r="O1442" s="51" t="b">
        <v>0</v>
      </c>
      <c r="P1442" s="51" t="b">
        <v>0</v>
      </c>
      <c r="Q1442" s="51" t="b">
        <v>0</v>
      </c>
      <c r="R1442" s="51" t="b">
        <v>0</v>
      </c>
      <c r="S1442" s="51" t="b">
        <v>0</v>
      </c>
    </row>
    <row r="1443" hidden="1">
      <c r="A1443" s="4" t="str">
        <f>IFERROR(__xludf.DUMMYFUNCTION("""COMPUTED_VALUE"""),"1997 - Channel")</f>
        <v>1997 - Channel</v>
      </c>
      <c r="B1443" s="4"/>
      <c r="C1443" s="4"/>
      <c r="D1443" s="6"/>
      <c r="E1443" s="6"/>
      <c r="F1443" s="6"/>
      <c r="G1443" s="4"/>
      <c r="H1443" s="4"/>
      <c r="I1443" s="4"/>
      <c r="J1443" s="4"/>
      <c r="K1443" s="4"/>
      <c r="L1443" s="4"/>
      <c r="M1443" s="4"/>
      <c r="N1443" s="4" t="s">
        <v>70</v>
      </c>
      <c r="O1443" s="51" t="b">
        <v>0</v>
      </c>
      <c r="P1443" s="51" t="b">
        <v>0</v>
      </c>
      <c r="Q1443" s="51" t="b">
        <v>0</v>
      </c>
      <c r="R1443" s="51" t="b">
        <v>0</v>
      </c>
      <c r="S1443" s="51" t="b">
        <v>0</v>
      </c>
    </row>
    <row r="1444" hidden="1">
      <c r="A1444" s="4" t="str">
        <f>IFERROR(__xludf.DUMMYFUNCTION("""COMPUTED_VALUE"""),"1998 - Channel")</f>
        <v>1998 - Channel</v>
      </c>
      <c r="B1444" s="4"/>
      <c r="C1444" s="4"/>
      <c r="D1444" s="6"/>
      <c r="E1444" s="6"/>
      <c r="F1444" s="6"/>
      <c r="G1444" s="4"/>
      <c r="H1444" s="4"/>
      <c r="I1444" s="4"/>
      <c r="J1444" s="4"/>
      <c r="K1444" s="4"/>
      <c r="L1444" s="4"/>
      <c r="M1444" s="4"/>
      <c r="N1444" s="4" t="s">
        <v>70</v>
      </c>
      <c r="O1444" s="51" t="b">
        <v>0</v>
      </c>
      <c r="P1444" s="51" t="b">
        <v>0</v>
      </c>
      <c r="Q1444" s="51" t="b">
        <v>0</v>
      </c>
      <c r="R1444" s="51" t="b">
        <v>0</v>
      </c>
      <c r="S1444" s="51" t="b">
        <v>0</v>
      </c>
    </row>
    <row r="1445" hidden="1">
      <c r="A1445" s="4" t="str">
        <f>IFERROR(__xludf.DUMMYFUNCTION("""COMPUTED_VALUE"""),"1999 - Channel")</f>
        <v>1999 - Channel</v>
      </c>
      <c r="B1445" s="4"/>
      <c r="C1445" s="4"/>
      <c r="D1445" s="6"/>
      <c r="E1445" s="6"/>
      <c r="F1445" s="6"/>
      <c r="G1445" s="4"/>
      <c r="H1445" s="4"/>
      <c r="I1445" s="4"/>
      <c r="J1445" s="4"/>
      <c r="K1445" s="4"/>
      <c r="L1445" s="4"/>
      <c r="M1445" s="4"/>
      <c r="N1445" s="4" t="s">
        <v>70</v>
      </c>
      <c r="O1445" s="51" t="b">
        <v>0</v>
      </c>
      <c r="P1445" s="51" t="b">
        <v>0</v>
      </c>
      <c r="Q1445" s="51" t="b">
        <v>0</v>
      </c>
      <c r="R1445" s="51" t="b">
        <v>0</v>
      </c>
      <c r="S1445" s="51" t="b">
        <v>0</v>
      </c>
    </row>
    <row r="1446" hidden="1">
      <c r="A1446" s="4" t="str">
        <f>IFERROR(__xludf.DUMMYFUNCTION("""COMPUTED_VALUE"""),"2000 - Channel")</f>
        <v>2000 - Channel</v>
      </c>
      <c r="B1446" s="4"/>
      <c r="C1446" s="4"/>
      <c r="D1446" s="6"/>
      <c r="E1446" s="6"/>
      <c r="F1446" s="6"/>
      <c r="G1446" s="4"/>
      <c r="H1446" s="4"/>
      <c r="I1446" s="4"/>
      <c r="J1446" s="4"/>
      <c r="K1446" s="4"/>
      <c r="L1446" s="4"/>
      <c r="M1446" s="4"/>
      <c r="N1446" s="4" t="s">
        <v>70</v>
      </c>
      <c r="O1446" s="51" t="b">
        <v>0</v>
      </c>
      <c r="P1446" s="51" t="b">
        <v>0</v>
      </c>
      <c r="Q1446" s="51" t="b">
        <v>0</v>
      </c>
      <c r="R1446" s="51" t="b">
        <v>0</v>
      </c>
      <c r="S1446" s="51" t="b">
        <v>0</v>
      </c>
    </row>
    <row r="1447" hidden="1">
      <c r="A1447" s="4" t="str">
        <f>IFERROR(__xludf.DUMMYFUNCTION("""COMPUTED_VALUE"""),"2001 - Channel")</f>
        <v>2001 - Channel</v>
      </c>
      <c r="B1447" s="4"/>
      <c r="C1447" s="4"/>
      <c r="D1447" s="6"/>
      <c r="E1447" s="6"/>
      <c r="F1447" s="6"/>
      <c r="G1447" s="4"/>
      <c r="H1447" s="4"/>
      <c r="I1447" s="4"/>
      <c r="J1447" s="4"/>
      <c r="K1447" s="4"/>
      <c r="L1447" s="4"/>
      <c r="M1447" s="4"/>
      <c r="N1447" s="4" t="s">
        <v>70</v>
      </c>
      <c r="O1447" s="51" t="b">
        <v>0</v>
      </c>
      <c r="P1447" s="51" t="b">
        <v>0</v>
      </c>
      <c r="Q1447" s="51" t="b">
        <v>0</v>
      </c>
      <c r="R1447" s="51" t="b">
        <v>0</v>
      </c>
      <c r="S1447" s="51" t="b">
        <v>0</v>
      </c>
    </row>
    <row r="1448" hidden="1">
      <c r="A1448" s="4" t="str">
        <f>IFERROR(__xludf.DUMMYFUNCTION("""COMPUTED_VALUE"""),"2002 - Channel")</f>
        <v>2002 - Channel</v>
      </c>
      <c r="B1448" s="4"/>
      <c r="C1448" s="4"/>
      <c r="D1448" s="6"/>
      <c r="E1448" s="6"/>
      <c r="F1448" s="6"/>
      <c r="G1448" s="4"/>
      <c r="H1448" s="4"/>
      <c r="I1448" s="4"/>
      <c r="J1448" s="4"/>
      <c r="K1448" s="4"/>
      <c r="L1448" s="4"/>
      <c r="M1448" s="4"/>
      <c r="N1448" s="4" t="s">
        <v>70</v>
      </c>
      <c r="O1448" s="51" t="b">
        <v>0</v>
      </c>
      <c r="P1448" s="51" t="b">
        <v>0</v>
      </c>
      <c r="Q1448" s="51" t="b">
        <v>0</v>
      </c>
      <c r="R1448" s="51" t="b">
        <v>0</v>
      </c>
      <c r="S1448" s="51" t="b">
        <v>0</v>
      </c>
    </row>
    <row r="1449" hidden="1">
      <c r="A1449" s="4" t="str">
        <f>IFERROR(__xludf.DUMMYFUNCTION("""COMPUTED_VALUE"""),"2003 - Channel")</f>
        <v>2003 - Channel</v>
      </c>
      <c r="B1449" s="4"/>
      <c r="C1449" s="4"/>
      <c r="D1449" s="6"/>
      <c r="E1449" s="6"/>
      <c r="F1449" s="6"/>
      <c r="G1449" s="4"/>
      <c r="H1449" s="4"/>
      <c r="I1449" s="4"/>
      <c r="J1449" s="4"/>
      <c r="K1449" s="4"/>
      <c r="L1449" s="4"/>
      <c r="M1449" s="4"/>
      <c r="N1449" s="4" t="s">
        <v>70</v>
      </c>
      <c r="O1449" s="51" t="b">
        <v>0</v>
      </c>
      <c r="P1449" s="51" t="b">
        <v>0</v>
      </c>
      <c r="Q1449" s="51" t="b">
        <v>0</v>
      </c>
      <c r="R1449" s="51" t="b">
        <v>0</v>
      </c>
      <c r="S1449" s="51" t="b">
        <v>0</v>
      </c>
    </row>
    <row r="1450" hidden="1">
      <c r="A1450" s="4" t="str">
        <f>IFERROR(__xludf.DUMMYFUNCTION("""COMPUTED_VALUE"""),"2004 - Channel")</f>
        <v>2004 - Channel</v>
      </c>
      <c r="B1450" s="4"/>
      <c r="C1450" s="4"/>
      <c r="D1450" s="6"/>
      <c r="E1450" s="6"/>
      <c r="F1450" s="6"/>
      <c r="G1450" s="4"/>
      <c r="H1450" s="4"/>
      <c r="I1450" s="4"/>
      <c r="J1450" s="4"/>
      <c r="K1450" s="4"/>
      <c r="L1450" s="4"/>
      <c r="M1450" s="4"/>
      <c r="N1450" s="4" t="s">
        <v>70</v>
      </c>
      <c r="O1450" s="51" t="b">
        <v>0</v>
      </c>
      <c r="P1450" s="51" t="b">
        <v>0</v>
      </c>
      <c r="Q1450" s="51" t="b">
        <v>0</v>
      </c>
      <c r="R1450" s="51" t="b">
        <v>0</v>
      </c>
      <c r="S1450" s="51" t="b">
        <v>0</v>
      </c>
    </row>
    <row r="1451" hidden="1">
      <c r="A1451" s="4" t="str">
        <f>IFERROR(__xludf.DUMMYFUNCTION("""COMPUTED_VALUE"""),"2005 - Channel")</f>
        <v>2005 - Channel</v>
      </c>
      <c r="B1451" s="4"/>
      <c r="C1451" s="4"/>
      <c r="D1451" s="6"/>
      <c r="E1451" s="6"/>
      <c r="F1451" s="6"/>
      <c r="G1451" s="4"/>
      <c r="H1451" s="4"/>
      <c r="I1451" s="4"/>
      <c r="J1451" s="4"/>
      <c r="K1451" s="4"/>
      <c r="L1451" s="4"/>
      <c r="M1451" s="4"/>
      <c r="N1451" s="4" t="s">
        <v>70</v>
      </c>
      <c r="O1451" s="51" t="b">
        <v>0</v>
      </c>
      <c r="P1451" s="51" t="b">
        <v>0</v>
      </c>
      <c r="Q1451" s="51" t="b">
        <v>0</v>
      </c>
      <c r="R1451" s="51" t="b">
        <v>0</v>
      </c>
      <c r="S1451" s="51" t="b">
        <v>0</v>
      </c>
    </row>
    <row r="1452" hidden="1">
      <c r="A1452" s="4" t="str">
        <f>IFERROR(__xludf.DUMMYFUNCTION("""COMPUTED_VALUE"""),"2006 - Channel")</f>
        <v>2006 - Channel</v>
      </c>
      <c r="B1452" s="4"/>
      <c r="C1452" s="4"/>
      <c r="D1452" s="6"/>
      <c r="E1452" s="6"/>
      <c r="F1452" s="6"/>
      <c r="G1452" s="4"/>
      <c r="H1452" s="4"/>
      <c r="I1452" s="4"/>
      <c r="J1452" s="4"/>
      <c r="K1452" s="4"/>
      <c r="L1452" s="4"/>
      <c r="M1452" s="4"/>
      <c r="N1452" s="4" t="s">
        <v>70</v>
      </c>
      <c r="O1452" s="51" t="b">
        <v>0</v>
      </c>
      <c r="P1452" s="51" t="b">
        <v>0</v>
      </c>
      <c r="Q1452" s="51" t="b">
        <v>0</v>
      </c>
      <c r="R1452" s="51" t="b">
        <v>0</v>
      </c>
      <c r="S1452" s="51" t="b">
        <v>0</v>
      </c>
    </row>
    <row r="1453" hidden="1">
      <c r="A1453" s="4" t="str">
        <f>IFERROR(__xludf.DUMMYFUNCTION("""COMPUTED_VALUE"""),"2007 - Channel")</f>
        <v>2007 - Channel</v>
      </c>
      <c r="B1453" s="4"/>
      <c r="C1453" s="4"/>
      <c r="D1453" s="6"/>
      <c r="E1453" s="6"/>
      <c r="F1453" s="6"/>
      <c r="G1453" s="4"/>
      <c r="H1453" s="4"/>
      <c r="I1453" s="4"/>
      <c r="J1453" s="4"/>
      <c r="K1453" s="4"/>
      <c r="L1453" s="4"/>
      <c r="M1453" s="4"/>
      <c r="N1453" s="4" t="s">
        <v>70</v>
      </c>
      <c r="O1453" s="51" t="b">
        <v>0</v>
      </c>
      <c r="P1453" s="51" t="b">
        <v>0</v>
      </c>
      <c r="Q1453" s="51" t="b">
        <v>0</v>
      </c>
      <c r="R1453" s="51" t="b">
        <v>0</v>
      </c>
      <c r="S1453" s="51" t="b">
        <v>0</v>
      </c>
    </row>
    <row r="1454" hidden="1">
      <c r="A1454" s="4" t="str">
        <f>IFERROR(__xludf.DUMMYFUNCTION("""COMPUTED_VALUE"""),"2008 - Channel")</f>
        <v>2008 - Channel</v>
      </c>
      <c r="B1454" s="4"/>
      <c r="C1454" s="4"/>
      <c r="D1454" s="6"/>
      <c r="E1454" s="6"/>
      <c r="F1454" s="6"/>
      <c r="G1454" s="4"/>
      <c r="H1454" s="4"/>
      <c r="I1454" s="4"/>
      <c r="J1454" s="4"/>
      <c r="K1454" s="4"/>
      <c r="L1454" s="4"/>
      <c r="M1454" s="4"/>
      <c r="N1454" s="4" t="s">
        <v>70</v>
      </c>
      <c r="O1454" s="51" t="b">
        <v>0</v>
      </c>
      <c r="P1454" s="51" t="b">
        <v>0</v>
      </c>
      <c r="Q1454" s="51" t="b">
        <v>0</v>
      </c>
      <c r="R1454" s="51" t="b">
        <v>0</v>
      </c>
      <c r="S1454" s="51" t="b">
        <v>0</v>
      </c>
    </row>
    <row r="1455" hidden="1">
      <c r="A1455" s="4" t="str">
        <f>IFERROR(__xludf.DUMMYFUNCTION("""COMPUTED_VALUE"""),"2009 - Channel")</f>
        <v>2009 - Channel</v>
      </c>
      <c r="B1455" s="4"/>
      <c r="C1455" s="4"/>
      <c r="D1455" s="6"/>
      <c r="E1455" s="6"/>
      <c r="F1455" s="6"/>
      <c r="G1455" s="4"/>
      <c r="H1455" s="4"/>
      <c r="I1455" s="4"/>
      <c r="J1455" s="4"/>
      <c r="K1455" s="4"/>
      <c r="L1455" s="4"/>
      <c r="M1455" s="4"/>
      <c r="N1455" s="4" t="s">
        <v>70</v>
      </c>
      <c r="O1455" s="51" t="b">
        <v>0</v>
      </c>
      <c r="P1455" s="51" t="b">
        <v>0</v>
      </c>
      <c r="Q1455" s="51" t="b">
        <v>0</v>
      </c>
      <c r="R1455" s="51" t="b">
        <v>0</v>
      </c>
      <c r="S1455" s="51" t="b">
        <v>0</v>
      </c>
    </row>
    <row r="1456" hidden="1">
      <c r="A1456" s="4" t="str">
        <f>IFERROR(__xludf.DUMMYFUNCTION("""COMPUTED_VALUE"""),"2010 - Channel")</f>
        <v>2010 - Channel</v>
      </c>
      <c r="B1456" s="4"/>
      <c r="C1456" s="4"/>
      <c r="D1456" s="6"/>
      <c r="E1456" s="6"/>
      <c r="F1456" s="6"/>
      <c r="G1456" s="4"/>
      <c r="H1456" s="4"/>
      <c r="I1456" s="4"/>
      <c r="J1456" s="4"/>
      <c r="K1456" s="4"/>
      <c r="L1456" s="4"/>
      <c r="M1456" s="4"/>
      <c r="N1456" s="4" t="s">
        <v>70</v>
      </c>
      <c r="O1456" s="51" t="b">
        <v>0</v>
      </c>
      <c r="P1456" s="51" t="b">
        <v>0</v>
      </c>
      <c r="Q1456" s="51" t="b">
        <v>0</v>
      </c>
      <c r="R1456" s="51" t="b">
        <v>0</v>
      </c>
      <c r="S1456" s="51" t="b">
        <v>0</v>
      </c>
    </row>
    <row r="1457" hidden="1">
      <c r="A1457" s="4" t="str">
        <f>IFERROR(__xludf.DUMMYFUNCTION("""COMPUTED_VALUE"""),"2011 - Channel")</f>
        <v>2011 - Channel</v>
      </c>
      <c r="B1457" s="4"/>
      <c r="C1457" s="4"/>
      <c r="D1457" s="6"/>
      <c r="E1457" s="6"/>
      <c r="F1457" s="6"/>
      <c r="G1457" s="4"/>
      <c r="H1457" s="4"/>
      <c r="I1457" s="4"/>
      <c r="J1457" s="4"/>
      <c r="K1457" s="4"/>
      <c r="L1457" s="4"/>
      <c r="M1457" s="4"/>
      <c r="N1457" s="4" t="s">
        <v>70</v>
      </c>
      <c r="O1457" s="51" t="b">
        <v>0</v>
      </c>
      <c r="P1457" s="51" t="b">
        <v>0</v>
      </c>
      <c r="Q1457" s="51" t="b">
        <v>0</v>
      </c>
      <c r="R1457" s="51" t="b">
        <v>0</v>
      </c>
      <c r="S1457" s="51" t="b">
        <v>0</v>
      </c>
    </row>
    <row r="1458" hidden="1">
      <c r="A1458" s="4" t="str">
        <f>IFERROR(__xludf.DUMMYFUNCTION("""COMPUTED_VALUE"""),"2012 - Channel")</f>
        <v>2012 - Channel</v>
      </c>
      <c r="B1458" s="4"/>
      <c r="C1458" s="4"/>
      <c r="D1458" s="6"/>
      <c r="E1458" s="6"/>
      <c r="F1458" s="6"/>
      <c r="G1458" s="4"/>
      <c r="H1458" s="4"/>
      <c r="I1458" s="4"/>
      <c r="J1458" s="4"/>
      <c r="K1458" s="4"/>
      <c r="L1458" s="4"/>
      <c r="M1458" s="4"/>
      <c r="N1458" s="4" t="s">
        <v>70</v>
      </c>
      <c r="O1458" s="51" t="b">
        <v>0</v>
      </c>
      <c r="P1458" s="51" t="b">
        <v>0</v>
      </c>
      <c r="Q1458" s="51" t="b">
        <v>0</v>
      </c>
      <c r="R1458" s="51" t="b">
        <v>0</v>
      </c>
      <c r="S1458" s="51" t="b">
        <v>0</v>
      </c>
    </row>
    <row r="1459" hidden="1">
      <c r="A1459" s="4" t="str">
        <f>IFERROR(__xludf.DUMMYFUNCTION("""COMPUTED_VALUE"""),"2013 - Channel")</f>
        <v>2013 - Channel</v>
      </c>
      <c r="B1459" s="4"/>
      <c r="C1459" s="4"/>
      <c r="D1459" s="6"/>
      <c r="E1459" s="6"/>
      <c r="F1459" s="6"/>
      <c r="G1459" s="4"/>
      <c r="H1459" s="4"/>
      <c r="I1459" s="4"/>
      <c r="J1459" s="4"/>
      <c r="K1459" s="4"/>
      <c r="L1459" s="4"/>
      <c r="M1459" s="4"/>
      <c r="N1459" s="4" t="s">
        <v>70</v>
      </c>
      <c r="O1459" s="51" t="b">
        <v>0</v>
      </c>
      <c r="P1459" s="51" t="b">
        <v>0</v>
      </c>
      <c r="Q1459" s="51" t="b">
        <v>0</v>
      </c>
      <c r="R1459" s="51" t="b">
        <v>0</v>
      </c>
      <c r="S1459" s="51" t="b">
        <v>0</v>
      </c>
    </row>
    <row r="1460" hidden="1">
      <c r="A1460" s="4" t="str">
        <f>IFERROR(__xludf.DUMMYFUNCTION("""COMPUTED_VALUE"""),"2014 - Channel")</f>
        <v>2014 - Channel</v>
      </c>
      <c r="B1460" s="4"/>
      <c r="C1460" s="4"/>
      <c r="D1460" s="6"/>
      <c r="E1460" s="6"/>
      <c r="F1460" s="6"/>
      <c r="G1460" s="4"/>
      <c r="H1460" s="4"/>
      <c r="I1460" s="4"/>
      <c r="J1460" s="4"/>
      <c r="K1460" s="4"/>
      <c r="L1460" s="4"/>
      <c r="M1460" s="4"/>
      <c r="N1460" s="4" t="s">
        <v>70</v>
      </c>
      <c r="O1460" s="51" t="b">
        <v>0</v>
      </c>
      <c r="P1460" s="51" t="b">
        <v>0</v>
      </c>
      <c r="Q1460" s="51" t="b">
        <v>0</v>
      </c>
      <c r="R1460" s="51" t="b">
        <v>0</v>
      </c>
      <c r="S1460" s="51" t="b">
        <v>0</v>
      </c>
    </row>
    <row r="1461" hidden="1">
      <c r="A1461" s="4" t="str">
        <f>IFERROR(__xludf.DUMMYFUNCTION("""COMPUTED_VALUE"""),"2015 - Channel")</f>
        <v>2015 - Channel</v>
      </c>
      <c r="B1461" s="4"/>
      <c r="C1461" s="4"/>
      <c r="D1461" s="6"/>
      <c r="E1461" s="6"/>
      <c r="F1461" s="6"/>
      <c r="G1461" s="4"/>
      <c r="H1461" s="4"/>
      <c r="I1461" s="4"/>
      <c r="J1461" s="4"/>
      <c r="K1461" s="4"/>
      <c r="L1461" s="4"/>
      <c r="M1461" s="4"/>
      <c r="N1461" s="4" t="s">
        <v>70</v>
      </c>
      <c r="O1461" s="51" t="b">
        <v>0</v>
      </c>
      <c r="P1461" s="51" t="b">
        <v>0</v>
      </c>
      <c r="Q1461" s="51" t="b">
        <v>0</v>
      </c>
      <c r="R1461" s="51" t="b">
        <v>0</v>
      </c>
      <c r="S1461" s="51" t="b">
        <v>0</v>
      </c>
    </row>
    <row r="1462" hidden="1">
      <c r="A1462" s="4" t="str">
        <f>IFERROR(__xludf.DUMMYFUNCTION("""COMPUTED_VALUE"""),"2016 - Channel")</f>
        <v>2016 - Channel</v>
      </c>
      <c r="B1462" s="4"/>
      <c r="C1462" s="4"/>
      <c r="D1462" s="6"/>
      <c r="E1462" s="6"/>
      <c r="F1462" s="6"/>
      <c r="G1462" s="4"/>
      <c r="H1462" s="4"/>
      <c r="I1462" s="4"/>
      <c r="J1462" s="4"/>
      <c r="K1462" s="4"/>
      <c r="L1462" s="4"/>
      <c r="M1462" s="4"/>
      <c r="N1462" s="4" t="s">
        <v>70</v>
      </c>
      <c r="O1462" s="51" t="b">
        <v>0</v>
      </c>
      <c r="P1462" s="51" t="b">
        <v>0</v>
      </c>
      <c r="Q1462" s="51" t="b">
        <v>0</v>
      </c>
      <c r="R1462" s="51" t="b">
        <v>0</v>
      </c>
      <c r="S1462" s="51" t="b">
        <v>0</v>
      </c>
    </row>
    <row r="1463" hidden="1">
      <c r="A1463" s="4" t="str">
        <f>IFERROR(__xludf.DUMMYFUNCTION("""COMPUTED_VALUE"""),"2017 - Channel")</f>
        <v>2017 - Channel</v>
      </c>
      <c r="B1463" s="4"/>
      <c r="C1463" s="4"/>
      <c r="D1463" s="6"/>
      <c r="E1463" s="6"/>
      <c r="F1463" s="6"/>
      <c r="G1463" s="4"/>
      <c r="H1463" s="4"/>
      <c r="I1463" s="4"/>
      <c r="J1463" s="4"/>
      <c r="K1463" s="4"/>
      <c r="L1463" s="4"/>
      <c r="M1463" s="4"/>
      <c r="N1463" s="4" t="s">
        <v>70</v>
      </c>
      <c r="O1463" s="51" t="b">
        <v>0</v>
      </c>
      <c r="P1463" s="51" t="b">
        <v>0</v>
      </c>
      <c r="Q1463" s="51" t="b">
        <v>0</v>
      </c>
      <c r="R1463" s="51" t="b">
        <v>0</v>
      </c>
      <c r="S1463" s="51" t="b">
        <v>0</v>
      </c>
    </row>
    <row r="1464" hidden="1">
      <c r="A1464" s="4" t="str">
        <f>IFERROR(__xludf.DUMMYFUNCTION("""COMPUTED_VALUE"""),"2018 - Channel")</f>
        <v>2018 - Channel</v>
      </c>
      <c r="B1464" s="4"/>
      <c r="C1464" s="4"/>
      <c r="D1464" s="6"/>
      <c r="E1464" s="6"/>
      <c r="F1464" s="6"/>
      <c r="G1464" s="4"/>
      <c r="H1464" s="4"/>
      <c r="I1464" s="4"/>
      <c r="J1464" s="4"/>
      <c r="K1464" s="4"/>
      <c r="L1464" s="4"/>
      <c r="M1464" s="4"/>
      <c r="N1464" s="4" t="s">
        <v>70</v>
      </c>
      <c r="O1464" s="51" t="b">
        <v>0</v>
      </c>
      <c r="P1464" s="51" t="b">
        <v>0</v>
      </c>
      <c r="Q1464" s="51" t="b">
        <v>0</v>
      </c>
      <c r="R1464" s="51" t="b">
        <v>0</v>
      </c>
      <c r="S1464" s="51" t="b">
        <v>0</v>
      </c>
    </row>
    <row r="1465" hidden="1">
      <c r="A1465" s="4" t="str">
        <f>IFERROR(__xludf.DUMMYFUNCTION("""COMPUTED_VALUE"""),"2019 - Channel")</f>
        <v>2019 - Channel</v>
      </c>
      <c r="B1465" s="4"/>
      <c r="C1465" s="4"/>
      <c r="D1465" s="6"/>
      <c r="E1465" s="6"/>
      <c r="F1465" s="6"/>
      <c r="G1465" s="4"/>
      <c r="H1465" s="4"/>
      <c r="I1465" s="4"/>
      <c r="J1465" s="4"/>
      <c r="K1465" s="4"/>
      <c r="L1465" s="4"/>
      <c r="M1465" s="4"/>
      <c r="N1465" s="4" t="s">
        <v>70</v>
      </c>
      <c r="O1465" s="51" t="b">
        <v>0</v>
      </c>
      <c r="P1465" s="51" t="b">
        <v>0</v>
      </c>
      <c r="Q1465" s="51" t="b">
        <v>0</v>
      </c>
      <c r="R1465" s="51" t="b">
        <v>0</v>
      </c>
      <c r="S1465" s="51" t="b">
        <v>0</v>
      </c>
    </row>
    <row r="1466" hidden="1">
      <c r="A1466" s="4" t="str">
        <f>IFERROR(__xludf.DUMMYFUNCTION("""COMPUTED_VALUE"""),"2020 - Channel")</f>
        <v>2020 - Channel</v>
      </c>
      <c r="B1466" s="4"/>
      <c r="C1466" s="4"/>
      <c r="D1466" s="6"/>
      <c r="E1466" s="6"/>
      <c r="F1466" s="6"/>
      <c r="G1466" s="4"/>
      <c r="H1466" s="4"/>
      <c r="I1466" s="4"/>
      <c r="J1466" s="4"/>
      <c r="K1466" s="4"/>
      <c r="L1466" s="4"/>
      <c r="M1466" s="4"/>
      <c r="N1466" s="4" t="s">
        <v>70</v>
      </c>
      <c r="O1466" s="51" t="b">
        <v>0</v>
      </c>
      <c r="P1466" s="51" t="b">
        <v>0</v>
      </c>
      <c r="Q1466" s="51" t="b">
        <v>0</v>
      </c>
      <c r="R1466" s="51" t="b">
        <v>0</v>
      </c>
      <c r="S1466" s="51" t="b">
        <v>0</v>
      </c>
    </row>
    <row r="1467" hidden="1">
      <c r="A1467" s="4" t="str">
        <f>IFERROR(__xludf.DUMMYFUNCTION("""COMPUTED_VALUE"""),"2021 - Channel")</f>
        <v>2021 - Channel</v>
      </c>
      <c r="B1467" s="4"/>
      <c r="C1467" s="4"/>
      <c r="D1467" s="6"/>
      <c r="E1467" s="6"/>
      <c r="F1467" s="6"/>
      <c r="G1467" s="4"/>
      <c r="H1467" s="4"/>
      <c r="I1467" s="4"/>
      <c r="J1467" s="4"/>
      <c r="K1467" s="4"/>
      <c r="L1467" s="4"/>
      <c r="M1467" s="4"/>
      <c r="N1467" s="4" t="s">
        <v>70</v>
      </c>
      <c r="O1467" s="51" t="b">
        <v>0</v>
      </c>
      <c r="P1467" s="51" t="b">
        <v>0</v>
      </c>
      <c r="Q1467" s="51" t="b">
        <v>0</v>
      </c>
      <c r="R1467" s="51" t="b">
        <v>0</v>
      </c>
      <c r="S1467" s="51" t="b">
        <v>0</v>
      </c>
    </row>
    <row r="1468" hidden="1">
      <c r="A1468" s="4" t="str">
        <f>IFERROR(__xludf.DUMMYFUNCTION("""COMPUTED_VALUE"""),"2022 - Channel")</f>
        <v>2022 - Channel</v>
      </c>
      <c r="B1468" s="4"/>
      <c r="C1468" s="4"/>
      <c r="D1468" s="6"/>
      <c r="E1468" s="6"/>
      <c r="F1468" s="6"/>
      <c r="G1468" s="4"/>
      <c r="H1468" s="4"/>
      <c r="I1468" s="4"/>
      <c r="J1468" s="4"/>
      <c r="K1468" s="4"/>
      <c r="L1468" s="4"/>
      <c r="M1468" s="4"/>
      <c r="N1468" s="4" t="s">
        <v>70</v>
      </c>
      <c r="O1468" s="51" t="b">
        <v>0</v>
      </c>
      <c r="P1468" s="51" t="b">
        <v>0</v>
      </c>
      <c r="Q1468" s="51" t="b">
        <v>0</v>
      </c>
      <c r="R1468" s="51" t="b">
        <v>0</v>
      </c>
      <c r="S1468" s="51" t="b">
        <v>0</v>
      </c>
    </row>
    <row r="1469" hidden="1">
      <c r="A1469" s="4" t="str">
        <f>IFERROR(__xludf.DUMMYFUNCTION("""COMPUTED_VALUE"""),"2023 - Channel")</f>
        <v>2023 - Channel</v>
      </c>
      <c r="B1469" s="4"/>
      <c r="C1469" s="4"/>
      <c r="D1469" s="6"/>
      <c r="E1469" s="6"/>
      <c r="F1469" s="6"/>
      <c r="G1469" s="4"/>
      <c r="H1469" s="4"/>
      <c r="I1469" s="4"/>
      <c r="J1469" s="4"/>
      <c r="K1469" s="4"/>
      <c r="L1469" s="4"/>
      <c r="M1469" s="4"/>
      <c r="N1469" s="4" t="s">
        <v>70</v>
      </c>
      <c r="O1469" s="51" t="b">
        <v>0</v>
      </c>
      <c r="P1469" s="51" t="b">
        <v>0</v>
      </c>
      <c r="Q1469" s="51" t="b">
        <v>0</v>
      </c>
      <c r="R1469" s="51" t="b">
        <v>0</v>
      </c>
      <c r="S1469" s="51" t="b">
        <v>0</v>
      </c>
    </row>
    <row r="1470" hidden="1">
      <c r="A1470" s="4" t="str">
        <f>IFERROR(__xludf.DUMMYFUNCTION("""COMPUTED_VALUE"""),"2024 - Channel")</f>
        <v>2024 - Channel</v>
      </c>
      <c r="B1470" s="4"/>
      <c r="C1470" s="4"/>
      <c r="D1470" s="6"/>
      <c r="E1470" s="6"/>
      <c r="F1470" s="6"/>
      <c r="G1470" s="4"/>
      <c r="H1470" s="4"/>
      <c r="I1470" s="4"/>
      <c r="J1470" s="4"/>
      <c r="K1470" s="4"/>
      <c r="L1470" s="4"/>
      <c r="M1470" s="4"/>
      <c r="N1470" s="4" t="s">
        <v>70</v>
      </c>
      <c r="O1470" s="51" t="b">
        <v>0</v>
      </c>
      <c r="P1470" s="51" t="b">
        <v>0</v>
      </c>
      <c r="Q1470" s="51" t="b">
        <v>0</v>
      </c>
      <c r="R1470" s="51" t="b">
        <v>0</v>
      </c>
      <c r="S1470" s="51" t="b">
        <v>0</v>
      </c>
    </row>
    <row r="1471" hidden="1">
      <c r="A1471" s="4" t="str">
        <f>IFERROR(__xludf.DUMMYFUNCTION("""COMPUTED_VALUE"""),"2025 - Channel")</f>
        <v>2025 - Channel</v>
      </c>
      <c r="B1471" s="4"/>
      <c r="C1471" s="4"/>
      <c r="D1471" s="6"/>
      <c r="E1471" s="6"/>
      <c r="F1471" s="6"/>
      <c r="G1471" s="4"/>
      <c r="H1471" s="4"/>
      <c r="I1471" s="4"/>
      <c r="J1471" s="4"/>
      <c r="K1471" s="4"/>
      <c r="L1471" s="4"/>
      <c r="M1471" s="4"/>
      <c r="N1471" s="4" t="s">
        <v>70</v>
      </c>
      <c r="O1471" s="51" t="b">
        <v>0</v>
      </c>
      <c r="P1471" s="51" t="b">
        <v>0</v>
      </c>
      <c r="Q1471" s="51" t="b">
        <v>0</v>
      </c>
      <c r="R1471" s="51" t="b">
        <v>0</v>
      </c>
      <c r="S1471" s="51" t="b">
        <v>0</v>
      </c>
    </row>
    <row r="1472" hidden="1">
      <c r="A1472" s="4" t="str">
        <f>IFERROR(__xludf.DUMMYFUNCTION("""COMPUTED_VALUE"""),"2026 - Channel")</f>
        <v>2026 - Channel</v>
      </c>
      <c r="B1472" s="4"/>
      <c r="C1472" s="4"/>
      <c r="D1472" s="6"/>
      <c r="E1472" s="6"/>
      <c r="F1472" s="6"/>
      <c r="G1472" s="4"/>
      <c r="H1472" s="4"/>
      <c r="I1472" s="4"/>
      <c r="J1472" s="4"/>
      <c r="K1472" s="4"/>
      <c r="L1472" s="4"/>
      <c r="M1472" s="4"/>
      <c r="N1472" s="4" t="s">
        <v>70</v>
      </c>
      <c r="O1472" s="51" t="b">
        <v>0</v>
      </c>
      <c r="P1472" s="51" t="b">
        <v>0</v>
      </c>
      <c r="Q1472" s="51" t="b">
        <v>0</v>
      </c>
      <c r="R1472" s="51" t="b">
        <v>0</v>
      </c>
      <c r="S1472" s="51" t="b">
        <v>0</v>
      </c>
    </row>
    <row r="1473" hidden="1">
      <c r="A1473" s="4" t="str">
        <f>IFERROR(__xludf.DUMMYFUNCTION("""COMPUTED_VALUE"""),"2027 - Channel")</f>
        <v>2027 - Channel</v>
      </c>
      <c r="B1473" s="4"/>
      <c r="C1473" s="4"/>
      <c r="D1473" s="6"/>
      <c r="E1473" s="6"/>
      <c r="F1473" s="6"/>
      <c r="G1473" s="4"/>
      <c r="H1473" s="4"/>
      <c r="I1473" s="4"/>
      <c r="J1473" s="4"/>
      <c r="K1473" s="4"/>
      <c r="L1473" s="4"/>
      <c r="M1473" s="4"/>
      <c r="N1473" s="4" t="s">
        <v>70</v>
      </c>
      <c r="O1473" s="51" t="b">
        <v>0</v>
      </c>
      <c r="P1473" s="51" t="b">
        <v>0</v>
      </c>
      <c r="Q1473" s="51" t="b">
        <v>0</v>
      </c>
      <c r="R1473" s="51" t="b">
        <v>0</v>
      </c>
      <c r="S1473" s="51" t="b">
        <v>0</v>
      </c>
    </row>
    <row r="1474" hidden="1">
      <c r="A1474" s="4" t="str">
        <f>IFERROR(__xludf.DUMMYFUNCTION("""COMPUTED_VALUE"""),"2028 - Channel")</f>
        <v>2028 - Channel</v>
      </c>
      <c r="B1474" s="4"/>
      <c r="C1474" s="4"/>
      <c r="D1474" s="6"/>
      <c r="E1474" s="6"/>
      <c r="F1474" s="6"/>
      <c r="G1474" s="4"/>
      <c r="H1474" s="4"/>
      <c r="I1474" s="4"/>
      <c r="J1474" s="4"/>
      <c r="K1474" s="4"/>
      <c r="L1474" s="4"/>
      <c r="M1474" s="4"/>
      <c r="N1474" s="4" t="s">
        <v>70</v>
      </c>
      <c r="O1474" s="51" t="b">
        <v>0</v>
      </c>
      <c r="P1474" s="51" t="b">
        <v>0</v>
      </c>
      <c r="Q1474" s="51" t="b">
        <v>0</v>
      </c>
      <c r="R1474" s="51" t="b">
        <v>0</v>
      </c>
      <c r="S1474" s="51" t="b">
        <v>0</v>
      </c>
    </row>
    <row r="1475" hidden="1">
      <c r="A1475" s="4" t="str">
        <f>IFERROR(__xludf.DUMMYFUNCTION("""COMPUTED_VALUE"""),"2029 - Channel")</f>
        <v>2029 - Channel</v>
      </c>
      <c r="B1475" s="4"/>
      <c r="C1475" s="4"/>
      <c r="D1475" s="6"/>
      <c r="E1475" s="6"/>
      <c r="F1475" s="6"/>
      <c r="G1475" s="4"/>
      <c r="H1475" s="4"/>
      <c r="I1475" s="4"/>
      <c r="J1475" s="4"/>
      <c r="K1475" s="4"/>
      <c r="L1475" s="4"/>
      <c r="M1475" s="4"/>
      <c r="N1475" s="4" t="s">
        <v>70</v>
      </c>
      <c r="O1475" s="51" t="b">
        <v>0</v>
      </c>
      <c r="P1475" s="51" t="b">
        <v>0</v>
      </c>
      <c r="Q1475" s="51" t="b">
        <v>0</v>
      </c>
      <c r="R1475" s="51" t="b">
        <v>0</v>
      </c>
      <c r="S1475" s="51" t="b">
        <v>0</v>
      </c>
    </row>
    <row r="1476" hidden="1">
      <c r="A1476" s="4" t="str">
        <f>IFERROR(__xludf.DUMMYFUNCTION("""COMPUTED_VALUE"""),"2030 - Channel")</f>
        <v>2030 - Channel</v>
      </c>
      <c r="B1476" s="4"/>
      <c r="C1476" s="4"/>
      <c r="D1476" s="6"/>
      <c r="E1476" s="6"/>
      <c r="F1476" s="6"/>
      <c r="G1476" s="4"/>
      <c r="H1476" s="4"/>
      <c r="I1476" s="4"/>
      <c r="J1476" s="4"/>
      <c r="K1476" s="4"/>
      <c r="L1476" s="4"/>
      <c r="M1476" s="4"/>
      <c r="N1476" s="4" t="s">
        <v>70</v>
      </c>
      <c r="O1476" s="51" t="b">
        <v>0</v>
      </c>
      <c r="P1476" s="51" t="b">
        <v>0</v>
      </c>
      <c r="Q1476" s="51" t="b">
        <v>0</v>
      </c>
      <c r="R1476" s="51" t="b">
        <v>0</v>
      </c>
      <c r="S1476" s="51" t="b">
        <v>0</v>
      </c>
    </row>
    <row r="1477" hidden="1">
      <c r="A1477" s="4" t="str">
        <f>IFERROR(__xludf.DUMMYFUNCTION("""COMPUTED_VALUE"""),"2031 - Channel")</f>
        <v>2031 - Channel</v>
      </c>
      <c r="B1477" s="4"/>
      <c r="C1477" s="4"/>
      <c r="D1477" s="6"/>
      <c r="E1477" s="6"/>
      <c r="F1477" s="6"/>
      <c r="G1477" s="4"/>
      <c r="H1477" s="4"/>
      <c r="I1477" s="4"/>
      <c r="J1477" s="4"/>
      <c r="K1477" s="4"/>
      <c r="L1477" s="4"/>
      <c r="M1477" s="4"/>
      <c r="N1477" s="4" t="s">
        <v>70</v>
      </c>
      <c r="O1477" s="51" t="b">
        <v>0</v>
      </c>
      <c r="P1477" s="51" t="b">
        <v>0</v>
      </c>
      <c r="Q1477" s="51" t="b">
        <v>0</v>
      </c>
      <c r="R1477" s="51" t="b">
        <v>0</v>
      </c>
      <c r="S1477" s="51" t="b">
        <v>0</v>
      </c>
    </row>
    <row r="1478" hidden="1">
      <c r="A1478" s="4" t="str">
        <f>IFERROR(__xludf.DUMMYFUNCTION("""COMPUTED_VALUE"""),"2032 - Channel")</f>
        <v>2032 - Channel</v>
      </c>
      <c r="B1478" s="4"/>
      <c r="C1478" s="4"/>
      <c r="D1478" s="6"/>
      <c r="E1478" s="6"/>
      <c r="F1478" s="6"/>
      <c r="G1478" s="4"/>
      <c r="H1478" s="4"/>
      <c r="I1478" s="4"/>
      <c r="J1478" s="4"/>
      <c r="K1478" s="4"/>
      <c r="L1478" s="4"/>
      <c r="M1478" s="4"/>
      <c r="N1478" s="4" t="s">
        <v>70</v>
      </c>
      <c r="O1478" s="51" t="b">
        <v>0</v>
      </c>
      <c r="P1478" s="51" t="b">
        <v>0</v>
      </c>
      <c r="Q1478" s="51" t="b">
        <v>0</v>
      </c>
      <c r="R1478" s="51" t="b">
        <v>0</v>
      </c>
      <c r="S1478" s="51" t="b">
        <v>0</v>
      </c>
    </row>
    <row r="1479" hidden="1">
      <c r="A1479" s="4" t="str">
        <f>IFERROR(__xludf.DUMMYFUNCTION("""COMPUTED_VALUE"""),"2033 - Channel")</f>
        <v>2033 - Channel</v>
      </c>
      <c r="B1479" s="4"/>
      <c r="C1479" s="4"/>
      <c r="D1479" s="6"/>
      <c r="E1479" s="6"/>
      <c r="F1479" s="6"/>
      <c r="G1479" s="4"/>
      <c r="H1479" s="4"/>
      <c r="I1479" s="4"/>
      <c r="J1479" s="4"/>
      <c r="K1479" s="4"/>
      <c r="L1479" s="4"/>
      <c r="M1479" s="4"/>
      <c r="N1479" s="4" t="s">
        <v>70</v>
      </c>
      <c r="O1479" s="51" t="b">
        <v>0</v>
      </c>
      <c r="P1479" s="51" t="b">
        <v>0</v>
      </c>
      <c r="Q1479" s="51" t="b">
        <v>0</v>
      </c>
      <c r="R1479" s="51" t="b">
        <v>0</v>
      </c>
      <c r="S1479" s="51" t="b">
        <v>0</v>
      </c>
    </row>
    <row r="1480" hidden="1">
      <c r="A1480" s="4" t="str">
        <f>IFERROR(__xludf.DUMMYFUNCTION("""COMPUTED_VALUE"""),"2034 - Channel")</f>
        <v>2034 - Channel</v>
      </c>
      <c r="B1480" s="4"/>
      <c r="C1480" s="4"/>
      <c r="D1480" s="6"/>
      <c r="E1480" s="6"/>
      <c r="F1480" s="6"/>
      <c r="G1480" s="4"/>
      <c r="H1480" s="4"/>
      <c r="I1480" s="4"/>
      <c r="J1480" s="4"/>
      <c r="K1480" s="4"/>
      <c r="L1480" s="4"/>
      <c r="M1480" s="4"/>
      <c r="N1480" s="4" t="s">
        <v>70</v>
      </c>
      <c r="O1480" s="51" t="b">
        <v>0</v>
      </c>
      <c r="P1480" s="51" t="b">
        <v>0</v>
      </c>
      <c r="Q1480" s="51" t="b">
        <v>0</v>
      </c>
      <c r="R1480" s="51" t="b">
        <v>0</v>
      </c>
      <c r="S1480" s="51" t="b">
        <v>0</v>
      </c>
    </row>
    <row r="1481" hidden="1">
      <c r="A1481" s="4" t="str">
        <f>IFERROR(__xludf.DUMMYFUNCTION("""COMPUTED_VALUE"""),"2035 - Channel")</f>
        <v>2035 - Channel</v>
      </c>
      <c r="B1481" s="4"/>
      <c r="C1481" s="4"/>
      <c r="D1481" s="6"/>
      <c r="E1481" s="6"/>
      <c r="F1481" s="6"/>
      <c r="G1481" s="4"/>
      <c r="H1481" s="4"/>
      <c r="I1481" s="4"/>
      <c r="J1481" s="4"/>
      <c r="K1481" s="4"/>
      <c r="L1481" s="4"/>
      <c r="M1481" s="4"/>
      <c r="N1481" s="4" t="s">
        <v>70</v>
      </c>
      <c r="O1481" s="51" t="b">
        <v>0</v>
      </c>
      <c r="P1481" s="51" t="b">
        <v>0</v>
      </c>
      <c r="Q1481" s="51" t="b">
        <v>0</v>
      </c>
      <c r="R1481" s="51" t="b">
        <v>0</v>
      </c>
      <c r="S1481" s="51" t="b">
        <v>0</v>
      </c>
    </row>
    <row r="1482" hidden="1">
      <c r="A1482" s="4" t="str">
        <f>IFERROR(__xludf.DUMMYFUNCTION("""COMPUTED_VALUE"""),"2036 - Channel")</f>
        <v>2036 - Channel</v>
      </c>
      <c r="B1482" s="4"/>
      <c r="C1482" s="4"/>
      <c r="D1482" s="6"/>
      <c r="E1482" s="6"/>
      <c r="F1482" s="6"/>
      <c r="G1482" s="4"/>
      <c r="H1482" s="4"/>
      <c r="I1482" s="4"/>
      <c r="J1482" s="4"/>
      <c r="K1482" s="4"/>
      <c r="L1482" s="4"/>
      <c r="M1482" s="4"/>
      <c r="N1482" s="4" t="s">
        <v>70</v>
      </c>
      <c r="O1482" s="51" t="b">
        <v>0</v>
      </c>
      <c r="P1482" s="51" t="b">
        <v>0</v>
      </c>
      <c r="Q1482" s="51" t="b">
        <v>0</v>
      </c>
      <c r="R1482" s="51" t="b">
        <v>0</v>
      </c>
      <c r="S1482" s="51" t="b">
        <v>0</v>
      </c>
    </row>
    <row r="1483" hidden="1">
      <c r="A1483" s="4" t="str">
        <f>IFERROR(__xludf.DUMMYFUNCTION("""COMPUTED_VALUE"""),"2037 - Channel")</f>
        <v>2037 - Channel</v>
      </c>
      <c r="B1483" s="4"/>
      <c r="C1483" s="4"/>
      <c r="D1483" s="6"/>
      <c r="E1483" s="6"/>
      <c r="F1483" s="6"/>
      <c r="G1483" s="4"/>
      <c r="H1483" s="4"/>
      <c r="I1483" s="4"/>
      <c r="J1483" s="4"/>
      <c r="K1483" s="4"/>
      <c r="L1483" s="4"/>
      <c r="M1483" s="4"/>
      <c r="N1483" s="4" t="s">
        <v>70</v>
      </c>
      <c r="O1483" s="51" t="b">
        <v>0</v>
      </c>
      <c r="P1483" s="51" t="b">
        <v>0</v>
      </c>
      <c r="Q1483" s="51" t="b">
        <v>0</v>
      </c>
      <c r="R1483" s="51" t="b">
        <v>0</v>
      </c>
      <c r="S1483" s="51" t="b">
        <v>0</v>
      </c>
    </row>
    <row r="1484" hidden="1">
      <c r="A1484" s="4" t="str">
        <f>IFERROR(__xludf.DUMMYFUNCTION("""COMPUTED_VALUE"""),"2038 - Channel")</f>
        <v>2038 - Channel</v>
      </c>
      <c r="B1484" s="4"/>
      <c r="C1484" s="4"/>
      <c r="D1484" s="6"/>
      <c r="E1484" s="6"/>
      <c r="F1484" s="6"/>
      <c r="G1484" s="4"/>
      <c r="H1484" s="4"/>
      <c r="I1484" s="4"/>
      <c r="J1484" s="4"/>
      <c r="K1484" s="4"/>
      <c r="L1484" s="4"/>
      <c r="M1484" s="4"/>
      <c r="N1484" s="4" t="s">
        <v>70</v>
      </c>
      <c r="O1484" s="51" t="b">
        <v>0</v>
      </c>
      <c r="P1484" s="51" t="b">
        <v>0</v>
      </c>
      <c r="Q1484" s="51" t="b">
        <v>0</v>
      </c>
      <c r="R1484" s="51" t="b">
        <v>0</v>
      </c>
      <c r="S1484" s="51" t="b">
        <v>0</v>
      </c>
    </row>
    <row r="1485" hidden="1">
      <c r="A1485" s="4" t="str">
        <f>IFERROR(__xludf.DUMMYFUNCTION("""COMPUTED_VALUE"""),"2039 - Channel")</f>
        <v>2039 - Channel</v>
      </c>
      <c r="B1485" s="4"/>
      <c r="C1485" s="4"/>
      <c r="D1485" s="6"/>
      <c r="E1485" s="6"/>
      <c r="F1485" s="6"/>
      <c r="G1485" s="4"/>
      <c r="H1485" s="4"/>
      <c r="I1485" s="4"/>
      <c r="J1485" s="4"/>
      <c r="K1485" s="4"/>
      <c r="L1485" s="4"/>
      <c r="M1485" s="4"/>
      <c r="N1485" s="4" t="s">
        <v>70</v>
      </c>
      <c r="O1485" s="51" t="b">
        <v>0</v>
      </c>
      <c r="P1485" s="51" t="b">
        <v>0</v>
      </c>
      <c r="Q1485" s="51" t="b">
        <v>0</v>
      </c>
      <c r="R1485" s="51" t="b">
        <v>0</v>
      </c>
      <c r="S1485" s="51" t="b">
        <v>0</v>
      </c>
    </row>
    <row r="1486" hidden="1">
      <c r="A1486" s="4" t="str">
        <f>IFERROR(__xludf.DUMMYFUNCTION("""COMPUTED_VALUE"""),"2040 - Channel")</f>
        <v>2040 - Channel</v>
      </c>
      <c r="B1486" s="4"/>
      <c r="C1486" s="4"/>
      <c r="D1486" s="6"/>
      <c r="E1486" s="6"/>
      <c r="F1486" s="6"/>
      <c r="G1486" s="4"/>
      <c r="H1486" s="4"/>
      <c r="I1486" s="4"/>
      <c r="J1486" s="4"/>
      <c r="K1486" s="4"/>
      <c r="L1486" s="4"/>
      <c r="M1486" s="4"/>
      <c r="N1486" s="4" t="s">
        <v>70</v>
      </c>
      <c r="O1486" s="51" t="b">
        <v>0</v>
      </c>
      <c r="P1486" s="51" t="b">
        <v>0</v>
      </c>
      <c r="Q1486" s="51" t="b">
        <v>0</v>
      </c>
      <c r="R1486" s="51" t="b">
        <v>0</v>
      </c>
      <c r="S1486" s="51" t="b">
        <v>0</v>
      </c>
    </row>
    <row r="1487" hidden="1">
      <c r="A1487" s="4" t="str">
        <f>IFERROR(__xludf.DUMMYFUNCTION("""COMPUTED_VALUE"""),"2041 - Channel")</f>
        <v>2041 - Channel</v>
      </c>
      <c r="B1487" s="4"/>
      <c r="C1487" s="4"/>
      <c r="D1487" s="6"/>
      <c r="E1487" s="6"/>
      <c r="F1487" s="6"/>
      <c r="G1487" s="4"/>
      <c r="H1487" s="4"/>
      <c r="I1487" s="4"/>
      <c r="J1487" s="4"/>
      <c r="K1487" s="4"/>
      <c r="L1487" s="4"/>
      <c r="M1487" s="4"/>
      <c r="N1487" s="4" t="s">
        <v>70</v>
      </c>
      <c r="O1487" s="51" t="b">
        <v>0</v>
      </c>
      <c r="P1487" s="51" t="b">
        <v>0</v>
      </c>
      <c r="Q1487" s="51" t="b">
        <v>0</v>
      </c>
      <c r="R1487" s="51" t="b">
        <v>0</v>
      </c>
      <c r="S1487" s="51" t="b">
        <v>0</v>
      </c>
    </row>
    <row r="1488" hidden="1">
      <c r="A1488" s="4" t="str">
        <f>IFERROR(__xludf.DUMMYFUNCTION("""COMPUTED_VALUE"""),"2042 - Channel")</f>
        <v>2042 - Channel</v>
      </c>
      <c r="B1488" s="4"/>
      <c r="C1488" s="4"/>
      <c r="D1488" s="6"/>
      <c r="E1488" s="6"/>
      <c r="F1488" s="6"/>
      <c r="G1488" s="4"/>
      <c r="H1488" s="4"/>
      <c r="I1488" s="4"/>
      <c r="J1488" s="4"/>
      <c r="K1488" s="4"/>
      <c r="L1488" s="4"/>
      <c r="M1488" s="4"/>
      <c r="N1488" s="4" t="s">
        <v>70</v>
      </c>
      <c r="O1488" s="51" t="b">
        <v>0</v>
      </c>
      <c r="P1488" s="51" t="b">
        <v>0</v>
      </c>
      <c r="Q1488" s="51" t="b">
        <v>0</v>
      </c>
      <c r="R1488" s="51" t="b">
        <v>0</v>
      </c>
      <c r="S1488" s="51" t="b">
        <v>0</v>
      </c>
    </row>
    <row r="1489" hidden="1">
      <c r="A1489" s="4" t="str">
        <f>IFERROR(__xludf.DUMMYFUNCTION("""COMPUTED_VALUE"""),"2043 - Channel")</f>
        <v>2043 - Channel</v>
      </c>
      <c r="B1489" s="4"/>
      <c r="C1489" s="4"/>
      <c r="D1489" s="6"/>
      <c r="E1489" s="6"/>
      <c r="F1489" s="6"/>
      <c r="G1489" s="4"/>
      <c r="H1489" s="4"/>
      <c r="I1489" s="4"/>
      <c r="J1489" s="4"/>
      <c r="K1489" s="4"/>
      <c r="L1489" s="4"/>
      <c r="M1489" s="4"/>
      <c r="N1489" s="4" t="s">
        <v>70</v>
      </c>
      <c r="O1489" s="51" t="b">
        <v>0</v>
      </c>
      <c r="P1489" s="51" t="b">
        <v>0</v>
      </c>
      <c r="Q1489" s="51" t="b">
        <v>0</v>
      </c>
      <c r="R1489" s="51" t="b">
        <v>0</v>
      </c>
      <c r="S1489" s="51" t="b">
        <v>0</v>
      </c>
    </row>
    <row r="1490" hidden="1">
      <c r="A1490" s="4" t="str">
        <f>IFERROR(__xludf.DUMMYFUNCTION("""COMPUTED_VALUE"""),"2044 - Channel")</f>
        <v>2044 - Channel</v>
      </c>
      <c r="B1490" s="4"/>
      <c r="C1490" s="4"/>
      <c r="D1490" s="6"/>
      <c r="E1490" s="6"/>
      <c r="F1490" s="6"/>
      <c r="G1490" s="4"/>
      <c r="H1490" s="4"/>
      <c r="I1490" s="4"/>
      <c r="J1490" s="4"/>
      <c r="K1490" s="4"/>
      <c r="L1490" s="4"/>
      <c r="M1490" s="4"/>
      <c r="N1490" s="4" t="s">
        <v>70</v>
      </c>
      <c r="O1490" s="51" t="b">
        <v>0</v>
      </c>
      <c r="P1490" s="51" t="b">
        <v>0</v>
      </c>
      <c r="Q1490" s="51" t="b">
        <v>0</v>
      </c>
      <c r="R1490" s="51" t="b">
        <v>0</v>
      </c>
      <c r="S1490" s="51" t="b">
        <v>0</v>
      </c>
    </row>
    <row r="1491" hidden="1">
      <c r="A1491" s="4" t="str">
        <f>IFERROR(__xludf.DUMMYFUNCTION("""COMPUTED_VALUE"""),"2045 - Channel")</f>
        <v>2045 - Channel</v>
      </c>
      <c r="B1491" s="4"/>
      <c r="C1491" s="4"/>
      <c r="D1491" s="6"/>
      <c r="E1491" s="6"/>
      <c r="F1491" s="6"/>
      <c r="G1491" s="4"/>
      <c r="H1491" s="4"/>
      <c r="I1491" s="4"/>
      <c r="J1491" s="4"/>
      <c r="K1491" s="4"/>
      <c r="L1491" s="4"/>
      <c r="M1491" s="4"/>
      <c r="N1491" s="4" t="s">
        <v>70</v>
      </c>
      <c r="O1491" s="51" t="b">
        <v>0</v>
      </c>
      <c r="P1491" s="51" t="b">
        <v>0</v>
      </c>
      <c r="Q1491" s="51" t="b">
        <v>0</v>
      </c>
      <c r="R1491" s="51" t="b">
        <v>0</v>
      </c>
      <c r="S1491" s="51" t="b">
        <v>0</v>
      </c>
    </row>
    <row r="1492" hidden="1">
      <c r="A1492" s="4" t="str">
        <f>IFERROR(__xludf.DUMMYFUNCTION("""COMPUTED_VALUE"""),"2046 - Channel")</f>
        <v>2046 - Channel</v>
      </c>
      <c r="B1492" s="4"/>
      <c r="C1492" s="4"/>
      <c r="D1492" s="6"/>
      <c r="E1492" s="6"/>
      <c r="F1492" s="6"/>
      <c r="G1492" s="4"/>
      <c r="H1492" s="4"/>
      <c r="I1492" s="4"/>
      <c r="J1492" s="4"/>
      <c r="K1492" s="4"/>
      <c r="L1492" s="4"/>
      <c r="M1492" s="4"/>
      <c r="N1492" s="4" t="s">
        <v>70</v>
      </c>
      <c r="O1492" s="51" t="b">
        <v>0</v>
      </c>
      <c r="P1492" s="51" t="b">
        <v>0</v>
      </c>
      <c r="Q1492" s="51" t="b">
        <v>0</v>
      </c>
      <c r="R1492" s="51" t="b">
        <v>0</v>
      </c>
      <c r="S1492" s="51" t="b">
        <v>0</v>
      </c>
    </row>
    <row r="1493" hidden="1">
      <c r="A1493" s="4" t="str">
        <f>IFERROR(__xludf.DUMMYFUNCTION("""COMPUTED_VALUE"""),"2047 - Channel")</f>
        <v>2047 - Channel</v>
      </c>
      <c r="B1493" s="4"/>
      <c r="C1493" s="4"/>
      <c r="D1493" s="6"/>
      <c r="E1493" s="6"/>
      <c r="F1493" s="6"/>
      <c r="G1493" s="4"/>
      <c r="H1493" s="4"/>
      <c r="I1493" s="4"/>
      <c r="J1493" s="4"/>
      <c r="K1493" s="4"/>
      <c r="L1493" s="4"/>
      <c r="M1493" s="4"/>
      <c r="N1493" s="4" t="s">
        <v>70</v>
      </c>
      <c r="O1493" s="51" t="b">
        <v>0</v>
      </c>
      <c r="P1493" s="51" t="b">
        <v>0</v>
      </c>
      <c r="Q1493" s="51" t="b">
        <v>0</v>
      </c>
      <c r="R1493" s="51" t="b">
        <v>0</v>
      </c>
      <c r="S1493" s="51" t="b">
        <v>0</v>
      </c>
    </row>
    <row r="1494" hidden="1">
      <c r="A1494" s="4" t="str">
        <f>IFERROR(__xludf.DUMMYFUNCTION("""COMPUTED_VALUE"""),"2048 - Channel")</f>
        <v>2048 - Channel</v>
      </c>
      <c r="B1494" s="4"/>
      <c r="C1494" s="4"/>
      <c r="D1494" s="6"/>
      <c r="E1494" s="6"/>
      <c r="F1494" s="6"/>
      <c r="G1494" s="4"/>
      <c r="H1494" s="4"/>
      <c r="I1494" s="4"/>
      <c r="J1494" s="4"/>
      <c r="K1494" s="4"/>
      <c r="L1494" s="4"/>
      <c r="M1494" s="4"/>
      <c r="N1494" s="4" t="s">
        <v>70</v>
      </c>
      <c r="O1494" s="51" t="b">
        <v>0</v>
      </c>
      <c r="P1494" s="51" t="b">
        <v>0</v>
      </c>
      <c r="Q1494" s="51" t="b">
        <v>0</v>
      </c>
      <c r="R1494" s="51" t="b">
        <v>0</v>
      </c>
      <c r="S1494" s="51" t="b">
        <v>0</v>
      </c>
    </row>
    <row r="1495" hidden="1">
      <c r="A1495" s="4" t="str">
        <f>IFERROR(__xludf.DUMMYFUNCTION("""COMPUTED_VALUE"""),"2049 - Channel")</f>
        <v>2049 - Channel</v>
      </c>
      <c r="B1495" s="4"/>
      <c r="C1495" s="4"/>
      <c r="D1495" s="6"/>
      <c r="E1495" s="6"/>
      <c r="F1495" s="6"/>
      <c r="G1495" s="4"/>
      <c r="H1495" s="4"/>
      <c r="I1495" s="4"/>
      <c r="J1495" s="4"/>
      <c r="K1495" s="4"/>
      <c r="L1495" s="4"/>
      <c r="M1495" s="4"/>
      <c r="N1495" s="4" t="s">
        <v>70</v>
      </c>
      <c r="O1495" s="51" t="b">
        <v>0</v>
      </c>
      <c r="P1495" s="51" t="b">
        <v>0</v>
      </c>
      <c r="Q1495" s="51" t="b">
        <v>0</v>
      </c>
      <c r="R1495" s="51" t="b">
        <v>0</v>
      </c>
      <c r="S1495" s="51" t="b">
        <v>0</v>
      </c>
    </row>
    <row r="1496" hidden="1">
      <c r="A1496" s="4" t="str">
        <f>IFERROR(__xludf.DUMMYFUNCTION("""COMPUTED_VALUE"""),"2050 - Channel")</f>
        <v>2050 - Channel</v>
      </c>
      <c r="B1496" s="4"/>
      <c r="C1496" s="4"/>
      <c r="D1496" s="6"/>
      <c r="E1496" s="6"/>
      <c r="F1496" s="6"/>
      <c r="G1496" s="4"/>
      <c r="H1496" s="4"/>
      <c r="I1496" s="4"/>
      <c r="J1496" s="4"/>
      <c r="K1496" s="4"/>
      <c r="L1496" s="4"/>
      <c r="M1496" s="4"/>
      <c r="N1496" s="4" t="s">
        <v>70</v>
      </c>
      <c r="O1496" s="51" t="b">
        <v>0</v>
      </c>
      <c r="P1496" s="51" t="b">
        <v>0</v>
      </c>
      <c r="Q1496" s="51" t="b">
        <v>0</v>
      </c>
      <c r="R1496" s="51" t="b">
        <v>0</v>
      </c>
      <c r="S1496" s="51" t="b">
        <v>0</v>
      </c>
    </row>
    <row r="1497" hidden="1">
      <c r="A1497" s="4" t="str">
        <f>IFERROR(__xludf.DUMMYFUNCTION("""COMPUTED_VALUE"""),"2051 - Channel")</f>
        <v>2051 - Channel</v>
      </c>
      <c r="B1497" s="4"/>
      <c r="C1497" s="4"/>
      <c r="D1497" s="6"/>
      <c r="E1497" s="6"/>
      <c r="F1497" s="6"/>
      <c r="G1497" s="4"/>
      <c r="H1497" s="4"/>
      <c r="I1497" s="4"/>
      <c r="J1497" s="4"/>
      <c r="K1497" s="4"/>
      <c r="L1497" s="4"/>
      <c r="M1497" s="4"/>
      <c r="N1497" s="4" t="s">
        <v>70</v>
      </c>
      <c r="O1497" s="51" t="b">
        <v>0</v>
      </c>
      <c r="P1497" s="51" t="b">
        <v>0</v>
      </c>
      <c r="Q1497" s="51" t="b">
        <v>0</v>
      </c>
      <c r="R1497" s="51" t="b">
        <v>0</v>
      </c>
      <c r="S1497" s="51" t="b">
        <v>0</v>
      </c>
    </row>
    <row r="1498" hidden="1">
      <c r="A1498" s="4" t="str">
        <f>IFERROR(__xludf.DUMMYFUNCTION("""COMPUTED_VALUE"""),"2052 - Channel")</f>
        <v>2052 - Channel</v>
      </c>
      <c r="B1498" s="4"/>
      <c r="C1498" s="4"/>
      <c r="D1498" s="6"/>
      <c r="E1498" s="6"/>
      <c r="F1498" s="6"/>
      <c r="G1498" s="4"/>
      <c r="H1498" s="4"/>
      <c r="I1498" s="4"/>
      <c r="J1498" s="4"/>
      <c r="K1498" s="4"/>
      <c r="L1498" s="4"/>
      <c r="M1498" s="4"/>
      <c r="N1498" s="4" t="s">
        <v>70</v>
      </c>
      <c r="O1498" s="51" t="b">
        <v>0</v>
      </c>
      <c r="P1498" s="51" t="b">
        <v>0</v>
      </c>
      <c r="Q1498" s="51" t="b">
        <v>0</v>
      </c>
      <c r="R1498" s="51" t="b">
        <v>0</v>
      </c>
      <c r="S1498" s="51" t="b">
        <v>0</v>
      </c>
    </row>
    <row r="1499" hidden="1">
      <c r="A1499" s="4" t="str">
        <f>IFERROR(__xludf.DUMMYFUNCTION("""COMPUTED_VALUE"""),"2053 - Channel")</f>
        <v>2053 - Channel</v>
      </c>
      <c r="B1499" s="4"/>
      <c r="C1499" s="4"/>
      <c r="D1499" s="6"/>
      <c r="E1499" s="6"/>
      <c r="F1499" s="6"/>
      <c r="G1499" s="4"/>
      <c r="H1499" s="4"/>
      <c r="I1499" s="4"/>
      <c r="J1499" s="4"/>
      <c r="K1499" s="4"/>
      <c r="L1499" s="4"/>
      <c r="M1499" s="4"/>
      <c r="N1499" s="4" t="s">
        <v>70</v>
      </c>
      <c r="O1499" s="51" t="b">
        <v>0</v>
      </c>
      <c r="P1499" s="51" t="b">
        <v>0</v>
      </c>
      <c r="Q1499" s="51" t="b">
        <v>0</v>
      </c>
      <c r="R1499" s="51" t="b">
        <v>0</v>
      </c>
      <c r="S1499" s="51" t="b">
        <v>0</v>
      </c>
    </row>
    <row r="1500" hidden="1">
      <c r="A1500" s="4" t="str">
        <f>IFERROR(__xludf.DUMMYFUNCTION("""COMPUTED_VALUE"""),"2054 - Channel")</f>
        <v>2054 - Channel</v>
      </c>
      <c r="B1500" s="4"/>
      <c r="C1500" s="4"/>
      <c r="D1500" s="6"/>
      <c r="E1500" s="6"/>
      <c r="F1500" s="6"/>
      <c r="G1500" s="4"/>
      <c r="H1500" s="4"/>
      <c r="I1500" s="4"/>
      <c r="J1500" s="4"/>
      <c r="K1500" s="4"/>
      <c r="L1500" s="4"/>
      <c r="M1500" s="4"/>
      <c r="N1500" s="4" t="s">
        <v>70</v>
      </c>
      <c r="O1500" s="51" t="b">
        <v>0</v>
      </c>
      <c r="P1500" s="51" t="b">
        <v>0</v>
      </c>
      <c r="Q1500" s="51" t="b">
        <v>0</v>
      </c>
      <c r="R1500" s="51" t="b">
        <v>0</v>
      </c>
      <c r="S1500" s="51" t="b">
        <v>0</v>
      </c>
    </row>
    <row r="1501" hidden="1">
      <c r="A1501" s="4" t="str">
        <f>IFERROR(__xludf.DUMMYFUNCTION("""COMPUTED_VALUE"""),"2055 - Channel")</f>
        <v>2055 - Channel</v>
      </c>
      <c r="B1501" s="4"/>
      <c r="C1501" s="4"/>
      <c r="D1501" s="6"/>
      <c r="E1501" s="6"/>
      <c r="F1501" s="6"/>
      <c r="G1501" s="4"/>
      <c r="H1501" s="4"/>
      <c r="I1501" s="4"/>
      <c r="J1501" s="4"/>
      <c r="K1501" s="4"/>
      <c r="L1501" s="4"/>
      <c r="M1501" s="4"/>
      <c r="N1501" s="4" t="s">
        <v>70</v>
      </c>
      <c r="O1501" s="51" t="b">
        <v>0</v>
      </c>
      <c r="P1501" s="51" t="b">
        <v>0</v>
      </c>
      <c r="Q1501" s="51" t="b">
        <v>0</v>
      </c>
      <c r="R1501" s="51" t="b">
        <v>0</v>
      </c>
      <c r="S1501" s="51" t="b">
        <v>0</v>
      </c>
    </row>
    <row r="1502" hidden="1">
      <c r="A1502" s="4" t="str">
        <f>IFERROR(__xludf.DUMMYFUNCTION("""COMPUTED_VALUE"""),"2056 - Channel")</f>
        <v>2056 - Channel</v>
      </c>
      <c r="B1502" s="4"/>
      <c r="C1502" s="4"/>
      <c r="D1502" s="6"/>
      <c r="E1502" s="6"/>
      <c r="F1502" s="6"/>
      <c r="G1502" s="4"/>
      <c r="H1502" s="4"/>
      <c r="I1502" s="4"/>
      <c r="J1502" s="4"/>
      <c r="K1502" s="4"/>
      <c r="L1502" s="4"/>
      <c r="M1502" s="4"/>
      <c r="N1502" s="4" t="s">
        <v>70</v>
      </c>
      <c r="O1502" s="51" t="b">
        <v>0</v>
      </c>
      <c r="P1502" s="51" t="b">
        <v>0</v>
      </c>
      <c r="Q1502" s="51" t="b">
        <v>0</v>
      </c>
      <c r="R1502" s="51" t="b">
        <v>0</v>
      </c>
      <c r="S1502" s="51" t="b">
        <v>0</v>
      </c>
    </row>
    <row r="1503" hidden="1">
      <c r="A1503" s="4" t="str">
        <f>IFERROR(__xludf.DUMMYFUNCTION("""COMPUTED_VALUE"""),"2057 - Channel")</f>
        <v>2057 - Channel</v>
      </c>
      <c r="B1503" s="4"/>
      <c r="C1503" s="4"/>
      <c r="D1503" s="6"/>
      <c r="E1503" s="6"/>
      <c r="F1503" s="6"/>
      <c r="G1503" s="4"/>
      <c r="H1503" s="4"/>
      <c r="I1503" s="4"/>
      <c r="J1503" s="4"/>
      <c r="K1503" s="4"/>
      <c r="L1503" s="4"/>
      <c r="M1503" s="4"/>
      <c r="N1503" s="4" t="s">
        <v>70</v>
      </c>
      <c r="O1503" s="51" t="b">
        <v>0</v>
      </c>
      <c r="P1503" s="51" t="b">
        <v>0</v>
      </c>
      <c r="Q1503" s="51" t="b">
        <v>0</v>
      </c>
      <c r="R1503" s="51" t="b">
        <v>0</v>
      </c>
      <c r="S1503" s="51" t="b">
        <v>0</v>
      </c>
    </row>
    <row r="1504" hidden="1">
      <c r="A1504" s="4" t="str">
        <f>IFERROR(__xludf.DUMMYFUNCTION("""COMPUTED_VALUE"""),"2058 - Channel")</f>
        <v>2058 - Channel</v>
      </c>
      <c r="B1504" s="4"/>
      <c r="C1504" s="4"/>
      <c r="D1504" s="6"/>
      <c r="E1504" s="6"/>
      <c r="F1504" s="6"/>
      <c r="G1504" s="4"/>
      <c r="H1504" s="4"/>
      <c r="I1504" s="4"/>
      <c r="J1504" s="4"/>
      <c r="K1504" s="4"/>
      <c r="L1504" s="4"/>
      <c r="M1504" s="4"/>
      <c r="N1504" s="4" t="s">
        <v>70</v>
      </c>
      <c r="O1504" s="51" t="b">
        <v>0</v>
      </c>
      <c r="P1504" s="51" t="b">
        <v>0</v>
      </c>
      <c r="Q1504" s="51" t="b">
        <v>0</v>
      </c>
      <c r="R1504" s="51" t="b">
        <v>0</v>
      </c>
      <c r="S1504" s="51" t="b">
        <v>0</v>
      </c>
    </row>
    <row r="1505" hidden="1">
      <c r="A1505" s="4" t="str">
        <f>IFERROR(__xludf.DUMMYFUNCTION("""COMPUTED_VALUE"""),"2059 - Channel")</f>
        <v>2059 - Channel</v>
      </c>
      <c r="B1505" s="4"/>
      <c r="C1505" s="4"/>
      <c r="D1505" s="6"/>
      <c r="E1505" s="6"/>
      <c r="F1505" s="6"/>
      <c r="G1505" s="4"/>
      <c r="H1505" s="4"/>
      <c r="I1505" s="4"/>
      <c r="J1505" s="4"/>
      <c r="K1505" s="4"/>
      <c r="L1505" s="4"/>
      <c r="M1505" s="4"/>
      <c r="N1505" s="4" t="s">
        <v>70</v>
      </c>
      <c r="O1505" s="51" t="b">
        <v>0</v>
      </c>
      <c r="P1505" s="51" t="b">
        <v>0</v>
      </c>
      <c r="Q1505" s="51" t="b">
        <v>0</v>
      </c>
      <c r="R1505" s="51" t="b">
        <v>0</v>
      </c>
      <c r="S1505" s="51" t="b">
        <v>0</v>
      </c>
    </row>
    <row r="1506" hidden="1">
      <c r="A1506" s="4" t="str">
        <f>IFERROR(__xludf.DUMMYFUNCTION("""COMPUTED_VALUE"""),"2060 - Channel")</f>
        <v>2060 - Channel</v>
      </c>
      <c r="B1506" s="4"/>
      <c r="C1506" s="4"/>
      <c r="D1506" s="6"/>
      <c r="E1506" s="6"/>
      <c r="F1506" s="6"/>
      <c r="G1506" s="4"/>
      <c r="H1506" s="4"/>
      <c r="I1506" s="4"/>
      <c r="J1506" s="4"/>
      <c r="K1506" s="4"/>
      <c r="L1506" s="4"/>
      <c r="M1506" s="4"/>
      <c r="N1506" s="4" t="s">
        <v>70</v>
      </c>
      <c r="O1506" s="51" t="b">
        <v>0</v>
      </c>
      <c r="P1506" s="51" t="b">
        <v>0</v>
      </c>
      <c r="Q1506" s="51" t="b">
        <v>0</v>
      </c>
      <c r="R1506" s="51" t="b">
        <v>0</v>
      </c>
      <c r="S1506" s="51" t="b">
        <v>0</v>
      </c>
    </row>
    <row r="1507" hidden="1">
      <c r="A1507" s="4" t="str">
        <f>IFERROR(__xludf.DUMMYFUNCTION("""COMPUTED_VALUE"""),"2061 - Channel")</f>
        <v>2061 - Channel</v>
      </c>
      <c r="B1507" s="4"/>
      <c r="C1507" s="4"/>
      <c r="D1507" s="6"/>
      <c r="E1507" s="6"/>
      <c r="F1507" s="6"/>
      <c r="G1507" s="4"/>
      <c r="H1507" s="4"/>
      <c r="I1507" s="4"/>
      <c r="J1507" s="4"/>
      <c r="K1507" s="4"/>
      <c r="L1507" s="4"/>
      <c r="M1507" s="4"/>
      <c r="N1507" s="4" t="s">
        <v>70</v>
      </c>
      <c r="O1507" s="51" t="b">
        <v>0</v>
      </c>
      <c r="P1507" s="51" t="b">
        <v>0</v>
      </c>
      <c r="Q1507" s="51" t="b">
        <v>0</v>
      </c>
      <c r="R1507" s="51" t="b">
        <v>0</v>
      </c>
      <c r="S1507" s="51" t="b">
        <v>0</v>
      </c>
    </row>
    <row r="1508" hidden="1">
      <c r="A1508" s="4" t="str">
        <f>IFERROR(__xludf.DUMMYFUNCTION("""COMPUTED_VALUE"""),"2062 - Channel")</f>
        <v>2062 - Channel</v>
      </c>
      <c r="B1508" s="4"/>
      <c r="C1508" s="4"/>
      <c r="D1508" s="6"/>
      <c r="E1508" s="6"/>
      <c r="F1508" s="6"/>
      <c r="G1508" s="4"/>
      <c r="H1508" s="4"/>
      <c r="I1508" s="4"/>
      <c r="J1508" s="4"/>
      <c r="K1508" s="4"/>
      <c r="L1508" s="4"/>
      <c r="M1508" s="4"/>
      <c r="N1508" s="4" t="s">
        <v>70</v>
      </c>
      <c r="O1508" s="51" t="b">
        <v>0</v>
      </c>
      <c r="P1508" s="51" t="b">
        <v>0</v>
      </c>
      <c r="Q1508" s="51" t="b">
        <v>0</v>
      </c>
      <c r="R1508" s="51" t="b">
        <v>0</v>
      </c>
      <c r="S1508" s="51" t="b">
        <v>0</v>
      </c>
    </row>
    <row r="1509" hidden="1">
      <c r="A1509" s="4" t="str">
        <f>IFERROR(__xludf.DUMMYFUNCTION("""COMPUTED_VALUE"""),"2063 - Channel")</f>
        <v>2063 - Channel</v>
      </c>
      <c r="B1509" s="4"/>
      <c r="C1509" s="4"/>
      <c r="D1509" s="6"/>
      <c r="E1509" s="6"/>
      <c r="F1509" s="6"/>
      <c r="G1509" s="4"/>
      <c r="H1509" s="4"/>
      <c r="I1509" s="4"/>
      <c r="J1509" s="4"/>
      <c r="K1509" s="4"/>
      <c r="L1509" s="4"/>
      <c r="M1509" s="4"/>
      <c r="N1509" s="4" t="s">
        <v>70</v>
      </c>
      <c r="O1509" s="51" t="b">
        <v>0</v>
      </c>
      <c r="P1509" s="51" t="b">
        <v>0</v>
      </c>
      <c r="Q1509" s="51" t="b">
        <v>0</v>
      </c>
      <c r="R1509" s="51" t="b">
        <v>0</v>
      </c>
      <c r="S1509" s="51" t="b">
        <v>0</v>
      </c>
    </row>
    <row r="1510" hidden="1">
      <c r="A1510" s="4" t="str">
        <f>IFERROR(__xludf.DUMMYFUNCTION("""COMPUTED_VALUE"""),"2064 - Channel")</f>
        <v>2064 - Channel</v>
      </c>
      <c r="B1510" s="4"/>
      <c r="C1510" s="4"/>
      <c r="D1510" s="6"/>
      <c r="E1510" s="6"/>
      <c r="F1510" s="6"/>
      <c r="G1510" s="4"/>
      <c r="H1510" s="4"/>
      <c r="I1510" s="4"/>
      <c r="J1510" s="4"/>
      <c r="K1510" s="4"/>
      <c r="L1510" s="4"/>
      <c r="M1510" s="4"/>
      <c r="N1510" s="4" t="s">
        <v>70</v>
      </c>
      <c r="O1510" s="51" t="b">
        <v>0</v>
      </c>
      <c r="P1510" s="51" t="b">
        <v>0</v>
      </c>
      <c r="Q1510" s="51" t="b">
        <v>0</v>
      </c>
      <c r="R1510" s="51" t="b">
        <v>0</v>
      </c>
      <c r="S1510" s="51" t="b">
        <v>0</v>
      </c>
    </row>
    <row r="1511" hidden="1">
      <c r="A1511" s="4" t="str">
        <f>IFERROR(__xludf.DUMMYFUNCTION("""COMPUTED_VALUE"""),"2065 - Channel")</f>
        <v>2065 - Channel</v>
      </c>
      <c r="B1511" s="4"/>
      <c r="C1511" s="4"/>
      <c r="D1511" s="6"/>
      <c r="E1511" s="6"/>
      <c r="F1511" s="6"/>
      <c r="G1511" s="4"/>
      <c r="H1511" s="4"/>
      <c r="I1511" s="4"/>
      <c r="J1511" s="4"/>
      <c r="K1511" s="4"/>
      <c r="L1511" s="4"/>
      <c r="M1511" s="4"/>
      <c r="N1511" s="4" t="s">
        <v>70</v>
      </c>
      <c r="O1511" s="51" t="b">
        <v>0</v>
      </c>
      <c r="P1511" s="51" t="b">
        <v>0</v>
      </c>
      <c r="Q1511" s="51" t="b">
        <v>0</v>
      </c>
      <c r="R1511" s="51" t="b">
        <v>0</v>
      </c>
      <c r="S1511" s="51" t="b">
        <v>0</v>
      </c>
    </row>
    <row r="1512" hidden="1">
      <c r="A1512" s="4" t="str">
        <f>IFERROR(__xludf.DUMMYFUNCTION("""COMPUTED_VALUE"""),"2066 - Channel")</f>
        <v>2066 - Channel</v>
      </c>
      <c r="B1512" s="4"/>
      <c r="C1512" s="4"/>
      <c r="D1512" s="6"/>
      <c r="E1512" s="6"/>
      <c r="F1512" s="6"/>
      <c r="G1512" s="4"/>
      <c r="H1512" s="4"/>
      <c r="I1512" s="4"/>
      <c r="J1512" s="4"/>
      <c r="K1512" s="4"/>
      <c r="L1512" s="4"/>
      <c r="M1512" s="4"/>
      <c r="N1512" s="4" t="s">
        <v>70</v>
      </c>
      <c r="O1512" s="51" t="b">
        <v>0</v>
      </c>
      <c r="P1512" s="51" t="b">
        <v>0</v>
      </c>
      <c r="Q1512" s="51" t="b">
        <v>0</v>
      </c>
      <c r="R1512" s="51" t="b">
        <v>0</v>
      </c>
      <c r="S1512" s="51" t="b">
        <v>0</v>
      </c>
    </row>
    <row r="1513" hidden="1">
      <c r="A1513" s="4" t="str">
        <f>IFERROR(__xludf.DUMMYFUNCTION("""COMPUTED_VALUE"""),"2067 - Channel")</f>
        <v>2067 - Channel</v>
      </c>
      <c r="B1513" s="4"/>
      <c r="C1513" s="4"/>
      <c r="D1513" s="6"/>
      <c r="E1513" s="6"/>
      <c r="F1513" s="6"/>
      <c r="G1513" s="4"/>
      <c r="H1513" s="4"/>
      <c r="I1513" s="4"/>
      <c r="J1513" s="4"/>
      <c r="K1513" s="4"/>
      <c r="L1513" s="4"/>
      <c r="M1513" s="4"/>
      <c r="N1513" s="4" t="s">
        <v>70</v>
      </c>
      <c r="O1513" s="51" t="b">
        <v>0</v>
      </c>
      <c r="P1513" s="51" t="b">
        <v>0</v>
      </c>
      <c r="Q1513" s="51" t="b">
        <v>0</v>
      </c>
      <c r="R1513" s="51" t="b">
        <v>0</v>
      </c>
      <c r="S1513" s="51" t="b">
        <v>0</v>
      </c>
    </row>
    <row r="1514" hidden="1">
      <c r="A1514" s="4" t="str">
        <f>IFERROR(__xludf.DUMMYFUNCTION("""COMPUTED_VALUE"""),"2068 - Channel")</f>
        <v>2068 - Channel</v>
      </c>
      <c r="B1514" s="4"/>
      <c r="C1514" s="4"/>
      <c r="D1514" s="6"/>
      <c r="E1514" s="6"/>
      <c r="F1514" s="6"/>
      <c r="G1514" s="4"/>
      <c r="H1514" s="4"/>
      <c r="I1514" s="4"/>
      <c r="J1514" s="4"/>
      <c r="K1514" s="4"/>
      <c r="L1514" s="4"/>
      <c r="M1514" s="4"/>
      <c r="N1514" s="4" t="s">
        <v>70</v>
      </c>
      <c r="O1514" s="51" t="b">
        <v>0</v>
      </c>
      <c r="P1514" s="51" t="b">
        <v>0</v>
      </c>
      <c r="Q1514" s="51" t="b">
        <v>0</v>
      </c>
      <c r="R1514" s="51" t="b">
        <v>0</v>
      </c>
      <c r="S1514" s="51" t="b">
        <v>0</v>
      </c>
    </row>
    <row r="1515" hidden="1">
      <c r="A1515" s="4" t="str">
        <f>IFERROR(__xludf.DUMMYFUNCTION("""COMPUTED_VALUE"""),"2069 - Channel")</f>
        <v>2069 - Channel</v>
      </c>
      <c r="B1515" s="4"/>
      <c r="C1515" s="4"/>
      <c r="D1515" s="6"/>
      <c r="E1515" s="6"/>
      <c r="F1515" s="6"/>
      <c r="G1515" s="4"/>
      <c r="H1515" s="4"/>
      <c r="I1515" s="4"/>
      <c r="J1515" s="4"/>
      <c r="K1515" s="4"/>
      <c r="L1515" s="4"/>
      <c r="M1515" s="4"/>
      <c r="N1515" s="4" t="s">
        <v>70</v>
      </c>
      <c r="O1515" s="51" t="b">
        <v>0</v>
      </c>
      <c r="P1515" s="51" t="b">
        <v>0</v>
      </c>
      <c r="Q1515" s="51" t="b">
        <v>0</v>
      </c>
      <c r="R1515" s="51" t="b">
        <v>0</v>
      </c>
      <c r="S1515" s="51" t="b">
        <v>0</v>
      </c>
    </row>
    <row r="1516" hidden="1">
      <c r="A1516" s="4" t="str">
        <f>IFERROR(__xludf.DUMMYFUNCTION("""COMPUTED_VALUE"""),"2070 - Channel")</f>
        <v>2070 - Channel</v>
      </c>
      <c r="B1516" s="4"/>
      <c r="C1516" s="4"/>
      <c r="D1516" s="6"/>
      <c r="E1516" s="6"/>
      <c r="F1516" s="6"/>
      <c r="G1516" s="4"/>
      <c r="H1516" s="4"/>
      <c r="I1516" s="4"/>
      <c r="J1516" s="4"/>
      <c r="K1516" s="4"/>
      <c r="L1516" s="4"/>
      <c r="M1516" s="4"/>
      <c r="N1516" s="4" t="s">
        <v>70</v>
      </c>
      <c r="O1516" s="51" t="b">
        <v>0</v>
      </c>
      <c r="P1516" s="51" t="b">
        <v>0</v>
      </c>
      <c r="Q1516" s="51" t="b">
        <v>0</v>
      </c>
      <c r="R1516" s="51" t="b">
        <v>0</v>
      </c>
      <c r="S1516" s="51" t="b">
        <v>0</v>
      </c>
    </row>
    <row r="1517" hidden="1">
      <c r="A1517" s="4" t="str">
        <f>IFERROR(__xludf.DUMMYFUNCTION("""COMPUTED_VALUE"""),"2071 - Channel")</f>
        <v>2071 - Channel</v>
      </c>
      <c r="B1517" s="4"/>
      <c r="C1517" s="4"/>
      <c r="D1517" s="6"/>
      <c r="E1517" s="6"/>
      <c r="F1517" s="6"/>
      <c r="G1517" s="4"/>
      <c r="H1517" s="4"/>
      <c r="I1517" s="4"/>
      <c r="J1517" s="4"/>
      <c r="K1517" s="4"/>
      <c r="L1517" s="4"/>
      <c r="M1517" s="4"/>
      <c r="N1517" s="4" t="s">
        <v>70</v>
      </c>
      <c r="O1517" s="51" t="b">
        <v>0</v>
      </c>
      <c r="P1517" s="51" t="b">
        <v>0</v>
      </c>
      <c r="Q1517" s="51" t="b">
        <v>0</v>
      </c>
      <c r="R1517" s="51" t="b">
        <v>0</v>
      </c>
      <c r="S1517" s="51" t="b">
        <v>0</v>
      </c>
    </row>
    <row r="1518" hidden="1">
      <c r="A1518" s="4" t="str">
        <f>IFERROR(__xludf.DUMMYFUNCTION("""COMPUTED_VALUE"""),"2072 - Channel")</f>
        <v>2072 - Channel</v>
      </c>
      <c r="B1518" s="4"/>
      <c r="C1518" s="4"/>
      <c r="D1518" s="6"/>
      <c r="E1518" s="6"/>
      <c r="F1518" s="6"/>
      <c r="G1518" s="4"/>
      <c r="H1518" s="4"/>
      <c r="I1518" s="4"/>
      <c r="J1518" s="4"/>
      <c r="K1518" s="4"/>
      <c r="L1518" s="4"/>
      <c r="M1518" s="4"/>
      <c r="N1518" s="4" t="s">
        <v>70</v>
      </c>
      <c r="O1518" s="51" t="b">
        <v>0</v>
      </c>
      <c r="P1518" s="51" t="b">
        <v>0</v>
      </c>
      <c r="Q1518" s="51" t="b">
        <v>0</v>
      </c>
      <c r="R1518" s="51" t="b">
        <v>0</v>
      </c>
      <c r="S1518" s="51" t="b">
        <v>0</v>
      </c>
    </row>
    <row r="1519" hidden="1">
      <c r="A1519" s="4" t="str">
        <f>IFERROR(__xludf.DUMMYFUNCTION("""COMPUTED_VALUE"""),"2073 - Channel")</f>
        <v>2073 - Channel</v>
      </c>
      <c r="B1519" s="4"/>
      <c r="C1519" s="4"/>
      <c r="D1519" s="6"/>
      <c r="E1519" s="6"/>
      <c r="F1519" s="6"/>
      <c r="G1519" s="4"/>
      <c r="H1519" s="4"/>
      <c r="I1519" s="4"/>
      <c r="J1519" s="4"/>
      <c r="K1519" s="4"/>
      <c r="L1519" s="4"/>
      <c r="M1519" s="4"/>
      <c r="N1519" s="4" t="s">
        <v>70</v>
      </c>
      <c r="O1519" s="51" t="b">
        <v>0</v>
      </c>
      <c r="P1519" s="51" t="b">
        <v>0</v>
      </c>
      <c r="Q1519" s="51" t="b">
        <v>0</v>
      </c>
      <c r="R1519" s="51" t="b">
        <v>0</v>
      </c>
      <c r="S1519" s="51" t="b">
        <v>0</v>
      </c>
    </row>
    <row r="1520" hidden="1">
      <c r="A1520" s="4" t="str">
        <f>IFERROR(__xludf.DUMMYFUNCTION("""COMPUTED_VALUE"""),"2074 - Channel")</f>
        <v>2074 - Channel</v>
      </c>
      <c r="B1520" s="4"/>
      <c r="C1520" s="4"/>
      <c r="D1520" s="6"/>
      <c r="E1520" s="6"/>
      <c r="F1520" s="6"/>
      <c r="G1520" s="4"/>
      <c r="H1520" s="4"/>
      <c r="I1520" s="4"/>
      <c r="J1520" s="4"/>
      <c r="K1520" s="4"/>
      <c r="L1520" s="4"/>
      <c r="M1520" s="4"/>
      <c r="N1520" s="4" t="s">
        <v>70</v>
      </c>
      <c r="O1520" s="51" t="b">
        <v>0</v>
      </c>
      <c r="P1520" s="51" t="b">
        <v>0</v>
      </c>
      <c r="Q1520" s="51" t="b">
        <v>0</v>
      </c>
      <c r="R1520" s="51" t="b">
        <v>0</v>
      </c>
      <c r="S1520" s="51" t="b">
        <v>0</v>
      </c>
    </row>
    <row r="1521" hidden="1">
      <c r="A1521" s="4" t="str">
        <f>IFERROR(__xludf.DUMMYFUNCTION("""COMPUTED_VALUE"""),"2075 - Channel")</f>
        <v>2075 - Channel</v>
      </c>
      <c r="B1521" s="4"/>
      <c r="C1521" s="4"/>
      <c r="D1521" s="6"/>
      <c r="E1521" s="6"/>
      <c r="F1521" s="6"/>
      <c r="G1521" s="4"/>
      <c r="H1521" s="4"/>
      <c r="I1521" s="4"/>
      <c r="J1521" s="4"/>
      <c r="K1521" s="4"/>
      <c r="L1521" s="4"/>
      <c r="M1521" s="4"/>
      <c r="N1521" s="4" t="s">
        <v>70</v>
      </c>
      <c r="O1521" s="51" t="b">
        <v>0</v>
      </c>
      <c r="P1521" s="51" t="b">
        <v>0</v>
      </c>
      <c r="Q1521" s="51" t="b">
        <v>0</v>
      </c>
      <c r="R1521" s="51" t="b">
        <v>0</v>
      </c>
      <c r="S1521" s="51" t="b">
        <v>0</v>
      </c>
    </row>
    <row r="1522" hidden="1">
      <c r="A1522" s="4" t="str">
        <f>IFERROR(__xludf.DUMMYFUNCTION("""COMPUTED_VALUE"""),"2076 - Channel")</f>
        <v>2076 - Channel</v>
      </c>
      <c r="B1522" s="4"/>
      <c r="C1522" s="4"/>
      <c r="D1522" s="6"/>
      <c r="E1522" s="6"/>
      <c r="F1522" s="6"/>
      <c r="G1522" s="4"/>
      <c r="H1522" s="4"/>
      <c r="I1522" s="4"/>
      <c r="J1522" s="4"/>
      <c r="K1522" s="4"/>
      <c r="L1522" s="4"/>
      <c r="M1522" s="4"/>
      <c r="N1522" s="4" t="s">
        <v>70</v>
      </c>
      <c r="O1522" s="51" t="b">
        <v>0</v>
      </c>
      <c r="P1522" s="51" t="b">
        <v>0</v>
      </c>
      <c r="Q1522" s="51" t="b">
        <v>0</v>
      </c>
      <c r="R1522" s="51" t="b">
        <v>0</v>
      </c>
      <c r="S1522" s="51" t="b">
        <v>0</v>
      </c>
    </row>
    <row r="1523" hidden="1">
      <c r="A1523" s="4" t="str">
        <f>IFERROR(__xludf.DUMMYFUNCTION("""COMPUTED_VALUE"""),"2077 - Channel")</f>
        <v>2077 - Channel</v>
      </c>
      <c r="B1523" s="4"/>
      <c r="C1523" s="4"/>
      <c r="D1523" s="6"/>
      <c r="E1523" s="6"/>
      <c r="F1523" s="6"/>
      <c r="G1523" s="4"/>
      <c r="H1523" s="4"/>
      <c r="I1523" s="4"/>
      <c r="J1523" s="4"/>
      <c r="K1523" s="4"/>
      <c r="L1523" s="4"/>
      <c r="M1523" s="4"/>
      <c r="N1523" s="4" t="s">
        <v>70</v>
      </c>
      <c r="O1523" s="51" t="b">
        <v>0</v>
      </c>
      <c r="P1523" s="51" t="b">
        <v>0</v>
      </c>
      <c r="Q1523" s="51" t="b">
        <v>0</v>
      </c>
      <c r="R1523" s="51" t="b">
        <v>0</v>
      </c>
      <c r="S1523" s="51" t="b">
        <v>0</v>
      </c>
    </row>
    <row r="1524" hidden="1">
      <c r="A1524" s="4" t="str">
        <f>IFERROR(__xludf.DUMMYFUNCTION("""COMPUTED_VALUE"""),"2078 - Channel")</f>
        <v>2078 - Channel</v>
      </c>
      <c r="B1524" s="4"/>
      <c r="C1524" s="4"/>
      <c r="D1524" s="6"/>
      <c r="E1524" s="6"/>
      <c r="F1524" s="6"/>
      <c r="G1524" s="4"/>
      <c r="H1524" s="4"/>
      <c r="I1524" s="4"/>
      <c r="J1524" s="4"/>
      <c r="K1524" s="4"/>
      <c r="L1524" s="4"/>
      <c r="M1524" s="4"/>
      <c r="N1524" s="4" t="s">
        <v>70</v>
      </c>
      <c r="O1524" s="51" t="b">
        <v>0</v>
      </c>
      <c r="P1524" s="51" t="b">
        <v>0</v>
      </c>
      <c r="Q1524" s="51" t="b">
        <v>0</v>
      </c>
      <c r="R1524" s="51" t="b">
        <v>0</v>
      </c>
      <c r="S1524" s="51" t="b">
        <v>0</v>
      </c>
    </row>
    <row r="1525" hidden="1">
      <c r="A1525" s="4" t="str">
        <f>IFERROR(__xludf.DUMMYFUNCTION("""COMPUTED_VALUE"""),"2079 - Channel")</f>
        <v>2079 - Channel</v>
      </c>
      <c r="B1525" s="4"/>
      <c r="C1525" s="4"/>
      <c r="D1525" s="6"/>
      <c r="E1525" s="6"/>
      <c r="F1525" s="6"/>
      <c r="G1525" s="4"/>
      <c r="H1525" s="4"/>
      <c r="I1525" s="4"/>
      <c r="J1525" s="4"/>
      <c r="K1525" s="4"/>
      <c r="L1525" s="4"/>
      <c r="M1525" s="4"/>
      <c r="N1525" s="4" t="s">
        <v>70</v>
      </c>
      <c r="O1525" s="51" t="b">
        <v>0</v>
      </c>
      <c r="P1525" s="51" t="b">
        <v>0</v>
      </c>
      <c r="Q1525" s="51" t="b">
        <v>0</v>
      </c>
      <c r="R1525" s="51" t="b">
        <v>0</v>
      </c>
      <c r="S1525" s="51" t="b">
        <v>0</v>
      </c>
    </row>
    <row r="1526" hidden="1">
      <c r="A1526" s="4" t="str">
        <f>IFERROR(__xludf.DUMMYFUNCTION("""COMPUTED_VALUE"""),"2080 - Channel")</f>
        <v>2080 - Channel</v>
      </c>
      <c r="B1526" s="4"/>
      <c r="C1526" s="4"/>
      <c r="D1526" s="6"/>
      <c r="E1526" s="6"/>
      <c r="F1526" s="6"/>
      <c r="G1526" s="4"/>
      <c r="H1526" s="4"/>
      <c r="I1526" s="4"/>
      <c r="J1526" s="4"/>
      <c r="K1526" s="4"/>
      <c r="L1526" s="4"/>
      <c r="M1526" s="4"/>
      <c r="N1526" s="4" t="s">
        <v>70</v>
      </c>
      <c r="O1526" s="51" t="b">
        <v>0</v>
      </c>
      <c r="P1526" s="51" t="b">
        <v>0</v>
      </c>
      <c r="Q1526" s="51" t="b">
        <v>0</v>
      </c>
      <c r="R1526" s="51" t="b">
        <v>0</v>
      </c>
      <c r="S1526" s="51" t="b">
        <v>0</v>
      </c>
    </row>
    <row r="1527" hidden="1">
      <c r="A1527" s="4" t="str">
        <f>IFERROR(__xludf.DUMMYFUNCTION("""COMPUTED_VALUE"""),"2081 - Channel")</f>
        <v>2081 - Channel</v>
      </c>
      <c r="B1527" s="4"/>
      <c r="C1527" s="4"/>
      <c r="D1527" s="6"/>
      <c r="E1527" s="6"/>
      <c r="F1527" s="6"/>
      <c r="G1527" s="4"/>
      <c r="H1527" s="4"/>
      <c r="I1527" s="4"/>
      <c r="J1527" s="4"/>
      <c r="K1527" s="4"/>
      <c r="L1527" s="4"/>
      <c r="M1527" s="4"/>
      <c r="N1527" s="4" t="s">
        <v>70</v>
      </c>
      <c r="O1527" s="51" t="b">
        <v>0</v>
      </c>
      <c r="P1527" s="51" t="b">
        <v>0</v>
      </c>
      <c r="Q1527" s="51" t="b">
        <v>0</v>
      </c>
      <c r="R1527" s="51" t="b">
        <v>0</v>
      </c>
      <c r="S1527" s="51" t="b">
        <v>0</v>
      </c>
    </row>
    <row r="1528" hidden="1">
      <c r="A1528" s="4" t="str">
        <f>IFERROR(__xludf.DUMMYFUNCTION("""COMPUTED_VALUE"""),"2082 - Channel")</f>
        <v>2082 - Channel</v>
      </c>
      <c r="B1528" s="4"/>
      <c r="C1528" s="4"/>
      <c r="D1528" s="6"/>
      <c r="E1528" s="6"/>
      <c r="F1528" s="6"/>
      <c r="G1528" s="4"/>
      <c r="H1528" s="4"/>
      <c r="I1528" s="4"/>
      <c r="J1528" s="4"/>
      <c r="K1528" s="4"/>
      <c r="L1528" s="4"/>
      <c r="M1528" s="4"/>
      <c r="N1528" s="4" t="s">
        <v>70</v>
      </c>
      <c r="O1528" s="51" t="b">
        <v>0</v>
      </c>
      <c r="P1528" s="51" t="b">
        <v>0</v>
      </c>
      <c r="Q1528" s="51" t="b">
        <v>0</v>
      </c>
      <c r="R1528" s="51" t="b">
        <v>0</v>
      </c>
      <c r="S1528" s="51" t="b">
        <v>0</v>
      </c>
    </row>
    <row r="1529" hidden="1">
      <c r="A1529" s="4" t="str">
        <f>IFERROR(__xludf.DUMMYFUNCTION("""COMPUTED_VALUE"""),"2083 - Channel")</f>
        <v>2083 - Channel</v>
      </c>
      <c r="B1529" s="4"/>
      <c r="C1529" s="4"/>
      <c r="D1529" s="6"/>
      <c r="E1529" s="6"/>
      <c r="F1529" s="6"/>
      <c r="G1529" s="4"/>
      <c r="H1529" s="4"/>
      <c r="I1529" s="4"/>
      <c r="J1529" s="4"/>
      <c r="K1529" s="4"/>
      <c r="L1529" s="4"/>
      <c r="M1529" s="4"/>
      <c r="N1529" s="4" t="s">
        <v>70</v>
      </c>
      <c r="O1529" s="51" t="b">
        <v>0</v>
      </c>
      <c r="P1529" s="51" t="b">
        <v>0</v>
      </c>
      <c r="Q1529" s="51" t="b">
        <v>0</v>
      </c>
      <c r="R1529" s="51" t="b">
        <v>0</v>
      </c>
      <c r="S1529" s="51" t="b">
        <v>0</v>
      </c>
    </row>
    <row r="1530" hidden="1">
      <c r="A1530" s="4" t="str">
        <f>IFERROR(__xludf.DUMMYFUNCTION("""COMPUTED_VALUE"""),"2084 - Channel")</f>
        <v>2084 - Channel</v>
      </c>
      <c r="B1530" s="4"/>
      <c r="C1530" s="4"/>
      <c r="D1530" s="6"/>
      <c r="E1530" s="6"/>
      <c r="F1530" s="6"/>
      <c r="G1530" s="4"/>
      <c r="H1530" s="4"/>
      <c r="I1530" s="4"/>
      <c r="J1530" s="4"/>
      <c r="K1530" s="4"/>
      <c r="L1530" s="4"/>
      <c r="M1530" s="4"/>
      <c r="N1530" s="4" t="s">
        <v>70</v>
      </c>
      <c r="O1530" s="51" t="b">
        <v>0</v>
      </c>
      <c r="P1530" s="51" t="b">
        <v>0</v>
      </c>
      <c r="Q1530" s="51" t="b">
        <v>0</v>
      </c>
      <c r="R1530" s="51" t="b">
        <v>0</v>
      </c>
      <c r="S1530" s="51" t="b">
        <v>0</v>
      </c>
    </row>
    <row r="1531" hidden="1">
      <c r="A1531" s="4" t="str">
        <f>IFERROR(__xludf.DUMMYFUNCTION("""COMPUTED_VALUE"""),"2085 - Channel")</f>
        <v>2085 - Channel</v>
      </c>
      <c r="B1531" s="4"/>
      <c r="C1531" s="4"/>
      <c r="D1531" s="6"/>
      <c r="E1531" s="6"/>
      <c r="F1531" s="6"/>
      <c r="G1531" s="4"/>
      <c r="H1531" s="4"/>
      <c r="I1531" s="4"/>
      <c r="J1531" s="4"/>
      <c r="K1531" s="4"/>
      <c r="L1531" s="4"/>
      <c r="M1531" s="4"/>
      <c r="N1531" s="4" t="s">
        <v>70</v>
      </c>
      <c r="O1531" s="51" t="b">
        <v>0</v>
      </c>
      <c r="P1531" s="51" t="b">
        <v>0</v>
      </c>
      <c r="Q1531" s="51" t="b">
        <v>0</v>
      </c>
      <c r="R1531" s="51" t="b">
        <v>0</v>
      </c>
      <c r="S1531" s="51" t="b">
        <v>0</v>
      </c>
    </row>
    <row r="1532" hidden="1">
      <c r="A1532" s="4" t="str">
        <f>IFERROR(__xludf.DUMMYFUNCTION("""COMPUTED_VALUE"""),"2086 - Channel")</f>
        <v>2086 - Channel</v>
      </c>
      <c r="B1532" s="4"/>
      <c r="C1532" s="4"/>
      <c r="D1532" s="6"/>
      <c r="E1532" s="6"/>
      <c r="F1532" s="6"/>
      <c r="G1532" s="4"/>
      <c r="H1532" s="4"/>
      <c r="I1532" s="4"/>
      <c r="J1532" s="4"/>
      <c r="K1532" s="4"/>
      <c r="L1532" s="4"/>
      <c r="M1532" s="4"/>
      <c r="N1532" s="4" t="s">
        <v>70</v>
      </c>
      <c r="O1532" s="51" t="b">
        <v>0</v>
      </c>
      <c r="P1532" s="51" t="b">
        <v>0</v>
      </c>
      <c r="Q1532" s="51" t="b">
        <v>0</v>
      </c>
      <c r="R1532" s="51" t="b">
        <v>0</v>
      </c>
      <c r="S1532" s="51" t="b">
        <v>0</v>
      </c>
    </row>
    <row r="1533" hidden="1">
      <c r="A1533" s="4" t="str">
        <f>IFERROR(__xludf.DUMMYFUNCTION("""COMPUTED_VALUE"""),"2087 - Channel")</f>
        <v>2087 - Channel</v>
      </c>
      <c r="B1533" s="4"/>
      <c r="C1533" s="4"/>
      <c r="D1533" s="6"/>
      <c r="E1533" s="6"/>
      <c r="F1533" s="6"/>
      <c r="G1533" s="4"/>
      <c r="H1533" s="4"/>
      <c r="I1533" s="4"/>
      <c r="J1533" s="4"/>
      <c r="K1533" s="4"/>
      <c r="L1533" s="4"/>
      <c r="M1533" s="4"/>
      <c r="N1533" s="4" t="s">
        <v>70</v>
      </c>
      <c r="O1533" s="51" t="b">
        <v>0</v>
      </c>
      <c r="P1533" s="51" t="b">
        <v>0</v>
      </c>
      <c r="Q1533" s="51" t="b">
        <v>0</v>
      </c>
      <c r="R1533" s="51" t="b">
        <v>0</v>
      </c>
      <c r="S1533" s="51" t="b">
        <v>0</v>
      </c>
    </row>
    <row r="1534" hidden="1">
      <c r="A1534" s="4" t="str">
        <f>IFERROR(__xludf.DUMMYFUNCTION("""COMPUTED_VALUE"""),"2088 - Channel")</f>
        <v>2088 - Channel</v>
      </c>
      <c r="B1534" s="4"/>
      <c r="C1534" s="4"/>
      <c r="D1534" s="6"/>
      <c r="E1534" s="6"/>
      <c r="F1534" s="6"/>
      <c r="G1534" s="4"/>
      <c r="H1534" s="4"/>
      <c r="I1534" s="4"/>
      <c r="J1534" s="4"/>
      <c r="K1534" s="4"/>
      <c r="L1534" s="4"/>
      <c r="M1534" s="4"/>
      <c r="N1534" s="4" t="s">
        <v>70</v>
      </c>
      <c r="O1534" s="51" t="b">
        <v>0</v>
      </c>
      <c r="P1534" s="51" t="b">
        <v>0</v>
      </c>
      <c r="Q1534" s="51" t="b">
        <v>0</v>
      </c>
      <c r="R1534" s="51" t="b">
        <v>0</v>
      </c>
      <c r="S1534" s="51" t="b">
        <v>0</v>
      </c>
    </row>
    <row r="1535" hidden="1">
      <c r="A1535" s="4" t="str">
        <f>IFERROR(__xludf.DUMMYFUNCTION("""COMPUTED_VALUE"""),"2089 - Channel")</f>
        <v>2089 - Channel</v>
      </c>
      <c r="B1535" s="4"/>
      <c r="C1535" s="4"/>
      <c r="D1535" s="6"/>
      <c r="E1535" s="6"/>
      <c r="F1535" s="6"/>
      <c r="G1535" s="4"/>
      <c r="H1535" s="4"/>
      <c r="I1535" s="4"/>
      <c r="J1535" s="4"/>
      <c r="K1535" s="4"/>
      <c r="L1535" s="4"/>
      <c r="M1535" s="4"/>
      <c r="N1535" s="4" t="s">
        <v>70</v>
      </c>
      <c r="O1535" s="51" t="b">
        <v>0</v>
      </c>
      <c r="P1535" s="51" t="b">
        <v>0</v>
      </c>
      <c r="Q1535" s="51" t="b">
        <v>0</v>
      </c>
      <c r="R1535" s="51" t="b">
        <v>0</v>
      </c>
      <c r="S1535" s="51" t="b">
        <v>0</v>
      </c>
    </row>
    <row r="1536" hidden="1">
      <c r="A1536" s="4" t="str">
        <f>IFERROR(__xludf.DUMMYFUNCTION("""COMPUTED_VALUE"""),"2090 - Channel")</f>
        <v>2090 - Channel</v>
      </c>
      <c r="B1536" s="4"/>
      <c r="C1536" s="4"/>
      <c r="D1536" s="6"/>
      <c r="E1536" s="6"/>
      <c r="F1536" s="6"/>
      <c r="G1536" s="4"/>
      <c r="H1536" s="4"/>
      <c r="I1536" s="4"/>
      <c r="J1536" s="4"/>
      <c r="K1536" s="4"/>
      <c r="L1536" s="4"/>
      <c r="M1536" s="4"/>
      <c r="N1536" s="4" t="s">
        <v>70</v>
      </c>
      <c r="O1536" s="51" t="b">
        <v>0</v>
      </c>
      <c r="P1536" s="51" t="b">
        <v>0</v>
      </c>
      <c r="Q1536" s="51" t="b">
        <v>0</v>
      </c>
      <c r="R1536" s="51" t="b">
        <v>0</v>
      </c>
      <c r="S1536" s="51" t="b">
        <v>0</v>
      </c>
    </row>
    <row r="1537" hidden="1">
      <c r="A1537" s="4" t="str">
        <f>IFERROR(__xludf.DUMMYFUNCTION("""COMPUTED_VALUE"""),"2091 - Channel")</f>
        <v>2091 - Channel</v>
      </c>
      <c r="B1537" s="4"/>
      <c r="C1537" s="4"/>
      <c r="D1537" s="6"/>
      <c r="E1537" s="6"/>
      <c r="F1537" s="6"/>
      <c r="G1537" s="4"/>
      <c r="H1537" s="4"/>
      <c r="I1537" s="4"/>
      <c r="J1537" s="4"/>
      <c r="K1537" s="4"/>
      <c r="L1537" s="4"/>
      <c r="M1537" s="4"/>
      <c r="N1537" s="4" t="s">
        <v>70</v>
      </c>
      <c r="O1537" s="51" t="b">
        <v>0</v>
      </c>
      <c r="P1537" s="51" t="b">
        <v>0</v>
      </c>
      <c r="Q1537" s="51" t="b">
        <v>0</v>
      </c>
      <c r="R1537" s="51" t="b">
        <v>0</v>
      </c>
      <c r="S1537" s="51" t="b">
        <v>0</v>
      </c>
    </row>
    <row r="1538" hidden="1">
      <c r="A1538" s="4" t="str">
        <f>IFERROR(__xludf.DUMMYFUNCTION("""COMPUTED_VALUE"""),"2095 - Channel")</f>
        <v>2095 - Channel</v>
      </c>
      <c r="B1538" s="4"/>
      <c r="C1538" s="4"/>
      <c r="D1538" s="6"/>
      <c r="E1538" s="6"/>
      <c r="F1538" s="6"/>
      <c r="G1538" s="4"/>
      <c r="H1538" s="4"/>
      <c r="I1538" s="4"/>
      <c r="J1538" s="4"/>
      <c r="K1538" s="4"/>
      <c r="L1538" s="4"/>
      <c r="M1538" s="4"/>
      <c r="N1538" s="4" t="s">
        <v>70</v>
      </c>
      <c r="O1538" s="51" t="b">
        <v>0</v>
      </c>
      <c r="P1538" s="51" t="b">
        <v>0</v>
      </c>
      <c r="Q1538" s="51" t="b">
        <v>0</v>
      </c>
      <c r="R1538" s="51" t="b">
        <v>0</v>
      </c>
      <c r="S1538" s="51" t="b">
        <v>0</v>
      </c>
    </row>
    <row r="1539" hidden="1">
      <c r="A1539" s="4" t="str">
        <f>IFERROR(__xludf.DUMMYFUNCTION("""COMPUTED_VALUE"""),"2096 - Channel")</f>
        <v>2096 - Channel</v>
      </c>
      <c r="B1539" s="4"/>
      <c r="C1539" s="4"/>
      <c r="D1539" s="6"/>
      <c r="E1539" s="6"/>
      <c r="F1539" s="6"/>
      <c r="G1539" s="4"/>
      <c r="H1539" s="4"/>
      <c r="I1539" s="4"/>
      <c r="J1539" s="4"/>
      <c r="K1539" s="4"/>
      <c r="L1539" s="4"/>
      <c r="M1539" s="4"/>
      <c r="N1539" s="4" t="s">
        <v>70</v>
      </c>
      <c r="O1539" s="51" t="b">
        <v>0</v>
      </c>
      <c r="P1539" s="51" t="b">
        <v>0</v>
      </c>
      <c r="Q1539" s="51" t="b">
        <v>0</v>
      </c>
      <c r="R1539" s="51" t="b">
        <v>0</v>
      </c>
      <c r="S1539" s="51" t="b">
        <v>0</v>
      </c>
    </row>
    <row r="1540" hidden="1">
      <c r="A1540" s="4" t="str">
        <f>IFERROR(__xludf.DUMMYFUNCTION("""COMPUTED_VALUE"""),"2097 - Channel")</f>
        <v>2097 - Channel</v>
      </c>
      <c r="B1540" s="4"/>
      <c r="C1540" s="4"/>
      <c r="D1540" s="6"/>
      <c r="E1540" s="6"/>
      <c r="F1540" s="6"/>
      <c r="G1540" s="4"/>
      <c r="H1540" s="4"/>
      <c r="I1540" s="4"/>
      <c r="J1540" s="4"/>
      <c r="K1540" s="4"/>
      <c r="L1540" s="4"/>
      <c r="M1540" s="4"/>
      <c r="N1540" s="4" t="s">
        <v>70</v>
      </c>
      <c r="O1540" s="51" t="b">
        <v>0</v>
      </c>
      <c r="P1540" s="51" t="b">
        <v>0</v>
      </c>
      <c r="Q1540" s="51" t="b">
        <v>0</v>
      </c>
      <c r="R1540" s="51" t="b">
        <v>0</v>
      </c>
      <c r="S1540" s="51" t="b">
        <v>0</v>
      </c>
    </row>
    <row r="1541" hidden="1">
      <c r="A1541" s="4" t="str">
        <f>IFERROR(__xludf.DUMMYFUNCTION("""COMPUTED_VALUE"""),"2098 - Channel")</f>
        <v>2098 - Channel</v>
      </c>
      <c r="B1541" s="4"/>
      <c r="C1541" s="4"/>
      <c r="D1541" s="6"/>
      <c r="E1541" s="6"/>
      <c r="F1541" s="6"/>
      <c r="G1541" s="4"/>
      <c r="H1541" s="4"/>
      <c r="I1541" s="4"/>
      <c r="J1541" s="4"/>
      <c r="K1541" s="4"/>
      <c r="L1541" s="4"/>
      <c r="M1541" s="4"/>
      <c r="N1541" s="4" t="s">
        <v>70</v>
      </c>
      <c r="O1541" s="51" t="b">
        <v>0</v>
      </c>
      <c r="P1541" s="51" t="b">
        <v>0</v>
      </c>
      <c r="Q1541" s="51" t="b">
        <v>0</v>
      </c>
      <c r="R1541" s="51" t="b">
        <v>0</v>
      </c>
      <c r="S1541" s="51" t="b">
        <v>0</v>
      </c>
    </row>
    <row r="1542" hidden="1">
      <c r="A1542" s="4" t="str">
        <f>IFERROR(__xludf.DUMMYFUNCTION("""COMPUTED_VALUE"""),"2099 - Channel")</f>
        <v>2099 - Channel</v>
      </c>
      <c r="B1542" s="4"/>
      <c r="C1542" s="4"/>
      <c r="D1542" s="6"/>
      <c r="E1542" s="6"/>
      <c r="F1542" s="6"/>
      <c r="G1542" s="4"/>
      <c r="H1542" s="4"/>
      <c r="I1542" s="4"/>
      <c r="J1542" s="4"/>
      <c r="K1542" s="4"/>
      <c r="L1542" s="4"/>
      <c r="M1542" s="4"/>
      <c r="N1542" s="4" t="s">
        <v>70</v>
      </c>
      <c r="O1542" s="51" t="b">
        <v>0</v>
      </c>
      <c r="P1542" s="51" t="b">
        <v>0</v>
      </c>
      <c r="Q1542" s="51" t="b">
        <v>0</v>
      </c>
      <c r="R1542" s="51" t="b">
        <v>0</v>
      </c>
      <c r="S1542" s="51" t="b">
        <v>0</v>
      </c>
    </row>
    <row r="1543" hidden="1">
      <c r="A1543" s="4" t="str">
        <f>IFERROR(__xludf.DUMMYFUNCTION("""COMPUTED_VALUE"""),"2100 - Channel")</f>
        <v>2100 - Channel</v>
      </c>
      <c r="B1543" s="4"/>
      <c r="C1543" s="4"/>
      <c r="D1543" s="6"/>
      <c r="E1543" s="6"/>
      <c r="F1543" s="6"/>
      <c r="G1543" s="4"/>
      <c r="H1543" s="4"/>
      <c r="I1543" s="4"/>
      <c r="J1543" s="4"/>
      <c r="K1543" s="4"/>
      <c r="L1543" s="4"/>
      <c r="M1543" s="4"/>
      <c r="N1543" s="4" t="s">
        <v>70</v>
      </c>
      <c r="O1543" s="51" t="b">
        <v>0</v>
      </c>
      <c r="P1543" s="51" t="b">
        <v>0</v>
      </c>
      <c r="Q1543" s="51" t="b">
        <v>0</v>
      </c>
      <c r="R1543" s="51" t="b">
        <v>0</v>
      </c>
      <c r="S1543" s="51" t="b">
        <v>0</v>
      </c>
    </row>
    <row r="1544" hidden="1">
      <c r="A1544" s="4" t="str">
        <f>IFERROR(__xludf.DUMMYFUNCTION("""COMPUTED_VALUE"""),"2101 - Channel")</f>
        <v>2101 - Channel</v>
      </c>
      <c r="B1544" s="4"/>
      <c r="C1544" s="4"/>
      <c r="D1544" s="6"/>
      <c r="E1544" s="6"/>
      <c r="F1544" s="6"/>
      <c r="G1544" s="4"/>
      <c r="H1544" s="4"/>
      <c r="I1544" s="4"/>
      <c r="J1544" s="4"/>
      <c r="K1544" s="4"/>
      <c r="L1544" s="4"/>
      <c r="M1544" s="4"/>
      <c r="N1544" s="4" t="s">
        <v>70</v>
      </c>
      <c r="O1544" s="51" t="b">
        <v>0</v>
      </c>
      <c r="P1544" s="51" t="b">
        <v>0</v>
      </c>
      <c r="Q1544" s="51" t="b">
        <v>0</v>
      </c>
      <c r="R1544" s="51" t="b">
        <v>0</v>
      </c>
      <c r="S1544" s="51" t="b">
        <v>0</v>
      </c>
    </row>
    <row r="1545" hidden="1">
      <c r="A1545" s="4" t="str">
        <f>IFERROR(__xludf.DUMMYFUNCTION("""COMPUTED_VALUE"""),"2102 - Channel")</f>
        <v>2102 - Channel</v>
      </c>
      <c r="B1545" s="4"/>
      <c r="C1545" s="4"/>
      <c r="D1545" s="6"/>
      <c r="E1545" s="6"/>
      <c r="F1545" s="6"/>
      <c r="G1545" s="4"/>
      <c r="H1545" s="4"/>
      <c r="I1545" s="4"/>
      <c r="J1545" s="4"/>
      <c r="K1545" s="4"/>
      <c r="L1545" s="4"/>
      <c r="M1545" s="4"/>
      <c r="N1545" s="4" t="s">
        <v>70</v>
      </c>
      <c r="O1545" s="51" t="b">
        <v>0</v>
      </c>
      <c r="P1545" s="51" t="b">
        <v>0</v>
      </c>
      <c r="Q1545" s="51" t="b">
        <v>0</v>
      </c>
      <c r="R1545" s="51" t="b">
        <v>0</v>
      </c>
      <c r="S1545" s="51" t="b">
        <v>0</v>
      </c>
    </row>
    <row r="1546" hidden="1">
      <c r="A1546" s="4" t="str">
        <f>IFERROR(__xludf.DUMMYFUNCTION("""COMPUTED_VALUE"""),"2103 - Channel")</f>
        <v>2103 - Channel</v>
      </c>
      <c r="B1546" s="4"/>
      <c r="C1546" s="4"/>
      <c r="D1546" s="6"/>
      <c r="E1546" s="6"/>
      <c r="F1546" s="6"/>
      <c r="G1546" s="4"/>
      <c r="H1546" s="4"/>
      <c r="I1546" s="4"/>
      <c r="J1546" s="4"/>
      <c r="K1546" s="4"/>
      <c r="L1546" s="4"/>
      <c r="M1546" s="4"/>
      <c r="N1546" s="4" t="s">
        <v>70</v>
      </c>
      <c r="O1546" s="51" t="b">
        <v>0</v>
      </c>
      <c r="P1546" s="51" t="b">
        <v>0</v>
      </c>
      <c r="Q1546" s="51" t="b">
        <v>0</v>
      </c>
      <c r="R1546" s="51" t="b">
        <v>0</v>
      </c>
      <c r="S1546" s="51" t="b">
        <v>0</v>
      </c>
    </row>
    <row r="1547" hidden="1">
      <c r="A1547" s="4" t="str">
        <f>IFERROR(__xludf.DUMMYFUNCTION("""COMPUTED_VALUE"""),"2104 - Channel")</f>
        <v>2104 - Channel</v>
      </c>
      <c r="B1547" s="4"/>
      <c r="C1547" s="4"/>
      <c r="D1547" s="6"/>
      <c r="E1547" s="6"/>
      <c r="F1547" s="6"/>
      <c r="G1547" s="4"/>
      <c r="H1547" s="4"/>
      <c r="I1547" s="4"/>
      <c r="J1547" s="4"/>
      <c r="K1547" s="4"/>
      <c r="L1547" s="4"/>
      <c r="M1547" s="4"/>
      <c r="N1547" s="4" t="s">
        <v>70</v>
      </c>
      <c r="O1547" s="51" t="b">
        <v>0</v>
      </c>
      <c r="P1547" s="51" t="b">
        <v>0</v>
      </c>
      <c r="Q1547" s="51" t="b">
        <v>0</v>
      </c>
      <c r="R1547" s="51" t="b">
        <v>0</v>
      </c>
      <c r="S1547" s="51" t="b">
        <v>0</v>
      </c>
    </row>
    <row r="1548" hidden="1">
      <c r="A1548" s="4" t="str">
        <f>IFERROR(__xludf.DUMMYFUNCTION("""COMPUTED_VALUE"""),"2105 - Channel")</f>
        <v>2105 - Channel</v>
      </c>
      <c r="B1548" s="4"/>
      <c r="C1548" s="4"/>
      <c r="D1548" s="6"/>
      <c r="E1548" s="6"/>
      <c r="F1548" s="6"/>
      <c r="G1548" s="4"/>
      <c r="H1548" s="4"/>
      <c r="I1548" s="4"/>
      <c r="J1548" s="4"/>
      <c r="K1548" s="4"/>
      <c r="L1548" s="4"/>
      <c r="M1548" s="4"/>
      <c r="N1548" s="4" t="s">
        <v>70</v>
      </c>
      <c r="O1548" s="51" t="b">
        <v>0</v>
      </c>
      <c r="P1548" s="51" t="b">
        <v>0</v>
      </c>
      <c r="Q1548" s="51" t="b">
        <v>0</v>
      </c>
      <c r="R1548" s="51" t="b">
        <v>0</v>
      </c>
      <c r="S1548" s="51" t="b">
        <v>0</v>
      </c>
    </row>
    <row r="1549" hidden="1">
      <c r="A1549" s="4" t="str">
        <f>IFERROR(__xludf.DUMMYFUNCTION("""COMPUTED_VALUE"""),"2106 - Channel")</f>
        <v>2106 - Channel</v>
      </c>
      <c r="B1549" s="4"/>
      <c r="C1549" s="4"/>
      <c r="D1549" s="6"/>
      <c r="E1549" s="6"/>
      <c r="F1549" s="6"/>
      <c r="G1549" s="4"/>
      <c r="H1549" s="4"/>
      <c r="I1549" s="4"/>
      <c r="J1549" s="4"/>
      <c r="K1549" s="4"/>
      <c r="L1549" s="4"/>
      <c r="M1549" s="4"/>
      <c r="N1549" s="4" t="s">
        <v>70</v>
      </c>
      <c r="O1549" s="51" t="b">
        <v>0</v>
      </c>
      <c r="P1549" s="51" t="b">
        <v>0</v>
      </c>
      <c r="Q1549" s="51" t="b">
        <v>0</v>
      </c>
      <c r="R1549" s="51" t="b">
        <v>0</v>
      </c>
      <c r="S1549" s="51" t="b">
        <v>0</v>
      </c>
    </row>
    <row r="1550" hidden="1">
      <c r="A1550" s="4" t="str">
        <f>IFERROR(__xludf.DUMMYFUNCTION("""COMPUTED_VALUE"""),"2107 - Channel")</f>
        <v>2107 - Channel</v>
      </c>
      <c r="B1550" s="4"/>
      <c r="C1550" s="4"/>
      <c r="D1550" s="6"/>
      <c r="E1550" s="6"/>
      <c r="F1550" s="6"/>
      <c r="G1550" s="4"/>
      <c r="H1550" s="4"/>
      <c r="I1550" s="4"/>
      <c r="J1550" s="4"/>
      <c r="K1550" s="4"/>
      <c r="L1550" s="4"/>
      <c r="M1550" s="4"/>
      <c r="N1550" s="4" t="s">
        <v>70</v>
      </c>
      <c r="O1550" s="51" t="b">
        <v>0</v>
      </c>
      <c r="P1550" s="51" t="b">
        <v>0</v>
      </c>
      <c r="Q1550" s="51" t="b">
        <v>0</v>
      </c>
      <c r="R1550" s="51" t="b">
        <v>0</v>
      </c>
      <c r="S1550" s="51" t="b">
        <v>0</v>
      </c>
    </row>
    <row r="1551" hidden="1">
      <c r="A1551" s="4" t="str">
        <f>IFERROR(__xludf.DUMMYFUNCTION("""COMPUTED_VALUE"""),"2108 - Channel")</f>
        <v>2108 - Channel</v>
      </c>
      <c r="B1551" s="4"/>
      <c r="C1551" s="4"/>
      <c r="D1551" s="6"/>
      <c r="E1551" s="6"/>
      <c r="F1551" s="6"/>
      <c r="G1551" s="4"/>
      <c r="H1551" s="4"/>
      <c r="I1551" s="4"/>
      <c r="J1551" s="4"/>
      <c r="K1551" s="4"/>
      <c r="L1551" s="4"/>
      <c r="M1551" s="4"/>
      <c r="N1551" s="4" t="s">
        <v>70</v>
      </c>
      <c r="O1551" s="51" t="b">
        <v>0</v>
      </c>
      <c r="P1551" s="51" t="b">
        <v>0</v>
      </c>
      <c r="Q1551" s="51" t="b">
        <v>0</v>
      </c>
      <c r="R1551" s="51" t="b">
        <v>0</v>
      </c>
      <c r="S1551" s="51" t="b">
        <v>0</v>
      </c>
    </row>
    <row r="1552" hidden="1">
      <c r="A1552" s="4" t="str">
        <f>IFERROR(__xludf.DUMMYFUNCTION("""COMPUTED_VALUE"""),"2109 - Channel")</f>
        <v>2109 - Channel</v>
      </c>
      <c r="B1552" s="4"/>
      <c r="C1552" s="4"/>
      <c r="D1552" s="6"/>
      <c r="E1552" s="6"/>
      <c r="F1552" s="6"/>
      <c r="G1552" s="4"/>
      <c r="H1552" s="4"/>
      <c r="I1552" s="4"/>
      <c r="J1552" s="4"/>
      <c r="K1552" s="4"/>
      <c r="L1552" s="4"/>
      <c r="M1552" s="4"/>
      <c r="N1552" s="4" t="s">
        <v>70</v>
      </c>
      <c r="O1552" s="51" t="b">
        <v>0</v>
      </c>
      <c r="P1552" s="51" t="b">
        <v>0</v>
      </c>
      <c r="Q1552" s="51" t="b">
        <v>0</v>
      </c>
      <c r="R1552" s="51" t="b">
        <v>0</v>
      </c>
      <c r="S1552" s="51" t="b">
        <v>0</v>
      </c>
    </row>
    <row r="1553" hidden="1">
      <c r="A1553" s="4" t="str">
        <f>IFERROR(__xludf.DUMMYFUNCTION("""COMPUTED_VALUE"""),"2110 - Channel")</f>
        <v>2110 - Channel</v>
      </c>
      <c r="B1553" s="4"/>
      <c r="C1553" s="4"/>
      <c r="D1553" s="6"/>
      <c r="E1553" s="6"/>
      <c r="F1553" s="6"/>
      <c r="G1553" s="4"/>
      <c r="H1553" s="4"/>
      <c r="I1553" s="4"/>
      <c r="J1553" s="4"/>
      <c r="K1553" s="4"/>
      <c r="L1553" s="4"/>
      <c r="M1553" s="4"/>
      <c r="N1553" s="4" t="s">
        <v>70</v>
      </c>
      <c r="O1553" s="51" t="b">
        <v>0</v>
      </c>
      <c r="P1553" s="51" t="b">
        <v>0</v>
      </c>
      <c r="Q1553" s="51" t="b">
        <v>0</v>
      </c>
      <c r="R1553" s="51" t="b">
        <v>0</v>
      </c>
      <c r="S1553" s="51" t="b">
        <v>0</v>
      </c>
    </row>
    <row r="1554" hidden="1">
      <c r="A1554" s="4" t="str">
        <f>IFERROR(__xludf.DUMMYFUNCTION("""COMPUTED_VALUE"""),"2111 - Channel")</f>
        <v>2111 - Channel</v>
      </c>
      <c r="B1554" s="4"/>
      <c r="C1554" s="4"/>
      <c r="D1554" s="6"/>
      <c r="E1554" s="6"/>
      <c r="F1554" s="6"/>
      <c r="G1554" s="4"/>
      <c r="H1554" s="4"/>
      <c r="I1554" s="4"/>
      <c r="J1554" s="4"/>
      <c r="K1554" s="4"/>
      <c r="L1554" s="4"/>
      <c r="M1554" s="4"/>
      <c r="N1554" s="4" t="s">
        <v>70</v>
      </c>
      <c r="O1554" s="51" t="b">
        <v>0</v>
      </c>
      <c r="P1554" s="51" t="b">
        <v>0</v>
      </c>
      <c r="Q1554" s="51" t="b">
        <v>0</v>
      </c>
      <c r="R1554" s="51" t="b">
        <v>0</v>
      </c>
      <c r="S1554" s="51" t="b">
        <v>0</v>
      </c>
    </row>
    <row r="1555" hidden="1">
      <c r="A1555" s="4" t="str">
        <f>IFERROR(__xludf.DUMMYFUNCTION("""COMPUTED_VALUE"""),"2112 - Channel")</f>
        <v>2112 - Channel</v>
      </c>
      <c r="B1555" s="4"/>
      <c r="C1555" s="4"/>
      <c r="D1555" s="6"/>
      <c r="E1555" s="6"/>
      <c r="F1555" s="6"/>
      <c r="G1555" s="4"/>
      <c r="H1555" s="4"/>
      <c r="I1555" s="4"/>
      <c r="J1555" s="4"/>
      <c r="K1555" s="4"/>
      <c r="L1555" s="4"/>
      <c r="M1555" s="4"/>
      <c r="N1555" s="4" t="s">
        <v>70</v>
      </c>
      <c r="O1555" s="51" t="b">
        <v>0</v>
      </c>
      <c r="P1555" s="51" t="b">
        <v>0</v>
      </c>
      <c r="Q1555" s="51" t="b">
        <v>0</v>
      </c>
      <c r="R1555" s="51" t="b">
        <v>0</v>
      </c>
      <c r="S1555" s="51" t="b">
        <v>0</v>
      </c>
    </row>
    <row r="1556" hidden="1">
      <c r="A1556" s="4" t="str">
        <f>IFERROR(__xludf.DUMMYFUNCTION("""COMPUTED_VALUE"""),"2113 - Channel")</f>
        <v>2113 - Channel</v>
      </c>
      <c r="B1556" s="4"/>
      <c r="C1556" s="4"/>
      <c r="D1556" s="6"/>
      <c r="E1556" s="6"/>
      <c r="F1556" s="6"/>
      <c r="G1556" s="4"/>
      <c r="H1556" s="4"/>
      <c r="I1556" s="4"/>
      <c r="J1556" s="4"/>
      <c r="K1556" s="4"/>
      <c r="L1556" s="4"/>
      <c r="M1556" s="4"/>
      <c r="N1556" s="4" t="s">
        <v>70</v>
      </c>
      <c r="O1556" s="51" t="b">
        <v>0</v>
      </c>
      <c r="P1556" s="51" t="b">
        <v>0</v>
      </c>
      <c r="Q1556" s="51" t="b">
        <v>0</v>
      </c>
      <c r="R1556" s="51" t="b">
        <v>0</v>
      </c>
      <c r="S1556" s="51" t="b">
        <v>0</v>
      </c>
    </row>
    <row r="1557" hidden="1">
      <c r="A1557" s="4" t="str">
        <f>IFERROR(__xludf.DUMMYFUNCTION("""COMPUTED_VALUE"""),"2114 - Channel")</f>
        <v>2114 - Channel</v>
      </c>
      <c r="B1557" s="4"/>
      <c r="C1557" s="4"/>
      <c r="D1557" s="6"/>
      <c r="E1557" s="6"/>
      <c r="F1557" s="6"/>
      <c r="G1557" s="4"/>
      <c r="H1557" s="4"/>
      <c r="I1557" s="4"/>
      <c r="J1557" s="4"/>
      <c r="K1557" s="4"/>
      <c r="L1557" s="4"/>
      <c r="M1557" s="4"/>
      <c r="N1557" s="4" t="s">
        <v>70</v>
      </c>
      <c r="O1557" s="51" t="b">
        <v>0</v>
      </c>
      <c r="P1557" s="51" t="b">
        <v>0</v>
      </c>
      <c r="Q1557" s="51" t="b">
        <v>0</v>
      </c>
      <c r="R1557" s="51" t="b">
        <v>0</v>
      </c>
      <c r="S1557" s="51" t="b">
        <v>0</v>
      </c>
    </row>
    <row r="1558" hidden="1">
      <c r="A1558" s="4" t="str">
        <f>IFERROR(__xludf.DUMMYFUNCTION("""COMPUTED_VALUE"""),"2115 - Channel")</f>
        <v>2115 - Channel</v>
      </c>
      <c r="B1558" s="4"/>
      <c r="C1558" s="4"/>
      <c r="D1558" s="6"/>
      <c r="E1558" s="6"/>
      <c r="F1558" s="6"/>
      <c r="G1558" s="4"/>
      <c r="H1558" s="4"/>
      <c r="I1558" s="4"/>
      <c r="J1558" s="4"/>
      <c r="K1558" s="4"/>
      <c r="L1558" s="4"/>
      <c r="M1558" s="4"/>
      <c r="N1558" s="4" t="s">
        <v>70</v>
      </c>
      <c r="O1558" s="51" t="b">
        <v>0</v>
      </c>
      <c r="P1558" s="51" t="b">
        <v>0</v>
      </c>
      <c r="Q1558" s="51" t="b">
        <v>0</v>
      </c>
      <c r="R1558" s="51" t="b">
        <v>0</v>
      </c>
      <c r="S1558" s="51" t="b">
        <v>0</v>
      </c>
    </row>
    <row r="1559" hidden="1">
      <c r="A1559" s="4" t="str">
        <f>IFERROR(__xludf.DUMMYFUNCTION("""COMPUTED_VALUE"""),"2116 - Channel")</f>
        <v>2116 - Channel</v>
      </c>
      <c r="B1559" s="4"/>
      <c r="C1559" s="4"/>
      <c r="D1559" s="6"/>
      <c r="E1559" s="6"/>
      <c r="F1559" s="6"/>
      <c r="G1559" s="4"/>
      <c r="H1559" s="4"/>
      <c r="I1559" s="4"/>
      <c r="J1559" s="4"/>
      <c r="K1559" s="4"/>
      <c r="L1559" s="4"/>
      <c r="M1559" s="4"/>
      <c r="N1559" s="4" t="s">
        <v>70</v>
      </c>
      <c r="O1559" s="51" t="b">
        <v>0</v>
      </c>
      <c r="P1559" s="51" t="b">
        <v>0</v>
      </c>
      <c r="Q1559" s="51" t="b">
        <v>0</v>
      </c>
      <c r="R1559" s="51" t="b">
        <v>0</v>
      </c>
      <c r="S1559" s="51" t="b">
        <v>0</v>
      </c>
    </row>
    <row r="1560" hidden="1">
      <c r="A1560" s="4" t="str">
        <f>IFERROR(__xludf.DUMMYFUNCTION("""COMPUTED_VALUE"""),"2117 - Channel")</f>
        <v>2117 - Channel</v>
      </c>
      <c r="B1560" s="4"/>
      <c r="C1560" s="4"/>
      <c r="D1560" s="6"/>
      <c r="E1560" s="6"/>
      <c r="F1560" s="6"/>
      <c r="G1560" s="4"/>
      <c r="H1560" s="4"/>
      <c r="I1560" s="4"/>
      <c r="J1560" s="4"/>
      <c r="K1560" s="4"/>
      <c r="L1560" s="4"/>
      <c r="M1560" s="4"/>
      <c r="N1560" s="4" t="s">
        <v>70</v>
      </c>
      <c r="O1560" s="51" t="b">
        <v>0</v>
      </c>
      <c r="P1560" s="51" t="b">
        <v>0</v>
      </c>
      <c r="Q1560" s="51" t="b">
        <v>0</v>
      </c>
      <c r="R1560" s="51" t="b">
        <v>0</v>
      </c>
      <c r="S1560" s="51" t="b">
        <v>0</v>
      </c>
    </row>
    <row r="1561" hidden="1">
      <c r="A1561" s="4" t="str">
        <f>IFERROR(__xludf.DUMMYFUNCTION("""COMPUTED_VALUE"""),"2118 - Channel")</f>
        <v>2118 - Channel</v>
      </c>
      <c r="B1561" s="4"/>
      <c r="C1561" s="4"/>
      <c r="D1561" s="6"/>
      <c r="E1561" s="6"/>
      <c r="F1561" s="6"/>
      <c r="G1561" s="4"/>
      <c r="H1561" s="4"/>
      <c r="I1561" s="4"/>
      <c r="J1561" s="4"/>
      <c r="K1561" s="4"/>
      <c r="L1561" s="4"/>
      <c r="M1561" s="4"/>
      <c r="N1561" s="4" t="s">
        <v>70</v>
      </c>
      <c r="O1561" s="51" t="b">
        <v>0</v>
      </c>
      <c r="P1561" s="51" t="b">
        <v>0</v>
      </c>
      <c r="Q1561" s="51" t="b">
        <v>0</v>
      </c>
      <c r="R1561" s="51" t="b">
        <v>0</v>
      </c>
      <c r="S1561" s="51" t="b">
        <v>0</v>
      </c>
    </row>
    <row r="1562" hidden="1">
      <c r="A1562" s="4" t="str">
        <f>IFERROR(__xludf.DUMMYFUNCTION("""COMPUTED_VALUE"""),"2119 - Channel")</f>
        <v>2119 - Channel</v>
      </c>
      <c r="B1562" s="4"/>
      <c r="C1562" s="4"/>
      <c r="D1562" s="6"/>
      <c r="E1562" s="6"/>
      <c r="F1562" s="6"/>
      <c r="G1562" s="4"/>
      <c r="H1562" s="4"/>
      <c r="I1562" s="4"/>
      <c r="J1562" s="4"/>
      <c r="K1562" s="4"/>
      <c r="L1562" s="4"/>
      <c r="M1562" s="4"/>
      <c r="N1562" s="4" t="s">
        <v>70</v>
      </c>
      <c r="O1562" s="51" t="b">
        <v>0</v>
      </c>
      <c r="P1562" s="51" t="b">
        <v>0</v>
      </c>
      <c r="Q1562" s="51" t="b">
        <v>0</v>
      </c>
      <c r="R1562" s="51" t="b">
        <v>0</v>
      </c>
      <c r="S1562" s="51" t="b">
        <v>0</v>
      </c>
    </row>
    <row r="1563" hidden="1">
      <c r="A1563" s="4" t="str">
        <f>IFERROR(__xludf.DUMMYFUNCTION("""COMPUTED_VALUE"""),"2120 - Channel")</f>
        <v>2120 - Channel</v>
      </c>
      <c r="B1563" s="4"/>
      <c r="C1563" s="4"/>
      <c r="D1563" s="6"/>
      <c r="E1563" s="6"/>
      <c r="F1563" s="6"/>
      <c r="G1563" s="4"/>
      <c r="H1563" s="4"/>
      <c r="I1563" s="4"/>
      <c r="J1563" s="4"/>
      <c r="K1563" s="4"/>
      <c r="L1563" s="4"/>
      <c r="M1563" s="4"/>
      <c r="N1563" s="4" t="s">
        <v>70</v>
      </c>
      <c r="O1563" s="51" t="b">
        <v>0</v>
      </c>
      <c r="P1563" s="51" t="b">
        <v>0</v>
      </c>
      <c r="Q1563" s="51" t="b">
        <v>0</v>
      </c>
      <c r="R1563" s="51" t="b">
        <v>0</v>
      </c>
      <c r="S1563" s="51" t="b">
        <v>0</v>
      </c>
    </row>
    <row r="1564" hidden="1">
      <c r="A1564" s="4" t="str">
        <f>IFERROR(__xludf.DUMMYFUNCTION("""COMPUTED_VALUE"""),"2121 - Channel")</f>
        <v>2121 - Channel</v>
      </c>
      <c r="B1564" s="4"/>
      <c r="C1564" s="4"/>
      <c r="D1564" s="6"/>
      <c r="E1564" s="6"/>
      <c r="F1564" s="6"/>
      <c r="G1564" s="4"/>
      <c r="H1564" s="4"/>
      <c r="I1564" s="4"/>
      <c r="J1564" s="4"/>
      <c r="K1564" s="4"/>
      <c r="L1564" s="4"/>
      <c r="M1564" s="4"/>
      <c r="N1564" s="4" t="s">
        <v>70</v>
      </c>
      <c r="O1564" s="51" t="b">
        <v>0</v>
      </c>
      <c r="P1564" s="51" t="b">
        <v>0</v>
      </c>
      <c r="Q1564" s="51" t="b">
        <v>0</v>
      </c>
      <c r="R1564" s="51" t="b">
        <v>0</v>
      </c>
      <c r="S1564" s="51" t="b">
        <v>0</v>
      </c>
    </row>
    <row r="1565" hidden="1">
      <c r="A1565" s="4" t="str">
        <f>IFERROR(__xludf.DUMMYFUNCTION("""COMPUTED_VALUE"""),"2122 - Channel")</f>
        <v>2122 - Channel</v>
      </c>
      <c r="B1565" s="4"/>
      <c r="C1565" s="4"/>
      <c r="D1565" s="6"/>
      <c r="E1565" s="6"/>
      <c r="F1565" s="6"/>
      <c r="G1565" s="4"/>
      <c r="H1565" s="4"/>
      <c r="I1565" s="4"/>
      <c r="J1565" s="4"/>
      <c r="K1565" s="4"/>
      <c r="L1565" s="4"/>
      <c r="M1565" s="4"/>
      <c r="N1565" s="4" t="s">
        <v>70</v>
      </c>
      <c r="O1565" s="51" t="b">
        <v>0</v>
      </c>
      <c r="P1565" s="51" t="b">
        <v>0</v>
      </c>
      <c r="Q1565" s="51" t="b">
        <v>0</v>
      </c>
      <c r="R1565" s="51" t="b">
        <v>0</v>
      </c>
      <c r="S1565" s="51" t="b">
        <v>0</v>
      </c>
    </row>
    <row r="1566" hidden="1">
      <c r="A1566" s="4" t="str">
        <f>IFERROR(__xludf.DUMMYFUNCTION("""COMPUTED_VALUE"""),"2123 - Channel")</f>
        <v>2123 - Channel</v>
      </c>
      <c r="B1566" s="4"/>
      <c r="C1566" s="4"/>
      <c r="D1566" s="6"/>
      <c r="E1566" s="6"/>
      <c r="F1566" s="6"/>
      <c r="G1566" s="4"/>
      <c r="H1566" s="4"/>
      <c r="I1566" s="4"/>
      <c r="J1566" s="4"/>
      <c r="K1566" s="4"/>
      <c r="L1566" s="4"/>
      <c r="M1566" s="4"/>
      <c r="N1566" s="4" t="s">
        <v>70</v>
      </c>
      <c r="O1566" s="51" t="b">
        <v>0</v>
      </c>
      <c r="P1566" s="51" t="b">
        <v>0</v>
      </c>
      <c r="Q1566" s="51" t="b">
        <v>0</v>
      </c>
      <c r="R1566" s="51" t="b">
        <v>0</v>
      </c>
      <c r="S1566" s="51" t="b">
        <v>0</v>
      </c>
    </row>
    <row r="1567" hidden="1">
      <c r="A1567" s="4" t="str">
        <f>IFERROR(__xludf.DUMMYFUNCTION("""COMPUTED_VALUE"""),"2124 - Channel")</f>
        <v>2124 - Channel</v>
      </c>
      <c r="B1567" s="4"/>
      <c r="C1567" s="4"/>
      <c r="D1567" s="6"/>
      <c r="E1567" s="6"/>
      <c r="F1567" s="6"/>
      <c r="G1567" s="4"/>
      <c r="H1567" s="4"/>
      <c r="I1567" s="4"/>
      <c r="J1567" s="4"/>
      <c r="K1567" s="4"/>
      <c r="L1567" s="4"/>
      <c r="M1567" s="4"/>
      <c r="N1567" s="4" t="s">
        <v>70</v>
      </c>
      <c r="O1567" s="51" t="b">
        <v>0</v>
      </c>
      <c r="P1567" s="51" t="b">
        <v>0</v>
      </c>
      <c r="Q1567" s="51" t="b">
        <v>0</v>
      </c>
      <c r="R1567" s="51" t="b">
        <v>0</v>
      </c>
      <c r="S1567" s="51" t="b">
        <v>0</v>
      </c>
    </row>
    <row r="1568" hidden="1">
      <c r="A1568" s="4" t="str">
        <f>IFERROR(__xludf.DUMMYFUNCTION("""COMPUTED_VALUE"""),"2125 - Channel")</f>
        <v>2125 - Channel</v>
      </c>
      <c r="B1568" s="4"/>
      <c r="C1568" s="4"/>
      <c r="D1568" s="6"/>
      <c r="E1568" s="6"/>
      <c r="F1568" s="6"/>
      <c r="G1568" s="4"/>
      <c r="H1568" s="4"/>
      <c r="I1568" s="4"/>
      <c r="J1568" s="4"/>
      <c r="K1568" s="4"/>
      <c r="L1568" s="4"/>
      <c r="M1568" s="4"/>
      <c r="N1568" s="4" t="s">
        <v>70</v>
      </c>
      <c r="O1568" s="51" t="b">
        <v>0</v>
      </c>
      <c r="P1568" s="51" t="b">
        <v>0</v>
      </c>
      <c r="Q1568" s="51" t="b">
        <v>0</v>
      </c>
      <c r="R1568" s="51" t="b">
        <v>0</v>
      </c>
      <c r="S1568" s="51" t="b">
        <v>0</v>
      </c>
    </row>
    <row r="1569" hidden="1">
      <c r="A1569" s="4" t="str">
        <f>IFERROR(__xludf.DUMMYFUNCTION("""COMPUTED_VALUE"""),"2126 - Channel")</f>
        <v>2126 - Channel</v>
      </c>
      <c r="B1569" s="4"/>
      <c r="C1569" s="4"/>
      <c r="D1569" s="6"/>
      <c r="E1569" s="6"/>
      <c r="F1569" s="6"/>
      <c r="G1569" s="4"/>
      <c r="H1569" s="4"/>
      <c r="I1569" s="4"/>
      <c r="J1569" s="4"/>
      <c r="K1569" s="4"/>
      <c r="L1569" s="4"/>
      <c r="M1569" s="4"/>
      <c r="N1569" s="4" t="s">
        <v>70</v>
      </c>
      <c r="O1569" s="51" t="b">
        <v>0</v>
      </c>
      <c r="P1569" s="51" t="b">
        <v>0</v>
      </c>
      <c r="Q1569" s="51" t="b">
        <v>0</v>
      </c>
      <c r="R1569" s="51" t="b">
        <v>0</v>
      </c>
      <c r="S1569" s="51" t="b">
        <v>0</v>
      </c>
    </row>
    <row r="1570" hidden="1">
      <c r="A1570" s="4" t="str">
        <f>IFERROR(__xludf.DUMMYFUNCTION("""COMPUTED_VALUE"""),"2127 - Channel")</f>
        <v>2127 - Channel</v>
      </c>
      <c r="B1570" s="4"/>
      <c r="C1570" s="4"/>
      <c r="D1570" s="6"/>
      <c r="E1570" s="6"/>
      <c r="F1570" s="6"/>
      <c r="G1570" s="4"/>
      <c r="H1570" s="4"/>
      <c r="I1570" s="4"/>
      <c r="J1570" s="4"/>
      <c r="K1570" s="4"/>
      <c r="L1570" s="4"/>
      <c r="M1570" s="4"/>
      <c r="N1570" s="4" t="s">
        <v>70</v>
      </c>
      <c r="O1570" s="51" t="b">
        <v>0</v>
      </c>
      <c r="P1570" s="51" t="b">
        <v>0</v>
      </c>
      <c r="Q1570" s="51" t="b">
        <v>0</v>
      </c>
      <c r="R1570" s="51" t="b">
        <v>0</v>
      </c>
      <c r="S1570" s="51" t="b">
        <v>0</v>
      </c>
    </row>
    <row r="1571" hidden="1">
      <c r="A1571" s="4" t="str">
        <f>IFERROR(__xludf.DUMMYFUNCTION("""COMPUTED_VALUE"""),"2128 - Channel")</f>
        <v>2128 - Channel</v>
      </c>
      <c r="B1571" s="4"/>
      <c r="C1571" s="4"/>
      <c r="D1571" s="6"/>
      <c r="E1571" s="6"/>
      <c r="F1571" s="6"/>
      <c r="G1571" s="4"/>
      <c r="H1571" s="4"/>
      <c r="I1571" s="4"/>
      <c r="J1571" s="4"/>
      <c r="K1571" s="4"/>
      <c r="L1571" s="4"/>
      <c r="M1571" s="4"/>
      <c r="N1571" s="4" t="s">
        <v>70</v>
      </c>
      <c r="O1571" s="51" t="b">
        <v>0</v>
      </c>
      <c r="P1571" s="51" t="b">
        <v>0</v>
      </c>
      <c r="Q1571" s="51" t="b">
        <v>0</v>
      </c>
      <c r="R1571" s="51" t="b">
        <v>0</v>
      </c>
      <c r="S1571" s="51" t="b">
        <v>0</v>
      </c>
    </row>
    <row r="1572" hidden="1">
      <c r="A1572" s="4" t="str">
        <f>IFERROR(__xludf.DUMMYFUNCTION("""COMPUTED_VALUE"""),"2129 - Channel")</f>
        <v>2129 - Channel</v>
      </c>
      <c r="B1572" s="4"/>
      <c r="C1572" s="4"/>
      <c r="D1572" s="6"/>
      <c r="E1572" s="6"/>
      <c r="F1572" s="6"/>
      <c r="G1572" s="4"/>
      <c r="H1572" s="4"/>
      <c r="I1572" s="4"/>
      <c r="J1572" s="4"/>
      <c r="K1572" s="4"/>
      <c r="L1572" s="4"/>
      <c r="M1572" s="4"/>
      <c r="N1572" s="4" t="s">
        <v>70</v>
      </c>
      <c r="O1572" s="51" t="b">
        <v>0</v>
      </c>
      <c r="P1572" s="51" t="b">
        <v>0</v>
      </c>
      <c r="Q1572" s="51" t="b">
        <v>0</v>
      </c>
      <c r="R1572" s="51" t="b">
        <v>0</v>
      </c>
      <c r="S1572" s="51" t="b">
        <v>0</v>
      </c>
    </row>
    <row r="1573" hidden="1">
      <c r="A1573" s="4" t="str">
        <f>IFERROR(__xludf.DUMMYFUNCTION("""COMPUTED_VALUE"""),"2130 - Channel")</f>
        <v>2130 - Channel</v>
      </c>
      <c r="B1573" s="4"/>
      <c r="C1573" s="4"/>
      <c r="D1573" s="6"/>
      <c r="E1573" s="6"/>
      <c r="F1573" s="6"/>
      <c r="G1573" s="4"/>
      <c r="H1573" s="4"/>
      <c r="I1573" s="4"/>
      <c r="J1573" s="4"/>
      <c r="K1573" s="4"/>
      <c r="L1573" s="4"/>
      <c r="M1573" s="4"/>
      <c r="N1573" s="4" t="s">
        <v>70</v>
      </c>
      <c r="O1573" s="51" t="b">
        <v>0</v>
      </c>
      <c r="P1573" s="51" t="b">
        <v>0</v>
      </c>
      <c r="Q1573" s="51" t="b">
        <v>0</v>
      </c>
      <c r="R1573" s="51" t="b">
        <v>0</v>
      </c>
      <c r="S1573" s="51" t="b">
        <v>0</v>
      </c>
    </row>
    <row r="1574" hidden="1">
      <c r="A1574" s="4" t="str">
        <f>IFERROR(__xludf.DUMMYFUNCTION("""COMPUTED_VALUE"""),"2131 - Channel")</f>
        <v>2131 - Channel</v>
      </c>
      <c r="B1574" s="4"/>
      <c r="C1574" s="4"/>
      <c r="D1574" s="6"/>
      <c r="E1574" s="6"/>
      <c r="F1574" s="6"/>
      <c r="G1574" s="4"/>
      <c r="H1574" s="4"/>
      <c r="I1574" s="4"/>
      <c r="J1574" s="4"/>
      <c r="K1574" s="4"/>
      <c r="L1574" s="4"/>
      <c r="M1574" s="4"/>
      <c r="N1574" s="4" t="s">
        <v>70</v>
      </c>
      <c r="O1574" s="51" t="b">
        <v>0</v>
      </c>
      <c r="P1574" s="51" t="b">
        <v>0</v>
      </c>
      <c r="Q1574" s="51" t="b">
        <v>0</v>
      </c>
      <c r="R1574" s="51" t="b">
        <v>0</v>
      </c>
      <c r="S1574" s="51" t="b">
        <v>0</v>
      </c>
    </row>
    <row r="1575" hidden="1">
      <c r="A1575" s="4" t="str">
        <f>IFERROR(__xludf.DUMMYFUNCTION("""COMPUTED_VALUE"""),"2132 - Channel")</f>
        <v>2132 - Channel</v>
      </c>
      <c r="B1575" s="4"/>
      <c r="C1575" s="4"/>
      <c r="D1575" s="6"/>
      <c r="E1575" s="6"/>
      <c r="F1575" s="6"/>
      <c r="G1575" s="4"/>
      <c r="H1575" s="4"/>
      <c r="I1575" s="4"/>
      <c r="J1575" s="4"/>
      <c r="K1575" s="4"/>
      <c r="L1575" s="4"/>
      <c r="M1575" s="4"/>
      <c r="N1575" s="4" t="s">
        <v>70</v>
      </c>
      <c r="O1575" s="51" t="b">
        <v>0</v>
      </c>
      <c r="P1575" s="51" t="b">
        <v>0</v>
      </c>
      <c r="Q1575" s="51" t="b">
        <v>0</v>
      </c>
      <c r="R1575" s="51" t="b">
        <v>0</v>
      </c>
      <c r="S1575" s="51" t="b">
        <v>0</v>
      </c>
    </row>
    <row r="1576" hidden="1">
      <c r="A1576" s="4" t="str">
        <f>IFERROR(__xludf.DUMMYFUNCTION("""COMPUTED_VALUE"""),"2133 - Channel")</f>
        <v>2133 - Channel</v>
      </c>
      <c r="B1576" s="4"/>
      <c r="C1576" s="4"/>
      <c r="D1576" s="6"/>
      <c r="E1576" s="6"/>
      <c r="F1576" s="6"/>
      <c r="G1576" s="4"/>
      <c r="H1576" s="4"/>
      <c r="I1576" s="4"/>
      <c r="J1576" s="4"/>
      <c r="K1576" s="4"/>
      <c r="L1576" s="4"/>
      <c r="M1576" s="4"/>
      <c r="N1576" s="4" t="s">
        <v>70</v>
      </c>
      <c r="O1576" s="51" t="b">
        <v>0</v>
      </c>
      <c r="P1576" s="51" t="b">
        <v>0</v>
      </c>
      <c r="Q1576" s="51" t="b">
        <v>0</v>
      </c>
      <c r="R1576" s="51" t="b">
        <v>0</v>
      </c>
      <c r="S1576" s="51" t="b">
        <v>0</v>
      </c>
    </row>
    <row r="1577" hidden="1">
      <c r="A1577" s="4" t="str">
        <f>IFERROR(__xludf.DUMMYFUNCTION("""COMPUTED_VALUE"""),"2134 - Channel")</f>
        <v>2134 - Channel</v>
      </c>
      <c r="B1577" s="4"/>
      <c r="C1577" s="4"/>
      <c r="D1577" s="6"/>
      <c r="E1577" s="6"/>
      <c r="F1577" s="6"/>
      <c r="G1577" s="4"/>
      <c r="H1577" s="4"/>
      <c r="I1577" s="4"/>
      <c r="J1577" s="4"/>
      <c r="K1577" s="4"/>
      <c r="L1577" s="4"/>
      <c r="M1577" s="4"/>
      <c r="N1577" s="4" t="s">
        <v>70</v>
      </c>
      <c r="O1577" s="51" t="b">
        <v>0</v>
      </c>
      <c r="P1577" s="51" t="b">
        <v>0</v>
      </c>
      <c r="Q1577" s="51" t="b">
        <v>0</v>
      </c>
      <c r="R1577" s="51" t="b">
        <v>0</v>
      </c>
      <c r="S1577" s="51" t="b">
        <v>0</v>
      </c>
    </row>
    <row r="1578" hidden="1">
      <c r="A1578" s="4" t="str">
        <f>IFERROR(__xludf.DUMMYFUNCTION("""COMPUTED_VALUE"""),"2135 - Channel")</f>
        <v>2135 - Channel</v>
      </c>
      <c r="B1578" s="4"/>
      <c r="C1578" s="4"/>
      <c r="D1578" s="6"/>
      <c r="E1578" s="6"/>
      <c r="F1578" s="6"/>
      <c r="G1578" s="4"/>
      <c r="H1578" s="4"/>
      <c r="I1578" s="4"/>
      <c r="J1578" s="4"/>
      <c r="K1578" s="4"/>
      <c r="L1578" s="4"/>
      <c r="M1578" s="4"/>
      <c r="N1578" s="4" t="s">
        <v>70</v>
      </c>
      <c r="O1578" s="51" t="b">
        <v>0</v>
      </c>
      <c r="P1578" s="51" t="b">
        <v>0</v>
      </c>
      <c r="Q1578" s="51" t="b">
        <v>0</v>
      </c>
      <c r="R1578" s="51" t="b">
        <v>0</v>
      </c>
      <c r="S1578" s="51" t="b">
        <v>0</v>
      </c>
    </row>
    <row r="1579" hidden="1">
      <c r="A1579" s="4" t="str">
        <f>IFERROR(__xludf.DUMMYFUNCTION("""COMPUTED_VALUE"""),"2136 - Channel")</f>
        <v>2136 - Channel</v>
      </c>
      <c r="B1579" s="4"/>
      <c r="C1579" s="4"/>
      <c r="D1579" s="6"/>
      <c r="E1579" s="6"/>
      <c r="F1579" s="6"/>
      <c r="G1579" s="4"/>
      <c r="H1579" s="4"/>
      <c r="I1579" s="4"/>
      <c r="J1579" s="4"/>
      <c r="K1579" s="4"/>
      <c r="L1579" s="4"/>
      <c r="M1579" s="4"/>
      <c r="N1579" s="4" t="s">
        <v>70</v>
      </c>
      <c r="O1579" s="51" t="b">
        <v>0</v>
      </c>
      <c r="P1579" s="51" t="b">
        <v>0</v>
      </c>
      <c r="Q1579" s="51" t="b">
        <v>0</v>
      </c>
      <c r="R1579" s="51" t="b">
        <v>0</v>
      </c>
      <c r="S1579" s="51" t="b">
        <v>0</v>
      </c>
    </row>
    <row r="1580" hidden="1">
      <c r="A1580" s="4" t="str">
        <f>IFERROR(__xludf.DUMMYFUNCTION("""COMPUTED_VALUE"""),"2137 - Channel")</f>
        <v>2137 - Channel</v>
      </c>
      <c r="B1580" s="4"/>
      <c r="C1580" s="4"/>
      <c r="D1580" s="6"/>
      <c r="E1580" s="6"/>
      <c r="F1580" s="6"/>
      <c r="G1580" s="4"/>
      <c r="H1580" s="4"/>
      <c r="I1580" s="4"/>
      <c r="J1580" s="4"/>
      <c r="K1580" s="4"/>
      <c r="L1580" s="4"/>
      <c r="M1580" s="4"/>
      <c r="N1580" s="4" t="s">
        <v>70</v>
      </c>
      <c r="O1580" s="51" t="b">
        <v>0</v>
      </c>
      <c r="P1580" s="51" t="b">
        <v>0</v>
      </c>
      <c r="Q1580" s="51" t="b">
        <v>0</v>
      </c>
      <c r="R1580" s="51" t="b">
        <v>0</v>
      </c>
      <c r="S1580" s="51" t="b">
        <v>0</v>
      </c>
    </row>
    <row r="1581" hidden="1">
      <c r="A1581" s="4" t="str">
        <f>IFERROR(__xludf.DUMMYFUNCTION("""COMPUTED_VALUE"""),"2138 - Channel")</f>
        <v>2138 - Channel</v>
      </c>
      <c r="B1581" s="4"/>
      <c r="C1581" s="4"/>
      <c r="D1581" s="6"/>
      <c r="E1581" s="6"/>
      <c r="F1581" s="6"/>
      <c r="G1581" s="4"/>
      <c r="H1581" s="4"/>
      <c r="I1581" s="4"/>
      <c r="J1581" s="4"/>
      <c r="K1581" s="4"/>
      <c r="L1581" s="4"/>
      <c r="M1581" s="4"/>
      <c r="N1581" s="4" t="s">
        <v>70</v>
      </c>
      <c r="O1581" s="51" t="b">
        <v>0</v>
      </c>
      <c r="P1581" s="51" t="b">
        <v>0</v>
      </c>
      <c r="Q1581" s="51" t="b">
        <v>0</v>
      </c>
      <c r="R1581" s="51" t="b">
        <v>0</v>
      </c>
      <c r="S1581" s="51" t="b">
        <v>0</v>
      </c>
    </row>
    <row r="1582" hidden="1">
      <c r="A1582" s="4" t="str">
        <f>IFERROR(__xludf.DUMMYFUNCTION("""COMPUTED_VALUE"""),"2139 - Channel")</f>
        <v>2139 - Channel</v>
      </c>
      <c r="B1582" s="4"/>
      <c r="C1582" s="4"/>
      <c r="D1582" s="6"/>
      <c r="E1582" s="6"/>
      <c r="F1582" s="6"/>
      <c r="G1582" s="4"/>
      <c r="H1582" s="4"/>
      <c r="I1582" s="4"/>
      <c r="J1582" s="4"/>
      <c r="K1582" s="4"/>
      <c r="L1582" s="4"/>
      <c r="M1582" s="4"/>
      <c r="N1582" s="4" t="s">
        <v>70</v>
      </c>
      <c r="O1582" s="51" t="b">
        <v>0</v>
      </c>
      <c r="P1582" s="51" t="b">
        <v>0</v>
      </c>
      <c r="Q1582" s="51" t="b">
        <v>0</v>
      </c>
      <c r="R1582" s="51" t="b">
        <v>0</v>
      </c>
      <c r="S1582" s="51" t="b">
        <v>0</v>
      </c>
    </row>
    <row r="1583" hidden="1">
      <c r="A1583" s="4" t="str">
        <f>IFERROR(__xludf.DUMMYFUNCTION("""COMPUTED_VALUE"""),"2140 - Channel")</f>
        <v>2140 - Channel</v>
      </c>
      <c r="B1583" s="4"/>
      <c r="C1583" s="4"/>
      <c r="D1583" s="6"/>
      <c r="E1583" s="6"/>
      <c r="F1583" s="6"/>
      <c r="G1583" s="4"/>
      <c r="H1583" s="4"/>
      <c r="I1583" s="4"/>
      <c r="J1583" s="4"/>
      <c r="K1583" s="4"/>
      <c r="L1583" s="4"/>
      <c r="M1583" s="4"/>
      <c r="N1583" s="4" t="s">
        <v>70</v>
      </c>
      <c r="O1583" s="51" t="b">
        <v>0</v>
      </c>
      <c r="P1583" s="51" t="b">
        <v>0</v>
      </c>
      <c r="Q1583" s="51" t="b">
        <v>0</v>
      </c>
      <c r="R1583" s="51" t="b">
        <v>0</v>
      </c>
      <c r="S1583" s="51" t="b">
        <v>0</v>
      </c>
    </row>
    <row r="1584" hidden="1">
      <c r="A1584" s="4" t="str">
        <f>IFERROR(__xludf.DUMMYFUNCTION("""COMPUTED_VALUE"""),"2141 - Channel")</f>
        <v>2141 - Channel</v>
      </c>
      <c r="B1584" s="4"/>
      <c r="C1584" s="4"/>
      <c r="D1584" s="6"/>
      <c r="E1584" s="6"/>
      <c r="F1584" s="6"/>
      <c r="G1584" s="4"/>
      <c r="H1584" s="4"/>
      <c r="I1584" s="4"/>
      <c r="J1584" s="4"/>
      <c r="K1584" s="4"/>
      <c r="L1584" s="4"/>
      <c r="M1584" s="4"/>
      <c r="N1584" s="4" t="s">
        <v>70</v>
      </c>
      <c r="O1584" s="51" t="b">
        <v>0</v>
      </c>
      <c r="P1584" s="51" t="b">
        <v>0</v>
      </c>
      <c r="Q1584" s="51" t="b">
        <v>0</v>
      </c>
      <c r="R1584" s="51" t="b">
        <v>0</v>
      </c>
      <c r="S1584" s="51" t="b">
        <v>0</v>
      </c>
    </row>
    <row r="1585" hidden="1">
      <c r="A1585" s="4" t="str">
        <f>IFERROR(__xludf.DUMMYFUNCTION("""COMPUTED_VALUE"""),"2142 - Channel")</f>
        <v>2142 - Channel</v>
      </c>
      <c r="B1585" s="4"/>
      <c r="C1585" s="4"/>
      <c r="D1585" s="6"/>
      <c r="E1585" s="6"/>
      <c r="F1585" s="6"/>
      <c r="G1585" s="4"/>
      <c r="H1585" s="4"/>
      <c r="I1585" s="4"/>
      <c r="J1585" s="4"/>
      <c r="K1585" s="4"/>
      <c r="L1585" s="4"/>
      <c r="M1585" s="4"/>
      <c r="N1585" s="4" t="s">
        <v>70</v>
      </c>
      <c r="O1585" s="51" t="b">
        <v>0</v>
      </c>
      <c r="P1585" s="51" t="b">
        <v>0</v>
      </c>
      <c r="Q1585" s="51" t="b">
        <v>0</v>
      </c>
      <c r="R1585" s="51" t="b">
        <v>0</v>
      </c>
      <c r="S1585" s="51" t="b">
        <v>0</v>
      </c>
    </row>
    <row r="1586" hidden="1">
      <c r="A1586" s="4" t="str">
        <f>IFERROR(__xludf.DUMMYFUNCTION("""COMPUTED_VALUE"""),"2143 - Channel")</f>
        <v>2143 - Channel</v>
      </c>
      <c r="B1586" s="4"/>
      <c r="C1586" s="4"/>
      <c r="D1586" s="6"/>
      <c r="E1586" s="6"/>
      <c r="F1586" s="6"/>
      <c r="G1586" s="4"/>
      <c r="H1586" s="4"/>
      <c r="I1586" s="4"/>
      <c r="J1586" s="4"/>
      <c r="K1586" s="4"/>
      <c r="L1586" s="4"/>
      <c r="M1586" s="4"/>
      <c r="N1586" s="4" t="s">
        <v>70</v>
      </c>
      <c r="O1586" s="51" t="b">
        <v>0</v>
      </c>
      <c r="P1586" s="51" t="b">
        <v>0</v>
      </c>
      <c r="Q1586" s="51" t="b">
        <v>0</v>
      </c>
      <c r="R1586" s="51" t="b">
        <v>0</v>
      </c>
      <c r="S1586" s="51" t="b">
        <v>0</v>
      </c>
    </row>
    <row r="1587" hidden="1">
      <c r="A1587" s="4" t="str">
        <f>IFERROR(__xludf.DUMMYFUNCTION("""COMPUTED_VALUE"""),"2144 - Channel")</f>
        <v>2144 - Channel</v>
      </c>
      <c r="B1587" s="4"/>
      <c r="C1587" s="4"/>
      <c r="D1587" s="6"/>
      <c r="E1587" s="6"/>
      <c r="F1587" s="6"/>
      <c r="G1587" s="4"/>
      <c r="H1587" s="4"/>
      <c r="I1587" s="4"/>
      <c r="J1587" s="4"/>
      <c r="K1587" s="4"/>
      <c r="L1587" s="4"/>
      <c r="M1587" s="4"/>
      <c r="N1587" s="4" t="s">
        <v>70</v>
      </c>
      <c r="O1587" s="51" t="b">
        <v>0</v>
      </c>
      <c r="P1587" s="51" t="b">
        <v>0</v>
      </c>
      <c r="Q1587" s="51" t="b">
        <v>0</v>
      </c>
      <c r="R1587" s="51" t="b">
        <v>0</v>
      </c>
      <c r="S1587" s="51" t="b">
        <v>0</v>
      </c>
    </row>
    <row r="1588" hidden="1">
      <c r="A1588" s="4" t="str">
        <f>IFERROR(__xludf.DUMMYFUNCTION("""COMPUTED_VALUE"""),"2145 - Channel")</f>
        <v>2145 - Channel</v>
      </c>
      <c r="B1588" s="4"/>
      <c r="C1588" s="4"/>
      <c r="D1588" s="6"/>
      <c r="E1588" s="6"/>
      <c r="F1588" s="6"/>
      <c r="G1588" s="4"/>
      <c r="H1588" s="4"/>
      <c r="I1588" s="4"/>
      <c r="J1588" s="4"/>
      <c r="K1588" s="4"/>
      <c r="L1588" s="4"/>
      <c r="M1588" s="4"/>
      <c r="N1588" s="4" t="s">
        <v>70</v>
      </c>
      <c r="O1588" s="51" t="b">
        <v>0</v>
      </c>
      <c r="P1588" s="51" t="b">
        <v>0</v>
      </c>
      <c r="Q1588" s="51" t="b">
        <v>0</v>
      </c>
      <c r="R1588" s="51" t="b">
        <v>0</v>
      </c>
      <c r="S1588" s="51" t="b">
        <v>0</v>
      </c>
    </row>
    <row r="1589" hidden="1">
      <c r="A1589" s="4" t="str">
        <f>IFERROR(__xludf.DUMMYFUNCTION("""COMPUTED_VALUE"""),"2146 - Channel")</f>
        <v>2146 - Channel</v>
      </c>
      <c r="B1589" s="4"/>
      <c r="C1589" s="4"/>
      <c r="D1589" s="6"/>
      <c r="E1589" s="6"/>
      <c r="F1589" s="6"/>
      <c r="G1589" s="4"/>
      <c r="H1589" s="4"/>
      <c r="I1589" s="4"/>
      <c r="J1589" s="4"/>
      <c r="K1589" s="4"/>
      <c r="L1589" s="4"/>
      <c r="M1589" s="4"/>
      <c r="N1589" s="4" t="s">
        <v>70</v>
      </c>
      <c r="O1589" s="51" t="b">
        <v>0</v>
      </c>
      <c r="P1589" s="51" t="b">
        <v>0</v>
      </c>
      <c r="Q1589" s="51" t="b">
        <v>0</v>
      </c>
      <c r="R1589" s="51" t="b">
        <v>0</v>
      </c>
      <c r="S1589" s="51" t="b">
        <v>0</v>
      </c>
    </row>
    <row r="1590" hidden="1">
      <c r="A1590" s="4" t="str">
        <f>IFERROR(__xludf.DUMMYFUNCTION("""COMPUTED_VALUE"""),"2147 - Channel")</f>
        <v>2147 - Channel</v>
      </c>
      <c r="B1590" s="4"/>
      <c r="C1590" s="4"/>
      <c r="D1590" s="6"/>
      <c r="E1590" s="6"/>
      <c r="F1590" s="6"/>
      <c r="G1590" s="4"/>
      <c r="H1590" s="4"/>
      <c r="I1590" s="4"/>
      <c r="J1590" s="4"/>
      <c r="K1590" s="4"/>
      <c r="L1590" s="4"/>
      <c r="M1590" s="4"/>
      <c r="N1590" s="4" t="s">
        <v>70</v>
      </c>
      <c r="O1590" s="51" t="b">
        <v>0</v>
      </c>
      <c r="P1590" s="51" t="b">
        <v>0</v>
      </c>
      <c r="Q1590" s="51" t="b">
        <v>0</v>
      </c>
      <c r="R1590" s="51" t="b">
        <v>0</v>
      </c>
      <c r="S1590" s="51" t="b">
        <v>0</v>
      </c>
    </row>
    <row r="1591" hidden="1">
      <c r="A1591" s="4" t="str">
        <f>IFERROR(__xludf.DUMMYFUNCTION("""COMPUTED_VALUE"""),"2148 - Channel")</f>
        <v>2148 - Channel</v>
      </c>
      <c r="B1591" s="4"/>
      <c r="C1591" s="4"/>
      <c r="D1591" s="6"/>
      <c r="E1591" s="6"/>
      <c r="F1591" s="6"/>
      <c r="G1591" s="4"/>
      <c r="H1591" s="4"/>
      <c r="I1591" s="4"/>
      <c r="J1591" s="4"/>
      <c r="K1591" s="4"/>
      <c r="L1591" s="4"/>
      <c r="M1591" s="4"/>
      <c r="N1591" s="4" t="s">
        <v>70</v>
      </c>
      <c r="O1591" s="51" t="b">
        <v>0</v>
      </c>
      <c r="P1591" s="51" t="b">
        <v>0</v>
      </c>
      <c r="Q1591" s="51" t="b">
        <v>0</v>
      </c>
      <c r="R1591" s="51" t="b">
        <v>0</v>
      </c>
      <c r="S1591" s="51" t="b">
        <v>0</v>
      </c>
    </row>
    <row r="1592" hidden="1">
      <c r="A1592" s="4" t="str">
        <f>IFERROR(__xludf.DUMMYFUNCTION("""COMPUTED_VALUE"""),"2149 - Channel")</f>
        <v>2149 - Channel</v>
      </c>
      <c r="B1592" s="4"/>
      <c r="C1592" s="4"/>
      <c r="D1592" s="6"/>
      <c r="E1592" s="6"/>
      <c r="F1592" s="6"/>
      <c r="G1592" s="4"/>
      <c r="H1592" s="4"/>
      <c r="I1592" s="4"/>
      <c r="J1592" s="4"/>
      <c r="K1592" s="4"/>
      <c r="L1592" s="4"/>
      <c r="M1592" s="4"/>
      <c r="N1592" s="4" t="s">
        <v>70</v>
      </c>
      <c r="O1592" s="51" t="b">
        <v>0</v>
      </c>
      <c r="P1592" s="51" t="b">
        <v>0</v>
      </c>
      <c r="Q1592" s="51" t="b">
        <v>0</v>
      </c>
      <c r="R1592" s="51" t="b">
        <v>0</v>
      </c>
      <c r="S1592" s="51" t="b">
        <v>0</v>
      </c>
    </row>
    <row r="1593" hidden="1">
      <c r="A1593" s="4" t="str">
        <f>IFERROR(__xludf.DUMMYFUNCTION("""COMPUTED_VALUE"""),"2150 - Channel")</f>
        <v>2150 - Channel</v>
      </c>
      <c r="B1593" s="4"/>
      <c r="C1593" s="4"/>
      <c r="D1593" s="6"/>
      <c r="E1593" s="6"/>
      <c r="F1593" s="6"/>
      <c r="G1593" s="4"/>
      <c r="H1593" s="4"/>
      <c r="I1593" s="4"/>
      <c r="J1593" s="4"/>
      <c r="K1593" s="4"/>
      <c r="L1593" s="4"/>
      <c r="M1593" s="4"/>
      <c r="N1593" s="4" t="s">
        <v>70</v>
      </c>
      <c r="O1593" s="51" t="b">
        <v>0</v>
      </c>
      <c r="P1593" s="51" t="b">
        <v>0</v>
      </c>
      <c r="Q1593" s="51" t="b">
        <v>0</v>
      </c>
      <c r="R1593" s="51" t="b">
        <v>0</v>
      </c>
      <c r="S1593" s="51" t="b">
        <v>0</v>
      </c>
    </row>
    <row r="1594" hidden="1">
      <c r="A1594" s="4" t="str">
        <f>IFERROR(__xludf.DUMMYFUNCTION("""COMPUTED_VALUE"""),"2151 - Channel")</f>
        <v>2151 - Channel</v>
      </c>
      <c r="B1594" s="4"/>
      <c r="C1594" s="4"/>
      <c r="D1594" s="6"/>
      <c r="E1594" s="6"/>
      <c r="F1594" s="6"/>
      <c r="G1594" s="4"/>
      <c r="H1594" s="4"/>
      <c r="I1594" s="4"/>
      <c r="J1594" s="4"/>
      <c r="K1594" s="4"/>
      <c r="L1594" s="4"/>
      <c r="M1594" s="4"/>
      <c r="N1594" s="4" t="s">
        <v>70</v>
      </c>
      <c r="O1594" s="51" t="b">
        <v>0</v>
      </c>
      <c r="P1594" s="51" t="b">
        <v>0</v>
      </c>
      <c r="Q1594" s="51" t="b">
        <v>0</v>
      </c>
      <c r="R1594" s="51" t="b">
        <v>0</v>
      </c>
      <c r="S1594" s="51" t="b">
        <v>0</v>
      </c>
    </row>
    <row r="1595" hidden="1">
      <c r="A1595" s="4" t="str">
        <f>IFERROR(__xludf.DUMMYFUNCTION("""COMPUTED_VALUE"""),"2152 - Channel")</f>
        <v>2152 - Channel</v>
      </c>
      <c r="B1595" s="4"/>
      <c r="C1595" s="4"/>
      <c r="D1595" s="6"/>
      <c r="E1595" s="6"/>
      <c r="F1595" s="6"/>
      <c r="G1595" s="4"/>
      <c r="H1595" s="4"/>
      <c r="I1595" s="4"/>
      <c r="J1595" s="4"/>
      <c r="K1595" s="4"/>
      <c r="L1595" s="4"/>
      <c r="M1595" s="4"/>
      <c r="N1595" s="4" t="s">
        <v>70</v>
      </c>
      <c r="O1595" s="51" t="b">
        <v>0</v>
      </c>
      <c r="P1595" s="51" t="b">
        <v>0</v>
      </c>
      <c r="Q1595" s="51" t="b">
        <v>0</v>
      </c>
      <c r="R1595" s="51" t="b">
        <v>0</v>
      </c>
      <c r="S1595" s="51" t="b">
        <v>0</v>
      </c>
    </row>
    <row r="1596" hidden="1">
      <c r="A1596" s="4" t="str">
        <f>IFERROR(__xludf.DUMMYFUNCTION("""COMPUTED_VALUE"""),"2153 - Channel")</f>
        <v>2153 - Channel</v>
      </c>
      <c r="B1596" s="4"/>
      <c r="C1596" s="4"/>
      <c r="D1596" s="6"/>
      <c r="E1596" s="6"/>
      <c r="F1596" s="6"/>
      <c r="G1596" s="4"/>
      <c r="H1596" s="4"/>
      <c r="I1596" s="4"/>
      <c r="J1596" s="4"/>
      <c r="K1596" s="4"/>
      <c r="L1596" s="4"/>
      <c r="M1596" s="4"/>
      <c r="N1596" s="4" t="s">
        <v>70</v>
      </c>
      <c r="O1596" s="51" t="b">
        <v>0</v>
      </c>
      <c r="P1596" s="51" t="b">
        <v>0</v>
      </c>
      <c r="Q1596" s="51" t="b">
        <v>0</v>
      </c>
      <c r="R1596" s="51" t="b">
        <v>0</v>
      </c>
      <c r="S1596" s="51" t="b">
        <v>0</v>
      </c>
    </row>
    <row r="1597" hidden="1">
      <c r="A1597" s="4" t="str">
        <f>IFERROR(__xludf.DUMMYFUNCTION("""COMPUTED_VALUE"""),"2154 - Channel")</f>
        <v>2154 - Channel</v>
      </c>
      <c r="B1597" s="4"/>
      <c r="C1597" s="4"/>
      <c r="D1597" s="6"/>
      <c r="E1597" s="6"/>
      <c r="F1597" s="6"/>
      <c r="G1597" s="4"/>
      <c r="H1597" s="4"/>
      <c r="I1597" s="4"/>
      <c r="J1597" s="4"/>
      <c r="K1597" s="4"/>
      <c r="L1597" s="4"/>
      <c r="M1597" s="4"/>
      <c r="N1597" s="4" t="s">
        <v>70</v>
      </c>
      <c r="O1597" s="51" t="b">
        <v>0</v>
      </c>
      <c r="P1597" s="51" t="b">
        <v>0</v>
      </c>
      <c r="Q1597" s="51" t="b">
        <v>0</v>
      </c>
      <c r="R1597" s="51" t="b">
        <v>0</v>
      </c>
      <c r="S1597" s="51" t="b">
        <v>0</v>
      </c>
    </row>
    <row r="1598" hidden="1">
      <c r="A1598" s="4" t="str">
        <f>IFERROR(__xludf.DUMMYFUNCTION("""COMPUTED_VALUE"""),"2155 - Channel")</f>
        <v>2155 - Channel</v>
      </c>
      <c r="B1598" s="4"/>
      <c r="C1598" s="4"/>
      <c r="D1598" s="6"/>
      <c r="E1598" s="6"/>
      <c r="F1598" s="6"/>
      <c r="G1598" s="4"/>
      <c r="H1598" s="4"/>
      <c r="I1598" s="4"/>
      <c r="J1598" s="4"/>
      <c r="K1598" s="4"/>
      <c r="L1598" s="4"/>
      <c r="M1598" s="4"/>
      <c r="N1598" s="4" t="s">
        <v>70</v>
      </c>
      <c r="O1598" s="51" t="b">
        <v>0</v>
      </c>
      <c r="P1598" s="51" t="b">
        <v>0</v>
      </c>
      <c r="Q1598" s="51" t="b">
        <v>0</v>
      </c>
      <c r="R1598" s="51" t="b">
        <v>0</v>
      </c>
      <c r="S1598" s="51" t="b">
        <v>0</v>
      </c>
    </row>
    <row r="1599" hidden="1">
      <c r="A1599" s="4" t="str">
        <f>IFERROR(__xludf.DUMMYFUNCTION("""COMPUTED_VALUE"""),"2156 - Channel")</f>
        <v>2156 - Channel</v>
      </c>
      <c r="B1599" s="4"/>
      <c r="C1599" s="4"/>
      <c r="D1599" s="6"/>
      <c r="E1599" s="6"/>
      <c r="F1599" s="6"/>
      <c r="G1599" s="4"/>
      <c r="H1599" s="4"/>
      <c r="I1599" s="4"/>
      <c r="J1599" s="4"/>
      <c r="K1599" s="4"/>
      <c r="L1599" s="4"/>
      <c r="M1599" s="4"/>
      <c r="N1599" s="4" t="s">
        <v>70</v>
      </c>
      <c r="O1599" s="51" t="b">
        <v>0</v>
      </c>
      <c r="P1599" s="51" t="b">
        <v>0</v>
      </c>
      <c r="Q1599" s="51" t="b">
        <v>0</v>
      </c>
      <c r="R1599" s="51" t="b">
        <v>0</v>
      </c>
      <c r="S1599" s="51" t="b">
        <v>0</v>
      </c>
    </row>
    <row r="1600" hidden="1">
      <c r="A1600" s="4" t="str">
        <f>IFERROR(__xludf.DUMMYFUNCTION("""COMPUTED_VALUE"""),"2157 - Channel")</f>
        <v>2157 - Channel</v>
      </c>
      <c r="B1600" s="4"/>
      <c r="C1600" s="4"/>
      <c r="D1600" s="6"/>
      <c r="E1600" s="6"/>
      <c r="F1600" s="6"/>
      <c r="G1600" s="4"/>
      <c r="H1600" s="4"/>
      <c r="I1600" s="4"/>
      <c r="J1600" s="4"/>
      <c r="K1600" s="4"/>
      <c r="L1600" s="4"/>
      <c r="M1600" s="4"/>
      <c r="N1600" s="4" t="s">
        <v>70</v>
      </c>
      <c r="O1600" s="51" t="b">
        <v>0</v>
      </c>
      <c r="P1600" s="51" t="b">
        <v>0</v>
      </c>
      <c r="Q1600" s="51" t="b">
        <v>0</v>
      </c>
      <c r="R1600" s="51" t="b">
        <v>0</v>
      </c>
      <c r="S1600" s="51" t="b">
        <v>0</v>
      </c>
    </row>
    <row r="1601" hidden="1">
      <c r="A1601" s="4" t="str">
        <f>IFERROR(__xludf.DUMMYFUNCTION("""COMPUTED_VALUE"""),"2158 - Channel")</f>
        <v>2158 - Channel</v>
      </c>
      <c r="B1601" s="4"/>
      <c r="C1601" s="4"/>
      <c r="D1601" s="6"/>
      <c r="E1601" s="6"/>
      <c r="F1601" s="6"/>
      <c r="G1601" s="4"/>
      <c r="H1601" s="4"/>
      <c r="I1601" s="4"/>
      <c r="J1601" s="4"/>
      <c r="K1601" s="4"/>
      <c r="L1601" s="4"/>
      <c r="M1601" s="4"/>
      <c r="N1601" s="4" t="s">
        <v>70</v>
      </c>
      <c r="O1601" s="51" t="b">
        <v>0</v>
      </c>
      <c r="P1601" s="51" t="b">
        <v>0</v>
      </c>
      <c r="Q1601" s="51" t="b">
        <v>0</v>
      </c>
      <c r="R1601" s="51" t="b">
        <v>0</v>
      </c>
      <c r="S1601" s="51" t="b">
        <v>0</v>
      </c>
    </row>
    <row r="1602" hidden="1">
      <c r="A1602" s="4" t="str">
        <f>IFERROR(__xludf.DUMMYFUNCTION("""COMPUTED_VALUE"""),"2159 - Channel")</f>
        <v>2159 - Channel</v>
      </c>
      <c r="B1602" s="4"/>
      <c r="C1602" s="4"/>
      <c r="D1602" s="6"/>
      <c r="E1602" s="6"/>
      <c r="F1602" s="6"/>
      <c r="G1602" s="4"/>
      <c r="H1602" s="4"/>
      <c r="I1602" s="4"/>
      <c r="J1602" s="4"/>
      <c r="K1602" s="4"/>
      <c r="L1602" s="4"/>
      <c r="M1602" s="4"/>
      <c r="N1602" s="4" t="s">
        <v>70</v>
      </c>
      <c r="O1602" s="51" t="b">
        <v>0</v>
      </c>
      <c r="P1602" s="51" t="b">
        <v>0</v>
      </c>
      <c r="Q1602" s="51" t="b">
        <v>0</v>
      </c>
      <c r="R1602" s="51" t="b">
        <v>0</v>
      </c>
      <c r="S1602" s="51" t="b">
        <v>0</v>
      </c>
    </row>
    <row r="1603" hidden="1">
      <c r="A1603" s="4" t="str">
        <f>IFERROR(__xludf.DUMMYFUNCTION("""COMPUTED_VALUE"""),"2160 - Channel")</f>
        <v>2160 - Channel</v>
      </c>
      <c r="B1603" s="4"/>
      <c r="C1603" s="4"/>
      <c r="D1603" s="6"/>
      <c r="E1603" s="6"/>
      <c r="F1603" s="6"/>
      <c r="G1603" s="4"/>
      <c r="H1603" s="4"/>
      <c r="I1603" s="4"/>
      <c r="J1603" s="4"/>
      <c r="K1603" s="4"/>
      <c r="L1603" s="4"/>
      <c r="M1603" s="4"/>
      <c r="N1603" s="4" t="s">
        <v>70</v>
      </c>
      <c r="O1603" s="51" t="b">
        <v>0</v>
      </c>
      <c r="P1603" s="51" t="b">
        <v>0</v>
      </c>
      <c r="Q1603" s="51" t="b">
        <v>0</v>
      </c>
      <c r="R1603" s="51" t="b">
        <v>0</v>
      </c>
      <c r="S1603" s="51" t="b">
        <v>0</v>
      </c>
    </row>
    <row r="1604" hidden="1">
      <c r="A1604" s="4" t="str">
        <f>IFERROR(__xludf.DUMMYFUNCTION("""COMPUTED_VALUE"""),"2161 - Channel")</f>
        <v>2161 - Channel</v>
      </c>
      <c r="B1604" s="4"/>
      <c r="C1604" s="4"/>
      <c r="D1604" s="6"/>
      <c r="E1604" s="6"/>
      <c r="F1604" s="6"/>
      <c r="G1604" s="4"/>
      <c r="H1604" s="4"/>
      <c r="I1604" s="4"/>
      <c r="J1604" s="4"/>
      <c r="K1604" s="4"/>
      <c r="L1604" s="4"/>
      <c r="M1604" s="4"/>
      <c r="N1604" s="4" t="s">
        <v>70</v>
      </c>
      <c r="O1604" s="51" t="b">
        <v>0</v>
      </c>
      <c r="P1604" s="51" t="b">
        <v>0</v>
      </c>
      <c r="Q1604" s="51" t="b">
        <v>0</v>
      </c>
      <c r="R1604" s="51" t="b">
        <v>0</v>
      </c>
      <c r="S1604" s="51" t="b">
        <v>0</v>
      </c>
    </row>
    <row r="1605" hidden="1">
      <c r="A1605" s="4" t="str">
        <f>IFERROR(__xludf.DUMMYFUNCTION("""COMPUTED_VALUE"""),"2162 - Channel")</f>
        <v>2162 - Channel</v>
      </c>
      <c r="B1605" s="4"/>
      <c r="C1605" s="4"/>
      <c r="D1605" s="6"/>
      <c r="E1605" s="6"/>
      <c r="F1605" s="6"/>
      <c r="G1605" s="4"/>
      <c r="H1605" s="4"/>
      <c r="I1605" s="4"/>
      <c r="J1605" s="4"/>
      <c r="K1605" s="4"/>
      <c r="L1605" s="4"/>
      <c r="M1605" s="4"/>
      <c r="N1605" s="4" t="s">
        <v>70</v>
      </c>
      <c r="O1605" s="51" t="b">
        <v>0</v>
      </c>
      <c r="P1605" s="51" t="b">
        <v>0</v>
      </c>
      <c r="Q1605" s="51" t="b">
        <v>0</v>
      </c>
      <c r="R1605" s="51" t="b">
        <v>0</v>
      </c>
      <c r="S1605" s="51" t="b">
        <v>0</v>
      </c>
    </row>
    <row r="1606" hidden="1">
      <c r="A1606" s="4" t="str">
        <f>IFERROR(__xludf.DUMMYFUNCTION("""COMPUTED_VALUE"""),"2163 - Channel")</f>
        <v>2163 - Channel</v>
      </c>
      <c r="B1606" s="4"/>
      <c r="C1606" s="4"/>
      <c r="D1606" s="6"/>
      <c r="E1606" s="6"/>
      <c r="F1606" s="6"/>
      <c r="G1606" s="4"/>
      <c r="H1606" s="4"/>
      <c r="I1606" s="4"/>
      <c r="J1606" s="4"/>
      <c r="K1606" s="4"/>
      <c r="L1606" s="4"/>
      <c r="M1606" s="4"/>
      <c r="N1606" s="4" t="s">
        <v>70</v>
      </c>
      <c r="O1606" s="51" t="b">
        <v>0</v>
      </c>
      <c r="P1606" s="51" t="b">
        <v>0</v>
      </c>
      <c r="Q1606" s="51" t="b">
        <v>0</v>
      </c>
      <c r="R1606" s="51" t="b">
        <v>0</v>
      </c>
      <c r="S1606" s="51" t="b">
        <v>0</v>
      </c>
    </row>
    <row r="1607" hidden="1">
      <c r="A1607" s="4" t="str">
        <f>IFERROR(__xludf.DUMMYFUNCTION("""COMPUTED_VALUE"""),"2164 - Channel")</f>
        <v>2164 - Channel</v>
      </c>
      <c r="B1607" s="4"/>
      <c r="C1607" s="4"/>
      <c r="D1607" s="6"/>
      <c r="E1607" s="6"/>
      <c r="F1607" s="6"/>
      <c r="G1607" s="4"/>
      <c r="H1607" s="4"/>
      <c r="I1607" s="4"/>
      <c r="J1607" s="4"/>
      <c r="K1607" s="4"/>
      <c r="L1607" s="4"/>
      <c r="M1607" s="4"/>
      <c r="N1607" s="4" t="s">
        <v>70</v>
      </c>
      <c r="O1607" s="51" t="b">
        <v>0</v>
      </c>
      <c r="P1607" s="51" t="b">
        <v>0</v>
      </c>
      <c r="Q1607" s="51" t="b">
        <v>0</v>
      </c>
      <c r="R1607" s="51" t="b">
        <v>0</v>
      </c>
      <c r="S1607" s="51" t="b">
        <v>0</v>
      </c>
    </row>
    <row r="1608" hidden="1">
      <c r="A1608" s="4" t="str">
        <f>IFERROR(__xludf.DUMMYFUNCTION("""COMPUTED_VALUE"""),"2165 - Channel")</f>
        <v>2165 - Channel</v>
      </c>
      <c r="B1608" s="4"/>
      <c r="C1608" s="4"/>
      <c r="D1608" s="6"/>
      <c r="E1608" s="6"/>
      <c r="F1608" s="6"/>
      <c r="G1608" s="4"/>
      <c r="H1608" s="4"/>
      <c r="I1608" s="4"/>
      <c r="J1608" s="4"/>
      <c r="K1608" s="4"/>
      <c r="L1608" s="4"/>
      <c r="M1608" s="4"/>
      <c r="N1608" s="4" t="s">
        <v>70</v>
      </c>
      <c r="O1608" s="51" t="b">
        <v>0</v>
      </c>
      <c r="P1608" s="51" t="b">
        <v>0</v>
      </c>
      <c r="Q1608" s="51" t="b">
        <v>0</v>
      </c>
      <c r="R1608" s="51" t="b">
        <v>0</v>
      </c>
      <c r="S1608" s="51" t="b">
        <v>0</v>
      </c>
    </row>
    <row r="1609" hidden="1">
      <c r="A1609" s="4" t="str">
        <f>IFERROR(__xludf.DUMMYFUNCTION("""COMPUTED_VALUE"""),"2166 - Channel")</f>
        <v>2166 - Channel</v>
      </c>
      <c r="B1609" s="4"/>
      <c r="C1609" s="4"/>
      <c r="D1609" s="6"/>
      <c r="E1609" s="6"/>
      <c r="F1609" s="6"/>
      <c r="G1609" s="4"/>
      <c r="H1609" s="4"/>
      <c r="I1609" s="4"/>
      <c r="J1609" s="4"/>
      <c r="K1609" s="4"/>
      <c r="L1609" s="4"/>
      <c r="M1609" s="4"/>
      <c r="N1609" s="4" t="s">
        <v>70</v>
      </c>
      <c r="O1609" s="51" t="b">
        <v>0</v>
      </c>
      <c r="P1609" s="51" t="b">
        <v>0</v>
      </c>
      <c r="Q1609" s="51" t="b">
        <v>0</v>
      </c>
      <c r="R1609" s="51" t="b">
        <v>0</v>
      </c>
      <c r="S1609" s="51" t="b">
        <v>0</v>
      </c>
    </row>
    <row r="1610" hidden="1">
      <c r="A1610" s="4" t="str">
        <f>IFERROR(__xludf.DUMMYFUNCTION("""COMPUTED_VALUE"""),"2167 - Channel")</f>
        <v>2167 - Channel</v>
      </c>
      <c r="B1610" s="4"/>
      <c r="C1610" s="4"/>
      <c r="D1610" s="6"/>
      <c r="E1610" s="6"/>
      <c r="F1610" s="6"/>
      <c r="G1610" s="4"/>
      <c r="H1610" s="4"/>
      <c r="I1610" s="4"/>
      <c r="J1610" s="4"/>
      <c r="K1610" s="4"/>
      <c r="L1610" s="4"/>
      <c r="M1610" s="4"/>
      <c r="N1610" s="4" t="s">
        <v>70</v>
      </c>
      <c r="O1610" s="51" t="b">
        <v>0</v>
      </c>
      <c r="P1610" s="51" t="b">
        <v>0</v>
      </c>
      <c r="Q1610" s="51" t="b">
        <v>0</v>
      </c>
      <c r="R1610" s="51" t="b">
        <v>0</v>
      </c>
      <c r="S1610" s="51" t="b">
        <v>0</v>
      </c>
    </row>
    <row r="1611" hidden="1">
      <c r="A1611" s="4" t="str">
        <f>IFERROR(__xludf.DUMMYFUNCTION("""COMPUTED_VALUE"""),"2168 - Channel")</f>
        <v>2168 - Channel</v>
      </c>
      <c r="B1611" s="4"/>
      <c r="C1611" s="4"/>
      <c r="D1611" s="6"/>
      <c r="E1611" s="6"/>
      <c r="F1611" s="6"/>
      <c r="G1611" s="4"/>
      <c r="H1611" s="4"/>
      <c r="I1611" s="4"/>
      <c r="J1611" s="4"/>
      <c r="K1611" s="4"/>
      <c r="L1611" s="4"/>
      <c r="M1611" s="4"/>
      <c r="N1611" s="4" t="s">
        <v>70</v>
      </c>
      <c r="O1611" s="51" t="b">
        <v>0</v>
      </c>
      <c r="P1611" s="51" t="b">
        <v>0</v>
      </c>
      <c r="Q1611" s="51" t="b">
        <v>0</v>
      </c>
      <c r="R1611" s="51" t="b">
        <v>0</v>
      </c>
      <c r="S1611" s="51" t="b">
        <v>0</v>
      </c>
    </row>
    <row r="1612" hidden="1">
      <c r="A1612" s="4" t="str">
        <f>IFERROR(__xludf.DUMMYFUNCTION("""COMPUTED_VALUE"""),"2169 - Channel")</f>
        <v>2169 - Channel</v>
      </c>
      <c r="B1612" s="4"/>
      <c r="C1612" s="4"/>
      <c r="D1612" s="6"/>
      <c r="E1612" s="6"/>
      <c r="F1612" s="6"/>
      <c r="G1612" s="4"/>
      <c r="H1612" s="4"/>
      <c r="I1612" s="4"/>
      <c r="J1612" s="4"/>
      <c r="K1612" s="4"/>
      <c r="L1612" s="4"/>
      <c r="M1612" s="4"/>
      <c r="N1612" s="4" t="s">
        <v>70</v>
      </c>
      <c r="O1612" s="51" t="b">
        <v>0</v>
      </c>
      <c r="P1612" s="51" t="b">
        <v>0</v>
      </c>
      <c r="Q1612" s="51" t="b">
        <v>0</v>
      </c>
      <c r="R1612" s="51" t="b">
        <v>0</v>
      </c>
      <c r="S1612" s="51" t="b">
        <v>0</v>
      </c>
    </row>
    <row r="1613" hidden="1">
      <c r="A1613" s="4" t="str">
        <f>IFERROR(__xludf.DUMMYFUNCTION("""COMPUTED_VALUE"""),"2170 - Channel")</f>
        <v>2170 - Channel</v>
      </c>
      <c r="B1613" s="4"/>
      <c r="C1613" s="4"/>
      <c r="D1613" s="6"/>
      <c r="E1613" s="6"/>
      <c r="F1613" s="6"/>
      <c r="G1613" s="4"/>
      <c r="H1613" s="4"/>
      <c r="I1613" s="4"/>
      <c r="J1613" s="4"/>
      <c r="K1613" s="4"/>
      <c r="L1613" s="4"/>
      <c r="M1613" s="4"/>
      <c r="N1613" s="4" t="s">
        <v>70</v>
      </c>
      <c r="O1613" s="51" t="b">
        <v>0</v>
      </c>
      <c r="P1613" s="51" t="b">
        <v>0</v>
      </c>
      <c r="Q1613" s="51" t="b">
        <v>0</v>
      </c>
      <c r="R1613" s="51" t="b">
        <v>0</v>
      </c>
      <c r="S1613" s="51" t="b">
        <v>0</v>
      </c>
    </row>
    <row r="1614" hidden="1">
      <c r="A1614" s="4" t="str">
        <f>IFERROR(__xludf.DUMMYFUNCTION("""COMPUTED_VALUE"""),"2171 - Channel")</f>
        <v>2171 - Channel</v>
      </c>
      <c r="B1614" s="4"/>
      <c r="C1614" s="4"/>
      <c r="D1614" s="6"/>
      <c r="E1614" s="6"/>
      <c r="F1614" s="6"/>
      <c r="G1614" s="4"/>
      <c r="H1614" s="4"/>
      <c r="I1614" s="4"/>
      <c r="J1614" s="4"/>
      <c r="K1614" s="4"/>
      <c r="L1614" s="4"/>
      <c r="M1614" s="4"/>
      <c r="N1614" s="4" t="s">
        <v>70</v>
      </c>
      <c r="O1614" s="51" t="b">
        <v>0</v>
      </c>
      <c r="P1614" s="51" t="b">
        <v>0</v>
      </c>
      <c r="Q1614" s="51" t="b">
        <v>0</v>
      </c>
      <c r="R1614" s="51" t="b">
        <v>0</v>
      </c>
      <c r="S1614" s="51" t="b">
        <v>0</v>
      </c>
    </row>
    <row r="1615" hidden="1">
      <c r="A1615" s="4" t="str">
        <f>IFERROR(__xludf.DUMMYFUNCTION("""COMPUTED_VALUE"""),"2172 - Channel")</f>
        <v>2172 - Channel</v>
      </c>
      <c r="B1615" s="4"/>
      <c r="C1615" s="4"/>
      <c r="D1615" s="6"/>
      <c r="E1615" s="6"/>
      <c r="F1615" s="6"/>
      <c r="G1615" s="4"/>
      <c r="H1615" s="4"/>
      <c r="I1615" s="4"/>
      <c r="J1615" s="4"/>
      <c r="K1615" s="4"/>
      <c r="L1615" s="4"/>
      <c r="M1615" s="4"/>
      <c r="N1615" s="4" t="s">
        <v>70</v>
      </c>
      <c r="O1615" s="51" t="b">
        <v>0</v>
      </c>
      <c r="P1615" s="51" t="b">
        <v>0</v>
      </c>
      <c r="Q1615" s="51" t="b">
        <v>0</v>
      </c>
      <c r="R1615" s="51" t="b">
        <v>0</v>
      </c>
      <c r="S1615" s="51" t="b">
        <v>0</v>
      </c>
    </row>
    <row r="1616" hidden="1">
      <c r="A1616" s="4" t="str">
        <f>IFERROR(__xludf.DUMMYFUNCTION("""COMPUTED_VALUE"""),"2173 - Channel")</f>
        <v>2173 - Channel</v>
      </c>
      <c r="B1616" s="4"/>
      <c r="C1616" s="4"/>
      <c r="D1616" s="6"/>
      <c r="E1616" s="6"/>
      <c r="F1616" s="6"/>
      <c r="G1616" s="4"/>
      <c r="H1616" s="4"/>
      <c r="I1616" s="4"/>
      <c r="J1616" s="4"/>
      <c r="K1616" s="4"/>
      <c r="L1616" s="4"/>
      <c r="M1616" s="4"/>
      <c r="N1616" s="4" t="s">
        <v>70</v>
      </c>
      <c r="O1616" s="51" t="b">
        <v>0</v>
      </c>
      <c r="P1616" s="51" t="b">
        <v>0</v>
      </c>
      <c r="Q1616" s="51" t="b">
        <v>0</v>
      </c>
      <c r="R1616" s="51" t="b">
        <v>0</v>
      </c>
      <c r="S1616" s="51" t="b">
        <v>0</v>
      </c>
    </row>
    <row r="1617" hidden="1">
      <c r="A1617" s="4" t="str">
        <f>IFERROR(__xludf.DUMMYFUNCTION("""COMPUTED_VALUE"""),"2174 - Channel")</f>
        <v>2174 - Channel</v>
      </c>
      <c r="B1617" s="4"/>
      <c r="C1617" s="4"/>
      <c r="D1617" s="6"/>
      <c r="E1617" s="6"/>
      <c r="F1617" s="6"/>
      <c r="G1617" s="4"/>
      <c r="H1617" s="4"/>
      <c r="I1617" s="4"/>
      <c r="J1617" s="4"/>
      <c r="K1617" s="4"/>
      <c r="L1617" s="4"/>
      <c r="M1617" s="4"/>
      <c r="N1617" s="4" t="s">
        <v>70</v>
      </c>
      <c r="O1617" s="51" t="b">
        <v>0</v>
      </c>
      <c r="P1617" s="51" t="b">
        <v>0</v>
      </c>
      <c r="Q1617" s="51" t="b">
        <v>0</v>
      </c>
      <c r="R1617" s="51" t="b">
        <v>0</v>
      </c>
      <c r="S1617" s="51" t="b">
        <v>0</v>
      </c>
    </row>
    <row r="1618" hidden="1">
      <c r="A1618" s="4" t="str">
        <f>IFERROR(__xludf.DUMMYFUNCTION("""COMPUTED_VALUE"""),"2175 - Channel")</f>
        <v>2175 - Channel</v>
      </c>
      <c r="B1618" s="4"/>
      <c r="C1618" s="4"/>
      <c r="D1618" s="6"/>
      <c r="E1618" s="6"/>
      <c r="F1618" s="6"/>
      <c r="G1618" s="4"/>
      <c r="H1618" s="4"/>
      <c r="I1618" s="4"/>
      <c r="J1618" s="4"/>
      <c r="K1618" s="4"/>
      <c r="L1618" s="4"/>
      <c r="M1618" s="4"/>
      <c r="N1618" s="4" t="s">
        <v>70</v>
      </c>
      <c r="O1618" s="51" t="b">
        <v>0</v>
      </c>
      <c r="P1618" s="51" t="b">
        <v>0</v>
      </c>
      <c r="Q1618" s="51" t="b">
        <v>0</v>
      </c>
      <c r="R1618" s="51" t="b">
        <v>0</v>
      </c>
      <c r="S1618" s="51" t="b">
        <v>0</v>
      </c>
    </row>
    <row r="1619" hidden="1">
      <c r="A1619" s="4" t="str">
        <f>IFERROR(__xludf.DUMMYFUNCTION("""COMPUTED_VALUE"""),"2176 - Channel")</f>
        <v>2176 - Channel</v>
      </c>
      <c r="B1619" s="4"/>
      <c r="C1619" s="4"/>
      <c r="D1619" s="6"/>
      <c r="E1619" s="6"/>
      <c r="F1619" s="6"/>
      <c r="G1619" s="4"/>
      <c r="H1619" s="4"/>
      <c r="I1619" s="4"/>
      <c r="J1619" s="4"/>
      <c r="K1619" s="4"/>
      <c r="L1619" s="4"/>
      <c r="M1619" s="4"/>
      <c r="N1619" s="4" t="s">
        <v>70</v>
      </c>
      <c r="O1619" s="51" t="b">
        <v>0</v>
      </c>
      <c r="P1619" s="51" t="b">
        <v>0</v>
      </c>
      <c r="Q1619" s="51" t="b">
        <v>0</v>
      </c>
      <c r="R1619" s="51" t="b">
        <v>0</v>
      </c>
      <c r="S1619" s="51" t="b">
        <v>0</v>
      </c>
    </row>
    <row r="1620" hidden="1">
      <c r="A1620" s="4" t="str">
        <f>IFERROR(__xludf.DUMMYFUNCTION("""COMPUTED_VALUE"""),"2177 - Channel")</f>
        <v>2177 - Channel</v>
      </c>
      <c r="B1620" s="4"/>
      <c r="C1620" s="4"/>
      <c r="D1620" s="6"/>
      <c r="E1620" s="6"/>
      <c r="F1620" s="6"/>
      <c r="G1620" s="4"/>
      <c r="H1620" s="4"/>
      <c r="I1620" s="4"/>
      <c r="J1620" s="4"/>
      <c r="K1620" s="4"/>
      <c r="L1620" s="4"/>
      <c r="M1620" s="4"/>
      <c r="N1620" s="4" t="s">
        <v>70</v>
      </c>
      <c r="O1620" s="51" t="b">
        <v>0</v>
      </c>
      <c r="P1620" s="51" t="b">
        <v>0</v>
      </c>
      <c r="Q1620" s="51" t="b">
        <v>0</v>
      </c>
      <c r="R1620" s="51" t="b">
        <v>0</v>
      </c>
      <c r="S1620" s="51" t="b">
        <v>0</v>
      </c>
    </row>
    <row r="1621" hidden="1">
      <c r="A1621" s="4" t="str">
        <f>IFERROR(__xludf.DUMMYFUNCTION("""COMPUTED_VALUE"""),"2178 - Channel")</f>
        <v>2178 - Channel</v>
      </c>
      <c r="B1621" s="4"/>
      <c r="C1621" s="4"/>
      <c r="D1621" s="6"/>
      <c r="E1621" s="6"/>
      <c r="F1621" s="6"/>
      <c r="G1621" s="4"/>
      <c r="H1621" s="4"/>
      <c r="I1621" s="4"/>
      <c r="J1621" s="4"/>
      <c r="K1621" s="4"/>
      <c r="L1621" s="4"/>
      <c r="M1621" s="4"/>
      <c r="N1621" s="4" t="s">
        <v>70</v>
      </c>
      <c r="O1621" s="51" t="b">
        <v>0</v>
      </c>
      <c r="P1621" s="51" t="b">
        <v>0</v>
      </c>
      <c r="Q1621" s="51" t="b">
        <v>0</v>
      </c>
      <c r="R1621" s="51" t="b">
        <v>0</v>
      </c>
      <c r="S1621" s="51" t="b">
        <v>0</v>
      </c>
    </row>
    <row r="1622" hidden="1">
      <c r="A1622" s="4" t="str">
        <f>IFERROR(__xludf.DUMMYFUNCTION("""COMPUTED_VALUE"""),"2179 - Channel")</f>
        <v>2179 - Channel</v>
      </c>
      <c r="B1622" s="4"/>
      <c r="C1622" s="4"/>
      <c r="D1622" s="6"/>
      <c r="E1622" s="6"/>
      <c r="F1622" s="6"/>
      <c r="G1622" s="4"/>
      <c r="H1622" s="4"/>
      <c r="I1622" s="4"/>
      <c r="J1622" s="4"/>
      <c r="K1622" s="4"/>
      <c r="L1622" s="4"/>
      <c r="M1622" s="4"/>
      <c r="N1622" s="4" t="s">
        <v>70</v>
      </c>
      <c r="O1622" s="51" t="b">
        <v>0</v>
      </c>
      <c r="P1622" s="51" t="b">
        <v>0</v>
      </c>
      <c r="Q1622" s="51" t="b">
        <v>0</v>
      </c>
      <c r="R1622" s="51" t="b">
        <v>0</v>
      </c>
      <c r="S1622" s="51" t="b">
        <v>0</v>
      </c>
    </row>
    <row r="1623" hidden="1">
      <c r="A1623" s="4" t="str">
        <f>IFERROR(__xludf.DUMMYFUNCTION("""COMPUTED_VALUE"""),"2180 - Channel")</f>
        <v>2180 - Channel</v>
      </c>
      <c r="B1623" s="4"/>
      <c r="C1623" s="4"/>
      <c r="D1623" s="6"/>
      <c r="E1623" s="6"/>
      <c r="F1623" s="6"/>
      <c r="G1623" s="4"/>
      <c r="H1623" s="4"/>
      <c r="I1623" s="4"/>
      <c r="J1623" s="4"/>
      <c r="K1623" s="4"/>
      <c r="L1623" s="4"/>
      <c r="M1623" s="4"/>
      <c r="N1623" s="4" t="s">
        <v>70</v>
      </c>
      <c r="O1623" s="51" t="b">
        <v>0</v>
      </c>
      <c r="P1623" s="51" t="b">
        <v>0</v>
      </c>
      <c r="Q1623" s="51" t="b">
        <v>0</v>
      </c>
      <c r="R1623" s="51" t="b">
        <v>0</v>
      </c>
      <c r="S1623" s="51" t="b">
        <v>0</v>
      </c>
    </row>
    <row r="1624" hidden="1">
      <c r="A1624" s="4" t="str">
        <f>IFERROR(__xludf.DUMMYFUNCTION("""COMPUTED_VALUE"""),"2181 - Channel")</f>
        <v>2181 - Channel</v>
      </c>
      <c r="B1624" s="4"/>
      <c r="C1624" s="4"/>
      <c r="D1624" s="6"/>
      <c r="E1624" s="6"/>
      <c r="F1624" s="6"/>
      <c r="G1624" s="4"/>
      <c r="H1624" s="4"/>
      <c r="I1624" s="4"/>
      <c r="J1624" s="4"/>
      <c r="K1624" s="4"/>
      <c r="L1624" s="4"/>
      <c r="M1624" s="4"/>
      <c r="N1624" s="4" t="s">
        <v>70</v>
      </c>
      <c r="O1624" s="51" t="b">
        <v>0</v>
      </c>
      <c r="P1624" s="51" t="b">
        <v>0</v>
      </c>
      <c r="Q1624" s="51" t="b">
        <v>0</v>
      </c>
      <c r="R1624" s="51" t="b">
        <v>0</v>
      </c>
      <c r="S1624" s="51" t="b">
        <v>0</v>
      </c>
    </row>
    <row r="1625" hidden="1">
      <c r="A1625" s="4" t="str">
        <f>IFERROR(__xludf.DUMMYFUNCTION("""COMPUTED_VALUE"""),"2182 - Channel")</f>
        <v>2182 - Channel</v>
      </c>
      <c r="B1625" s="4"/>
      <c r="C1625" s="4"/>
      <c r="D1625" s="6"/>
      <c r="E1625" s="6"/>
      <c r="F1625" s="6"/>
      <c r="G1625" s="4"/>
      <c r="H1625" s="4"/>
      <c r="I1625" s="4"/>
      <c r="J1625" s="4"/>
      <c r="K1625" s="4"/>
      <c r="L1625" s="4"/>
      <c r="M1625" s="4"/>
      <c r="N1625" s="4" t="s">
        <v>70</v>
      </c>
      <c r="O1625" s="51" t="b">
        <v>0</v>
      </c>
      <c r="P1625" s="51" t="b">
        <v>0</v>
      </c>
      <c r="Q1625" s="51" t="b">
        <v>0</v>
      </c>
      <c r="R1625" s="51" t="b">
        <v>0</v>
      </c>
      <c r="S1625" s="51" t="b">
        <v>0</v>
      </c>
    </row>
    <row r="1626" hidden="1">
      <c r="A1626" s="4" t="str">
        <f>IFERROR(__xludf.DUMMYFUNCTION("""COMPUTED_VALUE"""),"2183 - Channel")</f>
        <v>2183 - Channel</v>
      </c>
      <c r="B1626" s="4"/>
      <c r="C1626" s="4"/>
      <c r="D1626" s="6"/>
      <c r="E1626" s="6"/>
      <c r="F1626" s="6"/>
      <c r="G1626" s="4"/>
      <c r="H1626" s="4"/>
      <c r="I1626" s="4"/>
      <c r="J1626" s="4"/>
      <c r="K1626" s="4"/>
      <c r="L1626" s="4"/>
      <c r="M1626" s="4"/>
      <c r="N1626" s="4" t="s">
        <v>70</v>
      </c>
      <c r="O1626" s="51" t="b">
        <v>0</v>
      </c>
      <c r="P1626" s="51" t="b">
        <v>0</v>
      </c>
      <c r="Q1626" s="51" t="b">
        <v>0</v>
      </c>
      <c r="R1626" s="51" t="b">
        <v>0</v>
      </c>
      <c r="S1626" s="51" t="b">
        <v>0</v>
      </c>
    </row>
    <row r="1627" hidden="1">
      <c r="A1627" s="4" t="str">
        <f>IFERROR(__xludf.DUMMYFUNCTION("""COMPUTED_VALUE"""),"2184 - Channel")</f>
        <v>2184 - Channel</v>
      </c>
      <c r="B1627" s="4"/>
      <c r="C1627" s="4"/>
      <c r="D1627" s="6"/>
      <c r="E1627" s="6"/>
      <c r="F1627" s="6"/>
      <c r="G1627" s="4"/>
      <c r="H1627" s="4"/>
      <c r="I1627" s="4"/>
      <c r="J1627" s="4"/>
      <c r="K1627" s="4"/>
      <c r="L1627" s="4"/>
      <c r="M1627" s="4"/>
      <c r="N1627" s="4" t="s">
        <v>70</v>
      </c>
      <c r="O1627" s="51" t="b">
        <v>0</v>
      </c>
      <c r="P1627" s="51" t="b">
        <v>0</v>
      </c>
      <c r="Q1627" s="51" t="b">
        <v>0</v>
      </c>
      <c r="R1627" s="51" t="b">
        <v>0</v>
      </c>
      <c r="S1627" s="51" t="b">
        <v>0</v>
      </c>
    </row>
    <row r="1628" hidden="1">
      <c r="A1628" s="4" t="str">
        <f>IFERROR(__xludf.DUMMYFUNCTION("""COMPUTED_VALUE"""),"2185 - Channel")</f>
        <v>2185 - Channel</v>
      </c>
      <c r="B1628" s="4"/>
      <c r="C1628" s="4"/>
      <c r="D1628" s="6"/>
      <c r="E1628" s="6"/>
      <c r="F1628" s="6"/>
      <c r="G1628" s="4"/>
      <c r="H1628" s="4"/>
      <c r="I1628" s="4"/>
      <c r="J1628" s="4"/>
      <c r="K1628" s="4"/>
      <c r="L1628" s="4"/>
      <c r="M1628" s="4"/>
      <c r="N1628" s="4" t="s">
        <v>70</v>
      </c>
      <c r="O1628" s="51" t="b">
        <v>0</v>
      </c>
      <c r="P1628" s="51" t="b">
        <v>0</v>
      </c>
      <c r="Q1628" s="51" t="b">
        <v>0</v>
      </c>
      <c r="R1628" s="51" t="b">
        <v>0</v>
      </c>
      <c r="S1628" s="51" t="b">
        <v>0</v>
      </c>
    </row>
    <row r="1629" hidden="1">
      <c r="A1629" s="4" t="str">
        <f>IFERROR(__xludf.DUMMYFUNCTION("""COMPUTED_VALUE"""),"2186 - Channel")</f>
        <v>2186 - Channel</v>
      </c>
      <c r="B1629" s="4"/>
      <c r="C1629" s="4"/>
      <c r="D1629" s="6"/>
      <c r="E1629" s="6"/>
      <c r="F1629" s="6"/>
      <c r="G1629" s="4"/>
      <c r="H1629" s="4"/>
      <c r="I1629" s="4"/>
      <c r="J1629" s="4"/>
      <c r="K1629" s="4"/>
      <c r="L1629" s="4"/>
      <c r="M1629" s="4"/>
      <c r="N1629" s="4" t="s">
        <v>70</v>
      </c>
      <c r="O1629" s="51" t="b">
        <v>0</v>
      </c>
      <c r="P1629" s="51" t="b">
        <v>0</v>
      </c>
      <c r="Q1629" s="51" t="b">
        <v>0</v>
      </c>
      <c r="R1629" s="51" t="b">
        <v>0</v>
      </c>
      <c r="S1629" s="51" t="b">
        <v>0</v>
      </c>
    </row>
    <row r="1630" hidden="1">
      <c r="A1630" s="4" t="str">
        <f>IFERROR(__xludf.DUMMYFUNCTION("""COMPUTED_VALUE"""),"2187 - Channel")</f>
        <v>2187 - Channel</v>
      </c>
      <c r="B1630" s="4"/>
      <c r="C1630" s="4"/>
      <c r="D1630" s="6"/>
      <c r="E1630" s="6"/>
      <c r="F1630" s="6"/>
      <c r="G1630" s="4"/>
      <c r="H1630" s="4"/>
      <c r="I1630" s="4"/>
      <c r="J1630" s="4"/>
      <c r="K1630" s="4"/>
      <c r="L1630" s="4"/>
      <c r="M1630" s="4"/>
      <c r="N1630" s="4" t="s">
        <v>70</v>
      </c>
      <c r="O1630" s="51" t="b">
        <v>0</v>
      </c>
      <c r="P1630" s="51" t="b">
        <v>0</v>
      </c>
      <c r="Q1630" s="51" t="b">
        <v>0</v>
      </c>
      <c r="R1630" s="51" t="b">
        <v>0</v>
      </c>
      <c r="S1630" s="51" t="b">
        <v>0</v>
      </c>
    </row>
    <row r="1631" hidden="1">
      <c r="A1631" s="4" t="str">
        <f>IFERROR(__xludf.DUMMYFUNCTION("""COMPUTED_VALUE"""),"2188 - Channel")</f>
        <v>2188 - Channel</v>
      </c>
      <c r="B1631" s="4"/>
      <c r="C1631" s="4"/>
      <c r="D1631" s="6"/>
      <c r="E1631" s="6"/>
      <c r="F1631" s="6"/>
      <c r="G1631" s="4"/>
      <c r="H1631" s="4"/>
      <c r="I1631" s="4"/>
      <c r="J1631" s="4"/>
      <c r="K1631" s="4"/>
      <c r="L1631" s="4"/>
      <c r="M1631" s="4"/>
      <c r="N1631" s="4" t="s">
        <v>70</v>
      </c>
      <c r="O1631" s="51" t="b">
        <v>0</v>
      </c>
      <c r="P1631" s="51" t="b">
        <v>0</v>
      </c>
      <c r="Q1631" s="51" t="b">
        <v>0</v>
      </c>
      <c r="R1631" s="51" t="b">
        <v>0</v>
      </c>
      <c r="S1631" s="51" t="b">
        <v>0</v>
      </c>
    </row>
    <row r="1632" hidden="1">
      <c r="A1632" s="4" t="str">
        <f>IFERROR(__xludf.DUMMYFUNCTION("""COMPUTED_VALUE"""),"2189 - Channel")</f>
        <v>2189 - Channel</v>
      </c>
      <c r="B1632" s="4"/>
      <c r="C1632" s="4"/>
      <c r="D1632" s="6"/>
      <c r="E1632" s="6"/>
      <c r="F1632" s="6"/>
      <c r="G1632" s="4"/>
      <c r="H1632" s="4"/>
      <c r="I1632" s="4"/>
      <c r="J1632" s="4"/>
      <c r="K1632" s="4"/>
      <c r="L1632" s="4"/>
      <c r="M1632" s="4"/>
      <c r="N1632" s="4" t="s">
        <v>70</v>
      </c>
      <c r="O1632" s="51" t="b">
        <v>0</v>
      </c>
      <c r="P1632" s="51" t="b">
        <v>0</v>
      </c>
      <c r="Q1632" s="51" t="b">
        <v>0</v>
      </c>
      <c r="R1632" s="51" t="b">
        <v>0</v>
      </c>
      <c r="S1632" s="51" t="b">
        <v>0</v>
      </c>
    </row>
    <row r="1633" hidden="1">
      <c r="A1633" s="4" t="str">
        <f>IFERROR(__xludf.DUMMYFUNCTION("""COMPUTED_VALUE"""),"2190 - Channel")</f>
        <v>2190 - Channel</v>
      </c>
      <c r="B1633" s="4"/>
      <c r="C1633" s="4"/>
      <c r="D1633" s="6"/>
      <c r="E1633" s="6"/>
      <c r="F1633" s="6"/>
      <c r="G1633" s="4"/>
      <c r="H1633" s="4"/>
      <c r="I1633" s="4"/>
      <c r="J1633" s="4"/>
      <c r="K1633" s="4"/>
      <c r="L1633" s="4"/>
      <c r="M1633" s="4"/>
      <c r="N1633" s="4" t="s">
        <v>70</v>
      </c>
      <c r="O1633" s="51" t="b">
        <v>0</v>
      </c>
      <c r="P1633" s="51" t="b">
        <v>0</v>
      </c>
      <c r="Q1633" s="51" t="b">
        <v>0</v>
      </c>
      <c r="R1633" s="51" t="b">
        <v>0</v>
      </c>
      <c r="S1633" s="51" t="b">
        <v>0</v>
      </c>
    </row>
    <row r="1634" hidden="1">
      <c r="A1634" s="4" t="str">
        <f>IFERROR(__xludf.DUMMYFUNCTION("""COMPUTED_VALUE"""),"2191 - Channel")</f>
        <v>2191 - Channel</v>
      </c>
      <c r="B1634" s="4"/>
      <c r="C1634" s="4"/>
      <c r="D1634" s="6"/>
      <c r="E1634" s="6"/>
      <c r="F1634" s="6"/>
      <c r="G1634" s="4"/>
      <c r="H1634" s="4"/>
      <c r="I1634" s="4"/>
      <c r="J1634" s="4"/>
      <c r="K1634" s="4"/>
      <c r="L1634" s="4"/>
      <c r="M1634" s="4"/>
      <c r="N1634" s="4" t="s">
        <v>70</v>
      </c>
      <c r="O1634" s="51" t="b">
        <v>0</v>
      </c>
      <c r="P1634" s="51" t="b">
        <v>0</v>
      </c>
      <c r="Q1634" s="51" t="b">
        <v>0</v>
      </c>
      <c r="R1634" s="51" t="b">
        <v>0</v>
      </c>
      <c r="S1634" s="51" t="b">
        <v>0</v>
      </c>
    </row>
    <row r="1635" hidden="1">
      <c r="A1635" s="4" t="str">
        <f>IFERROR(__xludf.DUMMYFUNCTION("""COMPUTED_VALUE"""),"2192 - Channel")</f>
        <v>2192 - Channel</v>
      </c>
      <c r="B1635" s="4"/>
      <c r="C1635" s="4"/>
      <c r="D1635" s="6"/>
      <c r="E1635" s="6"/>
      <c r="F1635" s="6"/>
      <c r="G1635" s="4"/>
      <c r="H1635" s="4"/>
      <c r="I1635" s="4"/>
      <c r="J1635" s="4"/>
      <c r="K1635" s="4"/>
      <c r="L1635" s="4"/>
      <c r="M1635" s="4"/>
      <c r="N1635" s="4" t="s">
        <v>70</v>
      </c>
      <c r="O1635" s="51" t="b">
        <v>0</v>
      </c>
      <c r="P1635" s="51" t="b">
        <v>0</v>
      </c>
      <c r="Q1635" s="51" t="b">
        <v>0</v>
      </c>
      <c r="R1635" s="51" t="b">
        <v>0</v>
      </c>
      <c r="S1635" s="51" t="b">
        <v>0</v>
      </c>
    </row>
    <row r="1636" hidden="1">
      <c r="A1636" s="4" t="str">
        <f>IFERROR(__xludf.DUMMYFUNCTION("""COMPUTED_VALUE"""),"2193 - Channel")</f>
        <v>2193 - Channel</v>
      </c>
      <c r="B1636" s="4"/>
      <c r="C1636" s="4"/>
      <c r="D1636" s="6"/>
      <c r="E1636" s="6"/>
      <c r="F1636" s="6"/>
      <c r="G1636" s="4"/>
      <c r="H1636" s="4"/>
      <c r="I1636" s="4"/>
      <c r="J1636" s="4"/>
      <c r="K1636" s="4"/>
      <c r="L1636" s="4"/>
      <c r="M1636" s="4"/>
      <c r="N1636" s="4" t="s">
        <v>70</v>
      </c>
      <c r="O1636" s="51" t="b">
        <v>0</v>
      </c>
      <c r="P1636" s="51" t="b">
        <v>0</v>
      </c>
      <c r="Q1636" s="51" t="b">
        <v>0</v>
      </c>
      <c r="R1636" s="51" t="b">
        <v>0</v>
      </c>
      <c r="S1636" s="51" t="b">
        <v>0</v>
      </c>
    </row>
    <row r="1637" hidden="1">
      <c r="A1637" s="4" t="str">
        <f>IFERROR(__xludf.DUMMYFUNCTION("""COMPUTED_VALUE"""),"2194 - Channel")</f>
        <v>2194 - Channel</v>
      </c>
      <c r="B1637" s="4"/>
      <c r="C1637" s="4"/>
      <c r="D1637" s="6"/>
      <c r="E1637" s="6"/>
      <c r="F1637" s="6"/>
      <c r="G1637" s="4"/>
      <c r="H1637" s="4"/>
      <c r="I1637" s="4"/>
      <c r="J1637" s="4"/>
      <c r="K1637" s="4"/>
      <c r="L1637" s="4"/>
      <c r="M1637" s="4"/>
      <c r="N1637" s="4" t="s">
        <v>70</v>
      </c>
      <c r="O1637" s="51" t="b">
        <v>0</v>
      </c>
      <c r="P1637" s="51" t="b">
        <v>0</v>
      </c>
      <c r="Q1637" s="51" t="b">
        <v>0</v>
      </c>
      <c r="R1637" s="51" t="b">
        <v>0</v>
      </c>
      <c r="S1637" s="51" t="b">
        <v>0</v>
      </c>
    </row>
    <row r="1638" hidden="1">
      <c r="A1638" s="4" t="str">
        <f>IFERROR(__xludf.DUMMYFUNCTION("""COMPUTED_VALUE"""),"2195 - Channel")</f>
        <v>2195 - Channel</v>
      </c>
      <c r="B1638" s="4"/>
      <c r="C1638" s="4"/>
      <c r="D1638" s="6"/>
      <c r="E1638" s="6"/>
      <c r="F1638" s="6"/>
      <c r="G1638" s="4"/>
      <c r="H1638" s="4"/>
      <c r="I1638" s="4"/>
      <c r="J1638" s="4"/>
      <c r="K1638" s="4"/>
      <c r="L1638" s="4"/>
      <c r="M1638" s="4"/>
      <c r="N1638" s="4" t="s">
        <v>70</v>
      </c>
      <c r="O1638" s="51" t="b">
        <v>0</v>
      </c>
      <c r="P1638" s="51" t="b">
        <v>0</v>
      </c>
      <c r="Q1638" s="51" t="b">
        <v>0</v>
      </c>
      <c r="R1638" s="51" t="b">
        <v>0</v>
      </c>
      <c r="S1638" s="51" t="b">
        <v>0</v>
      </c>
    </row>
    <row r="1639" hidden="1">
      <c r="A1639" s="4" t="str">
        <f>IFERROR(__xludf.DUMMYFUNCTION("""COMPUTED_VALUE"""),"2196 - Channel")</f>
        <v>2196 - Channel</v>
      </c>
      <c r="B1639" s="4"/>
      <c r="C1639" s="4"/>
      <c r="D1639" s="6"/>
      <c r="E1639" s="6"/>
      <c r="F1639" s="6"/>
      <c r="G1639" s="4"/>
      <c r="H1639" s="4"/>
      <c r="I1639" s="4"/>
      <c r="J1639" s="4"/>
      <c r="K1639" s="4"/>
      <c r="L1639" s="4"/>
      <c r="M1639" s="4"/>
      <c r="N1639" s="4" t="s">
        <v>70</v>
      </c>
      <c r="O1639" s="51" t="b">
        <v>0</v>
      </c>
      <c r="P1639" s="51" t="b">
        <v>0</v>
      </c>
      <c r="Q1639" s="51" t="b">
        <v>0</v>
      </c>
      <c r="R1639" s="51" t="b">
        <v>0</v>
      </c>
      <c r="S1639" s="51" t="b">
        <v>0</v>
      </c>
    </row>
    <row r="1640" hidden="1">
      <c r="A1640" s="4" t="str">
        <f>IFERROR(__xludf.DUMMYFUNCTION("""COMPUTED_VALUE"""),"2197 - Channel")</f>
        <v>2197 - Channel</v>
      </c>
      <c r="B1640" s="4"/>
      <c r="C1640" s="4"/>
      <c r="D1640" s="6"/>
      <c r="E1640" s="6"/>
      <c r="F1640" s="6"/>
      <c r="G1640" s="4"/>
      <c r="H1640" s="4"/>
      <c r="I1640" s="4"/>
      <c r="J1640" s="4"/>
      <c r="K1640" s="4"/>
      <c r="L1640" s="4"/>
      <c r="M1640" s="4"/>
      <c r="N1640" s="4" t="s">
        <v>70</v>
      </c>
      <c r="O1640" s="51" t="b">
        <v>0</v>
      </c>
      <c r="P1640" s="51" t="b">
        <v>0</v>
      </c>
      <c r="Q1640" s="51" t="b">
        <v>0</v>
      </c>
      <c r="R1640" s="51" t="b">
        <v>0</v>
      </c>
      <c r="S1640" s="51" t="b">
        <v>0</v>
      </c>
    </row>
    <row r="1641" hidden="1">
      <c r="A1641" s="4" t="str">
        <f>IFERROR(__xludf.DUMMYFUNCTION("""COMPUTED_VALUE"""),"2198 - Channel")</f>
        <v>2198 - Channel</v>
      </c>
      <c r="B1641" s="4"/>
      <c r="C1641" s="4"/>
      <c r="D1641" s="6"/>
      <c r="E1641" s="6"/>
      <c r="F1641" s="6"/>
      <c r="G1641" s="4"/>
      <c r="H1641" s="4"/>
      <c r="I1641" s="4"/>
      <c r="J1641" s="4"/>
      <c r="K1641" s="4"/>
      <c r="L1641" s="4"/>
      <c r="M1641" s="4"/>
      <c r="N1641" s="4" t="s">
        <v>70</v>
      </c>
      <c r="O1641" s="51" t="b">
        <v>0</v>
      </c>
      <c r="P1641" s="51" t="b">
        <v>0</v>
      </c>
      <c r="Q1641" s="51" t="b">
        <v>0</v>
      </c>
      <c r="R1641" s="51" t="b">
        <v>0</v>
      </c>
      <c r="S1641" s="51" t="b">
        <v>0</v>
      </c>
    </row>
    <row r="1642" hidden="1">
      <c r="A1642" s="4" t="str">
        <f>IFERROR(__xludf.DUMMYFUNCTION("""COMPUTED_VALUE"""),"2199 - Channel")</f>
        <v>2199 - Channel</v>
      </c>
      <c r="B1642" s="4"/>
      <c r="C1642" s="4"/>
      <c r="D1642" s="6"/>
      <c r="E1642" s="6"/>
      <c r="F1642" s="6"/>
      <c r="G1642" s="4"/>
      <c r="H1642" s="4"/>
      <c r="I1642" s="4"/>
      <c r="J1642" s="4"/>
      <c r="K1642" s="4"/>
      <c r="L1642" s="4"/>
      <c r="M1642" s="4"/>
      <c r="N1642" s="4" t="s">
        <v>70</v>
      </c>
      <c r="O1642" s="51" t="b">
        <v>0</v>
      </c>
      <c r="P1642" s="51" t="b">
        <v>0</v>
      </c>
      <c r="Q1642" s="51" t="b">
        <v>0</v>
      </c>
      <c r="R1642" s="51" t="b">
        <v>0</v>
      </c>
      <c r="S1642" s="51" t="b">
        <v>0</v>
      </c>
    </row>
    <row r="1643" hidden="1">
      <c r="A1643" s="4" t="str">
        <f>IFERROR(__xludf.DUMMYFUNCTION("""COMPUTED_VALUE"""),"2200 - Channel")</f>
        <v>2200 - Channel</v>
      </c>
      <c r="B1643" s="4"/>
      <c r="C1643" s="4"/>
      <c r="D1643" s="6"/>
      <c r="E1643" s="6"/>
      <c r="F1643" s="6"/>
      <c r="G1643" s="4"/>
      <c r="H1643" s="4"/>
      <c r="I1643" s="4"/>
      <c r="J1643" s="4"/>
      <c r="K1643" s="4"/>
      <c r="L1643" s="4"/>
      <c r="M1643" s="4"/>
      <c r="N1643" s="4" t="s">
        <v>70</v>
      </c>
      <c r="O1643" s="51" t="b">
        <v>0</v>
      </c>
      <c r="P1643" s="51" t="b">
        <v>0</v>
      </c>
      <c r="Q1643" s="51" t="b">
        <v>0</v>
      </c>
      <c r="R1643" s="51" t="b">
        <v>0</v>
      </c>
      <c r="S1643" s="51" t="b">
        <v>0</v>
      </c>
    </row>
    <row r="1644" hidden="1">
      <c r="A1644" s="4" t="str">
        <f>IFERROR(__xludf.DUMMYFUNCTION("""COMPUTED_VALUE"""),"2201 - Channel")</f>
        <v>2201 - Channel</v>
      </c>
      <c r="B1644" s="4"/>
      <c r="C1644" s="4"/>
      <c r="D1644" s="6"/>
      <c r="E1644" s="6"/>
      <c r="F1644" s="6"/>
      <c r="G1644" s="4"/>
      <c r="H1644" s="4"/>
      <c r="I1644" s="4"/>
      <c r="J1644" s="4"/>
      <c r="K1644" s="4"/>
      <c r="L1644" s="4"/>
      <c r="M1644" s="4"/>
      <c r="N1644" s="4" t="s">
        <v>70</v>
      </c>
      <c r="O1644" s="51" t="b">
        <v>0</v>
      </c>
      <c r="P1644" s="51" t="b">
        <v>0</v>
      </c>
      <c r="Q1644" s="51" t="b">
        <v>0</v>
      </c>
      <c r="R1644" s="51" t="b">
        <v>0</v>
      </c>
      <c r="S1644" s="51" t="b">
        <v>0</v>
      </c>
    </row>
    <row r="1645" hidden="1">
      <c r="A1645" s="4" t="str">
        <f>IFERROR(__xludf.DUMMYFUNCTION("""COMPUTED_VALUE"""),"2202 - Channel")</f>
        <v>2202 - Channel</v>
      </c>
      <c r="B1645" s="4"/>
      <c r="C1645" s="4"/>
      <c r="D1645" s="6"/>
      <c r="E1645" s="6"/>
      <c r="F1645" s="6"/>
      <c r="G1645" s="4"/>
      <c r="H1645" s="4"/>
      <c r="I1645" s="4"/>
      <c r="J1645" s="4"/>
      <c r="K1645" s="4"/>
      <c r="L1645" s="4"/>
      <c r="M1645" s="4"/>
      <c r="N1645" s="4" t="s">
        <v>70</v>
      </c>
      <c r="O1645" s="51" t="b">
        <v>0</v>
      </c>
      <c r="P1645" s="51" t="b">
        <v>0</v>
      </c>
      <c r="Q1645" s="51" t="b">
        <v>0</v>
      </c>
      <c r="R1645" s="51" t="b">
        <v>0</v>
      </c>
      <c r="S1645" s="51" t="b">
        <v>0</v>
      </c>
    </row>
    <row r="1646" hidden="1">
      <c r="A1646" s="4" t="str">
        <f>IFERROR(__xludf.DUMMYFUNCTION("""COMPUTED_VALUE"""),"2203 - Channel")</f>
        <v>2203 - Channel</v>
      </c>
      <c r="B1646" s="4"/>
      <c r="C1646" s="4"/>
      <c r="D1646" s="6"/>
      <c r="E1646" s="6"/>
      <c r="F1646" s="6"/>
      <c r="G1646" s="4"/>
      <c r="H1646" s="4"/>
      <c r="I1646" s="4"/>
      <c r="J1646" s="4"/>
      <c r="K1646" s="4"/>
      <c r="L1646" s="4"/>
      <c r="M1646" s="4"/>
      <c r="N1646" s="4" t="s">
        <v>70</v>
      </c>
      <c r="O1646" s="51" t="b">
        <v>0</v>
      </c>
      <c r="P1646" s="51" t="b">
        <v>0</v>
      </c>
      <c r="Q1646" s="51" t="b">
        <v>0</v>
      </c>
      <c r="R1646" s="51" t="b">
        <v>0</v>
      </c>
      <c r="S1646" s="51" t="b">
        <v>0</v>
      </c>
    </row>
    <row r="1647" hidden="1">
      <c r="A1647" s="4" t="str">
        <f>IFERROR(__xludf.DUMMYFUNCTION("""COMPUTED_VALUE"""),"2204 - Channel")</f>
        <v>2204 - Channel</v>
      </c>
      <c r="B1647" s="4"/>
      <c r="C1647" s="4"/>
      <c r="D1647" s="6"/>
      <c r="E1647" s="6"/>
      <c r="F1647" s="6"/>
      <c r="G1647" s="4"/>
      <c r="H1647" s="4"/>
      <c r="I1647" s="4"/>
      <c r="J1647" s="4"/>
      <c r="K1647" s="4"/>
      <c r="L1647" s="4"/>
      <c r="M1647" s="4"/>
      <c r="N1647" s="4" t="s">
        <v>70</v>
      </c>
      <c r="O1647" s="51" t="b">
        <v>0</v>
      </c>
      <c r="P1647" s="51" t="b">
        <v>0</v>
      </c>
      <c r="Q1647" s="51" t="b">
        <v>0</v>
      </c>
      <c r="R1647" s="51" t="b">
        <v>0</v>
      </c>
      <c r="S1647" s="51" t="b">
        <v>0</v>
      </c>
    </row>
    <row r="1648" hidden="1">
      <c r="A1648" s="4" t="str">
        <f>IFERROR(__xludf.DUMMYFUNCTION("""COMPUTED_VALUE"""),"2205 - Channel")</f>
        <v>2205 - Channel</v>
      </c>
      <c r="B1648" s="4"/>
      <c r="C1648" s="4"/>
      <c r="D1648" s="6"/>
      <c r="E1648" s="6"/>
      <c r="F1648" s="6"/>
      <c r="G1648" s="4"/>
      <c r="H1648" s="4"/>
      <c r="I1648" s="4"/>
      <c r="J1648" s="4"/>
      <c r="K1648" s="4"/>
      <c r="L1648" s="4"/>
      <c r="M1648" s="4"/>
      <c r="N1648" s="4" t="s">
        <v>70</v>
      </c>
      <c r="O1648" s="51" t="b">
        <v>0</v>
      </c>
      <c r="P1648" s="51" t="b">
        <v>0</v>
      </c>
      <c r="Q1648" s="51" t="b">
        <v>0</v>
      </c>
      <c r="R1648" s="51" t="b">
        <v>0</v>
      </c>
      <c r="S1648" s="51" t="b">
        <v>0</v>
      </c>
    </row>
    <row r="1649" hidden="1">
      <c r="A1649" s="4" t="str">
        <f>IFERROR(__xludf.DUMMYFUNCTION("""COMPUTED_VALUE"""),"2206 - Channel")</f>
        <v>2206 - Channel</v>
      </c>
      <c r="B1649" s="4"/>
      <c r="C1649" s="4"/>
      <c r="D1649" s="6"/>
      <c r="E1649" s="6"/>
      <c r="F1649" s="6"/>
      <c r="G1649" s="4"/>
      <c r="H1649" s="4"/>
      <c r="I1649" s="4"/>
      <c r="J1649" s="4"/>
      <c r="K1649" s="4"/>
      <c r="L1649" s="4"/>
      <c r="M1649" s="4"/>
      <c r="N1649" s="4" t="s">
        <v>70</v>
      </c>
      <c r="O1649" s="51" t="b">
        <v>0</v>
      </c>
      <c r="P1649" s="51" t="b">
        <v>0</v>
      </c>
      <c r="Q1649" s="51" t="b">
        <v>0</v>
      </c>
      <c r="R1649" s="51" t="b">
        <v>0</v>
      </c>
      <c r="S1649" s="51" t="b">
        <v>0</v>
      </c>
    </row>
    <row r="1650" hidden="1">
      <c r="A1650" s="4" t="str">
        <f>IFERROR(__xludf.DUMMYFUNCTION("""COMPUTED_VALUE"""),"2207 - Channel")</f>
        <v>2207 - Channel</v>
      </c>
      <c r="B1650" s="4"/>
      <c r="C1650" s="4"/>
      <c r="D1650" s="6"/>
      <c r="E1650" s="6"/>
      <c r="F1650" s="6"/>
      <c r="G1650" s="4"/>
      <c r="H1650" s="4"/>
      <c r="I1650" s="4"/>
      <c r="J1650" s="4"/>
      <c r="K1650" s="4"/>
      <c r="L1650" s="4"/>
      <c r="M1650" s="4"/>
      <c r="N1650" s="4" t="s">
        <v>70</v>
      </c>
      <c r="O1650" s="51" t="b">
        <v>0</v>
      </c>
      <c r="P1650" s="51" t="b">
        <v>0</v>
      </c>
      <c r="Q1650" s="51" t="b">
        <v>0</v>
      </c>
      <c r="R1650" s="51" t="b">
        <v>0</v>
      </c>
      <c r="S1650" s="51" t="b">
        <v>0</v>
      </c>
    </row>
    <row r="1651" hidden="1">
      <c r="A1651" s="4" t="str">
        <f>IFERROR(__xludf.DUMMYFUNCTION("""COMPUTED_VALUE"""),"2208 - Channel")</f>
        <v>2208 - Channel</v>
      </c>
      <c r="B1651" s="4"/>
      <c r="C1651" s="4"/>
      <c r="D1651" s="6"/>
      <c r="E1651" s="6"/>
      <c r="F1651" s="6"/>
      <c r="G1651" s="4"/>
      <c r="H1651" s="4"/>
      <c r="I1651" s="4"/>
      <c r="J1651" s="4"/>
      <c r="K1651" s="4"/>
      <c r="L1651" s="4"/>
      <c r="M1651" s="4"/>
      <c r="N1651" s="4" t="s">
        <v>70</v>
      </c>
      <c r="O1651" s="51" t="b">
        <v>0</v>
      </c>
      <c r="P1651" s="51" t="b">
        <v>0</v>
      </c>
      <c r="Q1651" s="51" t="b">
        <v>0</v>
      </c>
      <c r="R1651" s="51" t="b">
        <v>0</v>
      </c>
      <c r="S1651" s="51" t="b">
        <v>0</v>
      </c>
    </row>
    <row r="1652" hidden="1">
      <c r="A1652" s="4" t="str">
        <f>IFERROR(__xludf.DUMMYFUNCTION("""COMPUTED_VALUE"""),"2209 - Channel")</f>
        <v>2209 - Channel</v>
      </c>
      <c r="B1652" s="4"/>
      <c r="C1652" s="4"/>
      <c r="D1652" s="6"/>
      <c r="E1652" s="6"/>
      <c r="F1652" s="6"/>
      <c r="G1652" s="4"/>
      <c r="H1652" s="4"/>
      <c r="I1652" s="4"/>
      <c r="J1652" s="4"/>
      <c r="K1652" s="4"/>
      <c r="L1652" s="4"/>
      <c r="M1652" s="4"/>
      <c r="N1652" s="4" t="s">
        <v>70</v>
      </c>
      <c r="O1652" s="51" t="b">
        <v>0</v>
      </c>
      <c r="P1652" s="51" t="b">
        <v>0</v>
      </c>
      <c r="Q1652" s="51" t="b">
        <v>0</v>
      </c>
      <c r="R1652" s="51" t="b">
        <v>0</v>
      </c>
      <c r="S1652" s="51" t="b">
        <v>0</v>
      </c>
    </row>
    <row r="1653" hidden="1">
      <c r="A1653" s="4" t="str">
        <f>IFERROR(__xludf.DUMMYFUNCTION("""COMPUTED_VALUE"""),"2210 - Channel")</f>
        <v>2210 - Channel</v>
      </c>
      <c r="B1653" s="4"/>
      <c r="C1653" s="4"/>
      <c r="D1653" s="6"/>
      <c r="E1653" s="6"/>
      <c r="F1653" s="6"/>
      <c r="G1653" s="4"/>
      <c r="H1653" s="4"/>
      <c r="I1653" s="4"/>
      <c r="J1653" s="4"/>
      <c r="K1653" s="4"/>
      <c r="L1653" s="4"/>
      <c r="M1653" s="4"/>
      <c r="N1653" s="4" t="s">
        <v>70</v>
      </c>
      <c r="O1653" s="51" t="b">
        <v>0</v>
      </c>
      <c r="P1653" s="51" t="b">
        <v>0</v>
      </c>
      <c r="Q1653" s="51" t="b">
        <v>0</v>
      </c>
      <c r="R1653" s="51" t="b">
        <v>0</v>
      </c>
      <c r="S1653" s="51" t="b">
        <v>0</v>
      </c>
    </row>
    <row r="1654" hidden="1">
      <c r="A1654" s="4" t="str">
        <f>IFERROR(__xludf.DUMMYFUNCTION("""COMPUTED_VALUE"""),"2211 - Channel")</f>
        <v>2211 - Channel</v>
      </c>
      <c r="B1654" s="4"/>
      <c r="C1654" s="4"/>
      <c r="D1654" s="6"/>
      <c r="E1654" s="6"/>
      <c r="F1654" s="6"/>
      <c r="G1654" s="4"/>
      <c r="H1654" s="4"/>
      <c r="I1654" s="4"/>
      <c r="J1654" s="4"/>
      <c r="K1654" s="4"/>
      <c r="L1654" s="4"/>
      <c r="M1654" s="4"/>
      <c r="N1654" s="4" t="s">
        <v>70</v>
      </c>
      <c r="O1654" s="51" t="b">
        <v>0</v>
      </c>
      <c r="P1654" s="51" t="b">
        <v>0</v>
      </c>
      <c r="Q1654" s="51" t="b">
        <v>0</v>
      </c>
      <c r="R1654" s="51" t="b">
        <v>0</v>
      </c>
      <c r="S1654" s="51" t="b">
        <v>0</v>
      </c>
    </row>
    <row r="1655" hidden="1">
      <c r="A1655" s="4" t="str">
        <f>IFERROR(__xludf.DUMMYFUNCTION("""COMPUTED_VALUE"""),"2212 - Channel")</f>
        <v>2212 - Channel</v>
      </c>
      <c r="B1655" s="4"/>
      <c r="C1655" s="4"/>
      <c r="D1655" s="6"/>
      <c r="E1655" s="6"/>
      <c r="F1655" s="6"/>
      <c r="G1655" s="4"/>
      <c r="H1655" s="4"/>
      <c r="I1655" s="4"/>
      <c r="J1655" s="4"/>
      <c r="K1655" s="4"/>
      <c r="L1655" s="4"/>
      <c r="M1655" s="4"/>
      <c r="N1655" s="4" t="s">
        <v>70</v>
      </c>
      <c r="O1655" s="51" t="b">
        <v>0</v>
      </c>
      <c r="P1655" s="51" t="b">
        <v>0</v>
      </c>
      <c r="Q1655" s="51" t="b">
        <v>0</v>
      </c>
      <c r="R1655" s="51" t="b">
        <v>0</v>
      </c>
      <c r="S1655" s="51" t="b">
        <v>0</v>
      </c>
    </row>
    <row r="1656" hidden="1">
      <c r="A1656" s="4" t="str">
        <f>IFERROR(__xludf.DUMMYFUNCTION("""COMPUTED_VALUE"""),"2213 - Channel")</f>
        <v>2213 - Channel</v>
      </c>
      <c r="B1656" s="4"/>
      <c r="C1656" s="4"/>
      <c r="D1656" s="6"/>
      <c r="E1656" s="6"/>
      <c r="F1656" s="6"/>
      <c r="G1656" s="4"/>
      <c r="H1656" s="4"/>
      <c r="I1656" s="4"/>
      <c r="J1656" s="4"/>
      <c r="K1656" s="4"/>
      <c r="L1656" s="4"/>
      <c r="M1656" s="4"/>
      <c r="N1656" s="4" t="s">
        <v>70</v>
      </c>
      <c r="O1656" s="51" t="b">
        <v>0</v>
      </c>
      <c r="P1656" s="51" t="b">
        <v>0</v>
      </c>
      <c r="Q1656" s="51" t="b">
        <v>0</v>
      </c>
      <c r="R1656" s="51" t="b">
        <v>0</v>
      </c>
      <c r="S1656" s="51" t="b">
        <v>0</v>
      </c>
    </row>
    <row r="1657" hidden="1">
      <c r="A1657" s="4" t="str">
        <f>IFERROR(__xludf.DUMMYFUNCTION("""COMPUTED_VALUE"""),"2214 - Channel")</f>
        <v>2214 - Channel</v>
      </c>
      <c r="B1657" s="4"/>
      <c r="C1657" s="4"/>
      <c r="D1657" s="6"/>
      <c r="E1657" s="6"/>
      <c r="F1657" s="6"/>
      <c r="G1657" s="4"/>
      <c r="H1657" s="4"/>
      <c r="I1657" s="4"/>
      <c r="J1657" s="4"/>
      <c r="K1657" s="4"/>
      <c r="L1657" s="4"/>
      <c r="M1657" s="4"/>
      <c r="N1657" s="4" t="s">
        <v>70</v>
      </c>
      <c r="O1657" s="51" t="b">
        <v>0</v>
      </c>
      <c r="P1657" s="51" t="b">
        <v>0</v>
      </c>
      <c r="Q1657" s="51" t="b">
        <v>0</v>
      </c>
      <c r="R1657" s="51" t="b">
        <v>0</v>
      </c>
      <c r="S1657" s="51" t="b">
        <v>0</v>
      </c>
    </row>
    <row r="1658" hidden="1">
      <c r="A1658" s="4" t="str">
        <f>IFERROR(__xludf.DUMMYFUNCTION("""COMPUTED_VALUE"""),"2215 - Channel")</f>
        <v>2215 - Channel</v>
      </c>
      <c r="B1658" s="4"/>
      <c r="C1658" s="4"/>
      <c r="D1658" s="6"/>
      <c r="E1658" s="6"/>
      <c r="F1658" s="6"/>
      <c r="G1658" s="4"/>
      <c r="H1658" s="4"/>
      <c r="I1658" s="4"/>
      <c r="J1658" s="4"/>
      <c r="K1658" s="4"/>
      <c r="L1658" s="4"/>
      <c r="M1658" s="4"/>
      <c r="N1658" s="4" t="s">
        <v>70</v>
      </c>
      <c r="O1658" s="51" t="b">
        <v>0</v>
      </c>
      <c r="P1658" s="51" t="b">
        <v>0</v>
      </c>
      <c r="Q1658" s="51" t="b">
        <v>0</v>
      </c>
      <c r="R1658" s="51" t="b">
        <v>0</v>
      </c>
      <c r="S1658" s="51" t="b">
        <v>0</v>
      </c>
    </row>
    <row r="1659" hidden="1">
      <c r="A1659" s="4" t="str">
        <f>IFERROR(__xludf.DUMMYFUNCTION("""COMPUTED_VALUE"""),"2216 - Channel")</f>
        <v>2216 - Channel</v>
      </c>
      <c r="B1659" s="4"/>
      <c r="C1659" s="4"/>
      <c r="D1659" s="6"/>
      <c r="E1659" s="6"/>
      <c r="F1659" s="6"/>
      <c r="G1659" s="4"/>
      <c r="H1659" s="4"/>
      <c r="I1659" s="4"/>
      <c r="J1659" s="4"/>
      <c r="K1659" s="4"/>
      <c r="L1659" s="4"/>
      <c r="M1659" s="4"/>
      <c r="N1659" s="4" t="s">
        <v>70</v>
      </c>
      <c r="O1659" s="51" t="b">
        <v>0</v>
      </c>
      <c r="P1659" s="51" t="b">
        <v>0</v>
      </c>
      <c r="Q1659" s="51" t="b">
        <v>0</v>
      </c>
      <c r="R1659" s="51" t="b">
        <v>0</v>
      </c>
      <c r="S1659" s="51" t="b">
        <v>0</v>
      </c>
    </row>
    <row r="1660" hidden="1">
      <c r="A1660" s="4" t="str">
        <f>IFERROR(__xludf.DUMMYFUNCTION("""COMPUTED_VALUE"""),"2217 - Channel")</f>
        <v>2217 - Channel</v>
      </c>
      <c r="B1660" s="4"/>
      <c r="C1660" s="4"/>
      <c r="D1660" s="6"/>
      <c r="E1660" s="6"/>
      <c r="F1660" s="6"/>
      <c r="G1660" s="4"/>
      <c r="H1660" s="4"/>
      <c r="I1660" s="4"/>
      <c r="J1660" s="4"/>
      <c r="K1660" s="4"/>
      <c r="L1660" s="4"/>
      <c r="M1660" s="4"/>
      <c r="N1660" s="4" t="s">
        <v>70</v>
      </c>
      <c r="O1660" s="51" t="b">
        <v>0</v>
      </c>
      <c r="P1660" s="51" t="b">
        <v>0</v>
      </c>
      <c r="Q1660" s="51" t="b">
        <v>0</v>
      </c>
      <c r="R1660" s="51" t="b">
        <v>0</v>
      </c>
      <c r="S1660" s="51" t="b">
        <v>0</v>
      </c>
    </row>
    <row r="1661" hidden="1">
      <c r="A1661" s="4" t="str">
        <f>IFERROR(__xludf.DUMMYFUNCTION("""COMPUTED_VALUE"""),"2218 - Channel")</f>
        <v>2218 - Channel</v>
      </c>
      <c r="B1661" s="4"/>
      <c r="C1661" s="4"/>
      <c r="D1661" s="6"/>
      <c r="E1661" s="6"/>
      <c r="F1661" s="6"/>
      <c r="G1661" s="4"/>
      <c r="H1661" s="4"/>
      <c r="I1661" s="4"/>
      <c r="J1661" s="4"/>
      <c r="K1661" s="4"/>
      <c r="L1661" s="4"/>
      <c r="M1661" s="4"/>
      <c r="N1661" s="4" t="s">
        <v>70</v>
      </c>
      <c r="O1661" s="51" t="b">
        <v>0</v>
      </c>
      <c r="P1661" s="51" t="b">
        <v>0</v>
      </c>
      <c r="Q1661" s="51" t="b">
        <v>0</v>
      </c>
      <c r="R1661" s="51" t="b">
        <v>0</v>
      </c>
      <c r="S1661" s="51" t="b">
        <v>0</v>
      </c>
    </row>
    <row r="1662" hidden="1">
      <c r="A1662" s="4" t="str">
        <f>IFERROR(__xludf.DUMMYFUNCTION("""COMPUTED_VALUE"""),"2219 - Channel")</f>
        <v>2219 - Channel</v>
      </c>
      <c r="B1662" s="4"/>
      <c r="C1662" s="4"/>
      <c r="D1662" s="6"/>
      <c r="E1662" s="6"/>
      <c r="F1662" s="6"/>
      <c r="G1662" s="4"/>
      <c r="H1662" s="4"/>
      <c r="I1662" s="4"/>
      <c r="J1662" s="4"/>
      <c r="K1662" s="4"/>
      <c r="L1662" s="4"/>
      <c r="M1662" s="4"/>
      <c r="N1662" s="4" t="s">
        <v>70</v>
      </c>
      <c r="O1662" s="51" t="b">
        <v>0</v>
      </c>
      <c r="P1662" s="51" t="b">
        <v>0</v>
      </c>
      <c r="Q1662" s="51" t="b">
        <v>0</v>
      </c>
      <c r="R1662" s="51" t="b">
        <v>0</v>
      </c>
      <c r="S1662" s="51" t="b">
        <v>0</v>
      </c>
    </row>
    <row r="1663" hidden="1">
      <c r="A1663" s="4" t="str">
        <f>IFERROR(__xludf.DUMMYFUNCTION("""COMPUTED_VALUE"""),"2220 - Channel")</f>
        <v>2220 - Channel</v>
      </c>
      <c r="B1663" s="4"/>
      <c r="C1663" s="4"/>
      <c r="D1663" s="6"/>
      <c r="E1663" s="6"/>
      <c r="F1663" s="6"/>
      <c r="G1663" s="4"/>
      <c r="H1663" s="4"/>
      <c r="I1663" s="4"/>
      <c r="J1663" s="4"/>
      <c r="K1663" s="4"/>
      <c r="L1663" s="4"/>
      <c r="M1663" s="4"/>
      <c r="N1663" s="4" t="s">
        <v>70</v>
      </c>
      <c r="O1663" s="51" t="b">
        <v>0</v>
      </c>
      <c r="P1663" s="51" t="b">
        <v>0</v>
      </c>
      <c r="Q1663" s="51" t="b">
        <v>0</v>
      </c>
      <c r="R1663" s="51" t="b">
        <v>0</v>
      </c>
      <c r="S1663" s="51" t="b">
        <v>0</v>
      </c>
    </row>
    <row r="1664" hidden="1">
      <c r="A1664" s="4" t="str">
        <f>IFERROR(__xludf.DUMMYFUNCTION("""COMPUTED_VALUE"""),"2221 - Channel")</f>
        <v>2221 - Channel</v>
      </c>
      <c r="B1664" s="4"/>
      <c r="C1664" s="4"/>
      <c r="D1664" s="6"/>
      <c r="E1664" s="6"/>
      <c r="F1664" s="6"/>
      <c r="G1664" s="4"/>
      <c r="H1664" s="4"/>
      <c r="I1664" s="4"/>
      <c r="J1664" s="4"/>
      <c r="K1664" s="4"/>
      <c r="L1664" s="4"/>
      <c r="M1664" s="4"/>
      <c r="N1664" s="4" t="s">
        <v>70</v>
      </c>
      <c r="O1664" s="51" t="b">
        <v>0</v>
      </c>
      <c r="P1664" s="51" t="b">
        <v>0</v>
      </c>
      <c r="Q1664" s="51" t="b">
        <v>0</v>
      </c>
      <c r="R1664" s="51" t="b">
        <v>0</v>
      </c>
      <c r="S1664" s="51" t="b">
        <v>0</v>
      </c>
    </row>
    <row r="1665" hidden="1">
      <c r="A1665" s="4" t="str">
        <f>IFERROR(__xludf.DUMMYFUNCTION("""COMPUTED_VALUE"""),"2222 - Channel")</f>
        <v>2222 - Channel</v>
      </c>
      <c r="B1665" s="4"/>
      <c r="C1665" s="4"/>
      <c r="D1665" s="6"/>
      <c r="E1665" s="6"/>
      <c r="F1665" s="6"/>
      <c r="G1665" s="4"/>
      <c r="H1665" s="4"/>
      <c r="I1665" s="4"/>
      <c r="J1665" s="4"/>
      <c r="K1665" s="4"/>
      <c r="L1665" s="4"/>
      <c r="M1665" s="4"/>
      <c r="N1665" s="4" t="s">
        <v>70</v>
      </c>
      <c r="O1665" s="51" t="b">
        <v>0</v>
      </c>
      <c r="P1665" s="51" t="b">
        <v>0</v>
      </c>
      <c r="Q1665" s="51" t="b">
        <v>0</v>
      </c>
      <c r="R1665" s="51" t="b">
        <v>0</v>
      </c>
      <c r="S1665" s="51" t="b">
        <v>0</v>
      </c>
    </row>
    <row r="1666" hidden="1">
      <c r="A1666" s="4" t="str">
        <f>IFERROR(__xludf.DUMMYFUNCTION("""COMPUTED_VALUE"""),"2223 - Channel")</f>
        <v>2223 - Channel</v>
      </c>
      <c r="B1666" s="4"/>
      <c r="C1666" s="4"/>
      <c r="D1666" s="6"/>
      <c r="E1666" s="6"/>
      <c r="F1666" s="6"/>
      <c r="G1666" s="4"/>
      <c r="H1666" s="4"/>
      <c r="I1666" s="4"/>
      <c r="J1666" s="4"/>
      <c r="K1666" s="4"/>
      <c r="L1666" s="4"/>
      <c r="M1666" s="4"/>
      <c r="N1666" s="4" t="s">
        <v>70</v>
      </c>
      <c r="O1666" s="51" t="b">
        <v>0</v>
      </c>
      <c r="P1666" s="51" t="b">
        <v>0</v>
      </c>
      <c r="Q1666" s="51" t="b">
        <v>0</v>
      </c>
      <c r="R1666" s="51" t="b">
        <v>0</v>
      </c>
      <c r="S1666" s="51" t="b">
        <v>0</v>
      </c>
    </row>
    <row r="1667" hidden="1">
      <c r="A1667" s="4" t="str">
        <f>IFERROR(__xludf.DUMMYFUNCTION("""COMPUTED_VALUE"""),"2224 - Channel")</f>
        <v>2224 - Channel</v>
      </c>
      <c r="B1667" s="4"/>
      <c r="C1667" s="4"/>
      <c r="D1667" s="6"/>
      <c r="E1667" s="6"/>
      <c r="F1667" s="6"/>
      <c r="G1667" s="4"/>
      <c r="H1667" s="4"/>
      <c r="I1667" s="4"/>
      <c r="J1667" s="4"/>
      <c r="K1667" s="4"/>
      <c r="L1667" s="4"/>
      <c r="M1667" s="4"/>
      <c r="N1667" s="4" t="s">
        <v>70</v>
      </c>
      <c r="O1667" s="51" t="b">
        <v>0</v>
      </c>
      <c r="P1667" s="51" t="b">
        <v>0</v>
      </c>
      <c r="Q1667" s="51" t="b">
        <v>0</v>
      </c>
      <c r="R1667" s="51" t="b">
        <v>0</v>
      </c>
      <c r="S1667" s="51" t="b">
        <v>0</v>
      </c>
    </row>
    <row r="1668" hidden="1">
      <c r="A1668" s="4" t="str">
        <f>IFERROR(__xludf.DUMMYFUNCTION("""COMPUTED_VALUE"""),"2225 - Channel")</f>
        <v>2225 - Channel</v>
      </c>
      <c r="B1668" s="4"/>
      <c r="C1668" s="4"/>
      <c r="D1668" s="6"/>
      <c r="E1668" s="6"/>
      <c r="F1668" s="6"/>
      <c r="G1668" s="4"/>
      <c r="H1668" s="4"/>
      <c r="I1668" s="4"/>
      <c r="J1668" s="4"/>
      <c r="K1668" s="4"/>
      <c r="L1668" s="4"/>
      <c r="M1668" s="4"/>
      <c r="N1668" s="4" t="s">
        <v>70</v>
      </c>
      <c r="O1668" s="51" t="b">
        <v>0</v>
      </c>
      <c r="P1668" s="51" t="b">
        <v>0</v>
      </c>
      <c r="Q1668" s="51" t="b">
        <v>0</v>
      </c>
      <c r="R1668" s="51" t="b">
        <v>0</v>
      </c>
      <c r="S1668" s="51" t="b">
        <v>0</v>
      </c>
    </row>
    <row r="1669" hidden="1">
      <c r="A1669" s="4" t="str">
        <f>IFERROR(__xludf.DUMMYFUNCTION("""COMPUTED_VALUE"""),"2226 - Channel")</f>
        <v>2226 - Channel</v>
      </c>
      <c r="B1669" s="4"/>
      <c r="C1669" s="4"/>
      <c r="D1669" s="6"/>
      <c r="E1669" s="6"/>
      <c r="F1669" s="6"/>
      <c r="G1669" s="4"/>
      <c r="H1669" s="4"/>
      <c r="I1669" s="4"/>
      <c r="J1669" s="4"/>
      <c r="K1669" s="4"/>
      <c r="L1669" s="4"/>
      <c r="M1669" s="4"/>
      <c r="N1669" s="4" t="s">
        <v>70</v>
      </c>
      <c r="O1669" s="51" t="b">
        <v>0</v>
      </c>
      <c r="P1669" s="51" t="b">
        <v>0</v>
      </c>
      <c r="Q1669" s="51" t="b">
        <v>0</v>
      </c>
      <c r="R1669" s="51" t="b">
        <v>0</v>
      </c>
      <c r="S1669" s="51" t="b">
        <v>0</v>
      </c>
    </row>
    <row r="1670" hidden="1">
      <c r="A1670" s="4" t="str">
        <f>IFERROR(__xludf.DUMMYFUNCTION("""COMPUTED_VALUE"""),"2227 - Channel")</f>
        <v>2227 - Channel</v>
      </c>
      <c r="B1670" s="4"/>
      <c r="C1670" s="4"/>
      <c r="D1670" s="6"/>
      <c r="E1670" s="6"/>
      <c r="F1670" s="6"/>
      <c r="G1670" s="4"/>
      <c r="H1670" s="4"/>
      <c r="I1670" s="4"/>
      <c r="J1670" s="4"/>
      <c r="K1670" s="4"/>
      <c r="L1670" s="4"/>
      <c r="M1670" s="4"/>
      <c r="N1670" s="4" t="s">
        <v>70</v>
      </c>
      <c r="O1670" s="51" t="b">
        <v>0</v>
      </c>
      <c r="P1670" s="51" t="b">
        <v>0</v>
      </c>
      <c r="Q1670" s="51" t="b">
        <v>0</v>
      </c>
      <c r="R1670" s="51" t="b">
        <v>0</v>
      </c>
      <c r="S1670" s="51" t="b">
        <v>0</v>
      </c>
    </row>
    <row r="1671" hidden="1">
      <c r="A1671" s="4" t="str">
        <f>IFERROR(__xludf.DUMMYFUNCTION("""COMPUTED_VALUE"""),"2228 - Channel")</f>
        <v>2228 - Channel</v>
      </c>
      <c r="B1671" s="4"/>
      <c r="C1671" s="4"/>
      <c r="D1671" s="6"/>
      <c r="E1671" s="6"/>
      <c r="F1671" s="6"/>
      <c r="G1671" s="4"/>
      <c r="H1671" s="4"/>
      <c r="I1671" s="4"/>
      <c r="J1671" s="4"/>
      <c r="K1671" s="4"/>
      <c r="L1671" s="4"/>
      <c r="M1671" s="4"/>
      <c r="N1671" s="4" t="s">
        <v>70</v>
      </c>
      <c r="O1671" s="51" t="b">
        <v>0</v>
      </c>
      <c r="P1671" s="51" t="b">
        <v>0</v>
      </c>
      <c r="Q1671" s="51" t="b">
        <v>0</v>
      </c>
      <c r="R1671" s="51" t="b">
        <v>0</v>
      </c>
      <c r="S1671" s="51" t="b">
        <v>0</v>
      </c>
    </row>
    <row r="1672" hidden="1">
      <c r="A1672" s="4" t="str">
        <f>IFERROR(__xludf.DUMMYFUNCTION("""COMPUTED_VALUE"""),"2229 - Channel")</f>
        <v>2229 - Channel</v>
      </c>
      <c r="B1672" s="4"/>
      <c r="C1672" s="4"/>
      <c r="D1672" s="6"/>
      <c r="E1672" s="6"/>
      <c r="F1672" s="6"/>
      <c r="G1672" s="4"/>
      <c r="H1672" s="4"/>
      <c r="I1672" s="4"/>
      <c r="J1672" s="4"/>
      <c r="K1672" s="4"/>
      <c r="L1672" s="4"/>
      <c r="M1672" s="4"/>
      <c r="N1672" s="4" t="s">
        <v>70</v>
      </c>
      <c r="O1672" s="51" t="b">
        <v>0</v>
      </c>
      <c r="P1672" s="51" t="b">
        <v>0</v>
      </c>
      <c r="Q1672" s="51" t="b">
        <v>0</v>
      </c>
      <c r="R1672" s="51" t="b">
        <v>0</v>
      </c>
      <c r="S1672" s="51" t="b">
        <v>0</v>
      </c>
    </row>
    <row r="1673" hidden="1">
      <c r="A1673" s="4" t="str">
        <f>IFERROR(__xludf.DUMMYFUNCTION("""COMPUTED_VALUE"""),"2230 - Channel")</f>
        <v>2230 - Channel</v>
      </c>
      <c r="B1673" s="4"/>
      <c r="C1673" s="4"/>
      <c r="D1673" s="6"/>
      <c r="E1673" s="6"/>
      <c r="F1673" s="6"/>
      <c r="G1673" s="4"/>
      <c r="H1673" s="4"/>
      <c r="I1673" s="4"/>
      <c r="J1673" s="4"/>
      <c r="K1673" s="4"/>
      <c r="L1673" s="4"/>
      <c r="M1673" s="4"/>
      <c r="N1673" s="4" t="s">
        <v>70</v>
      </c>
      <c r="O1673" s="51" t="b">
        <v>0</v>
      </c>
      <c r="P1673" s="51" t="b">
        <v>0</v>
      </c>
      <c r="Q1673" s="51" t="b">
        <v>0</v>
      </c>
      <c r="R1673" s="51" t="b">
        <v>0</v>
      </c>
      <c r="S1673" s="51" t="b">
        <v>0</v>
      </c>
    </row>
    <row r="1674" hidden="1">
      <c r="A1674" s="4" t="str">
        <f>IFERROR(__xludf.DUMMYFUNCTION("""COMPUTED_VALUE"""),"2231 - Channel")</f>
        <v>2231 - Channel</v>
      </c>
      <c r="B1674" s="4"/>
      <c r="C1674" s="4"/>
      <c r="D1674" s="6"/>
      <c r="E1674" s="6"/>
      <c r="F1674" s="6"/>
      <c r="G1674" s="4"/>
      <c r="H1674" s="4"/>
      <c r="I1674" s="4"/>
      <c r="J1674" s="4"/>
      <c r="K1674" s="4"/>
      <c r="L1674" s="4"/>
      <c r="M1674" s="4"/>
      <c r="N1674" s="4" t="s">
        <v>70</v>
      </c>
      <c r="O1674" s="51" t="b">
        <v>0</v>
      </c>
      <c r="P1674" s="51" t="b">
        <v>0</v>
      </c>
      <c r="Q1674" s="51" t="b">
        <v>0</v>
      </c>
      <c r="R1674" s="51" t="b">
        <v>0</v>
      </c>
      <c r="S1674" s="51" t="b">
        <v>0</v>
      </c>
    </row>
    <row r="1675" hidden="1">
      <c r="A1675" s="4" t="str">
        <f>IFERROR(__xludf.DUMMYFUNCTION("""COMPUTED_VALUE"""),"2232 - Channel")</f>
        <v>2232 - Channel</v>
      </c>
      <c r="B1675" s="4"/>
      <c r="C1675" s="4"/>
      <c r="D1675" s="6"/>
      <c r="E1675" s="6"/>
      <c r="F1675" s="6"/>
      <c r="G1675" s="4"/>
      <c r="H1675" s="4"/>
      <c r="I1675" s="4"/>
      <c r="J1675" s="4"/>
      <c r="K1675" s="4"/>
      <c r="L1675" s="4"/>
      <c r="M1675" s="4"/>
      <c r="N1675" s="4" t="s">
        <v>70</v>
      </c>
      <c r="O1675" s="51" t="b">
        <v>0</v>
      </c>
      <c r="P1675" s="51" t="b">
        <v>0</v>
      </c>
      <c r="Q1675" s="51" t="b">
        <v>0</v>
      </c>
      <c r="R1675" s="51" t="b">
        <v>0</v>
      </c>
      <c r="S1675" s="51" t="b">
        <v>0</v>
      </c>
    </row>
    <row r="1676" hidden="1">
      <c r="A1676" s="4" t="str">
        <f>IFERROR(__xludf.DUMMYFUNCTION("""COMPUTED_VALUE"""),"2233 - Channel")</f>
        <v>2233 - Channel</v>
      </c>
      <c r="B1676" s="4"/>
      <c r="C1676" s="4"/>
      <c r="D1676" s="6"/>
      <c r="E1676" s="6"/>
      <c r="F1676" s="6"/>
      <c r="G1676" s="4"/>
      <c r="H1676" s="4"/>
      <c r="I1676" s="4"/>
      <c r="J1676" s="4"/>
      <c r="K1676" s="4"/>
      <c r="L1676" s="4"/>
      <c r="M1676" s="4"/>
      <c r="N1676" s="4" t="s">
        <v>70</v>
      </c>
      <c r="O1676" s="51" t="b">
        <v>0</v>
      </c>
      <c r="P1676" s="51" t="b">
        <v>0</v>
      </c>
      <c r="Q1676" s="51" t="b">
        <v>0</v>
      </c>
      <c r="R1676" s="51" t="b">
        <v>0</v>
      </c>
      <c r="S1676" s="51" t="b">
        <v>0</v>
      </c>
    </row>
    <row r="1677" hidden="1">
      <c r="A1677" s="4" t="str">
        <f>IFERROR(__xludf.DUMMYFUNCTION("""COMPUTED_VALUE"""),"2234 - Channel")</f>
        <v>2234 - Channel</v>
      </c>
      <c r="B1677" s="4"/>
      <c r="C1677" s="4"/>
      <c r="D1677" s="6"/>
      <c r="E1677" s="6"/>
      <c r="F1677" s="6"/>
      <c r="G1677" s="4"/>
      <c r="H1677" s="4"/>
      <c r="I1677" s="4"/>
      <c r="J1677" s="4"/>
      <c r="K1677" s="4"/>
      <c r="L1677" s="4"/>
      <c r="M1677" s="4"/>
      <c r="N1677" s="4" t="s">
        <v>70</v>
      </c>
      <c r="O1677" s="51" t="b">
        <v>0</v>
      </c>
      <c r="P1677" s="51" t="b">
        <v>0</v>
      </c>
      <c r="Q1677" s="51" t="b">
        <v>0</v>
      </c>
      <c r="R1677" s="51" t="b">
        <v>0</v>
      </c>
      <c r="S1677" s="51" t="b">
        <v>0</v>
      </c>
    </row>
    <row r="1678" hidden="1">
      <c r="A1678" s="4" t="str">
        <f>IFERROR(__xludf.DUMMYFUNCTION("""COMPUTED_VALUE"""),"1 - Channel 5")</f>
        <v>1 - Channel 5</v>
      </c>
      <c r="B1678" s="4" t="s">
        <v>27</v>
      </c>
      <c r="C1678" s="4"/>
      <c r="D1678" s="6"/>
      <c r="E1678" s="6"/>
      <c r="F1678" s="6"/>
      <c r="G1678" s="4"/>
      <c r="H1678" s="4"/>
      <c r="I1678" s="4"/>
      <c r="J1678" s="4"/>
      <c r="K1678" s="4"/>
      <c r="L1678" s="4"/>
      <c r="M1678" s="4"/>
      <c r="N1678" s="4"/>
      <c r="O1678" s="51" t="b">
        <v>0</v>
      </c>
      <c r="P1678" s="51" t="b">
        <v>0</v>
      </c>
      <c r="Q1678" s="51" t="b">
        <v>0</v>
      </c>
      <c r="R1678" s="51" t="b">
        <v>0</v>
      </c>
      <c r="S1678" s="51" t="b">
        <v>0</v>
      </c>
    </row>
    <row r="1679" hidden="1">
      <c r="A1679" s="4" t="str">
        <f>IFERROR(__xludf.DUMMYFUNCTION("""COMPUTED_VALUE"""),"2 - Channel 5")</f>
        <v>2 - Channel 5</v>
      </c>
      <c r="B1679" s="4" t="s">
        <v>27</v>
      </c>
      <c r="C1679" s="4">
        <v>0.4166666666666667</v>
      </c>
      <c r="D1679" s="6">
        <v>6.944444444444445E-4</v>
      </c>
      <c r="E1679" s="6">
        <v>0.4173611111111111</v>
      </c>
      <c r="F1679" s="6"/>
      <c r="G1679" s="4"/>
      <c r="H1679" s="4" t="s">
        <v>2079</v>
      </c>
      <c r="I1679" s="4"/>
      <c r="J1679" s="4"/>
      <c r="K1679" s="4"/>
      <c r="L1679" s="4"/>
      <c r="M1679" s="4"/>
      <c r="N1679" s="4"/>
      <c r="O1679" s="51" t="b">
        <v>0</v>
      </c>
      <c r="P1679" s="51" t="b">
        <v>0</v>
      </c>
      <c r="Q1679" s="51" t="b">
        <v>0</v>
      </c>
      <c r="R1679" s="51" t="b">
        <v>0</v>
      </c>
      <c r="S1679" s="51" t="b">
        <v>0</v>
      </c>
    </row>
    <row r="1680" hidden="1">
      <c r="A1680" s="4" t="str">
        <f>IFERROR(__xludf.DUMMYFUNCTION("""COMPUTED_VALUE"""),"3 - Channel 5")</f>
        <v>3 - Channel 5</v>
      </c>
      <c r="B1680" s="4" t="s">
        <v>27</v>
      </c>
      <c r="C1680" s="4">
        <v>0.4173611111111111</v>
      </c>
      <c r="D1680" s="6">
        <v>3.4722222222222224E-4</v>
      </c>
      <c r="E1680" s="6">
        <v>0.41770833333333335</v>
      </c>
      <c r="F1680" s="6"/>
      <c r="G1680" s="4"/>
      <c r="H1680" s="4" t="s">
        <v>81</v>
      </c>
      <c r="I1680" s="4"/>
      <c r="J1680" s="4"/>
      <c r="K1680" s="4"/>
      <c r="L1680" s="4"/>
      <c r="M1680" s="4"/>
      <c r="N1680" s="4"/>
      <c r="O1680" s="51" t="b">
        <v>0</v>
      </c>
      <c r="P1680" s="51" t="b">
        <v>0</v>
      </c>
      <c r="Q1680" s="51" t="b">
        <v>0</v>
      </c>
      <c r="R1680" s="51" t="b">
        <v>0</v>
      </c>
      <c r="S1680" s="51" t="b">
        <v>0</v>
      </c>
    </row>
    <row r="1681" hidden="1">
      <c r="A1681" s="4" t="str">
        <f>IFERROR(__xludf.DUMMYFUNCTION("""COMPUTED_VALUE"""),"4 - Channel 5")</f>
        <v>4 - Channel 5</v>
      </c>
      <c r="B1681" s="4" t="s">
        <v>27</v>
      </c>
      <c r="C1681" s="4">
        <v>0.41770833333333335</v>
      </c>
      <c r="D1681" s="6">
        <v>0.016863425925925928</v>
      </c>
      <c r="E1681" s="6">
        <v>0.4345717592592593</v>
      </c>
      <c r="F1681" s="6" t="s">
        <v>189</v>
      </c>
      <c r="G1681" s="4" t="s">
        <v>2082</v>
      </c>
      <c r="H1681" s="4" t="s">
        <v>2083</v>
      </c>
      <c r="I1681" s="4"/>
      <c r="J1681" s="4"/>
      <c r="K1681" s="4"/>
      <c r="L1681" s="4"/>
      <c r="M1681" s="4" t="s">
        <v>2084</v>
      </c>
      <c r="N1681" s="4"/>
      <c r="O1681" s="51" t="b">
        <v>0</v>
      </c>
      <c r="P1681" s="51" t="b">
        <v>0</v>
      </c>
      <c r="Q1681" s="51" t="b">
        <v>0</v>
      </c>
      <c r="R1681" s="51" t="b">
        <v>0</v>
      </c>
      <c r="S1681" s="51" t="b">
        <v>0</v>
      </c>
    </row>
    <row r="1682" hidden="1">
      <c r="A1682" s="4" t="str">
        <f>IFERROR(__xludf.DUMMYFUNCTION("""COMPUTED_VALUE"""),"5 - Channel 5")</f>
        <v>5 - Channel 5</v>
      </c>
      <c r="B1682" s="4" t="s">
        <v>27</v>
      </c>
      <c r="C1682" s="4">
        <v>0.4345717592592593</v>
      </c>
      <c r="D1682" s="6">
        <v>1.7361111111111112E-4</v>
      </c>
      <c r="E1682" s="6">
        <v>0.4347453703703704</v>
      </c>
      <c r="F1682" s="6"/>
      <c r="G1682" s="4"/>
      <c r="H1682" s="4" t="s">
        <v>85</v>
      </c>
      <c r="I1682" s="4"/>
      <c r="J1682" s="4"/>
      <c r="K1682" s="4"/>
      <c r="L1682" s="4"/>
      <c r="M1682" s="4"/>
      <c r="N1682" s="4"/>
      <c r="O1682" s="51" t="b">
        <v>0</v>
      </c>
      <c r="P1682" s="51" t="b">
        <v>0</v>
      </c>
      <c r="Q1682" s="51" t="b">
        <v>0</v>
      </c>
      <c r="R1682" s="51" t="b">
        <v>0</v>
      </c>
      <c r="S1682" s="51" t="b">
        <v>0</v>
      </c>
    </row>
    <row r="1683">
      <c r="A1683" s="4" t="str">
        <f>IFERROR(__xludf.DUMMYFUNCTION("""COMPUTED_VALUE"""),"6 - Channel 5")</f>
        <v>6 - Channel 5</v>
      </c>
      <c r="B1683" s="4" t="s">
        <v>27</v>
      </c>
      <c r="C1683" s="4">
        <v>0.4347453703703704</v>
      </c>
      <c r="D1683" s="6">
        <v>3.4722222222222224E-4</v>
      </c>
      <c r="E1683" s="6">
        <v>0.43509259259259264</v>
      </c>
      <c r="F1683" s="6"/>
      <c r="G1683" s="4"/>
      <c r="H1683" s="4" t="s">
        <v>81</v>
      </c>
      <c r="I1683" s="4"/>
      <c r="J1683" s="4"/>
      <c r="K1683" s="4"/>
      <c r="L1683" s="4"/>
      <c r="M1683" s="4"/>
      <c r="N1683" s="4"/>
      <c r="O1683" s="51" t="b">
        <v>0</v>
      </c>
      <c r="P1683" s="51" t="b">
        <v>0</v>
      </c>
      <c r="Q1683" s="51" t="b">
        <v>0</v>
      </c>
      <c r="R1683" s="51" t="b">
        <v>0</v>
      </c>
      <c r="S1683" s="51" t="b">
        <v>0</v>
      </c>
    </row>
    <row r="1684" hidden="1">
      <c r="A1684" s="4" t="str">
        <f>IFERROR(__xludf.DUMMYFUNCTION("""COMPUTED_VALUE"""),"7 - Channel 5")</f>
        <v>7 - Channel 5</v>
      </c>
      <c r="B1684" s="4" t="s">
        <v>27</v>
      </c>
      <c r="C1684" s="4">
        <v>0.43509259259259264</v>
      </c>
      <c r="D1684" s="6">
        <v>0.01646990740740741</v>
      </c>
      <c r="E1684" s="6">
        <v>0.45156250000000003</v>
      </c>
      <c r="F1684" s="6" t="s">
        <v>140</v>
      </c>
      <c r="G1684" s="4" t="s">
        <v>2082</v>
      </c>
      <c r="H1684" s="4" t="s">
        <v>2088</v>
      </c>
      <c r="I1684" s="4" t="s">
        <v>2089</v>
      </c>
      <c r="J1684" s="4"/>
      <c r="K1684" s="4"/>
      <c r="L1684" s="4"/>
      <c r="M1684" s="4" t="s">
        <v>2090</v>
      </c>
      <c r="N1684" s="4"/>
      <c r="O1684" s="51" t="b">
        <v>0</v>
      </c>
      <c r="P1684" s="51" t="b">
        <v>0</v>
      </c>
      <c r="Q1684" s="51" t="b">
        <v>0</v>
      </c>
      <c r="R1684" s="51" t="b">
        <v>0</v>
      </c>
      <c r="S1684" s="51" t="b">
        <v>0</v>
      </c>
    </row>
    <row r="1685">
      <c r="A1685" s="4" t="str">
        <f>IFERROR(__xludf.DUMMYFUNCTION("""COMPUTED_VALUE"""),"8 - Channel 5")</f>
        <v>8 - Channel 5</v>
      </c>
      <c r="B1685" s="4" t="s">
        <v>27</v>
      </c>
      <c r="C1685" s="4">
        <v>0.45156250000000003</v>
      </c>
      <c r="D1685" s="6">
        <v>1.7361111111111112E-4</v>
      </c>
      <c r="E1685" s="6">
        <v>0.45173611111111117</v>
      </c>
      <c r="F1685" s="6"/>
      <c r="G1685" s="4"/>
      <c r="H1685" s="4" t="s">
        <v>85</v>
      </c>
      <c r="I1685" s="4"/>
      <c r="J1685" s="4"/>
      <c r="K1685" s="4"/>
      <c r="L1685" s="4"/>
      <c r="M1685" s="4"/>
      <c r="N1685" s="4"/>
      <c r="O1685" s="51" t="b">
        <v>0</v>
      </c>
      <c r="P1685" s="51" t="b">
        <v>0</v>
      </c>
      <c r="Q1685" s="51" t="b">
        <v>0</v>
      </c>
      <c r="R1685" s="51" t="b">
        <v>0</v>
      </c>
      <c r="S1685" s="51" t="b">
        <v>0</v>
      </c>
    </row>
    <row r="1686">
      <c r="A1686" s="4" t="str">
        <f>IFERROR(__xludf.DUMMYFUNCTION("""COMPUTED_VALUE"""),"9 - Channel 5")</f>
        <v>9 - Channel 5</v>
      </c>
      <c r="B1686" s="4" t="s">
        <v>27</v>
      </c>
      <c r="C1686" s="4">
        <v>0.45173611111111117</v>
      </c>
      <c r="D1686" s="6">
        <v>3.4722222222222224E-4</v>
      </c>
      <c r="E1686" s="6">
        <v>0.4520833333333334</v>
      </c>
      <c r="F1686" s="6"/>
      <c r="G1686" s="4"/>
      <c r="H1686" s="4" t="s">
        <v>81</v>
      </c>
      <c r="I1686" s="4"/>
      <c r="J1686" s="4"/>
      <c r="K1686" s="4"/>
      <c r="L1686" s="4"/>
      <c r="M1686" s="4"/>
      <c r="N1686" s="4"/>
      <c r="O1686" s="51" t="b">
        <v>0</v>
      </c>
      <c r="P1686" s="51" t="b">
        <v>0</v>
      </c>
      <c r="Q1686" s="51" t="b">
        <v>0</v>
      </c>
      <c r="R1686" s="51" t="b">
        <v>0</v>
      </c>
      <c r="S1686" s="51" t="b">
        <v>0</v>
      </c>
    </row>
    <row r="1687" hidden="1">
      <c r="A1687" s="4" t="str">
        <f>IFERROR(__xludf.DUMMYFUNCTION("""COMPUTED_VALUE"""),"10 - Channel 5")</f>
        <v>10 - Channel 5</v>
      </c>
      <c r="B1687" s="4" t="s">
        <v>27</v>
      </c>
      <c r="C1687" s="4">
        <v>0.4520833333333334</v>
      </c>
      <c r="D1687" s="6">
        <v>0.006944444444444444</v>
      </c>
      <c r="E1687" s="6">
        <v>0.4590277777777778</v>
      </c>
      <c r="F1687" s="6" t="s">
        <v>358</v>
      </c>
      <c r="G1687" s="4" t="s">
        <v>2082</v>
      </c>
      <c r="H1687" s="4" t="s">
        <v>2093</v>
      </c>
      <c r="I1687" s="4" t="s">
        <v>534</v>
      </c>
      <c r="J1687" s="4" t="s">
        <v>2094</v>
      </c>
      <c r="K1687" s="4" t="s">
        <v>255</v>
      </c>
      <c r="L1687" s="4" t="s">
        <v>2095</v>
      </c>
      <c r="M1687" s="4" t="s">
        <v>2096</v>
      </c>
      <c r="N1687" s="4"/>
      <c r="O1687" s="51" t="b">
        <v>0</v>
      </c>
      <c r="P1687" s="51" t="b">
        <v>0</v>
      </c>
      <c r="Q1687" s="51" t="b">
        <v>0</v>
      </c>
      <c r="R1687" s="51" t="b">
        <v>0</v>
      </c>
      <c r="S1687" s="51" t="b">
        <v>0</v>
      </c>
    </row>
    <row r="1688">
      <c r="A1688" s="4" t="str">
        <f>IFERROR(__xludf.DUMMYFUNCTION("""COMPUTED_VALUE"""),"11 - Channel 5")</f>
        <v>11 - Channel 5</v>
      </c>
      <c r="B1688" s="4" t="s">
        <v>27</v>
      </c>
      <c r="C1688" s="4">
        <v>0.4590277777777778</v>
      </c>
      <c r="D1688" s="6">
        <v>1.7361111111111112E-4</v>
      </c>
      <c r="E1688" s="6">
        <v>0.45920138888888895</v>
      </c>
      <c r="F1688" s="6"/>
      <c r="G1688" s="4"/>
      <c r="H1688" s="4" t="s">
        <v>85</v>
      </c>
      <c r="I1688" s="4"/>
      <c r="J1688" s="4"/>
      <c r="K1688" s="4"/>
      <c r="L1688" s="4"/>
      <c r="M1688" s="4"/>
      <c r="N1688" s="4"/>
      <c r="O1688" s="51" t="b">
        <v>0</v>
      </c>
      <c r="P1688" s="51" t="b">
        <v>0</v>
      </c>
      <c r="Q1688" s="51" t="b">
        <v>0</v>
      </c>
      <c r="R1688" s="51" t="b">
        <v>0</v>
      </c>
      <c r="S1688" s="51" t="b">
        <v>0</v>
      </c>
    </row>
    <row r="1689">
      <c r="A1689" s="4" t="str">
        <f>IFERROR(__xludf.DUMMYFUNCTION("""COMPUTED_VALUE"""),"281 - Channel 5")</f>
        <v>281 - Channel 5</v>
      </c>
      <c r="B1689" s="4" t="s">
        <v>27</v>
      </c>
      <c r="C1689" s="4">
        <v>0.45920138888888895</v>
      </c>
      <c r="D1689" s="6">
        <v>3.4722222222222224E-4</v>
      </c>
      <c r="E1689" s="6">
        <v>0.45954861111111117</v>
      </c>
      <c r="F1689" s="6"/>
      <c r="G1689" s="4"/>
      <c r="H1689" s="4" t="s">
        <v>89</v>
      </c>
      <c r="I1689" s="4"/>
      <c r="J1689" s="4"/>
      <c r="K1689" s="4"/>
      <c r="L1689" s="4"/>
      <c r="M1689" s="4"/>
      <c r="N1689" s="4"/>
      <c r="O1689" s="51" t="b">
        <v>0</v>
      </c>
      <c r="P1689" s="51" t="b">
        <v>0</v>
      </c>
      <c r="Q1689" s="51" t="b">
        <v>0</v>
      </c>
      <c r="R1689" s="51" t="b">
        <v>0</v>
      </c>
      <c r="S1689" s="51" t="b">
        <v>0</v>
      </c>
    </row>
    <row r="1690" hidden="1">
      <c r="A1690" s="4" t="str">
        <f>IFERROR(__xludf.DUMMYFUNCTION("""COMPUTED_VALUE"""),"13 - Channel 5")</f>
        <v>13 - Channel 5</v>
      </c>
      <c r="B1690" s="4" t="s">
        <v>27</v>
      </c>
      <c r="C1690" s="4">
        <v>0.45954861111111117</v>
      </c>
      <c r="D1690" s="6">
        <v>3.4722222222222224E-4</v>
      </c>
      <c r="E1690" s="6">
        <v>0.4598958333333334</v>
      </c>
      <c r="F1690" s="6"/>
      <c r="G1690" s="4"/>
      <c r="H1690" s="4" t="s">
        <v>81</v>
      </c>
      <c r="I1690" s="4"/>
      <c r="J1690" s="4"/>
      <c r="K1690" s="4"/>
      <c r="L1690" s="4"/>
      <c r="M1690" s="4"/>
      <c r="N1690" s="4"/>
      <c r="O1690" s="51" t="b">
        <v>0</v>
      </c>
      <c r="P1690" s="51" t="b">
        <v>0</v>
      </c>
      <c r="Q1690" s="51" t="b">
        <v>0</v>
      </c>
      <c r="R1690" s="51" t="b">
        <v>0</v>
      </c>
      <c r="S1690" s="51" t="b">
        <v>0</v>
      </c>
    </row>
    <row r="1691">
      <c r="A1691" s="4" t="str">
        <f>IFERROR(__xludf.DUMMYFUNCTION("""COMPUTED_VALUE"""),"14 - Channel 5")</f>
        <v>14 - Channel 5</v>
      </c>
      <c r="B1691" s="4" t="s">
        <v>27</v>
      </c>
      <c r="C1691" s="4">
        <v>0.4598958333333334</v>
      </c>
      <c r="D1691" s="6">
        <v>0.02148148148148148</v>
      </c>
      <c r="E1691" s="6">
        <v>0.4813773148148149</v>
      </c>
      <c r="F1691" s="6" t="s">
        <v>245</v>
      </c>
      <c r="G1691" s="4" t="s">
        <v>2082</v>
      </c>
      <c r="H1691" s="4" t="s">
        <v>2099</v>
      </c>
      <c r="I1691" s="4"/>
      <c r="J1691" s="4"/>
      <c r="K1691" s="4"/>
      <c r="L1691" s="4"/>
      <c r="M1691" s="4" t="s">
        <v>2100</v>
      </c>
      <c r="N1691" s="4"/>
      <c r="O1691" s="51" t="b">
        <v>0</v>
      </c>
      <c r="P1691" s="51" t="b">
        <v>0</v>
      </c>
      <c r="Q1691" s="51" t="b">
        <v>0</v>
      </c>
      <c r="R1691" s="51" t="b">
        <v>0</v>
      </c>
      <c r="S1691" s="51" t="b">
        <v>0</v>
      </c>
    </row>
    <row r="1692" hidden="1">
      <c r="A1692" s="4" t="str">
        <f>IFERROR(__xludf.DUMMYFUNCTION("""COMPUTED_VALUE"""),"15 - Channel 5")</f>
        <v>15 - Channel 5</v>
      </c>
      <c r="B1692" s="4" t="s">
        <v>27</v>
      </c>
      <c r="C1692" s="4">
        <v>0.4813773148148149</v>
      </c>
      <c r="D1692" s="6">
        <v>1.7361111111111112E-4</v>
      </c>
      <c r="E1692" s="6">
        <v>0.481550925925926</v>
      </c>
      <c r="F1692" s="6"/>
      <c r="G1692" s="4"/>
      <c r="H1692" s="4" t="s">
        <v>85</v>
      </c>
      <c r="I1692" s="4"/>
      <c r="J1692" s="4"/>
      <c r="K1692" s="4"/>
      <c r="L1692" s="4"/>
      <c r="M1692" s="4"/>
      <c r="N1692" s="4"/>
      <c r="O1692" s="51" t="b">
        <v>0</v>
      </c>
      <c r="P1692" s="51" t="b">
        <v>0</v>
      </c>
      <c r="Q1692" s="51" t="b">
        <v>0</v>
      </c>
      <c r="R1692" s="51" t="b">
        <v>0</v>
      </c>
      <c r="S1692" s="51" t="b">
        <v>0</v>
      </c>
    </row>
    <row r="1693">
      <c r="A1693" s="4" t="str">
        <f>IFERROR(__xludf.DUMMYFUNCTION("""COMPUTED_VALUE"""),"16 - Channel 5")</f>
        <v>16 - Channel 5</v>
      </c>
      <c r="B1693" s="4" t="s">
        <v>27</v>
      </c>
      <c r="C1693" s="4">
        <v>0.481550925925926</v>
      </c>
      <c r="D1693" s="6">
        <v>6.944444444444444E-5</v>
      </c>
      <c r="E1693" s="6">
        <v>0.4816203703703705</v>
      </c>
      <c r="F1693" s="6"/>
      <c r="G1693" s="4"/>
      <c r="H1693" s="4" t="s">
        <v>2102</v>
      </c>
      <c r="I1693" s="4"/>
      <c r="J1693" s="4"/>
      <c r="K1693" s="4"/>
      <c r="L1693" s="4"/>
      <c r="M1693" s="4"/>
      <c r="N1693" s="4"/>
      <c r="O1693" s="51" t="b">
        <v>0</v>
      </c>
      <c r="P1693" s="51" t="b">
        <v>0</v>
      </c>
      <c r="Q1693" s="51" t="b">
        <v>0</v>
      </c>
      <c r="R1693" s="51" t="b">
        <v>0</v>
      </c>
      <c r="S1693" s="51" t="b">
        <v>0</v>
      </c>
    </row>
    <row r="1694" hidden="1">
      <c r="A1694" s="4" t="str">
        <f>IFERROR(__xludf.DUMMYFUNCTION("""COMPUTED_VALUE"""),"17 - Channel 5")</f>
        <v>17 - Channel 5</v>
      </c>
      <c r="B1694" s="4" t="s">
        <v>27</v>
      </c>
      <c r="C1694" s="4">
        <v>0.4816203703703705</v>
      </c>
      <c r="D1694" s="6">
        <v>3.4722222222222224E-4</v>
      </c>
      <c r="E1694" s="6">
        <v>0.4819675925925927</v>
      </c>
      <c r="F1694" s="6"/>
      <c r="G1694" s="4"/>
      <c r="H1694" s="4" t="s">
        <v>81</v>
      </c>
      <c r="I1694" s="4"/>
      <c r="J1694" s="4"/>
      <c r="K1694" s="4"/>
      <c r="L1694" s="4"/>
      <c r="M1694" s="4"/>
      <c r="N1694" s="4"/>
      <c r="O1694" s="51" t="b">
        <v>0</v>
      </c>
      <c r="P1694" s="51" t="b">
        <v>0</v>
      </c>
      <c r="Q1694" s="51" t="b">
        <v>0</v>
      </c>
      <c r="R1694" s="51" t="b">
        <v>0</v>
      </c>
      <c r="S1694" s="51" t="b">
        <v>0</v>
      </c>
    </row>
    <row r="1695">
      <c r="A1695" s="4" t="str">
        <f>IFERROR(__xludf.DUMMYFUNCTION("""COMPUTED_VALUE"""),"18 - Channel 5")</f>
        <v>18 - Channel 5</v>
      </c>
      <c r="B1695" s="4" t="s">
        <v>27</v>
      </c>
      <c r="C1695" s="4">
        <v>0.4819675925925927</v>
      </c>
      <c r="D1695" s="6">
        <v>0.009340277777777777</v>
      </c>
      <c r="E1695" s="6">
        <v>0.4913078703703705</v>
      </c>
      <c r="F1695" s="6" t="s">
        <v>245</v>
      </c>
      <c r="G1695" s="4" t="s">
        <v>2082</v>
      </c>
      <c r="H1695" s="4" t="s">
        <v>2104</v>
      </c>
      <c r="I1695" s="4"/>
      <c r="J1695" s="4"/>
      <c r="K1695" s="4"/>
      <c r="L1695" s="4"/>
      <c r="M1695" s="4" t="s">
        <v>2105</v>
      </c>
      <c r="N1695" s="4"/>
      <c r="O1695" s="51" t="b">
        <v>0</v>
      </c>
      <c r="P1695" s="51" t="b">
        <v>0</v>
      </c>
      <c r="Q1695" s="51" t="b">
        <v>0</v>
      </c>
      <c r="R1695" s="51" t="b">
        <v>0</v>
      </c>
      <c r="S1695" s="51" t="b">
        <v>0</v>
      </c>
    </row>
    <row r="1696" hidden="1">
      <c r="A1696" s="4" t="str">
        <f>IFERROR(__xludf.DUMMYFUNCTION("""COMPUTED_VALUE"""),"19 - Channel 5")</f>
        <v>19 - Channel 5</v>
      </c>
      <c r="B1696" s="4" t="s">
        <v>27</v>
      </c>
      <c r="C1696" s="4">
        <v>0.4913078703703705</v>
      </c>
      <c r="D1696" s="6">
        <v>1.7361111111111112E-4</v>
      </c>
      <c r="E1696" s="6">
        <v>0.49148148148148163</v>
      </c>
      <c r="F1696" s="6"/>
      <c r="G1696" s="4"/>
      <c r="H1696" s="4" t="s">
        <v>85</v>
      </c>
      <c r="I1696" s="4"/>
      <c r="J1696" s="4"/>
      <c r="K1696" s="4"/>
      <c r="L1696" s="4"/>
      <c r="M1696" s="4"/>
      <c r="N1696" s="4"/>
      <c r="O1696" s="51" t="b">
        <v>0</v>
      </c>
      <c r="P1696" s="51" t="b">
        <v>0</v>
      </c>
      <c r="Q1696" s="51" t="b">
        <v>0</v>
      </c>
      <c r="R1696" s="51" t="b">
        <v>0</v>
      </c>
      <c r="S1696" s="51" t="b">
        <v>0</v>
      </c>
    </row>
    <row r="1697">
      <c r="A1697" s="4" t="str">
        <f>IFERROR(__xludf.DUMMYFUNCTION("""COMPUTED_VALUE"""),"343 - Channel 5")</f>
        <v>343 - Channel 5</v>
      </c>
      <c r="B1697" s="4" t="s">
        <v>27</v>
      </c>
      <c r="C1697" s="4">
        <v>0.49148148148148163</v>
      </c>
      <c r="D1697" s="6">
        <v>6.944444444444445E-4</v>
      </c>
      <c r="E1697" s="6">
        <v>0.49217592592592607</v>
      </c>
      <c r="F1697" s="6"/>
      <c r="G1697" s="4"/>
      <c r="H1697" s="4" t="s">
        <v>2102</v>
      </c>
      <c r="I1697" s="4"/>
      <c r="J1697" s="4"/>
      <c r="K1697" s="4"/>
      <c r="L1697" s="4"/>
      <c r="M1697" s="4"/>
      <c r="N1697" s="4"/>
      <c r="O1697" s="51" t="b">
        <v>0</v>
      </c>
      <c r="P1697" s="51" t="b">
        <v>0</v>
      </c>
      <c r="Q1697" s="51" t="b">
        <v>0</v>
      </c>
      <c r="R1697" s="51" t="b">
        <v>0</v>
      </c>
      <c r="S1697" s="51" t="b">
        <v>0</v>
      </c>
    </row>
    <row r="1698" hidden="1">
      <c r="A1698" s="4" t="str">
        <f>IFERROR(__xludf.DUMMYFUNCTION("""COMPUTED_VALUE"""),"20 - Channel 5")</f>
        <v>20 - Channel 5</v>
      </c>
      <c r="B1698" s="4" t="s">
        <v>27</v>
      </c>
      <c r="C1698" s="4">
        <v>0.49217592592592607</v>
      </c>
      <c r="D1698" s="6">
        <v>5.208333333333333E-4</v>
      </c>
      <c r="E1698" s="6">
        <v>0.49269675925925943</v>
      </c>
      <c r="F1698" s="6"/>
      <c r="G1698" s="4"/>
      <c r="H1698" s="4" t="s">
        <v>79</v>
      </c>
      <c r="I1698" s="4"/>
      <c r="J1698" s="4"/>
      <c r="K1698" s="4"/>
      <c r="L1698" s="4"/>
      <c r="M1698" s="4"/>
      <c r="N1698" s="4"/>
      <c r="O1698" s="51" t="b">
        <v>0</v>
      </c>
      <c r="P1698" s="51" t="b">
        <v>0</v>
      </c>
      <c r="Q1698" s="51" t="b">
        <v>0</v>
      </c>
      <c r="R1698" s="51" t="b">
        <v>0</v>
      </c>
      <c r="S1698" s="51" t="b">
        <v>0</v>
      </c>
    </row>
    <row r="1699">
      <c r="A1699" s="4" t="str">
        <f>IFERROR(__xludf.DUMMYFUNCTION("""COMPUTED_VALUE"""),"21 - Channel 5")</f>
        <v>21 - Channel 5</v>
      </c>
      <c r="B1699" s="4" t="s">
        <v>27</v>
      </c>
      <c r="C1699" s="4">
        <v>0.49269675925925943</v>
      </c>
      <c r="D1699" s="6">
        <v>3.4722222222222224E-4</v>
      </c>
      <c r="E1699" s="6">
        <v>0.49304398148148165</v>
      </c>
      <c r="F1699" s="6"/>
      <c r="G1699" s="4"/>
      <c r="H1699" s="4" t="s">
        <v>81</v>
      </c>
      <c r="I1699" s="4"/>
      <c r="J1699" s="4"/>
      <c r="K1699" s="4"/>
      <c r="L1699" s="4"/>
      <c r="M1699" s="4"/>
      <c r="N1699" s="4"/>
      <c r="O1699" s="51" t="b">
        <v>0</v>
      </c>
      <c r="P1699" s="51" t="b">
        <v>0</v>
      </c>
      <c r="Q1699" s="51" t="b">
        <v>0</v>
      </c>
      <c r="R1699" s="51" t="b">
        <v>0</v>
      </c>
      <c r="S1699" s="51" t="b">
        <v>0</v>
      </c>
    </row>
    <row r="1700" hidden="1">
      <c r="A1700" s="4" t="str">
        <f>IFERROR(__xludf.DUMMYFUNCTION("""COMPUTED_VALUE"""),"22 - Channel 5")</f>
        <v>22 - Channel 5</v>
      </c>
      <c r="B1700" s="4" t="s">
        <v>27</v>
      </c>
      <c r="C1700" s="4">
        <v>0.49304398148148165</v>
      </c>
      <c r="D1700" s="6">
        <v>0.006944444444444444</v>
      </c>
      <c r="E1700" s="6">
        <v>0.49998842592592607</v>
      </c>
      <c r="F1700" s="6" t="s">
        <v>210</v>
      </c>
      <c r="G1700" s="4" t="s">
        <v>2082</v>
      </c>
      <c r="H1700" s="4" t="s">
        <v>2110</v>
      </c>
      <c r="I1700" s="4" t="s">
        <v>2111</v>
      </c>
      <c r="J1700" s="4" t="s">
        <v>2112</v>
      </c>
      <c r="K1700" s="4" t="s">
        <v>2113</v>
      </c>
      <c r="L1700" s="4" t="s">
        <v>2114</v>
      </c>
      <c r="M1700" s="4" t="s">
        <v>2115</v>
      </c>
      <c r="N1700" s="4"/>
      <c r="O1700" s="51" t="b">
        <v>0</v>
      </c>
      <c r="P1700" s="51" t="b">
        <v>0</v>
      </c>
      <c r="Q1700" s="51" t="b">
        <v>0</v>
      </c>
      <c r="R1700" s="51" t="b">
        <v>0</v>
      </c>
      <c r="S1700" s="51" t="b">
        <v>0</v>
      </c>
    </row>
    <row r="1701" hidden="1">
      <c r="A1701" s="4" t="str">
        <f>IFERROR(__xludf.DUMMYFUNCTION("""COMPUTED_VALUE"""),"23 - Channel 5")</f>
        <v>23 - Channel 5</v>
      </c>
      <c r="B1701" s="4" t="s">
        <v>27</v>
      </c>
      <c r="C1701" s="4">
        <v>0.49998842592592607</v>
      </c>
      <c r="D1701" s="6">
        <v>1.7361111111111112E-4</v>
      </c>
      <c r="E1701" s="6">
        <v>0.5001620370370372</v>
      </c>
      <c r="F1701" s="6"/>
      <c r="G1701" s="4"/>
      <c r="H1701" s="4" t="s">
        <v>85</v>
      </c>
      <c r="I1701" s="4"/>
      <c r="J1701" s="4"/>
      <c r="K1701" s="4"/>
      <c r="L1701" s="4"/>
      <c r="M1701" s="4"/>
      <c r="N1701" s="4"/>
      <c r="O1701" s="51" t="b">
        <v>0</v>
      </c>
      <c r="P1701" s="51" t="b">
        <v>0</v>
      </c>
      <c r="Q1701" s="51" t="b">
        <v>0</v>
      </c>
      <c r="R1701" s="51" t="b">
        <v>0</v>
      </c>
      <c r="S1701" s="51" t="b">
        <v>0</v>
      </c>
    </row>
    <row r="1702">
      <c r="A1702" s="4" t="str">
        <f>IFERROR(__xludf.DUMMYFUNCTION("""COMPUTED_VALUE"""),"25 - Channel 5")</f>
        <v>25 - Channel 5</v>
      </c>
      <c r="B1702" s="4" t="s">
        <v>27</v>
      </c>
      <c r="C1702" s="4">
        <v>0.5001620370370372</v>
      </c>
      <c r="D1702" s="6">
        <v>3.4722222222222224E-4</v>
      </c>
      <c r="E1702" s="6">
        <v>0.5005092592592595</v>
      </c>
      <c r="F1702" s="6"/>
      <c r="G1702" s="4"/>
      <c r="H1702" s="4" t="s">
        <v>81</v>
      </c>
      <c r="I1702" s="4"/>
      <c r="J1702" s="4"/>
      <c r="K1702" s="4"/>
      <c r="L1702" s="4"/>
      <c r="M1702" s="4"/>
      <c r="N1702" s="4"/>
      <c r="O1702" s="51" t="b">
        <v>0</v>
      </c>
      <c r="P1702" s="51" t="b">
        <v>0</v>
      </c>
      <c r="Q1702" s="51" t="b">
        <v>0</v>
      </c>
      <c r="R1702" s="51" t="b">
        <v>0</v>
      </c>
      <c r="S1702" s="51" t="b">
        <v>0</v>
      </c>
    </row>
    <row r="1703" hidden="1">
      <c r="A1703" s="4" t="str">
        <f>IFERROR(__xludf.DUMMYFUNCTION("""COMPUTED_VALUE"""),"26 - Channel 5")</f>
        <v>26 - Channel 5</v>
      </c>
      <c r="B1703" s="4" t="s">
        <v>27</v>
      </c>
      <c r="C1703" s="4">
        <v>0.5005092592592595</v>
      </c>
      <c r="D1703" s="6">
        <v>0.015509259259259259</v>
      </c>
      <c r="E1703" s="6">
        <v>0.5160185185185188</v>
      </c>
      <c r="F1703" s="6" t="s">
        <v>210</v>
      </c>
      <c r="G1703" s="4" t="s">
        <v>2082</v>
      </c>
      <c r="H1703" s="4" t="s">
        <v>2118</v>
      </c>
      <c r="I1703" s="4"/>
      <c r="J1703" s="4"/>
      <c r="K1703" s="4"/>
      <c r="L1703" s="4"/>
      <c r="M1703" s="4" t="s">
        <v>2119</v>
      </c>
      <c r="N1703" s="4"/>
      <c r="O1703" s="51" t="b">
        <v>0</v>
      </c>
      <c r="P1703" s="51" t="b">
        <v>0</v>
      </c>
      <c r="Q1703" s="51" t="b">
        <v>0</v>
      </c>
      <c r="R1703" s="51" t="b">
        <v>0</v>
      </c>
      <c r="S1703" s="51" t="b">
        <v>0</v>
      </c>
    </row>
    <row r="1704">
      <c r="A1704" s="4" t="str">
        <f>IFERROR(__xludf.DUMMYFUNCTION("""COMPUTED_VALUE"""),"27 - Channel 5")</f>
        <v>27 - Channel 5</v>
      </c>
      <c r="B1704" s="4" t="s">
        <v>27</v>
      </c>
      <c r="C1704" s="4">
        <v>0.5160185185185188</v>
      </c>
      <c r="D1704" s="6">
        <v>1.7361111111111112E-4</v>
      </c>
      <c r="E1704" s="6">
        <v>0.5161921296296299</v>
      </c>
      <c r="F1704" s="6"/>
      <c r="G1704" s="4"/>
      <c r="H1704" s="4" t="s">
        <v>85</v>
      </c>
      <c r="I1704" s="4"/>
      <c r="J1704" s="4"/>
      <c r="K1704" s="4"/>
      <c r="L1704" s="4"/>
      <c r="M1704" s="4"/>
      <c r="N1704" s="4"/>
      <c r="O1704" s="51" t="b">
        <v>0</v>
      </c>
      <c r="P1704" s="51" t="b">
        <v>0</v>
      </c>
      <c r="Q1704" s="51" t="b">
        <v>0</v>
      </c>
      <c r="R1704" s="51" t="b">
        <v>0</v>
      </c>
      <c r="S1704" s="51" t="b">
        <v>0</v>
      </c>
    </row>
    <row r="1705">
      <c r="A1705" s="4" t="str">
        <f>IFERROR(__xludf.DUMMYFUNCTION("""COMPUTED_VALUE"""),"285 - Channel 5")</f>
        <v>285 - Channel 5</v>
      </c>
      <c r="B1705" s="4" t="s">
        <v>27</v>
      </c>
      <c r="C1705" s="4">
        <v>0.5161921296296299</v>
      </c>
      <c r="D1705" s="6">
        <v>3.4722222222222224E-4</v>
      </c>
      <c r="E1705" s="6">
        <v>0.5165393518518522</v>
      </c>
      <c r="F1705" s="6"/>
      <c r="G1705" s="4"/>
      <c r="H1705" s="4" t="s">
        <v>89</v>
      </c>
      <c r="I1705" s="4"/>
      <c r="J1705" s="4"/>
      <c r="K1705" s="4"/>
      <c r="L1705" s="4"/>
      <c r="M1705" s="4"/>
      <c r="N1705" s="4"/>
      <c r="O1705" s="51" t="b">
        <v>0</v>
      </c>
      <c r="P1705" s="51" t="b">
        <v>0</v>
      </c>
      <c r="Q1705" s="51" t="b">
        <v>0</v>
      </c>
      <c r="R1705" s="51" t="b">
        <v>0</v>
      </c>
      <c r="S1705" s="51" t="b">
        <v>0</v>
      </c>
    </row>
    <row r="1706" hidden="1">
      <c r="A1706" s="4" t="str">
        <f>IFERROR(__xludf.DUMMYFUNCTION("""COMPUTED_VALUE"""),"29 - Channel 5")</f>
        <v>29 - Channel 5</v>
      </c>
      <c r="B1706" s="4" t="s">
        <v>27</v>
      </c>
      <c r="C1706" s="4">
        <v>0.5165393518518522</v>
      </c>
      <c r="D1706" s="6">
        <v>3.4722222222222224E-4</v>
      </c>
      <c r="E1706" s="6">
        <v>0.5168865740740745</v>
      </c>
      <c r="F1706" s="6"/>
      <c r="G1706" s="4"/>
      <c r="H1706" s="4" t="s">
        <v>81</v>
      </c>
      <c r="I1706" s="4"/>
      <c r="J1706" s="4"/>
      <c r="K1706" s="4"/>
      <c r="L1706" s="4"/>
      <c r="M1706" s="4"/>
      <c r="N1706" s="4"/>
      <c r="O1706" s="51" t="b">
        <v>0</v>
      </c>
      <c r="P1706" s="51" t="b">
        <v>0</v>
      </c>
      <c r="Q1706" s="51" t="b">
        <v>0</v>
      </c>
      <c r="R1706" s="51" t="b">
        <v>0</v>
      </c>
      <c r="S1706" s="51" t="b">
        <v>0</v>
      </c>
    </row>
    <row r="1707">
      <c r="A1707" s="4" t="str">
        <f>IFERROR(__xludf.DUMMYFUNCTION("""COMPUTED_VALUE"""),"30 - Channel 5")</f>
        <v>30 - Channel 5</v>
      </c>
      <c r="B1707" s="4" t="s">
        <v>27</v>
      </c>
      <c r="C1707" s="4">
        <v>0.5168865740740745</v>
      </c>
      <c r="D1707" s="6">
        <v>0.015439814814814814</v>
      </c>
      <c r="E1707" s="6">
        <v>0.5323263888888893</v>
      </c>
      <c r="F1707" s="6" t="s">
        <v>164</v>
      </c>
      <c r="G1707" s="4" t="s">
        <v>2082</v>
      </c>
      <c r="H1707" s="4" t="s">
        <v>2120</v>
      </c>
      <c r="I1707" s="4"/>
      <c r="J1707" s="4"/>
      <c r="K1707" s="4"/>
      <c r="L1707" s="4"/>
      <c r="M1707" s="4" t="s">
        <v>2121</v>
      </c>
      <c r="N1707" s="4"/>
      <c r="O1707" s="51" t="b">
        <v>0</v>
      </c>
      <c r="P1707" s="51" t="b">
        <v>0</v>
      </c>
      <c r="Q1707" s="51" t="b">
        <v>0</v>
      </c>
      <c r="R1707" s="51" t="b">
        <v>0</v>
      </c>
      <c r="S1707" s="51" t="b">
        <v>0</v>
      </c>
    </row>
    <row r="1708" hidden="1">
      <c r="A1708" s="4" t="str">
        <f>IFERROR(__xludf.DUMMYFUNCTION("""COMPUTED_VALUE"""),"31 - Channel 5")</f>
        <v>31 - Channel 5</v>
      </c>
      <c r="B1708" s="4" t="s">
        <v>27</v>
      </c>
      <c r="C1708" s="4">
        <v>0.5323263888888893</v>
      </c>
      <c r="D1708" s="6">
        <v>1.7361111111111112E-4</v>
      </c>
      <c r="E1708" s="6">
        <v>0.5325000000000004</v>
      </c>
      <c r="F1708" s="6"/>
      <c r="G1708" s="4"/>
      <c r="H1708" s="4" t="s">
        <v>85</v>
      </c>
      <c r="I1708" s="4"/>
      <c r="J1708" s="4"/>
      <c r="K1708" s="4"/>
      <c r="L1708" s="4"/>
      <c r="M1708" s="4"/>
      <c r="N1708" s="4"/>
      <c r="O1708" s="51" t="b">
        <v>0</v>
      </c>
      <c r="P1708" s="51" t="b">
        <v>0</v>
      </c>
      <c r="Q1708" s="51" t="b">
        <v>0</v>
      </c>
      <c r="R1708" s="51" t="b">
        <v>0</v>
      </c>
      <c r="S1708" s="51" t="b">
        <v>0</v>
      </c>
    </row>
    <row r="1709">
      <c r="A1709" s="4" t="str">
        <f>IFERROR(__xludf.DUMMYFUNCTION("""COMPUTED_VALUE"""),"32 - Channel 5")</f>
        <v>32 - Channel 5</v>
      </c>
      <c r="B1709" s="4" t="s">
        <v>27</v>
      </c>
      <c r="C1709" s="4">
        <v>0.5325000000000004</v>
      </c>
      <c r="D1709" s="6">
        <v>3.4722222222222224E-4</v>
      </c>
      <c r="E1709" s="6">
        <v>0.5328472222222227</v>
      </c>
      <c r="F1709" s="6"/>
      <c r="G1709" s="4"/>
      <c r="H1709" s="4" t="s">
        <v>2102</v>
      </c>
      <c r="I1709" s="4"/>
      <c r="J1709" s="4"/>
      <c r="K1709" s="4"/>
      <c r="L1709" s="4"/>
      <c r="M1709" s="4"/>
      <c r="N1709" s="4"/>
      <c r="O1709" s="51" t="b">
        <v>0</v>
      </c>
      <c r="P1709" s="51" t="b">
        <v>0</v>
      </c>
      <c r="Q1709" s="51" t="b">
        <v>0</v>
      </c>
      <c r="R1709" s="51" t="b">
        <v>0</v>
      </c>
      <c r="S1709" s="51" t="b">
        <v>0</v>
      </c>
    </row>
    <row r="1710" hidden="1">
      <c r="A1710" s="4" t="str">
        <f>IFERROR(__xludf.DUMMYFUNCTION("""COMPUTED_VALUE"""),"33 - Channel 5")</f>
        <v>33 - Channel 5</v>
      </c>
      <c r="B1710" s="4" t="s">
        <v>27</v>
      </c>
      <c r="C1710" s="4">
        <v>0.5328472222222227</v>
      </c>
      <c r="D1710" s="6">
        <v>3.4722222222222224E-4</v>
      </c>
      <c r="E1710" s="6">
        <v>0.533194444444445</v>
      </c>
      <c r="F1710" s="6"/>
      <c r="G1710" s="4"/>
      <c r="H1710" s="4" t="s">
        <v>89</v>
      </c>
      <c r="I1710" s="4"/>
      <c r="J1710" s="4"/>
      <c r="K1710" s="4"/>
      <c r="L1710" s="4"/>
      <c r="M1710" s="4"/>
      <c r="N1710" s="4"/>
      <c r="O1710" s="51" t="b">
        <v>0</v>
      </c>
      <c r="P1710" s="51" t="b">
        <v>0</v>
      </c>
      <c r="Q1710" s="51" t="b">
        <v>0</v>
      </c>
      <c r="R1710" s="51" t="b">
        <v>0</v>
      </c>
      <c r="S1710" s="51" t="b">
        <v>0</v>
      </c>
    </row>
    <row r="1711">
      <c r="A1711" s="4" t="str">
        <f>IFERROR(__xludf.DUMMYFUNCTION("""COMPUTED_VALUE"""),"34 - Channel 5")</f>
        <v>34 - Channel 5</v>
      </c>
      <c r="B1711" s="4" t="s">
        <v>27</v>
      </c>
      <c r="C1711" s="4">
        <v>0.533194444444445</v>
      </c>
      <c r="D1711" s="6">
        <v>3.4722222222222224E-4</v>
      </c>
      <c r="E1711" s="6">
        <v>0.5335416666666672</v>
      </c>
      <c r="F1711" s="6"/>
      <c r="G1711" s="4"/>
      <c r="H1711" s="4" t="s">
        <v>81</v>
      </c>
      <c r="I1711" s="4"/>
      <c r="J1711" s="4"/>
      <c r="K1711" s="4"/>
      <c r="L1711" s="4"/>
      <c r="M1711" s="4"/>
      <c r="N1711" s="4"/>
      <c r="O1711" s="51" t="b">
        <v>0</v>
      </c>
      <c r="P1711" s="51" t="b">
        <v>0</v>
      </c>
      <c r="Q1711" s="51" t="b">
        <v>0</v>
      </c>
      <c r="R1711" s="51" t="b">
        <v>0</v>
      </c>
      <c r="S1711" s="51" t="b">
        <v>0</v>
      </c>
    </row>
    <row r="1712" hidden="1">
      <c r="A1712" s="4" t="str">
        <f>IFERROR(__xludf.DUMMYFUNCTION("""COMPUTED_VALUE"""),"35 - Channel 5")</f>
        <v>35 - Channel 5</v>
      </c>
      <c r="B1712" s="4" t="s">
        <v>27</v>
      </c>
      <c r="C1712" s="4">
        <v>0.5335416666666672</v>
      </c>
      <c r="D1712" s="6">
        <v>0.006944444444444444</v>
      </c>
      <c r="E1712" s="6">
        <v>0.5404861111111117</v>
      </c>
      <c r="F1712" s="6" t="s">
        <v>398</v>
      </c>
      <c r="G1712" s="4" t="s">
        <v>2082</v>
      </c>
      <c r="H1712" s="4" t="s">
        <v>2125</v>
      </c>
      <c r="I1712" s="4" t="s">
        <v>2126</v>
      </c>
      <c r="J1712" s="4" t="s">
        <v>2127</v>
      </c>
      <c r="K1712" s="4" t="s">
        <v>579</v>
      </c>
      <c r="L1712" s="4" t="s">
        <v>2128</v>
      </c>
      <c r="M1712" s="4" t="s">
        <v>2129</v>
      </c>
      <c r="N1712" s="4"/>
      <c r="O1712" s="51" t="b">
        <v>0</v>
      </c>
      <c r="P1712" s="51" t="b">
        <v>0</v>
      </c>
      <c r="Q1712" s="51" t="b">
        <v>0</v>
      </c>
      <c r="R1712" s="51" t="b">
        <v>0</v>
      </c>
      <c r="S1712" s="51" t="b">
        <v>0</v>
      </c>
    </row>
    <row r="1713" hidden="1">
      <c r="A1713" s="4" t="str">
        <f>IFERROR(__xludf.DUMMYFUNCTION("""COMPUTED_VALUE"""),"36 - Channel 5")</f>
        <v>36 - Channel 5</v>
      </c>
      <c r="B1713" s="4" t="s">
        <v>27</v>
      </c>
      <c r="C1713" s="4">
        <v>0.5404861111111117</v>
      </c>
      <c r="D1713" s="6">
        <v>1.7361111111111112E-4</v>
      </c>
      <c r="E1713" s="6">
        <v>0.5406597222222228</v>
      </c>
      <c r="F1713" s="6"/>
      <c r="G1713" s="4"/>
      <c r="H1713" s="4" t="s">
        <v>85</v>
      </c>
      <c r="I1713" s="4"/>
      <c r="J1713" s="4"/>
      <c r="K1713" s="4"/>
      <c r="L1713" s="4"/>
      <c r="M1713" s="4"/>
      <c r="N1713" s="4"/>
      <c r="O1713" s="51" t="b">
        <v>0</v>
      </c>
      <c r="P1713" s="51" t="b">
        <v>0</v>
      </c>
      <c r="Q1713" s="51" t="b">
        <v>0</v>
      </c>
      <c r="R1713" s="51" t="b">
        <v>0</v>
      </c>
      <c r="S1713" s="51" t="b">
        <v>0</v>
      </c>
    </row>
    <row r="1714">
      <c r="A1714" s="4" t="str">
        <f>IFERROR(__xludf.DUMMYFUNCTION("""COMPUTED_VALUE"""),"282 - Channel 5")</f>
        <v>282 - Channel 5</v>
      </c>
      <c r="B1714" s="4" t="s">
        <v>27</v>
      </c>
      <c r="C1714" s="4">
        <v>0.5406597222222228</v>
      </c>
      <c r="D1714" s="6">
        <v>3.4722222222222224E-4</v>
      </c>
      <c r="E1714" s="6">
        <v>0.5410069444444451</v>
      </c>
      <c r="F1714" s="6"/>
      <c r="G1714" s="4"/>
      <c r="H1714" s="4" t="s">
        <v>89</v>
      </c>
      <c r="I1714" s="4"/>
      <c r="J1714" s="4"/>
      <c r="K1714" s="4"/>
      <c r="L1714" s="4"/>
      <c r="M1714" s="4"/>
      <c r="N1714" s="4"/>
      <c r="O1714" s="51" t="b">
        <v>0</v>
      </c>
      <c r="P1714" s="51" t="b">
        <v>0</v>
      </c>
      <c r="Q1714" s="51" t="b">
        <v>0</v>
      </c>
      <c r="R1714" s="51" t="b">
        <v>0</v>
      </c>
      <c r="S1714" s="51" t="b">
        <v>0</v>
      </c>
    </row>
    <row r="1715" hidden="1">
      <c r="A1715" s="4" t="str">
        <f>IFERROR(__xludf.DUMMYFUNCTION("""COMPUTED_VALUE"""),"38 - Channel 5")</f>
        <v>38 - Channel 5</v>
      </c>
      <c r="B1715" s="4" t="s">
        <v>27</v>
      </c>
      <c r="C1715" s="4">
        <v>0.5410069444444451</v>
      </c>
      <c r="D1715" s="6">
        <v>3.4722222222222224E-4</v>
      </c>
      <c r="E1715" s="6">
        <v>0.5413541666666674</v>
      </c>
      <c r="F1715" s="6"/>
      <c r="G1715" s="4"/>
      <c r="H1715" s="4" t="s">
        <v>81</v>
      </c>
      <c r="I1715" s="4"/>
      <c r="J1715" s="4"/>
      <c r="K1715" s="4"/>
      <c r="L1715" s="4"/>
      <c r="M1715" s="4"/>
      <c r="N1715" s="4"/>
      <c r="O1715" s="51" t="b">
        <v>0</v>
      </c>
      <c r="P1715" s="51" t="b">
        <v>0</v>
      </c>
      <c r="Q1715" s="51" t="b">
        <v>0</v>
      </c>
      <c r="R1715" s="51" t="b">
        <v>0</v>
      </c>
      <c r="S1715" s="51" t="b">
        <v>0</v>
      </c>
    </row>
    <row r="1716">
      <c r="A1716" s="4" t="str">
        <f>IFERROR(__xludf.DUMMYFUNCTION("""COMPUTED_VALUE"""),"39 - Channel 5")</f>
        <v>39 - Channel 5</v>
      </c>
      <c r="B1716" s="4" t="s">
        <v>27</v>
      </c>
      <c r="C1716" s="4">
        <v>0.5413541666666674</v>
      </c>
      <c r="D1716" s="6">
        <v>0.02457175925925926</v>
      </c>
      <c r="E1716" s="6">
        <v>0.5659259259259266</v>
      </c>
      <c r="F1716" s="6" t="s">
        <v>358</v>
      </c>
      <c r="G1716" s="4" t="s">
        <v>2082</v>
      </c>
      <c r="H1716" s="4" t="s">
        <v>2132</v>
      </c>
      <c r="I1716" s="4"/>
      <c r="J1716" s="4"/>
      <c r="K1716" s="4"/>
      <c r="L1716" s="4"/>
      <c r="M1716" s="4" t="s">
        <v>2134</v>
      </c>
      <c r="N1716" s="4"/>
      <c r="O1716" s="51" t="b">
        <v>0</v>
      </c>
      <c r="P1716" s="51" t="b">
        <v>0</v>
      </c>
      <c r="Q1716" s="51" t="b">
        <v>0</v>
      </c>
      <c r="R1716" s="51" t="b">
        <v>0</v>
      </c>
      <c r="S1716" s="51" t="b">
        <v>0</v>
      </c>
    </row>
    <row r="1717" hidden="1">
      <c r="A1717" s="4" t="str">
        <f>IFERROR(__xludf.DUMMYFUNCTION("""COMPUTED_VALUE"""),"40 - Channel 5")</f>
        <v>40 - Channel 5</v>
      </c>
      <c r="B1717" s="4" t="s">
        <v>27</v>
      </c>
      <c r="C1717" s="4">
        <v>0.5659259259259266</v>
      </c>
      <c r="D1717" s="6">
        <v>1.7361111111111112E-4</v>
      </c>
      <c r="E1717" s="6">
        <v>0.5660995370370377</v>
      </c>
      <c r="F1717" s="6"/>
      <c r="G1717" s="4"/>
      <c r="H1717" s="4" t="s">
        <v>85</v>
      </c>
      <c r="I1717" s="4"/>
      <c r="J1717" s="4"/>
      <c r="K1717" s="4"/>
      <c r="L1717" s="4"/>
      <c r="M1717" s="4"/>
      <c r="N1717" s="4"/>
      <c r="O1717" s="51" t="b">
        <v>0</v>
      </c>
      <c r="P1717" s="51" t="b">
        <v>0</v>
      </c>
      <c r="Q1717" s="51" t="b">
        <v>0</v>
      </c>
      <c r="R1717" s="51" t="b">
        <v>0</v>
      </c>
      <c r="S1717" s="51" t="b">
        <v>0</v>
      </c>
    </row>
    <row r="1718">
      <c r="A1718" s="4" t="str">
        <f>IFERROR(__xludf.DUMMYFUNCTION("""COMPUTED_VALUE"""),"42 - Channel 5")</f>
        <v>42 - Channel 5</v>
      </c>
      <c r="B1718" s="4" t="s">
        <v>27</v>
      </c>
      <c r="C1718" s="4">
        <v>0.5660995370370377</v>
      </c>
      <c r="D1718" s="6">
        <v>3.4722222222222224E-4</v>
      </c>
      <c r="E1718" s="6">
        <v>0.56644675925926</v>
      </c>
      <c r="F1718" s="6"/>
      <c r="G1718" s="4"/>
      <c r="H1718" s="4" t="s">
        <v>81</v>
      </c>
      <c r="I1718" s="4"/>
      <c r="J1718" s="4"/>
      <c r="K1718" s="4"/>
      <c r="L1718" s="4"/>
      <c r="M1718" s="4"/>
      <c r="N1718" s="4"/>
      <c r="O1718" s="51" t="b">
        <v>0</v>
      </c>
      <c r="P1718" s="51" t="b">
        <v>0</v>
      </c>
      <c r="Q1718" s="51" t="b">
        <v>0</v>
      </c>
      <c r="R1718" s="51" t="b">
        <v>0</v>
      </c>
      <c r="S1718" s="51" t="b">
        <v>0</v>
      </c>
    </row>
    <row r="1719" hidden="1">
      <c r="A1719" s="4" t="str">
        <f>IFERROR(__xludf.DUMMYFUNCTION("""COMPUTED_VALUE"""),"43 - Channel 5")</f>
        <v>43 - Channel 5</v>
      </c>
      <c r="B1719" s="4" t="s">
        <v>27</v>
      </c>
      <c r="C1719" s="4">
        <v>0.56644675925926</v>
      </c>
      <c r="D1719" s="6">
        <v>0.015532407407407408</v>
      </c>
      <c r="E1719" s="6">
        <v>0.5819791666666674</v>
      </c>
      <c r="F1719" s="6" t="s">
        <v>358</v>
      </c>
      <c r="G1719" s="4" t="s">
        <v>2082</v>
      </c>
      <c r="H1719" s="4" t="s">
        <v>2137</v>
      </c>
      <c r="I1719" s="4"/>
      <c r="J1719" s="4"/>
      <c r="K1719" s="4"/>
      <c r="L1719" s="4"/>
      <c r="M1719" s="4" t="s">
        <v>2138</v>
      </c>
      <c r="N1719" s="4"/>
      <c r="O1719" s="51" t="b">
        <v>0</v>
      </c>
      <c r="P1719" s="51" t="b">
        <v>0</v>
      </c>
      <c r="Q1719" s="51" t="b">
        <v>0</v>
      </c>
      <c r="R1719" s="51" t="b">
        <v>0</v>
      </c>
      <c r="S1719" s="51" t="b">
        <v>0</v>
      </c>
    </row>
    <row r="1720">
      <c r="A1720" s="4" t="str">
        <f>IFERROR(__xludf.DUMMYFUNCTION("""COMPUTED_VALUE"""),"44 - Channel 5")</f>
        <v>44 - Channel 5</v>
      </c>
      <c r="B1720" s="4" t="s">
        <v>27</v>
      </c>
      <c r="C1720" s="4">
        <v>0.5819791666666674</v>
      </c>
      <c r="D1720" s="6">
        <v>1.7361111111111112E-4</v>
      </c>
      <c r="E1720" s="6">
        <v>0.5821527777777785</v>
      </c>
      <c r="F1720" s="6"/>
      <c r="G1720" s="4"/>
      <c r="H1720" s="4" t="s">
        <v>85</v>
      </c>
      <c r="I1720" s="4"/>
      <c r="J1720" s="4"/>
      <c r="K1720" s="4"/>
      <c r="L1720" s="4"/>
      <c r="M1720" s="4"/>
      <c r="N1720" s="4"/>
      <c r="O1720" s="51" t="b">
        <v>0</v>
      </c>
      <c r="P1720" s="51" t="b">
        <v>0</v>
      </c>
      <c r="Q1720" s="51" t="b">
        <v>0</v>
      </c>
      <c r="R1720" s="51" t="b">
        <v>0</v>
      </c>
      <c r="S1720" s="51" t="b">
        <v>0</v>
      </c>
    </row>
    <row r="1721">
      <c r="A1721" s="4" t="str">
        <f>IFERROR(__xludf.DUMMYFUNCTION("""COMPUTED_VALUE"""),"344 - Channel 5")</f>
        <v>344 - Channel 5</v>
      </c>
      <c r="B1721" s="4" t="s">
        <v>27</v>
      </c>
      <c r="C1721" s="4">
        <v>0.5821527777777785</v>
      </c>
      <c r="D1721" s="6">
        <v>6.944444444444445E-4</v>
      </c>
      <c r="E1721" s="6">
        <v>0.582847222222223</v>
      </c>
      <c r="F1721" s="6"/>
      <c r="G1721" s="4"/>
      <c r="H1721" s="4" t="s">
        <v>2102</v>
      </c>
      <c r="I1721" s="4"/>
      <c r="J1721" s="4"/>
      <c r="K1721" s="4"/>
      <c r="L1721" s="4"/>
      <c r="M1721" s="4"/>
      <c r="N1721" s="4"/>
      <c r="O1721" s="51" t="b">
        <v>0</v>
      </c>
      <c r="P1721" s="51" t="b">
        <v>0</v>
      </c>
      <c r="Q1721" s="51" t="b">
        <v>0</v>
      </c>
      <c r="R1721" s="51" t="b">
        <v>0</v>
      </c>
      <c r="S1721" s="51" t="b">
        <v>0</v>
      </c>
    </row>
    <row r="1722" hidden="1">
      <c r="A1722" s="4" t="str">
        <f>IFERROR(__xludf.DUMMYFUNCTION("""COMPUTED_VALUE"""),"45 - Channel 5")</f>
        <v>45 - Channel 5</v>
      </c>
      <c r="B1722" s="4" t="s">
        <v>27</v>
      </c>
      <c r="C1722" s="4">
        <v>0.582847222222223</v>
      </c>
      <c r="D1722" s="6">
        <v>5.208333333333333E-4</v>
      </c>
      <c r="E1722" s="6">
        <v>0.5833680555555563</v>
      </c>
      <c r="F1722" s="6"/>
      <c r="G1722" s="4"/>
      <c r="H1722" s="4" t="s">
        <v>2140</v>
      </c>
      <c r="I1722" s="4"/>
      <c r="J1722" s="4"/>
      <c r="K1722" s="4"/>
      <c r="L1722" s="4"/>
      <c r="M1722" s="4"/>
      <c r="N1722" s="4"/>
      <c r="O1722" s="51" t="b">
        <v>0</v>
      </c>
      <c r="P1722" s="51" t="b">
        <v>0</v>
      </c>
      <c r="Q1722" s="51" t="b">
        <v>0</v>
      </c>
      <c r="R1722" s="51" t="b">
        <v>0</v>
      </c>
      <c r="S1722" s="51" t="b">
        <v>0</v>
      </c>
    </row>
    <row r="1723">
      <c r="A1723" s="4" t="str">
        <f>IFERROR(__xludf.DUMMYFUNCTION("""COMPUTED_VALUE"""),"46 - Channel 5")</f>
        <v>46 - Channel 5</v>
      </c>
      <c r="B1723" s="4" t="s">
        <v>27</v>
      </c>
      <c r="C1723" s="4">
        <v>0.5833680555555563</v>
      </c>
      <c r="D1723" s="6">
        <v>3.4722222222222224E-4</v>
      </c>
      <c r="E1723" s="6">
        <v>0.5837152777777785</v>
      </c>
      <c r="F1723" s="6"/>
      <c r="G1723" s="4"/>
      <c r="H1723" s="4" t="s">
        <v>81</v>
      </c>
      <c r="I1723" s="4"/>
      <c r="J1723" s="4"/>
      <c r="K1723" s="4"/>
      <c r="L1723" s="4"/>
      <c r="M1723" s="4"/>
      <c r="N1723" s="4"/>
      <c r="O1723" s="51" t="b">
        <v>0</v>
      </c>
      <c r="P1723" s="51" t="b">
        <v>0</v>
      </c>
      <c r="Q1723" s="51" t="b">
        <v>0</v>
      </c>
      <c r="R1723" s="51" t="b">
        <v>0</v>
      </c>
      <c r="S1723" s="51" t="b">
        <v>0</v>
      </c>
    </row>
    <row r="1724" hidden="1">
      <c r="A1724" s="4" t="str">
        <f>IFERROR(__xludf.DUMMYFUNCTION("""COMPUTED_VALUE"""),"47 - Channel 5")</f>
        <v>47 - Channel 5</v>
      </c>
      <c r="B1724" s="4" t="s">
        <v>27</v>
      </c>
      <c r="C1724" s="4">
        <v>0.5837152777777785</v>
      </c>
      <c r="D1724" s="6">
        <v>0.006944444444444444</v>
      </c>
      <c r="E1724" s="6">
        <v>0.590659722222223</v>
      </c>
      <c r="F1724" s="6" t="s">
        <v>737</v>
      </c>
      <c r="G1724" s="4" t="s">
        <v>2082</v>
      </c>
      <c r="H1724" s="4" t="s">
        <v>2142</v>
      </c>
      <c r="I1724" s="4" t="s">
        <v>2143</v>
      </c>
      <c r="J1724" s="4" t="s">
        <v>2144</v>
      </c>
      <c r="K1724" s="4" t="s">
        <v>2145</v>
      </c>
      <c r="L1724" s="4" t="s">
        <v>2146</v>
      </c>
      <c r="M1724" s="4" t="s">
        <v>2147</v>
      </c>
      <c r="N1724" s="4"/>
      <c r="O1724" s="51" t="b">
        <v>0</v>
      </c>
      <c r="P1724" s="51" t="b">
        <v>0</v>
      </c>
      <c r="Q1724" s="51" t="b">
        <v>0</v>
      </c>
      <c r="R1724" s="51" t="b">
        <v>0</v>
      </c>
      <c r="S1724" s="51" t="b">
        <v>0</v>
      </c>
    </row>
    <row r="1725" hidden="1">
      <c r="A1725" s="4" t="str">
        <f>IFERROR(__xludf.DUMMYFUNCTION("""COMPUTED_VALUE"""),"48 - Channel 5")</f>
        <v>48 - Channel 5</v>
      </c>
      <c r="B1725" s="4" t="s">
        <v>27</v>
      </c>
      <c r="C1725" s="4">
        <v>0.590659722222223</v>
      </c>
      <c r="D1725" s="6">
        <v>1.7361111111111112E-4</v>
      </c>
      <c r="E1725" s="6">
        <v>0.5908333333333341</v>
      </c>
      <c r="F1725" s="6"/>
      <c r="G1725" s="4"/>
      <c r="H1725" s="4" t="s">
        <v>85</v>
      </c>
      <c r="I1725" s="4"/>
      <c r="J1725" s="4"/>
      <c r="K1725" s="4"/>
      <c r="L1725" s="4"/>
      <c r="M1725" s="4"/>
      <c r="N1725" s="4"/>
      <c r="O1725" s="51" t="b">
        <v>0</v>
      </c>
      <c r="P1725" s="51" t="b">
        <v>0</v>
      </c>
      <c r="Q1725" s="51" t="b">
        <v>0</v>
      </c>
      <c r="R1725" s="51" t="b">
        <v>0</v>
      </c>
      <c r="S1725" s="51" t="b">
        <v>0</v>
      </c>
    </row>
    <row r="1726">
      <c r="A1726" s="4" t="str">
        <f>IFERROR(__xludf.DUMMYFUNCTION("""COMPUTED_VALUE"""),"49 - Channel 5")</f>
        <v>49 - Channel 5</v>
      </c>
      <c r="B1726" s="4" t="s">
        <v>27</v>
      </c>
      <c r="C1726" s="4">
        <v>0.5908333333333341</v>
      </c>
      <c r="D1726" s="6">
        <v>3.4722222222222224E-4</v>
      </c>
      <c r="E1726" s="6">
        <v>0.5911805555555564</v>
      </c>
      <c r="F1726" s="6"/>
      <c r="G1726" s="4"/>
      <c r="H1726" s="4" t="s">
        <v>81</v>
      </c>
      <c r="I1726" s="4"/>
      <c r="J1726" s="4"/>
      <c r="K1726" s="4"/>
      <c r="L1726" s="4"/>
      <c r="M1726" s="4"/>
      <c r="N1726" s="4"/>
      <c r="O1726" s="51" t="b">
        <v>0</v>
      </c>
      <c r="P1726" s="51" t="b">
        <v>0</v>
      </c>
      <c r="Q1726" s="51" t="b">
        <v>0</v>
      </c>
      <c r="R1726" s="51" t="b">
        <v>0</v>
      </c>
      <c r="S1726" s="51" t="b">
        <v>0</v>
      </c>
    </row>
    <row r="1727" hidden="1">
      <c r="A1727" s="4" t="str">
        <f>IFERROR(__xludf.DUMMYFUNCTION("""COMPUTED_VALUE"""),"50 - Channel 5")</f>
        <v>50 - Channel 5</v>
      </c>
      <c r="B1727" s="4" t="s">
        <v>27</v>
      </c>
      <c r="C1727" s="4">
        <v>0.5911805555555564</v>
      </c>
      <c r="D1727" s="6">
        <v>0.010972222222222222</v>
      </c>
      <c r="E1727" s="6">
        <v>0.6021527777777786</v>
      </c>
      <c r="F1727" s="6" t="s">
        <v>151</v>
      </c>
      <c r="G1727" s="4" t="s">
        <v>2082</v>
      </c>
      <c r="H1727" s="4" t="s">
        <v>2151</v>
      </c>
      <c r="I1727" s="4"/>
      <c r="J1727" s="4"/>
      <c r="K1727" s="4"/>
      <c r="L1727" s="4"/>
      <c r="M1727" s="4" t="s">
        <v>2152</v>
      </c>
      <c r="N1727" s="4"/>
      <c r="O1727" s="51" t="b">
        <v>0</v>
      </c>
      <c r="P1727" s="51" t="b">
        <v>0</v>
      </c>
      <c r="Q1727" s="51" t="b">
        <v>0</v>
      </c>
      <c r="R1727" s="51" t="b">
        <v>0</v>
      </c>
      <c r="S1727" s="51" t="b">
        <v>0</v>
      </c>
    </row>
    <row r="1728">
      <c r="A1728" s="4" t="str">
        <f>IFERROR(__xludf.DUMMYFUNCTION("""COMPUTED_VALUE"""),"51 - Channel 5")</f>
        <v>51 - Channel 5</v>
      </c>
      <c r="B1728" s="4" t="s">
        <v>27</v>
      </c>
      <c r="C1728" s="4">
        <v>0.6021527777777786</v>
      </c>
      <c r="D1728" s="6">
        <v>1.7361111111111112E-4</v>
      </c>
      <c r="E1728" s="6">
        <v>0.6023263888888898</v>
      </c>
      <c r="F1728" s="6"/>
      <c r="G1728" s="4"/>
      <c r="H1728" s="4" t="s">
        <v>85</v>
      </c>
      <c r="I1728" s="4"/>
      <c r="J1728" s="4"/>
      <c r="K1728" s="4"/>
      <c r="L1728" s="4"/>
      <c r="M1728" s="4"/>
      <c r="N1728" s="4"/>
      <c r="O1728" s="51" t="b">
        <v>0</v>
      </c>
      <c r="P1728" s="51" t="b">
        <v>0</v>
      </c>
      <c r="Q1728" s="51" t="b">
        <v>0</v>
      </c>
      <c r="R1728" s="51" t="b">
        <v>0</v>
      </c>
      <c r="S1728" s="51" t="b">
        <v>0</v>
      </c>
    </row>
    <row r="1729">
      <c r="A1729" s="4" t="str">
        <f>IFERROR(__xludf.DUMMYFUNCTION("""COMPUTED_VALUE"""),"52 - Channel 5")</f>
        <v>52 - Channel 5</v>
      </c>
      <c r="B1729" s="4" t="s">
        <v>27</v>
      </c>
      <c r="C1729" s="4">
        <v>0.6023263888888898</v>
      </c>
      <c r="D1729" s="6">
        <v>4.7453703703703704E-4</v>
      </c>
      <c r="E1729" s="6">
        <v>0.6028009259259268</v>
      </c>
      <c r="F1729" s="6"/>
      <c r="G1729" s="4"/>
      <c r="H1729" s="4" t="s">
        <v>2102</v>
      </c>
      <c r="I1729" s="4"/>
      <c r="J1729" s="4"/>
      <c r="K1729" s="4"/>
      <c r="L1729" s="4"/>
      <c r="M1729" s="4"/>
      <c r="N1729" s="4"/>
      <c r="O1729" s="51" t="b">
        <v>0</v>
      </c>
      <c r="P1729" s="51" t="b">
        <v>0</v>
      </c>
      <c r="Q1729" s="51" t="b">
        <v>0</v>
      </c>
      <c r="R1729" s="51" t="b">
        <v>0</v>
      </c>
      <c r="S1729" s="51" t="b">
        <v>0</v>
      </c>
    </row>
    <row r="1730" hidden="1">
      <c r="A1730" s="4" t="str">
        <f>IFERROR(__xludf.DUMMYFUNCTION("""COMPUTED_VALUE"""),"53 - Channel 5")</f>
        <v>53 - Channel 5</v>
      </c>
      <c r="B1730" s="4" t="s">
        <v>27</v>
      </c>
      <c r="C1730" s="4">
        <v>0.6028009259259268</v>
      </c>
      <c r="D1730" s="6">
        <v>3.4722222222222224E-4</v>
      </c>
      <c r="E1730" s="6">
        <v>0.6031481481481491</v>
      </c>
      <c r="F1730" s="6"/>
      <c r="G1730" s="4"/>
      <c r="H1730" s="4" t="s">
        <v>89</v>
      </c>
      <c r="I1730" s="4"/>
      <c r="J1730" s="4"/>
      <c r="K1730" s="4"/>
      <c r="L1730" s="4"/>
      <c r="M1730" s="4"/>
      <c r="N1730" s="4"/>
      <c r="O1730" s="51" t="b">
        <v>0</v>
      </c>
      <c r="P1730" s="51" t="b">
        <v>0</v>
      </c>
      <c r="Q1730" s="51" t="b">
        <v>0</v>
      </c>
      <c r="R1730" s="51" t="b">
        <v>0</v>
      </c>
      <c r="S1730" s="51" t="b">
        <v>0</v>
      </c>
    </row>
    <row r="1731">
      <c r="A1731" s="4" t="str">
        <f>IFERROR(__xludf.DUMMYFUNCTION("""COMPUTED_VALUE"""),"55 - Channel 5")</f>
        <v>55 - Channel 5</v>
      </c>
      <c r="B1731" s="4" t="s">
        <v>27</v>
      </c>
      <c r="C1731" s="4">
        <v>0.6031481481481491</v>
      </c>
      <c r="D1731" s="6">
        <v>3.4722222222222224E-4</v>
      </c>
      <c r="E1731" s="6">
        <v>0.6034953703703714</v>
      </c>
      <c r="F1731" s="6"/>
      <c r="G1731" s="4"/>
      <c r="H1731" s="4" t="s">
        <v>81</v>
      </c>
      <c r="I1731" s="4"/>
      <c r="J1731" s="4"/>
      <c r="K1731" s="4"/>
      <c r="L1731" s="4"/>
      <c r="M1731" s="4"/>
      <c r="N1731" s="4"/>
      <c r="O1731" s="51" t="b">
        <v>0</v>
      </c>
      <c r="P1731" s="51" t="b">
        <v>0</v>
      </c>
      <c r="Q1731" s="51" t="b">
        <v>0</v>
      </c>
      <c r="R1731" s="51" t="b">
        <v>0</v>
      </c>
      <c r="S1731" s="51" t="b">
        <v>0</v>
      </c>
    </row>
    <row r="1732" hidden="1">
      <c r="A1732" s="4" t="str">
        <f>IFERROR(__xludf.DUMMYFUNCTION("""COMPUTED_VALUE"""),"56 - Channel 5")</f>
        <v>56 - Channel 5</v>
      </c>
      <c r="B1732" s="4" t="s">
        <v>27</v>
      </c>
      <c r="C1732" s="4">
        <v>0.6034953703703714</v>
      </c>
      <c r="D1732" s="6">
        <v>0.012881944444444444</v>
      </c>
      <c r="E1732" s="6">
        <v>0.6163773148148158</v>
      </c>
      <c r="F1732" s="6" t="s">
        <v>280</v>
      </c>
      <c r="G1732" s="4" t="s">
        <v>2082</v>
      </c>
      <c r="H1732" s="4" t="s">
        <v>2155</v>
      </c>
      <c r="I1732" s="4"/>
      <c r="J1732" s="4"/>
      <c r="K1732" s="4"/>
      <c r="L1732" s="4"/>
      <c r="M1732" s="4" t="s">
        <v>2156</v>
      </c>
      <c r="N1732" s="4"/>
      <c r="O1732" s="51" t="b">
        <v>0</v>
      </c>
      <c r="P1732" s="51" t="b">
        <v>0</v>
      </c>
      <c r="Q1732" s="51" t="b">
        <v>0</v>
      </c>
      <c r="R1732" s="51" t="b">
        <v>0</v>
      </c>
      <c r="S1732" s="51" t="b">
        <v>0</v>
      </c>
    </row>
    <row r="1733" hidden="1">
      <c r="A1733" s="4" t="str">
        <f>IFERROR(__xludf.DUMMYFUNCTION("""COMPUTED_VALUE"""),"57 - Channel 5")</f>
        <v>57 - Channel 5</v>
      </c>
      <c r="B1733" s="4" t="s">
        <v>27</v>
      </c>
      <c r="C1733" s="4">
        <v>0.6163773148148158</v>
      </c>
      <c r="D1733" s="6">
        <v>1.7361111111111112E-4</v>
      </c>
      <c r="E1733" s="6">
        <v>0.616550925925927</v>
      </c>
      <c r="F1733" s="6"/>
      <c r="G1733" s="4"/>
      <c r="H1733" s="4" t="s">
        <v>85</v>
      </c>
      <c r="I1733" s="4"/>
      <c r="J1733" s="4"/>
      <c r="K1733" s="4"/>
      <c r="L1733" s="4"/>
      <c r="M1733" s="4"/>
      <c r="N1733" s="4"/>
      <c r="O1733" s="51" t="b">
        <v>0</v>
      </c>
      <c r="P1733" s="51" t="b">
        <v>0</v>
      </c>
      <c r="Q1733" s="51" t="b">
        <v>0</v>
      </c>
      <c r="R1733" s="51" t="b">
        <v>0</v>
      </c>
      <c r="S1733" s="51" t="b">
        <v>0</v>
      </c>
    </row>
    <row r="1734">
      <c r="A1734" s="4" t="str">
        <f>IFERROR(__xludf.DUMMYFUNCTION("""COMPUTED_VALUE"""),"58 - Channel 5")</f>
        <v>58 - Channel 5</v>
      </c>
      <c r="B1734" s="4" t="s">
        <v>27</v>
      </c>
      <c r="C1734" s="4">
        <v>0.616550925925927</v>
      </c>
      <c r="D1734" s="6">
        <v>3.125E-4</v>
      </c>
      <c r="E1734" s="6">
        <v>0.616863425925927</v>
      </c>
      <c r="F1734" s="6"/>
      <c r="G1734" s="4"/>
      <c r="H1734" s="4" t="s">
        <v>2102</v>
      </c>
      <c r="I1734" s="4"/>
      <c r="J1734" s="4"/>
      <c r="K1734" s="4"/>
      <c r="L1734" s="4"/>
      <c r="M1734" s="4"/>
      <c r="N1734" s="4"/>
      <c r="O1734" s="51" t="b">
        <v>0</v>
      </c>
      <c r="P1734" s="51" t="b">
        <v>0</v>
      </c>
      <c r="Q1734" s="51" t="b">
        <v>0</v>
      </c>
      <c r="R1734" s="51" t="b">
        <v>0</v>
      </c>
      <c r="S1734" s="51" t="b">
        <v>0</v>
      </c>
    </row>
    <row r="1735" hidden="1">
      <c r="A1735" s="4" t="str">
        <f>IFERROR(__xludf.DUMMYFUNCTION("""COMPUTED_VALUE"""),"59 - Channel 5")</f>
        <v>59 - Channel 5</v>
      </c>
      <c r="B1735" s="4" t="s">
        <v>27</v>
      </c>
      <c r="C1735" s="4">
        <v>0.616863425925927</v>
      </c>
      <c r="D1735" s="6">
        <v>3.4722222222222224E-4</v>
      </c>
      <c r="E1735" s="6">
        <v>0.6172106481481493</v>
      </c>
      <c r="F1735" s="6"/>
      <c r="G1735" s="4"/>
      <c r="H1735" s="4" t="s">
        <v>81</v>
      </c>
      <c r="I1735" s="4"/>
      <c r="J1735" s="4"/>
      <c r="K1735" s="4"/>
      <c r="L1735" s="4"/>
      <c r="M1735" s="4"/>
      <c r="N1735" s="4"/>
      <c r="O1735" s="51" t="b">
        <v>0</v>
      </c>
      <c r="P1735" s="51" t="b">
        <v>0</v>
      </c>
      <c r="Q1735" s="51" t="b">
        <v>0</v>
      </c>
      <c r="R1735" s="51" t="b">
        <v>0</v>
      </c>
      <c r="S1735" s="51" t="b">
        <v>0</v>
      </c>
    </row>
    <row r="1736">
      <c r="A1736" s="4" t="str">
        <f>IFERROR(__xludf.DUMMYFUNCTION("""COMPUTED_VALUE"""),"60 - Channel 5")</f>
        <v>60 - Channel 5</v>
      </c>
      <c r="B1736" s="4" t="s">
        <v>27</v>
      </c>
      <c r="C1736" s="4">
        <v>0.6172106481481493</v>
      </c>
      <c r="D1736" s="6">
        <v>0.006944444444444444</v>
      </c>
      <c r="E1736" s="6">
        <v>0.6241550925925937</v>
      </c>
      <c r="F1736" s="6" t="s">
        <v>280</v>
      </c>
      <c r="G1736" s="4" t="s">
        <v>2082</v>
      </c>
      <c r="H1736" s="4" t="s">
        <v>2159</v>
      </c>
      <c r="I1736" s="4" t="s">
        <v>2160</v>
      </c>
      <c r="J1736" s="4" t="s">
        <v>437</v>
      </c>
      <c r="K1736" s="4" t="s">
        <v>2161</v>
      </c>
      <c r="L1736" s="4" t="s">
        <v>2162</v>
      </c>
      <c r="M1736" s="4" t="s">
        <v>2163</v>
      </c>
      <c r="N1736" s="4"/>
      <c r="O1736" s="51" t="b">
        <v>0</v>
      </c>
      <c r="P1736" s="51" t="b">
        <v>0</v>
      </c>
      <c r="Q1736" s="51" t="b">
        <v>0</v>
      </c>
      <c r="R1736" s="51" t="b">
        <v>0</v>
      </c>
      <c r="S1736" s="51" t="b">
        <v>0</v>
      </c>
    </row>
    <row r="1737" hidden="1">
      <c r="A1737" s="4" t="str">
        <f>IFERROR(__xludf.DUMMYFUNCTION("""COMPUTED_VALUE"""),"61 - Channel 5")</f>
        <v>61 - Channel 5</v>
      </c>
      <c r="B1737" s="4" t="s">
        <v>27</v>
      </c>
      <c r="C1737" s="4">
        <v>0.6241550925925937</v>
      </c>
      <c r="D1737" s="6">
        <v>1.7361111111111112E-4</v>
      </c>
      <c r="E1737" s="6">
        <v>0.6243287037037049</v>
      </c>
      <c r="F1737" s="6"/>
      <c r="G1737" s="4"/>
      <c r="H1737" s="4" t="s">
        <v>85</v>
      </c>
      <c r="I1737" s="4"/>
      <c r="J1737" s="4"/>
      <c r="K1737" s="4"/>
      <c r="L1737" s="4"/>
      <c r="M1737" s="4"/>
      <c r="N1737" s="4"/>
      <c r="O1737" s="51" t="b">
        <v>0</v>
      </c>
      <c r="P1737" s="51" t="b">
        <v>0</v>
      </c>
      <c r="Q1737" s="51" t="b">
        <v>0</v>
      </c>
      <c r="R1737" s="51" t="b">
        <v>0</v>
      </c>
      <c r="S1737" s="51" t="b">
        <v>0</v>
      </c>
    </row>
    <row r="1738">
      <c r="A1738" s="4" t="str">
        <f>IFERROR(__xludf.DUMMYFUNCTION("""COMPUTED_VALUE"""),"283 - Channel 5")</f>
        <v>283 - Channel 5</v>
      </c>
      <c r="B1738" s="4" t="s">
        <v>27</v>
      </c>
      <c r="C1738" s="4">
        <v>0.6243287037037049</v>
      </c>
      <c r="D1738" s="6">
        <v>3.4722222222222224E-4</v>
      </c>
      <c r="E1738" s="6">
        <v>0.6246759259259271</v>
      </c>
      <c r="F1738" s="6"/>
      <c r="G1738" s="4"/>
      <c r="H1738" s="4" t="s">
        <v>89</v>
      </c>
      <c r="I1738" s="4"/>
      <c r="J1738" s="4"/>
      <c r="K1738" s="4"/>
      <c r="L1738" s="4"/>
      <c r="M1738" s="4"/>
      <c r="N1738" s="4"/>
      <c r="O1738" s="51" t="b">
        <v>0</v>
      </c>
      <c r="P1738" s="51" t="b">
        <v>0</v>
      </c>
      <c r="Q1738" s="51" t="b">
        <v>0</v>
      </c>
      <c r="R1738" s="51" t="b">
        <v>0</v>
      </c>
      <c r="S1738" s="51" t="b">
        <v>0</v>
      </c>
    </row>
    <row r="1739" hidden="1">
      <c r="A1739" s="4" t="str">
        <f>IFERROR(__xludf.DUMMYFUNCTION("""COMPUTED_VALUE"""),"63 - Channel 5")</f>
        <v>63 - Channel 5</v>
      </c>
      <c r="B1739" s="4" t="s">
        <v>27</v>
      </c>
      <c r="C1739" s="4">
        <v>0.6246759259259271</v>
      </c>
      <c r="D1739" s="6">
        <v>3.4722222222222224E-4</v>
      </c>
      <c r="E1739" s="6">
        <v>0.6250231481481494</v>
      </c>
      <c r="F1739" s="6"/>
      <c r="G1739" s="4"/>
      <c r="H1739" s="4" t="s">
        <v>81</v>
      </c>
      <c r="I1739" s="4"/>
      <c r="J1739" s="4"/>
      <c r="K1739" s="4"/>
      <c r="L1739" s="4"/>
      <c r="M1739" s="4"/>
      <c r="N1739" s="4"/>
      <c r="O1739" s="51" t="b">
        <v>0</v>
      </c>
      <c r="P1739" s="51" t="b">
        <v>0</v>
      </c>
      <c r="Q1739" s="51" t="b">
        <v>0</v>
      </c>
      <c r="R1739" s="51" t="b">
        <v>0</v>
      </c>
      <c r="S1739" s="51" t="b">
        <v>0</v>
      </c>
    </row>
    <row r="1740">
      <c r="A1740" s="4" t="str">
        <f>IFERROR(__xludf.DUMMYFUNCTION("""COMPUTED_VALUE"""),"64 - Channel 5")</f>
        <v>64 - Channel 5</v>
      </c>
      <c r="B1740" s="4" t="s">
        <v>27</v>
      </c>
      <c r="C1740" s="4">
        <v>0.6250231481481494</v>
      </c>
      <c r="D1740" s="6">
        <v>0.016400462962962964</v>
      </c>
      <c r="E1740" s="6">
        <v>0.6414236111111123</v>
      </c>
      <c r="F1740" s="6" t="s">
        <v>299</v>
      </c>
      <c r="G1740" s="4" t="s">
        <v>2082</v>
      </c>
      <c r="H1740" s="4" t="s">
        <v>2166</v>
      </c>
      <c r="I1740" s="4"/>
      <c r="J1740" s="4"/>
      <c r="K1740" s="4"/>
      <c r="L1740" s="4"/>
      <c r="M1740" s="4" t="s">
        <v>2167</v>
      </c>
      <c r="N1740" s="4"/>
      <c r="O1740" s="51" t="b">
        <v>0</v>
      </c>
      <c r="P1740" s="51" t="b">
        <v>0</v>
      </c>
      <c r="Q1740" s="51" t="b">
        <v>0</v>
      </c>
      <c r="R1740" s="51" t="b">
        <v>0</v>
      </c>
      <c r="S1740" s="51" t="b">
        <v>0</v>
      </c>
    </row>
    <row r="1741" hidden="1">
      <c r="A1741" s="4" t="str">
        <f>IFERROR(__xludf.DUMMYFUNCTION("""COMPUTED_VALUE"""),"65 - Channel 5")</f>
        <v>65 - Channel 5</v>
      </c>
      <c r="B1741" s="4" t="s">
        <v>27</v>
      </c>
      <c r="C1741" s="4">
        <v>0.6414236111111123</v>
      </c>
      <c r="D1741" s="6">
        <v>1.7361111111111112E-4</v>
      </c>
      <c r="E1741" s="6">
        <v>0.6415972222222235</v>
      </c>
      <c r="F1741" s="6"/>
      <c r="G1741" s="4"/>
      <c r="H1741" s="4" t="s">
        <v>85</v>
      </c>
      <c r="I1741" s="4"/>
      <c r="J1741" s="4"/>
      <c r="K1741" s="4"/>
      <c r="L1741" s="4"/>
      <c r="M1741" s="4"/>
      <c r="N1741" s="4"/>
      <c r="O1741" s="51" t="b">
        <v>0</v>
      </c>
      <c r="P1741" s="51" t="b">
        <v>0</v>
      </c>
      <c r="Q1741" s="51" t="b">
        <v>0</v>
      </c>
      <c r="R1741" s="51" t="b">
        <v>0</v>
      </c>
      <c r="S1741" s="51" t="b">
        <v>0</v>
      </c>
    </row>
    <row r="1742">
      <c r="A1742" s="4" t="str">
        <f>IFERROR(__xludf.DUMMYFUNCTION("""COMPUTED_VALUE"""),"66 - Channel 5")</f>
        <v>66 - Channel 5</v>
      </c>
      <c r="B1742" s="4" t="s">
        <v>27</v>
      </c>
      <c r="C1742" s="4">
        <v>0.6415972222222235</v>
      </c>
      <c r="D1742" s="6">
        <v>3.4722222222222224E-4</v>
      </c>
      <c r="E1742" s="6">
        <v>0.6419444444444458</v>
      </c>
      <c r="F1742" s="6"/>
      <c r="G1742" s="4"/>
      <c r="H1742" s="4" t="s">
        <v>81</v>
      </c>
      <c r="I1742" s="4"/>
      <c r="J1742" s="4"/>
      <c r="K1742" s="4"/>
      <c r="L1742" s="4"/>
      <c r="M1742" s="4"/>
      <c r="N1742" s="4"/>
      <c r="O1742" s="51" t="b">
        <v>0</v>
      </c>
      <c r="P1742" s="51" t="b">
        <v>0</v>
      </c>
      <c r="Q1742" s="51" t="b">
        <v>0</v>
      </c>
      <c r="R1742" s="51" t="b">
        <v>0</v>
      </c>
      <c r="S1742" s="51" t="b">
        <v>0</v>
      </c>
    </row>
    <row r="1743" hidden="1">
      <c r="A1743" s="4" t="str">
        <f>IFERROR(__xludf.DUMMYFUNCTION("""COMPUTED_VALUE"""),"67 - Channel 5")</f>
        <v>67 - Channel 5</v>
      </c>
      <c r="B1743" s="4" t="s">
        <v>27</v>
      </c>
      <c r="C1743" s="4">
        <v>0.6419444444444458</v>
      </c>
      <c r="D1743" s="6">
        <v>8.564814814814815E-4</v>
      </c>
      <c r="E1743" s="6">
        <v>0.6428009259259272</v>
      </c>
      <c r="F1743" s="6" t="s">
        <v>299</v>
      </c>
      <c r="G1743" s="4" t="s">
        <v>2082</v>
      </c>
      <c r="H1743" s="4" t="s">
        <v>2170</v>
      </c>
      <c r="I1743" s="4"/>
      <c r="J1743" s="4"/>
      <c r="K1743" s="4"/>
      <c r="L1743" s="4"/>
      <c r="M1743" s="4" t="s">
        <v>2171</v>
      </c>
      <c r="N1743" s="4"/>
      <c r="O1743" s="51" t="b">
        <v>0</v>
      </c>
      <c r="P1743" s="51" t="b">
        <v>0</v>
      </c>
      <c r="Q1743" s="51" t="b">
        <v>0</v>
      </c>
      <c r="R1743" s="51" t="b">
        <v>0</v>
      </c>
      <c r="S1743" s="51" t="b">
        <v>0</v>
      </c>
    </row>
    <row r="1744">
      <c r="A1744" s="4" t="str">
        <f>IFERROR(__xludf.DUMMYFUNCTION("""COMPUTED_VALUE"""),"68 - Channel 5")</f>
        <v>68 - Channel 5</v>
      </c>
      <c r="B1744" s="4" t="s">
        <v>27</v>
      </c>
      <c r="C1744" s="4">
        <v>0.6428009259259272</v>
      </c>
      <c r="D1744" s="6">
        <v>1.7361111111111112E-4</v>
      </c>
      <c r="E1744" s="6">
        <v>0.6429745370370383</v>
      </c>
      <c r="F1744" s="6"/>
      <c r="G1744" s="4"/>
      <c r="H1744" s="4" t="s">
        <v>85</v>
      </c>
      <c r="I1744" s="4"/>
      <c r="J1744" s="4"/>
      <c r="K1744" s="4"/>
      <c r="L1744" s="4"/>
      <c r="M1744" s="4"/>
      <c r="N1744" s="4"/>
      <c r="O1744" s="51" t="b">
        <v>0</v>
      </c>
      <c r="P1744" s="51" t="b">
        <v>0</v>
      </c>
      <c r="Q1744" s="51" t="b">
        <v>0</v>
      </c>
      <c r="R1744" s="51" t="b">
        <v>0</v>
      </c>
      <c r="S1744" s="51" t="b">
        <v>0</v>
      </c>
    </row>
    <row r="1745">
      <c r="A1745" s="4" t="str">
        <f>IFERROR(__xludf.DUMMYFUNCTION("""COMPUTED_VALUE"""),"292 - Channel 5")</f>
        <v>292 - Channel 5</v>
      </c>
      <c r="B1745" s="4" t="s">
        <v>27</v>
      </c>
      <c r="C1745" s="4">
        <v>0.6429745370370383</v>
      </c>
      <c r="D1745" s="6">
        <v>6.944444444444445E-4</v>
      </c>
      <c r="E1745" s="6">
        <v>0.6436689814814828</v>
      </c>
      <c r="F1745" s="6"/>
      <c r="G1745" s="4"/>
      <c r="H1745" s="4" t="s">
        <v>2102</v>
      </c>
      <c r="I1745" s="4"/>
      <c r="J1745" s="4"/>
      <c r="K1745" s="4"/>
      <c r="L1745" s="4"/>
      <c r="M1745" s="4"/>
      <c r="N1745" s="4"/>
      <c r="O1745" s="51" t="b">
        <v>0</v>
      </c>
      <c r="P1745" s="51" t="b">
        <v>0</v>
      </c>
      <c r="Q1745" s="51" t="b">
        <v>0</v>
      </c>
      <c r="R1745" s="51" t="b">
        <v>0</v>
      </c>
      <c r="S1745" s="51" t="b">
        <v>0</v>
      </c>
    </row>
    <row r="1746" hidden="1">
      <c r="A1746" s="4" t="str">
        <f>IFERROR(__xludf.DUMMYFUNCTION("""COMPUTED_VALUE"""),"69 - Channel 5")</f>
        <v>69 - Channel 5</v>
      </c>
      <c r="B1746" s="4" t="s">
        <v>27</v>
      </c>
      <c r="C1746" s="4">
        <v>0.6436689814814828</v>
      </c>
      <c r="D1746" s="6">
        <v>5.208333333333333E-4</v>
      </c>
      <c r="E1746" s="6">
        <v>0.6441898148148161</v>
      </c>
      <c r="F1746" s="6"/>
      <c r="G1746" s="4"/>
      <c r="H1746" s="4" t="s">
        <v>2140</v>
      </c>
      <c r="I1746" s="4"/>
      <c r="J1746" s="4"/>
      <c r="K1746" s="4"/>
      <c r="L1746" s="4"/>
      <c r="M1746" s="4"/>
      <c r="N1746" s="4"/>
      <c r="O1746" s="51" t="b">
        <v>0</v>
      </c>
      <c r="P1746" s="51" t="b">
        <v>0</v>
      </c>
      <c r="Q1746" s="51" t="b">
        <v>0</v>
      </c>
      <c r="R1746" s="51" t="b">
        <v>0</v>
      </c>
      <c r="S1746" s="51" t="b">
        <v>0</v>
      </c>
    </row>
    <row r="1747">
      <c r="A1747" s="4" t="str">
        <f>IFERROR(__xludf.DUMMYFUNCTION("""COMPUTED_VALUE"""),"70 - Channel 5")</f>
        <v>70 - Channel 5</v>
      </c>
      <c r="B1747" s="4" t="s">
        <v>27</v>
      </c>
      <c r="C1747" s="4">
        <v>0.6441898148148161</v>
      </c>
      <c r="D1747" s="6">
        <v>3.4722222222222224E-4</v>
      </c>
      <c r="E1747" s="6">
        <v>0.6445370370370384</v>
      </c>
      <c r="F1747" s="6"/>
      <c r="G1747" s="4"/>
      <c r="H1747" s="4" t="s">
        <v>81</v>
      </c>
      <c r="I1747" s="4"/>
      <c r="J1747" s="4"/>
      <c r="K1747" s="4"/>
      <c r="L1747" s="4"/>
      <c r="M1747" s="4"/>
      <c r="N1747" s="4"/>
      <c r="O1747" s="51" t="b">
        <v>0</v>
      </c>
      <c r="P1747" s="51" t="b">
        <v>0</v>
      </c>
      <c r="Q1747" s="51" t="b">
        <v>0</v>
      </c>
      <c r="R1747" s="51" t="b">
        <v>0</v>
      </c>
      <c r="S1747" s="51" t="b">
        <v>0</v>
      </c>
    </row>
    <row r="1748" hidden="1">
      <c r="A1748" s="4" t="str">
        <f>IFERROR(__xludf.DUMMYFUNCTION("""COMPUTED_VALUE"""),"71 - Channel 5")</f>
        <v>71 - Channel 5</v>
      </c>
      <c r="B1748" s="4" t="s">
        <v>27</v>
      </c>
      <c r="C1748" s="4">
        <v>0.6445370370370384</v>
      </c>
      <c r="D1748" s="6">
        <v>0.006944444444444444</v>
      </c>
      <c r="E1748" s="6">
        <v>0.6514814814814828</v>
      </c>
      <c r="F1748" s="6" t="s">
        <v>195</v>
      </c>
      <c r="G1748" s="4" t="s">
        <v>2082</v>
      </c>
      <c r="H1748" s="4" t="s">
        <v>2174</v>
      </c>
      <c r="I1748" s="4" t="s">
        <v>2175</v>
      </c>
      <c r="J1748" s="4" t="s">
        <v>2176</v>
      </c>
      <c r="K1748" s="4" t="s">
        <v>2177</v>
      </c>
      <c r="L1748" s="4" t="s">
        <v>2178</v>
      </c>
      <c r="M1748" s="4" t="s">
        <v>2179</v>
      </c>
      <c r="N1748" s="4"/>
      <c r="O1748" s="51" t="b">
        <v>0</v>
      </c>
      <c r="P1748" s="51" t="b">
        <v>0</v>
      </c>
      <c r="Q1748" s="51" t="b">
        <v>0</v>
      </c>
      <c r="R1748" s="51" t="b">
        <v>0</v>
      </c>
      <c r="S1748" s="51" t="b">
        <v>0</v>
      </c>
    </row>
    <row r="1749" hidden="1">
      <c r="A1749" s="4" t="str">
        <f>IFERROR(__xludf.DUMMYFUNCTION("""COMPUTED_VALUE"""),"72 - Channel 5")</f>
        <v>72 - Channel 5</v>
      </c>
      <c r="B1749" s="4" t="s">
        <v>27</v>
      </c>
      <c r="C1749" s="4">
        <v>0.6514814814814828</v>
      </c>
      <c r="D1749" s="6">
        <v>1.7361111111111112E-4</v>
      </c>
      <c r="E1749" s="6">
        <v>0.6516550925925939</v>
      </c>
      <c r="F1749" s="6"/>
      <c r="G1749" s="4"/>
      <c r="H1749" s="4" t="s">
        <v>85</v>
      </c>
      <c r="I1749" s="4"/>
      <c r="J1749" s="4"/>
      <c r="K1749" s="4"/>
      <c r="L1749" s="4"/>
      <c r="M1749" s="4"/>
      <c r="N1749" s="4"/>
      <c r="O1749" s="51" t="b">
        <v>0</v>
      </c>
      <c r="P1749" s="51" t="b">
        <v>0</v>
      </c>
      <c r="Q1749" s="51" t="b">
        <v>0</v>
      </c>
      <c r="R1749" s="51" t="b">
        <v>0</v>
      </c>
      <c r="S1749" s="51" t="b">
        <v>0</v>
      </c>
    </row>
    <row r="1750">
      <c r="A1750" s="4" t="str">
        <f>IFERROR(__xludf.DUMMYFUNCTION("""COMPUTED_VALUE"""),"74 - Channel 5")</f>
        <v>74 - Channel 5</v>
      </c>
      <c r="B1750" s="4" t="s">
        <v>27</v>
      </c>
      <c r="C1750" s="4">
        <v>0.6516550925925939</v>
      </c>
      <c r="D1750" s="6">
        <v>3.4722222222222224E-4</v>
      </c>
      <c r="E1750" s="6">
        <v>0.6520023148148162</v>
      </c>
      <c r="F1750" s="6"/>
      <c r="G1750" s="4"/>
      <c r="H1750" s="4" t="s">
        <v>81</v>
      </c>
      <c r="I1750" s="4"/>
      <c r="J1750" s="4"/>
      <c r="K1750" s="4"/>
      <c r="L1750" s="4"/>
      <c r="M1750" s="4"/>
      <c r="N1750" s="4"/>
      <c r="O1750" s="51" t="b">
        <v>0</v>
      </c>
      <c r="P1750" s="51" t="b">
        <v>0</v>
      </c>
      <c r="Q1750" s="51" t="b">
        <v>0</v>
      </c>
      <c r="R1750" s="51" t="b">
        <v>0</v>
      </c>
      <c r="S1750" s="51" t="b">
        <v>0</v>
      </c>
    </row>
    <row r="1751" hidden="1">
      <c r="A1751" s="4" t="str">
        <f>IFERROR(__xludf.DUMMYFUNCTION("""COMPUTED_VALUE"""),"75 - Channel 5")</f>
        <v>75 - Channel 5</v>
      </c>
      <c r="B1751" s="4" t="s">
        <v>27</v>
      </c>
      <c r="C1751" s="4">
        <v>0.6520023148148162</v>
      </c>
      <c r="D1751" s="6">
        <v>0.017314814814814814</v>
      </c>
      <c r="E1751" s="6">
        <v>0.669317129629631</v>
      </c>
      <c r="F1751" s="6" t="s">
        <v>1193</v>
      </c>
      <c r="G1751" s="4" t="s">
        <v>2082</v>
      </c>
      <c r="H1751" s="4" t="s">
        <v>2182</v>
      </c>
      <c r="I1751" s="4"/>
      <c r="J1751" s="4"/>
      <c r="K1751" s="4"/>
      <c r="L1751" s="4"/>
      <c r="M1751" s="4" t="s">
        <v>2183</v>
      </c>
      <c r="N1751" s="4"/>
      <c r="O1751" s="51" t="b">
        <v>0</v>
      </c>
      <c r="P1751" s="51" t="b">
        <v>0</v>
      </c>
      <c r="Q1751" s="51" t="b">
        <v>0</v>
      </c>
      <c r="R1751" s="51" t="b">
        <v>0</v>
      </c>
      <c r="S1751" s="51" t="b">
        <v>0</v>
      </c>
    </row>
    <row r="1752">
      <c r="A1752" s="4" t="str">
        <f>IFERROR(__xludf.DUMMYFUNCTION("""COMPUTED_VALUE"""),"76 - Channel 5")</f>
        <v>76 - Channel 5</v>
      </c>
      <c r="B1752" s="4" t="s">
        <v>27</v>
      </c>
      <c r="C1752" s="4">
        <v>0.669317129629631</v>
      </c>
      <c r="D1752" s="6">
        <v>1.7361111111111112E-4</v>
      </c>
      <c r="E1752" s="6">
        <v>0.6694907407407421</v>
      </c>
      <c r="F1752" s="6"/>
      <c r="G1752" s="4"/>
      <c r="H1752" s="4" t="s">
        <v>85</v>
      </c>
      <c r="I1752" s="4"/>
      <c r="J1752" s="4"/>
      <c r="K1752" s="4"/>
      <c r="L1752" s="4"/>
      <c r="M1752" s="4"/>
      <c r="N1752" s="4"/>
      <c r="O1752" s="51" t="b">
        <v>0</v>
      </c>
      <c r="P1752" s="51" t="b">
        <v>0</v>
      </c>
      <c r="Q1752" s="51" t="b">
        <v>0</v>
      </c>
      <c r="R1752" s="51" t="b">
        <v>0</v>
      </c>
      <c r="S1752" s="51" t="b">
        <v>0</v>
      </c>
    </row>
    <row r="1753">
      <c r="A1753" s="4" t="str">
        <f>IFERROR(__xludf.DUMMYFUNCTION("""COMPUTED_VALUE"""),"77 - Channel 5")</f>
        <v>77 - Channel 5</v>
      </c>
      <c r="B1753" s="4" t="s">
        <v>27</v>
      </c>
      <c r="C1753" s="4">
        <v>0.6694907407407421</v>
      </c>
      <c r="D1753" s="6">
        <v>1.273148148148148E-4</v>
      </c>
      <c r="E1753" s="6">
        <v>0.6696180555555569</v>
      </c>
      <c r="F1753" s="6"/>
      <c r="G1753" s="4"/>
      <c r="H1753" s="4" t="s">
        <v>2102</v>
      </c>
      <c r="I1753" s="4"/>
      <c r="J1753" s="4"/>
      <c r="K1753" s="4"/>
      <c r="L1753" s="4"/>
      <c r="M1753" s="4"/>
      <c r="N1753" s="4"/>
      <c r="O1753" s="51" t="b">
        <v>0</v>
      </c>
      <c r="P1753" s="51" t="b">
        <v>0</v>
      </c>
      <c r="Q1753" s="51" t="b">
        <v>0</v>
      </c>
      <c r="R1753" s="51" t="b">
        <v>0</v>
      </c>
      <c r="S1753" s="51" t="b">
        <v>0</v>
      </c>
    </row>
    <row r="1754" hidden="1">
      <c r="A1754" s="4" t="str">
        <f>IFERROR(__xludf.DUMMYFUNCTION("""COMPUTED_VALUE"""),"78 - Channel 5")</f>
        <v>78 - Channel 5</v>
      </c>
      <c r="B1754" s="4" t="s">
        <v>27</v>
      </c>
      <c r="C1754" s="4">
        <v>0.6696180555555569</v>
      </c>
      <c r="D1754" s="6">
        <v>3.4722222222222224E-4</v>
      </c>
      <c r="E1754" s="6">
        <v>0.6699652777777791</v>
      </c>
      <c r="F1754" s="6"/>
      <c r="G1754" s="4"/>
      <c r="H1754" s="4" t="s">
        <v>81</v>
      </c>
      <c r="I1754" s="4"/>
      <c r="J1754" s="4"/>
      <c r="K1754" s="4"/>
      <c r="L1754" s="4"/>
      <c r="M1754" s="4"/>
      <c r="N1754" s="4"/>
      <c r="O1754" s="51" t="b">
        <v>0</v>
      </c>
      <c r="P1754" s="51" t="b">
        <v>0</v>
      </c>
      <c r="Q1754" s="51" t="b">
        <v>0</v>
      </c>
      <c r="R1754" s="51" t="b">
        <v>0</v>
      </c>
      <c r="S1754" s="51" t="b">
        <v>0</v>
      </c>
    </row>
    <row r="1755">
      <c r="A1755" s="4" t="str">
        <f>IFERROR(__xludf.DUMMYFUNCTION("""COMPUTED_VALUE"""),"79 - Channel 5")</f>
        <v>79 - Channel 5</v>
      </c>
      <c r="B1755" s="4" t="s">
        <v>27</v>
      </c>
      <c r="C1755" s="4">
        <v>0.6699652777777791</v>
      </c>
      <c r="D1755" s="6">
        <v>0.01642361111111111</v>
      </c>
      <c r="E1755" s="6">
        <v>0.6863888888888903</v>
      </c>
      <c r="F1755" s="6" t="s">
        <v>151</v>
      </c>
      <c r="G1755" s="4" t="s">
        <v>2082</v>
      </c>
      <c r="H1755" s="4" t="s">
        <v>2186</v>
      </c>
      <c r="I1755" s="4"/>
      <c r="J1755" s="4"/>
      <c r="K1755" s="4"/>
      <c r="L1755" s="4"/>
      <c r="M1755" s="4" t="s">
        <v>2187</v>
      </c>
      <c r="N1755" s="4"/>
      <c r="O1755" s="51" t="b">
        <v>0</v>
      </c>
      <c r="P1755" s="51" t="b">
        <v>0</v>
      </c>
      <c r="Q1755" s="51" t="b">
        <v>0</v>
      </c>
      <c r="R1755" s="51" t="b">
        <v>0</v>
      </c>
      <c r="S1755" s="51" t="b">
        <v>0</v>
      </c>
    </row>
    <row r="1756" hidden="1">
      <c r="A1756" s="4" t="str">
        <f>IFERROR(__xludf.DUMMYFUNCTION("""COMPUTED_VALUE"""),"80 - Channel 5")</f>
        <v>80 - Channel 5</v>
      </c>
      <c r="B1756" s="4" t="s">
        <v>27</v>
      </c>
      <c r="C1756" s="4">
        <v>0.6863888888888903</v>
      </c>
      <c r="D1756" s="6">
        <v>1.7361111111111112E-4</v>
      </c>
      <c r="E1756" s="6">
        <v>0.6865625000000014</v>
      </c>
      <c r="F1756" s="6"/>
      <c r="G1756" s="4"/>
      <c r="H1756" s="4" t="s">
        <v>85</v>
      </c>
      <c r="I1756" s="4"/>
      <c r="J1756" s="4"/>
      <c r="K1756" s="4"/>
      <c r="L1756" s="4"/>
      <c r="M1756" s="4"/>
      <c r="N1756" s="4"/>
      <c r="O1756" s="51" t="b">
        <v>0</v>
      </c>
      <c r="P1756" s="51" t="b">
        <v>0</v>
      </c>
      <c r="Q1756" s="51" t="b">
        <v>0</v>
      </c>
      <c r="R1756" s="51" t="b">
        <v>0</v>
      </c>
      <c r="S1756" s="51" t="b">
        <v>0</v>
      </c>
    </row>
    <row r="1757">
      <c r="A1757" s="4" t="str">
        <f>IFERROR(__xludf.DUMMYFUNCTION("""COMPUTED_VALUE"""),"284 - Channel 5")</f>
        <v>284 - Channel 5</v>
      </c>
      <c r="B1757" s="4" t="s">
        <v>27</v>
      </c>
      <c r="C1757" s="4">
        <v>0.6865625000000014</v>
      </c>
      <c r="D1757" s="6">
        <v>3.4722222222222224E-4</v>
      </c>
      <c r="E1757" s="6">
        <v>0.6869097222222237</v>
      </c>
      <c r="F1757" s="6"/>
      <c r="G1757" s="4"/>
      <c r="H1757" s="4" t="s">
        <v>89</v>
      </c>
      <c r="I1757" s="4"/>
      <c r="J1757" s="4"/>
      <c r="K1757" s="4"/>
      <c r="L1757" s="4"/>
      <c r="M1757" s="4"/>
      <c r="N1757" s="4"/>
      <c r="O1757" s="51" t="b">
        <v>0</v>
      </c>
      <c r="P1757" s="51" t="b">
        <v>0</v>
      </c>
      <c r="Q1757" s="51" t="b">
        <v>0</v>
      </c>
      <c r="R1757" s="51" t="b">
        <v>0</v>
      </c>
      <c r="S1757" s="51" t="b">
        <v>0</v>
      </c>
    </row>
    <row r="1758" hidden="1">
      <c r="A1758" s="4" t="str">
        <f>IFERROR(__xludf.DUMMYFUNCTION("""COMPUTED_VALUE"""),"82 - Channel 5")</f>
        <v>82 - Channel 5</v>
      </c>
      <c r="B1758" s="4" t="s">
        <v>27</v>
      </c>
      <c r="C1758" s="4">
        <v>0.6869097222222237</v>
      </c>
      <c r="D1758" s="6">
        <v>3.4722222222222224E-4</v>
      </c>
      <c r="E1758" s="6">
        <v>0.687256944444446</v>
      </c>
      <c r="F1758" s="6"/>
      <c r="G1758" s="4"/>
      <c r="H1758" s="4" t="s">
        <v>81</v>
      </c>
      <c r="I1758" s="4"/>
      <c r="J1758" s="4"/>
      <c r="K1758" s="4"/>
      <c r="L1758" s="4"/>
      <c r="M1758" s="4"/>
      <c r="N1758" s="4"/>
      <c r="O1758" s="51" t="b">
        <v>0</v>
      </c>
      <c r="P1758" s="51" t="b">
        <v>0</v>
      </c>
      <c r="Q1758" s="51" t="b">
        <v>0</v>
      </c>
      <c r="R1758" s="51" t="b">
        <v>0</v>
      </c>
      <c r="S1758" s="51" t="b">
        <v>0</v>
      </c>
    </row>
    <row r="1759">
      <c r="A1759" s="4" t="str">
        <f>IFERROR(__xludf.DUMMYFUNCTION("""COMPUTED_VALUE"""),"83 - Channel 5")</f>
        <v>83 - Channel 5</v>
      </c>
      <c r="B1759" s="4" t="s">
        <v>27</v>
      </c>
      <c r="C1759" s="4">
        <v>0.687256944444446</v>
      </c>
      <c r="D1759" s="6">
        <v>0.012881944444444444</v>
      </c>
      <c r="E1759" s="6">
        <v>0.7001388888888904</v>
      </c>
      <c r="F1759" s="6" t="s">
        <v>106</v>
      </c>
      <c r="G1759" s="4" t="s">
        <v>2082</v>
      </c>
      <c r="H1759" s="4" t="s">
        <v>2191</v>
      </c>
      <c r="I1759" s="4" t="s">
        <v>2095</v>
      </c>
      <c r="J1759" s="4"/>
      <c r="K1759" s="4"/>
      <c r="L1759" s="4"/>
      <c r="M1759" s="4" t="s">
        <v>2192</v>
      </c>
      <c r="N1759" s="4"/>
      <c r="O1759" s="51" t="b">
        <v>0</v>
      </c>
      <c r="P1759" s="51" t="b">
        <v>0</v>
      </c>
      <c r="Q1759" s="51" t="b">
        <v>0</v>
      </c>
      <c r="R1759" s="51" t="b">
        <v>0</v>
      </c>
      <c r="S1759" s="51" t="b">
        <v>0</v>
      </c>
    </row>
    <row r="1760" hidden="1">
      <c r="A1760" s="4" t="str">
        <f>IFERROR(__xludf.DUMMYFUNCTION("""COMPUTED_VALUE"""),"84 - Channel 5")</f>
        <v>84 - Channel 5</v>
      </c>
      <c r="B1760" s="4" t="s">
        <v>27</v>
      </c>
      <c r="C1760" s="4">
        <v>0.7001388888888904</v>
      </c>
      <c r="D1760" s="6">
        <v>1.7361111111111112E-4</v>
      </c>
      <c r="E1760" s="6">
        <v>0.7003125000000016</v>
      </c>
      <c r="F1760" s="6"/>
      <c r="G1760" s="4"/>
      <c r="H1760" s="4" t="s">
        <v>85</v>
      </c>
      <c r="I1760" s="4"/>
      <c r="J1760" s="4"/>
      <c r="K1760" s="4"/>
      <c r="L1760" s="4"/>
      <c r="M1760" s="4"/>
      <c r="N1760" s="4"/>
      <c r="O1760" s="51" t="b">
        <v>0</v>
      </c>
      <c r="P1760" s="51" t="b">
        <v>0</v>
      </c>
      <c r="Q1760" s="51" t="b">
        <v>0</v>
      </c>
      <c r="R1760" s="51" t="b">
        <v>0</v>
      </c>
      <c r="S1760" s="51" t="b">
        <v>0</v>
      </c>
    </row>
    <row r="1761">
      <c r="A1761" s="4" t="str">
        <f>IFERROR(__xludf.DUMMYFUNCTION("""COMPUTED_VALUE"""),"85 - Channel 5")</f>
        <v>85 - Channel 5</v>
      </c>
      <c r="B1761" s="4" t="s">
        <v>27</v>
      </c>
      <c r="C1761" s="4">
        <v>0.7003125000000016</v>
      </c>
      <c r="D1761" s="6">
        <v>2.0833333333333335E-4</v>
      </c>
      <c r="E1761" s="6">
        <v>0.7005208333333349</v>
      </c>
      <c r="F1761" s="6"/>
      <c r="G1761" s="4"/>
      <c r="H1761" s="4" t="s">
        <v>2102</v>
      </c>
      <c r="I1761" s="4"/>
      <c r="J1761" s="4"/>
      <c r="K1761" s="4"/>
      <c r="L1761" s="4"/>
      <c r="M1761" s="4"/>
      <c r="N1761" s="4"/>
      <c r="O1761" s="51" t="b">
        <v>0</v>
      </c>
      <c r="P1761" s="51" t="b">
        <v>0</v>
      </c>
      <c r="Q1761" s="51" t="b">
        <v>0</v>
      </c>
      <c r="R1761" s="51" t="b">
        <v>0</v>
      </c>
      <c r="S1761" s="51" t="b">
        <v>0</v>
      </c>
    </row>
    <row r="1762" hidden="1">
      <c r="A1762" s="4" t="str">
        <f>IFERROR(__xludf.DUMMYFUNCTION("""COMPUTED_VALUE"""),"86 - Channel 5")</f>
        <v>86 - Channel 5</v>
      </c>
      <c r="B1762" s="4" t="s">
        <v>27</v>
      </c>
      <c r="C1762" s="4">
        <v>0.7005208333333349</v>
      </c>
      <c r="D1762" s="6">
        <v>3.4722222222222224E-4</v>
      </c>
      <c r="E1762" s="6">
        <v>0.7008680555555572</v>
      </c>
      <c r="F1762" s="6"/>
      <c r="G1762" s="4"/>
      <c r="H1762" s="4" t="s">
        <v>89</v>
      </c>
      <c r="I1762" s="4"/>
      <c r="J1762" s="4"/>
      <c r="K1762" s="4"/>
      <c r="L1762" s="4"/>
      <c r="M1762" s="4"/>
      <c r="N1762" s="4"/>
      <c r="O1762" s="51" t="b">
        <v>0</v>
      </c>
      <c r="P1762" s="51" t="b">
        <v>0</v>
      </c>
      <c r="Q1762" s="51" t="b">
        <v>0</v>
      </c>
      <c r="R1762" s="51" t="b">
        <v>0</v>
      </c>
      <c r="S1762" s="51" t="b">
        <v>0</v>
      </c>
    </row>
    <row r="1763">
      <c r="A1763" s="4" t="str">
        <f>IFERROR(__xludf.DUMMYFUNCTION("""COMPUTED_VALUE"""),"87 - Channel 5")</f>
        <v>87 - Channel 5</v>
      </c>
      <c r="B1763" s="4" t="s">
        <v>27</v>
      </c>
      <c r="C1763" s="4">
        <v>0.7008680555555572</v>
      </c>
      <c r="D1763" s="6">
        <v>3.4722222222222224E-4</v>
      </c>
      <c r="E1763" s="6">
        <v>0.7012152777777795</v>
      </c>
      <c r="F1763" s="6"/>
      <c r="G1763" s="4"/>
      <c r="H1763" s="4" t="s">
        <v>81</v>
      </c>
      <c r="I1763" s="4"/>
      <c r="J1763" s="4"/>
      <c r="K1763" s="4"/>
      <c r="L1763" s="4"/>
      <c r="M1763" s="4"/>
      <c r="N1763" s="4"/>
      <c r="O1763" s="51" t="b">
        <v>0</v>
      </c>
      <c r="P1763" s="51" t="b">
        <v>0</v>
      </c>
      <c r="Q1763" s="51" t="b">
        <v>0</v>
      </c>
      <c r="R1763" s="51" t="b">
        <v>0</v>
      </c>
      <c r="S1763" s="51" t="b">
        <v>0</v>
      </c>
    </row>
    <row r="1764" hidden="1">
      <c r="A1764" s="4" t="str">
        <f>IFERROR(__xludf.DUMMYFUNCTION("""COMPUTED_VALUE"""),"88 - Channel 5")</f>
        <v>88 - Channel 5</v>
      </c>
      <c r="B1764" s="4" t="s">
        <v>27</v>
      </c>
      <c r="C1764" s="4">
        <v>0.7012152777777795</v>
      </c>
      <c r="D1764" s="6">
        <v>0.006944444444444444</v>
      </c>
      <c r="E1764" s="6">
        <v>0.7081597222222239</v>
      </c>
      <c r="F1764" s="6" t="s">
        <v>299</v>
      </c>
      <c r="G1764" s="4" t="s">
        <v>2082</v>
      </c>
      <c r="H1764" s="4" t="s">
        <v>2196</v>
      </c>
      <c r="I1764" s="4" t="s">
        <v>1323</v>
      </c>
      <c r="J1764" s="4" t="s">
        <v>2197</v>
      </c>
      <c r="K1764" s="4" t="s">
        <v>2198</v>
      </c>
      <c r="L1764" s="4" t="s">
        <v>2199</v>
      </c>
      <c r="M1764" s="4" t="s">
        <v>2200</v>
      </c>
      <c r="N1764" s="4"/>
      <c r="O1764" s="51" t="b">
        <v>0</v>
      </c>
      <c r="P1764" s="51" t="b">
        <v>0</v>
      </c>
      <c r="Q1764" s="51" t="b">
        <v>0</v>
      </c>
      <c r="R1764" s="51" t="b">
        <v>0</v>
      </c>
      <c r="S1764" s="51" t="b">
        <v>0</v>
      </c>
    </row>
    <row r="1765" hidden="1">
      <c r="A1765" s="4" t="str">
        <f>IFERROR(__xludf.DUMMYFUNCTION("""COMPUTED_VALUE"""),"89 - Channel 5")</f>
        <v>89 - Channel 5</v>
      </c>
      <c r="B1765" s="4" t="s">
        <v>27</v>
      </c>
      <c r="C1765" s="4">
        <v>0.7081597222222239</v>
      </c>
      <c r="D1765" s="6">
        <v>1.7361111111111112E-4</v>
      </c>
      <c r="E1765" s="6">
        <v>0.708333333333335</v>
      </c>
      <c r="F1765" s="6"/>
      <c r="G1765" s="4"/>
      <c r="H1765" s="4" t="s">
        <v>85</v>
      </c>
      <c r="I1765" s="4"/>
      <c r="J1765" s="4"/>
      <c r="K1765" s="4"/>
      <c r="L1765" s="4"/>
      <c r="M1765" s="4"/>
      <c r="N1765" s="4"/>
      <c r="O1765" s="51" t="b">
        <v>0</v>
      </c>
      <c r="P1765" s="51" t="b">
        <v>0</v>
      </c>
      <c r="Q1765" s="51" t="b">
        <v>0</v>
      </c>
      <c r="R1765" s="51" t="b">
        <v>0</v>
      </c>
      <c r="S1765" s="51" t="b">
        <v>0</v>
      </c>
    </row>
    <row r="1766">
      <c r="A1766" s="4" t="str">
        <f>IFERROR(__xludf.DUMMYFUNCTION("""COMPUTED_VALUE"""),"90 - Channel 5")</f>
        <v>90 - Channel 5</v>
      </c>
      <c r="B1766" s="4" t="s">
        <v>27</v>
      </c>
      <c r="C1766" s="4"/>
      <c r="D1766" s="6"/>
      <c r="E1766" s="6"/>
      <c r="F1766" s="6"/>
      <c r="G1766" s="4"/>
      <c r="H1766" s="4"/>
      <c r="I1766" s="4"/>
      <c r="J1766" s="4"/>
      <c r="K1766" s="4"/>
      <c r="L1766" s="4"/>
      <c r="M1766" s="4"/>
      <c r="N1766" s="4"/>
      <c r="O1766" s="51" t="b">
        <v>0</v>
      </c>
      <c r="P1766" s="51" t="b">
        <v>0</v>
      </c>
      <c r="Q1766" s="51" t="b">
        <v>0</v>
      </c>
      <c r="R1766" s="51" t="b">
        <v>0</v>
      </c>
      <c r="S1766" s="51" t="b">
        <v>0</v>
      </c>
    </row>
    <row r="1767" hidden="1">
      <c r="A1767" s="4" t="str">
        <f>IFERROR(__xludf.DUMMYFUNCTION("""COMPUTED_VALUE"""),"91 - Channel 5")</f>
        <v>91 - Channel 5</v>
      </c>
      <c r="B1767" s="4" t="s">
        <v>27</v>
      </c>
      <c r="C1767" s="4">
        <v>0.4166666666666667</v>
      </c>
      <c r="D1767" s="6">
        <v>6.944444444444445E-4</v>
      </c>
      <c r="E1767" s="6">
        <v>0.4173611111111111</v>
      </c>
      <c r="F1767" s="6"/>
      <c r="G1767" s="4"/>
      <c r="H1767" s="4" t="s">
        <v>2079</v>
      </c>
      <c r="I1767" s="4"/>
      <c r="J1767" s="4"/>
      <c r="K1767" s="4"/>
      <c r="L1767" s="4"/>
      <c r="M1767" s="4"/>
      <c r="N1767" s="4"/>
      <c r="O1767" s="51" t="b">
        <v>0</v>
      </c>
      <c r="P1767" s="51" t="b">
        <v>0</v>
      </c>
      <c r="Q1767" s="51" t="b">
        <v>0</v>
      </c>
      <c r="R1767" s="51" t="b">
        <v>0</v>
      </c>
      <c r="S1767" s="51" t="b">
        <v>0</v>
      </c>
    </row>
    <row r="1768">
      <c r="A1768" s="4" t="str">
        <f>IFERROR(__xludf.DUMMYFUNCTION("""COMPUTED_VALUE"""),"92 - Channel 5")</f>
        <v>92 - Channel 5</v>
      </c>
      <c r="B1768" s="4" t="s">
        <v>27</v>
      </c>
      <c r="C1768" s="4">
        <v>0.4173611111111111</v>
      </c>
      <c r="D1768" s="6">
        <v>3.4722222222222224E-4</v>
      </c>
      <c r="E1768" s="6">
        <v>0.41770833333333335</v>
      </c>
      <c r="F1768" s="6"/>
      <c r="G1768" s="4"/>
      <c r="H1768" s="4" t="s">
        <v>81</v>
      </c>
      <c r="I1768" s="4"/>
      <c r="J1768" s="4"/>
      <c r="K1768" s="4"/>
      <c r="L1768" s="4"/>
      <c r="M1768" s="4"/>
      <c r="N1768" s="4"/>
      <c r="O1768" s="51" t="b">
        <v>0</v>
      </c>
      <c r="P1768" s="51" t="b">
        <v>0</v>
      </c>
      <c r="Q1768" s="51" t="b">
        <v>0</v>
      </c>
      <c r="R1768" s="51" t="b">
        <v>0</v>
      </c>
      <c r="S1768" s="51" t="b">
        <v>0</v>
      </c>
    </row>
    <row r="1769" hidden="1">
      <c r="A1769" s="4" t="str">
        <f>IFERROR(__xludf.DUMMYFUNCTION("""COMPUTED_VALUE"""),"93 - Channel 5")</f>
        <v>93 - Channel 5</v>
      </c>
      <c r="B1769" s="4" t="s">
        <v>27</v>
      </c>
      <c r="C1769" s="4">
        <v>0.41770833333333335</v>
      </c>
      <c r="D1769" s="6">
        <v>0.01769675925925926</v>
      </c>
      <c r="E1769" s="6">
        <v>0.43540509259259264</v>
      </c>
      <c r="F1769" s="6" t="s">
        <v>1017</v>
      </c>
      <c r="G1769" s="4" t="s">
        <v>2082</v>
      </c>
      <c r="H1769" s="4" t="s">
        <v>2204</v>
      </c>
      <c r="I1769" s="4"/>
      <c r="J1769" s="4"/>
      <c r="K1769" s="4"/>
      <c r="L1769" s="4"/>
      <c r="M1769" s="4" t="s">
        <v>2206</v>
      </c>
      <c r="N1769" s="4"/>
      <c r="O1769" s="51" t="b">
        <v>0</v>
      </c>
      <c r="P1769" s="51" t="b">
        <v>0</v>
      </c>
      <c r="Q1769" s="51" t="b">
        <v>0</v>
      </c>
      <c r="R1769" s="51" t="b">
        <v>0</v>
      </c>
      <c r="S1769" s="51" t="b">
        <v>0</v>
      </c>
    </row>
    <row r="1770" hidden="1">
      <c r="A1770" s="4" t="str">
        <f>IFERROR(__xludf.DUMMYFUNCTION("""COMPUTED_VALUE"""),"94 - Channel 5")</f>
        <v>94 - Channel 5</v>
      </c>
      <c r="B1770" s="4" t="s">
        <v>27</v>
      </c>
      <c r="C1770" s="4">
        <v>0.43540509259259264</v>
      </c>
      <c r="D1770" s="6">
        <v>1.7361111111111112E-4</v>
      </c>
      <c r="E1770" s="6">
        <v>0.4355787037037038</v>
      </c>
      <c r="F1770" s="6"/>
      <c r="G1770" s="4"/>
      <c r="H1770" s="4" t="s">
        <v>85</v>
      </c>
      <c r="I1770" s="4"/>
      <c r="J1770" s="4"/>
      <c r="K1770" s="4"/>
      <c r="L1770" s="4"/>
      <c r="M1770" s="4"/>
      <c r="N1770" s="4"/>
      <c r="O1770" s="51" t="b">
        <v>0</v>
      </c>
      <c r="P1770" s="51" t="b">
        <v>0</v>
      </c>
      <c r="Q1770" s="51" t="b">
        <v>0</v>
      </c>
      <c r="R1770" s="51" t="b">
        <v>0</v>
      </c>
      <c r="S1770" s="51" t="b">
        <v>0</v>
      </c>
    </row>
    <row r="1771">
      <c r="A1771" s="4" t="str">
        <f>IFERROR(__xludf.DUMMYFUNCTION("""COMPUTED_VALUE"""),"95 - Channel 5")</f>
        <v>95 - Channel 5</v>
      </c>
      <c r="B1771" s="4" t="s">
        <v>27</v>
      </c>
      <c r="C1771" s="4">
        <v>0.4355787037037038</v>
      </c>
      <c r="D1771" s="6">
        <v>3.4722222222222224E-4</v>
      </c>
      <c r="E1771" s="6">
        <v>0.435925925925926</v>
      </c>
      <c r="F1771" s="6"/>
      <c r="G1771" s="4"/>
      <c r="H1771" s="4" t="s">
        <v>2207</v>
      </c>
      <c r="I1771" s="4"/>
      <c r="J1771" s="4"/>
      <c r="K1771" s="4"/>
      <c r="L1771" s="4"/>
      <c r="M1771" s="4"/>
      <c r="N1771" s="4"/>
      <c r="O1771" s="51" t="b">
        <v>0</v>
      </c>
      <c r="P1771" s="51" t="b">
        <v>0</v>
      </c>
      <c r="Q1771" s="51" t="b">
        <v>0</v>
      </c>
      <c r="R1771" s="51" t="b">
        <v>0</v>
      </c>
      <c r="S1771" s="51" t="b">
        <v>0</v>
      </c>
    </row>
    <row r="1772" hidden="1">
      <c r="A1772" s="4" t="str">
        <f>IFERROR(__xludf.DUMMYFUNCTION("""COMPUTED_VALUE"""),"97 - Channel 5")</f>
        <v>97 - Channel 5</v>
      </c>
      <c r="B1772" s="4" t="s">
        <v>27</v>
      </c>
      <c r="C1772" s="4">
        <v>0.435925925925926</v>
      </c>
      <c r="D1772" s="6">
        <v>3.4722222222222224E-4</v>
      </c>
      <c r="E1772" s="6">
        <v>0.4362731481481482</v>
      </c>
      <c r="F1772" s="6"/>
      <c r="G1772" s="4"/>
      <c r="H1772" s="4" t="s">
        <v>81</v>
      </c>
      <c r="I1772" s="4"/>
      <c r="J1772" s="4"/>
      <c r="K1772" s="4"/>
      <c r="L1772" s="4"/>
      <c r="M1772" s="4"/>
      <c r="N1772" s="4"/>
      <c r="O1772" s="51" t="b">
        <v>0</v>
      </c>
      <c r="P1772" s="51" t="b">
        <v>0</v>
      </c>
      <c r="Q1772" s="51" t="b">
        <v>0</v>
      </c>
      <c r="R1772" s="51" t="b">
        <v>0</v>
      </c>
      <c r="S1772" s="51" t="b">
        <v>0</v>
      </c>
    </row>
    <row r="1773">
      <c r="A1773" s="4" t="str">
        <f>IFERROR(__xludf.DUMMYFUNCTION("""COMPUTED_VALUE"""),"98 - Channel 5")</f>
        <v>98 - Channel 5</v>
      </c>
      <c r="B1773" s="4" t="s">
        <v>27</v>
      </c>
      <c r="C1773" s="4">
        <v>0.4362731481481482</v>
      </c>
      <c r="D1773" s="6">
        <v>0.014965277777777777</v>
      </c>
      <c r="E1773" s="6">
        <v>0.451238425925926</v>
      </c>
      <c r="F1773" s="6" t="s">
        <v>358</v>
      </c>
      <c r="G1773" s="4" t="s">
        <v>2082</v>
      </c>
      <c r="H1773" s="4" t="s">
        <v>2210</v>
      </c>
      <c r="I1773" s="4"/>
      <c r="J1773" s="4"/>
      <c r="K1773" s="4"/>
      <c r="L1773" s="4"/>
      <c r="M1773" s="4" t="s">
        <v>2211</v>
      </c>
      <c r="N1773" s="4"/>
      <c r="O1773" s="51" t="b">
        <v>0</v>
      </c>
      <c r="P1773" s="51" t="b">
        <v>0</v>
      </c>
      <c r="Q1773" s="51" t="b">
        <v>0</v>
      </c>
      <c r="R1773" s="51" t="b">
        <v>0</v>
      </c>
      <c r="S1773" s="51" t="b">
        <v>0</v>
      </c>
    </row>
    <row r="1774" hidden="1">
      <c r="A1774" s="4" t="str">
        <f>IFERROR(__xludf.DUMMYFUNCTION("""COMPUTED_VALUE"""),"99 - Channel 5")</f>
        <v>99 - Channel 5</v>
      </c>
      <c r="B1774" s="4" t="s">
        <v>27</v>
      </c>
      <c r="C1774" s="4">
        <v>0.451238425925926</v>
      </c>
      <c r="D1774" s="6">
        <v>1.7361111111111112E-4</v>
      </c>
      <c r="E1774" s="6">
        <v>0.45141203703703714</v>
      </c>
      <c r="F1774" s="6"/>
      <c r="G1774" s="4"/>
      <c r="H1774" s="4" t="s">
        <v>85</v>
      </c>
      <c r="I1774" s="4"/>
      <c r="J1774" s="4"/>
      <c r="K1774" s="4"/>
      <c r="L1774" s="4"/>
      <c r="M1774" s="4"/>
      <c r="N1774" s="4"/>
      <c r="O1774" s="51" t="b">
        <v>0</v>
      </c>
      <c r="P1774" s="51" t="b">
        <v>0</v>
      </c>
      <c r="Q1774" s="51" t="b">
        <v>0</v>
      </c>
      <c r="R1774" s="51" t="b">
        <v>0</v>
      </c>
      <c r="S1774" s="51" t="b">
        <v>0</v>
      </c>
    </row>
    <row r="1775">
      <c r="A1775" s="4" t="str">
        <f>IFERROR(__xludf.DUMMYFUNCTION("""COMPUTED_VALUE"""),"100 - Channel 5")</f>
        <v>100 - Channel 5</v>
      </c>
      <c r="B1775" s="4" t="s">
        <v>27</v>
      </c>
      <c r="C1775" s="4">
        <v>0.45141203703703714</v>
      </c>
      <c r="D1775" s="6">
        <v>3.4722222222222224E-4</v>
      </c>
      <c r="E1775" s="6">
        <v>0.45175925925925936</v>
      </c>
      <c r="F1775" s="6"/>
      <c r="G1775" s="4"/>
      <c r="H1775" s="4" t="s">
        <v>81</v>
      </c>
      <c r="I1775" s="4"/>
      <c r="J1775" s="4"/>
      <c r="K1775" s="4"/>
      <c r="L1775" s="4"/>
      <c r="M1775" s="4"/>
      <c r="N1775" s="4"/>
      <c r="O1775" s="51" t="b">
        <v>0</v>
      </c>
      <c r="P1775" s="51" t="b">
        <v>0</v>
      </c>
      <c r="Q1775" s="51" t="b">
        <v>0</v>
      </c>
      <c r="R1775" s="51" t="b">
        <v>0</v>
      </c>
      <c r="S1775" s="51" t="b">
        <v>0</v>
      </c>
    </row>
    <row r="1776" hidden="1">
      <c r="A1776" s="4" t="str">
        <f>IFERROR(__xludf.DUMMYFUNCTION("""COMPUTED_VALUE"""),"101 - Channel 5")</f>
        <v>101 - Channel 5</v>
      </c>
      <c r="B1776" s="4" t="s">
        <v>27</v>
      </c>
      <c r="C1776" s="4">
        <v>0.45175925925925936</v>
      </c>
      <c r="D1776" s="6">
        <v>0.006944444444444444</v>
      </c>
      <c r="E1776" s="6">
        <v>0.4587037037037038</v>
      </c>
      <c r="F1776" s="6" t="s">
        <v>394</v>
      </c>
      <c r="G1776" s="4" t="s">
        <v>2082</v>
      </c>
      <c r="H1776" s="4" t="s">
        <v>2213</v>
      </c>
      <c r="I1776" s="4" t="s">
        <v>2214</v>
      </c>
      <c r="J1776" s="4" t="s">
        <v>2215</v>
      </c>
      <c r="K1776" s="4" t="s">
        <v>2216</v>
      </c>
      <c r="L1776" s="4" t="s">
        <v>2217</v>
      </c>
      <c r="M1776" s="4" t="s">
        <v>2218</v>
      </c>
      <c r="N1776" s="4"/>
      <c r="O1776" s="51" t="b">
        <v>0</v>
      </c>
      <c r="P1776" s="51" t="b">
        <v>0</v>
      </c>
      <c r="Q1776" s="51" t="b">
        <v>0</v>
      </c>
      <c r="R1776" s="51" t="b">
        <v>0</v>
      </c>
      <c r="S1776" s="51" t="b">
        <v>0</v>
      </c>
    </row>
    <row r="1777">
      <c r="A1777" s="4" t="str">
        <f>IFERROR(__xludf.DUMMYFUNCTION("""COMPUTED_VALUE"""),"102 - Channel 5")</f>
        <v>102 - Channel 5</v>
      </c>
      <c r="B1777" s="4" t="s">
        <v>27</v>
      </c>
      <c r="C1777" s="4">
        <v>0.4587037037037038</v>
      </c>
      <c r="D1777" s="6">
        <v>1.7361111111111112E-4</v>
      </c>
      <c r="E1777" s="6">
        <v>0.4588773148148149</v>
      </c>
      <c r="F1777" s="6"/>
      <c r="G1777" s="4"/>
      <c r="H1777" s="4" t="s">
        <v>85</v>
      </c>
      <c r="I1777" s="4"/>
      <c r="J1777" s="4"/>
      <c r="K1777" s="4"/>
      <c r="L1777" s="4"/>
      <c r="M1777" s="4"/>
      <c r="N1777" s="4"/>
      <c r="O1777" s="51" t="b">
        <v>0</v>
      </c>
      <c r="P1777" s="51" t="b">
        <v>0</v>
      </c>
      <c r="Q1777" s="51" t="b">
        <v>0</v>
      </c>
      <c r="R1777" s="51" t="b">
        <v>0</v>
      </c>
      <c r="S1777" s="51" t="b">
        <v>0</v>
      </c>
    </row>
    <row r="1778">
      <c r="A1778" s="4" t="str">
        <f>IFERROR(__xludf.DUMMYFUNCTION("""COMPUTED_VALUE"""),"337 - Channel 5")</f>
        <v>337 - Channel 5</v>
      </c>
      <c r="B1778" s="4" t="s">
        <v>27</v>
      </c>
      <c r="C1778" s="4">
        <v>0.4588773148148149</v>
      </c>
      <c r="D1778" s="6">
        <v>3.4722222222222224E-4</v>
      </c>
      <c r="E1778" s="6">
        <v>0.45922453703703714</v>
      </c>
      <c r="F1778" s="6"/>
      <c r="G1778" s="4"/>
      <c r="H1778" s="4" t="s">
        <v>2207</v>
      </c>
      <c r="I1778" s="4"/>
      <c r="J1778" s="4"/>
      <c r="K1778" s="4"/>
      <c r="L1778" s="4"/>
      <c r="M1778" s="4"/>
      <c r="N1778" s="4"/>
      <c r="O1778" s="51" t="b">
        <v>0</v>
      </c>
      <c r="P1778" s="51" t="b">
        <v>0</v>
      </c>
      <c r="Q1778" s="51" t="b">
        <v>0</v>
      </c>
      <c r="R1778" s="51" t="b">
        <v>0</v>
      </c>
      <c r="S1778" s="51" t="b">
        <v>0</v>
      </c>
    </row>
    <row r="1779" hidden="1">
      <c r="A1779" s="4" t="str">
        <f>IFERROR(__xludf.DUMMYFUNCTION("""COMPUTED_VALUE"""),"104 - Channel 5")</f>
        <v>104 - Channel 5</v>
      </c>
      <c r="B1779" s="4" t="s">
        <v>27</v>
      </c>
      <c r="C1779" s="4">
        <v>0.45922453703703714</v>
      </c>
      <c r="D1779" s="6">
        <v>3.4722222222222224E-4</v>
      </c>
      <c r="E1779" s="6">
        <v>0.45957175925925936</v>
      </c>
      <c r="F1779" s="6"/>
      <c r="G1779" s="4"/>
      <c r="H1779" s="4" t="s">
        <v>81</v>
      </c>
      <c r="I1779" s="4"/>
      <c r="J1779" s="4"/>
      <c r="K1779" s="4"/>
      <c r="L1779" s="4"/>
      <c r="M1779" s="4"/>
      <c r="N1779" s="4"/>
      <c r="O1779" s="51" t="b">
        <v>0</v>
      </c>
      <c r="P1779" s="51" t="b">
        <v>0</v>
      </c>
      <c r="Q1779" s="51" t="b">
        <v>0</v>
      </c>
      <c r="R1779" s="51" t="b">
        <v>0</v>
      </c>
      <c r="S1779" s="51" t="b">
        <v>0</v>
      </c>
    </row>
    <row r="1780">
      <c r="A1780" s="4" t="str">
        <f>IFERROR(__xludf.DUMMYFUNCTION("""COMPUTED_VALUE"""),"105 - Channel 5")</f>
        <v>105 - Channel 5</v>
      </c>
      <c r="B1780" s="4" t="s">
        <v>27</v>
      </c>
      <c r="C1780" s="4">
        <v>0.45957175925925936</v>
      </c>
      <c r="D1780" s="6">
        <v>0.018935185185185187</v>
      </c>
      <c r="E1780" s="6">
        <v>0.4785069444444445</v>
      </c>
      <c r="F1780" s="6" t="s">
        <v>106</v>
      </c>
      <c r="G1780" s="4" t="s">
        <v>2082</v>
      </c>
      <c r="H1780" s="4" t="s">
        <v>2222</v>
      </c>
      <c r="I1780" s="4"/>
      <c r="J1780" s="4"/>
      <c r="K1780" s="4"/>
      <c r="L1780" s="4"/>
      <c r="M1780" s="4" t="s">
        <v>2224</v>
      </c>
      <c r="N1780" s="4"/>
      <c r="O1780" s="51" t="b">
        <v>0</v>
      </c>
      <c r="P1780" s="51" t="b">
        <v>0</v>
      </c>
      <c r="Q1780" s="51" t="b">
        <v>0</v>
      </c>
      <c r="R1780" s="51" t="b">
        <v>0</v>
      </c>
      <c r="S1780" s="51" t="b">
        <v>0</v>
      </c>
    </row>
    <row r="1781" hidden="1">
      <c r="A1781" s="4" t="str">
        <f>IFERROR(__xludf.DUMMYFUNCTION("""COMPUTED_VALUE"""),"106 - Channel 5")</f>
        <v>106 - Channel 5</v>
      </c>
      <c r="B1781" s="4" t="s">
        <v>27</v>
      </c>
      <c r="C1781" s="4">
        <v>0.4785069444444445</v>
      </c>
      <c r="D1781" s="6">
        <v>1.7361111111111112E-4</v>
      </c>
      <c r="E1781" s="6">
        <v>0.47868055555555566</v>
      </c>
      <c r="F1781" s="6"/>
      <c r="G1781" s="4"/>
      <c r="H1781" s="4" t="s">
        <v>85</v>
      </c>
      <c r="I1781" s="4"/>
      <c r="J1781" s="4"/>
      <c r="K1781" s="4"/>
      <c r="L1781" s="4"/>
      <c r="M1781" s="4"/>
      <c r="N1781" s="4"/>
      <c r="O1781" s="51" t="b">
        <v>0</v>
      </c>
      <c r="P1781" s="51" t="b">
        <v>0</v>
      </c>
      <c r="Q1781" s="51" t="b">
        <v>0</v>
      </c>
      <c r="R1781" s="51" t="b">
        <v>0</v>
      </c>
      <c r="S1781" s="51" t="b">
        <v>0</v>
      </c>
    </row>
    <row r="1782">
      <c r="A1782" s="4" t="str">
        <f>IFERROR(__xludf.DUMMYFUNCTION("""COMPUTED_VALUE"""),"108 - Channel 5")</f>
        <v>108 - Channel 5</v>
      </c>
      <c r="B1782" s="4" t="s">
        <v>27</v>
      </c>
      <c r="C1782" s="4">
        <v>0.47868055555555566</v>
      </c>
      <c r="D1782" s="6">
        <v>3.4722222222222224E-4</v>
      </c>
      <c r="E1782" s="6">
        <v>0.4790277777777779</v>
      </c>
      <c r="F1782" s="6"/>
      <c r="G1782" s="4"/>
      <c r="H1782" s="4" t="s">
        <v>81</v>
      </c>
      <c r="I1782" s="4"/>
      <c r="J1782" s="4"/>
      <c r="K1782" s="4"/>
      <c r="L1782" s="4"/>
      <c r="M1782" s="4"/>
      <c r="N1782" s="4"/>
      <c r="O1782" s="51" t="b">
        <v>0</v>
      </c>
      <c r="P1782" s="51" t="b">
        <v>0</v>
      </c>
      <c r="Q1782" s="51" t="b">
        <v>0</v>
      </c>
      <c r="R1782" s="51" t="b">
        <v>0</v>
      </c>
      <c r="S1782" s="51" t="b">
        <v>0</v>
      </c>
    </row>
    <row r="1783" hidden="1">
      <c r="A1783" s="4" t="str">
        <f>IFERROR(__xludf.DUMMYFUNCTION("""COMPUTED_VALUE"""),"109 - Channel 5")</f>
        <v>109 - Channel 5</v>
      </c>
      <c r="B1783" s="4" t="s">
        <v>27</v>
      </c>
      <c r="C1783" s="4">
        <v>0.4790277777777779</v>
      </c>
      <c r="D1783" s="6">
        <v>0.019965277777777776</v>
      </c>
      <c r="E1783" s="6">
        <v>0.4989930555555557</v>
      </c>
      <c r="F1783" s="6" t="s">
        <v>394</v>
      </c>
      <c r="G1783" s="4" t="s">
        <v>2082</v>
      </c>
      <c r="H1783" s="4" t="s">
        <v>2227</v>
      </c>
      <c r="I1783" s="4"/>
      <c r="J1783" s="4"/>
      <c r="K1783" s="4"/>
      <c r="L1783" s="4"/>
      <c r="M1783" s="4" t="s">
        <v>2228</v>
      </c>
      <c r="N1783" s="4"/>
      <c r="O1783" s="51" t="b">
        <v>0</v>
      </c>
      <c r="P1783" s="51" t="b">
        <v>0</v>
      </c>
      <c r="Q1783" s="51" t="b">
        <v>0</v>
      </c>
      <c r="R1783" s="51" t="b">
        <v>0</v>
      </c>
      <c r="S1783" s="51" t="b">
        <v>0</v>
      </c>
    </row>
    <row r="1784">
      <c r="A1784" s="4" t="str">
        <f>IFERROR(__xludf.DUMMYFUNCTION("""COMPUTED_VALUE"""),"110 - Channel 5")</f>
        <v>110 - Channel 5</v>
      </c>
      <c r="B1784" s="4" t="s">
        <v>27</v>
      </c>
      <c r="C1784" s="4">
        <v>0.4989930555555557</v>
      </c>
      <c r="D1784" s="6">
        <v>1.7361111111111112E-4</v>
      </c>
      <c r="E1784" s="6">
        <v>0.4991666666666668</v>
      </c>
      <c r="F1784" s="6"/>
      <c r="G1784" s="4"/>
      <c r="H1784" s="4" t="s">
        <v>85</v>
      </c>
      <c r="I1784" s="4"/>
      <c r="J1784" s="4"/>
      <c r="K1784" s="4"/>
      <c r="L1784" s="4"/>
      <c r="M1784" s="4"/>
      <c r="N1784" s="4"/>
      <c r="O1784" s="51" t="b">
        <v>0</v>
      </c>
      <c r="P1784" s="51" t="b">
        <v>0</v>
      </c>
      <c r="Q1784" s="51" t="b">
        <v>0</v>
      </c>
      <c r="R1784" s="51" t="b">
        <v>0</v>
      </c>
      <c r="S1784" s="51" t="b">
        <v>0</v>
      </c>
    </row>
    <row r="1785">
      <c r="A1785" s="4" t="str">
        <f>IFERROR(__xludf.DUMMYFUNCTION("""COMPUTED_VALUE"""),"111 - Channel 5")</f>
        <v>111 - Channel 5</v>
      </c>
      <c r="B1785" s="4" t="s">
        <v>27</v>
      </c>
      <c r="C1785" s="4">
        <v>0.4991666666666668</v>
      </c>
      <c r="D1785" s="6">
        <v>3.4722222222222224E-4</v>
      </c>
      <c r="E1785" s="6">
        <v>0.49951388888888903</v>
      </c>
      <c r="F1785" s="6"/>
      <c r="G1785" s="4"/>
      <c r="H1785" s="4" t="s">
        <v>2207</v>
      </c>
      <c r="I1785" s="4"/>
      <c r="J1785" s="4"/>
      <c r="K1785" s="4"/>
      <c r="L1785" s="4"/>
      <c r="M1785" s="4"/>
      <c r="N1785" s="4"/>
      <c r="O1785" s="51" t="b">
        <v>0</v>
      </c>
      <c r="P1785" s="51" t="b">
        <v>0</v>
      </c>
      <c r="Q1785" s="51" t="b">
        <v>0</v>
      </c>
      <c r="R1785" s="51" t="b">
        <v>0</v>
      </c>
      <c r="S1785" s="51" t="b">
        <v>0</v>
      </c>
    </row>
    <row r="1786" hidden="1">
      <c r="A1786" s="4" t="str">
        <f>IFERROR(__xludf.DUMMYFUNCTION("""COMPUTED_VALUE"""),"112 - Channel 5")</f>
        <v>112 - Channel 5</v>
      </c>
      <c r="B1786" s="4" t="s">
        <v>27</v>
      </c>
      <c r="C1786" s="4">
        <v>0.49951388888888903</v>
      </c>
      <c r="D1786" s="6">
        <v>3.4722222222222224E-4</v>
      </c>
      <c r="E1786" s="6">
        <v>0.49986111111111126</v>
      </c>
      <c r="F1786" s="6"/>
      <c r="G1786" s="4"/>
      <c r="H1786" s="4" t="s">
        <v>81</v>
      </c>
      <c r="I1786" s="4"/>
      <c r="J1786" s="4"/>
      <c r="K1786" s="4"/>
      <c r="L1786" s="4"/>
      <c r="M1786" s="4"/>
      <c r="N1786" s="4"/>
      <c r="O1786" s="51" t="b">
        <v>0</v>
      </c>
      <c r="P1786" s="51" t="b">
        <v>0</v>
      </c>
      <c r="Q1786" s="51" t="b">
        <v>0</v>
      </c>
      <c r="R1786" s="51" t="b">
        <v>0</v>
      </c>
      <c r="S1786" s="51" t="b">
        <v>0</v>
      </c>
    </row>
    <row r="1787">
      <c r="A1787" s="4" t="str">
        <f>IFERROR(__xludf.DUMMYFUNCTION("""COMPUTED_VALUE"""),"113 - Channel 5")</f>
        <v>113 - Channel 5</v>
      </c>
      <c r="B1787" s="4" t="s">
        <v>27</v>
      </c>
      <c r="C1787" s="4">
        <v>0.49986111111111126</v>
      </c>
      <c r="D1787" s="6">
        <v>0.006944444444444444</v>
      </c>
      <c r="E1787" s="6">
        <v>0.5068055555555557</v>
      </c>
      <c r="F1787" s="6" t="s">
        <v>441</v>
      </c>
      <c r="G1787" s="4" t="s">
        <v>2082</v>
      </c>
      <c r="H1787" s="4" t="s">
        <v>2234</v>
      </c>
      <c r="I1787" s="4" t="s">
        <v>2235</v>
      </c>
      <c r="J1787" s="4" t="s">
        <v>2236</v>
      </c>
      <c r="K1787" s="4" t="s">
        <v>1258</v>
      </c>
      <c r="L1787" s="4" t="s">
        <v>2237</v>
      </c>
      <c r="M1787" s="4" t="s">
        <v>2238</v>
      </c>
      <c r="N1787" s="4"/>
      <c r="O1787" s="51" t="b">
        <v>0</v>
      </c>
      <c r="P1787" s="51" t="b">
        <v>0</v>
      </c>
      <c r="Q1787" s="51" t="b">
        <v>0</v>
      </c>
      <c r="R1787" s="51" t="b">
        <v>0</v>
      </c>
      <c r="S1787" s="51" t="b">
        <v>0</v>
      </c>
    </row>
    <row r="1788" hidden="1">
      <c r="A1788" s="4" t="str">
        <f>IFERROR(__xludf.DUMMYFUNCTION("""COMPUTED_VALUE"""),"114 - Channel 5")</f>
        <v>114 - Channel 5</v>
      </c>
      <c r="B1788" s="4" t="s">
        <v>27</v>
      </c>
      <c r="C1788" s="4">
        <v>0.5068055555555557</v>
      </c>
      <c r="D1788" s="6">
        <v>1.7361111111111112E-4</v>
      </c>
      <c r="E1788" s="6">
        <v>0.5069791666666669</v>
      </c>
      <c r="F1788" s="6"/>
      <c r="G1788" s="4"/>
      <c r="H1788" s="4" t="s">
        <v>85</v>
      </c>
      <c r="I1788" s="4"/>
      <c r="J1788" s="4"/>
      <c r="K1788" s="4"/>
      <c r="L1788" s="4"/>
      <c r="M1788" s="4"/>
      <c r="N1788" s="4"/>
      <c r="O1788" s="51" t="b">
        <v>0</v>
      </c>
      <c r="P1788" s="51" t="b">
        <v>0</v>
      </c>
      <c r="Q1788" s="51" t="b">
        <v>0</v>
      </c>
      <c r="R1788" s="51" t="b">
        <v>0</v>
      </c>
      <c r="S1788" s="51" t="b">
        <v>0</v>
      </c>
    </row>
    <row r="1789">
      <c r="A1789" s="4" t="str">
        <f>IFERROR(__xludf.DUMMYFUNCTION("""COMPUTED_VALUE"""),"291 - Channel 5")</f>
        <v>291 - Channel 5</v>
      </c>
      <c r="B1789" s="4" t="s">
        <v>27</v>
      </c>
      <c r="C1789" s="4">
        <v>0.5069791666666669</v>
      </c>
      <c r="D1789" s="6">
        <v>3.4722222222222224E-4</v>
      </c>
      <c r="E1789" s="6">
        <v>0.5073263888888891</v>
      </c>
      <c r="F1789" s="6"/>
      <c r="G1789" s="4"/>
      <c r="H1789" s="4" t="s">
        <v>2207</v>
      </c>
      <c r="I1789" s="4"/>
      <c r="J1789" s="4"/>
      <c r="K1789" s="4"/>
      <c r="L1789" s="4"/>
      <c r="M1789" s="4"/>
      <c r="N1789" s="4"/>
      <c r="O1789" s="51" t="b">
        <v>0</v>
      </c>
      <c r="P1789" s="51" t="b">
        <v>0</v>
      </c>
      <c r="Q1789" s="51" t="b">
        <v>0</v>
      </c>
      <c r="R1789" s="51" t="b">
        <v>0</v>
      </c>
      <c r="S1789" s="51" t="b">
        <v>0</v>
      </c>
    </row>
    <row r="1790" hidden="1">
      <c r="A1790" s="4" t="str">
        <f>IFERROR(__xludf.DUMMYFUNCTION("""COMPUTED_VALUE"""),"116 - Channel 5")</f>
        <v>116 - Channel 5</v>
      </c>
      <c r="B1790" s="4" t="s">
        <v>27</v>
      </c>
      <c r="C1790" s="4">
        <v>0.5073263888888891</v>
      </c>
      <c r="D1790" s="6">
        <v>3.4722222222222224E-4</v>
      </c>
      <c r="E1790" s="6">
        <v>0.5076736111111114</v>
      </c>
      <c r="F1790" s="6"/>
      <c r="G1790" s="4"/>
      <c r="H1790" s="4" t="s">
        <v>81</v>
      </c>
      <c r="I1790" s="4"/>
      <c r="J1790" s="4"/>
      <c r="K1790" s="4"/>
      <c r="L1790" s="4"/>
      <c r="M1790" s="4"/>
      <c r="N1790" s="4"/>
      <c r="O1790" s="51" t="b">
        <v>0</v>
      </c>
      <c r="P1790" s="51" t="b">
        <v>0</v>
      </c>
      <c r="Q1790" s="51" t="b">
        <v>0</v>
      </c>
      <c r="R1790" s="51" t="b">
        <v>0</v>
      </c>
      <c r="S1790" s="51" t="b">
        <v>0</v>
      </c>
    </row>
    <row r="1791">
      <c r="A1791" s="4" t="str">
        <f>IFERROR(__xludf.DUMMYFUNCTION("""COMPUTED_VALUE"""),"117 - Channel 5")</f>
        <v>117 - Channel 5</v>
      </c>
      <c r="B1791" s="4" t="s">
        <v>27</v>
      </c>
      <c r="C1791" s="4">
        <v>0.5076736111111114</v>
      </c>
      <c r="D1791" s="6">
        <v>0.012060185185185186</v>
      </c>
      <c r="E1791" s="6">
        <v>0.5197337962962966</v>
      </c>
      <c r="F1791" s="6" t="s">
        <v>299</v>
      </c>
      <c r="G1791" s="4" t="s">
        <v>2082</v>
      </c>
      <c r="H1791" s="4" t="s">
        <v>2241</v>
      </c>
      <c r="I1791" s="4"/>
      <c r="J1791" s="4"/>
      <c r="K1791" s="4"/>
      <c r="L1791" s="4"/>
      <c r="M1791" s="4" t="s">
        <v>2243</v>
      </c>
      <c r="N1791" s="4"/>
      <c r="O1791" s="51" t="b">
        <v>0</v>
      </c>
      <c r="P1791" s="51" t="b">
        <v>0</v>
      </c>
      <c r="Q1791" s="51" t="b">
        <v>0</v>
      </c>
      <c r="R1791" s="51" t="b">
        <v>0</v>
      </c>
      <c r="S1791" s="51" t="b">
        <v>0</v>
      </c>
    </row>
    <row r="1792" hidden="1">
      <c r="A1792" s="4" t="str">
        <f>IFERROR(__xludf.DUMMYFUNCTION("""COMPUTED_VALUE"""),"118 - Channel 5")</f>
        <v>118 - Channel 5</v>
      </c>
      <c r="B1792" s="4" t="s">
        <v>27</v>
      </c>
      <c r="C1792" s="4">
        <v>0.5197337962962966</v>
      </c>
      <c r="D1792" s="6">
        <v>1.7361111111111112E-4</v>
      </c>
      <c r="E1792" s="6">
        <v>0.5199074074074077</v>
      </c>
      <c r="F1792" s="6"/>
      <c r="G1792" s="4"/>
      <c r="H1792" s="4" t="s">
        <v>85</v>
      </c>
      <c r="I1792" s="4"/>
      <c r="J1792" s="4"/>
      <c r="K1792" s="4"/>
      <c r="L1792" s="4"/>
      <c r="M1792" s="4"/>
      <c r="N1792" s="4"/>
      <c r="O1792" s="51" t="b">
        <v>0</v>
      </c>
      <c r="P1792" s="51" t="b">
        <v>0</v>
      </c>
      <c r="Q1792" s="51" t="b">
        <v>0</v>
      </c>
      <c r="R1792" s="51" t="b">
        <v>0</v>
      </c>
      <c r="S1792" s="51" t="b">
        <v>0</v>
      </c>
    </row>
    <row r="1793">
      <c r="A1793" s="4" t="str">
        <f>IFERROR(__xludf.DUMMYFUNCTION("""COMPUTED_VALUE"""),"119 - Channel 5")</f>
        <v>119 - Channel 5</v>
      </c>
      <c r="B1793" s="4" t="s">
        <v>27</v>
      </c>
      <c r="C1793" s="4">
        <v>0.5199074074074077</v>
      </c>
      <c r="D1793" s="6">
        <v>5.208333333333333E-4</v>
      </c>
      <c r="E1793" s="6">
        <v>0.520428240740741</v>
      </c>
      <c r="F1793" s="6"/>
      <c r="G1793" s="4"/>
      <c r="H1793" s="4" t="s">
        <v>2140</v>
      </c>
      <c r="I1793" s="4"/>
      <c r="J1793" s="4"/>
      <c r="K1793" s="4"/>
      <c r="L1793" s="4"/>
      <c r="M1793" s="4"/>
      <c r="N1793" s="4"/>
      <c r="O1793" s="51" t="b">
        <v>0</v>
      </c>
      <c r="P1793" s="51" t="b">
        <v>0</v>
      </c>
      <c r="Q1793" s="51" t="b">
        <v>0</v>
      </c>
      <c r="R1793" s="51" t="b">
        <v>0</v>
      </c>
      <c r="S1793" s="51" t="b">
        <v>0</v>
      </c>
    </row>
    <row r="1794" hidden="1">
      <c r="A1794" s="4" t="str">
        <f>IFERROR(__xludf.DUMMYFUNCTION("""COMPUTED_VALUE"""),"293 - Channel 5")</f>
        <v>293 - Channel 5</v>
      </c>
      <c r="B1794" s="4" t="s">
        <v>27</v>
      </c>
      <c r="C1794" s="4">
        <v>0.520428240740741</v>
      </c>
      <c r="D1794" s="6">
        <v>6.944444444444445E-4</v>
      </c>
      <c r="E1794" s="6">
        <v>0.5211226851851855</v>
      </c>
      <c r="F1794" s="6"/>
      <c r="G1794" s="4"/>
      <c r="H1794" s="4" t="s">
        <v>2102</v>
      </c>
      <c r="I1794" s="4"/>
      <c r="J1794" s="4"/>
      <c r="K1794" s="4"/>
      <c r="L1794" s="4"/>
      <c r="M1794" s="4"/>
      <c r="N1794" s="4"/>
      <c r="O1794" s="51" t="b">
        <v>0</v>
      </c>
      <c r="P1794" s="51" t="b">
        <v>0</v>
      </c>
      <c r="Q1794" s="51" t="b">
        <v>0</v>
      </c>
      <c r="R1794" s="51" t="b">
        <v>0</v>
      </c>
      <c r="S1794" s="51" t="b">
        <v>0</v>
      </c>
    </row>
    <row r="1795">
      <c r="A1795" s="4" t="str">
        <f>IFERROR(__xludf.DUMMYFUNCTION("""COMPUTED_VALUE"""),"121 - Channel 5")</f>
        <v>121 - Channel 5</v>
      </c>
      <c r="B1795" s="4" t="s">
        <v>27</v>
      </c>
      <c r="C1795" s="4">
        <v>0.5211226851851855</v>
      </c>
      <c r="D1795" s="6">
        <v>3.4722222222222224E-4</v>
      </c>
      <c r="E1795" s="6">
        <v>0.5214699074074077</v>
      </c>
      <c r="F1795" s="6"/>
      <c r="G1795" s="4"/>
      <c r="H1795" s="4" t="s">
        <v>81</v>
      </c>
      <c r="I1795" s="4"/>
      <c r="J1795" s="4"/>
      <c r="K1795" s="4"/>
      <c r="L1795" s="4"/>
      <c r="M1795" s="4"/>
      <c r="N1795" s="4"/>
      <c r="O1795" s="51" t="b">
        <v>0</v>
      </c>
      <c r="P1795" s="51" t="b">
        <v>0</v>
      </c>
      <c r="Q1795" s="51" t="b">
        <v>0</v>
      </c>
      <c r="R1795" s="51" t="b">
        <v>0</v>
      </c>
      <c r="S1795" s="51" t="b">
        <v>0</v>
      </c>
    </row>
    <row r="1796" hidden="1">
      <c r="A1796" s="4" t="str">
        <f>IFERROR(__xludf.DUMMYFUNCTION("""COMPUTED_VALUE"""),"122 - Channel 5")</f>
        <v>122 - Channel 5</v>
      </c>
      <c r="B1796" s="4" t="s">
        <v>27</v>
      </c>
      <c r="C1796" s="4">
        <v>0.5214699074074077</v>
      </c>
      <c r="D1796" s="6">
        <v>0.015625</v>
      </c>
      <c r="E1796" s="6">
        <v>0.5370949074074077</v>
      </c>
      <c r="F1796" s="6" t="s">
        <v>299</v>
      </c>
      <c r="G1796" s="4" t="s">
        <v>2082</v>
      </c>
      <c r="H1796" s="4" t="s">
        <v>2246</v>
      </c>
      <c r="I1796" s="4"/>
      <c r="J1796" s="4"/>
      <c r="K1796" s="4"/>
      <c r="L1796" s="4"/>
      <c r="M1796" s="4" t="s">
        <v>2247</v>
      </c>
      <c r="N1796" s="4"/>
      <c r="O1796" s="51" t="b">
        <v>0</v>
      </c>
      <c r="P1796" s="51" t="b">
        <v>0</v>
      </c>
      <c r="Q1796" s="51" t="b">
        <v>0</v>
      </c>
      <c r="R1796" s="51" t="b">
        <v>0</v>
      </c>
      <c r="S1796" s="51" t="b">
        <v>0</v>
      </c>
    </row>
    <row r="1797" hidden="1">
      <c r="A1797" s="4" t="str">
        <f>IFERROR(__xludf.DUMMYFUNCTION("""COMPUTED_VALUE"""),"123 - Channel 5")</f>
        <v>123 - Channel 5</v>
      </c>
      <c r="B1797" s="4" t="s">
        <v>27</v>
      </c>
      <c r="C1797" s="4">
        <v>0.5370949074074077</v>
      </c>
      <c r="D1797" s="6">
        <v>1.7361111111111112E-4</v>
      </c>
      <c r="E1797" s="6">
        <v>0.5372685185185189</v>
      </c>
      <c r="F1797" s="6"/>
      <c r="G1797" s="4"/>
      <c r="H1797" s="4" t="s">
        <v>85</v>
      </c>
      <c r="I1797" s="4"/>
      <c r="J1797" s="4"/>
      <c r="K1797" s="4"/>
      <c r="L1797" s="4"/>
      <c r="M1797" s="4"/>
      <c r="N1797" s="4"/>
      <c r="O1797" s="51" t="b">
        <v>0</v>
      </c>
      <c r="P1797" s="51" t="b">
        <v>0</v>
      </c>
      <c r="Q1797" s="51" t="b">
        <v>0</v>
      </c>
      <c r="R1797" s="51" t="b">
        <v>0</v>
      </c>
      <c r="S1797" s="51" t="b">
        <v>0</v>
      </c>
    </row>
    <row r="1798">
      <c r="A1798" s="4" t="str">
        <f>IFERROR(__xludf.DUMMYFUNCTION("""COMPUTED_VALUE"""),"124 - Channel 5")</f>
        <v>124 - Channel 5</v>
      </c>
      <c r="B1798" s="4" t="s">
        <v>27</v>
      </c>
      <c r="C1798" s="4">
        <v>0.5372685185185189</v>
      </c>
      <c r="D1798" s="6">
        <v>3.4722222222222224E-4</v>
      </c>
      <c r="E1798" s="6">
        <v>0.5376157407407411</v>
      </c>
      <c r="F1798" s="6"/>
      <c r="G1798" s="4"/>
      <c r="H1798" s="4" t="s">
        <v>81</v>
      </c>
      <c r="I1798" s="4"/>
      <c r="J1798" s="4"/>
      <c r="K1798" s="4"/>
      <c r="L1798" s="4"/>
      <c r="M1798" s="4"/>
      <c r="N1798" s="4"/>
      <c r="O1798" s="51" t="b">
        <v>0</v>
      </c>
      <c r="P1798" s="51" t="b">
        <v>0</v>
      </c>
      <c r="Q1798" s="51" t="b">
        <v>0</v>
      </c>
      <c r="R1798" s="51" t="b">
        <v>0</v>
      </c>
      <c r="S1798" s="51" t="b">
        <v>0</v>
      </c>
    </row>
    <row r="1799" hidden="1">
      <c r="A1799" s="4" t="str">
        <f>IFERROR(__xludf.DUMMYFUNCTION("""COMPUTED_VALUE"""),"125 - Channel 5")</f>
        <v>125 - Channel 5</v>
      </c>
      <c r="B1799" s="4" t="s">
        <v>27</v>
      </c>
      <c r="C1799" s="4">
        <v>0.5376157407407411</v>
      </c>
      <c r="D1799" s="6">
        <v>0.006944444444444444</v>
      </c>
      <c r="E1799" s="6">
        <v>0.5445601851851856</v>
      </c>
      <c r="F1799" s="6" t="s">
        <v>106</v>
      </c>
      <c r="G1799" s="4" t="s">
        <v>2082</v>
      </c>
      <c r="H1799" s="4" t="s">
        <v>2250</v>
      </c>
      <c r="I1799" s="4" t="s">
        <v>2251</v>
      </c>
      <c r="J1799" s="4" t="s">
        <v>2252</v>
      </c>
      <c r="K1799" s="4" t="s">
        <v>2253</v>
      </c>
      <c r="L1799" s="4" t="s">
        <v>2254</v>
      </c>
      <c r="M1799" s="4" t="s">
        <v>2255</v>
      </c>
      <c r="N1799" s="4"/>
      <c r="O1799" s="51" t="b">
        <v>0</v>
      </c>
      <c r="P1799" s="51" t="b">
        <v>0</v>
      </c>
      <c r="Q1799" s="51" t="b">
        <v>0</v>
      </c>
      <c r="R1799" s="51" t="b">
        <v>0</v>
      </c>
      <c r="S1799" s="51" t="b">
        <v>0</v>
      </c>
    </row>
    <row r="1800">
      <c r="A1800" s="4" t="str">
        <f>IFERROR(__xludf.DUMMYFUNCTION("""COMPUTED_VALUE"""),"126 - Channel 5")</f>
        <v>126 - Channel 5</v>
      </c>
      <c r="B1800" s="4" t="s">
        <v>27</v>
      </c>
      <c r="C1800" s="4">
        <v>0.5445601851851856</v>
      </c>
      <c r="D1800" s="6">
        <v>1.7361111111111112E-4</v>
      </c>
      <c r="E1800" s="6">
        <v>0.5447337962962967</v>
      </c>
      <c r="F1800" s="6"/>
      <c r="G1800" s="4"/>
      <c r="H1800" s="4" t="s">
        <v>85</v>
      </c>
      <c r="I1800" s="4"/>
      <c r="J1800" s="4"/>
      <c r="K1800" s="4"/>
      <c r="L1800" s="4"/>
      <c r="M1800" s="4"/>
      <c r="N1800" s="4"/>
      <c r="O1800" s="51" t="b">
        <v>0</v>
      </c>
      <c r="P1800" s="51" t="b">
        <v>0</v>
      </c>
      <c r="Q1800" s="51" t="b">
        <v>0</v>
      </c>
      <c r="R1800" s="51" t="b">
        <v>0</v>
      </c>
      <c r="S1800" s="51" t="b">
        <v>0</v>
      </c>
    </row>
    <row r="1801">
      <c r="A1801" s="4" t="str">
        <f>IFERROR(__xludf.DUMMYFUNCTION("""COMPUTED_VALUE"""),"289 - Channel 5")</f>
        <v>289 - Channel 5</v>
      </c>
      <c r="B1801" s="4" t="s">
        <v>27</v>
      </c>
      <c r="C1801" s="4">
        <v>0.5447337962962967</v>
      </c>
      <c r="D1801" s="6">
        <v>3.4722222222222224E-4</v>
      </c>
      <c r="E1801" s="6">
        <v>0.545081018518519</v>
      </c>
      <c r="F1801" s="6"/>
      <c r="G1801" s="4"/>
      <c r="H1801" s="4" t="s">
        <v>2207</v>
      </c>
      <c r="I1801" s="4"/>
      <c r="J1801" s="4"/>
      <c r="K1801" s="4"/>
      <c r="L1801" s="4"/>
      <c r="M1801" s="4"/>
      <c r="N1801" s="4"/>
      <c r="O1801" s="51" t="b">
        <v>0</v>
      </c>
      <c r="P1801" s="51" t="b">
        <v>0</v>
      </c>
      <c r="Q1801" s="51" t="b">
        <v>0</v>
      </c>
      <c r="R1801" s="51" t="b">
        <v>0</v>
      </c>
      <c r="S1801" s="51" t="b">
        <v>0</v>
      </c>
    </row>
    <row r="1802" hidden="1">
      <c r="A1802" s="4" t="str">
        <f>IFERROR(__xludf.DUMMYFUNCTION("""COMPUTED_VALUE"""),"128 - Channel 5")</f>
        <v>128 - Channel 5</v>
      </c>
      <c r="B1802" s="4" t="s">
        <v>27</v>
      </c>
      <c r="C1802" s="4">
        <v>0.545081018518519</v>
      </c>
      <c r="D1802" s="6">
        <v>3.4722222222222224E-4</v>
      </c>
      <c r="E1802" s="6">
        <v>0.5454282407407413</v>
      </c>
      <c r="F1802" s="6"/>
      <c r="G1802" s="4"/>
      <c r="H1802" s="4" t="s">
        <v>81</v>
      </c>
      <c r="I1802" s="4"/>
      <c r="J1802" s="4"/>
      <c r="K1802" s="4"/>
      <c r="L1802" s="4"/>
      <c r="M1802" s="4"/>
      <c r="N1802" s="4"/>
      <c r="O1802" s="51" t="b">
        <v>0</v>
      </c>
      <c r="P1802" s="51" t="b">
        <v>0</v>
      </c>
      <c r="Q1802" s="51" t="b">
        <v>0</v>
      </c>
      <c r="R1802" s="51" t="b">
        <v>0</v>
      </c>
      <c r="S1802" s="51" t="b">
        <v>0</v>
      </c>
    </row>
    <row r="1803">
      <c r="A1803" s="4" t="str">
        <f>IFERROR(__xludf.DUMMYFUNCTION("""COMPUTED_VALUE"""),"129 - Channel 5")</f>
        <v>129 - Channel 5</v>
      </c>
      <c r="B1803" s="4" t="s">
        <v>27</v>
      </c>
      <c r="C1803" s="4">
        <v>0.5454282407407413</v>
      </c>
      <c r="D1803" s="6">
        <v>0.013287037037037036</v>
      </c>
      <c r="E1803" s="6">
        <v>0.5587152777777783</v>
      </c>
      <c r="F1803" s="6" t="s">
        <v>151</v>
      </c>
      <c r="G1803" s="4" t="s">
        <v>2082</v>
      </c>
      <c r="H1803" s="4" t="s">
        <v>2257</v>
      </c>
      <c r="I1803" s="4" t="s">
        <v>2252</v>
      </c>
      <c r="J1803" s="4"/>
      <c r="K1803" s="4"/>
      <c r="L1803" s="4"/>
      <c r="M1803" s="4" t="s">
        <v>2258</v>
      </c>
      <c r="N1803" s="4"/>
      <c r="O1803" s="51" t="b">
        <v>0</v>
      </c>
      <c r="P1803" s="51" t="b">
        <v>0</v>
      </c>
      <c r="Q1803" s="51" t="b">
        <v>0</v>
      </c>
      <c r="R1803" s="51" t="b">
        <v>0</v>
      </c>
      <c r="S1803" s="51" t="b">
        <v>0</v>
      </c>
    </row>
    <row r="1804" hidden="1">
      <c r="A1804" s="4" t="str">
        <f>IFERROR(__xludf.DUMMYFUNCTION("""COMPUTED_VALUE"""),"130 - Channel 5")</f>
        <v>130 - Channel 5</v>
      </c>
      <c r="B1804" s="4" t="s">
        <v>27</v>
      </c>
      <c r="C1804" s="4">
        <v>0.5587152777777783</v>
      </c>
      <c r="D1804" s="6">
        <v>1.7361111111111112E-4</v>
      </c>
      <c r="E1804" s="6">
        <v>0.5588888888888894</v>
      </c>
      <c r="F1804" s="6"/>
      <c r="G1804" s="4"/>
      <c r="H1804" s="4" t="s">
        <v>85</v>
      </c>
      <c r="I1804" s="4"/>
      <c r="J1804" s="4"/>
      <c r="K1804" s="4"/>
      <c r="L1804" s="4"/>
      <c r="M1804" s="4"/>
      <c r="N1804" s="4"/>
      <c r="O1804" s="51" t="b">
        <v>0</v>
      </c>
      <c r="P1804" s="51" t="b">
        <v>0</v>
      </c>
      <c r="Q1804" s="51" t="b">
        <v>0</v>
      </c>
      <c r="R1804" s="51" t="b">
        <v>0</v>
      </c>
      <c r="S1804" s="51" t="b">
        <v>0</v>
      </c>
    </row>
    <row r="1805">
      <c r="A1805" s="4" t="str">
        <f>IFERROR(__xludf.DUMMYFUNCTION("""COMPUTED_VALUE"""),"290 - Channel 5")</f>
        <v>290 - Channel 5</v>
      </c>
      <c r="B1805" s="4" t="s">
        <v>27</v>
      </c>
      <c r="C1805" s="4">
        <v>0.5588888888888894</v>
      </c>
      <c r="D1805" s="6">
        <v>3.4722222222222224E-4</v>
      </c>
      <c r="E1805" s="6">
        <v>0.5592361111111117</v>
      </c>
      <c r="F1805" s="6"/>
      <c r="G1805" s="4"/>
      <c r="H1805" s="4" t="s">
        <v>2207</v>
      </c>
      <c r="I1805" s="4"/>
      <c r="J1805" s="4"/>
      <c r="K1805" s="4"/>
      <c r="L1805" s="4"/>
      <c r="M1805" s="4"/>
      <c r="N1805" s="4"/>
      <c r="O1805" s="51" t="b">
        <v>0</v>
      </c>
      <c r="P1805" s="51" t="b">
        <v>0</v>
      </c>
      <c r="Q1805" s="51" t="b">
        <v>0</v>
      </c>
      <c r="R1805" s="51" t="b">
        <v>0</v>
      </c>
      <c r="S1805" s="51" t="b">
        <v>0</v>
      </c>
    </row>
    <row r="1806" hidden="1">
      <c r="A1806" s="4" t="str">
        <f>IFERROR(__xludf.DUMMYFUNCTION("""COMPUTED_VALUE"""),"132 - Channel 5")</f>
        <v>132 - Channel 5</v>
      </c>
      <c r="B1806" s="4" t="s">
        <v>27</v>
      </c>
      <c r="C1806" s="4">
        <v>0.5592361111111117</v>
      </c>
      <c r="D1806" s="6">
        <v>3.4722222222222224E-4</v>
      </c>
      <c r="E1806" s="6">
        <v>0.559583333333334</v>
      </c>
      <c r="F1806" s="6"/>
      <c r="G1806" s="4"/>
      <c r="H1806" s="4" t="s">
        <v>81</v>
      </c>
      <c r="I1806" s="4"/>
      <c r="J1806" s="4"/>
      <c r="K1806" s="4"/>
      <c r="L1806" s="4"/>
      <c r="M1806" s="4"/>
      <c r="N1806" s="4"/>
      <c r="O1806" s="51" t="b">
        <v>0</v>
      </c>
      <c r="P1806" s="51" t="b">
        <v>0</v>
      </c>
      <c r="Q1806" s="51" t="b">
        <v>0</v>
      </c>
      <c r="R1806" s="51" t="b">
        <v>0</v>
      </c>
      <c r="S1806" s="51" t="b">
        <v>0</v>
      </c>
    </row>
    <row r="1807">
      <c r="A1807" s="4" t="str">
        <f>IFERROR(__xludf.DUMMYFUNCTION("""COMPUTED_VALUE"""),"133 - Channel 5")</f>
        <v>133 - Channel 5</v>
      </c>
      <c r="B1807" s="4" t="s">
        <v>27</v>
      </c>
      <c r="C1807" s="4">
        <v>0.559583333333334</v>
      </c>
      <c r="D1807" s="6">
        <v>0.011666666666666667</v>
      </c>
      <c r="E1807" s="6">
        <v>0.5712500000000007</v>
      </c>
      <c r="F1807" s="6" t="s">
        <v>299</v>
      </c>
      <c r="G1807" s="4" t="s">
        <v>2082</v>
      </c>
      <c r="H1807" s="4" t="s">
        <v>2261</v>
      </c>
      <c r="I1807" s="4"/>
      <c r="J1807" s="4"/>
      <c r="K1807" s="4"/>
      <c r="L1807" s="4"/>
      <c r="M1807" s="4" t="s">
        <v>2262</v>
      </c>
      <c r="N1807" s="4"/>
      <c r="O1807" s="51" t="b">
        <v>0</v>
      </c>
      <c r="P1807" s="51" t="b">
        <v>0</v>
      </c>
      <c r="Q1807" s="51" t="b">
        <v>0</v>
      </c>
      <c r="R1807" s="51" t="b">
        <v>0</v>
      </c>
      <c r="S1807" s="51" t="b">
        <v>0</v>
      </c>
    </row>
    <row r="1808" hidden="1">
      <c r="A1808" s="4" t="str">
        <f>IFERROR(__xludf.DUMMYFUNCTION("""COMPUTED_VALUE"""),"134 - Channel 5")</f>
        <v>134 - Channel 5</v>
      </c>
      <c r="B1808" s="4" t="s">
        <v>27</v>
      </c>
      <c r="C1808" s="4">
        <v>0.5712500000000007</v>
      </c>
      <c r="D1808" s="6">
        <v>1.7361111111111112E-4</v>
      </c>
      <c r="E1808" s="6">
        <v>0.5714236111111118</v>
      </c>
      <c r="F1808" s="6"/>
      <c r="G1808" s="4"/>
      <c r="H1808" s="4" t="s">
        <v>85</v>
      </c>
      <c r="I1808" s="4"/>
      <c r="J1808" s="4"/>
      <c r="K1808" s="4"/>
      <c r="L1808" s="4"/>
      <c r="M1808" s="4"/>
      <c r="N1808" s="4"/>
      <c r="O1808" s="51" t="b">
        <v>0</v>
      </c>
      <c r="P1808" s="51" t="b">
        <v>0</v>
      </c>
      <c r="Q1808" s="51" t="b">
        <v>0</v>
      </c>
      <c r="R1808" s="51" t="b">
        <v>0</v>
      </c>
      <c r="S1808" s="51" t="b">
        <v>0</v>
      </c>
    </row>
    <row r="1809">
      <c r="A1809" s="4" t="str">
        <f>IFERROR(__xludf.DUMMYFUNCTION("""COMPUTED_VALUE"""),"345 - Channel 5")</f>
        <v>345 - Channel 5</v>
      </c>
      <c r="B1809" s="4" t="s">
        <v>27</v>
      </c>
      <c r="C1809" s="4">
        <v>0.5714236111111118</v>
      </c>
      <c r="D1809" s="6">
        <v>3.4722222222222224E-4</v>
      </c>
      <c r="E1809" s="6">
        <v>0.5717708333333341</v>
      </c>
      <c r="F1809" s="6"/>
      <c r="G1809" s="4"/>
      <c r="H1809" s="4" t="s">
        <v>2207</v>
      </c>
      <c r="I1809" s="4"/>
      <c r="J1809" s="4"/>
      <c r="K1809" s="4"/>
      <c r="L1809" s="4"/>
      <c r="M1809" s="4"/>
      <c r="N1809" s="4"/>
      <c r="O1809" s="51" t="b">
        <v>0</v>
      </c>
      <c r="P1809" s="51" t="b">
        <v>0</v>
      </c>
      <c r="Q1809" s="51" t="b">
        <v>0</v>
      </c>
      <c r="R1809" s="51" t="b">
        <v>0</v>
      </c>
      <c r="S1809" s="51" t="b">
        <v>0</v>
      </c>
    </row>
    <row r="1810" hidden="1">
      <c r="A1810" s="4" t="str">
        <f>IFERROR(__xludf.DUMMYFUNCTION("""COMPUTED_VALUE"""),"135 - Channel 5")</f>
        <v>135 - Channel 5</v>
      </c>
      <c r="B1810" s="4" t="s">
        <v>27</v>
      </c>
      <c r="C1810" s="4">
        <v>0.5717708333333341</v>
      </c>
      <c r="D1810" s="6">
        <v>8.680555555555555E-4</v>
      </c>
      <c r="E1810" s="6">
        <v>0.5726388888888897</v>
      </c>
      <c r="F1810" s="6"/>
      <c r="G1810" s="4"/>
      <c r="H1810" s="4" t="s">
        <v>2102</v>
      </c>
      <c r="I1810" s="4"/>
      <c r="J1810" s="4"/>
      <c r="K1810" s="4"/>
      <c r="L1810" s="4"/>
      <c r="M1810" s="4"/>
      <c r="N1810" s="4"/>
      <c r="O1810" s="51" t="b">
        <v>0</v>
      </c>
      <c r="P1810" s="51" t="b">
        <v>0</v>
      </c>
      <c r="Q1810" s="51" t="b">
        <v>0</v>
      </c>
      <c r="R1810" s="51" t="b">
        <v>0</v>
      </c>
      <c r="S1810" s="51" t="b">
        <v>0</v>
      </c>
    </row>
    <row r="1811">
      <c r="A1811" s="4" t="str">
        <f>IFERROR(__xludf.DUMMYFUNCTION("""COMPUTED_VALUE"""),"136 - Channel 5")</f>
        <v>136 - Channel 5</v>
      </c>
      <c r="B1811" s="4" t="s">
        <v>27</v>
      </c>
      <c r="C1811" s="4">
        <v>0.5726388888888897</v>
      </c>
      <c r="D1811" s="6">
        <v>5.208333333333333E-4</v>
      </c>
      <c r="E1811" s="6">
        <v>0.573159722222223</v>
      </c>
      <c r="F1811" s="6"/>
      <c r="G1811" s="4"/>
      <c r="H1811" s="4" t="s">
        <v>2140</v>
      </c>
      <c r="I1811" s="4"/>
      <c r="J1811" s="4"/>
      <c r="K1811" s="4"/>
      <c r="L1811" s="4"/>
      <c r="M1811" s="4"/>
      <c r="N1811" s="4"/>
      <c r="O1811" s="51" t="b">
        <v>0</v>
      </c>
      <c r="P1811" s="51" t="b">
        <v>0</v>
      </c>
      <c r="Q1811" s="51" t="b">
        <v>0</v>
      </c>
      <c r="R1811" s="51" t="b">
        <v>0</v>
      </c>
      <c r="S1811" s="51" t="b">
        <v>0</v>
      </c>
    </row>
    <row r="1812" hidden="1">
      <c r="A1812" s="4" t="str">
        <f>IFERROR(__xludf.DUMMYFUNCTION("""COMPUTED_VALUE"""),"137 - Channel 5")</f>
        <v>137 - Channel 5</v>
      </c>
      <c r="B1812" s="4" t="s">
        <v>27</v>
      </c>
      <c r="C1812" s="4">
        <v>0.573159722222223</v>
      </c>
      <c r="D1812" s="6">
        <v>3.4722222222222224E-4</v>
      </c>
      <c r="E1812" s="6">
        <v>0.5735069444444453</v>
      </c>
      <c r="F1812" s="6"/>
      <c r="G1812" s="4"/>
      <c r="H1812" s="4" t="s">
        <v>81</v>
      </c>
      <c r="I1812" s="4"/>
      <c r="J1812" s="4"/>
      <c r="K1812" s="4"/>
      <c r="L1812" s="4"/>
      <c r="M1812" s="4"/>
      <c r="N1812" s="4"/>
      <c r="O1812" s="51" t="b">
        <v>0</v>
      </c>
      <c r="P1812" s="51" t="b">
        <v>0</v>
      </c>
      <c r="Q1812" s="51" t="b">
        <v>0</v>
      </c>
      <c r="R1812" s="51" t="b">
        <v>0</v>
      </c>
      <c r="S1812" s="51" t="b">
        <v>0</v>
      </c>
    </row>
    <row r="1813" hidden="1">
      <c r="A1813" s="4" t="str">
        <f>IFERROR(__xludf.DUMMYFUNCTION("""COMPUTED_VALUE"""),"138 - Channel 5")</f>
        <v>138 - Channel 5</v>
      </c>
      <c r="B1813" s="4" t="s">
        <v>27</v>
      </c>
      <c r="C1813" s="4">
        <v>0.5735069444444453</v>
      </c>
      <c r="D1813" s="6">
        <v>0.006944444444444444</v>
      </c>
      <c r="E1813" s="6">
        <v>0.5804513888888897</v>
      </c>
      <c r="F1813" s="6" t="s">
        <v>164</v>
      </c>
      <c r="G1813" s="4" t="s">
        <v>2082</v>
      </c>
      <c r="H1813" s="4" t="s">
        <v>2266</v>
      </c>
      <c r="I1813" s="4" t="s">
        <v>2267</v>
      </c>
      <c r="J1813" s="4" t="s">
        <v>2268</v>
      </c>
      <c r="K1813" s="4" t="s">
        <v>2269</v>
      </c>
      <c r="L1813" s="4" t="s">
        <v>710</v>
      </c>
      <c r="M1813" s="4" t="s">
        <v>2270</v>
      </c>
      <c r="N1813" s="4"/>
      <c r="O1813" s="51" t="b">
        <v>0</v>
      </c>
      <c r="P1813" s="51" t="b">
        <v>0</v>
      </c>
      <c r="Q1813" s="51" t="b">
        <v>0</v>
      </c>
      <c r="R1813" s="51" t="b">
        <v>0</v>
      </c>
      <c r="S1813" s="51" t="b">
        <v>0</v>
      </c>
    </row>
    <row r="1814" hidden="1">
      <c r="A1814" s="4" t="str">
        <f>IFERROR(__xludf.DUMMYFUNCTION("""COMPUTED_VALUE"""),"139 - Channel 5")</f>
        <v>139 - Channel 5</v>
      </c>
      <c r="B1814" s="4" t="s">
        <v>27</v>
      </c>
      <c r="C1814" s="4">
        <v>0.5804513888888897</v>
      </c>
      <c r="D1814" s="6">
        <v>1.7361111111111112E-4</v>
      </c>
      <c r="E1814" s="6">
        <v>0.5806250000000008</v>
      </c>
      <c r="F1814" s="6"/>
      <c r="G1814" s="4"/>
      <c r="H1814" s="4" t="s">
        <v>85</v>
      </c>
      <c r="I1814" s="4"/>
      <c r="J1814" s="4"/>
      <c r="K1814" s="4"/>
      <c r="L1814" s="4"/>
      <c r="M1814" s="4"/>
      <c r="N1814" s="4"/>
      <c r="O1814" s="51" t="b">
        <v>0</v>
      </c>
      <c r="P1814" s="51" t="b">
        <v>0</v>
      </c>
      <c r="Q1814" s="51" t="b">
        <v>0</v>
      </c>
      <c r="R1814" s="51" t="b">
        <v>0</v>
      </c>
      <c r="S1814" s="51" t="b">
        <v>0</v>
      </c>
    </row>
    <row r="1815">
      <c r="A1815" s="4" t="str">
        <f>IFERROR(__xludf.DUMMYFUNCTION("""COMPUTED_VALUE"""),"141 - Channel 5")</f>
        <v>141 - Channel 5</v>
      </c>
      <c r="B1815" s="4" t="s">
        <v>27</v>
      </c>
      <c r="C1815" s="4">
        <v>0.5806250000000008</v>
      </c>
      <c r="D1815" s="6">
        <v>3.4722222222222224E-4</v>
      </c>
      <c r="E1815" s="6">
        <v>0.5809722222222231</v>
      </c>
      <c r="F1815" s="6"/>
      <c r="G1815" s="4"/>
      <c r="H1815" s="4" t="s">
        <v>81</v>
      </c>
      <c r="I1815" s="4"/>
      <c r="J1815" s="4"/>
      <c r="K1815" s="4"/>
      <c r="L1815" s="4"/>
      <c r="M1815" s="4"/>
      <c r="N1815" s="4"/>
      <c r="O1815" s="51" t="b">
        <v>0</v>
      </c>
      <c r="P1815" s="51" t="b">
        <v>0</v>
      </c>
      <c r="Q1815" s="51" t="b">
        <v>0</v>
      </c>
      <c r="R1815" s="51" t="b">
        <v>0</v>
      </c>
      <c r="S1815" s="51" t="b">
        <v>0</v>
      </c>
    </row>
    <row r="1816" hidden="1">
      <c r="A1816" s="4" t="str">
        <f>IFERROR(__xludf.DUMMYFUNCTION("""COMPUTED_VALUE"""),"142 - Channel 5")</f>
        <v>142 - Channel 5</v>
      </c>
      <c r="B1816" s="4" t="s">
        <v>27</v>
      </c>
      <c r="C1816" s="4">
        <v>0.5809722222222231</v>
      </c>
      <c r="D1816" s="6">
        <v>0.012881944444444444</v>
      </c>
      <c r="E1816" s="6">
        <v>0.5938541666666676</v>
      </c>
      <c r="F1816" s="6" t="s">
        <v>394</v>
      </c>
      <c r="G1816" s="4" t="s">
        <v>2082</v>
      </c>
      <c r="H1816" s="4" t="s">
        <v>2272</v>
      </c>
      <c r="I1816" s="4"/>
      <c r="J1816" s="4"/>
      <c r="K1816" s="4"/>
      <c r="L1816" s="4"/>
      <c r="M1816" s="4" t="s">
        <v>2274</v>
      </c>
      <c r="N1816" s="4"/>
      <c r="O1816" s="51" t="b">
        <v>0</v>
      </c>
      <c r="P1816" s="51" t="b">
        <v>0</v>
      </c>
      <c r="Q1816" s="51" t="b">
        <v>0</v>
      </c>
      <c r="R1816" s="51" t="b">
        <v>0</v>
      </c>
      <c r="S1816" s="51" t="b">
        <v>0</v>
      </c>
    </row>
    <row r="1817">
      <c r="A1817" s="4" t="str">
        <f>IFERROR(__xludf.DUMMYFUNCTION("""COMPUTED_VALUE"""),"143 - Channel 5")</f>
        <v>143 - Channel 5</v>
      </c>
      <c r="B1817" s="4" t="s">
        <v>27</v>
      </c>
      <c r="C1817" s="4">
        <v>0.5938541666666676</v>
      </c>
      <c r="D1817" s="6">
        <v>1.7361111111111112E-4</v>
      </c>
      <c r="E1817" s="6">
        <v>0.5940277777777787</v>
      </c>
      <c r="F1817" s="6"/>
      <c r="G1817" s="4"/>
      <c r="H1817" s="4" t="s">
        <v>85</v>
      </c>
      <c r="I1817" s="4"/>
      <c r="J1817" s="4"/>
      <c r="K1817" s="4"/>
      <c r="L1817" s="4"/>
      <c r="M1817" s="4"/>
      <c r="N1817" s="4"/>
      <c r="O1817" s="51" t="b">
        <v>0</v>
      </c>
      <c r="P1817" s="51" t="b">
        <v>0</v>
      </c>
      <c r="Q1817" s="51" t="b">
        <v>0</v>
      </c>
      <c r="R1817" s="51" t="b">
        <v>0</v>
      </c>
      <c r="S1817" s="51" t="b">
        <v>0</v>
      </c>
    </row>
    <row r="1818">
      <c r="A1818" s="4" t="str">
        <f>IFERROR(__xludf.DUMMYFUNCTION("""COMPUTED_VALUE"""),"288 - Channel 5")</f>
        <v>288 - Channel 5</v>
      </c>
      <c r="B1818" s="4" t="s">
        <v>27</v>
      </c>
      <c r="C1818" s="4">
        <v>0.5940277777777787</v>
      </c>
      <c r="D1818" s="6">
        <v>3.4722222222222224E-4</v>
      </c>
      <c r="E1818" s="6">
        <v>0.594375000000001</v>
      </c>
      <c r="F1818" s="6"/>
      <c r="G1818" s="4"/>
      <c r="H1818" s="4" t="s">
        <v>2207</v>
      </c>
      <c r="I1818" s="4"/>
      <c r="J1818" s="4"/>
      <c r="K1818" s="4"/>
      <c r="L1818" s="4"/>
      <c r="M1818" s="4"/>
      <c r="N1818" s="4"/>
      <c r="O1818" s="51" t="b">
        <v>0</v>
      </c>
      <c r="P1818" s="51" t="b">
        <v>0</v>
      </c>
      <c r="Q1818" s="51" t="b">
        <v>0</v>
      </c>
      <c r="R1818" s="51" t="b">
        <v>0</v>
      </c>
      <c r="S1818" s="51" t="b">
        <v>0</v>
      </c>
    </row>
    <row r="1819" hidden="1">
      <c r="A1819" s="4" t="str">
        <f>IFERROR(__xludf.DUMMYFUNCTION("""COMPUTED_VALUE"""),"145 - Channel 5")</f>
        <v>145 - Channel 5</v>
      </c>
      <c r="B1819" s="4" t="s">
        <v>27</v>
      </c>
      <c r="C1819" s="4">
        <v>0.594375000000001</v>
      </c>
      <c r="D1819" s="6">
        <v>3.4722222222222224E-4</v>
      </c>
      <c r="E1819" s="6">
        <v>0.5947222222222233</v>
      </c>
      <c r="F1819" s="6"/>
      <c r="G1819" s="4"/>
      <c r="H1819" s="4" t="s">
        <v>81</v>
      </c>
      <c r="I1819" s="4"/>
      <c r="J1819" s="4"/>
      <c r="K1819" s="4"/>
      <c r="L1819" s="4"/>
      <c r="M1819" s="4"/>
      <c r="N1819" s="4"/>
      <c r="O1819" s="51" t="b">
        <v>0</v>
      </c>
      <c r="P1819" s="51" t="b">
        <v>0</v>
      </c>
      <c r="Q1819" s="51" t="b">
        <v>0</v>
      </c>
      <c r="R1819" s="51" t="b">
        <v>0</v>
      </c>
      <c r="S1819" s="51" t="b">
        <v>0</v>
      </c>
    </row>
    <row r="1820">
      <c r="A1820" s="4" t="str">
        <f>IFERROR(__xludf.DUMMYFUNCTION("""COMPUTED_VALUE"""),"146 - Channel 5")</f>
        <v>146 - Channel 5</v>
      </c>
      <c r="B1820" s="4" t="s">
        <v>27</v>
      </c>
      <c r="C1820" s="4">
        <v>0.5947222222222233</v>
      </c>
      <c r="D1820" s="6">
        <v>0.010960648148148148</v>
      </c>
      <c r="E1820" s="6">
        <v>0.6056828703703714</v>
      </c>
      <c r="F1820" s="6" t="s">
        <v>394</v>
      </c>
      <c r="G1820" s="4" t="s">
        <v>2082</v>
      </c>
      <c r="H1820" s="4" t="s">
        <v>2277</v>
      </c>
      <c r="I1820" s="4"/>
      <c r="J1820" s="4"/>
      <c r="K1820" s="4"/>
      <c r="L1820" s="4"/>
      <c r="M1820" s="4" t="s">
        <v>2278</v>
      </c>
      <c r="N1820" s="4"/>
      <c r="O1820" s="51" t="b">
        <v>0</v>
      </c>
      <c r="P1820" s="51" t="b">
        <v>0</v>
      </c>
      <c r="Q1820" s="51" t="b">
        <v>0</v>
      </c>
      <c r="R1820" s="51" t="b">
        <v>0</v>
      </c>
      <c r="S1820" s="51" t="b">
        <v>0</v>
      </c>
    </row>
    <row r="1821" hidden="1">
      <c r="A1821" s="4" t="str">
        <f>IFERROR(__xludf.DUMMYFUNCTION("""COMPUTED_VALUE"""),"147 - Channel 5")</f>
        <v>147 - Channel 5</v>
      </c>
      <c r="B1821" s="4" t="s">
        <v>27</v>
      </c>
      <c r="C1821" s="4">
        <v>0.6056828703703714</v>
      </c>
      <c r="D1821" s="6">
        <v>1.7361111111111112E-4</v>
      </c>
      <c r="E1821" s="6">
        <v>0.6058564814814825</v>
      </c>
      <c r="F1821" s="6"/>
      <c r="G1821" s="4"/>
      <c r="H1821" s="4" t="s">
        <v>85</v>
      </c>
      <c r="I1821" s="4"/>
      <c r="J1821" s="4"/>
      <c r="K1821" s="4"/>
      <c r="L1821" s="4"/>
      <c r="M1821" s="4"/>
      <c r="N1821" s="4"/>
      <c r="O1821" s="51" t="b">
        <v>0</v>
      </c>
      <c r="P1821" s="51" t="b">
        <v>0</v>
      </c>
      <c r="Q1821" s="51" t="b">
        <v>0</v>
      </c>
      <c r="R1821" s="51" t="b">
        <v>0</v>
      </c>
      <c r="S1821" s="51" t="b">
        <v>0</v>
      </c>
    </row>
    <row r="1822">
      <c r="A1822" s="4" t="str">
        <f>IFERROR(__xludf.DUMMYFUNCTION("""COMPUTED_VALUE"""),"148 - Channel 5")</f>
        <v>148 - Channel 5</v>
      </c>
      <c r="B1822" s="4" t="s">
        <v>27</v>
      </c>
      <c r="C1822" s="4">
        <v>0.6058564814814825</v>
      </c>
      <c r="D1822" s="6">
        <v>3.4722222222222224E-4</v>
      </c>
      <c r="E1822" s="6">
        <v>0.6062037037037048</v>
      </c>
      <c r="F1822" s="6"/>
      <c r="G1822" s="4"/>
      <c r="H1822" s="4" t="s">
        <v>81</v>
      </c>
      <c r="I1822" s="4"/>
      <c r="J1822" s="4"/>
      <c r="K1822" s="4"/>
      <c r="L1822" s="4"/>
      <c r="M1822" s="4"/>
      <c r="N1822" s="4"/>
      <c r="O1822" s="51" t="b">
        <v>0</v>
      </c>
      <c r="P1822" s="51" t="b">
        <v>0</v>
      </c>
      <c r="Q1822" s="51" t="b">
        <v>0</v>
      </c>
      <c r="R1822" s="51" t="b">
        <v>0</v>
      </c>
      <c r="S1822" s="51" t="b">
        <v>0</v>
      </c>
    </row>
    <row r="1823" hidden="1">
      <c r="A1823" s="4" t="str">
        <f>IFERROR(__xludf.DUMMYFUNCTION("""COMPUTED_VALUE"""),"149 - Channel 5")</f>
        <v>149 - Channel 5</v>
      </c>
      <c r="B1823" s="4" t="s">
        <v>27</v>
      </c>
      <c r="C1823" s="4">
        <v>0.6062037037037048</v>
      </c>
      <c r="D1823" s="6">
        <v>0.006944444444444444</v>
      </c>
      <c r="E1823" s="6">
        <v>0.6131481481481492</v>
      </c>
      <c r="F1823" s="6" t="s">
        <v>245</v>
      </c>
      <c r="G1823" s="4" t="s">
        <v>2082</v>
      </c>
      <c r="H1823" s="4" t="s">
        <v>2280</v>
      </c>
      <c r="I1823" s="4" t="s">
        <v>1476</v>
      </c>
      <c r="J1823" s="4" t="s">
        <v>916</v>
      </c>
      <c r="K1823" s="4" t="s">
        <v>1106</v>
      </c>
      <c r="L1823" s="4" t="s">
        <v>2281</v>
      </c>
      <c r="M1823" s="4" t="s">
        <v>2282</v>
      </c>
      <c r="N1823" s="4"/>
      <c r="O1823" s="51" t="b">
        <v>0</v>
      </c>
      <c r="P1823" s="51" t="b">
        <v>0</v>
      </c>
      <c r="Q1823" s="51" t="b">
        <v>0</v>
      </c>
      <c r="R1823" s="51" t="b">
        <v>0</v>
      </c>
      <c r="S1823" s="51" t="b">
        <v>0</v>
      </c>
    </row>
    <row r="1824">
      <c r="A1824" s="4" t="str">
        <f>IFERROR(__xludf.DUMMYFUNCTION("""COMPUTED_VALUE"""),"150 - Channel 5")</f>
        <v>150 - Channel 5</v>
      </c>
      <c r="B1824" s="4" t="s">
        <v>27</v>
      </c>
      <c r="C1824" s="4">
        <v>0.6131481481481492</v>
      </c>
      <c r="D1824" s="6">
        <v>1.7361111111111112E-4</v>
      </c>
      <c r="E1824" s="6">
        <v>0.6133217592592604</v>
      </c>
      <c r="F1824" s="6"/>
      <c r="G1824" s="4"/>
      <c r="H1824" s="4" t="s">
        <v>85</v>
      </c>
      <c r="I1824" s="4"/>
      <c r="J1824" s="4"/>
      <c r="K1824" s="4"/>
      <c r="L1824" s="4"/>
      <c r="M1824" s="4"/>
      <c r="N1824" s="4"/>
      <c r="O1824" s="51" t="b">
        <v>0</v>
      </c>
      <c r="P1824" s="51" t="b">
        <v>0</v>
      </c>
      <c r="Q1824" s="51" t="b">
        <v>0</v>
      </c>
      <c r="R1824" s="51" t="b">
        <v>0</v>
      </c>
      <c r="S1824" s="51" t="b">
        <v>0</v>
      </c>
    </row>
    <row r="1825">
      <c r="A1825" s="4" t="str">
        <f>IFERROR(__xludf.DUMMYFUNCTION("""COMPUTED_VALUE"""),"346 - Channel 5")</f>
        <v>346 - Channel 5</v>
      </c>
      <c r="B1825" s="4" t="s">
        <v>27</v>
      </c>
      <c r="C1825" s="4">
        <v>0.6133217592592604</v>
      </c>
      <c r="D1825" s="6">
        <v>6.944444444444445E-4</v>
      </c>
      <c r="E1825" s="6">
        <v>0.6140162037037048</v>
      </c>
      <c r="F1825" s="6"/>
      <c r="G1825" s="4"/>
      <c r="H1825" s="4" t="s">
        <v>2102</v>
      </c>
      <c r="I1825" s="4"/>
      <c r="J1825" s="4"/>
      <c r="K1825" s="4"/>
      <c r="L1825" s="4"/>
      <c r="M1825" s="4"/>
      <c r="N1825" s="4"/>
      <c r="O1825" s="51" t="b">
        <v>0</v>
      </c>
      <c r="P1825" s="51" t="b">
        <v>0</v>
      </c>
      <c r="Q1825" s="51" t="b">
        <v>0</v>
      </c>
      <c r="R1825" s="51" t="b">
        <v>0</v>
      </c>
      <c r="S1825" s="51" t="b">
        <v>0</v>
      </c>
    </row>
    <row r="1826" hidden="1">
      <c r="A1826" s="4" t="str">
        <f>IFERROR(__xludf.DUMMYFUNCTION("""COMPUTED_VALUE"""),"151 - Channel 5")</f>
        <v>151 - Channel 5</v>
      </c>
      <c r="B1826" s="4" t="s">
        <v>27</v>
      </c>
      <c r="C1826" s="4">
        <v>0.6140162037037048</v>
      </c>
      <c r="D1826" s="6">
        <v>5.208333333333333E-4</v>
      </c>
      <c r="E1826" s="6">
        <v>0.6145370370370381</v>
      </c>
      <c r="F1826" s="6"/>
      <c r="G1826" s="4"/>
      <c r="H1826" s="4" t="s">
        <v>2140</v>
      </c>
      <c r="I1826" s="4"/>
      <c r="J1826" s="4"/>
      <c r="K1826" s="4"/>
      <c r="L1826" s="4"/>
      <c r="M1826" s="4"/>
      <c r="N1826" s="4"/>
      <c r="O1826" s="51" t="b">
        <v>0</v>
      </c>
      <c r="P1826" s="51" t="b">
        <v>0</v>
      </c>
      <c r="Q1826" s="51" t="b">
        <v>0</v>
      </c>
      <c r="R1826" s="51" t="b">
        <v>0</v>
      </c>
      <c r="S1826" s="51" t="b">
        <v>0</v>
      </c>
    </row>
    <row r="1827">
      <c r="A1827" s="4" t="str">
        <f>IFERROR(__xludf.DUMMYFUNCTION("""COMPUTED_VALUE"""),"153 - Channel 5")</f>
        <v>153 - Channel 5</v>
      </c>
      <c r="B1827" s="4" t="s">
        <v>27</v>
      </c>
      <c r="C1827" s="4">
        <v>0.6145370370370381</v>
      </c>
      <c r="D1827" s="6">
        <v>3.4722222222222224E-4</v>
      </c>
      <c r="E1827" s="6">
        <v>0.6148842592592604</v>
      </c>
      <c r="F1827" s="6"/>
      <c r="G1827" s="4"/>
      <c r="H1827" s="4" t="s">
        <v>81</v>
      </c>
      <c r="I1827" s="4"/>
      <c r="J1827" s="4"/>
      <c r="K1827" s="4"/>
      <c r="L1827" s="4"/>
      <c r="M1827" s="4"/>
      <c r="N1827" s="4"/>
      <c r="O1827" s="51" t="b">
        <v>0</v>
      </c>
      <c r="P1827" s="51" t="b">
        <v>0</v>
      </c>
      <c r="Q1827" s="51" t="b">
        <v>0</v>
      </c>
      <c r="R1827" s="51" t="b">
        <v>0</v>
      </c>
      <c r="S1827" s="51" t="b">
        <v>0</v>
      </c>
    </row>
    <row r="1828" hidden="1">
      <c r="A1828" s="4" t="str">
        <f>IFERROR(__xludf.DUMMYFUNCTION("""COMPUTED_VALUE"""),"154 - Channel 5")</f>
        <v>154 - Channel 5</v>
      </c>
      <c r="B1828" s="4" t="s">
        <v>27</v>
      </c>
      <c r="C1828" s="4">
        <v>0.6148842592592604</v>
      </c>
      <c r="D1828" s="6">
        <v>0.009733796296296296</v>
      </c>
      <c r="E1828" s="6">
        <v>0.6246180555555567</v>
      </c>
      <c r="F1828" s="6" t="s">
        <v>358</v>
      </c>
      <c r="G1828" s="4" t="s">
        <v>2082</v>
      </c>
      <c r="H1828" s="4" t="s">
        <v>2286</v>
      </c>
      <c r="I1828" s="4"/>
      <c r="J1828" s="4"/>
      <c r="K1828" s="4"/>
      <c r="L1828" s="4"/>
      <c r="M1828" s="4" t="s">
        <v>2287</v>
      </c>
      <c r="N1828" s="4"/>
      <c r="O1828" s="51" t="b">
        <v>0</v>
      </c>
      <c r="P1828" s="51" t="b">
        <v>0</v>
      </c>
      <c r="Q1828" s="51" t="b">
        <v>0</v>
      </c>
      <c r="R1828" s="51" t="b">
        <v>0</v>
      </c>
      <c r="S1828" s="51" t="b">
        <v>0</v>
      </c>
    </row>
    <row r="1829" hidden="1">
      <c r="A1829" s="4" t="str">
        <f>IFERROR(__xludf.DUMMYFUNCTION("""COMPUTED_VALUE"""),"155 - Channel 5")</f>
        <v>155 - Channel 5</v>
      </c>
      <c r="B1829" s="4" t="s">
        <v>27</v>
      </c>
      <c r="C1829" s="4">
        <v>0.6246180555555567</v>
      </c>
      <c r="D1829" s="6">
        <v>1.7361111111111112E-4</v>
      </c>
      <c r="E1829" s="6">
        <v>0.6247916666666679</v>
      </c>
      <c r="F1829" s="6"/>
      <c r="G1829" s="4"/>
      <c r="H1829" s="4" t="s">
        <v>85</v>
      </c>
      <c r="I1829" s="4"/>
      <c r="J1829" s="4"/>
      <c r="K1829" s="4"/>
      <c r="L1829" s="4"/>
      <c r="M1829" s="4"/>
      <c r="N1829" s="4"/>
      <c r="O1829" s="51" t="b">
        <v>0</v>
      </c>
      <c r="P1829" s="51" t="b">
        <v>0</v>
      </c>
      <c r="Q1829" s="51" t="b">
        <v>0</v>
      </c>
      <c r="R1829" s="51" t="b">
        <v>0</v>
      </c>
      <c r="S1829" s="51" t="b">
        <v>0</v>
      </c>
    </row>
    <row r="1830">
      <c r="A1830" s="4" t="str">
        <f>IFERROR(__xludf.DUMMYFUNCTION("""COMPUTED_VALUE"""),"287 - Channel 5")</f>
        <v>287 - Channel 5</v>
      </c>
      <c r="B1830" s="4" t="s">
        <v>27</v>
      </c>
      <c r="C1830" s="4">
        <v>0.6247916666666679</v>
      </c>
      <c r="D1830" s="6">
        <v>3.4722222222222224E-4</v>
      </c>
      <c r="E1830" s="6">
        <v>0.6251388888888901</v>
      </c>
      <c r="F1830" s="6"/>
      <c r="G1830" s="4"/>
      <c r="H1830" s="4" t="s">
        <v>2207</v>
      </c>
      <c r="I1830" s="4"/>
      <c r="J1830" s="4"/>
      <c r="K1830" s="4"/>
      <c r="L1830" s="4"/>
      <c r="M1830" s="4"/>
      <c r="N1830" s="4"/>
      <c r="O1830" s="51" t="b">
        <v>0</v>
      </c>
      <c r="P1830" s="51" t="b">
        <v>0</v>
      </c>
      <c r="Q1830" s="51" t="b">
        <v>0</v>
      </c>
      <c r="R1830" s="51" t="b">
        <v>0</v>
      </c>
      <c r="S1830" s="51" t="b">
        <v>0</v>
      </c>
    </row>
    <row r="1831" hidden="1">
      <c r="A1831" s="4" t="str">
        <f>IFERROR(__xludf.DUMMYFUNCTION("""COMPUTED_VALUE"""),"157 - Channel 5")</f>
        <v>157 - Channel 5</v>
      </c>
      <c r="B1831" s="4" t="s">
        <v>27</v>
      </c>
      <c r="C1831" s="4">
        <v>0.6251388888888901</v>
      </c>
      <c r="D1831" s="6">
        <v>3.4722222222222224E-4</v>
      </c>
      <c r="E1831" s="6">
        <v>0.6254861111111124</v>
      </c>
      <c r="F1831" s="6"/>
      <c r="G1831" s="4"/>
      <c r="H1831" s="4" t="s">
        <v>81</v>
      </c>
      <c r="I1831" s="4"/>
      <c r="J1831" s="4"/>
      <c r="K1831" s="4"/>
      <c r="L1831" s="4"/>
      <c r="M1831" s="4"/>
      <c r="N1831" s="4"/>
      <c r="O1831" s="51" t="b">
        <v>0</v>
      </c>
      <c r="P1831" s="51" t="b">
        <v>0</v>
      </c>
      <c r="Q1831" s="51" t="b">
        <v>0</v>
      </c>
      <c r="R1831" s="51" t="b">
        <v>0</v>
      </c>
      <c r="S1831" s="51" t="b">
        <v>0</v>
      </c>
    </row>
    <row r="1832">
      <c r="A1832" s="4" t="str">
        <f>IFERROR(__xludf.DUMMYFUNCTION("""COMPUTED_VALUE"""),"158 - Channel 5")</f>
        <v>158 - Channel 5</v>
      </c>
      <c r="B1832" s="4" t="s">
        <v>27</v>
      </c>
      <c r="C1832" s="4">
        <v>0.6254861111111124</v>
      </c>
      <c r="D1832" s="6">
        <v>0.015092592592592593</v>
      </c>
      <c r="E1832" s="6">
        <v>0.640578703703705</v>
      </c>
      <c r="F1832" s="6" t="s">
        <v>1345</v>
      </c>
      <c r="G1832" s="4" t="s">
        <v>2082</v>
      </c>
      <c r="H1832" s="4" t="s">
        <v>2290</v>
      </c>
      <c r="I1832" s="4"/>
      <c r="J1832" s="4"/>
      <c r="K1832" s="4"/>
      <c r="L1832" s="4"/>
      <c r="M1832" s="4" t="s">
        <v>2291</v>
      </c>
      <c r="N1832" s="4"/>
      <c r="O1832" s="51" t="b">
        <v>0</v>
      </c>
      <c r="P1832" s="51" t="b">
        <v>0</v>
      </c>
      <c r="Q1832" s="51" t="b">
        <v>0</v>
      </c>
      <c r="R1832" s="51" t="b">
        <v>0</v>
      </c>
      <c r="S1832" s="51" t="b">
        <v>0</v>
      </c>
    </row>
    <row r="1833" hidden="1">
      <c r="A1833" s="4" t="str">
        <f>IFERROR(__xludf.DUMMYFUNCTION("""COMPUTED_VALUE"""),"159 - Channel 5")</f>
        <v>159 - Channel 5</v>
      </c>
      <c r="B1833" s="4" t="s">
        <v>27</v>
      </c>
      <c r="C1833" s="4">
        <v>0.640578703703705</v>
      </c>
      <c r="D1833" s="6">
        <v>1.7361111111111112E-4</v>
      </c>
      <c r="E1833" s="6">
        <v>0.6407523148148161</v>
      </c>
      <c r="F1833" s="6"/>
      <c r="G1833" s="4"/>
      <c r="H1833" s="4" t="s">
        <v>85</v>
      </c>
      <c r="I1833" s="4"/>
      <c r="J1833" s="4"/>
      <c r="K1833" s="4"/>
      <c r="L1833" s="4"/>
      <c r="M1833" s="4"/>
      <c r="N1833" s="4"/>
      <c r="O1833" s="51" t="b">
        <v>0</v>
      </c>
      <c r="P1833" s="51" t="b">
        <v>0</v>
      </c>
      <c r="Q1833" s="51" t="b">
        <v>0</v>
      </c>
      <c r="R1833" s="51" t="b">
        <v>0</v>
      </c>
      <c r="S1833" s="51" t="b">
        <v>0</v>
      </c>
    </row>
    <row r="1834">
      <c r="A1834" s="4" t="str">
        <f>IFERROR(__xludf.DUMMYFUNCTION("""COMPUTED_VALUE"""),"160 - Channel 5")</f>
        <v>160 - Channel 5</v>
      </c>
      <c r="B1834" s="4" t="s">
        <v>27</v>
      </c>
      <c r="C1834" s="4">
        <v>0.6407523148148161</v>
      </c>
      <c r="D1834" s="6">
        <v>3.4722222222222224E-4</v>
      </c>
      <c r="E1834" s="6">
        <v>0.6410995370370384</v>
      </c>
      <c r="F1834" s="6"/>
      <c r="G1834" s="4"/>
      <c r="H1834" s="4" t="s">
        <v>81</v>
      </c>
      <c r="I1834" s="4"/>
      <c r="J1834" s="4"/>
      <c r="K1834" s="4"/>
      <c r="L1834" s="4"/>
      <c r="M1834" s="4"/>
      <c r="N1834" s="4"/>
      <c r="O1834" s="51" t="b">
        <v>0</v>
      </c>
      <c r="P1834" s="51" t="b">
        <v>0</v>
      </c>
      <c r="Q1834" s="51" t="b">
        <v>0</v>
      </c>
      <c r="R1834" s="51" t="b">
        <v>0</v>
      </c>
      <c r="S1834" s="51" t="b">
        <v>0</v>
      </c>
    </row>
    <row r="1835" hidden="1">
      <c r="A1835" s="4" t="str">
        <f>IFERROR(__xludf.DUMMYFUNCTION("""COMPUTED_VALUE"""),"161 - Channel 5")</f>
        <v>161 - Channel 5</v>
      </c>
      <c r="B1835" s="4" t="s">
        <v>27</v>
      </c>
      <c r="C1835" s="4">
        <v>0.6410995370370384</v>
      </c>
      <c r="D1835" s="6">
        <v>0.006944444444444444</v>
      </c>
      <c r="E1835" s="6">
        <v>0.6480439814814828</v>
      </c>
      <c r="F1835" s="6" t="s">
        <v>1345</v>
      </c>
      <c r="G1835" s="4" t="s">
        <v>2082</v>
      </c>
      <c r="H1835" s="4" t="s">
        <v>2294</v>
      </c>
      <c r="I1835" s="4" t="s">
        <v>2295</v>
      </c>
      <c r="J1835" s="4" t="s">
        <v>2296</v>
      </c>
      <c r="K1835" s="4" t="s">
        <v>1418</v>
      </c>
      <c r="L1835" s="4" t="s">
        <v>1115</v>
      </c>
      <c r="M1835" s="4" t="s">
        <v>2297</v>
      </c>
      <c r="N1835" s="4"/>
      <c r="O1835" s="51" t="b">
        <v>0</v>
      </c>
      <c r="P1835" s="51" t="b">
        <v>0</v>
      </c>
      <c r="Q1835" s="51" t="b">
        <v>0</v>
      </c>
      <c r="R1835" s="51" t="b">
        <v>0</v>
      </c>
      <c r="S1835" s="51" t="b">
        <v>0</v>
      </c>
    </row>
    <row r="1836">
      <c r="A1836" s="4" t="str">
        <f>IFERROR(__xludf.DUMMYFUNCTION("""COMPUTED_VALUE"""),"162 - Channel 5")</f>
        <v>162 - Channel 5</v>
      </c>
      <c r="B1836" s="4" t="s">
        <v>27</v>
      </c>
      <c r="C1836" s="4">
        <v>0.6480439814814828</v>
      </c>
      <c r="D1836" s="6">
        <v>1.7361111111111112E-4</v>
      </c>
      <c r="E1836" s="6">
        <v>0.6482175925925939</v>
      </c>
      <c r="F1836" s="6"/>
      <c r="G1836" s="4"/>
      <c r="H1836" s="4" t="s">
        <v>85</v>
      </c>
      <c r="I1836" s="4"/>
      <c r="J1836" s="4"/>
      <c r="K1836" s="4"/>
      <c r="L1836" s="4"/>
      <c r="M1836" s="4"/>
      <c r="N1836" s="4"/>
      <c r="O1836" s="51" t="b">
        <v>0</v>
      </c>
      <c r="P1836" s="51" t="b">
        <v>0</v>
      </c>
      <c r="Q1836" s="51" t="b">
        <v>0</v>
      </c>
      <c r="R1836" s="51" t="b">
        <v>0</v>
      </c>
      <c r="S1836" s="51" t="b">
        <v>0</v>
      </c>
    </row>
    <row r="1837">
      <c r="A1837" s="4" t="str">
        <f>IFERROR(__xludf.DUMMYFUNCTION("""COMPUTED_VALUE"""),"163 - Channel 5")</f>
        <v>163 - Channel 5</v>
      </c>
      <c r="B1837" s="4" t="s">
        <v>27</v>
      </c>
      <c r="C1837" s="4">
        <v>0.6482175925925939</v>
      </c>
      <c r="D1837" s="6">
        <v>3.4722222222222224E-4</v>
      </c>
      <c r="E1837" s="6">
        <v>0.6485648148148162</v>
      </c>
      <c r="F1837" s="6"/>
      <c r="G1837" s="4"/>
      <c r="H1837" s="4" t="s">
        <v>2207</v>
      </c>
      <c r="I1837" s="4"/>
      <c r="J1837" s="4"/>
      <c r="K1837" s="4"/>
      <c r="L1837" s="4"/>
      <c r="M1837" s="4"/>
      <c r="N1837" s="4"/>
      <c r="O1837" s="51" t="b">
        <v>0</v>
      </c>
      <c r="P1837" s="51" t="b">
        <v>0</v>
      </c>
      <c r="Q1837" s="51" t="b">
        <v>0</v>
      </c>
      <c r="R1837" s="51" t="b">
        <v>0</v>
      </c>
      <c r="S1837" s="51" t="b">
        <v>0</v>
      </c>
    </row>
    <row r="1838" hidden="1">
      <c r="A1838" s="4" t="str">
        <f>IFERROR(__xludf.DUMMYFUNCTION("""COMPUTED_VALUE"""),"165 - Channel 5")</f>
        <v>165 - Channel 5</v>
      </c>
      <c r="B1838" s="4" t="s">
        <v>27</v>
      </c>
      <c r="C1838" s="4">
        <v>0.6485648148148162</v>
      </c>
      <c r="D1838" s="6">
        <v>3.4722222222222224E-4</v>
      </c>
      <c r="E1838" s="6">
        <v>0.6489120370370385</v>
      </c>
      <c r="F1838" s="6"/>
      <c r="G1838" s="4"/>
      <c r="H1838" s="4" t="s">
        <v>81</v>
      </c>
      <c r="I1838" s="4"/>
      <c r="J1838" s="4"/>
      <c r="K1838" s="4"/>
      <c r="L1838" s="4"/>
      <c r="M1838" s="4"/>
      <c r="N1838" s="4"/>
      <c r="O1838" s="51" t="b">
        <v>0</v>
      </c>
      <c r="P1838" s="51" t="b">
        <v>0</v>
      </c>
      <c r="Q1838" s="51" t="b">
        <v>0</v>
      </c>
      <c r="R1838" s="51" t="b">
        <v>0</v>
      </c>
      <c r="S1838" s="51" t="b">
        <v>0</v>
      </c>
    </row>
    <row r="1839">
      <c r="A1839" s="4" t="str">
        <f>IFERROR(__xludf.DUMMYFUNCTION("""COMPUTED_VALUE"""),"166 - Channel 5")</f>
        <v>166 - Channel 5</v>
      </c>
      <c r="B1839" s="4" t="s">
        <v>27</v>
      </c>
      <c r="C1839" s="4">
        <v>0.6489120370370385</v>
      </c>
      <c r="D1839" s="6">
        <v>0.01224537037037037</v>
      </c>
      <c r="E1839" s="6">
        <v>0.6611574074074088</v>
      </c>
      <c r="F1839" s="6" t="s">
        <v>1345</v>
      </c>
      <c r="G1839" s="4" t="s">
        <v>2082</v>
      </c>
      <c r="H1839" s="4" t="s">
        <v>2301</v>
      </c>
      <c r="I1839" s="4"/>
      <c r="J1839" s="4"/>
      <c r="K1839" s="4"/>
      <c r="L1839" s="4"/>
      <c r="M1839" s="4" t="s">
        <v>2302</v>
      </c>
      <c r="N1839" s="4"/>
      <c r="O1839" s="51" t="b">
        <v>0</v>
      </c>
      <c r="P1839" s="51" t="b">
        <v>0</v>
      </c>
      <c r="Q1839" s="51" t="b">
        <v>0</v>
      </c>
      <c r="R1839" s="51" t="b">
        <v>0</v>
      </c>
      <c r="S1839" s="51" t="b">
        <v>0</v>
      </c>
    </row>
    <row r="1840" hidden="1">
      <c r="A1840" s="4" t="str">
        <f>IFERROR(__xludf.DUMMYFUNCTION("""COMPUTED_VALUE"""),"167 - Channel 5")</f>
        <v>167 - Channel 5</v>
      </c>
      <c r="B1840" s="4" t="s">
        <v>27</v>
      </c>
      <c r="C1840" s="4">
        <v>0.6611574074074088</v>
      </c>
      <c r="D1840" s="6">
        <v>1.7361111111111112E-4</v>
      </c>
      <c r="E1840" s="6">
        <v>0.6613310185185199</v>
      </c>
      <c r="F1840" s="6"/>
      <c r="G1840" s="4"/>
      <c r="H1840" s="4" t="s">
        <v>85</v>
      </c>
      <c r="I1840" s="4"/>
      <c r="J1840" s="4"/>
      <c r="K1840" s="4"/>
      <c r="L1840" s="4"/>
      <c r="M1840" s="4"/>
      <c r="N1840" s="4"/>
      <c r="O1840" s="51" t="b">
        <v>0</v>
      </c>
      <c r="P1840" s="51" t="b">
        <v>0</v>
      </c>
      <c r="Q1840" s="51" t="b">
        <v>0</v>
      </c>
      <c r="R1840" s="51" t="b">
        <v>0</v>
      </c>
      <c r="S1840" s="51" t="b">
        <v>0</v>
      </c>
    </row>
    <row r="1841">
      <c r="A1841" s="4" t="str">
        <f>IFERROR(__xludf.DUMMYFUNCTION("""COMPUTED_VALUE"""),"168 - Channel 5")</f>
        <v>168 - Channel 5</v>
      </c>
      <c r="B1841" s="4" t="s">
        <v>27</v>
      </c>
      <c r="C1841" s="4">
        <v>0.6613310185185199</v>
      </c>
      <c r="D1841" s="6">
        <v>3.4722222222222224E-4</v>
      </c>
      <c r="E1841" s="6">
        <v>0.6616782407407422</v>
      </c>
      <c r="F1841" s="6"/>
      <c r="G1841" s="4"/>
      <c r="H1841" s="4" t="s">
        <v>2207</v>
      </c>
      <c r="I1841" s="4"/>
      <c r="J1841" s="4"/>
      <c r="K1841" s="4"/>
      <c r="L1841" s="4"/>
      <c r="M1841" s="4"/>
      <c r="N1841" s="4"/>
      <c r="O1841" s="51" t="b">
        <v>0</v>
      </c>
      <c r="P1841" s="51" t="b">
        <v>0</v>
      </c>
      <c r="Q1841" s="51" t="b">
        <v>0</v>
      </c>
      <c r="R1841" s="51" t="b">
        <v>0</v>
      </c>
      <c r="S1841" s="51" t="b">
        <v>0</v>
      </c>
    </row>
    <row r="1842" hidden="1">
      <c r="A1842" s="4" t="str">
        <f>IFERROR(__xludf.DUMMYFUNCTION("""COMPUTED_VALUE"""),"170 - Channel 5")</f>
        <v>170 - Channel 5</v>
      </c>
      <c r="B1842" s="4" t="s">
        <v>27</v>
      </c>
      <c r="C1842" s="4">
        <v>0.6616782407407422</v>
      </c>
      <c r="D1842" s="6">
        <v>3.4722222222222224E-4</v>
      </c>
      <c r="E1842" s="6">
        <v>0.6620254629629645</v>
      </c>
      <c r="F1842" s="6"/>
      <c r="G1842" s="4"/>
      <c r="H1842" s="4" t="s">
        <v>81</v>
      </c>
      <c r="I1842" s="4"/>
      <c r="J1842" s="4"/>
      <c r="K1842" s="4"/>
      <c r="L1842" s="4"/>
      <c r="M1842" s="4"/>
      <c r="N1842" s="4"/>
      <c r="O1842" s="51" t="b">
        <v>0</v>
      </c>
      <c r="P1842" s="51" t="b">
        <v>0</v>
      </c>
      <c r="Q1842" s="51" t="b">
        <v>0</v>
      </c>
      <c r="R1842" s="51" t="b">
        <v>0</v>
      </c>
      <c r="S1842" s="51" t="b">
        <v>0</v>
      </c>
    </row>
    <row r="1843">
      <c r="A1843" s="4" t="str">
        <f>IFERROR(__xludf.DUMMYFUNCTION("""COMPUTED_VALUE"""),"171 - Channel 5")</f>
        <v>171 - Channel 5</v>
      </c>
      <c r="B1843" s="4" t="s">
        <v>27</v>
      </c>
      <c r="C1843" s="4">
        <v>0.6620254629629645</v>
      </c>
      <c r="D1843" s="6">
        <v>0.012372685185185184</v>
      </c>
      <c r="E1843" s="6">
        <v>0.6743981481481497</v>
      </c>
      <c r="F1843" s="6" t="s">
        <v>164</v>
      </c>
      <c r="G1843" s="4" t="s">
        <v>2082</v>
      </c>
      <c r="H1843" s="4" t="s">
        <v>2306</v>
      </c>
      <c r="I1843" s="4"/>
      <c r="J1843" s="4"/>
      <c r="K1843" s="4"/>
      <c r="L1843" s="4"/>
      <c r="M1843" s="4" t="s">
        <v>2307</v>
      </c>
      <c r="N1843" s="4"/>
      <c r="O1843" s="51" t="b">
        <v>0</v>
      </c>
      <c r="P1843" s="51" t="b">
        <v>0</v>
      </c>
      <c r="Q1843" s="51" t="b">
        <v>0</v>
      </c>
      <c r="R1843" s="51" t="b">
        <v>0</v>
      </c>
      <c r="S1843" s="51" t="b">
        <v>0</v>
      </c>
    </row>
    <row r="1844" hidden="1">
      <c r="A1844" s="4" t="str">
        <f>IFERROR(__xludf.DUMMYFUNCTION("""COMPUTED_VALUE"""),"172 - Channel 5")</f>
        <v>172 - Channel 5</v>
      </c>
      <c r="B1844" s="4" t="s">
        <v>27</v>
      </c>
      <c r="C1844" s="4">
        <v>0.6743981481481497</v>
      </c>
      <c r="D1844" s="6">
        <v>1.7361111111111112E-4</v>
      </c>
      <c r="E1844" s="6">
        <v>0.6745717592592608</v>
      </c>
      <c r="F1844" s="6"/>
      <c r="G1844" s="4"/>
      <c r="H1844" s="4" t="s">
        <v>85</v>
      </c>
      <c r="I1844" s="4"/>
      <c r="J1844" s="4"/>
      <c r="K1844" s="4"/>
      <c r="L1844" s="4"/>
      <c r="M1844" s="4"/>
      <c r="N1844" s="4"/>
      <c r="O1844" s="51" t="b">
        <v>0</v>
      </c>
      <c r="P1844" s="51" t="b">
        <v>0</v>
      </c>
      <c r="Q1844" s="51" t="b">
        <v>0</v>
      </c>
      <c r="R1844" s="51" t="b">
        <v>0</v>
      </c>
      <c r="S1844" s="51" t="b">
        <v>0</v>
      </c>
    </row>
    <row r="1845">
      <c r="A1845" s="4" t="str">
        <f>IFERROR(__xludf.DUMMYFUNCTION("""COMPUTED_VALUE"""),"173 - Channel 5")</f>
        <v>173 - Channel 5</v>
      </c>
      <c r="B1845" s="4" t="s">
        <v>27</v>
      </c>
      <c r="C1845" s="4">
        <v>0.6745717592592608</v>
      </c>
      <c r="D1845" s="6">
        <v>1.1574074074074075E-4</v>
      </c>
      <c r="E1845" s="6">
        <v>0.6746875000000015</v>
      </c>
      <c r="F1845" s="6"/>
      <c r="G1845" s="4"/>
      <c r="H1845" s="4" t="s">
        <v>2102</v>
      </c>
      <c r="I1845" s="4"/>
      <c r="J1845" s="4"/>
      <c r="K1845" s="4"/>
      <c r="L1845" s="4"/>
      <c r="M1845" s="4"/>
      <c r="N1845" s="4"/>
      <c r="O1845" s="51" t="b">
        <v>0</v>
      </c>
      <c r="P1845" s="51" t="b">
        <v>0</v>
      </c>
      <c r="Q1845" s="51" t="b">
        <v>0</v>
      </c>
      <c r="R1845" s="51" t="b">
        <v>0</v>
      </c>
      <c r="S1845" s="51" t="b">
        <v>0</v>
      </c>
    </row>
    <row r="1846" hidden="1">
      <c r="A1846" s="4" t="str">
        <f>IFERROR(__xludf.DUMMYFUNCTION("""COMPUTED_VALUE"""),"286 - Channel 5")</f>
        <v>286 - Channel 5</v>
      </c>
      <c r="B1846" s="4" t="s">
        <v>27</v>
      </c>
      <c r="C1846" s="4">
        <v>0.6746875000000015</v>
      </c>
      <c r="D1846" s="6">
        <v>3.4722222222222224E-4</v>
      </c>
      <c r="E1846" s="6">
        <v>0.6750347222222238</v>
      </c>
      <c r="F1846" s="6"/>
      <c r="G1846" s="4"/>
      <c r="H1846" s="4" t="s">
        <v>2207</v>
      </c>
      <c r="I1846" s="4"/>
      <c r="J1846" s="4"/>
      <c r="K1846" s="4"/>
      <c r="L1846" s="4"/>
      <c r="M1846" s="4"/>
      <c r="N1846" s="4"/>
      <c r="O1846" s="51" t="b">
        <v>0</v>
      </c>
      <c r="P1846" s="51" t="b">
        <v>0</v>
      </c>
      <c r="Q1846" s="51" t="b">
        <v>0</v>
      </c>
      <c r="R1846" s="51" t="b">
        <v>0</v>
      </c>
      <c r="S1846" s="51" t="b">
        <v>0</v>
      </c>
    </row>
    <row r="1847">
      <c r="A1847" s="4" t="str">
        <f>IFERROR(__xludf.DUMMYFUNCTION("""COMPUTED_VALUE"""),"175 - Channel 5")</f>
        <v>175 - Channel 5</v>
      </c>
      <c r="B1847" s="4" t="s">
        <v>27</v>
      </c>
      <c r="C1847" s="4">
        <v>0.6750347222222238</v>
      </c>
      <c r="D1847" s="6">
        <v>3.4722222222222224E-4</v>
      </c>
      <c r="E1847" s="6">
        <v>0.6753819444444461</v>
      </c>
      <c r="F1847" s="6"/>
      <c r="G1847" s="4"/>
      <c r="H1847" s="4" t="s">
        <v>81</v>
      </c>
      <c r="I1847" s="4"/>
      <c r="J1847" s="4"/>
      <c r="K1847" s="4"/>
      <c r="L1847" s="4"/>
      <c r="M1847" s="4"/>
      <c r="N1847" s="4"/>
      <c r="O1847" s="51" t="b">
        <v>0</v>
      </c>
      <c r="P1847" s="51" t="b">
        <v>0</v>
      </c>
      <c r="Q1847" s="51" t="b">
        <v>0</v>
      </c>
      <c r="R1847" s="51" t="b">
        <v>0</v>
      </c>
      <c r="S1847" s="51" t="b">
        <v>0</v>
      </c>
    </row>
    <row r="1848" hidden="1">
      <c r="A1848" s="4" t="str">
        <f>IFERROR(__xludf.DUMMYFUNCTION("""COMPUTED_VALUE"""),"176 - Channel 5")</f>
        <v>176 - Channel 5</v>
      </c>
      <c r="B1848" s="4" t="s">
        <v>27</v>
      </c>
      <c r="C1848" s="4">
        <v>0.6753819444444461</v>
      </c>
      <c r="D1848" s="6">
        <v>0.013391203703703704</v>
      </c>
      <c r="E1848" s="6">
        <v>0.6887731481481498</v>
      </c>
      <c r="F1848" s="6" t="s">
        <v>151</v>
      </c>
      <c r="G1848" s="4"/>
      <c r="H1848" s="4" t="s">
        <v>2310</v>
      </c>
      <c r="I1848" s="4"/>
      <c r="J1848" s="4"/>
      <c r="K1848" s="4"/>
      <c r="L1848" s="4"/>
      <c r="M1848" s="4" t="s">
        <v>2311</v>
      </c>
      <c r="N1848" s="4"/>
      <c r="O1848" s="51" t="b">
        <v>0</v>
      </c>
      <c r="P1848" s="51" t="b">
        <v>0</v>
      </c>
      <c r="Q1848" s="51" t="b">
        <v>0</v>
      </c>
      <c r="R1848" s="51" t="b">
        <v>0</v>
      </c>
      <c r="S1848" s="51" t="b">
        <v>0</v>
      </c>
    </row>
    <row r="1849" hidden="1">
      <c r="A1849" s="4" t="str">
        <f>IFERROR(__xludf.DUMMYFUNCTION("""COMPUTED_VALUE"""),"177 - Channel 5")</f>
        <v>177 - Channel 5</v>
      </c>
      <c r="B1849" s="4" t="s">
        <v>27</v>
      </c>
      <c r="C1849" s="4">
        <v>0.6887731481481498</v>
      </c>
      <c r="D1849" s="6">
        <v>1.7361111111111112E-4</v>
      </c>
      <c r="E1849" s="6">
        <v>0.688946759259261</v>
      </c>
      <c r="F1849" s="6"/>
      <c r="G1849" s="4"/>
      <c r="H1849" s="4" t="s">
        <v>85</v>
      </c>
      <c r="I1849" s="4"/>
      <c r="J1849" s="4"/>
      <c r="K1849" s="4"/>
      <c r="L1849" s="4"/>
      <c r="M1849" s="4"/>
      <c r="N1849" s="4"/>
      <c r="O1849" s="51" t="b">
        <v>0</v>
      </c>
      <c r="P1849" s="51" t="b">
        <v>0</v>
      </c>
      <c r="Q1849" s="51" t="b">
        <v>0</v>
      </c>
      <c r="R1849" s="51" t="b">
        <v>0</v>
      </c>
      <c r="S1849" s="51" t="b">
        <v>0</v>
      </c>
    </row>
    <row r="1850">
      <c r="A1850" s="4" t="str">
        <f>IFERROR(__xludf.DUMMYFUNCTION("""COMPUTED_VALUE"""),"178 - Channel 5")</f>
        <v>178 - Channel 5</v>
      </c>
      <c r="B1850" s="4" t="s">
        <v>27</v>
      </c>
      <c r="C1850" s="4">
        <v>0.688946759259261</v>
      </c>
      <c r="D1850" s="6">
        <v>3.4722222222222224E-4</v>
      </c>
      <c r="E1850" s="6">
        <v>0.6892939814814832</v>
      </c>
      <c r="F1850" s="6"/>
      <c r="G1850" s="4"/>
      <c r="H1850" s="4" t="s">
        <v>81</v>
      </c>
      <c r="I1850" s="4"/>
      <c r="J1850" s="4"/>
      <c r="K1850" s="4"/>
      <c r="L1850" s="4"/>
      <c r="M1850" s="4"/>
      <c r="N1850" s="4"/>
      <c r="O1850" s="51" t="b">
        <v>0</v>
      </c>
      <c r="P1850" s="51" t="b">
        <v>0</v>
      </c>
      <c r="Q1850" s="51" t="b">
        <v>0</v>
      </c>
      <c r="R1850" s="51" t="b">
        <v>0</v>
      </c>
      <c r="S1850" s="51" t="b">
        <v>0</v>
      </c>
    </row>
    <row r="1851" hidden="1">
      <c r="A1851" s="4" t="str">
        <f>IFERROR(__xludf.DUMMYFUNCTION("""COMPUTED_VALUE"""),"179 - Channel 5")</f>
        <v>179 - Channel 5</v>
      </c>
      <c r="B1851" s="4" t="s">
        <v>27</v>
      </c>
      <c r="C1851" s="4">
        <v>0.6892939814814832</v>
      </c>
      <c r="D1851" s="6">
        <v>0.006944444444444444</v>
      </c>
      <c r="E1851" s="6">
        <v>0.6962384259259277</v>
      </c>
      <c r="F1851" s="6" t="s">
        <v>299</v>
      </c>
      <c r="G1851" s="4" t="s">
        <v>2082</v>
      </c>
      <c r="H1851" s="4" t="s">
        <v>2313</v>
      </c>
      <c r="I1851" s="4" t="s">
        <v>2314</v>
      </c>
      <c r="J1851" s="4" t="s">
        <v>2315</v>
      </c>
      <c r="K1851" s="4" t="s">
        <v>2316</v>
      </c>
      <c r="L1851" s="4" t="s">
        <v>2317</v>
      </c>
      <c r="M1851" s="4" t="s">
        <v>2318</v>
      </c>
      <c r="N1851" s="4"/>
      <c r="O1851" s="51" t="b">
        <v>0</v>
      </c>
      <c r="P1851" s="51" t="b">
        <v>0</v>
      </c>
      <c r="Q1851" s="51" t="b">
        <v>0</v>
      </c>
      <c r="R1851" s="51" t="b">
        <v>0</v>
      </c>
      <c r="S1851" s="51" t="b">
        <v>0</v>
      </c>
    </row>
    <row r="1852">
      <c r="A1852" s="4" t="str">
        <f>IFERROR(__xludf.DUMMYFUNCTION("""COMPUTED_VALUE"""),"180 - Channel 5")</f>
        <v>180 - Channel 5</v>
      </c>
      <c r="B1852" s="4" t="s">
        <v>27</v>
      </c>
      <c r="C1852" s="4">
        <v>0.6962384259259277</v>
      </c>
      <c r="D1852" s="6">
        <v>1.7361111111111112E-4</v>
      </c>
      <c r="E1852" s="6">
        <v>0.6964120370370388</v>
      </c>
      <c r="F1852" s="6"/>
      <c r="G1852" s="4"/>
      <c r="H1852" s="4" t="s">
        <v>85</v>
      </c>
      <c r="I1852" s="4"/>
      <c r="J1852" s="4"/>
      <c r="K1852" s="4"/>
      <c r="L1852" s="4"/>
      <c r="M1852" s="4"/>
      <c r="N1852" s="4"/>
      <c r="O1852" s="51" t="b">
        <v>0</v>
      </c>
      <c r="P1852" s="51" t="b">
        <v>0</v>
      </c>
      <c r="Q1852" s="51" t="b">
        <v>0</v>
      </c>
      <c r="R1852" s="51" t="b">
        <v>0</v>
      </c>
      <c r="S1852" s="51" t="b">
        <v>0</v>
      </c>
    </row>
    <row r="1853">
      <c r="A1853" s="4" t="str">
        <f>IFERROR(__xludf.DUMMYFUNCTION("""COMPUTED_VALUE"""),"181 - Channel 5")</f>
        <v>181 - Channel 5</v>
      </c>
      <c r="B1853" s="4" t="s">
        <v>27</v>
      </c>
      <c r="C1853" s="4">
        <v>0.6964120370370388</v>
      </c>
      <c r="D1853" s="6">
        <v>3.4722222222222224E-4</v>
      </c>
      <c r="E1853" s="6">
        <v>0.6967592592592611</v>
      </c>
      <c r="F1853" s="6"/>
      <c r="G1853" s="4"/>
      <c r="H1853" s="4" t="s">
        <v>2207</v>
      </c>
      <c r="I1853" s="4"/>
      <c r="J1853" s="4"/>
      <c r="K1853" s="4"/>
      <c r="L1853" s="4"/>
      <c r="M1853" s="4"/>
      <c r="N1853" s="4"/>
      <c r="O1853" s="51" t="b">
        <v>0</v>
      </c>
      <c r="P1853" s="51" t="b">
        <v>0</v>
      </c>
      <c r="Q1853" s="51" t="b">
        <v>0</v>
      </c>
      <c r="R1853" s="51" t="b">
        <v>0</v>
      </c>
      <c r="S1853" s="51" t="b">
        <v>0</v>
      </c>
    </row>
    <row r="1854" hidden="1">
      <c r="A1854" s="4" t="str">
        <f>IFERROR(__xludf.DUMMYFUNCTION("""COMPUTED_VALUE"""),"182 - Channel 5")</f>
        <v>182 - Channel 5</v>
      </c>
      <c r="B1854" s="4" t="s">
        <v>27</v>
      </c>
      <c r="C1854" s="4">
        <v>0.6967592592592611</v>
      </c>
      <c r="D1854" s="6">
        <v>3.4722222222222224E-4</v>
      </c>
      <c r="E1854" s="6">
        <v>0.6971064814814834</v>
      </c>
      <c r="F1854" s="6"/>
      <c r="G1854" s="4"/>
      <c r="H1854" s="4" t="s">
        <v>81</v>
      </c>
      <c r="I1854" s="4"/>
      <c r="J1854" s="4"/>
      <c r="K1854" s="4"/>
      <c r="L1854" s="4"/>
      <c r="M1854" s="4"/>
      <c r="N1854" s="4"/>
      <c r="O1854" s="51" t="b">
        <v>0</v>
      </c>
      <c r="P1854" s="51" t="b">
        <v>0</v>
      </c>
      <c r="Q1854" s="51" t="b">
        <v>0</v>
      </c>
      <c r="R1854" s="51" t="b">
        <v>0</v>
      </c>
      <c r="S1854" s="51" t="b">
        <v>0</v>
      </c>
    </row>
    <row r="1855">
      <c r="A1855" s="4" t="str">
        <f>IFERROR(__xludf.DUMMYFUNCTION("""COMPUTED_VALUE"""),"183 - Channel 5")</f>
        <v>183 - Channel 5</v>
      </c>
      <c r="B1855" s="4" t="s">
        <v>27</v>
      </c>
      <c r="C1855" s="4">
        <v>0.6971064814814834</v>
      </c>
      <c r="D1855" s="6">
        <v>0.01105324074074074</v>
      </c>
      <c r="E1855" s="6">
        <v>0.7081597222222241</v>
      </c>
      <c r="F1855" s="6" t="s">
        <v>409</v>
      </c>
      <c r="G1855" s="4" t="s">
        <v>2082</v>
      </c>
      <c r="H1855" s="4" t="s">
        <v>2321</v>
      </c>
      <c r="I1855" s="4"/>
      <c r="J1855" s="4"/>
      <c r="K1855" s="4"/>
      <c r="L1855" s="4" t="s">
        <v>591</v>
      </c>
      <c r="M1855" s="4" t="s">
        <v>2322</v>
      </c>
      <c r="N1855" s="4"/>
      <c r="O1855" s="51" t="b">
        <v>0</v>
      </c>
      <c r="P1855" s="51" t="b">
        <v>0</v>
      </c>
      <c r="Q1855" s="51" t="b">
        <v>0</v>
      </c>
      <c r="R1855" s="51" t="b">
        <v>0</v>
      </c>
      <c r="S1855" s="51" t="b">
        <v>0</v>
      </c>
    </row>
    <row r="1856" hidden="1">
      <c r="A1856" s="4" t="str">
        <f>IFERROR(__xludf.DUMMYFUNCTION("""COMPUTED_VALUE"""),"184 - Channel 5")</f>
        <v>184 - Channel 5</v>
      </c>
      <c r="B1856" s="4" t="s">
        <v>27</v>
      </c>
      <c r="C1856" s="4">
        <v>0.7081597222222241</v>
      </c>
      <c r="D1856" s="6">
        <v>1.7361111111111112E-4</v>
      </c>
      <c r="E1856" s="6">
        <v>0.7083333333333353</v>
      </c>
      <c r="F1856" s="6"/>
      <c r="G1856" s="4"/>
      <c r="H1856" s="4" t="s">
        <v>85</v>
      </c>
      <c r="I1856" s="4"/>
      <c r="J1856" s="4"/>
      <c r="K1856" s="4"/>
      <c r="L1856" s="4"/>
      <c r="M1856" s="4"/>
      <c r="N1856" s="4"/>
      <c r="O1856" s="51" t="b">
        <v>0</v>
      </c>
      <c r="P1856" s="51" t="b">
        <v>0</v>
      </c>
      <c r="Q1856" s="51" t="b">
        <v>0</v>
      </c>
      <c r="R1856" s="51" t="b">
        <v>0</v>
      </c>
      <c r="S1856" s="51" t="b">
        <v>0</v>
      </c>
    </row>
    <row r="1857">
      <c r="A1857" s="4" t="str">
        <f>IFERROR(__xludf.DUMMYFUNCTION("""COMPUTED_VALUE"""),"198 - Channel 5")</f>
        <v>198 - Channel 5</v>
      </c>
      <c r="B1857" s="4" t="s">
        <v>27</v>
      </c>
      <c r="C1857" s="4"/>
      <c r="D1857" s="6"/>
      <c r="E1857" s="6"/>
      <c r="F1857" s="6"/>
      <c r="G1857" s="4"/>
      <c r="H1857" s="4"/>
      <c r="I1857" s="4"/>
      <c r="J1857" s="4"/>
      <c r="K1857" s="4"/>
      <c r="L1857" s="4"/>
      <c r="M1857" s="4"/>
      <c r="N1857" s="4"/>
      <c r="O1857" s="51" t="b">
        <v>0</v>
      </c>
      <c r="P1857" s="51" t="b">
        <v>0</v>
      </c>
      <c r="Q1857" s="51" t="b">
        <v>0</v>
      </c>
      <c r="R1857" s="51" t="b">
        <v>0</v>
      </c>
      <c r="S1857" s="51" t="b">
        <v>1</v>
      </c>
      <c r="T1857" s="45"/>
    </row>
    <row r="1858" hidden="1">
      <c r="A1858" s="4" t="str">
        <f>IFERROR(__xludf.DUMMYFUNCTION("""COMPUTED_VALUE"""),"199 - Channel 5")</f>
        <v>199 - Channel 5</v>
      </c>
      <c r="B1858" s="4" t="s">
        <v>27</v>
      </c>
      <c r="C1858" s="4">
        <v>0.4166666666666667</v>
      </c>
      <c r="D1858" s="6">
        <v>6.944444444444445E-4</v>
      </c>
      <c r="E1858" s="6">
        <v>0.4173611111111111</v>
      </c>
      <c r="F1858" s="6"/>
      <c r="G1858" s="4"/>
      <c r="H1858" s="4" t="s">
        <v>2079</v>
      </c>
      <c r="I1858" s="4"/>
      <c r="J1858" s="4"/>
      <c r="K1858" s="4"/>
      <c r="L1858" s="4"/>
      <c r="M1858" s="4"/>
      <c r="N1858" s="4"/>
      <c r="O1858" s="51" t="b">
        <v>0</v>
      </c>
      <c r="P1858" s="51" t="b">
        <v>0</v>
      </c>
      <c r="Q1858" s="51" t="b">
        <v>0</v>
      </c>
      <c r="R1858" s="51" t="b">
        <v>0</v>
      </c>
      <c r="S1858" s="51" t="b">
        <v>0</v>
      </c>
    </row>
    <row r="1859">
      <c r="A1859" s="4" t="str">
        <f>IFERROR(__xludf.DUMMYFUNCTION("""COMPUTED_VALUE"""),"200 - Channel 5")</f>
        <v>200 - Channel 5</v>
      </c>
      <c r="B1859" s="4" t="s">
        <v>27</v>
      </c>
      <c r="C1859" s="4">
        <v>0.4173611111111111</v>
      </c>
      <c r="D1859" s="6">
        <v>3.4722222222222224E-4</v>
      </c>
      <c r="E1859" s="6">
        <v>0.41770833333333335</v>
      </c>
      <c r="F1859" s="6"/>
      <c r="G1859" s="4"/>
      <c r="H1859" s="4" t="s">
        <v>81</v>
      </c>
      <c r="I1859" s="4"/>
      <c r="J1859" s="4"/>
      <c r="K1859" s="4"/>
      <c r="L1859" s="4"/>
      <c r="M1859" s="4"/>
      <c r="N1859" s="4"/>
      <c r="O1859" s="51" t="b">
        <v>0</v>
      </c>
      <c r="P1859" s="51" t="b">
        <v>0</v>
      </c>
      <c r="Q1859" s="51" t="b">
        <v>0</v>
      </c>
      <c r="R1859" s="51" t="b">
        <v>0</v>
      </c>
      <c r="S1859" s="51" t="b">
        <v>0</v>
      </c>
    </row>
    <row r="1860" hidden="1">
      <c r="A1860" s="4" t="str">
        <f>IFERROR(__xludf.DUMMYFUNCTION("""COMPUTED_VALUE"""),"201 - Channel 5")</f>
        <v>201 - Channel 5</v>
      </c>
      <c r="B1860" s="4" t="s">
        <v>27</v>
      </c>
      <c r="C1860" s="4">
        <v>0.41770833333333335</v>
      </c>
      <c r="D1860" s="6">
        <v>0.005729166666666666</v>
      </c>
      <c r="E1860" s="6">
        <v>0.4234375</v>
      </c>
      <c r="F1860" s="6" t="s">
        <v>195</v>
      </c>
      <c r="G1860" s="4" t="s">
        <v>2082</v>
      </c>
      <c r="H1860" s="4" t="s">
        <v>2327</v>
      </c>
      <c r="I1860" s="4"/>
      <c r="J1860" s="4"/>
      <c r="K1860" s="4"/>
      <c r="L1860" s="4"/>
      <c r="M1860" s="4" t="s">
        <v>2328</v>
      </c>
      <c r="N1860" s="4"/>
      <c r="O1860" s="51" t="b">
        <v>0</v>
      </c>
      <c r="P1860" s="51" t="b">
        <v>0</v>
      </c>
      <c r="Q1860" s="51" t="b">
        <v>0</v>
      </c>
      <c r="R1860" s="51" t="b">
        <v>0</v>
      </c>
      <c r="S1860" s="51" t="b">
        <v>0</v>
      </c>
    </row>
    <row r="1861" hidden="1">
      <c r="A1861" s="4" t="str">
        <f>IFERROR(__xludf.DUMMYFUNCTION("""COMPUTED_VALUE"""),"202 - Channel 5")</f>
        <v>202 - Channel 5</v>
      </c>
      <c r="B1861" s="4" t="s">
        <v>27</v>
      </c>
      <c r="C1861" s="4">
        <v>0.4234375</v>
      </c>
      <c r="D1861" s="6">
        <v>1.7361111111111112E-4</v>
      </c>
      <c r="E1861" s="6">
        <v>0.42361111111111116</v>
      </c>
      <c r="F1861" s="6"/>
      <c r="G1861" s="4"/>
      <c r="H1861" s="4" t="s">
        <v>85</v>
      </c>
      <c r="I1861" s="4"/>
      <c r="J1861" s="4"/>
      <c r="K1861" s="4"/>
      <c r="L1861" s="4"/>
      <c r="M1861" s="4"/>
      <c r="N1861" s="4"/>
      <c r="O1861" s="51" t="b">
        <v>0</v>
      </c>
      <c r="P1861" s="51" t="b">
        <v>0</v>
      </c>
      <c r="Q1861" s="51" t="b">
        <v>0</v>
      </c>
      <c r="R1861" s="51" t="b">
        <v>0</v>
      </c>
      <c r="S1861" s="51" t="b">
        <v>0</v>
      </c>
    </row>
    <row r="1862">
      <c r="A1862" s="4" t="str">
        <f>IFERROR(__xludf.DUMMYFUNCTION("""COMPUTED_VALUE"""),"338 - Channel 5")</f>
        <v>338 - Channel 5</v>
      </c>
      <c r="B1862" s="4" t="s">
        <v>27</v>
      </c>
      <c r="C1862" s="4">
        <v>0.42361111111111116</v>
      </c>
      <c r="D1862" s="6">
        <v>3.4722222222222224E-4</v>
      </c>
      <c r="E1862" s="6">
        <v>0.4239583333333334</v>
      </c>
      <c r="F1862" s="6"/>
      <c r="G1862" s="4"/>
      <c r="H1862" s="4" t="s">
        <v>2207</v>
      </c>
      <c r="I1862" s="4"/>
      <c r="J1862" s="4"/>
      <c r="K1862" s="4"/>
      <c r="L1862" s="4"/>
      <c r="M1862" s="4"/>
      <c r="N1862" s="4"/>
      <c r="O1862" s="51" t="b">
        <v>0</v>
      </c>
      <c r="P1862" s="51" t="b">
        <v>0</v>
      </c>
      <c r="Q1862" s="51" t="b">
        <v>0</v>
      </c>
      <c r="R1862" s="51" t="b">
        <v>0</v>
      </c>
      <c r="S1862" s="51" t="b">
        <v>0</v>
      </c>
    </row>
    <row r="1863" hidden="1">
      <c r="A1863" s="4" t="str">
        <f>IFERROR(__xludf.DUMMYFUNCTION("""COMPUTED_VALUE"""),"204 - Channel 5")</f>
        <v>204 - Channel 5</v>
      </c>
      <c r="B1863" s="4" t="s">
        <v>27</v>
      </c>
      <c r="C1863" s="4">
        <v>0.4239583333333334</v>
      </c>
      <c r="D1863" s="6">
        <v>3.4722222222222224E-4</v>
      </c>
      <c r="E1863" s="6">
        <v>0.4243055555555556</v>
      </c>
      <c r="F1863" s="6"/>
      <c r="G1863" s="4"/>
      <c r="H1863" s="4" t="s">
        <v>81</v>
      </c>
      <c r="I1863" s="4"/>
      <c r="J1863" s="4"/>
      <c r="K1863" s="4"/>
      <c r="L1863" s="4"/>
      <c r="M1863" s="4"/>
      <c r="N1863" s="4"/>
      <c r="O1863" s="51" t="b">
        <v>0</v>
      </c>
      <c r="P1863" s="51" t="b">
        <v>0</v>
      </c>
      <c r="Q1863" s="51" t="b">
        <v>0</v>
      </c>
      <c r="R1863" s="51" t="b">
        <v>0</v>
      </c>
      <c r="S1863" s="51" t="b">
        <v>0</v>
      </c>
    </row>
    <row r="1864">
      <c r="A1864" s="4" t="str">
        <f>IFERROR(__xludf.DUMMYFUNCTION("""COMPUTED_VALUE"""),"205 - Channel 5")</f>
        <v>205 - Channel 5</v>
      </c>
      <c r="B1864" s="4" t="s">
        <v>27</v>
      </c>
      <c r="C1864" s="4">
        <v>0.4243055555555556</v>
      </c>
      <c r="D1864" s="6">
        <v>0.014328703703703703</v>
      </c>
      <c r="E1864" s="6">
        <v>0.4386342592592593</v>
      </c>
      <c r="F1864" s="6" t="s">
        <v>151</v>
      </c>
      <c r="G1864" s="4" t="s">
        <v>2082</v>
      </c>
      <c r="H1864" s="4" t="s">
        <v>2330</v>
      </c>
      <c r="I1864" s="4"/>
      <c r="J1864" s="4"/>
      <c r="K1864" s="4"/>
      <c r="L1864" s="4"/>
      <c r="M1864" s="4" t="s">
        <v>2331</v>
      </c>
      <c r="N1864" s="4"/>
      <c r="O1864" s="51" t="b">
        <v>0</v>
      </c>
      <c r="P1864" s="51" t="b">
        <v>0</v>
      </c>
      <c r="Q1864" s="51" t="b">
        <v>0</v>
      </c>
      <c r="R1864" s="51" t="b">
        <v>0</v>
      </c>
      <c r="S1864" s="51" t="b">
        <v>0</v>
      </c>
    </row>
    <row r="1865" hidden="1">
      <c r="A1865" s="4" t="str">
        <f>IFERROR(__xludf.DUMMYFUNCTION("""COMPUTED_VALUE"""),"206 - Channel 5")</f>
        <v>206 - Channel 5</v>
      </c>
      <c r="B1865" s="4" t="s">
        <v>27</v>
      </c>
      <c r="C1865" s="4">
        <v>0.4386342592592593</v>
      </c>
      <c r="D1865" s="6">
        <v>1.7361111111111112E-4</v>
      </c>
      <c r="E1865" s="6">
        <v>0.43880787037037045</v>
      </c>
      <c r="F1865" s="6"/>
      <c r="G1865" s="4"/>
      <c r="H1865" s="4" t="s">
        <v>85</v>
      </c>
      <c r="I1865" s="4"/>
      <c r="J1865" s="4"/>
      <c r="K1865" s="4"/>
      <c r="L1865" s="4"/>
      <c r="M1865" s="4"/>
      <c r="N1865" s="4"/>
      <c r="O1865" s="51" t="b">
        <v>0</v>
      </c>
      <c r="P1865" s="51" t="b">
        <v>0</v>
      </c>
      <c r="Q1865" s="51" t="b">
        <v>0</v>
      </c>
      <c r="R1865" s="51" t="b">
        <v>0</v>
      </c>
      <c r="S1865" s="51" t="b">
        <v>0</v>
      </c>
    </row>
    <row r="1866">
      <c r="A1866" s="4" t="str">
        <f>IFERROR(__xludf.DUMMYFUNCTION("""COMPUTED_VALUE"""),"207 - Channel 5")</f>
        <v>207 - Channel 5</v>
      </c>
      <c r="B1866" s="4" t="s">
        <v>27</v>
      </c>
      <c r="C1866" s="4">
        <v>0.43880787037037045</v>
      </c>
      <c r="D1866" s="6">
        <v>3.4722222222222224E-4</v>
      </c>
      <c r="E1866" s="6">
        <v>0.43915509259259267</v>
      </c>
      <c r="F1866" s="6"/>
      <c r="G1866" s="4"/>
      <c r="H1866" s="4" t="s">
        <v>81</v>
      </c>
      <c r="I1866" s="4"/>
      <c r="J1866" s="4"/>
      <c r="K1866" s="4"/>
      <c r="L1866" s="4"/>
      <c r="M1866" s="4"/>
      <c r="N1866" s="4"/>
      <c r="O1866" s="51" t="b">
        <v>0</v>
      </c>
      <c r="P1866" s="51" t="b">
        <v>0</v>
      </c>
      <c r="Q1866" s="51" t="b">
        <v>0</v>
      </c>
      <c r="R1866" s="51" t="b">
        <v>0</v>
      </c>
      <c r="S1866" s="51" t="b">
        <v>0</v>
      </c>
    </row>
    <row r="1867" hidden="1">
      <c r="A1867" s="4" t="str">
        <f>IFERROR(__xludf.DUMMYFUNCTION("""COMPUTED_VALUE"""),"208 - Channel 5")</f>
        <v>208 - Channel 5</v>
      </c>
      <c r="B1867" s="4" t="s">
        <v>27</v>
      </c>
      <c r="C1867" s="4">
        <v>0.43915509259259267</v>
      </c>
      <c r="D1867" s="6">
        <v>0.006944444444444444</v>
      </c>
      <c r="E1867" s="6">
        <v>0.4460995370370371</v>
      </c>
      <c r="F1867" s="6" t="s">
        <v>275</v>
      </c>
      <c r="G1867" s="4" t="s">
        <v>2082</v>
      </c>
      <c r="H1867" s="4" t="s">
        <v>2334</v>
      </c>
      <c r="I1867" s="4" t="s">
        <v>2335</v>
      </c>
      <c r="J1867" s="4" t="s">
        <v>2336</v>
      </c>
      <c r="K1867" s="4" t="s">
        <v>2337</v>
      </c>
      <c r="L1867" s="4" t="s">
        <v>2338</v>
      </c>
      <c r="M1867" s="4" t="s">
        <v>2339</v>
      </c>
      <c r="N1867" s="4"/>
      <c r="O1867" s="51" t="b">
        <v>0</v>
      </c>
      <c r="P1867" s="51" t="b">
        <v>0</v>
      </c>
      <c r="Q1867" s="51" t="b">
        <v>0</v>
      </c>
      <c r="R1867" s="51" t="b">
        <v>0</v>
      </c>
      <c r="S1867" s="51" t="b">
        <v>0</v>
      </c>
    </row>
    <row r="1868">
      <c r="A1868" s="4" t="str">
        <f>IFERROR(__xludf.DUMMYFUNCTION("""COMPUTED_VALUE"""),"209 - Channel 5")</f>
        <v>209 - Channel 5</v>
      </c>
      <c r="B1868" s="4" t="s">
        <v>27</v>
      </c>
      <c r="C1868" s="4">
        <v>0.4460995370370371</v>
      </c>
      <c r="D1868" s="6">
        <v>1.7361111111111112E-4</v>
      </c>
      <c r="E1868" s="6">
        <v>0.4462731481481482</v>
      </c>
      <c r="F1868" s="6"/>
      <c r="G1868" s="4"/>
      <c r="H1868" s="4" t="s">
        <v>85</v>
      </c>
      <c r="I1868" s="4"/>
      <c r="J1868" s="4"/>
      <c r="K1868" s="4"/>
      <c r="L1868" s="4"/>
      <c r="M1868" s="4"/>
      <c r="N1868" s="4"/>
      <c r="O1868" s="51" t="b">
        <v>0</v>
      </c>
      <c r="P1868" s="51" t="b">
        <v>0</v>
      </c>
      <c r="Q1868" s="51" t="b">
        <v>0</v>
      </c>
      <c r="R1868" s="51" t="b">
        <v>0</v>
      </c>
      <c r="S1868" s="51" t="b">
        <v>0</v>
      </c>
    </row>
    <row r="1869">
      <c r="A1869" s="4" t="str">
        <f>IFERROR(__xludf.DUMMYFUNCTION("""COMPUTED_VALUE"""),"210 - Channel 5")</f>
        <v>210 - Channel 5</v>
      </c>
      <c r="B1869" s="4" t="s">
        <v>27</v>
      </c>
      <c r="C1869" s="4">
        <v>0.4462731481481482</v>
      </c>
      <c r="D1869" s="6">
        <v>5.208333333333333E-4</v>
      </c>
      <c r="E1869" s="6">
        <v>0.4467939814814816</v>
      </c>
      <c r="F1869" s="6"/>
      <c r="G1869" s="4"/>
      <c r="H1869" s="4" t="s">
        <v>2140</v>
      </c>
      <c r="I1869" s="4"/>
      <c r="J1869" s="4"/>
      <c r="K1869" s="4"/>
      <c r="L1869" s="4"/>
      <c r="M1869" s="4"/>
      <c r="N1869" s="4"/>
      <c r="O1869" s="51" t="b">
        <v>0</v>
      </c>
      <c r="P1869" s="51" t="b">
        <v>0</v>
      </c>
      <c r="Q1869" s="51" t="b">
        <v>0</v>
      </c>
      <c r="R1869" s="51" t="b">
        <v>0</v>
      </c>
      <c r="S1869" s="51" t="b">
        <v>0</v>
      </c>
    </row>
    <row r="1870" hidden="1">
      <c r="A1870" s="4" t="str">
        <f>IFERROR(__xludf.DUMMYFUNCTION("""COMPUTED_VALUE"""),"211 - Channel 5")</f>
        <v>211 - Channel 5</v>
      </c>
      <c r="B1870" s="4" t="s">
        <v>27</v>
      </c>
      <c r="C1870" s="4">
        <v>0.4467939814814816</v>
      </c>
      <c r="D1870" s="6">
        <v>7.291666666666667E-4</v>
      </c>
      <c r="E1870" s="6">
        <v>0.44752314814814825</v>
      </c>
      <c r="F1870" s="6"/>
      <c r="G1870" s="4"/>
      <c r="H1870" s="4" t="s">
        <v>2102</v>
      </c>
      <c r="I1870" s="4"/>
      <c r="J1870" s="4"/>
      <c r="K1870" s="4"/>
      <c r="L1870" s="4"/>
      <c r="M1870" s="4"/>
      <c r="N1870" s="4"/>
      <c r="O1870" s="51" t="b">
        <v>0</v>
      </c>
      <c r="P1870" s="51" t="b">
        <v>0</v>
      </c>
      <c r="Q1870" s="51" t="b">
        <v>0</v>
      </c>
      <c r="R1870" s="51" t="b">
        <v>0</v>
      </c>
      <c r="S1870" s="51" t="b">
        <v>0</v>
      </c>
    </row>
    <row r="1871">
      <c r="A1871" s="4" t="str">
        <f>IFERROR(__xludf.DUMMYFUNCTION("""COMPUTED_VALUE"""),"213 - Channel 5")</f>
        <v>213 - Channel 5</v>
      </c>
      <c r="B1871" s="4" t="s">
        <v>27</v>
      </c>
      <c r="C1871" s="4">
        <v>0.44752314814814825</v>
      </c>
      <c r="D1871" s="6">
        <v>3.4722222222222224E-4</v>
      </c>
      <c r="E1871" s="6">
        <v>0.4478703703703705</v>
      </c>
      <c r="F1871" s="6"/>
      <c r="G1871" s="4"/>
      <c r="H1871" s="4" t="s">
        <v>81</v>
      </c>
      <c r="I1871" s="4"/>
      <c r="J1871" s="4"/>
      <c r="K1871" s="4"/>
      <c r="L1871" s="4"/>
      <c r="M1871" s="4"/>
      <c r="N1871" s="4"/>
      <c r="O1871" s="51" t="b">
        <v>0</v>
      </c>
      <c r="P1871" s="51" t="b">
        <v>0</v>
      </c>
      <c r="Q1871" s="51" t="b">
        <v>0</v>
      </c>
      <c r="R1871" s="51" t="b">
        <v>0</v>
      </c>
      <c r="S1871" s="51" t="b">
        <v>0</v>
      </c>
    </row>
    <row r="1872" hidden="1">
      <c r="A1872" s="4" t="str">
        <f>IFERROR(__xludf.DUMMYFUNCTION("""COMPUTED_VALUE"""),"214 - Channel 5")</f>
        <v>214 - Channel 5</v>
      </c>
      <c r="B1872" s="4" t="s">
        <v>27</v>
      </c>
      <c r="C1872" s="4">
        <v>0.4478703703703705</v>
      </c>
      <c r="D1872" s="6">
        <v>0.019363425925925926</v>
      </c>
      <c r="E1872" s="6">
        <v>0.4672337962962964</v>
      </c>
      <c r="F1872" s="6" t="s">
        <v>394</v>
      </c>
      <c r="G1872" s="4" t="s">
        <v>2082</v>
      </c>
      <c r="H1872" s="4" t="s">
        <v>2341</v>
      </c>
      <c r="I1872" s="4" t="s">
        <v>614</v>
      </c>
      <c r="J1872" s="4"/>
      <c r="K1872" s="4"/>
      <c r="L1872" s="4"/>
      <c r="M1872" s="4" t="s">
        <v>2342</v>
      </c>
      <c r="N1872" s="4"/>
      <c r="O1872" s="51" t="b">
        <v>0</v>
      </c>
      <c r="P1872" s="51" t="b">
        <v>0</v>
      </c>
      <c r="Q1872" s="51" t="b">
        <v>0</v>
      </c>
      <c r="R1872" s="51" t="b">
        <v>0</v>
      </c>
      <c r="S1872" s="51" t="b">
        <v>0</v>
      </c>
    </row>
    <row r="1873" hidden="1">
      <c r="A1873" s="4" t="str">
        <f>IFERROR(__xludf.DUMMYFUNCTION("""COMPUTED_VALUE"""),"215 - Channel 5")</f>
        <v>215 - Channel 5</v>
      </c>
      <c r="B1873" s="4" t="s">
        <v>27</v>
      </c>
      <c r="C1873" s="4">
        <v>0.4672337962962964</v>
      </c>
      <c r="D1873" s="6">
        <v>1.7361111111111112E-4</v>
      </c>
      <c r="E1873" s="6">
        <v>0.46740740740740755</v>
      </c>
      <c r="F1873" s="6"/>
      <c r="G1873" s="4"/>
      <c r="H1873" s="4" t="s">
        <v>85</v>
      </c>
      <c r="I1873" s="4"/>
      <c r="J1873" s="4"/>
      <c r="K1873" s="4"/>
      <c r="L1873" s="4"/>
      <c r="M1873" s="4"/>
      <c r="N1873" s="4"/>
      <c r="O1873" s="51" t="b">
        <v>0</v>
      </c>
      <c r="P1873" s="51" t="b">
        <v>0</v>
      </c>
      <c r="Q1873" s="51" t="b">
        <v>0</v>
      </c>
      <c r="R1873" s="51" t="b">
        <v>0</v>
      </c>
      <c r="S1873" s="51" t="b">
        <v>0</v>
      </c>
    </row>
    <row r="1874">
      <c r="A1874" s="4" t="str">
        <f>IFERROR(__xludf.DUMMYFUNCTION("""COMPUTED_VALUE"""),"217 - Channel 5")</f>
        <v>217 - Channel 5</v>
      </c>
      <c r="B1874" s="4" t="s">
        <v>27</v>
      </c>
      <c r="C1874" s="4">
        <v>0.46740740740740755</v>
      </c>
      <c r="D1874" s="6">
        <v>3.4722222222222224E-4</v>
      </c>
      <c r="E1874" s="6">
        <v>0.46775462962962977</v>
      </c>
      <c r="F1874" s="6"/>
      <c r="G1874" s="4"/>
      <c r="H1874" s="4" t="s">
        <v>81</v>
      </c>
      <c r="I1874" s="4"/>
      <c r="J1874" s="4"/>
      <c r="K1874" s="4"/>
      <c r="L1874" s="4"/>
      <c r="M1874" s="4"/>
      <c r="N1874" s="4"/>
      <c r="O1874" s="51" t="b">
        <v>0</v>
      </c>
      <c r="P1874" s="51" t="b">
        <v>0</v>
      </c>
      <c r="Q1874" s="51" t="b">
        <v>0</v>
      </c>
      <c r="R1874" s="51" t="b">
        <v>0</v>
      </c>
      <c r="S1874" s="51" t="b">
        <v>0</v>
      </c>
    </row>
    <row r="1875" hidden="1">
      <c r="A1875" s="4" t="str">
        <f>IFERROR(__xludf.DUMMYFUNCTION("""COMPUTED_VALUE"""),"218 - Channel 5")</f>
        <v>218 - Channel 5</v>
      </c>
      <c r="B1875" s="4" t="s">
        <v>27</v>
      </c>
      <c r="C1875" s="4">
        <v>0.46775462962962977</v>
      </c>
      <c r="D1875" s="6">
        <v>0.00912037037037037</v>
      </c>
      <c r="E1875" s="6">
        <v>0.47687500000000016</v>
      </c>
      <c r="F1875" s="6" t="s">
        <v>358</v>
      </c>
      <c r="G1875" s="4" t="s">
        <v>2082</v>
      </c>
      <c r="H1875" s="4" t="s">
        <v>2344</v>
      </c>
      <c r="I1875" s="4"/>
      <c r="J1875" s="4"/>
      <c r="K1875" s="4"/>
      <c r="L1875" s="4"/>
      <c r="M1875" s="4" t="s">
        <v>2345</v>
      </c>
      <c r="N1875" s="4"/>
      <c r="O1875" s="51" t="b">
        <v>0</v>
      </c>
      <c r="P1875" s="51" t="b">
        <v>0</v>
      </c>
      <c r="Q1875" s="51" t="b">
        <v>0</v>
      </c>
      <c r="R1875" s="51" t="b">
        <v>0</v>
      </c>
      <c r="S1875" s="51" t="b">
        <v>0</v>
      </c>
    </row>
    <row r="1876">
      <c r="A1876" s="4" t="str">
        <f>IFERROR(__xludf.DUMMYFUNCTION("""COMPUTED_VALUE"""),"219 - Channel 5")</f>
        <v>219 - Channel 5</v>
      </c>
      <c r="B1876" s="4" t="s">
        <v>27</v>
      </c>
      <c r="C1876" s="4">
        <v>0.47687500000000016</v>
      </c>
      <c r="D1876" s="6">
        <v>1.7361111111111112E-4</v>
      </c>
      <c r="E1876" s="6">
        <v>0.4770486111111113</v>
      </c>
      <c r="F1876" s="6"/>
      <c r="G1876" s="4"/>
      <c r="H1876" s="4" t="s">
        <v>85</v>
      </c>
      <c r="I1876" s="4"/>
      <c r="J1876" s="4"/>
      <c r="K1876" s="4"/>
      <c r="L1876" s="4"/>
      <c r="M1876" s="4"/>
      <c r="N1876" s="4"/>
      <c r="O1876" s="51" t="b">
        <v>0</v>
      </c>
      <c r="P1876" s="51" t="b">
        <v>0</v>
      </c>
      <c r="Q1876" s="51" t="b">
        <v>0</v>
      </c>
      <c r="R1876" s="51" t="b">
        <v>0</v>
      </c>
      <c r="S1876" s="51" t="b">
        <v>0</v>
      </c>
    </row>
    <row r="1877">
      <c r="A1877" s="4" t="str">
        <f>IFERROR(__xludf.DUMMYFUNCTION("""COMPUTED_VALUE"""),"220 - Channel 5")</f>
        <v>220 - Channel 5</v>
      </c>
      <c r="B1877" s="4" t="s">
        <v>27</v>
      </c>
      <c r="C1877" s="4">
        <v>0.4770486111111113</v>
      </c>
      <c r="D1877" s="6">
        <v>3.4722222222222224E-4</v>
      </c>
      <c r="E1877" s="6">
        <v>0.4773958333333335</v>
      </c>
      <c r="F1877" s="6"/>
      <c r="G1877" s="4"/>
      <c r="H1877" s="4" t="s">
        <v>2207</v>
      </c>
      <c r="I1877" s="4"/>
      <c r="J1877" s="4"/>
      <c r="K1877" s="4"/>
      <c r="L1877" s="4"/>
      <c r="M1877" s="4"/>
      <c r="N1877" s="4"/>
      <c r="O1877" s="51" t="b">
        <v>0</v>
      </c>
      <c r="P1877" s="51" t="b">
        <v>0</v>
      </c>
      <c r="Q1877" s="51" t="b">
        <v>0</v>
      </c>
      <c r="R1877" s="51" t="b">
        <v>0</v>
      </c>
      <c r="S1877" s="51" t="b">
        <v>0</v>
      </c>
    </row>
    <row r="1878" hidden="1">
      <c r="A1878" s="4" t="str">
        <f>IFERROR(__xludf.DUMMYFUNCTION("""COMPUTED_VALUE"""),"221 - Channel 5")</f>
        <v>221 - Channel 5</v>
      </c>
      <c r="B1878" s="4" t="s">
        <v>27</v>
      </c>
      <c r="C1878" s="4">
        <v>0.4773958333333335</v>
      </c>
      <c r="D1878" s="6">
        <v>3.4722222222222224E-4</v>
      </c>
      <c r="E1878" s="6">
        <v>0.47774305555555574</v>
      </c>
      <c r="F1878" s="6"/>
      <c r="G1878" s="4"/>
      <c r="H1878" s="4" t="s">
        <v>81</v>
      </c>
      <c r="I1878" s="4"/>
      <c r="J1878" s="4"/>
      <c r="K1878" s="4"/>
      <c r="L1878" s="4"/>
      <c r="M1878" s="4"/>
      <c r="N1878" s="4"/>
      <c r="O1878" s="51" t="b">
        <v>0</v>
      </c>
      <c r="P1878" s="51" t="b">
        <v>0</v>
      </c>
      <c r="Q1878" s="51" t="b">
        <v>0</v>
      </c>
      <c r="R1878" s="51" t="b">
        <v>0</v>
      </c>
      <c r="S1878" s="51" t="b">
        <v>0</v>
      </c>
    </row>
    <row r="1879">
      <c r="A1879" s="4" t="str">
        <f>IFERROR(__xludf.DUMMYFUNCTION("""COMPUTED_VALUE"""),"222 - Channel 5")</f>
        <v>222 - Channel 5</v>
      </c>
      <c r="B1879" s="4" t="s">
        <v>27</v>
      </c>
      <c r="C1879" s="4">
        <v>0.47774305555555574</v>
      </c>
      <c r="D1879" s="6">
        <v>0.006944444444444444</v>
      </c>
      <c r="E1879" s="6">
        <v>0.48468750000000016</v>
      </c>
      <c r="F1879" s="6" t="s">
        <v>106</v>
      </c>
      <c r="G1879" s="4" t="s">
        <v>2082</v>
      </c>
      <c r="H1879" s="4" t="s">
        <v>2348</v>
      </c>
      <c r="I1879" s="4" t="s">
        <v>2349</v>
      </c>
      <c r="J1879" s="4" t="s">
        <v>2350</v>
      </c>
      <c r="K1879" s="4" t="s">
        <v>2351</v>
      </c>
      <c r="L1879" s="4" t="s">
        <v>2352</v>
      </c>
      <c r="M1879" s="4" t="s">
        <v>2354</v>
      </c>
      <c r="N1879" s="4"/>
      <c r="O1879" s="51" t="b">
        <v>0</v>
      </c>
      <c r="P1879" s="51" t="b">
        <v>0</v>
      </c>
      <c r="Q1879" s="51" t="b">
        <v>0</v>
      </c>
      <c r="R1879" s="51" t="b">
        <v>0</v>
      </c>
      <c r="S1879" s="51" t="b">
        <v>0</v>
      </c>
    </row>
    <row r="1880" hidden="1">
      <c r="A1880" s="4" t="str">
        <f>IFERROR(__xludf.DUMMYFUNCTION("""COMPUTED_VALUE"""),"223 - Channel 5")</f>
        <v>223 - Channel 5</v>
      </c>
      <c r="B1880" s="4" t="s">
        <v>27</v>
      </c>
      <c r="C1880" s="4">
        <v>0.48468750000000016</v>
      </c>
      <c r="D1880" s="6">
        <v>1.7361111111111112E-4</v>
      </c>
      <c r="E1880" s="6">
        <v>0.4848611111111113</v>
      </c>
      <c r="F1880" s="6"/>
      <c r="G1880" s="4"/>
      <c r="H1880" s="4" t="s">
        <v>85</v>
      </c>
      <c r="I1880" s="4"/>
      <c r="J1880" s="4"/>
      <c r="K1880" s="4"/>
      <c r="L1880" s="4"/>
      <c r="M1880" s="4"/>
      <c r="N1880" s="4"/>
      <c r="O1880" s="51" t="b">
        <v>0</v>
      </c>
      <c r="P1880" s="51" t="b">
        <v>0</v>
      </c>
      <c r="Q1880" s="51" t="b">
        <v>0</v>
      </c>
      <c r="R1880" s="51" t="b">
        <v>0</v>
      </c>
      <c r="S1880" s="51" t="b">
        <v>0</v>
      </c>
    </row>
    <row r="1881">
      <c r="A1881" s="4" t="str">
        <f>IFERROR(__xludf.DUMMYFUNCTION("""COMPUTED_VALUE"""),"224 - Channel 5")</f>
        <v>224 - Channel 5</v>
      </c>
      <c r="B1881" s="4" t="s">
        <v>27</v>
      </c>
      <c r="C1881" s="4">
        <v>0.4848611111111113</v>
      </c>
      <c r="D1881" s="6">
        <v>5.208333333333333E-4</v>
      </c>
      <c r="E1881" s="6">
        <v>0.48538194444444466</v>
      </c>
      <c r="F1881" s="6"/>
      <c r="G1881" s="4"/>
      <c r="H1881" s="4" t="s">
        <v>2140</v>
      </c>
      <c r="I1881" s="4"/>
      <c r="J1881" s="4"/>
      <c r="K1881" s="4"/>
      <c r="L1881" s="4"/>
      <c r="M1881" s="4"/>
      <c r="N1881" s="4"/>
      <c r="O1881" s="51" t="b">
        <v>0</v>
      </c>
      <c r="P1881" s="51" t="b">
        <v>0</v>
      </c>
      <c r="Q1881" s="51" t="b">
        <v>0</v>
      </c>
      <c r="R1881" s="51" t="b">
        <v>0</v>
      </c>
      <c r="S1881" s="51" t="b">
        <v>0</v>
      </c>
    </row>
    <row r="1882" hidden="1">
      <c r="A1882" s="4" t="str">
        <f>IFERROR(__xludf.DUMMYFUNCTION("""COMPUTED_VALUE"""),"347 - Channel 5")</f>
        <v>347 - Channel 5</v>
      </c>
      <c r="B1882" s="4" t="s">
        <v>27</v>
      </c>
      <c r="C1882" s="4">
        <v>0.48538194444444466</v>
      </c>
      <c r="D1882" s="6">
        <v>6.944444444444445E-4</v>
      </c>
      <c r="E1882" s="6">
        <v>0.4860763888888891</v>
      </c>
      <c r="F1882" s="6"/>
      <c r="G1882" s="4"/>
      <c r="H1882" s="4" t="s">
        <v>2102</v>
      </c>
      <c r="I1882" s="4"/>
      <c r="J1882" s="4"/>
      <c r="K1882" s="4"/>
      <c r="L1882" s="4"/>
      <c r="M1882" s="4"/>
      <c r="N1882" s="4"/>
      <c r="O1882" s="51" t="b">
        <v>0</v>
      </c>
      <c r="P1882" s="51" t="b">
        <v>0</v>
      </c>
      <c r="Q1882" s="51" t="b">
        <v>0</v>
      </c>
      <c r="R1882" s="51" t="b">
        <v>0</v>
      </c>
      <c r="S1882" s="51" t="b">
        <v>0</v>
      </c>
    </row>
    <row r="1883">
      <c r="A1883" s="4" t="str">
        <f>IFERROR(__xludf.DUMMYFUNCTION("""COMPUTED_VALUE"""),"226 - Channel 5")</f>
        <v>226 - Channel 5</v>
      </c>
      <c r="B1883" s="4" t="s">
        <v>27</v>
      </c>
      <c r="C1883" s="4">
        <v>0.4860763888888891</v>
      </c>
      <c r="D1883" s="6">
        <v>3.4722222222222224E-4</v>
      </c>
      <c r="E1883" s="6">
        <v>0.4864236111111113</v>
      </c>
      <c r="F1883" s="6"/>
      <c r="G1883" s="4"/>
      <c r="H1883" s="4" t="s">
        <v>81</v>
      </c>
      <c r="I1883" s="4"/>
      <c r="J1883" s="4"/>
      <c r="K1883" s="4"/>
      <c r="L1883" s="4"/>
      <c r="M1883" s="4"/>
      <c r="N1883" s="4"/>
      <c r="O1883" s="51" t="b">
        <v>0</v>
      </c>
      <c r="P1883" s="51" t="b">
        <v>0</v>
      </c>
      <c r="Q1883" s="51" t="b">
        <v>0</v>
      </c>
      <c r="R1883" s="51" t="b">
        <v>0</v>
      </c>
      <c r="S1883" s="51" t="b">
        <v>0</v>
      </c>
    </row>
    <row r="1884" hidden="1">
      <c r="A1884" s="4" t="str">
        <f>IFERROR(__xludf.DUMMYFUNCTION("""COMPUTED_VALUE"""),"227 - Channel 5")</f>
        <v>227 - Channel 5</v>
      </c>
      <c r="B1884" s="4" t="s">
        <v>27</v>
      </c>
      <c r="C1884" s="4">
        <v>0.4864236111111113</v>
      </c>
      <c r="D1884" s="6">
        <v>0.015405092592592592</v>
      </c>
      <c r="E1884" s="6">
        <v>0.5018287037037039</v>
      </c>
      <c r="F1884" s="6" t="s">
        <v>299</v>
      </c>
      <c r="G1884" s="4" t="s">
        <v>2082</v>
      </c>
      <c r="H1884" s="4" t="s">
        <v>2358</v>
      </c>
      <c r="I1884" s="4"/>
      <c r="J1884" s="4"/>
      <c r="K1884" s="4"/>
      <c r="L1884" s="4"/>
      <c r="M1884" s="4" t="s">
        <v>2359</v>
      </c>
      <c r="N1884" s="4"/>
      <c r="O1884" s="51" t="b">
        <v>0</v>
      </c>
      <c r="P1884" s="51" t="b">
        <v>0</v>
      </c>
      <c r="Q1884" s="51" t="b">
        <v>0</v>
      </c>
      <c r="R1884" s="51" t="b">
        <v>0</v>
      </c>
      <c r="S1884" s="51" t="b">
        <v>0</v>
      </c>
    </row>
    <row r="1885" hidden="1">
      <c r="A1885" s="4" t="str">
        <f>IFERROR(__xludf.DUMMYFUNCTION("""COMPUTED_VALUE"""),"228 - Channel 5")</f>
        <v>228 - Channel 5</v>
      </c>
      <c r="B1885" s="4" t="s">
        <v>27</v>
      </c>
      <c r="C1885" s="4">
        <v>0.5018287037037039</v>
      </c>
      <c r="D1885" s="6">
        <v>1.7361111111111112E-4</v>
      </c>
      <c r="E1885" s="6">
        <v>0.502002314814815</v>
      </c>
      <c r="F1885" s="6"/>
      <c r="G1885" s="4"/>
      <c r="H1885" s="4" t="s">
        <v>85</v>
      </c>
      <c r="I1885" s="4"/>
      <c r="J1885" s="4"/>
      <c r="K1885" s="4"/>
      <c r="L1885" s="4"/>
      <c r="M1885" s="4"/>
      <c r="N1885" s="4"/>
      <c r="O1885" s="51" t="b">
        <v>0</v>
      </c>
      <c r="P1885" s="51" t="b">
        <v>0</v>
      </c>
      <c r="Q1885" s="51" t="b">
        <v>0</v>
      </c>
      <c r="R1885" s="51" t="b">
        <v>0</v>
      </c>
      <c r="S1885" s="51" t="b">
        <v>0</v>
      </c>
    </row>
    <row r="1886">
      <c r="A1886" s="4" t="str">
        <f>IFERROR(__xludf.DUMMYFUNCTION("""COMPUTED_VALUE"""),"229 - Channel 5")</f>
        <v>229 - Channel 5</v>
      </c>
      <c r="B1886" s="4" t="s">
        <v>27</v>
      </c>
      <c r="C1886" s="4">
        <v>0.502002314814815</v>
      </c>
      <c r="D1886" s="6">
        <v>3.4722222222222224E-4</v>
      </c>
      <c r="E1886" s="6">
        <v>0.5023495370370373</v>
      </c>
      <c r="F1886" s="6"/>
      <c r="G1886" s="4"/>
      <c r="H1886" s="4" t="s">
        <v>81</v>
      </c>
      <c r="I1886" s="4"/>
      <c r="J1886" s="4"/>
      <c r="K1886" s="4"/>
      <c r="L1886" s="4"/>
      <c r="M1886" s="4"/>
      <c r="N1886" s="4"/>
      <c r="O1886" s="51" t="b">
        <v>0</v>
      </c>
      <c r="P1886" s="51" t="b">
        <v>0</v>
      </c>
      <c r="Q1886" s="51" t="b">
        <v>0</v>
      </c>
      <c r="R1886" s="51" t="b">
        <v>0</v>
      </c>
      <c r="S1886" s="51" t="b">
        <v>0</v>
      </c>
    </row>
    <row r="1887" hidden="1">
      <c r="A1887" s="4" t="str">
        <f>IFERROR(__xludf.DUMMYFUNCTION("""COMPUTED_VALUE"""),"230 - Channel 5")</f>
        <v>230 - Channel 5</v>
      </c>
      <c r="B1887" s="4" t="s">
        <v>27</v>
      </c>
      <c r="C1887" s="4">
        <v>0.5023495370370373</v>
      </c>
      <c r="D1887" s="6">
        <v>0.011944444444444445</v>
      </c>
      <c r="E1887" s="6">
        <v>0.5142939814814818</v>
      </c>
      <c r="F1887" s="6" t="s">
        <v>146</v>
      </c>
      <c r="G1887" s="4" t="s">
        <v>2082</v>
      </c>
      <c r="H1887" s="4" t="s">
        <v>2361</v>
      </c>
      <c r="I1887" s="4"/>
      <c r="J1887" s="4"/>
      <c r="K1887" s="4"/>
      <c r="L1887" s="4"/>
      <c r="M1887" s="4" t="s">
        <v>2362</v>
      </c>
      <c r="N1887" s="4"/>
      <c r="O1887" s="51" t="b">
        <v>0</v>
      </c>
      <c r="P1887" s="51" t="b">
        <v>0</v>
      </c>
      <c r="Q1887" s="51" t="b">
        <v>0</v>
      </c>
      <c r="R1887" s="51" t="b">
        <v>0</v>
      </c>
      <c r="S1887" s="51" t="b">
        <v>0</v>
      </c>
    </row>
    <row r="1888">
      <c r="A1888" s="4" t="str">
        <f>IFERROR(__xludf.DUMMYFUNCTION("""COMPUTED_VALUE"""),"231 - Channel 5")</f>
        <v>231 - Channel 5</v>
      </c>
      <c r="B1888" s="4" t="s">
        <v>27</v>
      </c>
      <c r="C1888" s="4">
        <v>0.5142939814814818</v>
      </c>
      <c r="D1888" s="6">
        <v>1.7361111111111112E-4</v>
      </c>
      <c r="E1888" s="6">
        <v>0.5144675925925929</v>
      </c>
      <c r="F1888" s="6"/>
      <c r="G1888" s="4"/>
      <c r="H1888" s="4" t="s">
        <v>85</v>
      </c>
      <c r="I1888" s="4"/>
      <c r="J1888" s="4"/>
      <c r="K1888" s="4"/>
      <c r="L1888" s="4"/>
      <c r="M1888" s="4"/>
      <c r="N1888" s="4"/>
      <c r="O1888" s="51" t="b">
        <v>0</v>
      </c>
      <c r="P1888" s="51" t="b">
        <v>0</v>
      </c>
      <c r="Q1888" s="51" t="b">
        <v>0</v>
      </c>
      <c r="R1888" s="51" t="b">
        <v>0</v>
      </c>
      <c r="S1888" s="51" t="b">
        <v>0</v>
      </c>
    </row>
    <row r="1889">
      <c r="A1889" s="4" t="str">
        <f>IFERROR(__xludf.DUMMYFUNCTION("""COMPUTED_VALUE"""),"232 - Channel 5")</f>
        <v>232 - Channel 5</v>
      </c>
      <c r="B1889" s="4" t="s">
        <v>27</v>
      </c>
      <c r="C1889" s="4">
        <v>0.5144675925925929</v>
      </c>
      <c r="D1889" s="6">
        <v>3.4722222222222224E-4</v>
      </c>
      <c r="E1889" s="6">
        <v>0.5148148148148152</v>
      </c>
      <c r="F1889" s="6"/>
      <c r="G1889" s="4"/>
      <c r="H1889" s="4" t="s">
        <v>81</v>
      </c>
      <c r="I1889" s="4"/>
      <c r="J1889" s="4"/>
      <c r="K1889" s="4"/>
      <c r="L1889" s="4"/>
      <c r="M1889" s="4"/>
      <c r="N1889" s="4"/>
      <c r="O1889" s="51" t="b">
        <v>0</v>
      </c>
      <c r="P1889" s="51" t="b">
        <v>0</v>
      </c>
      <c r="Q1889" s="51" t="b">
        <v>0</v>
      </c>
      <c r="R1889" s="51" t="b">
        <v>0</v>
      </c>
      <c r="S1889" s="51" t="b">
        <v>0</v>
      </c>
    </row>
    <row r="1890" hidden="1">
      <c r="A1890" s="4" t="str">
        <f>IFERROR(__xludf.DUMMYFUNCTION("""COMPUTED_VALUE"""),"233 - Channel 5")</f>
        <v>233 - Channel 5</v>
      </c>
      <c r="B1890" s="4" t="s">
        <v>27</v>
      </c>
      <c r="C1890" s="4">
        <v>0.5148148148148152</v>
      </c>
      <c r="D1890" s="6">
        <v>0.006944444444444444</v>
      </c>
      <c r="E1890" s="6">
        <v>0.5217592592592596</v>
      </c>
      <c r="F1890" s="6" t="s">
        <v>368</v>
      </c>
      <c r="G1890" s="4" t="s">
        <v>2082</v>
      </c>
      <c r="H1890" s="4" t="s">
        <v>2364</v>
      </c>
      <c r="I1890" s="4" t="s">
        <v>2365</v>
      </c>
      <c r="J1890" s="4" t="s">
        <v>2366</v>
      </c>
      <c r="K1890" s="4" t="s">
        <v>2367</v>
      </c>
      <c r="L1890" s="4" t="s">
        <v>2368</v>
      </c>
      <c r="M1890" s="4" t="s">
        <v>2369</v>
      </c>
      <c r="N1890" s="4"/>
      <c r="O1890" s="51" t="b">
        <v>0</v>
      </c>
      <c r="P1890" s="51" t="b">
        <v>0</v>
      </c>
      <c r="Q1890" s="51" t="b">
        <v>0</v>
      </c>
      <c r="R1890" s="51" t="b">
        <v>0</v>
      </c>
      <c r="S1890" s="51" t="b">
        <v>0</v>
      </c>
    </row>
    <row r="1891">
      <c r="A1891" s="4" t="str">
        <f>IFERROR(__xludf.DUMMYFUNCTION("""COMPUTED_VALUE"""),"234 - Channel 5")</f>
        <v>234 - Channel 5</v>
      </c>
      <c r="B1891" s="4" t="s">
        <v>27</v>
      </c>
      <c r="C1891" s="4">
        <v>0.5217592592592596</v>
      </c>
      <c r="D1891" s="6">
        <v>1.7361111111111112E-4</v>
      </c>
      <c r="E1891" s="6">
        <v>0.5219328703703707</v>
      </c>
      <c r="F1891" s="6"/>
      <c r="G1891" s="4"/>
      <c r="H1891" s="4" t="s">
        <v>85</v>
      </c>
      <c r="I1891" s="4"/>
      <c r="J1891" s="4"/>
      <c r="K1891" s="4"/>
      <c r="L1891" s="4"/>
      <c r="M1891" s="4"/>
      <c r="N1891" s="4"/>
      <c r="O1891" s="51" t="b">
        <v>0</v>
      </c>
      <c r="P1891" s="51" t="b">
        <v>0</v>
      </c>
      <c r="Q1891" s="51" t="b">
        <v>0</v>
      </c>
      <c r="R1891" s="51" t="b">
        <v>0</v>
      </c>
      <c r="S1891" s="51" t="b">
        <v>0</v>
      </c>
    </row>
    <row r="1892">
      <c r="A1892" s="4" t="str">
        <f>IFERROR(__xludf.DUMMYFUNCTION("""COMPUTED_VALUE"""),"235 - Channel 5")</f>
        <v>235 - Channel 5</v>
      </c>
      <c r="B1892" s="4" t="s">
        <v>27</v>
      </c>
      <c r="C1892" s="4">
        <v>0.5219328703703707</v>
      </c>
      <c r="D1892" s="6">
        <v>3.4722222222222224E-4</v>
      </c>
      <c r="E1892" s="6">
        <v>0.522280092592593</v>
      </c>
      <c r="F1892" s="6"/>
      <c r="G1892" s="4"/>
      <c r="H1892" s="4" t="s">
        <v>81</v>
      </c>
      <c r="I1892" s="4"/>
      <c r="J1892" s="4"/>
      <c r="K1892" s="4"/>
      <c r="L1892" s="4"/>
      <c r="M1892" s="4"/>
      <c r="N1892" s="4"/>
      <c r="O1892" s="51" t="b">
        <v>0</v>
      </c>
      <c r="P1892" s="51" t="b">
        <v>0</v>
      </c>
      <c r="Q1892" s="51" t="b">
        <v>0</v>
      </c>
      <c r="R1892" s="51" t="b">
        <v>0</v>
      </c>
      <c r="S1892" s="51" t="b">
        <v>0</v>
      </c>
    </row>
    <row r="1893" hidden="1">
      <c r="A1893" s="4" t="str">
        <f>IFERROR(__xludf.DUMMYFUNCTION("""COMPUTED_VALUE"""),"236 - Channel 5")</f>
        <v>236 - Channel 5</v>
      </c>
      <c r="B1893" s="4" t="s">
        <v>27</v>
      </c>
      <c r="C1893" s="4">
        <v>0.522280092592593</v>
      </c>
      <c r="D1893" s="6">
        <v>0.015694444444444445</v>
      </c>
      <c r="E1893" s="6">
        <v>0.5379745370370375</v>
      </c>
      <c r="F1893" s="6" t="s">
        <v>368</v>
      </c>
      <c r="G1893" s="4" t="s">
        <v>2082</v>
      </c>
      <c r="H1893" s="4" t="s">
        <v>2371</v>
      </c>
      <c r="I1893" s="4"/>
      <c r="J1893" s="4"/>
      <c r="K1893" s="4"/>
      <c r="L1893" s="4"/>
      <c r="M1893" s="4" t="s">
        <v>2372</v>
      </c>
      <c r="N1893" s="4"/>
      <c r="O1893" s="51" t="b">
        <v>0</v>
      </c>
      <c r="P1893" s="51" t="b">
        <v>0</v>
      </c>
      <c r="Q1893" s="51" t="b">
        <v>0</v>
      </c>
      <c r="R1893" s="51" t="b">
        <v>0</v>
      </c>
      <c r="S1893" s="51" t="b">
        <v>0</v>
      </c>
    </row>
    <row r="1894">
      <c r="A1894" s="4" t="str">
        <f>IFERROR(__xludf.DUMMYFUNCTION("""COMPUTED_VALUE"""),"237 - Channel 5")</f>
        <v>237 - Channel 5</v>
      </c>
      <c r="B1894" s="4" t="s">
        <v>27</v>
      </c>
      <c r="C1894" s="4">
        <v>0.5379745370370375</v>
      </c>
      <c r="D1894" s="6">
        <v>1.7361111111111112E-4</v>
      </c>
      <c r="E1894" s="6">
        <v>0.5381481481481486</v>
      </c>
      <c r="F1894" s="6"/>
      <c r="G1894" s="4"/>
      <c r="H1894" s="4" t="s">
        <v>85</v>
      </c>
      <c r="I1894" s="4"/>
      <c r="J1894" s="4"/>
      <c r="K1894" s="4"/>
      <c r="L1894" s="4"/>
      <c r="M1894" s="4"/>
      <c r="N1894" s="4"/>
      <c r="O1894" s="51" t="b">
        <v>0</v>
      </c>
      <c r="P1894" s="51" t="b">
        <v>0</v>
      </c>
      <c r="Q1894" s="51" t="b">
        <v>0</v>
      </c>
      <c r="R1894" s="51" t="b">
        <v>0</v>
      </c>
      <c r="S1894" s="51" t="b">
        <v>0</v>
      </c>
    </row>
    <row r="1895">
      <c r="A1895" s="4" t="str">
        <f>IFERROR(__xludf.DUMMYFUNCTION("""COMPUTED_VALUE"""),"339 - Channel 5")</f>
        <v>339 - Channel 5</v>
      </c>
      <c r="B1895" s="4" t="s">
        <v>27</v>
      </c>
      <c r="C1895" s="4">
        <v>0.5381481481481486</v>
      </c>
      <c r="D1895" s="6">
        <v>3.4722222222222224E-4</v>
      </c>
      <c r="E1895" s="6">
        <v>0.5384953703703709</v>
      </c>
      <c r="F1895" s="6"/>
      <c r="G1895" s="4"/>
      <c r="H1895" s="4" t="s">
        <v>2207</v>
      </c>
      <c r="I1895" s="4"/>
      <c r="J1895" s="4"/>
      <c r="K1895" s="4"/>
      <c r="L1895" s="4"/>
      <c r="M1895" s="4"/>
      <c r="N1895" s="4"/>
      <c r="O1895" s="51" t="b">
        <v>0</v>
      </c>
      <c r="P1895" s="51" t="b">
        <v>0</v>
      </c>
      <c r="Q1895" s="51" t="b">
        <v>0</v>
      </c>
      <c r="R1895" s="51" t="b">
        <v>0</v>
      </c>
      <c r="S1895" s="51" t="b">
        <v>0</v>
      </c>
    </row>
    <row r="1896" hidden="1">
      <c r="A1896" s="4" t="str">
        <f>IFERROR(__xludf.DUMMYFUNCTION("""COMPUTED_VALUE"""),"239 - Channel 5")</f>
        <v>239 - Channel 5</v>
      </c>
      <c r="B1896" s="4" t="s">
        <v>27</v>
      </c>
      <c r="C1896" s="4">
        <v>0.5384953703703709</v>
      </c>
      <c r="D1896" s="6">
        <v>3.4722222222222224E-4</v>
      </c>
      <c r="E1896" s="6">
        <v>0.5388425925925932</v>
      </c>
      <c r="F1896" s="6"/>
      <c r="G1896" s="4"/>
      <c r="H1896" s="4" t="s">
        <v>81</v>
      </c>
      <c r="I1896" s="4"/>
      <c r="J1896" s="4"/>
      <c r="K1896" s="4"/>
      <c r="L1896" s="4"/>
      <c r="M1896" s="4"/>
      <c r="N1896" s="4"/>
      <c r="O1896" s="51" t="b">
        <v>0</v>
      </c>
      <c r="P1896" s="51" t="b">
        <v>0</v>
      </c>
      <c r="Q1896" s="51" t="b">
        <v>0</v>
      </c>
      <c r="R1896" s="51" t="b">
        <v>0</v>
      </c>
      <c r="S1896" s="51" t="b">
        <v>0</v>
      </c>
    </row>
    <row r="1897">
      <c r="A1897" s="4" t="str">
        <f>IFERROR(__xludf.DUMMYFUNCTION("""COMPUTED_VALUE"""),"240 - Channel 5")</f>
        <v>240 - Channel 5</v>
      </c>
      <c r="B1897" s="4" t="s">
        <v>27</v>
      </c>
      <c r="C1897" s="4">
        <v>0.5388425925925932</v>
      </c>
      <c r="D1897" s="6">
        <v>0.015347222222222222</v>
      </c>
      <c r="E1897" s="6">
        <v>0.5541898148148153</v>
      </c>
      <c r="F1897" s="6" t="s">
        <v>210</v>
      </c>
      <c r="G1897" s="4" t="s">
        <v>2082</v>
      </c>
      <c r="H1897" s="4" t="s">
        <v>2375</v>
      </c>
      <c r="I1897" s="4"/>
      <c r="J1897" s="4"/>
      <c r="K1897" s="4"/>
      <c r="L1897" s="4"/>
      <c r="M1897" s="4" t="s">
        <v>2376</v>
      </c>
      <c r="N1897" s="4"/>
      <c r="O1897" s="51" t="b">
        <v>0</v>
      </c>
      <c r="P1897" s="51" t="b">
        <v>0</v>
      </c>
      <c r="Q1897" s="51" t="b">
        <v>0</v>
      </c>
      <c r="R1897" s="51" t="b">
        <v>0</v>
      </c>
      <c r="S1897" s="51" t="b">
        <v>0</v>
      </c>
    </row>
    <row r="1898" hidden="1">
      <c r="A1898" s="4" t="str">
        <f>IFERROR(__xludf.DUMMYFUNCTION("""COMPUTED_VALUE"""),"241 - Channel 5")</f>
        <v>241 - Channel 5</v>
      </c>
      <c r="B1898" s="4" t="s">
        <v>27</v>
      </c>
      <c r="C1898" s="4">
        <v>0.5541898148148153</v>
      </c>
      <c r="D1898" s="6">
        <v>1.7361111111111112E-4</v>
      </c>
      <c r="E1898" s="6">
        <v>0.5543634259259265</v>
      </c>
      <c r="F1898" s="6"/>
      <c r="G1898" s="4"/>
      <c r="H1898" s="4" t="s">
        <v>85</v>
      </c>
      <c r="I1898" s="4"/>
      <c r="J1898" s="4"/>
      <c r="K1898" s="4"/>
      <c r="L1898" s="4"/>
      <c r="M1898" s="4"/>
      <c r="N1898" s="4"/>
      <c r="O1898" s="51" t="b">
        <v>0</v>
      </c>
      <c r="P1898" s="51" t="b">
        <v>0</v>
      </c>
      <c r="Q1898" s="51" t="b">
        <v>0</v>
      </c>
      <c r="R1898" s="51" t="b">
        <v>0</v>
      </c>
      <c r="S1898" s="51" t="b">
        <v>0</v>
      </c>
    </row>
    <row r="1899">
      <c r="A1899" s="4" t="str">
        <f>IFERROR(__xludf.DUMMYFUNCTION("""COMPUTED_VALUE"""),"348 - Channel 5")</f>
        <v>348 - Channel 5</v>
      </c>
      <c r="B1899" s="4" t="s">
        <v>27</v>
      </c>
      <c r="C1899" s="4">
        <v>0.5543634259259265</v>
      </c>
      <c r="D1899" s="6">
        <v>6.944444444444445E-4</v>
      </c>
      <c r="E1899" s="6">
        <v>0.5550578703703709</v>
      </c>
      <c r="F1899" s="6"/>
      <c r="G1899" s="4"/>
      <c r="H1899" s="4" t="s">
        <v>2102</v>
      </c>
      <c r="I1899" s="4"/>
      <c r="J1899" s="4"/>
      <c r="K1899" s="4"/>
      <c r="L1899" s="4"/>
      <c r="M1899" s="4"/>
      <c r="N1899" s="4"/>
      <c r="O1899" s="51" t="b">
        <v>0</v>
      </c>
      <c r="P1899" s="51" t="b">
        <v>0</v>
      </c>
      <c r="Q1899" s="51" t="b">
        <v>0</v>
      </c>
      <c r="R1899" s="51" t="b">
        <v>0</v>
      </c>
      <c r="S1899" s="51" t="b">
        <v>0</v>
      </c>
    </row>
    <row r="1900" hidden="1">
      <c r="A1900" s="4" t="str">
        <f>IFERROR(__xludf.DUMMYFUNCTION("""COMPUTED_VALUE"""),"242 - Channel 5")</f>
        <v>242 - Channel 5</v>
      </c>
      <c r="B1900" s="4" t="s">
        <v>27</v>
      </c>
      <c r="C1900" s="4">
        <v>0.5550578703703709</v>
      </c>
      <c r="D1900" s="6">
        <v>5.208333333333333E-4</v>
      </c>
      <c r="E1900" s="6">
        <v>0.5555787037037042</v>
      </c>
      <c r="F1900" s="6"/>
      <c r="G1900" s="4"/>
      <c r="H1900" s="4" t="s">
        <v>2140</v>
      </c>
      <c r="I1900" s="4"/>
      <c r="J1900" s="4"/>
      <c r="K1900" s="4"/>
      <c r="L1900" s="4"/>
      <c r="M1900" s="4"/>
      <c r="N1900" s="4"/>
      <c r="O1900" s="51" t="b">
        <v>0</v>
      </c>
      <c r="P1900" s="51" t="b">
        <v>0</v>
      </c>
      <c r="Q1900" s="51" t="b">
        <v>0</v>
      </c>
      <c r="R1900" s="51" t="b">
        <v>0</v>
      </c>
      <c r="S1900" s="51" t="b">
        <v>0</v>
      </c>
    </row>
    <row r="1901">
      <c r="A1901" s="4" t="str">
        <f>IFERROR(__xludf.DUMMYFUNCTION("""COMPUTED_VALUE"""),"243 - Channel 5")</f>
        <v>243 - Channel 5</v>
      </c>
      <c r="B1901" s="4" t="s">
        <v>27</v>
      </c>
      <c r="C1901" s="4">
        <v>0.5555787037037042</v>
      </c>
      <c r="D1901" s="6">
        <v>3.4722222222222224E-4</v>
      </c>
      <c r="E1901" s="6">
        <v>0.5559259259259265</v>
      </c>
      <c r="F1901" s="6"/>
      <c r="G1901" s="4"/>
      <c r="H1901" s="4" t="s">
        <v>81</v>
      </c>
      <c r="I1901" s="4"/>
      <c r="J1901" s="4"/>
      <c r="K1901" s="4"/>
      <c r="L1901" s="4"/>
      <c r="M1901" s="4"/>
      <c r="N1901" s="4"/>
      <c r="O1901" s="51" t="b">
        <v>0</v>
      </c>
      <c r="P1901" s="51" t="b">
        <v>0</v>
      </c>
      <c r="Q1901" s="51" t="b">
        <v>0</v>
      </c>
      <c r="R1901" s="51" t="b">
        <v>0</v>
      </c>
      <c r="S1901" s="51" t="b">
        <v>0</v>
      </c>
    </row>
    <row r="1902" hidden="1">
      <c r="A1902" s="4" t="str">
        <f>IFERROR(__xludf.DUMMYFUNCTION("""COMPUTED_VALUE"""),"244 - Channel 5")</f>
        <v>244 - Channel 5</v>
      </c>
      <c r="B1902" s="4" t="s">
        <v>27</v>
      </c>
      <c r="C1902" s="4">
        <v>0.5559259259259265</v>
      </c>
      <c r="D1902" s="6">
        <v>0.006944444444444444</v>
      </c>
      <c r="E1902" s="6">
        <v>0.5628703703703709</v>
      </c>
      <c r="F1902" s="6" t="s">
        <v>441</v>
      </c>
      <c r="G1902" s="4" t="s">
        <v>2082</v>
      </c>
      <c r="H1902" s="4" t="s">
        <v>2379</v>
      </c>
      <c r="I1902" s="4" t="s">
        <v>2380</v>
      </c>
      <c r="J1902" s="4" t="s">
        <v>1284</v>
      </c>
      <c r="K1902" s="4" t="s">
        <v>2381</v>
      </c>
      <c r="L1902" s="4" t="s">
        <v>2382</v>
      </c>
      <c r="M1902" s="4" t="s">
        <v>2383</v>
      </c>
      <c r="N1902" s="4"/>
      <c r="O1902" s="51" t="b">
        <v>0</v>
      </c>
      <c r="P1902" s="51" t="b">
        <v>0</v>
      </c>
      <c r="Q1902" s="51" t="b">
        <v>0</v>
      </c>
      <c r="R1902" s="51" t="b">
        <v>0</v>
      </c>
      <c r="S1902" s="51" t="b">
        <v>0</v>
      </c>
    </row>
    <row r="1903" hidden="1">
      <c r="A1903" s="4" t="str">
        <f>IFERROR(__xludf.DUMMYFUNCTION("""COMPUTED_VALUE"""),"245 - Channel 5")</f>
        <v>245 - Channel 5</v>
      </c>
      <c r="B1903" s="4" t="s">
        <v>27</v>
      </c>
      <c r="C1903" s="4">
        <v>0.5628703703703709</v>
      </c>
      <c r="D1903" s="6">
        <v>1.7361111111111112E-4</v>
      </c>
      <c r="E1903" s="6">
        <v>0.563043981481482</v>
      </c>
      <c r="F1903" s="6"/>
      <c r="G1903" s="4"/>
      <c r="H1903" s="4" t="s">
        <v>85</v>
      </c>
      <c r="I1903" s="4"/>
      <c r="J1903" s="4"/>
      <c r="K1903" s="4"/>
      <c r="L1903" s="4"/>
      <c r="M1903" s="4"/>
      <c r="N1903" s="4"/>
      <c r="O1903" s="51" t="b">
        <v>0</v>
      </c>
      <c r="P1903" s="51" t="b">
        <v>0</v>
      </c>
      <c r="Q1903" s="51" t="b">
        <v>0</v>
      </c>
      <c r="R1903" s="51" t="b">
        <v>0</v>
      </c>
      <c r="S1903" s="51" t="b">
        <v>0</v>
      </c>
    </row>
    <row r="1904">
      <c r="A1904" s="4" t="str">
        <f>IFERROR(__xludf.DUMMYFUNCTION("""COMPUTED_VALUE"""),"340 - Channel 5")</f>
        <v>340 - Channel 5</v>
      </c>
      <c r="B1904" s="4" t="s">
        <v>27</v>
      </c>
      <c r="C1904" s="4">
        <v>0.563043981481482</v>
      </c>
      <c r="D1904" s="6">
        <v>1.7361111111111112E-4</v>
      </c>
      <c r="E1904" s="6">
        <v>0.5632175925925932</v>
      </c>
      <c r="F1904" s="6"/>
      <c r="G1904" s="4"/>
      <c r="H1904" s="4" t="s">
        <v>2102</v>
      </c>
      <c r="I1904" s="4"/>
      <c r="J1904" s="4"/>
      <c r="K1904" s="4"/>
      <c r="L1904" s="4"/>
      <c r="M1904" s="4"/>
      <c r="N1904" s="4"/>
      <c r="O1904" s="51" t="b">
        <v>0</v>
      </c>
      <c r="P1904" s="51" t="b">
        <v>0</v>
      </c>
      <c r="Q1904" s="51" t="b">
        <v>0</v>
      </c>
      <c r="R1904" s="51" t="b">
        <v>0</v>
      </c>
      <c r="S1904" s="51" t="b">
        <v>0</v>
      </c>
    </row>
    <row r="1905" hidden="1">
      <c r="A1905" s="4" t="str">
        <f>IFERROR(__xludf.DUMMYFUNCTION("""COMPUTED_VALUE"""),"247 - Channel 5")</f>
        <v>247 - Channel 5</v>
      </c>
      <c r="B1905" s="4" t="s">
        <v>27</v>
      </c>
      <c r="C1905" s="4">
        <v>0.5632175925925932</v>
      </c>
      <c r="D1905" s="6">
        <v>3.4722222222222224E-4</v>
      </c>
      <c r="E1905" s="6">
        <v>0.5635648148148155</v>
      </c>
      <c r="F1905" s="6"/>
      <c r="G1905" s="4"/>
      <c r="H1905" s="4" t="s">
        <v>81</v>
      </c>
      <c r="I1905" s="4"/>
      <c r="J1905" s="4"/>
      <c r="K1905" s="4"/>
      <c r="L1905" s="4"/>
      <c r="M1905" s="4"/>
      <c r="N1905" s="4"/>
      <c r="O1905" s="51" t="b">
        <v>0</v>
      </c>
      <c r="P1905" s="51" t="b">
        <v>0</v>
      </c>
      <c r="Q1905" s="51" t="b">
        <v>0</v>
      </c>
      <c r="R1905" s="51" t="b">
        <v>0</v>
      </c>
      <c r="S1905" s="51" t="b">
        <v>0</v>
      </c>
    </row>
    <row r="1906">
      <c r="A1906" s="4" t="str">
        <f>IFERROR(__xludf.DUMMYFUNCTION("""COMPUTED_VALUE"""),"248 - Channel 5")</f>
        <v>248 - Channel 5</v>
      </c>
      <c r="B1906" s="4" t="s">
        <v>27</v>
      </c>
      <c r="C1906" s="4">
        <v>0.5635648148148155</v>
      </c>
      <c r="D1906" s="6">
        <v>0.030439814814814815</v>
      </c>
      <c r="E1906" s="6">
        <v>0.5940046296296303</v>
      </c>
      <c r="F1906" s="6" t="s">
        <v>299</v>
      </c>
      <c r="G1906" s="4" t="s">
        <v>2082</v>
      </c>
      <c r="H1906" s="4" t="s">
        <v>2385</v>
      </c>
      <c r="I1906" s="4"/>
      <c r="J1906" s="4"/>
      <c r="K1906" s="4"/>
      <c r="L1906" s="4"/>
      <c r="M1906" s="4" t="s">
        <v>2386</v>
      </c>
      <c r="N1906" s="4"/>
      <c r="O1906" s="51" t="b">
        <v>0</v>
      </c>
      <c r="P1906" s="51" t="b">
        <v>0</v>
      </c>
      <c r="Q1906" s="51" t="b">
        <v>0</v>
      </c>
      <c r="R1906" s="51" t="b">
        <v>0</v>
      </c>
      <c r="S1906" s="51" t="b">
        <v>0</v>
      </c>
    </row>
    <row r="1907" hidden="1">
      <c r="A1907" s="4" t="str">
        <f>IFERROR(__xludf.DUMMYFUNCTION("""COMPUTED_VALUE"""),"249 - Channel 5")</f>
        <v>249 - Channel 5</v>
      </c>
      <c r="B1907" s="4" t="s">
        <v>27</v>
      </c>
      <c r="C1907" s="4">
        <v>0.5940046296296303</v>
      </c>
      <c r="D1907" s="6">
        <v>1.7361111111111112E-4</v>
      </c>
      <c r="E1907" s="6">
        <v>0.5941782407407414</v>
      </c>
      <c r="F1907" s="6"/>
      <c r="G1907" s="4"/>
      <c r="H1907" s="4" t="s">
        <v>85</v>
      </c>
      <c r="I1907" s="4"/>
      <c r="J1907" s="4"/>
      <c r="K1907" s="4"/>
      <c r="L1907" s="4"/>
      <c r="M1907" s="4"/>
      <c r="N1907" s="4"/>
      <c r="O1907" s="51" t="b">
        <v>0</v>
      </c>
      <c r="P1907" s="51" t="b">
        <v>0</v>
      </c>
      <c r="Q1907" s="51" t="b">
        <v>0</v>
      </c>
      <c r="R1907" s="51" t="b">
        <v>0</v>
      </c>
      <c r="S1907" s="51" t="b">
        <v>0</v>
      </c>
    </row>
    <row r="1908">
      <c r="A1908" s="4" t="str">
        <f>IFERROR(__xludf.DUMMYFUNCTION("""COMPUTED_VALUE"""),"250 - Channel 5")</f>
        <v>250 - Channel 5</v>
      </c>
      <c r="B1908" s="4" t="s">
        <v>27</v>
      </c>
      <c r="C1908" s="4">
        <v>0.5941782407407414</v>
      </c>
      <c r="D1908" s="6">
        <v>3.4722222222222224E-4</v>
      </c>
      <c r="E1908" s="6">
        <v>0.5945254629629637</v>
      </c>
      <c r="F1908" s="6"/>
      <c r="G1908" s="4"/>
      <c r="H1908" s="4" t="s">
        <v>81</v>
      </c>
      <c r="I1908" s="4"/>
      <c r="J1908" s="4"/>
      <c r="K1908" s="4"/>
      <c r="L1908" s="4"/>
      <c r="M1908" s="4"/>
      <c r="N1908" s="4"/>
      <c r="O1908" s="51" t="b">
        <v>0</v>
      </c>
      <c r="P1908" s="51" t="b">
        <v>0</v>
      </c>
      <c r="Q1908" s="51" t="b">
        <v>0</v>
      </c>
      <c r="R1908" s="51" t="b">
        <v>0</v>
      </c>
      <c r="S1908" s="51" t="b">
        <v>0</v>
      </c>
    </row>
    <row r="1909" hidden="1">
      <c r="A1909" s="4" t="str">
        <f>IFERROR(__xludf.DUMMYFUNCTION("""COMPUTED_VALUE"""),"251 - Channel 5")</f>
        <v>251 - Channel 5</v>
      </c>
      <c r="B1909" s="4" t="s">
        <v>27</v>
      </c>
      <c r="C1909" s="4">
        <v>0.5945254629629637</v>
      </c>
      <c r="D1909" s="6">
        <v>0.01875</v>
      </c>
      <c r="E1909" s="6">
        <v>0.6132754629629638</v>
      </c>
      <c r="F1909" s="6" t="s">
        <v>151</v>
      </c>
      <c r="G1909" s="4" t="s">
        <v>2082</v>
      </c>
      <c r="H1909" s="4" t="s">
        <v>2388</v>
      </c>
      <c r="I1909" s="4" t="s">
        <v>2389</v>
      </c>
      <c r="J1909" s="4"/>
      <c r="K1909" s="4"/>
      <c r="L1909" s="4"/>
      <c r="M1909" s="4" t="s">
        <v>2390</v>
      </c>
      <c r="N1909" s="4"/>
      <c r="O1909" s="51" t="b">
        <v>0</v>
      </c>
      <c r="P1909" s="51" t="b">
        <v>0</v>
      </c>
      <c r="Q1909" s="51" t="b">
        <v>0</v>
      </c>
      <c r="R1909" s="51" t="b">
        <v>0</v>
      </c>
      <c r="S1909" s="51" t="b">
        <v>0</v>
      </c>
    </row>
    <row r="1910">
      <c r="A1910" s="4" t="str">
        <f>IFERROR(__xludf.DUMMYFUNCTION("""COMPUTED_VALUE"""),"252 - Channel 5")</f>
        <v>252 - Channel 5</v>
      </c>
      <c r="B1910" s="4" t="s">
        <v>27</v>
      </c>
      <c r="C1910" s="4">
        <v>0.6132754629629638</v>
      </c>
      <c r="D1910" s="6">
        <v>1.7361111111111112E-4</v>
      </c>
      <c r="E1910" s="6">
        <v>0.6134490740740749</v>
      </c>
      <c r="F1910" s="6"/>
      <c r="G1910" s="4"/>
      <c r="H1910" s="4" t="s">
        <v>85</v>
      </c>
      <c r="I1910" s="4"/>
      <c r="J1910" s="4"/>
      <c r="K1910" s="4"/>
      <c r="L1910" s="4"/>
      <c r="M1910" s="4"/>
      <c r="N1910" s="4"/>
      <c r="O1910" s="51" t="b">
        <v>0</v>
      </c>
      <c r="P1910" s="51" t="b">
        <v>0</v>
      </c>
      <c r="Q1910" s="51" t="b">
        <v>0</v>
      </c>
      <c r="R1910" s="51" t="b">
        <v>0</v>
      </c>
      <c r="S1910" s="51" t="b">
        <v>0</v>
      </c>
    </row>
    <row r="1911">
      <c r="A1911" s="4" t="str">
        <f>IFERROR(__xludf.DUMMYFUNCTION("""COMPUTED_VALUE"""),"253 - Channel 5")</f>
        <v>253 - Channel 5</v>
      </c>
      <c r="B1911" s="4" t="s">
        <v>27</v>
      </c>
      <c r="C1911" s="4">
        <v>0.6134490740740749</v>
      </c>
      <c r="D1911" s="6">
        <v>5.787037037037037E-5</v>
      </c>
      <c r="E1911" s="6">
        <v>0.6135069444444453</v>
      </c>
      <c r="F1911" s="6"/>
      <c r="G1911" s="4"/>
      <c r="H1911" s="4" t="s">
        <v>2102</v>
      </c>
      <c r="I1911" s="4"/>
      <c r="J1911" s="4"/>
      <c r="K1911" s="4"/>
      <c r="L1911" s="4"/>
      <c r="M1911" s="4"/>
      <c r="N1911" s="4"/>
      <c r="O1911" s="51" t="b">
        <v>0</v>
      </c>
      <c r="P1911" s="51" t="b">
        <v>0</v>
      </c>
      <c r="Q1911" s="51" t="b">
        <v>0</v>
      </c>
      <c r="R1911" s="51" t="b">
        <v>0</v>
      </c>
      <c r="S1911" s="51" t="b">
        <v>0</v>
      </c>
    </row>
    <row r="1912" hidden="1">
      <c r="A1912" s="4" t="str">
        <f>IFERROR(__xludf.DUMMYFUNCTION("""COMPUTED_VALUE"""),"254 - Channel 5")</f>
        <v>254 - Channel 5</v>
      </c>
      <c r="B1912" s="4" t="s">
        <v>27</v>
      </c>
      <c r="C1912" s="4">
        <v>0.6135069444444453</v>
      </c>
      <c r="D1912" s="6">
        <v>3.4722222222222224E-4</v>
      </c>
      <c r="E1912" s="6">
        <v>0.6138541666666676</v>
      </c>
      <c r="F1912" s="6"/>
      <c r="G1912" s="4"/>
      <c r="H1912" s="4" t="s">
        <v>2207</v>
      </c>
      <c r="I1912" s="4"/>
      <c r="J1912" s="4"/>
      <c r="K1912" s="4"/>
      <c r="L1912" s="4"/>
      <c r="M1912" s="4"/>
      <c r="N1912" s="4"/>
      <c r="O1912" s="51" t="b">
        <v>0</v>
      </c>
      <c r="P1912" s="51" t="b">
        <v>0</v>
      </c>
      <c r="Q1912" s="51" t="b">
        <v>0</v>
      </c>
      <c r="R1912" s="51" t="b">
        <v>0</v>
      </c>
      <c r="S1912" s="51" t="b">
        <v>0</v>
      </c>
    </row>
    <row r="1913">
      <c r="A1913" s="4" t="str">
        <f>IFERROR(__xludf.DUMMYFUNCTION("""COMPUTED_VALUE"""),"255 - Channel 5")</f>
        <v>255 - Channel 5</v>
      </c>
      <c r="B1913" s="4" t="s">
        <v>27</v>
      </c>
      <c r="C1913" s="4">
        <v>0.6138541666666676</v>
      </c>
      <c r="D1913" s="6">
        <v>3.4722222222222224E-4</v>
      </c>
      <c r="E1913" s="6">
        <v>0.6142013888888899</v>
      </c>
      <c r="F1913" s="6"/>
      <c r="G1913" s="4"/>
      <c r="H1913" s="4" t="s">
        <v>81</v>
      </c>
      <c r="I1913" s="4"/>
      <c r="J1913" s="4"/>
      <c r="K1913" s="4"/>
      <c r="L1913" s="4"/>
      <c r="M1913" s="4"/>
      <c r="N1913" s="4"/>
      <c r="O1913" s="51" t="b">
        <v>0</v>
      </c>
      <c r="P1913" s="51" t="b">
        <v>0</v>
      </c>
      <c r="Q1913" s="51" t="b">
        <v>0</v>
      </c>
      <c r="R1913" s="51" t="b">
        <v>0</v>
      </c>
      <c r="S1913" s="51" t="b">
        <v>0</v>
      </c>
    </row>
    <row r="1914" hidden="1">
      <c r="A1914" s="4" t="str">
        <f>IFERROR(__xludf.DUMMYFUNCTION("""COMPUTED_VALUE"""),"256 - Channel 5")</f>
        <v>256 - Channel 5</v>
      </c>
      <c r="B1914" s="4" t="s">
        <v>27</v>
      </c>
      <c r="C1914" s="4">
        <v>0.6142013888888899</v>
      </c>
      <c r="D1914" s="6">
        <v>0.006944444444444444</v>
      </c>
      <c r="E1914" s="6">
        <v>0.6211458333333343</v>
      </c>
      <c r="F1914" s="6" t="s">
        <v>275</v>
      </c>
      <c r="G1914" s="4" t="s">
        <v>2082</v>
      </c>
      <c r="H1914" s="4" t="s">
        <v>2392</v>
      </c>
      <c r="I1914" s="4" t="s">
        <v>2393</v>
      </c>
      <c r="J1914" s="4" t="s">
        <v>2394</v>
      </c>
      <c r="K1914" s="4" t="s">
        <v>2395</v>
      </c>
      <c r="L1914" s="4" t="s">
        <v>2396</v>
      </c>
      <c r="M1914" s="4" t="s">
        <v>2397</v>
      </c>
      <c r="N1914" s="4"/>
      <c r="O1914" s="51" t="b">
        <v>0</v>
      </c>
      <c r="P1914" s="51" t="b">
        <v>0</v>
      </c>
      <c r="Q1914" s="51" t="b">
        <v>0</v>
      </c>
      <c r="R1914" s="51" t="b">
        <v>0</v>
      </c>
      <c r="S1914" s="51" t="b">
        <v>0</v>
      </c>
    </row>
    <row r="1915" hidden="1">
      <c r="A1915" s="4" t="str">
        <f>IFERROR(__xludf.DUMMYFUNCTION("""COMPUTED_VALUE"""),"257 - Channel 5")</f>
        <v>257 - Channel 5</v>
      </c>
      <c r="B1915" s="4" t="s">
        <v>27</v>
      </c>
      <c r="C1915" s="4">
        <v>0.6211458333333343</v>
      </c>
      <c r="D1915" s="6">
        <v>1.7361111111111112E-4</v>
      </c>
      <c r="E1915" s="6">
        <v>0.6213194444444454</v>
      </c>
      <c r="F1915" s="6"/>
      <c r="G1915" s="4"/>
      <c r="H1915" s="4" t="s">
        <v>85</v>
      </c>
      <c r="I1915" s="4"/>
      <c r="J1915" s="4"/>
      <c r="K1915" s="4"/>
      <c r="L1915" s="4"/>
      <c r="M1915" s="4"/>
      <c r="N1915" s="4"/>
      <c r="O1915" s="51" t="b">
        <v>0</v>
      </c>
      <c r="P1915" s="51" t="b">
        <v>0</v>
      </c>
      <c r="Q1915" s="51" t="b">
        <v>0</v>
      </c>
      <c r="R1915" s="51" t="b">
        <v>0</v>
      </c>
      <c r="S1915" s="51" t="b">
        <v>0</v>
      </c>
    </row>
    <row r="1916">
      <c r="A1916" s="4" t="str">
        <f>IFERROR(__xludf.DUMMYFUNCTION("""COMPUTED_VALUE"""),"341 - Channel 5")</f>
        <v>341 - Channel 5</v>
      </c>
      <c r="B1916" s="4" t="s">
        <v>27</v>
      </c>
      <c r="C1916" s="4">
        <v>0.6213194444444454</v>
      </c>
      <c r="D1916" s="6">
        <v>3.4722222222222224E-4</v>
      </c>
      <c r="E1916" s="6">
        <v>0.6216666666666677</v>
      </c>
      <c r="F1916" s="6"/>
      <c r="G1916" s="4"/>
      <c r="H1916" s="4" t="s">
        <v>2207</v>
      </c>
      <c r="I1916" s="4"/>
      <c r="J1916" s="4"/>
      <c r="K1916" s="4"/>
      <c r="L1916" s="4"/>
      <c r="M1916" s="4"/>
      <c r="N1916" s="4"/>
      <c r="O1916" s="51" t="b">
        <v>0</v>
      </c>
      <c r="P1916" s="51" t="b">
        <v>0</v>
      </c>
      <c r="Q1916" s="51" t="b">
        <v>0</v>
      </c>
      <c r="R1916" s="51" t="b">
        <v>0</v>
      </c>
      <c r="S1916" s="51" t="b">
        <v>0</v>
      </c>
    </row>
    <row r="1917" hidden="1">
      <c r="A1917" s="4" t="str">
        <f>IFERROR(__xludf.DUMMYFUNCTION("""COMPUTED_VALUE"""),"259 - Channel 5")</f>
        <v>259 - Channel 5</v>
      </c>
      <c r="B1917" s="4" t="s">
        <v>27</v>
      </c>
      <c r="C1917" s="4">
        <v>0.6216666666666677</v>
      </c>
      <c r="D1917" s="6">
        <v>3.4722222222222224E-4</v>
      </c>
      <c r="E1917" s="6">
        <v>0.62201388888889</v>
      </c>
      <c r="F1917" s="6"/>
      <c r="G1917" s="4"/>
      <c r="H1917" s="4" t="s">
        <v>81</v>
      </c>
      <c r="I1917" s="4"/>
      <c r="J1917" s="4"/>
      <c r="K1917" s="4"/>
      <c r="L1917" s="4"/>
      <c r="M1917" s="4"/>
      <c r="N1917" s="4"/>
      <c r="O1917" s="51" t="b">
        <v>0</v>
      </c>
      <c r="P1917" s="51" t="b">
        <v>0</v>
      </c>
      <c r="Q1917" s="51" t="b">
        <v>0</v>
      </c>
      <c r="R1917" s="51" t="b">
        <v>0</v>
      </c>
      <c r="S1917" s="51" t="b">
        <v>0</v>
      </c>
    </row>
    <row r="1918">
      <c r="A1918" s="4" t="str">
        <f>IFERROR(__xludf.DUMMYFUNCTION("""COMPUTED_VALUE"""),"260 - Channel 5")</f>
        <v>260 - Channel 5</v>
      </c>
      <c r="B1918" s="4" t="s">
        <v>27</v>
      </c>
      <c r="C1918" s="4">
        <v>0.62201388888889</v>
      </c>
      <c r="D1918" s="6">
        <v>0.023055555555555555</v>
      </c>
      <c r="E1918" s="6">
        <v>0.6450694444444456</v>
      </c>
      <c r="F1918" s="6" t="s">
        <v>358</v>
      </c>
      <c r="G1918" s="4" t="s">
        <v>2082</v>
      </c>
      <c r="H1918" s="4" t="s">
        <v>2400</v>
      </c>
      <c r="I1918" s="4"/>
      <c r="J1918" s="4"/>
      <c r="K1918" s="4"/>
      <c r="L1918" s="4"/>
      <c r="M1918" s="4" t="s">
        <v>2401</v>
      </c>
      <c r="N1918" s="4"/>
      <c r="O1918" s="51" t="b">
        <v>0</v>
      </c>
      <c r="P1918" s="51" t="b">
        <v>0</v>
      </c>
      <c r="Q1918" s="51" t="b">
        <v>0</v>
      </c>
      <c r="R1918" s="51" t="b">
        <v>0</v>
      </c>
      <c r="S1918" s="51" t="b">
        <v>0</v>
      </c>
    </row>
    <row r="1919" hidden="1">
      <c r="A1919" s="4" t="str">
        <f>IFERROR(__xludf.DUMMYFUNCTION("""COMPUTED_VALUE"""),"261 - Channel 5")</f>
        <v>261 - Channel 5</v>
      </c>
      <c r="B1919" s="4" t="s">
        <v>27</v>
      </c>
      <c r="C1919" s="4">
        <v>0.6450694444444456</v>
      </c>
      <c r="D1919" s="6">
        <v>1.7361111111111112E-4</v>
      </c>
      <c r="E1919" s="6">
        <v>0.6452430555555567</v>
      </c>
      <c r="F1919" s="6"/>
      <c r="G1919" s="4"/>
      <c r="H1919" s="4" t="s">
        <v>85</v>
      </c>
      <c r="I1919" s="4"/>
      <c r="J1919" s="4"/>
      <c r="K1919" s="4"/>
      <c r="L1919" s="4"/>
      <c r="M1919" s="4"/>
      <c r="N1919" s="4"/>
      <c r="O1919" s="51" t="b">
        <v>0</v>
      </c>
      <c r="P1919" s="51" t="b">
        <v>0</v>
      </c>
      <c r="Q1919" s="51" t="b">
        <v>0</v>
      </c>
      <c r="R1919" s="51" t="b">
        <v>0</v>
      </c>
      <c r="S1919" s="51" t="b">
        <v>0</v>
      </c>
    </row>
    <row r="1920">
      <c r="A1920" s="4" t="str">
        <f>IFERROR(__xludf.DUMMYFUNCTION("""COMPUTED_VALUE"""),"262 - Channel 5")</f>
        <v>262 - Channel 5</v>
      </c>
      <c r="B1920" s="4" t="s">
        <v>27</v>
      </c>
      <c r="C1920" s="4">
        <v>0.6452430555555567</v>
      </c>
      <c r="D1920" s="6">
        <v>3.4722222222222224E-4</v>
      </c>
      <c r="E1920" s="6">
        <v>0.645590277777779</v>
      </c>
      <c r="F1920" s="6"/>
      <c r="G1920" s="4"/>
      <c r="H1920" s="4" t="s">
        <v>81</v>
      </c>
      <c r="I1920" s="4"/>
      <c r="J1920" s="4"/>
      <c r="K1920" s="4"/>
      <c r="L1920" s="4"/>
      <c r="M1920" s="4"/>
      <c r="N1920" s="4"/>
      <c r="O1920" s="51" t="b">
        <v>0</v>
      </c>
      <c r="P1920" s="51" t="b">
        <v>0</v>
      </c>
      <c r="Q1920" s="51" t="b">
        <v>0</v>
      </c>
      <c r="R1920" s="51" t="b">
        <v>0</v>
      </c>
      <c r="S1920" s="51" t="b">
        <v>0</v>
      </c>
    </row>
    <row r="1921" hidden="1">
      <c r="A1921" s="4" t="str">
        <f>IFERROR(__xludf.DUMMYFUNCTION("""COMPUTED_VALUE"""),"263 - Channel 5")</f>
        <v>263 - Channel 5</v>
      </c>
      <c r="B1921" s="4" t="s">
        <v>27</v>
      </c>
      <c r="C1921" s="4">
        <v>0.645590277777779</v>
      </c>
      <c r="D1921" s="6">
        <v>0.012997685185185185</v>
      </c>
      <c r="E1921" s="6">
        <v>0.6585879629629642</v>
      </c>
      <c r="F1921" s="6" t="s">
        <v>924</v>
      </c>
      <c r="G1921" s="4" t="s">
        <v>2082</v>
      </c>
      <c r="H1921" s="4" t="s">
        <v>2403</v>
      </c>
      <c r="I1921" s="4"/>
      <c r="J1921" s="4"/>
      <c r="K1921" s="4"/>
      <c r="L1921" s="4"/>
      <c r="M1921" s="4" t="s">
        <v>2405</v>
      </c>
      <c r="N1921" s="4"/>
      <c r="O1921" s="51" t="b">
        <v>0</v>
      </c>
      <c r="P1921" s="51" t="b">
        <v>0</v>
      </c>
      <c r="Q1921" s="51" t="b">
        <v>0</v>
      </c>
      <c r="R1921" s="51" t="b">
        <v>0</v>
      </c>
      <c r="S1921" s="51" t="b">
        <v>0</v>
      </c>
    </row>
    <row r="1922">
      <c r="A1922" s="4" t="str">
        <f>IFERROR(__xludf.DUMMYFUNCTION("""COMPUTED_VALUE"""),"264 - Channel 5")</f>
        <v>264 - Channel 5</v>
      </c>
      <c r="B1922" s="4" t="s">
        <v>27</v>
      </c>
      <c r="C1922" s="4">
        <v>0.6585879629629642</v>
      </c>
      <c r="D1922" s="6">
        <v>1.7361111111111112E-4</v>
      </c>
      <c r="E1922" s="6">
        <v>0.6587615740740753</v>
      </c>
      <c r="F1922" s="6"/>
      <c r="G1922" s="4"/>
      <c r="H1922" s="4" t="s">
        <v>85</v>
      </c>
      <c r="I1922" s="4"/>
      <c r="J1922" s="4"/>
      <c r="K1922" s="4"/>
      <c r="L1922" s="4"/>
      <c r="M1922" s="4"/>
      <c r="N1922" s="4"/>
      <c r="O1922" s="51" t="b">
        <v>0</v>
      </c>
      <c r="P1922" s="51" t="b">
        <v>0</v>
      </c>
      <c r="Q1922" s="51" t="b">
        <v>0</v>
      </c>
      <c r="R1922" s="51" t="b">
        <v>0</v>
      </c>
      <c r="S1922" s="51" t="b">
        <v>0</v>
      </c>
    </row>
    <row r="1923">
      <c r="A1923" s="4" t="str">
        <f>IFERROR(__xludf.DUMMYFUNCTION("""COMPUTED_VALUE"""),"265 - Channel 5")</f>
        <v>265 - Channel 5</v>
      </c>
      <c r="B1923" s="4" t="s">
        <v>27</v>
      </c>
      <c r="C1923" s="4">
        <v>0.6587615740740753</v>
      </c>
      <c r="D1923" s="6">
        <v>3.4722222222222224E-4</v>
      </c>
      <c r="E1923" s="6">
        <v>0.6591087962962976</v>
      </c>
      <c r="F1923" s="6"/>
      <c r="G1923" s="4"/>
      <c r="H1923" s="4" t="s">
        <v>81</v>
      </c>
      <c r="I1923" s="4"/>
      <c r="J1923" s="4"/>
      <c r="K1923" s="4"/>
      <c r="L1923" s="4"/>
      <c r="M1923" s="4"/>
      <c r="N1923" s="4"/>
      <c r="O1923" s="51" t="b">
        <v>0</v>
      </c>
      <c r="P1923" s="51" t="b">
        <v>0</v>
      </c>
      <c r="Q1923" s="51" t="b">
        <v>0</v>
      </c>
      <c r="R1923" s="51" t="b">
        <v>0</v>
      </c>
      <c r="S1923" s="51" t="b">
        <v>0</v>
      </c>
    </row>
    <row r="1924" hidden="1">
      <c r="A1924" s="4" t="str">
        <f>IFERROR(__xludf.DUMMYFUNCTION("""COMPUTED_VALUE"""),"266 - Channel 5")</f>
        <v>266 - Channel 5</v>
      </c>
      <c r="B1924" s="4" t="s">
        <v>27</v>
      </c>
      <c r="C1924" s="4">
        <v>0.6591087962962976</v>
      </c>
      <c r="D1924" s="6">
        <v>0.006944444444444444</v>
      </c>
      <c r="E1924" s="6">
        <v>0.666053240740742</v>
      </c>
      <c r="F1924" s="6" t="s">
        <v>924</v>
      </c>
      <c r="G1924" s="4" t="s">
        <v>2082</v>
      </c>
      <c r="H1924" s="4" t="s">
        <v>2407</v>
      </c>
      <c r="I1924" s="4" t="s">
        <v>2408</v>
      </c>
      <c r="J1924" s="4" t="s">
        <v>2409</v>
      </c>
      <c r="K1924" s="4" t="s">
        <v>2410</v>
      </c>
      <c r="L1924" s="4" t="s">
        <v>2411</v>
      </c>
      <c r="M1924" s="4" t="s">
        <v>2412</v>
      </c>
      <c r="N1924" s="4"/>
      <c r="O1924" s="51" t="b">
        <v>0</v>
      </c>
      <c r="P1924" s="51" t="b">
        <v>0</v>
      </c>
      <c r="Q1924" s="51" t="b">
        <v>0</v>
      </c>
      <c r="R1924" s="51" t="b">
        <v>0</v>
      </c>
      <c r="S1924" s="51" t="b">
        <v>0</v>
      </c>
    </row>
    <row r="1925">
      <c r="A1925" s="4" t="str">
        <f>IFERROR(__xludf.DUMMYFUNCTION("""COMPUTED_VALUE"""),"267 - Channel 5")</f>
        <v>267 - Channel 5</v>
      </c>
      <c r="B1925" s="4" t="s">
        <v>27</v>
      </c>
      <c r="C1925" s="4">
        <v>0.666053240740742</v>
      </c>
      <c r="D1925" s="6">
        <v>1.7361111111111112E-4</v>
      </c>
      <c r="E1925" s="6">
        <v>0.6662268518518532</v>
      </c>
      <c r="F1925" s="6"/>
      <c r="G1925" s="4"/>
      <c r="H1925" s="4" t="s">
        <v>85</v>
      </c>
      <c r="I1925" s="4"/>
      <c r="J1925" s="4"/>
      <c r="K1925" s="4"/>
      <c r="L1925" s="4"/>
      <c r="M1925" s="4"/>
      <c r="N1925" s="4"/>
      <c r="O1925" s="51" t="b">
        <v>0</v>
      </c>
      <c r="P1925" s="51" t="b">
        <v>0</v>
      </c>
      <c r="Q1925" s="51" t="b">
        <v>0</v>
      </c>
      <c r="R1925" s="51" t="b">
        <v>0</v>
      </c>
      <c r="S1925" s="51" t="b">
        <v>0</v>
      </c>
    </row>
    <row r="1926">
      <c r="A1926" s="4" t="str">
        <f>IFERROR(__xludf.DUMMYFUNCTION("""COMPUTED_VALUE"""),"342 - Channel 5")</f>
        <v>342 - Channel 5</v>
      </c>
      <c r="B1926" s="4" t="s">
        <v>27</v>
      </c>
      <c r="C1926" s="4">
        <v>0.6662268518518532</v>
      </c>
      <c r="D1926" s="6">
        <v>3.4722222222222224E-4</v>
      </c>
      <c r="E1926" s="6">
        <v>0.6665740740740754</v>
      </c>
      <c r="F1926" s="6"/>
      <c r="G1926" s="4"/>
      <c r="H1926" s="4" t="s">
        <v>2207</v>
      </c>
      <c r="I1926" s="4"/>
      <c r="J1926" s="4"/>
      <c r="K1926" s="4"/>
      <c r="L1926" s="4"/>
      <c r="M1926" s="4"/>
      <c r="N1926" s="4"/>
      <c r="O1926" s="51" t="b">
        <v>0</v>
      </c>
      <c r="P1926" s="51" t="b">
        <v>0</v>
      </c>
      <c r="Q1926" s="51" t="b">
        <v>0</v>
      </c>
      <c r="R1926" s="51" t="b">
        <v>0</v>
      </c>
      <c r="S1926" s="51" t="b">
        <v>0</v>
      </c>
    </row>
    <row r="1927" hidden="1">
      <c r="A1927" s="4" t="str">
        <f>IFERROR(__xludf.DUMMYFUNCTION("""COMPUTED_VALUE"""),"269 - Channel 5")</f>
        <v>269 - Channel 5</v>
      </c>
      <c r="B1927" s="4" t="s">
        <v>27</v>
      </c>
      <c r="C1927" s="4">
        <v>0.6665740740740754</v>
      </c>
      <c r="D1927" s="6">
        <v>3.4722222222222224E-4</v>
      </c>
      <c r="E1927" s="6">
        <v>0.6669212962962977</v>
      </c>
      <c r="F1927" s="6"/>
      <c r="G1927" s="4"/>
      <c r="H1927" s="4" t="s">
        <v>81</v>
      </c>
      <c r="I1927" s="4"/>
      <c r="J1927" s="4"/>
      <c r="K1927" s="4"/>
      <c r="L1927" s="4"/>
      <c r="M1927" s="4"/>
      <c r="N1927" s="4"/>
      <c r="O1927" s="51" t="b">
        <v>0</v>
      </c>
      <c r="P1927" s="51" t="b">
        <v>0</v>
      </c>
      <c r="Q1927" s="51" t="b">
        <v>0</v>
      </c>
      <c r="R1927" s="51" t="b">
        <v>0</v>
      </c>
      <c r="S1927" s="51" t="b">
        <v>0</v>
      </c>
    </row>
    <row r="1928">
      <c r="A1928" s="4" t="str">
        <f>IFERROR(__xludf.DUMMYFUNCTION("""COMPUTED_VALUE"""),"270 - Channel 5")</f>
        <v>270 - Channel 5</v>
      </c>
      <c r="B1928" s="4" t="s">
        <v>27</v>
      </c>
      <c r="C1928" s="4">
        <v>0.6669212962962977</v>
      </c>
      <c r="D1928" s="6">
        <v>0.013344907407407408</v>
      </c>
      <c r="E1928" s="6">
        <v>0.6802662037037052</v>
      </c>
      <c r="F1928" s="6" t="s">
        <v>1193</v>
      </c>
      <c r="G1928" s="4" t="s">
        <v>2082</v>
      </c>
      <c r="H1928" s="4" t="s">
        <v>2414</v>
      </c>
      <c r="I1928" s="4"/>
      <c r="J1928" s="4"/>
      <c r="K1928" s="4"/>
      <c r="L1928" s="4"/>
      <c r="M1928" s="4" t="s">
        <v>2415</v>
      </c>
      <c r="N1928" s="4"/>
      <c r="O1928" s="51" t="b">
        <v>0</v>
      </c>
      <c r="P1928" s="51" t="b">
        <v>0</v>
      </c>
      <c r="Q1928" s="51" t="b">
        <v>0</v>
      </c>
      <c r="R1928" s="51" t="b">
        <v>0</v>
      </c>
      <c r="S1928" s="51" t="b">
        <v>0</v>
      </c>
    </row>
    <row r="1929" hidden="1">
      <c r="A1929" s="4" t="str">
        <f>IFERROR(__xludf.DUMMYFUNCTION("""COMPUTED_VALUE"""),"271 - Channel 5")</f>
        <v>271 - Channel 5</v>
      </c>
      <c r="B1929" s="4" t="s">
        <v>27</v>
      </c>
      <c r="C1929" s="4">
        <v>0.6802662037037052</v>
      </c>
      <c r="D1929" s="6">
        <v>1.7361111111111112E-4</v>
      </c>
      <c r="E1929" s="6">
        <v>0.6804398148148163</v>
      </c>
      <c r="F1929" s="6"/>
      <c r="G1929" s="4"/>
      <c r="H1929" s="4" t="s">
        <v>85</v>
      </c>
      <c r="I1929" s="4"/>
      <c r="J1929" s="4"/>
      <c r="K1929" s="4"/>
      <c r="L1929" s="4"/>
      <c r="M1929" s="4"/>
      <c r="N1929" s="4"/>
      <c r="O1929" s="51" t="b">
        <v>0</v>
      </c>
      <c r="P1929" s="51" t="b">
        <v>0</v>
      </c>
      <c r="Q1929" s="51" t="b">
        <v>0</v>
      </c>
      <c r="R1929" s="51" t="b">
        <v>0</v>
      </c>
      <c r="S1929" s="51" t="b">
        <v>0</v>
      </c>
    </row>
    <row r="1930">
      <c r="A1930" s="4" t="str">
        <f>IFERROR(__xludf.DUMMYFUNCTION("""COMPUTED_VALUE"""),"272 - Channel 5")</f>
        <v>272 - Channel 5</v>
      </c>
      <c r="B1930" s="4" t="s">
        <v>27</v>
      </c>
      <c r="C1930" s="4">
        <v>0.6804398148148163</v>
      </c>
      <c r="D1930" s="6">
        <v>3.4722222222222224E-4</v>
      </c>
      <c r="E1930" s="6">
        <v>0.6807870370370386</v>
      </c>
      <c r="F1930" s="6"/>
      <c r="G1930" s="4"/>
      <c r="H1930" s="4" t="s">
        <v>81</v>
      </c>
      <c r="I1930" s="4"/>
      <c r="J1930" s="4"/>
      <c r="K1930" s="4"/>
      <c r="L1930" s="4"/>
      <c r="M1930" s="4"/>
      <c r="N1930" s="4"/>
      <c r="O1930" s="51" t="b">
        <v>0</v>
      </c>
      <c r="P1930" s="51" t="b">
        <v>0</v>
      </c>
      <c r="Q1930" s="51" t="b">
        <v>0</v>
      </c>
      <c r="R1930" s="51" t="b">
        <v>0</v>
      </c>
      <c r="S1930" s="51" t="b">
        <v>0</v>
      </c>
    </row>
    <row r="1931" hidden="1">
      <c r="A1931" s="4" t="str">
        <f>IFERROR(__xludf.DUMMYFUNCTION("""COMPUTED_VALUE"""),"273 - Channel 5")</f>
        <v>273 - Channel 5</v>
      </c>
      <c r="B1931" s="4" t="s">
        <v>27</v>
      </c>
      <c r="C1931" s="4">
        <v>0.6807870370370386</v>
      </c>
      <c r="D1931" s="6">
        <v>0.012349537037037037</v>
      </c>
      <c r="E1931" s="6">
        <v>0.6931365740740756</v>
      </c>
      <c r="F1931" s="6" t="s">
        <v>299</v>
      </c>
      <c r="G1931" s="4" t="s">
        <v>2082</v>
      </c>
      <c r="H1931" s="4" t="s">
        <v>2419</v>
      </c>
      <c r="I1931" s="4" t="s">
        <v>2420</v>
      </c>
      <c r="J1931" s="4"/>
      <c r="K1931" s="4"/>
      <c r="L1931" s="4"/>
      <c r="M1931" s="4" t="s">
        <v>2421</v>
      </c>
      <c r="N1931" s="4"/>
      <c r="O1931" s="51" t="b">
        <v>0</v>
      </c>
      <c r="P1931" s="51" t="b">
        <v>0</v>
      </c>
      <c r="Q1931" s="51" t="b">
        <v>0</v>
      </c>
      <c r="R1931" s="51" t="b">
        <v>0</v>
      </c>
      <c r="S1931" s="51" t="b">
        <v>0</v>
      </c>
    </row>
    <row r="1932">
      <c r="A1932" s="4" t="str">
        <f>IFERROR(__xludf.DUMMYFUNCTION("""COMPUTED_VALUE"""),"274 - Channel 5")</f>
        <v>274 - Channel 5</v>
      </c>
      <c r="B1932" s="4" t="s">
        <v>27</v>
      </c>
      <c r="C1932" s="4">
        <v>0.6931365740740756</v>
      </c>
      <c r="D1932" s="6">
        <v>1.7361111111111112E-4</v>
      </c>
      <c r="E1932" s="6">
        <v>0.6933101851851867</v>
      </c>
      <c r="F1932" s="6"/>
      <c r="G1932" s="4"/>
      <c r="H1932" s="4" t="s">
        <v>85</v>
      </c>
      <c r="I1932" s="4"/>
      <c r="J1932" s="4"/>
      <c r="K1932" s="4"/>
      <c r="L1932" s="4"/>
      <c r="M1932" s="4"/>
      <c r="N1932" s="4"/>
      <c r="O1932" s="51" t="b">
        <v>0</v>
      </c>
      <c r="P1932" s="51" t="b">
        <v>0</v>
      </c>
      <c r="Q1932" s="51" t="b">
        <v>0</v>
      </c>
      <c r="R1932" s="51" t="b">
        <v>0</v>
      </c>
      <c r="S1932" s="51" t="b">
        <v>0</v>
      </c>
    </row>
    <row r="1933">
      <c r="A1933" s="4" t="str">
        <f>IFERROR(__xludf.DUMMYFUNCTION("""COMPUTED_VALUE"""),"349 - Channel 5")</f>
        <v>349 - Channel 5</v>
      </c>
      <c r="B1933" s="4" t="s">
        <v>27</v>
      </c>
      <c r="C1933" s="4">
        <v>0.6933101851851867</v>
      </c>
      <c r="D1933" s="6">
        <v>6.944444444444445E-4</v>
      </c>
      <c r="E1933" s="6">
        <v>0.6940046296296312</v>
      </c>
      <c r="F1933" s="6"/>
      <c r="G1933" s="4"/>
      <c r="H1933" s="4" t="s">
        <v>2102</v>
      </c>
      <c r="I1933" s="4"/>
      <c r="J1933" s="4"/>
      <c r="K1933" s="4"/>
      <c r="L1933" s="4"/>
      <c r="M1933" s="4"/>
      <c r="N1933" s="4"/>
      <c r="O1933" s="51" t="b">
        <v>0</v>
      </c>
      <c r="P1933" s="51" t="b">
        <v>0</v>
      </c>
      <c r="Q1933" s="51" t="b">
        <v>0</v>
      </c>
      <c r="R1933" s="51" t="b">
        <v>0</v>
      </c>
      <c r="S1933" s="51" t="b">
        <v>0</v>
      </c>
    </row>
    <row r="1934" hidden="1">
      <c r="A1934" s="4" t="str">
        <f>IFERROR(__xludf.DUMMYFUNCTION("""COMPUTED_VALUE"""),"275 - Channel 5")</f>
        <v>275 - Channel 5</v>
      </c>
      <c r="B1934" s="4" t="s">
        <v>27</v>
      </c>
      <c r="C1934" s="4">
        <v>0.6940046296296312</v>
      </c>
      <c r="D1934" s="6">
        <v>5.208333333333333E-4</v>
      </c>
      <c r="E1934" s="6">
        <v>0.6945254629629645</v>
      </c>
      <c r="F1934" s="6"/>
      <c r="G1934" s="4"/>
      <c r="H1934" s="4" t="s">
        <v>2140</v>
      </c>
      <c r="I1934" s="4"/>
      <c r="J1934" s="4"/>
      <c r="K1934" s="4"/>
      <c r="L1934" s="4"/>
      <c r="M1934" s="4"/>
      <c r="N1934" s="4"/>
      <c r="O1934" s="51" t="b">
        <v>0</v>
      </c>
      <c r="P1934" s="51" t="b">
        <v>0</v>
      </c>
      <c r="Q1934" s="51" t="b">
        <v>0</v>
      </c>
      <c r="R1934" s="51" t="b">
        <v>0</v>
      </c>
      <c r="S1934" s="51" t="b">
        <v>0</v>
      </c>
    </row>
    <row r="1935">
      <c r="A1935" s="4" t="str">
        <f>IFERROR(__xludf.DUMMYFUNCTION("""COMPUTED_VALUE"""),"277 - Channel 5")</f>
        <v>277 - Channel 5</v>
      </c>
      <c r="B1935" s="4" t="s">
        <v>27</v>
      </c>
      <c r="C1935" s="4">
        <v>0.6945254629629645</v>
      </c>
      <c r="D1935" s="6">
        <v>3.4722222222222224E-4</v>
      </c>
      <c r="E1935" s="6">
        <v>0.6948726851851867</v>
      </c>
      <c r="F1935" s="6"/>
      <c r="G1935" s="4"/>
      <c r="H1935" s="4" t="s">
        <v>81</v>
      </c>
      <c r="I1935" s="4"/>
      <c r="J1935" s="4"/>
      <c r="K1935" s="4"/>
      <c r="L1935" s="4"/>
      <c r="M1935" s="4"/>
      <c r="N1935" s="4"/>
      <c r="O1935" s="51" t="b">
        <v>0</v>
      </c>
      <c r="P1935" s="51" t="b">
        <v>0</v>
      </c>
      <c r="Q1935" s="51" t="b">
        <v>0</v>
      </c>
      <c r="R1935" s="51" t="b">
        <v>0</v>
      </c>
      <c r="S1935" s="51" t="b">
        <v>0</v>
      </c>
    </row>
    <row r="1936" hidden="1">
      <c r="A1936" s="4" t="str">
        <f>IFERROR(__xludf.DUMMYFUNCTION("""COMPUTED_VALUE"""),"278 - Channel 5")</f>
        <v>278 - Channel 5</v>
      </c>
      <c r="B1936" s="4" t="s">
        <v>27</v>
      </c>
      <c r="C1936" s="4">
        <v>0.6948726851851867</v>
      </c>
      <c r="D1936" s="6">
        <v>0.013287037037037036</v>
      </c>
      <c r="E1936" s="6">
        <v>0.7081597222222238</v>
      </c>
      <c r="F1936" s="6" t="s">
        <v>245</v>
      </c>
      <c r="G1936" s="4" t="s">
        <v>2082</v>
      </c>
      <c r="H1936" s="4" t="s">
        <v>2425</v>
      </c>
      <c r="I1936" s="4" t="s">
        <v>2426</v>
      </c>
      <c r="J1936" s="4" t="s">
        <v>1476</v>
      </c>
      <c r="K1936" s="4"/>
      <c r="L1936" s="4" t="s">
        <v>2427</v>
      </c>
      <c r="M1936" s="4" t="s">
        <v>2428</v>
      </c>
      <c r="N1936" s="4"/>
      <c r="O1936" s="51" t="b">
        <v>0</v>
      </c>
      <c r="P1936" s="51" t="b">
        <v>0</v>
      </c>
      <c r="Q1936" s="51" t="b">
        <v>0</v>
      </c>
      <c r="R1936" s="51" t="b">
        <v>0</v>
      </c>
      <c r="S1936" s="51" t="b">
        <v>0</v>
      </c>
    </row>
    <row r="1937" hidden="1">
      <c r="A1937" s="4" t="str">
        <f>IFERROR(__xludf.DUMMYFUNCTION("""COMPUTED_VALUE"""),"279 - Channel 5")</f>
        <v>279 - Channel 5</v>
      </c>
      <c r="B1937" s="4" t="s">
        <v>27</v>
      </c>
      <c r="C1937" s="4">
        <v>0.7081597222222238</v>
      </c>
      <c r="D1937" s="6">
        <v>1.7361111111111112E-4</v>
      </c>
      <c r="E1937" s="6">
        <v>0.7083333333333349</v>
      </c>
      <c r="F1937" s="6"/>
      <c r="G1937" s="4"/>
      <c r="H1937" s="4" t="s">
        <v>85</v>
      </c>
      <c r="I1937" s="4"/>
      <c r="J1937" s="4"/>
      <c r="K1937" s="4"/>
      <c r="L1937" s="4"/>
      <c r="M1937" s="4"/>
      <c r="N1937" s="4"/>
      <c r="O1937" s="51" t="b">
        <v>0</v>
      </c>
      <c r="P1937" s="51" t="b">
        <v>0</v>
      </c>
      <c r="Q1937" s="51" t="b">
        <v>0</v>
      </c>
      <c r="R1937" s="51" t="b">
        <v>0</v>
      </c>
      <c r="S1937" s="51" t="b">
        <v>0</v>
      </c>
    </row>
    <row r="1938">
      <c r="A1938" s="4" t="str">
        <f>IFERROR(__xludf.DUMMYFUNCTION("""COMPUTED_VALUE"""),"280 - Channel 5")</f>
        <v>280 - Channel 5</v>
      </c>
      <c r="B1938" s="4" t="s">
        <v>27</v>
      </c>
      <c r="C1938" s="4" t="s">
        <v>27</v>
      </c>
      <c r="D1938" s="6">
        <v>0.006944444444444444</v>
      </c>
      <c r="E1938" s="6" t="s">
        <v>27</v>
      </c>
      <c r="F1938" s="6" t="s">
        <v>280</v>
      </c>
      <c r="G1938" s="4" t="s">
        <v>2082</v>
      </c>
      <c r="H1938" s="4" t="s">
        <v>2430</v>
      </c>
      <c r="I1938" s="4" t="s">
        <v>2431</v>
      </c>
      <c r="J1938" s="4" t="s">
        <v>424</v>
      </c>
      <c r="K1938" s="4" t="s">
        <v>2432</v>
      </c>
      <c r="L1938" s="4" t="s">
        <v>2433</v>
      </c>
      <c r="M1938" s="4" t="s">
        <v>2435</v>
      </c>
      <c r="N1938" s="4"/>
      <c r="O1938" s="51" t="b">
        <v>0</v>
      </c>
      <c r="P1938" s="51" t="b">
        <v>0</v>
      </c>
      <c r="Q1938" s="51" t="b">
        <v>0</v>
      </c>
      <c r="R1938" s="51" t="b">
        <v>0</v>
      </c>
      <c r="S1938" s="51" t="b">
        <v>0</v>
      </c>
    </row>
    <row r="1939" hidden="1">
      <c r="A1939" s="4" t="str">
        <f>IFERROR(__xludf.DUMMYFUNCTION("""COMPUTED_VALUE"""),"294 - Channel 5")</f>
        <v>294 - Channel 5</v>
      </c>
      <c r="B1939" s="4" t="s">
        <v>27</v>
      </c>
      <c r="C1939" s="4"/>
      <c r="D1939" s="6"/>
      <c r="E1939" s="6"/>
      <c r="F1939" s="6"/>
      <c r="G1939" s="4"/>
      <c r="H1939" s="4"/>
      <c r="I1939" s="4"/>
      <c r="J1939" s="4"/>
      <c r="K1939" s="4"/>
      <c r="L1939" s="4"/>
      <c r="M1939" s="4"/>
      <c r="N1939" s="4"/>
      <c r="O1939" s="51" t="b">
        <v>0</v>
      </c>
      <c r="P1939" s="51" t="b">
        <v>0</v>
      </c>
      <c r="Q1939" s="51" t="b">
        <v>0</v>
      </c>
      <c r="R1939" s="51" t="b">
        <v>0</v>
      </c>
      <c r="S1939" s="51" t="b">
        <v>0</v>
      </c>
    </row>
    <row r="1940">
      <c r="A1940" s="4" t="str">
        <f>IFERROR(__xludf.DUMMYFUNCTION("""COMPUTED_VALUE"""),"295 - Channel 5")</f>
        <v>295 - Channel 5</v>
      </c>
      <c r="B1940" s="4" t="s">
        <v>27</v>
      </c>
      <c r="C1940" s="4"/>
      <c r="D1940" s="6"/>
      <c r="E1940" s="6"/>
      <c r="F1940" s="6"/>
      <c r="G1940" s="4"/>
      <c r="H1940" s="4"/>
      <c r="I1940" s="4"/>
      <c r="J1940" s="4"/>
      <c r="K1940" s="4"/>
      <c r="L1940" s="4"/>
      <c r="M1940" s="4"/>
      <c r="N1940" s="4"/>
      <c r="O1940" s="51" t="b">
        <v>0</v>
      </c>
      <c r="P1940" s="51" t="b">
        <v>0</v>
      </c>
      <c r="Q1940" s="51" t="b">
        <v>0</v>
      </c>
      <c r="R1940" s="51" t="b">
        <v>0</v>
      </c>
      <c r="S1940" s="51" t="b">
        <v>0</v>
      </c>
    </row>
    <row r="1941" hidden="1">
      <c r="A1941" s="4" t="str">
        <f>IFERROR(__xludf.DUMMYFUNCTION("""COMPUTED_VALUE"""),"296 - Channel 5")</f>
        <v>296 - Channel 5</v>
      </c>
      <c r="B1941" s="4" t="s">
        <v>27</v>
      </c>
      <c r="C1941" s="4"/>
      <c r="D1941" s="6"/>
      <c r="E1941" s="6"/>
      <c r="F1941" s="6"/>
      <c r="G1941" s="4"/>
      <c r="H1941" s="4"/>
      <c r="I1941" s="4"/>
      <c r="J1941" s="4"/>
      <c r="K1941" s="4"/>
      <c r="L1941" s="4"/>
      <c r="M1941" s="4"/>
      <c r="N1941" s="4"/>
      <c r="O1941" s="51" t="b">
        <v>0</v>
      </c>
      <c r="P1941" s="51" t="b">
        <v>0</v>
      </c>
      <c r="Q1941" s="51" t="b">
        <v>0</v>
      </c>
      <c r="R1941" s="51" t="b">
        <v>0</v>
      </c>
      <c r="S1941" s="51" t="b">
        <v>0</v>
      </c>
    </row>
    <row r="1942" hidden="1">
      <c r="A1942" s="4" t="str">
        <f>IFERROR(__xludf.DUMMYFUNCTION("""COMPUTED_VALUE"""),"297 - Channel 5")</f>
        <v>297 - Channel 5</v>
      </c>
      <c r="B1942" s="4" t="s">
        <v>27</v>
      </c>
      <c r="C1942" s="4"/>
      <c r="D1942" s="6"/>
      <c r="E1942" s="6"/>
      <c r="F1942" s="6"/>
      <c r="G1942" s="4"/>
      <c r="H1942" s="4"/>
      <c r="I1942" s="4"/>
      <c r="J1942" s="4"/>
      <c r="K1942" s="4"/>
      <c r="L1942" s="4"/>
      <c r="M1942" s="4"/>
      <c r="N1942" s="4"/>
      <c r="O1942" s="51" t="b">
        <v>0</v>
      </c>
      <c r="P1942" s="51" t="b">
        <v>0</v>
      </c>
      <c r="Q1942" s="51" t="b">
        <v>0</v>
      </c>
      <c r="R1942" s="51" t="b">
        <v>0</v>
      </c>
      <c r="S1942" s="51" t="b">
        <v>0</v>
      </c>
    </row>
    <row r="1943" hidden="1">
      <c r="A1943" s="4" t="str">
        <f>IFERROR(__xludf.DUMMYFUNCTION("""COMPUTED_VALUE"""),"298 - Channel 5")</f>
        <v>298 - Channel 5</v>
      </c>
      <c r="B1943" s="4" t="s">
        <v>27</v>
      </c>
      <c r="C1943" s="4"/>
      <c r="D1943" s="6"/>
      <c r="E1943" s="6"/>
      <c r="F1943" s="6"/>
      <c r="G1943" s="4"/>
      <c r="H1943" s="4"/>
      <c r="I1943" s="4"/>
      <c r="J1943" s="4"/>
      <c r="K1943" s="4"/>
      <c r="L1943" s="4"/>
      <c r="M1943" s="4"/>
      <c r="N1943" s="4"/>
      <c r="O1943" s="51" t="b">
        <v>0</v>
      </c>
      <c r="P1943" s="51" t="b">
        <v>0</v>
      </c>
      <c r="Q1943" s="51" t="b">
        <v>0</v>
      </c>
      <c r="R1943" s="51" t="b">
        <v>0</v>
      </c>
      <c r="S1943" s="51" t="b">
        <v>0</v>
      </c>
    </row>
    <row r="1944" hidden="1">
      <c r="A1944" s="4" t="str">
        <f>IFERROR(__xludf.DUMMYFUNCTION("""COMPUTED_VALUE"""),"299 - Channel 5")</f>
        <v>299 - Channel 5</v>
      </c>
      <c r="B1944" s="4" t="s">
        <v>27</v>
      </c>
      <c r="C1944" s="4"/>
      <c r="D1944" s="6"/>
      <c r="E1944" s="6"/>
      <c r="F1944" s="6"/>
      <c r="G1944" s="4"/>
      <c r="H1944" s="4"/>
      <c r="I1944" s="4"/>
      <c r="J1944" s="4"/>
      <c r="K1944" s="4"/>
      <c r="L1944" s="4"/>
      <c r="M1944" s="4"/>
      <c r="N1944" s="4"/>
      <c r="O1944" s="51" t="b">
        <v>0</v>
      </c>
      <c r="P1944" s="51" t="b">
        <v>0</v>
      </c>
      <c r="Q1944" s="51" t="b">
        <v>0</v>
      </c>
      <c r="R1944" s="51" t="b">
        <v>0</v>
      </c>
      <c r="S1944" s="51" t="b">
        <v>0</v>
      </c>
    </row>
    <row r="1945" hidden="1">
      <c r="A1945" s="4" t="str">
        <f>IFERROR(__xludf.DUMMYFUNCTION("""COMPUTED_VALUE"""),"300 - Channel 5")</f>
        <v>300 - Channel 5</v>
      </c>
      <c r="B1945" s="4" t="s">
        <v>27</v>
      </c>
      <c r="C1945" s="4"/>
      <c r="D1945" s="6"/>
      <c r="E1945" s="6"/>
      <c r="F1945" s="6"/>
      <c r="G1945" s="4"/>
      <c r="H1945" s="4"/>
      <c r="I1945" s="4"/>
      <c r="J1945" s="4"/>
      <c r="K1945" s="4"/>
      <c r="L1945" s="4"/>
      <c r="M1945" s="4"/>
      <c r="N1945" s="4"/>
      <c r="O1945" s="51" t="b">
        <v>0</v>
      </c>
      <c r="P1945" s="51" t="b">
        <v>0</v>
      </c>
      <c r="Q1945" s="51" t="b">
        <v>0</v>
      </c>
      <c r="R1945" s="51" t="b">
        <v>0</v>
      </c>
      <c r="S1945" s="51" t="b">
        <v>0</v>
      </c>
    </row>
    <row r="1946" hidden="1">
      <c r="A1946" s="4" t="str">
        <f>IFERROR(__xludf.DUMMYFUNCTION("""COMPUTED_VALUE"""),"301 - Channel 5")</f>
        <v>301 - Channel 5</v>
      </c>
      <c r="B1946" s="4" t="s">
        <v>27</v>
      </c>
      <c r="C1946" s="4"/>
      <c r="D1946" s="6"/>
      <c r="E1946" s="6"/>
      <c r="F1946" s="6"/>
      <c r="G1946" s="4"/>
      <c r="H1946" s="4"/>
      <c r="I1946" s="4"/>
      <c r="J1946" s="4"/>
      <c r="K1946" s="4"/>
      <c r="L1946" s="4"/>
      <c r="M1946" s="4" t="s">
        <v>2441</v>
      </c>
      <c r="N1946" s="4"/>
      <c r="O1946" s="51" t="b">
        <v>0</v>
      </c>
      <c r="P1946" s="51" t="b">
        <v>0</v>
      </c>
      <c r="Q1946" s="51" t="b">
        <v>0</v>
      </c>
      <c r="R1946" s="51" t="b">
        <v>0</v>
      </c>
      <c r="S1946" s="51" t="b">
        <v>0</v>
      </c>
    </row>
    <row r="1947" hidden="1">
      <c r="A1947" s="4" t="str">
        <f>IFERROR(__xludf.DUMMYFUNCTION("""COMPUTED_VALUE"""),"302 - Channel 5")</f>
        <v>302 - Channel 5</v>
      </c>
      <c r="B1947" s="4" t="s">
        <v>27</v>
      </c>
      <c r="C1947" s="4"/>
      <c r="D1947" s="6"/>
      <c r="E1947" s="6"/>
      <c r="F1947" s="6"/>
      <c r="G1947" s="4"/>
      <c r="H1947" s="4"/>
      <c r="I1947" s="4"/>
      <c r="J1947" s="4"/>
      <c r="K1947" s="4"/>
      <c r="L1947" s="4"/>
      <c r="M1947" s="4" t="s">
        <v>2443</v>
      </c>
      <c r="N1947" s="4"/>
      <c r="O1947" s="51" t="b">
        <v>0</v>
      </c>
      <c r="P1947" s="51" t="b">
        <v>0</v>
      </c>
      <c r="Q1947" s="51" t="b">
        <v>0</v>
      </c>
      <c r="R1947" s="51" t="b">
        <v>0</v>
      </c>
      <c r="S1947" s="51" t="b">
        <v>0</v>
      </c>
    </row>
    <row r="1948" hidden="1">
      <c r="A1948" s="4" t="str">
        <f>IFERROR(__xludf.DUMMYFUNCTION("""COMPUTED_VALUE"""),"303 - Channel 5")</f>
        <v>303 - Channel 5</v>
      </c>
      <c r="B1948" s="4" t="s">
        <v>27</v>
      </c>
      <c r="C1948" s="4"/>
      <c r="D1948" s="6"/>
      <c r="E1948" s="6"/>
      <c r="F1948" s="6"/>
      <c r="G1948" s="4"/>
      <c r="H1948" s="4"/>
      <c r="I1948" s="4"/>
      <c r="J1948" s="4"/>
      <c r="K1948" s="4"/>
      <c r="L1948" s="4"/>
      <c r="M1948" s="4" t="s">
        <v>2445</v>
      </c>
      <c r="N1948" s="4"/>
      <c r="O1948" s="51" t="b">
        <v>0</v>
      </c>
      <c r="P1948" s="51" t="b">
        <v>0</v>
      </c>
      <c r="Q1948" s="51" t="b">
        <v>0</v>
      </c>
      <c r="R1948" s="51" t="b">
        <v>0</v>
      </c>
      <c r="S1948" s="51" t="b">
        <v>0</v>
      </c>
    </row>
    <row r="1949" hidden="1">
      <c r="A1949" s="4" t="str">
        <f>IFERROR(__xludf.DUMMYFUNCTION("""COMPUTED_VALUE"""),"304 - Channel 5")</f>
        <v>304 - Channel 5</v>
      </c>
      <c r="B1949" s="4" t="s">
        <v>27</v>
      </c>
      <c r="C1949" s="4"/>
      <c r="D1949" s="6"/>
      <c r="E1949" s="6"/>
      <c r="F1949" s="6"/>
      <c r="G1949" s="4"/>
      <c r="H1949" s="4"/>
      <c r="I1949" s="4"/>
      <c r="J1949" s="4"/>
      <c r="K1949" s="4"/>
      <c r="L1949" s="4"/>
      <c r="M1949" s="4" t="s">
        <v>2446</v>
      </c>
      <c r="N1949" s="4"/>
      <c r="O1949" s="51" t="b">
        <v>0</v>
      </c>
      <c r="P1949" s="51" t="b">
        <v>0</v>
      </c>
      <c r="Q1949" s="51" t="b">
        <v>0</v>
      </c>
      <c r="R1949" s="51" t="b">
        <v>0</v>
      </c>
      <c r="S1949" s="51" t="b">
        <v>0</v>
      </c>
    </row>
    <row r="1950" hidden="1">
      <c r="A1950" s="4" t="str">
        <f>IFERROR(__xludf.DUMMYFUNCTION("""COMPUTED_VALUE"""),"305 - Channel 5")</f>
        <v>305 - Channel 5</v>
      </c>
      <c r="B1950" s="4" t="s">
        <v>27</v>
      </c>
      <c r="C1950" s="4"/>
      <c r="D1950" s="6"/>
      <c r="E1950" s="6"/>
      <c r="F1950" s="6"/>
      <c r="G1950" s="4"/>
      <c r="H1950" s="4"/>
      <c r="I1950" s="4"/>
      <c r="J1950" s="4"/>
      <c r="K1950" s="4"/>
      <c r="L1950" s="4"/>
      <c r="M1950" s="4" t="s">
        <v>2110</v>
      </c>
      <c r="N1950" s="4"/>
      <c r="O1950" s="51" t="b">
        <v>0</v>
      </c>
      <c r="P1950" s="51" t="b">
        <v>0</v>
      </c>
      <c r="Q1950" s="51" t="b">
        <v>0</v>
      </c>
      <c r="R1950" s="51" t="b">
        <v>0</v>
      </c>
      <c r="S1950" s="51" t="b">
        <v>0</v>
      </c>
    </row>
    <row r="1951" hidden="1">
      <c r="A1951" s="4" t="str">
        <f>IFERROR(__xludf.DUMMYFUNCTION("""COMPUTED_VALUE"""),"306 - Channel 5")</f>
        <v>306 - Channel 5</v>
      </c>
      <c r="B1951" s="4" t="s">
        <v>27</v>
      </c>
      <c r="C1951" s="4"/>
      <c r="D1951" s="6"/>
      <c r="E1951" s="6"/>
      <c r="F1951" s="6"/>
      <c r="G1951" s="4"/>
      <c r="H1951" s="4"/>
      <c r="I1951" s="4"/>
      <c r="J1951" s="4"/>
      <c r="K1951" s="4"/>
      <c r="L1951" s="4"/>
      <c r="M1951" s="4" t="s">
        <v>2093</v>
      </c>
      <c r="N1951" s="4"/>
      <c r="O1951" s="51" t="b">
        <v>0</v>
      </c>
      <c r="P1951" s="51" t="b">
        <v>0</v>
      </c>
      <c r="Q1951" s="51" t="b">
        <v>0</v>
      </c>
      <c r="R1951" s="51" t="b">
        <v>0</v>
      </c>
      <c r="S1951" s="51" t="b">
        <v>0</v>
      </c>
    </row>
    <row r="1952" hidden="1">
      <c r="A1952" s="4" t="str">
        <f>IFERROR(__xludf.DUMMYFUNCTION("""COMPUTED_VALUE"""),"307 - Channel 5")</f>
        <v>307 - Channel 5</v>
      </c>
      <c r="B1952" s="4" t="s">
        <v>27</v>
      </c>
      <c r="C1952" s="4"/>
      <c r="D1952" s="6"/>
      <c r="E1952" s="6"/>
      <c r="F1952" s="6"/>
      <c r="G1952" s="4"/>
      <c r="H1952" s="4"/>
      <c r="I1952" s="4"/>
      <c r="J1952" s="4"/>
      <c r="K1952" s="4"/>
      <c r="L1952" s="4"/>
      <c r="M1952" s="4" t="s">
        <v>2449</v>
      </c>
      <c r="N1952" s="4"/>
      <c r="O1952" s="51" t="b">
        <v>0</v>
      </c>
      <c r="P1952" s="51" t="b">
        <v>0</v>
      </c>
      <c r="Q1952" s="51" t="b">
        <v>0</v>
      </c>
      <c r="R1952" s="51" t="b">
        <v>0</v>
      </c>
      <c r="S1952" s="51" t="b">
        <v>0</v>
      </c>
    </row>
    <row r="1953" hidden="1">
      <c r="A1953" s="4" t="str">
        <f>IFERROR(__xludf.DUMMYFUNCTION("""COMPUTED_VALUE"""),"308 - Channel 5")</f>
        <v>308 - Channel 5</v>
      </c>
      <c r="B1953" s="4" t="s">
        <v>27</v>
      </c>
      <c r="C1953" s="4"/>
      <c r="D1953" s="6"/>
      <c r="E1953" s="6"/>
      <c r="F1953" s="6"/>
      <c r="G1953" s="4"/>
      <c r="H1953" s="4"/>
      <c r="I1953" s="4"/>
      <c r="J1953" s="4"/>
      <c r="K1953" s="4"/>
      <c r="L1953" s="4"/>
      <c r="M1953" s="4" t="s">
        <v>2451</v>
      </c>
      <c r="N1953" s="4"/>
      <c r="O1953" s="51" t="b">
        <v>0</v>
      </c>
      <c r="P1953" s="51" t="b">
        <v>0</v>
      </c>
      <c r="Q1953" s="51" t="b">
        <v>0</v>
      </c>
      <c r="R1953" s="51" t="b">
        <v>0</v>
      </c>
      <c r="S1953" s="51" t="b">
        <v>0</v>
      </c>
    </row>
    <row r="1954" hidden="1">
      <c r="A1954" s="4" t="str">
        <f>IFERROR(__xludf.DUMMYFUNCTION("""COMPUTED_VALUE"""),"309 - Channel 5")</f>
        <v>309 - Channel 5</v>
      </c>
      <c r="B1954" s="4" t="s">
        <v>27</v>
      </c>
      <c r="C1954" s="4"/>
      <c r="D1954" s="6"/>
      <c r="E1954" s="6"/>
      <c r="F1954" s="6"/>
      <c r="G1954" s="4"/>
      <c r="H1954" s="4"/>
      <c r="I1954" s="4"/>
      <c r="J1954" s="4"/>
      <c r="K1954" s="4"/>
      <c r="L1954" s="4"/>
      <c r="M1954" s="4" t="s">
        <v>2452</v>
      </c>
      <c r="N1954" s="4"/>
      <c r="O1954" s="51" t="b">
        <v>0</v>
      </c>
      <c r="P1954" s="51" t="b">
        <v>0</v>
      </c>
      <c r="Q1954" s="51" t="b">
        <v>0</v>
      </c>
      <c r="R1954" s="51" t="b">
        <v>0</v>
      </c>
      <c r="S1954" s="51" t="b">
        <v>0</v>
      </c>
    </row>
    <row r="1955" hidden="1">
      <c r="A1955" s="4" t="str">
        <f>IFERROR(__xludf.DUMMYFUNCTION("""COMPUTED_VALUE"""),"310 - Channel 5")</f>
        <v>310 - Channel 5</v>
      </c>
      <c r="B1955" s="4" t="s">
        <v>27</v>
      </c>
      <c r="C1955" s="4"/>
      <c r="D1955" s="6"/>
      <c r="E1955" s="6"/>
      <c r="F1955" s="6"/>
      <c r="G1955" s="4"/>
      <c r="H1955" s="4"/>
      <c r="I1955" s="4"/>
      <c r="J1955" s="4"/>
      <c r="K1955" s="4"/>
      <c r="L1955" s="4"/>
      <c r="M1955" s="4" t="s">
        <v>2454</v>
      </c>
      <c r="N1955" s="4"/>
      <c r="O1955" s="51" t="b">
        <v>0</v>
      </c>
      <c r="P1955" s="51" t="b">
        <v>0</v>
      </c>
      <c r="Q1955" s="51" t="b">
        <v>0</v>
      </c>
      <c r="R1955" s="51" t="b">
        <v>0</v>
      </c>
      <c r="S1955" s="51" t="b">
        <v>0</v>
      </c>
    </row>
    <row r="1956" hidden="1">
      <c r="A1956" s="4" t="str">
        <f>IFERROR(__xludf.DUMMYFUNCTION("""COMPUTED_VALUE"""),"311 - Channel 5")</f>
        <v>311 - Channel 5</v>
      </c>
      <c r="B1956" s="4" t="s">
        <v>27</v>
      </c>
      <c r="C1956" s="4"/>
      <c r="D1956" s="6"/>
      <c r="E1956" s="6"/>
      <c r="F1956" s="6"/>
      <c r="G1956" s="4"/>
      <c r="H1956" s="4"/>
      <c r="I1956" s="4"/>
      <c r="J1956" s="4"/>
      <c r="K1956" s="4"/>
      <c r="L1956" s="4"/>
      <c r="M1956" s="4" t="s">
        <v>2348</v>
      </c>
      <c r="N1956" s="4"/>
      <c r="O1956" s="51" t="b">
        <v>0</v>
      </c>
      <c r="P1956" s="51" t="b">
        <v>0</v>
      </c>
      <c r="Q1956" s="51" t="b">
        <v>0</v>
      </c>
      <c r="R1956" s="51" t="b">
        <v>0</v>
      </c>
      <c r="S1956" s="51" t="b">
        <v>0</v>
      </c>
    </row>
    <row r="1957" hidden="1">
      <c r="A1957" s="4" t="str">
        <f>IFERROR(__xludf.DUMMYFUNCTION("""COMPUTED_VALUE"""),"312 - Channel 5")</f>
        <v>312 - Channel 5</v>
      </c>
      <c r="B1957" s="4" t="s">
        <v>27</v>
      </c>
      <c r="C1957" s="4"/>
      <c r="D1957" s="6"/>
      <c r="E1957" s="6"/>
      <c r="F1957" s="6"/>
      <c r="G1957" s="4"/>
      <c r="H1957" s="4"/>
      <c r="I1957" s="4"/>
      <c r="J1957" s="4"/>
      <c r="K1957" s="4"/>
      <c r="L1957" s="4"/>
      <c r="M1957" s="4" t="s">
        <v>2456</v>
      </c>
      <c r="N1957" s="4"/>
      <c r="O1957" s="51" t="b">
        <v>0</v>
      </c>
      <c r="P1957" s="51" t="b">
        <v>0</v>
      </c>
      <c r="Q1957" s="51" t="b">
        <v>0</v>
      </c>
      <c r="R1957" s="51" t="b">
        <v>0</v>
      </c>
      <c r="S1957" s="51" t="b">
        <v>0</v>
      </c>
    </row>
    <row r="1958" hidden="1">
      <c r="A1958" s="4" t="str">
        <f>IFERROR(__xludf.DUMMYFUNCTION("""COMPUTED_VALUE"""),"313 - Channel 5")</f>
        <v>313 - Channel 5</v>
      </c>
      <c r="B1958" s="4" t="s">
        <v>27</v>
      </c>
      <c r="C1958" s="4"/>
      <c r="D1958" s="6"/>
      <c r="E1958" s="6"/>
      <c r="F1958" s="6"/>
      <c r="G1958" s="4"/>
      <c r="H1958" s="4"/>
      <c r="I1958" s="4"/>
      <c r="J1958" s="4"/>
      <c r="K1958" s="4"/>
      <c r="L1958" s="4"/>
      <c r="M1958" s="4" t="s">
        <v>2458</v>
      </c>
      <c r="N1958" s="4"/>
      <c r="O1958" s="51" t="b">
        <v>0</v>
      </c>
      <c r="P1958" s="51" t="b">
        <v>0</v>
      </c>
      <c r="Q1958" s="51" t="b">
        <v>0</v>
      </c>
      <c r="R1958" s="51" t="b">
        <v>0</v>
      </c>
      <c r="S1958" s="51" t="b">
        <v>0</v>
      </c>
    </row>
    <row r="1959" hidden="1">
      <c r="A1959" s="4" t="str">
        <f>IFERROR(__xludf.DUMMYFUNCTION("""COMPUTED_VALUE"""),"314 - Channel 5")</f>
        <v>314 - Channel 5</v>
      </c>
      <c r="B1959" s="4" t="s">
        <v>27</v>
      </c>
      <c r="C1959" s="4"/>
      <c r="D1959" s="6"/>
      <c r="E1959" s="6"/>
      <c r="F1959" s="6"/>
      <c r="G1959" s="4"/>
      <c r="H1959" s="4"/>
      <c r="I1959" s="4"/>
      <c r="J1959" s="4"/>
      <c r="K1959" s="4"/>
      <c r="L1959" s="4"/>
      <c r="M1959" s="4"/>
      <c r="N1959" s="4"/>
      <c r="O1959" s="51" t="b">
        <v>0</v>
      </c>
      <c r="P1959" s="51" t="b">
        <v>0</v>
      </c>
      <c r="Q1959" s="51" t="b">
        <v>0</v>
      </c>
      <c r="R1959" s="51" t="b">
        <v>0</v>
      </c>
      <c r="S1959" s="51" t="b">
        <v>0</v>
      </c>
    </row>
    <row r="1960" hidden="1">
      <c r="A1960" s="4" t="str">
        <f>IFERROR(__xludf.DUMMYFUNCTION("""COMPUTED_VALUE"""),"315 - Channel 5")</f>
        <v>315 - Channel 5</v>
      </c>
      <c r="B1960" s="4" t="s">
        <v>27</v>
      </c>
      <c r="C1960" s="4"/>
      <c r="D1960" s="6"/>
      <c r="E1960" s="6"/>
      <c r="F1960" s="6"/>
      <c r="G1960" s="4"/>
      <c r="H1960" s="4"/>
      <c r="I1960" s="4"/>
      <c r="J1960" s="4"/>
      <c r="K1960" s="4"/>
      <c r="L1960" s="4"/>
      <c r="M1960" s="4"/>
      <c r="N1960" s="4"/>
      <c r="O1960" s="51" t="b">
        <v>0</v>
      </c>
      <c r="P1960" s="51" t="b">
        <v>0</v>
      </c>
      <c r="Q1960" s="51" t="b">
        <v>0</v>
      </c>
      <c r="R1960" s="51" t="b">
        <v>0</v>
      </c>
      <c r="S1960" s="51" t="b">
        <v>0</v>
      </c>
    </row>
    <row r="1961" hidden="1">
      <c r="A1961" s="4" t="str">
        <f>IFERROR(__xludf.DUMMYFUNCTION("""COMPUTED_VALUE"""),"316 - Channel 5")</f>
        <v>316 - Channel 5</v>
      </c>
      <c r="B1961" s="4" t="s">
        <v>27</v>
      </c>
      <c r="C1961" s="4"/>
      <c r="D1961" s="6"/>
      <c r="E1961" s="6"/>
      <c r="F1961" s="6"/>
      <c r="G1961" s="4"/>
      <c r="H1961" s="4"/>
      <c r="I1961" s="4"/>
      <c r="J1961" s="4"/>
      <c r="K1961" s="4"/>
      <c r="L1961" s="4"/>
      <c r="M1961" s="4"/>
      <c r="N1961" s="4"/>
      <c r="O1961" s="51" t="b">
        <v>0</v>
      </c>
      <c r="P1961" s="51" t="b">
        <v>0</v>
      </c>
      <c r="Q1961" s="51" t="b">
        <v>0</v>
      </c>
      <c r="R1961" s="51" t="b">
        <v>0</v>
      </c>
      <c r="S1961" s="51" t="b">
        <v>0</v>
      </c>
    </row>
    <row r="1962" hidden="1">
      <c r="A1962" s="4" t="str">
        <f>IFERROR(__xludf.DUMMYFUNCTION("""COMPUTED_VALUE"""),"317 - Channel 5")</f>
        <v>317 - Channel 5</v>
      </c>
      <c r="B1962" s="4" t="s">
        <v>27</v>
      </c>
      <c r="C1962" s="4"/>
      <c r="D1962" s="6"/>
      <c r="E1962" s="6"/>
      <c r="F1962" s="6"/>
      <c r="G1962" s="4"/>
      <c r="H1962" s="4"/>
      <c r="I1962" s="4"/>
      <c r="J1962" s="4"/>
      <c r="K1962" s="4"/>
      <c r="L1962" s="4"/>
      <c r="M1962" s="4"/>
      <c r="N1962" s="4"/>
      <c r="O1962" s="51" t="b">
        <v>0</v>
      </c>
      <c r="P1962" s="51" t="b">
        <v>0</v>
      </c>
      <c r="Q1962" s="51" t="b">
        <v>0</v>
      </c>
      <c r="R1962" s="51" t="b">
        <v>0</v>
      </c>
      <c r="S1962" s="51" t="b">
        <v>0</v>
      </c>
    </row>
    <row r="1963" hidden="1">
      <c r="A1963" s="4" t="str">
        <f>IFERROR(__xludf.DUMMYFUNCTION("""COMPUTED_VALUE"""),"318 - Channel 5")</f>
        <v>318 - Channel 5</v>
      </c>
      <c r="B1963" s="4" t="s">
        <v>27</v>
      </c>
      <c r="C1963" s="4"/>
      <c r="D1963" s="6"/>
      <c r="E1963" s="6"/>
      <c r="F1963" s="6"/>
      <c r="G1963" s="4"/>
      <c r="H1963" s="4"/>
      <c r="I1963" s="4"/>
      <c r="J1963" s="4"/>
      <c r="K1963" s="4"/>
      <c r="L1963" s="4"/>
      <c r="M1963" s="4"/>
      <c r="N1963" s="4"/>
      <c r="O1963" s="51" t="b">
        <v>0</v>
      </c>
      <c r="P1963" s="51" t="b">
        <v>0</v>
      </c>
      <c r="Q1963" s="51" t="b">
        <v>0</v>
      </c>
      <c r="R1963" s="51" t="b">
        <v>0</v>
      </c>
      <c r="S1963" s="51" t="b">
        <v>0</v>
      </c>
    </row>
    <row r="1964" hidden="1">
      <c r="A1964" s="4" t="str">
        <f>IFERROR(__xludf.DUMMYFUNCTION("""COMPUTED_VALUE"""),"319 - Channel 5")</f>
        <v>319 - Channel 5</v>
      </c>
      <c r="B1964" s="4" t="s">
        <v>27</v>
      </c>
      <c r="C1964" s="4"/>
      <c r="D1964" s="6"/>
      <c r="E1964" s="6"/>
      <c r="F1964" s="6"/>
      <c r="G1964" s="4"/>
      <c r="H1964" s="4"/>
      <c r="I1964" s="4"/>
      <c r="J1964" s="4"/>
      <c r="K1964" s="4"/>
      <c r="L1964" s="4"/>
      <c r="M1964" s="4"/>
      <c r="N1964" s="4"/>
      <c r="O1964" s="51" t="b">
        <v>0</v>
      </c>
      <c r="P1964" s="51" t="b">
        <v>0</v>
      </c>
      <c r="Q1964" s="51" t="b">
        <v>0</v>
      </c>
      <c r="R1964" s="51" t="b">
        <v>0</v>
      </c>
      <c r="S1964" s="51" t="b">
        <v>0</v>
      </c>
    </row>
    <row r="1965" hidden="1">
      <c r="A1965" s="4" t="str">
        <f>IFERROR(__xludf.DUMMYFUNCTION("""COMPUTED_VALUE"""),"320 - Channel 5")</f>
        <v>320 - Channel 5</v>
      </c>
      <c r="B1965" s="4" t="s">
        <v>27</v>
      </c>
      <c r="C1965" s="4"/>
      <c r="D1965" s="6"/>
      <c r="E1965" s="6"/>
      <c r="F1965" s="6"/>
      <c r="G1965" s="4"/>
      <c r="H1965" s="4"/>
      <c r="I1965" s="4"/>
      <c r="J1965" s="4"/>
      <c r="K1965" s="4"/>
      <c r="L1965" s="4"/>
      <c r="M1965" s="4"/>
      <c r="N1965" s="4"/>
      <c r="O1965" s="51" t="b">
        <v>0</v>
      </c>
      <c r="P1965" s="51" t="b">
        <v>0</v>
      </c>
      <c r="Q1965" s="51" t="b">
        <v>0</v>
      </c>
      <c r="R1965" s="51" t="b">
        <v>0</v>
      </c>
      <c r="S1965" s="51" t="b">
        <v>0</v>
      </c>
    </row>
    <row r="1966" hidden="1">
      <c r="A1966" s="4" t="str">
        <f>IFERROR(__xludf.DUMMYFUNCTION("""COMPUTED_VALUE"""),"321 - Channel 5")</f>
        <v>321 - Channel 5</v>
      </c>
      <c r="B1966" s="4" t="s">
        <v>27</v>
      </c>
      <c r="C1966" s="4"/>
      <c r="D1966" s="6"/>
      <c r="E1966" s="6"/>
      <c r="F1966" s="6"/>
      <c r="G1966" s="4"/>
      <c r="H1966" s="4"/>
      <c r="I1966" s="4"/>
      <c r="J1966" s="4"/>
      <c r="K1966" s="4"/>
      <c r="L1966" s="4"/>
      <c r="M1966" s="4"/>
      <c r="N1966" s="4"/>
      <c r="O1966" s="51" t="b">
        <v>0</v>
      </c>
      <c r="P1966" s="51" t="b">
        <v>0</v>
      </c>
      <c r="Q1966" s="51" t="b">
        <v>0</v>
      </c>
      <c r="R1966" s="51" t="b">
        <v>0</v>
      </c>
      <c r="S1966" s="51" t="b">
        <v>0</v>
      </c>
    </row>
    <row r="1967" hidden="1">
      <c r="A1967" s="4" t="str">
        <f>IFERROR(__xludf.DUMMYFUNCTION("""COMPUTED_VALUE"""),"322 - Channel 5")</f>
        <v>322 - Channel 5</v>
      </c>
      <c r="B1967" s="4" t="s">
        <v>27</v>
      </c>
      <c r="C1967" s="4"/>
      <c r="D1967" s="6"/>
      <c r="E1967" s="6"/>
      <c r="F1967" s="6"/>
      <c r="G1967" s="4"/>
      <c r="H1967" s="4"/>
      <c r="I1967" s="4"/>
      <c r="J1967" s="4"/>
      <c r="K1967" s="4"/>
      <c r="L1967" s="4"/>
      <c r="M1967" s="4"/>
      <c r="N1967" s="4"/>
      <c r="O1967" s="51" t="b">
        <v>0</v>
      </c>
      <c r="P1967" s="51" t="b">
        <v>0</v>
      </c>
      <c r="Q1967" s="51" t="b">
        <v>0</v>
      </c>
      <c r="R1967" s="51" t="b">
        <v>0</v>
      </c>
      <c r="S1967" s="51" t="b">
        <v>0</v>
      </c>
    </row>
    <row r="1968" hidden="1">
      <c r="A1968" s="4" t="str">
        <f>IFERROR(__xludf.DUMMYFUNCTION("""COMPUTED_VALUE"""),"323 - Channel 5")</f>
        <v>323 - Channel 5</v>
      </c>
      <c r="B1968" s="4" t="s">
        <v>27</v>
      </c>
      <c r="C1968" s="4"/>
      <c r="D1968" s="6"/>
      <c r="E1968" s="6"/>
      <c r="F1968" s="6"/>
      <c r="G1968" s="4"/>
      <c r="H1968" s="4"/>
      <c r="I1968" s="4"/>
      <c r="J1968" s="4"/>
      <c r="K1968" s="4"/>
      <c r="L1968" s="4"/>
      <c r="M1968" s="4"/>
      <c r="N1968" s="4"/>
      <c r="O1968" s="51" t="b">
        <v>0</v>
      </c>
      <c r="P1968" s="51" t="b">
        <v>0</v>
      </c>
      <c r="Q1968" s="51" t="b">
        <v>0</v>
      </c>
      <c r="R1968" s="51" t="b">
        <v>0</v>
      </c>
      <c r="S1968" s="51" t="b">
        <v>0</v>
      </c>
    </row>
    <row r="1969" hidden="1">
      <c r="A1969" s="4" t="str">
        <f>IFERROR(__xludf.DUMMYFUNCTION("""COMPUTED_VALUE"""),"324 - Channel 5")</f>
        <v>324 - Channel 5</v>
      </c>
      <c r="B1969" s="4" t="s">
        <v>27</v>
      </c>
      <c r="C1969" s="4"/>
      <c r="D1969" s="6"/>
      <c r="E1969" s="6"/>
      <c r="F1969" s="6"/>
      <c r="G1969" s="4"/>
      <c r="H1969" s="4"/>
      <c r="I1969" s="4"/>
      <c r="J1969" s="4"/>
      <c r="K1969" s="4"/>
      <c r="L1969" s="4"/>
      <c r="M1969" s="4"/>
      <c r="N1969" s="4"/>
      <c r="O1969" s="51" t="b">
        <v>0</v>
      </c>
      <c r="P1969" s="51" t="b">
        <v>0</v>
      </c>
      <c r="Q1969" s="51" t="b">
        <v>0</v>
      </c>
      <c r="R1969" s="51" t="b">
        <v>0</v>
      </c>
      <c r="S1969" s="51" t="b">
        <v>0</v>
      </c>
    </row>
    <row r="1970" hidden="1">
      <c r="A1970" s="4" t="str">
        <f>IFERROR(__xludf.DUMMYFUNCTION("""COMPUTED_VALUE"""),"325 - Channel 5")</f>
        <v>325 - Channel 5</v>
      </c>
      <c r="B1970" s="4" t="s">
        <v>27</v>
      </c>
      <c r="C1970" s="4"/>
      <c r="D1970" s="6"/>
      <c r="E1970" s="6"/>
      <c r="F1970" s="6"/>
      <c r="G1970" s="4"/>
      <c r="H1970" s="4"/>
      <c r="I1970" s="4"/>
      <c r="J1970" s="4"/>
      <c r="K1970" s="4"/>
      <c r="L1970" s="4"/>
      <c r="M1970" s="4"/>
      <c r="N1970" s="4"/>
      <c r="O1970" s="51" t="b">
        <v>0</v>
      </c>
      <c r="P1970" s="51" t="b">
        <v>0</v>
      </c>
      <c r="Q1970" s="51" t="b">
        <v>0</v>
      </c>
      <c r="R1970" s="51" t="b">
        <v>0</v>
      </c>
      <c r="S1970" s="51" t="b">
        <v>0</v>
      </c>
    </row>
    <row r="1971" hidden="1">
      <c r="A1971" s="4" t="str">
        <f>IFERROR(__xludf.DUMMYFUNCTION("""COMPUTED_VALUE"""),"326 - Channel 5")</f>
        <v>326 - Channel 5</v>
      </c>
      <c r="B1971" s="4" t="s">
        <v>27</v>
      </c>
      <c r="C1971" s="4"/>
      <c r="D1971" s="6"/>
      <c r="E1971" s="6"/>
      <c r="F1971" s="6"/>
      <c r="G1971" s="4"/>
      <c r="H1971" s="4"/>
      <c r="I1971" s="4"/>
      <c r="J1971" s="4"/>
      <c r="K1971" s="4"/>
      <c r="L1971" s="4"/>
      <c r="M1971" s="4"/>
      <c r="N1971" s="4"/>
      <c r="O1971" s="51" t="b">
        <v>0</v>
      </c>
      <c r="P1971" s="51" t="b">
        <v>0</v>
      </c>
      <c r="Q1971" s="51" t="b">
        <v>0</v>
      </c>
      <c r="R1971" s="51" t="b">
        <v>0</v>
      </c>
      <c r="S1971" s="51" t="b">
        <v>0</v>
      </c>
    </row>
    <row r="1972" hidden="1">
      <c r="A1972" s="4" t="str">
        <f>IFERROR(__xludf.DUMMYFUNCTION("""COMPUTED_VALUE"""),"327 - Channel 5")</f>
        <v>327 - Channel 5</v>
      </c>
      <c r="B1972" s="4" t="s">
        <v>27</v>
      </c>
      <c r="C1972" s="4"/>
      <c r="D1972" s="6"/>
      <c r="E1972" s="6"/>
      <c r="F1972" s="6"/>
      <c r="G1972" s="4"/>
      <c r="H1972" s="4"/>
      <c r="I1972" s="4"/>
      <c r="J1972" s="4"/>
      <c r="K1972" s="4"/>
      <c r="L1972" s="4"/>
      <c r="M1972" s="4"/>
      <c r="N1972" s="4"/>
      <c r="O1972" s="51" t="b">
        <v>0</v>
      </c>
      <c r="P1972" s="51" t="b">
        <v>0</v>
      </c>
      <c r="Q1972" s="51" t="b">
        <v>0</v>
      </c>
      <c r="R1972" s="51" t="b">
        <v>0</v>
      </c>
      <c r="S1972" s="51" t="b">
        <v>0</v>
      </c>
    </row>
    <row r="1973" hidden="1">
      <c r="A1973" s="4" t="str">
        <f>IFERROR(__xludf.DUMMYFUNCTION("""COMPUTED_VALUE"""),"328 - Channel 5")</f>
        <v>328 - Channel 5</v>
      </c>
      <c r="B1973" s="4" t="s">
        <v>27</v>
      </c>
      <c r="C1973" s="4"/>
      <c r="D1973" s="6"/>
      <c r="E1973" s="6"/>
      <c r="F1973" s="6"/>
      <c r="G1973" s="4"/>
      <c r="H1973" s="4"/>
      <c r="I1973" s="4"/>
      <c r="J1973" s="4"/>
      <c r="K1973" s="4"/>
      <c r="L1973" s="4"/>
      <c r="M1973" s="4"/>
      <c r="N1973" s="4"/>
      <c r="O1973" s="51" t="b">
        <v>0</v>
      </c>
      <c r="P1973" s="51" t="b">
        <v>0</v>
      </c>
      <c r="Q1973" s="51" t="b">
        <v>0</v>
      </c>
      <c r="R1973" s="51" t="b">
        <v>0</v>
      </c>
      <c r="S1973" s="51" t="b">
        <v>0</v>
      </c>
    </row>
    <row r="1974" hidden="1">
      <c r="A1974" s="4" t="str">
        <f>IFERROR(__xludf.DUMMYFUNCTION("""COMPUTED_VALUE"""),"329 - Channel 5")</f>
        <v>329 - Channel 5</v>
      </c>
      <c r="B1974" s="4" t="s">
        <v>27</v>
      </c>
      <c r="C1974" s="4"/>
      <c r="D1974" s="6"/>
      <c r="E1974" s="6"/>
      <c r="F1974" s="6"/>
      <c r="G1974" s="4"/>
      <c r="H1974" s="4"/>
      <c r="I1974" s="4"/>
      <c r="J1974" s="4"/>
      <c r="K1974" s="4"/>
      <c r="L1974" s="4"/>
      <c r="M1974" s="4"/>
      <c r="N1974" s="4"/>
      <c r="O1974" s="51" t="b">
        <v>0</v>
      </c>
      <c r="P1974" s="51" t="b">
        <v>0</v>
      </c>
      <c r="Q1974" s="51" t="b">
        <v>0</v>
      </c>
      <c r="R1974" s="51" t="b">
        <v>0</v>
      </c>
      <c r="S1974" s="51" t="b">
        <v>0</v>
      </c>
    </row>
    <row r="1975" hidden="1">
      <c r="A1975" s="4" t="str">
        <f>IFERROR(__xludf.DUMMYFUNCTION("""COMPUTED_VALUE"""),"330 - Channel 5")</f>
        <v>330 - Channel 5</v>
      </c>
      <c r="B1975" s="4" t="s">
        <v>27</v>
      </c>
      <c r="C1975" s="4"/>
      <c r="D1975" s="6"/>
      <c r="E1975" s="6"/>
      <c r="F1975" s="6"/>
      <c r="G1975" s="4"/>
      <c r="H1975" s="4"/>
      <c r="I1975" s="4"/>
      <c r="J1975" s="4"/>
      <c r="K1975" s="4"/>
      <c r="L1975" s="4"/>
      <c r="M1975" s="4"/>
      <c r="N1975" s="4"/>
      <c r="O1975" s="51" t="b">
        <v>0</v>
      </c>
      <c r="P1975" s="51" t="b">
        <v>0</v>
      </c>
      <c r="Q1975" s="51" t="b">
        <v>0</v>
      </c>
      <c r="R1975" s="51" t="b">
        <v>0</v>
      </c>
      <c r="S1975" s="51" t="b">
        <v>0</v>
      </c>
    </row>
    <row r="1976" hidden="1">
      <c r="A1976" s="4" t="str">
        <f>IFERROR(__xludf.DUMMYFUNCTION("""COMPUTED_VALUE"""),"331 - Channel 5")</f>
        <v>331 - Channel 5</v>
      </c>
      <c r="B1976" s="4" t="s">
        <v>27</v>
      </c>
      <c r="C1976" s="4"/>
      <c r="D1976" s="6"/>
      <c r="E1976" s="6"/>
      <c r="F1976" s="6"/>
      <c r="G1976" s="4"/>
      <c r="H1976" s="4"/>
      <c r="I1976" s="4"/>
      <c r="J1976" s="4"/>
      <c r="K1976" s="4"/>
      <c r="L1976" s="4"/>
      <c r="M1976" s="4"/>
      <c r="N1976" s="4"/>
      <c r="O1976" s="51" t="b">
        <v>0</v>
      </c>
      <c r="P1976" s="51" t="b">
        <v>0</v>
      </c>
      <c r="Q1976" s="51" t="b">
        <v>0</v>
      </c>
      <c r="R1976" s="51" t="b">
        <v>0</v>
      </c>
      <c r="S1976" s="51" t="b">
        <v>0</v>
      </c>
    </row>
    <row r="1977" hidden="1">
      <c r="A1977" s="4" t="str">
        <f>IFERROR(__xludf.DUMMYFUNCTION("""COMPUTED_VALUE"""),"332 - Channel 5")</f>
        <v>332 - Channel 5</v>
      </c>
      <c r="B1977" s="4" t="s">
        <v>27</v>
      </c>
      <c r="C1977" s="4"/>
      <c r="D1977" s="6"/>
      <c r="E1977" s="6"/>
      <c r="F1977" s="6"/>
      <c r="G1977" s="4"/>
      <c r="H1977" s="4"/>
      <c r="I1977" s="4"/>
      <c r="J1977" s="4"/>
      <c r="K1977" s="4"/>
      <c r="L1977" s="4"/>
      <c r="M1977" s="4"/>
      <c r="N1977" s="4"/>
      <c r="O1977" s="51" t="b">
        <v>0</v>
      </c>
      <c r="P1977" s="51" t="b">
        <v>0</v>
      </c>
      <c r="Q1977" s="51" t="b">
        <v>0</v>
      </c>
      <c r="R1977" s="51" t="b">
        <v>0</v>
      </c>
      <c r="S1977" s="51" t="b">
        <v>0</v>
      </c>
    </row>
    <row r="1978" hidden="1">
      <c r="A1978" s="4" t="str">
        <f>IFERROR(__xludf.DUMMYFUNCTION("""COMPUTED_VALUE"""),"333 - Channel 5")</f>
        <v>333 - Channel 5</v>
      </c>
      <c r="B1978" s="4" t="s">
        <v>27</v>
      </c>
      <c r="C1978" s="4"/>
      <c r="D1978" s="6"/>
      <c r="E1978" s="6"/>
      <c r="F1978" s="6"/>
      <c r="G1978" s="4"/>
      <c r="H1978" s="4"/>
      <c r="I1978" s="4"/>
      <c r="J1978" s="4"/>
      <c r="K1978" s="4"/>
      <c r="L1978" s="4"/>
      <c r="M1978" s="4"/>
      <c r="N1978" s="4"/>
      <c r="O1978" s="51" t="b">
        <v>0</v>
      </c>
      <c r="P1978" s="51" t="b">
        <v>0</v>
      </c>
      <c r="Q1978" s="51" t="b">
        <v>0</v>
      </c>
      <c r="R1978" s="51" t="b">
        <v>0</v>
      </c>
      <c r="S1978" s="51" t="b">
        <v>0</v>
      </c>
    </row>
    <row r="1979" hidden="1">
      <c r="A1979" s="4" t="str">
        <f>IFERROR(__xludf.DUMMYFUNCTION("""COMPUTED_VALUE"""),"334 - Channel 5")</f>
        <v>334 - Channel 5</v>
      </c>
      <c r="B1979" s="4" t="s">
        <v>27</v>
      </c>
      <c r="C1979" s="4"/>
      <c r="D1979" s="6"/>
      <c r="E1979" s="6"/>
      <c r="F1979" s="6"/>
      <c r="G1979" s="4"/>
      <c r="H1979" s="4"/>
      <c r="I1979" s="4"/>
      <c r="J1979" s="4"/>
      <c r="K1979" s="4"/>
      <c r="L1979" s="4"/>
      <c r="M1979" s="4"/>
      <c r="N1979" s="4"/>
      <c r="O1979" s="51" t="b">
        <v>0</v>
      </c>
      <c r="P1979" s="51" t="b">
        <v>0</v>
      </c>
      <c r="Q1979" s="51" t="b">
        <v>0</v>
      </c>
      <c r="R1979" s="51" t="b">
        <v>0</v>
      </c>
      <c r="S1979" s="51" t="b">
        <v>0</v>
      </c>
    </row>
    <row r="1980" hidden="1">
      <c r="A1980" s="4" t="str">
        <f>IFERROR(__xludf.DUMMYFUNCTION("""COMPUTED_VALUE"""),"335 - Channel 5")</f>
        <v>335 - Channel 5</v>
      </c>
      <c r="B1980" s="4" t="s">
        <v>27</v>
      </c>
      <c r="C1980" s="4"/>
      <c r="D1980" s="6"/>
      <c r="E1980" s="6"/>
      <c r="F1980" s="6"/>
      <c r="G1980" s="4"/>
      <c r="H1980" s="4"/>
      <c r="I1980" s="4"/>
      <c r="J1980" s="4"/>
      <c r="K1980" s="4"/>
      <c r="L1980" s="4"/>
      <c r="M1980" s="4"/>
      <c r="N1980" s="4"/>
      <c r="O1980" s="51" t="b">
        <v>0</v>
      </c>
      <c r="P1980" s="51" t="b">
        <v>0</v>
      </c>
      <c r="Q1980" s="51" t="b">
        <v>0</v>
      </c>
      <c r="R1980" s="51" t="b">
        <v>0</v>
      </c>
      <c r="S1980" s="51" t="b">
        <v>0</v>
      </c>
    </row>
    <row r="1981" hidden="1">
      <c r="A1981" s="4" t="str">
        <f>IFERROR(__xludf.DUMMYFUNCTION("""COMPUTED_VALUE"""),"336 - Channel 5")</f>
        <v>336 - Channel 5</v>
      </c>
      <c r="B1981" s="4" t="s">
        <v>27</v>
      </c>
      <c r="C1981" s="4"/>
      <c r="D1981" s="6"/>
      <c r="E1981" s="6"/>
      <c r="F1981" s="6"/>
      <c r="G1981" s="4"/>
      <c r="H1981" s="4"/>
      <c r="I1981" s="4"/>
      <c r="J1981" s="4"/>
      <c r="K1981" s="4"/>
      <c r="L1981" s="4"/>
      <c r="M1981" s="4"/>
      <c r="N1981" s="4"/>
      <c r="O1981" s="51" t="b">
        <v>0</v>
      </c>
      <c r="P1981" s="51" t="b">
        <v>0</v>
      </c>
      <c r="Q1981" s="51" t="b">
        <v>0</v>
      </c>
      <c r="R1981" s="51" t="b">
        <v>0</v>
      </c>
      <c r="S1981" s="51" t="b">
        <v>0</v>
      </c>
    </row>
    <row r="1982" hidden="1">
      <c r="A1982" s="4" t="str">
        <f>IFERROR(__xludf.DUMMYFUNCTION("""COMPUTED_VALUE"""),"185 - Channel 5")</f>
        <v>185 - Channel 5</v>
      </c>
      <c r="B1982" s="4" t="s">
        <v>27</v>
      </c>
      <c r="C1982" s="4"/>
      <c r="D1982" s="6"/>
      <c r="E1982" s="6"/>
      <c r="F1982" s="6"/>
      <c r="G1982" s="4"/>
      <c r="H1982" s="4"/>
      <c r="I1982" s="4"/>
      <c r="J1982" s="4"/>
      <c r="K1982" s="4"/>
      <c r="L1982" s="4"/>
      <c r="M1982" s="4"/>
      <c r="N1982" s="4"/>
      <c r="O1982" s="51" t="b">
        <v>0</v>
      </c>
      <c r="P1982" s="51" t="b">
        <v>0</v>
      </c>
      <c r="Q1982" s="51" t="b">
        <v>0</v>
      </c>
      <c r="R1982" s="51" t="b">
        <v>0</v>
      </c>
      <c r="S1982" s="51" t="b">
        <v>0</v>
      </c>
    </row>
    <row r="1983" hidden="1">
      <c r="A1983" s="4" t="str">
        <f>IFERROR(__xludf.DUMMYFUNCTION("""COMPUTED_VALUE"""),"186 - Channel 5")</f>
        <v>186 - Channel 5</v>
      </c>
      <c r="B1983" s="4" t="s">
        <v>27</v>
      </c>
      <c r="C1983" s="4"/>
      <c r="D1983" s="6"/>
      <c r="E1983" s="6"/>
      <c r="F1983" s="6"/>
      <c r="G1983" s="4"/>
      <c r="H1983" s="4"/>
      <c r="I1983" s="4"/>
      <c r="J1983" s="4"/>
      <c r="K1983" s="4"/>
      <c r="L1983" s="4"/>
      <c r="M1983" s="4"/>
      <c r="N1983" s="4"/>
      <c r="O1983" s="51" t="b">
        <v>0</v>
      </c>
      <c r="P1983" s="51" t="b">
        <v>0</v>
      </c>
      <c r="Q1983" s="51" t="b">
        <v>0</v>
      </c>
      <c r="R1983" s="51" t="b">
        <v>0</v>
      </c>
      <c r="S1983" s="51" t="b">
        <v>0</v>
      </c>
    </row>
    <row r="1984" hidden="1">
      <c r="A1984" s="4" t="str">
        <f>IFERROR(__xludf.DUMMYFUNCTION("""COMPUTED_VALUE"""),"187 - Channel 5")</f>
        <v>187 - Channel 5</v>
      </c>
      <c r="B1984" s="4" t="s">
        <v>27</v>
      </c>
      <c r="C1984" s="4"/>
      <c r="D1984" s="6"/>
      <c r="E1984" s="6"/>
      <c r="F1984" s="6"/>
      <c r="G1984" s="4"/>
      <c r="H1984" s="4"/>
      <c r="I1984" s="4"/>
      <c r="J1984" s="4"/>
      <c r="K1984" s="4"/>
      <c r="L1984" s="4"/>
      <c r="M1984" s="4"/>
      <c r="N1984" s="4"/>
      <c r="O1984" s="51" t="b">
        <v>0</v>
      </c>
      <c r="P1984" s="51" t="b">
        <v>0</v>
      </c>
      <c r="Q1984" s="51" t="b">
        <v>0</v>
      </c>
      <c r="R1984" s="51" t="b">
        <v>0</v>
      </c>
      <c r="S1984" s="51" t="b">
        <v>0</v>
      </c>
    </row>
    <row r="1985" hidden="1">
      <c r="A1985" s="4" t="str">
        <f>IFERROR(__xludf.DUMMYFUNCTION("""COMPUTED_VALUE"""),"188 - Channel 5")</f>
        <v>188 - Channel 5</v>
      </c>
      <c r="B1985" s="4" t="s">
        <v>27</v>
      </c>
      <c r="C1985" s="4"/>
      <c r="D1985" s="6"/>
      <c r="E1985" s="6"/>
      <c r="F1985" s="6"/>
      <c r="G1985" s="4"/>
      <c r="H1985" s="4"/>
      <c r="I1985" s="4"/>
      <c r="J1985" s="4"/>
      <c r="K1985" s="4"/>
      <c r="L1985" s="4"/>
      <c r="M1985" s="4"/>
      <c r="N1985" s="4"/>
      <c r="O1985" s="51" t="b">
        <v>0</v>
      </c>
      <c r="P1985" s="51" t="b">
        <v>0</v>
      </c>
      <c r="Q1985" s="51" t="b">
        <v>0</v>
      </c>
      <c r="R1985" s="51" t="b">
        <v>0</v>
      </c>
      <c r="S1985" s="51" t="b">
        <v>0</v>
      </c>
    </row>
    <row r="1986" hidden="1">
      <c r="A1986" s="4" t="str">
        <f>IFERROR(__xludf.DUMMYFUNCTION("""COMPUTED_VALUE"""),"189 - Channel 5")</f>
        <v>189 - Channel 5</v>
      </c>
      <c r="B1986" s="4" t="s">
        <v>27</v>
      </c>
      <c r="C1986" s="4"/>
      <c r="D1986" s="6"/>
      <c r="E1986" s="6"/>
      <c r="F1986" s="6"/>
      <c r="G1986" s="4"/>
      <c r="H1986" s="4"/>
      <c r="I1986" s="4"/>
      <c r="J1986" s="4"/>
      <c r="K1986" s="4"/>
      <c r="L1986" s="4"/>
      <c r="M1986" s="4"/>
      <c r="N1986" s="4"/>
      <c r="O1986" s="51" t="b">
        <v>0</v>
      </c>
      <c r="P1986" s="51" t="b">
        <v>0</v>
      </c>
      <c r="Q1986" s="51" t="b">
        <v>0</v>
      </c>
      <c r="R1986" s="51" t="b">
        <v>0</v>
      </c>
      <c r="S1986" s="51" t="b">
        <v>0</v>
      </c>
    </row>
    <row r="1987" hidden="1">
      <c r="A1987" s="4" t="str">
        <f>IFERROR(__xludf.DUMMYFUNCTION("""COMPUTED_VALUE"""),"190 - Channel 5")</f>
        <v>190 - Channel 5</v>
      </c>
      <c r="B1987" s="4" t="s">
        <v>27</v>
      </c>
      <c r="C1987" s="4"/>
      <c r="D1987" s="6"/>
      <c r="E1987" s="6"/>
      <c r="F1987" s="6"/>
      <c r="G1987" s="4"/>
      <c r="H1987" s="4"/>
      <c r="I1987" s="4"/>
      <c r="J1987" s="4"/>
      <c r="K1987" s="4"/>
      <c r="L1987" s="4"/>
      <c r="M1987" s="4"/>
      <c r="N1987" s="4"/>
      <c r="O1987" s="51" t="b">
        <v>0</v>
      </c>
      <c r="P1987" s="51" t="b">
        <v>0</v>
      </c>
      <c r="Q1987" s="51" t="b">
        <v>0</v>
      </c>
      <c r="R1987" s="51" t="b">
        <v>0</v>
      </c>
      <c r="S1987" s="51" t="b">
        <v>0</v>
      </c>
    </row>
    <row r="1988" hidden="1">
      <c r="A1988" s="4" t="str">
        <f>IFERROR(__xludf.DUMMYFUNCTION("""COMPUTED_VALUE"""),"191 - Channel 5")</f>
        <v>191 - Channel 5</v>
      </c>
      <c r="B1988" s="4" t="s">
        <v>27</v>
      </c>
      <c r="C1988" s="4"/>
      <c r="D1988" s="6"/>
      <c r="E1988" s="6"/>
      <c r="F1988" s="6"/>
      <c r="G1988" s="4"/>
      <c r="H1988" s="4"/>
      <c r="I1988" s="4"/>
      <c r="J1988" s="4"/>
      <c r="K1988" s="4"/>
      <c r="L1988" s="4"/>
      <c r="M1988" s="4"/>
      <c r="N1988" s="4"/>
      <c r="O1988" s="51" t="b">
        <v>0</v>
      </c>
      <c r="P1988" s="51" t="b">
        <v>0</v>
      </c>
      <c r="Q1988" s="51" t="b">
        <v>0</v>
      </c>
      <c r="R1988" s="51" t="b">
        <v>0</v>
      </c>
      <c r="S1988" s="51" t="b">
        <v>0</v>
      </c>
    </row>
    <row r="1989" hidden="1">
      <c r="A1989" s="4" t="str">
        <f>IFERROR(__xludf.DUMMYFUNCTION("""COMPUTED_VALUE"""),"192 - Channel 5")</f>
        <v>192 - Channel 5</v>
      </c>
      <c r="B1989" s="4" t="s">
        <v>27</v>
      </c>
      <c r="C1989" s="4"/>
      <c r="D1989" s="6"/>
      <c r="E1989" s="6"/>
      <c r="F1989" s="6"/>
      <c r="G1989" s="4"/>
      <c r="H1989" s="4"/>
      <c r="I1989" s="4"/>
      <c r="J1989" s="4"/>
      <c r="K1989" s="4"/>
      <c r="L1989" s="4"/>
      <c r="M1989" s="4"/>
      <c r="N1989" s="4"/>
      <c r="O1989" s="51" t="b">
        <v>0</v>
      </c>
      <c r="P1989" s="51" t="b">
        <v>0</v>
      </c>
      <c r="Q1989" s="51" t="b">
        <v>0</v>
      </c>
      <c r="R1989" s="51" t="b">
        <v>0</v>
      </c>
      <c r="S1989" s="51" t="b">
        <v>0</v>
      </c>
    </row>
    <row r="1990" hidden="1">
      <c r="A1990" s="4" t="str">
        <f>IFERROR(__xludf.DUMMYFUNCTION("""COMPUTED_VALUE"""),"193 - Channel 5")</f>
        <v>193 - Channel 5</v>
      </c>
      <c r="B1990" s="4" t="s">
        <v>27</v>
      </c>
      <c r="C1990" s="4"/>
      <c r="D1990" s="6"/>
      <c r="E1990" s="6"/>
      <c r="F1990" s="6"/>
      <c r="G1990" s="4"/>
      <c r="H1990" s="4"/>
      <c r="I1990" s="4"/>
      <c r="J1990" s="4"/>
      <c r="K1990" s="4"/>
      <c r="L1990" s="4"/>
      <c r="M1990" s="4"/>
      <c r="N1990" s="4"/>
      <c r="O1990" s="51" t="b">
        <v>0</v>
      </c>
      <c r="P1990" s="51" t="b">
        <v>0</v>
      </c>
      <c r="Q1990" s="51" t="b">
        <v>0</v>
      </c>
      <c r="R1990" s="51" t="b">
        <v>0</v>
      </c>
      <c r="S1990" s="51" t="b">
        <v>0</v>
      </c>
    </row>
    <row r="1991" hidden="1">
      <c r="A1991" s="4" t="str">
        <f>IFERROR(__xludf.DUMMYFUNCTION("""COMPUTED_VALUE"""),"194 - Channel 5")</f>
        <v>194 - Channel 5</v>
      </c>
      <c r="B1991" s="4" t="s">
        <v>27</v>
      </c>
      <c r="C1991" s="4"/>
      <c r="D1991" s="6"/>
      <c r="E1991" s="6"/>
      <c r="F1991" s="6"/>
      <c r="G1991" s="4"/>
      <c r="H1991" s="4"/>
      <c r="I1991" s="4"/>
      <c r="J1991" s="4"/>
      <c r="K1991" s="4"/>
      <c r="L1991" s="4"/>
      <c r="M1991" s="4"/>
      <c r="N1991" s="4"/>
      <c r="O1991" s="51" t="b">
        <v>0</v>
      </c>
      <c r="P1991" s="51" t="b">
        <v>0</v>
      </c>
      <c r="Q1991" s="51" t="b">
        <v>0</v>
      </c>
      <c r="R1991" s="51" t="b">
        <v>0</v>
      </c>
      <c r="S1991" s="51" t="b">
        <v>0</v>
      </c>
    </row>
    <row r="1992" hidden="1">
      <c r="A1992" s="4" t="str">
        <f>IFERROR(__xludf.DUMMYFUNCTION("""COMPUTED_VALUE"""),"195 - Channel 5")</f>
        <v>195 - Channel 5</v>
      </c>
      <c r="B1992" s="4" t="s">
        <v>27</v>
      </c>
      <c r="C1992" s="4"/>
      <c r="D1992" s="6"/>
      <c r="E1992" s="6"/>
      <c r="F1992" s="6"/>
      <c r="G1992" s="4"/>
      <c r="H1992" s="4"/>
      <c r="I1992" s="4"/>
      <c r="J1992" s="4"/>
      <c r="K1992" s="4"/>
      <c r="L1992" s="4"/>
      <c r="M1992" s="4"/>
      <c r="N1992" s="4"/>
      <c r="O1992" s="51" t="b">
        <v>0</v>
      </c>
      <c r="P1992" s="51" t="b">
        <v>0</v>
      </c>
      <c r="Q1992" s="51" t="b">
        <v>0</v>
      </c>
      <c r="R1992" s="51" t="b">
        <v>0</v>
      </c>
      <c r="S1992" s="51" t="b">
        <v>0</v>
      </c>
    </row>
    <row r="1993" hidden="1">
      <c r="A1993" s="4" t="str">
        <f>IFERROR(__xludf.DUMMYFUNCTION("""COMPUTED_VALUE"""),"196 - Channel 5")</f>
        <v>196 - Channel 5</v>
      </c>
      <c r="B1993" s="4" t="s">
        <v>27</v>
      </c>
      <c r="C1993" s="4"/>
      <c r="D1993" s="6"/>
      <c r="E1993" s="6"/>
      <c r="F1993" s="6"/>
      <c r="G1993" s="4"/>
      <c r="H1993" s="4"/>
      <c r="I1993" s="4"/>
      <c r="J1993" s="4"/>
      <c r="K1993" s="4"/>
      <c r="L1993" s="4"/>
      <c r="M1993" s="4"/>
      <c r="N1993" s="4"/>
      <c r="O1993" s="51" t="b">
        <v>0</v>
      </c>
      <c r="P1993" s="51" t="b">
        <v>0</v>
      </c>
      <c r="Q1993" s="51" t="b">
        <v>0</v>
      </c>
      <c r="R1993" s="51" t="b">
        <v>0</v>
      </c>
      <c r="S1993" s="51" t="b">
        <v>0</v>
      </c>
    </row>
    <row r="1994" hidden="1">
      <c r="A1994" s="4" t="str">
        <f>IFERROR(__xludf.DUMMYFUNCTION("""COMPUTED_VALUE"""),"197 - Channel 5")</f>
        <v>197 - Channel 5</v>
      </c>
      <c r="B1994" s="4" t="s">
        <v>27</v>
      </c>
      <c r="C1994" s="4"/>
      <c r="D1994" s="6"/>
      <c r="E1994" s="6"/>
      <c r="F1994" s="6"/>
      <c r="G1994" s="4"/>
      <c r="H1994" s="4"/>
      <c r="I1994" s="4"/>
      <c r="J1994" s="4"/>
      <c r="K1994" s="4"/>
      <c r="L1994" s="4"/>
      <c r="M1994" s="4"/>
      <c r="N1994" s="4"/>
      <c r="O1994" s="51" t="b">
        <v>0</v>
      </c>
      <c r="P1994" s="51" t="b">
        <v>0</v>
      </c>
      <c r="Q1994" s="51" t="b">
        <v>0</v>
      </c>
      <c r="R1994" s="51" t="b">
        <v>0</v>
      </c>
      <c r="S1994" s="51" t="b">
        <v>0</v>
      </c>
    </row>
    <row r="1995" hidden="1">
      <c r="A1995" s="4" t="str">
        <f>IFERROR(__xludf.DUMMYFUNCTION("""COMPUTED_VALUE"""),"350 - Channel 5")</f>
        <v>350 - Channel 5</v>
      </c>
      <c r="B1995" s="4" t="s">
        <v>27</v>
      </c>
      <c r="C1995" s="4"/>
      <c r="D1995" s="6"/>
      <c r="E1995" s="6"/>
      <c r="F1995" s="6"/>
      <c r="G1995" s="4"/>
      <c r="H1995" s="4"/>
      <c r="I1995" s="4"/>
      <c r="J1995" s="4"/>
      <c r="K1995" s="4"/>
      <c r="L1995" s="4"/>
      <c r="M1995" s="4"/>
      <c r="N1995" s="4"/>
      <c r="O1995" s="51" t="b">
        <v>0</v>
      </c>
      <c r="P1995" s="51" t="b">
        <v>0</v>
      </c>
      <c r="Q1995" s="51" t="b">
        <v>0</v>
      </c>
      <c r="R1995" s="51" t="b">
        <v>0</v>
      </c>
      <c r="S1995" s="51" t="b">
        <v>0</v>
      </c>
    </row>
    <row r="1996" hidden="1">
      <c r="A1996" s="4" t="str">
        <f>IFERROR(__xludf.DUMMYFUNCTION("""COMPUTED_VALUE"""),"351 - Channel 5")</f>
        <v>351 - Channel 5</v>
      </c>
      <c r="B1996" s="4" t="s">
        <v>27</v>
      </c>
      <c r="C1996" s="4"/>
      <c r="D1996" s="6"/>
      <c r="E1996" s="6"/>
      <c r="F1996" s="6"/>
      <c r="G1996" s="4"/>
      <c r="H1996" s="4"/>
      <c r="I1996" s="4"/>
      <c r="J1996" s="4"/>
      <c r="K1996" s="4"/>
      <c r="L1996" s="4"/>
      <c r="M1996" s="4"/>
      <c r="N1996" s="4"/>
      <c r="O1996" s="51" t="b">
        <v>0</v>
      </c>
      <c r="P1996" s="51" t="b">
        <v>0</v>
      </c>
      <c r="Q1996" s="51" t="b">
        <v>0</v>
      </c>
      <c r="R1996" s="51" t="b">
        <v>0</v>
      </c>
      <c r="S1996" s="51" t="b">
        <v>0</v>
      </c>
    </row>
    <row r="1997" hidden="1">
      <c r="A1997" s="4" t="str">
        <f>IFERROR(__xludf.DUMMYFUNCTION("""COMPUTED_VALUE"""),"352 - Channel 5")</f>
        <v>352 - Channel 5</v>
      </c>
      <c r="B1997" s="4" t="s">
        <v>27</v>
      </c>
      <c r="C1997" s="4"/>
      <c r="D1997" s="6"/>
      <c r="E1997" s="6"/>
      <c r="F1997" s="6"/>
      <c r="G1997" s="4"/>
      <c r="H1997" s="4"/>
      <c r="I1997" s="4"/>
      <c r="J1997" s="4"/>
      <c r="K1997" s="4"/>
      <c r="L1997" s="4"/>
      <c r="M1997" s="4"/>
      <c r="N1997" s="4"/>
      <c r="O1997" s="51" t="b">
        <v>0</v>
      </c>
      <c r="P1997" s="51" t="b">
        <v>0</v>
      </c>
      <c r="Q1997" s="51" t="b">
        <v>0</v>
      </c>
      <c r="R1997" s="51" t="b">
        <v>0</v>
      </c>
      <c r="S1997" s="51" t="b">
        <v>0</v>
      </c>
    </row>
    <row r="1998" hidden="1">
      <c r="A1998" s="4" t="str">
        <f>IFERROR(__xludf.DUMMYFUNCTION("""COMPUTED_VALUE"""),"353 - Channel 5")</f>
        <v>353 - Channel 5</v>
      </c>
      <c r="B1998" s="4" t="s">
        <v>27</v>
      </c>
      <c r="C1998" s="4"/>
      <c r="D1998" s="6"/>
      <c r="E1998" s="6"/>
      <c r="F1998" s="6"/>
      <c r="G1998" s="4"/>
      <c r="H1998" s="4"/>
      <c r="I1998" s="4"/>
      <c r="J1998" s="4"/>
      <c r="K1998" s="4"/>
      <c r="L1998" s="4"/>
      <c r="M1998" s="4"/>
      <c r="N1998" s="4"/>
      <c r="O1998" s="51" t="b">
        <v>0</v>
      </c>
      <c r="P1998" s="51" t="b">
        <v>0</v>
      </c>
      <c r="Q1998" s="51" t="b">
        <v>0</v>
      </c>
      <c r="R1998" s="51" t="b">
        <v>0</v>
      </c>
      <c r="S1998" s="51" t="b">
        <v>0</v>
      </c>
    </row>
    <row r="1999" hidden="1">
      <c r="A1999" s="4" t="str">
        <f>IFERROR(__xludf.DUMMYFUNCTION("""COMPUTED_VALUE"""),"354 - Channel 5")</f>
        <v>354 - Channel 5</v>
      </c>
      <c r="B1999" s="4" t="s">
        <v>27</v>
      </c>
      <c r="C1999" s="4"/>
      <c r="D1999" s="6"/>
      <c r="E1999" s="6"/>
      <c r="F1999" s="6"/>
      <c r="G1999" s="4"/>
      <c r="H1999" s="4"/>
      <c r="I1999" s="4"/>
      <c r="J1999" s="4"/>
      <c r="K1999" s="4"/>
      <c r="L1999" s="4"/>
      <c r="M1999" s="4"/>
      <c r="N1999" s="4"/>
      <c r="O1999" s="51" t="b">
        <v>0</v>
      </c>
      <c r="P1999" s="51" t="b">
        <v>0</v>
      </c>
      <c r="Q1999" s="51" t="b">
        <v>0</v>
      </c>
      <c r="R1999" s="51" t="b">
        <v>0</v>
      </c>
      <c r="S1999" s="51" t="b">
        <v>0</v>
      </c>
    </row>
    <row r="2000" hidden="1">
      <c r="A2000" s="4" t="str">
        <f>IFERROR(__xludf.DUMMYFUNCTION("""COMPUTED_VALUE"""),"355 - Channel 5")</f>
        <v>355 - Channel 5</v>
      </c>
      <c r="B2000" s="4" t="s">
        <v>27</v>
      </c>
      <c r="C2000" s="4"/>
      <c r="D2000" s="6"/>
      <c r="E2000" s="6"/>
      <c r="F2000" s="6"/>
      <c r="G2000" s="4"/>
      <c r="H2000" s="4"/>
      <c r="I2000" s="4"/>
      <c r="J2000" s="4"/>
      <c r="K2000" s="4"/>
      <c r="L2000" s="4"/>
      <c r="M2000" s="4"/>
      <c r="N2000" s="4"/>
      <c r="O2000" s="51" t="b">
        <v>0</v>
      </c>
      <c r="P2000" s="51" t="b">
        <v>0</v>
      </c>
      <c r="Q2000" s="51" t="b">
        <v>0</v>
      </c>
      <c r="R2000" s="51" t="b">
        <v>0</v>
      </c>
      <c r="S2000" s="51" t="b">
        <v>0</v>
      </c>
    </row>
    <row r="2001" hidden="1">
      <c r="A2001" s="4" t="str">
        <f>IFERROR(__xludf.DUMMYFUNCTION("""COMPUTED_VALUE"""),"356 - Channel 5")</f>
        <v>356 - Channel 5</v>
      </c>
      <c r="B2001" s="4" t="s">
        <v>27</v>
      </c>
      <c r="C2001" s="4"/>
      <c r="D2001" s="6"/>
      <c r="E2001" s="6"/>
      <c r="F2001" s="6"/>
      <c r="G2001" s="4"/>
      <c r="H2001" s="4"/>
      <c r="I2001" s="4"/>
      <c r="J2001" s="4"/>
      <c r="K2001" s="4"/>
      <c r="L2001" s="4"/>
      <c r="M2001" s="4"/>
      <c r="N2001" s="4"/>
      <c r="O2001" s="51" t="b">
        <v>0</v>
      </c>
      <c r="P2001" s="51" t="b">
        <v>0</v>
      </c>
      <c r="Q2001" s="51" t="b">
        <v>0</v>
      </c>
      <c r="R2001" s="51" t="b">
        <v>0</v>
      </c>
      <c r="S2001" s="51" t="b">
        <v>0</v>
      </c>
    </row>
    <row r="2002" hidden="1">
      <c r="A2002" s="4" t="str">
        <f>IFERROR(__xludf.DUMMYFUNCTION("""COMPUTED_VALUE"""),"357 - Channel 5")</f>
        <v>357 - Channel 5</v>
      </c>
      <c r="B2002" s="4" t="s">
        <v>27</v>
      </c>
      <c r="C2002" s="4"/>
      <c r="D2002" s="6"/>
      <c r="E2002" s="6"/>
      <c r="F2002" s="6"/>
      <c r="G2002" s="4"/>
      <c r="H2002" s="4"/>
      <c r="I2002" s="4"/>
      <c r="J2002" s="4"/>
      <c r="K2002" s="4"/>
      <c r="L2002" s="4"/>
      <c r="M2002" s="4"/>
      <c r="N2002" s="4"/>
      <c r="O2002" s="51" t="b">
        <v>0</v>
      </c>
      <c r="P2002" s="51" t="b">
        <v>0</v>
      </c>
      <c r="Q2002" s="51" t="b">
        <v>0</v>
      </c>
      <c r="R2002" s="51" t="b">
        <v>0</v>
      </c>
      <c r="S2002" s="51" t="b">
        <v>0</v>
      </c>
    </row>
    <row r="2003" hidden="1">
      <c r="A2003" s="4" t="str">
        <f>IFERROR(__xludf.DUMMYFUNCTION("""COMPUTED_VALUE"""),"358 - Channel 5")</f>
        <v>358 - Channel 5</v>
      </c>
      <c r="B2003" s="4" t="s">
        <v>27</v>
      </c>
      <c r="C2003" s="4"/>
      <c r="D2003" s="6"/>
      <c r="E2003" s="6"/>
      <c r="F2003" s="6"/>
      <c r="G2003" s="4"/>
      <c r="H2003" s="4"/>
      <c r="I2003" s="4"/>
      <c r="J2003" s="4"/>
      <c r="K2003" s="4"/>
      <c r="L2003" s="4"/>
      <c r="M2003" s="4"/>
      <c r="N2003" s="4"/>
      <c r="O2003" s="51" t="b">
        <v>0</v>
      </c>
      <c r="P2003" s="51" t="b">
        <v>0</v>
      </c>
      <c r="Q2003" s="51" t="b">
        <v>0</v>
      </c>
      <c r="R2003" s="51" t="b">
        <v>0</v>
      </c>
      <c r="S2003" s="51" t="b">
        <v>0</v>
      </c>
    </row>
    <row r="2004" hidden="1">
      <c r="A2004" s="4" t="str">
        <f>IFERROR(__xludf.DUMMYFUNCTION("""COMPUTED_VALUE"""),"359 - Channel 5")</f>
        <v>359 - Channel 5</v>
      </c>
      <c r="B2004" s="4" t="s">
        <v>27</v>
      </c>
      <c r="C2004" s="4"/>
      <c r="D2004" s="6"/>
      <c r="E2004" s="6"/>
      <c r="F2004" s="6"/>
      <c r="G2004" s="4"/>
      <c r="H2004" s="4"/>
      <c r="I2004" s="4"/>
      <c r="J2004" s="4"/>
      <c r="K2004" s="4"/>
      <c r="L2004" s="4"/>
      <c r="M2004" s="4"/>
      <c r="N2004" s="4"/>
      <c r="O2004" s="51" t="b">
        <v>0</v>
      </c>
      <c r="P2004" s="51" t="b">
        <v>0</v>
      </c>
      <c r="Q2004" s="51" t="b">
        <v>0</v>
      </c>
      <c r="R2004" s="51" t="b">
        <v>0</v>
      </c>
      <c r="S2004" s="51" t="b">
        <v>0</v>
      </c>
    </row>
    <row r="2005" hidden="1">
      <c r="A2005" s="4" t="str">
        <f>IFERROR(__xludf.DUMMYFUNCTION("""COMPUTED_VALUE"""),"360 - Channel 5")</f>
        <v>360 - Channel 5</v>
      </c>
      <c r="B2005" s="4" t="s">
        <v>27</v>
      </c>
      <c r="C2005" s="4"/>
      <c r="D2005" s="6"/>
      <c r="E2005" s="6"/>
      <c r="F2005" s="6"/>
      <c r="G2005" s="4"/>
      <c r="H2005" s="4"/>
      <c r="I2005" s="4"/>
      <c r="J2005" s="4"/>
      <c r="K2005" s="4"/>
      <c r="L2005" s="4"/>
      <c r="M2005" s="4"/>
      <c r="N2005" s="4"/>
      <c r="O2005" s="51" t="b">
        <v>0</v>
      </c>
      <c r="P2005" s="51" t="b">
        <v>0</v>
      </c>
      <c r="Q2005" s="51" t="b">
        <v>0</v>
      </c>
      <c r="R2005" s="51" t="b">
        <v>0</v>
      </c>
      <c r="S2005" s="51" t="b">
        <v>0</v>
      </c>
    </row>
    <row r="2006" hidden="1">
      <c r="A2006" s="4" t="str">
        <f>IFERROR(__xludf.DUMMYFUNCTION("""COMPUTED_VALUE"""),"361 - Channel 5")</f>
        <v>361 - Channel 5</v>
      </c>
      <c r="B2006" s="4" t="s">
        <v>27</v>
      </c>
      <c r="C2006" s="4"/>
      <c r="D2006" s="6"/>
      <c r="E2006" s="6"/>
      <c r="F2006" s="6"/>
      <c r="G2006" s="4"/>
      <c r="H2006" s="4"/>
      <c r="I2006" s="4"/>
      <c r="J2006" s="4"/>
      <c r="K2006" s="4"/>
      <c r="L2006" s="4"/>
      <c r="M2006" s="4"/>
      <c r="N2006" s="4"/>
      <c r="O2006" s="51" t="b">
        <v>0</v>
      </c>
      <c r="P2006" s="51" t="b">
        <v>0</v>
      </c>
      <c r="Q2006" s="51" t="b">
        <v>0</v>
      </c>
      <c r="R2006" s="51" t="b">
        <v>0</v>
      </c>
      <c r="S2006" s="51" t="b">
        <v>0</v>
      </c>
    </row>
    <row r="2007" hidden="1">
      <c r="A2007" s="4" t="str">
        <f>IFERROR(__xludf.DUMMYFUNCTION("""COMPUTED_VALUE"""),"362 - Channel 5")</f>
        <v>362 - Channel 5</v>
      </c>
      <c r="B2007" s="4" t="s">
        <v>27</v>
      </c>
      <c r="C2007" s="4"/>
      <c r="D2007" s="6"/>
      <c r="E2007" s="6"/>
      <c r="F2007" s="6"/>
      <c r="G2007" s="4"/>
      <c r="H2007" s="4"/>
      <c r="I2007" s="4"/>
      <c r="J2007" s="4"/>
      <c r="K2007" s="4"/>
      <c r="L2007" s="4"/>
      <c r="M2007" s="4"/>
      <c r="N2007" s="4"/>
      <c r="O2007" s="51" t="b">
        <v>0</v>
      </c>
      <c r="P2007" s="51" t="b">
        <v>0</v>
      </c>
      <c r="Q2007" s="51" t="b">
        <v>0</v>
      </c>
      <c r="R2007" s="51" t="b">
        <v>0</v>
      </c>
      <c r="S2007" s="51" t="b">
        <v>0</v>
      </c>
    </row>
    <row r="2008" hidden="1">
      <c r="A2008" s="4" t="str">
        <f>IFERROR(__xludf.DUMMYFUNCTION("""COMPUTED_VALUE"""),"363 - Channel 5")</f>
        <v>363 - Channel 5</v>
      </c>
      <c r="B2008" s="4" t="s">
        <v>27</v>
      </c>
      <c r="C2008" s="4"/>
      <c r="D2008" s="6"/>
      <c r="E2008" s="6"/>
      <c r="F2008" s="6"/>
      <c r="G2008" s="4"/>
      <c r="H2008" s="4"/>
      <c r="I2008" s="4"/>
      <c r="J2008" s="4"/>
      <c r="K2008" s="4"/>
      <c r="L2008" s="4"/>
      <c r="M2008" s="4"/>
      <c r="N2008" s="4"/>
      <c r="O2008" s="51" t="b">
        <v>0</v>
      </c>
      <c r="P2008" s="51" t="b">
        <v>0</v>
      </c>
      <c r="Q2008" s="51" t="b">
        <v>0</v>
      </c>
      <c r="R2008" s="51" t="b">
        <v>0</v>
      </c>
      <c r="S2008" s="51" t="b">
        <v>0</v>
      </c>
    </row>
    <row r="2009" hidden="1">
      <c r="A2009" s="4" t="str">
        <f>IFERROR(__xludf.DUMMYFUNCTION("""COMPUTED_VALUE"""),"364 - Channel 5")</f>
        <v>364 - Channel 5</v>
      </c>
      <c r="B2009" s="4" t="s">
        <v>27</v>
      </c>
      <c r="C2009" s="4"/>
      <c r="D2009" s="6"/>
      <c r="E2009" s="6"/>
      <c r="F2009" s="6"/>
      <c r="G2009" s="4"/>
      <c r="H2009" s="4"/>
      <c r="I2009" s="4"/>
      <c r="J2009" s="4"/>
      <c r="K2009" s="4"/>
      <c r="L2009" s="4"/>
      <c r="M2009" s="4"/>
      <c r="N2009" s="4"/>
      <c r="O2009" s="51" t="b">
        <v>0</v>
      </c>
      <c r="P2009" s="51" t="b">
        <v>0</v>
      </c>
      <c r="Q2009" s="51" t="b">
        <v>0</v>
      </c>
      <c r="R2009" s="51" t="b">
        <v>0</v>
      </c>
      <c r="S2009" s="51" t="b">
        <v>0</v>
      </c>
    </row>
    <row r="2010" hidden="1">
      <c r="A2010" s="4" t="str">
        <f>IFERROR(__xludf.DUMMYFUNCTION("""COMPUTED_VALUE"""),"365 - Channel 5")</f>
        <v>365 - Channel 5</v>
      </c>
      <c r="B2010" s="4" t="s">
        <v>27</v>
      </c>
      <c r="C2010" s="4"/>
      <c r="D2010" s="6"/>
      <c r="E2010" s="6"/>
      <c r="F2010" s="6"/>
      <c r="G2010" s="4"/>
      <c r="H2010" s="4"/>
      <c r="I2010" s="4"/>
      <c r="J2010" s="4"/>
      <c r="K2010" s="4"/>
      <c r="L2010" s="4"/>
      <c r="M2010" s="4"/>
      <c r="N2010" s="4"/>
      <c r="O2010" s="51" t="b">
        <v>0</v>
      </c>
      <c r="P2010" s="51" t="b">
        <v>0</v>
      </c>
      <c r="Q2010" s="51" t="b">
        <v>0</v>
      </c>
      <c r="R2010" s="51" t="b">
        <v>0</v>
      </c>
      <c r="S2010" s="51" t="b">
        <v>0</v>
      </c>
    </row>
    <row r="2011" hidden="1">
      <c r="A2011" s="4" t="str">
        <f>IFERROR(__xludf.DUMMYFUNCTION("""COMPUTED_VALUE"""),"366 - Channel 5")</f>
        <v>366 - Channel 5</v>
      </c>
      <c r="B2011" s="4" t="s">
        <v>27</v>
      </c>
      <c r="C2011" s="4"/>
      <c r="D2011" s="6"/>
      <c r="E2011" s="6"/>
      <c r="F2011" s="6"/>
      <c r="G2011" s="4"/>
      <c r="H2011" s="4"/>
      <c r="I2011" s="4"/>
      <c r="J2011" s="4"/>
      <c r="K2011" s="4"/>
      <c r="L2011" s="4"/>
      <c r="M2011" s="4"/>
      <c r="N2011" s="4"/>
      <c r="O2011" s="51" t="b">
        <v>0</v>
      </c>
      <c r="P2011" s="51" t="b">
        <v>0</v>
      </c>
      <c r="Q2011" s="51" t="b">
        <v>0</v>
      </c>
      <c r="R2011" s="51" t="b">
        <v>0</v>
      </c>
      <c r="S2011" s="51" t="b">
        <v>0</v>
      </c>
    </row>
    <row r="2012" hidden="1">
      <c r="A2012" s="4" t="str">
        <f>IFERROR(__xludf.DUMMYFUNCTION("""COMPUTED_VALUE"""),"367 - Channel 5")</f>
        <v>367 - Channel 5</v>
      </c>
      <c r="B2012" s="4" t="s">
        <v>27</v>
      </c>
      <c r="C2012" s="4"/>
      <c r="D2012" s="6"/>
      <c r="E2012" s="6"/>
      <c r="F2012" s="6"/>
      <c r="G2012" s="4"/>
      <c r="H2012" s="4"/>
      <c r="I2012" s="4"/>
      <c r="J2012" s="4"/>
      <c r="K2012" s="4"/>
      <c r="L2012" s="4"/>
      <c r="M2012" s="4"/>
      <c r="N2012" s="4"/>
      <c r="O2012" s="51" t="b">
        <v>0</v>
      </c>
      <c r="P2012" s="51" t="b">
        <v>0</v>
      </c>
      <c r="Q2012" s="51" t="b">
        <v>0</v>
      </c>
      <c r="R2012" s="51" t="b">
        <v>0</v>
      </c>
      <c r="S2012" s="51" t="b">
        <v>0</v>
      </c>
    </row>
    <row r="2013" hidden="1">
      <c r="A2013" s="4" t="str">
        <f>IFERROR(__xludf.DUMMYFUNCTION("""COMPUTED_VALUE"""),"368 - Channel 5")</f>
        <v>368 - Channel 5</v>
      </c>
      <c r="B2013" s="4" t="s">
        <v>27</v>
      </c>
      <c r="C2013" s="4"/>
      <c r="D2013" s="6"/>
      <c r="E2013" s="6"/>
      <c r="F2013" s="6"/>
      <c r="G2013" s="4"/>
      <c r="H2013" s="4"/>
      <c r="I2013" s="4"/>
      <c r="J2013" s="4"/>
      <c r="K2013" s="4"/>
      <c r="L2013" s="4"/>
      <c r="M2013" s="4"/>
      <c r="N2013" s="4"/>
      <c r="O2013" s="51" t="b">
        <v>0</v>
      </c>
      <c r="P2013" s="51" t="b">
        <v>0</v>
      </c>
      <c r="Q2013" s="51" t="b">
        <v>0</v>
      </c>
      <c r="R2013" s="51" t="b">
        <v>0</v>
      </c>
      <c r="S2013" s="51" t="b">
        <v>0</v>
      </c>
    </row>
    <row r="2014" hidden="1">
      <c r="A2014" s="4" t="str">
        <f>IFERROR(__xludf.DUMMYFUNCTION("""COMPUTED_VALUE"""),"369 - Channel 5")</f>
        <v>369 - Channel 5</v>
      </c>
      <c r="B2014" s="4" t="s">
        <v>27</v>
      </c>
      <c r="C2014" s="4"/>
      <c r="D2014" s="6"/>
      <c r="E2014" s="6"/>
      <c r="F2014" s="6"/>
      <c r="G2014" s="4"/>
      <c r="H2014" s="4"/>
      <c r="I2014" s="4"/>
      <c r="J2014" s="4"/>
      <c r="K2014" s="4"/>
      <c r="L2014" s="4"/>
      <c r="M2014" s="4"/>
      <c r="N2014" s="4"/>
      <c r="O2014" s="51" t="b">
        <v>0</v>
      </c>
      <c r="P2014" s="51" t="b">
        <v>0</v>
      </c>
      <c r="Q2014" s="51" t="b">
        <v>0</v>
      </c>
      <c r="R2014" s="51" t="b">
        <v>0</v>
      </c>
      <c r="S2014" s="51" t="b">
        <v>0</v>
      </c>
    </row>
    <row r="2015" hidden="1">
      <c r="A2015" s="4" t="str">
        <f>IFERROR(__xludf.DUMMYFUNCTION("""COMPUTED_VALUE"""),"370 - Channel 5")</f>
        <v>370 - Channel 5</v>
      </c>
      <c r="B2015" s="4" t="s">
        <v>27</v>
      </c>
      <c r="C2015" s="4"/>
      <c r="D2015" s="6"/>
      <c r="E2015" s="6"/>
      <c r="F2015" s="6"/>
      <c r="G2015" s="4"/>
      <c r="H2015" s="4"/>
      <c r="I2015" s="4"/>
      <c r="J2015" s="4"/>
      <c r="K2015" s="4"/>
      <c r="L2015" s="4"/>
      <c r="M2015" s="4"/>
      <c r="N2015" s="4"/>
      <c r="O2015" s="51" t="b">
        <v>0</v>
      </c>
      <c r="P2015" s="51" t="b">
        <v>0</v>
      </c>
      <c r="Q2015" s="51" t="b">
        <v>0</v>
      </c>
      <c r="R2015" s="51" t="b">
        <v>0</v>
      </c>
      <c r="S2015" s="51" t="b">
        <v>0</v>
      </c>
    </row>
    <row r="2016" hidden="1">
      <c r="A2016" s="4" t="str">
        <f>IFERROR(__xludf.DUMMYFUNCTION("""COMPUTED_VALUE"""),"371 - Channel 5")</f>
        <v>371 - Channel 5</v>
      </c>
      <c r="B2016" s="4" t="s">
        <v>27</v>
      </c>
      <c r="C2016" s="4"/>
      <c r="D2016" s="6"/>
      <c r="E2016" s="6"/>
      <c r="F2016" s="6"/>
      <c r="G2016" s="4"/>
      <c r="H2016" s="4"/>
      <c r="I2016" s="4"/>
      <c r="J2016" s="4"/>
      <c r="K2016" s="4"/>
      <c r="L2016" s="4"/>
      <c r="M2016" s="4"/>
      <c r="N2016" s="4"/>
      <c r="O2016" s="51" t="b">
        <v>0</v>
      </c>
      <c r="P2016" s="51" t="b">
        <v>0</v>
      </c>
      <c r="Q2016" s="51" t="b">
        <v>0</v>
      </c>
      <c r="R2016" s="51" t="b">
        <v>0</v>
      </c>
      <c r="S2016" s="51" t="b">
        <v>0</v>
      </c>
    </row>
    <row r="2017" hidden="1">
      <c r="A2017" s="4" t="str">
        <f>IFERROR(__xludf.DUMMYFUNCTION("""COMPUTED_VALUE"""),"372 - Channel 5")</f>
        <v>372 - Channel 5</v>
      </c>
      <c r="B2017" s="4" t="s">
        <v>27</v>
      </c>
      <c r="C2017" s="4"/>
      <c r="D2017" s="6"/>
      <c r="E2017" s="6"/>
      <c r="F2017" s="6"/>
      <c r="G2017" s="4"/>
      <c r="H2017" s="4"/>
      <c r="I2017" s="4"/>
      <c r="J2017" s="4"/>
      <c r="K2017" s="4"/>
      <c r="L2017" s="4"/>
      <c r="M2017" s="4"/>
      <c r="N2017" s="4"/>
      <c r="O2017" s="51" t="b">
        <v>0</v>
      </c>
      <c r="P2017" s="51" t="b">
        <v>0</v>
      </c>
      <c r="Q2017" s="51" t="b">
        <v>0</v>
      </c>
      <c r="R2017" s="51" t="b">
        <v>0</v>
      </c>
      <c r="S2017" s="51" t="b">
        <v>0</v>
      </c>
    </row>
    <row r="2018" hidden="1">
      <c r="A2018" s="4" t="str">
        <f>IFERROR(__xludf.DUMMYFUNCTION("""COMPUTED_VALUE"""),"373 - Channel 5")</f>
        <v>373 - Channel 5</v>
      </c>
      <c r="B2018" s="4" t="s">
        <v>27</v>
      </c>
      <c r="C2018" s="4"/>
      <c r="D2018" s="6"/>
      <c r="E2018" s="6"/>
      <c r="F2018" s="6"/>
      <c r="G2018" s="4"/>
      <c r="H2018" s="4"/>
      <c r="I2018" s="4"/>
      <c r="J2018" s="4"/>
      <c r="K2018" s="4"/>
      <c r="L2018" s="4"/>
      <c r="M2018" s="4"/>
      <c r="N2018" s="4"/>
      <c r="O2018" s="51" t="b">
        <v>0</v>
      </c>
      <c r="P2018" s="51" t="b">
        <v>0</v>
      </c>
      <c r="Q2018" s="51" t="b">
        <v>0</v>
      </c>
      <c r="R2018" s="51" t="b">
        <v>0</v>
      </c>
      <c r="S2018" s="51" t="b">
        <v>0</v>
      </c>
    </row>
    <row r="2019" hidden="1">
      <c r="A2019" s="4" t="str">
        <f>IFERROR(__xludf.DUMMYFUNCTION("""COMPUTED_VALUE"""),"374 - Channel 5")</f>
        <v>374 - Channel 5</v>
      </c>
      <c r="B2019" s="4" t="s">
        <v>27</v>
      </c>
      <c r="C2019" s="4"/>
      <c r="D2019" s="6"/>
      <c r="E2019" s="6"/>
      <c r="F2019" s="6"/>
      <c r="G2019" s="4"/>
      <c r="H2019" s="4"/>
      <c r="I2019" s="4"/>
      <c r="J2019" s="4"/>
      <c r="K2019" s="4"/>
      <c r="L2019" s="4"/>
      <c r="M2019" s="4"/>
      <c r="N2019" s="4"/>
      <c r="O2019" s="51" t="b">
        <v>0</v>
      </c>
      <c r="P2019" s="51" t="b">
        <v>0</v>
      </c>
      <c r="Q2019" s="51" t="b">
        <v>0</v>
      </c>
      <c r="R2019" s="51" t="b">
        <v>0</v>
      </c>
      <c r="S2019" s="51" t="b">
        <v>0</v>
      </c>
    </row>
    <row r="2020" hidden="1">
      <c r="A2020" s="4" t="str">
        <f>IFERROR(__xludf.DUMMYFUNCTION("""COMPUTED_VALUE"""),"375 - Channel 5")</f>
        <v>375 - Channel 5</v>
      </c>
      <c r="B2020" s="4" t="s">
        <v>27</v>
      </c>
      <c r="C2020" s="4"/>
      <c r="D2020" s="6"/>
      <c r="E2020" s="6"/>
      <c r="F2020" s="6"/>
      <c r="G2020" s="4"/>
      <c r="H2020" s="4"/>
      <c r="I2020" s="4"/>
      <c r="J2020" s="4"/>
      <c r="K2020" s="4"/>
      <c r="L2020" s="4"/>
      <c r="M2020" s="4"/>
      <c r="N2020" s="4"/>
      <c r="O2020" s="51" t="b">
        <v>0</v>
      </c>
      <c r="P2020" s="51" t="b">
        <v>0</v>
      </c>
      <c r="Q2020" s="51" t="b">
        <v>0</v>
      </c>
      <c r="R2020" s="51" t="b">
        <v>0</v>
      </c>
      <c r="S2020" s="51" t="b">
        <v>0</v>
      </c>
    </row>
    <row r="2021" hidden="1">
      <c r="A2021" s="4" t="str">
        <f>IFERROR(__xludf.DUMMYFUNCTION("""COMPUTED_VALUE"""),"376 - Channel 5")</f>
        <v>376 - Channel 5</v>
      </c>
      <c r="B2021" s="4" t="s">
        <v>27</v>
      </c>
      <c r="C2021" s="4"/>
      <c r="D2021" s="6"/>
      <c r="E2021" s="6"/>
      <c r="F2021" s="6"/>
      <c r="G2021" s="4"/>
      <c r="H2021" s="4"/>
      <c r="I2021" s="4"/>
      <c r="J2021" s="4"/>
      <c r="K2021" s="4"/>
      <c r="L2021" s="4"/>
      <c r="M2021" s="4"/>
      <c r="N2021" s="4"/>
      <c r="O2021" s="51" t="b">
        <v>0</v>
      </c>
      <c r="P2021" s="51" t="b">
        <v>0</v>
      </c>
      <c r="Q2021" s="51" t="b">
        <v>0</v>
      </c>
      <c r="R2021" s="51" t="b">
        <v>0</v>
      </c>
      <c r="S2021" s="51" t="b">
        <v>0</v>
      </c>
    </row>
    <row r="2022" hidden="1">
      <c r="A2022" s="4" t="str">
        <f>IFERROR(__xludf.DUMMYFUNCTION("""COMPUTED_VALUE"""),"377 - Channel 5")</f>
        <v>377 - Channel 5</v>
      </c>
      <c r="B2022" s="4" t="s">
        <v>27</v>
      </c>
      <c r="C2022" s="4"/>
      <c r="D2022" s="6"/>
      <c r="E2022" s="6"/>
      <c r="F2022" s="6"/>
      <c r="G2022" s="4"/>
      <c r="H2022" s="4"/>
      <c r="I2022" s="4"/>
      <c r="J2022" s="4"/>
      <c r="K2022" s="4"/>
      <c r="L2022" s="4"/>
      <c r="M2022" s="4"/>
      <c r="N2022" s="4"/>
      <c r="O2022" s="51" t="b">
        <v>0</v>
      </c>
      <c r="P2022" s="51" t="b">
        <v>0</v>
      </c>
      <c r="Q2022" s="51" t="b">
        <v>0</v>
      </c>
      <c r="R2022" s="51" t="b">
        <v>0</v>
      </c>
      <c r="S2022" s="51" t="b">
        <v>0</v>
      </c>
    </row>
    <row r="2023" hidden="1">
      <c r="A2023" s="4" t="str">
        <f>IFERROR(__xludf.DUMMYFUNCTION("""COMPUTED_VALUE"""),"378 - Channel 5")</f>
        <v>378 - Channel 5</v>
      </c>
      <c r="B2023" s="4" t="s">
        <v>27</v>
      </c>
      <c r="C2023" s="4"/>
      <c r="D2023" s="6"/>
      <c r="E2023" s="6"/>
      <c r="F2023" s="6"/>
      <c r="G2023" s="4"/>
      <c r="H2023" s="4"/>
      <c r="I2023" s="4"/>
      <c r="J2023" s="4"/>
      <c r="K2023" s="4"/>
      <c r="L2023" s="4"/>
      <c r="M2023" s="4"/>
      <c r="N2023" s="4"/>
      <c r="O2023" s="51" t="b">
        <v>0</v>
      </c>
      <c r="P2023" s="51" t="b">
        <v>0</v>
      </c>
      <c r="Q2023" s="51" t="b">
        <v>0</v>
      </c>
      <c r="R2023" s="51" t="b">
        <v>0</v>
      </c>
      <c r="S2023" s="51" t="b">
        <v>0</v>
      </c>
    </row>
    <row r="2024" hidden="1">
      <c r="A2024" s="4" t="str">
        <f>IFERROR(__xludf.DUMMYFUNCTION("""COMPUTED_VALUE"""),"379 - Channel 5")</f>
        <v>379 - Channel 5</v>
      </c>
      <c r="B2024" s="4" t="s">
        <v>27</v>
      </c>
      <c r="C2024" s="4"/>
      <c r="D2024" s="6"/>
      <c r="E2024" s="6"/>
      <c r="F2024" s="6"/>
      <c r="G2024" s="4"/>
      <c r="H2024" s="4"/>
      <c r="I2024" s="4"/>
      <c r="J2024" s="4"/>
      <c r="K2024" s="4"/>
      <c r="L2024" s="4"/>
      <c r="M2024" s="4"/>
      <c r="N2024" s="4"/>
      <c r="O2024" s="51" t="b">
        <v>0</v>
      </c>
      <c r="P2024" s="51" t="b">
        <v>0</v>
      </c>
      <c r="Q2024" s="51" t="b">
        <v>0</v>
      </c>
      <c r="R2024" s="51" t="b">
        <v>0</v>
      </c>
      <c r="S2024" s="51" t="b">
        <v>0</v>
      </c>
    </row>
    <row r="2025" hidden="1">
      <c r="A2025" s="4" t="str">
        <f>IFERROR(__xludf.DUMMYFUNCTION("""COMPUTED_VALUE"""),"380 - Channel 5")</f>
        <v>380 - Channel 5</v>
      </c>
      <c r="B2025" s="4" t="s">
        <v>27</v>
      </c>
      <c r="C2025" s="4"/>
      <c r="D2025" s="6"/>
      <c r="E2025" s="6"/>
      <c r="F2025" s="6"/>
      <c r="G2025" s="4"/>
      <c r="H2025" s="4"/>
      <c r="I2025" s="4"/>
      <c r="J2025" s="4"/>
      <c r="K2025" s="4"/>
      <c r="L2025" s="4"/>
      <c r="M2025" s="4"/>
      <c r="N2025" s="4"/>
      <c r="O2025" s="51" t="b">
        <v>0</v>
      </c>
      <c r="P2025" s="51" t="b">
        <v>0</v>
      </c>
      <c r="Q2025" s="51" t="b">
        <v>0</v>
      </c>
      <c r="R2025" s="51" t="b">
        <v>0</v>
      </c>
      <c r="S2025" s="51" t="b">
        <v>0</v>
      </c>
    </row>
    <row r="2026" hidden="1">
      <c r="A2026" s="4" t="str">
        <f>IFERROR(__xludf.DUMMYFUNCTION("""COMPUTED_VALUE"""),"381 - Channel 5")</f>
        <v>381 - Channel 5</v>
      </c>
      <c r="B2026" s="4" t="s">
        <v>27</v>
      </c>
      <c r="C2026" s="4"/>
      <c r="D2026" s="6"/>
      <c r="E2026" s="6"/>
      <c r="F2026" s="6"/>
      <c r="G2026" s="4"/>
      <c r="H2026" s="4"/>
      <c r="I2026" s="4"/>
      <c r="J2026" s="4"/>
      <c r="K2026" s="4"/>
      <c r="L2026" s="4"/>
      <c r="M2026" s="4"/>
      <c r="N2026" s="4"/>
      <c r="O2026" s="51" t="b">
        <v>0</v>
      </c>
      <c r="P2026" s="51" t="b">
        <v>0</v>
      </c>
      <c r="Q2026" s="51" t="b">
        <v>0</v>
      </c>
      <c r="R2026" s="51" t="b">
        <v>0</v>
      </c>
      <c r="S2026" s="51" t="b">
        <v>0</v>
      </c>
    </row>
    <row r="2027" hidden="1">
      <c r="A2027" s="4" t="str">
        <f>IFERROR(__xludf.DUMMYFUNCTION("""COMPUTED_VALUE"""),"382 - Channel 5")</f>
        <v>382 - Channel 5</v>
      </c>
      <c r="B2027" s="4" t="s">
        <v>27</v>
      </c>
      <c r="C2027" s="4"/>
      <c r="D2027" s="6"/>
      <c r="E2027" s="6"/>
      <c r="F2027" s="6"/>
      <c r="G2027" s="4"/>
      <c r="H2027" s="4"/>
      <c r="I2027" s="4"/>
      <c r="J2027" s="4"/>
      <c r="K2027" s="4"/>
      <c r="L2027" s="4"/>
      <c r="M2027" s="4"/>
      <c r="N2027" s="4"/>
      <c r="O2027" s="51" t="b">
        <v>0</v>
      </c>
      <c r="P2027" s="51" t="b">
        <v>0</v>
      </c>
      <c r="Q2027" s="51" t="b">
        <v>0</v>
      </c>
      <c r="R2027" s="51" t="b">
        <v>0</v>
      </c>
      <c r="S2027" s="51" t="b">
        <v>0</v>
      </c>
    </row>
    <row r="2028" hidden="1">
      <c r="A2028" s="4" t="str">
        <f>IFERROR(__xludf.DUMMYFUNCTION("""COMPUTED_VALUE"""),"383 - Channel 5")</f>
        <v>383 - Channel 5</v>
      </c>
      <c r="B2028" s="4" t="s">
        <v>27</v>
      </c>
      <c r="C2028" s="4"/>
      <c r="D2028" s="6"/>
      <c r="E2028" s="6"/>
      <c r="F2028" s="6"/>
      <c r="G2028" s="4"/>
      <c r="H2028" s="4"/>
      <c r="I2028" s="4"/>
      <c r="J2028" s="4"/>
      <c r="K2028" s="4"/>
      <c r="L2028" s="4"/>
      <c r="M2028" s="4"/>
      <c r="N2028" s="4"/>
      <c r="O2028" s="51" t="b">
        <v>0</v>
      </c>
      <c r="P2028" s="51" t="b">
        <v>0</v>
      </c>
      <c r="Q2028" s="51" t="b">
        <v>0</v>
      </c>
      <c r="R2028" s="51" t="b">
        <v>0</v>
      </c>
      <c r="S2028" s="51" t="b">
        <v>0</v>
      </c>
    </row>
    <row r="2029" hidden="1">
      <c r="A2029" s="4" t="str">
        <f>IFERROR(__xludf.DUMMYFUNCTION("""COMPUTED_VALUE"""),"384 - Channel 5")</f>
        <v>384 - Channel 5</v>
      </c>
      <c r="B2029" s="4" t="s">
        <v>27</v>
      </c>
      <c r="C2029" s="4"/>
      <c r="D2029" s="6"/>
      <c r="E2029" s="6"/>
      <c r="F2029" s="6"/>
      <c r="G2029" s="4"/>
      <c r="H2029" s="4"/>
      <c r="I2029" s="4"/>
      <c r="J2029" s="4"/>
      <c r="K2029" s="4"/>
      <c r="L2029" s="4"/>
      <c r="M2029" s="4"/>
      <c r="N2029" s="4"/>
      <c r="O2029" s="51" t="b">
        <v>0</v>
      </c>
      <c r="P2029" s="51" t="b">
        <v>0</v>
      </c>
      <c r="Q2029" s="51" t="b">
        <v>0</v>
      </c>
      <c r="R2029" s="51" t="b">
        <v>0</v>
      </c>
      <c r="S2029" s="51" t="b">
        <v>0</v>
      </c>
    </row>
    <row r="2030" hidden="1">
      <c r="A2030" s="4" t="str">
        <f>IFERROR(__xludf.DUMMYFUNCTION("""COMPUTED_VALUE"""),"385 - Channel 5")</f>
        <v>385 - Channel 5</v>
      </c>
      <c r="B2030" s="4" t="s">
        <v>27</v>
      </c>
      <c r="C2030" s="4"/>
      <c r="D2030" s="6"/>
      <c r="E2030" s="6"/>
      <c r="F2030" s="6"/>
      <c r="G2030" s="4"/>
      <c r="H2030" s="4"/>
      <c r="I2030" s="4"/>
      <c r="J2030" s="4"/>
      <c r="K2030" s="4"/>
      <c r="L2030" s="4"/>
      <c r="M2030" s="4"/>
      <c r="N2030" s="4"/>
      <c r="O2030" s="51" t="b">
        <v>0</v>
      </c>
      <c r="P2030" s="51" t="b">
        <v>0</v>
      </c>
      <c r="Q2030" s="51" t="b">
        <v>0</v>
      </c>
      <c r="R2030" s="51" t="b">
        <v>0</v>
      </c>
      <c r="S2030" s="51" t="b">
        <v>0</v>
      </c>
    </row>
    <row r="2031" hidden="1">
      <c r="A2031" s="4" t="str">
        <f>IFERROR(__xludf.DUMMYFUNCTION("""COMPUTED_VALUE"""),"386 - Channel 5")</f>
        <v>386 - Channel 5</v>
      </c>
      <c r="B2031" s="4" t="s">
        <v>27</v>
      </c>
      <c r="C2031" s="4"/>
      <c r="D2031" s="6"/>
      <c r="E2031" s="6"/>
      <c r="F2031" s="6"/>
      <c r="G2031" s="4"/>
      <c r="H2031" s="4"/>
      <c r="I2031" s="4"/>
      <c r="J2031" s="4"/>
      <c r="K2031" s="4"/>
      <c r="L2031" s="4"/>
      <c r="M2031" s="4"/>
      <c r="N2031" s="4"/>
      <c r="O2031" s="51" t="b">
        <v>0</v>
      </c>
      <c r="P2031" s="51" t="b">
        <v>0</v>
      </c>
      <c r="Q2031" s="51" t="b">
        <v>0</v>
      </c>
      <c r="R2031" s="51" t="b">
        <v>0</v>
      </c>
      <c r="S2031" s="51" t="b">
        <v>0</v>
      </c>
    </row>
    <row r="2032" hidden="1">
      <c r="A2032" s="4" t="str">
        <f>IFERROR(__xludf.DUMMYFUNCTION("""COMPUTED_VALUE"""),"387 - Channel 5")</f>
        <v>387 - Channel 5</v>
      </c>
      <c r="B2032" s="4" t="s">
        <v>27</v>
      </c>
      <c r="C2032" s="4"/>
      <c r="D2032" s="6"/>
      <c r="E2032" s="6"/>
      <c r="F2032" s="6"/>
      <c r="G2032" s="4"/>
      <c r="H2032" s="4"/>
      <c r="I2032" s="4"/>
      <c r="J2032" s="4"/>
      <c r="K2032" s="4"/>
      <c r="L2032" s="4"/>
      <c r="M2032" s="4"/>
      <c r="N2032" s="4"/>
      <c r="O2032" s="51" t="b">
        <v>0</v>
      </c>
      <c r="P2032" s="51" t="b">
        <v>0</v>
      </c>
      <c r="Q2032" s="51" t="b">
        <v>0</v>
      </c>
      <c r="R2032" s="51" t="b">
        <v>0</v>
      </c>
      <c r="S2032" s="51" t="b">
        <v>0</v>
      </c>
    </row>
    <row r="2033" hidden="1">
      <c r="A2033" s="4" t="str">
        <f>IFERROR(__xludf.DUMMYFUNCTION("""COMPUTED_VALUE"""),"388 - Channel 5")</f>
        <v>388 - Channel 5</v>
      </c>
      <c r="B2033" s="4" t="s">
        <v>27</v>
      </c>
      <c r="C2033" s="4"/>
      <c r="D2033" s="6"/>
      <c r="E2033" s="6"/>
      <c r="F2033" s="6"/>
      <c r="G2033" s="4"/>
      <c r="H2033" s="4"/>
      <c r="I2033" s="4"/>
      <c r="J2033" s="4"/>
      <c r="K2033" s="4"/>
      <c r="L2033" s="4"/>
      <c r="M2033" s="4"/>
      <c r="N2033" s="4"/>
      <c r="O2033" s="51" t="b">
        <v>0</v>
      </c>
      <c r="P2033" s="51" t="b">
        <v>0</v>
      </c>
      <c r="Q2033" s="51" t="b">
        <v>0</v>
      </c>
      <c r="R2033" s="51" t="b">
        <v>0</v>
      </c>
      <c r="S2033" s="51" t="b">
        <v>0</v>
      </c>
    </row>
    <row r="2034" hidden="1">
      <c r="A2034" s="4" t="str">
        <f>IFERROR(__xludf.DUMMYFUNCTION("""COMPUTED_VALUE"""),"389 - Channel 5")</f>
        <v>389 - Channel 5</v>
      </c>
      <c r="B2034" s="4" t="s">
        <v>27</v>
      </c>
      <c r="C2034" s="4"/>
      <c r="D2034" s="6"/>
      <c r="E2034" s="6"/>
      <c r="F2034" s="6"/>
      <c r="G2034" s="4"/>
      <c r="H2034" s="4"/>
      <c r="I2034" s="4"/>
      <c r="J2034" s="4"/>
      <c r="K2034" s="4"/>
      <c r="L2034" s="4"/>
      <c r="M2034" s="4"/>
      <c r="N2034" s="4"/>
      <c r="O2034" s="51" t="b">
        <v>0</v>
      </c>
      <c r="P2034" s="51" t="b">
        <v>0</v>
      </c>
      <c r="Q2034" s="51" t="b">
        <v>0</v>
      </c>
      <c r="R2034" s="51" t="b">
        <v>0</v>
      </c>
      <c r="S2034" s="51" t="b">
        <v>0</v>
      </c>
    </row>
    <row r="2035" hidden="1">
      <c r="A2035" s="4" t="str">
        <f>IFERROR(__xludf.DUMMYFUNCTION("""COMPUTED_VALUE"""),"390 - Channel 5")</f>
        <v>390 - Channel 5</v>
      </c>
      <c r="B2035" s="4" t="s">
        <v>27</v>
      </c>
      <c r="C2035" s="4"/>
      <c r="D2035" s="6"/>
      <c r="E2035" s="6"/>
      <c r="F2035" s="6"/>
      <c r="G2035" s="4"/>
      <c r="H2035" s="4"/>
      <c r="I2035" s="4"/>
      <c r="J2035" s="4"/>
      <c r="K2035" s="4"/>
      <c r="L2035" s="4"/>
      <c r="M2035" s="4"/>
      <c r="N2035" s="4"/>
      <c r="O2035" s="51" t="b">
        <v>0</v>
      </c>
      <c r="P2035" s="51" t="b">
        <v>0</v>
      </c>
      <c r="Q2035" s="51" t="b">
        <v>0</v>
      </c>
      <c r="R2035" s="51" t="b">
        <v>0</v>
      </c>
      <c r="S2035" s="51" t="b">
        <v>0</v>
      </c>
    </row>
    <row r="2036" hidden="1">
      <c r="A2036" s="4" t="str">
        <f>IFERROR(__xludf.DUMMYFUNCTION("""COMPUTED_VALUE"""),"391 - Channel 5")</f>
        <v>391 - Channel 5</v>
      </c>
      <c r="B2036" s="4" t="s">
        <v>27</v>
      </c>
      <c r="C2036" s="4"/>
      <c r="D2036" s="6"/>
      <c r="E2036" s="6"/>
      <c r="F2036" s="6"/>
      <c r="G2036" s="4"/>
      <c r="H2036" s="4"/>
      <c r="I2036" s="4"/>
      <c r="J2036" s="4"/>
      <c r="K2036" s="4"/>
      <c r="L2036" s="4"/>
      <c r="M2036" s="4"/>
      <c r="N2036" s="4"/>
      <c r="O2036" s="51" t="b">
        <v>0</v>
      </c>
      <c r="P2036" s="51" t="b">
        <v>0</v>
      </c>
      <c r="Q2036" s="51" t="b">
        <v>0</v>
      </c>
      <c r="R2036" s="51" t="b">
        <v>0</v>
      </c>
      <c r="S2036" s="51" t="b">
        <v>0</v>
      </c>
    </row>
    <row r="2037" hidden="1">
      <c r="A2037" s="4" t="str">
        <f>IFERROR(__xludf.DUMMYFUNCTION("""COMPUTED_VALUE"""),"392 - Channel 5")</f>
        <v>392 - Channel 5</v>
      </c>
      <c r="B2037" s="4" t="s">
        <v>27</v>
      </c>
      <c r="C2037" s="4"/>
      <c r="D2037" s="6"/>
      <c r="E2037" s="6"/>
      <c r="F2037" s="6"/>
      <c r="G2037" s="4"/>
      <c r="H2037" s="4"/>
      <c r="I2037" s="4"/>
      <c r="J2037" s="4"/>
      <c r="K2037" s="4"/>
      <c r="L2037" s="4"/>
      <c r="M2037" s="4"/>
      <c r="N2037" s="4"/>
      <c r="O2037" s="51" t="b">
        <v>0</v>
      </c>
      <c r="P2037" s="51" t="b">
        <v>0</v>
      </c>
      <c r="Q2037" s="51" t="b">
        <v>0</v>
      </c>
      <c r="R2037" s="51" t="b">
        <v>0</v>
      </c>
      <c r="S2037" s="51" t="b">
        <v>0</v>
      </c>
    </row>
    <row r="2038" hidden="1">
      <c r="A2038" s="4" t="str">
        <f>IFERROR(__xludf.DUMMYFUNCTION("""COMPUTED_VALUE"""),"393 - Channel 5")</f>
        <v>393 - Channel 5</v>
      </c>
      <c r="B2038" s="4" t="s">
        <v>27</v>
      </c>
      <c r="C2038" s="4"/>
      <c r="D2038" s="6"/>
      <c r="E2038" s="6"/>
      <c r="F2038" s="6"/>
      <c r="G2038" s="4"/>
      <c r="H2038" s="4"/>
      <c r="I2038" s="4"/>
      <c r="J2038" s="4"/>
      <c r="K2038" s="4"/>
      <c r="L2038" s="4"/>
      <c r="M2038" s="4"/>
      <c r="N2038" s="4"/>
      <c r="O2038" s="51" t="b">
        <v>0</v>
      </c>
      <c r="P2038" s="51" t="b">
        <v>0</v>
      </c>
      <c r="Q2038" s="51" t="b">
        <v>0</v>
      </c>
      <c r="R2038" s="51" t="b">
        <v>0</v>
      </c>
      <c r="S2038" s="51" t="b">
        <v>0</v>
      </c>
    </row>
    <row r="2039" hidden="1">
      <c r="A2039" s="4" t="str">
        <f>IFERROR(__xludf.DUMMYFUNCTION("""COMPUTED_VALUE"""),"394 - Channel 5")</f>
        <v>394 - Channel 5</v>
      </c>
      <c r="B2039" s="4" t="s">
        <v>27</v>
      </c>
      <c r="C2039" s="4"/>
      <c r="D2039" s="6"/>
      <c r="E2039" s="6"/>
      <c r="F2039" s="6"/>
      <c r="G2039" s="4"/>
      <c r="H2039" s="4"/>
      <c r="I2039" s="4"/>
      <c r="J2039" s="4"/>
      <c r="K2039" s="4"/>
      <c r="L2039" s="4"/>
      <c r="M2039" s="4"/>
      <c r="N2039" s="4"/>
      <c r="O2039" s="51" t="b">
        <v>0</v>
      </c>
      <c r="P2039" s="51" t="b">
        <v>0</v>
      </c>
      <c r="Q2039" s="51" t="b">
        <v>0</v>
      </c>
      <c r="R2039" s="51" t="b">
        <v>0</v>
      </c>
      <c r="S2039" s="51" t="b">
        <v>0</v>
      </c>
    </row>
    <row r="2040" hidden="1">
      <c r="A2040" s="4" t="str">
        <f>IFERROR(__xludf.DUMMYFUNCTION("""COMPUTED_VALUE"""),"395 - Channel 5")</f>
        <v>395 - Channel 5</v>
      </c>
      <c r="B2040" s="4" t="s">
        <v>27</v>
      </c>
      <c r="C2040" s="4"/>
      <c r="D2040" s="6"/>
      <c r="E2040" s="6"/>
      <c r="F2040" s="6"/>
      <c r="G2040" s="4"/>
      <c r="H2040" s="4"/>
      <c r="I2040" s="4"/>
      <c r="J2040" s="4"/>
      <c r="K2040" s="4"/>
      <c r="L2040" s="4"/>
      <c r="M2040" s="4"/>
      <c r="N2040" s="4"/>
      <c r="O2040" s="51" t="b">
        <v>0</v>
      </c>
      <c r="P2040" s="51" t="b">
        <v>0</v>
      </c>
      <c r="Q2040" s="51" t="b">
        <v>0</v>
      </c>
      <c r="R2040" s="51" t="b">
        <v>0</v>
      </c>
      <c r="S2040" s="51" t="b">
        <v>0</v>
      </c>
    </row>
    <row r="2041" hidden="1">
      <c r="A2041" s="4" t="str">
        <f>IFERROR(__xludf.DUMMYFUNCTION("""COMPUTED_VALUE"""),"396 - Channel 5")</f>
        <v>396 - Channel 5</v>
      </c>
      <c r="B2041" s="4" t="s">
        <v>27</v>
      </c>
      <c r="C2041" s="4"/>
      <c r="D2041" s="6"/>
      <c r="E2041" s="6"/>
      <c r="F2041" s="6"/>
      <c r="G2041" s="4"/>
      <c r="H2041" s="4"/>
      <c r="I2041" s="4"/>
      <c r="J2041" s="4"/>
      <c r="K2041" s="4"/>
      <c r="L2041" s="4"/>
      <c r="M2041" s="4"/>
      <c r="N2041" s="4"/>
      <c r="O2041" s="51" t="b">
        <v>0</v>
      </c>
      <c r="P2041" s="51" t="b">
        <v>0</v>
      </c>
      <c r="Q2041" s="51" t="b">
        <v>0</v>
      </c>
      <c r="R2041" s="51" t="b">
        <v>0</v>
      </c>
      <c r="S2041" s="51" t="b">
        <v>0</v>
      </c>
    </row>
    <row r="2042" hidden="1">
      <c r="A2042" s="4" t="str">
        <f>IFERROR(__xludf.DUMMYFUNCTION("""COMPUTED_VALUE"""),"397 - Channel 5")</f>
        <v>397 - Channel 5</v>
      </c>
      <c r="B2042" s="4" t="s">
        <v>27</v>
      </c>
      <c r="C2042" s="4"/>
      <c r="D2042" s="6"/>
      <c r="E2042" s="6"/>
      <c r="F2042" s="6"/>
      <c r="G2042" s="4"/>
      <c r="H2042" s="4"/>
      <c r="I2042" s="4"/>
      <c r="J2042" s="4"/>
      <c r="K2042" s="4"/>
      <c r="L2042" s="4"/>
      <c r="M2042" s="4"/>
      <c r="N2042" s="4"/>
      <c r="O2042" s="51" t="b">
        <v>0</v>
      </c>
      <c r="P2042" s="51" t="b">
        <v>0</v>
      </c>
      <c r="Q2042" s="51" t="b">
        <v>0</v>
      </c>
      <c r="R2042" s="51" t="b">
        <v>0</v>
      </c>
      <c r="S2042" s="51" t="b">
        <v>0</v>
      </c>
    </row>
    <row r="2043" hidden="1">
      <c r="A2043" s="4" t="str">
        <f>IFERROR(__xludf.DUMMYFUNCTION("""COMPUTED_VALUE"""),"398 - Channel 5")</f>
        <v>398 - Channel 5</v>
      </c>
      <c r="B2043" s="4" t="s">
        <v>27</v>
      </c>
      <c r="C2043" s="4"/>
      <c r="D2043" s="6"/>
      <c r="E2043" s="6"/>
      <c r="F2043" s="6"/>
      <c r="G2043" s="4"/>
      <c r="H2043" s="4"/>
      <c r="I2043" s="4"/>
      <c r="J2043" s="4"/>
      <c r="K2043" s="4"/>
      <c r="L2043" s="4"/>
      <c r="M2043" s="4"/>
      <c r="N2043" s="4"/>
      <c r="O2043" s="51" t="b">
        <v>0</v>
      </c>
      <c r="P2043" s="51" t="b">
        <v>0</v>
      </c>
      <c r="Q2043" s="51" t="b">
        <v>0</v>
      </c>
      <c r="R2043" s="51" t="b">
        <v>0</v>
      </c>
      <c r="S2043" s="51" t="b">
        <v>0</v>
      </c>
    </row>
    <row r="2044" hidden="1">
      <c r="A2044" s="4" t="str">
        <f>IFERROR(__xludf.DUMMYFUNCTION("""COMPUTED_VALUE"""),"399 - Channel 5")</f>
        <v>399 - Channel 5</v>
      </c>
      <c r="B2044" s="4" t="s">
        <v>27</v>
      </c>
      <c r="C2044" s="4"/>
      <c r="D2044" s="6"/>
      <c r="E2044" s="6"/>
      <c r="F2044" s="6"/>
      <c r="G2044" s="4"/>
      <c r="H2044" s="4"/>
      <c r="I2044" s="4"/>
      <c r="J2044" s="4"/>
      <c r="K2044" s="4"/>
      <c r="L2044" s="4"/>
      <c r="M2044" s="4"/>
      <c r="N2044" s="4"/>
      <c r="O2044" s="51" t="b">
        <v>0</v>
      </c>
      <c r="P2044" s="51" t="b">
        <v>0</v>
      </c>
      <c r="Q2044" s="51" t="b">
        <v>0</v>
      </c>
      <c r="R2044" s="51" t="b">
        <v>0</v>
      </c>
      <c r="S2044" s="51" t="b">
        <v>0</v>
      </c>
    </row>
    <row r="2045" hidden="1">
      <c r="A2045" s="4" t="str">
        <f>IFERROR(__xludf.DUMMYFUNCTION("""COMPUTED_VALUE"""),"400 - Channel 5")</f>
        <v>400 - Channel 5</v>
      </c>
      <c r="B2045" s="4" t="s">
        <v>27</v>
      </c>
      <c r="C2045" s="4"/>
      <c r="D2045" s="6"/>
      <c r="E2045" s="6"/>
      <c r="F2045" s="6"/>
      <c r="G2045" s="4"/>
      <c r="H2045" s="4"/>
      <c r="I2045" s="4"/>
      <c r="J2045" s="4"/>
      <c r="K2045" s="4"/>
      <c r="L2045" s="4"/>
      <c r="M2045" s="4"/>
      <c r="N2045" s="4"/>
      <c r="O2045" s="51" t="b">
        <v>0</v>
      </c>
      <c r="P2045" s="51" t="b">
        <v>0</v>
      </c>
      <c r="Q2045" s="51" t="b">
        <v>0</v>
      </c>
      <c r="R2045" s="51" t="b">
        <v>0</v>
      </c>
      <c r="S2045" s="51" t="b">
        <v>0</v>
      </c>
    </row>
    <row r="2046" hidden="1">
      <c r="A2046" s="4" t="str">
        <f>IFERROR(__xludf.DUMMYFUNCTION("""COMPUTED_VALUE"""),"401 - Channel 5")</f>
        <v>401 - Channel 5</v>
      </c>
      <c r="B2046" s="4" t="s">
        <v>27</v>
      </c>
      <c r="C2046" s="4"/>
      <c r="D2046" s="6"/>
      <c r="E2046" s="6"/>
      <c r="F2046" s="6"/>
      <c r="G2046" s="4"/>
      <c r="H2046" s="4"/>
      <c r="I2046" s="4"/>
      <c r="J2046" s="4"/>
      <c r="K2046" s="4"/>
      <c r="L2046" s="4"/>
      <c r="M2046" s="4"/>
      <c r="N2046" s="4"/>
      <c r="O2046" s="51" t="b">
        <v>0</v>
      </c>
      <c r="P2046" s="51" t="b">
        <v>0</v>
      </c>
      <c r="Q2046" s="51" t="b">
        <v>0</v>
      </c>
      <c r="R2046" s="51" t="b">
        <v>0</v>
      </c>
      <c r="S2046" s="51" t="b">
        <v>0</v>
      </c>
    </row>
    <row r="2047" hidden="1">
      <c r="A2047" s="4" t="str">
        <f>IFERROR(__xludf.DUMMYFUNCTION("""COMPUTED_VALUE"""),"402 - Channel 5")</f>
        <v>402 - Channel 5</v>
      </c>
      <c r="B2047" s="4" t="s">
        <v>27</v>
      </c>
      <c r="C2047" s="4"/>
      <c r="D2047" s="6"/>
      <c r="E2047" s="6"/>
      <c r="F2047" s="6"/>
      <c r="G2047" s="4"/>
      <c r="H2047" s="4"/>
      <c r="I2047" s="4"/>
      <c r="J2047" s="4"/>
      <c r="K2047" s="4"/>
      <c r="L2047" s="4"/>
      <c r="M2047" s="4"/>
      <c r="N2047" s="4"/>
      <c r="O2047" s="51" t="b">
        <v>0</v>
      </c>
      <c r="P2047" s="51" t="b">
        <v>0</v>
      </c>
      <c r="Q2047" s="51" t="b">
        <v>0</v>
      </c>
      <c r="R2047" s="51" t="b">
        <v>0</v>
      </c>
      <c r="S2047" s="51" t="b">
        <v>0</v>
      </c>
    </row>
    <row r="2048" hidden="1">
      <c r="A2048" s="4" t="str">
        <f>IFERROR(__xludf.DUMMYFUNCTION("""COMPUTED_VALUE"""),"403 - Channel 5")</f>
        <v>403 - Channel 5</v>
      </c>
      <c r="B2048" s="4" t="s">
        <v>27</v>
      </c>
      <c r="C2048" s="4"/>
      <c r="D2048" s="6"/>
      <c r="E2048" s="6"/>
      <c r="F2048" s="6"/>
      <c r="G2048" s="4"/>
      <c r="H2048" s="4"/>
      <c r="I2048" s="4"/>
      <c r="J2048" s="4"/>
      <c r="K2048" s="4"/>
      <c r="L2048" s="4"/>
      <c r="M2048" s="4"/>
      <c r="N2048" s="4"/>
      <c r="O2048" s="51" t="b">
        <v>0</v>
      </c>
      <c r="P2048" s="51" t="b">
        <v>0</v>
      </c>
      <c r="Q2048" s="51" t="b">
        <v>0</v>
      </c>
      <c r="R2048" s="51" t="b">
        <v>0</v>
      </c>
      <c r="S2048" s="51" t="b">
        <v>0</v>
      </c>
    </row>
    <row r="2049" hidden="1">
      <c r="A2049" s="4" t="str">
        <f>IFERROR(__xludf.DUMMYFUNCTION("""COMPUTED_VALUE"""),"404 - Channel 5")</f>
        <v>404 - Channel 5</v>
      </c>
      <c r="B2049" s="4" t="s">
        <v>27</v>
      </c>
      <c r="C2049" s="4"/>
      <c r="D2049" s="6"/>
      <c r="E2049" s="6"/>
      <c r="F2049" s="6"/>
      <c r="G2049" s="4"/>
      <c r="H2049" s="4"/>
      <c r="I2049" s="4"/>
      <c r="J2049" s="4"/>
      <c r="K2049" s="4"/>
      <c r="L2049" s="4"/>
      <c r="M2049" s="4"/>
      <c r="N2049" s="4"/>
      <c r="O2049" s="51" t="b">
        <v>0</v>
      </c>
      <c r="P2049" s="51" t="b">
        <v>0</v>
      </c>
      <c r="Q2049" s="51" t="b">
        <v>0</v>
      </c>
      <c r="R2049" s="51" t="b">
        <v>0</v>
      </c>
      <c r="S2049" s="51" t="b">
        <v>0</v>
      </c>
    </row>
    <row r="2050" hidden="1">
      <c r="A2050" s="4" t="str">
        <f>IFERROR(__xludf.DUMMYFUNCTION("""COMPUTED_VALUE"""),"405 - Channel 5")</f>
        <v>405 - Channel 5</v>
      </c>
      <c r="B2050" s="4" t="s">
        <v>27</v>
      </c>
      <c r="C2050" s="4"/>
      <c r="D2050" s="6"/>
      <c r="E2050" s="6"/>
      <c r="F2050" s="6"/>
      <c r="G2050" s="4"/>
      <c r="H2050" s="4"/>
      <c r="I2050" s="4"/>
      <c r="J2050" s="4"/>
      <c r="K2050" s="4"/>
      <c r="L2050" s="4"/>
      <c r="M2050" s="4"/>
      <c r="N2050" s="4"/>
      <c r="O2050" s="51" t="b">
        <v>0</v>
      </c>
      <c r="P2050" s="51" t="b">
        <v>0</v>
      </c>
      <c r="Q2050" s="51" t="b">
        <v>0</v>
      </c>
      <c r="R2050" s="51" t="b">
        <v>0</v>
      </c>
      <c r="S2050" s="51" t="b">
        <v>0</v>
      </c>
    </row>
    <row r="2051" hidden="1">
      <c r="A2051" s="4" t="str">
        <f>IFERROR(__xludf.DUMMYFUNCTION("""COMPUTED_VALUE"""),"406 - Channel 5")</f>
        <v>406 - Channel 5</v>
      </c>
      <c r="B2051" s="4" t="s">
        <v>27</v>
      </c>
      <c r="C2051" s="4"/>
      <c r="D2051" s="6"/>
      <c r="E2051" s="6"/>
      <c r="F2051" s="6"/>
      <c r="G2051" s="4"/>
      <c r="H2051" s="4"/>
      <c r="I2051" s="4"/>
      <c r="J2051" s="4"/>
      <c r="K2051" s="4"/>
      <c r="L2051" s="4"/>
      <c r="M2051" s="4"/>
      <c r="N2051" s="4"/>
      <c r="O2051" s="51" t="b">
        <v>0</v>
      </c>
      <c r="P2051" s="51" t="b">
        <v>0</v>
      </c>
      <c r="Q2051" s="51" t="b">
        <v>0</v>
      </c>
      <c r="R2051" s="51" t="b">
        <v>0</v>
      </c>
      <c r="S2051" s="51" t="b">
        <v>0</v>
      </c>
    </row>
    <row r="2052" hidden="1">
      <c r="A2052" s="4" t="str">
        <f>IFERROR(__xludf.DUMMYFUNCTION("""COMPUTED_VALUE"""),"407 - Channel 5")</f>
        <v>407 - Channel 5</v>
      </c>
      <c r="B2052" s="4" t="s">
        <v>27</v>
      </c>
      <c r="C2052" s="4"/>
      <c r="D2052" s="6"/>
      <c r="E2052" s="6"/>
      <c r="F2052" s="6"/>
      <c r="G2052" s="4"/>
      <c r="H2052" s="4"/>
      <c r="I2052" s="4"/>
      <c r="J2052" s="4"/>
      <c r="K2052" s="4"/>
      <c r="L2052" s="4"/>
      <c r="M2052" s="4"/>
      <c r="N2052" s="4"/>
      <c r="O2052" s="51" t="b">
        <v>0</v>
      </c>
      <c r="P2052" s="51" t="b">
        <v>0</v>
      </c>
      <c r="Q2052" s="51" t="b">
        <v>0</v>
      </c>
      <c r="R2052" s="51" t="b">
        <v>0</v>
      </c>
      <c r="S2052" s="51" t="b">
        <v>0</v>
      </c>
    </row>
    <row r="2053" hidden="1">
      <c r="A2053" s="4" t="str">
        <f>IFERROR(__xludf.DUMMYFUNCTION("""COMPUTED_VALUE"""),"408 - Channel 5")</f>
        <v>408 - Channel 5</v>
      </c>
      <c r="B2053" s="4" t="s">
        <v>27</v>
      </c>
      <c r="C2053" s="4"/>
      <c r="D2053" s="6"/>
      <c r="E2053" s="6"/>
      <c r="F2053" s="6"/>
      <c r="G2053" s="4"/>
      <c r="H2053" s="4"/>
      <c r="I2053" s="4"/>
      <c r="J2053" s="4"/>
      <c r="K2053" s="4"/>
      <c r="L2053" s="4"/>
      <c r="M2053" s="4"/>
      <c r="N2053" s="4"/>
      <c r="O2053" s="51" t="b">
        <v>0</v>
      </c>
      <c r="P2053" s="51" t="b">
        <v>0</v>
      </c>
      <c r="Q2053" s="51" t="b">
        <v>0</v>
      </c>
      <c r="R2053" s="51" t="b">
        <v>0</v>
      </c>
      <c r="S2053" s="51" t="b">
        <v>0</v>
      </c>
    </row>
    <row r="2054" hidden="1">
      <c r="A2054" s="4" t="str">
        <f>IFERROR(__xludf.DUMMYFUNCTION("""COMPUTED_VALUE"""),"409 - Channel 5")</f>
        <v>409 - Channel 5</v>
      </c>
      <c r="B2054" s="4" t="s">
        <v>27</v>
      </c>
      <c r="C2054" s="4"/>
      <c r="D2054" s="6"/>
      <c r="E2054" s="6"/>
      <c r="F2054" s="6"/>
      <c r="G2054" s="4"/>
      <c r="H2054" s="4"/>
      <c r="I2054" s="4"/>
      <c r="J2054" s="4"/>
      <c r="K2054" s="4"/>
      <c r="L2054" s="4"/>
      <c r="M2054" s="4"/>
      <c r="N2054" s="4"/>
      <c r="O2054" s="51" t="b">
        <v>0</v>
      </c>
      <c r="P2054" s="51" t="b">
        <v>0</v>
      </c>
      <c r="Q2054" s="51" t="b">
        <v>0</v>
      </c>
      <c r="R2054" s="51" t="b">
        <v>0</v>
      </c>
      <c r="S2054" s="51" t="b">
        <v>0</v>
      </c>
    </row>
    <row r="2055" hidden="1">
      <c r="A2055" s="4" t="str">
        <f>IFERROR(__xludf.DUMMYFUNCTION("""COMPUTED_VALUE"""),"410 - Channel 5")</f>
        <v>410 - Channel 5</v>
      </c>
      <c r="B2055" s="4" t="s">
        <v>27</v>
      </c>
      <c r="C2055" s="4"/>
      <c r="D2055" s="6"/>
      <c r="E2055" s="6"/>
      <c r="F2055" s="6"/>
      <c r="G2055" s="4"/>
      <c r="H2055" s="4"/>
      <c r="I2055" s="4"/>
      <c r="J2055" s="4"/>
      <c r="K2055" s="4"/>
      <c r="L2055" s="4"/>
      <c r="M2055" s="4"/>
      <c r="N2055" s="4"/>
      <c r="O2055" s="51" t="b">
        <v>0</v>
      </c>
      <c r="P2055" s="51" t="b">
        <v>0</v>
      </c>
      <c r="Q2055" s="51" t="b">
        <v>0</v>
      </c>
      <c r="R2055" s="51" t="b">
        <v>0</v>
      </c>
      <c r="S2055" s="51" t="b">
        <v>0</v>
      </c>
    </row>
    <row r="2056" hidden="1">
      <c r="A2056" s="4" t="str">
        <f>IFERROR(__xludf.DUMMYFUNCTION("""COMPUTED_VALUE"""),"411 - Channel 5")</f>
        <v>411 - Channel 5</v>
      </c>
      <c r="B2056" s="4" t="s">
        <v>27</v>
      </c>
      <c r="C2056" s="4"/>
      <c r="D2056" s="6"/>
      <c r="E2056" s="6"/>
      <c r="F2056" s="6"/>
      <c r="G2056" s="4"/>
      <c r="H2056" s="4"/>
      <c r="I2056" s="4"/>
      <c r="J2056" s="4"/>
      <c r="K2056" s="4"/>
      <c r="L2056" s="4"/>
      <c r="M2056" s="4"/>
      <c r="N2056" s="4"/>
      <c r="O2056" s="51" t="b">
        <v>0</v>
      </c>
      <c r="P2056" s="51" t="b">
        <v>0</v>
      </c>
      <c r="Q2056" s="51" t="b">
        <v>0</v>
      </c>
      <c r="R2056" s="51" t="b">
        <v>0</v>
      </c>
      <c r="S2056" s="51" t="b">
        <v>0</v>
      </c>
    </row>
    <row r="2057" hidden="1">
      <c r="A2057" s="4" t="str">
        <f>IFERROR(__xludf.DUMMYFUNCTION("""COMPUTED_VALUE"""),"412 - Channel 5")</f>
        <v>412 - Channel 5</v>
      </c>
      <c r="B2057" s="4" t="s">
        <v>27</v>
      </c>
      <c r="C2057" s="4"/>
      <c r="D2057" s="6"/>
      <c r="E2057" s="6"/>
      <c r="F2057" s="6"/>
      <c r="G2057" s="4"/>
      <c r="H2057" s="4"/>
      <c r="I2057" s="4"/>
      <c r="J2057" s="4"/>
      <c r="K2057" s="4"/>
      <c r="L2057" s="4"/>
      <c r="M2057" s="4"/>
      <c r="N2057" s="4"/>
      <c r="O2057" s="51" t="b">
        <v>0</v>
      </c>
      <c r="P2057" s="51" t="b">
        <v>0</v>
      </c>
      <c r="Q2057" s="51" t="b">
        <v>0</v>
      </c>
      <c r="R2057" s="51" t="b">
        <v>0</v>
      </c>
      <c r="S2057" s="51" t="b">
        <v>0</v>
      </c>
    </row>
    <row r="2058" hidden="1">
      <c r="A2058" s="4" t="str">
        <f>IFERROR(__xludf.DUMMYFUNCTION("""COMPUTED_VALUE"""),"413 - Channel 5")</f>
        <v>413 - Channel 5</v>
      </c>
      <c r="B2058" s="4" t="s">
        <v>27</v>
      </c>
      <c r="C2058" s="4"/>
      <c r="D2058" s="6"/>
      <c r="E2058" s="6"/>
      <c r="F2058" s="6"/>
      <c r="G2058" s="4"/>
      <c r="H2058" s="4"/>
      <c r="I2058" s="4"/>
      <c r="J2058" s="4"/>
      <c r="K2058" s="4"/>
      <c r="L2058" s="4"/>
      <c r="M2058" s="4"/>
      <c r="N2058" s="4"/>
      <c r="O2058" s="51" t="b">
        <v>0</v>
      </c>
      <c r="P2058" s="51" t="b">
        <v>0</v>
      </c>
      <c r="Q2058" s="51" t="b">
        <v>0</v>
      </c>
      <c r="R2058" s="51" t="b">
        <v>0</v>
      </c>
      <c r="S2058" s="51" t="b">
        <v>0</v>
      </c>
    </row>
    <row r="2059" hidden="1">
      <c r="A2059" s="4" t="str">
        <f>IFERROR(__xludf.DUMMYFUNCTION("""COMPUTED_VALUE"""),"414 - Channel 5")</f>
        <v>414 - Channel 5</v>
      </c>
      <c r="B2059" s="4" t="s">
        <v>27</v>
      </c>
      <c r="C2059" s="4"/>
      <c r="D2059" s="6"/>
      <c r="E2059" s="6"/>
      <c r="F2059" s="6"/>
      <c r="G2059" s="4"/>
      <c r="H2059" s="4"/>
      <c r="I2059" s="4"/>
      <c r="J2059" s="4"/>
      <c r="K2059" s="4"/>
      <c r="L2059" s="4"/>
      <c r="M2059" s="4"/>
      <c r="N2059" s="4"/>
      <c r="O2059" s="51" t="b">
        <v>0</v>
      </c>
      <c r="P2059" s="51" t="b">
        <v>0</v>
      </c>
      <c r="Q2059" s="51" t="b">
        <v>0</v>
      </c>
      <c r="R2059" s="51" t="b">
        <v>0</v>
      </c>
      <c r="S2059" s="51" t="b">
        <v>0</v>
      </c>
    </row>
    <row r="2060" hidden="1">
      <c r="A2060" s="4" t="str">
        <f>IFERROR(__xludf.DUMMYFUNCTION("""COMPUTED_VALUE"""),"415 - Channel 5")</f>
        <v>415 - Channel 5</v>
      </c>
      <c r="B2060" s="4" t="s">
        <v>27</v>
      </c>
      <c r="C2060" s="4"/>
      <c r="D2060" s="6"/>
      <c r="E2060" s="6"/>
      <c r="F2060" s="6"/>
      <c r="G2060" s="4"/>
      <c r="H2060" s="4"/>
      <c r="I2060" s="4"/>
      <c r="J2060" s="4"/>
      <c r="K2060" s="4"/>
      <c r="L2060" s="4"/>
      <c r="M2060" s="4"/>
      <c r="N2060" s="4"/>
      <c r="O2060" s="51" t="b">
        <v>0</v>
      </c>
      <c r="P2060" s="51" t="b">
        <v>0</v>
      </c>
      <c r="Q2060" s="51" t="b">
        <v>0</v>
      </c>
      <c r="R2060" s="51" t="b">
        <v>0</v>
      </c>
      <c r="S2060" s="51" t="b">
        <v>0</v>
      </c>
    </row>
    <row r="2061" hidden="1">
      <c r="A2061" s="4" t="str">
        <f>IFERROR(__xludf.DUMMYFUNCTION("""COMPUTED_VALUE"""),"416 - Channel 5")</f>
        <v>416 - Channel 5</v>
      </c>
      <c r="B2061" s="4" t="s">
        <v>27</v>
      </c>
      <c r="C2061" s="4"/>
      <c r="D2061" s="6"/>
      <c r="E2061" s="6"/>
      <c r="F2061" s="6"/>
      <c r="G2061" s="4"/>
      <c r="H2061" s="4"/>
      <c r="I2061" s="4"/>
      <c r="J2061" s="4"/>
      <c r="K2061" s="4"/>
      <c r="L2061" s="4"/>
      <c r="M2061" s="4"/>
      <c r="N2061" s="4"/>
      <c r="O2061" s="51" t="b">
        <v>0</v>
      </c>
      <c r="P2061" s="51" t="b">
        <v>0</v>
      </c>
      <c r="Q2061" s="51" t="b">
        <v>0</v>
      </c>
      <c r="R2061" s="51" t="b">
        <v>0</v>
      </c>
      <c r="S2061" s="51" t="b">
        <v>0</v>
      </c>
    </row>
    <row r="2062" hidden="1">
      <c r="A2062" s="4" t="str">
        <f>IFERROR(__xludf.DUMMYFUNCTION("""COMPUTED_VALUE"""),"417 - Channel 5")</f>
        <v>417 - Channel 5</v>
      </c>
      <c r="B2062" s="4" t="s">
        <v>27</v>
      </c>
      <c r="C2062" s="4"/>
      <c r="D2062" s="6"/>
      <c r="E2062" s="6"/>
      <c r="F2062" s="6"/>
      <c r="G2062" s="4"/>
      <c r="H2062" s="4"/>
      <c r="I2062" s="4"/>
      <c r="J2062" s="4"/>
      <c r="K2062" s="4"/>
      <c r="L2062" s="4"/>
      <c r="M2062" s="4"/>
      <c r="N2062" s="4"/>
      <c r="O2062" s="51" t="b">
        <v>0</v>
      </c>
      <c r="P2062" s="51" t="b">
        <v>0</v>
      </c>
      <c r="Q2062" s="51" t="b">
        <v>0</v>
      </c>
      <c r="R2062" s="51" t="b">
        <v>0</v>
      </c>
      <c r="S2062" s="51" t="b">
        <v>0</v>
      </c>
    </row>
    <row r="2063" hidden="1">
      <c r="A2063" s="4" t="str">
        <f>IFERROR(__xludf.DUMMYFUNCTION("""COMPUTED_VALUE"""),"418 - Channel 5")</f>
        <v>418 - Channel 5</v>
      </c>
      <c r="B2063" s="4" t="s">
        <v>27</v>
      </c>
      <c r="C2063" s="4"/>
      <c r="D2063" s="6"/>
      <c r="E2063" s="6"/>
      <c r="F2063" s="6"/>
      <c r="G2063" s="4"/>
      <c r="H2063" s="4"/>
      <c r="I2063" s="4"/>
      <c r="J2063" s="4"/>
      <c r="K2063" s="4"/>
      <c r="L2063" s="4"/>
      <c r="M2063" s="4"/>
      <c r="N2063" s="4"/>
      <c r="O2063" s="51" t="b">
        <v>0</v>
      </c>
      <c r="P2063" s="51" t="b">
        <v>0</v>
      </c>
      <c r="Q2063" s="51" t="b">
        <v>0</v>
      </c>
      <c r="R2063" s="51" t="b">
        <v>0</v>
      </c>
      <c r="S2063" s="51" t="b">
        <v>0</v>
      </c>
    </row>
    <row r="2064" hidden="1">
      <c r="A2064" s="4" t="str">
        <f>IFERROR(__xludf.DUMMYFUNCTION("""COMPUTED_VALUE"""),"419 - Channel 5")</f>
        <v>419 - Channel 5</v>
      </c>
      <c r="B2064" s="4" t="s">
        <v>27</v>
      </c>
      <c r="C2064" s="4"/>
      <c r="D2064" s="6"/>
      <c r="E2064" s="6"/>
      <c r="F2064" s="6"/>
      <c r="G2064" s="4"/>
      <c r="H2064" s="4"/>
      <c r="I2064" s="4"/>
      <c r="J2064" s="4"/>
      <c r="K2064" s="4"/>
      <c r="L2064" s="4"/>
      <c r="M2064" s="4"/>
      <c r="N2064" s="4"/>
      <c r="O2064" s="51" t="b">
        <v>0</v>
      </c>
      <c r="P2064" s="51" t="b">
        <v>0</v>
      </c>
      <c r="Q2064" s="51" t="b">
        <v>0</v>
      </c>
      <c r="R2064" s="51" t="b">
        <v>0</v>
      </c>
      <c r="S2064" s="51" t="b">
        <v>0</v>
      </c>
    </row>
    <row r="2065" hidden="1">
      <c r="A2065" s="4" t="str">
        <f>IFERROR(__xludf.DUMMYFUNCTION("""COMPUTED_VALUE"""),"420 - Channel 5")</f>
        <v>420 - Channel 5</v>
      </c>
      <c r="B2065" s="4" t="s">
        <v>27</v>
      </c>
      <c r="C2065" s="4"/>
      <c r="D2065" s="6"/>
      <c r="E2065" s="6"/>
      <c r="F2065" s="6"/>
      <c r="G2065" s="4"/>
      <c r="H2065" s="4"/>
      <c r="I2065" s="4"/>
      <c r="J2065" s="4"/>
      <c r="K2065" s="4"/>
      <c r="L2065" s="4"/>
      <c r="M2065" s="4"/>
      <c r="N2065" s="4"/>
      <c r="O2065" s="51" t="b">
        <v>0</v>
      </c>
      <c r="P2065" s="51" t="b">
        <v>0</v>
      </c>
      <c r="Q2065" s="51" t="b">
        <v>0</v>
      </c>
      <c r="R2065" s="51" t="b">
        <v>0</v>
      </c>
      <c r="S2065" s="51" t="b">
        <v>0</v>
      </c>
    </row>
    <row r="2066" hidden="1">
      <c r="A2066" s="4" t="str">
        <f>IFERROR(__xludf.DUMMYFUNCTION("""COMPUTED_VALUE"""),"421 - Channel 5")</f>
        <v>421 - Channel 5</v>
      </c>
      <c r="B2066" s="4" t="s">
        <v>27</v>
      </c>
      <c r="C2066" s="4"/>
      <c r="D2066" s="6"/>
      <c r="E2066" s="6"/>
      <c r="F2066" s="6"/>
      <c r="G2066" s="4"/>
      <c r="H2066" s="4"/>
      <c r="I2066" s="4"/>
      <c r="J2066" s="4"/>
      <c r="K2066" s="4"/>
      <c r="L2066" s="4"/>
      <c r="M2066" s="4"/>
      <c r="N2066" s="4"/>
      <c r="O2066" s="51" t="b">
        <v>0</v>
      </c>
      <c r="P2066" s="51" t="b">
        <v>0</v>
      </c>
      <c r="Q2066" s="51" t="b">
        <v>0</v>
      </c>
      <c r="R2066" s="51" t="b">
        <v>0</v>
      </c>
      <c r="S2066" s="51" t="b">
        <v>0</v>
      </c>
    </row>
    <row r="2067" hidden="1">
      <c r="A2067" s="4" t="str">
        <f>IFERROR(__xludf.DUMMYFUNCTION("""COMPUTED_VALUE"""),"422 - Channel 5")</f>
        <v>422 - Channel 5</v>
      </c>
      <c r="B2067" s="4" t="s">
        <v>27</v>
      </c>
      <c r="C2067" s="4"/>
      <c r="D2067" s="6"/>
      <c r="E2067" s="6"/>
      <c r="F2067" s="6"/>
      <c r="G2067" s="4"/>
      <c r="H2067" s="4"/>
      <c r="I2067" s="4"/>
      <c r="J2067" s="4"/>
      <c r="K2067" s="4"/>
      <c r="L2067" s="4"/>
      <c r="M2067" s="4"/>
      <c r="N2067" s="4"/>
      <c r="O2067" s="51" t="b">
        <v>0</v>
      </c>
      <c r="P2067" s="51" t="b">
        <v>0</v>
      </c>
      <c r="Q2067" s="51" t="b">
        <v>0</v>
      </c>
      <c r="R2067" s="51" t="b">
        <v>0</v>
      </c>
      <c r="S2067" s="51" t="b">
        <v>0</v>
      </c>
    </row>
    <row r="2068" hidden="1">
      <c r="A2068" s="4" t="str">
        <f>IFERROR(__xludf.DUMMYFUNCTION("""COMPUTED_VALUE"""),"423 - Channel 5")</f>
        <v>423 - Channel 5</v>
      </c>
      <c r="B2068" s="4" t="s">
        <v>27</v>
      </c>
      <c r="C2068" s="4"/>
      <c r="D2068" s="6"/>
      <c r="E2068" s="6"/>
      <c r="F2068" s="6"/>
      <c r="G2068" s="4"/>
      <c r="H2068" s="4"/>
      <c r="I2068" s="4"/>
      <c r="J2068" s="4"/>
      <c r="K2068" s="4"/>
      <c r="L2068" s="4"/>
      <c r="M2068" s="4"/>
      <c r="N2068" s="4"/>
      <c r="O2068" s="51" t="b">
        <v>0</v>
      </c>
      <c r="P2068" s="51" t="b">
        <v>0</v>
      </c>
      <c r="Q2068" s="51" t="b">
        <v>0</v>
      </c>
      <c r="R2068" s="51" t="b">
        <v>0</v>
      </c>
      <c r="S2068" s="51" t="b">
        <v>0</v>
      </c>
    </row>
    <row r="2069" hidden="1">
      <c r="A2069" s="4" t="str">
        <f>IFERROR(__xludf.DUMMYFUNCTION("""COMPUTED_VALUE"""),"424 - Channel 5")</f>
        <v>424 - Channel 5</v>
      </c>
      <c r="B2069" s="4" t="s">
        <v>27</v>
      </c>
      <c r="C2069" s="4"/>
      <c r="D2069" s="6"/>
      <c r="E2069" s="6"/>
      <c r="F2069" s="6"/>
      <c r="G2069" s="4"/>
      <c r="H2069" s="4"/>
      <c r="I2069" s="4"/>
      <c r="J2069" s="4"/>
      <c r="K2069" s="4"/>
      <c r="L2069" s="4"/>
      <c r="M2069" s="4"/>
      <c r="N2069" s="4"/>
      <c r="O2069" s="51" t="b">
        <v>0</v>
      </c>
      <c r="P2069" s="51" t="b">
        <v>0</v>
      </c>
      <c r="Q2069" s="51" t="b">
        <v>0</v>
      </c>
      <c r="R2069" s="51" t="b">
        <v>0</v>
      </c>
      <c r="S2069" s="51" t="b">
        <v>0</v>
      </c>
    </row>
    <row r="2070" hidden="1">
      <c r="A2070" s="4" t="str">
        <f>IFERROR(__xludf.DUMMYFUNCTION("""COMPUTED_VALUE"""),"425 - Channel 5")</f>
        <v>425 - Channel 5</v>
      </c>
      <c r="B2070" s="4" t="s">
        <v>27</v>
      </c>
      <c r="C2070" s="4"/>
      <c r="D2070" s="6"/>
      <c r="E2070" s="6"/>
      <c r="F2070" s="6"/>
      <c r="G2070" s="4"/>
      <c r="H2070" s="4"/>
      <c r="I2070" s="4"/>
      <c r="J2070" s="4"/>
      <c r="K2070" s="4"/>
      <c r="L2070" s="4"/>
      <c r="M2070" s="4"/>
      <c r="N2070" s="4"/>
      <c r="O2070" s="51" t="b">
        <v>0</v>
      </c>
      <c r="P2070" s="51" t="b">
        <v>0</v>
      </c>
      <c r="Q2070" s="51" t="b">
        <v>0</v>
      </c>
      <c r="R2070" s="51" t="b">
        <v>0</v>
      </c>
      <c r="S2070" s="51" t="b">
        <v>0</v>
      </c>
    </row>
    <row r="2071" hidden="1">
      <c r="A2071" s="4" t="str">
        <f>IFERROR(__xludf.DUMMYFUNCTION("""COMPUTED_VALUE"""),"426 - Channel 5")</f>
        <v>426 - Channel 5</v>
      </c>
      <c r="B2071" s="4" t="s">
        <v>27</v>
      </c>
      <c r="C2071" s="4"/>
      <c r="D2071" s="6"/>
      <c r="E2071" s="6"/>
      <c r="F2071" s="6"/>
      <c r="G2071" s="4"/>
      <c r="H2071" s="4"/>
      <c r="I2071" s="4"/>
      <c r="J2071" s="4"/>
      <c r="K2071" s="4"/>
      <c r="L2071" s="4"/>
      <c r="M2071" s="4"/>
      <c r="N2071" s="4"/>
      <c r="O2071" s="51" t="b">
        <v>0</v>
      </c>
      <c r="P2071" s="51" t="b">
        <v>0</v>
      </c>
      <c r="Q2071" s="51" t="b">
        <v>0</v>
      </c>
      <c r="R2071" s="51" t="b">
        <v>0</v>
      </c>
      <c r="S2071" s="51" t="b">
        <v>0</v>
      </c>
    </row>
    <row r="2072" hidden="1">
      <c r="A2072" s="4" t="str">
        <f>IFERROR(__xludf.DUMMYFUNCTION("""COMPUTED_VALUE"""),"427 - Channel 5")</f>
        <v>427 - Channel 5</v>
      </c>
      <c r="B2072" s="4" t="s">
        <v>27</v>
      </c>
      <c r="C2072" s="4"/>
      <c r="D2072" s="6"/>
      <c r="E2072" s="6"/>
      <c r="F2072" s="6"/>
      <c r="G2072" s="4"/>
      <c r="H2072" s="4"/>
      <c r="I2072" s="4"/>
      <c r="J2072" s="4"/>
      <c r="K2072" s="4"/>
      <c r="L2072" s="4"/>
      <c r="M2072" s="4"/>
      <c r="N2072" s="4"/>
      <c r="O2072" s="51" t="b">
        <v>0</v>
      </c>
      <c r="P2072" s="51" t="b">
        <v>0</v>
      </c>
      <c r="Q2072" s="51" t="b">
        <v>0</v>
      </c>
      <c r="R2072" s="51" t="b">
        <v>0</v>
      </c>
      <c r="S2072" s="51" t="b">
        <v>0</v>
      </c>
    </row>
    <row r="2073" hidden="1">
      <c r="A2073" s="4" t="str">
        <f>IFERROR(__xludf.DUMMYFUNCTION("""COMPUTED_VALUE"""),"428 - Channel 5")</f>
        <v>428 - Channel 5</v>
      </c>
      <c r="B2073" s="4" t="s">
        <v>27</v>
      </c>
      <c r="C2073" s="4"/>
      <c r="D2073" s="6"/>
      <c r="E2073" s="6"/>
      <c r="F2073" s="6"/>
      <c r="G2073" s="4"/>
      <c r="H2073" s="4"/>
      <c r="I2073" s="4"/>
      <c r="J2073" s="4"/>
      <c r="K2073" s="4"/>
      <c r="L2073" s="4"/>
      <c r="M2073" s="4"/>
      <c r="N2073" s="4"/>
      <c r="O2073" s="51" t="b">
        <v>0</v>
      </c>
      <c r="P2073" s="51" t="b">
        <v>0</v>
      </c>
      <c r="Q2073" s="51" t="b">
        <v>0</v>
      </c>
      <c r="R2073" s="51" t="b">
        <v>0</v>
      </c>
      <c r="S2073" s="51" t="b">
        <v>0</v>
      </c>
    </row>
    <row r="2074" hidden="1">
      <c r="A2074" s="4" t="str">
        <f>IFERROR(__xludf.DUMMYFUNCTION("""COMPUTED_VALUE"""),"429 - Channel 5")</f>
        <v>429 - Channel 5</v>
      </c>
      <c r="B2074" s="4" t="s">
        <v>27</v>
      </c>
      <c r="C2074" s="4"/>
      <c r="D2074" s="6"/>
      <c r="E2074" s="6"/>
      <c r="F2074" s="6"/>
      <c r="G2074" s="4"/>
      <c r="H2074" s="4"/>
      <c r="I2074" s="4"/>
      <c r="J2074" s="4"/>
      <c r="K2074" s="4"/>
      <c r="L2074" s="4"/>
      <c r="M2074" s="4"/>
      <c r="N2074" s="4"/>
      <c r="O2074" s="51" t="b">
        <v>0</v>
      </c>
      <c r="P2074" s="51" t="b">
        <v>0</v>
      </c>
      <c r="Q2074" s="51" t="b">
        <v>0</v>
      </c>
      <c r="R2074" s="51" t="b">
        <v>0</v>
      </c>
      <c r="S2074" s="51" t="b">
        <v>0</v>
      </c>
    </row>
    <row r="2075" hidden="1">
      <c r="A2075" s="4" t="str">
        <f>IFERROR(__xludf.DUMMYFUNCTION("""COMPUTED_VALUE"""),"430 - Channel 5")</f>
        <v>430 - Channel 5</v>
      </c>
      <c r="B2075" s="4" t="s">
        <v>27</v>
      </c>
      <c r="C2075" s="4"/>
      <c r="D2075" s="6"/>
      <c r="E2075" s="6"/>
      <c r="F2075" s="6"/>
      <c r="G2075" s="4"/>
      <c r="H2075" s="4"/>
      <c r="I2075" s="4"/>
      <c r="J2075" s="4"/>
      <c r="K2075" s="4"/>
      <c r="L2075" s="4"/>
      <c r="M2075" s="4"/>
      <c r="N2075" s="4"/>
      <c r="O2075" s="51" t="b">
        <v>0</v>
      </c>
      <c r="P2075" s="51" t="b">
        <v>0</v>
      </c>
      <c r="Q2075" s="51" t="b">
        <v>0</v>
      </c>
      <c r="R2075" s="51" t="b">
        <v>0</v>
      </c>
      <c r="S2075" s="51" t="b">
        <v>0</v>
      </c>
    </row>
    <row r="2076" hidden="1">
      <c r="A2076" s="4" t="str">
        <f>IFERROR(__xludf.DUMMYFUNCTION("""COMPUTED_VALUE"""),"431 - Channel 5")</f>
        <v>431 - Channel 5</v>
      </c>
      <c r="B2076" s="4" t="s">
        <v>27</v>
      </c>
      <c r="C2076" s="4"/>
      <c r="D2076" s="6"/>
      <c r="E2076" s="6"/>
      <c r="F2076" s="6"/>
      <c r="G2076" s="4"/>
      <c r="H2076" s="4"/>
      <c r="I2076" s="4"/>
      <c r="J2076" s="4"/>
      <c r="K2076" s="4"/>
      <c r="L2076" s="4"/>
      <c r="M2076" s="4"/>
      <c r="N2076" s="4"/>
      <c r="O2076" s="51" t="b">
        <v>0</v>
      </c>
      <c r="P2076" s="51" t="b">
        <v>0</v>
      </c>
      <c r="Q2076" s="51" t="b">
        <v>0</v>
      </c>
      <c r="R2076" s="51" t="b">
        <v>0</v>
      </c>
      <c r="S2076" s="51" t="b">
        <v>0</v>
      </c>
    </row>
    <row r="2077" hidden="1">
      <c r="A2077" s="4" t="str">
        <f>IFERROR(__xludf.DUMMYFUNCTION("""COMPUTED_VALUE"""),"432 - Channel 5")</f>
        <v>432 - Channel 5</v>
      </c>
      <c r="B2077" s="4" t="s">
        <v>27</v>
      </c>
      <c r="C2077" s="4"/>
      <c r="D2077" s="6"/>
      <c r="E2077" s="6"/>
      <c r="F2077" s="6"/>
      <c r="G2077" s="4"/>
      <c r="H2077" s="4"/>
      <c r="I2077" s="4"/>
      <c r="J2077" s="4"/>
      <c r="K2077" s="4"/>
      <c r="L2077" s="4"/>
      <c r="M2077" s="4"/>
      <c r="N2077" s="4"/>
      <c r="O2077" s="51" t="b">
        <v>0</v>
      </c>
      <c r="P2077" s="51" t="b">
        <v>0</v>
      </c>
      <c r="Q2077" s="51" t="b">
        <v>0</v>
      </c>
      <c r="R2077" s="51" t="b">
        <v>0</v>
      </c>
      <c r="S2077" s="51" t="b">
        <v>0</v>
      </c>
    </row>
    <row r="2078" hidden="1">
      <c r="A2078" s="4" t="str">
        <f>IFERROR(__xludf.DUMMYFUNCTION("""COMPUTED_VALUE"""),"433 - Channel 5")</f>
        <v>433 - Channel 5</v>
      </c>
      <c r="B2078" s="4" t="s">
        <v>27</v>
      </c>
      <c r="C2078" s="4"/>
      <c r="D2078" s="6"/>
      <c r="E2078" s="6"/>
      <c r="F2078" s="6"/>
      <c r="G2078" s="4"/>
      <c r="H2078" s="4"/>
      <c r="I2078" s="4"/>
      <c r="J2078" s="4"/>
      <c r="K2078" s="4"/>
      <c r="L2078" s="4"/>
      <c r="M2078" s="4"/>
      <c r="N2078" s="4"/>
      <c r="O2078" s="51" t="b">
        <v>0</v>
      </c>
      <c r="P2078" s="51" t="b">
        <v>0</v>
      </c>
      <c r="Q2078" s="51" t="b">
        <v>0</v>
      </c>
      <c r="R2078" s="51" t="b">
        <v>0</v>
      </c>
      <c r="S2078" s="51" t="b">
        <v>0</v>
      </c>
    </row>
    <row r="2079" hidden="1">
      <c r="A2079" s="4" t="str">
        <f>IFERROR(__xludf.DUMMYFUNCTION("""COMPUTED_VALUE"""),"434 - Channel 5")</f>
        <v>434 - Channel 5</v>
      </c>
      <c r="B2079" s="4" t="s">
        <v>27</v>
      </c>
      <c r="C2079" s="4"/>
      <c r="D2079" s="6"/>
      <c r="E2079" s="6"/>
      <c r="F2079" s="6"/>
      <c r="G2079" s="4"/>
      <c r="H2079" s="4"/>
      <c r="I2079" s="4"/>
      <c r="J2079" s="4"/>
      <c r="K2079" s="4"/>
      <c r="L2079" s="4"/>
      <c r="M2079" s="4"/>
      <c r="N2079" s="4"/>
      <c r="O2079" s="51" t="b">
        <v>0</v>
      </c>
      <c r="P2079" s="51" t="b">
        <v>0</v>
      </c>
      <c r="Q2079" s="51" t="b">
        <v>0</v>
      </c>
      <c r="R2079" s="51" t="b">
        <v>0</v>
      </c>
      <c r="S2079" s="51" t="b">
        <v>0</v>
      </c>
    </row>
    <row r="2080" hidden="1">
      <c r="A2080" s="4" t="str">
        <f>IFERROR(__xludf.DUMMYFUNCTION("""COMPUTED_VALUE"""),"435 - Channel 5")</f>
        <v>435 - Channel 5</v>
      </c>
      <c r="B2080" s="4" t="s">
        <v>27</v>
      </c>
      <c r="C2080" s="4"/>
      <c r="D2080" s="6"/>
      <c r="E2080" s="6"/>
      <c r="F2080" s="6"/>
      <c r="G2080" s="4"/>
      <c r="H2080" s="4"/>
      <c r="I2080" s="4"/>
      <c r="J2080" s="4"/>
      <c r="K2080" s="4"/>
      <c r="L2080" s="4"/>
      <c r="M2080" s="4"/>
      <c r="N2080" s="4"/>
      <c r="O2080" s="51" t="b">
        <v>0</v>
      </c>
      <c r="P2080" s="51" t="b">
        <v>0</v>
      </c>
      <c r="Q2080" s="51" t="b">
        <v>0</v>
      </c>
      <c r="R2080" s="51" t="b">
        <v>0</v>
      </c>
      <c r="S2080" s="51" t="b">
        <v>0</v>
      </c>
    </row>
    <row r="2081" hidden="1">
      <c r="A2081" s="4" t="str">
        <f>IFERROR(__xludf.DUMMYFUNCTION("""COMPUTED_VALUE"""),"436 - Channel 5")</f>
        <v>436 - Channel 5</v>
      </c>
      <c r="B2081" s="4" t="s">
        <v>27</v>
      </c>
      <c r="C2081" s="4"/>
      <c r="D2081" s="6"/>
      <c r="E2081" s="6"/>
      <c r="F2081" s="6"/>
      <c r="G2081" s="4"/>
      <c r="H2081" s="4"/>
      <c r="I2081" s="4"/>
      <c r="J2081" s="4"/>
      <c r="K2081" s="4"/>
      <c r="L2081" s="4"/>
      <c r="M2081" s="4"/>
      <c r="N2081" s="4"/>
      <c r="O2081" s="51" t="b">
        <v>0</v>
      </c>
      <c r="P2081" s="51" t="b">
        <v>0</v>
      </c>
      <c r="Q2081" s="51" t="b">
        <v>0</v>
      </c>
      <c r="R2081" s="51" t="b">
        <v>0</v>
      </c>
      <c r="S2081" s="51" t="b">
        <v>0</v>
      </c>
    </row>
    <row r="2082" hidden="1">
      <c r="A2082" s="4" t="str">
        <f>IFERROR(__xludf.DUMMYFUNCTION("""COMPUTED_VALUE"""),"437 - Channel 5")</f>
        <v>437 - Channel 5</v>
      </c>
      <c r="B2082" s="4" t="s">
        <v>27</v>
      </c>
      <c r="C2082" s="4"/>
      <c r="D2082" s="6"/>
      <c r="E2082" s="6"/>
      <c r="F2082" s="6"/>
      <c r="G2082" s="4"/>
      <c r="H2082" s="4"/>
      <c r="I2082" s="4"/>
      <c r="J2082" s="4"/>
      <c r="K2082" s="4"/>
      <c r="L2082" s="4"/>
      <c r="M2082" s="4"/>
      <c r="N2082" s="4"/>
      <c r="O2082" s="51" t="b">
        <v>0</v>
      </c>
      <c r="P2082" s="51" t="b">
        <v>0</v>
      </c>
      <c r="Q2082" s="51" t="b">
        <v>0</v>
      </c>
      <c r="R2082" s="51" t="b">
        <v>0</v>
      </c>
      <c r="S2082" s="51" t="b">
        <v>0</v>
      </c>
    </row>
    <row r="2083" hidden="1">
      <c r="A2083" s="4" t="str">
        <f>IFERROR(__xludf.DUMMYFUNCTION("""COMPUTED_VALUE"""),"438 - Channel 5")</f>
        <v>438 - Channel 5</v>
      </c>
      <c r="B2083" s="4" t="s">
        <v>27</v>
      </c>
      <c r="C2083" s="4"/>
      <c r="D2083" s="6"/>
      <c r="E2083" s="6"/>
      <c r="F2083" s="6"/>
      <c r="G2083" s="4"/>
      <c r="H2083" s="4"/>
      <c r="I2083" s="4"/>
      <c r="J2083" s="4"/>
      <c r="K2083" s="4"/>
      <c r="L2083" s="4"/>
      <c r="M2083" s="4"/>
      <c r="N2083" s="4"/>
      <c r="O2083" s="51" t="b">
        <v>0</v>
      </c>
      <c r="P2083" s="51" t="b">
        <v>0</v>
      </c>
      <c r="Q2083" s="51" t="b">
        <v>0</v>
      </c>
      <c r="R2083" s="51" t="b">
        <v>0</v>
      </c>
      <c r="S2083" s="51" t="b">
        <v>0</v>
      </c>
    </row>
    <row r="2084" hidden="1">
      <c r="A2084" s="4" t="str">
        <f>IFERROR(__xludf.DUMMYFUNCTION("""COMPUTED_VALUE"""),"439 - Channel 5")</f>
        <v>439 - Channel 5</v>
      </c>
      <c r="B2084" s="4" t="s">
        <v>27</v>
      </c>
      <c r="C2084" s="4"/>
      <c r="D2084" s="6"/>
      <c r="E2084" s="6"/>
      <c r="F2084" s="6"/>
      <c r="G2084" s="4"/>
      <c r="H2084" s="4"/>
      <c r="I2084" s="4"/>
      <c r="J2084" s="4"/>
      <c r="K2084" s="4"/>
      <c r="L2084" s="4"/>
      <c r="M2084" s="4"/>
      <c r="N2084" s="4"/>
      <c r="O2084" s="51" t="b">
        <v>0</v>
      </c>
      <c r="P2084" s="51" t="b">
        <v>0</v>
      </c>
      <c r="Q2084" s="51" t="b">
        <v>0</v>
      </c>
      <c r="R2084" s="51" t="b">
        <v>0</v>
      </c>
      <c r="S2084" s="51" t="b">
        <v>0</v>
      </c>
    </row>
    <row r="2085" hidden="1">
      <c r="A2085" s="4" t="str">
        <f>IFERROR(__xludf.DUMMYFUNCTION("""COMPUTED_VALUE"""),"440 - Channel 5")</f>
        <v>440 - Channel 5</v>
      </c>
      <c r="B2085" s="4" t="s">
        <v>27</v>
      </c>
      <c r="C2085" s="4"/>
      <c r="D2085" s="6"/>
      <c r="E2085" s="6"/>
      <c r="F2085" s="6"/>
      <c r="G2085" s="4"/>
      <c r="H2085" s="4"/>
      <c r="I2085" s="4"/>
      <c r="J2085" s="4"/>
      <c r="K2085" s="4"/>
      <c r="L2085" s="4"/>
      <c r="M2085" s="4"/>
      <c r="N2085" s="4"/>
      <c r="O2085" s="51" t="b">
        <v>0</v>
      </c>
      <c r="P2085" s="51" t="b">
        <v>0</v>
      </c>
      <c r="Q2085" s="51" t="b">
        <v>0</v>
      </c>
      <c r="R2085" s="51" t="b">
        <v>0</v>
      </c>
      <c r="S2085" s="51" t="b">
        <v>0</v>
      </c>
    </row>
    <row r="2086" hidden="1">
      <c r="A2086" s="4" t="str">
        <f>IFERROR(__xludf.DUMMYFUNCTION("""COMPUTED_VALUE"""),"441 - Channel 5")</f>
        <v>441 - Channel 5</v>
      </c>
      <c r="B2086" s="4" t="s">
        <v>27</v>
      </c>
      <c r="C2086" s="4"/>
      <c r="D2086" s="6"/>
      <c r="E2086" s="6"/>
      <c r="F2086" s="6"/>
      <c r="G2086" s="4"/>
      <c r="H2086" s="4"/>
      <c r="I2086" s="4"/>
      <c r="J2086" s="4"/>
      <c r="K2086" s="4"/>
      <c r="L2086" s="4"/>
      <c r="M2086" s="4"/>
      <c r="N2086" s="4"/>
      <c r="O2086" s="51" t="b">
        <v>0</v>
      </c>
      <c r="P2086" s="51" t="b">
        <v>0</v>
      </c>
      <c r="Q2086" s="51" t="b">
        <v>0</v>
      </c>
      <c r="R2086" s="51" t="b">
        <v>0</v>
      </c>
      <c r="S2086" s="51" t="b">
        <v>0</v>
      </c>
    </row>
    <row r="2087" hidden="1">
      <c r="A2087" s="4" t="str">
        <f>IFERROR(__xludf.DUMMYFUNCTION("""COMPUTED_VALUE"""),"442 - Channel 5")</f>
        <v>442 - Channel 5</v>
      </c>
      <c r="B2087" s="4" t="s">
        <v>27</v>
      </c>
      <c r="C2087" s="4"/>
      <c r="D2087" s="6"/>
      <c r="E2087" s="6"/>
      <c r="F2087" s="6"/>
      <c r="G2087" s="4"/>
      <c r="H2087" s="4"/>
      <c r="I2087" s="4"/>
      <c r="J2087" s="4"/>
      <c r="K2087" s="4"/>
      <c r="L2087" s="4"/>
      <c r="M2087" s="4"/>
      <c r="N2087" s="4"/>
      <c r="O2087" s="51" t="b">
        <v>0</v>
      </c>
      <c r="P2087" s="51" t="b">
        <v>0</v>
      </c>
      <c r="Q2087" s="51" t="b">
        <v>0</v>
      </c>
      <c r="R2087" s="51" t="b">
        <v>0</v>
      </c>
      <c r="S2087" s="51" t="b">
        <v>0</v>
      </c>
    </row>
    <row r="2088" hidden="1">
      <c r="A2088" s="4" t="str">
        <f>IFERROR(__xludf.DUMMYFUNCTION("""COMPUTED_VALUE"""),"443 - Channel 5")</f>
        <v>443 - Channel 5</v>
      </c>
      <c r="B2088" s="4" t="s">
        <v>27</v>
      </c>
      <c r="C2088" s="4"/>
      <c r="D2088" s="6"/>
      <c r="E2088" s="6"/>
      <c r="F2088" s="6"/>
      <c r="G2088" s="4"/>
      <c r="H2088" s="4"/>
      <c r="I2088" s="4"/>
      <c r="J2088" s="4"/>
      <c r="K2088" s="4"/>
      <c r="L2088" s="4"/>
      <c r="M2088" s="4"/>
      <c r="N2088" s="4"/>
      <c r="O2088" s="51" t="b">
        <v>0</v>
      </c>
      <c r="P2088" s="51" t="b">
        <v>0</v>
      </c>
      <c r="Q2088" s="51" t="b">
        <v>0</v>
      </c>
      <c r="R2088" s="51" t="b">
        <v>0</v>
      </c>
      <c r="S2088" s="51" t="b">
        <v>0</v>
      </c>
    </row>
    <row r="2089" hidden="1">
      <c r="A2089" s="4" t="str">
        <f>IFERROR(__xludf.DUMMYFUNCTION("""COMPUTED_VALUE"""),"444 - Channel 5")</f>
        <v>444 - Channel 5</v>
      </c>
      <c r="B2089" s="4" t="s">
        <v>27</v>
      </c>
      <c r="C2089" s="4"/>
      <c r="D2089" s="6"/>
      <c r="E2089" s="6"/>
      <c r="F2089" s="6"/>
      <c r="G2089" s="4"/>
      <c r="H2089" s="4"/>
      <c r="I2089" s="4"/>
      <c r="J2089" s="4"/>
      <c r="K2089" s="4"/>
      <c r="L2089" s="4"/>
      <c r="M2089" s="4"/>
      <c r="N2089" s="4"/>
      <c r="O2089" s="51" t="b">
        <v>0</v>
      </c>
      <c r="P2089" s="51" t="b">
        <v>0</v>
      </c>
      <c r="Q2089" s="51" t="b">
        <v>0</v>
      </c>
      <c r="R2089" s="51" t="b">
        <v>0</v>
      </c>
      <c r="S2089" s="51" t="b">
        <v>0</v>
      </c>
    </row>
    <row r="2090" hidden="1">
      <c r="A2090" s="4" t="str">
        <f>IFERROR(__xludf.DUMMYFUNCTION("""COMPUTED_VALUE"""),"445 - Channel 5")</f>
        <v>445 - Channel 5</v>
      </c>
      <c r="B2090" s="4" t="s">
        <v>27</v>
      </c>
      <c r="C2090" s="4"/>
      <c r="D2090" s="6"/>
      <c r="E2090" s="6"/>
      <c r="F2090" s="6"/>
      <c r="G2090" s="4"/>
      <c r="H2090" s="4"/>
      <c r="I2090" s="4"/>
      <c r="J2090" s="4"/>
      <c r="K2090" s="4"/>
      <c r="L2090" s="4"/>
      <c r="M2090" s="4"/>
      <c r="N2090" s="4"/>
      <c r="O2090" s="51" t="b">
        <v>0</v>
      </c>
      <c r="P2090" s="51" t="b">
        <v>0</v>
      </c>
      <c r="Q2090" s="51" t="b">
        <v>0</v>
      </c>
      <c r="R2090" s="51" t="b">
        <v>0</v>
      </c>
      <c r="S2090" s="51" t="b">
        <v>0</v>
      </c>
    </row>
    <row r="2091" hidden="1">
      <c r="A2091" s="4" t="str">
        <f>IFERROR(__xludf.DUMMYFUNCTION("""COMPUTED_VALUE"""),"446 - Channel 5")</f>
        <v>446 - Channel 5</v>
      </c>
      <c r="B2091" s="4" t="s">
        <v>27</v>
      </c>
      <c r="C2091" s="4"/>
      <c r="D2091" s="6"/>
      <c r="E2091" s="6"/>
      <c r="F2091" s="6"/>
      <c r="G2091" s="4"/>
      <c r="H2091" s="4"/>
      <c r="I2091" s="4"/>
      <c r="J2091" s="4"/>
      <c r="K2091" s="4"/>
      <c r="L2091" s="4"/>
      <c r="M2091" s="4"/>
      <c r="N2091" s="4"/>
      <c r="O2091" s="51" t="b">
        <v>0</v>
      </c>
      <c r="P2091" s="51" t="b">
        <v>0</v>
      </c>
      <c r="Q2091" s="51" t="b">
        <v>0</v>
      </c>
      <c r="R2091" s="51" t="b">
        <v>0</v>
      </c>
      <c r="S2091" s="51" t="b">
        <v>0</v>
      </c>
    </row>
    <row r="2092" hidden="1">
      <c r="A2092" s="4" t="str">
        <f>IFERROR(__xludf.DUMMYFUNCTION("""COMPUTED_VALUE"""),"447 - Channel 5")</f>
        <v>447 - Channel 5</v>
      </c>
      <c r="B2092" s="4" t="s">
        <v>27</v>
      </c>
      <c r="C2092" s="4"/>
      <c r="D2092" s="6"/>
      <c r="E2092" s="6"/>
      <c r="F2092" s="6"/>
      <c r="G2092" s="4"/>
      <c r="H2092" s="4"/>
      <c r="I2092" s="4"/>
      <c r="J2092" s="4"/>
      <c r="K2092" s="4"/>
      <c r="L2092" s="4"/>
      <c r="M2092" s="4"/>
      <c r="N2092" s="4"/>
      <c r="O2092" s="51" t="b">
        <v>0</v>
      </c>
      <c r="P2092" s="51" t="b">
        <v>0</v>
      </c>
      <c r="Q2092" s="51" t="b">
        <v>0</v>
      </c>
      <c r="R2092" s="51" t="b">
        <v>0</v>
      </c>
      <c r="S2092" s="51" t="b">
        <v>0</v>
      </c>
    </row>
    <row r="2093" hidden="1">
      <c r="A2093" s="4" t="str">
        <f>IFERROR(__xludf.DUMMYFUNCTION("""COMPUTED_VALUE"""),"448 - Channel 5")</f>
        <v>448 - Channel 5</v>
      </c>
      <c r="B2093" s="4" t="s">
        <v>27</v>
      </c>
      <c r="C2093" s="4"/>
      <c r="D2093" s="6"/>
      <c r="E2093" s="6"/>
      <c r="F2093" s="6"/>
      <c r="G2093" s="4"/>
      <c r="H2093" s="4"/>
      <c r="I2093" s="4"/>
      <c r="J2093" s="4"/>
      <c r="K2093" s="4"/>
      <c r="L2093" s="4"/>
      <c r="M2093" s="4"/>
      <c r="N2093" s="4"/>
      <c r="O2093" s="51" t="b">
        <v>0</v>
      </c>
      <c r="P2093" s="51" t="b">
        <v>0</v>
      </c>
      <c r="Q2093" s="51" t="b">
        <v>0</v>
      </c>
      <c r="R2093" s="51" t="b">
        <v>0</v>
      </c>
      <c r="S2093" s="51" t="b">
        <v>0</v>
      </c>
    </row>
    <row r="2094" hidden="1">
      <c r="A2094" s="4" t="str">
        <f>IFERROR(__xludf.DUMMYFUNCTION("""COMPUTED_VALUE"""),"449 - Channel 5")</f>
        <v>449 - Channel 5</v>
      </c>
      <c r="B2094" s="4" t="s">
        <v>27</v>
      </c>
      <c r="C2094" s="4"/>
      <c r="D2094" s="6"/>
      <c r="E2094" s="6"/>
      <c r="F2094" s="6"/>
      <c r="G2094" s="4"/>
      <c r="H2094" s="4"/>
      <c r="I2094" s="4"/>
      <c r="J2094" s="4"/>
      <c r="K2094" s="4"/>
      <c r="L2094" s="4"/>
      <c r="M2094" s="4"/>
      <c r="N2094" s="4"/>
      <c r="O2094" s="51" t="b">
        <v>0</v>
      </c>
      <c r="P2094" s="51" t="b">
        <v>0</v>
      </c>
      <c r="Q2094" s="51" t="b">
        <v>0</v>
      </c>
      <c r="R2094" s="51" t="b">
        <v>0</v>
      </c>
      <c r="S2094" s="51" t="b">
        <v>0</v>
      </c>
    </row>
    <row r="2095" hidden="1">
      <c r="A2095" s="4" t="str">
        <f>IFERROR(__xludf.DUMMYFUNCTION("""COMPUTED_VALUE"""),"450 - Channel 5")</f>
        <v>450 - Channel 5</v>
      </c>
      <c r="B2095" s="4" t="s">
        <v>27</v>
      </c>
      <c r="C2095" s="4"/>
      <c r="D2095" s="6"/>
      <c r="E2095" s="6"/>
      <c r="F2095" s="6"/>
      <c r="G2095" s="4"/>
      <c r="H2095" s="4"/>
      <c r="I2095" s="4"/>
      <c r="J2095" s="4"/>
      <c r="K2095" s="4"/>
      <c r="L2095" s="4"/>
      <c r="M2095" s="4"/>
      <c r="N2095" s="4"/>
      <c r="O2095" s="51" t="b">
        <v>0</v>
      </c>
      <c r="P2095" s="51" t="b">
        <v>0</v>
      </c>
      <c r="Q2095" s="51" t="b">
        <v>0</v>
      </c>
      <c r="R2095" s="51" t="b">
        <v>0</v>
      </c>
      <c r="S2095" s="51" t="b">
        <v>0</v>
      </c>
    </row>
    <row r="2096" hidden="1">
      <c r="B2096" s="4" t="s">
        <v>27</v>
      </c>
      <c r="C2096" s="4" t="s">
        <v>27</v>
      </c>
      <c r="D2096" s="6" t="s">
        <v>27</v>
      </c>
      <c r="E2096" s="6" t="s">
        <v>27</v>
      </c>
      <c r="F2096" s="6" t="s">
        <v>27</v>
      </c>
      <c r="G2096" s="4" t="s">
        <v>27</v>
      </c>
      <c r="H2096" s="4" t="s">
        <v>27</v>
      </c>
      <c r="I2096" s="4" t="s">
        <v>27</v>
      </c>
      <c r="J2096" s="4" t="s">
        <v>27</v>
      </c>
      <c r="K2096" s="4" t="s">
        <v>27</v>
      </c>
      <c r="L2096" s="4" t="s">
        <v>27</v>
      </c>
      <c r="M2096" s="4" t="s">
        <v>27</v>
      </c>
      <c r="N2096" s="4" t="s">
        <v>27</v>
      </c>
      <c r="O2096" s="51" t="b">
        <v>0</v>
      </c>
      <c r="P2096" s="51" t="b">
        <v>0</v>
      </c>
      <c r="Q2096" s="51" t="b">
        <v>0</v>
      </c>
      <c r="R2096" s="51" t="b">
        <v>0</v>
      </c>
      <c r="S2096" s="51" t="b">
        <v>0</v>
      </c>
    </row>
    <row r="2097" hidden="1">
      <c r="B2097" s="4" t="s">
        <v>27</v>
      </c>
      <c r="C2097" s="4" t="s">
        <v>27</v>
      </c>
      <c r="D2097" s="6" t="s">
        <v>27</v>
      </c>
      <c r="E2097" s="6" t="s">
        <v>27</v>
      </c>
      <c r="F2097" s="6" t="s">
        <v>27</v>
      </c>
      <c r="G2097" s="4" t="s">
        <v>27</v>
      </c>
      <c r="H2097" s="4" t="s">
        <v>27</v>
      </c>
      <c r="I2097" s="4" t="s">
        <v>27</v>
      </c>
      <c r="J2097" s="4" t="s">
        <v>27</v>
      </c>
      <c r="K2097" s="4" t="s">
        <v>27</v>
      </c>
      <c r="L2097" s="4" t="s">
        <v>27</v>
      </c>
      <c r="M2097" s="4" t="s">
        <v>27</v>
      </c>
      <c r="N2097" s="4" t="s">
        <v>27</v>
      </c>
      <c r="O2097" s="51" t="b">
        <v>0</v>
      </c>
      <c r="P2097" s="51" t="b">
        <v>0</v>
      </c>
      <c r="Q2097" s="51" t="b">
        <v>0</v>
      </c>
      <c r="R2097" s="51" t="b">
        <v>0</v>
      </c>
      <c r="S2097" s="51" t="b">
        <v>0</v>
      </c>
    </row>
    <row r="2098" hidden="1">
      <c r="B2098" s="4" t="s">
        <v>27</v>
      </c>
      <c r="C2098" s="4" t="s">
        <v>27</v>
      </c>
      <c r="D2098" s="6" t="s">
        <v>27</v>
      </c>
      <c r="E2098" s="6" t="s">
        <v>27</v>
      </c>
      <c r="F2098" s="6" t="s">
        <v>27</v>
      </c>
      <c r="G2098" s="4" t="s">
        <v>27</v>
      </c>
      <c r="H2098" s="4" t="s">
        <v>27</v>
      </c>
      <c r="I2098" s="4" t="s">
        <v>27</v>
      </c>
      <c r="J2098" s="4" t="s">
        <v>27</v>
      </c>
      <c r="K2098" s="4" t="s">
        <v>27</v>
      </c>
      <c r="L2098" s="4" t="s">
        <v>27</v>
      </c>
      <c r="M2098" s="4" t="s">
        <v>27</v>
      </c>
      <c r="N2098" s="4" t="s">
        <v>27</v>
      </c>
      <c r="O2098" s="51" t="b">
        <v>0</v>
      </c>
      <c r="P2098" s="51" t="b">
        <v>0</v>
      </c>
      <c r="Q2098" s="51" t="b">
        <v>0</v>
      </c>
      <c r="R2098" s="51" t="b">
        <v>0</v>
      </c>
      <c r="S2098" s="51" t="b">
        <v>0</v>
      </c>
    </row>
    <row r="2099" hidden="1">
      <c r="B2099" s="4" t="s">
        <v>27</v>
      </c>
      <c r="C2099" s="4" t="s">
        <v>27</v>
      </c>
      <c r="D2099" s="6" t="s">
        <v>27</v>
      </c>
      <c r="E2099" s="6" t="s">
        <v>27</v>
      </c>
      <c r="F2099" s="6" t="s">
        <v>27</v>
      </c>
      <c r="G2099" s="4" t="s">
        <v>27</v>
      </c>
      <c r="H2099" s="4" t="s">
        <v>27</v>
      </c>
      <c r="I2099" s="4" t="s">
        <v>27</v>
      </c>
      <c r="J2099" s="4" t="s">
        <v>27</v>
      </c>
      <c r="K2099" s="4" t="s">
        <v>27</v>
      </c>
      <c r="L2099" s="4" t="s">
        <v>27</v>
      </c>
      <c r="M2099" s="4" t="s">
        <v>27</v>
      </c>
      <c r="N2099" s="4" t="s">
        <v>27</v>
      </c>
      <c r="O2099" s="51" t="b">
        <v>0</v>
      </c>
      <c r="P2099" s="51" t="b">
        <v>0</v>
      </c>
      <c r="Q2099" s="51" t="b">
        <v>0</v>
      </c>
      <c r="R2099" s="51" t="b">
        <v>0</v>
      </c>
      <c r="S2099" s="51" t="b">
        <v>0</v>
      </c>
    </row>
    <row r="2100" hidden="1">
      <c r="B2100" s="4" t="s">
        <v>27</v>
      </c>
      <c r="C2100" s="4" t="s">
        <v>27</v>
      </c>
      <c r="D2100" s="6" t="s">
        <v>27</v>
      </c>
      <c r="E2100" s="6" t="s">
        <v>27</v>
      </c>
      <c r="F2100" s="6" t="s">
        <v>27</v>
      </c>
      <c r="G2100" s="4" t="s">
        <v>27</v>
      </c>
      <c r="H2100" s="4" t="s">
        <v>27</v>
      </c>
      <c r="I2100" s="4" t="s">
        <v>27</v>
      </c>
      <c r="J2100" s="4" t="s">
        <v>27</v>
      </c>
      <c r="K2100" s="4" t="s">
        <v>27</v>
      </c>
      <c r="L2100" s="4" t="s">
        <v>27</v>
      </c>
      <c r="M2100" s="4" t="s">
        <v>27</v>
      </c>
      <c r="N2100" s="4" t="s">
        <v>27</v>
      </c>
      <c r="O2100" s="51" t="b">
        <v>0</v>
      </c>
      <c r="P2100" s="51" t="b">
        <v>0</v>
      </c>
      <c r="Q2100" s="51" t="b">
        <v>0</v>
      </c>
      <c r="R2100" s="51" t="b">
        <v>0</v>
      </c>
      <c r="S2100" s="51" t="b">
        <v>0</v>
      </c>
    </row>
    <row r="2101" hidden="1">
      <c r="B2101" s="4" t="s">
        <v>27</v>
      </c>
      <c r="C2101" s="4" t="s">
        <v>27</v>
      </c>
      <c r="D2101" s="6" t="s">
        <v>27</v>
      </c>
      <c r="E2101" s="6" t="s">
        <v>27</v>
      </c>
      <c r="F2101" s="6" t="s">
        <v>27</v>
      </c>
      <c r="G2101" s="4" t="s">
        <v>27</v>
      </c>
      <c r="H2101" s="4" t="s">
        <v>27</v>
      </c>
      <c r="I2101" s="4" t="s">
        <v>27</v>
      </c>
      <c r="J2101" s="4" t="s">
        <v>27</v>
      </c>
      <c r="K2101" s="4" t="s">
        <v>27</v>
      </c>
      <c r="L2101" s="4" t="s">
        <v>27</v>
      </c>
      <c r="M2101" s="4" t="s">
        <v>27</v>
      </c>
      <c r="N2101" s="4" t="s">
        <v>27</v>
      </c>
      <c r="O2101" s="51" t="b">
        <v>0</v>
      </c>
      <c r="P2101" s="51" t="b">
        <v>0</v>
      </c>
      <c r="Q2101" s="51" t="b">
        <v>0</v>
      </c>
      <c r="R2101" s="51" t="b">
        <v>0</v>
      </c>
      <c r="S2101" s="51" t="b">
        <v>0</v>
      </c>
    </row>
    <row r="2102" hidden="1">
      <c r="B2102" s="4" t="s">
        <v>27</v>
      </c>
      <c r="C2102" s="4" t="s">
        <v>27</v>
      </c>
      <c r="D2102" s="6" t="s">
        <v>27</v>
      </c>
      <c r="E2102" s="6" t="s">
        <v>27</v>
      </c>
      <c r="F2102" s="6" t="s">
        <v>27</v>
      </c>
      <c r="G2102" s="4" t="s">
        <v>27</v>
      </c>
      <c r="H2102" s="4" t="s">
        <v>27</v>
      </c>
      <c r="I2102" s="4" t="s">
        <v>27</v>
      </c>
      <c r="J2102" s="4" t="s">
        <v>27</v>
      </c>
      <c r="K2102" s="4" t="s">
        <v>27</v>
      </c>
      <c r="L2102" s="4" t="s">
        <v>27</v>
      </c>
      <c r="M2102" s="4" t="s">
        <v>27</v>
      </c>
      <c r="N2102" s="4" t="s">
        <v>27</v>
      </c>
      <c r="O2102" s="51" t="b">
        <v>0</v>
      </c>
      <c r="P2102" s="51" t="b">
        <v>0</v>
      </c>
      <c r="Q2102" s="51" t="b">
        <v>0</v>
      </c>
      <c r="R2102" s="51" t="b">
        <v>0</v>
      </c>
      <c r="S2102" s="51" t="b">
        <v>0</v>
      </c>
    </row>
    <row r="2103" hidden="1">
      <c r="B2103" s="4" t="s">
        <v>27</v>
      </c>
      <c r="C2103" s="4" t="s">
        <v>27</v>
      </c>
      <c r="D2103" s="6" t="s">
        <v>27</v>
      </c>
      <c r="E2103" s="6" t="s">
        <v>27</v>
      </c>
      <c r="F2103" s="6" t="s">
        <v>27</v>
      </c>
      <c r="G2103" s="4" t="s">
        <v>27</v>
      </c>
      <c r="H2103" s="4" t="s">
        <v>27</v>
      </c>
      <c r="I2103" s="4" t="s">
        <v>27</v>
      </c>
      <c r="J2103" s="4" t="s">
        <v>27</v>
      </c>
      <c r="K2103" s="4" t="s">
        <v>27</v>
      </c>
      <c r="L2103" s="4" t="s">
        <v>27</v>
      </c>
      <c r="M2103" s="4" t="s">
        <v>27</v>
      </c>
      <c r="N2103" s="4" t="s">
        <v>27</v>
      </c>
      <c r="O2103" s="51" t="b">
        <v>0</v>
      </c>
      <c r="P2103" s="51" t="b">
        <v>0</v>
      </c>
      <c r="Q2103" s="51" t="b">
        <v>0</v>
      </c>
      <c r="R2103" s="51" t="b">
        <v>0</v>
      </c>
      <c r="S2103" s="51" t="b">
        <v>0</v>
      </c>
    </row>
    <row r="2104" hidden="1">
      <c r="B2104" s="4" t="s">
        <v>27</v>
      </c>
      <c r="C2104" s="4" t="s">
        <v>27</v>
      </c>
      <c r="D2104" s="6" t="s">
        <v>27</v>
      </c>
      <c r="E2104" s="6" t="s">
        <v>27</v>
      </c>
      <c r="F2104" s="6" t="s">
        <v>27</v>
      </c>
      <c r="G2104" s="4" t="s">
        <v>27</v>
      </c>
      <c r="H2104" s="4" t="s">
        <v>27</v>
      </c>
      <c r="I2104" s="4" t="s">
        <v>27</v>
      </c>
      <c r="J2104" s="4" t="s">
        <v>27</v>
      </c>
      <c r="K2104" s="4" t="s">
        <v>27</v>
      </c>
      <c r="L2104" s="4" t="s">
        <v>27</v>
      </c>
      <c r="M2104" s="4" t="s">
        <v>27</v>
      </c>
      <c r="N2104" s="4" t="s">
        <v>27</v>
      </c>
      <c r="O2104" s="51" t="b">
        <v>0</v>
      </c>
      <c r="P2104" s="51" t="b">
        <v>0</v>
      </c>
      <c r="Q2104" s="51" t="b">
        <v>0</v>
      </c>
      <c r="R2104" s="51" t="b">
        <v>0</v>
      </c>
      <c r="S2104" s="51" t="b">
        <v>0</v>
      </c>
    </row>
    <row r="2105" hidden="1">
      <c r="B2105" s="4" t="s">
        <v>27</v>
      </c>
      <c r="C2105" s="4" t="s">
        <v>27</v>
      </c>
      <c r="D2105" s="6" t="s">
        <v>27</v>
      </c>
      <c r="E2105" s="6" t="s">
        <v>27</v>
      </c>
      <c r="F2105" s="6" t="s">
        <v>27</v>
      </c>
      <c r="G2105" s="4" t="s">
        <v>27</v>
      </c>
      <c r="H2105" s="4" t="s">
        <v>27</v>
      </c>
      <c r="I2105" s="4" t="s">
        <v>27</v>
      </c>
      <c r="J2105" s="4" t="s">
        <v>27</v>
      </c>
      <c r="K2105" s="4" t="s">
        <v>27</v>
      </c>
      <c r="L2105" s="4" t="s">
        <v>27</v>
      </c>
      <c r="M2105" s="4" t="s">
        <v>27</v>
      </c>
      <c r="N2105" s="4" t="s">
        <v>27</v>
      </c>
      <c r="O2105" s="51" t="b">
        <v>0</v>
      </c>
      <c r="P2105" s="51" t="b">
        <v>0</v>
      </c>
      <c r="Q2105" s="51" t="b">
        <v>0</v>
      </c>
      <c r="R2105" s="51" t="b">
        <v>0</v>
      </c>
      <c r="S2105" s="51" t="b">
        <v>0</v>
      </c>
    </row>
    <row r="2106" hidden="1">
      <c r="B2106" s="4" t="s">
        <v>27</v>
      </c>
      <c r="C2106" s="4" t="s">
        <v>27</v>
      </c>
      <c r="D2106" s="6" t="s">
        <v>27</v>
      </c>
      <c r="E2106" s="6" t="s">
        <v>27</v>
      </c>
      <c r="F2106" s="6" t="s">
        <v>27</v>
      </c>
      <c r="G2106" s="4" t="s">
        <v>27</v>
      </c>
      <c r="H2106" s="4" t="s">
        <v>27</v>
      </c>
      <c r="I2106" s="4" t="s">
        <v>27</v>
      </c>
      <c r="J2106" s="4" t="s">
        <v>27</v>
      </c>
      <c r="K2106" s="4" t="s">
        <v>27</v>
      </c>
      <c r="L2106" s="4" t="s">
        <v>27</v>
      </c>
      <c r="M2106" s="4" t="s">
        <v>27</v>
      </c>
      <c r="N2106" s="4" t="s">
        <v>27</v>
      </c>
      <c r="O2106" s="51" t="b">
        <v>0</v>
      </c>
      <c r="P2106" s="51" t="b">
        <v>0</v>
      </c>
      <c r="Q2106" s="51" t="b">
        <v>0</v>
      </c>
      <c r="R2106" s="51" t="b">
        <v>0</v>
      </c>
      <c r="S2106" s="51" t="b">
        <v>0</v>
      </c>
    </row>
    <row r="2107" hidden="1">
      <c r="B2107" s="4" t="s">
        <v>27</v>
      </c>
      <c r="C2107" s="4" t="s">
        <v>27</v>
      </c>
      <c r="D2107" s="6" t="s">
        <v>27</v>
      </c>
      <c r="E2107" s="6" t="s">
        <v>27</v>
      </c>
      <c r="F2107" s="6" t="s">
        <v>27</v>
      </c>
      <c r="G2107" s="4" t="s">
        <v>27</v>
      </c>
      <c r="H2107" s="4" t="s">
        <v>27</v>
      </c>
      <c r="I2107" s="4" t="s">
        <v>27</v>
      </c>
      <c r="J2107" s="4" t="s">
        <v>27</v>
      </c>
      <c r="K2107" s="4" t="s">
        <v>27</v>
      </c>
      <c r="L2107" s="4" t="s">
        <v>27</v>
      </c>
      <c r="M2107" s="4" t="s">
        <v>27</v>
      </c>
      <c r="N2107" s="4" t="s">
        <v>27</v>
      </c>
      <c r="O2107" s="51" t="b">
        <v>0</v>
      </c>
      <c r="P2107" s="51" t="b">
        <v>0</v>
      </c>
      <c r="Q2107" s="51" t="b">
        <v>0</v>
      </c>
      <c r="R2107" s="51" t="b">
        <v>0</v>
      </c>
      <c r="S2107" s="51" t="b">
        <v>0</v>
      </c>
    </row>
    <row r="2108" hidden="1">
      <c r="B2108" s="4" t="s">
        <v>27</v>
      </c>
      <c r="C2108" s="4" t="s">
        <v>27</v>
      </c>
      <c r="D2108" s="6" t="s">
        <v>27</v>
      </c>
      <c r="E2108" s="6" t="s">
        <v>27</v>
      </c>
      <c r="F2108" s="6" t="s">
        <v>27</v>
      </c>
      <c r="G2108" s="4" t="s">
        <v>27</v>
      </c>
      <c r="H2108" s="4" t="s">
        <v>27</v>
      </c>
      <c r="I2108" s="4" t="s">
        <v>27</v>
      </c>
      <c r="J2108" s="4" t="s">
        <v>27</v>
      </c>
      <c r="K2108" s="4" t="s">
        <v>27</v>
      </c>
      <c r="L2108" s="4" t="s">
        <v>27</v>
      </c>
      <c r="M2108" s="4" t="s">
        <v>27</v>
      </c>
      <c r="N2108" s="4" t="s">
        <v>27</v>
      </c>
      <c r="O2108" s="51" t="b">
        <v>0</v>
      </c>
      <c r="P2108" s="51" t="b">
        <v>0</v>
      </c>
      <c r="Q2108" s="51" t="b">
        <v>0</v>
      </c>
      <c r="R2108" s="51" t="b">
        <v>0</v>
      </c>
      <c r="S2108" s="51" t="b">
        <v>0</v>
      </c>
    </row>
    <row r="2109" hidden="1">
      <c r="B2109" s="4" t="s">
        <v>27</v>
      </c>
      <c r="C2109" s="4" t="s">
        <v>27</v>
      </c>
      <c r="D2109" s="6" t="s">
        <v>27</v>
      </c>
      <c r="E2109" s="6" t="s">
        <v>27</v>
      </c>
      <c r="F2109" s="6" t="s">
        <v>27</v>
      </c>
      <c r="G2109" s="4" t="s">
        <v>27</v>
      </c>
      <c r="H2109" s="4" t="s">
        <v>27</v>
      </c>
      <c r="I2109" s="4" t="s">
        <v>27</v>
      </c>
      <c r="J2109" s="4" t="s">
        <v>27</v>
      </c>
      <c r="K2109" s="4" t="s">
        <v>27</v>
      </c>
      <c r="L2109" s="4" t="s">
        <v>27</v>
      </c>
      <c r="M2109" s="4" t="s">
        <v>27</v>
      </c>
      <c r="N2109" s="4" t="s">
        <v>27</v>
      </c>
      <c r="O2109" s="51" t="b">
        <v>0</v>
      </c>
      <c r="P2109" s="51" t="b">
        <v>0</v>
      </c>
      <c r="Q2109" s="51" t="b">
        <v>0</v>
      </c>
      <c r="R2109" s="51" t="b">
        <v>0</v>
      </c>
      <c r="S2109" s="51" t="b">
        <v>0</v>
      </c>
    </row>
    <row r="2110" hidden="1">
      <c r="B2110" s="4" t="s">
        <v>27</v>
      </c>
      <c r="C2110" s="4" t="s">
        <v>27</v>
      </c>
      <c r="D2110" s="6" t="s">
        <v>27</v>
      </c>
      <c r="E2110" s="6" t="s">
        <v>27</v>
      </c>
      <c r="F2110" s="6" t="s">
        <v>27</v>
      </c>
      <c r="G2110" s="4" t="s">
        <v>27</v>
      </c>
      <c r="H2110" s="4" t="s">
        <v>27</v>
      </c>
      <c r="I2110" s="4" t="s">
        <v>27</v>
      </c>
      <c r="J2110" s="4" t="s">
        <v>27</v>
      </c>
      <c r="K2110" s="4" t="s">
        <v>27</v>
      </c>
      <c r="L2110" s="4" t="s">
        <v>27</v>
      </c>
      <c r="M2110" s="4" t="s">
        <v>27</v>
      </c>
      <c r="N2110" s="4" t="s">
        <v>27</v>
      </c>
      <c r="O2110" s="51" t="b">
        <v>0</v>
      </c>
      <c r="P2110" s="51" t="b">
        <v>0</v>
      </c>
      <c r="Q2110" s="51" t="b">
        <v>0</v>
      </c>
      <c r="R2110" s="51" t="b">
        <v>0</v>
      </c>
      <c r="S2110" s="51" t="b">
        <v>0</v>
      </c>
    </row>
    <row r="2111" hidden="1">
      <c r="B2111" s="4" t="s">
        <v>27</v>
      </c>
      <c r="C2111" s="4" t="s">
        <v>27</v>
      </c>
      <c r="D2111" s="6" t="s">
        <v>27</v>
      </c>
      <c r="E2111" s="6" t="s">
        <v>27</v>
      </c>
      <c r="F2111" s="6" t="s">
        <v>27</v>
      </c>
      <c r="G2111" s="4" t="s">
        <v>27</v>
      </c>
      <c r="H2111" s="4" t="s">
        <v>27</v>
      </c>
      <c r="I2111" s="4" t="s">
        <v>27</v>
      </c>
      <c r="J2111" s="4" t="s">
        <v>27</v>
      </c>
      <c r="K2111" s="4" t="s">
        <v>27</v>
      </c>
      <c r="L2111" s="4" t="s">
        <v>27</v>
      </c>
      <c r="M2111" s="4" t="s">
        <v>27</v>
      </c>
      <c r="N2111" s="4" t="s">
        <v>27</v>
      </c>
      <c r="O2111" s="51" t="b">
        <v>0</v>
      </c>
      <c r="P2111" s="51" t="b">
        <v>0</v>
      </c>
      <c r="Q2111" s="51" t="b">
        <v>0</v>
      </c>
      <c r="R2111" s="51" t="b">
        <v>0</v>
      </c>
      <c r="S2111" s="51" t="b">
        <v>0</v>
      </c>
    </row>
    <row r="2112" hidden="1">
      <c r="B2112" s="4" t="s">
        <v>27</v>
      </c>
      <c r="C2112" s="4" t="s">
        <v>27</v>
      </c>
      <c r="D2112" s="6" t="s">
        <v>27</v>
      </c>
      <c r="E2112" s="6" t="s">
        <v>27</v>
      </c>
      <c r="F2112" s="6" t="s">
        <v>27</v>
      </c>
      <c r="G2112" s="4" t="s">
        <v>27</v>
      </c>
      <c r="H2112" s="4" t="s">
        <v>27</v>
      </c>
      <c r="I2112" s="4" t="s">
        <v>27</v>
      </c>
      <c r="J2112" s="4" t="s">
        <v>27</v>
      </c>
      <c r="K2112" s="4" t="s">
        <v>27</v>
      </c>
      <c r="L2112" s="4" t="s">
        <v>27</v>
      </c>
      <c r="M2112" s="4" t="s">
        <v>27</v>
      </c>
      <c r="N2112" s="4" t="s">
        <v>27</v>
      </c>
      <c r="O2112" s="51" t="b">
        <v>0</v>
      </c>
      <c r="P2112" s="51" t="b">
        <v>0</v>
      </c>
      <c r="Q2112" s="51" t="b">
        <v>0</v>
      </c>
      <c r="R2112" s="51" t="b">
        <v>0</v>
      </c>
      <c r="S2112" s="51" t="b">
        <v>0</v>
      </c>
    </row>
    <row r="2113" hidden="1">
      <c r="B2113" s="4" t="s">
        <v>27</v>
      </c>
      <c r="C2113" s="4" t="s">
        <v>27</v>
      </c>
      <c r="D2113" s="6" t="s">
        <v>27</v>
      </c>
      <c r="E2113" s="6" t="s">
        <v>27</v>
      </c>
      <c r="F2113" s="6" t="s">
        <v>27</v>
      </c>
      <c r="G2113" s="4" t="s">
        <v>27</v>
      </c>
      <c r="H2113" s="4" t="s">
        <v>27</v>
      </c>
      <c r="I2113" s="4" t="s">
        <v>27</v>
      </c>
      <c r="J2113" s="4" t="s">
        <v>27</v>
      </c>
      <c r="K2113" s="4" t="s">
        <v>27</v>
      </c>
      <c r="L2113" s="4" t="s">
        <v>27</v>
      </c>
      <c r="M2113" s="4" t="s">
        <v>27</v>
      </c>
      <c r="N2113" s="4" t="s">
        <v>27</v>
      </c>
      <c r="O2113" s="51" t="b">
        <v>0</v>
      </c>
      <c r="P2113" s="51" t="b">
        <v>0</v>
      </c>
      <c r="Q2113" s="51" t="b">
        <v>0</v>
      </c>
      <c r="R2113" s="51" t="b">
        <v>0</v>
      </c>
      <c r="S2113" s="51" t="b">
        <v>0</v>
      </c>
    </row>
    <row r="2114" hidden="1">
      <c r="B2114" s="4" t="s">
        <v>27</v>
      </c>
      <c r="C2114" s="4" t="s">
        <v>27</v>
      </c>
      <c r="D2114" s="6" t="s">
        <v>27</v>
      </c>
      <c r="E2114" s="6" t="s">
        <v>27</v>
      </c>
      <c r="F2114" s="6" t="s">
        <v>27</v>
      </c>
      <c r="G2114" s="4" t="s">
        <v>27</v>
      </c>
      <c r="H2114" s="4" t="s">
        <v>27</v>
      </c>
      <c r="I2114" s="4" t="s">
        <v>27</v>
      </c>
      <c r="J2114" s="4" t="s">
        <v>27</v>
      </c>
      <c r="K2114" s="4" t="s">
        <v>27</v>
      </c>
      <c r="L2114" s="4" t="s">
        <v>27</v>
      </c>
      <c r="M2114" s="4" t="s">
        <v>27</v>
      </c>
      <c r="N2114" s="4" t="s">
        <v>27</v>
      </c>
      <c r="O2114" s="51" t="b">
        <v>0</v>
      </c>
      <c r="P2114" s="51" t="b">
        <v>0</v>
      </c>
      <c r="Q2114" s="51" t="b">
        <v>0</v>
      </c>
      <c r="R2114" s="51" t="b">
        <v>0</v>
      </c>
      <c r="S2114" s="51" t="b">
        <v>0</v>
      </c>
    </row>
    <row r="2115" hidden="1">
      <c r="B2115" s="4" t="s">
        <v>27</v>
      </c>
      <c r="C2115" s="4" t="s">
        <v>27</v>
      </c>
      <c r="D2115" s="6" t="s">
        <v>27</v>
      </c>
      <c r="E2115" s="6" t="s">
        <v>27</v>
      </c>
      <c r="F2115" s="6" t="s">
        <v>27</v>
      </c>
      <c r="G2115" s="4" t="s">
        <v>27</v>
      </c>
      <c r="H2115" s="4" t="s">
        <v>27</v>
      </c>
      <c r="I2115" s="4" t="s">
        <v>27</v>
      </c>
      <c r="J2115" s="4" t="s">
        <v>27</v>
      </c>
      <c r="K2115" s="4" t="s">
        <v>27</v>
      </c>
      <c r="L2115" s="4" t="s">
        <v>27</v>
      </c>
      <c r="M2115" s="4" t="s">
        <v>27</v>
      </c>
      <c r="N2115" s="4" t="s">
        <v>27</v>
      </c>
      <c r="O2115" s="51" t="b">
        <v>0</v>
      </c>
      <c r="P2115" s="51" t="b">
        <v>0</v>
      </c>
      <c r="Q2115" s="51" t="b">
        <v>0</v>
      </c>
      <c r="R2115" s="51" t="b">
        <v>0</v>
      </c>
      <c r="S2115" s="51" t="b">
        <v>0</v>
      </c>
    </row>
    <row r="2116" hidden="1">
      <c r="B2116" s="4" t="s">
        <v>27</v>
      </c>
      <c r="C2116" s="4" t="s">
        <v>27</v>
      </c>
      <c r="D2116" s="6" t="s">
        <v>27</v>
      </c>
      <c r="E2116" s="6" t="s">
        <v>27</v>
      </c>
      <c r="F2116" s="6" t="s">
        <v>27</v>
      </c>
      <c r="G2116" s="4" t="s">
        <v>27</v>
      </c>
      <c r="H2116" s="4" t="s">
        <v>27</v>
      </c>
      <c r="I2116" s="4" t="s">
        <v>27</v>
      </c>
      <c r="J2116" s="4" t="s">
        <v>27</v>
      </c>
      <c r="K2116" s="4" t="s">
        <v>27</v>
      </c>
      <c r="L2116" s="4" t="s">
        <v>27</v>
      </c>
      <c r="M2116" s="4" t="s">
        <v>27</v>
      </c>
      <c r="N2116" s="4" t="s">
        <v>27</v>
      </c>
      <c r="O2116" s="51" t="b">
        <v>0</v>
      </c>
      <c r="P2116" s="51" t="b">
        <v>0</v>
      </c>
      <c r="Q2116" s="51" t="b">
        <v>0</v>
      </c>
      <c r="R2116" s="51" t="b">
        <v>0</v>
      </c>
      <c r="S2116" s="51" t="b">
        <v>0</v>
      </c>
    </row>
    <row r="2117" hidden="1">
      <c r="B2117" s="4" t="s">
        <v>27</v>
      </c>
      <c r="C2117" s="4" t="s">
        <v>27</v>
      </c>
      <c r="D2117" s="6" t="s">
        <v>27</v>
      </c>
      <c r="E2117" s="6" t="s">
        <v>27</v>
      </c>
      <c r="F2117" s="6" t="s">
        <v>27</v>
      </c>
      <c r="G2117" s="4" t="s">
        <v>27</v>
      </c>
      <c r="H2117" s="4" t="s">
        <v>27</v>
      </c>
      <c r="I2117" s="4" t="s">
        <v>27</v>
      </c>
      <c r="J2117" s="4" t="s">
        <v>27</v>
      </c>
      <c r="K2117" s="4" t="s">
        <v>27</v>
      </c>
      <c r="L2117" s="4" t="s">
        <v>27</v>
      </c>
      <c r="M2117" s="4" t="s">
        <v>27</v>
      </c>
      <c r="N2117" s="4" t="s">
        <v>27</v>
      </c>
      <c r="O2117" s="51" t="b">
        <v>0</v>
      </c>
      <c r="P2117" s="51" t="b">
        <v>0</v>
      </c>
      <c r="Q2117" s="51" t="b">
        <v>0</v>
      </c>
      <c r="R2117" s="51" t="b">
        <v>0</v>
      </c>
      <c r="S2117" s="51" t="b">
        <v>0</v>
      </c>
    </row>
    <row r="2118" hidden="1">
      <c r="B2118" s="4" t="s">
        <v>27</v>
      </c>
      <c r="C2118" s="4" t="s">
        <v>27</v>
      </c>
      <c r="D2118" s="6" t="s">
        <v>27</v>
      </c>
      <c r="E2118" s="6" t="s">
        <v>27</v>
      </c>
      <c r="F2118" s="6" t="s">
        <v>27</v>
      </c>
      <c r="G2118" s="4" t="s">
        <v>27</v>
      </c>
      <c r="H2118" s="4" t="s">
        <v>27</v>
      </c>
      <c r="I2118" s="4" t="s">
        <v>27</v>
      </c>
      <c r="J2118" s="4" t="s">
        <v>27</v>
      </c>
      <c r="K2118" s="4" t="s">
        <v>27</v>
      </c>
      <c r="L2118" s="4" t="s">
        <v>27</v>
      </c>
      <c r="M2118" s="4" t="s">
        <v>27</v>
      </c>
      <c r="N2118" s="4" t="s">
        <v>27</v>
      </c>
      <c r="O2118" s="51" t="b">
        <v>0</v>
      </c>
      <c r="P2118" s="51" t="b">
        <v>0</v>
      </c>
      <c r="Q2118" s="51" t="b">
        <v>0</v>
      </c>
      <c r="R2118" s="51" t="b">
        <v>0</v>
      </c>
      <c r="S2118" s="51" t="b">
        <v>0</v>
      </c>
    </row>
    <row r="2119" hidden="1">
      <c r="B2119" s="4" t="s">
        <v>27</v>
      </c>
      <c r="C2119" s="4" t="s">
        <v>27</v>
      </c>
      <c r="D2119" s="6" t="s">
        <v>27</v>
      </c>
      <c r="E2119" s="6" t="s">
        <v>27</v>
      </c>
      <c r="F2119" s="6" t="s">
        <v>27</v>
      </c>
      <c r="G2119" s="4" t="s">
        <v>27</v>
      </c>
      <c r="H2119" s="4" t="s">
        <v>27</v>
      </c>
      <c r="I2119" s="4" t="s">
        <v>27</v>
      </c>
      <c r="J2119" s="4" t="s">
        <v>27</v>
      </c>
      <c r="K2119" s="4" t="s">
        <v>27</v>
      </c>
      <c r="L2119" s="4" t="s">
        <v>27</v>
      </c>
      <c r="M2119" s="4" t="s">
        <v>27</v>
      </c>
      <c r="N2119" s="4" t="s">
        <v>27</v>
      </c>
      <c r="O2119" s="51" t="b">
        <v>0</v>
      </c>
      <c r="P2119" s="51" t="b">
        <v>0</v>
      </c>
      <c r="Q2119" s="51" t="b">
        <v>0</v>
      </c>
      <c r="R2119" s="51" t="b">
        <v>0</v>
      </c>
      <c r="S2119" s="51" t="b">
        <v>0</v>
      </c>
    </row>
    <row r="2120" hidden="1">
      <c r="B2120" s="4" t="s">
        <v>27</v>
      </c>
      <c r="C2120" s="4" t="s">
        <v>27</v>
      </c>
      <c r="D2120" s="6" t="s">
        <v>27</v>
      </c>
      <c r="E2120" s="6" t="s">
        <v>27</v>
      </c>
      <c r="F2120" s="6" t="s">
        <v>27</v>
      </c>
      <c r="G2120" s="4" t="s">
        <v>27</v>
      </c>
      <c r="H2120" s="4" t="s">
        <v>27</v>
      </c>
      <c r="I2120" s="4" t="s">
        <v>27</v>
      </c>
      <c r="J2120" s="4" t="s">
        <v>27</v>
      </c>
      <c r="K2120" s="4" t="s">
        <v>27</v>
      </c>
      <c r="L2120" s="4" t="s">
        <v>27</v>
      </c>
      <c r="M2120" s="4" t="s">
        <v>27</v>
      </c>
      <c r="N2120" s="4" t="s">
        <v>27</v>
      </c>
      <c r="O2120" s="51" t="b">
        <v>0</v>
      </c>
      <c r="P2120" s="51" t="b">
        <v>0</v>
      </c>
      <c r="Q2120" s="51" t="b">
        <v>0</v>
      </c>
      <c r="R2120" s="51" t="b">
        <v>0</v>
      </c>
      <c r="S2120" s="51" t="b">
        <v>0</v>
      </c>
    </row>
    <row r="2121" hidden="1">
      <c r="B2121" s="4" t="s">
        <v>27</v>
      </c>
      <c r="C2121" s="4" t="s">
        <v>27</v>
      </c>
      <c r="D2121" s="6" t="s">
        <v>27</v>
      </c>
      <c r="E2121" s="6" t="s">
        <v>27</v>
      </c>
      <c r="F2121" s="6" t="s">
        <v>27</v>
      </c>
      <c r="G2121" s="4" t="s">
        <v>27</v>
      </c>
      <c r="H2121" s="4" t="s">
        <v>27</v>
      </c>
      <c r="I2121" s="4" t="s">
        <v>27</v>
      </c>
      <c r="J2121" s="4" t="s">
        <v>27</v>
      </c>
      <c r="K2121" s="4" t="s">
        <v>27</v>
      </c>
      <c r="L2121" s="4" t="s">
        <v>27</v>
      </c>
      <c r="M2121" s="4" t="s">
        <v>27</v>
      </c>
      <c r="N2121" s="4" t="s">
        <v>27</v>
      </c>
      <c r="O2121" s="51" t="b">
        <v>0</v>
      </c>
      <c r="P2121" s="51" t="b">
        <v>0</v>
      </c>
      <c r="Q2121" s="51" t="b">
        <v>0</v>
      </c>
      <c r="R2121" s="51" t="b">
        <v>0</v>
      </c>
      <c r="S2121" s="51" t="b">
        <v>0</v>
      </c>
    </row>
    <row r="2122" hidden="1">
      <c r="B2122" s="4" t="s">
        <v>27</v>
      </c>
      <c r="C2122" s="4" t="s">
        <v>27</v>
      </c>
      <c r="D2122" s="6" t="s">
        <v>27</v>
      </c>
      <c r="E2122" s="6" t="s">
        <v>27</v>
      </c>
      <c r="F2122" s="6" t="s">
        <v>27</v>
      </c>
      <c r="G2122" s="4" t="s">
        <v>27</v>
      </c>
      <c r="H2122" s="4" t="s">
        <v>27</v>
      </c>
      <c r="I2122" s="4" t="s">
        <v>27</v>
      </c>
      <c r="J2122" s="4" t="s">
        <v>27</v>
      </c>
      <c r="K2122" s="4" t="s">
        <v>27</v>
      </c>
      <c r="L2122" s="4" t="s">
        <v>27</v>
      </c>
      <c r="M2122" s="4" t="s">
        <v>27</v>
      </c>
      <c r="N2122" s="4" t="s">
        <v>27</v>
      </c>
      <c r="O2122" s="51" t="b">
        <v>0</v>
      </c>
      <c r="P2122" s="51" t="b">
        <v>0</v>
      </c>
      <c r="Q2122" s="51" t="b">
        <v>0</v>
      </c>
      <c r="R2122" s="51" t="b">
        <v>0</v>
      </c>
      <c r="S2122" s="51" t="b">
        <v>0</v>
      </c>
    </row>
    <row r="2123" hidden="1">
      <c r="B2123" s="4" t="s">
        <v>27</v>
      </c>
      <c r="C2123" s="4" t="s">
        <v>27</v>
      </c>
      <c r="D2123" s="6" t="s">
        <v>27</v>
      </c>
      <c r="E2123" s="6" t="s">
        <v>27</v>
      </c>
      <c r="F2123" s="6" t="s">
        <v>27</v>
      </c>
      <c r="G2123" s="4" t="s">
        <v>27</v>
      </c>
      <c r="H2123" s="4" t="s">
        <v>27</v>
      </c>
      <c r="I2123" s="4" t="s">
        <v>27</v>
      </c>
      <c r="J2123" s="4" t="s">
        <v>27</v>
      </c>
      <c r="K2123" s="4" t="s">
        <v>27</v>
      </c>
      <c r="L2123" s="4" t="s">
        <v>27</v>
      </c>
      <c r="M2123" s="4" t="s">
        <v>27</v>
      </c>
      <c r="N2123" s="4" t="s">
        <v>27</v>
      </c>
      <c r="O2123" s="51" t="b">
        <v>0</v>
      </c>
      <c r="P2123" s="51" t="b">
        <v>0</v>
      </c>
      <c r="Q2123" s="51" t="b">
        <v>0</v>
      </c>
      <c r="R2123" s="51" t="b">
        <v>0</v>
      </c>
      <c r="S2123" s="51" t="b">
        <v>0</v>
      </c>
    </row>
    <row r="2124" hidden="1">
      <c r="B2124" s="4" t="s">
        <v>27</v>
      </c>
      <c r="C2124" s="4" t="s">
        <v>27</v>
      </c>
      <c r="D2124" s="6" t="s">
        <v>27</v>
      </c>
      <c r="E2124" s="6" t="s">
        <v>27</v>
      </c>
      <c r="F2124" s="6" t="s">
        <v>27</v>
      </c>
      <c r="G2124" s="4" t="s">
        <v>27</v>
      </c>
      <c r="H2124" s="4" t="s">
        <v>27</v>
      </c>
      <c r="I2124" s="4" t="s">
        <v>27</v>
      </c>
      <c r="J2124" s="4" t="s">
        <v>27</v>
      </c>
      <c r="K2124" s="4" t="s">
        <v>27</v>
      </c>
      <c r="L2124" s="4" t="s">
        <v>27</v>
      </c>
      <c r="M2124" s="4" t="s">
        <v>27</v>
      </c>
      <c r="N2124" s="4" t="s">
        <v>27</v>
      </c>
      <c r="O2124" s="51" t="b">
        <v>0</v>
      </c>
      <c r="P2124" s="51" t="b">
        <v>0</v>
      </c>
      <c r="Q2124" s="51" t="b">
        <v>0</v>
      </c>
      <c r="R2124" s="51" t="b">
        <v>0</v>
      </c>
      <c r="S2124" s="51" t="b">
        <v>0</v>
      </c>
    </row>
    <row r="2125" hidden="1">
      <c r="B2125" s="4" t="s">
        <v>27</v>
      </c>
      <c r="C2125" s="4" t="s">
        <v>27</v>
      </c>
      <c r="D2125" s="6" t="s">
        <v>27</v>
      </c>
      <c r="E2125" s="6" t="s">
        <v>27</v>
      </c>
      <c r="F2125" s="6" t="s">
        <v>27</v>
      </c>
      <c r="G2125" s="4" t="s">
        <v>27</v>
      </c>
      <c r="H2125" s="4" t="s">
        <v>27</v>
      </c>
      <c r="I2125" s="4" t="s">
        <v>27</v>
      </c>
      <c r="J2125" s="4" t="s">
        <v>27</v>
      </c>
      <c r="K2125" s="4" t="s">
        <v>27</v>
      </c>
      <c r="L2125" s="4" t="s">
        <v>27</v>
      </c>
      <c r="M2125" s="4" t="s">
        <v>27</v>
      </c>
      <c r="N2125" s="4" t="s">
        <v>27</v>
      </c>
      <c r="O2125" s="51" t="b">
        <v>0</v>
      </c>
      <c r="P2125" s="51" t="b">
        <v>0</v>
      </c>
      <c r="Q2125" s="51" t="b">
        <v>0</v>
      </c>
      <c r="R2125" s="51" t="b">
        <v>0</v>
      </c>
      <c r="S2125" s="51" t="b">
        <v>0</v>
      </c>
    </row>
    <row r="2126" hidden="1">
      <c r="B2126" s="4" t="s">
        <v>27</v>
      </c>
      <c r="C2126" s="4" t="s">
        <v>27</v>
      </c>
      <c r="D2126" s="6" t="s">
        <v>27</v>
      </c>
      <c r="E2126" s="6" t="s">
        <v>27</v>
      </c>
      <c r="F2126" s="6" t="s">
        <v>27</v>
      </c>
      <c r="G2126" s="4" t="s">
        <v>27</v>
      </c>
      <c r="H2126" s="4" t="s">
        <v>27</v>
      </c>
      <c r="I2126" s="4" t="s">
        <v>27</v>
      </c>
      <c r="J2126" s="4" t="s">
        <v>27</v>
      </c>
      <c r="K2126" s="4" t="s">
        <v>27</v>
      </c>
      <c r="L2126" s="4" t="s">
        <v>27</v>
      </c>
      <c r="M2126" s="4" t="s">
        <v>27</v>
      </c>
      <c r="N2126" s="4" t="s">
        <v>27</v>
      </c>
      <c r="O2126" s="51" t="b">
        <v>0</v>
      </c>
      <c r="P2126" s="51" t="b">
        <v>0</v>
      </c>
      <c r="Q2126" s="51" t="b">
        <v>0</v>
      </c>
      <c r="R2126" s="51" t="b">
        <v>0</v>
      </c>
      <c r="S2126" s="51" t="b">
        <v>0</v>
      </c>
    </row>
    <row r="2127" hidden="1">
      <c r="B2127" s="4" t="s">
        <v>27</v>
      </c>
      <c r="C2127" s="4" t="s">
        <v>27</v>
      </c>
      <c r="D2127" s="6" t="s">
        <v>27</v>
      </c>
      <c r="E2127" s="6" t="s">
        <v>27</v>
      </c>
      <c r="F2127" s="6" t="s">
        <v>27</v>
      </c>
      <c r="G2127" s="4" t="s">
        <v>27</v>
      </c>
      <c r="H2127" s="4" t="s">
        <v>27</v>
      </c>
      <c r="I2127" s="4" t="s">
        <v>27</v>
      </c>
      <c r="J2127" s="4" t="s">
        <v>27</v>
      </c>
      <c r="K2127" s="4" t="s">
        <v>27</v>
      </c>
      <c r="L2127" s="4" t="s">
        <v>27</v>
      </c>
      <c r="M2127" s="4" t="s">
        <v>27</v>
      </c>
      <c r="N2127" s="4" t="s">
        <v>27</v>
      </c>
      <c r="O2127" s="51" t="b">
        <v>0</v>
      </c>
      <c r="P2127" s="51" t="b">
        <v>0</v>
      </c>
      <c r="Q2127" s="51" t="b">
        <v>0</v>
      </c>
      <c r="R2127" s="51" t="b">
        <v>0</v>
      </c>
      <c r="S2127" s="51" t="b">
        <v>0</v>
      </c>
    </row>
    <row r="2128" hidden="1">
      <c r="B2128" s="4" t="s">
        <v>27</v>
      </c>
      <c r="C2128" s="4" t="s">
        <v>27</v>
      </c>
      <c r="D2128" s="6" t="s">
        <v>27</v>
      </c>
      <c r="E2128" s="6" t="s">
        <v>27</v>
      </c>
      <c r="F2128" s="6" t="s">
        <v>27</v>
      </c>
      <c r="G2128" s="4" t="s">
        <v>27</v>
      </c>
      <c r="H2128" s="4" t="s">
        <v>27</v>
      </c>
      <c r="I2128" s="4" t="s">
        <v>27</v>
      </c>
      <c r="J2128" s="4" t="s">
        <v>27</v>
      </c>
      <c r="K2128" s="4" t="s">
        <v>27</v>
      </c>
      <c r="L2128" s="4" t="s">
        <v>27</v>
      </c>
      <c r="M2128" s="4" t="s">
        <v>27</v>
      </c>
      <c r="N2128" s="4" t="s">
        <v>27</v>
      </c>
      <c r="O2128" s="51" t="b">
        <v>0</v>
      </c>
      <c r="P2128" s="51" t="b">
        <v>0</v>
      </c>
      <c r="Q2128" s="51" t="b">
        <v>0</v>
      </c>
      <c r="R2128" s="51" t="b">
        <v>0</v>
      </c>
      <c r="S2128" s="51" t="b">
        <v>0</v>
      </c>
    </row>
    <row r="2129" hidden="1">
      <c r="B2129" s="4" t="s">
        <v>27</v>
      </c>
      <c r="C2129" s="4" t="s">
        <v>27</v>
      </c>
      <c r="D2129" s="6" t="s">
        <v>27</v>
      </c>
      <c r="E2129" s="6" t="s">
        <v>27</v>
      </c>
      <c r="F2129" s="6" t="s">
        <v>27</v>
      </c>
      <c r="G2129" s="4" t="s">
        <v>27</v>
      </c>
      <c r="H2129" s="4" t="s">
        <v>27</v>
      </c>
      <c r="I2129" s="4" t="s">
        <v>27</v>
      </c>
      <c r="J2129" s="4" t="s">
        <v>27</v>
      </c>
      <c r="K2129" s="4" t="s">
        <v>27</v>
      </c>
      <c r="L2129" s="4" t="s">
        <v>27</v>
      </c>
      <c r="M2129" s="4" t="s">
        <v>27</v>
      </c>
      <c r="N2129" s="4" t="s">
        <v>27</v>
      </c>
      <c r="O2129" s="51" t="b">
        <v>0</v>
      </c>
      <c r="P2129" s="51" t="b">
        <v>0</v>
      </c>
      <c r="Q2129" s="51" t="b">
        <v>0</v>
      </c>
      <c r="R2129" s="51" t="b">
        <v>0</v>
      </c>
      <c r="S2129" s="51" t="b">
        <v>0</v>
      </c>
    </row>
    <row r="2130" hidden="1">
      <c r="B2130" s="4" t="s">
        <v>27</v>
      </c>
      <c r="C2130" s="4" t="s">
        <v>27</v>
      </c>
      <c r="D2130" s="6" t="s">
        <v>27</v>
      </c>
      <c r="E2130" s="6" t="s">
        <v>27</v>
      </c>
      <c r="F2130" s="6" t="s">
        <v>27</v>
      </c>
      <c r="G2130" s="4" t="s">
        <v>27</v>
      </c>
      <c r="H2130" s="4" t="s">
        <v>27</v>
      </c>
      <c r="I2130" s="4" t="s">
        <v>27</v>
      </c>
      <c r="J2130" s="4" t="s">
        <v>27</v>
      </c>
      <c r="K2130" s="4" t="s">
        <v>27</v>
      </c>
      <c r="L2130" s="4" t="s">
        <v>27</v>
      </c>
      <c r="M2130" s="4" t="s">
        <v>27</v>
      </c>
      <c r="N2130" s="4" t="s">
        <v>27</v>
      </c>
      <c r="O2130" s="51" t="b">
        <v>0</v>
      </c>
      <c r="P2130" s="51" t="b">
        <v>0</v>
      </c>
      <c r="Q2130" s="51" t="b">
        <v>0</v>
      </c>
      <c r="R2130" s="51" t="b">
        <v>0</v>
      </c>
      <c r="S2130" s="51" t="b">
        <v>0</v>
      </c>
    </row>
    <row r="2131" hidden="1">
      <c r="B2131" s="4" t="s">
        <v>27</v>
      </c>
      <c r="C2131" s="4" t="s">
        <v>27</v>
      </c>
      <c r="D2131" s="6" t="s">
        <v>27</v>
      </c>
      <c r="E2131" s="6" t="s">
        <v>27</v>
      </c>
      <c r="F2131" s="6" t="s">
        <v>27</v>
      </c>
      <c r="G2131" s="4" t="s">
        <v>27</v>
      </c>
      <c r="H2131" s="4" t="s">
        <v>27</v>
      </c>
      <c r="I2131" s="4" t="s">
        <v>27</v>
      </c>
      <c r="J2131" s="4" t="s">
        <v>27</v>
      </c>
      <c r="K2131" s="4" t="s">
        <v>27</v>
      </c>
      <c r="L2131" s="4" t="s">
        <v>27</v>
      </c>
      <c r="M2131" s="4" t="s">
        <v>27</v>
      </c>
      <c r="N2131" s="4" t="s">
        <v>27</v>
      </c>
      <c r="O2131" s="51" t="b">
        <v>0</v>
      </c>
      <c r="P2131" s="51" t="b">
        <v>0</v>
      </c>
      <c r="Q2131" s="51" t="b">
        <v>0</v>
      </c>
      <c r="R2131" s="51" t="b">
        <v>0</v>
      </c>
      <c r="S2131" s="51" t="b">
        <v>0</v>
      </c>
    </row>
    <row r="2132" hidden="1">
      <c r="B2132" s="4" t="s">
        <v>27</v>
      </c>
      <c r="C2132" s="4" t="s">
        <v>27</v>
      </c>
      <c r="D2132" s="6" t="s">
        <v>27</v>
      </c>
      <c r="E2132" s="6" t="s">
        <v>27</v>
      </c>
      <c r="F2132" s="6" t="s">
        <v>27</v>
      </c>
      <c r="G2132" s="4" t="s">
        <v>27</v>
      </c>
      <c r="H2132" s="4" t="s">
        <v>27</v>
      </c>
      <c r="I2132" s="4" t="s">
        <v>27</v>
      </c>
      <c r="J2132" s="4" t="s">
        <v>27</v>
      </c>
      <c r="K2132" s="4" t="s">
        <v>27</v>
      </c>
      <c r="L2132" s="4" t="s">
        <v>27</v>
      </c>
      <c r="M2132" s="4" t="s">
        <v>27</v>
      </c>
      <c r="N2132" s="4" t="s">
        <v>27</v>
      </c>
      <c r="O2132" s="51" t="b">
        <v>0</v>
      </c>
      <c r="P2132" s="51" t="b">
        <v>0</v>
      </c>
      <c r="Q2132" s="51" t="b">
        <v>0</v>
      </c>
      <c r="R2132" s="51" t="b">
        <v>0</v>
      </c>
      <c r="S2132" s="51" t="b">
        <v>0</v>
      </c>
    </row>
    <row r="2133" hidden="1">
      <c r="B2133" s="4" t="s">
        <v>27</v>
      </c>
      <c r="C2133" s="4" t="s">
        <v>27</v>
      </c>
      <c r="D2133" s="6" t="s">
        <v>27</v>
      </c>
      <c r="E2133" s="6" t="s">
        <v>27</v>
      </c>
      <c r="F2133" s="6" t="s">
        <v>27</v>
      </c>
      <c r="G2133" s="4" t="s">
        <v>27</v>
      </c>
      <c r="H2133" s="4" t="s">
        <v>27</v>
      </c>
      <c r="I2133" s="4" t="s">
        <v>27</v>
      </c>
      <c r="J2133" s="4" t="s">
        <v>27</v>
      </c>
      <c r="K2133" s="4" t="s">
        <v>27</v>
      </c>
      <c r="L2133" s="4" t="s">
        <v>27</v>
      </c>
      <c r="M2133" s="4" t="s">
        <v>27</v>
      </c>
      <c r="N2133" s="4" t="s">
        <v>27</v>
      </c>
      <c r="O2133" s="51" t="b">
        <v>0</v>
      </c>
      <c r="P2133" s="51" t="b">
        <v>0</v>
      </c>
      <c r="Q2133" s="51" t="b">
        <v>0</v>
      </c>
      <c r="R2133" s="51" t="b">
        <v>0</v>
      </c>
      <c r="S2133" s="51" t="b">
        <v>0</v>
      </c>
    </row>
    <row r="2134" hidden="1">
      <c r="B2134" s="4" t="s">
        <v>27</v>
      </c>
      <c r="C2134" s="4" t="s">
        <v>27</v>
      </c>
      <c r="D2134" s="6" t="s">
        <v>27</v>
      </c>
      <c r="E2134" s="6" t="s">
        <v>27</v>
      </c>
      <c r="F2134" s="6" t="s">
        <v>27</v>
      </c>
      <c r="G2134" s="4" t="s">
        <v>27</v>
      </c>
      <c r="H2134" s="4" t="s">
        <v>27</v>
      </c>
      <c r="I2134" s="4" t="s">
        <v>27</v>
      </c>
      <c r="J2134" s="4" t="s">
        <v>27</v>
      </c>
      <c r="K2134" s="4" t="s">
        <v>27</v>
      </c>
      <c r="L2134" s="4" t="s">
        <v>27</v>
      </c>
      <c r="M2134" s="4" t="s">
        <v>27</v>
      </c>
      <c r="N2134" s="4" t="s">
        <v>27</v>
      </c>
      <c r="O2134" s="51" t="b">
        <v>0</v>
      </c>
      <c r="P2134" s="51" t="b">
        <v>0</v>
      </c>
      <c r="Q2134" s="51" t="b">
        <v>0</v>
      </c>
      <c r="R2134" s="51" t="b">
        <v>0</v>
      </c>
      <c r="S2134" s="51" t="b">
        <v>0</v>
      </c>
    </row>
    <row r="2135" hidden="1">
      <c r="B2135" s="4" t="s">
        <v>27</v>
      </c>
      <c r="C2135" s="4" t="s">
        <v>27</v>
      </c>
      <c r="D2135" s="6" t="s">
        <v>27</v>
      </c>
      <c r="E2135" s="6" t="s">
        <v>27</v>
      </c>
      <c r="F2135" s="6" t="s">
        <v>27</v>
      </c>
      <c r="G2135" s="4" t="s">
        <v>27</v>
      </c>
      <c r="H2135" s="4" t="s">
        <v>27</v>
      </c>
      <c r="I2135" s="4" t="s">
        <v>27</v>
      </c>
      <c r="J2135" s="4" t="s">
        <v>27</v>
      </c>
      <c r="K2135" s="4" t="s">
        <v>27</v>
      </c>
      <c r="L2135" s="4" t="s">
        <v>27</v>
      </c>
      <c r="M2135" s="4" t="s">
        <v>27</v>
      </c>
      <c r="N2135" s="4" t="s">
        <v>27</v>
      </c>
      <c r="O2135" s="51" t="b">
        <v>0</v>
      </c>
      <c r="P2135" s="51" t="b">
        <v>0</v>
      </c>
      <c r="Q2135" s="51" t="b">
        <v>0</v>
      </c>
      <c r="R2135" s="51" t="b">
        <v>0</v>
      </c>
      <c r="S2135" s="51" t="b">
        <v>0</v>
      </c>
    </row>
    <row r="2136" hidden="1">
      <c r="B2136" s="4" t="s">
        <v>27</v>
      </c>
      <c r="C2136" s="4" t="s">
        <v>27</v>
      </c>
      <c r="D2136" s="6" t="s">
        <v>27</v>
      </c>
      <c r="E2136" s="6" t="s">
        <v>27</v>
      </c>
      <c r="F2136" s="6" t="s">
        <v>27</v>
      </c>
      <c r="G2136" s="4" t="s">
        <v>27</v>
      </c>
      <c r="H2136" s="4" t="s">
        <v>27</v>
      </c>
      <c r="I2136" s="4" t="s">
        <v>27</v>
      </c>
      <c r="J2136" s="4" t="s">
        <v>27</v>
      </c>
      <c r="K2136" s="4" t="s">
        <v>27</v>
      </c>
      <c r="L2136" s="4" t="s">
        <v>27</v>
      </c>
      <c r="M2136" s="4" t="s">
        <v>27</v>
      </c>
      <c r="N2136" s="4" t="s">
        <v>27</v>
      </c>
      <c r="O2136" s="51" t="b">
        <v>0</v>
      </c>
      <c r="P2136" s="51" t="b">
        <v>0</v>
      </c>
      <c r="Q2136" s="51" t="b">
        <v>0</v>
      </c>
      <c r="R2136" s="51" t="b">
        <v>0</v>
      </c>
      <c r="S2136" s="51" t="b">
        <v>0</v>
      </c>
    </row>
    <row r="2137" hidden="1">
      <c r="B2137" s="4" t="s">
        <v>27</v>
      </c>
      <c r="C2137" s="4" t="s">
        <v>27</v>
      </c>
      <c r="D2137" s="6" t="s">
        <v>27</v>
      </c>
      <c r="E2137" s="6" t="s">
        <v>27</v>
      </c>
      <c r="F2137" s="6" t="s">
        <v>27</v>
      </c>
      <c r="G2137" s="4" t="s">
        <v>27</v>
      </c>
      <c r="H2137" s="4" t="s">
        <v>27</v>
      </c>
      <c r="I2137" s="4" t="s">
        <v>27</v>
      </c>
      <c r="J2137" s="4" t="s">
        <v>27</v>
      </c>
      <c r="K2137" s="4" t="s">
        <v>27</v>
      </c>
      <c r="L2137" s="4" t="s">
        <v>27</v>
      </c>
      <c r="M2137" s="4" t="s">
        <v>27</v>
      </c>
      <c r="N2137" s="4" t="s">
        <v>27</v>
      </c>
      <c r="O2137" s="51" t="b">
        <v>0</v>
      </c>
      <c r="P2137" s="51" t="b">
        <v>0</v>
      </c>
      <c r="Q2137" s="51" t="b">
        <v>0</v>
      </c>
      <c r="R2137" s="51" t="b">
        <v>0</v>
      </c>
      <c r="S2137" s="51" t="b">
        <v>0</v>
      </c>
    </row>
    <row r="2138" hidden="1">
      <c r="B2138" s="4" t="s">
        <v>27</v>
      </c>
      <c r="C2138" s="4" t="s">
        <v>27</v>
      </c>
      <c r="D2138" s="6" t="s">
        <v>27</v>
      </c>
      <c r="E2138" s="6" t="s">
        <v>27</v>
      </c>
      <c r="F2138" s="6" t="s">
        <v>27</v>
      </c>
      <c r="G2138" s="4" t="s">
        <v>27</v>
      </c>
      <c r="H2138" s="4" t="s">
        <v>27</v>
      </c>
      <c r="I2138" s="4" t="s">
        <v>27</v>
      </c>
      <c r="J2138" s="4" t="s">
        <v>27</v>
      </c>
      <c r="K2138" s="4" t="s">
        <v>27</v>
      </c>
      <c r="L2138" s="4" t="s">
        <v>27</v>
      </c>
      <c r="M2138" s="4" t="s">
        <v>27</v>
      </c>
      <c r="N2138" s="4" t="s">
        <v>27</v>
      </c>
      <c r="O2138" s="51" t="b">
        <v>0</v>
      </c>
      <c r="P2138" s="51" t="b">
        <v>0</v>
      </c>
      <c r="Q2138" s="51" t="b">
        <v>0</v>
      </c>
      <c r="R2138" s="51" t="b">
        <v>0</v>
      </c>
      <c r="S2138" s="51" t="b">
        <v>0</v>
      </c>
    </row>
    <row r="2139" hidden="1">
      <c r="B2139" s="4" t="s">
        <v>27</v>
      </c>
      <c r="C2139" s="4" t="s">
        <v>27</v>
      </c>
      <c r="D2139" s="6" t="s">
        <v>27</v>
      </c>
      <c r="E2139" s="6" t="s">
        <v>27</v>
      </c>
      <c r="F2139" s="6" t="s">
        <v>27</v>
      </c>
      <c r="G2139" s="4" t="s">
        <v>27</v>
      </c>
      <c r="H2139" s="4" t="s">
        <v>27</v>
      </c>
      <c r="I2139" s="4" t="s">
        <v>27</v>
      </c>
      <c r="J2139" s="4" t="s">
        <v>27</v>
      </c>
      <c r="K2139" s="4" t="s">
        <v>27</v>
      </c>
      <c r="L2139" s="4" t="s">
        <v>27</v>
      </c>
      <c r="M2139" s="4" t="s">
        <v>27</v>
      </c>
      <c r="N2139" s="4" t="s">
        <v>27</v>
      </c>
      <c r="O2139" s="51" t="b">
        <v>0</v>
      </c>
      <c r="P2139" s="51" t="b">
        <v>0</v>
      </c>
      <c r="Q2139" s="51" t="b">
        <v>0</v>
      </c>
      <c r="R2139" s="51" t="b">
        <v>0</v>
      </c>
      <c r="S2139" s="51" t="b">
        <v>0</v>
      </c>
    </row>
    <row r="2140" hidden="1">
      <c r="B2140" s="4" t="s">
        <v>27</v>
      </c>
      <c r="C2140" s="4" t="s">
        <v>27</v>
      </c>
      <c r="D2140" s="6" t="s">
        <v>27</v>
      </c>
      <c r="E2140" s="6" t="s">
        <v>27</v>
      </c>
      <c r="F2140" s="6" t="s">
        <v>27</v>
      </c>
      <c r="G2140" s="4" t="s">
        <v>27</v>
      </c>
      <c r="H2140" s="4" t="s">
        <v>27</v>
      </c>
      <c r="I2140" s="4" t="s">
        <v>27</v>
      </c>
      <c r="J2140" s="4" t="s">
        <v>27</v>
      </c>
      <c r="K2140" s="4" t="s">
        <v>27</v>
      </c>
      <c r="L2140" s="4" t="s">
        <v>27</v>
      </c>
      <c r="M2140" s="4" t="s">
        <v>27</v>
      </c>
      <c r="N2140" s="4" t="s">
        <v>27</v>
      </c>
      <c r="O2140" s="51" t="b">
        <v>0</v>
      </c>
      <c r="P2140" s="51" t="b">
        <v>0</v>
      </c>
      <c r="Q2140" s="51" t="b">
        <v>0</v>
      </c>
      <c r="R2140" s="51" t="b">
        <v>0</v>
      </c>
      <c r="S2140" s="51" t="b">
        <v>0</v>
      </c>
    </row>
    <row r="2141" hidden="1">
      <c r="B2141" s="4" t="s">
        <v>27</v>
      </c>
      <c r="C2141" s="4" t="s">
        <v>27</v>
      </c>
      <c r="D2141" s="6" t="s">
        <v>27</v>
      </c>
      <c r="E2141" s="6" t="s">
        <v>27</v>
      </c>
      <c r="F2141" s="6" t="s">
        <v>27</v>
      </c>
      <c r="G2141" s="4" t="s">
        <v>27</v>
      </c>
      <c r="H2141" s="4" t="s">
        <v>27</v>
      </c>
      <c r="I2141" s="4" t="s">
        <v>27</v>
      </c>
      <c r="J2141" s="4" t="s">
        <v>27</v>
      </c>
      <c r="K2141" s="4" t="s">
        <v>27</v>
      </c>
      <c r="L2141" s="4" t="s">
        <v>27</v>
      </c>
      <c r="M2141" s="4" t="s">
        <v>27</v>
      </c>
      <c r="N2141" s="4" t="s">
        <v>27</v>
      </c>
      <c r="O2141" s="51" t="b">
        <v>0</v>
      </c>
      <c r="P2141" s="51" t="b">
        <v>0</v>
      </c>
      <c r="Q2141" s="51" t="b">
        <v>0</v>
      </c>
      <c r="R2141" s="51" t="b">
        <v>0</v>
      </c>
      <c r="S2141" s="51" t="b">
        <v>0</v>
      </c>
    </row>
    <row r="2142" hidden="1">
      <c r="B2142" s="4" t="s">
        <v>27</v>
      </c>
      <c r="C2142" s="4" t="s">
        <v>27</v>
      </c>
      <c r="D2142" s="6" t="s">
        <v>27</v>
      </c>
      <c r="E2142" s="6" t="s">
        <v>27</v>
      </c>
      <c r="F2142" s="6" t="s">
        <v>27</v>
      </c>
      <c r="G2142" s="4" t="s">
        <v>27</v>
      </c>
      <c r="H2142" s="4" t="s">
        <v>27</v>
      </c>
      <c r="I2142" s="4" t="s">
        <v>27</v>
      </c>
      <c r="J2142" s="4" t="s">
        <v>27</v>
      </c>
      <c r="K2142" s="4" t="s">
        <v>27</v>
      </c>
      <c r="L2142" s="4" t="s">
        <v>27</v>
      </c>
      <c r="M2142" s="4" t="s">
        <v>27</v>
      </c>
      <c r="N2142" s="4" t="s">
        <v>27</v>
      </c>
      <c r="O2142" s="51" t="b">
        <v>0</v>
      </c>
      <c r="P2142" s="51" t="b">
        <v>0</v>
      </c>
      <c r="Q2142" s="51" t="b">
        <v>0</v>
      </c>
      <c r="R2142" s="51" t="b">
        <v>0</v>
      </c>
      <c r="S2142" s="51" t="b">
        <v>0</v>
      </c>
    </row>
    <row r="2143" hidden="1">
      <c r="B2143" s="4" t="s">
        <v>27</v>
      </c>
      <c r="C2143" s="4" t="s">
        <v>27</v>
      </c>
      <c r="D2143" s="6" t="s">
        <v>27</v>
      </c>
      <c r="E2143" s="6" t="s">
        <v>27</v>
      </c>
      <c r="F2143" s="6" t="s">
        <v>27</v>
      </c>
      <c r="G2143" s="4" t="s">
        <v>27</v>
      </c>
      <c r="H2143" s="4" t="s">
        <v>27</v>
      </c>
      <c r="I2143" s="4" t="s">
        <v>27</v>
      </c>
      <c r="J2143" s="4" t="s">
        <v>27</v>
      </c>
      <c r="K2143" s="4" t="s">
        <v>27</v>
      </c>
      <c r="L2143" s="4" t="s">
        <v>27</v>
      </c>
      <c r="M2143" s="4" t="s">
        <v>27</v>
      </c>
      <c r="N2143" s="4" t="s">
        <v>27</v>
      </c>
      <c r="O2143" s="51" t="b">
        <v>0</v>
      </c>
      <c r="P2143" s="51" t="b">
        <v>0</v>
      </c>
      <c r="Q2143" s="51" t="b">
        <v>0</v>
      </c>
      <c r="R2143" s="51" t="b">
        <v>0</v>
      </c>
      <c r="S2143" s="51" t="b">
        <v>0</v>
      </c>
    </row>
    <row r="2144" hidden="1">
      <c r="B2144" s="4" t="s">
        <v>27</v>
      </c>
      <c r="C2144" s="4" t="s">
        <v>27</v>
      </c>
      <c r="D2144" s="6" t="s">
        <v>27</v>
      </c>
      <c r="E2144" s="6" t="s">
        <v>27</v>
      </c>
      <c r="F2144" s="6" t="s">
        <v>27</v>
      </c>
      <c r="G2144" s="4" t="s">
        <v>27</v>
      </c>
      <c r="H2144" s="4" t="s">
        <v>27</v>
      </c>
      <c r="I2144" s="4" t="s">
        <v>27</v>
      </c>
      <c r="J2144" s="4" t="s">
        <v>27</v>
      </c>
      <c r="K2144" s="4" t="s">
        <v>27</v>
      </c>
      <c r="L2144" s="4" t="s">
        <v>27</v>
      </c>
      <c r="M2144" s="4" t="s">
        <v>27</v>
      </c>
      <c r="N2144" s="4" t="s">
        <v>27</v>
      </c>
      <c r="O2144" s="51" t="b">
        <v>0</v>
      </c>
      <c r="P2144" s="51" t="b">
        <v>0</v>
      </c>
      <c r="Q2144" s="51" t="b">
        <v>0</v>
      </c>
      <c r="R2144" s="51" t="b">
        <v>0</v>
      </c>
      <c r="S2144" s="51" t="b">
        <v>0</v>
      </c>
    </row>
    <row r="2145" hidden="1">
      <c r="B2145" s="4" t="s">
        <v>27</v>
      </c>
      <c r="C2145" s="4" t="s">
        <v>27</v>
      </c>
      <c r="D2145" s="6" t="s">
        <v>27</v>
      </c>
      <c r="E2145" s="6" t="s">
        <v>27</v>
      </c>
      <c r="F2145" s="6" t="s">
        <v>27</v>
      </c>
      <c r="G2145" s="4" t="s">
        <v>27</v>
      </c>
      <c r="H2145" s="4" t="s">
        <v>27</v>
      </c>
      <c r="I2145" s="4" t="s">
        <v>27</v>
      </c>
      <c r="J2145" s="4" t="s">
        <v>27</v>
      </c>
      <c r="K2145" s="4" t="s">
        <v>27</v>
      </c>
      <c r="L2145" s="4" t="s">
        <v>27</v>
      </c>
      <c r="M2145" s="4" t="s">
        <v>27</v>
      </c>
      <c r="N2145" s="4" t="s">
        <v>27</v>
      </c>
      <c r="O2145" s="51" t="b">
        <v>0</v>
      </c>
      <c r="P2145" s="51" t="b">
        <v>0</v>
      </c>
      <c r="Q2145" s="51" t="b">
        <v>0</v>
      </c>
      <c r="R2145" s="51" t="b">
        <v>0</v>
      </c>
      <c r="S2145" s="51" t="b">
        <v>0</v>
      </c>
    </row>
    <row r="2146" hidden="1">
      <c r="B2146" s="4" t="s">
        <v>27</v>
      </c>
      <c r="C2146" s="4" t="s">
        <v>27</v>
      </c>
      <c r="D2146" s="6" t="s">
        <v>27</v>
      </c>
      <c r="E2146" s="6" t="s">
        <v>27</v>
      </c>
      <c r="F2146" s="6" t="s">
        <v>27</v>
      </c>
      <c r="G2146" s="4" t="s">
        <v>27</v>
      </c>
      <c r="H2146" s="4" t="s">
        <v>27</v>
      </c>
      <c r="I2146" s="4" t="s">
        <v>27</v>
      </c>
      <c r="J2146" s="4" t="s">
        <v>27</v>
      </c>
      <c r="K2146" s="4" t="s">
        <v>27</v>
      </c>
      <c r="L2146" s="4" t="s">
        <v>27</v>
      </c>
      <c r="M2146" s="4" t="s">
        <v>27</v>
      </c>
      <c r="N2146" s="4" t="s">
        <v>27</v>
      </c>
      <c r="O2146" s="51" t="b">
        <v>0</v>
      </c>
      <c r="P2146" s="51" t="b">
        <v>0</v>
      </c>
      <c r="Q2146" s="51" t="b">
        <v>0</v>
      </c>
      <c r="R2146" s="51" t="b">
        <v>0</v>
      </c>
      <c r="S2146" s="51" t="b">
        <v>0</v>
      </c>
    </row>
    <row r="2147" hidden="1">
      <c r="B2147" s="4" t="s">
        <v>27</v>
      </c>
      <c r="C2147" s="4" t="s">
        <v>27</v>
      </c>
      <c r="D2147" s="6" t="s">
        <v>27</v>
      </c>
      <c r="E2147" s="6" t="s">
        <v>27</v>
      </c>
      <c r="F2147" s="6" t="s">
        <v>27</v>
      </c>
      <c r="G2147" s="4" t="s">
        <v>27</v>
      </c>
      <c r="H2147" s="4" t="s">
        <v>27</v>
      </c>
      <c r="I2147" s="4" t="s">
        <v>27</v>
      </c>
      <c r="J2147" s="4" t="s">
        <v>27</v>
      </c>
      <c r="K2147" s="4" t="s">
        <v>27</v>
      </c>
      <c r="L2147" s="4" t="s">
        <v>27</v>
      </c>
      <c r="M2147" s="4" t="s">
        <v>27</v>
      </c>
      <c r="N2147" s="4" t="s">
        <v>27</v>
      </c>
      <c r="O2147" s="51" t="b">
        <v>0</v>
      </c>
      <c r="P2147" s="51" t="b">
        <v>0</v>
      </c>
      <c r="Q2147" s="51" t="b">
        <v>0</v>
      </c>
      <c r="R2147" s="51" t="b">
        <v>0</v>
      </c>
      <c r="S2147" s="51" t="b">
        <v>0</v>
      </c>
    </row>
    <row r="2148" hidden="1">
      <c r="B2148" s="4" t="s">
        <v>27</v>
      </c>
      <c r="C2148" s="4" t="s">
        <v>27</v>
      </c>
      <c r="D2148" s="6" t="s">
        <v>27</v>
      </c>
      <c r="E2148" s="6" t="s">
        <v>27</v>
      </c>
      <c r="F2148" s="6" t="s">
        <v>27</v>
      </c>
      <c r="G2148" s="4" t="s">
        <v>27</v>
      </c>
      <c r="H2148" s="4" t="s">
        <v>27</v>
      </c>
      <c r="I2148" s="4" t="s">
        <v>27</v>
      </c>
      <c r="J2148" s="4" t="s">
        <v>27</v>
      </c>
      <c r="K2148" s="4" t="s">
        <v>27</v>
      </c>
      <c r="L2148" s="4" t="s">
        <v>27</v>
      </c>
      <c r="M2148" s="4" t="s">
        <v>27</v>
      </c>
      <c r="N2148" s="4" t="s">
        <v>27</v>
      </c>
      <c r="O2148" s="51" t="b">
        <v>0</v>
      </c>
      <c r="P2148" s="51" t="b">
        <v>0</v>
      </c>
      <c r="Q2148" s="51" t="b">
        <v>0</v>
      </c>
      <c r="R2148" s="51" t="b">
        <v>0</v>
      </c>
      <c r="S2148" s="51" t="b">
        <v>0</v>
      </c>
    </row>
    <row r="2149" hidden="1">
      <c r="B2149" s="4" t="s">
        <v>27</v>
      </c>
      <c r="C2149" s="4" t="s">
        <v>27</v>
      </c>
      <c r="D2149" s="6" t="s">
        <v>27</v>
      </c>
      <c r="E2149" s="6" t="s">
        <v>27</v>
      </c>
      <c r="F2149" s="6" t="s">
        <v>27</v>
      </c>
      <c r="G2149" s="4" t="s">
        <v>27</v>
      </c>
      <c r="H2149" s="4" t="s">
        <v>27</v>
      </c>
      <c r="I2149" s="4" t="s">
        <v>27</v>
      </c>
      <c r="J2149" s="4" t="s">
        <v>27</v>
      </c>
      <c r="K2149" s="4" t="s">
        <v>27</v>
      </c>
      <c r="L2149" s="4" t="s">
        <v>27</v>
      </c>
      <c r="M2149" s="4" t="s">
        <v>27</v>
      </c>
      <c r="N2149" s="4" t="s">
        <v>27</v>
      </c>
      <c r="O2149" s="51" t="b">
        <v>0</v>
      </c>
      <c r="P2149" s="51" t="b">
        <v>0</v>
      </c>
      <c r="Q2149" s="51" t="b">
        <v>0</v>
      </c>
      <c r="R2149" s="51" t="b">
        <v>0</v>
      </c>
      <c r="S2149" s="51" t="b">
        <v>0</v>
      </c>
    </row>
    <row r="2150" hidden="1">
      <c r="B2150" s="4" t="s">
        <v>27</v>
      </c>
      <c r="C2150" s="4" t="s">
        <v>27</v>
      </c>
      <c r="D2150" s="6" t="s">
        <v>27</v>
      </c>
      <c r="E2150" s="6" t="s">
        <v>27</v>
      </c>
      <c r="F2150" s="6" t="s">
        <v>27</v>
      </c>
      <c r="G2150" s="4" t="s">
        <v>27</v>
      </c>
      <c r="H2150" s="4" t="s">
        <v>27</v>
      </c>
      <c r="I2150" s="4" t="s">
        <v>27</v>
      </c>
      <c r="J2150" s="4" t="s">
        <v>27</v>
      </c>
      <c r="K2150" s="4" t="s">
        <v>27</v>
      </c>
      <c r="L2150" s="4" t="s">
        <v>27</v>
      </c>
      <c r="M2150" s="4" t="s">
        <v>27</v>
      </c>
      <c r="N2150" s="4" t="s">
        <v>27</v>
      </c>
      <c r="O2150" s="51" t="b">
        <v>0</v>
      </c>
      <c r="P2150" s="51" t="b">
        <v>0</v>
      </c>
      <c r="Q2150" s="51" t="b">
        <v>0</v>
      </c>
      <c r="R2150" s="51" t="b">
        <v>0</v>
      </c>
      <c r="S2150" s="51" t="b">
        <v>0</v>
      </c>
    </row>
    <row r="2151" hidden="1">
      <c r="B2151" s="4" t="s">
        <v>27</v>
      </c>
      <c r="C2151" s="4" t="s">
        <v>27</v>
      </c>
      <c r="D2151" s="6" t="s">
        <v>27</v>
      </c>
      <c r="E2151" s="6" t="s">
        <v>27</v>
      </c>
      <c r="F2151" s="6" t="s">
        <v>27</v>
      </c>
      <c r="G2151" s="4" t="s">
        <v>27</v>
      </c>
      <c r="H2151" s="4" t="s">
        <v>27</v>
      </c>
      <c r="I2151" s="4" t="s">
        <v>27</v>
      </c>
      <c r="J2151" s="4" t="s">
        <v>27</v>
      </c>
      <c r="K2151" s="4" t="s">
        <v>27</v>
      </c>
      <c r="L2151" s="4" t="s">
        <v>27</v>
      </c>
      <c r="M2151" s="4" t="s">
        <v>27</v>
      </c>
      <c r="N2151" s="4" t="s">
        <v>27</v>
      </c>
      <c r="O2151" s="51" t="b">
        <v>0</v>
      </c>
      <c r="P2151" s="51" t="b">
        <v>0</v>
      </c>
      <c r="Q2151" s="51" t="b">
        <v>0</v>
      </c>
      <c r="R2151" s="51" t="b">
        <v>0</v>
      </c>
      <c r="S2151" s="51" t="b">
        <v>0</v>
      </c>
    </row>
    <row r="2152" hidden="1">
      <c r="B2152" s="4" t="s">
        <v>27</v>
      </c>
      <c r="C2152" s="4" t="s">
        <v>27</v>
      </c>
      <c r="D2152" s="6" t="s">
        <v>27</v>
      </c>
      <c r="E2152" s="6" t="s">
        <v>27</v>
      </c>
      <c r="F2152" s="6" t="s">
        <v>27</v>
      </c>
      <c r="G2152" s="4" t="s">
        <v>27</v>
      </c>
      <c r="H2152" s="4" t="s">
        <v>27</v>
      </c>
      <c r="I2152" s="4" t="s">
        <v>27</v>
      </c>
      <c r="J2152" s="4" t="s">
        <v>27</v>
      </c>
      <c r="K2152" s="4" t="s">
        <v>27</v>
      </c>
      <c r="L2152" s="4" t="s">
        <v>27</v>
      </c>
      <c r="M2152" s="4" t="s">
        <v>27</v>
      </c>
      <c r="N2152" s="4" t="s">
        <v>27</v>
      </c>
      <c r="O2152" s="51" t="b">
        <v>0</v>
      </c>
      <c r="P2152" s="51" t="b">
        <v>0</v>
      </c>
      <c r="Q2152" s="51" t="b">
        <v>0</v>
      </c>
      <c r="R2152" s="51" t="b">
        <v>0</v>
      </c>
      <c r="S2152" s="51" t="b">
        <v>0</v>
      </c>
    </row>
    <row r="2153" hidden="1">
      <c r="B2153" s="4" t="s">
        <v>27</v>
      </c>
      <c r="C2153" s="4" t="s">
        <v>27</v>
      </c>
      <c r="D2153" s="6" t="s">
        <v>27</v>
      </c>
      <c r="E2153" s="6" t="s">
        <v>27</v>
      </c>
      <c r="F2153" s="6" t="s">
        <v>27</v>
      </c>
      <c r="G2153" s="4" t="s">
        <v>27</v>
      </c>
      <c r="H2153" s="4" t="s">
        <v>27</v>
      </c>
      <c r="I2153" s="4" t="s">
        <v>27</v>
      </c>
      <c r="J2153" s="4" t="s">
        <v>27</v>
      </c>
      <c r="K2153" s="4" t="s">
        <v>27</v>
      </c>
      <c r="L2153" s="4" t="s">
        <v>27</v>
      </c>
      <c r="M2153" s="4" t="s">
        <v>27</v>
      </c>
      <c r="N2153" s="4" t="s">
        <v>27</v>
      </c>
      <c r="O2153" s="51" t="b">
        <v>0</v>
      </c>
      <c r="P2153" s="51" t="b">
        <v>0</v>
      </c>
      <c r="Q2153" s="51" t="b">
        <v>0</v>
      </c>
      <c r="R2153" s="51" t="b">
        <v>0</v>
      </c>
      <c r="S2153" s="51" t="b">
        <v>0</v>
      </c>
    </row>
    <row r="2154" hidden="1">
      <c r="B2154" s="4" t="s">
        <v>27</v>
      </c>
      <c r="C2154" s="4" t="s">
        <v>27</v>
      </c>
      <c r="D2154" s="6" t="s">
        <v>27</v>
      </c>
      <c r="E2154" s="6" t="s">
        <v>27</v>
      </c>
      <c r="F2154" s="6" t="s">
        <v>27</v>
      </c>
      <c r="G2154" s="4" t="s">
        <v>27</v>
      </c>
      <c r="H2154" s="4" t="s">
        <v>27</v>
      </c>
      <c r="I2154" s="4" t="s">
        <v>27</v>
      </c>
      <c r="J2154" s="4" t="s">
        <v>27</v>
      </c>
      <c r="K2154" s="4" t="s">
        <v>27</v>
      </c>
      <c r="L2154" s="4" t="s">
        <v>27</v>
      </c>
      <c r="M2154" s="4" t="s">
        <v>27</v>
      </c>
      <c r="N2154" s="4" t="s">
        <v>27</v>
      </c>
      <c r="O2154" s="51" t="b">
        <v>0</v>
      </c>
      <c r="P2154" s="51" t="b">
        <v>0</v>
      </c>
      <c r="Q2154" s="51" t="b">
        <v>0</v>
      </c>
      <c r="R2154" s="51" t="b">
        <v>0</v>
      </c>
      <c r="S2154" s="51" t="b">
        <v>0</v>
      </c>
    </row>
    <row r="2155" hidden="1">
      <c r="B2155" s="4" t="s">
        <v>27</v>
      </c>
      <c r="C2155" s="4" t="s">
        <v>27</v>
      </c>
      <c r="D2155" s="6" t="s">
        <v>27</v>
      </c>
      <c r="E2155" s="6" t="s">
        <v>27</v>
      </c>
      <c r="F2155" s="6" t="s">
        <v>27</v>
      </c>
      <c r="G2155" s="4" t="s">
        <v>27</v>
      </c>
      <c r="H2155" s="4" t="s">
        <v>27</v>
      </c>
      <c r="I2155" s="4" t="s">
        <v>27</v>
      </c>
      <c r="J2155" s="4" t="s">
        <v>27</v>
      </c>
      <c r="K2155" s="4" t="s">
        <v>27</v>
      </c>
      <c r="L2155" s="4" t="s">
        <v>27</v>
      </c>
      <c r="M2155" s="4" t="s">
        <v>27</v>
      </c>
      <c r="N2155" s="4" t="s">
        <v>27</v>
      </c>
      <c r="O2155" s="51" t="b">
        <v>0</v>
      </c>
      <c r="P2155" s="51" t="b">
        <v>0</v>
      </c>
      <c r="Q2155" s="51" t="b">
        <v>0</v>
      </c>
      <c r="R2155" s="51" t="b">
        <v>0</v>
      </c>
      <c r="S2155" s="51" t="b">
        <v>0</v>
      </c>
    </row>
    <row r="2156" hidden="1">
      <c r="B2156" s="4" t="s">
        <v>27</v>
      </c>
      <c r="C2156" s="4" t="s">
        <v>27</v>
      </c>
      <c r="D2156" s="6" t="s">
        <v>27</v>
      </c>
      <c r="E2156" s="6" t="s">
        <v>27</v>
      </c>
      <c r="F2156" s="6" t="s">
        <v>27</v>
      </c>
      <c r="G2156" s="4" t="s">
        <v>27</v>
      </c>
      <c r="H2156" s="4" t="s">
        <v>27</v>
      </c>
      <c r="I2156" s="4" t="s">
        <v>27</v>
      </c>
      <c r="J2156" s="4" t="s">
        <v>27</v>
      </c>
      <c r="K2156" s="4" t="s">
        <v>27</v>
      </c>
      <c r="L2156" s="4" t="s">
        <v>27</v>
      </c>
      <c r="M2156" s="4" t="s">
        <v>27</v>
      </c>
      <c r="N2156" s="4" t="s">
        <v>27</v>
      </c>
      <c r="O2156" s="51" t="b">
        <v>0</v>
      </c>
      <c r="P2156" s="51" t="b">
        <v>0</v>
      </c>
      <c r="Q2156" s="51" t="b">
        <v>0</v>
      </c>
      <c r="R2156" s="51" t="b">
        <v>0</v>
      </c>
      <c r="S2156" s="51" t="b">
        <v>0</v>
      </c>
    </row>
    <row r="2157" hidden="1">
      <c r="B2157" s="4" t="s">
        <v>27</v>
      </c>
      <c r="C2157" s="4" t="s">
        <v>27</v>
      </c>
      <c r="D2157" s="6" t="s">
        <v>27</v>
      </c>
      <c r="E2157" s="6" t="s">
        <v>27</v>
      </c>
      <c r="F2157" s="6" t="s">
        <v>27</v>
      </c>
      <c r="G2157" s="4" t="s">
        <v>27</v>
      </c>
      <c r="H2157" s="4" t="s">
        <v>27</v>
      </c>
      <c r="I2157" s="4" t="s">
        <v>27</v>
      </c>
      <c r="J2157" s="4" t="s">
        <v>27</v>
      </c>
      <c r="K2157" s="4" t="s">
        <v>27</v>
      </c>
      <c r="L2157" s="4" t="s">
        <v>27</v>
      </c>
      <c r="M2157" s="4" t="s">
        <v>27</v>
      </c>
      <c r="N2157" s="4" t="s">
        <v>27</v>
      </c>
      <c r="O2157" s="51" t="b">
        <v>0</v>
      </c>
      <c r="P2157" s="51" t="b">
        <v>0</v>
      </c>
      <c r="Q2157" s="51" t="b">
        <v>0</v>
      </c>
      <c r="R2157" s="51" t="b">
        <v>0</v>
      </c>
      <c r="S2157" s="51" t="b">
        <v>0</v>
      </c>
    </row>
    <row r="2158" hidden="1">
      <c r="B2158" s="4" t="s">
        <v>27</v>
      </c>
      <c r="C2158" s="4" t="s">
        <v>27</v>
      </c>
      <c r="D2158" s="6" t="s">
        <v>27</v>
      </c>
      <c r="E2158" s="6" t="s">
        <v>27</v>
      </c>
      <c r="F2158" s="6" t="s">
        <v>27</v>
      </c>
      <c r="G2158" s="4" t="s">
        <v>27</v>
      </c>
      <c r="H2158" s="4" t="s">
        <v>27</v>
      </c>
      <c r="I2158" s="4" t="s">
        <v>27</v>
      </c>
      <c r="J2158" s="4" t="s">
        <v>27</v>
      </c>
      <c r="K2158" s="4" t="s">
        <v>27</v>
      </c>
      <c r="L2158" s="4" t="s">
        <v>27</v>
      </c>
      <c r="M2158" s="4" t="s">
        <v>27</v>
      </c>
      <c r="N2158" s="4" t="s">
        <v>27</v>
      </c>
      <c r="O2158" s="51" t="b">
        <v>0</v>
      </c>
      <c r="P2158" s="51" t="b">
        <v>0</v>
      </c>
      <c r="Q2158" s="51" t="b">
        <v>0</v>
      </c>
      <c r="R2158" s="51" t="b">
        <v>0</v>
      </c>
      <c r="S2158" s="51" t="b">
        <v>0</v>
      </c>
    </row>
    <row r="2159" hidden="1">
      <c r="B2159" s="4" t="s">
        <v>27</v>
      </c>
      <c r="C2159" s="4" t="s">
        <v>27</v>
      </c>
      <c r="D2159" s="6" t="s">
        <v>27</v>
      </c>
      <c r="E2159" s="6" t="s">
        <v>27</v>
      </c>
      <c r="F2159" s="6" t="s">
        <v>27</v>
      </c>
      <c r="G2159" s="4" t="s">
        <v>27</v>
      </c>
      <c r="H2159" s="4" t="s">
        <v>27</v>
      </c>
      <c r="I2159" s="4" t="s">
        <v>27</v>
      </c>
      <c r="J2159" s="4" t="s">
        <v>27</v>
      </c>
      <c r="K2159" s="4" t="s">
        <v>27</v>
      </c>
      <c r="L2159" s="4" t="s">
        <v>27</v>
      </c>
      <c r="M2159" s="4" t="s">
        <v>27</v>
      </c>
      <c r="N2159" s="4" t="s">
        <v>27</v>
      </c>
      <c r="O2159" s="51" t="b">
        <v>0</v>
      </c>
      <c r="P2159" s="51" t="b">
        <v>0</v>
      </c>
      <c r="Q2159" s="51" t="b">
        <v>0</v>
      </c>
      <c r="R2159" s="51" t="b">
        <v>0</v>
      </c>
      <c r="S2159" s="51" t="b">
        <v>0</v>
      </c>
    </row>
    <row r="2160" hidden="1">
      <c r="B2160" s="4" t="s">
        <v>27</v>
      </c>
      <c r="C2160" s="4" t="s">
        <v>27</v>
      </c>
      <c r="D2160" s="6" t="s">
        <v>27</v>
      </c>
      <c r="E2160" s="6" t="s">
        <v>27</v>
      </c>
      <c r="F2160" s="6" t="s">
        <v>27</v>
      </c>
      <c r="G2160" s="4" t="s">
        <v>27</v>
      </c>
      <c r="H2160" s="4" t="s">
        <v>27</v>
      </c>
      <c r="I2160" s="4" t="s">
        <v>27</v>
      </c>
      <c r="J2160" s="4" t="s">
        <v>27</v>
      </c>
      <c r="K2160" s="4" t="s">
        <v>27</v>
      </c>
      <c r="L2160" s="4" t="s">
        <v>27</v>
      </c>
      <c r="M2160" s="4" t="s">
        <v>27</v>
      </c>
      <c r="N2160" s="4" t="s">
        <v>27</v>
      </c>
      <c r="O2160" s="51" t="b">
        <v>0</v>
      </c>
      <c r="P2160" s="51" t="b">
        <v>0</v>
      </c>
      <c r="Q2160" s="51" t="b">
        <v>0</v>
      </c>
      <c r="R2160" s="51" t="b">
        <v>0</v>
      </c>
      <c r="S2160" s="51" t="b">
        <v>0</v>
      </c>
    </row>
    <row r="2161" hidden="1">
      <c r="B2161" s="4" t="s">
        <v>27</v>
      </c>
      <c r="C2161" s="4" t="s">
        <v>27</v>
      </c>
      <c r="D2161" s="6" t="s">
        <v>27</v>
      </c>
      <c r="E2161" s="6" t="s">
        <v>27</v>
      </c>
      <c r="F2161" s="6" t="s">
        <v>27</v>
      </c>
      <c r="G2161" s="4" t="s">
        <v>27</v>
      </c>
      <c r="H2161" s="4" t="s">
        <v>27</v>
      </c>
      <c r="I2161" s="4" t="s">
        <v>27</v>
      </c>
      <c r="J2161" s="4" t="s">
        <v>27</v>
      </c>
      <c r="K2161" s="4" t="s">
        <v>27</v>
      </c>
      <c r="L2161" s="4" t="s">
        <v>27</v>
      </c>
      <c r="M2161" s="4" t="s">
        <v>27</v>
      </c>
      <c r="N2161" s="4" t="s">
        <v>27</v>
      </c>
      <c r="O2161" s="51" t="b">
        <v>0</v>
      </c>
      <c r="P2161" s="51" t="b">
        <v>0</v>
      </c>
      <c r="Q2161" s="51" t="b">
        <v>0</v>
      </c>
      <c r="R2161" s="51" t="b">
        <v>0</v>
      </c>
      <c r="S2161" s="51" t="b">
        <v>0</v>
      </c>
    </row>
    <row r="2162" hidden="1">
      <c r="B2162" s="4" t="s">
        <v>27</v>
      </c>
      <c r="C2162" s="4" t="s">
        <v>27</v>
      </c>
      <c r="D2162" s="6" t="s">
        <v>27</v>
      </c>
      <c r="E2162" s="6" t="s">
        <v>27</v>
      </c>
      <c r="F2162" s="6" t="s">
        <v>27</v>
      </c>
      <c r="G2162" s="4" t="s">
        <v>27</v>
      </c>
      <c r="H2162" s="4" t="s">
        <v>27</v>
      </c>
      <c r="I2162" s="4" t="s">
        <v>27</v>
      </c>
      <c r="J2162" s="4" t="s">
        <v>27</v>
      </c>
      <c r="K2162" s="4" t="s">
        <v>27</v>
      </c>
      <c r="L2162" s="4" t="s">
        <v>27</v>
      </c>
      <c r="M2162" s="4" t="s">
        <v>27</v>
      </c>
      <c r="N2162" s="4" t="s">
        <v>27</v>
      </c>
      <c r="O2162" s="51" t="b">
        <v>0</v>
      </c>
      <c r="P2162" s="51" t="b">
        <v>0</v>
      </c>
      <c r="Q2162" s="51" t="b">
        <v>0</v>
      </c>
      <c r="R2162" s="51" t="b">
        <v>0</v>
      </c>
      <c r="S2162" s="51" t="b">
        <v>0</v>
      </c>
    </row>
    <row r="2163" hidden="1">
      <c r="B2163" s="4" t="s">
        <v>27</v>
      </c>
      <c r="C2163" s="4" t="s">
        <v>27</v>
      </c>
      <c r="D2163" s="6" t="s">
        <v>27</v>
      </c>
      <c r="E2163" s="6" t="s">
        <v>27</v>
      </c>
      <c r="F2163" s="6" t="s">
        <v>27</v>
      </c>
      <c r="G2163" s="4" t="s">
        <v>27</v>
      </c>
      <c r="H2163" s="4" t="s">
        <v>27</v>
      </c>
      <c r="I2163" s="4" t="s">
        <v>27</v>
      </c>
      <c r="J2163" s="4" t="s">
        <v>27</v>
      </c>
      <c r="K2163" s="4" t="s">
        <v>27</v>
      </c>
      <c r="L2163" s="4" t="s">
        <v>27</v>
      </c>
      <c r="M2163" s="4" t="s">
        <v>27</v>
      </c>
      <c r="N2163" s="4" t="s">
        <v>27</v>
      </c>
      <c r="O2163" s="51" t="b">
        <v>0</v>
      </c>
      <c r="P2163" s="51" t="b">
        <v>0</v>
      </c>
      <c r="Q2163" s="51" t="b">
        <v>0</v>
      </c>
      <c r="R2163" s="51" t="b">
        <v>0</v>
      </c>
      <c r="S2163" s="51" t="b">
        <v>0</v>
      </c>
    </row>
    <row r="2164" hidden="1">
      <c r="B2164" s="4" t="s">
        <v>27</v>
      </c>
      <c r="C2164" s="4" t="s">
        <v>27</v>
      </c>
      <c r="D2164" s="6" t="s">
        <v>27</v>
      </c>
      <c r="E2164" s="6" t="s">
        <v>27</v>
      </c>
      <c r="F2164" s="6" t="s">
        <v>27</v>
      </c>
      <c r="G2164" s="4" t="s">
        <v>27</v>
      </c>
      <c r="H2164" s="4" t="s">
        <v>27</v>
      </c>
      <c r="I2164" s="4" t="s">
        <v>27</v>
      </c>
      <c r="J2164" s="4" t="s">
        <v>27</v>
      </c>
      <c r="K2164" s="4" t="s">
        <v>27</v>
      </c>
      <c r="L2164" s="4" t="s">
        <v>27</v>
      </c>
      <c r="M2164" s="4" t="s">
        <v>27</v>
      </c>
      <c r="N2164" s="4" t="s">
        <v>27</v>
      </c>
      <c r="O2164" s="51" t="b">
        <v>0</v>
      </c>
      <c r="P2164" s="51" t="b">
        <v>0</v>
      </c>
      <c r="Q2164" s="51" t="b">
        <v>0</v>
      </c>
      <c r="R2164" s="51" t="b">
        <v>0</v>
      </c>
      <c r="S2164" s="51" t="b">
        <v>0</v>
      </c>
    </row>
    <row r="2165" hidden="1">
      <c r="B2165" s="4" t="s">
        <v>27</v>
      </c>
      <c r="C2165" s="4" t="s">
        <v>27</v>
      </c>
      <c r="D2165" s="6" t="s">
        <v>27</v>
      </c>
      <c r="E2165" s="6" t="s">
        <v>27</v>
      </c>
      <c r="F2165" s="6" t="s">
        <v>27</v>
      </c>
      <c r="G2165" s="4" t="s">
        <v>27</v>
      </c>
      <c r="H2165" s="4" t="s">
        <v>27</v>
      </c>
      <c r="I2165" s="4" t="s">
        <v>27</v>
      </c>
      <c r="J2165" s="4" t="s">
        <v>27</v>
      </c>
      <c r="K2165" s="4" t="s">
        <v>27</v>
      </c>
      <c r="L2165" s="4" t="s">
        <v>27</v>
      </c>
      <c r="M2165" s="4" t="s">
        <v>27</v>
      </c>
      <c r="N2165" s="4" t="s">
        <v>27</v>
      </c>
      <c r="O2165" s="51" t="b">
        <v>0</v>
      </c>
      <c r="P2165" s="51" t="b">
        <v>0</v>
      </c>
      <c r="Q2165" s="51" t="b">
        <v>0</v>
      </c>
      <c r="R2165" s="51" t="b">
        <v>0</v>
      </c>
      <c r="S2165" s="51" t="b">
        <v>0</v>
      </c>
    </row>
    <row r="2166" hidden="1">
      <c r="B2166" s="4" t="s">
        <v>27</v>
      </c>
      <c r="C2166" s="4" t="s">
        <v>27</v>
      </c>
      <c r="D2166" s="6" t="s">
        <v>27</v>
      </c>
      <c r="E2166" s="6" t="s">
        <v>27</v>
      </c>
      <c r="F2166" s="6" t="s">
        <v>27</v>
      </c>
      <c r="G2166" s="4" t="s">
        <v>27</v>
      </c>
      <c r="H2166" s="4" t="s">
        <v>27</v>
      </c>
      <c r="I2166" s="4" t="s">
        <v>27</v>
      </c>
      <c r="J2166" s="4" t="s">
        <v>27</v>
      </c>
      <c r="K2166" s="4" t="s">
        <v>27</v>
      </c>
      <c r="L2166" s="4" t="s">
        <v>27</v>
      </c>
      <c r="M2166" s="4" t="s">
        <v>27</v>
      </c>
      <c r="N2166" s="4" t="s">
        <v>27</v>
      </c>
      <c r="O2166" s="51" t="b">
        <v>0</v>
      </c>
      <c r="P2166" s="51" t="b">
        <v>0</v>
      </c>
      <c r="Q2166" s="51" t="b">
        <v>0</v>
      </c>
      <c r="R2166" s="51" t="b">
        <v>0</v>
      </c>
      <c r="S2166" s="51" t="b">
        <v>0</v>
      </c>
    </row>
    <row r="2167" hidden="1">
      <c r="B2167" s="4" t="s">
        <v>27</v>
      </c>
      <c r="C2167" s="4" t="s">
        <v>27</v>
      </c>
      <c r="D2167" s="6" t="s">
        <v>27</v>
      </c>
      <c r="E2167" s="6" t="s">
        <v>27</v>
      </c>
      <c r="F2167" s="6" t="s">
        <v>27</v>
      </c>
      <c r="G2167" s="4" t="s">
        <v>27</v>
      </c>
      <c r="H2167" s="4" t="s">
        <v>27</v>
      </c>
      <c r="I2167" s="4" t="s">
        <v>27</v>
      </c>
      <c r="J2167" s="4" t="s">
        <v>27</v>
      </c>
      <c r="K2167" s="4" t="s">
        <v>27</v>
      </c>
      <c r="L2167" s="4" t="s">
        <v>27</v>
      </c>
      <c r="M2167" s="4" t="s">
        <v>27</v>
      </c>
      <c r="N2167" s="4" t="s">
        <v>27</v>
      </c>
      <c r="O2167" s="51" t="b">
        <v>0</v>
      </c>
      <c r="P2167" s="51" t="b">
        <v>0</v>
      </c>
      <c r="Q2167" s="51" t="b">
        <v>0</v>
      </c>
      <c r="R2167" s="51" t="b">
        <v>0</v>
      </c>
      <c r="S2167" s="51" t="b">
        <v>0</v>
      </c>
    </row>
    <row r="2168" hidden="1">
      <c r="B2168" s="4" t="s">
        <v>27</v>
      </c>
      <c r="C2168" s="4" t="s">
        <v>27</v>
      </c>
      <c r="D2168" s="6" t="s">
        <v>27</v>
      </c>
      <c r="E2168" s="6" t="s">
        <v>27</v>
      </c>
      <c r="F2168" s="6" t="s">
        <v>27</v>
      </c>
      <c r="G2168" s="4" t="s">
        <v>27</v>
      </c>
      <c r="H2168" s="4" t="s">
        <v>27</v>
      </c>
      <c r="I2168" s="4" t="s">
        <v>27</v>
      </c>
      <c r="J2168" s="4" t="s">
        <v>27</v>
      </c>
      <c r="K2168" s="4" t="s">
        <v>27</v>
      </c>
      <c r="L2168" s="4" t="s">
        <v>27</v>
      </c>
      <c r="M2168" s="4" t="s">
        <v>27</v>
      </c>
      <c r="N2168" s="4" t="s">
        <v>27</v>
      </c>
      <c r="O2168" s="51" t="b">
        <v>0</v>
      </c>
      <c r="P2168" s="51" t="b">
        <v>0</v>
      </c>
      <c r="Q2168" s="51" t="b">
        <v>0</v>
      </c>
      <c r="R2168" s="51" t="b">
        <v>0</v>
      </c>
      <c r="S2168" s="51" t="b">
        <v>0</v>
      </c>
    </row>
    <row r="2169" hidden="1">
      <c r="B2169" s="4" t="s">
        <v>27</v>
      </c>
      <c r="C2169" s="4" t="s">
        <v>27</v>
      </c>
      <c r="D2169" s="6" t="s">
        <v>27</v>
      </c>
      <c r="E2169" s="6" t="s">
        <v>27</v>
      </c>
      <c r="F2169" s="6" t="s">
        <v>27</v>
      </c>
      <c r="G2169" s="4" t="s">
        <v>27</v>
      </c>
      <c r="H2169" s="4" t="s">
        <v>27</v>
      </c>
      <c r="I2169" s="4" t="s">
        <v>27</v>
      </c>
      <c r="J2169" s="4" t="s">
        <v>27</v>
      </c>
      <c r="K2169" s="4" t="s">
        <v>27</v>
      </c>
      <c r="L2169" s="4" t="s">
        <v>27</v>
      </c>
      <c r="M2169" s="4" t="s">
        <v>27</v>
      </c>
      <c r="N2169" s="4" t="s">
        <v>27</v>
      </c>
      <c r="O2169" s="51" t="b">
        <v>0</v>
      </c>
      <c r="P2169" s="51" t="b">
        <v>0</v>
      </c>
      <c r="Q2169" s="51" t="b">
        <v>0</v>
      </c>
      <c r="R2169" s="51" t="b">
        <v>0</v>
      </c>
      <c r="S2169" s="51" t="b">
        <v>0</v>
      </c>
    </row>
    <row r="2170" hidden="1">
      <c r="B2170" s="4" t="s">
        <v>27</v>
      </c>
      <c r="C2170" s="4" t="s">
        <v>27</v>
      </c>
      <c r="D2170" s="6" t="s">
        <v>27</v>
      </c>
      <c r="E2170" s="6" t="s">
        <v>27</v>
      </c>
      <c r="F2170" s="6" t="s">
        <v>27</v>
      </c>
      <c r="G2170" s="4" t="s">
        <v>27</v>
      </c>
      <c r="H2170" s="4" t="s">
        <v>27</v>
      </c>
      <c r="I2170" s="4" t="s">
        <v>27</v>
      </c>
      <c r="J2170" s="4" t="s">
        <v>27</v>
      </c>
      <c r="K2170" s="4" t="s">
        <v>27</v>
      </c>
      <c r="L2170" s="4" t="s">
        <v>27</v>
      </c>
      <c r="M2170" s="4" t="s">
        <v>27</v>
      </c>
      <c r="N2170" s="4" t="s">
        <v>27</v>
      </c>
      <c r="O2170" s="51" t="b">
        <v>0</v>
      </c>
      <c r="P2170" s="51" t="b">
        <v>0</v>
      </c>
      <c r="Q2170" s="51" t="b">
        <v>0</v>
      </c>
      <c r="R2170" s="51" t="b">
        <v>0</v>
      </c>
      <c r="S2170" s="51" t="b">
        <v>0</v>
      </c>
    </row>
    <row r="2171" hidden="1">
      <c r="B2171" s="4" t="s">
        <v>27</v>
      </c>
      <c r="C2171" s="4" t="s">
        <v>27</v>
      </c>
      <c r="D2171" s="6" t="s">
        <v>27</v>
      </c>
      <c r="E2171" s="6" t="s">
        <v>27</v>
      </c>
      <c r="F2171" s="6" t="s">
        <v>27</v>
      </c>
      <c r="G2171" s="4" t="s">
        <v>27</v>
      </c>
      <c r="H2171" s="4" t="s">
        <v>27</v>
      </c>
      <c r="I2171" s="4" t="s">
        <v>27</v>
      </c>
      <c r="J2171" s="4" t="s">
        <v>27</v>
      </c>
      <c r="K2171" s="4" t="s">
        <v>27</v>
      </c>
      <c r="L2171" s="4" t="s">
        <v>27</v>
      </c>
      <c r="M2171" s="4" t="s">
        <v>27</v>
      </c>
      <c r="N2171" s="4" t="s">
        <v>27</v>
      </c>
      <c r="O2171" s="51" t="b">
        <v>0</v>
      </c>
      <c r="P2171" s="51" t="b">
        <v>0</v>
      </c>
      <c r="Q2171" s="51" t="b">
        <v>0</v>
      </c>
      <c r="R2171" s="51" t="b">
        <v>0</v>
      </c>
      <c r="S2171" s="51" t="b">
        <v>0</v>
      </c>
    </row>
    <row r="2172" hidden="1">
      <c r="B2172" s="4" t="s">
        <v>27</v>
      </c>
      <c r="C2172" s="4" t="s">
        <v>27</v>
      </c>
      <c r="D2172" s="6" t="s">
        <v>27</v>
      </c>
      <c r="E2172" s="6" t="s">
        <v>27</v>
      </c>
      <c r="F2172" s="6" t="s">
        <v>27</v>
      </c>
      <c r="G2172" s="4" t="s">
        <v>27</v>
      </c>
      <c r="H2172" s="4" t="s">
        <v>27</v>
      </c>
      <c r="I2172" s="4" t="s">
        <v>27</v>
      </c>
      <c r="J2172" s="4" t="s">
        <v>27</v>
      </c>
      <c r="K2172" s="4" t="s">
        <v>27</v>
      </c>
      <c r="L2172" s="4" t="s">
        <v>27</v>
      </c>
      <c r="M2172" s="4" t="s">
        <v>27</v>
      </c>
      <c r="N2172" s="4" t="s">
        <v>27</v>
      </c>
      <c r="O2172" s="51" t="b">
        <v>0</v>
      </c>
      <c r="P2172" s="51" t="b">
        <v>0</v>
      </c>
      <c r="Q2172" s="51" t="b">
        <v>0</v>
      </c>
      <c r="R2172" s="51" t="b">
        <v>0</v>
      </c>
      <c r="S2172" s="51" t="b">
        <v>0</v>
      </c>
    </row>
    <row r="2173" hidden="1">
      <c r="B2173" s="4" t="s">
        <v>27</v>
      </c>
      <c r="C2173" s="4" t="s">
        <v>27</v>
      </c>
      <c r="D2173" s="6" t="s">
        <v>27</v>
      </c>
      <c r="E2173" s="6" t="s">
        <v>27</v>
      </c>
      <c r="F2173" s="6" t="s">
        <v>27</v>
      </c>
      <c r="G2173" s="4" t="s">
        <v>27</v>
      </c>
      <c r="H2173" s="4" t="s">
        <v>27</v>
      </c>
      <c r="I2173" s="4" t="s">
        <v>27</v>
      </c>
      <c r="J2173" s="4" t="s">
        <v>27</v>
      </c>
      <c r="K2173" s="4" t="s">
        <v>27</v>
      </c>
      <c r="L2173" s="4" t="s">
        <v>27</v>
      </c>
      <c r="M2173" s="4" t="s">
        <v>27</v>
      </c>
      <c r="N2173" s="4" t="s">
        <v>27</v>
      </c>
      <c r="O2173" s="51" t="b">
        <v>0</v>
      </c>
      <c r="P2173" s="51" t="b">
        <v>0</v>
      </c>
      <c r="Q2173" s="51" t="b">
        <v>0</v>
      </c>
      <c r="R2173" s="51" t="b">
        <v>0</v>
      </c>
      <c r="S2173" s="51" t="b">
        <v>0</v>
      </c>
    </row>
    <row r="2174" hidden="1">
      <c r="B2174" s="4" t="s">
        <v>27</v>
      </c>
      <c r="C2174" s="4" t="s">
        <v>27</v>
      </c>
      <c r="D2174" s="6" t="s">
        <v>27</v>
      </c>
      <c r="E2174" s="6" t="s">
        <v>27</v>
      </c>
      <c r="F2174" s="6" t="s">
        <v>27</v>
      </c>
      <c r="G2174" s="4" t="s">
        <v>27</v>
      </c>
      <c r="H2174" s="4" t="s">
        <v>27</v>
      </c>
      <c r="I2174" s="4" t="s">
        <v>27</v>
      </c>
      <c r="J2174" s="4" t="s">
        <v>27</v>
      </c>
      <c r="K2174" s="4" t="s">
        <v>27</v>
      </c>
      <c r="L2174" s="4" t="s">
        <v>27</v>
      </c>
      <c r="M2174" s="4" t="s">
        <v>27</v>
      </c>
      <c r="N2174" s="4" t="s">
        <v>27</v>
      </c>
      <c r="O2174" s="51" t="b">
        <v>0</v>
      </c>
      <c r="P2174" s="51" t="b">
        <v>0</v>
      </c>
      <c r="Q2174" s="51" t="b">
        <v>0</v>
      </c>
      <c r="R2174" s="51" t="b">
        <v>0</v>
      </c>
      <c r="S2174" s="51" t="b">
        <v>0</v>
      </c>
    </row>
    <row r="2175" hidden="1">
      <c r="B2175" s="4" t="s">
        <v>27</v>
      </c>
      <c r="C2175" s="4" t="s">
        <v>27</v>
      </c>
      <c r="D2175" s="6" t="s">
        <v>27</v>
      </c>
      <c r="E2175" s="6" t="s">
        <v>27</v>
      </c>
      <c r="F2175" s="6" t="s">
        <v>27</v>
      </c>
      <c r="G2175" s="4" t="s">
        <v>27</v>
      </c>
      <c r="H2175" s="4" t="s">
        <v>27</v>
      </c>
      <c r="I2175" s="4" t="s">
        <v>27</v>
      </c>
      <c r="J2175" s="4" t="s">
        <v>27</v>
      </c>
      <c r="K2175" s="4" t="s">
        <v>27</v>
      </c>
      <c r="L2175" s="4" t="s">
        <v>27</v>
      </c>
      <c r="M2175" s="4" t="s">
        <v>27</v>
      </c>
      <c r="N2175" s="4" t="s">
        <v>27</v>
      </c>
      <c r="O2175" s="51" t="b">
        <v>0</v>
      </c>
      <c r="P2175" s="51" t="b">
        <v>0</v>
      </c>
      <c r="Q2175" s="51" t="b">
        <v>0</v>
      </c>
      <c r="R2175" s="51" t="b">
        <v>0</v>
      </c>
      <c r="S2175" s="51" t="b">
        <v>0</v>
      </c>
    </row>
    <row r="2176" hidden="1">
      <c r="B2176" s="4" t="s">
        <v>27</v>
      </c>
      <c r="C2176" s="4" t="s">
        <v>27</v>
      </c>
      <c r="D2176" s="6" t="s">
        <v>27</v>
      </c>
      <c r="E2176" s="6" t="s">
        <v>27</v>
      </c>
      <c r="F2176" s="6" t="s">
        <v>27</v>
      </c>
      <c r="G2176" s="4" t="s">
        <v>27</v>
      </c>
      <c r="H2176" s="4" t="s">
        <v>27</v>
      </c>
      <c r="I2176" s="4" t="s">
        <v>27</v>
      </c>
      <c r="J2176" s="4" t="s">
        <v>27</v>
      </c>
      <c r="K2176" s="4" t="s">
        <v>27</v>
      </c>
      <c r="L2176" s="4" t="s">
        <v>27</v>
      </c>
      <c r="M2176" s="4" t="s">
        <v>27</v>
      </c>
      <c r="N2176" s="4" t="s">
        <v>27</v>
      </c>
      <c r="O2176" s="51" t="b">
        <v>0</v>
      </c>
      <c r="P2176" s="51" t="b">
        <v>0</v>
      </c>
      <c r="Q2176" s="51" t="b">
        <v>0</v>
      </c>
      <c r="R2176" s="51" t="b">
        <v>0</v>
      </c>
      <c r="S2176" s="51" t="b">
        <v>0</v>
      </c>
    </row>
    <row r="2177" hidden="1">
      <c r="B2177" s="4" t="s">
        <v>27</v>
      </c>
      <c r="C2177" s="4" t="s">
        <v>27</v>
      </c>
      <c r="D2177" s="6" t="s">
        <v>27</v>
      </c>
      <c r="E2177" s="6" t="s">
        <v>27</v>
      </c>
      <c r="F2177" s="6" t="s">
        <v>27</v>
      </c>
      <c r="G2177" s="4" t="s">
        <v>27</v>
      </c>
      <c r="H2177" s="4" t="s">
        <v>27</v>
      </c>
      <c r="I2177" s="4" t="s">
        <v>27</v>
      </c>
      <c r="J2177" s="4" t="s">
        <v>27</v>
      </c>
      <c r="K2177" s="4" t="s">
        <v>27</v>
      </c>
      <c r="L2177" s="4" t="s">
        <v>27</v>
      </c>
      <c r="M2177" s="4" t="s">
        <v>27</v>
      </c>
      <c r="N2177" s="4" t="s">
        <v>27</v>
      </c>
      <c r="O2177" s="51" t="b">
        <v>0</v>
      </c>
      <c r="P2177" s="51" t="b">
        <v>0</v>
      </c>
      <c r="Q2177" s="51" t="b">
        <v>0</v>
      </c>
      <c r="R2177" s="51" t="b">
        <v>0</v>
      </c>
      <c r="S2177" s="51" t="b">
        <v>0</v>
      </c>
    </row>
    <row r="2178" hidden="1">
      <c r="B2178" s="4" t="s">
        <v>27</v>
      </c>
      <c r="C2178" s="4" t="s">
        <v>27</v>
      </c>
      <c r="D2178" s="6" t="s">
        <v>27</v>
      </c>
      <c r="E2178" s="6" t="s">
        <v>27</v>
      </c>
      <c r="F2178" s="6" t="s">
        <v>27</v>
      </c>
      <c r="G2178" s="4" t="s">
        <v>27</v>
      </c>
      <c r="H2178" s="4" t="s">
        <v>27</v>
      </c>
      <c r="I2178" s="4" t="s">
        <v>27</v>
      </c>
      <c r="J2178" s="4" t="s">
        <v>27</v>
      </c>
      <c r="K2178" s="4" t="s">
        <v>27</v>
      </c>
      <c r="L2178" s="4" t="s">
        <v>27</v>
      </c>
      <c r="M2178" s="4" t="s">
        <v>27</v>
      </c>
      <c r="N2178" s="4" t="s">
        <v>27</v>
      </c>
      <c r="O2178" s="51" t="b">
        <v>0</v>
      </c>
      <c r="P2178" s="51" t="b">
        <v>0</v>
      </c>
      <c r="Q2178" s="51" t="b">
        <v>0</v>
      </c>
      <c r="R2178" s="51" t="b">
        <v>0</v>
      </c>
      <c r="S2178" s="51" t="b">
        <v>0</v>
      </c>
    </row>
    <row r="2179" hidden="1">
      <c r="B2179" s="4" t="s">
        <v>27</v>
      </c>
      <c r="C2179" s="4" t="s">
        <v>27</v>
      </c>
      <c r="D2179" s="6" t="s">
        <v>27</v>
      </c>
      <c r="E2179" s="6" t="s">
        <v>27</v>
      </c>
      <c r="F2179" s="6" t="s">
        <v>27</v>
      </c>
      <c r="G2179" s="4" t="s">
        <v>27</v>
      </c>
      <c r="H2179" s="4" t="s">
        <v>27</v>
      </c>
      <c r="I2179" s="4" t="s">
        <v>27</v>
      </c>
      <c r="J2179" s="4" t="s">
        <v>27</v>
      </c>
      <c r="K2179" s="4" t="s">
        <v>27</v>
      </c>
      <c r="L2179" s="4" t="s">
        <v>27</v>
      </c>
      <c r="M2179" s="4" t="s">
        <v>27</v>
      </c>
      <c r="N2179" s="4" t="s">
        <v>27</v>
      </c>
      <c r="O2179" s="51" t="b">
        <v>0</v>
      </c>
      <c r="P2179" s="51" t="b">
        <v>0</v>
      </c>
      <c r="Q2179" s="51" t="b">
        <v>0</v>
      </c>
      <c r="R2179" s="51" t="b">
        <v>0</v>
      </c>
      <c r="S2179" s="51" t="b">
        <v>0</v>
      </c>
    </row>
    <row r="2180" hidden="1">
      <c r="B2180" s="4" t="s">
        <v>27</v>
      </c>
      <c r="C2180" s="4" t="s">
        <v>27</v>
      </c>
      <c r="D2180" s="6" t="s">
        <v>27</v>
      </c>
      <c r="E2180" s="6" t="s">
        <v>27</v>
      </c>
      <c r="F2180" s="6" t="s">
        <v>27</v>
      </c>
      <c r="G2180" s="4" t="s">
        <v>27</v>
      </c>
      <c r="H2180" s="4" t="s">
        <v>27</v>
      </c>
      <c r="I2180" s="4" t="s">
        <v>27</v>
      </c>
      <c r="J2180" s="4" t="s">
        <v>27</v>
      </c>
      <c r="K2180" s="4" t="s">
        <v>27</v>
      </c>
      <c r="L2180" s="4" t="s">
        <v>27</v>
      </c>
      <c r="M2180" s="4" t="s">
        <v>27</v>
      </c>
      <c r="N2180" s="4" t="s">
        <v>27</v>
      </c>
      <c r="O2180" s="51" t="b">
        <v>0</v>
      </c>
      <c r="P2180" s="51" t="b">
        <v>0</v>
      </c>
      <c r="Q2180" s="51" t="b">
        <v>0</v>
      </c>
      <c r="R2180" s="51" t="b">
        <v>0</v>
      </c>
      <c r="S2180" s="51" t="b">
        <v>0</v>
      </c>
    </row>
    <row r="2181" hidden="1">
      <c r="B2181" s="4" t="s">
        <v>27</v>
      </c>
      <c r="C2181" s="4" t="s">
        <v>27</v>
      </c>
      <c r="D2181" s="6" t="s">
        <v>27</v>
      </c>
      <c r="E2181" s="6" t="s">
        <v>27</v>
      </c>
      <c r="F2181" s="6" t="s">
        <v>27</v>
      </c>
      <c r="G2181" s="4" t="s">
        <v>27</v>
      </c>
      <c r="H2181" s="4" t="s">
        <v>27</v>
      </c>
      <c r="I2181" s="4" t="s">
        <v>27</v>
      </c>
      <c r="J2181" s="4" t="s">
        <v>27</v>
      </c>
      <c r="K2181" s="4" t="s">
        <v>27</v>
      </c>
      <c r="L2181" s="4" t="s">
        <v>27</v>
      </c>
      <c r="M2181" s="4" t="s">
        <v>27</v>
      </c>
      <c r="N2181" s="4" t="s">
        <v>27</v>
      </c>
      <c r="O2181" s="51" t="b">
        <v>0</v>
      </c>
      <c r="P2181" s="51" t="b">
        <v>0</v>
      </c>
      <c r="Q2181" s="51" t="b">
        <v>0</v>
      </c>
      <c r="R2181" s="51" t="b">
        <v>0</v>
      </c>
      <c r="S2181" s="51" t="b">
        <v>0</v>
      </c>
    </row>
    <row r="2182" hidden="1">
      <c r="B2182" s="4" t="s">
        <v>27</v>
      </c>
      <c r="C2182" s="4" t="s">
        <v>27</v>
      </c>
      <c r="D2182" s="6" t="s">
        <v>27</v>
      </c>
      <c r="E2182" s="6" t="s">
        <v>27</v>
      </c>
      <c r="F2182" s="6" t="s">
        <v>27</v>
      </c>
      <c r="G2182" s="4" t="s">
        <v>27</v>
      </c>
      <c r="H2182" s="4" t="s">
        <v>27</v>
      </c>
      <c r="I2182" s="4" t="s">
        <v>27</v>
      </c>
      <c r="J2182" s="4" t="s">
        <v>27</v>
      </c>
      <c r="K2182" s="4" t="s">
        <v>27</v>
      </c>
      <c r="L2182" s="4" t="s">
        <v>27</v>
      </c>
      <c r="M2182" s="4" t="s">
        <v>27</v>
      </c>
      <c r="N2182" s="4" t="s">
        <v>27</v>
      </c>
      <c r="O2182" s="51" t="b">
        <v>0</v>
      </c>
      <c r="P2182" s="51" t="b">
        <v>0</v>
      </c>
      <c r="Q2182" s="51" t="b">
        <v>0</v>
      </c>
      <c r="R2182" s="51" t="b">
        <v>0</v>
      </c>
      <c r="S2182" s="51" t="b">
        <v>0</v>
      </c>
    </row>
    <row r="2183" hidden="1">
      <c r="B2183" s="4" t="s">
        <v>27</v>
      </c>
      <c r="C2183" s="4" t="s">
        <v>27</v>
      </c>
      <c r="D2183" s="6" t="s">
        <v>27</v>
      </c>
      <c r="E2183" s="6" t="s">
        <v>27</v>
      </c>
      <c r="F2183" s="6" t="s">
        <v>27</v>
      </c>
      <c r="G2183" s="4" t="s">
        <v>27</v>
      </c>
      <c r="H2183" s="4" t="s">
        <v>27</v>
      </c>
      <c r="I2183" s="4" t="s">
        <v>27</v>
      </c>
      <c r="J2183" s="4" t="s">
        <v>27</v>
      </c>
      <c r="K2183" s="4" t="s">
        <v>27</v>
      </c>
      <c r="L2183" s="4" t="s">
        <v>27</v>
      </c>
      <c r="M2183" s="4" t="s">
        <v>27</v>
      </c>
      <c r="N2183" s="4" t="s">
        <v>27</v>
      </c>
      <c r="O2183" s="51" t="b">
        <v>0</v>
      </c>
      <c r="P2183" s="51" t="b">
        <v>0</v>
      </c>
      <c r="Q2183" s="51" t="b">
        <v>0</v>
      </c>
      <c r="R2183" s="51" t="b">
        <v>0</v>
      </c>
      <c r="S2183" s="51" t="b">
        <v>0</v>
      </c>
    </row>
    <row r="2184" hidden="1">
      <c r="B2184" s="4" t="s">
        <v>27</v>
      </c>
      <c r="C2184" s="4" t="s">
        <v>27</v>
      </c>
      <c r="D2184" s="6" t="s">
        <v>27</v>
      </c>
      <c r="E2184" s="6" t="s">
        <v>27</v>
      </c>
      <c r="F2184" s="6" t="s">
        <v>27</v>
      </c>
      <c r="G2184" s="4" t="s">
        <v>27</v>
      </c>
      <c r="H2184" s="4" t="s">
        <v>27</v>
      </c>
      <c r="I2184" s="4" t="s">
        <v>27</v>
      </c>
      <c r="J2184" s="4" t="s">
        <v>27</v>
      </c>
      <c r="K2184" s="4" t="s">
        <v>27</v>
      </c>
      <c r="L2184" s="4" t="s">
        <v>27</v>
      </c>
      <c r="M2184" s="4" t="s">
        <v>27</v>
      </c>
      <c r="N2184" s="4" t="s">
        <v>27</v>
      </c>
      <c r="O2184" s="51" t="b">
        <v>0</v>
      </c>
      <c r="P2184" s="51" t="b">
        <v>0</v>
      </c>
      <c r="Q2184" s="51" t="b">
        <v>0</v>
      </c>
      <c r="R2184" s="51" t="b">
        <v>0</v>
      </c>
      <c r="S2184" s="51" t="b">
        <v>0</v>
      </c>
    </row>
    <row r="2185" hidden="1">
      <c r="B2185" s="4" t="s">
        <v>27</v>
      </c>
      <c r="C2185" s="4" t="s">
        <v>27</v>
      </c>
      <c r="D2185" s="6" t="s">
        <v>27</v>
      </c>
      <c r="E2185" s="6" t="s">
        <v>27</v>
      </c>
      <c r="F2185" s="6" t="s">
        <v>27</v>
      </c>
      <c r="G2185" s="4" t="s">
        <v>27</v>
      </c>
      <c r="H2185" s="4" t="s">
        <v>27</v>
      </c>
      <c r="I2185" s="4" t="s">
        <v>27</v>
      </c>
      <c r="J2185" s="4" t="s">
        <v>27</v>
      </c>
      <c r="K2185" s="4" t="s">
        <v>27</v>
      </c>
      <c r="L2185" s="4" t="s">
        <v>27</v>
      </c>
      <c r="M2185" s="4" t="s">
        <v>27</v>
      </c>
      <c r="N2185" s="4" t="s">
        <v>27</v>
      </c>
      <c r="O2185" s="51" t="b">
        <v>0</v>
      </c>
      <c r="P2185" s="51" t="b">
        <v>0</v>
      </c>
      <c r="Q2185" s="51" t="b">
        <v>0</v>
      </c>
      <c r="R2185" s="51" t="b">
        <v>0</v>
      </c>
      <c r="S2185" s="51" t="b">
        <v>0</v>
      </c>
    </row>
    <row r="2186" hidden="1">
      <c r="B2186" s="4" t="s">
        <v>27</v>
      </c>
      <c r="C2186" s="4" t="s">
        <v>27</v>
      </c>
      <c r="D2186" s="6" t="s">
        <v>27</v>
      </c>
      <c r="E2186" s="6" t="s">
        <v>27</v>
      </c>
      <c r="F2186" s="6" t="s">
        <v>27</v>
      </c>
      <c r="G2186" s="4" t="s">
        <v>27</v>
      </c>
      <c r="H2186" s="4" t="s">
        <v>27</v>
      </c>
      <c r="I2186" s="4" t="s">
        <v>27</v>
      </c>
      <c r="J2186" s="4" t="s">
        <v>27</v>
      </c>
      <c r="K2186" s="4" t="s">
        <v>27</v>
      </c>
      <c r="L2186" s="4" t="s">
        <v>27</v>
      </c>
      <c r="M2186" s="4" t="s">
        <v>27</v>
      </c>
      <c r="N2186" s="4" t="s">
        <v>27</v>
      </c>
      <c r="O2186" s="51" t="b">
        <v>0</v>
      </c>
      <c r="P2186" s="51" t="b">
        <v>0</v>
      </c>
      <c r="Q2186" s="51" t="b">
        <v>0</v>
      </c>
      <c r="R2186" s="51" t="b">
        <v>0</v>
      </c>
      <c r="S2186" s="51" t="b">
        <v>0</v>
      </c>
    </row>
    <row r="2187" hidden="1">
      <c r="B2187" s="4" t="s">
        <v>27</v>
      </c>
      <c r="C2187" s="4" t="s">
        <v>27</v>
      </c>
      <c r="D2187" s="6" t="s">
        <v>27</v>
      </c>
      <c r="E2187" s="6" t="s">
        <v>27</v>
      </c>
      <c r="F2187" s="6" t="s">
        <v>27</v>
      </c>
      <c r="G2187" s="4" t="s">
        <v>27</v>
      </c>
      <c r="H2187" s="4" t="s">
        <v>27</v>
      </c>
      <c r="I2187" s="4" t="s">
        <v>27</v>
      </c>
      <c r="J2187" s="4" t="s">
        <v>27</v>
      </c>
      <c r="K2187" s="4" t="s">
        <v>27</v>
      </c>
      <c r="L2187" s="4" t="s">
        <v>27</v>
      </c>
      <c r="M2187" s="4" t="s">
        <v>27</v>
      </c>
      <c r="N2187" s="4" t="s">
        <v>27</v>
      </c>
      <c r="O2187" s="51" t="b">
        <v>0</v>
      </c>
      <c r="P2187" s="51" t="b">
        <v>0</v>
      </c>
      <c r="Q2187" s="51" t="b">
        <v>0</v>
      </c>
      <c r="R2187" s="51" t="b">
        <v>0</v>
      </c>
      <c r="S2187" s="51" t="b">
        <v>0</v>
      </c>
    </row>
    <row r="2188" hidden="1">
      <c r="B2188" s="4" t="s">
        <v>27</v>
      </c>
      <c r="C2188" s="4" t="s">
        <v>27</v>
      </c>
      <c r="D2188" s="6" t="s">
        <v>27</v>
      </c>
      <c r="E2188" s="6" t="s">
        <v>27</v>
      </c>
      <c r="F2188" s="6" t="s">
        <v>27</v>
      </c>
      <c r="G2188" s="4" t="s">
        <v>27</v>
      </c>
      <c r="H2188" s="4" t="s">
        <v>27</v>
      </c>
      <c r="I2188" s="4" t="s">
        <v>27</v>
      </c>
      <c r="J2188" s="4" t="s">
        <v>27</v>
      </c>
      <c r="K2188" s="4" t="s">
        <v>27</v>
      </c>
      <c r="L2188" s="4" t="s">
        <v>27</v>
      </c>
      <c r="M2188" s="4" t="s">
        <v>27</v>
      </c>
      <c r="N2188" s="4" t="s">
        <v>27</v>
      </c>
      <c r="O2188" s="51" t="b">
        <v>0</v>
      </c>
      <c r="P2188" s="51" t="b">
        <v>0</v>
      </c>
      <c r="Q2188" s="51" t="b">
        <v>0</v>
      </c>
      <c r="R2188" s="51" t="b">
        <v>0</v>
      </c>
      <c r="S2188" s="51" t="b">
        <v>0</v>
      </c>
    </row>
    <row r="2189" hidden="1">
      <c r="B2189" s="4" t="s">
        <v>27</v>
      </c>
      <c r="C2189" s="4" t="s">
        <v>27</v>
      </c>
      <c r="D2189" s="6" t="s">
        <v>27</v>
      </c>
      <c r="E2189" s="6" t="s">
        <v>27</v>
      </c>
      <c r="F2189" s="6" t="s">
        <v>27</v>
      </c>
      <c r="G2189" s="4" t="s">
        <v>27</v>
      </c>
      <c r="H2189" s="4" t="s">
        <v>27</v>
      </c>
      <c r="I2189" s="4" t="s">
        <v>27</v>
      </c>
      <c r="J2189" s="4" t="s">
        <v>27</v>
      </c>
      <c r="K2189" s="4" t="s">
        <v>27</v>
      </c>
      <c r="L2189" s="4" t="s">
        <v>27</v>
      </c>
      <c r="M2189" s="4" t="s">
        <v>27</v>
      </c>
      <c r="N2189" s="4" t="s">
        <v>27</v>
      </c>
      <c r="O2189" s="51" t="b">
        <v>0</v>
      </c>
      <c r="P2189" s="51" t="b">
        <v>0</v>
      </c>
      <c r="Q2189" s="51" t="b">
        <v>0</v>
      </c>
      <c r="R2189" s="51" t="b">
        <v>0</v>
      </c>
      <c r="S2189" s="51" t="b">
        <v>0</v>
      </c>
    </row>
    <row r="2190" hidden="1">
      <c r="B2190" s="4" t="s">
        <v>27</v>
      </c>
      <c r="C2190" s="4" t="s">
        <v>27</v>
      </c>
      <c r="D2190" s="6" t="s">
        <v>27</v>
      </c>
      <c r="E2190" s="6" t="s">
        <v>27</v>
      </c>
      <c r="F2190" s="6" t="s">
        <v>27</v>
      </c>
      <c r="G2190" s="4" t="s">
        <v>27</v>
      </c>
      <c r="H2190" s="4" t="s">
        <v>27</v>
      </c>
      <c r="I2190" s="4" t="s">
        <v>27</v>
      </c>
      <c r="J2190" s="4" t="s">
        <v>27</v>
      </c>
      <c r="K2190" s="4" t="s">
        <v>27</v>
      </c>
      <c r="L2190" s="4" t="s">
        <v>27</v>
      </c>
      <c r="M2190" s="4" t="s">
        <v>27</v>
      </c>
      <c r="N2190" s="4" t="s">
        <v>27</v>
      </c>
      <c r="O2190" s="51" t="b">
        <v>0</v>
      </c>
      <c r="P2190" s="51" t="b">
        <v>0</v>
      </c>
      <c r="Q2190" s="51" t="b">
        <v>0</v>
      </c>
      <c r="R2190" s="51" t="b">
        <v>0</v>
      </c>
      <c r="S2190" s="51" t="b">
        <v>0</v>
      </c>
    </row>
    <row r="2191" hidden="1">
      <c r="B2191" s="4" t="s">
        <v>27</v>
      </c>
      <c r="C2191" s="4" t="s">
        <v>27</v>
      </c>
      <c r="D2191" s="6" t="s">
        <v>27</v>
      </c>
      <c r="E2191" s="6" t="s">
        <v>27</v>
      </c>
      <c r="F2191" s="6" t="s">
        <v>27</v>
      </c>
      <c r="G2191" s="4" t="s">
        <v>27</v>
      </c>
      <c r="H2191" s="4" t="s">
        <v>27</v>
      </c>
      <c r="I2191" s="4" t="s">
        <v>27</v>
      </c>
      <c r="J2191" s="4" t="s">
        <v>27</v>
      </c>
      <c r="K2191" s="4" t="s">
        <v>27</v>
      </c>
      <c r="L2191" s="4" t="s">
        <v>27</v>
      </c>
      <c r="M2191" s="4" t="s">
        <v>27</v>
      </c>
      <c r="N2191" s="4" t="s">
        <v>27</v>
      </c>
      <c r="O2191" s="51" t="b">
        <v>0</v>
      </c>
      <c r="P2191" s="51" t="b">
        <v>0</v>
      </c>
      <c r="Q2191" s="51" t="b">
        <v>0</v>
      </c>
      <c r="R2191" s="51" t="b">
        <v>0</v>
      </c>
      <c r="S2191" s="51" t="b">
        <v>0</v>
      </c>
    </row>
    <row r="2192" hidden="1">
      <c r="B2192" s="4" t="s">
        <v>27</v>
      </c>
      <c r="C2192" s="4" t="s">
        <v>27</v>
      </c>
      <c r="D2192" s="6" t="s">
        <v>27</v>
      </c>
      <c r="E2192" s="6" t="s">
        <v>27</v>
      </c>
      <c r="F2192" s="6" t="s">
        <v>27</v>
      </c>
      <c r="G2192" s="4" t="s">
        <v>27</v>
      </c>
      <c r="H2192" s="4" t="s">
        <v>27</v>
      </c>
      <c r="I2192" s="4" t="s">
        <v>27</v>
      </c>
      <c r="J2192" s="4" t="s">
        <v>27</v>
      </c>
      <c r="K2192" s="4" t="s">
        <v>27</v>
      </c>
      <c r="L2192" s="4" t="s">
        <v>27</v>
      </c>
      <c r="M2192" s="4" t="s">
        <v>27</v>
      </c>
      <c r="N2192" s="4" t="s">
        <v>27</v>
      </c>
      <c r="O2192" s="51" t="b">
        <v>0</v>
      </c>
      <c r="P2192" s="51" t="b">
        <v>0</v>
      </c>
      <c r="Q2192" s="51" t="b">
        <v>0</v>
      </c>
      <c r="R2192" s="51" t="b">
        <v>0</v>
      </c>
      <c r="S2192" s="51" t="b">
        <v>0</v>
      </c>
    </row>
    <row r="2193" hidden="1">
      <c r="B2193" s="4" t="s">
        <v>27</v>
      </c>
      <c r="C2193" s="4" t="s">
        <v>27</v>
      </c>
      <c r="D2193" s="6" t="s">
        <v>27</v>
      </c>
      <c r="E2193" s="6" t="s">
        <v>27</v>
      </c>
      <c r="F2193" s="6" t="s">
        <v>27</v>
      </c>
      <c r="G2193" s="4" t="s">
        <v>27</v>
      </c>
      <c r="H2193" s="4" t="s">
        <v>27</v>
      </c>
      <c r="I2193" s="4" t="s">
        <v>27</v>
      </c>
      <c r="J2193" s="4" t="s">
        <v>27</v>
      </c>
      <c r="K2193" s="4" t="s">
        <v>27</v>
      </c>
      <c r="L2193" s="4" t="s">
        <v>27</v>
      </c>
      <c r="M2193" s="4" t="s">
        <v>27</v>
      </c>
      <c r="N2193" s="4" t="s">
        <v>27</v>
      </c>
      <c r="O2193" s="51" t="b">
        <v>0</v>
      </c>
      <c r="P2193" s="51" t="b">
        <v>0</v>
      </c>
      <c r="Q2193" s="51" t="b">
        <v>0</v>
      </c>
      <c r="R2193" s="51" t="b">
        <v>0</v>
      </c>
      <c r="S2193" s="51" t="b">
        <v>0</v>
      </c>
    </row>
    <row r="2194" hidden="1">
      <c r="B2194" s="4" t="s">
        <v>27</v>
      </c>
      <c r="C2194" s="4" t="s">
        <v>27</v>
      </c>
      <c r="D2194" s="6" t="s">
        <v>27</v>
      </c>
      <c r="E2194" s="6" t="s">
        <v>27</v>
      </c>
      <c r="F2194" s="6" t="s">
        <v>27</v>
      </c>
      <c r="G2194" s="4" t="s">
        <v>27</v>
      </c>
      <c r="H2194" s="4" t="s">
        <v>27</v>
      </c>
      <c r="I2194" s="4" t="s">
        <v>27</v>
      </c>
      <c r="J2194" s="4" t="s">
        <v>27</v>
      </c>
      <c r="K2194" s="4" t="s">
        <v>27</v>
      </c>
      <c r="L2194" s="4" t="s">
        <v>27</v>
      </c>
      <c r="M2194" s="4" t="s">
        <v>27</v>
      </c>
      <c r="N2194" s="4" t="s">
        <v>27</v>
      </c>
      <c r="O2194" s="51" t="b">
        <v>0</v>
      </c>
      <c r="P2194" s="51" t="b">
        <v>0</v>
      </c>
      <c r="Q2194" s="51" t="b">
        <v>0</v>
      </c>
      <c r="R2194" s="51" t="b">
        <v>0</v>
      </c>
      <c r="S2194" s="51" t="b">
        <v>0</v>
      </c>
    </row>
    <row r="2195" hidden="1">
      <c r="B2195" s="4" t="s">
        <v>27</v>
      </c>
      <c r="C2195" s="4" t="s">
        <v>27</v>
      </c>
      <c r="D2195" s="6" t="s">
        <v>27</v>
      </c>
      <c r="E2195" s="6" t="s">
        <v>27</v>
      </c>
      <c r="F2195" s="6" t="s">
        <v>27</v>
      </c>
      <c r="G2195" s="4" t="s">
        <v>27</v>
      </c>
      <c r="H2195" s="4" t="s">
        <v>27</v>
      </c>
      <c r="I2195" s="4" t="s">
        <v>27</v>
      </c>
      <c r="J2195" s="4" t="s">
        <v>27</v>
      </c>
      <c r="K2195" s="4" t="s">
        <v>27</v>
      </c>
      <c r="L2195" s="4" t="s">
        <v>27</v>
      </c>
      <c r="M2195" s="4" t="s">
        <v>27</v>
      </c>
      <c r="N2195" s="4" t="s">
        <v>27</v>
      </c>
      <c r="O2195" s="51" t="b">
        <v>0</v>
      </c>
      <c r="P2195" s="51" t="b">
        <v>0</v>
      </c>
      <c r="Q2195" s="51" t="b">
        <v>0</v>
      </c>
      <c r="R2195" s="51" t="b">
        <v>0</v>
      </c>
      <c r="S2195" s="51" t="b">
        <v>0</v>
      </c>
    </row>
    <row r="2196" hidden="1">
      <c r="B2196" s="4" t="s">
        <v>27</v>
      </c>
      <c r="C2196" s="4" t="s">
        <v>27</v>
      </c>
      <c r="D2196" s="6" t="s">
        <v>27</v>
      </c>
      <c r="E2196" s="6" t="s">
        <v>27</v>
      </c>
      <c r="F2196" s="6" t="s">
        <v>27</v>
      </c>
      <c r="G2196" s="4" t="s">
        <v>27</v>
      </c>
      <c r="H2196" s="4" t="s">
        <v>27</v>
      </c>
      <c r="I2196" s="4" t="s">
        <v>27</v>
      </c>
      <c r="J2196" s="4" t="s">
        <v>27</v>
      </c>
      <c r="K2196" s="4" t="s">
        <v>27</v>
      </c>
      <c r="L2196" s="4" t="s">
        <v>27</v>
      </c>
      <c r="M2196" s="4" t="s">
        <v>27</v>
      </c>
      <c r="N2196" s="4" t="s">
        <v>27</v>
      </c>
      <c r="O2196" s="51" t="b">
        <v>0</v>
      </c>
      <c r="P2196" s="51" t="b">
        <v>0</v>
      </c>
      <c r="Q2196" s="51" t="b">
        <v>0</v>
      </c>
      <c r="R2196" s="51" t="b">
        <v>0</v>
      </c>
      <c r="S2196" s="51" t="b">
        <v>0</v>
      </c>
    </row>
    <row r="2197" hidden="1">
      <c r="B2197" s="4" t="s">
        <v>27</v>
      </c>
      <c r="C2197" s="4" t="s">
        <v>27</v>
      </c>
      <c r="D2197" s="6" t="s">
        <v>27</v>
      </c>
      <c r="E2197" s="6" t="s">
        <v>27</v>
      </c>
      <c r="F2197" s="6" t="s">
        <v>27</v>
      </c>
      <c r="G2197" s="4" t="s">
        <v>27</v>
      </c>
      <c r="H2197" s="4" t="s">
        <v>27</v>
      </c>
      <c r="I2197" s="4" t="s">
        <v>27</v>
      </c>
      <c r="J2197" s="4" t="s">
        <v>27</v>
      </c>
      <c r="K2197" s="4" t="s">
        <v>27</v>
      </c>
      <c r="L2197" s="4" t="s">
        <v>27</v>
      </c>
      <c r="M2197" s="4" t="s">
        <v>27</v>
      </c>
      <c r="N2197" s="4" t="s">
        <v>27</v>
      </c>
      <c r="O2197" s="51" t="b">
        <v>0</v>
      </c>
      <c r="P2197" s="51" t="b">
        <v>0</v>
      </c>
      <c r="Q2197" s="51" t="b">
        <v>0</v>
      </c>
      <c r="R2197" s="51" t="b">
        <v>0</v>
      </c>
      <c r="S2197" s="51" t="b">
        <v>0</v>
      </c>
    </row>
    <row r="2198" hidden="1">
      <c r="B2198" s="4" t="s">
        <v>27</v>
      </c>
      <c r="C2198" s="4" t="s">
        <v>27</v>
      </c>
      <c r="D2198" s="6" t="s">
        <v>27</v>
      </c>
      <c r="E2198" s="6" t="s">
        <v>27</v>
      </c>
      <c r="F2198" s="6" t="s">
        <v>27</v>
      </c>
      <c r="G2198" s="4" t="s">
        <v>27</v>
      </c>
      <c r="H2198" s="4" t="s">
        <v>27</v>
      </c>
      <c r="I2198" s="4" t="s">
        <v>27</v>
      </c>
      <c r="J2198" s="4" t="s">
        <v>27</v>
      </c>
      <c r="K2198" s="4" t="s">
        <v>27</v>
      </c>
      <c r="L2198" s="4" t="s">
        <v>27</v>
      </c>
      <c r="M2198" s="4" t="s">
        <v>27</v>
      </c>
      <c r="N2198" s="4" t="s">
        <v>27</v>
      </c>
      <c r="O2198" s="51" t="b">
        <v>0</v>
      </c>
      <c r="P2198" s="51" t="b">
        <v>0</v>
      </c>
      <c r="Q2198" s="51" t="b">
        <v>0</v>
      </c>
      <c r="R2198" s="51" t="b">
        <v>0</v>
      </c>
      <c r="S2198" s="51" t="b">
        <v>0</v>
      </c>
    </row>
    <row r="2199" hidden="1">
      <c r="B2199" s="4" t="s">
        <v>27</v>
      </c>
      <c r="C2199" s="4" t="s">
        <v>27</v>
      </c>
      <c r="D2199" s="6" t="s">
        <v>27</v>
      </c>
      <c r="E2199" s="6" t="s">
        <v>27</v>
      </c>
      <c r="F2199" s="6" t="s">
        <v>27</v>
      </c>
      <c r="G2199" s="4" t="s">
        <v>27</v>
      </c>
      <c r="H2199" s="4" t="s">
        <v>27</v>
      </c>
      <c r="I2199" s="4" t="s">
        <v>27</v>
      </c>
      <c r="J2199" s="4" t="s">
        <v>27</v>
      </c>
      <c r="K2199" s="4" t="s">
        <v>27</v>
      </c>
      <c r="L2199" s="4" t="s">
        <v>27</v>
      </c>
      <c r="M2199" s="4" t="s">
        <v>27</v>
      </c>
      <c r="N2199" s="4" t="s">
        <v>27</v>
      </c>
      <c r="O2199" s="51" t="b">
        <v>0</v>
      </c>
      <c r="P2199" s="51" t="b">
        <v>0</v>
      </c>
      <c r="Q2199" s="51" t="b">
        <v>0</v>
      </c>
      <c r="R2199" s="51" t="b">
        <v>0</v>
      </c>
      <c r="S2199" s="51" t="b">
        <v>0</v>
      </c>
    </row>
    <row r="2200" hidden="1">
      <c r="B2200" s="4" t="s">
        <v>27</v>
      </c>
      <c r="C2200" s="4" t="s">
        <v>27</v>
      </c>
      <c r="D2200" s="6" t="s">
        <v>27</v>
      </c>
      <c r="E2200" s="6" t="s">
        <v>27</v>
      </c>
      <c r="F2200" s="6" t="s">
        <v>27</v>
      </c>
      <c r="G2200" s="4" t="s">
        <v>27</v>
      </c>
      <c r="H2200" s="4" t="s">
        <v>27</v>
      </c>
      <c r="I2200" s="4" t="s">
        <v>27</v>
      </c>
      <c r="J2200" s="4" t="s">
        <v>27</v>
      </c>
      <c r="K2200" s="4" t="s">
        <v>27</v>
      </c>
      <c r="L2200" s="4" t="s">
        <v>27</v>
      </c>
      <c r="M2200" s="4" t="s">
        <v>27</v>
      </c>
      <c r="N2200" s="4" t="s">
        <v>27</v>
      </c>
      <c r="O2200" s="51" t="b">
        <v>0</v>
      </c>
      <c r="P2200" s="51" t="b">
        <v>0</v>
      </c>
      <c r="Q2200" s="51" t="b">
        <v>0</v>
      </c>
      <c r="R2200" s="51" t="b">
        <v>0</v>
      </c>
      <c r="S2200" s="51" t="b">
        <v>0</v>
      </c>
    </row>
    <row r="2201" hidden="1">
      <c r="B2201" s="4" t="s">
        <v>27</v>
      </c>
      <c r="C2201" s="4" t="s">
        <v>27</v>
      </c>
      <c r="D2201" s="6" t="s">
        <v>27</v>
      </c>
      <c r="E2201" s="6" t="s">
        <v>27</v>
      </c>
      <c r="F2201" s="6" t="s">
        <v>27</v>
      </c>
      <c r="G2201" s="4" t="s">
        <v>27</v>
      </c>
      <c r="H2201" s="4" t="s">
        <v>27</v>
      </c>
      <c r="I2201" s="4" t="s">
        <v>27</v>
      </c>
      <c r="J2201" s="4" t="s">
        <v>27</v>
      </c>
      <c r="K2201" s="4" t="s">
        <v>27</v>
      </c>
      <c r="L2201" s="4" t="s">
        <v>27</v>
      </c>
      <c r="M2201" s="4" t="s">
        <v>27</v>
      </c>
      <c r="N2201" s="4" t="s">
        <v>27</v>
      </c>
      <c r="O2201" s="51" t="b">
        <v>0</v>
      </c>
      <c r="P2201" s="51" t="b">
        <v>0</v>
      </c>
      <c r="Q2201" s="51" t="b">
        <v>0</v>
      </c>
      <c r="R2201" s="51" t="b">
        <v>0</v>
      </c>
      <c r="S2201" s="51" t="b">
        <v>0</v>
      </c>
    </row>
    <row r="2202" hidden="1">
      <c r="B2202" s="4" t="s">
        <v>27</v>
      </c>
      <c r="C2202" s="4" t="s">
        <v>27</v>
      </c>
      <c r="D2202" s="6" t="s">
        <v>27</v>
      </c>
      <c r="E2202" s="6" t="s">
        <v>27</v>
      </c>
      <c r="F2202" s="6" t="s">
        <v>27</v>
      </c>
      <c r="G2202" s="4" t="s">
        <v>27</v>
      </c>
      <c r="H2202" s="4" t="s">
        <v>27</v>
      </c>
      <c r="I2202" s="4" t="s">
        <v>27</v>
      </c>
      <c r="J2202" s="4" t="s">
        <v>27</v>
      </c>
      <c r="K2202" s="4" t="s">
        <v>27</v>
      </c>
      <c r="L2202" s="4" t="s">
        <v>27</v>
      </c>
      <c r="M2202" s="4" t="s">
        <v>27</v>
      </c>
      <c r="N2202" s="4" t="s">
        <v>27</v>
      </c>
      <c r="O2202" s="51" t="b">
        <v>0</v>
      </c>
      <c r="P2202" s="51" t="b">
        <v>0</v>
      </c>
      <c r="Q2202" s="51" t="b">
        <v>0</v>
      </c>
      <c r="R2202" s="51" t="b">
        <v>0</v>
      </c>
      <c r="S2202" s="51" t="b">
        <v>0</v>
      </c>
    </row>
    <row r="2203" hidden="1">
      <c r="B2203" s="4" t="s">
        <v>27</v>
      </c>
      <c r="C2203" s="4" t="s">
        <v>27</v>
      </c>
      <c r="D2203" s="6" t="s">
        <v>27</v>
      </c>
      <c r="E2203" s="6" t="s">
        <v>27</v>
      </c>
      <c r="F2203" s="6" t="s">
        <v>27</v>
      </c>
      <c r="G2203" s="4" t="s">
        <v>27</v>
      </c>
      <c r="H2203" s="4" t="s">
        <v>27</v>
      </c>
      <c r="I2203" s="4" t="s">
        <v>27</v>
      </c>
      <c r="J2203" s="4" t="s">
        <v>27</v>
      </c>
      <c r="K2203" s="4" t="s">
        <v>27</v>
      </c>
      <c r="L2203" s="4" t="s">
        <v>27</v>
      </c>
      <c r="M2203" s="4" t="s">
        <v>27</v>
      </c>
      <c r="N2203" s="4" t="s">
        <v>27</v>
      </c>
      <c r="O2203" s="51" t="b">
        <v>0</v>
      </c>
      <c r="P2203" s="51" t="b">
        <v>0</v>
      </c>
      <c r="Q2203" s="51" t="b">
        <v>0</v>
      </c>
      <c r="R2203" s="51" t="b">
        <v>0</v>
      </c>
      <c r="S2203" s="51" t="b">
        <v>0</v>
      </c>
    </row>
    <row r="2204" hidden="1">
      <c r="B2204" s="4" t="s">
        <v>27</v>
      </c>
      <c r="C2204" s="4" t="s">
        <v>27</v>
      </c>
      <c r="D2204" s="6" t="s">
        <v>27</v>
      </c>
      <c r="E2204" s="6" t="s">
        <v>27</v>
      </c>
      <c r="F2204" s="6" t="s">
        <v>27</v>
      </c>
      <c r="G2204" s="4" t="s">
        <v>27</v>
      </c>
      <c r="H2204" s="4" t="s">
        <v>27</v>
      </c>
      <c r="I2204" s="4" t="s">
        <v>27</v>
      </c>
      <c r="J2204" s="4" t="s">
        <v>27</v>
      </c>
      <c r="K2204" s="4" t="s">
        <v>27</v>
      </c>
      <c r="L2204" s="4" t="s">
        <v>27</v>
      </c>
      <c r="M2204" s="4" t="s">
        <v>27</v>
      </c>
      <c r="N2204" s="4" t="s">
        <v>27</v>
      </c>
      <c r="O2204" s="51" t="b">
        <v>0</v>
      </c>
      <c r="P2204" s="51" t="b">
        <v>0</v>
      </c>
      <c r="Q2204" s="51" t="b">
        <v>0</v>
      </c>
      <c r="R2204" s="51" t="b">
        <v>0</v>
      </c>
      <c r="S2204" s="51" t="b">
        <v>0</v>
      </c>
    </row>
    <row r="2205" hidden="1">
      <c r="B2205" s="4" t="s">
        <v>27</v>
      </c>
      <c r="C2205" s="4" t="s">
        <v>27</v>
      </c>
      <c r="D2205" s="6" t="s">
        <v>27</v>
      </c>
      <c r="E2205" s="6" t="s">
        <v>27</v>
      </c>
      <c r="F2205" s="6" t="s">
        <v>27</v>
      </c>
      <c r="G2205" s="4" t="s">
        <v>27</v>
      </c>
      <c r="H2205" s="4" t="s">
        <v>27</v>
      </c>
      <c r="I2205" s="4" t="s">
        <v>27</v>
      </c>
      <c r="J2205" s="4" t="s">
        <v>27</v>
      </c>
      <c r="K2205" s="4" t="s">
        <v>27</v>
      </c>
      <c r="L2205" s="4" t="s">
        <v>27</v>
      </c>
      <c r="M2205" s="4" t="s">
        <v>27</v>
      </c>
      <c r="N2205" s="4" t="s">
        <v>27</v>
      </c>
      <c r="O2205" s="51" t="b">
        <v>0</v>
      </c>
      <c r="P2205" s="51" t="b">
        <v>0</v>
      </c>
      <c r="Q2205" s="51" t="b">
        <v>0</v>
      </c>
      <c r="R2205" s="51" t="b">
        <v>0</v>
      </c>
      <c r="S2205" s="51" t="b">
        <v>0</v>
      </c>
    </row>
    <row r="2206" hidden="1">
      <c r="B2206" s="4" t="s">
        <v>27</v>
      </c>
      <c r="C2206" s="4" t="s">
        <v>27</v>
      </c>
      <c r="D2206" s="6" t="s">
        <v>27</v>
      </c>
      <c r="E2206" s="6" t="s">
        <v>27</v>
      </c>
      <c r="F2206" s="6" t="s">
        <v>27</v>
      </c>
      <c r="G2206" s="4" t="s">
        <v>27</v>
      </c>
      <c r="H2206" s="4" t="s">
        <v>27</v>
      </c>
      <c r="I2206" s="4" t="s">
        <v>27</v>
      </c>
      <c r="J2206" s="4" t="s">
        <v>27</v>
      </c>
      <c r="K2206" s="4" t="s">
        <v>27</v>
      </c>
      <c r="L2206" s="4" t="s">
        <v>27</v>
      </c>
      <c r="M2206" s="4" t="s">
        <v>27</v>
      </c>
      <c r="N2206" s="4" t="s">
        <v>27</v>
      </c>
      <c r="O2206" s="51" t="b">
        <v>0</v>
      </c>
      <c r="P2206" s="51" t="b">
        <v>0</v>
      </c>
      <c r="Q2206" s="51" t="b">
        <v>0</v>
      </c>
      <c r="R2206" s="51" t="b">
        <v>0</v>
      </c>
      <c r="S2206" s="51" t="b">
        <v>0</v>
      </c>
    </row>
    <row r="2207" hidden="1">
      <c r="B2207" s="4" t="s">
        <v>27</v>
      </c>
      <c r="C2207" s="4" t="s">
        <v>27</v>
      </c>
      <c r="D2207" s="6" t="s">
        <v>27</v>
      </c>
      <c r="E2207" s="6" t="s">
        <v>27</v>
      </c>
      <c r="F2207" s="6" t="s">
        <v>27</v>
      </c>
      <c r="G2207" s="4" t="s">
        <v>27</v>
      </c>
      <c r="H2207" s="4" t="s">
        <v>27</v>
      </c>
      <c r="I2207" s="4" t="s">
        <v>27</v>
      </c>
      <c r="J2207" s="4" t="s">
        <v>27</v>
      </c>
      <c r="K2207" s="4" t="s">
        <v>27</v>
      </c>
      <c r="L2207" s="4" t="s">
        <v>27</v>
      </c>
      <c r="M2207" s="4" t="s">
        <v>27</v>
      </c>
      <c r="N2207" s="4" t="s">
        <v>27</v>
      </c>
      <c r="O2207" s="51" t="b">
        <v>0</v>
      </c>
      <c r="P2207" s="51" t="b">
        <v>0</v>
      </c>
      <c r="Q2207" s="51" t="b">
        <v>0</v>
      </c>
      <c r="R2207" s="51" t="b">
        <v>0</v>
      </c>
      <c r="S2207" s="51" t="b">
        <v>0</v>
      </c>
    </row>
    <row r="2208" hidden="1">
      <c r="B2208" s="4" t="s">
        <v>27</v>
      </c>
      <c r="C2208" s="4" t="s">
        <v>27</v>
      </c>
      <c r="D2208" s="6" t="s">
        <v>27</v>
      </c>
      <c r="E2208" s="6" t="s">
        <v>27</v>
      </c>
      <c r="F2208" s="6" t="s">
        <v>27</v>
      </c>
      <c r="G2208" s="4" t="s">
        <v>27</v>
      </c>
      <c r="H2208" s="4" t="s">
        <v>27</v>
      </c>
      <c r="I2208" s="4" t="s">
        <v>27</v>
      </c>
      <c r="J2208" s="4" t="s">
        <v>27</v>
      </c>
      <c r="K2208" s="4" t="s">
        <v>27</v>
      </c>
      <c r="L2208" s="4" t="s">
        <v>27</v>
      </c>
      <c r="M2208" s="4" t="s">
        <v>27</v>
      </c>
      <c r="N2208" s="4" t="s">
        <v>27</v>
      </c>
      <c r="O2208" s="51" t="b">
        <v>0</v>
      </c>
      <c r="P2208" s="51" t="b">
        <v>0</v>
      </c>
      <c r="Q2208" s="51" t="b">
        <v>0</v>
      </c>
      <c r="R2208" s="51" t="b">
        <v>0</v>
      </c>
      <c r="S2208" s="51" t="b">
        <v>0</v>
      </c>
    </row>
    <row r="2209" hidden="1">
      <c r="B2209" s="4" t="s">
        <v>27</v>
      </c>
      <c r="C2209" s="4" t="s">
        <v>27</v>
      </c>
      <c r="D2209" s="6" t="s">
        <v>27</v>
      </c>
      <c r="E2209" s="6" t="s">
        <v>27</v>
      </c>
      <c r="F2209" s="6" t="s">
        <v>27</v>
      </c>
      <c r="G2209" s="4" t="s">
        <v>27</v>
      </c>
      <c r="H2209" s="4" t="s">
        <v>27</v>
      </c>
      <c r="I2209" s="4" t="s">
        <v>27</v>
      </c>
      <c r="J2209" s="4" t="s">
        <v>27</v>
      </c>
      <c r="K2209" s="4" t="s">
        <v>27</v>
      </c>
      <c r="L2209" s="4" t="s">
        <v>27</v>
      </c>
      <c r="M2209" s="4" t="s">
        <v>27</v>
      </c>
      <c r="N2209" s="4" t="s">
        <v>27</v>
      </c>
      <c r="O2209" s="51" t="b">
        <v>0</v>
      </c>
      <c r="P2209" s="51" t="b">
        <v>0</v>
      </c>
      <c r="Q2209" s="51" t="b">
        <v>0</v>
      </c>
      <c r="R2209" s="51" t="b">
        <v>0</v>
      </c>
      <c r="S2209" s="51" t="b">
        <v>0</v>
      </c>
    </row>
    <row r="2210" hidden="1">
      <c r="B2210" s="4" t="s">
        <v>27</v>
      </c>
      <c r="C2210" s="4" t="s">
        <v>27</v>
      </c>
      <c r="D2210" s="6" t="s">
        <v>27</v>
      </c>
      <c r="E2210" s="6" t="s">
        <v>27</v>
      </c>
      <c r="F2210" s="6" t="s">
        <v>27</v>
      </c>
      <c r="G2210" s="4" t="s">
        <v>27</v>
      </c>
      <c r="H2210" s="4" t="s">
        <v>27</v>
      </c>
      <c r="I2210" s="4" t="s">
        <v>27</v>
      </c>
      <c r="J2210" s="4" t="s">
        <v>27</v>
      </c>
      <c r="K2210" s="4" t="s">
        <v>27</v>
      </c>
      <c r="L2210" s="4" t="s">
        <v>27</v>
      </c>
      <c r="M2210" s="4" t="s">
        <v>27</v>
      </c>
      <c r="N2210" s="4" t="s">
        <v>27</v>
      </c>
      <c r="O2210" s="51" t="b">
        <v>0</v>
      </c>
      <c r="P2210" s="51" t="b">
        <v>0</v>
      </c>
      <c r="Q2210" s="51" t="b">
        <v>0</v>
      </c>
      <c r="R2210" s="51" t="b">
        <v>0</v>
      </c>
      <c r="S2210" s="51" t="b">
        <v>0</v>
      </c>
    </row>
    <row r="2211" hidden="1">
      <c r="B2211" s="4" t="s">
        <v>27</v>
      </c>
      <c r="C2211" s="4" t="s">
        <v>27</v>
      </c>
      <c r="D2211" s="6" t="s">
        <v>27</v>
      </c>
      <c r="E2211" s="6" t="s">
        <v>27</v>
      </c>
      <c r="F2211" s="6" t="s">
        <v>27</v>
      </c>
      <c r="G2211" s="4" t="s">
        <v>27</v>
      </c>
      <c r="H2211" s="4" t="s">
        <v>27</v>
      </c>
      <c r="I2211" s="4" t="s">
        <v>27</v>
      </c>
      <c r="J2211" s="4" t="s">
        <v>27</v>
      </c>
      <c r="K2211" s="4" t="s">
        <v>27</v>
      </c>
      <c r="L2211" s="4" t="s">
        <v>27</v>
      </c>
      <c r="M2211" s="4" t="s">
        <v>27</v>
      </c>
      <c r="N2211" s="4" t="s">
        <v>27</v>
      </c>
      <c r="O2211" s="51" t="b">
        <v>0</v>
      </c>
      <c r="P2211" s="51" t="b">
        <v>0</v>
      </c>
      <c r="Q2211" s="51" t="b">
        <v>0</v>
      </c>
      <c r="R2211" s="51" t="b">
        <v>0</v>
      </c>
      <c r="S2211" s="51" t="b">
        <v>0</v>
      </c>
    </row>
    <row r="2212" hidden="1">
      <c r="B2212" s="4" t="s">
        <v>27</v>
      </c>
      <c r="C2212" s="4" t="s">
        <v>27</v>
      </c>
      <c r="D2212" s="6" t="s">
        <v>27</v>
      </c>
      <c r="E2212" s="6" t="s">
        <v>27</v>
      </c>
      <c r="F2212" s="6" t="s">
        <v>27</v>
      </c>
      <c r="G2212" s="4" t="s">
        <v>27</v>
      </c>
      <c r="H2212" s="4" t="s">
        <v>27</v>
      </c>
      <c r="I2212" s="4" t="s">
        <v>27</v>
      </c>
      <c r="J2212" s="4" t="s">
        <v>27</v>
      </c>
      <c r="K2212" s="4" t="s">
        <v>27</v>
      </c>
      <c r="L2212" s="4" t="s">
        <v>27</v>
      </c>
      <c r="M2212" s="4" t="s">
        <v>27</v>
      </c>
      <c r="N2212" s="4" t="s">
        <v>27</v>
      </c>
      <c r="O2212" s="51" t="b">
        <v>0</v>
      </c>
      <c r="P2212" s="51" t="b">
        <v>0</v>
      </c>
      <c r="Q2212" s="51" t="b">
        <v>0</v>
      </c>
      <c r="R2212" s="51" t="b">
        <v>0</v>
      </c>
      <c r="S2212" s="51" t="b">
        <v>0</v>
      </c>
    </row>
    <row r="2213" hidden="1">
      <c r="B2213" s="4" t="s">
        <v>27</v>
      </c>
      <c r="C2213" s="4" t="s">
        <v>27</v>
      </c>
      <c r="D2213" s="6" t="s">
        <v>27</v>
      </c>
      <c r="E2213" s="6" t="s">
        <v>27</v>
      </c>
      <c r="F2213" s="6" t="s">
        <v>27</v>
      </c>
      <c r="G2213" s="4" t="s">
        <v>27</v>
      </c>
      <c r="H2213" s="4" t="s">
        <v>27</v>
      </c>
      <c r="I2213" s="4" t="s">
        <v>27</v>
      </c>
      <c r="J2213" s="4" t="s">
        <v>27</v>
      </c>
      <c r="K2213" s="4" t="s">
        <v>27</v>
      </c>
      <c r="L2213" s="4" t="s">
        <v>27</v>
      </c>
      <c r="M2213" s="4" t="s">
        <v>27</v>
      </c>
      <c r="N2213" s="4" t="s">
        <v>27</v>
      </c>
      <c r="O2213" s="51" t="b">
        <v>0</v>
      </c>
      <c r="P2213" s="51" t="b">
        <v>0</v>
      </c>
      <c r="Q2213" s="51" t="b">
        <v>0</v>
      </c>
      <c r="R2213" s="51" t="b">
        <v>0</v>
      </c>
      <c r="S2213" s="51" t="b">
        <v>0</v>
      </c>
    </row>
    <row r="2214" hidden="1">
      <c r="B2214" s="4" t="s">
        <v>27</v>
      </c>
      <c r="C2214" s="4" t="s">
        <v>27</v>
      </c>
      <c r="D2214" s="6" t="s">
        <v>27</v>
      </c>
      <c r="E2214" s="6" t="s">
        <v>27</v>
      </c>
      <c r="F2214" s="6" t="s">
        <v>27</v>
      </c>
      <c r="G2214" s="4" t="s">
        <v>27</v>
      </c>
      <c r="H2214" s="4" t="s">
        <v>27</v>
      </c>
      <c r="I2214" s="4" t="s">
        <v>27</v>
      </c>
      <c r="J2214" s="4" t="s">
        <v>27</v>
      </c>
      <c r="K2214" s="4" t="s">
        <v>27</v>
      </c>
      <c r="L2214" s="4" t="s">
        <v>27</v>
      </c>
      <c r="M2214" s="4" t="s">
        <v>27</v>
      </c>
      <c r="N2214" s="4" t="s">
        <v>27</v>
      </c>
      <c r="O2214" s="51" t="b">
        <v>0</v>
      </c>
      <c r="P2214" s="51" t="b">
        <v>0</v>
      </c>
      <c r="Q2214" s="51" t="b">
        <v>0</v>
      </c>
      <c r="R2214" s="51" t="b">
        <v>0</v>
      </c>
      <c r="S2214" s="51" t="b">
        <v>0</v>
      </c>
    </row>
    <row r="2215" hidden="1">
      <c r="B2215" s="4" t="s">
        <v>27</v>
      </c>
      <c r="C2215" s="4" t="s">
        <v>27</v>
      </c>
      <c r="D2215" s="6" t="s">
        <v>27</v>
      </c>
      <c r="E2215" s="6" t="s">
        <v>27</v>
      </c>
      <c r="F2215" s="6" t="s">
        <v>27</v>
      </c>
      <c r="G2215" s="4" t="s">
        <v>27</v>
      </c>
      <c r="H2215" s="4" t="s">
        <v>27</v>
      </c>
      <c r="I2215" s="4" t="s">
        <v>27</v>
      </c>
      <c r="J2215" s="4" t="s">
        <v>27</v>
      </c>
      <c r="K2215" s="4" t="s">
        <v>27</v>
      </c>
      <c r="L2215" s="4" t="s">
        <v>27</v>
      </c>
      <c r="M2215" s="4" t="s">
        <v>27</v>
      </c>
      <c r="N2215" s="4" t="s">
        <v>27</v>
      </c>
      <c r="O2215" s="51" t="b">
        <v>0</v>
      </c>
      <c r="P2215" s="51" t="b">
        <v>0</v>
      </c>
      <c r="Q2215" s="51" t="b">
        <v>0</v>
      </c>
      <c r="R2215" s="51" t="b">
        <v>0</v>
      </c>
      <c r="S2215" s="51" t="b">
        <v>0</v>
      </c>
    </row>
    <row r="2216" hidden="1">
      <c r="B2216" s="4" t="s">
        <v>27</v>
      </c>
      <c r="C2216" s="4" t="s">
        <v>27</v>
      </c>
      <c r="D2216" s="6" t="s">
        <v>27</v>
      </c>
      <c r="E2216" s="6" t="s">
        <v>27</v>
      </c>
      <c r="F2216" s="6" t="s">
        <v>27</v>
      </c>
      <c r="G2216" s="4" t="s">
        <v>27</v>
      </c>
      <c r="H2216" s="4" t="s">
        <v>27</v>
      </c>
      <c r="I2216" s="4" t="s">
        <v>27</v>
      </c>
      <c r="J2216" s="4" t="s">
        <v>27</v>
      </c>
      <c r="K2216" s="4" t="s">
        <v>27</v>
      </c>
      <c r="L2216" s="4" t="s">
        <v>27</v>
      </c>
      <c r="M2216" s="4" t="s">
        <v>27</v>
      </c>
      <c r="N2216" s="4" t="s">
        <v>27</v>
      </c>
      <c r="O2216" s="51" t="b">
        <v>0</v>
      </c>
      <c r="P2216" s="51" t="b">
        <v>0</v>
      </c>
      <c r="Q2216" s="51" t="b">
        <v>0</v>
      </c>
      <c r="R2216" s="51" t="b">
        <v>0</v>
      </c>
      <c r="S2216" s="51" t="b">
        <v>0</v>
      </c>
    </row>
    <row r="2217" hidden="1">
      <c r="B2217" s="4" t="s">
        <v>27</v>
      </c>
      <c r="C2217" s="4" t="s">
        <v>27</v>
      </c>
      <c r="D2217" s="6" t="s">
        <v>27</v>
      </c>
      <c r="E2217" s="6" t="s">
        <v>27</v>
      </c>
      <c r="F2217" s="6" t="s">
        <v>27</v>
      </c>
      <c r="G2217" s="4" t="s">
        <v>27</v>
      </c>
      <c r="H2217" s="4" t="s">
        <v>27</v>
      </c>
      <c r="I2217" s="4" t="s">
        <v>27</v>
      </c>
      <c r="J2217" s="4" t="s">
        <v>27</v>
      </c>
      <c r="K2217" s="4" t="s">
        <v>27</v>
      </c>
      <c r="L2217" s="4" t="s">
        <v>27</v>
      </c>
      <c r="M2217" s="4" t="s">
        <v>27</v>
      </c>
      <c r="N2217" s="4" t="s">
        <v>27</v>
      </c>
      <c r="O2217" s="51" t="b">
        <v>0</v>
      </c>
      <c r="P2217" s="51" t="b">
        <v>0</v>
      </c>
      <c r="Q2217" s="51" t="b">
        <v>0</v>
      </c>
      <c r="R2217" s="51" t="b">
        <v>0</v>
      </c>
      <c r="S2217" s="51" t="b">
        <v>0</v>
      </c>
    </row>
    <row r="2218" hidden="1">
      <c r="B2218" s="4" t="s">
        <v>27</v>
      </c>
      <c r="C2218" s="4" t="s">
        <v>27</v>
      </c>
      <c r="D2218" s="6" t="s">
        <v>27</v>
      </c>
      <c r="E2218" s="6" t="s">
        <v>27</v>
      </c>
      <c r="F2218" s="6" t="s">
        <v>27</v>
      </c>
      <c r="G2218" s="4" t="s">
        <v>27</v>
      </c>
      <c r="H2218" s="4" t="s">
        <v>27</v>
      </c>
      <c r="I2218" s="4" t="s">
        <v>27</v>
      </c>
      <c r="J2218" s="4" t="s">
        <v>27</v>
      </c>
      <c r="K2218" s="4" t="s">
        <v>27</v>
      </c>
      <c r="L2218" s="4" t="s">
        <v>27</v>
      </c>
      <c r="M2218" s="4" t="s">
        <v>27</v>
      </c>
      <c r="N2218" s="4" t="s">
        <v>27</v>
      </c>
      <c r="O2218" s="51" t="b">
        <v>0</v>
      </c>
      <c r="P2218" s="51" t="b">
        <v>0</v>
      </c>
      <c r="Q2218" s="51" t="b">
        <v>0</v>
      </c>
      <c r="R2218" s="51" t="b">
        <v>0</v>
      </c>
      <c r="S2218" s="51" t="b">
        <v>0</v>
      </c>
    </row>
    <row r="2219" hidden="1">
      <c r="B2219" s="4" t="s">
        <v>27</v>
      </c>
      <c r="C2219" s="4" t="s">
        <v>27</v>
      </c>
      <c r="D2219" s="6" t="s">
        <v>27</v>
      </c>
      <c r="E2219" s="6" t="s">
        <v>27</v>
      </c>
      <c r="F2219" s="6" t="s">
        <v>27</v>
      </c>
      <c r="G2219" s="4" t="s">
        <v>27</v>
      </c>
      <c r="H2219" s="4" t="s">
        <v>27</v>
      </c>
      <c r="I2219" s="4" t="s">
        <v>27</v>
      </c>
      <c r="J2219" s="4" t="s">
        <v>27</v>
      </c>
      <c r="K2219" s="4" t="s">
        <v>27</v>
      </c>
      <c r="L2219" s="4" t="s">
        <v>27</v>
      </c>
      <c r="M2219" s="4" t="s">
        <v>27</v>
      </c>
      <c r="N2219" s="4" t="s">
        <v>27</v>
      </c>
      <c r="O2219" s="51" t="b">
        <v>0</v>
      </c>
      <c r="P2219" s="51" t="b">
        <v>0</v>
      </c>
      <c r="Q2219" s="51" t="b">
        <v>0</v>
      </c>
      <c r="R2219" s="51" t="b">
        <v>0</v>
      </c>
      <c r="S2219" s="51" t="b">
        <v>0</v>
      </c>
    </row>
    <row r="2220" hidden="1">
      <c r="B2220" s="4" t="s">
        <v>27</v>
      </c>
      <c r="C2220" s="4" t="s">
        <v>27</v>
      </c>
      <c r="D2220" s="6" t="s">
        <v>27</v>
      </c>
      <c r="E2220" s="6" t="s">
        <v>27</v>
      </c>
      <c r="F2220" s="6" t="s">
        <v>27</v>
      </c>
      <c r="G2220" s="4" t="s">
        <v>27</v>
      </c>
      <c r="H2220" s="4" t="s">
        <v>27</v>
      </c>
      <c r="I2220" s="4" t="s">
        <v>27</v>
      </c>
      <c r="J2220" s="4" t="s">
        <v>27</v>
      </c>
      <c r="K2220" s="4" t="s">
        <v>27</v>
      </c>
      <c r="L2220" s="4" t="s">
        <v>27</v>
      </c>
      <c r="M2220" s="4" t="s">
        <v>27</v>
      </c>
      <c r="N2220" s="4" t="s">
        <v>27</v>
      </c>
      <c r="O2220" s="51" t="b">
        <v>0</v>
      </c>
      <c r="P2220" s="51" t="b">
        <v>0</v>
      </c>
      <c r="Q2220" s="51" t="b">
        <v>0</v>
      </c>
      <c r="R2220" s="51" t="b">
        <v>0</v>
      </c>
      <c r="S2220" s="51" t="b">
        <v>0</v>
      </c>
    </row>
    <row r="2221" hidden="1">
      <c r="B2221" s="4" t="s">
        <v>27</v>
      </c>
      <c r="C2221" s="4" t="s">
        <v>27</v>
      </c>
      <c r="D2221" s="6" t="s">
        <v>27</v>
      </c>
      <c r="E2221" s="6" t="s">
        <v>27</v>
      </c>
      <c r="F2221" s="6" t="s">
        <v>27</v>
      </c>
      <c r="G2221" s="4" t="s">
        <v>27</v>
      </c>
      <c r="H2221" s="4" t="s">
        <v>27</v>
      </c>
      <c r="I2221" s="4" t="s">
        <v>27</v>
      </c>
      <c r="J2221" s="4" t="s">
        <v>27</v>
      </c>
      <c r="K2221" s="4" t="s">
        <v>27</v>
      </c>
      <c r="L2221" s="4" t="s">
        <v>27</v>
      </c>
      <c r="M2221" s="4" t="s">
        <v>27</v>
      </c>
      <c r="N2221" s="4" t="s">
        <v>27</v>
      </c>
      <c r="O2221" s="51" t="b">
        <v>0</v>
      </c>
      <c r="P2221" s="51" t="b">
        <v>0</v>
      </c>
      <c r="Q2221" s="51" t="b">
        <v>0</v>
      </c>
      <c r="R2221" s="51" t="b">
        <v>0</v>
      </c>
      <c r="S2221" s="51" t="b">
        <v>0</v>
      </c>
    </row>
    <row r="2222" hidden="1">
      <c r="B2222" s="4" t="s">
        <v>27</v>
      </c>
      <c r="C2222" s="4" t="s">
        <v>27</v>
      </c>
      <c r="D2222" s="6" t="s">
        <v>27</v>
      </c>
      <c r="E2222" s="6" t="s">
        <v>27</v>
      </c>
      <c r="F2222" s="6" t="s">
        <v>27</v>
      </c>
      <c r="G2222" s="4" t="s">
        <v>27</v>
      </c>
      <c r="H2222" s="4" t="s">
        <v>27</v>
      </c>
      <c r="I2222" s="4" t="s">
        <v>27</v>
      </c>
      <c r="J2222" s="4" t="s">
        <v>27</v>
      </c>
      <c r="K2222" s="4" t="s">
        <v>27</v>
      </c>
      <c r="L2222" s="4" t="s">
        <v>27</v>
      </c>
      <c r="M2222" s="4" t="s">
        <v>27</v>
      </c>
      <c r="N2222" s="4" t="s">
        <v>27</v>
      </c>
      <c r="O2222" s="51" t="b">
        <v>0</v>
      </c>
      <c r="P2222" s="51" t="b">
        <v>0</v>
      </c>
      <c r="Q2222" s="51" t="b">
        <v>0</v>
      </c>
      <c r="R2222" s="51" t="b">
        <v>0</v>
      </c>
      <c r="S2222" s="51" t="b">
        <v>0</v>
      </c>
    </row>
    <row r="2223" hidden="1">
      <c r="B2223" s="4" t="s">
        <v>27</v>
      </c>
      <c r="C2223" s="4" t="s">
        <v>27</v>
      </c>
      <c r="D2223" s="6" t="s">
        <v>27</v>
      </c>
      <c r="E2223" s="6" t="s">
        <v>27</v>
      </c>
      <c r="F2223" s="6" t="s">
        <v>27</v>
      </c>
      <c r="G2223" s="4" t="s">
        <v>27</v>
      </c>
      <c r="H2223" s="4" t="s">
        <v>27</v>
      </c>
      <c r="I2223" s="4" t="s">
        <v>27</v>
      </c>
      <c r="J2223" s="4" t="s">
        <v>27</v>
      </c>
      <c r="K2223" s="4" t="s">
        <v>27</v>
      </c>
      <c r="L2223" s="4" t="s">
        <v>27</v>
      </c>
      <c r="M2223" s="4" t="s">
        <v>27</v>
      </c>
      <c r="N2223" s="4" t="s">
        <v>27</v>
      </c>
      <c r="O2223" s="51" t="b">
        <v>0</v>
      </c>
      <c r="P2223" s="51" t="b">
        <v>0</v>
      </c>
      <c r="Q2223" s="51" t="b">
        <v>0</v>
      </c>
      <c r="R2223" s="51" t="b">
        <v>0</v>
      </c>
      <c r="S2223" s="51" t="b">
        <v>0</v>
      </c>
    </row>
    <row r="2224" hidden="1">
      <c r="B2224" s="4" t="s">
        <v>27</v>
      </c>
      <c r="C2224" s="4" t="s">
        <v>27</v>
      </c>
      <c r="D2224" s="6" t="s">
        <v>27</v>
      </c>
      <c r="E2224" s="6" t="s">
        <v>27</v>
      </c>
      <c r="F2224" s="6" t="s">
        <v>27</v>
      </c>
      <c r="G2224" s="4" t="s">
        <v>27</v>
      </c>
      <c r="H2224" s="4" t="s">
        <v>27</v>
      </c>
      <c r="I2224" s="4" t="s">
        <v>27</v>
      </c>
      <c r="J2224" s="4" t="s">
        <v>27</v>
      </c>
      <c r="K2224" s="4" t="s">
        <v>27</v>
      </c>
      <c r="L2224" s="4" t="s">
        <v>27</v>
      </c>
      <c r="M2224" s="4" t="s">
        <v>27</v>
      </c>
      <c r="N2224" s="4" t="s">
        <v>27</v>
      </c>
      <c r="O2224" s="51" t="b">
        <v>0</v>
      </c>
      <c r="P2224" s="51" t="b">
        <v>0</v>
      </c>
      <c r="Q2224" s="51" t="b">
        <v>0</v>
      </c>
      <c r="R2224" s="51" t="b">
        <v>0</v>
      </c>
      <c r="S2224" s="51" t="b">
        <v>0</v>
      </c>
    </row>
    <row r="2225" hidden="1">
      <c r="B2225" s="4" t="s">
        <v>27</v>
      </c>
      <c r="C2225" s="4" t="s">
        <v>27</v>
      </c>
      <c r="D2225" s="6" t="s">
        <v>27</v>
      </c>
      <c r="E2225" s="6" t="s">
        <v>27</v>
      </c>
      <c r="F2225" s="6" t="s">
        <v>27</v>
      </c>
      <c r="G2225" s="4" t="s">
        <v>27</v>
      </c>
      <c r="H2225" s="4" t="s">
        <v>27</v>
      </c>
      <c r="I2225" s="4" t="s">
        <v>27</v>
      </c>
      <c r="J2225" s="4" t="s">
        <v>27</v>
      </c>
      <c r="K2225" s="4" t="s">
        <v>27</v>
      </c>
      <c r="L2225" s="4" t="s">
        <v>27</v>
      </c>
      <c r="M2225" s="4" t="s">
        <v>27</v>
      </c>
      <c r="N2225" s="4" t="s">
        <v>27</v>
      </c>
      <c r="O2225" s="51" t="b">
        <v>0</v>
      </c>
      <c r="P2225" s="51" t="b">
        <v>0</v>
      </c>
      <c r="Q2225" s="51" t="b">
        <v>0</v>
      </c>
      <c r="R2225" s="51" t="b">
        <v>0</v>
      </c>
      <c r="S2225" s="51" t="b">
        <v>0</v>
      </c>
    </row>
    <row r="2226" hidden="1">
      <c r="B2226" s="4" t="s">
        <v>27</v>
      </c>
      <c r="C2226" s="4" t="s">
        <v>27</v>
      </c>
      <c r="D2226" s="6" t="s">
        <v>27</v>
      </c>
      <c r="E2226" s="6" t="s">
        <v>27</v>
      </c>
      <c r="F2226" s="6" t="s">
        <v>27</v>
      </c>
      <c r="G2226" s="4" t="s">
        <v>27</v>
      </c>
      <c r="H2226" s="4" t="s">
        <v>27</v>
      </c>
      <c r="I2226" s="4" t="s">
        <v>27</v>
      </c>
      <c r="J2226" s="4" t="s">
        <v>27</v>
      </c>
      <c r="K2226" s="4" t="s">
        <v>27</v>
      </c>
      <c r="L2226" s="4" t="s">
        <v>27</v>
      </c>
      <c r="M2226" s="4" t="s">
        <v>27</v>
      </c>
      <c r="N2226" s="4" t="s">
        <v>27</v>
      </c>
      <c r="O2226" s="51" t="b">
        <v>0</v>
      </c>
      <c r="P2226" s="51" t="b">
        <v>0</v>
      </c>
      <c r="Q2226" s="51" t="b">
        <v>0</v>
      </c>
      <c r="R2226" s="51" t="b">
        <v>0</v>
      </c>
      <c r="S2226" s="51" t="b">
        <v>0</v>
      </c>
    </row>
    <row r="2227" hidden="1">
      <c r="B2227" s="4" t="s">
        <v>27</v>
      </c>
      <c r="C2227" s="4" t="s">
        <v>27</v>
      </c>
      <c r="D2227" s="6" t="s">
        <v>27</v>
      </c>
      <c r="E2227" s="6" t="s">
        <v>27</v>
      </c>
      <c r="F2227" s="6" t="s">
        <v>27</v>
      </c>
      <c r="G2227" s="4" t="s">
        <v>27</v>
      </c>
      <c r="H2227" s="4" t="s">
        <v>27</v>
      </c>
      <c r="I2227" s="4" t="s">
        <v>27</v>
      </c>
      <c r="J2227" s="4" t="s">
        <v>27</v>
      </c>
      <c r="K2227" s="4" t="s">
        <v>27</v>
      </c>
      <c r="L2227" s="4" t="s">
        <v>27</v>
      </c>
      <c r="M2227" s="4" t="s">
        <v>27</v>
      </c>
      <c r="N2227" s="4" t="s">
        <v>27</v>
      </c>
      <c r="O2227" s="51" t="b">
        <v>0</v>
      </c>
      <c r="P2227" s="51" t="b">
        <v>0</v>
      </c>
      <c r="Q2227" s="51" t="b">
        <v>0</v>
      </c>
      <c r="R2227" s="51" t="b">
        <v>0</v>
      </c>
      <c r="S2227" s="51" t="b">
        <v>0</v>
      </c>
    </row>
    <row r="2228" hidden="1">
      <c r="B2228" s="4" t="s">
        <v>27</v>
      </c>
      <c r="C2228" s="4" t="s">
        <v>27</v>
      </c>
      <c r="D2228" s="6" t="s">
        <v>27</v>
      </c>
      <c r="E2228" s="6" t="s">
        <v>27</v>
      </c>
      <c r="F2228" s="6" t="s">
        <v>27</v>
      </c>
      <c r="G2228" s="4" t="s">
        <v>27</v>
      </c>
      <c r="H2228" s="4" t="s">
        <v>27</v>
      </c>
      <c r="I2228" s="4" t="s">
        <v>27</v>
      </c>
      <c r="J2228" s="4" t="s">
        <v>27</v>
      </c>
      <c r="K2228" s="4" t="s">
        <v>27</v>
      </c>
      <c r="L2228" s="4" t="s">
        <v>27</v>
      </c>
      <c r="M2228" s="4" t="s">
        <v>27</v>
      </c>
      <c r="N2228" s="4" t="s">
        <v>27</v>
      </c>
      <c r="O2228" s="51" t="b">
        <v>0</v>
      </c>
      <c r="P2228" s="51" t="b">
        <v>0</v>
      </c>
      <c r="Q2228" s="51" t="b">
        <v>0</v>
      </c>
      <c r="R2228" s="51" t="b">
        <v>0</v>
      </c>
      <c r="S2228" s="51" t="b">
        <v>0</v>
      </c>
    </row>
    <row r="2229" hidden="1">
      <c r="B2229" s="4" t="s">
        <v>27</v>
      </c>
      <c r="C2229" s="4" t="s">
        <v>27</v>
      </c>
      <c r="D2229" s="6" t="s">
        <v>27</v>
      </c>
      <c r="E2229" s="6" t="s">
        <v>27</v>
      </c>
      <c r="F2229" s="6" t="s">
        <v>27</v>
      </c>
      <c r="G2229" s="4" t="s">
        <v>27</v>
      </c>
      <c r="H2229" s="4" t="s">
        <v>27</v>
      </c>
      <c r="I2229" s="4" t="s">
        <v>27</v>
      </c>
      <c r="J2229" s="4" t="s">
        <v>27</v>
      </c>
      <c r="K2229" s="4" t="s">
        <v>27</v>
      </c>
      <c r="L2229" s="4" t="s">
        <v>27</v>
      </c>
      <c r="M2229" s="4" t="s">
        <v>27</v>
      </c>
      <c r="N2229" s="4" t="s">
        <v>27</v>
      </c>
      <c r="O2229" s="51" t="b">
        <v>0</v>
      </c>
      <c r="P2229" s="51" t="b">
        <v>0</v>
      </c>
      <c r="Q2229" s="51" t="b">
        <v>0</v>
      </c>
      <c r="R2229" s="51" t="b">
        <v>0</v>
      </c>
      <c r="S2229" s="51" t="b">
        <v>0</v>
      </c>
    </row>
    <row r="2230" hidden="1">
      <c r="B2230" s="4" t="s">
        <v>27</v>
      </c>
      <c r="C2230" s="4" t="s">
        <v>27</v>
      </c>
      <c r="D2230" s="6" t="s">
        <v>27</v>
      </c>
      <c r="E2230" s="6" t="s">
        <v>27</v>
      </c>
      <c r="F2230" s="6" t="s">
        <v>27</v>
      </c>
      <c r="G2230" s="4" t="s">
        <v>27</v>
      </c>
      <c r="H2230" s="4" t="s">
        <v>27</v>
      </c>
      <c r="I2230" s="4" t="s">
        <v>27</v>
      </c>
      <c r="J2230" s="4" t="s">
        <v>27</v>
      </c>
      <c r="K2230" s="4" t="s">
        <v>27</v>
      </c>
      <c r="L2230" s="4" t="s">
        <v>27</v>
      </c>
      <c r="M2230" s="4" t="s">
        <v>27</v>
      </c>
      <c r="N2230" s="4" t="s">
        <v>27</v>
      </c>
      <c r="O2230" s="51" t="b">
        <v>0</v>
      </c>
      <c r="P2230" s="51" t="b">
        <v>0</v>
      </c>
      <c r="Q2230" s="51" t="b">
        <v>0</v>
      </c>
      <c r="R2230" s="51" t="b">
        <v>0</v>
      </c>
      <c r="S2230" s="51" t="b">
        <v>0</v>
      </c>
    </row>
    <row r="2231" hidden="1">
      <c r="B2231" s="4" t="s">
        <v>27</v>
      </c>
      <c r="C2231" s="4" t="s">
        <v>27</v>
      </c>
      <c r="D2231" s="6" t="s">
        <v>27</v>
      </c>
      <c r="E2231" s="6" t="s">
        <v>27</v>
      </c>
      <c r="F2231" s="6" t="s">
        <v>27</v>
      </c>
      <c r="G2231" s="4" t="s">
        <v>27</v>
      </c>
      <c r="H2231" s="4" t="s">
        <v>27</v>
      </c>
      <c r="I2231" s="4" t="s">
        <v>27</v>
      </c>
      <c r="J2231" s="4" t="s">
        <v>27</v>
      </c>
      <c r="K2231" s="4" t="s">
        <v>27</v>
      </c>
      <c r="L2231" s="4" t="s">
        <v>27</v>
      </c>
      <c r="M2231" s="4" t="s">
        <v>27</v>
      </c>
      <c r="N2231" s="4" t="s">
        <v>27</v>
      </c>
      <c r="O2231" s="51" t="b">
        <v>0</v>
      </c>
      <c r="P2231" s="51" t="b">
        <v>0</v>
      </c>
      <c r="Q2231" s="51" t="b">
        <v>0</v>
      </c>
      <c r="R2231" s="51" t="b">
        <v>0</v>
      </c>
      <c r="S2231" s="51" t="b">
        <v>0</v>
      </c>
    </row>
    <row r="2232" hidden="1">
      <c r="B2232" s="4" t="s">
        <v>27</v>
      </c>
      <c r="C2232" s="4" t="s">
        <v>27</v>
      </c>
      <c r="D2232" s="6" t="s">
        <v>27</v>
      </c>
      <c r="E2232" s="6" t="s">
        <v>27</v>
      </c>
      <c r="F2232" s="6" t="s">
        <v>27</v>
      </c>
      <c r="G2232" s="4" t="s">
        <v>27</v>
      </c>
      <c r="H2232" s="4" t="s">
        <v>27</v>
      </c>
      <c r="I2232" s="4" t="s">
        <v>27</v>
      </c>
      <c r="J2232" s="4" t="s">
        <v>27</v>
      </c>
      <c r="K2232" s="4" t="s">
        <v>27</v>
      </c>
      <c r="L2232" s="4" t="s">
        <v>27</v>
      </c>
      <c r="M2232" s="4" t="s">
        <v>27</v>
      </c>
      <c r="N2232" s="4" t="s">
        <v>27</v>
      </c>
      <c r="O2232" s="51" t="b">
        <v>0</v>
      </c>
      <c r="P2232" s="51" t="b">
        <v>0</v>
      </c>
      <c r="Q2232" s="51" t="b">
        <v>0</v>
      </c>
      <c r="R2232" s="51" t="b">
        <v>0</v>
      </c>
      <c r="S2232" s="51" t="b">
        <v>0</v>
      </c>
    </row>
    <row r="2233" hidden="1">
      <c r="B2233" s="4" t="s">
        <v>27</v>
      </c>
      <c r="C2233" s="4" t="s">
        <v>27</v>
      </c>
      <c r="D2233" s="6" t="s">
        <v>27</v>
      </c>
      <c r="E2233" s="6" t="s">
        <v>27</v>
      </c>
      <c r="F2233" s="6" t="s">
        <v>27</v>
      </c>
      <c r="G2233" s="4" t="s">
        <v>27</v>
      </c>
      <c r="H2233" s="4" t="s">
        <v>27</v>
      </c>
      <c r="I2233" s="4" t="s">
        <v>27</v>
      </c>
      <c r="J2233" s="4" t="s">
        <v>27</v>
      </c>
      <c r="K2233" s="4" t="s">
        <v>27</v>
      </c>
      <c r="L2233" s="4" t="s">
        <v>27</v>
      </c>
      <c r="M2233" s="4" t="s">
        <v>27</v>
      </c>
      <c r="N2233" s="4" t="s">
        <v>27</v>
      </c>
      <c r="O2233" s="51" t="b">
        <v>0</v>
      </c>
      <c r="P2233" s="51" t="b">
        <v>0</v>
      </c>
      <c r="Q2233" s="51" t="b">
        <v>0</v>
      </c>
      <c r="R2233" s="51" t="b">
        <v>0</v>
      </c>
      <c r="S2233" s="51" t="b">
        <v>0</v>
      </c>
    </row>
    <row r="2234" hidden="1">
      <c r="B2234" s="4" t="s">
        <v>27</v>
      </c>
      <c r="C2234" s="4" t="s">
        <v>27</v>
      </c>
      <c r="D2234" s="6" t="s">
        <v>27</v>
      </c>
      <c r="E2234" s="6" t="s">
        <v>27</v>
      </c>
      <c r="F2234" s="6" t="s">
        <v>27</v>
      </c>
      <c r="G2234" s="4" t="s">
        <v>27</v>
      </c>
      <c r="H2234" s="4" t="s">
        <v>27</v>
      </c>
      <c r="I2234" s="4" t="s">
        <v>27</v>
      </c>
      <c r="J2234" s="4" t="s">
        <v>27</v>
      </c>
      <c r="K2234" s="4" t="s">
        <v>27</v>
      </c>
      <c r="L2234" s="4" t="s">
        <v>27</v>
      </c>
      <c r="M2234" s="4" t="s">
        <v>27</v>
      </c>
      <c r="N2234" s="4" t="s">
        <v>27</v>
      </c>
      <c r="O2234" s="51" t="b">
        <v>0</v>
      </c>
      <c r="P2234" s="51" t="b">
        <v>0</v>
      </c>
      <c r="Q2234" s="51" t="b">
        <v>0</v>
      </c>
      <c r="R2234" s="51" t="b">
        <v>0</v>
      </c>
      <c r="S2234" s="51" t="b">
        <v>0</v>
      </c>
    </row>
    <row r="2235" hidden="1">
      <c r="B2235" s="4" t="s">
        <v>27</v>
      </c>
      <c r="C2235" s="4" t="s">
        <v>27</v>
      </c>
      <c r="D2235" s="6" t="s">
        <v>27</v>
      </c>
      <c r="E2235" s="6" t="s">
        <v>27</v>
      </c>
      <c r="F2235" s="6" t="s">
        <v>27</v>
      </c>
      <c r="G2235" s="4" t="s">
        <v>27</v>
      </c>
      <c r="H2235" s="4" t="s">
        <v>27</v>
      </c>
      <c r="I2235" s="4" t="s">
        <v>27</v>
      </c>
      <c r="J2235" s="4" t="s">
        <v>27</v>
      </c>
      <c r="K2235" s="4" t="s">
        <v>27</v>
      </c>
      <c r="L2235" s="4" t="s">
        <v>27</v>
      </c>
      <c r="M2235" s="4" t="s">
        <v>27</v>
      </c>
      <c r="N2235" s="4" t="s">
        <v>27</v>
      </c>
      <c r="O2235" s="51" t="b">
        <v>0</v>
      </c>
      <c r="P2235" s="51" t="b">
        <v>0</v>
      </c>
      <c r="Q2235" s="51" t="b">
        <v>0</v>
      </c>
      <c r="R2235" s="51" t="b">
        <v>0</v>
      </c>
      <c r="S2235" s="51" t="b">
        <v>0</v>
      </c>
    </row>
    <row r="2236" hidden="1">
      <c r="B2236" s="4" t="s">
        <v>27</v>
      </c>
      <c r="C2236" s="4" t="s">
        <v>27</v>
      </c>
      <c r="D2236" s="6" t="s">
        <v>27</v>
      </c>
      <c r="E2236" s="6" t="s">
        <v>27</v>
      </c>
      <c r="F2236" s="6" t="s">
        <v>27</v>
      </c>
      <c r="G2236" s="4" t="s">
        <v>27</v>
      </c>
      <c r="H2236" s="4" t="s">
        <v>27</v>
      </c>
      <c r="I2236" s="4" t="s">
        <v>27</v>
      </c>
      <c r="J2236" s="4" t="s">
        <v>27</v>
      </c>
      <c r="K2236" s="4" t="s">
        <v>27</v>
      </c>
      <c r="L2236" s="4" t="s">
        <v>27</v>
      </c>
      <c r="M2236" s="4" t="s">
        <v>27</v>
      </c>
      <c r="N2236" s="4" t="s">
        <v>27</v>
      </c>
      <c r="O2236" s="51" t="b">
        <v>0</v>
      </c>
      <c r="P2236" s="51" t="b">
        <v>0</v>
      </c>
      <c r="Q2236" s="51" t="b">
        <v>0</v>
      </c>
      <c r="R2236" s="51" t="b">
        <v>0</v>
      </c>
      <c r="S2236" s="51" t="b">
        <v>0</v>
      </c>
    </row>
    <row r="2237" hidden="1">
      <c r="B2237" s="4" t="s">
        <v>27</v>
      </c>
      <c r="C2237" s="4" t="s">
        <v>27</v>
      </c>
      <c r="D2237" s="6" t="s">
        <v>27</v>
      </c>
      <c r="E2237" s="6" t="s">
        <v>27</v>
      </c>
      <c r="F2237" s="6" t="s">
        <v>27</v>
      </c>
      <c r="G2237" s="4" t="s">
        <v>27</v>
      </c>
      <c r="H2237" s="4" t="s">
        <v>27</v>
      </c>
      <c r="I2237" s="4" t="s">
        <v>27</v>
      </c>
      <c r="J2237" s="4" t="s">
        <v>27</v>
      </c>
      <c r="K2237" s="4" t="s">
        <v>27</v>
      </c>
      <c r="L2237" s="4" t="s">
        <v>27</v>
      </c>
      <c r="M2237" s="4" t="s">
        <v>27</v>
      </c>
      <c r="N2237" s="4" t="s">
        <v>27</v>
      </c>
      <c r="O2237" s="51" t="b">
        <v>0</v>
      </c>
      <c r="P2237" s="51" t="b">
        <v>0</v>
      </c>
      <c r="Q2237" s="51" t="b">
        <v>0</v>
      </c>
      <c r="R2237" s="51" t="b">
        <v>0</v>
      </c>
      <c r="S2237" s="51" t="b">
        <v>0</v>
      </c>
    </row>
    <row r="2238" hidden="1">
      <c r="B2238" s="4" t="s">
        <v>27</v>
      </c>
      <c r="C2238" s="4" t="s">
        <v>27</v>
      </c>
      <c r="D2238" s="6" t="s">
        <v>27</v>
      </c>
      <c r="E2238" s="6" t="s">
        <v>27</v>
      </c>
      <c r="F2238" s="6" t="s">
        <v>27</v>
      </c>
      <c r="G2238" s="4" t="s">
        <v>27</v>
      </c>
      <c r="H2238" s="4" t="s">
        <v>27</v>
      </c>
      <c r="I2238" s="4" t="s">
        <v>27</v>
      </c>
      <c r="J2238" s="4" t="s">
        <v>27</v>
      </c>
      <c r="K2238" s="4" t="s">
        <v>27</v>
      </c>
      <c r="L2238" s="4" t="s">
        <v>27</v>
      </c>
      <c r="M2238" s="4" t="s">
        <v>27</v>
      </c>
      <c r="N2238" s="4" t="s">
        <v>27</v>
      </c>
      <c r="O2238" s="51" t="b">
        <v>0</v>
      </c>
      <c r="P2238" s="51" t="b">
        <v>0</v>
      </c>
      <c r="Q2238" s="51" t="b">
        <v>0</v>
      </c>
      <c r="R2238" s="51" t="b">
        <v>0</v>
      </c>
      <c r="S2238" s="51" t="b">
        <v>0</v>
      </c>
    </row>
    <row r="2239" hidden="1">
      <c r="B2239" s="4" t="s">
        <v>27</v>
      </c>
      <c r="C2239" s="4" t="s">
        <v>27</v>
      </c>
      <c r="D2239" s="6" t="s">
        <v>27</v>
      </c>
      <c r="E2239" s="6" t="s">
        <v>27</v>
      </c>
      <c r="F2239" s="6" t="s">
        <v>27</v>
      </c>
      <c r="G2239" s="4" t="s">
        <v>27</v>
      </c>
      <c r="H2239" s="4" t="s">
        <v>27</v>
      </c>
      <c r="I2239" s="4" t="s">
        <v>27</v>
      </c>
      <c r="J2239" s="4" t="s">
        <v>27</v>
      </c>
      <c r="K2239" s="4" t="s">
        <v>27</v>
      </c>
      <c r="L2239" s="4" t="s">
        <v>27</v>
      </c>
      <c r="M2239" s="4" t="s">
        <v>27</v>
      </c>
      <c r="N2239" s="4" t="s">
        <v>27</v>
      </c>
      <c r="O2239" s="51" t="b">
        <v>0</v>
      </c>
      <c r="P2239" s="51" t="b">
        <v>0</v>
      </c>
      <c r="Q2239" s="51" t="b">
        <v>0</v>
      </c>
      <c r="R2239" s="51" t="b">
        <v>0</v>
      </c>
      <c r="S2239" s="51" t="b">
        <v>0</v>
      </c>
    </row>
    <row r="2240" hidden="1">
      <c r="B2240" s="4" t="s">
        <v>27</v>
      </c>
      <c r="C2240" s="4" t="s">
        <v>27</v>
      </c>
      <c r="D2240" s="6" t="s">
        <v>27</v>
      </c>
      <c r="E2240" s="6" t="s">
        <v>27</v>
      </c>
      <c r="F2240" s="6" t="s">
        <v>27</v>
      </c>
      <c r="G2240" s="4" t="s">
        <v>27</v>
      </c>
      <c r="H2240" s="4" t="s">
        <v>27</v>
      </c>
      <c r="I2240" s="4" t="s">
        <v>27</v>
      </c>
      <c r="J2240" s="4" t="s">
        <v>27</v>
      </c>
      <c r="K2240" s="4" t="s">
        <v>27</v>
      </c>
      <c r="L2240" s="4" t="s">
        <v>27</v>
      </c>
      <c r="M2240" s="4" t="s">
        <v>27</v>
      </c>
      <c r="N2240" s="4" t="s">
        <v>27</v>
      </c>
      <c r="O2240" s="51" t="b">
        <v>0</v>
      </c>
      <c r="P2240" s="51" t="b">
        <v>0</v>
      </c>
      <c r="Q2240" s="51" t="b">
        <v>0</v>
      </c>
      <c r="R2240" s="51" t="b">
        <v>0</v>
      </c>
      <c r="S2240" s="51" t="b">
        <v>0</v>
      </c>
    </row>
    <row r="2241" hidden="1">
      <c r="B2241" s="4" t="s">
        <v>27</v>
      </c>
      <c r="C2241" s="4" t="s">
        <v>27</v>
      </c>
      <c r="D2241" s="6" t="s">
        <v>27</v>
      </c>
      <c r="E2241" s="6" t="s">
        <v>27</v>
      </c>
      <c r="F2241" s="6" t="s">
        <v>27</v>
      </c>
      <c r="G2241" s="4" t="s">
        <v>27</v>
      </c>
      <c r="H2241" s="4" t="s">
        <v>27</v>
      </c>
      <c r="I2241" s="4" t="s">
        <v>27</v>
      </c>
      <c r="J2241" s="4" t="s">
        <v>27</v>
      </c>
      <c r="K2241" s="4" t="s">
        <v>27</v>
      </c>
      <c r="L2241" s="4" t="s">
        <v>27</v>
      </c>
      <c r="M2241" s="4" t="s">
        <v>27</v>
      </c>
      <c r="N2241" s="4" t="s">
        <v>27</v>
      </c>
      <c r="O2241" s="51" t="b">
        <v>0</v>
      </c>
      <c r="P2241" s="51" t="b">
        <v>0</v>
      </c>
      <c r="Q2241" s="51" t="b">
        <v>0</v>
      </c>
      <c r="R2241" s="51" t="b">
        <v>0</v>
      </c>
      <c r="S2241" s="51" t="b">
        <v>0</v>
      </c>
    </row>
    <row r="2242" hidden="1">
      <c r="B2242" s="4" t="s">
        <v>27</v>
      </c>
      <c r="C2242" s="4" t="s">
        <v>27</v>
      </c>
      <c r="D2242" s="6" t="s">
        <v>27</v>
      </c>
      <c r="E2242" s="6" t="s">
        <v>27</v>
      </c>
      <c r="F2242" s="6" t="s">
        <v>27</v>
      </c>
      <c r="G2242" s="4" t="s">
        <v>27</v>
      </c>
      <c r="H2242" s="4" t="s">
        <v>27</v>
      </c>
      <c r="I2242" s="4" t="s">
        <v>27</v>
      </c>
      <c r="J2242" s="4" t="s">
        <v>27</v>
      </c>
      <c r="K2242" s="4" t="s">
        <v>27</v>
      </c>
      <c r="L2242" s="4" t="s">
        <v>27</v>
      </c>
      <c r="M2242" s="4" t="s">
        <v>27</v>
      </c>
      <c r="N2242" s="4" t="s">
        <v>27</v>
      </c>
      <c r="O2242" s="51" t="b">
        <v>0</v>
      </c>
      <c r="P2242" s="51" t="b">
        <v>0</v>
      </c>
      <c r="Q2242" s="51" t="b">
        <v>0</v>
      </c>
      <c r="R2242" s="51" t="b">
        <v>0</v>
      </c>
      <c r="S2242" s="51" t="b">
        <v>0</v>
      </c>
    </row>
    <row r="2243" hidden="1">
      <c r="B2243" s="4" t="s">
        <v>27</v>
      </c>
      <c r="C2243" s="4" t="s">
        <v>27</v>
      </c>
      <c r="D2243" s="6" t="s">
        <v>27</v>
      </c>
      <c r="E2243" s="6" t="s">
        <v>27</v>
      </c>
      <c r="F2243" s="6" t="s">
        <v>27</v>
      </c>
      <c r="G2243" s="4" t="s">
        <v>27</v>
      </c>
      <c r="H2243" s="4" t="s">
        <v>27</v>
      </c>
      <c r="I2243" s="4" t="s">
        <v>27</v>
      </c>
      <c r="J2243" s="4" t="s">
        <v>27</v>
      </c>
      <c r="K2243" s="4" t="s">
        <v>27</v>
      </c>
      <c r="L2243" s="4" t="s">
        <v>27</v>
      </c>
      <c r="M2243" s="4" t="s">
        <v>27</v>
      </c>
      <c r="N2243" s="4" t="s">
        <v>27</v>
      </c>
      <c r="O2243" s="51" t="b">
        <v>0</v>
      </c>
      <c r="P2243" s="51" t="b">
        <v>0</v>
      </c>
      <c r="Q2243" s="51" t="b">
        <v>0</v>
      </c>
      <c r="R2243" s="51" t="b">
        <v>0</v>
      </c>
      <c r="S2243" s="51" t="b">
        <v>0</v>
      </c>
    </row>
    <row r="2244" hidden="1">
      <c r="B2244" s="4" t="s">
        <v>27</v>
      </c>
      <c r="C2244" s="4" t="s">
        <v>27</v>
      </c>
      <c r="D2244" s="6" t="s">
        <v>27</v>
      </c>
      <c r="E2244" s="6" t="s">
        <v>27</v>
      </c>
      <c r="F2244" s="6" t="s">
        <v>27</v>
      </c>
      <c r="G2244" s="4" t="s">
        <v>27</v>
      </c>
      <c r="H2244" s="4" t="s">
        <v>27</v>
      </c>
      <c r="I2244" s="4" t="s">
        <v>27</v>
      </c>
      <c r="J2244" s="4" t="s">
        <v>27</v>
      </c>
      <c r="K2244" s="4" t="s">
        <v>27</v>
      </c>
      <c r="L2244" s="4" t="s">
        <v>27</v>
      </c>
      <c r="M2244" s="4" t="s">
        <v>27</v>
      </c>
      <c r="N2244" s="4" t="s">
        <v>27</v>
      </c>
      <c r="O2244" s="51" t="b">
        <v>0</v>
      </c>
      <c r="P2244" s="51" t="b">
        <v>0</v>
      </c>
      <c r="Q2244" s="51" t="b">
        <v>0</v>
      </c>
      <c r="R2244" s="51" t="b">
        <v>0</v>
      </c>
      <c r="S2244" s="51" t="b">
        <v>0</v>
      </c>
    </row>
    <row r="2245" hidden="1">
      <c r="B2245" s="4" t="s">
        <v>27</v>
      </c>
      <c r="C2245" s="4" t="s">
        <v>27</v>
      </c>
      <c r="D2245" s="6" t="s">
        <v>27</v>
      </c>
      <c r="E2245" s="6" t="s">
        <v>27</v>
      </c>
      <c r="F2245" s="6" t="s">
        <v>27</v>
      </c>
      <c r="G2245" s="4" t="s">
        <v>27</v>
      </c>
      <c r="H2245" s="4" t="s">
        <v>27</v>
      </c>
      <c r="I2245" s="4" t="s">
        <v>27</v>
      </c>
      <c r="J2245" s="4" t="s">
        <v>27</v>
      </c>
      <c r="K2245" s="4" t="s">
        <v>27</v>
      </c>
      <c r="L2245" s="4" t="s">
        <v>27</v>
      </c>
      <c r="M2245" s="4" t="s">
        <v>27</v>
      </c>
      <c r="N2245" s="4" t="s">
        <v>27</v>
      </c>
      <c r="O2245" s="51" t="b">
        <v>0</v>
      </c>
      <c r="P2245" s="51" t="b">
        <v>0</v>
      </c>
      <c r="Q2245" s="51" t="b">
        <v>0</v>
      </c>
      <c r="R2245" s="51" t="b">
        <v>0</v>
      </c>
      <c r="S2245" s="51" t="b">
        <v>0</v>
      </c>
    </row>
    <row r="2246" hidden="1">
      <c r="B2246" s="4" t="s">
        <v>27</v>
      </c>
      <c r="C2246" s="4" t="s">
        <v>27</v>
      </c>
      <c r="D2246" s="6" t="s">
        <v>27</v>
      </c>
      <c r="E2246" s="6" t="s">
        <v>27</v>
      </c>
      <c r="F2246" s="6" t="s">
        <v>27</v>
      </c>
      <c r="G2246" s="4" t="s">
        <v>27</v>
      </c>
      <c r="H2246" s="4" t="s">
        <v>27</v>
      </c>
      <c r="I2246" s="4" t="s">
        <v>27</v>
      </c>
      <c r="J2246" s="4" t="s">
        <v>27</v>
      </c>
      <c r="K2246" s="4" t="s">
        <v>27</v>
      </c>
      <c r="L2246" s="4" t="s">
        <v>27</v>
      </c>
      <c r="M2246" s="4" t="s">
        <v>27</v>
      </c>
      <c r="N2246" s="4" t="s">
        <v>27</v>
      </c>
      <c r="O2246" s="51" t="b">
        <v>0</v>
      </c>
      <c r="P2246" s="51" t="b">
        <v>0</v>
      </c>
      <c r="Q2246" s="51" t="b">
        <v>0</v>
      </c>
      <c r="R2246" s="51" t="b">
        <v>0</v>
      </c>
      <c r="S2246" s="51" t="b">
        <v>0</v>
      </c>
    </row>
    <row r="2247" hidden="1">
      <c r="B2247" s="4" t="s">
        <v>27</v>
      </c>
      <c r="C2247" s="4" t="s">
        <v>27</v>
      </c>
      <c r="D2247" s="6" t="s">
        <v>27</v>
      </c>
      <c r="E2247" s="6" t="s">
        <v>27</v>
      </c>
      <c r="F2247" s="6" t="s">
        <v>27</v>
      </c>
      <c r="G2247" s="4" t="s">
        <v>27</v>
      </c>
      <c r="H2247" s="4" t="s">
        <v>27</v>
      </c>
      <c r="I2247" s="4" t="s">
        <v>27</v>
      </c>
      <c r="J2247" s="4" t="s">
        <v>27</v>
      </c>
      <c r="K2247" s="4" t="s">
        <v>27</v>
      </c>
      <c r="L2247" s="4" t="s">
        <v>27</v>
      </c>
      <c r="M2247" s="4" t="s">
        <v>27</v>
      </c>
      <c r="N2247" s="4" t="s">
        <v>27</v>
      </c>
      <c r="O2247" s="51" t="b">
        <v>0</v>
      </c>
      <c r="P2247" s="51" t="b">
        <v>0</v>
      </c>
      <c r="Q2247" s="51" t="b">
        <v>0</v>
      </c>
      <c r="R2247" s="51" t="b">
        <v>0</v>
      </c>
      <c r="S2247" s="51" t="b">
        <v>0</v>
      </c>
    </row>
    <row r="2248" hidden="1">
      <c r="B2248" s="4" t="s">
        <v>27</v>
      </c>
      <c r="C2248" s="4" t="s">
        <v>27</v>
      </c>
      <c r="D2248" s="6" t="s">
        <v>27</v>
      </c>
      <c r="E2248" s="6" t="s">
        <v>27</v>
      </c>
      <c r="F2248" s="6" t="s">
        <v>27</v>
      </c>
      <c r="G2248" s="4" t="s">
        <v>27</v>
      </c>
      <c r="H2248" s="4" t="s">
        <v>27</v>
      </c>
      <c r="I2248" s="4" t="s">
        <v>27</v>
      </c>
      <c r="J2248" s="4" t="s">
        <v>27</v>
      </c>
      <c r="K2248" s="4" t="s">
        <v>27</v>
      </c>
      <c r="L2248" s="4" t="s">
        <v>27</v>
      </c>
      <c r="M2248" s="4" t="s">
        <v>27</v>
      </c>
      <c r="N2248" s="4" t="s">
        <v>27</v>
      </c>
      <c r="O2248" s="51" t="b">
        <v>0</v>
      </c>
      <c r="P2248" s="51" t="b">
        <v>0</v>
      </c>
      <c r="Q2248" s="51" t="b">
        <v>0</v>
      </c>
      <c r="R2248" s="51" t="b">
        <v>0</v>
      </c>
      <c r="S2248" s="51" t="b">
        <v>0</v>
      </c>
    </row>
    <row r="2249" hidden="1">
      <c r="B2249" s="4" t="s">
        <v>27</v>
      </c>
      <c r="C2249" s="4" t="s">
        <v>27</v>
      </c>
      <c r="D2249" s="6" t="s">
        <v>27</v>
      </c>
      <c r="E2249" s="6" t="s">
        <v>27</v>
      </c>
      <c r="F2249" s="6" t="s">
        <v>27</v>
      </c>
      <c r="G2249" s="4" t="s">
        <v>27</v>
      </c>
      <c r="H2249" s="4" t="s">
        <v>27</v>
      </c>
      <c r="I2249" s="4" t="s">
        <v>27</v>
      </c>
      <c r="J2249" s="4" t="s">
        <v>27</v>
      </c>
      <c r="K2249" s="4" t="s">
        <v>27</v>
      </c>
      <c r="L2249" s="4" t="s">
        <v>27</v>
      </c>
      <c r="M2249" s="4" t="s">
        <v>27</v>
      </c>
      <c r="N2249" s="4" t="s">
        <v>27</v>
      </c>
      <c r="O2249" s="51" t="b">
        <v>0</v>
      </c>
      <c r="P2249" s="51" t="b">
        <v>0</v>
      </c>
      <c r="Q2249" s="51" t="b">
        <v>0</v>
      </c>
      <c r="R2249" s="51" t="b">
        <v>0</v>
      </c>
      <c r="S2249" s="51" t="b">
        <v>0</v>
      </c>
    </row>
    <row r="2250" hidden="1">
      <c r="B2250" s="4" t="s">
        <v>27</v>
      </c>
      <c r="C2250" s="4" t="s">
        <v>27</v>
      </c>
      <c r="D2250" s="6" t="s">
        <v>27</v>
      </c>
      <c r="E2250" s="6" t="s">
        <v>27</v>
      </c>
      <c r="F2250" s="6" t="s">
        <v>27</v>
      </c>
      <c r="G2250" s="4" t="s">
        <v>27</v>
      </c>
      <c r="H2250" s="4" t="s">
        <v>27</v>
      </c>
      <c r="I2250" s="4" t="s">
        <v>27</v>
      </c>
      <c r="J2250" s="4" t="s">
        <v>27</v>
      </c>
      <c r="K2250" s="4" t="s">
        <v>27</v>
      </c>
      <c r="L2250" s="4" t="s">
        <v>27</v>
      </c>
      <c r="M2250" s="4" t="s">
        <v>27</v>
      </c>
      <c r="N2250" s="4" t="s">
        <v>27</v>
      </c>
      <c r="O2250" s="51" t="b">
        <v>0</v>
      </c>
      <c r="P2250" s="51" t="b">
        <v>0</v>
      </c>
      <c r="Q2250" s="51" t="b">
        <v>0</v>
      </c>
      <c r="R2250" s="51" t="b">
        <v>0</v>
      </c>
      <c r="S2250" s="51" t="b">
        <v>0</v>
      </c>
    </row>
    <row r="2251" hidden="1">
      <c r="B2251" s="4" t="s">
        <v>27</v>
      </c>
      <c r="C2251" s="4" t="s">
        <v>27</v>
      </c>
      <c r="D2251" s="6" t="s">
        <v>27</v>
      </c>
      <c r="E2251" s="6" t="s">
        <v>27</v>
      </c>
      <c r="F2251" s="6" t="s">
        <v>27</v>
      </c>
      <c r="G2251" s="4" t="s">
        <v>27</v>
      </c>
      <c r="H2251" s="4" t="s">
        <v>27</v>
      </c>
      <c r="I2251" s="4" t="s">
        <v>27</v>
      </c>
      <c r="J2251" s="4" t="s">
        <v>27</v>
      </c>
      <c r="K2251" s="4" t="s">
        <v>27</v>
      </c>
      <c r="L2251" s="4" t="s">
        <v>27</v>
      </c>
      <c r="M2251" s="4" t="s">
        <v>27</v>
      </c>
      <c r="N2251" s="4" t="s">
        <v>27</v>
      </c>
      <c r="O2251" s="51" t="b">
        <v>0</v>
      </c>
      <c r="P2251" s="51" t="b">
        <v>0</v>
      </c>
      <c r="Q2251" s="51" t="b">
        <v>0</v>
      </c>
      <c r="R2251" s="51" t="b">
        <v>0</v>
      </c>
      <c r="S2251" s="51" t="b">
        <v>0</v>
      </c>
    </row>
    <row r="2252" hidden="1">
      <c r="B2252" s="4" t="s">
        <v>27</v>
      </c>
      <c r="C2252" s="4" t="s">
        <v>27</v>
      </c>
      <c r="D2252" s="6" t="s">
        <v>27</v>
      </c>
      <c r="E2252" s="6" t="s">
        <v>27</v>
      </c>
      <c r="F2252" s="6" t="s">
        <v>27</v>
      </c>
      <c r="G2252" s="4" t="s">
        <v>27</v>
      </c>
      <c r="H2252" s="4" t="s">
        <v>27</v>
      </c>
      <c r="I2252" s="4" t="s">
        <v>27</v>
      </c>
      <c r="J2252" s="4" t="s">
        <v>27</v>
      </c>
      <c r="K2252" s="4" t="s">
        <v>27</v>
      </c>
      <c r="L2252" s="4" t="s">
        <v>27</v>
      </c>
      <c r="M2252" s="4" t="s">
        <v>27</v>
      </c>
      <c r="N2252" s="4" t="s">
        <v>27</v>
      </c>
      <c r="O2252" s="51" t="b">
        <v>0</v>
      </c>
      <c r="P2252" s="51" t="b">
        <v>0</v>
      </c>
      <c r="Q2252" s="51" t="b">
        <v>0</v>
      </c>
      <c r="R2252" s="51" t="b">
        <v>0</v>
      </c>
      <c r="S2252" s="51" t="b">
        <v>0</v>
      </c>
    </row>
    <row r="2253" hidden="1">
      <c r="B2253" s="4" t="s">
        <v>27</v>
      </c>
      <c r="C2253" s="4" t="s">
        <v>27</v>
      </c>
      <c r="D2253" s="6" t="s">
        <v>27</v>
      </c>
      <c r="E2253" s="6" t="s">
        <v>27</v>
      </c>
      <c r="F2253" s="6" t="s">
        <v>27</v>
      </c>
      <c r="G2253" s="4" t="s">
        <v>27</v>
      </c>
      <c r="H2253" s="4" t="s">
        <v>27</v>
      </c>
      <c r="I2253" s="4" t="s">
        <v>27</v>
      </c>
      <c r="J2253" s="4" t="s">
        <v>27</v>
      </c>
      <c r="K2253" s="4" t="s">
        <v>27</v>
      </c>
      <c r="L2253" s="4" t="s">
        <v>27</v>
      </c>
      <c r="M2253" s="4" t="s">
        <v>27</v>
      </c>
      <c r="N2253" s="4" t="s">
        <v>27</v>
      </c>
      <c r="O2253" s="51" t="b">
        <v>0</v>
      </c>
      <c r="P2253" s="51" t="b">
        <v>0</v>
      </c>
      <c r="Q2253" s="51" t="b">
        <v>0</v>
      </c>
      <c r="R2253" s="51" t="b">
        <v>0</v>
      </c>
      <c r="S2253" s="51" t="b">
        <v>0</v>
      </c>
    </row>
    <row r="2254" hidden="1">
      <c r="B2254" s="4" t="s">
        <v>27</v>
      </c>
      <c r="C2254" s="4" t="s">
        <v>27</v>
      </c>
      <c r="D2254" s="6" t="s">
        <v>27</v>
      </c>
      <c r="E2254" s="6" t="s">
        <v>27</v>
      </c>
      <c r="F2254" s="6" t="s">
        <v>27</v>
      </c>
      <c r="G2254" s="4" t="s">
        <v>27</v>
      </c>
      <c r="H2254" s="4" t="s">
        <v>27</v>
      </c>
      <c r="I2254" s="4" t="s">
        <v>27</v>
      </c>
      <c r="J2254" s="4" t="s">
        <v>27</v>
      </c>
      <c r="K2254" s="4" t="s">
        <v>27</v>
      </c>
      <c r="L2254" s="4" t="s">
        <v>27</v>
      </c>
      <c r="M2254" s="4" t="s">
        <v>27</v>
      </c>
      <c r="N2254" s="4" t="s">
        <v>27</v>
      </c>
      <c r="O2254" s="51" t="b">
        <v>0</v>
      </c>
      <c r="P2254" s="51" t="b">
        <v>0</v>
      </c>
      <c r="Q2254" s="51" t="b">
        <v>0</v>
      </c>
      <c r="R2254" s="51" t="b">
        <v>0</v>
      </c>
      <c r="S2254" s="51" t="b">
        <v>0</v>
      </c>
    </row>
    <row r="2255" hidden="1">
      <c r="B2255" s="4" t="s">
        <v>27</v>
      </c>
      <c r="C2255" s="4" t="s">
        <v>27</v>
      </c>
      <c r="D2255" s="6" t="s">
        <v>27</v>
      </c>
      <c r="E2255" s="6" t="s">
        <v>27</v>
      </c>
      <c r="F2255" s="6" t="s">
        <v>27</v>
      </c>
      <c r="G2255" s="4" t="s">
        <v>27</v>
      </c>
      <c r="H2255" s="4" t="s">
        <v>27</v>
      </c>
      <c r="I2255" s="4" t="s">
        <v>27</v>
      </c>
      <c r="J2255" s="4" t="s">
        <v>27</v>
      </c>
      <c r="K2255" s="4" t="s">
        <v>27</v>
      </c>
      <c r="L2255" s="4" t="s">
        <v>27</v>
      </c>
      <c r="M2255" s="4" t="s">
        <v>27</v>
      </c>
      <c r="N2255" s="4" t="s">
        <v>27</v>
      </c>
      <c r="O2255" s="51" t="b">
        <v>0</v>
      </c>
      <c r="P2255" s="51" t="b">
        <v>0</v>
      </c>
      <c r="Q2255" s="51" t="b">
        <v>0</v>
      </c>
      <c r="R2255" s="51" t="b">
        <v>0</v>
      </c>
      <c r="S2255" s="51" t="b">
        <v>0</v>
      </c>
    </row>
    <row r="2256" hidden="1">
      <c r="B2256" s="4" t="s">
        <v>27</v>
      </c>
      <c r="C2256" s="4" t="s">
        <v>27</v>
      </c>
      <c r="D2256" s="6" t="s">
        <v>27</v>
      </c>
      <c r="E2256" s="6" t="s">
        <v>27</v>
      </c>
      <c r="F2256" s="6" t="s">
        <v>27</v>
      </c>
      <c r="G2256" s="4" t="s">
        <v>27</v>
      </c>
      <c r="H2256" s="4" t="s">
        <v>27</v>
      </c>
      <c r="I2256" s="4" t="s">
        <v>27</v>
      </c>
      <c r="J2256" s="4" t="s">
        <v>27</v>
      </c>
      <c r="K2256" s="4" t="s">
        <v>27</v>
      </c>
      <c r="L2256" s="4" t="s">
        <v>27</v>
      </c>
      <c r="M2256" s="4" t="s">
        <v>27</v>
      </c>
      <c r="N2256" s="4" t="s">
        <v>27</v>
      </c>
      <c r="O2256" s="51" t="b">
        <v>0</v>
      </c>
      <c r="P2256" s="51" t="b">
        <v>0</v>
      </c>
      <c r="Q2256" s="51" t="b">
        <v>0</v>
      </c>
      <c r="R2256" s="51" t="b">
        <v>0</v>
      </c>
      <c r="S2256" s="51" t="b">
        <v>0</v>
      </c>
    </row>
    <row r="2257" hidden="1">
      <c r="B2257" s="4" t="s">
        <v>27</v>
      </c>
      <c r="C2257" s="4" t="s">
        <v>27</v>
      </c>
      <c r="D2257" s="6" t="s">
        <v>27</v>
      </c>
      <c r="E2257" s="6" t="s">
        <v>27</v>
      </c>
      <c r="F2257" s="6" t="s">
        <v>27</v>
      </c>
      <c r="G2257" s="4" t="s">
        <v>27</v>
      </c>
      <c r="H2257" s="4" t="s">
        <v>27</v>
      </c>
      <c r="I2257" s="4" t="s">
        <v>27</v>
      </c>
      <c r="J2257" s="4" t="s">
        <v>27</v>
      </c>
      <c r="K2257" s="4" t="s">
        <v>27</v>
      </c>
      <c r="L2257" s="4" t="s">
        <v>27</v>
      </c>
      <c r="M2257" s="4" t="s">
        <v>27</v>
      </c>
      <c r="N2257" s="4" t="s">
        <v>27</v>
      </c>
      <c r="O2257" s="51" t="b">
        <v>0</v>
      </c>
      <c r="P2257" s="51" t="b">
        <v>0</v>
      </c>
      <c r="Q2257" s="51" t="b">
        <v>0</v>
      </c>
      <c r="R2257" s="51" t="b">
        <v>0</v>
      </c>
      <c r="S2257" s="51" t="b">
        <v>0</v>
      </c>
    </row>
    <row r="2258" hidden="1">
      <c r="B2258" s="4" t="s">
        <v>27</v>
      </c>
      <c r="C2258" s="4" t="s">
        <v>27</v>
      </c>
      <c r="D2258" s="6" t="s">
        <v>27</v>
      </c>
      <c r="E2258" s="6" t="s">
        <v>27</v>
      </c>
      <c r="F2258" s="6" t="s">
        <v>27</v>
      </c>
      <c r="G2258" s="4" t="s">
        <v>27</v>
      </c>
      <c r="H2258" s="4" t="s">
        <v>27</v>
      </c>
      <c r="I2258" s="4" t="s">
        <v>27</v>
      </c>
      <c r="J2258" s="4" t="s">
        <v>27</v>
      </c>
      <c r="K2258" s="4" t="s">
        <v>27</v>
      </c>
      <c r="L2258" s="4" t="s">
        <v>27</v>
      </c>
      <c r="M2258" s="4" t="s">
        <v>27</v>
      </c>
      <c r="N2258" s="4" t="s">
        <v>27</v>
      </c>
      <c r="O2258" s="51" t="b">
        <v>0</v>
      </c>
      <c r="P2258" s="51" t="b">
        <v>0</v>
      </c>
      <c r="Q2258" s="51" t="b">
        <v>0</v>
      </c>
      <c r="R2258" s="51" t="b">
        <v>0</v>
      </c>
      <c r="S2258" s="51" t="b">
        <v>0</v>
      </c>
    </row>
    <row r="2259" hidden="1">
      <c r="B2259" s="4" t="s">
        <v>27</v>
      </c>
      <c r="C2259" s="4" t="s">
        <v>27</v>
      </c>
      <c r="D2259" s="6" t="s">
        <v>27</v>
      </c>
      <c r="E2259" s="6" t="s">
        <v>27</v>
      </c>
      <c r="F2259" s="6" t="s">
        <v>27</v>
      </c>
      <c r="G2259" s="4" t="s">
        <v>27</v>
      </c>
      <c r="H2259" s="4" t="s">
        <v>27</v>
      </c>
      <c r="I2259" s="4" t="s">
        <v>27</v>
      </c>
      <c r="J2259" s="4" t="s">
        <v>27</v>
      </c>
      <c r="K2259" s="4" t="s">
        <v>27</v>
      </c>
      <c r="L2259" s="4" t="s">
        <v>27</v>
      </c>
      <c r="M2259" s="4" t="s">
        <v>27</v>
      </c>
      <c r="N2259" s="4" t="s">
        <v>27</v>
      </c>
      <c r="O2259" s="51" t="b">
        <v>0</v>
      </c>
      <c r="P2259" s="51" t="b">
        <v>0</v>
      </c>
      <c r="Q2259" s="51" t="b">
        <v>0</v>
      </c>
      <c r="R2259" s="51" t="b">
        <v>0</v>
      </c>
      <c r="S2259" s="51" t="b">
        <v>0</v>
      </c>
    </row>
    <row r="2260" hidden="1">
      <c r="B2260" s="4" t="s">
        <v>27</v>
      </c>
      <c r="C2260" s="4" t="s">
        <v>27</v>
      </c>
      <c r="D2260" s="6" t="s">
        <v>27</v>
      </c>
      <c r="E2260" s="6" t="s">
        <v>27</v>
      </c>
      <c r="F2260" s="6" t="s">
        <v>27</v>
      </c>
      <c r="G2260" s="4" t="s">
        <v>27</v>
      </c>
      <c r="H2260" s="4" t="s">
        <v>27</v>
      </c>
      <c r="I2260" s="4" t="s">
        <v>27</v>
      </c>
      <c r="J2260" s="4" t="s">
        <v>27</v>
      </c>
      <c r="K2260" s="4" t="s">
        <v>27</v>
      </c>
      <c r="L2260" s="4" t="s">
        <v>27</v>
      </c>
      <c r="M2260" s="4" t="s">
        <v>27</v>
      </c>
      <c r="N2260" s="4" t="s">
        <v>27</v>
      </c>
      <c r="O2260" s="51" t="b">
        <v>0</v>
      </c>
      <c r="P2260" s="51" t="b">
        <v>0</v>
      </c>
      <c r="Q2260" s="51" t="b">
        <v>0</v>
      </c>
      <c r="R2260" s="51" t="b">
        <v>0</v>
      </c>
      <c r="S2260" s="51" t="b">
        <v>0</v>
      </c>
    </row>
    <row r="2261" hidden="1">
      <c r="B2261" s="4" t="s">
        <v>27</v>
      </c>
      <c r="C2261" s="4" t="s">
        <v>27</v>
      </c>
      <c r="D2261" s="6" t="s">
        <v>27</v>
      </c>
      <c r="E2261" s="6" t="s">
        <v>27</v>
      </c>
      <c r="F2261" s="6" t="s">
        <v>27</v>
      </c>
      <c r="G2261" s="4" t="s">
        <v>27</v>
      </c>
      <c r="H2261" s="4" t="s">
        <v>27</v>
      </c>
      <c r="I2261" s="4" t="s">
        <v>27</v>
      </c>
      <c r="J2261" s="4" t="s">
        <v>27</v>
      </c>
      <c r="K2261" s="4" t="s">
        <v>27</v>
      </c>
      <c r="L2261" s="4" t="s">
        <v>27</v>
      </c>
      <c r="M2261" s="4" t="s">
        <v>27</v>
      </c>
      <c r="N2261" s="4" t="s">
        <v>27</v>
      </c>
      <c r="O2261" s="51" t="b">
        <v>0</v>
      </c>
      <c r="P2261" s="51" t="b">
        <v>0</v>
      </c>
      <c r="Q2261" s="51" t="b">
        <v>0</v>
      </c>
      <c r="R2261" s="51" t="b">
        <v>0</v>
      </c>
      <c r="S2261" s="51" t="b">
        <v>0</v>
      </c>
    </row>
    <row r="2262" hidden="1">
      <c r="B2262" s="4" t="s">
        <v>27</v>
      </c>
      <c r="C2262" s="4" t="s">
        <v>27</v>
      </c>
      <c r="D2262" s="6" t="s">
        <v>27</v>
      </c>
      <c r="E2262" s="6" t="s">
        <v>27</v>
      </c>
      <c r="F2262" s="6" t="s">
        <v>27</v>
      </c>
      <c r="G2262" s="4" t="s">
        <v>27</v>
      </c>
      <c r="H2262" s="4" t="s">
        <v>27</v>
      </c>
      <c r="I2262" s="4" t="s">
        <v>27</v>
      </c>
      <c r="J2262" s="4" t="s">
        <v>27</v>
      </c>
      <c r="K2262" s="4" t="s">
        <v>27</v>
      </c>
      <c r="L2262" s="4" t="s">
        <v>27</v>
      </c>
      <c r="M2262" s="4" t="s">
        <v>27</v>
      </c>
      <c r="N2262" s="4" t="s">
        <v>27</v>
      </c>
      <c r="O2262" s="51" t="b">
        <v>0</v>
      </c>
      <c r="P2262" s="51" t="b">
        <v>0</v>
      </c>
      <c r="Q2262" s="51" t="b">
        <v>0</v>
      </c>
      <c r="R2262" s="51" t="b">
        <v>0</v>
      </c>
      <c r="S2262" s="51" t="b">
        <v>0</v>
      </c>
    </row>
    <row r="2263" hidden="1">
      <c r="B2263" s="4" t="s">
        <v>27</v>
      </c>
      <c r="C2263" s="4" t="s">
        <v>27</v>
      </c>
      <c r="D2263" s="6" t="s">
        <v>27</v>
      </c>
      <c r="E2263" s="6" t="s">
        <v>27</v>
      </c>
      <c r="F2263" s="6" t="s">
        <v>27</v>
      </c>
      <c r="G2263" s="4" t="s">
        <v>27</v>
      </c>
      <c r="H2263" s="4" t="s">
        <v>27</v>
      </c>
      <c r="I2263" s="4" t="s">
        <v>27</v>
      </c>
      <c r="J2263" s="4" t="s">
        <v>27</v>
      </c>
      <c r="K2263" s="4" t="s">
        <v>27</v>
      </c>
      <c r="L2263" s="4" t="s">
        <v>27</v>
      </c>
      <c r="M2263" s="4" t="s">
        <v>27</v>
      </c>
      <c r="N2263" s="4" t="s">
        <v>27</v>
      </c>
      <c r="O2263" s="51" t="b">
        <v>0</v>
      </c>
      <c r="P2263" s="51" t="b">
        <v>0</v>
      </c>
      <c r="Q2263" s="51" t="b">
        <v>0</v>
      </c>
      <c r="R2263" s="51" t="b">
        <v>0</v>
      </c>
      <c r="S2263" s="51" t="b">
        <v>0</v>
      </c>
    </row>
    <row r="2264" hidden="1">
      <c r="B2264" s="4" t="s">
        <v>27</v>
      </c>
      <c r="C2264" s="4" t="s">
        <v>27</v>
      </c>
      <c r="D2264" s="6" t="s">
        <v>27</v>
      </c>
      <c r="E2264" s="6" t="s">
        <v>27</v>
      </c>
      <c r="F2264" s="6" t="s">
        <v>27</v>
      </c>
      <c r="G2264" s="4" t="s">
        <v>27</v>
      </c>
      <c r="H2264" s="4" t="s">
        <v>27</v>
      </c>
      <c r="I2264" s="4" t="s">
        <v>27</v>
      </c>
      <c r="J2264" s="4" t="s">
        <v>27</v>
      </c>
      <c r="K2264" s="4" t="s">
        <v>27</v>
      </c>
      <c r="L2264" s="4" t="s">
        <v>27</v>
      </c>
      <c r="M2264" s="4" t="s">
        <v>27</v>
      </c>
      <c r="N2264" s="4" t="s">
        <v>27</v>
      </c>
      <c r="O2264" s="51" t="b">
        <v>0</v>
      </c>
      <c r="P2264" s="51" t="b">
        <v>0</v>
      </c>
      <c r="Q2264" s="51" t="b">
        <v>0</v>
      </c>
      <c r="R2264" s="51" t="b">
        <v>0</v>
      </c>
      <c r="S2264" s="51" t="b">
        <v>0</v>
      </c>
    </row>
    <row r="2265" hidden="1">
      <c r="B2265" s="4" t="s">
        <v>27</v>
      </c>
      <c r="C2265" s="4" t="s">
        <v>27</v>
      </c>
      <c r="D2265" s="6" t="s">
        <v>27</v>
      </c>
      <c r="E2265" s="6" t="s">
        <v>27</v>
      </c>
      <c r="F2265" s="6" t="s">
        <v>27</v>
      </c>
      <c r="G2265" s="4" t="s">
        <v>27</v>
      </c>
      <c r="H2265" s="4" t="s">
        <v>27</v>
      </c>
      <c r="I2265" s="4" t="s">
        <v>27</v>
      </c>
      <c r="J2265" s="4" t="s">
        <v>27</v>
      </c>
      <c r="K2265" s="4" t="s">
        <v>27</v>
      </c>
      <c r="L2265" s="4" t="s">
        <v>27</v>
      </c>
      <c r="M2265" s="4" t="s">
        <v>27</v>
      </c>
      <c r="N2265" s="4" t="s">
        <v>27</v>
      </c>
      <c r="O2265" s="51" t="b">
        <v>0</v>
      </c>
      <c r="P2265" s="51" t="b">
        <v>0</v>
      </c>
      <c r="Q2265" s="51" t="b">
        <v>0</v>
      </c>
      <c r="R2265" s="51" t="b">
        <v>0</v>
      </c>
      <c r="S2265" s="51" t="b">
        <v>0</v>
      </c>
    </row>
    <row r="2266" hidden="1">
      <c r="B2266" s="4" t="s">
        <v>27</v>
      </c>
      <c r="C2266" s="4" t="s">
        <v>27</v>
      </c>
      <c r="D2266" s="6" t="s">
        <v>27</v>
      </c>
      <c r="E2266" s="6" t="s">
        <v>27</v>
      </c>
      <c r="F2266" s="6" t="s">
        <v>27</v>
      </c>
      <c r="G2266" s="4" t="s">
        <v>27</v>
      </c>
      <c r="H2266" s="4" t="s">
        <v>27</v>
      </c>
      <c r="I2266" s="4" t="s">
        <v>27</v>
      </c>
      <c r="J2266" s="4" t="s">
        <v>27</v>
      </c>
      <c r="K2266" s="4" t="s">
        <v>27</v>
      </c>
      <c r="L2266" s="4" t="s">
        <v>27</v>
      </c>
      <c r="M2266" s="4" t="s">
        <v>27</v>
      </c>
      <c r="N2266" s="4" t="s">
        <v>27</v>
      </c>
      <c r="O2266" s="51" t="b">
        <v>0</v>
      </c>
      <c r="P2266" s="51" t="b">
        <v>0</v>
      </c>
      <c r="Q2266" s="51" t="b">
        <v>0</v>
      </c>
      <c r="R2266" s="51" t="b">
        <v>0</v>
      </c>
      <c r="S2266" s="51" t="b">
        <v>0</v>
      </c>
    </row>
    <row r="2267" hidden="1">
      <c r="B2267" s="4" t="s">
        <v>27</v>
      </c>
      <c r="C2267" s="4" t="s">
        <v>27</v>
      </c>
      <c r="D2267" s="6" t="s">
        <v>27</v>
      </c>
      <c r="E2267" s="6" t="s">
        <v>27</v>
      </c>
      <c r="F2267" s="6" t="s">
        <v>27</v>
      </c>
      <c r="G2267" s="4" t="s">
        <v>27</v>
      </c>
      <c r="H2267" s="4" t="s">
        <v>27</v>
      </c>
      <c r="I2267" s="4" t="s">
        <v>27</v>
      </c>
      <c r="J2267" s="4" t="s">
        <v>27</v>
      </c>
      <c r="K2267" s="4" t="s">
        <v>27</v>
      </c>
      <c r="L2267" s="4" t="s">
        <v>27</v>
      </c>
      <c r="M2267" s="4" t="s">
        <v>27</v>
      </c>
      <c r="N2267" s="4" t="s">
        <v>27</v>
      </c>
      <c r="O2267" s="51" t="b">
        <v>0</v>
      </c>
      <c r="P2267" s="51" t="b">
        <v>0</v>
      </c>
      <c r="Q2267" s="51" t="b">
        <v>0</v>
      </c>
      <c r="R2267" s="51" t="b">
        <v>0</v>
      </c>
      <c r="S2267" s="51" t="b">
        <v>0</v>
      </c>
    </row>
    <row r="2268" hidden="1">
      <c r="B2268" s="4" t="s">
        <v>27</v>
      </c>
      <c r="C2268" s="4" t="s">
        <v>27</v>
      </c>
      <c r="D2268" s="6" t="s">
        <v>27</v>
      </c>
      <c r="E2268" s="6" t="s">
        <v>27</v>
      </c>
      <c r="F2268" s="6" t="s">
        <v>27</v>
      </c>
      <c r="G2268" s="4" t="s">
        <v>27</v>
      </c>
      <c r="H2268" s="4" t="s">
        <v>27</v>
      </c>
      <c r="I2268" s="4" t="s">
        <v>27</v>
      </c>
      <c r="J2268" s="4" t="s">
        <v>27</v>
      </c>
      <c r="K2268" s="4" t="s">
        <v>27</v>
      </c>
      <c r="L2268" s="4" t="s">
        <v>27</v>
      </c>
      <c r="M2268" s="4" t="s">
        <v>27</v>
      </c>
      <c r="N2268" s="4" t="s">
        <v>27</v>
      </c>
      <c r="O2268" s="51" t="b">
        <v>0</v>
      </c>
      <c r="P2268" s="51" t="b">
        <v>0</v>
      </c>
      <c r="Q2268" s="51" t="b">
        <v>0</v>
      </c>
      <c r="R2268" s="51" t="b">
        <v>0</v>
      </c>
      <c r="S2268" s="51" t="b">
        <v>0</v>
      </c>
    </row>
    <row r="2269" hidden="1">
      <c r="B2269" s="4" t="s">
        <v>27</v>
      </c>
      <c r="C2269" s="4" t="s">
        <v>27</v>
      </c>
      <c r="D2269" s="6" t="s">
        <v>27</v>
      </c>
      <c r="E2269" s="6" t="s">
        <v>27</v>
      </c>
      <c r="F2269" s="6" t="s">
        <v>27</v>
      </c>
      <c r="G2269" s="4" t="s">
        <v>27</v>
      </c>
      <c r="H2269" s="4" t="s">
        <v>27</v>
      </c>
      <c r="I2269" s="4" t="s">
        <v>27</v>
      </c>
      <c r="J2269" s="4" t="s">
        <v>27</v>
      </c>
      <c r="K2269" s="4" t="s">
        <v>27</v>
      </c>
      <c r="L2269" s="4" t="s">
        <v>27</v>
      </c>
      <c r="M2269" s="4" t="s">
        <v>27</v>
      </c>
      <c r="N2269" s="4" t="s">
        <v>27</v>
      </c>
      <c r="O2269" s="51" t="b">
        <v>0</v>
      </c>
      <c r="P2269" s="51" t="b">
        <v>0</v>
      </c>
      <c r="Q2269" s="51" t="b">
        <v>0</v>
      </c>
      <c r="R2269" s="51" t="b">
        <v>0</v>
      </c>
      <c r="S2269" s="51" t="b">
        <v>0</v>
      </c>
    </row>
    <row r="2270" hidden="1">
      <c r="B2270" s="4" t="s">
        <v>27</v>
      </c>
      <c r="C2270" s="4" t="s">
        <v>27</v>
      </c>
      <c r="D2270" s="6" t="s">
        <v>27</v>
      </c>
      <c r="E2270" s="6" t="s">
        <v>27</v>
      </c>
      <c r="F2270" s="6" t="s">
        <v>27</v>
      </c>
      <c r="G2270" s="4" t="s">
        <v>27</v>
      </c>
      <c r="H2270" s="4" t="s">
        <v>27</v>
      </c>
      <c r="I2270" s="4" t="s">
        <v>27</v>
      </c>
      <c r="J2270" s="4" t="s">
        <v>27</v>
      </c>
      <c r="K2270" s="4" t="s">
        <v>27</v>
      </c>
      <c r="L2270" s="4" t="s">
        <v>27</v>
      </c>
      <c r="M2270" s="4" t="s">
        <v>27</v>
      </c>
      <c r="N2270" s="4" t="s">
        <v>27</v>
      </c>
      <c r="O2270" s="51" t="b">
        <v>0</v>
      </c>
      <c r="P2270" s="51" t="b">
        <v>0</v>
      </c>
      <c r="Q2270" s="51" t="b">
        <v>0</v>
      </c>
      <c r="R2270" s="51" t="b">
        <v>0</v>
      </c>
      <c r="S2270" s="51" t="b">
        <v>0</v>
      </c>
    </row>
    <row r="2271" hidden="1">
      <c r="B2271" s="4" t="s">
        <v>27</v>
      </c>
      <c r="C2271" s="4" t="s">
        <v>27</v>
      </c>
      <c r="D2271" s="6" t="s">
        <v>27</v>
      </c>
      <c r="E2271" s="6" t="s">
        <v>27</v>
      </c>
      <c r="F2271" s="6" t="s">
        <v>27</v>
      </c>
      <c r="G2271" s="4" t="s">
        <v>27</v>
      </c>
      <c r="H2271" s="4" t="s">
        <v>27</v>
      </c>
      <c r="I2271" s="4" t="s">
        <v>27</v>
      </c>
      <c r="J2271" s="4" t="s">
        <v>27</v>
      </c>
      <c r="K2271" s="4" t="s">
        <v>27</v>
      </c>
      <c r="L2271" s="4" t="s">
        <v>27</v>
      </c>
      <c r="M2271" s="4" t="s">
        <v>27</v>
      </c>
      <c r="N2271" s="4" t="s">
        <v>27</v>
      </c>
      <c r="O2271" s="51" t="b">
        <v>0</v>
      </c>
      <c r="P2271" s="51" t="b">
        <v>0</v>
      </c>
      <c r="Q2271" s="51" t="b">
        <v>0</v>
      </c>
      <c r="R2271" s="51" t="b">
        <v>0</v>
      </c>
      <c r="S2271" s="51" t="b">
        <v>0</v>
      </c>
    </row>
    <row r="2272" hidden="1">
      <c r="B2272" s="4" t="s">
        <v>27</v>
      </c>
      <c r="C2272" s="4" t="s">
        <v>27</v>
      </c>
      <c r="D2272" s="6" t="s">
        <v>27</v>
      </c>
      <c r="E2272" s="6" t="s">
        <v>27</v>
      </c>
      <c r="F2272" s="6" t="s">
        <v>27</v>
      </c>
      <c r="G2272" s="4" t="s">
        <v>27</v>
      </c>
      <c r="H2272" s="4" t="s">
        <v>27</v>
      </c>
      <c r="I2272" s="4" t="s">
        <v>27</v>
      </c>
      <c r="J2272" s="4" t="s">
        <v>27</v>
      </c>
      <c r="K2272" s="4" t="s">
        <v>27</v>
      </c>
      <c r="L2272" s="4" t="s">
        <v>27</v>
      </c>
      <c r="M2272" s="4" t="s">
        <v>27</v>
      </c>
      <c r="N2272" s="4" t="s">
        <v>27</v>
      </c>
      <c r="O2272" s="51" t="b">
        <v>0</v>
      </c>
      <c r="P2272" s="51" t="b">
        <v>0</v>
      </c>
      <c r="Q2272" s="51" t="b">
        <v>0</v>
      </c>
      <c r="R2272" s="51" t="b">
        <v>0</v>
      </c>
      <c r="S2272" s="51" t="b">
        <v>0</v>
      </c>
    </row>
    <row r="2273" hidden="1">
      <c r="B2273" s="4" t="s">
        <v>27</v>
      </c>
      <c r="C2273" s="4" t="s">
        <v>27</v>
      </c>
      <c r="D2273" s="6" t="s">
        <v>27</v>
      </c>
      <c r="E2273" s="6" t="s">
        <v>27</v>
      </c>
      <c r="F2273" s="6" t="s">
        <v>27</v>
      </c>
      <c r="G2273" s="4" t="s">
        <v>27</v>
      </c>
      <c r="H2273" s="4" t="s">
        <v>27</v>
      </c>
      <c r="I2273" s="4" t="s">
        <v>27</v>
      </c>
      <c r="J2273" s="4" t="s">
        <v>27</v>
      </c>
      <c r="K2273" s="4" t="s">
        <v>27</v>
      </c>
      <c r="L2273" s="4" t="s">
        <v>27</v>
      </c>
      <c r="M2273" s="4" t="s">
        <v>27</v>
      </c>
      <c r="N2273" s="4" t="s">
        <v>27</v>
      </c>
      <c r="O2273" s="51" t="b">
        <v>0</v>
      </c>
      <c r="P2273" s="51" t="b">
        <v>0</v>
      </c>
      <c r="Q2273" s="51" t="b">
        <v>0</v>
      </c>
      <c r="R2273" s="51" t="b">
        <v>0</v>
      </c>
      <c r="S2273" s="51" t="b">
        <v>0</v>
      </c>
    </row>
    <row r="2274" hidden="1">
      <c r="B2274" s="4" t="s">
        <v>27</v>
      </c>
      <c r="C2274" s="4" t="s">
        <v>27</v>
      </c>
      <c r="D2274" s="6" t="s">
        <v>27</v>
      </c>
      <c r="E2274" s="6" t="s">
        <v>27</v>
      </c>
      <c r="F2274" s="6" t="s">
        <v>27</v>
      </c>
      <c r="G2274" s="4" t="s">
        <v>27</v>
      </c>
      <c r="H2274" s="4" t="s">
        <v>27</v>
      </c>
      <c r="I2274" s="4" t="s">
        <v>27</v>
      </c>
      <c r="J2274" s="4" t="s">
        <v>27</v>
      </c>
      <c r="K2274" s="4" t="s">
        <v>27</v>
      </c>
      <c r="L2274" s="4" t="s">
        <v>27</v>
      </c>
      <c r="M2274" s="4" t="s">
        <v>27</v>
      </c>
      <c r="N2274" s="4" t="s">
        <v>27</v>
      </c>
      <c r="O2274" s="51" t="b">
        <v>0</v>
      </c>
      <c r="P2274" s="51" t="b">
        <v>0</v>
      </c>
      <c r="Q2274" s="51" t="b">
        <v>0</v>
      </c>
      <c r="R2274" s="51" t="b">
        <v>0</v>
      </c>
      <c r="S2274" s="51" t="b">
        <v>0</v>
      </c>
    </row>
    <row r="2275" hidden="1">
      <c r="B2275" s="4" t="s">
        <v>27</v>
      </c>
      <c r="C2275" s="4" t="s">
        <v>27</v>
      </c>
      <c r="D2275" s="6" t="s">
        <v>27</v>
      </c>
      <c r="E2275" s="6" t="s">
        <v>27</v>
      </c>
      <c r="F2275" s="6" t="s">
        <v>27</v>
      </c>
      <c r="G2275" s="4" t="s">
        <v>27</v>
      </c>
      <c r="H2275" s="4" t="s">
        <v>27</v>
      </c>
      <c r="I2275" s="4" t="s">
        <v>27</v>
      </c>
      <c r="J2275" s="4" t="s">
        <v>27</v>
      </c>
      <c r="K2275" s="4" t="s">
        <v>27</v>
      </c>
      <c r="L2275" s="4" t="s">
        <v>27</v>
      </c>
      <c r="M2275" s="4" t="s">
        <v>27</v>
      </c>
      <c r="N2275" s="4" t="s">
        <v>27</v>
      </c>
      <c r="O2275" s="51" t="b">
        <v>0</v>
      </c>
      <c r="P2275" s="51" t="b">
        <v>0</v>
      </c>
      <c r="Q2275" s="51" t="b">
        <v>0</v>
      </c>
      <c r="R2275" s="51" t="b">
        <v>0</v>
      </c>
      <c r="S2275" s="51" t="b">
        <v>0</v>
      </c>
    </row>
    <row r="2276" hidden="1">
      <c r="B2276" s="4" t="s">
        <v>27</v>
      </c>
      <c r="C2276" s="4" t="s">
        <v>27</v>
      </c>
      <c r="D2276" s="6" t="s">
        <v>27</v>
      </c>
      <c r="E2276" s="6" t="s">
        <v>27</v>
      </c>
      <c r="F2276" s="6" t="s">
        <v>27</v>
      </c>
      <c r="G2276" s="4" t="s">
        <v>27</v>
      </c>
      <c r="H2276" s="4" t="s">
        <v>27</v>
      </c>
      <c r="I2276" s="4" t="s">
        <v>27</v>
      </c>
      <c r="J2276" s="4" t="s">
        <v>27</v>
      </c>
      <c r="K2276" s="4" t="s">
        <v>27</v>
      </c>
      <c r="L2276" s="4" t="s">
        <v>27</v>
      </c>
      <c r="M2276" s="4" t="s">
        <v>27</v>
      </c>
      <c r="N2276" s="4" t="s">
        <v>27</v>
      </c>
      <c r="O2276" s="51" t="b">
        <v>0</v>
      </c>
      <c r="P2276" s="51" t="b">
        <v>0</v>
      </c>
      <c r="Q2276" s="51" t="b">
        <v>0</v>
      </c>
      <c r="R2276" s="51" t="b">
        <v>0</v>
      </c>
      <c r="S2276" s="51" t="b">
        <v>0</v>
      </c>
    </row>
    <row r="2277" hidden="1">
      <c r="B2277" s="4" t="s">
        <v>27</v>
      </c>
      <c r="C2277" s="4" t="s">
        <v>27</v>
      </c>
      <c r="D2277" s="6" t="s">
        <v>27</v>
      </c>
      <c r="E2277" s="6" t="s">
        <v>27</v>
      </c>
      <c r="F2277" s="6" t="s">
        <v>27</v>
      </c>
      <c r="G2277" s="4" t="s">
        <v>27</v>
      </c>
      <c r="H2277" s="4" t="s">
        <v>27</v>
      </c>
      <c r="I2277" s="4" t="s">
        <v>27</v>
      </c>
      <c r="J2277" s="4" t="s">
        <v>27</v>
      </c>
      <c r="K2277" s="4" t="s">
        <v>27</v>
      </c>
      <c r="L2277" s="4" t="s">
        <v>27</v>
      </c>
      <c r="M2277" s="4" t="s">
        <v>27</v>
      </c>
      <c r="N2277" s="4" t="s">
        <v>27</v>
      </c>
    </row>
    <row r="2278" hidden="1">
      <c r="B2278" s="4" t="s">
        <v>27</v>
      </c>
      <c r="C2278" s="4" t="s">
        <v>27</v>
      </c>
      <c r="D2278" s="6" t="s">
        <v>27</v>
      </c>
      <c r="E2278" s="6" t="s">
        <v>27</v>
      </c>
      <c r="F2278" s="6" t="s">
        <v>27</v>
      </c>
      <c r="G2278" s="4" t="s">
        <v>27</v>
      </c>
      <c r="H2278" s="4" t="s">
        <v>27</v>
      </c>
      <c r="I2278" s="4" t="s">
        <v>27</v>
      </c>
      <c r="J2278" s="4" t="s">
        <v>27</v>
      </c>
      <c r="K2278" s="4" t="s">
        <v>27</v>
      </c>
      <c r="L2278" s="4" t="s">
        <v>27</v>
      </c>
      <c r="M2278" s="4" t="s">
        <v>27</v>
      </c>
      <c r="N2278" s="4" t="s">
        <v>27</v>
      </c>
    </row>
    <row r="2279" hidden="1">
      <c r="B2279" s="4" t="s">
        <v>27</v>
      </c>
      <c r="C2279" s="4" t="s">
        <v>27</v>
      </c>
      <c r="D2279" s="6" t="s">
        <v>27</v>
      </c>
      <c r="E2279" s="6" t="s">
        <v>27</v>
      </c>
      <c r="F2279" s="6" t="s">
        <v>27</v>
      </c>
      <c r="G2279" s="4" t="s">
        <v>27</v>
      </c>
      <c r="H2279" s="4" t="s">
        <v>27</v>
      </c>
      <c r="I2279" s="4" t="s">
        <v>27</v>
      </c>
      <c r="J2279" s="4" t="s">
        <v>27</v>
      </c>
      <c r="K2279" s="4" t="s">
        <v>27</v>
      </c>
      <c r="L2279" s="4" t="s">
        <v>27</v>
      </c>
      <c r="M2279" s="4" t="s">
        <v>27</v>
      </c>
      <c r="N2279" s="4" t="s">
        <v>27</v>
      </c>
    </row>
    <row r="2280" hidden="1">
      <c r="B2280" s="4" t="s">
        <v>27</v>
      </c>
      <c r="C2280" s="4" t="s">
        <v>27</v>
      </c>
      <c r="D2280" s="6" t="s">
        <v>27</v>
      </c>
      <c r="E2280" s="6" t="s">
        <v>27</v>
      </c>
      <c r="F2280" s="6" t="s">
        <v>27</v>
      </c>
      <c r="G2280" s="4" t="s">
        <v>27</v>
      </c>
      <c r="H2280" s="4" t="s">
        <v>27</v>
      </c>
      <c r="I2280" s="4" t="s">
        <v>27</v>
      </c>
      <c r="J2280" s="4" t="s">
        <v>27</v>
      </c>
      <c r="K2280" s="4" t="s">
        <v>27</v>
      </c>
      <c r="L2280" s="4" t="s">
        <v>27</v>
      </c>
      <c r="M2280" s="4" t="s">
        <v>27</v>
      </c>
      <c r="N2280" s="4" t="s">
        <v>27</v>
      </c>
    </row>
    <row r="2281" hidden="1">
      <c r="B2281" s="4" t="s">
        <v>27</v>
      </c>
      <c r="C2281" s="4" t="s">
        <v>27</v>
      </c>
      <c r="D2281" s="6" t="s">
        <v>27</v>
      </c>
      <c r="E2281" s="6" t="s">
        <v>27</v>
      </c>
      <c r="F2281" s="6" t="s">
        <v>27</v>
      </c>
      <c r="G2281" s="4" t="s">
        <v>27</v>
      </c>
      <c r="H2281" s="4" t="s">
        <v>27</v>
      </c>
      <c r="I2281" s="4" t="s">
        <v>27</v>
      </c>
      <c r="J2281" s="4" t="s">
        <v>27</v>
      </c>
      <c r="K2281" s="4" t="s">
        <v>27</v>
      </c>
      <c r="L2281" s="4" t="s">
        <v>27</v>
      </c>
      <c r="M2281" s="4" t="s">
        <v>27</v>
      </c>
      <c r="N2281" s="4" t="s">
        <v>27</v>
      </c>
    </row>
    <row r="2282" hidden="1">
      <c r="B2282" s="4" t="s">
        <v>27</v>
      </c>
      <c r="C2282" s="4" t="s">
        <v>27</v>
      </c>
      <c r="D2282" s="6" t="s">
        <v>27</v>
      </c>
      <c r="E2282" s="6" t="s">
        <v>27</v>
      </c>
      <c r="F2282" s="6" t="s">
        <v>27</v>
      </c>
      <c r="G2282" s="4" t="s">
        <v>27</v>
      </c>
      <c r="H2282" s="4" t="s">
        <v>27</v>
      </c>
      <c r="I2282" s="4" t="s">
        <v>27</v>
      </c>
      <c r="J2282" s="4" t="s">
        <v>27</v>
      </c>
      <c r="K2282" s="4" t="s">
        <v>27</v>
      </c>
      <c r="L2282" s="4" t="s">
        <v>27</v>
      </c>
      <c r="M2282" s="4" t="s">
        <v>27</v>
      </c>
      <c r="N2282" s="4" t="s">
        <v>27</v>
      </c>
    </row>
    <row r="2283" hidden="1">
      <c r="B2283" s="4" t="s">
        <v>27</v>
      </c>
      <c r="C2283" s="4" t="s">
        <v>27</v>
      </c>
      <c r="D2283" s="6" t="s">
        <v>27</v>
      </c>
      <c r="E2283" s="6" t="s">
        <v>27</v>
      </c>
      <c r="F2283" s="6" t="s">
        <v>27</v>
      </c>
      <c r="G2283" s="4" t="s">
        <v>27</v>
      </c>
      <c r="H2283" s="4" t="s">
        <v>27</v>
      </c>
      <c r="I2283" s="4" t="s">
        <v>27</v>
      </c>
      <c r="J2283" s="4" t="s">
        <v>27</v>
      </c>
      <c r="K2283" s="4" t="s">
        <v>27</v>
      </c>
      <c r="L2283" s="4" t="s">
        <v>27</v>
      </c>
      <c r="M2283" s="4" t="s">
        <v>27</v>
      </c>
      <c r="N2283" s="4" t="s">
        <v>27</v>
      </c>
    </row>
    <row r="2284" hidden="1">
      <c r="B2284" s="4" t="s">
        <v>27</v>
      </c>
      <c r="C2284" s="4" t="s">
        <v>27</v>
      </c>
      <c r="D2284" s="6" t="s">
        <v>27</v>
      </c>
      <c r="E2284" s="6" t="s">
        <v>27</v>
      </c>
      <c r="F2284" s="6" t="s">
        <v>27</v>
      </c>
      <c r="G2284" s="4" t="s">
        <v>27</v>
      </c>
      <c r="H2284" s="4" t="s">
        <v>27</v>
      </c>
      <c r="I2284" s="4" t="s">
        <v>27</v>
      </c>
      <c r="J2284" s="4" t="s">
        <v>27</v>
      </c>
      <c r="K2284" s="4" t="s">
        <v>27</v>
      </c>
      <c r="L2284" s="4" t="s">
        <v>27</v>
      </c>
      <c r="M2284" s="4" t="s">
        <v>27</v>
      </c>
      <c r="N2284" s="4" t="s">
        <v>27</v>
      </c>
    </row>
    <row r="2285" hidden="1">
      <c r="B2285" s="4" t="s">
        <v>27</v>
      </c>
      <c r="C2285" s="4" t="s">
        <v>27</v>
      </c>
      <c r="D2285" s="6" t="s">
        <v>27</v>
      </c>
      <c r="E2285" s="6" t="s">
        <v>27</v>
      </c>
      <c r="F2285" s="6" t="s">
        <v>27</v>
      </c>
      <c r="G2285" s="4" t="s">
        <v>27</v>
      </c>
      <c r="H2285" s="4" t="s">
        <v>27</v>
      </c>
      <c r="I2285" s="4" t="s">
        <v>27</v>
      </c>
      <c r="J2285" s="4" t="s">
        <v>27</v>
      </c>
      <c r="K2285" s="4" t="s">
        <v>27</v>
      </c>
      <c r="L2285" s="4" t="s">
        <v>27</v>
      </c>
      <c r="M2285" s="4" t="s">
        <v>27</v>
      </c>
      <c r="N2285" s="4" t="s">
        <v>27</v>
      </c>
    </row>
    <row r="2286" hidden="1">
      <c r="B2286" s="4" t="s">
        <v>27</v>
      </c>
      <c r="C2286" s="4" t="s">
        <v>27</v>
      </c>
      <c r="D2286" s="6" t="s">
        <v>27</v>
      </c>
      <c r="E2286" s="6" t="s">
        <v>27</v>
      </c>
      <c r="F2286" s="6" t="s">
        <v>27</v>
      </c>
      <c r="G2286" s="4" t="s">
        <v>27</v>
      </c>
      <c r="H2286" s="4" t="s">
        <v>27</v>
      </c>
      <c r="I2286" s="4" t="s">
        <v>27</v>
      </c>
      <c r="J2286" s="4" t="s">
        <v>27</v>
      </c>
      <c r="K2286" s="4" t="s">
        <v>27</v>
      </c>
      <c r="L2286" s="4" t="s">
        <v>27</v>
      </c>
      <c r="M2286" s="4" t="s">
        <v>27</v>
      </c>
      <c r="N2286" s="4" t="s">
        <v>27</v>
      </c>
    </row>
    <row r="2287" hidden="1">
      <c r="B2287" s="4" t="s">
        <v>27</v>
      </c>
      <c r="C2287" s="4" t="s">
        <v>27</v>
      </c>
      <c r="D2287" s="6" t="s">
        <v>27</v>
      </c>
      <c r="E2287" s="6" t="s">
        <v>27</v>
      </c>
      <c r="F2287" s="6" t="s">
        <v>27</v>
      </c>
      <c r="G2287" s="4" t="s">
        <v>27</v>
      </c>
      <c r="H2287" s="4" t="s">
        <v>27</v>
      </c>
      <c r="I2287" s="4" t="s">
        <v>27</v>
      </c>
      <c r="J2287" s="4" t="s">
        <v>27</v>
      </c>
      <c r="K2287" s="4" t="s">
        <v>27</v>
      </c>
      <c r="L2287" s="4" t="s">
        <v>27</v>
      </c>
      <c r="M2287" s="4" t="s">
        <v>27</v>
      </c>
      <c r="N2287" s="4" t="s">
        <v>27</v>
      </c>
    </row>
    <row r="2288" hidden="1">
      <c r="B2288" s="4" t="s">
        <v>27</v>
      </c>
      <c r="C2288" s="4" t="s">
        <v>27</v>
      </c>
      <c r="D2288" s="6" t="s">
        <v>27</v>
      </c>
      <c r="E2288" s="6" t="s">
        <v>27</v>
      </c>
      <c r="F2288" s="6" t="s">
        <v>27</v>
      </c>
      <c r="G2288" s="4" t="s">
        <v>27</v>
      </c>
      <c r="H2288" s="4" t="s">
        <v>27</v>
      </c>
      <c r="I2288" s="4" t="s">
        <v>27</v>
      </c>
      <c r="J2288" s="4" t="s">
        <v>27</v>
      </c>
      <c r="K2288" s="4" t="s">
        <v>27</v>
      </c>
      <c r="L2288" s="4" t="s">
        <v>27</v>
      </c>
      <c r="M2288" s="4" t="s">
        <v>27</v>
      </c>
      <c r="N2288" s="4" t="s">
        <v>27</v>
      </c>
    </row>
    <row r="2289" hidden="1">
      <c r="B2289" s="4" t="s">
        <v>27</v>
      </c>
      <c r="C2289" s="4" t="s">
        <v>27</v>
      </c>
      <c r="D2289" s="6" t="s">
        <v>27</v>
      </c>
      <c r="E2289" s="6" t="s">
        <v>27</v>
      </c>
      <c r="F2289" s="6" t="s">
        <v>27</v>
      </c>
      <c r="G2289" s="4" t="s">
        <v>27</v>
      </c>
      <c r="H2289" s="4" t="s">
        <v>27</v>
      </c>
      <c r="I2289" s="4" t="s">
        <v>27</v>
      </c>
      <c r="J2289" s="4" t="s">
        <v>27</v>
      </c>
      <c r="K2289" s="4" t="s">
        <v>27</v>
      </c>
      <c r="L2289" s="4" t="s">
        <v>27</v>
      </c>
      <c r="M2289" s="4" t="s">
        <v>27</v>
      </c>
      <c r="N2289" s="4" t="s">
        <v>27</v>
      </c>
    </row>
    <row r="2290" hidden="1">
      <c r="B2290" s="4" t="s">
        <v>27</v>
      </c>
      <c r="C2290" s="4" t="s">
        <v>27</v>
      </c>
      <c r="D2290" s="6" t="s">
        <v>27</v>
      </c>
      <c r="E2290" s="6" t="s">
        <v>27</v>
      </c>
      <c r="F2290" s="6" t="s">
        <v>27</v>
      </c>
      <c r="G2290" s="4" t="s">
        <v>27</v>
      </c>
      <c r="H2290" s="4" t="s">
        <v>27</v>
      </c>
      <c r="I2290" s="4" t="s">
        <v>27</v>
      </c>
      <c r="J2290" s="4" t="s">
        <v>27</v>
      </c>
      <c r="K2290" s="4" t="s">
        <v>27</v>
      </c>
      <c r="L2290" s="4" t="s">
        <v>27</v>
      </c>
      <c r="M2290" s="4" t="s">
        <v>27</v>
      </c>
      <c r="N2290" s="4" t="s">
        <v>27</v>
      </c>
    </row>
    <row r="2291" hidden="1">
      <c r="B2291" s="4" t="s">
        <v>27</v>
      </c>
      <c r="C2291" s="4" t="s">
        <v>27</v>
      </c>
      <c r="D2291" s="6" t="s">
        <v>27</v>
      </c>
      <c r="E2291" s="6" t="s">
        <v>27</v>
      </c>
      <c r="F2291" s="6" t="s">
        <v>27</v>
      </c>
      <c r="G2291" s="4" t="s">
        <v>27</v>
      </c>
      <c r="H2291" s="4" t="s">
        <v>27</v>
      </c>
      <c r="I2291" s="4" t="s">
        <v>27</v>
      </c>
      <c r="J2291" s="4" t="s">
        <v>27</v>
      </c>
      <c r="K2291" s="4" t="s">
        <v>27</v>
      </c>
      <c r="L2291" s="4" t="s">
        <v>27</v>
      </c>
      <c r="M2291" s="4" t="s">
        <v>27</v>
      </c>
      <c r="N2291" s="4" t="s">
        <v>27</v>
      </c>
    </row>
    <row r="2292" hidden="1">
      <c r="B2292" s="4" t="s">
        <v>27</v>
      </c>
      <c r="C2292" s="4" t="s">
        <v>27</v>
      </c>
      <c r="D2292" s="6" t="s">
        <v>27</v>
      </c>
      <c r="E2292" s="6" t="s">
        <v>27</v>
      </c>
      <c r="F2292" s="6" t="s">
        <v>27</v>
      </c>
      <c r="G2292" s="4" t="s">
        <v>27</v>
      </c>
      <c r="H2292" s="4" t="s">
        <v>27</v>
      </c>
      <c r="I2292" s="4" t="s">
        <v>27</v>
      </c>
      <c r="J2292" s="4" t="s">
        <v>27</v>
      </c>
      <c r="K2292" s="4" t="s">
        <v>27</v>
      </c>
      <c r="L2292" s="4" t="s">
        <v>27</v>
      </c>
      <c r="M2292" s="4" t="s">
        <v>27</v>
      </c>
      <c r="N2292" s="4" t="s">
        <v>27</v>
      </c>
    </row>
    <row r="2293" hidden="1">
      <c r="B2293" s="4" t="s">
        <v>27</v>
      </c>
      <c r="C2293" s="4" t="s">
        <v>27</v>
      </c>
      <c r="D2293" s="6" t="s">
        <v>27</v>
      </c>
      <c r="E2293" s="6" t="s">
        <v>27</v>
      </c>
      <c r="F2293" s="6" t="s">
        <v>27</v>
      </c>
      <c r="G2293" s="4" t="s">
        <v>27</v>
      </c>
      <c r="H2293" s="4" t="s">
        <v>27</v>
      </c>
      <c r="I2293" s="4" t="s">
        <v>27</v>
      </c>
      <c r="J2293" s="4" t="s">
        <v>27</v>
      </c>
      <c r="K2293" s="4" t="s">
        <v>27</v>
      </c>
      <c r="L2293" s="4" t="s">
        <v>27</v>
      </c>
      <c r="M2293" s="4" t="s">
        <v>27</v>
      </c>
      <c r="N2293" s="4" t="s">
        <v>27</v>
      </c>
    </row>
    <row r="2294" hidden="1">
      <c r="B2294" s="4" t="s">
        <v>27</v>
      </c>
      <c r="C2294" s="4" t="s">
        <v>27</v>
      </c>
      <c r="D2294" s="6" t="s">
        <v>27</v>
      </c>
      <c r="E2294" s="6" t="s">
        <v>27</v>
      </c>
      <c r="F2294" s="6" t="s">
        <v>27</v>
      </c>
      <c r="G2294" s="4" t="s">
        <v>27</v>
      </c>
      <c r="H2294" s="4" t="s">
        <v>27</v>
      </c>
      <c r="I2294" s="4" t="s">
        <v>27</v>
      </c>
      <c r="J2294" s="4" t="s">
        <v>27</v>
      </c>
      <c r="K2294" s="4" t="s">
        <v>27</v>
      </c>
      <c r="L2294" s="4" t="s">
        <v>27</v>
      </c>
      <c r="M2294" s="4" t="s">
        <v>27</v>
      </c>
      <c r="N2294" s="4" t="s">
        <v>27</v>
      </c>
    </row>
    <row r="2295" hidden="1">
      <c r="B2295" s="4" t="s">
        <v>27</v>
      </c>
      <c r="C2295" s="4" t="s">
        <v>27</v>
      </c>
      <c r="D2295" s="6" t="s">
        <v>27</v>
      </c>
      <c r="E2295" s="6" t="s">
        <v>27</v>
      </c>
      <c r="F2295" s="6" t="s">
        <v>27</v>
      </c>
      <c r="G2295" s="4" t="s">
        <v>27</v>
      </c>
      <c r="H2295" s="4" t="s">
        <v>27</v>
      </c>
      <c r="I2295" s="4" t="s">
        <v>27</v>
      </c>
      <c r="J2295" s="4" t="s">
        <v>27</v>
      </c>
      <c r="K2295" s="4" t="s">
        <v>27</v>
      </c>
      <c r="L2295" s="4" t="s">
        <v>27</v>
      </c>
      <c r="M2295" s="4" t="s">
        <v>27</v>
      </c>
      <c r="N2295" s="4" t="s">
        <v>27</v>
      </c>
    </row>
    <row r="2296" hidden="1">
      <c r="B2296" s="4" t="s">
        <v>27</v>
      </c>
      <c r="C2296" s="4" t="s">
        <v>27</v>
      </c>
      <c r="D2296" s="6" t="s">
        <v>27</v>
      </c>
      <c r="E2296" s="6" t="s">
        <v>27</v>
      </c>
      <c r="F2296" s="6" t="s">
        <v>27</v>
      </c>
      <c r="G2296" s="4" t="s">
        <v>27</v>
      </c>
      <c r="H2296" s="4" t="s">
        <v>27</v>
      </c>
      <c r="I2296" s="4" t="s">
        <v>27</v>
      </c>
      <c r="J2296" s="4" t="s">
        <v>27</v>
      </c>
      <c r="K2296" s="4" t="s">
        <v>27</v>
      </c>
      <c r="L2296" s="4" t="s">
        <v>27</v>
      </c>
      <c r="M2296" s="4" t="s">
        <v>27</v>
      </c>
      <c r="N2296" s="4" t="s">
        <v>27</v>
      </c>
    </row>
    <row r="2297" hidden="1">
      <c r="B2297" s="4" t="s">
        <v>27</v>
      </c>
      <c r="C2297" s="4" t="s">
        <v>27</v>
      </c>
      <c r="D2297" s="6" t="s">
        <v>27</v>
      </c>
      <c r="E2297" s="6" t="s">
        <v>27</v>
      </c>
      <c r="F2297" s="6" t="s">
        <v>27</v>
      </c>
      <c r="G2297" s="4" t="s">
        <v>27</v>
      </c>
      <c r="H2297" s="4" t="s">
        <v>27</v>
      </c>
      <c r="I2297" s="4" t="s">
        <v>27</v>
      </c>
      <c r="J2297" s="4" t="s">
        <v>27</v>
      </c>
      <c r="K2297" s="4" t="s">
        <v>27</v>
      </c>
      <c r="L2297" s="4" t="s">
        <v>27</v>
      </c>
      <c r="M2297" s="4" t="s">
        <v>27</v>
      </c>
      <c r="N2297" s="4" t="s">
        <v>27</v>
      </c>
    </row>
    <row r="2298" hidden="1">
      <c r="B2298" s="4" t="s">
        <v>27</v>
      </c>
      <c r="C2298" s="4" t="s">
        <v>27</v>
      </c>
      <c r="D2298" s="6" t="s">
        <v>27</v>
      </c>
      <c r="E2298" s="6" t="s">
        <v>27</v>
      </c>
      <c r="F2298" s="6" t="s">
        <v>27</v>
      </c>
      <c r="G2298" s="4" t="s">
        <v>27</v>
      </c>
      <c r="H2298" s="4" t="s">
        <v>27</v>
      </c>
      <c r="I2298" s="4" t="s">
        <v>27</v>
      </c>
      <c r="J2298" s="4" t="s">
        <v>27</v>
      </c>
      <c r="K2298" s="4" t="s">
        <v>27</v>
      </c>
      <c r="L2298" s="4" t="s">
        <v>27</v>
      </c>
      <c r="M2298" s="4" t="s">
        <v>27</v>
      </c>
      <c r="N2298" s="4" t="s">
        <v>27</v>
      </c>
    </row>
    <row r="2299" hidden="1">
      <c r="B2299" s="4" t="s">
        <v>27</v>
      </c>
      <c r="C2299" s="4" t="s">
        <v>27</v>
      </c>
      <c r="D2299" s="6" t="s">
        <v>27</v>
      </c>
      <c r="E2299" s="6" t="s">
        <v>27</v>
      </c>
      <c r="F2299" s="6" t="s">
        <v>27</v>
      </c>
      <c r="G2299" s="4" t="s">
        <v>27</v>
      </c>
      <c r="H2299" s="4" t="s">
        <v>27</v>
      </c>
      <c r="I2299" s="4" t="s">
        <v>27</v>
      </c>
      <c r="J2299" s="4" t="s">
        <v>27</v>
      </c>
      <c r="K2299" s="4" t="s">
        <v>27</v>
      </c>
      <c r="L2299" s="4" t="s">
        <v>27</v>
      </c>
      <c r="M2299" s="4" t="s">
        <v>27</v>
      </c>
      <c r="N2299" s="4" t="s">
        <v>27</v>
      </c>
    </row>
    <row r="2300" hidden="1">
      <c r="B2300" s="4" t="s">
        <v>27</v>
      </c>
      <c r="C2300" s="4" t="s">
        <v>27</v>
      </c>
      <c r="D2300" s="6" t="s">
        <v>27</v>
      </c>
      <c r="E2300" s="6" t="s">
        <v>27</v>
      </c>
      <c r="F2300" s="6" t="s">
        <v>27</v>
      </c>
      <c r="G2300" s="4" t="s">
        <v>27</v>
      </c>
      <c r="H2300" s="4" t="s">
        <v>27</v>
      </c>
      <c r="I2300" s="4" t="s">
        <v>27</v>
      </c>
      <c r="J2300" s="4" t="s">
        <v>27</v>
      </c>
      <c r="K2300" s="4" t="s">
        <v>27</v>
      </c>
      <c r="L2300" s="4" t="s">
        <v>27</v>
      </c>
      <c r="M2300" s="4" t="s">
        <v>27</v>
      </c>
      <c r="N2300" s="4" t="s">
        <v>27</v>
      </c>
    </row>
    <row r="2301" hidden="1">
      <c r="B2301" s="4" t="s">
        <v>27</v>
      </c>
      <c r="C2301" s="4" t="s">
        <v>27</v>
      </c>
      <c r="D2301" s="6" t="s">
        <v>27</v>
      </c>
      <c r="E2301" s="6" t="s">
        <v>27</v>
      </c>
      <c r="F2301" s="6" t="s">
        <v>27</v>
      </c>
      <c r="G2301" s="4" t="s">
        <v>27</v>
      </c>
      <c r="H2301" s="4" t="s">
        <v>27</v>
      </c>
      <c r="I2301" s="4" t="s">
        <v>27</v>
      </c>
      <c r="J2301" s="4" t="s">
        <v>27</v>
      </c>
      <c r="K2301" s="4" t="s">
        <v>27</v>
      </c>
      <c r="L2301" s="4" t="s">
        <v>27</v>
      </c>
      <c r="M2301" s="4" t="s">
        <v>27</v>
      </c>
      <c r="N2301" s="4" t="s">
        <v>27</v>
      </c>
    </row>
    <row r="2302" hidden="1">
      <c r="B2302" s="4" t="s">
        <v>27</v>
      </c>
      <c r="C2302" s="4" t="s">
        <v>27</v>
      </c>
      <c r="D2302" s="6" t="s">
        <v>27</v>
      </c>
      <c r="E2302" s="6" t="s">
        <v>27</v>
      </c>
      <c r="F2302" s="6" t="s">
        <v>27</v>
      </c>
      <c r="G2302" s="4" t="s">
        <v>27</v>
      </c>
      <c r="H2302" s="4" t="s">
        <v>27</v>
      </c>
      <c r="I2302" s="4" t="s">
        <v>27</v>
      </c>
      <c r="J2302" s="4" t="s">
        <v>27</v>
      </c>
      <c r="K2302" s="4" t="s">
        <v>27</v>
      </c>
      <c r="L2302" s="4" t="s">
        <v>27</v>
      </c>
      <c r="M2302" s="4" t="s">
        <v>27</v>
      </c>
      <c r="N2302" s="4" t="s">
        <v>27</v>
      </c>
    </row>
    <row r="2303" hidden="1">
      <c r="B2303" s="4" t="s">
        <v>27</v>
      </c>
      <c r="C2303" s="4" t="s">
        <v>27</v>
      </c>
      <c r="D2303" s="6" t="s">
        <v>27</v>
      </c>
      <c r="E2303" s="6" t="s">
        <v>27</v>
      </c>
      <c r="F2303" s="6" t="s">
        <v>27</v>
      </c>
      <c r="G2303" s="4" t="s">
        <v>27</v>
      </c>
      <c r="H2303" s="4" t="s">
        <v>27</v>
      </c>
      <c r="I2303" s="4" t="s">
        <v>27</v>
      </c>
      <c r="J2303" s="4" t="s">
        <v>27</v>
      </c>
      <c r="K2303" s="4" t="s">
        <v>27</v>
      </c>
      <c r="L2303" s="4" t="s">
        <v>27</v>
      </c>
      <c r="M2303" s="4" t="s">
        <v>27</v>
      </c>
      <c r="N2303" s="4" t="s">
        <v>27</v>
      </c>
    </row>
    <row r="2304" hidden="1">
      <c r="B2304" s="4" t="s">
        <v>27</v>
      </c>
      <c r="C2304" s="4" t="s">
        <v>27</v>
      </c>
      <c r="D2304" s="6" t="s">
        <v>27</v>
      </c>
      <c r="E2304" s="6" t="s">
        <v>27</v>
      </c>
      <c r="F2304" s="6" t="s">
        <v>27</v>
      </c>
      <c r="G2304" s="4" t="s">
        <v>27</v>
      </c>
      <c r="H2304" s="4" t="s">
        <v>27</v>
      </c>
      <c r="I2304" s="4" t="s">
        <v>27</v>
      </c>
      <c r="J2304" s="4" t="s">
        <v>27</v>
      </c>
      <c r="K2304" s="4" t="s">
        <v>27</v>
      </c>
      <c r="L2304" s="4" t="s">
        <v>27</v>
      </c>
      <c r="M2304" s="4" t="s">
        <v>27</v>
      </c>
      <c r="N2304" s="4" t="s">
        <v>27</v>
      </c>
    </row>
    <row r="2305" hidden="1">
      <c r="B2305" s="4" t="s">
        <v>27</v>
      </c>
      <c r="C2305" s="4" t="s">
        <v>27</v>
      </c>
      <c r="D2305" s="6" t="s">
        <v>27</v>
      </c>
      <c r="E2305" s="6" t="s">
        <v>27</v>
      </c>
      <c r="F2305" s="6" t="s">
        <v>27</v>
      </c>
      <c r="G2305" s="4" t="s">
        <v>27</v>
      </c>
      <c r="H2305" s="4" t="s">
        <v>27</v>
      </c>
      <c r="I2305" s="4" t="s">
        <v>27</v>
      </c>
      <c r="J2305" s="4" t="s">
        <v>27</v>
      </c>
      <c r="K2305" s="4" t="s">
        <v>27</v>
      </c>
      <c r="L2305" s="4" t="s">
        <v>27</v>
      </c>
      <c r="M2305" s="4" t="s">
        <v>27</v>
      </c>
      <c r="N2305" s="4" t="s">
        <v>27</v>
      </c>
    </row>
    <row r="2306" hidden="1">
      <c r="B2306" s="4" t="s">
        <v>27</v>
      </c>
      <c r="C2306" s="4" t="s">
        <v>27</v>
      </c>
      <c r="D2306" s="6" t="s">
        <v>27</v>
      </c>
      <c r="E2306" s="6" t="s">
        <v>27</v>
      </c>
      <c r="F2306" s="6" t="s">
        <v>27</v>
      </c>
      <c r="G2306" s="4" t="s">
        <v>27</v>
      </c>
      <c r="H2306" s="4" t="s">
        <v>27</v>
      </c>
      <c r="I2306" s="4" t="s">
        <v>27</v>
      </c>
      <c r="J2306" s="4" t="s">
        <v>27</v>
      </c>
      <c r="K2306" s="4" t="s">
        <v>27</v>
      </c>
      <c r="L2306" s="4" t="s">
        <v>27</v>
      </c>
      <c r="M2306" s="4" t="s">
        <v>27</v>
      </c>
      <c r="N2306" s="4" t="s">
        <v>27</v>
      </c>
    </row>
    <row r="2307" hidden="1">
      <c r="B2307" s="4" t="s">
        <v>27</v>
      </c>
      <c r="C2307" s="4" t="s">
        <v>27</v>
      </c>
      <c r="D2307" s="6" t="s">
        <v>27</v>
      </c>
      <c r="E2307" s="6" t="s">
        <v>27</v>
      </c>
      <c r="F2307" s="6" t="s">
        <v>27</v>
      </c>
      <c r="G2307" s="4" t="s">
        <v>27</v>
      </c>
      <c r="H2307" s="4" t="s">
        <v>27</v>
      </c>
      <c r="I2307" s="4" t="s">
        <v>27</v>
      </c>
      <c r="J2307" s="4" t="s">
        <v>27</v>
      </c>
      <c r="K2307" s="4" t="s">
        <v>27</v>
      </c>
      <c r="L2307" s="4" t="s">
        <v>27</v>
      </c>
      <c r="M2307" s="4" t="s">
        <v>27</v>
      </c>
      <c r="N2307" s="4" t="s">
        <v>27</v>
      </c>
    </row>
    <row r="2308" hidden="1">
      <c r="B2308" s="4" t="s">
        <v>27</v>
      </c>
      <c r="C2308" s="4" t="s">
        <v>27</v>
      </c>
      <c r="D2308" s="6" t="s">
        <v>27</v>
      </c>
      <c r="E2308" s="6" t="s">
        <v>27</v>
      </c>
      <c r="F2308" s="6" t="s">
        <v>27</v>
      </c>
      <c r="G2308" s="4" t="s">
        <v>27</v>
      </c>
      <c r="H2308" s="4" t="s">
        <v>27</v>
      </c>
      <c r="I2308" s="4" t="s">
        <v>27</v>
      </c>
      <c r="J2308" s="4" t="s">
        <v>27</v>
      </c>
      <c r="K2308" s="4" t="s">
        <v>27</v>
      </c>
      <c r="L2308" s="4" t="s">
        <v>27</v>
      </c>
      <c r="M2308" s="4" t="s">
        <v>27</v>
      </c>
      <c r="N2308" s="4" t="s">
        <v>27</v>
      </c>
    </row>
    <row r="2309" hidden="1">
      <c r="B2309" s="4" t="s">
        <v>27</v>
      </c>
      <c r="C2309" s="4" t="s">
        <v>27</v>
      </c>
      <c r="D2309" s="6" t="s">
        <v>27</v>
      </c>
      <c r="E2309" s="6" t="s">
        <v>27</v>
      </c>
      <c r="F2309" s="6" t="s">
        <v>27</v>
      </c>
      <c r="G2309" s="4" t="s">
        <v>27</v>
      </c>
      <c r="H2309" s="4" t="s">
        <v>27</v>
      </c>
      <c r="I2309" s="4" t="s">
        <v>27</v>
      </c>
      <c r="J2309" s="4" t="s">
        <v>27</v>
      </c>
      <c r="K2309" s="4" t="s">
        <v>27</v>
      </c>
      <c r="L2309" s="4" t="s">
        <v>27</v>
      </c>
      <c r="M2309" s="4" t="s">
        <v>27</v>
      </c>
      <c r="N2309" s="4" t="s">
        <v>27</v>
      </c>
    </row>
    <row r="2310" hidden="1">
      <c r="B2310" s="4" t="s">
        <v>27</v>
      </c>
      <c r="C2310" s="4" t="s">
        <v>27</v>
      </c>
      <c r="D2310" s="6" t="s">
        <v>27</v>
      </c>
      <c r="E2310" s="6" t="s">
        <v>27</v>
      </c>
      <c r="F2310" s="6" t="s">
        <v>27</v>
      </c>
      <c r="G2310" s="4" t="s">
        <v>27</v>
      </c>
      <c r="H2310" s="4" t="s">
        <v>27</v>
      </c>
      <c r="I2310" s="4" t="s">
        <v>27</v>
      </c>
      <c r="J2310" s="4" t="s">
        <v>27</v>
      </c>
      <c r="K2310" s="4" t="s">
        <v>27</v>
      </c>
      <c r="L2310" s="4" t="s">
        <v>27</v>
      </c>
      <c r="M2310" s="4" t="s">
        <v>27</v>
      </c>
      <c r="N2310" s="4" t="s">
        <v>27</v>
      </c>
    </row>
    <row r="2311" hidden="1">
      <c r="B2311" s="4" t="s">
        <v>27</v>
      </c>
      <c r="C2311" s="4" t="s">
        <v>27</v>
      </c>
      <c r="D2311" s="6" t="s">
        <v>27</v>
      </c>
      <c r="E2311" s="6" t="s">
        <v>27</v>
      </c>
      <c r="F2311" s="6" t="s">
        <v>27</v>
      </c>
      <c r="G2311" s="4" t="s">
        <v>27</v>
      </c>
      <c r="H2311" s="4" t="s">
        <v>27</v>
      </c>
      <c r="I2311" s="4" t="s">
        <v>27</v>
      </c>
      <c r="J2311" s="4" t="s">
        <v>27</v>
      </c>
      <c r="K2311" s="4" t="s">
        <v>27</v>
      </c>
      <c r="L2311" s="4" t="s">
        <v>27</v>
      </c>
      <c r="M2311" s="4" t="s">
        <v>27</v>
      </c>
      <c r="N2311" s="4" t="s">
        <v>27</v>
      </c>
    </row>
    <row r="2312" hidden="1">
      <c r="B2312" s="4" t="s">
        <v>27</v>
      </c>
      <c r="C2312" s="4" t="s">
        <v>27</v>
      </c>
      <c r="D2312" s="6" t="s">
        <v>27</v>
      </c>
      <c r="E2312" s="6" t="s">
        <v>27</v>
      </c>
      <c r="F2312" s="6" t="s">
        <v>27</v>
      </c>
      <c r="G2312" s="4" t="s">
        <v>27</v>
      </c>
      <c r="H2312" s="4" t="s">
        <v>27</v>
      </c>
      <c r="I2312" s="4" t="s">
        <v>27</v>
      </c>
      <c r="J2312" s="4" t="s">
        <v>27</v>
      </c>
      <c r="K2312" s="4" t="s">
        <v>27</v>
      </c>
      <c r="L2312" s="4" t="s">
        <v>27</v>
      </c>
      <c r="M2312" s="4" t="s">
        <v>27</v>
      </c>
      <c r="N2312" s="4" t="s">
        <v>27</v>
      </c>
    </row>
    <row r="2313" hidden="1">
      <c r="B2313" s="4" t="s">
        <v>27</v>
      </c>
      <c r="C2313" s="4" t="s">
        <v>27</v>
      </c>
      <c r="D2313" s="6" t="s">
        <v>27</v>
      </c>
      <c r="E2313" s="6" t="s">
        <v>27</v>
      </c>
      <c r="F2313" s="6" t="s">
        <v>27</v>
      </c>
      <c r="G2313" s="4" t="s">
        <v>27</v>
      </c>
      <c r="H2313" s="4" t="s">
        <v>27</v>
      </c>
      <c r="I2313" s="4" t="s">
        <v>27</v>
      </c>
      <c r="J2313" s="4" t="s">
        <v>27</v>
      </c>
      <c r="K2313" s="4" t="s">
        <v>27</v>
      </c>
      <c r="L2313" s="4" t="s">
        <v>27</v>
      </c>
      <c r="M2313" s="4" t="s">
        <v>27</v>
      </c>
      <c r="N2313" s="4" t="s">
        <v>27</v>
      </c>
    </row>
    <row r="2314" hidden="1">
      <c r="B2314" s="4" t="s">
        <v>27</v>
      </c>
      <c r="C2314" s="4" t="s">
        <v>27</v>
      </c>
      <c r="D2314" s="6" t="s">
        <v>27</v>
      </c>
      <c r="E2314" s="6" t="s">
        <v>27</v>
      </c>
      <c r="F2314" s="6" t="s">
        <v>27</v>
      </c>
      <c r="G2314" s="4" t="s">
        <v>27</v>
      </c>
      <c r="H2314" s="4" t="s">
        <v>27</v>
      </c>
      <c r="I2314" s="4" t="s">
        <v>27</v>
      </c>
      <c r="J2314" s="4" t="s">
        <v>27</v>
      </c>
      <c r="K2314" s="4" t="s">
        <v>27</v>
      </c>
      <c r="L2314" s="4" t="s">
        <v>27</v>
      </c>
      <c r="M2314" s="4" t="s">
        <v>27</v>
      </c>
      <c r="N2314" s="4" t="s">
        <v>27</v>
      </c>
    </row>
    <row r="2315" hidden="1">
      <c r="B2315" s="4" t="s">
        <v>27</v>
      </c>
      <c r="C2315" s="4" t="s">
        <v>27</v>
      </c>
      <c r="D2315" s="6" t="s">
        <v>27</v>
      </c>
      <c r="E2315" s="6" t="s">
        <v>27</v>
      </c>
      <c r="F2315" s="6" t="s">
        <v>27</v>
      </c>
      <c r="G2315" s="4" t="s">
        <v>27</v>
      </c>
      <c r="H2315" s="4" t="s">
        <v>27</v>
      </c>
      <c r="I2315" s="4" t="s">
        <v>27</v>
      </c>
      <c r="J2315" s="4" t="s">
        <v>27</v>
      </c>
      <c r="K2315" s="4" t="s">
        <v>27</v>
      </c>
      <c r="L2315" s="4" t="s">
        <v>27</v>
      </c>
      <c r="M2315" s="4" t="s">
        <v>27</v>
      </c>
      <c r="N2315" s="4" t="s">
        <v>27</v>
      </c>
    </row>
    <row r="2316" hidden="1">
      <c r="B2316" s="4" t="s">
        <v>27</v>
      </c>
      <c r="C2316" s="4" t="s">
        <v>27</v>
      </c>
      <c r="D2316" s="6" t="s">
        <v>27</v>
      </c>
      <c r="E2316" s="6" t="s">
        <v>27</v>
      </c>
      <c r="F2316" s="6" t="s">
        <v>27</v>
      </c>
      <c r="G2316" s="4" t="s">
        <v>27</v>
      </c>
      <c r="H2316" s="4" t="s">
        <v>27</v>
      </c>
      <c r="I2316" s="4" t="s">
        <v>27</v>
      </c>
      <c r="J2316" s="4" t="s">
        <v>27</v>
      </c>
      <c r="K2316" s="4" t="s">
        <v>27</v>
      </c>
      <c r="L2316" s="4" t="s">
        <v>27</v>
      </c>
      <c r="M2316" s="4" t="s">
        <v>27</v>
      </c>
      <c r="N2316" s="4" t="s">
        <v>27</v>
      </c>
    </row>
    <row r="2317" hidden="1">
      <c r="B2317" s="4" t="s">
        <v>27</v>
      </c>
      <c r="C2317" s="4" t="s">
        <v>27</v>
      </c>
      <c r="D2317" s="6" t="s">
        <v>27</v>
      </c>
      <c r="E2317" s="6" t="s">
        <v>27</v>
      </c>
      <c r="F2317" s="6" t="s">
        <v>27</v>
      </c>
      <c r="G2317" s="4" t="s">
        <v>27</v>
      </c>
      <c r="H2317" s="4" t="s">
        <v>27</v>
      </c>
      <c r="I2317" s="4" t="s">
        <v>27</v>
      </c>
      <c r="J2317" s="4" t="s">
        <v>27</v>
      </c>
      <c r="K2317" s="4" t="s">
        <v>27</v>
      </c>
      <c r="L2317" s="4" t="s">
        <v>27</v>
      </c>
      <c r="M2317" s="4" t="s">
        <v>27</v>
      </c>
      <c r="N2317" s="4" t="s">
        <v>27</v>
      </c>
    </row>
    <row r="2318" hidden="1">
      <c r="B2318" s="4" t="s">
        <v>27</v>
      </c>
      <c r="C2318" s="4" t="s">
        <v>27</v>
      </c>
      <c r="D2318" s="6" t="s">
        <v>27</v>
      </c>
      <c r="E2318" s="6" t="s">
        <v>27</v>
      </c>
      <c r="F2318" s="6" t="s">
        <v>27</v>
      </c>
      <c r="G2318" s="4" t="s">
        <v>27</v>
      </c>
      <c r="H2318" s="4" t="s">
        <v>27</v>
      </c>
      <c r="I2318" s="4" t="s">
        <v>27</v>
      </c>
      <c r="J2318" s="4" t="s">
        <v>27</v>
      </c>
      <c r="K2318" s="4" t="s">
        <v>27</v>
      </c>
      <c r="L2318" s="4" t="s">
        <v>27</v>
      </c>
      <c r="M2318" s="4" t="s">
        <v>27</v>
      </c>
      <c r="N2318" s="4" t="s">
        <v>27</v>
      </c>
    </row>
    <row r="2319" hidden="1">
      <c r="B2319" s="4" t="s">
        <v>27</v>
      </c>
      <c r="C2319" s="4" t="s">
        <v>27</v>
      </c>
      <c r="D2319" s="6" t="s">
        <v>27</v>
      </c>
      <c r="E2319" s="6" t="s">
        <v>27</v>
      </c>
      <c r="F2319" s="6" t="s">
        <v>27</v>
      </c>
      <c r="G2319" s="4" t="s">
        <v>27</v>
      </c>
      <c r="H2319" s="4" t="s">
        <v>27</v>
      </c>
      <c r="I2319" s="4" t="s">
        <v>27</v>
      </c>
      <c r="J2319" s="4" t="s">
        <v>27</v>
      </c>
      <c r="K2319" s="4" t="s">
        <v>27</v>
      </c>
      <c r="L2319" s="4" t="s">
        <v>27</v>
      </c>
      <c r="M2319" s="4" t="s">
        <v>27</v>
      </c>
      <c r="N2319" s="4" t="s">
        <v>27</v>
      </c>
    </row>
    <row r="2320" hidden="1">
      <c r="B2320" s="4" t="s">
        <v>27</v>
      </c>
      <c r="C2320" s="4" t="s">
        <v>27</v>
      </c>
      <c r="D2320" s="6" t="s">
        <v>27</v>
      </c>
      <c r="E2320" s="6" t="s">
        <v>27</v>
      </c>
      <c r="F2320" s="6" t="s">
        <v>27</v>
      </c>
      <c r="G2320" s="4" t="s">
        <v>27</v>
      </c>
      <c r="H2320" s="4" t="s">
        <v>27</v>
      </c>
      <c r="I2320" s="4" t="s">
        <v>27</v>
      </c>
      <c r="J2320" s="4" t="s">
        <v>27</v>
      </c>
      <c r="K2320" s="4" t="s">
        <v>27</v>
      </c>
      <c r="L2320" s="4" t="s">
        <v>27</v>
      </c>
      <c r="M2320" s="4" t="s">
        <v>27</v>
      </c>
      <c r="N2320" s="4" t="s">
        <v>27</v>
      </c>
    </row>
    <row r="2321" hidden="1">
      <c r="B2321" s="4" t="s">
        <v>27</v>
      </c>
      <c r="C2321" s="4" t="s">
        <v>27</v>
      </c>
      <c r="D2321" s="6" t="s">
        <v>27</v>
      </c>
      <c r="E2321" s="6" t="s">
        <v>27</v>
      </c>
      <c r="F2321" s="6" t="s">
        <v>27</v>
      </c>
      <c r="G2321" s="4" t="s">
        <v>27</v>
      </c>
      <c r="H2321" s="4" t="s">
        <v>27</v>
      </c>
      <c r="I2321" s="4" t="s">
        <v>27</v>
      </c>
      <c r="J2321" s="4" t="s">
        <v>27</v>
      </c>
      <c r="K2321" s="4" t="s">
        <v>27</v>
      </c>
      <c r="L2321" s="4" t="s">
        <v>27</v>
      </c>
      <c r="M2321" s="4" t="s">
        <v>27</v>
      </c>
      <c r="N2321" s="4" t="s">
        <v>27</v>
      </c>
    </row>
    <row r="2322" hidden="1">
      <c r="B2322" s="4" t="s">
        <v>27</v>
      </c>
      <c r="C2322" s="4" t="s">
        <v>27</v>
      </c>
      <c r="D2322" s="6" t="s">
        <v>27</v>
      </c>
      <c r="E2322" s="6" t="s">
        <v>27</v>
      </c>
      <c r="F2322" s="6" t="s">
        <v>27</v>
      </c>
      <c r="G2322" s="4" t="s">
        <v>27</v>
      </c>
      <c r="H2322" s="4" t="s">
        <v>27</v>
      </c>
      <c r="I2322" s="4" t="s">
        <v>27</v>
      </c>
      <c r="J2322" s="4" t="s">
        <v>27</v>
      </c>
      <c r="K2322" s="4" t="s">
        <v>27</v>
      </c>
      <c r="L2322" s="4" t="s">
        <v>27</v>
      </c>
      <c r="M2322" s="4" t="s">
        <v>27</v>
      </c>
      <c r="N2322" s="4" t="s">
        <v>27</v>
      </c>
    </row>
    <row r="2323" hidden="1">
      <c r="B2323" s="4" t="s">
        <v>27</v>
      </c>
      <c r="C2323" s="4" t="s">
        <v>27</v>
      </c>
      <c r="D2323" s="6" t="s">
        <v>27</v>
      </c>
      <c r="E2323" s="6" t="s">
        <v>27</v>
      </c>
      <c r="F2323" s="6" t="s">
        <v>27</v>
      </c>
      <c r="G2323" s="4" t="s">
        <v>27</v>
      </c>
      <c r="H2323" s="4" t="s">
        <v>27</v>
      </c>
      <c r="I2323" s="4" t="s">
        <v>27</v>
      </c>
      <c r="J2323" s="4" t="s">
        <v>27</v>
      </c>
      <c r="K2323" s="4" t="s">
        <v>27</v>
      </c>
      <c r="L2323" s="4" t="s">
        <v>27</v>
      </c>
      <c r="M2323" s="4" t="s">
        <v>27</v>
      </c>
      <c r="N2323" s="4" t="s">
        <v>27</v>
      </c>
    </row>
    <row r="2324" hidden="1">
      <c r="B2324" s="4" t="s">
        <v>27</v>
      </c>
      <c r="C2324" s="4" t="s">
        <v>27</v>
      </c>
      <c r="D2324" s="6" t="s">
        <v>27</v>
      </c>
      <c r="E2324" s="6" t="s">
        <v>27</v>
      </c>
      <c r="F2324" s="6" t="s">
        <v>27</v>
      </c>
      <c r="G2324" s="4" t="s">
        <v>27</v>
      </c>
      <c r="H2324" s="4" t="s">
        <v>27</v>
      </c>
      <c r="I2324" s="4" t="s">
        <v>27</v>
      </c>
      <c r="J2324" s="4" t="s">
        <v>27</v>
      </c>
      <c r="K2324" s="4" t="s">
        <v>27</v>
      </c>
      <c r="L2324" s="4" t="s">
        <v>27</v>
      </c>
      <c r="M2324" s="4" t="s">
        <v>27</v>
      </c>
      <c r="N2324" s="4" t="s">
        <v>27</v>
      </c>
    </row>
    <row r="2325" hidden="1">
      <c r="B2325" s="4" t="s">
        <v>27</v>
      </c>
      <c r="C2325" s="4" t="s">
        <v>27</v>
      </c>
      <c r="D2325" s="6" t="s">
        <v>27</v>
      </c>
      <c r="E2325" s="6" t="s">
        <v>27</v>
      </c>
      <c r="F2325" s="6" t="s">
        <v>27</v>
      </c>
      <c r="G2325" s="4" t="s">
        <v>27</v>
      </c>
      <c r="H2325" s="4" t="s">
        <v>27</v>
      </c>
      <c r="I2325" s="4" t="s">
        <v>27</v>
      </c>
      <c r="J2325" s="4" t="s">
        <v>27</v>
      </c>
      <c r="K2325" s="4" t="s">
        <v>27</v>
      </c>
      <c r="L2325" s="4" t="s">
        <v>27</v>
      </c>
      <c r="M2325" s="4" t="s">
        <v>27</v>
      </c>
      <c r="N2325" s="4" t="s">
        <v>27</v>
      </c>
    </row>
    <row r="2326" hidden="1">
      <c r="B2326" s="4" t="s">
        <v>27</v>
      </c>
      <c r="C2326" s="4" t="s">
        <v>27</v>
      </c>
      <c r="D2326" s="6" t="s">
        <v>27</v>
      </c>
      <c r="E2326" s="6" t="s">
        <v>27</v>
      </c>
      <c r="F2326" s="6" t="s">
        <v>27</v>
      </c>
      <c r="G2326" s="4" t="s">
        <v>27</v>
      </c>
      <c r="H2326" s="4" t="s">
        <v>27</v>
      </c>
      <c r="I2326" s="4" t="s">
        <v>27</v>
      </c>
      <c r="J2326" s="4" t="s">
        <v>27</v>
      </c>
      <c r="K2326" s="4" t="s">
        <v>27</v>
      </c>
      <c r="L2326" s="4" t="s">
        <v>27</v>
      </c>
      <c r="M2326" s="4" t="s">
        <v>27</v>
      </c>
      <c r="N2326" s="4" t="s">
        <v>27</v>
      </c>
    </row>
    <row r="2327" hidden="1">
      <c r="B2327" s="4" t="s">
        <v>27</v>
      </c>
      <c r="C2327" s="4" t="s">
        <v>27</v>
      </c>
      <c r="D2327" s="6" t="s">
        <v>27</v>
      </c>
      <c r="E2327" s="6" t="s">
        <v>27</v>
      </c>
      <c r="F2327" s="6" t="s">
        <v>27</v>
      </c>
      <c r="G2327" s="4" t="s">
        <v>27</v>
      </c>
      <c r="H2327" s="4" t="s">
        <v>27</v>
      </c>
      <c r="I2327" s="4" t="s">
        <v>27</v>
      </c>
      <c r="J2327" s="4" t="s">
        <v>27</v>
      </c>
      <c r="K2327" s="4" t="s">
        <v>27</v>
      </c>
      <c r="L2327" s="4" t="s">
        <v>27</v>
      </c>
      <c r="M2327" s="4" t="s">
        <v>27</v>
      </c>
      <c r="N2327" s="4" t="s">
        <v>27</v>
      </c>
    </row>
    <row r="2328" hidden="1">
      <c r="B2328" s="4" t="s">
        <v>27</v>
      </c>
      <c r="C2328" s="4" t="s">
        <v>27</v>
      </c>
      <c r="D2328" s="6" t="s">
        <v>27</v>
      </c>
      <c r="E2328" s="6" t="s">
        <v>27</v>
      </c>
      <c r="F2328" s="6" t="s">
        <v>27</v>
      </c>
      <c r="G2328" s="4" t="s">
        <v>27</v>
      </c>
      <c r="H2328" s="4" t="s">
        <v>27</v>
      </c>
      <c r="I2328" s="4" t="s">
        <v>27</v>
      </c>
      <c r="J2328" s="4" t="s">
        <v>27</v>
      </c>
      <c r="K2328" s="4" t="s">
        <v>27</v>
      </c>
      <c r="L2328" s="4" t="s">
        <v>27</v>
      </c>
      <c r="M2328" s="4" t="s">
        <v>27</v>
      </c>
      <c r="N2328" s="4" t="s">
        <v>27</v>
      </c>
    </row>
    <row r="2329" hidden="1">
      <c r="B2329" s="4" t="s">
        <v>27</v>
      </c>
      <c r="C2329" s="4" t="s">
        <v>27</v>
      </c>
      <c r="D2329" s="6" t="s">
        <v>27</v>
      </c>
      <c r="E2329" s="6" t="s">
        <v>27</v>
      </c>
      <c r="F2329" s="6" t="s">
        <v>27</v>
      </c>
      <c r="G2329" s="4" t="s">
        <v>27</v>
      </c>
      <c r="H2329" s="4" t="s">
        <v>27</v>
      </c>
      <c r="I2329" s="4" t="s">
        <v>27</v>
      </c>
      <c r="J2329" s="4" t="s">
        <v>27</v>
      </c>
      <c r="K2329" s="4" t="s">
        <v>27</v>
      </c>
      <c r="L2329" s="4" t="s">
        <v>27</v>
      </c>
      <c r="M2329" s="4" t="s">
        <v>27</v>
      </c>
      <c r="N2329" s="4" t="s">
        <v>27</v>
      </c>
    </row>
    <row r="2330" hidden="1">
      <c r="B2330" s="4" t="s">
        <v>27</v>
      </c>
      <c r="C2330" s="4" t="s">
        <v>27</v>
      </c>
      <c r="D2330" s="6" t="s">
        <v>27</v>
      </c>
      <c r="E2330" s="6" t="s">
        <v>27</v>
      </c>
      <c r="F2330" s="6" t="s">
        <v>27</v>
      </c>
      <c r="G2330" s="4" t="s">
        <v>27</v>
      </c>
      <c r="H2330" s="4" t="s">
        <v>27</v>
      </c>
      <c r="I2330" s="4" t="s">
        <v>27</v>
      </c>
      <c r="J2330" s="4" t="s">
        <v>27</v>
      </c>
      <c r="K2330" s="4" t="s">
        <v>27</v>
      </c>
      <c r="L2330" s="4" t="s">
        <v>27</v>
      </c>
      <c r="M2330" s="4" t="s">
        <v>27</v>
      </c>
      <c r="N2330" s="4" t="s">
        <v>27</v>
      </c>
    </row>
    <row r="2331" hidden="1">
      <c r="B2331" s="4" t="s">
        <v>27</v>
      </c>
      <c r="C2331" s="4" t="s">
        <v>27</v>
      </c>
      <c r="D2331" s="6" t="s">
        <v>27</v>
      </c>
      <c r="E2331" s="6" t="s">
        <v>27</v>
      </c>
      <c r="F2331" s="6" t="s">
        <v>27</v>
      </c>
      <c r="G2331" s="4" t="s">
        <v>27</v>
      </c>
      <c r="H2331" s="4" t="s">
        <v>27</v>
      </c>
      <c r="I2331" s="4" t="s">
        <v>27</v>
      </c>
      <c r="J2331" s="4" t="s">
        <v>27</v>
      </c>
      <c r="K2331" s="4" t="s">
        <v>27</v>
      </c>
      <c r="L2331" s="4" t="s">
        <v>27</v>
      </c>
      <c r="M2331" s="4" t="s">
        <v>27</v>
      </c>
      <c r="N2331" s="4" t="s">
        <v>27</v>
      </c>
    </row>
    <row r="2332" hidden="1">
      <c r="B2332" s="4" t="s">
        <v>27</v>
      </c>
      <c r="C2332" s="4" t="s">
        <v>27</v>
      </c>
      <c r="D2332" s="6" t="s">
        <v>27</v>
      </c>
      <c r="E2332" s="6" t="s">
        <v>27</v>
      </c>
      <c r="F2332" s="6" t="s">
        <v>27</v>
      </c>
      <c r="G2332" s="4" t="s">
        <v>27</v>
      </c>
      <c r="H2332" s="4" t="s">
        <v>27</v>
      </c>
      <c r="I2332" s="4" t="s">
        <v>27</v>
      </c>
      <c r="J2332" s="4" t="s">
        <v>27</v>
      </c>
      <c r="K2332" s="4" t="s">
        <v>27</v>
      </c>
      <c r="L2332" s="4" t="s">
        <v>27</v>
      </c>
      <c r="M2332" s="4" t="s">
        <v>27</v>
      </c>
      <c r="N2332" s="4" t="s">
        <v>27</v>
      </c>
    </row>
    <row r="2333" hidden="1">
      <c r="B2333" s="4" t="s">
        <v>27</v>
      </c>
      <c r="C2333" s="4" t="s">
        <v>27</v>
      </c>
      <c r="D2333" s="6" t="s">
        <v>27</v>
      </c>
      <c r="E2333" s="6" t="s">
        <v>27</v>
      </c>
      <c r="F2333" s="6" t="s">
        <v>27</v>
      </c>
      <c r="G2333" s="4" t="s">
        <v>27</v>
      </c>
      <c r="H2333" s="4" t="s">
        <v>27</v>
      </c>
      <c r="I2333" s="4" t="s">
        <v>27</v>
      </c>
      <c r="J2333" s="4" t="s">
        <v>27</v>
      </c>
      <c r="K2333" s="4" t="s">
        <v>27</v>
      </c>
      <c r="L2333" s="4" t="s">
        <v>27</v>
      </c>
      <c r="M2333" s="4" t="s">
        <v>27</v>
      </c>
      <c r="N2333" s="4" t="s">
        <v>27</v>
      </c>
    </row>
    <row r="2334" hidden="1">
      <c r="B2334" s="4" t="s">
        <v>27</v>
      </c>
      <c r="C2334" s="4" t="s">
        <v>27</v>
      </c>
      <c r="D2334" s="6" t="s">
        <v>27</v>
      </c>
      <c r="E2334" s="6" t="s">
        <v>27</v>
      </c>
      <c r="F2334" s="6" t="s">
        <v>27</v>
      </c>
      <c r="G2334" s="4" t="s">
        <v>27</v>
      </c>
      <c r="H2334" s="4" t="s">
        <v>27</v>
      </c>
      <c r="I2334" s="4" t="s">
        <v>27</v>
      </c>
      <c r="J2334" s="4" t="s">
        <v>27</v>
      </c>
      <c r="K2334" s="4" t="s">
        <v>27</v>
      </c>
      <c r="L2334" s="4" t="s">
        <v>27</v>
      </c>
      <c r="M2334" s="4" t="s">
        <v>27</v>
      </c>
      <c r="N2334" s="4" t="s">
        <v>27</v>
      </c>
    </row>
    <row r="2335" hidden="1">
      <c r="B2335" s="4" t="s">
        <v>27</v>
      </c>
      <c r="C2335" s="4" t="s">
        <v>27</v>
      </c>
      <c r="D2335" s="6" t="s">
        <v>27</v>
      </c>
      <c r="E2335" s="6" t="s">
        <v>27</v>
      </c>
      <c r="F2335" s="6" t="s">
        <v>27</v>
      </c>
      <c r="G2335" s="4" t="s">
        <v>27</v>
      </c>
      <c r="H2335" s="4" t="s">
        <v>27</v>
      </c>
      <c r="I2335" s="4" t="s">
        <v>27</v>
      </c>
      <c r="J2335" s="4" t="s">
        <v>27</v>
      </c>
      <c r="K2335" s="4" t="s">
        <v>27</v>
      </c>
      <c r="L2335" s="4" t="s">
        <v>27</v>
      </c>
      <c r="M2335" s="4" t="s">
        <v>27</v>
      </c>
      <c r="N2335" s="4" t="s">
        <v>27</v>
      </c>
    </row>
    <row r="2336" hidden="1">
      <c r="B2336" s="4" t="s">
        <v>27</v>
      </c>
      <c r="C2336" s="4" t="s">
        <v>27</v>
      </c>
      <c r="D2336" s="6" t="s">
        <v>27</v>
      </c>
      <c r="E2336" s="6" t="s">
        <v>27</v>
      </c>
      <c r="F2336" s="6" t="s">
        <v>27</v>
      </c>
      <c r="G2336" s="4" t="s">
        <v>27</v>
      </c>
      <c r="H2336" s="4" t="s">
        <v>27</v>
      </c>
      <c r="I2336" s="4" t="s">
        <v>27</v>
      </c>
      <c r="J2336" s="4" t="s">
        <v>27</v>
      </c>
      <c r="K2336" s="4" t="s">
        <v>27</v>
      </c>
      <c r="L2336" s="4" t="s">
        <v>27</v>
      </c>
      <c r="M2336" s="4" t="s">
        <v>27</v>
      </c>
      <c r="N2336" s="4" t="s">
        <v>27</v>
      </c>
    </row>
    <row r="2337" hidden="1">
      <c r="B2337" s="4" t="s">
        <v>27</v>
      </c>
      <c r="C2337" s="4" t="s">
        <v>27</v>
      </c>
      <c r="D2337" s="6" t="s">
        <v>27</v>
      </c>
      <c r="E2337" s="6" t="s">
        <v>27</v>
      </c>
      <c r="F2337" s="6" t="s">
        <v>27</v>
      </c>
      <c r="G2337" s="4" t="s">
        <v>27</v>
      </c>
      <c r="H2337" s="4" t="s">
        <v>27</v>
      </c>
      <c r="I2337" s="4" t="s">
        <v>27</v>
      </c>
      <c r="J2337" s="4" t="s">
        <v>27</v>
      </c>
      <c r="K2337" s="4" t="s">
        <v>27</v>
      </c>
      <c r="L2337" s="4" t="s">
        <v>27</v>
      </c>
      <c r="M2337" s="4" t="s">
        <v>27</v>
      </c>
      <c r="N2337" s="4" t="s">
        <v>27</v>
      </c>
    </row>
    <row r="2338" hidden="1">
      <c r="B2338" s="4" t="s">
        <v>27</v>
      </c>
      <c r="C2338" s="4" t="s">
        <v>27</v>
      </c>
      <c r="D2338" s="6" t="s">
        <v>27</v>
      </c>
      <c r="E2338" s="6" t="s">
        <v>27</v>
      </c>
      <c r="F2338" s="6" t="s">
        <v>27</v>
      </c>
      <c r="G2338" s="4" t="s">
        <v>27</v>
      </c>
      <c r="H2338" s="4" t="s">
        <v>27</v>
      </c>
      <c r="I2338" s="4" t="s">
        <v>27</v>
      </c>
      <c r="J2338" s="4" t="s">
        <v>27</v>
      </c>
      <c r="K2338" s="4" t="s">
        <v>27</v>
      </c>
      <c r="L2338" s="4" t="s">
        <v>27</v>
      </c>
      <c r="M2338" s="4" t="s">
        <v>27</v>
      </c>
      <c r="N2338" s="4" t="s">
        <v>27</v>
      </c>
    </row>
    <row r="2339" hidden="1">
      <c r="B2339" s="4" t="s">
        <v>27</v>
      </c>
      <c r="C2339" s="4" t="s">
        <v>27</v>
      </c>
      <c r="D2339" s="6" t="s">
        <v>27</v>
      </c>
      <c r="E2339" s="6" t="s">
        <v>27</v>
      </c>
      <c r="F2339" s="6" t="s">
        <v>27</v>
      </c>
      <c r="G2339" s="4" t="s">
        <v>27</v>
      </c>
      <c r="H2339" s="4" t="s">
        <v>27</v>
      </c>
      <c r="I2339" s="4" t="s">
        <v>27</v>
      </c>
      <c r="J2339" s="4" t="s">
        <v>27</v>
      </c>
      <c r="K2339" s="4" t="s">
        <v>27</v>
      </c>
      <c r="L2339" s="4" t="s">
        <v>27</v>
      </c>
      <c r="M2339" s="4" t="s">
        <v>27</v>
      </c>
      <c r="N2339" s="4" t="s">
        <v>27</v>
      </c>
    </row>
    <row r="2340" hidden="1">
      <c r="B2340" s="4" t="s">
        <v>27</v>
      </c>
      <c r="C2340" s="4" t="s">
        <v>27</v>
      </c>
      <c r="D2340" s="6" t="s">
        <v>27</v>
      </c>
      <c r="E2340" s="6" t="s">
        <v>27</v>
      </c>
      <c r="F2340" s="6" t="s">
        <v>27</v>
      </c>
      <c r="G2340" s="4" t="s">
        <v>27</v>
      </c>
      <c r="H2340" s="4" t="s">
        <v>27</v>
      </c>
      <c r="I2340" s="4" t="s">
        <v>27</v>
      </c>
      <c r="J2340" s="4" t="s">
        <v>27</v>
      </c>
      <c r="K2340" s="4" t="s">
        <v>27</v>
      </c>
      <c r="L2340" s="4" t="s">
        <v>27</v>
      </c>
      <c r="M2340" s="4" t="s">
        <v>27</v>
      </c>
      <c r="N2340" s="4" t="s">
        <v>27</v>
      </c>
    </row>
    <row r="2341" hidden="1">
      <c r="B2341" s="4" t="s">
        <v>27</v>
      </c>
      <c r="C2341" s="4" t="s">
        <v>27</v>
      </c>
      <c r="D2341" s="6" t="s">
        <v>27</v>
      </c>
      <c r="E2341" s="6" t="s">
        <v>27</v>
      </c>
      <c r="F2341" s="6" t="s">
        <v>27</v>
      </c>
      <c r="G2341" s="4" t="s">
        <v>27</v>
      </c>
      <c r="H2341" s="4" t="s">
        <v>27</v>
      </c>
      <c r="I2341" s="4" t="s">
        <v>27</v>
      </c>
      <c r="J2341" s="4" t="s">
        <v>27</v>
      </c>
      <c r="K2341" s="4" t="s">
        <v>27</v>
      </c>
      <c r="L2341" s="4" t="s">
        <v>27</v>
      </c>
      <c r="M2341" s="4" t="s">
        <v>27</v>
      </c>
      <c r="N2341" s="4" t="s">
        <v>27</v>
      </c>
    </row>
    <row r="2342" hidden="1">
      <c r="B2342" s="4" t="s">
        <v>27</v>
      </c>
      <c r="C2342" s="4" t="s">
        <v>27</v>
      </c>
      <c r="D2342" s="6" t="s">
        <v>27</v>
      </c>
      <c r="E2342" s="6" t="s">
        <v>27</v>
      </c>
      <c r="F2342" s="6" t="s">
        <v>27</v>
      </c>
      <c r="G2342" s="4" t="s">
        <v>27</v>
      </c>
      <c r="H2342" s="4" t="s">
        <v>27</v>
      </c>
      <c r="I2342" s="4" t="s">
        <v>27</v>
      </c>
      <c r="J2342" s="4" t="s">
        <v>27</v>
      </c>
      <c r="K2342" s="4" t="s">
        <v>27</v>
      </c>
      <c r="L2342" s="4" t="s">
        <v>27</v>
      </c>
      <c r="M2342" s="4" t="s">
        <v>27</v>
      </c>
      <c r="N2342" s="4" t="s">
        <v>27</v>
      </c>
    </row>
    <row r="2343" hidden="1">
      <c r="B2343" s="4" t="s">
        <v>27</v>
      </c>
      <c r="C2343" s="4" t="s">
        <v>27</v>
      </c>
      <c r="D2343" s="6" t="s">
        <v>27</v>
      </c>
      <c r="E2343" s="6" t="s">
        <v>27</v>
      </c>
      <c r="F2343" s="6" t="s">
        <v>27</v>
      </c>
      <c r="G2343" s="4" t="s">
        <v>27</v>
      </c>
      <c r="H2343" s="4" t="s">
        <v>27</v>
      </c>
      <c r="I2343" s="4" t="s">
        <v>27</v>
      </c>
      <c r="J2343" s="4" t="s">
        <v>27</v>
      </c>
      <c r="K2343" s="4" t="s">
        <v>27</v>
      </c>
      <c r="L2343" s="4" t="s">
        <v>27</v>
      </c>
      <c r="M2343" s="4" t="s">
        <v>27</v>
      </c>
      <c r="N2343" s="4" t="s">
        <v>27</v>
      </c>
    </row>
    <row r="2344" hidden="1">
      <c r="B2344" s="4" t="s">
        <v>27</v>
      </c>
      <c r="C2344" s="4" t="s">
        <v>27</v>
      </c>
      <c r="D2344" s="6" t="s">
        <v>27</v>
      </c>
      <c r="E2344" s="6" t="s">
        <v>27</v>
      </c>
      <c r="F2344" s="6" t="s">
        <v>27</v>
      </c>
      <c r="G2344" s="4" t="s">
        <v>27</v>
      </c>
      <c r="H2344" s="4" t="s">
        <v>27</v>
      </c>
      <c r="I2344" s="4" t="s">
        <v>27</v>
      </c>
      <c r="J2344" s="4" t="s">
        <v>27</v>
      </c>
      <c r="K2344" s="4" t="s">
        <v>27</v>
      </c>
      <c r="L2344" s="4" t="s">
        <v>27</v>
      </c>
      <c r="M2344" s="4" t="s">
        <v>27</v>
      </c>
      <c r="N2344" s="4" t="s">
        <v>27</v>
      </c>
    </row>
    <row r="2345" hidden="1">
      <c r="B2345" s="4" t="s">
        <v>27</v>
      </c>
      <c r="C2345" s="4" t="s">
        <v>27</v>
      </c>
      <c r="D2345" s="6" t="s">
        <v>27</v>
      </c>
      <c r="E2345" s="6" t="s">
        <v>27</v>
      </c>
      <c r="F2345" s="6" t="s">
        <v>27</v>
      </c>
      <c r="G2345" s="4" t="s">
        <v>27</v>
      </c>
      <c r="H2345" s="4" t="s">
        <v>27</v>
      </c>
      <c r="I2345" s="4" t="s">
        <v>27</v>
      </c>
      <c r="J2345" s="4" t="s">
        <v>27</v>
      </c>
      <c r="K2345" s="4" t="s">
        <v>27</v>
      </c>
      <c r="L2345" s="4" t="s">
        <v>27</v>
      </c>
      <c r="M2345" s="4" t="s">
        <v>27</v>
      </c>
      <c r="N2345" s="4" t="s">
        <v>27</v>
      </c>
    </row>
    <row r="2346" hidden="1">
      <c r="B2346" s="4" t="s">
        <v>27</v>
      </c>
      <c r="C2346" s="4" t="s">
        <v>27</v>
      </c>
      <c r="D2346" s="6" t="s">
        <v>27</v>
      </c>
      <c r="E2346" s="6" t="s">
        <v>27</v>
      </c>
      <c r="F2346" s="6" t="s">
        <v>27</v>
      </c>
      <c r="G2346" s="4" t="s">
        <v>27</v>
      </c>
      <c r="H2346" s="4" t="s">
        <v>27</v>
      </c>
      <c r="I2346" s="4" t="s">
        <v>27</v>
      </c>
      <c r="J2346" s="4" t="s">
        <v>27</v>
      </c>
      <c r="K2346" s="4" t="s">
        <v>27</v>
      </c>
      <c r="L2346" s="4" t="s">
        <v>27</v>
      </c>
      <c r="M2346" s="4" t="s">
        <v>27</v>
      </c>
      <c r="N2346" s="4" t="s">
        <v>27</v>
      </c>
    </row>
    <row r="2347" hidden="1">
      <c r="B2347" s="4" t="s">
        <v>27</v>
      </c>
      <c r="C2347" s="4" t="s">
        <v>27</v>
      </c>
      <c r="D2347" s="6" t="s">
        <v>27</v>
      </c>
      <c r="E2347" s="6" t="s">
        <v>27</v>
      </c>
      <c r="F2347" s="6" t="s">
        <v>27</v>
      </c>
      <c r="G2347" s="4" t="s">
        <v>27</v>
      </c>
      <c r="H2347" s="4" t="s">
        <v>27</v>
      </c>
      <c r="I2347" s="4" t="s">
        <v>27</v>
      </c>
      <c r="J2347" s="4" t="s">
        <v>27</v>
      </c>
      <c r="K2347" s="4" t="s">
        <v>27</v>
      </c>
      <c r="L2347" s="4" t="s">
        <v>27</v>
      </c>
      <c r="M2347" s="4" t="s">
        <v>27</v>
      </c>
      <c r="N2347" s="4" t="s">
        <v>27</v>
      </c>
    </row>
    <row r="2348" hidden="1">
      <c r="B2348" s="4" t="s">
        <v>27</v>
      </c>
      <c r="C2348" s="4" t="s">
        <v>27</v>
      </c>
      <c r="D2348" s="6" t="s">
        <v>27</v>
      </c>
      <c r="E2348" s="6" t="s">
        <v>27</v>
      </c>
      <c r="F2348" s="6" t="s">
        <v>27</v>
      </c>
      <c r="G2348" s="4" t="s">
        <v>27</v>
      </c>
      <c r="H2348" s="4" t="s">
        <v>27</v>
      </c>
      <c r="I2348" s="4" t="s">
        <v>27</v>
      </c>
      <c r="J2348" s="4" t="s">
        <v>27</v>
      </c>
      <c r="K2348" s="4" t="s">
        <v>27</v>
      </c>
      <c r="L2348" s="4" t="s">
        <v>27</v>
      </c>
      <c r="M2348" s="4" t="s">
        <v>27</v>
      </c>
      <c r="N2348" s="4" t="s">
        <v>27</v>
      </c>
    </row>
    <row r="2349" hidden="1">
      <c r="B2349" s="4" t="s">
        <v>27</v>
      </c>
      <c r="C2349" s="4" t="s">
        <v>27</v>
      </c>
      <c r="D2349" s="6" t="s">
        <v>27</v>
      </c>
      <c r="E2349" s="6" t="s">
        <v>27</v>
      </c>
      <c r="F2349" s="6" t="s">
        <v>27</v>
      </c>
      <c r="G2349" s="4" t="s">
        <v>27</v>
      </c>
      <c r="H2349" s="4" t="s">
        <v>27</v>
      </c>
      <c r="I2349" s="4" t="s">
        <v>27</v>
      </c>
      <c r="J2349" s="4" t="s">
        <v>27</v>
      </c>
      <c r="K2349" s="4" t="s">
        <v>27</v>
      </c>
      <c r="L2349" s="4" t="s">
        <v>27</v>
      </c>
      <c r="M2349" s="4" t="s">
        <v>27</v>
      </c>
      <c r="N2349" s="4" t="s">
        <v>27</v>
      </c>
    </row>
    <row r="2350" hidden="1">
      <c r="B2350" s="4" t="s">
        <v>27</v>
      </c>
      <c r="C2350" s="4" t="s">
        <v>27</v>
      </c>
      <c r="D2350" s="6" t="s">
        <v>27</v>
      </c>
      <c r="E2350" s="6" t="s">
        <v>27</v>
      </c>
      <c r="F2350" s="6" t="s">
        <v>27</v>
      </c>
      <c r="G2350" s="4" t="s">
        <v>27</v>
      </c>
      <c r="H2350" s="4" t="s">
        <v>27</v>
      </c>
      <c r="I2350" s="4" t="s">
        <v>27</v>
      </c>
      <c r="J2350" s="4" t="s">
        <v>27</v>
      </c>
      <c r="K2350" s="4" t="s">
        <v>27</v>
      </c>
      <c r="L2350" s="4" t="s">
        <v>27</v>
      </c>
      <c r="M2350" s="4" t="s">
        <v>27</v>
      </c>
      <c r="N2350" s="4" t="s">
        <v>27</v>
      </c>
    </row>
    <row r="2351" hidden="1">
      <c r="B2351" s="4" t="s">
        <v>27</v>
      </c>
      <c r="C2351" s="4" t="s">
        <v>27</v>
      </c>
      <c r="D2351" s="6" t="s">
        <v>27</v>
      </c>
      <c r="E2351" s="6" t="s">
        <v>27</v>
      </c>
      <c r="F2351" s="6" t="s">
        <v>27</v>
      </c>
      <c r="G2351" s="4" t="s">
        <v>27</v>
      </c>
      <c r="H2351" s="4" t="s">
        <v>27</v>
      </c>
      <c r="I2351" s="4" t="s">
        <v>27</v>
      </c>
      <c r="J2351" s="4" t="s">
        <v>27</v>
      </c>
      <c r="K2351" s="4" t="s">
        <v>27</v>
      </c>
      <c r="L2351" s="4" t="s">
        <v>27</v>
      </c>
      <c r="M2351" s="4" t="s">
        <v>27</v>
      </c>
      <c r="N2351" s="4" t="s">
        <v>27</v>
      </c>
    </row>
    <row r="2352" hidden="1">
      <c r="B2352" s="4" t="s">
        <v>27</v>
      </c>
      <c r="C2352" s="4" t="s">
        <v>27</v>
      </c>
      <c r="D2352" s="6" t="s">
        <v>27</v>
      </c>
      <c r="E2352" s="6" t="s">
        <v>27</v>
      </c>
      <c r="F2352" s="6" t="s">
        <v>27</v>
      </c>
      <c r="G2352" s="4" t="s">
        <v>27</v>
      </c>
      <c r="H2352" s="4" t="s">
        <v>27</v>
      </c>
      <c r="I2352" s="4" t="s">
        <v>27</v>
      </c>
      <c r="J2352" s="4" t="s">
        <v>27</v>
      </c>
      <c r="K2352" s="4" t="s">
        <v>27</v>
      </c>
      <c r="L2352" s="4" t="s">
        <v>27</v>
      </c>
      <c r="M2352" s="4" t="s">
        <v>27</v>
      </c>
      <c r="N2352" s="4" t="s">
        <v>27</v>
      </c>
    </row>
    <row r="2353" hidden="1">
      <c r="B2353" s="4" t="s">
        <v>27</v>
      </c>
      <c r="C2353" s="4" t="s">
        <v>27</v>
      </c>
      <c r="D2353" s="6" t="s">
        <v>27</v>
      </c>
      <c r="E2353" s="6" t="s">
        <v>27</v>
      </c>
      <c r="F2353" s="6" t="s">
        <v>27</v>
      </c>
      <c r="G2353" s="4" t="s">
        <v>27</v>
      </c>
      <c r="H2353" s="4" t="s">
        <v>27</v>
      </c>
      <c r="I2353" s="4" t="s">
        <v>27</v>
      </c>
      <c r="J2353" s="4" t="s">
        <v>27</v>
      </c>
      <c r="K2353" s="4" t="s">
        <v>27</v>
      </c>
      <c r="L2353" s="4" t="s">
        <v>27</v>
      </c>
      <c r="M2353" s="4" t="s">
        <v>27</v>
      </c>
      <c r="N2353" s="4" t="s">
        <v>27</v>
      </c>
    </row>
    <row r="2354" hidden="1">
      <c r="B2354" s="4" t="s">
        <v>27</v>
      </c>
      <c r="C2354" s="4" t="s">
        <v>27</v>
      </c>
      <c r="D2354" s="6" t="s">
        <v>27</v>
      </c>
      <c r="E2354" s="6" t="s">
        <v>27</v>
      </c>
      <c r="F2354" s="6" t="s">
        <v>27</v>
      </c>
      <c r="G2354" s="4" t="s">
        <v>27</v>
      </c>
      <c r="H2354" s="4" t="s">
        <v>27</v>
      </c>
      <c r="I2354" s="4" t="s">
        <v>27</v>
      </c>
      <c r="J2354" s="4" t="s">
        <v>27</v>
      </c>
      <c r="K2354" s="4" t="s">
        <v>27</v>
      </c>
      <c r="L2354" s="4" t="s">
        <v>27</v>
      </c>
      <c r="M2354" s="4" t="s">
        <v>27</v>
      </c>
      <c r="N2354" s="4" t="s">
        <v>27</v>
      </c>
    </row>
    <row r="2355" hidden="1">
      <c r="B2355" s="4" t="s">
        <v>27</v>
      </c>
      <c r="C2355" s="4" t="s">
        <v>27</v>
      </c>
      <c r="D2355" s="6" t="s">
        <v>27</v>
      </c>
      <c r="E2355" s="6" t="s">
        <v>27</v>
      </c>
      <c r="F2355" s="6" t="s">
        <v>27</v>
      </c>
      <c r="G2355" s="4" t="s">
        <v>27</v>
      </c>
      <c r="H2355" s="4" t="s">
        <v>27</v>
      </c>
      <c r="I2355" s="4" t="s">
        <v>27</v>
      </c>
      <c r="J2355" s="4" t="s">
        <v>27</v>
      </c>
      <c r="K2355" s="4" t="s">
        <v>27</v>
      </c>
      <c r="L2355" s="4" t="s">
        <v>27</v>
      </c>
      <c r="M2355" s="4" t="s">
        <v>27</v>
      </c>
      <c r="N2355" s="4" t="s">
        <v>27</v>
      </c>
    </row>
    <row r="2356" hidden="1">
      <c r="B2356" s="4" t="s">
        <v>27</v>
      </c>
      <c r="C2356" s="4" t="s">
        <v>27</v>
      </c>
      <c r="D2356" s="6" t="s">
        <v>27</v>
      </c>
      <c r="E2356" s="6" t="s">
        <v>27</v>
      </c>
      <c r="F2356" s="6" t="s">
        <v>27</v>
      </c>
      <c r="G2356" s="4" t="s">
        <v>27</v>
      </c>
      <c r="H2356" s="4" t="s">
        <v>27</v>
      </c>
      <c r="I2356" s="4" t="s">
        <v>27</v>
      </c>
      <c r="J2356" s="4" t="s">
        <v>27</v>
      </c>
      <c r="K2356" s="4" t="s">
        <v>27</v>
      </c>
      <c r="L2356" s="4" t="s">
        <v>27</v>
      </c>
      <c r="M2356" s="4" t="s">
        <v>27</v>
      </c>
      <c r="N2356" s="4" t="s">
        <v>27</v>
      </c>
    </row>
    <row r="2357" hidden="1">
      <c r="B2357" s="4" t="s">
        <v>27</v>
      </c>
      <c r="C2357" s="4" t="s">
        <v>27</v>
      </c>
      <c r="D2357" s="6" t="s">
        <v>27</v>
      </c>
      <c r="E2357" s="6" t="s">
        <v>27</v>
      </c>
      <c r="F2357" s="6" t="s">
        <v>27</v>
      </c>
      <c r="G2357" s="4" t="s">
        <v>27</v>
      </c>
      <c r="H2357" s="4" t="s">
        <v>27</v>
      </c>
      <c r="I2357" s="4" t="s">
        <v>27</v>
      </c>
      <c r="J2357" s="4" t="s">
        <v>27</v>
      </c>
      <c r="K2357" s="4" t="s">
        <v>27</v>
      </c>
      <c r="L2357" s="4" t="s">
        <v>27</v>
      </c>
      <c r="M2357" s="4" t="s">
        <v>27</v>
      </c>
      <c r="N2357" s="4" t="s">
        <v>27</v>
      </c>
    </row>
    <row r="2358" hidden="1">
      <c r="B2358" s="4" t="s">
        <v>27</v>
      </c>
      <c r="C2358" s="4" t="s">
        <v>27</v>
      </c>
      <c r="D2358" s="6" t="s">
        <v>27</v>
      </c>
      <c r="E2358" s="6" t="s">
        <v>27</v>
      </c>
      <c r="F2358" s="6" t="s">
        <v>27</v>
      </c>
      <c r="G2358" s="4" t="s">
        <v>27</v>
      </c>
      <c r="H2358" s="4" t="s">
        <v>27</v>
      </c>
      <c r="I2358" s="4" t="s">
        <v>27</v>
      </c>
      <c r="J2358" s="4" t="s">
        <v>27</v>
      </c>
      <c r="K2358" s="4" t="s">
        <v>27</v>
      </c>
      <c r="L2358" s="4" t="s">
        <v>27</v>
      </c>
      <c r="M2358" s="4" t="s">
        <v>27</v>
      </c>
      <c r="N2358" s="4" t="s">
        <v>27</v>
      </c>
    </row>
    <row r="2359" hidden="1">
      <c r="B2359" s="4" t="s">
        <v>27</v>
      </c>
      <c r="C2359" s="4" t="s">
        <v>27</v>
      </c>
      <c r="D2359" s="6" t="s">
        <v>27</v>
      </c>
      <c r="E2359" s="6" t="s">
        <v>27</v>
      </c>
      <c r="F2359" s="6" t="s">
        <v>27</v>
      </c>
      <c r="G2359" s="4" t="s">
        <v>27</v>
      </c>
      <c r="H2359" s="4" t="s">
        <v>27</v>
      </c>
      <c r="I2359" s="4" t="s">
        <v>27</v>
      </c>
      <c r="J2359" s="4" t="s">
        <v>27</v>
      </c>
      <c r="K2359" s="4" t="s">
        <v>27</v>
      </c>
      <c r="L2359" s="4" t="s">
        <v>27</v>
      </c>
      <c r="M2359" s="4" t="s">
        <v>27</v>
      </c>
      <c r="N2359" s="4" t="s">
        <v>27</v>
      </c>
    </row>
    <row r="2360" hidden="1">
      <c r="B2360" s="4" t="s">
        <v>27</v>
      </c>
      <c r="C2360" s="4" t="s">
        <v>27</v>
      </c>
      <c r="D2360" s="6" t="s">
        <v>27</v>
      </c>
      <c r="E2360" s="6" t="s">
        <v>27</v>
      </c>
      <c r="F2360" s="6" t="s">
        <v>27</v>
      </c>
      <c r="G2360" s="4" t="s">
        <v>27</v>
      </c>
      <c r="H2360" s="4" t="s">
        <v>27</v>
      </c>
      <c r="I2360" s="4" t="s">
        <v>27</v>
      </c>
      <c r="J2360" s="4" t="s">
        <v>27</v>
      </c>
      <c r="K2360" s="4" t="s">
        <v>27</v>
      </c>
      <c r="L2360" s="4" t="s">
        <v>27</v>
      </c>
      <c r="M2360" s="4" t="s">
        <v>27</v>
      </c>
      <c r="N2360" s="4" t="s">
        <v>27</v>
      </c>
    </row>
    <row r="2361" hidden="1">
      <c r="B2361" s="4" t="s">
        <v>27</v>
      </c>
      <c r="C2361" s="4" t="s">
        <v>27</v>
      </c>
      <c r="D2361" s="6" t="s">
        <v>27</v>
      </c>
      <c r="E2361" s="6" t="s">
        <v>27</v>
      </c>
      <c r="F2361" s="6" t="s">
        <v>27</v>
      </c>
      <c r="G2361" s="4" t="s">
        <v>27</v>
      </c>
      <c r="H2361" s="4" t="s">
        <v>27</v>
      </c>
      <c r="I2361" s="4" t="s">
        <v>27</v>
      </c>
      <c r="J2361" s="4" t="s">
        <v>27</v>
      </c>
      <c r="K2361" s="4" t="s">
        <v>27</v>
      </c>
      <c r="L2361" s="4" t="s">
        <v>27</v>
      </c>
      <c r="M2361" s="4" t="s">
        <v>27</v>
      </c>
      <c r="N2361" s="4" t="s">
        <v>27</v>
      </c>
    </row>
    <row r="2362" hidden="1">
      <c r="B2362" s="4" t="s">
        <v>27</v>
      </c>
      <c r="C2362" s="4" t="s">
        <v>27</v>
      </c>
      <c r="D2362" s="6" t="s">
        <v>27</v>
      </c>
      <c r="E2362" s="6" t="s">
        <v>27</v>
      </c>
      <c r="F2362" s="6" t="s">
        <v>27</v>
      </c>
      <c r="G2362" s="4" t="s">
        <v>27</v>
      </c>
      <c r="H2362" s="4" t="s">
        <v>27</v>
      </c>
      <c r="I2362" s="4" t="s">
        <v>27</v>
      </c>
      <c r="J2362" s="4" t="s">
        <v>27</v>
      </c>
      <c r="K2362" s="4" t="s">
        <v>27</v>
      </c>
      <c r="L2362" s="4" t="s">
        <v>27</v>
      </c>
      <c r="M2362" s="4" t="s">
        <v>27</v>
      </c>
      <c r="N2362" s="4" t="s">
        <v>27</v>
      </c>
    </row>
    <row r="2363" hidden="1">
      <c r="B2363" s="4" t="s">
        <v>27</v>
      </c>
      <c r="C2363" s="4" t="s">
        <v>27</v>
      </c>
      <c r="D2363" s="6" t="s">
        <v>27</v>
      </c>
      <c r="E2363" s="6" t="s">
        <v>27</v>
      </c>
      <c r="F2363" s="6" t="s">
        <v>27</v>
      </c>
      <c r="G2363" s="4" t="s">
        <v>27</v>
      </c>
      <c r="H2363" s="4" t="s">
        <v>27</v>
      </c>
      <c r="I2363" s="4" t="s">
        <v>27</v>
      </c>
      <c r="J2363" s="4" t="s">
        <v>27</v>
      </c>
      <c r="K2363" s="4" t="s">
        <v>27</v>
      </c>
      <c r="L2363" s="4" t="s">
        <v>27</v>
      </c>
      <c r="M2363" s="4" t="s">
        <v>27</v>
      </c>
      <c r="N2363" s="4" t="s">
        <v>27</v>
      </c>
    </row>
    <row r="2364" hidden="1">
      <c r="B2364" s="4" t="s">
        <v>27</v>
      </c>
      <c r="C2364" s="4" t="s">
        <v>27</v>
      </c>
      <c r="D2364" s="6" t="s">
        <v>27</v>
      </c>
      <c r="E2364" s="6" t="s">
        <v>27</v>
      </c>
      <c r="F2364" s="6" t="s">
        <v>27</v>
      </c>
      <c r="G2364" s="4" t="s">
        <v>27</v>
      </c>
      <c r="H2364" s="4" t="s">
        <v>27</v>
      </c>
      <c r="I2364" s="4" t="s">
        <v>27</v>
      </c>
      <c r="J2364" s="4" t="s">
        <v>27</v>
      </c>
      <c r="K2364" s="4" t="s">
        <v>27</v>
      </c>
      <c r="L2364" s="4" t="s">
        <v>27</v>
      </c>
      <c r="M2364" s="4" t="s">
        <v>27</v>
      </c>
      <c r="N2364" s="4" t="s">
        <v>27</v>
      </c>
    </row>
    <row r="2365" hidden="1">
      <c r="B2365" s="4" t="s">
        <v>27</v>
      </c>
      <c r="C2365" s="4" t="s">
        <v>27</v>
      </c>
      <c r="D2365" s="6" t="s">
        <v>27</v>
      </c>
      <c r="E2365" s="6" t="s">
        <v>27</v>
      </c>
      <c r="F2365" s="6" t="s">
        <v>27</v>
      </c>
      <c r="G2365" s="4" t="s">
        <v>27</v>
      </c>
      <c r="H2365" s="4" t="s">
        <v>27</v>
      </c>
      <c r="I2365" s="4" t="s">
        <v>27</v>
      </c>
      <c r="J2365" s="4" t="s">
        <v>27</v>
      </c>
      <c r="K2365" s="4" t="s">
        <v>27</v>
      </c>
      <c r="L2365" s="4" t="s">
        <v>27</v>
      </c>
      <c r="M2365" s="4" t="s">
        <v>27</v>
      </c>
      <c r="N2365" s="4" t="s">
        <v>27</v>
      </c>
    </row>
    <row r="2366" hidden="1">
      <c r="B2366" s="4" t="s">
        <v>27</v>
      </c>
      <c r="C2366" s="4" t="s">
        <v>27</v>
      </c>
      <c r="D2366" s="6" t="s">
        <v>27</v>
      </c>
      <c r="E2366" s="6" t="s">
        <v>27</v>
      </c>
      <c r="F2366" s="6" t="s">
        <v>27</v>
      </c>
      <c r="G2366" s="4" t="s">
        <v>27</v>
      </c>
      <c r="H2366" s="4" t="s">
        <v>27</v>
      </c>
      <c r="I2366" s="4" t="s">
        <v>27</v>
      </c>
      <c r="J2366" s="4" t="s">
        <v>27</v>
      </c>
      <c r="K2366" s="4" t="s">
        <v>27</v>
      </c>
      <c r="L2366" s="4" t="s">
        <v>27</v>
      </c>
      <c r="M2366" s="4" t="s">
        <v>27</v>
      </c>
      <c r="N2366" s="4" t="s">
        <v>27</v>
      </c>
    </row>
    <row r="2367" hidden="1">
      <c r="B2367" s="4" t="s">
        <v>27</v>
      </c>
      <c r="C2367" s="4" t="s">
        <v>27</v>
      </c>
      <c r="D2367" s="6" t="s">
        <v>27</v>
      </c>
      <c r="E2367" s="6" t="s">
        <v>27</v>
      </c>
      <c r="F2367" s="6" t="s">
        <v>27</v>
      </c>
      <c r="G2367" s="4" t="s">
        <v>27</v>
      </c>
      <c r="H2367" s="4" t="s">
        <v>27</v>
      </c>
      <c r="I2367" s="4" t="s">
        <v>27</v>
      </c>
      <c r="J2367" s="4" t="s">
        <v>27</v>
      </c>
      <c r="K2367" s="4" t="s">
        <v>27</v>
      </c>
      <c r="L2367" s="4" t="s">
        <v>27</v>
      </c>
      <c r="M2367" s="4" t="s">
        <v>27</v>
      </c>
      <c r="N2367" s="4" t="s">
        <v>27</v>
      </c>
    </row>
    <row r="2368" hidden="1">
      <c r="B2368" s="4" t="s">
        <v>27</v>
      </c>
      <c r="C2368" s="4" t="s">
        <v>27</v>
      </c>
      <c r="D2368" s="6" t="s">
        <v>27</v>
      </c>
      <c r="E2368" s="6" t="s">
        <v>27</v>
      </c>
      <c r="F2368" s="6" t="s">
        <v>27</v>
      </c>
      <c r="G2368" s="4" t="s">
        <v>27</v>
      </c>
      <c r="H2368" s="4" t="s">
        <v>27</v>
      </c>
      <c r="I2368" s="4" t="s">
        <v>27</v>
      </c>
      <c r="J2368" s="4" t="s">
        <v>27</v>
      </c>
      <c r="K2368" s="4" t="s">
        <v>27</v>
      </c>
      <c r="L2368" s="4" t="s">
        <v>27</v>
      </c>
      <c r="M2368" s="4" t="s">
        <v>27</v>
      </c>
      <c r="N2368" s="4" t="s">
        <v>27</v>
      </c>
    </row>
    <row r="2369" hidden="1">
      <c r="B2369" s="4" t="s">
        <v>27</v>
      </c>
      <c r="C2369" s="4" t="s">
        <v>27</v>
      </c>
      <c r="D2369" s="6" t="s">
        <v>27</v>
      </c>
      <c r="E2369" s="6" t="s">
        <v>27</v>
      </c>
      <c r="F2369" s="6" t="s">
        <v>27</v>
      </c>
      <c r="G2369" s="4" t="s">
        <v>27</v>
      </c>
      <c r="H2369" s="4" t="s">
        <v>27</v>
      </c>
      <c r="I2369" s="4" t="s">
        <v>27</v>
      </c>
      <c r="J2369" s="4" t="s">
        <v>27</v>
      </c>
      <c r="K2369" s="4" t="s">
        <v>27</v>
      </c>
      <c r="L2369" s="4" t="s">
        <v>27</v>
      </c>
      <c r="M2369" s="4" t="s">
        <v>27</v>
      </c>
      <c r="N2369" s="4" t="s">
        <v>27</v>
      </c>
    </row>
    <row r="2370" hidden="1">
      <c r="B2370" s="4" t="s">
        <v>27</v>
      </c>
      <c r="C2370" s="4" t="s">
        <v>27</v>
      </c>
      <c r="D2370" s="6" t="s">
        <v>27</v>
      </c>
      <c r="E2370" s="6" t="s">
        <v>27</v>
      </c>
      <c r="F2370" s="6" t="s">
        <v>27</v>
      </c>
      <c r="G2370" s="4" t="s">
        <v>27</v>
      </c>
      <c r="H2370" s="4" t="s">
        <v>27</v>
      </c>
      <c r="I2370" s="4" t="s">
        <v>27</v>
      </c>
      <c r="J2370" s="4" t="s">
        <v>27</v>
      </c>
      <c r="K2370" s="4" t="s">
        <v>27</v>
      </c>
      <c r="L2370" s="4" t="s">
        <v>27</v>
      </c>
      <c r="M2370" s="4" t="s">
        <v>27</v>
      </c>
      <c r="N2370" s="4" t="s">
        <v>27</v>
      </c>
    </row>
    <row r="2371" hidden="1">
      <c r="B2371" s="4" t="s">
        <v>27</v>
      </c>
      <c r="C2371" s="4" t="s">
        <v>27</v>
      </c>
      <c r="D2371" s="6" t="s">
        <v>27</v>
      </c>
      <c r="E2371" s="6" t="s">
        <v>27</v>
      </c>
      <c r="F2371" s="6" t="s">
        <v>27</v>
      </c>
      <c r="G2371" s="4" t="s">
        <v>27</v>
      </c>
      <c r="H2371" s="4" t="s">
        <v>27</v>
      </c>
      <c r="I2371" s="4" t="s">
        <v>27</v>
      </c>
      <c r="J2371" s="4" t="s">
        <v>27</v>
      </c>
      <c r="K2371" s="4" t="s">
        <v>27</v>
      </c>
      <c r="L2371" s="4" t="s">
        <v>27</v>
      </c>
      <c r="M2371" s="4" t="s">
        <v>27</v>
      </c>
      <c r="N2371" s="4" t="s">
        <v>27</v>
      </c>
    </row>
    <row r="2372" hidden="1">
      <c r="B2372" s="4" t="s">
        <v>27</v>
      </c>
      <c r="C2372" s="4" t="s">
        <v>27</v>
      </c>
      <c r="D2372" s="6" t="s">
        <v>27</v>
      </c>
      <c r="E2372" s="6" t="s">
        <v>27</v>
      </c>
      <c r="F2372" s="6" t="s">
        <v>27</v>
      </c>
      <c r="G2372" s="4" t="s">
        <v>27</v>
      </c>
      <c r="H2372" s="4" t="s">
        <v>27</v>
      </c>
      <c r="I2372" s="4" t="s">
        <v>27</v>
      </c>
      <c r="J2372" s="4" t="s">
        <v>27</v>
      </c>
      <c r="K2372" s="4" t="s">
        <v>27</v>
      </c>
      <c r="L2372" s="4" t="s">
        <v>27</v>
      </c>
      <c r="M2372" s="4" t="s">
        <v>27</v>
      </c>
      <c r="N2372" s="4" t="s">
        <v>27</v>
      </c>
    </row>
    <row r="2373" hidden="1">
      <c r="B2373" s="4" t="s">
        <v>27</v>
      </c>
      <c r="C2373" s="4" t="s">
        <v>27</v>
      </c>
      <c r="D2373" s="6" t="s">
        <v>27</v>
      </c>
      <c r="E2373" s="6" t="s">
        <v>27</v>
      </c>
      <c r="F2373" s="6" t="s">
        <v>27</v>
      </c>
      <c r="G2373" s="4" t="s">
        <v>27</v>
      </c>
      <c r="H2373" s="4" t="s">
        <v>27</v>
      </c>
      <c r="I2373" s="4" t="s">
        <v>27</v>
      </c>
      <c r="J2373" s="4" t="s">
        <v>27</v>
      </c>
      <c r="K2373" s="4" t="s">
        <v>27</v>
      </c>
      <c r="L2373" s="4" t="s">
        <v>27</v>
      </c>
      <c r="M2373" s="4" t="s">
        <v>27</v>
      </c>
      <c r="N2373" s="4" t="s">
        <v>27</v>
      </c>
    </row>
    <row r="2374" hidden="1">
      <c r="B2374" s="4" t="s">
        <v>27</v>
      </c>
      <c r="C2374" s="4" t="s">
        <v>27</v>
      </c>
      <c r="D2374" s="6" t="s">
        <v>27</v>
      </c>
      <c r="E2374" s="6" t="s">
        <v>27</v>
      </c>
      <c r="F2374" s="6" t="s">
        <v>27</v>
      </c>
      <c r="G2374" s="4" t="s">
        <v>27</v>
      </c>
      <c r="H2374" s="4" t="s">
        <v>27</v>
      </c>
      <c r="I2374" s="4" t="s">
        <v>27</v>
      </c>
      <c r="J2374" s="4" t="s">
        <v>27</v>
      </c>
      <c r="K2374" s="4" t="s">
        <v>27</v>
      </c>
      <c r="L2374" s="4" t="s">
        <v>27</v>
      </c>
      <c r="M2374" s="4" t="s">
        <v>27</v>
      </c>
      <c r="N2374" s="4" t="s">
        <v>27</v>
      </c>
    </row>
    <row r="2375" hidden="1">
      <c r="B2375" s="4" t="s">
        <v>27</v>
      </c>
      <c r="C2375" s="4" t="s">
        <v>27</v>
      </c>
      <c r="D2375" s="6" t="s">
        <v>27</v>
      </c>
      <c r="E2375" s="6" t="s">
        <v>27</v>
      </c>
      <c r="F2375" s="6" t="s">
        <v>27</v>
      </c>
      <c r="G2375" s="4" t="s">
        <v>27</v>
      </c>
      <c r="H2375" s="4" t="s">
        <v>27</v>
      </c>
      <c r="I2375" s="4" t="s">
        <v>27</v>
      </c>
      <c r="J2375" s="4" t="s">
        <v>27</v>
      </c>
      <c r="K2375" s="4" t="s">
        <v>27</v>
      </c>
      <c r="L2375" s="4" t="s">
        <v>27</v>
      </c>
      <c r="M2375" s="4" t="s">
        <v>27</v>
      </c>
      <c r="N2375" s="4" t="s">
        <v>27</v>
      </c>
    </row>
    <row r="2376" hidden="1">
      <c r="B2376" s="4" t="s">
        <v>27</v>
      </c>
      <c r="C2376" s="4" t="s">
        <v>27</v>
      </c>
      <c r="D2376" s="6" t="s">
        <v>27</v>
      </c>
      <c r="E2376" s="6" t="s">
        <v>27</v>
      </c>
      <c r="F2376" s="6" t="s">
        <v>27</v>
      </c>
      <c r="G2376" s="4" t="s">
        <v>27</v>
      </c>
      <c r="H2376" s="4" t="s">
        <v>27</v>
      </c>
      <c r="I2376" s="4" t="s">
        <v>27</v>
      </c>
      <c r="J2376" s="4" t="s">
        <v>27</v>
      </c>
      <c r="K2376" s="4" t="s">
        <v>27</v>
      </c>
      <c r="L2376" s="4" t="s">
        <v>27</v>
      </c>
      <c r="M2376" s="4" t="s">
        <v>27</v>
      </c>
      <c r="N2376" s="4" t="s">
        <v>27</v>
      </c>
    </row>
    <row r="2377" hidden="1">
      <c r="B2377" s="4" t="s">
        <v>27</v>
      </c>
      <c r="C2377" s="4" t="s">
        <v>27</v>
      </c>
      <c r="D2377" s="6" t="s">
        <v>27</v>
      </c>
      <c r="E2377" s="6" t="s">
        <v>27</v>
      </c>
      <c r="F2377" s="6" t="s">
        <v>27</v>
      </c>
      <c r="G2377" s="4" t="s">
        <v>27</v>
      </c>
      <c r="H2377" s="4" t="s">
        <v>27</v>
      </c>
      <c r="I2377" s="4" t="s">
        <v>27</v>
      </c>
      <c r="J2377" s="4" t="s">
        <v>27</v>
      </c>
      <c r="K2377" s="4" t="s">
        <v>27</v>
      </c>
      <c r="L2377" s="4" t="s">
        <v>27</v>
      </c>
      <c r="M2377" s="4" t="s">
        <v>27</v>
      </c>
      <c r="N2377" s="4" t="s">
        <v>27</v>
      </c>
    </row>
    <row r="2378" hidden="1">
      <c r="B2378" s="4" t="s">
        <v>27</v>
      </c>
      <c r="C2378" s="4" t="s">
        <v>27</v>
      </c>
      <c r="D2378" s="6" t="s">
        <v>27</v>
      </c>
      <c r="E2378" s="6" t="s">
        <v>27</v>
      </c>
      <c r="F2378" s="6" t="s">
        <v>27</v>
      </c>
      <c r="G2378" s="4" t="s">
        <v>27</v>
      </c>
      <c r="H2378" s="4" t="s">
        <v>27</v>
      </c>
      <c r="I2378" s="4" t="s">
        <v>27</v>
      </c>
      <c r="J2378" s="4" t="s">
        <v>27</v>
      </c>
      <c r="K2378" s="4" t="s">
        <v>27</v>
      </c>
      <c r="L2378" s="4" t="s">
        <v>27</v>
      </c>
      <c r="M2378" s="4" t="s">
        <v>27</v>
      </c>
      <c r="N2378" s="4" t="s">
        <v>27</v>
      </c>
    </row>
    <row r="2379" hidden="1">
      <c r="B2379" s="4" t="s">
        <v>27</v>
      </c>
      <c r="C2379" s="4" t="s">
        <v>27</v>
      </c>
      <c r="D2379" s="6" t="s">
        <v>27</v>
      </c>
      <c r="E2379" s="6" t="s">
        <v>27</v>
      </c>
      <c r="F2379" s="6" t="s">
        <v>27</v>
      </c>
      <c r="G2379" s="4" t="s">
        <v>27</v>
      </c>
      <c r="H2379" s="4" t="s">
        <v>27</v>
      </c>
      <c r="I2379" s="4" t="s">
        <v>27</v>
      </c>
      <c r="J2379" s="4" t="s">
        <v>27</v>
      </c>
      <c r="K2379" s="4" t="s">
        <v>27</v>
      </c>
      <c r="L2379" s="4" t="s">
        <v>27</v>
      </c>
      <c r="M2379" s="4" t="s">
        <v>27</v>
      </c>
      <c r="N2379" s="4" t="s">
        <v>27</v>
      </c>
    </row>
    <row r="2380" hidden="1">
      <c r="B2380" s="4" t="s">
        <v>27</v>
      </c>
      <c r="C2380" s="4" t="s">
        <v>27</v>
      </c>
      <c r="D2380" s="6" t="s">
        <v>27</v>
      </c>
      <c r="E2380" s="6" t="s">
        <v>27</v>
      </c>
      <c r="F2380" s="6" t="s">
        <v>27</v>
      </c>
      <c r="G2380" s="4" t="s">
        <v>27</v>
      </c>
      <c r="H2380" s="4" t="s">
        <v>27</v>
      </c>
      <c r="I2380" s="4" t="s">
        <v>27</v>
      </c>
      <c r="J2380" s="4" t="s">
        <v>27</v>
      </c>
      <c r="K2380" s="4" t="s">
        <v>27</v>
      </c>
      <c r="L2380" s="4" t="s">
        <v>27</v>
      </c>
      <c r="M2380" s="4" t="s">
        <v>27</v>
      </c>
      <c r="N2380" s="4" t="s">
        <v>27</v>
      </c>
    </row>
    <row r="2381" hidden="1">
      <c r="B2381" s="4" t="s">
        <v>27</v>
      </c>
      <c r="C2381" s="4" t="s">
        <v>27</v>
      </c>
      <c r="D2381" s="6" t="s">
        <v>27</v>
      </c>
      <c r="E2381" s="6" t="s">
        <v>27</v>
      </c>
      <c r="F2381" s="6" t="s">
        <v>27</v>
      </c>
      <c r="G2381" s="4" t="s">
        <v>27</v>
      </c>
      <c r="H2381" s="4" t="s">
        <v>27</v>
      </c>
      <c r="I2381" s="4" t="s">
        <v>27</v>
      </c>
      <c r="J2381" s="4" t="s">
        <v>27</v>
      </c>
      <c r="K2381" s="4" t="s">
        <v>27</v>
      </c>
      <c r="L2381" s="4" t="s">
        <v>27</v>
      </c>
      <c r="M2381" s="4" t="s">
        <v>27</v>
      </c>
      <c r="N2381" s="4" t="s">
        <v>27</v>
      </c>
    </row>
    <row r="2382" hidden="1">
      <c r="B2382" s="4" t="s">
        <v>27</v>
      </c>
      <c r="C2382" s="4" t="s">
        <v>27</v>
      </c>
      <c r="D2382" s="6" t="s">
        <v>27</v>
      </c>
      <c r="E2382" s="6" t="s">
        <v>27</v>
      </c>
      <c r="F2382" s="6" t="s">
        <v>27</v>
      </c>
      <c r="G2382" s="4" t="s">
        <v>27</v>
      </c>
      <c r="H2382" s="4" t="s">
        <v>27</v>
      </c>
      <c r="I2382" s="4" t="s">
        <v>27</v>
      </c>
      <c r="J2382" s="4" t="s">
        <v>27</v>
      </c>
      <c r="K2382" s="4" t="s">
        <v>27</v>
      </c>
      <c r="L2382" s="4" t="s">
        <v>27</v>
      </c>
      <c r="M2382" s="4" t="s">
        <v>27</v>
      </c>
      <c r="N2382" s="4" t="s">
        <v>27</v>
      </c>
    </row>
    <row r="2383" hidden="1">
      <c r="B2383" s="4" t="s">
        <v>27</v>
      </c>
      <c r="C2383" s="4" t="s">
        <v>27</v>
      </c>
      <c r="D2383" s="6" t="s">
        <v>27</v>
      </c>
      <c r="E2383" s="6" t="s">
        <v>27</v>
      </c>
      <c r="F2383" s="6" t="s">
        <v>27</v>
      </c>
      <c r="G2383" s="4" t="s">
        <v>27</v>
      </c>
      <c r="H2383" s="4" t="s">
        <v>27</v>
      </c>
      <c r="I2383" s="4" t="s">
        <v>27</v>
      </c>
      <c r="J2383" s="4" t="s">
        <v>27</v>
      </c>
      <c r="K2383" s="4" t="s">
        <v>27</v>
      </c>
      <c r="L2383" s="4" t="s">
        <v>27</v>
      </c>
      <c r="M2383" s="4" t="s">
        <v>27</v>
      </c>
      <c r="N2383" s="4" t="s">
        <v>27</v>
      </c>
    </row>
    <row r="2384" hidden="1">
      <c r="B2384" s="4" t="s">
        <v>27</v>
      </c>
      <c r="C2384" s="4" t="s">
        <v>27</v>
      </c>
      <c r="D2384" s="6" t="s">
        <v>27</v>
      </c>
      <c r="E2384" s="6" t="s">
        <v>27</v>
      </c>
      <c r="F2384" s="6" t="s">
        <v>27</v>
      </c>
      <c r="G2384" s="4" t="s">
        <v>27</v>
      </c>
      <c r="H2384" s="4" t="s">
        <v>27</v>
      </c>
      <c r="I2384" s="4" t="s">
        <v>27</v>
      </c>
      <c r="J2384" s="4" t="s">
        <v>27</v>
      </c>
      <c r="K2384" s="4" t="s">
        <v>27</v>
      </c>
      <c r="L2384" s="4" t="s">
        <v>27</v>
      </c>
      <c r="M2384" s="4" t="s">
        <v>27</v>
      </c>
      <c r="N2384" s="4" t="s">
        <v>27</v>
      </c>
    </row>
    <row r="2385" hidden="1">
      <c r="B2385" s="4" t="s">
        <v>27</v>
      </c>
      <c r="C2385" s="4" t="s">
        <v>27</v>
      </c>
      <c r="D2385" s="6" t="s">
        <v>27</v>
      </c>
      <c r="E2385" s="6" t="s">
        <v>27</v>
      </c>
      <c r="F2385" s="6" t="s">
        <v>27</v>
      </c>
      <c r="G2385" s="4" t="s">
        <v>27</v>
      </c>
      <c r="H2385" s="4" t="s">
        <v>27</v>
      </c>
      <c r="I2385" s="4" t="s">
        <v>27</v>
      </c>
      <c r="J2385" s="4" t="s">
        <v>27</v>
      </c>
      <c r="K2385" s="4" t="s">
        <v>27</v>
      </c>
      <c r="L2385" s="4" t="s">
        <v>27</v>
      </c>
      <c r="M2385" s="4" t="s">
        <v>27</v>
      </c>
      <c r="N2385" s="4" t="s">
        <v>27</v>
      </c>
    </row>
    <row r="2386" hidden="1">
      <c r="B2386" s="4" t="s">
        <v>27</v>
      </c>
      <c r="C2386" s="4" t="s">
        <v>27</v>
      </c>
      <c r="D2386" s="6" t="s">
        <v>27</v>
      </c>
      <c r="E2386" s="6" t="s">
        <v>27</v>
      </c>
      <c r="F2386" s="6" t="s">
        <v>27</v>
      </c>
      <c r="G2386" s="4" t="s">
        <v>27</v>
      </c>
      <c r="H2386" s="4" t="s">
        <v>27</v>
      </c>
      <c r="I2386" s="4" t="s">
        <v>27</v>
      </c>
      <c r="J2386" s="4" t="s">
        <v>27</v>
      </c>
      <c r="K2386" s="4" t="s">
        <v>27</v>
      </c>
      <c r="L2386" s="4" t="s">
        <v>27</v>
      </c>
      <c r="M2386" s="4" t="s">
        <v>27</v>
      </c>
      <c r="N2386" s="4" t="s">
        <v>27</v>
      </c>
    </row>
    <row r="2387" hidden="1">
      <c r="B2387" s="4" t="s">
        <v>27</v>
      </c>
      <c r="C2387" s="4" t="s">
        <v>27</v>
      </c>
      <c r="D2387" s="6" t="s">
        <v>27</v>
      </c>
      <c r="E2387" s="6" t="s">
        <v>27</v>
      </c>
      <c r="F2387" s="6" t="s">
        <v>27</v>
      </c>
      <c r="G2387" s="4" t="s">
        <v>27</v>
      </c>
      <c r="H2387" s="4" t="s">
        <v>27</v>
      </c>
      <c r="I2387" s="4" t="s">
        <v>27</v>
      </c>
      <c r="J2387" s="4" t="s">
        <v>27</v>
      </c>
      <c r="K2387" s="4" t="s">
        <v>27</v>
      </c>
      <c r="L2387" s="4" t="s">
        <v>27</v>
      </c>
      <c r="M2387" s="4" t="s">
        <v>27</v>
      </c>
      <c r="N2387" s="4" t="s">
        <v>27</v>
      </c>
    </row>
    <row r="2388" hidden="1">
      <c r="B2388" s="4" t="s">
        <v>27</v>
      </c>
      <c r="C2388" s="4" t="s">
        <v>27</v>
      </c>
      <c r="D2388" s="6" t="s">
        <v>27</v>
      </c>
      <c r="E2388" s="6" t="s">
        <v>27</v>
      </c>
      <c r="F2388" s="6" t="s">
        <v>27</v>
      </c>
      <c r="G2388" s="4" t="s">
        <v>27</v>
      </c>
      <c r="H2388" s="4" t="s">
        <v>27</v>
      </c>
      <c r="I2388" s="4" t="s">
        <v>27</v>
      </c>
      <c r="J2388" s="4" t="s">
        <v>27</v>
      </c>
      <c r="K2388" s="4" t="s">
        <v>27</v>
      </c>
      <c r="L2388" s="4" t="s">
        <v>27</v>
      </c>
      <c r="M2388" s="4" t="s">
        <v>27</v>
      </c>
      <c r="N2388" s="4" t="s">
        <v>27</v>
      </c>
    </row>
    <row r="2389" hidden="1">
      <c r="B2389" s="4" t="s">
        <v>27</v>
      </c>
      <c r="C2389" s="4" t="s">
        <v>27</v>
      </c>
      <c r="D2389" s="6" t="s">
        <v>27</v>
      </c>
      <c r="E2389" s="6" t="s">
        <v>27</v>
      </c>
      <c r="F2389" s="6" t="s">
        <v>27</v>
      </c>
      <c r="G2389" s="4" t="s">
        <v>27</v>
      </c>
      <c r="H2389" s="4" t="s">
        <v>27</v>
      </c>
      <c r="I2389" s="4" t="s">
        <v>27</v>
      </c>
      <c r="J2389" s="4" t="s">
        <v>27</v>
      </c>
      <c r="K2389" s="4" t="s">
        <v>27</v>
      </c>
      <c r="L2389" s="4" t="s">
        <v>27</v>
      </c>
      <c r="M2389" s="4" t="s">
        <v>27</v>
      </c>
      <c r="N2389" s="4" t="s">
        <v>27</v>
      </c>
    </row>
    <row r="2390" hidden="1">
      <c r="B2390" s="4" t="s">
        <v>27</v>
      </c>
      <c r="C2390" s="4" t="s">
        <v>27</v>
      </c>
      <c r="D2390" s="6" t="s">
        <v>27</v>
      </c>
      <c r="E2390" s="6" t="s">
        <v>27</v>
      </c>
      <c r="F2390" s="6" t="s">
        <v>27</v>
      </c>
      <c r="G2390" s="4" t="s">
        <v>27</v>
      </c>
      <c r="H2390" s="4" t="s">
        <v>27</v>
      </c>
      <c r="I2390" s="4" t="s">
        <v>27</v>
      </c>
      <c r="J2390" s="4" t="s">
        <v>27</v>
      </c>
      <c r="K2390" s="4" t="s">
        <v>27</v>
      </c>
      <c r="L2390" s="4" t="s">
        <v>27</v>
      </c>
      <c r="M2390" s="4" t="s">
        <v>27</v>
      </c>
      <c r="N2390" s="4" t="s">
        <v>27</v>
      </c>
    </row>
    <row r="2391" hidden="1">
      <c r="B2391" s="4" t="s">
        <v>27</v>
      </c>
      <c r="C2391" s="4" t="s">
        <v>27</v>
      </c>
      <c r="D2391" s="6" t="s">
        <v>27</v>
      </c>
      <c r="E2391" s="6" t="s">
        <v>27</v>
      </c>
      <c r="F2391" s="6" t="s">
        <v>27</v>
      </c>
      <c r="G2391" s="4" t="s">
        <v>27</v>
      </c>
      <c r="H2391" s="4" t="s">
        <v>27</v>
      </c>
      <c r="I2391" s="4" t="s">
        <v>27</v>
      </c>
      <c r="J2391" s="4" t="s">
        <v>27</v>
      </c>
      <c r="K2391" s="4" t="s">
        <v>27</v>
      </c>
      <c r="L2391" s="4" t="s">
        <v>27</v>
      </c>
      <c r="M2391" s="4" t="s">
        <v>27</v>
      </c>
      <c r="N2391" s="4" t="s">
        <v>27</v>
      </c>
    </row>
    <row r="2392" hidden="1">
      <c r="B2392" s="4" t="s">
        <v>27</v>
      </c>
      <c r="C2392" s="4" t="s">
        <v>27</v>
      </c>
      <c r="D2392" s="6" t="s">
        <v>27</v>
      </c>
      <c r="E2392" s="6" t="s">
        <v>27</v>
      </c>
      <c r="F2392" s="6" t="s">
        <v>27</v>
      </c>
      <c r="G2392" s="4" t="s">
        <v>27</v>
      </c>
      <c r="H2392" s="4" t="s">
        <v>27</v>
      </c>
      <c r="I2392" s="4" t="s">
        <v>27</v>
      </c>
      <c r="J2392" s="4" t="s">
        <v>27</v>
      </c>
      <c r="K2392" s="4" t="s">
        <v>27</v>
      </c>
      <c r="L2392" s="4" t="s">
        <v>27</v>
      </c>
      <c r="M2392" s="4" t="s">
        <v>27</v>
      </c>
      <c r="N2392" s="4" t="s">
        <v>27</v>
      </c>
    </row>
    <row r="2393" hidden="1">
      <c r="B2393" s="4" t="s">
        <v>27</v>
      </c>
      <c r="C2393" s="4" t="s">
        <v>27</v>
      </c>
      <c r="D2393" s="6" t="s">
        <v>27</v>
      </c>
      <c r="E2393" s="6" t="s">
        <v>27</v>
      </c>
      <c r="F2393" s="6" t="s">
        <v>27</v>
      </c>
      <c r="G2393" s="4" t="s">
        <v>27</v>
      </c>
      <c r="H2393" s="4" t="s">
        <v>27</v>
      </c>
      <c r="I2393" s="4" t="s">
        <v>27</v>
      </c>
      <c r="J2393" s="4" t="s">
        <v>27</v>
      </c>
      <c r="K2393" s="4" t="s">
        <v>27</v>
      </c>
      <c r="L2393" s="4" t="s">
        <v>27</v>
      </c>
      <c r="M2393" s="4" t="s">
        <v>27</v>
      </c>
      <c r="N2393" s="4" t="s">
        <v>27</v>
      </c>
    </row>
    <row r="2394" hidden="1">
      <c r="B2394" s="4" t="s">
        <v>27</v>
      </c>
      <c r="C2394" s="4" t="s">
        <v>27</v>
      </c>
      <c r="D2394" s="6" t="s">
        <v>27</v>
      </c>
      <c r="E2394" s="6" t="s">
        <v>27</v>
      </c>
      <c r="F2394" s="6" t="s">
        <v>27</v>
      </c>
      <c r="G2394" s="4" t="s">
        <v>27</v>
      </c>
      <c r="H2394" s="4" t="s">
        <v>27</v>
      </c>
      <c r="I2394" s="4" t="s">
        <v>27</v>
      </c>
      <c r="J2394" s="4" t="s">
        <v>27</v>
      </c>
      <c r="K2394" s="4" t="s">
        <v>27</v>
      </c>
      <c r="L2394" s="4" t="s">
        <v>27</v>
      </c>
      <c r="M2394" s="4" t="s">
        <v>27</v>
      </c>
      <c r="N2394" s="4" t="s">
        <v>27</v>
      </c>
    </row>
    <row r="2395" hidden="1">
      <c r="B2395" s="4" t="s">
        <v>27</v>
      </c>
      <c r="C2395" s="4" t="s">
        <v>27</v>
      </c>
      <c r="D2395" s="6" t="s">
        <v>27</v>
      </c>
      <c r="E2395" s="6" t="s">
        <v>27</v>
      </c>
      <c r="F2395" s="6" t="s">
        <v>27</v>
      </c>
      <c r="G2395" s="4" t="s">
        <v>27</v>
      </c>
      <c r="H2395" s="4" t="s">
        <v>27</v>
      </c>
      <c r="I2395" s="4" t="s">
        <v>27</v>
      </c>
      <c r="J2395" s="4" t="s">
        <v>27</v>
      </c>
      <c r="K2395" s="4" t="s">
        <v>27</v>
      </c>
      <c r="L2395" s="4" t="s">
        <v>27</v>
      </c>
      <c r="M2395" s="4" t="s">
        <v>27</v>
      </c>
      <c r="N2395" s="4" t="s">
        <v>27</v>
      </c>
    </row>
    <row r="2396" hidden="1">
      <c r="B2396" s="4" t="s">
        <v>27</v>
      </c>
      <c r="C2396" s="4" t="s">
        <v>27</v>
      </c>
      <c r="D2396" s="6" t="s">
        <v>27</v>
      </c>
      <c r="E2396" s="6" t="s">
        <v>27</v>
      </c>
      <c r="F2396" s="6" t="s">
        <v>27</v>
      </c>
      <c r="G2396" s="4" t="s">
        <v>27</v>
      </c>
      <c r="H2396" s="4" t="s">
        <v>27</v>
      </c>
      <c r="I2396" s="4" t="s">
        <v>27</v>
      </c>
      <c r="J2396" s="4" t="s">
        <v>27</v>
      </c>
      <c r="K2396" s="4" t="s">
        <v>27</v>
      </c>
      <c r="L2396" s="4" t="s">
        <v>27</v>
      </c>
      <c r="M2396" s="4" t="s">
        <v>27</v>
      </c>
      <c r="N2396" s="4" t="s">
        <v>27</v>
      </c>
    </row>
    <row r="2397" hidden="1">
      <c r="B2397" s="4" t="s">
        <v>27</v>
      </c>
      <c r="C2397" s="4" t="s">
        <v>27</v>
      </c>
      <c r="D2397" s="6" t="s">
        <v>27</v>
      </c>
      <c r="E2397" s="6" t="s">
        <v>27</v>
      </c>
      <c r="F2397" s="6" t="s">
        <v>27</v>
      </c>
      <c r="G2397" s="4" t="s">
        <v>27</v>
      </c>
      <c r="H2397" s="4" t="s">
        <v>27</v>
      </c>
      <c r="I2397" s="4" t="s">
        <v>27</v>
      </c>
      <c r="J2397" s="4" t="s">
        <v>27</v>
      </c>
      <c r="K2397" s="4" t="s">
        <v>27</v>
      </c>
      <c r="L2397" s="4" t="s">
        <v>27</v>
      </c>
      <c r="M2397" s="4" t="s">
        <v>27</v>
      </c>
      <c r="N2397" s="4" t="s">
        <v>27</v>
      </c>
    </row>
    <row r="2398" hidden="1">
      <c r="B2398" s="4" t="s">
        <v>27</v>
      </c>
      <c r="C2398" s="4" t="s">
        <v>27</v>
      </c>
      <c r="D2398" s="6" t="s">
        <v>27</v>
      </c>
      <c r="E2398" s="6" t="s">
        <v>27</v>
      </c>
      <c r="F2398" s="6" t="s">
        <v>27</v>
      </c>
      <c r="G2398" s="4" t="s">
        <v>27</v>
      </c>
      <c r="H2398" s="4" t="s">
        <v>27</v>
      </c>
      <c r="I2398" s="4" t="s">
        <v>27</v>
      </c>
      <c r="J2398" s="4" t="s">
        <v>27</v>
      </c>
      <c r="K2398" s="4" t="s">
        <v>27</v>
      </c>
      <c r="L2398" s="4" t="s">
        <v>27</v>
      </c>
      <c r="M2398" s="4" t="s">
        <v>27</v>
      </c>
      <c r="N2398" s="4" t="s">
        <v>27</v>
      </c>
    </row>
    <row r="2399" hidden="1">
      <c r="B2399" s="4" t="s">
        <v>27</v>
      </c>
      <c r="C2399" s="4" t="s">
        <v>27</v>
      </c>
      <c r="D2399" s="6" t="s">
        <v>27</v>
      </c>
      <c r="E2399" s="6" t="s">
        <v>27</v>
      </c>
      <c r="F2399" s="6" t="s">
        <v>27</v>
      </c>
      <c r="G2399" s="4" t="s">
        <v>27</v>
      </c>
      <c r="H2399" s="4" t="s">
        <v>27</v>
      </c>
      <c r="I2399" s="4" t="s">
        <v>27</v>
      </c>
      <c r="J2399" s="4" t="s">
        <v>27</v>
      </c>
      <c r="K2399" s="4" t="s">
        <v>27</v>
      </c>
      <c r="L2399" s="4" t="s">
        <v>27</v>
      </c>
      <c r="M2399" s="4" t="s">
        <v>27</v>
      </c>
      <c r="N2399" s="4" t="s">
        <v>27</v>
      </c>
    </row>
    <row r="2400" hidden="1">
      <c r="B2400" s="4" t="s">
        <v>27</v>
      </c>
      <c r="C2400" s="4" t="s">
        <v>27</v>
      </c>
      <c r="D2400" s="6" t="s">
        <v>27</v>
      </c>
      <c r="E2400" s="6" t="s">
        <v>27</v>
      </c>
      <c r="F2400" s="6" t="s">
        <v>27</v>
      </c>
      <c r="G2400" s="4" t="s">
        <v>27</v>
      </c>
      <c r="H2400" s="4" t="s">
        <v>27</v>
      </c>
      <c r="I2400" s="4" t="s">
        <v>27</v>
      </c>
      <c r="J2400" s="4" t="s">
        <v>27</v>
      </c>
      <c r="K2400" s="4" t="s">
        <v>27</v>
      </c>
      <c r="L2400" s="4" t="s">
        <v>27</v>
      </c>
      <c r="M2400" s="4" t="s">
        <v>27</v>
      </c>
      <c r="N2400" s="4" t="s">
        <v>27</v>
      </c>
    </row>
    <row r="2401" hidden="1">
      <c r="B2401" s="4" t="s">
        <v>27</v>
      </c>
      <c r="C2401" s="4" t="s">
        <v>27</v>
      </c>
      <c r="D2401" s="6" t="s">
        <v>27</v>
      </c>
      <c r="E2401" s="6" t="s">
        <v>27</v>
      </c>
      <c r="F2401" s="6" t="s">
        <v>27</v>
      </c>
      <c r="G2401" s="4" t="s">
        <v>27</v>
      </c>
      <c r="H2401" s="4" t="s">
        <v>27</v>
      </c>
      <c r="I2401" s="4" t="s">
        <v>27</v>
      </c>
      <c r="J2401" s="4" t="s">
        <v>27</v>
      </c>
      <c r="K2401" s="4" t="s">
        <v>27</v>
      </c>
      <c r="L2401" s="4" t="s">
        <v>27</v>
      </c>
      <c r="M2401" s="4" t="s">
        <v>27</v>
      </c>
      <c r="N2401" s="4" t="s">
        <v>27</v>
      </c>
    </row>
    <row r="2402" hidden="1">
      <c r="B2402" s="4" t="s">
        <v>27</v>
      </c>
      <c r="C2402" s="4" t="s">
        <v>27</v>
      </c>
      <c r="D2402" s="6" t="s">
        <v>27</v>
      </c>
      <c r="E2402" s="6" t="s">
        <v>27</v>
      </c>
      <c r="F2402" s="6" t="s">
        <v>27</v>
      </c>
      <c r="G2402" s="4" t="s">
        <v>27</v>
      </c>
      <c r="H2402" s="4" t="s">
        <v>27</v>
      </c>
      <c r="I2402" s="4" t="s">
        <v>27</v>
      </c>
      <c r="J2402" s="4" t="s">
        <v>27</v>
      </c>
      <c r="K2402" s="4" t="s">
        <v>27</v>
      </c>
      <c r="L2402" s="4" t="s">
        <v>27</v>
      </c>
      <c r="M2402" s="4" t="s">
        <v>27</v>
      </c>
      <c r="N2402" s="4" t="s">
        <v>27</v>
      </c>
    </row>
    <row r="2403" hidden="1">
      <c r="B2403" s="4" t="s">
        <v>27</v>
      </c>
      <c r="C2403" s="4" t="s">
        <v>27</v>
      </c>
      <c r="D2403" s="6" t="s">
        <v>27</v>
      </c>
      <c r="E2403" s="6" t="s">
        <v>27</v>
      </c>
      <c r="F2403" s="6" t="s">
        <v>27</v>
      </c>
      <c r="G2403" s="4" t="s">
        <v>27</v>
      </c>
      <c r="H2403" s="4" t="s">
        <v>27</v>
      </c>
      <c r="I2403" s="4" t="s">
        <v>27</v>
      </c>
      <c r="J2403" s="4" t="s">
        <v>27</v>
      </c>
      <c r="K2403" s="4" t="s">
        <v>27</v>
      </c>
      <c r="L2403" s="4" t="s">
        <v>27</v>
      </c>
      <c r="M2403" s="4" t="s">
        <v>27</v>
      </c>
      <c r="N2403" s="4" t="s">
        <v>27</v>
      </c>
    </row>
    <row r="2404" hidden="1">
      <c r="B2404" s="4" t="s">
        <v>27</v>
      </c>
      <c r="C2404" s="4" t="s">
        <v>27</v>
      </c>
      <c r="D2404" s="6" t="s">
        <v>27</v>
      </c>
      <c r="E2404" s="6" t="s">
        <v>27</v>
      </c>
      <c r="F2404" s="6" t="s">
        <v>27</v>
      </c>
      <c r="G2404" s="4" t="s">
        <v>27</v>
      </c>
      <c r="H2404" s="4" t="s">
        <v>27</v>
      </c>
      <c r="I2404" s="4" t="s">
        <v>27</v>
      </c>
      <c r="J2404" s="4" t="s">
        <v>27</v>
      </c>
      <c r="K2404" s="4" t="s">
        <v>27</v>
      </c>
      <c r="L2404" s="4" t="s">
        <v>27</v>
      </c>
      <c r="M2404" s="4" t="s">
        <v>27</v>
      </c>
      <c r="N2404" s="4" t="s">
        <v>27</v>
      </c>
    </row>
    <row r="2405" hidden="1">
      <c r="B2405" s="4" t="s">
        <v>27</v>
      </c>
      <c r="C2405" s="4" t="s">
        <v>27</v>
      </c>
      <c r="D2405" s="6" t="s">
        <v>27</v>
      </c>
      <c r="E2405" s="6" t="s">
        <v>27</v>
      </c>
      <c r="F2405" s="6" t="s">
        <v>27</v>
      </c>
      <c r="G2405" s="4" t="s">
        <v>27</v>
      </c>
      <c r="H2405" s="4" t="s">
        <v>27</v>
      </c>
      <c r="I2405" s="4" t="s">
        <v>27</v>
      </c>
      <c r="J2405" s="4" t="s">
        <v>27</v>
      </c>
      <c r="K2405" s="4" t="s">
        <v>27</v>
      </c>
      <c r="L2405" s="4" t="s">
        <v>27</v>
      </c>
      <c r="M2405" s="4" t="s">
        <v>27</v>
      </c>
      <c r="N2405" s="4" t="s">
        <v>27</v>
      </c>
    </row>
    <row r="2406" hidden="1">
      <c r="B2406" s="4" t="s">
        <v>27</v>
      </c>
      <c r="C2406" s="4" t="s">
        <v>27</v>
      </c>
      <c r="D2406" s="6" t="s">
        <v>27</v>
      </c>
      <c r="E2406" s="6" t="s">
        <v>27</v>
      </c>
      <c r="F2406" s="6" t="s">
        <v>27</v>
      </c>
      <c r="G2406" s="4" t="s">
        <v>27</v>
      </c>
      <c r="H2406" s="4" t="s">
        <v>27</v>
      </c>
      <c r="I2406" s="4" t="s">
        <v>27</v>
      </c>
      <c r="J2406" s="4" t="s">
        <v>27</v>
      </c>
      <c r="K2406" s="4" t="s">
        <v>27</v>
      </c>
      <c r="L2406" s="4" t="s">
        <v>27</v>
      </c>
      <c r="M2406" s="4" t="s">
        <v>27</v>
      </c>
      <c r="N2406" s="4" t="s">
        <v>27</v>
      </c>
    </row>
    <row r="2407" hidden="1">
      <c r="B2407" s="4" t="s">
        <v>27</v>
      </c>
      <c r="C2407" s="4" t="s">
        <v>27</v>
      </c>
      <c r="D2407" s="6" t="s">
        <v>27</v>
      </c>
      <c r="E2407" s="6" t="s">
        <v>27</v>
      </c>
      <c r="F2407" s="6" t="s">
        <v>27</v>
      </c>
      <c r="G2407" s="4" t="s">
        <v>27</v>
      </c>
      <c r="H2407" s="4" t="s">
        <v>27</v>
      </c>
      <c r="I2407" s="4" t="s">
        <v>27</v>
      </c>
      <c r="J2407" s="4" t="s">
        <v>27</v>
      </c>
      <c r="K2407" s="4" t="s">
        <v>27</v>
      </c>
      <c r="L2407" s="4" t="s">
        <v>27</v>
      </c>
      <c r="M2407" s="4" t="s">
        <v>27</v>
      </c>
      <c r="N2407" s="4" t="s">
        <v>27</v>
      </c>
    </row>
    <row r="2408" hidden="1">
      <c r="B2408" s="4" t="s">
        <v>27</v>
      </c>
      <c r="C2408" s="4" t="s">
        <v>27</v>
      </c>
      <c r="D2408" s="6" t="s">
        <v>27</v>
      </c>
      <c r="E2408" s="6" t="s">
        <v>27</v>
      </c>
      <c r="F2408" s="6" t="s">
        <v>27</v>
      </c>
      <c r="G2408" s="4" t="s">
        <v>27</v>
      </c>
      <c r="H2408" s="4" t="s">
        <v>27</v>
      </c>
      <c r="I2408" s="4" t="s">
        <v>27</v>
      </c>
      <c r="J2408" s="4" t="s">
        <v>27</v>
      </c>
      <c r="K2408" s="4" t="s">
        <v>27</v>
      </c>
      <c r="L2408" s="4" t="s">
        <v>27</v>
      </c>
      <c r="M2408" s="4" t="s">
        <v>27</v>
      </c>
      <c r="N2408" s="4" t="s">
        <v>27</v>
      </c>
    </row>
    <row r="2409" hidden="1">
      <c r="B2409" s="4" t="s">
        <v>27</v>
      </c>
      <c r="C2409" s="4" t="s">
        <v>27</v>
      </c>
      <c r="D2409" s="6" t="s">
        <v>27</v>
      </c>
      <c r="E2409" s="6" t="s">
        <v>27</v>
      </c>
      <c r="F2409" s="6" t="s">
        <v>27</v>
      </c>
      <c r="G2409" s="4" t="s">
        <v>27</v>
      </c>
      <c r="H2409" s="4" t="s">
        <v>27</v>
      </c>
      <c r="I2409" s="4" t="s">
        <v>27</v>
      </c>
      <c r="J2409" s="4" t="s">
        <v>27</v>
      </c>
      <c r="K2409" s="4" t="s">
        <v>27</v>
      </c>
      <c r="L2409" s="4" t="s">
        <v>27</v>
      </c>
      <c r="M2409" s="4" t="s">
        <v>27</v>
      </c>
      <c r="N2409" s="4" t="s">
        <v>27</v>
      </c>
    </row>
    <row r="2410" hidden="1">
      <c r="B2410" s="4" t="s">
        <v>27</v>
      </c>
      <c r="C2410" s="4" t="s">
        <v>27</v>
      </c>
      <c r="D2410" s="6" t="s">
        <v>27</v>
      </c>
      <c r="E2410" s="6" t="s">
        <v>27</v>
      </c>
      <c r="F2410" s="6" t="s">
        <v>27</v>
      </c>
      <c r="G2410" s="4" t="s">
        <v>27</v>
      </c>
      <c r="H2410" s="4" t="s">
        <v>27</v>
      </c>
      <c r="I2410" s="4" t="s">
        <v>27</v>
      </c>
      <c r="J2410" s="4" t="s">
        <v>27</v>
      </c>
      <c r="K2410" s="4" t="s">
        <v>27</v>
      </c>
      <c r="L2410" s="4" t="s">
        <v>27</v>
      </c>
      <c r="M2410" s="4" t="s">
        <v>27</v>
      </c>
      <c r="N2410" s="4" t="s">
        <v>27</v>
      </c>
    </row>
    <row r="2411" hidden="1">
      <c r="B2411" s="4" t="s">
        <v>27</v>
      </c>
      <c r="C2411" s="4" t="s">
        <v>27</v>
      </c>
      <c r="D2411" s="6" t="s">
        <v>27</v>
      </c>
      <c r="E2411" s="6" t="s">
        <v>27</v>
      </c>
      <c r="F2411" s="6" t="s">
        <v>27</v>
      </c>
      <c r="G2411" s="4" t="s">
        <v>27</v>
      </c>
      <c r="H2411" s="4" t="s">
        <v>27</v>
      </c>
      <c r="I2411" s="4" t="s">
        <v>27</v>
      </c>
      <c r="J2411" s="4" t="s">
        <v>27</v>
      </c>
      <c r="K2411" s="4" t="s">
        <v>27</v>
      </c>
      <c r="L2411" s="4" t="s">
        <v>27</v>
      </c>
      <c r="M2411" s="4" t="s">
        <v>27</v>
      </c>
      <c r="N2411" s="4" t="s">
        <v>27</v>
      </c>
    </row>
    <row r="2412" hidden="1">
      <c r="B2412" s="4" t="s">
        <v>27</v>
      </c>
      <c r="C2412" s="4" t="s">
        <v>27</v>
      </c>
      <c r="D2412" s="6" t="s">
        <v>27</v>
      </c>
      <c r="E2412" s="6" t="s">
        <v>27</v>
      </c>
      <c r="F2412" s="6" t="s">
        <v>27</v>
      </c>
      <c r="G2412" s="4" t="s">
        <v>27</v>
      </c>
      <c r="H2412" s="4" t="s">
        <v>27</v>
      </c>
      <c r="I2412" s="4" t="s">
        <v>27</v>
      </c>
      <c r="J2412" s="4" t="s">
        <v>27</v>
      </c>
      <c r="K2412" s="4" t="s">
        <v>27</v>
      </c>
      <c r="L2412" s="4" t="s">
        <v>27</v>
      </c>
      <c r="M2412" s="4" t="s">
        <v>27</v>
      </c>
      <c r="N2412" s="4" t="s">
        <v>27</v>
      </c>
    </row>
    <row r="2413" hidden="1">
      <c r="B2413" s="4" t="s">
        <v>27</v>
      </c>
      <c r="C2413" s="4" t="s">
        <v>27</v>
      </c>
      <c r="D2413" s="6" t="s">
        <v>27</v>
      </c>
      <c r="E2413" s="6" t="s">
        <v>27</v>
      </c>
      <c r="F2413" s="6" t="s">
        <v>27</v>
      </c>
      <c r="G2413" s="4" t="s">
        <v>27</v>
      </c>
      <c r="H2413" s="4" t="s">
        <v>27</v>
      </c>
      <c r="I2413" s="4" t="s">
        <v>27</v>
      </c>
      <c r="J2413" s="4" t="s">
        <v>27</v>
      </c>
      <c r="K2413" s="4" t="s">
        <v>27</v>
      </c>
      <c r="L2413" s="4" t="s">
        <v>27</v>
      </c>
      <c r="M2413" s="4" t="s">
        <v>27</v>
      </c>
      <c r="N2413" s="4" t="s">
        <v>27</v>
      </c>
    </row>
    <row r="2414" hidden="1">
      <c r="B2414" s="4" t="s">
        <v>27</v>
      </c>
      <c r="C2414" s="4" t="s">
        <v>27</v>
      </c>
      <c r="D2414" s="6" t="s">
        <v>27</v>
      </c>
      <c r="E2414" s="6" t="s">
        <v>27</v>
      </c>
      <c r="F2414" s="6" t="s">
        <v>27</v>
      </c>
      <c r="G2414" s="4" t="s">
        <v>27</v>
      </c>
      <c r="H2414" s="4" t="s">
        <v>27</v>
      </c>
      <c r="I2414" s="4" t="s">
        <v>27</v>
      </c>
      <c r="J2414" s="4" t="s">
        <v>27</v>
      </c>
      <c r="K2414" s="4" t="s">
        <v>27</v>
      </c>
      <c r="L2414" s="4" t="s">
        <v>27</v>
      </c>
      <c r="M2414" s="4" t="s">
        <v>27</v>
      </c>
      <c r="N2414" s="4" t="s">
        <v>27</v>
      </c>
    </row>
    <row r="2415" hidden="1">
      <c r="B2415" s="4" t="s">
        <v>27</v>
      </c>
      <c r="C2415" s="4" t="s">
        <v>27</v>
      </c>
      <c r="D2415" s="6" t="s">
        <v>27</v>
      </c>
      <c r="E2415" s="6" t="s">
        <v>27</v>
      </c>
      <c r="F2415" s="6" t="s">
        <v>27</v>
      </c>
      <c r="G2415" s="4" t="s">
        <v>27</v>
      </c>
      <c r="H2415" s="4" t="s">
        <v>27</v>
      </c>
      <c r="I2415" s="4" t="s">
        <v>27</v>
      </c>
      <c r="J2415" s="4" t="s">
        <v>27</v>
      </c>
      <c r="K2415" s="4" t="s">
        <v>27</v>
      </c>
      <c r="L2415" s="4" t="s">
        <v>27</v>
      </c>
      <c r="M2415" s="4" t="s">
        <v>27</v>
      </c>
      <c r="N2415" s="4" t="s">
        <v>27</v>
      </c>
    </row>
    <row r="2416" hidden="1">
      <c r="B2416" s="4" t="s">
        <v>27</v>
      </c>
      <c r="C2416" s="4" t="s">
        <v>27</v>
      </c>
      <c r="D2416" s="6" t="s">
        <v>27</v>
      </c>
      <c r="E2416" s="6" t="s">
        <v>27</v>
      </c>
      <c r="F2416" s="6" t="s">
        <v>27</v>
      </c>
      <c r="G2416" s="4" t="s">
        <v>27</v>
      </c>
      <c r="H2416" s="4" t="s">
        <v>27</v>
      </c>
      <c r="I2416" s="4" t="s">
        <v>27</v>
      </c>
      <c r="J2416" s="4" t="s">
        <v>27</v>
      </c>
      <c r="K2416" s="4" t="s">
        <v>27</v>
      </c>
      <c r="L2416" s="4" t="s">
        <v>27</v>
      </c>
      <c r="M2416" s="4" t="s">
        <v>27</v>
      </c>
      <c r="N2416" s="4" t="s">
        <v>27</v>
      </c>
    </row>
    <row r="2417" hidden="1">
      <c r="B2417" s="4" t="s">
        <v>27</v>
      </c>
      <c r="C2417" s="4" t="s">
        <v>27</v>
      </c>
      <c r="D2417" s="6" t="s">
        <v>27</v>
      </c>
      <c r="E2417" s="6" t="s">
        <v>27</v>
      </c>
      <c r="F2417" s="6" t="s">
        <v>27</v>
      </c>
      <c r="G2417" s="4" t="s">
        <v>27</v>
      </c>
      <c r="H2417" s="4" t="s">
        <v>27</v>
      </c>
      <c r="I2417" s="4" t="s">
        <v>27</v>
      </c>
      <c r="J2417" s="4" t="s">
        <v>27</v>
      </c>
      <c r="K2417" s="4" t="s">
        <v>27</v>
      </c>
      <c r="L2417" s="4" t="s">
        <v>27</v>
      </c>
      <c r="M2417" s="4" t="s">
        <v>27</v>
      </c>
      <c r="N2417" s="4" t="s">
        <v>27</v>
      </c>
    </row>
    <row r="2418" hidden="1">
      <c r="B2418" s="4" t="s">
        <v>27</v>
      </c>
      <c r="C2418" s="4" t="s">
        <v>27</v>
      </c>
      <c r="D2418" s="6" t="s">
        <v>27</v>
      </c>
      <c r="E2418" s="6" t="s">
        <v>27</v>
      </c>
      <c r="F2418" s="6" t="s">
        <v>27</v>
      </c>
      <c r="G2418" s="4" t="s">
        <v>27</v>
      </c>
      <c r="H2418" s="4" t="s">
        <v>27</v>
      </c>
      <c r="I2418" s="4" t="s">
        <v>27</v>
      </c>
      <c r="J2418" s="4" t="s">
        <v>27</v>
      </c>
      <c r="K2418" s="4" t="s">
        <v>27</v>
      </c>
      <c r="L2418" s="4" t="s">
        <v>27</v>
      </c>
      <c r="M2418" s="4" t="s">
        <v>27</v>
      </c>
      <c r="N2418" s="4" t="s">
        <v>27</v>
      </c>
    </row>
    <row r="2419" hidden="1">
      <c r="B2419" s="4" t="s">
        <v>27</v>
      </c>
      <c r="C2419" s="4" t="s">
        <v>27</v>
      </c>
      <c r="D2419" s="6" t="s">
        <v>27</v>
      </c>
      <c r="E2419" s="6" t="s">
        <v>27</v>
      </c>
      <c r="F2419" s="6" t="s">
        <v>27</v>
      </c>
      <c r="G2419" s="4" t="s">
        <v>27</v>
      </c>
      <c r="H2419" s="4" t="s">
        <v>27</v>
      </c>
      <c r="I2419" s="4" t="s">
        <v>27</v>
      </c>
      <c r="J2419" s="4" t="s">
        <v>27</v>
      </c>
      <c r="K2419" s="4" t="s">
        <v>27</v>
      </c>
      <c r="L2419" s="4" t="s">
        <v>27</v>
      </c>
      <c r="M2419" s="4" t="s">
        <v>27</v>
      </c>
      <c r="N2419" s="4" t="s">
        <v>27</v>
      </c>
    </row>
    <row r="2420" hidden="1">
      <c r="B2420" s="4" t="s">
        <v>27</v>
      </c>
      <c r="C2420" s="4" t="s">
        <v>27</v>
      </c>
      <c r="D2420" s="6" t="s">
        <v>27</v>
      </c>
      <c r="E2420" s="6" t="s">
        <v>27</v>
      </c>
      <c r="F2420" s="6" t="s">
        <v>27</v>
      </c>
      <c r="G2420" s="4" t="s">
        <v>27</v>
      </c>
      <c r="H2420" s="4" t="s">
        <v>27</v>
      </c>
      <c r="I2420" s="4" t="s">
        <v>27</v>
      </c>
      <c r="J2420" s="4" t="s">
        <v>27</v>
      </c>
      <c r="K2420" s="4" t="s">
        <v>27</v>
      </c>
      <c r="L2420" s="4" t="s">
        <v>27</v>
      </c>
      <c r="M2420" s="4" t="s">
        <v>27</v>
      </c>
      <c r="N2420" s="4" t="s">
        <v>27</v>
      </c>
    </row>
    <row r="2421" hidden="1">
      <c r="B2421" s="4" t="s">
        <v>27</v>
      </c>
      <c r="C2421" s="4" t="s">
        <v>27</v>
      </c>
      <c r="D2421" s="6" t="s">
        <v>27</v>
      </c>
      <c r="E2421" s="6" t="s">
        <v>27</v>
      </c>
      <c r="F2421" s="6" t="s">
        <v>27</v>
      </c>
      <c r="G2421" s="4" t="s">
        <v>27</v>
      </c>
      <c r="H2421" s="4" t="s">
        <v>27</v>
      </c>
      <c r="I2421" s="4" t="s">
        <v>27</v>
      </c>
      <c r="J2421" s="4" t="s">
        <v>27</v>
      </c>
      <c r="K2421" s="4" t="s">
        <v>27</v>
      </c>
      <c r="L2421" s="4" t="s">
        <v>27</v>
      </c>
      <c r="M2421" s="4" t="s">
        <v>27</v>
      </c>
      <c r="N2421" s="4" t="s">
        <v>27</v>
      </c>
    </row>
    <row r="2422" hidden="1">
      <c r="B2422" s="4" t="s">
        <v>27</v>
      </c>
      <c r="C2422" s="4" t="s">
        <v>27</v>
      </c>
      <c r="D2422" s="6" t="s">
        <v>27</v>
      </c>
      <c r="E2422" s="6" t="s">
        <v>27</v>
      </c>
      <c r="F2422" s="6" t="s">
        <v>27</v>
      </c>
      <c r="G2422" s="4" t="s">
        <v>27</v>
      </c>
      <c r="H2422" s="4" t="s">
        <v>27</v>
      </c>
      <c r="I2422" s="4" t="s">
        <v>27</v>
      </c>
      <c r="J2422" s="4" t="s">
        <v>27</v>
      </c>
      <c r="K2422" s="4" t="s">
        <v>27</v>
      </c>
      <c r="L2422" s="4" t="s">
        <v>27</v>
      </c>
      <c r="M2422" s="4" t="s">
        <v>27</v>
      </c>
      <c r="N2422" s="4" t="s">
        <v>27</v>
      </c>
    </row>
    <row r="2423" hidden="1">
      <c r="B2423" s="4" t="s">
        <v>27</v>
      </c>
      <c r="C2423" s="4" t="s">
        <v>27</v>
      </c>
      <c r="D2423" s="6" t="s">
        <v>27</v>
      </c>
      <c r="E2423" s="6" t="s">
        <v>27</v>
      </c>
      <c r="F2423" s="6" t="s">
        <v>27</v>
      </c>
      <c r="G2423" s="4" t="s">
        <v>27</v>
      </c>
      <c r="H2423" s="4" t="s">
        <v>27</v>
      </c>
      <c r="I2423" s="4" t="s">
        <v>27</v>
      </c>
      <c r="J2423" s="4" t="s">
        <v>27</v>
      </c>
      <c r="K2423" s="4" t="s">
        <v>27</v>
      </c>
      <c r="L2423" s="4" t="s">
        <v>27</v>
      </c>
      <c r="M2423" s="4" t="s">
        <v>27</v>
      </c>
      <c r="N2423" s="4" t="s">
        <v>27</v>
      </c>
    </row>
    <row r="2424" hidden="1">
      <c r="B2424" s="4" t="s">
        <v>27</v>
      </c>
      <c r="C2424" s="4" t="s">
        <v>27</v>
      </c>
      <c r="D2424" s="6" t="s">
        <v>27</v>
      </c>
      <c r="E2424" s="6" t="s">
        <v>27</v>
      </c>
      <c r="F2424" s="6" t="s">
        <v>27</v>
      </c>
      <c r="G2424" s="4" t="s">
        <v>27</v>
      </c>
      <c r="H2424" s="4" t="s">
        <v>27</v>
      </c>
      <c r="I2424" s="4" t="s">
        <v>27</v>
      </c>
      <c r="J2424" s="4" t="s">
        <v>27</v>
      </c>
      <c r="K2424" s="4" t="s">
        <v>27</v>
      </c>
      <c r="L2424" s="4" t="s">
        <v>27</v>
      </c>
      <c r="M2424" s="4" t="s">
        <v>27</v>
      </c>
      <c r="N2424" s="4" t="s">
        <v>27</v>
      </c>
    </row>
    <row r="2425" hidden="1">
      <c r="B2425" s="4" t="s">
        <v>27</v>
      </c>
      <c r="C2425" s="4" t="s">
        <v>27</v>
      </c>
      <c r="D2425" s="6" t="s">
        <v>27</v>
      </c>
      <c r="E2425" s="6" t="s">
        <v>27</v>
      </c>
      <c r="F2425" s="6" t="s">
        <v>27</v>
      </c>
      <c r="G2425" s="4" t="s">
        <v>27</v>
      </c>
      <c r="H2425" s="4" t="s">
        <v>27</v>
      </c>
      <c r="I2425" s="4" t="s">
        <v>27</v>
      </c>
      <c r="J2425" s="4" t="s">
        <v>27</v>
      </c>
      <c r="K2425" s="4" t="s">
        <v>27</v>
      </c>
      <c r="L2425" s="4" t="s">
        <v>27</v>
      </c>
      <c r="M2425" s="4" t="s">
        <v>27</v>
      </c>
      <c r="N2425" s="4" t="s">
        <v>27</v>
      </c>
    </row>
    <row r="2426" hidden="1">
      <c r="B2426" s="4" t="s">
        <v>27</v>
      </c>
      <c r="C2426" s="4" t="s">
        <v>27</v>
      </c>
      <c r="D2426" s="6" t="s">
        <v>27</v>
      </c>
      <c r="E2426" s="6" t="s">
        <v>27</v>
      </c>
      <c r="F2426" s="6" t="s">
        <v>27</v>
      </c>
      <c r="G2426" s="4" t="s">
        <v>27</v>
      </c>
      <c r="H2426" s="4" t="s">
        <v>27</v>
      </c>
      <c r="I2426" s="4" t="s">
        <v>27</v>
      </c>
      <c r="J2426" s="4" t="s">
        <v>27</v>
      </c>
      <c r="K2426" s="4" t="s">
        <v>27</v>
      </c>
      <c r="L2426" s="4" t="s">
        <v>27</v>
      </c>
      <c r="M2426" s="4" t="s">
        <v>27</v>
      </c>
      <c r="N2426" s="4" t="s">
        <v>27</v>
      </c>
    </row>
    <row r="2427" hidden="1">
      <c r="B2427" s="4" t="s">
        <v>27</v>
      </c>
      <c r="C2427" s="4" t="s">
        <v>27</v>
      </c>
      <c r="D2427" s="6" t="s">
        <v>27</v>
      </c>
      <c r="E2427" s="6" t="s">
        <v>27</v>
      </c>
      <c r="F2427" s="6" t="s">
        <v>27</v>
      </c>
      <c r="G2427" s="4" t="s">
        <v>27</v>
      </c>
      <c r="H2427" s="4" t="s">
        <v>27</v>
      </c>
      <c r="I2427" s="4" t="s">
        <v>27</v>
      </c>
      <c r="J2427" s="4" t="s">
        <v>27</v>
      </c>
      <c r="K2427" s="4" t="s">
        <v>27</v>
      </c>
      <c r="L2427" s="4" t="s">
        <v>27</v>
      </c>
      <c r="M2427" s="4" t="s">
        <v>27</v>
      </c>
      <c r="N2427" s="4" t="s">
        <v>27</v>
      </c>
    </row>
    <row r="2428" hidden="1">
      <c r="B2428" s="4" t="s">
        <v>27</v>
      </c>
      <c r="C2428" s="4" t="s">
        <v>27</v>
      </c>
      <c r="D2428" s="6" t="s">
        <v>27</v>
      </c>
      <c r="E2428" s="6" t="s">
        <v>27</v>
      </c>
      <c r="F2428" s="6" t="s">
        <v>27</v>
      </c>
      <c r="G2428" s="4" t="s">
        <v>27</v>
      </c>
      <c r="H2428" s="4" t="s">
        <v>27</v>
      </c>
      <c r="I2428" s="4" t="s">
        <v>27</v>
      </c>
      <c r="J2428" s="4" t="s">
        <v>27</v>
      </c>
      <c r="K2428" s="4" t="s">
        <v>27</v>
      </c>
      <c r="L2428" s="4" t="s">
        <v>27</v>
      </c>
      <c r="M2428" s="4" t="s">
        <v>27</v>
      </c>
      <c r="N2428" s="4" t="s">
        <v>27</v>
      </c>
    </row>
    <row r="2429" hidden="1">
      <c r="B2429" s="4" t="s">
        <v>27</v>
      </c>
      <c r="C2429" s="4" t="s">
        <v>27</v>
      </c>
      <c r="D2429" s="6" t="s">
        <v>27</v>
      </c>
      <c r="E2429" s="6" t="s">
        <v>27</v>
      </c>
      <c r="F2429" s="6" t="s">
        <v>27</v>
      </c>
      <c r="G2429" s="4" t="s">
        <v>27</v>
      </c>
      <c r="H2429" s="4" t="s">
        <v>27</v>
      </c>
      <c r="I2429" s="4" t="s">
        <v>27</v>
      </c>
      <c r="J2429" s="4" t="s">
        <v>27</v>
      </c>
      <c r="K2429" s="4" t="s">
        <v>27</v>
      </c>
      <c r="L2429" s="4" t="s">
        <v>27</v>
      </c>
      <c r="M2429" s="4" t="s">
        <v>27</v>
      </c>
      <c r="N2429" s="4" t="s">
        <v>27</v>
      </c>
    </row>
    <row r="2430" hidden="1">
      <c r="B2430" s="4" t="s">
        <v>27</v>
      </c>
      <c r="C2430" s="4" t="s">
        <v>27</v>
      </c>
      <c r="D2430" s="6" t="s">
        <v>27</v>
      </c>
      <c r="E2430" s="6" t="s">
        <v>27</v>
      </c>
      <c r="F2430" s="6" t="s">
        <v>27</v>
      </c>
      <c r="G2430" s="4" t="s">
        <v>27</v>
      </c>
      <c r="H2430" s="4" t="s">
        <v>27</v>
      </c>
      <c r="I2430" s="4" t="s">
        <v>27</v>
      </c>
      <c r="J2430" s="4" t="s">
        <v>27</v>
      </c>
      <c r="K2430" s="4" t="s">
        <v>27</v>
      </c>
      <c r="L2430" s="4" t="s">
        <v>27</v>
      </c>
      <c r="M2430" s="4" t="s">
        <v>27</v>
      </c>
      <c r="N2430" s="4" t="s">
        <v>27</v>
      </c>
    </row>
    <row r="2431" hidden="1">
      <c r="B2431" s="4" t="s">
        <v>27</v>
      </c>
      <c r="C2431" s="4" t="s">
        <v>27</v>
      </c>
      <c r="D2431" s="6" t="s">
        <v>27</v>
      </c>
      <c r="E2431" s="6" t="s">
        <v>27</v>
      </c>
      <c r="F2431" s="6" t="s">
        <v>27</v>
      </c>
      <c r="G2431" s="4" t="s">
        <v>27</v>
      </c>
      <c r="H2431" s="4" t="s">
        <v>27</v>
      </c>
      <c r="I2431" s="4" t="s">
        <v>27</v>
      </c>
      <c r="J2431" s="4" t="s">
        <v>27</v>
      </c>
      <c r="K2431" s="4" t="s">
        <v>27</v>
      </c>
      <c r="L2431" s="4" t="s">
        <v>27</v>
      </c>
      <c r="M2431" s="4" t="s">
        <v>27</v>
      </c>
      <c r="N2431" s="4" t="s">
        <v>27</v>
      </c>
    </row>
    <row r="2432" hidden="1">
      <c r="B2432" s="4" t="s">
        <v>27</v>
      </c>
      <c r="C2432" s="4" t="s">
        <v>27</v>
      </c>
      <c r="D2432" s="6" t="s">
        <v>27</v>
      </c>
      <c r="E2432" s="6" t="s">
        <v>27</v>
      </c>
      <c r="F2432" s="6" t="s">
        <v>27</v>
      </c>
      <c r="G2432" s="4" t="s">
        <v>27</v>
      </c>
      <c r="H2432" s="4" t="s">
        <v>27</v>
      </c>
      <c r="I2432" s="4" t="s">
        <v>27</v>
      </c>
      <c r="J2432" s="4" t="s">
        <v>27</v>
      </c>
      <c r="K2432" s="4" t="s">
        <v>27</v>
      </c>
      <c r="L2432" s="4" t="s">
        <v>27</v>
      </c>
      <c r="M2432" s="4" t="s">
        <v>27</v>
      </c>
      <c r="N2432" s="4" t="s">
        <v>27</v>
      </c>
    </row>
    <row r="2433" hidden="1">
      <c r="B2433" s="4" t="s">
        <v>27</v>
      </c>
      <c r="C2433" s="4" t="s">
        <v>27</v>
      </c>
      <c r="D2433" s="6" t="s">
        <v>27</v>
      </c>
      <c r="E2433" s="6" t="s">
        <v>27</v>
      </c>
      <c r="F2433" s="6" t="s">
        <v>27</v>
      </c>
      <c r="G2433" s="4" t="s">
        <v>27</v>
      </c>
      <c r="H2433" s="4" t="s">
        <v>27</v>
      </c>
      <c r="I2433" s="4" t="s">
        <v>27</v>
      </c>
      <c r="J2433" s="4" t="s">
        <v>27</v>
      </c>
      <c r="K2433" s="4" t="s">
        <v>27</v>
      </c>
      <c r="L2433" s="4" t="s">
        <v>27</v>
      </c>
      <c r="M2433" s="4" t="s">
        <v>27</v>
      </c>
      <c r="N2433" s="4" t="s">
        <v>27</v>
      </c>
    </row>
    <row r="2434" hidden="1">
      <c r="B2434" s="4" t="s">
        <v>27</v>
      </c>
      <c r="C2434" s="4" t="s">
        <v>27</v>
      </c>
      <c r="D2434" s="6" t="s">
        <v>27</v>
      </c>
      <c r="E2434" s="6" t="s">
        <v>27</v>
      </c>
      <c r="F2434" s="6" t="s">
        <v>27</v>
      </c>
      <c r="G2434" s="4" t="s">
        <v>27</v>
      </c>
      <c r="H2434" s="4" t="s">
        <v>27</v>
      </c>
      <c r="I2434" s="4" t="s">
        <v>27</v>
      </c>
      <c r="J2434" s="4" t="s">
        <v>27</v>
      </c>
      <c r="K2434" s="4" t="s">
        <v>27</v>
      </c>
      <c r="L2434" s="4" t="s">
        <v>27</v>
      </c>
      <c r="M2434" s="4" t="s">
        <v>27</v>
      </c>
      <c r="N2434" s="4" t="s">
        <v>27</v>
      </c>
    </row>
    <row r="2435" hidden="1">
      <c r="B2435" s="4" t="s">
        <v>27</v>
      </c>
      <c r="C2435" s="4" t="s">
        <v>27</v>
      </c>
      <c r="D2435" s="6" t="s">
        <v>27</v>
      </c>
      <c r="E2435" s="6" t="s">
        <v>27</v>
      </c>
      <c r="F2435" s="6" t="s">
        <v>27</v>
      </c>
      <c r="G2435" s="4" t="s">
        <v>27</v>
      </c>
      <c r="H2435" s="4" t="s">
        <v>27</v>
      </c>
      <c r="I2435" s="4" t="s">
        <v>27</v>
      </c>
      <c r="J2435" s="4" t="s">
        <v>27</v>
      </c>
      <c r="K2435" s="4" t="s">
        <v>27</v>
      </c>
      <c r="L2435" s="4" t="s">
        <v>27</v>
      </c>
      <c r="M2435" s="4" t="s">
        <v>27</v>
      </c>
      <c r="N2435" s="4" t="s">
        <v>27</v>
      </c>
    </row>
    <row r="2436" hidden="1">
      <c r="B2436" s="4" t="s">
        <v>27</v>
      </c>
      <c r="C2436" s="4" t="s">
        <v>27</v>
      </c>
      <c r="D2436" s="6" t="s">
        <v>27</v>
      </c>
      <c r="E2436" s="6" t="s">
        <v>27</v>
      </c>
      <c r="F2436" s="6" t="s">
        <v>27</v>
      </c>
      <c r="G2436" s="4" t="s">
        <v>27</v>
      </c>
      <c r="H2436" s="4" t="s">
        <v>27</v>
      </c>
      <c r="I2436" s="4" t="s">
        <v>27</v>
      </c>
      <c r="J2436" s="4" t="s">
        <v>27</v>
      </c>
      <c r="K2436" s="4" t="s">
        <v>27</v>
      </c>
      <c r="L2436" s="4" t="s">
        <v>27</v>
      </c>
      <c r="M2436" s="4" t="s">
        <v>27</v>
      </c>
      <c r="N2436" s="4" t="s">
        <v>27</v>
      </c>
    </row>
    <row r="2437" hidden="1">
      <c r="B2437" s="4" t="s">
        <v>27</v>
      </c>
      <c r="C2437" s="4" t="s">
        <v>27</v>
      </c>
      <c r="D2437" s="6" t="s">
        <v>27</v>
      </c>
      <c r="E2437" s="6" t="s">
        <v>27</v>
      </c>
      <c r="F2437" s="6" t="s">
        <v>27</v>
      </c>
      <c r="G2437" s="4" t="s">
        <v>27</v>
      </c>
      <c r="H2437" s="4" t="s">
        <v>27</v>
      </c>
      <c r="I2437" s="4" t="s">
        <v>27</v>
      </c>
      <c r="J2437" s="4" t="s">
        <v>27</v>
      </c>
      <c r="K2437" s="4" t="s">
        <v>27</v>
      </c>
      <c r="L2437" s="4" t="s">
        <v>27</v>
      </c>
      <c r="M2437" s="4" t="s">
        <v>27</v>
      </c>
      <c r="N2437" s="4" t="s">
        <v>27</v>
      </c>
    </row>
    <row r="2438" hidden="1">
      <c r="B2438" s="4" t="s">
        <v>27</v>
      </c>
      <c r="C2438" s="4" t="s">
        <v>27</v>
      </c>
      <c r="D2438" s="6" t="s">
        <v>27</v>
      </c>
      <c r="E2438" s="6" t="s">
        <v>27</v>
      </c>
      <c r="F2438" s="6" t="s">
        <v>27</v>
      </c>
      <c r="G2438" s="4" t="s">
        <v>27</v>
      </c>
      <c r="H2438" s="4" t="s">
        <v>27</v>
      </c>
      <c r="I2438" s="4" t="s">
        <v>27</v>
      </c>
      <c r="J2438" s="4" t="s">
        <v>27</v>
      </c>
      <c r="K2438" s="4" t="s">
        <v>27</v>
      </c>
      <c r="L2438" s="4" t="s">
        <v>27</v>
      </c>
      <c r="M2438" s="4" t="s">
        <v>27</v>
      </c>
      <c r="N2438" s="4" t="s">
        <v>27</v>
      </c>
    </row>
    <row r="2439" hidden="1">
      <c r="B2439" s="4" t="s">
        <v>27</v>
      </c>
      <c r="C2439" s="4" t="s">
        <v>27</v>
      </c>
      <c r="D2439" s="6" t="s">
        <v>27</v>
      </c>
      <c r="E2439" s="6" t="s">
        <v>27</v>
      </c>
      <c r="F2439" s="6" t="s">
        <v>27</v>
      </c>
      <c r="G2439" s="4" t="s">
        <v>27</v>
      </c>
      <c r="H2439" s="4" t="s">
        <v>27</v>
      </c>
      <c r="I2439" s="4" t="s">
        <v>27</v>
      </c>
      <c r="J2439" s="4" t="s">
        <v>27</v>
      </c>
      <c r="K2439" s="4" t="s">
        <v>27</v>
      </c>
      <c r="L2439" s="4" t="s">
        <v>27</v>
      </c>
      <c r="M2439" s="4" t="s">
        <v>27</v>
      </c>
      <c r="N2439" s="4" t="s">
        <v>27</v>
      </c>
    </row>
    <row r="2440" hidden="1">
      <c r="B2440" s="4" t="s">
        <v>27</v>
      </c>
      <c r="C2440" s="4" t="s">
        <v>27</v>
      </c>
      <c r="D2440" s="6" t="s">
        <v>27</v>
      </c>
      <c r="E2440" s="6" t="s">
        <v>27</v>
      </c>
      <c r="F2440" s="6" t="s">
        <v>27</v>
      </c>
      <c r="G2440" s="4" t="s">
        <v>27</v>
      </c>
      <c r="H2440" s="4" t="s">
        <v>27</v>
      </c>
      <c r="I2440" s="4" t="s">
        <v>27</v>
      </c>
      <c r="J2440" s="4" t="s">
        <v>27</v>
      </c>
      <c r="K2440" s="4" t="s">
        <v>27</v>
      </c>
      <c r="L2440" s="4" t="s">
        <v>27</v>
      </c>
      <c r="M2440" s="4" t="s">
        <v>27</v>
      </c>
      <c r="N2440" s="4" t="s">
        <v>27</v>
      </c>
    </row>
    <row r="2441" hidden="1">
      <c r="B2441" s="4" t="s">
        <v>27</v>
      </c>
      <c r="C2441" s="4" t="s">
        <v>27</v>
      </c>
      <c r="D2441" s="6" t="s">
        <v>27</v>
      </c>
      <c r="E2441" s="6" t="s">
        <v>27</v>
      </c>
      <c r="F2441" s="6" t="s">
        <v>27</v>
      </c>
      <c r="G2441" s="4" t="s">
        <v>27</v>
      </c>
      <c r="H2441" s="4" t="s">
        <v>27</v>
      </c>
      <c r="I2441" s="4" t="s">
        <v>27</v>
      </c>
      <c r="J2441" s="4" t="s">
        <v>27</v>
      </c>
      <c r="K2441" s="4" t="s">
        <v>27</v>
      </c>
      <c r="L2441" s="4" t="s">
        <v>27</v>
      </c>
      <c r="M2441" s="4" t="s">
        <v>27</v>
      </c>
      <c r="N2441" s="4" t="s">
        <v>27</v>
      </c>
    </row>
    <row r="2442" hidden="1">
      <c r="B2442" s="4" t="s">
        <v>27</v>
      </c>
      <c r="C2442" s="4" t="s">
        <v>27</v>
      </c>
      <c r="D2442" s="6" t="s">
        <v>27</v>
      </c>
      <c r="E2442" s="6" t="s">
        <v>27</v>
      </c>
      <c r="F2442" s="6" t="s">
        <v>27</v>
      </c>
      <c r="G2442" s="4" t="s">
        <v>27</v>
      </c>
      <c r="H2442" s="4" t="s">
        <v>27</v>
      </c>
      <c r="I2442" s="4" t="s">
        <v>27</v>
      </c>
      <c r="J2442" s="4" t="s">
        <v>27</v>
      </c>
      <c r="K2442" s="4" t="s">
        <v>27</v>
      </c>
      <c r="L2442" s="4" t="s">
        <v>27</v>
      </c>
      <c r="M2442" s="4" t="s">
        <v>27</v>
      </c>
      <c r="N2442" s="4" t="s">
        <v>27</v>
      </c>
    </row>
    <row r="2443" hidden="1">
      <c r="B2443" s="4" t="s">
        <v>27</v>
      </c>
      <c r="C2443" s="4" t="s">
        <v>27</v>
      </c>
      <c r="D2443" s="6" t="s">
        <v>27</v>
      </c>
      <c r="E2443" s="6" t="s">
        <v>27</v>
      </c>
      <c r="F2443" s="6" t="s">
        <v>27</v>
      </c>
      <c r="G2443" s="4" t="s">
        <v>27</v>
      </c>
      <c r="H2443" s="4" t="s">
        <v>27</v>
      </c>
      <c r="I2443" s="4" t="s">
        <v>27</v>
      </c>
      <c r="J2443" s="4" t="s">
        <v>27</v>
      </c>
      <c r="K2443" s="4" t="s">
        <v>27</v>
      </c>
      <c r="L2443" s="4" t="s">
        <v>27</v>
      </c>
      <c r="M2443" s="4" t="s">
        <v>27</v>
      </c>
      <c r="N2443" s="4" t="s">
        <v>27</v>
      </c>
    </row>
    <row r="2444" hidden="1">
      <c r="B2444" s="4" t="s">
        <v>27</v>
      </c>
      <c r="C2444" s="4" t="s">
        <v>27</v>
      </c>
      <c r="D2444" s="6" t="s">
        <v>27</v>
      </c>
      <c r="E2444" s="6" t="s">
        <v>27</v>
      </c>
      <c r="F2444" s="6" t="s">
        <v>27</v>
      </c>
      <c r="G2444" s="4" t="s">
        <v>27</v>
      </c>
      <c r="H2444" s="4" t="s">
        <v>27</v>
      </c>
      <c r="I2444" s="4" t="s">
        <v>27</v>
      </c>
      <c r="J2444" s="4" t="s">
        <v>27</v>
      </c>
      <c r="K2444" s="4" t="s">
        <v>27</v>
      </c>
      <c r="L2444" s="4" t="s">
        <v>27</v>
      </c>
      <c r="M2444" s="4" t="s">
        <v>27</v>
      </c>
      <c r="N2444" s="4" t="s">
        <v>27</v>
      </c>
    </row>
    <row r="2445" hidden="1">
      <c r="B2445" s="4" t="s">
        <v>27</v>
      </c>
      <c r="C2445" s="4" t="s">
        <v>27</v>
      </c>
      <c r="D2445" s="6" t="s">
        <v>27</v>
      </c>
      <c r="E2445" s="6" t="s">
        <v>27</v>
      </c>
      <c r="F2445" s="6" t="s">
        <v>27</v>
      </c>
      <c r="G2445" s="4" t="s">
        <v>27</v>
      </c>
      <c r="H2445" s="4" t="s">
        <v>27</v>
      </c>
      <c r="I2445" s="4" t="s">
        <v>27</v>
      </c>
      <c r="J2445" s="4" t="s">
        <v>27</v>
      </c>
      <c r="K2445" s="4" t="s">
        <v>27</v>
      </c>
      <c r="L2445" s="4" t="s">
        <v>27</v>
      </c>
      <c r="M2445" s="4" t="s">
        <v>27</v>
      </c>
      <c r="N2445" s="4" t="s">
        <v>27</v>
      </c>
    </row>
    <row r="2446" hidden="1">
      <c r="B2446" s="4" t="s">
        <v>27</v>
      </c>
      <c r="C2446" s="4" t="s">
        <v>27</v>
      </c>
      <c r="D2446" s="6" t="s">
        <v>27</v>
      </c>
      <c r="E2446" s="6" t="s">
        <v>27</v>
      </c>
      <c r="F2446" s="6" t="s">
        <v>27</v>
      </c>
      <c r="G2446" s="4" t="s">
        <v>27</v>
      </c>
      <c r="H2446" s="4" t="s">
        <v>27</v>
      </c>
      <c r="I2446" s="4" t="s">
        <v>27</v>
      </c>
      <c r="J2446" s="4" t="s">
        <v>27</v>
      </c>
      <c r="K2446" s="4" t="s">
        <v>27</v>
      </c>
      <c r="L2446" s="4" t="s">
        <v>27</v>
      </c>
      <c r="M2446" s="4" t="s">
        <v>27</v>
      </c>
      <c r="N2446" s="4" t="s">
        <v>27</v>
      </c>
    </row>
    <row r="2447" hidden="1">
      <c r="B2447" s="4" t="s">
        <v>27</v>
      </c>
      <c r="C2447" s="4" t="s">
        <v>27</v>
      </c>
      <c r="D2447" s="6" t="s">
        <v>27</v>
      </c>
      <c r="E2447" s="6" t="s">
        <v>27</v>
      </c>
      <c r="F2447" s="6" t="s">
        <v>27</v>
      </c>
      <c r="G2447" s="4" t="s">
        <v>27</v>
      </c>
      <c r="H2447" s="4" t="s">
        <v>27</v>
      </c>
      <c r="I2447" s="4" t="s">
        <v>27</v>
      </c>
      <c r="J2447" s="4" t="s">
        <v>27</v>
      </c>
      <c r="K2447" s="4" t="s">
        <v>27</v>
      </c>
      <c r="L2447" s="4" t="s">
        <v>27</v>
      </c>
      <c r="M2447" s="4" t="s">
        <v>27</v>
      </c>
      <c r="N2447" s="4" t="s">
        <v>27</v>
      </c>
    </row>
    <row r="2448" hidden="1">
      <c r="B2448" s="4" t="s">
        <v>27</v>
      </c>
      <c r="C2448" s="4" t="s">
        <v>27</v>
      </c>
      <c r="D2448" s="6" t="s">
        <v>27</v>
      </c>
      <c r="E2448" s="6" t="s">
        <v>27</v>
      </c>
      <c r="F2448" s="6" t="s">
        <v>27</v>
      </c>
      <c r="G2448" s="4" t="s">
        <v>27</v>
      </c>
      <c r="H2448" s="4" t="s">
        <v>27</v>
      </c>
      <c r="I2448" s="4" t="s">
        <v>27</v>
      </c>
      <c r="J2448" s="4" t="s">
        <v>27</v>
      </c>
      <c r="K2448" s="4" t="s">
        <v>27</v>
      </c>
      <c r="L2448" s="4" t="s">
        <v>27</v>
      </c>
      <c r="M2448" s="4" t="s">
        <v>27</v>
      </c>
      <c r="N2448" s="4" t="s">
        <v>27</v>
      </c>
    </row>
    <row r="2449" hidden="1">
      <c r="B2449" s="4" t="s">
        <v>27</v>
      </c>
      <c r="C2449" s="4" t="s">
        <v>27</v>
      </c>
      <c r="D2449" s="6" t="s">
        <v>27</v>
      </c>
      <c r="E2449" s="6" t="s">
        <v>27</v>
      </c>
      <c r="F2449" s="6" t="s">
        <v>27</v>
      </c>
      <c r="G2449" s="4" t="s">
        <v>27</v>
      </c>
      <c r="H2449" s="4" t="s">
        <v>27</v>
      </c>
      <c r="I2449" s="4" t="s">
        <v>27</v>
      </c>
      <c r="J2449" s="4" t="s">
        <v>27</v>
      </c>
      <c r="K2449" s="4" t="s">
        <v>27</v>
      </c>
      <c r="L2449" s="4" t="s">
        <v>27</v>
      </c>
      <c r="M2449" s="4" t="s">
        <v>27</v>
      </c>
      <c r="N2449" s="4" t="s">
        <v>27</v>
      </c>
    </row>
    <row r="2450" hidden="1">
      <c r="B2450" s="4" t="s">
        <v>27</v>
      </c>
      <c r="C2450" s="4" t="s">
        <v>27</v>
      </c>
      <c r="D2450" s="6" t="s">
        <v>27</v>
      </c>
      <c r="E2450" s="6" t="s">
        <v>27</v>
      </c>
      <c r="F2450" s="6" t="s">
        <v>27</v>
      </c>
      <c r="G2450" s="4" t="s">
        <v>27</v>
      </c>
      <c r="H2450" s="4" t="s">
        <v>27</v>
      </c>
      <c r="I2450" s="4" t="s">
        <v>27</v>
      </c>
      <c r="J2450" s="4" t="s">
        <v>27</v>
      </c>
      <c r="K2450" s="4" t="s">
        <v>27</v>
      </c>
      <c r="L2450" s="4" t="s">
        <v>27</v>
      </c>
      <c r="M2450" s="4" t="s">
        <v>27</v>
      </c>
      <c r="N2450" s="4" t="s">
        <v>27</v>
      </c>
    </row>
    <row r="2451" hidden="1">
      <c r="B2451" s="4" t="s">
        <v>27</v>
      </c>
      <c r="C2451" s="4" t="s">
        <v>27</v>
      </c>
      <c r="D2451" s="6" t="s">
        <v>27</v>
      </c>
      <c r="E2451" s="6" t="s">
        <v>27</v>
      </c>
      <c r="F2451" s="6" t="s">
        <v>27</v>
      </c>
      <c r="G2451" s="4" t="s">
        <v>27</v>
      </c>
      <c r="H2451" s="4" t="s">
        <v>27</v>
      </c>
      <c r="I2451" s="4" t="s">
        <v>27</v>
      </c>
      <c r="J2451" s="4" t="s">
        <v>27</v>
      </c>
      <c r="K2451" s="4" t="s">
        <v>27</v>
      </c>
      <c r="L2451" s="4" t="s">
        <v>27</v>
      </c>
      <c r="M2451" s="4" t="s">
        <v>27</v>
      </c>
      <c r="N2451" s="4" t="s">
        <v>27</v>
      </c>
    </row>
    <row r="2452" hidden="1">
      <c r="B2452" s="4" t="s">
        <v>27</v>
      </c>
      <c r="C2452" s="4" t="s">
        <v>27</v>
      </c>
      <c r="D2452" s="6" t="s">
        <v>27</v>
      </c>
      <c r="E2452" s="6" t="s">
        <v>27</v>
      </c>
      <c r="F2452" s="6" t="s">
        <v>27</v>
      </c>
      <c r="G2452" s="4" t="s">
        <v>27</v>
      </c>
      <c r="H2452" s="4" t="s">
        <v>27</v>
      </c>
      <c r="I2452" s="4" t="s">
        <v>27</v>
      </c>
      <c r="J2452" s="4" t="s">
        <v>27</v>
      </c>
      <c r="K2452" s="4" t="s">
        <v>27</v>
      </c>
      <c r="L2452" s="4" t="s">
        <v>27</v>
      </c>
      <c r="M2452" s="4" t="s">
        <v>27</v>
      </c>
      <c r="N2452" s="4" t="s">
        <v>27</v>
      </c>
    </row>
    <row r="2453" hidden="1">
      <c r="B2453" s="4" t="s">
        <v>27</v>
      </c>
      <c r="C2453" s="4" t="s">
        <v>27</v>
      </c>
      <c r="D2453" s="6" t="s">
        <v>27</v>
      </c>
      <c r="E2453" s="6" t="s">
        <v>27</v>
      </c>
      <c r="F2453" s="6" t="s">
        <v>27</v>
      </c>
      <c r="G2453" s="4" t="s">
        <v>27</v>
      </c>
      <c r="H2453" s="4" t="s">
        <v>27</v>
      </c>
      <c r="I2453" s="4" t="s">
        <v>27</v>
      </c>
      <c r="J2453" s="4" t="s">
        <v>27</v>
      </c>
      <c r="K2453" s="4" t="s">
        <v>27</v>
      </c>
      <c r="L2453" s="4" t="s">
        <v>27</v>
      </c>
      <c r="M2453" s="4" t="s">
        <v>27</v>
      </c>
      <c r="N2453" s="4" t="s">
        <v>27</v>
      </c>
    </row>
    <row r="2454" hidden="1">
      <c r="B2454" s="4" t="s">
        <v>27</v>
      </c>
      <c r="C2454" s="4" t="s">
        <v>27</v>
      </c>
      <c r="D2454" s="6" t="s">
        <v>27</v>
      </c>
      <c r="E2454" s="6" t="s">
        <v>27</v>
      </c>
      <c r="F2454" s="6" t="s">
        <v>27</v>
      </c>
      <c r="G2454" s="4" t="s">
        <v>27</v>
      </c>
      <c r="H2454" s="4" t="s">
        <v>27</v>
      </c>
      <c r="I2454" s="4" t="s">
        <v>27</v>
      </c>
      <c r="J2454" s="4" t="s">
        <v>27</v>
      </c>
      <c r="K2454" s="4" t="s">
        <v>27</v>
      </c>
      <c r="L2454" s="4" t="s">
        <v>27</v>
      </c>
      <c r="M2454" s="4" t="s">
        <v>27</v>
      </c>
      <c r="N2454" s="4" t="s">
        <v>27</v>
      </c>
    </row>
    <row r="2455" hidden="1">
      <c r="B2455" s="4" t="s">
        <v>27</v>
      </c>
      <c r="C2455" s="4" t="s">
        <v>27</v>
      </c>
      <c r="D2455" s="6" t="s">
        <v>27</v>
      </c>
      <c r="E2455" s="6" t="s">
        <v>27</v>
      </c>
      <c r="F2455" s="6" t="s">
        <v>27</v>
      </c>
      <c r="G2455" s="4" t="s">
        <v>27</v>
      </c>
      <c r="H2455" s="4" t="s">
        <v>27</v>
      </c>
      <c r="I2455" s="4" t="s">
        <v>27</v>
      </c>
      <c r="J2455" s="4" t="s">
        <v>27</v>
      </c>
      <c r="K2455" s="4" t="s">
        <v>27</v>
      </c>
      <c r="L2455" s="4" t="s">
        <v>27</v>
      </c>
      <c r="M2455" s="4" t="s">
        <v>27</v>
      </c>
      <c r="N2455" s="4" t="s">
        <v>27</v>
      </c>
    </row>
    <row r="2456" hidden="1">
      <c r="B2456" s="4" t="s">
        <v>27</v>
      </c>
      <c r="C2456" s="4" t="s">
        <v>27</v>
      </c>
      <c r="D2456" s="6" t="s">
        <v>27</v>
      </c>
      <c r="E2456" s="6" t="s">
        <v>27</v>
      </c>
      <c r="F2456" s="6" t="s">
        <v>27</v>
      </c>
      <c r="G2456" s="4" t="s">
        <v>27</v>
      </c>
      <c r="H2456" s="4" t="s">
        <v>27</v>
      </c>
      <c r="I2456" s="4" t="s">
        <v>27</v>
      </c>
      <c r="J2456" s="4" t="s">
        <v>27</v>
      </c>
      <c r="K2456" s="4" t="s">
        <v>27</v>
      </c>
      <c r="L2456" s="4" t="s">
        <v>27</v>
      </c>
      <c r="M2456" s="4" t="s">
        <v>27</v>
      </c>
      <c r="N2456" s="4" t="s">
        <v>27</v>
      </c>
    </row>
    <row r="2457" hidden="1">
      <c r="B2457" s="4" t="s">
        <v>27</v>
      </c>
      <c r="C2457" s="4" t="s">
        <v>27</v>
      </c>
      <c r="D2457" s="6" t="s">
        <v>27</v>
      </c>
      <c r="E2457" s="6" t="s">
        <v>27</v>
      </c>
      <c r="F2457" s="6" t="s">
        <v>27</v>
      </c>
      <c r="G2457" s="4" t="s">
        <v>27</v>
      </c>
      <c r="H2457" s="4" t="s">
        <v>27</v>
      </c>
      <c r="I2457" s="4" t="s">
        <v>27</v>
      </c>
      <c r="J2457" s="4" t="s">
        <v>27</v>
      </c>
      <c r="K2457" s="4" t="s">
        <v>27</v>
      </c>
      <c r="L2457" s="4" t="s">
        <v>27</v>
      </c>
      <c r="M2457" s="4" t="s">
        <v>27</v>
      </c>
      <c r="N2457" s="4" t="s">
        <v>27</v>
      </c>
    </row>
    <row r="2458" hidden="1">
      <c r="B2458" s="4" t="s">
        <v>27</v>
      </c>
      <c r="C2458" s="4" t="s">
        <v>27</v>
      </c>
      <c r="D2458" s="6" t="s">
        <v>27</v>
      </c>
      <c r="E2458" s="6" t="s">
        <v>27</v>
      </c>
      <c r="F2458" s="6" t="s">
        <v>27</v>
      </c>
      <c r="G2458" s="4" t="s">
        <v>27</v>
      </c>
      <c r="H2458" s="4" t="s">
        <v>27</v>
      </c>
      <c r="I2458" s="4" t="s">
        <v>27</v>
      </c>
      <c r="J2458" s="4" t="s">
        <v>27</v>
      </c>
      <c r="K2458" s="4" t="s">
        <v>27</v>
      </c>
      <c r="L2458" s="4" t="s">
        <v>27</v>
      </c>
      <c r="M2458" s="4" t="s">
        <v>27</v>
      </c>
      <c r="N2458" s="4" t="s">
        <v>27</v>
      </c>
    </row>
    <row r="2459" hidden="1">
      <c r="B2459" s="4" t="s">
        <v>27</v>
      </c>
      <c r="C2459" s="4" t="s">
        <v>27</v>
      </c>
      <c r="D2459" s="6" t="s">
        <v>27</v>
      </c>
      <c r="E2459" s="6" t="s">
        <v>27</v>
      </c>
      <c r="F2459" s="6" t="s">
        <v>27</v>
      </c>
      <c r="G2459" s="4" t="s">
        <v>27</v>
      </c>
      <c r="H2459" s="4" t="s">
        <v>27</v>
      </c>
      <c r="I2459" s="4" t="s">
        <v>27</v>
      </c>
      <c r="J2459" s="4" t="s">
        <v>27</v>
      </c>
      <c r="K2459" s="4" t="s">
        <v>27</v>
      </c>
      <c r="L2459" s="4" t="s">
        <v>27</v>
      </c>
      <c r="M2459" s="4" t="s">
        <v>27</v>
      </c>
      <c r="N2459" s="4" t="s">
        <v>27</v>
      </c>
    </row>
    <row r="2460" hidden="1">
      <c r="B2460" s="4" t="s">
        <v>27</v>
      </c>
      <c r="C2460" s="4" t="s">
        <v>27</v>
      </c>
      <c r="D2460" s="6" t="s">
        <v>27</v>
      </c>
      <c r="E2460" s="6" t="s">
        <v>27</v>
      </c>
      <c r="F2460" s="6" t="s">
        <v>27</v>
      </c>
      <c r="G2460" s="4" t="s">
        <v>27</v>
      </c>
      <c r="H2460" s="4" t="s">
        <v>27</v>
      </c>
      <c r="I2460" s="4" t="s">
        <v>27</v>
      </c>
      <c r="J2460" s="4" t="s">
        <v>27</v>
      </c>
      <c r="K2460" s="4" t="s">
        <v>27</v>
      </c>
      <c r="L2460" s="4" t="s">
        <v>27</v>
      </c>
      <c r="M2460" s="4" t="s">
        <v>27</v>
      </c>
      <c r="N2460" s="4" t="s">
        <v>27</v>
      </c>
    </row>
    <row r="2461" hidden="1">
      <c r="B2461" s="4" t="s">
        <v>27</v>
      </c>
      <c r="C2461" s="4" t="s">
        <v>27</v>
      </c>
      <c r="D2461" s="6" t="s">
        <v>27</v>
      </c>
      <c r="E2461" s="6" t="s">
        <v>27</v>
      </c>
      <c r="F2461" s="6" t="s">
        <v>27</v>
      </c>
      <c r="G2461" s="4" t="s">
        <v>27</v>
      </c>
      <c r="H2461" s="4" t="s">
        <v>27</v>
      </c>
      <c r="I2461" s="4" t="s">
        <v>27</v>
      </c>
      <c r="J2461" s="4" t="s">
        <v>27</v>
      </c>
      <c r="K2461" s="4" t="s">
        <v>27</v>
      </c>
      <c r="L2461" s="4" t="s">
        <v>27</v>
      </c>
      <c r="M2461" s="4" t="s">
        <v>27</v>
      </c>
      <c r="N2461" s="4" t="s">
        <v>27</v>
      </c>
    </row>
    <row r="2462" hidden="1">
      <c r="B2462" s="4" t="s">
        <v>27</v>
      </c>
      <c r="C2462" s="4" t="s">
        <v>27</v>
      </c>
      <c r="D2462" s="6" t="s">
        <v>27</v>
      </c>
      <c r="E2462" s="6" t="s">
        <v>27</v>
      </c>
      <c r="F2462" s="6" t="s">
        <v>27</v>
      </c>
      <c r="G2462" s="4" t="s">
        <v>27</v>
      </c>
      <c r="H2462" s="4" t="s">
        <v>27</v>
      </c>
      <c r="I2462" s="4" t="s">
        <v>27</v>
      </c>
      <c r="J2462" s="4" t="s">
        <v>27</v>
      </c>
      <c r="K2462" s="4" t="s">
        <v>27</v>
      </c>
      <c r="L2462" s="4" t="s">
        <v>27</v>
      </c>
      <c r="M2462" s="4" t="s">
        <v>27</v>
      </c>
      <c r="N2462" s="4" t="s">
        <v>27</v>
      </c>
    </row>
    <row r="2463" hidden="1">
      <c r="B2463" s="4" t="s">
        <v>27</v>
      </c>
      <c r="C2463" s="4" t="s">
        <v>27</v>
      </c>
      <c r="D2463" s="6" t="s">
        <v>27</v>
      </c>
      <c r="E2463" s="6" t="s">
        <v>27</v>
      </c>
      <c r="F2463" s="6" t="s">
        <v>27</v>
      </c>
      <c r="G2463" s="4" t="s">
        <v>27</v>
      </c>
      <c r="H2463" s="4" t="s">
        <v>27</v>
      </c>
      <c r="I2463" s="4" t="s">
        <v>27</v>
      </c>
      <c r="J2463" s="4" t="s">
        <v>27</v>
      </c>
      <c r="K2463" s="4" t="s">
        <v>27</v>
      </c>
      <c r="L2463" s="4" t="s">
        <v>27</v>
      </c>
      <c r="M2463" s="4" t="s">
        <v>27</v>
      </c>
      <c r="N2463" s="4" t="s">
        <v>27</v>
      </c>
    </row>
    <row r="2464" hidden="1">
      <c r="B2464" s="4" t="s">
        <v>27</v>
      </c>
      <c r="C2464" s="4" t="s">
        <v>27</v>
      </c>
      <c r="D2464" s="6" t="s">
        <v>27</v>
      </c>
      <c r="E2464" s="6" t="s">
        <v>27</v>
      </c>
      <c r="F2464" s="6" t="s">
        <v>27</v>
      </c>
      <c r="G2464" s="4" t="s">
        <v>27</v>
      </c>
      <c r="H2464" s="4" t="s">
        <v>27</v>
      </c>
      <c r="I2464" s="4" t="s">
        <v>27</v>
      </c>
      <c r="J2464" s="4" t="s">
        <v>27</v>
      </c>
      <c r="K2464" s="4" t="s">
        <v>27</v>
      </c>
      <c r="L2464" s="4" t="s">
        <v>27</v>
      </c>
      <c r="M2464" s="4" t="s">
        <v>27</v>
      </c>
      <c r="N2464" s="4" t="s">
        <v>27</v>
      </c>
    </row>
    <row r="2465" hidden="1">
      <c r="B2465" s="4" t="s">
        <v>27</v>
      </c>
      <c r="C2465" s="4" t="s">
        <v>27</v>
      </c>
      <c r="D2465" s="6" t="s">
        <v>27</v>
      </c>
      <c r="E2465" s="6" t="s">
        <v>27</v>
      </c>
      <c r="F2465" s="6" t="s">
        <v>27</v>
      </c>
      <c r="G2465" s="4" t="s">
        <v>27</v>
      </c>
      <c r="H2465" s="4" t="s">
        <v>27</v>
      </c>
      <c r="I2465" s="4" t="s">
        <v>27</v>
      </c>
      <c r="J2465" s="4" t="s">
        <v>27</v>
      </c>
      <c r="K2465" s="4" t="s">
        <v>27</v>
      </c>
      <c r="L2465" s="4" t="s">
        <v>27</v>
      </c>
      <c r="M2465" s="4" t="s">
        <v>27</v>
      </c>
      <c r="N2465" s="4" t="s">
        <v>27</v>
      </c>
    </row>
    <row r="2466" hidden="1">
      <c r="B2466" s="4" t="s">
        <v>27</v>
      </c>
      <c r="C2466" s="4" t="s">
        <v>27</v>
      </c>
      <c r="D2466" s="6" t="s">
        <v>27</v>
      </c>
      <c r="E2466" s="6" t="s">
        <v>27</v>
      </c>
      <c r="F2466" s="6" t="s">
        <v>27</v>
      </c>
      <c r="G2466" s="4" t="s">
        <v>27</v>
      </c>
      <c r="H2466" s="4" t="s">
        <v>27</v>
      </c>
      <c r="I2466" s="4" t="s">
        <v>27</v>
      </c>
      <c r="J2466" s="4" t="s">
        <v>27</v>
      </c>
      <c r="K2466" s="4" t="s">
        <v>27</v>
      </c>
      <c r="L2466" s="4" t="s">
        <v>27</v>
      </c>
      <c r="M2466" s="4" t="s">
        <v>27</v>
      </c>
      <c r="N2466" s="4" t="s">
        <v>27</v>
      </c>
    </row>
    <row r="2467" hidden="1">
      <c r="B2467" s="4" t="s">
        <v>27</v>
      </c>
      <c r="C2467" s="4" t="s">
        <v>27</v>
      </c>
      <c r="D2467" s="6" t="s">
        <v>27</v>
      </c>
      <c r="E2467" s="6" t="s">
        <v>27</v>
      </c>
      <c r="F2467" s="6" t="s">
        <v>27</v>
      </c>
      <c r="G2467" s="4" t="s">
        <v>27</v>
      </c>
      <c r="H2467" s="4" t="s">
        <v>27</v>
      </c>
      <c r="I2467" s="4" t="s">
        <v>27</v>
      </c>
      <c r="J2467" s="4" t="s">
        <v>27</v>
      </c>
      <c r="K2467" s="4" t="s">
        <v>27</v>
      </c>
      <c r="L2467" s="4" t="s">
        <v>27</v>
      </c>
      <c r="M2467" s="4" t="s">
        <v>27</v>
      </c>
      <c r="N2467" s="4" t="s">
        <v>27</v>
      </c>
    </row>
    <row r="2468" hidden="1">
      <c r="B2468" s="4" t="s">
        <v>27</v>
      </c>
      <c r="C2468" s="4" t="s">
        <v>27</v>
      </c>
      <c r="D2468" s="6" t="s">
        <v>27</v>
      </c>
      <c r="E2468" s="6" t="s">
        <v>27</v>
      </c>
      <c r="F2468" s="6" t="s">
        <v>27</v>
      </c>
      <c r="G2468" s="4" t="s">
        <v>27</v>
      </c>
      <c r="H2468" s="4" t="s">
        <v>27</v>
      </c>
      <c r="I2468" s="4" t="s">
        <v>27</v>
      </c>
      <c r="J2468" s="4" t="s">
        <v>27</v>
      </c>
      <c r="K2468" s="4" t="s">
        <v>27</v>
      </c>
      <c r="L2468" s="4" t="s">
        <v>27</v>
      </c>
      <c r="M2468" s="4" t="s">
        <v>27</v>
      </c>
      <c r="N2468" s="4" t="s">
        <v>27</v>
      </c>
    </row>
    <row r="2469" hidden="1">
      <c r="B2469" s="4" t="s">
        <v>27</v>
      </c>
      <c r="C2469" s="4" t="s">
        <v>27</v>
      </c>
      <c r="D2469" s="6" t="s">
        <v>27</v>
      </c>
      <c r="E2469" s="6" t="s">
        <v>27</v>
      </c>
      <c r="F2469" s="6" t="s">
        <v>27</v>
      </c>
      <c r="G2469" s="4" t="s">
        <v>27</v>
      </c>
      <c r="H2469" s="4" t="s">
        <v>27</v>
      </c>
      <c r="I2469" s="4" t="s">
        <v>27</v>
      </c>
      <c r="J2469" s="4" t="s">
        <v>27</v>
      </c>
      <c r="K2469" s="4" t="s">
        <v>27</v>
      </c>
      <c r="L2469" s="4" t="s">
        <v>27</v>
      </c>
      <c r="M2469" s="4" t="s">
        <v>27</v>
      </c>
      <c r="N2469" s="4" t="s">
        <v>27</v>
      </c>
    </row>
    <row r="2470" hidden="1">
      <c r="B2470" s="4" t="s">
        <v>27</v>
      </c>
      <c r="C2470" s="4" t="s">
        <v>27</v>
      </c>
      <c r="D2470" s="6" t="s">
        <v>27</v>
      </c>
      <c r="E2470" s="6" t="s">
        <v>27</v>
      </c>
      <c r="F2470" s="6" t="s">
        <v>27</v>
      </c>
      <c r="G2470" s="4" t="s">
        <v>27</v>
      </c>
      <c r="H2470" s="4" t="s">
        <v>27</v>
      </c>
      <c r="I2470" s="4" t="s">
        <v>27</v>
      </c>
      <c r="J2470" s="4" t="s">
        <v>27</v>
      </c>
      <c r="K2470" s="4" t="s">
        <v>27</v>
      </c>
      <c r="L2470" s="4" t="s">
        <v>27</v>
      </c>
      <c r="M2470" s="4" t="s">
        <v>27</v>
      </c>
      <c r="N2470" s="4" t="s">
        <v>27</v>
      </c>
    </row>
    <row r="2471" hidden="1">
      <c r="B2471" s="4" t="s">
        <v>27</v>
      </c>
      <c r="C2471" s="4" t="s">
        <v>27</v>
      </c>
      <c r="D2471" s="6" t="s">
        <v>27</v>
      </c>
      <c r="E2471" s="6" t="s">
        <v>27</v>
      </c>
      <c r="F2471" s="6" t="s">
        <v>27</v>
      </c>
      <c r="G2471" s="4" t="s">
        <v>27</v>
      </c>
      <c r="H2471" s="4" t="s">
        <v>27</v>
      </c>
      <c r="I2471" s="4" t="s">
        <v>27</v>
      </c>
      <c r="J2471" s="4" t="s">
        <v>27</v>
      </c>
      <c r="K2471" s="4" t="s">
        <v>27</v>
      </c>
      <c r="L2471" s="4" t="s">
        <v>27</v>
      </c>
      <c r="M2471" s="4" t="s">
        <v>27</v>
      </c>
      <c r="N2471" s="4" t="s">
        <v>27</v>
      </c>
    </row>
    <row r="2472" hidden="1">
      <c r="B2472" s="4" t="s">
        <v>27</v>
      </c>
      <c r="C2472" s="4" t="s">
        <v>27</v>
      </c>
      <c r="D2472" s="6" t="s">
        <v>27</v>
      </c>
      <c r="E2472" s="6" t="s">
        <v>27</v>
      </c>
      <c r="F2472" s="6" t="s">
        <v>27</v>
      </c>
      <c r="G2472" s="4" t="s">
        <v>27</v>
      </c>
      <c r="H2472" s="4" t="s">
        <v>27</v>
      </c>
      <c r="I2472" s="4" t="s">
        <v>27</v>
      </c>
      <c r="J2472" s="4" t="s">
        <v>27</v>
      </c>
      <c r="K2472" s="4" t="s">
        <v>27</v>
      </c>
      <c r="L2472" s="4" t="s">
        <v>27</v>
      </c>
      <c r="M2472" s="4" t="s">
        <v>27</v>
      </c>
      <c r="N2472" s="4" t="s">
        <v>27</v>
      </c>
    </row>
    <row r="2473" hidden="1">
      <c r="B2473" s="4" t="s">
        <v>27</v>
      </c>
      <c r="C2473" s="4" t="s">
        <v>27</v>
      </c>
      <c r="D2473" s="6" t="s">
        <v>27</v>
      </c>
      <c r="E2473" s="6" t="s">
        <v>27</v>
      </c>
      <c r="F2473" s="6" t="s">
        <v>27</v>
      </c>
      <c r="G2473" s="4" t="s">
        <v>27</v>
      </c>
      <c r="H2473" s="4" t="s">
        <v>27</v>
      </c>
      <c r="I2473" s="4" t="s">
        <v>27</v>
      </c>
      <c r="J2473" s="4" t="s">
        <v>27</v>
      </c>
      <c r="K2473" s="4" t="s">
        <v>27</v>
      </c>
      <c r="L2473" s="4" t="s">
        <v>27</v>
      </c>
      <c r="M2473" s="4" t="s">
        <v>27</v>
      </c>
      <c r="N2473" s="4" t="s">
        <v>27</v>
      </c>
    </row>
    <row r="2474" hidden="1">
      <c r="B2474" s="4" t="s">
        <v>27</v>
      </c>
      <c r="C2474" s="4" t="s">
        <v>27</v>
      </c>
      <c r="D2474" s="6" t="s">
        <v>27</v>
      </c>
      <c r="E2474" s="6" t="s">
        <v>27</v>
      </c>
      <c r="F2474" s="6" t="s">
        <v>27</v>
      </c>
      <c r="G2474" s="4" t="s">
        <v>27</v>
      </c>
      <c r="H2474" s="4" t="s">
        <v>27</v>
      </c>
      <c r="I2474" s="4" t="s">
        <v>27</v>
      </c>
      <c r="J2474" s="4" t="s">
        <v>27</v>
      </c>
      <c r="K2474" s="4" t="s">
        <v>27</v>
      </c>
      <c r="L2474" s="4" t="s">
        <v>27</v>
      </c>
      <c r="M2474" s="4" t="s">
        <v>27</v>
      </c>
      <c r="N2474" s="4" t="s">
        <v>27</v>
      </c>
    </row>
    <row r="2475" hidden="1">
      <c r="B2475" s="4" t="s">
        <v>27</v>
      </c>
      <c r="C2475" s="4" t="s">
        <v>27</v>
      </c>
      <c r="D2475" s="6" t="s">
        <v>27</v>
      </c>
      <c r="E2475" s="6" t="s">
        <v>27</v>
      </c>
      <c r="F2475" s="6" t="s">
        <v>27</v>
      </c>
      <c r="G2475" s="4" t="s">
        <v>27</v>
      </c>
      <c r="H2475" s="4" t="s">
        <v>27</v>
      </c>
      <c r="I2475" s="4" t="s">
        <v>27</v>
      </c>
      <c r="J2475" s="4" t="s">
        <v>27</v>
      </c>
      <c r="K2475" s="4" t="s">
        <v>27</v>
      </c>
      <c r="L2475" s="4" t="s">
        <v>27</v>
      </c>
      <c r="M2475" s="4" t="s">
        <v>27</v>
      </c>
      <c r="N2475" s="4" t="s">
        <v>27</v>
      </c>
    </row>
    <row r="2476" hidden="1">
      <c r="B2476" s="4" t="s">
        <v>27</v>
      </c>
      <c r="C2476" s="4" t="s">
        <v>27</v>
      </c>
      <c r="D2476" s="6" t="s">
        <v>27</v>
      </c>
      <c r="E2476" s="6" t="s">
        <v>27</v>
      </c>
      <c r="F2476" s="6" t="s">
        <v>27</v>
      </c>
      <c r="G2476" s="4" t="s">
        <v>27</v>
      </c>
      <c r="H2476" s="4" t="s">
        <v>27</v>
      </c>
      <c r="I2476" s="4" t="s">
        <v>27</v>
      </c>
      <c r="J2476" s="4" t="s">
        <v>27</v>
      </c>
      <c r="K2476" s="4" t="s">
        <v>27</v>
      </c>
      <c r="L2476" s="4" t="s">
        <v>27</v>
      </c>
      <c r="M2476" s="4" t="s">
        <v>27</v>
      </c>
      <c r="N2476" s="4" t="s">
        <v>27</v>
      </c>
    </row>
    <row r="2477" hidden="1">
      <c r="B2477" s="4" t="s">
        <v>27</v>
      </c>
      <c r="C2477" s="4" t="s">
        <v>27</v>
      </c>
      <c r="D2477" s="6" t="s">
        <v>27</v>
      </c>
      <c r="E2477" s="6" t="s">
        <v>27</v>
      </c>
      <c r="F2477" s="6" t="s">
        <v>27</v>
      </c>
      <c r="G2477" s="4" t="s">
        <v>27</v>
      </c>
      <c r="H2477" s="4" t="s">
        <v>27</v>
      </c>
      <c r="I2477" s="4" t="s">
        <v>27</v>
      </c>
      <c r="J2477" s="4" t="s">
        <v>27</v>
      </c>
      <c r="K2477" s="4" t="s">
        <v>27</v>
      </c>
      <c r="L2477" s="4" t="s">
        <v>27</v>
      </c>
      <c r="M2477" s="4" t="s">
        <v>27</v>
      </c>
      <c r="N2477" s="4" t="s">
        <v>27</v>
      </c>
    </row>
    <row r="2478" hidden="1">
      <c r="B2478" s="4" t="s">
        <v>27</v>
      </c>
      <c r="C2478" s="4" t="s">
        <v>27</v>
      </c>
      <c r="D2478" s="6" t="s">
        <v>27</v>
      </c>
      <c r="E2478" s="6" t="s">
        <v>27</v>
      </c>
      <c r="F2478" s="6" t="s">
        <v>27</v>
      </c>
      <c r="G2478" s="4" t="s">
        <v>27</v>
      </c>
      <c r="H2478" s="4" t="s">
        <v>27</v>
      </c>
      <c r="I2478" s="4" t="s">
        <v>27</v>
      </c>
      <c r="J2478" s="4" t="s">
        <v>27</v>
      </c>
      <c r="K2478" s="4" t="s">
        <v>27</v>
      </c>
      <c r="L2478" s="4" t="s">
        <v>27</v>
      </c>
      <c r="M2478" s="4" t="s">
        <v>27</v>
      </c>
      <c r="N2478" s="4" t="s">
        <v>27</v>
      </c>
    </row>
    <row r="2479" hidden="1">
      <c r="B2479" s="4" t="s">
        <v>27</v>
      </c>
      <c r="C2479" s="4" t="s">
        <v>27</v>
      </c>
      <c r="D2479" s="6" t="s">
        <v>27</v>
      </c>
      <c r="E2479" s="6" t="s">
        <v>27</v>
      </c>
      <c r="F2479" s="6" t="s">
        <v>27</v>
      </c>
      <c r="G2479" s="4" t="s">
        <v>27</v>
      </c>
      <c r="H2479" s="4" t="s">
        <v>27</v>
      </c>
      <c r="I2479" s="4" t="s">
        <v>27</v>
      </c>
      <c r="J2479" s="4" t="s">
        <v>27</v>
      </c>
      <c r="K2479" s="4" t="s">
        <v>27</v>
      </c>
      <c r="L2479" s="4" t="s">
        <v>27</v>
      </c>
      <c r="M2479" s="4" t="s">
        <v>27</v>
      </c>
      <c r="N2479" s="4" t="s">
        <v>27</v>
      </c>
    </row>
    <row r="2480" hidden="1">
      <c r="B2480" s="4" t="s">
        <v>27</v>
      </c>
      <c r="C2480" s="4" t="s">
        <v>27</v>
      </c>
      <c r="D2480" s="6" t="s">
        <v>27</v>
      </c>
      <c r="E2480" s="6" t="s">
        <v>27</v>
      </c>
      <c r="F2480" s="6" t="s">
        <v>27</v>
      </c>
      <c r="G2480" s="4" t="s">
        <v>27</v>
      </c>
      <c r="H2480" s="4" t="s">
        <v>27</v>
      </c>
      <c r="I2480" s="4" t="s">
        <v>27</v>
      </c>
      <c r="J2480" s="4" t="s">
        <v>27</v>
      </c>
      <c r="K2480" s="4" t="s">
        <v>27</v>
      </c>
      <c r="L2480" s="4" t="s">
        <v>27</v>
      </c>
      <c r="M2480" s="4" t="s">
        <v>27</v>
      </c>
      <c r="N2480" s="4" t="s">
        <v>27</v>
      </c>
    </row>
    <row r="2481" hidden="1">
      <c r="B2481" s="4" t="s">
        <v>27</v>
      </c>
      <c r="C2481" s="4" t="s">
        <v>27</v>
      </c>
      <c r="D2481" s="6" t="s">
        <v>27</v>
      </c>
      <c r="E2481" s="6" t="s">
        <v>27</v>
      </c>
      <c r="F2481" s="6" t="s">
        <v>27</v>
      </c>
      <c r="G2481" s="4" t="s">
        <v>27</v>
      </c>
      <c r="H2481" s="4" t="s">
        <v>27</v>
      </c>
      <c r="I2481" s="4" t="s">
        <v>27</v>
      </c>
      <c r="J2481" s="4" t="s">
        <v>27</v>
      </c>
      <c r="K2481" s="4" t="s">
        <v>27</v>
      </c>
      <c r="L2481" s="4" t="s">
        <v>27</v>
      </c>
      <c r="M2481" s="4" t="s">
        <v>27</v>
      </c>
      <c r="N2481" s="4" t="s">
        <v>27</v>
      </c>
    </row>
    <row r="2482" hidden="1">
      <c r="B2482" s="4" t="s">
        <v>27</v>
      </c>
      <c r="C2482" s="4" t="s">
        <v>27</v>
      </c>
      <c r="D2482" s="6" t="s">
        <v>27</v>
      </c>
      <c r="E2482" s="6" t="s">
        <v>27</v>
      </c>
      <c r="F2482" s="6" t="s">
        <v>27</v>
      </c>
      <c r="G2482" s="4" t="s">
        <v>27</v>
      </c>
      <c r="H2482" s="4" t="s">
        <v>27</v>
      </c>
      <c r="I2482" s="4" t="s">
        <v>27</v>
      </c>
      <c r="J2482" s="4" t="s">
        <v>27</v>
      </c>
      <c r="K2482" s="4" t="s">
        <v>27</v>
      </c>
      <c r="L2482" s="4" t="s">
        <v>27</v>
      </c>
      <c r="M2482" s="4" t="s">
        <v>27</v>
      </c>
      <c r="N2482" s="4" t="s">
        <v>27</v>
      </c>
    </row>
    <row r="2483" hidden="1">
      <c r="B2483" s="4" t="s">
        <v>27</v>
      </c>
      <c r="C2483" s="4" t="s">
        <v>27</v>
      </c>
      <c r="D2483" s="6" t="s">
        <v>27</v>
      </c>
      <c r="E2483" s="6" t="s">
        <v>27</v>
      </c>
      <c r="F2483" s="6" t="s">
        <v>27</v>
      </c>
      <c r="G2483" s="4" t="s">
        <v>27</v>
      </c>
      <c r="H2483" s="4" t="s">
        <v>27</v>
      </c>
      <c r="I2483" s="4" t="s">
        <v>27</v>
      </c>
      <c r="J2483" s="4" t="s">
        <v>27</v>
      </c>
      <c r="K2483" s="4" t="s">
        <v>27</v>
      </c>
      <c r="L2483" s="4" t="s">
        <v>27</v>
      </c>
      <c r="M2483" s="4" t="s">
        <v>27</v>
      </c>
      <c r="N2483" s="4" t="s">
        <v>27</v>
      </c>
    </row>
    <row r="2484" hidden="1">
      <c r="B2484" s="4" t="s">
        <v>27</v>
      </c>
      <c r="C2484" s="4" t="s">
        <v>27</v>
      </c>
      <c r="D2484" s="6" t="s">
        <v>27</v>
      </c>
      <c r="E2484" s="6" t="s">
        <v>27</v>
      </c>
      <c r="F2484" s="6" t="s">
        <v>27</v>
      </c>
      <c r="G2484" s="4" t="s">
        <v>27</v>
      </c>
      <c r="H2484" s="4" t="s">
        <v>27</v>
      </c>
      <c r="I2484" s="4" t="s">
        <v>27</v>
      </c>
      <c r="J2484" s="4" t="s">
        <v>27</v>
      </c>
      <c r="K2484" s="4" t="s">
        <v>27</v>
      </c>
      <c r="L2484" s="4" t="s">
        <v>27</v>
      </c>
      <c r="M2484" s="4" t="s">
        <v>27</v>
      </c>
      <c r="N2484" s="4" t="s">
        <v>27</v>
      </c>
    </row>
    <row r="2485" hidden="1">
      <c r="B2485" s="4" t="s">
        <v>27</v>
      </c>
      <c r="C2485" s="4" t="s">
        <v>27</v>
      </c>
      <c r="D2485" s="6" t="s">
        <v>27</v>
      </c>
      <c r="E2485" s="6" t="s">
        <v>27</v>
      </c>
      <c r="F2485" s="6" t="s">
        <v>27</v>
      </c>
      <c r="G2485" s="4" t="s">
        <v>27</v>
      </c>
      <c r="H2485" s="4" t="s">
        <v>27</v>
      </c>
      <c r="I2485" s="4" t="s">
        <v>27</v>
      </c>
      <c r="J2485" s="4" t="s">
        <v>27</v>
      </c>
      <c r="K2485" s="4" t="s">
        <v>27</v>
      </c>
      <c r="L2485" s="4" t="s">
        <v>27</v>
      </c>
      <c r="M2485" s="4" t="s">
        <v>27</v>
      </c>
      <c r="N2485" s="4" t="s">
        <v>27</v>
      </c>
    </row>
    <row r="2486" hidden="1">
      <c r="B2486" s="4" t="s">
        <v>27</v>
      </c>
      <c r="C2486" s="4" t="s">
        <v>27</v>
      </c>
      <c r="D2486" s="6" t="s">
        <v>27</v>
      </c>
      <c r="E2486" s="6" t="s">
        <v>27</v>
      </c>
      <c r="F2486" s="6" t="s">
        <v>27</v>
      </c>
      <c r="G2486" s="4" t="s">
        <v>27</v>
      </c>
      <c r="H2486" s="4" t="s">
        <v>27</v>
      </c>
      <c r="I2486" s="4" t="s">
        <v>27</v>
      </c>
      <c r="J2486" s="4" t="s">
        <v>27</v>
      </c>
      <c r="K2486" s="4" t="s">
        <v>27</v>
      </c>
      <c r="L2486" s="4" t="s">
        <v>27</v>
      </c>
      <c r="M2486" s="4" t="s">
        <v>27</v>
      </c>
      <c r="N2486" s="4" t="s">
        <v>27</v>
      </c>
    </row>
    <row r="2487" hidden="1">
      <c r="B2487" s="4" t="s">
        <v>27</v>
      </c>
      <c r="C2487" s="4" t="s">
        <v>27</v>
      </c>
      <c r="D2487" s="6" t="s">
        <v>27</v>
      </c>
      <c r="E2487" s="6" t="s">
        <v>27</v>
      </c>
      <c r="F2487" s="6" t="s">
        <v>27</v>
      </c>
      <c r="G2487" s="4" t="s">
        <v>27</v>
      </c>
      <c r="H2487" s="4" t="s">
        <v>27</v>
      </c>
      <c r="I2487" s="4" t="s">
        <v>27</v>
      </c>
      <c r="J2487" s="4" t="s">
        <v>27</v>
      </c>
      <c r="K2487" s="4" t="s">
        <v>27</v>
      </c>
      <c r="L2487" s="4" t="s">
        <v>27</v>
      </c>
      <c r="M2487" s="4" t="s">
        <v>27</v>
      </c>
      <c r="N2487" s="4" t="s">
        <v>27</v>
      </c>
    </row>
    <row r="2488" hidden="1">
      <c r="B2488" s="4" t="s">
        <v>27</v>
      </c>
      <c r="C2488" s="4" t="s">
        <v>27</v>
      </c>
      <c r="D2488" s="6" t="s">
        <v>27</v>
      </c>
      <c r="E2488" s="6" t="s">
        <v>27</v>
      </c>
      <c r="F2488" s="6" t="s">
        <v>27</v>
      </c>
      <c r="G2488" s="4" t="s">
        <v>27</v>
      </c>
      <c r="H2488" s="4" t="s">
        <v>27</v>
      </c>
      <c r="I2488" s="4" t="s">
        <v>27</v>
      </c>
      <c r="J2488" s="4" t="s">
        <v>27</v>
      </c>
      <c r="K2488" s="4" t="s">
        <v>27</v>
      </c>
      <c r="L2488" s="4" t="s">
        <v>27</v>
      </c>
      <c r="M2488" s="4" t="s">
        <v>27</v>
      </c>
      <c r="N2488" s="4" t="s">
        <v>27</v>
      </c>
    </row>
    <row r="2489" hidden="1">
      <c r="B2489" s="4" t="s">
        <v>27</v>
      </c>
      <c r="C2489" s="4" t="s">
        <v>27</v>
      </c>
      <c r="D2489" s="6" t="s">
        <v>27</v>
      </c>
      <c r="E2489" s="6" t="s">
        <v>27</v>
      </c>
      <c r="F2489" s="6" t="s">
        <v>27</v>
      </c>
      <c r="G2489" s="4" t="s">
        <v>27</v>
      </c>
      <c r="H2489" s="4" t="s">
        <v>27</v>
      </c>
      <c r="I2489" s="4" t="s">
        <v>27</v>
      </c>
      <c r="J2489" s="4" t="s">
        <v>27</v>
      </c>
      <c r="K2489" s="4" t="s">
        <v>27</v>
      </c>
      <c r="L2489" s="4" t="s">
        <v>27</v>
      </c>
      <c r="M2489" s="4" t="s">
        <v>27</v>
      </c>
      <c r="N2489" s="4" t="s">
        <v>27</v>
      </c>
    </row>
    <row r="2490" hidden="1">
      <c r="B2490" s="4" t="s">
        <v>27</v>
      </c>
      <c r="C2490" s="4" t="s">
        <v>27</v>
      </c>
      <c r="D2490" s="6" t="s">
        <v>27</v>
      </c>
      <c r="E2490" s="6" t="s">
        <v>27</v>
      </c>
      <c r="F2490" s="6" t="s">
        <v>27</v>
      </c>
      <c r="G2490" s="4" t="s">
        <v>27</v>
      </c>
      <c r="H2490" s="4" t="s">
        <v>27</v>
      </c>
      <c r="I2490" s="4" t="s">
        <v>27</v>
      </c>
      <c r="J2490" s="4" t="s">
        <v>27</v>
      </c>
      <c r="K2490" s="4" t="s">
        <v>27</v>
      </c>
      <c r="L2490" s="4" t="s">
        <v>27</v>
      </c>
      <c r="M2490" s="4" t="s">
        <v>27</v>
      </c>
      <c r="N2490" s="4" t="s">
        <v>27</v>
      </c>
    </row>
    <row r="2491" hidden="1">
      <c r="B2491" s="4" t="s">
        <v>27</v>
      </c>
      <c r="C2491" s="4" t="s">
        <v>27</v>
      </c>
      <c r="D2491" s="6" t="s">
        <v>27</v>
      </c>
      <c r="E2491" s="6" t="s">
        <v>27</v>
      </c>
      <c r="F2491" s="6" t="s">
        <v>27</v>
      </c>
      <c r="G2491" s="4" t="s">
        <v>27</v>
      </c>
      <c r="H2491" s="4" t="s">
        <v>27</v>
      </c>
      <c r="I2491" s="4" t="s">
        <v>27</v>
      </c>
      <c r="J2491" s="4" t="s">
        <v>27</v>
      </c>
      <c r="K2491" s="4" t="s">
        <v>27</v>
      </c>
      <c r="L2491" s="4" t="s">
        <v>27</v>
      </c>
      <c r="M2491" s="4" t="s">
        <v>27</v>
      </c>
      <c r="N2491" s="4" t="s">
        <v>27</v>
      </c>
    </row>
    <row r="2492" hidden="1">
      <c r="B2492" s="4" t="s">
        <v>27</v>
      </c>
      <c r="C2492" s="4" t="s">
        <v>27</v>
      </c>
      <c r="D2492" s="6" t="s">
        <v>27</v>
      </c>
      <c r="E2492" s="6" t="s">
        <v>27</v>
      </c>
      <c r="F2492" s="6" t="s">
        <v>27</v>
      </c>
      <c r="G2492" s="4" t="s">
        <v>27</v>
      </c>
      <c r="H2492" s="4" t="s">
        <v>27</v>
      </c>
      <c r="I2492" s="4" t="s">
        <v>27</v>
      </c>
      <c r="J2492" s="4" t="s">
        <v>27</v>
      </c>
      <c r="K2492" s="4" t="s">
        <v>27</v>
      </c>
      <c r="L2492" s="4" t="s">
        <v>27</v>
      </c>
      <c r="M2492" s="4" t="s">
        <v>27</v>
      </c>
      <c r="N2492" s="4" t="s">
        <v>27</v>
      </c>
    </row>
    <row r="2493" hidden="1">
      <c r="B2493" s="4" t="s">
        <v>27</v>
      </c>
      <c r="C2493" s="4" t="s">
        <v>27</v>
      </c>
      <c r="D2493" s="6" t="s">
        <v>27</v>
      </c>
      <c r="E2493" s="6" t="s">
        <v>27</v>
      </c>
      <c r="F2493" s="6" t="s">
        <v>27</v>
      </c>
      <c r="G2493" s="4" t="s">
        <v>27</v>
      </c>
      <c r="H2493" s="4" t="s">
        <v>27</v>
      </c>
      <c r="I2493" s="4" t="s">
        <v>27</v>
      </c>
      <c r="J2493" s="4" t="s">
        <v>27</v>
      </c>
      <c r="K2493" s="4" t="s">
        <v>27</v>
      </c>
      <c r="L2493" s="4" t="s">
        <v>27</v>
      </c>
      <c r="M2493" s="4" t="s">
        <v>27</v>
      </c>
      <c r="N2493" s="4" t="s">
        <v>27</v>
      </c>
    </row>
    <row r="2494" hidden="1">
      <c r="B2494" s="4" t="s">
        <v>27</v>
      </c>
      <c r="C2494" s="4" t="s">
        <v>27</v>
      </c>
      <c r="D2494" s="6" t="s">
        <v>27</v>
      </c>
      <c r="E2494" s="6" t="s">
        <v>27</v>
      </c>
      <c r="F2494" s="6" t="s">
        <v>27</v>
      </c>
      <c r="G2494" s="4" t="s">
        <v>27</v>
      </c>
      <c r="H2494" s="4" t="s">
        <v>27</v>
      </c>
      <c r="I2494" s="4" t="s">
        <v>27</v>
      </c>
      <c r="J2494" s="4" t="s">
        <v>27</v>
      </c>
      <c r="K2494" s="4" t="s">
        <v>27</v>
      </c>
      <c r="L2494" s="4" t="s">
        <v>27</v>
      </c>
      <c r="M2494" s="4" t="s">
        <v>27</v>
      </c>
      <c r="N2494" s="4" t="s">
        <v>27</v>
      </c>
    </row>
    <row r="2495" hidden="1">
      <c r="B2495" s="4" t="s">
        <v>27</v>
      </c>
      <c r="C2495" s="4" t="s">
        <v>27</v>
      </c>
      <c r="D2495" s="6" t="s">
        <v>27</v>
      </c>
      <c r="E2495" s="6" t="s">
        <v>27</v>
      </c>
      <c r="F2495" s="6" t="s">
        <v>27</v>
      </c>
      <c r="G2495" s="4" t="s">
        <v>27</v>
      </c>
      <c r="H2495" s="4" t="s">
        <v>27</v>
      </c>
      <c r="I2495" s="4" t="s">
        <v>27</v>
      </c>
      <c r="J2495" s="4" t="s">
        <v>27</v>
      </c>
      <c r="K2495" s="4" t="s">
        <v>27</v>
      </c>
      <c r="L2495" s="4" t="s">
        <v>27</v>
      </c>
      <c r="M2495" s="4" t="s">
        <v>27</v>
      </c>
      <c r="N2495" s="4" t="s">
        <v>27</v>
      </c>
    </row>
    <row r="2496" hidden="1">
      <c r="B2496" s="4" t="s">
        <v>27</v>
      </c>
      <c r="C2496" s="4" t="s">
        <v>27</v>
      </c>
      <c r="D2496" s="6" t="s">
        <v>27</v>
      </c>
      <c r="E2496" s="6" t="s">
        <v>27</v>
      </c>
      <c r="F2496" s="6" t="s">
        <v>27</v>
      </c>
      <c r="G2496" s="4" t="s">
        <v>27</v>
      </c>
      <c r="H2496" s="4" t="s">
        <v>27</v>
      </c>
      <c r="I2496" s="4" t="s">
        <v>27</v>
      </c>
      <c r="J2496" s="4" t="s">
        <v>27</v>
      </c>
      <c r="K2496" s="4" t="s">
        <v>27</v>
      </c>
      <c r="L2496" s="4" t="s">
        <v>27</v>
      </c>
      <c r="M2496" s="4" t="s">
        <v>27</v>
      </c>
      <c r="N2496" s="4" t="s">
        <v>27</v>
      </c>
    </row>
    <row r="2497" hidden="1">
      <c r="B2497" s="4" t="s">
        <v>27</v>
      </c>
      <c r="C2497" s="4" t="s">
        <v>27</v>
      </c>
      <c r="D2497" s="6" t="s">
        <v>27</v>
      </c>
      <c r="E2497" s="6" t="s">
        <v>27</v>
      </c>
      <c r="F2497" s="6" t="s">
        <v>27</v>
      </c>
      <c r="G2497" s="4" t="s">
        <v>27</v>
      </c>
      <c r="H2497" s="4" t="s">
        <v>27</v>
      </c>
      <c r="I2497" s="4" t="s">
        <v>27</v>
      </c>
      <c r="J2497" s="4" t="s">
        <v>27</v>
      </c>
      <c r="K2497" s="4" t="s">
        <v>27</v>
      </c>
      <c r="L2497" s="4" t="s">
        <v>27</v>
      </c>
      <c r="M2497" s="4" t="s">
        <v>27</v>
      </c>
      <c r="N2497" s="4" t="s">
        <v>27</v>
      </c>
    </row>
    <row r="2498" hidden="1">
      <c r="B2498" s="4" t="s">
        <v>27</v>
      </c>
      <c r="C2498" s="4" t="s">
        <v>27</v>
      </c>
      <c r="D2498" s="6" t="s">
        <v>27</v>
      </c>
      <c r="E2498" s="6" t="s">
        <v>27</v>
      </c>
      <c r="F2498" s="6" t="s">
        <v>27</v>
      </c>
      <c r="G2498" s="4" t="s">
        <v>27</v>
      </c>
      <c r="H2498" s="4" t="s">
        <v>27</v>
      </c>
      <c r="I2498" s="4" t="s">
        <v>27</v>
      </c>
      <c r="J2498" s="4" t="s">
        <v>27</v>
      </c>
      <c r="K2498" s="4" t="s">
        <v>27</v>
      </c>
      <c r="L2498" s="4" t="s">
        <v>27</v>
      </c>
      <c r="M2498" s="4" t="s">
        <v>27</v>
      </c>
      <c r="N2498" s="4" t="s">
        <v>27</v>
      </c>
    </row>
    <row r="2499" hidden="1">
      <c r="B2499" s="4" t="s">
        <v>27</v>
      </c>
      <c r="C2499" s="4" t="s">
        <v>27</v>
      </c>
      <c r="D2499" s="6" t="s">
        <v>27</v>
      </c>
      <c r="E2499" s="6" t="s">
        <v>27</v>
      </c>
      <c r="F2499" s="6" t="s">
        <v>27</v>
      </c>
      <c r="G2499" s="4" t="s">
        <v>27</v>
      </c>
      <c r="H2499" s="4" t="s">
        <v>27</v>
      </c>
      <c r="I2499" s="4" t="s">
        <v>27</v>
      </c>
      <c r="J2499" s="4" t="s">
        <v>27</v>
      </c>
      <c r="K2499" s="4" t="s">
        <v>27</v>
      </c>
      <c r="L2499" s="4" t="s">
        <v>27</v>
      </c>
      <c r="M2499" s="4" t="s">
        <v>27</v>
      </c>
      <c r="N2499" s="4" t="s">
        <v>27</v>
      </c>
    </row>
    <row r="2500" hidden="1">
      <c r="B2500" s="4" t="s">
        <v>27</v>
      </c>
      <c r="C2500" s="4" t="s">
        <v>27</v>
      </c>
      <c r="D2500" s="6" t="s">
        <v>27</v>
      </c>
      <c r="E2500" s="6" t="s">
        <v>27</v>
      </c>
      <c r="F2500" s="6" t="s">
        <v>27</v>
      </c>
      <c r="G2500" s="4" t="s">
        <v>27</v>
      </c>
      <c r="H2500" s="4" t="s">
        <v>27</v>
      </c>
      <c r="I2500" s="4" t="s">
        <v>27</v>
      </c>
      <c r="J2500" s="4" t="s">
        <v>27</v>
      </c>
      <c r="K2500" s="4" t="s">
        <v>27</v>
      </c>
      <c r="L2500" s="4" t="s">
        <v>27</v>
      </c>
      <c r="M2500" s="4" t="s">
        <v>27</v>
      </c>
      <c r="N2500" s="4" t="s">
        <v>27</v>
      </c>
    </row>
    <row r="2501" hidden="1">
      <c r="B2501" s="4" t="s">
        <v>27</v>
      </c>
      <c r="C2501" s="4" t="s">
        <v>27</v>
      </c>
      <c r="D2501" s="6" t="s">
        <v>27</v>
      </c>
      <c r="E2501" s="6" t="s">
        <v>27</v>
      </c>
      <c r="F2501" s="6" t="s">
        <v>27</v>
      </c>
      <c r="G2501" s="4" t="s">
        <v>27</v>
      </c>
      <c r="H2501" s="4" t="s">
        <v>27</v>
      </c>
      <c r="I2501" s="4" t="s">
        <v>27</v>
      </c>
      <c r="J2501" s="4" t="s">
        <v>27</v>
      </c>
      <c r="K2501" s="4" t="s">
        <v>27</v>
      </c>
      <c r="L2501" s="4" t="s">
        <v>27</v>
      </c>
      <c r="M2501" s="4" t="s">
        <v>27</v>
      </c>
      <c r="N2501" s="4" t="s">
        <v>27</v>
      </c>
    </row>
    <row r="2502" hidden="1">
      <c r="B2502" s="4" t="s">
        <v>27</v>
      </c>
      <c r="C2502" s="4" t="s">
        <v>27</v>
      </c>
      <c r="D2502" s="6" t="s">
        <v>27</v>
      </c>
      <c r="E2502" s="6" t="s">
        <v>27</v>
      </c>
      <c r="F2502" s="6" t="s">
        <v>27</v>
      </c>
      <c r="G2502" s="4" t="s">
        <v>27</v>
      </c>
      <c r="H2502" s="4" t="s">
        <v>27</v>
      </c>
      <c r="I2502" s="4" t="s">
        <v>27</v>
      </c>
      <c r="J2502" s="4" t="s">
        <v>27</v>
      </c>
      <c r="K2502" s="4" t="s">
        <v>27</v>
      </c>
      <c r="L2502" s="4" t="s">
        <v>27</v>
      </c>
      <c r="M2502" s="4" t="s">
        <v>27</v>
      </c>
      <c r="N2502" s="4" t="s">
        <v>27</v>
      </c>
    </row>
    <row r="2503" hidden="1">
      <c r="B2503" s="4" t="s">
        <v>27</v>
      </c>
      <c r="C2503" s="4" t="s">
        <v>27</v>
      </c>
      <c r="D2503" s="6" t="s">
        <v>27</v>
      </c>
      <c r="E2503" s="6" t="s">
        <v>27</v>
      </c>
      <c r="F2503" s="6" t="s">
        <v>27</v>
      </c>
      <c r="G2503" s="4" t="s">
        <v>27</v>
      </c>
      <c r="H2503" s="4" t="s">
        <v>27</v>
      </c>
      <c r="I2503" s="4" t="s">
        <v>27</v>
      </c>
      <c r="J2503" s="4" t="s">
        <v>27</v>
      </c>
      <c r="K2503" s="4" t="s">
        <v>27</v>
      </c>
      <c r="L2503" s="4" t="s">
        <v>27</v>
      </c>
      <c r="M2503" s="4" t="s">
        <v>27</v>
      </c>
      <c r="N2503" s="4" t="s">
        <v>27</v>
      </c>
    </row>
    <row r="2504" hidden="1">
      <c r="B2504" s="4" t="s">
        <v>27</v>
      </c>
      <c r="C2504" s="4" t="s">
        <v>27</v>
      </c>
      <c r="D2504" s="6" t="s">
        <v>27</v>
      </c>
      <c r="E2504" s="6" t="s">
        <v>27</v>
      </c>
      <c r="F2504" s="6" t="s">
        <v>27</v>
      </c>
      <c r="G2504" s="4" t="s">
        <v>27</v>
      </c>
      <c r="H2504" s="4" t="s">
        <v>27</v>
      </c>
      <c r="I2504" s="4" t="s">
        <v>27</v>
      </c>
      <c r="J2504" s="4" t="s">
        <v>27</v>
      </c>
      <c r="K2504" s="4" t="s">
        <v>27</v>
      </c>
      <c r="L2504" s="4" t="s">
        <v>27</v>
      </c>
      <c r="M2504" s="4" t="s">
        <v>27</v>
      </c>
      <c r="N2504" s="4" t="s">
        <v>27</v>
      </c>
    </row>
    <row r="2505" hidden="1">
      <c r="B2505" s="4" t="s">
        <v>27</v>
      </c>
      <c r="C2505" s="4" t="s">
        <v>27</v>
      </c>
      <c r="D2505" s="6" t="s">
        <v>27</v>
      </c>
      <c r="E2505" s="6" t="s">
        <v>27</v>
      </c>
      <c r="F2505" s="6" t="s">
        <v>27</v>
      </c>
      <c r="G2505" s="4" t="s">
        <v>27</v>
      </c>
      <c r="H2505" s="4" t="s">
        <v>27</v>
      </c>
      <c r="I2505" s="4" t="s">
        <v>27</v>
      </c>
      <c r="J2505" s="4" t="s">
        <v>27</v>
      </c>
      <c r="K2505" s="4" t="s">
        <v>27</v>
      </c>
      <c r="L2505" s="4" t="s">
        <v>27</v>
      </c>
      <c r="M2505" s="4" t="s">
        <v>27</v>
      </c>
      <c r="N2505" s="4" t="s">
        <v>27</v>
      </c>
    </row>
    <row r="2506" hidden="1">
      <c r="B2506" s="4" t="s">
        <v>27</v>
      </c>
      <c r="C2506" s="4" t="s">
        <v>27</v>
      </c>
      <c r="D2506" s="6" t="s">
        <v>27</v>
      </c>
      <c r="E2506" s="6" t="s">
        <v>27</v>
      </c>
      <c r="F2506" s="6" t="s">
        <v>27</v>
      </c>
      <c r="G2506" s="4" t="s">
        <v>27</v>
      </c>
      <c r="H2506" s="4" t="s">
        <v>27</v>
      </c>
      <c r="I2506" s="4" t="s">
        <v>27</v>
      </c>
      <c r="J2506" s="4" t="s">
        <v>27</v>
      </c>
      <c r="K2506" s="4" t="s">
        <v>27</v>
      </c>
      <c r="L2506" s="4" t="s">
        <v>27</v>
      </c>
      <c r="M2506" s="4" t="s">
        <v>27</v>
      </c>
      <c r="N2506" s="4" t="s">
        <v>27</v>
      </c>
    </row>
    <row r="2507" hidden="1">
      <c r="B2507" s="4" t="s">
        <v>27</v>
      </c>
      <c r="C2507" s="4" t="s">
        <v>27</v>
      </c>
      <c r="D2507" s="6" t="s">
        <v>27</v>
      </c>
      <c r="E2507" s="6" t="s">
        <v>27</v>
      </c>
      <c r="F2507" s="6" t="s">
        <v>27</v>
      </c>
      <c r="G2507" s="4" t="s">
        <v>27</v>
      </c>
      <c r="H2507" s="4" t="s">
        <v>27</v>
      </c>
      <c r="I2507" s="4" t="s">
        <v>27</v>
      </c>
      <c r="J2507" s="4" t="s">
        <v>27</v>
      </c>
      <c r="K2507" s="4" t="s">
        <v>27</v>
      </c>
      <c r="L2507" s="4" t="s">
        <v>27</v>
      </c>
      <c r="M2507" s="4" t="s">
        <v>27</v>
      </c>
      <c r="N2507" s="4" t="s">
        <v>27</v>
      </c>
    </row>
    <row r="2508" hidden="1">
      <c r="B2508" s="4" t="s">
        <v>27</v>
      </c>
      <c r="C2508" s="4" t="s">
        <v>27</v>
      </c>
      <c r="D2508" s="6" t="s">
        <v>27</v>
      </c>
      <c r="E2508" s="6" t="s">
        <v>27</v>
      </c>
      <c r="F2508" s="6" t="s">
        <v>27</v>
      </c>
      <c r="G2508" s="4" t="s">
        <v>27</v>
      </c>
      <c r="H2508" s="4" t="s">
        <v>27</v>
      </c>
      <c r="I2508" s="4" t="s">
        <v>27</v>
      </c>
      <c r="J2508" s="4" t="s">
        <v>27</v>
      </c>
      <c r="K2508" s="4" t="s">
        <v>27</v>
      </c>
      <c r="L2508" s="4" t="s">
        <v>27</v>
      </c>
      <c r="M2508" s="4" t="s">
        <v>27</v>
      </c>
      <c r="N2508" s="4" t="s">
        <v>27</v>
      </c>
    </row>
    <row r="2509" hidden="1">
      <c r="B2509" s="4" t="s">
        <v>27</v>
      </c>
      <c r="C2509" s="4" t="s">
        <v>27</v>
      </c>
      <c r="D2509" s="6" t="s">
        <v>27</v>
      </c>
      <c r="E2509" s="6" t="s">
        <v>27</v>
      </c>
      <c r="F2509" s="6" t="s">
        <v>27</v>
      </c>
      <c r="G2509" s="4" t="s">
        <v>27</v>
      </c>
      <c r="H2509" s="4" t="s">
        <v>27</v>
      </c>
      <c r="I2509" s="4" t="s">
        <v>27</v>
      </c>
      <c r="J2509" s="4" t="s">
        <v>27</v>
      </c>
      <c r="K2509" s="4" t="s">
        <v>27</v>
      </c>
      <c r="L2509" s="4" t="s">
        <v>27</v>
      </c>
      <c r="M2509" s="4" t="s">
        <v>27</v>
      </c>
      <c r="N2509" s="4" t="s">
        <v>27</v>
      </c>
    </row>
    <row r="2510" hidden="1">
      <c r="B2510" s="4" t="s">
        <v>27</v>
      </c>
      <c r="C2510" s="4" t="s">
        <v>27</v>
      </c>
      <c r="D2510" s="6" t="s">
        <v>27</v>
      </c>
      <c r="E2510" s="6" t="s">
        <v>27</v>
      </c>
      <c r="F2510" s="6" t="s">
        <v>27</v>
      </c>
      <c r="G2510" s="4" t="s">
        <v>27</v>
      </c>
      <c r="H2510" s="4" t="s">
        <v>27</v>
      </c>
      <c r="I2510" s="4" t="s">
        <v>27</v>
      </c>
      <c r="J2510" s="4" t="s">
        <v>27</v>
      </c>
      <c r="K2510" s="4" t="s">
        <v>27</v>
      </c>
      <c r="L2510" s="4" t="s">
        <v>27</v>
      </c>
      <c r="M2510" s="4" t="s">
        <v>27</v>
      </c>
      <c r="N2510" s="4" t="s">
        <v>27</v>
      </c>
    </row>
    <row r="2511" hidden="1">
      <c r="B2511" s="4" t="s">
        <v>27</v>
      </c>
      <c r="C2511" s="4" t="s">
        <v>27</v>
      </c>
      <c r="D2511" s="6" t="s">
        <v>27</v>
      </c>
      <c r="E2511" s="6" t="s">
        <v>27</v>
      </c>
      <c r="F2511" s="6" t="s">
        <v>27</v>
      </c>
      <c r="G2511" s="4" t="s">
        <v>27</v>
      </c>
      <c r="H2511" s="4" t="s">
        <v>27</v>
      </c>
      <c r="I2511" s="4" t="s">
        <v>27</v>
      </c>
      <c r="J2511" s="4" t="s">
        <v>27</v>
      </c>
      <c r="K2511" s="4" t="s">
        <v>27</v>
      </c>
      <c r="L2511" s="4" t="s">
        <v>27</v>
      </c>
      <c r="M2511" s="4" t="s">
        <v>27</v>
      </c>
      <c r="N2511" s="4" t="s">
        <v>27</v>
      </c>
    </row>
    <row r="2512" hidden="1">
      <c r="B2512" s="4" t="s">
        <v>27</v>
      </c>
      <c r="C2512" s="4" t="s">
        <v>27</v>
      </c>
      <c r="D2512" s="6" t="s">
        <v>27</v>
      </c>
      <c r="E2512" s="6" t="s">
        <v>27</v>
      </c>
      <c r="F2512" s="6" t="s">
        <v>27</v>
      </c>
      <c r="G2512" s="4" t="s">
        <v>27</v>
      </c>
      <c r="H2512" s="4" t="s">
        <v>27</v>
      </c>
      <c r="I2512" s="4" t="s">
        <v>27</v>
      </c>
      <c r="J2512" s="4" t="s">
        <v>27</v>
      </c>
      <c r="K2512" s="4" t="s">
        <v>27</v>
      </c>
      <c r="L2512" s="4" t="s">
        <v>27</v>
      </c>
      <c r="M2512" s="4" t="s">
        <v>27</v>
      </c>
      <c r="N2512" s="4" t="s">
        <v>27</v>
      </c>
    </row>
    <row r="2513" hidden="1">
      <c r="B2513" s="4" t="s">
        <v>27</v>
      </c>
      <c r="C2513" s="4" t="s">
        <v>27</v>
      </c>
      <c r="D2513" s="6" t="s">
        <v>27</v>
      </c>
      <c r="E2513" s="6" t="s">
        <v>27</v>
      </c>
      <c r="F2513" s="6" t="s">
        <v>27</v>
      </c>
      <c r="G2513" s="4" t="s">
        <v>27</v>
      </c>
      <c r="H2513" s="4" t="s">
        <v>27</v>
      </c>
      <c r="I2513" s="4" t="s">
        <v>27</v>
      </c>
      <c r="J2513" s="4" t="s">
        <v>27</v>
      </c>
      <c r="K2513" s="4" t="s">
        <v>27</v>
      </c>
      <c r="L2513" s="4" t="s">
        <v>27</v>
      </c>
      <c r="M2513" s="4" t="s">
        <v>27</v>
      </c>
      <c r="N2513" s="4" t="s">
        <v>27</v>
      </c>
    </row>
    <row r="2514" hidden="1">
      <c r="B2514" s="4" t="s">
        <v>27</v>
      </c>
      <c r="C2514" s="4" t="s">
        <v>27</v>
      </c>
      <c r="D2514" s="6" t="s">
        <v>27</v>
      </c>
      <c r="E2514" s="6" t="s">
        <v>27</v>
      </c>
      <c r="F2514" s="6" t="s">
        <v>27</v>
      </c>
      <c r="G2514" s="4" t="s">
        <v>27</v>
      </c>
      <c r="H2514" s="4" t="s">
        <v>27</v>
      </c>
      <c r="I2514" s="4" t="s">
        <v>27</v>
      </c>
      <c r="J2514" s="4" t="s">
        <v>27</v>
      </c>
      <c r="K2514" s="4" t="s">
        <v>27</v>
      </c>
      <c r="L2514" s="4" t="s">
        <v>27</v>
      </c>
      <c r="M2514" s="4" t="s">
        <v>27</v>
      </c>
      <c r="N2514" s="4" t="s">
        <v>27</v>
      </c>
    </row>
    <row r="2515" hidden="1">
      <c r="B2515" s="4" t="s">
        <v>27</v>
      </c>
      <c r="C2515" s="4" t="s">
        <v>27</v>
      </c>
      <c r="D2515" s="6" t="s">
        <v>27</v>
      </c>
      <c r="E2515" s="6" t="s">
        <v>27</v>
      </c>
      <c r="F2515" s="6" t="s">
        <v>27</v>
      </c>
      <c r="G2515" s="4" t="s">
        <v>27</v>
      </c>
      <c r="H2515" s="4" t="s">
        <v>27</v>
      </c>
      <c r="I2515" s="4" t="s">
        <v>27</v>
      </c>
      <c r="J2515" s="4" t="s">
        <v>27</v>
      </c>
      <c r="K2515" s="4" t="s">
        <v>27</v>
      </c>
      <c r="L2515" s="4" t="s">
        <v>27</v>
      </c>
      <c r="M2515" s="4" t="s">
        <v>27</v>
      </c>
      <c r="N2515" s="4" t="s">
        <v>27</v>
      </c>
    </row>
    <row r="2516" hidden="1">
      <c r="B2516" s="4" t="s">
        <v>27</v>
      </c>
      <c r="C2516" s="4" t="s">
        <v>27</v>
      </c>
      <c r="D2516" s="6" t="s">
        <v>27</v>
      </c>
      <c r="E2516" s="6" t="s">
        <v>27</v>
      </c>
      <c r="F2516" s="6" t="s">
        <v>27</v>
      </c>
      <c r="G2516" s="4" t="s">
        <v>27</v>
      </c>
      <c r="H2516" s="4" t="s">
        <v>27</v>
      </c>
      <c r="I2516" s="4" t="s">
        <v>27</v>
      </c>
      <c r="J2516" s="4" t="s">
        <v>27</v>
      </c>
      <c r="K2516" s="4" t="s">
        <v>27</v>
      </c>
      <c r="L2516" s="4" t="s">
        <v>27</v>
      </c>
      <c r="M2516" s="4" t="s">
        <v>27</v>
      </c>
      <c r="N2516" s="4" t="s">
        <v>27</v>
      </c>
    </row>
    <row r="2517" hidden="1">
      <c r="B2517" s="4" t="s">
        <v>27</v>
      </c>
      <c r="C2517" s="4" t="s">
        <v>27</v>
      </c>
      <c r="D2517" s="6" t="s">
        <v>27</v>
      </c>
      <c r="E2517" s="6" t="s">
        <v>27</v>
      </c>
      <c r="F2517" s="6" t="s">
        <v>27</v>
      </c>
      <c r="G2517" s="4" t="s">
        <v>27</v>
      </c>
      <c r="H2517" s="4" t="s">
        <v>27</v>
      </c>
      <c r="I2517" s="4" t="s">
        <v>27</v>
      </c>
      <c r="J2517" s="4" t="s">
        <v>27</v>
      </c>
      <c r="K2517" s="4" t="s">
        <v>27</v>
      </c>
      <c r="L2517" s="4" t="s">
        <v>27</v>
      </c>
      <c r="M2517" s="4" t="s">
        <v>27</v>
      </c>
      <c r="N2517" s="4" t="s">
        <v>27</v>
      </c>
    </row>
    <row r="2518" hidden="1">
      <c r="B2518" s="4" t="s">
        <v>27</v>
      </c>
      <c r="C2518" s="4" t="s">
        <v>27</v>
      </c>
      <c r="D2518" s="6" t="s">
        <v>27</v>
      </c>
      <c r="E2518" s="6" t="s">
        <v>27</v>
      </c>
      <c r="F2518" s="6" t="s">
        <v>27</v>
      </c>
      <c r="G2518" s="4" t="s">
        <v>27</v>
      </c>
      <c r="H2518" s="4" t="s">
        <v>27</v>
      </c>
      <c r="I2518" s="4" t="s">
        <v>27</v>
      </c>
      <c r="J2518" s="4" t="s">
        <v>27</v>
      </c>
      <c r="K2518" s="4" t="s">
        <v>27</v>
      </c>
      <c r="L2518" s="4" t="s">
        <v>27</v>
      </c>
      <c r="M2518" s="4" t="s">
        <v>27</v>
      </c>
      <c r="N2518" s="4" t="s">
        <v>27</v>
      </c>
    </row>
    <row r="2519" hidden="1">
      <c r="B2519" s="4" t="s">
        <v>27</v>
      </c>
      <c r="C2519" s="4" t="s">
        <v>27</v>
      </c>
      <c r="D2519" s="6" t="s">
        <v>27</v>
      </c>
      <c r="E2519" s="6" t="s">
        <v>27</v>
      </c>
      <c r="F2519" s="6" t="s">
        <v>27</v>
      </c>
      <c r="G2519" s="4" t="s">
        <v>27</v>
      </c>
      <c r="H2519" s="4" t="s">
        <v>27</v>
      </c>
      <c r="I2519" s="4" t="s">
        <v>27</v>
      </c>
      <c r="J2519" s="4" t="s">
        <v>27</v>
      </c>
      <c r="K2519" s="4" t="s">
        <v>27</v>
      </c>
      <c r="L2519" s="4" t="s">
        <v>27</v>
      </c>
      <c r="M2519" s="4" t="s">
        <v>27</v>
      </c>
      <c r="N2519" s="4" t="s">
        <v>27</v>
      </c>
    </row>
    <row r="2520" hidden="1">
      <c r="B2520" s="4" t="s">
        <v>27</v>
      </c>
      <c r="C2520" s="4" t="s">
        <v>27</v>
      </c>
      <c r="D2520" s="6" t="s">
        <v>27</v>
      </c>
      <c r="E2520" s="6" t="s">
        <v>27</v>
      </c>
      <c r="F2520" s="6" t="s">
        <v>27</v>
      </c>
      <c r="G2520" s="4" t="s">
        <v>27</v>
      </c>
      <c r="H2520" s="4" t="s">
        <v>27</v>
      </c>
      <c r="I2520" s="4" t="s">
        <v>27</v>
      </c>
      <c r="J2520" s="4" t="s">
        <v>27</v>
      </c>
      <c r="K2520" s="4" t="s">
        <v>27</v>
      </c>
      <c r="L2520" s="4" t="s">
        <v>27</v>
      </c>
      <c r="M2520" s="4" t="s">
        <v>27</v>
      </c>
      <c r="N2520" s="4" t="s">
        <v>27</v>
      </c>
    </row>
    <row r="2521" hidden="1">
      <c r="B2521" s="4" t="s">
        <v>27</v>
      </c>
      <c r="C2521" s="4" t="s">
        <v>27</v>
      </c>
      <c r="D2521" s="6" t="s">
        <v>27</v>
      </c>
      <c r="E2521" s="6" t="s">
        <v>27</v>
      </c>
      <c r="F2521" s="6" t="s">
        <v>27</v>
      </c>
      <c r="G2521" s="4" t="s">
        <v>27</v>
      </c>
      <c r="H2521" s="4" t="s">
        <v>27</v>
      </c>
      <c r="I2521" s="4" t="s">
        <v>27</v>
      </c>
      <c r="J2521" s="4" t="s">
        <v>27</v>
      </c>
      <c r="K2521" s="4" t="s">
        <v>27</v>
      </c>
      <c r="L2521" s="4" t="s">
        <v>27</v>
      </c>
      <c r="M2521" s="4" t="s">
        <v>27</v>
      </c>
      <c r="N2521" s="4" t="s">
        <v>27</v>
      </c>
    </row>
    <row r="2522" hidden="1">
      <c r="B2522" s="4" t="s">
        <v>27</v>
      </c>
      <c r="C2522" s="4" t="s">
        <v>27</v>
      </c>
      <c r="D2522" s="6" t="s">
        <v>27</v>
      </c>
      <c r="E2522" s="6" t="s">
        <v>27</v>
      </c>
      <c r="F2522" s="6" t="s">
        <v>27</v>
      </c>
      <c r="G2522" s="4" t="s">
        <v>27</v>
      </c>
      <c r="H2522" s="4" t="s">
        <v>27</v>
      </c>
      <c r="I2522" s="4" t="s">
        <v>27</v>
      </c>
      <c r="J2522" s="4" t="s">
        <v>27</v>
      </c>
      <c r="K2522" s="4" t="s">
        <v>27</v>
      </c>
      <c r="L2522" s="4" t="s">
        <v>27</v>
      </c>
      <c r="M2522" s="4" t="s">
        <v>27</v>
      </c>
      <c r="N2522" s="4" t="s">
        <v>27</v>
      </c>
    </row>
    <row r="2523" hidden="1">
      <c r="B2523" s="4" t="s">
        <v>27</v>
      </c>
      <c r="C2523" s="4" t="s">
        <v>27</v>
      </c>
      <c r="D2523" s="6" t="s">
        <v>27</v>
      </c>
      <c r="E2523" s="6" t="s">
        <v>27</v>
      </c>
      <c r="F2523" s="6" t="s">
        <v>27</v>
      </c>
      <c r="G2523" s="4" t="s">
        <v>27</v>
      </c>
      <c r="H2523" s="4" t="s">
        <v>27</v>
      </c>
      <c r="I2523" s="4" t="s">
        <v>27</v>
      </c>
      <c r="J2523" s="4" t="s">
        <v>27</v>
      </c>
      <c r="K2523" s="4" t="s">
        <v>27</v>
      </c>
      <c r="L2523" s="4" t="s">
        <v>27</v>
      </c>
      <c r="M2523" s="4" t="s">
        <v>27</v>
      </c>
      <c r="N2523" s="4" t="s">
        <v>27</v>
      </c>
    </row>
    <row r="2524" hidden="1">
      <c r="B2524" s="4" t="s">
        <v>27</v>
      </c>
      <c r="C2524" s="4" t="s">
        <v>27</v>
      </c>
      <c r="D2524" s="6" t="s">
        <v>27</v>
      </c>
      <c r="E2524" s="6" t="s">
        <v>27</v>
      </c>
      <c r="F2524" s="6" t="s">
        <v>27</v>
      </c>
      <c r="G2524" s="4" t="s">
        <v>27</v>
      </c>
      <c r="H2524" s="4" t="s">
        <v>27</v>
      </c>
      <c r="I2524" s="4" t="s">
        <v>27</v>
      </c>
      <c r="J2524" s="4" t="s">
        <v>27</v>
      </c>
      <c r="K2524" s="4" t="s">
        <v>27</v>
      </c>
      <c r="L2524" s="4" t="s">
        <v>27</v>
      </c>
      <c r="M2524" s="4" t="s">
        <v>27</v>
      </c>
      <c r="N2524" s="4" t="s">
        <v>27</v>
      </c>
    </row>
    <row r="2525" hidden="1">
      <c r="B2525" s="4" t="s">
        <v>27</v>
      </c>
      <c r="C2525" s="4" t="s">
        <v>27</v>
      </c>
      <c r="D2525" s="6" t="s">
        <v>27</v>
      </c>
      <c r="E2525" s="6" t="s">
        <v>27</v>
      </c>
      <c r="F2525" s="6" t="s">
        <v>27</v>
      </c>
      <c r="G2525" s="4" t="s">
        <v>27</v>
      </c>
      <c r="H2525" s="4" t="s">
        <v>27</v>
      </c>
      <c r="I2525" s="4" t="s">
        <v>27</v>
      </c>
      <c r="J2525" s="4" t="s">
        <v>27</v>
      </c>
      <c r="K2525" s="4" t="s">
        <v>27</v>
      </c>
      <c r="L2525" s="4" t="s">
        <v>27</v>
      </c>
      <c r="M2525" s="4" t="s">
        <v>27</v>
      </c>
      <c r="N2525" s="4" t="s">
        <v>27</v>
      </c>
    </row>
    <row r="2526" hidden="1">
      <c r="B2526" s="4" t="s">
        <v>27</v>
      </c>
      <c r="C2526" s="4" t="s">
        <v>27</v>
      </c>
      <c r="D2526" s="6" t="s">
        <v>27</v>
      </c>
      <c r="E2526" s="6" t="s">
        <v>27</v>
      </c>
      <c r="F2526" s="6" t="s">
        <v>27</v>
      </c>
      <c r="G2526" s="4" t="s">
        <v>27</v>
      </c>
      <c r="H2526" s="4" t="s">
        <v>27</v>
      </c>
      <c r="I2526" s="4" t="s">
        <v>27</v>
      </c>
      <c r="J2526" s="4" t="s">
        <v>27</v>
      </c>
      <c r="K2526" s="4" t="s">
        <v>27</v>
      </c>
      <c r="L2526" s="4" t="s">
        <v>27</v>
      </c>
      <c r="M2526" s="4" t="s">
        <v>27</v>
      </c>
      <c r="N2526" s="4" t="s">
        <v>27</v>
      </c>
    </row>
    <row r="2527" hidden="1">
      <c r="B2527" s="4" t="s">
        <v>27</v>
      </c>
      <c r="C2527" s="4" t="s">
        <v>27</v>
      </c>
      <c r="D2527" s="6" t="s">
        <v>27</v>
      </c>
      <c r="E2527" s="6" t="s">
        <v>27</v>
      </c>
      <c r="F2527" s="6" t="s">
        <v>27</v>
      </c>
      <c r="G2527" s="4" t="s">
        <v>27</v>
      </c>
      <c r="H2527" s="4" t="s">
        <v>27</v>
      </c>
      <c r="I2527" s="4" t="s">
        <v>27</v>
      </c>
      <c r="J2527" s="4" t="s">
        <v>27</v>
      </c>
      <c r="K2527" s="4" t="s">
        <v>27</v>
      </c>
      <c r="L2527" s="4" t="s">
        <v>27</v>
      </c>
      <c r="M2527" s="4" t="s">
        <v>27</v>
      </c>
      <c r="N2527" s="4" t="s">
        <v>27</v>
      </c>
    </row>
    <row r="2528" hidden="1">
      <c r="B2528" s="4" t="s">
        <v>27</v>
      </c>
      <c r="C2528" s="4" t="s">
        <v>27</v>
      </c>
      <c r="D2528" s="6" t="s">
        <v>27</v>
      </c>
      <c r="E2528" s="6" t="s">
        <v>27</v>
      </c>
      <c r="F2528" s="6" t="s">
        <v>27</v>
      </c>
      <c r="G2528" s="4" t="s">
        <v>27</v>
      </c>
      <c r="H2528" s="4" t="s">
        <v>27</v>
      </c>
      <c r="I2528" s="4" t="s">
        <v>27</v>
      </c>
      <c r="J2528" s="4" t="s">
        <v>27</v>
      </c>
      <c r="K2528" s="4" t="s">
        <v>27</v>
      </c>
      <c r="L2528" s="4" t="s">
        <v>27</v>
      </c>
      <c r="M2528" s="4" t="s">
        <v>27</v>
      </c>
      <c r="N2528" s="4" t="s">
        <v>27</v>
      </c>
    </row>
    <row r="2529" hidden="1">
      <c r="B2529" s="4" t="s">
        <v>27</v>
      </c>
      <c r="C2529" s="4" t="s">
        <v>27</v>
      </c>
      <c r="D2529" s="6" t="s">
        <v>27</v>
      </c>
      <c r="E2529" s="6" t="s">
        <v>27</v>
      </c>
      <c r="F2529" s="6" t="s">
        <v>27</v>
      </c>
      <c r="G2529" s="4" t="s">
        <v>27</v>
      </c>
      <c r="H2529" s="4" t="s">
        <v>27</v>
      </c>
      <c r="I2529" s="4" t="s">
        <v>27</v>
      </c>
      <c r="J2529" s="4" t="s">
        <v>27</v>
      </c>
      <c r="K2529" s="4" t="s">
        <v>27</v>
      </c>
      <c r="L2529" s="4" t="s">
        <v>27</v>
      </c>
      <c r="M2529" s="4" t="s">
        <v>27</v>
      </c>
      <c r="N2529" s="4" t="s">
        <v>27</v>
      </c>
    </row>
    <row r="2530" hidden="1">
      <c r="B2530" s="4" t="s">
        <v>27</v>
      </c>
      <c r="C2530" s="4" t="s">
        <v>27</v>
      </c>
      <c r="D2530" s="6" t="s">
        <v>27</v>
      </c>
      <c r="E2530" s="6" t="s">
        <v>27</v>
      </c>
      <c r="F2530" s="6" t="s">
        <v>27</v>
      </c>
      <c r="G2530" s="4" t="s">
        <v>27</v>
      </c>
      <c r="H2530" s="4" t="s">
        <v>27</v>
      </c>
      <c r="I2530" s="4" t="s">
        <v>27</v>
      </c>
      <c r="J2530" s="4" t="s">
        <v>27</v>
      </c>
      <c r="K2530" s="4" t="s">
        <v>27</v>
      </c>
      <c r="L2530" s="4" t="s">
        <v>27</v>
      </c>
      <c r="M2530" s="4" t="s">
        <v>27</v>
      </c>
      <c r="N2530" s="4" t="s">
        <v>27</v>
      </c>
    </row>
    <row r="2531" hidden="1">
      <c r="B2531" s="4" t="s">
        <v>27</v>
      </c>
      <c r="C2531" s="4" t="s">
        <v>27</v>
      </c>
      <c r="D2531" s="6" t="s">
        <v>27</v>
      </c>
      <c r="E2531" s="6" t="s">
        <v>27</v>
      </c>
      <c r="F2531" s="6" t="s">
        <v>27</v>
      </c>
      <c r="G2531" s="4" t="s">
        <v>27</v>
      </c>
      <c r="H2531" s="4" t="s">
        <v>27</v>
      </c>
      <c r="I2531" s="4" t="s">
        <v>27</v>
      </c>
      <c r="J2531" s="4" t="s">
        <v>27</v>
      </c>
      <c r="K2531" s="4" t="s">
        <v>27</v>
      </c>
      <c r="L2531" s="4" t="s">
        <v>27</v>
      </c>
      <c r="M2531" s="4" t="s">
        <v>27</v>
      </c>
      <c r="N2531" s="4" t="s">
        <v>27</v>
      </c>
    </row>
    <row r="2532" hidden="1">
      <c r="B2532" s="4" t="s">
        <v>27</v>
      </c>
      <c r="C2532" s="4" t="s">
        <v>27</v>
      </c>
      <c r="D2532" s="6" t="s">
        <v>27</v>
      </c>
      <c r="E2532" s="6" t="s">
        <v>27</v>
      </c>
      <c r="F2532" s="6" t="s">
        <v>27</v>
      </c>
      <c r="G2532" s="4" t="s">
        <v>27</v>
      </c>
      <c r="H2532" s="4" t="s">
        <v>27</v>
      </c>
      <c r="I2532" s="4" t="s">
        <v>27</v>
      </c>
      <c r="J2532" s="4" t="s">
        <v>27</v>
      </c>
      <c r="K2532" s="4" t="s">
        <v>27</v>
      </c>
      <c r="L2532" s="4" t="s">
        <v>27</v>
      </c>
      <c r="M2532" s="4" t="s">
        <v>27</v>
      </c>
      <c r="N2532" s="4" t="s">
        <v>27</v>
      </c>
    </row>
    <row r="2533" hidden="1">
      <c r="B2533" s="4" t="s">
        <v>27</v>
      </c>
      <c r="C2533" s="4" t="s">
        <v>27</v>
      </c>
      <c r="D2533" s="6" t="s">
        <v>27</v>
      </c>
      <c r="E2533" s="6" t="s">
        <v>27</v>
      </c>
      <c r="F2533" s="6" t="s">
        <v>27</v>
      </c>
      <c r="G2533" s="4" t="s">
        <v>27</v>
      </c>
      <c r="H2533" s="4" t="s">
        <v>27</v>
      </c>
      <c r="I2533" s="4" t="s">
        <v>27</v>
      </c>
      <c r="J2533" s="4" t="s">
        <v>27</v>
      </c>
      <c r="K2533" s="4" t="s">
        <v>27</v>
      </c>
      <c r="L2533" s="4" t="s">
        <v>27</v>
      </c>
      <c r="M2533" s="4" t="s">
        <v>27</v>
      </c>
      <c r="N2533" s="4" t="s">
        <v>27</v>
      </c>
    </row>
    <row r="2534" hidden="1">
      <c r="B2534" s="4" t="s">
        <v>27</v>
      </c>
      <c r="C2534" s="4" t="s">
        <v>27</v>
      </c>
      <c r="D2534" s="6" t="s">
        <v>27</v>
      </c>
      <c r="E2534" s="6" t="s">
        <v>27</v>
      </c>
      <c r="F2534" s="6" t="s">
        <v>27</v>
      </c>
      <c r="G2534" s="4" t="s">
        <v>27</v>
      </c>
      <c r="H2534" s="4" t="s">
        <v>27</v>
      </c>
      <c r="I2534" s="4" t="s">
        <v>27</v>
      </c>
      <c r="J2534" s="4" t="s">
        <v>27</v>
      </c>
      <c r="K2534" s="4" t="s">
        <v>27</v>
      </c>
      <c r="L2534" s="4" t="s">
        <v>27</v>
      </c>
      <c r="M2534" s="4" t="s">
        <v>27</v>
      </c>
      <c r="N2534" s="4" t="s">
        <v>27</v>
      </c>
    </row>
    <row r="2535" hidden="1">
      <c r="B2535" s="4" t="s">
        <v>27</v>
      </c>
      <c r="C2535" s="4" t="s">
        <v>27</v>
      </c>
      <c r="D2535" s="6" t="s">
        <v>27</v>
      </c>
      <c r="E2535" s="6" t="s">
        <v>27</v>
      </c>
      <c r="F2535" s="6" t="s">
        <v>27</v>
      </c>
      <c r="G2535" s="4" t="s">
        <v>27</v>
      </c>
      <c r="H2535" s="4" t="s">
        <v>27</v>
      </c>
      <c r="I2535" s="4" t="s">
        <v>27</v>
      </c>
      <c r="J2535" s="4" t="s">
        <v>27</v>
      </c>
      <c r="K2535" s="4" t="s">
        <v>27</v>
      </c>
      <c r="L2535" s="4" t="s">
        <v>27</v>
      </c>
      <c r="M2535" s="4" t="s">
        <v>27</v>
      </c>
      <c r="N2535" s="4" t="s">
        <v>27</v>
      </c>
    </row>
    <row r="2536" hidden="1">
      <c r="B2536" s="4" t="s">
        <v>27</v>
      </c>
      <c r="C2536" s="4" t="s">
        <v>27</v>
      </c>
      <c r="D2536" s="6" t="s">
        <v>27</v>
      </c>
      <c r="E2536" s="6" t="s">
        <v>27</v>
      </c>
      <c r="F2536" s="6" t="s">
        <v>27</v>
      </c>
      <c r="G2536" s="4" t="s">
        <v>27</v>
      </c>
      <c r="H2536" s="4" t="s">
        <v>27</v>
      </c>
      <c r="I2536" s="4" t="s">
        <v>27</v>
      </c>
      <c r="J2536" s="4" t="s">
        <v>27</v>
      </c>
      <c r="K2536" s="4" t="s">
        <v>27</v>
      </c>
      <c r="L2536" s="4" t="s">
        <v>27</v>
      </c>
      <c r="M2536" s="4" t="s">
        <v>27</v>
      </c>
      <c r="N2536" s="4" t="s">
        <v>27</v>
      </c>
    </row>
    <row r="2537" hidden="1">
      <c r="B2537" s="4" t="s">
        <v>27</v>
      </c>
      <c r="C2537" s="4" t="s">
        <v>27</v>
      </c>
      <c r="D2537" s="6" t="s">
        <v>27</v>
      </c>
      <c r="E2537" s="6" t="s">
        <v>27</v>
      </c>
      <c r="F2537" s="6" t="s">
        <v>27</v>
      </c>
      <c r="G2537" s="4" t="s">
        <v>27</v>
      </c>
      <c r="H2537" s="4" t="s">
        <v>27</v>
      </c>
      <c r="I2537" s="4" t="s">
        <v>27</v>
      </c>
      <c r="J2537" s="4" t="s">
        <v>27</v>
      </c>
      <c r="K2537" s="4" t="s">
        <v>27</v>
      </c>
      <c r="L2537" s="4" t="s">
        <v>27</v>
      </c>
      <c r="M2537" s="4" t="s">
        <v>27</v>
      </c>
      <c r="N2537" s="4" t="s">
        <v>27</v>
      </c>
    </row>
    <row r="2538" hidden="1">
      <c r="B2538" s="4" t="s">
        <v>27</v>
      </c>
      <c r="C2538" s="4" t="s">
        <v>27</v>
      </c>
      <c r="D2538" s="6" t="s">
        <v>27</v>
      </c>
      <c r="E2538" s="6" t="s">
        <v>27</v>
      </c>
      <c r="F2538" s="6" t="s">
        <v>27</v>
      </c>
      <c r="G2538" s="4" t="s">
        <v>27</v>
      </c>
      <c r="H2538" s="4" t="s">
        <v>27</v>
      </c>
      <c r="I2538" s="4" t="s">
        <v>27</v>
      </c>
      <c r="J2538" s="4" t="s">
        <v>27</v>
      </c>
      <c r="K2538" s="4" t="s">
        <v>27</v>
      </c>
      <c r="L2538" s="4" t="s">
        <v>27</v>
      </c>
      <c r="M2538" s="4" t="s">
        <v>27</v>
      </c>
      <c r="N2538" s="4" t="s">
        <v>27</v>
      </c>
    </row>
    <row r="2539" hidden="1">
      <c r="B2539" s="4" t="s">
        <v>27</v>
      </c>
      <c r="C2539" s="4" t="s">
        <v>27</v>
      </c>
      <c r="D2539" s="6" t="s">
        <v>27</v>
      </c>
      <c r="E2539" s="6" t="s">
        <v>27</v>
      </c>
      <c r="F2539" s="6" t="s">
        <v>27</v>
      </c>
      <c r="G2539" s="4" t="s">
        <v>27</v>
      </c>
      <c r="H2539" s="4" t="s">
        <v>27</v>
      </c>
      <c r="I2539" s="4" t="s">
        <v>27</v>
      </c>
      <c r="J2539" s="4" t="s">
        <v>27</v>
      </c>
      <c r="K2539" s="4" t="s">
        <v>27</v>
      </c>
      <c r="L2539" s="4" t="s">
        <v>27</v>
      </c>
      <c r="M2539" s="4" t="s">
        <v>27</v>
      </c>
      <c r="N2539" s="4" t="s">
        <v>27</v>
      </c>
    </row>
    <row r="2540" hidden="1">
      <c r="B2540" s="4" t="s">
        <v>27</v>
      </c>
      <c r="C2540" s="4" t="s">
        <v>27</v>
      </c>
      <c r="D2540" s="6" t="s">
        <v>27</v>
      </c>
      <c r="E2540" s="6" t="s">
        <v>27</v>
      </c>
      <c r="F2540" s="6" t="s">
        <v>27</v>
      </c>
      <c r="G2540" s="4" t="s">
        <v>27</v>
      </c>
      <c r="H2540" s="4" t="s">
        <v>27</v>
      </c>
      <c r="I2540" s="4" t="s">
        <v>27</v>
      </c>
      <c r="J2540" s="4" t="s">
        <v>27</v>
      </c>
      <c r="K2540" s="4" t="s">
        <v>27</v>
      </c>
      <c r="L2540" s="4" t="s">
        <v>27</v>
      </c>
      <c r="M2540" s="4" t="s">
        <v>27</v>
      </c>
      <c r="N2540" s="4" t="s">
        <v>27</v>
      </c>
    </row>
    <row r="2541" hidden="1">
      <c r="B2541" s="4" t="s">
        <v>27</v>
      </c>
      <c r="C2541" s="4" t="s">
        <v>27</v>
      </c>
      <c r="D2541" s="6" t="s">
        <v>27</v>
      </c>
      <c r="E2541" s="6" t="s">
        <v>27</v>
      </c>
      <c r="F2541" s="6" t="s">
        <v>27</v>
      </c>
      <c r="G2541" s="4" t="s">
        <v>27</v>
      </c>
      <c r="H2541" s="4" t="s">
        <v>27</v>
      </c>
      <c r="I2541" s="4" t="s">
        <v>27</v>
      </c>
      <c r="J2541" s="4" t="s">
        <v>27</v>
      </c>
      <c r="K2541" s="4" t="s">
        <v>27</v>
      </c>
      <c r="L2541" s="4" t="s">
        <v>27</v>
      </c>
      <c r="M2541" s="4" t="s">
        <v>27</v>
      </c>
      <c r="N2541" s="4" t="s">
        <v>27</v>
      </c>
    </row>
    <row r="2542" hidden="1">
      <c r="B2542" s="4" t="s">
        <v>27</v>
      </c>
      <c r="C2542" s="4" t="s">
        <v>27</v>
      </c>
      <c r="D2542" s="6" t="s">
        <v>27</v>
      </c>
      <c r="E2542" s="6" t="s">
        <v>27</v>
      </c>
      <c r="F2542" s="6" t="s">
        <v>27</v>
      </c>
      <c r="G2542" s="4" t="s">
        <v>27</v>
      </c>
      <c r="H2542" s="4" t="s">
        <v>27</v>
      </c>
      <c r="I2542" s="4" t="s">
        <v>27</v>
      </c>
      <c r="J2542" s="4" t="s">
        <v>27</v>
      </c>
      <c r="K2542" s="4" t="s">
        <v>27</v>
      </c>
      <c r="L2542" s="4" t="s">
        <v>27</v>
      </c>
      <c r="M2542" s="4" t="s">
        <v>27</v>
      </c>
      <c r="N2542" s="4" t="s">
        <v>27</v>
      </c>
    </row>
    <row r="2543" hidden="1">
      <c r="B2543" s="4" t="s">
        <v>27</v>
      </c>
      <c r="C2543" s="4" t="s">
        <v>27</v>
      </c>
      <c r="D2543" s="6" t="s">
        <v>27</v>
      </c>
      <c r="E2543" s="6" t="s">
        <v>27</v>
      </c>
      <c r="F2543" s="6" t="s">
        <v>27</v>
      </c>
      <c r="G2543" s="4" t="s">
        <v>27</v>
      </c>
      <c r="H2543" s="4" t="s">
        <v>27</v>
      </c>
      <c r="I2543" s="4" t="s">
        <v>27</v>
      </c>
      <c r="J2543" s="4" t="s">
        <v>27</v>
      </c>
      <c r="K2543" s="4" t="s">
        <v>27</v>
      </c>
      <c r="L2543" s="4" t="s">
        <v>27</v>
      </c>
      <c r="M2543" s="4" t="s">
        <v>27</v>
      </c>
      <c r="N2543" s="4" t="s">
        <v>27</v>
      </c>
    </row>
    <row r="2544" hidden="1">
      <c r="B2544" s="4" t="s">
        <v>27</v>
      </c>
      <c r="C2544" s="4" t="s">
        <v>27</v>
      </c>
      <c r="D2544" s="6" t="s">
        <v>27</v>
      </c>
      <c r="E2544" s="6" t="s">
        <v>27</v>
      </c>
      <c r="F2544" s="6" t="s">
        <v>27</v>
      </c>
      <c r="G2544" s="4" t="s">
        <v>27</v>
      </c>
      <c r="H2544" s="4" t="s">
        <v>27</v>
      </c>
      <c r="I2544" s="4" t="s">
        <v>27</v>
      </c>
      <c r="J2544" s="4" t="s">
        <v>27</v>
      </c>
      <c r="K2544" s="4" t="s">
        <v>27</v>
      </c>
      <c r="L2544" s="4" t="s">
        <v>27</v>
      </c>
      <c r="M2544" s="4" t="s">
        <v>27</v>
      </c>
      <c r="N2544" s="4" t="s">
        <v>27</v>
      </c>
    </row>
    <row r="2545" hidden="1">
      <c r="B2545" s="4" t="s">
        <v>27</v>
      </c>
      <c r="C2545" s="4" t="s">
        <v>27</v>
      </c>
      <c r="D2545" s="6" t="s">
        <v>27</v>
      </c>
      <c r="E2545" s="6" t="s">
        <v>27</v>
      </c>
      <c r="F2545" s="6" t="s">
        <v>27</v>
      </c>
      <c r="G2545" s="4" t="s">
        <v>27</v>
      </c>
      <c r="H2545" s="4" t="s">
        <v>27</v>
      </c>
      <c r="I2545" s="4" t="s">
        <v>27</v>
      </c>
      <c r="J2545" s="4" t="s">
        <v>27</v>
      </c>
      <c r="K2545" s="4" t="s">
        <v>27</v>
      </c>
      <c r="L2545" s="4" t="s">
        <v>27</v>
      </c>
      <c r="M2545" s="4" t="s">
        <v>27</v>
      </c>
      <c r="N2545" s="4" t="s">
        <v>27</v>
      </c>
    </row>
    <row r="2546" hidden="1">
      <c r="B2546" s="4" t="s">
        <v>27</v>
      </c>
      <c r="C2546" s="4" t="s">
        <v>27</v>
      </c>
      <c r="D2546" s="6" t="s">
        <v>27</v>
      </c>
      <c r="E2546" s="6" t="s">
        <v>27</v>
      </c>
      <c r="F2546" s="6" t="s">
        <v>27</v>
      </c>
      <c r="G2546" s="4" t="s">
        <v>27</v>
      </c>
      <c r="H2546" s="4" t="s">
        <v>27</v>
      </c>
      <c r="I2546" s="4" t="s">
        <v>27</v>
      </c>
      <c r="J2546" s="4" t="s">
        <v>27</v>
      </c>
      <c r="K2546" s="4" t="s">
        <v>27</v>
      </c>
      <c r="L2546" s="4" t="s">
        <v>27</v>
      </c>
      <c r="M2546" s="4" t="s">
        <v>27</v>
      </c>
      <c r="N2546" s="4" t="s">
        <v>27</v>
      </c>
    </row>
    <row r="2547" hidden="1">
      <c r="B2547" s="4" t="s">
        <v>27</v>
      </c>
      <c r="C2547" s="4" t="s">
        <v>27</v>
      </c>
      <c r="D2547" s="6" t="s">
        <v>27</v>
      </c>
      <c r="E2547" s="6" t="s">
        <v>27</v>
      </c>
      <c r="F2547" s="6" t="s">
        <v>27</v>
      </c>
      <c r="G2547" s="4" t="s">
        <v>27</v>
      </c>
      <c r="H2547" s="4" t="s">
        <v>27</v>
      </c>
      <c r="I2547" s="4" t="s">
        <v>27</v>
      </c>
      <c r="J2547" s="4" t="s">
        <v>27</v>
      </c>
      <c r="K2547" s="4" t="s">
        <v>27</v>
      </c>
      <c r="L2547" s="4" t="s">
        <v>27</v>
      </c>
      <c r="M2547" s="4" t="s">
        <v>27</v>
      </c>
      <c r="N2547" s="4" t="s">
        <v>27</v>
      </c>
    </row>
    <row r="2548" hidden="1">
      <c r="B2548" s="4" t="s">
        <v>27</v>
      </c>
      <c r="C2548" s="4" t="s">
        <v>27</v>
      </c>
      <c r="D2548" s="6" t="s">
        <v>27</v>
      </c>
      <c r="E2548" s="6" t="s">
        <v>27</v>
      </c>
      <c r="F2548" s="6" t="s">
        <v>27</v>
      </c>
      <c r="G2548" s="4" t="s">
        <v>27</v>
      </c>
      <c r="H2548" s="4" t="s">
        <v>27</v>
      </c>
      <c r="I2548" s="4" t="s">
        <v>27</v>
      </c>
      <c r="J2548" s="4" t="s">
        <v>27</v>
      </c>
      <c r="K2548" s="4" t="s">
        <v>27</v>
      </c>
      <c r="L2548" s="4" t="s">
        <v>27</v>
      </c>
      <c r="M2548" s="4" t="s">
        <v>27</v>
      </c>
      <c r="N2548" s="4" t="s">
        <v>27</v>
      </c>
    </row>
    <row r="2549" hidden="1">
      <c r="B2549" s="4" t="s">
        <v>27</v>
      </c>
      <c r="C2549" s="4" t="s">
        <v>27</v>
      </c>
      <c r="D2549" s="6" t="s">
        <v>27</v>
      </c>
      <c r="E2549" s="6" t="s">
        <v>27</v>
      </c>
      <c r="F2549" s="6" t="s">
        <v>27</v>
      </c>
      <c r="G2549" s="4" t="s">
        <v>27</v>
      </c>
      <c r="H2549" s="4" t="s">
        <v>27</v>
      </c>
      <c r="I2549" s="4" t="s">
        <v>27</v>
      </c>
      <c r="J2549" s="4" t="s">
        <v>27</v>
      </c>
      <c r="K2549" s="4" t="s">
        <v>27</v>
      </c>
      <c r="L2549" s="4" t="s">
        <v>27</v>
      </c>
      <c r="M2549" s="4" t="s">
        <v>27</v>
      </c>
      <c r="N2549" s="4" t="s">
        <v>27</v>
      </c>
    </row>
    <row r="2550" hidden="1">
      <c r="B2550" s="4" t="s">
        <v>27</v>
      </c>
      <c r="C2550" s="4" t="s">
        <v>27</v>
      </c>
      <c r="D2550" s="6" t="s">
        <v>27</v>
      </c>
      <c r="E2550" s="6" t="s">
        <v>27</v>
      </c>
      <c r="F2550" s="6" t="s">
        <v>27</v>
      </c>
      <c r="G2550" s="4" t="s">
        <v>27</v>
      </c>
      <c r="H2550" s="4" t="s">
        <v>27</v>
      </c>
      <c r="I2550" s="4" t="s">
        <v>27</v>
      </c>
      <c r="J2550" s="4" t="s">
        <v>27</v>
      </c>
      <c r="K2550" s="4" t="s">
        <v>27</v>
      </c>
      <c r="L2550" s="4" t="s">
        <v>27</v>
      </c>
      <c r="M2550" s="4" t="s">
        <v>27</v>
      </c>
      <c r="N2550" s="4" t="s">
        <v>27</v>
      </c>
    </row>
    <row r="2551" hidden="1">
      <c r="B2551" s="4" t="s">
        <v>27</v>
      </c>
      <c r="C2551" s="4" t="s">
        <v>27</v>
      </c>
      <c r="D2551" s="6" t="s">
        <v>27</v>
      </c>
      <c r="E2551" s="6" t="s">
        <v>27</v>
      </c>
      <c r="F2551" s="6" t="s">
        <v>27</v>
      </c>
      <c r="G2551" s="4" t="s">
        <v>27</v>
      </c>
      <c r="H2551" s="4" t="s">
        <v>27</v>
      </c>
      <c r="I2551" s="4" t="s">
        <v>27</v>
      </c>
      <c r="J2551" s="4" t="s">
        <v>27</v>
      </c>
      <c r="K2551" s="4" t="s">
        <v>27</v>
      </c>
      <c r="L2551" s="4" t="s">
        <v>27</v>
      </c>
      <c r="M2551" s="4" t="s">
        <v>27</v>
      </c>
      <c r="N2551" s="4" t="s">
        <v>27</v>
      </c>
    </row>
    <row r="2552" hidden="1">
      <c r="B2552" s="4" t="s">
        <v>27</v>
      </c>
      <c r="C2552" s="4" t="s">
        <v>27</v>
      </c>
      <c r="D2552" s="6" t="s">
        <v>27</v>
      </c>
      <c r="E2552" s="6" t="s">
        <v>27</v>
      </c>
      <c r="F2552" s="6" t="s">
        <v>27</v>
      </c>
      <c r="G2552" s="4" t="s">
        <v>27</v>
      </c>
      <c r="H2552" s="4" t="s">
        <v>27</v>
      </c>
      <c r="I2552" s="4" t="s">
        <v>27</v>
      </c>
      <c r="J2552" s="4" t="s">
        <v>27</v>
      </c>
      <c r="K2552" s="4" t="s">
        <v>27</v>
      </c>
      <c r="L2552" s="4" t="s">
        <v>27</v>
      </c>
      <c r="M2552" s="4" t="s">
        <v>27</v>
      </c>
      <c r="N2552" s="4" t="s">
        <v>27</v>
      </c>
    </row>
    <row r="2553" hidden="1">
      <c r="B2553" s="4" t="s">
        <v>27</v>
      </c>
      <c r="C2553" s="4" t="s">
        <v>27</v>
      </c>
      <c r="D2553" s="6" t="s">
        <v>27</v>
      </c>
      <c r="E2553" s="6" t="s">
        <v>27</v>
      </c>
      <c r="F2553" s="6" t="s">
        <v>27</v>
      </c>
      <c r="G2553" s="4" t="s">
        <v>27</v>
      </c>
      <c r="H2553" s="4" t="s">
        <v>27</v>
      </c>
      <c r="I2553" s="4" t="s">
        <v>27</v>
      </c>
      <c r="J2553" s="4" t="s">
        <v>27</v>
      </c>
      <c r="K2553" s="4" t="s">
        <v>27</v>
      </c>
      <c r="L2553" s="4" t="s">
        <v>27</v>
      </c>
      <c r="M2553" s="4" t="s">
        <v>27</v>
      </c>
      <c r="N2553" s="4" t="s">
        <v>27</v>
      </c>
    </row>
    <row r="2554" hidden="1">
      <c r="B2554" s="4" t="s">
        <v>27</v>
      </c>
      <c r="C2554" s="4" t="s">
        <v>27</v>
      </c>
      <c r="D2554" s="6" t="s">
        <v>27</v>
      </c>
      <c r="E2554" s="6" t="s">
        <v>27</v>
      </c>
      <c r="F2554" s="6" t="s">
        <v>27</v>
      </c>
      <c r="G2554" s="4" t="s">
        <v>27</v>
      </c>
      <c r="H2554" s="4" t="s">
        <v>27</v>
      </c>
      <c r="I2554" s="4" t="s">
        <v>27</v>
      </c>
      <c r="J2554" s="4" t="s">
        <v>27</v>
      </c>
      <c r="K2554" s="4" t="s">
        <v>27</v>
      </c>
      <c r="L2554" s="4" t="s">
        <v>27</v>
      </c>
      <c r="M2554" s="4" t="s">
        <v>27</v>
      </c>
      <c r="N2554" s="4" t="s">
        <v>27</v>
      </c>
    </row>
    <row r="2555" hidden="1">
      <c r="B2555" s="4" t="s">
        <v>27</v>
      </c>
      <c r="C2555" s="4" t="s">
        <v>27</v>
      </c>
      <c r="D2555" s="6" t="s">
        <v>27</v>
      </c>
      <c r="E2555" s="6" t="s">
        <v>27</v>
      </c>
      <c r="F2555" s="6" t="s">
        <v>27</v>
      </c>
      <c r="G2555" s="4" t="s">
        <v>27</v>
      </c>
      <c r="H2555" s="4" t="s">
        <v>27</v>
      </c>
      <c r="I2555" s="4" t="s">
        <v>27</v>
      </c>
      <c r="J2555" s="4" t="s">
        <v>27</v>
      </c>
      <c r="K2555" s="4" t="s">
        <v>27</v>
      </c>
      <c r="L2555" s="4" t="s">
        <v>27</v>
      </c>
      <c r="M2555" s="4" t="s">
        <v>27</v>
      </c>
      <c r="N2555" s="4" t="s">
        <v>27</v>
      </c>
    </row>
    <row r="2556" hidden="1">
      <c r="B2556" s="4" t="s">
        <v>27</v>
      </c>
      <c r="C2556" s="4" t="s">
        <v>27</v>
      </c>
      <c r="D2556" s="6" t="s">
        <v>27</v>
      </c>
      <c r="E2556" s="6" t="s">
        <v>27</v>
      </c>
      <c r="F2556" s="6" t="s">
        <v>27</v>
      </c>
      <c r="G2556" s="4" t="s">
        <v>27</v>
      </c>
      <c r="H2556" s="4" t="s">
        <v>27</v>
      </c>
      <c r="I2556" s="4" t="s">
        <v>27</v>
      </c>
      <c r="J2556" s="4" t="s">
        <v>27</v>
      </c>
      <c r="K2556" s="4" t="s">
        <v>27</v>
      </c>
      <c r="L2556" s="4" t="s">
        <v>27</v>
      </c>
      <c r="M2556" s="4" t="s">
        <v>27</v>
      </c>
      <c r="N2556" s="4" t="s">
        <v>27</v>
      </c>
    </row>
    <row r="2557" hidden="1">
      <c r="B2557" s="4" t="s">
        <v>27</v>
      </c>
      <c r="C2557" s="4" t="s">
        <v>27</v>
      </c>
      <c r="D2557" s="6" t="s">
        <v>27</v>
      </c>
      <c r="E2557" s="6" t="s">
        <v>27</v>
      </c>
      <c r="F2557" s="6" t="s">
        <v>27</v>
      </c>
      <c r="G2557" s="4" t="s">
        <v>27</v>
      </c>
      <c r="H2557" s="4" t="s">
        <v>27</v>
      </c>
      <c r="I2557" s="4" t="s">
        <v>27</v>
      </c>
      <c r="J2557" s="4" t="s">
        <v>27</v>
      </c>
      <c r="K2557" s="4" t="s">
        <v>27</v>
      </c>
      <c r="L2557" s="4" t="s">
        <v>27</v>
      </c>
      <c r="M2557" s="4" t="s">
        <v>27</v>
      </c>
      <c r="N2557" s="4" t="s">
        <v>27</v>
      </c>
    </row>
    <row r="2558" hidden="1">
      <c r="B2558" s="4" t="s">
        <v>27</v>
      </c>
      <c r="C2558" s="4" t="s">
        <v>27</v>
      </c>
      <c r="D2558" s="6" t="s">
        <v>27</v>
      </c>
      <c r="E2558" s="6" t="s">
        <v>27</v>
      </c>
      <c r="F2558" s="6" t="s">
        <v>27</v>
      </c>
      <c r="G2558" s="4" t="s">
        <v>27</v>
      </c>
      <c r="H2558" s="4" t="s">
        <v>27</v>
      </c>
      <c r="I2558" s="4" t="s">
        <v>27</v>
      </c>
      <c r="J2558" s="4" t="s">
        <v>27</v>
      </c>
      <c r="K2558" s="4" t="s">
        <v>27</v>
      </c>
      <c r="L2558" s="4" t="s">
        <v>27</v>
      </c>
      <c r="M2558" s="4" t="s">
        <v>27</v>
      </c>
      <c r="N2558" s="4" t="s">
        <v>27</v>
      </c>
    </row>
    <row r="2559" hidden="1">
      <c r="B2559" s="4" t="s">
        <v>27</v>
      </c>
      <c r="C2559" s="4" t="s">
        <v>27</v>
      </c>
      <c r="D2559" s="6" t="s">
        <v>27</v>
      </c>
      <c r="E2559" s="6" t="s">
        <v>27</v>
      </c>
      <c r="F2559" s="6" t="s">
        <v>27</v>
      </c>
      <c r="G2559" s="4" t="s">
        <v>27</v>
      </c>
      <c r="H2559" s="4" t="s">
        <v>27</v>
      </c>
      <c r="I2559" s="4" t="s">
        <v>27</v>
      </c>
      <c r="J2559" s="4" t="s">
        <v>27</v>
      </c>
      <c r="K2559" s="4" t="s">
        <v>27</v>
      </c>
      <c r="L2559" s="4" t="s">
        <v>27</v>
      </c>
      <c r="M2559" s="4" t="s">
        <v>27</v>
      </c>
      <c r="N2559" s="4" t="s">
        <v>27</v>
      </c>
    </row>
    <row r="2560" hidden="1">
      <c r="B2560" s="4" t="s">
        <v>27</v>
      </c>
      <c r="C2560" s="4" t="s">
        <v>27</v>
      </c>
      <c r="D2560" s="6" t="s">
        <v>27</v>
      </c>
      <c r="E2560" s="6" t="s">
        <v>27</v>
      </c>
      <c r="F2560" s="6" t="s">
        <v>27</v>
      </c>
      <c r="G2560" s="4" t="s">
        <v>27</v>
      </c>
      <c r="H2560" s="4" t="s">
        <v>27</v>
      </c>
      <c r="I2560" s="4" t="s">
        <v>27</v>
      </c>
      <c r="J2560" s="4" t="s">
        <v>27</v>
      </c>
      <c r="K2560" s="4" t="s">
        <v>27</v>
      </c>
      <c r="L2560" s="4" t="s">
        <v>27</v>
      </c>
      <c r="M2560" s="4" t="s">
        <v>27</v>
      </c>
      <c r="N2560" s="4" t="s">
        <v>27</v>
      </c>
    </row>
    <row r="2561" hidden="1">
      <c r="B2561" s="4" t="s">
        <v>27</v>
      </c>
      <c r="C2561" s="4" t="s">
        <v>27</v>
      </c>
      <c r="D2561" s="6" t="s">
        <v>27</v>
      </c>
      <c r="E2561" s="6" t="s">
        <v>27</v>
      </c>
      <c r="F2561" s="6" t="s">
        <v>27</v>
      </c>
      <c r="G2561" s="4" t="s">
        <v>27</v>
      </c>
      <c r="H2561" s="4" t="s">
        <v>27</v>
      </c>
      <c r="I2561" s="4" t="s">
        <v>27</v>
      </c>
      <c r="J2561" s="4" t="s">
        <v>27</v>
      </c>
      <c r="K2561" s="4" t="s">
        <v>27</v>
      </c>
      <c r="L2561" s="4" t="s">
        <v>27</v>
      </c>
      <c r="M2561" s="4" t="s">
        <v>27</v>
      </c>
      <c r="N2561" s="4" t="s">
        <v>27</v>
      </c>
    </row>
    <row r="2562" hidden="1">
      <c r="B2562" s="4" t="s">
        <v>27</v>
      </c>
      <c r="C2562" s="4" t="s">
        <v>27</v>
      </c>
      <c r="D2562" s="6" t="s">
        <v>27</v>
      </c>
      <c r="E2562" s="6" t="s">
        <v>27</v>
      </c>
      <c r="F2562" s="6" t="s">
        <v>27</v>
      </c>
      <c r="G2562" s="4" t="s">
        <v>27</v>
      </c>
      <c r="H2562" s="4" t="s">
        <v>27</v>
      </c>
      <c r="I2562" s="4" t="s">
        <v>27</v>
      </c>
      <c r="J2562" s="4" t="s">
        <v>27</v>
      </c>
      <c r="K2562" s="4" t="s">
        <v>27</v>
      </c>
      <c r="L2562" s="4" t="s">
        <v>27</v>
      </c>
      <c r="M2562" s="4" t="s">
        <v>27</v>
      </c>
      <c r="N2562" s="4" t="s">
        <v>27</v>
      </c>
    </row>
    <row r="2563" hidden="1">
      <c r="B2563" s="4" t="s">
        <v>27</v>
      </c>
      <c r="C2563" s="4" t="s">
        <v>27</v>
      </c>
      <c r="D2563" s="6" t="s">
        <v>27</v>
      </c>
      <c r="E2563" s="6" t="s">
        <v>27</v>
      </c>
      <c r="F2563" s="6" t="s">
        <v>27</v>
      </c>
      <c r="G2563" s="4" t="s">
        <v>27</v>
      </c>
      <c r="H2563" s="4" t="s">
        <v>27</v>
      </c>
      <c r="I2563" s="4" t="s">
        <v>27</v>
      </c>
      <c r="J2563" s="4" t="s">
        <v>27</v>
      </c>
      <c r="K2563" s="4" t="s">
        <v>27</v>
      </c>
      <c r="L2563" s="4" t="s">
        <v>27</v>
      </c>
      <c r="M2563" s="4" t="s">
        <v>27</v>
      </c>
      <c r="N2563" s="4" t="s">
        <v>27</v>
      </c>
    </row>
    <row r="2564" hidden="1">
      <c r="B2564" s="4" t="s">
        <v>27</v>
      </c>
      <c r="C2564" s="4" t="s">
        <v>27</v>
      </c>
      <c r="D2564" s="6" t="s">
        <v>27</v>
      </c>
      <c r="E2564" s="6" t="s">
        <v>27</v>
      </c>
      <c r="F2564" s="6" t="s">
        <v>27</v>
      </c>
      <c r="G2564" s="4" t="s">
        <v>27</v>
      </c>
      <c r="H2564" s="4" t="s">
        <v>27</v>
      </c>
      <c r="I2564" s="4" t="s">
        <v>27</v>
      </c>
      <c r="J2564" s="4" t="s">
        <v>27</v>
      </c>
      <c r="K2564" s="4" t="s">
        <v>27</v>
      </c>
      <c r="L2564" s="4" t="s">
        <v>27</v>
      </c>
      <c r="M2564" s="4" t="s">
        <v>27</v>
      </c>
      <c r="N2564" s="4" t="s">
        <v>27</v>
      </c>
    </row>
    <row r="2565" hidden="1">
      <c r="B2565" s="4" t="s">
        <v>27</v>
      </c>
      <c r="C2565" s="4" t="s">
        <v>27</v>
      </c>
      <c r="D2565" s="6" t="s">
        <v>27</v>
      </c>
      <c r="E2565" s="6" t="s">
        <v>27</v>
      </c>
      <c r="F2565" s="6" t="s">
        <v>27</v>
      </c>
      <c r="G2565" s="4" t="s">
        <v>27</v>
      </c>
      <c r="H2565" s="4" t="s">
        <v>27</v>
      </c>
      <c r="I2565" s="4" t="s">
        <v>27</v>
      </c>
      <c r="J2565" s="4" t="s">
        <v>27</v>
      </c>
      <c r="K2565" s="4" t="s">
        <v>27</v>
      </c>
      <c r="L2565" s="4" t="s">
        <v>27</v>
      </c>
      <c r="M2565" s="4" t="s">
        <v>27</v>
      </c>
      <c r="N2565" s="4" t="s">
        <v>27</v>
      </c>
    </row>
    <row r="2566" hidden="1">
      <c r="B2566" s="4" t="s">
        <v>27</v>
      </c>
      <c r="C2566" s="4" t="s">
        <v>27</v>
      </c>
      <c r="D2566" s="6" t="s">
        <v>27</v>
      </c>
      <c r="E2566" s="6" t="s">
        <v>27</v>
      </c>
      <c r="F2566" s="6" t="s">
        <v>27</v>
      </c>
      <c r="G2566" s="4" t="s">
        <v>27</v>
      </c>
      <c r="H2566" s="4" t="s">
        <v>27</v>
      </c>
      <c r="I2566" s="4" t="s">
        <v>27</v>
      </c>
      <c r="J2566" s="4" t="s">
        <v>27</v>
      </c>
      <c r="K2566" s="4" t="s">
        <v>27</v>
      </c>
      <c r="L2566" s="4" t="s">
        <v>27</v>
      </c>
      <c r="M2566" s="4" t="s">
        <v>27</v>
      </c>
      <c r="N2566" s="4" t="s">
        <v>27</v>
      </c>
    </row>
    <row r="2567" hidden="1">
      <c r="B2567" s="4" t="s">
        <v>27</v>
      </c>
      <c r="C2567" s="4" t="s">
        <v>27</v>
      </c>
      <c r="D2567" s="6" t="s">
        <v>27</v>
      </c>
      <c r="E2567" s="6" t="s">
        <v>27</v>
      </c>
      <c r="F2567" s="6" t="s">
        <v>27</v>
      </c>
      <c r="G2567" s="4" t="s">
        <v>27</v>
      </c>
      <c r="H2567" s="4" t="s">
        <v>27</v>
      </c>
      <c r="I2567" s="4" t="s">
        <v>27</v>
      </c>
      <c r="J2567" s="4" t="s">
        <v>27</v>
      </c>
      <c r="K2567" s="4" t="s">
        <v>27</v>
      </c>
      <c r="L2567" s="4" t="s">
        <v>27</v>
      </c>
      <c r="M2567" s="4" t="s">
        <v>27</v>
      </c>
      <c r="N2567" s="4" t="s">
        <v>27</v>
      </c>
    </row>
    <row r="2568" hidden="1">
      <c r="B2568" s="4" t="s">
        <v>27</v>
      </c>
      <c r="C2568" s="4" t="s">
        <v>27</v>
      </c>
      <c r="D2568" s="6" t="s">
        <v>27</v>
      </c>
      <c r="E2568" s="6" t="s">
        <v>27</v>
      </c>
      <c r="F2568" s="6" t="s">
        <v>27</v>
      </c>
      <c r="G2568" s="4" t="s">
        <v>27</v>
      </c>
      <c r="H2568" s="4" t="s">
        <v>27</v>
      </c>
      <c r="I2568" s="4" t="s">
        <v>27</v>
      </c>
      <c r="J2568" s="4" t="s">
        <v>27</v>
      </c>
      <c r="K2568" s="4" t="s">
        <v>27</v>
      </c>
      <c r="L2568" s="4" t="s">
        <v>27</v>
      </c>
      <c r="M2568" s="4" t="s">
        <v>27</v>
      </c>
      <c r="N2568" s="4" t="s">
        <v>27</v>
      </c>
    </row>
    <row r="2569" hidden="1">
      <c r="B2569" s="4" t="s">
        <v>27</v>
      </c>
      <c r="C2569" s="4" t="s">
        <v>27</v>
      </c>
      <c r="D2569" s="6" t="s">
        <v>27</v>
      </c>
      <c r="E2569" s="6" t="s">
        <v>27</v>
      </c>
      <c r="F2569" s="6" t="s">
        <v>27</v>
      </c>
      <c r="G2569" s="4" t="s">
        <v>27</v>
      </c>
      <c r="H2569" s="4" t="s">
        <v>27</v>
      </c>
      <c r="I2569" s="4" t="s">
        <v>27</v>
      </c>
      <c r="J2569" s="4" t="s">
        <v>27</v>
      </c>
      <c r="K2569" s="4" t="s">
        <v>27</v>
      </c>
      <c r="L2569" s="4" t="s">
        <v>27</v>
      </c>
      <c r="M2569" s="4" t="s">
        <v>27</v>
      </c>
      <c r="N2569" s="4" t="s">
        <v>27</v>
      </c>
    </row>
    <row r="2570" hidden="1">
      <c r="B2570" s="4" t="s">
        <v>27</v>
      </c>
      <c r="C2570" s="4" t="s">
        <v>27</v>
      </c>
      <c r="D2570" s="6" t="s">
        <v>27</v>
      </c>
      <c r="E2570" s="6" t="s">
        <v>27</v>
      </c>
      <c r="F2570" s="6" t="s">
        <v>27</v>
      </c>
      <c r="G2570" s="4" t="s">
        <v>27</v>
      </c>
      <c r="H2570" s="4" t="s">
        <v>27</v>
      </c>
      <c r="I2570" s="4" t="s">
        <v>27</v>
      </c>
      <c r="J2570" s="4" t="s">
        <v>27</v>
      </c>
      <c r="K2570" s="4" t="s">
        <v>27</v>
      </c>
      <c r="L2570" s="4" t="s">
        <v>27</v>
      </c>
      <c r="M2570" s="4" t="s">
        <v>27</v>
      </c>
      <c r="N2570" s="4" t="s">
        <v>27</v>
      </c>
    </row>
    <row r="2571" hidden="1">
      <c r="B2571" s="4" t="s">
        <v>27</v>
      </c>
      <c r="C2571" s="4" t="s">
        <v>27</v>
      </c>
      <c r="D2571" s="6" t="s">
        <v>27</v>
      </c>
      <c r="E2571" s="6" t="s">
        <v>27</v>
      </c>
      <c r="F2571" s="6" t="s">
        <v>27</v>
      </c>
      <c r="G2571" s="4" t="s">
        <v>27</v>
      </c>
      <c r="H2571" s="4" t="s">
        <v>27</v>
      </c>
      <c r="I2571" s="4" t="s">
        <v>27</v>
      </c>
      <c r="J2571" s="4" t="s">
        <v>27</v>
      </c>
      <c r="K2571" s="4" t="s">
        <v>27</v>
      </c>
      <c r="L2571" s="4" t="s">
        <v>27</v>
      </c>
      <c r="M2571" s="4" t="s">
        <v>27</v>
      </c>
      <c r="N2571" s="4" t="s">
        <v>27</v>
      </c>
    </row>
    <row r="2572" hidden="1">
      <c r="B2572" s="4" t="s">
        <v>27</v>
      </c>
      <c r="C2572" s="4" t="s">
        <v>27</v>
      </c>
      <c r="D2572" s="6" t="s">
        <v>27</v>
      </c>
      <c r="E2572" s="6" t="s">
        <v>27</v>
      </c>
      <c r="F2572" s="6" t="s">
        <v>27</v>
      </c>
      <c r="G2572" s="4" t="s">
        <v>27</v>
      </c>
      <c r="H2572" s="4" t="s">
        <v>27</v>
      </c>
      <c r="I2572" s="4" t="s">
        <v>27</v>
      </c>
      <c r="J2572" s="4" t="s">
        <v>27</v>
      </c>
      <c r="K2572" s="4" t="s">
        <v>27</v>
      </c>
      <c r="L2572" s="4" t="s">
        <v>27</v>
      </c>
      <c r="M2572" s="4" t="s">
        <v>27</v>
      </c>
      <c r="N2572" s="4" t="s">
        <v>27</v>
      </c>
    </row>
    <row r="2573" hidden="1">
      <c r="B2573" s="4" t="s">
        <v>27</v>
      </c>
      <c r="C2573" s="4" t="s">
        <v>27</v>
      </c>
      <c r="D2573" s="6" t="s">
        <v>27</v>
      </c>
      <c r="E2573" s="6" t="s">
        <v>27</v>
      </c>
      <c r="F2573" s="6" t="s">
        <v>27</v>
      </c>
      <c r="G2573" s="4" t="s">
        <v>27</v>
      </c>
      <c r="H2573" s="4" t="s">
        <v>27</v>
      </c>
      <c r="I2573" s="4" t="s">
        <v>27</v>
      </c>
      <c r="J2573" s="4" t="s">
        <v>27</v>
      </c>
      <c r="K2573" s="4" t="s">
        <v>27</v>
      </c>
      <c r="L2573" s="4" t="s">
        <v>27</v>
      </c>
      <c r="M2573" s="4" t="s">
        <v>27</v>
      </c>
      <c r="N2573" s="4" t="s">
        <v>27</v>
      </c>
    </row>
    <row r="2574" hidden="1">
      <c r="B2574" s="4" t="s">
        <v>27</v>
      </c>
      <c r="C2574" s="4" t="s">
        <v>27</v>
      </c>
      <c r="D2574" s="6" t="s">
        <v>27</v>
      </c>
      <c r="E2574" s="6" t="s">
        <v>27</v>
      </c>
      <c r="F2574" s="6" t="s">
        <v>27</v>
      </c>
      <c r="G2574" s="4" t="s">
        <v>27</v>
      </c>
      <c r="H2574" s="4" t="s">
        <v>27</v>
      </c>
      <c r="I2574" s="4" t="s">
        <v>27</v>
      </c>
      <c r="J2574" s="4" t="s">
        <v>27</v>
      </c>
      <c r="K2574" s="4" t="s">
        <v>27</v>
      </c>
      <c r="L2574" s="4" t="s">
        <v>27</v>
      </c>
      <c r="M2574" s="4" t="s">
        <v>27</v>
      </c>
      <c r="N2574" s="4" t="s">
        <v>27</v>
      </c>
    </row>
    <row r="2575" hidden="1">
      <c r="B2575" s="4" t="s">
        <v>27</v>
      </c>
      <c r="C2575" s="4" t="s">
        <v>27</v>
      </c>
      <c r="D2575" s="6" t="s">
        <v>27</v>
      </c>
      <c r="E2575" s="6" t="s">
        <v>27</v>
      </c>
      <c r="F2575" s="6" t="s">
        <v>27</v>
      </c>
      <c r="G2575" s="4" t="s">
        <v>27</v>
      </c>
      <c r="H2575" s="4" t="s">
        <v>27</v>
      </c>
      <c r="I2575" s="4" t="s">
        <v>27</v>
      </c>
      <c r="J2575" s="4" t="s">
        <v>27</v>
      </c>
      <c r="K2575" s="4" t="s">
        <v>27</v>
      </c>
      <c r="L2575" s="4" t="s">
        <v>27</v>
      </c>
      <c r="M2575" s="4" t="s">
        <v>27</v>
      </c>
      <c r="N2575" s="4" t="s">
        <v>27</v>
      </c>
    </row>
    <row r="2576" hidden="1">
      <c r="B2576" s="4" t="s">
        <v>27</v>
      </c>
      <c r="C2576" s="4" t="s">
        <v>27</v>
      </c>
      <c r="D2576" s="6" t="s">
        <v>27</v>
      </c>
      <c r="E2576" s="6" t="s">
        <v>27</v>
      </c>
      <c r="F2576" s="6" t="s">
        <v>27</v>
      </c>
      <c r="G2576" s="4" t="s">
        <v>27</v>
      </c>
      <c r="H2576" s="4" t="s">
        <v>27</v>
      </c>
      <c r="I2576" s="4" t="s">
        <v>27</v>
      </c>
      <c r="J2576" s="4" t="s">
        <v>27</v>
      </c>
      <c r="K2576" s="4" t="s">
        <v>27</v>
      </c>
      <c r="L2576" s="4" t="s">
        <v>27</v>
      </c>
      <c r="M2576" s="4" t="s">
        <v>27</v>
      </c>
      <c r="N2576" s="4" t="s">
        <v>27</v>
      </c>
    </row>
    <row r="2577" hidden="1">
      <c r="B2577" s="4" t="s">
        <v>27</v>
      </c>
      <c r="C2577" s="4" t="s">
        <v>27</v>
      </c>
      <c r="D2577" s="6" t="s">
        <v>27</v>
      </c>
      <c r="E2577" s="6" t="s">
        <v>27</v>
      </c>
      <c r="F2577" s="6" t="s">
        <v>27</v>
      </c>
      <c r="G2577" s="4" t="s">
        <v>27</v>
      </c>
      <c r="H2577" s="4" t="s">
        <v>27</v>
      </c>
      <c r="I2577" s="4" t="s">
        <v>27</v>
      </c>
      <c r="J2577" s="4" t="s">
        <v>27</v>
      </c>
      <c r="K2577" s="4" t="s">
        <v>27</v>
      </c>
      <c r="L2577" s="4" t="s">
        <v>27</v>
      </c>
      <c r="M2577" s="4" t="s">
        <v>27</v>
      </c>
      <c r="N2577" s="4" t="s">
        <v>27</v>
      </c>
    </row>
    <row r="2578" hidden="1">
      <c r="B2578" s="4" t="s">
        <v>27</v>
      </c>
      <c r="C2578" s="4" t="s">
        <v>27</v>
      </c>
      <c r="D2578" s="6" t="s">
        <v>27</v>
      </c>
      <c r="E2578" s="6" t="s">
        <v>27</v>
      </c>
      <c r="F2578" s="6" t="s">
        <v>27</v>
      </c>
      <c r="G2578" s="4" t="s">
        <v>27</v>
      </c>
      <c r="H2578" s="4" t="s">
        <v>27</v>
      </c>
      <c r="I2578" s="4" t="s">
        <v>27</v>
      </c>
      <c r="J2578" s="4" t="s">
        <v>27</v>
      </c>
      <c r="K2578" s="4" t="s">
        <v>27</v>
      </c>
      <c r="L2578" s="4" t="s">
        <v>27</v>
      </c>
      <c r="M2578" s="4" t="s">
        <v>27</v>
      </c>
      <c r="N2578" s="4" t="s">
        <v>27</v>
      </c>
    </row>
    <row r="2579" hidden="1">
      <c r="B2579" s="4" t="s">
        <v>27</v>
      </c>
      <c r="C2579" s="4" t="s">
        <v>27</v>
      </c>
      <c r="D2579" s="6" t="s">
        <v>27</v>
      </c>
      <c r="E2579" s="6" t="s">
        <v>27</v>
      </c>
      <c r="F2579" s="6" t="s">
        <v>27</v>
      </c>
      <c r="G2579" s="4" t="s">
        <v>27</v>
      </c>
      <c r="H2579" s="4" t="s">
        <v>27</v>
      </c>
      <c r="I2579" s="4" t="s">
        <v>27</v>
      </c>
      <c r="J2579" s="4" t="s">
        <v>27</v>
      </c>
      <c r="K2579" s="4" t="s">
        <v>27</v>
      </c>
      <c r="L2579" s="4" t="s">
        <v>27</v>
      </c>
      <c r="M2579" s="4" t="s">
        <v>27</v>
      </c>
      <c r="N2579" s="4" t="s">
        <v>27</v>
      </c>
    </row>
    <row r="2580" hidden="1">
      <c r="B2580" s="4" t="s">
        <v>27</v>
      </c>
      <c r="C2580" s="4" t="s">
        <v>27</v>
      </c>
      <c r="D2580" s="6" t="s">
        <v>27</v>
      </c>
      <c r="E2580" s="6" t="s">
        <v>27</v>
      </c>
      <c r="F2580" s="6" t="s">
        <v>27</v>
      </c>
      <c r="G2580" s="4" t="s">
        <v>27</v>
      </c>
      <c r="H2580" s="4" t="s">
        <v>27</v>
      </c>
      <c r="I2580" s="4" t="s">
        <v>27</v>
      </c>
      <c r="J2580" s="4" t="s">
        <v>27</v>
      </c>
      <c r="K2580" s="4" t="s">
        <v>27</v>
      </c>
      <c r="L2580" s="4" t="s">
        <v>27</v>
      </c>
      <c r="M2580" s="4" t="s">
        <v>27</v>
      </c>
      <c r="N2580" s="4" t="s">
        <v>27</v>
      </c>
    </row>
    <row r="2581" hidden="1">
      <c r="B2581" s="4" t="s">
        <v>27</v>
      </c>
      <c r="C2581" s="4" t="s">
        <v>27</v>
      </c>
      <c r="D2581" s="6" t="s">
        <v>27</v>
      </c>
      <c r="E2581" s="6" t="s">
        <v>27</v>
      </c>
      <c r="F2581" s="6" t="s">
        <v>27</v>
      </c>
      <c r="G2581" s="4" t="s">
        <v>27</v>
      </c>
      <c r="H2581" s="4" t="s">
        <v>27</v>
      </c>
      <c r="I2581" s="4" t="s">
        <v>27</v>
      </c>
      <c r="J2581" s="4" t="s">
        <v>27</v>
      </c>
      <c r="K2581" s="4" t="s">
        <v>27</v>
      </c>
      <c r="L2581" s="4" t="s">
        <v>27</v>
      </c>
      <c r="M2581" s="4" t="s">
        <v>27</v>
      </c>
      <c r="N2581" s="4" t="s">
        <v>27</v>
      </c>
    </row>
    <row r="2582" hidden="1">
      <c r="B2582" s="4" t="s">
        <v>27</v>
      </c>
      <c r="C2582" s="4" t="s">
        <v>27</v>
      </c>
      <c r="D2582" s="6" t="s">
        <v>27</v>
      </c>
      <c r="E2582" s="6" t="s">
        <v>27</v>
      </c>
      <c r="F2582" s="6" t="s">
        <v>27</v>
      </c>
      <c r="G2582" s="4" t="s">
        <v>27</v>
      </c>
      <c r="H2582" s="4" t="s">
        <v>27</v>
      </c>
      <c r="I2582" s="4" t="s">
        <v>27</v>
      </c>
      <c r="J2582" s="4" t="s">
        <v>27</v>
      </c>
      <c r="K2582" s="4" t="s">
        <v>27</v>
      </c>
      <c r="L2582" s="4" t="s">
        <v>27</v>
      </c>
      <c r="M2582" s="4" t="s">
        <v>27</v>
      </c>
      <c r="N2582" s="4" t="s">
        <v>27</v>
      </c>
    </row>
    <row r="2583" hidden="1">
      <c r="B2583" s="4" t="s">
        <v>27</v>
      </c>
      <c r="C2583" s="4" t="s">
        <v>27</v>
      </c>
      <c r="D2583" s="6" t="s">
        <v>27</v>
      </c>
      <c r="E2583" s="6" t="s">
        <v>27</v>
      </c>
      <c r="F2583" s="6" t="s">
        <v>27</v>
      </c>
      <c r="G2583" s="4" t="s">
        <v>27</v>
      </c>
      <c r="H2583" s="4" t="s">
        <v>27</v>
      </c>
      <c r="I2583" s="4" t="s">
        <v>27</v>
      </c>
      <c r="J2583" s="4" t="s">
        <v>27</v>
      </c>
      <c r="K2583" s="4" t="s">
        <v>27</v>
      </c>
      <c r="L2583" s="4" t="s">
        <v>27</v>
      </c>
      <c r="M2583" s="4" t="s">
        <v>27</v>
      </c>
      <c r="N2583" s="4" t="s">
        <v>27</v>
      </c>
    </row>
    <row r="2584" hidden="1">
      <c r="B2584" s="4" t="s">
        <v>27</v>
      </c>
      <c r="C2584" s="4" t="s">
        <v>27</v>
      </c>
      <c r="D2584" s="6" t="s">
        <v>27</v>
      </c>
      <c r="E2584" s="6" t="s">
        <v>27</v>
      </c>
      <c r="F2584" s="6" t="s">
        <v>27</v>
      </c>
      <c r="G2584" s="4" t="s">
        <v>27</v>
      </c>
      <c r="H2584" s="4" t="s">
        <v>27</v>
      </c>
      <c r="I2584" s="4" t="s">
        <v>27</v>
      </c>
      <c r="J2584" s="4" t="s">
        <v>27</v>
      </c>
      <c r="K2584" s="4" t="s">
        <v>27</v>
      </c>
      <c r="L2584" s="4" t="s">
        <v>27</v>
      </c>
      <c r="M2584" s="4" t="s">
        <v>27</v>
      </c>
      <c r="N2584" s="4" t="s">
        <v>27</v>
      </c>
    </row>
    <row r="2585" hidden="1">
      <c r="B2585" s="4" t="s">
        <v>27</v>
      </c>
      <c r="C2585" s="4" t="s">
        <v>27</v>
      </c>
      <c r="D2585" s="6" t="s">
        <v>27</v>
      </c>
      <c r="E2585" s="6" t="s">
        <v>27</v>
      </c>
      <c r="F2585" s="6" t="s">
        <v>27</v>
      </c>
      <c r="G2585" s="4" t="s">
        <v>27</v>
      </c>
      <c r="H2585" s="4" t="s">
        <v>27</v>
      </c>
      <c r="I2585" s="4" t="s">
        <v>27</v>
      </c>
      <c r="J2585" s="4" t="s">
        <v>27</v>
      </c>
      <c r="K2585" s="4" t="s">
        <v>27</v>
      </c>
      <c r="L2585" s="4" t="s">
        <v>27</v>
      </c>
      <c r="M2585" s="4" t="s">
        <v>27</v>
      </c>
      <c r="N2585" s="4" t="s">
        <v>27</v>
      </c>
    </row>
    <row r="2586" hidden="1">
      <c r="B2586" s="4" t="s">
        <v>27</v>
      </c>
      <c r="C2586" s="4" t="s">
        <v>27</v>
      </c>
      <c r="D2586" s="6" t="s">
        <v>27</v>
      </c>
      <c r="E2586" s="6" t="s">
        <v>27</v>
      </c>
      <c r="F2586" s="6" t="s">
        <v>27</v>
      </c>
      <c r="G2586" s="4" t="s">
        <v>27</v>
      </c>
      <c r="H2586" s="4" t="s">
        <v>27</v>
      </c>
      <c r="I2586" s="4" t="s">
        <v>27</v>
      </c>
      <c r="J2586" s="4" t="s">
        <v>27</v>
      </c>
      <c r="K2586" s="4" t="s">
        <v>27</v>
      </c>
      <c r="L2586" s="4" t="s">
        <v>27</v>
      </c>
      <c r="M2586" s="4" t="s">
        <v>27</v>
      </c>
      <c r="N2586" s="4" t="s">
        <v>27</v>
      </c>
    </row>
    <row r="2587" hidden="1">
      <c r="B2587" s="4" t="s">
        <v>27</v>
      </c>
      <c r="C2587" s="4" t="s">
        <v>27</v>
      </c>
      <c r="D2587" s="6" t="s">
        <v>27</v>
      </c>
      <c r="E2587" s="6" t="s">
        <v>27</v>
      </c>
      <c r="F2587" s="6" t="s">
        <v>27</v>
      </c>
      <c r="G2587" s="4" t="s">
        <v>27</v>
      </c>
      <c r="H2587" s="4" t="s">
        <v>27</v>
      </c>
      <c r="I2587" s="4" t="s">
        <v>27</v>
      </c>
      <c r="J2587" s="4" t="s">
        <v>27</v>
      </c>
      <c r="K2587" s="4" t="s">
        <v>27</v>
      </c>
      <c r="L2587" s="4" t="s">
        <v>27</v>
      </c>
      <c r="M2587" s="4" t="s">
        <v>27</v>
      </c>
      <c r="N2587" s="4" t="s">
        <v>27</v>
      </c>
    </row>
    <row r="2588" hidden="1">
      <c r="B2588" s="4" t="s">
        <v>27</v>
      </c>
      <c r="C2588" s="4" t="s">
        <v>27</v>
      </c>
      <c r="D2588" s="6" t="s">
        <v>27</v>
      </c>
      <c r="E2588" s="6" t="s">
        <v>27</v>
      </c>
      <c r="F2588" s="6" t="s">
        <v>27</v>
      </c>
      <c r="G2588" s="4" t="s">
        <v>27</v>
      </c>
      <c r="H2588" s="4" t="s">
        <v>27</v>
      </c>
      <c r="I2588" s="4" t="s">
        <v>27</v>
      </c>
      <c r="J2588" s="4" t="s">
        <v>27</v>
      </c>
      <c r="K2588" s="4" t="s">
        <v>27</v>
      </c>
      <c r="L2588" s="4" t="s">
        <v>27</v>
      </c>
      <c r="M2588" s="4" t="s">
        <v>27</v>
      </c>
      <c r="N2588" s="4" t="s">
        <v>27</v>
      </c>
    </row>
    <row r="2589" hidden="1">
      <c r="B2589" s="4" t="s">
        <v>27</v>
      </c>
      <c r="C2589" s="4" t="s">
        <v>27</v>
      </c>
      <c r="D2589" s="6" t="s">
        <v>27</v>
      </c>
      <c r="E2589" s="6" t="s">
        <v>27</v>
      </c>
      <c r="F2589" s="6" t="s">
        <v>27</v>
      </c>
      <c r="G2589" s="4" t="s">
        <v>27</v>
      </c>
      <c r="H2589" s="4" t="s">
        <v>27</v>
      </c>
      <c r="I2589" s="4" t="s">
        <v>27</v>
      </c>
      <c r="J2589" s="4" t="s">
        <v>27</v>
      </c>
      <c r="K2589" s="4" t="s">
        <v>27</v>
      </c>
      <c r="L2589" s="4" t="s">
        <v>27</v>
      </c>
      <c r="M2589" s="4" t="s">
        <v>27</v>
      </c>
      <c r="N2589" s="4" t="s">
        <v>27</v>
      </c>
    </row>
    <row r="2590" hidden="1">
      <c r="B2590" s="4" t="s">
        <v>27</v>
      </c>
      <c r="C2590" s="4" t="s">
        <v>27</v>
      </c>
      <c r="D2590" s="6" t="s">
        <v>27</v>
      </c>
      <c r="E2590" s="6" t="s">
        <v>27</v>
      </c>
      <c r="F2590" s="6" t="s">
        <v>27</v>
      </c>
      <c r="G2590" s="4" t="s">
        <v>27</v>
      </c>
      <c r="H2590" s="4" t="s">
        <v>27</v>
      </c>
      <c r="I2590" s="4" t="s">
        <v>27</v>
      </c>
      <c r="J2590" s="4" t="s">
        <v>27</v>
      </c>
      <c r="K2590" s="4" t="s">
        <v>27</v>
      </c>
      <c r="L2590" s="4" t="s">
        <v>27</v>
      </c>
      <c r="M2590" s="4" t="s">
        <v>27</v>
      </c>
      <c r="N2590" s="4" t="s">
        <v>27</v>
      </c>
    </row>
    <row r="2591" hidden="1">
      <c r="B2591" s="4" t="s">
        <v>27</v>
      </c>
      <c r="C2591" s="4" t="s">
        <v>27</v>
      </c>
      <c r="D2591" s="6" t="s">
        <v>27</v>
      </c>
      <c r="E2591" s="6" t="s">
        <v>27</v>
      </c>
      <c r="F2591" s="6" t="s">
        <v>27</v>
      </c>
      <c r="G2591" s="4" t="s">
        <v>27</v>
      </c>
      <c r="H2591" s="4" t="s">
        <v>27</v>
      </c>
      <c r="I2591" s="4" t="s">
        <v>27</v>
      </c>
      <c r="J2591" s="4" t="s">
        <v>27</v>
      </c>
      <c r="K2591" s="4" t="s">
        <v>27</v>
      </c>
      <c r="L2591" s="4" t="s">
        <v>27</v>
      </c>
      <c r="M2591" s="4" t="s">
        <v>27</v>
      </c>
      <c r="N2591" s="4" t="s">
        <v>27</v>
      </c>
    </row>
    <row r="2592" hidden="1">
      <c r="B2592" s="4" t="s">
        <v>27</v>
      </c>
      <c r="C2592" s="4" t="s">
        <v>27</v>
      </c>
      <c r="D2592" s="6" t="s">
        <v>27</v>
      </c>
      <c r="E2592" s="6" t="s">
        <v>27</v>
      </c>
      <c r="F2592" s="6" t="s">
        <v>27</v>
      </c>
      <c r="G2592" s="4" t="s">
        <v>27</v>
      </c>
      <c r="H2592" s="4" t="s">
        <v>27</v>
      </c>
      <c r="I2592" s="4" t="s">
        <v>27</v>
      </c>
      <c r="J2592" s="4" t="s">
        <v>27</v>
      </c>
      <c r="K2592" s="4" t="s">
        <v>27</v>
      </c>
      <c r="L2592" s="4" t="s">
        <v>27</v>
      </c>
      <c r="M2592" s="4" t="s">
        <v>27</v>
      </c>
      <c r="N2592" s="4" t="s">
        <v>27</v>
      </c>
    </row>
    <row r="2593" hidden="1">
      <c r="B2593" s="4" t="s">
        <v>27</v>
      </c>
      <c r="C2593" s="4" t="s">
        <v>27</v>
      </c>
      <c r="D2593" s="6" t="s">
        <v>27</v>
      </c>
      <c r="E2593" s="6" t="s">
        <v>27</v>
      </c>
      <c r="F2593" s="6" t="s">
        <v>27</v>
      </c>
      <c r="G2593" s="4" t="s">
        <v>27</v>
      </c>
      <c r="H2593" s="4" t="s">
        <v>27</v>
      </c>
      <c r="I2593" s="4" t="s">
        <v>27</v>
      </c>
      <c r="J2593" s="4" t="s">
        <v>27</v>
      </c>
      <c r="K2593" s="4" t="s">
        <v>27</v>
      </c>
      <c r="L2593" s="4" t="s">
        <v>27</v>
      </c>
      <c r="M2593" s="4" t="s">
        <v>27</v>
      </c>
      <c r="N2593" s="4" t="s">
        <v>27</v>
      </c>
    </row>
    <row r="2594" hidden="1">
      <c r="B2594" s="4" t="s">
        <v>27</v>
      </c>
      <c r="C2594" s="4" t="s">
        <v>27</v>
      </c>
      <c r="D2594" s="6" t="s">
        <v>27</v>
      </c>
      <c r="E2594" s="6" t="s">
        <v>27</v>
      </c>
      <c r="F2594" s="6" t="s">
        <v>27</v>
      </c>
      <c r="G2594" s="4" t="s">
        <v>27</v>
      </c>
      <c r="H2594" s="4" t="s">
        <v>27</v>
      </c>
      <c r="I2594" s="4" t="s">
        <v>27</v>
      </c>
      <c r="J2594" s="4" t="s">
        <v>27</v>
      </c>
      <c r="K2594" s="4" t="s">
        <v>27</v>
      </c>
      <c r="L2594" s="4" t="s">
        <v>27</v>
      </c>
      <c r="M2594" s="4" t="s">
        <v>27</v>
      </c>
      <c r="N2594" s="4" t="s">
        <v>27</v>
      </c>
    </row>
    <row r="2595" hidden="1">
      <c r="B2595" s="4" t="s">
        <v>27</v>
      </c>
      <c r="C2595" s="4" t="s">
        <v>27</v>
      </c>
      <c r="D2595" s="6" t="s">
        <v>27</v>
      </c>
      <c r="E2595" s="6" t="s">
        <v>27</v>
      </c>
      <c r="F2595" s="6" t="s">
        <v>27</v>
      </c>
      <c r="G2595" s="4" t="s">
        <v>27</v>
      </c>
      <c r="H2595" s="4" t="s">
        <v>27</v>
      </c>
      <c r="I2595" s="4" t="s">
        <v>27</v>
      </c>
      <c r="J2595" s="4" t="s">
        <v>27</v>
      </c>
      <c r="K2595" s="4" t="s">
        <v>27</v>
      </c>
      <c r="L2595" s="4" t="s">
        <v>27</v>
      </c>
      <c r="M2595" s="4" t="s">
        <v>27</v>
      </c>
      <c r="N2595" s="4" t="s">
        <v>27</v>
      </c>
    </row>
    <row r="2596" hidden="1">
      <c r="B2596" s="4" t="s">
        <v>27</v>
      </c>
      <c r="C2596" s="4" t="s">
        <v>27</v>
      </c>
      <c r="D2596" s="6" t="s">
        <v>27</v>
      </c>
      <c r="E2596" s="6" t="s">
        <v>27</v>
      </c>
      <c r="F2596" s="6" t="s">
        <v>27</v>
      </c>
      <c r="G2596" s="4" t="s">
        <v>27</v>
      </c>
      <c r="H2596" s="4" t="s">
        <v>27</v>
      </c>
      <c r="I2596" s="4" t="s">
        <v>27</v>
      </c>
      <c r="J2596" s="4" t="s">
        <v>27</v>
      </c>
      <c r="K2596" s="4" t="s">
        <v>27</v>
      </c>
      <c r="L2596" s="4" t="s">
        <v>27</v>
      </c>
      <c r="M2596" s="4" t="s">
        <v>27</v>
      </c>
      <c r="N2596" s="4" t="s">
        <v>27</v>
      </c>
    </row>
    <row r="2597" hidden="1">
      <c r="B2597" s="4" t="s">
        <v>27</v>
      </c>
      <c r="C2597" s="4" t="s">
        <v>27</v>
      </c>
      <c r="D2597" s="6" t="s">
        <v>27</v>
      </c>
      <c r="E2597" s="6" t="s">
        <v>27</v>
      </c>
      <c r="F2597" s="6" t="s">
        <v>27</v>
      </c>
      <c r="G2597" s="4" t="s">
        <v>27</v>
      </c>
      <c r="H2597" s="4" t="s">
        <v>27</v>
      </c>
      <c r="I2597" s="4" t="s">
        <v>27</v>
      </c>
      <c r="J2597" s="4" t="s">
        <v>27</v>
      </c>
      <c r="K2597" s="4" t="s">
        <v>27</v>
      </c>
      <c r="L2597" s="4" t="s">
        <v>27</v>
      </c>
      <c r="M2597" s="4" t="s">
        <v>27</v>
      </c>
      <c r="N2597" s="4" t="s">
        <v>27</v>
      </c>
    </row>
    <row r="2598" hidden="1">
      <c r="B2598" s="4" t="s">
        <v>27</v>
      </c>
      <c r="C2598" s="4" t="s">
        <v>27</v>
      </c>
      <c r="D2598" s="6" t="s">
        <v>27</v>
      </c>
      <c r="E2598" s="6" t="s">
        <v>27</v>
      </c>
      <c r="F2598" s="6" t="s">
        <v>27</v>
      </c>
      <c r="G2598" s="4" t="s">
        <v>27</v>
      </c>
      <c r="H2598" s="4" t="s">
        <v>27</v>
      </c>
      <c r="I2598" s="4" t="s">
        <v>27</v>
      </c>
      <c r="J2598" s="4" t="s">
        <v>27</v>
      </c>
      <c r="K2598" s="4" t="s">
        <v>27</v>
      </c>
      <c r="L2598" s="4" t="s">
        <v>27</v>
      </c>
      <c r="M2598" s="4" t="s">
        <v>27</v>
      </c>
      <c r="N2598" s="4" t="s">
        <v>27</v>
      </c>
    </row>
    <row r="2599" hidden="1">
      <c r="B2599" s="4" t="s">
        <v>27</v>
      </c>
      <c r="C2599" s="4" t="s">
        <v>27</v>
      </c>
      <c r="D2599" s="6" t="s">
        <v>27</v>
      </c>
      <c r="E2599" s="6" t="s">
        <v>27</v>
      </c>
      <c r="F2599" s="6" t="s">
        <v>27</v>
      </c>
      <c r="G2599" s="4" t="s">
        <v>27</v>
      </c>
      <c r="H2599" s="4" t="s">
        <v>27</v>
      </c>
      <c r="I2599" s="4" t="s">
        <v>27</v>
      </c>
      <c r="J2599" s="4" t="s">
        <v>27</v>
      </c>
      <c r="K2599" s="4" t="s">
        <v>27</v>
      </c>
      <c r="L2599" s="4" t="s">
        <v>27</v>
      </c>
      <c r="M2599" s="4" t="s">
        <v>27</v>
      </c>
      <c r="N2599" s="4" t="s">
        <v>27</v>
      </c>
    </row>
    <row r="2600" hidden="1">
      <c r="B2600" s="4" t="s">
        <v>27</v>
      </c>
      <c r="C2600" s="4" t="s">
        <v>27</v>
      </c>
      <c r="D2600" s="6" t="s">
        <v>27</v>
      </c>
      <c r="E2600" s="6" t="s">
        <v>27</v>
      </c>
      <c r="F2600" s="6" t="s">
        <v>27</v>
      </c>
      <c r="G2600" s="4" t="s">
        <v>27</v>
      </c>
      <c r="H2600" s="4" t="s">
        <v>27</v>
      </c>
      <c r="I2600" s="4" t="s">
        <v>27</v>
      </c>
      <c r="J2600" s="4" t="s">
        <v>27</v>
      </c>
      <c r="K2600" s="4" t="s">
        <v>27</v>
      </c>
      <c r="L2600" s="4" t="s">
        <v>27</v>
      </c>
      <c r="M2600" s="4" t="s">
        <v>27</v>
      </c>
      <c r="N2600" s="4" t="s">
        <v>27</v>
      </c>
    </row>
    <row r="2601" hidden="1">
      <c r="B2601" s="4" t="s">
        <v>27</v>
      </c>
      <c r="C2601" s="4" t="s">
        <v>27</v>
      </c>
      <c r="D2601" s="6" t="s">
        <v>27</v>
      </c>
      <c r="E2601" s="6" t="s">
        <v>27</v>
      </c>
      <c r="F2601" s="6" t="s">
        <v>27</v>
      </c>
      <c r="G2601" s="4" t="s">
        <v>27</v>
      </c>
      <c r="H2601" s="4" t="s">
        <v>27</v>
      </c>
      <c r="I2601" s="4" t="s">
        <v>27</v>
      </c>
      <c r="J2601" s="4" t="s">
        <v>27</v>
      </c>
      <c r="K2601" s="4" t="s">
        <v>27</v>
      </c>
      <c r="L2601" s="4" t="s">
        <v>27</v>
      </c>
      <c r="M2601" s="4" t="s">
        <v>27</v>
      </c>
      <c r="N2601" s="4" t="s">
        <v>27</v>
      </c>
    </row>
    <row r="2602" hidden="1">
      <c r="B2602" s="4" t="s">
        <v>27</v>
      </c>
      <c r="C2602" s="4" t="s">
        <v>27</v>
      </c>
      <c r="D2602" s="6" t="s">
        <v>27</v>
      </c>
      <c r="E2602" s="6" t="s">
        <v>27</v>
      </c>
      <c r="F2602" s="6" t="s">
        <v>27</v>
      </c>
      <c r="G2602" s="4" t="s">
        <v>27</v>
      </c>
      <c r="H2602" s="4" t="s">
        <v>27</v>
      </c>
      <c r="I2602" s="4" t="s">
        <v>27</v>
      </c>
      <c r="J2602" s="4" t="s">
        <v>27</v>
      </c>
      <c r="K2602" s="4" t="s">
        <v>27</v>
      </c>
      <c r="L2602" s="4" t="s">
        <v>27</v>
      </c>
      <c r="M2602" s="4" t="s">
        <v>27</v>
      </c>
      <c r="N2602" s="4" t="s">
        <v>27</v>
      </c>
    </row>
    <row r="2603" hidden="1">
      <c r="B2603" s="4" t="s">
        <v>27</v>
      </c>
      <c r="C2603" s="4" t="s">
        <v>27</v>
      </c>
      <c r="D2603" s="6" t="s">
        <v>27</v>
      </c>
      <c r="E2603" s="6" t="s">
        <v>27</v>
      </c>
      <c r="F2603" s="6" t="s">
        <v>27</v>
      </c>
      <c r="G2603" s="4" t="s">
        <v>27</v>
      </c>
      <c r="H2603" s="4" t="s">
        <v>27</v>
      </c>
      <c r="I2603" s="4" t="s">
        <v>27</v>
      </c>
      <c r="J2603" s="4" t="s">
        <v>27</v>
      </c>
      <c r="K2603" s="4" t="s">
        <v>27</v>
      </c>
      <c r="L2603" s="4" t="s">
        <v>27</v>
      </c>
      <c r="M2603" s="4" t="s">
        <v>27</v>
      </c>
      <c r="N2603" s="4" t="s">
        <v>27</v>
      </c>
    </row>
    <row r="2604" hidden="1">
      <c r="B2604" s="4" t="s">
        <v>27</v>
      </c>
      <c r="C2604" s="4" t="s">
        <v>27</v>
      </c>
      <c r="D2604" s="6" t="s">
        <v>27</v>
      </c>
      <c r="E2604" s="6" t="s">
        <v>27</v>
      </c>
      <c r="F2604" s="6" t="s">
        <v>27</v>
      </c>
      <c r="G2604" s="4" t="s">
        <v>27</v>
      </c>
      <c r="H2604" s="4" t="s">
        <v>27</v>
      </c>
      <c r="I2604" s="4" t="s">
        <v>27</v>
      </c>
      <c r="J2604" s="4" t="s">
        <v>27</v>
      </c>
      <c r="K2604" s="4" t="s">
        <v>27</v>
      </c>
      <c r="L2604" s="4" t="s">
        <v>27</v>
      </c>
      <c r="M2604" s="4" t="s">
        <v>27</v>
      </c>
      <c r="N2604" s="4" t="s">
        <v>27</v>
      </c>
    </row>
    <row r="2605" hidden="1">
      <c r="B2605" s="4" t="s">
        <v>27</v>
      </c>
      <c r="C2605" s="4" t="s">
        <v>27</v>
      </c>
      <c r="D2605" s="6" t="s">
        <v>27</v>
      </c>
      <c r="E2605" s="6" t="s">
        <v>27</v>
      </c>
      <c r="F2605" s="6" t="s">
        <v>27</v>
      </c>
      <c r="G2605" s="4" t="s">
        <v>27</v>
      </c>
      <c r="H2605" s="4" t="s">
        <v>27</v>
      </c>
      <c r="I2605" s="4" t="s">
        <v>27</v>
      </c>
      <c r="J2605" s="4" t="s">
        <v>27</v>
      </c>
      <c r="K2605" s="4" t="s">
        <v>27</v>
      </c>
      <c r="L2605" s="4" t="s">
        <v>27</v>
      </c>
      <c r="M2605" s="4" t="s">
        <v>27</v>
      </c>
      <c r="N2605" s="4" t="s">
        <v>27</v>
      </c>
    </row>
    <row r="2606" hidden="1">
      <c r="B2606" s="4" t="s">
        <v>27</v>
      </c>
      <c r="C2606" s="4" t="s">
        <v>27</v>
      </c>
      <c r="D2606" s="6" t="s">
        <v>27</v>
      </c>
      <c r="E2606" s="6" t="s">
        <v>27</v>
      </c>
      <c r="F2606" s="6" t="s">
        <v>27</v>
      </c>
      <c r="G2606" s="4" t="s">
        <v>27</v>
      </c>
      <c r="H2606" s="4" t="s">
        <v>27</v>
      </c>
      <c r="I2606" s="4" t="s">
        <v>27</v>
      </c>
      <c r="J2606" s="4" t="s">
        <v>27</v>
      </c>
      <c r="K2606" s="4" t="s">
        <v>27</v>
      </c>
      <c r="L2606" s="4" t="s">
        <v>27</v>
      </c>
      <c r="M2606" s="4" t="s">
        <v>27</v>
      </c>
      <c r="N2606" s="4" t="s">
        <v>27</v>
      </c>
    </row>
    <row r="2607" hidden="1">
      <c r="B2607" s="4" t="s">
        <v>27</v>
      </c>
      <c r="C2607" s="4" t="s">
        <v>27</v>
      </c>
      <c r="D2607" s="6" t="s">
        <v>27</v>
      </c>
      <c r="E2607" s="6" t="s">
        <v>27</v>
      </c>
      <c r="F2607" s="6" t="s">
        <v>27</v>
      </c>
      <c r="G2607" s="4" t="s">
        <v>27</v>
      </c>
      <c r="H2607" s="4" t="s">
        <v>27</v>
      </c>
      <c r="I2607" s="4" t="s">
        <v>27</v>
      </c>
      <c r="J2607" s="4" t="s">
        <v>27</v>
      </c>
      <c r="K2607" s="4" t="s">
        <v>27</v>
      </c>
      <c r="L2607" s="4" t="s">
        <v>27</v>
      </c>
      <c r="M2607" s="4" t="s">
        <v>27</v>
      </c>
      <c r="N2607" s="4" t="s">
        <v>27</v>
      </c>
    </row>
    <row r="2608" hidden="1">
      <c r="B2608" s="4" t="s">
        <v>27</v>
      </c>
      <c r="C2608" s="4" t="s">
        <v>27</v>
      </c>
      <c r="D2608" s="6" t="s">
        <v>27</v>
      </c>
      <c r="E2608" s="6" t="s">
        <v>27</v>
      </c>
      <c r="F2608" s="6" t="s">
        <v>27</v>
      </c>
      <c r="G2608" s="4" t="s">
        <v>27</v>
      </c>
      <c r="H2608" s="4" t="s">
        <v>27</v>
      </c>
      <c r="I2608" s="4" t="s">
        <v>27</v>
      </c>
      <c r="J2608" s="4" t="s">
        <v>27</v>
      </c>
      <c r="K2608" s="4" t="s">
        <v>27</v>
      </c>
      <c r="L2608" s="4" t="s">
        <v>27</v>
      </c>
      <c r="M2608" s="4" t="s">
        <v>27</v>
      </c>
      <c r="N2608" s="4" t="s">
        <v>27</v>
      </c>
    </row>
    <row r="2609" hidden="1">
      <c r="B2609" s="4" t="s">
        <v>27</v>
      </c>
      <c r="C2609" s="4" t="s">
        <v>27</v>
      </c>
      <c r="D2609" s="6" t="s">
        <v>27</v>
      </c>
      <c r="E2609" s="6" t="s">
        <v>27</v>
      </c>
      <c r="F2609" s="6" t="s">
        <v>27</v>
      </c>
      <c r="G2609" s="4" t="s">
        <v>27</v>
      </c>
      <c r="H2609" s="4" t="s">
        <v>27</v>
      </c>
      <c r="I2609" s="4" t="s">
        <v>27</v>
      </c>
      <c r="J2609" s="4" t="s">
        <v>27</v>
      </c>
      <c r="K2609" s="4" t="s">
        <v>27</v>
      </c>
      <c r="L2609" s="4" t="s">
        <v>27</v>
      </c>
      <c r="M2609" s="4" t="s">
        <v>27</v>
      </c>
      <c r="N2609" s="4" t="s">
        <v>27</v>
      </c>
    </row>
    <row r="2610" hidden="1">
      <c r="B2610" s="4" t="s">
        <v>27</v>
      </c>
      <c r="C2610" s="4" t="s">
        <v>27</v>
      </c>
      <c r="D2610" s="6" t="s">
        <v>27</v>
      </c>
      <c r="E2610" s="6" t="s">
        <v>27</v>
      </c>
      <c r="F2610" s="6" t="s">
        <v>27</v>
      </c>
      <c r="G2610" s="4" t="s">
        <v>27</v>
      </c>
      <c r="H2610" s="4" t="s">
        <v>27</v>
      </c>
      <c r="I2610" s="4" t="s">
        <v>27</v>
      </c>
      <c r="J2610" s="4" t="s">
        <v>27</v>
      </c>
      <c r="K2610" s="4" t="s">
        <v>27</v>
      </c>
      <c r="L2610" s="4" t="s">
        <v>27</v>
      </c>
      <c r="M2610" s="4" t="s">
        <v>27</v>
      </c>
      <c r="N2610" s="4" t="s">
        <v>27</v>
      </c>
    </row>
    <row r="2611" hidden="1">
      <c r="B2611" s="4" t="s">
        <v>27</v>
      </c>
      <c r="C2611" s="4" t="s">
        <v>27</v>
      </c>
      <c r="D2611" s="6" t="s">
        <v>27</v>
      </c>
      <c r="E2611" s="6" t="s">
        <v>27</v>
      </c>
      <c r="F2611" s="6" t="s">
        <v>27</v>
      </c>
      <c r="G2611" s="4" t="s">
        <v>27</v>
      </c>
      <c r="H2611" s="4" t="s">
        <v>27</v>
      </c>
      <c r="I2611" s="4" t="s">
        <v>27</v>
      </c>
      <c r="J2611" s="4" t="s">
        <v>27</v>
      </c>
      <c r="K2611" s="4" t="s">
        <v>27</v>
      </c>
      <c r="L2611" s="4" t="s">
        <v>27</v>
      </c>
      <c r="M2611" s="4" t="s">
        <v>27</v>
      </c>
      <c r="N2611" s="4" t="s">
        <v>27</v>
      </c>
    </row>
    <row r="2612" hidden="1">
      <c r="B2612" s="4" t="s">
        <v>27</v>
      </c>
      <c r="C2612" s="4" t="s">
        <v>27</v>
      </c>
      <c r="D2612" s="6" t="s">
        <v>27</v>
      </c>
      <c r="E2612" s="6" t="s">
        <v>27</v>
      </c>
      <c r="F2612" s="6" t="s">
        <v>27</v>
      </c>
      <c r="G2612" s="4" t="s">
        <v>27</v>
      </c>
      <c r="H2612" s="4" t="s">
        <v>27</v>
      </c>
      <c r="I2612" s="4" t="s">
        <v>27</v>
      </c>
      <c r="J2612" s="4" t="s">
        <v>27</v>
      </c>
      <c r="K2612" s="4" t="s">
        <v>27</v>
      </c>
      <c r="L2612" s="4" t="s">
        <v>27</v>
      </c>
      <c r="M2612" s="4" t="s">
        <v>27</v>
      </c>
      <c r="N2612" s="4" t="s">
        <v>27</v>
      </c>
    </row>
    <row r="2613" hidden="1">
      <c r="B2613" s="4" t="s">
        <v>27</v>
      </c>
      <c r="C2613" s="4" t="s">
        <v>27</v>
      </c>
      <c r="D2613" s="6" t="s">
        <v>27</v>
      </c>
      <c r="E2613" s="6" t="s">
        <v>27</v>
      </c>
      <c r="F2613" s="6" t="s">
        <v>27</v>
      </c>
      <c r="G2613" s="4" t="s">
        <v>27</v>
      </c>
      <c r="H2613" s="4" t="s">
        <v>27</v>
      </c>
      <c r="I2613" s="4" t="s">
        <v>27</v>
      </c>
      <c r="J2613" s="4" t="s">
        <v>27</v>
      </c>
      <c r="K2613" s="4" t="s">
        <v>27</v>
      </c>
      <c r="L2613" s="4" t="s">
        <v>27</v>
      </c>
      <c r="M2613" s="4" t="s">
        <v>27</v>
      </c>
      <c r="N2613" s="4" t="s">
        <v>27</v>
      </c>
    </row>
    <row r="2614" hidden="1">
      <c r="B2614" s="4" t="s">
        <v>27</v>
      </c>
      <c r="C2614" s="4" t="s">
        <v>27</v>
      </c>
      <c r="D2614" s="6" t="s">
        <v>27</v>
      </c>
      <c r="E2614" s="6" t="s">
        <v>27</v>
      </c>
      <c r="F2614" s="6" t="s">
        <v>27</v>
      </c>
      <c r="G2614" s="4" t="s">
        <v>27</v>
      </c>
      <c r="H2614" s="4" t="s">
        <v>27</v>
      </c>
      <c r="I2614" s="4" t="s">
        <v>27</v>
      </c>
      <c r="J2614" s="4" t="s">
        <v>27</v>
      </c>
      <c r="K2614" s="4" t="s">
        <v>27</v>
      </c>
      <c r="L2614" s="4" t="s">
        <v>27</v>
      </c>
      <c r="M2614" s="4" t="s">
        <v>27</v>
      </c>
      <c r="N2614" s="4" t="s">
        <v>27</v>
      </c>
    </row>
    <row r="2615" hidden="1">
      <c r="B2615" s="4" t="s">
        <v>27</v>
      </c>
      <c r="C2615" s="4" t="s">
        <v>27</v>
      </c>
      <c r="D2615" s="6" t="s">
        <v>27</v>
      </c>
      <c r="E2615" s="6" t="s">
        <v>27</v>
      </c>
      <c r="F2615" s="6" t="s">
        <v>27</v>
      </c>
      <c r="G2615" s="4" t="s">
        <v>27</v>
      </c>
      <c r="H2615" s="4" t="s">
        <v>27</v>
      </c>
      <c r="I2615" s="4" t="s">
        <v>27</v>
      </c>
      <c r="J2615" s="4" t="s">
        <v>27</v>
      </c>
      <c r="K2615" s="4" t="s">
        <v>27</v>
      </c>
      <c r="L2615" s="4" t="s">
        <v>27</v>
      </c>
      <c r="M2615" s="4" t="s">
        <v>27</v>
      </c>
      <c r="N2615" s="4" t="s">
        <v>27</v>
      </c>
    </row>
    <row r="2616" hidden="1">
      <c r="B2616" s="4" t="s">
        <v>27</v>
      </c>
      <c r="C2616" s="4" t="s">
        <v>27</v>
      </c>
      <c r="D2616" s="6" t="s">
        <v>27</v>
      </c>
      <c r="E2616" s="6" t="s">
        <v>27</v>
      </c>
      <c r="F2616" s="6" t="s">
        <v>27</v>
      </c>
      <c r="G2616" s="4" t="s">
        <v>27</v>
      </c>
      <c r="H2616" s="4" t="s">
        <v>27</v>
      </c>
      <c r="I2616" s="4" t="s">
        <v>27</v>
      </c>
      <c r="J2616" s="4" t="s">
        <v>27</v>
      </c>
      <c r="K2616" s="4" t="s">
        <v>27</v>
      </c>
      <c r="L2616" s="4" t="s">
        <v>27</v>
      </c>
      <c r="M2616" s="4" t="s">
        <v>27</v>
      </c>
      <c r="N2616" s="4" t="s">
        <v>27</v>
      </c>
    </row>
    <row r="2617" hidden="1">
      <c r="B2617" s="4" t="s">
        <v>27</v>
      </c>
      <c r="C2617" s="4" t="s">
        <v>27</v>
      </c>
      <c r="D2617" s="6" t="s">
        <v>27</v>
      </c>
      <c r="E2617" s="6" t="s">
        <v>27</v>
      </c>
      <c r="F2617" s="6" t="s">
        <v>27</v>
      </c>
      <c r="G2617" s="4" t="s">
        <v>27</v>
      </c>
      <c r="H2617" s="4" t="s">
        <v>27</v>
      </c>
      <c r="I2617" s="4" t="s">
        <v>27</v>
      </c>
      <c r="J2617" s="4" t="s">
        <v>27</v>
      </c>
      <c r="K2617" s="4" t="s">
        <v>27</v>
      </c>
      <c r="L2617" s="4" t="s">
        <v>27</v>
      </c>
      <c r="M2617" s="4" t="s">
        <v>27</v>
      </c>
      <c r="N2617" s="4" t="s">
        <v>27</v>
      </c>
    </row>
    <row r="2618" hidden="1">
      <c r="B2618" s="4" t="s">
        <v>27</v>
      </c>
      <c r="C2618" s="4" t="s">
        <v>27</v>
      </c>
      <c r="D2618" s="6" t="s">
        <v>27</v>
      </c>
      <c r="E2618" s="6" t="s">
        <v>27</v>
      </c>
      <c r="F2618" s="6" t="s">
        <v>27</v>
      </c>
      <c r="G2618" s="4" t="s">
        <v>27</v>
      </c>
      <c r="H2618" s="4" t="s">
        <v>27</v>
      </c>
      <c r="I2618" s="4" t="s">
        <v>27</v>
      </c>
      <c r="J2618" s="4" t="s">
        <v>27</v>
      </c>
      <c r="K2618" s="4" t="s">
        <v>27</v>
      </c>
      <c r="L2618" s="4" t="s">
        <v>27</v>
      </c>
      <c r="M2618" s="4" t="s">
        <v>27</v>
      </c>
      <c r="N2618" s="4" t="s">
        <v>27</v>
      </c>
    </row>
    <row r="2619" hidden="1">
      <c r="B2619" s="4" t="s">
        <v>27</v>
      </c>
      <c r="C2619" s="4" t="s">
        <v>27</v>
      </c>
      <c r="D2619" s="6" t="s">
        <v>27</v>
      </c>
      <c r="E2619" s="6" t="s">
        <v>27</v>
      </c>
      <c r="F2619" s="6" t="s">
        <v>27</v>
      </c>
      <c r="G2619" s="4" t="s">
        <v>27</v>
      </c>
      <c r="H2619" s="4" t="s">
        <v>27</v>
      </c>
      <c r="I2619" s="4" t="s">
        <v>27</v>
      </c>
      <c r="J2619" s="4" t="s">
        <v>27</v>
      </c>
      <c r="K2619" s="4" t="s">
        <v>27</v>
      </c>
      <c r="L2619" s="4" t="s">
        <v>27</v>
      </c>
      <c r="M2619" s="4" t="s">
        <v>27</v>
      </c>
      <c r="N2619" s="4" t="s">
        <v>27</v>
      </c>
    </row>
    <row r="2620" hidden="1">
      <c r="B2620" s="4" t="s">
        <v>27</v>
      </c>
      <c r="C2620" s="4" t="s">
        <v>27</v>
      </c>
      <c r="D2620" s="6" t="s">
        <v>27</v>
      </c>
      <c r="E2620" s="6" t="s">
        <v>27</v>
      </c>
      <c r="F2620" s="6" t="s">
        <v>27</v>
      </c>
      <c r="G2620" s="4" t="s">
        <v>27</v>
      </c>
      <c r="H2620" s="4" t="s">
        <v>27</v>
      </c>
      <c r="I2620" s="4" t="s">
        <v>27</v>
      </c>
      <c r="J2620" s="4" t="s">
        <v>27</v>
      </c>
      <c r="K2620" s="4" t="s">
        <v>27</v>
      </c>
      <c r="L2620" s="4" t="s">
        <v>27</v>
      </c>
      <c r="M2620" s="4" t="s">
        <v>27</v>
      </c>
      <c r="N2620" s="4" t="s">
        <v>27</v>
      </c>
    </row>
    <row r="2621" hidden="1">
      <c r="B2621" s="4" t="s">
        <v>27</v>
      </c>
      <c r="C2621" s="4" t="s">
        <v>27</v>
      </c>
      <c r="D2621" s="6" t="s">
        <v>27</v>
      </c>
      <c r="E2621" s="6" t="s">
        <v>27</v>
      </c>
      <c r="F2621" s="6" t="s">
        <v>27</v>
      </c>
      <c r="G2621" s="4" t="s">
        <v>27</v>
      </c>
      <c r="H2621" s="4" t="s">
        <v>27</v>
      </c>
      <c r="I2621" s="4" t="s">
        <v>27</v>
      </c>
      <c r="J2621" s="4" t="s">
        <v>27</v>
      </c>
      <c r="K2621" s="4" t="s">
        <v>27</v>
      </c>
      <c r="L2621" s="4" t="s">
        <v>27</v>
      </c>
      <c r="M2621" s="4" t="s">
        <v>27</v>
      </c>
      <c r="N2621" s="4" t="s">
        <v>27</v>
      </c>
    </row>
    <row r="2622" hidden="1">
      <c r="B2622" s="4" t="s">
        <v>27</v>
      </c>
      <c r="C2622" s="4" t="s">
        <v>27</v>
      </c>
      <c r="D2622" s="6" t="s">
        <v>27</v>
      </c>
      <c r="E2622" s="6" t="s">
        <v>27</v>
      </c>
      <c r="F2622" s="6" t="s">
        <v>27</v>
      </c>
      <c r="G2622" s="4" t="s">
        <v>27</v>
      </c>
      <c r="H2622" s="4" t="s">
        <v>27</v>
      </c>
      <c r="I2622" s="4" t="s">
        <v>27</v>
      </c>
      <c r="J2622" s="4" t="s">
        <v>27</v>
      </c>
      <c r="K2622" s="4" t="s">
        <v>27</v>
      </c>
      <c r="L2622" s="4" t="s">
        <v>27</v>
      </c>
      <c r="M2622" s="4" t="s">
        <v>27</v>
      </c>
      <c r="N2622" s="4" t="s">
        <v>27</v>
      </c>
    </row>
    <row r="2623" hidden="1">
      <c r="B2623" s="4" t="s">
        <v>27</v>
      </c>
      <c r="C2623" s="4" t="s">
        <v>27</v>
      </c>
      <c r="D2623" s="6" t="s">
        <v>27</v>
      </c>
      <c r="E2623" s="6" t="s">
        <v>27</v>
      </c>
      <c r="F2623" s="6" t="s">
        <v>27</v>
      </c>
      <c r="G2623" s="4" t="s">
        <v>27</v>
      </c>
      <c r="H2623" s="4" t="s">
        <v>27</v>
      </c>
      <c r="I2623" s="4" t="s">
        <v>27</v>
      </c>
      <c r="J2623" s="4" t="s">
        <v>27</v>
      </c>
      <c r="K2623" s="4" t="s">
        <v>27</v>
      </c>
      <c r="L2623" s="4" t="s">
        <v>27</v>
      </c>
      <c r="M2623" s="4" t="s">
        <v>27</v>
      </c>
      <c r="N2623" s="4" t="s">
        <v>27</v>
      </c>
    </row>
    <row r="2624" hidden="1">
      <c r="B2624" s="4" t="s">
        <v>27</v>
      </c>
      <c r="C2624" s="4" t="s">
        <v>27</v>
      </c>
      <c r="D2624" s="6" t="s">
        <v>27</v>
      </c>
      <c r="E2624" s="6" t="s">
        <v>27</v>
      </c>
      <c r="F2624" s="6" t="s">
        <v>27</v>
      </c>
      <c r="G2624" s="4" t="s">
        <v>27</v>
      </c>
      <c r="H2624" s="4" t="s">
        <v>27</v>
      </c>
      <c r="I2624" s="4" t="s">
        <v>27</v>
      </c>
      <c r="J2624" s="4" t="s">
        <v>27</v>
      </c>
      <c r="K2624" s="4" t="s">
        <v>27</v>
      </c>
      <c r="L2624" s="4" t="s">
        <v>27</v>
      </c>
      <c r="M2624" s="4" t="s">
        <v>27</v>
      </c>
      <c r="N2624" s="4" t="s">
        <v>27</v>
      </c>
    </row>
    <row r="2625" hidden="1">
      <c r="B2625" s="4" t="s">
        <v>27</v>
      </c>
      <c r="C2625" s="4" t="s">
        <v>27</v>
      </c>
      <c r="D2625" s="6" t="s">
        <v>27</v>
      </c>
      <c r="E2625" s="6" t="s">
        <v>27</v>
      </c>
      <c r="F2625" s="6" t="s">
        <v>27</v>
      </c>
      <c r="G2625" s="4" t="s">
        <v>27</v>
      </c>
      <c r="H2625" s="4" t="s">
        <v>27</v>
      </c>
      <c r="I2625" s="4" t="s">
        <v>27</v>
      </c>
      <c r="J2625" s="4" t="s">
        <v>27</v>
      </c>
      <c r="K2625" s="4" t="s">
        <v>27</v>
      </c>
      <c r="L2625" s="4" t="s">
        <v>27</v>
      </c>
      <c r="M2625" s="4" t="s">
        <v>27</v>
      </c>
      <c r="N2625" s="4" t="s">
        <v>27</v>
      </c>
    </row>
    <row r="2626" hidden="1">
      <c r="B2626" s="4" t="s">
        <v>27</v>
      </c>
      <c r="C2626" s="4" t="s">
        <v>27</v>
      </c>
      <c r="D2626" s="6" t="s">
        <v>27</v>
      </c>
      <c r="E2626" s="6" t="s">
        <v>27</v>
      </c>
      <c r="F2626" s="6" t="s">
        <v>27</v>
      </c>
      <c r="G2626" s="4" t="s">
        <v>27</v>
      </c>
      <c r="H2626" s="4" t="s">
        <v>27</v>
      </c>
      <c r="I2626" s="4" t="s">
        <v>27</v>
      </c>
      <c r="J2626" s="4" t="s">
        <v>27</v>
      </c>
      <c r="K2626" s="4" t="s">
        <v>27</v>
      </c>
      <c r="L2626" s="4" t="s">
        <v>27</v>
      </c>
      <c r="M2626" s="4" t="s">
        <v>27</v>
      </c>
      <c r="N2626" s="4" t="s">
        <v>27</v>
      </c>
    </row>
    <row r="2627" hidden="1">
      <c r="B2627" s="4" t="s">
        <v>27</v>
      </c>
      <c r="C2627" s="4" t="s">
        <v>27</v>
      </c>
      <c r="D2627" s="6" t="s">
        <v>27</v>
      </c>
      <c r="E2627" s="6" t="s">
        <v>27</v>
      </c>
      <c r="F2627" s="6" t="s">
        <v>27</v>
      </c>
      <c r="G2627" s="4" t="s">
        <v>27</v>
      </c>
      <c r="H2627" s="4" t="s">
        <v>27</v>
      </c>
      <c r="I2627" s="4" t="s">
        <v>27</v>
      </c>
      <c r="J2627" s="4" t="s">
        <v>27</v>
      </c>
      <c r="K2627" s="4" t="s">
        <v>27</v>
      </c>
      <c r="L2627" s="4" t="s">
        <v>27</v>
      </c>
      <c r="M2627" s="4" t="s">
        <v>27</v>
      </c>
      <c r="N2627" s="4" t="s">
        <v>27</v>
      </c>
    </row>
    <row r="2628" hidden="1">
      <c r="B2628" s="4" t="s">
        <v>27</v>
      </c>
      <c r="C2628" s="4" t="s">
        <v>27</v>
      </c>
      <c r="D2628" s="6" t="s">
        <v>27</v>
      </c>
      <c r="E2628" s="6" t="s">
        <v>27</v>
      </c>
      <c r="F2628" s="6" t="s">
        <v>27</v>
      </c>
      <c r="G2628" s="4" t="s">
        <v>27</v>
      </c>
      <c r="H2628" s="4" t="s">
        <v>27</v>
      </c>
      <c r="I2628" s="4" t="s">
        <v>27</v>
      </c>
      <c r="J2628" s="4" t="s">
        <v>27</v>
      </c>
      <c r="K2628" s="4" t="s">
        <v>27</v>
      </c>
      <c r="L2628" s="4" t="s">
        <v>27</v>
      </c>
      <c r="M2628" s="4" t="s">
        <v>27</v>
      </c>
      <c r="N2628" s="4" t="s">
        <v>27</v>
      </c>
    </row>
    <row r="2629" hidden="1">
      <c r="B2629" s="4" t="s">
        <v>27</v>
      </c>
      <c r="C2629" s="4" t="s">
        <v>27</v>
      </c>
      <c r="D2629" s="6" t="s">
        <v>27</v>
      </c>
      <c r="E2629" s="6" t="s">
        <v>27</v>
      </c>
      <c r="F2629" s="6" t="s">
        <v>27</v>
      </c>
      <c r="G2629" s="4" t="s">
        <v>27</v>
      </c>
      <c r="H2629" s="4" t="s">
        <v>27</v>
      </c>
      <c r="I2629" s="4" t="s">
        <v>27</v>
      </c>
      <c r="J2629" s="4" t="s">
        <v>27</v>
      </c>
      <c r="K2629" s="4" t="s">
        <v>27</v>
      </c>
      <c r="L2629" s="4" t="s">
        <v>27</v>
      </c>
      <c r="M2629" s="4" t="s">
        <v>27</v>
      </c>
      <c r="N2629" s="4" t="s">
        <v>27</v>
      </c>
    </row>
    <row r="2630" hidden="1">
      <c r="B2630" s="4" t="s">
        <v>27</v>
      </c>
      <c r="C2630" s="4" t="s">
        <v>27</v>
      </c>
      <c r="D2630" s="6" t="s">
        <v>27</v>
      </c>
      <c r="E2630" s="6" t="s">
        <v>27</v>
      </c>
      <c r="F2630" s="6" t="s">
        <v>27</v>
      </c>
      <c r="G2630" s="4" t="s">
        <v>27</v>
      </c>
      <c r="H2630" s="4" t="s">
        <v>27</v>
      </c>
      <c r="I2630" s="4" t="s">
        <v>27</v>
      </c>
      <c r="J2630" s="4" t="s">
        <v>27</v>
      </c>
      <c r="K2630" s="4" t="s">
        <v>27</v>
      </c>
      <c r="L2630" s="4" t="s">
        <v>27</v>
      </c>
      <c r="M2630" s="4" t="s">
        <v>27</v>
      </c>
      <c r="N2630" s="4" t="s">
        <v>27</v>
      </c>
    </row>
    <row r="2631" hidden="1">
      <c r="B2631" s="4" t="s">
        <v>27</v>
      </c>
      <c r="C2631" s="4" t="s">
        <v>27</v>
      </c>
      <c r="D2631" s="6" t="s">
        <v>27</v>
      </c>
      <c r="E2631" s="6" t="s">
        <v>27</v>
      </c>
      <c r="F2631" s="6" t="s">
        <v>27</v>
      </c>
      <c r="G2631" s="4" t="s">
        <v>27</v>
      </c>
      <c r="H2631" s="4" t="s">
        <v>27</v>
      </c>
      <c r="I2631" s="4" t="s">
        <v>27</v>
      </c>
      <c r="J2631" s="4" t="s">
        <v>27</v>
      </c>
      <c r="K2631" s="4" t="s">
        <v>27</v>
      </c>
      <c r="L2631" s="4" t="s">
        <v>27</v>
      </c>
      <c r="M2631" s="4" t="s">
        <v>27</v>
      </c>
      <c r="N2631" s="4" t="s">
        <v>27</v>
      </c>
    </row>
    <row r="2632" hidden="1">
      <c r="B2632" s="4" t="s">
        <v>27</v>
      </c>
      <c r="C2632" s="4" t="s">
        <v>27</v>
      </c>
      <c r="D2632" s="6" t="s">
        <v>27</v>
      </c>
      <c r="E2632" s="6" t="s">
        <v>27</v>
      </c>
      <c r="F2632" s="6" t="s">
        <v>27</v>
      </c>
      <c r="G2632" s="4" t="s">
        <v>27</v>
      </c>
      <c r="H2632" s="4" t="s">
        <v>27</v>
      </c>
      <c r="I2632" s="4" t="s">
        <v>27</v>
      </c>
      <c r="J2632" s="4" t="s">
        <v>27</v>
      </c>
      <c r="K2632" s="4" t="s">
        <v>27</v>
      </c>
      <c r="L2632" s="4" t="s">
        <v>27</v>
      </c>
      <c r="M2632" s="4" t="s">
        <v>27</v>
      </c>
      <c r="N2632" s="4" t="s">
        <v>27</v>
      </c>
    </row>
    <row r="2633" hidden="1">
      <c r="B2633" s="4" t="s">
        <v>27</v>
      </c>
      <c r="C2633" s="4" t="s">
        <v>27</v>
      </c>
      <c r="D2633" s="6" t="s">
        <v>27</v>
      </c>
      <c r="E2633" s="6" t="s">
        <v>27</v>
      </c>
      <c r="F2633" s="6" t="s">
        <v>27</v>
      </c>
      <c r="G2633" s="4" t="s">
        <v>27</v>
      </c>
      <c r="H2633" s="4" t="s">
        <v>27</v>
      </c>
      <c r="I2633" s="4" t="s">
        <v>27</v>
      </c>
      <c r="J2633" s="4" t="s">
        <v>27</v>
      </c>
      <c r="K2633" s="4" t="s">
        <v>27</v>
      </c>
      <c r="L2633" s="4" t="s">
        <v>27</v>
      </c>
      <c r="M2633" s="4" t="s">
        <v>27</v>
      </c>
      <c r="N2633" s="4" t="s">
        <v>27</v>
      </c>
    </row>
    <row r="2634" hidden="1">
      <c r="B2634" s="4" t="s">
        <v>27</v>
      </c>
      <c r="C2634" s="4" t="s">
        <v>27</v>
      </c>
      <c r="D2634" s="6" t="s">
        <v>27</v>
      </c>
      <c r="E2634" s="6" t="s">
        <v>27</v>
      </c>
      <c r="F2634" s="6" t="s">
        <v>27</v>
      </c>
      <c r="G2634" s="4" t="s">
        <v>27</v>
      </c>
      <c r="H2634" s="4" t="s">
        <v>27</v>
      </c>
      <c r="I2634" s="4" t="s">
        <v>27</v>
      </c>
      <c r="J2634" s="4" t="s">
        <v>27</v>
      </c>
      <c r="K2634" s="4" t="s">
        <v>27</v>
      </c>
      <c r="L2634" s="4" t="s">
        <v>27</v>
      </c>
      <c r="M2634" s="4" t="s">
        <v>27</v>
      </c>
      <c r="N2634" s="4" t="s">
        <v>27</v>
      </c>
    </row>
    <row r="2635" hidden="1">
      <c r="B2635" s="4" t="s">
        <v>27</v>
      </c>
      <c r="C2635" s="4" t="s">
        <v>27</v>
      </c>
      <c r="D2635" s="6" t="s">
        <v>27</v>
      </c>
      <c r="E2635" s="6" t="s">
        <v>27</v>
      </c>
      <c r="F2635" s="6" t="s">
        <v>27</v>
      </c>
      <c r="G2635" s="4" t="s">
        <v>27</v>
      </c>
      <c r="H2635" s="4" t="s">
        <v>27</v>
      </c>
      <c r="I2635" s="4" t="s">
        <v>27</v>
      </c>
      <c r="J2635" s="4" t="s">
        <v>27</v>
      </c>
      <c r="K2635" s="4" t="s">
        <v>27</v>
      </c>
      <c r="L2635" s="4" t="s">
        <v>27</v>
      </c>
      <c r="M2635" s="4" t="s">
        <v>27</v>
      </c>
      <c r="N2635" s="4" t="s">
        <v>27</v>
      </c>
    </row>
    <row r="2636" hidden="1">
      <c r="B2636" s="4" t="s">
        <v>27</v>
      </c>
      <c r="C2636" s="4" t="s">
        <v>27</v>
      </c>
      <c r="D2636" s="6" t="s">
        <v>27</v>
      </c>
      <c r="E2636" s="6" t="s">
        <v>27</v>
      </c>
      <c r="F2636" s="6" t="s">
        <v>27</v>
      </c>
      <c r="G2636" s="4" t="s">
        <v>27</v>
      </c>
      <c r="H2636" s="4" t="s">
        <v>27</v>
      </c>
      <c r="I2636" s="4" t="s">
        <v>27</v>
      </c>
      <c r="J2636" s="4" t="s">
        <v>27</v>
      </c>
      <c r="K2636" s="4" t="s">
        <v>27</v>
      </c>
      <c r="L2636" s="4" t="s">
        <v>27</v>
      </c>
      <c r="M2636" s="4" t="s">
        <v>27</v>
      </c>
      <c r="N2636" s="4" t="s">
        <v>27</v>
      </c>
    </row>
    <row r="2637" hidden="1">
      <c r="B2637" s="4" t="s">
        <v>27</v>
      </c>
      <c r="C2637" s="4" t="s">
        <v>27</v>
      </c>
      <c r="D2637" s="6" t="s">
        <v>27</v>
      </c>
      <c r="E2637" s="6" t="s">
        <v>27</v>
      </c>
      <c r="F2637" s="6" t="s">
        <v>27</v>
      </c>
      <c r="G2637" s="4" t="s">
        <v>27</v>
      </c>
      <c r="H2637" s="4" t="s">
        <v>27</v>
      </c>
      <c r="I2637" s="4" t="s">
        <v>27</v>
      </c>
      <c r="J2637" s="4" t="s">
        <v>27</v>
      </c>
      <c r="K2637" s="4" t="s">
        <v>27</v>
      </c>
      <c r="L2637" s="4" t="s">
        <v>27</v>
      </c>
      <c r="M2637" s="4" t="s">
        <v>27</v>
      </c>
      <c r="N2637" s="4" t="s">
        <v>27</v>
      </c>
    </row>
    <row r="2638" hidden="1">
      <c r="B2638" s="4" t="s">
        <v>27</v>
      </c>
      <c r="C2638" s="4" t="s">
        <v>27</v>
      </c>
      <c r="D2638" s="6" t="s">
        <v>27</v>
      </c>
      <c r="E2638" s="6" t="s">
        <v>27</v>
      </c>
      <c r="F2638" s="6" t="s">
        <v>27</v>
      </c>
      <c r="G2638" s="4" t="s">
        <v>27</v>
      </c>
      <c r="H2638" s="4" t="s">
        <v>27</v>
      </c>
      <c r="I2638" s="4" t="s">
        <v>27</v>
      </c>
      <c r="J2638" s="4" t="s">
        <v>27</v>
      </c>
      <c r="K2638" s="4" t="s">
        <v>27</v>
      </c>
      <c r="L2638" s="4" t="s">
        <v>27</v>
      </c>
      <c r="M2638" s="4" t="s">
        <v>27</v>
      </c>
      <c r="N2638" s="4" t="s">
        <v>27</v>
      </c>
    </row>
    <row r="2639" hidden="1">
      <c r="B2639" s="4" t="s">
        <v>27</v>
      </c>
      <c r="C2639" s="4" t="s">
        <v>27</v>
      </c>
      <c r="D2639" s="6" t="s">
        <v>27</v>
      </c>
      <c r="E2639" s="6" t="s">
        <v>27</v>
      </c>
      <c r="F2639" s="6" t="s">
        <v>27</v>
      </c>
      <c r="G2639" s="4" t="s">
        <v>27</v>
      </c>
      <c r="H2639" s="4" t="s">
        <v>27</v>
      </c>
      <c r="I2639" s="4" t="s">
        <v>27</v>
      </c>
      <c r="J2639" s="4" t="s">
        <v>27</v>
      </c>
      <c r="K2639" s="4" t="s">
        <v>27</v>
      </c>
      <c r="L2639" s="4" t="s">
        <v>27</v>
      </c>
      <c r="M2639" s="4" t="s">
        <v>27</v>
      </c>
      <c r="N2639" s="4" t="s">
        <v>27</v>
      </c>
    </row>
    <row r="2640" hidden="1">
      <c r="B2640" s="4" t="s">
        <v>27</v>
      </c>
      <c r="C2640" s="4" t="s">
        <v>27</v>
      </c>
      <c r="D2640" s="6" t="s">
        <v>27</v>
      </c>
      <c r="E2640" s="6" t="s">
        <v>27</v>
      </c>
      <c r="F2640" s="6" t="s">
        <v>27</v>
      </c>
      <c r="G2640" s="4" t="s">
        <v>27</v>
      </c>
      <c r="H2640" s="4" t="s">
        <v>27</v>
      </c>
      <c r="I2640" s="4" t="s">
        <v>27</v>
      </c>
      <c r="J2640" s="4" t="s">
        <v>27</v>
      </c>
      <c r="K2640" s="4" t="s">
        <v>27</v>
      </c>
      <c r="L2640" s="4" t="s">
        <v>27</v>
      </c>
      <c r="M2640" s="4" t="s">
        <v>27</v>
      </c>
      <c r="N2640" s="4" t="s">
        <v>27</v>
      </c>
    </row>
    <row r="2641" hidden="1">
      <c r="B2641" s="4" t="s">
        <v>27</v>
      </c>
      <c r="C2641" s="4" t="s">
        <v>27</v>
      </c>
      <c r="D2641" s="6" t="s">
        <v>27</v>
      </c>
      <c r="E2641" s="6" t="s">
        <v>27</v>
      </c>
      <c r="F2641" s="6" t="s">
        <v>27</v>
      </c>
      <c r="G2641" s="4" t="s">
        <v>27</v>
      </c>
      <c r="H2641" s="4" t="s">
        <v>27</v>
      </c>
      <c r="I2641" s="4" t="s">
        <v>27</v>
      </c>
      <c r="J2641" s="4" t="s">
        <v>27</v>
      </c>
      <c r="K2641" s="4" t="s">
        <v>27</v>
      </c>
      <c r="L2641" s="4" t="s">
        <v>27</v>
      </c>
      <c r="M2641" s="4" t="s">
        <v>27</v>
      </c>
      <c r="N2641" s="4" t="s">
        <v>27</v>
      </c>
    </row>
    <row r="2642" hidden="1">
      <c r="B2642" s="4" t="s">
        <v>27</v>
      </c>
      <c r="C2642" s="4" t="s">
        <v>27</v>
      </c>
      <c r="D2642" s="6" t="s">
        <v>27</v>
      </c>
      <c r="E2642" s="6" t="s">
        <v>27</v>
      </c>
      <c r="F2642" s="6" t="s">
        <v>27</v>
      </c>
      <c r="G2642" s="4" t="s">
        <v>27</v>
      </c>
      <c r="H2642" s="4" t="s">
        <v>27</v>
      </c>
      <c r="I2642" s="4" t="s">
        <v>27</v>
      </c>
      <c r="J2642" s="4" t="s">
        <v>27</v>
      </c>
      <c r="K2642" s="4" t="s">
        <v>27</v>
      </c>
      <c r="L2642" s="4" t="s">
        <v>27</v>
      </c>
      <c r="M2642" s="4" t="s">
        <v>27</v>
      </c>
      <c r="N2642" s="4" t="s">
        <v>27</v>
      </c>
    </row>
    <row r="2643" hidden="1">
      <c r="B2643" s="4" t="s">
        <v>27</v>
      </c>
      <c r="C2643" s="4" t="s">
        <v>27</v>
      </c>
      <c r="D2643" s="6" t="s">
        <v>27</v>
      </c>
      <c r="E2643" s="6" t="s">
        <v>27</v>
      </c>
      <c r="F2643" s="6" t="s">
        <v>27</v>
      </c>
      <c r="G2643" s="4" t="s">
        <v>27</v>
      </c>
      <c r="H2643" s="4" t="s">
        <v>27</v>
      </c>
      <c r="I2643" s="4" t="s">
        <v>27</v>
      </c>
      <c r="J2643" s="4" t="s">
        <v>27</v>
      </c>
      <c r="K2643" s="4" t="s">
        <v>27</v>
      </c>
      <c r="L2643" s="4" t="s">
        <v>27</v>
      </c>
      <c r="M2643" s="4" t="s">
        <v>27</v>
      </c>
      <c r="N2643" s="4" t="s">
        <v>27</v>
      </c>
    </row>
    <row r="2644" hidden="1">
      <c r="B2644" s="4" t="s">
        <v>27</v>
      </c>
      <c r="C2644" s="4" t="s">
        <v>27</v>
      </c>
      <c r="D2644" s="6" t="s">
        <v>27</v>
      </c>
      <c r="E2644" s="6" t="s">
        <v>27</v>
      </c>
      <c r="F2644" s="6" t="s">
        <v>27</v>
      </c>
      <c r="G2644" s="4" t="s">
        <v>27</v>
      </c>
      <c r="H2644" s="4" t="s">
        <v>27</v>
      </c>
      <c r="I2644" s="4" t="s">
        <v>27</v>
      </c>
      <c r="J2644" s="4" t="s">
        <v>27</v>
      </c>
      <c r="K2644" s="4" t="s">
        <v>27</v>
      </c>
      <c r="L2644" s="4" t="s">
        <v>27</v>
      </c>
      <c r="M2644" s="4" t="s">
        <v>27</v>
      </c>
      <c r="N2644" s="4" t="s">
        <v>27</v>
      </c>
    </row>
    <row r="2645" hidden="1">
      <c r="B2645" s="4" t="s">
        <v>27</v>
      </c>
      <c r="C2645" s="4" t="s">
        <v>27</v>
      </c>
      <c r="D2645" s="6" t="s">
        <v>27</v>
      </c>
      <c r="E2645" s="6" t="s">
        <v>27</v>
      </c>
      <c r="F2645" s="6" t="s">
        <v>27</v>
      </c>
      <c r="G2645" s="4" t="s">
        <v>27</v>
      </c>
      <c r="H2645" s="4" t="s">
        <v>27</v>
      </c>
      <c r="I2645" s="4" t="s">
        <v>27</v>
      </c>
      <c r="J2645" s="4" t="s">
        <v>27</v>
      </c>
      <c r="K2645" s="4" t="s">
        <v>27</v>
      </c>
      <c r="L2645" s="4" t="s">
        <v>27</v>
      </c>
      <c r="M2645" s="4" t="s">
        <v>27</v>
      </c>
      <c r="N2645" s="4" t="s">
        <v>27</v>
      </c>
    </row>
    <row r="2646" hidden="1">
      <c r="B2646" s="4" t="s">
        <v>27</v>
      </c>
      <c r="C2646" s="4" t="s">
        <v>27</v>
      </c>
      <c r="D2646" s="6" t="s">
        <v>27</v>
      </c>
      <c r="E2646" s="6" t="s">
        <v>27</v>
      </c>
      <c r="F2646" s="6" t="s">
        <v>27</v>
      </c>
      <c r="G2646" s="4" t="s">
        <v>27</v>
      </c>
      <c r="H2646" s="4" t="s">
        <v>27</v>
      </c>
      <c r="I2646" s="4" t="s">
        <v>27</v>
      </c>
      <c r="J2646" s="4" t="s">
        <v>27</v>
      </c>
      <c r="K2646" s="4" t="s">
        <v>27</v>
      </c>
      <c r="L2646" s="4" t="s">
        <v>27</v>
      </c>
      <c r="M2646" s="4" t="s">
        <v>27</v>
      </c>
      <c r="N2646" s="4" t="s">
        <v>27</v>
      </c>
    </row>
    <row r="2647" hidden="1">
      <c r="B2647" s="4" t="s">
        <v>27</v>
      </c>
      <c r="C2647" s="4" t="s">
        <v>27</v>
      </c>
      <c r="D2647" s="6" t="s">
        <v>27</v>
      </c>
      <c r="E2647" s="6" t="s">
        <v>27</v>
      </c>
      <c r="F2647" s="6" t="s">
        <v>27</v>
      </c>
      <c r="G2647" s="4" t="s">
        <v>27</v>
      </c>
      <c r="H2647" s="4" t="s">
        <v>27</v>
      </c>
      <c r="I2647" s="4" t="s">
        <v>27</v>
      </c>
      <c r="J2647" s="4" t="s">
        <v>27</v>
      </c>
      <c r="K2647" s="4" t="s">
        <v>27</v>
      </c>
      <c r="L2647" s="4" t="s">
        <v>27</v>
      </c>
      <c r="M2647" s="4" t="s">
        <v>27</v>
      </c>
      <c r="N2647" s="4" t="s">
        <v>27</v>
      </c>
    </row>
    <row r="2648" hidden="1">
      <c r="B2648" s="4" t="s">
        <v>27</v>
      </c>
      <c r="C2648" s="4" t="s">
        <v>27</v>
      </c>
      <c r="D2648" s="6" t="s">
        <v>27</v>
      </c>
      <c r="E2648" s="6" t="s">
        <v>27</v>
      </c>
      <c r="F2648" s="6" t="s">
        <v>27</v>
      </c>
      <c r="G2648" s="4" t="s">
        <v>27</v>
      </c>
      <c r="H2648" s="4" t="s">
        <v>27</v>
      </c>
      <c r="I2648" s="4" t="s">
        <v>27</v>
      </c>
      <c r="J2648" s="4" t="s">
        <v>27</v>
      </c>
      <c r="K2648" s="4" t="s">
        <v>27</v>
      </c>
      <c r="L2648" s="4" t="s">
        <v>27</v>
      </c>
      <c r="M2648" s="4" t="s">
        <v>27</v>
      </c>
      <c r="N2648" s="4" t="s">
        <v>27</v>
      </c>
    </row>
    <row r="2649" hidden="1">
      <c r="B2649" s="4" t="s">
        <v>27</v>
      </c>
      <c r="C2649" s="4" t="s">
        <v>27</v>
      </c>
      <c r="D2649" s="6" t="s">
        <v>27</v>
      </c>
      <c r="E2649" s="6" t="s">
        <v>27</v>
      </c>
      <c r="F2649" s="6" t="s">
        <v>27</v>
      </c>
      <c r="G2649" s="4" t="s">
        <v>27</v>
      </c>
      <c r="H2649" s="4" t="s">
        <v>27</v>
      </c>
      <c r="I2649" s="4" t="s">
        <v>27</v>
      </c>
      <c r="J2649" s="4" t="s">
        <v>27</v>
      </c>
      <c r="K2649" s="4" t="s">
        <v>27</v>
      </c>
      <c r="L2649" s="4" t="s">
        <v>27</v>
      </c>
      <c r="M2649" s="4" t="s">
        <v>27</v>
      </c>
      <c r="N2649" s="4" t="s">
        <v>27</v>
      </c>
    </row>
    <row r="2650" hidden="1">
      <c r="B2650" s="4" t="s">
        <v>27</v>
      </c>
      <c r="C2650" s="4" t="s">
        <v>27</v>
      </c>
      <c r="D2650" s="6" t="s">
        <v>27</v>
      </c>
      <c r="E2650" s="6" t="s">
        <v>27</v>
      </c>
      <c r="F2650" s="6" t="s">
        <v>27</v>
      </c>
      <c r="G2650" s="4" t="s">
        <v>27</v>
      </c>
      <c r="H2650" s="4" t="s">
        <v>27</v>
      </c>
      <c r="I2650" s="4" t="s">
        <v>27</v>
      </c>
      <c r="J2650" s="4" t="s">
        <v>27</v>
      </c>
      <c r="K2650" s="4" t="s">
        <v>27</v>
      </c>
      <c r="L2650" s="4" t="s">
        <v>27</v>
      </c>
      <c r="M2650" s="4" t="s">
        <v>27</v>
      </c>
      <c r="N2650" s="4" t="s">
        <v>27</v>
      </c>
    </row>
    <row r="2651" hidden="1">
      <c r="B2651" s="4" t="s">
        <v>27</v>
      </c>
      <c r="C2651" s="4" t="s">
        <v>27</v>
      </c>
      <c r="D2651" s="6" t="s">
        <v>27</v>
      </c>
      <c r="E2651" s="6" t="s">
        <v>27</v>
      </c>
      <c r="F2651" s="6" t="s">
        <v>27</v>
      </c>
      <c r="G2651" s="4" t="s">
        <v>27</v>
      </c>
      <c r="H2651" s="4" t="s">
        <v>27</v>
      </c>
      <c r="I2651" s="4" t="s">
        <v>27</v>
      </c>
      <c r="J2651" s="4" t="s">
        <v>27</v>
      </c>
      <c r="K2651" s="4" t="s">
        <v>27</v>
      </c>
      <c r="L2651" s="4" t="s">
        <v>27</v>
      </c>
      <c r="M2651" s="4" t="s">
        <v>27</v>
      </c>
      <c r="N2651" s="4" t="s">
        <v>27</v>
      </c>
    </row>
    <row r="2652" hidden="1">
      <c r="B2652" s="4" t="s">
        <v>27</v>
      </c>
      <c r="C2652" s="4" t="s">
        <v>27</v>
      </c>
      <c r="D2652" s="6" t="s">
        <v>27</v>
      </c>
      <c r="E2652" s="6" t="s">
        <v>27</v>
      </c>
      <c r="F2652" s="6" t="s">
        <v>27</v>
      </c>
      <c r="G2652" s="4" t="s">
        <v>27</v>
      </c>
      <c r="H2652" s="4" t="s">
        <v>27</v>
      </c>
      <c r="I2652" s="4" t="s">
        <v>27</v>
      </c>
      <c r="J2652" s="4" t="s">
        <v>27</v>
      </c>
      <c r="K2652" s="4" t="s">
        <v>27</v>
      </c>
      <c r="L2652" s="4" t="s">
        <v>27</v>
      </c>
      <c r="M2652" s="4" t="s">
        <v>27</v>
      </c>
      <c r="N2652" s="4" t="s">
        <v>27</v>
      </c>
    </row>
    <row r="2653" hidden="1">
      <c r="B2653" s="4" t="s">
        <v>27</v>
      </c>
      <c r="C2653" s="4" t="s">
        <v>27</v>
      </c>
      <c r="D2653" s="6" t="s">
        <v>27</v>
      </c>
      <c r="E2653" s="6" t="s">
        <v>27</v>
      </c>
      <c r="F2653" s="6" t="s">
        <v>27</v>
      </c>
      <c r="G2653" s="4" t="s">
        <v>27</v>
      </c>
      <c r="H2653" s="4" t="s">
        <v>27</v>
      </c>
      <c r="I2653" s="4" t="s">
        <v>27</v>
      </c>
      <c r="J2653" s="4" t="s">
        <v>27</v>
      </c>
      <c r="K2653" s="4" t="s">
        <v>27</v>
      </c>
      <c r="L2653" s="4" t="s">
        <v>27</v>
      </c>
      <c r="M2653" s="4" t="s">
        <v>27</v>
      </c>
      <c r="N2653" s="4" t="s">
        <v>27</v>
      </c>
    </row>
    <row r="2654" hidden="1">
      <c r="B2654" s="4" t="s">
        <v>27</v>
      </c>
      <c r="C2654" s="4" t="s">
        <v>27</v>
      </c>
      <c r="D2654" s="6" t="s">
        <v>27</v>
      </c>
      <c r="E2654" s="6" t="s">
        <v>27</v>
      </c>
      <c r="F2654" s="6" t="s">
        <v>27</v>
      </c>
      <c r="G2654" s="4" t="s">
        <v>27</v>
      </c>
      <c r="H2654" s="4" t="s">
        <v>27</v>
      </c>
      <c r="I2654" s="4" t="s">
        <v>27</v>
      </c>
      <c r="J2654" s="4" t="s">
        <v>27</v>
      </c>
      <c r="K2654" s="4" t="s">
        <v>27</v>
      </c>
      <c r="L2654" s="4" t="s">
        <v>27</v>
      </c>
      <c r="M2654" s="4" t="s">
        <v>27</v>
      </c>
      <c r="N2654" s="4" t="s">
        <v>27</v>
      </c>
    </row>
    <row r="2655" hidden="1">
      <c r="B2655" s="4" t="s">
        <v>27</v>
      </c>
      <c r="C2655" s="4" t="s">
        <v>27</v>
      </c>
      <c r="D2655" s="6" t="s">
        <v>27</v>
      </c>
      <c r="E2655" s="6" t="s">
        <v>27</v>
      </c>
      <c r="F2655" s="6" t="s">
        <v>27</v>
      </c>
      <c r="G2655" s="4" t="s">
        <v>27</v>
      </c>
      <c r="H2655" s="4" t="s">
        <v>27</v>
      </c>
      <c r="I2655" s="4" t="s">
        <v>27</v>
      </c>
      <c r="J2655" s="4" t="s">
        <v>27</v>
      </c>
      <c r="K2655" s="4" t="s">
        <v>27</v>
      </c>
      <c r="L2655" s="4" t="s">
        <v>27</v>
      </c>
      <c r="M2655" s="4" t="s">
        <v>27</v>
      </c>
      <c r="N2655" s="4" t="s">
        <v>27</v>
      </c>
    </row>
    <row r="2656" hidden="1">
      <c r="B2656" s="4" t="s">
        <v>27</v>
      </c>
      <c r="C2656" s="4" t="s">
        <v>27</v>
      </c>
      <c r="D2656" s="6" t="s">
        <v>27</v>
      </c>
      <c r="E2656" s="6" t="s">
        <v>27</v>
      </c>
      <c r="F2656" s="6" t="s">
        <v>27</v>
      </c>
      <c r="G2656" s="4" t="s">
        <v>27</v>
      </c>
      <c r="H2656" s="4" t="s">
        <v>27</v>
      </c>
      <c r="I2656" s="4" t="s">
        <v>27</v>
      </c>
      <c r="J2656" s="4" t="s">
        <v>27</v>
      </c>
      <c r="K2656" s="4" t="s">
        <v>27</v>
      </c>
      <c r="L2656" s="4" t="s">
        <v>27</v>
      </c>
      <c r="M2656" s="4" t="s">
        <v>27</v>
      </c>
      <c r="N2656" s="4" t="s">
        <v>27</v>
      </c>
    </row>
    <row r="2657" hidden="1">
      <c r="B2657" s="4" t="s">
        <v>27</v>
      </c>
      <c r="C2657" s="4" t="s">
        <v>27</v>
      </c>
      <c r="D2657" s="6" t="s">
        <v>27</v>
      </c>
      <c r="E2657" s="6" t="s">
        <v>27</v>
      </c>
      <c r="F2657" s="6" t="s">
        <v>27</v>
      </c>
      <c r="G2657" s="4" t="s">
        <v>27</v>
      </c>
      <c r="H2657" s="4" t="s">
        <v>27</v>
      </c>
      <c r="I2657" s="4" t="s">
        <v>27</v>
      </c>
      <c r="J2657" s="4" t="s">
        <v>27</v>
      </c>
      <c r="K2657" s="4" t="s">
        <v>27</v>
      </c>
      <c r="L2657" s="4" t="s">
        <v>27</v>
      </c>
      <c r="M2657" s="4" t="s">
        <v>27</v>
      </c>
      <c r="N2657" s="4" t="s">
        <v>27</v>
      </c>
    </row>
    <row r="2658" hidden="1">
      <c r="B2658" s="4" t="s">
        <v>27</v>
      </c>
      <c r="C2658" s="4" t="s">
        <v>27</v>
      </c>
      <c r="D2658" s="6" t="s">
        <v>27</v>
      </c>
      <c r="E2658" s="6" t="s">
        <v>27</v>
      </c>
      <c r="F2658" s="6" t="s">
        <v>27</v>
      </c>
      <c r="G2658" s="4" t="s">
        <v>27</v>
      </c>
      <c r="H2658" s="4" t="s">
        <v>27</v>
      </c>
      <c r="I2658" s="4" t="s">
        <v>27</v>
      </c>
      <c r="J2658" s="4" t="s">
        <v>27</v>
      </c>
      <c r="K2658" s="4" t="s">
        <v>27</v>
      </c>
      <c r="L2658" s="4" t="s">
        <v>27</v>
      </c>
      <c r="M2658" s="4" t="s">
        <v>27</v>
      </c>
      <c r="N2658" s="4" t="s">
        <v>27</v>
      </c>
    </row>
    <row r="2659" hidden="1">
      <c r="B2659" s="4" t="s">
        <v>27</v>
      </c>
      <c r="C2659" s="4" t="s">
        <v>27</v>
      </c>
      <c r="D2659" s="6" t="s">
        <v>27</v>
      </c>
      <c r="E2659" s="6" t="s">
        <v>27</v>
      </c>
      <c r="F2659" s="6" t="s">
        <v>27</v>
      </c>
      <c r="G2659" s="4" t="s">
        <v>27</v>
      </c>
      <c r="H2659" s="4" t="s">
        <v>27</v>
      </c>
      <c r="I2659" s="4" t="s">
        <v>27</v>
      </c>
      <c r="J2659" s="4" t="s">
        <v>27</v>
      </c>
      <c r="K2659" s="4" t="s">
        <v>27</v>
      </c>
      <c r="L2659" s="4" t="s">
        <v>27</v>
      </c>
      <c r="M2659" s="4" t="s">
        <v>27</v>
      </c>
      <c r="N2659" s="4" t="s">
        <v>27</v>
      </c>
    </row>
    <row r="2660" hidden="1">
      <c r="B2660" s="4" t="s">
        <v>27</v>
      </c>
      <c r="C2660" s="4" t="s">
        <v>27</v>
      </c>
      <c r="D2660" s="6" t="s">
        <v>27</v>
      </c>
      <c r="E2660" s="6" t="s">
        <v>27</v>
      </c>
      <c r="F2660" s="6" t="s">
        <v>27</v>
      </c>
      <c r="G2660" s="4" t="s">
        <v>27</v>
      </c>
      <c r="H2660" s="4" t="s">
        <v>27</v>
      </c>
      <c r="I2660" s="4" t="s">
        <v>27</v>
      </c>
      <c r="J2660" s="4" t="s">
        <v>27</v>
      </c>
      <c r="K2660" s="4" t="s">
        <v>27</v>
      </c>
      <c r="L2660" s="4" t="s">
        <v>27</v>
      </c>
      <c r="M2660" s="4" t="s">
        <v>27</v>
      </c>
      <c r="N2660" s="4" t="s">
        <v>27</v>
      </c>
    </row>
    <row r="2661" hidden="1">
      <c r="B2661" s="4" t="s">
        <v>27</v>
      </c>
      <c r="C2661" s="4" t="s">
        <v>27</v>
      </c>
      <c r="D2661" s="6" t="s">
        <v>27</v>
      </c>
      <c r="E2661" s="6" t="s">
        <v>27</v>
      </c>
      <c r="F2661" s="6" t="s">
        <v>27</v>
      </c>
      <c r="G2661" s="4" t="s">
        <v>27</v>
      </c>
      <c r="H2661" s="4" t="s">
        <v>27</v>
      </c>
      <c r="I2661" s="4" t="s">
        <v>27</v>
      </c>
      <c r="J2661" s="4" t="s">
        <v>27</v>
      </c>
      <c r="K2661" s="4" t="s">
        <v>27</v>
      </c>
      <c r="L2661" s="4" t="s">
        <v>27</v>
      </c>
      <c r="M2661" s="4" t="s">
        <v>27</v>
      </c>
      <c r="N2661" s="4" t="s">
        <v>27</v>
      </c>
    </row>
    <row r="2662" hidden="1">
      <c r="B2662" s="4" t="s">
        <v>27</v>
      </c>
      <c r="C2662" s="4" t="s">
        <v>27</v>
      </c>
      <c r="D2662" s="6" t="s">
        <v>27</v>
      </c>
      <c r="E2662" s="6" t="s">
        <v>27</v>
      </c>
      <c r="F2662" s="6" t="s">
        <v>27</v>
      </c>
      <c r="G2662" s="4" t="s">
        <v>27</v>
      </c>
      <c r="H2662" s="4" t="s">
        <v>27</v>
      </c>
      <c r="I2662" s="4" t="s">
        <v>27</v>
      </c>
      <c r="J2662" s="4" t="s">
        <v>27</v>
      </c>
      <c r="K2662" s="4" t="s">
        <v>27</v>
      </c>
      <c r="L2662" s="4" t="s">
        <v>27</v>
      </c>
      <c r="M2662" s="4" t="s">
        <v>27</v>
      </c>
      <c r="N2662" s="4" t="s">
        <v>27</v>
      </c>
    </row>
    <row r="2663" hidden="1">
      <c r="B2663" s="4" t="s">
        <v>27</v>
      </c>
      <c r="C2663" s="4" t="s">
        <v>27</v>
      </c>
      <c r="D2663" s="6" t="s">
        <v>27</v>
      </c>
      <c r="E2663" s="6" t="s">
        <v>27</v>
      </c>
      <c r="F2663" s="6" t="s">
        <v>27</v>
      </c>
      <c r="G2663" s="4" t="s">
        <v>27</v>
      </c>
      <c r="H2663" s="4" t="s">
        <v>27</v>
      </c>
      <c r="I2663" s="4" t="s">
        <v>27</v>
      </c>
      <c r="J2663" s="4" t="s">
        <v>27</v>
      </c>
      <c r="K2663" s="4" t="s">
        <v>27</v>
      </c>
      <c r="L2663" s="4" t="s">
        <v>27</v>
      </c>
      <c r="M2663" s="4" t="s">
        <v>27</v>
      </c>
      <c r="N2663" s="4" t="s">
        <v>27</v>
      </c>
    </row>
    <row r="2664" hidden="1">
      <c r="B2664" s="4" t="s">
        <v>27</v>
      </c>
      <c r="C2664" s="4" t="s">
        <v>27</v>
      </c>
      <c r="D2664" s="6" t="s">
        <v>27</v>
      </c>
      <c r="E2664" s="6" t="s">
        <v>27</v>
      </c>
      <c r="F2664" s="6" t="s">
        <v>27</v>
      </c>
      <c r="G2664" s="4" t="s">
        <v>27</v>
      </c>
      <c r="H2664" s="4" t="s">
        <v>27</v>
      </c>
      <c r="I2664" s="4" t="s">
        <v>27</v>
      </c>
      <c r="J2664" s="4" t="s">
        <v>27</v>
      </c>
      <c r="K2664" s="4" t="s">
        <v>27</v>
      </c>
      <c r="L2664" s="4" t="s">
        <v>27</v>
      </c>
      <c r="M2664" s="4" t="s">
        <v>27</v>
      </c>
      <c r="N2664" s="4" t="s">
        <v>27</v>
      </c>
    </row>
    <row r="2665" hidden="1">
      <c r="B2665" s="4" t="s">
        <v>27</v>
      </c>
      <c r="C2665" s="4" t="s">
        <v>27</v>
      </c>
      <c r="D2665" s="6" t="s">
        <v>27</v>
      </c>
      <c r="E2665" s="6" t="s">
        <v>27</v>
      </c>
      <c r="F2665" s="6" t="s">
        <v>27</v>
      </c>
      <c r="G2665" s="4" t="s">
        <v>27</v>
      </c>
      <c r="H2665" s="4" t="s">
        <v>27</v>
      </c>
      <c r="I2665" s="4" t="s">
        <v>27</v>
      </c>
      <c r="J2665" s="4" t="s">
        <v>27</v>
      </c>
      <c r="K2665" s="4" t="s">
        <v>27</v>
      </c>
      <c r="L2665" s="4" t="s">
        <v>27</v>
      </c>
      <c r="M2665" s="4" t="s">
        <v>27</v>
      </c>
      <c r="N2665" s="4" t="s">
        <v>27</v>
      </c>
    </row>
    <row r="2666" hidden="1">
      <c r="B2666" s="4" t="s">
        <v>27</v>
      </c>
      <c r="C2666" s="4" t="s">
        <v>27</v>
      </c>
      <c r="D2666" s="6" t="s">
        <v>27</v>
      </c>
      <c r="E2666" s="6" t="s">
        <v>27</v>
      </c>
      <c r="F2666" s="6" t="s">
        <v>27</v>
      </c>
      <c r="G2666" s="4" t="s">
        <v>27</v>
      </c>
      <c r="H2666" s="4" t="s">
        <v>27</v>
      </c>
      <c r="I2666" s="4" t="s">
        <v>27</v>
      </c>
      <c r="J2666" s="4" t="s">
        <v>27</v>
      </c>
      <c r="K2666" s="4" t="s">
        <v>27</v>
      </c>
      <c r="L2666" s="4" t="s">
        <v>27</v>
      </c>
      <c r="M2666" s="4" t="s">
        <v>27</v>
      </c>
      <c r="N2666" s="4" t="s">
        <v>27</v>
      </c>
    </row>
    <row r="2667" hidden="1">
      <c r="B2667" s="4" t="s">
        <v>27</v>
      </c>
      <c r="C2667" s="4" t="s">
        <v>27</v>
      </c>
      <c r="D2667" s="6" t="s">
        <v>27</v>
      </c>
      <c r="E2667" s="6" t="s">
        <v>27</v>
      </c>
      <c r="F2667" s="6" t="s">
        <v>27</v>
      </c>
      <c r="G2667" s="4" t="s">
        <v>27</v>
      </c>
      <c r="H2667" s="4" t="s">
        <v>27</v>
      </c>
      <c r="I2667" s="4" t="s">
        <v>27</v>
      </c>
      <c r="J2667" s="4" t="s">
        <v>27</v>
      </c>
      <c r="K2667" s="4" t="s">
        <v>27</v>
      </c>
      <c r="L2667" s="4" t="s">
        <v>27</v>
      </c>
      <c r="M2667" s="4" t="s">
        <v>27</v>
      </c>
      <c r="N2667" s="4" t="s">
        <v>27</v>
      </c>
    </row>
    <row r="2668" hidden="1">
      <c r="B2668" s="4" t="s">
        <v>27</v>
      </c>
      <c r="C2668" s="4" t="s">
        <v>27</v>
      </c>
      <c r="D2668" s="6" t="s">
        <v>27</v>
      </c>
      <c r="E2668" s="6" t="s">
        <v>27</v>
      </c>
      <c r="F2668" s="6" t="s">
        <v>27</v>
      </c>
      <c r="G2668" s="4" t="s">
        <v>27</v>
      </c>
      <c r="H2668" s="4" t="s">
        <v>27</v>
      </c>
      <c r="I2668" s="4" t="s">
        <v>27</v>
      </c>
      <c r="J2668" s="4" t="s">
        <v>27</v>
      </c>
      <c r="K2668" s="4" t="s">
        <v>27</v>
      </c>
      <c r="L2668" s="4" t="s">
        <v>27</v>
      </c>
      <c r="M2668" s="4" t="s">
        <v>27</v>
      </c>
      <c r="N2668" s="4" t="s">
        <v>27</v>
      </c>
    </row>
    <row r="2669" hidden="1">
      <c r="B2669" s="4" t="s">
        <v>27</v>
      </c>
      <c r="C2669" s="4" t="s">
        <v>27</v>
      </c>
      <c r="D2669" s="6" t="s">
        <v>27</v>
      </c>
      <c r="E2669" s="6" t="s">
        <v>27</v>
      </c>
      <c r="F2669" s="6" t="s">
        <v>27</v>
      </c>
      <c r="G2669" s="4" t="s">
        <v>27</v>
      </c>
      <c r="H2669" s="4" t="s">
        <v>27</v>
      </c>
      <c r="I2669" s="4" t="s">
        <v>27</v>
      </c>
      <c r="J2669" s="4" t="s">
        <v>27</v>
      </c>
      <c r="K2669" s="4" t="s">
        <v>27</v>
      </c>
      <c r="L2669" s="4" t="s">
        <v>27</v>
      </c>
      <c r="M2669" s="4" t="s">
        <v>27</v>
      </c>
      <c r="N2669" s="4" t="s">
        <v>27</v>
      </c>
    </row>
    <row r="2670" hidden="1">
      <c r="B2670" s="4" t="s">
        <v>27</v>
      </c>
      <c r="C2670" s="4" t="s">
        <v>27</v>
      </c>
      <c r="D2670" s="6" t="s">
        <v>27</v>
      </c>
      <c r="E2670" s="6" t="s">
        <v>27</v>
      </c>
      <c r="F2670" s="6" t="s">
        <v>27</v>
      </c>
      <c r="G2670" s="4" t="s">
        <v>27</v>
      </c>
      <c r="H2670" s="4" t="s">
        <v>27</v>
      </c>
      <c r="I2670" s="4" t="s">
        <v>27</v>
      </c>
      <c r="J2670" s="4" t="s">
        <v>27</v>
      </c>
      <c r="K2670" s="4" t="s">
        <v>27</v>
      </c>
      <c r="L2670" s="4" t="s">
        <v>27</v>
      </c>
      <c r="M2670" s="4" t="s">
        <v>27</v>
      </c>
      <c r="N2670" s="4" t="s">
        <v>27</v>
      </c>
    </row>
    <row r="2671" hidden="1">
      <c r="B2671" s="4" t="s">
        <v>27</v>
      </c>
      <c r="C2671" s="4" t="s">
        <v>27</v>
      </c>
      <c r="D2671" s="6" t="s">
        <v>27</v>
      </c>
      <c r="E2671" s="6" t="s">
        <v>27</v>
      </c>
      <c r="F2671" s="6" t="s">
        <v>27</v>
      </c>
      <c r="G2671" s="4" t="s">
        <v>27</v>
      </c>
      <c r="H2671" s="4" t="s">
        <v>27</v>
      </c>
      <c r="I2671" s="4" t="s">
        <v>27</v>
      </c>
      <c r="J2671" s="4" t="s">
        <v>27</v>
      </c>
      <c r="K2671" s="4" t="s">
        <v>27</v>
      </c>
      <c r="L2671" s="4" t="s">
        <v>27</v>
      </c>
      <c r="M2671" s="4" t="s">
        <v>27</v>
      </c>
      <c r="N2671" s="4" t="s">
        <v>27</v>
      </c>
    </row>
    <row r="2672" hidden="1">
      <c r="B2672" s="4" t="s">
        <v>27</v>
      </c>
      <c r="C2672" s="4" t="s">
        <v>27</v>
      </c>
      <c r="D2672" s="6" t="s">
        <v>27</v>
      </c>
      <c r="E2672" s="6" t="s">
        <v>27</v>
      </c>
      <c r="F2672" s="6" t="s">
        <v>27</v>
      </c>
      <c r="G2672" s="4" t="s">
        <v>27</v>
      </c>
      <c r="H2672" s="4" t="s">
        <v>27</v>
      </c>
      <c r="I2672" s="4" t="s">
        <v>27</v>
      </c>
      <c r="J2672" s="4" t="s">
        <v>27</v>
      </c>
      <c r="K2672" s="4" t="s">
        <v>27</v>
      </c>
      <c r="L2672" s="4" t="s">
        <v>27</v>
      </c>
      <c r="M2672" s="4" t="s">
        <v>27</v>
      </c>
      <c r="N2672" s="4" t="s">
        <v>27</v>
      </c>
    </row>
    <row r="2673" hidden="1">
      <c r="B2673" s="4" t="s">
        <v>27</v>
      </c>
      <c r="C2673" s="4" t="s">
        <v>27</v>
      </c>
      <c r="D2673" s="6" t="s">
        <v>27</v>
      </c>
      <c r="E2673" s="6" t="s">
        <v>27</v>
      </c>
      <c r="F2673" s="6" t="s">
        <v>27</v>
      </c>
      <c r="G2673" s="4" t="s">
        <v>27</v>
      </c>
      <c r="H2673" s="4" t="s">
        <v>27</v>
      </c>
      <c r="I2673" s="4" t="s">
        <v>27</v>
      </c>
      <c r="J2673" s="4" t="s">
        <v>27</v>
      </c>
      <c r="K2673" s="4" t="s">
        <v>27</v>
      </c>
      <c r="L2673" s="4" t="s">
        <v>27</v>
      </c>
      <c r="M2673" s="4" t="s">
        <v>27</v>
      </c>
      <c r="N2673" s="4" t="s">
        <v>27</v>
      </c>
    </row>
    <row r="2674" hidden="1">
      <c r="B2674" s="4" t="s">
        <v>27</v>
      </c>
      <c r="C2674" s="4" t="s">
        <v>27</v>
      </c>
      <c r="D2674" s="6" t="s">
        <v>27</v>
      </c>
      <c r="E2674" s="6" t="s">
        <v>27</v>
      </c>
      <c r="F2674" s="6" t="s">
        <v>27</v>
      </c>
      <c r="G2674" s="4" t="s">
        <v>27</v>
      </c>
      <c r="H2674" s="4" t="s">
        <v>27</v>
      </c>
      <c r="I2674" s="4" t="s">
        <v>27</v>
      </c>
      <c r="J2674" s="4" t="s">
        <v>27</v>
      </c>
      <c r="K2674" s="4" t="s">
        <v>27</v>
      </c>
      <c r="L2674" s="4" t="s">
        <v>27</v>
      </c>
      <c r="M2674" s="4" t="s">
        <v>27</v>
      </c>
      <c r="N2674" s="4" t="s">
        <v>27</v>
      </c>
    </row>
    <row r="2675" hidden="1">
      <c r="B2675" s="4" t="s">
        <v>27</v>
      </c>
      <c r="C2675" s="4" t="s">
        <v>27</v>
      </c>
      <c r="D2675" s="6" t="s">
        <v>27</v>
      </c>
      <c r="E2675" s="6" t="s">
        <v>27</v>
      </c>
      <c r="F2675" s="6" t="s">
        <v>27</v>
      </c>
      <c r="G2675" s="4" t="s">
        <v>27</v>
      </c>
      <c r="H2675" s="4" t="s">
        <v>27</v>
      </c>
      <c r="I2675" s="4" t="s">
        <v>27</v>
      </c>
      <c r="J2675" s="4" t="s">
        <v>27</v>
      </c>
      <c r="K2675" s="4" t="s">
        <v>27</v>
      </c>
      <c r="L2675" s="4" t="s">
        <v>27</v>
      </c>
      <c r="M2675" s="4" t="s">
        <v>27</v>
      </c>
      <c r="N2675" s="4" t="s">
        <v>27</v>
      </c>
    </row>
    <row r="2676" hidden="1">
      <c r="B2676" s="4" t="s">
        <v>27</v>
      </c>
      <c r="C2676" s="4" t="s">
        <v>27</v>
      </c>
      <c r="D2676" s="6" t="s">
        <v>27</v>
      </c>
      <c r="E2676" s="6" t="s">
        <v>27</v>
      </c>
      <c r="F2676" s="6" t="s">
        <v>27</v>
      </c>
      <c r="G2676" s="4" t="s">
        <v>27</v>
      </c>
      <c r="H2676" s="4" t="s">
        <v>27</v>
      </c>
      <c r="I2676" s="4" t="s">
        <v>27</v>
      </c>
      <c r="J2676" s="4" t="s">
        <v>27</v>
      </c>
      <c r="K2676" s="4" t="s">
        <v>27</v>
      </c>
      <c r="L2676" s="4" t="s">
        <v>27</v>
      </c>
      <c r="M2676" s="4" t="s">
        <v>27</v>
      </c>
      <c r="N2676" s="4" t="s">
        <v>27</v>
      </c>
    </row>
    <row r="2677" hidden="1">
      <c r="B2677" s="4" t="s">
        <v>27</v>
      </c>
      <c r="C2677" s="4" t="s">
        <v>27</v>
      </c>
      <c r="D2677" s="6" t="s">
        <v>27</v>
      </c>
      <c r="E2677" s="6" t="s">
        <v>27</v>
      </c>
      <c r="F2677" s="6" t="s">
        <v>27</v>
      </c>
      <c r="G2677" s="4" t="s">
        <v>27</v>
      </c>
      <c r="H2677" s="4" t="s">
        <v>27</v>
      </c>
      <c r="I2677" s="4" t="s">
        <v>27</v>
      </c>
      <c r="J2677" s="4" t="s">
        <v>27</v>
      </c>
      <c r="K2677" s="4" t="s">
        <v>27</v>
      </c>
      <c r="L2677" s="4" t="s">
        <v>27</v>
      </c>
      <c r="M2677" s="4" t="s">
        <v>27</v>
      </c>
      <c r="N2677" s="4" t="s">
        <v>27</v>
      </c>
    </row>
    <row r="2678" hidden="1">
      <c r="B2678" s="4" t="s">
        <v>27</v>
      </c>
      <c r="C2678" s="4" t="s">
        <v>27</v>
      </c>
      <c r="D2678" s="6" t="s">
        <v>27</v>
      </c>
      <c r="E2678" s="6" t="s">
        <v>27</v>
      </c>
      <c r="F2678" s="6" t="s">
        <v>27</v>
      </c>
      <c r="G2678" s="4" t="s">
        <v>27</v>
      </c>
      <c r="H2678" s="4" t="s">
        <v>27</v>
      </c>
      <c r="I2678" s="4" t="s">
        <v>27</v>
      </c>
      <c r="J2678" s="4" t="s">
        <v>27</v>
      </c>
      <c r="K2678" s="4" t="s">
        <v>27</v>
      </c>
      <c r="L2678" s="4" t="s">
        <v>27</v>
      </c>
      <c r="M2678" s="4" t="s">
        <v>27</v>
      </c>
      <c r="N2678" s="4" t="s">
        <v>27</v>
      </c>
    </row>
    <row r="2679" hidden="1">
      <c r="B2679" s="4" t="s">
        <v>27</v>
      </c>
      <c r="C2679" s="4" t="s">
        <v>27</v>
      </c>
      <c r="D2679" s="6" t="s">
        <v>27</v>
      </c>
      <c r="E2679" s="6" t="s">
        <v>27</v>
      </c>
      <c r="F2679" s="6" t="s">
        <v>27</v>
      </c>
      <c r="G2679" s="4" t="s">
        <v>27</v>
      </c>
      <c r="H2679" s="4" t="s">
        <v>27</v>
      </c>
      <c r="I2679" s="4" t="s">
        <v>27</v>
      </c>
      <c r="J2679" s="4" t="s">
        <v>27</v>
      </c>
      <c r="K2679" s="4" t="s">
        <v>27</v>
      </c>
      <c r="L2679" s="4" t="s">
        <v>27</v>
      </c>
      <c r="M2679" s="4" t="s">
        <v>27</v>
      </c>
      <c r="N2679" s="4" t="s">
        <v>27</v>
      </c>
    </row>
    <row r="2680" hidden="1">
      <c r="B2680" s="4" t="s">
        <v>27</v>
      </c>
      <c r="C2680" s="4" t="s">
        <v>27</v>
      </c>
      <c r="D2680" s="6" t="s">
        <v>27</v>
      </c>
      <c r="E2680" s="6" t="s">
        <v>27</v>
      </c>
      <c r="F2680" s="6" t="s">
        <v>27</v>
      </c>
      <c r="G2680" s="4" t="s">
        <v>27</v>
      </c>
      <c r="H2680" s="4" t="s">
        <v>27</v>
      </c>
      <c r="I2680" s="4" t="s">
        <v>27</v>
      </c>
      <c r="J2680" s="4" t="s">
        <v>27</v>
      </c>
      <c r="K2680" s="4" t="s">
        <v>27</v>
      </c>
      <c r="L2680" s="4" t="s">
        <v>27</v>
      </c>
      <c r="M2680" s="4" t="s">
        <v>27</v>
      </c>
      <c r="N2680" s="4" t="s">
        <v>27</v>
      </c>
    </row>
    <row r="2681" hidden="1">
      <c r="B2681" s="4" t="s">
        <v>27</v>
      </c>
      <c r="C2681" s="4" t="s">
        <v>27</v>
      </c>
      <c r="D2681" s="6" t="s">
        <v>27</v>
      </c>
      <c r="E2681" s="6" t="s">
        <v>27</v>
      </c>
      <c r="F2681" s="6" t="s">
        <v>27</v>
      </c>
      <c r="G2681" s="4" t="s">
        <v>27</v>
      </c>
      <c r="H2681" s="4" t="s">
        <v>27</v>
      </c>
      <c r="I2681" s="4" t="s">
        <v>27</v>
      </c>
      <c r="J2681" s="4" t="s">
        <v>27</v>
      </c>
      <c r="K2681" s="4" t="s">
        <v>27</v>
      </c>
      <c r="L2681" s="4" t="s">
        <v>27</v>
      </c>
      <c r="M2681" s="4" t="s">
        <v>27</v>
      </c>
      <c r="N2681" s="4" t="s">
        <v>27</v>
      </c>
    </row>
    <row r="2682" hidden="1">
      <c r="B2682" s="4" t="s">
        <v>27</v>
      </c>
      <c r="C2682" s="4" t="s">
        <v>27</v>
      </c>
      <c r="D2682" s="6" t="s">
        <v>27</v>
      </c>
      <c r="E2682" s="6" t="s">
        <v>27</v>
      </c>
      <c r="F2682" s="6" t="s">
        <v>27</v>
      </c>
      <c r="G2682" s="4" t="s">
        <v>27</v>
      </c>
      <c r="H2682" s="4" t="s">
        <v>27</v>
      </c>
      <c r="I2682" s="4" t="s">
        <v>27</v>
      </c>
      <c r="J2682" s="4" t="s">
        <v>27</v>
      </c>
      <c r="K2682" s="4" t="s">
        <v>27</v>
      </c>
      <c r="L2682" s="4" t="s">
        <v>27</v>
      </c>
      <c r="M2682" s="4" t="s">
        <v>27</v>
      </c>
      <c r="N2682" s="4" t="s">
        <v>27</v>
      </c>
    </row>
    <row r="2683" hidden="1">
      <c r="B2683" s="4" t="s">
        <v>27</v>
      </c>
      <c r="C2683" s="4" t="s">
        <v>27</v>
      </c>
      <c r="D2683" s="6" t="s">
        <v>27</v>
      </c>
      <c r="E2683" s="6" t="s">
        <v>27</v>
      </c>
      <c r="F2683" s="6" t="s">
        <v>27</v>
      </c>
      <c r="G2683" s="4" t="s">
        <v>27</v>
      </c>
      <c r="H2683" s="4" t="s">
        <v>27</v>
      </c>
      <c r="I2683" s="4" t="s">
        <v>27</v>
      </c>
      <c r="J2683" s="4" t="s">
        <v>27</v>
      </c>
      <c r="K2683" s="4" t="s">
        <v>27</v>
      </c>
      <c r="L2683" s="4" t="s">
        <v>27</v>
      </c>
      <c r="M2683" s="4" t="s">
        <v>27</v>
      </c>
      <c r="N2683" s="4" t="s">
        <v>27</v>
      </c>
    </row>
    <row r="2684" hidden="1">
      <c r="B2684" s="4" t="s">
        <v>27</v>
      </c>
      <c r="C2684" s="4" t="s">
        <v>27</v>
      </c>
      <c r="D2684" s="6" t="s">
        <v>27</v>
      </c>
      <c r="E2684" s="6" t="s">
        <v>27</v>
      </c>
      <c r="F2684" s="6" t="s">
        <v>27</v>
      </c>
      <c r="G2684" s="4" t="s">
        <v>27</v>
      </c>
      <c r="H2684" s="4" t="s">
        <v>27</v>
      </c>
      <c r="I2684" s="4" t="s">
        <v>27</v>
      </c>
      <c r="J2684" s="4" t="s">
        <v>27</v>
      </c>
      <c r="K2684" s="4" t="s">
        <v>27</v>
      </c>
      <c r="L2684" s="4" t="s">
        <v>27</v>
      </c>
      <c r="M2684" s="4" t="s">
        <v>27</v>
      </c>
      <c r="N2684" s="4" t="s">
        <v>27</v>
      </c>
    </row>
    <row r="2685" hidden="1">
      <c r="B2685" s="4" t="s">
        <v>27</v>
      </c>
      <c r="C2685" s="4" t="s">
        <v>27</v>
      </c>
      <c r="D2685" s="6" t="s">
        <v>27</v>
      </c>
      <c r="E2685" s="6" t="s">
        <v>27</v>
      </c>
      <c r="F2685" s="6" t="s">
        <v>27</v>
      </c>
      <c r="G2685" s="4" t="s">
        <v>27</v>
      </c>
      <c r="H2685" s="4" t="s">
        <v>27</v>
      </c>
      <c r="I2685" s="4" t="s">
        <v>27</v>
      </c>
      <c r="J2685" s="4" t="s">
        <v>27</v>
      </c>
      <c r="K2685" s="4" t="s">
        <v>27</v>
      </c>
      <c r="L2685" s="4" t="s">
        <v>27</v>
      </c>
      <c r="M2685" s="4" t="s">
        <v>27</v>
      </c>
      <c r="N2685" s="4" t="s">
        <v>27</v>
      </c>
    </row>
    <row r="2686" hidden="1">
      <c r="B2686" s="4" t="s">
        <v>27</v>
      </c>
      <c r="C2686" s="4" t="s">
        <v>27</v>
      </c>
      <c r="D2686" s="6" t="s">
        <v>27</v>
      </c>
      <c r="E2686" s="6" t="s">
        <v>27</v>
      </c>
      <c r="F2686" s="6" t="s">
        <v>27</v>
      </c>
      <c r="G2686" s="4" t="s">
        <v>27</v>
      </c>
      <c r="H2686" s="4" t="s">
        <v>27</v>
      </c>
      <c r="I2686" s="4" t="s">
        <v>27</v>
      </c>
      <c r="J2686" s="4" t="s">
        <v>27</v>
      </c>
      <c r="K2686" s="4" t="s">
        <v>27</v>
      </c>
      <c r="L2686" s="4" t="s">
        <v>27</v>
      </c>
      <c r="M2686" s="4" t="s">
        <v>27</v>
      </c>
      <c r="N2686" s="4" t="s">
        <v>27</v>
      </c>
    </row>
    <row r="2687" hidden="1">
      <c r="B2687" s="4" t="s">
        <v>27</v>
      </c>
      <c r="C2687" s="4" t="s">
        <v>27</v>
      </c>
      <c r="D2687" s="6" t="s">
        <v>27</v>
      </c>
      <c r="E2687" s="6" t="s">
        <v>27</v>
      </c>
      <c r="F2687" s="6" t="s">
        <v>27</v>
      </c>
      <c r="G2687" s="4" t="s">
        <v>27</v>
      </c>
      <c r="H2687" s="4" t="s">
        <v>27</v>
      </c>
      <c r="I2687" s="4" t="s">
        <v>27</v>
      </c>
      <c r="J2687" s="4" t="s">
        <v>27</v>
      </c>
      <c r="K2687" s="4" t="s">
        <v>27</v>
      </c>
      <c r="L2687" s="4" t="s">
        <v>27</v>
      </c>
      <c r="M2687" s="4" t="s">
        <v>27</v>
      </c>
      <c r="N2687" s="4" t="s">
        <v>27</v>
      </c>
    </row>
    <row r="2688" hidden="1">
      <c r="B2688" s="4" t="s">
        <v>27</v>
      </c>
      <c r="C2688" s="4" t="s">
        <v>27</v>
      </c>
      <c r="D2688" s="6" t="s">
        <v>27</v>
      </c>
      <c r="E2688" s="6" t="s">
        <v>27</v>
      </c>
      <c r="F2688" s="6" t="s">
        <v>27</v>
      </c>
      <c r="G2688" s="4" t="s">
        <v>27</v>
      </c>
      <c r="H2688" s="4" t="s">
        <v>27</v>
      </c>
      <c r="I2688" s="4" t="s">
        <v>27</v>
      </c>
      <c r="J2688" s="4" t="s">
        <v>27</v>
      </c>
      <c r="K2688" s="4" t="s">
        <v>27</v>
      </c>
      <c r="L2688" s="4" t="s">
        <v>27</v>
      </c>
      <c r="M2688" s="4" t="s">
        <v>27</v>
      </c>
      <c r="N2688" s="4" t="s">
        <v>27</v>
      </c>
    </row>
    <row r="2689" hidden="1">
      <c r="B2689" s="4" t="s">
        <v>27</v>
      </c>
      <c r="C2689" s="4" t="s">
        <v>27</v>
      </c>
      <c r="D2689" s="6" t="s">
        <v>27</v>
      </c>
      <c r="E2689" s="6" t="s">
        <v>27</v>
      </c>
      <c r="F2689" s="6" t="s">
        <v>27</v>
      </c>
      <c r="G2689" s="4" t="s">
        <v>27</v>
      </c>
      <c r="H2689" s="4" t="s">
        <v>27</v>
      </c>
      <c r="I2689" s="4" t="s">
        <v>27</v>
      </c>
      <c r="J2689" s="4" t="s">
        <v>27</v>
      </c>
      <c r="K2689" s="4" t="s">
        <v>27</v>
      </c>
      <c r="L2689" s="4" t="s">
        <v>27</v>
      </c>
      <c r="M2689" s="4" t="s">
        <v>27</v>
      </c>
      <c r="N2689" s="4" t="s">
        <v>27</v>
      </c>
    </row>
    <row r="2690" hidden="1">
      <c r="B2690" s="4" t="s">
        <v>27</v>
      </c>
      <c r="C2690" s="4" t="s">
        <v>27</v>
      </c>
      <c r="D2690" s="6" t="s">
        <v>27</v>
      </c>
      <c r="E2690" s="6" t="s">
        <v>27</v>
      </c>
      <c r="F2690" s="6" t="s">
        <v>27</v>
      </c>
      <c r="G2690" s="4" t="s">
        <v>27</v>
      </c>
      <c r="H2690" s="4" t="s">
        <v>27</v>
      </c>
      <c r="I2690" s="4" t="s">
        <v>27</v>
      </c>
      <c r="J2690" s="4" t="s">
        <v>27</v>
      </c>
      <c r="K2690" s="4" t="s">
        <v>27</v>
      </c>
      <c r="L2690" s="4" t="s">
        <v>27</v>
      </c>
      <c r="M2690" s="4" t="s">
        <v>27</v>
      </c>
      <c r="N2690" s="4" t="s">
        <v>27</v>
      </c>
    </row>
    <row r="2691" hidden="1">
      <c r="B2691" s="4" t="s">
        <v>27</v>
      </c>
      <c r="C2691" s="4" t="s">
        <v>27</v>
      </c>
      <c r="D2691" s="6" t="s">
        <v>27</v>
      </c>
      <c r="E2691" s="6" t="s">
        <v>27</v>
      </c>
      <c r="F2691" s="6" t="s">
        <v>27</v>
      </c>
      <c r="G2691" s="4" t="s">
        <v>27</v>
      </c>
      <c r="H2691" s="4" t="s">
        <v>27</v>
      </c>
      <c r="I2691" s="4" t="s">
        <v>27</v>
      </c>
      <c r="J2691" s="4" t="s">
        <v>27</v>
      </c>
      <c r="K2691" s="4" t="s">
        <v>27</v>
      </c>
      <c r="L2691" s="4" t="s">
        <v>27</v>
      </c>
      <c r="M2691" s="4" t="s">
        <v>27</v>
      </c>
      <c r="N2691" s="4" t="s">
        <v>27</v>
      </c>
    </row>
    <row r="2692" hidden="1">
      <c r="B2692" s="4" t="s">
        <v>27</v>
      </c>
      <c r="C2692" s="4" t="s">
        <v>27</v>
      </c>
      <c r="D2692" s="6" t="s">
        <v>27</v>
      </c>
      <c r="E2692" s="6" t="s">
        <v>27</v>
      </c>
      <c r="F2692" s="6" t="s">
        <v>27</v>
      </c>
      <c r="G2692" s="4" t="s">
        <v>27</v>
      </c>
      <c r="H2692" s="4" t="s">
        <v>27</v>
      </c>
      <c r="I2692" s="4" t="s">
        <v>27</v>
      </c>
      <c r="J2692" s="4" t="s">
        <v>27</v>
      </c>
      <c r="K2692" s="4" t="s">
        <v>27</v>
      </c>
      <c r="L2692" s="4" t="s">
        <v>27</v>
      </c>
      <c r="M2692" s="4" t="s">
        <v>27</v>
      </c>
      <c r="N2692" s="4" t="s">
        <v>27</v>
      </c>
    </row>
    <row r="2693" hidden="1">
      <c r="B2693" s="4" t="s">
        <v>27</v>
      </c>
      <c r="C2693" s="4" t="s">
        <v>27</v>
      </c>
      <c r="D2693" s="6" t="s">
        <v>27</v>
      </c>
      <c r="E2693" s="6" t="s">
        <v>27</v>
      </c>
      <c r="F2693" s="6" t="s">
        <v>27</v>
      </c>
      <c r="G2693" s="4" t="s">
        <v>27</v>
      </c>
      <c r="H2693" s="4" t="s">
        <v>27</v>
      </c>
      <c r="I2693" s="4" t="s">
        <v>27</v>
      </c>
      <c r="J2693" s="4" t="s">
        <v>27</v>
      </c>
      <c r="K2693" s="4" t="s">
        <v>27</v>
      </c>
      <c r="L2693" s="4" t="s">
        <v>27</v>
      </c>
      <c r="M2693" s="4" t="s">
        <v>27</v>
      </c>
      <c r="N2693" s="4" t="s">
        <v>27</v>
      </c>
    </row>
    <row r="2694" hidden="1">
      <c r="B2694" s="4" t="s">
        <v>27</v>
      </c>
      <c r="C2694" s="4" t="s">
        <v>27</v>
      </c>
      <c r="D2694" s="6" t="s">
        <v>27</v>
      </c>
      <c r="E2694" s="6" t="s">
        <v>27</v>
      </c>
      <c r="F2694" s="6" t="s">
        <v>27</v>
      </c>
      <c r="G2694" s="4" t="s">
        <v>27</v>
      </c>
      <c r="H2694" s="4" t="s">
        <v>27</v>
      </c>
      <c r="I2694" s="4" t="s">
        <v>27</v>
      </c>
      <c r="J2694" s="4" t="s">
        <v>27</v>
      </c>
      <c r="K2694" s="4" t="s">
        <v>27</v>
      </c>
      <c r="L2694" s="4" t="s">
        <v>27</v>
      </c>
      <c r="M2694" s="4" t="s">
        <v>27</v>
      </c>
      <c r="N2694" s="4" t="s">
        <v>27</v>
      </c>
    </row>
    <row r="2695" hidden="1">
      <c r="B2695" s="4" t="s">
        <v>27</v>
      </c>
      <c r="C2695" s="4" t="s">
        <v>27</v>
      </c>
      <c r="D2695" s="6" t="s">
        <v>27</v>
      </c>
      <c r="E2695" s="6" t="s">
        <v>27</v>
      </c>
      <c r="F2695" s="6" t="s">
        <v>27</v>
      </c>
      <c r="G2695" s="4" t="s">
        <v>27</v>
      </c>
      <c r="H2695" s="4" t="s">
        <v>27</v>
      </c>
      <c r="I2695" s="4" t="s">
        <v>27</v>
      </c>
      <c r="J2695" s="4" t="s">
        <v>27</v>
      </c>
      <c r="K2695" s="4" t="s">
        <v>27</v>
      </c>
      <c r="L2695" s="4" t="s">
        <v>27</v>
      </c>
      <c r="M2695" s="4" t="s">
        <v>27</v>
      </c>
      <c r="N2695" s="4" t="s">
        <v>27</v>
      </c>
    </row>
    <row r="2696" hidden="1">
      <c r="B2696" s="4" t="s">
        <v>27</v>
      </c>
      <c r="C2696" s="4" t="s">
        <v>27</v>
      </c>
      <c r="D2696" s="6" t="s">
        <v>27</v>
      </c>
      <c r="E2696" s="6" t="s">
        <v>27</v>
      </c>
      <c r="F2696" s="6" t="s">
        <v>27</v>
      </c>
      <c r="G2696" s="4" t="s">
        <v>27</v>
      </c>
      <c r="H2696" s="4" t="s">
        <v>27</v>
      </c>
      <c r="I2696" s="4" t="s">
        <v>27</v>
      </c>
      <c r="J2696" s="4" t="s">
        <v>27</v>
      </c>
      <c r="K2696" s="4" t="s">
        <v>27</v>
      </c>
      <c r="L2696" s="4" t="s">
        <v>27</v>
      </c>
      <c r="M2696" s="4" t="s">
        <v>27</v>
      </c>
      <c r="N2696" s="4" t="s">
        <v>27</v>
      </c>
    </row>
    <row r="2697" hidden="1">
      <c r="B2697" s="4" t="s">
        <v>27</v>
      </c>
      <c r="C2697" s="4" t="s">
        <v>27</v>
      </c>
      <c r="D2697" s="6" t="s">
        <v>27</v>
      </c>
      <c r="E2697" s="6" t="s">
        <v>27</v>
      </c>
      <c r="F2697" s="6" t="s">
        <v>27</v>
      </c>
      <c r="G2697" s="4" t="s">
        <v>27</v>
      </c>
      <c r="H2697" s="4" t="s">
        <v>27</v>
      </c>
      <c r="I2697" s="4" t="s">
        <v>27</v>
      </c>
      <c r="J2697" s="4" t="s">
        <v>27</v>
      </c>
      <c r="K2697" s="4" t="s">
        <v>27</v>
      </c>
      <c r="L2697" s="4" t="s">
        <v>27</v>
      </c>
      <c r="M2697" s="4" t="s">
        <v>27</v>
      </c>
      <c r="N2697" s="4" t="s">
        <v>27</v>
      </c>
    </row>
    <row r="2698" hidden="1">
      <c r="B2698" s="4" t="s">
        <v>27</v>
      </c>
      <c r="C2698" s="4" t="s">
        <v>27</v>
      </c>
      <c r="D2698" s="6" t="s">
        <v>27</v>
      </c>
      <c r="E2698" s="6" t="s">
        <v>27</v>
      </c>
      <c r="F2698" s="6" t="s">
        <v>27</v>
      </c>
      <c r="G2698" s="4" t="s">
        <v>27</v>
      </c>
      <c r="H2698" s="4" t="s">
        <v>27</v>
      </c>
      <c r="I2698" s="4" t="s">
        <v>27</v>
      </c>
      <c r="J2698" s="4" t="s">
        <v>27</v>
      </c>
      <c r="K2698" s="4" t="s">
        <v>27</v>
      </c>
      <c r="L2698" s="4" t="s">
        <v>27</v>
      </c>
      <c r="M2698" s="4" t="s">
        <v>27</v>
      </c>
      <c r="N2698" s="4" t="s">
        <v>27</v>
      </c>
    </row>
    <row r="2699" hidden="1">
      <c r="B2699" s="4" t="s">
        <v>27</v>
      </c>
      <c r="C2699" s="4" t="s">
        <v>27</v>
      </c>
      <c r="D2699" s="6" t="s">
        <v>27</v>
      </c>
      <c r="E2699" s="6" t="s">
        <v>27</v>
      </c>
      <c r="F2699" s="6" t="s">
        <v>27</v>
      </c>
      <c r="G2699" s="4" t="s">
        <v>27</v>
      </c>
      <c r="H2699" s="4" t="s">
        <v>27</v>
      </c>
      <c r="I2699" s="4" t="s">
        <v>27</v>
      </c>
      <c r="J2699" s="4" t="s">
        <v>27</v>
      </c>
      <c r="K2699" s="4" t="s">
        <v>27</v>
      </c>
      <c r="L2699" s="4" t="s">
        <v>27</v>
      </c>
      <c r="M2699" s="4" t="s">
        <v>27</v>
      </c>
      <c r="N2699" s="4" t="s">
        <v>27</v>
      </c>
    </row>
    <row r="2700" hidden="1">
      <c r="B2700" s="4" t="s">
        <v>27</v>
      </c>
      <c r="C2700" s="4" t="s">
        <v>27</v>
      </c>
      <c r="D2700" s="6" t="s">
        <v>27</v>
      </c>
      <c r="E2700" s="6" t="s">
        <v>27</v>
      </c>
      <c r="F2700" s="6" t="s">
        <v>27</v>
      </c>
      <c r="G2700" s="4" t="s">
        <v>27</v>
      </c>
      <c r="H2700" s="4" t="s">
        <v>27</v>
      </c>
      <c r="I2700" s="4" t="s">
        <v>27</v>
      </c>
      <c r="J2700" s="4" t="s">
        <v>27</v>
      </c>
      <c r="K2700" s="4" t="s">
        <v>27</v>
      </c>
      <c r="L2700" s="4" t="s">
        <v>27</v>
      </c>
      <c r="M2700" s="4" t="s">
        <v>27</v>
      </c>
      <c r="N2700" s="4" t="s">
        <v>27</v>
      </c>
    </row>
    <row r="2701" hidden="1">
      <c r="B2701" s="4" t="s">
        <v>27</v>
      </c>
      <c r="C2701" s="4" t="s">
        <v>27</v>
      </c>
      <c r="D2701" s="6" t="s">
        <v>27</v>
      </c>
      <c r="E2701" s="6" t="s">
        <v>27</v>
      </c>
      <c r="F2701" s="6" t="s">
        <v>27</v>
      </c>
      <c r="G2701" s="4" t="s">
        <v>27</v>
      </c>
      <c r="H2701" s="4" t="s">
        <v>27</v>
      </c>
      <c r="I2701" s="4" t="s">
        <v>27</v>
      </c>
      <c r="J2701" s="4" t="s">
        <v>27</v>
      </c>
      <c r="K2701" s="4" t="s">
        <v>27</v>
      </c>
      <c r="L2701" s="4" t="s">
        <v>27</v>
      </c>
      <c r="M2701" s="4" t="s">
        <v>27</v>
      </c>
      <c r="N2701" s="4" t="s">
        <v>27</v>
      </c>
    </row>
    <row r="2702" hidden="1">
      <c r="B2702" s="4" t="s">
        <v>27</v>
      </c>
      <c r="C2702" s="4" t="s">
        <v>27</v>
      </c>
      <c r="D2702" s="6" t="s">
        <v>27</v>
      </c>
      <c r="E2702" s="6" t="s">
        <v>27</v>
      </c>
      <c r="F2702" s="6" t="s">
        <v>27</v>
      </c>
      <c r="G2702" s="4" t="s">
        <v>27</v>
      </c>
      <c r="H2702" s="4" t="s">
        <v>27</v>
      </c>
      <c r="I2702" s="4" t="s">
        <v>27</v>
      </c>
      <c r="J2702" s="4" t="s">
        <v>27</v>
      </c>
      <c r="K2702" s="4" t="s">
        <v>27</v>
      </c>
      <c r="L2702" s="4" t="s">
        <v>27</v>
      </c>
      <c r="M2702" s="4" t="s">
        <v>27</v>
      </c>
      <c r="N2702" s="4" t="s">
        <v>27</v>
      </c>
    </row>
    <row r="2703" hidden="1">
      <c r="B2703" s="4" t="s">
        <v>27</v>
      </c>
      <c r="C2703" s="4" t="s">
        <v>27</v>
      </c>
      <c r="D2703" s="6" t="s">
        <v>27</v>
      </c>
      <c r="E2703" s="6" t="s">
        <v>27</v>
      </c>
      <c r="F2703" s="6" t="s">
        <v>27</v>
      </c>
      <c r="G2703" s="4" t="s">
        <v>27</v>
      </c>
      <c r="H2703" s="4" t="s">
        <v>27</v>
      </c>
      <c r="I2703" s="4" t="s">
        <v>27</v>
      </c>
      <c r="J2703" s="4" t="s">
        <v>27</v>
      </c>
      <c r="K2703" s="4" t="s">
        <v>27</v>
      </c>
      <c r="L2703" s="4" t="s">
        <v>27</v>
      </c>
      <c r="M2703" s="4" t="s">
        <v>27</v>
      </c>
      <c r="N2703" s="4" t="s">
        <v>27</v>
      </c>
    </row>
    <row r="2704" hidden="1">
      <c r="B2704" s="4" t="s">
        <v>27</v>
      </c>
      <c r="C2704" s="4" t="s">
        <v>27</v>
      </c>
      <c r="D2704" s="6" t="s">
        <v>27</v>
      </c>
      <c r="E2704" s="6" t="s">
        <v>27</v>
      </c>
      <c r="F2704" s="6" t="s">
        <v>27</v>
      </c>
      <c r="G2704" s="4" t="s">
        <v>27</v>
      </c>
      <c r="H2704" s="4" t="s">
        <v>27</v>
      </c>
      <c r="I2704" s="4" t="s">
        <v>27</v>
      </c>
      <c r="J2704" s="4" t="s">
        <v>27</v>
      </c>
      <c r="K2704" s="4" t="s">
        <v>27</v>
      </c>
      <c r="L2704" s="4" t="s">
        <v>27</v>
      </c>
      <c r="M2704" s="4" t="s">
        <v>27</v>
      </c>
      <c r="N2704" s="4" t="s">
        <v>27</v>
      </c>
    </row>
    <row r="2705" hidden="1">
      <c r="B2705" s="4" t="s">
        <v>27</v>
      </c>
      <c r="C2705" s="4" t="s">
        <v>27</v>
      </c>
      <c r="D2705" s="6" t="s">
        <v>27</v>
      </c>
      <c r="E2705" s="6" t="s">
        <v>27</v>
      </c>
      <c r="F2705" s="6" t="s">
        <v>27</v>
      </c>
      <c r="G2705" s="4" t="s">
        <v>27</v>
      </c>
      <c r="H2705" s="4" t="s">
        <v>27</v>
      </c>
      <c r="I2705" s="4" t="s">
        <v>27</v>
      </c>
      <c r="J2705" s="4" t="s">
        <v>27</v>
      </c>
      <c r="K2705" s="4" t="s">
        <v>27</v>
      </c>
      <c r="L2705" s="4" t="s">
        <v>27</v>
      </c>
      <c r="M2705" s="4" t="s">
        <v>27</v>
      </c>
      <c r="N2705" s="4" t="s">
        <v>27</v>
      </c>
    </row>
    <row r="2706" hidden="1">
      <c r="B2706" s="4" t="s">
        <v>27</v>
      </c>
      <c r="C2706" s="4" t="s">
        <v>27</v>
      </c>
      <c r="D2706" s="6" t="s">
        <v>27</v>
      </c>
      <c r="E2706" s="6" t="s">
        <v>27</v>
      </c>
      <c r="F2706" s="6" t="s">
        <v>27</v>
      </c>
      <c r="G2706" s="4" t="s">
        <v>27</v>
      </c>
      <c r="H2706" s="4" t="s">
        <v>27</v>
      </c>
      <c r="I2706" s="4" t="s">
        <v>27</v>
      </c>
      <c r="J2706" s="4" t="s">
        <v>27</v>
      </c>
      <c r="K2706" s="4" t="s">
        <v>27</v>
      </c>
      <c r="L2706" s="4" t="s">
        <v>27</v>
      </c>
      <c r="M2706" s="4" t="s">
        <v>27</v>
      </c>
      <c r="N2706" s="4" t="s">
        <v>27</v>
      </c>
    </row>
    <row r="2707" hidden="1">
      <c r="B2707" s="4" t="s">
        <v>27</v>
      </c>
      <c r="C2707" s="4" t="s">
        <v>27</v>
      </c>
      <c r="D2707" s="6" t="s">
        <v>27</v>
      </c>
      <c r="E2707" s="6" t="s">
        <v>27</v>
      </c>
      <c r="F2707" s="6" t="s">
        <v>27</v>
      </c>
      <c r="G2707" s="4" t="s">
        <v>27</v>
      </c>
      <c r="H2707" s="4" t="s">
        <v>27</v>
      </c>
      <c r="I2707" s="4" t="s">
        <v>27</v>
      </c>
      <c r="J2707" s="4" t="s">
        <v>27</v>
      </c>
      <c r="K2707" s="4" t="s">
        <v>27</v>
      </c>
      <c r="L2707" s="4" t="s">
        <v>27</v>
      </c>
      <c r="M2707" s="4" t="s">
        <v>27</v>
      </c>
      <c r="N2707" s="4" t="s">
        <v>27</v>
      </c>
    </row>
    <row r="2708" hidden="1">
      <c r="B2708" s="4" t="s">
        <v>27</v>
      </c>
      <c r="C2708" s="4" t="s">
        <v>27</v>
      </c>
      <c r="D2708" s="6" t="s">
        <v>27</v>
      </c>
      <c r="E2708" s="6" t="s">
        <v>27</v>
      </c>
      <c r="F2708" s="6" t="s">
        <v>27</v>
      </c>
      <c r="G2708" s="4" t="s">
        <v>27</v>
      </c>
      <c r="H2708" s="4" t="s">
        <v>27</v>
      </c>
      <c r="I2708" s="4" t="s">
        <v>27</v>
      </c>
      <c r="J2708" s="4" t="s">
        <v>27</v>
      </c>
      <c r="K2708" s="4" t="s">
        <v>27</v>
      </c>
      <c r="L2708" s="4" t="s">
        <v>27</v>
      </c>
      <c r="M2708" s="4" t="s">
        <v>27</v>
      </c>
      <c r="N2708" s="4" t="s">
        <v>27</v>
      </c>
    </row>
    <row r="2709" hidden="1">
      <c r="B2709" s="4" t="s">
        <v>27</v>
      </c>
      <c r="C2709" s="4" t="s">
        <v>27</v>
      </c>
      <c r="D2709" s="6" t="s">
        <v>27</v>
      </c>
      <c r="E2709" s="6" t="s">
        <v>27</v>
      </c>
      <c r="F2709" s="6" t="s">
        <v>27</v>
      </c>
      <c r="G2709" s="4" t="s">
        <v>27</v>
      </c>
      <c r="H2709" s="4" t="s">
        <v>27</v>
      </c>
      <c r="I2709" s="4" t="s">
        <v>27</v>
      </c>
      <c r="J2709" s="4" t="s">
        <v>27</v>
      </c>
      <c r="K2709" s="4" t="s">
        <v>27</v>
      </c>
      <c r="L2709" s="4" t="s">
        <v>27</v>
      </c>
      <c r="M2709" s="4" t="s">
        <v>27</v>
      </c>
      <c r="N2709" s="4" t="s">
        <v>27</v>
      </c>
    </row>
    <row r="2710" hidden="1">
      <c r="B2710" s="4" t="s">
        <v>27</v>
      </c>
      <c r="C2710" s="4" t="s">
        <v>27</v>
      </c>
      <c r="D2710" s="6" t="s">
        <v>27</v>
      </c>
      <c r="E2710" s="6" t="s">
        <v>27</v>
      </c>
      <c r="F2710" s="6" t="s">
        <v>27</v>
      </c>
      <c r="G2710" s="4" t="s">
        <v>27</v>
      </c>
      <c r="H2710" s="4" t="s">
        <v>27</v>
      </c>
      <c r="I2710" s="4" t="s">
        <v>27</v>
      </c>
      <c r="J2710" s="4" t="s">
        <v>27</v>
      </c>
      <c r="K2710" s="4" t="s">
        <v>27</v>
      </c>
      <c r="L2710" s="4" t="s">
        <v>27</v>
      </c>
      <c r="M2710" s="4" t="s">
        <v>27</v>
      </c>
      <c r="N2710" s="4" t="s">
        <v>27</v>
      </c>
    </row>
    <row r="2711" hidden="1">
      <c r="B2711" s="4" t="s">
        <v>27</v>
      </c>
      <c r="C2711" s="4" t="s">
        <v>27</v>
      </c>
      <c r="D2711" s="6" t="s">
        <v>27</v>
      </c>
      <c r="E2711" s="6" t="s">
        <v>27</v>
      </c>
      <c r="F2711" s="6" t="s">
        <v>27</v>
      </c>
      <c r="G2711" s="4" t="s">
        <v>27</v>
      </c>
      <c r="H2711" s="4" t="s">
        <v>27</v>
      </c>
      <c r="I2711" s="4" t="s">
        <v>27</v>
      </c>
      <c r="J2711" s="4" t="s">
        <v>27</v>
      </c>
      <c r="K2711" s="4" t="s">
        <v>27</v>
      </c>
      <c r="L2711" s="4" t="s">
        <v>27</v>
      </c>
      <c r="M2711" s="4" t="s">
        <v>27</v>
      </c>
      <c r="N2711" s="4" t="s">
        <v>27</v>
      </c>
    </row>
    <row r="2712" hidden="1">
      <c r="B2712" s="4" t="s">
        <v>27</v>
      </c>
      <c r="C2712" s="4" t="s">
        <v>27</v>
      </c>
      <c r="D2712" s="6" t="s">
        <v>27</v>
      </c>
      <c r="E2712" s="6" t="s">
        <v>27</v>
      </c>
      <c r="F2712" s="6" t="s">
        <v>27</v>
      </c>
      <c r="G2712" s="4" t="s">
        <v>27</v>
      </c>
      <c r="H2712" s="4" t="s">
        <v>27</v>
      </c>
      <c r="I2712" s="4" t="s">
        <v>27</v>
      </c>
      <c r="J2712" s="4" t="s">
        <v>27</v>
      </c>
      <c r="K2712" s="4" t="s">
        <v>27</v>
      </c>
      <c r="L2712" s="4" t="s">
        <v>27</v>
      </c>
      <c r="M2712" s="4" t="s">
        <v>27</v>
      </c>
      <c r="N2712" s="4" t="s">
        <v>27</v>
      </c>
    </row>
    <row r="2713" hidden="1">
      <c r="B2713" s="4" t="s">
        <v>27</v>
      </c>
      <c r="C2713" s="4" t="s">
        <v>27</v>
      </c>
      <c r="D2713" s="6" t="s">
        <v>27</v>
      </c>
      <c r="E2713" s="6" t="s">
        <v>27</v>
      </c>
      <c r="F2713" s="6" t="s">
        <v>27</v>
      </c>
      <c r="G2713" s="4" t="s">
        <v>27</v>
      </c>
      <c r="H2713" s="4" t="s">
        <v>27</v>
      </c>
      <c r="I2713" s="4" t="s">
        <v>27</v>
      </c>
      <c r="J2713" s="4" t="s">
        <v>27</v>
      </c>
      <c r="K2713" s="4" t="s">
        <v>27</v>
      </c>
      <c r="L2713" s="4" t="s">
        <v>27</v>
      </c>
      <c r="M2713" s="4" t="s">
        <v>27</v>
      </c>
      <c r="N2713" s="4" t="s">
        <v>27</v>
      </c>
    </row>
    <row r="2714" hidden="1">
      <c r="B2714" s="4" t="s">
        <v>27</v>
      </c>
      <c r="C2714" s="4" t="s">
        <v>27</v>
      </c>
      <c r="D2714" s="6" t="s">
        <v>27</v>
      </c>
      <c r="E2714" s="6" t="s">
        <v>27</v>
      </c>
      <c r="F2714" s="6" t="s">
        <v>27</v>
      </c>
      <c r="G2714" s="4" t="s">
        <v>27</v>
      </c>
      <c r="H2714" s="4" t="s">
        <v>27</v>
      </c>
      <c r="I2714" s="4" t="s">
        <v>27</v>
      </c>
      <c r="J2714" s="4" t="s">
        <v>27</v>
      </c>
      <c r="K2714" s="4" t="s">
        <v>27</v>
      </c>
      <c r="L2714" s="4" t="s">
        <v>27</v>
      </c>
      <c r="M2714" s="4" t="s">
        <v>27</v>
      </c>
      <c r="N2714" s="4" t="s">
        <v>27</v>
      </c>
    </row>
    <row r="2715" hidden="1">
      <c r="B2715" s="4" t="s">
        <v>27</v>
      </c>
      <c r="C2715" s="4" t="s">
        <v>27</v>
      </c>
      <c r="D2715" s="6" t="s">
        <v>27</v>
      </c>
      <c r="E2715" s="6" t="s">
        <v>27</v>
      </c>
      <c r="F2715" s="6" t="s">
        <v>27</v>
      </c>
      <c r="G2715" s="4" t="s">
        <v>27</v>
      </c>
      <c r="H2715" s="4" t="s">
        <v>27</v>
      </c>
      <c r="I2715" s="4" t="s">
        <v>27</v>
      </c>
      <c r="J2715" s="4" t="s">
        <v>27</v>
      </c>
      <c r="K2715" s="4" t="s">
        <v>27</v>
      </c>
      <c r="L2715" s="4" t="s">
        <v>27</v>
      </c>
      <c r="M2715" s="4" t="s">
        <v>27</v>
      </c>
      <c r="N2715" s="4" t="s">
        <v>27</v>
      </c>
    </row>
    <row r="2716" hidden="1">
      <c r="B2716" s="4" t="s">
        <v>27</v>
      </c>
      <c r="C2716" s="4" t="s">
        <v>27</v>
      </c>
      <c r="D2716" s="6" t="s">
        <v>27</v>
      </c>
      <c r="E2716" s="6" t="s">
        <v>27</v>
      </c>
      <c r="F2716" s="6" t="s">
        <v>27</v>
      </c>
      <c r="G2716" s="4" t="s">
        <v>27</v>
      </c>
      <c r="H2716" s="4" t="s">
        <v>27</v>
      </c>
      <c r="I2716" s="4" t="s">
        <v>27</v>
      </c>
      <c r="J2716" s="4" t="s">
        <v>27</v>
      </c>
      <c r="K2716" s="4" t="s">
        <v>27</v>
      </c>
      <c r="L2716" s="4" t="s">
        <v>27</v>
      </c>
      <c r="M2716" s="4" t="s">
        <v>27</v>
      </c>
      <c r="N2716" s="4" t="s">
        <v>27</v>
      </c>
    </row>
    <row r="2717" hidden="1">
      <c r="B2717" s="4" t="s">
        <v>27</v>
      </c>
      <c r="C2717" s="4" t="s">
        <v>27</v>
      </c>
      <c r="D2717" s="6" t="s">
        <v>27</v>
      </c>
      <c r="E2717" s="6" t="s">
        <v>27</v>
      </c>
      <c r="F2717" s="6" t="s">
        <v>27</v>
      </c>
      <c r="G2717" s="4" t="s">
        <v>27</v>
      </c>
      <c r="H2717" s="4" t="s">
        <v>27</v>
      </c>
      <c r="I2717" s="4" t="s">
        <v>27</v>
      </c>
      <c r="J2717" s="4" t="s">
        <v>27</v>
      </c>
      <c r="K2717" s="4" t="s">
        <v>27</v>
      </c>
      <c r="L2717" s="4" t="s">
        <v>27</v>
      </c>
      <c r="M2717" s="4" t="s">
        <v>27</v>
      </c>
      <c r="N2717" s="4" t="s">
        <v>27</v>
      </c>
    </row>
    <row r="2718" hidden="1">
      <c r="B2718" s="4" t="s">
        <v>27</v>
      </c>
      <c r="C2718" s="4" t="s">
        <v>27</v>
      </c>
      <c r="D2718" s="6" t="s">
        <v>27</v>
      </c>
      <c r="E2718" s="6" t="s">
        <v>27</v>
      </c>
      <c r="F2718" s="6" t="s">
        <v>27</v>
      </c>
      <c r="G2718" s="4" t="s">
        <v>27</v>
      </c>
      <c r="H2718" s="4" t="s">
        <v>27</v>
      </c>
      <c r="I2718" s="4" t="s">
        <v>27</v>
      </c>
      <c r="J2718" s="4" t="s">
        <v>27</v>
      </c>
      <c r="K2718" s="4" t="s">
        <v>27</v>
      </c>
      <c r="L2718" s="4" t="s">
        <v>27</v>
      </c>
      <c r="M2718" s="4" t="s">
        <v>27</v>
      </c>
      <c r="N2718" s="4" t="s">
        <v>27</v>
      </c>
    </row>
    <row r="2719" hidden="1">
      <c r="B2719" s="4" t="s">
        <v>27</v>
      </c>
      <c r="C2719" s="4" t="s">
        <v>27</v>
      </c>
      <c r="D2719" s="6" t="s">
        <v>27</v>
      </c>
      <c r="E2719" s="6" t="s">
        <v>27</v>
      </c>
      <c r="F2719" s="6" t="s">
        <v>27</v>
      </c>
      <c r="G2719" s="4" t="s">
        <v>27</v>
      </c>
      <c r="H2719" s="4" t="s">
        <v>27</v>
      </c>
      <c r="I2719" s="4" t="s">
        <v>27</v>
      </c>
      <c r="J2719" s="4" t="s">
        <v>27</v>
      </c>
      <c r="K2719" s="4" t="s">
        <v>27</v>
      </c>
      <c r="L2719" s="4" t="s">
        <v>27</v>
      </c>
      <c r="M2719" s="4" t="s">
        <v>27</v>
      </c>
      <c r="N2719" s="4" t="s">
        <v>27</v>
      </c>
    </row>
    <row r="2720" hidden="1">
      <c r="B2720" s="4" t="s">
        <v>27</v>
      </c>
      <c r="C2720" s="4" t="s">
        <v>27</v>
      </c>
      <c r="D2720" s="6" t="s">
        <v>27</v>
      </c>
      <c r="E2720" s="6" t="s">
        <v>27</v>
      </c>
      <c r="F2720" s="6" t="s">
        <v>27</v>
      </c>
      <c r="G2720" s="4" t="s">
        <v>27</v>
      </c>
      <c r="H2720" s="4" t="s">
        <v>27</v>
      </c>
      <c r="I2720" s="4" t="s">
        <v>27</v>
      </c>
      <c r="J2720" s="4" t="s">
        <v>27</v>
      </c>
      <c r="K2720" s="4" t="s">
        <v>27</v>
      </c>
      <c r="L2720" s="4" t="s">
        <v>27</v>
      </c>
      <c r="M2720" s="4" t="s">
        <v>27</v>
      </c>
      <c r="N2720" s="4" t="s">
        <v>27</v>
      </c>
    </row>
    <row r="2721" hidden="1">
      <c r="B2721" s="4" t="s">
        <v>27</v>
      </c>
      <c r="C2721" s="4" t="s">
        <v>27</v>
      </c>
      <c r="D2721" s="6" t="s">
        <v>27</v>
      </c>
      <c r="E2721" s="6" t="s">
        <v>27</v>
      </c>
      <c r="F2721" s="6" t="s">
        <v>27</v>
      </c>
      <c r="G2721" s="4" t="s">
        <v>27</v>
      </c>
      <c r="H2721" s="4" t="s">
        <v>27</v>
      </c>
      <c r="I2721" s="4" t="s">
        <v>27</v>
      </c>
      <c r="J2721" s="4" t="s">
        <v>27</v>
      </c>
      <c r="K2721" s="4" t="s">
        <v>27</v>
      </c>
      <c r="L2721" s="4" t="s">
        <v>27</v>
      </c>
      <c r="M2721" s="4" t="s">
        <v>27</v>
      </c>
      <c r="N2721" s="4" t="s">
        <v>27</v>
      </c>
    </row>
    <row r="2722" hidden="1">
      <c r="B2722" s="4" t="s">
        <v>27</v>
      </c>
      <c r="C2722" s="4" t="s">
        <v>27</v>
      </c>
      <c r="D2722" s="6" t="s">
        <v>27</v>
      </c>
      <c r="E2722" s="6" t="s">
        <v>27</v>
      </c>
      <c r="F2722" s="6" t="s">
        <v>27</v>
      </c>
      <c r="G2722" s="4" t="s">
        <v>27</v>
      </c>
      <c r="H2722" s="4" t="s">
        <v>27</v>
      </c>
      <c r="I2722" s="4" t="s">
        <v>27</v>
      </c>
      <c r="J2722" s="4" t="s">
        <v>27</v>
      </c>
      <c r="K2722" s="4" t="s">
        <v>27</v>
      </c>
      <c r="L2722" s="4" t="s">
        <v>27</v>
      </c>
      <c r="M2722" s="4" t="s">
        <v>27</v>
      </c>
      <c r="N2722" s="4" t="s">
        <v>27</v>
      </c>
    </row>
    <row r="2723" hidden="1">
      <c r="B2723" s="4" t="s">
        <v>27</v>
      </c>
      <c r="C2723" s="4" t="s">
        <v>27</v>
      </c>
      <c r="D2723" s="6" t="s">
        <v>27</v>
      </c>
      <c r="E2723" s="6" t="s">
        <v>27</v>
      </c>
      <c r="F2723" s="6" t="s">
        <v>27</v>
      </c>
      <c r="G2723" s="4" t="s">
        <v>27</v>
      </c>
      <c r="H2723" s="4" t="s">
        <v>27</v>
      </c>
      <c r="I2723" s="4" t="s">
        <v>27</v>
      </c>
      <c r="J2723" s="4" t="s">
        <v>27</v>
      </c>
      <c r="K2723" s="4" t="s">
        <v>27</v>
      </c>
      <c r="L2723" s="4" t="s">
        <v>27</v>
      </c>
      <c r="M2723" s="4" t="s">
        <v>27</v>
      </c>
      <c r="N2723" s="4" t="s">
        <v>27</v>
      </c>
    </row>
    <row r="2724" hidden="1">
      <c r="B2724" s="4" t="s">
        <v>27</v>
      </c>
      <c r="C2724" s="4" t="s">
        <v>27</v>
      </c>
      <c r="D2724" s="6" t="s">
        <v>27</v>
      </c>
      <c r="E2724" s="6" t="s">
        <v>27</v>
      </c>
      <c r="F2724" s="6" t="s">
        <v>27</v>
      </c>
      <c r="G2724" s="4" t="s">
        <v>27</v>
      </c>
      <c r="H2724" s="4" t="s">
        <v>27</v>
      </c>
      <c r="I2724" s="4" t="s">
        <v>27</v>
      </c>
      <c r="J2724" s="4" t="s">
        <v>27</v>
      </c>
      <c r="K2724" s="4" t="s">
        <v>27</v>
      </c>
      <c r="L2724" s="4" t="s">
        <v>27</v>
      </c>
      <c r="M2724" s="4" t="s">
        <v>27</v>
      </c>
      <c r="N2724" s="4" t="s">
        <v>27</v>
      </c>
    </row>
    <row r="2725" hidden="1">
      <c r="B2725" s="4" t="s">
        <v>27</v>
      </c>
      <c r="C2725" s="4" t="s">
        <v>27</v>
      </c>
      <c r="D2725" s="6" t="s">
        <v>27</v>
      </c>
      <c r="E2725" s="6" t="s">
        <v>27</v>
      </c>
      <c r="F2725" s="6" t="s">
        <v>27</v>
      </c>
      <c r="G2725" s="4" t="s">
        <v>27</v>
      </c>
      <c r="H2725" s="4" t="s">
        <v>27</v>
      </c>
      <c r="I2725" s="4" t="s">
        <v>27</v>
      </c>
      <c r="J2725" s="4" t="s">
        <v>27</v>
      </c>
      <c r="K2725" s="4" t="s">
        <v>27</v>
      </c>
      <c r="L2725" s="4" t="s">
        <v>27</v>
      </c>
      <c r="M2725" s="4" t="s">
        <v>27</v>
      </c>
      <c r="N2725" s="4" t="s">
        <v>27</v>
      </c>
    </row>
    <row r="2726" hidden="1">
      <c r="B2726" s="4" t="s">
        <v>27</v>
      </c>
      <c r="C2726" s="4" t="s">
        <v>27</v>
      </c>
      <c r="D2726" s="6" t="s">
        <v>27</v>
      </c>
      <c r="E2726" s="6" t="s">
        <v>27</v>
      </c>
      <c r="F2726" s="6" t="s">
        <v>27</v>
      </c>
      <c r="G2726" s="4" t="s">
        <v>27</v>
      </c>
      <c r="H2726" s="4" t="s">
        <v>27</v>
      </c>
      <c r="I2726" s="4" t="s">
        <v>27</v>
      </c>
      <c r="J2726" s="4" t="s">
        <v>27</v>
      </c>
      <c r="K2726" s="4" t="s">
        <v>27</v>
      </c>
      <c r="L2726" s="4" t="s">
        <v>27</v>
      </c>
      <c r="M2726" s="4" t="s">
        <v>27</v>
      </c>
      <c r="N2726" s="4" t="s">
        <v>27</v>
      </c>
    </row>
    <row r="2727" hidden="1">
      <c r="B2727" s="4" t="s">
        <v>27</v>
      </c>
      <c r="C2727" s="4" t="s">
        <v>27</v>
      </c>
      <c r="D2727" s="6" t="s">
        <v>27</v>
      </c>
      <c r="E2727" s="6" t="s">
        <v>27</v>
      </c>
      <c r="F2727" s="6" t="s">
        <v>27</v>
      </c>
      <c r="G2727" s="4" t="s">
        <v>27</v>
      </c>
      <c r="H2727" s="4" t="s">
        <v>27</v>
      </c>
      <c r="I2727" s="4" t="s">
        <v>27</v>
      </c>
      <c r="J2727" s="4" t="s">
        <v>27</v>
      </c>
      <c r="K2727" s="4" t="s">
        <v>27</v>
      </c>
      <c r="L2727" s="4" t="s">
        <v>27</v>
      </c>
      <c r="M2727" s="4" t="s">
        <v>27</v>
      </c>
      <c r="N2727" s="4" t="s">
        <v>27</v>
      </c>
    </row>
    <row r="2728" hidden="1">
      <c r="B2728" s="4" t="s">
        <v>27</v>
      </c>
      <c r="C2728" s="4" t="s">
        <v>27</v>
      </c>
      <c r="D2728" s="6" t="s">
        <v>27</v>
      </c>
      <c r="E2728" s="6" t="s">
        <v>27</v>
      </c>
      <c r="F2728" s="6" t="s">
        <v>27</v>
      </c>
      <c r="G2728" s="4" t="s">
        <v>27</v>
      </c>
      <c r="H2728" s="4" t="s">
        <v>27</v>
      </c>
      <c r="I2728" s="4" t="s">
        <v>27</v>
      </c>
      <c r="J2728" s="4" t="s">
        <v>27</v>
      </c>
      <c r="K2728" s="4" t="s">
        <v>27</v>
      </c>
      <c r="L2728" s="4" t="s">
        <v>27</v>
      </c>
      <c r="M2728" s="4" t="s">
        <v>27</v>
      </c>
      <c r="N2728" s="4" t="s">
        <v>27</v>
      </c>
    </row>
    <row r="2729" hidden="1">
      <c r="B2729" s="4" t="s">
        <v>27</v>
      </c>
      <c r="C2729" s="4" t="s">
        <v>27</v>
      </c>
      <c r="D2729" s="6" t="s">
        <v>27</v>
      </c>
      <c r="E2729" s="6" t="s">
        <v>27</v>
      </c>
      <c r="F2729" s="6" t="s">
        <v>27</v>
      </c>
      <c r="G2729" s="4" t="s">
        <v>27</v>
      </c>
      <c r="H2729" s="4" t="s">
        <v>27</v>
      </c>
      <c r="I2729" s="4" t="s">
        <v>27</v>
      </c>
      <c r="J2729" s="4" t="s">
        <v>27</v>
      </c>
      <c r="K2729" s="4" t="s">
        <v>27</v>
      </c>
      <c r="L2729" s="4" t="s">
        <v>27</v>
      </c>
      <c r="M2729" s="4" t="s">
        <v>27</v>
      </c>
      <c r="N2729" s="4" t="s">
        <v>27</v>
      </c>
    </row>
    <row r="2730" hidden="1">
      <c r="B2730" s="4" t="s">
        <v>27</v>
      </c>
      <c r="C2730" s="4" t="s">
        <v>27</v>
      </c>
      <c r="D2730" s="6" t="s">
        <v>27</v>
      </c>
      <c r="E2730" s="6" t="s">
        <v>27</v>
      </c>
      <c r="F2730" s="6" t="s">
        <v>27</v>
      </c>
      <c r="G2730" s="4" t="s">
        <v>27</v>
      </c>
      <c r="H2730" s="4" t="s">
        <v>27</v>
      </c>
      <c r="I2730" s="4" t="s">
        <v>27</v>
      </c>
      <c r="J2730" s="4" t="s">
        <v>27</v>
      </c>
      <c r="K2730" s="4" t="s">
        <v>27</v>
      </c>
      <c r="L2730" s="4" t="s">
        <v>27</v>
      </c>
      <c r="M2730" s="4" t="s">
        <v>27</v>
      </c>
      <c r="N2730" s="4" t="s">
        <v>27</v>
      </c>
    </row>
    <row r="2731" hidden="1">
      <c r="B2731" s="4" t="s">
        <v>27</v>
      </c>
      <c r="C2731" s="4" t="s">
        <v>27</v>
      </c>
      <c r="D2731" s="6" t="s">
        <v>27</v>
      </c>
      <c r="E2731" s="6" t="s">
        <v>27</v>
      </c>
      <c r="F2731" s="6" t="s">
        <v>27</v>
      </c>
      <c r="G2731" s="4" t="s">
        <v>27</v>
      </c>
      <c r="H2731" s="4" t="s">
        <v>27</v>
      </c>
      <c r="I2731" s="4" t="s">
        <v>27</v>
      </c>
      <c r="J2731" s="4" t="s">
        <v>27</v>
      </c>
      <c r="K2731" s="4" t="s">
        <v>27</v>
      </c>
      <c r="L2731" s="4" t="s">
        <v>27</v>
      </c>
      <c r="M2731" s="4" t="s">
        <v>27</v>
      </c>
      <c r="N2731" s="4" t="s">
        <v>27</v>
      </c>
    </row>
    <row r="2732" hidden="1">
      <c r="B2732" s="4" t="s">
        <v>27</v>
      </c>
      <c r="C2732" s="4" t="s">
        <v>27</v>
      </c>
      <c r="D2732" s="6" t="s">
        <v>27</v>
      </c>
      <c r="E2732" s="6" t="s">
        <v>27</v>
      </c>
      <c r="F2732" s="6" t="s">
        <v>27</v>
      </c>
      <c r="G2732" s="4" t="s">
        <v>27</v>
      </c>
      <c r="H2732" s="4" t="s">
        <v>27</v>
      </c>
      <c r="I2732" s="4" t="s">
        <v>27</v>
      </c>
      <c r="J2732" s="4" t="s">
        <v>27</v>
      </c>
      <c r="K2732" s="4" t="s">
        <v>27</v>
      </c>
      <c r="L2732" s="4" t="s">
        <v>27</v>
      </c>
      <c r="M2732" s="4" t="s">
        <v>27</v>
      </c>
      <c r="N2732" s="4" t="s">
        <v>27</v>
      </c>
    </row>
    <row r="2733" hidden="1">
      <c r="B2733" s="4" t="s">
        <v>27</v>
      </c>
      <c r="C2733" s="4" t="s">
        <v>27</v>
      </c>
      <c r="D2733" s="6" t="s">
        <v>27</v>
      </c>
      <c r="E2733" s="6" t="s">
        <v>27</v>
      </c>
      <c r="F2733" s="6" t="s">
        <v>27</v>
      </c>
      <c r="G2733" s="4" t="s">
        <v>27</v>
      </c>
      <c r="H2733" s="4" t="s">
        <v>27</v>
      </c>
      <c r="I2733" s="4" t="s">
        <v>27</v>
      </c>
      <c r="J2733" s="4" t="s">
        <v>27</v>
      </c>
      <c r="K2733" s="4" t="s">
        <v>27</v>
      </c>
      <c r="L2733" s="4" t="s">
        <v>27</v>
      </c>
      <c r="M2733" s="4" t="s">
        <v>27</v>
      </c>
      <c r="N2733" s="4" t="s">
        <v>27</v>
      </c>
    </row>
    <row r="2734" hidden="1">
      <c r="B2734" s="4" t="s">
        <v>27</v>
      </c>
      <c r="C2734" s="4" t="s">
        <v>27</v>
      </c>
      <c r="D2734" s="6" t="s">
        <v>27</v>
      </c>
      <c r="E2734" s="6" t="s">
        <v>27</v>
      </c>
      <c r="F2734" s="6" t="s">
        <v>27</v>
      </c>
      <c r="G2734" s="4" t="s">
        <v>27</v>
      </c>
      <c r="H2734" s="4" t="s">
        <v>27</v>
      </c>
      <c r="I2734" s="4" t="s">
        <v>27</v>
      </c>
      <c r="J2734" s="4" t="s">
        <v>27</v>
      </c>
      <c r="K2734" s="4" t="s">
        <v>27</v>
      </c>
      <c r="L2734" s="4" t="s">
        <v>27</v>
      </c>
      <c r="M2734" s="4" t="s">
        <v>27</v>
      </c>
      <c r="N2734" s="4" t="s">
        <v>27</v>
      </c>
    </row>
    <row r="2735" hidden="1">
      <c r="B2735" s="4" t="s">
        <v>27</v>
      </c>
      <c r="C2735" s="4" t="s">
        <v>27</v>
      </c>
      <c r="D2735" s="6" t="s">
        <v>27</v>
      </c>
      <c r="E2735" s="6" t="s">
        <v>27</v>
      </c>
      <c r="F2735" s="6" t="s">
        <v>27</v>
      </c>
      <c r="G2735" s="4" t="s">
        <v>27</v>
      </c>
      <c r="H2735" s="4" t="s">
        <v>27</v>
      </c>
      <c r="I2735" s="4" t="s">
        <v>27</v>
      </c>
      <c r="J2735" s="4" t="s">
        <v>27</v>
      </c>
      <c r="K2735" s="4" t="s">
        <v>27</v>
      </c>
      <c r="L2735" s="4" t="s">
        <v>27</v>
      </c>
      <c r="M2735" s="4" t="s">
        <v>27</v>
      </c>
      <c r="N2735" s="4" t="s">
        <v>27</v>
      </c>
    </row>
    <row r="2736" hidden="1">
      <c r="B2736" s="4" t="s">
        <v>27</v>
      </c>
      <c r="C2736" s="4" t="s">
        <v>27</v>
      </c>
      <c r="D2736" s="6" t="s">
        <v>27</v>
      </c>
      <c r="E2736" s="6" t="s">
        <v>27</v>
      </c>
      <c r="F2736" s="6" t="s">
        <v>27</v>
      </c>
      <c r="G2736" s="4" t="s">
        <v>27</v>
      </c>
      <c r="H2736" s="4" t="s">
        <v>27</v>
      </c>
      <c r="I2736" s="4" t="s">
        <v>27</v>
      </c>
      <c r="J2736" s="4" t="s">
        <v>27</v>
      </c>
      <c r="K2736" s="4" t="s">
        <v>27</v>
      </c>
      <c r="L2736" s="4" t="s">
        <v>27</v>
      </c>
      <c r="M2736" s="4" t="s">
        <v>27</v>
      </c>
      <c r="N2736" s="4" t="s">
        <v>27</v>
      </c>
    </row>
    <row r="2737" hidden="1">
      <c r="B2737" s="4" t="s">
        <v>27</v>
      </c>
      <c r="C2737" s="4" t="s">
        <v>27</v>
      </c>
      <c r="D2737" s="6" t="s">
        <v>27</v>
      </c>
      <c r="E2737" s="6" t="s">
        <v>27</v>
      </c>
      <c r="F2737" s="6" t="s">
        <v>27</v>
      </c>
      <c r="G2737" s="4" t="s">
        <v>27</v>
      </c>
      <c r="H2737" s="4" t="s">
        <v>27</v>
      </c>
      <c r="I2737" s="4" t="s">
        <v>27</v>
      </c>
      <c r="J2737" s="4" t="s">
        <v>27</v>
      </c>
      <c r="K2737" s="4" t="s">
        <v>27</v>
      </c>
      <c r="L2737" s="4" t="s">
        <v>27</v>
      </c>
      <c r="M2737" s="4" t="s">
        <v>27</v>
      </c>
      <c r="N2737" s="4" t="s">
        <v>27</v>
      </c>
    </row>
    <row r="2738" hidden="1">
      <c r="B2738" s="4" t="s">
        <v>27</v>
      </c>
      <c r="C2738" s="4" t="s">
        <v>27</v>
      </c>
      <c r="D2738" s="6" t="s">
        <v>27</v>
      </c>
      <c r="E2738" s="6" t="s">
        <v>27</v>
      </c>
      <c r="F2738" s="6" t="s">
        <v>27</v>
      </c>
      <c r="G2738" s="4" t="s">
        <v>27</v>
      </c>
      <c r="H2738" s="4" t="s">
        <v>27</v>
      </c>
      <c r="I2738" s="4" t="s">
        <v>27</v>
      </c>
      <c r="J2738" s="4" t="s">
        <v>27</v>
      </c>
      <c r="K2738" s="4" t="s">
        <v>27</v>
      </c>
      <c r="L2738" s="4" t="s">
        <v>27</v>
      </c>
      <c r="M2738" s="4" t="s">
        <v>27</v>
      </c>
      <c r="N2738" s="4" t="s">
        <v>27</v>
      </c>
    </row>
    <row r="2739" hidden="1">
      <c r="B2739" s="4" t="s">
        <v>27</v>
      </c>
      <c r="C2739" s="4" t="s">
        <v>27</v>
      </c>
      <c r="D2739" s="6" t="s">
        <v>27</v>
      </c>
      <c r="E2739" s="6" t="s">
        <v>27</v>
      </c>
      <c r="F2739" s="6" t="s">
        <v>27</v>
      </c>
      <c r="G2739" s="4" t="s">
        <v>27</v>
      </c>
      <c r="H2739" s="4" t="s">
        <v>27</v>
      </c>
      <c r="I2739" s="4" t="s">
        <v>27</v>
      </c>
      <c r="J2739" s="4" t="s">
        <v>27</v>
      </c>
      <c r="K2739" s="4" t="s">
        <v>27</v>
      </c>
      <c r="L2739" s="4" t="s">
        <v>27</v>
      </c>
      <c r="M2739" s="4" t="s">
        <v>27</v>
      </c>
      <c r="N2739" s="4" t="s">
        <v>27</v>
      </c>
    </row>
    <row r="2740" hidden="1">
      <c r="B2740" s="4" t="s">
        <v>27</v>
      </c>
      <c r="C2740" s="4" t="s">
        <v>27</v>
      </c>
      <c r="D2740" s="6" t="s">
        <v>27</v>
      </c>
      <c r="E2740" s="6" t="s">
        <v>27</v>
      </c>
      <c r="F2740" s="6" t="s">
        <v>27</v>
      </c>
      <c r="G2740" s="4" t="s">
        <v>27</v>
      </c>
      <c r="H2740" s="4" t="s">
        <v>27</v>
      </c>
      <c r="I2740" s="4" t="s">
        <v>27</v>
      </c>
      <c r="J2740" s="4" t="s">
        <v>27</v>
      </c>
      <c r="K2740" s="4" t="s">
        <v>27</v>
      </c>
      <c r="L2740" s="4" t="s">
        <v>27</v>
      </c>
      <c r="M2740" s="4" t="s">
        <v>27</v>
      </c>
      <c r="N2740" s="4" t="s">
        <v>27</v>
      </c>
    </row>
    <row r="2741" hidden="1">
      <c r="B2741" s="4" t="s">
        <v>27</v>
      </c>
      <c r="C2741" s="4" t="s">
        <v>27</v>
      </c>
      <c r="D2741" s="6" t="s">
        <v>27</v>
      </c>
      <c r="E2741" s="6" t="s">
        <v>27</v>
      </c>
      <c r="F2741" s="6" t="s">
        <v>27</v>
      </c>
      <c r="G2741" s="4" t="s">
        <v>27</v>
      </c>
      <c r="H2741" s="4" t="s">
        <v>27</v>
      </c>
      <c r="I2741" s="4" t="s">
        <v>27</v>
      </c>
      <c r="J2741" s="4" t="s">
        <v>27</v>
      </c>
      <c r="K2741" s="4" t="s">
        <v>27</v>
      </c>
      <c r="L2741" s="4" t="s">
        <v>27</v>
      </c>
      <c r="M2741" s="4" t="s">
        <v>27</v>
      </c>
      <c r="N2741" s="4" t="s">
        <v>27</v>
      </c>
    </row>
    <row r="2742" hidden="1">
      <c r="B2742" s="4" t="s">
        <v>27</v>
      </c>
      <c r="C2742" s="4" t="s">
        <v>27</v>
      </c>
      <c r="D2742" s="6" t="s">
        <v>27</v>
      </c>
      <c r="E2742" s="6" t="s">
        <v>27</v>
      </c>
      <c r="F2742" s="6" t="s">
        <v>27</v>
      </c>
      <c r="G2742" s="4" t="s">
        <v>27</v>
      </c>
      <c r="H2742" s="4" t="s">
        <v>27</v>
      </c>
      <c r="I2742" s="4" t="s">
        <v>27</v>
      </c>
      <c r="J2742" s="4" t="s">
        <v>27</v>
      </c>
      <c r="K2742" s="4" t="s">
        <v>27</v>
      </c>
      <c r="L2742" s="4" t="s">
        <v>27</v>
      </c>
      <c r="M2742" s="4" t="s">
        <v>27</v>
      </c>
      <c r="N2742" s="4" t="s">
        <v>27</v>
      </c>
    </row>
    <row r="2743" hidden="1">
      <c r="B2743" s="4" t="s">
        <v>27</v>
      </c>
      <c r="C2743" s="4" t="s">
        <v>27</v>
      </c>
      <c r="D2743" s="6" t="s">
        <v>27</v>
      </c>
      <c r="E2743" s="6" t="s">
        <v>27</v>
      </c>
      <c r="F2743" s="6" t="s">
        <v>27</v>
      </c>
      <c r="G2743" s="4" t="s">
        <v>27</v>
      </c>
      <c r="H2743" s="4" t="s">
        <v>27</v>
      </c>
      <c r="I2743" s="4" t="s">
        <v>27</v>
      </c>
      <c r="J2743" s="4" t="s">
        <v>27</v>
      </c>
      <c r="K2743" s="4" t="s">
        <v>27</v>
      </c>
      <c r="L2743" s="4" t="s">
        <v>27</v>
      </c>
      <c r="M2743" s="4" t="s">
        <v>27</v>
      </c>
      <c r="N2743" s="4" t="s">
        <v>27</v>
      </c>
    </row>
    <row r="2744" hidden="1">
      <c r="B2744" s="4" t="s">
        <v>27</v>
      </c>
      <c r="C2744" s="4" t="s">
        <v>27</v>
      </c>
      <c r="D2744" s="6" t="s">
        <v>27</v>
      </c>
      <c r="E2744" s="6" t="s">
        <v>27</v>
      </c>
      <c r="F2744" s="6" t="s">
        <v>27</v>
      </c>
      <c r="G2744" s="4" t="s">
        <v>27</v>
      </c>
      <c r="H2744" s="4" t="s">
        <v>27</v>
      </c>
      <c r="I2744" s="4" t="s">
        <v>27</v>
      </c>
      <c r="J2744" s="4" t="s">
        <v>27</v>
      </c>
      <c r="K2744" s="4" t="s">
        <v>27</v>
      </c>
      <c r="L2744" s="4" t="s">
        <v>27</v>
      </c>
      <c r="M2744" s="4" t="s">
        <v>27</v>
      </c>
      <c r="N2744" s="4" t="s">
        <v>27</v>
      </c>
    </row>
    <row r="2745" hidden="1">
      <c r="B2745" s="4" t="s">
        <v>27</v>
      </c>
      <c r="C2745" s="4" t="s">
        <v>27</v>
      </c>
      <c r="D2745" s="6" t="s">
        <v>27</v>
      </c>
      <c r="E2745" s="6" t="s">
        <v>27</v>
      </c>
      <c r="F2745" s="6" t="s">
        <v>27</v>
      </c>
      <c r="G2745" s="4" t="s">
        <v>27</v>
      </c>
      <c r="H2745" s="4" t="s">
        <v>27</v>
      </c>
      <c r="I2745" s="4" t="s">
        <v>27</v>
      </c>
      <c r="J2745" s="4" t="s">
        <v>27</v>
      </c>
      <c r="K2745" s="4" t="s">
        <v>27</v>
      </c>
      <c r="L2745" s="4" t="s">
        <v>27</v>
      </c>
      <c r="M2745" s="4" t="s">
        <v>27</v>
      </c>
      <c r="N2745" s="4" t="s">
        <v>27</v>
      </c>
    </row>
    <row r="2746" hidden="1">
      <c r="B2746" s="4" t="s">
        <v>27</v>
      </c>
      <c r="C2746" s="4" t="s">
        <v>27</v>
      </c>
      <c r="D2746" s="6" t="s">
        <v>27</v>
      </c>
      <c r="E2746" s="6" t="s">
        <v>27</v>
      </c>
      <c r="F2746" s="6" t="s">
        <v>27</v>
      </c>
      <c r="G2746" s="4" t="s">
        <v>27</v>
      </c>
      <c r="H2746" s="4" t="s">
        <v>27</v>
      </c>
      <c r="I2746" s="4" t="s">
        <v>27</v>
      </c>
      <c r="J2746" s="4" t="s">
        <v>27</v>
      </c>
      <c r="K2746" s="4" t="s">
        <v>27</v>
      </c>
      <c r="L2746" s="4" t="s">
        <v>27</v>
      </c>
      <c r="M2746" s="4" t="s">
        <v>27</v>
      </c>
      <c r="N2746" s="4" t="s">
        <v>27</v>
      </c>
    </row>
    <row r="2747" hidden="1">
      <c r="B2747" s="4" t="s">
        <v>27</v>
      </c>
      <c r="C2747" s="4" t="s">
        <v>27</v>
      </c>
      <c r="D2747" s="6" t="s">
        <v>27</v>
      </c>
      <c r="E2747" s="6" t="s">
        <v>27</v>
      </c>
      <c r="F2747" s="6" t="s">
        <v>27</v>
      </c>
      <c r="G2747" s="4" t="s">
        <v>27</v>
      </c>
      <c r="H2747" s="4" t="s">
        <v>27</v>
      </c>
      <c r="I2747" s="4" t="s">
        <v>27</v>
      </c>
      <c r="J2747" s="4" t="s">
        <v>27</v>
      </c>
      <c r="K2747" s="4" t="s">
        <v>27</v>
      </c>
      <c r="L2747" s="4" t="s">
        <v>27</v>
      </c>
      <c r="M2747" s="4" t="s">
        <v>27</v>
      </c>
      <c r="N2747" s="4" t="s">
        <v>27</v>
      </c>
    </row>
    <row r="2748" hidden="1">
      <c r="B2748" s="4" t="s">
        <v>27</v>
      </c>
      <c r="C2748" s="4" t="s">
        <v>27</v>
      </c>
      <c r="D2748" s="6" t="s">
        <v>27</v>
      </c>
      <c r="E2748" s="6" t="s">
        <v>27</v>
      </c>
      <c r="F2748" s="6" t="s">
        <v>27</v>
      </c>
      <c r="G2748" s="4" t="s">
        <v>27</v>
      </c>
      <c r="H2748" s="4" t="s">
        <v>27</v>
      </c>
      <c r="I2748" s="4" t="s">
        <v>27</v>
      </c>
      <c r="J2748" s="4" t="s">
        <v>27</v>
      </c>
      <c r="K2748" s="4" t="s">
        <v>27</v>
      </c>
      <c r="L2748" s="4" t="s">
        <v>27</v>
      </c>
      <c r="M2748" s="4" t="s">
        <v>27</v>
      </c>
      <c r="N2748" s="4" t="s">
        <v>27</v>
      </c>
    </row>
    <row r="2749" hidden="1">
      <c r="B2749" s="4" t="s">
        <v>27</v>
      </c>
      <c r="C2749" s="4" t="s">
        <v>27</v>
      </c>
      <c r="D2749" s="6" t="s">
        <v>27</v>
      </c>
      <c r="E2749" s="6" t="s">
        <v>27</v>
      </c>
      <c r="F2749" s="6" t="s">
        <v>27</v>
      </c>
      <c r="G2749" s="4" t="s">
        <v>27</v>
      </c>
      <c r="H2749" s="4" t="s">
        <v>27</v>
      </c>
      <c r="I2749" s="4" t="s">
        <v>27</v>
      </c>
      <c r="J2749" s="4" t="s">
        <v>27</v>
      </c>
      <c r="K2749" s="4" t="s">
        <v>27</v>
      </c>
      <c r="L2749" s="4" t="s">
        <v>27</v>
      </c>
      <c r="M2749" s="4" t="s">
        <v>27</v>
      </c>
      <c r="N2749" s="4" t="s">
        <v>27</v>
      </c>
    </row>
    <row r="2750" hidden="1">
      <c r="B2750" s="4" t="s">
        <v>27</v>
      </c>
      <c r="C2750" s="4" t="s">
        <v>27</v>
      </c>
      <c r="D2750" s="6" t="s">
        <v>27</v>
      </c>
      <c r="E2750" s="6" t="s">
        <v>27</v>
      </c>
      <c r="F2750" s="6" t="s">
        <v>27</v>
      </c>
      <c r="G2750" s="4" t="s">
        <v>27</v>
      </c>
      <c r="H2750" s="4" t="s">
        <v>27</v>
      </c>
      <c r="I2750" s="4" t="s">
        <v>27</v>
      </c>
      <c r="J2750" s="4" t="s">
        <v>27</v>
      </c>
      <c r="K2750" s="4" t="s">
        <v>27</v>
      </c>
      <c r="L2750" s="4" t="s">
        <v>27</v>
      </c>
      <c r="M2750" s="4" t="s">
        <v>27</v>
      </c>
      <c r="N2750" s="4" t="s">
        <v>27</v>
      </c>
    </row>
    <row r="2751" hidden="1">
      <c r="B2751" s="4" t="s">
        <v>27</v>
      </c>
      <c r="C2751" s="4" t="s">
        <v>27</v>
      </c>
      <c r="D2751" s="6" t="s">
        <v>27</v>
      </c>
      <c r="E2751" s="6" t="s">
        <v>27</v>
      </c>
      <c r="F2751" s="6" t="s">
        <v>27</v>
      </c>
      <c r="G2751" s="4" t="s">
        <v>27</v>
      </c>
      <c r="H2751" s="4" t="s">
        <v>27</v>
      </c>
      <c r="I2751" s="4" t="s">
        <v>27</v>
      </c>
      <c r="J2751" s="4" t="s">
        <v>27</v>
      </c>
      <c r="K2751" s="4" t="s">
        <v>27</v>
      </c>
      <c r="L2751" s="4" t="s">
        <v>27</v>
      </c>
      <c r="M2751" s="4" t="s">
        <v>27</v>
      </c>
      <c r="N2751" s="4" t="s">
        <v>27</v>
      </c>
    </row>
    <row r="2752" hidden="1">
      <c r="B2752" s="4" t="s">
        <v>27</v>
      </c>
      <c r="C2752" s="4" t="s">
        <v>27</v>
      </c>
      <c r="D2752" s="6" t="s">
        <v>27</v>
      </c>
      <c r="E2752" s="6" t="s">
        <v>27</v>
      </c>
      <c r="F2752" s="6" t="s">
        <v>27</v>
      </c>
      <c r="G2752" s="4" t="s">
        <v>27</v>
      </c>
      <c r="H2752" s="4" t="s">
        <v>27</v>
      </c>
      <c r="I2752" s="4" t="s">
        <v>27</v>
      </c>
      <c r="J2752" s="4" t="s">
        <v>27</v>
      </c>
      <c r="K2752" s="4" t="s">
        <v>27</v>
      </c>
      <c r="L2752" s="4" t="s">
        <v>27</v>
      </c>
      <c r="M2752" s="4" t="s">
        <v>27</v>
      </c>
      <c r="N2752" s="4" t="s">
        <v>27</v>
      </c>
    </row>
    <row r="2753" hidden="1">
      <c r="B2753" s="4" t="s">
        <v>27</v>
      </c>
      <c r="C2753" s="4" t="s">
        <v>27</v>
      </c>
      <c r="D2753" s="6" t="s">
        <v>27</v>
      </c>
      <c r="E2753" s="6" t="s">
        <v>27</v>
      </c>
      <c r="F2753" s="6" t="s">
        <v>27</v>
      </c>
      <c r="G2753" s="4" t="s">
        <v>27</v>
      </c>
      <c r="H2753" s="4" t="s">
        <v>27</v>
      </c>
      <c r="I2753" s="4" t="s">
        <v>27</v>
      </c>
      <c r="J2753" s="4" t="s">
        <v>27</v>
      </c>
      <c r="K2753" s="4" t="s">
        <v>27</v>
      </c>
      <c r="L2753" s="4" t="s">
        <v>27</v>
      </c>
      <c r="M2753" s="4" t="s">
        <v>27</v>
      </c>
      <c r="N2753" s="4" t="s">
        <v>27</v>
      </c>
    </row>
    <row r="2754" hidden="1">
      <c r="B2754" s="4" t="s">
        <v>27</v>
      </c>
      <c r="C2754" s="4" t="s">
        <v>27</v>
      </c>
      <c r="D2754" s="6" t="s">
        <v>27</v>
      </c>
      <c r="E2754" s="6" t="s">
        <v>27</v>
      </c>
      <c r="F2754" s="6" t="s">
        <v>27</v>
      </c>
      <c r="G2754" s="4" t="s">
        <v>27</v>
      </c>
      <c r="H2754" s="4" t="s">
        <v>27</v>
      </c>
      <c r="I2754" s="4" t="s">
        <v>27</v>
      </c>
      <c r="J2754" s="4" t="s">
        <v>27</v>
      </c>
      <c r="K2754" s="4" t="s">
        <v>27</v>
      </c>
      <c r="L2754" s="4" t="s">
        <v>27</v>
      </c>
      <c r="M2754" s="4" t="s">
        <v>27</v>
      </c>
      <c r="N2754" s="4" t="s">
        <v>27</v>
      </c>
    </row>
    <row r="2755" hidden="1">
      <c r="B2755" s="4" t="s">
        <v>27</v>
      </c>
      <c r="C2755" s="4" t="s">
        <v>27</v>
      </c>
      <c r="D2755" s="6" t="s">
        <v>27</v>
      </c>
      <c r="E2755" s="6" t="s">
        <v>27</v>
      </c>
      <c r="F2755" s="6" t="s">
        <v>27</v>
      </c>
      <c r="G2755" s="4" t="s">
        <v>27</v>
      </c>
      <c r="H2755" s="4" t="s">
        <v>27</v>
      </c>
      <c r="I2755" s="4" t="s">
        <v>27</v>
      </c>
      <c r="J2755" s="4" t="s">
        <v>27</v>
      </c>
      <c r="K2755" s="4" t="s">
        <v>27</v>
      </c>
      <c r="L2755" s="4" t="s">
        <v>27</v>
      </c>
      <c r="M2755" s="4" t="s">
        <v>27</v>
      </c>
      <c r="N2755" s="4" t="s">
        <v>27</v>
      </c>
    </row>
    <row r="2756" hidden="1">
      <c r="B2756" s="4" t="s">
        <v>27</v>
      </c>
      <c r="C2756" s="4" t="s">
        <v>27</v>
      </c>
      <c r="D2756" s="6" t="s">
        <v>27</v>
      </c>
      <c r="E2756" s="6" t="s">
        <v>27</v>
      </c>
      <c r="F2756" s="6" t="s">
        <v>27</v>
      </c>
      <c r="G2756" s="4" t="s">
        <v>27</v>
      </c>
      <c r="H2756" s="4" t="s">
        <v>27</v>
      </c>
      <c r="I2756" s="4" t="s">
        <v>27</v>
      </c>
      <c r="J2756" s="4" t="s">
        <v>27</v>
      </c>
      <c r="K2756" s="4" t="s">
        <v>27</v>
      </c>
      <c r="L2756" s="4" t="s">
        <v>27</v>
      </c>
      <c r="M2756" s="4" t="s">
        <v>27</v>
      </c>
      <c r="N2756" s="4" t="s">
        <v>27</v>
      </c>
    </row>
    <row r="2757" hidden="1">
      <c r="B2757" s="4" t="s">
        <v>27</v>
      </c>
      <c r="C2757" s="4" t="s">
        <v>27</v>
      </c>
      <c r="D2757" s="6" t="s">
        <v>27</v>
      </c>
      <c r="E2757" s="6" t="s">
        <v>27</v>
      </c>
      <c r="F2757" s="6" t="s">
        <v>27</v>
      </c>
      <c r="G2757" s="4" t="s">
        <v>27</v>
      </c>
      <c r="H2757" s="4" t="s">
        <v>27</v>
      </c>
      <c r="I2757" s="4" t="s">
        <v>27</v>
      </c>
      <c r="J2757" s="4" t="s">
        <v>27</v>
      </c>
      <c r="K2757" s="4" t="s">
        <v>27</v>
      </c>
      <c r="L2757" s="4" t="s">
        <v>27</v>
      </c>
      <c r="M2757" s="4" t="s">
        <v>27</v>
      </c>
      <c r="N2757" s="4" t="s">
        <v>27</v>
      </c>
    </row>
    <row r="2758" hidden="1">
      <c r="B2758" s="4" t="s">
        <v>27</v>
      </c>
      <c r="C2758" s="4" t="s">
        <v>27</v>
      </c>
      <c r="D2758" s="6" t="s">
        <v>27</v>
      </c>
      <c r="E2758" s="6" t="s">
        <v>27</v>
      </c>
      <c r="F2758" s="6" t="s">
        <v>27</v>
      </c>
      <c r="G2758" s="4" t="s">
        <v>27</v>
      </c>
      <c r="H2758" s="4" t="s">
        <v>27</v>
      </c>
      <c r="I2758" s="4" t="s">
        <v>27</v>
      </c>
      <c r="J2758" s="4" t="s">
        <v>27</v>
      </c>
      <c r="K2758" s="4" t="s">
        <v>27</v>
      </c>
      <c r="L2758" s="4" t="s">
        <v>27</v>
      </c>
      <c r="M2758" s="4" t="s">
        <v>27</v>
      </c>
      <c r="N2758" s="4" t="s">
        <v>27</v>
      </c>
    </row>
    <row r="2759" hidden="1">
      <c r="B2759" s="4" t="s">
        <v>27</v>
      </c>
      <c r="C2759" s="4" t="s">
        <v>27</v>
      </c>
      <c r="D2759" s="6" t="s">
        <v>27</v>
      </c>
      <c r="E2759" s="6" t="s">
        <v>27</v>
      </c>
      <c r="F2759" s="6" t="s">
        <v>27</v>
      </c>
      <c r="G2759" s="4" t="s">
        <v>27</v>
      </c>
      <c r="H2759" s="4" t="s">
        <v>27</v>
      </c>
      <c r="I2759" s="4" t="s">
        <v>27</v>
      </c>
      <c r="J2759" s="4" t="s">
        <v>27</v>
      </c>
      <c r="K2759" s="4" t="s">
        <v>27</v>
      </c>
      <c r="L2759" s="4" t="s">
        <v>27</v>
      </c>
      <c r="M2759" s="4" t="s">
        <v>27</v>
      </c>
      <c r="N2759" s="4" t="s">
        <v>27</v>
      </c>
    </row>
    <row r="2760" hidden="1">
      <c r="B2760" s="4" t="s">
        <v>27</v>
      </c>
      <c r="C2760" s="4" t="s">
        <v>27</v>
      </c>
      <c r="D2760" s="6" t="s">
        <v>27</v>
      </c>
      <c r="E2760" s="6" t="s">
        <v>27</v>
      </c>
      <c r="F2760" s="6" t="s">
        <v>27</v>
      </c>
      <c r="G2760" s="4" t="s">
        <v>27</v>
      </c>
      <c r="H2760" s="4" t="s">
        <v>27</v>
      </c>
      <c r="I2760" s="4" t="s">
        <v>27</v>
      </c>
      <c r="J2760" s="4" t="s">
        <v>27</v>
      </c>
      <c r="K2760" s="4" t="s">
        <v>27</v>
      </c>
      <c r="L2760" s="4" t="s">
        <v>27</v>
      </c>
      <c r="M2760" s="4" t="s">
        <v>27</v>
      </c>
      <c r="N2760" s="4" t="s">
        <v>27</v>
      </c>
    </row>
    <row r="2761" hidden="1">
      <c r="B2761" s="4" t="s">
        <v>27</v>
      </c>
      <c r="C2761" s="4" t="s">
        <v>27</v>
      </c>
      <c r="D2761" s="6" t="s">
        <v>27</v>
      </c>
      <c r="E2761" s="6" t="s">
        <v>27</v>
      </c>
      <c r="F2761" s="6" t="s">
        <v>27</v>
      </c>
      <c r="G2761" s="4" t="s">
        <v>27</v>
      </c>
      <c r="H2761" s="4" t="s">
        <v>27</v>
      </c>
      <c r="I2761" s="4" t="s">
        <v>27</v>
      </c>
      <c r="J2761" s="4" t="s">
        <v>27</v>
      </c>
      <c r="K2761" s="4" t="s">
        <v>27</v>
      </c>
      <c r="L2761" s="4" t="s">
        <v>27</v>
      </c>
      <c r="M2761" s="4" t="s">
        <v>27</v>
      </c>
      <c r="N2761" s="4" t="s">
        <v>27</v>
      </c>
    </row>
    <row r="2762" hidden="1">
      <c r="B2762" s="4" t="s">
        <v>27</v>
      </c>
      <c r="C2762" s="4" t="s">
        <v>27</v>
      </c>
      <c r="D2762" s="6" t="s">
        <v>27</v>
      </c>
      <c r="E2762" s="6" t="s">
        <v>27</v>
      </c>
      <c r="F2762" s="6" t="s">
        <v>27</v>
      </c>
      <c r="G2762" s="4" t="s">
        <v>27</v>
      </c>
      <c r="H2762" s="4" t="s">
        <v>27</v>
      </c>
      <c r="I2762" s="4" t="s">
        <v>27</v>
      </c>
      <c r="J2762" s="4" t="s">
        <v>27</v>
      </c>
      <c r="K2762" s="4" t="s">
        <v>27</v>
      </c>
      <c r="L2762" s="4" t="s">
        <v>27</v>
      </c>
      <c r="M2762" s="4" t="s">
        <v>27</v>
      </c>
      <c r="N2762" s="4" t="s">
        <v>27</v>
      </c>
    </row>
    <row r="2763" hidden="1">
      <c r="B2763" s="4" t="s">
        <v>27</v>
      </c>
      <c r="C2763" s="4" t="s">
        <v>27</v>
      </c>
      <c r="D2763" s="6" t="s">
        <v>27</v>
      </c>
      <c r="E2763" s="6" t="s">
        <v>27</v>
      </c>
      <c r="F2763" s="6" t="s">
        <v>27</v>
      </c>
      <c r="G2763" s="4" t="s">
        <v>27</v>
      </c>
      <c r="H2763" s="4" t="s">
        <v>27</v>
      </c>
      <c r="I2763" s="4" t="s">
        <v>27</v>
      </c>
      <c r="J2763" s="4" t="s">
        <v>27</v>
      </c>
      <c r="K2763" s="4" t="s">
        <v>27</v>
      </c>
      <c r="L2763" s="4" t="s">
        <v>27</v>
      </c>
      <c r="M2763" s="4" t="s">
        <v>27</v>
      </c>
      <c r="N2763" s="4" t="s">
        <v>27</v>
      </c>
    </row>
    <row r="2764" hidden="1">
      <c r="B2764" s="4" t="s">
        <v>27</v>
      </c>
      <c r="C2764" s="4" t="s">
        <v>27</v>
      </c>
      <c r="D2764" s="6" t="s">
        <v>27</v>
      </c>
      <c r="E2764" s="6" t="s">
        <v>27</v>
      </c>
      <c r="F2764" s="6" t="s">
        <v>27</v>
      </c>
      <c r="G2764" s="4" t="s">
        <v>27</v>
      </c>
      <c r="H2764" s="4" t="s">
        <v>27</v>
      </c>
      <c r="I2764" s="4" t="s">
        <v>27</v>
      </c>
      <c r="J2764" s="4" t="s">
        <v>27</v>
      </c>
      <c r="K2764" s="4" t="s">
        <v>27</v>
      </c>
      <c r="L2764" s="4" t="s">
        <v>27</v>
      </c>
      <c r="M2764" s="4" t="s">
        <v>27</v>
      </c>
      <c r="N2764" s="4" t="s">
        <v>27</v>
      </c>
    </row>
    <row r="2765" hidden="1">
      <c r="B2765" s="4" t="s">
        <v>27</v>
      </c>
      <c r="C2765" s="4" t="s">
        <v>27</v>
      </c>
      <c r="D2765" s="6" t="s">
        <v>27</v>
      </c>
      <c r="E2765" s="6" t="s">
        <v>27</v>
      </c>
      <c r="F2765" s="6" t="s">
        <v>27</v>
      </c>
      <c r="G2765" s="4" t="s">
        <v>27</v>
      </c>
      <c r="H2765" s="4" t="s">
        <v>27</v>
      </c>
      <c r="I2765" s="4" t="s">
        <v>27</v>
      </c>
      <c r="J2765" s="4" t="s">
        <v>27</v>
      </c>
      <c r="K2765" s="4" t="s">
        <v>27</v>
      </c>
      <c r="L2765" s="4" t="s">
        <v>27</v>
      </c>
      <c r="M2765" s="4" t="s">
        <v>27</v>
      </c>
      <c r="N2765" s="4" t="s">
        <v>27</v>
      </c>
    </row>
    <row r="2766" hidden="1">
      <c r="B2766" s="4" t="s">
        <v>27</v>
      </c>
      <c r="C2766" s="4" t="s">
        <v>27</v>
      </c>
      <c r="D2766" s="6" t="s">
        <v>27</v>
      </c>
      <c r="E2766" s="6" t="s">
        <v>27</v>
      </c>
      <c r="F2766" s="6" t="s">
        <v>27</v>
      </c>
      <c r="G2766" s="4" t="s">
        <v>27</v>
      </c>
      <c r="H2766" s="4" t="s">
        <v>27</v>
      </c>
      <c r="I2766" s="4" t="s">
        <v>27</v>
      </c>
      <c r="J2766" s="4" t="s">
        <v>27</v>
      </c>
      <c r="K2766" s="4" t="s">
        <v>27</v>
      </c>
      <c r="L2766" s="4" t="s">
        <v>27</v>
      </c>
      <c r="M2766" s="4" t="s">
        <v>27</v>
      </c>
      <c r="N2766" s="4" t="s">
        <v>27</v>
      </c>
    </row>
    <row r="2767" hidden="1">
      <c r="B2767" s="4" t="s">
        <v>27</v>
      </c>
      <c r="C2767" s="4" t="s">
        <v>27</v>
      </c>
      <c r="D2767" s="6" t="s">
        <v>27</v>
      </c>
      <c r="E2767" s="6" t="s">
        <v>27</v>
      </c>
      <c r="F2767" s="6" t="s">
        <v>27</v>
      </c>
      <c r="G2767" s="4" t="s">
        <v>27</v>
      </c>
      <c r="H2767" s="4" t="s">
        <v>27</v>
      </c>
      <c r="I2767" s="4" t="s">
        <v>27</v>
      </c>
      <c r="J2767" s="4" t="s">
        <v>27</v>
      </c>
      <c r="K2767" s="4" t="s">
        <v>27</v>
      </c>
      <c r="L2767" s="4" t="s">
        <v>27</v>
      </c>
      <c r="M2767" s="4" t="s">
        <v>27</v>
      </c>
      <c r="N2767" s="4" t="s">
        <v>27</v>
      </c>
    </row>
    <row r="2768" hidden="1">
      <c r="B2768" s="4" t="s">
        <v>27</v>
      </c>
      <c r="C2768" s="4" t="s">
        <v>27</v>
      </c>
      <c r="D2768" s="6" t="s">
        <v>27</v>
      </c>
      <c r="E2768" s="6" t="s">
        <v>27</v>
      </c>
      <c r="F2768" s="6" t="s">
        <v>27</v>
      </c>
      <c r="G2768" s="4" t="s">
        <v>27</v>
      </c>
      <c r="H2768" s="4" t="s">
        <v>27</v>
      </c>
      <c r="I2768" s="4" t="s">
        <v>27</v>
      </c>
      <c r="J2768" s="4" t="s">
        <v>27</v>
      </c>
      <c r="K2768" s="4" t="s">
        <v>27</v>
      </c>
      <c r="L2768" s="4" t="s">
        <v>27</v>
      </c>
      <c r="M2768" s="4" t="s">
        <v>27</v>
      </c>
      <c r="N2768" s="4" t="s">
        <v>27</v>
      </c>
    </row>
    <row r="2769" hidden="1">
      <c r="B2769" s="4" t="s">
        <v>27</v>
      </c>
      <c r="C2769" s="4" t="s">
        <v>27</v>
      </c>
      <c r="D2769" s="6" t="s">
        <v>27</v>
      </c>
      <c r="E2769" s="6" t="s">
        <v>27</v>
      </c>
      <c r="F2769" s="6" t="s">
        <v>27</v>
      </c>
      <c r="G2769" s="4" t="s">
        <v>27</v>
      </c>
      <c r="H2769" s="4" t="s">
        <v>27</v>
      </c>
      <c r="I2769" s="4" t="s">
        <v>27</v>
      </c>
      <c r="J2769" s="4" t="s">
        <v>27</v>
      </c>
      <c r="K2769" s="4" t="s">
        <v>27</v>
      </c>
      <c r="L2769" s="4" t="s">
        <v>27</v>
      </c>
      <c r="M2769" s="4" t="s">
        <v>27</v>
      </c>
      <c r="N2769" s="4" t="s">
        <v>27</v>
      </c>
    </row>
    <row r="2770" hidden="1">
      <c r="B2770" s="4" t="s">
        <v>27</v>
      </c>
      <c r="C2770" s="4" t="s">
        <v>27</v>
      </c>
      <c r="D2770" s="6" t="s">
        <v>27</v>
      </c>
      <c r="E2770" s="6" t="s">
        <v>27</v>
      </c>
      <c r="F2770" s="6" t="s">
        <v>27</v>
      </c>
      <c r="G2770" s="4" t="s">
        <v>27</v>
      </c>
      <c r="H2770" s="4" t="s">
        <v>27</v>
      </c>
      <c r="I2770" s="4" t="s">
        <v>27</v>
      </c>
      <c r="J2770" s="4" t="s">
        <v>27</v>
      </c>
      <c r="K2770" s="4" t="s">
        <v>27</v>
      </c>
      <c r="L2770" s="4" t="s">
        <v>27</v>
      </c>
      <c r="M2770" s="4" t="s">
        <v>27</v>
      </c>
      <c r="N2770" s="4" t="s">
        <v>27</v>
      </c>
    </row>
    <row r="2771" hidden="1">
      <c r="B2771" s="4" t="s">
        <v>27</v>
      </c>
      <c r="C2771" s="4" t="s">
        <v>27</v>
      </c>
      <c r="D2771" s="6" t="s">
        <v>27</v>
      </c>
      <c r="E2771" s="6" t="s">
        <v>27</v>
      </c>
      <c r="F2771" s="6" t="s">
        <v>27</v>
      </c>
      <c r="G2771" s="4" t="s">
        <v>27</v>
      </c>
      <c r="H2771" s="4" t="s">
        <v>27</v>
      </c>
      <c r="I2771" s="4" t="s">
        <v>27</v>
      </c>
      <c r="J2771" s="4" t="s">
        <v>27</v>
      </c>
      <c r="K2771" s="4" t="s">
        <v>27</v>
      </c>
      <c r="L2771" s="4" t="s">
        <v>27</v>
      </c>
      <c r="M2771" s="4" t="s">
        <v>27</v>
      </c>
      <c r="N2771" s="4" t="s">
        <v>27</v>
      </c>
    </row>
    <row r="2772" hidden="1">
      <c r="B2772" s="4" t="s">
        <v>27</v>
      </c>
      <c r="C2772" s="4" t="s">
        <v>27</v>
      </c>
      <c r="D2772" s="6" t="s">
        <v>27</v>
      </c>
      <c r="E2772" s="6" t="s">
        <v>27</v>
      </c>
      <c r="F2772" s="6" t="s">
        <v>27</v>
      </c>
      <c r="G2772" s="4" t="s">
        <v>27</v>
      </c>
      <c r="H2772" s="4" t="s">
        <v>27</v>
      </c>
      <c r="I2772" s="4" t="s">
        <v>27</v>
      </c>
      <c r="J2772" s="4" t="s">
        <v>27</v>
      </c>
      <c r="K2772" s="4" t="s">
        <v>27</v>
      </c>
      <c r="L2772" s="4" t="s">
        <v>27</v>
      </c>
      <c r="M2772" s="4" t="s">
        <v>27</v>
      </c>
      <c r="N2772" s="4" t="s">
        <v>27</v>
      </c>
    </row>
    <row r="2773" hidden="1">
      <c r="B2773" s="4" t="s">
        <v>27</v>
      </c>
      <c r="C2773" s="4" t="s">
        <v>27</v>
      </c>
      <c r="D2773" s="6" t="s">
        <v>27</v>
      </c>
      <c r="E2773" s="6" t="s">
        <v>27</v>
      </c>
      <c r="F2773" s="6" t="s">
        <v>27</v>
      </c>
      <c r="G2773" s="4" t="s">
        <v>27</v>
      </c>
      <c r="H2773" s="4" t="s">
        <v>27</v>
      </c>
      <c r="I2773" s="4" t="s">
        <v>27</v>
      </c>
      <c r="J2773" s="4" t="s">
        <v>27</v>
      </c>
      <c r="K2773" s="4" t="s">
        <v>27</v>
      </c>
      <c r="L2773" s="4" t="s">
        <v>27</v>
      </c>
      <c r="M2773" s="4" t="s">
        <v>27</v>
      </c>
      <c r="N2773" s="4" t="s">
        <v>27</v>
      </c>
    </row>
    <row r="2774" hidden="1">
      <c r="B2774" s="4" t="s">
        <v>27</v>
      </c>
      <c r="C2774" s="4" t="s">
        <v>27</v>
      </c>
      <c r="D2774" s="6" t="s">
        <v>27</v>
      </c>
      <c r="E2774" s="6" t="s">
        <v>27</v>
      </c>
      <c r="F2774" s="6" t="s">
        <v>27</v>
      </c>
      <c r="G2774" s="4" t="s">
        <v>27</v>
      </c>
      <c r="H2774" s="4" t="s">
        <v>27</v>
      </c>
      <c r="I2774" s="4" t="s">
        <v>27</v>
      </c>
      <c r="J2774" s="4" t="s">
        <v>27</v>
      </c>
      <c r="K2774" s="4" t="s">
        <v>27</v>
      </c>
      <c r="L2774" s="4" t="s">
        <v>27</v>
      </c>
      <c r="M2774" s="4" t="s">
        <v>27</v>
      </c>
      <c r="N2774" s="4" t="s">
        <v>27</v>
      </c>
    </row>
    <row r="2775" hidden="1">
      <c r="B2775" s="4" t="s">
        <v>27</v>
      </c>
      <c r="C2775" s="4" t="s">
        <v>27</v>
      </c>
      <c r="D2775" s="6" t="s">
        <v>27</v>
      </c>
      <c r="E2775" s="6" t="s">
        <v>27</v>
      </c>
      <c r="F2775" s="6" t="s">
        <v>27</v>
      </c>
      <c r="G2775" s="4" t="s">
        <v>27</v>
      </c>
      <c r="H2775" s="4" t="s">
        <v>27</v>
      </c>
      <c r="I2775" s="4" t="s">
        <v>27</v>
      </c>
      <c r="J2775" s="4" t="s">
        <v>27</v>
      </c>
      <c r="K2775" s="4" t="s">
        <v>27</v>
      </c>
      <c r="L2775" s="4" t="s">
        <v>27</v>
      </c>
      <c r="M2775" s="4" t="s">
        <v>27</v>
      </c>
      <c r="N2775" s="4" t="s">
        <v>27</v>
      </c>
    </row>
    <row r="2776" hidden="1">
      <c r="B2776" s="4" t="s">
        <v>27</v>
      </c>
      <c r="C2776" s="4" t="s">
        <v>27</v>
      </c>
      <c r="D2776" s="6" t="s">
        <v>27</v>
      </c>
      <c r="E2776" s="6" t="s">
        <v>27</v>
      </c>
      <c r="F2776" s="6" t="s">
        <v>27</v>
      </c>
      <c r="G2776" s="4" t="s">
        <v>27</v>
      </c>
      <c r="H2776" s="4" t="s">
        <v>27</v>
      </c>
      <c r="I2776" s="4" t="s">
        <v>27</v>
      </c>
      <c r="J2776" s="4" t="s">
        <v>27</v>
      </c>
      <c r="K2776" s="4" t="s">
        <v>27</v>
      </c>
      <c r="L2776" s="4" t="s">
        <v>27</v>
      </c>
      <c r="M2776" s="4" t="s">
        <v>27</v>
      </c>
      <c r="N2776" s="4" t="s">
        <v>27</v>
      </c>
    </row>
    <row r="2777" hidden="1">
      <c r="B2777" s="4" t="s">
        <v>27</v>
      </c>
      <c r="C2777" s="4" t="s">
        <v>27</v>
      </c>
      <c r="D2777" s="6" t="s">
        <v>27</v>
      </c>
      <c r="E2777" s="6" t="s">
        <v>27</v>
      </c>
      <c r="F2777" s="6" t="s">
        <v>27</v>
      </c>
      <c r="G2777" s="4" t="s">
        <v>27</v>
      </c>
      <c r="H2777" s="4" t="s">
        <v>27</v>
      </c>
      <c r="I2777" s="4" t="s">
        <v>27</v>
      </c>
      <c r="J2777" s="4" t="s">
        <v>27</v>
      </c>
      <c r="K2777" s="4" t="s">
        <v>27</v>
      </c>
      <c r="L2777" s="4" t="s">
        <v>27</v>
      </c>
      <c r="M2777" s="4" t="s">
        <v>27</v>
      </c>
      <c r="N2777" s="4" t="s">
        <v>27</v>
      </c>
    </row>
    <row r="2778" hidden="1">
      <c r="B2778" s="4" t="s">
        <v>27</v>
      </c>
      <c r="C2778" s="4" t="s">
        <v>27</v>
      </c>
      <c r="D2778" s="6" t="s">
        <v>27</v>
      </c>
      <c r="E2778" s="6" t="s">
        <v>27</v>
      </c>
      <c r="F2778" s="6" t="s">
        <v>27</v>
      </c>
      <c r="G2778" s="4" t="s">
        <v>27</v>
      </c>
      <c r="H2778" s="4" t="s">
        <v>27</v>
      </c>
      <c r="I2778" s="4" t="s">
        <v>27</v>
      </c>
      <c r="J2778" s="4" t="s">
        <v>27</v>
      </c>
      <c r="K2778" s="4" t="s">
        <v>27</v>
      </c>
      <c r="L2778" s="4" t="s">
        <v>27</v>
      </c>
      <c r="M2778" s="4" t="s">
        <v>27</v>
      </c>
      <c r="N2778" s="4" t="s">
        <v>27</v>
      </c>
    </row>
    <row r="2779" hidden="1">
      <c r="B2779" s="4" t="s">
        <v>27</v>
      </c>
      <c r="C2779" s="4" t="s">
        <v>27</v>
      </c>
      <c r="D2779" s="6" t="s">
        <v>27</v>
      </c>
      <c r="E2779" s="6" t="s">
        <v>27</v>
      </c>
      <c r="F2779" s="6" t="s">
        <v>27</v>
      </c>
      <c r="G2779" s="4" t="s">
        <v>27</v>
      </c>
      <c r="H2779" s="4" t="s">
        <v>27</v>
      </c>
      <c r="I2779" s="4" t="s">
        <v>27</v>
      </c>
      <c r="J2779" s="4" t="s">
        <v>27</v>
      </c>
      <c r="K2779" s="4" t="s">
        <v>27</v>
      </c>
      <c r="L2779" s="4" t="s">
        <v>27</v>
      </c>
      <c r="M2779" s="4" t="s">
        <v>27</v>
      </c>
      <c r="N2779" s="4" t="s">
        <v>27</v>
      </c>
    </row>
    <row r="2780" hidden="1">
      <c r="B2780" s="4" t="s">
        <v>27</v>
      </c>
      <c r="C2780" s="4" t="s">
        <v>27</v>
      </c>
      <c r="D2780" s="6" t="s">
        <v>27</v>
      </c>
      <c r="E2780" s="6" t="s">
        <v>27</v>
      </c>
      <c r="F2780" s="6" t="s">
        <v>27</v>
      </c>
      <c r="G2780" s="4" t="s">
        <v>27</v>
      </c>
      <c r="H2780" s="4" t="s">
        <v>27</v>
      </c>
      <c r="I2780" s="4" t="s">
        <v>27</v>
      </c>
      <c r="J2780" s="4" t="s">
        <v>27</v>
      </c>
      <c r="K2780" s="4" t="s">
        <v>27</v>
      </c>
      <c r="L2780" s="4" t="s">
        <v>27</v>
      </c>
      <c r="M2780" s="4" t="s">
        <v>27</v>
      </c>
      <c r="N2780" s="4" t="s">
        <v>27</v>
      </c>
    </row>
    <row r="2781" hidden="1">
      <c r="B2781" s="4" t="s">
        <v>27</v>
      </c>
      <c r="C2781" s="4" t="s">
        <v>27</v>
      </c>
      <c r="D2781" s="6" t="s">
        <v>27</v>
      </c>
      <c r="E2781" s="6" t="s">
        <v>27</v>
      </c>
      <c r="F2781" s="6" t="s">
        <v>27</v>
      </c>
      <c r="G2781" s="4" t="s">
        <v>27</v>
      </c>
      <c r="H2781" s="4" t="s">
        <v>27</v>
      </c>
      <c r="I2781" s="4" t="s">
        <v>27</v>
      </c>
      <c r="J2781" s="4" t="s">
        <v>27</v>
      </c>
      <c r="K2781" s="4" t="s">
        <v>27</v>
      </c>
      <c r="L2781" s="4" t="s">
        <v>27</v>
      </c>
      <c r="M2781" s="4" t="s">
        <v>27</v>
      </c>
      <c r="N2781" s="4" t="s">
        <v>27</v>
      </c>
    </row>
    <row r="2782" hidden="1">
      <c r="B2782" s="4" t="s">
        <v>27</v>
      </c>
      <c r="C2782" s="4" t="s">
        <v>27</v>
      </c>
      <c r="D2782" s="6" t="s">
        <v>27</v>
      </c>
      <c r="E2782" s="6" t="s">
        <v>27</v>
      </c>
      <c r="F2782" s="6" t="s">
        <v>27</v>
      </c>
      <c r="G2782" s="4" t="s">
        <v>27</v>
      </c>
      <c r="H2782" s="4" t="s">
        <v>27</v>
      </c>
      <c r="I2782" s="4" t="s">
        <v>27</v>
      </c>
      <c r="J2782" s="4" t="s">
        <v>27</v>
      </c>
      <c r="K2782" s="4" t="s">
        <v>27</v>
      </c>
      <c r="L2782" s="4" t="s">
        <v>27</v>
      </c>
      <c r="M2782" s="4" t="s">
        <v>27</v>
      </c>
      <c r="N2782" s="4" t="s">
        <v>27</v>
      </c>
    </row>
    <row r="2783" hidden="1">
      <c r="B2783" s="4" t="s">
        <v>27</v>
      </c>
      <c r="C2783" s="4" t="s">
        <v>27</v>
      </c>
      <c r="D2783" s="6" t="s">
        <v>27</v>
      </c>
      <c r="E2783" s="6" t="s">
        <v>27</v>
      </c>
      <c r="F2783" s="6" t="s">
        <v>27</v>
      </c>
      <c r="G2783" s="4" t="s">
        <v>27</v>
      </c>
      <c r="H2783" s="4" t="s">
        <v>27</v>
      </c>
      <c r="I2783" s="4" t="s">
        <v>27</v>
      </c>
      <c r="J2783" s="4" t="s">
        <v>27</v>
      </c>
      <c r="K2783" s="4" t="s">
        <v>27</v>
      </c>
      <c r="L2783" s="4" t="s">
        <v>27</v>
      </c>
      <c r="M2783" s="4" t="s">
        <v>27</v>
      </c>
      <c r="N2783" s="4" t="s">
        <v>27</v>
      </c>
    </row>
    <row r="2784" hidden="1">
      <c r="B2784" s="4" t="s">
        <v>27</v>
      </c>
      <c r="C2784" s="4" t="s">
        <v>27</v>
      </c>
      <c r="D2784" s="6" t="s">
        <v>27</v>
      </c>
      <c r="E2784" s="6" t="s">
        <v>27</v>
      </c>
      <c r="F2784" s="6" t="s">
        <v>27</v>
      </c>
      <c r="G2784" s="4" t="s">
        <v>27</v>
      </c>
      <c r="H2784" s="4" t="s">
        <v>27</v>
      </c>
      <c r="I2784" s="4" t="s">
        <v>27</v>
      </c>
      <c r="J2784" s="4" t="s">
        <v>27</v>
      </c>
      <c r="K2784" s="4" t="s">
        <v>27</v>
      </c>
      <c r="L2784" s="4" t="s">
        <v>27</v>
      </c>
      <c r="M2784" s="4" t="s">
        <v>27</v>
      </c>
      <c r="N2784" s="4" t="s">
        <v>27</v>
      </c>
    </row>
    <row r="2785" hidden="1">
      <c r="B2785" s="4" t="s">
        <v>27</v>
      </c>
      <c r="C2785" s="4" t="s">
        <v>27</v>
      </c>
      <c r="D2785" s="6" t="s">
        <v>27</v>
      </c>
      <c r="E2785" s="6" t="s">
        <v>27</v>
      </c>
      <c r="F2785" s="6" t="s">
        <v>27</v>
      </c>
      <c r="G2785" s="4" t="s">
        <v>27</v>
      </c>
      <c r="H2785" s="4" t="s">
        <v>27</v>
      </c>
      <c r="I2785" s="4" t="s">
        <v>27</v>
      </c>
      <c r="J2785" s="4" t="s">
        <v>27</v>
      </c>
      <c r="K2785" s="4" t="s">
        <v>27</v>
      </c>
      <c r="L2785" s="4" t="s">
        <v>27</v>
      </c>
      <c r="M2785" s="4" t="s">
        <v>27</v>
      </c>
      <c r="N2785" s="4" t="s">
        <v>27</v>
      </c>
    </row>
    <row r="2786" hidden="1">
      <c r="B2786" s="4" t="s">
        <v>27</v>
      </c>
      <c r="C2786" s="4" t="s">
        <v>27</v>
      </c>
      <c r="D2786" s="6" t="s">
        <v>27</v>
      </c>
      <c r="E2786" s="6" t="s">
        <v>27</v>
      </c>
      <c r="F2786" s="6" t="s">
        <v>27</v>
      </c>
      <c r="G2786" s="4" t="s">
        <v>27</v>
      </c>
      <c r="H2786" s="4" t="s">
        <v>27</v>
      </c>
      <c r="I2786" s="4" t="s">
        <v>27</v>
      </c>
      <c r="J2786" s="4" t="s">
        <v>27</v>
      </c>
      <c r="K2786" s="4" t="s">
        <v>27</v>
      </c>
      <c r="L2786" s="4" t="s">
        <v>27</v>
      </c>
      <c r="M2786" s="4" t="s">
        <v>27</v>
      </c>
      <c r="N2786" s="4" t="s">
        <v>27</v>
      </c>
    </row>
    <row r="2787" hidden="1">
      <c r="B2787" s="4" t="s">
        <v>27</v>
      </c>
      <c r="C2787" s="4" t="s">
        <v>27</v>
      </c>
      <c r="D2787" s="6" t="s">
        <v>27</v>
      </c>
      <c r="E2787" s="6" t="s">
        <v>27</v>
      </c>
      <c r="F2787" s="6" t="s">
        <v>27</v>
      </c>
      <c r="G2787" s="4" t="s">
        <v>27</v>
      </c>
      <c r="H2787" s="4" t="s">
        <v>27</v>
      </c>
      <c r="I2787" s="4" t="s">
        <v>27</v>
      </c>
      <c r="J2787" s="4" t="s">
        <v>27</v>
      </c>
      <c r="K2787" s="4" t="s">
        <v>27</v>
      </c>
      <c r="L2787" s="4" t="s">
        <v>27</v>
      </c>
      <c r="M2787" s="4" t="s">
        <v>27</v>
      </c>
      <c r="N2787" s="4" t="s">
        <v>27</v>
      </c>
    </row>
    <row r="2788" hidden="1">
      <c r="B2788" s="4" t="s">
        <v>27</v>
      </c>
      <c r="C2788" s="4" t="s">
        <v>27</v>
      </c>
      <c r="D2788" s="6" t="s">
        <v>27</v>
      </c>
      <c r="E2788" s="6" t="s">
        <v>27</v>
      </c>
      <c r="F2788" s="6" t="s">
        <v>27</v>
      </c>
      <c r="G2788" s="4" t="s">
        <v>27</v>
      </c>
      <c r="H2788" s="4" t="s">
        <v>27</v>
      </c>
      <c r="I2788" s="4" t="s">
        <v>27</v>
      </c>
      <c r="J2788" s="4" t="s">
        <v>27</v>
      </c>
      <c r="K2788" s="4" t="s">
        <v>27</v>
      </c>
      <c r="L2788" s="4" t="s">
        <v>27</v>
      </c>
      <c r="M2788" s="4" t="s">
        <v>27</v>
      </c>
      <c r="N2788" s="4" t="s">
        <v>27</v>
      </c>
    </row>
    <row r="2789" hidden="1">
      <c r="B2789" s="4" t="s">
        <v>27</v>
      </c>
      <c r="C2789" s="4" t="s">
        <v>27</v>
      </c>
      <c r="D2789" s="6" t="s">
        <v>27</v>
      </c>
      <c r="E2789" s="6" t="s">
        <v>27</v>
      </c>
      <c r="F2789" s="6" t="s">
        <v>27</v>
      </c>
      <c r="G2789" s="4" t="s">
        <v>27</v>
      </c>
      <c r="H2789" s="4" t="s">
        <v>27</v>
      </c>
      <c r="I2789" s="4" t="s">
        <v>27</v>
      </c>
      <c r="J2789" s="4" t="s">
        <v>27</v>
      </c>
      <c r="K2789" s="4" t="s">
        <v>27</v>
      </c>
      <c r="L2789" s="4" t="s">
        <v>27</v>
      </c>
      <c r="M2789" s="4" t="s">
        <v>27</v>
      </c>
      <c r="N2789" s="4" t="s">
        <v>27</v>
      </c>
    </row>
    <row r="2790" hidden="1">
      <c r="B2790" s="4" t="s">
        <v>27</v>
      </c>
      <c r="C2790" s="4" t="s">
        <v>27</v>
      </c>
      <c r="D2790" s="6" t="s">
        <v>27</v>
      </c>
      <c r="E2790" s="6" t="s">
        <v>27</v>
      </c>
      <c r="F2790" s="6" t="s">
        <v>27</v>
      </c>
      <c r="G2790" s="4" t="s">
        <v>27</v>
      </c>
      <c r="H2790" s="4" t="s">
        <v>27</v>
      </c>
      <c r="I2790" s="4" t="s">
        <v>27</v>
      </c>
      <c r="J2790" s="4" t="s">
        <v>27</v>
      </c>
      <c r="K2790" s="4" t="s">
        <v>27</v>
      </c>
      <c r="L2790" s="4" t="s">
        <v>27</v>
      </c>
      <c r="M2790" s="4" t="s">
        <v>27</v>
      </c>
      <c r="N2790" s="4" t="s">
        <v>27</v>
      </c>
    </row>
    <row r="2791" hidden="1">
      <c r="B2791" s="4" t="s">
        <v>27</v>
      </c>
      <c r="C2791" s="4" t="s">
        <v>27</v>
      </c>
      <c r="D2791" s="6" t="s">
        <v>27</v>
      </c>
      <c r="E2791" s="6" t="s">
        <v>27</v>
      </c>
      <c r="F2791" s="6" t="s">
        <v>27</v>
      </c>
      <c r="G2791" s="4" t="s">
        <v>27</v>
      </c>
      <c r="H2791" s="4" t="s">
        <v>27</v>
      </c>
      <c r="I2791" s="4" t="s">
        <v>27</v>
      </c>
      <c r="J2791" s="4" t="s">
        <v>27</v>
      </c>
      <c r="K2791" s="4" t="s">
        <v>27</v>
      </c>
      <c r="L2791" s="4" t="s">
        <v>27</v>
      </c>
      <c r="M2791" s="4" t="s">
        <v>27</v>
      </c>
      <c r="N2791" s="4" t="s">
        <v>27</v>
      </c>
    </row>
    <row r="2792" hidden="1">
      <c r="B2792" s="4" t="s">
        <v>27</v>
      </c>
      <c r="C2792" s="4" t="s">
        <v>27</v>
      </c>
      <c r="D2792" s="6" t="s">
        <v>27</v>
      </c>
      <c r="E2792" s="6" t="s">
        <v>27</v>
      </c>
      <c r="F2792" s="6" t="s">
        <v>27</v>
      </c>
      <c r="G2792" s="4" t="s">
        <v>27</v>
      </c>
      <c r="H2792" s="4" t="s">
        <v>27</v>
      </c>
      <c r="I2792" s="4" t="s">
        <v>27</v>
      </c>
      <c r="J2792" s="4" t="s">
        <v>27</v>
      </c>
      <c r="K2792" s="4" t="s">
        <v>27</v>
      </c>
      <c r="L2792" s="4" t="s">
        <v>27</v>
      </c>
      <c r="M2792" s="4" t="s">
        <v>27</v>
      </c>
      <c r="N2792" s="4" t="s">
        <v>27</v>
      </c>
    </row>
    <row r="2793" hidden="1">
      <c r="B2793" s="4" t="s">
        <v>27</v>
      </c>
      <c r="C2793" s="4" t="s">
        <v>27</v>
      </c>
      <c r="D2793" s="6" t="s">
        <v>27</v>
      </c>
      <c r="E2793" s="6" t="s">
        <v>27</v>
      </c>
      <c r="F2793" s="6" t="s">
        <v>27</v>
      </c>
      <c r="G2793" s="4" t="s">
        <v>27</v>
      </c>
      <c r="H2793" s="4" t="s">
        <v>27</v>
      </c>
      <c r="I2793" s="4" t="s">
        <v>27</v>
      </c>
      <c r="J2793" s="4" t="s">
        <v>27</v>
      </c>
      <c r="K2793" s="4" t="s">
        <v>27</v>
      </c>
      <c r="L2793" s="4" t="s">
        <v>27</v>
      </c>
      <c r="M2793" s="4" t="s">
        <v>27</v>
      </c>
      <c r="N2793" s="4" t="s">
        <v>27</v>
      </c>
    </row>
    <row r="2794" hidden="1">
      <c r="B2794" s="4" t="s">
        <v>27</v>
      </c>
      <c r="C2794" s="4" t="s">
        <v>27</v>
      </c>
      <c r="D2794" s="6" t="s">
        <v>27</v>
      </c>
      <c r="E2794" s="6" t="s">
        <v>27</v>
      </c>
      <c r="F2794" s="6" t="s">
        <v>27</v>
      </c>
      <c r="G2794" s="4" t="s">
        <v>27</v>
      </c>
      <c r="H2794" s="4" t="s">
        <v>27</v>
      </c>
      <c r="I2794" s="4" t="s">
        <v>27</v>
      </c>
      <c r="J2794" s="4" t="s">
        <v>27</v>
      </c>
      <c r="K2794" s="4" t="s">
        <v>27</v>
      </c>
      <c r="L2794" s="4" t="s">
        <v>27</v>
      </c>
      <c r="M2794" s="4" t="s">
        <v>27</v>
      </c>
      <c r="N2794" s="4" t="s">
        <v>27</v>
      </c>
    </row>
    <row r="2795" hidden="1">
      <c r="B2795" s="4" t="s">
        <v>27</v>
      </c>
      <c r="C2795" s="4" t="s">
        <v>27</v>
      </c>
      <c r="D2795" s="6" t="s">
        <v>27</v>
      </c>
      <c r="E2795" s="6" t="s">
        <v>27</v>
      </c>
      <c r="F2795" s="6" t="s">
        <v>27</v>
      </c>
      <c r="G2795" s="4" t="s">
        <v>27</v>
      </c>
      <c r="H2795" s="4" t="s">
        <v>27</v>
      </c>
      <c r="I2795" s="4" t="s">
        <v>27</v>
      </c>
      <c r="J2795" s="4" t="s">
        <v>27</v>
      </c>
      <c r="K2795" s="4" t="s">
        <v>27</v>
      </c>
      <c r="L2795" s="4" t="s">
        <v>27</v>
      </c>
      <c r="M2795" s="4" t="s">
        <v>27</v>
      </c>
      <c r="N2795" s="4" t="s">
        <v>27</v>
      </c>
    </row>
    <row r="2796" hidden="1">
      <c r="B2796" s="4" t="s">
        <v>27</v>
      </c>
      <c r="C2796" s="4" t="s">
        <v>27</v>
      </c>
      <c r="D2796" s="6" t="s">
        <v>27</v>
      </c>
      <c r="E2796" s="6" t="s">
        <v>27</v>
      </c>
      <c r="F2796" s="6" t="s">
        <v>27</v>
      </c>
      <c r="G2796" s="4" t="s">
        <v>27</v>
      </c>
      <c r="H2796" s="4" t="s">
        <v>27</v>
      </c>
      <c r="I2796" s="4" t="s">
        <v>27</v>
      </c>
      <c r="J2796" s="4" t="s">
        <v>27</v>
      </c>
      <c r="K2796" s="4" t="s">
        <v>27</v>
      </c>
      <c r="L2796" s="4" t="s">
        <v>27</v>
      </c>
      <c r="M2796" s="4" t="s">
        <v>27</v>
      </c>
      <c r="N2796" s="4" t="s">
        <v>27</v>
      </c>
    </row>
    <row r="2797" hidden="1">
      <c r="B2797" s="4" t="s">
        <v>27</v>
      </c>
      <c r="C2797" s="4" t="s">
        <v>27</v>
      </c>
      <c r="D2797" s="6" t="s">
        <v>27</v>
      </c>
      <c r="E2797" s="6" t="s">
        <v>27</v>
      </c>
      <c r="F2797" s="6" t="s">
        <v>27</v>
      </c>
      <c r="G2797" s="4" t="s">
        <v>27</v>
      </c>
      <c r="H2797" s="4" t="s">
        <v>27</v>
      </c>
      <c r="I2797" s="4" t="s">
        <v>27</v>
      </c>
      <c r="J2797" s="4" t="s">
        <v>27</v>
      </c>
      <c r="K2797" s="4" t="s">
        <v>27</v>
      </c>
      <c r="L2797" s="4" t="s">
        <v>27</v>
      </c>
      <c r="M2797" s="4" t="s">
        <v>27</v>
      </c>
      <c r="N2797" s="4" t="s">
        <v>27</v>
      </c>
    </row>
    <row r="2798" hidden="1">
      <c r="B2798" s="4" t="s">
        <v>27</v>
      </c>
      <c r="C2798" s="4" t="s">
        <v>27</v>
      </c>
      <c r="D2798" s="6" t="s">
        <v>27</v>
      </c>
      <c r="E2798" s="6" t="s">
        <v>27</v>
      </c>
      <c r="F2798" s="6" t="s">
        <v>27</v>
      </c>
      <c r="G2798" s="4" t="s">
        <v>27</v>
      </c>
      <c r="H2798" s="4" t="s">
        <v>27</v>
      </c>
      <c r="I2798" s="4" t="s">
        <v>27</v>
      </c>
      <c r="J2798" s="4" t="s">
        <v>27</v>
      </c>
      <c r="K2798" s="4" t="s">
        <v>27</v>
      </c>
      <c r="L2798" s="4" t="s">
        <v>27</v>
      </c>
      <c r="M2798" s="4" t="s">
        <v>27</v>
      </c>
      <c r="N2798" s="4" t="s">
        <v>27</v>
      </c>
    </row>
    <row r="2799" hidden="1">
      <c r="B2799" s="4" t="s">
        <v>27</v>
      </c>
      <c r="C2799" s="4" t="s">
        <v>27</v>
      </c>
      <c r="D2799" s="6" t="s">
        <v>27</v>
      </c>
      <c r="E2799" s="6" t="s">
        <v>27</v>
      </c>
      <c r="F2799" s="6" t="s">
        <v>27</v>
      </c>
      <c r="G2799" s="4" t="s">
        <v>27</v>
      </c>
      <c r="H2799" s="4" t="s">
        <v>27</v>
      </c>
      <c r="I2799" s="4" t="s">
        <v>27</v>
      </c>
      <c r="J2799" s="4" t="s">
        <v>27</v>
      </c>
      <c r="K2799" s="4" t="s">
        <v>27</v>
      </c>
      <c r="L2799" s="4" t="s">
        <v>27</v>
      </c>
      <c r="M2799" s="4" t="s">
        <v>27</v>
      </c>
      <c r="N2799" s="4" t="s">
        <v>27</v>
      </c>
    </row>
    <row r="2800" hidden="1">
      <c r="B2800" s="4" t="s">
        <v>27</v>
      </c>
      <c r="C2800" s="4" t="s">
        <v>27</v>
      </c>
      <c r="D2800" s="6" t="s">
        <v>27</v>
      </c>
      <c r="E2800" s="6" t="s">
        <v>27</v>
      </c>
      <c r="F2800" s="6" t="s">
        <v>27</v>
      </c>
      <c r="G2800" s="4" t="s">
        <v>27</v>
      </c>
      <c r="H2800" s="4" t="s">
        <v>27</v>
      </c>
      <c r="I2800" s="4" t="s">
        <v>27</v>
      </c>
      <c r="J2800" s="4" t="s">
        <v>27</v>
      </c>
      <c r="K2800" s="4" t="s">
        <v>27</v>
      </c>
      <c r="L2800" s="4" t="s">
        <v>27</v>
      </c>
      <c r="M2800" s="4" t="s">
        <v>27</v>
      </c>
      <c r="N2800" s="4" t="s">
        <v>27</v>
      </c>
    </row>
    <row r="2801" hidden="1">
      <c r="B2801" s="4" t="s">
        <v>27</v>
      </c>
      <c r="C2801" s="4" t="s">
        <v>27</v>
      </c>
      <c r="D2801" s="6" t="s">
        <v>27</v>
      </c>
      <c r="E2801" s="6" t="s">
        <v>27</v>
      </c>
      <c r="F2801" s="6" t="s">
        <v>27</v>
      </c>
      <c r="G2801" s="4" t="s">
        <v>27</v>
      </c>
      <c r="H2801" s="4" t="s">
        <v>27</v>
      </c>
      <c r="I2801" s="4" t="s">
        <v>27</v>
      </c>
      <c r="J2801" s="4" t="s">
        <v>27</v>
      </c>
      <c r="K2801" s="4" t="s">
        <v>27</v>
      </c>
      <c r="L2801" s="4" t="s">
        <v>27</v>
      </c>
      <c r="M2801" s="4" t="s">
        <v>27</v>
      </c>
      <c r="N2801" s="4" t="s">
        <v>27</v>
      </c>
    </row>
    <row r="2802" hidden="1">
      <c r="B2802" s="4" t="s">
        <v>27</v>
      </c>
      <c r="C2802" s="4" t="s">
        <v>27</v>
      </c>
      <c r="D2802" s="6" t="s">
        <v>27</v>
      </c>
      <c r="E2802" s="6" t="s">
        <v>27</v>
      </c>
      <c r="F2802" s="6" t="s">
        <v>27</v>
      </c>
      <c r="G2802" s="4" t="s">
        <v>27</v>
      </c>
      <c r="H2802" s="4" t="s">
        <v>27</v>
      </c>
      <c r="I2802" s="4" t="s">
        <v>27</v>
      </c>
      <c r="J2802" s="4" t="s">
        <v>27</v>
      </c>
      <c r="K2802" s="4" t="s">
        <v>27</v>
      </c>
      <c r="L2802" s="4" t="s">
        <v>27</v>
      </c>
      <c r="M2802" s="4" t="s">
        <v>27</v>
      </c>
      <c r="N2802" s="4" t="s">
        <v>27</v>
      </c>
    </row>
    <row r="2803" hidden="1">
      <c r="B2803" s="4" t="s">
        <v>27</v>
      </c>
      <c r="C2803" s="4" t="s">
        <v>27</v>
      </c>
      <c r="D2803" s="6" t="s">
        <v>27</v>
      </c>
      <c r="E2803" s="6" t="s">
        <v>27</v>
      </c>
      <c r="F2803" s="6" t="s">
        <v>27</v>
      </c>
      <c r="G2803" s="4" t="s">
        <v>27</v>
      </c>
      <c r="H2803" s="4" t="s">
        <v>27</v>
      </c>
      <c r="I2803" s="4" t="s">
        <v>27</v>
      </c>
      <c r="J2803" s="4" t="s">
        <v>27</v>
      </c>
      <c r="K2803" s="4" t="s">
        <v>27</v>
      </c>
      <c r="L2803" s="4" t="s">
        <v>27</v>
      </c>
      <c r="M2803" s="4" t="s">
        <v>27</v>
      </c>
      <c r="N2803" s="4" t="s">
        <v>27</v>
      </c>
    </row>
    <row r="2804" hidden="1">
      <c r="B2804" s="4" t="s">
        <v>27</v>
      </c>
      <c r="C2804" s="4" t="s">
        <v>27</v>
      </c>
      <c r="D2804" s="6" t="s">
        <v>27</v>
      </c>
      <c r="E2804" s="6" t="s">
        <v>27</v>
      </c>
      <c r="F2804" s="6" t="s">
        <v>27</v>
      </c>
      <c r="G2804" s="4" t="s">
        <v>27</v>
      </c>
      <c r="H2804" s="4" t="s">
        <v>27</v>
      </c>
      <c r="I2804" s="4" t="s">
        <v>27</v>
      </c>
      <c r="J2804" s="4" t="s">
        <v>27</v>
      </c>
      <c r="K2804" s="4" t="s">
        <v>27</v>
      </c>
      <c r="L2804" s="4" t="s">
        <v>27</v>
      </c>
      <c r="M2804" s="4" t="s">
        <v>27</v>
      </c>
      <c r="N2804" s="4" t="s">
        <v>27</v>
      </c>
    </row>
    <row r="2805" hidden="1">
      <c r="B2805" s="4" t="s">
        <v>27</v>
      </c>
      <c r="C2805" s="4" t="s">
        <v>27</v>
      </c>
      <c r="D2805" s="6" t="s">
        <v>27</v>
      </c>
      <c r="E2805" s="6" t="s">
        <v>27</v>
      </c>
      <c r="F2805" s="6" t="s">
        <v>27</v>
      </c>
      <c r="G2805" s="4" t="s">
        <v>27</v>
      </c>
      <c r="H2805" s="4" t="s">
        <v>27</v>
      </c>
      <c r="I2805" s="4" t="s">
        <v>27</v>
      </c>
      <c r="J2805" s="4" t="s">
        <v>27</v>
      </c>
      <c r="K2805" s="4" t="s">
        <v>27</v>
      </c>
      <c r="L2805" s="4" t="s">
        <v>27</v>
      </c>
      <c r="M2805" s="4" t="s">
        <v>27</v>
      </c>
      <c r="N2805" s="4" t="s">
        <v>27</v>
      </c>
    </row>
    <row r="2806" hidden="1">
      <c r="B2806" s="4" t="s">
        <v>27</v>
      </c>
      <c r="C2806" s="4" t="s">
        <v>27</v>
      </c>
      <c r="D2806" s="6" t="s">
        <v>27</v>
      </c>
      <c r="E2806" s="6" t="s">
        <v>27</v>
      </c>
      <c r="F2806" s="6" t="s">
        <v>27</v>
      </c>
      <c r="G2806" s="4" t="s">
        <v>27</v>
      </c>
      <c r="H2806" s="4" t="s">
        <v>27</v>
      </c>
      <c r="I2806" s="4" t="s">
        <v>27</v>
      </c>
      <c r="J2806" s="4" t="s">
        <v>27</v>
      </c>
      <c r="K2806" s="4" t="s">
        <v>27</v>
      </c>
      <c r="L2806" s="4" t="s">
        <v>27</v>
      </c>
      <c r="M2806" s="4" t="s">
        <v>27</v>
      </c>
      <c r="N2806" s="4" t="s">
        <v>27</v>
      </c>
    </row>
    <row r="2807" hidden="1">
      <c r="B2807" s="4" t="s">
        <v>27</v>
      </c>
      <c r="C2807" s="4" t="s">
        <v>27</v>
      </c>
      <c r="D2807" s="6" t="s">
        <v>27</v>
      </c>
      <c r="E2807" s="6" t="s">
        <v>27</v>
      </c>
      <c r="F2807" s="6" t="s">
        <v>27</v>
      </c>
      <c r="G2807" s="4" t="s">
        <v>27</v>
      </c>
      <c r="H2807" s="4" t="s">
        <v>27</v>
      </c>
      <c r="I2807" s="4" t="s">
        <v>27</v>
      </c>
      <c r="J2807" s="4" t="s">
        <v>27</v>
      </c>
      <c r="K2807" s="4" t="s">
        <v>27</v>
      </c>
      <c r="L2807" s="4" t="s">
        <v>27</v>
      </c>
      <c r="M2807" s="4" t="s">
        <v>27</v>
      </c>
      <c r="N2807" s="4" t="s">
        <v>27</v>
      </c>
    </row>
    <row r="2808" hidden="1">
      <c r="B2808" s="4" t="s">
        <v>27</v>
      </c>
      <c r="C2808" s="4" t="s">
        <v>27</v>
      </c>
      <c r="D2808" s="6" t="s">
        <v>27</v>
      </c>
      <c r="E2808" s="6" t="s">
        <v>27</v>
      </c>
      <c r="F2808" s="6" t="s">
        <v>27</v>
      </c>
      <c r="G2808" s="4" t="s">
        <v>27</v>
      </c>
      <c r="H2808" s="4" t="s">
        <v>27</v>
      </c>
      <c r="I2808" s="4" t="s">
        <v>27</v>
      </c>
      <c r="J2808" s="4" t="s">
        <v>27</v>
      </c>
      <c r="K2808" s="4" t="s">
        <v>27</v>
      </c>
      <c r="L2808" s="4" t="s">
        <v>27</v>
      </c>
      <c r="M2808" s="4" t="s">
        <v>27</v>
      </c>
      <c r="N2808" s="4" t="s">
        <v>27</v>
      </c>
    </row>
    <row r="2809" hidden="1">
      <c r="B2809" s="4" t="s">
        <v>27</v>
      </c>
      <c r="C2809" s="4" t="s">
        <v>27</v>
      </c>
      <c r="D2809" s="6" t="s">
        <v>27</v>
      </c>
      <c r="E2809" s="6" t="s">
        <v>27</v>
      </c>
      <c r="F2809" s="6" t="s">
        <v>27</v>
      </c>
      <c r="G2809" s="4" t="s">
        <v>27</v>
      </c>
      <c r="H2809" s="4" t="s">
        <v>27</v>
      </c>
      <c r="I2809" s="4" t="s">
        <v>27</v>
      </c>
      <c r="J2809" s="4" t="s">
        <v>27</v>
      </c>
      <c r="K2809" s="4" t="s">
        <v>27</v>
      </c>
      <c r="L2809" s="4" t="s">
        <v>27</v>
      </c>
      <c r="M2809" s="4" t="s">
        <v>27</v>
      </c>
      <c r="N2809" s="4" t="s">
        <v>27</v>
      </c>
    </row>
    <row r="2810" hidden="1">
      <c r="B2810" s="4" t="s">
        <v>27</v>
      </c>
      <c r="C2810" s="4" t="s">
        <v>27</v>
      </c>
      <c r="D2810" s="6" t="s">
        <v>27</v>
      </c>
      <c r="E2810" s="6" t="s">
        <v>27</v>
      </c>
      <c r="F2810" s="6" t="s">
        <v>27</v>
      </c>
      <c r="G2810" s="4" t="s">
        <v>27</v>
      </c>
      <c r="H2810" s="4" t="s">
        <v>27</v>
      </c>
      <c r="I2810" s="4" t="s">
        <v>27</v>
      </c>
      <c r="J2810" s="4" t="s">
        <v>27</v>
      </c>
      <c r="K2810" s="4" t="s">
        <v>27</v>
      </c>
      <c r="L2810" s="4" t="s">
        <v>27</v>
      </c>
      <c r="M2810" s="4" t="s">
        <v>27</v>
      </c>
      <c r="N2810" s="4" t="s">
        <v>27</v>
      </c>
    </row>
    <row r="2811" hidden="1">
      <c r="B2811" s="4" t="s">
        <v>27</v>
      </c>
      <c r="C2811" s="4" t="s">
        <v>27</v>
      </c>
      <c r="D2811" s="6" t="s">
        <v>27</v>
      </c>
      <c r="E2811" s="6" t="s">
        <v>27</v>
      </c>
      <c r="F2811" s="6" t="s">
        <v>27</v>
      </c>
      <c r="G2811" s="4" t="s">
        <v>27</v>
      </c>
      <c r="H2811" s="4" t="s">
        <v>27</v>
      </c>
      <c r="I2811" s="4" t="s">
        <v>27</v>
      </c>
      <c r="J2811" s="4" t="s">
        <v>27</v>
      </c>
      <c r="K2811" s="4" t="s">
        <v>27</v>
      </c>
      <c r="L2811" s="4" t="s">
        <v>27</v>
      </c>
      <c r="M2811" s="4" t="s">
        <v>27</v>
      </c>
      <c r="N2811" s="4" t="s">
        <v>27</v>
      </c>
    </row>
    <row r="2812" hidden="1">
      <c r="B2812" s="4" t="s">
        <v>27</v>
      </c>
      <c r="C2812" s="4" t="s">
        <v>27</v>
      </c>
      <c r="D2812" s="6" t="s">
        <v>27</v>
      </c>
      <c r="E2812" s="6" t="s">
        <v>27</v>
      </c>
      <c r="F2812" s="6" t="s">
        <v>27</v>
      </c>
      <c r="G2812" s="4" t="s">
        <v>27</v>
      </c>
      <c r="H2812" s="4" t="s">
        <v>27</v>
      </c>
      <c r="I2812" s="4" t="s">
        <v>27</v>
      </c>
      <c r="J2812" s="4" t="s">
        <v>27</v>
      </c>
      <c r="K2812" s="4" t="s">
        <v>27</v>
      </c>
      <c r="L2812" s="4" t="s">
        <v>27</v>
      </c>
      <c r="M2812" s="4" t="s">
        <v>27</v>
      </c>
      <c r="N2812" s="4" t="s">
        <v>27</v>
      </c>
    </row>
    <row r="2813" hidden="1">
      <c r="B2813" s="4" t="s">
        <v>27</v>
      </c>
      <c r="C2813" s="4" t="s">
        <v>27</v>
      </c>
      <c r="D2813" s="6" t="s">
        <v>27</v>
      </c>
      <c r="E2813" s="6" t="s">
        <v>27</v>
      </c>
      <c r="F2813" s="6" t="s">
        <v>27</v>
      </c>
      <c r="G2813" s="4" t="s">
        <v>27</v>
      </c>
      <c r="H2813" s="4" t="s">
        <v>27</v>
      </c>
      <c r="I2813" s="4" t="s">
        <v>27</v>
      </c>
      <c r="J2813" s="4" t="s">
        <v>27</v>
      </c>
      <c r="K2813" s="4" t="s">
        <v>27</v>
      </c>
      <c r="L2813" s="4" t="s">
        <v>27</v>
      </c>
      <c r="M2813" s="4" t="s">
        <v>27</v>
      </c>
      <c r="N2813" s="4" t="s">
        <v>27</v>
      </c>
    </row>
    <row r="2814" hidden="1">
      <c r="B2814" s="4" t="s">
        <v>27</v>
      </c>
      <c r="C2814" s="4" t="s">
        <v>27</v>
      </c>
      <c r="D2814" s="6" t="s">
        <v>27</v>
      </c>
      <c r="E2814" s="6" t="s">
        <v>27</v>
      </c>
      <c r="F2814" s="6" t="s">
        <v>27</v>
      </c>
      <c r="G2814" s="4" t="s">
        <v>27</v>
      </c>
      <c r="H2814" s="4" t="s">
        <v>27</v>
      </c>
      <c r="I2814" s="4" t="s">
        <v>27</v>
      </c>
      <c r="J2814" s="4" t="s">
        <v>27</v>
      </c>
      <c r="K2814" s="4" t="s">
        <v>27</v>
      </c>
      <c r="L2814" s="4" t="s">
        <v>27</v>
      </c>
      <c r="M2814" s="4" t="s">
        <v>27</v>
      </c>
      <c r="N2814" s="4" t="s">
        <v>27</v>
      </c>
    </row>
    <row r="2815" hidden="1">
      <c r="B2815" s="4" t="s">
        <v>27</v>
      </c>
      <c r="C2815" s="4" t="s">
        <v>27</v>
      </c>
      <c r="D2815" s="6" t="s">
        <v>27</v>
      </c>
      <c r="E2815" s="6" t="s">
        <v>27</v>
      </c>
      <c r="F2815" s="6" t="s">
        <v>27</v>
      </c>
      <c r="G2815" s="4" t="s">
        <v>27</v>
      </c>
      <c r="H2815" s="4" t="s">
        <v>27</v>
      </c>
      <c r="I2815" s="4" t="s">
        <v>27</v>
      </c>
      <c r="J2815" s="4" t="s">
        <v>27</v>
      </c>
      <c r="K2815" s="4" t="s">
        <v>27</v>
      </c>
      <c r="L2815" s="4" t="s">
        <v>27</v>
      </c>
      <c r="M2815" s="4" t="s">
        <v>27</v>
      </c>
      <c r="N2815" s="4" t="s">
        <v>27</v>
      </c>
    </row>
    <row r="2816" hidden="1">
      <c r="B2816" s="4" t="s">
        <v>27</v>
      </c>
      <c r="C2816" s="4" t="s">
        <v>27</v>
      </c>
      <c r="D2816" s="6" t="s">
        <v>27</v>
      </c>
      <c r="E2816" s="6" t="s">
        <v>27</v>
      </c>
      <c r="F2816" s="6" t="s">
        <v>27</v>
      </c>
      <c r="G2816" s="4" t="s">
        <v>27</v>
      </c>
      <c r="H2816" s="4" t="s">
        <v>27</v>
      </c>
      <c r="I2816" s="4" t="s">
        <v>27</v>
      </c>
      <c r="J2816" s="4" t="s">
        <v>27</v>
      </c>
      <c r="K2816" s="4" t="s">
        <v>27</v>
      </c>
      <c r="L2816" s="4" t="s">
        <v>27</v>
      </c>
      <c r="M2816" s="4" t="s">
        <v>27</v>
      </c>
      <c r="N2816" s="4" t="s">
        <v>27</v>
      </c>
    </row>
    <row r="2817" hidden="1">
      <c r="B2817" s="4" t="s">
        <v>27</v>
      </c>
      <c r="C2817" s="4" t="s">
        <v>27</v>
      </c>
      <c r="D2817" s="6" t="s">
        <v>27</v>
      </c>
      <c r="E2817" s="6" t="s">
        <v>27</v>
      </c>
      <c r="F2817" s="6" t="s">
        <v>27</v>
      </c>
      <c r="G2817" s="4" t="s">
        <v>27</v>
      </c>
      <c r="H2817" s="4" t="s">
        <v>27</v>
      </c>
      <c r="I2817" s="4" t="s">
        <v>27</v>
      </c>
      <c r="J2817" s="4" t="s">
        <v>27</v>
      </c>
      <c r="K2817" s="4" t="s">
        <v>27</v>
      </c>
      <c r="L2817" s="4" t="s">
        <v>27</v>
      </c>
      <c r="M2817" s="4" t="s">
        <v>27</v>
      </c>
      <c r="N2817" s="4" t="s">
        <v>27</v>
      </c>
    </row>
    <row r="2818" hidden="1">
      <c r="B2818" s="4" t="s">
        <v>27</v>
      </c>
      <c r="C2818" s="4" t="s">
        <v>27</v>
      </c>
      <c r="D2818" s="6" t="s">
        <v>27</v>
      </c>
      <c r="E2818" s="6" t="s">
        <v>27</v>
      </c>
      <c r="F2818" s="6" t="s">
        <v>27</v>
      </c>
      <c r="G2818" s="4" t="s">
        <v>27</v>
      </c>
      <c r="H2818" s="4" t="s">
        <v>27</v>
      </c>
      <c r="I2818" s="4" t="s">
        <v>27</v>
      </c>
      <c r="J2818" s="4" t="s">
        <v>27</v>
      </c>
      <c r="K2818" s="4" t="s">
        <v>27</v>
      </c>
      <c r="L2818" s="4" t="s">
        <v>27</v>
      </c>
      <c r="M2818" s="4" t="s">
        <v>27</v>
      </c>
      <c r="N2818" s="4" t="s">
        <v>27</v>
      </c>
    </row>
    <row r="2819" hidden="1">
      <c r="B2819" s="4" t="s">
        <v>27</v>
      </c>
      <c r="C2819" s="4" t="s">
        <v>27</v>
      </c>
      <c r="D2819" s="6" t="s">
        <v>27</v>
      </c>
      <c r="E2819" s="6" t="s">
        <v>27</v>
      </c>
      <c r="F2819" s="6" t="s">
        <v>27</v>
      </c>
      <c r="G2819" s="4" t="s">
        <v>27</v>
      </c>
      <c r="H2819" s="4" t="s">
        <v>27</v>
      </c>
      <c r="I2819" s="4" t="s">
        <v>27</v>
      </c>
      <c r="J2819" s="4" t="s">
        <v>27</v>
      </c>
      <c r="K2819" s="4" t="s">
        <v>27</v>
      </c>
      <c r="L2819" s="4" t="s">
        <v>27</v>
      </c>
      <c r="M2819" s="4" t="s">
        <v>27</v>
      </c>
      <c r="N2819" s="4" t="s">
        <v>27</v>
      </c>
    </row>
    <row r="2820" hidden="1">
      <c r="B2820" s="4" t="s">
        <v>27</v>
      </c>
      <c r="C2820" s="4" t="s">
        <v>27</v>
      </c>
      <c r="D2820" s="6" t="s">
        <v>27</v>
      </c>
      <c r="E2820" s="6" t="s">
        <v>27</v>
      </c>
      <c r="F2820" s="6" t="s">
        <v>27</v>
      </c>
      <c r="G2820" s="4" t="s">
        <v>27</v>
      </c>
      <c r="H2820" s="4" t="s">
        <v>27</v>
      </c>
      <c r="I2820" s="4" t="s">
        <v>27</v>
      </c>
      <c r="J2820" s="4" t="s">
        <v>27</v>
      </c>
      <c r="K2820" s="4" t="s">
        <v>27</v>
      </c>
      <c r="L2820" s="4" t="s">
        <v>27</v>
      </c>
      <c r="M2820" s="4" t="s">
        <v>27</v>
      </c>
      <c r="N2820" s="4" t="s">
        <v>27</v>
      </c>
    </row>
    <row r="2821" hidden="1">
      <c r="B2821" s="4" t="s">
        <v>27</v>
      </c>
      <c r="C2821" s="4" t="s">
        <v>27</v>
      </c>
      <c r="D2821" s="6" t="s">
        <v>27</v>
      </c>
      <c r="E2821" s="6" t="s">
        <v>27</v>
      </c>
      <c r="F2821" s="6" t="s">
        <v>27</v>
      </c>
      <c r="G2821" s="4" t="s">
        <v>27</v>
      </c>
      <c r="H2821" s="4" t="s">
        <v>27</v>
      </c>
      <c r="I2821" s="4" t="s">
        <v>27</v>
      </c>
      <c r="J2821" s="4" t="s">
        <v>27</v>
      </c>
      <c r="K2821" s="4" t="s">
        <v>27</v>
      </c>
      <c r="L2821" s="4" t="s">
        <v>27</v>
      </c>
      <c r="M2821" s="4" t="s">
        <v>27</v>
      </c>
      <c r="N2821" s="4" t="s">
        <v>27</v>
      </c>
    </row>
    <row r="2822" hidden="1">
      <c r="B2822" s="4" t="s">
        <v>27</v>
      </c>
      <c r="C2822" s="4" t="s">
        <v>27</v>
      </c>
      <c r="D2822" s="6" t="s">
        <v>27</v>
      </c>
      <c r="E2822" s="6" t="s">
        <v>27</v>
      </c>
      <c r="F2822" s="6" t="s">
        <v>27</v>
      </c>
      <c r="G2822" s="4" t="s">
        <v>27</v>
      </c>
      <c r="H2822" s="4" t="s">
        <v>27</v>
      </c>
      <c r="I2822" s="4" t="s">
        <v>27</v>
      </c>
      <c r="J2822" s="4" t="s">
        <v>27</v>
      </c>
      <c r="K2822" s="4" t="s">
        <v>27</v>
      </c>
      <c r="L2822" s="4" t="s">
        <v>27</v>
      </c>
      <c r="M2822" s="4" t="s">
        <v>27</v>
      </c>
      <c r="N2822" s="4" t="s">
        <v>27</v>
      </c>
    </row>
    <row r="2823" hidden="1">
      <c r="B2823" s="4" t="s">
        <v>27</v>
      </c>
      <c r="C2823" s="4" t="s">
        <v>27</v>
      </c>
      <c r="D2823" s="6" t="s">
        <v>27</v>
      </c>
      <c r="E2823" s="6" t="s">
        <v>27</v>
      </c>
      <c r="F2823" s="6" t="s">
        <v>27</v>
      </c>
      <c r="G2823" s="4" t="s">
        <v>27</v>
      </c>
      <c r="H2823" s="4" t="s">
        <v>27</v>
      </c>
      <c r="I2823" s="4" t="s">
        <v>27</v>
      </c>
      <c r="J2823" s="4" t="s">
        <v>27</v>
      </c>
      <c r="K2823" s="4" t="s">
        <v>27</v>
      </c>
      <c r="L2823" s="4" t="s">
        <v>27</v>
      </c>
      <c r="M2823" s="4" t="s">
        <v>27</v>
      </c>
      <c r="N2823" s="4" t="s">
        <v>27</v>
      </c>
    </row>
    <row r="2824" hidden="1">
      <c r="B2824" s="4" t="s">
        <v>27</v>
      </c>
      <c r="C2824" s="4" t="s">
        <v>27</v>
      </c>
      <c r="D2824" s="6" t="s">
        <v>27</v>
      </c>
      <c r="E2824" s="6" t="s">
        <v>27</v>
      </c>
      <c r="F2824" s="6" t="s">
        <v>27</v>
      </c>
      <c r="G2824" s="4" t="s">
        <v>27</v>
      </c>
      <c r="H2824" s="4" t="s">
        <v>27</v>
      </c>
      <c r="I2824" s="4" t="s">
        <v>27</v>
      </c>
      <c r="J2824" s="4" t="s">
        <v>27</v>
      </c>
      <c r="K2824" s="4" t="s">
        <v>27</v>
      </c>
      <c r="L2824" s="4" t="s">
        <v>27</v>
      </c>
      <c r="M2824" s="4" t="s">
        <v>27</v>
      </c>
      <c r="N2824" s="4" t="s">
        <v>27</v>
      </c>
    </row>
    <row r="2825" hidden="1">
      <c r="B2825" s="4" t="s">
        <v>27</v>
      </c>
      <c r="C2825" s="4" t="s">
        <v>27</v>
      </c>
      <c r="D2825" s="6" t="s">
        <v>27</v>
      </c>
      <c r="E2825" s="6" t="s">
        <v>27</v>
      </c>
      <c r="F2825" s="6" t="s">
        <v>27</v>
      </c>
      <c r="G2825" s="4" t="s">
        <v>27</v>
      </c>
      <c r="H2825" s="4" t="s">
        <v>27</v>
      </c>
      <c r="I2825" s="4" t="s">
        <v>27</v>
      </c>
      <c r="J2825" s="4" t="s">
        <v>27</v>
      </c>
      <c r="K2825" s="4" t="s">
        <v>27</v>
      </c>
      <c r="L2825" s="4" t="s">
        <v>27</v>
      </c>
      <c r="M2825" s="4" t="s">
        <v>27</v>
      </c>
      <c r="N2825" s="4" t="s">
        <v>27</v>
      </c>
    </row>
    <row r="2826" hidden="1">
      <c r="B2826" s="4" t="s">
        <v>27</v>
      </c>
      <c r="C2826" s="4" t="s">
        <v>27</v>
      </c>
      <c r="D2826" s="6" t="s">
        <v>27</v>
      </c>
      <c r="E2826" s="6" t="s">
        <v>27</v>
      </c>
      <c r="F2826" s="6" t="s">
        <v>27</v>
      </c>
      <c r="G2826" s="4" t="s">
        <v>27</v>
      </c>
      <c r="H2826" s="4" t="s">
        <v>27</v>
      </c>
      <c r="I2826" s="4" t="s">
        <v>27</v>
      </c>
      <c r="J2826" s="4" t="s">
        <v>27</v>
      </c>
      <c r="K2826" s="4" t="s">
        <v>27</v>
      </c>
      <c r="L2826" s="4" t="s">
        <v>27</v>
      </c>
      <c r="M2826" s="4" t="s">
        <v>27</v>
      </c>
      <c r="N2826" s="4" t="s">
        <v>27</v>
      </c>
    </row>
    <row r="2827" hidden="1">
      <c r="B2827" s="4" t="s">
        <v>27</v>
      </c>
      <c r="C2827" s="4" t="s">
        <v>27</v>
      </c>
      <c r="D2827" s="6" t="s">
        <v>27</v>
      </c>
      <c r="E2827" s="6" t="s">
        <v>27</v>
      </c>
      <c r="F2827" s="6" t="s">
        <v>27</v>
      </c>
      <c r="G2827" s="4" t="s">
        <v>27</v>
      </c>
      <c r="H2827" s="4" t="s">
        <v>27</v>
      </c>
      <c r="I2827" s="4" t="s">
        <v>27</v>
      </c>
      <c r="J2827" s="4" t="s">
        <v>27</v>
      </c>
      <c r="K2827" s="4" t="s">
        <v>27</v>
      </c>
      <c r="L2827" s="4" t="s">
        <v>27</v>
      </c>
      <c r="M2827" s="4" t="s">
        <v>27</v>
      </c>
      <c r="N2827" s="4" t="s">
        <v>27</v>
      </c>
    </row>
    <row r="2828" hidden="1">
      <c r="B2828" s="4" t="s">
        <v>27</v>
      </c>
      <c r="C2828" s="4" t="s">
        <v>27</v>
      </c>
      <c r="D2828" s="6" t="s">
        <v>27</v>
      </c>
      <c r="E2828" s="6" t="s">
        <v>27</v>
      </c>
      <c r="F2828" s="6" t="s">
        <v>27</v>
      </c>
      <c r="G2828" s="4" t="s">
        <v>27</v>
      </c>
      <c r="H2828" s="4" t="s">
        <v>27</v>
      </c>
      <c r="I2828" s="4" t="s">
        <v>27</v>
      </c>
      <c r="J2828" s="4" t="s">
        <v>27</v>
      </c>
      <c r="K2828" s="4" t="s">
        <v>27</v>
      </c>
      <c r="L2828" s="4" t="s">
        <v>27</v>
      </c>
      <c r="M2828" s="4" t="s">
        <v>27</v>
      </c>
      <c r="N2828" s="4" t="s">
        <v>27</v>
      </c>
    </row>
    <row r="2829" hidden="1">
      <c r="B2829" s="4" t="s">
        <v>27</v>
      </c>
      <c r="C2829" s="4" t="s">
        <v>27</v>
      </c>
      <c r="D2829" s="6" t="s">
        <v>27</v>
      </c>
      <c r="E2829" s="6" t="s">
        <v>27</v>
      </c>
      <c r="F2829" s="6" t="s">
        <v>27</v>
      </c>
      <c r="G2829" s="4" t="s">
        <v>27</v>
      </c>
      <c r="H2829" s="4" t="s">
        <v>27</v>
      </c>
      <c r="I2829" s="4" t="s">
        <v>27</v>
      </c>
      <c r="J2829" s="4" t="s">
        <v>27</v>
      </c>
      <c r="K2829" s="4" t="s">
        <v>27</v>
      </c>
      <c r="L2829" s="4" t="s">
        <v>27</v>
      </c>
      <c r="M2829" s="4" t="s">
        <v>27</v>
      </c>
      <c r="N2829" s="4" t="s">
        <v>27</v>
      </c>
    </row>
    <row r="2830" hidden="1">
      <c r="B2830" s="4" t="s">
        <v>27</v>
      </c>
      <c r="C2830" s="4" t="s">
        <v>27</v>
      </c>
      <c r="D2830" s="6" t="s">
        <v>27</v>
      </c>
      <c r="E2830" s="6" t="s">
        <v>27</v>
      </c>
      <c r="F2830" s="6" t="s">
        <v>27</v>
      </c>
      <c r="G2830" s="4" t="s">
        <v>27</v>
      </c>
      <c r="H2830" s="4" t="s">
        <v>27</v>
      </c>
      <c r="I2830" s="4" t="s">
        <v>27</v>
      </c>
      <c r="J2830" s="4" t="s">
        <v>27</v>
      </c>
      <c r="K2830" s="4" t="s">
        <v>27</v>
      </c>
      <c r="L2830" s="4" t="s">
        <v>27</v>
      </c>
      <c r="M2830" s="4" t="s">
        <v>27</v>
      </c>
      <c r="N2830" s="4" t="s">
        <v>27</v>
      </c>
    </row>
    <row r="2831" hidden="1">
      <c r="B2831" s="4" t="s">
        <v>27</v>
      </c>
      <c r="C2831" s="4" t="s">
        <v>27</v>
      </c>
      <c r="D2831" s="6" t="s">
        <v>27</v>
      </c>
      <c r="E2831" s="6" t="s">
        <v>27</v>
      </c>
      <c r="F2831" s="6" t="s">
        <v>27</v>
      </c>
      <c r="G2831" s="4" t="s">
        <v>27</v>
      </c>
      <c r="H2831" s="4" t="s">
        <v>27</v>
      </c>
      <c r="I2831" s="4" t="s">
        <v>27</v>
      </c>
      <c r="J2831" s="4" t="s">
        <v>27</v>
      </c>
      <c r="K2831" s="4" t="s">
        <v>27</v>
      </c>
      <c r="L2831" s="4" t="s">
        <v>27</v>
      </c>
      <c r="M2831" s="4" t="s">
        <v>27</v>
      </c>
      <c r="N2831" s="4" t="s">
        <v>27</v>
      </c>
    </row>
    <row r="2832" hidden="1">
      <c r="B2832" s="4" t="s">
        <v>27</v>
      </c>
      <c r="C2832" s="4" t="s">
        <v>27</v>
      </c>
      <c r="D2832" s="6" t="s">
        <v>27</v>
      </c>
      <c r="E2832" s="6" t="s">
        <v>27</v>
      </c>
      <c r="F2832" s="6" t="s">
        <v>27</v>
      </c>
      <c r="G2832" s="4" t="s">
        <v>27</v>
      </c>
      <c r="H2832" s="4" t="s">
        <v>27</v>
      </c>
      <c r="I2832" s="4" t="s">
        <v>27</v>
      </c>
      <c r="J2832" s="4" t="s">
        <v>27</v>
      </c>
      <c r="K2832" s="4" t="s">
        <v>27</v>
      </c>
      <c r="L2832" s="4" t="s">
        <v>27</v>
      </c>
      <c r="M2832" s="4" t="s">
        <v>27</v>
      </c>
      <c r="N2832" s="4" t="s">
        <v>27</v>
      </c>
    </row>
    <row r="2833" hidden="1">
      <c r="B2833" s="4" t="s">
        <v>27</v>
      </c>
      <c r="C2833" s="4" t="s">
        <v>27</v>
      </c>
      <c r="D2833" s="6" t="s">
        <v>27</v>
      </c>
      <c r="E2833" s="6" t="s">
        <v>27</v>
      </c>
      <c r="F2833" s="6" t="s">
        <v>27</v>
      </c>
      <c r="G2833" s="4" t="s">
        <v>27</v>
      </c>
      <c r="H2833" s="4" t="s">
        <v>27</v>
      </c>
      <c r="I2833" s="4" t="s">
        <v>27</v>
      </c>
      <c r="J2833" s="4" t="s">
        <v>27</v>
      </c>
      <c r="K2833" s="4" t="s">
        <v>27</v>
      </c>
      <c r="L2833" s="4" t="s">
        <v>27</v>
      </c>
      <c r="M2833" s="4" t="s">
        <v>27</v>
      </c>
      <c r="N2833" s="4" t="s">
        <v>27</v>
      </c>
    </row>
    <row r="2834" hidden="1">
      <c r="B2834" s="4" t="s">
        <v>27</v>
      </c>
      <c r="C2834" s="4" t="s">
        <v>27</v>
      </c>
      <c r="D2834" s="6" t="s">
        <v>27</v>
      </c>
      <c r="E2834" s="6" t="s">
        <v>27</v>
      </c>
      <c r="F2834" s="6" t="s">
        <v>27</v>
      </c>
      <c r="G2834" s="4" t="s">
        <v>27</v>
      </c>
      <c r="H2834" s="4" t="s">
        <v>27</v>
      </c>
      <c r="I2834" s="4" t="s">
        <v>27</v>
      </c>
      <c r="J2834" s="4" t="s">
        <v>27</v>
      </c>
      <c r="K2834" s="4" t="s">
        <v>27</v>
      </c>
      <c r="L2834" s="4" t="s">
        <v>27</v>
      </c>
      <c r="M2834" s="4" t="s">
        <v>27</v>
      </c>
      <c r="N2834" s="4" t="s">
        <v>27</v>
      </c>
    </row>
    <row r="2835" hidden="1">
      <c r="B2835" s="4" t="s">
        <v>27</v>
      </c>
      <c r="C2835" s="4" t="s">
        <v>27</v>
      </c>
      <c r="D2835" s="6" t="s">
        <v>27</v>
      </c>
      <c r="E2835" s="6" t="s">
        <v>27</v>
      </c>
      <c r="F2835" s="6" t="s">
        <v>27</v>
      </c>
      <c r="G2835" s="4" t="s">
        <v>27</v>
      </c>
      <c r="H2835" s="4" t="s">
        <v>27</v>
      </c>
      <c r="I2835" s="4" t="s">
        <v>27</v>
      </c>
      <c r="J2835" s="4" t="s">
        <v>27</v>
      </c>
      <c r="K2835" s="4" t="s">
        <v>27</v>
      </c>
      <c r="L2835" s="4" t="s">
        <v>27</v>
      </c>
      <c r="M2835" s="4" t="s">
        <v>27</v>
      </c>
      <c r="N2835" s="4" t="s">
        <v>27</v>
      </c>
    </row>
    <row r="2836" hidden="1">
      <c r="B2836" s="4" t="s">
        <v>27</v>
      </c>
      <c r="C2836" s="4" t="s">
        <v>27</v>
      </c>
      <c r="D2836" s="6" t="s">
        <v>27</v>
      </c>
      <c r="E2836" s="6" t="s">
        <v>27</v>
      </c>
      <c r="F2836" s="6" t="s">
        <v>27</v>
      </c>
      <c r="G2836" s="4" t="s">
        <v>27</v>
      </c>
      <c r="H2836" s="4" t="s">
        <v>27</v>
      </c>
      <c r="I2836" s="4" t="s">
        <v>27</v>
      </c>
      <c r="J2836" s="4" t="s">
        <v>27</v>
      </c>
      <c r="K2836" s="4" t="s">
        <v>27</v>
      </c>
      <c r="L2836" s="4" t="s">
        <v>27</v>
      </c>
      <c r="M2836" s="4" t="s">
        <v>27</v>
      </c>
      <c r="N2836" s="4" t="s">
        <v>27</v>
      </c>
    </row>
    <row r="2837" hidden="1">
      <c r="B2837" s="4" t="s">
        <v>27</v>
      </c>
      <c r="C2837" s="4" t="s">
        <v>27</v>
      </c>
      <c r="D2837" s="6" t="s">
        <v>27</v>
      </c>
      <c r="E2837" s="6" t="s">
        <v>27</v>
      </c>
      <c r="F2837" s="6" t="s">
        <v>27</v>
      </c>
      <c r="G2837" s="4" t="s">
        <v>27</v>
      </c>
      <c r="H2837" s="4" t="s">
        <v>27</v>
      </c>
      <c r="I2837" s="4" t="s">
        <v>27</v>
      </c>
      <c r="J2837" s="4" t="s">
        <v>27</v>
      </c>
      <c r="K2837" s="4" t="s">
        <v>27</v>
      </c>
      <c r="L2837" s="4" t="s">
        <v>27</v>
      </c>
      <c r="M2837" s="4" t="s">
        <v>27</v>
      </c>
      <c r="N2837" s="4" t="s">
        <v>27</v>
      </c>
    </row>
    <row r="2838" hidden="1">
      <c r="B2838" s="4" t="s">
        <v>27</v>
      </c>
      <c r="C2838" s="4" t="s">
        <v>27</v>
      </c>
      <c r="D2838" s="6" t="s">
        <v>27</v>
      </c>
      <c r="E2838" s="6" t="s">
        <v>27</v>
      </c>
      <c r="F2838" s="6" t="s">
        <v>27</v>
      </c>
      <c r="G2838" s="4" t="s">
        <v>27</v>
      </c>
      <c r="H2838" s="4" t="s">
        <v>27</v>
      </c>
      <c r="I2838" s="4" t="s">
        <v>27</v>
      </c>
      <c r="J2838" s="4" t="s">
        <v>27</v>
      </c>
      <c r="K2838" s="4" t="s">
        <v>27</v>
      </c>
      <c r="L2838" s="4" t="s">
        <v>27</v>
      </c>
      <c r="M2838" s="4" t="s">
        <v>27</v>
      </c>
      <c r="N2838" s="4" t="s">
        <v>27</v>
      </c>
    </row>
    <row r="2839" hidden="1">
      <c r="B2839" s="4" t="s">
        <v>27</v>
      </c>
      <c r="C2839" s="4" t="s">
        <v>27</v>
      </c>
      <c r="D2839" s="6" t="s">
        <v>27</v>
      </c>
      <c r="E2839" s="6" t="s">
        <v>27</v>
      </c>
      <c r="F2839" s="6" t="s">
        <v>27</v>
      </c>
      <c r="G2839" s="4" t="s">
        <v>27</v>
      </c>
      <c r="H2839" s="4" t="s">
        <v>27</v>
      </c>
      <c r="I2839" s="4" t="s">
        <v>27</v>
      </c>
      <c r="J2839" s="4" t="s">
        <v>27</v>
      </c>
      <c r="K2839" s="4" t="s">
        <v>27</v>
      </c>
      <c r="L2839" s="4" t="s">
        <v>27</v>
      </c>
      <c r="M2839" s="4" t="s">
        <v>27</v>
      </c>
      <c r="N2839" s="4" t="s">
        <v>27</v>
      </c>
    </row>
    <row r="2840" hidden="1">
      <c r="B2840" s="4" t="s">
        <v>27</v>
      </c>
      <c r="C2840" s="4" t="s">
        <v>27</v>
      </c>
      <c r="D2840" s="6" t="s">
        <v>27</v>
      </c>
      <c r="E2840" s="6" t="s">
        <v>27</v>
      </c>
      <c r="F2840" s="6" t="s">
        <v>27</v>
      </c>
      <c r="G2840" s="4" t="s">
        <v>27</v>
      </c>
      <c r="H2840" s="4" t="s">
        <v>27</v>
      </c>
      <c r="I2840" s="4" t="s">
        <v>27</v>
      </c>
      <c r="J2840" s="4" t="s">
        <v>27</v>
      </c>
      <c r="K2840" s="4" t="s">
        <v>27</v>
      </c>
      <c r="L2840" s="4" t="s">
        <v>27</v>
      </c>
      <c r="M2840" s="4" t="s">
        <v>27</v>
      </c>
      <c r="N2840" s="4" t="s">
        <v>27</v>
      </c>
    </row>
    <row r="2841" hidden="1">
      <c r="B2841" s="4" t="s">
        <v>27</v>
      </c>
      <c r="C2841" s="4" t="s">
        <v>27</v>
      </c>
      <c r="D2841" s="6" t="s">
        <v>27</v>
      </c>
      <c r="E2841" s="6" t="s">
        <v>27</v>
      </c>
      <c r="F2841" s="6" t="s">
        <v>27</v>
      </c>
      <c r="G2841" s="4" t="s">
        <v>27</v>
      </c>
      <c r="H2841" s="4" t="s">
        <v>27</v>
      </c>
      <c r="I2841" s="4" t="s">
        <v>27</v>
      </c>
      <c r="J2841" s="4" t="s">
        <v>27</v>
      </c>
      <c r="K2841" s="4" t="s">
        <v>27</v>
      </c>
      <c r="L2841" s="4" t="s">
        <v>27</v>
      </c>
      <c r="M2841" s="4" t="s">
        <v>27</v>
      </c>
      <c r="N2841" s="4" t="s">
        <v>27</v>
      </c>
    </row>
    <row r="2842" hidden="1">
      <c r="B2842" s="4" t="s">
        <v>27</v>
      </c>
      <c r="C2842" s="4" t="s">
        <v>27</v>
      </c>
      <c r="D2842" s="6" t="s">
        <v>27</v>
      </c>
      <c r="E2842" s="6" t="s">
        <v>27</v>
      </c>
      <c r="F2842" s="6" t="s">
        <v>27</v>
      </c>
      <c r="G2842" s="4" t="s">
        <v>27</v>
      </c>
      <c r="H2842" s="4" t="s">
        <v>27</v>
      </c>
      <c r="I2842" s="4" t="s">
        <v>27</v>
      </c>
      <c r="J2842" s="4" t="s">
        <v>27</v>
      </c>
      <c r="K2842" s="4" t="s">
        <v>27</v>
      </c>
      <c r="L2842" s="4" t="s">
        <v>27</v>
      </c>
      <c r="M2842" s="4" t="s">
        <v>27</v>
      </c>
      <c r="N2842" s="4" t="s">
        <v>27</v>
      </c>
    </row>
    <row r="2843" hidden="1">
      <c r="B2843" s="4" t="s">
        <v>27</v>
      </c>
      <c r="C2843" s="4" t="s">
        <v>27</v>
      </c>
      <c r="D2843" s="6" t="s">
        <v>27</v>
      </c>
      <c r="E2843" s="6" t="s">
        <v>27</v>
      </c>
      <c r="F2843" s="6" t="s">
        <v>27</v>
      </c>
      <c r="G2843" s="4" t="s">
        <v>27</v>
      </c>
      <c r="H2843" s="4" t="s">
        <v>27</v>
      </c>
      <c r="I2843" s="4" t="s">
        <v>27</v>
      </c>
      <c r="J2843" s="4" t="s">
        <v>27</v>
      </c>
      <c r="K2843" s="4" t="s">
        <v>27</v>
      </c>
      <c r="L2843" s="4" t="s">
        <v>27</v>
      </c>
      <c r="M2843" s="4" t="s">
        <v>27</v>
      </c>
      <c r="N2843" s="4" t="s">
        <v>27</v>
      </c>
    </row>
    <row r="2844" hidden="1">
      <c r="B2844" s="4" t="s">
        <v>27</v>
      </c>
      <c r="C2844" s="4" t="s">
        <v>27</v>
      </c>
      <c r="D2844" s="6" t="s">
        <v>27</v>
      </c>
      <c r="E2844" s="6" t="s">
        <v>27</v>
      </c>
      <c r="F2844" s="6" t="s">
        <v>27</v>
      </c>
      <c r="G2844" s="4" t="s">
        <v>27</v>
      </c>
      <c r="H2844" s="4" t="s">
        <v>27</v>
      </c>
      <c r="I2844" s="4" t="s">
        <v>27</v>
      </c>
      <c r="J2844" s="4" t="s">
        <v>27</v>
      </c>
      <c r="K2844" s="4" t="s">
        <v>27</v>
      </c>
      <c r="L2844" s="4" t="s">
        <v>27</v>
      </c>
      <c r="M2844" s="4" t="s">
        <v>27</v>
      </c>
      <c r="N2844" s="4" t="s">
        <v>27</v>
      </c>
    </row>
    <row r="2845" hidden="1">
      <c r="B2845" s="4" t="s">
        <v>27</v>
      </c>
      <c r="C2845" s="4" t="s">
        <v>27</v>
      </c>
      <c r="D2845" s="6" t="s">
        <v>27</v>
      </c>
      <c r="E2845" s="6" t="s">
        <v>27</v>
      </c>
      <c r="F2845" s="6" t="s">
        <v>27</v>
      </c>
      <c r="G2845" s="4" t="s">
        <v>27</v>
      </c>
      <c r="H2845" s="4" t="s">
        <v>27</v>
      </c>
      <c r="I2845" s="4" t="s">
        <v>27</v>
      </c>
      <c r="J2845" s="4" t="s">
        <v>27</v>
      </c>
      <c r="K2845" s="4" t="s">
        <v>27</v>
      </c>
      <c r="L2845" s="4" t="s">
        <v>27</v>
      </c>
      <c r="M2845" s="4" t="s">
        <v>27</v>
      </c>
      <c r="N2845" s="4" t="s">
        <v>27</v>
      </c>
    </row>
    <row r="2846" hidden="1">
      <c r="B2846" s="4" t="s">
        <v>27</v>
      </c>
      <c r="C2846" s="4" t="s">
        <v>27</v>
      </c>
      <c r="D2846" s="6" t="s">
        <v>27</v>
      </c>
      <c r="E2846" s="6" t="s">
        <v>27</v>
      </c>
      <c r="F2846" s="6" t="s">
        <v>27</v>
      </c>
      <c r="G2846" s="4" t="s">
        <v>27</v>
      </c>
      <c r="H2846" s="4" t="s">
        <v>27</v>
      </c>
      <c r="I2846" s="4" t="s">
        <v>27</v>
      </c>
      <c r="J2846" s="4" t="s">
        <v>27</v>
      </c>
      <c r="K2846" s="4" t="s">
        <v>27</v>
      </c>
      <c r="L2846" s="4" t="s">
        <v>27</v>
      </c>
      <c r="M2846" s="4" t="s">
        <v>27</v>
      </c>
      <c r="N2846" s="4" t="s">
        <v>27</v>
      </c>
    </row>
    <row r="2847" hidden="1">
      <c r="B2847" s="4" t="s">
        <v>27</v>
      </c>
      <c r="C2847" s="4" t="s">
        <v>27</v>
      </c>
      <c r="D2847" s="6" t="s">
        <v>27</v>
      </c>
      <c r="E2847" s="6" t="s">
        <v>27</v>
      </c>
      <c r="F2847" s="6" t="s">
        <v>27</v>
      </c>
      <c r="G2847" s="4" t="s">
        <v>27</v>
      </c>
      <c r="H2847" s="4" t="s">
        <v>27</v>
      </c>
      <c r="I2847" s="4" t="s">
        <v>27</v>
      </c>
      <c r="J2847" s="4" t="s">
        <v>27</v>
      </c>
      <c r="K2847" s="4" t="s">
        <v>27</v>
      </c>
      <c r="L2847" s="4" t="s">
        <v>27</v>
      </c>
      <c r="M2847" s="4" t="s">
        <v>27</v>
      </c>
      <c r="N2847" s="4" t="s">
        <v>27</v>
      </c>
    </row>
    <row r="2848" hidden="1">
      <c r="B2848" s="4" t="s">
        <v>27</v>
      </c>
      <c r="C2848" s="4" t="s">
        <v>27</v>
      </c>
      <c r="D2848" s="6" t="s">
        <v>27</v>
      </c>
      <c r="E2848" s="6" t="s">
        <v>27</v>
      </c>
      <c r="F2848" s="6" t="s">
        <v>27</v>
      </c>
      <c r="G2848" s="4" t="s">
        <v>27</v>
      </c>
      <c r="H2848" s="4" t="s">
        <v>27</v>
      </c>
      <c r="I2848" s="4" t="s">
        <v>27</v>
      </c>
      <c r="J2848" s="4" t="s">
        <v>27</v>
      </c>
      <c r="K2848" s="4" t="s">
        <v>27</v>
      </c>
      <c r="L2848" s="4" t="s">
        <v>27</v>
      </c>
      <c r="M2848" s="4" t="s">
        <v>27</v>
      </c>
      <c r="N2848" s="4" t="s">
        <v>27</v>
      </c>
    </row>
    <row r="2849" hidden="1">
      <c r="B2849" s="4" t="s">
        <v>27</v>
      </c>
      <c r="C2849" s="4" t="s">
        <v>27</v>
      </c>
      <c r="D2849" s="6" t="s">
        <v>27</v>
      </c>
      <c r="E2849" s="6" t="s">
        <v>27</v>
      </c>
      <c r="F2849" s="6" t="s">
        <v>27</v>
      </c>
      <c r="G2849" s="4" t="s">
        <v>27</v>
      </c>
      <c r="H2849" s="4" t="s">
        <v>27</v>
      </c>
      <c r="I2849" s="4" t="s">
        <v>27</v>
      </c>
      <c r="J2849" s="4" t="s">
        <v>27</v>
      </c>
      <c r="K2849" s="4" t="s">
        <v>27</v>
      </c>
      <c r="L2849" s="4" t="s">
        <v>27</v>
      </c>
      <c r="M2849" s="4" t="s">
        <v>27</v>
      </c>
      <c r="N2849" s="4" t="s">
        <v>27</v>
      </c>
    </row>
    <row r="2850" hidden="1">
      <c r="B2850" s="4" t="s">
        <v>27</v>
      </c>
      <c r="C2850" s="4" t="s">
        <v>27</v>
      </c>
      <c r="D2850" s="6" t="s">
        <v>27</v>
      </c>
      <c r="E2850" s="6" t="s">
        <v>27</v>
      </c>
      <c r="F2850" s="6" t="s">
        <v>27</v>
      </c>
      <c r="G2850" s="4" t="s">
        <v>27</v>
      </c>
      <c r="H2850" s="4" t="s">
        <v>27</v>
      </c>
      <c r="I2850" s="4" t="s">
        <v>27</v>
      </c>
      <c r="J2850" s="4" t="s">
        <v>27</v>
      </c>
      <c r="K2850" s="4" t="s">
        <v>27</v>
      </c>
      <c r="L2850" s="4" t="s">
        <v>27</v>
      </c>
      <c r="M2850" s="4" t="s">
        <v>27</v>
      </c>
      <c r="N2850" s="4" t="s">
        <v>27</v>
      </c>
    </row>
    <row r="2851" hidden="1">
      <c r="B2851" s="4" t="s">
        <v>27</v>
      </c>
      <c r="C2851" s="4" t="s">
        <v>27</v>
      </c>
      <c r="D2851" s="6" t="s">
        <v>27</v>
      </c>
      <c r="E2851" s="6" t="s">
        <v>27</v>
      </c>
      <c r="F2851" s="6" t="s">
        <v>27</v>
      </c>
      <c r="G2851" s="4" t="s">
        <v>27</v>
      </c>
      <c r="H2851" s="4" t="s">
        <v>27</v>
      </c>
      <c r="I2851" s="4" t="s">
        <v>27</v>
      </c>
      <c r="J2851" s="4" t="s">
        <v>27</v>
      </c>
      <c r="K2851" s="4" t="s">
        <v>27</v>
      </c>
      <c r="L2851" s="4" t="s">
        <v>27</v>
      </c>
      <c r="M2851" s="4" t="s">
        <v>27</v>
      </c>
      <c r="N2851" s="4" t="s">
        <v>27</v>
      </c>
    </row>
    <row r="2852" hidden="1">
      <c r="B2852" s="4" t="s">
        <v>27</v>
      </c>
      <c r="C2852" s="4" t="s">
        <v>27</v>
      </c>
      <c r="D2852" s="6" t="s">
        <v>27</v>
      </c>
      <c r="E2852" s="6" t="s">
        <v>27</v>
      </c>
      <c r="F2852" s="6" t="s">
        <v>27</v>
      </c>
      <c r="G2852" s="4" t="s">
        <v>27</v>
      </c>
      <c r="H2852" s="4" t="s">
        <v>27</v>
      </c>
      <c r="I2852" s="4" t="s">
        <v>27</v>
      </c>
      <c r="J2852" s="4" t="s">
        <v>27</v>
      </c>
      <c r="K2852" s="4" t="s">
        <v>27</v>
      </c>
      <c r="L2852" s="4" t="s">
        <v>27</v>
      </c>
      <c r="M2852" s="4" t="s">
        <v>27</v>
      </c>
      <c r="N2852" s="4" t="s">
        <v>27</v>
      </c>
    </row>
    <row r="2853" hidden="1">
      <c r="B2853" s="4" t="s">
        <v>27</v>
      </c>
      <c r="C2853" s="4" t="s">
        <v>27</v>
      </c>
      <c r="D2853" s="6" t="s">
        <v>27</v>
      </c>
      <c r="E2853" s="6" t="s">
        <v>27</v>
      </c>
      <c r="F2853" s="6" t="s">
        <v>27</v>
      </c>
      <c r="G2853" s="4" t="s">
        <v>27</v>
      </c>
      <c r="H2853" s="4" t="s">
        <v>27</v>
      </c>
      <c r="I2853" s="4" t="s">
        <v>27</v>
      </c>
      <c r="J2853" s="4" t="s">
        <v>27</v>
      </c>
      <c r="K2853" s="4" t="s">
        <v>27</v>
      </c>
      <c r="L2853" s="4" t="s">
        <v>27</v>
      </c>
      <c r="M2853" s="4" t="s">
        <v>27</v>
      </c>
      <c r="N2853" s="4" t="s">
        <v>27</v>
      </c>
    </row>
    <row r="2854" hidden="1">
      <c r="B2854" s="4" t="s">
        <v>27</v>
      </c>
      <c r="C2854" s="4" t="s">
        <v>27</v>
      </c>
      <c r="D2854" s="6" t="s">
        <v>27</v>
      </c>
      <c r="E2854" s="6" t="s">
        <v>27</v>
      </c>
      <c r="F2854" s="6" t="s">
        <v>27</v>
      </c>
      <c r="G2854" s="4" t="s">
        <v>27</v>
      </c>
      <c r="H2854" s="4" t="s">
        <v>27</v>
      </c>
      <c r="I2854" s="4" t="s">
        <v>27</v>
      </c>
      <c r="J2854" s="4" t="s">
        <v>27</v>
      </c>
      <c r="K2854" s="4" t="s">
        <v>27</v>
      </c>
      <c r="L2854" s="4" t="s">
        <v>27</v>
      </c>
      <c r="M2854" s="4" t="s">
        <v>27</v>
      </c>
      <c r="N2854" s="4" t="s">
        <v>27</v>
      </c>
    </row>
    <row r="2855" hidden="1">
      <c r="B2855" s="4" t="s">
        <v>27</v>
      </c>
      <c r="C2855" s="4" t="s">
        <v>27</v>
      </c>
      <c r="D2855" s="6" t="s">
        <v>27</v>
      </c>
      <c r="E2855" s="6" t="s">
        <v>27</v>
      </c>
      <c r="F2855" s="6" t="s">
        <v>27</v>
      </c>
      <c r="G2855" s="4" t="s">
        <v>27</v>
      </c>
      <c r="H2855" s="4" t="s">
        <v>27</v>
      </c>
      <c r="I2855" s="4" t="s">
        <v>27</v>
      </c>
      <c r="J2855" s="4" t="s">
        <v>27</v>
      </c>
      <c r="K2855" s="4" t="s">
        <v>27</v>
      </c>
      <c r="L2855" s="4" t="s">
        <v>27</v>
      </c>
      <c r="M2855" s="4" t="s">
        <v>27</v>
      </c>
      <c r="N2855" s="4" t="s">
        <v>27</v>
      </c>
    </row>
    <row r="2856" hidden="1">
      <c r="B2856" s="4" t="s">
        <v>27</v>
      </c>
      <c r="C2856" s="4" t="s">
        <v>27</v>
      </c>
      <c r="D2856" s="6" t="s">
        <v>27</v>
      </c>
      <c r="E2856" s="6" t="s">
        <v>27</v>
      </c>
      <c r="F2856" s="6" t="s">
        <v>27</v>
      </c>
      <c r="G2856" s="4" t="s">
        <v>27</v>
      </c>
      <c r="H2856" s="4" t="s">
        <v>27</v>
      </c>
      <c r="I2856" s="4" t="s">
        <v>27</v>
      </c>
      <c r="J2856" s="4" t="s">
        <v>27</v>
      </c>
      <c r="K2856" s="4" t="s">
        <v>27</v>
      </c>
      <c r="L2856" s="4" t="s">
        <v>27</v>
      </c>
      <c r="M2856" s="4" t="s">
        <v>27</v>
      </c>
      <c r="N2856" s="4" t="s">
        <v>27</v>
      </c>
    </row>
    <row r="2857" hidden="1">
      <c r="B2857" s="4" t="s">
        <v>27</v>
      </c>
      <c r="C2857" s="4" t="s">
        <v>27</v>
      </c>
      <c r="D2857" s="6" t="s">
        <v>27</v>
      </c>
      <c r="E2857" s="6" t="s">
        <v>27</v>
      </c>
      <c r="F2857" s="6" t="s">
        <v>27</v>
      </c>
      <c r="G2857" s="4" t="s">
        <v>27</v>
      </c>
      <c r="H2857" s="4" t="s">
        <v>27</v>
      </c>
      <c r="I2857" s="4" t="s">
        <v>27</v>
      </c>
      <c r="J2857" s="4" t="s">
        <v>27</v>
      </c>
      <c r="K2857" s="4" t="s">
        <v>27</v>
      </c>
      <c r="L2857" s="4" t="s">
        <v>27</v>
      </c>
      <c r="M2857" s="4" t="s">
        <v>27</v>
      </c>
      <c r="N2857" s="4" t="s">
        <v>27</v>
      </c>
    </row>
    <row r="2858" hidden="1">
      <c r="B2858" s="4" t="s">
        <v>27</v>
      </c>
      <c r="C2858" s="4" t="s">
        <v>27</v>
      </c>
      <c r="D2858" s="6" t="s">
        <v>27</v>
      </c>
      <c r="E2858" s="6" t="s">
        <v>27</v>
      </c>
      <c r="F2858" s="6" t="s">
        <v>27</v>
      </c>
      <c r="G2858" s="4" t="s">
        <v>27</v>
      </c>
      <c r="H2858" s="4" t="s">
        <v>27</v>
      </c>
      <c r="I2858" s="4" t="s">
        <v>27</v>
      </c>
      <c r="J2858" s="4" t="s">
        <v>27</v>
      </c>
      <c r="K2858" s="4" t="s">
        <v>27</v>
      </c>
      <c r="L2858" s="4" t="s">
        <v>27</v>
      </c>
      <c r="M2858" s="4" t="s">
        <v>27</v>
      </c>
      <c r="N2858" s="4" t="s">
        <v>27</v>
      </c>
    </row>
    <row r="2859" hidden="1">
      <c r="B2859" s="4" t="s">
        <v>27</v>
      </c>
      <c r="C2859" s="4" t="s">
        <v>27</v>
      </c>
      <c r="D2859" s="6" t="s">
        <v>27</v>
      </c>
      <c r="E2859" s="6" t="s">
        <v>27</v>
      </c>
      <c r="F2859" s="6" t="s">
        <v>27</v>
      </c>
      <c r="G2859" s="4" t="s">
        <v>27</v>
      </c>
      <c r="H2859" s="4" t="s">
        <v>27</v>
      </c>
      <c r="I2859" s="4" t="s">
        <v>27</v>
      </c>
      <c r="J2859" s="4" t="s">
        <v>27</v>
      </c>
      <c r="K2859" s="4" t="s">
        <v>27</v>
      </c>
      <c r="L2859" s="4" t="s">
        <v>27</v>
      </c>
      <c r="M2859" s="4" t="s">
        <v>27</v>
      </c>
      <c r="N2859" s="4" t="s">
        <v>27</v>
      </c>
    </row>
    <row r="2860" hidden="1">
      <c r="B2860" s="4" t="s">
        <v>27</v>
      </c>
      <c r="C2860" s="4" t="s">
        <v>27</v>
      </c>
      <c r="D2860" s="6" t="s">
        <v>27</v>
      </c>
      <c r="E2860" s="6" t="s">
        <v>27</v>
      </c>
      <c r="F2860" s="6" t="s">
        <v>27</v>
      </c>
      <c r="G2860" s="4" t="s">
        <v>27</v>
      </c>
      <c r="H2860" s="4" t="s">
        <v>27</v>
      </c>
      <c r="I2860" s="4" t="s">
        <v>27</v>
      </c>
      <c r="J2860" s="4" t="s">
        <v>27</v>
      </c>
      <c r="K2860" s="4" t="s">
        <v>27</v>
      </c>
      <c r="L2860" s="4" t="s">
        <v>27</v>
      </c>
      <c r="M2860" s="4" t="s">
        <v>27</v>
      </c>
      <c r="N2860" s="4" t="s">
        <v>27</v>
      </c>
    </row>
    <row r="2861" hidden="1">
      <c r="B2861" s="4" t="s">
        <v>27</v>
      </c>
      <c r="C2861" s="4" t="s">
        <v>27</v>
      </c>
      <c r="D2861" s="6" t="s">
        <v>27</v>
      </c>
      <c r="E2861" s="6" t="s">
        <v>27</v>
      </c>
      <c r="F2861" s="6" t="s">
        <v>27</v>
      </c>
      <c r="G2861" s="4" t="s">
        <v>27</v>
      </c>
      <c r="H2861" s="4" t="s">
        <v>27</v>
      </c>
      <c r="I2861" s="4" t="s">
        <v>27</v>
      </c>
      <c r="J2861" s="4" t="s">
        <v>27</v>
      </c>
      <c r="K2861" s="4" t="s">
        <v>27</v>
      </c>
      <c r="L2861" s="4" t="s">
        <v>27</v>
      </c>
      <c r="M2861" s="4" t="s">
        <v>27</v>
      </c>
      <c r="N2861" s="4" t="s">
        <v>27</v>
      </c>
    </row>
    <row r="2862" hidden="1">
      <c r="B2862" s="4" t="s">
        <v>27</v>
      </c>
      <c r="C2862" s="4" t="s">
        <v>27</v>
      </c>
      <c r="D2862" s="6" t="s">
        <v>27</v>
      </c>
      <c r="E2862" s="6" t="s">
        <v>27</v>
      </c>
      <c r="F2862" s="6" t="s">
        <v>27</v>
      </c>
      <c r="G2862" s="4" t="s">
        <v>27</v>
      </c>
      <c r="H2862" s="4" t="s">
        <v>27</v>
      </c>
      <c r="I2862" s="4" t="s">
        <v>27</v>
      </c>
      <c r="J2862" s="4" t="s">
        <v>27</v>
      </c>
      <c r="K2862" s="4" t="s">
        <v>27</v>
      </c>
      <c r="L2862" s="4" t="s">
        <v>27</v>
      </c>
      <c r="M2862" s="4" t="s">
        <v>27</v>
      </c>
      <c r="N2862" s="4" t="s">
        <v>27</v>
      </c>
    </row>
    <row r="2863" hidden="1">
      <c r="B2863" s="4" t="s">
        <v>27</v>
      </c>
      <c r="C2863" s="4" t="s">
        <v>27</v>
      </c>
      <c r="D2863" s="6" t="s">
        <v>27</v>
      </c>
      <c r="E2863" s="6" t="s">
        <v>27</v>
      </c>
      <c r="F2863" s="6" t="s">
        <v>27</v>
      </c>
      <c r="G2863" s="4" t="s">
        <v>27</v>
      </c>
      <c r="H2863" s="4" t="s">
        <v>27</v>
      </c>
      <c r="I2863" s="4" t="s">
        <v>27</v>
      </c>
      <c r="J2863" s="4" t="s">
        <v>27</v>
      </c>
      <c r="K2863" s="4" t="s">
        <v>27</v>
      </c>
      <c r="L2863" s="4" t="s">
        <v>27</v>
      </c>
      <c r="M2863" s="4" t="s">
        <v>27</v>
      </c>
      <c r="N2863" s="4" t="s">
        <v>27</v>
      </c>
    </row>
    <row r="2864" hidden="1">
      <c r="B2864" s="4" t="s">
        <v>27</v>
      </c>
      <c r="C2864" s="4" t="s">
        <v>27</v>
      </c>
      <c r="D2864" s="6" t="s">
        <v>27</v>
      </c>
      <c r="E2864" s="6" t="s">
        <v>27</v>
      </c>
      <c r="F2864" s="6" t="s">
        <v>27</v>
      </c>
      <c r="G2864" s="4" t="s">
        <v>27</v>
      </c>
      <c r="H2864" s="4" t="s">
        <v>27</v>
      </c>
      <c r="I2864" s="4" t="s">
        <v>27</v>
      </c>
      <c r="J2864" s="4" t="s">
        <v>27</v>
      </c>
      <c r="K2864" s="4" t="s">
        <v>27</v>
      </c>
      <c r="L2864" s="4" t="s">
        <v>27</v>
      </c>
      <c r="M2864" s="4" t="s">
        <v>27</v>
      </c>
      <c r="N2864" s="4" t="s">
        <v>27</v>
      </c>
    </row>
    <row r="2865" hidden="1">
      <c r="B2865" s="4" t="s">
        <v>27</v>
      </c>
      <c r="C2865" s="4" t="s">
        <v>27</v>
      </c>
      <c r="D2865" s="6" t="s">
        <v>27</v>
      </c>
      <c r="E2865" s="6" t="s">
        <v>27</v>
      </c>
      <c r="F2865" s="6" t="s">
        <v>27</v>
      </c>
      <c r="G2865" s="4" t="s">
        <v>27</v>
      </c>
      <c r="H2865" s="4" t="s">
        <v>27</v>
      </c>
      <c r="I2865" s="4" t="s">
        <v>27</v>
      </c>
      <c r="J2865" s="4" t="s">
        <v>27</v>
      </c>
      <c r="K2865" s="4" t="s">
        <v>27</v>
      </c>
      <c r="L2865" s="4" t="s">
        <v>27</v>
      </c>
      <c r="M2865" s="4" t="s">
        <v>27</v>
      </c>
      <c r="N2865" s="4" t="s">
        <v>27</v>
      </c>
    </row>
    <row r="2866" hidden="1">
      <c r="B2866" s="4" t="s">
        <v>27</v>
      </c>
      <c r="C2866" s="4" t="s">
        <v>27</v>
      </c>
      <c r="D2866" s="6" t="s">
        <v>27</v>
      </c>
      <c r="E2866" s="6" t="s">
        <v>27</v>
      </c>
      <c r="F2866" s="6" t="s">
        <v>27</v>
      </c>
      <c r="G2866" s="4" t="s">
        <v>27</v>
      </c>
      <c r="H2866" s="4" t="s">
        <v>27</v>
      </c>
      <c r="I2866" s="4" t="s">
        <v>27</v>
      </c>
      <c r="J2866" s="4" t="s">
        <v>27</v>
      </c>
      <c r="K2866" s="4" t="s">
        <v>27</v>
      </c>
      <c r="L2866" s="4" t="s">
        <v>27</v>
      </c>
      <c r="M2866" s="4" t="s">
        <v>27</v>
      </c>
      <c r="N2866" s="4" t="s">
        <v>27</v>
      </c>
    </row>
    <row r="2867" hidden="1">
      <c r="B2867" s="4" t="s">
        <v>27</v>
      </c>
      <c r="C2867" s="4" t="s">
        <v>27</v>
      </c>
      <c r="D2867" s="6" t="s">
        <v>27</v>
      </c>
      <c r="E2867" s="6" t="s">
        <v>27</v>
      </c>
      <c r="F2867" s="6" t="s">
        <v>27</v>
      </c>
      <c r="G2867" s="4" t="s">
        <v>27</v>
      </c>
      <c r="H2867" s="4" t="s">
        <v>27</v>
      </c>
      <c r="I2867" s="4" t="s">
        <v>27</v>
      </c>
      <c r="J2867" s="4" t="s">
        <v>27</v>
      </c>
      <c r="K2867" s="4" t="s">
        <v>27</v>
      </c>
      <c r="L2867" s="4" t="s">
        <v>27</v>
      </c>
      <c r="M2867" s="4" t="s">
        <v>27</v>
      </c>
      <c r="N2867" s="4" t="s">
        <v>27</v>
      </c>
    </row>
    <row r="2868" hidden="1">
      <c r="B2868" s="4" t="s">
        <v>27</v>
      </c>
      <c r="C2868" s="4" t="s">
        <v>27</v>
      </c>
      <c r="D2868" s="6" t="s">
        <v>27</v>
      </c>
      <c r="E2868" s="6" t="s">
        <v>27</v>
      </c>
      <c r="F2868" s="6" t="s">
        <v>27</v>
      </c>
      <c r="G2868" s="4" t="s">
        <v>27</v>
      </c>
      <c r="H2868" s="4" t="s">
        <v>27</v>
      </c>
      <c r="I2868" s="4" t="s">
        <v>27</v>
      </c>
      <c r="J2868" s="4" t="s">
        <v>27</v>
      </c>
      <c r="K2868" s="4" t="s">
        <v>27</v>
      </c>
      <c r="L2868" s="4" t="s">
        <v>27</v>
      </c>
      <c r="M2868" s="4" t="s">
        <v>27</v>
      </c>
      <c r="N2868" s="4" t="s">
        <v>27</v>
      </c>
    </row>
    <row r="2869" hidden="1">
      <c r="B2869" s="4" t="s">
        <v>27</v>
      </c>
      <c r="C2869" s="4" t="s">
        <v>27</v>
      </c>
      <c r="D2869" s="6" t="s">
        <v>27</v>
      </c>
      <c r="E2869" s="6" t="s">
        <v>27</v>
      </c>
      <c r="F2869" s="6" t="s">
        <v>27</v>
      </c>
      <c r="G2869" s="4" t="s">
        <v>27</v>
      </c>
      <c r="H2869" s="4" t="s">
        <v>27</v>
      </c>
      <c r="I2869" s="4" t="s">
        <v>27</v>
      </c>
      <c r="J2869" s="4" t="s">
        <v>27</v>
      </c>
      <c r="K2869" s="4" t="s">
        <v>27</v>
      </c>
      <c r="L2869" s="4" t="s">
        <v>27</v>
      </c>
      <c r="M2869" s="4" t="s">
        <v>27</v>
      </c>
      <c r="N2869" s="4" t="s">
        <v>27</v>
      </c>
    </row>
    <row r="2870" hidden="1">
      <c r="B2870" s="4" t="s">
        <v>27</v>
      </c>
      <c r="C2870" s="4" t="s">
        <v>27</v>
      </c>
      <c r="D2870" s="6" t="s">
        <v>27</v>
      </c>
      <c r="E2870" s="6" t="s">
        <v>27</v>
      </c>
      <c r="F2870" s="6" t="s">
        <v>27</v>
      </c>
      <c r="G2870" s="4" t="s">
        <v>27</v>
      </c>
      <c r="H2870" s="4" t="s">
        <v>27</v>
      </c>
      <c r="I2870" s="4" t="s">
        <v>27</v>
      </c>
      <c r="J2870" s="4" t="s">
        <v>27</v>
      </c>
      <c r="K2870" s="4" t="s">
        <v>27</v>
      </c>
      <c r="L2870" s="4" t="s">
        <v>27</v>
      </c>
      <c r="M2870" s="4" t="s">
        <v>27</v>
      </c>
      <c r="N2870" s="4" t="s">
        <v>27</v>
      </c>
    </row>
    <row r="2871" hidden="1">
      <c r="B2871" s="4" t="s">
        <v>27</v>
      </c>
      <c r="C2871" s="4" t="s">
        <v>27</v>
      </c>
      <c r="D2871" s="6" t="s">
        <v>27</v>
      </c>
      <c r="E2871" s="6" t="s">
        <v>27</v>
      </c>
      <c r="F2871" s="6" t="s">
        <v>27</v>
      </c>
      <c r="G2871" s="4" t="s">
        <v>27</v>
      </c>
      <c r="H2871" s="4" t="s">
        <v>27</v>
      </c>
      <c r="I2871" s="4" t="s">
        <v>27</v>
      </c>
      <c r="J2871" s="4" t="s">
        <v>27</v>
      </c>
      <c r="K2871" s="4" t="s">
        <v>27</v>
      </c>
      <c r="L2871" s="4" t="s">
        <v>27</v>
      </c>
      <c r="M2871" s="4" t="s">
        <v>27</v>
      </c>
      <c r="N2871" s="4" t="s">
        <v>27</v>
      </c>
    </row>
    <row r="2872" hidden="1">
      <c r="B2872" s="4" t="s">
        <v>27</v>
      </c>
      <c r="C2872" s="4" t="s">
        <v>27</v>
      </c>
      <c r="D2872" s="6" t="s">
        <v>27</v>
      </c>
      <c r="E2872" s="6" t="s">
        <v>27</v>
      </c>
      <c r="F2872" s="6" t="s">
        <v>27</v>
      </c>
      <c r="G2872" s="4" t="s">
        <v>27</v>
      </c>
      <c r="H2872" s="4" t="s">
        <v>27</v>
      </c>
      <c r="I2872" s="4" t="s">
        <v>27</v>
      </c>
      <c r="J2872" s="4" t="s">
        <v>27</v>
      </c>
      <c r="K2872" s="4" t="s">
        <v>27</v>
      </c>
      <c r="L2872" s="4" t="s">
        <v>27</v>
      </c>
      <c r="M2872" s="4" t="s">
        <v>27</v>
      </c>
      <c r="N2872" s="4" t="s">
        <v>27</v>
      </c>
    </row>
    <row r="2873" hidden="1">
      <c r="B2873" s="4" t="s">
        <v>27</v>
      </c>
      <c r="C2873" s="4" t="s">
        <v>27</v>
      </c>
      <c r="D2873" s="6" t="s">
        <v>27</v>
      </c>
      <c r="E2873" s="6" t="s">
        <v>27</v>
      </c>
      <c r="F2873" s="6" t="s">
        <v>27</v>
      </c>
      <c r="G2873" s="4" t="s">
        <v>27</v>
      </c>
      <c r="H2873" s="4" t="s">
        <v>27</v>
      </c>
      <c r="I2873" s="4" t="s">
        <v>27</v>
      </c>
      <c r="J2873" s="4" t="s">
        <v>27</v>
      </c>
      <c r="K2873" s="4" t="s">
        <v>27</v>
      </c>
      <c r="L2873" s="4" t="s">
        <v>27</v>
      </c>
      <c r="M2873" s="4" t="s">
        <v>27</v>
      </c>
      <c r="N2873" s="4" t="s">
        <v>27</v>
      </c>
    </row>
    <row r="2874" hidden="1">
      <c r="B2874" s="4" t="s">
        <v>27</v>
      </c>
      <c r="C2874" s="4" t="s">
        <v>27</v>
      </c>
      <c r="D2874" s="6" t="s">
        <v>27</v>
      </c>
      <c r="E2874" s="6" t="s">
        <v>27</v>
      </c>
      <c r="F2874" s="6" t="s">
        <v>27</v>
      </c>
      <c r="G2874" s="4" t="s">
        <v>27</v>
      </c>
      <c r="H2874" s="4" t="s">
        <v>27</v>
      </c>
      <c r="I2874" s="4" t="s">
        <v>27</v>
      </c>
      <c r="J2874" s="4" t="s">
        <v>27</v>
      </c>
      <c r="K2874" s="4" t="s">
        <v>27</v>
      </c>
      <c r="L2874" s="4" t="s">
        <v>27</v>
      </c>
      <c r="M2874" s="4" t="s">
        <v>27</v>
      </c>
      <c r="N2874" s="4" t="s">
        <v>27</v>
      </c>
    </row>
    <row r="2875" hidden="1">
      <c r="B2875" s="4" t="s">
        <v>27</v>
      </c>
      <c r="C2875" s="4" t="s">
        <v>27</v>
      </c>
      <c r="D2875" s="6" t="s">
        <v>27</v>
      </c>
      <c r="E2875" s="6" t="s">
        <v>27</v>
      </c>
      <c r="F2875" s="6" t="s">
        <v>27</v>
      </c>
      <c r="G2875" s="4" t="s">
        <v>27</v>
      </c>
      <c r="H2875" s="4" t="s">
        <v>27</v>
      </c>
      <c r="I2875" s="4" t="s">
        <v>27</v>
      </c>
      <c r="J2875" s="4" t="s">
        <v>27</v>
      </c>
      <c r="K2875" s="4" t="s">
        <v>27</v>
      </c>
      <c r="L2875" s="4" t="s">
        <v>27</v>
      </c>
      <c r="M2875" s="4" t="s">
        <v>27</v>
      </c>
      <c r="N2875" s="4" t="s">
        <v>27</v>
      </c>
    </row>
    <row r="2876" hidden="1">
      <c r="B2876" s="4" t="s">
        <v>27</v>
      </c>
      <c r="C2876" s="4" t="s">
        <v>27</v>
      </c>
      <c r="D2876" s="6" t="s">
        <v>27</v>
      </c>
      <c r="E2876" s="6" t="s">
        <v>27</v>
      </c>
      <c r="F2876" s="6" t="s">
        <v>27</v>
      </c>
      <c r="G2876" s="4" t="s">
        <v>27</v>
      </c>
      <c r="H2876" s="4" t="s">
        <v>27</v>
      </c>
      <c r="I2876" s="4" t="s">
        <v>27</v>
      </c>
      <c r="J2876" s="4" t="s">
        <v>27</v>
      </c>
      <c r="K2876" s="4" t="s">
        <v>27</v>
      </c>
      <c r="L2876" s="4" t="s">
        <v>27</v>
      </c>
      <c r="M2876" s="4" t="s">
        <v>27</v>
      </c>
      <c r="N2876" s="4" t="s">
        <v>27</v>
      </c>
    </row>
    <row r="2877" hidden="1">
      <c r="B2877" s="4" t="s">
        <v>27</v>
      </c>
      <c r="C2877" s="4" t="s">
        <v>27</v>
      </c>
      <c r="D2877" s="6" t="s">
        <v>27</v>
      </c>
      <c r="E2877" s="6" t="s">
        <v>27</v>
      </c>
      <c r="F2877" s="6" t="s">
        <v>27</v>
      </c>
      <c r="G2877" s="4" t="s">
        <v>27</v>
      </c>
      <c r="H2877" s="4" t="s">
        <v>27</v>
      </c>
      <c r="I2877" s="4" t="s">
        <v>27</v>
      </c>
      <c r="J2877" s="4" t="s">
        <v>27</v>
      </c>
      <c r="K2877" s="4" t="s">
        <v>27</v>
      </c>
      <c r="L2877" s="4" t="s">
        <v>27</v>
      </c>
      <c r="M2877" s="4" t="s">
        <v>27</v>
      </c>
      <c r="N2877" s="4" t="s">
        <v>27</v>
      </c>
    </row>
    <row r="2878" hidden="1">
      <c r="B2878" s="4" t="s">
        <v>27</v>
      </c>
      <c r="C2878" s="4" t="s">
        <v>27</v>
      </c>
      <c r="D2878" s="6" t="s">
        <v>27</v>
      </c>
      <c r="E2878" s="6" t="s">
        <v>27</v>
      </c>
      <c r="F2878" s="6" t="s">
        <v>27</v>
      </c>
      <c r="G2878" s="4" t="s">
        <v>27</v>
      </c>
      <c r="H2878" s="4" t="s">
        <v>27</v>
      </c>
      <c r="I2878" s="4" t="s">
        <v>27</v>
      </c>
      <c r="J2878" s="4" t="s">
        <v>27</v>
      </c>
      <c r="K2878" s="4" t="s">
        <v>27</v>
      </c>
      <c r="L2878" s="4" t="s">
        <v>27</v>
      </c>
      <c r="M2878" s="4" t="s">
        <v>27</v>
      </c>
      <c r="N2878" s="4" t="s">
        <v>27</v>
      </c>
    </row>
    <row r="2879" hidden="1">
      <c r="B2879" s="4" t="s">
        <v>27</v>
      </c>
      <c r="C2879" s="4" t="s">
        <v>27</v>
      </c>
      <c r="D2879" s="6" t="s">
        <v>27</v>
      </c>
      <c r="E2879" s="6" t="s">
        <v>27</v>
      </c>
      <c r="F2879" s="6" t="s">
        <v>27</v>
      </c>
      <c r="G2879" s="4" t="s">
        <v>27</v>
      </c>
      <c r="H2879" s="4" t="s">
        <v>27</v>
      </c>
      <c r="I2879" s="4" t="s">
        <v>27</v>
      </c>
      <c r="J2879" s="4" t="s">
        <v>27</v>
      </c>
      <c r="K2879" s="4" t="s">
        <v>27</v>
      </c>
      <c r="L2879" s="4" t="s">
        <v>27</v>
      </c>
      <c r="M2879" s="4" t="s">
        <v>27</v>
      </c>
      <c r="N2879" s="4" t="s">
        <v>27</v>
      </c>
    </row>
    <row r="2880" hidden="1">
      <c r="B2880" s="4" t="s">
        <v>27</v>
      </c>
      <c r="C2880" s="4" t="s">
        <v>27</v>
      </c>
      <c r="D2880" s="6" t="s">
        <v>27</v>
      </c>
      <c r="E2880" s="6" t="s">
        <v>27</v>
      </c>
      <c r="F2880" s="6" t="s">
        <v>27</v>
      </c>
      <c r="G2880" s="4" t="s">
        <v>27</v>
      </c>
      <c r="H2880" s="4" t="s">
        <v>27</v>
      </c>
      <c r="I2880" s="4" t="s">
        <v>27</v>
      </c>
      <c r="J2880" s="4" t="s">
        <v>27</v>
      </c>
      <c r="K2880" s="4" t="s">
        <v>27</v>
      </c>
      <c r="L2880" s="4" t="s">
        <v>27</v>
      </c>
      <c r="M2880" s="4" t="s">
        <v>27</v>
      </c>
      <c r="N2880" s="4" t="s">
        <v>27</v>
      </c>
    </row>
    <row r="2881" hidden="1">
      <c r="B2881" s="4" t="s">
        <v>27</v>
      </c>
      <c r="C2881" s="4" t="s">
        <v>27</v>
      </c>
      <c r="D2881" s="6" t="s">
        <v>27</v>
      </c>
      <c r="E2881" s="6" t="s">
        <v>27</v>
      </c>
      <c r="F2881" s="6" t="s">
        <v>27</v>
      </c>
      <c r="G2881" s="4" t="s">
        <v>27</v>
      </c>
      <c r="H2881" s="4" t="s">
        <v>27</v>
      </c>
      <c r="I2881" s="4" t="s">
        <v>27</v>
      </c>
      <c r="J2881" s="4" t="s">
        <v>27</v>
      </c>
      <c r="K2881" s="4" t="s">
        <v>27</v>
      </c>
      <c r="L2881" s="4" t="s">
        <v>27</v>
      </c>
      <c r="M2881" s="4" t="s">
        <v>27</v>
      </c>
      <c r="N2881" s="4" t="s">
        <v>27</v>
      </c>
    </row>
    <row r="2882" hidden="1">
      <c r="B2882" s="4" t="s">
        <v>27</v>
      </c>
      <c r="C2882" s="4" t="s">
        <v>27</v>
      </c>
      <c r="D2882" s="6" t="s">
        <v>27</v>
      </c>
      <c r="E2882" s="6" t="s">
        <v>27</v>
      </c>
      <c r="F2882" s="6" t="s">
        <v>27</v>
      </c>
      <c r="G2882" s="4" t="s">
        <v>27</v>
      </c>
      <c r="H2882" s="4" t="s">
        <v>27</v>
      </c>
      <c r="I2882" s="4" t="s">
        <v>27</v>
      </c>
      <c r="J2882" s="4" t="s">
        <v>27</v>
      </c>
      <c r="K2882" s="4" t="s">
        <v>27</v>
      </c>
      <c r="L2882" s="4" t="s">
        <v>27</v>
      </c>
      <c r="M2882" s="4" t="s">
        <v>27</v>
      </c>
      <c r="N2882" s="4" t="s">
        <v>27</v>
      </c>
    </row>
    <row r="2883" hidden="1">
      <c r="B2883" s="4" t="s">
        <v>27</v>
      </c>
      <c r="C2883" s="4" t="s">
        <v>27</v>
      </c>
      <c r="D2883" s="6" t="s">
        <v>27</v>
      </c>
      <c r="E2883" s="6" t="s">
        <v>27</v>
      </c>
      <c r="F2883" s="6" t="s">
        <v>27</v>
      </c>
      <c r="G2883" s="4" t="s">
        <v>27</v>
      </c>
      <c r="H2883" s="4" t="s">
        <v>27</v>
      </c>
      <c r="I2883" s="4" t="s">
        <v>27</v>
      </c>
      <c r="J2883" s="4" t="s">
        <v>27</v>
      </c>
      <c r="K2883" s="4" t="s">
        <v>27</v>
      </c>
      <c r="L2883" s="4" t="s">
        <v>27</v>
      </c>
      <c r="M2883" s="4" t="s">
        <v>27</v>
      </c>
      <c r="N2883" s="4" t="s">
        <v>27</v>
      </c>
    </row>
    <row r="2884" hidden="1">
      <c r="B2884" s="4" t="s">
        <v>27</v>
      </c>
      <c r="C2884" s="4" t="s">
        <v>27</v>
      </c>
      <c r="D2884" s="6" t="s">
        <v>27</v>
      </c>
      <c r="E2884" s="6" t="s">
        <v>27</v>
      </c>
      <c r="F2884" s="6" t="s">
        <v>27</v>
      </c>
      <c r="G2884" s="4" t="s">
        <v>27</v>
      </c>
      <c r="H2884" s="4" t="s">
        <v>27</v>
      </c>
      <c r="I2884" s="4" t="s">
        <v>27</v>
      </c>
      <c r="J2884" s="4" t="s">
        <v>27</v>
      </c>
      <c r="K2884" s="4" t="s">
        <v>27</v>
      </c>
      <c r="L2884" s="4" t="s">
        <v>27</v>
      </c>
      <c r="M2884" s="4" t="s">
        <v>27</v>
      </c>
      <c r="N2884" s="4" t="s">
        <v>27</v>
      </c>
    </row>
    <row r="2885" hidden="1">
      <c r="B2885" s="4" t="s">
        <v>27</v>
      </c>
      <c r="C2885" s="4" t="s">
        <v>27</v>
      </c>
      <c r="D2885" s="6" t="s">
        <v>27</v>
      </c>
      <c r="E2885" s="6" t="s">
        <v>27</v>
      </c>
      <c r="F2885" s="6" t="s">
        <v>27</v>
      </c>
      <c r="G2885" s="4" t="s">
        <v>27</v>
      </c>
      <c r="H2885" s="4" t="s">
        <v>27</v>
      </c>
      <c r="I2885" s="4" t="s">
        <v>27</v>
      </c>
      <c r="J2885" s="4" t="s">
        <v>27</v>
      </c>
      <c r="K2885" s="4" t="s">
        <v>27</v>
      </c>
      <c r="L2885" s="4" t="s">
        <v>27</v>
      </c>
      <c r="M2885" s="4" t="s">
        <v>27</v>
      </c>
      <c r="N2885" s="4" t="s">
        <v>27</v>
      </c>
    </row>
    <row r="2886" hidden="1">
      <c r="B2886" s="4" t="s">
        <v>27</v>
      </c>
      <c r="C2886" s="4" t="s">
        <v>27</v>
      </c>
      <c r="D2886" s="6" t="s">
        <v>27</v>
      </c>
      <c r="E2886" s="6" t="s">
        <v>27</v>
      </c>
      <c r="F2886" s="6" t="s">
        <v>27</v>
      </c>
      <c r="G2886" s="4" t="s">
        <v>27</v>
      </c>
      <c r="H2886" s="4" t="s">
        <v>27</v>
      </c>
      <c r="I2886" s="4" t="s">
        <v>27</v>
      </c>
      <c r="J2886" s="4" t="s">
        <v>27</v>
      </c>
      <c r="K2886" s="4" t="s">
        <v>27</v>
      </c>
      <c r="L2886" s="4" t="s">
        <v>27</v>
      </c>
      <c r="M2886" s="4" t="s">
        <v>27</v>
      </c>
      <c r="N2886" s="4" t="s">
        <v>27</v>
      </c>
    </row>
    <row r="2887" hidden="1">
      <c r="B2887" s="4" t="s">
        <v>27</v>
      </c>
      <c r="C2887" s="4" t="s">
        <v>27</v>
      </c>
      <c r="D2887" s="6" t="s">
        <v>27</v>
      </c>
      <c r="E2887" s="6" t="s">
        <v>27</v>
      </c>
      <c r="F2887" s="6" t="s">
        <v>27</v>
      </c>
      <c r="G2887" s="4" t="s">
        <v>27</v>
      </c>
      <c r="H2887" s="4" t="s">
        <v>27</v>
      </c>
      <c r="I2887" s="4" t="s">
        <v>27</v>
      </c>
      <c r="J2887" s="4" t="s">
        <v>27</v>
      </c>
      <c r="K2887" s="4" t="s">
        <v>27</v>
      </c>
      <c r="L2887" s="4" t="s">
        <v>27</v>
      </c>
      <c r="M2887" s="4" t="s">
        <v>27</v>
      </c>
      <c r="N2887" s="4" t="s">
        <v>27</v>
      </c>
    </row>
    <row r="2888" hidden="1">
      <c r="B2888" s="4" t="s">
        <v>27</v>
      </c>
      <c r="C2888" s="4" t="s">
        <v>27</v>
      </c>
      <c r="D2888" s="6" t="s">
        <v>27</v>
      </c>
      <c r="E2888" s="6" t="s">
        <v>27</v>
      </c>
      <c r="F2888" s="6" t="s">
        <v>27</v>
      </c>
      <c r="G2888" s="4" t="s">
        <v>27</v>
      </c>
      <c r="H2888" s="4" t="s">
        <v>27</v>
      </c>
      <c r="I2888" s="4" t="s">
        <v>27</v>
      </c>
      <c r="J2888" s="4" t="s">
        <v>27</v>
      </c>
      <c r="K2888" s="4" t="s">
        <v>27</v>
      </c>
      <c r="L2888" s="4" t="s">
        <v>27</v>
      </c>
      <c r="M2888" s="4" t="s">
        <v>27</v>
      </c>
      <c r="N2888" s="4" t="s">
        <v>27</v>
      </c>
    </row>
    <row r="2889" hidden="1">
      <c r="B2889" s="4" t="s">
        <v>27</v>
      </c>
      <c r="C2889" s="4" t="s">
        <v>27</v>
      </c>
      <c r="D2889" s="6" t="s">
        <v>27</v>
      </c>
      <c r="E2889" s="6" t="s">
        <v>27</v>
      </c>
      <c r="F2889" s="6" t="s">
        <v>27</v>
      </c>
      <c r="G2889" s="4" t="s">
        <v>27</v>
      </c>
      <c r="H2889" s="4" t="s">
        <v>27</v>
      </c>
      <c r="I2889" s="4" t="s">
        <v>27</v>
      </c>
      <c r="J2889" s="4" t="s">
        <v>27</v>
      </c>
      <c r="K2889" s="4" t="s">
        <v>27</v>
      </c>
      <c r="L2889" s="4" t="s">
        <v>27</v>
      </c>
      <c r="M2889" s="4" t="s">
        <v>27</v>
      </c>
      <c r="N2889" s="4" t="s">
        <v>27</v>
      </c>
    </row>
    <row r="2890" hidden="1">
      <c r="B2890" s="4" t="s">
        <v>27</v>
      </c>
      <c r="C2890" s="4" t="s">
        <v>27</v>
      </c>
      <c r="D2890" s="6" t="s">
        <v>27</v>
      </c>
      <c r="E2890" s="6" t="s">
        <v>27</v>
      </c>
      <c r="F2890" s="6" t="s">
        <v>27</v>
      </c>
      <c r="G2890" s="4" t="s">
        <v>27</v>
      </c>
      <c r="H2890" s="4" t="s">
        <v>27</v>
      </c>
      <c r="I2890" s="4" t="s">
        <v>27</v>
      </c>
      <c r="J2890" s="4" t="s">
        <v>27</v>
      </c>
      <c r="K2890" s="4" t="s">
        <v>27</v>
      </c>
      <c r="L2890" s="4" t="s">
        <v>27</v>
      </c>
      <c r="M2890" s="4" t="s">
        <v>27</v>
      </c>
      <c r="N2890" s="4" t="s">
        <v>27</v>
      </c>
    </row>
    <row r="2891" hidden="1">
      <c r="B2891" s="4" t="s">
        <v>27</v>
      </c>
      <c r="C2891" s="4" t="s">
        <v>27</v>
      </c>
      <c r="D2891" s="6" t="s">
        <v>27</v>
      </c>
      <c r="E2891" s="6" t="s">
        <v>27</v>
      </c>
      <c r="F2891" s="6" t="s">
        <v>27</v>
      </c>
      <c r="G2891" s="4" t="s">
        <v>27</v>
      </c>
      <c r="H2891" s="4" t="s">
        <v>27</v>
      </c>
      <c r="I2891" s="4" t="s">
        <v>27</v>
      </c>
      <c r="J2891" s="4" t="s">
        <v>27</v>
      </c>
      <c r="K2891" s="4" t="s">
        <v>27</v>
      </c>
      <c r="L2891" s="4" t="s">
        <v>27</v>
      </c>
      <c r="M2891" s="4" t="s">
        <v>27</v>
      </c>
      <c r="N2891" s="4" t="s">
        <v>27</v>
      </c>
    </row>
    <row r="2892" hidden="1">
      <c r="B2892" s="4" t="s">
        <v>27</v>
      </c>
      <c r="C2892" s="4" t="s">
        <v>27</v>
      </c>
      <c r="D2892" s="6" t="s">
        <v>27</v>
      </c>
      <c r="E2892" s="6" t="s">
        <v>27</v>
      </c>
      <c r="F2892" s="6" t="s">
        <v>27</v>
      </c>
      <c r="G2892" s="4" t="s">
        <v>27</v>
      </c>
      <c r="H2892" s="4" t="s">
        <v>27</v>
      </c>
      <c r="I2892" s="4" t="s">
        <v>27</v>
      </c>
      <c r="J2892" s="4" t="s">
        <v>27</v>
      </c>
      <c r="K2892" s="4" t="s">
        <v>27</v>
      </c>
      <c r="L2892" s="4" t="s">
        <v>27</v>
      </c>
      <c r="M2892" s="4" t="s">
        <v>27</v>
      </c>
      <c r="N2892" s="4" t="s">
        <v>27</v>
      </c>
    </row>
    <row r="2893" hidden="1">
      <c r="B2893" s="4" t="s">
        <v>27</v>
      </c>
      <c r="C2893" s="4" t="s">
        <v>27</v>
      </c>
      <c r="D2893" s="6" t="s">
        <v>27</v>
      </c>
      <c r="E2893" s="6" t="s">
        <v>27</v>
      </c>
      <c r="F2893" s="6" t="s">
        <v>27</v>
      </c>
      <c r="G2893" s="4" t="s">
        <v>27</v>
      </c>
      <c r="H2893" s="4" t="s">
        <v>27</v>
      </c>
      <c r="I2893" s="4" t="s">
        <v>27</v>
      </c>
      <c r="J2893" s="4" t="s">
        <v>27</v>
      </c>
      <c r="K2893" s="4" t="s">
        <v>27</v>
      </c>
      <c r="L2893" s="4" t="s">
        <v>27</v>
      </c>
      <c r="M2893" s="4" t="s">
        <v>27</v>
      </c>
      <c r="N2893" s="4" t="s">
        <v>27</v>
      </c>
    </row>
    <row r="2894" hidden="1">
      <c r="B2894" s="4" t="s">
        <v>27</v>
      </c>
      <c r="C2894" s="4" t="s">
        <v>27</v>
      </c>
      <c r="D2894" s="6" t="s">
        <v>27</v>
      </c>
      <c r="E2894" s="6" t="s">
        <v>27</v>
      </c>
      <c r="F2894" s="6" t="s">
        <v>27</v>
      </c>
      <c r="G2894" s="4" t="s">
        <v>27</v>
      </c>
      <c r="H2894" s="4" t="s">
        <v>27</v>
      </c>
      <c r="I2894" s="4" t="s">
        <v>27</v>
      </c>
      <c r="J2894" s="4" t="s">
        <v>27</v>
      </c>
      <c r="K2894" s="4" t="s">
        <v>27</v>
      </c>
      <c r="L2894" s="4" t="s">
        <v>27</v>
      </c>
      <c r="M2894" s="4" t="s">
        <v>27</v>
      </c>
      <c r="N2894" s="4" t="s">
        <v>27</v>
      </c>
    </row>
    <row r="2895" hidden="1">
      <c r="B2895" s="4" t="s">
        <v>27</v>
      </c>
      <c r="C2895" s="4" t="s">
        <v>27</v>
      </c>
      <c r="D2895" s="6" t="s">
        <v>27</v>
      </c>
      <c r="E2895" s="6" t="s">
        <v>27</v>
      </c>
      <c r="F2895" s="6" t="s">
        <v>27</v>
      </c>
      <c r="G2895" s="4" t="s">
        <v>27</v>
      </c>
      <c r="H2895" s="4" t="s">
        <v>27</v>
      </c>
      <c r="I2895" s="4" t="s">
        <v>27</v>
      </c>
      <c r="J2895" s="4" t="s">
        <v>27</v>
      </c>
      <c r="K2895" s="4" t="s">
        <v>27</v>
      </c>
      <c r="L2895" s="4" t="s">
        <v>27</v>
      </c>
      <c r="M2895" s="4" t="s">
        <v>27</v>
      </c>
      <c r="N2895" s="4" t="s">
        <v>27</v>
      </c>
    </row>
    <row r="2896" hidden="1">
      <c r="B2896" s="4" t="s">
        <v>27</v>
      </c>
      <c r="C2896" s="4" t="s">
        <v>27</v>
      </c>
      <c r="D2896" s="6" t="s">
        <v>27</v>
      </c>
      <c r="E2896" s="6" t="s">
        <v>27</v>
      </c>
      <c r="F2896" s="6" t="s">
        <v>27</v>
      </c>
      <c r="G2896" s="4" t="s">
        <v>27</v>
      </c>
      <c r="H2896" s="4" t="s">
        <v>27</v>
      </c>
      <c r="I2896" s="4" t="s">
        <v>27</v>
      </c>
      <c r="J2896" s="4" t="s">
        <v>27</v>
      </c>
      <c r="K2896" s="4" t="s">
        <v>27</v>
      </c>
      <c r="L2896" s="4" t="s">
        <v>27</v>
      </c>
      <c r="M2896" s="4" t="s">
        <v>27</v>
      </c>
      <c r="N2896" s="4" t="s">
        <v>27</v>
      </c>
    </row>
    <row r="2897" hidden="1">
      <c r="B2897" s="4" t="s">
        <v>27</v>
      </c>
      <c r="C2897" s="4" t="s">
        <v>27</v>
      </c>
      <c r="D2897" s="6" t="s">
        <v>27</v>
      </c>
      <c r="E2897" s="6" t="s">
        <v>27</v>
      </c>
      <c r="F2897" s="6" t="s">
        <v>27</v>
      </c>
      <c r="G2897" s="4" t="s">
        <v>27</v>
      </c>
      <c r="H2897" s="4" t="s">
        <v>27</v>
      </c>
      <c r="I2897" s="4" t="s">
        <v>27</v>
      </c>
      <c r="J2897" s="4" t="s">
        <v>27</v>
      </c>
      <c r="K2897" s="4" t="s">
        <v>27</v>
      </c>
      <c r="L2897" s="4" t="s">
        <v>27</v>
      </c>
      <c r="M2897" s="4" t="s">
        <v>27</v>
      </c>
      <c r="N2897" s="4" t="s">
        <v>27</v>
      </c>
    </row>
    <row r="2898" hidden="1">
      <c r="B2898" s="4" t="s">
        <v>27</v>
      </c>
      <c r="C2898" s="4" t="s">
        <v>27</v>
      </c>
      <c r="D2898" s="6" t="s">
        <v>27</v>
      </c>
      <c r="E2898" s="6" t="s">
        <v>27</v>
      </c>
      <c r="F2898" s="6" t="s">
        <v>27</v>
      </c>
      <c r="G2898" s="4" t="s">
        <v>27</v>
      </c>
      <c r="H2898" s="4" t="s">
        <v>27</v>
      </c>
      <c r="I2898" s="4" t="s">
        <v>27</v>
      </c>
      <c r="J2898" s="4" t="s">
        <v>27</v>
      </c>
      <c r="K2898" s="4" t="s">
        <v>27</v>
      </c>
      <c r="L2898" s="4" t="s">
        <v>27</v>
      </c>
      <c r="M2898" s="4" t="s">
        <v>27</v>
      </c>
      <c r="N2898" s="4" t="s">
        <v>27</v>
      </c>
    </row>
    <row r="2899" hidden="1">
      <c r="B2899" s="4" t="s">
        <v>27</v>
      </c>
      <c r="C2899" s="4" t="s">
        <v>27</v>
      </c>
      <c r="D2899" s="6" t="s">
        <v>27</v>
      </c>
      <c r="E2899" s="6" t="s">
        <v>27</v>
      </c>
      <c r="F2899" s="6" t="s">
        <v>27</v>
      </c>
      <c r="G2899" s="4" t="s">
        <v>27</v>
      </c>
      <c r="H2899" s="4" t="s">
        <v>27</v>
      </c>
      <c r="I2899" s="4" t="s">
        <v>27</v>
      </c>
      <c r="J2899" s="4" t="s">
        <v>27</v>
      </c>
      <c r="K2899" s="4" t="s">
        <v>27</v>
      </c>
      <c r="L2899" s="4" t="s">
        <v>27</v>
      </c>
      <c r="M2899" s="4" t="s">
        <v>27</v>
      </c>
      <c r="N2899" s="4" t="s">
        <v>27</v>
      </c>
    </row>
    <row r="2900" hidden="1">
      <c r="B2900" s="4" t="s">
        <v>27</v>
      </c>
      <c r="C2900" s="4" t="s">
        <v>27</v>
      </c>
      <c r="D2900" s="6" t="s">
        <v>27</v>
      </c>
      <c r="E2900" s="6" t="s">
        <v>27</v>
      </c>
      <c r="F2900" s="6" t="s">
        <v>27</v>
      </c>
      <c r="G2900" s="4" t="s">
        <v>27</v>
      </c>
      <c r="H2900" s="4" t="s">
        <v>27</v>
      </c>
      <c r="I2900" s="4" t="s">
        <v>27</v>
      </c>
      <c r="J2900" s="4" t="s">
        <v>27</v>
      </c>
      <c r="K2900" s="4" t="s">
        <v>27</v>
      </c>
      <c r="L2900" s="4" t="s">
        <v>27</v>
      </c>
      <c r="M2900" s="4" t="s">
        <v>27</v>
      </c>
      <c r="N2900" s="4" t="s">
        <v>27</v>
      </c>
    </row>
    <row r="2901" hidden="1">
      <c r="B2901" s="4" t="s">
        <v>27</v>
      </c>
      <c r="C2901" s="4" t="s">
        <v>27</v>
      </c>
      <c r="D2901" s="6" t="s">
        <v>27</v>
      </c>
      <c r="E2901" s="6" t="s">
        <v>27</v>
      </c>
      <c r="F2901" s="6" t="s">
        <v>27</v>
      </c>
      <c r="G2901" s="4" t="s">
        <v>27</v>
      </c>
      <c r="H2901" s="4" t="s">
        <v>27</v>
      </c>
      <c r="I2901" s="4" t="s">
        <v>27</v>
      </c>
      <c r="J2901" s="4" t="s">
        <v>27</v>
      </c>
      <c r="K2901" s="4" t="s">
        <v>27</v>
      </c>
      <c r="L2901" s="4" t="s">
        <v>27</v>
      </c>
      <c r="M2901" s="4" t="s">
        <v>27</v>
      </c>
      <c r="N2901" s="4" t="s">
        <v>27</v>
      </c>
    </row>
    <row r="2902" hidden="1">
      <c r="B2902" s="4" t="s">
        <v>27</v>
      </c>
      <c r="C2902" s="4" t="s">
        <v>27</v>
      </c>
      <c r="D2902" s="6" t="s">
        <v>27</v>
      </c>
      <c r="E2902" s="6" t="s">
        <v>27</v>
      </c>
      <c r="F2902" s="6" t="s">
        <v>27</v>
      </c>
      <c r="G2902" s="4" t="s">
        <v>27</v>
      </c>
      <c r="H2902" s="4" t="s">
        <v>27</v>
      </c>
      <c r="I2902" s="4" t="s">
        <v>27</v>
      </c>
      <c r="J2902" s="4" t="s">
        <v>27</v>
      </c>
      <c r="K2902" s="4" t="s">
        <v>27</v>
      </c>
      <c r="L2902" s="4" t="s">
        <v>27</v>
      </c>
      <c r="M2902" s="4" t="s">
        <v>27</v>
      </c>
      <c r="N2902" s="4" t="s">
        <v>27</v>
      </c>
    </row>
    <row r="2903" hidden="1">
      <c r="B2903" s="4" t="s">
        <v>27</v>
      </c>
      <c r="C2903" s="4" t="s">
        <v>27</v>
      </c>
      <c r="D2903" s="6" t="s">
        <v>27</v>
      </c>
      <c r="E2903" s="6" t="s">
        <v>27</v>
      </c>
      <c r="F2903" s="6" t="s">
        <v>27</v>
      </c>
      <c r="G2903" s="4" t="s">
        <v>27</v>
      </c>
      <c r="H2903" s="4" t="s">
        <v>27</v>
      </c>
      <c r="I2903" s="4" t="s">
        <v>27</v>
      </c>
      <c r="J2903" s="4" t="s">
        <v>27</v>
      </c>
      <c r="K2903" s="4" t="s">
        <v>27</v>
      </c>
      <c r="L2903" s="4" t="s">
        <v>27</v>
      </c>
      <c r="M2903" s="4" t="s">
        <v>27</v>
      </c>
      <c r="N2903" s="4" t="s">
        <v>27</v>
      </c>
    </row>
    <row r="2904" hidden="1">
      <c r="B2904" s="4" t="s">
        <v>27</v>
      </c>
      <c r="C2904" s="4" t="s">
        <v>27</v>
      </c>
      <c r="D2904" s="6" t="s">
        <v>27</v>
      </c>
      <c r="E2904" s="6" t="s">
        <v>27</v>
      </c>
      <c r="F2904" s="6" t="s">
        <v>27</v>
      </c>
      <c r="G2904" s="4" t="s">
        <v>27</v>
      </c>
      <c r="H2904" s="4" t="s">
        <v>27</v>
      </c>
      <c r="I2904" s="4" t="s">
        <v>27</v>
      </c>
      <c r="J2904" s="4" t="s">
        <v>27</v>
      </c>
      <c r="K2904" s="4" t="s">
        <v>27</v>
      </c>
      <c r="L2904" s="4" t="s">
        <v>27</v>
      </c>
      <c r="M2904" s="4" t="s">
        <v>27</v>
      </c>
      <c r="N2904" s="4" t="s">
        <v>27</v>
      </c>
    </row>
    <row r="2905" hidden="1">
      <c r="B2905" s="4" t="s">
        <v>27</v>
      </c>
      <c r="C2905" s="4" t="s">
        <v>27</v>
      </c>
      <c r="D2905" s="6" t="s">
        <v>27</v>
      </c>
      <c r="E2905" s="6" t="s">
        <v>27</v>
      </c>
      <c r="F2905" s="6" t="s">
        <v>27</v>
      </c>
      <c r="G2905" s="4" t="s">
        <v>27</v>
      </c>
      <c r="H2905" s="4" t="s">
        <v>27</v>
      </c>
      <c r="I2905" s="4" t="s">
        <v>27</v>
      </c>
      <c r="J2905" s="4" t="s">
        <v>27</v>
      </c>
      <c r="K2905" s="4" t="s">
        <v>27</v>
      </c>
      <c r="L2905" s="4" t="s">
        <v>27</v>
      </c>
      <c r="M2905" s="4" t="s">
        <v>27</v>
      </c>
      <c r="N2905" s="4" t="s">
        <v>27</v>
      </c>
    </row>
    <row r="2906" hidden="1">
      <c r="B2906" s="4" t="s">
        <v>27</v>
      </c>
      <c r="C2906" s="4" t="s">
        <v>27</v>
      </c>
      <c r="D2906" s="6" t="s">
        <v>27</v>
      </c>
      <c r="E2906" s="6" t="s">
        <v>27</v>
      </c>
      <c r="F2906" s="6" t="s">
        <v>27</v>
      </c>
      <c r="G2906" s="4" t="s">
        <v>27</v>
      </c>
      <c r="H2906" s="4" t="s">
        <v>27</v>
      </c>
      <c r="I2906" s="4" t="s">
        <v>27</v>
      </c>
      <c r="J2906" s="4" t="s">
        <v>27</v>
      </c>
      <c r="K2906" s="4" t="s">
        <v>27</v>
      </c>
      <c r="L2906" s="4" t="s">
        <v>27</v>
      </c>
      <c r="M2906" s="4" t="s">
        <v>27</v>
      </c>
      <c r="N2906" s="4" t="s">
        <v>27</v>
      </c>
    </row>
    <row r="2907" hidden="1">
      <c r="B2907" s="4" t="s">
        <v>27</v>
      </c>
      <c r="C2907" s="4" t="s">
        <v>27</v>
      </c>
      <c r="D2907" s="6" t="s">
        <v>27</v>
      </c>
      <c r="E2907" s="6" t="s">
        <v>27</v>
      </c>
      <c r="F2907" s="6" t="s">
        <v>27</v>
      </c>
      <c r="G2907" s="4" t="s">
        <v>27</v>
      </c>
      <c r="H2907" s="4" t="s">
        <v>27</v>
      </c>
      <c r="I2907" s="4" t="s">
        <v>27</v>
      </c>
      <c r="J2907" s="4" t="s">
        <v>27</v>
      </c>
      <c r="K2907" s="4" t="s">
        <v>27</v>
      </c>
      <c r="L2907" s="4" t="s">
        <v>27</v>
      </c>
      <c r="M2907" s="4" t="s">
        <v>27</v>
      </c>
      <c r="N2907" s="4" t="s">
        <v>27</v>
      </c>
    </row>
    <row r="2908" hidden="1">
      <c r="B2908" s="4" t="s">
        <v>27</v>
      </c>
      <c r="C2908" s="4" t="s">
        <v>27</v>
      </c>
      <c r="D2908" s="6" t="s">
        <v>27</v>
      </c>
      <c r="E2908" s="6" t="s">
        <v>27</v>
      </c>
      <c r="F2908" s="6" t="s">
        <v>27</v>
      </c>
      <c r="G2908" s="4" t="s">
        <v>27</v>
      </c>
      <c r="H2908" s="4" t="s">
        <v>27</v>
      </c>
      <c r="I2908" s="4" t="s">
        <v>27</v>
      </c>
      <c r="J2908" s="4" t="s">
        <v>27</v>
      </c>
      <c r="K2908" s="4" t="s">
        <v>27</v>
      </c>
      <c r="L2908" s="4" t="s">
        <v>27</v>
      </c>
      <c r="M2908" s="4" t="s">
        <v>27</v>
      </c>
      <c r="N2908" s="4" t="s">
        <v>27</v>
      </c>
    </row>
    <row r="2909" hidden="1">
      <c r="B2909" s="4" t="s">
        <v>27</v>
      </c>
      <c r="C2909" s="4" t="s">
        <v>27</v>
      </c>
      <c r="D2909" s="6" t="s">
        <v>27</v>
      </c>
      <c r="E2909" s="6" t="s">
        <v>27</v>
      </c>
      <c r="F2909" s="6" t="s">
        <v>27</v>
      </c>
      <c r="G2909" s="4" t="s">
        <v>27</v>
      </c>
      <c r="H2909" s="4" t="s">
        <v>27</v>
      </c>
      <c r="I2909" s="4" t="s">
        <v>27</v>
      </c>
      <c r="J2909" s="4" t="s">
        <v>27</v>
      </c>
      <c r="K2909" s="4" t="s">
        <v>27</v>
      </c>
      <c r="L2909" s="4" t="s">
        <v>27</v>
      </c>
      <c r="M2909" s="4" t="s">
        <v>27</v>
      </c>
      <c r="N2909" s="4" t="s">
        <v>27</v>
      </c>
    </row>
    <row r="2910" hidden="1">
      <c r="B2910" s="4" t="s">
        <v>27</v>
      </c>
      <c r="C2910" s="4" t="s">
        <v>27</v>
      </c>
      <c r="D2910" s="6" t="s">
        <v>27</v>
      </c>
      <c r="E2910" s="6" t="s">
        <v>27</v>
      </c>
      <c r="F2910" s="6" t="s">
        <v>27</v>
      </c>
      <c r="G2910" s="4" t="s">
        <v>27</v>
      </c>
      <c r="H2910" s="4" t="s">
        <v>27</v>
      </c>
      <c r="I2910" s="4" t="s">
        <v>27</v>
      </c>
      <c r="J2910" s="4" t="s">
        <v>27</v>
      </c>
      <c r="K2910" s="4" t="s">
        <v>27</v>
      </c>
      <c r="L2910" s="4" t="s">
        <v>27</v>
      </c>
      <c r="M2910" s="4" t="s">
        <v>27</v>
      </c>
      <c r="N2910" s="4" t="s">
        <v>27</v>
      </c>
    </row>
    <row r="2911" hidden="1">
      <c r="B2911" s="4" t="s">
        <v>27</v>
      </c>
      <c r="C2911" s="4" t="s">
        <v>27</v>
      </c>
      <c r="D2911" s="6" t="s">
        <v>27</v>
      </c>
      <c r="E2911" s="6" t="s">
        <v>27</v>
      </c>
      <c r="F2911" s="6" t="s">
        <v>27</v>
      </c>
      <c r="G2911" s="4" t="s">
        <v>27</v>
      </c>
      <c r="H2911" s="4" t="s">
        <v>27</v>
      </c>
      <c r="I2911" s="4" t="s">
        <v>27</v>
      </c>
      <c r="J2911" s="4" t="s">
        <v>27</v>
      </c>
      <c r="K2911" s="4" t="s">
        <v>27</v>
      </c>
      <c r="L2911" s="4" t="s">
        <v>27</v>
      </c>
      <c r="M2911" s="4" t="s">
        <v>27</v>
      </c>
      <c r="N2911" s="4" t="s">
        <v>27</v>
      </c>
    </row>
    <row r="2912" hidden="1">
      <c r="B2912" s="4" t="s">
        <v>27</v>
      </c>
      <c r="C2912" s="4" t="s">
        <v>27</v>
      </c>
      <c r="D2912" s="6" t="s">
        <v>27</v>
      </c>
      <c r="E2912" s="6" t="s">
        <v>27</v>
      </c>
      <c r="F2912" s="6" t="s">
        <v>27</v>
      </c>
      <c r="G2912" s="4" t="s">
        <v>27</v>
      </c>
      <c r="H2912" s="4" t="s">
        <v>27</v>
      </c>
      <c r="I2912" s="4" t="s">
        <v>27</v>
      </c>
      <c r="J2912" s="4" t="s">
        <v>27</v>
      </c>
      <c r="K2912" s="4" t="s">
        <v>27</v>
      </c>
      <c r="L2912" s="4" t="s">
        <v>27</v>
      </c>
      <c r="M2912" s="4" t="s">
        <v>27</v>
      </c>
      <c r="N2912" s="4" t="s">
        <v>27</v>
      </c>
    </row>
    <row r="2913" hidden="1">
      <c r="B2913" s="4" t="s">
        <v>27</v>
      </c>
      <c r="C2913" s="4" t="s">
        <v>27</v>
      </c>
      <c r="D2913" s="6" t="s">
        <v>27</v>
      </c>
      <c r="E2913" s="6" t="s">
        <v>27</v>
      </c>
      <c r="F2913" s="6" t="s">
        <v>27</v>
      </c>
      <c r="G2913" s="4" t="s">
        <v>27</v>
      </c>
      <c r="H2913" s="4" t="s">
        <v>27</v>
      </c>
      <c r="I2913" s="4" t="s">
        <v>27</v>
      </c>
      <c r="J2913" s="4" t="s">
        <v>27</v>
      </c>
      <c r="K2913" s="4" t="s">
        <v>27</v>
      </c>
      <c r="L2913" s="4" t="s">
        <v>27</v>
      </c>
      <c r="M2913" s="4" t="s">
        <v>27</v>
      </c>
      <c r="N2913" s="4" t="s">
        <v>27</v>
      </c>
    </row>
    <row r="2914" hidden="1">
      <c r="B2914" s="4" t="s">
        <v>27</v>
      </c>
      <c r="C2914" s="4" t="s">
        <v>27</v>
      </c>
      <c r="D2914" s="6" t="s">
        <v>27</v>
      </c>
      <c r="E2914" s="6" t="s">
        <v>27</v>
      </c>
      <c r="F2914" s="6" t="s">
        <v>27</v>
      </c>
      <c r="G2914" s="4" t="s">
        <v>27</v>
      </c>
      <c r="H2914" s="4" t="s">
        <v>27</v>
      </c>
      <c r="I2914" s="4" t="s">
        <v>27</v>
      </c>
      <c r="J2914" s="4" t="s">
        <v>27</v>
      </c>
      <c r="K2914" s="4" t="s">
        <v>27</v>
      </c>
      <c r="L2914" s="4" t="s">
        <v>27</v>
      </c>
      <c r="M2914" s="4" t="s">
        <v>27</v>
      </c>
      <c r="N2914" s="4" t="s">
        <v>27</v>
      </c>
    </row>
    <row r="2915" hidden="1">
      <c r="B2915" s="4" t="s">
        <v>27</v>
      </c>
      <c r="C2915" s="4" t="s">
        <v>27</v>
      </c>
      <c r="D2915" s="6" t="s">
        <v>27</v>
      </c>
      <c r="E2915" s="6" t="s">
        <v>27</v>
      </c>
      <c r="F2915" s="6" t="s">
        <v>27</v>
      </c>
      <c r="G2915" s="4" t="s">
        <v>27</v>
      </c>
      <c r="H2915" s="4" t="s">
        <v>27</v>
      </c>
      <c r="I2915" s="4" t="s">
        <v>27</v>
      </c>
      <c r="J2915" s="4" t="s">
        <v>27</v>
      </c>
      <c r="K2915" s="4" t="s">
        <v>27</v>
      </c>
      <c r="L2915" s="4" t="s">
        <v>27</v>
      </c>
      <c r="M2915" s="4" t="s">
        <v>27</v>
      </c>
      <c r="N2915" s="4" t="s">
        <v>27</v>
      </c>
    </row>
    <row r="2916" hidden="1">
      <c r="B2916" s="4" t="s">
        <v>27</v>
      </c>
      <c r="C2916" s="4" t="s">
        <v>27</v>
      </c>
      <c r="D2916" s="6" t="s">
        <v>27</v>
      </c>
      <c r="E2916" s="6" t="s">
        <v>27</v>
      </c>
      <c r="F2916" s="6" t="s">
        <v>27</v>
      </c>
      <c r="G2916" s="4" t="s">
        <v>27</v>
      </c>
      <c r="H2916" s="4" t="s">
        <v>27</v>
      </c>
      <c r="I2916" s="4" t="s">
        <v>27</v>
      </c>
      <c r="J2916" s="4" t="s">
        <v>27</v>
      </c>
      <c r="K2916" s="4" t="s">
        <v>27</v>
      </c>
      <c r="L2916" s="4" t="s">
        <v>27</v>
      </c>
      <c r="M2916" s="4" t="s">
        <v>27</v>
      </c>
      <c r="N2916" s="4" t="s">
        <v>27</v>
      </c>
    </row>
    <row r="2917" hidden="1">
      <c r="B2917" s="4" t="s">
        <v>27</v>
      </c>
      <c r="C2917" s="4" t="s">
        <v>27</v>
      </c>
      <c r="D2917" s="6" t="s">
        <v>27</v>
      </c>
      <c r="E2917" s="6" t="s">
        <v>27</v>
      </c>
      <c r="F2917" s="6" t="s">
        <v>27</v>
      </c>
      <c r="G2917" s="4" t="s">
        <v>27</v>
      </c>
      <c r="H2917" s="4" t="s">
        <v>27</v>
      </c>
      <c r="I2917" s="4" t="s">
        <v>27</v>
      </c>
      <c r="J2917" s="4" t="s">
        <v>27</v>
      </c>
      <c r="K2917" s="4" t="s">
        <v>27</v>
      </c>
      <c r="L2917" s="4" t="s">
        <v>27</v>
      </c>
      <c r="M2917" s="4" t="s">
        <v>27</v>
      </c>
      <c r="N2917" s="4" t="s">
        <v>27</v>
      </c>
    </row>
    <row r="2918" hidden="1">
      <c r="B2918" s="4" t="s">
        <v>27</v>
      </c>
      <c r="C2918" s="4" t="s">
        <v>27</v>
      </c>
      <c r="D2918" s="6" t="s">
        <v>27</v>
      </c>
      <c r="E2918" s="6" t="s">
        <v>27</v>
      </c>
      <c r="F2918" s="6" t="s">
        <v>27</v>
      </c>
      <c r="G2918" s="4" t="s">
        <v>27</v>
      </c>
      <c r="H2918" s="4" t="s">
        <v>27</v>
      </c>
      <c r="I2918" s="4" t="s">
        <v>27</v>
      </c>
      <c r="J2918" s="4" t="s">
        <v>27</v>
      </c>
      <c r="K2918" s="4" t="s">
        <v>27</v>
      </c>
      <c r="L2918" s="4" t="s">
        <v>27</v>
      </c>
      <c r="M2918" s="4" t="s">
        <v>27</v>
      </c>
      <c r="N2918" s="4" t="s">
        <v>27</v>
      </c>
    </row>
    <row r="2919" hidden="1">
      <c r="B2919" s="4" t="s">
        <v>27</v>
      </c>
      <c r="C2919" s="4" t="s">
        <v>27</v>
      </c>
      <c r="D2919" s="6" t="s">
        <v>27</v>
      </c>
      <c r="E2919" s="6" t="s">
        <v>27</v>
      </c>
      <c r="F2919" s="6" t="s">
        <v>27</v>
      </c>
      <c r="G2919" s="4" t="s">
        <v>27</v>
      </c>
      <c r="H2919" s="4" t="s">
        <v>27</v>
      </c>
      <c r="I2919" s="4" t="s">
        <v>27</v>
      </c>
      <c r="J2919" s="4" t="s">
        <v>27</v>
      </c>
      <c r="K2919" s="4" t="s">
        <v>27</v>
      </c>
      <c r="L2919" s="4" t="s">
        <v>27</v>
      </c>
      <c r="M2919" s="4" t="s">
        <v>27</v>
      </c>
      <c r="N2919" s="4" t="s">
        <v>27</v>
      </c>
    </row>
    <row r="2920" hidden="1">
      <c r="B2920" s="4" t="s">
        <v>27</v>
      </c>
      <c r="C2920" s="4" t="s">
        <v>27</v>
      </c>
      <c r="D2920" s="6" t="s">
        <v>27</v>
      </c>
      <c r="E2920" s="6" t="s">
        <v>27</v>
      </c>
      <c r="F2920" s="6" t="s">
        <v>27</v>
      </c>
      <c r="G2920" s="4" t="s">
        <v>27</v>
      </c>
      <c r="H2920" s="4" t="s">
        <v>27</v>
      </c>
      <c r="I2920" s="4" t="s">
        <v>27</v>
      </c>
      <c r="J2920" s="4" t="s">
        <v>27</v>
      </c>
      <c r="K2920" s="4" t="s">
        <v>27</v>
      </c>
      <c r="L2920" s="4" t="s">
        <v>27</v>
      </c>
      <c r="M2920" s="4" t="s">
        <v>27</v>
      </c>
      <c r="N2920" s="4" t="s">
        <v>27</v>
      </c>
    </row>
    <row r="2921" hidden="1">
      <c r="B2921" s="4" t="s">
        <v>27</v>
      </c>
      <c r="C2921" s="4" t="s">
        <v>27</v>
      </c>
      <c r="D2921" s="6" t="s">
        <v>27</v>
      </c>
      <c r="E2921" s="6" t="s">
        <v>27</v>
      </c>
      <c r="F2921" s="6" t="s">
        <v>27</v>
      </c>
      <c r="G2921" s="4" t="s">
        <v>27</v>
      </c>
      <c r="H2921" s="4" t="s">
        <v>27</v>
      </c>
      <c r="I2921" s="4" t="s">
        <v>27</v>
      </c>
      <c r="J2921" s="4" t="s">
        <v>27</v>
      </c>
      <c r="K2921" s="4" t="s">
        <v>27</v>
      </c>
      <c r="L2921" s="4" t="s">
        <v>27</v>
      </c>
      <c r="M2921" s="4" t="s">
        <v>27</v>
      </c>
      <c r="N2921" s="4" t="s">
        <v>27</v>
      </c>
    </row>
    <row r="2922" hidden="1">
      <c r="B2922" s="4" t="s">
        <v>27</v>
      </c>
      <c r="C2922" s="4" t="s">
        <v>27</v>
      </c>
      <c r="D2922" s="6" t="s">
        <v>27</v>
      </c>
      <c r="E2922" s="6" t="s">
        <v>27</v>
      </c>
      <c r="F2922" s="6" t="s">
        <v>27</v>
      </c>
      <c r="G2922" s="4" t="s">
        <v>27</v>
      </c>
      <c r="H2922" s="4" t="s">
        <v>27</v>
      </c>
      <c r="I2922" s="4" t="s">
        <v>27</v>
      </c>
      <c r="J2922" s="4" t="s">
        <v>27</v>
      </c>
      <c r="K2922" s="4" t="s">
        <v>27</v>
      </c>
      <c r="L2922" s="4" t="s">
        <v>27</v>
      </c>
      <c r="M2922" s="4" t="s">
        <v>27</v>
      </c>
      <c r="N2922" s="4" t="s">
        <v>27</v>
      </c>
    </row>
    <row r="2923" hidden="1">
      <c r="B2923" s="4" t="s">
        <v>27</v>
      </c>
      <c r="C2923" s="4" t="s">
        <v>27</v>
      </c>
      <c r="D2923" s="6" t="s">
        <v>27</v>
      </c>
      <c r="E2923" s="6" t="s">
        <v>27</v>
      </c>
      <c r="F2923" s="6" t="s">
        <v>27</v>
      </c>
      <c r="G2923" s="4" t="s">
        <v>27</v>
      </c>
      <c r="H2923" s="4" t="s">
        <v>27</v>
      </c>
      <c r="I2923" s="4" t="s">
        <v>27</v>
      </c>
      <c r="J2923" s="4" t="s">
        <v>27</v>
      </c>
      <c r="K2923" s="4" t="s">
        <v>27</v>
      </c>
      <c r="L2923" s="4" t="s">
        <v>27</v>
      </c>
      <c r="M2923" s="4" t="s">
        <v>27</v>
      </c>
      <c r="N2923" s="4" t="s">
        <v>27</v>
      </c>
    </row>
    <row r="2924" hidden="1">
      <c r="B2924" s="4" t="s">
        <v>27</v>
      </c>
      <c r="C2924" s="4" t="s">
        <v>27</v>
      </c>
      <c r="D2924" s="6" t="s">
        <v>27</v>
      </c>
      <c r="E2924" s="6" t="s">
        <v>27</v>
      </c>
      <c r="F2924" s="6" t="s">
        <v>27</v>
      </c>
      <c r="G2924" s="4" t="s">
        <v>27</v>
      </c>
      <c r="H2924" s="4" t="s">
        <v>27</v>
      </c>
      <c r="I2924" s="4" t="s">
        <v>27</v>
      </c>
      <c r="J2924" s="4" t="s">
        <v>27</v>
      </c>
      <c r="K2924" s="4" t="s">
        <v>27</v>
      </c>
      <c r="L2924" s="4" t="s">
        <v>27</v>
      </c>
      <c r="M2924" s="4" t="s">
        <v>27</v>
      </c>
      <c r="N2924" s="4" t="s">
        <v>27</v>
      </c>
    </row>
    <row r="2925" hidden="1">
      <c r="B2925" s="4" t="s">
        <v>27</v>
      </c>
      <c r="C2925" s="4" t="s">
        <v>27</v>
      </c>
      <c r="D2925" s="6" t="s">
        <v>27</v>
      </c>
      <c r="E2925" s="6" t="s">
        <v>27</v>
      </c>
      <c r="F2925" s="6" t="s">
        <v>27</v>
      </c>
      <c r="G2925" s="4" t="s">
        <v>27</v>
      </c>
      <c r="H2925" s="4" t="s">
        <v>27</v>
      </c>
      <c r="I2925" s="4" t="s">
        <v>27</v>
      </c>
      <c r="J2925" s="4" t="s">
        <v>27</v>
      </c>
      <c r="K2925" s="4" t="s">
        <v>27</v>
      </c>
      <c r="L2925" s="4" t="s">
        <v>27</v>
      </c>
      <c r="M2925" s="4" t="s">
        <v>27</v>
      </c>
      <c r="N2925" s="4" t="s">
        <v>27</v>
      </c>
    </row>
    <row r="2926" hidden="1">
      <c r="B2926" s="4" t="s">
        <v>27</v>
      </c>
      <c r="C2926" s="4" t="s">
        <v>27</v>
      </c>
      <c r="D2926" s="6" t="s">
        <v>27</v>
      </c>
      <c r="E2926" s="6" t="s">
        <v>27</v>
      </c>
      <c r="F2926" s="6" t="s">
        <v>27</v>
      </c>
      <c r="G2926" s="4" t="s">
        <v>27</v>
      </c>
      <c r="H2926" s="4" t="s">
        <v>27</v>
      </c>
      <c r="I2926" s="4" t="s">
        <v>27</v>
      </c>
      <c r="J2926" s="4" t="s">
        <v>27</v>
      </c>
      <c r="K2926" s="4" t="s">
        <v>27</v>
      </c>
      <c r="L2926" s="4" t="s">
        <v>27</v>
      </c>
      <c r="M2926" s="4" t="s">
        <v>27</v>
      </c>
      <c r="N2926" s="4" t="s">
        <v>27</v>
      </c>
    </row>
    <row r="2927" hidden="1">
      <c r="B2927" s="4" t="s">
        <v>27</v>
      </c>
      <c r="C2927" s="4" t="s">
        <v>27</v>
      </c>
      <c r="D2927" s="6" t="s">
        <v>27</v>
      </c>
      <c r="E2927" s="6" t="s">
        <v>27</v>
      </c>
      <c r="F2927" s="6" t="s">
        <v>27</v>
      </c>
      <c r="G2927" s="4" t="s">
        <v>27</v>
      </c>
      <c r="H2927" s="4" t="s">
        <v>27</v>
      </c>
      <c r="I2927" s="4" t="s">
        <v>27</v>
      </c>
      <c r="J2927" s="4" t="s">
        <v>27</v>
      </c>
      <c r="K2927" s="4" t="s">
        <v>27</v>
      </c>
      <c r="L2927" s="4" t="s">
        <v>27</v>
      </c>
      <c r="M2927" s="4" t="s">
        <v>27</v>
      </c>
      <c r="N2927" s="4" t="s">
        <v>27</v>
      </c>
    </row>
    <row r="2928" hidden="1">
      <c r="B2928" s="4" t="s">
        <v>27</v>
      </c>
      <c r="C2928" s="4" t="s">
        <v>27</v>
      </c>
      <c r="D2928" s="6" t="s">
        <v>27</v>
      </c>
      <c r="E2928" s="6" t="s">
        <v>27</v>
      </c>
      <c r="F2928" s="6" t="s">
        <v>27</v>
      </c>
      <c r="G2928" s="4" t="s">
        <v>27</v>
      </c>
      <c r="H2928" s="4" t="s">
        <v>27</v>
      </c>
      <c r="I2928" s="4" t="s">
        <v>27</v>
      </c>
      <c r="J2928" s="4" t="s">
        <v>27</v>
      </c>
      <c r="K2928" s="4" t="s">
        <v>27</v>
      </c>
      <c r="L2928" s="4" t="s">
        <v>27</v>
      </c>
      <c r="M2928" s="4" t="s">
        <v>27</v>
      </c>
      <c r="N2928" s="4" t="s">
        <v>27</v>
      </c>
    </row>
    <row r="2929" hidden="1">
      <c r="B2929" s="4" t="s">
        <v>27</v>
      </c>
      <c r="C2929" s="4" t="s">
        <v>27</v>
      </c>
      <c r="D2929" s="6" t="s">
        <v>27</v>
      </c>
      <c r="E2929" s="6" t="s">
        <v>27</v>
      </c>
      <c r="F2929" s="6" t="s">
        <v>27</v>
      </c>
      <c r="G2929" s="4" t="s">
        <v>27</v>
      </c>
      <c r="H2929" s="4" t="s">
        <v>27</v>
      </c>
      <c r="I2929" s="4" t="s">
        <v>27</v>
      </c>
      <c r="J2929" s="4" t="s">
        <v>27</v>
      </c>
      <c r="K2929" s="4" t="s">
        <v>27</v>
      </c>
      <c r="L2929" s="4" t="s">
        <v>27</v>
      </c>
      <c r="M2929" s="4" t="s">
        <v>27</v>
      </c>
      <c r="N2929" s="4" t="s">
        <v>27</v>
      </c>
    </row>
    <row r="2930" hidden="1">
      <c r="B2930" s="4" t="s">
        <v>27</v>
      </c>
      <c r="C2930" s="4" t="s">
        <v>27</v>
      </c>
      <c r="D2930" s="6" t="s">
        <v>27</v>
      </c>
      <c r="E2930" s="6" t="s">
        <v>27</v>
      </c>
      <c r="F2930" s="6" t="s">
        <v>27</v>
      </c>
      <c r="G2930" s="4" t="s">
        <v>27</v>
      </c>
      <c r="H2930" s="4" t="s">
        <v>27</v>
      </c>
      <c r="I2930" s="4" t="s">
        <v>27</v>
      </c>
      <c r="J2930" s="4" t="s">
        <v>27</v>
      </c>
      <c r="K2930" s="4" t="s">
        <v>27</v>
      </c>
      <c r="L2930" s="4" t="s">
        <v>27</v>
      </c>
      <c r="M2930" s="4" t="s">
        <v>27</v>
      </c>
      <c r="N2930" s="4" t="s">
        <v>27</v>
      </c>
    </row>
    <row r="2931" hidden="1">
      <c r="B2931" s="4" t="s">
        <v>27</v>
      </c>
      <c r="C2931" s="4" t="s">
        <v>27</v>
      </c>
      <c r="D2931" s="6" t="s">
        <v>27</v>
      </c>
      <c r="E2931" s="6" t="s">
        <v>27</v>
      </c>
      <c r="F2931" s="6" t="s">
        <v>27</v>
      </c>
      <c r="G2931" s="4" t="s">
        <v>27</v>
      </c>
      <c r="H2931" s="4" t="s">
        <v>27</v>
      </c>
      <c r="I2931" s="4" t="s">
        <v>27</v>
      </c>
      <c r="J2931" s="4" t="s">
        <v>27</v>
      </c>
      <c r="K2931" s="4" t="s">
        <v>27</v>
      </c>
      <c r="L2931" s="4" t="s">
        <v>27</v>
      </c>
      <c r="M2931" s="4" t="s">
        <v>27</v>
      </c>
      <c r="N2931" s="4" t="s">
        <v>27</v>
      </c>
    </row>
    <row r="2932" hidden="1">
      <c r="B2932" s="4" t="s">
        <v>27</v>
      </c>
      <c r="C2932" s="4" t="s">
        <v>27</v>
      </c>
      <c r="D2932" s="6" t="s">
        <v>27</v>
      </c>
      <c r="E2932" s="6" t="s">
        <v>27</v>
      </c>
      <c r="F2932" s="6" t="s">
        <v>27</v>
      </c>
      <c r="G2932" s="4" t="s">
        <v>27</v>
      </c>
      <c r="H2932" s="4" t="s">
        <v>27</v>
      </c>
      <c r="I2932" s="4" t="s">
        <v>27</v>
      </c>
      <c r="J2932" s="4" t="s">
        <v>27</v>
      </c>
      <c r="K2932" s="4" t="s">
        <v>27</v>
      </c>
      <c r="L2932" s="4" t="s">
        <v>27</v>
      </c>
      <c r="M2932" s="4" t="s">
        <v>27</v>
      </c>
      <c r="N2932" s="4" t="s">
        <v>27</v>
      </c>
    </row>
    <row r="2933" hidden="1">
      <c r="B2933" s="4" t="s">
        <v>27</v>
      </c>
      <c r="C2933" s="4" t="s">
        <v>27</v>
      </c>
      <c r="D2933" s="6" t="s">
        <v>27</v>
      </c>
      <c r="E2933" s="6" t="s">
        <v>27</v>
      </c>
      <c r="F2933" s="6" t="s">
        <v>27</v>
      </c>
      <c r="G2933" s="4" t="s">
        <v>27</v>
      </c>
      <c r="H2933" s="4" t="s">
        <v>27</v>
      </c>
      <c r="I2933" s="4" t="s">
        <v>27</v>
      </c>
      <c r="J2933" s="4" t="s">
        <v>27</v>
      </c>
      <c r="K2933" s="4" t="s">
        <v>27</v>
      </c>
      <c r="L2933" s="4" t="s">
        <v>27</v>
      </c>
      <c r="M2933" s="4" t="s">
        <v>27</v>
      </c>
      <c r="N2933" s="4" t="s">
        <v>27</v>
      </c>
    </row>
    <row r="2934" hidden="1">
      <c r="B2934" s="4" t="s">
        <v>27</v>
      </c>
      <c r="C2934" s="4" t="s">
        <v>27</v>
      </c>
      <c r="D2934" s="6" t="s">
        <v>27</v>
      </c>
      <c r="E2934" s="6" t="s">
        <v>27</v>
      </c>
      <c r="F2934" s="6" t="s">
        <v>27</v>
      </c>
      <c r="G2934" s="4" t="s">
        <v>27</v>
      </c>
      <c r="H2934" s="4" t="s">
        <v>27</v>
      </c>
      <c r="I2934" s="4" t="s">
        <v>27</v>
      </c>
      <c r="J2934" s="4" t="s">
        <v>27</v>
      </c>
      <c r="K2934" s="4" t="s">
        <v>27</v>
      </c>
      <c r="L2934" s="4" t="s">
        <v>27</v>
      </c>
      <c r="M2934" s="4" t="s">
        <v>27</v>
      </c>
      <c r="N2934" s="4" t="s">
        <v>27</v>
      </c>
    </row>
    <row r="2935" hidden="1">
      <c r="B2935" s="4" t="s">
        <v>27</v>
      </c>
      <c r="C2935" s="4" t="s">
        <v>27</v>
      </c>
      <c r="D2935" s="6" t="s">
        <v>27</v>
      </c>
      <c r="E2935" s="6" t="s">
        <v>27</v>
      </c>
      <c r="F2935" s="6" t="s">
        <v>27</v>
      </c>
      <c r="G2935" s="4" t="s">
        <v>27</v>
      </c>
      <c r="H2935" s="4" t="s">
        <v>27</v>
      </c>
      <c r="I2935" s="4" t="s">
        <v>27</v>
      </c>
      <c r="J2935" s="4" t="s">
        <v>27</v>
      </c>
      <c r="K2935" s="4" t="s">
        <v>27</v>
      </c>
      <c r="L2935" s="4" t="s">
        <v>27</v>
      </c>
      <c r="M2935" s="4" t="s">
        <v>27</v>
      </c>
      <c r="N2935" s="4" t="s">
        <v>27</v>
      </c>
    </row>
    <row r="2936" hidden="1">
      <c r="B2936" s="4" t="s">
        <v>27</v>
      </c>
      <c r="C2936" s="4" t="s">
        <v>27</v>
      </c>
      <c r="D2936" s="6" t="s">
        <v>27</v>
      </c>
      <c r="E2936" s="6" t="s">
        <v>27</v>
      </c>
      <c r="F2936" s="6" t="s">
        <v>27</v>
      </c>
      <c r="G2936" s="4" t="s">
        <v>27</v>
      </c>
      <c r="H2936" s="4" t="s">
        <v>27</v>
      </c>
      <c r="I2936" s="4" t="s">
        <v>27</v>
      </c>
      <c r="J2936" s="4" t="s">
        <v>27</v>
      </c>
      <c r="K2936" s="4" t="s">
        <v>27</v>
      </c>
      <c r="L2936" s="4" t="s">
        <v>27</v>
      </c>
      <c r="M2936" s="4" t="s">
        <v>27</v>
      </c>
      <c r="N2936" s="4" t="s">
        <v>27</v>
      </c>
    </row>
    <row r="2937" hidden="1">
      <c r="B2937" s="4" t="s">
        <v>27</v>
      </c>
      <c r="C2937" s="4" t="s">
        <v>27</v>
      </c>
      <c r="D2937" s="6" t="s">
        <v>27</v>
      </c>
      <c r="E2937" s="6" t="s">
        <v>27</v>
      </c>
      <c r="F2937" s="6" t="s">
        <v>27</v>
      </c>
      <c r="G2937" s="4" t="s">
        <v>27</v>
      </c>
      <c r="H2937" s="4" t="s">
        <v>27</v>
      </c>
      <c r="I2937" s="4" t="s">
        <v>27</v>
      </c>
      <c r="J2937" s="4" t="s">
        <v>27</v>
      </c>
      <c r="K2937" s="4" t="s">
        <v>27</v>
      </c>
      <c r="L2937" s="4" t="s">
        <v>27</v>
      </c>
      <c r="M2937" s="4" t="s">
        <v>27</v>
      </c>
      <c r="N2937" s="4" t="s">
        <v>27</v>
      </c>
    </row>
    <row r="2938" hidden="1">
      <c r="B2938" s="4" t="s">
        <v>27</v>
      </c>
      <c r="C2938" s="4" t="s">
        <v>27</v>
      </c>
      <c r="D2938" s="6" t="s">
        <v>27</v>
      </c>
      <c r="E2938" s="6" t="s">
        <v>27</v>
      </c>
      <c r="F2938" s="6" t="s">
        <v>27</v>
      </c>
      <c r="G2938" s="4" t="s">
        <v>27</v>
      </c>
      <c r="H2938" s="4" t="s">
        <v>27</v>
      </c>
      <c r="I2938" s="4" t="s">
        <v>27</v>
      </c>
      <c r="J2938" s="4" t="s">
        <v>27</v>
      </c>
      <c r="K2938" s="4" t="s">
        <v>27</v>
      </c>
      <c r="L2938" s="4" t="s">
        <v>27</v>
      </c>
      <c r="M2938" s="4" t="s">
        <v>27</v>
      </c>
      <c r="N2938" s="4" t="s">
        <v>27</v>
      </c>
    </row>
    <row r="2939" hidden="1">
      <c r="B2939" s="4" t="s">
        <v>27</v>
      </c>
      <c r="C2939" s="4" t="s">
        <v>27</v>
      </c>
      <c r="D2939" s="6" t="s">
        <v>27</v>
      </c>
      <c r="E2939" s="6" t="s">
        <v>27</v>
      </c>
      <c r="F2939" s="6" t="s">
        <v>27</v>
      </c>
      <c r="G2939" s="4" t="s">
        <v>27</v>
      </c>
      <c r="H2939" s="4" t="s">
        <v>27</v>
      </c>
      <c r="I2939" s="4" t="s">
        <v>27</v>
      </c>
      <c r="J2939" s="4" t="s">
        <v>27</v>
      </c>
      <c r="K2939" s="4" t="s">
        <v>27</v>
      </c>
      <c r="L2939" s="4" t="s">
        <v>27</v>
      </c>
      <c r="M2939" s="4" t="s">
        <v>27</v>
      </c>
      <c r="N2939" s="4" t="s">
        <v>27</v>
      </c>
    </row>
    <row r="2940" hidden="1">
      <c r="B2940" s="4" t="s">
        <v>27</v>
      </c>
      <c r="C2940" s="4" t="s">
        <v>27</v>
      </c>
      <c r="D2940" s="6" t="s">
        <v>27</v>
      </c>
      <c r="E2940" s="6" t="s">
        <v>27</v>
      </c>
      <c r="F2940" s="6" t="s">
        <v>27</v>
      </c>
      <c r="G2940" s="4" t="s">
        <v>27</v>
      </c>
      <c r="H2940" s="4" t="s">
        <v>27</v>
      </c>
      <c r="I2940" s="4" t="s">
        <v>27</v>
      </c>
      <c r="J2940" s="4" t="s">
        <v>27</v>
      </c>
      <c r="K2940" s="4" t="s">
        <v>27</v>
      </c>
      <c r="L2940" s="4" t="s">
        <v>27</v>
      </c>
      <c r="M2940" s="4" t="s">
        <v>27</v>
      </c>
      <c r="N2940" s="4" t="s">
        <v>27</v>
      </c>
    </row>
    <row r="2941" hidden="1">
      <c r="B2941" s="4" t="s">
        <v>27</v>
      </c>
      <c r="C2941" s="4" t="s">
        <v>27</v>
      </c>
      <c r="D2941" s="6" t="s">
        <v>27</v>
      </c>
      <c r="E2941" s="6" t="s">
        <v>27</v>
      </c>
      <c r="F2941" s="6" t="s">
        <v>27</v>
      </c>
      <c r="G2941" s="4" t="s">
        <v>27</v>
      </c>
      <c r="H2941" s="4" t="s">
        <v>27</v>
      </c>
      <c r="I2941" s="4" t="s">
        <v>27</v>
      </c>
      <c r="J2941" s="4" t="s">
        <v>27</v>
      </c>
      <c r="K2941" s="4" t="s">
        <v>27</v>
      </c>
      <c r="L2941" s="4" t="s">
        <v>27</v>
      </c>
      <c r="M2941" s="4" t="s">
        <v>27</v>
      </c>
      <c r="N2941" s="4" t="s">
        <v>27</v>
      </c>
    </row>
    <row r="2942" hidden="1">
      <c r="B2942" s="4" t="s">
        <v>27</v>
      </c>
      <c r="C2942" s="4" t="s">
        <v>27</v>
      </c>
      <c r="D2942" s="6" t="s">
        <v>27</v>
      </c>
      <c r="E2942" s="6" t="s">
        <v>27</v>
      </c>
      <c r="F2942" s="6" t="s">
        <v>27</v>
      </c>
      <c r="G2942" s="4" t="s">
        <v>27</v>
      </c>
      <c r="H2942" s="4" t="s">
        <v>27</v>
      </c>
      <c r="I2942" s="4" t="s">
        <v>27</v>
      </c>
      <c r="J2942" s="4" t="s">
        <v>27</v>
      </c>
      <c r="K2942" s="4" t="s">
        <v>27</v>
      </c>
      <c r="L2942" s="4" t="s">
        <v>27</v>
      </c>
      <c r="M2942" s="4" t="s">
        <v>27</v>
      </c>
      <c r="N2942" s="4" t="s">
        <v>27</v>
      </c>
    </row>
    <row r="2943" hidden="1">
      <c r="B2943" s="4" t="s">
        <v>27</v>
      </c>
      <c r="C2943" s="4" t="s">
        <v>27</v>
      </c>
      <c r="D2943" s="6" t="s">
        <v>27</v>
      </c>
      <c r="E2943" s="6" t="s">
        <v>27</v>
      </c>
      <c r="F2943" s="6" t="s">
        <v>27</v>
      </c>
      <c r="G2943" s="4" t="s">
        <v>27</v>
      </c>
      <c r="H2943" s="4" t="s">
        <v>27</v>
      </c>
      <c r="I2943" s="4" t="s">
        <v>27</v>
      </c>
      <c r="J2943" s="4" t="s">
        <v>27</v>
      </c>
      <c r="K2943" s="4" t="s">
        <v>27</v>
      </c>
      <c r="L2943" s="4" t="s">
        <v>27</v>
      </c>
      <c r="M2943" s="4" t="s">
        <v>27</v>
      </c>
      <c r="N2943" s="4" t="s">
        <v>27</v>
      </c>
    </row>
    <row r="2944" hidden="1">
      <c r="B2944" s="4" t="s">
        <v>27</v>
      </c>
      <c r="C2944" s="4" t="s">
        <v>27</v>
      </c>
      <c r="D2944" s="6" t="s">
        <v>27</v>
      </c>
      <c r="E2944" s="6" t="s">
        <v>27</v>
      </c>
      <c r="F2944" s="6" t="s">
        <v>27</v>
      </c>
      <c r="G2944" s="4" t="s">
        <v>27</v>
      </c>
      <c r="H2944" s="4" t="s">
        <v>27</v>
      </c>
      <c r="I2944" s="4" t="s">
        <v>27</v>
      </c>
      <c r="J2944" s="4" t="s">
        <v>27</v>
      </c>
      <c r="K2944" s="4" t="s">
        <v>27</v>
      </c>
      <c r="L2944" s="4" t="s">
        <v>27</v>
      </c>
      <c r="M2944" s="4" t="s">
        <v>27</v>
      </c>
      <c r="N2944" s="4" t="s">
        <v>27</v>
      </c>
    </row>
    <row r="2945" hidden="1">
      <c r="B2945" s="4" t="s">
        <v>27</v>
      </c>
      <c r="C2945" s="4" t="s">
        <v>27</v>
      </c>
      <c r="D2945" s="6" t="s">
        <v>27</v>
      </c>
      <c r="E2945" s="6" t="s">
        <v>27</v>
      </c>
      <c r="F2945" s="6" t="s">
        <v>27</v>
      </c>
      <c r="G2945" s="4" t="s">
        <v>27</v>
      </c>
      <c r="H2945" s="4" t="s">
        <v>27</v>
      </c>
      <c r="I2945" s="4" t="s">
        <v>27</v>
      </c>
      <c r="J2945" s="4" t="s">
        <v>27</v>
      </c>
      <c r="K2945" s="4" t="s">
        <v>27</v>
      </c>
      <c r="L2945" s="4" t="s">
        <v>27</v>
      </c>
      <c r="M2945" s="4" t="s">
        <v>27</v>
      </c>
      <c r="N2945" s="4" t="s">
        <v>27</v>
      </c>
    </row>
    <row r="2946" hidden="1">
      <c r="B2946" s="4" t="s">
        <v>27</v>
      </c>
      <c r="C2946" s="4" t="s">
        <v>27</v>
      </c>
      <c r="D2946" s="6" t="s">
        <v>27</v>
      </c>
      <c r="E2946" s="6" t="s">
        <v>27</v>
      </c>
      <c r="F2946" s="6" t="s">
        <v>27</v>
      </c>
      <c r="G2946" s="4" t="s">
        <v>27</v>
      </c>
      <c r="H2946" s="4" t="s">
        <v>27</v>
      </c>
      <c r="I2946" s="4" t="s">
        <v>27</v>
      </c>
      <c r="J2946" s="4" t="s">
        <v>27</v>
      </c>
      <c r="K2946" s="4" t="s">
        <v>27</v>
      </c>
      <c r="L2946" s="4" t="s">
        <v>27</v>
      </c>
      <c r="M2946" s="4" t="s">
        <v>27</v>
      </c>
      <c r="N2946" s="4" t="s">
        <v>27</v>
      </c>
    </row>
    <row r="2947" hidden="1">
      <c r="B2947" s="4" t="s">
        <v>27</v>
      </c>
      <c r="C2947" s="4" t="s">
        <v>27</v>
      </c>
      <c r="D2947" s="6" t="s">
        <v>27</v>
      </c>
      <c r="E2947" s="6" t="s">
        <v>27</v>
      </c>
      <c r="F2947" s="6" t="s">
        <v>27</v>
      </c>
      <c r="G2947" s="4" t="s">
        <v>27</v>
      </c>
      <c r="H2947" s="4" t="s">
        <v>27</v>
      </c>
      <c r="I2947" s="4" t="s">
        <v>27</v>
      </c>
      <c r="J2947" s="4" t="s">
        <v>27</v>
      </c>
      <c r="K2947" s="4" t="s">
        <v>27</v>
      </c>
      <c r="L2947" s="4" t="s">
        <v>27</v>
      </c>
      <c r="M2947" s="4" t="s">
        <v>27</v>
      </c>
      <c r="N2947" s="4" t="s">
        <v>27</v>
      </c>
    </row>
    <row r="2948" hidden="1">
      <c r="B2948" s="4" t="s">
        <v>27</v>
      </c>
      <c r="C2948" s="4" t="s">
        <v>27</v>
      </c>
      <c r="D2948" s="6" t="s">
        <v>27</v>
      </c>
      <c r="E2948" s="6" t="s">
        <v>27</v>
      </c>
      <c r="F2948" s="6" t="s">
        <v>27</v>
      </c>
      <c r="G2948" s="4" t="s">
        <v>27</v>
      </c>
      <c r="H2948" s="4" t="s">
        <v>27</v>
      </c>
      <c r="I2948" s="4" t="s">
        <v>27</v>
      </c>
      <c r="J2948" s="4" t="s">
        <v>27</v>
      </c>
      <c r="K2948" s="4" t="s">
        <v>27</v>
      </c>
      <c r="L2948" s="4" t="s">
        <v>27</v>
      </c>
      <c r="M2948" s="4" t="s">
        <v>27</v>
      </c>
      <c r="N2948" s="4" t="s">
        <v>27</v>
      </c>
    </row>
    <row r="2949" hidden="1">
      <c r="B2949" s="4" t="s">
        <v>27</v>
      </c>
      <c r="C2949" s="4" t="s">
        <v>27</v>
      </c>
      <c r="D2949" s="6" t="s">
        <v>27</v>
      </c>
      <c r="E2949" s="6" t="s">
        <v>27</v>
      </c>
      <c r="F2949" s="6" t="s">
        <v>27</v>
      </c>
      <c r="G2949" s="4" t="s">
        <v>27</v>
      </c>
      <c r="H2949" s="4" t="s">
        <v>27</v>
      </c>
      <c r="I2949" s="4" t="s">
        <v>27</v>
      </c>
      <c r="J2949" s="4" t="s">
        <v>27</v>
      </c>
      <c r="K2949" s="4" t="s">
        <v>27</v>
      </c>
      <c r="L2949" s="4" t="s">
        <v>27</v>
      </c>
      <c r="M2949" s="4" t="s">
        <v>27</v>
      </c>
      <c r="N2949" s="4" t="s">
        <v>27</v>
      </c>
    </row>
    <row r="2950" hidden="1">
      <c r="B2950" s="4" t="s">
        <v>27</v>
      </c>
      <c r="C2950" s="4" t="s">
        <v>27</v>
      </c>
      <c r="D2950" s="6" t="s">
        <v>27</v>
      </c>
      <c r="E2950" s="6" t="s">
        <v>27</v>
      </c>
      <c r="F2950" s="6" t="s">
        <v>27</v>
      </c>
      <c r="G2950" s="4" t="s">
        <v>27</v>
      </c>
      <c r="H2950" s="4" t="s">
        <v>27</v>
      </c>
      <c r="I2950" s="4" t="s">
        <v>27</v>
      </c>
      <c r="J2950" s="4" t="s">
        <v>27</v>
      </c>
      <c r="K2950" s="4" t="s">
        <v>27</v>
      </c>
      <c r="L2950" s="4" t="s">
        <v>27</v>
      </c>
      <c r="M2950" s="4" t="s">
        <v>27</v>
      </c>
      <c r="N2950" s="4" t="s">
        <v>27</v>
      </c>
    </row>
    <row r="2951" hidden="1">
      <c r="B2951" s="4" t="s">
        <v>27</v>
      </c>
      <c r="C2951" s="4" t="s">
        <v>27</v>
      </c>
      <c r="D2951" s="6" t="s">
        <v>27</v>
      </c>
      <c r="E2951" s="6" t="s">
        <v>27</v>
      </c>
      <c r="F2951" s="6" t="s">
        <v>27</v>
      </c>
      <c r="G2951" s="4" t="s">
        <v>27</v>
      </c>
      <c r="H2951" s="4" t="s">
        <v>27</v>
      </c>
      <c r="I2951" s="4" t="s">
        <v>27</v>
      </c>
      <c r="J2951" s="4" t="s">
        <v>27</v>
      </c>
      <c r="K2951" s="4" t="s">
        <v>27</v>
      </c>
      <c r="L2951" s="4" t="s">
        <v>27</v>
      </c>
      <c r="M2951" s="4" t="s">
        <v>27</v>
      </c>
      <c r="N2951" s="4" t="s">
        <v>27</v>
      </c>
    </row>
    <row r="2952" hidden="1">
      <c r="B2952" s="4" t="s">
        <v>27</v>
      </c>
      <c r="C2952" s="4" t="s">
        <v>27</v>
      </c>
      <c r="D2952" s="6" t="s">
        <v>27</v>
      </c>
      <c r="E2952" s="6" t="s">
        <v>27</v>
      </c>
      <c r="F2952" s="6" t="s">
        <v>27</v>
      </c>
      <c r="G2952" s="4" t="s">
        <v>27</v>
      </c>
      <c r="H2952" s="4" t="s">
        <v>27</v>
      </c>
      <c r="I2952" s="4" t="s">
        <v>27</v>
      </c>
      <c r="J2952" s="4" t="s">
        <v>27</v>
      </c>
      <c r="K2952" s="4" t="s">
        <v>27</v>
      </c>
      <c r="L2952" s="4" t="s">
        <v>27</v>
      </c>
      <c r="M2952" s="4" t="s">
        <v>27</v>
      </c>
      <c r="N2952" s="4" t="s">
        <v>27</v>
      </c>
    </row>
    <row r="2953" hidden="1">
      <c r="B2953" s="4" t="s">
        <v>27</v>
      </c>
      <c r="C2953" s="4" t="s">
        <v>27</v>
      </c>
      <c r="D2953" s="6" t="s">
        <v>27</v>
      </c>
      <c r="E2953" s="6" t="s">
        <v>27</v>
      </c>
      <c r="F2953" s="6" t="s">
        <v>27</v>
      </c>
      <c r="G2953" s="4" t="s">
        <v>27</v>
      </c>
      <c r="H2953" s="4" t="s">
        <v>27</v>
      </c>
      <c r="I2953" s="4" t="s">
        <v>27</v>
      </c>
      <c r="J2953" s="4" t="s">
        <v>27</v>
      </c>
      <c r="K2953" s="4" t="s">
        <v>27</v>
      </c>
      <c r="L2953" s="4" t="s">
        <v>27</v>
      </c>
      <c r="M2953" s="4" t="s">
        <v>27</v>
      </c>
      <c r="N2953" s="4" t="s">
        <v>27</v>
      </c>
    </row>
    <row r="2954" hidden="1">
      <c r="B2954" s="4" t="s">
        <v>27</v>
      </c>
      <c r="C2954" s="4" t="s">
        <v>27</v>
      </c>
      <c r="D2954" s="6" t="s">
        <v>27</v>
      </c>
      <c r="E2954" s="6" t="s">
        <v>27</v>
      </c>
      <c r="F2954" s="6" t="s">
        <v>27</v>
      </c>
      <c r="G2954" s="4" t="s">
        <v>27</v>
      </c>
      <c r="H2954" s="4" t="s">
        <v>27</v>
      </c>
      <c r="I2954" s="4" t="s">
        <v>27</v>
      </c>
      <c r="J2954" s="4" t="s">
        <v>27</v>
      </c>
      <c r="K2954" s="4" t="s">
        <v>27</v>
      </c>
      <c r="L2954" s="4" t="s">
        <v>27</v>
      </c>
      <c r="M2954" s="4" t="s">
        <v>27</v>
      </c>
      <c r="N2954" s="4" t="s">
        <v>27</v>
      </c>
    </row>
    <row r="2955" hidden="1">
      <c r="B2955" s="4" t="s">
        <v>27</v>
      </c>
      <c r="C2955" s="4" t="s">
        <v>27</v>
      </c>
      <c r="D2955" s="6" t="s">
        <v>27</v>
      </c>
      <c r="E2955" s="6" t="s">
        <v>27</v>
      </c>
      <c r="F2955" s="6" t="s">
        <v>27</v>
      </c>
      <c r="G2955" s="4" t="s">
        <v>27</v>
      </c>
      <c r="H2955" s="4" t="s">
        <v>27</v>
      </c>
      <c r="I2955" s="4" t="s">
        <v>27</v>
      </c>
      <c r="J2955" s="4" t="s">
        <v>27</v>
      </c>
      <c r="K2955" s="4" t="s">
        <v>27</v>
      </c>
      <c r="L2955" s="4" t="s">
        <v>27</v>
      </c>
      <c r="M2955" s="4" t="s">
        <v>27</v>
      </c>
      <c r="N2955" s="4" t="s">
        <v>27</v>
      </c>
    </row>
    <row r="2956" hidden="1">
      <c r="B2956" s="4" t="s">
        <v>27</v>
      </c>
      <c r="C2956" s="4" t="s">
        <v>27</v>
      </c>
      <c r="D2956" s="6" t="s">
        <v>27</v>
      </c>
      <c r="E2956" s="6" t="s">
        <v>27</v>
      </c>
      <c r="F2956" s="6" t="s">
        <v>27</v>
      </c>
      <c r="G2956" s="4" t="s">
        <v>27</v>
      </c>
      <c r="H2956" s="4" t="s">
        <v>27</v>
      </c>
      <c r="I2956" s="4" t="s">
        <v>27</v>
      </c>
      <c r="J2956" s="4" t="s">
        <v>27</v>
      </c>
      <c r="K2956" s="4" t="s">
        <v>27</v>
      </c>
      <c r="L2956" s="4" t="s">
        <v>27</v>
      </c>
      <c r="M2956" s="4" t="s">
        <v>27</v>
      </c>
      <c r="N2956" s="4" t="s">
        <v>27</v>
      </c>
    </row>
    <row r="2957" hidden="1">
      <c r="B2957" s="4" t="s">
        <v>27</v>
      </c>
      <c r="C2957" s="4" t="s">
        <v>27</v>
      </c>
      <c r="D2957" s="6" t="s">
        <v>27</v>
      </c>
      <c r="E2957" s="6" t="s">
        <v>27</v>
      </c>
      <c r="F2957" s="6" t="s">
        <v>27</v>
      </c>
      <c r="G2957" s="4" t="s">
        <v>27</v>
      </c>
      <c r="H2957" s="4" t="s">
        <v>27</v>
      </c>
      <c r="I2957" s="4" t="s">
        <v>27</v>
      </c>
      <c r="J2957" s="4" t="s">
        <v>27</v>
      </c>
      <c r="K2957" s="4" t="s">
        <v>27</v>
      </c>
      <c r="L2957" s="4" t="s">
        <v>27</v>
      </c>
      <c r="M2957" s="4" t="s">
        <v>27</v>
      </c>
      <c r="N2957" s="4" t="s">
        <v>27</v>
      </c>
    </row>
    <row r="2958" hidden="1">
      <c r="B2958" s="4" t="s">
        <v>27</v>
      </c>
      <c r="C2958" s="4" t="s">
        <v>27</v>
      </c>
      <c r="D2958" s="6" t="s">
        <v>27</v>
      </c>
      <c r="E2958" s="6" t="s">
        <v>27</v>
      </c>
      <c r="F2958" s="6" t="s">
        <v>27</v>
      </c>
      <c r="G2958" s="4" t="s">
        <v>27</v>
      </c>
      <c r="H2958" s="4" t="s">
        <v>27</v>
      </c>
      <c r="I2958" s="4" t="s">
        <v>27</v>
      </c>
      <c r="J2958" s="4" t="s">
        <v>27</v>
      </c>
      <c r="K2958" s="4" t="s">
        <v>27</v>
      </c>
      <c r="L2958" s="4" t="s">
        <v>27</v>
      </c>
      <c r="M2958" s="4" t="s">
        <v>27</v>
      </c>
      <c r="N2958" s="4" t="s">
        <v>27</v>
      </c>
    </row>
    <row r="2959" hidden="1">
      <c r="B2959" s="4" t="s">
        <v>27</v>
      </c>
      <c r="C2959" s="4" t="s">
        <v>27</v>
      </c>
      <c r="D2959" s="6" t="s">
        <v>27</v>
      </c>
      <c r="E2959" s="6" t="s">
        <v>27</v>
      </c>
      <c r="F2959" s="6" t="s">
        <v>27</v>
      </c>
      <c r="G2959" s="4" t="s">
        <v>27</v>
      </c>
      <c r="H2959" s="4" t="s">
        <v>27</v>
      </c>
      <c r="I2959" s="4" t="s">
        <v>27</v>
      </c>
      <c r="J2959" s="4" t="s">
        <v>27</v>
      </c>
      <c r="K2959" s="4" t="s">
        <v>27</v>
      </c>
      <c r="L2959" s="4" t="s">
        <v>27</v>
      </c>
      <c r="M2959" s="4" t="s">
        <v>27</v>
      </c>
      <c r="N2959" s="4" t="s">
        <v>27</v>
      </c>
    </row>
    <row r="2960" hidden="1">
      <c r="B2960" s="4" t="s">
        <v>27</v>
      </c>
      <c r="C2960" s="4" t="s">
        <v>27</v>
      </c>
      <c r="D2960" s="6" t="s">
        <v>27</v>
      </c>
      <c r="E2960" s="6" t="s">
        <v>27</v>
      </c>
      <c r="F2960" s="6" t="s">
        <v>27</v>
      </c>
      <c r="G2960" s="4" t="s">
        <v>27</v>
      </c>
      <c r="H2960" s="4" t="s">
        <v>27</v>
      </c>
      <c r="I2960" s="4" t="s">
        <v>27</v>
      </c>
      <c r="J2960" s="4" t="s">
        <v>27</v>
      </c>
      <c r="K2960" s="4" t="s">
        <v>27</v>
      </c>
      <c r="L2960" s="4" t="s">
        <v>27</v>
      </c>
      <c r="M2960" s="4" t="s">
        <v>27</v>
      </c>
      <c r="N2960" s="4" t="s">
        <v>27</v>
      </c>
    </row>
    <row r="2961" hidden="1">
      <c r="B2961" s="4" t="s">
        <v>27</v>
      </c>
      <c r="C2961" s="4" t="s">
        <v>27</v>
      </c>
      <c r="D2961" s="6" t="s">
        <v>27</v>
      </c>
      <c r="E2961" s="6" t="s">
        <v>27</v>
      </c>
      <c r="F2961" s="6" t="s">
        <v>27</v>
      </c>
      <c r="G2961" s="4" t="s">
        <v>27</v>
      </c>
      <c r="H2961" s="4" t="s">
        <v>27</v>
      </c>
      <c r="I2961" s="4" t="s">
        <v>27</v>
      </c>
      <c r="J2961" s="4" t="s">
        <v>27</v>
      </c>
      <c r="K2961" s="4" t="s">
        <v>27</v>
      </c>
      <c r="L2961" s="4" t="s">
        <v>27</v>
      </c>
      <c r="M2961" s="4" t="s">
        <v>27</v>
      </c>
      <c r="N2961" s="4" t="s">
        <v>27</v>
      </c>
    </row>
    <row r="2962" hidden="1">
      <c r="B2962" s="4" t="s">
        <v>27</v>
      </c>
      <c r="C2962" s="4" t="s">
        <v>27</v>
      </c>
      <c r="D2962" s="6" t="s">
        <v>27</v>
      </c>
      <c r="E2962" s="6" t="s">
        <v>27</v>
      </c>
      <c r="F2962" s="6" t="s">
        <v>27</v>
      </c>
      <c r="G2962" s="4" t="s">
        <v>27</v>
      </c>
      <c r="H2962" s="4" t="s">
        <v>27</v>
      </c>
      <c r="I2962" s="4" t="s">
        <v>27</v>
      </c>
      <c r="J2962" s="4" t="s">
        <v>27</v>
      </c>
      <c r="K2962" s="4" t="s">
        <v>27</v>
      </c>
      <c r="L2962" s="4" t="s">
        <v>27</v>
      </c>
      <c r="M2962" s="4" t="s">
        <v>27</v>
      </c>
      <c r="N2962" s="4" t="s">
        <v>27</v>
      </c>
    </row>
    <row r="2963" hidden="1">
      <c r="B2963" s="4" t="s">
        <v>27</v>
      </c>
      <c r="C2963" s="4" t="s">
        <v>27</v>
      </c>
      <c r="D2963" s="6" t="s">
        <v>27</v>
      </c>
      <c r="E2963" s="6" t="s">
        <v>27</v>
      </c>
      <c r="F2963" s="6" t="s">
        <v>27</v>
      </c>
      <c r="G2963" s="4" t="s">
        <v>27</v>
      </c>
      <c r="H2963" s="4" t="s">
        <v>27</v>
      </c>
      <c r="I2963" s="4" t="s">
        <v>27</v>
      </c>
      <c r="J2963" s="4" t="s">
        <v>27</v>
      </c>
      <c r="K2963" s="4" t="s">
        <v>27</v>
      </c>
      <c r="L2963" s="4" t="s">
        <v>27</v>
      </c>
      <c r="M2963" s="4" t="s">
        <v>27</v>
      </c>
      <c r="N2963" s="4" t="s">
        <v>27</v>
      </c>
    </row>
    <row r="2964" hidden="1">
      <c r="B2964" s="4" t="s">
        <v>27</v>
      </c>
      <c r="C2964" s="4" t="s">
        <v>27</v>
      </c>
      <c r="D2964" s="6" t="s">
        <v>27</v>
      </c>
      <c r="E2964" s="6" t="s">
        <v>27</v>
      </c>
      <c r="F2964" s="6" t="s">
        <v>27</v>
      </c>
      <c r="G2964" s="4" t="s">
        <v>27</v>
      </c>
      <c r="H2964" s="4" t="s">
        <v>27</v>
      </c>
      <c r="I2964" s="4" t="s">
        <v>27</v>
      </c>
      <c r="J2964" s="4" t="s">
        <v>27</v>
      </c>
      <c r="K2964" s="4" t="s">
        <v>27</v>
      </c>
      <c r="L2964" s="4" t="s">
        <v>27</v>
      </c>
      <c r="M2964" s="4" t="s">
        <v>27</v>
      </c>
      <c r="N2964" s="4" t="s">
        <v>27</v>
      </c>
    </row>
    <row r="2965" hidden="1">
      <c r="B2965" s="4" t="s">
        <v>27</v>
      </c>
      <c r="C2965" s="4" t="s">
        <v>27</v>
      </c>
      <c r="D2965" s="6" t="s">
        <v>27</v>
      </c>
      <c r="E2965" s="6" t="s">
        <v>27</v>
      </c>
      <c r="F2965" s="6" t="s">
        <v>27</v>
      </c>
      <c r="G2965" s="4" t="s">
        <v>27</v>
      </c>
      <c r="H2965" s="4" t="s">
        <v>27</v>
      </c>
      <c r="I2965" s="4" t="s">
        <v>27</v>
      </c>
      <c r="J2965" s="4" t="s">
        <v>27</v>
      </c>
      <c r="K2965" s="4" t="s">
        <v>27</v>
      </c>
      <c r="L2965" s="4" t="s">
        <v>27</v>
      </c>
      <c r="M2965" s="4" t="s">
        <v>27</v>
      </c>
      <c r="N2965" s="4" t="s">
        <v>27</v>
      </c>
    </row>
    <row r="2966" hidden="1">
      <c r="B2966" s="4" t="s">
        <v>27</v>
      </c>
      <c r="C2966" s="4" t="s">
        <v>27</v>
      </c>
      <c r="D2966" s="6" t="s">
        <v>27</v>
      </c>
      <c r="E2966" s="6" t="s">
        <v>27</v>
      </c>
      <c r="F2966" s="6" t="s">
        <v>27</v>
      </c>
      <c r="G2966" s="4" t="s">
        <v>27</v>
      </c>
      <c r="H2966" s="4" t="s">
        <v>27</v>
      </c>
      <c r="I2966" s="4" t="s">
        <v>27</v>
      </c>
      <c r="J2966" s="4" t="s">
        <v>27</v>
      </c>
      <c r="K2966" s="4" t="s">
        <v>27</v>
      </c>
      <c r="L2966" s="4" t="s">
        <v>27</v>
      </c>
      <c r="M2966" s="4" t="s">
        <v>27</v>
      </c>
      <c r="N2966" s="4" t="s">
        <v>27</v>
      </c>
    </row>
    <row r="2967" hidden="1">
      <c r="B2967" s="4" t="s">
        <v>27</v>
      </c>
      <c r="C2967" s="4" t="s">
        <v>27</v>
      </c>
      <c r="D2967" s="6" t="s">
        <v>27</v>
      </c>
      <c r="E2967" s="6" t="s">
        <v>27</v>
      </c>
      <c r="F2967" s="6" t="s">
        <v>27</v>
      </c>
      <c r="G2967" s="4" t="s">
        <v>27</v>
      </c>
      <c r="H2967" s="4" t="s">
        <v>27</v>
      </c>
      <c r="I2967" s="4" t="s">
        <v>27</v>
      </c>
      <c r="J2967" s="4" t="s">
        <v>27</v>
      </c>
      <c r="K2967" s="4" t="s">
        <v>27</v>
      </c>
      <c r="L2967" s="4" t="s">
        <v>27</v>
      </c>
      <c r="M2967" s="4" t="s">
        <v>27</v>
      </c>
      <c r="N2967" s="4" t="s">
        <v>27</v>
      </c>
    </row>
    <row r="2968" hidden="1">
      <c r="B2968" s="4" t="s">
        <v>27</v>
      </c>
      <c r="C2968" s="4" t="s">
        <v>27</v>
      </c>
      <c r="D2968" s="6" t="s">
        <v>27</v>
      </c>
      <c r="E2968" s="6" t="s">
        <v>27</v>
      </c>
      <c r="F2968" s="6" t="s">
        <v>27</v>
      </c>
      <c r="G2968" s="4" t="s">
        <v>27</v>
      </c>
      <c r="H2968" s="4" t="s">
        <v>27</v>
      </c>
      <c r="I2968" s="4" t="s">
        <v>27</v>
      </c>
      <c r="J2968" s="4" t="s">
        <v>27</v>
      </c>
      <c r="K2968" s="4" t="s">
        <v>27</v>
      </c>
      <c r="L2968" s="4" t="s">
        <v>27</v>
      </c>
      <c r="M2968" s="4" t="s">
        <v>27</v>
      </c>
      <c r="N2968" s="4" t="s">
        <v>27</v>
      </c>
    </row>
    <row r="2969" hidden="1">
      <c r="B2969" s="4" t="s">
        <v>27</v>
      </c>
      <c r="C2969" s="4" t="s">
        <v>27</v>
      </c>
      <c r="D2969" s="6" t="s">
        <v>27</v>
      </c>
      <c r="E2969" s="6" t="s">
        <v>27</v>
      </c>
      <c r="F2969" s="6" t="s">
        <v>27</v>
      </c>
      <c r="G2969" s="4" t="s">
        <v>27</v>
      </c>
      <c r="H2969" s="4" t="s">
        <v>27</v>
      </c>
      <c r="I2969" s="4" t="s">
        <v>27</v>
      </c>
      <c r="J2969" s="4" t="s">
        <v>27</v>
      </c>
      <c r="K2969" s="4" t="s">
        <v>27</v>
      </c>
      <c r="L2969" s="4" t="s">
        <v>27</v>
      </c>
      <c r="M2969" s="4" t="s">
        <v>27</v>
      </c>
      <c r="N2969" s="4" t="s">
        <v>27</v>
      </c>
    </row>
    <row r="2970" hidden="1">
      <c r="B2970" s="4" t="s">
        <v>27</v>
      </c>
      <c r="C2970" s="4" t="s">
        <v>27</v>
      </c>
      <c r="D2970" s="6" t="s">
        <v>27</v>
      </c>
      <c r="E2970" s="6" t="s">
        <v>27</v>
      </c>
      <c r="F2970" s="6" t="s">
        <v>27</v>
      </c>
      <c r="G2970" s="4" t="s">
        <v>27</v>
      </c>
      <c r="H2970" s="4" t="s">
        <v>27</v>
      </c>
      <c r="I2970" s="4" t="s">
        <v>27</v>
      </c>
      <c r="J2970" s="4" t="s">
        <v>27</v>
      </c>
      <c r="K2970" s="4" t="s">
        <v>27</v>
      </c>
      <c r="L2970" s="4" t="s">
        <v>27</v>
      </c>
      <c r="M2970" s="4" t="s">
        <v>27</v>
      </c>
      <c r="N2970" s="4" t="s">
        <v>27</v>
      </c>
    </row>
    <row r="2971" hidden="1">
      <c r="B2971" s="4" t="s">
        <v>27</v>
      </c>
      <c r="C2971" s="4" t="s">
        <v>27</v>
      </c>
      <c r="D2971" s="6" t="s">
        <v>27</v>
      </c>
      <c r="E2971" s="6" t="s">
        <v>27</v>
      </c>
      <c r="F2971" s="6" t="s">
        <v>27</v>
      </c>
      <c r="G2971" s="4" t="s">
        <v>27</v>
      </c>
      <c r="H2971" s="4" t="s">
        <v>27</v>
      </c>
      <c r="I2971" s="4" t="s">
        <v>27</v>
      </c>
      <c r="J2971" s="4" t="s">
        <v>27</v>
      </c>
      <c r="K2971" s="4" t="s">
        <v>27</v>
      </c>
      <c r="L2971" s="4" t="s">
        <v>27</v>
      </c>
      <c r="M2971" s="4" t="s">
        <v>27</v>
      </c>
      <c r="N2971" s="4" t="s">
        <v>27</v>
      </c>
    </row>
    <row r="2972" hidden="1">
      <c r="B2972" s="4" t="s">
        <v>27</v>
      </c>
      <c r="C2972" s="4" t="s">
        <v>27</v>
      </c>
      <c r="D2972" s="6" t="s">
        <v>27</v>
      </c>
      <c r="E2972" s="6" t="s">
        <v>27</v>
      </c>
      <c r="F2972" s="6" t="s">
        <v>27</v>
      </c>
      <c r="G2972" s="4" t="s">
        <v>27</v>
      </c>
      <c r="H2972" s="4" t="s">
        <v>27</v>
      </c>
      <c r="I2972" s="4" t="s">
        <v>27</v>
      </c>
      <c r="J2972" s="4" t="s">
        <v>27</v>
      </c>
      <c r="K2972" s="4" t="s">
        <v>27</v>
      </c>
      <c r="L2972" s="4" t="s">
        <v>27</v>
      </c>
      <c r="M2972" s="4" t="s">
        <v>27</v>
      </c>
      <c r="N2972" s="4" t="s">
        <v>27</v>
      </c>
    </row>
    <row r="2973" hidden="1">
      <c r="B2973" s="4" t="s">
        <v>27</v>
      </c>
      <c r="C2973" s="4" t="s">
        <v>27</v>
      </c>
      <c r="D2973" s="6" t="s">
        <v>27</v>
      </c>
      <c r="E2973" s="6" t="s">
        <v>27</v>
      </c>
      <c r="F2973" s="6" t="s">
        <v>27</v>
      </c>
      <c r="G2973" s="4" t="s">
        <v>27</v>
      </c>
      <c r="H2973" s="4" t="s">
        <v>27</v>
      </c>
      <c r="I2973" s="4" t="s">
        <v>27</v>
      </c>
      <c r="J2973" s="4" t="s">
        <v>27</v>
      </c>
      <c r="K2973" s="4" t="s">
        <v>27</v>
      </c>
      <c r="L2973" s="4" t="s">
        <v>27</v>
      </c>
      <c r="M2973" s="4" t="s">
        <v>27</v>
      </c>
      <c r="N2973" s="4" t="s">
        <v>27</v>
      </c>
    </row>
    <row r="2974" hidden="1">
      <c r="B2974" s="4" t="s">
        <v>27</v>
      </c>
      <c r="C2974" s="4" t="s">
        <v>27</v>
      </c>
      <c r="D2974" s="6" t="s">
        <v>27</v>
      </c>
      <c r="E2974" s="6" t="s">
        <v>27</v>
      </c>
      <c r="F2974" s="6" t="s">
        <v>27</v>
      </c>
      <c r="G2974" s="4" t="s">
        <v>27</v>
      </c>
      <c r="H2974" s="4" t="s">
        <v>27</v>
      </c>
      <c r="I2974" s="4" t="s">
        <v>27</v>
      </c>
      <c r="J2974" s="4" t="s">
        <v>27</v>
      </c>
      <c r="K2974" s="4" t="s">
        <v>27</v>
      </c>
      <c r="L2974" s="4" t="s">
        <v>27</v>
      </c>
      <c r="M2974" s="4" t="s">
        <v>27</v>
      </c>
      <c r="N2974" s="4" t="s">
        <v>27</v>
      </c>
    </row>
    <row r="2975" hidden="1">
      <c r="B2975" s="4" t="s">
        <v>27</v>
      </c>
      <c r="C2975" s="4" t="s">
        <v>27</v>
      </c>
      <c r="D2975" s="6" t="s">
        <v>27</v>
      </c>
      <c r="E2975" s="6" t="s">
        <v>27</v>
      </c>
      <c r="F2975" s="6" t="s">
        <v>27</v>
      </c>
      <c r="G2975" s="4" t="s">
        <v>27</v>
      </c>
      <c r="H2975" s="4" t="s">
        <v>27</v>
      </c>
      <c r="I2975" s="4" t="s">
        <v>27</v>
      </c>
      <c r="J2975" s="4" t="s">
        <v>27</v>
      </c>
      <c r="K2975" s="4" t="s">
        <v>27</v>
      </c>
      <c r="L2975" s="4" t="s">
        <v>27</v>
      </c>
      <c r="M2975" s="4" t="s">
        <v>27</v>
      </c>
      <c r="N2975" s="4" t="s">
        <v>27</v>
      </c>
    </row>
    <row r="2976" hidden="1">
      <c r="B2976" s="4" t="s">
        <v>27</v>
      </c>
      <c r="C2976" s="4" t="s">
        <v>27</v>
      </c>
      <c r="D2976" s="6" t="s">
        <v>27</v>
      </c>
      <c r="E2976" s="6" t="s">
        <v>27</v>
      </c>
      <c r="F2976" s="6" t="s">
        <v>27</v>
      </c>
      <c r="G2976" s="4" t="s">
        <v>27</v>
      </c>
      <c r="H2976" s="4" t="s">
        <v>27</v>
      </c>
      <c r="I2976" s="4" t="s">
        <v>27</v>
      </c>
      <c r="J2976" s="4" t="s">
        <v>27</v>
      </c>
      <c r="K2976" s="4" t="s">
        <v>27</v>
      </c>
      <c r="L2976" s="4" t="s">
        <v>27</v>
      </c>
      <c r="M2976" s="4" t="s">
        <v>27</v>
      </c>
      <c r="N2976" s="4" t="s">
        <v>27</v>
      </c>
    </row>
    <row r="2977" hidden="1">
      <c r="B2977" s="4" t="s">
        <v>27</v>
      </c>
      <c r="C2977" s="4" t="s">
        <v>27</v>
      </c>
      <c r="D2977" s="6" t="s">
        <v>27</v>
      </c>
      <c r="E2977" s="6" t="s">
        <v>27</v>
      </c>
      <c r="F2977" s="6" t="s">
        <v>27</v>
      </c>
      <c r="G2977" s="4" t="s">
        <v>27</v>
      </c>
      <c r="H2977" s="4" t="s">
        <v>27</v>
      </c>
      <c r="I2977" s="4" t="s">
        <v>27</v>
      </c>
      <c r="J2977" s="4" t="s">
        <v>27</v>
      </c>
      <c r="K2977" s="4" t="s">
        <v>27</v>
      </c>
      <c r="L2977" s="4" t="s">
        <v>27</v>
      </c>
      <c r="M2977" s="4" t="s">
        <v>27</v>
      </c>
      <c r="N2977" s="4" t="s">
        <v>27</v>
      </c>
    </row>
    <row r="2978" hidden="1">
      <c r="B2978" s="4" t="s">
        <v>27</v>
      </c>
      <c r="C2978" s="4" t="s">
        <v>27</v>
      </c>
      <c r="D2978" s="6" t="s">
        <v>27</v>
      </c>
      <c r="E2978" s="6" t="s">
        <v>27</v>
      </c>
      <c r="F2978" s="6" t="s">
        <v>27</v>
      </c>
      <c r="G2978" s="4" t="s">
        <v>27</v>
      </c>
      <c r="H2978" s="4" t="s">
        <v>27</v>
      </c>
      <c r="I2978" s="4" t="s">
        <v>27</v>
      </c>
      <c r="J2978" s="4" t="s">
        <v>27</v>
      </c>
      <c r="K2978" s="4" t="s">
        <v>27</v>
      </c>
      <c r="L2978" s="4" t="s">
        <v>27</v>
      </c>
      <c r="M2978" s="4" t="s">
        <v>27</v>
      </c>
      <c r="N2978" s="4" t="s">
        <v>27</v>
      </c>
    </row>
    <row r="2979" hidden="1">
      <c r="B2979" s="4" t="s">
        <v>27</v>
      </c>
      <c r="C2979" s="4" t="s">
        <v>27</v>
      </c>
      <c r="D2979" s="6" t="s">
        <v>27</v>
      </c>
      <c r="E2979" s="6" t="s">
        <v>27</v>
      </c>
      <c r="F2979" s="6" t="s">
        <v>27</v>
      </c>
      <c r="G2979" s="4" t="s">
        <v>27</v>
      </c>
      <c r="H2979" s="4" t="s">
        <v>27</v>
      </c>
      <c r="I2979" s="4" t="s">
        <v>27</v>
      </c>
      <c r="J2979" s="4" t="s">
        <v>27</v>
      </c>
      <c r="K2979" s="4" t="s">
        <v>27</v>
      </c>
      <c r="L2979" s="4" t="s">
        <v>27</v>
      </c>
      <c r="M2979" s="4" t="s">
        <v>27</v>
      </c>
      <c r="N2979" s="4" t="s">
        <v>27</v>
      </c>
    </row>
    <row r="2980" hidden="1">
      <c r="B2980" s="4" t="s">
        <v>27</v>
      </c>
      <c r="C2980" s="4" t="s">
        <v>27</v>
      </c>
      <c r="D2980" s="6" t="s">
        <v>27</v>
      </c>
      <c r="E2980" s="6" t="s">
        <v>27</v>
      </c>
      <c r="F2980" s="6" t="s">
        <v>27</v>
      </c>
      <c r="G2980" s="4" t="s">
        <v>27</v>
      </c>
      <c r="H2980" s="4" t="s">
        <v>27</v>
      </c>
      <c r="I2980" s="4" t="s">
        <v>27</v>
      </c>
      <c r="J2980" s="4" t="s">
        <v>27</v>
      </c>
      <c r="K2980" s="4" t="s">
        <v>27</v>
      </c>
      <c r="L2980" s="4" t="s">
        <v>27</v>
      </c>
      <c r="M2980" s="4" t="s">
        <v>27</v>
      </c>
      <c r="N2980" s="4" t="s">
        <v>27</v>
      </c>
    </row>
    <row r="2981" hidden="1">
      <c r="B2981" s="4" t="s">
        <v>27</v>
      </c>
      <c r="C2981" s="4" t="s">
        <v>27</v>
      </c>
      <c r="D2981" s="6" t="s">
        <v>27</v>
      </c>
      <c r="E2981" s="6" t="s">
        <v>27</v>
      </c>
      <c r="F2981" s="6" t="s">
        <v>27</v>
      </c>
      <c r="G2981" s="4" t="s">
        <v>27</v>
      </c>
      <c r="H2981" s="4" t="s">
        <v>27</v>
      </c>
      <c r="I2981" s="4" t="s">
        <v>27</v>
      </c>
      <c r="J2981" s="4" t="s">
        <v>27</v>
      </c>
      <c r="K2981" s="4" t="s">
        <v>27</v>
      </c>
      <c r="L2981" s="4" t="s">
        <v>27</v>
      </c>
      <c r="M2981" s="4" t="s">
        <v>27</v>
      </c>
      <c r="N2981" s="4" t="s">
        <v>27</v>
      </c>
    </row>
    <row r="2982" hidden="1">
      <c r="B2982" s="4" t="s">
        <v>27</v>
      </c>
      <c r="C2982" s="4" t="s">
        <v>27</v>
      </c>
      <c r="D2982" s="6" t="s">
        <v>27</v>
      </c>
      <c r="E2982" s="6" t="s">
        <v>27</v>
      </c>
      <c r="F2982" s="6" t="s">
        <v>27</v>
      </c>
      <c r="G2982" s="4" t="s">
        <v>27</v>
      </c>
      <c r="H2982" s="4" t="s">
        <v>27</v>
      </c>
      <c r="I2982" s="4" t="s">
        <v>27</v>
      </c>
      <c r="J2982" s="4" t="s">
        <v>27</v>
      </c>
      <c r="K2982" s="4" t="s">
        <v>27</v>
      </c>
      <c r="L2982" s="4" t="s">
        <v>27</v>
      </c>
      <c r="M2982" s="4" t="s">
        <v>27</v>
      </c>
      <c r="N2982" s="4" t="s">
        <v>27</v>
      </c>
    </row>
    <row r="2983" hidden="1">
      <c r="B2983" s="4" t="s">
        <v>27</v>
      </c>
      <c r="C2983" s="4" t="s">
        <v>27</v>
      </c>
      <c r="D2983" s="6" t="s">
        <v>27</v>
      </c>
      <c r="E2983" s="6" t="s">
        <v>27</v>
      </c>
      <c r="F2983" s="6" t="s">
        <v>27</v>
      </c>
      <c r="G2983" s="4" t="s">
        <v>27</v>
      </c>
      <c r="H2983" s="4" t="s">
        <v>27</v>
      </c>
      <c r="I2983" s="4" t="s">
        <v>27</v>
      </c>
      <c r="J2983" s="4" t="s">
        <v>27</v>
      </c>
      <c r="K2983" s="4" t="s">
        <v>27</v>
      </c>
      <c r="L2983" s="4" t="s">
        <v>27</v>
      </c>
      <c r="M2983" s="4" t="s">
        <v>27</v>
      </c>
      <c r="N2983" s="4" t="s">
        <v>27</v>
      </c>
    </row>
    <row r="2984" hidden="1">
      <c r="B2984" s="4" t="s">
        <v>27</v>
      </c>
      <c r="C2984" s="4" t="s">
        <v>27</v>
      </c>
      <c r="D2984" s="6" t="s">
        <v>27</v>
      </c>
      <c r="E2984" s="6" t="s">
        <v>27</v>
      </c>
      <c r="F2984" s="6" t="s">
        <v>27</v>
      </c>
      <c r="G2984" s="4" t="s">
        <v>27</v>
      </c>
      <c r="H2984" s="4" t="s">
        <v>27</v>
      </c>
      <c r="I2984" s="4" t="s">
        <v>27</v>
      </c>
      <c r="J2984" s="4" t="s">
        <v>27</v>
      </c>
      <c r="K2984" s="4" t="s">
        <v>27</v>
      </c>
      <c r="L2984" s="4" t="s">
        <v>27</v>
      </c>
      <c r="M2984" s="4" t="s">
        <v>27</v>
      </c>
      <c r="N2984" s="4" t="s">
        <v>27</v>
      </c>
    </row>
    <row r="2985" hidden="1">
      <c r="B2985" s="4" t="s">
        <v>27</v>
      </c>
      <c r="C2985" s="4" t="s">
        <v>27</v>
      </c>
      <c r="D2985" s="6" t="s">
        <v>27</v>
      </c>
      <c r="E2985" s="6" t="s">
        <v>27</v>
      </c>
      <c r="F2985" s="6" t="s">
        <v>27</v>
      </c>
      <c r="G2985" s="4" t="s">
        <v>27</v>
      </c>
      <c r="H2985" s="4" t="s">
        <v>27</v>
      </c>
      <c r="I2985" s="4" t="s">
        <v>27</v>
      </c>
      <c r="J2985" s="4" t="s">
        <v>27</v>
      </c>
      <c r="K2985" s="4" t="s">
        <v>27</v>
      </c>
      <c r="L2985" s="4" t="s">
        <v>27</v>
      </c>
      <c r="M2985" s="4" t="s">
        <v>27</v>
      </c>
      <c r="N2985" s="4" t="s">
        <v>27</v>
      </c>
    </row>
    <row r="2986" hidden="1">
      <c r="B2986" s="4" t="s">
        <v>27</v>
      </c>
      <c r="C2986" s="4" t="s">
        <v>27</v>
      </c>
      <c r="D2986" s="6" t="s">
        <v>27</v>
      </c>
      <c r="E2986" s="6" t="s">
        <v>27</v>
      </c>
      <c r="F2986" s="6" t="s">
        <v>27</v>
      </c>
      <c r="G2986" s="4" t="s">
        <v>27</v>
      </c>
      <c r="H2986" s="4" t="s">
        <v>27</v>
      </c>
      <c r="I2986" s="4" t="s">
        <v>27</v>
      </c>
      <c r="J2986" s="4" t="s">
        <v>27</v>
      </c>
      <c r="K2986" s="4" t="s">
        <v>27</v>
      </c>
      <c r="L2986" s="4" t="s">
        <v>27</v>
      </c>
      <c r="M2986" s="4" t="s">
        <v>27</v>
      </c>
      <c r="N2986" s="4" t="s">
        <v>27</v>
      </c>
    </row>
    <row r="2987" hidden="1">
      <c r="B2987" s="4" t="s">
        <v>27</v>
      </c>
      <c r="C2987" s="4" t="s">
        <v>27</v>
      </c>
      <c r="D2987" s="6" t="s">
        <v>27</v>
      </c>
      <c r="E2987" s="6" t="s">
        <v>27</v>
      </c>
      <c r="F2987" s="6" t="s">
        <v>27</v>
      </c>
      <c r="G2987" s="4" t="s">
        <v>27</v>
      </c>
      <c r="H2987" s="4" t="s">
        <v>27</v>
      </c>
      <c r="I2987" s="4" t="s">
        <v>27</v>
      </c>
      <c r="J2987" s="4" t="s">
        <v>27</v>
      </c>
      <c r="K2987" s="4" t="s">
        <v>27</v>
      </c>
      <c r="L2987" s="4" t="s">
        <v>27</v>
      </c>
      <c r="M2987" s="4" t="s">
        <v>27</v>
      </c>
      <c r="N2987" s="4" t="s">
        <v>27</v>
      </c>
    </row>
    <row r="2988" hidden="1">
      <c r="B2988" s="4" t="s">
        <v>27</v>
      </c>
      <c r="C2988" s="4" t="s">
        <v>27</v>
      </c>
      <c r="D2988" s="6" t="s">
        <v>27</v>
      </c>
      <c r="E2988" s="6" t="s">
        <v>27</v>
      </c>
      <c r="F2988" s="6" t="s">
        <v>27</v>
      </c>
      <c r="G2988" s="4" t="s">
        <v>27</v>
      </c>
      <c r="H2988" s="4" t="s">
        <v>27</v>
      </c>
      <c r="I2988" s="4" t="s">
        <v>27</v>
      </c>
      <c r="J2988" s="4" t="s">
        <v>27</v>
      </c>
      <c r="K2988" s="4" t="s">
        <v>27</v>
      </c>
      <c r="L2988" s="4" t="s">
        <v>27</v>
      </c>
      <c r="M2988" s="4" t="s">
        <v>27</v>
      </c>
      <c r="N2988" s="4" t="s">
        <v>27</v>
      </c>
    </row>
    <row r="2989" hidden="1">
      <c r="B2989" s="4" t="s">
        <v>27</v>
      </c>
      <c r="C2989" s="4" t="s">
        <v>27</v>
      </c>
      <c r="D2989" s="6" t="s">
        <v>27</v>
      </c>
      <c r="E2989" s="6" t="s">
        <v>27</v>
      </c>
      <c r="F2989" s="6" t="s">
        <v>27</v>
      </c>
      <c r="G2989" s="4" t="s">
        <v>27</v>
      </c>
      <c r="H2989" s="4" t="s">
        <v>27</v>
      </c>
      <c r="I2989" s="4" t="s">
        <v>27</v>
      </c>
      <c r="J2989" s="4" t="s">
        <v>27</v>
      </c>
      <c r="K2989" s="4" t="s">
        <v>27</v>
      </c>
      <c r="L2989" s="4" t="s">
        <v>27</v>
      </c>
      <c r="M2989" s="4" t="s">
        <v>27</v>
      </c>
      <c r="N2989" s="4" t="s">
        <v>27</v>
      </c>
    </row>
    <row r="2990" hidden="1">
      <c r="B2990" s="4" t="s">
        <v>27</v>
      </c>
      <c r="C2990" s="4" t="s">
        <v>27</v>
      </c>
      <c r="D2990" s="6" t="s">
        <v>27</v>
      </c>
      <c r="E2990" s="6" t="s">
        <v>27</v>
      </c>
      <c r="F2990" s="6" t="s">
        <v>27</v>
      </c>
      <c r="G2990" s="4" t="s">
        <v>27</v>
      </c>
      <c r="H2990" s="4" t="s">
        <v>27</v>
      </c>
      <c r="I2990" s="4" t="s">
        <v>27</v>
      </c>
      <c r="J2990" s="4" t="s">
        <v>27</v>
      </c>
      <c r="K2990" s="4" t="s">
        <v>27</v>
      </c>
      <c r="L2990" s="4" t="s">
        <v>27</v>
      </c>
      <c r="M2990" s="4" t="s">
        <v>27</v>
      </c>
      <c r="N2990" s="4" t="s">
        <v>27</v>
      </c>
    </row>
    <row r="2991" hidden="1">
      <c r="B2991" s="4" t="s">
        <v>27</v>
      </c>
      <c r="C2991" s="4" t="s">
        <v>27</v>
      </c>
      <c r="D2991" s="6" t="s">
        <v>27</v>
      </c>
      <c r="E2991" s="6" t="s">
        <v>27</v>
      </c>
      <c r="F2991" s="6" t="s">
        <v>27</v>
      </c>
      <c r="G2991" s="4" t="s">
        <v>27</v>
      </c>
      <c r="H2991" s="4" t="s">
        <v>27</v>
      </c>
      <c r="I2991" s="4" t="s">
        <v>27</v>
      </c>
      <c r="J2991" s="4" t="s">
        <v>27</v>
      </c>
      <c r="K2991" s="4" t="s">
        <v>27</v>
      </c>
      <c r="L2991" s="4" t="s">
        <v>27</v>
      </c>
      <c r="M2991" s="4" t="s">
        <v>27</v>
      </c>
      <c r="N2991" s="4" t="s">
        <v>27</v>
      </c>
    </row>
    <row r="2992" hidden="1">
      <c r="B2992" s="4" t="s">
        <v>27</v>
      </c>
      <c r="C2992" s="4" t="s">
        <v>27</v>
      </c>
      <c r="D2992" s="6" t="s">
        <v>27</v>
      </c>
      <c r="E2992" s="6" t="s">
        <v>27</v>
      </c>
      <c r="F2992" s="6" t="s">
        <v>27</v>
      </c>
      <c r="G2992" s="4" t="s">
        <v>27</v>
      </c>
      <c r="H2992" s="4" t="s">
        <v>27</v>
      </c>
      <c r="I2992" s="4" t="s">
        <v>27</v>
      </c>
      <c r="J2992" s="4" t="s">
        <v>27</v>
      </c>
      <c r="K2992" s="4" t="s">
        <v>27</v>
      </c>
      <c r="L2992" s="4" t="s">
        <v>27</v>
      </c>
      <c r="M2992" s="4" t="s">
        <v>27</v>
      </c>
      <c r="N2992" s="4" t="s">
        <v>27</v>
      </c>
    </row>
    <row r="2993" hidden="1">
      <c r="B2993" s="4" t="s">
        <v>27</v>
      </c>
      <c r="C2993" s="4" t="s">
        <v>27</v>
      </c>
      <c r="D2993" s="6" t="s">
        <v>27</v>
      </c>
      <c r="E2993" s="6" t="s">
        <v>27</v>
      </c>
      <c r="F2993" s="6" t="s">
        <v>27</v>
      </c>
      <c r="G2993" s="4" t="s">
        <v>27</v>
      </c>
      <c r="H2993" s="4" t="s">
        <v>27</v>
      </c>
      <c r="I2993" s="4" t="s">
        <v>27</v>
      </c>
      <c r="J2993" s="4" t="s">
        <v>27</v>
      </c>
      <c r="K2993" s="4" t="s">
        <v>27</v>
      </c>
      <c r="L2993" s="4" t="s">
        <v>27</v>
      </c>
      <c r="M2993" s="4" t="s">
        <v>27</v>
      </c>
      <c r="N2993" s="4" t="s">
        <v>27</v>
      </c>
    </row>
    <row r="2994" hidden="1">
      <c r="B2994" s="4" t="s">
        <v>27</v>
      </c>
      <c r="C2994" s="4" t="s">
        <v>27</v>
      </c>
      <c r="D2994" s="6" t="s">
        <v>27</v>
      </c>
      <c r="E2994" s="6" t="s">
        <v>27</v>
      </c>
      <c r="F2994" s="6" t="s">
        <v>27</v>
      </c>
      <c r="G2994" s="4" t="s">
        <v>27</v>
      </c>
      <c r="H2994" s="4" t="s">
        <v>27</v>
      </c>
      <c r="I2994" s="4" t="s">
        <v>27</v>
      </c>
      <c r="J2994" s="4" t="s">
        <v>27</v>
      </c>
      <c r="K2994" s="4" t="s">
        <v>27</v>
      </c>
      <c r="L2994" s="4" t="s">
        <v>27</v>
      </c>
      <c r="M2994" s="4" t="s">
        <v>27</v>
      </c>
      <c r="N2994" s="4" t="s">
        <v>27</v>
      </c>
    </row>
    <row r="2995" hidden="1">
      <c r="B2995" s="4" t="s">
        <v>27</v>
      </c>
      <c r="C2995" s="4" t="s">
        <v>27</v>
      </c>
      <c r="D2995" s="6" t="s">
        <v>27</v>
      </c>
      <c r="E2995" s="6" t="s">
        <v>27</v>
      </c>
      <c r="F2995" s="6" t="s">
        <v>27</v>
      </c>
      <c r="G2995" s="4" t="s">
        <v>27</v>
      </c>
      <c r="H2995" s="4" t="s">
        <v>27</v>
      </c>
      <c r="I2995" s="4" t="s">
        <v>27</v>
      </c>
      <c r="J2995" s="4" t="s">
        <v>27</v>
      </c>
      <c r="K2995" s="4" t="s">
        <v>27</v>
      </c>
      <c r="L2995" s="4" t="s">
        <v>27</v>
      </c>
      <c r="M2995" s="4" t="s">
        <v>27</v>
      </c>
      <c r="N2995" s="4" t="s">
        <v>27</v>
      </c>
    </row>
    <row r="2996" hidden="1">
      <c r="B2996" s="4" t="s">
        <v>27</v>
      </c>
      <c r="C2996" s="4" t="s">
        <v>27</v>
      </c>
      <c r="D2996" s="6" t="s">
        <v>27</v>
      </c>
      <c r="E2996" s="6" t="s">
        <v>27</v>
      </c>
      <c r="F2996" s="6" t="s">
        <v>27</v>
      </c>
      <c r="G2996" s="4" t="s">
        <v>27</v>
      </c>
      <c r="H2996" s="4" t="s">
        <v>27</v>
      </c>
      <c r="I2996" s="4" t="s">
        <v>27</v>
      </c>
      <c r="J2996" s="4" t="s">
        <v>27</v>
      </c>
      <c r="K2996" s="4" t="s">
        <v>27</v>
      </c>
      <c r="L2996" s="4" t="s">
        <v>27</v>
      </c>
      <c r="M2996" s="4" t="s">
        <v>27</v>
      </c>
      <c r="N2996" s="4" t="s">
        <v>27</v>
      </c>
    </row>
    <row r="2997" hidden="1">
      <c r="B2997" s="4" t="s">
        <v>27</v>
      </c>
      <c r="C2997" s="4" t="s">
        <v>27</v>
      </c>
      <c r="D2997" s="6" t="s">
        <v>27</v>
      </c>
      <c r="E2997" s="6" t="s">
        <v>27</v>
      </c>
      <c r="F2997" s="6" t="s">
        <v>27</v>
      </c>
      <c r="G2997" s="4" t="s">
        <v>27</v>
      </c>
      <c r="H2997" s="4" t="s">
        <v>27</v>
      </c>
      <c r="I2997" s="4" t="s">
        <v>27</v>
      </c>
      <c r="J2997" s="4" t="s">
        <v>27</v>
      </c>
      <c r="K2997" s="4" t="s">
        <v>27</v>
      </c>
      <c r="L2997" s="4" t="s">
        <v>27</v>
      </c>
      <c r="M2997" s="4" t="s">
        <v>27</v>
      </c>
      <c r="N2997" s="4" t="s">
        <v>27</v>
      </c>
    </row>
    <row r="2998" hidden="1">
      <c r="B2998" s="4" t="s">
        <v>27</v>
      </c>
      <c r="C2998" s="4" t="s">
        <v>27</v>
      </c>
      <c r="D2998" s="6" t="s">
        <v>27</v>
      </c>
      <c r="E2998" s="6" t="s">
        <v>27</v>
      </c>
      <c r="F2998" s="6" t="s">
        <v>27</v>
      </c>
      <c r="G2998" s="4" t="s">
        <v>27</v>
      </c>
      <c r="H2998" s="4" t="s">
        <v>27</v>
      </c>
      <c r="I2998" s="4" t="s">
        <v>27</v>
      </c>
      <c r="J2998" s="4" t="s">
        <v>27</v>
      </c>
      <c r="K2998" s="4" t="s">
        <v>27</v>
      </c>
      <c r="L2998" s="4" t="s">
        <v>27</v>
      </c>
      <c r="M2998" s="4" t="s">
        <v>27</v>
      </c>
      <c r="N2998" s="4" t="s">
        <v>27</v>
      </c>
    </row>
    <row r="2999" hidden="1">
      <c r="B2999" s="4" t="s">
        <v>27</v>
      </c>
      <c r="C2999" s="4" t="s">
        <v>27</v>
      </c>
      <c r="D2999" s="6" t="s">
        <v>27</v>
      </c>
      <c r="E2999" s="6" t="s">
        <v>27</v>
      </c>
      <c r="F2999" s="6" t="s">
        <v>27</v>
      </c>
      <c r="G2999" s="4" t="s">
        <v>27</v>
      </c>
      <c r="H2999" s="4" t="s">
        <v>27</v>
      </c>
      <c r="I2999" s="4" t="s">
        <v>27</v>
      </c>
      <c r="J2999" s="4" t="s">
        <v>27</v>
      </c>
      <c r="K2999" s="4" t="s">
        <v>27</v>
      </c>
      <c r="L2999" s="4" t="s">
        <v>27</v>
      </c>
      <c r="M2999" s="4" t="s">
        <v>27</v>
      </c>
      <c r="N2999" s="4" t="s">
        <v>27</v>
      </c>
    </row>
    <row r="3000" hidden="1">
      <c r="B3000" s="4" t="s">
        <v>27</v>
      </c>
      <c r="C3000" s="4" t="s">
        <v>27</v>
      </c>
      <c r="D3000" s="6" t="s">
        <v>27</v>
      </c>
      <c r="E3000" s="6" t="s">
        <v>27</v>
      </c>
      <c r="F3000" s="6" t="s">
        <v>27</v>
      </c>
      <c r="G3000" s="4" t="s">
        <v>27</v>
      </c>
      <c r="H3000" s="4" t="s">
        <v>27</v>
      </c>
      <c r="I3000" s="4" t="s">
        <v>27</v>
      </c>
      <c r="J3000" s="4" t="s">
        <v>27</v>
      </c>
      <c r="K3000" s="4" t="s">
        <v>27</v>
      </c>
      <c r="L3000" s="4" t="s">
        <v>27</v>
      </c>
      <c r="M3000" s="4" t="s">
        <v>27</v>
      </c>
      <c r="N3000" s="4" t="s">
        <v>27</v>
      </c>
    </row>
    <row r="3001" hidden="1">
      <c r="B3001" s="4" t="s">
        <v>27</v>
      </c>
      <c r="C3001" s="4" t="s">
        <v>27</v>
      </c>
      <c r="D3001" s="6" t="s">
        <v>27</v>
      </c>
      <c r="E3001" s="6" t="s">
        <v>27</v>
      </c>
      <c r="F3001" s="6" t="s">
        <v>27</v>
      </c>
      <c r="G3001" s="4" t="s">
        <v>27</v>
      </c>
      <c r="H3001" s="4" t="s">
        <v>27</v>
      </c>
      <c r="I3001" s="4" t="s">
        <v>27</v>
      </c>
      <c r="J3001" s="4" t="s">
        <v>27</v>
      </c>
      <c r="K3001" s="4" t="s">
        <v>27</v>
      </c>
      <c r="L3001" s="4" t="s">
        <v>27</v>
      </c>
      <c r="M3001" s="4" t="s">
        <v>27</v>
      </c>
      <c r="N3001" s="4" t="s">
        <v>27</v>
      </c>
    </row>
    <row r="3002" hidden="1">
      <c r="B3002" s="4" t="s">
        <v>27</v>
      </c>
      <c r="C3002" s="4" t="s">
        <v>27</v>
      </c>
      <c r="D3002" s="6" t="s">
        <v>27</v>
      </c>
      <c r="E3002" s="6" t="s">
        <v>27</v>
      </c>
      <c r="F3002" s="6" t="s">
        <v>27</v>
      </c>
      <c r="G3002" s="4" t="s">
        <v>27</v>
      </c>
      <c r="H3002" s="4" t="s">
        <v>27</v>
      </c>
      <c r="I3002" s="4" t="s">
        <v>27</v>
      </c>
      <c r="J3002" s="4" t="s">
        <v>27</v>
      </c>
      <c r="K3002" s="4" t="s">
        <v>27</v>
      </c>
      <c r="L3002" s="4" t="s">
        <v>27</v>
      </c>
      <c r="M3002" s="4" t="s">
        <v>27</v>
      </c>
      <c r="N3002" s="4" t="s">
        <v>27</v>
      </c>
    </row>
    <row r="3003" hidden="1">
      <c r="B3003" s="4" t="s">
        <v>27</v>
      </c>
      <c r="C3003" s="4" t="s">
        <v>27</v>
      </c>
      <c r="D3003" s="6" t="s">
        <v>27</v>
      </c>
      <c r="E3003" s="6" t="s">
        <v>27</v>
      </c>
      <c r="F3003" s="6" t="s">
        <v>27</v>
      </c>
      <c r="G3003" s="4" t="s">
        <v>27</v>
      </c>
      <c r="H3003" s="4" t="s">
        <v>27</v>
      </c>
      <c r="I3003" s="4" t="s">
        <v>27</v>
      </c>
      <c r="J3003" s="4" t="s">
        <v>27</v>
      </c>
      <c r="K3003" s="4" t="s">
        <v>27</v>
      </c>
      <c r="L3003" s="4" t="s">
        <v>27</v>
      </c>
      <c r="M3003" s="4" t="s">
        <v>27</v>
      </c>
      <c r="N3003" s="4" t="s">
        <v>27</v>
      </c>
    </row>
    <row r="3004" hidden="1">
      <c r="B3004" s="4" t="s">
        <v>27</v>
      </c>
      <c r="C3004" s="4" t="s">
        <v>27</v>
      </c>
      <c r="D3004" s="6" t="s">
        <v>27</v>
      </c>
      <c r="E3004" s="6" t="s">
        <v>27</v>
      </c>
      <c r="F3004" s="6" t="s">
        <v>27</v>
      </c>
      <c r="G3004" s="4" t="s">
        <v>27</v>
      </c>
      <c r="H3004" s="4" t="s">
        <v>27</v>
      </c>
      <c r="I3004" s="4" t="s">
        <v>27</v>
      </c>
      <c r="J3004" s="4" t="s">
        <v>27</v>
      </c>
      <c r="K3004" s="4" t="s">
        <v>27</v>
      </c>
      <c r="L3004" s="4" t="s">
        <v>27</v>
      </c>
      <c r="M3004" s="4" t="s">
        <v>27</v>
      </c>
      <c r="N3004" s="4" t="s">
        <v>27</v>
      </c>
    </row>
    <row r="3005" hidden="1">
      <c r="B3005" s="4" t="s">
        <v>27</v>
      </c>
      <c r="C3005" s="4" t="s">
        <v>27</v>
      </c>
      <c r="D3005" s="6" t="s">
        <v>27</v>
      </c>
      <c r="E3005" s="6" t="s">
        <v>27</v>
      </c>
      <c r="F3005" s="6" t="s">
        <v>27</v>
      </c>
      <c r="G3005" s="4" t="s">
        <v>27</v>
      </c>
      <c r="H3005" s="4" t="s">
        <v>27</v>
      </c>
      <c r="I3005" s="4" t="s">
        <v>27</v>
      </c>
      <c r="J3005" s="4" t="s">
        <v>27</v>
      </c>
      <c r="K3005" s="4" t="s">
        <v>27</v>
      </c>
      <c r="L3005" s="4" t="s">
        <v>27</v>
      </c>
      <c r="M3005" s="4" t="s">
        <v>27</v>
      </c>
      <c r="N3005" s="4" t="s">
        <v>27</v>
      </c>
    </row>
    <row r="3006" hidden="1">
      <c r="B3006" s="4" t="s">
        <v>27</v>
      </c>
      <c r="C3006" s="4" t="s">
        <v>27</v>
      </c>
      <c r="D3006" s="6" t="s">
        <v>27</v>
      </c>
      <c r="E3006" s="6" t="s">
        <v>27</v>
      </c>
      <c r="F3006" s="6" t="s">
        <v>27</v>
      </c>
      <c r="G3006" s="4" t="s">
        <v>27</v>
      </c>
      <c r="H3006" s="4" t="s">
        <v>27</v>
      </c>
      <c r="I3006" s="4" t="s">
        <v>27</v>
      </c>
      <c r="J3006" s="4" t="s">
        <v>27</v>
      </c>
      <c r="K3006" s="4" t="s">
        <v>27</v>
      </c>
      <c r="L3006" s="4" t="s">
        <v>27</v>
      </c>
      <c r="M3006" s="4" t="s">
        <v>27</v>
      </c>
      <c r="N3006" s="4" t="s">
        <v>27</v>
      </c>
    </row>
    <row r="3007" hidden="1">
      <c r="B3007" s="4" t="s">
        <v>27</v>
      </c>
      <c r="C3007" s="4" t="s">
        <v>27</v>
      </c>
      <c r="D3007" s="6" t="s">
        <v>27</v>
      </c>
      <c r="E3007" s="6" t="s">
        <v>27</v>
      </c>
      <c r="F3007" s="6" t="s">
        <v>27</v>
      </c>
      <c r="G3007" s="4" t="s">
        <v>27</v>
      </c>
      <c r="H3007" s="4" t="s">
        <v>27</v>
      </c>
      <c r="I3007" s="4" t="s">
        <v>27</v>
      </c>
      <c r="J3007" s="4" t="s">
        <v>27</v>
      </c>
      <c r="K3007" s="4" t="s">
        <v>27</v>
      </c>
      <c r="L3007" s="4" t="s">
        <v>27</v>
      </c>
      <c r="M3007" s="4" t="s">
        <v>27</v>
      </c>
      <c r="N3007" s="4" t="s">
        <v>27</v>
      </c>
    </row>
    <row r="3008" hidden="1">
      <c r="B3008" s="4" t="s">
        <v>27</v>
      </c>
      <c r="C3008" s="4" t="s">
        <v>27</v>
      </c>
      <c r="D3008" s="6" t="s">
        <v>27</v>
      </c>
      <c r="E3008" s="6" t="s">
        <v>27</v>
      </c>
      <c r="F3008" s="6" t="s">
        <v>27</v>
      </c>
      <c r="G3008" s="4" t="s">
        <v>27</v>
      </c>
      <c r="H3008" s="4" t="s">
        <v>27</v>
      </c>
      <c r="I3008" s="4" t="s">
        <v>27</v>
      </c>
      <c r="J3008" s="4" t="s">
        <v>27</v>
      </c>
      <c r="K3008" s="4" t="s">
        <v>27</v>
      </c>
      <c r="L3008" s="4" t="s">
        <v>27</v>
      </c>
      <c r="M3008" s="4" t="s">
        <v>27</v>
      </c>
      <c r="N3008" s="4" t="s">
        <v>27</v>
      </c>
    </row>
    <row r="3009" hidden="1">
      <c r="B3009" s="4" t="s">
        <v>27</v>
      </c>
      <c r="C3009" s="4" t="s">
        <v>27</v>
      </c>
      <c r="D3009" s="6" t="s">
        <v>27</v>
      </c>
      <c r="E3009" s="6" t="s">
        <v>27</v>
      </c>
      <c r="F3009" s="6" t="s">
        <v>27</v>
      </c>
      <c r="G3009" s="4" t="s">
        <v>27</v>
      </c>
      <c r="H3009" s="4" t="s">
        <v>27</v>
      </c>
      <c r="I3009" s="4" t="s">
        <v>27</v>
      </c>
      <c r="J3009" s="4" t="s">
        <v>27</v>
      </c>
      <c r="K3009" s="4" t="s">
        <v>27</v>
      </c>
      <c r="L3009" s="4" t="s">
        <v>27</v>
      </c>
      <c r="M3009" s="4" t="s">
        <v>27</v>
      </c>
      <c r="N3009" s="4" t="s">
        <v>27</v>
      </c>
    </row>
    <row r="3010" hidden="1">
      <c r="B3010" s="4" t="s">
        <v>27</v>
      </c>
      <c r="C3010" s="4" t="s">
        <v>27</v>
      </c>
      <c r="D3010" s="6" t="s">
        <v>27</v>
      </c>
      <c r="E3010" s="6" t="s">
        <v>27</v>
      </c>
      <c r="F3010" s="6" t="s">
        <v>27</v>
      </c>
      <c r="G3010" s="4" t="s">
        <v>27</v>
      </c>
      <c r="H3010" s="4" t="s">
        <v>27</v>
      </c>
      <c r="I3010" s="4" t="s">
        <v>27</v>
      </c>
      <c r="J3010" s="4" t="s">
        <v>27</v>
      </c>
      <c r="K3010" s="4" t="s">
        <v>27</v>
      </c>
      <c r="L3010" s="4" t="s">
        <v>27</v>
      </c>
      <c r="M3010" s="4" t="s">
        <v>27</v>
      </c>
      <c r="N3010" s="4" t="s">
        <v>27</v>
      </c>
    </row>
    <row r="3011" hidden="1">
      <c r="B3011" s="4" t="s">
        <v>27</v>
      </c>
      <c r="C3011" s="4" t="s">
        <v>27</v>
      </c>
      <c r="D3011" s="6" t="s">
        <v>27</v>
      </c>
      <c r="E3011" s="6" t="s">
        <v>27</v>
      </c>
      <c r="F3011" s="6" t="s">
        <v>27</v>
      </c>
      <c r="G3011" s="4" t="s">
        <v>27</v>
      </c>
      <c r="H3011" s="4" t="s">
        <v>27</v>
      </c>
      <c r="I3011" s="4" t="s">
        <v>27</v>
      </c>
      <c r="J3011" s="4" t="s">
        <v>27</v>
      </c>
      <c r="K3011" s="4" t="s">
        <v>27</v>
      </c>
      <c r="L3011" s="4" t="s">
        <v>27</v>
      </c>
      <c r="M3011" s="4" t="s">
        <v>27</v>
      </c>
      <c r="N3011" s="4" t="s">
        <v>27</v>
      </c>
    </row>
    <row r="3012" hidden="1">
      <c r="B3012" s="4" t="s">
        <v>27</v>
      </c>
      <c r="C3012" s="4" t="s">
        <v>27</v>
      </c>
      <c r="D3012" s="6" t="s">
        <v>27</v>
      </c>
      <c r="E3012" s="6" t="s">
        <v>27</v>
      </c>
      <c r="F3012" s="6" t="s">
        <v>27</v>
      </c>
      <c r="G3012" s="4" t="s">
        <v>27</v>
      </c>
      <c r="H3012" s="4" t="s">
        <v>27</v>
      </c>
      <c r="I3012" s="4" t="s">
        <v>27</v>
      </c>
      <c r="J3012" s="4" t="s">
        <v>27</v>
      </c>
      <c r="K3012" s="4" t="s">
        <v>27</v>
      </c>
      <c r="L3012" s="4" t="s">
        <v>27</v>
      </c>
      <c r="M3012" s="4" t="s">
        <v>27</v>
      </c>
      <c r="N3012" s="4" t="s">
        <v>27</v>
      </c>
    </row>
    <row r="3013" hidden="1">
      <c r="B3013" s="4" t="s">
        <v>27</v>
      </c>
      <c r="C3013" s="4" t="s">
        <v>27</v>
      </c>
      <c r="D3013" s="6" t="s">
        <v>27</v>
      </c>
      <c r="E3013" s="6" t="s">
        <v>27</v>
      </c>
      <c r="F3013" s="6" t="s">
        <v>27</v>
      </c>
      <c r="G3013" s="4" t="s">
        <v>27</v>
      </c>
      <c r="H3013" s="4" t="s">
        <v>27</v>
      </c>
      <c r="I3013" s="4" t="s">
        <v>27</v>
      </c>
      <c r="J3013" s="4" t="s">
        <v>27</v>
      </c>
      <c r="K3013" s="4" t="s">
        <v>27</v>
      </c>
      <c r="L3013" s="4" t="s">
        <v>27</v>
      </c>
      <c r="M3013" s="4" t="s">
        <v>27</v>
      </c>
      <c r="N3013" s="4" t="s">
        <v>27</v>
      </c>
    </row>
    <row r="3014" hidden="1">
      <c r="B3014" s="4" t="s">
        <v>27</v>
      </c>
      <c r="C3014" s="4" t="s">
        <v>27</v>
      </c>
      <c r="D3014" s="6" t="s">
        <v>27</v>
      </c>
      <c r="E3014" s="6" t="s">
        <v>27</v>
      </c>
      <c r="F3014" s="6" t="s">
        <v>27</v>
      </c>
      <c r="G3014" s="4" t="s">
        <v>27</v>
      </c>
      <c r="H3014" s="4" t="s">
        <v>27</v>
      </c>
      <c r="I3014" s="4" t="s">
        <v>27</v>
      </c>
      <c r="J3014" s="4" t="s">
        <v>27</v>
      </c>
      <c r="K3014" s="4" t="s">
        <v>27</v>
      </c>
      <c r="L3014" s="4" t="s">
        <v>27</v>
      </c>
      <c r="M3014" s="4" t="s">
        <v>27</v>
      </c>
      <c r="N3014" s="4" t="s">
        <v>27</v>
      </c>
    </row>
    <row r="3015" hidden="1">
      <c r="B3015" s="4" t="s">
        <v>27</v>
      </c>
      <c r="C3015" s="4" t="s">
        <v>27</v>
      </c>
      <c r="D3015" s="6" t="s">
        <v>27</v>
      </c>
      <c r="E3015" s="6" t="s">
        <v>27</v>
      </c>
      <c r="F3015" s="6" t="s">
        <v>27</v>
      </c>
      <c r="G3015" s="4" t="s">
        <v>27</v>
      </c>
      <c r="H3015" s="4" t="s">
        <v>27</v>
      </c>
      <c r="I3015" s="4" t="s">
        <v>27</v>
      </c>
      <c r="J3015" s="4" t="s">
        <v>27</v>
      </c>
      <c r="K3015" s="4" t="s">
        <v>27</v>
      </c>
      <c r="L3015" s="4" t="s">
        <v>27</v>
      </c>
      <c r="M3015" s="4" t="s">
        <v>27</v>
      </c>
      <c r="N3015" s="4" t="s">
        <v>27</v>
      </c>
    </row>
    <row r="3016" hidden="1">
      <c r="B3016" s="4" t="s">
        <v>27</v>
      </c>
      <c r="C3016" s="4" t="s">
        <v>27</v>
      </c>
      <c r="D3016" s="6" t="s">
        <v>27</v>
      </c>
      <c r="E3016" s="6" t="s">
        <v>27</v>
      </c>
      <c r="F3016" s="6" t="s">
        <v>27</v>
      </c>
      <c r="G3016" s="4" t="s">
        <v>27</v>
      </c>
      <c r="H3016" s="4" t="s">
        <v>27</v>
      </c>
      <c r="I3016" s="4" t="s">
        <v>27</v>
      </c>
      <c r="J3016" s="4" t="s">
        <v>27</v>
      </c>
      <c r="K3016" s="4" t="s">
        <v>27</v>
      </c>
      <c r="L3016" s="4" t="s">
        <v>27</v>
      </c>
      <c r="M3016" s="4" t="s">
        <v>27</v>
      </c>
      <c r="N3016" s="4" t="s">
        <v>27</v>
      </c>
    </row>
    <row r="3017" hidden="1">
      <c r="B3017" s="4" t="s">
        <v>27</v>
      </c>
      <c r="C3017" s="4" t="s">
        <v>27</v>
      </c>
      <c r="D3017" s="6" t="s">
        <v>27</v>
      </c>
      <c r="E3017" s="6" t="s">
        <v>27</v>
      </c>
      <c r="F3017" s="6" t="s">
        <v>27</v>
      </c>
      <c r="G3017" s="4" t="s">
        <v>27</v>
      </c>
      <c r="H3017" s="4" t="s">
        <v>27</v>
      </c>
      <c r="I3017" s="4" t="s">
        <v>27</v>
      </c>
      <c r="J3017" s="4" t="s">
        <v>27</v>
      </c>
      <c r="K3017" s="4" t="s">
        <v>27</v>
      </c>
      <c r="L3017" s="4" t="s">
        <v>27</v>
      </c>
      <c r="M3017" s="4" t="s">
        <v>27</v>
      </c>
      <c r="N3017" s="4" t="s">
        <v>27</v>
      </c>
    </row>
    <row r="3018" hidden="1">
      <c r="B3018" s="4" t="s">
        <v>27</v>
      </c>
      <c r="C3018" s="4" t="s">
        <v>27</v>
      </c>
      <c r="D3018" s="6" t="s">
        <v>27</v>
      </c>
      <c r="E3018" s="6" t="s">
        <v>27</v>
      </c>
      <c r="F3018" s="6" t="s">
        <v>27</v>
      </c>
      <c r="G3018" s="4" t="s">
        <v>27</v>
      </c>
      <c r="H3018" s="4" t="s">
        <v>27</v>
      </c>
      <c r="I3018" s="4" t="s">
        <v>27</v>
      </c>
      <c r="J3018" s="4" t="s">
        <v>27</v>
      </c>
      <c r="K3018" s="4" t="s">
        <v>27</v>
      </c>
      <c r="L3018" s="4" t="s">
        <v>27</v>
      </c>
      <c r="M3018" s="4" t="s">
        <v>27</v>
      </c>
      <c r="N3018" s="4" t="s">
        <v>27</v>
      </c>
    </row>
    <row r="3019" hidden="1">
      <c r="B3019" s="4" t="s">
        <v>27</v>
      </c>
      <c r="C3019" s="4" t="s">
        <v>27</v>
      </c>
      <c r="D3019" s="6" t="s">
        <v>27</v>
      </c>
      <c r="E3019" s="6" t="s">
        <v>27</v>
      </c>
      <c r="F3019" s="6" t="s">
        <v>27</v>
      </c>
      <c r="G3019" s="4" t="s">
        <v>27</v>
      </c>
      <c r="H3019" s="4" t="s">
        <v>27</v>
      </c>
      <c r="I3019" s="4" t="s">
        <v>27</v>
      </c>
      <c r="J3019" s="4" t="s">
        <v>27</v>
      </c>
      <c r="K3019" s="4" t="s">
        <v>27</v>
      </c>
      <c r="L3019" s="4" t="s">
        <v>27</v>
      </c>
      <c r="M3019" s="4" t="s">
        <v>27</v>
      </c>
      <c r="N3019" s="4" t="s">
        <v>27</v>
      </c>
    </row>
    <row r="3020" hidden="1">
      <c r="B3020" s="4" t="s">
        <v>27</v>
      </c>
      <c r="C3020" s="4" t="s">
        <v>27</v>
      </c>
      <c r="D3020" s="6" t="s">
        <v>27</v>
      </c>
      <c r="E3020" s="6" t="s">
        <v>27</v>
      </c>
      <c r="F3020" s="6" t="s">
        <v>27</v>
      </c>
      <c r="G3020" s="4" t="s">
        <v>27</v>
      </c>
      <c r="H3020" s="4" t="s">
        <v>27</v>
      </c>
      <c r="I3020" s="4" t="s">
        <v>27</v>
      </c>
      <c r="J3020" s="4" t="s">
        <v>27</v>
      </c>
      <c r="K3020" s="4" t="s">
        <v>27</v>
      </c>
      <c r="L3020" s="4" t="s">
        <v>27</v>
      </c>
      <c r="M3020" s="4" t="s">
        <v>27</v>
      </c>
      <c r="N3020" s="4" t="s">
        <v>27</v>
      </c>
    </row>
    <row r="3021" hidden="1">
      <c r="B3021" s="4" t="s">
        <v>27</v>
      </c>
      <c r="C3021" s="4" t="s">
        <v>27</v>
      </c>
      <c r="D3021" s="6" t="s">
        <v>27</v>
      </c>
      <c r="E3021" s="6" t="s">
        <v>27</v>
      </c>
      <c r="F3021" s="6" t="s">
        <v>27</v>
      </c>
      <c r="G3021" s="4" t="s">
        <v>27</v>
      </c>
      <c r="H3021" s="4" t="s">
        <v>27</v>
      </c>
      <c r="I3021" s="4" t="s">
        <v>27</v>
      </c>
      <c r="J3021" s="4" t="s">
        <v>27</v>
      </c>
      <c r="K3021" s="4" t="s">
        <v>27</v>
      </c>
      <c r="L3021" s="4" t="s">
        <v>27</v>
      </c>
      <c r="M3021" s="4" t="s">
        <v>27</v>
      </c>
      <c r="N3021" s="4" t="s">
        <v>27</v>
      </c>
    </row>
    <row r="3022" hidden="1">
      <c r="B3022" s="4" t="s">
        <v>27</v>
      </c>
      <c r="C3022" s="4" t="s">
        <v>27</v>
      </c>
      <c r="D3022" s="6" t="s">
        <v>27</v>
      </c>
      <c r="E3022" s="6" t="s">
        <v>27</v>
      </c>
      <c r="F3022" s="6" t="s">
        <v>27</v>
      </c>
      <c r="G3022" s="4" t="s">
        <v>27</v>
      </c>
      <c r="H3022" s="4" t="s">
        <v>27</v>
      </c>
      <c r="I3022" s="4" t="s">
        <v>27</v>
      </c>
      <c r="J3022" s="4" t="s">
        <v>27</v>
      </c>
      <c r="K3022" s="4" t="s">
        <v>27</v>
      </c>
      <c r="L3022" s="4" t="s">
        <v>27</v>
      </c>
      <c r="M3022" s="4" t="s">
        <v>27</v>
      </c>
      <c r="N3022" s="4" t="s">
        <v>27</v>
      </c>
    </row>
    <row r="3023" hidden="1">
      <c r="B3023" s="4" t="s">
        <v>27</v>
      </c>
      <c r="C3023" s="4" t="s">
        <v>27</v>
      </c>
      <c r="D3023" s="6" t="s">
        <v>27</v>
      </c>
      <c r="E3023" s="6" t="s">
        <v>27</v>
      </c>
      <c r="F3023" s="6" t="s">
        <v>27</v>
      </c>
      <c r="G3023" s="4" t="s">
        <v>27</v>
      </c>
      <c r="H3023" s="4" t="s">
        <v>27</v>
      </c>
      <c r="I3023" s="4" t="s">
        <v>27</v>
      </c>
      <c r="J3023" s="4" t="s">
        <v>27</v>
      </c>
      <c r="K3023" s="4" t="s">
        <v>27</v>
      </c>
      <c r="L3023" s="4" t="s">
        <v>27</v>
      </c>
      <c r="M3023" s="4" t="s">
        <v>27</v>
      </c>
      <c r="N3023" s="4" t="s">
        <v>27</v>
      </c>
    </row>
    <row r="3024" hidden="1">
      <c r="B3024" s="4" t="s">
        <v>27</v>
      </c>
      <c r="C3024" s="4" t="s">
        <v>27</v>
      </c>
      <c r="D3024" s="6" t="s">
        <v>27</v>
      </c>
      <c r="E3024" s="6" t="s">
        <v>27</v>
      </c>
      <c r="F3024" s="6" t="s">
        <v>27</v>
      </c>
      <c r="G3024" s="4" t="s">
        <v>27</v>
      </c>
      <c r="H3024" s="4" t="s">
        <v>27</v>
      </c>
      <c r="I3024" s="4" t="s">
        <v>27</v>
      </c>
      <c r="J3024" s="4" t="s">
        <v>27</v>
      </c>
      <c r="K3024" s="4" t="s">
        <v>27</v>
      </c>
      <c r="L3024" s="4" t="s">
        <v>27</v>
      </c>
      <c r="M3024" s="4" t="s">
        <v>27</v>
      </c>
      <c r="N3024" s="4" t="s">
        <v>27</v>
      </c>
    </row>
    <row r="3025" hidden="1">
      <c r="B3025" s="4" t="s">
        <v>27</v>
      </c>
      <c r="C3025" s="4" t="s">
        <v>27</v>
      </c>
      <c r="D3025" s="6" t="s">
        <v>27</v>
      </c>
      <c r="E3025" s="6" t="s">
        <v>27</v>
      </c>
      <c r="F3025" s="6" t="s">
        <v>27</v>
      </c>
      <c r="G3025" s="4" t="s">
        <v>27</v>
      </c>
      <c r="H3025" s="4" t="s">
        <v>27</v>
      </c>
      <c r="I3025" s="4" t="s">
        <v>27</v>
      </c>
      <c r="J3025" s="4" t="s">
        <v>27</v>
      </c>
      <c r="K3025" s="4" t="s">
        <v>27</v>
      </c>
      <c r="L3025" s="4" t="s">
        <v>27</v>
      </c>
      <c r="M3025" s="4" t="s">
        <v>27</v>
      </c>
      <c r="N3025" s="4" t="s">
        <v>27</v>
      </c>
    </row>
    <row r="3026" hidden="1">
      <c r="B3026" s="4" t="s">
        <v>27</v>
      </c>
      <c r="C3026" s="4" t="s">
        <v>27</v>
      </c>
      <c r="D3026" s="6" t="s">
        <v>27</v>
      </c>
      <c r="E3026" s="6" t="s">
        <v>27</v>
      </c>
      <c r="F3026" s="6" t="s">
        <v>27</v>
      </c>
      <c r="G3026" s="4" t="s">
        <v>27</v>
      </c>
      <c r="H3026" s="4" t="s">
        <v>27</v>
      </c>
      <c r="I3026" s="4" t="s">
        <v>27</v>
      </c>
      <c r="J3026" s="4" t="s">
        <v>27</v>
      </c>
      <c r="K3026" s="4" t="s">
        <v>27</v>
      </c>
      <c r="L3026" s="4" t="s">
        <v>27</v>
      </c>
      <c r="M3026" s="4" t="s">
        <v>27</v>
      </c>
      <c r="N3026" s="4" t="s">
        <v>27</v>
      </c>
    </row>
    <row r="3027" hidden="1">
      <c r="B3027" s="4" t="s">
        <v>27</v>
      </c>
      <c r="C3027" s="4" t="s">
        <v>27</v>
      </c>
      <c r="D3027" s="6" t="s">
        <v>27</v>
      </c>
      <c r="E3027" s="6" t="s">
        <v>27</v>
      </c>
      <c r="F3027" s="6" t="s">
        <v>27</v>
      </c>
      <c r="G3027" s="4" t="s">
        <v>27</v>
      </c>
      <c r="H3027" s="4" t="s">
        <v>27</v>
      </c>
      <c r="I3027" s="4" t="s">
        <v>27</v>
      </c>
      <c r="J3027" s="4" t="s">
        <v>27</v>
      </c>
      <c r="K3027" s="4" t="s">
        <v>27</v>
      </c>
      <c r="L3027" s="4" t="s">
        <v>27</v>
      </c>
      <c r="M3027" s="4" t="s">
        <v>27</v>
      </c>
      <c r="N3027" s="4" t="s">
        <v>27</v>
      </c>
    </row>
    <row r="3028" hidden="1">
      <c r="B3028" s="4" t="s">
        <v>27</v>
      </c>
      <c r="C3028" s="4" t="s">
        <v>27</v>
      </c>
      <c r="D3028" s="6" t="s">
        <v>27</v>
      </c>
      <c r="E3028" s="6" t="s">
        <v>27</v>
      </c>
      <c r="F3028" s="6" t="s">
        <v>27</v>
      </c>
      <c r="G3028" s="4" t="s">
        <v>27</v>
      </c>
      <c r="H3028" s="4" t="s">
        <v>27</v>
      </c>
      <c r="I3028" s="4" t="s">
        <v>27</v>
      </c>
      <c r="J3028" s="4" t="s">
        <v>27</v>
      </c>
      <c r="K3028" s="4" t="s">
        <v>27</v>
      </c>
      <c r="L3028" s="4" t="s">
        <v>27</v>
      </c>
      <c r="M3028" s="4" t="s">
        <v>27</v>
      </c>
      <c r="N3028" s="4" t="s">
        <v>27</v>
      </c>
    </row>
    <row r="3029" hidden="1">
      <c r="B3029" s="4" t="s">
        <v>27</v>
      </c>
      <c r="C3029" s="4" t="s">
        <v>27</v>
      </c>
      <c r="D3029" s="6" t="s">
        <v>27</v>
      </c>
      <c r="E3029" s="6" t="s">
        <v>27</v>
      </c>
      <c r="F3029" s="6" t="s">
        <v>27</v>
      </c>
      <c r="G3029" s="4" t="s">
        <v>27</v>
      </c>
      <c r="H3029" s="4" t="s">
        <v>27</v>
      </c>
      <c r="I3029" s="4" t="s">
        <v>27</v>
      </c>
      <c r="J3029" s="4" t="s">
        <v>27</v>
      </c>
      <c r="K3029" s="4" t="s">
        <v>27</v>
      </c>
      <c r="L3029" s="4" t="s">
        <v>27</v>
      </c>
      <c r="M3029" s="4" t="s">
        <v>27</v>
      </c>
      <c r="N3029" s="4" t="s">
        <v>27</v>
      </c>
    </row>
    <row r="3030" hidden="1">
      <c r="B3030" s="4" t="s">
        <v>27</v>
      </c>
      <c r="C3030" s="4" t="s">
        <v>27</v>
      </c>
      <c r="D3030" s="6" t="s">
        <v>27</v>
      </c>
      <c r="E3030" s="6" t="s">
        <v>27</v>
      </c>
      <c r="F3030" s="6" t="s">
        <v>27</v>
      </c>
      <c r="G3030" s="4" t="s">
        <v>27</v>
      </c>
      <c r="H3030" s="4" t="s">
        <v>27</v>
      </c>
      <c r="I3030" s="4" t="s">
        <v>27</v>
      </c>
      <c r="J3030" s="4" t="s">
        <v>27</v>
      </c>
      <c r="K3030" s="4" t="s">
        <v>27</v>
      </c>
      <c r="L3030" s="4" t="s">
        <v>27</v>
      </c>
      <c r="M3030" s="4" t="s">
        <v>27</v>
      </c>
      <c r="N3030" s="4" t="s">
        <v>27</v>
      </c>
    </row>
    <row r="3031" hidden="1">
      <c r="B3031" s="4" t="s">
        <v>27</v>
      </c>
      <c r="C3031" s="4" t="s">
        <v>27</v>
      </c>
      <c r="D3031" s="6" t="s">
        <v>27</v>
      </c>
      <c r="E3031" s="6" t="s">
        <v>27</v>
      </c>
      <c r="F3031" s="6" t="s">
        <v>27</v>
      </c>
      <c r="G3031" s="4" t="s">
        <v>27</v>
      </c>
      <c r="H3031" s="4" t="s">
        <v>27</v>
      </c>
      <c r="I3031" s="4" t="s">
        <v>27</v>
      </c>
      <c r="J3031" s="4" t="s">
        <v>27</v>
      </c>
      <c r="K3031" s="4" t="s">
        <v>27</v>
      </c>
      <c r="L3031" s="4" t="s">
        <v>27</v>
      </c>
      <c r="M3031" s="4" t="s">
        <v>27</v>
      </c>
      <c r="N3031" s="4" t="s">
        <v>27</v>
      </c>
    </row>
    <row r="3032" hidden="1">
      <c r="B3032" s="4" t="s">
        <v>27</v>
      </c>
      <c r="C3032" s="4" t="s">
        <v>27</v>
      </c>
      <c r="D3032" s="6" t="s">
        <v>27</v>
      </c>
      <c r="E3032" s="6" t="s">
        <v>27</v>
      </c>
      <c r="F3032" s="6" t="s">
        <v>27</v>
      </c>
      <c r="G3032" s="4" t="s">
        <v>27</v>
      </c>
      <c r="H3032" s="4" t="s">
        <v>27</v>
      </c>
      <c r="I3032" s="4" t="s">
        <v>27</v>
      </c>
      <c r="J3032" s="4" t="s">
        <v>27</v>
      </c>
      <c r="K3032" s="4" t="s">
        <v>27</v>
      </c>
      <c r="L3032" s="4" t="s">
        <v>27</v>
      </c>
      <c r="M3032" s="4" t="s">
        <v>27</v>
      </c>
      <c r="N3032" s="4" t="s">
        <v>27</v>
      </c>
    </row>
    <row r="3033" hidden="1">
      <c r="B3033" s="4" t="s">
        <v>27</v>
      </c>
      <c r="C3033" s="4" t="s">
        <v>27</v>
      </c>
      <c r="D3033" s="6" t="s">
        <v>27</v>
      </c>
      <c r="E3033" s="6" t="s">
        <v>27</v>
      </c>
      <c r="F3033" s="6" t="s">
        <v>27</v>
      </c>
      <c r="G3033" s="4" t="s">
        <v>27</v>
      </c>
      <c r="H3033" s="4" t="s">
        <v>27</v>
      </c>
      <c r="I3033" s="4" t="s">
        <v>27</v>
      </c>
      <c r="J3033" s="4" t="s">
        <v>27</v>
      </c>
      <c r="K3033" s="4" t="s">
        <v>27</v>
      </c>
      <c r="L3033" s="4" t="s">
        <v>27</v>
      </c>
      <c r="M3033" s="4" t="s">
        <v>27</v>
      </c>
      <c r="N3033" s="4" t="s">
        <v>27</v>
      </c>
    </row>
    <row r="3034" hidden="1">
      <c r="B3034" s="4" t="s">
        <v>27</v>
      </c>
      <c r="C3034" s="4" t="s">
        <v>27</v>
      </c>
      <c r="D3034" s="6" t="s">
        <v>27</v>
      </c>
      <c r="E3034" s="6" t="s">
        <v>27</v>
      </c>
      <c r="F3034" s="6" t="s">
        <v>27</v>
      </c>
      <c r="G3034" s="4" t="s">
        <v>27</v>
      </c>
      <c r="H3034" s="4" t="s">
        <v>27</v>
      </c>
      <c r="I3034" s="4" t="s">
        <v>27</v>
      </c>
      <c r="J3034" s="4" t="s">
        <v>27</v>
      </c>
      <c r="K3034" s="4" t="s">
        <v>27</v>
      </c>
      <c r="L3034" s="4" t="s">
        <v>27</v>
      </c>
      <c r="M3034" s="4" t="s">
        <v>27</v>
      </c>
      <c r="N3034" s="4" t="s">
        <v>27</v>
      </c>
    </row>
    <row r="3035" hidden="1">
      <c r="B3035" s="4" t="s">
        <v>27</v>
      </c>
      <c r="C3035" s="4" t="s">
        <v>27</v>
      </c>
      <c r="D3035" s="6" t="s">
        <v>27</v>
      </c>
      <c r="E3035" s="6" t="s">
        <v>27</v>
      </c>
      <c r="F3035" s="6" t="s">
        <v>27</v>
      </c>
      <c r="G3035" s="4" t="s">
        <v>27</v>
      </c>
      <c r="H3035" s="4" t="s">
        <v>27</v>
      </c>
      <c r="I3035" s="4" t="s">
        <v>27</v>
      </c>
      <c r="J3035" s="4" t="s">
        <v>27</v>
      </c>
      <c r="K3035" s="4" t="s">
        <v>27</v>
      </c>
      <c r="L3035" s="4" t="s">
        <v>27</v>
      </c>
      <c r="M3035" s="4" t="s">
        <v>27</v>
      </c>
      <c r="N3035" s="4" t="s">
        <v>27</v>
      </c>
    </row>
    <row r="3036" hidden="1">
      <c r="B3036" s="4" t="s">
        <v>27</v>
      </c>
      <c r="C3036" s="4" t="s">
        <v>27</v>
      </c>
      <c r="D3036" s="6" t="s">
        <v>27</v>
      </c>
      <c r="E3036" s="6" t="s">
        <v>27</v>
      </c>
      <c r="F3036" s="6" t="s">
        <v>27</v>
      </c>
      <c r="G3036" s="4" t="s">
        <v>27</v>
      </c>
      <c r="H3036" s="4" t="s">
        <v>27</v>
      </c>
      <c r="I3036" s="4" t="s">
        <v>27</v>
      </c>
      <c r="J3036" s="4" t="s">
        <v>27</v>
      </c>
      <c r="K3036" s="4" t="s">
        <v>27</v>
      </c>
      <c r="L3036" s="4" t="s">
        <v>27</v>
      </c>
      <c r="M3036" s="4" t="s">
        <v>27</v>
      </c>
      <c r="N3036" s="4" t="s">
        <v>27</v>
      </c>
    </row>
    <row r="3037" hidden="1">
      <c r="B3037" s="4" t="s">
        <v>27</v>
      </c>
      <c r="C3037" s="4" t="s">
        <v>27</v>
      </c>
      <c r="D3037" s="6" t="s">
        <v>27</v>
      </c>
      <c r="E3037" s="6" t="s">
        <v>27</v>
      </c>
      <c r="F3037" s="6" t="s">
        <v>27</v>
      </c>
      <c r="G3037" s="4" t="s">
        <v>27</v>
      </c>
      <c r="H3037" s="4" t="s">
        <v>27</v>
      </c>
      <c r="I3037" s="4" t="s">
        <v>27</v>
      </c>
      <c r="J3037" s="4" t="s">
        <v>27</v>
      </c>
      <c r="K3037" s="4" t="s">
        <v>27</v>
      </c>
      <c r="L3037" s="4" t="s">
        <v>27</v>
      </c>
      <c r="M3037" s="4" t="s">
        <v>27</v>
      </c>
      <c r="N3037" s="4" t="s">
        <v>27</v>
      </c>
    </row>
    <row r="3038" hidden="1">
      <c r="B3038" s="4" t="s">
        <v>27</v>
      </c>
      <c r="C3038" s="4" t="s">
        <v>27</v>
      </c>
      <c r="D3038" s="6" t="s">
        <v>27</v>
      </c>
      <c r="E3038" s="6" t="s">
        <v>27</v>
      </c>
      <c r="F3038" s="6" t="s">
        <v>27</v>
      </c>
      <c r="G3038" s="4" t="s">
        <v>27</v>
      </c>
      <c r="H3038" s="4" t="s">
        <v>27</v>
      </c>
      <c r="I3038" s="4" t="s">
        <v>27</v>
      </c>
      <c r="J3038" s="4" t="s">
        <v>27</v>
      </c>
      <c r="K3038" s="4" t="s">
        <v>27</v>
      </c>
      <c r="L3038" s="4" t="s">
        <v>27</v>
      </c>
      <c r="M3038" s="4" t="s">
        <v>27</v>
      </c>
      <c r="N3038" s="4" t="s">
        <v>27</v>
      </c>
    </row>
    <row r="3039" hidden="1">
      <c r="B3039" s="4" t="s">
        <v>27</v>
      </c>
      <c r="C3039" s="4" t="s">
        <v>27</v>
      </c>
      <c r="D3039" s="6" t="s">
        <v>27</v>
      </c>
      <c r="E3039" s="6" t="s">
        <v>27</v>
      </c>
      <c r="F3039" s="6" t="s">
        <v>27</v>
      </c>
      <c r="G3039" s="4" t="s">
        <v>27</v>
      </c>
      <c r="H3039" s="4" t="s">
        <v>27</v>
      </c>
      <c r="I3039" s="4" t="s">
        <v>27</v>
      </c>
      <c r="J3039" s="4" t="s">
        <v>27</v>
      </c>
      <c r="K3039" s="4" t="s">
        <v>27</v>
      </c>
      <c r="L3039" s="4" t="s">
        <v>27</v>
      </c>
      <c r="M3039" s="4" t="s">
        <v>27</v>
      </c>
      <c r="N3039" s="4" t="s">
        <v>27</v>
      </c>
    </row>
    <row r="3040" hidden="1">
      <c r="B3040" s="4" t="s">
        <v>27</v>
      </c>
      <c r="C3040" s="4" t="s">
        <v>27</v>
      </c>
      <c r="D3040" s="6" t="s">
        <v>27</v>
      </c>
      <c r="E3040" s="6" t="s">
        <v>27</v>
      </c>
      <c r="F3040" s="6" t="s">
        <v>27</v>
      </c>
      <c r="G3040" s="4" t="s">
        <v>27</v>
      </c>
      <c r="H3040" s="4" t="s">
        <v>27</v>
      </c>
      <c r="I3040" s="4" t="s">
        <v>27</v>
      </c>
      <c r="J3040" s="4" t="s">
        <v>27</v>
      </c>
      <c r="K3040" s="4" t="s">
        <v>27</v>
      </c>
      <c r="L3040" s="4" t="s">
        <v>27</v>
      </c>
      <c r="M3040" s="4" t="s">
        <v>27</v>
      </c>
      <c r="N3040" s="4" t="s">
        <v>27</v>
      </c>
    </row>
    <row r="3041" hidden="1">
      <c r="B3041" s="4" t="s">
        <v>27</v>
      </c>
      <c r="C3041" s="4" t="s">
        <v>27</v>
      </c>
      <c r="D3041" s="6" t="s">
        <v>27</v>
      </c>
      <c r="E3041" s="6" t="s">
        <v>27</v>
      </c>
      <c r="F3041" s="6" t="s">
        <v>27</v>
      </c>
      <c r="G3041" s="4" t="s">
        <v>27</v>
      </c>
      <c r="H3041" s="4" t="s">
        <v>27</v>
      </c>
      <c r="I3041" s="4" t="s">
        <v>27</v>
      </c>
      <c r="J3041" s="4" t="s">
        <v>27</v>
      </c>
      <c r="K3041" s="4" t="s">
        <v>27</v>
      </c>
      <c r="L3041" s="4" t="s">
        <v>27</v>
      </c>
      <c r="M3041" s="4" t="s">
        <v>27</v>
      </c>
      <c r="N3041" s="4" t="s">
        <v>27</v>
      </c>
    </row>
    <row r="3042" hidden="1">
      <c r="B3042" s="4" t="s">
        <v>27</v>
      </c>
      <c r="C3042" s="4" t="s">
        <v>27</v>
      </c>
      <c r="D3042" s="6" t="s">
        <v>27</v>
      </c>
      <c r="E3042" s="6" t="s">
        <v>27</v>
      </c>
      <c r="F3042" s="6" t="s">
        <v>27</v>
      </c>
      <c r="G3042" s="4" t="s">
        <v>27</v>
      </c>
      <c r="H3042" s="4" t="s">
        <v>27</v>
      </c>
      <c r="I3042" s="4" t="s">
        <v>27</v>
      </c>
      <c r="J3042" s="4" t="s">
        <v>27</v>
      </c>
      <c r="K3042" s="4" t="s">
        <v>27</v>
      </c>
      <c r="L3042" s="4" t="s">
        <v>27</v>
      </c>
      <c r="M3042" s="4" t="s">
        <v>27</v>
      </c>
      <c r="N3042" s="4" t="s">
        <v>27</v>
      </c>
    </row>
    <row r="3043" hidden="1">
      <c r="B3043" s="4" t="s">
        <v>27</v>
      </c>
      <c r="C3043" s="4" t="s">
        <v>27</v>
      </c>
      <c r="D3043" s="6" t="s">
        <v>27</v>
      </c>
      <c r="E3043" s="6" t="s">
        <v>27</v>
      </c>
      <c r="F3043" s="6" t="s">
        <v>27</v>
      </c>
      <c r="G3043" s="4" t="s">
        <v>27</v>
      </c>
      <c r="H3043" s="4" t="s">
        <v>27</v>
      </c>
      <c r="I3043" s="4" t="s">
        <v>27</v>
      </c>
      <c r="J3043" s="4" t="s">
        <v>27</v>
      </c>
      <c r="K3043" s="4" t="s">
        <v>27</v>
      </c>
      <c r="L3043" s="4" t="s">
        <v>27</v>
      </c>
      <c r="M3043" s="4" t="s">
        <v>27</v>
      </c>
      <c r="N3043" s="4" t="s">
        <v>27</v>
      </c>
    </row>
    <row r="3044" hidden="1">
      <c r="B3044" s="4" t="s">
        <v>27</v>
      </c>
      <c r="C3044" s="4" t="s">
        <v>27</v>
      </c>
      <c r="D3044" s="6" t="s">
        <v>27</v>
      </c>
      <c r="E3044" s="6" t="s">
        <v>27</v>
      </c>
      <c r="F3044" s="6" t="s">
        <v>27</v>
      </c>
      <c r="G3044" s="4" t="s">
        <v>27</v>
      </c>
      <c r="H3044" s="4" t="s">
        <v>27</v>
      </c>
      <c r="I3044" s="4" t="s">
        <v>27</v>
      </c>
      <c r="J3044" s="4" t="s">
        <v>27</v>
      </c>
      <c r="K3044" s="4" t="s">
        <v>27</v>
      </c>
      <c r="L3044" s="4" t="s">
        <v>27</v>
      </c>
      <c r="M3044" s="4" t="s">
        <v>27</v>
      </c>
      <c r="N3044" s="4" t="s">
        <v>27</v>
      </c>
    </row>
    <row r="3045" hidden="1">
      <c r="B3045" s="4" t="s">
        <v>27</v>
      </c>
      <c r="C3045" s="4" t="s">
        <v>27</v>
      </c>
      <c r="D3045" s="6" t="s">
        <v>27</v>
      </c>
      <c r="E3045" s="6" t="s">
        <v>27</v>
      </c>
      <c r="F3045" s="6" t="s">
        <v>27</v>
      </c>
      <c r="G3045" s="4" t="s">
        <v>27</v>
      </c>
      <c r="H3045" s="4" t="s">
        <v>27</v>
      </c>
      <c r="I3045" s="4" t="s">
        <v>27</v>
      </c>
      <c r="J3045" s="4" t="s">
        <v>27</v>
      </c>
      <c r="K3045" s="4" t="s">
        <v>27</v>
      </c>
      <c r="L3045" s="4" t="s">
        <v>27</v>
      </c>
      <c r="M3045" s="4" t="s">
        <v>27</v>
      </c>
      <c r="N3045" s="4" t="s">
        <v>27</v>
      </c>
    </row>
    <row r="3046" hidden="1">
      <c r="B3046" s="4" t="s">
        <v>27</v>
      </c>
      <c r="C3046" s="4" t="s">
        <v>27</v>
      </c>
      <c r="D3046" s="6" t="s">
        <v>27</v>
      </c>
      <c r="E3046" s="6" t="s">
        <v>27</v>
      </c>
      <c r="F3046" s="6" t="s">
        <v>27</v>
      </c>
      <c r="G3046" s="4" t="s">
        <v>27</v>
      </c>
      <c r="H3046" s="4" t="s">
        <v>27</v>
      </c>
      <c r="I3046" s="4" t="s">
        <v>27</v>
      </c>
      <c r="J3046" s="4" t="s">
        <v>27</v>
      </c>
      <c r="K3046" s="4" t="s">
        <v>27</v>
      </c>
      <c r="L3046" s="4" t="s">
        <v>27</v>
      </c>
      <c r="M3046" s="4" t="s">
        <v>27</v>
      </c>
      <c r="N3046" s="4" t="s">
        <v>27</v>
      </c>
    </row>
    <row r="3047" hidden="1">
      <c r="B3047" s="4" t="s">
        <v>27</v>
      </c>
      <c r="C3047" s="4" t="s">
        <v>27</v>
      </c>
      <c r="D3047" s="6" t="s">
        <v>27</v>
      </c>
      <c r="E3047" s="6" t="s">
        <v>27</v>
      </c>
      <c r="F3047" s="6" t="s">
        <v>27</v>
      </c>
      <c r="G3047" s="4" t="s">
        <v>27</v>
      </c>
      <c r="H3047" s="4" t="s">
        <v>27</v>
      </c>
      <c r="I3047" s="4" t="s">
        <v>27</v>
      </c>
      <c r="J3047" s="4" t="s">
        <v>27</v>
      </c>
      <c r="K3047" s="4" t="s">
        <v>27</v>
      </c>
      <c r="L3047" s="4" t="s">
        <v>27</v>
      </c>
      <c r="M3047" s="4" t="s">
        <v>27</v>
      </c>
      <c r="N3047" s="4" t="s">
        <v>27</v>
      </c>
    </row>
    <row r="3048" hidden="1">
      <c r="B3048" s="4" t="s">
        <v>27</v>
      </c>
      <c r="C3048" s="4" t="s">
        <v>27</v>
      </c>
      <c r="D3048" s="6" t="s">
        <v>27</v>
      </c>
      <c r="E3048" s="6" t="s">
        <v>27</v>
      </c>
      <c r="F3048" s="6" t="s">
        <v>27</v>
      </c>
      <c r="G3048" s="4" t="s">
        <v>27</v>
      </c>
      <c r="H3048" s="4" t="s">
        <v>27</v>
      </c>
      <c r="I3048" s="4" t="s">
        <v>27</v>
      </c>
      <c r="J3048" s="4" t="s">
        <v>27</v>
      </c>
      <c r="K3048" s="4" t="s">
        <v>27</v>
      </c>
      <c r="L3048" s="4" t="s">
        <v>27</v>
      </c>
      <c r="M3048" s="4" t="s">
        <v>27</v>
      </c>
      <c r="N3048" s="4" t="s">
        <v>27</v>
      </c>
    </row>
    <row r="3049" hidden="1">
      <c r="B3049" s="4" t="s">
        <v>27</v>
      </c>
      <c r="C3049" s="4" t="s">
        <v>27</v>
      </c>
      <c r="D3049" s="6" t="s">
        <v>27</v>
      </c>
      <c r="E3049" s="6" t="s">
        <v>27</v>
      </c>
      <c r="F3049" s="6" t="s">
        <v>27</v>
      </c>
      <c r="G3049" s="4" t="s">
        <v>27</v>
      </c>
      <c r="H3049" s="4" t="s">
        <v>27</v>
      </c>
      <c r="I3049" s="4" t="s">
        <v>27</v>
      </c>
      <c r="J3049" s="4" t="s">
        <v>27</v>
      </c>
      <c r="K3049" s="4" t="s">
        <v>27</v>
      </c>
      <c r="L3049" s="4" t="s">
        <v>27</v>
      </c>
      <c r="M3049" s="4" t="s">
        <v>27</v>
      </c>
      <c r="N3049" s="4" t="s">
        <v>27</v>
      </c>
    </row>
    <row r="3050" hidden="1">
      <c r="B3050" s="4" t="s">
        <v>27</v>
      </c>
      <c r="C3050" s="4" t="s">
        <v>27</v>
      </c>
      <c r="D3050" s="6" t="s">
        <v>27</v>
      </c>
      <c r="E3050" s="6" t="s">
        <v>27</v>
      </c>
      <c r="F3050" s="6" t="s">
        <v>27</v>
      </c>
      <c r="G3050" s="4" t="s">
        <v>27</v>
      </c>
      <c r="H3050" s="4" t="s">
        <v>27</v>
      </c>
      <c r="I3050" s="4" t="s">
        <v>27</v>
      </c>
      <c r="J3050" s="4" t="s">
        <v>27</v>
      </c>
      <c r="K3050" s="4" t="s">
        <v>27</v>
      </c>
      <c r="L3050" s="4" t="s">
        <v>27</v>
      </c>
      <c r="M3050" s="4" t="s">
        <v>27</v>
      </c>
      <c r="N3050" s="4" t="s">
        <v>27</v>
      </c>
    </row>
    <row r="3051" hidden="1">
      <c r="B3051" s="4" t="s">
        <v>27</v>
      </c>
      <c r="C3051" s="4" t="s">
        <v>27</v>
      </c>
      <c r="D3051" s="6" t="s">
        <v>27</v>
      </c>
      <c r="E3051" s="6" t="s">
        <v>27</v>
      </c>
      <c r="F3051" s="6" t="s">
        <v>27</v>
      </c>
      <c r="G3051" s="4" t="s">
        <v>27</v>
      </c>
      <c r="H3051" s="4" t="s">
        <v>27</v>
      </c>
      <c r="I3051" s="4" t="s">
        <v>27</v>
      </c>
      <c r="J3051" s="4" t="s">
        <v>27</v>
      </c>
      <c r="K3051" s="4" t="s">
        <v>27</v>
      </c>
      <c r="L3051" s="4" t="s">
        <v>27</v>
      </c>
      <c r="M3051" s="4" t="s">
        <v>27</v>
      </c>
      <c r="N3051" s="4" t="s">
        <v>27</v>
      </c>
    </row>
    <row r="3052" hidden="1">
      <c r="B3052" s="4" t="s">
        <v>27</v>
      </c>
      <c r="C3052" s="4" t="s">
        <v>27</v>
      </c>
      <c r="D3052" s="6" t="s">
        <v>27</v>
      </c>
      <c r="E3052" s="6" t="s">
        <v>27</v>
      </c>
      <c r="F3052" s="6" t="s">
        <v>27</v>
      </c>
      <c r="G3052" s="4" t="s">
        <v>27</v>
      </c>
      <c r="H3052" s="4" t="s">
        <v>27</v>
      </c>
      <c r="I3052" s="4" t="s">
        <v>27</v>
      </c>
      <c r="J3052" s="4" t="s">
        <v>27</v>
      </c>
      <c r="K3052" s="4" t="s">
        <v>27</v>
      </c>
      <c r="L3052" s="4" t="s">
        <v>27</v>
      </c>
      <c r="M3052" s="4" t="s">
        <v>27</v>
      </c>
      <c r="N3052" s="4" t="s">
        <v>27</v>
      </c>
    </row>
    <row r="3053" hidden="1">
      <c r="B3053" s="4" t="s">
        <v>27</v>
      </c>
      <c r="C3053" s="4" t="s">
        <v>27</v>
      </c>
      <c r="D3053" s="6" t="s">
        <v>27</v>
      </c>
      <c r="E3053" s="6" t="s">
        <v>27</v>
      </c>
      <c r="F3053" s="6" t="s">
        <v>27</v>
      </c>
      <c r="G3053" s="4" t="s">
        <v>27</v>
      </c>
      <c r="H3053" s="4" t="s">
        <v>27</v>
      </c>
      <c r="I3053" s="4" t="s">
        <v>27</v>
      </c>
      <c r="J3053" s="4" t="s">
        <v>27</v>
      </c>
      <c r="K3053" s="4" t="s">
        <v>27</v>
      </c>
      <c r="L3053" s="4" t="s">
        <v>27</v>
      </c>
      <c r="M3053" s="4" t="s">
        <v>27</v>
      </c>
      <c r="N3053" s="4" t="s">
        <v>27</v>
      </c>
    </row>
    <row r="3054" hidden="1">
      <c r="B3054" s="4" t="s">
        <v>27</v>
      </c>
      <c r="C3054" s="4" t="s">
        <v>27</v>
      </c>
      <c r="D3054" s="6" t="s">
        <v>27</v>
      </c>
      <c r="E3054" s="6" t="s">
        <v>27</v>
      </c>
      <c r="F3054" s="6" t="s">
        <v>27</v>
      </c>
      <c r="G3054" s="4" t="s">
        <v>27</v>
      </c>
      <c r="H3054" s="4" t="s">
        <v>27</v>
      </c>
      <c r="I3054" s="4" t="s">
        <v>27</v>
      </c>
      <c r="J3054" s="4" t="s">
        <v>27</v>
      </c>
      <c r="K3054" s="4" t="s">
        <v>27</v>
      </c>
      <c r="L3054" s="4" t="s">
        <v>27</v>
      </c>
      <c r="M3054" s="4" t="s">
        <v>27</v>
      </c>
      <c r="N3054" s="4" t="s">
        <v>27</v>
      </c>
    </row>
    <row r="3055" hidden="1">
      <c r="B3055" s="4" t="s">
        <v>27</v>
      </c>
      <c r="C3055" s="4" t="s">
        <v>27</v>
      </c>
      <c r="D3055" s="6" t="s">
        <v>27</v>
      </c>
      <c r="E3055" s="6" t="s">
        <v>27</v>
      </c>
      <c r="F3055" s="6" t="s">
        <v>27</v>
      </c>
      <c r="G3055" s="4" t="s">
        <v>27</v>
      </c>
      <c r="H3055" s="4" t="s">
        <v>27</v>
      </c>
      <c r="I3055" s="4" t="s">
        <v>27</v>
      </c>
      <c r="J3055" s="4" t="s">
        <v>27</v>
      </c>
      <c r="K3055" s="4" t="s">
        <v>27</v>
      </c>
      <c r="L3055" s="4" t="s">
        <v>27</v>
      </c>
      <c r="M3055" s="4" t="s">
        <v>27</v>
      </c>
      <c r="N3055" s="4" t="s">
        <v>27</v>
      </c>
    </row>
    <row r="3056" hidden="1">
      <c r="B3056" s="4" t="s">
        <v>27</v>
      </c>
      <c r="C3056" s="4" t="s">
        <v>27</v>
      </c>
      <c r="D3056" s="6" t="s">
        <v>27</v>
      </c>
      <c r="E3056" s="6" t="s">
        <v>27</v>
      </c>
      <c r="F3056" s="6" t="s">
        <v>27</v>
      </c>
      <c r="G3056" s="4" t="s">
        <v>27</v>
      </c>
      <c r="H3056" s="4" t="s">
        <v>27</v>
      </c>
      <c r="I3056" s="4" t="s">
        <v>27</v>
      </c>
      <c r="J3056" s="4" t="s">
        <v>27</v>
      </c>
      <c r="K3056" s="4" t="s">
        <v>27</v>
      </c>
      <c r="L3056" s="4" t="s">
        <v>27</v>
      </c>
      <c r="M3056" s="4" t="s">
        <v>27</v>
      </c>
      <c r="N3056" s="4" t="s">
        <v>27</v>
      </c>
    </row>
    <row r="3057" hidden="1">
      <c r="B3057" s="4" t="s">
        <v>27</v>
      </c>
      <c r="C3057" s="4" t="s">
        <v>27</v>
      </c>
      <c r="D3057" s="6" t="s">
        <v>27</v>
      </c>
      <c r="E3057" s="6" t="s">
        <v>27</v>
      </c>
      <c r="F3057" s="6" t="s">
        <v>27</v>
      </c>
      <c r="G3057" s="4" t="s">
        <v>27</v>
      </c>
      <c r="H3057" s="4" t="s">
        <v>27</v>
      </c>
      <c r="I3057" s="4" t="s">
        <v>27</v>
      </c>
      <c r="J3057" s="4" t="s">
        <v>27</v>
      </c>
      <c r="K3057" s="4" t="s">
        <v>27</v>
      </c>
      <c r="L3057" s="4" t="s">
        <v>27</v>
      </c>
      <c r="M3057" s="4" t="s">
        <v>27</v>
      </c>
      <c r="N3057" s="4" t="s">
        <v>27</v>
      </c>
    </row>
    <row r="3058" hidden="1">
      <c r="B3058" s="4" t="s">
        <v>27</v>
      </c>
      <c r="C3058" s="4" t="s">
        <v>27</v>
      </c>
      <c r="D3058" s="6" t="s">
        <v>27</v>
      </c>
      <c r="E3058" s="6" t="s">
        <v>27</v>
      </c>
      <c r="F3058" s="6" t="s">
        <v>27</v>
      </c>
      <c r="G3058" s="4" t="s">
        <v>27</v>
      </c>
      <c r="H3058" s="4" t="s">
        <v>27</v>
      </c>
      <c r="I3058" s="4" t="s">
        <v>27</v>
      </c>
      <c r="J3058" s="4" t="s">
        <v>27</v>
      </c>
      <c r="K3058" s="4" t="s">
        <v>27</v>
      </c>
      <c r="L3058" s="4" t="s">
        <v>27</v>
      </c>
      <c r="M3058" s="4" t="s">
        <v>27</v>
      </c>
      <c r="N3058" s="4" t="s">
        <v>27</v>
      </c>
    </row>
    <row r="3059" hidden="1">
      <c r="B3059" s="4" t="s">
        <v>27</v>
      </c>
      <c r="C3059" s="4" t="s">
        <v>27</v>
      </c>
      <c r="D3059" s="6" t="s">
        <v>27</v>
      </c>
      <c r="E3059" s="6" t="s">
        <v>27</v>
      </c>
      <c r="F3059" s="6" t="s">
        <v>27</v>
      </c>
      <c r="G3059" s="4" t="s">
        <v>27</v>
      </c>
      <c r="H3059" s="4" t="s">
        <v>27</v>
      </c>
      <c r="I3059" s="4" t="s">
        <v>27</v>
      </c>
      <c r="J3059" s="4" t="s">
        <v>27</v>
      </c>
      <c r="K3059" s="4" t="s">
        <v>27</v>
      </c>
      <c r="L3059" s="4" t="s">
        <v>27</v>
      </c>
      <c r="M3059" s="4" t="s">
        <v>27</v>
      </c>
      <c r="N3059" s="4" t="s">
        <v>27</v>
      </c>
    </row>
    <row r="3060" hidden="1">
      <c r="B3060" s="4" t="s">
        <v>27</v>
      </c>
      <c r="C3060" s="4" t="s">
        <v>27</v>
      </c>
      <c r="D3060" s="6" t="s">
        <v>27</v>
      </c>
      <c r="E3060" s="6" t="s">
        <v>27</v>
      </c>
      <c r="F3060" s="6" t="s">
        <v>27</v>
      </c>
      <c r="G3060" s="4" t="s">
        <v>27</v>
      </c>
      <c r="H3060" s="4" t="s">
        <v>27</v>
      </c>
      <c r="I3060" s="4" t="s">
        <v>27</v>
      </c>
      <c r="J3060" s="4" t="s">
        <v>27</v>
      </c>
      <c r="K3060" s="4" t="s">
        <v>27</v>
      </c>
      <c r="L3060" s="4" t="s">
        <v>27</v>
      </c>
      <c r="M3060" s="4" t="s">
        <v>27</v>
      </c>
      <c r="N3060" s="4" t="s">
        <v>27</v>
      </c>
    </row>
    <row r="3061" hidden="1">
      <c r="B3061" s="4" t="s">
        <v>27</v>
      </c>
      <c r="C3061" s="4" t="s">
        <v>27</v>
      </c>
      <c r="D3061" s="6" t="s">
        <v>27</v>
      </c>
      <c r="E3061" s="6" t="s">
        <v>27</v>
      </c>
      <c r="F3061" s="6" t="s">
        <v>27</v>
      </c>
      <c r="G3061" s="4" t="s">
        <v>27</v>
      </c>
      <c r="H3061" s="4" t="s">
        <v>27</v>
      </c>
      <c r="I3061" s="4" t="s">
        <v>27</v>
      </c>
      <c r="J3061" s="4" t="s">
        <v>27</v>
      </c>
      <c r="K3061" s="4" t="s">
        <v>27</v>
      </c>
      <c r="L3061" s="4" t="s">
        <v>27</v>
      </c>
      <c r="M3061" s="4" t="s">
        <v>27</v>
      </c>
      <c r="N3061" s="4" t="s">
        <v>27</v>
      </c>
    </row>
    <row r="3062" hidden="1">
      <c r="B3062" s="4" t="s">
        <v>27</v>
      </c>
      <c r="C3062" s="4" t="s">
        <v>27</v>
      </c>
      <c r="D3062" s="6" t="s">
        <v>27</v>
      </c>
      <c r="E3062" s="6" t="s">
        <v>27</v>
      </c>
      <c r="F3062" s="6" t="s">
        <v>27</v>
      </c>
      <c r="G3062" s="4" t="s">
        <v>27</v>
      </c>
      <c r="H3062" s="4" t="s">
        <v>27</v>
      </c>
      <c r="I3062" s="4" t="s">
        <v>27</v>
      </c>
      <c r="J3062" s="4" t="s">
        <v>27</v>
      </c>
      <c r="K3062" s="4" t="s">
        <v>27</v>
      </c>
      <c r="L3062" s="4" t="s">
        <v>27</v>
      </c>
      <c r="M3062" s="4" t="s">
        <v>27</v>
      </c>
      <c r="N3062" s="4" t="s">
        <v>27</v>
      </c>
    </row>
    <row r="3063" hidden="1">
      <c r="B3063" s="4" t="s">
        <v>27</v>
      </c>
      <c r="C3063" s="4" t="s">
        <v>27</v>
      </c>
      <c r="D3063" s="6" t="s">
        <v>27</v>
      </c>
      <c r="E3063" s="6" t="s">
        <v>27</v>
      </c>
      <c r="F3063" s="6" t="s">
        <v>27</v>
      </c>
      <c r="G3063" s="4" t="s">
        <v>27</v>
      </c>
      <c r="H3063" s="4" t="s">
        <v>27</v>
      </c>
      <c r="I3063" s="4" t="s">
        <v>27</v>
      </c>
      <c r="J3063" s="4" t="s">
        <v>27</v>
      </c>
      <c r="K3063" s="4" t="s">
        <v>27</v>
      </c>
      <c r="L3063" s="4" t="s">
        <v>27</v>
      </c>
      <c r="M3063" s="4" t="s">
        <v>27</v>
      </c>
      <c r="N3063" s="4" t="s">
        <v>27</v>
      </c>
    </row>
    <row r="3064" hidden="1">
      <c r="B3064" s="4" t="s">
        <v>27</v>
      </c>
      <c r="C3064" s="4" t="s">
        <v>27</v>
      </c>
      <c r="D3064" s="6" t="s">
        <v>27</v>
      </c>
      <c r="E3064" s="6" t="s">
        <v>27</v>
      </c>
      <c r="F3064" s="6" t="s">
        <v>27</v>
      </c>
      <c r="G3064" s="4" t="s">
        <v>27</v>
      </c>
      <c r="H3064" s="4" t="s">
        <v>27</v>
      </c>
      <c r="I3064" s="4" t="s">
        <v>27</v>
      </c>
      <c r="J3064" s="4" t="s">
        <v>27</v>
      </c>
      <c r="K3064" s="4" t="s">
        <v>27</v>
      </c>
      <c r="L3064" s="4" t="s">
        <v>27</v>
      </c>
      <c r="M3064" s="4" t="s">
        <v>27</v>
      </c>
      <c r="N3064" s="4" t="s">
        <v>27</v>
      </c>
    </row>
    <row r="3065" hidden="1">
      <c r="B3065" s="4" t="s">
        <v>27</v>
      </c>
      <c r="C3065" s="4" t="s">
        <v>27</v>
      </c>
      <c r="D3065" s="6" t="s">
        <v>27</v>
      </c>
      <c r="E3065" s="6" t="s">
        <v>27</v>
      </c>
      <c r="F3065" s="6" t="s">
        <v>27</v>
      </c>
      <c r="G3065" s="4" t="s">
        <v>27</v>
      </c>
      <c r="H3065" s="4" t="s">
        <v>27</v>
      </c>
      <c r="I3065" s="4" t="s">
        <v>27</v>
      </c>
      <c r="J3065" s="4" t="s">
        <v>27</v>
      </c>
      <c r="K3065" s="4" t="s">
        <v>27</v>
      </c>
      <c r="L3065" s="4" t="s">
        <v>27</v>
      </c>
      <c r="M3065" s="4" t="s">
        <v>27</v>
      </c>
      <c r="N3065" s="4" t="s">
        <v>27</v>
      </c>
    </row>
    <row r="3066" hidden="1">
      <c r="B3066" s="4" t="s">
        <v>27</v>
      </c>
      <c r="C3066" s="4" t="s">
        <v>27</v>
      </c>
      <c r="D3066" s="6" t="s">
        <v>27</v>
      </c>
      <c r="E3066" s="6" t="s">
        <v>27</v>
      </c>
      <c r="F3066" s="6" t="s">
        <v>27</v>
      </c>
      <c r="G3066" s="4" t="s">
        <v>27</v>
      </c>
      <c r="H3066" s="4" t="s">
        <v>27</v>
      </c>
      <c r="I3066" s="4" t="s">
        <v>27</v>
      </c>
      <c r="J3066" s="4" t="s">
        <v>27</v>
      </c>
      <c r="K3066" s="4" t="s">
        <v>27</v>
      </c>
      <c r="L3066" s="4" t="s">
        <v>27</v>
      </c>
      <c r="M3066" s="4" t="s">
        <v>27</v>
      </c>
      <c r="N3066" s="4" t="s">
        <v>27</v>
      </c>
    </row>
    <row r="3067" hidden="1">
      <c r="B3067" s="4" t="s">
        <v>27</v>
      </c>
      <c r="C3067" s="4" t="s">
        <v>27</v>
      </c>
      <c r="D3067" s="6" t="s">
        <v>27</v>
      </c>
      <c r="E3067" s="6" t="s">
        <v>27</v>
      </c>
      <c r="F3067" s="6" t="s">
        <v>27</v>
      </c>
      <c r="G3067" s="4" t="s">
        <v>27</v>
      </c>
      <c r="H3067" s="4" t="s">
        <v>27</v>
      </c>
      <c r="I3067" s="4" t="s">
        <v>27</v>
      </c>
      <c r="J3067" s="4" t="s">
        <v>27</v>
      </c>
      <c r="K3067" s="4" t="s">
        <v>27</v>
      </c>
      <c r="L3067" s="4" t="s">
        <v>27</v>
      </c>
      <c r="M3067" s="4" t="s">
        <v>27</v>
      </c>
      <c r="N3067" s="4" t="s">
        <v>27</v>
      </c>
    </row>
    <row r="3068" hidden="1">
      <c r="B3068" s="4" t="s">
        <v>27</v>
      </c>
      <c r="C3068" s="4" t="s">
        <v>27</v>
      </c>
      <c r="D3068" s="6" t="s">
        <v>27</v>
      </c>
      <c r="E3068" s="6" t="s">
        <v>27</v>
      </c>
      <c r="F3068" s="6" t="s">
        <v>27</v>
      </c>
      <c r="G3068" s="4" t="s">
        <v>27</v>
      </c>
      <c r="H3068" s="4" t="s">
        <v>27</v>
      </c>
      <c r="I3068" s="4" t="s">
        <v>27</v>
      </c>
      <c r="J3068" s="4" t="s">
        <v>27</v>
      </c>
      <c r="K3068" s="4" t="s">
        <v>27</v>
      </c>
      <c r="L3068" s="4" t="s">
        <v>27</v>
      </c>
      <c r="M3068" s="4" t="s">
        <v>27</v>
      </c>
      <c r="N3068" s="4" t="s">
        <v>27</v>
      </c>
    </row>
    <row r="3069" hidden="1">
      <c r="B3069" s="4" t="s">
        <v>27</v>
      </c>
      <c r="C3069" s="4" t="s">
        <v>27</v>
      </c>
      <c r="D3069" s="6" t="s">
        <v>27</v>
      </c>
      <c r="E3069" s="6" t="s">
        <v>27</v>
      </c>
      <c r="F3069" s="6" t="s">
        <v>27</v>
      </c>
      <c r="G3069" s="4" t="s">
        <v>27</v>
      </c>
      <c r="H3069" s="4" t="s">
        <v>27</v>
      </c>
      <c r="I3069" s="4" t="s">
        <v>27</v>
      </c>
      <c r="J3069" s="4" t="s">
        <v>27</v>
      </c>
      <c r="K3069" s="4" t="s">
        <v>27</v>
      </c>
      <c r="L3069" s="4" t="s">
        <v>27</v>
      </c>
      <c r="M3069" s="4" t="s">
        <v>27</v>
      </c>
      <c r="N3069" s="4" t="s">
        <v>27</v>
      </c>
    </row>
    <row r="3070" hidden="1">
      <c r="B3070" s="4" t="s">
        <v>27</v>
      </c>
      <c r="C3070" s="4" t="s">
        <v>27</v>
      </c>
      <c r="D3070" s="6" t="s">
        <v>27</v>
      </c>
      <c r="E3070" s="6" t="s">
        <v>27</v>
      </c>
      <c r="F3070" s="6" t="s">
        <v>27</v>
      </c>
      <c r="G3070" s="4" t="s">
        <v>27</v>
      </c>
      <c r="H3070" s="4" t="s">
        <v>27</v>
      </c>
      <c r="I3070" s="4" t="s">
        <v>27</v>
      </c>
      <c r="J3070" s="4" t="s">
        <v>27</v>
      </c>
      <c r="K3070" s="4" t="s">
        <v>27</v>
      </c>
      <c r="L3070" s="4" t="s">
        <v>27</v>
      </c>
      <c r="M3070" s="4" t="s">
        <v>27</v>
      </c>
      <c r="N3070" s="4" t="s">
        <v>27</v>
      </c>
    </row>
    <row r="3071" hidden="1">
      <c r="B3071" s="4" t="s">
        <v>27</v>
      </c>
      <c r="C3071" s="4" t="s">
        <v>27</v>
      </c>
      <c r="D3071" s="6" t="s">
        <v>27</v>
      </c>
      <c r="E3071" s="6" t="s">
        <v>27</v>
      </c>
      <c r="F3071" s="6" t="s">
        <v>27</v>
      </c>
      <c r="G3071" s="4" t="s">
        <v>27</v>
      </c>
      <c r="H3071" s="4" t="s">
        <v>27</v>
      </c>
      <c r="I3071" s="4" t="s">
        <v>27</v>
      </c>
      <c r="J3071" s="4" t="s">
        <v>27</v>
      </c>
      <c r="K3071" s="4" t="s">
        <v>27</v>
      </c>
      <c r="L3071" s="4" t="s">
        <v>27</v>
      </c>
      <c r="M3071" s="4" t="s">
        <v>27</v>
      </c>
      <c r="N3071" s="4" t="s">
        <v>27</v>
      </c>
    </row>
    <row r="3072" hidden="1">
      <c r="B3072" s="4" t="s">
        <v>27</v>
      </c>
      <c r="C3072" s="4" t="s">
        <v>27</v>
      </c>
      <c r="D3072" s="6" t="s">
        <v>27</v>
      </c>
      <c r="E3072" s="6" t="s">
        <v>27</v>
      </c>
      <c r="F3072" s="6" t="s">
        <v>27</v>
      </c>
      <c r="G3072" s="4" t="s">
        <v>27</v>
      </c>
      <c r="H3072" s="4" t="s">
        <v>27</v>
      </c>
      <c r="I3072" s="4" t="s">
        <v>27</v>
      </c>
      <c r="J3072" s="4" t="s">
        <v>27</v>
      </c>
      <c r="K3072" s="4" t="s">
        <v>27</v>
      </c>
      <c r="L3072" s="4" t="s">
        <v>27</v>
      </c>
      <c r="M3072" s="4" t="s">
        <v>27</v>
      </c>
      <c r="N3072" s="4" t="s">
        <v>27</v>
      </c>
    </row>
    <row r="3073" hidden="1">
      <c r="B3073" s="4" t="s">
        <v>27</v>
      </c>
      <c r="C3073" s="4" t="s">
        <v>27</v>
      </c>
      <c r="D3073" s="6" t="s">
        <v>27</v>
      </c>
      <c r="E3073" s="6" t="s">
        <v>27</v>
      </c>
      <c r="F3073" s="6" t="s">
        <v>27</v>
      </c>
      <c r="G3073" s="4" t="s">
        <v>27</v>
      </c>
      <c r="H3073" s="4" t="s">
        <v>27</v>
      </c>
      <c r="I3073" s="4" t="s">
        <v>27</v>
      </c>
      <c r="J3073" s="4" t="s">
        <v>27</v>
      </c>
      <c r="K3073" s="4" t="s">
        <v>27</v>
      </c>
      <c r="L3073" s="4" t="s">
        <v>27</v>
      </c>
      <c r="M3073" s="4" t="s">
        <v>27</v>
      </c>
      <c r="N3073" s="4" t="s">
        <v>27</v>
      </c>
    </row>
    <row r="3074" hidden="1">
      <c r="B3074" s="4" t="s">
        <v>27</v>
      </c>
      <c r="C3074" s="4" t="s">
        <v>27</v>
      </c>
      <c r="D3074" s="6" t="s">
        <v>27</v>
      </c>
      <c r="E3074" s="6" t="s">
        <v>27</v>
      </c>
      <c r="F3074" s="6" t="s">
        <v>27</v>
      </c>
      <c r="G3074" s="4" t="s">
        <v>27</v>
      </c>
      <c r="H3074" s="4" t="s">
        <v>27</v>
      </c>
      <c r="I3074" s="4" t="s">
        <v>27</v>
      </c>
      <c r="J3074" s="4" t="s">
        <v>27</v>
      </c>
      <c r="K3074" s="4" t="s">
        <v>27</v>
      </c>
      <c r="L3074" s="4" t="s">
        <v>27</v>
      </c>
      <c r="M3074" s="4" t="s">
        <v>27</v>
      </c>
      <c r="N3074" s="4" t="s">
        <v>27</v>
      </c>
    </row>
    <row r="3075" hidden="1">
      <c r="B3075" s="4" t="s">
        <v>27</v>
      </c>
      <c r="C3075" s="4" t="s">
        <v>27</v>
      </c>
      <c r="D3075" s="6" t="s">
        <v>27</v>
      </c>
      <c r="E3075" s="6" t="s">
        <v>27</v>
      </c>
      <c r="F3075" s="6" t="s">
        <v>27</v>
      </c>
      <c r="G3075" s="4" t="s">
        <v>27</v>
      </c>
      <c r="H3075" s="4" t="s">
        <v>27</v>
      </c>
      <c r="I3075" s="4" t="s">
        <v>27</v>
      </c>
      <c r="J3075" s="4" t="s">
        <v>27</v>
      </c>
      <c r="K3075" s="4" t="s">
        <v>27</v>
      </c>
      <c r="L3075" s="4" t="s">
        <v>27</v>
      </c>
      <c r="M3075" s="4" t="s">
        <v>27</v>
      </c>
      <c r="N3075" s="4" t="s">
        <v>27</v>
      </c>
    </row>
    <row r="3076" hidden="1">
      <c r="B3076" s="4" t="s">
        <v>27</v>
      </c>
      <c r="C3076" s="4" t="s">
        <v>27</v>
      </c>
      <c r="D3076" s="6" t="s">
        <v>27</v>
      </c>
      <c r="E3076" s="6" t="s">
        <v>27</v>
      </c>
      <c r="F3076" s="6" t="s">
        <v>27</v>
      </c>
      <c r="G3076" s="4" t="s">
        <v>27</v>
      </c>
      <c r="H3076" s="4" t="s">
        <v>27</v>
      </c>
      <c r="I3076" s="4" t="s">
        <v>27</v>
      </c>
      <c r="J3076" s="4" t="s">
        <v>27</v>
      </c>
      <c r="K3076" s="4" t="s">
        <v>27</v>
      </c>
      <c r="L3076" s="4" t="s">
        <v>27</v>
      </c>
      <c r="M3076" s="4" t="s">
        <v>27</v>
      </c>
      <c r="N3076" s="4" t="s">
        <v>27</v>
      </c>
    </row>
    <row r="3077" hidden="1">
      <c r="B3077" s="4" t="s">
        <v>27</v>
      </c>
      <c r="C3077" s="4" t="s">
        <v>27</v>
      </c>
      <c r="D3077" s="6" t="s">
        <v>27</v>
      </c>
      <c r="E3077" s="6" t="s">
        <v>27</v>
      </c>
      <c r="F3077" s="6" t="s">
        <v>27</v>
      </c>
      <c r="G3077" s="4" t="s">
        <v>27</v>
      </c>
      <c r="H3077" s="4" t="s">
        <v>27</v>
      </c>
      <c r="I3077" s="4" t="s">
        <v>27</v>
      </c>
      <c r="J3077" s="4" t="s">
        <v>27</v>
      </c>
      <c r="K3077" s="4" t="s">
        <v>27</v>
      </c>
      <c r="L3077" s="4" t="s">
        <v>27</v>
      </c>
      <c r="M3077" s="4" t="s">
        <v>27</v>
      </c>
      <c r="N3077" s="4" t="s">
        <v>27</v>
      </c>
    </row>
    <row r="3078" hidden="1">
      <c r="B3078" s="4" t="s">
        <v>27</v>
      </c>
      <c r="C3078" s="4" t="s">
        <v>27</v>
      </c>
      <c r="D3078" s="6" t="s">
        <v>27</v>
      </c>
      <c r="E3078" s="6" t="s">
        <v>27</v>
      </c>
      <c r="F3078" s="6" t="s">
        <v>27</v>
      </c>
      <c r="G3078" s="4" t="s">
        <v>27</v>
      </c>
      <c r="H3078" s="4" t="s">
        <v>27</v>
      </c>
      <c r="I3078" s="4" t="s">
        <v>27</v>
      </c>
      <c r="J3078" s="4" t="s">
        <v>27</v>
      </c>
      <c r="K3078" s="4" t="s">
        <v>27</v>
      </c>
      <c r="L3078" s="4" t="s">
        <v>27</v>
      </c>
      <c r="M3078" s="4" t="s">
        <v>27</v>
      </c>
      <c r="N3078" s="4" t="s">
        <v>27</v>
      </c>
    </row>
    <row r="3079" hidden="1">
      <c r="B3079" s="4" t="s">
        <v>27</v>
      </c>
      <c r="C3079" s="4" t="s">
        <v>27</v>
      </c>
      <c r="D3079" s="6" t="s">
        <v>27</v>
      </c>
      <c r="E3079" s="6" t="s">
        <v>27</v>
      </c>
      <c r="F3079" s="6" t="s">
        <v>27</v>
      </c>
      <c r="G3079" s="4" t="s">
        <v>27</v>
      </c>
      <c r="H3079" s="4" t="s">
        <v>27</v>
      </c>
      <c r="I3079" s="4" t="s">
        <v>27</v>
      </c>
      <c r="J3079" s="4" t="s">
        <v>27</v>
      </c>
      <c r="K3079" s="4" t="s">
        <v>27</v>
      </c>
      <c r="L3079" s="4" t="s">
        <v>27</v>
      </c>
      <c r="M3079" s="4" t="s">
        <v>27</v>
      </c>
      <c r="N3079" s="4" t="s">
        <v>27</v>
      </c>
    </row>
    <row r="3080" hidden="1">
      <c r="B3080" s="4" t="s">
        <v>27</v>
      </c>
      <c r="C3080" s="4" t="s">
        <v>27</v>
      </c>
      <c r="D3080" s="6" t="s">
        <v>27</v>
      </c>
      <c r="E3080" s="6" t="s">
        <v>27</v>
      </c>
      <c r="F3080" s="6" t="s">
        <v>27</v>
      </c>
      <c r="G3080" s="4" t="s">
        <v>27</v>
      </c>
      <c r="H3080" s="4" t="s">
        <v>27</v>
      </c>
      <c r="I3080" s="4" t="s">
        <v>27</v>
      </c>
      <c r="J3080" s="4" t="s">
        <v>27</v>
      </c>
      <c r="K3080" s="4" t="s">
        <v>27</v>
      </c>
      <c r="L3080" s="4" t="s">
        <v>27</v>
      </c>
      <c r="M3080" s="4" t="s">
        <v>27</v>
      </c>
      <c r="N3080" s="4" t="s">
        <v>27</v>
      </c>
    </row>
    <row r="3081" hidden="1">
      <c r="B3081" s="4" t="s">
        <v>27</v>
      </c>
      <c r="C3081" s="4" t="s">
        <v>27</v>
      </c>
      <c r="D3081" s="6" t="s">
        <v>27</v>
      </c>
      <c r="E3081" s="6" t="s">
        <v>27</v>
      </c>
      <c r="F3081" s="6" t="s">
        <v>27</v>
      </c>
      <c r="G3081" s="4" t="s">
        <v>27</v>
      </c>
      <c r="H3081" s="4" t="s">
        <v>27</v>
      </c>
      <c r="I3081" s="4" t="s">
        <v>27</v>
      </c>
      <c r="J3081" s="4" t="s">
        <v>27</v>
      </c>
      <c r="K3081" s="4" t="s">
        <v>27</v>
      </c>
      <c r="L3081" s="4" t="s">
        <v>27</v>
      </c>
      <c r="M3081" s="4" t="s">
        <v>27</v>
      </c>
      <c r="N3081" s="4" t="s">
        <v>27</v>
      </c>
    </row>
    <row r="3082" hidden="1">
      <c r="B3082" s="4" t="s">
        <v>27</v>
      </c>
      <c r="C3082" s="4" t="s">
        <v>27</v>
      </c>
      <c r="D3082" s="6" t="s">
        <v>27</v>
      </c>
      <c r="E3082" s="6" t="s">
        <v>27</v>
      </c>
      <c r="F3082" s="6" t="s">
        <v>27</v>
      </c>
      <c r="G3082" s="4" t="s">
        <v>27</v>
      </c>
      <c r="H3082" s="4" t="s">
        <v>27</v>
      </c>
      <c r="I3082" s="4" t="s">
        <v>27</v>
      </c>
      <c r="J3082" s="4" t="s">
        <v>27</v>
      </c>
      <c r="K3082" s="4" t="s">
        <v>27</v>
      </c>
      <c r="L3082" s="4" t="s">
        <v>27</v>
      </c>
      <c r="M3082" s="4" t="s">
        <v>27</v>
      </c>
      <c r="N3082" s="4" t="s">
        <v>27</v>
      </c>
    </row>
    <row r="3083" hidden="1">
      <c r="B3083" s="4" t="s">
        <v>27</v>
      </c>
      <c r="C3083" s="4" t="s">
        <v>27</v>
      </c>
      <c r="D3083" s="6" t="s">
        <v>27</v>
      </c>
      <c r="E3083" s="6" t="s">
        <v>27</v>
      </c>
      <c r="F3083" s="6" t="s">
        <v>27</v>
      </c>
      <c r="G3083" s="4" t="s">
        <v>27</v>
      </c>
      <c r="H3083" s="4" t="s">
        <v>27</v>
      </c>
      <c r="I3083" s="4" t="s">
        <v>27</v>
      </c>
      <c r="J3083" s="4" t="s">
        <v>27</v>
      </c>
      <c r="K3083" s="4" t="s">
        <v>27</v>
      </c>
      <c r="L3083" s="4" t="s">
        <v>27</v>
      </c>
      <c r="M3083" s="4" t="s">
        <v>27</v>
      </c>
      <c r="N3083" s="4" t="s">
        <v>27</v>
      </c>
    </row>
    <row r="3084" hidden="1">
      <c r="B3084" s="4" t="s">
        <v>27</v>
      </c>
      <c r="C3084" s="4" t="s">
        <v>27</v>
      </c>
      <c r="D3084" s="6" t="s">
        <v>27</v>
      </c>
      <c r="E3084" s="6" t="s">
        <v>27</v>
      </c>
      <c r="F3084" s="6" t="s">
        <v>27</v>
      </c>
      <c r="G3084" s="4" t="s">
        <v>27</v>
      </c>
      <c r="H3084" s="4" t="s">
        <v>27</v>
      </c>
      <c r="I3084" s="4" t="s">
        <v>27</v>
      </c>
      <c r="J3084" s="4" t="s">
        <v>27</v>
      </c>
      <c r="K3084" s="4" t="s">
        <v>27</v>
      </c>
      <c r="L3084" s="4" t="s">
        <v>27</v>
      </c>
      <c r="M3084" s="4" t="s">
        <v>27</v>
      </c>
      <c r="N3084" s="4" t="s">
        <v>27</v>
      </c>
    </row>
    <row r="3085" hidden="1">
      <c r="B3085" s="4" t="s">
        <v>27</v>
      </c>
      <c r="C3085" s="4" t="s">
        <v>27</v>
      </c>
      <c r="D3085" s="6" t="s">
        <v>27</v>
      </c>
      <c r="E3085" s="6" t="s">
        <v>27</v>
      </c>
      <c r="F3085" s="6" t="s">
        <v>27</v>
      </c>
      <c r="G3085" s="4" t="s">
        <v>27</v>
      </c>
      <c r="H3085" s="4" t="s">
        <v>27</v>
      </c>
      <c r="I3085" s="4" t="s">
        <v>27</v>
      </c>
      <c r="J3085" s="4" t="s">
        <v>27</v>
      </c>
      <c r="K3085" s="4" t="s">
        <v>27</v>
      </c>
      <c r="L3085" s="4" t="s">
        <v>27</v>
      </c>
      <c r="M3085" s="4" t="s">
        <v>27</v>
      </c>
      <c r="N3085" s="4" t="s">
        <v>27</v>
      </c>
    </row>
    <row r="3086" hidden="1">
      <c r="B3086" s="4" t="s">
        <v>27</v>
      </c>
      <c r="C3086" s="4" t="s">
        <v>27</v>
      </c>
      <c r="D3086" s="6" t="s">
        <v>27</v>
      </c>
      <c r="E3086" s="6" t="s">
        <v>27</v>
      </c>
      <c r="F3086" s="6" t="s">
        <v>27</v>
      </c>
      <c r="G3086" s="4" t="s">
        <v>27</v>
      </c>
      <c r="H3086" s="4" t="s">
        <v>27</v>
      </c>
      <c r="I3086" s="4" t="s">
        <v>27</v>
      </c>
      <c r="J3086" s="4" t="s">
        <v>27</v>
      </c>
      <c r="K3086" s="4" t="s">
        <v>27</v>
      </c>
      <c r="L3086" s="4" t="s">
        <v>27</v>
      </c>
      <c r="M3086" s="4" t="s">
        <v>27</v>
      </c>
      <c r="N3086" s="4" t="s">
        <v>27</v>
      </c>
    </row>
    <row r="3087" hidden="1">
      <c r="B3087" s="4" t="s">
        <v>27</v>
      </c>
      <c r="C3087" s="4" t="s">
        <v>27</v>
      </c>
      <c r="D3087" s="6" t="s">
        <v>27</v>
      </c>
      <c r="E3087" s="6" t="s">
        <v>27</v>
      </c>
      <c r="F3087" s="6" t="s">
        <v>27</v>
      </c>
      <c r="G3087" s="4" t="s">
        <v>27</v>
      </c>
      <c r="H3087" s="4" t="s">
        <v>27</v>
      </c>
      <c r="I3087" s="4" t="s">
        <v>27</v>
      </c>
      <c r="J3087" s="4" t="s">
        <v>27</v>
      </c>
      <c r="K3087" s="4" t="s">
        <v>27</v>
      </c>
      <c r="L3087" s="4" t="s">
        <v>27</v>
      </c>
      <c r="M3087" s="4" t="s">
        <v>27</v>
      </c>
      <c r="N3087" s="4" t="s">
        <v>27</v>
      </c>
    </row>
    <row r="3088" hidden="1">
      <c r="B3088" s="4" t="s">
        <v>27</v>
      </c>
      <c r="C3088" s="4" t="s">
        <v>27</v>
      </c>
      <c r="D3088" s="6" t="s">
        <v>27</v>
      </c>
      <c r="E3088" s="6" t="s">
        <v>27</v>
      </c>
      <c r="F3088" s="6" t="s">
        <v>27</v>
      </c>
      <c r="G3088" s="4" t="s">
        <v>27</v>
      </c>
      <c r="H3088" s="4" t="s">
        <v>27</v>
      </c>
      <c r="I3088" s="4" t="s">
        <v>27</v>
      </c>
      <c r="J3088" s="4" t="s">
        <v>27</v>
      </c>
      <c r="K3088" s="4" t="s">
        <v>27</v>
      </c>
      <c r="L3088" s="4" t="s">
        <v>27</v>
      </c>
      <c r="M3088" s="4" t="s">
        <v>27</v>
      </c>
      <c r="N3088" s="4" t="s">
        <v>27</v>
      </c>
    </row>
    <row r="3089" hidden="1">
      <c r="B3089" s="4" t="s">
        <v>27</v>
      </c>
      <c r="C3089" s="4" t="s">
        <v>27</v>
      </c>
      <c r="D3089" s="6" t="s">
        <v>27</v>
      </c>
      <c r="E3089" s="6" t="s">
        <v>27</v>
      </c>
      <c r="F3089" s="6" t="s">
        <v>27</v>
      </c>
      <c r="G3089" s="4" t="s">
        <v>27</v>
      </c>
      <c r="H3089" s="4" t="s">
        <v>27</v>
      </c>
      <c r="I3089" s="4" t="s">
        <v>27</v>
      </c>
      <c r="J3089" s="4" t="s">
        <v>27</v>
      </c>
      <c r="K3089" s="4" t="s">
        <v>27</v>
      </c>
      <c r="L3089" s="4" t="s">
        <v>27</v>
      </c>
      <c r="M3089" s="4" t="s">
        <v>27</v>
      </c>
      <c r="N3089" s="4" t="s">
        <v>27</v>
      </c>
    </row>
    <row r="3090" hidden="1">
      <c r="B3090" s="4" t="s">
        <v>27</v>
      </c>
      <c r="C3090" s="4" t="s">
        <v>27</v>
      </c>
      <c r="D3090" s="6" t="s">
        <v>27</v>
      </c>
      <c r="E3090" s="6" t="s">
        <v>27</v>
      </c>
      <c r="F3090" s="6" t="s">
        <v>27</v>
      </c>
      <c r="G3090" s="4" t="s">
        <v>27</v>
      </c>
      <c r="H3090" s="4" t="s">
        <v>27</v>
      </c>
      <c r="I3090" s="4" t="s">
        <v>27</v>
      </c>
      <c r="J3090" s="4" t="s">
        <v>27</v>
      </c>
      <c r="K3090" s="4" t="s">
        <v>27</v>
      </c>
      <c r="L3090" s="4" t="s">
        <v>27</v>
      </c>
      <c r="M3090" s="4" t="s">
        <v>27</v>
      </c>
      <c r="N3090" s="4" t="s">
        <v>27</v>
      </c>
    </row>
    <row r="3091" hidden="1">
      <c r="B3091" s="4" t="s">
        <v>27</v>
      </c>
      <c r="C3091" s="4" t="s">
        <v>27</v>
      </c>
      <c r="D3091" s="6" t="s">
        <v>27</v>
      </c>
      <c r="E3091" s="6" t="s">
        <v>27</v>
      </c>
      <c r="F3091" s="6" t="s">
        <v>27</v>
      </c>
      <c r="G3091" s="4" t="s">
        <v>27</v>
      </c>
      <c r="H3091" s="4" t="s">
        <v>27</v>
      </c>
      <c r="I3091" s="4" t="s">
        <v>27</v>
      </c>
      <c r="J3091" s="4" t="s">
        <v>27</v>
      </c>
      <c r="K3091" s="4" t="s">
        <v>27</v>
      </c>
      <c r="L3091" s="4" t="s">
        <v>27</v>
      </c>
      <c r="M3091" s="4" t="s">
        <v>27</v>
      </c>
      <c r="N3091" s="4" t="s">
        <v>27</v>
      </c>
    </row>
    <row r="3092" hidden="1">
      <c r="B3092" s="4" t="s">
        <v>27</v>
      </c>
      <c r="C3092" s="4" t="s">
        <v>27</v>
      </c>
      <c r="D3092" s="6" t="s">
        <v>27</v>
      </c>
      <c r="E3092" s="6" t="s">
        <v>27</v>
      </c>
      <c r="F3092" s="6" t="s">
        <v>27</v>
      </c>
      <c r="G3092" s="4" t="s">
        <v>27</v>
      </c>
      <c r="H3092" s="4" t="s">
        <v>27</v>
      </c>
      <c r="I3092" s="4" t="s">
        <v>27</v>
      </c>
      <c r="J3092" s="4" t="s">
        <v>27</v>
      </c>
      <c r="K3092" s="4" t="s">
        <v>27</v>
      </c>
      <c r="L3092" s="4" t="s">
        <v>27</v>
      </c>
      <c r="M3092" s="4" t="s">
        <v>27</v>
      </c>
      <c r="N3092" s="4" t="s">
        <v>27</v>
      </c>
    </row>
    <row r="3093" hidden="1">
      <c r="B3093" s="4" t="s">
        <v>27</v>
      </c>
      <c r="C3093" s="4" t="s">
        <v>27</v>
      </c>
      <c r="D3093" s="6" t="s">
        <v>27</v>
      </c>
      <c r="E3093" s="6" t="s">
        <v>27</v>
      </c>
      <c r="F3093" s="6" t="s">
        <v>27</v>
      </c>
      <c r="G3093" s="4" t="s">
        <v>27</v>
      </c>
      <c r="H3093" s="4" t="s">
        <v>27</v>
      </c>
      <c r="I3093" s="4" t="s">
        <v>27</v>
      </c>
      <c r="J3093" s="4" t="s">
        <v>27</v>
      </c>
      <c r="K3093" s="4" t="s">
        <v>27</v>
      </c>
      <c r="L3093" s="4" t="s">
        <v>27</v>
      </c>
      <c r="M3093" s="4" t="s">
        <v>27</v>
      </c>
      <c r="N3093" s="4" t="s">
        <v>27</v>
      </c>
    </row>
    <row r="3094" hidden="1">
      <c r="B3094" s="4" t="s">
        <v>27</v>
      </c>
      <c r="C3094" s="4" t="s">
        <v>27</v>
      </c>
      <c r="D3094" s="6" t="s">
        <v>27</v>
      </c>
      <c r="E3094" s="6" t="s">
        <v>27</v>
      </c>
      <c r="F3094" s="6" t="s">
        <v>27</v>
      </c>
      <c r="G3094" s="4" t="s">
        <v>27</v>
      </c>
      <c r="H3094" s="4" t="s">
        <v>27</v>
      </c>
      <c r="I3094" s="4" t="s">
        <v>27</v>
      </c>
      <c r="J3094" s="4" t="s">
        <v>27</v>
      </c>
      <c r="K3094" s="4" t="s">
        <v>27</v>
      </c>
      <c r="L3094" s="4" t="s">
        <v>27</v>
      </c>
      <c r="M3094" s="4" t="s">
        <v>27</v>
      </c>
      <c r="N3094" s="4" t="s">
        <v>27</v>
      </c>
    </row>
    <row r="3095" hidden="1">
      <c r="B3095" s="4" t="s">
        <v>27</v>
      </c>
      <c r="C3095" s="4" t="s">
        <v>27</v>
      </c>
      <c r="D3095" s="6" t="s">
        <v>27</v>
      </c>
      <c r="E3095" s="6" t="s">
        <v>27</v>
      </c>
      <c r="F3095" s="6" t="s">
        <v>27</v>
      </c>
      <c r="G3095" s="4" t="s">
        <v>27</v>
      </c>
      <c r="H3095" s="4" t="s">
        <v>27</v>
      </c>
      <c r="I3095" s="4" t="s">
        <v>27</v>
      </c>
      <c r="J3095" s="4" t="s">
        <v>27</v>
      </c>
      <c r="K3095" s="4" t="s">
        <v>27</v>
      </c>
      <c r="L3095" s="4" t="s">
        <v>27</v>
      </c>
      <c r="M3095" s="4" t="s">
        <v>27</v>
      </c>
      <c r="N3095" s="4" t="s">
        <v>27</v>
      </c>
    </row>
    <row r="3096" hidden="1">
      <c r="B3096" s="4" t="s">
        <v>27</v>
      </c>
      <c r="C3096" s="4" t="s">
        <v>27</v>
      </c>
      <c r="D3096" s="6" t="s">
        <v>27</v>
      </c>
      <c r="E3096" s="6" t="s">
        <v>27</v>
      </c>
      <c r="F3096" s="6" t="s">
        <v>27</v>
      </c>
      <c r="G3096" s="4" t="s">
        <v>27</v>
      </c>
      <c r="H3096" s="4" t="s">
        <v>27</v>
      </c>
      <c r="I3096" s="4" t="s">
        <v>27</v>
      </c>
      <c r="J3096" s="4" t="s">
        <v>27</v>
      </c>
      <c r="K3096" s="4" t="s">
        <v>27</v>
      </c>
      <c r="L3096" s="4" t="s">
        <v>27</v>
      </c>
      <c r="M3096" s="4" t="s">
        <v>27</v>
      </c>
      <c r="N3096" s="4" t="s">
        <v>27</v>
      </c>
    </row>
    <row r="3097" hidden="1">
      <c r="B3097" s="4" t="s">
        <v>27</v>
      </c>
      <c r="C3097" s="4" t="s">
        <v>27</v>
      </c>
      <c r="D3097" s="6" t="s">
        <v>27</v>
      </c>
      <c r="E3097" s="6" t="s">
        <v>27</v>
      </c>
      <c r="F3097" s="6" t="s">
        <v>27</v>
      </c>
      <c r="G3097" s="4" t="s">
        <v>27</v>
      </c>
      <c r="H3097" s="4" t="s">
        <v>27</v>
      </c>
      <c r="I3097" s="4" t="s">
        <v>27</v>
      </c>
      <c r="J3097" s="4" t="s">
        <v>27</v>
      </c>
      <c r="K3097" s="4" t="s">
        <v>27</v>
      </c>
      <c r="L3097" s="4" t="s">
        <v>27</v>
      </c>
      <c r="M3097" s="4" t="s">
        <v>27</v>
      </c>
      <c r="N3097" s="4" t="s">
        <v>27</v>
      </c>
    </row>
    <row r="3098" hidden="1">
      <c r="B3098" s="4" t="s">
        <v>27</v>
      </c>
      <c r="C3098" s="4" t="s">
        <v>27</v>
      </c>
      <c r="D3098" s="6" t="s">
        <v>27</v>
      </c>
      <c r="E3098" s="6" t="s">
        <v>27</v>
      </c>
      <c r="F3098" s="6" t="s">
        <v>27</v>
      </c>
      <c r="G3098" s="4" t="s">
        <v>27</v>
      </c>
      <c r="H3098" s="4" t="s">
        <v>27</v>
      </c>
      <c r="I3098" s="4" t="s">
        <v>27</v>
      </c>
      <c r="J3098" s="4" t="s">
        <v>27</v>
      </c>
      <c r="K3098" s="4" t="s">
        <v>27</v>
      </c>
      <c r="L3098" s="4" t="s">
        <v>27</v>
      </c>
      <c r="M3098" s="4" t="s">
        <v>27</v>
      </c>
      <c r="N3098" s="4" t="s">
        <v>27</v>
      </c>
    </row>
    <row r="3099" hidden="1">
      <c r="B3099" s="4" t="s">
        <v>27</v>
      </c>
      <c r="C3099" s="4" t="s">
        <v>27</v>
      </c>
      <c r="D3099" s="6" t="s">
        <v>27</v>
      </c>
      <c r="E3099" s="6" t="s">
        <v>27</v>
      </c>
      <c r="F3099" s="6" t="s">
        <v>27</v>
      </c>
      <c r="G3099" s="4" t="s">
        <v>27</v>
      </c>
      <c r="H3099" s="4" t="s">
        <v>27</v>
      </c>
      <c r="I3099" s="4" t="s">
        <v>27</v>
      </c>
      <c r="J3099" s="4" t="s">
        <v>27</v>
      </c>
      <c r="K3099" s="4" t="s">
        <v>27</v>
      </c>
      <c r="L3099" s="4" t="s">
        <v>27</v>
      </c>
      <c r="M3099" s="4" t="s">
        <v>27</v>
      </c>
      <c r="N3099" s="4" t="s">
        <v>27</v>
      </c>
    </row>
    <row r="3100" hidden="1">
      <c r="B3100" s="4" t="s">
        <v>27</v>
      </c>
      <c r="C3100" s="4" t="s">
        <v>27</v>
      </c>
      <c r="D3100" s="6" t="s">
        <v>27</v>
      </c>
      <c r="E3100" s="6" t="s">
        <v>27</v>
      </c>
      <c r="F3100" s="6" t="s">
        <v>27</v>
      </c>
      <c r="G3100" s="4" t="s">
        <v>27</v>
      </c>
      <c r="H3100" s="4" t="s">
        <v>27</v>
      </c>
      <c r="I3100" s="4" t="s">
        <v>27</v>
      </c>
      <c r="J3100" s="4" t="s">
        <v>27</v>
      </c>
      <c r="K3100" s="4" t="s">
        <v>27</v>
      </c>
      <c r="L3100" s="4" t="s">
        <v>27</v>
      </c>
      <c r="M3100" s="4" t="s">
        <v>27</v>
      </c>
      <c r="N3100" s="4" t="s">
        <v>27</v>
      </c>
    </row>
    <row r="3101" hidden="1">
      <c r="B3101" s="4" t="s">
        <v>27</v>
      </c>
      <c r="C3101" s="4" t="s">
        <v>27</v>
      </c>
      <c r="D3101" s="6" t="s">
        <v>27</v>
      </c>
      <c r="E3101" s="6" t="s">
        <v>27</v>
      </c>
      <c r="F3101" s="6" t="s">
        <v>27</v>
      </c>
      <c r="G3101" s="4" t="s">
        <v>27</v>
      </c>
      <c r="H3101" s="4" t="s">
        <v>27</v>
      </c>
      <c r="I3101" s="4" t="s">
        <v>27</v>
      </c>
      <c r="J3101" s="4" t="s">
        <v>27</v>
      </c>
      <c r="K3101" s="4" t="s">
        <v>27</v>
      </c>
      <c r="L3101" s="4" t="s">
        <v>27</v>
      </c>
      <c r="M3101" s="4" t="s">
        <v>27</v>
      </c>
      <c r="N3101" s="4" t="s">
        <v>27</v>
      </c>
    </row>
    <row r="3102" hidden="1">
      <c r="B3102" s="4" t="s">
        <v>27</v>
      </c>
      <c r="C3102" s="4" t="s">
        <v>27</v>
      </c>
      <c r="D3102" s="6" t="s">
        <v>27</v>
      </c>
      <c r="E3102" s="6" t="s">
        <v>27</v>
      </c>
      <c r="F3102" s="6" t="s">
        <v>27</v>
      </c>
      <c r="G3102" s="4" t="s">
        <v>27</v>
      </c>
      <c r="H3102" s="4" t="s">
        <v>27</v>
      </c>
      <c r="I3102" s="4" t="s">
        <v>27</v>
      </c>
      <c r="J3102" s="4" t="s">
        <v>27</v>
      </c>
      <c r="K3102" s="4" t="s">
        <v>27</v>
      </c>
      <c r="L3102" s="4" t="s">
        <v>27</v>
      </c>
      <c r="M3102" s="4" t="s">
        <v>27</v>
      </c>
      <c r="N3102" s="4" t="s">
        <v>27</v>
      </c>
    </row>
    <row r="3103" hidden="1">
      <c r="B3103" s="4" t="s">
        <v>27</v>
      </c>
      <c r="C3103" s="4" t="s">
        <v>27</v>
      </c>
      <c r="D3103" s="6" t="s">
        <v>27</v>
      </c>
      <c r="E3103" s="6" t="s">
        <v>27</v>
      </c>
      <c r="F3103" s="6" t="s">
        <v>27</v>
      </c>
      <c r="G3103" s="4" t="s">
        <v>27</v>
      </c>
      <c r="H3103" s="4" t="s">
        <v>27</v>
      </c>
      <c r="I3103" s="4" t="s">
        <v>27</v>
      </c>
      <c r="J3103" s="4" t="s">
        <v>27</v>
      </c>
      <c r="K3103" s="4" t="s">
        <v>27</v>
      </c>
      <c r="L3103" s="4" t="s">
        <v>27</v>
      </c>
      <c r="M3103" s="4" t="s">
        <v>27</v>
      </c>
      <c r="N3103" s="4" t="s">
        <v>27</v>
      </c>
    </row>
    <row r="3104" hidden="1">
      <c r="B3104" s="4" t="s">
        <v>27</v>
      </c>
      <c r="C3104" s="4" t="s">
        <v>27</v>
      </c>
      <c r="D3104" s="6" t="s">
        <v>27</v>
      </c>
      <c r="E3104" s="6" t="s">
        <v>27</v>
      </c>
      <c r="F3104" s="6" t="s">
        <v>27</v>
      </c>
      <c r="G3104" s="4" t="s">
        <v>27</v>
      </c>
      <c r="H3104" s="4" t="s">
        <v>27</v>
      </c>
      <c r="I3104" s="4" t="s">
        <v>27</v>
      </c>
      <c r="J3104" s="4" t="s">
        <v>27</v>
      </c>
      <c r="K3104" s="4" t="s">
        <v>27</v>
      </c>
      <c r="L3104" s="4" t="s">
        <v>27</v>
      </c>
      <c r="M3104" s="4" t="s">
        <v>27</v>
      </c>
      <c r="N3104" s="4" t="s">
        <v>27</v>
      </c>
    </row>
    <row r="3105" hidden="1">
      <c r="B3105" s="4" t="s">
        <v>27</v>
      </c>
      <c r="C3105" s="4" t="s">
        <v>27</v>
      </c>
      <c r="D3105" s="6" t="s">
        <v>27</v>
      </c>
      <c r="E3105" s="6" t="s">
        <v>27</v>
      </c>
      <c r="F3105" s="6" t="s">
        <v>27</v>
      </c>
      <c r="G3105" s="4" t="s">
        <v>27</v>
      </c>
      <c r="H3105" s="4" t="s">
        <v>27</v>
      </c>
      <c r="I3105" s="4" t="s">
        <v>27</v>
      </c>
      <c r="J3105" s="4" t="s">
        <v>27</v>
      </c>
      <c r="K3105" s="4" t="s">
        <v>27</v>
      </c>
      <c r="L3105" s="4" t="s">
        <v>27</v>
      </c>
      <c r="M3105" s="4" t="s">
        <v>27</v>
      </c>
      <c r="N3105" s="4" t="s">
        <v>27</v>
      </c>
    </row>
    <row r="3106" hidden="1">
      <c r="B3106" s="4" t="s">
        <v>27</v>
      </c>
      <c r="C3106" s="4" t="s">
        <v>27</v>
      </c>
      <c r="D3106" s="6" t="s">
        <v>27</v>
      </c>
      <c r="E3106" s="6" t="s">
        <v>27</v>
      </c>
      <c r="F3106" s="6" t="s">
        <v>27</v>
      </c>
      <c r="G3106" s="4" t="s">
        <v>27</v>
      </c>
      <c r="H3106" s="4" t="s">
        <v>27</v>
      </c>
      <c r="I3106" s="4" t="s">
        <v>27</v>
      </c>
      <c r="J3106" s="4" t="s">
        <v>27</v>
      </c>
      <c r="K3106" s="4" t="s">
        <v>27</v>
      </c>
      <c r="L3106" s="4" t="s">
        <v>27</v>
      </c>
      <c r="M3106" s="4" t="s">
        <v>27</v>
      </c>
      <c r="N3106" s="4" t="s">
        <v>27</v>
      </c>
    </row>
    <row r="3107" hidden="1">
      <c r="B3107" s="4" t="s">
        <v>27</v>
      </c>
      <c r="C3107" s="4" t="s">
        <v>27</v>
      </c>
      <c r="D3107" s="6" t="s">
        <v>27</v>
      </c>
      <c r="E3107" s="6" t="s">
        <v>27</v>
      </c>
      <c r="F3107" s="6" t="s">
        <v>27</v>
      </c>
      <c r="G3107" s="4" t="s">
        <v>27</v>
      </c>
      <c r="H3107" s="4" t="s">
        <v>27</v>
      </c>
      <c r="I3107" s="4" t="s">
        <v>27</v>
      </c>
      <c r="J3107" s="4" t="s">
        <v>27</v>
      </c>
      <c r="K3107" s="4" t="s">
        <v>27</v>
      </c>
      <c r="L3107" s="4" t="s">
        <v>27</v>
      </c>
      <c r="M3107" s="4" t="s">
        <v>27</v>
      </c>
      <c r="N3107" s="4" t="s">
        <v>27</v>
      </c>
    </row>
    <row r="3108" hidden="1">
      <c r="B3108" s="4" t="s">
        <v>27</v>
      </c>
      <c r="C3108" s="4" t="s">
        <v>27</v>
      </c>
      <c r="D3108" s="6" t="s">
        <v>27</v>
      </c>
      <c r="E3108" s="6" t="s">
        <v>27</v>
      </c>
      <c r="F3108" s="6" t="s">
        <v>27</v>
      </c>
      <c r="G3108" s="4" t="s">
        <v>27</v>
      </c>
      <c r="H3108" s="4" t="s">
        <v>27</v>
      </c>
      <c r="I3108" s="4" t="s">
        <v>27</v>
      </c>
      <c r="J3108" s="4" t="s">
        <v>27</v>
      </c>
      <c r="K3108" s="4" t="s">
        <v>27</v>
      </c>
      <c r="L3108" s="4" t="s">
        <v>27</v>
      </c>
      <c r="M3108" s="4" t="s">
        <v>27</v>
      </c>
      <c r="N3108" s="4" t="s">
        <v>27</v>
      </c>
    </row>
    <row r="3109" hidden="1">
      <c r="B3109" s="4" t="s">
        <v>27</v>
      </c>
      <c r="C3109" s="4" t="s">
        <v>27</v>
      </c>
      <c r="D3109" s="6" t="s">
        <v>27</v>
      </c>
      <c r="E3109" s="6" t="s">
        <v>27</v>
      </c>
      <c r="F3109" s="6" t="s">
        <v>27</v>
      </c>
      <c r="G3109" s="4" t="s">
        <v>27</v>
      </c>
      <c r="H3109" s="4" t="s">
        <v>27</v>
      </c>
      <c r="I3109" s="4" t="s">
        <v>27</v>
      </c>
      <c r="J3109" s="4" t="s">
        <v>27</v>
      </c>
      <c r="K3109" s="4" t="s">
        <v>27</v>
      </c>
      <c r="L3109" s="4" t="s">
        <v>27</v>
      </c>
      <c r="M3109" s="4" t="s">
        <v>27</v>
      </c>
      <c r="N3109" s="4" t="s">
        <v>27</v>
      </c>
    </row>
    <row r="3110" hidden="1">
      <c r="B3110" s="4" t="s">
        <v>27</v>
      </c>
      <c r="C3110" s="4" t="s">
        <v>27</v>
      </c>
      <c r="D3110" s="6" t="s">
        <v>27</v>
      </c>
      <c r="E3110" s="6" t="s">
        <v>27</v>
      </c>
      <c r="F3110" s="6" t="s">
        <v>27</v>
      </c>
      <c r="G3110" s="4" t="s">
        <v>27</v>
      </c>
      <c r="H3110" s="4" t="s">
        <v>27</v>
      </c>
      <c r="I3110" s="4" t="s">
        <v>27</v>
      </c>
      <c r="J3110" s="4" t="s">
        <v>27</v>
      </c>
      <c r="K3110" s="4" t="s">
        <v>27</v>
      </c>
      <c r="L3110" s="4" t="s">
        <v>27</v>
      </c>
      <c r="M3110" s="4" t="s">
        <v>27</v>
      </c>
      <c r="N3110" s="4" t="s">
        <v>27</v>
      </c>
    </row>
    <row r="3111" hidden="1">
      <c r="B3111" s="4" t="s">
        <v>27</v>
      </c>
      <c r="C3111" s="4" t="s">
        <v>27</v>
      </c>
      <c r="D3111" s="6" t="s">
        <v>27</v>
      </c>
      <c r="E3111" s="6" t="s">
        <v>27</v>
      </c>
      <c r="F3111" s="6" t="s">
        <v>27</v>
      </c>
      <c r="G3111" s="4" t="s">
        <v>27</v>
      </c>
      <c r="H3111" s="4" t="s">
        <v>27</v>
      </c>
      <c r="I3111" s="4" t="s">
        <v>27</v>
      </c>
      <c r="J3111" s="4" t="s">
        <v>27</v>
      </c>
      <c r="K3111" s="4" t="s">
        <v>27</v>
      </c>
      <c r="L3111" s="4" t="s">
        <v>27</v>
      </c>
      <c r="M3111" s="4" t="s">
        <v>27</v>
      </c>
      <c r="N3111" s="4" t="s">
        <v>27</v>
      </c>
    </row>
    <row r="3112" hidden="1">
      <c r="B3112" s="4" t="s">
        <v>27</v>
      </c>
      <c r="C3112" s="4" t="s">
        <v>27</v>
      </c>
      <c r="D3112" s="6" t="s">
        <v>27</v>
      </c>
      <c r="E3112" s="6" t="s">
        <v>27</v>
      </c>
      <c r="F3112" s="6" t="s">
        <v>27</v>
      </c>
      <c r="G3112" s="4" t="s">
        <v>27</v>
      </c>
      <c r="H3112" s="4" t="s">
        <v>27</v>
      </c>
      <c r="I3112" s="4" t="s">
        <v>27</v>
      </c>
      <c r="J3112" s="4" t="s">
        <v>27</v>
      </c>
      <c r="K3112" s="4" t="s">
        <v>27</v>
      </c>
      <c r="L3112" s="4" t="s">
        <v>27</v>
      </c>
      <c r="M3112" s="4" t="s">
        <v>27</v>
      </c>
      <c r="N3112" s="4" t="s">
        <v>27</v>
      </c>
    </row>
    <row r="3113" hidden="1">
      <c r="B3113" s="4" t="s">
        <v>27</v>
      </c>
      <c r="C3113" s="4" t="s">
        <v>27</v>
      </c>
      <c r="D3113" s="6" t="s">
        <v>27</v>
      </c>
      <c r="E3113" s="6" t="s">
        <v>27</v>
      </c>
      <c r="F3113" s="6" t="s">
        <v>27</v>
      </c>
      <c r="G3113" s="4" t="s">
        <v>27</v>
      </c>
      <c r="H3113" s="4" t="s">
        <v>27</v>
      </c>
      <c r="I3113" s="4" t="s">
        <v>27</v>
      </c>
      <c r="J3113" s="4" t="s">
        <v>27</v>
      </c>
      <c r="K3113" s="4" t="s">
        <v>27</v>
      </c>
      <c r="L3113" s="4" t="s">
        <v>27</v>
      </c>
      <c r="M3113" s="4" t="s">
        <v>27</v>
      </c>
      <c r="N3113" s="4" t="s">
        <v>27</v>
      </c>
    </row>
    <row r="3114" hidden="1">
      <c r="B3114" s="4" t="s">
        <v>27</v>
      </c>
      <c r="C3114" s="4" t="s">
        <v>27</v>
      </c>
      <c r="D3114" s="6" t="s">
        <v>27</v>
      </c>
      <c r="E3114" s="6" t="s">
        <v>27</v>
      </c>
      <c r="F3114" s="6" t="s">
        <v>27</v>
      </c>
      <c r="G3114" s="4" t="s">
        <v>27</v>
      </c>
      <c r="H3114" s="4" t="s">
        <v>27</v>
      </c>
      <c r="I3114" s="4" t="s">
        <v>27</v>
      </c>
      <c r="J3114" s="4" t="s">
        <v>27</v>
      </c>
      <c r="K3114" s="4" t="s">
        <v>27</v>
      </c>
      <c r="L3114" s="4" t="s">
        <v>27</v>
      </c>
      <c r="M3114" s="4" t="s">
        <v>27</v>
      </c>
      <c r="N3114" s="4" t="s">
        <v>27</v>
      </c>
    </row>
    <row r="3115" hidden="1">
      <c r="B3115" s="4" t="s">
        <v>27</v>
      </c>
      <c r="C3115" s="4" t="s">
        <v>27</v>
      </c>
      <c r="D3115" s="6" t="s">
        <v>27</v>
      </c>
      <c r="E3115" s="6" t="s">
        <v>27</v>
      </c>
      <c r="F3115" s="6" t="s">
        <v>27</v>
      </c>
      <c r="G3115" s="4" t="s">
        <v>27</v>
      </c>
      <c r="H3115" s="4" t="s">
        <v>27</v>
      </c>
      <c r="I3115" s="4" t="s">
        <v>27</v>
      </c>
      <c r="J3115" s="4" t="s">
        <v>27</v>
      </c>
      <c r="K3115" s="4" t="s">
        <v>27</v>
      </c>
      <c r="L3115" s="4" t="s">
        <v>27</v>
      </c>
      <c r="M3115" s="4" t="s">
        <v>27</v>
      </c>
      <c r="N3115" s="4" t="s">
        <v>27</v>
      </c>
    </row>
    <row r="3116" hidden="1">
      <c r="B3116" s="4" t="s">
        <v>27</v>
      </c>
      <c r="C3116" s="4" t="s">
        <v>27</v>
      </c>
      <c r="D3116" s="6" t="s">
        <v>27</v>
      </c>
      <c r="E3116" s="6" t="s">
        <v>27</v>
      </c>
      <c r="F3116" s="6" t="s">
        <v>27</v>
      </c>
      <c r="G3116" s="4" t="s">
        <v>27</v>
      </c>
      <c r="H3116" s="4" t="s">
        <v>27</v>
      </c>
      <c r="I3116" s="4" t="s">
        <v>27</v>
      </c>
      <c r="J3116" s="4" t="s">
        <v>27</v>
      </c>
      <c r="K3116" s="4" t="s">
        <v>27</v>
      </c>
      <c r="L3116" s="4" t="s">
        <v>27</v>
      </c>
      <c r="M3116" s="4" t="s">
        <v>27</v>
      </c>
      <c r="N3116" s="4" t="s">
        <v>27</v>
      </c>
    </row>
    <row r="3117" hidden="1">
      <c r="B3117" s="4" t="s">
        <v>27</v>
      </c>
      <c r="C3117" s="4" t="s">
        <v>27</v>
      </c>
      <c r="D3117" s="6" t="s">
        <v>27</v>
      </c>
      <c r="E3117" s="6" t="s">
        <v>27</v>
      </c>
      <c r="F3117" s="6" t="s">
        <v>27</v>
      </c>
      <c r="G3117" s="4" t="s">
        <v>27</v>
      </c>
      <c r="H3117" s="4" t="s">
        <v>27</v>
      </c>
      <c r="I3117" s="4" t="s">
        <v>27</v>
      </c>
      <c r="J3117" s="4" t="s">
        <v>27</v>
      </c>
      <c r="K3117" s="4" t="s">
        <v>27</v>
      </c>
      <c r="L3117" s="4" t="s">
        <v>27</v>
      </c>
      <c r="M3117" s="4" t="s">
        <v>27</v>
      </c>
      <c r="N3117" s="4" t="s">
        <v>27</v>
      </c>
    </row>
    <row r="3118" hidden="1">
      <c r="B3118" s="4" t="s">
        <v>27</v>
      </c>
      <c r="C3118" s="4" t="s">
        <v>27</v>
      </c>
      <c r="D3118" s="6" t="s">
        <v>27</v>
      </c>
      <c r="E3118" s="6" t="s">
        <v>27</v>
      </c>
      <c r="F3118" s="6" t="s">
        <v>27</v>
      </c>
      <c r="G3118" s="4" t="s">
        <v>27</v>
      </c>
      <c r="H3118" s="4" t="s">
        <v>27</v>
      </c>
      <c r="I3118" s="4" t="s">
        <v>27</v>
      </c>
      <c r="J3118" s="4" t="s">
        <v>27</v>
      </c>
      <c r="K3118" s="4" t="s">
        <v>27</v>
      </c>
      <c r="L3118" s="4" t="s">
        <v>27</v>
      </c>
      <c r="M3118" s="4" t="s">
        <v>27</v>
      </c>
      <c r="N3118" s="4" t="s">
        <v>27</v>
      </c>
    </row>
    <row r="3119" hidden="1">
      <c r="B3119" s="4" t="s">
        <v>27</v>
      </c>
      <c r="C3119" s="4" t="s">
        <v>27</v>
      </c>
      <c r="D3119" s="6" t="s">
        <v>27</v>
      </c>
      <c r="E3119" s="6" t="s">
        <v>27</v>
      </c>
      <c r="F3119" s="6" t="s">
        <v>27</v>
      </c>
      <c r="G3119" s="4" t="s">
        <v>27</v>
      </c>
      <c r="H3119" s="4" t="s">
        <v>27</v>
      </c>
      <c r="I3119" s="4" t="s">
        <v>27</v>
      </c>
      <c r="J3119" s="4" t="s">
        <v>27</v>
      </c>
      <c r="K3119" s="4" t="s">
        <v>27</v>
      </c>
      <c r="L3119" s="4" t="s">
        <v>27</v>
      </c>
      <c r="M3119" s="4" t="s">
        <v>27</v>
      </c>
      <c r="N3119" s="4" t="s">
        <v>27</v>
      </c>
    </row>
    <row r="3120" hidden="1">
      <c r="B3120" s="4" t="s">
        <v>27</v>
      </c>
      <c r="C3120" s="4" t="s">
        <v>27</v>
      </c>
      <c r="D3120" s="6" t="s">
        <v>27</v>
      </c>
      <c r="E3120" s="6" t="s">
        <v>27</v>
      </c>
      <c r="F3120" s="6" t="s">
        <v>27</v>
      </c>
      <c r="G3120" s="4" t="s">
        <v>27</v>
      </c>
      <c r="H3120" s="4" t="s">
        <v>27</v>
      </c>
      <c r="I3120" s="4" t="s">
        <v>27</v>
      </c>
      <c r="J3120" s="4" t="s">
        <v>27</v>
      </c>
      <c r="K3120" s="4" t="s">
        <v>27</v>
      </c>
      <c r="L3120" s="4" t="s">
        <v>27</v>
      </c>
      <c r="M3120" s="4" t="s">
        <v>27</v>
      </c>
      <c r="N3120" s="4" t="s">
        <v>27</v>
      </c>
    </row>
    <row r="3121" hidden="1">
      <c r="B3121" s="4" t="s">
        <v>27</v>
      </c>
      <c r="C3121" s="4" t="s">
        <v>27</v>
      </c>
      <c r="D3121" s="6" t="s">
        <v>27</v>
      </c>
      <c r="E3121" s="6" t="s">
        <v>27</v>
      </c>
      <c r="F3121" s="6" t="s">
        <v>27</v>
      </c>
      <c r="G3121" s="4" t="s">
        <v>27</v>
      </c>
      <c r="H3121" s="4" t="s">
        <v>27</v>
      </c>
      <c r="I3121" s="4" t="s">
        <v>27</v>
      </c>
      <c r="J3121" s="4" t="s">
        <v>27</v>
      </c>
      <c r="K3121" s="4" t="s">
        <v>27</v>
      </c>
      <c r="L3121" s="4" t="s">
        <v>27</v>
      </c>
      <c r="M3121" s="4" t="s">
        <v>27</v>
      </c>
      <c r="N3121" s="4" t="s">
        <v>27</v>
      </c>
    </row>
    <row r="3122" hidden="1">
      <c r="B3122" s="4" t="s">
        <v>27</v>
      </c>
      <c r="C3122" s="4" t="s">
        <v>27</v>
      </c>
      <c r="D3122" s="6" t="s">
        <v>27</v>
      </c>
      <c r="E3122" s="6" t="s">
        <v>27</v>
      </c>
      <c r="F3122" s="6" t="s">
        <v>27</v>
      </c>
      <c r="G3122" s="4" t="s">
        <v>27</v>
      </c>
      <c r="H3122" s="4" t="s">
        <v>27</v>
      </c>
      <c r="I3122" s="4" t="s">
        <v>27</v>
      </c>
      <c r="J3122" s="4" t="s">
        <v>27</v>
      </c>
      <c r="K3122" s="4" t="s">
        <v>27</v>
      </c>
      <c r="L3122" s="4" t="s">
        <v>27</v>
      </c>
      <c r="M3122" s="4" t="s">
        <v>27</v>
      </c>
      <c r="N3122" s="4" t="s">
        <v>27</v>
      </c>
    </row>
    <row r="3123" hidden="1">
      <c r="B3123" s="4" t="s">
        <v>27</v>
      </c>
      <c r="C3123" s="4" t="s">
        <v>27</v>
      </c>
      <c r="D3123" s="6" t="s">
        <v>27</v>
      </c>
      <c r="E3123" s="6" t="s">
        <v>27</v>
      </c>
      <c r="F3123" s="6" t="s">
        <v>27</v>
      </c>
      <c r="G3123" s="4" t="s">
        <v>27</v>
      </c>
      <c r="H3123" s="4" t="s">
        <v>27</v>
      </c>
      <c r="I3123" s="4" t="s">
        <v>27</v>
      </c>
      <c r="J3123" s="4" t="s">
        <v>27</v>
      </c>
      <c r="K3123" s="4" t="s">
        <v>27</v>
      </c>
      <c r="L3123" s="4" t="s">
        <v>27</v>
      </c>
      <c r="M3123" s="4" t="s">
        <v>27</v>
      </c>
      <c r="N3123" s="4" t="s">
        <v>27</v>
      </c>
    </row>
    <row r="3124" hidden="1">
      <c r="B3124" s="4" t="s">
        <v>27</v>
      </c>
      <c r="C3124" s="4" t="s">
        <v>27</v>
      </c>
      <c r="D3124" s="6" t="s">
        <v>27</v>
      </c>
      <c r="E3124" s="6" t="s">
        <v>27</v>
      </c>
      <c r="F3124" s="6" t="s">
        <v>27</v>
      </c>
      <c r="G3124" s="4" t="s">
        <v>27</v>
      </c>
      <c r="H3124" s="4" t="s">
        <v>27</v>
      </c>
      <c r="I3124" s="4" t="s">
        <v>27</v>
      </c>
      <c r="J3124" s="4" t="s">
        <v>27</v>
      </c>
      <c r="K3124" s="4" t="s">
        <v>27</v>
      </c>
      <c r="L3124" s="4" t="s">
        <v>27</v>
      </c>
      <c r="M3124" s="4" t="s">
        <v>27</v>
      </c>
      <c r="N3124" s="4" t="s">
        <v>27</v>
      </c>
    </row>
    <row r="3125" hidden="1">
      <c r="B3125" s="4" t="s">
        <v>27</v>
      </c>
      <c r="C3125" s="4" t="s">
        <v>27</v>
      </c>
      <c r="D3125" s="6" t="s">
        <v>27</v>
      </c>
      <c r="E3125" s="6" t="s">
        <v>27</v>
      </c>
      <c r="F3125" s="6" t="s">
        <v>27</v>
      </c>
      <c r="G3125" s="4" t="s">
        <v>27</v>
      </c>
      <c r="H3125" s="4" t="s">
        <v>27</v>
      </c>
      <c r="I3125" s="4" t="s">
        <v>27</v>
      </c>
      <c r="J3125" s="4" t="s">
        <v>27</v>
      </c>
      <c r="K3125" s="4" t="s">
        <v>27</v>
      </c>
      <c r="L3125" s="4" t="s">
        <v>27</v>
      </c>
      <c r="M3125" s="4" t="s">
        <v>27</v>
      </c>
      <c r="N3125" s="4" t="s">
        <v>27</v>
      </c>
    </row>
    <row r="3126" hidden="1">
      <c r="B3126" s="4" t="s">
        <v>27</v>
      </c>
      <c r="C3126" s="4" t="s">
        <v>27</v>
      </c>
      <c r="D3126" s="6" t="s">
        <v>27</v>
      </c>
      <c r="E3126" s="6" t="s">
        <v>27</v>
      </c>
      <c r="F3126" s="6" t="s">
        <v>27</v>
      </c>
      <c r="G3126" s="4" t="s">
        <v>27</v>
      </c>
      <c r="H3126" s="4" t="s">
        <v>27</v>
      </c>
      <c r="I3126" s="4" t="s">
        <v>27</v>
      </c>
      <c r="J3126" s="4" t="s">
        <v>27</v>
      </c>
      <c r="K3126" s="4" t="s">
        <v>27</v>
      </c>
      <c r="L3126" s="4" t="s">
        <v>27</v>
      </c>
      <c r="M3126" s="4" t="s">
        <v>27</v>
      </c>
      <c r="N3126" s="4" t="s">
        <v>27</v>
      </c>
    </row>
    <row r="3127" hidden="1">
      <c r="B3127" s="4" t="s">
        <v>27</v>
      </c>
      <c r="C3127" s="4" t="s">
        <v>27</v>
      </c>
      <c r="D3127" s="6" t="s">
        <v>27</v>
      </c>
      <c r="E3127" s="6" t="s">
        <v>27</v>
      </c>
      <c r="F3127" s="6" t="s">
        <v>27</v>
      </c>
      <c r="G3127" s="4" t="s">
        <v>27</v>
      </c>
      <c r="H3127" s="4" t="s">
        <v>27</v>
      </c>
      <c r="I3127" s="4" t="s">
        <v>27</v>
      </c>
      <c r="J3127" s="4" t="s">
        <v>27</v>
      </c>
      <c r="K3127" s="4" t="s">
        <v>27</v>
      </c>
      <c r="L3127" s="4" t="s">
        <v>27</v>
      </c>
      <c r="M3127" s="4" t="s">
        <v>27</v>
      </c>
      <c r="N3127" s="4" t="s">
        <v>27</v>
      </c>
    </row>
    <row r="3128" hidden="1">
      <c r="B3128" s="4" t="s">
        <v>27</v>
      </c>
      <c r="C3128" s="4" t="s">
        <v>27</v>
      </c>
      <c r="D3128" s="6" t="s">
        <v>27</v>
      </c>
      <c r="E3128" s="6" t="s">
        <v>27</v>
      </c>
      <c r="F3128" s="6" t="s">
        <v>27</v>
      </c>
      <c r="G3128" s="4" t="s">
        <v>27</v>
      </c>
      <c r="H3128" s="4" t="s">
        <v>27</v>
      </c>
      <c r="I3128" s="4" t="s">
        <v>27</v>
      </c>
      <c r="J3128" s="4" t="s">
        <v>27</v>
      </c>
      <c r="K3128" s="4" t="s">
        <v>27</v>
      </c>
      <c r="L3128" s="4" t="s">
        <v>27</v>
      </c>
      <c r="M3128" s="4" t="s">
        <v>27</v>
      </c>
      <c r="N3128" s="4" t="s">
        <v>27</v>
      </c>
    </row>
    <row r="3129" hidden="1">
      <c r="B3129" s="4" t="s">
        <v>27</v>
      </c>
      <c r="C3129" s="4" t="s">
        <v>27</v>
      </c>
      <c r="D3129" s="6" t="s">
        <v>27</v>
      </c>
      <c r="E3129" s="6" t="s">
        <v>27</v>
      </c>
      <c r="F3129" s="6" t="s">
        <v>27</v>
      </c>
      <c r="G3129" s="4" t="s">
        <v>27</v>
      </c>
      <c r="H3129" s="4" t="s">
        <v>27</v>
      </c>
      <c r="I3129" s="4" t="s">
        <v>27</v>
      </c>
      <c r="J3129" s="4" t="s">
        <v>27</v>
      </c>
      <c r="K3129" s="4" t="s">
        <v>27</v>
      </c>
      <c r="L3129" s="4" t="s">
        <v>27</v>
      </c>
      <c r="M3129" s="4" t="s">
        <v>27</v>
      </c>
      <c r="N3129" s="4" t="s">
        <v>27</v>
      </c>
    </row>
    <row r="3130" hidden="1">
      <c r="B3130" s="4" t="s">
        <v>27</v>
      </c>
      <c r="C3130" s="4" t="s">
        <v>27</v>
      </c>
      <c r="D3130" s="6" t="s">
        <v>27</v>
      </c>
      <c r="E3130" s="6" t="s">
        <v>27</v>
      </c>
      <c r="F3130" s="6" t="s">
        <v>27</v>
      </c>
      <c r="G3130" s="4" t="s">
        <v>27</v>
      </c>
      <c r="H3130" s="4" t="s">
        <v>27</v>
      </c>
      <c r="I3130" s="4" t="s">
        <v>27</v>
      </c>
      <c r="J3130" s="4" t="s">
        <v>27</v>
      </c>
      <c r="K3130" s="4" t="s">
        <v>27</v>
      </c>
      <c r="L3130" s="4" t="s">
        <v>27</v>
      </c>
      <c r="M3130" s="4" t="s">
        <v>27</v>
      </c>
      <c r="N3130" s="4" t="s">
        <v>27</v>
      </c>
    </row>
    <row r="3131" hidden="1">
      <c r="B3131" s="4" t="s">
        <v>27</v>
      </c>
      <c r="C3131" s="4" t="s">
        <v>27</v>
      </c>
      <c r="D3131" s="6" t="s">
        <v>27</v>
      </c>
      <c r="E3131" s="6" t="s">
        <v>27</v>
      </c>
      <c r="F3131" s="6" t="s">
        <v>27</v>
      </c>
      <c r="G3131" s="4" t="s">
        <v>27</v>
      </c>
      <c r="H3131" s="4" t="s">
        <v>27</v>
      </c>
      <c r="I3131" s="4" t="s">
        <v>27</v>
      </c>
      <c r="J3131" s="4" t="s">
        <v>27</v>
      </c>
      <c r="K3131" s="4" t="s">
        <v>27</v>
      </c>
      <c r="L3131" s="4" t="s">
        <v>27</v>
      </c>
      <c r="M3131" s="4" t="s">
        <v>27</v>
      </c>
      <c r="N3131" s="4" t="s">
        <v>27</v>
      </c>
    </row>
    <row r="3132" hidden="1">
      <c r="B3132" s="4" t="s">
        <v>27</v>
      </c>
      <c r="C3132" s="4" t="s">
        <v>27</v>
      </c>
      <c r="D3132" s="6" t="s">
        <v>27</v>
      </c>
      <c r="E3132" s="6" t="s">
        <v>27</v>
      </c>
      <c r="F3132" s="6" t="s">
        <v>27</v>
      </c>
      <c r="G3132" s="4" t="s">
        <v>27</v>
      </c>
      <c r="H3132" s="4" t="s">
        <v>27</v>
      </c>
      <c r="I3132" s="4" t="s">
        <v>27</v>
      </c>
      <c r="J3132" s="4" t="s">
        <v>27</v>
      </c>
      <c r="K3132" s="4" t="s">
        <v>27</v>
      </c>
      <c r="L3132" s="4" t="s">
        <v>27</v>
      </c>
      <c r="M3132" s="4" t="s">
        <v>27</v>
      </c>
      <c r="N3132" s="4" t="s">
        <v>27</v>
      </c>
    </row>
    <row r="3133" hidden="1">
      <c r="B3133" s="4" t="s">
        <v>27</v>
      </c>
      <c r="C3133" s="4" t="s">
        <v>27</v>
      </c>
      <c r="D3133" s="6" t="s">
        <v>27</v>
      </c>
      <c r="E3133" s="6" t="s">
        <v>27</v>
      </c>
      <c r="F3133" s="6" t="s">
        <v>27</v>
      </c>
      <c r="G3133" s="4" t="s">
        <v>27</v>
      </c>
      <c r="H3133" s="4" t="s">
        <v>27</v>
      </c>
      <c r="I3133" s="4" t="s">
        <v>27</v>
      </c>
      <c r="J3133" s="4" t="s">
        <v>27</v>
      </c>
      <c r="K3133" s="4" t="s">
        <v>27</v>
      </c>
      <c r="L3133" s="4" t="s">
        <v>27</v>
      </c>
      <c r="M3133" s="4" t="s">
        <v>27</v>
      </c>
      <c r="N3133" s="4" t="s">
        <v>27</v>
      </c>
    </row>
    <row r="3134" hidden="1">
      <c r="B3134" s="4" t="s">
        <v>27</v>
      </c>
      <c r="C3134" s="4" t="s">
        <v>27</v>
      </c>
      <c r="D3134" s="6" t="s">
        <v>27</v>
      </c>
      <c r="E3134" s="6" t="s">
        <v>27</v>
      </c>
      <c r="F3134" s="6" t="s">
        <v>27</v>
      </c>
      <c r="G3134" s="4" t="s">
        <v>27</v>
      </c>
      <c r="H3134" s="4" t="s">
        <v>27</v>
      </c>
      <c r="I3134" s="4" t="s">
        <v>27</v>
      </c>
      <c r="J3134" s="4" t="s">
        <v>27</v>
      </c>
      <c r="K3134" s="4" t="s">
        <v>27</v>
      </c>
      <c r="L3134" s="4" t="s">
        <v>27</v>
      </c>
      <c r="M3134" s="4" t="s">
        <v>27</v>
      </c>
      <c r="N3134" s="4" t="s">
        <v>27</v>
      </c>
    </row>
    <row r="3135" hidden="1">
      <c r="B3135" s="4" t="s">
        <v>27</v>
      </c>
      <c r="C3135" s="4" t="s">
        <v>27</v>
      </c>
      <c r="D3135" s="6" t="s">
        <v>27</v>
      </c>
      <c r="E3135" s="6" t="s">
        <v>27</v>
      </c>
      <c r="F3135" s="6" t="s">
        <v>27</v>
      </c>
      <c r="G3135" s="4" t="s">
        <v>27</v>
      </c>
      <c r="H3135" s="4" t="s">
        <v>27</v>
      </c>
      <c r="I3135" s="4" t="s">
        <v>27</v>
      </c>
      <c r="J3135" s="4" t="s">
        <v>27</v>
      </c>
      <c r="K3135" s="4" t="s">
        <v>27</v>
      </c>
      <c r="L3135" s="4" t="s">
        <v>27</v>
      </c>
      <c r="M3135" s="4" t="s">
        <v>27</v>
      </c>
      <c r="N3135" s="4" t="s">
        <v>27</v>
      </c>
    </row>
    <row r="3136" hidden="1">
      <c r="B3136" s="4" t="s">
        <v>27</v>
      </c>
      <c r="C3136" s="4" t="s">
        <v>27</v>
      </c>
      <c r="D3136" s="6" t="s">
        <v>27</v>
      </c>
      <c r="E3136" s="6" t="s">
        <v>27</v>
      </c>
      <c r="F3136" s="6" t="s">
        <v>27</v>
      </c>
      <c r="G3136" s="4" t="s">
        <v>27</v>
      </c>
      <c r="H3136" s="4" t="s">
        <v>27</v>
      </c>
      <c r="I3136" s="4" t="s">
        <v>27</v>
      </c>
      <c r="J3136" s="4" t="s">
        <v>27</v>
      </c>
      <c r="K3136" s="4" t="s">
        <v>27</v>
      </c>
      <c r="L3136" s="4" t="s">
        <v>27</v>
      </c>
      <c r="M3136" s="4" t="s">
        <v>27</v>
      </c>
      <c r="N3136" s="4" t="s">
        <v>27</v>
      </c>
    </row>
    <row r="3137" hidden="1">
      <c r="B3137" s="4" t="s">
        <v>27</v>
      </c>
      <c r="C3137" s="4" t="s">
        <v>27</v>
      </c>
      <c r="D3137" s="6" t="s">
        <v>27</v>
      </c>
      <c r="E3137" s="6" t="s">
        <v>27</v>
      </c>
      <c r="F3137" s="6" t="s">
        <v>27</v>
      </c>
      <c r="G3137" s="4" t="s">
        <v>27</v>
      </c>
      <c r="H3137" s="4" t="s">
        <v>27</v>
      </c>
      <c r="I3137" s="4" t="s">
        <v>27</v>
      </c>
      <c r="J3137" s="4" t="s">
        <v>27</v>
      </c>
      <c r="K3137" s="4" t="s">
        <v>27</v>
      </c>
      <c r="L3137" s="4" t="s">
        <v>27</v>
      </c>
      <c r="M3137" s="4" t="s">
        <v>27</v>
      </c>
      <c r="N3137" s="4" t="s">
        <v>27</v>
      </c>
    </row>
    <row r="3138" hidden="1">
      <c r="B3138" s="4" t="s">
        <v>27</v>
      </c>
      <c r="C3138" s="4" t="s">
        <v>27</v>
      </c>
      <c r="D3138" s="6" t="s">
        <v>27</v>
      </c>
      <c r="E3138" s="6" t="s">
        <v>27</v>
      </c>
      <c r="F3138" s="6" t="s">
        <v>27</v>
      </c>
      <c r="G3138" s="4" t="s">
        <v>27</v>
      </c>
      <c r="H3138" s="4" t="s">
        <v>27</v>
      </c>
      <c r="I3138" s="4" t="s">
        <v>27</v>
      </c>
      <c r="J3138" s="4" t="s">
        <v>27</v>
      </c>
      <c r="K3138" s="4" t="s">
        <v>27</v>
      </c>
      <c r="L3138" s="4" t="s">
        <v>27</v>
      </c>
      <c r="M3138" s="4" t="s">
        <v>27</v>
      </c>
      <c r="N3138" s="4" t="s">
        <v>27</v>
      </c>
    </row>
    <row r="3139" hidden="1">
      <c r="B3139" s="4" t="s">
        <v>27</v>
      </c>
      <c r="C3139" s="4" t="s">
        <v>27</v>
      </c>
      <c r="D3139" s="6" t="s">
        <v>27</v>
      </c>
      <c r="E3139" s="6" t="s">
        <v>27</v>
      </c>
      <c r="F3139" s="6" t="s">
        <v>27</v>
      </c>
      <c r="G3139" s="4" t="s">
        <v>27</v>
      </c>
      <c r="H3139" s="4" t="s">
        <v>27</v>
      </c>
      <c r="I3139" s="4" t="s">
        <v>27</v>
      </c>
      <c r="J3139" s="4" t="s">
        <v>27</v>
      </c>
      <c r="K3139" s="4" t="s">
        <v>27</v>
      </c>
      <c r="L3139" s="4" t="s">
        <v>27</v>
      </c>
      <c r="M3139" s="4" t="s">
        <v>27</v>
      </c>
      <c r="N3139" s="4" t="s">
        <v>27</v>
      </c>
    </row>
    <row r="3140" hidden="1">
      <c r="B3140" s="4" t="s">
        <v>27</v>
      </c>
      <c r="C3140" s="4" t="s">
        <v>27</v>
      </c>
      <c r="D3140" s="6" t="s">
        <v>27</v>
      </c>
      <c r="E3140" s="6" t="s">
        <v>27</v>
      </c>
      <c r="F3140" s="6" t="s">
        <v>27</v>
      </c>
      <c r="G3140" s="4" t="s">
        <v>27</v>
      </c>
      <c r="H3140" s="4" t="s">
        <v>27</v>
      </c>
      <c r="I3140" s="4" t="s">
        <v>27</v>
      </c>
      <c r="J3140" s="4" t="s">
        <v>27</v>
      </c>
      <c r="K3140" s="4" t="s">
        <v>27</v>
      </c>
      <c r="L3140" s="4" t="s">
        <v>27</v>
      </c>
      <c r="M3140" s="4" t="s">
        <v>27</v>
      </c>
      <c r="N3140" s="4" t="s">
        <v>27</v>
      </c>
    </row>
    <row r="3141" hidden="1">
      <c r="B3141" s="4" t="s">
        <v>27</v>
      </c>
      <c r="C3141" s="4" t="s">
        <v>27</v>
      </c>
      <c r="D3141" s="6" t="s">
        <v>27</v>
      </c>
      <c r="E3141" s="6" t="s">
        <v>27</v>
      </c>
      <c r="F3141" s="6" t="s">
        <v>27</v>
      </c>
      <c r="G3141" s="4" t="s">
        <v>27</v>
      </c>
      <c r="H3141" s="4" t="s">
        <v>27</v>
      </c>
      <c r="I3141" s="4" t="s">
        <v>27</v>
      </c>
      <c r="J3141" s="4" t="s">
        <v>27</v>
      </c>
      <c r="K3141" s="4" t="s">
        <v>27</v>
      </c>
      <c r="L3141" s="4" t="s">
        <v>27</v>
      </c>
      <c r="M3141" s="4" t="s">
        <v>27</v>
      </c>
      <c r="N3141" s="4" t="s">
        <v>27</v>
      </c>
    </row>
    <row r="3142" hidden="1">
      <c r="B3142" s="4" t="s">
        <v>27</v>
      </c>
      <c r="C3142" s="4" t="s">
        <v>27</v>
      </c>
      <c r="D3142" s="6" t="s">
        <v>27</v>
      </c>
      <c r="E3142" s="6" t="s">
        <v>27</v>
      </c>
      <c r="F3142" s="6" t="s">
        <v>27</v>
      </c>
      <c r="G3142" s="4" t="s">
        <v>27</v>
      </c>
      <c r="H3142" s="4" t="s">
        <v>27</v>
      </c>
      <c r="I3142" s="4" t="s">
        <v>27</v>
      </c>
      <c r="J3142" s="4" t="s">
        <v>27</v>
      </c>
      <c r="K3142" s="4" t="s">
        <v>27</v>
      </c>
      <c r="L3142" s="4" t="s">
        <v>27</v>
      </c>
      <c r="M3142" s="4" t="s">
        <v>27</v>
      </c>
      <c r="N3142" s="4" t="s">
        <v>27</v>
      </c>
    </row>
    <row r="3143" hidden="1">
      <c r="B3143" s="4" t="s">
        <v>27</v>
      </c>
      <c r="C3143" s="4" t="s">
        <v>27</v>
      </c>
      <c r="D3143" s="6" t="s">
        <v>27</v>
      </c>
      <c r="E3143" s="6" t="s">
        <v>27</v>
      </c>
      <c r="F3143" s="6" t="s">
        <v>27</v>
      </c>
      <c r="G3143" s="4" t="s">
        <v>27</v>
      </c>
      <c r="H3143" s="4" t="s">
        <v>27</v>
      </c>
      <c r="I3143" s="4" t="s">
        <v>27</v>
      </c>
      <c r="J3143" s="4" t="s">
        <v>27</v>
      </c>
      <c r="K3143" s="4" t="s">
        <v>27</v>
      </c>
      <c r="L3143" s="4" t="s">
        <v>27</v>
      </c>
      <c r="M3143" s="4" t="s">
        <v>27</v>
      </c>
      <c r="N3143" s="4" t="s">
        <v>27</v>
      </c>
    </row>
    <row r="3144" hidden="1">
      <c r="B3144" s="4" t="s">
        <v>27</v>
      </c>
      <c r="C3144" s="4" t="s">
        <v>27</v>
      </c>
      <c r="D3144" s="6" t="s">
        <v>27</v>
      </c>
      <c r="E3144" s="6" t="s">
        <v>27</v>
      </c>
      <c r="F3144" s="6" t="s">
        <v>27</v>
      </c>
      <c r="G3144" s="4" t="s">
        <v>27</v>
      </c>
      <c r="H3144" s="4" t="s">
        <v>27</v>
      </c>
      <c r="I3144" s="4" t="s">
        <v>27</v>
      </c>
      <c r="J3144" s="4" t="s">
        <v>27</v>
      </c>
      <c r="K3144" s="4" t="s">
        <v>27</v>
      </c>
      <c r="L3144" s="4" t="s">
        <v>27</v>
      </c>
      <c r="M3144" s="4" t="s">
        <v>27</v>
      </c>
      <c r="N3144" s="4" t="s">
        <v>27</v>
      </c>
    </row>
    <row r="3145" hidden="1">
      <c r="B3145" s="4" t="s">
        <v>27</v>
      </c>
      <c r="C3145" s="4" t="s">
        <v>27</v>
      </c>
      <c r="D3145" s="6" t="s">
        <v>27</v>
      </c>
      <c r="E3145" s="6" t="s">
        <v>27</v>
      </c>
      <c r="F3145" s="6" t="s">
        <v>27</v>
      </c>
      <c r="G3145" s="4" t="s">
        <v>27</v>
      </c>
      <c r="H3145" s="4" t="s">
        <v>27</v>
      </c>
      <c r="I3145" s="4" t="s">
        <v>27</v>
      </c>
      <c r="J3145" s="4" t="s">
        <v>27</v>
      </c>
      <c r="K3145" s="4" t="s">
        <v>27</v>
      </c>
      <c r="L3145" s="4" t="s">
        <v>27</v>
      </c>
      <c r="M3145" s="4" t="s">
        <v>27</v>
      </c>
      <c r="N3145" s="4" t="s">
        <v>27</v>
      </c>
    </row>
    <row r="3146" hidden="1">
      <c r="B3146" s="4" t="s">
        <v>27</v>
      </c>
      <c r="C3146" s="4" t="s">
        <v>27</v>
      </c>
      <c r="D3146" s="6" t="s">
        <v>27</v>
      </c>
      <c r="E3146" s="6" t="s">
        <v>27</v>
      </c>
      <c r="F3146" s="6" t="s">
        <v>27</v>
      </c>
      <c r="G3146" s="4" t="s">
        <v>27</v>
      </c>
      <c r="H3146" s="4" t="s">
        <v>27</v>
      </c>
      <c r="I3146" s="4" t="s">
        <v>27</v>
      </c>
      <c r="J3146" s="4" t="s">
        <v>27</v>
      </c>
      <c r="K3146" s="4" t="s">
        <v>27</v>
      </c>
      <c r="L3146" s="4" t="s">
        <v>27</v>
      </c>
      <c r="M3146" s="4" t="s">
        <v>27</v>
      </c>
      <c r="N3146" s="4" t="s">
        <v>27</v>
      </c>
    </row>
    <row r="3147" hidden="1">
      <c r="B3147" s="4" t="s">
        <v>27</v>
      </c>
      <c r="C3147" s="4" t="s">
        <v>27</v>
      </c>
      <c r="D3147" s="6" t="s">
        <v>27</v>
      </c>
      <c r="E3147" s="6" t="s">
        <v>27</v>
      </c>
      <c r="F3147" s="6" t="s">
        <v>27</v>
      </c>
      <c r="G3147" s="4" t="s">
        <v>27</v>
      </c>
      <c r="H3147" s="4" t="s">
        <v>27</v>
      </c>
      <c r="I3147" s="4" t="s">
        <v>27</v>
      </c>
      <c r="J3147" s="4" t="s">
        <v>27</v>
      </c>
      <c r="K3147" s="4" t="s">
        <v>27</v>
      </c>
      <c r="L3147" s="4" t="s">
        <v>27</v>
      </c>
      <c r="M3147" s="4" t="s">
        <v>27</v>
      </c>
      <c r="N3147" s="4" t="s">
        <v>27</v>
      </c>
    </row>
    <row r="3148" hidden="1">
      <c r="B3148" s="4" t="s">
        <v>27</v>
      </c>
      <c r="C3148" s="4" t="s">
        <v>27</v>
      </c>
      <c r="D3148" s="6" t="s">
        <v>27</v>
      </c>
      <c r="E3148" s="6" t="s">
        <v>27</v>
      </c>
      <c r="F3148" s="6" t="s">
        <v>27</v>
      </c>
      <c r="G3148" s="4" t="s">
        <v>27</v>
      </c>
      <c r="H3148" s="4" t="s">
        <v>27</v>
      </c>
      <c r="I3148" s="4" t="s">
        <v>27</v>
      </c>
      <c r="J3148" s="4" t="s">
        <v>27</v>
      </c>
      <c r="K3148" s="4" t="s">
        <v>27</v>
      </c>
      <c r="L3148" s="4" t="s">
        <v>27</v>
      </c>
      <c r="M3148" s="4" t="s">
        <v>27</v>
      </c>
      <c r="N3148" s="4" t="s">
        <v>27</v>
      </c>
    </row>
    <row r="3149" hidden="1">
      <c r="B3149" s="4" t="s">
        <v>27</v>
      </c>
      <c r="C3149" s="4" t="s">
        <v>27</v>
      </c>
      <c r="D3149" s="6" t="s">
        <v>27</v>
      </c>
      <c r="E3149" s="6" t="s">
        <v>27</v>
      </c>
      <c r="F3149" s="6" t="s">
        <v>27</v>
      </c>
      <c r="G3149" s="4" t="s">
        <v>27</v>
      </c>
      <c r="H3149" s="4" t="s">
        <v>27</v>
      </c>
      <c r="I3149" s="4" t="s">
        <v>27</v>
      </c>
      <c r="J3149" s="4" t="s">
        <v>27</v>
      </c>
      <c r="K3149" s="4" t="s">
        <v>27</v>
      </c>
      <c r="L3149" s="4" t="s">
        <v>27</v>
      </c>
      <c r="M3149" s="4" t="s">
        <v>27</v>
      </c>
      <c r="N3149" s="4" t="s">
        <v>27</v>
      </c>
    </row>
    <row r="3150" hidden="1">
      <c r="B3150" s="4" t="s">
        <v>27</v>
      </c>
      <c r="C3150" s="4" t="s">
        <v>27</v>
      </c>
      <c r="D3150" s="6" t="s">
        <v>27</v>
      </c>
      <c r="E3150" s="6" t="s">
        <v>27</v>
      </c>
      <c r="F3150" s="6" t="s">
        <v>27</v>
      </c>
      <c r="G3150" s="4" t="s">
        <v>27</v>
      </c>
      <c r="H3150" s="4" t="s">
        <v>27</v>
      </c>
      <c r="I3150" s="4" t="s">
        <v>27</v>
      </c>
      <c r="J3150" s="4" t="s">
        <v>27</v>
      </c>
      <c r="K3150" s="4" t="s">
        <v>27</v>
      </c>
      <c r="L3150" s="4" t="s">
        <v>27</v>
      </c>
      <c r="M3150" s="4" t="s">
        <v>27</v>
      </c>
      <c r="N3150" s="4" t="s">
        <v>27</v>
      </c>
    </row>
    <row r="3151" hidden="1">
      <c r="B3151" s="4" t="s">
        <v>27</v>
      </c>
      <c r="C3151" s="4" t="s">
        <v>27</v>
      </c>
      <c r="D3151" s="6" t="s">
        <v>27</v>
      </c>
      <c r="E3151" s="6" t="s">
        <v>27</v>
      </c>
      <c r="F3151" s="6" t="s">
        <v>27</v>
      </c>
      <c r="G3151" s="4" t="s">
        <v>27</v>
      </c>
      <c r="H3151" s="4" t="s">
        <v>27</v>
      </c>
      <c r="I3151" s="4" t="s">
        <v>27</v>
      </c>
      <c r="J3151" s="4" t="s">
        <v>27</v>
      </c>
      <c r="K3151" s="4" t="s">
        <v>27</v>
      </c>
      <c r="L3151" s="4" t="s">
        <v>27</v>
      </c>
      <c r="M3151" s="4" t="s">
        <v>27</v>
      </c>
      <c r="N3151" s="4" t="s">
        <v>27</v>
      </c>
    </row>
    <row r="3152" hidden="1">
      <c r="B3152" s="4" t="s">
        <v>27</v>
      </c>
      <c r="C3152" s="4" t="s">
        <v>27</v>
      </c>
      <c r="D3152" s="6" t="s">
        <v>27</v>
      </c>
      <c r="E3152" s="6" t="s">
        <v>27</v>
      </c>
      <c r="F3152" s="6" t="s">
        <v>27</v>
      </c>
      <c r="G3152" s="4" t="s">
        <v>27</v>
      </c>
      <c r="H3152" s="4" t="s">
        <v>27</v>
      </c>
      <c r="I3152" s="4" t="s">
        <v>27</v>
      </c>
      <c r="J3152" s="4" t="s">
        <v>27</v>
      </c>
      <c r="K3152" s="4" t="s">
        <v>27</v>
      </c>
      <c r="L3152" s="4" t="s">
        <v>27</v>
      </c>
      <c r="M3152" s="4" t="s">
        <v>27</v>
      </c>
      <c r="N3152" s="4" t="s">
        <v>27</v>
      </c>
    </row>
    <row r="3153" hidden="1">
      <c r="B3153" s="4" t="s">
        <v>27</v>
      </c>
      <c r="C3153" s="4" t="s">
        <v>27</v>
      </c>
      <c r="D3153" s="6" t="s">
        <v>27</v>
      </c>
      <c r="E3153" s="6" t="s">
        <v>27</v>
      </c>
      <c r="F3153" s="6" t="s">
        <v>27</v>
      </c>
      <c r="G3153" s="4" t="s">
        <v>27</v>
      </c>
      <c r="H3153" s="4" t="s">
        <v>27</v>
      </c>
      <c r="I3153" s="4" t="s">
        <v>27</v>
      </c>
      <c r="J3153" s="4" t="s">
        <v>27</v>
      </c>
      <c r="K3153" s="4" t="s">
        <v>27</v>
      </c>
      <c r="L3153" s="4" t="s">
        <v>27</v>
      </c>
      <c r="M3153" s="4" t="s">
        <v>27</v>
      </c>
      <c r="N3153" s="4" t="s">
        <v>27</v>
      </c>
    </row>
    <row r="3154" hidden="1">
      <c r="B3154" s="4" t="s">
        <v>27</v>
      </c>
      <c r="C3154" s="4" t="s">
        <v>27</v>
      </c>
      <c r="D3154" s="6" t="s">
        <v>27</v>
      </c>
      <c r="E3154" s="6" t="s">
        <v>27</v>
      </c>
      <c r="F3154" s="6" t="s">
        <v>27</v>
      </c>
      <c r="G3154" s="4" t="s">
        <v>27</v>
      </c>
      <c r="H3154" s="4" t="s">
        <v>27</v>
      </c>
      <c r="I3154" s="4" t="s">
        <v>27</v>
      </c>
      <c r="J3154" s="4" t="s">
        <v>27</v>
      </c>
      <c r="K3154" s="4" t="s">
        <v>27</v>
      </c>
      <c r="L3154" s="4" t="s">
        <v>27</v>
      </c>
      <c r="M3154" s="4" t="s">
        <v>27</v>
      </c>
      <c r="N3154" s="4" t="s">
        <v>27</v>
      </c>
    </row>
    <row r="3155" hidden="1">
      <c r="B3155" s="4" t="s">
        <v>27</v>
      </c>
      <c r="C3155" s="4" t="s">
        <v>27</v>
      </c>
      <c r="D3155" s="6" t="s">
        <v>27</v>
      </c>
      <c r="E3155" s="6" t="s">
        <v>27</v>
      </c>
      <c r="F3155" s="6" t="s">
        <v>27</v>
      </c>
      <c r="G3155" s="4" t="s">
        <v>27</v>
      </c>
      <c r="H3155" s="4" t="s">
        <v>27</v>
      </c>
      <c r="I3155" s="4" t="s">
        <v>27</v>
      </c>
      <c r="J3155" s="4" t="s">
        <v>27</v>
      </c>
      <c r="K3155" s="4" t="s">
        <v>27</v>
      </c>
      <c r="L3155" s="4" t="s">
        <v>27</v>
      </c>
      <c r="M3155" s="4" t="s">
        <v>27</v>
      </c>
      <c r="N3155" s="4" t="s">
        <v>27</v>
      </c>
    </row>
    <row r="3156" hidden="1">
      <c r="B3156" s="4" t="s">
        <v>27</v>
      </c>
      <c r="C3156" s="4" t="s">
        <v>27</v>
      </c>
      <c r="D3156" s="6" t="s">
        <v>27</v>
      </c>
      <c r="E3156" s="6" t="s">
        <v>27</v>
      </c>
      <c r="F3156" s="6" t="s">
        <v>27</v>
      </c>
      <c r="G3156" s="4" t="s">
        <v>27</v>
      </c>
      <c r="H3156" s="4" t="s">
        <v>27</v>
      </c>
      <c r="I3156" s="4" t="s">
        <v>27</v>
      </c>
      <c r="J3156" s="4" t="s">
        <v>27</v>
      </c>
      <c r="K3156" s="4" t="s">
        <v>27</v>
      </c>
      <c r="L3156" s="4" t="s">
        <v>27</v>
      </c>
      <c r="M3156" s="4" t="s">
        <v>27</v>
      </c>
      <c r="N3156" s="4" t="s">
        <v>27</v>
      </c>
    </row>
    <row r="3157" hidden="1">
      <c r="B3157" s="4" t="s">
        <v>27</v>
      </c>
      <c r="C3157" s="4" t="s">
        <v>27</v>
      </c>
      <c r="D3157" s="6" t="s">
        <v>27</v>
      </c>
      <c r="E3157" s="6" t="s">
        <v>27</v>
      </c>
      <c r="F3157" s="6" t="s">
        <v>27</v>
      </c>
      <c r="G3157" s="4" t="s">
        <v>27</v>
      </c>
      <c r="H3157" s="4" t="s">
        <v>27</v>
      </c>
      <c r="I3157" s="4" t="s">
        <v>27</v>
      </c>
      <c r="J3157" s="4" t="s">
        <v>27</v>
      </c>
      <c r="K3157" s="4" t="s">
        <v>27</v>
      </c>
      <c r="L3157" s="4" t="s">
        <v>27</v>
      </c>
      <c r="M3157" s="4" t="s">
        <v>27</v>
      </c>
      <c r="N3157" s="4" t="s">
        <v>27</v>
      </c>
    </row>
    <row r="3158" hidden="1">
      <c r="B3158" s="4" t="s">
        <v>27</v>
      </c>
      <c r="C3158" s="4" t="s">
        <v>27</v>
      </c>
      <c r="D3158" s="6" t="s">
        <v>27</v>
      </c>
      <c r="E3158" s="6" t="s">
        <v>27</v>
      </c>
      <c r="F3158" s="6" t="s">
        <v>27</v>
      </c>
      <c r="G3158" s="4" t="s">
        <v>27</v>
      </c>
      <c r="H3158" s="4" t="s">
        <v>27</v>
      </c>
      <c r="I3158" s="4" t="s">
        <v>27</v>
      </c>
      <c r="J3158" s="4" t="s">
        <v>27</v>
      </c>
      <c r="K3158" s="4" t="s">
        <v>27</v>
      </c>
      <c r="L3158" s="4" t="s">
        <v>27</v>
      </c>
      <c r="M3158" s="4" t="s">
        <v>27</v>
      </c>
      <c r="N3158" s="4" t="s">
        <v>27</v>
      </c>
    </row>
    <row r="3159" hidden="1">
      <c r="B3159" s="4" t="s">
        <v>27</v>
      </c>
      <c r="C3159" s="4" t="s">
        <v>27</v>
      </c>
      <c r="D3159" s="6" t="s">
        <v>27</v>
      </c>
      <c r="E3159" s="6" t="s">
        <v>27</v>
      </c>
      <c r="F3159" s="6" t="s">
        <v>27</v>
      </c>
      <c r="G3159" s="4" t="s">
        <v>27</v>
      </c>
      <c r="H3159" s="4" t="s">
        <v>27</v>
      </c>
      <c r="I3159" s="4" t="s">
        <v>27</v>
      </c>
      <c r="J3159" s="4" t="s">
        <v>27</v>
      </c>
      <c r="K3159" s="4" t="s">
        <v>27</v>
      </c>
      <c r="L3159" s="4" t="s">
        <v>27</v>
      </c>
      <c r="M3159" s="4" t="s">
        <v>27</v>
      </c>
      <c r="N3159" s="4" t="s">
        <v>27</v>
      </c>
    </row>
    <row r="3160" hidden="1">
      <c r="B3160" s="4" t="s">
        <v>27</v>
      </c>
      <c r="C3160" s="4" t="s">
        <v>27</v>
      </c>
      <c r="D3160" s="6" t="s">
        <v>27</v>
      </c>
      <c r="E3160" s="6" t="s">
        <v>27</v>
      </c>
      <c r="F3160" s="6" t="s">
        <v>27</v>
      </c>
      <c r="G3160" s="4" t="s">
        <v>27</v>
      </c>
      <c r="H3160" s="4" t="s">
        <v>27</v>
      </c>
      <c r="I3160" s="4" t="s">
        <v>27</v>
      </c>
      <c r="J3160" s="4" t="s">
        <v>27</v>
      </c>
      <c r="K3160" s="4" t="s">
        <v>27</v>
      </c>
      <c r="L3160" s="4" t="s">
        <v>27</v>
      </c>
      <c r="M3160" s="4" t="s">
        <v>27</v>
      </c>
      <c r="N3160" s="4" t="s">
        <v>27</v>
      </c>
    </row>
    <row r="3161" hidden="1">
      <c r="B3161" s="4" t="s">
        <v>27</v>
      </c>
      <c r="C3161" s="4" t="s">
        <v>27</v>
      </c>
      <c r="D3161" s="6" t="s">
        <v>27</v>
      </c>
      <c r="E3161" s="6" t="s">
        <v>27</v>
      </c>
      <c r="F3161" s="6" t="s">
        <v>27</v>
      </c>
      <c r="G3161" s="4" t="s">
        <v>27</v>
      </c>
      <c r="H3161" s="4" t="s">
        <v>27</v>
      </c>
      <c r="I3161" s="4" t="s">
        <v>27</v>
      </c>
      <c r="J3161" s="4" t="s">
        <v>27</v>
      </c>
      <c r="K3161" s="4" t="s">
        <v>27</v>
      </c>
      <c r="L3161" s="4" t="s">
        <v>27</v>
      </c>
      <c r="M3161" s="4" t="s">
        <v>27</v>
      </c>
      <c r="N3161" s="4" t="s">
        <v>27</v>
      </c>
    </row>
    <row r="3162" hidden="1">
      <c r="B3162" s="4" t="s">
        <v>27</v>
      </c>
      <c r="C3162" s="4" t="s">
        <v>27</v>
      </c>
      <c r="D3162" s="6" t="s">
        <v>27</v>
      </c>
      <c r="E3162" s="6" t="s">
        <v>27</v>
      </c>
      <c r="F3162" s="6" t="s">
        <v>27</v>
      </c>
      <c r="G3162" s="4" t="s">
        <v>27</v>
      </c>
      <c r="H3162" s="4" t="s">
        <v>27</v>
      </c>
      <c r="I3162" s="4" t="s">
        <v>27</v>
      </c>
      <c r="J3162" s="4" t="s">
        <v>27</v>
      </c>
      <c r="K3162" s="4" t="s">
        <v>27</v>
      </c>
      <c r="L3162" s="4" t="s">
        <v>27</v>
      </c>
      <c r="M3162" s="4" t="s">
        <v>27</v>
      </c>
      <c r="N3162" s="4" t="s">
        <v>27</v>
      </c>
    </row>
    <row r="3163" hidden="1">
      <c r="B3163" s="4" t="s">
        <v>27</v>
      </c>
      <c r="C3163" s="4" t="s">
        <v>27</v>
      </c>
      <c r="D3163" s="6" t="s">
        <v>27</v>
      </c>
      <c r="E3163" s="6" t="s">
        <v>27</v>
      </c>
      <c r="F3163" s="6" t="s">
        <v>27</v>
      </c>
      <c r="G3163" s="4" t="s">
        <v>27</v>
      </c>
      <c r="H3163" s="4" t="s">
        <v>27</v>
      </c>
      <c r="I3163" s="4" t="s">
        <v>27</v>
      </c>
      <c r="J3163" s="4" t="s">
        <v>27</v>
      </c>
      <c r="K3163" s="4" t="s">
        <v>27</v>
      </c>
      <c r="L3163" s="4" t="s">
        <v>27</v>
      </c>
      <c r="M3163" s="4" t="s">
        <v>27</v>
      </c>
      <c r="N3163" s="4" t="s">
        <v>27</v>
      </c>
    </row>
    <row r="3164" hidden="1">
      <c r="B3164" s="4" t="s">
        <v>27</v>
      </c>
      <c r="C3164" s="4" t="s">
        <v>27</v>
      </c>
      <c r="D3164" s="6" t="s">
        <v>27</v>
      </c>
      <c r="E3164" s="6" t="s">
        <v>27</v>
      </c>
      <c r="F3164" s="6" t="s">
        <v>27</v>
      </c>
      <c r="G3164" s="4" t="s">
        <v>27</v>
      </c>
      <c r="H3164" s="4" t="s">
        <v>27</v>
      </c>
      <c r="I3164" s="4" t="s">
        <v>27</v>
      </c>
      <c r="J3164" s="4" t="s">
        <v>27</v>
      </c>
      <c r="K3164" s="4" t="s">
        <v>27</v>
      </c>
      <c r="L3164" s="4" t="s">
        <v>27</v>
      </c>
      <c r="M3164" s="4" t="s">
        <v>27</v>
      </c>
      <c r="N3164" s="4" t="s">
        <v>27</v>
      </c>
    </row>
    <row r="3165" hidden="1">
      <c r="B3165" s="4" t="s">
        <v>27</v>
      </c>
      <c r="C3165" s="4" t="s">
        <v>27</v>
      </c>
      <c r="D3165" s="6" t="s">
        <v>27</v>
      </c>
      <c r="E3165" s="6" t="s">
        <v>27</v>
      </c>
      <c r="F3165" s="6" t="s">
        <v>27</v>
      </c>
      <c r="G3165" s="4" t="s">
        <v>27</v>
      </c>
      <c r="H3165" s="4" t="s">
        <v>27</v>
      </c>
      <c r="I3165" s="4" t="s">
        <v>27</v>
      </c>
      <c r="J3165" s="4" t="s">
        <v>27</v>
      </c>
      <c r="K3165" s="4" t="s">
        <v>27</v>
      </c>
      <c r="L3165" s="4" t="s">
        <v>27</v>
      </c>
      <c r="M3165" s="4" t="s">
        <v>27</v>
      </c>
      <c r="N3165" s="4" t="s">
        <v>27</v>
      </c>
    </row>
    <row r="3166" hidden="1">
      <c r="B3166" s="4" t="s">
        <v>27</v>
      </c>
      <c r="C3166" s="4" t="s">
        <v>27</v>
      </c>
      <c r="D3166" s="6" t="s">
        <v>27</v>
      </c>
      <c r="E3166" s="6" t="s">
        <v>27</v>
      </c>
      <c r="F3166" s="6" t="s">
        <v>27</v>
      </c>
      <c r="G3166" s="4" t="s">
        <v>27</v>
      </c>
      <c r="H3166" s="4" t="s">
        <v>27</v>
      </c>
      <c r="I3166" s="4" t="s">
        <v>27</v>
      </c>
      <c r="J3166" s="4" t="s">
        <v>27</v>
      </c>
      <c r="K3166" s="4" t="s">
        <v>27</v>
      </c>
      <c r="L3166" s="4" t="s">
        <v>27</v>
      </c>
      <c r="M3166" s="4" t="s">
        <v>27</v>
      </c>
      <c r="N3166" s="4" t="s">
        <v>27</v>
      </c>
    </row>
    <row r="3167" hidden="1">
      <c r="B3167" s="4" t="s">
        <v>27</v>
      </c>
      <c r="C3167" s="4" t="s">
        <v>27</v>
      </c>
      <c r="D3167" s="6" t="s">
        <v>27</v>
      </c>
      <c r="E3167" s="6" t="s">
        <v>27</v>
      </c>
      <c r="F3167" s="6" t="s">
        <v>27</v>
      </c>
      <c r="G3167" s="4" t="s">
        <v>27</v>
      </c>
      <c r="H3167" s="4" t="s">
        <v>27</v>
      </c>
      <c r="I3167" s="4" t="s">
        <v>27</v>
      </c>
      <c r="J3167" s="4" t="s">
        <v>27</v>
      </c>
      <c r="K3167" s="4" t="s">
        <v>27</v>
      </c>
      <c r="L3167" s="4" t="s">
        <v>27</v>
      </c>
      <c r="M3167" s="4" t="s">
        <v>27</v>
      </c>
      <c r="N3167" s="4" t="s">
        <v>27</v>
      </c>
    </row>
    <row r="3168" hidden="1">
      <c r="B3168" s="4" t="s">
        <v>27</v>
      </c>
      <c r="C3168" s="4" t="s">
        <v>27</v>
      </c>
      <c r="D3168" s="6" t="s">
        <v>27</v>
      </c>
      <c r="E3168" s="6" t="s">
        <v>27</v>
      </c>
      <c r="F3168" s="6" t="s">
        <v>27</v>
      </c>
      <c r="G3168" s="4" t="s">
        <v>27</v>
      </c>
      <c r="H3168" s="4" t="s">
        <v>27</v>
      </c>
      <c r="I3168" s="4" t="s">
        <v>27</v>
      </c>
      <c r="J3168" s="4" t="s">
        <v>27</v>
      </c>
      <c r="K3168" s="4" t="s">
        <v>27</v>
      </c>
      <c r="L3168" s="4" t="s">
        <v>27</v>
      </c>
      <c r="M3168" s="4" t="s">
        <v>27</v>
      </c>
      <c r="N3168" s="4" t="s">
        <v>27</v>
      </c>
    </row>
    <row r="3169" hidden="1">
      <c r="B3169" s="4" t="s">
        <v>27</v>
      </c>
      <c r="C3169" s="4" t="s">
        <v>27</v>
      </c>
      <c r="D3169" s="6" t="s">
        <v>27</v>
      </c>
      <c r="E3169" s="6" t="s">
        <v>27</v>
      </c>
      <c r="F3169" s="6" t="s">
        <v>27</v>
      </c>
      <c r="G3169" s="4" t="s">
        <v>27</v>
      </c>
      <c r="H3169" s="4" t="s">
        <v>27</v>
      </c>
      <c r="I3169" s="4" t="s">
        <v>27</v>
      </c>
      <c r="J3169" s="4" t="s">
        <v>27</v>
      </c>
      <c r="K3169" s="4" t="s">
        <v>27</v>
      </c>
      <c r="L3169" s="4" t="s">
        <v>27</v>
      </c>
      <c r="M3169" s="4" t="s">
        <v>27</v>
      </c>
      <c r="N3169" s="4" t="s">
        <v>27</v>
      </c>
    </row>
    <row r="3170" hidden="1">
      <c r="B3170" s="4" t="s">
        <v>27</v>
      </c>
      <c r="C3170" s="4" t="s">
        <v>27</v>
      </c>
      <c r="D3170" s="6" t="s">
        <v>27</v>
      </c>
      <c r="E3170" s="6" t="s">
        <v>27</v>
      </c>
      <c r="F3170" s="6" t="s">
        <v>27</v>
      </c>
      <c r="G3170" s="4" t="s">
        <v>27</v>
      </c>
      <c r="H3170" s="4" t="s">
        <v>27</v>
      </c>
      <c r="I3170" s="4" t="s">
        <v>27</v>
      </c>
      <c r="J3170" s="4" t="s">
        <v>27</v>
      </c>
      <c r="K3170" s="4" t="s">
        <v>27</v>
      </c>
      <c r="L3170" s="4" t="s">
        <v>27</v>
      </c>
      <c r="M3170" s="4" t="s">
        <v>27</v>
      </c>
      <c r="N3170" s="4" t="s">
        <v>27</v>
      </c>
    </row>
    <row r="3171" hidden="1">
      <c r="B3171" s="4" t="s">
        <v>27</v>
      </c>
      <c r="C3171" s="4" t="s">
        <v>27</v>
      </c>
      <c r="D3171" s="6" t="s">
        <v>27</v>
      </c>
      <c r="E3171" s="6" t="s">
        <v>27</v>
      </c>
      <c r="F3171" s="6" t="s">
        <v>27</v>
      </c>
      <c r="G3171" s="4" t="s">
        <v>27</v>
      </c>
      <c r="H3171" s="4" t="s">
        <v>27</v>
      </c>
      <c r="I3171" s="4" t="s">
        <v>27</v>
      </c>
      <c r="J3171" s="4" t="s">
        <v>27</v>
      </c>
      <c r="K3171" s="4" t="s">
        <v>27</v>
      </c>
      <c r="L3171" s="4" t="s">
        <v>27</v>
      </c>
      <c r="M3171" s="4" t="s">
        <v>27</v>
      </c>
      <c r="N3171" s="4" t="s">
        <v>27</v>
      </c>
    </row>
    <row r="3172" hidden="1">
      <c r="B3172" s="4" t="s">
        <v>27</v>
      </c>
      <c r="C3172" s="4" t="s">
        <v>27</v>
      </c>
      <c r="D3172" s="6" t="s">
        <v>27</v>
      </c>
      <c r="E3172" s="6" t="s">
        <v>27</v>
      </c>
      <c r="F3172" s="6" t="s">
        <v>27</v>
      </c>
      <c r="G3172" s="4" t="s">
        <v>27</v>
      </c>
      <c r="H3172" s="4" t="s">
        <v>27</v>
      </c>
      <c r="I3172" s="4" t="s">
        <v>27</v>
      </c>
      <c r="J3172" s="4" t="s">
        <v>27</v>
      </c>
      <c r="K3172" s="4" t="s">
        <v>27</v>
      </c>
      <c r="L3172" s="4" t="s">
        <v>27</v>
      </c>
      <c r="M3172" s="4" t="s">
        <v>27</v>
      </c>
      <c r="N3172" s="4" t="s">
        <v>27</v>
      </c>
    </row>
    <row r="3173" hidden="1">
      <c r="B3173" s="4" t="s">
        <v>27</v>
      </c>
      <c r="C3173" s="4" t="s">
        <v>27</v>
      </c>
      <c r="D3173" s="6" t="s">
        <v>27</v>
      </c>
      <c r="E3173" s="6" t="s">
        <v>27</v>
      </c>
      <c r="F3173" s="6" t="s">
        <v>27</v>
      </c>
      <c r="G3173" s="4" t="s">
        <v>27</v>
      </c>
      <c r="H3173" s="4" t="s">
        <v>27</v>
      </c>
      <c r="I3173" s="4" t="s">
        <v>27</v>
      </c>
      <c r="J3173" s="4" t="s">
        <v>27</v>
      </c>
      <c r="K3173" s="4" t="s">
        <v>27</v>
      </c>
      <c r="L3173" s="4" t="s">
        <v>27</v>
      </c>
      <c r="M3173" s="4" t="s">
        <v>27</v>
      </c>
      <c r="N3173" s="4" t="s">
        <v>27</v>
      </c>
    </row>
    <row r="3174" hidden="1">
      <c r="B3174" s="4" t="s">
        <v>27</v>
      </c>
      <c r="C3174" s="4" t="s">
        <v>27</v>
      </c>
      <c r="D3174" s="6" t="s">
        <v>27</v>
      </c>
      <c r="E3174" s="6" t="s">
        <v>27</v>
      </c>
      <c r="F3174" s="6" t="s">
        <v>27</v>
      </c>
      <c r="G3174" s="4" t="s">
        <v>27</v>
      </c>
      <c r="H3174" s="4" t="s">
        <v>27</v>
      </c>
      <c r="I3174" s="4" t="s">
        <v>27</v>
      </c>
      <c r="J3174" s="4" t="s">
        <v>27</v>
      </c>
      <c r="K3174" s="4" t="s">
        <v>27</v>
      </c>
      <c r="L3174" s="4" t="s">
        <v>27</v>
      </c>
      <c r="M3174" s="4" t="s">
        <v>27</v>
      </c>
      <c r="N3174" s="4" t="s">
        <v>27</v>
      </c>
    </row>
    <row r="3175" hidden="1">
      <c r="B3175" s="4" t="s">
        <v>27</v>
      </c>
      <c r="C3175" s="4" t="s">
        <v>27</v>
      </c>
      <c r="D3175" s="6" t="s">
        <v>27</v>
      </c>
      <c r="E3175" s="6" t="s">
        <v>27</v>
      </c>
      <c r="F3175" s="6" t="s">
        <v>27</v>
      </c>
      <c r="G3175" s="4" t="s">
        <v>27</v>
      </c>
      <c r="H3175" s="4" t="s">
        <v>27</v>
      </c>
      <c r="I3175" s="4" t="s">
        <v>27</v>
      </c>
      <c r="J3175" s="4" t="s">
        <v>27</v>
      </c>
      <c r="K3175" s="4" t="s">
        <v>27</v>
      </c>
      <c r="L3175" s="4" t="s">
        <v>27</v>
      </c>
      <c r="M3175" s="4" t="s">
        <v>27</v>
      </c>
      <c r="N3175" s="4" t="s">
        <v>27</v>
      </c>
    </row>
    <row r="3176" hidden="1">
      <c r="B3176" s="4" t="s">
        <v>27</v>
      </c>
      <c r="C3176" s="4" t="s">
        <v>27</v>
      </c>
      <c r="D3176" s="6" t="s">
        <v>27</v>
      </c>
      <c r="E3176" s="6" t="s">
        <v>27</v>
      </c>
      <c r="F3176" s="6" t="s">
        <v>27</v>
      </c>
      <c r="G3176" s="4" t="s">
        <v>27</v>
      </c>
      <c r="H3176" s="4" t="s">
        <v>27</v>
      </c>
      <c r="I3176" s="4" t="s">
        <v>27</v>
      </c>
      <c r="J3176" s="4" t="s">
        <v>27</v>
      </c>
      <c r="K3176" s="4" t="s">
        <v>27</v>
      </c>
      <c r="L3176" s="4" t="s">
        <v>27</v>
      </c>
      <c r="M3176" s="4" t="s">
        <v>27</v>
      </c>
      <c r="N3176" s="4" t="s">
        <v>27</v>
      </c>
    </row>
    <row r="3177" hidden="1">
      <c r="B3177" s="4" t="s">
        <v>27</v>
      </c>
      <c r="C3177" s="4" t="s">
        <v>27</v>
      </c>
      <c r="D3177" s="6" t="s">
        <v>27</v>
      </c>
      <c r="E3177" s="6" t="s">
        <v>27</v>
      </c>
      <c r="F3177" s="6" t="s">
        <v>27</v>
      </c>
      <c r="G3177" s="4" t="s">
        <v>27</v>
      </c>
      <c r="H3177" s="4" t="s">
        <v>27</v>
      </c>
      <c r="I3177" s="4" t="s">
        <v>27</v>
      </c>
      <c r="J3177" s="4" t="s">
        <v>27</v>
      </c>
      <c r="K3177" s="4" t="s">
        <v>27</v>
      </c>
      <c r="L3177" s="4" t="s">
        <v>27</v>
      </c>
      <c r="M3177" s="4" t="s">
        <v>27</v>
      </c>
      <c r="N3177" s="4" t="s">
        <v>27</v>
      </c>
    </row>
    <row r="3178" hidden="1">
      <c r="B3178" s="4" t="s">
        <v>27</v>
      </c>
      <c r="C3178" s="4" t="s">
        <v>27</v>
      </c>
      <c r="D3178" s="6" t="s">
        <v>27</v>
      </c>
      <c r="E3178" s="6" t="s">
        <v>27</v>
      </c>
      <c r="F3178" s="6" t="s">
        <v>27</v>
      </c>
      <c r="G3178" s="4" t="s">
        <v>27</v>
      </c>
      <c r="H3178" s="4" t="s">
        <v>27</v>
      </c>
      <c r="I3178" s="4" t="s">
        <v>27</v>
      </c>
      <c r="J3178" s="4" t="s">
        <v>27</v>
      </c>
      <c r="K3178" s="4" t="s">
        <v>27</v>
      </c>
      <c r="L3178" s="4" t="s">
        <v>27</v>
      </c>
      <c r="M3178" s="4" t="s">
        <v>27</v>
      </c>
      <c r="N3178" s="4" t="s">
        <v>27</v>
      </c>
    </row>
    <row r="3179" hidden="1">
      <c r="B3179" s="4" t="s">
        <v>27</v>
      </c>
      <c r="C3179" s="4" t="s">
        <v>27</v>
      </c>
      <c r="D3179" s="6" t="s">
        <v>27</v>
      </c>
      <c r="E3179" s="6" t="s">
        <v>27</v>
      </c>
      <c r="F3179" s="6" t="s">
        <v>27</v>
      </c>
      <c r="G3179" s="4" t="s">
        <v>27</v>
      </c>
      <c r="H3179" s="4" t="s">
        <v>27</v>
      </c>
      <c r="I3179" s="4" t="s">
        <v>27</v>
      </c>
      <c r="J3179" s="4" t="s">
        <v>27</v>
      </c>
      <c r="K3179" s="4" t="s">
        <v>27</v>
      </c>
      <c r="L3179" s="4" t="s">
        <v>27</v>
      </c>
      <c r="M3179" s="4" t="s">
        <v>27</v>
      </c>
      <c r="N3179" s="4" t="s">
        <v>27</v>
      </c>
    </row>
    <row r="3180" hidden="1">
      <c r="B3180" s="4" t="s">
        <v>27</v>
      </c>
      <c r="C3180" s="4" t="s">
        <v>27</v>
      </c>
      <c r="D3180" s="6" t="s">
        <v>27</v>
      </c>
      <c r="E3180" s="6" t="s">
        <v>27</v>
      </c>
      <c r="F3180" s="6" t="s">
        <v>27</v>
      </c>
      <c r="G3180" s="4" t="s">
        <v>27</v>
      </c>
      <c r="H3180" s="4" t="s">
        <v>27</v>
      </c>
      <c r="I3180" s="4" t="s">
        <v>27</v>
      </c>
      <c r="J3180" s="4" t="s">
        <v>27</v>
      </c>
      <c r="K3180" s="4" t="s">
        <v>27</v>
      </c>
      <c r="L3180" s="4" t="s">
        <v>27</v>
      </c>
      <c r="M3180" s="4" t="s">
        <v>27</v>
      </c>
      <c r="N3180" s="4" t="s">
        <v>27</v>
      </c>
    </row>
    <row r="3181" hidden="1">
      <c r="B3181" s="4" t="s">
        <v>27</v>
      </c>
      <c r="C3181" s="4" t="s">
        <v>27</v>
      </c>
      <c r="D3181" s="6" t="s">
        <v>27</v>
      </c>
      <c r="E3181" s="6" t="s">
        <v>27</v>
      </c>
      <c r="F3181" s="6" t="s">
        <v>27</v>
      </c>
      <c r="G3181" s="4" t="s">
        <v>27</v>
      </c>
      <c r="H3181" s="4" t="s">
        <v>27</v>
      </c>
      <c r="I3181" s="4" t="s">
        <v>27</v>
      </c>
      <c r="J3181" s="4" t="s">
        <v>27</v>
      </c>
      <c r="K3181" s="4" t="s">
        <v>27</v>
      </c>
      <c r="L3181" s="4" t="s">
        <v>27</v>
      </c>
      <c r="M3181" s="4" t="s">
        <v>27</v>
      </c>
      <c r="N3181" s="4" t="s">
        <v>27</v>
      </c>
    </row>
    <row r="3182" hidden="1">
      <c r="B3182" s="4" t="s">
        <v>27</v>
      </c>
      <c r="C3182" s="4" t="s">
        <v>27</v>
      </c>
      <c r="D3182" s="6" t="s">
        <v>27</v>
      </c>
      <c r="E3182" s="6" t="s">
        <v>27</v>
      </c>
      <c r="F3182" s="6" t="s">
        <v>27</v>
      </c>
      <c r="G3182" s="4" t="s">
        <v>27</v>
      </c>
      <c r="H3182" s="4" t="s">
        <v>27</v>
      </c>
      <c r="I3182" s="4" t="s">
        <v>27</v>
      </c>
      <c r="J3182" s="4" t="s">
        <v>27</v>
      </c>
      <c r="K3182" s="4" t="s">
        <v>27</v>
      </c>
      <c r="L3182" s="4" t="s">
        <v>27</v>
      </c>
      <c r="M3182" s="4" t="s">
        <v>27</v>
      </c>
      <c r="N3182" s="4" t="s">
        <v>27</v>
      </c>
    </row>
    <row r="3183" hidden="1">
      <c r="B3183" s="4" t="s">
        <v>27</v>
      </c>
      <c r="C3183" s="4" t="s">
        <v>27</v>
      </c>
      <c r="D3183" s="6" t="s">
        <v>27</v>
      </c>
      <c r="E3183" s="6" t="s">
        <v>27</v>
      </c>
      <c r="F3183" s="6" t="s">
        <v>27</v>
      </c>
      <c r="G3183" s="4" t="s">
        <v>27</v>
      </c>
      <c r="H3183" s="4" t="s">
        <v>27</v>
      </c>
      <c r="I3183" s="4" t="s">
        <v>27</v>
      </c>
      <c r="J3183" s="4" t="s">
        <v>27</v>
      </c>
      <c r="K3183" s="4" t="s">
        <v>27</v>
      </c>
      <c r="L3183" s="4" t="s">
        <v>27</v>
      </c>
      <c r="M3183" s="4" t="s">
        <v>27</v>
      </c>
      <c r="N3183" s="4" t="s">
        <v>27</v>
      </c>
    </row>
    <row r="3184" hidden="1">
      <c r="B3184" s="4" t="s">
        <v>27</v>
      </c>
      <c r="C3184" s="4" t="s">
        <v>27</v>
      </c>
      <c r="D3184" s="6" t="s">
        <v>27</v>
      </c>
      <c r="E3184" s="6" t="s">
        <v>27</v>
      </c>
      <c r="F3184" s="6" t="s">
        <v>27</v>
      </c>
      <c r="G3184" s="4" t="s">
        <v>27</v>
      </c>
      <c r="H3184" s="4" t="s">
        <v>27</v>
      </c>
      <c r="I3184" s="4" t="s">
        <v>27</v>
      </c>
      <c r="J3184" s="4" t="s">
        <v>27</v>
      </c>
      <c r="K3184" s="4" t="s">
        <v>27</v>
      </c>
      <c r="L3184" s="4" t="s">
        <v>27</v>
      </c>
      <c r="M3184" s="4" t="s">
        <v>27</v>
      </c>
      <c r="N3184" s="4" t="s">
        <v>27</v>
      </c>
    </row>
    <row r="3185" hidden="1">
      <c r="B3185" s="4" t="s">
        <v>27</v>
      </c>
      <c r="C3185" s="4" t="s">
        <v>27</v>
      </c>
      <c r="D3185" s="6" t="s">
        <v>27</v>
      </c>
      <c r="E3185" s="6" t="s">
        <v>27</v>
      </c>
      <c r="F3185" s="6" t="s">
        <v>27</v>
      </c>
      <c r="G3185" s="4" t="s">
        <v>27</v>
      </c>
      <c r="H3185" s="4" t="s">
        <v>27</v>
      </c>
      <c r="I3185" s="4" t="s">
        <v>27</v>
      </c>
      <c r="J3185" s="4" t="s">
        <v>27</v>
      </c>
      <c r="K3185" s="4" t="s">
        <v>27</v>
      </c>
      <c r="L3185" s="4" t="s">
        <v>27</v>
      </c>
      <c r="M3185" s="4" t="s">
        <v>27</v>
      </c>
      <c r="N3185" s="4" t="s">
        <v>27</v>
      </c>
    </row>
    <row r="3186" hidden="1">
      <c r="B3186" s="4" t="s">
        <v>27</v>
      </c>
      <c r="C3186" s="4" t="s">
        <v>27</v>
      </c>
      <c r="D3186" s="6" t="s">
        <v>27</v>
      </c>
      <c r="E3186" s="6" t="s">
        <v>27</v>
      </c>
      <c r="F3186" s="6" t="s">
        <v>27</v>
      </c>
      <c r="G3186" s="4" t="s">
        <v>27</v>
      </c>
      <c r="H3186" s="4" t="s">
        <v>27</v>
      </c>
      <c r="I3186" s="4" t="s">
        <v>27</v>
      </c>
      <c r="J3186" s="4" t="s">
        <v>27</v>
      </c>
      <c r="K3186" s="4" t="s">
        <v>27</v>
      </c>
      <c r="L3186" s="4" t="s">
        <v>27</v>
      </c>
      <c r="M3186" s="4" t="s">
        <v>27</v>
      </c>
      <c r="N3186" s="4" t="s">
        <v>27</v>
      </c>
    </row>
    <row r="3187" hidden="1">
      <c r="B3187" s="4" t="s">
        <v>27</v>
      </c>
      <c r="C3187" s="4" t="s">
        <v>27</v>
      </c>
      <c r="D3187" s="6" t="s">
        <v>27</v>
      </c>
      <c r="E3187" s="6" t="s">
        <v>27</v>
      </c>
      <c r="F3187" s="6" t="s">
        <v>27</v>
      </c>
      <c r="G3187" s="4" t="s">
        <v>27</v>
      </c>
      <c r="H3187" s="4" t="s">
        <v>27</v>
      </c>
      <c r="I3187" s="4" t="s">
        <v>27</v>
      </c>
      <c r="J3187" s="4" t="s">
        <v>27</v>
      </c>
      <c r="K3187" s="4" t="s">
        <v>27</v>
      </c>
      <c r="L3187" s="4" t="s">
        <v>27</v>
      </c>
      <c r="M3187" s="4" t="s">
        <v>27</v>
      </c>
      <c r="N3187" s="4" t="s">
        <v>27</v>
      </c>
    </row>
    <row r="3188" hidden="1">
      <c r="B3188" s="4" t="s">
        <v>27</v>
      </c>
      <c r="C3188" s="4" t="s">
        <v>27</v>
      </c>
      <c r="D3188" s="6" t="s">
        <v>27</v>
      </c>
      <c r="E3188" s="6" t="s">
        <v>27</v>
      </c>
      <c r="F3188" s="6" t="s">
        <v>27</v>
      </c>
      <c r="G3188" s="4" t="s">
        <v>27</v>
      </c>
      <c r="H3188" s="4" t="s">
        <v>27</v>
      </c>
      <c r="I3188" s="4" t="s">
        <v>27</v>
      </c>
      <c r="J3188" s="4" t="s">
        <v>27</v>
      </c>
      <c r="K3188" s="4" t="s">
        <v>27</v>
      </c>
      <c r="L3188" s="4" t="s">
        <v>27</v>
      </c>
      <c r="M3188" s="4" t="s">
        <v>27</v>
      </c>
      <c r="N3188" s="4" t="s">
        <v>27</v>
      </c>
    </row>
    <row r="3189" hidden="1">
      <c r="B3189" s="4" t="s">
        <v>27</v>
      </c>
      <c r="C3189" s="4" t="s">
        <v>27</v>
      </c>
      <c r="D3189" s="6" t="s">
        <v>27</v>
      </c>
      <c r="E3189" s="6" t="s">
        <v>27</v>
      </c>
      <c r="F3189" s="6" t="s">
        <v>27</v>
      </c>
      <c r="G3189" s="4" t="s">
        <v>27</v>
      </c>
      <c r="H3189" s="4" t="s">
        <v>27</v>
      </c>
      <c r="I3189" s="4" t="s">
        <v>27</v>
      </c>
      <c r="J3189" s="4" t="s">
        <v>27</v>
      </c>
      <c r="K3189" s="4" t="s">
        <v>27</v>
      </c>
      <c r="L3189" s="4" t="s">
        <v>27</v>
      </c>
      <c r="M3189" s="4" t="s">
        <v>27</v>
      </c>
      <c r="N3189" s="4" t="s">
        <v>27</v>
      </c>
    </row>
    <row r="3190" hidden="1">
      <c r="B3190" s="4" t="s">
        <v>27</v>
      </c>
      <c r="C3190" s="4" t="s">
        <v>27</v>
      </c>
      <c r="D3190" s="6" t="s">
        <v>27</v>
      </c>
      <c r="E3190" s="6" t="s">
        <v>27</v>
      </c>
      <c r="F3190" s="6" t="s">
        <v>27</v>
      </c>
      <c r="G3190" s="4" t="s">
        <v>27</v>
      </c>
      <c r="H3190" s="4" t="s">
        <v>27</v>
      </c>
      <c r="I3190" s="4" t="s">
        <v>27</v>
      </c>
      <c r="J3190" s="4" t="s">
        <v>27</v>
      </c>
      <c r="K3190" s="4" t="s">
        <v>27</v>
      </c>
      <c r="L3190" s="4" t="s">
        <v>27</v>
      </c>
      <c r="M3190" s="4" t="s">
        <v>27</v>
      </c>
      <c r="N3190" s="4" t="s">
        <v>27</v>
      </c>
    </row>
    <row r="3191" hidden="1">
      <c r="B3191" s="4" t="s">
        <v>27</v>
      </c>
      <c r="C3191" s="4" t="s">
        <v>27</v>
      </c>
      <c r="D3191" s="6" t="s">
        <v>27</v>
      </c>
      <c r="E3191" s="6" t="s">
        <v>27</v>
      </c>
      <c r="F3191" s="6" t="s">
        <v>27</v>
      </c>
      <c r="G3191" s="4" t="s">
        <v>27</v>
      </c>
      <c r="H3191" s="4" t="s">
        <v>27</v>
      </c>
      <c r="I3191" s="4" t="s">
        <v>27</v>
      </c>
      <c r="J3191" s="4" t="s">
        <v>27</v>
      </c>
      <c r="K3191" s="4" t="s">
        <v>27</v>
      </c>
      <c r="L3191" s="4" t="s">
        <v>27</v>
      </c>
      <c r="M3191" s="4" t="s">
        <v>27</v>
      </c>
      <c r="N3191" s="4" t="s">
        <v>27</v>
      </c>
    </row>
    <row r="3192" hidden="1">
      <c r="B3192" s="4" t="s">
        <v>27</v>
      </c>
      <c r="C3192" s="4" t="s">
        <v>27</v>
      </c>
      <c r="D3192" s="6" t="s">
        <v>27</v>
      </c>
      <c r="E3192" s="6" t="s">
        <v>27</v>
      </c>
      <c r="F3192" s="6" t="s">
        <v>27</v>
      </c>
      <c r="G3192" s="4" t="s">
        <v>27</v>
      </c>
      <c r="H3192" s="4" t="s">
        <v>27</v>
      </c>
      <c r="I3192" s="4" t="s">
        <v>27</v>
      </c>
      <c r="J3192" s="4" t="s">
        <v>27</v>
      </c>
      <c r="K3192" s="4" t="s">
        <v>27</v>
      </c>
      <c r="L3192" s="4" t="s">
        <v>27</v>
      </c>
      <c r="M3192" s="4" t="s">
        <v>27</v>
      </c>
      <c r="N3192" s="4" t="s">
        <v>27</v>
      </c>
    </row>
    <row r="3193" hidden="1">
      <c r="B3193" s="4" t="s">
        <v>27</v>
      </c>
      <c r="C3193" s="4" t="s">
        <v>27</v>
      </c>
      <c r="D3193" s="6" t="s">
        <v>27</v>
      </c>
      <c r="E3193" s="6" t="s">
        <v>27</v>
      </c>
      <c r="F3193" s="6" t="s">
        <v>27</v>
      </c>
      <c r="G3193" s="4" t="s">
        <v>27</v>
      </c>
      <c r="H3193" s="4" t="s">
        <v>27</v>
      </c>
      <c r="I3193" s="4" t="s">
        <v>27</v>
      </c>
      <c r="J3193" s="4" t="s">
        <v>27</v>
      </c>
      <c r="K3193" s="4" t="s">
        <v>27</v>
      </c>
      <c r="L3193" s="4" t="s">
        <v>27</v>
      </c>
      <c r="M3193" s="4" t="s">
        <v>27</v>
      </c>
      <c r="N3193" s="4" t="s">
        <v>27</v>
      </c>
    </row>
    <row r="3194" hidden="1">
      <c r="B3194" s="4" t="s">
        <v>27</v>
      </c>
      <c r="C3194" s="4" t="s">
        <v>27</v>
      </c>
      <c r="D3194" s="6" t="s">
        <v>27</v>
      </c>
      <c r="E3194" s="6" t="s">
        <v>27</v>
      </c>
      <c r="F3194" s="6" t="s">
        <v>27</v>
      </c>
      <c r="G3194" s="4" t="s">
        <v>27</v>
      </c>
      <c r="H3194" s="4" t="s">
        <v>27</v>
      </c>
      <c r="I3194" s="4" t="s">
        <v>27</v>
      </c>
      <c r="J3194" s="4" t="s">
        <v>27</v>
      </c>
      <c r="K3194" s="4" t="s">
        <v>27</v>
      </c>
      <c r="L3194" s="4" t="s">
        <v>27</v>
      </c>
      <c r="M3194" s="4" t="s">
        <v>27</v>
      </c>
      <c r="N3194" s="4" t="s">
        <v>27</v>
      </c>
    </row>
    <row r="3195" hidden="1">
      <c r="B3195" s="4" t="s">
        <v>27</v>
      </c>
      <c r="C3195" s="4" t="s">
        <v>27</v>
      </c>
      <c r="D3195" s="6" t="s">
        <v>27</v>
      </c>
      <c r="E3195" s="6" t="s">
        <v>27</v>
      </c>
      <c r="F3195" s="6" t="s">
        <v>27</v>
      </c>
      <c r="G3195" s="4" t="s">
        <v>27</v>
      </c>
      <c r="H3195" s="4" t="s">
        <v>27</v>
      </c>
      <c r="I3195" s="4" t="s">
        <v>27</v>
      </c>
      <c r="J3195" s="4" t="s">
        <v>27</v>
      </c>
      <c r="K3195" s="4" t="s">
        <v>27</v>
      </c>
      <c r="L3195" s="4" t="s">
        <v>27</v>
      </c>
      <c r="M3195" s="4" t="s">
        <v>27</v>
      </c>
      <c r="N3195" s="4" t="s">
        <v>27</v>
      </c>
    </row>
    <row r="3196" hidden="1">
      <c r="B3196" s="4" t="s">
        <v>27</v>
      </c>
      <c r="C3196" s="4" t="s">
        <v>27</v>
      </c>
      <c r="D3196" s="6" t="s">
        <v>27</v>
      </c>
      <c r="E3196" s="6" t="s">
        <v>27</v>
      </c>
      <c r="F3196" s="6" t="s">
        <v>27</v>
      </c>
      <c r="G3196" s="4" t="s">
        <v>27</v>
      </c>
      <c r="H3196" s="4" t="s">
        <v>27</v>
      </c>
      <c r="I3196" s="4" t="s">
        <v>27</v>
      </c>
      <c r="J3196" s="4" t="s">
        <v>27</v>
      </c>
      <c r="K3196" s="4" t="s">
        <v>27</v>
      </c>
      <c r="L3196" s="4" t="s">
        <v>27</v>
      </c>
      <c r="M3196" s="4" t="s">
        <v>27</v>
      </c>
      <c r="N3196" s="4" t="s">
        <v>27</v>
      </c>
    </row>
    <row r="3197" hidden="1">
      <c r="B3197" s="4" t="s">
        <v>27</v>
      </c>
      <c r="C3197" s="4" t="s">
        <v>27</v>
      </c>
      <c r="D3197" s="6" t="s">
        <v>27</v>
      </c>
      <c r="E3197" s="6" t="s">
        <v>27</v>
      </c>
      <c r="F3197" s="6" t="s">
        <v>27</v>
      </c>
      <c r="G3197" s="4" t="s">
        <v>27</v>
      </c>
      <c r="H3197" s="4" t="s">
        <v>27</v>
      </c>
      <c r="I3197" s="4" t="s">
        <v>27</v>
      </c>
      <c r="J3197" s="4" t="s">
        <v>27</v>
      </c>
      <c r="K3197" s="4" t="s">
        <v>27</v>
      </c>
      <c r="L3197" s="4" t="s">
        <v>27</v>
      </c>
      <c r="M3197" s="4" t="s">
        <v>27</v>
      </c>
      <c r="N3197" s="4" t="s">
        <v>27</v>
      </c>
    </row>
    <row r="3198" hidden="1">
      <c r="B3198" s="4" t="s">
        <v>27</v>
      </c>
      <c r="C3198" s="4" t="s">
        <v>27</v>
      </c>
      <c r="D3198" s="6" t="s">
        <v>27</v>
      </c>
      <c r="E3198" s="6" t="s">
        <v>27</v>
      </c>
      <c r="F3198" s="6" t="s">
        <v>27</v>
      </c>
      <c r="G3198" s="4" t="s">
        <v>27</v>
      </c>
      <c r="H3198" s="4" t="s">
        <v>27</v>
      </c>
      <c r="I3198" s="4" t="s">
        <v>27</v>
      </c>
      <c r="J3198" s="4" t="s">
        <v>27</v>
      </c>
      <c r="K3198" s="4" t="s">
        <v>27</v>
      </c>
      <c r="L3198" s="4" t="s">
        <v>27</v>
      </c>
      <c r="M3198" s="4" t="s">
        <v>27</v>
      </c>
      <c r="N3198" s="4" t="s">
        <v>27</v>
      </c>
    </row>
    <row r="3199" hidden="1">
      <c r="B3199" s="4" t="s">
        <v>27</v>
      </c>
      <c r="C3199" s="4" t="s">
        <v>27</v>
      </c>
      <c r="D3199" s="6" t="s">
        <v>27</v>
      </c>
      <c r="E3199" s="6" t="s">
        <v>27</v>
      </c>
      <c r="F3199" s="6" t="s">
        <v>27</v>
      </c>
      <c r="G3199" s="4" t="s">
        <v>27</v>
      </c>
      <c r="H3199" s="4" t="s">
        <v>27</v>
      </c>
      <c r="I3199" s="4" t="s">
        <v>27</v>
      </c>
      <c r="J3199" s="4" t="s">
        <v>27</v>
      </c>
      <c r="K3199" s="4" t="s">
        <v>27</v>
      </c>
      <c r="L3199" s="4" t="s">
        <v>27</v>
      </c>
      <c r="M3199" s="4" t="s">
        <v>27</v>
      </c>
      <c r="N3199" s="4" t="s">
        <v>27</v>
      </c>
    </row>
    <row r="3200" hidden="1">
      <c r="B3200" s="4" t="s">
        <v>27</v>
      </c>
      <c r="C3200" s="4" t="s">
        <v>27</v>
      </c>
      <c r="D3200" s="6" t="s">
        <v>27</v>
      </c>
      <c r="E3200" s="6" t="s">
        <v>27</v>
      </c>
      <c r="F3200" s="6" t="s">
        <v>27</v>
      </c>
      <c r="G3200" s="4" t="s">
        <v>27</v>
      </c>
      <c r="H3200" s="4" t="s">
        <v>27</v>
      </c>
      <c r="I3200" s="4" t="s">
        <v>27</v>
      </c>
      <c r="J3200" s="4" t="s">
        <v>27</v>
      </c>
      <c r="K3200" s="4" t="s">
        <v>27</v>
      </c>
      <c r="L3200" s="4" t="s">
        <v>27</v>
      </c>
      <c r="M3200" s="4" t="s">
        <v>27</v>
      </c>
      <c r="N3200" s="4" t="s">
        <v>27</v>
      </c>
    </row>
    <row r="3201" hidden="1">
      <c r="B3201" s="4" t="s">
        <v>27</v>
      </c>
      <c r="C3201" s="4" t="s">
        <v>27</v>
      </c>
      <c r="D3201" s="6" t="s">
        <v>27</v>
      </c>
      <c r="E3201" s="6" t="s">
        <v>27</v>
      </c>
      <c r="F3201" s="6" t="s">
        <v>27</v>
      </c>
      <c r="G3201" s="4" t="s">
        <v>27</v>
      </c>
      <c r="H3201" s="4" t="s">
        <v>27</v>
      </c>
      <c r="I3201" s="4" t="s">
        <v>27</v>
      </c>
      <c r="J3201" s="4" t="s">
        <v>27</v>
      </c>
      <c r="K3201" s="4" t="s">
        <v>27</v>
      </c>
      <c r="L3201" s="4" t="s">
        <v>27</v>
      </c>
      <c r="M3201" s="4" t="s">
        <v>27</v>
      </c>
      <c r="N3201" s="4" t="s">
        <v>27</v>
      </c>
    </row>
    <row r="3202" hidden="1">
      <c r="B3202" s="4" t="s">
        <v>27</v>
      </c>
      <c r="C3202" s="4" t="s">
        <v>27</v>
      </c>
      <c r="D3202" s="6" t="s">
        <v>27</v>
      </c>
      <c r="E3202" s="6" t="s">
        <v>27</v>
      </c>
      <c r="F3202" s="6" t="s">
        <v>27</v>
      </c>
      <c r="G3202" s="4" t="s">
        <v>27</v>
      </c>
      <c r="H3202" s="4" t="s">
        <v>27</v>
      </c>
      <c r="I3202" s="4" t="s">
        <v>27</v>
      </c>
      <c r="J3202" s="4" t="s">
        <v>27</v>
      </c>
      <c r="K3202" s="4" t="s">
        <v>27</v>
      </c>
      <c r="L3202" s="4" t="s">
        <v>27</v>
      </c>
      <c r="M3202" s="4" t="s">
        <v>27</v>
      </c>
      <c r="N3202" s="4" t="s">
        <v>27</v>
      </c>
    </row>
    <row r="3203" hidden="1">
      <c r="B3203" s="4" t="s">
        <v>27</v>
      </c>
      <c r="C3203" s="4" t="s">
        <v>27</v>
      </c>
      <c r="D3203" s="6" t="s">
        <v>27</v>
      </c>
      <c r="E3203" s="6" t="s">
        <v>27</v>
      </c>
      <c r="F3203" s="6" t="s">
        <v>27</v>
      </c>
      <c r="G3203" s="4" t="s">
        <v>27</v>
      </c>
      <c r="H3203" s="4" t="s">
        <v>27</v>
      </c>
      <c r="I3203" s="4" t="s">
        <v>27</v>
      </c>
      <c r="J3203" s="4" t="s">
        <v>27</v>
      </c>
      <c r="K3203" s="4" t="s">
        <v>27</v>
      </c>
      <c r="L3203" s="4" t="s">
        <v>27</v>
      </c>
      <c r="M3203" s="4" t="s">
        <v>27</v>
      </c>
      <c r="N3203" s="4" t="s">
        <v>27</v>
      </c>
    </row>
    <row r="3204" hidden="1">
      <c r="B3204" s="4" t="s">
        <v>27</v>
      </c>
      <c r="C3204" s="4" t="s">
        <v>27</v>
      </c>
      <c r="D3204" s="6" t="s">
        <v>27</v>
      </c>
      <c r="E3204" s="6" t="s">
        <v>27</v>
      </c>
      <c r="F3204" s="6" t="s">
        <v>27</v>
      </c>
      <c r="G3204" s="4" t="s">
        <v>27</v>
      </c>
      <c r="H3204" s="4" t="s">
        <v>27</v>
      </c>
      <c r="I3204" s="4" t="s">
        <v>27</v>
      </c>
      <c r="J3204" s="4" t="s">
        <v>27</v>
      </c>
      <c r="K3204" s="4" t="s">
        <v>27</v>
      </c>
      <c r="L3204" s="4" t="s">
        <v>27</v>
      </c>
      <c r="M3204" s="4" t="s">
        <v>27</v>
      </c>
      <c r="N3204" s="4" t="s">
        <v>27</v>
      </c>
    </row>
    <row r="3205" hidden="1">
      <c r="B3205" s="4" t="s">
        <v>27</v>
      </c>
      <c r="C3205" s="4" t="s">
        <v>27</v>
      </c>
      <c r="D3205" s="6" t="s">
        <v>27</v>
      </c>
      <c r="E3205" s="6" t="s">
        <v>27</v>
      </c>
      <c r="F3205" s="6" t="s">
        <v>27</v>
      </c>
      <c r="G3205" s="4" t="s">
        <v>27</v>
      </c>
      <c r="H3205" s="4" t="s">
        <v>27</v>
      </c>
      <c r="I3205" s="4" t="s">
        <v>27</v>
      </c>
      <c r="J3205" s="4" t="s">
        <v>27</v>
      </c>
      <c r="K3205" s="4" t="s">
        <v>27</v>
      </c>
      <c r="L3205" s="4" t="s">
        <v>27</v>
      </c>
      <c r="M3205" s="4" t="s">
        <v>27</v>
      </c>
      <c r="N3205" s="4" t="s">
        <v>27</v>
      </c>
    </row>
    <row r="3206" hidden="1">
      <c r="B3206" s="4" t="s">
        <v>27</v>
      </c>
      <c r="C3206" s="4" t="s">
        <v>27</v>
      </c>
      <c r="D3206" s="6" t="s">
        <v>27</v>
      </c>
      <c r="E3206" s="6" t="s">
        <v>27</v>
      </c>
      <c r="F3206" s="6" t="s">
        <v>27</v>
      </c>
      <c r="G3206" s="4" t="s">
        <v>27</v>
      </c>
      <c r="H3206" s="4" t="s">
        <v>27</v>
      </c>
      <c r="I3206" s="4" t="s">
        <v>27</v>
      </c>
      <c r="J3206" s="4" t="s">
        <v>27</v>
      </c>
      <c r="K3206" s="4" t="s">
        <v>27</v>
      </c>
      <c r="L3206" s="4" t="s">
        <v>27</v>
      </c>
      <c r="M3206" s="4" t="s">
        <v>27</v>
      </c>
      <c r="N3206" s="4" t="s">
        <v>27</v>
      </c>
    </row>
    <row r="3207" hidden="1">
      <c r="B3207" s="4" t="s">
        <v>27</v>
      </c>
      <c r="C3207" s="4" t="s">
        <v>27</v>
      </c>
      <c r="D3207" s="6" t="s">
        <v>27</v>
      </c>
      <c r="E3207" s="6" t="s">
        <v>27</v>
      </c>
      <c r="F3207" s="6" t="s">
        <v>27</v>
      </c>
      <c r="G3207" s="4" t="s">
        <v>27</v>
      </c>
      <c r="H3207" s="4" t="s">
        <v>27</v>
      </c>
      <c r="I3207" s="4" t="s">
        <v>27</v>
      </c>
      <c r="J3207" s="4" t="s">
        <v>27</v>
      </c>
      <c r="K3207" s="4" t="s">
        <v>27</v>
      </c>
      <c r="L3207" s="4" t="s">
        <v>27</v>
      </c>
      <c r="M3207" s="4" t="s">
        <v>27</v>
      </c>
      <c r="N3207" s="4" t="s">
        <v>27</v>
      </c>
    </row>
    <row r="3208" hidden="1">
      <c r="B3208" s="4" t="s">
        <v>27</v>
      </c>
      <c r="C3208" s="4" t="s">
        <v>27</v>
      </c>
      <c r="D3208" s="6" t="s">
        <v>27</v>
      </c>
      <c r="E3208" s="6" t="s">
        <v>27</v>
      </c>
      <c r="F3208" s="6" t="s">
        <v>27</v>
      </c>
      <c r="G3208" s="4" t="s">
        <v>27</v>
      </c>
      <c r="H3208" s="4" t="s">
        <v>27</v>
      </c>
      <c r="I3208" s="4" t="s">
        <v>27</v>
      </c>
      <c r="J3208" s="4" t="s">
        <v>27</v>
      </c>
      <c r="K3208" s="4" t="s">
        <v>27</v>
      </c>
      <c r="L3208" s="4" t="s">
        <v>27</v>
      </c>
      <c r="M3208" s="4" t="s">
        <v>27</v>
      </c>
      <c r="N3208" s="4" t="s">
        <v>27</v>
      </c>
    </row>
    <row r="3209" hidden="1">
      <c r="B3209" s="4" t="s">
        <v>27</v>
      </c>
      <c r="C3209" s="4" t="s">
        <v>27</v>
      </c>
      <c r="D3209" s="6" t="s">
        <v>27</v>
      </c>
      <c r="E3209" s="6" t="s">
        <v>27</v>
      </c>
      <c r="F3209" s="6" t="s">
        <v>27</v>
      </c>
      <c r="G3209" s="4" t="s">
        <v>27</v>
      </c>
      <c r="H3209" s="4" t="s">
        <v>27</v>
      </c>
      <c r="I3209" s="4" t="s">
        <v>27</v>
      </c>
      <c r="J3209" s="4" t="s">
        <v>27</v>
      </c>
      <c r="K3209" s="4" t="s">
        <v>27</v>
      </c>
      <c r="L3209" s="4" t="s">
        <v>27</v>
      </c>
      <c r="M3209" s="4" t="s">
        <v>27</v>
      </c>
      <c r="N3209" s="4" t="s">
        <v>27</v>
      </c>
    </row>
    <row r="3210" hidden="1">
      <c r="B3210" s="4" t="s">
        <v>27</v>
      </c>
      <c r="C3210" s="4" t="s">
        <v>27</v>
      </c>
      <c r="D3210" s="6" t="s">
        <v>27</v>
      </c>
      <c r="E3210" s="6" t="s">
        <v>27</v>
      </c>
      <c r="F3210" s="6" t="s">
        <v>27</v>
      </c>
      <c r="G3210" s="4" t="s">
        <v>27</v>
      </c>
      <c r="H3210" s="4" t="s">
        <v>27</v>
      </c>
      <c r="I3210" s="4" t="s">
        <v>27</v>
      </c>
      <c r="J3210" s="4" t="s">
        <v>27</v>
      </c>
      <c r="K3210" s="4" t="s">
        <v>27</v>
      </c>
      <c r="L3210" s="4" t="s">
        <v>27</v>
      </c>
      <c r="M3210" s="4" t="s">
        <v>27</v>
      </c>
      <c r="N3210" s="4" t="s">
        <v>27</v>
      </c>
    </row>
    <row r="3211" hidden="1">
      <c r="B3211" s="4" t="s">
        <v>27</v>
      </c>
      <c r="C3211" s="4" t="s">
        <v>27</v>
      </c>
      <c r="D3211" s="6" t="s">
        <v>27</v>
      </c>
      <c r="E3211" s="6" t="s">
        <v>27</v>
      </c>
      <c r="F3211" s="6" t="s">
        <v>27</v>
      </c>
      <c r="G3211" s="4" t="s">
        <v>27</v>
      </c>
      <c r="H3211" s="4" t="s">
        <v>27</v>
      </c>
      <c r="I3211" s="4" t="s">
        <v>27</v>
      </c>
      <c r="J3211" s="4" t="s">
        <v>27</v>
      </c>
      <c r="K3211" s="4" t="s">
        <v>27</v>
      </c>
      <c r="L3211" s="4" t="s">
        <v>27</v>
      </c>
      <c r="M3211" s="4" t="s">
        <v>27</v>
      </c>
      <c r="N3211" s="4" t="s">
        <v>27</v>
      </c>
    </row>
    <row r="3212" hidden="1">
      <c r="B3212" s="4" t="s">
        <v>27</v>
      </c>
      <c r="C3212" s="4" t="s">
        <v>27</v>
      </c>
      <c r="D3212" s="6" t="s">
        <v>27</v>
      </c>
      <c r="E3212" s="6" t="s">
        <v>27</v>
      </c>
      <c r="F3212" s="6" t="s">
        <v>27</v>
      </c>
      <c r="G3212" s="4" t="s">
        <v>27</v>
      </c>
      <c r="H3212" s="4" t="s">
        <v>27</v>
      </c>
      <c r="I3212" s="4" t="s">
        <v>27</v>
      </c>
      <c r="J3212" s="4" t="s">
        <v>27</v>
      </c>
      <c r="K3212" s="4" t="s">
        <v>27</v>
      </c>
      <c r="L3212" s="4" t="s">
        <v>27</v>
      </c>
      <c r="M3212" s="4" t="s">
        <v>27</v>
      </c>
      <c r="N3212" s="4" t="s">
        <v>27</v>
      </c>
    </row>
    <row r="3213" hidden="1">
      <c r="B3213" s="4" t="s">
        <v>27</v>
      </c>
      <c r="C3213" s="4" t="s">
        <v>27</v>
      </c>
      <c r="D3213" s="6" t="s">
        <v>27</v>
      </c>
      <c r="E3213" s="6" t="s">
        <v>27</v>
      </c>
      <c r="F3213" s="6" t="s">
        <v>27</v>
      </c>
      <c r="G3213" s="4" t="s">
        <v>27</v>
      </c>
      <c r="H3213" s="4" t="s">
        <v>27</v>
      </c>
      <c r="I3213" s="4" t="s">
        <v>27</v>
      </c>
      <c r="J3213" s="4" t="s">
        <v>27</v>
      </c>
      <c r="K3213" s="4" t="s">
        <v>27</v>
      </c>
      <c r="L3213" s="4" t="s">
        <v>27</v>
      </c>
      <c r="M3213" s="4" t="s">
        <v>27</v>
      </c>
      <c r="N3213" s="4" t="s">
        <v>27</v>
      </c>
    </row>
    <row r="3214" hidden="1">
      <c r="B3214" s="4" t="s">
        <v>27</v>
      </c>
      <c r="C3214" s="4" t="s">
        <v>27</v>
      </c>
      <c r="D3214" s="6" t="s">
        <v>27</v>
      </c>
      <c r="E3214" s="6" t="s">
        <v>27</v>
      </c>
      <c r="F3214" s="6" t="s">
        <v>27</v>
      </c>
      <c r="G3214" s="4" t="s">
        <v>27</v>
      </c>
      <c r="H3214" s="4" t="s">
        <v>27</v>
      </c>
      <c r="I3214" s="4" t="s">
        <v>27</v>
      </c>
      <c r="J3214" s="4" t="s">
        <v>27</v>
      </c>
      <c r="K3214" s="4" t="s">
        <v>27</v>
      </c>
      <c r="L3214" s="4" t="s">
        <v>27</v>
      </c>
      <c r="M3214" s="4" t="s">
        <v>27</v>
      </c>
      <c r="N3214" s="4" t="s">
        <v>27</v>
      </c>
    </row>
    <row r="3215" hidden="1">
      <c r="B3215" s="4" t="s">
        <v>27</v>
      </c>
      <c r="C3215" s="4" t="s">
        <v>27</v>
      </c>
      <c r="D3215" s="6" t="s">
        <v>27</v>
      </c>
      <c r="E3215" s="6" t="s">
        <v>27</v>
      </c>
      <c r="F3215" s="6" t="s">
        <v>27</v>
      </c>
      <c r="G3215" s="4" t="s">
        <v>27</v>
      </c>
      <c r="H3215" s="4" t="s">
        <v>27</v>
      </c>
      <c r="I3215" s="4" t="s">
        <v>27</v>
      </c>
      <c r="J3215" s="4" t="s">
        <v>27</v>
      </c>
      <c r="K3215" s="4" t="s">
        <v>27</v>
      </c>
      <c r="L3215" s="4" t="s">
        <v>27</v>
      </c>
      <c r="M3215" s="4" t="s">
        <v>27</v>
      </c>
      <c r="N3215" s="4" t="s">
        <v>27</v>
      </c>
    </row>
    <row r="3216" hidden="1">
      <c r="B3216" s="4" t="s">
        <v>27</v>
      </c>
      <c r="C3216" s="4" t="s">
        <v>27</v>
      </c>
      <c r="D3216" s="6" t="s">
        <v>27</v>
      </c>
      <c r="E3216" s="6" t="s">
        <v>27</v>
      </c>
      <c r="F3216" s="6" t="s">
        <v>27</v>
      </c>
      <c r="G3216" s="4" t="s">
        <v>27</v>
      </c>
      <c r="H3216" s="4" t="s">
        <v>27</v>
      </c>
      <c r="I3216" s="4" t="s">
        <v>27</v>
      </c>
      <c r="J3216" s="4" t="s">
        <v>27</v>
      </c>
      <c r="K3216" s="4" t="s">
        <v>27</v>
      </c>
      <c r="L3216" s="4" t="s">
        <v>27</v>
      </c>
      <c r="M3216" s="4" t="s">
        <v>27</v>
      </c>
      <c r="N3216" s="4" t="s">
        <v>27</v>
      </c>
    </row>
    <row r="3217" hidden="1">
      <c r="B3217" s="4" t="s">
        <v>27</v>
      </c>
      <c r="C3217" s="4" t="s">
        <v>27</v>
      </c>
      <c r="D3217" s="6" t="s">
        <v>27</v>
      </c>
      <c r="E3217" s="6" t="s">
        <v>27</v>
      </c>
      <c r="F3217" s="6" t="s">
        <v>27</v>
      </c>
      <c r="G3217" s="4" t="s">
        <v>27</v>
      </c>
      <c r="H3217" s="4" t="s">
        <v>27</v>
      </c>
      <c r="I3217" s="4" t="s">
        <v>27</v>
      </c>
      <c r="J3217" s="4" t="s">
        <v>27</v>
      </c>
      <c r="K3217" s="4" t="s">
        <v>27</v>
      </c>
      <c r="L3217" s="4" t="s">
        <v>27</v>
      </c>
      <c r="M3217" s="4" t="s">
        <v>27</v>
      </c>
      <c r="N3217" s="4" t="s">
        <v>27</v>
      </c>
    </row>
    <row r="3218" hidden="1">
      <c r="B3218" s="4" t="s">
        <v>27</v>
      </c>
      <c r="C3218" s="4" t="s">
        <v>27</v>
      </c>
      <c r="D3218" s="6" t="s">
        <v>27</v>
      </c>
      <c r="E3218" s="6" t="s">
        <v>27</v>
      </c>
      <c r="F3218" s="6" t="s">
        <v>27</v>
      </c>
      <c r="G3218" s="4" t="s">
        <v>27</v>
      </c>
      <c r="H3218" s="4" t="s">
        <v>27</v>
      </c>
      <c r="I3218" s="4" t="s">
        <v>27</v>
      </c>
      <c r="J3218" s="4" t="s">
        <v>27</v>
      </c>
      <c r="K3218" s="4" t="s">
        <v>27</v>
      </c>
      <c r="L3218" s="4" t="s">
        <v>27</v>
      </c>
      <c r="M3218" s="4" t="s">
        <v>27</v>
      </c>
      <c r="N3218" s="4" t="s">
        <v>27</v>
      </c>
    </row>
    <row r="3219" hidden="1">
      <c r="B3219" s="4" t="s">
        <v>27</v>
      </c>
      <c r="C3219" s="4" t="s">
        <v>27</v>
      </c>
      <c r="D3219" s="6" t="s">
        <v>27</v>
      </c>
      <c r="E3219" s="6" t="s">
        <v>27</v>
      </c>
      <c r="F3219" s="6" t="s">
        <v>27</v>
      </c>
      <c r="G3219" s="4" t="s">
        <v>27</v>
      </c>
      <c r="H3219" s="4" t="s">
        <v>27</v>
      </c>
      <c r="I3219" s="4" t="s">
        <v>27</v>
      </c>
      <c r="J3219" s="4" t="s">
        <v>27</v>
      </c>
      <c r="K3219" s="4" t="s">
        <v>27</v>
      </c>
      <c r="L3219" s="4" t="s">
        <v>27</v>
      </c>
      <c r="M3219" s="4" t="s">
        <v>27</v>
      </c>
      <c r="N3219" s="4" t="s">
        <v>27</v>
      </c>
    </row>
    <row r="3220" hidden="1">
      <c r="B3220" s="4" t="s">
        <v>27</v>
      </c>
      <c r="C3220" s="4" t="s">
        <v>27</v>
      </c>
      <c r="D3220" s="6" t="s">
        <v>27</v>
      </c>
      <c r="E3220" s="6" t="s">
        <v>27</v>
      </c>
      <c r="F3220" s="6" t="s">
        <v>27</v>
      </c>
      <c r="G3220" s="4" t="s">
        <v>27</v>
      </c>
      <c r="H3220" s="4" t="s">
        <v>27</v>
      </c>
      <c r="I3220" s="4" t="s">
        <v>27</v>
      </c>
      <c r="J3220" s="4" t="s">
        <v>27</v>
      </c>
      <c r="K3220" s="4" t="s">
        <v>27</v>
      </c>
      <c r="L3220" s="4" t="s">
        <v>27</v>
      </c>
      <c r="M3220" s="4" t="s">
        <v>27</v>
      </c>
      <c r="N3220" s="4" t="s">
        <v>27</v>
      </c>
    </row>
    <row r="3221" hidden="1">
      <c r="B3221" s="4" t="s">
        <v>27</v>
      </c>
      <c r="C3221" s="4" t="s">
        <v>27</v>
      </c>
      <c r="D3221" s="6" t="s">
        <v>27</v>
      </c>
      <c r="E3221" s="6" t="s">
        <v>27</v>
      </c>
      <c r="F3221" s="6" t="s">
        <v>27</v>
      </c>
      <c r="G3221" s="4" t="s">
        <v>27</v>
      </c>
      <c r="H3221" s="4" t="s">
        <v>27</v>
      </c>
      <c r="I3221" s="4" t="s">
        <v>27</v>
      </c>
      <c r="J3221" s="4" t="s">
        <v>27</v>
      </c>
      <c r="K3221" s="4" t="s">
        <v>27</v>
      </c>
      <c r="L3221" s="4" t="s">
        <v>27</v>
      </c>
      <c r="M3221" s="4" t="s">
        <v>27</v>
      </c>
      <c r="N3221" s="4" t="s">
        <v>27</v>
      </c>
    </row>
    <row r="3222" hidden="1">
      <c r="B3222" s="4" t="s">
        <v>27</v>
      </c>
      <c r="C3222" s="4" t="s">
        <v>27</v>
      </c>
      <c r="D3222" s="6" t="s">
        <v>27</v>
      </c>
      <c r="E3222" s="6" t="s">
        <v>27</v>
      </c>
      <c r="F3222" s="6" t="s">
        <v>27</v>
      </c>
      <c r="G3222" s="4" t="s">
        <v>27</v>
      </c>
      <c r="H3222" s="4" t="s">
        <v>27</v>
      </c>
      <c r="I3222" s="4" t="s">
        <v>27</v>
      </c>
      <c r="J3222" s="4" t="s">
        <v>27</v>
      </c>
      <c r="K3222" s="4" t="s">
        <v>27</v>
      </c>
      <c r="L3222" s="4" t="s">
        <v>27</v>
      </c>
      <c r="M3222" s="4" t="s">
        <v>27</v>
      </c>
      <c r="N3222" s="4" t="s">
        <v>27</v>
      </c>
    </row>
    <row r="3223" hidden="1">
      <c r="B3223" s="4" t="s">
        <v>27</v>
      </c>
      <c r="C3223" s="4" t="s">
        <v>27</v>
      </c>
      <c r="D3223" s="6" t="s">
        <v>27</v>
      </c>
      <c r="E3223" s="6" t="s">
        <v>27</v>
      </c>
      <c r="F3223" s="6" t="s">
        <v>27</v>
      </c>
      <c r="G3223" s="4" t="s">
        <v>27</v>
      </c>
      <c r="H3223" s="4" t="s">
        <v>27</v>
      </c>
      <c r="I3223" s="4" t="s">
        <v>27</v>
      </c>
      <c r="J3223" s="4" t="s">
        <v>27</v>
      </c>
      <c r="K3223" s="4" t="s">
        <v>27</v>
      </c>
      <c r="L3223" s="4" t="s">
        <v>27</v>
      </c>
      <c r="M3223" s="4" t="s">
        <v>27</v>
      </c>
      <c r="N3223" s="4" t="s">
        <v>27</v>
      </c>
    </row>
    <row r="3224" hidden="1">
      <c r="B3224" s="4" t="s">
        <v>27</v>
      </c>
      <c r="C3224" s="4" t="s">
        <v>27</v>
      </c>
      <c r="D3224" s="6" t="s">
        <v>27</v>
      </c>
      <c r="E3224" s="6" t="s">
        <v>27</v>
      </c>
      <c r="F3224" s="6" t="s">
        <v>27</v>
      </c>
      <c r="G3224" s="4" t="s">
        <v>27</v>
      </c>
      <c r="H3224" s="4" t="s">
        <v>27</v>
      </c>
      <c r="I3224" s="4" t="s">
        <v>27</v>
      </c>
      <c r="J3224" s="4" t="s">
        <v>27</v>
      </c>
      <c r="K3224" s="4" t="s">
        <v>27</v>
      </c>
      <c r="L3224" s="4" t="s">
        <v>27</v>
      </c>
      <c r="M3224" s="4" t="s">
        <v>27</v>
      </c>
      <c r="N3224" s="4" t="s">
        <v>27</v>
      </c>
    </row>
    <row r="3225" hidden="1">
      <c r="B3225" s="4" t="s">
        <v>27</v>
      </c>
      <c r="C3225" s="4" t="s">
        <v>27</v>
      </c>
      <c r="D3225" s="6" t="s">
        <v>27</v>
      </c>
      <c r="E3225" s="6" t="s">
        <v>27</v>
      </c>
      <c r="F3225" s="6" t="s">
        <v>27</v>
      </c>
      <c r="G3225" s="4" t="s">
        <v>27</v>
      </c>
      <c r="H3225" s="4" t="s">
        <v>27</v>
      </c>
      <c r="I3225" s="4" t="s">
        <v>27</v>
      </c>
      <c r="J3225" s="4" t="s">
        <v>27</v>
      </c>
      <c r="K3225" s="4" t="s">
        <v>27</v>
      </c>
      <c r="L3225" s="4" t="s">
        <v>27</v>
      </c>
      <c r="M3225" s="4" t="s">
        <v>27</v>
      </c>
      <c r="N3225" s="4" t="s">
        <v>27</v>
      </c>
    </row>
    <row r="3226" hidden="1">
      <c r="B3226" s="4" t="s">
        <v>27</v>
      </c>
      <c r="C3226" s="4" t="s">
        <v>27</v>
      </c>
      <c r="D3226" s="6" t="s">
        <v>27</v>
      </c>
      <c r="E3226" s="6" t="s">
        <v>27</v>
      </c>
      <c r="F3226" s="6" t="s">
        <v>27</v>
      </c>
      <c r="G3226" s="4" t="s">
        <v>27</v>
      </c>
      <c r="H3226" s="4" t="s">
        <v>27</v>
      </c>
      <c r="I3226" s="4" t="s">
        <v>27</v>
      </c>
      <c r="J3226" s="4" t="s">
        <v>27</v>
      </c>
      <c r="K3226" s="4" t="s">
        <v>27</v>
      </c>
      <c r="L3226" s="4" t="s">
        <v>27</v>
      </c>
      <c r="M3226" s="4" t="s">
        <v>27</v>
      </c>
      <c r="N3226" s="4" t="s">
        <v>27</v>
      </c>
    </row>
    <row r="3227" hidden="1">
      <c r="B3227" s="4" t="s">
        <v>27</v>
      </c>
      <c r="C3227" s="4" t="s">
        <v>27</v>
      </c>
      <c r="D3227" s="6" t="s">
        <v>27</v>
      </c>
      <c r="E3227" s="6" t="s">
        <v>27</v>
      </c>
      <c r="F3227" s="6" t="s">
        <v>27</v>
      </c>
      <c r="G3227" s="4" t="s">
        <v>27</v>
      </c>
      <c r="H3227" s="4" t="s">
        <v>27</v>
      </c>
      <c r="I3227" s="4" t="s">
        <v>27</v>
      </c>
      <c r="J3227" s="4" t="s">
        <v>27</v>
      </c>
      <c r="K3227" s="4" t="s">
        <v>27</v>
      </c>
      <c r="L3227" s="4" t="s">
        <v>27</v>
      </c>
      <c r="M3227" s="4" t="s">
        <v>27</v>
      </c>
      <c r="N3227" s="4" t="s">
        <v>27</v>
      </c>
    </row>
    <row r="3228" hidden="1">
      <c r="B3228" s="4" t="s">
        <v>27</v>
      </c>
      <c r="C3228" s="4" t="s">
        <v>27</v>
      </c>
      <c r="D3228" s="6" t="s">
        <v>27</v>
      </c>
      <c r="E3228" s="6" t="s">
        <v>27</v>
      </c>
      <c r="F3228" s="6" t="s">
        <v>27</v>
      </c>
      <c r="G3228" s="4" t="s">
        <v>27</v>
      </c>
      <c r="H3228" s="4" t="s">
        <v>27</v>
      </c>
      <c r="I3228" s="4" t="s">
        <v>27</v>
      </c>
      <c r="J3228" s="4" t="s">
        <v>27</v>
      </c>
      <c r="K3228" s="4" t="s">
        <v>27</v>
      </c>
      <c r="L3228" s="4" t="s">
        <v>27</v>
      </c>
      <c r="M3228" s="4" t="s">
        <v>27</v>
      </c>
      <c r="N3228" s="4" t="s">
        <v>27</v>
      </c>
    </row>
    <row r="3229" hidden="1">
      <c r="B3229" s="4" t="s">
        <v>27</v>
      </c>
      <c r="C3229" s="4" t="s">
        <v>27</v>
      </c>
      <c r="D3229" s="6" t="s">
        <v>27</v>
      </c>
      <c r="E3229" s="6" t="s">
        <v>27</v>
      </c>
      <c r="F3229" s="6" t="s">
        <v>27</v>
      </c>
      <c r="G3229" s="4" t="s">
        <v>27</v>
      </c>
      <c r="H3229" s="4" t="s">
        <v>27</v>
      </c>
      <c r="I3229" s="4" t="s">
        <v>27</v>
      </c>
      <c r="J3229" s="4" t="s">
        <v>27</v>
      </c>
      <c r="K3229" s="4" t="s">
        <v>27</v>
      </c>
      <c r="L3229" s="4" t="s">
        <v>27</v>
      </c>
      <c r="M3229" s="4" t="s">
        <v>27</v>
      </c>
      <c r="N3229" s="4" t="s">
        <v>27</v>
      </c>
    </row>
    <row r="3230" hidden="1">
      <c r="B3230" s="4" t="s">
        <v>27</v>
      </c>
      <c r="C3230" s="4" t="s">
        <v>27</v>
      </c>
      <c r="D3230" s="6" t="s">
        <v>27</v>
      </c>
      <c r="E3230" s="6" t="s">
        <v>27</v>
      </c>
      <c r="F3230" s="6" t="s">
        <v>27</v>
      </c>
      <c r="G3230" s="4" t="s">
        <v>27</v>
      </c>
      <c r="H3230" s="4" t="s">
        <v>27</v>
      </c>
      <c r="I3230" s="4" t="s">
        <v>27</v>
      </c>
      <c r="J3230" s="4" t="s">
        <v>27</v>
      </c>
      <c r="K3230" s="4" t="s">
        <v>27</v>
      </c>
      <c r="L3230" s="4" t="s">
        <v>27</v>
      </c>
      <c r="M3230" s="4" t="s">
        <v>27</v>
      </c>
      <c r="N3230" s="4" t="s">
        <v>27</v>
      </c>
    </row>
    <row r="3231" hidden="1">
      <c r="B3231" s="4" t="s">
        <v>27</v>
      </c>
      <c r="C3231" s="4" t="s">
        <v>27</v>
      </c>
      <c r="D3231" s="6" t="s">
        <v>27</v>
      </c>
      <c r="E3231" s="6" t="s">
        <v>27</v>
      </c>
      <c r="F3231" s="6" t="s">
        <v>27</v>
      </c>
      <c r="G3231" s="4" t="s">
        <v>27</v>
      </c>
      <c r="H3231" s="4" t="s">
        <v>27</v>
      </c>
      <c r="I3231" s="4" t="s">
        <v>27</v>
      </c>
      <c r="J3231" s="4" t="s">
        <v>27</v>
      </c>
      <c r="K3231" s="4" t="s">
        <v>27</v>
      </c>
      <c r="L3231" s="4" t="s">
        <v>27</v>
      </c>
      <c r="M3231" s="4" t="s">
        <v>27</v>
      </c>
      <c r="N3231" s="4" t="s">
        <v>27</v>
      </c>
    </row>
    <row r="3232" hidden="1">
      <c r="B3232" s="4" t="s">
        <v>27</v>
      </c>
      <c r="C3232" s="4" t="s">
        <v>27</v>
      </c>
      <c r="D3232" s="6" t="s">
        <v>27</v>
      </c>
      <c r="E3232" s="6" t="s">
        <v>27</v>
      </c>
      <c r="F3232" s="6" t="s">
        <v>27</v>
      </c>
      <c r="G3232" s="4" t="s">
        <v>27</v>
      </c>
      <c r="H3232" s="4" t="s">
        <v>27</v>
      </c>
      <c r="I3232" s="4" t="s">
        <v>27</v>
      </c>
      <c r="J3232" s="4" t="s">
        <v>27</v>
      </c>
      <c r="K3232" s="4" t="s">
        <v>27</v>
      </c>
      <c r="L3232" s="4" t="s">
        <v>27</v>
      </c>
      <c r="M3232" s="4" t="s">
        <v>27</v>
      </c>
      <c r="N3232" s="4" t="s">
        <v>27</v>
      </c>
    </row>
    <row r="3233" hidden="1">
      <c r="B3233" s="4" t="s">
        <v>27</v>
      </c>
      <c r="C3233" s="4" t="s">
        <v>27</v>
      </c>
      <c r="D3233" s="6" t="s">
        <v>27</v>
      </c>
      <c r="E3233" s="6" t="s">
        <v>27</v>
      </c>
      <c r="F3233" s="6" t="s">
        <v>27</v>
      </c>
      <c r="G3233" s="4" t="s">
        <v>27</v>
      </c>
      <c r="H3233" s="4" t="s">
        <v>27</v>
      </c>
      <c r="I3233" s="4" t="s">
        <v>27</v>
      </c>
      <c r="J3233" s="4" t="s">
        <v>27</v>
      </c>
      <c r="K3233" s="4" t="s">
        <v>27</v>
      </c>
      <c r="L3233" s="4" t="s">
        <v>27</v>
      </c>
      <c r="M3233" s="4" t="s">
        <v>27</v>
      </c>
      <c r="N3233" s="4" t="s">
        <v>27</v>
      </c>
    </row>
    <row r="3234" hidden="1">
      <c r="B3234" s="4" t="s">
        <v>27</v>
      </c>
      <c r="C3234" s="4" t="s">
        <v>27</v>
      </c>
      <c r="D3234" s="6" t="s">
        <v>27</v>
      </c>
      <c r="E3234" s="6" t="s">
        <v>27</v>
      </c>
      <c r="F3234" s="6" t="s">
        <v>27</v>
      </c>
      <c r="G3234" s="4" t="s">
        <v>27</v>
      </c>
      <c r="H3234" s="4" t="s">
        <v>27</v>
      </c>
      <c r="I3234" s="4" t="s">
        <v>27</v>
      </c>
      <c r="J3234" s="4" t="s">
        <v>27</v>
      </c>
      <c r="K3234" s="4" t="s">
        <v>27</v>
      </c>
      <c r="L3234" s="4" t="s">
        <v>27</v>
      </c>
      <c r="M3234" s="4" t="s">
        <v>27</v>
      </c>
      <c r="N3234" s="4" t="s">
        <v>27</v>
      </c>
    </row>
    <row r="3235" hidden="1">
      <c r="B3235" s="4" t="s">
        <v>27</v>
      </c>
      <c r="C3235" s="4" t="s">
        <v>27</v>
      </c>
      <c r="D3235" s="6" t="s">
        <v>27</v>
      </c>
      <c r="E3235" s="6" t="s">
        <v>27</v>
      </c>
      <c r="F3235" s="6" t="s">
        <v>27</v>
      </c>
      <c r="G3235" s="4" t="s">
        <v>27</v>
      </c>
      <c r="H3235" s="4" t="s">
        <v>27</v>
      </c>
      <c r="I3235" s="4" t="s">
        <v>27</v>
      </c>
      <c r="J3235" s="4" t="s">
        <v>27</v>
      </c>
      <c r="K3235" s="4" t="s">
        <v>27</v>
      </c>
      <c r="L3235" s="4" t="s">
        <v>27</v>
      </c>
      <c r="M3235" s="4" t="s">
        <v>27</v>
      </c>
      <c r="N3235" s="4" t="s">
        <v>27</v>
      </c>
    </row>
    <row r="3236" hidden="1">
      <c r="B3236" s="4" t="s">
        <v>27</v>
      </c>
      <c r="C3236" s="4" t="s">
        <v>27</v>
      </c>
      <c r="D3236" s="6" t="s">
        <v>27</v>
      </c>
      <c r="E3236" s="6" t="s">
        <v>27</v>
      </c>
      <c r="F3236" s="6" t="s">
        <v>27</v>
      </c>
      <c r="G3236" s="4" t="s">
        <v>27</v>
      </c>
      <c r="H3236" s="4" t="s">
        <v>27</v>
      </c>
      <c r="I3236" s="4" t="s">
        <v>27</v>
      </c>
      <c r="J3236" s="4" t="s">
        <v>27</v>
      </c>
      <c r="K3236" s="4" t="s">
        <v>27</v>
      </c>
      <c r="L3236" s="4" t="s">
        <v>27</v>
      </c>
      <c r="M3236" s="4" t="s">
        <v>27</v>
      </c>
      <c r="N3236" s="4" t="s">
        <v>27</v>
      </c>
    </row>
    <row r="3237" hidden="1">
      <c r="B3237" s="4" t="s">
        <v>27</v>
      </c>
      <c r="C3237" s="4" t="s">
        <v>27</v>
      </c>
      <c r="D3237" s="6" t="s">
        <v>27</v>
      </c>
      <c r="E3237" s="6" t="s">
        <v>27</v>
      </c>
      <c r="F3237" s="6" t="s">
        <v>27</v>
      </c>
      <c r="G3237" s="4" t="s">
        <v>27</v>
      </c>
      <c r="H3237" s="4" t="s">
        <v>27</v>
      </c>
      <c r="I3237" s="4" t="s">
        <v>27</v>
      </c>
      <c r="J3237" s="4" t="s">
        <v>27</v>
      </c>
      <c r="K3237" s="4" t="s">
        <v>27</v>
      </c>
      <c r="L3237" s="4" t="s">
        <v>27</v>
      </c>
      <c r="M3237" s="4" t="s">
        <v>27</v>
      </c>
      <c r="N3237" s="4" t="s">
        <v>27</v>
      </c>
    </row>
    <row r="3238" hidden="1">
      <c r="B3238" s="4" t="s">
        <v>27</v>
      </c>
      <c r="C3238" s="4" t="s">
        <v>27</v>
      </c>
      <c r="D3238" s="6" t="s">
        <v>27</v>
      </c>
      <c r="E3238" s="6" t="s">
        <v>27</v>
      </c>
      <c r="F3238" s="6" t="s">
        <v>27</v>
      </c>
      <c r="G3238" s="4" t="s">
        <v>27</v>
      </c>
      <c r="H3238" s="4" t="s">
        <v>27</v>
      </c>
      <c r="I3238" s="4" t="s">
        <v>27</v>
      </c>
      <c r="J3238" s="4" t="s">
        <v>27</v>
      </c>
      <c r="K3238" s="4" t="s">
        <v>27</v>
      </c>
      <c r="L3238" s="4" t="s">
        <v>27</v>
      </c>
      <c r="M3238" s="4" t="s">
        <v>27</v>
      </c>
      <c r="N3238" s="4" t="s">
        <v>27</v>
      </c>
    </row>
    <row r="3239" hidden="1">
      <c r="B3239" s="4" t="s">
        <v>27</v>
      </c>
      <c r="C3239" s="4" t="s">
        <v>27</v>
      </c>
      <c r="D3239" s="6" t="s">
        <v>27</v>
      </c>
      <c r="E3239" s="6" t="s">
        <v>27</v>
      </c>
      <c r="F3239" s="6" t="s">
        <v>27</v>
      </c>
      <c r="G3239" s="4" t="s">
        <v>27</v>
      </c>
      <c r="H3239" s="4" t="s">
        <v>27</v>
      </c>
      <c r="I3239" s="4" t="s">
        <v>27</v>
      </c>
      <c r="J3239" s="4" t="s">
        <v>27</v>
      </c>
      <c r="K3239" s="4" t="s">
        <v>27</v>
      </c>
      <c r="L3239" s="4" t="s">
        <v>27</v>
      </c>
      <c r="M3239" s="4" t="s">
        <v>27</v>
      </c>
      <c r="N3239" s="4" t="s">
        <v>27</v>
      </c>
    </row>
    <row r="3240" hidden="1">
      <c r="B3240" s="4" t="s">
        <v>27</v>
      </c>
      <c r="C3240" s="4" t="s">
        <v>27</v>
      </c>
      <c r="D3240" s="6" t="s">
        <v>27</v>
      </c>
      <c r="E3240" s="6" t="s">
        <v>27</v>
      </c>
      <c r="F3240" s="6" t="s">
        <v>27</v>
      </c>
      <c r="G3240" s="4" t="s">
        <v>27</v>
      </c>
      <c r="H3240" s="4" t="s">
        <v>27</v>
      </c>
      <c r="I3240" s="4" t="s">
        <v>27</v>
      </c>
      <c r="J3240" s="4" t="s">
        <v>27</v>
      </c>
      <c r="K3240" s="4" t="s">
        <v>27</v>
      </c>
      <c r="L3240" s="4" t="s">
        <v>27</v>
      </c>
      <c r="M3240" s="4" t="s">
        <v>27</v>
      </c>
      <c r="N3240" s="4" t="s">
        <v>27</v>
      </c>
    </row>
    <row r="3241" hidden="1">
      <c r="B3241" s="4" t="s">
        <v>27</v>
      </c>
      <c r="C3241" s="4" t="s">
        <v>27</v>
      </c>
      <c r="D3241" s="6" t="s">
        <v>27</v>
      </c>
      <c r="E3241" s="6" t="s">
        <v>27</v>
      </c>
      <c r="F3241" s="6" t="s">
        <v>27</v>
      </c>
      <c r="G3241" s="4" t="s">
        <v>27</v>
      </c>
      <c r="H3241" s="4" t="s">
        <v>27</v>
      </c>
      <c r="I3241" s="4" t="s">
        <v>27</v>
      </c>
      <c r="J3241" s="4" t="s">
        <v>27</v>
      </c>
      <c r="K3241" s="4" t="s">
        <v>27</v>
      </c>
      <c r="L3241" s="4" t="s">
        <v>27</v>
      </c>
      <c r="M3241" s="4" t="s">
        <v>27</v>
      </c>
      <c r="N3241" s="4" t="s">
        <v>27</v>
      </c>
    </row>
    <row r="3242" hidden="1">
      <c r="B3242" s="4" t="s">
        <v>27</v>
      </c>
      <c r="C3242" s="4" t="s">
        <v>27</v>
      </c>
      <c r="D3242" s="6" t="s">
        <v>27</v>
      </c>
      <c r="E3242" s="6" t="s">
        <v>27</v>
      </c>
      <c r="F3242" s="6" t="s">
        <v>27</v>
      </c>
      <c r="G3242" s="4" t="s">
        <v>27</v>
      </c>
      <c r="H3242" s="4" t="s">
        <v>27</v>
      </c>
      <c r="I3242" s="4" t="s">
        <v>27</v>
      </c>
      <c r="J3242" s="4" t="s">
        <v>27</v>
      </c>
      <c r="K3242" s="4" t="s">
        <v>27</v>
      </c>
      <c r="L3242" s="4" t="s">
        <v>27</v>
      </c>
      <c r="M3242" s="4" t="s">
        <v>27</v>
      </c>
      <c r="N3242" s="4" t="s">
        <v>27</v>
      </c>
    </row>
    <row r="3243" hidden="1">
      <c r="B3243" s="4" t="s">
        <v>27</v>
      </c>
      <c r="C3243" s="4" t="s">
        <v>27</v>
      </c>
      <c r="D3243" s="6" t="s">
        <v>27</v>
      </c>
      <c r="E3243" s="6" t="s">
        <v>27</v>
      </c>
      <c r="F3243" s="6" t="s">
        <v>27</v>
      </c>
      <c r="G3243" s="4" t="s">
        <v>27</v>
      </c>
      <c r="H3243" s="4" t="s">
        <v>27</v>
      </c>
      <c r="I3243" s="4" t="s">
        <v>27</v>
      </c>
      <c r="J3243" s="4" t="s">
        <v>27</v>
      </c>
      <c r="K3243" s="4" t="s">
        <v>27</v>
      </c>
      <c r="L3243" s="4" t="s">
        <v>27</v>
      </c>
      <c r="M3243" s="4" t="s">
        <v>27</v>
      </c>
      <c r="N3243" s="4" t="s">
        <v>27</v>
      </c>
    </row>
    <row r="3244" hidden="1">
      <c r="B3244" s="4" t="s">
        <v>27</v>
      </c>
      <c r="C3244" s="4" t="s">
        <v>27</v>
      </c>
      <c r="D3244" s="6" t="s">
        <v>27</v>
      </c>
      <c r="E3244" s="6" t="s">
        <v>27</v>
      </c>
      <c r="F3244" s="6" t="s">
        <v>27</v>
      </c>
      <c r="G3244" s="4" t="s">
        <v>27</v>
      </c>
      <c r="H3244" s="4" t="s">
        <v>27</v>
      </c>
      <c r="I3244" s="4" t="s">
        <v>27</v>
      </c>
      <c r="J3244" s="4" t="s">
        <v>27</v>
      </c>
      <c r="K3244" s="4" t="s">
        <v>27</v>
      </c>
      <c r="L3244" s="4" t="s">
        <v>27</v>
      </c>
      <c r="M3244" s="4" t="s">
        <v>27</v>
      </c>
      <c r="N3244" s="4" t="s">
        <v>27</v>
      </c>
    </row>
  </sheetData>
  <autoFilter ref="$A$1:$T$3244">
    <filterColumn colId="0">
      <filters>
        <filter val="1804 - Channel"/>
        <filter val="849 - Channel"/>
        <filter val="320 - Channel"/>
        <filter val="15 - Channel"/>
        <filter val="649 - Channel"/>
        <filter val="520 - Channel"/>
        <filter val="372 - Channel"/>
        <filter val="1004 - Channel"/>
        <filter val="172 - Channel"/>
        <filter val="920 - Channel"/>
        <filter val="1204 - Channel"/>
        <filter val="1065 - Channel"/>
        <filter val="1856 - Channel"/>
        <filter val="720 - Channel"/>
        <filter val="60 - Channel 5"/>
        <filter val="311 - Channel"/>
        <filter val="511 - Channel"/>
        <filter val="1013 - Channel"/>
        <filter val="1213 - Channel"/>
        <filter val="2070 - Channel"/>
        <filter val="981 - Channel"/>
        <filter val="75 - Channel 5"/>
        <filter val="64 - Channel 5"/>
        <filter val="77 - Channel 5"/>
        <filter val="66 - Channel 5"/>
        <filter val="572 - Channel"/>
        <filter val="772 - Channel"/>
        <filter val="911 - Channel"/>
        <filter val="79 - Channel 5"/>
        <filter val="2270 - Channel"/>
        <filter val="68 - Channel 5"/>
        <filter val="163 - Channel"/>
        <filter val="606 - Channel"/>
        <filter val="1674 - Channel"/>
        <filter val="1274 - Channel"/>
        <filter val="1074 - Channel"/>
        <filter val="1874 - Channel"/>
        <filter val="1613 - Channel"/>
        <filter val="267 - Channel"/>
        <filter val="467 - Channel"/>
        <filter val="24 - Channel"/>
        <filter val="2165 - Channel"/>
        <filter val="85 - Channel"/>
        <filter val="6 - Channel"/>
        <filter val="806 - Channel"/>
        <filter val="2104 - Channel"/>
        <filter val="581 - Channel"/>
        <filter val="71 - Channel 5"/>
        <filter val="381 - Channel"/>
        <filter val="1456 - Channel"/>
        <filter val="754 - Channel"/>
        <filter val="1656 - Channel"/>
        <filter val="2147 - Channel"/>
        <filter val="181 - Channel"/>
        <filter val="954 - Channel"/>
        <filter val="449 - Channel"/>
        <filter val="120 - Channel"/>
        <filter val="1056 - Channel"/>
        <filter val="1256 - Channel"/>
        <filter val="249 - Channel"/>
        <filter val="1361 - Channel"/>
        <filter val="1238 - Channel"/>
        <filter val="476 - Channel"/>
        <filter val="1761 - Channel"/>
        <filter val="94 - Channel"/>
        <filter val="1431 - Channel"/>
        <filter val="1961 - Channel"/>
        <filter val="1161 - Channel"/>
        <filter val="815 - Channel"/>
        <filter val="676 - Channel"/>
        <filter val="2174 - Channel"/>
        <filter val="1099 - Channel"/>
        <filter val="1092 - Channel"/>
        <filter val="1908 - Channel"/>
        <filter val="1900 - Channel"/>
        <filter val="1231 - Channel"/>
        <filter val="1561 - Channel"/>
        <filter val="1700 - Channel"/>
        <filter val="1692 - Channel"/>
        <filter val="33 - Channel"/>
        <filter val="1899 - Channel"/>
        <filter val="1829 - Channel"/>
        <filter val="2113 - Channel"/>
        <filter val="1892 - Channel"/>
        <filter val="51 - Channel 5"/>
        <filter val="95 - Channel 5"/>
        <filter val="53 - Channel 5"/>
        <filter val="1229 - Channel"/>
        <filter val="1370 - Channel"/>
        <filter val="1831 - Channel"/>
        <filter val="97 - Channel 5"/>
        <filter val="99 - Channel 5"/>
        <filter val="1429 - Channel"/>
        <filter val="1029 - Channel"/>
        <filter val="215 - Channel"/>
        <filter val="615 - Channel"/>
        <filter val="55 - Channel 5"/>
        <filter val="59 - Channel 5"/>
        <filter val="1170 - Channel"/>
        <filter val="1699 - Channel"/>
        <filter val="1638 - Channel"/>
        <filter val="1838 - Channel"/>
        <filter val="57 - Channel 5"/>
        <filter val="276 - Channel"/>
        <filter val="2138 - Channel"/>
        <filter val="2208 - Channel"/>
        <filter val="1770 - Channel"/>
        <filter val="2008 - Channel"/>
        <filter val="2199 - Channel"/>
        <filter val="1970 - Channel"/>
        <filter val="111 - Channel"/>
        <filter val="58 - Channel"/>
        <filter val="145 - Channel"/>
        <filter val="2243 - Channel"/>
        <filter val="545 - Channel"/>
        <filter val="2043 - Channel"/>
        <filter val="945 - Channel"/>
        <filter val="242 - Channel"/>
        <filter val="2069 - Channel"/>
        <filter val="2140 - Channel"/>
        <filter val="1865 - Channel"/>
        <filter val="745 - Channel"/>
        <filter val="1665 - Channel"/>
        <filter val="2269 - Channel"/>
        <filter val="442 - Channel"/>
        <filter val="519 - Channel"/>
        <filter val="250 - Channel"/>
        <filter val="327 - Channel"/>
        <filter val="119 - Channel"/>
        <filter val="919 - Channel"/>
        <filter val="650 - Channel"/>
        <filter val="1187 - Channel"/>
        <filter val="1987 - Channel"/>
        <filter val="1934 - Channel"/>
        <filter val="1726 - Channel"/>
        <filter val="727 - Channel"/>
        <filter val="188 - Channel"/>
        <filter val="1395 - Channel"/>
        <filter val="2025 - Channel"/>
        <filter val="2078 - Channel"/>
        <filter val="2217 - Channel"/>
        <filter val="1737- Channel1"/>
        <filter val="2077 - Channel"/>
        <filter val="2026 - Channel"/>
        <filter val="694 - Channel"/>
        <filter val="588 - Channel"/>
        <filter val="20 - Channel 5"/>
        <filter val="518 - Channel"/>
        <filter val="1735 - Channel"/>
        <filter val="1186 - Channel"/>
        <filter val="1986 - Channel"/>
        <filter val="31 - Channel 5"/>
        <filter val="1795 - Channel"/>
        <filter val="728 - Channel"/>
        <filter val="2216 - Channel"/>
        <filter val="779 - Channel"/>
        <filter val="189 - Channel"/>
        <filter val="328 - Channel"/>
        <filter val="1725 - Channel"/>
        <filter val="1196 - Channel"/>
        <filter val="35 - Channel 5"/>
        <filter val="1840 - Channel"/>
        <filter val="936 - Channel"/>
        <filter val="2095 - Channel"/>
        <filter val="2131 - Channel"/>
        <filter val="397 - Channel"/>
        <filter val="536 - Channel"/>
        <filter val="1777 - Channel"/>
        <filter val="2068 - Channel"/>
        <filter val="2234 - Channel"/>
        <filter val="1943 - Channel"/>
        <filter val="433 - Channel"/>
        <filter val="833 - Channel"/>
        <filter val="641 - Channel"/>
        <filter val="1143 - Channel"/>
        <filter val="91 - Channel 5"/>
        <filter val="294 - Channel"/>
        <filter val="1040 - Channel"/>
        <filter val="1708 - Channel"/>
        <filter val="136 - Channel"/>
        <filter val="1169 - Channel"/>
        <filter val="1753 - Channel"/>
        <filter val="1691 - Channel"/>
        <filter val="2259 - Channel"/>
        <filter val="42 - Channel"/>
        <filter val="1353 - Channel"/>
        <filter val="1830 - Channel"/>
        <filter val="354 - Channel"/>
        <filter val="1883 - Channel"/>
        <filter val="2052 - Channel"/>
        <filter val="1916 - Channel"/>
        <filter val="624 - Channel"/>
        <filter val="1083 - Channel"/>
        <filter val="1039 - Channel"/>
        <filter val="1377 - Channel"/>
        <filter val="1516 - Channel"/>
        <filter val="460 - Channel"/>
        <filter val="84 - Channel 5"/>
        <filter val="42 - Channel 5"/>
        <filter val="485 - Channel"/>
        <filter val="1944 - Channel"/>
        <filter val="1882 - Channel"/>
        <filter val="88 - Channel 5"/>
        <filter val="2129 - Channel"/>
        <filter val="702 - Channel"/>
        <filter val="1222 - Channel"/>
        <filter val="885 - Channel"/>
        <filter val="2183 - Channel"/>
        <filter val="2000 - Channel"/>
        <filter val="46 - Channel 5"/>
        <filter val="693 - Channel"/>
        <filter val="589 - Channel"/>
        <filter val="1144 - Channel"/>
        <filter val="755 - Channel"/>
        <filter val="563 - Channel"/>
        <filter val="1517 - Channel"/>
        <filter val="2261 - Channel"/>
        <filter val="39 - Channel 5"/>
        <filter val="963 - Channel"/>
        <filter val="1221 - Channel"/>
        <filter val="1647 - Channel"/>
        <filter val="1247 - Channel"/>
        <filter val="990 - Channel"/>
        <filter val="1117 - Channel"/>
        <filter val="80 - Channel 5"/>
        <filter val="2130 - Channel"/>
        <filter val="432 - Channel"/>
        <filter val="458 - Channel"/>
        <filter val="590 - Channel"/>
        <filter val="2053 - Channel"/>
        <filter val="1752 - Channel"/>
        <filter val="2156 - Channel"/>
        <filter val="190 - Channel"/>
        <filter val="355 - Channel"/>
        <filter val="858 - Channel"/>
        <filter val="1917 - Channel"/>
        <filter val="1778 - Channel"/>
        <filter val="312 - Channel"/>
        <filter val="2210 - Channel"/>
        <filter val="410 - Channel 5"/>
        <filter val="180 - Channel"/>
        <filter val="2010 - Channel"/>
        <filter val="2155 - Channel"/>
        <filter val="1457 - Channel"/>
        <filter val="1412 - Channel"/>
        <filter val="1664 - Channel"/>
        <filter val="418 - Channel 5"/>
        <filter val="573 - Channel"/>
        <filter val="1780 - Channel"/>
        <filter val="773 - Channel"/>
        <filter val="1580 - Channel"/>
        <filter val="1673 - Channel"/>
        <filter val="1848 - Channel"/>
        <filter val="1873 - Channel"/>
        <filter val="59 - Channel"/>
        <filter val="266 - Channel"/>
        <filter val="2148 - Channel"/>
        <filter val="1048 - Channel"/>
        <filter val="1248 - Channel"/>
        <filter val="1612 - Channel"/>
        <filter val="866 - Channel"/>
        <filter val="721 - Channel"/>
        <filter val="521 - Channel"/>
        <filter val="1203 - Channel"/>
        <filter val="805 - Channel"/>
        <filter val="510 - Channel"/>
        <filter val="782 - Channel"/>
        <filter val="1159 - Channel"/>
        <filter val="1371 - Channel"/>
        <filter val="982 - Channel"/>
        <filter val="103 - Channel"/>
        <filter val="771 - Channel"/>
        <filter val="859 - Channel"/>
        <filter val="2001 - Channel"/>
        <filter val="1666 - Channel"/>
        <filter val="1639 - Channel"/>
        <filter val="1171 - Channel"/>
        <filter val="303 - Channel"/>
        <filter val="659 - Channel"/>
        <filter val="1405 - Channel"/>
        <filter val="1230 - Channel"/>
        <filter val="1971 - Channel"/>
        <filter val="1205 - Channel"/>
        <filter val="903 - Channel"/>
        <filter val="2262 - Channel"/>
        <filter val="239 - Channel"/>
        <filter val="571 - Channel"/>
        <filter val="2062 - Channel"/>
        <filter val="2121 - Channel"/>
        <filter val="839 - Channel"/>
        <filter val="1759 - Channel"/>
        <filter val="1846 - Channel"/>
        <filter val="1910 - Channel"/>
        <filter val="2198 - Channel"/>
        <filter val="310 - Channel"/>
        <filter val="57 - Channel"/>
        <filter val="1646 - Channel"/>
        <filter val="412 - Channel 5"/>
        <filter val="2244 - Channel"/>
        <filter val="868 - Channel"/>
        <filter val="953 - Channel"/>
        <filter val="2182 - Channel"/>
        <filter val="1823 - Channel"/>
        <filter val="1898 - Channel"/>
        <filter val="316 - Channel 5"/>
        <filter val="484 - Channel"/>
        <filter val="1907 - Channel"/>
        <filter val="746 - Channel"/>
        <filter val="684 - Channel"/>
        <filter val="314 - Channel 5"/>
        <filter val="153 - Channel"/>
        <filter val="546 - Channel"/>
        <filter val="1168 - Channel"/>
        <filter val="1707 - Channel"/>
        <filter val="1368 - Channel"/>
        <filter val="1223 - Channel"/>
        <filter val="1698 - Channel"/>
        <filter val="207 - Channel 5"/>
        <filter val="2007 - Channel"/>
        <filter val="2 - Channel 5"/>
        <filter val="1232 - Channel"/>
        <filter val="2207 - Channel"/>
        <filter val="537 - Channel"/>
        <filter val="1107 - Channel"/>
        <filter val="13 - Channel 5"/>
        <filter val="509 - Channel"/>
        <filter val="11 - Channel 5"/>
        <filter val="201 - Channel 5"/>
        <filter val="2235 - Channel"/>
        <filter val="798 - Channel"/>
        <filter val="66 - Channel"/>
        <filter val="19 - Channel 5"/>
        <filter val="2146 - Channel"/>
        <filter val="305 - Channel 5"/>
        <filter val="441 - Channel 5"/>
        <filter val="214 - Channel"/>
        <filter val="2035 - Channel"/>
        <filter val="8 - Channel 5"/>
        <filter val="448 - Channel"/>
        <filter val="2173 - Channel"/>
        <filter val="303 - Channel 5"/>
        <filter val="93 - Channel"/>
        <filter val="407 - Channel 5"/>
        <filter val="1962 - Channel"/>
        <filter val="337 - Channel"/>
        <filter val="275 - Channel"/>
        <filter val="1693 - Channel"/>
        <filter val="409 - Channel 5"/>
        <filter val="1996 - Channel"/>
        <filter val="1437 - Channel"/>
        <filter val="209 - Channel 5"/>
        <filter val="1162 - Channel"/>
        <filter val="449 - Channel 5"/>
        <filter val="1762 - Channel"/>
        <filter val="86 - Channel"/>
        <filter val="1098 - Channel"/>
        <filter val="1701 - Channel"/>
        <filter val="607 - Channel"/>
        <filter val="443 - Channel 5"/>
        <filter val="780 - Channel"/>
        <filter val="401 - Channel 5"/>
        <filter val="1195 - Channel"/>
        <filter val="1787 - Channel"/>
        <filter val="105 - Channel 5"/>
        <filter val="1734 - Channel"/>
        <filter val="979 - Channel"/>
        <filter val="336 - Channel 5"/>
        <filter val="895 - Channel"/>
        <filter val="127 - Channel"/>
        <filter val="1994 - Channel"/>
        <filter val="335 - Channel"/>
        <filter val="61 - Channel"/>
        <filter val="2086 - Channel"/>
        <filter val="243 - Channel"/>
        <filter val="2033 - Channel"/>
        <filter val="2209 - Channel"/>
        <filter val="184 - Channel 5"/>
        <filter val="719 - Channel"/>
        <filter val="1342 - Channel"/>
        <filter val="218 - Channel 5"/>
        <filter val="388 - Channel"/>
        <filter val="1579 - Channel"/>
        <filter val="1641 - Channel"/>
        <filter val="718 - Channel"/>
        <filter val="1935 - Channel"/>
        <filter val="299 - Channel 5"/>
        <filter val="1786 - Channel"/>
        <filter val="894 - Channel"/>
        <filter val="128 - Channel"/>
        <filter val="1995 - Channel"/>
        <filter val="22 - Channel 5"/>
        <filter val="1135 - Channel"/>
        <filter val="1819 - Channel"/>
        <filter val="1396 - Channel"/>
        <filter val="1850 - Channel"/>
        <filter val="33 - Channel 5"/>
        <filter val="450 - Channel"/>
        <filter val="634 - Channel"/>
        <filter val="210 - Channel 5"/>
        <filter val="221 - Channel 5"/>
        <filter val="2295 - Channel"/>
        <filter val="2242 - Channel"/>
        <filter val="2119 - Channel"/>
        <filter val="597 - Channel"/>
        <filter val="1551 - Channel"/>
        <filter val="633 - Channel"/>
        <filter val="1228 - Channel"/>
        <filter val="129 - Channel"/>
        <filter val="1136 - Channel"/>
        <filter val="892 - Channel"/>
        <filter val="1194 - Channel"/>
        <filter val="1343 - Channel"/>
        <filter val="2175 - Channel"/>
        <filter val="126 - Channel"/>
        <filter val="400 - Channel"/>
        <filter val="451 - Channel"/>
        <filter val="2088 - Channel"/>
        <filter val="477 - Channel"/>
        <filter val="2034 - Channel"/>
        <filter val="926 - Channel"/>
        <filter val="432 - Channel 5"/>
        <filter val="929 - Channel"/>
        <filter val="387 - Channel"/>
        <filter val="1733 - Channel"/>
        <filter val="1936 - Channel"/>
        <filter val="2085 - Channel"/>
        <filter val="336 - Channel"/>
        <filter val="125 - Channel 5"/>
        <filter val="308 - Channel"/>
        <filter val="1108 - Channel"/>
        <filter val="34 - Channel"/>
        <filter val="1046 - Channel"/>
        <filter val="2059 - Channel"/>
        <filter val="631 - Channel"/>
        <filter val="101 - Channel"/>
        <filter val="154 - Channel"/>
        <filter val="2060 - Channel"/>
        <filter val="395 - Channel 5"/>
        <filter val="391 - Channel"/>
        <filter val="280 - Channel 5"/>
        <filter val="2006 - Channel"/>
        <filter val="2058 - Channel"/>
        <filter val="1760 - Channel"/>
        <filter val="288 - Channel 5"/>
        <filter val="569 - Channel"/>
        <filter val="2122 - Channel"/>
        <filter val="1822 - Channel"/>
        <filter val="1022 - Channel"/>
        <filter val="2267 - Channel"/>
        <filter val="86 - Channel 5"/>
        <filter val="685 - Channel"/>
        <filter val="747 - Channel"/>
        <filter val="44 - Channel 5"/>
        <filter val="1283 - Channel"/>
        <filter val="840 - Channel"/>
        <filter val="1909 - Channel"/>
        <filter val="232 - Channel 5"/>
        <filter val="425 - Channel"/>
        <filter val="182 - Channel"/>
        <filter val="1821 - Channel"/>
        <filter val="363 - Channel"/>
        <filter val="136 - Channel 5"/>
        <filter val="893 - Channel"/>
        <filter val="389 - Channel"/>
        <filter val="2150 - Channel"/>
        <filter val="421 - Channel 5"/>
        <filter val="2061 - Channel"/>
        <filter val="928 - Channel"/>
        <filter val="325 - Channel 5"/>
        <filter val="2087 - Channel"/>
        <filter val="902 - Channel"/>
        <filter val="1847 - Channel"/>
        <filter val="452 - Channel"/>
        <filter val="367 - Channel 5"/>
        <filter val="384 - Channel 5"/>
        <filter val="2123 - Channel"/>
        <filter val="291 - Channel 5"/>
        <filter val="686 - Channel"/>
        <filter val="1109 - Channel"/>
        <filter val="195 - Channel 5"/>
        <filter val="429 - Channel 5"/>
        <filter val="153 - Channel 5"/>
        <filter val="1282 - Channel"/>
        <filter val="1255 - Channel"/>
        <filter val="660 - Channel"/>
        <filter val="1785 - Channel"/>
        <filter val="1758 - Channel"/>
        <filter val="229 - Channel 5"/>
        <filter val="2294 - Channel"/>
        <filter val="362 - Channel"/>
        <filter val="596 - Channel"/>
        <filter val="1075 - Channel"/>
        <filter val="1875 - Channel"/>
        <filter val="390 - Channel"/>
        <filter val="1021 - Channel"/>
        <filter val="1552 - Channel"/>
        <filter val="632 - Channel"/>
        <filter val="658 - Channel"/>
        <filter val="1111 - Channel"/>
        <filter val="804 - Channel"/>
        <filter val="2163 - Channel"/>
        <filter val="904 - Channel"/>
        <filter val="145 - Channel 5"/>
        <filter val="147 - Channel 5"/>
        <filter val="1872 - Channel"/>
        <filter val="148 - Channel 5"/>
        <filter val="1972 - Channel"/>
        <filter val="504 - Channel"/>
        <filter val="379 - Channel 5"/>
        <filter val="1649 - Channel"/>
        <filter val="465 - Channel"/>
        <filter val="765 - Channel"/>
        <filter val="1049 - Channel"/>
        <filter val="1220 - Channel"/>
        <filter val="2202 - Channel"/>
        <filter val="375 - Channel 5"/>
        <filter val="4 - Channel"/>
        <filter val="378 - Channel 5"/>
        <filter val="142 - Channel 5"/>
        <filter val="1349 - Channel"/>
        <filter val="141 - Channel 5"/>
        <filter val="1672 - Channel"/>
        <filter val="1249 - Channel"/>
        <filter val="1911 - Channel"/>
        <filter val="376 - Channel 5"/>
        <filter val="269 - Channel 5"/>
        <filter val="856 - Channel"/>
        <filter val="380 - Channel 5"/>
        <filter val="1158 - Channel"/>
        <filter val="373 - Channel 5"/>
        <filter val="2254 - Channel"/>
        <filter val="1258 - Channel"/>
        <filter val="257 - Channel 5"/>
        <filter val="383 - Channel 5"/>
        <filter val="372 - Channel 5"/>
        <filter val="262 - Channel 5"/>
        <filter val="251 - Channel 5"/>
        <filter val="252 - Channel 5"/>
        <filter val="1963 - Channel"/>
        <filter val="1763 - Channel"/>
        <filter val="263 - Channel 5"/>
        <filter val="266 - Channel 5"/>
        <filter val="255 - Channel 5"/>
        <filter val="956 - Channel"/>
        <filter val="265 - Channel 5"/>
        <filter val="254 - Channel 5"/>
        <filter val="674 - Channel"/>
        <filter val="1702 - Channel"/>
        <filter val="974 - Channel"/>
        <filter val="1663 - Channel"/>
        <filter val="1802 - Channel"/>
        <filter val="947 - Channel"/>
        <filter val="1102 - Channel"/>
        <filter val="1202 - Channel"/>
        <filter val="256 - Channel"/>
        <filter val="1363 - Channel"/>
        <filter val="1402 - Channel"/>
        <filter val="1181 - Channel"/>
        <filter val="2111 - Channel"/>
        <filter val="1820 - Channel"/>
        <filter val="1920 - Channel"/>
        <filter val="1015 - Channel"/>
        <filter val="1881 - Channel"/>
        <filter val="1781 - Channel"/>
        <filter val="374 - Channel"/>
        <filter val="1581 - Channel"/>
        <filter val="1949 - Channel"/>
        <filter val="2072 - Channel"/>
        <filter val="713 - Channel"/>
        <filter val="1376 - Channel"/>
        <filter val="461 - Channel"/>
        <filter val="166 - Channel 5"/>
        <filter val="761 - Channel"/>
        <filter val="208 - Channel"/>
        <filter val="122 - Channel 5"/>
        <filter val="126 - Channel 5"/>
        <filter val="1715 - Channel"/>
        <filter val="1576 - Channel"/>
        <filter val="531 - Channel"/>
        <filter val="281 - Channel 5"/>
        <filter val="808 - Channel"/>
        <filter val="399 - Channel"/>
        <filter val="160 - Channel 5"/>
        <filter val="354 - Channel 5"/>
        <filter val="1645 - Channel"/>
        <filter val="931 - Channel"/>
        <filter val="1845 - Channel"/>
        <filter val="1115 - Channel"/>
        <filter val="26 - Channel"/>
        <filter val="738 - Channel"/>
        <filter val="398 - Channel 5"/>
        <filter val="2097 - Channel"/>
        <filter val="283 - Channel"/>
        <filter val="78 - Channel"/>
        <filter val="1754 - Channel"/>
        <filter val="239 - Channel 5"/>
        <filter val="1767 - Channel"/>
        <filter val="469 - Channel"/>
        <filter val="869 - Channel"/>
        <filter val="277 - Channel 5"/>
        <filter val="350 - Channel 5"/>
        <filter val="362 - Channel 5"/>
        <filter val="247 - Channel 5"/>
        <filter val="1154 - Channel"/>
        <filter val="394 - Channel 5"/>
        <filter val="8 - Channel"/>
        <filter val="279 - Channel 5"/>
        <filter val="1976 - Channel"/>
        <filter val="2167 - Channel"/>
        <filter val="241 - Channel 5"/>
        <filter val="647 - Channel"/>
        <filter val="1167 - Channel"/>
        <filter val="273 - Channel 5"/>
        <filter val="118 - Channel 5"/>
        <filter val="287 - Channel 5"/>
        <filter val="233 - Channel 5"/>
        <filter val="243 - Channel 5"/>
        <filter val="177 - Channel 5"/>
        <filter val="717 - Channel"/>
        <filter val="1106 - Channel"/>
        <filter val="1885 - Channel"/>
        <filter val="112 - Channel 5"/>
        <filter val="158 - Channel 5"/>
        <filter val="349 - Channel 5"/>
        <filter val="2076 - Channel"/>
        <filter val="133 - Channel 5"/>
        <filter val="137 - Channel 5"/>
        <filter val="517 - Channel"/>
        <filter val="368 - Channel 5"/>
        <filter val="292 - Channel 5"/>
        <filter val="378 - Channel"/>
        <filter val="1858 - Channel"/>
        <filter val="2049 - Channel"/>
        <filter val="670 - Channel"/>
        <filter val="343 - Channel 5"/>
        <filter val="171 - Channel 5"/>
        <filter val="364 - Channel 5"/>
        <filter val="1390 - Channel"/>
        <filter val="1485 - Channel"/>
        <filter val="2215 - Channel"/>
        <filter val="389 - Channel 5"/>
        <filter val="978 - Channel"/>
        <filter val="270 - Channel"/>
        <filter val="622 - Channel"/>
        <filter val="1988 - Channel"/>
        <filter val="2250 - Channel"/>
        <filter val="387 - Channel 5"/>
        <filter val="1990 - Channel"/>
        <filter val="1388 - Channel"/>
        <filter val="1011 - Channel"/>
        <filter val="1790 - Channel"/>
        <filter val="1611 - Channel"/>
        <filter val="1788 - Channel"/>
        <filter val="999 - Channel"/>
        <filter val="152 - Channel"/>
        <filter val="1024 - Channel"/>
        <filter val="887 - Channel"/>
        <filter val="987 - Channel"/>
        <filter val="450 - Channel 5"/>
        <filter val="295 - Channel"/>
        <filter val="1042 - Channel"/>
        <filter val="1142 - Channel"/>
        <filter val="338 - Channel 5"/>
        <filter val="695 - Channel"/>
        <filter val="1119 - Channel"/>
        <filter val="1879 - Channel"/>
        <filter val="2233 - Channel"/>
        <filter val="1127 - Channel"/>
        <filter val="182 - Channel 5"/>
        <filter val="2041 - Channel"/>
        <filter val="235 - Channel"/>
        <filter val="635 - Channel"/>
        <filter val="1779 - Channel"/>
        <filter val="53 - Channel"/>
        <filter val="1918 - Channel"/>
        <filter val="535 - Channel"/>
        <filter val="343 - Channel"/>
        <filter val="217 - Channel 5"/>
        <filter val="228 - Channel 5"/>
        <filter val="340 - Channel 5"/>
        <filter val="134 - Channel"/>
        <filter val="1841 - Channel"/>
        <filter val="434 - Channel"/>
        <filter val="1750 - Channel"/>
        <filter val="1351 - Channel"/>
        <filter val="1251 - Channel"/>
        <filter val="2132 - Channel"/>
        <filter val="395 - Channel"/>
        <filter val="1289 - Channel"/>
        <filter val="1736 - Channel"/>
        <filter val="1928 - Channel"/>
        <filter val="2142 - Channel"/>
        <filter val="1233 - Channel"/>
        <filter val="2219 - Channel"/>
        <filter val="1651 - Channel"/>
        <filter val="39 - Channel"/>
        <filter val="844 - Channel"/>
        <filter val="1618 - Channel"/>
        <filter val="200 - Channel"/>
        <filter val="577 - Channel"/>
        <filter val="95 - Channel"/>
        <filter val="1794 - Channel"/>
        <filter val="1094 - Channel"/>
        <filter val="438 - Channel 5"/>
        <filter val="326 - Channel"/>
        <filter val="437 - Channel 5"/>
        <filter val="2024 - Channel"/>
        <filter val="1897 - Channel"/>
        <filter val="1997 - Channel"/>
        <filter val="1984 - Channel"/>
        <filter val="434 - Channel 5"/>
        <filter val="1276 - Channel"/>
        <filter val="2206 - Channel"/>
        <filter val="123 - Channel 5"/>
        <filter val="317 - Channel 5"/>
        <filter val="1676 - Channel"/>
        <filter val="301 - Channel"/>
        <filter val="1723 - Channel"/>
        <filter val="161 - Channel"/>
        <filter val="591 - Channel"/>
        <filter val="397 - Channel 5"/>
        <filter val="701 - Channel"/>
        <filter val="1945 - Channel"/>
        <filter val="313 - Channel 5"/>
        <filter val="508 - Channel"/>
        <filter val="769 - Channel"/>
        <filter val="1854 - Channel"/>
        <filter val="206 - Channel 5"/>
        <filter val="562 - Channel"/>
        <filter val="1560 - Channel"/>
        <filter val="2258 - Channel"/>
        <filter val="2260 - Channel"/>
        <filter val="361 - Channel 5"/>
        <filter val="351 - Channel 5"/>
        <filter val="962 - Channel"/>
        <filter val="1160 - Channel"/>
        <filter val="730 - Channel"/>
        <filter val="240 - Channel 5"/>
        <filter val="230 - Channel 5"/>
        <filter val="244 - Channel 5"/>
        <filter val="382 - Channel"/>
        <filter val="653 - Channel"/>
        <filter val="991 - Channel"/>
        <filter val="1467 - Channel"/>
        <filter val="1206 - Channel"/>
        <filter val="70 - Channel"/>
        <filter val="134 - Channel 5"/>
        <filter val="225 - Channel"/>
        <filter val="817 - Channel"/>
        <filter val="155 - Channel 5"/>
        <filter val="159 - Channel 5"/>
        <filter val="2246 - Channel"/>
        <filter val="306 - Channel 5"/>
        <filter val="43 - Channel"/>
        <filter val="1055 - Channel"/>
        <filter val="327 - Channel 5"/>
        <filter val="1067 - Channel"/>
        <filter val="365 - Channel 5"/>
        <filter val="386 - Channel 5"/>
        <filter val="302 - Channel 5"/>
        <filter val="678 - Channel"/>
        <filter val="7 - Channel 5"/>
        <filter val="486 - Channel"/>
        <filter val="193 - Channel 5"/>
        <filter val="148 - Channel"/>
        <filter val="548 - Channel"/>
        <filter val="1558 - Channel"/>
        <filter val="370 - Channel"/>
        <filter val="1585 - Channel"/>
        <filter val="1932 - Channel"/>
        <filter val="130 - Channel 5"/>
        <filter val="2184 - Channel"/>
        <filter val="935 - Channel"/>
        <filter val="1690 - Channel"/>
        <filter val="1814 - Channel"/>
        <filter val="2128 - Channel"/>
        <filter val="107 - Channel"/>
        <filter val="1688 - Channel"/>
        <filter val="427 - Channel 5"/>
        <filter val="1827 - Channel"/>
        <filter val="2115 - Channel"/>
        <filter val="448 - Channel 5"/>
        <filter val="1185 - Channel"/>
        <filter val="1198 - Channel"/>
        <filter val="417 - Channel"/>
        <filter val="796 - Channel"/>
        <filter val="2066 - Channel"/>
        <filter val="252 - Channel"/>
        <filter val="1427 - Channel"/>
        <filter val="368 - Channel"/>
        <filter val="423 - Channel 5"/>
        <filter val="1357 - Channel"/>
        <filter val="757 - Channel"/>
        <filter val="495- Channel"/>
        <filter val="1212 - Channel"/>
        <filter val="1657 - Channel"/>
        <filter val="612 - Channel"/>
        <filter val="1512 - Channel"/>
        <filter val="1980 - Channel"/>
        <filter val="1564 - Channel"/>
        <filter val="419 - Channel 5"/>
        <filter val="1864 - Channel"/>
        <filter val="912 - Channel"/>
        <filter val="1680 - Channel"/>
        <filter val="705 - Channel"/>
        <filter val="1773 - Channel"/>
        <filter val="1903 - Channel"/>
        <filter val="2039 - Channel"/>
        <filter val="1748 - Channel"/>
        <filter val="1173 - Channel"/>
        <filter val="2248 - Channel"/>
        <filter val="1003 - Channel"/>
        <filter val="2103 - Channel"/>
        <filter val="1957 - Channel"/>
        <filter val="1148 - Channel"/>
        <filter val="1264 - Channel"/>
        <filter val="2080 - Channel"/>
        <filter val="1812 - Channel"/>
        <filter val="666 - Channel"/>
        <filter val="1059 - Channel"/>
        <filter val="910 - Channel"/>
        <filter val="1866 - Channel"/>
        <filter val="1510 - Channel"/>
        <filter val="459 - Channel"/>
        <filter val="1810 - Channel"/>
        <filter val="1839 - Channel"/>
        <filter val="759 - Channel"/>
        <filter val="1210 - Channel"/>
        <filter val="1566 - Channel"/>
        <filter val="2157 - Channel"/>
        <filter val="264 - Channel"/>
        <filter val="1030 - Channel"/>
        <filter val="16 - Channel"/>
        <filter val="1630 - Channel"/>
        <filter val="82 - Channel"/>
        <filter val="1471 - Channel"/>
        <filter val="703 - Channel"/>
        <filter val="416 - Channel 5"/>
        <filter val="1659 - Channel"/>
        <filter val="471 - Channel"/>
        <filter val="1746 - Channel"/>
        <filter val="1446 - Channel"/>
        <filter val="1291 - Channel"/>
        <filter val="1005 - Channel"/>
        <filter val="1771 - Channel"/>
        <filter val="639 - Channel"/>
        <filter val="171 - Channel"/>
        <filter val="964 - Channel"/>
        <filter val="823 - Channel"/>
        <filter val="2014 - Channel"/>
        <filter val="1146 - Channel"/>
        <filter val="668 - Channel"/>
        <filter val="431 - Channel 5"/>
        <filter val="1591 - Channel"/>
        <filter val="2159 - Channel"/>
        <filter val="18 - Channel"/>
        <filter val="291 - Channel"/>
        <filter val="1930 - Channel"/>
        <filter val="310 - Channel 5"/>
        <filter val="1837 - Channel"/>
        <filter val="1653 - Channel"/>
        <filter val="316 - Channel"/>
        <filter val="1084 - Channel"/>
        <filter val="109 - Channel"/>
        <filter val="2051 - Channel"/>
        <filter val="1860 - Channel"/>
        <filter val="198 - Channel"/>
        <filter val="875 - Channel"/>
        <filter val="353 - Channel"/>
        <filter val="1982 - Channel"/>
        <filter val="1032 - Channel"/>
        <filter val="309 - Channel 5"/>
        <filter val="525 - Channel"/>
        <filter val="1721 - Channel"/>
        <filter val="1955 - Channel"/>
        <filter val="1893 - Channel"/>
        <filter val="17 - Channel 5"/>
        <filter val="966 - Channel"/>
        <filter val="420 - Channel 5"/>
        <filter val="1293 - Channel"/>
        <filter val="1632 - Channel"/>
        <filter val="1796 - Channel"/>
        <filter val="324 - Channel 5"/>
        <filter val="1382 - Channel"/>
        <filter val="2223 - Channel"/>
        <filter val="786 - Channel"/>
        <filter val="4 - Channel 5"/>
        <filter val="614 - Channel"/>
        <filter val="196 - Channel 5"/>
        <filter val="1355 - Channel"/>
        <filter val="262 - Channel"/>
        <filter val="1175 - Channel"/>
        <filter val="407 - Channel"/>
        <filter val="1237 - Channel"/>
        <filter val="1009 - Channel"/>
        <filter val="1562 - Channel"/>
        <filter val="1775 - Channel"/>
        <filter val="496 - Channel"/>
        <filter val="848 - Channel"/>
        <filter val="1901 - Channel"/>
        <filter val="2194 - Channel"/>
        <filter val="405 - Channel 5"/>
        <filter val="1121 - Channel"/>
        <filter val="2105 - Channel"/>
        <filter val="445 - Channel 5"/>
        <filter val="2225 - Channel"/>
        <filter val="104 - Channel 5"/>
        <filter val="188 - Channel 5"/>
        <filter val="1150 - Channel"/>
        <filter val="101 - Channel 5"/>
        <filter val="142 - Channel"/>
        <filter val="1887 - Channel"/>
        <filter val="1742 - Channel"/>
        <filter val="850 - Channel"/>
        <filter val="332 - Channel 5"/>
        <filter val="1926 - Channel"/>
        <filter val="335 - Channel 5"/>
        <filter val="995 - Channel"/>
        <filter val="527 - Channel"/>
        <filter val="185 - Channel 5"/>
        <filter val="1835 - Channel"/>
        <filter val="643 - Channel"/>
        <filter val="618 - Channel"/>
        <filter val="1241 - Channel"/>
        <filter val="214 - Channel 5"/>
        <filter val="2016 - Channel"/>
        <filter val="734 - Channel"/>
        <filter val="295 - Channel 5"/>
        <filter val="1386 - Channel"/>
        <filter val="943 - Channel"/>
        <filter val="298 - Channel 5"/>
        <filter val="222 - Channel 5"/>
        <filter val="211 - Channel 5"/>
        <filter val="51 - Channel"/>
        <filter val="1125 - Channel"/>
        <filter val="47 - Channel"/>
        <filter val="233 - Channel"/>
        <filter val="2227 - Channel"/>
        <filter val="736 - Channel"/>
        <filter val="1589 - Channel"/>
        <filter val="709 - Channel"/>
        <filter val="529 - Channel"/>
        <filter val="1086 - Channel"/>
        <filter val="1297 - Channel"/>
        <filter val="2192 - Channel"/>
        <filter val="697 - Channel"/>
        <filter val="140 - Channel"/>
        <filter val="1036 - Channel"/>
        <filter val="351 - Channel"/>
        <filter val="1951 - Channel"/>
        <filter val="997 - Channel"/>
        <filter val="229 - Channel"/>
        <filter val="494 - Channel"/>
        <filter val="916 - Channel"/>
        <filter val="1769 - Channel"/>
        <filter val="2109 - Channel"/>
        <filter val="2188 - Channel"/>
        <filter val="194 - Channel"/>
        <filter val="1808 - Channel"/>
        <filter val="2134 - Channel"/>
        <filter val="1179 - Channel"/>
        <filter val="287 - Channel"/>
        <filter val="1684 - Channel"/>
        <filter val="1833 - Channel"/>
        <filter val="436 - Channel"/>
        <filter val="877 - Channel"/>
        <filter val="1243 - Channel"/>
        <filter val="1953 - Channel"/>
        <filter val="1061 - Channel"/>
        <filter val="2074 - Channel"/>
        <filter val="438 - Channel"/>
        <filter val="2190 - Channel"/>
        <filter val="1384 - Channel"/>
        <filter val="2136 - Channel"/>
        <filter val="357 - Channel 5"/>
        <filter val="2252 - Channel"/>
        <filter val="1123 - Channel"/>
        <filter val="1268 - Channel"/>
        <filter val="163 - Channel 5"/>
        <filter val="1798 - Channel"/>
        <filter val="554 - Channel"/>
        <filter val="1891 - Channel"/>
        <filter val="2107 - Channel"/>
        <filter val="1007 - Channel"/>
        <filter val="1177 - Channel"/>
        <filter val="391 - Channel 5"/>
        <filter val="40 - Channel 5"/>
        <filter val="115 - Channel"/>
        <filter val="492 - Channel"/>
        <filter val="2200 - Channel"/>
        <filter val="1 - Channel 5"/>
        <filter val="260 - Channel"/>
        <filter val="1239 - Channel"/>
        <filter val="236 - Channel 5"/>
        <filter val="440 - Channel"/>
        <filter val="1806 - Channel"/>
        <filter val="1744 - Channel"/>
        <filter val="347 - Channel"/>
        <filter val="284 - Channel 5"/>
        <filter val="129 - Channel 5"/>
        <filter val="1270 - Channel"/>
        <filter val="1889 - Channel"/>
        <filter val="200 - Channel 5"/>
        <filter val="502 - Channel"/>
        <filter val="2045 - Channel"/>
        <filter val="199 - Channel 5"/>
        <filter val="1655 - Channel"/>
        <filter val="442 - Channel 5"/>
        <filter val="763 - Channel"/>
        <filter val="270 - Channel 5"/>
        <filter val="1214 - Channel"/>
        <filter val="1682 - Channel"/>
        <filter val="1862 - Channel"/>
        <filter val="321 - Channel 5"/>
        <filter val="1152 - Channel"/>
        <filter val="322 - Channel"/>
        <filter val="1090 - Channel"/>
        <filter val="2099 - Channel"/>
        <filter val="346 - Channel 5"/>
        <filter val="408 - Channel 5"/>
        <filter val="2020 - Channel"/>
        <filter val="1421 - Channel"/>
        <filter val="825 - Channel"/>
        <filter val="852 - Channel"/>
        <filter val="1924 - Channel"/>
        <filter val="258 - Channel"/>
        <filter val="2281 - Channel"/>
        <filter val="1978 - Channel"/>
        <filter val="790 - Channel"/>
        <filter val="2279 - Channel"/>
        <filter val="1034 - Channel"/>
        <filter val="645 - Channel"/>
        <filter val="707 - Channel"/>
        <filter val="2018 - Channel"/>
        <filter val="204 - Channel"/>
        <filter val="949 - Channel"/>
        <filter val="1704 - Channel"/>
        <filter val="220 - Channel"/>
        <filter val="749 - Channel"/>
        <filter val="549 - Channel"/>
        <filter val="472 - Channel"/>
        <filter val="1365 - Channel"/>
        <filter val="272 - Channel"/>
        <filter val="420 - Channel"/>
        <filter val="1165 - Channel"/>
        <filter val="1956 - Channel"/>
        <filter val="61 - Channel 5"/>
        <filter val="72 - Channel 5"/>
        <filter val="411 - Channel"/>
        <filter val="811 - Channel"/>
        <filter val="90 - Channel"/>
        <filter val="63 - Channel 5"/>
        <filter val="881 - Channel"/>
        <filter val="74 - Channel 5"/>
        <filter val="611 - Channel"/>
        <filter val="67 - Channel 5"/>
        <filter val="65 - Channel 5"/>
        <filter val="69 - Channel 5"/>
        <filter val="76 - Channel 5"/>
        <filter val="672 - Channel"/>
        <filter val="2170 - Channel"/>
        <filter val="872 - Channel"/>
        <filter val="78 - Channel 5"/>
        <filter val="263 - Channel"/>
        <filter val="1574 - Channel"/>
        <filter val="1174 - Channel"/>
        <filter val="1774 - Channel"/>
        <filter val="1974 - Channel"/>
        <filter val="167 - Channel"/>
        <filter val="306 - Channel"/>
        <filter val="367 - Channel"/>
        <filter val="1713 - Channel"/>
        <filter val="1513 - Channel"/>
        <filter val="1913 - Channel"/>
        <filter val="2265 - Channel"/>
        <filter val="906 - Channel"/>
        <filter val="2004 - Channel"/>
        <filter val="681 - Channel"/>
        <filter val="567 - Channel"/>
        <filter val="2065 - Channel"/>
        <filter val="70 - Channel 5"/>
        <filter val="2204 - Channel"/>
        <filter val="1356 - Channel"/>
        <filter val="481 - Channel"/>
        <filter val="281 - Channel"/>
        <filter val="2047 - Channel"/>
        <filter val="767 - Channel"/>
        <filter val="1756 - Channel"/>
        <filter val="2247 - Channel"/>
        <filter val="967 - Channel"/>
        <filter val="1556 - Channel"/>
        <filter val="1156 - Channel"/>
        <filter val="49 - Channel 5"/>
        <filter val="1008 - Channel"/>
        <filter val="2022 - Channel"/>
        <filter val="254 - Channel"/>
        <filter val="1783 - Channel"/>
        <filter val="1983 - Channel"/>
        <filter val="124 - Channel"/>
        <filter val="454 - Channel"/>
        <filter val="654 - Channel"/>
        <filter val="2152 - Channel"/>
        <filter val="72 - Channel"/>
        <filter val="1722 - Channel"/>
        <filter val="524 - Channel"/>
        <filter val="1522 - Channel"/>
        <filter val="1922 - Channel"/>
        <filter val="2083 - Channel"/>
        <filter val="324 - Channel"/>
        <filter val="724 - Channel"/>
        <filter val="83 - Channel 5"/>
        <filter val="43 - Channel 5"/>
        <filter val="385 - Channel"/>
        <filter val="85 - Channel 5"/>
        <filter val="402 - Channel"/>
        <filter val="1583 - Channel"/>
        <filter val="2229 - Channel"/>
        <filter val="45 - Channel 5"/>
        <filter val="602 - Channel"/>
        <filter val="1383 - Channel"/>
        <filter val="1122 - Channel"/>
        <filter val="47 - Channel 5"/>
        <filter val="2029 - Channel"/>
        <filter val="2222 - Channel"/>
        <filter val="585 - Channel"/>
        <filter val="87 - Channel 5"/>
        <filter val="2283 - Channel"/>
        <filter val="1183 - Channel"/>
        <filter val="2100 - Channel"/>
        <filter val="785 - Channel"/>
        <filter val="89 - Channel 5"/>
        <filter val="1817 - Channel"/>
        <filter val="1078 - Channel"/>
        <filter val="2 - Channel"/>
        <filter val="81 - Channel"/>
        <filter val="663 - Channel"/>
        <filter val="802 - Channel"/>
        <filter val="1747 - Channel"/>
        <filter val="1278 - Channel"/>
        <filter val="38 - Channel 5"/>
        <filter val="1947 - Channel"/>
        <filter val="2161 - Channel"/>
        <filter val="1347 - Channel"/>
        <filter val="1017 - Channel"/>
        <filter val="1252 - Channel"/>
        <filter val="185 - Channel"/>
        <filter val="1052 - Channel"/>
        <filter val="558 - Channel"/>
        <filter val="890 - Channel"/>
        <filter val="2056 - Channel"/>
        <filter val="1147 - Channel"/>
        <filter val="1452 - Channel"/>
        <filter val="1878 - Channel"/>
        <filter val="490 - Channel"/>
        <filter val="1852 - Channel"/>
        <filter val="290 - Channel"/>
        <filter val="2256 - Channel"/>
        <filter val="758 - Channel"/>
        <filter val="1687 - Channel"/>
        <filter val="742 - Channel"/>
        <filter val="819 - Channel"/>
        <filter val="419 - Channel"/>
        <filter val="550 - Channel"/>
        <filter val="29 - Channel 5"/>
        <filter val="950 - Channel"/>
        <filter val="1234 - Channel"/>
        <filter val="2186 - Channel"/>
        <filter val="1826 - Channel"/>
        <filter val="98 - Channel"/>
        <filter val="488 - Channel"/>
        <filter val="627 - Channel"/>
        <filter val="2117 - Channel"/>
        <filter val="97 - Channel"/>
        <filter val="1686 - Channel"/>
        <filter val="794 - Channel"/>
        <filter val="1026 - Channel"/>
        <filter val="2126 - Channel"/>
        <filter val="21 - Channel 5"/>
        <filter val="1286 - Channel"/>
        <filter val="32 - Channel 5"/>
        <filter val="1895 - Channel"/>
        <filter val="679 - Channel"/>
        <filter val="25 - Channel 5"/>
        <filter val="36 - Channel 5"/>
        <filter val="1235 - Channel"/>
        <filter val="2116 - Channel"/>
        <filter val="428 - Channel"/>
        <filter val="1825 - Channel"/>
        <filter val="818 - Channel"/>
        <filter val="2195 - Channel"/>
        <filter val="1740 - Channel"/>
        <filter val="133 - Channel"/>
        <filter val="1340 - Channel"/>
        <filter val="1425 - Channel"/>
        <filter val="636 - Channel"/>
        <filter val="497 - Channel"/>
        <filter val="2168 - Channel"/>
        <filter val="533 - Channel"/>
        <filter val="1843 - Channel"/>
        <filter val="1869 - Channel"/>
        <filter val="2231 - Channel"/>
        <filter val="1025 - Channel"/>
        <filter val="897 - Channel"/>
        <filter val="394 - Channel"/>
        <filter val="741 - Channel"/>
        <filter val="1043 - Channel"/>
        <filter val="90 - Channel 5"/>
        <filter val="551 - Channel"/>
        <filter val="1608 - Channel"/>
        <filter val="54 - Channel"/>
        <filter val="384 - Channel"/>
        <filter val="1208 - Channel"/>
        <filter val="2082 - Channel"/>
        <filter val="2144 - Channel"/>
        <filter val="1261 - Channel"/>
        <filter val="1661 - Channel"/>
        <filter val="1868 - Channel"/>
        <filter val="523 - Channel"/>
        <filter val="446 - Channel"/>
        <filter val="1001 - Channel"/>
        <filter val="2221 - Channel"/>
        <filter val="784 - Channel"/>
        <filter val="1068 - Channel"/>
        <filter val="1607 - Channel"/>
        <filter val="1800 - Channel"/>
        <filter val="1131 - Channel"/>
        <filter val="575 - Channel"/>
        <filter val="27 - Channel"/>
        <filter val="1999 - Channel"/>
        <filter val="1929 - Channel"/>
        <filter val="2013 - Channel"/>
        <filter val="637 - Channel"/>
        <filter val="1207 - Channel"/>
        <filter val="94 - Channel 5"/>
        <filter val="52 - Channel 5"/>
        <filter val="10 - Channel 5"/>
        <filter val="1199 - Channel"/>
        <filter val="56 - Channel 5"/>
        <filter val="14 - Channel 5"/>
        <filter val="609 - Channel"/>
        <filter val="1129 - Channel"/>
        <filter val="315 - Channel"/>
        <filter val="715 - Channel"/>
        <filter val="98 - Channel 5"/>
        <filter val="1070 - Channel"/>
        <filter val="209 - Channel"/>
        <filter val="176 - Channel"/>
        <filter val="1000 - Channel"/>
        <filter val="2196 - Channel"/>
        <filter val="1792 - Channel"/>
        <filter val="1738 - Channel"/>
        <filter val="1931 - Channel"/>
        <filter val="2012 - Channel"/>
        <filter val="314 - Channel"/>
        <filter val="18 - Channel 5"/>
        <filter val="714 - Channel"/>
        <filter val="1896 - Channel"/>
        <filter val="1870 - Channel"/>
        <filter val="211 - Channel"/>
        <filter val="2038 - Channel"/>
        <filter val="1262 - Channel"/>
        <filter val="2143 - Channel"/>
        <filter val="1801 - Channel"/>
        <filter val="1662 - Channel"/>
        <filter val="406 - Channel 5"/>
        <filter val="445 - Channel"/>
        <filter val="1401 - Channel"/>
        <filter val="2040 - Channel"/>
        <filter val="342 - Channel"/>
        <filter val="2169 - Channel"/>
        <filter val="402 - Channel 5"/>
        <filter val="845 - Channel"/>
        <filter val="1765 - Channel"/>
        <filter val="1904 - Channel"/>
        <filter val="212 - Channel"/>
        <filter val="357 - Channel"/>
        <filter val="480 - Channel"/>
        <filter val="1080 - Channel"/>
        <filter val="30 - Channel"/>
        <filter val="2055 - Channel"/>
        <filter val="1764 - Channel"/>
        <filter val="1880 - Channel"/>
        <filter val="473 - Channel"/>
        <filter val="2171 - Channel"/>
        <filter val="812 - Channel"/>
        <filter val="105 - Channel"/>
        <filter val="957 - Channel"/>
        <filter val="2239 - Channel"/>
        <filter val="2064 - Channel"/>
        <filter val="1373 - Channel"/>
        <filter val="221 - Channel"/>
        <filter val="1703 - Channel"/>
        <filter val="273 - Channel"/>
        <filter val="2003 - Channel"/>
        <filter val="566 - Channel"/>
        <filter val="366 - Channel"/>
        <filter val="1912 - Channel"/>
        <filter val="421 - Channel"/>
        <filter val="1164 - Channel"/>
        <filter val="1757 - Channel"/>
        <filter val="2264 - Channel"/>
        <filter val="905 - Channel"/>
        <filter val="157 - Channel"/>
        <filter val="1348 - Channel"/>
        <filter val="1410 - Channel"/>
        <filter val="610 - Channel"/>
        <filter val="2180 - Channel"/>
        <filter val="682 - Channel"/>
        <filter val="2101 - Channel"/>
        <filter val="359 - Channel"/>
        <filter val="1610 - Channel"/>
        <filter val="1966 - Channel"/>
        <filter val="1939 - Channel"/>
        <filter val="959 - Channel"/>
        <filter val="1705 - Channel"/>
        <filter val="1905 - Channel"/>
        <filter val="871 - Channel"/>
        <filter val="2057 - Channel"/>
        <filter val="403 - Channel"/>
        <filter val="1071 - Channel"/>
        <filter val="339 - Channel"/>
        <filter val="1671 - Channel"/>
        <filter val="3 - Channel"/>
        <filter val="1166 - Channel"/>
        <filter val="864 - Channel"/>
        <filter val="1191 - Channel"/>
        <filter val="413 - Channel 5"/>
        <filter val="415 - Channel 5"/>
        <filter val="1346 - Channel"/>
        <filter val="123 - Channel"/>
        <filter val="2237 - Channel"/>
        <filter val="1105 - Channel"/>
        <filter val="2037 - Channel"/>
        <filter val="271 - Channel"/>
        <filter val="1871 - Channel"/>
        <filter val="319 - Channel 5"/>
        <filter val="1791 - Channel"/>
        <filter val="1991 - Channel"/>
        <filter val="1853 - Channel"/>
        <filter val="2089 - Channel"/>
        <filter val="691 - Channel"/>
        <filter val="1253 - Channel"/>
        <filter val="2214 - Channel"/>
        <filter val="601 - Channel"/>
        <filter val="401 - Channel"/>
        <filter val="516 - Channel"/>
        <filter val="1139 - Channel"/>
        <filter val="430 - Channel"/>
        <filter val="1 - Channel"/>
        <filter val="1339 - Channel"/>
        <filter val="662 - Channel"/>
        <filter val="1816 - Channel"/>
        <filter val="862 - Channel"/>
        <filter val="360 - Channel"/>
        <filter val="1260 - Channel"/>
        <filter val="1782 - Channel"/>
        <filter val="1844 - Channel"/>
        <filter val="160 - Channel"/>
        <filter val="1016 - Channel"/>
        <filter val="1789 - Channel"/>
        <filter val="891 - Channel"/>
        <filter val="1077 - Channel"/>
        <filter val="1989 - Channel"/>
        <filter val="593 - Channel"/>
        <filter val="655 - Channel"/>
        <filter val="198 - Channel 5"/>
        <filter val="1555 - Channel"/>
        <filter val="328 - Channel 5"/>
        <filter val="393 - Channel"/>
        <filter val="192 - Channel 5"/>
        <filter val="1609 - Channel"/>
        <filter val="1114 - Channel"/>
        <filter val="1755 - Channel"/>
        <filter val="1582 - Channel"/>
        <filter val="320 - Channel 5"/>
        <filter val="1521 - Channel"/>
        <filter val="2084 - Channel"/>
        <filter val="889 - Channel"/>
        <filter val="725 - Channel"/>
        <filter val="925 - Channel"/>
        <filter val="296 - Channel"/>
        <filter val="322 - Channel 5"/>
        <filter val="132 - Channel"/>
        <filter val="986 - Channel"/>
        <filter val="1575 - Channel"/>
        <filter val="960 - Channel"/>
        <filter val="2030 - Channel"/>
        <filter val="1914 - Channel"/>
        <filter val="2028 - Channel"/>
        <filter val="896 - Channel"/>
        <filter val="932 - Channel"/>
        <filter val="2091 - Channel"/>
        <filter val="424 - Channel 5"/>
        <filter val="426 - Channel 5"/>
        <filter val="2153 - Channel"/>
        <filter val="190 - Channel 5"/>
        <filter val="455 - Channel"/>
        <filter val="12 - Channel"/>
        <filter val="2125 - Channel"/>
        <filter val="542 - Channel"/>
        <filter val="687 - Channel"/>
        <filter val="339 - Channel 5"/>
        <filter val="2178 - Channel"/>
        <filter val="1227 - Channel"/>
        <filter val="27 - Channel 5"/>
        <filter val="750 - Channel"/>
        <filter val="1695 - Channel"/>
        <filter val="2293 - Channel"/>
        <filter val="181 - Channel 5"/>
        <filter val="189 - Channel 5"/>
        <filter val="1279 - Channel"/>
        <filter val="331 - Channel 5"/>
        <filter val="100 - Channel 5"/>
        <filter val="1818 - Channel"/>
        <filter val="1434 - Channel"/>
        <filter val="543 - Channel"/>
        <filter val="594 - Channel"/>
        <filter val="226 - Channel 5"/>
        <filter val="30 - Channel 5"/>
        <filter val="215 - Channel 5"/>
        <filter val="2241 - Channel"/>
        <filter val="1941 - Channel"/>
        <filter val="1141 - Channel"/>
        <filter val="1226 - Channel"/>
        <filter val="628 - Channel"/>
        <filter val="294 - Channel 5"/>
        <filter val="334 - Channel"/>
        <filter val="1435 - Channel"/>
        <filter val="108 - Channel 5"/>
        <filter val="1051 - Channel"/>
        <filter val="2032 - Channel"/>
        <filter val="2177 - Channel"/>
        <filter val="2031 - Channel"/>
        <filter val="836 - Channel"/>
        <filter val="1225 - Channel"/>
        <filter val="244 - Channel"/>
        <filter val="1940 - Channel"/>
        <filter val="985 - Channel"/>
        <filter val="1436 - Channel"/>
        <filter val="62 - Channel"/>
        <filter val="809 - Channel"/>
        <filter val="541 - Channel"/>
        <filter val="1851 - Channel"/>
        <filter val="1189 - Channel"/>
        <filter val="1877 - Channel"/>
        <filter val="92 - Channel 5"/>
        <filter val="1669 - Channel"/>
        <filter val="426 - Channel"/>
        <filter val="100 - Channel"/>
        <filter val="1694 - Channel"/>
        <filter val="1643 - Channel"/>
        <filter val="751 - Channel"/>
        <filter val="1140 - Channel"/>
        <filter val="435 - Channel 5"/>
        <filter val="777 - Channel"/>
        <filter val="900 - Channel"/>
        <filter val="1697 - Channel"/>
        <filter val="2124 - Channel"/>
        <filter val="1784 - Channel"/>
        <filter val="1408 - Channel"/>
        <filter val="1018 - Channel"/>
        <filter val="1523 - Channel"/>
        <filter val="167 - Channel 5"/>
        <filter val="361 - Channel"/>
        <filter val="1138 - Channel"/>
        <filter val="776 - Channel"/>
        <filter val="246 - Channel"/>
        <filter val="1201 - Channel"/>
        <filter val="723 - Channel"/>
        <filter val="299 - Channel"/>
        <filter val="353 - Channel 5"/>
        <filter val="1192 - Channel"/>
        <filter val="984 - Channel"/>
        <filter val="1937 - Channel"/>
        <filter val="1407 - Channel"/>
        <filter val="311 - Channel 5"/>
        <filter val="183 - Channel"/>
        <filter val="837 - Channel"/>
        <filter val="50 - Channel 5"/>
        <filter val="1667 - Channel"/>
        <filter val="1992 - Channel"/>
        <filter val="2213 - Channel"/>
        <filter val="1200 - Channel"/>
        <filter val="775 - Channel"/>
        <filter val="204 - Channel 5"/>
        <filter val="515 - Channel"/>
        <filter val="453 - Channel"/>
        <filter val="1876 - Channel"/>
        <filter val="274 - Channel 5"/>
        <filter val="1399 - Channel"/>
        <filter val="58 - Channel 5"/>
        <filter val="1254 - Channel"/>
        <filter val="16 - Channel 5"/>
        <filter val="119 - Channel 5"/>
        <filter val="1938 - Channel"/>
        <filter val="2151 - Channel"/>
        <filter val="178 - Channel 5"/>
        <filter val="2212 - Channel"/>
        <filter val="2176 - Channel"/>
        <filter val="478 - Channel"/>
        <filter val="1670 - Channel"/>
        <filter val="1193 - Channel"/>
        <filter val="1993 - Channel"/>
        <filter val="2149 - Channel"/>
        <filter val="1696 - Channel"/>
        <filter val="5 - Channel 5"/>
        <filter val="570 - Channel"/>
        <filter val="342 - Channel 5"/>
        <filter val="111 - Channel 5"/>
        <filter val="1732 - Channel"/>
        <filter val="300 - Channel 5"/>
        <filter val="307 - Channel"/>
        <filter val="722 - Channel"/>
        <filter val="35 - Channel"/>
        <filter val="2266 - Channel"/>
        <filter val="170 - Channel 5"/>
        <filter val="404 - Channel 5"/>
        <filter val="217 - Channel"/>
        <filter val="446 - Channel 5"/>
        <filter val="2240 - Channel"/>
        <filter val="89 - Channel"/>
        <filter val="568 - Channel"/>
        <filter val="1137 - Channel"/>
        <filter val="2005 - Channel"/>
        <filter val="308 - Channel 5"/>
        <filter val="146 - Channel 5"/>
        <filter val="1749 - Channel"/>
        <filter val="1849 - Channel"/>
        <filter val="2063 - Channel"/>
        <filter val="704 - Channel"/>
        <filter val="1449 - Channel"/>
        <filter val="1472 - Channel"/>
        <filter val="604 - Channel"/>
        <filter val="260 - Channel 5"/>
        <filter val="1372 - Channel"/>
        <filter val="665 - Channel"/>
        <filter val="377 - Channel 5"/>
        <filter val="1811 - Channel"/>
        <filter val="1120 - Channel"/>
        <filter val="565 - Channel"/>
        <filter val="374 - Channel 5"/>
        <filter val="1020 - Channel"/>
        <filter val="143 - Channel 5"/>
        <filter val="2263 - Channel"/>
        <filter val="865 - Channel"/>
        <filter val="1149 - Channel"/>
        <filter val="1772 - Channel"/>
        <filter val="656 - Channel"/>
        <filter val="1058 - Channel"/>
        <filter val="259 - Channel 5"/>
        <filter val="756 - Channel"/>
        <filter val="456 - Channel"/>
        <filter val="381 - Channel 5"/>
        <filter val="370 - Channel 5"/>
        <filter val="382 - Channel 5"/>
        <filter val="256 - Channel 5"/>
        <filter val="267 - Channel 5"/>
        <filter val="371 - Channel 5"/>
        <filter val="1358 - Channel"/>
        <filter val="2154 - Channel"/>
        <filter val="1863 - Channel"/>
        <filter val="261 - Channel 5"/>
        <filter val="149 - Channel 5"/>
        <filter val="138 - Channel 5"/>
        <filter val="264 - Channel 5"/>
        <filter val="253 - Channel 5"/>
        <filter val="139 - Channel 5"/>
        <filter val="774 - Channel"/>
        <filter val="874 - Channel"/>
        <filter val="1163 - Channel"/>
        <filter val="1902 - Channel"/>
        <filter val="1602 - Channel"/>
        <filter val="274 - Channel"/>
        <filter val="847 - Channel"/>
        <filter val="174 - Channel"/>
        <filter val="1981 - Channel"/>
        <filter val="2054 - Channel"/>
        <filter val="156 - Channel"/>
        <filter val="356 - Channel"/>
        <filter val="1263 - Channel"/>
        <filter val="13 - Channel"/>
        <filter val="1281 - Channel"/>
        <filter val="2011 - Channel"/>
        <filter val="31 - Channel"/>
        <filter val="513 - Channel"/>
        <filter val="1081 - Channel"/>
        <filter val="2172 - Channel"/>
        <filter val="92 - Channel"/>
        <filter val="1681 - Channel"/>
        <filter val="1720 - Channel"/>
        <filter val="474 - Channel"/>
        <filter val="613 - Channel"/>
        <filter val="574 - Channel"/>
        <filter val="2211 - Channel"/>
        <filter val="538 - Channel"/>
        <filter val="1176 - Channel"/>
        <filter val="168 - Channel 5"/>
        <filter val="131 - Channel"/>
        <filter val="331 - Channel"/>
        <filter val="2106 - Channel"/>
        <filter val="1915 - Channel"/>
        <filter val="261 - Channel"/>
        <filter val="358 - Channel 5"/>
        <filter val="731 - Channel"/>
        <filter val="338 - Channel"/>
        <filter val="124 - Channel 5"/>
        <filter val="396 - Channel 5"/>
        <filter val="2036 - Channel"/>
        <filter val="2090 - Channel"/>
        <filter val="162 - Channel 5"/>
        <filter val="352 - Channel 5"/>
        <filter val="356 - Channel 5"/>
        <filter val="483 - Channel"/>
        <filter val="799 - Channel"/>
        <filter val="2236 - Channel"/>
        <filter val="599 - Channel"/>
        <filter val="269 - Channel"/>
        <filter val="408 - Channel"/>
        <filter val="249 - Channel 5"/>
        <filter val="2158 - Channel"/>
        <filter val="1045 - Channel"/>
        <filter val="2145 - Channel"/>
        <filter val="237 - Channel 5"/>
        <filter val="392 - Channel 5"/>
        <filter val="245 - Channel 5"/>
        <filter val="1445 - Channel"/>
        <filter val="360 - Channel 5"/>
        <filter val="247 - Channel"/>
        <filter val="289 - Channel 5"/>
        <filter val="235 - Channel 5"/>
        <filter val="1954 - Channel"/>
        <filter val="392 - Channel"/>
        <filter val="669 - Channel"/>
        <filter val="1906 - Channel"/>
        <filter val="285 - Channel 5"/>
        <filter val="283 - Channel 5"/>
        <filter val="231 - Channel 5"/>
        <filter val="1776 - Channel"/>
        <filter val="1354 - Channel"/>
        <filter val="1706 - Channel"/>
        <filter val="65 - Channel"/>
        <filter val="128 - Channel 5"/>
        <filter val="390 - Channel 5"/>
        <filter val="275 - Channel 5"/>
        <filter val="917 - Channel"/>
        <filter val="114 - Channel 5"/>
        <filter val="179 - Channel 5"/>
        <filter val="2050 - Channel"/>
        <filter val="116 - Channel 5"/>
        <filter val="154 - Channel 5"/>
        <filter val="940 - Channel"/>
        <filter val="347 - Channel 5"/>
        <filter val="352 - Channel"/>
        <filter val="271 - Channel 5"/>
        <filter val="250 - Channel 5"/>
        <filter val="135 - Channel 5"/>
        <filter val="1190 - Channel"/>
        <filter val="150 - Channel 5"/>
        <filter val="366 - Channel 5"/>
        <filter val="470 - Channel"/>
        <filter val="2120 - Channel"/>
        <filter val="345 - Channel 5"/>
        <filter val="341 - Channel 5"/>
        <filter val="385 - Channel 5"/>
        <filter val="578 - Channel"/>
        <filter val="290 - Channel 5"/>
        <filter val="1685 - Channel"/>
        <filter val="110 - Channel 5"/>
        <filter val="40 - Channel"/>
        <filter val="173 - Channel 5"/>
        <filter val="175 - Channel 5"/>
        <filter val="1824 - Channel"/>
        <filter val="952 - Channel"/>
        <filter val="2249 - Channel"/>
        <filter val="1658 - Channel"/>
        <filter val="1211 - Channel"/>
        <filter val="1588 - Channel"/>
        <filter val="1424 - Channel"/>
        <filter val="1927 - Channel"/>
        <filter val="2015 - Channel"/>
        <filter val="2179 - Channel"/>
        <filter val="2002 - Channel"/>
        <filter val="822 - Channel"/>
        <filter val="683 - Channel"/>
        <filter val="2181 - Channel"/>
        <filter val="104 - Channel"/>
        <filter val="1072 - Channel"/>
        <filter val="317 - Channel"/>
        <filter val="1188 - Channel"/>
        <filter val="2118 - Channel"/>
        <filter val="304 - Channel"/>
        <filter val="38 - Channel"/>
        <filter val="187 - Channel 5"/>
        <filter val="834 - Channel"/>
        <filter val="337 - Channel 5"/>
        <filter val="1842 - Channel"/>
        <filter val="1942 - Channel"/>
        <filter val="1919 - Channel"/>
        <filter val="1027 - Channel"/>
        <filter val="102 - Channel 5"/>
        <filter val="795 - Channel"/>
        <filter val="1219 - Channel"/>
        <filter val="333 - Channel 5"/>
        <filter val="334 - Channel 5"/>
        <filter val="135 - Channel"/>
        <filter val="183 - Channel 5"/>
        <filter val="1350 - Channel"/>
        <filter val="186 - Channel 5"/>
        <filter val="1250 - Channel"/>
        <filter val="443 - Channel"/>
        <filter val="1341 - Channel"/>
        <filter val="1741 - Channel"/>
        <filter val="227 - Channel 5"/>
        <filter val="213 - Channel 5"/>
        <filter val="843 - Channel"/>
        <filter val="330 - Channel 5"/>
        <filter val="224 - Channel 5"/>
        <filter val="743 - Channel"/>
        <filter val="2141 - Channel"/>
        <filter val="220 - Channel 5"/>
        <filter val="223 - Channel 5"/>
        <filter val="2232 - Channel"/>
        <filter val="296 - Channel 5"/>
        <filter val="106 - Channel 5"/>
        <filter val="297 - Channel 5"/>
        <filter val="2027 - Channel"/>
        <filter val="1689 - Channel"/>
        <filter val="1828 - Channel"/>
        <filter val="2127 - Channel"/>
        <filter val="2042 - Channel"/>
        <filter val="340 - Channel"/>
        <filter val="1428 - Channel"/>
        <filter val="429 - Channel"/>
        <filter val="1751 - Channel"/>
        <filter val="1128 - Channel"/>
        <filter val="1197 - Channel"/>
        <filter val="226 - Channel"/>
        <filter val="716 - Channel"/>
        <filter val="300 - Channel"/>
        <filter val="677 - Channel"/>
        <filter val="816 - Channel"/>
        <filter val="1933 - Channel"/>
        <filter val="2009 - Channel"/>
        <filter val="1894 - Channel"/>
        <filter val="729 - Channel"/>
        <filter val="700 - Channel"/>
        <filter val="600 - Channel"/>
        <filter val="2185 - Channel"/>
        <filter val="487 - Channel"/>
        <filter val="1118 - Channel"/>
        <filter val="433 - Channel 5"/>
        <filter val="561 - Channel"/>
        <filter val="1884 - Channel"/>
        <filter val="1998 - Channel"/>
        <filter val="431 - Channel"/>
        <filter val="861 - Channel"/>
        <filter val="165 - Channel 5"/>
        <filter val="638 - Channel"/>
        <filter val="359 - Channel 5"/>
        <filter val="2114 - Channel"/>
        <filter val="768 - Channel"/>
        <filter val="430 - Channel 5"/>
        <filter val="1815 - Channel"/>
        <filter val="1246 - Channel"/>
        <filter val="282 - Channel 5"/>
        <filter val="355 - Channel 5"/>
        <filter val="416 - Channel"/>
        <filter val="499 - Channel"/>
        <filter val="2067 - Channel"/>
        <filter val="161 - Channel 5"/>
        <filter val="2197 - Channel"/>
        <filter val="1184 - Channel"/>
        <filter val="248 - Channel 5"/>
        <filter val="692 - Channel"/>
        <filter val="1145 - Channel"/>
        <filter val="2245 - Channel"/>
        <filter val="202 - Channel 5"/>
        <filter val="393 - Channel 5"/>
        <filter val="253 - Channel"/>
        <filter val="147 - Channel"/>
        <filter val="1867 - Channel"/>
        <filter val="272 - Channel 5"/>
        <filter val="234 - Channel 5"/>
        <filter val="1606 - Channel"/>
        <filter val="1132 - Channel"/>
        <filter val="640 - Channel"/>
        <filter val="117 - Channel 5"/>
        <filter val="286 - Channel 5"/>
        <filter val="1985 - Channel"/>
        <filter val="1455 - Channel"/>
        <filter val="176 - Channel 5"/>
        <filter val="197 - Channel 5"/>
        <filter val="1393 - Channel"/>
        <filter val="1793 - Channel"/>
        <filter val="625 - Channel"/>
        <filter val="369 - Channel 5"/>
        <filter val="348 - Channel 5"/>
        <filter val="1014 - Channel"/>
        <filter val="1855 - Channel"/>
        <filter val="113 - Channel 5"/>
        <filter val="440 - Channel 5"/>
        <filter val="293 - Channel 5"/>
        <filter val="1532 - Channel"/>
        <filter val="1290 - Channel"/>
        <filter val="344 - Channel 5"/>
        <filter val="323 - Channel 5"/>
        <filter val="151 - Channel 5"/>
        <filter val="172 - Channel 5"/>
        <filter val="2220 - Channel"/>
        <filter val="69 - Channel"/>
        <filter val="652 - Channel"/>
        <filter val="522 - Channel"/>
        <filter val="3 - Channel 5"/>
        <filter val="1275 - Channel"/>
        <filter val="2081 - Channel"/>
        <filter val="886 - Channel"/>
        <filter val="396 - Channel"/>
        <filter val="1337 - Channel"/>
        <filter val="1737 - Channel"/>
        <filter val="2205 - Channel"/>
        <filter val="1724 - Channel"/>
        <filter val="2079 - Channel"/>
        <filter val="899 - Channel"/>
        <filter val="1675 - Channel"/>
        <filter val="2102 - Channel"/>
        <filter val="770 - Channel"/>
        <filter val="783 - Channel"/>
        <filter val="1172 - Channel"/>
        <filter val="2218 - Channel"/>
        <filter val="1288 - Channel"/>
        <filter val="507 - Channel"/>
        <filter val="444 - Channel 5"/>
        <filter val="580 - Channel"/>
        <filter val="1157 - Channel"/>
        <filter val="880 - Channel"/>
        <filter val="2110 - Channel"/>
        <filter val="1180 - Channel"/>
        <filter val="2048 - Channel"/>
        <filter val="412 - Channel"/>
        <filter val="280 - Channel"/>
        <filter val="2255 - Channel"/>
        <filter val="857 - Channel"/>
        <filter val="712 - Channel"/>
        <filter val="2071 - Channel"/>
        <filter val="673 - Channel"/>
        <filter val="1012 - Channel"/>
        <filter val="164 - Channel"/>
        <filter val="1803 - Channel"/>
        <filter val="1948 - Channel"/>
        <filter val="2139 - Channel"/>
        <filter val="1273 - Channel"/>
        <filter val="1364 - Channel"/>
        <filter val="166 - Channel"/>
        <filter val="505 - Channel"/>
        <filter val="1973 - Channel"/>
        <filter val="23 - Channel"/>
        <filter val="1712 - Channel"/>
        <filter val="2203 - Channel"/>
        <filter val="1103 - Channel"/>
        <filter val="766 - Channel"/>
        <filter val="1064 - Channel"/>
        <filter val="1857 - Channel"/>
        <filter val="621 - Channel"/>
        <filter val="2164 - Channel"/>
        <filter val="710 - Channel"/>
        <filter val="2257 - Channel"/>
        <filter val="1010 - Channel"/>
        <filter val="921 - Channel"/>
        <filter val="2201 - Channel"/>
        <filter val="2280 - Channel"/>
        <filter val="882 - Channel"/>
        <filter val="203 - Channel"/>
        <filter val="1271 - Channel"/>
        <filter val="671 - Channel"/>
        <filter val="1739 - Channel"/>
        <filter val="503 - Channel"/>
        <filter val="21 - Channel"/>
        <filter val="1805 - Channel"/>
        <filter val="1766 - Channel"/>
        <filter val="559 - Channel"/>
        <filter val="1130 - Channel"/>
        <filter val="1505 - Channel"/>
        <filter val="230 - Channel"/>
        <filter val="2162 - Channel"/>
        <filter val="139 - Channel"/>
        <filter val="439 - Channel"/>
        <filter val="1946 - Channel"/>
        <filter val="1571 - Channel"/>
        <filter val="464 - Channel"/>
        <filter val="417 - Channel 5"/>
        <filter val="803 - Channel"/>
        <filter val="1859 - Channel"/>
        <filter val="1066 - Channel"/>
        <filter val="371 - Channel"/>
        <filter val="764 - Channel"/>
        <filter val="2021 - Channel"/>
        <filter val="414 - Channel 5"/>
        <filter val="739 - Channel"/>
        <filter val="2137 - Channel"/>
        <filter val="2098 - Channel"/>
        <filter val="411 - Channel 5"/>
        <filter val="1559 - Channel"/>
        <filter val="1768 - Channel"/>
        <filter val="318 - Channel 5"/>
        <filter val="2044 - Channel"/>
        <filter val="7 - Channel"/>
        <filter val="79 - Channel"/>
        <filter val="201 - Channel"/>
        <filter val="998 - Channel"/>
        <filter val="1391 - Channel"/>
        <filter val="491 - Channel"/>
        <filter val="1101 - Channel"/>
        <filter val="312 - Channel 5"/>
        <filter val="946 - Channel"/>
        <filter val="1975 - Channel"/>
        <filter val="1453 - Channel"/>
        <filter val="2160 - Channel"/>
        <filter val="116 - Channel"/>
        <filter val="2228 - Channel"/>
        <filter val="462 - Channel"/>
        <filter val="675 - Channel"/>
        <filter val="205 - Channel 5"/>
        <filter val="2096 - Channel"/>
        <filter val="737 - Channel"/>
        <filter val="830 - Channel"/>
        <filter val="398 - Channel"/>
        <filter val="553 - Channel"/>
        <filter val="15 - Channel 5"/>
        <filter val="1809 - Channel"/>
        <filter val="2251 - Channel"/>
        <filter val="1660 - Channel"/>
        <filter val="1921 - Channel"/>
        <filter val="2112 - Channel"/>
        <filter val="489 - Channel"/>
        <filter val="282 - Channel"/>
        <filter val="793 - Channel"/>
        <filter val="325 - Channel"/>
        <filter val="1182 - Channel"/>
        <filter val="307 - Channel 5"/>
        <filter val="1244 - Channel"/>
        <filter val="1093 - Channel"/>
        <filter val="193 - Channel"/>
        <filter val="828 - Channel"/>
        <filter val="2023 - Channel"/>
        <filter val="2187 - Channel"/>
        <filter val="326 - Channel 5"/>
        <filter val="301 - Channel 5"/>
        <filter val="648 - Channel"/>
        <filter val="194 - Channel 5"/>
        <filter val="1155 - Channel"/>
        <filter val="6 - Channel 5"/>
        <filter val="137 - Channel"/>
        <filter val="1832 - Channel"/>
        <filter val="1209 - Channel"/>
        <filter val="973 - Channel"/>
        <filter val="2230 - Channel"/>
        <filter val="207 - Channel"/>
        <filter val="760 - Channel"/>
        <filter val="532 - Channel"/>
        <filter val="428 - Channel 5"/>
        <filter val="696 - Channel"/>
        <filter val="1298 - Channel"/>
        <filter val="447 - Channel 5"/>
        <filter val="255 - Channel"/>
        <filter val="2166 - Channel"/>
        <filter val="403 - Channel 5"/>
        <filter val="1714 - Channel"/>
        <filter val="1037 - Channel"/>
        <filter val="468 - Channel"/>
        <filter val="422 - Channel 5"/>
        <filter val="1362 - Channel"/>
        <filter val="619 - Channel"/>
        <filter val="942 - Channel"/>
        <filter val="2193 - Channel"/>
        <filter val="1087 - Channel"/>
        <filter val="319 - Channel"/>
        <filter val="1979 - Channel"/>
        <filter val="2017 - Channel"/>
        <filter val="2133 - Channel"/>
        <filter val="143 - Channel"/>
        <filter val="288 - Channel"/>
        <filter val="1718 - Channel"/>
        <filter val="219 - Channel 5"/>
        <filter val="435 - Channel"/>
        <filter val="1886 - Channel"/>
        <filter val="2226 - Channel"/>
        <filter val="994 - Channel"/>
        <filter val="1925 - Channel"/>
        <filter val="1451 - Channel"/>
        <filter val="528 - Channel"/>
        <filter val="23 - Channel 5"/>
        <filter val="34 - Channel 5"/>
        <filter val="26 - Channel 5"/>
        <filter val="109 - Channel 5"/>
        <filter val="1151 - Channel"/>
        <filter val="1950 - Channel"/>
        <filter val="52 - Channel"/>
        <filter val="1536 - Channel"/>
        <filter val="1836 - Channel"/>
        <filter val="644 - Channel"/>
        <filter val="1240 - Channel"/>
        <filter val="1977 - Channel"/>
        <filter val="1033 - Channel"/>
        <filter val="2019 - Channel"/>
        <filter val="441 - Channel"/>
        <filter val="1540 - Channel"/>
        <filter val="93 - Channel 5"/>
        <filter val="1089 - Channel"/>
        <filter val="733 - Channel"/>
        <filter val="1294 - Channel"/>
        <filter val="377 - Channel"/>
        <filter val="526 - Channel"/>
        <filter val="2075 - Channel"/>
        <filter val="439 - Channel 5"/>
        <filter val="1743 - Channel"/>
        <filter val="1153 - Channel"/>
        <filter val="436 - Channel 5"/>
        <filter val="851 - Channel"/>
        <filter val="19 - Channel"/>
        <filter val="180 - Channel 5"/>
        <filter val="826 - Channel"/>
        <filter val="1923 - Channel"/>
        <filter val="284 - Channel"/>
        <filter val="1594 - Channel"/>
        <filter val="1269 - Channel"/>
        <filter val="197 - Channel"/>
        <filter val="2224 - Channel"/>
        <filter val="1797 - Channel"/>
        <filter val="1861 - Channel"/>
        <filter val="315 - Channel 5"/>
        <filter val="1745 - Channel"/>
        <filter val="584 - Channel"/>
        <filter val="501 - Channel"/>
        <filter val="1683 - Channel"/>
        <filter val="1807 - Channel"/>
        <filter val="1600 - Channel"/>
        <filter val="708 - Channel"/>
        <filter val="399 - Channel 5"/>
        <filter val="1215 - Channel"/>
        <filter val="121 - Channel 5"/>
        <filter val="82 - Channel 5"/>
        <filter val="2189 - Channel"/>
        <filter val="646 - Channel"/>
        <filter val="1799 - Channel"/>
        <filter val="170 - Channel"/>
        <filter val="1654 - Channel"/>
        <filter val="762 - Channel"/>
        <filter val="437 - Channel"/>
        <filter val="278 - Channel 5"/>
        <filter val="1716 - Channel"/>
        <filter val="2135 - Channel"/>
        <filter val="698 - Channel"/>
        <filter val="242 - Channel 5"/>
        <filter val="48 - Channel 5"/>
        <filter val="1267 - Channel"/>
        <filter val="582 - Channel"/>
        <filter val="853 - Channel"/>
        <filter val="157 - Channel 5"/>
        <filter val="329 - Channel 5"/>
        <filter val="493 - Channel"/>
        <filter val="789 - Channel"/>
        <filter val="1006 - Channel"/>
        <filter val="2046 - Channel"/>
        <filter val="617 - Channel"/>
        <filter val="1178 - Channel"/>
        <filter val="9 - Channel 5"/>
        <filter val="114 - Channel"/>
        <filter val="2108 - Channel"/>
        <filter val="1385 - Channel"/>
        <filter val="304 - Channel 5"/>
        <filter val="286 - Channel"/>
        <filter val="348 - Channel"/>
        <filter val="878 - Channel"/>
        <filter val="363 - Channel 5"/>
        <filter val="388 - Channel 5"/>
        <filter val="2073 - Channel"/>
        <filter val="132 - Channel 5"/>
        <filter val="375 - Channel"/>
        <filter val="208 - Channel 5"/>
        <filter val="1447 - Channel"/>
        <filter val="50 - Channel"/>
        <filter val="232 - Channel"/>
        <filter val="1890 - Channel"/>
        <filter val="48 - Channel"/>
        <filter val="1888 - Channel"/>
        <filter val="735 - Channel"/>
        <filter val="1062 - Channel"/>
        <filter val="2253 - Channel"/>
        <filter val="191 - Channel 5"/>
        <filter val="425 - Channel 5"/>
        <filter val="400 - Channel 5"/>
        <filter val="555 - Channel"/>
        <filter val="2191 - Channel"/>
        <filter val="1124 - Channel"/>
      </filters>
    </filterColumn>
    <filterColumn colId="1">
      <filters>
        <filter val="Channel 3"/>
        <filter val="Channel 4"/>
        <filter val="Channel 1"/>
        <filter val="Channel 2"/>
        <filter val="Channel 5"/>
        <filter val="CHANNEL 2"/>
        <filter val="CHANNEL 3"/>
        <filter val="SURPLUS TALKS"/>
        <filter val="CHANNEL 4"/>
        <filter val="Surplus ch."/>
      </filters>
    </filterColumn>
    <filterColumn colId="7">
      <filters>
        <filter val="Web Summit Trailer - Short"/>
        <filter val="Teaser Outro"/>
        <filter val="Channel 5"/>
        <filter val="Web Summit Trailer - Full"/>
        <filter val="Collision from Home Day Intro"/>
        <filter val="Holding Graphic"/>
        <filter val="Anchor piece"/>
        <filter val="Talk Intro"/>
        <filter val="Talk Outro"/>
      </filters>
    </filterColumn>
  </autoFilter>
  <conditionalFormatting sqref="O2:S2276">
    <cfRule type="cellIs" dxfId="1" priority="1" operator="equal">
      <formula>"FALSE"</formula>
    </cfRule>
  </conditionalFormatting>
  <conditionalFormatting sqref="O2:S2276">
    <cfRule type="containsText" dxfId="2" priority="2" operator="containsText" text="TRUE">
      <formula>NOT(ISERROR(SEARCH(("TRUE"),(O2))))</formula>
    </cfRule>
  </conditionalFormatting>
  <conditionalFormatting sqref="A1:N1 O2:S2276 T2">
    <cfRule type="cellIs" dxfId="0" priority="3" operator="equal">
      <formula>"ID null"</formula>
    </cfRule>
  </conditionalFormatting>
  <conditionalFormatting sqref="O1:S1">
    <cfRule type="containsText" dxfId="2" priority="4" operator="containsText" text="TRUE">
      <formula>NOT(ISERROR(SEARCH(("TRUE"),(O1))))</formula>
    </cfRule>
  </conditionalFormatting>
  <conditionalFormatting sqref="A1:T1">
    <cfRule type="cellIs" dxfId="0" priority="5" operator="equal">
      <formula>"ID null"</formula>
    </cfRule>
  </conditionalFormatting>
  <hyperlinks>
    <hyperlink r:id="rId1" ref="I300"/>
    <hyperlink r:id="rId2" ref="K558"/>
    <hyperlink r:id="rId3" ref="N1140"/>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9" max="9" width="38.14"/>
    <col customWidth="1" min="10" max="10" width="13.14"/>
    <col customWidth="1" min="11" max="11" width="10.14"/>
    <col customWidth="1" min="12" max="12" width="7.14"/>
    <col customWidth="1" min="13" max="13" width="8.71"/>
    <col customWidth="1" min="14" max="14" width="12.57"/>
    <col customWidth="1" min="17" max="17" width="18.43"/>
    <col customWidth="1" min="18" max="18" width="12.29"/>
    <col customWidth="1" min="19" max="19" width="22.57"/>
    <col customWidth="1" min="20" max="20" width="8.29"/>
    <col customWidth="1" min="21" max="21" width="6.0"/>
    <col customWidth="1" min="22" max="22" width="10.0"/>
    <col customWidth="1" min="23" max="23" width="18.0"/>
    <col customWidth="1" min="24" max="24" width="16.14"/>
    <col customWidth="1" min="25" max="25" width="12.29"/>
    <col customWidth="1" min="26" max="26" width="16.71"/>
    <col customWidth="1" min="27" max="27" width="10.0"/>
    <col customWidth="1" min="28" max="28" width="50.71"/>
    <col customWidth="1" min="29" max="29" width="23.0"/>
    <col customWidth="1" min="30" max="30" width="19.86"/>
    <col customWidth="1" min="31" max="31" width="43.0"/>
    <col customWidth="1" min="32" max="32" width="11.29"/>
  </cols>
  <sheetData>
    <row r="1" ht="36.0" customHeight="1">
      <c r="A1" s="48" t="s">
        <v>45</v>
      </c>
      <c r="B1" s="49" t="str">
        <f t="array" ref="B1:N3000">IF(ISNA(VLOOKUP(A1:A3000, Master!A1:AA3000, {2, 3, 4, 5, 6, 10, 11, 13, 14, 15, 16, 17, 18},FALSE)),"ID null",VLOOKUP(A1:A3000, Master!A1:AA3000, {2, 3, 4, 5, 6, 10, 11, 13, 14, 15, 16, 17, 18},FALSE))</f>
        <v>Channel</v>
      </c>
      <c r="C1" s="58" t="s">
        <v>46</v>
      </c>
      <c r="D1" s="48" t="s">
        <v>47</v>
      </c>
      <c r="E1" s="59" t="s">
        <v>48</v>
      </c>
      <c r="F1" s="59" t="s">
        <v>49</v>
      </c>
      <c r="G1" s="59" t="s">
        <v>50</v>
      </c>
      <c r="H1" s="58" t="s">
        <v>51</v>
      </c>
      <c r="I1" s="58" t="s">
        <v>52</v>
      </c>
      <c r="J1" s="58" t="s">
        <v>53</v>
      </c>
      <c r="K1" s="58" t="s">
        <v>54</v>
      </c>
      <c r="L1" s="58" t="s">
        <v>55</v>
      </c>
      <c r="M1" s="58" t="s">
        <v>56</v>
      </c>
      <c r="N1" s="58" t="s">
        <v>57</v>
      </c>
      <c r="O1" s="58" t="s">
        <v>536</v>
      </c>
      <c r="P1" s="58" t="s">
        <v>11</v>
      </c>
      <c r="Q1" s="50" t="s">
        <v>537</v>
      </c>
      <c r="R1" s="50" t="s">
        <v>58</v>
      </c>
      <c r="S1" s="60" t="s">
        <v>538</v>
      </c>
      <c r="T1" s="48" t="s">
        <v>539</v>
      </c>
      <c r="U1" s="48" t="s">
        <v>540</v>
      </c>
      <c r="V1" s="48" t="s">
        <v>38</v>
      </c>
      <c r="W1" s="48" t="s">
        <v>541</v>
      </c>
      <c r="X1" s="48" t="s">
        <v>9</v>
      </c>
      <c r="Y1" s="48" t="s">
        <v>542</v>
      </c>
      <c r="Z1" s="61" t="s">
        <v>543</v>
      </c>
      <c r="AA1" s="62" t="s">
        <v>544</v>
      </c>
      <c r="AB1" s="48" t="s">
        <v>546</v>
      </c>
      <c r="AC1" s="48" t="s">
        <v>63</v>
      </c>
      <c r="AD1" s="63" t="s">
        <v>547</v>
      </c>
      <c r="AE1" s="48" t="str">
        <f t="array" ref="AE1:AE3000">IF(ISNA(VLOOKUP(A1:A3000, Master!A1:AA3000, 20,FALSE)),"ID null",VLOOKUP(A1:A3000, Master!A1:AA3000, 20,FALSE))</f>
        <v>Steps</v>
      </c>
      <c r="AF1" s="48" t="str">
        <f t="array" ref="AF1:AF3000">IF(ISNA(VLOOKUP(A1:A3000, Master!A1:AA3000, 7,FALSE)),"ID null",VLOOKUP(A1:A3000, Master!A1:AA3000, 7,FALSE))</f>
        <v>Producer </v>
      </c>
    </row>
    <row r="2">
      <c r="A2" s="52" t="s">
        <v>592</v>
      </c>
      <c r="B2" s="64" t="s">
        <v>64</v>
      </c>
      <c r="C2" s="52"/>
      <c r="D2" s="65"/>
      <c r="E2" s="65"/>
      <c r="F2" s="65"/>
      <c r="G2" s="65"/>
      <c r="H2" s="52"/>
      <c r="I2" s="52"/>
      <c r="J2" s="52"/>
      <c r="K2" s="52"/>
      <c r="L2" s="52"/>
      <c r="M2" s="52"/>
      <c r="N2" s="52"/>
      <c r="O2" s="66"/>
      <c r="P2" s="67"/>
      <c r="Q2" s="52"/>
      <c r="R2" s="51" t="b">
        <v>0</v>
      </c>
      <c r="S2" s="51"/>
      <c r="T2" s="52"/>
      <c r="U2" s="51" t="b">
        <v>0</v>
      </c>
      <c r="V2" s="51" t="b">
        <v>0</v>
      </c>
      <c r="W2" s="51" t="b">
        <v>0</v>
      </c>
      <c r="X2" s="51" t="b">
        <v>0</v>
      </c>
      <c r="Y2" s="51" t="b">
        <v>0</v>
      </c>
      <c r="Z2" s="51" t="b">
        <v>0</v>
      </c>
      <c r="AA2" s="68"/>
      <c r="AB2" s="52"/>
      <c r="AC2" s="52"/>
      <c r="AD2" s="52"/>
      <c r="AE2" s="56"/>
      <c r="AF2" s="56"/>
    </row>
    <row r="3">
      <c r="A3" s="52" t="s">
        <v>597</v>
      </c>
      <c r="B3" s="64" t="s">
        <v>65</v>
      </c>
      <c r="C3" s="52"/>
      <c r="D3" s="65"/>
      <c r="E3" s="65"/>
      <c r="F3" s="65"/>
      <c r="G3" s="65"/>
      <c r="H3" s="52"/>
      <c r="I3" s="52"/>
      <c r="J3" s="52"/>
      <c r="K3" s="52"/>
      <c r="L3" s="52"/>
      <c r="M3" s="52"/>
      <c r="N3" s="52"/>
      <c r="O3" s="52"/>
      <c r="P3" s="52"/>
      <c r="Q3" s="52"/>
      <c r="R3" s="51" t="b">
        <v>0</v>
      </c>
      <c r="S3" s="51"/>
      <c r="T3" s="52"/>
      <c r="U3" s="51" t="b">
        <v>0</v>
      </c>
      <c r="V3" s="51" t="b">
        <v>0</v>
      </c>
      <c r="W3" s="51" t="b">
        <v>0</v>
      </c>
      <c r="X3" s="51" t="b">
        <v>0</v>
      </c>
      <c r="Y3" s="51" t="b">
        <v>0</v>
      </c>
      <c r="Z3" s="51" t="b">
        <v>0</v>
      </c>
      <c r="AA3" s="68"/>
      <c r="AB3" s="52"/>
      <c r="AC3" s="52"/>
      <c r="AD3" s="52"/>
      <c r="AE3" s="56"/>
      <c r="AF3" s="56"/>
    </row>
    <row r="4">
      <c r="A4" s="52" t="s">
        <v>599</v>
      </c>
      <c r="B4" s="64" t="s">
        <v>14</v>
      </c>
      <c r="C4" s="52" t="s">
        <v>66</v>
      </c>
      <c r="D4" s="65">
        <v>0.4166666666666667</v>
      </c>
      <c r="E4" s="65">
        <v>0.0010416666666666667</v>
      </c>
      <c r="F4" s="65">
        <v>0.41770833333333335</v>
      </c>
      <c r="G4" s="65"/>
      <c r="H4" s="52" t="s">
        <v>67</v>
      </c>
      <c r="I4" s="52" t="s">
        <v>68</v>
      </c>
      <c r="J4" s="52" t="s">
        <v>69</v>
      </c>
      <c r="K4" s="52"/>
      <c r="L4" s="52"/>
      <c r="M4" s="52"/>
      <c r="N4" s="52" t="s">
        <v>70</v>
      </c>
      <c r="O4" s="52"/>
      <c r="P4" s="52"/>
      <c r="Q4" s="52"/>
      <c r="R4" s="51" t="b">
        <v>0</v>
      </c>
      <c r="S4" s="51"/>
      <c r="T4" s="52"/>
      <c r="U4" s="51" t="b">
        <v>0</v>
      </c>
      <c r="V4" s="51" t="b">
        <v>0</v>
      </c>
      <c r="W4" s="51" t="b">
        <v>0</v>
      </c>
      <c r="X4" s="51" t="b">
        <v>0</v>
      </c>
      <c r="Y4" s="51" t="b">
        <v>0</v>
      </c>
      <c r="Z4" s="51" t="b">
        <v>0</v>
      </c>
      <c r="AA4" s="68"/>
      <c r="AB4" s="52"/>
      <c r="AC4" s="52"/>
      <c r="AD4" s="52"/>
      <c r="AE4" s="56"/>
      <c r="AF4" s="56" t="s">
        <v>600</v>
      </c>
    </row>
    <row r="5">
      <c r="A5" s="52" t="s">
        <v>601</v>
      </c>
      <c r="B5" s="64" t="s">
        <v>14</v>
      </c>
      <c r="C5" s="52" t="s">
        <v>66</v>
      </c>
      <c r="D5" s="65">
        <v>0.41770833333333335</v>
      </c>
      <c r="E5" s="65">
        <v>0.001388888888888889</v>
      </c>
      <c r="F5" s="65">
        <v>0.41909722222222223</v>
      </c>
      <c r="G5" s="65"/>
      <c r="H5" s="52" t="s">
        <v>71</v>
      </c>
      <c r="I5" s="52" t="s">
        <v>72</v>
      </c>
      <c r="J5" s="52" t="s">
        <v>73</v>
      </c>
      <c r="K5" s="52"/>
      <c r="L5" s="52"/>
      <c r="M5" s="52"/>
      <c r="N5" s="52" t="s">
        <v>70</v>
      </c>
      <c r="O5" s="52"/>
      <c r="P5" s="52"/>
      <c r="Q5" s="52"/>
      <c r="R5" s="51" t="b">
        <v>0</v>
      </c>
      <c r="S5" s="52"/>
      <c r="T5" s="52"/>
      <c r="U5" s="51" t="b">
        <v>0</v>
      </c>
      <c r="V5" s="51" t="b">
        <v>0</v>
      </c>
      <c r="W5" s="51" t="b">
        <v>0</v>
      </c>
      <c r="X5" s="51" t="b">
        <v>0</v>
      </c>
      <c r="Y5" s="51" t="b">
        <v>0</v>
      </c>
      <c r="Z5" s="51" t="b">
        <v>0</v>
      </c>
      <c r="AA5" s="68"/>
      <c r="AB5" s="52"/>
      <c r="AC5" s="52"/>
      <c r="AD5" s="52"/>
      <c r="AE5" s="56"/>
      <c r="AF5" s="56"/>
    </row>
    <row r="6">
      <c r="A6" s="52" t="s">
        <v>606</v>
      </c>
      <c r="B6" s="64" t="s">
        <v>607</v>
      </c>
      <c r="C6" s="52" t="s">
        <v>607</v>
      </c>
      <c r="D6" s="65" t="s">
        <v>607</v>
      </c>
      <c r="E6" s="65" t="s">
        <v>607</v>
      </c>
      <c r="F6" s="65" t="s">
        <v>607</v>
      </c>
      <c r="G6" s="65" t="s">
        <v>607</v>
      </c>
      <c r="H6" s="52" t="s">
        <v>607</v>
      </c>
      <c r="I6" s="52" t="s">
        <v>607</v>
      </c>
      <c r="J6" s="52" t="s">
        <v>607</v>
      </c>
      <c r="K6" s="52" t="s">
        <v>607</v>
      </c>
      <c r="L6" s="52" t="s">
        <v>607</v>
      </c>
      <c r="M6" s="52" t="s">
        <v>607</v>
      </c>
      <c r="N6" s="52" t="s">
        <v>607</v>
      </c>
      <c r="O6" s="52"/>
      <c r="P6" s="69"/>
      <c r="Q6" s="52"/>
      <c r="R6" s="51" t="b">
        <v>0</v>
      </c>
      <c r="S6" s="51"/>
      <c r="T6" s="52"/>
      <c r="U6" s="51" t="b">
        <v>0</v>
      </c>
      <c r="V6" s="51" t="b">
        <v>0</v>
      </c>
      <c r="W6" s="51" t="b">
        <v>0</v>
      </c>
      <c r="X6" s="51" t="b">
        <v>0</v>
      </c>
      <c r="Y6" s="51" t="b">
        <v>0</v>
      </c>
      <c r="Z6" s="51" t="b">
        <v>0</v>
      </c>
      <c r="AA6" s="68"/>
      <c r="AB6" s="52"/>
      <c r="AC6" s="52"/>
      <c r="AD6" s="52"/>
      <c r="AE6" s="56" t="s">
        <v>607</v>
      </c>
      <c r="AF6" s="56" t="s">
        <v>607</v>
      </c>
    </row>
    <row r="7">
      <c r="A7" s="52" t="s">
        <v>609</v>
      </c>
      <c r="B7" s="64" t="s">
        <v>14</v>
      </c>
      <c r="C7" s="52" t="s">
        <v>66</v>
      </c>
      <c r="D7" s="65">
        <v>0.41909722222222223</v>
      </c>
      <c r="E7" s="65">
        <v>0.006944444444444444</v>
      </c>
      <c r="F7" s="65">
        <v>0.42604166666666665</v>
      </c>
      <c r="G7" s="65"/>
      <c r="H7" s="52" t="s">
        <v>74</v>
      </c>
      <c r="I7" s="52" t="s">
        <v>75</v>
      </c>
      <c r="J7" s="52" t="s">
        <v>76</v>
      </c>
      <c r="K7" s="52" t="s">
        <v>73</v>
      </c>
      <c r="L7" s="52"/>
      <c r="M7" s="52"/>
      <c r="N7" s="52"/>
      <c r="O7" s="52"/>
      <c r="P7" s="52"/>
      <c r="Q7" s="52"/>
      <c r="R7" s="51" t="b">
        <v>0</v>
      </c>
      <c r="S7" s="51"/>
      <c r="T7" s="52"/>
      <c r="U7" s="51" t="b">
        <v>0</v>
      </c>
      <c r="V7" s="51" t="b">
        <v>0</v>
      </c>
      <c r="W7" s="51" t="b">
        <v>0</v>
      </c>
      <c r="X7" s="51" t="b">
        <v>0</v>
      </c>
      <c r="Y7" s="51" t="b">
        <v>0</v>
      </c>
      <c r="Z7" s="51" t="b">
        <v>0</v>
      </c>
      <c r="AA7" s="68"/>
      <c r="AB7" s="52"/>
      <c r="AC7" s="52"/>
      <c r="AD7" s="52"/>
      <c r="AE7" s="56" t="s">
        <v>610</v>
      </c>
      <c r="AF7" s="56" t="s">
        <v>611</v>
      </c>
    </row>
    <row r="8">
      <c r="A8" s="52" t="s">
        <v>612</v>
      </c>
      <c r="B8" s="64" t="s">
        <v>14</v>
      </c>
      <c r="C8" s="52" t="s">
        <v>66</v>
      </c>
      <c r="D8" s="65">
        <v>0.42991898148148155</v>
      </c>
      <c r="E8" s="65">
        <v>2.314814814814815E-4</v>
      </c>
      <c r="F8" s="65">
        <v>0.43015046296296305</v>
      </c>
      <c r="G8" s="65"/>
      <c r="H8" s="52" t="s">
        <v>81</v>
      </c>
      <c r="I8" s="52" t="s">
        <v>91</v>
      </c>
      <c r="J8" s="52" t="s">
        <v>73</v>
      </c>
      <c r="K8" s="52" t="s">
        <v>92</v>
      </c>
      <c r="L8" s="52"/>
      <c r="M8" s="52"/>
      <c r="N8" s="52" t="s">
        <v>70</v>
      </c>
      <c r="O8" s="52"/>
      <c r="P8" s="52"/>
      <c r="Q8" s="52"/>
      <c r="R8" s="51" t="b">
        <v>0</v>
      </c>
      <c r="S8" s="51"/>
      <c r="T8" s="52"/>
      <c r="U8" s="51" t="b">
        <v>0</v>
      </c>
      <c r="V8" s="51" t="b">
        <v>0</v>
      </c>
      <c r="W8" s="51" t="b">
        <v>0</v>
      </c>
      <c r="X8" s="51" t="b">
        <v>0</v>
      </c>
      <c r="Y8" s="51" t="b">
        <v>0</v>
      </c>
      <c r="Z8" s="51" t="b">
        <v>0</v>
      </c>
      <c r="AA8" s="68"/>
      <c r="AB8" s="52"/>
      <c r="AC8" s="52"/>
      <c r="AD8" s="52"/>
      <c r="AE8" s="56"/>
      <c r="AF8" s="56"/>
    </row>
    <row r="9">
      <c r="A9" s="52" t="s">
        <v>617</v>
      </c>
      <c r="B9" s="64" t="s">
        <v>14</v>
      </c>
      <c r="C9" s="52" t="s">
        <v>221</v>
      </c>
      <c r="D9" s="65">
        <v>0.6549421296296292</v>
      </c>
      <c r="E9" s="65">
        <v>0.00951388888888889</v>
      </c>
      <c r="F9" s="65">
        <v>0.6644560185185181</v>
      </c>
      <c r="G9" s="65" t="s">
        <v>151</v>
      </c>
      <c r="H9" s="52" t="s">
        <v>94</v>
      </c>
      <c r="I9" s="52" t="s">
        <v>319</v>
      </c>
      <c r="J9" s="52" t="s">
        <v>320</v>
      </c>
      <c r="K9" s="52"/>
      <c r="L9" s="52"/>
      <c r="M9" s="52"/>
      <c r="N9" s="52" t="s">
        <v>321</v>
      </c>
      <c r="O9" s="69" t="s">
        <v>618</v>
      </c>
      <c r="P9" s="69" t="s">
        <v>32</v>
      </c>
      <c r="Q9" s="70" t="s">
        <v>619</v>
      </c>
      <c r="R9" s="51" t="b">
        <v>1</v>
      </c>
      <c r="S9" s="52" t="s">
        <v>319</v>
      </c>
      <c r="T9" s="52"/>
      <c r="U9" s="51" t="b">
        <v>0</v>
      </c>
      <c r="V9" s="51" t="b">
        <v>1</v>
      </c>
      <c r="W9" s="51" t="b">
        <v>1</v>
      </c>
      <c r="X9" s="51" t="b">
        <v>1</v>
      </c>
      <c r="Y9" s="51" t="b">
        <v>0</v>
      </c>
      <c r="Z9" s="51" t="b">
        <v>0</v>
      </c>
      <c r="AA9" s="71">
        <v>0.00951388888888889</v>
      </c>
      <c r="AB9" s="69" t="s">
        <v>625</v>
      </c>
      <c r="AC9" s="72"/>
      <c r="AD9" s="73" t="s">
        <v>626</v>
      </c>
      <c r="AE9" s="74" t="s">
        <v>629</v>
      </c>
      <c r="AF9" s="74" t="s">
        <v>630</v>
      </c>
    </row>
    <row r="10">
      <c r="A10" s="52" t="s">
        <v>631</v>
      </c>
      <c r="B10" s="64" t="s">
        <v>607</v>
      </c>
      <c r="C10" s="52" t="s">
        <v>607</v>
      </c>
      <c r="D10" s="65" t="s">
        <v>607</v>
      </c>
      <c r="E10" s="65" t="s">
        <v>607</v>
      </c>
      <c r="F10" s="65" t="s">
        <v>607</v>
      </c>
      <c r="G10" s="65" t="s">
        <v>607</v>
      </c>
      <c r="H10" s="52" t="s">
        <v>607</v>
      </c>
      <c r="I10" s="52" t="s">
        <v>607</v>
      </c>
      <c r="J10" s="52" t="s">
        <v>607</v>
      </c>
      <c r="K10" s="52" t="s">
        <v>607</v>
      </c>
      <c r="L10" s="52" t="s">
        <v>607</v>
      </c>
      <c r="M10" s="52" t="s">
        <v>607</v>
      </c>
      <c r="N10" s="52" t="s">
        <v>607</v>
      </c>
      <c r="O10" s="52"/>
      <c r="P10" s="52"/>
      <c r="Q10" s="52"/>
      <c r="R10" s="51" t="b">
        <v>0</v>
      </c>
      <c r="S10" s="51"/>
      <c r="T10" s="52"/>
      <c r="U10" s="51" t="b">
        <v>0</v>
      </c>
      <c r="V10" s="51" t="b">
        <v>0</v>
      </c>
      <c r="W10" s="51" t="b">
        <v>0</v>
      </c>
      <c r="X10" s="51" t="b">
        <v>0</v>
      </c>
      <c r="Y10" s="51" t="b">
        <v>0</v>
      </c>
      <c r="Z10" s="51" t="b">
        <v>0</v>
      </c>
      <c r="AA10" s="68"/>
      <c r="AB10" s="52"/>
      <c r="AC10" s="52"/>
      <c r="AD10" s="52"/>
      <c r="AE10" s="56" t="s">
        <v>607</v>
      </c>
      <c r="AF10" s="56" t="s">
        <v>607</v>
      </c>
    </row>
    <row r="11">
      <c r="A11" s="52" t="s">
        <v>633</v>
      </c>
      <c r="B11" s="64" t="s">
        <v>607</v>
      </c>
      <c r="C11" s="52" t="s">
        <v>607</v>
      </c>
      <c r="D11" s="65" t="s">
        <v>607</v>
      </c>
      <c r="E11" s="65" t="s">
        <v>607</v>
      </c>
      <c r="F11" s="65" t="s">
        <v>607</v>
      </c>
      <c r="G11" s="65" t="s">
        <v>607</v>
      </c>
      <c r="H11" s="52" t="s">
        <v>607</v>
      </c>
      <c r="I11" s="52" t="s">
        <v>607</v>
      </c>
      <c r="J11" s="52" t="s">
        <v>607</v>
      </c>
      <c r="K11" s="52" t="s">
        <v>607</v>
      </c>
      <c r="L11" s="52" t="s">
        <v>607</v>
      </c>
      <c r="M11" s="52" t="s">
        <v>607</v>
      </c>
      <c r="N11" s="52" t="s">
        <v>607</v>
      </c>
      <c r="O11" s="52"/>
      <c r="P11" s="52"/>
      <c r="Q11" s="52"/>
      <c r="R11" s="51" t="b">
        <v>0</v>
      </c>
      <c r="S11" s="51"/>
      <c r="T11" s="52"/>
      <c r="U11" s="51" t="b">
        <v>0</v>
      </c>
      <c r="V11" s="51" t="b">
        <v>0</v>
      </c>
      <c r="W11" s="51" t="b">
        <v>0</v>
      </c>
      <c r="X11" s="51" t="b">
        <v>0</v>
      </c>
      <c r="Y11" s="51" t="b">
        <v>0</v>
      </c>
      <c r="Z11" s="51" t="b">
        <v>0</v>
      </c>
      <c r="AA11" s="68"/>
      <c r="AB11" s="52"/>
      <c r="AC11" s="52"/>
      <c r="AD11" s="52"/>
      <c r="AE11" s="56" t="s">
        <v>607</v>
      </c>
      <c r="AF11" s="56" t="s">
        <v>607</v>
      </c>
    </row>
    <row r="12">
      <c r="A12" s="52" t="s">
        <v>636</v>
      </c>
      <c r="B12" s="64" t="s">
        <v>607</v>
      </c>
      <c r="C12" s="52" t="s">
        <v>607</v>
      </c>
      <c r="D12" s="65" t="s">
        <v>607</v>
      </c>
      <c r="E12" s="65" t="s">
        <v>607</v>
      </c>
      <c r="F12" s="65" t="s">
        <v>607</v>
      </c>
      <c r="G12" s="65" t="s">
        <v>607</v>
      </c>
      <c r="H12" s="52" t="s">
        <v>607</v>
      </c>
      <c r="I12" s="52" t="s">
        <v>607</v>
      </c>
      <c r="J12" s="52" t="s">
        <v>607</v>
      </c>
      <c r="K12" s="52" t="s">
        <v>607</v>
      </c>
      <c r="L12" s="52" t="s">
        <v>607</v>
      </c>
      <c r="M12" s="52" t="s">
        <v>607</v>
      </c>
      <c r="N12" s="52" t="s">
        <v>607</v>
      </c>
      <c r="O12" s="52"/>
      <c r="P12" s="52"/>
      <c r="Q12" s="52"/>
      <c r="R12" s="51" t="b">
        <v>0</v>
      </c>
      <c r="S12" s="51"/>
      <c r="T12" s="52"/>
      <c r="U12" s="51" t="b">
        <v>0</v>
      </c>
      <c r="V12" s="51" t="b">
        <v>0</v>
      </c>
      <c r="W12" s="51" t="b">
        <v>0</v>
      </c>
      <c r="X12" s="51" t="b">
        <v>0</v>
      </c>
      <c r="Y12" s="51" t="b">
        <v>0</v>
      </c>
      <c r="Z12" s="51" t="b">
        <v>0</v>
      </c>
      <c r="AA12" s="68"/>
      <c r="AB12" s="52"/>
      <c r="AC12" s="52"/>
      <c r="AD12" s="52"/>
      <c r="AE12" s="56" t="s">
        <v>607</v>
      </c>
      <c r="AF12" s="56" t="s">
        <v>607</v>
      </c>
    </row>
    <row r="13">
      <c r="A13" s="52" t="s">
        <v>639</v>
      </c>
      <c r="B13" s="52" t="s">
        <v>14</v>
      </c>
      <c r="C13" s="52" t="s">
        <v>289</v>
      </c>
      <c r="D13" s="65">
        <v>0.6161458333333327</v>
      </c>
      <c r="E13" s="65">
        <v>2.314814814814815E-4</v>
      </c>
      <c r="F13" s="65">
        <v>0.6163773148148142</v>
      </c>
      <c r="G13" s="65"/>
      <c r="H13" s="52" t="s">
        <v>81</v>
      </c>
      <c r="I13" s="52" t="s">
        <v>81</v>
      </c>
      <c r="J13" s="52" t="s">
        <v>128</v>
      </c>
      <c r="K13" s="52"/>
      <c r="L13" s="52"/>
      <c r="M13" s="52"/>
      <c r="N13" s="52" t="s">
        <v>70</v>
      </c>
      <c r="O13" s="52"/>
      <c r="P13" s="52"/>
      <c r="Q13" s="52"/>
      <c r="R13" s="51" t="b">
        <v>0</v>
      </c>
      <c r="S13" s="51"/>
      <c r="T13" s="52"/>
      <c r="U13" s="51" t="b">
        <v>0</v>
      </c>
      <c r="V13" s="51" t="b">
        <v>0</v>
      </c>
      <c r="W13" s="51" t="b">
        <v>0</v>
      </c>
      <c r="X13" s="51" t="b">
        <v>0</v>
      </c>
      <c r="Y13" s="51" t="b">
        <v>0</v>
      </c>
      <c r="Z13" s="51" t="b">
        <v>0</v>
      </c>
      <c r="AA13" s="68"/>
      <c r="AB13" s="52"/>
      <c r="AC13" s="52"/>
      <c r="AD13" s="52"/>
      <c r="AE13" s="56"/>
      <c r="AF13" s="56"/>
    </row>
    <row r="14">
      <c r="A14" s="52" t="s">
        <v>640</v>
      </c>
      <c r="B14" s="52" t="s">
        <v>14</v>
      </c>
      <c r="C14" s="52" t="s">
        <v>289</v>
      </c>
      <c r="D14" s="65">
        <v>0.6163773148148142</v>
      </c>
      <c r="E14" s="65">
        <v>0.010416666666666666</v>
      </c>
      <c r="F14" s="65">
        <v>0.6267939814814808</v>
      </c>
      <c r="G14" s="65" t="s">
        <v>151</v>
      </c>
      <c r="H14" s="52" t="s">
        <v>107</v>
      </c>
      <c r="I14" s="52" t="s">
        <v>436</v>
      </c>
      <c r="J14" s="52" t="s">
        <v>437</v>
      </c>
      <c r="K14" s="52" t="s">
        <v>438</v>
      </c>
      <c r="L14" s="52"/>
      <c r="M14" s="52"/>
      <c r="N14" s="52" t="s">
        <v>439</v>
      </c>
      <c r="O14" s="52"/>
      <c r="P14" s="69" t="s">
        <v>23</v>
      </c>
      <c r="Q14" s="73" t="s">
        <v>643</v>
      </c>
      <c r="R14" s="51" t="b">
        <v>1</v>
      </c>
      <c r="S14" s="52"/>
      <c r="T14" s="52"/>
      <c r="U14" s="51" t="b">
        <v>0</v>
      </c>
      <c r="V14" s="51" t="b">
        <v>1</v>
      </c>
      <c r="W14" s="51" t="b">
        <v>1</v>
      </c>
      <c r="X14" s="51" t="b">
        <v>1</v>
      </c>
      <c r="Y14" s="51" t="b">
        <v>0</v>
      </c>
      <c r="Z14" s="51" t="b">
        <v>0</v>
      </c>
      <c r="AA14" s="71">
        <v>0.009108796296296297</v>
      </c>
      <c r="AB14" s="69" t="s">
        <v>645</v>
      </c>
      <c r="AC14" s="75"/>
      <c r="AD14" s="76" t="s">
        <v>650</v>
      </c>
      <c r="AE14" s="56" t="s">
        <v>652</v>
      </c>
      <c r="AF14" s="56" t="s">
        <v>653</v>
      </c>
    </row>
    <row r="15">
      <c r="A15" s="52" t="s">
        <v>654</v>
      </c>
      <c r="B15" s="52" t="s">
        <v>607</v>
      </c>
      <c r="C15" s="52" t="s">
        <v>607</v>
      </c>
      <c r="D15" s="65" t="s">
        <v>607</v>
      </c>
      <c r="E15" s="65" t="s">
        <v>607</v>
      </c>
      <c r="F15" s="65" t="s">
        <v>607</v>
      </c>
      <c r="G15" s="65" t="s">
        <v>607</v>
      </c>
      <c r="H15" s="52" t="s">
        <v>607</v>
      </c>
      <c r="I15" s="52" t="s">
        <v>607</v>
      </c>
      <c r="J15" s="52" t="s">
        <v>607</v>
      </c>
      <c r="K15" s="52" t="s">
        <v>607</v>
      </c>
      <c r="L15" s="52" t="s">
        <v>607</v>
      </c>
      <c r="M15" s="52" t="s">
        <v>607</v>
      </c>
      <c r="N15" s="52" t="s">
        <v>607</v>
      </c>
      <c r="O15" s="52"/>
      <c r="P15" s="52"/>
      <c r="Q15" s="52"/>
      <c r="R15" s="51" t="b">
        <v>0</v>
      </c>
      <c r="S15" s="51"/>
      <c r="T15" s="52"/>
      <c r="U15" s="51" t="b">
        <v>0</v>
      </c>
      <c r="V15" s="51" t="b">
        <v>0</v>
      </c>
      <c r="W15" s="51" t="b">
        <v>0</v>
      </c>
      <c r="X15" s="51" t="b">
        <v>0</v>
      </c>
      <c r="Y15" s="51" t="b">
        <v>0</v>
      </c>
      <c r="Z15" s="51" t="b">
        <v>0</v>
      </c>
      <c r="AA15" s="68"/>
      <c r="AB15" s="52"/>
      <c r="AC15" s="52"/>
      <c r="AD15" s="52"/>
      <c r="AE15" s="56" t="s">
        <v>607</v>
      </c>
      <c r="AF15" s="56" t="s">
        <v>607</v>
      </c>
    </row>
    <row r="16">
      <c r="A16" s="52" t="s">
        <v>657</v>
      </c>
      <c r="B16" s="52" t="s">
        <v>14</v>
      </c>
      <c r="C16" s="52" t="s">
        <v>66</v>
      </c>
      <c r="D16" s="65">
        <v>0.6389699074074072</v>
      </c>
      <c r="E16" s="65">
        <v>2.314814814814815E-4</v>
      </c>
      <c r="F16" s="65">
        <v>0.6392013888888887</v>
      </c>
      <c r="G16" s="65"/>
      <c r="H16" s="52" t="s">
        <v>81</v>
      </c>
      <c r="I16" s="52" t="s">
        <v>194</v>
      </c>
      <c r="J16" s="52" t="s">
        <v>128</v>
      </c>
      <c r="K16" s="52"/>
      <c r="L16" s="52"/>
      <c r="M16" s="52"/>
      <c r="N16" s="52" t="s">
        <v>70</v>
      </c>
      <c r="O16" s="52"/>
      <c r="P16" s="52"/>
      <c r="Q16" s="52"/>
      <c r="R16" s="51" t="b">
        <v>0</v>
      </c>
      <c r="S16" s="51"/>
      <c r="T16" s="52"/>
      <c r="U16" s="51" t="b">
        <v>0</v>
      </c>
      <c r="V16" s="51" t="b">
        <v>0</v>
      </c>
      <c r="W16" s="51" t="b">
        <v>0</v>
      </c>
      <c r="X16" s="51" t="b">
        <v>0</v>
      </c>
      <c r="Y16" s="51" t="b">
        <v>0</v>
      </c>
      <c r="Z16" s="51" t="b">
        <v>0</v>
      </c>
      <c r="AA16" s="68"/>
      <c r="AB16" s="52"/>
      <c r="AC16" s="52"/>
      <c r="AD16" s="52"/>
      <c r="AE16" s="56"/>
      <c r="AF16" s="56"/>
    </row>
    <row r="17">
      <c r="A17" s="52" t="s">
        <v>659</v>
      </c>
      <c r="B17" s="52" t="s">
        <v>14</v>
      </c>
      <c r="C17" s="52" t="s">
        <v>66</v>
      </c>
      <c r="D17" s="65">
        <v>0.6392013888888887</v>
      </c>
      <c r="E17" s="65">
        <v>0.0020833333333333333</v>
      </c>
      <c r="F17" s="65">
        <v>0.641284722222222</v>
      </c>
      <c r="G17" s="65" t="s">
        <v>195</v>
      </c>
      <c r="H17" s="52" t="s">
        <v>83</v>
      </c>
      <c r="I17" s="52" t="s">
        <v>196</v>
      </c>
      <c r="J17" s="52"/>
      <c r="K17" s="52"/>
      <c r="L17" s="52"/>
      <c r="M17" s="52"/>
      <c r="N17" s="52" t="s">
        <v>70</v>
      </c>
      <c r="O17" s="52"/>
      <c r="P17" s="52"/>
      <c r="Q17" s="52"/>
      <c r="R17" s="51" t="b">
        <v>0</v>
      </c>
      <c r="S17" s="51"/>
      <c r="T17" s="52"/>
      <c r="U17" s="51" t="b">
        <v>0</v>
      </c>
      <c r="V17" s="51" t="b">
        <v>0</v>
      </c>
      <c r="W17" s="51" t="b">
        <v>0</v>
      </c>
      <c r="X17" s="51" t="b">
        <v>0</v>
      </c>
      <c r="Y17" s="51" t="b">
        <v>0</v>
      </c>
      <c r="Z17" s="51" t="b">
        <v>0</v>
      </c>
      <c r="AA17" s="68"/>
      <c r="AB17" s="52"/>
      <c r="AC17" s="52"/>
      <c r="AD17" s="52"/>
      <c r="AE17" s="56" t="s">
        <v>314</v>
      </c>
      <c r="AF17" s="56"/>
    </row>
    <row r="18">
      <c r="A18" s="52" t="s">
        <v>663</v>
      </c>
      <c r="B18" s="52" t="s">
        <v>607</v>
      </c>
      <c r="C18" s="52" t="s">
        <v>607</v>
      </c>
      <c r="D18" s="65" t="s">
        <v>607</v>
      </c>
      <c r="E18" s="65" t="s">
        <v>607</v>
      </c>
      <c r="F18" s="65" t="s">
        <v>607</v>
      </c>
      <c r="G18" s="65" t="s">
        <v>607</v>
      </c>
      <c r="H18" s="52" t="s">
        <v>607</v>
      </c>
      <c r="I18" s="52" t="s">
        <v>607</v>
      </c>
      <c r="J18" s="52" t="s">
        <v>607</v>
      </c>
      <c r="K18" s="52" t="s">
        <v>607</v>
      </c>
      <c r="L18" s="52" t="s">
        <v>607</v>
      </c>
      <c r="M18" s="52" t="s">
        <v>607</v>
      </c>
      <c r="N18" s="52" t="s">
        <v>607</v>
      </c>
      <c r="O18" s="52"/>
      <c r="P18" s="52"/>
      <c r="Q18" s="52"/>
      <c r="R18" s="51" t="b">
        <v>0</v>
      </c>
      <c r="S18" s="51"/>
      <c r="T18" s="52"/>
      <c r="U18" s="51" t="b">
        <v>0</v>
      </c>
      <c r="V18" s="51" t="b">
        <v>0</v>
      </c>
      <c r="W18" s="51" t="b">
        <v>0</v>
      </c>
      <c r="X18" s="51" t="b">
        <v>0</v>
      </c>
      <c r="Y18" s="51" t="b">
        <v>0</v>
      </c>
      <c r="Z18" s="51" t="b">
        <v>0</v>
      </c>
      <c r="AA18" s="68"/>
      <c r="AB18" s="52"/>
      <c r="AC18" s="52"/>
      <c r="AD18" s="52"/>
      <c r="AE18" s="56" t="s">
        <v>607</v>
      </c>
      <c r="AF18" s="56" t="s">
        <v>607</v>
      </c>
    </row>
    <row r="19">
      <c r="A19" s="52" t="s">
        <v>666</v>
      </c>
      <c r="B19" s="52" t="s">
        <v>14</v>
      </c>
      <c r="C19" s="52" t="s">
        <v>66</v>
      </c>
      <c r="D19" s="65">
        <v>0.5907523148148147</v>
      </c>
      <c r="E19" s="65">
        <v>2.314814814814815E-4</v>
      </c>
      <c r="F19" s="65">
        <v>0.5909837962962962</v>
      </c>
      <c r="G19" s="65"/>
      <c r="H19" s="52" t="s">
        <v>81</v>
      </c>
      <c r="I19" s="52" t="s">
        <v>91</v>
      </c>
      <c r="J19" s="52" t="s">
        <v>128</v>
      </c>
      <c r="K19" s="52"/>
      <c r="L19" s="52"/>
      <c r="M19" s="52"/>
      <c r="N19" s="52"/>
      <c r="O19" s="52"/>
      <c r="P19" s="52"/>
      <c r="Q19" s="52"/>
      <c r="R19" s="51" t="b">
        <v>0</v>
      </c>
      <c r="S19" s="51"/>
      <c r="T19" s="52"/>
      <c r="U19" s="51" t="b">
        <v>0</v>
      </c>
      <c r="V19" s="51" t="b">
        <v>0</v>
      </c>
      <c r="W19" s="51" t="b">
        <v>0</v>
      </c>
      <c r="X19" s="51" t="b">
        <v>0</v>
      </c>
      <c r="Y19" s="51" t="b">
        <v>0</v>
      </c>
      <c r="Z19" s="51" t="b">
        <v>0</v>
      </c>
      <c r="AA19" s="68"/>
      <c r="AB19" s="52"/>
      <c r="AC19" s="52"/>
      <c r="AD19" s="52"/>
      <c r="AE19" s="56"/>
      <c r="AF19" s="56"/>
    </row>
    <row r="20">
      <c r="A20" s="52" t="s">
        <v>668</v>
      </c>
      <c r="B20" s="52" t="s">
        <v>14</v>
      </c>
      <c r="C20" s="52" t="s">
        <v>66</v>
      </c>
      <c r="D20" s="65">
        <v>0.5909837962962962</v>
      </c>
      <c r="E20" s="65">
        <v>0.00625</v>
      </c>
      <c r="F20" s="65">
        <v>0.5972337962962961</v>
      </c>
      <c r="G20" s="65"/>
      <c r="H20" s="52" t="s">
        <v>94</v>
      </c>
      <c r="I20" s="52" t="s">
        <v>169</v>
      </c>
      <c r="J20" s="52" t="s">
        <v>170</v>
      </c>
      <c r="K20" s="52"/>
      <c r="L20" s="52"/>
      <c r="M20" s="52"/>
      <c r="N20" s="52" t="s">
        <v>171</v>
      </c>
      <c r="O20" s="69" t="s">
        <v>618</v>
      </c>
      <c r="P20" s="69" t="s">
        <v>15</v>
      </c>
      <c r="Q20" s="77" t="s">
        <v>674</v>
      </c>
      <c r="R20" s="51" t="b">
        <v>1</v>
      </c>
      <c r="S20" s="78" t="s">
        <v>169</v>
      </c>
      <c r="T20" s="52"/>
      <c r="U20" s="51" t="b">
        <v>0</v>
      </c>
      <c r="V20" s="51" t="b">
        <v>1</v>
      </c>
      <c r="W20" s="51" t="b">
        <v>1</v>
      </c>
      <c r="X20" s="51" t="b">
        <v>1</v>
      </c>
      <c r="Y20" s="51" t="b">
        <v>0</v>
      </c>
      <c r="Z20" s="51" t="b">
        <v>0</v>
      </c>
      <c r="AA20" s="8">
        <v>0.00625</v>
      </c>
      <c r="AB20" s="79" t="s">
        <v>677</v>
      </c>
      <c r="AC20" s="72"/>
      <c r="AD20" s="73" t="s">
        <v>678</v>
      </c>
      <c r="AE20" s="56" t="s">
        <v>629</v>
      </c>
      <c r="AF20" s="56" t="s">
        <v>653</v>
      </c>
    </row>
    <row r="21">
      <c r="A21" s="52" t="s">
        <v>680</v>
      </c>
      <c r="B21" s="52" t="s">
        <v>607</v>
      </c>
      <c r="C21" s="52" t="s">
        <v>607</v>
      </c>
      <c r="D21" s="65" t="s">
        <v>607</v>
      </c>
      <c r="E21" s="65" t="s">
        <v>607</v>
      </c>
      <c r="F21" s="65" t="s">
        <v>607</v>
      </c>
      <c r="G21" s="65" t="s">
        <v>607</v>
      </c>
      <c r="H21" s="52" t="s">
        <v>607</v>
      </c>
      <c r="I21" s="52" t="s">
        <v>607</v>
      </c>
      <c r="J21" s="52" t="s">
        <v>607</v>
      </c>
      <c r="K21" s="52" t="s">
        <v>607</v>
      </c>
      <c r="L21" s="52" t="s">
        <v>607</v>
      </c>
      <c r="M21" s="52" t="s">
        <v>607</v>
      </c>
      <c r="N21" s="52" t="s">
        <v>607</v>
      </c>
      <c r="O21" s="52"/>
      <c r="P21" s="52"/>
      <c r="Q21" s="52"/>
      <c r="R21" s="51" t="b">
        <v>0</v>
      </c>
      <c r="S21" s="51"/>
      <c r="T21" s="52"/>
      <c r="U21" s="51" t="b">
        <v>0</v>
      </c>
      <c r="V21" s="51" t="b">
        <v>0</v>
      </c>
      <c r="W21" s="51" t="b">
        <v>0</v>
      </c>
      <c r="X21" s="51" t="b">
        <v>0</v>
      </c>
      <c r="Y21" s="51" t="b">
        <v>0</v>
      </c>
      <c r="Z21" s="51" t="b">
        <v>0</v>
      </c>
      <c r="AA21" s="68"/>
      <c r="AB21" s="52"/>
      <c r="AC21" s="52"/>
      <c r="AD21" s="52"/>
      <c r="AE21" s="56" t="s">
        <v>607</v>
      </c>
      <c r="AF21" s="56" t="s">
        <v>607</v>
      </c>
    </row>
    <row r="22">
      <c r="A22" s="52" t="s">
        <v>683</v>
      </c>
      <c r="B22" s="52" t="s">
        <v>14</v>
      </c>
      <c r="C22" s="52" t="s">
        <v>66</v>
      </c>
      <c r="D22" s="65"/>
      <c r="E22" s="65"/>
      <c r="F22" s="65"/>
      <c r="G22" s="65"/>
      <c r="H22" s="52"/>
      <c r="I22" s="52"/>
      <c r="J22" s="52"/>
      <c r="K22" s="52"/>
      <c r="L22" s="52"/>
      <c r="M22" s="52"/>
      <c r="N22" s="52" t="s">
        <v>70</v>
      </c>
      <c r="O22" s="52"/>
      <c r="P22" s="52"/>
      <c r="Q22" s="52"/>
      <c r="R22" s="51" t="b">
        <v>0</v>
      </c>
      <c r="S22" s="51"/>
      <c r="T22" s="52"/>
      <c r="U22" s="51" t="b">
        <v>0</v>
      </c>
      <c r="V22" s="51" t="b">
        <v>0</v>
      </c>
      <c r="W22" s="51" t="b">
        <v>0</v>
      </c>
      <c r="X22" s="51" t="b">
        <v>0</v>
      </c>
      <c r="Y22" s="51" t="b">
        <v>0</v>
      </c>
      <c r="Z22" s="51" t="b">
        <v>0</v>
      </c>
      <c r="AA22" s="68"/>
      <c r="AB22" s="52"/>
      <c r="AC22" s="52"/>
      <c r="AD22" s="52"/>
      <c r="AE22" s="56"/>
      <c r="AF22" s="56"/>
    </row>
    <row r="23">
      <c r="A23" s="52" t="s">
        <v>685</v>
      </c>
      <c r="B23" s="52" t="s">
        <v>607</v>
      </c>
      <c r="C23" s="52" t="s">
        <v>607</v>
      </c>
      <c r="D23" s="65" t="s">
        <v>607</v>
      </c>
      <c r="E23" s="65" t="s">
        <v>607</v>
      </c>
      <c r="F23" s="65" t="s">
        <v>607</v>
      </c>
      <c r="G23" s="65" t="s">
        <v>607</v>
      </c>
      <c r="H23" s="52" t="s">
        <v>607</v>
      </c>
      <c r="I23" s="52" t="s">
        <v>607</v>
      </c>
      <c r="J23" s="52" t="s">
        <v>607</v>
      </c>
      <c r="K23" s="52" t="s">
        <v>607</v>
      </c>
      <c r="L23" s="52" t="s">
        <v>607</v>
      </c>
      <c r="M23" s="52" t="s">
        <v>607</v>
      </c>
      <c r="N23" s="52" t="s">
        <v>607</v>
      </c>
      <c r="O23" s="52"/>
      <c r="P23" s="52"/>
      <c r="Q23" s="52"/>
      <c r="R23" s="51" t="b">
        <v>0</v>
      </c>
      <c r="S23" s="51"/>
      <c r="T23" s="52"/>
      <c r="U23" s="51" t="b">
        <v>0</v>
      </c>
      <c r="V23" s="51" t="b">
        <v>0</v>
      </c>
      <c r="W23" s="51" t="b">
        <v>0</v>
      </c>
      <c r="X23" s="51" t="b">
        <v>0</v>
      </c>
      <c r="Y23" s="51" t="b">
        <v>0</v>
      </c>
      <c r="Z23" s="51" t="b">
        <v>0</v>
      </c>
      <c r="AA23" s="68"/>
      <c r="AB23" s="52"/>
      <c r="AC23" s="52"/>
      <c r="AD23" s="52"/>
      <c r="AE23" s="56" t="s">
        <v>607</v>
      </c>
      <c r="AF23" s="56" t="s">
        <v>607</v>
      </c>
    </row>
    <row r="24">
      <c r="A24" s="52" t="s">
        <v>690</v>
      </c>
      <c r="B24" s="52" t="s">
        <v>14</v>
      </c>
      <c r="C24" s="52" t="s">
        <v>66</v>
      </c>
      <c r="D24" s="65">
        <v>0.4593750000000002</v>
      </c>
      <c r="E24" s="65">
        <v>2.314814814814815E-4</v>
      </c>
      <c r="F24" s="65">
        <v>0.4596064814814817</v>
      </c>
      <c r="G24" s="65"/>
      <c r="H24" s="52" t="s">
        <v>81</v>
      </c>
      <c r="I24" s="52" t="s">
        <v>81</v>
      </c>
      <c r="J24" s="52" t="s">
        <v>105</v>
      </c>
      <c r="K24" s="52"/>
      <c r="L24" s="52"/>
      <c r="M24" s="52"/>
      <c r="N24" s="52" t="s">
        <v>70</v>
      </c>
      <c r="O24" s="52"/>
      <c r="P24" s="52"/>
      <c r="Q24" s="52"/>
      <c r="R24" s="51" t="b">
        <v>0</v>
      </c>
      <c r="S24" s="51"/>
      <c r="T24" s="52"/>
      <c r="U24" s="51" t="b">
        <v>0</v>
      </c>
      <c r="V24" s="51" t="b">
        <v>0</v>
      </c>
      <c r="W24" s="51" t="b">
        <v>0</v>
      </c>
      <c r="X24" s="51" t="b">
        <v>0</v>
      </c>
      <c r="Y24" s="51" t="b">
        <v>0</v>
      </c>
      <c r="Z24" s="51" t="b">
        <v>0</v>
      </c>
      <c r="AA24" s="68"/>
      <c r="AB24" s="52"/>
      <c r="AC24" s="52"/>
      <c r="AD24" s="52"/>
      <c r="AE24" s="56"/>
      <c r="AF24" s="56"/>
    </row>
    <row r="25">
      <c r="A25" s="52" t="s">
        <v>692</v>
      </c>
      <c r="B25" s="52" t="s">
        <v>14</v>
      </c>
      <c r="C25" s="52" t="s">
        <v>66</v>
      </c>
      <c r="D25" s="65">
        <v>0.4596064814814817</v>
      </c>
      <c r="E25" s="65">
        <v>0.008819444444444444</v>
      </c>
      <c r="F25" s="65">
        <v>0.46842592592592613</v>
      </c>
      <c r="G25" s="65" t="s">
        <v>106</v>
      </c>
      <c r="H25" s="52" t="s">
        <v>107</v>
      </c>
      <c r="I25" s="52" t="s">
        <v>108</v>
      </c>
      <c r="J25" s="52" t="s">
        <v>109</v>
      </c>
      <c r="K25" s="52"/>
      <c r="L25" s="52"/>
      <c r="M25" s="52"/>
      <c r="N25" s="52" t="s">
        <v>110</v>
      </c>
      <c r="O25" s="69" t="s">
        <v>618</v>
      </c>
      <c r="P25" s="69" t="s">
        <v>32</v>
      </c>
      <c r="Q25" s="73" t="s">
        <v>695</v>
      </c>
      <c r="R25" s="51" t="b">
        <v>1</v>
      </c>
      <c r="S25" s="52" t="s">
        <v>108</v>
      </c>
      <c r="T25" s="52"/>
      <c r="U25" s="51" t="b">
        <v>0</v>
      </c>
      <c r="V25" s="51" t="b">
        <v>1</v>
      </c>
      <c r="W25" s="51" t="b">
        <v>1</v>
      </c>
      <c r="X25" s="51" t="b">
        <v>1</v>
      </c>
      <c r="Y25" s="51" t="b">
        <v>0</v>
      </c>
      <c r="Z25" s="51" t="b">
        <v>0</v>
      </c>
      <c r="AA25" s="71">
        <v>0.008819444444444444</v>
      </c>
      <c r="AB25" s="69" t="s">
        <v>696</v>
      </c>
      <c r="AC25" s="72"/>
      <c r="AD25" s="73" t="s">
        <v>697</v>
      </c>
      <c r="AE25" s="56" t="s">
        <v>629</v>
      </c>
      <c r="AF25" s="56" t="s">
        <v>653</v>
      </c>
    </row>
    <row r="26">
      <c r="A26" s="52" t="s">
        <v>702</v>
      </c>
      <c r="B26" s="52" t="s">
        <v>607</v>
      </c>
      <c r="C26" s="52" t="s">
        <v>607</v>
      </c>
      <c r="D26" s="65" t="s">
        <v>607</v>
      </c>
      <c r="E26" s="65" t="s">
        <v>607</v>
      </c>
      <c r="F26" s="65" t="s">
        <v>607</v>
      </c>
      <c r="G26" s="65" t="s">
        <v>607</v>
      </c>
      <c r="H26" s="52" t="s">
        <v>607</v>
      </c>
      <c r="I26" s="52" t="s">
        <v>607</v>
      </c>
      <c r="J26" s="52" t="s">
        <v>607</v>
      </c>
      <c r="K26" s="52" t="s">
        <v>607</v>
      </c>
      <c r="L26" s="52" t="s">
        <v>607</v>
      </c>
      <c r="M26" s="52" t="s">
        <v>607</v>
      </c>
      <c r="N26" s="52" t="s">
        <v>607</v>
      </c>
      <c r="O26" s="52"/>
      <c r="P26" s="52"/>
      <c r="Q26" s="52"/>
      <c r="R26" s="51" t="b">
        <v>0</v>
      </c>
      <c r="S26" s="51"/>
      <c r="T26" s="52"/>
      <c r="U26" s="51" t="b">
        <v>0</v>
      </c>
      <c r="V26" s="51" t="b">
        <v>0</v>
      </c>
      <c r="W26" s="51" t="b">
        <v>0</v>
      </c>
      <c r="X26" s="51" t="b">
        <v>0</v>
      </c>
      <c r="Y26" s="51" t="b">
        <v>0</v>
      </c>
      <c r="Z26" s="51" t="b">
        <v>0</v>
      </c>
      <c r="AA26" s="68"/>
      <c r="AB26" s="52"/>
      <c r="AC26" s="52"/>
      <c r="AD26" s="52"/>
      <c r="AE26" s="56" t="s">
        <v>607</v>
      </c>
      <c r="AF26" s="56" t="s">
        <v>607</v>
      </c>
    </row>
    <row r="27">
      <c r="A27" s="52" t="s">
        <v>703</v>
      </c>
      <c r="B27" s="52" t="s">
        <v>14</v>
      </c>
      <c r="C27" s="52" t="s">
        <v>66</v>
      </c>
      <c r="D27" s="65">
        <v>0.46877314814814836</v>
      </c>
      <c r="E27" s="65">
        <v>2.314814814814815E-4</v>
      </c>
      <c r="F27" s="65">
        <v>0.46900462962962985</v>
      </c>
      <c r="G27" s="65"/>
      <c r="H27" s="52" t="s">
        <v>81</v>
      </c>
      <c r="I27" s="52" t="s">
        <v>111</v>
      </c>
      <c r="J27" s="52" t="s">
        <v>105</v>
      </c>
      <c r="K27" s="52"/>
      <c r="L27" s="52"/>
      <c r="M27" s="52"/>
      <c r="N27" s="52" t="s">
        <v>70</v>
      </c>
      <c r="O27" s="52"/>
      <c r="P27" s="52"/>
      <c r="Q27" s="52"/>
      <c r="R27" s="51" t="b">
        <v>0</v>
      </c>
      <c r="S27" s="51"/>
      <c r="T27" s="52"/>
      <c r="U27" s="51" t="b">
        <v>0</v>
      </c>
      <c r="V27" s="51" t="b">
        <v>0</v>
      </c>
      <c r="W27" s="51" t="b">
        <v>0</v>
      </c>
      <c r="X27" s="51" t="b">
        <v>0</v>
      </c>
      <c r="Y27" s="51" t="b">
        <v>0</v>
      </c>
      <c r="Z27" s="51" t="b">
        <v>0</v>
      </c>
      <c r="AA27" s="68"/>
      <c r="AB27" s="52"/>
      <c r="AC27" s="52"/>
      <c r="AD27" s="52"/>
      <c r="AE27" s="56"/>
      <c r="AF27" s="56"/>
    </row>
    <row r="28">
      <c r="A28" s="52" t="s">
        <v>707</v>
      </c>
      <c r="B28" s="52" t="s">
        <v>14</v>
      </c>
      <c r="C28" s="52" t="s">
        <v>66</v>
      </c>
      <c r="D28" s="65">
        <v>0.46900462962962985</v>
      </c>
      <c r="E28" s="65">
        <v>0.0020833333333333333</v>
      </c>
      <c r="F28" s="65">
        <v>0.4710879629629632</v>
      </c>
      <c r="G28" s="65" t="s">
        <v>106</v>
      </c>
      <c r="H28" s="52" t="s">
        <v>83</v>
      </c>
      <c r="I28" s="52" t="s">
        <v>112</v>
      </c>
      <c r="J28" s="52"/>
      <c r="K28" s="52"/>
      <c r="L28" s="52"/>
      <c r="M28" s="52"/>
      <c r="N28" s="52" t="s">
        <v>70</v>
      </c>
      <c r="O28" s="52"/>
      <c r="P28" s="52"/>
      <c r="Q28" s="52"/>
      <c r="R28" s="51" t="b">
        <v>0</v>
      </c>
      <c r="S28" s="51"/>
      <c r="T28" s="52"/>
      <c r="U28" s="51" t="b">
        <v>0</v>
      </c>
      <c r="V28" s="51" t="b">
        <v>0</v>
      </c>
      <c r="W28" s="51" t="b">
        <v>0</v>
      </c>
      <c r="X28" s="51" t="b">
        <v>0</v>
      </c>
      <c r="Y28" s="51" t="b">
        <v>0</v>
      </c>
      <c r="Z28" s="51" t="b">
        <v>0</v>
      </c>
      <c r="AA28" s="68"/>
      <c r="AB28" s="52"/>
      <c r="AC28" s="52"/>
      <c r="AD28" s="52"/>
      <c r="AE28" s="56" t="s">
        <v>314</v>
      </c>
      <c r="AF28" s="56"/>
    </row>
    <row r="29">
      <c r="A29" s="52" t="s">
        <v>708</v>
      </c>
      <c r="B29" s="52" t="s">
        <v>607</v>
      </c>
      <c r="C29" s="52" t="s">
        <v>607</v>
      </c>
      <c r="D29" s="65" t="s">
        <v>607</v>
      </c>
      <c r="E29" s="65" t="s">
        <v>607</v>
      </c>
      <c r="F29" s="65" t="s">
        <v>607</v>
      </c>
      <c r="G29" s="65" t="s">
        <v>607</v>
      </c>
      <c r="H29" s="52" t="s">
        <v>607</v>
      </c>
      <c r="I29" s="52" t="s">
        <v>607</v>
      </c>
      <c r="J29" s="52" t="s">
        <v>607</v>
      </c>
      <c r="K29" s="52" t="s">
        <v>607</v>
      </c>
      <c r="L29" s="52" t="s">
        <v>607</v>
      </c>
      <c r="M29" s="52" t="s">
        <v>607</v>
      </c>
      <c r="N29" s="52" t="s">
        <v>607</v>
      </c>
      <c r="O29" s="52"/>
      <c r="P29" s="52"/>
      <c r="Q29" s="52"/>
      <c r="R29" s="51" t="b">
        <v>0</v>
      </c>
      <c r="S29" s="51"/>
      <c r="T29" s="52"/>
      <c r="U29" s="51" t="b">
        <v>0</v>
      </c>
      <c r="V29" s="51" t="b">
        <v>0</v>
      </c>
      <c r="W29" s="51" t="b">
        <v>0</v>
      </c>
      <c r="X29" s="51" t="b">
        <v>0</v>
      </c>
      <c r="Y29" s="51" t="b">
        <v>0</v>
      </c>
      <c r="Z29" s="51" t="b">
        <v>0</v>
      </c>
      <c r="AA29" s="68"/>
      <c r="AB29" s="52"/>
      <c r="AC29" s="52"/>
      <c r="AD29" s="52"/>
      <c r="AE29" s="56" t="s">
        <v>607</v>
      </c>
      <c r="AF29" s="56" t="s">
        <v>607</v>
      </c>
    </row>
    <row r="30">
      <c r="A30" s="52" t="s">
        <v>711</v>
      </c>
      <c r="B30" s="52" t="s">
        <v>607</v>
      </c>
      <c r="C30" s="52" t="s">
        <v>607</v>
      </c>
      <c r="D30" s="65" t="s">
        <v>607</v>
      </c>
      <c r="E30" s="65" t="s">
        <v>607</v>
      </c>
      <c r="F30" s="65" t="s">
        <v>607</v>
      </c>
      <c r="G30" s="65" t="s">
        <v>607</v>
      </c>
      <c r="H30" s="52" t="s">
        <v>607</v>
      </c>
      <c r="I30" s="52" t="s">
        <v>607</v>
      </c>
      <c r="J30" s="52" t="s">
        <v>607</v>
      </c>
      <c r="K30" s="52" t="s">
        <v>607</v>
      </c>
      <c r="L30" s="52" t="s">
        <v>607</v>
      </c>
      <c r="M30" s="52" t="s">
        <v>607</v>
      </c>
      <c r="N30" s="52" t="s">
        <v>607</v>
      </c>
      <c r="O30" s="52"/>
      <c r="P30" s="52"/>
      <c r="Q30" s="52"/>
      <c r="R30" s="51" t="b">
        <v>0</v>
      </c>
      <c r="S30" s="51"/>
      <c r="T30" s="52"/>
      <c r="U30" s="51" t="b">
        <v>0</v>
      </c>
      <c r="V30" s="51" t="b">
        <v>0</v>
      </c>
      <c r="W30" s="51" t="b">
        <v>0</v>
      </c>
      <c r="X30" s="51" t="b">
        <v>0</v>
      </c>
      <c r="Y30" s="51" t="b">
        <v>0</v>
      </c>
      <c r="Z30" s="51" t="b">
        <v>0</v>
      </c>
      <c r="AA30" s="68"/>
      <c r="AB30" s="52"/>
      <c r="AC30" s="52"/>
      <c r="AD30" s="52"/>
      <c r="AE30" s="56" t="s">
        <v>607</v>
      </c>
      <c r="AF30" s="56" t="s">
        <v>607</v>
      </c>
    </row>
    <row r="31">
      <c r="A31" s="52" t="s">
        <v>712</v>
      </c>
      <c r="B31" s="52" t="s">
        <v>14</v>
      </c>
      <c r="C31" s="52" t="s">
        <v>66</v>
      </c>
      <c r="D31" s="65">
        <v>0.47184027777777804</v>
      </c>
      <c r="E31" s="65">
        <v>2.314814814814815E-4</v>
      </c>
      <c r="F31" s="65">
        <v>0.47207175925925954</v>
      </c>
      <c r="G31" s="65"/>
      <c r="H31" s="52" t="s">
        <v>81</v>
      </c>
      <c r="I31" s="52" t="s">
        <v>81</v>
      </c>
      <c r="J31" s="52" t="s">
        <v>73</v>
      </c>
      <c r="K31" s="52" t="s">
        <v>105</v>
      </c>
      <c r="L31" s="52"/>
      <c r="M31" s="52"/>
      <c r="N31" s="52" t="s">
        <v>70</v>
      </c>
      <c r="O31" s="52"/>
      <c r="P31" s="52"/>
      <c r="Q31" s="52"/>
      <c r="R31" s="51" t="b">
        <v>0</v>
      </c>
      <c r="S31" s="51"/>
      <c r="T31" s="52"/>
      <c r="U31" s="51" t="b">
        <v>0</v>
      </c>
      <c r="V31" s="51" t="b">
        <v>0</v>
      </c>
      <c r="W31" s="51" t="b">
        <v>0</v>
      </c>
      <c r="X31" s="51" t="b">
        <v>0</v>
      </c>
      <c r="Y31" s="51" t="b">
        <v>0</v>
      </c>
      <c r="Z31" s="51" t="b">
        <v>0</v>
      </c>
      <c r="AA31" s="68"/>
      <c r="AB31" s="52"/>
      <c r="AC31" s="52"/>
      <c r="AD31" s="52"/>
      <c r="AE31" s="56"/>
      <c r="AF31" s="56"/>
    </row>
    <row r="32">
      <c r="A32" s="52" t="s">
        <v>716</v>
      </c>
      <c r="B32" s="52" t="s">
        <v>14</v>
      </c>
      <c r="C32" s="52" t="s">
        <v>66</v>
      </c>
      <c r="D32" s="65">
        <v>0.5158796296296299</v>
      </c>
      <c r="E32" s="65">
        <v>0.013888888888888888</v>
      </c>
      <c r="F32" s="65">
        <v>0.5297685185185187</v>
      </c>
      <c r="G32" s="65"/>
      <c r="H32" s="52" t="s">
        <v>94</v>
      </c>
      <c r="I32" s="52" t="s">
        <v>135</v>
      </c>
      <c r="J32" s="52" t="s">
        <v>136</v>
      </c>
      <c r="K32" s="52"/>
      <c r="L32" s="52"/>
      <c r="M32" s="52"/>
      <c r="N32" s="52" t="s">
        <v>137</v>
      </c>
      <c r="O32" s="69" t="s">
        <v>618</v>
      </c>
      <c r="P32" s="69" t="s">
        <v>30</v>
      </c>
      <c r="Q32" s="80" t="s">
        <v>718</v>
      </c>
      <c r="R32" s="51" t="b">
        <v>1</v>
      </c>
      <c r="S32" s="52" t="s">
        <v>135</v>
      </c>
      <c r="T32" s="52"/>
      <c r="U32" s="51" t="b">
        <v>0</v>
      </c>
      <c r="V32" s="51" t="b">
        <v>1</v>
      </c>
      <c r="W32" s="51" t="b">
        <v>1</v>
      </c>
      <c r="X32" s="51" t="b">
        <v>0</v>
      </c>
      <c r="Y32" s="51" t="b">
        <v>1</v>
      </c>
      <c r="Z32" s="51" t="b">
        <v>0</v>
      </c>
      <c r="AA32" s="71">
        <v>0.013981481481481482</v>
      </c>
      <c r="AB32" s="69" t="s">
        <v>721</v>
      </c>
      <c r="AC32" s="69" t="s">
        <v>722</v>
      </c>
      <c r="AD32" s="76" t="s">
        <v>723</v>
      </c>
      <c r="AE32" s="56" t="s">
        <v>629</v>
      </c>
      <c r="AF32" s="56" t="s">
        <v>726</v>
      </c>
    </row>
    <row r="33">
      <c r="A33" s="52" t="s">
        <v>727</v>
      </c>
      <c r="B33" s="52" t="s">
        <v>607</v>
      </c>
      <c r="C33" s="52" t="s">
        <v>607</v>
      </c>
      <c r="D33" s="65" t="s">
        <v>607</v>
      </c>
      <c r="E33" s="65" t="s">
        <v>607</v>
      </c>
      <c r="F33" s="65" t="s">
        <v>607</v>
      </c>
      <c r="G33" s="65" t="s">
        <v>607</v>
      </c>
      <c r="H33" s="52" t="s">
        <v>607</v>
      </c>
      <c r="I33" s="52" t="s">
        <v>607</v>
      </c>
      <c r="J33" s="52" t="s">
        <v>607</v>
      </c>
      <c r="K33" s="52" t="s">
        <v>607</v>
      </c>
      <c r="L33" s="52" t="s">
        <v>607</v>
      </c>
      <c r="M33" s="52" t="s">
        <v>607</v>
      </c>
      <c r="N33" s="52" t="s">
        <v>607</v>
      </c>
      <c r="O33" s="52"/>
      <c r="P33" s="52"/>
      <c r="Q33" s="52"/>
      <c r="R33" s="51" t="b">
        <v>0</v>
      </c>
      <c r="S33" s="51"/>
      <c r="T33" s="52"/>
      <c r="U33" s="51" t="b">
        <v>0</v>
      </c>
      <c r="V33" s="51" t="b">
        <v>0</v>
      </c>
      <c r="W33" s="51" t="b">
        <v>0</v>
      </c>
      <c r="X33" s="51" t="b">
        <v>0</v>
      </c>
      <c r="Y33" s="51" t="b">
        <v>0</v>
      </c>
      <c r="Z33" s="51" t="b">
        <v>0</v>
      </c>
      <c r="AA33" s="68"/>
      <c r="AB33" s="52"/>
      <c r="AC33" s="52"/>
      <c r="AD33" s="52"/>
      <c r="AE33" s="56" t="s">
        <v>607</v>
      </c>
      <c r="AF33" s="56" t="s">
        <v>607</v>
      </c>
    </row>
    <row r="34">
      <c r="A34" s="52" t="s">
        <v>728</v>
      </c>
      <c r="B34" s="52" t="s">
        <v>14</v>
      </c>
      <c r="C34" s="52" t="s">
        <v>66</v>
      </c>
      <c r="D34" s="65">
        <v>0.48011574074074104</v>
      </c>
      <c r="E34" s="65">
        <v>3.4722222222222224E-4</v>
      </c>
      <c r="F34" s="65">
        <v>0.48046296296296326</v>
      </c>
      <c r="G34" s="65"/>
      <c r="H34" s="52" t="s">
        <v>87</v>
      </c>
      <c r="I34" s="52"/>
      <c r="J34" s="52" t="s">
        <v>69</v>
      </c>
      <c r="K34" s="52"/>
      <c r="L34" s="52"/>
      <c r="M34" s="52"/>
      <c r="N34" s="52" t="s">
        <v>70</v>
      </c>
      <c r="O34" s="52"/>
      <c r="P34" s="52"/>
      <c r="Q34" s="52"/>
      <c r="R34" s="51" t="b">
        <v>0</v>
      </c>
      <c r="S34" s="51"/>
      <c r="T34" s="52"/>
      <c r="U34" s="51" t="b">
        <v>0</v>
      </c>
      <c r="V34" s="51" t="b">
        <v>0</v>
      </c>
      <c r="W34" s="51" t="b">
        <v>0</v>
      </c>
      <c r="X34" s="51" t="b">
        <v>0</v>
      </c>
      <c r="Y34" s="51" t="b">
        <v>0</v>
      </c>
      <c r="Z34" s="51" t="b">
        <v>0</v>
      </c>
      <c r="AA34" s="68"/>
      <c r="AB34" s="52"/>
      <c r="AC34" s="52"/>
      <c r="AD34" s="52"/>
      <c r="AE34" s="56"/>
      <c r="AF34" s="56"/>
    </row>
    <row r="35">
      <c r="A35" s="52" t="s">
        <v>731</v>
      </c>
      <c r="B35" s="52" t="s">
        <v>14</v>
      </c>
      <c r="C35" s="52" t="s">
        <v>66</v>
      </c>
      <c r="D35" s="65">
        <v>0.48046296296296326</v>
      </c>
      <c r="E35" s="65">
        <v>2.314814814814815E-4</v>
      </c>
      <c r="F35" s="65">
        <v>0.48069444444444476</v>
      </c>
      <c r="G35" s="65"/>
      <c r="H35" s="52" t="s">
        <v>81</v>
      </c>
      <c r="I35" s="52" t="s">
        <v>117</v>
      </c>
      <c r="J35" s="52" t="s">
        <v>105</v>
      </c>
      <c r="K35" s="52"/>
      <c r="L35" s="52"/>
      <c r="M35" s="52"/>
      <c r="N35" s="52" t="s">
        <v>70</v>
      </c>
      <c r="O35" s="52"/>
      <c r="P35" s="52"/>
      <c r="Q35" s="52"/>
      <c r="R35" s="51" t="b">
        <v>0</v>
      </c>
      <c r="S35" s="51"/>
      <c r="T35" s="52"/>
      <c r="U35" s="51" t="b">
        <v>0</v>
      </c>
      <c r="V35" s="51" t="b">
        <v>0</v>
      </c>
      <c r="W35" s="51" t="b">
        <v>0</v>
      </c>
      <c r="X35" s="51" t="b">
        <v>0</v>
      </c>
      <c r="Y35" s="51" t="b">
        <v>0</v>
      </c>
      <c r="Z35" s="51" t="b">
        <v>0</v>
      </c>
      <c r="AA35" s="68"/>
      <c r="AB35" s="52"/>
      <c r="AC35" s="52"/>
      <c r="AD35" s="52"/>
      <c r="AE35" s="56"/>
      <c r="AF35" s="56"/>
    </row>
    <row r="36">
      <c r="A36" s="52" t="s">
        <v>732</v>
      </c>
      <c r="B36" s="52" t="s">
        <v>14</v>
      </c>
      <c r="C36" s="52" t="s">
        <v>289</v>
      </c>
      <c r="D36" s="65">
        <v>0.513252314814815</v>
      </c>
      <c r="E36" s="65">
        <v>0.010416666666666666</v>
      </c>
      <c r="F36" s="65">
        <v>0.5236689814814817</v>
      </c>
      <c r="G36" s="65" t="s">
        <v>358</v>
      </c>
      <c r="H36" s="52" t="s">
        <v>107</v>
      </c>
      <c r="I36" s="52" t="s">
        <v>389</v>
      </c>
      <c r="J36" s="52" t="s">
        <v>390</v>
      </c>
      <c r="K36" s="52" t="s">
        <v>391</v>
      </c>
      <c r="L36" s="52"/>
      <c r="M36" s="52"/>
      <c r="N36" s="52" t="s">
        <v>321</v>
      </c>
      <c r="O36" s="69" t="s">
        <v>734</v>
      </c>
      <c r="P36" s="69" t="s">
        <v>30</v>
      </c>
      <c r="Q36" s="73" t="s">
        <v>735</v>
      </c>
      <c r="R36" s="51" t="b">
        <v>1</v>
      </c>
      <c r="S36" s="82" t="s">
        <v>736</v>
      </c>
      <c r="T36" s="52"/>
      <c r="U36" s="51" t="b">
        <v>0</v>
      </c>
      <c r="V36" s="51" t="b">
        <v>1</v>
      </c>
      <c r="W36" s="51" t="b">
        <v>1</v>
      </c>
      <c r="X36" s="51" t="b">
        <v>1</v>
      </c>
      <c r="Y36" s="51" t="b">
        <v>0</v>
      </c>
      <c r="Z36" s="51" t="b">
        <v>0</v>
      </c>
      <c r="AA36" s="71">
        <v>0.010439814814814815</v>
      </c>
      <c r="AB36" s="69" t="s">
        <v>739</v>
      </c>
      <c r="AC36" s="72"/>
      <c r="AD36" s="73" t="s">
        <v>741</v>
      </c>
      <c r="AE36" s="56" t="s">
        <v>743</v>
      </c>
      <c r="AF36" s="56" t="s">
        <v>726</v>
      </c>
    </row>
    <row r="37">
      <c r="A37" s="52" t="s">
        <v>744</v>
      </c>
      <c r="B37" s="52" t="s">
        <v>607</v>
      </c>
      <c r="C37" s="52" t="s">
        <v>607</v>
      </c>
      <c r="D37" s="65" t="s">
        <v>607</v>
      </c>
      <c r="E37" s="65" t="s">
        <v>607</v>
      </c>
      <c r="F37" s="65" t="s">
        <v>607</v>
      </c>
      <c r="G37" s="65" t="s">
        <v>607</v>
      </c>
      <c r="H37" s="52" t="s">
        <v>607</v>
      </c>
      <c r="I37" s="52" t="s">
        <v>607</v>
      </c>
      <c r="J37" s="52" t="s">
        <v>607</v>
      </c>
      <c r="K37" s="52" t="s">
        <v>607</v>
      </c>
      <c r="L37" s="52" t="s">
        <v>607</v>
      </c>
      <c r="M37" s="52" t="s">
        <v>607</v>
      </c>
      <c r="N37" s="52" t="s">
        <v>607</v>
      </c>
      <c r="O37" s="52"/>
      <c r="P37" s="52"/>
      <c r="Q37" s="52"/>
      <c r="R37" s="51" t="b">
        <v>0</v>
      </c>
      <c r="S37" s="51"/>
      <c r="T37" s="52"/>
      <c r="U37" s="51" t="b">
        <v>0</v>
      </c>
      <c r="V37" s="51" t="b">
        <v>0</v>
      </c>
      <c r="W37" s="51" t="b">
        <v>0</v>
      </c>
      <c r="X37" s="51" t="b">
        <v>0</v>
      </c>
      <c r="Y37" s="51" t="b">
        <v>0</v>
      </c>
      <c r="Z37" s="51" t="b">
        <v>0</v>
      </c>
      <c r="AA37" s="68"/>
      <c r="AB37" s="52"/>
      <c r="AC37" s="52"/>
      <c r="AD37" s="52"/>
      <c r="AE37" s="56" t="s">
        <v>607</v>
      </c>
      <c r="AF37" s="56" t="s">
        <v>607</v>
      </c>
    </row>
    <row r="38">
      <c r="A38" s="52" t="s">
        <v>747</v>
      </c>
      <c r="B38" s="52" t="s">
        <v>607</v>
      </c>
      <c r="C38" s="52" t="s">
        <v>607</v>
      </c>
      <c r="D38" s="65" t="s">
        <v>607</v>
      </c>
      <c r="E38" s="65" t="s">
        <v>607</v>
      </c>
      <c r="F38" s="65" t="s">
        <v>607</v>
      </c>
      <c r="G38" s="65" t="s">
        <v>607</v>
      </c>
      <c r="H38" s="52" t="s">
        <v>607</v>
      </c>
      <c r="I38" s="52" t="s">
        <v>607</v>
      </c>
      <c r="J38" s="52" t="s">
        <v>607</v>
      </c>
      <c r="K38" s="52" t="s">
        <v>607</v>
      </c>
      <c r="L38" s="52" t="s">
        <v>607</v>
      </c>
      <c r="M38" s="52" t="s">
        <v>607</v>
      </c>
      <c r="N38" s="52" t="s">
        <v>607</v>
      </c>
      <c r="O38" s="52"/>
      <c r="P38" s="52"/>
      <c r="Q38" s="52"/>
      <c r="R38" s="51" t="b">
        <v>0</v>
      </c>
      <c r="S38" s="51"/>
      <c r="T38" s="52"/>
      <c r="U38" s="51" t="b">
        <v>0</v>
      </c>
      <c r="V38" s="51" t="b">
        <v>0</v>
      </c>
      <c r="W38" s="51" t="b">
        <v>0</v>
      </c>
      <c r="X38" s="51" t="b">
        <v>0</v>
      </c>
      <c r="Y38" s="51" t="b">
        <v>0</v>
      </c>
      <c r="Z38" s="51" t="b">
        <v>0</v>
      </c>
      <c r="AA38" s="68"/>
      <c r="AB38" s="52"/>
      <c r="AC38" s="52"/>
      <c r="AD38" s="52"/>
      <c r="AE38" s="56" t="s">
        <v>607</v>
      </c>
      <c r="AF38" s="56" t="s">
        <v>607</v>
      </c>
    </row>
    <row r="39">
      <c r="A39" s="52" t="s">
        <v>750</v>
      </c>
      <c r="B39" s="52" t="s">
        <v>14</v>
      </c>
      <c r="C39" s="52" t="s">
        <v>66</v>
      </c>
      <c r="D39" s="65">
        <v>0.5004282407407411</v>
      </c>
      <c r="E39" s="65">
        <v>5.208333333333333E-4</v>
      </c>
      <c r="F39" s="65">
        <v>0.5009490740740744</v>
      </c>
      <c r="G39" s="65"/>
      <c r="H39" s="52" t="s">
        <v>79</v>
      </c>
      <c r="I39" s="52" t="s">
        <v>80</v>
      </c>
      <c r="J39" s="52" t="s">
        <v>69</v>
      </c>
      <c r="K39" s="52"/>
      <c r="L39" s="52"/>
      <c r="M39" s="52"/>
      <c r="N39" s="52" t="s">
        <v>70</v>
      </c>
      <c r="O39" s="52"/>
      <c r="P39" s="52"/>
      <c r="Q39" s="52"/>
      <c r="R39" s="51" t="b">
        <v>0</v>
      </c>
      <c r="S39" s="51"/>
      <c r="T39" s="52"/>
      <c r="U39" s="51" t="b">
        <v>0</v>
      </c>
      <c r="V39" s="51" t="b">
        <v>0</v>
      </c>
      <c r="W39" s="51" t="b">
        <v>0</v>
      </c>
      <c r="X39" s="51" t="b">
        <v>0</v>
      </c>
      <c r="Y39" s="51" t="b">
        <v>0</v>
      </c>
      <c r="Z39" s="51" t="b">
        <v>0</v>
      </c>
      <c r="AA39" s="68"/>
      <c r="AB39" s="52"/>
      <c r="AC39" s="52"/>
      <c r="AD39" s="52"/>
      <c r="AE39" s="56"/>
      <c r="AF39" s="56"/>
    </row>
    <row r="40">
      <c r="A40" s="52" t="s">
        <v>753</v>
      </c>
      <c r="B40" s="52" t="s">
        <v>14</v>
      </c>
      <c r="C40" s="52" t="s">
        <v>66</v>
      </c>
      <c r="D40" s="65">
        <v>0.5026851851851856</v>
      </c>
      <c r="E40" s="65">
        <v>2.314814814814815E-4</v>
      </c>
      <c r="F40" s="65">
        <v>0.502916666666667</v>
      </c>
      <c r="G40" s="65"/>
      <c r="H40" s="52" t="s">
        <v>81</v>
      </c>
      <c r="I40" s="52" t="s">
        <v>119</v>
      </c>
      <c r="J40" s="52" t="s">
        <v>128</v>
      </c>
      <c r="K40" s="52"/>
      <c r="L40" s="52"/>
      <c r="M40" s="52"/>
      <c r="N40" s="52" t="s">
        <v>70</v>
      </c>
      <c r="O40" s="52"/>
      <c r="P40" s="52"/>
      <c r="Q40" s="52"/>
      <c r="R40" s="51" t="b">
        <v>0</v>
      </c>
      <c r="S40" s="51"/>
      <c r="T40" s="52"/>
      <c r="U40" s="51" t="b">
        <v>0</v>
      </c>
      <c r="V40" s="51" t="b">
        <v>0</v>
      </c>
      <c r="W40" s="51" t="b">
        <v>0</v>
      </c>
      <c r="X40" s="51" t="b">
        <v>0</v>
      </c>
      <c r="Y40" s="51" t="b">
        <v>0</v>
      </c>
      <c r="Z40" s="51" t="b">
        <v>0</v>
      </c>
      <c r="AA40" s="68"/>
      <c r="AB40" s="52"/>
      <c r="AC40" s="52"/>
      <c r="AD40" s="52"/>
      <c r="AE40" s="56"/>
      <c r="AF40" s="56"/>
    </row>
    <row r="41">
      <c r="A41" s="52" t="s">
        <v>756</v>
      </c>
      <c r="B41" s="52" t="s">
        <v>14</v>
      </c>
      <c r="C41" s="52" t="s">
        <v>66</v>
      </c>
      <c r="D41" s="65">
        <v>0.502916666666667</v>
      </c>
      <c r="E41" s="65">
        <v>0.008333333333333333</v>
      </c>
      <c r="F41" s="65">
        <v>0.5112500000000003</v>
      </c>
      <c r="G41" s="65" t="s">
        <v>129</v>
      </c>
      <c r="H41" s="52" t="s">
        <v>94</v>
      </c>
      <c r="I41" s="52" t="s">
        <v>130</v>
      </c>
      <c r="J41" s="52" t="s">
        <v>131</v>
      </c>
      <c r="K41" s="52"/>
      <c r="L41" s="52"/>
      <c r="M41" s="52"/>
      <c r="N41" s="52" t="s">
        <v>132</v>
      </c>
      <c r="O41" s="69" t="s">
        <v>618</v>
      </c>
      <c r="P41" s="69" t="s">
        <v>32</v>
      </c>
      <c r="Q41" s="80" t="s">
        <v>757</v>
      </c>
      <c r="R41" s="51" t="b">
        <v>1</v>
      </c>
      <c r="S41" s="52" t="s">
        <v>130</v>
      </c>
      <c r="T41" s="52"/>
      <c r="U41" s="51" t="b">
        <v>0</v>
      </c>
      <c r="V41" s="51" t="b">
        <v>1</v>
      </c>
      <c r="W41" s="51" t="b">
        <v>1</v>
      </c>
      <c r="X41" s="51" t="b">
        <v>1</v>
      </c>
      <c r="Y41" s="51" t="b">
        <v>0</v>
      </c>
      <c r="Z41" s="51" t="b">
        <v>0</v>
      </c>
      <c r="AA41" s="71">
        <v>0.008171296296296296</v>
      </c>
      <c r="AB41" s="69"/>
      <c r="AC41" s="75"/>
      <c r="AD41" s="73" t="s">
        <v>762</v>
      </c>
      <c r="AE41" s="56" t="s">
        <v>629</v>
      </c>
      <c r="AF41" s="56" t="s">
        <v>726</v>
      </c>
    </row>
    <row r="42">
      <c r="A42" s="52" t="s">
        <v>766</v>
      </c>
      <c r="B42" s="52" t="s">
        <v>607</v>
      </c>
      <c r="C42" s="52" t="s">
        <v>607</v>
      </c>
      <c r="D42" s="65" t="s">
        <v>607</v>
      </c>
      <c r="E42" s="65" t="s">
        <v>607</v>
      </c>
      <c r="F42" s="65" t="s">
        <v>607</v>
      </c>
      <c r="G42" s="65" t="s">
        <v>607</v>
      </c>
      <c r="H42" s="52" t="s">
        <v>607</v>
      </c>
      <c r="I42" s="52" t="s">
        <v>607</v>
      </c>
      <c r="J42" s="52" t="s">
        <v>607</v>
      </c>
      <c r="K42" s="52" t="s">
        <v>607</v>
      </c>
      <c r="L42" s="52" t="s">
        <v>607</v>
      </c>
      <c r="M42" s="52" t="s">
        <v>607</v>
      </c>
      <c r="N42" s="52" t="s">
        <v>607</v>
      </c>
      <c r="O42" s="52"/>
      <c r="P42" s="52"/>
      <c r="Q42" s="52"/>
      <c r="R42" s="51" t="b">
        <v>0</v>
      </c>
      <c r="S42" s="51"/>
      <c r="T42" s="52"/>
      <c r="U42" s="51" t="b">
        <v>0</v>
      </c>
      <c r="V42" s="51" t="b">
        <v>0</v>
      </c>
      <c r="W42" s="51" t="b">
        <v>0</v>
      </c>
      <c r="X42" s="51" t="b">
        <v>0</v>
      </c>
      <c r="Y42" s="51" t="b">
        <v>0</v>
      </c>
      <c r="Z42" s="51" t="b">
        <v>0</v>
      </c>
      <c r="AA42" s="68"/>
      <c r="AB42" s="52"/>
      <c r="AC42" s="52"/>
      <c r="AD42" s="52"/>
      <c r="AE42" s="56" t="s">
        <v>607</v>
      </c>
      <c r="AF42" s="56" t="s">
        <v>607</v>
      </c>
    </row>
    <row r="43">
      <c r="A43" s="52" t="s">
        <v>770</v>
      </c>
      <c r="B43" s="52" t="s">
        <v>14</v>
      </c>
      <c r="C43" s="52" t="s">
        <v>66</v>
      </c>
      <c r="D43" s="65">
        <v>0.5124652777777781</v>
      </c>
      <c r="E43" s="65">
        <v>2.314814814814815E-4</v>
      </c>
      <c r="F43" s="65">
        <v>0.5126967592592595</v>
      </c>
      <c r="G43" s="65"/>
      <c r="H43" s="52" t="s">
        <v>81</v>
      </c>
      <c r="I43" s="52" t="s">
        <v>133</v>
      </c>
      <c r="J43" s="52" t="s">
        <v>128</v>
      </c>
      <c r="K43" s="52"/>
      <c r="L43" s="52"/>
      <c r="M43" s="52"/>
      <c r="N43" s="52" t="s">
        <v>70</v>
      </c>
      <c r="O43" s="52"/>
      <c r="P43" s="52"/>
      <c r="Q43" s="52"/>
      <c r="R43" s="51" t="b">
        <v>0</v>
      </c>
      <c r="S43" s="51"/>
      <c r="T43" s="52"/>
      <c r="U43" s="51" t="b">
        <v>0</v>
      </c>
      <c r="V43" s="51" t="b">
        <v>0</v>
      </c>
      <c r="W43" s="51" t="b">
        <v>0</v>
      </c>
      <c r="X43" s="51" t="b">
        <v>0</v>
      </c>
      <c r="Y43" s="51" t="b">
        <v>0</v>
      </c>
      <c r="Z43" s="51" t="b">
        <v>0</v>
      </c>
      <c r="AA43" s="68"/>
      <c r="AB43" s="52"/>
      <c r="AC43" s="52"/>
      <c r="AD43" s="52"/>
      <c r="AE43" s="56"/>
      <c r="AF43" s="56"/>
    </row>
    <row r="44">
      <c r="A44" s="52" t="s">
        <v>774</v>
      </c>
      <c r="B44" s="52" t="s">
        <v>14</v>
      </c>
      <c r="C44" s="52" t="s">
        <v>66</v>
      </c>
      <c r="D44" s="65">
        <v>0.5126967592592595</v>
      </c>
      <c r="E44" s="65">
        <v>0.0020833333333333333</v>
      </c>
      <c r="F44" s="65">
        <v>0.5147800925925928</v>
      </c>
      <c r="G44" s="65" t="s">
        <v>129</v>
      </c>
      <c r="H44" s="52" t="s">
        <v>83</v>
      </c>
      <c r="I44" s="52" t="s">
        <v>134</v>
      </c>
      <c r="J44" s="52"/>
      <c r="K44" s="52"/>
      <c r="L44" s="52"/>
      <c r="M44" s="52"/>
      <c r="N44" s="52" t="s">
        <v>70</v>
      </c>
      <c r="O44" s="52"/>
      <c r="P44" s="52"/>
      <c r="Q44" s="52"/>
      <c r="R44" s="51" t="b">
        <v>0</v>
      </c>
      <c r="S44" s="51"/>
      <c r="T44" s="52"/>
      <c r="U44" s="51" t="b">
        <v>0</v>
      </c>
      <c r="V44" s="51" t="b">
        <v>0</v>
      </c>
      <c r="W44" s="51" t="b">
        <v>0</v>
      </c>
      <c r="X44" s="51" t="b">
        <v>0</v>
      </c>
      <c r="Y44" s="51" t="b">
        <v>0</v>
      </c>
      <c r="Z44" s="51" t="b">
        <v>0</v>
      </c>
      <c r="AA44" s="68"/>
      <c r="AB44" s="52"/>
      <c r="AC44" s="52"/>
      <c r="AD44" s="52"/>
      <c r="AE44" s="56" t="s">
        <v>314</v>
      </c>
      <c r="AF44" s="56"/>
    </row>
    <row r="45">
      <c r="A45" s="52" t="s">
        <v>775</v>
      </c>
      <c r="B45" s="52" t="s">
        <v>607</v>
      </c>
      <c r="C45" s="52" t="s">
        <v>607</v>
      </c>
      <c r="D45" s="65" t="s">
        <v>607</v>
      </c>
      <c r="E45" s="65" t="s">
        <v>607</v>
      </c>
      <c r="F45" s="65" t="s">
        <v>607</v>
      </c>
      <c r="G45" s="65" t="s">
        <v>607</v>
      </c>
      <c r="H45" s="52" t="s">
        <v>607</v>
      </c>
      <c r="I45" s="52" t="s">
        <v>607</v>
      </c>
      <c r="J45" s="52" t="s">
        <v>607</v>
      </c>
      <c r="K45" s="52" t="s">
        <v>607</v>
      </c>
      <c r="L45" s="52" t="s">
        <v>607</v>
      </c>
      <c r="M45" s="52" t="s">
        <v>607</v>
      </c>
      <c r="N45" s="52" t="s">
        <v>607</v>
      </c>
      <c r="O45" s="52"/>
      <c r="P45" s="52"/>
      <c r="Q45" s="52"/>
      <c r="R45" s="51" t="b">
        <v>0</v>
      </c>
      <c r="S45" s="51"/>
      <c r="T45" s="52"/>
      <c r="U45" s="51" t="b">
        <v>0</v>
      </c>
      <c r="V45" s="51" t="b">
        <v>0</v>
      </c>
      <c r="W45" s="51" t="b">
        <v>0</v>
      </c>
      <c r="X45" s="51" t="b">
        <v>0</v>
      </c>
      <c r="Y45" s="51" t="b">
        <v>0</v>
      </c>
      <c r="Z45" s="51" t="b">
        <v>0</v>
      </c>
      <c r="AA45" s="68"/>
      <c r="AB45" s="52"/>
      <c r="AC45" s="52"/>
      <c r="AD45" s="52"/>
      <c r="AE45" s="56" t="s">
        <v>607</v>
      </c>
      <c r="AF45" s="56" t="s">
        <v>607</v>
      </c>
    </row>
    <row r="46">
      <c r="A46" s="52" t="s">
        <v>776</v>
      </c>
      <c r="B46" s="52" t="s">
        <v>607</v>
      </c>
      <c r="C46" s="52" t="s">
        <v>607</v>
      </c>
      <c r="D46" s="65" t="s">
        <v>607</v>
      </c>
      <c r="E46" s="65" t="s">
        <v>607</v>
      </c>
      <c r="F46" s="65" t="s">
        <v>607</v>
      </c>
      <c r="G46" s="65" t="s">
        <v>607</v>
      </c>
      <c r="H46" s="52" t="s">
        <v>607</v>
      </c>
      <c r="I46" s="52" t="s">
        <v>607</v>
      </c>
      <c r="J46" s="52" t="s">
        <v>607</v>
      </c>
      <c r="K46" s="52" t="s">
        <v>607</v>
      </c>
      <c r="L46" s="52" t="s">
        <v>607</v>
      </c>
      <c r="M46" s="52" t="s">
        <v>607</v>
      </c>
      <c r="N46" s="52" t="s">
        <v>607</v>
      </c>
      <c r="O46" s="52"/>
      <c r="P46" s="52"/>
      <c r="Q46" s="52"/>
      <c r="R46" s="51" t="b">
        <v>0</v>
      </c>
      <c r="S46" s="51"/>
      <c r="T46" s="52"/>
      <c r="U46" s="51" t="b">
        <v>0</v>
      </c>
      <c r="V46" s="51" t="b">
        <v>0</v>
      </c>
      <c r="W46" s="51" t="b">
        <v>0</v>
      </c>
      <c r="X46" s="51" t="b">
        <v>0</v>
      </c>
      <c r="Y46" s="51" t="b">
        <v>0</v>
      </c>
      <c r="Z46" s="51" t="b">
        <v>0</v>
      </c>
      <c r="AA46" s="68"/>
      <c r="AB46" s="52"/>
      <c r="AC46" s="52"/>
      <c r="AD46" s="52"/>
      <c r="AE46" s="56" t="s">
        <v>607</v>
      </c>
      <c r="AF46" s="56" t="s">
        <v>607</v>
      </c>
    </row>
    <row r="47">
      <c r="A47" s="52" t="s">
        <v>777</v>
      </c>
      <c r="B47" s="52" t="s">
        <v>607</v>
      </c>
      <c r="C47" s="52" t="s">
        <v>607</v>
      </c>
      <c r="D47" s="65" t="s">
        <v>607</v>
      </c>
      <c r="E47" s="65" t="s">
        <v>607</v>
      </c>
      <c r="F47" s="65" t="s">
        <v>607</v>
      </c>
      <c r="G47" s="65" t="s">
        <v>607</v>
      </c>
      <c r="H47" s="52" t="s">
        <v>607</v>
      </c>
      <c r="I47" s="52" t="s">
        <v>607</v>
      </c>
      <c r="J47" s="52" t="s">
        <v>607</v>
      </c>
      <c r="K47" s="52" t="s">
        <v>607</v>
      </c>
      <c r="L47" s="52" t="s">
        <v>607</v>
      </c>
      <c r="M47" s="52" t="s">
        <v>607</v>
      </c>
      <c r="N47" s="52" t="s">
        <v>607</v>
      </c>
      <c r="O47" s="52"/>
      <c r="P47" s="52"/>
      <c r="Q47" s="52"/>
      <c r="R47" s="51" t="b">
        <v>0</v>
      </c>
      <c r="S47" s="51"/>
      <c r="T47" s="52"/>
      <c r="U47" s="51" t="b">
        <v>0</v>
      </c>
      <c r="V47" s="51" t="b">
        <v>0</v>
      </c>
      <c r="W47" s="51" t="b">
        <v>0</v>
      </c>
      <c r="X47" s="51" t="b">
        <v>0</v>
      </c>
      <c r="Y47" s="51" t="b">
        <v>0</v>
      </c>
      <c r="Z47" s="51" t="b">
        <v>0</v>
      </c>
      <c r="AA47" s="68"/>
      <c r="AB47" s="52"/>
      <c r="AC47" s="52"/>
      <c r="AD47" s="52"/>
      <c r="AE47" s="56" t="s">
        <v>607</v>
      </c>
      <c r="AF47" s="56" t="s">
        <v>607</v>
      </c>
    </row>
    <row r="48">
      <c r="A48" s="52" t="s">
        <v>778</v>
      </c>
      <c r="B48" s="52" t="s">
        <v>14</v>
      </c>
      <c r="C48" s="52" t="s">
        <v>66</v>
      </c>
      <c r="D48" s="65">
        <v>0.7049537037037034</v>
      </c>
      <c r="E48" s="65">
        <v>2.314814814814815E-4</v>
      </c>
      <c r="F48" s="65">
        <v>0.7051851851851848</v>
      </c>
      <c r="G48" s="65"/>
      <c r="H48" s="52" t="s">
        <v>81</v>
      </c>
      <c r="I48" s="52" t="s">
        <v>91</v>
      </c>
      <c r="J48" s="52" t="s">
        <v>73</v>
      </c>
      <c r="K48" s="52" t="s">
        <v>92</v>
      </c>
      <c r="L48" s="52"/>
      <c r="M48" s="52"/>
      <c r="N48" s="52" t="s">
        <v>70</v>
      </c>
      <c r="O48" s="52"/>
      <c r="P48" s="52"/>
      <c r="Q48" s="52"/>
      <c r="R48" s="51" t="b">
        <v>0</v>
      </c>
      <c r="S48" s="51"/>
      <c r="T48" s="52"/>
      <c r="U48" s="51" t="b">
        <v>0</v>
      </c>
      <c r="V48" s="51" t="b">
        <v>0</v>
      </c>
      <c r="W48" s="51" t="b">
        <v>0</v>
      </c>
      <c r="X48" s="51" t="b">
        <v>0</v>
      </c>
      <c r="Y48" s="51" t="b">
        <v>0</v>
      </c>
      <c r="Z48" s="51" t="b">
        <v>0</v>
      </c>
      <c r="AA48" s="68"/>
      <c r="AB48" s="52"/>
      <c r="AC48" s="52"/>
      <c r="AD48" s="52"/>
      <c r="AE48" s="56"/>
      <c r="AF48" s="56"/>
    </row>
    <row r="49">
      <c r="A49" s="52" t="s">
        <v>784</v>
      </c>
      <c r="B49" s="52" t="s">
        <v>785</v>
      </c>
      <c r="C49" s="52" t="s">
        <v>66</v>
      </c>
      <c r="D49" s="65">
        <v>0.5899305555555555</v>
      </c>
      <c r="E49" s="65">
        <v>0.012546296296296297</v>
      </c>
      <c r="F49" s="65">
        <v>0.6024768518518518</v>
      </c>
      <c r="G49" s="65"/>
      <c r="H49" s="52" t="s">
        <v>74</v>
      </c>
      <c r="I49" s="52" t="s">
        <v>786</v>
      </c>
      <c r="J49" s="52" t="s">
        <v>787</v>
      </c>
      <c r="K49" s="52" t="s">
        <v>788</v>
      </c>
      <c r="L49" s="52" t="s">
        <v>789</v>
      </c>
      <c r="M49" s="52"/>
      <c r="N49" s="52" t="s">
        <v>790</v>
      </c>
      <c r="O49" s="69" t="s">
        <v>791</v>
      </c>
      <c r="P49" s="69" t="s">
        <v>32</v>
      </c>
      <c r="Q49" s="70" t="s">
        <v>793</v>
      </c>
      <c r="R49" s="51" t="b">
        <v>1</v>
      </c>
      <c r="S49" s="52" t="s">
        <v>797</v>
      </c>
      <c r="T49" s="52"/>
      <c r="U49" s="51" t="b">
        <v>0</v>
      </c>
      <c r="V49" s="51" t="b">
        <v>1</v>
      </c>
      <c r="W49" s="51" t="b">
        <v>1</v>
      </c>
      <c r="X49" s="51" t="b">
        <v>1</v>
      </c>
      <c r="Y49" s="51" t="b">
        <v>0</v>
      </c>
      <c r="Z49" s="51" t="b">
        <v>0</v>
      </c>
      <c r="AA49" s="71">
        <v>0.012546296296296297</v>
      </c>
      <c r="AB49" s="69" t="s">
        <v>799</v>
      </c>
      <c r="AC49" s="72"/>
      <c r="AD49" s="83" t="s">
        <v>800</v>
      </c>
      <c r="AE49" s="74" t="s">
        <v>629</v>
      </c>
      <c r="AF49" s="74" t="s">
        <v>803</v>
      </c>
    </row>
    <row r="50">
      <c r="A50" s="52" t="s">
        <v>804</v>
      </c>
      <c r="B50" s="52" t="s">
        <v>607</v>
      </c>
      <c r="C50" s="52" t="s">
        <v>607</v>
      </c>
      <c r="D50" s="65" t="s">
        <v>607</v>
      </c>
      <c r="E50" s="65" t="s">
        <v>607</v>
      </c>
      <c r="F50" s="65" t="s">
        <v>607</v>
      </c>
      <c r="G50" s="65" t="s">
        <v>607</v>
      </c>
      <c r="H50" s="52" t="s">
        <v>607</v>
      </c>
      <c r="I50" s="52" t="s">
        <v>607</v>
      </c>
      <c r="J50" s="52" t="s">
        <v>607</v>
      </c>
      <c r="K50" s="52" t="s">
        <v>607</v>
      </c>
      <c r="L50" s="52" t="s">
        <v>607</v>
      </c>
      <c r="M50" s="52" t="s">
        <v>607</v>
      </c>
      <c r="N50" s="52" t="s">
        <v>607</v>
      </c>
      <c r="O50" s="52"/>
      <c r="P50" s="52"/>
      <c r="Q50" s="52"/>
      <c r="R50" s="51" t="b">
        <v>0</v>
      </c>
      <c r="S50" s="51"/>
      <c r="T50" s="52"/>
      <c r="U50" s="51" t="b">
        <v>0</v>
      </c>
      <c r="V50" s="51" t="b">
        <v>0</v>
      </c>
      <c r="W50" s="51" t="b">
        <v>0</v>
      </c>
      <c r="X50" s="51" t="b">
        <v>0</v>
      </c>
      <c r="Y50" s="51" t="b">
        <v>0</v>
      </c>
      <c r="Z50" s="51" t="b">
        <v>0</v>
      </c>
      <c r="AA50" s="68"/>
      <c r="AB50" s="52"/>
      <c r="AC50" s="52"/>
      <c r="AD50" s="52"/>
      <c r="AE50" s="56" t="s">
        <v>607</v>
      </c>
      <c r="AF50" s="56" t="s">
        <v>607</v>
      </c>
    </row>
    <row r="51">
      <c r="A51" s="52" t="s">
        <v>809</v>
      </c>
      <c r="B51" s="52" t="s">
        <v>14</v>
      </c>
      <c r="C51" s="52" t="s">
        <v>66</v>
      </c>
      <c r="D51" s="65">
        <v>0.5297685185185187</v>
      </c>
      <c r="E51" s="65">
        <v>2.314814814814815E-4</v>
      </c>
      <c r="F51" s="65">
        <v>0.5300000000000001</v>
      </c>
      <c r="G51" s="65"/>
      <c r="H51" s="52" t="s">
        <v>81</v>
      </c>
      <c r="I51" s="52" t="s">
        <v>138</v>
      </c>
      <c r="J51" s="52" t="s">
        <v>128</v>
      </c>
      <c r="K51" s="52"/>
      <c r="L51" s="52"/>
      <c r="M51" s="52"/>
      <c r="N51" s="52"/>
      <c r="O51" s="52"/>
      <c r="P51" s="52"/>
      <c r="Q51" s="52"/>
      <c r="R51" s="51" t="b">
        <v>0</v>
      </c>
      <c r="S51" s="51"/>
      <c r="T51" s="52"/>
      <c r="U51" s="51" t="b">
        <v>0</v>
      </c>
      <c r="V51" s="51" t="b">
        <v>0</v>
      </c>
      <c r="W51" s="51" t="b">
        <v>0</v>
      </c>
      <c r="X51" s="51" t="b">
        <v>0</v>
      </c>
      <c r="Y51" s="51" t="b">
        <v>0</v>
      </c>
      <c r="Z51" s="51" t="b">
        <v>0</v>
      </c>
      <c r="AA51" s="68"/>
      <c r="AB51" s="52"/>
      <c r="AC51" s="52"/>
      <c r="AD51" s="52"/>
      <c r="AE51" s="56"/>
      <c r="AF51" s="56"/>
    </row>
    <row r="52">
      <c r="A52" s="52" t="s">
        <v>811</v>
      </c>
      <c r="B52" s="52" t="s">
        <v>14</v>
      </c>
      <c r="C52" s="52" t="s">
        <v>66</v>
      </c>
      <c r="D52" s="65">
        <v>0.5300000000000001</v>
      </c>
      <c r="E52" s="65">
        <v>0.0020833333333333333</v>
      </c>
      <c r="F52" s="65">
        <v>0.5320833333333335</v>
      </c>
      <c r="G52" s="65"/>
      <c r="H52" s="52" t="s">
        <v>83</v>
      </c>
      <c r="I52" s="52" t="s">
        <v>139</v>
      </c>
      <c r="J52" s="52"/>
      <c r="K52" s="52"/>
      <c r="L52" s="52"/>
      <c r="M52" s="52"/>
      <c r="N52" s="52"/>
      <c r="O52" s="52"/>
      <c r="P52" s="52"/>
      <c r="Q52" s="52"/>
      <c r="R52" s="51" t="b">
        <v>0</v>
      </c>
      <c r="S52" s="51"/>
      <c r="T52" s="52"/>
      <c r="U52" s="51" t="b">
        <v>0</v>
      </c>
      <c r="V52" s="51" t="b">
        <v>0</v>
      </c>
      <c r="W52" s="51" t="b">
        <v>0</v>
      </c>
      <c r="X52" s="51" t="b">
        <v>0</v>
      </c>
      <c r="Y52" s="51" t="b">
        <v>0</v>
      </c>
      <c r="Z52" s="51" t="b">
        <v>0</v>
      </c>
      <c r="AA52" s="68"/>
      <c r="AB52" s="52"/>
      <c r="AC52" s="52"/>
      <c r="AD52" s="52"/>
      <c r="AE52" s="56"/>
      <c r="AF52" s="56"/>
    </row>
    <row r="53">
      <c r="A53" s="52" t="s">
        <v>814</v>
      </c>
      <c r="B53" s="52" t="s">
        <v>14</v>
      </c>
      <c r="C53" s="52" t="s">
        <v>66</v>
      </c>
      <c r="D53" s="65">
        <v>0.5323148148148149</v>
      </c>
      <c r="E53" s="65">
        <v>3.4722222222222224E-4</v>
      </c>
      <c r="F53" s="65">
        <v>0.5326620370370372</v>
      </c>
      <c r="G53" s="65"/>
      <c r="H53" s="52" t="s">
        <v>87</v>
      </c>
      <c r="I53" s="52" t="s">
        <v>88</v>
      </c>
      <c r="J53" s="52"/>
      <c r="K53" s="52"/>
      <c r="L53" s="52"/>
      <c r="M53" s="52"/>
      <c r="N53" s="52"/>
      <c r="O53" s="52"/>
      <c r="P53" s="52"/>
      <c r="Q53" s="52"/>
      <c r="R53" s="51" t="b">
        <v>0</v>
      </c>
      <c r="S53" s="51"/>
      <c r="T53" s="52"/>
      <c r="U53" s="51" t="b">
        <v>0</v>
      </c>
      <c r="V53" s="51" t="b">
        <v>0</v>
      </c>
      <c r="W53" s="51" t="b">
        <v>0</v>
      </c>
      <c r="X53" s="51" t="b">
        <v>0</v>
      </c>
      <c r="Y53" s="51" t="b">
        <v>0</v>
      </c>
      <c r="Z53" s="51" t="b">
        <v>0</v>
      </c>
      <c r="AA53" s="68"/>
      <c r="AB53" s="52"/>
      <c r="AC53" s="52"/>
      <c r="AD53" s="52"/>
      <c r="AE53" s="56"/>
      <c r="AF53" s="56"/>
    </row>
    <row r="54">
      <c r="A54" s="52" t="s">
        <v>816</v>
      </c>
      <c r="B54" s="52" t="s">
        <v>14</v>
      </c>
      <c r="C54" s="52" t="s">
        <v>66</v>
      </c>
      <c r="D54" s="65">
        <v>0.44259259259259276</v>
      </c>
      <c r="E54" s="65">
        <v>2.314814814814815E-4</v>
      </c>
      <c r="F54" s="65">
        <v>0.44282407407407426</v>
      </c>
      <c r="G54" s="65"/>
      <c r="H54" s="52" t="s">
        <v>81</v>
      </c>
      <c r="I54" s="52" t="s">
        <v>91</v>
      </c>
      <c r="J54" s="52" t="s">
        <v>73</v>
      </c>
      <c r="K54" s="52" t="s">
        <v>92</v>
      </c>
      <c r="L54" s="52"/>
      <c r="M54" s="52"/>
      <c r="N54" s="52" t="s">
        <v>70</v>
      </c>
      <c r="O54" s="52"/>
      <c r="P54" s="52"/>
      <c r="Q54" s="52"/>
      <c r="R54" s="51" t="b">
        <v>0</v>
      </c>
      <c r="S54" s="51"/>
      <c r="T54" s="52"/>
      <c r="U54" s="51" t="b">
        <v>0</v>
      </c>
      <c r="V54" s="51" t="b">
        <v>0</v>
      </c>
      <c r="W54" s="51" t="b">
        <v>0</v>
      </c>
      <c r="X54" s="51" t="b">
        <v>0</v>
      </c>
      <c r="Y54" s="51" t="b">
        <v>0</v>
      </c>
      <c r="Z54" s="51" t="b">
        <v>0</v>
      </c>
      <c r="AA54" s="68"/>
      <c r="AB54" s="52"/>
      <c r="AC54" s="52"/>
      <c r="AD54" s="52"/>
      <c r="AE54" s="56"/>
      <c r="AF54" s="56"/>
    </row>
    <row r="55">
      <c r="A55" s="52" t="s">
        <v>820</v>
      </c>
      <c r="B55" s="52" t="s">
        <v>14</v>
      </c>
      <c r="C55" s="52" t="s">
        <v>221</v>
      </c>
      <c r="D55" s="65">
        <v>0.4597222222222224</v>
      </c>
      <c r="E55" s="65">
        <v>0.010416666666666666</v>
      </c>
      <c r="F55" s="65">
        <v>0.4701388888888891</v>
      </c>
      <c r="G55" s="65"/>
      <c r="H55" s="52" t="s">
        <v>107</v>
      </c>
      <c r="I55" s="52" t="s">
        <v>239</v>
      </c>
      <c r="J55" s="52" t="s">
        <v>240</v>
      </c>
      <c r="K55" s="52" t="s">
        <v>241</v>
      </c>
      <c r="L55" s="52"/>
      <c r="M55" s="52"/>
      <c r="N55" s="52" t="s">
        <v>242</v>
      </c>
      <c r="O55" s="52"/>
      <c r="P55" s="52"/>
      <c r="Q55" s="52"/>
      <c r="R55" s="51" t="b">
        <v>0</v>
      </c>
      <c r="S55" s="51"/>
      <c r="T55" s="52"/>
      <c r="U55" s="51" t="b">
        <v>0</v>
      </c>
      <c r="V55" s="51" t="b">
        <v>0</v>
      </c>
      <c r="W55" s="51" t="b">
        <v>0</v>
      </c>
      <c r="X55" s="51" t="b">
        <v>0</v>
      </c>
      <c r="Y55" s="51" t="b">
        <v>0</v>
      </c>
      <c r="Z55" s="51" t="b">
        <v>0</v>
      </c>
      <c r="AA55" s="68"/>
      <c r="AB55" s="52"/>
      <c r="AC55" s="52"/>
      <c r="AD55" s="52"/>
      <c r="AE55" s="56" t="s">
        <v>652</v>
      </c>
      <c r="AF55" s="56" t="s">
        <v>653</v>
      </c>
    </row>
    <row r="56">
      <c r="A56" s="52" t="s">
        <v>821</v>
      </c>
      <c r="B56" s="52" t="s">
        <v>607</v>
      </c>
      <c r="C56" s="52" t="s">
        <v>607</v>
      </c>
      <c r="D56" s="65" t="s">
        <v>607</v>
      </c>
      <c r="E56" s="65" t="s">
        <v>607</v>
      </c>
      <c r="F56" s="65" t="s">
        <v>607</v>
      </c>
      <c r="G56" s="65" t="s">
        <v>607</v>
      </c>
      <c r="H56" s="52" t="s">
        <v>607</v>
      </c>
      <c r="I56" s="52" t="s">
        <v>607</v>
      </c>
      <c r="J56" s="52" t="s">
        <v>607</v>
      </c>
      <c r="K56" s="52" t="s">
        <v>607</v>
      </c>
      <c r="L56" s="52" t="s">
        <v>607</v>
      </c>
      <c r="M56" s="52" t="s">
        <v>607</v>
      </c>
      <c r="N56" s="52" t="s">
        <v>607</v>
      </c>
      <c r="O56" s="52"/>
      <c r="P56" s="52"/>
      <c r="Q56" s="52"/>
      <c r="R56" s="51" t="b">
        <v>0</v>
      </c>
      <c r="S56" s="51"/>
      <c r="T56" s="52"/>
      <c r="U56" s="51" t="b">
        <v>0</v>
      </c>
      <c r="V56" s="51" t="b">
        <v>0</v>
      </c>
      <c r="W56" s="51" t="b">
        <v>0</v>
      </c>
      <c r="X56" s="51" t="b">
        <v>0</v>
      </c>
      <c r="Y56" s="51" t="b">
        <v>0</v>
      </c>
      <c r="Z56" s="51" t="b">
        <v>0</v>
      </c>
      <c r="AA56" s="68"/>
      <c r="AB56" s="52"/>
      <c r="AC56" s="52"/>
      <c r="AD56" s="52"/>
      <c r="AE56" s="56" t="s">
        <v>607</v>
      </c>
      <c r="AF56" s="56" t="s">
        <v>607</v>
      </c>
    </row>
    <row r="57">
      <c r="A57" s="52" t="s">
        <v>827</v>
      </c>
      <c r="B57" s="52" t="s">
        <v>607</v>
      </c>
      <c r="C57" s="52" t="s">
        <v>607</v>
      </c>
      <c r="D57" s="65" t="s">
        <v>607</v>
      </c>
      <c r="E57" s="65" t="s">
        <v>607</v>
      </c>
      <c r="F57" s="65" t="s">
        <v>607</v>
      </c>
      <c r="G57" s="65" t="s">
        <v>607</v>
      </c>
      <c r="H57" s="52" t="s">
        <v>607</v>
      </c>
      <c r="I57" s="52" t="s">
        <v>607</v>
      </c>
      <c r="J57" s="52" t="s">
        <v>607</v>
      </c>
      <c r="K57" s="52" t="s">
        <v>607</v>
      </c>
      <c r="L57" s="52" t="s">
        <v>607</v>
      </c>
      <c r="M57" s="52" t="s">
        <v>607</v>
      </c>
      <c r="N57" s="52" t="s">
        <v>607</v>
      </c>
      <c r="O57" s="52"/>
      <c r="P57" s="52"/>
      <c r="Q57" s="52"/>
      <c r="R57" s="51" t="b">
        <v>0</v>
      </c>
      <c r="S57" s="51"/>
      <c r="T57" s="52"/>
      <c r="U57" s="51" t="b">
        <v>0</v>
      </c>
      <c r="V57" s="51" t="b">
        <v>0</v>
      </c>
      <c r="W57" s="51" t="b">
        <v>0</v>
      </c>
      <c r="X57" s="51" t="b">
        <v>0</v>
      </c>
      <c r="Y57" s="51" t="b">
        <v>0</v>
      </c>
      <c r="Z57" s="51" t="b">
        <v>0</v>
      </c>
      <c r="AA57" s="68"/>
      <c r="AB57" s="52"/>
      <c r="AC57" s="52"/>
      <c r="AD57" s="52"/>
      <c r="AE57" s="56" t="s">
        <v>607</v>
      </c>
      <c r="AF57" s="56" t="s">
        <v>607</v>
      </c>
    </row>
    <row r="58">
      <c r="A58" s="52" t="s">
        <v>832</v>
      </c>
      <c r="B58" s="52" t="s">
        <v>14</v>
      </c>
      <c r="C58" s="52" t="s">
        <v>66</v>
      </c>
      <c r="D58" s="65">
        <v>0.5433101851851853</v>
      </c>
      <c r="E58" s="65">
        <v>3.4722222222222224E-4</v>
      </c>
      <c r="F58" s="65">
        <v>0.5436574074074075</v>
      </c>
      <c r="G58" s="65"/>
      <c r="H58" s="52" t="s">
        <v>87</v>
      </c>
      <c r="I58" s="52" t="s">
        <v>88</v>
      </c>
      <c r="J58" s="52" t="s">
        <v>69</v>
      </c>
      <c r="K58" s="52"/>
      <c r="L58" s="52"/>
      <c r="M58" s="52"/>
      <c r="N58" s="52" t="s">
        <v>70</v>
      </c>
      <c r="O58" s="52"/>
      <c r="P58" s="52"/>
      <c r="Q58" s="52"/>
      <c r="R58" s="51" t="b">
        <v>0</v>
      </c>
      <c r="S58" s="51"/>
      <c r="T58" s="52"/>
      <c r="U58" s="51" t="b">
        <v>0</v>
      </c>
      <c r="V58" s="51" t="b">
        <v>0</v>
      </c>
      <c r="W58" s="51" t="b">
        <v>0</v>
      </c>
      <c r="X58" s="51" t="b">
        <v>0</v>
      </c>
      <c r="Y58" s="51" t="b">
        <v>0</v>
      </c>
      <c r="Z58" s="51" t="b">
        <v>0</v>
      </c>
      <c r="AA58" s="68"/>
      <c r="AB58" s="52"/>
      <c r="AC58" s="52"/>
      <c r="AD58" s="52"/>
      <c r="AE58" s="56"/>
      <c r="AF58" s="56" t="s">
        <v>600</v>
      </c>
    </row>
    <row r="59">
      <c r="A59" s="52" t="s">
        <v>833</v>
      </c>
      <c r="B59" s="52" t="s">
        <v>14</v>
      </c>
      <c r="C59" s="52" t="s">
        <v>66</v>
      </c>
      <c r="D59" s="65">
        <v>0.5582407407407408</v>
      </c>
      <c r="E59" s="65">
        <v>2.314814814814815E-4</v>
      </c>
      <c r="F59" s="65">
        <v>0.5584722222222223</v>
      </c>
      <c r="G59" s="65"/>
      <c r="H59" s="52" t="s">
        <v>81</v>
      </c>
      <c r="I59" s="52" t="s">
        <v>91</v>
      </c>
      <c r="J59" s="52" t="s">
        <v>92</v>
      </c>
      <c r="K59" s="52"/>
      <c r="L59" s="52"/>
      <c r="M59" s="52"/>
      <c r="N59" s="52" t="s">
        <v>70</v>
      </c>
      <c r="O59" s="52"/>
      <c r="P59" s="52"/>
      <c r="Q59" s="52"/>
      <c r="R59" s="51" t="b">
        <v>0</v>
      </c>
      <c r="S59" s="51"/>
      <c r="T59" s="52"/>
      <c r="U59" s="51" t="b">
        <v>0</v>
      </c>
      <c r="V59" s="51" t="b">
        <v>0</v>
      </c>
      <c r="W59" s="51" t="b">
        <v>0</v>
      </c>
      <c r="X59" s="51" t="b">
        <v>0</v>
      </c>
      <c r="Y59" s="51" t="b">
        <v>0</v>
      </c>
      <c r="Z59" s="51" t="b">
        <v>0</v>
      </c>
      <c r="AA59" s="68"/>
      <c r="AB59" s="52"/>
      <c r="AC59" s="52"/>
      <c r="AD59" s="52"/>
      <c r="AE59" s="56"/>
      <c r="AF59" s="56"/>
    </row>
    <row r="60">
      <c r="A60" s="52" t="s">
        <v>836</v>
      </c>
      <c r="B60" s="52" t="s">
        <v>14</v>
      </c>
      <c r="C60" s="52" t="s">
        <v>66</v>
      </c>
      <c r="D60" s="65">
        <v>0.5584722222222223</v>
      </c>
      <c r="E60" s="65">
        <v>0.00818287037037037</v>
      </c>
      <c r="F60" s="65">
        <v>0.5666550925925926</v>
      </c>
      <c r="G60" s="65" t="s">
        <v>140</v>
      </c>
      <c r="H60" s="52" t="s">
        <v>107</v>
      </c>
      <c r="I60" s="52" t="s">
        <v>154</v>
      </c>
      <c r="J60" s="52" t="s">
        <v>155</v>
      </c>
      <c r="K60" s="52" t="s">
        <v>156</v>
      </c>
      <c r="L60" s="52"/>
      <c r="M60" s="52"/>
      <c r="N60" s="52" t="s">
        <v>157</v>
      </c>
      <c r="O60" s="69" t="s">
        <v>734</v>
      </c>
      <c r="P60" s="69" t="s">
        <v>32</v>
      </c>
      <c r="Q60" s="70" t="s">
        <v>837</v>
      </c>
      <c r="R60" s="51" t="b">
        <v>1</v>
      </c>
      <c r="S60" s="52" t="s">
        <v>154</v>
      </c>
      <c r="T60" s="52"/>
      <c r="U60" s="51" t="b">
        <v>0</v>
      </c>
      <c r="V60" s="51" t="b">
        <v>1</v>
      </c>
      <c r="W60" s="51" t="b">
        <v>1</v>
      </c>
      <c r="X60" s="51" t="b">
        <v>1</v>
      </c>
      <c r="Y60" s="51" t="b">
        <v>0</v>
      </c>
      <c r="Z60" s="51" t="b">
        <v>0</v>
      </c>
      <c r="AA60" s="71">
        <v>0.008171296296296296</v>
      </c>
      <c r="AB60" s="69" t="s">
        <v>842</v>
      </c>
      <c r="AC60" s="75"/>
      <c r="AD60" s="73" t="s">
        <v>843</v>
      </c>
      <c r="AE60" s="74" t="s">
        <v>629</v>
      </c>
      <c r="AF60" s="74" t="s">
        <v>847</v>
      </c>
    </row>
    <row r="61">
      <c r="A61" s="52" t="s">
        <v>848</v>
      </c>
      <c r="B61" s="52" t="s">
        <v>607</v>
      </c>
      <c r="C61" s="52" t="s">
        <v>607</v>
      </c>
      <c r="D61" s="65" t="s">
        <v>607</v>
      </c>
      <c r="E61" s="65" t="s">
        <v>607</v>
      </c>
      <c r="F61" s="65" t="s">
        <v>607</v>
      </c>
      <c r="G61" s="65" t="s">
        <v>607</v>
      </c>
      <c r="H61" s="52" t="s">
        <v>607</v>
      </c>
      <c r="I61" s="52" t="s">
        <v>607</v>
      </c>
      <c r="J61" s="52" t="s">
        <v>607</v>
      </c>
      <c r="K61" s="52" t="s">
        <v>607</v>
      </c>
      <c r="L61" s="52" t="s">
        <v>607</v>
      </c>
      <c r="M61" s="52" t="s">
        <v>607</v>
      </c>
      <c r="N61" s="52" t="s">
        <v>607</v>
      </c>
      <c r="O61" s="52"/>
      <c r="P61" s="52"/>
      <c r="Q61" s="52"/>
      <c r="R61" s="51" t="b">
        <v>0</v>
      </c>
      <c r="S61" s="51"/>
      <c r="T61" s="52"/>
      <c r="U61" s="51" t="b">
        <v>0</v>
      </c>
      <c r="V61" s="51" t="b">
        <v>0</v>
      </c>
      <c r="W61" s="51" t="b">
        <v>0</v>
      </c>
      <c r="X61" s="51" t="b">
        <v>0</v>
      </c>
      <c r="Y61" s="51" t="b">
        <v>0</v>
      </c>
      <c r="Z61" s="51" t="b">
        <v>0</v>
      </c>
      <c r="AA61" s="68"/>
      <c r="AB61" s="52"/>
      <c r="AC61" s="52"/>
      <c r="AD61" s="52"/>
      <c r="AE61" s="56" t="s">
        <v>607</v>
      </c>
      <c r="AF61" s="56" t="s">
        <v>607</v>
      </c>
    </row>
    <row r="62">
      <c r="A62" s="52" t="s">
        <v>849</v>
      </c>
      <c r="B62" s="52" t="s">
        <v>14</v>
      </c>
      <c r="C62" s="52" t="s">
        <v>66</v>
      </c>
      <c r="D62" s="65">
        <v>0.5553472222222223</v>
      </c>
      <c r="E62" s="65">
        <v>2.314814814814815E-4</v>
      </c>
      <c r="F62" s="65">
        <v>0.5555787037037038</v>
      </c>
      <c r="G62" s="65"/>
      <c r="H62" s="52" t="s">
        <v>81</v>
      </c>
      <c r="I62" s="52" t="s">
        <v>150</v>
      </c>
      <c r="J62" s="52" t="s">
        <v>92</v>
      </c>
      <c r="K62" s="52"/>
      <c r="L62" s="52"/>
      <c r="M62" s="52"/>
      <c r="N62" s="52" t="s">
        <v>70</v>
      </c>
      <c r="O62" s="52"/>
      <c r="P62" s="52"/>
      <c r="Q62" s="52"/>
      <c r="R62" s="51" t="b">
        <v>0</v>
      </c>
      <c r="S62" s="51"/>
      <c r="T62" s="52"/>
      <c r="U62" s="51" t="b">
        <v>0</v>
      </c>
      <c r="V62" s="51" t="b">
        <v>0</v>
      </c>
      <c r="W62" s="51" t="b">
        <v>0</v>
      </c>
      <c r="X62" s="51" t="b">
        <v>0</v>
      </c>
      <c r="Y62" s="51" t="b">
        <v>0</v>
      </c>
      <c r="Z62" s="51" t="b">
        <v>0</v>
      </c>
      <c r="AA62" s="68"/>
      <c r="AB62" s="52"/>
      <c r="AC62" s="52"/>
      <c r="AD62" s="52"/>
      <c r="AE62" s="56"/>
      <c r="AF62" s="56"/>
    </row>
    <row r="63">
      <c r="A63" s="52" t="s">
        <v>852</v>
      </c>
      <c r="B63" s="52" t="s">
        <v>14</v>
      </c>
      <c r="C63" s="52" t="s">
        <v>66</v>
      </c>
      <c r="D63" s="65">
        <v>0.5555787037037038</v>
      </c>
      <c r="E63" s="65">
        <v>0.0020833333333333333</v>
      </c>
      <c r="F63" s="65">
        <v>0.5576620370370371</v>
      </c>
      <c r="G63" s="65" t="s">
        <v>151</v>
      </c>
      <c r="H63" s="52" t="s">
        <v>83</v>
      </c>
      <c r="I63" s="52" t="s">
        <v>152</v>
      </c>
      <c r="J63" s="52"/>
      <c r="K63" s="52"/>
      <c r="L63" s="52"/>
      <c r="M63" s="52"/>
      <c r="N63" s="52" t="s">
        <v>70</v>
      </c>
      <c r="O63" s="52"/>
      <c r="P63" s="52"/>
      <c r="Q63" s="80" t="s">
        <v>854</v>
      </c>
      <c r="R63" s="51" t="b">
        <v>0</v>
      </c>
      <c r="S63" s="84" t="s">
        <v>152</v>
      </c>
      <c r="T63" s="52"/>
      <c r="U63" s="51" t="b">
        <v>0</v>
      </c>
      <c r="V63" s="51" t="b">
        <v>0</v>
      </c>
      <c r="W63" s="51" t="b">
        <v>0</v>
      </c>
      <c r="X63" s="51" t="b">
        <v>0</v>
      </c>
      <c r="Y63" s="51" t="b">
        <v>0</v>
      </c>
      <c r="Z63" s="51" t="b">
        <v>0</v>
      </c>
      <c r="AA63" s="68"/>
      <c r="AB63" s="52"/>
      <c r="AC63" s="52"/>
      <c r="AD63" s="52"/>
      <c r="AE63" s="56" t="s">
        <v>314</v>
      </c>
      <c r="AF63" s="56" t="s">
        <v>860</v>
      </c>
    </row>
    <row r="64">
      <c r="A64" s="52" t="s">
        <v>861</v>
      </c>
      <c r="B64" s="52" t="s">
        <v>607</v>
      </c>
      <c r="C64" s="52" t="s">
        <v>607</v>
      </c>
      <c r="D64" s="65" t="s">
        <v>607</v>
      </c>
      <c r="E64" s="65" t="s">
        <v>607</v>
      </c>
      <c r="F64" s="65" t="s">
        <v>607</v>
      </c>
      <c r="G64" s="65" t="s">
        <v>607</v>
      </c>
      <c r="H64" s="52" t="s">
        <v>607</v>
      </c>
      <c r="I64" s="52" t="s">
        <v>607</v>
      </c>
      <c r="J64" s="52" t="s">
        <v>607</v>
      </c>
      <c r="K64" s="52" t="s">
        <v>607</v>
      </c>
      <c r="L64" s="52" t="s">
        <v>607</v>
      </c>
      <c r="M64" s="52" t="s">
        <v>607</v>
      </c>
      <c r="N64" s="52" t="s">
        <v>607</v>
      </c>
      <c r="O64" s="52"/>
      <c r="P64" s="52"/>
      <c r="Q64" s="52"/>
      <c r="R64" s="51" t="b">
        <v>0</v>
      </c>
      <c r="S64" s="51"/>
      <c r="T64" s="52"/>
      <c r="U64" s="51" t="b">
        <v>0</v>
      </c>
      <c r="V64" s="51" t="b">
        <v>0</v>
      </c>
      <c r="W64" s="51" t="b">
        <v>0</v>
      </c>
      <c r="X64" s="51" t="b">
        <v>0</v>
      </c>
      <c r="Y64" s="51" t="b">
        <v>0</v>
      </c>
      <c r="Z64" s="51" t="b">
        <v>0</v>
      </c>
      <c r="AA64" s="68"/>
      <c r="AB64" s="52"/>
      <c r="AC64" s="52"/>
      <c r="AD64" s="52"/>
      <c r="AE64" s="56" t="s">
        <v>607</v>
      </c>
      <c r="AF64" s="56" t="s">
        <v>607</v>
      </c>
    </row>
    <row r="65">
      <c r="A65" s="52" t="s">
        <v>862</v>
      </c>
      <c r="B65" s="52" t="s">
        <v>607</v>
      </c>
      <c r="C65" s="52" t="s">
        <v>607</v>
      </c>
      <c r="D65" s="65" t="s">
        <v>607</v>
      </c>
      <c r="E65" s="65" t="s">
        <v>607</v>
      </c>
      <c r="F65" s="65" t="s">
        <v>607</v>
      </c>
      <c r="G65" s="65" t="s">
        <v>607</v>
      </c>
      <c r="H65" s="52" t="s">
        <v>607</v>
      </c>
      <c r="I65" s="52" t="s">
        <v>607</v>
      </c>
      <c r="J65" s="52" t="s">
        <v>607</v>
      </c>
      <c r="K65" s="52" t="s">
        <v>607</v>
      </c>
      <c r="L65" s="52" t="s">
        <v>607</v>
      </c>
      <c r="M65" s="52" t="s">
        <v>607</v>
      </c>
      <c r="N65" s="52" t="s">
        <v>607</v>
      </c>
      <c r="O65" s="52"/>
      <c r="P65" s="52"/>
      <c r="Q65" s="52"/>
      <c r="R65" s="51" t="b">
        <v>0</v>
      </c>
      <c r="S65" s="51"/>
      <c r="T65" s="52"/>
      <c r="U65" s="51" t="b">
        <v>0</v>
      </c>
      <c r="V65" s="51" t="b">
        <v>0</v>
      </c>
      <c r="W65" s="51" t="b">
        <v>0</v>
      </c>
      <c r="X65" s="51" t="b">
        <v>0</v>
      </c>
      <c r="Y65" s="51" t="b">
        <v>0</v>
      </c>
      <c r="Z65" s="51" t="b">
        <v>0</v>
      </c>
      <c r="AA65" s="68"/>
      <c r="AB65" s="52"/>
      <c r="AC65" s="52"/>
      <c r="AD65" s="52"/>
      <c r="AE65" s="56" t="s">
        <v>607</v>
      </c>
      <c r="AF65" s="56" t="s">
        <v>607</v>
      </c>
    </row>
    <row r="66">
      <c r="A66" s="52" t="s">
        <v>863</v>
      </c>
      <c r="B66" s="52" t="s">
        <v>14</v>
      </c>
      <c r="C66" s="52" t="s">
        <v>221</v>
      </c>
      <c r="D66" s="65">
        <v>0.4594907407407409</v>
      </c>
      <c r="E66" s="65">
        <v>2.314814814814815E-4</v>
      </c>
      <c r="F66" s="65">
        <v>0.4597222222222224</v>
      </c>
      <c r="G66" s="65"/>
      <c r="H66" s="52" t="s">
        <v>81</v>
      </c>
      <c r="I66" s="52" t="s">
        <v>91</v>
      </c>
      <c r="J66" s="52" t="s">
        <v>128</v>
      </c>
      <c r="K66" s="52"/>
      <c r="L66" s="52"/>
      <c r="M66" s="52"/>
      <c r="N66" s="52" t="s">
        <v>70</v>
      </c>
      <c r="O66" s="52"/>
      <c r="P66" s="52"/>
      <c r="Q66" s="52"/>
      <c r="R66" s="51" t="b">
        <v>0</v>
      </c>
      <c r="S66" s="51"/>
      <c r="T66" s="52"/>
      <c r="U66" s="51" t="b">
        <v>0</v>
      </c>
      <c r="V66" s="51" t="b">
        <v>0</v>
      </c>
      <c r="W66" s="51" t="b">
        <v>0</v>
      </c>
      <c r="X66" s="51" t="b">
        <v>0</v>
      </c>
      <c r="Y66" s="51" t="b">
        <v>0</v>
      </c>
      <c r="Z66" s="51" t="b">
        <v>0</v>
      </c>
      <c r="AA66" s="68"/>
      <c r="AB66" s="52"/>
      <c r="AC66" s="52"/>
      <c r="AD66" s="52"/>
      <c r="AE66" s="56"/>
      <c r="AF66" s="56"/>
    </row>
    <row r="67">
      <c r="A67" s="52" t="s">
        <v>867</v>
      </c>
      <c r="B67" s="52" t="s">
        <v>14</v>
      </c>
      <c r="C67" s="52" t="s">
        <v>289</v>
      </c>
      <c r="D67" s="65">
        <v>0.48465277777777804</v>
      </c>
      <c r="E67" s="65">
        <v>0.01170138888888889</v>
      </c>
      <c r="F67" s="65">
        <v>0.49635416666666693</v>
      </c>
      <c r="G67" s="65" t="s">
        <v>151</v>
      </c>
      <c r="H67" s="52" t="s">
        <v>107</v>
      </c>
      <c r="I67" s="52" t="s">
        <v>379</v>
      </c>
      <c r="J67" s="52" t="s">
        <v>380</v>
      </c>
      <c r="K67" s="52" t="s">
        <v>381</v>
      </c>
      <c r="L67" s="52"/>
      <c r="M67" s="52"/>
      <c r="N67" s="52" t="s">
        <v>382</v>
      </c>
      <c r="O67" s="69" t="s">
        <v>734</v>
      </c>
      <c r="P67" s="69" t="s">
        <v>17</v>
      </c>
      <c r="Q67" s="73" t="s">
        <v>869</v>
      </c>
      <c r="R67" s="51" t="b">
        <v>1</v>
      </c>
      <c r="S67" s="52" t="s">
        <v>379</v>
      </c>
      <c r="T67" s="52"/>
      <c r="U67" s="51" t="b">
        <v>0</v>
      </c>
      <c r="V67" s="51" t="b">
        <v>1</v>
      </c>
      <c r="W67" s="51" t="b">
        <v>1</v>
      </c>
      <c r="X67" s="51" t="b">
        <v>1</v>
      </c>
      <c r="Y67" s="51" t="b">
        <v>0</v>
      </c>
      <c r="Z67" s="51" t="b">
        <v>0</v>
      </c>
      <c r="AA67" s="85">
        <v>0.01170138888888889</v>
      </c>
      <c r="AB67" s="86" t="s">
        <v>871</v>
      </c>
      <c r="AC67" s="75"/>
      <c r="AD67" s="87" t="s">
        <v>872</v>
      </c>
      <c r="AE67" s="74" t="s">
        <v>629</v>
      </c>
      <c r="AF67" s="74" t="s">
        <v>873</v>
      </c>
    </row>
    <row r="68">
      <c r="A68" s="52" t="s">
        <v>874</v>
      </c>
      <c r="B68" s="52" t="s">
        <v>607</v>
      </c>
      <c r="C68" s="52" t="s">
        <v>607</v>
      </c>
      <c r="D68" s="65" t="s">
        <v>607</v>
      </c>
      <c r="E68" s="65" t="s">
        <v>607</v>
      </c>
      <c r="F68" s="65" t="s">
        <v>607</v>
      </c>
      <c r="G68" s="65" t="s">
        <v>607</v>
      </c>
      <c r="H68" s="52" t="s">
        <v>607</v>
      </c>
      <c r="I68" s="52" t="s">
        <v>607</v>
      </c>
      <c r="J68" s="52" t="s">
        <v>607</v>
      </c>
      <c r="K68" s="52" t="s">
        <v>607</v>
      </c>
      <c r="L68" s="52" t="s">
        <v>607</v>
      </c>
      <c r="M68" s="52" t="s">
        <v>607</v>
      </c>
      <c r="N68" s="52" t="s">
        <v>607</v>
      </c>
      <c r="O68" s="52"/>
      <c r="P68" s="52"/>
      <c r="Q68" s="52"/>
      <c r="R68" s="51" t="b">
        <v>0</v>
      </c>
      <c r="S68" s="51"/>
      <c r="T68" s="52"/>
      <c r="U68" s="51" t="b">
        <v>0</v>
      </c>
      <c r="V68" s="51" t="b">
        <v>0</v>
      </c>
      <c r="W68" s="51" t="b">
        <v>0</v>
      </c>
      <c r="X68" s="51" t="b">
        <v>0</v>
      </c>
      <c r="Y68" s="51" t="b">
        <v>0</v>
      </c>
      <c r="Z68" s="51" t="b">
        <v>0</v>
      </c>
      <c r="AA68" s="68"/>
      <c r="AB68" s="52"/>
      <c r="AC68" s="52"/>
      <c r="AD68" s="52"/>
      <c r="AE68" s="56" t="s">
        <v>607</v>
      </c>
      <c r="AF68" s="56" t="s">
        <v>607</v>
      </c>
    </row>
    <row r="69">
      <c r="A69" s="52" t="s">
        <v>878</v>
      </c>
      <c r="B69" s="52" t="s">
        <v>607</v>
      </c>
      <c r="C69" s="52" t="s">
        <v>607</v>
      </c>
      <c r="D69" s="65" t="s">
        <v>607</v>
      </c>
      <c r="E69" s="65" t="s">
        <v>607</v>
      </c>
      <c r="F69" s="65" t="s">
        <v>607</v>
      </c>
      <c r="G69" s="65" t="s">
        <v>607</v>
      </c>
      <c r="H69" s="52" t="s">
        <v>607</v>
      </c>
      <c r="I69" s="52" t="s">
        <v>607</v>
      </c>
      <c r="J69" s="52" t="s">
        <v>607</v>
      </c>
      <c r="K69" s="52" t="s">
        <v>607</v>
      </c>
      <c r="L69" s="52" t="s">
        <v>607</v>
      </c>
      <c r="M69" s="52" t="s">
        <v>607</v>
      </c>
      <c r="N69" s="52" t="s">
        <v>607</v>
      </c>
      <c r="O69" s="52"/>
      <c r="P69" s="52"/>
      <c r="Q69" s="52"/>
      <c r="R69" s="51" t="b">
        <v>0</v>
      </c>
      <c r="S69" s="51"/>
      <c r="T69" s="52"/>
      <c r="U69" s="51" t="b">
        <v>0</v>
      </c>
      <c r="V69" s="51" t="b">
        <v>0</v>
      </c>
      <c r="W69" s="51" t="b">
        <v>0</v>
      </c>
      <c r="X69" s="51" t="b">
        <v>0</v>
      </c>
      <c r="Y69" s="51" t="b">
        <v>0</v>
      </c>
      <c r="Z69" s="51" t="b">
        <v>0</v>
      </c>
      <c r="AA69" s="68"/>
      <c r="AB69" s="52"/>
      <c r="AC69" s="52"/>
      <c r="AD69" s="52"/>
      <c r="AE69" s="56" t="s">
        <v>607</v>
      </c>
      <c r="AF69" s="56" t="s">
        <v>607</v>
      </c>
    </row>
    <row r="70">
      <c r="A70" s="52" t="s">
        <v>880</v>
      </c>
      <c r="B70" s="52" t="s">
        <v>14</v>
      </c>
      <c r="C70" s="52" t="s">
        <v>66</v>
      </c>
      <c r="D70" s="65">
        <v>0.5666550925925926</v>
      </c>
      <c r="E70" s="65">
        <v>2.314814814814815E-4</v>
      </c>
      <c r="F70" s="65">
        <v>0.5668865740740741</v>
      </c>
      <c r="G70" s="65"/>
      <c r="H70" s="52" t="s">
        <v>81</v>
      </c>
      <c r="I70" s="52" t="s">
        <v>158</v>
      </c>
      <c r="J70" s="52" t="s">
        <v>92</v>
      </c>
      <c r="K70" s="52"/>
      <c r="L70" s="52"/>
      <c r="M70" s="52"/>
      <c r="N70" s="52" t="s">
        <v>70</v>
      </c>
      <c r="O70" s="52"/>
      <c r="P70" s="52"/>
      <c r="Q70" s="52"/>
      <c r="R70" s="51" t="b">
        <v>0</v>
      </c>
      <c r="S70" s="51"/>
      <c r="T70" s="52"/>
      <c r="U70" s="51" t="b">
        <v>0</v>
      </c>
      <c r="V70" s="51" t="b">
        <v>0</v>
      </c>
      <c r="W70" s="51" t="b">
        <v>0</v>
      </c>
      <c r="X70" s="51" t="b">
        <v>0</v>
      </c>
      <c r="Y70" s="51" t="b">
        <v>0</v>
      </c>
      <c r="Z70" s="51" t="b">
        <v>0</v>
      </c>
      <c r="AA70" s="68"/>
      <c r="AB70" s="52"/>
      <c r="AC70" s="52"/>
      <c r="AD70" s="52"/>
      <c r="AE70" s="56"/>
      <c r="AF70" s="56"/>
    </row>
    <row r="71">
      <c r="A71" s="52" t="s">
        <v>883</v>
      </c>
      <c r="B71" s="52" t="s">
        <v>14</v>
      </c>
      <c r="C71" s="52" t="s">
        <v>221</v>
      </c>
      <c r="D71" s="65">
        <v>0.47326388888888915</v>
      </c>
      <c r="E71" s="65">
        <v>0.002199074074074074</v>
      </c>
      <c r="F71" s="65">
        <v>0.4754629629629632</v>
      </c>
      <c r="G71" s="65" t="s">
        <v>245</v>
      </c>
      <c r="H71" s="52" t="s">
        <v>165</v>
      </c>
      <c r="I71" s="52" t="s">
        <v>246</v>
      </c>
      <c r="J71" s="52" t="s">
        <v>247</v>
      </c>
      <c r="K71" s="52"/>
      <c r="L71" s="52"/>
      <c r="M71" s="52"/>
      <c r="N71" s="52"/>
      <c r="O71" s="69" t="s">
        <v>884</v>
      </c>
      <c r="P71" s="69" t="s">
        <v>20</v>
      </c>
      <c r="Q71" s="80" t="s">
        <v>885</v>
      </c>
      <c r="R71" s="51" t="b">
        <v>1</v>
      </c>
      <c r="S71" s="78" t="s">
        <v>246</v>
      </c>
      <c r="T71" s="52"/>
      <c r="U71" s="51" t="b">
        <v>0</v>
      </c>
      <c r="V71" s="51" t="b">
        <v>1</v>
      </c>
      <c r="W71" s="51" t="b">
        <v>1</v>
      </c>
      <c r="X71" s="51" t="b">
        <v>1</v>
      </c>
      <c r="Y71" s="51" t="b">
        <v>0</v>
      </c>
      <c r="Z71" s="51" t="b">
        <v>0</v>
      </c>
      <c r="AA71" s="88">
        <v>0.002210648148148148</v>
      </c>
      <c r="AB71" s="69" t="s">
        <v>889</v>
      </c>
      <c r="AC71" s="75"/>
      <c r="AD71" s="73" t="s">
        <v>890</v>
      </c>
      <c r="AE71" s="56" t="s">
        <v>743</v>
      </c>
      <c r="AF71" s="56" t="s">
        <v>630</v>
      </c>
    </row>
    <row r="72" ht="18.75" customHeight="1">
      <c r="A72" s="52" t="s">
        <v>891</v>
      </c>
      <c r="B72" s="52" t="s">
        <v>607</v>
      </c>
      <c r="C72" s="52" t="s">
        <v>607</v>
      </c>
      <c r="D72" s="65" t="s">
        <v>607</v>
      </c>
      <c r="E72" s="65" t="s">
        <v>607</v>
      </c>
      <c r="F72" s="65" t="s">
        <v>607</v>
      </c>
      <c r="G72" s="65" t="s">
        <v>607</v>
      </c>
      <c r="H72" s="52" t="s">
        <v>607</v>
      </c>
      <c r="I72" s="52" t="s">
        <v>607</v>
      </c>
      <c r="J72" s="52" t="s">
        <v>607</v>
      </c>
      <c r="K72" s="52" t="s">
        <v>607</v>
      </c>
      <c r="L72" s="52" t="s">
        <v>607</v>
      </c>
      <c r="M72" s="52" t="s">
        <v>607</v>
      </c>
      <c r="N72" s="52" t="s">
        <v>607</v>
      </c>
      <c r="O72" s="52"/>
      <c r="P72" s="52"/>
      <c r="Q72" s="52"/>
      <c r="R72" s="51" t="b">
        <v>0</v>
      </c>
      <c r="S72" s="51"/>
      <c r="T72" s="52"/>
      <c r="U72" s="51" t="b">
        <v>0</v>
      </c>
      <c r="V72" s="51" t="b">
        <v>0</v>
      </c>
      <c r="W72" s="51" t="b">
        <v>0</v>
      </c>
      <c r="X72" s="51" t="b">
        <v>0</v>
      </c>
      <c r="Y72" s="51" t="b">
        <v>0</v>
      </c>
      <c r="Z72" s="51" t="b">
        <v>0</v>
      </c>
      <c r="AA72" s="68"/>
      <c r="AB72" s="52"/>
      <c r="AC72" s="52"/>
      <c r="AD72" s="52"/>
      <c r="AE72" s="56" t="s">
        <v>607</v>
      </c>
      <c r="AF72" s="56" t="s">
        <v>607</v>
      </c>
    </row>
    <row r="73" ht="18.0" customHeight="1">
      <c r="A73" s="52" t="s">
        <v>895</v>
      </c>
      <c r="B73" s="52" t="s">
        <v>14</v>
      </c>
      <c r="C73" s="52" t="s">
        <v>221</v>
      </c>
      <c r="D73" s="65">
        <v>0.5738194444444445</v>
      </c>
      <c r="E73" s="65">
        <v>0.0020833333333333333</v>
      </c>
      <c r="F73" s="65">
        <v>0.5759027777777779</v>
      </c>
      <c r="G73" s="65"/>
      <c r="H73" s="52" t="s">
        <v>83</v>
      </c>
      <c r="I73" s="52" t="s">
        <v>287</v>
      </c>
      <c r="J73" s="52"/>
      <c r="K73" s="52"/>
      <c r="L73" s="52"/>
      <c r="M73" s="52"/>
      <c r="N73" s="52" t="s">
        <v>70</v>
      </c>
      <c r="O73" s="52"/>
      <c r="P73" s="69" t="s">
        <v>30</v>
      </c>
      <c r="Q73" s="80" t="s">
        <v>896</v>
      </c>
      <c r="R73" s="51" t="b">
        <v>1</v>
      </c>
      <c r="S73" s="84" t="s">
        <v>287</v>
      </c>
      <c r="T73" s="52"/>
      <c r="U73" s="51" t="b">
        <v>0</v>
      </c>
      <c r="V73" s="51" t="b">
        <v>0</v>
      </c>
      <c r="W73" s="51" t="b">
        <v>0</v>
      </c>
      <c r="X73" s="51" t="b">
        <v>0</v>
      </c>
      <c r="Y73" s="51" t="b">
        <v>0</v>
      </c>
      <c r="Z73" s="51" t="b">
        <v>0</v>
      </c>
      <c r="AA73" s="68"/>
      <c r="AB73" s="52"/>
      <c r="AC73" s="52"/>
      <c r="AD73" s="52"/>
      <c r="AE73" s="56"/>
      <c r="AF73" s="56"/>
    </row>
    <row r="74">
      <c r="A74" s="52" t="s">
        <v>897</v>
      </c>
      <c r="B74" s="52" t="s">
        <v>607</v>
      </c>
      <c r="C74" s="52" t="s">
        <v>607</v>
      </c>
      <c r="D74" s="65" t="s">
        <v>607</v>
      </c>
      <c r="E74" s="65" t="s">
        <v>607</v>
      </c>
      <c r="F74" s="65" t="s">
        <v>607</v>
      </c>
      <c r="G74" s="65" t="s">
        <v>607</v>
      </c>
      <c r="H74" s="52" t="s">
        <v>607</v>
      </c>
      <c r="I74" s="52" t="s">
        <v>607</v>
      </c>
      <c r="J74" s="52" t="s">
        <v>607</v>
      </c>
      <c r="K74" s="52" t="s">
        <v>607</v>
      </c>
      <c r="L74" s="52" t="s">
        <v>607</v>
      </c>
      <c r="M74" s="52" t="s">
        <v>607</v>
      </c>
      <c r="N74" s="52" t="s">
        <v>607</v>
      </c>
      <c r="O74" s="52"/>
      <c r="P74" s="52"/>
      <c r="Q74" s="69" t="s">
        <v>898</v>
      </c>
      <c r="R74" s="51" t="b">
        <v>0</v>
      </c>
      <c r="S74" s="51"/>
      <c r="T74" s="52"/>
      <c r="U74" s="51" t="b">
        <v>0</v>
      </c>
      <c r="V74" s="51" t="b">
        <v>0</v>
      </c>
      <c r="W74" s="51" t="b">
        <v>0</v>
      </c>
      <c r="X74" s="51" t="b">
        <v>0</v>
      </c>
      <c r="Y74" s="51" t="b">
        <v>0</v>
      </c>
      <c r="Z74" s="51" t="b">
        <v>0</v>
      </c>
      <c r="AA74" s="68"/>
      <c r="AB74" s="52"/>
      <c r="AC74" s="52"/>
      <c r="AD74" s="52"/>
      <c r="AE74" s="56" t="s">
        <v>607</v>
      </c>
      <c r="AF74" s="56" t="s">
        <v>607</v>
      </c>
    </row>
    <row r="75" ht="18.75" customHeight="1">
      <c r="A75" s="52" t="s">
        <v>899</v>
      </c>
      <c r="B75" s="52" t="s">
        <v>607</v>
      </c>
      <c r="C75" s="52" t="s">
        <v>607</v>
      </c>
      <c r="D75" s="65" t="s">
        <v>607</v>
      </c>
      <c r="E75" s="65" t="s">
        <v>607</v>
      </c>
      <c r="F75" s="65" t="s">
        <v>607</v>
      </c>
      <c r="G75" s="65" t="s">
        <v>607</v>
      </c>
      <c r="H75" s="52" t="s">
        <v>607</v>
      </c>
      <c r="I75" s="52" t="s">
        <v>607</v>
      </c>
      <c r="J75" s="52" t="s">
        <v>607</v>
      </c>
      <c r="K75" s="52" t="s">
        <v>607</v>
      </c>
      <c r="L75" s="52" t="s">
        <v>607</v>
      </c>
      <c r="M75" s="52" t="s">
        <v>607</v>
      </c>
      <c r="N75" s="52" t="s">
        <v>607</v>
      </c>
      <c r="O75" s="52"/>
      <c r="P75" s="52"/>
      <c r="Q75" s="52"/>
      <c r="R75" s="51" t="b">
        <v>0</v>
      </c>
      <c r="S75" s="51"/>
      <c r="T75" s="52"/>
      <c r="U75" s="51" t="b">
        <v>0</v>
      </c>
      <c r="V75" s="51" t="b">
        <v>0</v>
      </c>
      <c r="W75" s="51" t="b">
        <v>0</v>
      </c>
      <c r="X75" s="51" t="b">
        <v>0</v>
      </c>
      <c r="Y75" s="51" t="b">
        <v>0</v>
      </c>
      <c r="Z75" s="51" t="b">
        <v>0</v>
      </c>
      <c r="AA75" s="68"/>
      <c r="AB75" s="52"/>
      <c r="AC75" s="52"/>
      <c r="AD75" s="52"/>
      <c r="AE75" s="56" t="s">
        <v>607</v>
      </c>
      <c r="AF75" s="56" t="s">
        <v>607</v>
      </c>
    </row>
    <row r="76">
      <c r="A76" s="52" t="s">
        <v>905</v>
      </c>
      <c r="B76" s="52" t="s">
        <v>607</v>
      </c>
      <c r="C76" s="52" t="s">
        <v>607</v>
      </c>
      <c r="D76" s="65" t="s">
        <v>607</v>
      </c>
      <c r="E76" s="65" t="s">
        <v>607</v>
      </c>
      <c r="F76" s="65" t="s">
        <v>607</v>
      </c>
      <c r="G76" s="65" t="s">
        <v>607</v>
      </c>
      <c r="H76" s="52" t="s">
        <v>607</v>
      </c>
      <c r="I76" s="52" t="s">
        <v>607</v>
      </c>
      <c r="J76" s="52" t="s">
        <v>607</v>
      </c>
      <c r="K76" s="52" t="s">
        <v>607</v>
      </c>
      <c r="L76" s="52" t="s">
        <v>607</v>
      </c>
      <c r="M76" s="52" t="s">
        <v>607</v>
      </c>
      <c r="N76" s="52" t="s">
        <v>607</v>
      </c>
      <c r="O76" s="52"/>
      <c r="P76" s="52"/>
      <c r="Q76" s="52"/>
      <c r="R76" s="51" t="b">
        <v>0</v>
      </c>
      <c r="S76" s="51"/>
      <c r="T76" s="52"/>
      <c r="U76" s="51" t="b">
        <v>0</v>
      </c>
      <c r="V76" s="51" t="b">
        <v>0</v>
      </c>
      <c r="W76" s="51" t="b">
        <v>0</v>
      </c>
      <c r="X76" s="51" t="b">
        <v>0</v>
      </c>
      <c r="Y76" s="51" t="b">
        <v>0</v>
      </c>
      <c r="Z76" s="51" t="b">
        <v>0</v>
      </c>
      <c r="AA76" s="68"/>
      <c r="AB76" s="52"/>
      <c r="AC76" s="52"/>
      <c r="AD76" s="52"/>
      <c r="AE76" s="56" t="s">
        <v>607</v>
      </c>
      <c r="AF76" s="56" t="s">
        <v>607</v>
      </c>
    </row>
    <row r="77">
      <c r="A77" s="52" t="s">
        <v>906</v>
      </c>
      <c r="B77" s="52" t="s">
        <v>607</v>
      </c>
      <c r="C77" s="52" t="s">
        <v>607</v>
      </c>
      <c r="D77" s="65" t="s">
        <v>607</v>
      </c>
      <c r="E77" s="65" t="s">
        <v>607</v>
      </c>
      <c r="F77" s="65" t="s">
        <v>607</v>
      </c>
      <c r="G77" s="65" t="s">
        <v>607</v>
      </c>
      <c r="H77" s="52" t="s">
        <v>607</v>
      </c>
      <c r="I77" s="52" t="s">
        <v>607</v>
      </c>
      <c r="J77" s="52" t="s">
        <v>607</v>
      </c>
      <c r="K77" s="52" t="s">
        <v>607</v>
      </c>
      <c r="L77" s="52" t="s">
        <v>607</v>
      </c>
      <c r="M77" s="52" t="s">
        <v>607</v>
      </c>
      <c r="N77" s="52" t="s">
        <v>607</v>
      </c>
      <c r="O77" s="52"/>
      <c r="P77" s="52"/>
      <c r="Q77" s="52"/>
      <c r="R77" s="51" t="b">
        <v>0</v>
      </c>
      <c r="S77" s="51"/>
      <c r="T77" s="52"/>
      <c r="U77" s="51" t="b">
        <v>0</v>
      </c>
      <c r="V77" s="51" t="b">
        <v>0</v>
      </c>
      <c r="W77" s="51" t="b">
        <v>0</v>
      </c>
      <c r="X77" s="51" t="b">
        <v>0</v>
      </c>
      <c r="Y77" s="51" t="b">
        <v>0</v>
      </c>
      <c r="Z77" s="51" t="b">
        <v>0</v>
      </c>
      <c r="AA77" s="68"/>
      <c r="AB77" s="52"/>
      <c r="AC77" s="52"/>
      <c r="AD77" s="52"/>
      <c r="AE77" s="56" t="s">
        <v>607</v>
      </c>
      <c r="AF77" s="56" t="s">
        <v>607</v>
      </c>
    </row>
    <row r="78">
      <c r="A78" s="52" t="s">
        <v>911</v>
      </c>
      <c r="B78" s="52" t="s">
        <v>607</v>
      </c>
      <c r="C78" s="52" t="s">
        <v>607</v>
      </c>
      <c r="D78" s="65" t="s">
        <v>607</v>
      </c>
      <c r="E78" s="65" t="s">
        <v>607</v>
      </c>
      <c r="F78" s="65" t="s">
        <v>607</v>
      </c>
      <c r="G78" s="65" t="s">
        <v>607</v>
      </c>
      <c r="H78" s="52" t="s">
        <v>607</v>
      </c>
      <c r="I78" s="52" t="s">
        <v>607</v>
      </c>
      <c r="J78" s="52" t="s">
        <v>607</v>
      </c>
      <c r="K78" s="52" t="s">
        <v>607</v>
      </c>
      <c r="L78" s="52" t="s">
        <v>607</v>
      </c>
      <c r="M78" s="52" t="s">
        <v>607</v>
      </c>
      <c r="N78" s="52" t="s">
        <v>607</v>
      </c>
      <c r="O78" s="52"/>
      <c r="P78" s="52"/>
      <c r="Q78" s="52"/>
      <c r="R78" s="51" t="b">
        <v>0</v>
      </c>
      <c r="S78" s="51"/>
      <c r="T78" s="52"/>
      <c r="U78" s="51" t="b">
        <v>0</v>
      </c>
      <c r="V78" s="51" t="b">
        <v>0</v>
      </c>
      <c r="W78" s="51" t="b">
        <v>0</v>
      </c>
      <c r="X78" s="51" t="b">
        <v>0</v>
      </c>
      <c r="Y78" s="51" t="b">
        <v>0</v>
      </c>
      <c r="Z78" s="51" t="b">
        <v>0</v>
      </c>
      <c r="AA78" s="68"/>
      <c r="AB78" s="52"/>
      <c r="AC78" s="52"/>
      <c r="AD78" s="52"/>
      <c r="AE78" s="56" t="s">
        <v>607</v>
      </c>
      <c r="AF78" s="56" t="s">
        <v>607</v>
      </c>
    </row>
    <row r="79">
      <c r="A79" s="52" t="s">
        <v>912</v>
      </c>
      <c r="B79" s="52" t="s">
        <v>14</v>
      </c>
      <c r="C79" s="52" t="s">
        <v>66</v>
      </c>
      <c r="D79" s="65">
        <v>0.589710648148148</v>
      </c>
      <c r="E79" s="65">
        <v>6.944444444444445E-4</v>
      </c>
      <c r="F79" s="65">
        <v>0.5904050925925924</v>
      </c>
      <c r="G79" s="65"/>
      <c r="H79" s="52" t="s">
        <v>103</v>
      </c>
      <c r="I79" s="52" t="s">
        <v>168</v>
      </c>
      <c r="J79" s="52" t="s">
        <v>128</v>
      </c>
      <c r="K79" s="52"/>
      <c r="L79" s="52"/>
      <c r="M79" s="52"/>
      <c r="N79" s="52"/>
      <c r="O79" s="52"/>
      <c r="P79" s="52"/>
      <c r="Q79" s="52"/>
      <c r="R79" s="51" t="b">
        <v>0</v>
      </c>
      <c r="S79" s="51"/>
      <c r="T79" s="52"/>
      <c r="U79" s="51" t="b">
        <v>0</v>
      </c>
      <c r="V79" s="51" t="b">
        <v>0</v>
      </c>
      <c r="W79" s="51" t="b">
        <v>0</v>
      </c>
      <c r="X79" s="51" t="b">
        <v>0</v>
      </c>
      <c r="Y79" s="51" t="b">
        <v>0</v>
      </c>
      <c r="Z79" s="51" t="b">
        <v>0</v>
      </c>
      <c r="AA79" s="68"/>
      <c r="AB79" s="52"/>
      <c r="AC79" s="52"/>
      <c r="AD79" s="52"/>
      <c r="AE79" s="56"/>
      <c r="AF79" s="56"/>
    </row>
    <row r="80">
      <c r="A80" s="52" t="s">
        <v>913</v>
      </c>
      <c r="B80" s="52" t="s">
        <v>14</v>
      </c>
      <c r="C80" s="52" t="s">
        <v>221</v>
      </c>
      <c r="D80" s="65">
        <v>0.5423379629629633</v>
      </c>
      <c r="E80" s="65">
        <v>0.008969907407407407</v>
      </c>
      <c r="F80" s="65">
        <v>0.5513078703703708</v>
      </c>
      <c r="G80" s="65"/>
      <c r="H80" s="52" t="s">
        <v>165</v>
      </c>
      <c r="I80" s="52" t="s">
        <v>272</v>
      </c>
      <c r="J80" s="52" t="s">
        <v>273</v>
      </c>
      <c r="K80" s="52"/>
      <c r="L80" s="52"/>
      <c r="M80" s="52"/>
      <c r="N80" s="52" t="s">
        <v>70</v>
      </c>
      <c r="O80" s="69" t="s">
        <v>884</v>
      </c>
      <c r="P80" s="69" t="s">
        <v>30</v>
      </c>
      <c r="Q80" s="80" t="s">
        <v>914</v>
      </c>
      <c r="R80" s="51" t="b">
        <v>1</v>
      </c>
      <c r="S80" s="52" t="s">
        <v>272</v>
      </c>
      <c r="T80" s="52"/>
      <c r="U80" s="51" t="b">
        <v>0</v>
      </c>
      <c r="V80" s="51" t="b">
        <v>1</v>
      </c>
      <c r="W80" s="51" t="b">
        <v>1</v>
      </c>
      <c r="X80" s="51" t="b">
        <v>1</v>
      </c>
      <c r="Y80" s="51" t="b">
        <v>0</v>
      </c>
      <c r="Z80" s="51" t="b">
        <v>0</v>
      </c>
      <c r="AA80" s="71">
        <v>0.008969907407407407</v>
      </c>
      <c r="AB80" s="69" t="s">
        <v>917</v>
      </c>
      <c r="AC80" s="75"/>
      <c r="AD80" s="73" t="s">
        <v>918</v>
      </c>
      <c r="AE80" s="56" t="s">
        <v>743</v>
      </c>
      <c r="AF80" s="56" t="s">
        <v>653</v>
      </c>
    </row>
    <row r="81">
      <c r="A81" s="52" t="s">
        <v>919</v>
      </c>
      <c r="B81" s="52" t="s">
        <v>607</v>
      </c>
      <c r="C81" s="52" t="s">
        <v>607</v>
      </c>
      <c r="D81" s="65" t="s">
        <v>607</v>
      </c>
      <c r="E81" s="65" t="s">
        <v>607</v>
      </c>
      <c r="F81" s="65" t="s">
        <v>607</v>
      </c>
      <c r="G81" s="65" t="s">
        <v>607</v>
      </c>
      <c r="H81" s="52" t="s">
        <v>607</v>
      </c>
      <c r="I81" s="52" t="s">
        <v>607</v>
      </c>
      <c r="J81" s="52" t="s">
        <v>607</v>
      </c>
      <c r="K81" s="52" t="s">
        <v>607</v>
      </c>
      <c r="L81" s="52" t="s">
        <v>607</v>
      </c>
      <c r="M81" s="52" t="s">
        <v>607</v>
      </c>
      <c r="N81" s="52" t="s">
        <v>607</v>
      </c>
      <c r="O81" s="52"/>
      <c r="P81" s="52"/>
      <c r="Q81" s="52"/>
      <c r="R81" s="51" t="b">
        <v>0</v>
      </c>
      <c r="S81" s="51"/>
      <c r="T81" s="52"/>
      <c r="U81" s="51" t="b">
        <v>0</v>
      </c>
      <c r="V81" s="51" t="b">
        <v>0</v>
      </c>
      <c r="W81" s="51" t="b">
        <v>0</v>
      </c>
      <c r="X81" s="51" t="b">
        <v>0</v>
      </c>
      <c r="Y81" s="51" t="b">
        <v>0</v>
      </c>
      <c r="Z81" s="51" t="b">
        <v>0</v>
      </c>
      <c r="AA81" s="68"/>
      <c r="AB81" s="52"/>
      <c r="AC81" s="52"/>
      <c r="AD81" s="52"/>
      <c r="AE81" s="56" t="s">
        <v>607</v>
      </c>
      <c r="AF81" s="56" t="s">
        <v>607</v>
      </c>
    </row>
    <row r="82">
      <c r="A82" s="52" t="s">
        <v>920</v>
      </c>
      <c r="B82" s="52" t="s">
        <v>14</v>
      </c>
      <c r="C82" s="52" t="s">
        <v>66</v>
      </c>
      <c r="D82" s="65">
        <v>0.5972337962962961</v>
      </c>
      <c r="E82" s="65">
        <v>2.314814814814815E-4</v>
      </c>
      <c r="F82" s="65">
        <v>0.5974652777777776</v>
      </c>
      <c r="G82" s="65"/>
      <c r="H82" s="52" t="s">
        <v>81</v>
      </c>
      <c r="I82" s="52" t="s">
        <v>172</v>
      </c>
      <c r="J82" s="52" t="s">
        <v>128</v>
      </c>
      <c r="K82" s="52"/>
      <c r="L82" s="52"/>
      <c r="M82" s="52"/>
      <c r="N82" s="52" t="s">
        <v>70</v>
      </c>
      <c r="O82" s="52"/>
      <c r="P82" s="52"/>
      <c r="Q82" s="52"/>
      <c r="R82" s="51" t="b">
        <v>0</v>
      </c>
      <c r="S82" s="51"/>
      <c r="T82" s="52"/>
      <c r="U82" s="51" t="b">
        <v>0</v>
      </c>
      <c r="V82" s="51" t="b">
        <v>0</v>
      </c>
      <c r="W82" s="51" t="b">
        <v>0</v>
      </c>
      <c r="X82" s="51" t="b">
        <v>0</v>
      </c>
      <c r="Y82" s="51" t="b">
        <v>0</v>
      </c>
      <c r="Z82" s="51" t="b">
        <v>0</v>
      </c>
      <c r="AA82" s="68"/>
      <c r="AB82" s="52"/>
      <c r="AC82" s="52"/>
      <c r="AD82" s="52"/>
      <c r="AE82" s="56"/>
      <c r="AF82" s="56"/>
    </row>
    <row r="83">
      <c r="A83" s="52" t="s">
        <v>923</v>
      </c>
      <c r="B83" s="52" t="s">
        <v>14</v>
      </c>
      <c r="C83" s="52" t="s">
        <v>66</v>
      </c>
      <c r="D83" s="65">
        <v>0.5974652777777776</v>
      </c>
      <c r="E83" s="65">
        <v>0.0020833333333333333</v>
      </c>
      <c r="F83" s="65">
        <v>0.5995486111111109</v>
      </c>
      <c r="G83" s="65"/>
      <c r="H83" s="52" t="s">
        <v>83</v>
      </c>
      <c r="I83" s="52" t="s">
        <v>173</v>
      </c>
      <c r="J83" s="52"/>
      <c r="K83" s="52"/>
      <c r="L83" s="52"/>
      <c r="M83" s="52"/>
      <c r="N83" s="52"/>
      <c r="O83" s="69" t="s">
        <v>618</v>
      </c>
      <c r="P83" s="69" t="s">
        <v>23</v>
      </c>
      <c r="Q83" s="80" t="s">
        <v>925</v>
      </c>
      <c r="R83" s="51" t="b">
        <v>1</v>
      </c>
      <c r="S83" s="84" t="s">
        <v>173</v>
      </c>
      <c r="T83" s="52"/>
      <c r="U83" s="51" t="b">
        <v>0</v>
      </c>
      <c r="V83" s="51" t="b">
        <v>0</v>
      </c>
      <c r="W83" s="51" t="b">
        <v>0</v>
      </c>
      <c r="X83" s="51" t="b">
        <v>0</v>
      </c>
      <c r="Y83" s="51" t="b">
        <v>1</v>
      </c>
      <c r="Z83" s="51" t="b">
        <v>0</v>
      </c>
      <c r="AA83" s="71">
        <v>0.0020833333333333333</v>
      </c>
      <c r="AB83" s="69" t="s">
        <v>928</v>
      </c>
      <c r="AC83" s="52"/>
      <c r="AD83" s="89"/>
      <c r="AE83" s="56"/>
      <c r="AF83" s="56"/>
    </row>
    <row r="84">
      <c r="A84" s="52" t="s">
        <v>929</v>
      </c>
      <c r="B84" s="52" t="s">
        <v>607</v>
      </c>
      <c r="C84" s="52" t="s">
        <v>607</v>
      </c>
      <c r="D84" s="65" t="s">
        <v>607</v>
      </c>
      <c r="E84" s="65" t="s">
        <v>607</v>
      </c>
      <c r="F84" s="65" t="s">
        <v>607</v>
      </c>
      <c r="G84" s="65" t="s">
        <v>607</v>
      </c>
      <c r="H84" s="52" t="s">
        <v>607</v>
      </c>
      <c r="I84" s="52" t="s">
        <v>607</v>
      </c>
      <c r="J84" s="52" t="s">
        <v>607</v>
      </c>
      <c r="K84" s="52" t="s">
        <v>607</v>
      </c>
      <c r="L84" s="52" t="s">
        <v>607</v>
      </c>
      <c r="M84" s="52" t="s">
        <v>607</v>
      </c>
      <c r="N84" s="52" t="s">
        <v>607</v>
      </c>
      <c r="O84" s="52"/>
      <c r="P84" s="52"/>
      <c r="Q84" s="52"/>
      <c r="R84" s="51" t="b">
        <v>0</v>
      </c>
      <c r="S84" s="51"/>
      <c r="T84" s="52"/>
      <c r="U84" s="51" t="b">
        <v>0</v>
      </c>
      <c r="V84" s="51" t="b">
        <v>0</v>
      </c>
      <c r="W84" s="51" t="b">
        <v>0</v>
      </c>
      <c r="X84" s="51" t="b">
        <v>0</v>
      </c>
      <c r="Y84" s="51" t="b">
        <v>0</v>
      </c>
      <c r="Z84" s="51" t="b">
        <v>0</v>
      </c>
      <c r="AA84" s="68"/>
      <c r="AB84" s="52"/>
      <c r="AC84" s="52"/>
      <c r="AD84" s="52"/>
      <c r="AE84" s="56" t="s">
        <v>607</v>
      </c>
      <c r="AF84" s="56" t="s">
        <v>607</v>
      </c>
    </row>
    <row r="85">
      <c r="A85" s="52" t="s">
        <v>931</v>
      </c>
      <c r="B85" s="52" t="s">
        <v>607</v>
      </c>
      <c r="C85" s="52" t="s">
        <v>607</v>
      </c>
      <c r="D85" s="65" t="s">
        <v>607</v>
      </c>
      <c r="E85" s="65" t="s">
        <v>607</v>
      </c>
      <c r="F85" s="65" t="s">
        <v>607</v>
      </c>
      <c r="G85" s="65" t="s">
        <v>607</v>
      </c>
      <c r="H85" s="52" t="s">
        <v>607</v>
      </c>
      <c r="I85" s="52" t="s">
        <v>607</v>
      </c>
      <c r="J85" s="52" t="s">
        <v>607</v>
      </c>
      <c r="K85" s="52" t="s">
        <v>607</v>
      </c>
      <c r="L85" s="52" t="s">
        <v>607</v>
      </c>
      <c r="M85" s="52" t="s">
        <v>607</v>
      </c>
      <c r="N85" s="52" t="s">
        <v>607</v>
      </c>
      <c r="O85" s="52"/>
      <c r="P85" s="52"/>
      <c r="Q85" s="52"/>
      <c r="R85" s="51" t="b">
        <v>0</v>
      </c>
      <c r="S85" s="51"/>
      <c r="T85" s="52"/>
      <c r="U85" s="51" t="b">
        <v>0</v>
      </c>
      <c r="V85" s="51" t="b">
        <v>0</v>
      </c>
      <c r="W85" s="51" t="b">
        <v>0</v>
      </c>
      <c r="X85" s="51" t="b">
        <v>0</v>
      </c>
      <c r="Y85" s="51" t="b">
        <v>0</v>
      </c>
      <c r="Z85" s="51" t="b">
        <v>0</v>
      </c>
      <c r="AA85" s="68"/>
      <c r="AB85" s="52"/>
      <c r="AC85" s="52"/>
      <c r="AD85" s="52"/>
      <c r="AE85" s="56" t="s">
        <v>607</v>
      </c>
      <c r="AF85" s="56" t="s">
        <v>607</v>
      </c>
    </row>
    <row r="86">
      <c r="A86" s="52" t="s">
        <v>933</v>
      </c>
      <c r="B86" s="52" t="s">
        <v>14</v>
      </c>
      <c r="C86" s="52" t="s">
        <v>66</v>
      </c>
      <c r="D86" s="65">
        <v>0.5998958333333332</v>
      </c>
      <c r="E86" s="65">
        <v>2.314814814814815E-4</v>
      </c>
      <c r="F86" s="65">
        <v>0.6001273148148146</v>
      </c>
      <c r="G86" s="65"/>
      <c r="H86" s="52" t="s">
        <v>81</v>
      </c>
      <c r="I86" s="52" t="s">
        <v>81</v>
      </c>
      <c r="J86" s="52" t="s">
        <v>128</v>
      </c>
      <c r="K86" s="52"/>
      <c r="L86" s="52"/>
      <c r="M86" s="52"/>
      <c r="N86" s="52" t="s">
        <v>70</v>
      </c>
      <c r="O86" s="52"/>
      <c r="P86" s="52"/>
      <c r="Q86" s="52"/>
      <c r="R86" s="51" t="b">
        <v>0</v>
      </c>
      <c r="S86" s="51"/>
      <c r="T86" s="52"/>
      <c r="U86" s="51" t="b">
        <v>0</v>
      </c>
      <c r="V86" s="51" t="b">
        <v>0</v>
      </c>
      <c r="W86" s="51" t="b">
        <v>0</v>
      </c>
      <c r="X86" s="51" t="b">
        <v>0</v>
      </c>
      <c r="Y86" s="51" t="b">
        <v>0</v>
      </c>
      <c r="Z86" s="51" t="b">
        <v>0</v>
      </c>
      <c r="AA86" s="68"/>
      <c r="AB86" s="52"/>
      <c r="AC86" s="52"/>
      <c r="AD86" s="52"/>
      <c r="AE86" s="56"/>
      <c r="AF86" s="56"/>
    </row>
    <row r="87">
      <c r="A87" s="52" t="s">
        <v>936</v>
      </c>
      <c r="B87" s="52" t="s">
        <v>14</v>
      </c>
      <c r="C87" s="52" t="s">
        <v>66</v>
      </c>
      <c r="D87" s="65">
        <v>0.6001273148148146</v>
      </c>
      <c r="E87" s="65">
        <v>0.008240740740740741</v>
      </c>
      <c r="F87" s="65">
        <v>0.6083680555555554</v>
      </c>
      <c r="G87" s="65" t="s">
        <v>164</v>
      </c>
      <c r="H87" s="52" t="s">
        <v>107</v>
      </c>
      <c r="I87" s="52" t="s">
        <v>174</v>
      </c>
      <c r="J87" s="52" t="s">
        <v>175</v>
      </c>
      <c r="K87" s="52" t="s">
        <v>176</v>
      </c>
      <c r="L87" s="52"/>
      <c r="M87" s="52"/>
      <c r="N87" s="52" t="s">
        <v>177</v>
      </c>
      <c r="O87" s="69" t="s">
        <v>734</v>
      </c>
      <c r="P87" s="69" t="s">
        <v>32</v>
      </c>
      <c r="Q87" s="70" t="s">
        <v>938</v>
      </c>
      <c r="R87" s="51" t="b">
        <v>1</v>
      </c>
      <c r="S87" s="52" t="s">
        <v>174</v>
      </c>
      <c r="T87" s="52"/>
      <c r="U87" s="51" t="b">
        <v>0</v>
      </c>
      <c r="V87" s="51" t="b">
        <v>1</v>
      </c>
      <c r="W87" s="51" t="b">
        <v>1</v>
      </c>
      <c r="X87" s="51" t="b">
        <v>1</v>
      </c>
      <c r="Y87" s="51" t="b">
        <v>0</v>
      </c>
      <c r="Z87" s="51" t="b">
        <v>0</v>
      </c>
      <c r="AA87" s="71">
        <v>0.008240740740740741</v>
      </c>
      <c r="AB87" s="69" t="s">
        <v>944</v>
      </c>
      <c r="AC87" s="75"/>
      <c r="AD87" s="73" t="s">
        <v>945</v>
      </c>
      <c r="AE87" s="74" t="s">
        <v>629</v>
      </c>
      <c r="AF87" s="74" t="s">
        <v>946</v>
      </c>
    </row>
    <row r="88">
      <c r="A88" s="52" t="s">
        <v>947</v>
      </c>
      <c r="B88" s="52" t="s">
        <v>607</v>
      </c>
      <c r="C88" s="52" t="s">
        <v>607</v>
      </c>
      <c r="D88" s="65" t="s">
        <v>607</v>
      </c>
      <c r="E88" s="65" t="s">
        <v>607</v>
      </c>
      <c r="F88" s="65" t="s">
        <v>607</v>
      </c>
      <c r="G88" s="65" t="s">
        <v>607</v>
      </c>
      <c r="H88" s="52" t="s">
        <v>607</v>
      </c>
      <c r="I88" s="52" t="s">
        <v>607</v>
      </c>
      <c r="J88" s="52" t="s">
        <v>607</v>
      </c>
      <c r="K88" s="52" t="s">
        <v>607</v>
      </c>
      <c r="L88" s="52" t="s">
        <v>607</v>
      </c>
      <c r="M88" s="52" t="s">
        <v>607</v>
      </c>
      <c r="N88" s="52" t="s">
        <v>607</v>
      </c>
      <c r="O88" s="52"/>
      <c r="P88" s="52"/>
      <c r="Q88" s="52"/>
      <c r="R88" s="51" t="b">
        <v>0</v>
      </c>
      <c r="S88" s="51"/>
      <c r="T88" s="52"/>
      <c r="U88" s="51" t="b">
        <v>0</v>
      </c>
      <c r="V88" s="51" t="b">
        <v>0</v>
      </c>
      <c r="W88" s="51" t="b">
        <v>0</v>
      </c>
      <c r="X88" s="51" t="b">
        <v>0</v>
      </c>
      <c r="Y88" s="51" t="b">
        <v>0</v>
      </c>
      <c r="Z88" s="51" t="b">
        <v>0</v>
      </c>
      <c r="AA88" s="68"/>
      <c r="AB88" s="52"/>
      <c r="AC88" s="52"/>
      <c r="AD88" s="52"/>
      <c r="AE88" s="56" t="s">
        <v>607</v>
      </c>
      <c r="AF88" s="56" t="s">
        <v>607</v>
      </c>
    </row>
    <row r="89">
      <c r="A89" s="52" t="s">
        <v>950</v>
      </c>
      <c r="B89" s="52" t="s">
        <v>607</v>
      </c>
      <c r="C89" s="52" t="s">
        <v>607</v>
      </c>
      <c r="D89" s="65" t="s">
        <v>607</v>
      </c>
      <c r="E89" s="65" t="s">
        <v>607</v>
      </c>
      <c r="F89" s="65" t="s">
        <v>607</v>
      </c>
      <c r="G89" s="65" t="s">
        <v>607</v>
      </c>
      <c r="H89" s="52" t="s">
        <v>607</v>
      </c>
      <c r="I89" s="52" t="s">
        <v>607</v>
      </c>
      <c r="J89" s="52" t="s">
        <v>607</v>
      </c>
      <c r="K89" s="52" t="s">
        <v>607</v>
      </c>
      <c r="L89" s="52" t="s">
        <v>607</v>
      </c>
      <c r="M89" s="52" t="s">
        <v>607</v>
      </c>
      <c r="N89" s="52" t="s">
        <v>607</v>
      </c>
      <c r="O89" s="52"/>
      <c r="P89" s="52"/>
      <c r="Q89" s="52"/>
      <c r="R89" s="51" t="b">
        <v>0</v>
      </c>
      <c r="S89" s="51"/>
      <c r="T89" s="52"/>
      <c r="U89" s="51" t="b">
        <v>0</v>
      </c>
      <c r="V89" s="51" t="b">
        <v>0</v>
      </c>
      <c r="W89" s="51" t="b">
        <v>0</v>
      </c>
      <c r="X89" s="51" t="b">
        <v>0</v>
      </c>
      <c r="Y89" s="51" t="b">
        <v>0</v>
      </c>
      <c r="Z89" s="51" t="b">
        <v>0</v>
      </c>
      <c r="AA89" s="68"/>
      <c r="AB89" s="52"/>
      <c r="AC89" s="52"/>
      <c r="AD89" s="52"/>
      <c r="AE89" s="56" t="s">
        <v>607</v>
      </c>
      <c r="AF89" s="56" t="s">
        <v>607</v>
      </c>
    </row>
    <row r="90">
      <c r="A90" s="52" t="s">
        <v>951</v>
      </c>
      <c r="B90" s="52" t="s">
        <v>14</v>
      </c>
      <c r="C90" s="52" t="s">
        <v>221</v>
      </c>
      <c r="D90" s="65">
        <v>0.6353819444444442</v>
      </c>
      <c r="E90" s="65">
        <v>2.314814814814815E-4</v>
      </c>
      <c r="F90" s="65">
        <v>0.6356134259259256</v>
      </c>
      <c r="G90" s="65"/>
      <c r="H90" s="52" t="s">
        <v>81</v>
      </c>
      <c r="I90" s="52" t="s">
        <v>81</v>
      </c>
      <c r="J90" s="52" t="s">
        <v>92</v>
      </c>
      <c r="K90" s="52"/>
      <c r="L90" s="52"/>
      <c r="M90" s="52"/>
      <c r="N90" s="52" t="s">
        <v>70</v>
      </c>
      <c r="O90" s="52"/>
      <c r="P90" s="52"/>
      <c r="Q90" s="52"/>
      <c r="R90" s="51" t="b">
        <v>0</v>
      </c>
      <c r="S90" s="51"/>
      <c r="T90" s="52"/>
      <c r="U90" s="51" t="b">
        <v>0</v>
      </c>
      <c r="V90" s="51" t="b">
        <v>0</v>
      </c>
      <c r="W90" s="51" t="b">
        <v>0</v>
      </c>
      <c r="X90" s="51" t="b">
        <v>0</v>
      </c>
      <c r="Y90" s="51" t="b">
        <v>0</v>
      </c>
      <c r="Z90" s="51" t="b">
        <v>0</v>
      </c>
      <c r="AA90" s="68"/>
      <c r="AB90" s="52"/>
      <c r="AC90" s="52"/>
      <c r="AD90" s="52"/>
      <c r="AE90" s="56"/>
      <c r="AF90" s="56"/>
    </row>
    <row r="91">
      <c r="A91" s="52" t="s">
        <v>954</v>
      </c>
      <c r="B91" s="52" t="s">
        <v>14</v>
      </c>
      <c r="C91" s="52" t="s">
        <v>66</v>
      </c>
      <c r="D91" s="65">
        <v>0.6302893518518516</v>
      </c>
      <c r="E91" s="65">
        <v>0.008680555555555556</v>
      </c>
      <c r="F91" s="65">
        <v>0.6389699074074072</v>
      </c>
      <c r="G91" s="65" t="s">
        <v>189</v>
      </c>
      <c r="H91" s="52" t="s">
        <v>107</v>
      </c>
      <c r="I91" s="52" t="s">
        <v>190</v>
      </c>
      <c r="J91" s="52" t="s">
        <v>191</v>
      </c>
      <c r="K91" s="52" t="s">
        <v>192</v>
      </c>
      <c r="L91" s="52"/>
      <c r="M91" s="52"/>
      <c r="N91" s="52" t="s">
        <v>193</v>
      </c>
      <c r="O91" s="69" t="s">
        <v>955</v>
      </c>
      <c r="P91" s="69" t="s">
        <v>32</v>
      </c>
      <c r="Q91" s="73" t="s">
        <v>956</v>
      </c>
      <c r="R91" s="51" t="b">
        <v>1</v>
      </c>
      <c r="S91" s="52" t="s">
        <v>190</v>
      </c>
      <c r="T91" s="52"/>
      <c r="U91" s="51" t="b">
        <v>0</v>
      </c>
      <c r="V91" s="51" t="b">
        <v>1</v>
      </c>
      <c r="W91" s="51" t="b">
        <v>1</v>
      </c>
      <c r="X91" s="51" t="b">
        <v>1</v>
      </c>
      <c r="Y91" s="51" t="b">
        <v>0</v>
      </c>
      <c r="Z91" s="51" t="b">
        <v>0</v>
      </c>
      <c r="AA91" s="71">
        <v>0.009085648148148148</v>
      </c>
      <c r="AB91" s="69" t="s">
        <v>957</v>
      </c>
      <c r="AC91" s="75"/>
      <c r="AD91" s="73" t="s">
        <v>958</v>
      </c>
      <c r="AE91" s="56" t="s">
        <v>629</v>
      </c>
      <c r="AF91" s="56" t="s">
        <v>946</v>
      </c>
    </row>
    <row r="92">
      <c r="A92" s="52" t="s">
        <v>961</v>
      </c>
      <c r="B92" s="52" t="s">
        <v>607</v>
      </c>
      <c r="C92" s="52" t="s">
        <v>607</v>
      </c>
      <c r="D92" s="65" t="s">
        <v>607</v>
      </c>
      <c r="E92" s="65" t="s">
        <v>607</v>
      </c>
      <c r="F92" s="65" t="s">
        <v>607</v>
      </c>
      <c r="G92" s="65" t="s">
        <v>607</v>
      </c>
      <c r="H92" s="52" t="s">
        <v>607</v>
      </c>
      <c r="I92" s="52" t="s">
        <v>607</v>
      </c>
      <c r="J92" s="52" t="s">
        <v>607</v>
      </c>
      <c r="K92" s="52" t="s">
        <v>607</v>
      </c>
      <c r="L92" s="52" t="s">
        <v>607</v>
      </c>
      <c r="M92" s="52" t="s">
        <v>607</v>
      </c>
      <c r="N92" s="52" t="s">
        <v>607</v>
      </c>
      <c r="O92" s="52"/>
      <c r="P92" s="52"/>
      <c r="Q92" s="52"/>
      <c r="R92" s="51" t="b">
        <v>0</v>
      </c>
      <c r="S92" s="51"/>
      <c r="T92" s="52"/>
      <c r="U92" s="51" t="b">
        <v>0</v>
      </c>
      <c r="V92" s="51" t="b">
        <v>0</v>
      </c>
      <c r="W92" s="51" t="b">
        <v>0</v>
      </c>
      <c r="X92" s="51" t="b">
        <v>0</v>
      </c>
      <c r="Y92" s="51" t="b">
        <v>0</v>
      </c>
      <c r="Z92" s="51" t="b">
        <v>0</v>
      </c>
      <c r="AA92" s="68"/>
      <c r="AB92" s="52"/>
      <c r="AC92" s="52"/>
      <c r="AD92" s="52"/>
      <c r="AE92" s="56" t="s">
        <v>607</v>
      </c>
      <c r="AF92" s="56" t="s">
        <v>607</v>
      </c>
    </row>
    <row r="93">
      <c r="A93" s="52" t="s">
        <v>962</v>
      </c>
      <c r="B93" s="52" t="s">
        <v>785</v>
      </c>
      <c r="C93" s="52" t="s">
        <v>289</v>
      </c>
      <c r="D93" s="65">
        <v>0.6630671296296299</v>
      </c>
      <c r="E93" s="65">
        <v>3.4722222222222224E-4</v>
      </c>
      <c r="F93" s="65">
        <v>0.6634143518518522</v>
      </c>
      <c r="G93" s="65"/>
      <c r="H93" s="52" t="s">
        <v>81</v>
      </c>
      <c r="I93" s="52" t="s">
        <v>81</v>
      </c>
      <c r="J93" s="52" t="s">
        <v>105</v>
      </c>
      <c r="K93" s="52"/>
      <c r="L93" s="52"/>
      <c r="M93" s="52"/>
      <c r="N93" s="52" t="s">
        <v>70</v>
      </c>
      <c r="O93" s="52"/>
      <c r="P93" s="52"/>
      <c r="Q93" s="52"/>
      <c r="R93" s="51" t="b">
        <v>0</v>
      </c>
      <c r="S93" s="51"/>
      <c r="T93" s="52"/>
      <c r="U93" s="51" t="b">
        <v>0</v>
      </c>
      <c r="V93" s="51" t="b">
        <v>0</v>
      </c>
      <c r="W93" s="51" t="b">
        <v>0</v>
      </c>
      <c r="X93" s="51" t="b">
        <v>0</v>
      </c>
      <c r="Y93" s="51" t="b">
        <v>0</v>
      </c>
      <c r="Z93" s="51" t="b">
        <v>0</v>
      </c>
      <c r="AA93" s="68"/>
      <c r="AB93" s="52"/>
      <c r="AC93" s="52"/>
      <c r="AD93" s="52"/>
      <c r="AE93" s="56"/>
      <c r="AF93" s="56"/>
    </row>
    <row r="94">
      <c r="A94" s="52" t="s">
        <v>965</v>
      </c>
      <c r="B94" s="52" t="s">
        <v>14</v>
      </c>
      <c r="C94" s="52" t="s">
        <v>66</v>
      </c>
      <c r="D94" s="65">
        <v>0.5836689814814814</v>
      </c>
      <c r="E94" s="65">
        <v>0.0060416666666666665</v>
      </c>
      <c r="F94" s="65">
        <v>0.589710648148148</v>
      </c>
      <c r="G94" s="65" t="s">
        <v>164</v>
      </c>
      <c r="H94" s="52" t="s">
        <v>165</v>
      </c>
      <c r="I94" s="52" t="s">
        <v>166</v>
      </c>
      <c r="J94" s="52" t="s">
        <v>167</v>
      </c>
      <c r="K94" s="52"/>
      <c r="L94" s="52"/>
      <c r="M94" s="52"/>
      <c r="N94" s="52" t="s">
        <v>70</v>
      </c>
      <c r="O94" s="52"/>
      <c r="P94" s="69" t="s">
        <v>20</v>
      </c>
      <c r="Q94" s="73" t="s">
        <v>966</v>
      </c>
      <c r="R94" s="51" t="b">
        <v>1</v>
      </c>
      <c r="S94" s="51" t="s">
        <v>166</v>
      </c>
      <c r="T94" s="52"/>
      <c r="U94" s="51" t="b">
        <v>0</v>
      </c>
      <c r="V94" s="51" t="b">
        <v>1</v>
      </c>
      <c r="W94" s="51" t="b">
        <v>1</v>
      </c>
      <c r="X94" s="51" t="b">
        <v>1</v>
      </c>
      <c r="Y94" s="51" t="b">
        <v>0</v>
      </c>
      <c r="Z94" s="51" t="b">
        <v>0</v>
      </c>
      <c r="AA94" s="71">
        <v>0.006030092592592593</v>
      </c>
      <c r="AB94" s="69" t="s">
        <v>970</v>
      </c>
      <c r="AC94" s="75"/>
      <c r="AD94" s="73" t="s">
        <v>971</v>
      </c>
      <c r="AE94" s="56" t="s">
        <v>743</v>
      </c>
      <c r="AF94" s="56" t="s">
        <v>972</v>
      </c>
    </row>
    <row r="95">
      <c r="A95" s="52" t="s">
        <v>973</v>
      </c>
      <c r="B95" s="52" t="s">
        <v>785</v>
      </c>
      <c r="C95" s="52" t="s">
        <v>289</v>
      </c>
      <c r="D95" s="65">
        <v>0.6703587962962966</v>
      </c>
      <c r="E95" s="65">
        <v>1.7361111111111112E-4</v>
      </c>
      <c r="F95" s="65">
        <v>0.6705324074074077</v>
      </c>
      <c r="G95" s="65"/>
      <c r="H95" s="52" t="s">
        <v>85</v>
      </c>
      <c r="I95" s="52" t="s">
        <v>974</v>
      </c>
      <c r="J95" s="52" t="s">
        <v>128</v>
      </c>
      <c r="K95" s="52"/>
      <c r="L95" s="52"/>
      <c r="M95" s="52"/>
      <c r="N95" s="52" t="s">
        <v>70</v>
      </c>
      <c r="O95" s="52"/>
      <c r="P95" s="52"/>
      <c r="Q95" s="52"/>
      <c r="R95" s="51" t="b">
        <v>0</v>
      </c>
      <c r="S95" s="51"/>
      <c r="T95" s="52"/>
      <c r="U95" s="51" t="b">
        <v>0</v>
      </c>
      <c r="V95" s="51" t="b">
        <v>0</v>
      </c>
      <c r="W95" s="51" t="b">
        <v>0</v>
      </c>
      <c r="X95" s="51" t="b">
        <v>0</v>
      </c>
      <c r="Y95" s="51" t="b">
        <v>0</v>
      </c>
      <c r="Z95" s="51" t="b">
        <v>0</v>
      </c>
      <c r="AA95" s="68"/>
      <c r="AB95" s="52"/>
      <c r="AC95" s="52"/>
      <c r="AD95" s="52"/>
      <c r="AE95" s="56"/>
      <c r="AF95" s="56"/>
    </row>
    <row r="96">
      <c r="A96" s="52" t="s">
        <v>978</v>
      </c>
      <c r="B96" s="52" t="s">
        <v>14</v>
      </c>
      <c r="C96" s="52" t="s">
        <v>66</v>
      </c>
      <c r="D96" s="65"/>
      <c r="E96" s="65"/>
      <c r="F96" s="65"/>
      <c r="G96" s="65"/>
      <c r="H96" s="52"/>
      <c r="I96" s="52"/>
      <c r="J96" s="52"/>
      <c r="K96" s="52"/>
      <c r="L96" s="52"/>
      <c r="M96" s="52"/>
      <c r="N96" s="52" t="s">
        <v>70</v>
      </c>
      <c r="O96" s="52"/>
      <c r="P96" s="52"/>
      <c r="Q96" s="52"/>
      <c r="R96" s="51" t="b">
        <v>0</v>
      </c>
      <c r="S96" s="51"/>
      <c r="T96" s="52"/>
      <c r="U96" s="51" t="b">
        <v>0</v>
      </c>
      <c r="V96" s="51" t="b">
        <v>0</v>
      </c>
      <c r="W96" s="51" t="b">
        <v>0</v>
      </c>
      <c r="X96" s="51" t="b">
        <v>0</v>
      </c>
      <c r="Y96" s="51" t="b">
        <v>0</v>
      </c>
      <c r="Z96" s="51" t="b">
        <v>0</v>
      </c>
      <c r="AA96" s="68"/>
      <c r="AB96" s="52"/>
      <c r="AC96" s="52"/>
      <c r="AD96" s="52"/>
      <c r="AE96" s="56"/>
      <c r="AF96" s="56"/>
    </row>
    <row r="97">
      <c r="A97" s="52" t="s">
        <v>980</v>
      </c>
      <c r="B97" s="52" t="s">
        <v>607</v>
      </c>
      <c r="C97" s="52" t="s">
        <v>607</v>
      </c>
      <c r="D97" s="65" t="s">
        <v>607</v>
      </c>
      <c r="E97" s="65" t="s">
        <v>607</v>
      </c>
      <c r="F97" s="65" t="s">
        <v>607</v>
      </c>
      <c r="G97" s="65" t="s">
        <v>607</v>
      </c>
      <c r="H97" s="52" t="s">
        <v>607</v>
      </c>
      <c r="I97" s="52" t="s">
        <v>607</v>
      </c>
      <c r="J97" s="52" t="s">
        <v>607</v>
      </c>
      <c r="K97" s="52" t="s">
        <v>607</v>
      </c>
      <c r="L97" s="52" t="s">
        <v>607</v>
      </c>
      <c r="M97" s="52" t="s">
        <v>607</v>
      </c>
      <c r="N97" s="52" t="s">
        <v>607</v>
      </c>
      <c r="O97" s="52"/>
      <c r="P97" s="52"/>
      <c r="Q97" s="52"/>
      <c r="R97" s="51" t="b">
        <v>0</v>
      </c>
      <c r="S97" s="51"/>
      <c r="T97" s="52"/>
      <c r="U97" s="51" t="b">
        <v>0</v>
      </c>
      <c r="V97" s="51" t="b">
        <v>0</v>
      </c>
      <c r="W97" s="51" t="b">
        <v>0</v>
      </c>
      <c r="X97" s="51" t="b">
        <v>0</v>
      </c>
      <c r="Y97" s="51" t="b">
        <v>0</v>
      </c>
      <c r="Z97" s="51" t="b">
        <v>0</v>
      </c>
      <c r="AA97" s="68"/>
      <c r="AB97" s="52"/>
      <c r="AC97" s="52"/>
      <c r="AD97" s="52"/>
      <c r="AE97" s="56" t="s">
        <v>607</v>
      </c>
      <c r="AF97" s="56" t="s">
        <v>607</v>
      </c>
    </row>
    <row r="98">
      <c r="A98" s="52" t="s">
        <v>983</v>
      </c>
      <c r="B98" s="52" t="s">
        <v>14</v>
      </c>
      <c r="C98" s="52" t="s">
        <v>289</v>
      </c>
      <c r="D98" s="65">
        <v>0.6599074074074065</v>
      </c>
      <c r="E98" s="65">
        <v>2.314814814814815E-4</v>
      </c>
      <c r="F98" s="65">
        <v>0.6601388888888879</v>
      </c>
      <c r="G98" s="65"/>
      <c r="H98" s="52" t="s">
        <v>81</v>
      </c>
      <c r="I98" s="52" t="s">
        <v>81</v>
      </c>
      <c r="J98" s="52" t="s">
        <v>92</v>
      </c>
      <c r="K98" s="52"/>
      <c r="L98" s="52"/>
      <c r="M98" s="52"/>
      <c r="N98" s="52" t="s">
        <v>70</v>
      </c>
      <c r="O98" s="52"/>
      <c r="P98" s="52"/>
      <c r="Q98" s="52"/>
      <c r="R98" s="51" t="b">
        <v>0</v>
      </c>
      <c r="S98" s="51"/>
      <c r="T98" s="52"/>
      <c r="U98" s="51" t="b">
        <v>0</v>
      </c>
      <c r="V98" s="51" t="b">
        <v>0</v>
      </c>
      <c r="W98" s="51" t="b">
        <v>0</v>
      </c>
      <c r="X98" s="51" t="b">
        <v>0</v>
      </c>
      <c r="Y98" s="51" t="b">
        <v>0</v>
      </c>
      <c r="Z98" s="51" t="b">
        <v>0</v>
      </c>
      <c r="AA98" s="68"/>
      <c r="AB98" s="52"/>
      <c r="AC98" s="52"/>
      <c r="AD98" s="52"/>
      <c r="AE98" s="56"/>
      <c r="AF98" s="56"/>
    </row>
    <row r="99">
      <c r="A99" s="52" t="s">
        <v>986</v>
      </c>
      <c r="B99" s="52" t="s">
        <v>14</v>
      </c>
      <c r="C99" s="52" t="s">
        <v>289</v>
      </c>
      <c r="D99" s="65">
        <v>0.6601388888888879</v>
      </c>
      <c r="E99" s="65">
        <v>0.008206018518518519</v>
      </c>
      <c r="F99" s="65">
        <v>0.6683449074074065</v>
      </c>
      <c r="G99" s="65" t="s">
        <v>358</v>
      </c>
      <c r="H99" s="52" t="s">
        <v>107</v>
      </c>
      <c r="I99" s="52" t="s">
        <v>454</v>
      </c>
      <c r="J99" s="52" t="s">
        <v>102</v>
      </c>
      <c r="K99" s="52" t="s">
        <v>455</v>
      </c>
      <c r="L99" s="52"/>
      <c r="M99" s="52"/>
      <c r="N99" s="52" t="s">
        <v>97</v>
      </c>
      <c r="O99" s="69" t="s">
        <v>734</v>
      </c>
      <c r="P99" s="69" t="s">
        <v>30</v>
      </c>
      <c r="Q99" s="70" t="s">
        <v>987</v>
      </c>
      <c r="R99" s="51" t="b">
        <v>1</v>
      </c>
      <c r="S99" s="52" t="s">
        <v>454</v>
      </c>
      <c r="T99" s="52"/>
      <c r="U99" s="51" t="b">
        <v>0</v>
      </c>
      <c r="V99" s="51" t="b">
        <v>1</v>
      </c>
      <c r="W99" s="51" t="b">
        <v>1</v>
      </c>
      <c r="X99" s="51" t="b">
        <v>1</v>
      </c>
      <c r="Y99" s="51" t="b">
        <v>0</v>
      </c>
      <c r="Z99" s="51" t="b">
        <v>0</v>
      </c>
      <c r="AA99" s="71">
        <v>0.008206018518518519</v>
      </c>
      <c r="AB99" s="69" t="s">
        <v>988</v>
      </c>
      <c r="AC99" s="72"/>
      <c r="AD99" s="73" t="s">
        <v>989</v>
      </c>
      <c r="AE99" s="74" t="s">
        <v>629</v>
      </c>
      <c r="AF99" s="74" t="s">
        <v>653</v>
      </c>
    </row>
    <row r="100">
      <c r="A100" s="52" t="s">
        <v>991</v>
      </c>
      <c r="B100" s="52" t="s">
        <v>607</v>
      </c>
      <c r="C100" s="52" t="s">
        <v>607</v>
      </c>
      <c r="D100" s="65" t="s">
        <v>607</v>
      </c>
      <c r="E100" s="65" t="s">
        <v>607</v>
      </c>
      <c r="F100" s="65" t="s">
        <v>607</v>
      </c>
      <c r="G100" s="65" t="s">
        <v>607</v>
      </c>
      <c r="H100" s="52" t="s">
        <v>607</v>
      </c>
      <c r="I100" s="52" t="s">
        <v>607</v>
      </c>
      <c r="J100" s="52" t="s">
        <v>607</v>
      </c>
      <c r="K100" s="52" t="s">
        <v>607</v>
      </c>
      <c r="L100" s="52" t="s">
        <v>607</v>
      </c>
      <c r="M100" s="52" t="s">
        <v>607</v>
      </c>
      <c r="N100" s="52" t="s">
        <v>607</v>
      </c>
      <c r="O100" s="52"/>
      <c r="P100" s="52"/>
      <c r="Q100" s="52"/>
      <c r="R100" s="51" t="b">
        <v>0</v>
      </c>
      <c r="S100" s="51"/>
      <c r="T100" s="52"/>
      <c r="U100" s="51" t="b">
        <v>0</v>
      </c>
      <c r="V100" s="51" t="b">
        <v>0</v>
      </c>
      <c r="W100" s="51" t="b">
        <v>0</v>
      </c>
      <c r="X100" s="51" t="b">
        <v>0</v>
      </c>
      <c r="Y100" s="51" t="b">
        <v>0</v>
      </c>
      <c r="Z100" s="51" t="b">
        <v>0</v>
      </c>
      <c r="AA100" s="68"/>
      <c r="AB100" s="52"/>
      <c r="AC100" s="52"/>
      <c r="AD100" s="52"/>
      <c r="AE100" s="56" t="s">
        <v>607</v>
      </c>
      <c r="AF100" s="56" t="s">
        <v>607</v>
      </c>
    </row>
    <row r="101">
      <c r="A101" s="52" t="s">
        <v>992</v>
      </c>
      <c r="B101" s="52" t="s">
        <v>14</v>
      </c>
      <c r="C101" s="52" t="s">
        <v>66</v>
      </c>
      <c r="D101" s="65">
        <v>0.44004629629629644</v>
      </c>
      <c r="E101" s="65">
        <v>2.314814814814815E-4</v>
      </c>
      <c r="F101" s="65">
        <v>0.44027777777777793</v>
      </c>
      <c r="G101" s="65"/>
      <c r="H101" s="52" t="s">
        <v>81</v>
      </c>
      <c r="I101" s="52" t="s">
        <v>98</v>
      </c>
      <c r="J101" s="52" t="s">
        <v>92</v>
      </c>
      <c r="K101" s="52"/>
      <c r="L101" s="52"/>
      <c r="M101" s="52"/>
      <c r="N101" s="52" t="s">
        <v>70</v>
      </c>
      <c r="O101" s="52"/>
      <c r="P101" s="52"/>
      <c r="Q101" s="52"/>
      <c r="R101" s="51" t="b">
        <v>0</v>
      </c>
      <c r="S101" s="51"/>
      <c r="T101" s="52"/>
      <c r="U101" s="51" t="b">
        <v>0</v>
      </c>
      <c r="V101" s="51" t="b">
        <v>0</v>
      </c>
      <c r="W101" s="51" t="b">
        <v>0</v>
      </c>
      <c r="X101" s="51" t="b">
        <v>0</v>
      </c>
      <c r="Y101" s="51" t="b">
        <v>0</v>
      </c>
      <c r="Z101" s="51" t="b">
        <v>0</v>
      </c>
      <c r="AA101" s="68"/>
      <c r="AB101" s="52"/>
      <c r="AC101" s="52"/>
      <c r="AD101" s="52"/>
      <c r="AE101" s="56"/>
      <c r="AF101" s="56"/>
    </row>
    <row r="102">
      <c r="A102" s="52" t="s">
        <v>994</v>
      </c>
      <c r="B102" s="52" t="s">
        <v>14</v>
      </c>
      <c r="C102" s="52" t="s">
        <v>66</v>
      </c>
      <c r="D102" s="65">
        <v>0.44027777777777793</v>
      </c>
      <c r="E102" s="65">
        <v>0.0020833333333333333</v>
      </c>
      <c r="F102" s="65">
        <v>0.44236111111111126</v>
      </c>
      <c r="G102" s="65"/>
      <c r="H102" s="52" t="s">
        <v>83</v>
      </c>
      <c r="I102" s="52" t="s">
        <v>99</v>
      </c>
      <c r="J102" s="52" t="s">
        <v>90</v>
      </c>
      <c r="K102" s="52"/>
      <c r="L102" s="52"/>
      <c r="M102" s="52"/>
      <c r="N102" s="52" t="s">
        <v>70</v>
      </c>
      <c r="O102" s="69" t="s">
        <v>618</v>
      </c>
      <c r="P102" s="69" t="s">
        <v>30</v>
      </c>
      <c r="Q102" s="73" t="s">
        <v>995</v>
      </c>
      <c r="R102" s="51" t="b">
        <v>1</v>
      </c>
      <c r="S102" s="84" t="s">
        <v>99</v>
      </c>
      <c r="T102" s="52"/>
      <c r="U102" s="51" t="b">
        <v>0</v>
      </c>
      <c r="V102" s="51" t="b">
        <v>1</v>
      </c>
      <c r="W102" s="51" t="b">
        <v>1</v>
      </c>
      <c r="X102" s="51" t="b">
        <v>0</v>
      </c>
      <c r="Y102" s="51" t="b">
        <v>1</v>
      </c>
      <c r="Z102" s="51" t="b">
        <v>0</v>
      </c>
      <c r="AA102" s="71">
        <v>0.0020833333333333333</v>
      </c>
      <c r="AB102" s="90"/>
      <c r="AC102" s="91"/>
      <c r="AD102" s="76" t="s">
        <v>1001</v>
      </c>
      <c r="AE102" s="74"/>
      <c r="AF102" s="74"/>
    </row>
    <row r="103">
      <c r="A103" s="52" t="s">
        <v>1003</v>
      </c>
      <c r="B103" s="52" t="s">
        <v>607</v>
      </c>
      <c r="C103" s="52" t="s">
        <v>607</v>
      </c>
      <c r="D103" s="65" t="s">
        <v>607</v>
      </c>
      <c r="E103" s="65" t="s">
        <v>607</v>
      </c>
      <c r="F103" s="65" t="s">
        <v>607</v>
      </c>
      <c r="G103" s="65" t="s">
        <v>607</v>
      </c>
      <c r="H103" s="52" t="s">
        <v>607</v>
      </c>
      <c r="I103" s="52" t="s">
        <v>607</v>
      </c>
      <c r="J103" s="52" t="s">
        <v>607</v>
      </c>
      <c r="K103" s="52" t="s">
        <v>607</v>
      </c>
      <c r="L103" s="52" t="s">
        <v>607</v>
      </c>
      <c r="M103" s="52" t="s">
        <v>607</v>
      </c>
      <c r="N103" s="52" t="s">
        <v>607</v>
      </c>
      <c r="O103" s="52"/>
      <c r="P103" s="52"/>
      <c r="Q103" s="52"/>
      <c r="R103" s="51" t="b">
        <v>0</v>
      </c>
      <c r="S103" s="51"/>
      <c r="T103" s="52"/>
      <c r="U103" s="51" t="b">
        <v>0</v>
      </c>
      <c r="V103" s="51" t="b">
        <v>0</v>
      </c>
      <c r="W103" s="51" t="b">
        <v>0</v>
      </c>
      <c r="X103" s="51" t="b">
        <v>0</v>
      </c>
      <c r="Y103" s="51" t="b">
        <v>0</v>
      </c>
      <c r="Z103" s="51" t="b">
        <v>0</v>
      </c>
      <c r="AA103" s="68"/>
      <c r="AB103" s="52"/>
      <c r="AC103" s="52"/>
      <c r="AD103" s="52"/>
      <c r="AE103" s="56" t="s">
        <v>607</v>
      </c>
      <c r="AF103" s="56" t="s">
        <v>607</v>
      </c>
    </row>
    <row r="104">
      <c r="A104" s="52" t="s">
        <v>1005</v>
      </c>
      <c r="B104" s="52" t="s">
        <v>785</v>
      </c>
      <c r="C104" s="52" t="s">
        <v>66</v>
      </c>
      <c r="D104" s="65">
        <v>0.618449074074074</v>
      </c>
      <c r="E104" s="65">
        <v>3.4722222222222224E-4</v>
      </c>
      <c r="F104" s="65">
        <v>0.6187962962962963</v>
      </c>
      <c r="G104" s="65"/>
      <c r="H104" s="52" t="s">
        <v>81</v>
      </c>
      <c r="I104" s="52" t="s">
        <v>81</v>
      </c>
      <c r="J104" s="52" t="s">
        <v>92</v>
      </c>
      <c r="K104" s="52"/>
      <c r="L104" s="52"/>
      <c r="M104" s="52"/>
      <c r="N104" s="52" t="s">
        <v>70</v>
      </c>
      <c r="O104" s="52"/>
      <c r="P104" s="52"/>
      <c r="Q104" s="52"/>
      <c r="R104" s="51" t="b">
        <v>0</v>
      </c>
      <c r="S104" s="51"/>
      <c r="T104" s="52"/>
      <c r="U104" s="51" t="b">
        <v>0</v>
      </c>
      <c r="V104" s="51" t="b">
        <v>0</v>
      </c>
      <c r="W104" s="51" t="b">
        <v>0</v>
      </c>
      <c r="X104" s="51" t="b">
        <v>0</v>
      </c>
      <c r="Y104" s="51" t="b">
        <v>0</v>
      </c>
      <c r="Z104" s="51" t="b">
        <v>0</v>
      </c>
      <c r="AA104" s="68"/>
      <c r="AB104" s="52"/>
      <c r="AC104" s="52"/>
      <c r="AD104" s="52"/>
      <c r="AE104" s="56"/>
      <c r="AF104" s="56"/>
    </row>
    <row r="105">
      <c r="A105" s="52" t="s">
        <v>1008</v>
      </c>
      <c r="B105" s="52" t="s">
        <v>14</v>
      </c>
      <c r="C105" s="52" t="s">
        <v>289</v>
      </c>
      <c r="D105" s="65">
        <v>0.6487962962962954</v>
      </c>
      <c r="E105" s="65">
        <v>0.011111111111111112</v>
      </c>
      <c r="F105" s="65">
        <v>0.6599074074074065</v>
      </c>
      <c r="G105" s="65"/>
      <c r="H105" s="52" t="s">
        <v>107</v>
      </c>
      <c r="I105" s="52" t="s">
        <v>450</v>
      </c>
      <c r="J105" s="52" t="s">
        <v>451</v>
      </c>
      <c r="K105" s="52" t="s">
        <v>452</v>
      </c>
      <c r="L105" s="52"/>
      <c r="M105" s="52"/>
      <c r="N105" s="52" t="s">
        <v>453</v>
      </c>
      <c r="O105" s="52"/>
      <c r="P105" s="52"/>
      <c r="Q105" s="52"/>
      <c r="R105" s="51" t="b">
        <v>0</v>
      </c>
      <c r="S105" s="51"/>
      <c r="T105" s="52"/>
      <c r="U105" s="51" t="b">
        <v>0</v>
      </c>
      <c r="V105" s="51" t="b">
        <v>0</v>
      </c>
      <c r="W105" s="51" t="b">
        <v>0</v>
      </c>
      <c r="X105" s="51" t="b">
        <v>0</v>
      </c>
      <c r="Y105" s="51" t="b">
        <v>0</v>
      </c>
      <c r="Z105" s="51" t="b">
        <v>0</v>
      </c>
      <c r="AA105" s="68"/>
      <c r="AB105" s="52"/>
      <c r="AC105" s="52"/>
      <c r="AD105" s="52"/>
      <c r="AE105" s="56" t="s">
        <v>629</v>
      </c>
      <c r="AF105" s="56" t="s">
        <v>653</v>
      </c>
    </row>
    <row r="106">
      <c r="A106" s="52" t="s">
        <v>1010</v>
      </c>
      <c r="B106" s="52" t="s">
        <v>785</v>
      </c>
      <c r="C106" s="52" t="s">
        <v>66</v>
      </c>
      <c r="D106" s="65">
        <v>0.6267824074074073</v>
      </c>
      <c r="E106" s="65">
        <v>1.7361111111111112E-4</v>
      </c>
      <c r="F106" s="65">
        <v>0.6269560185185185</v>
      </c>
      <c r="G106" s="65"/>
      <c r="H106" s="52" t="s">
        <v>85</v>
      </c>
      <c r="I106" s="52" t="s">
        <v>500</v>
      </c>
      <c r="J106" s="52" t="s">
        <v>128</v>
      </c>
      <c r="K106" s="52"/>
      <c r="L106" s="52"/>
      <c r="M106" s="52"/>
      <c r="N106" s="52" t="s">
        <v>70</v>
      </c>
      <c r="O106" s="52"/>
      <c r="P106" s="52"/>
      <c r="Q106" s="52"/>
      <c r="R106" s="51" t="b">
        <v>0</v>
      </c>
      <c r="S106" s="51"/>
      <c r="T106" s="52"/>
      <c r="U106" s="51" t="b">
        <v>0</v>
      </c>
      <c r="V106" s="51" t="b">
        <v>0</v>
      </c>
      <c r="W106" s="51" t="b">
        <v>0</v>
      </c>
      <c r="X106" s="51" t="b">
        <v>0</v>
      </c>
      <c r="Y106" s="51" t="b">
        <v>0</v>
      </c>
      <c r="Z106" s="51" t="b">
        <v>0</v>
      </c>
      <c r="AA106" s="68"/>
      <c r="AB106" s="52"/>
      <c r="AC106" s="52"/>
      <c r="AD106" s="52"/>
      <c r="AE106" s="56"/>
      <c r="AF106" s="56"/>
    </row>
    <row r="107">
      <c r="A107" s="52" t="s">
        <v>1014</v>
      </c>
      <c r="B107" s="52" t="s">
        <v>607</v>
      </c>
      <c r="C107" s="52" t="s">
        <v>607</v>
      </c>
      <c r="D107" s="65" t="s">
        <v>607</v>
      </c>
      <c r="E107" s="65" t="s">
        <v>607</v>
      </c>
      <c r="F107" s="65" t="s">
        <v>607</v>
      </c>
      <c r="G107" s="65" t="s">
        <v>607</v>
      </c>
      <c r="H107" s="52" t="s">
        <v>607</v>
      </c>
      <c r="I107" s="52" t="s">
        <v>607</v>
      </c>
      <c r="J107" s="52" t="s">
        <v>607</v>
      </c>
      <c r="K107" s="52" t="s">
        <v>607</v>
      </c>
      <c r="L107" s="52" t="s">
        <v>607</v>
      </c>
      <c r="M107" s="52" t="s">
        <v>607</v>
      </c>
      <c r="N107" s="52" t="s">
        <v>607</v>
      </c>
      <c r="O107" s="52"/>
      <c r="P107" s="52"/>
      <c r="Q107" s="52"/>
      <c r="R107" s="51" t="b">
        <v>0</v>
      </c>
      <c r="S107" s="51"/>
      <c r="T107" s="52"/>
      <c r="U107" s="51" t="b">
        <v>0</v>
      </c>
      <c r="V107" s="51" t="b">
        <v>0</v>
      </c>
      <c r="W107" s="51" t="b">
        <v>0</v>
      </c>
      <c r="X107" s="51" t="b">
        <v>0</v>
      </c>
      <c r="Y107" s="51" t="b">
        <v>0</v>
      </c>
      <c r="Z107" s="51" t="b">
        <v>0</v>
      </c>
      <c r="AA107" s="68"/>
      <c r="AB107" s="52"/>
      <c r="AC107" s="52"/>
      <c r="AD107" s="52"/>
      <c r="AE107" s="56" t="s">
        <v>607</v>
      </c>
      <c r="AF107" s="56" t="s">
        <v>607</v>
      </c>
    </row>
    <row r="108">
      <c r="A108" s="52" t="s">
        <v>1016</v>
      </c>
      <c r="B108" s="52" t="s">
        <v>14</v>
      </c>
      <c r="C108" s="52" t="s">
        <v>289</v>
      </c>
      <c r="D108" s="65">
        <v>0.642777777777777</v>
      </c>
      <c r="E108" s="65">
        <v>2.314814814814815E-4</v>
      </c>
      <c r="F108" s="65">
        <v>0.6430092592592584</v>
      </c>
      <c r="G108" s="65"/>
      <c r="H108" s="52" t="s">
        <v>81</v>
      </c>
      <c r="I108" s="52" t="s">
        <v>81</v>
      </c>
      <c r="J108" s="52" t="s">
        <v>92</v>
      </c>
      <c r="K108" s="52"/>
      <c r="L108" s="52"/>
      <c r="M108" s="52"/>
      <c r="N108" s="52" t="s">
        <v>70</v>
      </c>
      <c r="O108" s="52"/>
      <c r="P108" s="52"/>
      <c r="Q108" s="52"/>
      <c r="R108" s="51" t="b">
        <v>0</v>
      </c>
      <c r="S108" s="51"/>
      <c r="T108" s="52"/>
      <c r="U108" s="51" t="b">
        <v>0</v>
      </c>
      <c r="V108" s="51" t="b">
        <v>0</v>
      </c>
      <c r="W108" s="51" t="b">
        <v>0</v>
      </c>
      <c r="X108" s="51" t="b">
        <v>0</v>
      </c>
      <c r="Y108" s="51" t="b">
        <v>0</v>
      </c>
      <c r="Z108" s="51" t="b">
        <v>0</v>
      </c>
      <c r="AA108" s="68"/>
      <c r="AB108" s="52"/>
      <c r="AC108" s="52"/>
      <c r="AD108" s="52"/>
      <c r="AE108" s="56"/>
      <c r="AF108" s="56"/>
    </row>
    <row r="109">
      <c r="A109" s="52" t="s">
        <v>1020</v>
      </c>
      <c r="B109" s="52" t="s">
        <v>607</v>
      </c>
      <c r="C109" s="52" t="s">
        <v>607</v>
      </c>
      <c r="D109" s="65" t="s">
        <v>607</v>
      </c>
      <c r="E109" s="65" t="s">
        <v>607</v>
      </c>
      <c r="F109" s="65" t="s">
        <v>607</v>
      </c>
      <c r="G109" s="65" t="s">
        <v>607</v>
      </c>
      <c r="H109" s="52" t="s">
        <v>607</v>
      </c>
      <c r="I109" s="52" t="s">
        <v>607</v>
      </c>
      <c r="J109" s="52" t="s">
        <v>607</v>
      </c>
      <c r="K109" s="52" t="s">
        <v>607</v>
      </c>
      <c r="L109" s="52" t="s">
        <v>607</v>
      </c>
      <c r="M109" s="52" t="s">
        <v>607</v>
      </c>
      <c r="N109" s="52" t="s">
        <v>607</v>
      </c>
      <c r="O109" s="52"/>
      <c r="P109" s="52"/>
      <c r="Q109" s="52"/>
      <c r="R109" s="51" t="b">
        <v>0</v>
      </c>
      <c r="S109" s="51"/>
      <c r="T109" s="52"/>
      <c r="U109" s="51" t="b">
        <v>0</v>
      </c>
      <c r="V109" s="51" t="b">
        <v>0</v>
      </c>
      <c r="W109" s="51" t="b">
        <v>0</v>
      </c>
      <c r="X109" s="51" t="b">
        <v>0</v>
      </c>
      <c r="Y109" s="51" t="b">
        <v>0</v>
      </c>
      <c r="Z109" s="51" t="b">
        <v>0</v>
      </c>
      <c r="AA109" s="68"/>
      <c r="AB109" s="52"/>
      <c r="AC109" s="52"/>
      <c r="AD109" s="52"/>
      <c r="AE109" s="56" t="s">
        <v>607</v>
      </c>
      <c r="AF109" s="56" t="s">
        <v>607</v>
      </c>
    </row>
    <row r="110">
      <c r="A110" s="52" t="s">
        <v>1021</v>
      </c>
      <c r="B110" s="52" t="s">
        <v>14</v>
      </c>
      <c r="C110" s="52" t="s">
        <v>289</v>
      </c>
      <c r="D110" s="65">
        <v>0.6430092592592584</v>
      </c>
      <c r="E110" s="65">
        <v>0.005555555555555556</v>
      </c>
      <c r="F110" s="65">
        <v>0.648564814814814</v>
      </c>
      <c r="G110" s="65"/>
      <c r="H110" s="52" t="s">
        <v>94</v>
      </c>
      <c r="I110" s="52" t="s">
        <v>448</v>
      </c>
      <c r="J110" s="52" t="s">
        <v>449</v>
      </c>
      <c r="K110" s="52"/>
      <c r="L110" s="52"/>
      <c r="M110" s="52"/>
      <c r="N110" s="52" t="s">
        <v>105</v>
      </c>
      <c r="O110" s="52"/>
      <c r="P110" s="52"/>
      <c r="Q110" s="52"/>
      <c r="R110" s="51" t="b">
        <v>0</v>
      </c>
      <c r="S110" s="51"/>
      <c r="T110" s="52"/>
      <c r="U110" s="51" t="b">
        <v>0</v>
      </c>
      <c r="V110" s="51" t="b">
        <v>0</v>
      </c>
      <c r="W110" s="51" t="b">
        <v>0</v>
      </c>
      <c r="X110" s="51" t="b">
        <v>0</v>
      </c>
      <c r="Y110" s="51" t="b">
        <v>0</v>
      </c>
      <c r="Z110" s="51" t="b">
        <v>0</v>
      </c>
      <c r="AA110" s="68"/>
      <c r="AB110" s="52"/>
      <c r="AC110" s="52"/>
      <c r="AD110" s="52"/>
      <c r="AE110" s="56" t="s">
        <v>1025</v>
      </c>
      <c r="AF110" s="56"/>
    </row>
    <row r="111">
      <c r="A111" s="52" t="s">
        <v>1026</v>
      </c>
      <c r="B111" s="52" t="s">
        <v>607</v>
      </c>
      <c r="C111" s="52" t="s">
        <v>607</v>
      </c>
      <c r="D111" s="65" t="s">
        <v>607</v>
      </c>
      <c r="E111" s="65" t="s">
        <v>607</v>
      </c>
      <c r="F111" s="65" t="s">
        <v>607</v>
      </c>
      <c r="G111" s="65" t="s">
        <v>607</v>
      </c>
      <c r="H111" s="52" t="s">
        <v>607</v>
      </c>
      <c r="I111" s="52" t="s">
        <v>607</v>
      </c>
      <c r="J111" s="52" t="s">
        <v>607</v>
      </c>
      <c r="K111" s="52" t="s">
        <v>607</v>
      </c>
      <c r="L111" s="52" t="s">
        <v>607</v>
      </c>
      <c r="M111" s="52" t="s">
        <v>607</v>
      </c>
      <c r="N111" s="52" t="s">
        <v>607</v>
      </c>
      <c r="O111" s="52"/>
      <c r="P111" s="52"/>
      <c r="Q111" s="52"/>
      <c r="R111" s="51" t="b">
        <v>0</v>
      </c>
      <c r="S111" s="51"/>
      <c r="T111" s="52"/>
      <c r="U111" s="51" t="b">
        <v>0</v>
      </c>
      <c r="V111" s="51" t="b">
        <v>0</v>
      </c>
      <c r="W111" s="51" t="b">
        <v>0</v>
      </c>
      <c r="X111" s="51" t="b">
        <v>0</v>
      </c>
      <c r="Y111" s="51" t="b">
        <v>0</v>
      </c>
      <c r="Z111" s="51" t="b">
        <v>0</v>
      </c>
      <c r="AA111" s="68"/>
      <c r="AB111" s="52"/>
      <c r="AC111" s="52"/>
      <c r="AD111" s="52"/>
      <c r="AE111" s="56" t="s">
        <v>607</v>
      </c>
      <c r="AF111" s="56" t="s">
        <v>607</v>
      </c>
    </row>
    <row r="112">
      <c r="A112" s="52" t="s">
        <v>1029</v>
      </c>
      <c r="B112" s="52" t="s">
        <v>14</v>
      </c>
      <c r="C112" s="52" t="s">
        <v>221</v>
      </c>
      <c r="D112" s="65">
        <v>0.5286805555555559</v>
      </c>
      <c r="E112" s="65">
        <v>2.314814814814815E-4</v>
      </c>
      <c r="F112" s="65">
        <v>0.5289120370370374</v>
      </c>
      <c r="G112" s="65"/>
      <c r="H112" s="52" t="s">
        <v>81</v>
      </c>
      <c r="I112" s="52" t="s">
        <v>91</v>
      </c>
      <c r="J112" s="52" t="s">
        <v>128</v>
      </c>
      <c r="K112" s="52"/>
      <c r="L112" s="52"/>
      <c r="M112" s="52"/>
      <c r="N112" s="52" t="s">
        <v>70</v>
      </c>
      <c r="O112" s="52"/>
      <c r="P112" s="52"/>
      <c r="Q112" s="92" t="s">
        <v>1030</v>
      </c>
      <c r="R112" s="51" t="b">
        <v>0</v>
      </c>
      <c r="S112" s="51"/>
      <c r="T112" s="52"/>
      <c r="U112" s="51" t="b">
        <v>0</v>
      </c>
      <c r="V112" s="51" t="b">
        <v>0</v>
      </c>
      <c r="W112" s="51" t="b">
        <v>0</v>
      </c>
      <c r="X112" s="51" t="b">
        <v>0</v>
      </c>
      <c r="Y112" s="51" t="b">
        <v>0</v>
      </c>
      <c r="Z112" s="51" t="b">
        <v>1</v>
      </c>
      <c r="AA112" s="93"/>
      <c r="AB112" s="94" t="s">
        <v>1034</v>
      </c>
      <c r="AC112" s="94"/>
      <c r="AD112" s="52"/>
      <c r="AE112" s="56"/>
      <c r="AF112" s="56"/>
    </row>
    <row r="113">
      <c r="A113" s="52" t="s">
        <v>1035</v>
      </c>
      <c r="B113" s="52" t="s">
        <v>607</v>
      </c>
      <c r="C113" s="52" t="s">
        <v>607</v>
      </c>
      <c r="D113" s="65" t="s">
        <v>607</v>
      </c>
      <c r="E113" s="65" t="s">
        <v>607</v>
      </c>
      <c r="F113" s="65" t="s">
        <v>607</v>
      </c>
      <c r="G113" s="65" t="s">
        <v>607</v>
      </c>
      <c r="H113" s="52" t="s">
        <v>607</v>
      </c>
      <c r="I113" s="52" t="s">
        <v>607</v>
      </c>
      <c r="J113" s="52" t="s">
        <v>607</v>
      </c>
      <c r="K113" s="52" t="s">
        <v>607</v>
      </c>
      <c r="L113" s="52" t="s">
        <v>607</v>
      </c>
      <c r="M113" s="52" t="s">
        <v>607</v>
      </c>
      <c r="N113" s="52" t="s">
        <v>607</v>
      </c>
      <c r="O113" s="52"/>
      <c r="P113" s="52"/>
      <c r="Q113" s="52"/>
      <c r="R113" s="51" t="b">
        <v>0</v>
      </c>
      <c r="S113" s="51"/>
      <c r="T113" s="52"/>
      <c r="U113" s="51" t="b">
        <v>0</v>
      </c>
      <c r="V113" s="51" t="b">
        <v>0</v>
      </c>
      <c r="W113" s="51" t="b">
        <v>0</v>
      </c>
      <c r="X113" s="51" t="b">
        <v>0</v>
      </c>
      <c r="Y113" s="51" t="b">
        <v>0</v>
      </c>
      <c r="Z113" s="51" t="b">
        <v>0</v>
      </c>
      <c r="AA113" s="68"/>
      <c r="AB113" s="52"/>
      <c r="AC113" s="52"/>
      <c r="AD113" s="52"/>
      <c r="AE113" s="56" t="s">
        <v>607</v>
      </c>
      <c r="AF113" s="56" t="s">
        <v>607</v>
      </c>
    </row>
    <row r="114">
      <c r="A114" s="52" t="s">
        <v>1036</v>
      </c>
      <c r="B114" s="52" t="s">
        <v>607</v>
      </c>
      <c r="C114" s="52" t="s">
        <v>607</v>
      </c>
      <c r="D114" s="65" t="s">
        <v>607</v>
      </c>
      <c r="E114" s="65" t="s">
        <v>607</v>
      </c>
      <c r="F114" s="65" t="s">
        <v>607</v>
      </c>
      <c r="G114" s="65" t="s">
        <v>607</v>
      </c>
      <c r="H114" s="52" t="s">
        <v>607</v>
      </c>
      <c r="I114" s="52" t="s">
        <v>607</v>
      </c>
      <c r="J114" s="52" t="s">
        <v>607</v>
      </c>
      <c r="K114" s="52" t="s">
        <v>607</v>
      </c>
      <c r="L114" s="52" t="s">
        <v>607</v>
      </c>
      <c r="M114" s="52" t="s">
        <v>607</v>
      </c>
      <c r="N114" s="52" t="s">
        <v>607</v>
      </c>
      <c r="O114" s="52"/>
      <c r="P114" s="52"/>
      <c r="Q114" s="52"/>
      <c r="R114" s="51" t="b">
        <v>0</v>
      </c>
      <c r="S114" s="51"/>
      <c r="T114" s="52"/>
      <c r="U114" s="51" t="b">
        <v>0</v>
      </c>
      <c r="V114" s="51" t="b">
        <v>0</v>
      </c>
      <c r="W114" s="51" t="b">
        <v>0</v>
      </c>
      <c r="X114" s="51" t="b">
        <v>0</v>
      </c>
      <c r="Y114" s="51" t="b">
        <v>0</v>
      </c>
      <c r="Z114" s="51" t="b">
        <v>0</v>
      </c>
      <c r="AA114" s="68"/>
      <c r="AB114" s="52"/>
      <c r="AC114" s="52"/>
      <c r="AD114" s="52"/>
      <c r="AE114" s="56" t="s">
        <v>607</v>
      </c>
      <c r="AF114" s="56" t="s">
        <v>607</v>
      </c>
    </row>
    <row r="115">
      <c r="A115" s="52" t="s">
        <v>1042</v>
      </c>
      <c r="B115" s="52" t="s">
        <v>14</v>
      </c>
      <c r="C115" s="52" t="s">
        <v>66</v>
      </c>
      <c r="D115" s="65">
        <v>0.6692361111111108</v>
      </c>
      <c r="E115" s="65">
        <v>6.944444444444445E-4</v>
      </c>
      <c r="F115" s="65">
        <v>0.6699305555555553</v>
      </c>
      <c r="G115" s="65"/>
      <c r="H115" s="52" t="s">
        <v>103</v>
      </c>
      <c r="I115" s="52" t="s">
        <v>205</v>
      </c>
      <c r="J115" s="52" t="s">
        <v>92</v>
      </c>
      <c r="K115" s="52"/>
      <c r="L115" s="52"/>
      <c r="M115" s="52"/>
      <c r="N115" s="52" t="s">
        <v>70</v>
      </c>
      <c r="O115" s="52"/>
      <c r="P115" s="52"/>
      <c r="Q115" s="52"/>
      <c r="R115" s="51" t="b">
        <v>0</v>
      </c>
      <c r="S115" s="51"/>
      <c r="T115" s="52"/>
      <c r="U115" s="51" t="b">
        <v>0</v>
      </c>
      <c r="V115" s="51" t="b">
        <v>0</v>
      </c>
      <c r="W115" s="51" t="b">
        <v>0</v>
      </c>
      <c r="X115" s="51" t="b">
        <v>0</v>
      </c>
      <c r="Y115" s="51" t="b">
        <v>0</v>
      </c>
      <c r="Z115" s="51" t="b">
        <v>0</v>
      </c>
      <c r="AA115" s="68"/>
      <c r="AB115" s="52"/>
      <c r="AC115" s="52"/>
      <c r="AD115" s="52"/>
      <c r="AE115" s="56"/>
      <c r="AF115" s="56"/>
    </row>
    <row r="116">
      <c r="A116" s="52" t="s">
        <v>1043</v>
      </c>
      <c r="B116" s="52" t="s">
        <v>14</v>
      </c>
      <c r="C116" s="52" t="s">
        <v>66</v>
      </c>
      <c r="D116" s="65">
        <v>0.6300578703703702</v>
      </c>
      <c r="E116" s="65">
        <v>2.314814814814815E-4</v>
      </c>
      <c r="F116" s="65">
        <v>0.6302893518518516</v>
      </c>
      <c r="G116" s="65"/>
      <c r="H116" s="52" t="s">
        <v>81</v>
      </c>
      <c r="I116" s="52" t="s">
        <v>91</v>
      </c>
      <c r="J116" s="52" t="s">
        <v>128</v>
      </c>
      <c r="K116" s="52"/>
      <c r="L116" s="52"/>
      <c r="M116" s="52"/>
      <c r="N116" s="52" t="s">
        <v>70</v>
      </c>
      <c r="O116" s="52"/>
      <c r="P116" s="52"/>
      <c r="Q116" s="52"/>
      <c r="R116" s="51" t="b">
        <v>0</v>
      </c>
      <c r="S116" s="51"/>
      <c r="T116" s="52"/>
      <c r="U116" s="51" t="b">
        <v>0</v>
      </c>
      <c r="V116" s="51" t="b">
        <v>0</v>
      </c>
      <c r="W116" s="51" t="b">
        <v>0</v>
      </c>
      <c r="X116" s="51" t="b">
        <v>0</v>
      </c>
      <c r="Y116" s="51" t="b">
        <v>0</v>
      </c>
      <c r="Z116" s="51" t="b">
        <v>0</v>
      </c>
      <c r="AA116" s="68"/>
      <c r="AB116" s="52"/>
      <c r="AC116" s="52"/>
      <c r="AD116" s="52"/>
      <c r="AE116" s="56"/>
      <c r="AF116" s="56"/>
    </row>
    <row r="117">
      <c r="A117" s="52" t="s">
        <v>1046</v>
      </c>
      <c r="B117" s="52" t="s">
        <v>16</v>
      </c>
      <c r="C117" s="52" t="s">
        <v>66</v>
      </c>
      <c r="D117" s="65">
        <v>0.49295138888888895</v>
      </c>
      <c r="E117" s="65">
        <v>0.006944444444444444</v>
      </c>
      <c r="F117" s="65">
        <v>0.4998958333333334</v>
      </c>
      <c r="G117" s="65" t="s">
        <v>195</v>
      </c>
      <c r="H117" s="52" t="s">
        <v>165</v>
      </c>
      <c r="I117" s="52" t="s">
        <v>498</v>
      </c>
      <c r="J117" s="52" t="s">
        <v>499</v>
      </c>
      <c r="K117" s="52"/>
      <c r="L117" s="52"/>
      <c r="M117" s="52"/>
      <c r="N117" s="52" t="s">
        <v>70</v>
      </c>
      <c r="O117" s="69" t="s">
        <v>884</v>
      </c>
      <c r="P117" s="69" t="s">
        <v>15</v>
      </c>
      <c r="Q117" s="70" t="s">
        <v>1047</v>
      </c>
      <c r="R117" s="51" t="b">
        <v>1</v>
      </c>
      <c r="S117" s="52" t="s">
        <v>498</v>
      </c>
      <c r="T117" s="52"/>
      <c r="U117" s="51" t="b">
        <v>0</v>
      </c>
      <c r="V117" s="51" t="b">
        <v>1</v>
      </c>
      <c r="W117" s="51" t="b">
        <v>1</v>
      </c>
      <c r="X117" s="51" t="b">
        <v>0</v>
      </c>
      <c r="Y117" s="51" t="b">
        <v>1</v>
      </c>
      <c r="Z117" s="51" t="b">
        <v>0</v>
      </c>
      <c r="AA117" s="71">
        <v>0.007083333333333333</v>
      </c>
      <c r="AB117" s="69" t="s">
        <v>1051</v>
      </c>
      <c r="AC117" s="72"/>
      <c r="AD117" s="73" t="s">
        <v>1052</v>
      </c>
      <c r="AE117" s="74" t="s">
        <v>743</v>
      </c>
      <c r="AF117" s="74" t="s">
        <v>1055</v>
      </c>
    </row>
    <row r="118">
      <c r="A118" s="52" t="s">
        <v>1056</v>
      </c>
      <c r="B118" s="52" t="s">
        <v>607</v>
      </c>
      <c r="C118" s="52" t="s">
        <v>607</v>
      </c>
      <c r="D118" s="65" t="s">
        <v>607</v>
      </c>
      <c r="E118" s="65" t="s">
        <v>607</v>
      </c>
      <c r="F118" s="65" t="s">
        <v>607</v>
      </c>
      <c r="G118" s="65" t="s">
        <v>607</v>
      </c>
      <c r="H118" s="52" t="s">
        <v>607</v>
      </c>
      <c r="I118" s="52" t="s">
        <v>607</v>
      </c>
      <c r="J118" s="52" t="s">
        <v>607</v>
      </c>
      <c r="K118" s="52" t="s">
        <v>607</v>
      </c>
      <c r="L118" s="52" t="s">
        <v>607</v>
      </c>
      <c r="M118" s="52" t="s">
        <v>607</v>
      </c>
      <c r="N118" s="52" t="s">
        <v>607</v>
      </c>
      <c r="O118" s="52"/>
      <c r="P118" s="52"/>
      <c r="Q118" s="52"/>
      <c r="R118" s="51" t="b">
        <v>0</v>
      </c>
      <c r="S118" s="51"/>
      <c r="T118" s="52"/>
      <c r="U118" s="51" t="b">
        <v>0</v>
      </c>
      <c r="V118" s="51" t="b">
        <v>0</v>
      </c>
      <c r="W118" s="51" t="b">
        <v>0</v>
      </c>
      <c r="X118" s="51" t="b">
        <v>0</v>
      </c>
      <c r="Y118" s="51" t="b">
        <v>0</v>
      </c>
      <c r="Z118" s="51" t="b">
        <v>0</v>
      </c>
      <c r="AA118" s="68"/>
      <c r="AB118" s="52"/>
      <c r="AC118" s="52"/>
      <c r="AD118" s="52"/>
      <c r="AE118" s="56" t="s">
        <v>607</v>
      </c>
      <c r="AF118" s="56" t="s">
        <v>607</v>
      </c>
    </row>
    <row r="119">
      <c r="A119" s="52" t="s">
        <v>1057</v>
      </c>
      <c r="B119" s="52" t="s">
        <v>607</v>
      </c>
      <c r="C119" s="52" t="s">
        <v>607</v>
      </c>
      <c r="D119" s="65" t="s">
        <v>607</v>
      </c>
      <c r="E119" s="65" t="s">
        <v>607</v>
      </c>
      <c r="F119" s="65" t="s">
        <v>607</v>
      </c>
      <c r="G119" s="65" t="s">
        <v>607</v>
      </c>
      <c r="H119" s="52" t="s">
        <v>607</v>
      </c>
      <c r="I119" s="52" t="s">
        <v>607</v>
      </c>
      <c r="J119" s="52" t="s">
        <v>607</v>
      </c>
      <c r="K119" s="52" t="s">
        <v>607</v>
      </c>
      <c r="L119" s="52" t="s">
        <v>607</v>
      </c>
      <c r="M119" s="52" t="s">
        <v>607</v>
      </c>
      <c r="N119" s="52" t="s">
        <v>607</v>
      </c>
      <c r="O119" s="52"/>
      <c r="P119" s="52"/>
      <c r="Q119" s="52"/>
      <c r="R119" s="51" t="b">
        <v>0</v>
      </c>
      <c r="S119" s="51"/>
      <c r="T119" s="52"/>
      <c r="U119" s="51" t="b">
        <v>0</v>
      </c>
      <c r="V119" s="51" t="b">
        <v>0</v>
      </c>
      <c r="W119" s="51" t="b">
        <v>0</v>
      </c>
      <c r="X119" s="51" t="b">
        <v>0</v>
      </c>
      <c r="Y119" s="51" t="b">
        <v>0</v>
      </c>
      <c r="Z119" s="51" t="b">
        <v>0</v>
      </c>
      <c r="AA119" s="68"/>
      <c r="AB119" s="52"/>
      <c r="AC119" s="52"/>
      <c r="AD119" s="52"/>
      <c r="AE119" s="56" t="s">
        <v>607</v>
      </c>
      <c r="AF119" s="56" t="s">
        <v>607</v>
      </c>
    </row>
    <row r="120">
      <c r="A120" s="52" t="s">
        <v>1061</v>
      </c>
      <c r="B120" s="52" t="s">
        <v>14</v>
      </c>
      <c r="C120" s="52" t="s">
        <v>66</v>
      </c>
      <c r="D120" s="65">
        <v>0.6849305555555553</v>
      </c>
      <c r="E120" s="65">
        <v>2.314814814814815E-4</v>
      </c>
      <c r="F120" s="65">
        <v>0.6851620370370367</v>
      </c>
      <c r="G120" s="65"/>
      <c r="H120" s="52" t="s">
        <v>81</v>
      </c>
      <c r="I120" s="52" t="s">
        <v>209</v>
      </c>
      <c r="J120" s="52" t="s">
        <v>92</v>
      </c>
      <c r="K120" s="52"/>
      <c r="L120" s="52"/>
      <c r="M120" s="52"/>
      <c r="N120" s="52" t="s">
        <v>70</v>
      </c>
      <c r="O120" s="52"/>
      <c r="P120" s="52"/>
      <c r="Q120" s="52"/>
      <c r="R120" s="51" t="b">
        <v>0</v>
      </c>
      <c r="S120" s="51"/>
      <c r="T120" s="52"/>
      <c r="U120" s="51" t="b">
        <v>0</v>
      </c>
      <c r="V120" s="51" t="b">
        <v>0</v>
      </c>
      <c r="W120" s="51" t="b">
        <v>0</v>
      </c>
      <c r="X120" s="51" t="b">
        <v>0</v>
      </c>
      <c r="Y120" s="51" t="b">
        <v>0</v>
      </c>
      <c r="Z120" s="51" t="b">
        <v>0</v>
      </c>
      <c r="AA120" s="68"/>
      <c r="AB120" s="52"/>
      <c r="AC120" s="52"/>
      <c r="AD120" s="52"/>
      <c r="AE120" s="56"/>
      <c r="AF120" s="56"/>
    </row>
    <row r="121">
      <c r="A121" s="52" t="s">
        <v>1066</v>
      </c>
      <c r="B121" s="52" t="s">
        <v>14</v>
      </c>
      <c r="C121" s="52" t="s">
        <v>66</v>
      </c>
      <c r="D121" s="65">
        <v>0.6851620370370367</v>
      </c>
      <c r="E121" s="65">
        <v>0.0020833333333333333</v>
      </c>
      <c r="F121" s="65">
        <v>0.68724537037037</v>
      </c>
      <c r="G121" s="65" t="s">
        <v>210</v>
      </c>
      <c r="H121" s="52" t="s">
        <v>83</v>
      </c>
      <c r="I121" s="52" t="s">
        <v>211</v>
      </c>
      <c r="J121" s="52"/>
      <c r="K121" s="52"/>
      <c r="L121" s="52"/>
      <c r="M121" s="52"/>
      <c r="N121" s="52" t="s">
        <v>70</v>
      </c>
      <c r="O121" s="52"/>
      <c r="P121" s="69" t="s">
        <v>23</v>
      </c>
      <c r="Q121" s="80" t="s">
        <v>1068</v>
      </c>
      <c r="R121" s="51" t="b">
        <v>1</v>
      </c>
      <c r="S121" s="84" t="s">
        <v>211</v>
      </c>
      <c r="T121" s="52"/>
      <c r="U121" s="51" t="b">
        <v>0</v>
      </c>
      <c r="V121" s="51" t="b">
        <v>1</v>
      </c>
      <c r="W121" s="51" t="b">
        <v>0</v>
      </c>
      <c r="X121" s="51" t="b">
        <v>0</v>
      </c>
      <c r="Y121" s="51" t="b">
        <v>1</v>
      </c>
      <c r="Z121" s="51" t="b">
        <v>0</v>
      </c>
      <c r="AA121" s="71">
        <v>0.0020833333333333333</v>
      </c>
      <c r="AB121" s="69" t="s">
        <v>314</v>
      </c>
      <c r="AC121" s="52"/>
      <c r="AD121" s="76" t="s">
        <v>1072</v>
      </c>
      <c r="AE121" s="56" t="s">
        <v>314</v>
      </c>
      <c r="AF121" s="56" t="s">
        <v>1076</v>
      </c>
    </row>
    <row r="122">
      <c r="A122" s="52" t="s">
        <v>1077</v>
      </c>
      <c r="B122" s="52" t="s">
        <v>607</v>
      </c>
      <c r="C122" s="52" t="s">
        <v>607</v>
      </c>
      <c r="D122" s="65" t="s">
        <v>607</v>
      </c>
      <c r="E122" s="65" t="s">
        <v>607</v>
      </c>
      <c r="F122" s="65" t="s">
        <v>607</v>
      </c>
      <c r="G122" s="65" t="s">
        <v>607</v>
      </c>
      <c r="H122" s="52" t="s">
        <v>607</v>
      </c>
      <c r="I122" s="52" t="s">
        <v>607</v>
      </c>
      <c r="J122" s="52" t="s">
        <v>607</v>
      </c>
      <c r="K122" s="52" t="s">
        <v>607</v>
      </c>
      <c r="L122" s="52" t="s">
        <v>607</v>
      </c>
      <c r="M122" s="52" t="s">
        <v>607</v>
      </c>
      <c r="N122" s="52" t="s">
        <v>607</v>
      </c>
      <c r="O122" s="52"/>
      <c r="P122" s="52"/>
      <c r="Q122" s="52"/>
      <c r="R122" s="51" t="b">
        <v>0</v>
      </c>
      <c r="S122" s="51"/>
      <c r="T122" s="52"/>
      <c r="U122" s="51" t="b">
        <v>0</v>
      </c>
      <c r="V122" s="51" t="b">
        <v>0</v>
      </c>
      <c r="W122" s="51" t="b">
        <v>0</v>
      </c>
      <c r="X122" s="51" t="b">
        <v>0</v>
      </c>
      <c r="Y122" s="51" t="b">
        <v>0</v>
      </c>
      <c r="Z122" s="51" t="b">
        <v>0</v>
      </c>
      <c r="AA122" s="68"/>
      <c r="AB122" s="52"/>
      <c r="AC122" s="52"/>
      <c r="AD122" s="52"/>
      <c r="AE122" s="56" t="s">
        <v>607</v>
      </c>
      <c r="AF122" s="56" t="s">
        <v>607</v>
      </c>
    </row>
    <row r="123">
      <c r="A123" s="52" t="s">
        <v>1080</v>
      </c>
      <c r="B123" s="52" t="s">
        <v>607</v>
      </c>
      <c r="C123" s="52" t="s">
        <v>607</v>
      </c>
      <c r="D123" s="65" t="s">
        <v>607</v>
      </c>
      <c r="E123" s="65" t="s">
        <v>607</v>
      </c>
      <c r="F123" s="65" t="s">
        <v>607</v>
      </c>
      <c r="G123" s="65" t="s">
        <v>607</v>
      </c>
      <c r="H123" s="52" t="s">
        <v>607</v>
      </c>
      <c r="I123" s="52" t="s">
        <v>607</v>
      </c>
      <c r="J123" s="52" t="s">
        <v>607</v>
      </c>
      <c r="K123" s="52" t="s">
        <v>607</v>
      </c>
      <c r="L123" s="52" t="s">
        <v>607</v>
      </c>
      <c r="M123" s="52" t="s">
        <v>607</v>
      </c>
      <c r="N123" s="52" t="s">
        <v>607</v>
      </c>
      <c r="O123" s="52"/>
      <c r="P123" s="52"/>
      <c r="Q123" s="52"/>
      <c r="R123" s="51" t="b">
        <v>0</v>
      </c>
      <c r="S123" s="51"/>
      <c r="T123" s="52"/>
      <c r="U123" s="51" t="b">
        <v>0</v>
      </c>
      <c r="V123" s="51" t="b">
        <v>0</v>
      </c>
      <c r="W123" s="51" t="b">
        <v>0</v>
      </c>
      <c r="X123" s="51" t="b">
        <v>0</v>
      </c>
      <c r="Y123" s="51" t="b">
        <v>0</v>
      </c>
      <c r="Z123" s="51" t="b">
        <v>0</v>
      </c>
      <c r="AA123" s="68"/>
      <c r="AB123" s="52"/>
      <c r="AC123" s="52"/>
      <c r="AD123" s="52"/>
      <c r="AE123" s="56" t="s">
        <v>607</v>
      </c>
      <c r="AF123" s="56" t="s">
        <v>607</v>
      </c>
    </row>
    <row r="124">
      <c r="A124" s="52" t="s">
        <v>1083</v>
      </c>
      <c r="B124" s="52" t="s">
        <v>14</v>
      </c>
      <c r="C124" s="52" t="s">
        <v>221</v>
      </c>
      <c r="D124" s="65">
        <v>0.6066898148148147</v>
      </c>
      <c r="E124" s="65">
        <v>2.314814814814815E-4</v>
      </c>
      <c r="F124" s="65">
        <v>0.6069212962962961</v>
      </c>
      <c r="G124" s="65"/>
      <c r="H124" s="52" t="s">
        <v>81</v>
      </c>
      <c r="I124" s="52" t="s">
        <v>81</v>
      </c>
      <c r="J124" s="52" t="s">
        <v>128</v>
      </c>
      <c r="K124" s="52"/>
      <c r="L124" s="52"/>
      <c r="M124" s="52"/>
      <c r="N124" s="52" t="s">
        <v>70</v>
      </c>
      <c r="O124" s="52"/>
      <c r="P124" s="52"/>
      <c r="Q124" s="52"/>
      <c r="R124" s="51" t="b">
        <v>0</v>
      </c>
      <c r="S124" s="51"/>
      <c r="T124" s="52"/>
      <c r="U124" s="51" t="b">
        <v>0</v>
      </c>
      <c r="V124" s="51" t="b">
        <v>0</v>
      </c>
      <c r="W124" s="51" t="b">
        <v>0</v>
      </c>
      <c r="X124" s="51" t="b">
        <v>0</v>
      </c>
      <c r="Y124" s="51" t="b">
        <v>0</v>
      </c>
      <c r="Z124" s="51" t="b">
        <v>0</v>
      </c>
      <c r="AA124" s="68"/>
      <c r="AB124" s="52"/>
      <c r="AC124" s="52"/>
      <c r="AD124" s="52"/>
      <c r="AE124" s="56"/>
      <c r="AF124" s="56"/>
    </row>
    <row r="125">
      <c r="A125" s="52" t="s">
        <v>1084</v>
      </c>
      <c r="B125" s="52" t="s">
        <v>785</v>
      </c>
      <c r="C125" s="52" t="s">
        <v>66</v>
      </c>
      <c r="D125" s="65">
        <v>0.6024768518518518</v>
      </c>
      <c r="E125" s="65">
        <v>0.010416666666666666</v>
      </c>
      <c r="F125" s="65">
        <v>0.6128935185185185</v>
      </c>
      <c r="G125" s="65" t="s">
        <v>93</v>
      </c>
      <c r="H125" s="52" t="s">
        <v>107</v>
      </c>
      <c r="I125" s="52" t="s">
        <v>1088</v>
      </c>
      <c r="J125" s="52" t="s">
        <v>1089</v>
      </c>
      <c r="K125" s="52" t="s">
        <v>1090</v>
      </c>
      <c r="L125" s="52"/>
      <c r="M125" s="52"/>
      <c r="N125" s="52" t="s">
        <v>1091</v>
      </c>
      <c r="O125" s="52"/>
      <c r="P125" s="69" t="s">
        <v>20</v>
      </c>
      <c r="Q125" s="77" t="s">
        <v>1092</v>
      </c>
      <c r="R125" s="51" t="b">
        <v>1</v>
      </c>
      <c r="S125" s="52" t="s">
        <v>1094</v>
      </c>
      <c r="T125" s="52"/>
      <c r="U125" s="51" t="b">
        <v>0</v>
      </c>
      <c r="V125" s="51" t="b">
        <v>1</v>
      </c>
      <c r="W125" s="51" t="b">
        <v>0</v>
      </c>
      <c r="X125" s="51" t="b">
        <v>0</v>
      </c>
      <c r="Y125" s="51" t="b">
        <v>0</v>
      </c>
      <c r="Z125" s="51" t="b">
        <v>0</v>
      </c>
      <c r="AA125" s="71">
        <v>0.009768518518518518</v>
      </c>
      <c r="AB125" s="69" t="s">
        <v>1095</v>
      </c>
      <c r="AC125" s="69" t="s">
        <v>1096</v>
      </c>
      <c r="AD125" s="95" t="s">
        <v>1097</v>
      </c>
      <c r="AE125" s="74" t="s">
        <v>629</v>
      </c>
      <c r="AF125" s="74" t="s">
        <v>972</v>
      </c>
    </row>
    <row r="126">
      <c r="A126" s="52" t="s">
        <v>1101</v>
      </c>
      <c r="B126" s="52" t="s">
        <v>607</v>
      </c>
      <c r="C126" s="52" t="s">
        <v>607</v>
      </c>
      <c r="D126" s="65" t="s">
        <v>607</v>
      </c>
      <c r="E126" s="65" t="s">
        <v>607</v>
      </c>
      <c r="F126" s="65" t="s">
        <v>607</v>
      </c>
      <c r="G126" s="65" t="s">
        <v>607</v>
      </c>
      <c r="H126" s="52" t="s">
        <v>607</v>
      </c>
      <c r="I126" s="52" t="s">
        <v>607</v>
      </c>
      <c r="J126" s="52" t="s">
        <v>607</v>
      </c>
      <c r="K126" s="52" t="s">
        <v>607</v>
      </c>
      <c r="L126" s="52" t="s">
        <v>607</v>
      </c>
      <c r="M126" s="52" t="s">
        <v>607</v>
      </c>
      <c r="N126" s="52" t="s">
        <v>607</v>
      </c>
      <c r="O126" s="52"/>
      <c r="P126" s="52"/>
      <c r="Q126" s="52"/>
      <c r="R126" s="51" t="b">
        <v>0</v>
      </c>
      <c r="S126" s="51"/>
      <c r="T126" s="52"/>
      <c r="U126" s="51" t="b">
        <v>0</v>
      </c>
      <c r="V126" s="51" t="b">
        <v>0</v>
      </c>
      <c r="W126" s="51" t="b">
        <v>0</v>
      </c>
      <c r="X126" s="51" t="b">
        <v>0</v>
      </c>
      <c r="Y126" s="51" t="b">
        <v>0</v>
      </c>
      <c r="Z126" s="51" t="b">
        <v>0</v>
      </c>
      <c r="AA126" s="68"/>
      <c r="AB126" s="52"/>
      <c r="AC126" s="52"/>
      <c r="AD126" s="52"/>
      <c r="AE126" s="56" t="s">
        <v>607</v>
      </c>
      <c r="AF126" s="56" t="s">
        <v>607</v>
      </c>
    </row>
    <row r="127">
      <c r="A127" s="52" t="s">
        <v>1102</v>
      </c>
      <c r="B127" s="52" t="s">
        <v>14</v>
      </c>
      <c r="C127" s="52" t="s">
        <v>66</v>
      </c>
      <c r="D127" s="65">
        <v>0.7017129629629626</v>
      </c>
      <c r="E127" s="65">
        <v>3.4722222222222224E-4</v>
      </c>
      <c r="F127" s="65">
        <v>0.7020601851851849</v>
      </c>
      <c r="G127" s="65"/>
      <c r="H127" s="52" t="s">
        <v>79</v>
      </c>
      <c r="I127" s="52" t="s">
        <v>80</v>
      </c>
      <c r="J127" s="52" t="s">
        <v>69</v>
      </c>
      <c r="K127" s="52"/>
      <c r="L127" s="52"/>
      <c r="M127" s="52"/>
      <c r="N127" s="52" t="s">
        <v>70</v>
      </c>
      <c r="O127" s="52"/>
      <c r="P127" s="52"/>
      <c r="Q127" s="52"/>
      <c r="R127" s="51" t="b">
        <v>0</v>
      </c>
      <c r="S127" s="51"/>
      <c r="T127" s="52"/>
      <c r="U127" s="51" t="b">
        <v>0</v>
      </c>
      <c r="V127" s="51" t="b">
        <v>0</v>
      </c>
      <c r="W127" s="51" t="b">
        <v>0</v>
      </c>
      <c r="X127" s="51" t="b">
        <v>0</v>
      </c>
      <c r="Y127" s="51" t="b">
        <v>0</v>
      </c>
      <c r="Z127" s="51" t="b">
        <v>0</v>
      </c>
      <c r="AA127" s="68"/>
      <c r="AB127" s="52"/>
      <c r="AC127" s="52"/>
      <c r="AD127" s="52"/>
      <c r="AE127" s="56"/>
      <c r="AF127" s="56"/>
    </row>
    <row r="128">
      <c r="A128" s="52" t="s">
        <v>1103</v>
      </c>
      <c r="B128" s="52" t="s">
        <v>785</v>
      </c>
      <c r="C128" s="52" t="s">
        <v>66</v>
      </c>
      <c r="D128" s="65">
        <v>0.6422337962962964</v>
      </c>
      <c r="E128" s="65">
        <v>0.0020833333333333333</v>
      </c>
      <c r="F128" s="65">
        <v>0.6443171296296297</v>
      </c>
      <c r="G128" s="65" t="s">
        <v>195</v>
      </c>
      <c r="H128" s="52" t="s">
        <v>165</v>
      </c>
      <c r="I128" s="52" t="s">
        <v>1105</v>
      </c>
      <c r="J128" s="52" t="s">
        <v>1107</v>
      </c>
      <c r="K128" s="52"/>
      <c r="L128" s="52"/>
      <c r="M128" s="52"/>
      <c r="N128" s="52" t="s">
        <v>70</v>
      </c>
      <c r="O128" s="69" t="s">
        <v>884</v>
      </c>
      <c r="P128" s="69" t="s">
        <v>30</v>
      </c>
      <c r="Q128" s="73" t="s">
        <v>1109</v>
      </c>
      <c r="R128" s="51" t="b">
        <v>1</v>
      </c>
      <c r="S128" s="51" t="s">
        <v>1110</v>
      </c>
      <c r="T128" s="52"/>
      <c r="U128" s="51" t="b">
        <v>0</v>
      </c>
      <c r="V128" s="51" t="b">
        <v>1</v>
      </c>
      <c r="W128" s="51" t="b">
        <v>1</v>
      </c>
      <c r="X128" s="51" t="b">
        <v>1</v>
      </c>
      <c r="Y128" s="51" t="b">
        <v>0</v>
      </c>
      <c r="Z128" s="51" t="b">
        <v>0</v>
      </c>
      <c r="AA128" s="71">
        <v>0.0018287037037037037</v>
      </c>
      <c r="AB128" s="52"/>
      <c r="AC128" s="75"/>
      <c r="AD128" s="73" t="s">
        <v>1111</v>
      </c>
      <c r="AE128" s="56" t="s">
        <v>743</v>
      </c>
      <c r="AF128" s="56" t="s">
        <v>630</v>
      </c>
    </row>
    <row r="129">
      <c r="A129" s="52" t="s">
        <v>1113</v>
      </c>
      <c r="B129" s="52" t="s">
        <v>785</v>
      </c>
      <c r="C129" s="52" t="s">
        <v>66</v>
      </c>
      <c r="D129" s="65">
        <v>0.6443171296296297</v>
      </c>
      <c r="E129" s="65">
        <v>3.4722222222222224E-4</v>
      </c>
      <c r="F129" s="65">
        <v>0.644664351851852</v>
      </c>
      <c r="G129" s="65"/>
      <c r="H129" s="52" t="s">
        <v>81</v>
      </c>
      <c r="I129" s="52" t="s">
        <v>974</v>
      </c>
      <c r="J129" s="52" t="s">
        <v>105</v>
      </c>
      <c r="K129" s="52"/>
      <c r="L129" s="52"/>
      <c r="M129" s="52"/>
      <c r="N129" s="52" t="s">
        <v>70</v>
      </c>
      <c r="O129" s="52"/>
      <c r="P129" s="52"/>
      <c r="Q129" s="52"/>
      <c r="R129" s="51" t="b">
        <v>0</v>
      </c>
      <c r="S129" s="51"/>
      <c r="T129" s="52"/>
      <c r="U129" s="51" t="b">
        <v>0</v>
      </c>
      <c r="V129" s="51" t="b">
        <v>0</v>
      </c>
      <c r="W129" s="51" t="b">
        <v>0</v>
      </c>
      <c r="X129" s="51" t="b">
        <v>0</v>
      </c>
      <c r="Y129" s="51" t="b">
        <v>0</v>
      </c>
      <c r="Z129" s="51" t="b">
        <v>0</v>
      </c>
      <c r="AA129" s="68"/>
      <c r="AB129" s="52"/>
      <c r="AC129" s="52"/>
      <c r="AD129" s="52"/>
      <c r="AE129" s="56"/>
      <c r="AF129" s="56"/>
    </row>
    <row r="130">
      <c r="A130" s="52" t="s">
        <v>1117</v>
      </c>
      <c r="B130" s="52" t="s">
        <v>14</v>
      </c>
      <c r="C130" s="52" t="s">
        <v>289</v>
      </c>
      <c r="D130" s="65">
        <v>0.6291087962962957</v>
      </c>
      <c r="E130" s="65">
        <v>0.010601851851851852</v>
      </c>
      <c r="F130" s="65">
        <v>0.6397106481481475</v>
      </c>
      <c r="G130" s="65" t="s">
        <v>441</v>
      </c>
      <c r="H130" s="52" t="s">
        <v>74</v>
      </c>
      <c r="I130" s="52" t="s">
        <v>442</v>
      </c>
      <c r="J130" s="52" t="s">
        <v>443</v>
      </c>
      <c r="K130" s="52" t="s">
        <v>444</v>
      </c>
      <c r="L130" s="52"/>
      <c r="M130" s="52"/>
      <c r="N130" s="52" t="s">
        <v>306</v>
      </c>
      <c r="O130" s="69" t="s">
        <v>734</v>
      </c>
      <c r="P130" s="69" t="s">
        <v>17</v>
      </c>
      <c r="Q130" s="73" t="s">
        <v>1118</v>
      </c>
      <c r="R130" s="51" t="b">
        <v>1</v>
      </c>
      <c r="S130" s="96" t="s">
        <v>1119</v>
      </c>
      <c r="T130" s="52"/>
      <c r="U130" s="51" t="b">
        <v>0</v>
      </c>
      <c r="V130" s="51" t="b">
        <v>1</v>
      </c>
      <c r="W130" s="51" t="b">
        <v>1</v>
      </c>
      <c r="X130" s="51" t="b">
        <v>1</v>
      </c>
      <c r="Y130" s="51" t="b">
        <v>0</v>
      </c>
      <c r="Z130" s="51" t="b">
        <v>0</v>
      </c>
      <c r="AA130" s="85">
        <v>0.010648148148148148</v>
      </c>
      <c r="AB130" s="86" t="s">
        <v>1120</v>
      </c>
      <c r="AC130" s="75"/>
      <c r="AD130" s="80" t="s">
        <v>1121</v>
      </c>
      <c r="AE130" s="74" t="s">
        <v>629</v>
      </c>
      <c r="AF130" s="74" t="s">
        <v>1125</v>
      </c>
    </row>
    <row r="131">
      <c r="A131" s="52" t="s">
        <v>1126</v>
      </c>
      <c r="B131" s="52" t="s">
        <v>607</v>
      </c>
      <c r="C131" s="52" t="s">
        <v>607</v>
      </c>
      <c r="D131" s="65" t="s">
        <v>607</v>
      </c>
      <c r="E131" s="65" t="s">
        <v>607</v>
      </c>
      <c r="F131" s="65" t="s">
        <v>607</v>
      </c>
      <c r="G131" s="65" t="s">
        <v>607</v>
      </c>
      <c r="H131" s="52" t="s">
        <v>607</v>
      </c>
      <c r="I131" s="52" t="s">
        <v>607</v>
      </c>
      <c r="J131" s="52" t="s">
        <v>607</v>
      </c>
      <c r="K131" s="52" t="s">
        <v>607</v>
      </c>
      <c r="L131" s="52" t="s">
        <v>607</v>
      </c>
      <c r="M131" s="52" t="s">
        <v>607</v>
      </c>
      <c r="N131" s="52" t="s">
        <v>607</v>
      </c>
      <c r="O131" s="52"/>
      <c r="P131" s="52"/>
      <c r="Q131" s="52"/>
      <c r="R131" s="51" t="b">
        <v>0</v>
      </c>
      <c r="S131" s="51"/>
      <c r="T131" s="52"/>
      <c r="U131" s="51" t="b">
        <v>0</v>
      </c>
      <c r="V131" s="51" t="b">
        <v>0</v>
      </c>
      <c r="W131" s="51" t="b">
        <v>0</v>
      </c>
      <c r="X131" s="51" t="b">
        <v>0</v>
      </c>
      <c r="Y131" s="51" t="b">
        <v>0</v>
      </c>
      <c r="Z131" s="51" t="b">
        <v>0</v>
      </c>
      <c r="AA131" s="68"/>
      <c r="AB131" s="52"/>
      <c r="AC131" s="52"/>
      <c r="AD131" s="52"/>
      <c r="AE131" s="56" t="s">
        <v>607</v>
      </c>
      <c r="AF131" s="56" t="s">
        <v>607</v>
      </c>
    </row>
    <row r="132">
      <c r="A132" s="52" t="s">
        <v>1130</v>
      </c>
      <c r="B132" s="52" t="s">
        <v>14</v>
      </c>
      <c r="C132" s="52" t="s">
        <v>66</v>
      </c>
      <c r="D132" s="65">
        <v>0.7156018518518514</v>
      </c>
      <c r="E132" s="65">
        <v>6.944444444444445E-4</v>
      </c>
      <c r="F132" s="65">
        <v>0.7162962962962959</v>
      </c>
      <c r="G132" s="65"/>
      <c r="H132" s="52" t="s">
        <v>71</v>
      </c>
      <c r="I132" s="52" t="s">
        <v>219</v>
      </c>
      <c r="J132" s="52" t="s">
        <v>73</v>
      </c>
      <c r="K132" s="52"/>
      <c r="L132" s="52"/>
      <c r="M132" s="52"/>
      <c r="N132" s="52" t="s">
        <v>70</v>
      </c>
      <c r="O132" s="52"/>
      <c r="P132" s="52"/>
      <c r="Q132" s="52"/>
      <c r="R132" s="51" t="b">
        <v>0</v>
      </c>
      <c r="S132" s="51"/>
      <c r="T132" s="52"/>
      <c r="U132" s="51" t="b">
        <v>0</v>
      </c>
      <c r="V132" s="51" t="b">
        <v>0</v>
      </c>
      <c r="W132" s="51" t="b">
        <v>0</v>
      </c>
      <c r="X132" s="51" t="b">
        <v>0</v>
      </c>
      <c r="Y132" s="51" t="b">
        <v>0</v>
      </c>
      <c r="Z132" s="51" t="b">
        <v>0</v>
      </c>
      <c r="AA132" s="68"/>
      <c r="AB132" s="52"/>
      <c r="AC132" s="52"/>
      <c r="AD132" s="52"/>
      <c r="AE132" s="56"/>
      <c r="AF132" s="56"/>
    </row>
    <row r="133">
      <c r="A133" s="52" t="s">
        <v>1132</v>
      </c>
      <c r="B133" s="52" t="s">
        <v>220</v>
      </c>
      <c r="C133" s="52"/>
      <c r="D133" s="65"/>
      <c r="E133" s="65"/>
      <c r="F133" s="65"/>
      <c r="G133" s="65"/>
      <c r="H133" s="52"/>
      <c r="I133" s="52"/>
      <c r="J133" s="52"/>
      <c r="K133" s="52"/>
      <c r="L133" s="52"/>
      <c r="M133" s="52"/>
      <c r="N133" s="52" t="s">
        <v>70</v>
      </c>
      <c r="O133" s="52"/>
      <c r="P133" s="52"/>
      <c r="Q133" s="52"/>
      <c r="R133" s="51" t="b">
        <v>0</v>
      </c>
      <c r="S133" s="51"/>
      <c r="T133" s="52"/>
      <c r="U133" s="51" t="b">
        <v>0</v>
      </c>
      <c r="V133" s="51" t="b">
        <v>0</v>
      </c>
      <c r="W133" s="51" t="b">
        <v>0</v>
      </c>
      <c r="X133" s="51" t="b">
        <v>0</v>
      </c>
      <c r="Y133" s="51" t="b">
        <v>0</v>
      </c>
      <c r="Z133" s="51" t="b">
        <v>0</v>
      </c>
      <c r="AA133" s="68"/>
      <c r="AB133" s="52"/>
      <c r="AC133" s="52"/>
      <c r="AD133" s="52"/>
      <c r="AE133" s="56"/>
      <c r="AF133" s="56"/>
    </row>
    <row r="134">
      <c r="A134" s="52" t="s">
        <v>1135</v>
      </c>
      <c r="B134" s="52" t="s">
        <v>14</v>
      </c>
      <c r="C134" s="52" t="s">
        <v>221</v>
      </c>
      <c r="D134" s="65"/>
      <c r="E134" s="65"/>
      <c r="F134" s="65"/>
      <c r="G134" s="65"/>
      <c r="H134" s="52"/>
      <c r="I134" s="52"/>
      <c r="J134" s="52"/>
      <c r="K134" s="52"/>
      <c r="L134" s="52"/>
      <c r="M134" s="52"/>
      <c r="N134" s="52" t="s">
        <v>70</v>
      </c>
      <c r="O134" s="52"/>
      <c r="P134" s="52"/>
      <c r="Q134" s="52"/>
      <c r="R134" s="51" t="b">
        <v>0</v>
      </c>
      <c r="S134" s="51"/>
      <c r="T134" s="52"/>
      <c r="U134" s="51" t="b">
        <v>0</v>
      </c>
      <c r="V134" s="51" t="b">
        <v>0</v>
      </c>
      <c r="W134" s="51" t="b">
        <v>0</v>
      </c>
      <c r="X134" s="51" t="b">
        <v>0</v>
      </c>
      <c r="Y134" s="51" t="b">
        <v>0</v>
      </c>
      <c r="Z134" s="51" t="b">
        <v>0</v>
      </c>
      <c r="AA134" s="68"/>
      <c r="AB134" s="52"/>
      <c r="AC134" s="52"/>
      <c r="AD134" s="52"/>
      <c r="AE134" s="56" t="s">
        <v>1136</v>
      </c>
      <c r="AF134" s="56"/>
    </row>
    <row r="135">
      <c r="A135" s="52" t="s">
        <v>1137</v>
      </c>
      <c r="B135" s="52" t="s">
        <v>14</v>
      </c>
      <c r="C135" s="52" t="s">
        <v>221</v>
      </c>
      <c r="D135" s="65">
        <v>0.4166666666666667</v>
      </c>
      <c r="E135" s="65">
        <v>0.0010416666666666667</v>
      </c>
      <c r="F135" s="65">
        <v>0.41770833333333335</v>
      </c>
      <c r="G135" s="65"/>
      <c r="H135" s="52" t="s">
        <v>67</v>
      </c>
      <c r="I135" s="52" t="s">
        <v>68</v>
      </c>
      <c r="J135" s="52" t="s">
        <v>69</v>
      </c>
      <c r="K135" s="52"/>
      <c r="L135" s="52"/>
      <c r="M135" s="52"/>
      <c r="N135" s="52" t="s">
        <v>70</v>
      </c>
      <c r="O135" s="52"/>
      <c r="P135" s="52"/>
      <c r="Q135" s="52"/>
      <c r="R135" s="51" t="b">
        <v>0</v>
      </c>
      <c r="S135" s="51"/>
      <c r="T135" s="52"/>
      <c r="U135" s="51" t="b">
        <v>0</v>
      </c>
      <c r="V135" s="51" t="b">
        <v>0</v>
      </c>
      <c r="W135" s="51" t="b">
        <v>0</v>
      </c>
      <c r="X135" s="51" t="b">
        <v>0</v>
      </c>
      <c r="Y135" s="51" t="b">
        <v>0</v>
      </c>
      <c r="Z135" s="51" t="b">
        <v>0</v>
      </c>
      <c r="AA135" s="68"/>
      <c r="AB135" s="52"/>
      <c r="AC135" s="52"/>
      <c r="AD135" s="52"/>
      <c r="AE135" s="56"/>
      <c r="AF135" s="56" t="s">
        <v>600</v>
      </c>
    </row>
    <row r="136">
      <c r="A136" s="52" t="s">
        <v>1140</v>
      </c>
      <c r="B136" s="52" t="s">
        <v>14</v>
      </c>
      <c r="C136" s="52" t="s">
        <v>221</v>
      </c>
      <c r="D136" s="65">
        <v>0.41770833333333335</v>
      </c>
      <c r="E136" s="65">
        <v>6.944444444444445E-4</v>
      </c>
      <c r="F136" s="65">
        <v>0.4184027777777778</v>
      </c>
      <c r="G136" s="65"/>
      <c r="H136" s="52" t="s">
        <v>103</v>
      </c>
      <c r="I136" s="52" t="s">
        <v>222</v>
      </c>
      <c r="J136" s="52" t="s">
        <v>128</v>
      </c>
      <c r="K136" s="52"/>
      <c r="L136" s="52"/>
      <c r="M136" s="52"/>
      <c r="N136" s="52" t="s">
        <v>70</v>
      </c>
      <c r="O136" s="52"/>
      <c r="P136" s="52"/>
      <c r="Q136" s="52"/>
      <c r="R136" s="51" t="b">
        <v>0</v>
      </c>
      <c r="S136" s="51"/>
      <c r="T136" s="52"/>
      <c r="U136" s="51" t="b">
        <v>0</v>
      </c>
      <c r="V136" s="51" t="b">
        <v>0</v>
      </c>
      <c r="W136" s="51" t="b">
        <v>0</v>
      </c>
      <c r="X136" s="51" t="b">
        <v>0</v>
      </c>
      <c r="Y136" s="51" t="b">
        <v>0</v>
      </c>
      <c r="Z136" s="51" t="b">
        <v>0</v>
      </c>
      <c r="AA136" s="68"/>
      <c r="AB136" s="52"/>
      <c r="AC136" s="52"/>
      <c r="AD136" s="52"/>
      <c r="AE136" s="56"/>
      <c r="AF136" s="56"/>
    </row>
    <row r="137">
      <c r="A137" s="52" t="s">
        <v>1142</v>
      </c>
      <c r="B137" s="52" t="s">
        <v>14</v>
      </c>
      <c r="C137" s="52" t="s">
        <v>221</v>
      </c>
      <c r="D137" s="65">
        <v>0.6547106481481477</v>
      </c>
      <c r="E137" s="65">
        <v>2.314814814814815E-4</v>
      </c>
      <c r="F137" s="65">
        <v>0.6549421296296292</v>
      </c>
      <c r="G137" s="65"/>
      <c r="H137" s="52" t="s">
        <v>81</v>
      </c>
      <c r="I137" s="52" t="s">
        <v>91</v>
      </c>
      <c r="J137" s="52" t="s">
        <v>73</v>
      </c>
      <c r="K137" s="52" t="s">
        <v>92</v>
      </c>
      <c r="L137" s="52"/>
      <c r="M137" s="52"/>
      <c r="N137" s="52" t="s">
        <v>70</v>
      </c>
      <c r="O137" s="52"/>
      <c r="P137" s="52"/>
      <c r="Q137" s="52"/>
      <c r="R137" s="51" t="b">
        <v>0</v>
      </c>
      <c r="S137" s="51"/>
      <c r="T137" s="52"/>
      <c r="U137" s="51" t="b">
        <v>0</v>
      </c>
      <c r="V137" s="51" t="b">
        <v>0</v>
      </c>
      <c r="W137" s="51" t="b">
        <v>0</v>
      </c>
      <c r="X137" s="51" t="b">
        <v>0</v>
      </c>
      <c r="Y137" s="51" t="b">
        <v>0</v>
      </c>
      <c r="Z137" s="51" t="b">
        <v>0</v>
      </c>
      <c r="AA137" s="68"/>
      <c r="AB137" s="52"/>
      <c r="AC137" s="52"/>
      <c r="AD137" s="52"/>
      <c r="AE137" s="56"/>
      <c r="AF137" s="56"/>
    </row>
    <row r="138">
      <c r="A138" s="52" t="s">
        <v>1147</v>
      </c>
      <c r="B138" s="52" t="s">
        <v>14</v>
      </c>
      <c r="C138" s="52" t="s">
        <v>66</v>
      </c>
      <c r="D138" s="65">
        <v>0.43015046296296305</v>
      </c>
      <c r="E138" s="65">
        <v>0.009027777777777777</v>
      </c>
      <c r="F138" s="65">
        <v>0.43917824074074086</v>
      </c>
      <c r="G138" s="65" t="s">
        <v>93</v>
      </c>
      <c r="H138" s="52" t="s">
        <v>94</v>
      </c>
      <c r="I138" s="52" t="s">
        <v>95</v>
      </c>
      <c r="J138" s="52" t="s">
        <v>96</v>
      </c>
      <c r="K138" s="52"/>
      <c r="L138" s="52"/>
      <c r="M138" s="52"/>
      <c r="N138" s="52" t="s">
        <v>97</v>
      </c>
      <c r="O138" s="69" t="s">
        <v>618</v>
      </c>
      <c r="P138" s="69" t="s">
        <v>32</v>
      </c>
      <c r="Q138" s="73" t="s">
        <v>1148</v>
      </c>
      <c r="R138" s="51" t="b">
        <v>1</v>
      </c>
      <c r="S138" s="52" t="s">
        <v>95</v>
      </c>
      <c r="T138" s="52"/>
      <c r="U138" s="51" t="b">
        <v>0</v>
      </c>
      <c r="V138" s="51" t="b">
        <v>1</v>
      </c>
      <c r="W138" s="51" t="b">
        <v>1</v>
      </c>
      <c r="X138" s="51" t="b">
        <v>1</v>
      </c>
      <c r="Y138" s="51" t="b">
        <v>1</v>
      </c>
      <c r="Z138" s="51" t="b">
        <v>0</v>
      </c>
      <c r="AA138" s="71">
        <v>0.00920138888888889</v>
      </c>
      <c r="AB138" s="69" t="s">
        <v>1150</v>
      </c>
      <c r="AC138" s="75"/>
      <c r="AD138" s="73" t="s">
        <v>1151</v>
      </c>
      <c r="AE138" s="56" t="s">
        <v>629</v>
      </c>
      <c r="AF138" s="56" t="s">
        <v>653</v>
      </c>
    </row>
    <row r="139">
      <c r="A139" s="52" t="s">
        <v>1157</v>
      </c>
      <c r="B139" s="52" t="s">
        <v>607</v>
      </c>
      <c r="C139" s="52" t="s">
        <v>607</v>
      </c>
      <c r="D139" s="65" t="s">
        <v>607</v>
      </c>
      <c r="E139" s="65" t="s">
        <v>607</v>
      </c>
      <c r="F139" s="65" t="s">
        <v>607</v>
      </c>
      <c r="G139" s="65" t="s">
        <v>607</v>
      </c>
      <c r="H139" s="52" t="s">
        <v>607</v>
      </c>
      <c r="I139" s="52" t="s">
        <v>607</v>
      </c>
      <c r="J139" s="52" t="s">
        <v>607</v>
      </c>
      <c r="K139" s="52" t="s">
        <v>607</v>
      </c>
      <c r="L139" s="52" t="s">
        <v>607</v>
      </c>
      <c r="M139" s="52" t="s">
        <v>607</v>
      </c>
      <c r="N139" s="52" t="s">
        <v>607</v>
      </c>
      <c r="O139" s="52"/>
      <c r="P139" s="52"/>
      <c r="Q139" s="52"/>
      <c r="R139" s="51" t="b">
        <v>0</v>
      </c>
      <c r="S139" s="51"/>
      <c r="T139" s="52"/>
      <c r="U139" s="51" t="b">
        <v>0</v>
      </c>
      <c r="V139" s="51" t="b">
        <v>0</v>
      </c>
      <c r="W139" s="51" t="b">
        <v>0</v>
      </c>
      <c r="X139" s="51" t="b">
        <v>0</v>
      </c>
      <c r="Y139" s="51" t="b">
        <v>0</v>
      </c>
      <c r="Z139" s="51" t="b">
        <v>0</v>
      </c>
      <c r="AA139" s="68"/>
      <c r="AB139" s="52"/>
      <c r="AC139" s="52"/>
      <c r="AD139" s="52"/>
      <c r="AE139" s="56" t="s">
        <v>607</v>
      </c>
      <c r="AF139" s="56" t="s">
        <v>607</v>
      </c>
    </row>
    <row r="140">
      <c r="A140" s="52" t="s">
        <v>1158</v>
      </c>
      <c r="B140" s="52" t="s">
        <v>14</v>
      </c>
      <c r="C140" s="52" t="s">
        <v>221</v>
      </c>
      <c r="D140" s="65">
        <v>0.43009259259259264</v>
      </c>
      <c r="E140" s="65">
        <v>2.314814814814815E-4</v>
      </c>
      <c r="F140" s="65">
        <v>0.43032407407407414</v>
      </c>
      <c r="G140" s="65"/>
      <c r="H140" s="52" t="s">
        <v>81</v>
      </c>
      <c r="I140" s="52" t="s">
        <v>225</v>
      </c>
      <c r="J140" s="52" t="s">
        <v>128</v>
      </c>
      <c r="K140" s="52"/>
      <c r="L140" s="52"/>
      <c r="M140" s="52"/>
      <c r="N140" s="52" t="s">
        <v>70</v>
      </c>
      <c r="O140" s="52"/>
      <c r="P140" s="52"/>
      <c r="Q140" s="52"/>
      <c r="R140" s="51" t="b">
        <v>0</v>
      </c>
      <c r="S140" s="51"/>
      <c r="T140" s="52"/>
      <c r="U140" s="51" t="b">
        <v>0</v>
      </c>
      <c r="V140" s="51" t="b">
        <v>0</v>
      </c>
      <c r="W140" s="51" t="b">
        <v>0</v>
      </c>
      <c r="X140" s="51" t="b">
        <v>0</v>
      </c>
      <c r="Y140" s="51" t="b">
        <v>0</v>
      </c>
      <c r="Z140" s="51" t="b">
        <v>0</v>
      </c>
      <c r="AA140" s="68"/>
      <c r="AB140" s="52"/>
      <c r="AC140" s="52"/>
      <c r="AD140" s="52"/>
      <c r="AE140" s="56"/>
      <c r="AF140" s="56"/>
    </row>
    <row r="141">
      <c r="A141" s="52" t="s">
        <v>1161</v>
      </c>
      <c r="B141" s="52" t="s">
        <v>14</v>
      </c>
      <c r="C141" s="52" t="s">
        <v>221</v>
      </c>
      <c r="D141" s="65">
        <v>0.43032407407407414</v>
      </c>
      <c r="E141" s="65">
        <v>0.0020833333333333333</v>
      </c>
      <c r="F141" s="65">
        <v>0.43240740740740746</v>
      </c>
      <c r="G141" s="65" t="s">
        <v>106</v>
      </c>
      <c r="H141" s="52" t="s">
        <v>83</v>
      </c>
      <c r="I141" s="52" t="s">
        <v>226</v>
      </c>
      <c r="J141" s="52"/>
      <c r="K141" s="52"/>
      <c r="L141" s="52"/>
      <c r="M141" s="52"/>
      <c r="N141" s="52" t="s">
        <v>70</v>
      </c>
      <c r="O141" s="52"/>
      <c r="P141" s="52"/>
      <c r="Q141" s="52"/>
      <c r="R141" s="51" t="b">
        <v>0</v>
      </c>
      <c r="S141" s="51"/>
      <c r="T141" s="52"/>
      <c r="U141" s="51" t="b">
        <v>0</v>
      </c>
      <c r="V141" s="51" t="b">
        <v>0</v>
      </c>
      <c r="W141" s="51" t="b">
        <v>0</v>
      </c>
      <c r="X141" s="51" t="b">
        <v>0</v>
      </c>
      <c r="Y141" s="51" t="b">
        <v>0</v>
      </c>
      <c r="Z141" s="51" t="b">
        <v>0</v>
      </c>
      <c r="AA141" s="68"/>
      <c r="AB141" s="52"/>
      <c r="AC141" s="52"/>
      <c r="AD141" s="52"/>
      <c r="AE141" s="56" t="s">
        <v>314</v>
      </c>
      <c r="AF141" s="56"/>
    </row>
    <row r="142">
      <c r="A142" s="52" t="s">
        <v>1163</v>
      </c>
      <c r="B142" s="52" t="s">
        <v>607</v>
      </c>
      <c r="C142" s="52" t="s">
        <v>607</v>
      </c>
      <c r="D142" s="65" t="s">
        <v>607</v>
      </c>
      <c r="E142" s="65" t="s">
        <v>607</v>
      </c>
      <c r="F142" s="65" t="s">
        <v>607</v>
      </c>
      <c r="G142" s="65" t="s">
        <v>607</v>
      </c>
      <c r="H142" s="52" t="s">
        <v>607</v>
      </c>
      <c r="I142" s="52" t="s">
        <v>607</v>
      </c>
      <c r="J142" s="52" t="s">
        <v>607</v>
      </c>
      <c r="K142" s="52" t="s">
        <v>607</v>
      </c>
      <c r="L142" s="52" t="s">
        <v>607</v>
      </c>
      <c r="M142" s="52" t="s">
        <v>607</v>
      </c>
      <c r="N142" s="52" t="s">
        <v>607</v>
      </c>
      <c r="O142" s="52"/>
      <c r="P142" s="52"/>
      <c r="Q142" s="52"/>
      <c r="R142" s="51" t="b">
        <v>0</v>
      </c>
      <c r="S142" s="51"/>
      <c r="T142" s="52"/>
      <c r="U142" s="51" t="b">
        <v>0</v>
      </c>
      <c r="V142" s="51" t="b">
        <v>0</v>
      </c>
      <c r="W142" s="51" t="b">
        <v>0</v>
      </c>
      <c r="X142" s="51" t="b">
        <v>0</v>
      </c>
      <c r="Y142" s="51" t="b">
        <v>0</v>
      </c>
      <c r="Z142" s="51" t="b">
        <v>0</v>
      </c>
      <c r="AA142" s="68"/>
      <c r="AB142" s="52"/>
      <c r="AC142" s="52"/>
      <c r="AD142" s="52"/>
      <c r="AE142" s="56" t="s">
        <v>607</v>
      </c>
      <c r="AF142" s="56" t="s">
        <v>607</v>
      </c>
    </row>
    <row r="143">
      <c r="A143" s="52" t="s">
        <v>1165</v>
      </c>
      <c r="B143" s="52" t="s">
        <v>14</v>
      </c>
      <c r="C143" s="52" t="s">
        <v>289</v>
      </c>
      <c r="D143" s="65">
        <v>0.6690393518518509</v>
      </c>
      <c r="E143" s="65">
        <v>2.314814814814815E-4</v>
      </c>
      <c r="F143" s="65">
        <v>0.6692708333333324</v>
      </c>
      <c r="G143" s="65"/>
      <c r="H143" s="52" t="s">
        <v>81</v>
      </c>
      <c r="I143" s="52" t="s">
        <v>81</v>
      </c>
      <c r="J143" s="52" t="s">
        <v>128</v>
      </c>
      <c r="K143" s="52"/>
      <c r="L143" s="52"/>
      <c r="M143" s="52"/>
      <c r="N143" s="52" t="s">
        <v>70</v>
      </c>
      <c r="O143" s="52"/>
      <c r="P143" s="52"/>
      <c r="Q143" s="52"/>
      <c r="R143" s="51" t="b">
        <v>0</v>
      </c>
      <c r="S143" s="51"/>
      <c r="T143" s="52"/>
      <c r="U143" s="51" t="b">
        <v>0</v>
      </c>
      <c r="V143" s="51" t="b">
        <v>0</v>
      </c>
      <c r="W143" s="51" t="b">
        <v>0</v>
      </c>
      <c r="X143" s="51" t="b">
        <v>0</v>
      </c>
      <c r="Y143" s="51" t="b">
        <v>0</v>
      </c>
      <c r="Z143" s="51" t="b">
        <v>0</v>
      </c>
      <c r="AA143" s="68"/>
      <c r="AB143" s="52"/>
      <c r="AC143" s="52"/>
      <c r="AD143" s="52"/>
      <c r="AE143" s="56"/>
      <c r="AF143" s="56"/>
    </row>
    <row r="144">
      <c r="A144" s="52" t="s">
        <v>1170</v>
      </c>
      <c r="B144" s="52" t="s">
        <v>14</v>
      </c>
      <c r="C144" s="52" t="s">
        <v>289</v>
      </c>
      <c r="D144" s="65">
        <v>0.6692708333333324</v>
      </c>
      <c r="E144" s="65">
        <v>0.011203703703703704</v>
      </c>
      <c r="F144" s="65">
        <v>0.6804745370370361</v>
      </c>
      <c r="G144" s="65"/>
      <c r="H144" s="52" t="s">
        <v>107</v>
      </c>
      <c r="I144" s="52" t="s">
        <v>458</v>
      </c>
      <c r="J144" s="52" t="s">
        <v>459</v>
      </c>
      <c r="K144" s="52" t="s">
        <v>460</v>
      </c>
      <c r="L144" s="52"/>
      <c r="M144" s="52"/>
      <c r="N144" s="52" t="s">
        <v>461</v>
      </c>
      <c r="O144" s="69" t="s">
        <v>734</v>
      </c>
      <c r="P144" s="69" t="s">
        <v>15</v>
      </c>
      <c r="Q144" s="77" t="s">
        <v>1172</v>
      </c>
      <c r="R144" s="51" t="b">
        <v>1</v>
      </c>
      <c r="S144" s="52" t="s">
        <v>458</v>
      </c>
      <c r="T144" s="52"/>
      <c r="U144" s="51" t="b">
        <v>0</v>
      </c>
      <c r="V144" s="51" t="b">
        <v>1</v>
      </c>
      <c r="W144" s="51" t="b">
        <v>1</v>
      </c>
      <c r="X144" s="51" t="b">
        <v>1</v>
      </c>
      <c r="Y144" s="51" t="b">
        <v>0</v>
      </c>
      <c r="Z144" s="51" t="b">
        <v>0</v>
      </c>
      <c r="AA144" s="71">
        <v>0.01119212962962963</v>
      </c>
      <c r="AB144" s="69" t="s">
        <v>1173</v>
      </c>
      <c r="AC144" s="72"/>
      <c r="AD144" s="76" t="s">
        <v>1174</v>
      </c>
      <c r="AE144" s="74" t="s">
        <v>629</v>
      </c>
      <c r="AF144" s="74" t="s">
        <v>1076</v>
      </c>
    </row>
    <row r="145">
      <c r="A145" s="52" t="s">
        <v>1175</v>
      </c>
      <c r="B145" s="52" t="s">
        <v>607</v>
      </c>
      <c r="C145" s="52" t="s">
        <v>607</v>
      </c>
      <c r="D145" s="65" t="s">
        <v>607</v>
      </c>
      <c r="E145" s="65" t="s">
        <v>607</v>
      </c>
      <c r="F145" s="65" t="s">
        <v>607</v>
      </c>
      <c r="G145" s="65" t="s">
        <v>607</v>
      </c>
      <c r="H145" s="52" t="s">
        <v>607</v>
      </c>
      <c r="I145" s="52" t="s">
        <v>607</v>
      </c>
      <c r="J145" s="52" t="s">
        <v>607</v>
      </c>
      <c r="K145" s="52" t="s">
        <v>607</v>
      </c>
      <c r="L145" s="52" t="s">
        <v>607</v>
      </c>
      <c r="M145" s="52" t="s">
        <v>607</v>
      </c>
      <c r="N145" s="52" t="s">
        <v>607</v>
      </c>
      <c r="O145" s="52"/>
      <c r="P145" s="52"/>
      <c r="Q145" s="52"/>
      <c r="R145" s="51" t="b">
        <v>0</v>
      </c>
      <c r="S145" s="51"/>
      <c r="T145" s="52"/>
      <c r="U145" s="51" t="b">
        <v>0</v>
      </c>
      <c r="V145" s="51" t="b">
        <v>0</v>
      </c>
      <c r="W145" s="51" t="b">
        <v>0</v>
      </c>
      <c r="X145" s="51" t="b">
        <v>0</v>
      </c>
      <c r="Y145" s="51" t="b">
        <v>0</v>
      </c>
      <c r="Z145" s="51" t="b">
        <v>0</v>
      </c>
      <c r="AA145" s="68"/>
      <c r="AB145" s="52"/>
      <c r="AC145" s="52"/>
      <c r="AD145" s="52"/>
      <c r="AE145" s="56" t="s">
        <v>607</v>
      </c>
      <c r="AF145" s="56" t="s">
        <v>607</v>
      </c>
    </row>
    <row r="146">
      <c r="A146" s="52" t="s">
        <v>1176</v>
      </c>
      <c r="B146" s="52" t="s">
        <v>14</v>
      </c>
      <c r="C146" s="52" t="s">
        <v>221</v>
      </c>
      <c r="D146" s="65">
        <v>0.7023495370370363</v>
      </c>
      <c r="E146" s="65">
        <v>0.0010416666666666667</v>
      </c>
      <c r="F146" s="65">
        <v>0.703391203703703</v>
      </c>
      <c r="G146" s="65"/>
      <c r="H146" s="52" t="s">
        <v>248</v>
      </c>
      <c r="I146" s="52" t="s">
        <v>337</v>
      </c>
      <c r="J146" s="52" t="s">
        <v>90</v>
      </c>
      <c r="K146" s="52"/>
      <c r="L146" s="52"/>
      <c r="M146" s="52"/>
      <c r="N146" s="52" t="s">
        <v>70</v>
      </c>
      <c r="O146" s="52"/>
      <c r="P146" s="69" t="s">
        <v>23</v>
      </c>
      <c r="Q146" s="73" t="s">
        <v>1177</v>
      </c>
      <c r="R146" s="51" t="b">
        <v>0</v>
      </c>
      <c r="S146" s="51"/>
      <c r="T146" s="52"/>
      <c r="U146" s="51" t="b">
        <v>0</v>
      </c>
      <c r="V146" s="51" t="b">
        <v>1</v>
      </c>
      <c r="W146" s="51" t="b">
        <v>1</v>
      </c>
      <c r="X146" s="51" t="b">
        <v>1</v>
      </c>
      <c r="Y146" s="51" t="b">
        <v>0</v>
      </c>
      <c r="Z146" s="51" t="b">
        <v>0</v>
      </c>
      <c r="AA146" s="71">
        <v>8.217592592592593E-4</v>
      </c>
      <c r="AB146" s="69" t="s">
        <v>1181</v>
      </c>
      <c r="AC146" s="75"/>
      <c r="AD146" s="76" t="s">
        <v>1182</v>
      </c>
      <c r="AE146" s="56"/>
      <c r="AF146" s="56" t="s">
        <v>1185</v>
      </c>
    </row>
    <row r="147">
      <c r="A147" s="52" t="s">
        <v>1186</v>
      </c>
      <c r="B147" s="52" t="s">
        <v>607</v>
      </c>
      <c r="C147" s="52" t="s">
        <v>607</v>
      </c>
      <c r="D147" s="65" t="s">
        <v>607</v>
      </c>
      <c r="E147" s="65" t="s">
        <v>607</v>
      </c>
      <c r="F147" s="65" t="s">
        <v>607</v>
      </c>
      <c r="G147" s="65" t="s">
        <v>607</v>
      </c>
      <c r="H147" s="52" t="s">
        <v>607</v>
      </c>
      <c r="I147" s="52" t="s">
        <v>607</v>
      </c>
      <c r="J147" s="52" t="s">
        <v>607</v>
      </c>
      <c r="K147" s="52" t="s">
        <v>607</v>
      </c>
      <c r="L147" s="52" t="s">
        <v>607</v>
      </c>
      <c r="M147" s="52" t="s">
        <v>607</v>
      </c>
      <c r="N147" s="52" t="s">
        <v>607</v>
      </c>
      <c r="O147" s="52"/>
      <c r="P147" s="52"/>
      <c r="Q147" s="52"/>
      <c r="R147" s="51" t="b">
        <v>0</v>
      </c>
      <c r="S147" s="51"/>
      <c r="T147" s="52"/>
      <c r="U147" s="51" t="b">
        <v>0</v>
      </c>
      <c r="V147" s="51" t="b">
        <v>0</v>
      </c>
      <c r="W147" s="51" t="b">
        <v>0</v>
      </c>
      <c r="X147" s="51" t="b">
        <v>0</v>
      </c>
      <c r="Y147" s="51" t="b">
        <v>0</v>
      </c>
      <c r="Z147" s="51" t="b">
        <v>0</v>
      </c>
      <c r="AA147" s="68"/>
      <c r="AB147" s="52"/>
      <c r="AC147" s="52"/>
      <c r="AD147" s="52"/>
      <c r="AE147" s="56" t="s">
        <v>607</v>
      </c>
      <c r="AF147" s="56" t="s">
        <v>607</v>
      </c>
    </row>
    <row r="148">
      <c r="A148" s="52" t="s">
        <v>1189</v>
      </c>
      <c r="B148" s="52" t="s">
        <v>14</v>
      </c>
      <c r="C148" s="52" t="s">
        <v>289</v>
      </c>
      <c r="D148" s="65">
        <v>0.5236689814814817</v>
      </c>
      <c r="E148" s="65">
        <v>2.314814814814815E-4</v>
      </c>
      <c r="F148" s="65">
        <v>0.5239004629629631</v>
      </c>
      <c r="G148" s="65"/>
      <c r="H148" s="52" t="s">
        <v>81</v>
      </c>
      <c r="I148" s="52" t="s">
        <v>392</v>
      </c>
      <c r="J148" s="52" t="s">
        <v>92</v>
      </c>
      <c r="K148" s="52"/>
      <c r="L148" s="52"/>
      <c r="M148" s="52"/>
      <c r="N148" s="52" t="s">
        <v>70</v>
      </c>
      <c r="O148" s="52"/>
      <c r="P148" s="52"/>
      <c r="Q148" s="52"/>
      <c r="R148" s="51" t="b">
        <v>0</v>
      </c>
      <c r="S148" s="51"/>
      <c r="T148" s="52"/>
      <c r="U148" s="51" t="b">
        <v>0</v>
      </c>
      <c r="V148" s="51" t="b">
        <v>0</v>
      </c>
      <c r="W148" s="51" t="b">
        <v>0</v>
      </c>
      <c r="X148" s="51" t="b">
        <v>0</v>
      </c>
      <c r="Y148" s="51" t="b">
        <v>0</v>
      </c>
      <c r="Z148" s="51" t="b">
        <v>0</v>
      </c>
      <c r="AA148" s="68"/>
      <c r="AB148" s="52"/>
      <c r="AC148" s="52"/>
      <c r="AD148" s="52"/>
      <c r="AE148" s="56"/>
      <c r="AF148" s="56"/>
    </row>
    <row r="149">
      <c r="A149" s="52" t="s">
        <v>1192</v>
      </c>
      <c r="B149" s="52" t="s">
        <v>14</v>
      </c>
      <c r="C149" s="52" t="s">
        <v>221</v>
      </c>
      <c r="D149" s="65">
        <v>0.48564814814814844</v>
      </c>
      <c r="E149" s="65">
        <v>0.009722222222222222</v>
      </c>
      <c r="F149" s="65">
        <v>0.4953703703703707</v>
      </c>
      <c r="G149" s="65"/>
      <c r="H149" s="52" t="s">
        <v>107</v>
      </c>
      <c r="I149" s="52" t="s">
        <v>250</v>
      </c>
      <c r="J149" s="52" t="s">
        <v>251</v>
      </c>
      <c r="K149" s="52" t="s">
        <v>252</v>
      </c>
      <c r="L149" s="52"/>
      <c r="M149" s="52"/>
      <c r="N149" s="52" t="s">
        <v>253</v>
      </c>
      <c r="O149" s="69" t="s">
        <v>734</v>
      </c>
      <c r="P149" s="69" t="s">
        <v>32</v>
      </c>
      <c r="Q149" s="80" t="s">
        <v>1194</v>
      </c>
      <c r="R149" s="51" t="b">
        <v>1</v>
      </c>
      <c r="S149" s="52" t="s">
        <v>250</v>
      </c>
      <c r="T149" s="52"/>
      <c r="U149" s="51" t="b">
        <v>0</v>
      </c>
      <c r="V149" s="51" t="b">
        <v>1</v>
      </c>
      <c r="W149" s="51" t="b">
        <v>1</v>
      </c>
      <c r="X149" s="51" t="b">
        <v>1</v>
      </c>
      <c r="Y149" s="51" t="b">
        <v>0</v>
      </c>
      <c r="Z149" s="51" t="b">
        <v>0</v>
      </c>
      <c r="AA149" s="71">
        <v>0.00949074074074074</v>
      </c>
      <c r="AB149" s="69" t="s">
        <v>1198</v>
      </c>
      <c r="AC149" s="75"/>
      <c r="AD149" s="73" t="s">
        <v>1199</v>
      </c>
      <c r="AE149" s="56" t="s">
        <v>629</v>
      </c>
      <c r="AF149" s="56" t="s">
        <v>847</v>
      </c>
    </row>
    <row r="150">
      <c r="A150" s="52" t="s">
        <v>1200</v>
      </c>
      <c r="B150" s="52" t="s">
        <v>607</v>
      </c>
      <c r="C150" s="52" t="s">
        <v>607</v>
      </c>
      <c r="D150" s="65" t="s">
        <v>607</v>
      </c>
      <c r="E150" s="65" t="s">
        <v>607</v>
      </c>
      <c r="F150" s="65" t="s">
        <v>607</v>
      </c>
      <c r="G150" s="65" t="s">
        <v>607</v>
      </c>
      <c r="H150" s="52" t="s">
        <v>607</v>
      </c>
      <c r="I150" s="52" t="s">
        <v>607</v>
      </c>
      <c r="J150" s="52" t="s">
        <v>607</v>
      </c>
      <c r="K150" s="52" t="s">
        <v>607</v>
      </c>
      <c r="L150" s="52" t="s">
        <v>607</v>
      </c>
      <c r="M150" s="52" t="s">
        <v>607</v>
      </c>
      <c r="N150" s="52" t="s">
        <v>607</v>
      </c>
      <c r="O150" s="52"/>
      <c r="P150" s="52"/>
      <c r="Q150" s="52"/>
      <c r="R150" s="51" t="b">
        <v>0</v>
      </c>
      <c r="S150" s="51"/>
      <c r="T150" s="52"/>
      <c r="U150" s="51" t="b">
        <v>0</v>
      </c>
      <c r="V150" s="51" t="b">
        <v>0</v>
      </c>
      <c r="W150" s="51" t="b">
        <v>0</v>
      </c>
      <c r="X150" s="51" t="b">
        <v>0</v>
      </c>
      <c r="Y150" s="51" t="b">
        <v>0</v>
      </c>
      <c r="Z150" s="51" t="b">
        <v>0</v>
      </c>
      <c r="AA150" s="68"/>
      <c r="AB150" s="52"/>
      <c r="AC150" s="52"/>
      <c r="AD150" s="52"/>
      <c r="AE150" s="56" t="s">
        <v>607</v>
      </c>
      <c r="AF150" s="56" t="s">
        <v>607</v>
      </c>
    </row>
    <row r="151">
      <c r="A151" s="52" t="s">
        <v>1204</v>
      </c>
      <c r="B151" s="52" t="s">
        <v>607</v>
      </c>
      <c r="C151" s="52" t="s">
        <v>607</v>
      </c>
      <c r="D151" s="65" t="s">
        <v>607</v>
      </c>
      <c r="E151" s="65" t="s">
        <v>607</v>
      </c>
      <c r="F151" s="65" t="s">
        <v>607</v>
      </c>
      <c r="G151" s="65" t="s">
        <v>607</v>
      </c>
      <c r="H151" s="52" t="s">
        <v>607</v>
      </c>
      <c r="I151" s="52" t="s">
        <v>607</v>
      </c>
      <c r="J151" s="52" t="s">
        <v>607</v>
      </c>
      <c r="K151" s="52" t="s">
        <v>607</v>
      </c>
      <c r="L151" s="52" t="s">
        <v>607</v>
      </c>
      <c r="M151" s="52" t="s">
        <v>607</v>
      </c>
      <c r="N151" s="52" t="s">
        <v>607</v>
      </c>
      <c r="O151" s="52"/>
      <c r="P151" s="52"/>
      <c r="Q151" s="52"/>
      <c r="R151" s="51" t="b">
        <v>0</v>
      </c>
      <c r="S151" s="51"/>
      <c r="T151" s="52"/>
      <c r="U151" s="51" t="b">
        <v>0</v>
      </c>
      <c r="V151" s="51" t="b">
        <v>0</v>
      </c>
      <c r="W151" s="51" t="b">
        <v>0</v>
      </c>
      <c r="X151" s="51" t="b">
        <v>0</v>
      </c>
      <c r="Y151" s="51" t="b">
        <v>0</v>
      </c>
      <c r="Z151" s="51" t="b">
        <v>0</v>
      </c>
      <c r="AA151" s="68"/>
      <c r="AB151" s="52"/>
      <c r="AC151" s="52"/>
      <c r="AD151" s="52"/>
      <c r="AE151" s="56" t="s">
        <v>607</v>
      </c>
      <c r="AF151" s="56" t="s">
        <v>607</v>
      </c>
    </row>
    <row r="152">
      <c r="A152" s="52" t="s">
        <v>1206</v>
      </c>
      <c r="B152" s="52" t="s">
        <v>607</v>
      </c>
      <c r="C152" s="52" t="s">
        <v>607</v>
      </c>
      <c r="D152" s="65" t="s">
        <v>607</v>
      </c>
      <c r="E152" s="65" t="s">
        <v>607</v>
      </c>
      <c r="F152" s="65" t="s">
        <v>607</v>
      </c>
      <c r="G152" s="65" t="s">
        <v>607</v>
      </c>
      <c r="H152" s="52" t="s">
        <v>607</v>
      </c>
      <c r="I152" s="52" t="s">
        <v>607</v>
      </c>
      <c r="J152" s="52" t="s">
        <v>607</v>
      </c>
      <c r="K152" s="52" t="s">
        <v>607</v>
      </c>
      <c r="L152" s="52" t="s">
        <v>607</v>
      </c>
      <c r="M152" s="52" t="s">
        <v>607</v>
      </c>
      <c r="N152" s="52" t="s">
        <v>607</v>
      </c>
      <c r="O152" s="52"/>
      <c r="P152" s="52"/>
      <c r="Q152" s="52"/>
      <c r="R152" s="51" t="b">
        <v>0</v>
      </c>
      <c r="S152" s="51"/>
      <c r="T152" s="52"/>
      <c r="U152" s="51" t="b">
        <v>0</v>
      </c>
      <c r="V152" s="51" t="b">
        <v>0</v>
      </c>
      <c r="W152" s="51" t="b">
        <v>0</v>
      </c>
      <c r="X152" s="51" t="b">
        <v>0</v>
      </c>
      <c r="Y152" s="51" t="b">
        <v>0</v>
      </c>
      <c r="Z152" s="51" t="b">
        <v>0</v>
      </c>
      <c r="AA152" s="68"/>
      <c r="AB152" s="52"/>
      <c r="AC152" s="52"/>
      <c r="AD152" s="52"/>
      <c r="AE152" s="56" t="s">
        <v>607</v>
      </c>
      <c r="AF152" s="56" t="s">
        <v>607</v>
      </c>
    </row>
    <row r="153">
      <c r="A153" s="52" t="s">
        <v>1207</v>
      </c>
      <c r="B153" s="52" t="s">
        <v>14</v>
      </c>
      <c r="C153" s="52" t="s">
        <v>221</v>
      </c>
      <c r="D153" s="65">
        <v>0.4587962962962965</v>
      </c>
      <c r="E153" s="65">
        <v>6.944444444444445E-4</v>
      </c>
      <c r="F153" s="65">
        <v>0.4594907407407409</v>
      </c>
      <c r="G153" s="65"/>
      <c r="H153" s="52" t="s">
        <v>103</v>
      </c>
      <c r="I153" s="52" t="s">
        <v>238</v>
      </c>
      <c r="J153" s="52" t="s">
        <v>128</v>
      </c>
      <c r="K153" s="52"/>
      <c r="L153" s="52"/>
      <c r="M153" s="52"/>
      <c r="N153" s="52" t="s">
        <v>70</v>
      </c>
      <c r="O153" s="52"/>
      <c r="P153" s="52"/>
      <c r="Q153" s="52"/>
      <c r="R153" s="51" t="b">
        <v>0</v>
      </c>
      <c r="S153" s="51"/>
      <c r="T153" s="52"/>
      <c r="U153" s="51" t="b">
        <v>0</v>
      </c>
      <c r="V153" s="51" t="b">
        <v>0</v>
      </c>
      <c r="W153" s="51" t="b">
        <v>0</v>
      </c>
      <c r="X153" s="51" t="b">
        <v>0</v>
      </c>
      <c r="Y153" s="51" t="b">
        <v>0</v>
      </c>
      <c r="Z153" s="51" t="b">
        <v>0</v>
      </c>
      <c r="AA153" s="68"/>
      <c r="AB153" s="52"/>
      <c r="AC153" s="52"/>
      <c r="AD153" s="52"/>
      <c r="AE153" s="56"/>
      <c r="AF153" s="56"/>
    </row>
    <row r="154">
      <c r="A154" s="52" t="s">
        <v>1211</v>
      </c>
      <c r="B154" s="52" t="s">
        <v>14</v>
      </c>
      <c r="C154" s="52" t="s">
        <v>221</v>
      </c>
      <c r="D154" s="65">
        <v>0.48541666666666694</v>
      </c>
      <c r="E154" s="65">
        <v>2.314814814814815E-4</v>
      </c>
      <c r="F154" s="65">
        <v>0.48564814814814844</v>
      </c>
      <c r="G154" s="65"/>
      <c r="H154" s="52" t="s">
        <v>81</v>
      </c>
      <c r="I154" s="52" t="s">
        <v>91</v>
      </c>
      <c r="J154" s="52" t="s">
        <v>128</v>
      </c>
      <c r="K154" s="52"/>
      <c r="L154" s="52"/>
      <c r="M154" s="52"/>
      <c r="N154" s="52" t="s">
        <v>70</v>
      </c>
      <c r="O154" s="52"/>
      <c r="P154" s="52"/>
      <c r="Q154" s="52"/>
      <c r="R154" s="51" t="b">
        <v>0</v>
      </c>
      <c r="S154" s="51"/>
      <c r="T154" s="52"/>
      <c r="U154" s="51" t="b">
        <v>0</v>
      </c>
      <c r="V154" s="51" t="b">
        <v>0</v>
      </c>
      <c r="W154" s="51" t="b">
        <v>0</v>
      </c>
      <c r="X154" s="51" t="b">
        <v>0</v>
      </c>
      <c r="Y154" s="51" t="b">
        <v>0</v>
      </c>
      <c r="Z154" s="51" t="b">
        <v>0</v>
      </c>
      <c r="AA154" s="68"/>
      <c r="AB154" s="52"/>
      <c r="AC154" s="52"/>
      <c r="AD154" s="52"/>
      <c r="AE154" s="56"/>
      <c r="AF154" s="56"/>
    </row>
    <row r="155">
      <c r="A155" s="52" t="s">
        <v>1214</v>
      </c>
      <c r="B155" s="52" t="s">
        <v>14</v>
      </c>
      <c r="C155" s="52" t="s">
        <v>221</v>
      </c>
      <c r="D155" s="65">
        <v>0.4756944444444447</v>
      </c>
      <c r="E155" s="65">
        <v>0.009722222222222222</v>
      </c>
      <c r="F155" s="65">
        <v>0.48541666666666694</v>
      </c>
      <c r="G155" s="65"/>
      <c r="H155" s="52" t="s">
        <v>248</v>
      </c>
      <c r="I155" s="52" t="s">
        <v>249</v>
      </c>
      <c r="J155" s="52" t="s">
        <v>69</v>
      </c>
      <c r="K155" s="52"/>
      <c r="L155" s="52"/>
      <c r="M155" s="52"/>
      <c r="N155" s="52" t="s">
        <v>70</v>
      </c>
      <c r="O155" s="52"/>
      <c r="P155" s="52"/>
      <c r="Q155" s="52"/>
      <c r="R155" s="51" t="b">
        <v>0</v>
      </c>
      <c r="S155" s="51"/>
      <c r="T155" s="52"/>
      <c r="U155" s="51" t="b">
        <v>0</v>
      </c>
      <c r="V155" s="51" t="b">
        <v>0</v>
      </c>
      <c r="W155" s="51" t="b">
        <v>0</v>
      </c>
      <c r="X155" s="51" t="b">
        <v>0</v>
      </c>
      <c r="Y155" s="51" t="b">
        <v>0</v>
      </c>
      <c r="Z155" s="51" t="b">
        <v>0</v>
      </c>
      <c r="AA155" s="68"/>
      <c r="AB155" s="52"/>
      <c r="AC155" s="52"/>
      <c r="AD155" s="52"/>
      <c r="AE155" s="56"/>
      <c r="AF155" s="56" t="s">
        <v>1215</v>
      </c>
    </row>
    <row r="156">
      <c r="A156" s="52" t="s">
        <v>1216</v>
      </c>
      <c r="B156" s="52" t="s">
        <v>607</v>
      </c>
      <c r="C156" s="52" t="s">
        <v>607</v>
      </c>
      <c r="D156" s="65" t="s">
        <v>607</v>
      </c>
      <c r="E156" s="65" t="s">
        <v>607</v>
      </c>
      <c r="F156" s="65" t="s">
        <v>607</v>
      </c>
      <c r="G156" s="65" t="s">
        <v>607</v>
      </c>
      <c r="H156" s="52" t="s">
        <v>607</v>
      </c>
      <c r="I156" s="52" t="s">
        <v>607</v>
      </c>
      <c r="J156" s="52" t="s">
        <v>607</v>
      </c>
      <c r="K156" s="52" t="s">
        <v>607</v>
      </c>
      <c r="L156" s="52" t="s">
        <v>607</v>
      </c>
      <c r="M156" s="52" t="s">
        <v>607</v>
      </c>
      <c r="N156" s="52" t="s">
        <v>607</v>
      </c>
      <c r="O156" s="52"/>
      <c r="P156" s="52"/>
      <c r="Q156" s="52"/>
      <c r="R156" s="51" t="b">
        <v>0</v>
      </c>
      <c r="S156" s="51"/>
      <c r="T156" s="52"/>
      <c r="U156" s="51" t="b">
        <v>0</v>
      </c>
      <c r="V156" s="51" t="b">
        <v>0</v>
      </c>
      <c r="W156" s="51" t="b">
        <v>0</v>
      </c>
      <c r="X156" s="51" t="b">
        <v>0</v>
      </c>
      <c r="Y156" s="51" t="b">
        <v>0</v>
      </c>
      <c r="Z156" s="51" t="b">
        <v>0</v>
      </c>
      <c r="AA156" s="68"/>
      <c r="AB156" s="52"/>
      <c r="AC156" s="52"/>
      <c r="AD156" s="52"/>
      <c r="AE156" s="56" t="s">
        <v>607</v>
      </c>
      <c r="AF156" s="56" t="s">
        <v>607</v>
      </c>
    </row>
    <row r="157">
      <c r="A157" s="52" t="s">
        <v>1217</v>
      </c>
      <c r="B157" s="52" t="s">
        <v>14</v>
      </c>
      <c r="C157" s="52" t="s">
        <v>221</v>
      </c>
      <c r="D157" s="65">
        <v>0.4701388888888891</v>
      </c>
      <c r="E157" s="65">
        <v>2.314814814814815E-4</v>
      </c>
      <c r="F157" s="65">
        <v>0.4703703703703706</v>
      </c>
      <c r="G157" s="65"/>
      <c r="H157" s="52" t="s">
        <v>81</v>
      </c>
      <c r="I157" s="52" t="s">
        <v>243</v>
      </c>
      <c r="J157" s="52" t="s">
        <v>128</v>
      </c>
      <c r="K157" s="52"/>
      <c r="L157" s="52"/>
      <c r="M157" s="52"/>
      <c r="N157" s="52" t="s">
        <v>70</v>
      </c>
      <c r="O157" s="52"/>
      <c r="P157" s="52"/>
      <c r="Q157" s="52"/>
      <c r="R157" s="51" t="b">
        <v>0</v>
      </c>
      <c r="S157" s="51"/>
      <c r="T157" s="52"/>
      <c r="U157" s="51" t="b">
        <v>0</v>
      </c>
      <c r="V157" s="51" t="b">
        <v>0</v>
      </c>
      <c r="W157" s="51" t="b">
        <v>0</v>
      </c>
      <c r="X157" s="51" t="b">
        <v>0</v>
      </c>
      <c r="Y157" s="51" t="b">
        <v>0</v>
      </c>
      <c r="Z157" s="51" t="b">
        <v>0</v>
      </c>
      <c r="AA157" s="68"/>
      <c r="AB157" s="52"/>
      <c r="AC157" s="52"/>
      <c r="AD157" s="52"/>
      <c r="AE157" s="56"/>
      <c r="AF157" s="56"/>
    </row>
    <row r="158">
      <c r="A158" s="52" t="s">
        <v>1221</v>
      </c>
      <c r="B158" s="52" t="s">
        <v>14</v>
      </c>
      <c r="C158" s="52" t="s">
        <v>221</v>
      </c>
      <c r="D158" s="65">
        <v>0.4703703703703706</v>
      </c>
      <c r="E158" s="65">
        <v>0.0020833333333333333</v>
      </c>
      <c r="F158" s="65">
        <v>0.47245370370370393</v>
      </c>
      <c r="G158" s="65"/>
      <c r="H158" s="52" t="s">
        <v>83</v>
      </c>
      <c r="I158" s="52" t="s">
        <v>244</v>
      </c>
      <c r="J158" s="52"/>
      <c r="K158" s="52"/>
      <c r="L158" s="52"/>
      <c r="M158" s="52"/>
      <c r="N158" s="52" t="s">
        <v>70</v>
      </c>
      <c r="O158" s="52"/>
      <c r="P158" s="52"/>
      <c r="Q158" s="52"/>
      <c r="R158" s="51" t="b">
        <v>0</v>
      </c>
      <c r="S158" s="51"/>
      <c r="T158" s="52"/>
      <c r="U158" s="51" t="b">
        <v>0</v>
      </c>
      <c r="V158" s="51" t="b">
        <v>0</v>
      </c>
      <c r="W158" s="51" t="b">
        <v>0</v>
      </c>
      <c r="X158" s="51" t="b">
        <v>0</v>
      </c>
      <c r="Y158" s="51" t="b">
        <v>0</v>
      </c>
      <c r="Z158" s="51" t="b">
        <v>0</v>
      </c>
      <c r="AA158" s="68"/>
      <c r="AB158" s="52"/>
      <c r="AC158" s="52"/>
      <c r="AD158" s="52"/>
      <c r="AE158" s="56" t="s">
        <v>314</v>
      </c>
      <c r="AF158" s="56"/>
    </row>
    <row r="159">
      <c r="A159" s="52" t="s">
        <v>1225</v>
      </c>
      <c r="B159" s="52" t="s">
        <v>607</v>
      </c>
      <c r="C159" s="52" t="s">
        <v>607</v>
      </c>
      <c r="D159" s="65" t="s">
        <v>607</v>
      </c>
      <c r="E159" s="65" t="s">
        <v>607</v>
      </c>
      <c r="F159" s="65" t="s">
        <v>607</v>
      </c>
      <c r="G159" s="65" t="s">
        <v>607</v>
      </c>
      <c r="H159" s="52" t="s">
        <v>607</v>
      </c>
      <c r="I159" s="52" t="s">
        <v>607</v>
      </c>
      <c r="J159" s="52" t="s">
        <v>607</v>
      </c>
      <c r="K159" s="52" t="s">
        <v>607</v>
      </c>
      <c r="L159" s="52" t="s">
        <v>607</v>
      </c>
      <c r="M159" s="52" t="s">
        <v>607</v>
      </c>
      <c r="N159" s="52" t="s">
        <v>607</v>
      </c>
      <c r="O159" s="52"/>
      <c r="P159" s="52"/>
      <c r="Q159" s="52"/>
      <c r="R159" s="51" t="b">
        <v>0</v>
      </c>
      <c r="S159" s="51"/>
      <c r="T159" s="52"/>
      <c r="U159" s="51" t="b">
        <v>0</v>
      </c>
      <c r="V159" s="51" t="b">
        <v>0</v>
      </c>
      <c r="W159" s="51" t="b">
        <v>0</v>
      </c>
      <c r="X159" s="51" t="b">
        <v>0</v>
      </c>
      <c r="Y159" s="51" t="b">
        <v>0</v>
      </c>
      <c r="Z159" s="51" t="b">
        <v>0</v>
      </c>
      <c r="AA159" s="68"/>
      <c r="AB159" s="52"/>
      <c r="AC159" s="52"/>
      <c r="AD159" s="52"/>
      <c r="AE159" s="56" t="s">
        <v>607</v>
      </c>
      <c r="AF159" s="56" t="s">
        <v>607</v>
      </c>
    </row>
    <row r="160">
      <c r="A160" s="52" t="s">
        <v>1228</v>
      </c>
      <c r="B160" s="52" t="s">
        <v>607</v>
      </c>
      <c r="C160" s="52" t="s">
        <v>607</v>
      </c>
      <c r="D160" s="65" t="s">
        <v>607</v>
      </c>
      <c r="E160" s="65" t="s">
        <v>607</v>
      </c>
      <c r="F160" s="65" t="s">
        <v>607</v>
      </c>
      <c r="G160" s="65" t="s">
        <v>607</v>
      </c>
      <c r="H160" s="52" t="s">
        <v>607</v>
      </c>
      <c r="I160" s="52" t="s">
        <v>607</v>
      </c>
      <c r="J160" s="52" t="s">
        <v>607</v>
      </c>
      <c r="K160" s="52" t="s">
        <v>607</v>
      </c>
      <c r="L160" s="52" t="s">
        <v>607</v>
      </c>
      <c r="M160" s="52" t="s">
        <v>607</v>
      </c>
      <c r="N160" s="52" t="s">
        <v>607</v>
      </c>
      <c r="O160" s="52"/>
      <c r="P160" s="52"/>
      <c r="Q160" s="52"/>
      <c r="R160" s="51" t="b">
        <v>0</v>
      </c>
      <c r="S160" s="51"/>
      <c r="T160" s="52"/>
      <c r="U160" s="51" t="b">
        <v>0</v>
      </c>
      <c r="V160" s="51" t="b">
        <v>0</v>
      </c>
      <c r="W160" s="51" t="b">
        <v>0</v>
      </c>
      <c r="X160" s="51" t="b">
        <v>0</v>
      </c>
      <c r="Y160" s="51" t="b">
        <v>0</v>
      </c>
      <c r="Z160" s="51" t="b">
        <v>0</v>
      </c>
      <c r="AA160" s="68"/>
      <c r="AB160" s="52"/>
      <c r="AC160" s="52"/>
      <c r="AD160" s="52"/>
      <c r="AE160" s="56" t="s">
        <v>607</v>
      </c>
      <c r="AF160" s="56" t="s">
        <v>607</v>
      </c>
    </row>
    <row r="161">
      <c r="A161" s="52" t="s">
        <v>1230</v>
      </c>
      <c r="B161" s="52" t="s">
        <v>14</v>
      </c>
      <c r="C161" s="52" t="s">
        <v>66</v>
      </c>
      <c r="D161" s="65">
        <v>0.6418634259259257</v>
      </c>
      <c r="E161" s="65">
        <v>2.314814814814815E-4</v>
      </c>
      <c r="F161" s="65">
        <v>0.6420949074074072</v>
      </c>
      <c r="G161" s="65"/>
      <c r="H161" s="52" t="s">
        <v>81</v>
      </c>
      <c r="I161" s="52" t="s">
        <v>91</v>
      </c>
      <c r="J161" s="52" t="s">
        <v>73</v>
      </c>
      <c r="K161" s="52" t="s">
        <v>128</v>
      </c>
      <c r="L161" s="52"/>
      <c r="M161" s="52"/>
      <c r="N161" s="52" t="s">
        <v>70</v>
      </c>
      <c r="O161" s="52"/>
      <c r="P161" s="52"/>
      <c r="Q161" s="52"/>
      <c r="R161" s="51" t="b">
        <v>0</v>
      </c>
      <c r="S161" s="51"/>
      <c r="T161" s="52"/>
      <c r="U161" s="51" t="b">
        <v>0</v>
      </c>
      <c r="V161" s="51" t="b">
        <v>0</v>
      </c>
      <c r="W161" s="51" t="b">
        <v>0</v>
      </c>
      <c r="X161" s="51" t="b">
        <v>0</v>
      </c>
      <c r="Y161" s="51" t="b">
        <v>0</v>
      </c>
      <c r="Z161" s="51" t="b">
        <v>0</v>
      </c>
      <c r="AA161" s="68"/>
      <c r="AB161" s="52"/>
      <c r="AC161" s="52"/>
      <c r="AD161" s="52"/>
      <c r="AE161" s="56"/>
      <c r="AF161" s="56"/>
    </row>
    <row r="162">
      <c r="A162" s="52" t="s">
        <v>1231</v>
      </c>
      <c r="B162" s="52" t="s">
        <v>14</v>
      </c>
      <c r="C162" s="52" t="s">
        <v>66</v>
      </c>
      <c r="D162" s="65">
        <v>0.6420949074074072</v>
      </c>
      <c r="E162" s="65">
        <v>0.011458333333333333</v>
      </c>
      <c r="F162" s="65">
        <v>0.6535532407407405</v>
      </c>
      <c r="G162" s="65"/>
      <c r="H162" s="52" t="s">
        <v>74</v>
      </c>
      <c r="I162" s="52" t="s">
        <v>197</v>
      </c>
      <c r="J162" s="52" t="s">
        <v>198</v>
      </c>
      <c r="K162" s="52" t="s">
        <v>199</v>
      </c>
      <c r="L162" s="52" t="s">
        <v>200</v>
      </c>
      <c r="M162" s="52"/>
      <c r="N162" s="52" t="s">
        <v>201</v>
      </c>
      <c r="O162" s="69" t="s">
        <v>791</v>
      </c>
      <c r="P162" s="69" t="s">
        <v>30</v>
      </c>
      <c r="Q162" s="80" t="s">
        <v>1234</v>
      </c>
      <c r="R162" s="51" t="b">
        <v>1</v>
      </c>
      <c r="S162" s="52" t="s">
        <v>197</v>
      </c>
      <c r="T162" s="52"/>
      <c r="U162" s="51" t="b">
        <v>0</v>
      </c>
      <c r="V162" s="51" t="b">
        <v>1</v>
      </c>
      <c r="W162" s="51" t="b">
        <v>1</v>
      </c>
      <c r="X162" s="51" t="b">
        <v>1</v>
      </c>
      <c r="Y162" s="51" t="b">
        <v>0</v>
      </c>
      <c r="Z162" s="51" t="b">
        <v>0</v>
      </c>
      <c r="AA162" s="71">
        <v>0.011087962962962963</v>
      </c>
      <c r="AB162" s="69" t="s">
        <v>1237</v>
      </c>
      <c r="AC162" s="75"/>
      <c r="AD162" s="73" t="s">
        <v>1238</v>
      </c>
      <c r="AE162" s="56" t="s">
        <v>629</v>
      </c>
      <c r="AF162" s="56" t="s">
        <v>630</v>
      </c>
    </row>
    <row r="163">
      <c r="A163" s="52" t="s">
        <v>1239</v>
      </c>
      <c r="B163" s="52" t="s">
        <v>607</v>
      </c>
      <c r="C163" s="52" t="s">
        <v>607</v>
      </c>
      <c r="D163" s="65" t="s">
        <v>607</v>
      </c>
      <c r="E163" s="65" t="s">
        <v>607</v>
      </c>
      <c r="F163" s="65" t="s">
        <v>607</v>
      </c>
      <c r="G163" s="65" t="s">
        <v>607</v>
      </c>
      <c r="H163" s="52" t="s">
        <v>607</v>
      </c>
      <c r="I163" s="52" t="s">
        <v>607</v>
      </c>
      <c r="J163" s="52" t="s">
        <v>607</v>
      </c>
      <c r="K163" s="52" t="s">
        <v>607</v>
      </c>
      <c r="L163" s="52" t="s">
        <v>607</v>
      </c>
      <c r="M163" s="52" t="s">
        <v>607</v>
      </c>
      <c r="N163" s="52" t="s">
        <v>607</v>
      </c>
      <c r="O163" s="52"/>
      <c r="P163" s="52"/>
      <c r="Q163" s="52"/>
      <c r="R163" s="51" t="b">
        <v>0</v>
      </c>
      <c r="S163" s="51"/>
      <c r="T163" s="52"/>
      <c r="U163" s="51" t="b">
        <v>0</v>
      </c>
      <c r="V163" s="51" t="b">
        <v>0</v>
      </c>
      <c r="W163" s="51" t="b">
        <v>0</v>
      </c>
      <c r="X163" s="51" t="b">
        <v>0</v>
      </c>
      <c r="Y163" s="51" t="b">
        <v>0</v>
      </c>
      <c r="Z163" s="51" t="b">
        <v>0</v>
      </c>
      <c r="AA163" s="68"/>
      <c r="AB163" s="52"/>
      <c r="AC163" s="52"/>
      <c r="AD163" s="52"/>
      <c r="AE163" s="56" t="s">
        <v>607</v>
      </c>
      <c r="AF163" s="56" t="s">
        <v>607</v>
      </c>
    </row>
    <row r="164">
      <c r="A164" s="52" t="s">
        <v>1242</v>
      </c>
      <c r="B164" s="52" t="s">
        <v>14</v>
      </c>
      <c r="C164" s="52" t="s">
        <v>221</v>
      </c>
      <c r="D164" s="65">
        <v>0.4754629629629632</v>
      </c>
      <c r="E164" s="65">
        <v>2.314814814814815E-4</v>
      </c>
      <c r="F164" s="65">
        <v>0.4756944444444447</v>
      </c>
      <c r="G164" s="65"/>
      <c r="H164" s="52" t="s">
        <v>81</v>
      </c>
      <c r="I164" s="52" t="s">
        <v>91</v>
      </c>
      <c r="J164" s="52" t="s">
        <v>128</v>
      </c>
      <c r="K164" s="52"/>
      <c r="L164" s="52"/>
      <c r="M164" s="52"/>
      <c r="N164" s="52" t="s">
        <v>70</v>
      </c>
      <c r="O164" s="52"/>
      <c r="P164" s="52"/>
      <c r="Q164" s="52"/>
      <c r="R164" s="51" t="b">
        <v>0</v>
      </c>
      <c r="S164" s="51"/>
      <c r="T164" s="52"/>
      <c r="U164" s="51" t="b">
        <v>0</v>
      </c>
      <c r="V164" s="51" t="b">
        <v>0</v>
      </c>
      <c r="W164" s="51" t="b">
        <v>0</v>
      </c>
      <c r="X164" s="51" t="b">
        <v>0</v>
      </c>
      <c r="Y164" s="51" t="b">
        <v>0</v>
      </c>
      <c r="Z164" s="51" t="b">
        <v>0</v>
      </c>
      <c r="AA164" s="68"/>
      <c r="AB164" s="52"/>
      <c r="AC164" s="52"/>
      <c r="AD164" s="52"/>
      <c r="AE164" s="56"/>
      <c r="AF164" s="56"/>
    </row>
    <row r="165">
      <c r="A165" s="52" t="s">
        <v>1245</v>
      </c>
      <c r="B165" s="52" t="s">
        <v>785</v>
      </c>
      <c r="C165" s="52" t="s">
        <v>221</v>
      </c>
      <c r="D165" s="65">
        <v>0.5375</v>
      </c>
      <c r="E165" s="65">
        <v>0.005729166666666666</v>
      </c>
      <c r="F165" s="65">
        <v>0.5432291666666667</v>
      </c>
      <c r="G165" s="65" t="s">
        <v>106</v>
      </c>
      <c r="H165" s="52" t="s">
        <v>165</v>
      </c>
      <c r="I165" s="52" t="s">
        <v>1246</v>
      </c>
      <c r="J165" s="52" t="s">
        <v>1247</v>
      </c>
      <c r="K165" s="52"/>
      <c r="L165" s="52"/>
      <c r="M165" s="52"/>
      <c r="N165" s="52" t="s">
        <v>70</v>
      </c>
      <c r="O165" s="69" t="s">
        <v>884</v>
      </c>
      <c r="P165" s="69" t="s">
        <v>17</v>
      </c>
      <c r="Q165" s="92" t="s">
        <v>1030</v>
      </c>
      <c r="R165" s="51" t="b">
        <v>1</v>
      </c>
      <c r="S165" s="52"/>
      <c r="T165" s="52"/>
      <c r="U165" s="51" t="b">
        <v>0</v>
      </c>
      <c r="V165" s="51" t="b">
        <v>1</v>
      </c>
      <c r="W165" s="51" t="b">
        <v>0</v>
      </c>
      <c r="X165" s="51" t="b">
        <v>0</v>
      </c>
      <c r="Y165" s="51" t="b">
        <v>1</v>
      </c>
      <c r="Z165" s="51" t="b">
        <v>1</v>
      </c>
      <c r="AA165" s="71">
        <v>0.005729166666666666</v>
      </c>
      <c r="AB165" s="69" t="s">
        <v>1250</v>
      </c>
      <c r="AC165" s="97" t="s">
        <v>1251</v>
      </c>
      <c r="AD165" s="95" t="s">
        <v>1252</v>
      </c>
      <c r="AE165" s="56" t="s">
        <v>652</v>
      </c>
      <c r="AF165" s="56" t="s">
        <v>1253</v>
      </c>
    </row>
    <row r="166">
      <c r="A166" s="52" t="s">
        <v>1254</v>
      </c>
      <c r="B166" s="52" t="s">
        <v>607</v>
      </c>
      <c r="C166" s="52" t="s">
        <v>607</v>
      </c>
      <c r="D166" s="65" t="s">
        <v>607</v>
      </c>
      <c r="E166" s="65" t="s">
        <v>607</v>
      </c>
      <c r="F166" s="65" t="s">
        <v>607</v>
      </c>
      <c r="G166" s="65" t="s">
        <v>607</v>
      </c>
      <c r="H166" s="52" t="s">
        <v>607</v>
      </c>
      <c r="I166" s="52" t="s">
        <v>607</v>
      </c>
      <c r="J166" s="52" t="s">
        <v>607</v>
      </c>
      <c r="K166" s="52" t="s">
        <v>607</v>
      </c>
      <c r="L166" s="52" t="s">
        <v>607</v>
      </c>
      <c r="M166" s="52" t="s">
        <v>607</v>
      </c>
      <c r="N166" s="52" t="s">
        <v>607</v>
      </c>
      <c r="O166" s="52"/>
      <c r="P166" s="52"/>
      <c r="Q166" s="52"/>
      <c r="R166" s="51" t="b">
        <v>0</v>
      </c>
      <c r="S166" s="51"/>
      <c r="T166" s="52"/>
      <c r="U166" s="51" t="b">
        <v>0</v>
      </c>
      <c r="V166" s="51" t="b">
        <v>0</v>
      </c>
      <c r="W166" s="51" t="b">
        <v>0</v>
      </c>
      <c r="X166" s="51" t="b">
        <v>0</v>
      </c>
      <c r="Y166" s="51" t="b">
        <v>0</v>
      </c>
      <c r="Z166" s="51" t="b">
        <v>0</v>
      </c>
      <c r="AA166" s="68"/>
      <c r="AB166" s="52"/>
      <c r="AC166" s="52"/>
      <c r="AD166" s="52"/>
      <c r="AE166" s="56" t="s">
        <v>607</v>
      </c>
      <c r="AF166" s="56" t="s">
        <v>607</v>
      </c>
    </row>
    <row r="167">
      <c r="A167" s="52" t="s">
        <v>1256</v>
      </c>
      <c r="B167" s="52" t="s">
        <v>14</v>
      </c>
      <c r="C167" s="52" t="s">
        <v>221</v>
      </c>
      <c r="D167" s="65">
        <v>0.553854166666667</v>
      </c>
      <c r="E167" s="65">
        <v>2.314814814814815E-4</v>
      </c>
      <c r="F167" s="65">
        <v>0.5540856481481484</v>
      </c>
      <c r="G167" s="65"/>
      <c r="H167" s="52" t="s">
        <v>81</v>
      </c>
      <c r="I167" s="52" t="s">
        <v>91</v>
      </c>
      <c r="J167" s="52" t="s">
        <v>128</v>
      </c>
      <c r="K167" s="52"/>
      <c r="L167" s="52"/>
      <c r="M167" s="52"/>
      <c r="N167" s="52" t="s">
        <v>70</v>
      </c>
      <c r="O167" s="52"/>
      <c r="P167" s="52"/>
      <c r="Q167" s="52"/>
      <c r="R167" s="51" t="b">
        <v>0</v>
      </c>
      <c r="S167" s="51"/>
      <c r="T167" s="52"/>
      <c r="U167" s="51" t="b">
        <v>0</v>
      </c>
      <c r="V167" s="51" t="b">
        <v>0</v>
      </c>
      <c r="W167" s="51" t="b">
        <v>0</v>
      </c>
      <c r="X167" s="51" t="b">
        <v>0</v>
      </c>
      <c r="Y167" s="51" t="b">
        <v>0</v>
      </c>
      <c r="Z167" s="51" t="b">
        <v>0</v>
      </c>
      <c r="AA167" s="68"/>
      <c r="AB167" s="52"/>
      <c r="AC167" s="52"/>
      <c r="AD167" s="52"/>
      <c r="AE167" s="56"/>
      <c r="AF167" s="56"/>
    </row>
    <row r="168">
      <c r="A168" s="52" t="s">
        <v>1260</v>
      </c>
      <c r="B168" s="52" t="s">
        <v>785</v>
      </c>
      <c r="C168" s="52" t="s">
        <v>221</v>
      </c>
      <c r="D168" s="65">
        <v>0.5590277777777777</v>
      </c>
      <c r="E168" s="65">
        <v>0.009189814814814816</v>
      </c>
      <c r="F168" s="65">
        <v>0.5682175925925925</v>
      </c>
      <c r="G168" s="65" t="s">
        <v>93</v>
      </c>
      <c r="H168" s="52" t="s">
        <v>107</v>
      </c>
      <c r="I168" s="52" t="s">
        <v>1261</v>
      </c>
      <c r="J168" s="52" t="s">
        <v>765</v>
      </c>
      <c r="K168" s="52" t="s">
        <v>1263</v>
      </c>
      <c r="L168" s="52"/>
      <c r="M168" s="52"/>
      <c r="N168" s="52" t="s">
        <v>1264</v>
      </c>
      <c r="O168" s="69" t="s">
        <v>734</v>
      </c>
      <c r="P168" s="69" t="s">
        <v>20</v>
      </c>
      <c r="Q168" s="70" t="s">
        <v>1265</v>
      </c>
      <c r="R168" s="51" t="b">
        <v>1</v>
      </c>
      <c r="S168" s="98" t="s">
        <v>1268</v>
      </c>
      <c r="T168" s="52"/>
      <c r="U168" s="51" t="b">
        <v>0</v>
      </c>
      <c r="V168" s="51" t="b">
        <v>1</v>
      </c>
      <c r="W168" s="51" t="b">
        <v>1</v>
      </c>
      <c r="X168" s="51" t="b">
        <v>1</v>
      </c>
      <c r="Y168" s="51" t="b">
        <v>0</v>
      </c>
      <c r="Z168" s="51" t="b">
        <v>0</v>
      </c>
      <c r="AA168" s="71">
        <v>0.009189814814814816</v>
      </c>
      <c r="AB168" s="69" t="s">
        <v>1270</v>
      </c>
      <c r="AC168" s="72"/>
      <c r="AD168" s="95" t="s">
        <v>1271</v>
      </c>
      <c r="AE168" s="74" t="s">
        <v>629</v>
      </c>
      <c r="AF168" s="74" t="s">
        <v>972</v>
      </c>
    </row>
    <row r="169">
      <c r="A169" s="52" t="s">
        <v>1275</v>
      </c>
      <c r="B169" s="52" t="s">
        <v>607</v>
      </c>
      <c r="C169" s="52" t="s">
        <v>607</v>
      </c>
      <c r="D169" s="65" t="s">
        <v>607</v>
      </c>
      <c r="E169" s="65" t="s">
        <v>607</v>
      </c>
      <c r="F169" s="65" t="s">
        <v>607</v>
      </c>
      <c r="G169" s="65" t="s">
        <v>607</v>
      </c>
      <c r="H169" s="52" t="s">
        <v>607</v>
      </c>
      <c r="I169" s="52" t="s">
        <v>607</v>
      </c>
      <c r="J169" s="52" t="s">
        <v>607</v>
      </c>
      <c r="K169" s="52" t="s">
        <v>607</v>
      </c>
      <c r="L169" s="52" t="s">
        <v>607</v>
      </c>
      <c r="M169" s="52" t="s">
        <v>607</v>
      </c>
      <c r="N169" s="52" t="s">
        <v>607</v>
      </c>
      <c r="O169" s="52"/>
      <c r="P169" s="52"/>
      <c r="Q169" s="52"/>
      <c r="R169" s="51" t="b">
        <v>0</v>
      </c>
      <c r="S169" s="51"/>
      <c r="T169" s="52"/>
      <c r="U169" s="51" t="b">
        <v>0</v>
      </c>
      <c r="V169" s="51" t="b">
        <v>0</v>
      </c>
      <c r="W169" s="51" t="b">
        <v>0</v>
      </c>
      <c r="X169" s="51" t="b">
        <v>0</v>
      </c>
      <c r="Y169" s="51" t="b">
        <v>0</v>
      </c>
      <c r="Z169" s="51" t="b">
        <v>0</v>
      </c>
      <c r="AA169" s="68"/>
      <c r="AB169" s="52"/>
      <c r="AC169" s="52"/>
      <c r="AD169" s="52"/>
      <c r="AE169" s="56" t="s">
        <v>607</v>
      </c>
      <c r="AF169" s="56" t="s">
        <v>607</v>
      </c>
    </row>
    <row r="170">
      <c r="A170" s="52" t="s">
        <v>1279</v>
      </c>
      <c r="B170" s="52" t="s">
        <v>607</v>
      </c>
      <c r="C170" s="52" t="s">
        <v>607</v>
      </c>
      <c r="D170" s="65" t="s">
        <v>607</v>
      </c>
      <c r="E170" s="65" t="s">
        <v>607</v>
      </c>
      <c r="F170" s="65" t="s">
        <v>607</v>
      </c>
      <c r="G170" s="65" t="s">
        <v>607</v>
      </c>
      <c r="H170" s="52" t="s">
        <v>607</v>
      </c>
      <c r="I170" s="52" t="s">
        <v>607</v>
      </c>
      <c r="J170" s="52" t="s">
        <v>607</v>
      </c>
      <c r="K170" s="52" t="s">
        <v>607</v>
      </c>
      <c r="L170" s="52" t="s">
        <v>607</v>
      </c>
      <c r="M170" s="52" t="s">
        <v>607</v>
      </c>
      <c r="N170" s="52" t="s">
        <v>607</v>
      </c>
      <c r="O170" s="52"/>
      <c r="P170" s="52"/>
      <c r="Q170" s="52"/>
      <c r="R170" s="51" t="b">
        <v>0</v>
      </c>
      <c r="S170" s="51"/>
      <c r="T170" s="52"/>
      <c r="U170" s="51" t="b">
        <v>0</v>
      </c>
      <c r="V170" s="51" t="b">
        <v>0</v>
      </c>
      <c r="W170" s="51" t="b">
        <v>0</v>
      </c>
      <c r="X170" s="51" t="b">
        <v>0</v>
      </c>
      <c r="Y170" s="51" t="b">
        <v>0</v>
      </c>
      <c r="Z170" s="51" t="b">
        <v>0</v>
      </c>
      <c r="AA170" s="68"/>
      <c r="AB170" s="52"/>
      <c r="AC170" s="52"/>
      <c r="AD170" s="52"/>
      <c r="AE170" s="56" t="s">
        <v>607</v>
      </c>
      <c r="AF170" s="56" t="s">
        <v>607</v>
      </c>
    </row>
    <row r="171">
      <c r="A171" s="52" t="s">
        <v>1282</v>
      </c>
      <c r="B171" s="52" t="s">
        <v>14</v>
      </c>
      <c r="C171" s="52" t="s">
        <v>221</v>
      </c>
      <c r="D171" s="65">
        <v>0.5011574074074078</v>
      </c>
      <c r="E171" s="65">
        <v>3.4722222222222224E-4</v>
      </c>
      <c r="F171" s="65">
        <v>0.50150462962963</v>
      </c>
      <c r="G171" s="65"/>
      <c r="H171" s="52" t="s">
        <v>87</v>
      </c>
      <c r="I171" s="52" t="s">
        <v>88</v>
      </c>
      <c r="J171" s="52" t="s">
        <v>69</v>
      </c>
      <c r="K171" s="52"/>
      <c r="L171" s="52"/>
      <c r="M171" s="52"/>
      <c r="N171" s="52" t="s">
        <v>70</v>
      </c>
      <c r="O171" s="52"/>
      <c r="P171" s="52"/>
      <c r="Q171" s="52"/>
      <c r="R171" s="51" t="b">
        <v>0</v>
      </c>
      <c r="S171" s="51"/>
      <c r="T171" s="52"/>
      <c r="U171" s="51" t="b">
        <v>0</v>
      </c>
      <c r="V171" s="51" t="b">
        <v>0</v>
      </c>
      <c r="W171" s="51" t="b">
        <v>0</v>
      </c>
      <c r="X171" s="51" t="b">
        <v>0</v>
      </c>
      <c r="Y171" s="51" t="b">
        <v>0</v>
      </c>
      <c r="Z171" s="51" t="b">
        <v>0</v>
      </c>
      <c r="AA171" s="68"/>
      <c r="AB171" s="52"/>
      <c r="AC171" s="52"/>
      <c r="AD171" s="52"/>
      <c r="AE171" s="56"/>
      <c r="AF171" s="56" t="s">
        <v>600</v>
      </c>
    </row>
    <row r="172">
      <c r="A172" s="52" t="s">
        <v>1285</v>
      </c>
      <c r="B172" s="52" t="s">
        <v>14</v>
      </c>
      <c r="C172" s="52" t="s">
        <v>221</v>
      </c>
      <c r="D172" s="65">
        <v>0.5021990740740745</v>
      </c>
      <c r="E172" s="65">
        <v>2.314814814814815E-4</v>
      </c>
      <c r="F172" s="65">
        <v>0.5024305555555559</v>
      </c>
      <c r="G172" s="65"/>
      <c r="H172" s="52" t="s">
        <v>81</v>
      </c>
      <c r="I172" s="52" t="s">
        <v>91</v>
      </c>
      <c r="J172" s="52" t="s">
        <v>128</v>
      </c>
      <c r="K172" s="52"/>
      <c r="L172" s="52"/>
      <c r="M172" s="52"/>
      <c r="N172" s="52" t="s">
        <v>70</v>
      </c>
      <c r="O172" s="52"/>
      <c r="P172" s="52"/>
      <c r="Q172" s="52"/>
      <c r="R172" s="51" t="b">
        <v>0</v>
      </c>
      <c r="S172" s="51"/>
      <c r="T172" s="52"/>
      <c r="U172" s="51" t="b">
        <v>0</v>
      </c>
      <c r="V172" s="51" t="b">
        <v>0</v>
      </c>
      <c r="W172" s="51" t="b">
        <v>0</v>
      </c>
      <c r="X172" s="51" t="b">
        <v>0</v>
      </c>
      <c r="Y172" s="51" t="b">
        <v>0</v>
      </c>
      <c r="Z172" s="51" t="b">
        <v>0</v>
      </c>
      <c r="AA172" s="68"/>
      <c r="AB172" s="52"/>
      <c r="AC172" s="52"/>
      <c r="AD172" s="52"/>
      <c r="AE172" s="56"/>
      <c r="AF172" s="56"/>
    </row>
    <row r="173">
      <c r="A173" s="52" t="s">
        <v>1287</v>
      </c>
      <c r="B173" s="52" t="s">
        <v>14</v>
      </c>
      <c r="C173" s="52" t="s">
        <v>221</v>
      </c>
      <c r="D173" s="65">
        <v>0.617222222222222</v>
      </c>
      <c r="E173" s="65">
        <v>0.009722222222222222</v>
      </c>
      <c r="F173" s="65">
        <v>0.6269444444444442</v>
      </c>
      <c r="G173" s="65" t="s">
        <v>280</v>
      </c>
      <c r="H173" s="52" t="s">
        <v>107</v>
      </c>
      <c r="I173" s="52" t="s">
        <v>303</v>
      </c>
      <c r="J173" s="52" t="s">
        <v>304</v>
      </c>
      <c r="K173" s="52" t="s">
        <v>305</v>
      </c>
      <c r="L173" s="52"/>
      <c r="M173" s="52"/>
      <c r="N173" s="52" t="s">
        <v>306</v>
      </c>
      <c r="O173" s="69" t="s">
        <v>734</v>
      </c>
      <c r="P173" s="69" t="s">
        <v>30</v>
      </c>
      <c r="Q173" s="73" t="s">
        <v>1288</v>
      </c>
      <c r="R173" s="51" t="b">
        <v>1</v>
      </c>
      <c r="S173" s="52" t="s">
        <v>303</v>
      </c>
      <c r="T173" s="52"/>
      <c r="U173" s="51" t="b">
        <v>0</v>
      </c>
      <c r="V173" s="51" t="b">
        <v>1</v>
      </c>
      <c r="W173" s="51" t="b">
        <v>1</v>
      </c>
      <c r="X173" s="51" t="b">
        <v>1</v>
      </c>
      <c r="Y173" s="51" t="b">
        <v>0</v>
      </c>
      <c r="Z173" s="51" t="b">
        <v>0</v>
      </c>
      <c r="AA173" s="99">
        <v>0.010775462962962962</v>
      </c>
      <c r="AB173" s="100" t="s">
        <v>1291</v>
      </c>
      <c r="AC173" s="72"/>
      <c r="AD173" s="73" t="s">
        <v>1292</v>
      </c>
      <c r="AE173" s="56" t="s">
        <v>629</v>
      </c>
      <c r="AF173" s="56" t="s">
        <v>860</v>
      </c>
    </row>
    <row r="174">
      <c r="A174" s="52" t="s">
        <v>1293</v>
      </c>
      <c r="B174" s="52" t="s">
        <v>607</v>
      </c>
      <c r="C174" s="52" t="s">
        <v>607</v>
      </c>
      <c r="D174" s="65" t="s">
        <v>607</v>
      </c>
      <c r="E174" s="65" t="s">
        <v>607</v>
      </c>
      <c r="F174" s="65" t="s">
        <v>607</v>
      </c>
      <c r="G174" s="65" t="s">
        <v>607</v>
      </c>
      <c r="H174" s="52" t="s">
        <v>607</v>
      </c>
      <c r="I174" s="52" t="s">
        <v>607</v>
      </c>
      <c r="J174" s="52" t="s">
        <v>607</v>
      </c>
      <c r="K174" s="52" t="s">
        <v>607</v>
      </c>
      <c r="L174" s="52" t="s">
        <v>607</v>
      </c>
      <c r="M174" s="52" t="s">
        <v>607</v>
      </c>
      <c r="N174" s="52" t="s">
        <v>607</v>
      </c>
      <c r="O174" s="52"/>
      <c r="P174" s="52"/>
      <c r="Q174" s="52"/>
      <c r="R174" s="51" t="b">
        <v>0</v>
      </c>
      <c r="S174" s="51"/>
      <c r="T174" s="52"/>
      <c r="U174" s="51" t="b">
        <v>0</v>
      </c>
      <c r="V174" s="51" t="b">
        <v>0</v>
      </c>
      <c r="W174" s="51" t="b">
        <v>0</v>
      </c>
      <c r="X174" s="51" t="b">
        <v>0</v>
      </c>
      <c r="Y174" s="51" t="b">
        <v>0</v>
      </c>
      <c r="Z174" s="51" t="b">
        <v>0</v>
      </c>
      <c r="AA174" s="68"/>
      <c r="AB174" s="52"/>
      <c r="AC174" s="52"/>
      <c r="AD174" s="52"/>
      <c r="AE174" s="56" t="s">
        <v>607</v>
      </c>
      <c r="AF174" s="56" t="s">
        <v>607</v>
      </c>
    </row>
    <row r="175">
      <c r="A175" s="52" t="s">
        <v>1296</v>
      </c>
      <c r="B175" s="52" t="s">
        <v>14</v>
      </c>
      <c r="C175" s="52" t="s">
        <v>221</v>
      </c>
      <c r="D175" s="65">
        <v>0.511805555555556</v>
      </c>
      <c r="E175" s="65">
        <v>2.314814814814815E-4</v>
      </c>
      <c r="F175" s="65">
        <v>0.5120370370370374</v>
      </c>
      <c r="G175" s="65"/>
      <c r="H175" s="52" t="s">
        <v>81</v>
      </c>
      <c r="I175" s="52" t="s">
        <v>261</v>
      </c>
      <c r="J175" s="52" t="s">
        <v>128</v>
      </c>
      <c r="K175" s="52"/>
      <c r="L175" s="52"/>
      <c r="M175" s="52"/>
      <c r="N175" s="52" t="s">
        <v>70</v>
      </c>
      <c r="O175" s="52"/>
      <c r="P175" s="52"/>
      <c r="Q175" s="52"/>
      <c r="R175" s="51" t="b">
        <v>0</v>
      </c>
      <c r="S175" s="51"/>
      <c r="T175" s="52"/>
      <c r="U175" s="51" t="b">
        <v>0</v>
      </c>
      <c r="V175" s="51" t="b">
        <v>0</v>
      </c>
      <c r="W175" s="51" t="b">
        <v>0</v>
      </c>
      <c r="X175" s="51" t="b">
        <v>0</v>
      </c>
      <c r="Y175" s="51" t="b">
        <v>0</v>
      </c>
      <c r="Z175" s="51" t="b">
        <v>0</v>
      </c>
      <c r="AA175" s="68"/>
      <c r="AB175" s="52"/>
      <c r="AC175" s="52"/>
      <c r="AD175" s="52"/>
      <c r="AE175" s="56"/>
      <c r="AF175" s="56"/>
    </row>
    <row r="176">
      <c r="A176" s="52" t="s">
        <v>1297</v>
      </c>
      <c r="B176" s="52" t="s">
        <v>607</v>
      </c>
      <c r="C176" s="52" t="s">
        <v>607</v>
      </c>
      <c r="D176" s="65" t="s">
        <v>607</v>
      </c>
      <c r="E176" s="65" t="s">
        <v>607</v>
      </c>
      <c r="F176" s="65" t="s">
        <v>607</v>
      </c>
      <c r="G176" s="65" t="s">
        <v>607</v>
      </c>
      <c r="H176" s="52" t="s">
        <v>607</v>
      </c>
      <c r="I176" s="52" t="s">
        <v>607</v>
      </c>
      <c r="J176" s="52" t="s">
        <v>607</v>
      </c>
      <c r="K176" s="52" t="s">
        <v>607</v>
      </c>
      <c r="L176" s="52" t="s">
        <v>607</v>
      </c>
      <c r="M176" s="52" t="s">
        <v>607</v>
      </c>
      <c r="N176" s="52" t="s">
        <v>607</v>
      </c>
      <c r="O176" s="52"/>
      <c r="P176" s="52"/>
      <c r="Q176" s="52"/>
      <c r="R176" s="51" t="b">
        <v>0</v>
      </c>
      <c r="S176" s="51"/>
      <c r="T176" s="52"/>
      <c r="U176" s="51" t="b">
        <v>0</v>
      </c>
      <c r="V176" s="51" t="b">
        <v>0</v>
      </c>
      <c r="W176" s="51" t="b">
        <v>0</v>
      </c>
      <c r="X176" s="51" t="b">
        <v>0</v>
      </c>
      <c r="Y176" s="51" t="b">
        <v>0</v>
      </c>
      <c r="Z176" s="51" t="b">
        <v>0</v>
      </c>
      <c r="AA176" s="68"/>
      <c r="AB176" s="52"/>
      <c r="AC176" s="52"/>
      <c r="AD176" s="52"/>
      <c r="AE176" s="56" t="s">
        <v>607</v>
      </c>
      <c r="AF176" s="56" t="s">
        <v>607</v>
      </c>
    </row>
    <row r="177">
      <c r="A177" s="52" t="s">
        <v>1301</v>
      </c>
      <c r="B177" s="52" t="s">
        <v>14</v>
      </c>
      <c r="C177" s="52" t="s">
        <v>221</v>
      </c>
      <c r="D177" s="65">
        <v>0.5120370370370374</v>
      </c>
      <c r="E177" s="65">
        <v>0.0020833333333333333</v>
      </c>
      <c r="F177" s="65">
        <v>0.5141203703703707</v>
      </c>
      <c r="G177" s="65"/>
      <c r="H177" s="52" t="s">
        <v>83</v>
      </c>
      <c r="I177" s="52" t="s">
        <v>262</v>
      </c>
      <c r="J177" s="52"/>
      <c r="K177" s="52"/>
      <c r="L177" s="52"/>
      <c r="M177" s="52"/>
      <c r="N177" s="52" t="s">
        <v>70</v>
      </c>
      <c r="O177" s="52"/>
      <c r="P177" s="69" t="s">
        <v>30</v>
      </c>
      <c r="Q177" s="101" t="s">
        <v>1303</v>
      </c>
      <c r="R177" s="51" t="b">
        <v>1</v>
      </c>
      <c r="S177" s="84" t="s">
        <v>262</v>
      </c>
      <c r="T177" s="52"/>
      <c r="U177" s="51" t="b">
        <v>0</v>
      </c>
      <c r="V177" s="51" t="b">
        <v>1</v>
      </c>
      <c r="W177" s="51" t="b">
        <v>1</v>
      </c>
      <c r="X177" s="51" t="b">
        <v>0</v>
      </c>
      <c r="Y177" s="51" t="b">
        <v>1</v>
      </c>
      <c r="Z177" s="51" t="b">
        <v>0</v>
      </c>
      <c r="AA177" s="102">
        <v>0.0020717592592592593</v>
      </c>
      <c r="AB177" s="52"/>
      <c r="AC177" s="52"/>
      <c r="AD177" s="73" t="s">
        <v>1310</v>
      </c>
      <c r="AE177" s="56"/>
      <c r="AF177" s="56"/>
    </row>
    <row r="178">
      <c r="A178" s="52" t="s">
        <v>1314</v>
      </c>
      <c r="B178" s="52" t="s">
        <v>607</v>
      </c>
      <c r="C178" s="52" t="s">
        <v>607</v>
      </c>
      <c r="D178" s="65" t="s">
        <v>607</v>
      </c>
      <c r="E178" s="65" t="s">
        <v>607</v>
      </c>
      <c r="F178" s="65" t="s">
        <v>607</v>
      </c>
      <c r="G178" s="65" t="s">
        <v>607</v>
      </c>
      <c r="H178" s="52" t="s">
        <v>607</v>
      </c>
      <c r="I178" s="52" t="s">
        <v>607</v>
      </c>
      <c r="J178" s="52" t="s">
        <v>607</v>
      </c>
      <c r="K178" s="52" t="s">
        <v>607</v>
      </c>
      <c r="L178" s="52" t="s">
        <v>607</v>
      </c>
      <c r="M178" s="52" t="s">
        <v>607</v>
      </c>
      <c r="N178" s="52" t="s">
        <v>607</v>
      </c>
      <c r="O178" s="52"/>
      <c r="P178" s="52"/>
      <c r="Q178" s="52"/>
      <c r="R178" s="51" t="b">
        <v>0</v>
      </c>
      <c r="S178" s="51"/>
      <c r="T178" s="52"/>
      <c r="U178" s="51" t="b">
        <v>0</v>
      </c>
      <c r="V178" s="51" t="b">
        <v>0</v>
      </c>
      <c r="W178" s="51" t="b">
        <v>0</v>
      </c>
      <c r="X178" s="51" t="b">
        <v>0</v>
      </c>
      <c r="Y178" s="51" t="b">
        <v>0</v>
      </c>
      <c r="Z178" s="51" t="b">
        <v>0</v>
      </c>
      <c r="AA178" s="68"/>
      <c r="AB178" s="52"/>
      <c r="AC178" s="52"/>
      <c r="AD178" s="52"/>
      <c r="AE178" s="56" t="s">
        <v>607</v>
      </c>
      <c r="AF178" s="56" t="s">
        <v>607</v>
      </c>
    </row>
    <row r="179">
      <c r="A179" s="52" t="s">
        <v>1315</v>
      </c>
      <c r="B179" s="52" t="s">
        <v>607</v>
      </c>
      <c r="C179" s="52" t="s">
        <v>607</v>
      </c>
      <c r="D179" s="65" t="s">
        <v>607</v>
      </c>
      <c r="E179" s="65" t="s">
        <v>607</v>
      </c>
      <c r="F179" s="65" t="s">
        <v>607</v>
      </c>
      <c r="G179" s="65" t="s">
        <v>607</v>
      </c>
      <c r="H179" s="52" t="s">
        <v>607</v>
      </c>
      <c r="I179" s="52" t="s">
        <v>607</v>
      </c>
      <c r="J179" s="52" t="s">
        <v>607</v>
      </c>
      <c r="K179" s="52" t="s">
        <v>607</v>
      </c>
      <c r="L179" s="52" t="s">
        <v>607</v>
      </c>
      <c r="M179" s="52" t="s">
        <v>607</v>
      </c>
      <c r="N179" s="52" t="s">
        <v>607</v>
      </c>
      <c r="O179" s="52"/>
      <c r="P179" s="52"/>
      <c r="Q179" s="52"/>
      <c r="R179" s="51" t="b">
        <v>0</v>
      </c>
      <c r="S179" s="51"/>
      <c r="T179" s="52"/>
      <c r="U179" s="51" t="b">
        <v>0</v>
      </c>
      <c r="V179" s="51" t="b">
        <v>0</v>
      </c>
      <c r="W179" s="51" t="b">
        <v>0</v>
      </c>
      <c r="X179" s="51" t="b">
        <v>0</v>
      </c>
      <c r="Y179" s="51" t="b">
        <v>0</v>
      </c>
      <c r="Z179" s="51" t="b">
        <v>0</v>
      </c>
      <c r="AA179" s="68"/>
      <c r="AB179" s="52"/>
      <c r="AC179" s="52"/>
      <c r="AD179" s="52"/>
      <c r="AE179" s="56" t="s">
        <v>607</v>
      </c>
      <c r="AF179" s="56" t="s">
        <v>607</v>
      </c>
    </row>
    <row r="180">
      <c r="A180" s="52" t="s">
        <v>1317</v>
      </c>
      <c r="B180" s="52" t="s">
        <v>607</v>
      </c>
      <c r="C180" s="52" t="s">
        <v>607</v>
      </c>
      <c r="D180" s="65" t="s">
        <v>607</v>
      </c>
      <c r="E180" s="65" t="s">
        <v>607</v>
      </c>
      <c r="F180" s="65" t="s">
        <v>607</v>
      </c>
      <c r="G180" s="65" t="s">
        <v>607</v>
      </c>
      <c r="H180" s="52" t="s">
        <v>607</v>
      </c>
      <c r="I180" s="52" t="s">
        <v>607</v>
      </c>
      <c r="J180" s="52" t="s">
        <v>607</v>
      </c>
      <c r="K180" s="52" t="s">
        <v>607</v>
      </c>
      <c r="L180" s="52" t="s">
        <v>607</v>
      </c>
      <c r="M180" s="52" t="s">
        <v>607</v>
      </c>
      <c r="N180" s="52" t="s">
        <v>607</v>
      </c>
      <c r="O180" s="52"/>
      <c r="P180" s="52"/>
      <c r="Q180" s="52"/>
      <c r="R180" s="51" t="b">
        <v>0</v>
      </c>
      <c r="S180" s="51"/>
      <c r="T180" s="52"/>
      <c r="U180" s="51" t="b">
        <v>0</v>
      </c>
      <c r="V180" s="51" t="b">
        <v>0</v>
      </c>
      <c r="W180" s="51" t="b">
        <v>0</v>
      </c>
      <c r="X180" s="51" t="b">
        <v>0</v>
      </c>
      <c r="Y180" s="51" t="b">
        <v>0</v>
      </c>
      <c r="Z180" s="51" t="b">
        <v>0</v>
      </c>
      <c r="AA180" s="68"/>
      <c r="AB180" s="52"/>
      <c r="AC180" s="52"/>
      <c r="AD180" s="52"/>
      <c r="AE180" s="56" t="s">
        <v>607</v>
      </c>
      <c r="AF180" s="56" t="s">
        <v>607</v>
      </c>
    </row>
    <row r="181">
      <c r="A181" s="52" t="s">
        <v>1318</v>
      </c>
      <c r="B181" s="52" t="s">
        <v>14</v>
      </c>
      <c r="C181" s="52" t="s">
        <v>221</v>
      </c>
      <c r="D181" s="65">
        <v>0.7066319444444437</v>
      </c>
      <c r="E181" s="65">
        <v>0.013888888888888888</v>
      </c>
      <c r="F181" s="65">
        <v>0.7205208333333325</v>
      </c>
      <c r="G181" s="65"/>
      <c r="H181" s="52" t="s">
        <v>107</v>
      </c>
      <c r="I181" s="52" t="s">
        <v>339</v>
      </c>
      <c r="J181" s="52" t="s">
        <v>340</v>
      </c>
      <c r="K181" s="52" t="s">
        <v>341</v>
      </c>
      <c r="L181" s="52"/>
      <c r="M181" s="52"/>
      <c r="N181" s="52" t="s">
        <v>342</v>
      </c>
      <c r="O181" s="69" t="s">
        <v>734</v>
      </c>
      <c r="P181" s="69" t="s">
        <v>20</v>
      </c>
      <c r="Q181" s="80" t="s">
        <v>1320</v>
      </c>
      <c r="R181" s="51" t="b">
        <v>1</v>
      </c>
      <c r="S181" s="52" t="s">
        <v>339</v>
      </c>
      <c r="T181" s="52"/>
      <c r="U181" s="51" t="b">
        <v>0</v>
      </c>
      <c r="V181" s="51" t="b">
        <v>1</v>
      </c>
      <c r="W181" s="51" t="b">
        <v>1</v>
      </c>
      <c r="X181" s="51" t="b">
        <v>0</v>
      </c>
      <c r="Y181" s="51" t="b">
        <v>0</v>
      </c>
      <c r="Z181" s="51" t="b">
        <v>0</v>
      </c>
      <c r="AA181" s="68"/>
      <c r="AB181" s="69" t="s">
        <v>1324</v>
      </c>
      <c r="AC181" s="97" t="s">
        <v>1325</v>
      </c>
      <c r="AD181" s="73" t="s">
        <v>1326</v>
      </c>
      <c r="AE181" s="56" t="s">
        <v>629</v>
      </c>
      <c r="AF181" s="56" t="s">
        <v>847</v>
      </c>
    </row>
    <row r="182">
      <c r="A182" s="52" t="s">
        <v>1328</v>
      </c>
      <c r="B182" s="52" t="s">
        <v>16</v>
      </c>
      <c r="C182" s="52" t="s">
        <v>289</v>
      </c>
      <c r="D182" s="65">
        <v>0.4824537037037039</v>
      </c>
      <c r="E182" s="65">
        <v>1.7361111111111112E-4</v>
      </c>
      <c r="F182" s="65">
        <v>0.482627314814815</v>
      </c>
      <c r="G182" s="65" t="s">
        <v>195</v>
      </c>
      <c r="H182" s="52" t="s">
        <v>85</v>
      </c>
      <c r="I182" s="52" t="s">
        <v>85</v>
      </c>
      <c r="J182" s="52" t="s">
        <v>105</v>
      </c>
      <c r="K182" s="52"/>
      <c r="L182" s="52"/>
      <c r="M182" s="52"/>
      <c r="N182" s="52" t="s">
        <v>70</v>
      </c>
      <c r="O182" s="52"/>
      <c r="P182" s="52"/>
      <c r="Q182" s="52"/>
      <c r="R182" s="51" t="b">
        <v>0</v>
      </c>
      <c r="S182" s="51"/>
      <c r="T182" s="52"/>
      <c r="U182" s="51" t="b">
        <v>0</v>
      </c>
      <c r="V182" s="51" t="b">
        <v>0</v>
      </c>
      <c r="W182" s="51" t="b">
        <v>0</v>
      </c>
      <c r="X182" s="51" t="b">
        <v>0</v>
      </c>
      <c r="Y182" s="51" t="b">
        <v>0</v>
      </c>
      <c r="Z182" s="51" t="b">
        <v>0</v>
      </c>
      <c r="AA182" s="68"/>
      <c r="AB182" s="52"/>
      <c r="AC182" s="52"/>
      <c r="AD182" s="52"/>
      <c r="AE182" s="56"/>
      <c r="AF182" s="56"/>
    </row>
    <row r="183">
      <c r="A183" s="52" t="s">
        <v>1330</v>
      </c>
      <c r="B183" s="52" t="s">
        <v>14</v>
      </c>
      <c r="C183" s="52" t="s">
        <v>221</v>
      </c>
      <c r="D183" s="65">
        <v>0.7064004629629622</v>
      </c>
      <c r="E183" s="65">
        <v>2.314814814814815E-4</v>
      </c>
      <c r="F183" s="65">
        <v>0.7066319444444437</v>
      </c>
      <c r="G183" s="65"/>
      <c r="H183" s="52" t="s">
        <v>81</v>
      </c>
      <c r="I183" s="52" t="s">
        <v>91</v>
      </c>
      <c r="J183" s="52" t="s">
        <v>73</v>
      </c>
      <c r="K183" s="52" t="s">
        <v>128</v>
      </c>
      <c r="L183" s="52"/>
      <c r="M183" s="52"/>
      <c r="N183" s="52" t="s">
        <v>70</v>
      </c>
      <c r="O183" s="52"/>
      <c r="P183" s="52"/>
      <c r="Q183" s="52"/>
      <c r="R183" s="51" t="b">
        <v>0</v>
      </c>
      <c r="S183" s="51"/>
      <c r="T183" s="52"/>
      <c r="U183" s="51" t="b">
        <v>0</v>
      </c>
      <c r="V183" s="51" t="b">
        <v>0</v>
      </c>
      <c r="W183" s="51" t="b">
        <v>0</v>
      </c>
      <c r="X183" s="51" t="b">
        <v>0</v>
      </c>
      <c r="Y183" s="51" t="b">
        <v>0</v>
      </c>
      <c r="Z183" s="51" t="b">
        <v>0</v>
      </c>
      <c r="AA183" s="68"/>
      <c r="AB183" s="52"/>
      <c r="AC183" s="52"/>
      <c r="AD183" s="52"/>
      <c r="AE183" s="56"/>
      <c r="AF183" s="56"/>
    </row>
    <row r="184">
      <c r="A184" s="52" t="s">
        <v>1333</v>
      </c>
      <c r="B184" s="52" t="s">
        <v>14</v>
      </c>
      <c r="C184" s="52" t="s">
        <v>221</v>
      </c>
      <c r="D184" s="65">
        <v>0.5781018518518519</v>
      </c>
      <c r="E184" s="65">
        <v>0.008333333333333333</v>
      </c>
      <c r="F184" s="65">
        <v>0.5864351851851852</v>
      </c>
      <c r="G184" s="65"/>
      <c r="H184" s="52" t="s">
        <v>248</v>
      </c>
      <c r="I184" s="52" t="s">
        <v>288</v>
      </c>
      <c r="J184" s="52" t="s">
        <v>69</v>
      </c>
      <c r="K184" s="52"/>
      <c r="L184" s="52"/>
      <c r="M184" s="52"/>
      <c r="N184" s="52" t="s">
        <v>70</v>
      </c>
      <c r="O184" s="52"/>
      <c r="P184" s="52"/>
      <c r="Q184" s="52"/>
      <c r="R184" s="51" t="b">
        <v>0</v>
      </c>
      <c r="S184" s="51"/>
      <c r="T184" s="52"/>
      <c r="U184" s="51" t="b">
        <v>0</v>
      </c>
      <c r="V184" s="51" t="b">
        <v>0</v>
      </c>
      <c r="W184" s="51" t="b">
        <v>0</v>
      </c>
      <c r="X184" s="51" t="b">
        <v>0</v>
      </c>
      <c r="Y184" s="51" t="b">
        <v>0</v>
      </c>
      <c r="Z184" s="51" t="b">
        <v>0</v>
      </c>
      <c r="AA184" s="68"/>
      <c r="AB184" s="52"/>
      <c r="AC184" s="52"/>
      <c r="AD184" s="52"/>
      <c r="AE184" s="56"/>
      <c r="AF184" s="56" t="s">
        <v>1215</v>
      </c>
    </row>
    <row r="185">
      <c r="A185" s="52" t="s">
        <v>1336</v>
      </c>
      <c r="B185" s="52" t="s">
        <v>607</v>
      </c>
      <c r="C185" s="52" t="s">
        <v>607</v>
      </c>
      <c r="D185" s="65" t="s">
        <v>607</v>
      </c>
      <c r="E185" s="65" t="s">
        <v>607</v>
      </c>
      <c r="F185" s="65" t="s">
        <v>607</v>
      </c>
      <c r="G185" s="65" t="s">
        <v>607</v>
      </c>
      <c r="H185" s="52" t="s">
        <v>607</v>
      </c>
      <c r="I185" s="52" t="s">
        <v>607</v>
      </c>
      <c r="J185" s="52" t="s">
        <v>607</v>
      </c>
      <c r="K185" s="52" t="s">
        <v>607</v>
      </c>
      <c r="L185" s="52" t="s">
        <v>607</v>
      </c>
      <c r="M185" s="52" t="s">
        <v>607</v>
      </c>
      <c r="N185" s="52" t="s">
        <v>607</v>
      </c>
      <c r="O185" s="52"/>
      <c r="P185" s="52"/>
      <c r="Q185" s="52"/>
      <c r="R185" s="51" t="b">
        <v>0</v>
      </c>
      <c r="S185" s="51"/>
      <c r="T185" s="52"/>
      <c r="U185" s="51" t="b">
        <v>0</v>
      </c>
      <c r="V185" s="51" t="b">
        <v>0</v>
      </c>
      <c r="W185" s="51" t="b">
        <v>0</v>
      </c>
      <c r="X185" s="51" t="b">
        <v>0</v>
      </c>
      <c r="Y185" s="51" t="b">
        <v>0</v>
      </c>
      <c r="Z185" s="51" t="b">
        <v>0</v>
      </c>
      <c r="AA185" s="68"/>
      <c r="AB185" s="52"/>
      <c r="AC185" s="52"/>
      <c r="AD185" s="52"/>
      <c r="AE185" s="56" t="s">
        <v>607</v>
      </c>
      <c r="AF185" s="56" t="s">
        <v>607</v>
      </c>
    </row>
    <row r="186">
      <c r="A186" s="52" t="s">
        <v>1339</v>
      </c>
      <c r="B186" s="52" t="s">
        <v>14</v>
      </c>
      <c r="C186" s="52" t="s">
        <v>221</v>
      </c>
      <c r="D186" s="65">
        <v>0.4429398148148149</v>
      </c>
      <c r="E186" s="65">
        <v>2.314814814814815E-4</v>
      </c>
      <c r="F186" s="65">
        <v>0.4431712962962964</v>
      </c>
      <c r="G186" s="65"/>
      <c r="H186" s="52" t="s">
        <v>81</v>
      </c>
      <c r="I186" s="52" t="s">
        <v>91</v>
      </c>
      <c r="J186" s="52" t="s">
        <v>128</v>
      </c>
      <c r="K186" s="52"/>
      <c r="L186" s="52"/>
      <c r="M186" s="52"/>
      <c r="N186" s="52"/>
      <c r="O186" s="52"/>
      <c r="P186" s="52"/>
      <c r="Q186" s="52"/>
      <c r="R186" s="51" t="b">
        <v>0</v>
      </c>
      <c r="S186" s="51"/>
      <c r="T186" s="52"/>
      <c r="U186" s="51" t="b">
        <v>0</v>
      </c>
      <c r="V186" s="51" t="b">
        <v>0</v>
      </c>
      <c r="W186" s="51" t="b">
        <v>0</v>
      </c>
      <c r="X186" s="51" t="b">
        <v>0</v>
      </c>
      <c r="Y186" s="51" t="b">
        <v>0</v>
      </c>
      <c r="Z186" s="51" t="b">
        <v>0</v>
      </c>
      <c r="AA186" s="68"/>
      <c r="AB186" s="52"/>
      <c r="AC186" s="52"/>
      <c r="AD186" s="52"/>
      <c r="AE186" s="56"/>
      <c r="AF186" s="56"/>
    </row>
    <row r="187">
      <c r="A187" s="52" t="s">
        <v>1340</v>
      </c>
      <c r="B187" s="52" t="s">
        <v>607</v>
      </c>
      <c r="C187" s="52" t="s">
        <v>607</v>
      </c>
      <c r="D187" s="65" t="s">
        <v>607</v>
      </c>
      <c r="E187" s="65" t="s">
        <v>607</v>
      </c>
      <c r="F187" s="65" t="s">
        <v>607</v>
      </c>
      <c r="G187" s="65" t="s">
        <v>607</v>
      </c>
      <c r="H187" s="52" t="s">
        <v>607</v>
      </c>
      <c r="I187" s="52" t="s">
        <v>607</v>
      </c>
      <c r="J187" s="52" t="s">
        <v>607</v>
      </c>
      <c r="K187" s="52" t="s">
        <v>607</v>
      </c>
      <c r="L187" s="52" t="s">
        <v>607</v>
      </c>
      <c r="M187" s="52" t="s">
        <v>607</v>
      </c>
      <c r="N187" s="52" t="s">
        <v>607</v>
      </c>
      <c r="O187" s="52"/>
      <c r="P187" s="52"/>
      <c r="Q187" s="52"/>
      <c r="R187" s="51" t="b">
        <v>0</v>
      </c>
      <c r="S187" s="51"/>
      <c r="T187" s="52"/>
      <c r="U187" s="51" t="b">
        <v>0</v>
      </c>
      <c r="V187" s="51" t="b">
        <v>0</v>
      </c>
      <c r="W187" s="51" t="b">
        <v>0</v>
      </c>
      <c r="X187" s="51" t="b">
        <v>0</v>
      </c>
      <c r="Y187" s="51" t="b">
        <v>0</v>
      </c>
      <c r="Z187" s="51" t="b">
        <v>0</v>
      </c>
      <c r="AA187" s="68"/>
      <c r="AB187" s="52"/>
      <c r="AC187" s="52"/>
      <c r="AD187" s="52"/>
      <c r="AE187" s="56" t="s">
        <v>607</v>
      </c>
      <c r="AF187" s="56" t="s">
        <v>607</v>
      </c>
    </row>
    <row r="188">
      <c r="A188" s="52" t="s">
        <v>1344</v>
      </c>
      <c r="B188" s="52" t="s">
        <v>607</v>
      </c>
      <c r="C188" s="52" t="s">
        <v>607</v>
      </c>
      <c r="D188" s="65" t="s">
        <v>607</v>
      </c>
      <c r="E188" s="65" t="s">
        <v>607</v>
      </c>
      <c r="F188" s="65" t="s">
        <v>607</v>
      </c>
      <c r="G188" s="65" t="s">
        <v>607</v>
      </c>
      <c r="H188" s="52" t="s">
        <v>607</v>
      </c>
      <c r="I188" s="52" t="s">
        <v>607</v>
      </c>
      <c r="J188" s="52" t="s">
        <v>607</v>
      </c>
      <c r="K188" s="52" t="s">
        <v>607</v>
      </c>
      <c r="L188" s="52" t="s">
        <v>607</v>
      </c>
      <c r="M188" s="52" t="s">
        <v>607</v>
      </c>
      <c r="N188" s="52" t="s">
        <v>607</v>
      </c>
      <c r="O188" s="52"/>
      <c r="P188" s="52"/>
      <c r="Q188" s="52"/>
      <c r="R188" s="51" t="b">
        <v>0</v>
      </c>
      <c r="S188" s="51"/>
      <c r="T188" s="52"/>
      <c r="U188" s="51" t="b">
        <v>0</v>
      </c>
      <c r="V188" s="51" t="b">
        <v>0</v>
      </c>
      <c r="W188" s="51" t="b">
        <v>0</v>
      </c>
      <c r="X188" s="51" t="b">
        <v>0</v>
      </c>
      <c r="Y188" s="51" t="b">
        <v>0</v>
      </c>
      <c r="Z188" s="51" t="b">
        <v>0</v>
      </c>
      <c r="AA188" s="68"/>
      <c r="AB188" s="52"/>
      <c r="AC188" s="52"/>
      <c r="AD188" s="52"/>
      <c r="AE188" s="56" t="s">
        <v>607</v>
      </c>
      <c r="AF188" s="56" t="s">
        <v>607</v>
      </c>
    </row>
    <row r="189">
      <c r="A189" s="52" t="s">
        <v>1346</v>
      </c>
      <c r="B189" s="52" t="s">
        <v>14</v>
      </c>
      <c r="C189" s="52" t="s">
        <v>221</v>
      </c>
      <c r="D189" s="65">
        <v>0.5403703703703707</v>
      </c>
      <c r="E189" s="65">
        <v>6.944444444444445E-4</v>
      </c>
      <c r="F189" s="65">
        <v>0.5410648148148152</v>
      </c>
      <c r="G189" s="65"/>
      <c r="H189" s="52" t="s">
        <v>103</v>
      </c>
      <c r="I189" s="52" t="s">
        <v>271</v>
      </c>
      <c r="J189" s="52" t="s">
        <v>128</v>
      </c>
      <c r="K189" s="52"/>
      <c r="L189" s="52"/>
      <c r="M189" s="52"/>
      <c r="N189" s="52" t="s">
        <v>70</v>
      </c>
      <c r="O189" s="52"/>
      <c r="P189" s="52"/>
      <c r="Q189" s="52"/>
      <c r="R189" s="51" t="b">
        <v>0</v>
      </c>
      <c r="S189" s="51"/>
      <c r="T189" s="52"/>
      <c r="U189" s="51" t="b">
        <v>0</v>
      </c>
      <c r="V189" s="51" t="b">
        <v>0</v>
      </c>
      <c r="W189" s="51" t="b">
        <v>0</v>
      </c>
      <c r="X189" s="51" t="b">
        <v>0</v>
      </c>
      <c r="Y189" s="51" t="b">
        <v>0</v>
      </c>
      <c r="Z189" s="51" t="b">
        <v>0</v>
      </c>
      <c r="AA189" s="68"/>
      <c r="AB189" s="52"/>
      <c r="AC189" s="52"/>
      <c r="AD189" s="52"/>
      <c r="AE189" s="56"/>
      <c r="AF189" s="56"/>
    </row>
    <row r="190">
      <c r="A190" s="52" t="s">
        <v>1347</v>
      </c>
      <c r="B190" s="52" t="s">
        <v>14</v>
      </c>
      <c r="C190" s="52" t="s">
        <v>221</v>
      </c>
      <c r="D190" s="65">
        <v>0.6169907407407406</v>
      </c>
      <c r="E190" s="65">
        <v>2.314814814814815E-4</v>
      </c>
      <c r="F190" s="65">
        <v>0.617222222222222</v>
      </c>
      <c r="G190" s="65"/>
      <c r="H190" s="52" t="s">
        <v>81</v>
      </c>
      <c r="I190" s="52" t="s">
        <v>81</v>
      </c>
      <c r="J190" s="52" t="s">
        <v>128</v>
      </c>
      <c r="K190" s="52"/>
      <c r="L190" s="52"/>
      <c r="M190" s="52"/>
      <c r="N190" s="52" t="s">
        <v>70</v>
      </c>
      <c r="O190" s="52"/>
      <c r="P190" s="52"/>
      <c r="Q190" s="52"/>
      <c r="R190" s="51" t="b">
        <v>0</v>
      </c>
      <c r="S190" s="51"/>
      <c r="T190" s="52"/>
      <c r="U190" s="51" t="b">
        <v>0</v>
      </c>
      <c r="V190" s="51" t="b">
        <v>0</v>
      </c>
      <c r="W190" s="51" t="b">
        <v>0</v>
      </c>
      <c r="X190" s="51" t="b">
        <v>0</v>
      </c>
      <c r="Y190" s="51" t="b">
        <v>0</v>
      </c>
      <c r="Z190" s="51" t="b">
        <v>0</v>
      </c>
      <c r="AA190" s="68"/>
      <c r="AB190" s="52"/>
      <c r="AC190" s="52"/>
      <c r="AD190" s="52"/>
      <c r="AE190" s="56"/>
      <c r="AF190" s="56"/>
    </row>
    <row r="191">
      <c r="A191" s="52" t="s">
        <v>1350</v>
      </c>
      <c r="B191" s="52" t="s">
        <v>785</v>
      </c>
      <c r="C191" s="52" t="s">
        <v>289</v>
      </c>
      <c r="D191" s="65">
        <v>0.6634143518518522</v>
      </c>
      <c r="E191" s="65">
        <v>0.006944444444444444</v>
      </c>
      <c r="F191" s="65">
        <v>0.6703587962962966</v>
      </c>
      <c r="G191" s="65"/>
      <c r="H191" s="52" t="s">
        <v>165</v>
      </c>
      <c r="I191" s="52" t="s">
        <v>1351</v>
      </c>
      <c r="J191" s="52" t="s">
        <v>1352</v>
      </c>
      <c r="K191" s="52"/>
      <c r="L191" s="52"/>
      <c r="M191" s="52"/>
      <c r="N191" s="52"/>
      <c r="O191" s="69" t="s">
        <v>884</v>
      </c>
      <c r="P191" s="69" t="s">
        <v>30</v>
      </c>
      <c r="Q191" s="80" t="s">
        <v>1353</v>
      </c>
      <c r="R191" s="51" t="b">
        <v>1</v>
      </c>
      <c r="S191" s="52" t="s">
        <v>1357</v>
      </c>
      <c r="T191" s="52"/>
      <c r="U191" s="51" t="b">
        <v>0</v>
      </c>
      <c r="V191" s="51" t="b">
        <v>1</v>
      </c>
      <c r="W191" s="51" t="b">
        <v>1</v>
      </c>
      <c r="X191" s="51" t="b">
        <v>1</v>
      </c>
      <c r="Y191" s="51" t="b">
        <v>0</v>
      </c>
      <c r="Z191" s="51" t="b">
        <v>0</v>
      </c>
      <c r="AA191" s="71">
        <v>0.007037037037037037</v>
      </c>
      <c r="AB191" s="52"/>
      <c r="AC191" s="75"/>
      <c r="AD191" s="73" t="s">
        <v>1358</v>
      </c>
      <c r="AE191" s="56" t="s">
        <v>743</v>
      </c>
      <c r="AF191" s="56" t="s">
        <v>1362</v>
      </c>
    </row>
    <row r="192">
      <c r="A192" s="52" t="s">
        <v>1363</v>
      </c>
      <c r="B192" s="52" t="s">
        <v>607</v>
      </c>
      <c r="C192" s="52" t="s">
        <v>607</v>
      </c>
      <c r="D192" s="65" t="s">
        <v>607</v>
      </c>
      <c r="E192" s="65" t="s">
        <v>607</v>
      </c>
      <c r="F192" s="65" t="s">
        <v>607</v>
      </c>
      <c r="G192" s="65" t="s">
        <v>607</v>
      </c>
      <c r="H192" s="52" t="s">
        <v>607</v>
      </c>
      <c r="I192" s="52" t="s">
        <v>607</v>
      </c>
      <c r="J192" s="52" t="s">
        <v>607</v>
      </c>
      <c r="K192" s="52" t="s">
        <v>607</v>
      </c>
      <c r="L192" s="52" t="s">
        <v>607</v>
      </c>
      <c r="M192" s="52" t="s">
        <v>607</v>
      </c>
      <c r="N192" s="52" t="s">
        <v>607</v>
      </c>
      <c r="O192" s="52"/>
      <c r="P192" s="52"/>
      <c r="Q192" s="52"/>
      <c r="R192" s="51" t="b">
        <v>0</v>
      </c>
      <c r="S192" s="51"/>
      <c r="T192" s="52"/>
      <c r="U192" s="51" t="b">
        <v>0</v>
      </c>
      <c r="V192" s="51" t="b">
        <v>0</v>
      </c>
      <c r="W192" s="51" t="b">
        <v>0</v>
      </c>
      <c r="X192" s="51" t="b">
        <v>0</v>
      </c>
      <c r="Y192" s="51" t="b">
        <v>0</v>
      </c>
      <c r="Z192" s="51" t="b">
        <v>0</v>
      </c>
      <c r="AA192" s="68"/>
      <c r="AB192" s="52"/>
      <c r="AC192" s="52"/>
      <c r="AD192" s="52"/>
      <c r="AE192" s="56" t="s">
        <v>607</v>
      </c>
      <c r="AF192" s="56" t="s">
        <v>607</v>
      </c>
    </row>
    <row r="193">
      <c r="A193" s="52" t="s">
        <v>1365</v>
      </c>
      <c r="B193" s="52" t="s">
        <v>607</v>
      </c>
      <c r="C193" s="52" t="s">
        <v>607</v>
      </c>
      <c r="D193" s="65" t="s">
        <v>607</v>
      </c>
      <c r="E193" s="65" t="s">
        <v>607</v>
      </c>
      <c r="F193" s="65" t="s">
        <v>607</v>
      </c>
      <c r="G193" s="65" t="s">
        <v>607</v>
      </c>
      <c r="H193" s="52" t="s">
        <v>607</v>
      </c>
      <c r="I193" s="52" t="s">
        <v>607</v>
      </c>
      <c r="J193" s="52" t="s">
        <v>607</v>
      </c>
      <c r="K193" s="52" t="s">
        <v>607</v>
      </c>
      <c r="L193" s="52" t="s">
        <v>607</v>
      </c>
      <c r="M193" s="52" t="s">
        <v>607</v>
      </c>
      <c r="N193" s="52" t="s">
        <v>607</v>
      </c>
      <c r="O193" s="52"/>
      <c r="P193" s="52"/>
      <c r="Q193" s="52"/>
      <c r="R193" s="51" t="b">
        <v>0</v>
      </c>
      <c r="S193" s="51"/>
      <c r="T193" s="52"/>
      <c r="U193" s="51" t="b">
        <v>0</v>
      </c>
      <c r="V193" s="51" t="b">
        <v>0</v>
      </c>
      <c r="W193" s="51" t="b">
        <v>0</v>
      </c>
      <c r="X193" s="51" t="b">
        <v>0</v>
      </c>
      <c r="Y193" s="51" t="b">
        <v>0</v>
      </c>
      <c r="Z193" s="51" t="b">
        <v>0</v>
      </c>
      <c r="AA193" s="68"/>
      <c r="AB193" s="52"/>
      <c r="AC193" s="52"/>
      <c r="AD193" s="52"/>
      <c r="AE193" s="56" t="s">
        <v>607</v>
      </c>
      <c r="AF193" s="56" t="s">
        <v>607</v>
      </c>
    </row>
    <row r="194">
      <c r="A194" s="52" t="s">
        <v>1370</v>
      </c>
      <c r="B194" s="52" t="s">
        <v>14</v>
      </c>
      <c r="C194" s="52" t="s">
        <v>221</v>
      </c>
      <c r="D194" s="65">
        <v>0.5513078703703708</v>
      </c>
      <c r="E194" s="65">
        <v>2.314814814814815E-4</v>
      </c>
      <c r="F194" s="65">
        <v>0.5515393518518522</v>
      </c>
      <c r="G194" s="65"/>
      <c r="H194" s="52" t="s">
        <v>81</v>
      </c>
      <c r="I194" s="52" t="s">
        <v>274</v>
      </c>
      <c r="J194" s="52" t="s">
        <v>128</v>
      </c>
      <c r="K194" s="52"/>
      <c r="L194" s="52"/>
      <c r="M194" s="52"/>
      <c r="N194" s="52" t="s">
        <v>70</v>
      </c>
      <c r="O194" s="52"/>
      <c r="P194" s="52"/>
      <c r="Q194" s="52"/>
      <c r="R194" s="51" t="b">
        <v>0</v>
      </c>
      <c r="S194" s="51"/>
      <c r="T194" s="52"/>
      <c r="U194" s="51" t="b">
        <v>0</v>
      </c>
      <c r="V194" s="51" t="b">
        <v>0</v>
      </c>
      <c r="W194" s="51" t="b">
        <v>0</v>
      </c>
      <c r="X194" s="51" t="b">
        <v>0</v>
      </c>
      <c r="Y194" s="51" t="b">
        <v>0</v>
      </c>
      <c r="Z194" s="51" t="b">
        <v>0</v>
      </c>
      <c r="AA194" s="68"/>
      <c r="AB194" s="52"/>
      <c r="AC194" s="52"/>
      <c r="AD194" s="52"/>
      <c r="AE194" s="56"/>
      <c r="AF194" s="56"/>
    </row>
    <row r="195">
      <c r="A195" s="52" t="s">
        <v>1371</v>
      </c>
      <c r="B195" s="52" t="s">
        <v>14</v>
      </c>
      <c r="C195" s="52" t="s">
        <v>221</v>
      </c>
      <c r="D195" s="65">
        <v>0.5515393518518522</v>
      </c>
      <c r="E195" s="65">
        <v>0.0020833333333333333</v>
      </c>
      <c r="F195" s="65">
        <v>0.5536226851851855</v>
      </c>
      <c r="G195" s="65" t="s">
        <v>275</v>
      </c>
      <c r="H195" s="52" t="s">
        <v>83</v>
      </c>
      <c r="I195" s="52" t="s">
        <v>276</v>
      </c>
      <c r="J195" s="52"/>
      <c r="K195" s="52"/>
      <c r="L195" s="52"/>
      <c r="M195" s="52"/>
      <c r="N195" s="52" t="s">
        <v>70</v>
      </c>
      <c r="O195" s="52"/>
      <c r="P195" s="69" t="s">
        <v>23</v>
      </c>
      <c r="Q195" s="73" t="s">
        <v>1373</v>
      </c>
      <c r="R195" s="51" t="b">
        <v>1</v>
      </c>
      <c r="S195" s="84" t="s">
        <v>276</v>
      </c>
      <c r="T195" s="52"/>
      <c r="U195" s="51" t="b">
        <v>0</v>
      </c>
      <c r="V195" s="51" t="b">
        <v>0</v>
      </c>
      <c r="W195" s="51" t="b">
        <v>0</v>
      </c>
      <c r="X195" s="51" t="b">
        <v>0</v>
      </c>
      <c r="Y195" s="51" t="b">
        <v>1</v>
      </c>
      <c r="Z195" s="51" t="b">
        <v>0</v>
      </c>
      <c r="AA195" s="71">
        <v>0.0020833333333333333</v>
      </c>
      <c r="AB195" s="69" t="s">
        <v>314</v>
      </c>
      <c r="AC195" s="103"/>
      <c r="AD195" s="103"/>
      <c r="AE195" s="56" t="s">
        <v>314</v>
      </c>
      <c r="AF195" s="56"/>
    </row>
    <row r="196">
      <c r="A196" s="52" t="s">
        <v>1377</v>
      </c>
      <c r="B196" s="52" t="s">
        <v>607</v>
      </c>
      <c r="C196" s="52" t="s">
        <v>607</v>
      </c>
      <c r="D196" s="65" t="s">
        <v>607</v>
      </c>
      <c r="E196" s="65" t="s">
        <v>607</v>
      </c>
      <c r="F196" s="65" t="s">
        <v>607</v>
      </c>
      <c r="G196" s="65" t="s">
        <v>607</v>
      </c>
      <c r="H196" s="52" t="s">
        <v>607</v>
      </c>
      <c r="I196" s="52" t="s">
        <v>607</v>
      </c>
      <c r="J196" s="52" t="s">
        <v>607</v>
      </c>
      <c r="K196" s="52" t="s">
        <v>607</v>
      </c>
      <c r="L196" s="52" t="s">
        <v>607</v>
      </c>
      <c r="M196" s="52" t="s">
        <v>607</v>
      </c>
      <c r="N196" s="52" t="s">
        <v>607</v>
      </c>
      <c r="O196" s="52"/>
      <c r="P196" s="52"/>
      <c r="Q196" s="52"/>
      <c r="R196" s="51" t="b">
        <v>0</v>
      </c>
      <c r="S196" s="51"/>
      <c r="T196" s="52"/>
      <c r="U196" s="51" t="b">
        <v>0</v>
      </c>
      <c r="V196" s="51" t="b">
        <v>0</v>
      </c>
      <c r="W196" s="51" t="b">
        <v>0</v>
      </c>
      <c r="X196" s="51" t="b">
        <v>0</v>
      </c>
      <c r="Y196" s="51" t="b">
        <v>0</v>
      </c>
      <c r="Z196" s="51" t="b">
        <v>0</v>
      </c>
      <c r="AA196" s="68"/>
      <c r="AB196" s="52"/>
      <c r="AC196" s="52"/>
      <c r="AD196" s="52"/>
      <c r="AE196" s="56" t="s">
        <v>607</v>
      </c>
      <c r="AF196" s="56" t="s">
        <v>607</v>
      </c>
    </row>
    <row r="197">
      <c r="A197" s="52" t="s">
        <v>1381</v>
      </c>
      <c r="B197" s="52" t="s">
        <v>607</v>
      </c>
      <c r="C197" s="52" t="s">
        <v>607</v>
      </c>
      <c r="D197" s="65" t="s">
        <v>607</v>
      </c>
      <c r="E197" s="65" t="s">
        <v>607</v>
      </c>
      <c r="F197" s="65" t="s">
        <v>607</v>
      </c>
      <c r="G197" s="65" t="s">
        <v>607</v>
      </c>
      <c r="H197" s="52" t="s">
        <v>607</v>
      </c>
      <c r="I197" s="52" t="s">
        <v>607</v>
      </c>
      <c r="J197" s="52" t="s">
        <v>607</v>
      </c>
      <c r="K197" s="52" t="s">
        <v>607</v>
      </c>
      <c r="L197" s="52" t="s">
        <v>607</v>
      </c>
      <c r="M197" s="52" t="s">
        <v>607</v>
      </c>
      <c r="N197" s="52" t="s">
        <v>607</v>
      </c>
      <c r="O197" s="52"/>
      <c r="P197" s="52"/>
      <c r="Q197" s="52"/>
      <c r="R197" s="51" t="b">
        <v>0</v>
      </c>
      <c r="S197" s="51"/>
      <c r="T197" s="52"/>
      <c r="U197" s="51" t="b">
        <v>0</v>
      </c>
      <c r="V197" s="51" t="b">
        <v>0</v>
      </c>
      <c r="W197" s="51" t="b">
        <v>0</v>
      </c>
      <c r="X197" s="51" t="b">
        <v>0</v>
      </c>
      <c r="Y197" s="51" t="b">
        <v>0</v>
      </c>
      <c r="Z197" s="51" t="b">
        <v>0</v>
      </c>
      <c r="AA197" s="68"/>
      <c r="AB197" s="52"/>
      <c r="AC197" s="52"/>
      <c r="AD197" s="52"/>
      <c r="AE197" s="56" t="s">
        <v>607</v>
      </c>
      <c r="AF197" s="56" t="s">
        <v>607</v>
      </c>
    </row>
    <row r="198">
      <c r="A198" s="52" t="s">
        <v>1382</v>
      </c>
      <c r="B198" s="52" t="s">
        <v>14</v>
      </c>
      <c r="C198" s="52" t="s">
        <v>66</v>
      </c>
      <c r="D198" s="65">
        <v>0.5326620370370372</v>
      </c>
      <c r="E198" s="65">
        <v>2.314814814814815E-4</v>
      </c>
      <c r="F198" s="65">
        <v>0.5328935185185186</v>
      </c>
      <c r="G198" s="65"/>
      <c r="H198" s="52" t="s">
        <v>81</v>
      </c>
      <c r="I198" s="52" t="s">
        <v>119</v>
      </c>
      <c r="J198" s="52" t="s">
        <v>73</v>
      </c>
      <c r="K198" s="52" t="s">
        <v>128</v>
      </c>
      <c r="L198" s="52"/>
      <c r="M198" s="52"/>
      <c r="N198" s="52" t="s">
        <v>70</v>
      </c>
      <c r="O198" s="52"/>
      <c r="P198" s="52"/>
      <c r="Q198" s="52"/>
      <c r="R198" s="51" t="b">
        <v>0</v>
      </c>
      <c r="S198" s="51"/>
      <c r="T198" s="52"/>
      <c r="U198" s="51" t="b">
        <v>0</v>
      </c>
      <c r="V198" s="51" t="b">
        <v>0</v>
      </c>
      <c r="W198" s="51" t="b">
        <v>0</v>
      </c>
      <c r="X198" s="51" t="b">
        <v>0</v>
      </c>
      <c r="Y198" s="51" t="b">
        <v>0</v>
      </c>
      <c r="Z198" s="51" t="b">
        <v>0</v>
      </c>
      <c r="AA198" s="68"/>
      <c r="AB198" s="52"/>
      <c r="AC198" s="52"/>
      <c r="AD198" s="52"/>
      <c r="AE198" s="56"/>
      <c r="AF198" s="56"/>
    </row>
    <row r="199">
      <c r="A199" s="52" t="s">
        <v>1383</v>
      </c>
      <c r="B199" s="52" t="s">
        <v>14</v>
      </c>
      <c r="C199" s="52" t="s">
        <v>66</v>
      </c>
      <c r="D199" s="65">
        <v>0.5328935185185186</v>
      </c>
      <c r="E199" s="65">
        <v>0.010416666666666666</v>
      </c>
      <c r="F199" s="65">
        <v>0.5433101851851853</v>
      </c>
      <c r="G199" s="65" t="s">
        <v>140</v>
      </c>
      <c r="H199" s="52" t="s">
        <v>107</v>
      </c>
      <c r="I199" s="52" t="s">
        <v>141</v>
      </c>
      <c r="J199" s="52" t="s">
        <v>142</v>
      </c>
      <c r="K199" s="52" t="s">
        <v>143</v>
      </c>
      <c r="L199" s="52"/>
      <c r="M199" s="52"/>
      <c r="N199" s="52" t="s">
        <v>144</v>
      </c>
      <c r="O199" s="69" t="s">
        <v>734</v>
      </c>
      <c r="P199" s="69" t="s">
        <v>30</v>
      </c>
      <c r="Q199" s="70" t="s">
        <v>1384</v>
      </c>
      <c r="R199" s="51" t="b">
        <v>1</v>
      </c>
      <c r="S199" s="52" t="s">
        <v>141</v>
      </c>
      <c r="T199" s="52"/>
      <c r="U199" s="51" t="b">
        <v>0</v>
      </c>
      <c r="V199" s="51" t="b">
        <v>1</v>
      </c>
      <c r="W199" s="51" t="b">
        <v>1</v>
      </c>
      <c r="X199" s="51" t="b">
        <v>1</v>
      </c>
      <c r="Y199" s="51" t="b">
        <v>0</v>
      </c>
      <c r="Z199" s="51" t="b">
        <v>0</v>
      </c>
      <c r="AA199" s="88">
        <v>0.010405092592592593</v>
      </c>
      <c r="AB199" s="104" t="s">
        <v>1388</v>
      </c>
      <c r="AC199" s="105"/>
      <c r="AD199" s="73" t="s">
        <v>1394</v>
      </c>
      <c r="AE199" s="74" t="s">
        <v>629</v>
      </c>
      <c r="AF199" s="74" t="s">
        <v>972</v>
      </c>
    </row>
    <row r="200">
      <c r="A200" s="52" t="s">
        <v>1395</v>
      </c>
      <c r="B200" s="52" t="s">
        <v>607</v>
      </c>
      <c r="C200" s="52" t="s">
        <v>607</v>
      </c>
      <c r="D200" s="65" t="s">
        <v>607</v>
      </c>
      <c r="E200" s="65" t="s">
        <v>607</v>
      </c>
      <c r="F200" s="65" t="s">
        <v>607</v>
      </c>
      <c r="G200" s="65" t="s">
        <v>607</v>
      </c>
      <c r="H200" s="52" t="s">
        <v>607</v>
      </c>
      <c r="I200" s="52" t="s">
        <v>607</v>
      </c>
      <c r="J200" s="52" t="s">
        <v>607</v>
      </c>
      <c r="K200" s="52" t="s">
        <v>607</v>
      </c>
      <c r="L200" s="52" t="s">
        <v>607</v>
      </c>
      <c r="M200" s="52" t="s">
        <v>607</v>
      </c>
      <c r="N200" s="52" t="s">
        <v>607</v>
      </c>
      <c r="O200" s="52"/>
      <c r="P200" s="52"/>
      <c r="Q200" s="52"/>
      <c r="R200" s="51" t="b">
        <v>0</v>
      </c>
      <c r="S200" s="51"/>
      <c r="T200" s="52"/>
      <c r="U200" s="51" t="b">
        <v>0</v>
      </c>
      <c r="V200" s="51" t="b">
        <v>0</v>
      </c>
      <c r="W200" s="51" t="b">
        <v>0</v>
      </c>
      <c r="X200" s="51" t="b">
        <v>0</v>
      </c>
      <c r="Y200" s="51" t="b">
        <v>0</v>
      </c>
      <c r="Z200" s="51" t="b">
        <v>0</v>
      </c>
      <c r="AA200" s="68"/>
      <c r="AB200" s="52"/>
      <c r="AC200" s="52"/>
      <c r="AD200" s="52"/>
      <c r="AE200" s="56" t="s">
        <v>607</v>
      </c>
      <c r="AF200" s="56" t="s">
        <v>607</v>
      </c>
    </row>
    <row r="201">
      <c r="A201" s="52" t="s">
        <v>1400</v>
      </c>
      <c r="B201" s="52" t="s">
        <v>14</v>
      </c>
      <c r="C201" s="52" t="s">
        <v>221</v>
      </c>
      <c r="D201" s="65">
        <v>0.5730671296296298</v>
      </c>
      <c r="E201" s="65">
        <v>5.208333333333333E-4</v>
      </c>
      <c r="F201" s="65">
        <v>0.5735879629629631</v>
      </c>
      <c r="G201" s="65"/>
      <c r="H201" s="52" t="s">
        <v>79</v>
      </c>
      <c r="I201" s="52" t="s">
        <v>80</v>
      </c>
      <c r="J201" s="52" t="s">
        <v>69</v>
      </c>
      <c r="K201" s="52"/>
      <c r="L201" s="52"/>
      <c r="M201" s="52"/>
      <c r="N201" s="52" t="s">
        <v>70</v>
      </c>
      <c r="O201" s="52"/>
      <c r="P201" s="52"/>
      <c r="Q201" s="52"/>
      <c r="R201" s="51" t="b">
        <v>0</v>
      </c>
      <c r="S201" s="51"/>
      <c r="T201" s="52"/>
      <c r="U201" s="51" t="b">
        <v>0</v>
      </c>
      <c r="V201" s="51" t="b">
        <v>0</v>
      </c>
      <c r="W201" s="51" t="b">
        <v>0</v>
      </c>
      <c r="X201" s="51" t="b">
        <v>0</v>
      </c>
      <c r="Y201" s="51" t="b">
        <v>0</v>
      </c>
      <c r="Z201" s="51" t="b">
        <v>0</v>
      </c>
      <c r="AA201" s="68"/>
      <c r="AB201" s="52"/>
      <c r="AC201" s="52"/>
      <c r="AD201" s="52"/>
      <c r="AE201" s="56"/>
      <c r="AF201" s="56"/>
    </row>
    <row r="202">
      <c r="A202" s="52" t="s">
        <v>1404</v>
      </c>
      <c r="B202" s="52" t="s">
        <v>14</v>
      </c>
      <c r="C202" s="52" t="s">
        <v>289</v>
      </c>
      <c r="D202" s="65">
        <v>0.5866666666666667</v>
      </c>
      <c r="E202" s="65">
        <v>0.004861111111111111</v>
      </c>
      <c r="F202" s="65">
        <v>0.5915277777777778</v>
      </c>
      <c r="G202" s="65"/>
      <c r="H202" s="52" t="s">
        <v>165</v>
      </c>
      <c r="I202" s="52" t="s">
        <v>290</v>
      </c>
      <c r="J202" s="52" t="s">
        <v>291</v>
      </c>
      <c r="K202" s="52"/>
      <c r="L202" s="52"/>
      <c r="M202" s="52"/>
      <c r="N202" s="52"/>
      <c r="O202" s="69" t="s">
        <v>884</v>
      </c>
      <c r="P202" s="69" t="s">
        <v>30</v>
      </c>
      <c r="Q202" s="80" t="s">
        <v>1405</v>
      </c>
      <c r="R202" s="51" t="b">
        <v>1</v>
      </c>
      <c r="S202" s="52" t="s">
        <v>290</v>
      </c>
      <c r="T202" s="52"/>
      <c r="U202" s="51" t="b">
        <v>0</v>
      </c>
      <c r="V202" s="51" t="b">
        <v>1</v>
      </c>
      <c r="W202" s="51" t="b">
        <v>1</v>
      </c>
      <c r="X202" s="51" t="b">
        <v>0</v>
      </c>
      <c r="Y202" s="51" t="b">
        <v>1</v>
      </c>
      <c r="Z202" s="51" t="b">
        <v>0</v>
      </c>
      <c r="AA202" s="71">
        <v>0.004548611111111111</v>
      </c>
      <c r="AB202" s="69" t="s">
        <v>1406</v>
      </c>
      <c r="AC202" s="97" t="s">
        <v>1407</v>
      </c>
      <c r="AD202" s="73" t="s">
        <v>1409</v>
      </c>
      <c r="AE202" s="56" t="s">
        <v>743</v>
      </c>
      <c r="AF202" s="56" t="s">
        <v>803</v>
      </c>
    </row>
    <row r="203">
      <c r="A203" s="52" t="s">
        <v>1412</v>
      </c>
      <c r="B203" s="52" t="s">
        <v>607</v>
      </c>
      <c r="C203" s="52" t="s">
        <v>607</v>
      </c>
      <c r="D203" s="65" t="s">
        <v>607</v>
      </c>
      <c r="E203" s="65" t="s">
        <v>607</v>
      </c>
      <c r="F203" s="65" t="s">
        <v>607</v>
      </c>
      <c r="G203" s="65" t="s">
        <v>607</v>
      </c>
      <c r="H203" s="52" t="s">
        <v>607</v>
      </c>
      <c r="I203" s="52" t="s">
        <v>607</v>
      </c>
      <c r="J203" s="52" t="s">
        <v>607</v>
      </c>
      <c r="K203" s="52" t="s">
        <v>607</v>
      </c>
      <c r="L203" s="52" t="s">
        <v>607</v>
      </c>
      <c r="M203" s="52" t="s">
        <v>607</v>
      </c>
      <c r="N203" s="52" t="s">
        <v>607</v>
      </c>
      <c r="O203" s="52"/>
      <c r="P203" s="52"/>
      <c r="Q203" s="52"/>
      <c r="R203" s="51" t="b">
        <v>0</v>
      </c>
      <c r="S203" s="51"/>
      <c r="T203" s="52"/>
      <c r="U203" s="51" t="b">
        <v>0</v>
      </c>
      <c r="V203" s="51" t="b">
        <v>0</v>
      </c>
      <c r="W203" s="51" t="b">
        <v>0</v>
      </c>
      <c r="X203" s="51" t="b">
        <v>0</v>
      </c>
      <c r="Y203" s="51" t="b">
        <v>0</v>
      </c>
      <c r="Z203" s="51" t="b">
        <v>0</v>
      </c>
      <c r="AA203" s="68"/>
      <c r="AB203" s="52"/>
      <c r="AC203" s="52"/>
      <c r="AD203" s="52"/>
      <c r="AE203" s="56" t="s">
        <v>607</v>
      </c>
      <c r="AF203" s="56" t="s">
        <v>607</v>
      </c>
    </row>
    <row r="204">
      <c r="A204" s="52" t="s">
        <v>1415</v>
      </c>
      <c r="B204" s="52" t="s">
        <v>14</v>
      </c>
      <c r="C204" s="52" t="s">
        <v>221</v>
      </c>
      <c r="D204" s="65">
        <v>0.5928009259259259</v>
      </c>
      <c r="E204" s="65">
        <v>2.314814814814815E-4</v>
      </c>
      <c r="F204" s="65">
        <v>0.5930324074074074</v>
      </c>
      <c r="G204" s="65"/>
      <c r="H204" s="52" t="s">
        <v>81</v>
      </c>
      <c r="I204" s="52" t="s">
        <v>81</v>
      </c>
      <c r="J204" s="52" t="s">
        <v>128</v>
      </c>
      <c r="K204" s="52"/>
      <c r="L204" s="52"/>
      <c r="M204" s="52"/>
      <c r="N204" s="52" t="s">
        <v>70</v>
      </c>
      <c r="O204" s="52"/>
      <c r="P204" s="52"/>
      <c r="Q204" s="52"/>
      <c r="R204" s="51" t="b">
        <v>0</v>
      </c>
      <c r="S204" s="51"/>
      <c r="T204" s="52"/>
      <c r="U204" s="51" t="b">
        <v>0</v>
      </c>
      <c r="V204" s="51" t="b">
        <v>0</v>
      </c>
      <c r="W204" s="51" t="b">
        <v>0</v>
      </c>
      <c r="X204" s="51" t="b">
        <v>0</v>
      </c>
      <c r="Y204" s="51" t="b">
        <v>0</v>
      </c>
      <c r="Z204" s="51" t="b">
        <v>0</v>
      </c>
      <c r="AA204" s="68"/>
      <c r="AB204" s="52"/>
      <c r="AC204" s="52"/>
      <c r="AD204" s="52"/>
      <c r="AE204" s="56"/>
      <c r="AF204" s="56"/>
    </row>
    <row r="205">
      <c r="A205" s="52" t="s">
        <v>1417</v>
      </c>
      <c r="B205" s="52" t="s">
        <v>14</v>
      </c>
      <c r="C205" s="52" t="s">
        <v>221</v>
      </c>
      <c r="D205" s="65">
        <v>0.5930324074074074</v>
      </c>
      <c r="E205" s="65">
        <v>0.011111111111111112</v>
      </c>
      <c r="F205" s="65">
        <v>0.6041435185185184</v>
      </c>
      <c r="G205" s="65" t="s">
        <v>140</v>
      </c>
      <c r="H205" s="52" t="s">
        <v>94</v>
      </c>
      <c r="I205" s="52" t="s">
        <v>294</v>
      </c>
      <c r="J205" s="52" t="s">
        <v>295</v>
      </c>
      <c r="K205" s="52"/>
      <c r="L205" s="52"/>
      <c r="M205" s="52"/>
      <c r="N205" s="52" t="s">
        <v>296</v>
      </c>
      <c r="O205" s="69" t="s">
        <v>618</v>
      </c>
      <c r="P205" s="69" t="s">
        <v>32</v>
      </c>
      <c r="Q205" s="80" t="s">
        <v>1419</v>
      </c>
      <c r="R205" s="51" t="b">
        <v>1</v>
      </c>
      <c r="S205" s="52" t="s">
        <v>294</v>
      </c>
      <c r="T205" s="52"/>
      <c r="U205" s="51" t="b">
        <v>0</v>
      </c>
      <c r="V205" s="51" t="b">
        <v>1</v>
      </c>
      <c r="W205" s="51" t="b">
        <v>1</v>
      </c>
      <c r="X205" s="51" t="b">
        <v>0</v>
      </c>
      <c r="Y205" s="51" t="b">
        <v>0</v>
      </c>
      <c r="Z205" s="51" t="b">
        <v>1</v>
      </c>
      <c r="AA205" s="71">
        <v>0.011006944444444444</v>
      </c>
      <c r="AB205" s="69" t="s">
        <v>1420</v>
      </c>
      <c r="AC205" s="69"/>
      <c r="AD205" s="73" t="s">
        <v>1422</v>
      </c>
      <c r="AE205" s="74" t="s">
        <v>629</v>
      </c>
      <c r="AF205" s="74" t="s">
        <v>972</v>
      </c>
    </row>
    <row r="206">
      <c r="A206" s="52" t="s">
        <v>1426</v>
      </c>
      <c r="B206" s="52" t="s">
        <v>607</v>
      </c>
      <c r="C206" s="52" t="s">
        <v>607</v>
      </c>
      <c r="D206" s="65" t="s">
        <v>607</v>
      </c>
      <c r="E206" s="65" t="s">
        <v>607</v>
      </c>
      <c r="F206" s="65" t="s">
        <v>607</v>
      </c>
      <c r="G206" s="65" t="s">
        <v>607</v>
      </c>
      <c r="H206" s="52" t="s">
        <v>607</v>
      </c>
      <c r="I206" s="52" t="s">
        <v>607</v>
      </c>
      <c r="J206" s="52" t="s">
        <v>607</v>
      </c>
      <c r="K206" s="52" t="s">
        <v>607</v>
      </c>
      <c r="L206" s="52" t="s">
        <v>607</v>
      </c>
      <c r="M206" s="52" t="s">
        <v>607</v>
      </c>
      <c r="N206" s="52" t="s">
        <v>607</v>
      </c>
      <c r="O206" s="52"/>
      <c r="P206" s="52"/>
      <c r="Q206" s="52"/>
      <c r="R206" s="51" t="b">
        <v>0</v>
      </c>
      <c r="S206" s="51"/>
      <c r="T206" s="52"/>
      <c r="U206" s="51" t="b">
        <v>0</v>
      </c>
      <c r="V206" s="51" t="b">
        <v>0</v>
      </c>
      <c r="W206" s="51" t="b">
        <v>0</v>
      </c>
      <c r="X206" s="51" t="b">
        <v>0</v>
      </c>
      <c r="Y206" s="51" t="b">
        <v>0</v>
      </c>
      <c r="Z206" s="51" t="b">
        <v>0</v>
      </c>
      <c r="AA206" s="68"/>
      <c r="AB206" s="52"/>
      <c r="AC206" s="52"/>
      <c r="AD206" s="52"/>
      <c r="AE206" s="56" t="s">
        <v>607</v>
      </c>
      <c r="AF206" s="56" t="s">
        <v>607</v>
      </c>
    </row>
    <row r="207">
      <c r="A207" s="52" t="s">
        <v>1429</v>
      </c>
      <c r="B207" s="52" t="s">
        <v>607</v>
      </c>
      <c r="C207" s="52" t="s">
        <v>607</v>
      </c>
      <c r="D207" s="65" t="s">
        <v>607</v>
      </c>
      <c r="E207" s="65" t="s">
        <v>607</v>
      </c>
      <c r="F207" s="65" t="s">
        <v>607</v>
      </c>
      <c r="G207" s="65" t="s">
        <v>607</v>
      </c>
      <c r="H207" s="52" t="s">
        <v>607</v>
      </c>
      <c r="I207" s="52" t="s">
        <v>607</v>
      </c>
      <c r="J207" s="52" t="s">
        <v>607</v>
      </c>
      <c r="K207" s="52" t="s">
        <v>607</v>
      </c>
      <c r="L207" s="52" t="s">
        <v>607</v>
      </c>
      <c r="M207" s="52" t="s">
        <v>607</v>
      </c>
      <c r="N207" s="52" t="s">
        <v>607</v>
      </c>
      <c r="O207" s="52"/>
      <c r="P207" s="52"/>
      <c r="Q207" s="52"/>
      <c r="R207" s="51" t="b">
        <v>0</v>
      </c>
      <c r="S207" s="51"/>
      <c r="T207" s="52"/>
      <c r="U207" s="51" t="b">
        <v>0</v>
      </c>
      <c r="V207" s="51" t="b">
        <v>0</v>
      </c>
      <c r="W207" s="51" t="b">
        <v>0</v>
      </c>
      <c r="X207" s="51" t="b">
        <v>0</v>
      </c>
      <c r="Y207" s="51" t="b">
        <v>0</v>
      </c>
      <c r="Z207" s="51" t="b">
        <v>0</v>
      </c>
      <c r="AA207" s="68"/>
      <c r="AB207" s="52"/>
      <c r="AC207" s="52"/>
      <c r="AD207" s="52"/>
      <c r="AE207" s="56" t="s">
        <v>607</v>
      </c>
      <c r="AF207" s="56" t="s">
        <v>607</v>
      </c>
    </row>
    <row r="208">
      <c r="A208" s="52" t="s">
        <v>1430</v>
      </c>
      <c r="B208" s="52" t="s">
        <v>14</v>
      </c>
      <c r="C208" s="52" t="s">
        <v>221</v>
      </c>
      <c r="D208" s="65">
        <v>0.5921064814814815</v>
      </c>
      <c r="E208" s="65">
        <v>6.944444444444445E-4</v>
      </c>
      <c r="F208" s="65">
        <v>0.5928009259259259</v>
      </c>
      <c r="G208" s="65"/>
      <c r="H208" s="52" t="s">
        <v>103</v>
      </c>
      <c r="I208" s="52" t="s">
        <v>293</v>
      </c>
      <c r="J208" s="52" t="s">
        <v>128</v>
      </c>
      <c r="K208" s="52"/>
      <c r="L208" s="52"/>
      <c r="M208" s="52"/>
      <c r="N208" s="52" t="s">
        <v>70</v>
      </c>
      <c r="O208" s="52"/>
      <c r="P208" s="52"/>
      <c r="Q208" s="52"/>
      <c r="R208" s="51" t="b">
        <v>0</v>
      </c>
      <c r="S208" s="51"/>
      <c r="T208" s="52"/>
      <c r="U208" s="51" t="b">
        <v>0</v>
      </c>
      <c r="V208" s="51" t="b">
        <v>0</v>
      </c>
      <c r="W208" s="51" t="b">
        <v>0</v>
      </c>
      <c r="X208" s="51" t="b">
        <v>0</v>
      </c>
      <c r="Y208" s="51" t="b">
        <v>0</v>
      </c>
      <c r="Z208" s="51" t="b">
        <v>0</v>
      </c>
      <c r="AA208" s="68"/>
      <c r="AB208" s="52"/>
      <c r="AC208" s="52"/>
      <c r="AD208" s="52"/>
      <c r="AE208" s="56"/>
      <c r="AF208" s="56"/>
    </row>
    <row r="209">
      <c r="A209" s="52" t="s">
        <v>1434</v>
      </c>
      <c r="B209" s="52" t="s">
        <v>785</v>
      </c>
      <c r="C209" s="52" t="s">
        <v>221</v>
      </c>
      <c r="D209" s="65">
        <v>0.4602314814814815</v>
      </c>
      <c r="E209" s="65">
        <v>2.314814814814815E-4</v>
      </c>
      <c r="F209" s="65">
        <v>0.460462962962963</v>
      </c>
      <c r="G209" s="65"/>
      <c r="H209" s="52" t="s">
        <v>81</v>
      </c>
      <c r="I209" s="52" t="s">
        <v>91</v>
      </c>
      <c r="J209" s="52" t="s">
        <v>128</v>
      </c>
      <c r="K209" s="52"/>
      <c r="L209" s="52"/>
      <c r="M209" s="52"/>
      <c r="N209" s="52" t="s">
        <v>70</v>
      </c>
      <c r="O209" s="52"/>
      <c r="P209" s="52"/>
      <c r="Q209" s="52"/>
      <c r="R209" s="51" t="b">
        <v>0</v>
      </c>
      <c r="S209" s="51"/>
      <c r="T209" s="52"/>
      <c r="U209" s="51" t="b">
        <v>0</v>
      </c>
      <c r="V209" s="51" t="b">
        <v>0</v>
      </c>
      <c r="W209" s="51" t="b">
        <v>0</v>
      </c>
      <c r="X209" s="51" t="b">
        <v>0</v>
      </c>
      <c r="Y209" s="51" t="b">
        <v>0</v>
      </c>
      <c r="Z209" s="51" t="b">
        <v>0</v>
      </c>
      <c r="AA209" s="68"/>
      <c r="AB209" s="52"/>
      <c r="AC209" s="52"/>
      <c r="AD209" s="52"/>
      <c r="AE209" s="56"/>
      <c r="AF209" s="56"/>
    </row>
    <row r="210">
      <c r="A210" s="52" t="s">
        <v>1435</v>
      </c>
      <c r="B210" s="52" t="s">
        <v>785</v>
      </c>
      <c r="C210" s="52" t="s">
        <v>221</v>
      </c>
      <c r="D210" s="65">
        <v>0.5828009259259259</v>
      </c>
      <c r="E210" s="65">
        <v>0.00712962962962963</v>
      </c>
      <c r="F210" s="65">
        <v>0.5899305555555555</v>
      </c>
      <c r="G210" s="65" t="s">
        <v>129</v>
      </c>
      <c r="H210" s="52" t="s">
        <v>94</v>
      </c>
      <c r="I210" s="52" t="s">
        <v>1436</v>
      </c>
      <c r="J210" s="52" t="s">
        <v>1438</v>
      </c>
      <c r="K210" s="52"/>
      <c r="L210" s="52"/>
      <c r="M210" s="52"/>
      <c r="N210" s="52" t="s">
        <v>1440</v>
      </c>
      <c r="O210" s="69" t="s">
        <v>618</v>
      </c>
      <c r="P210" s="69" t="s">
        <v>30</v>
      </c>
      <c r="Q210" s="70" t="s">
        <v>1442</v>
      </c>
      <c r="R210" s="51" t="b">
        <v>1</v>
      </c>
      <c r="S210" s="52" t="s">
        <v>1444</v>
      </c>
      <c r="T210" s="52"/>
      <c r="U210" s="51" t="b">
        <v>0</v>
      </c>
      <c r="V210" s="51" t="b">
        <v>1</v>
      </c>
      <c r="W210" s="51" t="b">
        <v>1</v>
      </c>
      <c r="X210" s="51" t="b">
        <v>1</v>
      </c>
      <c r="Y210" s="51" t="b">
        <v>0</v>
      </c>
      <c r="Z210" s="51" t="b">
        <v>0</v>
      </c>
      <c r="AA210" s="71">
        <v>0.00712962962962963</v>
      </c>
      <c r="AB210" s="104" t="s">
        <v>1445</v>
      </c>
      <c r="AC210" s="105"/>
      <c r="AD210" s="83" t="s">
        <v>1446</v>
      </c>
      <c r="AE210" s="74" t="s">
        <v>629</v>
      </c>
      <c r="AF210" s="74" t="s">
        <v>1253</v>
      </c>
    </row>
    <row r="211">
      <c r="A211" s="52" t="s">
        <v>1450</v>
      </c>
      <c r="B211" s="52" t="s">
        <v>607</v>
      </c>
      <c r="C211" s="52" t="s">
        <v>607</v>
      </c>
      <c r="D211" s="65" t="s">
        <v>607</v>
      </c>
      <c r="E211" s="65" t="s">
        <v>607</v>
      </c>
      <c r="F211" s="65" t="s">
        <v>607</v>
      </c>
      <c r="G211" s="65" t="s">
        <v>607</v>
      </c>
      <c r="H211" s="52" t="s">
        <v>607</v>
      </c>
      <c r="I211" s="52" t="s">
        <v>607</v>
      </c>
      <c r="J211" s="52" t="s">
        <v>607</v>
      </c>
      <c r="K211" s="52" t="s">
        <v>607</v>
      </c>
      <c r="L211" s="52" t="s">
        <v>607</v>
      </c>
      <c r="M211" s="52" t="s">
        <v>607</v>
      </c>
      <c r="N211" s="52" t="s">
        <v>607</v>
      </c>
      <c r="O211" s="52"/>
      <c r="P211" s="52"/>
      <c r="Q211" s="52"/>
      <c r="R211" s="51" t="b">
        <v>0</v>
      </c>
      <c r="S211" s="51"/>
      <c r="T211" s="52"/>
      <c r="U211" s="51" t="b">
        <v>0</v>
      </c>
      <c r="V211" s="51" t="b">
        <v>0</v>
      </c>
      <c r="W211" s="51" t="b">
        <v>0</v>
      </c>
      <c r="X211" s="51" t="b">
        <v>0</v>
      </c>
      <c r="Y211" s="51" t="b">
        <v>0</v>
      </c>
      <c r="Z211" s="51" t="b">
        <v>0</v>
      </c>
      <c r="AA211" s="68"/>
      <c r="AB211" s="52"/>
      <c r="AC211" s="52"/>
      <c r="AD211" s="52"/>
      <c r="AE211" s="56" t="s">
        <v>607</v>
      </c>
      <c r="AF211" s="56" t="s">
        <v>607</v>
      </c>
    </row>
    <row r="212">
      <c r="A212" s="52" t="s">
        <v>1451</v>
      </c>
      <c r="B212" s="52" t="s">
        <v>14</v>
      </c>
      <c r="C212" s="52" t="s">
        <v>221</v>
      </c>
      <c r="D212" s="65">
        <v>0.6041435185185184</v>
      </c>
      <c r="E212" s="65">
        <v>2.314814814814815E-4</v>
      </c>
      <c r="F212" s="65">
        <v>0.6043749999999999</v>
      </c>
      <c r="G212" s="65"/>
      <c r="H212" s="52" t="s">
        <v>81</v>
      </c>
      <c r="I212" s="52" t="s">
        <v>297</v>
      </c>
      <c r="J212" s="52" t="s">
        <v>128</v>
      </c>
      <c r="K212" s="52"/>
      <c r="L212" s="52"/>
      <c r="M212" s="52"/>
      <c r="N212" s="52" t="s">
        <v>70</v>
      </c>
      <c r="O212" s="52"/>
      <c r="P212" s="52"/>
      <c r="Q212" s="52"/>
      <c r="R212" s="51" t="b">
        <v>0</v>
      </c>
      <c r="S212" s="51"/>
      <c r="T212" s="52"/>
      <c r="U212" s="51" t="b">
        <v>0</v>
      </c>
      <c r="V212" s="51" t="b">
        <v>0</v>
      </c>
      <c r="W212" s="51" t="b">
        <v>0</v>
      </c>
      <c r="X212" s="51" t="b">
        <v>0</v>
      </c>
      <c r="Y212" s="51" t="b">
        <v>0</v>
      </c>
      <c r="Z212" s="51" t="b">
        <v>0</v>
      </c>
      <c r="AA212" s="68"/>
      <c r="AB212" s="52"/>
      <c r="AC212" s="52"/>
      <c r="AD212" s="52"/>
      <c r="AE212" s="56"/>
      <c r="AF212" s="56"/>
    </row>
    <row r="213">
      <c r="A213" s="52" t="s">
        <v>1455</v>
      </c>
      <c r="B213" s="52" t="s">
        <v>14</v>
      </c>
      <c r="C213" s="52" t="s">
        <v>221</v>
      </c>
      <c r="D213" s="65">
        <v>0.6043749999999999</v>
      </c>
      <c r="E213" s="65">
        <v>0.0020833333333333333</v>
      </c>
      <c r="F213" s="65">
        <v>0.6064583333333332</v>
      </c>
      <c r="G213" s="65"/>
      <c r="H213" s="52" t="s">
        <v>83</v>
      </c>
      <c r="I213" s="52" t="s">
        <v>298</v>
      </c>
      <c r="J213" s="52"/>
      <c r="K213" s="52"/>
      <c r="L213" s="52"/>
      <c r="M213" s="52"/>
      <c r="N213" s="52" t="s">
        <v>70</v>
      </c>
      <c r="O213" s="52"/>
      <c r="P213" s="52"/>
      <c r="Q213" s="52"/>
      <c r="R213" s="51" t="b">
        <v>0</v>
      </c>
      <c r="S213" s="51"/>
      <c r="T213" s="52"/>
      <c r="U213" s="51" t="b">
        <v>0</v>
      </c>
      <c r="V213" s="51" t="b">
        <v>0</v>
      </c>
      <c r="W213" s="51" t="b">
        <v>0</v>
      </c>
      <c r="X213" s="51" t="b">
        <v>0</v>
      </c>
      <c r="Y213" s="51" t="b">
        <v>0</v>
      </c>
      <c r="Z213" s="51" t="b">
        <v>0</v>
      </c>
      <c r="AA213" s="68"/>
      <c r="AB213" s="52"/>
      <c r="AC213" s="52"/>
      <c r="AD213" s="52"/>
      <c r="AE213" s="56" t="s">
        <v>314</v>
      </c>
      <c r="AF213" s="56"/>
    </row>
    <row r="214">
      <c r="A214" s="52" t="s">
        <v>1456</v>
      </c>
      <c r="B214" s="52" t="s">
        <v>607</v>
      </c>
      <c r="C214" s="52" t="s">
        <v>607</v>
      </c>
      <c r="D214" s="65" t="s">
        <v>607</v>
      </c>
      <c r="E214" s="65" t="s">
        <v>607</v>
      </c>
      <c r="F214" s="65" t="s">
        <v>607</v>
      </c>
      <c r="G214" s="65" t="s">
        <v>607</v>
      </c>
      <c r="H214" s="52" t="s">
        <v>607</v>
      </c>
      <c r="I214" s="52" t="s">
        <v>607</v>
      </c>
      <c r="J214" s="52" t="s">
        <v>607</v>
      </c>
      <c r="K214" s="52" t="s">
        <v>607</v>
      </c>
      <c r="L214" s="52" t="s">
        <v>607</v>
      </c>
      <c r="M214" s="52" t="s">
        <v>607</v>
      </c>
      <c r="N214" s="52" t="s">
        <v>607</v>
      </c>
      <c r="O214" s="52"/>
      <c r="P214" s="52"/>
      <c r="Q214" s="52"/>
      <c r="R214" s="51" t="b">
        <v>0</v>
      </c>
      <c r="S214" s="51"/>
      <c r="T214" s="52"/>
      <c r="U214" s="51" t="b">
        <v>0</v>
      </c>
      <c r="V214" s="51" t="b">
        <v>0</v>
      </c>
      <c r="W214" s="51" t="b">
        <v>0</v>
      </c>
      <c r="X214" s="51" t="b">
        <v>0</v>
      </c>
      <c r="Y214" s="51" t="b">
        <v>0</v>
      </c>
      <c r="Z214" s="51" t="b">
        <v>0</v>
      </c>
      <c r="AA214" s="68"/>
      <c r="AB214" s="52"/>
      <c r="AC214" s="52"/>
      <c r="AD214" s="52"/>
      <c r="AE214" s="56" t="s">
        <v>607</v>
      </c>
      <c r="AF214" s="56" t="s">
        <v>607</v>
      </c>
    </row>
    <row r="215">
      <c r="A215" s="52" t="s">
        <v>1462</v>
      </c>
      <c r="B215" s="52" t="s">
        <v>14</v>
      </c>
      <c r="C215" s="52" t="s">
        <v>221</v>
      </c>
      <c r="D215" s="65">
        <v>0.5624189814814817</v>
      </c>
      <c r="E215" s="65">
        <v>2.314814814814815E-4</v>
      </c>
      <c r="F215" s="65">
        <v>0.5626504629629632</v>
      </c>
      <c r="G215" s="65"/>
      <c r="H215" s="52" t="s">
        <v>81</v>
      </c>
      <c r="I215" s="52" t="s">
        <v>119</v>
      </c>
      <c r="J215" s="52" t="s">
        <v>128</v>
      </c>
      <c r="K215" s="52"/>
      <c r="L215" s="52"/>
      <c r="M215" s="52"/>
      <c r="N215" s="52" t="s">
        <v>70</v>
      </c>
      <c r="O215" s="52"/>
      <c r="P215" s="52"/>
      <c r="Q215" s="52"/>
      <c r="R215" s="51" t="b">
        <v>0</v>
      </c>
      <c r="S215" s="51"/>
      <c r="T215" s="52"/>
      <c r="U215" s="51" t="b">
        <v>0</v>
      </c>
      <c r="V215" s="51" t="b">
        <v>0</v>
      </c>
      <c r="W215" s="51" t="b">
        <v>0</v>
      </c>
      <c r="X215" s="51" t="b">
        <v>0</v>
      </c>
      <c r="Y215" s="51" t="b">
        <v>0</v>
      </c>
      <c r="Z215" s="51" t="b">
        <v>0</v>
      </c>
      <c r="AA215" s="68"/>
      <c r="AB215" s="52"/>
      <c r="AC215" s="52"/>
      <c r="AD215" s="52"/>
      <c r="AE215" s="56"/>
      <c r="AF215" s="56"/>
    </row>
    <row r="216">
      <c r="A216" s="52" t="s">
        <v>1463</v>
      </c>
      <c r="B216" s="52" t="s">
        <v>14</v>
      </c>
      <c r="C216" s="52" t="s">
        <v>221</v>
      </c>
      <c r="D216" s="65">
        <v>0.6069212962962961</v>
      </c>
      <c r="E216" s="65">
        <v>0.009722222222222222</v>
      </c>
      <c r="F216" s="65">
        <v>0.6166435185185183</v>
      </c>
      <c r="G216" s="65" t="s">
        <v>299</v>
      </c>
      <c r="H216" s="52" t="s">
        <v>107</v>
      </c>
      <c r="I216" s="52" t="s">
        <v>300</v>
      </c>
      <c r="J216" s="52" t="s">
        <v>301</v>
      </c>
      <c r="K216" s="52" t="s">
        <v>302</v>
      </c>
      <c r="L216" s="52"/>
      <c r="M216" s="52"/>
      <c r="N216" s="52" t="s">
        <v>132</v>
      </c>
      <c r="O216" s="69" t="s">
        <v>734</v>
      </c>
      <c r="P216" s="69" t="s">
        <v>32</v>
      </c>
      <c r="Q216" s="70" t="s">
        <v>1466</v>
      </c>
      <c r="R216" s="51" t="b">
        <v>1</v>
      </c>
      <c r="S216" s="52" t="s">
        <v>300</v>
      </c>
      <c r="T216" s="52"/>
      <c r="U216" s="51" t="b">
        <v>0</v>
      </c>
      <c r="V216" s="51" t="b">
        <v>1</v>
      </c>
      <c r="W216" s="51" t="b">
        <v>1</v>
      </c>
      <c r="X216" s="51" t="b">
        <v>1</v>
      </c>
      <c r="Y216" s="51" t="b">
        <v>0</v>
      </c>
      <c r="Z216" s="51" t="b">
        <v>0</v>
      </c>
      <c r="AA216" s="71">
        <v>0.009421296296296296</v>
      </c>
      <c r="AB216" s="69" t="s">
        <v>1467</v>
      </c>
      <c r="AC216" s="72"/>
      <c r="AD216" s="73" t="s">
        <v>1468</v>
      </c>
      <c r="AE216" s="74" t="s">
        <v>629</v>
      </c>
      <c r="AF216" s="74" t="s">
        <v>1125</v>
      </c>
    </row>
    <row r="217">
      <c r="A217" s="52" t="s">
        <v>1472</v>
      </c>
      <c r="B217" s="52" t="s">
        <v>607</v>
      </c>
      <c r="C217" s="52" t="s">
        <v>607</v>
      </c>
      <c r="D217" s="65" t="s">
        <v>607</v>
      </c>
      <c r="E217" s="65" t="s">
        <v>607</v>
      </c>
      <c r="F217" s="65" t="s">
        <v>607</v>
      </c>
      <c r="G217" s="65" t="s">
        <v>607</v>
      </c>
      <c r="H217" s="52" t="s">
        <v>607</v>
      </c>
      <c r="I217" s="52" t="s">
        <v>607</v>
      </c>
      <c r="J217" s="52" t="s">
        <v>607</v>
      </c>
      <c r="K217" s="52" t="s">
        <v>607</v>
      </c>
      <c r="L217" s="52" t="s">
        <v>607</v>
      </c>
      <c r="M217" s="52" t="s">
        <v>607</v>
      </c>
      <c r="N217" s="52" t="s">
        <v>607</v>
      </c>
      <c r="O217" s="52"/>
      <c r="P217" s="52"/>
      <c r="Q217" s="52"/>
      <c r="R217" s="51" t="b">
        <v>0</v>
      </c>
      <c r="S217" s="51"/>
      <c r="T217" s="52"/>
      <c r="U217" s="51" t="b">
        <v>0</v>
      </c>
      <c r="V217" s="51" t="b">
        <v>0</v>
      </c>
      <c r="W217" s="51" t="b">
        <v>0</v>
      </c>
      <c r="X217" s="51" t="b">
        <v>0</v>
      </c>
      <c r="Y217" s="51" t="b">
        <v>0</v>
      </c>
      <c r="Z217" s="51" t="b">
        <v>0</v>
      </c>
      <c r="AA217" s="68"/>
      <c r="AB217" s="52"/>
      <c r="AC217" s="52"/>
      <c r="AD217" s="52"/>
      <c r="AE217" s="56" t="s">
        <v>607</v>
      </c>
      <c r="AF217" s="56" t="s">
        <v>607</v>
      </c>
    </row>
    <row r="218">
      <c r="A218" s="52" t="s">
        <v>1473</v>
      </c>
      <c r="B218" s="52" t="s">
        <v>14</v>
      </c>
      <c r="C218" s="52" t="s">
        <v>221</v>
      </c>
      <c r="D218" s="65">
        <v>0.6672337962962958</v>
      </c>
      <c r="E218" s="65">
        <v>0.011111111111111112</v>
      </c>
      <c r="F218" s="65">
        <v>0.6783449074074068</v>
      </c>
      <c r="G218" s="65"/>
      <c r="H218" s="52" t="s">
        <v>248</v>
      </c>
      <c r="I218" s="52" t="s">
        <v>324</v>
      </c>
      <c r="J218" s="52" t="s">
        <v>69</v>
      </c>
      <c r="K218" s="52"/>
      <c r="L218" s="52"/>
      <c r="M218" s="52"/>
      <c r="N218" s="52" t="s">
        <v>70</v>
      </c>
      <c r="O218" s="52"/>
      <c r="P218" s="52"/>
      <c r="Q218" s="52"/>
      <c r="R218" s="51" t="b">
        <v>0</v>
      </c>
      <c r="S218" s="51"/>
      <c r="T218" s="52"/>
      <c r="U218" s="51" t="b">
        <v>0</v>
      </c>
      <c r="V218" s="51" t="b">
        <v>0</v>
      </c>
      <c r="W218" s="51" t="b">
        <v>0</v>
      </c>
      <c r="X218" s="51" t="b">
        <v>0</v>
      </c>
      <c r="Y218" s="51" t="b">
        <v>0</v>
      </c>
      <c r="Z218" s="51" t="b">
        <v>0</v>
      </c>
      <c r="AA218" s="68"/>
      <c r="AB218" s="52"/>
      <c r="AC218" s="52"/>
      <c r="AD218" s="52"/>
      <c r="AE218" s="56"/>
      <c r="AF218" s="56" t="s">
        <v>1215</v>
      </c>
    </row>
    <row r="219">
      <c r="A219" s="52" t="s">
        <v>1474</v>
      </c>
      <c r="B219" s="52" t="s">
        <v>607</v>
      </c>
      <c r="C219" s="52" t="s">
        <v>607</v>
      </c>
      <c r="D219" s="65" t="s">
        <v>607</v>
      </c>
      <c r="E219" s="65" t="s">
        <v>607</v>
      </c>
      <c r="F219" s="65" t="s">
        <v>607</v>
      </c>
      <c r="G219" s="65" t="s">
        <v>607</v>
      </c>
      <c r="H219" s="52" t="s">
        <v>607</v>
      </c>
      <c r="I219" s="52" t="s">
        <v>607</v>
      </c>
      <c r="J219" s="52" t="s">
        <v>607</v>
      </c>
      <c r="K219" s="52" t="s">
        <v>607</v>
      </c>
      <c r="L219" s="52" t="s">
        <v>607</v>
      </c>
      <c r="M219" s="52" t="s">
        <v>607</v>
      </c>
      <c r="N219" s="52" t="s">
        <v>607</v>
      </c>
      <c r="O219" s="52"/>
      <c r="P219" s="52"/>
      <c r="Q219" s="52"/>
      <c r="R219" s="51" t="b">
        <v>0</v>
      </c>
      <c r="S219" s="51"/>
      <c r="T219" s="52"/>
      <c r="U219" s="51" t="b">
        <v>0</v>
      </c>
      <c r="V219" s="51" t="b">
        <v>0</v>
      </c>
      <c r="W219" s="51" t="b">
        <v>0</v>
      </c>
      <c r="X219" s="51" t="b">
        <v>0</v>
      </c>
      <c r="Y219" s="51" t="b">
        <v>0</v>
      </c>
      <c r="Z219" s="51" t="b">
        <v>0</v>
      </c>
      <c r="AA219" s="68"/>
      <c r="AB219" s="52"/>
      <c r="AC219" s="52"/>
      <c r="AD219" s="52"/>
      <c r="AE219" s="56" t="s">
        <v>607</v>
      </c>
      <c r="AF219" s="56" t="s">
        <v>607</v>
      </c>
    </row>
    <row r="220">
      <c r="A220" s="52" t="s">
        <v>1478</v>
      </c>
      <c r="B220" s="52" t="s">
        <v>607</v>
      </c>
      <c r="C220" s="52" t="s">
        <v>607</v>
      </c>
      <c r="D220" s="65" t="s">
        <v>607</v>
      </c>
      <c r="E220" s="65" t="s">
        <v>607</v>
      </c>
      <c r="F220" s="65" t="s">
        <v>607</v>
      </c>
      <c r="G220" s="65" t="s">
        <v>607</v>
      </c>
      <c r="H220" s="52" t="s">
        <v>607</v>
      </c>
      <c r="I220" s="52" t="s">
        <v>607</v>
      </c>
      <c r="J220" s="52" t="s">
        <v>607</v>
      </c>
      <c r="K220" s="52" t="s">
        <v>607</v>
      </c>
      <c r="L220" s="52" t="s">
        <v>607</v>
      </c>
      <c r="M220" s="52" t="s">
        <v>607</v>
      </c>
      <c r="N220" s="52" t="s">
        <v>607</v>
      </c>
      <c r="O220" s="52"/>
      <c r="P220" s="52"/>
      <c r="Q220" s="52"/>
      <c r="R220" s="51" t="b">
        <v>0</v>
      </c>
      <c r="S220" s="51"/>
      <c r="T220" s="52"/>
      <c r="U220" s="51" t="b">
        <v>0</v>
      </c>
      <c r="V220" s="51" t="b">
        <v>0</v>
      </c>
      <c r="W220" s="51" t="b">
        <v>0</v>
      </c>
      <c r="X220" s="51" t="b">
        <v>0</v>
      </c>
      <c r="Y220" s="51" t="b">
        <v>0</v>
      </c>
      <c r="Z220" s="51" t="b">
        <v>0</v>
      </c>
      <c r="AA220" s="68"/>
      <c r="AB220" s="52"/>
      <c r="AC220" s="52"/>
      <c r="AD220" s="52"/>
      <c r="AE220" s="56" t="s">
        <v>607</v>
      </c>
      <c r="AF220" s="56" t="s">
        <v>607</v>
      </c>
    </row>
    <row r="221">
      <c r="A221" s="52" t="s">
        <v>1479</v>
      </c>
      <c r="B221" s="52" t="s">
        <v>14</v>
      </c>
      <c r="C221" s="52" t="s">
        <v>221</v>
      </c>
      <c r="D221" s="65">
        <v>0.5421064814814819</v>
      </c>
      <c r="E221" s="65">
        <v>2.314814814814815E-4</v>
      </c>
      <c r="F221" s="65">
        <v>0.5423379629629633</v>
      </c>
      <c r="G221" s="65"/>
      <c r="H221" s="52" t="s">
        <v>81</v>
      </c>
      <c r="I221" s="52" t="s">
        <v>91</v>
      </c>
      <c r="J221" s="52" t="s">
        <v>73</v>
      </c>
      <c r="K221" s="52" t="s">
        <v>128</v>
      </c>
      <c r="L221" s="52"/>
      <c r="M221" s="52"/>
      <c r="N221" s="52" t="s">
        <v>70</v>
      </c>
      <c r="O221" s="52"/>
      <c r="P221" s="52"/>
      <c r="Q221" s="52"/>
      <c r="R221" s="51" t="b">
        <v>0</v>
      </c>
      <c r="S221" s="51"/>
      <c r="T221" s="52"/>
      <c r="U221" s="51" t="b">
        <v>0</v>
      </c>
      <c r="V221" s="51" t="b">
        <v>0</v>
      </c>
      <c r="W221" s="51" t="b">
        <v>0</v>
      </c>
      <c r="X221" s="51" t="b">
        <v>0</v>
      </c>
      <c r="Y221" s="51" t="b">
        <v>0</v>
      </c>
      <c r="Z221" s="51" t="b">
        <v>0</v>
      </c>
      <c r="AA221" s="68"/>
      <c r="AB221" s="52"/>
      <c r="AC221" s="52"/>
      <c r="AD221" s="52"/>
      <c r="AE221" s="56"/>
      <c r="AF221" s="56"/>
    </row>
    <row r="222">
      <c r="A222" s="52" t="s">
        <v>1485</v>
      </c>
      <c r="B222" s="52" t="s">
        <v>14</v>
      </c>
      <c r="C222" s="52" t="s">
        <v>289</v>
      </c>
      <c r="D222" s="65">
        <v>0.5264467592592593</v>
      </c>
      <c r="E222" s="65">
        <v>0.008101851851851851</v>
      </c>
      <c r="F222" s="65">
        <v>0.5345486111111112</v>
      </c>
      <c r="G222" s="65" t="s">
        <v>394</v>
      </c>
      <c r="H222" s="52" t="s">
        <v>94</v>
      </c>
      <c r="I222" s="52" t="s">
        <v>395</v>
      </c>
      <c r="J222" s="52" t="s">
        <v>396</v>
      </c>
      <c r="K222" s="52"/>
      <c r="L222" s="52"/>
      <c r="M222" s="52"/>
      <c r="N222" s="52" t="s">
        <v>397</v>
      </c>
      <c r="O222" s="52"/>
      <c r="P222" s="69" t="s">
        <v>20</v>
      </c>
      <c r="Q222" s="80" t="s">
        <v>1486</v>
      </c>
      <c r="R222" s="51" t="b">
        <v>1</v>
      </c>
      <c r="S222" s="78" t="s">
        <v>395</v>
      </c>
      <c r="T222" s="52"/>
      <c r="U222" s="51" t="b">
        <v>0</v>
      </c>
      <c r="V222" s="51" t="b">
        <v>1</v>
      </c>
      <c r="W222" s="51" t="b">
        <v>1</v>
      </c>
      <c r="X222" s="51" t="b">
        <v>1</v>
      </c>
      <c r="Y222" s="51" t="b">
        <v>0</v>
      </c>
      <c r="Z222" s="51" t="b">
        <v>0</v>
      </c>
      <c r="AA222" s="71">
        <v>0.008101851851851851</v>
      </c>
      <c r="AB222" s="69" t="s">
        <v>1489</v>
      </c>
      <c r="AC222" s="105"/>
      <c r="AD222" s="73" t="s">
        <v>1490</v>
      </c>
      <c r="AE222" s="56" t="s">
        <v>629</v>
      </c>
      <c r="AF222" s="56" t="s">
        <v>847</v>
      </c>
    </row>
    <row r="223">
      <c r="A223" s="52" t="s">
        <v>1491</v>
      </c>
      <c r="B223" s="52" t="s">
        <v>607</v>
      </c>
      <c r="C223" s="52" t="s">
        <v>607</v>
      </c>
      <c r="D223" s="65" t="s">
        <v>607</v>
      </c>
      <c r="E223" s="65" t="s">
        <v>607</v>
      </c>
      <c r="F223" s="65" t="s">
        <v>607</v>
      </c>
      <c r="G223" s="65" t="s">
        <v>607</v>
      </c>
      <c r="H223" s="52" t="s">
        <v>607</v>
      </c>
      <c r="I223" s="52" t="s">
        <v>607</v>
      </c>
      <c r="J223" s="52" t="s">
        <v>607</v>
      </c>
      <c r="K223" s="52" t="s">
        <v>607</v>
      </c>
      <c r="L223" s="52" t="s">
        <v>607</v>
      </c>
      <c r="M223" s="52" t="s">
        <v>607</v>
      </c>
      <c r="N223" s="52" t="s">
        <v>607</v>
      </c>
      <c r="O223" s="52"/>
      <c r="P223" s="52"/>
      <c r="Q223" s="52"/>
      <c r="R223" s="51" t="b">
        <v>0</v>
      </c>
      <c r="S223" s="51"/>
      <c r="T223" s="52"/>
      <c r="U223" s="51" t="b">
        <v>0</v>
      </c>
      <c r="V223" s="51" t="b">
        <v>0</v>
      </c>
      <c r="W223" s="51" t="b">
        <v>0</v>
      </c>
      <c r="X223" s="51" t="b">
        <v>0</v>
      </c>
      <c r="Y223" s="51" t="b">
        <v>0</v>
      </c>
      <c r="Z223" s="51" t="b">
        <v>0</v>
      </c>
      <c r="AA223" s="68"/>
      <c r="AB223" s="52"/>
      <c r="AC223" s="52"/>
      <c r="AD223" s="52"/>
      <c r="AE223" s="56" t="s">
        <v>607</v>
      </c>
      <c r="AF223" s="56" t="s">
        <v>607</v>
      </c>
    </row>
    <row r="224">
      <c r="A224" s="52" t="s">
        <v>1492</v>
      </c>
      <c r="B224" s="52" t="s">
        <v>607</v>
      </c>
      <c r="C224" s="52" t="s">
        <v>607</v>
      </c>
      <c r="D224" s="65" t="s">
        <v>607</v>
      </c>
      <c r="E224" s="65" t="s">
        <v>607</v>
      </c>
      <c r="F224" s="65" t="s">
        <v>607</v>
      </c>
      <c r="G224" s="65" t="s">
        <v>607</v>
      </c>
      <c r="H224" s="52" t="s">
        <v>607</v>
      </c>
      <c r="I224" s="52" t="s">
        <v>607</v>
      </c>
      <c r="J224" s="52" t="s">
        <v>607</v>
      </c>
      <c r="K224" s="52" t="s">
        <v>607</v>
      </c>
      <c r="L224" s="52" t="s">
        <v>607</v>
      </c>
      <c r="M224" s="52" t="s">
        <v>607</v>
      </c>
      <c r="N224" s="52" t="s">
        <v>607</v>
      </c>
      <c r="O224" s="52"/>
      <c r="P224" s="52"/>
      <c r="Q224" s="52"/>
      <c r="R224" s="51" t="b">
        <v>0</v>
      </c>
      <c r="S224" s="51"/>
      <c r="T224" s="52"/>
      <c r="U224" s="51" t="b">
        <v>0</v>
      </c>
      <c r="V224" s="51" t="b">
        <v>0</v>
      </c>
      <c r="W224" s="51" t="b">
        <v>0</v>
      </c>
      <c r="X224" s="51" t="b">
        <v>0</v>
      </c>
      <c r="Y224" s="51" t="b">
        <v>0</v>
      </c>
      <c r="Z224" s="51" t="b">
        <v>0</v>
      </c>
      <c r="AA224" s="68"/>
      <c r="AB224" s="52"/>
      <c r="AC224" s="52"/>
      <c r="AD224" s="52"/>
      <c r="AE224" s="56" t="s">
        <v>607</v>
      </c>
      <c r="AF224" s="56" t="s">
        <v>607</v>
      </c>
    </row>
    <row r="225">
      <c r="A225" s="52" t="s">
        <v>1493</v>
      </c>
      <c r="B225" s="52" t="s">
        <v>607</v>
      </c>
      <c r="C225" s="52" t="s">
        <v>607</v>
      </c>
      <c r="D225" s="65" t="s">
        <v>607</v>
      </c>
      <c r="E225" s="65" t="s">
        <v>607</v>
      </c>
      <c r="F225" s="65" t="s">
        <v>607</v>
      </c>
      <c r="G225" s="65" t="s">
        <v>607</v>
      </c>
      <c r="H225" s="52" t="s">
        <v>607</v>
      </c>
      <c r="I225" s="52" t="s">
        <v>607</v>
      </c>
      <c r="J225" s="52" t="s">
        <v>607</v>
      </c>
      <c r="K225" s="52" t="s">
        <v>607</v>
      </c>
      <c r="L225" s="52" t="s">
        <v>607</v>
      </c>
      <c r="M225" s="52" t="s">
        <v>607</v>
      </c>
      <c r="N225" s="52" t="s">
        <v>607</v>
      </c>
      <c r="O225" s="52"/>
      <c r="P225" s="52"/>
      <c r="Q225" s="52"/>
      <c r="R225" s="51" t="b">
        <v>0</v>
      </c>
      <c r="S225" s="51"/>
      <c r="T225" s="52"/>
      <c r="U225" s="51" t="b">
        <v>0</v>
      </c>
      <c r="V225" s="51" t="b">
        <v>0</v>
      </c>
      <c r="W225" s="51" t="b">
        <v>0</v>
      </c>
      <c r="X225" s="51" t="b">
        <v>0</v>
      </c>
      <c r="Y225" s="51" t="b">
        <v>0</v>
      </c>
      <c r="Z225" s="51" t="b">
        <v>0</v>
      </c>
      <c r="AA225" s="68"/>
      <c r="AB225" s="52"/>
      <c r="AC225" s="52"/>
      <c r="AD225" s="52"/>
      <c r="AE225" s="56" t="s">
        <v>607</v>
      </c>
      <c r="AF225" s="56" t="s">
        <v>607</v>
      </c>
    </row>
    <row r="226">
      <c r="A226" s="52" t="s">
        <v>1495</v>
      </c>
      <c r="B226" s="52" t="s">
        <v>14</v>
      </c>
      <c r="C226" s="52" t="s">
        <v>221</v>
      </c>
      <c r="D226" s="65">
        <v>0.6489236111111107</v>
      </c>
      <c r="E226" s="65">
        <v>2.314814814814815E-4</v>
      </c>
      <c r="F226" s="65">
        <v>0.6491550925925922</v>
      </c>
      <c r="G226" s="65" t="s">
        <v>314</v>
      </c>
      <c r="H226" s="52" t="s">
        <v>81</v>
      </c>
      <c r="I226" s="52" t="s">
        <v>91</v>
      </c>
      <c r="J226" s="52" t="s">
        <v>92</v>
      </c>
      <c r="K226" s="52"/>
      <c r="L226" s="52"/>
      <c r="M226" s="52"/>
      <c r="N226" s="52" t="s">
        <v>70</v>
      </c>
      <c r="O226" s="52"/>
      <c r="P226" s="52"/>
      <c r="Q226" s="52"/>
      <c r="R226" s="51" t="b">
        <v>0</v>
      </c>
      <c r="S226" s="51"/>
      <c r="T226" s="52"/>
      <c r="U226" s="51" t="b">
        <v>0</v>
      </c>
      <c r="V226" s="51" t="b">
        <v>0</v>
      </c>
      <c r="W226" s="51" t="b">
        <v>0</v>
      </c>
      <c r="X226" s="51" t="b">
        <v>0</v>
      </c>
      <c r="Y226" s="51" t="b">
        <v>0</v>
      </c>
      <c r="Z226" s="51" t="b">
        <v>0</v>
      </c>
      <c r="AA226" s="68"/>
      <c r="AB226" s="52"/>
      <c r="AC226" s="52"/>
      <c r="AD226" s="52"/>
      <c r="AE226" s="56"/>
      <c r="AF226" s="56"/>
    </row>
    <row r="227">
      <c r="A227" s="52" t="s">
        <v>1496</v>
      </c>
      <c r="B227" s="52" t="s">
        <v>14</v>
      </c>
      <c r="C227" s="52" t="s">
        <v>221</v>
      </c>
      <c r="D227" s="65">
        <v>0.6491550925925922</v>
      </c>
      <c r="E227" s="65">
        <v>0.005555555555555556</v>
      </c>
      <c r="F227" s="65">
        <v>0.6547106481481477</v>
      </c>
      <c r="G227" s="65"/>
      <c r="H227" s="52" t="s">
        <v>94</v>
      </c>
      <c r="I227" s="52" t="s">
        <v>317</v>
      </c>
      <c r="J227" s="52" t="s">
        <v>318</v>
      </c>
      <c r="K227" s="52"/>
      <c r="L227" s="52"/>
      <c r="M227" s="52"/>
      <c r="N227" s="52" t="s">
        <v>128</v>
      </c>
      <c r="O227" s="52"/>
      <c r="P227" s="52"/>
      <c r="Q227" s="52"/>
      <c r="R227" s="51" t="b">
        <v>0</v>
      </c>
      <c r="S227" s="51"/>
      <c r="T227" s="52"/>
      <c r="U227" s="51" t="b">
        <v>0</v>
      </c>
      <c r="V227" s="51" t="b">
        <v>0</v>
      </c>
      <c r="W227" s="51" t="b">
        <v>0</v>
      </c>
      <c r="X227" s="51" t="b">
        <v>0</v>
      </c>
      <c r="Y227" s="51" t="b">
        <v>0</v>
      </c>
      <c r="Z227" s="51" t="b">
        <v>0</v>
      </c>
      <c r="AA227" s="68"/>
      <c r="AB227" s="52"/>
      <c r="AC227" s="52"/>
      <c r="AD227" s="52"/>
      <c r="AE227" s="56" t="s">
        <v>1499</v>
      </c>
      <c r="AF227" s="56" t="s">
        <v>1362</v>
      </c>
    </row>
    <row r="228">
      <c r="A228" s="52" t="s">
        <v>1500</v>
      </c>
      <c r="B228" s="52" t="s">
        <v>607</v>
      </c>
      <c r="C228" s="52" t="s">
        <v>607</v>
      </c>
      <c r="D228" s="65" t="s">
        <v>607</v>
      </c>
      <c r="E228" s="65" t="s">
        <v>607</v>
      </c>
      <c r="F228" s="65" t="s">
        <v>607</v>
      </c>
      <c r="G228" s="65" t="s">
        <v>607</v>
      </c>
      <c r="H228" s="52" t="s">
        <v>607</v>
      </c>
      <c r="I228" s="52" t="s">
        <v>607</v>
      </c>
      <c r="J228" s="52" t="s">
        <v>607</v>
      </c>
      <c r="K228" s="52" t="s">
        <v>607</v>
      </c>
      <c r="L228" s="52" t="s">
        <v>607</v>
      </c>
      <c r="M228" s="52" t="s">
        <v>607</v>
      </c>
      <c r="N228" s="52" t="s">
        <v>607</v>
      </c>
      <c r="O228" s="52"/>
      <c r="P228" s="52"/>
      <c r="Q228" s="52"/>
      <c r="R228" s="51" t="b">
        <v>0</v>
      </c>
      <c r="S228" s="51"/>
      <c r="T228" s="52"/>
      <c r="U228" s="51" t="b">
        <v>0</v>
      </c>
      <c r="V228" s="51" t="b">
        <v>0</v>
      </c>
      <c r="W228" s="51" t="b">
        <v>0</v>
      </c>
      <c r="X228" s="51" t="b">
        <v>0</v>
      </c>
      <c r="Y228" s="51" t="b">
        <v>0</v>
      </c>
      <c r="Z228" s="51" t="b">
        <v>0</v>
      </c>
      <c r="AA228" s="68"/>
      <c r="AB228" s="52"/>
      <c r="AC228" s="52"/>
      <c r="AD228" s="52"/>
      <c r="AE228" s="56" t="s">
        <v>607</v>
      </c>
      <c r="AF228" s="56" t="s">
        <v>607</v>
      </c>
    </row>
    <row r="229">
      <c r="A229" s="52" t="s">
        <v>1503</v>
      </c>
      <c r="B229" s="52" t="s">
        <v>607</v>
      </c>
      <c r="C229" s="52" t="s">
        <v>607</v>
      </c>
      <c r="D229" s="65" t="s">
        <v>607</v>
      </c>
      <c r="E229" s="65" t="s">
        <v>607</v>
      </c>
      <c r="F229" s="65" t="s">
        <v>607</v>
      </c>
      <c r="G229" s="65" t="s">
        <v>607</v>
      </c>
      <c r="H229" s="52" t="s">
        <v>607</v>
      </c>
      <c r="I229" s="52" t="s">
        <v>607</v>
      </c>
      <c r="J229" s="52" t="s">
        <v>607</v>
      </c>
      <c r="K229" s="52" t="s">
        <v>607</v>
      </c>
      <c r="L229" s="52" t="s">
        <v>607</v>
      </c>
      <c r="M229" s="52" t="s">
        <v>607</v>
      </c>
      <c r="N229" s="52" t="s">
        <v>607</v>
      </c>
      <c r="O229" s="52"/>
      <c r="P229" s="52"/>
      <c r="Q229" s="52"/>
      <c r="R229" s="51" t="b">
        <v>0</v>
      </c>
      <c r="S229" s="51"/>
      <c r="T229" s="52"/>
      <c r="U229" s="51" t="b">
        <v>0</v>
      </c>
      <c r="V229" s="51" t="b">
        <v>0</v>
      </c>
      <c r="W229" s="51" t="b">
        <v>0</v>
      </c>
      <c r="X229" s="51" t="b">
        <v>0</v>
      </c>
      <c r="Y229" s="51" t="b">
        <v>0</v>
      </c>
      <c r="Z229" s="51" t="b">
        <v>0</v>
      </c>
      <c r="AA229" s="68"/>
      <c r="AB229" s="52"/>
      <c r="AC229" s="52"/>
      <c r="AD229" s="52"/>
      <c r="AE229" s="56" t="s">
        <v>607</v>
      </c>
      <c r="AF229" s="56" t="s">
        <v>607</v>
      </c>
    </row>
    <row r="230">
      <c r="A230" s="52" t="s">
        <v>1506</v>
      </c>
      <c r="B230" s="52" t="s">
        <v>14</v>
      </c>
      <c r="C230" s="52" t="s">
        <v>221</v>
      </c>
      <c r="D230" s="65">
        <v>0.6463773148148145</v>
      </c>
      <c r="E230" s="65">
        <v>2.314814814814815E-4</v>
      </c>
      <c r="F230" s="65">
        <v>0.646608796296296</v>
      </c>
      <c r="G230" s="65" t="s">
        <v>314</v>
      </c>
      <c r="H230" s="52" t="s">
        <v>81</v>
      </c>
      <c r="I230" s="52" t="s">
        <v>315</v>
      </c>
      <c r="J230" s="52" t="s">
        <v>92</v>
      </c>
      <c r="K230" s="52"/>
      <c r="L230" s="52"/>
      <c r="M230" s="52"/>
      <c r="N230" s="52" t="s">
        <v>70</v>
      </c>
      <c r="O230" s="52"/>
      <c r="P230" s="52"/>
      <c r="Q230" s="52"/>
      <c r="R230" s="51" t="b">
        <v>0</v>
      </c>
      <c r="S230" s="51"/>
      <c r="T230" s="52"/>
      <c r="U230" s="51" t="b">
        <v>0</v>
      </c>
      <c r="V230" s="51" t="b">
        <v>0</v>
      </c>
      <c r="W230" s="51" t="b">
        <v>0</v>
      </c>
      <c r="X230" s="51" t="b">
        <v>0</v>
      </c>
      <c r="Y230" s="51" t="b">
        <v>0</v>
      </c>
      <c r="Z230" s="51" t="b">
        <v>0</v>
      </c>
      <c r="AA230" s="68"/>
      <c r="AB230" s="52"/>
      <c r="AC230" s="52"/>
      <c r="AD230" s="52"/>
      <c r="AE230" s="56"/>
      <c r="AF230" s="56"/>
    </row>
    <row r="231">
      <c r="A231" s="52" t="s">
        <v>1507</v>
      </c>
      <c r="B231" s="52" t="s">
        <v>14</v>
      </c>
      <c r="C231" s="52" t="s">
        <v>221</v>
      </c>
      <c r="D231" s="65">
        <v>0.646608796296296</v>
      </c>
      <c r="E231" s="65">
        <v>0.0020833333333333333</v>
      </c>
      <c r="F231" s="65">
        <v>0.6486921296296293</v>
      </c>
      <c r="G231" s="65"/>
      <c r="H231" s="52" t="s">
        <v>83</v>
      </c>
      <c r="I231" s="52" t="s">
        <v>316</v>
      </c>
      <c r="J231" s="52"/>
      <c r="K231" s="52"/>
      <c r="L231" s="52"/>
      <c r="M231" s="52"/>
      <c r="N231" s="52" t="s">
        <v>70</v>
      </c>
      <c r="O231" s="52"/>
      <c r="P231" s="52"/>
      <c r="Q231" s="52"/>
      <c r="R231" s="51" t="b">
        <v>0</v>
      </c>
      <c r="S231" s="51"/>
      <c r="T231" s="52"/>
      <c r="U231" s="51" t="b">
        <v>0</v>
      </c>
      <c r="V231" s="51" t="b">
        <v>0</v>
      </c>
      <c r="W231" s="51" t="b">
        <v>0</v>
      </c>
      <c r="X231" s="51" t="b">
        <v>0</v>
      </c>
      <c r="Y231" s="51" t="b">
        <v>0</v>
      </c>
      <c r="Z231" s="51" t="b">
        <v>0</v>
      </c>
      <c r="AA231" s="68"/>
      <c r="AB231" s="52"/>
      <c r="AC231" s="52"/>
      <c r="AD231" s="52"/>
      <c r="AE231" s="56" t="s">
        <v>314</v>
      </c>
      <c r="AF231" s="56" t="s">
        <v>630</v>
      </c>
    </row>
    <row r="232">
      <c r="A232" s="52" t="s">
        <v>1509</v>
      </c>
      <c r="B232" s="52" t="s">
        <v>607</v>
      </c>
      <c r="C232" s="52" t="s">
        <v>607</v>
      </c>
      <c r="D232" s="65" t="s">
        <v>607</v>
      </c>
      <c r="E232" s="65" t="s">
        <v>607</v>
      </c>
      <c r="F232" s="65" t="s">
        <v>607</v>
      </c>
      <c r="G232" s="65" t="s">
        <v>607</v>
      </c>
      <c r="H232" s="52" t="s">
        <v>607</v>
      </c>
      <c r="I232" s="52" t="s">
        <v>607</v>
      </c>
      <c r="J232" s="52" t="s">
        <v>607</v>
      </c>
      <c r="K232" s="52" t="s">
        <v>607</v>
      </c>
      <c r="L232" s="52" t="s">
        <v>607</v>
      </c>
      <c r="M232" s="52" t="s">
        <v>607</v>
      </c>
      <c r="N232" s="52" t="s">
        <v>607</v>
      </c>
      <c r="O232" s="52"/>
      <c r="P232" s="52"/>
      <c r="Q232" s="52"/>
      <c r="R232" s="51" t="b">
        <v>0</v>
      </c>
      <c r="S232" s="51"/>
      <c r="T232" s="52"/>
      <c r="U232" s="51" t="b">
        <v>0</v>
      </c>
      <c r="V232" s="51" t="b">
        <v>0</v>
      </c>
      <c r="W232" s="51" t="b">
        <v>0</v>
      </c>
      <c r="X232" s="51" t="b">
        <v>0</v>
      </c>
      <c r="Y232" s="51" t="b">
        <v>0</v>
      </c>
      <c r="Z232" s="51" t="b">
        <v>0</v>
      </c>
      <c r="AA232" s="68"/>
      <c r="AB232" s="52"/>
      <c r="AC232" s="52"/>
      <c r="AD232" s="52"/>
      <c r="AE232" s="56" t="s">
        <v>607</v>
      </c>
      <c r="AF232" s="56" t="s">
        <v>607</v>
      </c>
    </row>
    <row r="233">
      <c r="A233" s="52" t="s">
        <v>1510</v>
      </c>
      <c r="B233" s="52" t="s">
        <v>14</v>
      </c>
      <c r="C233" s="52" t="s">
        <v>221</v>
      </c>
      <c r="D233" s="65">
        <v>0.6670023148148143</v>
      </c>
      <c r="E233" s="65">
        <v>2.314814814814815E-4</v>
      </c>
      <c r="F233" s="65">
        <v>0.6672337962962958</v>
      </c>
      <c r="G233" s="65"/>
      <c r="H233" s="52" t="s">
        <v>81</v>
      </c>
      <c r="I233" s="52" t="s">
        <v>91</v>
      </c>
      <c r="J233" s="52" t="s">
        <v>92</v>
      </c>
      <c r="K233" s="52"/>
      <c r="L233" s="52"/>
      <c r="M233" s="52"/>
      <c r="N233" s="52" t="s">
        <v>70</v>
      </c>
      <c r="O233" s="52"/>
      <c r="P233" s="52"/>
      <c r="Q233" s="52"/>
      <c r="R233" s="51" t="b">
        <v>0</v>
      </c>
      <c r="S233" s="51"/>
      <c r="T233" s="52"/>
      <c r="U233" s="51" t="b">
        <v>0</v>
      </c>
      <c r="V233" s="51" t="b">
        <v>0</v>
      </c>
      <c r="W233" s="51" t="b">
        <v>0</v>
      </c>
      <c r="X233" s="51" t="b">
        <v>0</v>
      </c>
      <c r="Y233" s="51" t="b">
        <v>0</v>
      </c>
      <c r="Z233" s="51" t="b">
        <v>0</v>
      </c>
      <c r="AA233" s="68"/>
      <c r="AB233" s="52"/>
      <c r="AC233" s="52"/>
      <c r="AD233" s="52"/>
      <c r="AE233" s="56"/>
      <c r="AF233" s="56"/>
    </row>
    <row r="234">
      <c r="A234" s="52" t="s">
        <v>1513</v>
      </c>
      <c r="B234" s="52" t="s">
        <v>14</v>
      </c>
      <c r="C234" s="52" t="s">
        <v>66</v>
      </c>
      <c r="D234" s="65">
        <v>0.48410879629629666</v>
      </c>
      <c r="E234" s="65">
        <v>0.010416666666666666</v>
      </c>
      <c r="F234" s="65">
        <v>0.49452546296296335</v>
      </c>
      <c r="G234" s="65" t="s">
        <v>120</v>
      </c>
      <c r="H234" s="52" t="s">
        <v>74</v>
      </c>
      <c r="I234" s="52" t="s">
        <v>121</v>
      </c>
      <c r="J234" s="52" t="s">
        <v>122</v>
      </c>
      <c r="K234" s="52" t="s">
        <v>123</v>
      </c>
      <c r="L234" s="52" t="s">
        <v>124</v>
      </c>
      <c r="M234" s="52"/>
      <c r="N234" s="52" t="s">
        <v>125</v>
      </c>
      <c r="O234" s="69" t="s">
        <v>791</v>
      </c>
      <c r="P234" s="69" t="s">
        <v>32</v>
      </c>
      <c r="Q234" s="76" t="s">
        <v>1514</v>
      </c>
      <c r="R234" s="51" t="b">
        <v>1</v>
      </c>
      <c r="S234" s="52" t="s">
        <v>121</v>
      </c>
      <c r="T234" s="52"/>
      <c r="U234" s="51" t="b">
        <v>0</v>
      </c>
      <c r="V234" s="51" t="b">
        <v>1</v>
      </c>
      <c r="W234" s="51" t="b">
        <v>1</v>
      </c>
      <c r="X234" s="51" t="b">
        <v>1</v>
      </c>
      <c r="Y234" s="51" t="b">
        <v>0</v>
      </c>
      <c r="Z234" s="51" t="b">
        <v>0</v>
      </c>
      <c r="AA234" s="71">
        <v>0.010300925925925925</v>
      </c>
      <c r="AB234" s="69" t="s">
        <v>1516</v>
      </c>
      <c r="AC234" s="72"/>
      <c r="AD234" s="73" t="s">
        <v>1517</v>
      </c>
      <c r="AE234" s="56" t="s">
        <v>629</v>
      </c>
      <c r="AF234" s="56" t="s">
        <v>873</v>
      </c>
    </row>
    <row r="235">
      <c r="A235" s="52" t="s">
        <v>1518</v>
      </c>
      <c r="B235" s="52" t="s">
        <v>607</v>
      </c>
      <c r="C235" s="52" t="s">
        <v>607</v>
      </c>
      <c r="D235" s="65" t="s">
        <v>607</v>
      </c>
      <c r="E235" s="65" t="s">
        <v>607</v>
      </c>
      <c r="F235" s="65" t="s">
        <v>607</v>
      </c>
      <c r="G235" s="65" t="s">
        <v>607</v>
      </c>
      <c r="H235" s="52" t="s">
        <v>607</v>
      </c>
      <c r="I235" s="52" t="s">
        <v>607</v>
      </c>
      <c r="J235" s="52" t="s">
        <v>607</v>
      </c>
      <c r="K235" s="52" t="s">
        <v>607</v>
      </c>
      <c r="L235" s="52" t="s">
        <v>607</v>
      </c>
      <c r="M235" s="52" t="s">
        <v>607</v>
      </c>
      <c r="N235" s="52" t="s">
        <v>607</v>
      </c>
      <c r="O235" s="52"/>
      <c r="P235" s="52"/>
      <c r="Q235" s="52"/>
      <c r="R235" s="51" t="b">
        <v>0</v>
      </c>
      <c r="S235" s="51"/>
      <c r="T235" s="52"/>
      <c r="U235" s="51" t="b">
        <v>0</v>
      </c>
      <c r="V235" s="51" t="b">
        <v>0</v>
      </c>
      <c r="W235" s="51" t="b">
        <v>0</v>
      </c>
      <c r="X235" s="51" t="b">
        <v>0</v>
      </c>
      <c r="Y235" s="51" t="b">
        <v>0</v>
      </c>
      <c r="Z235" s="51" t="b">
        <v>0</v>
      </c>
      <c r="AA235" s="68"/>
      <c r="AB235" s="52"/>
      <c r="AC235" s="52"/>
      <c r="AD235" s="52"/>
      <c r="AE235" s="56" t="s">
        <v>607</v>
      </c>
      <c r="AF235" s="56" t="s">
        <v>607</v>
      </c>
    </row>
    <row r="236">
      <c r="A236" s="52" t="s">
        <v>1524</v>
      </c>
      <c r="B236" s="52" t="s">
        <v>14</v>
      </c>
      <c r="C236" s="52" t="s">
        <v>221</v>
      </c>
      <c r="D236" s="65">
        <v>0.7036226851851844</v>
      </c>
      <c r="E236" s="65">
        <v>0.002777777777777778</v>
      </c>
      <c r="F236" s="65">
        <v>0.7064004629629622</v>
      </c>
      <c r="G236" s="65"/>
      <c r="H236" s="52" t="s">
        <v>248</v>
      </c>
      <c r="I236" s="52" t="s">
        <v>338</v>
      </c>
      <c r="J236" s="52" t="s">
        <v>69</v>
      </c>
      <c r="K236" s="52"/>
      <c r="L236" s="52"/>
      <c r="M236" s="52"/>
      <c r="N236" s="52" t="s">
        <v>70</v>
      </c>
      <c r="O236" s="52"/>
      <c r="P236" s="52"/>
      <c r="Q236" s="52"/>
      <c r="R236" s="51" t="b">
        <v>0</v>
      </c>
      <c r="S236" s="51"/>
      <c r="T236" s="52"/>
      <c r="U236" s="51" t="b">
        <v>0</v>
      </c>
      <c r="V236" s="51" t="b">
        <v>0</v>
      </c>
      <c r="W236" s="51" t="b">
        <v>0</v>
      </c>
      <c r="X236" s="51" t="b">
        <v>0</v>
      </c>
      <c r="Y236" s="51" t="b">
        <v>0</v>
      </c>
      <c r="Z236" s="51" t="b">
        <v>0</v>
      </c>
      <c r="AA236" s="68"/>
      <c r="AB236" s="52"/>
      <c r="AC236" s="52"/>
      <c r="AD236" s="52"/>
      <c r="AE236" s="56"/>
      <c r="AF236" s="56" t="s">
        <v>1185</v>
      </c>
    </row>
    <row r="237">
      <c r="A237" s="52" t="s">
        <v>1527</v>
      </c>
      <c r="B237" s="52" t="s">
        <v>607</v>
      </c>
      <c r="C237" s="52" t="s">
        <v>607</v>
      </c>
      <c r="D237" s="65" t="s">
        <v>607</v>
      </c>
      <c r="E237" s="65" t="s">
        <v>607</v>
      </c>
      <c r="F237" s="65" t="s">
        <v>607</v>
      </c>
      <c r="G237" s="65" t="s">
        <v>607</v>
      </c>
      <c r="H237" s="52" t="s">
        <v>607</v>
      </c>
      <c r="I237" s="52" t="s">
        <v>607</v>
      </c>
      <c r="J237" s="52" t="s">
        <v>607</v>
      </c>
      <c r="K237" s="52" t="s">
        <v>607</v>
      </c>
      <c r="L237" s="52" t="s">
        <v>607</v>
      </c>
      <c r="M237" s="52" t="s">
        <v>607</v>
      </c>
      <c r="N237" s="52" t="s">
        <v>607</v>
      </c>
      <c r="O237" s="52"/>
      <c r="P237" s="52"/>
      <c r="Q237" s="52"/>
      <c r="R237" s="51" t="b">
        <v>0</v>
      </c>
      <c r="S237" s="51"/>
      <c r="T237" s="52"/>
      <c r="U237" s="51" t="b">
        <v>0</v>
      </c>
      <c r="V237" s="51" t="b">
        <v>0</v>
      </c>
      <c r="W237" s="51" t="b">
        <v>0</v>
      </c>
      <c r="X237" s="51" t="b">
        <v>0</v>
      </c>
      <c r="Y237" s="51" t="b">
        <v>0</v>
      </c>
      <c r="Z237" s="51" t="b">
        <v>0</v>
      </c>
      <c r="AA237" s="68"/>
      <c r="AB237" s="52"/>
      <c r="AC237" s="52"/>
      <c r="AD237" s="52"/>
      <c r="AE237" s="56" t="s">
        <v>607</v>
      </c>
      <c r="AF237" s="56" t="s">
        <v>607</v>
      </c>
    </row>
    <row r="238">
      <c r="A238" s="52" t="s">
        <v>1528</v>
      </c>
      <c r="B238" s="52" t="s">
        <v>607</v>
      </c>
      <c r="C238" s="52" t="s">
        <v>607</v>
      </c>
      <c r="D238" s="65" t="s">
        <v>607</v>
      </c>
      <c r="E238" s="65" t="s">
        <v>607</v>
      </c>
      <c r="F238" s="65" t="s">
        <v>607</v>
      </c>
      <c r="G238" s="65" t="s">
        <v>607</v>
      </c>
      <c r="H238" s="52" t="s">
        <v>607</v>
      </c>
      <c r="I238" s="52" t="s">
        <v>607</v>
      </c>
      <c r="J238" s="52" t="s">
        <v>607</v>
      </c>
      <c r="K238" s="52" t="s">
        <v>607</v>
      </c>
      <c r="L238" s="52" t="s">
        <v>607</v>
      </c>
      <c r="M238" s="52" t="s">
        <v>607</v>
      </c>
      <c r="N238" s="52" t="s">
        <v>607</v>
      </c>
      <c r="O238" s="52"/>
      <c r="P238" s="52"/>
      <c r="Q238" s="52"/>
      <c r="R238" s="51" t="b">
        <v>0</v>
      </c>
      <c r="S238" s="51"/>
      <c r="T238" s="52"/>
      <c r="U238" s="51" t="b">
        <v>0</v>
      </c>
      <c r="V238" s="51" t="b">
        <v>0</v>
      </c>
      <c r="W238" s="51" t="b">
        <v>0</v>
      </c>
      <c r="X238" s="51" t="b">
        <v>0</v>
      </c>
      <c r="Y238" s="51" t="b">
        <v>0</v>
      </c>
      <c r="Z238" s="51" t="b">
        <v>0</v>
      </c>
      <c r="AA238" s="68"/>
      <c r="AB238" s="52"/>
      <c r="AC238" s="52"/>
      <c r="AD238" s="52"/>
      <c r="AE238" s="56" t="s">
        <v>607</v>
      </c>
      <c r="AF238" s="56" t="s">
        <v>607</v>
      </c>
    </row>
    <row r="239">
      <c r="A239" s="52" t="s">
        <v>1531</v>
      </c>
      <c r="B239" s="52" t="s">
        <v>607</v>
      </c>
      <c r="C239" s="52" t="s">
        <v>607</v>
      </c>
      <c r="D239" s="65" t="s">
        <v>607</v>
      </c>
      <c r="E239" s="65" t="s">
        <v>607</v>
      </c>
      <c r="F239" s="65" t="s">
        <v>607</v>
      </c>
      <c r="G239" s="65" t="s">
        <v>607</v>
      </c>
      <c r="H239" s="52" t="s">
        <v>607</v>
      </c>
      <c r="I239" s="52" t="s">
        <v>607</v>
      </c>
      <c r="J239" s="52" t="s">
        <v>607</v>
      </c>
      <c r="K239" s="52" t="s">
        <v>607</v>
      </c>
      <c r="L239" s="52" t="s">
        <v>607</v>
      </c>
      <c r="M239" s="52" t="s">
        <v>607</v>
      </c>
      <c r="N239" s="52" t="s">
        <v>607</v>
      </c>
      <c r="O239" s="52"/>
      <c r="P239" s="52"/>
      <c r="Q239" s="52"/>
      <c r="R239" s="51" t="b">
        <v>0</v>
      </c>
      <c r="S239" s="51"/>
      <c r="T239" s="52"/>
      <c r="U239" s="51" t="b">
        <v>0</v>
      </c>
      <c r="V239" s="51" t="b">
        <v>0</v>
      </c>
      <c r="W239" s="51" t="b">
        <v>0</v>
      </c>
      <c r="X239" s="51" t="b">
        <v>0</v>
      </c>
      <c r="Y239" s="51" t="b">
        <v>0</v>
      </c>
      <c r="Z239" s="51" t="b">
        <v>0</v>
      </c>
      <c r="AA239" s="68"/>
      <c r="AB239" s="52"/>
      <c r="AC239" s="52"/>
      <c r="AD239" s="52"/>
      <c r="AE239" s="56" t="s">
        <v>607</v>
      </c>
      <c r="AF239" s="56" t="s">
        <v>607</v>
      </c>
    </row>
    <row r="240">
      <c r="A240" s="52" t="s">
        <v>1533</v>
      </c>
      <c r="B240" s="52" t="s">
        <v>785</v>
      </c>
      <c r="C240" s="52" t="s">
        <v>221</v>
      </c>
      <c r="D240" s="65">
        <v>0.460462962962963</v>
      </c>
      <c r="E240" s="65">
        <v>0.008333333333333333</v>
      </c>
      <c r="F240" s="65">
        <v>0.4687962962962964</v>
      </c>
      <c r="G240" s="65"/>
      <c r="H240" s="52" t="s">
        <v>94</v>
      </c>
      <c r="I240" s="52" t="s">
        <v>1534</v>
      </c>
      <c r="J240" s="52" t="s">
        <v>1535</v>
      </c>
      <c r="K240" s="52"/>
      <c r="L240" s="52"/>
      <c r="M240" s="52"/>
      <c r="N240" s="52" t="s">
        <v>1536</v>
      </c>
      <c r="O240" s="52"/>
      <c r="P240" s="52"/>
      <c r="Q240" s="52"/>
      <c r="R240" s="51" t="b">
        <v>0</v>
      </c>
      <c r="S240" s="51"/>
      <c r="T240" s="52"/>
      <c r="U240" s="51" t="b">
        <v>0</v>
      </c>
      <c r="V240" s="51" t="b">
        <v>0</v>
      </c>
      <c r="W240" s="51" t="b">
        <v>0</v>
      </c>
      <c r="X240" s="51" t="b">
        <v>0</v>
      </c>
      <c r="Y240" s="51" t="b">
        <v>0</v>
      </c>
      <c r="Z240" s="51" t="b">
        <v>0</v>
      </c>
      <c r="AA240" s="68"/>
      <c r="AB240" s="52"/>
      <c r="AC240" s="52"/>
      <c r="AD240" s="52"/>
      <c r="AE240" s="56" t="s">
        <v>629</v>
      </c>
      <c r="AF240" s="56" t="s">
        <v>1185</v>
      </c>
    </row>
    <row r="241">
      <c r="A241" s="52" t="s">
        <v>1537</v>
      </c>
      <c r="B241" s="52" t="s">
        <v>607</v>
      </c>
      <c r="C241" s="52" t="s">
        <v>607</v>
      </c>
      <c r="D241" s="65" t="s">
        <v>607</v>
      </c>
      <c r="E241" s="65" t="s">
        <v>607</v>
      </c>
      <c r="F241" s="65" t="s">
        <v>607</v>
      </c>
      <c r="G241" s="65" t="s">
        <v>607</v>
      </c>
      <c r="H241" s="52" t="s">
        <v>607</v>
      </c>
      <c r="I241" s="52" t="s">
        <v>607</v>
      </c>
      <c r="J241" s="52" t="s">
        <v>607</v>
      </c>
      <c r="K241" s="52" t="s">
        <v>607</v>
      </c>
      <c r="L241" s="52" t="s">
        <v>607</v>
      </c>
      <c r="M241" s="52" t="s">
        <v>607</v>
      </c>
      <c r="N241" s="52" t="s">
        <v>607</v>
      </c>
      <c r="O241" s="52"/>
      <c r="P241" s="52"/>
      <c r="Q241" s="52"/>
      <c r="R241" s="51" t="b">
        <v>0</v>
      </c>
      <c r="S241" s="51"/>
      <c r="T241" s="52"/>
      <c r="U241" s="51" t="b">
        <v>0</v>
      </c>
      <c r="V241" s="51" t="b">
        <v>0</v>
      </c>
      <c r="W241" s="51" t="b">
        <v>0</v>
      </c>
      <c r="X241" s="51" t="b">
        <v>0</v>
      </c>
      <c r="Y241" s="51" t="b">
        <v>0</v>
      </c>
      <c r="Z241" s="51" t="b">
        <v>0</v>
      </c>
      <c r="AA241" s="68"/>
      <c r="AB241" s="52"/>
      <c r="AC241" s="52"/>
      <c r="AD241" s="52"/>
      <c r="AE241" s="56" t="s">
        <v>607</v>
      </c>
      <c r="AF241" s="56" t="s">
        <v>607</v>
      </c>
    </row>
    <row r="242">
      <c r="A242" s="52" t="s">
        <v>1539</v>
      </c>
      <c r="B242" s="52" t="s">
        <v>607</v>
      </c>
      <c r="C242" s="52" t="s">
        <v>607</v>
      </c>
      <c r="D242" s="65" t="s">
        <v>607</v>
      </c>
      <c r="E242" s="65" t="s">
        <v>607</v>
      </c>
      <c r="F242" s="65" t="s">
        <v>607</v>
      </c>
      <c r="G242" s="65" t="s">
        <v>607</v>
      </c>
      <c r="H242" s="52" t="s">
        <v>607</v>
      </c>
      <c r="I242" s="52" t="s">
        <v>607</v>
      </c>
      <c r="J242" s="52" t="s">
        <v>607</v>
      </c>
      <c r="K242" s="52" t="s">
        <v>607</v>
      </c>
      <c r="L242" s="52" t="s">
        <v>607</v>
      </c>
      <c r="M242" s="52" t="s">
        <v>607</v>
      </c>
      <c r="N242" s="52" t="s">
        <v>607</v>
      </c>
      <c r="O242" s="52"/>
      <c r="P242" s="52"/>
      <c r="Q242" s="52"/>
      <c r="R242" s="51" t="b">
        <v>0</v>
      </c>
      <c r="S242" s="51"/>
      <c r="T242" s="52"/>
      <c r="U242" s="51" t="b">
        <v>0</v>
      </c>
      <c r="V242" s="51" t="b">
        <v>0</v>
      </c>
      <c r="W242" s="51" t="b">
        <v>0</v>
      </c>
      <c r="X242" s="51" t="b">
        <v>0</v>
      </c>
      <c r="Y242" s="51" t="b">
        <v>0</v>
      </c>
      <c r="Z242" s="51" t="b">
        <v>0</v>
      </c>
      <c r="AA242" s="68"/>
      <c r="AB242" s="52"/>
      <c r="AC242" s="52"/>
      <c r="AD242" s="52"/>
      <c r="AE242" s="56" t="s">
        <v>607</v>
      </c>
      <c r="AF242" s="56" t="s">
        <v>607</v>
      </c>
    </row>
    <row r="243">
      <c r="A243" s="52" t="s">
        <v>1540</v>
      </c>
      <c r="B243" s="52" t="s">
        <v>14</v>
      </c>
      <c r="C243" s="52" t="s">
        <v>221</v>
      </c>
      <c r="D243" s="65">
        <v>0.6783449074074068</v>
      </c>
      <c r="E243" s="65">
        <v>6.944444444444445E-4</v>
      </c>
      <c r="F243" s="65">
        <v>0.6790393518518513</v>
      </c>
      <c r="G243" s="65"/>
      <c r="H243" s="52" t="s">
        <v>103</v>
      </c>
      <c r="I243" s="52" t="s">
        <v>325</v>
      </c>
      <c r="J243" s="52" t="s">
        <v>128</v>
      </c>
      <c r="K243" s="52"/>
      <c r="L243" s="52"/>
      <c r="M243" s="52"/>
      <c r="N243" s="52" t="s">
        <v>70</v>
      </c>
      <c r="O243" s="52"/>
      <c r="P243" s="52"/>
      <c r="Q243" s="52"/>
      <c r="R243" s="51" t="b">
        <v>0</v>
      </c>
      <c r="S243" s="51"/>
      <c r="T243" s="52"/>
      <c r="U243" s="51" t="b">
        <v>0</v>
      </c>
      <c r="V243" s="51" t="b">
        <v>0</v>
      </c>
      <c r="W243" s="51" t="b">
        <v>0</v>
      </c>
      <c r="X243" s="51" t="b">
        <v>0</v>
      </c>
      <c r="Y243" s="51" t="b">
        <v>0</v>
      </c>
      <c r="Z243" s="51" t="b">
        <v>0</v>
      </c>
      <c r="AA243" s="68"/>
      <c r="AB243" s="52"/>
      <c r="AC243" s="52"/>
      <c r="AD243" s="52"/>
      <c r="AE243" s="56"/>
      <c r="AF243" s="56"/>
    </row>
    <row r="244">
      <c r="A244" s="52" t="s">
        <v>1541</v>
      </c>
      <c r="B244" s="52" t="s">
        <v>14</v>
      </c>
      <c r="C244" s="52" t="s">
        <v>221</v>
      </c>
      <c r="D244" s="65">
        <v>0.6790393518518513</v>
      </c>
      <c r="E244" s="65">
        <v>2.314814814814815E-4</v>
      </c>
      <c r="F244" s="65">
        <v>0.6792708333333327</v>
      </c>
      <c r="G244" s="65"/>
      <c r="H244" s="52" t="s">
        <v>81</v>
      </c>
      <c r="I244" s="52" t="s">
        <v>81</v>
      </c>
      <c r="J244" s="52" t="s">
        <v>73</v>
      </c>
      <c r="K244" s="52" t="s">
        <v>128</v>
      </c>
      <c r="L244" s="52"/>
      <c r="M244" s="52"/>
      <c r="N244" s="52" t="s">
        <v>70</v>
      </c>
      <c r="O244" s="52"/>
      <c r="P244" s="52"/>
      <c r="Q244" s="52"/>
      <c r="R244" s="51" t="b">
        <v>0</v>
      </c>
      <c r="S244" s="51"/>
      <c r="T244" s="52"/>
      <c r="U244" s="51" t="b">
        <v>0</v>
      </c>
      <c r="V244" s="51" t="b">
        <v>0</v>
      </c>
      <c r="W244" s="51" t="b">
        <v>0</v>
      </c>
      <c r="X244" s="51" t="b">
        <v>0</v>
      </c>
      <c r="Y244" s="51" t="b">
        <v>0</v>
      </c>
      <c r="Z244" s="51" t="b">
        <v>0</v>
      </c>
      <c r="AA244" s="68"/>
      <c r="AB244" s="52"/>
      <c r="AC244" s="52"/>
      <c r="AD244" s="52"/>
      <c r="AE244" s="56"/>
      <c r="AF244" s="56"/>
    </row>
    <row r="245">
      <c r="A245" s="52" t="s">
        <v>1542</v>
      </c>
      <c r="B245" s="52" t="s">
        <v>14</v>
      </c>
      <c r="C245" s="52" t="s">
        <v>221</v>
      </c>
      <c r="D245" s="65">
        <v>0.6792708333333327</v>
      </c>
      <c r="E245" s="65">
        <v>0.009537037037037037</v>
      </c>
      <c r="F245" s="65">
        <v>0.6888078703703697</v>
      </c>
      <c r="G245" s="65" t="s">
        <v>120</v>
      </c>
      <c r="H245" s="52" t="s">
        <v>107</v>
      </c>
      <c r="I245" s="52" t="s">
        <v>326</v>
      </c>
      <c r="J245" s="52" t="s">
        <v>327</v>
      </c>
      <c r="K245" s="52" t="s">
        <v>328</v>
      </c>
      <c r="L245" s="52"/>
      <c r="M245" s="52"/>
      <c r="N245" s="52" t="s">
        <v>329</v>
      </c>
      <c r="O245" s="69" t="s">
        <v>734</v>
      </c>
      <c r="P245" s="69" t="s">
        <v>30</v>
      </c>
      <c r="Q245" s="70" t="s">
        <v>1543</v>
      </c>
      <c r="R245" s="51" t="b">
        <v>1</v>
      </c>
      <c r="S245" s="98" t="s">
        <v>326</v>
      </c>
      <c r="T245" s="52"/>
      <c r="U245" s="51" t="b">
        <v>0</v>
      </c>
      <c r="V245" s="51" t="b">
        <v>1</v>
      </c>
      <c r="W245" s="51" t="b">
        <v>1</v>
      </c>
      <c r="X245" s="51" t="b">
        <v>1</v>
      </c>
      <c r="Y245" s="51" t="b">
        <v>0</v>
      </c>
      <c r="Z245" s="51" t="b">
        <v>0</v>
      </c>
      <c r="AA245" s="99">
        <v>0.009537037037037037</v>
      </c>
      <c r="AB245" s="104" t="s">
        <v>1544</v>
      </c>
      <c r="AC245" s="105"/>
      <c r="AD245" s="73" t="s">
        <v>1545</v>
      </c>
      <c r="AE245" s="74" t="s">
        <v>629</v>
      </c>
      <c r="AF245" s="74" t="s">
        <v>847</v>
      </c>
    </row>
    <row r="246">
      <c r="A246" s="52" t="s">
        <v>1546</v>
      </c>
      <c r="B246" s="52" t="s">
        <v>607</v>
      </c>
      <c r="C246" s="52" t="s">
        <v>607</v>
      </c>
      <c r="D246" s="65" t="s">
        <v>607</v>
      </c>
      <c r="E246" s="65" t="s">
        <v>607</v>
      </c>
      <c r="F246" s="65" t="s">
        <v>607</v>
      </c>
      <c r="G246" s="65" t="s">
        <v>607</v>
      </c>
      <c r="H246" s="52" t="s">
        <v>607</v>
      </c>
      <c r="I246" s="52" t="s">
        <v>607</v>
      </c>
      <c r="J246" s="52" t="s">
        <v>607</v>
      </c>
      <c r="K246" s="52" t="s">
        <v>607</v>
      </c>
      <c r="L246" s="52" t="s">
        <v>607</v>
      </c>
      <c r="M246" s="52" t="s">
        <v>607</v>
      </c>
      <c r="N246" s="52" t="s">
        <v>607</v>
      </c>
      <c r="O246" s="52"/>
      <c r="P246" s="52"/>
      <c r="Q246" s="52"/>
      <c r="R246" s="51" t="b">
        <v>0</v>
      </c>
      <c r="S246" s="51"/>
      <c r="T246" s="52"/>
      <c r="U246" s="51" t="b">
        <v>0</v>
      </c>
      <c r="V246" s="51" t="b">
        <v>0</v>
      </c>
      <c r="W246" s="51" t="b">
        <v>0</v>
      </c>
      <c r="X246" s="51" t="b">
        <v>0</v>
      </c>
      <c r="Y246" s="51" t="b">
        <v>0</v>
      </c>
      <c r="Z246" s="51" t="b">
        <v>0</v>
      </c>
      <c r="AA246" s="68"/>
      <c r="AB246" s="52"/>
      <c r="AC246" s="52"/>
      <c r="AD246" s="52"/>
      <c r="AE246" s="56" t="s">
        <v>607</v>
      </c>
      <c r="AF246" s="56" t="s">
        <v>607</v>
      </c>
    </row>
    <row r="247">
      <c r="A247" s="52" t="s">
        <v>1547</v>
      </c>
      <c r="B247" s="52" t="s">
        <v>14</v>
      </c>
      <c r="C247" s="52" t="s">
        <v>221</v>
      </c>
      <c r="D247" s="65">
        <v>0.6888078703703697</v>
      </c>
      <c r="E247" s="65">
        <v>2.314814814814815E-4</v>
      </c>
      <c r="F247" s="65">
        <v>0.6890393518518512</v>
      </c>
      <c r="G247" s="65"/>
      <c r="H247" s="52" t="s">
        <v>81</v>
      </c>
      <c r="I247" s="52" t="s">
        <v>330</v>
      </c>
      <c r="J247" s="52" t="s">
        <v>128</v>
      </c>
      <c r="K247" s="52"/>
      <c r="L247" s="52"/>
      <c r="M247" s="52"/>
      <c r="N247" s="52" t="s">
        <v>70</v>
      </c>
      <c r="O247" s="52"/>
      <c r="P247" s="52"/>
      <c r="Q247" s="52"/>
      <c r="R247" s="51" t="b">
        <v>0</v>
      </c>
      <c r="S247" s="51"/>
      <c r="T247" s="52"/>
      <c r="U247" s="51" t="b">
        <v>0</v>
      </c>
      <c r="V247" s="51" t="b">
        <v>0</v>
      </c>
      <c r="W247" s="51" t="b">
        <v>0</v>
      </c>
      <c r="X247" s="51" t="b">
        <v>0</v>
      </c>
      <c r="Y247" s="51" t="b">
        <v>0</v>
      </c>
      <c r="Z247" s="51" t="b">
        <v>0</v>
      </c>
      <c r="AA247" s="68"/>
      <c r="AB247" s="52"/>
      <c r="AC247" s="52"/>
      <c r="AD247" s="52"/>
      <c r="AE247" s="56"/>
      <c r="AF247" s="56"/>
    </row>
    <row r="248">
      <c r="A248" s="52" t="s">
        <v>1548</v>
      </c>
      <c r="B248" s="52" t="s">
        <v>14</v>
      </c>
      <c r="C248" s="52" t="s">
        <v>221</v>
      </c>
      <c r="D248" s="65">
        <v>0.6890393518518512</v>
      </c>
      <c r="E248" s="65">
        <v>0.0020833333333333333</v>
      </c>
      <c r="F248" s="65">
        <v>0.6911226851851845</v>
      </c>
      <c r="G248" s="65" t="s">
        <v>331</v>
      </c>
      <c r="H248" s="52" t="s">
        <v>83</v>
      </c>
      <c r="I248" s="52" t="s">
        <v>332</v>
      </c>
      <c r="J248" s="52"/>
      <c r="K248" s="52"/>
      <c r="L248" s="52"/>
      <c r="M248" s="52"/>
      <c r="N248" s="52" t="s">
        <v>70</v>
      </c>
      <c r="O248" s="69" t="s">
        <v>618</v>
      </c>
      <c r="P248" s="69" t="s">
        <v>30</v>
      </c>
      <c r="Q248" s="101" t="s">
        <v>1549</v>
      </c>
      <c r="R248" s="51" t="b">
        <v>1</v>
      </c>
      <c r="S248" s="84" t="s">
        <v>332</v>
      </c>
      <c r="T248" s="52"/>
      <c r="U248" s="51" t="b">
        <v>0</v>
      </c>
      <c r="V248" s="51" t="b">
        <v>1</v>
      </c>
      <c r="W248" s="51" t="b">
        <v>1</v>
      </c>
      <c r="X248" s="51" t="b">
        <v>0</v>
      </c>
      <c r="Y248" s="51" t="b">
        <v>1</v>
      </c>
      <c r="Z248" s="51" t="b">
        <v>0</v>
      </c>
      <c r="AA248" s="71">
        <v>0.0020717592592592593</v>
      </c>
      <c r="AB248" s="52"/>
      <c r="AC248" s="52"/>
      <c r="AD248" s="73" t="s">
        <v>1550</v>
      </c>
      <c r="AE248" s="56"/>
      <c r="AF248" s="56" t="s">
        <v>1362</v>
      </c>
    </row>
    <row r="249">
      <c r="A249" s="52" t="s">
        <v>1551</v>
      </c>
      <c r="B249" s="52" t="s">
        <v>607</v>
      </c>
      <c r="C249" s="52" t="s">
        <v>607</v>
      </c>
      <c r="D249" s="65" t="s">
        <v>607</v>
      </c>
      <c r="E249" s="65" t="s">
        <v>607</v>
      </c>
      <c r="F249" s="65" t="s">
        <v>607</v>
      </c>
      <c r="G249" s="65" t="s">
        <v>607</v>
      </c>
      <c r="H249" s="52" t="s">
        <v>607</v>
      </c>
      <c r="I249" s="52" t="s">
        <v>607</v>
      </c>
      <c r="J249" s="52" t="s">
        <v>607</v>
      </c>
      <c r="K249" s="52" t="s">
        <v>607</v>
      </c>
      <c r="L249" s="52" t="s">
        <v>607</v>
      </c>
      <c r="M249" s="52" t="s">
        <v>607</v>
      </c>
      <c r="N249" s="52" t="s">
        <v>607</v>
      </c>
      <c r="O249" s="52"/>
      <c r="P249" s="52"/>
      <c r="Q249" s="52"/>
      <c r="R249" s="51" t="b">
        <v>0</v>
      </c>
      <c r="S249" s="51"/>
      <c r="T249" s="52"/>
      <c r="U249" s="51" t="b">
        <v>0</v>
      </c>
      <c r="V249" s="51" t="b">
        <v>0</v>
      </c>
      <c r="W249" s="51" t="b">
        <v>0</v>
      </c>
      <c r="X249" s="51" t="b">
        <v>0</v>
      </c>
      <c r="Y249" s="51" t="b">
        <v>0</v>
      </c>
      <c r="Z249" s="51" t="b">
        <v>0</v>
      </c>
      <c r="AA249" s="68"/>
      <c r="AB249" s="52"/>
      <c r="AC249" s="52"/>
      <c r="AD249" s="52"/>
      <c r="AE249" s="56" t="s">
        <v>607</v>
      </c>
      <c r="AF249" s="56" t="s">
        <v>607</v>
      </c>
    </row>
    <row r="250">
      <c r="A250" s="52" t="s">
        <v>1552</v>
      </c>
      <c r="B250" s="52" t="s">
        <v>14</v>
      </c>
      <c r="C250" s="52" t="s">
        <v>66</v>
      </c>
      <c r="D250" s="65">
        <v>0.48387731481481516</v>
      </c>
      <c r="E250" s="65">
        <v>2.314814814814815E-4</v>
      </c>
      <c r="F250" s="65">
        <v>0.48410879629629666</v>
      </c>
      <c r="G250" s="65"/>
      <c r="H250" s="52" t="s">
        <v>81</v>
      </c>
      <c r="I250" s="52" t="s">
        <v>119</v>
      </c>
      <c r="J250" s="52" t="s">
        <v>73</v>
      </c>
      <c r="K250" s="52" t="s">
        <v>105</v>
      </c>
      <c r="L250" s="52"/>
      <c r="M250" s="52"/>
      <c r="N250" s="52" t="s">
        <v>70</v>
      </c>
      <c r="O250" s="52"/>
      <c r="P250" s="52"/>
      <c r="Q250" s="52"/>
      <c r="R250" s="51" t="b">
        <v>0</v>
      </c>
      <c r="S250" s="51"/>
      <c r="T250" s="52"/>
      <c r="U250" s="51" t="b">
        <v>0</v>
      </c>
      <c r="V250" s="51" t="b">
        <v>0</v>
      </c>
      <c r="W250" s="51" t="b">
        <v>0</v>
      </c>
      <c r="X250" s="51" t="b">
        <v>0</v>
      </c>
      <c r="Y250" s="51" t="b">
        <v>0</v>
      </c>
      <c r="Z250" s="51" t="b">
        <v>0</v>
      </c>
      <c r="AA250" s="68"/>
      <c r="AB250" s="52"/>
      <c r="AC250" s="52"/>
      <c r="AD250" s="52"/>
      <c r="AE250" s="56"/>
      <c r="AF250" s="56"/>
    </row>
    <row r="251">
      <c r="A251" s="52" t="s">
        <v>1553</v>
      </c>
      <c r="B251" s="52" t="s">
        <v>19</v>
      </c>
      <c r="C251" s="52" t="s">
        <v>221</v>
      </c>
      <c r="D251" s="65">
        <v>0.6919444444444444</v>
      </c>
      <c r="E251" s="65">
        <v>0.008680555555555556</v>
      </c>
      <c r="F251" s="65">
        <v>0.7006249999999999</v>
      </c>
      <c r="G251" s="65" t="s">
        <v>129</v>
      </c>
      <c r="H251" s="52" t="s">
        <v>107</v>
      </c>
      <c r="I251" s="52" t="s">
        <v>1306</v>
      </c>
      <c r="J251" s="52" t="s">
        <v>1307</v>
      </c>
      <c r="K251" s="52" t="s">
        <v>1308</v>
      </c>
      <c r="L251" s="52"/>
      <c r="M251" s="52"/>
      <c r="N251" s="52" t="s">
        <v>1309</v>
      </c>
      <c r="O251" s="69" t="s">
        <v>734</v>
      </c>
      <c r="P251" s="69" t="s">
        <v>30</v>
      </c>
      <c r="Q251" s="73" t="s">
        <v>1554</v>
      </c>
      <c r="R251" s="51" t="b">
        <v>1</v>
      </c>
      <c r="S251" s="52" t="s">
        <v>1306</v>
      </c>
      <c r="T251" s="52"/>
      <c r="U251" s="51" t="b">
        <v>0</v>
      </c>
      <c r="V251" s="51" t="b">
        <v>1</v>
      </c>
      <c r="W251" s="51" t="b">
        <v>0</v>
      </c>
      <c r="X251" s="51" t="b">
        <v>0</v>
      </c>
      <c r="Y251" s="51" t="b">
        <v>0</v>
      </c>
      <c r="Z251" s="51" t="b">
        <v>0</v>
      </c>
      <c r="AA251" s="71">
        <v>0.012094907407407407</v>
      </c>
      <c r="AB251" s="69" t="s">
        <v>1555</v>
      </c>
      <c r="AC251" s="103" t="s">
        <v>1556</v>
      </c>
      <c r="AD251" s="106" t="s">
        <v>1557</v>
      </c>
      <c r="AE251" s="56" t="s">
        <v>629</v>
      </c>
      <c r="AF251" s="56" t="s">
        <v>860</v>
      </c>
    </row>
    <row r="252">
      <c r="A252" s="52" t="s">
        <v>1560</v>
      </c>
      <c r="B252" s="52" t="s">
        <v>607</v>
      </c>
      <c r="C252" s="52" t="s">
        <v>607</v>
      </c>
      <c r="D252" s="65" t="s">
        <v>607</v>
      </c>
      <c r="E252" s="65" t="s">
        <v>607</v>
      </c>
      <c r="F252" s="65" t="s">
        <v>607</v>
      </c>
      <c r="G252" s="65" t="s">
        <v>607</v>
      </c>
      <c r="H252" s="52" t="s">
        <v>607</v>
      </c>
      <c r="I252" s="52" t="s">
        <v>607</v>
      </c>
      <c r="J252" s="52" t="s">
        <v>607</v>
      </c>
      <c r="K252" s="52" t="s">
        <v>607</v>
      </c>
      <c r="L252" s="52" t="s">
        <v>607</v>
      </c>
      <c r="M252" s="52" t="s">
        <v>607</v>
      </c>
      <c r="N252" s="52" t="s">
        <v>607</v>
      </c>
      <c r="O252" s="52"/>
      <c r="P252" s="52"/>
      <c r="Q252" s="52"/>
      <c r="R252" s="51" t="b">
        <v>0</v>
      </c>
      <c r="S252" s="51"/>
      <c r="T252" s="52"/>
      <c r="U252" s="51" t="b">
        <v>0</v>
      </c>
      <c r="V252" s="51" t="b">
        <v>0</v>
      </c>
      <c r="W252" s="51" t="b">
        <v>0</v>
      </c>
      <c r="X252" s="51" t="b">
        <v>0</v>
      </c>
      <c r="Y252" s="51" t="b">
        <v>0</v>
      </c>
      <c r="Z252" s="51" t="b">
        <v>0</v>
      </c>
      <c r="AA252" s="68"/>
      <c r="AB252" s="52"/>
      <c r="AC252" s="52"/>
      <c r="AD252" s="52"/>
      <c r="AE252" s="56" t="s">
        <v>607</v>
      </c>
      <c r="AF252" s="56" t="s">
        <v>607</v>
      </c>
    </row>
    <row r="253">
      <c r="A253" s="52" t="s">
        <v>1561</v>
      </c>
      <c r="B253" s="52" t="s">
        <v>14</v>
      </c>
      <c r="C253" s="52" t="s">
        <v>221</v>
      </c>
      <c r="D253" s="65">
        <v>0.703391203703703</v>
      </c>
      <c r="E253" s="65">
        <v>2.314814814814815E-4</v>
      </c>
      <c r="F253" s="65">
        <v>0.7036226851851844</v>
      </c>
      <c r="G253" s="65"/>
      <c r="H253" s="52" t="s">
        <v>81</v>
      </c>
      <c r="I253" s="52" t="s">
        <v>119</v>
      </c>
      <c r="J253" s="52" t="s">
        <v>128</v>
      </c>
      <c r="K253" s="52"/>
      <c r="L253" s="52"/>
      <c r="M253" s="52"/>
      <c r="N253" s="52"/>
      <c r="O253" s="52"/>
      <c r="P253" s="52"/>
      <c r="Q253" s="52"/>
      <c r="R253" s="51" t="b">
        <v>0</v>
      </c>
      <c r="S253" s="51"/>
      <c r="T253" s="52"/>
      <c r="U253" s="51" t="b">
        <v>0</v>
      </c>
      <c r="V253" s="51" t="b">
        <v>0</v>
      </c>
      <c r="W253" s="51" t="b">
        <v>0</v>
      </c>
      <c r="X253" s="51" t="b">
        <v>0</v>
      </c>
      <c r="Y253" s="51" t="b">
        <v>0</v>
      </c>
      <c r="Z253" s="51" t="b">
        <v>0</v>
      </c>
      <c r="AA253" s="68"/>
      <c r="AB253" s="52"/>
      <c r="AC253" s="52"/>
      <c r="AD253" s="52"/>
      <c r="AE253" s="56"/>
      <c r="AF253" s="56"/>
    </row>
    <row r="254">
      <c r="A254" s="52" t="s">
        <v>1563</v>
      </c>
      <c r="B254" s="52" t="s">
        <v>14</v>
      </c>
      <c r="C254" s="52" t="s">
        <v>221</v>
      </c>
      <c r="D254" s="65">
        <v>0.702002314814814</v>
      </c>
      <c r="E254" s="65">
        <v>3.4722222222222224E-4</v>
      </c>
      <c r="F254" s="65">
        <v>0.7023495370370363</v>
      </c>
      <c r="G254" s="65"/>
      <c r="H254" s="52" t="s">
        <v>89</v>
      </c>
      <c r="I254" s="52" t="s">
        <v>80</v>
      </c>
      <c r="J254" s="52" t="s">
        <v>69</v>
      </c>
      <c r="K254" s="52"/>
      <c r="L254" s="52"/>
      <c r="M254" s="52"/>
      <c r="N254" s="52" t="s">
        <v>70</v>
      </c>
      <c r="O254" s="52"/>
      <c r="P254" s="52"/>
      <c r="Q254" s="52"/>
      <c r="R254" s="51" t="b">
        <v>0</v>
      </c>
      <c r="S254" s="51"/>
      <c r="T254" s="52"/>
      <c r="U254" s="51" t="b">
        <v>0</v>
      </c>
      <c r="V254" s="51" t="b">
        <v>0</v>
      </c>
      <c r="W254" s="51" t="b">
        <v>0</v>
      </c>
      <c r="X254" s="51" t="b">
        <v>0</v>
      </c>
      <c r="Y254" s="51" t="b">
        <v>0</v>
      </c>
      <c r="Z254" s="51" t="b">
        <v>0</v>
      </c>
      <c r="AA254" s="68"/>
      <c r="AB254" s="52"/>
      <c r="AC254" s="52"/>
      <c r="AD254" s="52"/>
      <c r="AE254" s="56"/>
      <c r="AF254" s="56"/>
    </row>
    <row r="255">
      <c r="A255" s="52" t="s">
        <v>1564</v>
      </c>
      <c r="B255" s="52" t="s">
        <v>14</v>
      </c>
      <c r="C255" s="52" t="s">
        <v>289</v>
      </c>
      <c r="D255" s="65">
        <v>0.5698611111111109</v>
      </c>
      <c r="E255" s="65">
        <v>0.0020833333333333333</v>
      </c>
      <c r="F255" s="65">
        <v>0.5719444444444443</v>
      </c>
      <c r="G255" s="65"/>
      <c r="H255" s="52" t="s">
        <v>83</v>
      </c>
      <c r="I255" s="52" t="s">
        <v>417</v>
      </c>
      <c r="J255" s="52"/>
      <c r="K255" s="52"/>
      <c r="L255" s="52"/>
      <c r="M255" s="52"/>
      <c r="N255" s="52" t="s">
        <v>70</v>
      </c>
      <c r="O255" s="52"/>
      <c r="P255" s="69" t="s">
        <v>23</v>
      </c>
      <c r="Q255" s="80" t="s">
        <v>1565</v>
      </c>
      <c r="R255" s="51" t="b">
        <v>1</v>
      </c>
      <c r="S255" s="84" t="s">
        <v>417</v>
      </c>
      <c r="T255" s="52"/>
      <c r="U255" s="51" t="b">
        <v>0</v>
      </c>
      <c r="V255" s="51" t="b">
        <v>0</v>
      </c>
      <c r="W255" s="51" t="b">
        <v>0</v>
      </c>
      <c r="X255" s="51" t="b">
        <v>0</v>
      </c>
      <c r="Y255" s="51" t="b">
        <v>1</v>
      </c>
      <c r="Z255" s="51" t="b">
        <v>0</v>
      </c>
      <c r="AA255" s="71">
        <v>0.0020833333333333333</v>
      </c>
      <c r="AB255" s="69" t="s">
        <v>314</v>
      </c>
      <c r="AC255" s="52"/>
      <c r="AD255" s="103"/>
      <c r="AE255" s="56"/>
      <c r="AF255" s="56"/>
    </row>
    <row r="256">
      <c r="A256" s="52" t="s">
        <v>1566</v>
      </c>
      <c r="B256" s="52" t="s">
        <v>14</v>
      </c>
      <c r="C256" s="52" t="s">
        <v>289</v>
      </c>
      <c r="D256" s="65">
        <v>0.4738194444444447</v>
      </c>
      <c r="E256" s="65">
        <v>2.314814814814815E-4</v>
      </c>
      <c r="F256" s="65">
        <v>0.4740509259259262</v>
      </c>
      <c r="G256" s="65"/>
      <c r="H256" s="52" t="s">
        <v>81</v>
      </c>
      <c r="I256" s="52" t="s">
        <v>81</v>
      </c>
      <c r="J256" s="52" t="s">
        <v>128</v>
      </c>
      <c r="K256" s="52"/>
      <c r="L256" s="52"/>
      <c r="M256" s="52"/>
      <c r="N256" s="52" t="s">
        <v>70</v>
      </c>
      <c r="O256" s="52"/>
      <c r="P256" s="52"/>
      <c r="Q256" s="52"/>
      <c r="R256" s="51" t="b">
        <v>0</v>
      </c>
      <c r="S256" s="51"/>
      <c r="T256" s="52"/>
      <c r="U256" s="51" t="b">
        <v>0</v>
      </c>
      <c r="V256" s="51" t="b">
        <v>0</v>
      </c>
      <c r="W256" s="51" t="b">
        <v>0</v>
      </c>
      <c r="X256" s="51" t="b">
        <v>0</v>
      </c>
      <c r="Y256" s="51" t="b">
        <v>0</v>
      </c>
      <c r="Z256" s="51" t="b">
        <v>0</v>
      </c>
      <c r="AA256" s="68"/>
      <c r="AB256" s="52"/>
      <c r="AC256" s="52"/>
      <c r="AD256" s="52"/>
      <c r="AE256" s="56"/>
      <c r="AF256" s="56"/>
    </row>
    <row r="257">
      <c r="A257" s="52" t="s">
        <v>1568</v>
      </c>
      <c r="B257" s="52" t="s">
        <v>14</v>
      </c>
      <c r="C257" s="52" t="s">
        <v>289</v>
      </c>
      <c r="D257" s="65">
        <v>0.4740509259259262</v>
      </c>
      <c r="E257" s="65">
        <v>0.01037037037037037</v>
      </c>
      <c r="F257" s="65">
        <v>0.48442129629629654</v>
      </c>
      <c r="G257" s="65" t="s">
        <v>151</v>
      </c>
      <c r="H257" s="52" t="s">
        <v>74</v>
      </c>
      <c r="I257" s="52" t="s">
        <v>374</v>
      </c>
      <c r="J257" s="52" t="s">
        <v>375</v>
      </c>
      <c r="K257" s="52" t="s">
        <v>376</v>
      </c>
      <c r="L257" s="52" t="s">
        <v>377</v>
      </c>
      <c r="M257" s="52"/>
      <c r="N257" s="52" t="s">
        <v>378</v>
      </c>
      <c r="O257" s="69" t="s">
        <v>791</v>
      </c>
      <c r="P257" s="69" t="s">
        <v>20</v>
      </c>
      <c r="Q257" s="107" t="s">
        <v>1571</v>
      </c>
      <c r="R257" s="51" t="b">
        <v>1</v>
      </c>
      <c r="S257" s="52" t="s">
        <v>374</v>
      </c>
      <c r="T257" s="52"/>
      <c r="U257" s="51" t="b">
        <v>0</v>
      </c>
      <c r="V257" s="51" t="b">
        <v>1</v>
      </c>
      <c r="W257" s="51" t="b">
        <v>1</v>
      </c>
      <c r="X257" s="51" t="b">
        <v>1</v>
      </c>
      <c r="Y257" s="51" t="b">
        <v>0</v>
      </c>
      <c r="Z257" s="51" t="b">
        <v>0</v>
      </c>
      <c r="AA257" s="108">
        <v>0.010115740740740741</v>
      </c>
      <c r="AB257" s="69" t="s">
        <v>1575</v>
      </c>
      <c r="AC257" s="105"/>
      <c r="AD257" s="76" t="s">
        <v>1576</v>
      </c>
      <c r="AE257" s="74" t="s">
        <v>629</v>
      </c>
      <c r="AF257" s="74" t="s">
        <v>803</v>
      </c>
    </row>
    <row r="258">
      <c r="A258" s="52" t="s">
        <v>1578</v>
      </c>
      <c r="B258" s="52" t="s">
        <v>607</v>
      </c>
      <c r="C258" s="52" t="s">
        <v>607</v>
      </c>
      <c r="D258" s="65" t="s">
        <v>607</v>
      </c>
      <c r="E258" s="65" t="s">
        <v>607</v>
      </c>
      <c r="F258" s="65" t="s">
        <v>607</v>
      </c>
      <c r="G258" s="65" t="s">
        <v>607</v>
      </c>
      <c r="H258" s="52" t="s">
        <v>607</v>
      </c>
      <c r="I258" s="52" t="s">
        <v>607</v>
      </c>
      <c r="J258" s="52" t="s">
        <v>607</v>
      </c>
      <c r="K258" s="52" t="s">
        <v>607</v>
      </c>
      <c r="L258" s="52" t="s">
        <v>607</v>
      </c>
      <c r="M258" s="52" t="s">
        <v>607</v>
      </c>
      <c r="N258" s="52" t="s">
        <v>607</v>
      </c>
      <c r="O258" s="52"/>
      <c r="P258" s="52"/>
      <c r="Q258" s="52"/>
      <c r="R258" s="51" t="b">
        <v>0</v>
      </c>
      <c r="S258" s="51"/>
      <c r="T258" s="52"/>
      <c r="U258" s="51" t="b">
        <v>0</v>
      </c>
      <c r="V258" s="51" t="b">
        <v>0</v>
      </c>
      <c r="W258" s="51" t="b">
        <v>0</v>
      </c>
      <c r="X258" s="51" t="b">
        <v>0</v>
      </c>
      <c r="Y258" s="51" t="b">
        <v>0</v>
      </c>
      <c r="Z258" s="51" t="b">
        <v>0</v>
      </c>
      <c r="AA258" s="68"/>
      <c r="AB258" s="52"/>
      <c r="AC258" s="109"/>
      <c r="AD258" s="52"/>
      <c r="AE258" s="56" t="s">
        <v>607</v>
      </c>
      <c r="AF258" s="56" t="s">
        <v>607</v>
      </c>
    </row>
    <row r="259">
      <c r="A259" s="52" t="s">
        <v>1580</v>
      </c>
      <c r="B259" s="52" t="s">
        <v>14</v>
      </c>
      <c r="C259" s="52" t="s">
        <v>221</v>
      </c>
      <c r="D259" s="65">
        <v>0.7205208333333325</v>
      </c>
      <c r="E259" s="65">
        <v>6.944444444444445E-4</v>
      </c>
      <c r="F259" s="65">
        <v>0.7212152777777769</v>
      </c>
      <c r="G259" s="65"/>
      <c r="H259" s="52" t="s">
        <v>71</v>
      </c>
      <c r="I259" s="52" t="s">
        <v>343</v>
      </c>
      <c r="J259" s="52" t="s">
        <v>73</v>
      </c>
      <c r="K259" s="52"/>
      <c r="L259" s="52"/>
      <c r="M259" s="52"/>
      <c r="N259" s="52" t="s">
        <v>70</v>
      </c>
      <c r="O259" s="52"/>
      <c r="P259" s="52"/>
      <c r="Q259" s="52"/>
      <c r="R259" s="51" t="b">
        <v>0</v>
      </c>
      <c r="S259" s="51"/>
      <c r="T259" s="52"/>
      <c r="U259" s="51" t="b">
        <v>0</v>
      </c>
      <c r="V259" s="51" t="b">
        <v>0</v>
      </c>
      <c r="W259" s="51" t="b">
        <v>0</v>
      </c>
      <c r="X259" s="51" t="b">
        <v>0</v>
      </c>
      <c r="Y259" s="51" t="b">
        <v>0</v>
      </c>
      <c r="Z259" s="51" t="b">
        <v>0</v>
      </c>
      <c r="AA259" s="68"/>
      <c r="AB259" s="52"/>
      <c r="AC259" s="52"/>
      <c r="AD259" s="52"/>
      <c r="AE259" s="56"/>
      <c r="AF259" s="56"/>
    </row>
    <row r="260">
      <c r="A260" s="52" t="s">
        <v>1581</v>
      </c>
      <c r="B260" s="52" t="s">
        <v>607</v>
      </c>
      <c r="C260" s="52" t="s">
        <v>607</v>
      </c>
      <c r="D260" s="65" t="s">
        <v>607</v>
      </c>
      <c r="E260" s="65" t="s">
        <v>607</v>
      </c>
      <c r="F260" s="65" t="s">
        <v>607</v>
      </c>
      <c r="G260" s="65" t="s">
        <v>607</v>
      </c>
      <c r="H260" s="52" t="s">
        <v>607</v>
      </c>
      <c r="I260" s="52" t="s">
        <v>607</v>
      </c>
      <c r="J260" s="52" t="s">
        <v>607</v>
      </c>
      <c r="K260" s="52" t="s">
        <v>607</v>
      </c>
      <c r="L260" s="52" t="s">
        <v>607</v>
      </c>
      <c r="M260" s="52" t="s">
        <v>607</v>
      </c>
      <c r="N260" s="52" t="s">
        <v>607</v>
      </c>
      <c r="O260" s="52"/>
      <c r="P260" s="52"/>
      <c r="Q260" s="52"/>
      <c r="R260" s="51" t="b">
        <v>0</v>
      </c>
      <c r="S260" s="51"/>
      <c r="T260" s="52"/>
      <c r="U260" s="51" t="b">
        <v>0</v>
      </c>
      <c r="V260" s="51" t="b">
        <v>0</v>
      </c>
      <c r="W260" s="51" t="b">
        <v>0</v>
      </c>
      <c r="X260" s="51" t="b">
        <v>0</v>
      </c>
      <c r="Y260" s="51" t="b">
        <v>0</v>
      </c>
      <c r="Z260" s="51" t="b">
        <v>0</v>
      </c>
      <c r="AA260" s="68"/>
      <c r="AB260" s="52"/>
      <c r="AC260" s="52"/>
      <c r="AD260" s="52"/>
      <c r="AE260" s="56" t="s">
        <v>607</v>
      </c>
      <c r="AF260" s="56" t="s">
        <v>607</v>
      </c>
    </row>
    <row r="261">
      <c r="A261" s="52" t="s">
        <v>1585</v>
      </c>
      <c r="B261" s="52" t="s">
        <v>344</v>
      </c>
      <c r="C261" s="52"/>
      <c r="D261" s="65"/>
      <c r="E261" s="65"/>
      <c r="F261" s="65"/>
      <c r="G261" s="65"/>
      <c r="H261" s="52"/>
      <c r="I261" s="52"/>
      <c r="J261" s="52"/>
      <c r="K261" s="52"/>
      <c r="L261" s="52"/>
      <c r="M261" s="52"/>
      <c r="N261" s="52" t="s">
        <v>70</v>
      </c>
      <c r="O261" s="52"/>
      <c r="P261" s="52"/>
      <c r="Q261" s="52"/>
      <c r="R261" s="51" t="b">
        <v>0</v>
      </c>
      <c r="S261" s="51"/>
      <c r="T261" s="52"/>
      <c r="U261" s="51" t="b">
        <v>0</v>
      </c>
      <c r="V261" s="51" t="b">
        <v>0</v>
      </c>
      <c r="W261" s="51" t="b">
        <v>0</v>
      </c>
      <c r="X261" s="51" t="b">
        <v>0</v>
      </c>
      <c r="Y261" s="51" t="b">
        <v>0</v>
      </c>
      <c r="Z261" s="51" t="b">
        <v>0</v>
      </c>
      <c r="AA261" s="68"/>
      <c r="AB261" s="52"/>
      <c r="AC261" s="52"/>
      <c r="AD261" s="52"/>
      <c r="AE261" s="56"/>
      <c r="AF261" s="56"/>
    </row>
    <row r="262">
      <c r="A262" s="52" t="s">
        <v>1586</v>
      </c>
      <c r="B262" s="52" t="s">
        <v>14</v>
      </c>
      <c r="C262" s="52" t="s">
        <v>289</v>
      </c>
      <c r="D262" s="65">
        <v>0.4166666666666667</v>
      </c>
      <c r="E262" s="65">
        <v>0.0010416666666666667</v>
      </c>
      <c r="F262" s="65">
        <v>0.41770833333333335</v>
      </c>
      <c r="G262" s="65"/>
      <c r="H262" s="52" t="s">
        <v>67</v>
      </c>
      <c r="I262" s="52" t="s">
        <v>68</v>
      </c>
      <c r="J262" s="52" t="s">
        <v>69</v>
      </c>
      <c r="K262" s="52"/>
      <c r="L262" s="52"/>
      <c r="M262" s="52"/>
      <c r="N262" s="52" t="s">
        <v>70</v>
      </c>
      <c r="O262" s="52"/>
      <c r="P262" s="52"/>
      <c r="Q262" s="52"/>
      <c r="R262" s="51" t="b">
        <v>0</v>
      </c>
      <c r="S262" s="51"/>
      <c r="T262" s="52"/>
      <c r="U262" s="51" t="b">
        <v>0</v>
      </c>
      <c r="V262" s="51" t="b">
        <v>0</v>
      </c>
      <c r="W262" s="51" t="b">
        <v>0</v>
      </c>
      <c r="X262" s="51" t="b">
        <v>0</v>
      </c>
      <c r="Y262" s="51" t="b">
        <v>0</v>
      </c>
      <c r="Z262" s="51" t="b">
        <v>0</v>
      </c>
      <c r="AA262" s="68"/>
      <c r="AB262" s="52"/>
      <c r="AC262" s="52"/>
      <c r="AD262" s="52"/>
      <c r="AE262" s="56"/>
      <c r="AF262" s="56" t="s">
        <v>600</v>
      </c>
    </row>
    <row r="263">
      <c r="A263" s="52" t="s">
        <v>1588</v>
      </c>
      <c r="B263" s="52" t="s">
        <v>14</v>
      </c>
      <c r="C263" s="52" t="s">
        <v>289</v>
      </c>
      <c r="D263" s="65">
        <v>0.41770833333333335</v>
      </c>
      <c r="E263" s="65">
        <v>6.944444444444445E-4</v>
      </c>
      <c r="F263" s="65">
        <v>0.4184027777777778</v>
      </c>
      <c r="G263" s="65"/>
      <c r="H263" s="52" t="s">
        <v>103</v>
      </c>
      <c r="I263" s="52" t="s">
        <v>345</v>
      </c>
      <c r="J263" s="52" t="s">
        <v>105</v>
      </c>
      <c r="K263" s="52"/>
      <c r="L263" s="52"/>
      <c r="M263" s="52"/>
      <c r="N263" s="52" t="s">
        <v>70</v>
      </c>
      <c r="O263" s="52"/>
      <c r="P263" s="52"/>
      <c r="Q263" s="52"/>
      <c r="R263" s="51" t="b">
        <v>0</v>
      </c>
      <c r="S263" s="51"/>
      <c r="T263" s="52"/>
      <c r="U263" s="51" t="b">
        <v>0</v>
      </c>
      <c r="V263" s="51" t="b">
        <v>0</v>
      </c>
      <c r="W263" s="51" t="b">
        <v>0</v>
      </c>
      <c r="X263" s="51" t="b">
        <v>0</v>
      </c>
      <c r="Y263" s="51" t="b">
        <v>0</v>
      </c>
      <c r="Z263" s="51" t="b">
        <v>0</v>
      </c>
      <c r="AA263" s="68"/>
      <c r="AB263" s="52"/>
      <c r="AC263" s="52"/>
      <c r="AD263" s="52"/>
      <c r="AE263" s="56"/>
      <c r="AF263" s="56"/>
    </row>
    <row r="264">
      <c r="A264" s="52" t="s">
        <v>1590</v>
      </c>
      <c r="B264" s="52" t="s">
        <v>14</v>
      </c>
      <c r="C264" s="52" t="s">
        <v>289</v>
      </c>
      <c r="D264" s="65">
        <v>0.4184027777777778</v>
      </c>
      <c r="E264" s="65">
        <v>2.314814814814815E-4</v>
      </c>
      <c r="F264" s="65">
        <v>0.4186342592592593</v>
      </c>
      <c r="G264" s="65"/>
      <c r="H264" s="52" t="s">
        <v>81</v>
      </c>
      <c r="I264" s="52" t="s">
        <v>81</v>
      </c>
      <c r="J264" s="52" t="s">
        <v>105</v>
      </c>
      <c r="K264" s="52"/>
      <c r="L264" s="52"/>
      <c r="M264" s="52"/>
      <c r="N264" s="52" t="s">
        <v>70</v>
      </c>
      <c r="O264" s="52"/>
      <c r="P264" s="52"/>
      <c r="Q264" s="52"/>
      <c r="R264" s="51" t="b">
        <v>0</v>
      </c>
      <c r="S264" s="51"/>
      <c r="T264" s="52"/>
      <c r="U264" s="51" t="b">
        <v>0</v>
      </c>
      <c r="V264" s="51" t="b">
        <v>0</v>
      </c>
      <c r="W264" s="51" t="b">
        <v>0</v>
      </c>
      <c r="X264" s="51" t="b">
        <v>0</v>
      </c>
      <c r="Y264" s="51" t="b">
        <v>0</v>
      </c>
      <c r="Z264" s="51" t="b">
        <v>0</v>
      </c>
      <c r="AA264" s="68"/>
      <c r="AB264" s="52"/>
      <c r="AC264" s="52"/>
      <c r="AD264" s="52"/>
      <c r="AE264" s="56"/>
      <c r="AF264" s="56"/>
    </row>
    <row r="265">
      <c r="A265" s="52" t="s">
        <v>1591</v>
      </c>
      <c r="B265" s="52" t="s">
        <v>14</v>
      </c>
      <c r="C265" s="52" t="s">
        <v>289</v>
      </c>
      <c r="D265" s="65">
        <v>0.4186342592592593</v>
      </c>
      <c r="E265" s="65">
        <v>0.009606481481481481</v>
      </c>
      <c r="F265" s="65">
        <v>0.42824074074074076</v>
      </c>
      <c r="G265" s="65"/>
      <c r="H265" s="52" t="s">
        <v>94</v>
      </c>
      <c r="I265" s="52" t="s">
        <v>346</v>
      </c>
      <c r="J265" s="52" t="s">
        <v>347</v>
      </c>
      <c r="K265" s="52"/>
      <c r="L265" s="52"/>
      <c r="M265" s="52"/>
      <c r="N265" s="52" t="s">
        <v>348</v>
      </c>
      <c r="O265" s="52"/>
      <c r="P265" s="69" t="s">
        <v>28</v>
      </c>
      <c r="Q265" s="70" t="s">
        <v>1592</v>
      </c>
      <c r="R265" s="51" t="b">
        <v>1</v>
      </c>
      <c r="S265" s="52" t="s">
        <v>1593</v>
      </c>
      <c r="T265" s="52"/>
      <c r="U265" s="51" t="b">
        <v>0</v>
      </c>
      <c r="V265" s="51" t="b">
        <v>1</v>
      </c>
      <c r="W265" s="51" t="b">
        <v>1</v>
      </c>
      <c r="X265" s="51" t="b">
        <v>1</v>
      </c>
      <c r="Y265" s="51" t="b">
        <v>0</v>
      </c>
      <c r="Z265" s="51" t="b">
        <v>0</v>
      </c>
      <c r="AA265" s="71">
        <v>0.009606481481481481</v>
      </c>
      <c r="AB265" s="69"/>
      <c r="AC265" s="72"/>
      <c r="AD265" s="73" t="s">
        <v>1594</v>
      </c>
      <c r="AE265" s="74" t="s">
        <v>629</v>
      </c>
      <c r="AF265" s="74" t="s">
        <v>1125</v>
      </c>
    </row>
    <row r="266">
      <c r="A266" s="52" t="s">
        <v>1595</v>
      </c>
      <c r="B266" s="52" t="s">
        <v>607</v>
      </c>
      <c r="C266" s="52" t="s">
        <v>607</v>
      </c>
      <c r="D266" s="65" t="s">
        <v>607</v>
      </c>
      <c r="E266" s="65" t="s">
        <v>607</v>
      </c>
      <c r="F266" s="65" t="s">
        <v>607</v>
      </c>
      <c r="G266" s="65" t="s">
        <v>607</v>
      </c>
      <c r="H266" s="52" t="s">
        <v>607</v>
      </c>
      <c r="I266" s="52" t="s">
        <v>607</v>
      </c>
      <c r="J266" s="52" t="s">
        <v>607</v>
      </c>
      <c r="K266" s="52" t="s">
        <v>607</v>
      </c>
      <c r="L266" s="52" t="s">
        <v>607</v>
      </c>
      <c r="M266" s="52" t="s">
        <v>607</v>
      </c>
      <c r="N266" s="52" t="s">
        <v>607</v>
      </c>
      <c r="O266" s="52"/>
      <c r="P266" s="52"/>
      <c r="Q266" s="52"/>
      <c r="R266" s="51" t="b">
        <v>0</v>
      </c>
      <c r="S266" s="51"/>
      <c r="T266" s="52"/>
      <c r="U266" s="51" t="b">
        <v>0</v>
      </c>
      <c r="V266" s="51" t="b">
        <v>0</v>
      </c>
      <c r="W266" s="51" t="b">
        <v>0</v>
      </c>
      <c r="X266" s="51" t="b">
        <v>0</v>
      </c>
      <c r="Y266" s="51" t="b">
        <v>0</v>
      </c>
      <c r="Z266" s="51" t="b">
        <v>0</v>
      </c>
      <c r="AA266" s="68"/>
      <c r="AB266" s="52"/>
      <c r="AC266" s="52"/>
      <c r="AD266" s="52"/>
      <c r="AE266" s="56" t="s">
        <v>607</v>
      </c>
      <c r="AF266" s="56" t="s">
        <v>607</v>
      </c>
    </row>
    <row r="267">
      <c r="A267" s="52" t="s">
        <v>1596</v>
      </c>
      <c r="B267" s="52" t="s">
        <v>14</v>
      </c>
      <c r="C267" s="52" t="s">
        <v>289</v>
      </c>
      <c r="D267" s="65">
        <v>0.42824074074074076</v>
      </c>
      <c r="E267" s="65">
        <v>2.314814814814815E-4</v>
      </c>
      <c r="F267" s="65">
        <v>0.42847222222222225</v>
      </c>
      <c r="G267" s="65"/>
      <c r="H267" s="52" t="s">
        <v>81</v>
      </c>
      <c r="I267" s="52" t="s">
        <v>349</v>
      </c>
      <c r="J267" s="52" t="s">
        <v>73</v>
      </c>
      <c r="K267" s="52" t="s">
        <v>105</v>
      </c>
      <c r="L267" s="52"/>
      <c r="M267" s="52"/>
      <c r="N267" s="52" t="s">
        <v>70</v>
      </c>
      <c r="O267" s="52"/>
      <c r="P267" s="52"/>
      <c r="Q267" s="52"/>
      <c r="R267" s="51" t="b">
        <v>0</v>
      </c>
      <c r="S267" s="51"/>
      <c r="T267" s="52"/>
      <c r="U267" s="51" t="b">
        <v>0</v>
      </c>
      <c r="V267" s="51" t="b">
        <v>0</v>
      </c>
      <c r="W267" s="51" t="b">
        <v>0</v>
      </c>
      <c r="X267" s="51" t="b">
        <v>0</v>
      </c>
      <c r="Y267" s="51" t="b">
        <v>0</v>
      </c>
      <c r="Z267" s="51" t="b">
        <v>0</v>
      </c>
      <c r="AA267" s="68"/>
      <c r="AB267" s="52"/>
      <c r="AC267" s="52"/>
      <c r="AD267" s="52"/>
      <c r="AE267" s="56"/>
      <c r="AF267" s="56"/>
    </row>
    <row r="268">
      <c r="A268" s="52" t="s">
        <v>1597</v>
      </c>
      <c r="B268" s="52" t="s">
        <v>14</v>
      </c>
      <c r="C268" s="52" t="s">
        <v>289</v>
      </c>
      <c r="D268" s="65">
        <v>0.42847222222222225</v>
      </c>
      <c r="E268" s="65">
        <v>0.0020833333333333333</v>
      </c>
      <c r="F268" s="65">
        <v>0.4305555555555556</v>
      </c>
      <c r="G268" s="65" t="s">
        <v>120</v>
      </c>
      <c r="H268" s="52" t="s">
        <v>83</v>
      </c>
      <c r="I268" s="52" t="s">
        <v>350</v>
      </c>
      <c r="J268" s="52"/>
      <c r="K268" s="52"/>
      <c r="L268" s="52"/>
      <c r="M268" s="52"/>
      <c r="N268" s="52" t="s">
        <v>70</v>
      </c>
      <c r="O268" s="52"/>
      <c r="P268" s="69" t="s">
        <v>23</v>
      </c>
      <c r="Q268" s="76" t="s">
        <v>1598</v>
      </c>
      <c r="R268" s="51" t="b">
        <v>1</v>
      </c>
      <c r="S268" s="84" t="s">
        <v>350</v>
      </c>
      <c r="T268" s="52"/>
      <c r="U268" s="51" t="b">
        <v>0</v>
      </c>
      <c r="V268" s="51" t="b">
        <v>0</v>
      </c>
      <c r="W268" s="51" t="b">
        <v>0</v>
      </c>
      <c r="X268" s="51" t="b">
        <v>0</v>
      </c>
      <c r="Y268" s="51" t="b">
        <v>1</v>
      </c>
      <c r="Z268" s="51" t="b">
        <v>0</v>
      </c>
      <c r="AA268" s="71">
        <v>0.0020833333333333333</v>
      </c>
      <c r="AB268" s="69" t="s">
        <v>314</v>
      </c>
      <c r="AC268" s="69"/>
      <c r="AD268" s="103"/>
      <c r="AE268" s="56" t="s">
        <v>314</v>
      </c>
      <c r="AF268" s="56"/>
    </row>
    <row r="269">
      <c r="A269" s="52" t="s">
        <v>1604</v>
      </c>
      <c r="B269" s="52" t="s">
        <v>607</v>
      </c>
      <c r="C269" s="52" t="s">
        <v>607</v>
      </c>
      <c r="D269" s="65" t="s">
        <v>607</v>
      </c>
      <c r="E269" s="65" t="s">
        <v>607</v>
      </c>
      <c r="F269" s="65" t="s">
        <v>607</v>
      </c>
      <c r="G269" s="65" t="s">
        <v>607</v>
      </c>
      <c r="H269" s="52" t="s">
        <v>607</v>
      </c>
      <c r="I269" s="52" t="s">
        <v>607</v>
      </c>
      <c r="J269" s="52" t="s">
        <v>607</v>
      </c>
      <c r="K269" s="52" t="s">
        <v>607</v>
      </c>
      <c r="L269" s="52" t="s">
        <v>607</v>
      </c>
      <c r="M269" s="52" t="s">
        <v>607</v>
      </c>
      <c r="N269" s="52" t="s">
        <v>607</v>
      </c>
      <c r="O269" s="52"/>
      <c r="P269" s="52"/>
      <c r="Q269" s="52"/>
      <c r="R269" s="51" t="b">
        <v>0</v>
      </c>
      <c r="S269" s="51"/>
      <c r="T269" s="52"/>
      <c r="U269" s="51" t="b">
        <v>0</v>
      </c>
      <c r="V269" s="51" t="b">
        <v>0</v>
      </c>
      <c r="W269" s="51" t="b">
        <v>0</v>
      </c>
      <c r="X269" s="51" t="b">
        <v>0</v>
      </c>
      <c r="Y269" s="51" t="b">
        <v>0</v>
      </c>
      <c r="Z269" s="51" t="b">
        <v>0</v>
      </c>
      <c r="AA269" s="68"/>
      <c r="AB269" s="52"/>
      <c r="AC269" s="52"/>
      <c r="AD269" s="52"/>
      <c r="AE269" s="56" t="s">
        <v>607</v>
      </c>
      <c r="AF269" s="56" t="s">
        <v>607</v>
      </c>
    </row>
    <row r="270">
      <c r="A270" s="52" t="s">
        <v>1606</v>
      </c>
      <c r="B270" s="52" t="s">
        <v>14</v>
      </c>
      <c r="C270" s="52" t="s">
        <v>289</v>
      </c>
      <c r="D270" s="65">
        <v>0.4307870370370371</v>
      </c>
      <c r="E270" s="65">
        <v>5.208333333333333E-4</v>
      </c>
      <c r="F270" s="65">
        <v>0.43130787037037044</v>
      </c>
      <c r="G270" s="65"/>
      <c r="H270" s="52" t="s">
        <v>126</v>
      </c>
      <c r="I270" s="52" t="s">
        <v>351</v>
      </c>
      <c r="J270" s="52" t="s">
        <v>90</v>
      </c>
      <c r="K270" s="52"/>
      <c r="L270" s="52"/>
      <c r="M270" s="52"/>
      <c r="N270" s="52" t="s">
        <v>70</v>
      </c>
      <c r="O270" s="52"/>
      <c r="P270" s="69" t="s">
        <v>25</v>
      </c>
      <c r="Q270" s="73" t="s">
        <v>1607</v>
      </c>
      <c r="R270" s="51" t="b">
        <v>1</v>
      </c>
      <c r="S270" s="110" t="s">
        <v>351</v>
      </c>
      <c r="T270" s="52"/>
      <c r="U270" s="51" t="b">
        <v>0</v>
      </c>
      <c r="V270" s="51" t="b">
        <v>1</v>
      </c>
      <c r="W270" s="51" t="b">
        <v>0</v>
      </c>
      <c r="X270" s="51" t="b">
        <v>0</v>
      </c>
      <c r="Y270" s="51" t="b">
        <v>1</v>
      </c>
      <c r="Z270" s="51" t="b">
        <v>0</v>
      </c>
      <c r="AA270" s="68"/>
      <c r="AB270" s="52"/>
      <c r="AC270" s="69" t="s">
        <v>1609</v>
      </c>
      <c r="AD270" s="80" t="s">
        <v>1610</v>
      </c>
      <c r="AE270" s="56"/>
      <c r="AF270" s="56" t="s">
        <v>600</v>
      </c>
    </row>
    <row r="271">
      <c r="A271" s="52" t="s">
        <v>1613</v>
      </c>
      <c r="B271" s="52" t="s">
        <v>14</v>
      </c>
      <c r="C271" s="52" t="s">
        <v>289</v>
      </c>
      <c r="D271" s="65">
        <v>0.43130787037037044</v>
      </c>
      <c r="E271" s="65">
        <v>3.4722222222222224E-4</v>
      </c>
      <c r="F271" s="65">
        <v>0.43165509259259266</v>
      </c>
      <c r="G271" s="65"/>
      <c r="H271" s="52" t="s">
        <v>89</v>
      </c>
      <c r="I271" s="52" t="s">
        <v>80</v>
      </c>
      <c r="J271" s="52" t="s">
        <v>69</v>
      </c>
      <c r="K271" s="52"/>
      <c r="L271" s="52"/>
      <c r="M271" s="52"/>
      <c r="N271" s="52" t="s">
        <v>70</v>
      </c>
      <c r="O271" s="52"/>
      <c r="P271" s="52"/>
      <c r="Q271" s="52"/>
      <c r="R271" s="51" t="b">
        <v>0</v>
      </c>
      <c r="S271" s="51"/>
      <c r="T271" s="52"/>
      <c r="U271" s="51" t="b">
        <v>0</v>
      </c>
      <c r="V271" s="51" t="b">
        <v>0</v>
      </c>
      <c r="W271" s="51" t="b">
        <v>0</v>
      </c>
      <c r="X271" s="51" t="b">
        <v>0</v>
      </c>
      <c r="Y271" s="51" t="b">
        <v>0</v>
      </c>
      <c r="Z271" s="51" t="b">
        <v>0</v>
      </c>
      <c r="AA271" s="68"/>
      <c r="AB271" s="52"/>
      <c r="AC271" s="52"/>
      <c r="AD271" s="52"/>
      <c r="AE271" s="56"/>
      <c r="AF271" s="56"/>
    </row>
    <row r="272">
      <c r="A272" s="52" t="s">
        <v>1616</v>
      </c>
      <c r="B272" s="52" t="s">
        <v>785</v>
      </c>
      <c r="C272" s="52" t="s">
        <v>289</v>
      </c>
      <c r="D272" s="65">
        <v>0.6269560185185185</v>
      </c>
      <c r="E272" s="65">
        <v>3.4722222222222224E-4</v>
      </c>
      <c r="F272" s="65">
        <v>0.6273032407407407</v>
      </c>
      <c r="G272" s="65" t="s">
        <v>314</v>
      </c>
      <c r="H272" s="52" t="s">
        <v>81</v>
      </c>
      <c r="I272" s="52" t="s">
        <v>81</v>
      </c>
      <c r="J272" s="52" t="s">
        <v>92</v>
      </c>
      <c r="K272" s="52"/>
      <c r="L272" s="52"/>
      <c r="M272" s="52"/>
      <c r="N272" s="52" t="s">
        <v>70</v>
      </c>
      <c r="O272" s="52"/>
      <c r="P272" s="52"/>
      <c r="Q272" s="52"/>
      <c r="R272" s="51" t="b">
        <v>0</v>
      </c>
      <c r="S272" s="51"/>
      <c r="T272" s="52"/>
      <c r="U272" s="51" t="b">
        <v>0</v>
      </c>
      <c r="V272" s="51" t="b">
        <v>0</v>
      </c>
      <c r="W272" s="51" t="b">
        <v>0</v>
      </c>
      <c r="X272" s="51" t="b">
        <v>0</v>
      </c>
      <c r="Y272" s="51" t="b">
        <v>0</v>
      </c>
      <c r="Z272" s="51" t="b">
        <v>0</v>
      </c>
      <c r="AA272" s="68"/>
      <c r="AB272" s="52"/>
      <c r="AC272" s="52"/>
      <c r="AD272" s="52"/>
      <c r="AE272" s="56"/>
      <c r="AF272" s="56"/>
    </row>
    <row r="273">
      <c r="A273" s="52" t="s">
        <v>1617</v>
      </c>
      <c r="B273" s="52" t="s">
        <v>785</v>
      </c>
      <c r="C273" s="52" t="s">
        <v>289</v>
      </c>
      <c r="D273" s="65">
        <v>0.6273032407407407</v>
      </c>
      <c r="E273" s="65">
        <v>0.01423611111111111</v>
      </c>
      <c r="F273" s="65">
        <v>0.6415393518518518</v>
      </c>
      <c r="G273" s="65" t="s">
        <v>658</v>
      </c>
      <c r="H273" s="52" t="s">
        <v>74</v>
      </c>
      <c r="I273" s="52" t="s">
        <v>1618</v>
      </c>
      <c r="J273" s="52" t="s">
        <v>1619</v>
      </c>
      <c r="K273" s="52" t="s">
        <v>1620</v>
      </c>
      <c r="L273" s="52" t="s">
        <v>1621</v>
      </c>
      <c r="M273" s="52" t="s">
        <v>1622</v>
      </c>
      <c r="N273" s="52" t="s">
        <v>1623</v>
      </c>
      <c r="O273" s="69" t="s">
        <v>1624</v>
      </c>
      <c r="P273" s="69" t="s">
        <v>17</v>
      </c>
      <c r="Q273" s="70" t="s">
        <v>1626</v>
      </c>
      <c r="R273" s="51" t="b">
        <v>1</v>
      </c>
      <c r="S273" s="98" t="s">
        <v>1627</v>
      </c>
      <c r="T273" s="52"/>
      <c r="U273" s="51" t="b">
        <v>0</v>
      </c>
      <c r="V273" s="51" t="b">
        <v>1</v>
      </c>
      <c r="W273" s="51" t="b">
        <v>1</v>
      </c>
      <c r="X273" s="51" t="b">
        <v>1</v>
      </c>
      <c r="Y273" s="51" t="b">
        <v>0</v>
      </c>
      <c r="Z273" s="51" t="b">
        <v>0</v>
      </c>
      <c r="AA273" s="71">
        <v>0.014155092592592592</v>
      </c>
      <c r="AB273" s="69" t="s">
        <v>1628</v>
      </c>
      <c r="AC273" s="75"/>
      <c r="AD273" s="111" t="s">
        <v>1629</v>
      </c>
      <c r="AE273" s="74" t="s">
        <v>629</v>
      </c>
      <c r="AF273" s="74" t="s">
        <v>1631</v>
      </c>
    </row>
    <row r="274">
      <c r="A274" s="52" t="s">
        <v>1632</v>
      </c>
      <c r="B274" s="52" t="s">
        <v>785</v>
      </c>
      <c r="C274" s="52" t="s">
        <v>289</v>
      </c>
      <c r="D274" s="65">
        <v>0.6415393518518518</v>
      </c>
      <c r="E274" s="65">
        <v>1.7361111111111112E-4</v>
      </c>
      <c r="F274" s="65">
        <v>0.641712962962963</v>
      </c>
      <c r="G274" s="65" t="s">
        <v>314</v>
      </c>
      <c r="H274" s="52" t="s">
        <v>85</v>
      </c>
      <c r="I274" s="52" t="s">
        <v>85</v>
      </c>
      <c r="J274" s="52" t="s">
        <v>128</v>
      </c>
      <c r="K274" s="52"/>
      <c r="L274" s="52"/>
      <c r="M274" s="52"/>
      <c r="N274" s="52" t="s">
        <v>70</v>
      </c>
      <c r="O274" s="52"/>
      <c r="P274" s="52"/>
      <c r="Q274" s="52"/>
      <c r="R274" s="51" t="b">
        <v>0</v>
      </c>
      <c r="S274" s="51"/>
      <c r="T274" s="52"/>
      <c r="U274" s="51" t="b">
        <v>0</v>
      </c>
      <c r="V274" s="51" t="b">
        <v>0</v>
      </c>
      <c r="W274" s="51" t="b">
        <v>0</v>
      </c>
      <c r="X274" s="51" t="b">
        <v>0</v>
      </c>
      <c r="Y274" s="51" t="b">
        <v>0</v>
      </c>
      <c r="Z274" s="51" t="b">
        <v>0</v>
      </c>
      <c r="AA274" s="68"/>
      <c r="AB274" s="52"/>
      <c r="AC274" s="52"/>
      <c r="AD274" s="52"/>
      <c r="AE274" s="56"/>
      <c r="AF274" s="56"/>
    </row>
    <row r="275">
      <c r="A275" s="52" t="s">
        <v>1633</v>
      </c>
      <c r="B275" s="52" t="s">
        <v>14</v>
      </c>
      <c r="C275" s="52" t="s">
        <v>289</v>
      </c>
      <c r="D275" s="65">
        <v>0.4416087962962964</v>
      </c>
      <c r="E275" s="65">
        <v>6.712962962962962E-4</v>
      </c>
      <c r="F275" s="65">
        <v>0.4422800925925927</v>
      </c>
      <c r="G275" s="65"/>
      <c r="H275" s="52" t="s">
        <v>126</v>
      </c>
      <c r="I275" s="52" t="s">
        <v>355</v>
      </c>
      <c r="J275" s="52" t="s">
        <v>90</v>
      </c>
      <c r="K275" s="52"/>
      <c r="L275" s="52"/>
      <c r="M275" s="52"/>
      <c r="N275" s="52" t="s">
        <v>70</v>
      </c>
      <c r="O275" s="52"/>
      <c r="P275" s="69" t="s">
        <v>25</v>
      </c>
      <c r="Q275" s="73" t="s">
        <v>1635</v>
      </c>
      <c r="R275" s="51" t="b">
        <v>1</v>
      </c>
      <c r="S275" s="110" t="s">
        <v>355</v>
      </c>
      <c r="T275" s="52"/>
      <c r="U275" s="51" t="b">
        <v>0</v>
      </c>
      <c r="V275" s="51" t="b">
        <v>1</v>
      </c>
      <c r="W275" s="51" t="b">
        <v>0</v>
      </c>
      <c r="X275" s="51" t="b">
        <v>0</v>
      </c>
      <c r="Y275" s="51" t="b">
        <v>1</v>
      </c>
      <c r="Z275" s="51" t="b">
        <v>0</v>
      </c>
      <c r="AA275" s="68"/>
      <c r="AB275" s="52"/>
      <c r="AC275" s="69" t="s">
        <v>1636</v>
      </c>
      <c r="AD275" s="80" t="s">
        <v>1635</v>
      </c>
      <c r="AE275" s="56"/>
      <c r="AF275" s="56"/>
    </row>
    <row r="276">
      <c r="A276" s="52" t="s">
        <v>1637</v>
      </c>
      <c r="B276" s="52" t="s">
        <v>14</v>
      </c>
      <c r="C276" s="52" t="s">
        <v>221</v>
      </c>
      <c r="D276" s="65">
        <v>0.4481481481481483</v>
      </c>
      <c r="E276" s="65">
        <v>2.314814814814815E-4</v>
      </c>
      <c r="F276" s="65">
        <v>0.4483796296296298</v>
      </c>
      <c r="G276" s="65"/>
      <c r="H276" s="52" t="s">
        <v>81</v>
      </c>
      <c r="I276" s="52" t="s">
        <v>81</v>
      </c>
      <c r="J276" s="52" t="s">
        <v>73</v>
      </c>
      <c r="K276" s="52" t="s">
        <v>128</v>
      </c>
      <c r="L276" s="52"/>
      <c r="M276" s="52"/>
      <c r="N276" s="52" t="s">
        <v>70</v>
      </c>
      <c r="O276" s="52"/>
      <c r="P276" s="52"/>
      <c r="Q276" s="52"/>
      <c r="R276" s="51" t="b">
        <v>0</v>
      </c>
      <c r="S276" s="51"/>
      <c r="T276" s="52"/>
      <c r="U276" s="51" t="b">
        <v>0</v>
      </c>
      <c r="V276" s="51" t="b">
        <v>0</v>
      </c>
      <c r="W276" s="51" t="b">
        <v>0</v>
      </c>
      <c r="X276" s="51" t="b">
        <v>0</v>
      </c>
      <c r="Y276" s="51" t="b">
        <v>0</v>
      </c>
      <c r="Z276" s="51" t="b">
        <v>0</v>
      </c>
      <c r="AA276" s="68"/>
      <c r="AB276" s="52"/>
      <c r="AC276" s="52"/>
      <c r="AD276" s="52"/>
      <c r="AE276" s="56"/>
      <c r="AF276" s="56"/>
    </row>
    <row r="277">
      <c r="A277" s="52" t="s">
        <v>1641</v>
      </c>
      <c r="B277" s="52" t="s">
        <v>14</v>
      </c>
      <c r="C277" s="52" t="s">
        <v>221</v>
      </c>
      <c r="D277" s="65">
        <v>0.4483796296296298</v>
      </c>
      <c r="E277" s="65">
        <v>0.010416666666666666</v>
      </c>
      <c r="F277" s="65">
        <v>0.4587962962962965</v>
      </c>
      <c r="G277" s="65"/>
      <c r="H277" s="52" t="s">
        <v>94</v>
      </c>
      <c r="I277" s="52" t="s">
        <v>235</v>
      </c>
      <c r="J277" s="52" t="s">
        <v>236</v>
      </c>
      <c r="K277" s="52"/>
      <c r="L277" s="52"/>
      <c r="M277" s="52"/>
      <c r="N277" s="52" t="s">
        <v>237</v>
      </c>
      <c r="O277" s="52"/>
      <c r="P277" s="69" t="s">
        <v>23</v>
      </c>
      <c r="Q277" s="70" t="s">
        <v>1642</v>
      </c>
      <c r="R277" s="51" t="b">
        <v>1</v>
      </c>
      <c r="S277" s="52" t="s">
        <v>235</v>
      </c>
      <c r="T277" s="52"/>
      <c r="U277" s="51" t="b">
        <v>0</v>
      </c>
      <c r="V277" s="51" t="b">
        <v>1</v>
      </c>
      <c r="W277" s="51" t="b">
        <v>0</v>
      </c>
      <c r="X277" s="51" t="b">
        <v>0</v>
      </c>
      <c r="Y277" s="51" t="b">
        <v>1</v>
      </c>
      <c r="Z277" s="51" t="b">
        <v>0</v>
      </c>
      <c r="AA277" s="108">
        <v>0.010393518518518519</v>
      </c>
      <c r="AB277" s="112" t="s">
        <v>1645</v>
      </c>
      <c r="AC277" s="113"/>
      <c r="AD277" s="76" t="s">
        <v>1650</v>
      </c>
      <c r="AE277" s="74" t="s">
        <v>629</v>
      </c>
      <c r="AF277" s="74" t="s">
        <v>1076</v>
      </c>
    </row>
    <row r="278">
      <c r="A278" s="52" t="s">
        <v>1651</v>
      </c>
      <c r="B278" s="52" t="s">
        <v>607</v>
      </c>
      <c r="C278" s="52" t="s">
        <v>607</v>
      </c>
      <c r="D278" s="65" t="s">
        <v>607</v>
      </c>
      <c r="E278" s="65" t="s">
        <v>607</v>
      </c>
      <c r="F278" s="65" t="s">
        <v>607</v>
      </c>
      <c r="G278" s="65" t="s">
        <v>607</v>
      </c>
      <c r="H278" s="52" t="s">
        <v>607</v>
      </c>
      <c r="I278" s="52" t="s">
        <v>607</v>
      </c>
      <c r="J278" s="52" t="s">
        <v>607</v>
      </c>
      <c r="K278" s="52" t="s">
        <v>607</v>
      </c>
      <c r="L278" s="52" t="s">
        <v>607</v>
      </c>
      <c r="M278" s="52" t="s">
        <v>607</v>
      </c>
      <c r="N278" s="52" t="s">
        <v>607</v>
      </c>
      <c r="O278" s="52"/>
      <c r="P278" s="52"/>
      <c r="Q278" s="52"/>
      <c r="R278" s="51" t="b">
        <v>0</v>
      </c>
      <c r="S278" s="51"/>
      <c r="T278" s="52"/>
      <c r="U278" s="51" t="b">
        <v>0</v>
      </c>
      <c r="V278" s="51" t="b">
        <v>0</v>
      </c>
      <c r="W278" s="51" t="b">
        <v>0</v>
      </c>
      <c r="X278" s="51" t="b">
        <v>0</v>
      </c>
      <c r="Y278" s="51" t="b">
        <v>0</v>
      </c>
      <c r="Z278" s="51" t="b">
        <v>0</v>
      </c>
      <c r="AA278" s="68"/>
      <c r="AB278" s="52"/>
      <c r="AC278" s="52"/>
      <c r="AD278" s="52"/>
      <c r="AE278" s="56" t="s">
        <v>607</v>
      </c>
      <c r="AF278" s="56" t="s">
        <v>607</v>
      </c>
    </row>
    <row r="279">
      <c r="A279" s="52" t="s">
        <v>1657</v>
      </c>
      <c r="B279" s="52" t="s">
        <v>607</v>
      </c>
      <c r="C279" s="52" t="s">
        <v>607</v>
      </c>
      <c r="D279" s="65" t="s">
        <v>607</v>
      </c>
      <c r="E279" s="65" t="s">
        <v>607</v>
      </c>
      <c r="F279" s="65" t="s">
        <v>607</v>
      </c>
      <c r="G279" s="65" t="s">
        <v>607</v>
      </c>
      <c r="H279" s="52" t="s">
        <v>607</v>
      </c>
      <c r="I279" s="52" t="s">
        <v>607</v>
      </c>
      <c r="J279" s="52" t="s">
        <v>607</v>
      </c>
      <c r="K279" s="52" t="s">
        <v>607</v>
      </c>
      <c r="L279" s="52" t="s">
        <v>607</v>
      </c>
      <c r="M279" s="52" t="s">
        <v>607</v>
      </c>
      <c r="N279" s="52" t="s">
        <v>607</v>
      </c>
      <c r="O279" s="52"/>
      <c r="P279" s="52"/>
      <c r="Q279" s="52"/>
      <c r="R279" s="51" t="b">
        <v>0</v>
      </c>
      <c r="S279" s="51"/>
      <c r="T279" s="52"/>
      <c r="U279" s="51" t="b">
        <v>0</v>
      </c>
      <c r="V279" s="51" t="b">
        <v>0</v>
      </c>
      <c r="W279" s="51" t="b">
        <v>0</v>
      </c>
      <c r="X279" s="51" t="b">
        <v>0</v>
      </c>
      <c r="Y279" s="51" t="b">
        <v>0</v>
      </c>
      <c r="Z279" s="51" t="b">
        <v>0</v>
      </c>
      <c r="AA279" s="68"/>
      <c r="AB279" s="52"/>
      <c r="AC279" s="52"/>
      <c r="AD279" s="52"/>
      <c r="AE279" s="56" t="s">
        <v>607</v>
      </c>
      <c r="AF279" s="56" t="s">
        <v>607</v>
      </c>
    </row>
    <row r="280">
      <c r="A280" s="52" t="s">
        <v>1658</v>
      </c>
      <c r="B280" s="52" t="s">
        <v>607</v>
      </c>
      <c r="C280" s="52" t="s">
        <v>607</v>
      </c>
      <c r="D280" s="65" t="s">
        <v>607</v>
      </c>
      <c r="E280" s="65" t="s">
        <v>607</v>
      </c>
      <c r="F280" s="65" t="s">
        <v>607</v>
      </c>
      <c r="G280" s="65" t="s">
        <v>607</v>
      </c>
      <c r="H280" s="52" t="s">
        <v>607</v>
      </c>
      <c r="I280" s="52" t="s">
        <v>607</v>
      </c>
      <c r="J280" s="52" t="s">
        <v>607</v>
      </c>
      <c r="K280" s="52" t="s">
        <v>607</v>
      </c>
      <c r="L280" s="52" t="s">
        <v>607</v>
      </c>
      <c r="M280" s="52" t="s">
        <v>607</v>
      </c>
      <c r="N280" s="52" t="s">
        <v>607</v>
      </c>
      <c r="O280" s="52"/>
      <c r="P280" s="52"/>
      <c r="Q280" s="52"/>
      <c r="R280" s="51" t="b">
        <v>0</v>
      </c>
      <c r="S280" s="51"/>
      <c r="T280" s="52"/>
      <c r="U280" s="51" t="b">
        <v>0</v>
      </c>
      <c r="V280" s="51" t="b">
        <v>0</v>
      </c>
      <c r="W280" s="51" t="b">
        <v>0</v>
      </c>
      <c r="X280" s="51" t="b">
        <v>0</v>
      </c>
      <c r="Y280" s="51" t="b">
        <v>0</v>
      </c>
      <c r="Z280" s="51" t="b">
        <v>0</v>
      </c>
      <c r="AA280" s="68"/>
      <c r="AB280" s="52"/>
      <c r="AC280" s="52"/>
      <c r="AD280" s="52"/>
      <c r="AE280" s="56" t="s">
        <v>607</v>
      </c>
      <c r="AF280" s="56" t="s">
        <v>607</v>
      </c>
    </row>
    <row r="281">
      <c r="A281" s="52" t="s">
        <v>1659</v>
      </c>
      <c r="B281" s="52" t="s">
        <v>785</v>
      </c>
      <c r="C281" s="52" t="s">
        <v>289</v>
      </c>
      <c r="D281" s="65">
        <v>0.6705324074074077</v>
      </c>
      <c r="E281" s="65">
        <v>3.4722222222222224E-4</v>
      </c>
      <c r="F281" s="65">
        <v>0.67087962962963</v>
      </c>
      <c r="G281" s="65" t="s">
        <v>314</v>
      </c>
      <c r="H281" s="52" t="s">
        <v>81</v>
      </c>
      <c r="I281" s="52" t="s">
        <v>81</v>
      </c>
      <c r="J281" s="52" t="s">
        <v>128</v>
      </c>
      <c r="K281" s="52"/>
      <c r="L281" s="52"/>
      <c r="M281" s="52"/>
      <c r="N281" s="52" t="s">
        <v>70</v>
      </c>
      <c r="O281" s="52"/>
      <c r="P281" s="52"/>
      <c r="Q281" s="52"/>
      <c r="R281" s="51" t="b">
        <v>0</v>
      </c>
      <c r="S281" s="51"/>
      <c r="T281" s="52"/>
      <c r="U281" s="51" t="b">
        <v>0</v>
      </c>
      <c r="V281" s="51" t="b">
        <v>0</v>
      </c>
      <c r="W281" s="51" t="b">
        <v>0</v>
      </c>
      <c r="X281" s="51" t="b">
        <v>0</v>
      </c>
      <c r="Y281" s="51" t="b">
        <v>0</v>
      </c>
      <c r="Z281" s="51" t="b">
        <v>0</v>
      </c>
      <c r="AA281" s="68"/>
      <c r="AB281" s="52"/>
      <c r="AC281" s="52"/>
      <c r="AD281" s="52"/>
      <c r="AE281" s="56"/>
      <c r="AF281" s="56"/>
    </row>
    <row r="282">
      <c r="A282" s="52" t="s">
        <v>1660</v>
      </c>
      <c r="B282" s="52" t="s">
        <v>785</v>
      </c>
      <c r="C282" s="52" t="s">
        <v>289</v>
      </c>
      <c r="D282" s="65">
        <v>0.67087962962963</v>
      </c>
      <c r="E282" s="65">
        <v>0.008055555555555555</v>
      </c>
      <c r="F282" s="65">
        <v>0.6789351851851856</v>
      </c>
      <c r="G282" s="65" t="s">
        <v>1040</v>
      </c>
      <c r="H282" s="52" t="s">
        <v>107</v>
      </c>
      <c r="I282" s="52" t="s">
        <v>1661</v>
      </c>
      <c r="J282" s="52" t="s">
        <v>1662</v>
      </c>
      <c r="K282" s="52" t="s">
        <v>1663</v>
      </c>
      <c r="L282" s="52"/>
      <c r="M282" s="52"/>
      <c r="N282" s="52" t="s">
        <v>1664</v>
      </c>
      <c r="O282" s="69" t="s">
        <v>734</v>
      </c>
      <c r="P282" s="69" t="s">
        <v>30</v>
      </c>
      <c r="Q282" s="70" t="s">
        <v>1665</v>
      </c>
      <c r="R282" s="51" t="b">
        <v>1</v>
      </c>
      <c r="S282" s="52" t="s">
        <v>1666</v>
      </c>
      <c r="T282" s="52"/>
      <c r="U282" s="51" t="b">
        <v>0</v>
      </c>
      <c r="V282" s="51" t="b">
        <v>1</v>
      </c>
      <c r="W282" s="51" t="b">
        <v>1</v>
      </c>
      <c r="X282" s="51" t="b">
        <v>1</v>
      </c>
      <c r="Y282" s="51" t="b">
        <v>0</v>
      </c>
      <c r="Z282" s="51" t="b">
        <v>0</v>
      </c>
      <c r="AA282" s="71">
        <v>0.008055555555555555</v>
      </c>
      <c r="AB282" s="104" t="s">
        <v>1668</v>
      </c>
      <c r="AC282" s="105"/>
      <c r="AD282" s="73" t="s">
        <v>1669</v>
      </c>
      <c r="AE282" s="74" t="s">
        <v>629</v>
      </c>
      <c r="AF282" s="74" t="s">
        <v>803</v>
      </c>
    </row>
    <row r="283">
      <c r="A283" s="52" t="s">
        <v>1670</v>
      </c>
      <c r="B283" s="52" t="s">
        <v>785</v>
      </c>
      <c r="C283" s="52" t="s">
        <v>289</v>
      </c>
      <c r="D283" s="65">
        <v>0.6789351851851856</v>
      </c>
      <c r="E283" s="65">
        <v>1.7361111111111112E-4</v>
      </c>
      <c r="F283" s="65">
        <v>0.6791087962962967</v>
      </c>
      <c r="G283" s="65" t="s">
        <v>314</v>
      </c>
      <c r="H283" s="52" t="s">
        <v>85</v>
      </c>
      <c r="I283" s="52" t="s">
        <v>85</v>
      </c>
      <c r="J283" s="52" t="s">
        <v>128</v>
      </c>
      <c r="K283" s="52"/>
      <c r="L283" s="52"/>
      <c r="M283" s="52"/>
      <c r="N283" s="52" t="s">
        <v>70</v>
      </c>
      <c r="O283" s="52"/>
      <c r="P283" s="52"/>
      <c r="Q283" s="52"/>
      <c r="R283" s="51" t="b">
        <v>0</v>
      </c>
      <c r="S283" s="51"/>
      <c r="T283" s="52"/>
      <c r="U283" s="51" t="b">
        <v>0</v>
      </c>
      <c r="V283" s="51" t="b">
        <v>0</v>
      </c>
      <c r="W283" s="51" t="b">
        <v>0</v>
      </c>
      <c r="X283" s="51" t="b">
        <v>0</v>
      </c>
      <c r="Y283" s="51" t="b">
        <v>0</v>
      </c>
      <c r="Z283" s="51" t="b">
        <v>0</v>
      </c>
      <c r="AA283" s="68"/>
      <c r="AB283" s="52"/>
      <c r="AC283" s="52"/>
      <c r="AD283" s="52"/>
      <c r="AE283" s="56"/>
      <c r="AF283" s="56"/>
    </row>
    <row r="284">
      <c r="A284" s="52" t="s">
        <v>1676</v>
      </c>
      <c r="B284" s="52" t="s">
        <v>14</v>
      </c>
      <c r="C284" s="52" t="s">
        <v>289</v>
      </c>
      <c r="D284" s="65">
        <v>0.46832175925925945</v>
      </c>
      <c r="E284" s="65">
        <v>3.4722222222222224E-4</v>
      </c>
      <c r="F284" s="65">
        <v>0.4686689814814817</v>
      </c>
      <c r="G284" s="65"/>
      <c r="H284" s="52"/>
      <c r="I284" s="52" t="s">
        <v>367</v>
      </c>
      <c r="J284" s="52" t="s">
        <v>128</v>
      </c>
      <c r="K284" s="52"/>
      <c r="L284" s="52"/>
      <c r="M284" s="52"/>
      <c r="N284" s="52" t="s">
        <v>70</v>
      </c>
      <c r="O284" s="52"/>
      <c r="P284" s="52"/>
      <c r="Q284" s="52"/>
      <c r="R284" s="51" t="b">
        <v>0</v>
      </c>
      <c r="S284" s="51"/>
      <c r="T284" s="52"/>
      <c r="U284" s="51" t="b">
        <v>0</v>
      </c>
      <c r="V284" s="51" t="b">
        <v>0</v>
      </c>
      <c r="W284" s="51" t="b">
        <v>0</v>
      </c>
      <c r="X284" s="51" t="b">
        <v>0</v>
      </c>
      <c r="Y284" s="51" t="b">
        <v>0</v>
      </c>
      <c r="Z284" s="51" t="b">
        <v>0</v>
      </c>
      <c r="AA284" s="68"/>
      <c r="AB284" s="52"/>
      <c r="AC284" s="52"/>
      <c r="AD284" s="52"/>
      <c r="AE284" s="56"/>
      <c r="AF284" s="56"/>
    </row>
    <row r="285">
      <c r="A285" s="52" t="s">
        <v>1683</v>
      </c>
      <c r="B285" s="52" t="s">
        <v>14</v>
      </c>
      <c r="C285" s="52" t="s">
        <v>289</v>
      </c>
      <c r="D285" s="65">
        <v>0.4686689814814817</v>
      </c>
      <c r="E285" s="65">
        <v>0.0020833333333333333</v>
      </c>
      <c r="F285" s="65">
        <v>0.470752314814815</v>
      </c>
      <c r="G285" s="65" t="s">
        <v>368</v>
      </c>
      <c r="H285" s="52" t="s">
        <v>83</v>
      </c>
      <c r="I285" s="52" t="s">
        <v>369</v>
      </c>
      <c r="J285" s="52"/>
      <c r="K285" s="52"/>
      <c r="L285" s="52"/>
      <c r="M285" s="52"/>
      <c r="N285" s="52" t="s">
        <v>70</v>
      </c>
      <c r="O285" s="52"/>
      <c r="P285" s="52"/>
      <c r="Q285" s="52"/>
      <c r="R285" s="51" t="b">
        <v>0</v>
      </c>
      <c r="S285" s="51"/>
      <c r="T285" s="52"/>
      <c r="U285" s="51" t="b">
        <v>0</v>
      </c>
      <c r="V285" s="51" t="b">
        <v>0</v>
      </c>
      <c r="W285" s="51" t="b">
        <v>0</v>
      </c>
      <c r="X285" s="51" t="b">
        <v>0</v>
      </c>
      <c r="Y285" s="51" t="b">
        <v>0</v>
      </c>
      <c r="Z285" s="51" t="b">
        <v>0</v>
      </c>
      <c r="AA285" s="68"/>
      <c r="AB285" s="52"/>
      <c r="AC285" s="52"/>
      <c r="AD285" s="52"/>
      <c r="AE285" s="56" t="s">
        <v>314</v>
      </c>
      <c r="AF285" s="56" t="s">
        <v>1185</v>
      </c>
    </row>
    <row r="286">
      <c r="A286" s="52" t="s">
        <v>1687</v>
      </c>
      <c r="B286" s="52" t="s">
        <v>607</v>
      </c>
      <c r="C286" s="52" t="s">
        <v>607</v>
      </c>
      <c r="D286" s="65" t="s">
        <v>607</v>
      </c>
      <c r="E286" s="65" t="s">
        <v>607</v>
      </c>
      <c r="F286" s="65" t="s">
        <v>607</v>
      </c>
      <c r="G286" s="65" t="s">
        <v>607</v>
      </c>
      <c r="H286" s="52" t="s">
        <v>607</v>
      </c>
      <c r="I286" s="52" t="s">
        <v>607</v>
      </c>
      <c r="J286" s="52" t="s">
        <v>607</v>
      </c>
      <c r="K286" s="52" t="s">
        <v>607</v>
      </c>
      <c r="L286" s="52" t="s">
        <v>607</v>
      </c>
      <c r="M286" s="52" t="s">
        <v>607</v>
      </c>
      <c r="N286" s="52" t="s">
        <v>607</v>
      </c>
      <c r="O286" s="52"/>
      <c r="P286" s="52"/>
      <c r="Q286" s="52"/>
      <c r="R286" s="51" t="b">
        <v>0</v>
      </c>
      <c r="S286" s="51"/>
      <c r="T286" s="52"/>
      <c r="U286" s="51" t="b">
        <v>0</v>
      </c>
      <c r="V286" s="51" t="b">
        <v>0</v>
      </c>
      <c r="W286" s="51" t="b">
        <v>0</v>
      </c>
      <c r="X286" s="51" t="b">
        <v>0</v>
      </c>
      <c r="Y286" s="51" t="b">
        <v>0</v>
      </c>
      <c r="Z286" s="51" t="b">
        <v>0</v>
      </c>
      <c r="AA286" s="68"/>
      <c r="AB286" s="52"/>
      <c r="AC286" s="52"/>
      <c r="AD286" s="52"/>
      <c r="AE286" s="56" t="s">
        <v>607</v>
      </c>
      <c r="AF286" s="56" t="s">
        <v>607</v>
      </c>
    </row>
    <row r="287">
      <c r="A287" s="52" t="s">
        <v>1692</v>
      </c>
      <c r="B287" s="52" t="s">
        <v>14</v>
      </c>
      <c r="C287" s="52" t="s">
        <v>289</v>
      </c>
      <c r="D287" s="65">
        <v>0.4709837962962965</v>
      </c>
      <c r="E287" s="65">
        <v>5.208333333333333E-4</v>
      </c>
      <c r="F287" s="65">
        <v>0.47150462962962986</v>
      </c>
      <c r="G287" s="65"/>
      <c r="H287" s="52" t="s">
        <v>79</v>
      </c>
      <c r="I287" s="52" t="s">
        <v>370</v>
      </c>
      <c r="J287" s="52" t="s">
        <v>69</v>
      </c>
      <c r="K287" s="52"/>
      <c r="L287" s="52"/>
      <c r="M287" s="52"/>
      <c r="N287" s="52" t="s">
        <v>70</v>
      </c>
      <c r="O287" s="52"/>
      <c r="P287" s="52"/>
      <c r="Q287" s="52"/>
      <c r="R287" s="51" t="b">
        <v>0</v>
      </c>
      <c r="S287" s="51"/>
      <c r="T287" s="52"/>
      <c r="U287" s="51" t="b">
        <v>0</v>
      </c>
      <c r="V287" s="51" t="b">
        <v>0</v>
      </c>
      <c r="W287" s="51" t="b">
        <v>0</v>
      </c>
      <c r="X287" s="51" t="b">
        <v>0</v>
      </c>
      <c r="Y287" s="51" t="b">
        <v>0</v>
      </c>
      <c r="Z287" s="51" t="b">
        <v>0</v>
      </c>
      <c r="AA287" s="68"/>
      <c r="AB287" s="52"/>
      <c r="AC287" s="52"/>
      <c r="AD287" s="52"/>
      <c r="AE287" s="56"/>
      <c r="AF287" s="56"/>
    </row>
    <row r="288">
      <c r="A288" s="52" t="s">
        <v>1701</v>
      </c>
      <c r="B288" s="52" t="s">
        <v>14</v>
      </c>
      <c r="C288" s="52" t="s">
        <v>289</v>
      </c>
      <c r="D288" s="65">
        <v>0.45929398148148165</v>
      </c>
      <c r="E288" s="65">
        <v>2.314814814814815E-4</v>
      </c>
      <c r="F288" s="65">
        <v>0.45952546296296315</v>
      </c>
      <c r="G288" s="65"/>
      <c r="H288" s="52" t="s">
        <v>81</v>
      </c>
      <c r="I288" s="52" t="s">
        <v>81</v>
      </c>
      <c r="J288" s="52" t="s">
        <v>128</v>
      </c>
      <c r="K288" s="52" t="s">
        <v>128</v>
      </c>
      <c r="L288" s="52"/>
      <c r="M288" s="52"/>
      <c r="N288" s="52" t="s">
        <v>70</v>
      </c>
      <c r="O288" s="52"/>
      <c r="P288" s="52"/>
      <c r="Q288" s="52"/>
      <c r="R288" s="51" t="b">
        <v>0</v>
      </c>
      <c r="S288" s="51"/>
      <c r="T288" s="52"/>
      <c r="U288" s="51" t="b">
        <v>0</v>
      </c>
      <c r="V288" s="51" t="b">
        <v>0</v>
      </c>
      <c r="W288" s="51" t="b">
        <v>0</v>
      </c>
      <c r="X288" s="51" t="b">
        <v>0</v>
      </c>
      <c r="Y288" s="51" t="b">
        <v>0</v>
      </c>
      <c r="Z288" s="51" t="b">
        <v>0</v>
      </c>
      <c r="AA288" s="68"/>
      <c r="AB288" s="52"/>
      <c r="AC288" s="52"/>
      <c r="AD288" s="52"/>
      <c r="AE288" s="56"/>
      <c r="AF288" s="56"/>
    </row>
    <row r="289">
      <c r="A289" s="52" t="s">
        <v>1712</v>
      </c>
      <c r="B289" s="52" t="s">
        <v>14</v>
      </c>
      <c r="C289" s="52" t="s">
        <v>289</v>
      </c>
      <c r="D289" s="65">
        <v>0.45952546296296315</v>
      </c>
      <c r="E289" s="65">
        <v>0.008796296296296297</v>
      </c>
      <c r="F289" s="65">
        <v>0.46832175925925945</v>
      </c>
      <c r="G289" s="65" t="s">
        <v>140</v>
      </c>
      <c r="H289" s="52" t="s">
        <v>107</v>
      </c>
      <c r="I289" s="52" t="s">
        <v>363</v>
      </c>
      <c r="J289" s="52" t="s">
        <v>364</v>
      </c>
      <c r="K289" s="52" t="s">
        <v>365</v>
      </c>
      <c r="L289" s="52"/>
      <c r="M289" s="52"/>
      <c r="N289" s="52" t="s">
        <v>366</v>
      </c>
      <c r="O289" s="69" t="s">
        <v>734</v>
      </c>
      <c r="P289" s="69" t="s">
        <v>30</v>
      </c>
      <c r="Q289" s="73" t="s">
        <v>1716</v>
      </c>
      <c r="R289" s="51" t="b">
        <v>1</v>
      </c>
      <c r="S289" s="52" t="s">
        <v>363</v>
      </c>
      <c r="T289" s="52"/>
      <c r="U289" s="51" t="b">
        <v>0</v>
      </c>
      <c r="V289" s="51" t="b">
        <v>1</v>
      </c>
      <c r="W289" s="51" t="b">
        <v>1</v>
      </c>
      <c r="X289" s="51" t="b">
        <v>1</v>
      </c>
      <c r="Y289" s="51" t="b">
        <v>0</v>
      </c>
      <c r="Z289" s="51" t="b">
        <v>0</v>
      </c>
      <c r="AA289" s="114">
        <v>0.008796296296296297</v>
      </c>
      <c r="AB289" s="100" t="s">
        <v>1726</v>
      </c>
      <c r="AC289" s="105"/>
      <c r="AD289" s="76" t="s">
        <v>1730</v>
      </c>
      <c r="AE289" s="56" t="s">
        <v>629</v>
      </c>
      <c r="AF289" s="56" t="s">
        <v>972</v>
      </c>
    </row>
    <row r="290">
      <c r="A290" s="52" t="s">
        <v>1739</v>
      </c>
      <c r="B290" s="52" t="s">
        <v>607</v>
      </c>
      <c r="C290" s="52" t="s">
        <v>607</v>
      </c>
      <c r="D290" s="65" t="s">
        <v>607</v>
      </c>
      <c r="E290" s="65" t="s">
        <v>607</v>
      </c>
      <c r="F290" s="65" t="s">
        <v>607</v>
      </c>
      <c r="G290" s="65" t="s">
        <v>607</v>
      </c>
      <c r="H290" s="52" t="s">
        <v>607</v>
      </c>
      <c r="I290" s="52" t="s">
        <v>607</v>
      </c>
      <c r="J290" s="52" t="s">
        <v>607</v>
      </c>
      <c r="K290" s="52" t="s">
        <v>607</v>
      </c>
      <c r="L290" s="52" t="s">
        <v>607</v>
      </c>
      <c r="M290" s="52" t="s">
        <v>607</v>
      </c>
      <c r="N290" s="52" t="s">
        <v>607</v>
      </c>
      <c r="O290" s="52"/>
      <c r="P290" s="52"/>
      <c r="Q290" s="52"/>
      <c r="R290" s="51" t="b">
        <v>0</v>
      </c>
      <c r="S290" s="51"/>
      <c r="T290" s="52"/>
      <c r="U290" s="51" t="b">
        <v>0</v>
      </c>
      <c r="V290" s="51" t="b">
        <v>0</v>
      </c>
      <c r="W290" s="51" t="b">
        <v>0</v>
      </c>
      <c r="X290" s="51" t="b">
        <v>0</v>
      </c>
      <c r="Y290" s="51" t="b">
        <v>0</v>
      </c>
      <c r="Z290" s="51" t="b">
        <v>0</v>
      </c>
      <c r="AA290" s="68"/>
      <c r="AB290" s="52"/>
      <c r="AC290" s="52"/>
      <c r="AD290" s="52"/>
      <c r="AE290" s="56" t="s">
        <v>607</v>
      </c>
      <c r="AF290" s="56" t="s">
        <v>607</v>
      </c>
    </row>
    <row r="291">
      <c r="A291" s="52" t="s">
        <v>1744</v>
      </c>
      <c r="B291" s="52" t="s">
        <v>14</v>
      </c>
      <c r="C291" s="52" t="s">
        <v>289</v>
      </c>
      <c r="D291" s="65">
        <v>0.458252314814815</v>
      </c>
      <c r="E291" s="65">
        <v>6.944444444444445E-4</v>
      </c>
      <c r="F291" s="65">
        <v>0.45894675925925943</v>
      </c>
      <c r="G291" s="65"/>
      <c r="H291" s="52" t="s">
        <v>103</v>
      </c>
      <c r="I291" s="52" t="s">
        <v>362</v>
      </c>
      <c r="J291" s="52" t="s">
        <v>128</v>
      </c>
      <c r="K291" s="52"/>
      <c r="L291" s="52"/>
      <c r="M291" s="52"/>
      <c r="N291" s="52" t="s">
        <v>70</v>
      </c>
      <c r="O291" s="52"/>
      <c r="P291" s="52"/>
      <c r="Q291" s="52"/>
      <c r="R291" s="51" t="b">
        <v>0</v>
      </c>
      <c r="S291" s="51"/>
      <c r="T291" s="52"/>
      <c r="U291" s="51" t="b">
        <v>0</v>
      </c>
      <c r="V291" s="51" t="b">
        <v>0</v>
      </c>
      <c r="W291" s="51" t="b">
        <v>0</v>
      </c>
      <c r="X291" s="51" t="b">
        <v>0</v>
      </c>
      <c r="Y291" s="51" t="b">
        <v>0</v>
      </c>
      <c r="Z291" s="51" t="b">
        <v>0</v>
      </c>
      <c r="AA291" s="68"/>
      <c r="AB291" s="52"/>
      <c r="AC291" s="52"/>
      <c r="AD291" s="52"/>
      <c r="AE291" s="56"/>
      <c r="AF291" s="56"/>
    </row>
    <row r="292">
      <c r="A292" s="52" t="s">
        <v>1752</v>
      </c>
      <c r="B292" s="52" t="s">
        <v>14</v>
      </c>
      <c r="C292" s="52" t="s">
        <v>289</v>
      </c>
      <c r="D292" s="65">
        <v>0.47150462962962986</v>
      </c>
      <c r="E292" s="65">
        <v>2.314814814814815E-4</v>
      </c>
      <c r="F292" s="65">
        <v>0.47173611111111136</v>
      </c>
      <c r="G292" s="65"/>
      <c r="H292" s="52" t="s">
        <v>81</v>
      </c>
      <c r="I292" s="52" t="s">
        <v>91</v>
      </c>
      <c r="J292" s="52" t="s">
        <v>128</v>
      </c>
      <c r="K292" s="52"/>
      <c r="L292" s="52"/>
      <c r="M292" s="52"/>
      <c r="N292" s="52" t="s">
        <v>70</v>
      </c>
      <c r="O292" s="52"/>
      <c r="P292" s="52"/>
      <c r="Q292" s="52"/>
      <c r="R292" s="51" t="b">
        <v>0</v>
      </c>
      <c r="S292" s="51"/>
      <c r="T292" s="52"/>
      <c r="U292" s="51" t="b">
        <v>0</v>
      </c>
      <c r="V292" s="51" t="b">
        <v>0</v>
      </c>
      <c r="W292" s="51" t="b">
        <v>0</v>
      </c>
      <c r="X292" s="51" t="b">
        <v>0</v>
      </c>
      <c r="Y292" s="51" t="b">
        <v>0</v>
      </c>
      <c r="Z292" s="51" t="b">
        <v>0</v>
      </c>
      <c r="AA292" s="68"/>
      <c r="AB292" s="52"/>
      <c r="AC292" s="52"/>
      <c r="AD292" s="52"/>
      <c r="AE292" s="56"/>
      <c r="AF292" s="56"/>
    </row>
    <row r="293">
      <c r="A293" s="52" t="s">
        <v>1753</v>
      </c>
      <c r="B293" s="52" t="s">
        <v>607</v>
      </c>
      <c r="C293" s="52" t="s">
        <v>607</v>
      </c>
      <c r="D293" s="65" t="s">
        <v>607</v>
      </c>
      <c r="E293" s="65" t="s">
        <v>607</v>
      </c>
      <c r="F293" s="65" t="s">
        <v>607</v>
      </c>
      <c r="G293" s="65" t="s">
        <v>607</v>
      </c>
      <c r="H293" s="52" t="s">
        <v>607</v>
      </c>
      <c r="I293" s="52" t="s">
        <v>607</v>
      </c>
      <c r="J293" s="52" t="s">
        <v>607</v>
      </c>
      <c r="K293" s="52" t="s">
        <v>607</v>
      </c>
      <c r="L293" s="52" t="s">
        <v>607</v>
      </c>
      <c r="M293" s="52" t="s">
        <v>607</v>
      </c>
      <c r="N293" s="52" t="s">
        <v>607</v>
      </c>
      <c r="O293" s="52"/>
      <c r="P293" s="52"/>
      <c r="Q293" s="52"/>
      <c r="R293" s="51" t="b">
        <v>0</v>
      </c>
      <c r="S293" s="51"/>
      <c r="T293" s="52"/>
      <c r="U293" s="51" t="b">
        <v>0</v>
      </c>
      <c r="V293" s="51" t="b">
        <v>0</v>
      </c>
      <c r="W293" s="51" t="b">
        <v>0</v>
      </c>
      <c r="X293" s="51" t="b">
        <v>0</v>
      </c>
      <c r="Y293" s="51" t="b">
        <v>0</v>
      </c>
      <c r="Z293" s="51" t="b">
        <v>0</v>
      </c>
      <c r="AA293" s="68"/>
      <c r="AB293" s="52"/>
      <c r="AC293" s="52"/>
      <c r="AD293" s="52"/>
      <c r="AE293" s="56" t="s">
        <v>607</v>
      </c>
      <c r="AF293" s="56" t="s">
        <v>607</v>
      </c>
    </row>
    <row r="294">
      <c r="A294" s="52" t="s">
        <v>1754</v>
      </c>
      <c r="B294" s="52" t="s">
        <v>607</v>
      </c>
      <c r="C294" s="52" t="s">
        <v>607</v>
      </c>
      <c r="D294" s="65" t="s">
        <v>607</v>
      </c>
      <c r="E294" s="65" t="s">
        <v>607</v>
      </c>
      <c r="F294" s="65" t="s">
        <v>607</v>
      </c>
      <c r="G294" s="65" t="s">
        <v>607</v>
      </c>
      <c r="H294" s="52" t="s">
        <v>607</v>
      </c>
      <c r="I294" s="52" t="s">
        <v>607</v>
      </c>
      <c r="J294" s="52" t="s">
        <v>607</v>
      </c>
      <c r="K294" s="52" t="s">
        <v>607</v>
      </c>
      <c r="L294" s="52" t="s">
        <v>607</v>
      </c>
      <c r="M294" s="52" t="s">
        <v>607</v>
      </c>
      <c r="N294" s="52" t="s">
        <v>607</v>
      </c>
      <c r="O294" s="52"/>
      <c r="P294" s="52"/>
      <c r="Q294" s="52"/>
      <c r="R294" s="51" t="b">
        <v>0</v>
      </c>
      <c r="S294" s="51"/>
      <c r="T294" s="52"/>
      <c r="U294" s="51" t="b">
        <v>0</v>
      </c>
      <c r="V294" s="51" t="b">
        <v>0</v>
      </c>
      <c r="W294" s="51" t="b">
        <v>0</v>
      </c>
      <c r="X294" s="51" t="b">
        <v>0</v>
      </c>
      <c r="Y294" s="51" t="b">
        <v>0</v>
      </c>
      <c r="Z294" s="51" t="b">
        <v>0</v>
      </c>
      <c r="AA294" s="68"/>
      <c r="AB294" s="52"/>
      <c r="AC294" s="52"/>
      <c r="AD294" s="52"/>
      <c r="AE294" s="56" t="s">
        <v>607</v>
      </c>
      <c r="AF294" s="56" t="s">
        <v>607</v>
      </c>
    </row>
    <row r="295">
      <c r="A295" s="52" t="s">
        <v>1757</v>
      </c>
      <c r="B295" s="52" t="s">
        <v>14</v>
      </c>
      <c r="C295" s="52" t="s">
        <v>221</v>
      </c>
      <c r="D295" s="65">
        <v>0.6646874999999995</v>
      </c>
      <c r="E295" s="65">
        <v>0.0020833333333333333</v>
      </c>
      <c r="F295" s="65">
        <v>0.6667708333333329</v>
      </c>
      <c r="G295" s="65"/>
      <c r="H295" s="52" t="s">
        <v>83</v>
      </c>
      <c r="I295" s="52" t="s">
        <v>323</v>
      </c>
      <c r="J295" s="52"/>
      <c r="K295" s="52"/>
      <c r="L295" s="52"/>
      <c r="M295" s="52"/>
      <c r="N295" s="52" t="s">
        <v>70</v>
      </c>
      <c r="O295" s="52"/>
      <c r="P295" s="52"/>
      <c r="Q295" s="52"/>
      <c r="R295" s="51" t="b">
        <v>0</v>
      </c>
      <c r="S295" s="51"/>
      <c r="T295" s="52"/>
      <c r="U295" s="51" t="b">
        <v>0</v>
      </c>
      <c r="V295" s="51" t="b">
        <v>0</v>
      </c>
      <c r="W295" s="51" t="b">
        <v>0</v>
      </c>
      <c r="X295" s="51" t="b">
        <v>0</v>
      </c>
      <c r="Y295" s="51" t="b">
        <v>0</v>
      </c>
      <c r="Z295" s="51" t="b">
        <v>0</v>
      </c>
      <c r="AA295" s="68"/>
      <c r="AB295" s="52"/>
      <c r="AC295" s="52"/>
      <c r="AD295" s="52"/>
      <c r="AE295" s="56"/>
      <c r="AF295" s="56"/>
    </row>
    <row r="296">
      <c r="A296" s="52" t="s">
        <v>1760</v>
      </c>
      <c r="B296" s="52" t="s">
        <v>14</v>
      </c>
      <c r="C296" s="52" t="s">
        <v>289</v>
      </c>
      <c r="D296" s="65">
        <v>0.6913541666666659</v>
      </c>
      <c r="E296" s="65">
        <v>2.314814814814815E-4</v>
      </c>
      <c r="F296" s="65">
        <v>0.6915856481481474</v>
      </c>
      <c r="G296" s="65"/>
      <c r="H296" s="52" t="s">
        <v>81</v>
      </c>
      <c r="I296" s="52" t="s">
        <v>91</v>
      </c>
      <c r="J296" s="52" t="s">
        <v>73</v>
      </c>
      <c r="K296" s="52" t="s">
        <v>105</v>
      </c>
      <c r="L296" s="52"/>
      <c r="M296" s="52"/>
      <c r="N296" s="52" t="s">
        <v>70</v>
      </c>
      <c r="O296" s="52"/>
      <c r="P296" s="52"/>
      <c r="Q296" s="52"/>
      <c r="R296" s="51" t="b">
        <v>0</v>
      </c>
      <c r="S296" s="51"/>
      <c r="T296" s="52"/>
      <c r="U296" s="51" t="b">
        <v>0</v>
      </c>
      <c r="V296" s="51" t="b">
        <v>0</v>
      </c>
      <c r="W296" s="51" t="b">
        <v>0</v>
      </c>
      <c r="X296" s="51" t="b">
        <v>0</v>
      </c>
      <c r="Y296" s="51" t="b">
        <v>0</v>
      </c>
      <c r="Z296" s="51" t="b">
        <v>0</v>
      </c>
      <c r="AA296" s="68"/>
      <c r="AB296" s="52"/>
      <c r="AC296" s="52"/>
      <c r="AD296" s="52"/>
      <c r="AE296" s="56"/>
      <c r="AF296" s="56"/>
    </row>
    <row r="297">
      <c r="A297" s="52" t="s">
        <v>1761</v>
      </c>
      <c r="B297" s="52" t="s">
        <v>14</v>
      </c>
      <c r="C297" s="52" t="s">
        <v>289</v>
      </c>
      <c r="D297" s="65">
        <v>0.6915856481481474</v>
      </c>
      <c r="E297" s="65">
        <v>0.010416666666666666</v>
      </c>
      <c r="F297" s="65">
        <v>0.702002314814814</v>
      </c>
      <c r="G297" s="65"/>
      <c r="H297" s="52" t="s">
        <v>107</v>
      </c>
      <c r="I297" s="52" t="s">
        <v>333</v>
      </c>
      <c r="J297" s="52" t="s">
        <v>334</v>
      </c>
      <c r="K297" s="52" t="s">
        <v>335</v>
      </c>
      <c r="L297" s="52"/>
      <c r="M297" s="52"/>
      <c r="N297" s="52" t="s">
        <v>336</v>
      </c>
      <c r="O297" s="69" t="s">
        <v>734</v>
      </c>
      <c r="P297" s="69" t="s">
        <v>17</v>
      </c>
      <c r="Q297" s="73" t="s">
        <v>1762</v>
      </c>
      <c r="R297" s="51" t="b">
        <v>1</v>
      </c>
      <c r="S297" s="52" t="s">
        <v>333</v>
      </c>
      <c r="T297" s="52"/>
      <c r="U297" s="51" t="b">
        <v>0</v>
      </c>
      <c r="V297" s="51" t="b">
        <v>1</v>
      </c>
      <c r="W297" s="51" t="b">
        <v>1</v>
      </c>
      <c r="X297" s="51" t="b">
        <v>1</v>
      </c>
      <c r="Y297" s="51" t="b">
        <v>1</v>
      </c>
      <c r="Z297" s="51" t="b">
        <v>0</v>
      </c>
      <c r="AA297" s="71">
        <v>0.010497685185185185</v>
      </c>
      <c r="AB297" s="69" t="s">
        <v>1764</v>
      </c>
      <c r="AC297" s="72"/>
      <c r="AD297" s="73" t="s">
        <v>1765</v>
      </c>
      <c r="AE297" s="56" t="s">
        <v>629</v>
      </c>
      <c r="AF297" s="56" t="s">
        <v>1362</v>
      </c>
    </row>
    <row r="298">
      <c r="A298" s="52" t="s">
        <v>1766</v>
      </c>
      <c r="B298" s="52" t="s">
        <v>607</v>
      </c>
      <c r="C298" s="52" t="s">
        <v>607</v>
      </c>
      <c r="D298" s="65" t="s">
        <v>607</v>
      </c>
      <c r="E298" s="65" t="s">
        <v>607</v>
      </c>
      <c r="F298" s="65" t="s">
        <v>607</v>
      </c>
      <c r="G298" s="65" t="s">
        <v>607</v>
      </c>
      <c r="H298" s="52" t="s">
        <v>607</v>
      </c>
      <c r="I298" s="52" t="s">
        <v>607</v>
      </c>
      <c r="J298" s="52" t="s">
        <v>607</v>
      </c>
      <c r="K298" s="52" t="s">
        <v>607</v>
      </c>
      <c r="L298" s="52" t="s">
        <v>607</v>
      </c>
      <c r="M298" s="52" t="s">
        <v>607</v>
      </c>
      <c r="N298" s="52" t="s">
        <v>607</v>
      </c>
      <c r="O298" s="52"/>
      <c r="P298" s="52"/>
      <c r="Q298" s="52"/>
      <c r="R298" s="51" t="b">
        <v>0</v>
      </c>
      <c r="S298" s="51"/>
      <c r="T298" s="52"/>
      <c r="U298" s="51" t="b">
        <v>0</v>
      </c>
      <c r="V298" s="51" t="b">
        <v>0</v>
      </c>
      <c r="W298" s="51" t="b">
        <v>0</v>
      </c>
      <c r="X298" s="51" t="b">
        <v>0</v>
      </c>
      <c r="Y298" s="51" t="b">
        <v>0</v>
      </c>
      <c r="Z298" s="51" t="b">
        <v>0</v>
      </c>
      <c r="AA298" s="68"/>
      <c r="AB298" s="52"/>
      <c r="AC298" s="52"/>
      <c r="AD298" s="52"/>
      <c r="AE298" s="56" t="s">
        <v>607</v>
      </c>
      <c r="AF298" s="56" t="s">
        <v>607</v>
      </c>
    </row>
    <row r="299">
      <c r="A299" s="52" t="s">
        <v>1767</v>
      </c>
      <c r="B299" s="52" t="s">
        <v>607</v>
      </c>
      <c r="C299" s="52" t="s">
        <v>607</v>
      </c>
      <c r="D299" s="65" t="s">
        <v>607</v>
      </c>
      <c r="E299" s="65" t="s">
        <v>607</v>
      </c>
      <c r="F299" s="65" t="s">
        <v>607</v>
      </c>
      <c r="G299" s="65" t="s">
        <v>607</v>
      </c>
      <c r="H299" s="52" t="s">
        <v>607</v>
      </c>
      <c r="I299" s="52" t="s">
        <v>607</v>
      </c>
      <c r="J299" s="52" t="s">
        <v>607</v>
      </c>
      <c r="K299" s="52" t="s">
        <v>607</v>
      </c>
      <c r="L299" s="52" t="s">
        <v>607</v>
      </c>
      <c r="M299" s="52" t="s">
        <v>607</v>
      </c>
      <c r="N299" s="52" t="s">
        <v>607</v>
      </c>
      <c r="O299" s="52"/>
      <c r="P299" s="52"/>
      <c r="Q299" s="52"/>
      <c r="R299" s="51" t="b">
        <v>0</v>
      </c>
      <c r="S299" s="51"/>
      <c r="T299" s="52"/>
      <c r="U299" s="51" t="b">
        <v>0</v>
      </c>
      <c r="V299" s="51" t="b">
        <v>0</v>
      </c>
      <c r="W299" s="51" t="b">
        <v>0</v>
      </c>
      <c r="X299" s="51" t="b">
        <v>0</v>
      </c>
      <c r="Y299" s="51" t="b">
        <v>0</v>
      </c>
      <c r="Z299" s="51" t="b">
        <v>0</v>
      </c>
      <c r="AA299" s="68"/>
      <c r="AB299" s="52"/>
      <c r="AC299" s="52"/>
      <c r="AD299" s="52"/>
      <c r="AE299" s="56" t="s">
        <v>607</v>
      </c>
      <c r="AF299" s="56" t="s">
        <v>607</v>
      </c>
    </row>
    <row r="300">
      <c r="A300" s="52" t="s">
        <v>1770</v>
      </c>
      <c r="B300" s="52" t="s">
        <v>14</v>
      </c>
      <c r="C300" s="52" t="s">
        <v>289</v>
      </c>
      <c r="D300" s="65">
        <v>0.49635416666666693</v>
      </c>
      <c r="E300" s="65">
        <v>0.0010416666666666667</v>
      </c>
      <c r="F300" s="65">
        <v>0.4973958333333336</v>
      </c>
      <c r="G300" s="65"/>
      <c r="H300" s="52" t="s">
        <v>67</v>
      </c>
      <c r="I300" s="52" t="s">
        <v>68</v>
      </c>
      <c r="J300" s="52" t="s">
        <v>69</v>
      </c>
      <c r="K300" s="52"/>
      <c r="L300" s="52"/>
      <c r="M300" s="52"/>
      <c r="N300" s="52" t="s">
        <v>70</v>
      </c>
      <c r="O300" s="52"/>
      <c r="P300" s="52"/>
      <c r="Q300" s="52"/>
      <c r="R300" s="51" t="b">
        <v>0</v>
      </c>
      <c r="S300" s="51"/>
      <c r="T300" s="52"/>
      <c r="U300" s="51" t="b">
        <v>0</v>
      </c>
      <c r="V300" s="51" t="b">
        <v>0</v>
      </c>
      <c r="W300" s="51" t="b">
        <v>0</v>
      </c>
      <c r="X300" s="51" t="b">
        <v>0</v>
      </c>
      <c r="Y300" s="51" t="b">
        <v>0</v>
      </c>
      <c r="Z300" s="51" t="b">
        <v>0</v>
      </c>
      <c r="AA300" s="68"/>
      <c r="AB300" s="52"/>
      <c r="AC300" s="52"/>
      <c r="AD300" s="52"/>
      <c r="AE300" s="56"/>
      <c r="AF300" s="56" t="s">
        <v>600</v>
      </c>
    </row>
    <row r="301">
      <c r="A301" s="52" t="s">
        <v>1776</v>
      </c>
      <c r="B301" s="52" t="s">
        <v>14</v>
      </c>
      <c r="C301" s="52" t="s">
        <v>289</v>
      </c>
      <c r="D301" s="65">
        <v>0.4973958333333336</v>
      </c>
      <c r="E301" s="65">
        <v>6.944444444444445E-4</v>
      </c>
      <c r="F301" s="65">
        <v>0.49809027777777803</v>
      </c>
      <c r="G301" s="65"/>
      <c r="H301" s="52" t="s">
        <v>103</v>
      </c>
      <c r="I301" s="52" t="s">
        <v>383</v>
      </c>
      <c r="J301" s="52" t="s">
        <v>92</v>
      </c>
      <c r="K301" s="52"/>
      <c r="L301" s="52"/>
      <c r="M301" s="52"/>
      <c r="N301" s="52" t="s">
        <v>70</v>
      </c>
      <c r="O301" s="52"/>
      <c r="P301" s="52"/>
      <c r="Q301" s="52"/>
      <c r="R301" s="51" t="b">
        <v>0</v>
      </c>
      <c r="S301" s="51"/>
      <c r="T301" s="52"/>
      <c r="U301" s="51" t="b">
        <v>0</v>
      </c>
      <c r="V301" s="51" t="b">
        <v>0</v>
      </c>
      <c r="W301" s="51" t="b">
        <v>0</v>
      </c>
      <c r="X301" s="51" t="b">
        <v>0</v>
      </c>
      <c r="Y301" s="51" t="b">
        <v>0</v>
      </c>
      <c r="Z301" s="51" t="b">
        <v>0</v>
      </c>
      <c r="AA301" s="68"/>
      <c r="AB301" s="52"/>
      <c r="AC301" s="52"/>
      <c r="AD301" s="52"/>
      <c r="AE301" s="56"/>
      <c r="AF301" s="56"/>
    </row>
    <row r="302">
      <c r="A302" s="52" t="s">
        <v>1777</v>
      </c>
      <c r="B302" s="52" t="s">
        <v>785</v>
      </c>
      <c r="C302" s="52" t="s">
        <v>66</v>
      </c>
      <c r="D302" s="65">
        <v>0.618449074074074</v>
      </c>
      <c r="E302" s="65">
        <v>0.008333333333333333</v>
      </c>
      <c r="F302" s="65">
        <v>0.6267824074074073</v>
      </c>
      <c r="G302" s="65"/>
      <c r="H302" s="52" t="s">
        <v>94</v>
      </c>
      <c r="I302" s="52" t="s">
        <v>1758</v>
      </c>
      <c r="J302" s="52" t="s">
        <v>1759</v>
      </c>
      <c r="K302" s="52"/>
      <c r="L302" s="52"/>
      <c r="M302" s="52"/>
      <c r="N302" s="52" t="s">
        <v>1071</v>
      </c>
      <c r="O302" s="52"/>
      <c r="P302" s="69" t="s">
        <v>23</v>
      </c>
      <c r="Q302" s="70" t="s">
        <v>1778</v>
      </c>
      <c r="R302" s="51" t="b">
        <v>1</v>
      </c>
      <c r="S302" s="52" t="s">
        <v>1643</v>
      </c>
      <c r="T302" s="52"/>
      <c r="U302" s="51" t="b">
        <v>0</v>
      </c>
      <c r="V302" s="51" t="b">
        <v>1</v>
      </c>
      <c r="W302" s="51" t="b">
        <v>1</v>
      </c>
      <c r="X302" s="51" t="b">
        <v>1</v>
      </c>
      <c r="Y302" s="51" t="b">
        <v>0</v>
      </c>
      <c r="Z302" s="51" t="b">
        <v>0</v>
      </c>
      <c r="AA302" s="108">
        <v>0.008333333333333333</v>
      </c>
      <c r="AB302" s="115">
        <v>0.5</v>
      </c>
      <c r="AC302" s="116"/>
      <c r="AD302" s="76" t="s">
        <v>1779</v>
      </c>
      <c r="AE302" s="74" t="s">
        <v>629</v>
      </c>
      <c r="AF302" s="74" t="s">
        <v>1185</v>
      </c>
    </row>
    <row r="303">
      <c r="A303" s="52" t="s">
        <v>1780</v>
      </c>
      <c r="B303" s="52" t="s">
        <v>607</v>
      </c>
      <c r="C303" s="52" t="s">
        <v>607</v>
      </c>
      <c r="D303" s="65" t="s">
        <v>607</v>
      </c>
      <c r="E303" s="65" t="s">
        <v>607</v>
      </c>
      <c r="F303" s="65" t="s">
        <v>607</v>
      </c>
      <c r="G303" s="65" t="s">
        <v>607</v>
      </c>
      <c r="H303" s="52" t="s">
        <v>607</v>
      </c>
      <c r="I303" s="52" t="s">
        <v>607</v>
      </c>
      <c r="J303" s="52" t="s">
        <v>607</v>
      </c>
      <c r="K303" s="52" t="s">
        <v>607</v>
      </c>
      <c r="L303" s="52" t="s">
        <v>607</v>
      </c>
      <c r="M303" s="52" t="s">
        <v>607</v>
      </c>
      <c r="N303" s="52" t="s">
        <v>607</v>
      </c>
      <c r="O303" s="52"/>
      <c r="P303" s="52"/>
      <c r="Q303" s="52"/>
      <c r="R303" s="51" t="b">
        <v>0</v>
      </c>
      <c r="S303" s="51"/>
      <c r="T303" s="52"/>
      <c r="U303" s="51" t="b">
        <v>0</v>
      </c>
      <c r="V303" s="51" t="b">
        <v>0</v>
      </c>
      <c r="W303" s="51" t="b">
        <v>0</v>
      </c>
      <c r="X303" s="51" t="b">
        <v>0</v>
      </c>
      <c r="Y303" s="51" t="b">
        <v>0</v>
      </c>
      <c r="Z303" s="51" t="b">
        <v>0</v>
      </c>
      <c r="AA303" s="68"/>
      <c r="AB303" s="52"/>
      <c r="AC303" s="52"/>
      <c r="AD303" s="52"/>
      <c r="AE303" s="56" t="s">
        <v>607</v>
      </c>
      <c r="AF303" s="56" t="s">
        <v>607</v>
      </c>
    </row>
    <row r="304">
      <c r="A304" s="52" t="s">
        <v>1783</v>
      </c>
      <c r="B304" s="52" t="s">
        <v>14</v>
      </c>
      <c r="C304" s="52" t="s">
        <v>289</v>
      </c>
      <c r="D304" s="65">
        <v>0.5101273148148151</v>
      </c>
      <c r="E304" s="65">
        <v>2.314814814814815E-4</v>
      </c>
      <c r="F304" s="65">
        <v>0.5103587962962965</v>
      </c>
      <c r="G304" s="65"/>
      <c r="H304" s="52" t="s">
        <v>81</v>
      </c>
      <c r="I304" s="52" t="s">
        <v>386</v>
      </c>
      <c r="J304" s="52" t="s">
        <v>92</v>
      </c>
      <c r="K304" s="52"/>
      <c r="L304" s="52"/>
      <c r="M304" s="52"/>
      <c r="N304" s="52" t="s">
        <v>70</v>
      </c>
      <c r="O304" s="52"/>
      <c r="P304" s="52"/>
      <c r="Q304" s="52"/>
      <c r="R304" s="51" t="b">
        <v>0</v>
      </c>
      <c r="S304" s="51"/>
      <c r="T304" s="52"/>
      <c r="U304" s="51" t="b">
        <v>0</v>
      </c>
      <c r="V304" s="51" t="b">
        <v>0</v>
      </c>
      <c r="W304" s="51" t="b">
        <v>0</v>
      </c>
      <c r="X304" s="51" t="b">
        <v>0</v>
      </c>
      <c r="Y304" s="51" t="b">
        <v>0</v>
      </c>
      <c r="Z304" s="51" t="b">
        <v>0</v>
      </c>
      <c r="AA304" s="68"/>
      <c r="AB304" s="52"/>
      <c r="AC304" s="52"/>
      <c r="AD304" s="52"/>
      <c r="AE304" s="56"/>
      <c r="AF304" s="56"/>
    </row>
    <row r="305">
      <c r="A305" s="52" t="s">
        <v>1784</v>
      </c>
      <c r="B305" s="52" t="s">
        <v>14</v>
      </c>
      <c r="C305" s="52" t="s">
        <v>289</v>
      </c>
      <c r="D305" s="65">
        <v>0.5103587962962965</v>
      </c>
      <c r="E305" s="65">
        <v>0.0020833333333333333</v>
      </c>
      <c r="F305" s="65">
        <v>0.5124421296296299</v>
      </c>
      <c r="G305" s="65" t="s">
        <v>151</v>
      </c>
      <c r="H305" s="52" t="s">
        <v>83</v>
      </c>
      <c r="I305" s="52" t="s">
        <v>387</v>
      </c>
      <c r="J305" s="52"/>
      <c r="K305" s="52"/>
      <c r="L305" s="52"/>
      <c r="M305" s="52"/>
      <c r="N305" s="52" t="s">
        <v>70</v>
      </c>
      <c r="O305" s="52"/>
      <c r="P305" s="69" t="s">
        <v>20</v>
      </c>
      <c r="Q305" s="80" t="s">
        <v>1787</v>
      </c>
      <c r="R305" s="51" t="b">
        <v>1</v>
      </c>
      <c r="S305" s="84" t="s">
        <v>387</v>
      </c>
      <c r="T305" s="52"/>
      <c r="U305" s="51" t="b">
        <v>0</v>
      </c>
      <c r="V305" s="51" t="b">
        <v>1</v>
      </c>
      <c r="W305" s="51" t="b">
        <v>1</v>
      </c>
      <c r="X305" s="51" t="b">
        <v>0</v>
      </c>
      <c r="Y305" s="51" t="b">
        <v>1</v>
      </c>
      <c r="Z305" s="51" t="b">
        <v>0</v>
      </c>
      <c r="AA305" s="71">
        <v>0.0020833333333333333</v>
      </c>
      <c r="AB305" s="52"/>
      <c r="AC305" s="52"/>
      <c r="AD305" s="73" t="s">
        <v>1788</v>
      </c>
      <c r="AE305" s="56" t="s">
        <v>314</v>
      </c>
      <c r="AF305" s="56"/>
    </row>
    <row r="306">
      <c r="A306" s="52" t="s">
        <v>1792</v>
      </c>
      <c r="B306" s="52" t="s">
        <v>607</v>
      </c>
      <c r="C306" s="52" t="s">
        <v>607</v>
      </c>
      <c r="D306" s="65" t="s">
        <v>607</v>
      </c>
      <c r="E306" s="65" t="s">
        <v>607</v>
      </c>
      <c r="F306" s="65" t="s">
        <v>607</v>
      </c>
      <c r="G306" s="65" t="s">
        <v>607</v>
      </c>
      <c r="H306" s="52" t="s">
        <v>607</v>
      </c>
      <c r="I306" s="52" t="s">
        <v>607</v>
      </c>
      <c r="J306" s="52" t="s">
        <v>607</v>
      </c>
      <c r="K306" s="52" t="s">
        <v>607</v>
      </c>
      <c r="L306" s="52" t="s">
        <v>607</v>
      </c>
      <c r="M306" s="52" t="s">
        <v>607</v>
      </c>
      <c r="N306" s="52" t="s">
        <v>607</v>
      </c>
      <c r="O306" s="52"/>
      <c r="P306" s="52"/>
      <c r="Q306" s="52"/>
      <c r="R306" s="51" t="b">
        <v>0</v>
      </c>
      <c r="S306" s="51"/>
      <c r="T306" s="52"/>
      <c r="U306" s="51" t="b">
        <v>0</v>
      </c>
      <c r="V306" s="51" t="b">
        <v>0</v>
      </c>
      <c r="W306" s="51" t="b">
        <v>0</v>
      </c>
      <c r="X306" s="51" t="b">
        <v>0</v>
      </c>
      <c r="Y306" s="51" t="b">
        <v>0</v>
      </c>
      <c r="Z306" s="51" t="b">
        <v>0</v>
      </c>
      <c r="AA306" s="68"/>
      <c r="AB306" s="52"/>
      <c r="AC306" s="52"/>
      <c r="AD306" s="52"/>
      <c r="AE306" s="56" t="s">
        <v>607</v>
      </c>
      <c r="AF306" s="56" t="s">
        <v>607</v>
      </c>
    </row>
    <row r="307">
      <c r="A307" s="52" t="s">
        <v>1793</v>
      </c>
      <c r="B307" s="52" t="s">
        <v>14</v>
      </c>
      <c r="C307" s="52" t="s">
        <v>289</v>
      </c>
      <c r="D307" s="65">
        <v>0.5126736111111113</v>
      </c>
      <c r="E307" s="65">
        <v>3.4722222222222224E-4</v>
      </c>
      <c r="F307" s="65">
        <v>0.5130208333333336</v>
      </c>
      <c r="G307" s="65"/>
      <c r="H307" s="52" t="s">
        <v>79</v>
      </c>
      <c r="I307" s="52" t="s">
        <v>388</v>
      </c>
      <c r="J307" s="52" t="s">
        <v>69</v>
      </c>
      <c r="K307" s="52"/>
      <c r="L307" s="52"/>
      <c r="M307" s="52"/>
      <c r="N307" s="52" t="s">
        <v>70</v>
      </c>
      <c r="O307" s="52"/>
      <c r="P307" s="52"/>
      <c r="Q307" s="52"/>
      <c r="R307" s="51" t="b">
        <v>0</v>
      </c>
      <c r="S307" s="51"/>
      <c r="T307" s="52"/>
      <c r="U307" s="51" t="b">
        <v>0</v>
      </c>
      <c r="V307" s="51" t="b">
        <v>0</v>
      </c>
      <c r="W307" s="51" t="b">
        <v>0</v>
      </c>
      <c r="X307" s="51" t="b">
        <v>0</v>
      </c>
      <c r="Y307" s="51" t="b">
        <v>0</v>
      </c>
      <c r="Z307" s="51" t="b">
        <v>0</v>
      </c>
      <c r="AA307" s="68"/>
      <c r="AB307" s="52"/>
      <c r="AC307" s="52"/>
      <c r="AD307" s="52"/>
      <c r="AE307" s="56"/>
      <c r="AF307" s="56"/>
    </row>
    <row r="308">
      <c r="A308" s="52" t="s">
        <v>1796</v>
      </c>
      <c r="B308" s="52" t="s">
        <v>14</v>
      </c>
      <c r="C308" s="52" t="s">
        <v>289</v>
      </c>
      <c r="D308" s="65">
        <v>0.4991319444444447</v>
      </c>
      <c r="E308" s="65">
        <v>2.314814814814815E-4</v>
      </c>
      <c r="F308" s="65">
        <v>0.4993634259259262</v>
      </c>
      <c r="G308" s="65"/>
      <c r="H308" s="52" t="s">
        <v>81</v>
      </c>
      <c r="I308" s="52" t="s">
        <v>81</v>
      </c>
      <c r="J308" s="52" t="s">
        <v>92</v>
      </c>
      <c r="K308" s="52"/>
      <c r="L308" s="52"/>
      <c r="M308" s="52"/>
      <c r="N308" s="52" t="s">
        <v>70</v>
      </c>
      <c r="O308" s="52"/>
      <c r="P308" s="52"/>
      <c r="Q308" s="52"/>
      <c r="R308" s="51" t="b">
        <v>0</v>
      </c>
      <c r="S308" s="51"/>
      <c r="T308" s="52"/>
      <c r="U308" s="51" t="b">
        <v>0</v>
      </c>
      <c r="V308" s="51" t="b">
        <v>0</v>
      </c>
      <c r="W308" s="51" t="b">
        <v>0</v>
      </c>
      <c r="X308" s="51" t="b">
        <v>0</v>
      </c>
      <c r="Y308" s="51" t="b">
        <v>0</v>
      </c>
      <c r="Z308" s="51" t="b">
        <v>0</v>
      </c>
      <c r="AA308" s="68"/>
      <c r="AB308" s="52"/>
      <c r="AC308" s="52"/>
      <c r="AD308" s="52"/>
      <c r="AE308" s="56"/>
      <c r="AF308" s="56"/>
    </row>
    <row r="309">
      <c r="A309" s="52" t="s">
        <v>1799</v>
      </c>
      <c r="B309" s="52" t="s">
        <v>14</v>
      </c>
      <c r="C309" s="52" t="s">
        <v>289</v>
      </c>
      <c r="D309" s="65">
        <v>0.4993634259259262</v>
      </c>
      <c r="E309" s="65">
        <v>0.010416666666666666</v>
      </c>
      <c r="F309" s="65">
        <v>0.5097800925925928</v>
      </c>
      <c r="G309" s="65"/>
      <c r="H309" s="52" t="s">
        <v>248</v>
      </c>
      <c r="I309" s="52" t="s">
        <v>385</v>
      </c>
      <c r="J309" s="52" t="s">
        <v>69</v>
      </c>
      <c r="K309" s="52"/>
      <c r="L309" s="52"/>
      <c r="M309" s="52"/>
      <c r="N309" s="52" t="s">
        <v>70</v>
      </c>
      <c r="O309" s="52"/>
      <c r="P309" s="52"/>
      <c r="Q309" s="52"/>
      <c r="R309" s="51" t="b">
        <v>0</v>
      </c>
      <c r="S309" s="51"/>
      <c r="T309" s="52"/>
      <c r="U309" s="51" t="b">
        <v>0</v>
      </c>
      <c r="V309" s="51" t="b">
        <v>0</v>
      </c>
      <c r="W309" s="51" t="b">
        <v>0</v>
      </c>
      <c r="X309" s="51" t="b">
        <v>0</v>
      </c>
      <c r="Y309" s="51" t="b">
        <v>0</v>
      </c>
      <c r="Z309" s="51" t="b">
        <v>0</v>
      </c>
      <c r="AA309" s="68"/>
      <c r="AB309" s="52"/>
      <c r="AC309" s="52"/>
      <c r="AD309" s="52"/>
      <c r="AE309" s="56"/>
      <c r="AF309" s="56" t="s">
        <v>1215</v>
      </c>
    </row>
    <row r="310">
      <c r="A310" s="52" t="s">
        <v>1802</v>
      </c>
      <c r="B310" s="52" t="s">
        <v>607</v>
      </c>
      <c r="C310" s="52" t="s">
        <v>607</v>
      </c>
      <c r="D310" s="65" t="s">
        <v>607</v>
      </c>
      <c r="E310" s="65" t="s">
        <v>607</v>
      </c>
      <c r="F310" s="65" t="s">
        <v>607</v>
      </c>
      <c r="G310" s="65" t="s">
        <v>607</v>
      </c>
      <c r="H310" s="52" t="s">
        <v>607</v>
      </c>
      <c r="I310" s="52" t="s">
        <v>607</v>
      </c>
      <c r="J310" s="52" t="s">
        <v>607</v>
      </c>
      <c r="K310" s="52" t="s">
        <v>607</v>
      </c>
      <c r="L310" s="52" t="s">
        <v>607</v>
      </c>
      <c r="M310" s="52" t="s">
        <v>607</v>
      </c>
      <c r="N310" s="52" t="s">
        <v>607</v>
      </c>
      <c r="O310" s="52"/>
      <c r="P310" s="52"/>
      <c r="Q310" s="52"/>
      <c r="R310" s="51" t="b">
        <v>0</v>
      </c>
      <c r="S310" s="51"/>
      <c r="T310" s="52"/>
      <c r="U310" s="51" t="b">
        <v>0</v>
      </c>
      <c r="V310" s="51" t="b">
        <v>0</v>
      </c>
      <c r="W310" s="51" t="b">
        <v>0</v>
      </c>
      <c r="X310" s="51" t="b">
        <v>0</v>
      </c>
      <c r="Y310" s="51" t="b">
        <v>0</v>
      </c>
      <c r="Z310" s="51" t="b">
        <v>0</v>
      </c>
      <c r="AA310" s="68"/>
      <c r="AB310" s="52"/>
      <c r="AC310" s="52"/>
      <c r="AD310" s="52"/>
      <c r="AE310" s="56" t="s">
        <v>607</v>
      </c>
      <c r="AF310" s="56" t="s">
        <v>607</v>
      </c>
    </row>
    <row r="311">
      <c r="A311" s="52" t="s">
        <v>1803</v>
      </c>
      <c r="B311" s="52" t="s">
        <v>14</v>
      </c>
      <c r="C311" s="52" t="s">
        <v>66</v>
      </c>
      <c r="D311" s="65">
        <v>0.6094675925925924</v>
      </c>
      <c r="E311" s="65">
        <v>0.0020833333333333333</v>
      </c>
      <c r="F311" s="65">
        <v>0.6115509259259257</v>
      </c>
      <c r="G311" s="65"/>
      <c r="H311" s="52" t="s">
        <v>83</v>
      </c>
      <c r="I311" s="52" t="s">
        <v>179</v>
      </c>
      <c r="J311" s="52"/>
      <c r="K311" s="52"/>
      <c r="L311" s="52"/>
      <c r="M311" s="52"/>
      <c r="N311" s="52" t="s">
        <v>70</v>
      </c>
      <c r="O311" s="52"/>
      <c r="P311" s="52"/>
      <c r="Q311" s="52"/>
      <c r="R311" s="51" t="b">
        <v>0</v>
      </c>
      <c r="S311" s="51"/>
      <c r="T311" s="52"/>
      <c r="U311" s="51" t="b">
        <v>0</v>
      </c>
      <c r="V311" s="51" t="b">
        <v>0</v>
      </c>
      <c r="W311" s="51" t="b">
        <v>0</v>
      </c>
      <c r="X311" s="51" t="b">
        <v>0</v>
      </c>
      <c r="Y311" s="51" t="b">
        <v>0</v>
      </c>
      <c r="Z311" s="51" t="b">
        <v>0</v>
      </c>
      <c r="AA311" s="68"/>
      <c r="AB311" s="52"/>
      <c r="AC311" s="52"/>
      <c r="AD311" s="52"/>
      <c r="AE311" s="56"/>
      <c r="AF311" s="56"/>
    </row>
    <row r="312">
      <c r="A312" s="52" t="s">
        <v>1806</v>
      </c>
      <c r="B312" s="52" t="s">
        <v>14</v>
      </c>
      <c r="C312" s="52" t="s">
        <v>66</v>
      </c>
      <c r="D312" s="65">
        <v>0.5695486111111111</v>
      </c>
      <c r="E312" s="65">
        <v>2.314814814814815E-4</v>
      </c>
      <c r="F312" s="65">
        <v>0.5697800925925925</v>
      </c>
      <c r="G312" s="65"/>
      <c r="H312" s="52" t="s">
        <v>81</v>
      </c>
      <c r="I312" s="52" t="s">
        <v>91</v>
      </c>
      <c r="J312" s="52" t="s">
        <v>92</v>
      </c>
      <c r="K312" s="52"/>
      <c r="L312" s="52"/>
      <c r="M312" s="52"/>
      <c r="N312" s="52" t="s">
        <v>70</v>
      </c>
      <c r="O312" s="52"/>
      <c r="P312" s="52"/>
      <c r="Q312" s="52"/>
      <c r="R312" s="51" t="b">
        <v>0</v>
      </c>
      <c r="S312" s="51"/>
      <c r="T312" s="52"/>
      <c r="U312" s="51" t="b">
        <v>0</v>
      </c>
      <c r="V312" s="51" t="b">
        <v>0</v>
      </c>
      <c r="W312" s="51" t="b">
        <v>0</v>
      </c>
      <c r="X312" s="51" t="b">
        <v>0</v>
      </c>
      <c r="Y312" s="51" t="b">
        <v>0</v>
      </c>
      <c r="Z312" s="51" t="b">
        <v>0</v>
      </c>
      <c r="AA312" s="68"/>
      <c r="AB312" s="52"/>
      <c r="AC312" s="52"/>
      <c r="AD312" s="52"/>
      <c r="AE312" s="56"/>
      <c r="AF312" s="56"/>
    </row>
    <row r="313">
      <c r="A313" s="52" t="s">
        <v>1808</v>
      </c>
      <c r="B313" s="52" t="s">
        <v>14</v>
      </c>
      <c r="C313" s="52" t="s">
        <v>66</v>
      </c>
      <c r="D313" s="65">
        <v>0.5697800925925925</v>
      </c>
      <c r="E313" s="65">
        <v>0.013657407407407408</v>
      </c>
      <c r="F313" s="65">
        <v>0.5834374999999999</v>
      </c>
      <c r="G313" s="65"/>
      <c r="H313" s="52" t="s">
        <v>74</v>
      </c>
      <c r="I313" s="52" t="s">
        <v>160</v>
      </c>
      <c r="J313" s="52" t="s">
        <v>161</v>
      </c>
      <c r="K313" s="52" t="s">
        <v>162</v>
      </c>
      <c r="L313" s="52"/>
      <c r="M313" s="52"/>
      <c r="N313" s="52" t="s">
        <v>163</v>
      </c>
      <c r="O313" s="69" t="s">
        <v>734</v>
      </c>
      <c r="P313" s="69" t="s">
        <v>30</v>
      </c>
      <c r="Q313" s="70" t="s">
        <v>1809</v>
      </c>
      <c r="R313" s="51" t="b">
        <v>1</v>
      </c>
      <c r="S313" s="98" t="s">
        <v>1811</v>
      </c>
      <c r="T313" s="52"/>
      <c r="U313" s="51" t="b">
        <v>0</v>
      </c>
      <c r="V313" s="51" t="b">
        <v>1</v>
      </c>
      <c r="W313" s="51" t="b">
        <v>1</v>
      </c>
      <c r="X313" s="51" t="b">
        <v>1</v>
      </c>
      <c r="Y313" s="51" t="b">
        <v>0</v>
      </c>
      <c r="Z313" s="51" t="b">
        <v>0</v>
      </c>
      <c r="AA313" s="71">
        <v>0.013657407407407408</v>
      </c>
      <c r="AB313" s="91" t="s">
        <v>1812</v>
      </c>
      <c r="AC313" s="105"/>
      <c r="AD313" s="73" t="s">
        <v>1813</v>
      </c>
      <c r="AE313" s="74" t="s">
        <v>629</v>
      </c>
      <c r="AF313" s="74" t="s">
        <v>653</v>
      </c>
    </row>
    <row r="314">
      <c r="A314" s="52" t="s">
        <v>1814</v>
      </c>
      <c r="B314" s="52" t="s">
        <v>607</v>
      </c>
      <c r="C314" s="52" t="s">
        <v>607</v>
      </c>
      <c r="D314" s="65" t="s">
        <v>607</v>
      </c>
      <c r="E314" s="65" t="s">
        <v>607</v>
      </c>
      <c r="F314" s="65" t="s">
        <v>607</v>
      </c>
      <c r="G314" s="65" t="s">
        <v>607</v>
      </c>
      <c r="H314" s="52" t="s">
        <v>607</v>
      </c>
      <c r="I314" s="52" t="s">
        <v>607</v>
      </c>
      <c r="J314" s="52" t="s">
        <v>607</v>
      </c>
      <c r="K314" s="52" t="s">
        <v>607</v>
      </c>
      <c r="L314" s="52" t="s">
        <v>607</v>
      </c>
      <c r="M314" s="52" t="s">
        <v>607</v>
      </c>
      <c r="N314" s="52" t="s">
        <v>607</v>
      </c>
      <c r="O314" s="52"/>
      <c r="P314" s="52"/>
      <c r="Q314" s="52"/>
      <c r="R314" s="51" t="b">
        <v>0</v>
      </c>
      <c r="S314" s="51"/>
      <c r="T314" s="52"/>
      <c r="U314" s="51" t="b">
        <v>0</v>
      </c>
      <c r="V314" s="51" t="b">
        <v>0</v>
      </c>
      <c r="W314" s="51" t="b">
        <v>0</v>
      </c>
      <c r="X314" s="51" t="b">
        <v>0</v>
      </c>
      <c r="Y314" s="51" t="b">
        <v>0</v>
      </c>
      <c r="Z314" s="51" t="b">
        <v>0</v>
      </c>
      <c r="AA314" s="68"/>
      <c r="AB314" s="52"/>
      <c r="AC314" s="52"/>
      <c r="AD314" s="52"/>
      <c r="AE314" s="56" t="s">
        <v>607</v>
      </c>
      <c r="AF314" s="56" t="s">
        <v>607</v>
      </c>
    </row>
    <row r="315">
      <c r="A315" s="52" t="s">
        <v>1816</v>
      </c>
      <c r="B315" s="52" t="s">
        <v>14</v>
      </c>
      <c r="C315" s="52" t="s">
        <v>289</v>
      </c>
      <c r="D315" s="65">
        <v>0.5443865740740741</v>
      </c>
      <c r="E315" s="65">
        <v>3.4722222222222224E-4</v>
      </c>
      <c r="F315" s="65">
        <v>0.5447337962962964</v>
      </c>
      <c r="G315" s="65"/>
      <c r="H315" s="52" t="s">
        <v>87</v>
      </c>
      <c r="I315" s="52" t="s">
        <v>88</v>
      </c>
      <c r="J315" s="52" t="s">
        <v>69</v>
      </c>
      <c r="K315" s="52"/>
      <c r="L315" s="52"/>
      <c r="M315" s="52"/>
      <c r="N315" s="52" t="s">
        <v>70</v>
      </c>
      <c r="O315" s="52"/>
      <c r="P315" s="52"/>
      <c r="Q315" s="52"/>
      <c r="R315" s="51" t="b">
        <v>0</v>
      </c>
      <c r="S315" s="51"/>
      <c r="T315" s="52"/>
      <c r="U315" s="51" t="b">
        <v>0</v>
      </c>
      <c r="V315" s="51" t="b">
        <v>0</v>
      </c>
      <c r="W315" s="51" t="b">
        <v>0</v>
      </c>
      <c r="X315" s="51" t="b">
        <v>0</v>
      </c>
      <c r="Y315" s="51" t="b">
        <v>0</v>
      </c>
      <c r="Z315" s="51" t="b">
        <v>0</v>
      </c>
      <c r="AA315" s="68"/>
      <c r="AB315" s="52"/>
      <c r="AC315" s="52"/>
      <c r="AD315" s="52"/>
      <c r="AE315" s="56"/>
      <c r="AF315" s="56" t="s">
        <v>600</v>
      </c>
    </row>
    <row r="316">
      <c r="A316" s="52" t="s">
        <v>1818</v>
      </c>
      <c r="B316" s="52" t="s">
        <v>14</v>
      </c>
      <c r="C316" s="52" t="s">
        <v>289</v>
      </c>
      <c r="D316" s="65">
        <v>0.5447337962962964</v>
      </c>
      <c r="E316" s="65">
        <v>6.944444444444445E-4</v>
      </c>
      <c r="F316" s="65">
        <v>0.5454282407407408</v>
      </c>
      <c r="G316" s="65"/>
      <c r="H316" s="52" t="s">
        <v>103</v>
      </c>
      <c r="I316" s="52" t="s">
        <v>403</v>
      </c>
      <c r="J316" s="52" t="s">
        <v>105</v>
      </c>
      <c r="K316" s="52"/>
      <c r="L316" s="52"/>
      <c r="M316" s="52"/>
      <c r="N316" s="52" t="s">
        <v>70</v>
      </c>
      <c r="O316" s="52"/>
      <c r="P316" s="52"/>
      <c r="Q316" s="52"/>
      <c r="R316" s="51" t="b">
        <v>0</v>
      </c>
      <c r="S316" s="51"/>
      <c r="T316" s="52"/>
      <c r="U316" s="51" t="b">
        <v>0</v>
      </c>
      <c r="V316" s="51" t="b">
        <v>0</v>
      </c>
      <c r="W316" s="51" t="b">
        <v>0</v>
      </c>
      <c r="X316" s="51" t="b">
        <v>0</v>
      </c>
      <c r="Y316" s="51" t="b">
        <v>0</v>
      </c>
      <c r="Z316" s="51" t="b">
        <v>0</v>
      </c>
      <c r="AA316" s="68"/>
      <c r="AB316" s="52"/>
      <c r="AC316" s="52"/>
      <c r="AD316" s="52"/>
      <c r="AE316" s="56"/>
      <c r="AF316" s="56"/>
    </row>
    <row r="317">
      <c r="A317" s="52" t="s">
        <v>1819</v>
      </c>
      <c r="B317" s="52" t="s">
        <v>14</v>
      </c>
      <c r="C317" s="52" t="s">
        <v>289</v>
      </c>
      <c r="D317" s="65">
        <v>0.5345486111111112</v>
      </c>
      <c r="E317" s="65">
        <v>2.314814814814815E-4</v>
      </c>
      <c r="F317" s="65">
        <v>0.5347800925925926</v>
      </c>
      <c r="G317" s="65"/>
      <c r="H317" s="52" t="s">
        <v>81</v>
      </c>
      <c r="I317" s="52" t="s">
        <v>81</v>
      </c>
      <c r="J317" s="52" t="s">
        <v>92</v>
      </c>
      <c r="K317" s="52"/>
      <c r="L317" s="52"/>
      <c r="M317" s="52"/>
      <c r="N317" s="52" t="s">
        <v>70</v>
      </c>
      <c r="O317" s="52"/>
      <c r="P317" s="52"/>
      <c r="Q317" s="52"/>
      <c r="R317" s="51" t="b">
        <v>0</v>
      </c>
      <c r="S317" s="51"/>
      <c r="T317" s="52"/>
      <c r="U317" s="51" t="b">
        <v>0</v>
      </c>
      <c r="V317" s="51" t="b">
        <v>0</v>
      </c>
      <c r="W317" s="51" t="b">
        <v>0</v>
      </c>
      <c r="X317" s="51" t="b">
        <v>0</v>
      </c>
      <c r="Y317" s="51" t="b">
        <v>0</v>
      </c>
      <c r="Z317" s="51" t="b">
        <v>0</v>
      </c>
      <c r="AA317" s="68"/>
      <c r="AB317" s="52"/>
      <c r="AC317" s="52"/>
      <c r="AD317" s="52"/>
      <c r="AE317" s="56"/>
      <c r="AF317" s="56"/>
    </row>
    <row r="318">
      <c r="A318" s="52" t="s">
        <v>1820</v>
      </c>
      <c r="B318" s="52" t="s">
        <v>14</v>
      </c>
      <c r="C318" s="52" t="s">
        <v>66</v>
      </c>
      <c r="D318" s="65">
        <v>0.6222685185185183</v>
      </c>
      <c r="E318" s="65">
        <v>0.0067476851851851856</v>
      </c>
      <c r="F318" s="65">
        <v>0.6290162037037035</v>
      </c>
      <c r="G318" s="65"/>
      <c r="H318" s="52" t="s">
        <v>165</v>
      </c>
      <c r="I318" s="52" t="s">
        <v>185</v>
      </c>
      <c r="J318" s="52" t="s">
        <v>186</v>
      </c>
      <c r="K318" s="52"/>
      <c r="L318" s="52"/>
      <c r="M318" s="52"/>
      <c r="N318" s="52" t="s">
        <v>70</v>
      </c>
      <c r="O318" s="69" t="s">
        <v>884</v>
      </c>
      <c r="P318" s="69" t="s">
        <v>25</v>
      </c>
      <c r="Q318" s="70" t="s">
        <v>1822</v>
      </c>
      <c r="R318" s="51" t="b">
        <v>1</v>
      </c>
      <c r="S318" s="96" t="s">
        <v>1823</v>
      </c>
      <c r="T318" s="52"/>
      <c r="U318" s="51" t="b">
        <v>0</v>
      </c>
      <c r="V318" s="51" t="b">
        <v>1</v>
      </c>
      <c r="W318" s="51" t="b">
        <v>1</v>
      </c>
      <c r="X318" s="51" t="b">
        <v>1</v>
      </c>
      <c r="Y318" s="51" t="b">
        <v>0</v>
      </c>
      <c r="Z318" s="51" t="b">
        <v>0</v>
      </c>
      <c r="AA318" s="71">
        <v>0.0067476851851851856</v>
      </c>
      <c r="AB318" s="69"/>
      <c r="AC318" s="72"/>
      <c r="AD318" s="70" t="s">
        <v>1824</v>
      </c>
      <c r="AE318" s="74" t="s">
        <v>629</v>
      </c>
      <c r="AF318" s="74" t="s">
        <v>946</v>
      </c>
    </row>
    <row r="319">
      <c r="A319" s="52" t="s">
        <v>1826</v>
      </c>
      <c r="B319" s="52" t="s">
        <v>607</v>
      </c>
      <c r="C319" s="52" t="s">
        <v>607</v>
      </c>
      <c r="D319" s="65" t="s">
        <v>607</v>
      </c>
      <c r="E319" s="65" t="s">
        <v>607</v>
      </c>
      <c r="F319" s="65" t="s">
        <v>607</v>
      </c>
      <c r="G319" s="65" t="s">
        <v>607</v>
      </c>
      <c r="H319" s="52" t="s">
        <v>607</v>
      </c>
      <c r="I319" s="52" t="s">
        <v>607</v>
      </c>
      <c r="J319" s="52" t="s">
        <v>607</v>
      </c>
      <c r="K319" s="52" t="s">
        <v>607</v>
      </c>
      <c r="L319" s="52" t="s">
        <v>607</v>
      </c>
      <c r="M319" s="52" t="s">
        <v>607</v>
      </c>
      <c r="N319" s="52" t="s">
        <v>607</v>
      </c>
      <c r="O319" s="52"/>
      <c r="P319" s="52"/>
      <c r="Q319" s="52"/>
      <c r="R319" s="51" t="b">
        <v>0</v>
      </c>
      <c r="S319" s="51"/>
      <c r="T319" s="52"/>
      <c r="U319" s="51" t="b">
        <v>0</v>
      </c>
      <c r="V319" s="51" t="b">
        <v>0</v>
      </c>
      <c r="W319" s="51" t="b">
        <v>0</v>
      </c>
      <c r="X319" s="51" t="b">
        <v>0</v>
      </c>
      <c r="Y319" s="51" t="b">
        <v>0</v>
      </c>
      <c r="Z319" s="51" t="b">
        <v>0</v>
      </c>
      <c r="AA319" s="68"/>
      <c r="AB319" s="52"/>
      <c r="AC319" s="52"/>
      <c r="AD319" s="52"/>
      <c r="AE319" s="56" t="s">
        <v>607</v>
      </c>
      <c r="AF319" s="56" t="s">
        <v>607</v>
      </c>
    </row>
    <row r="320">
      <c r="A320" s="52" t="s">
        <v>1827</v>
      </c>
      <c r="B320" s="52" t="s">
        <v>14</v>
      </c>
      <c r="C320" s="52" t="s">
        <v>289</v>
      </c>
      <c r="D320" s="65">
        <v>0.5560763888888889</v>
      </c>
      <c r="E320" s="65">
        <v>2.314814814814815E-4</v>
      </c>
      <c r="F320" s="65">
        <v>0.5563078703703703</v>
      </c>
      <c r="G320" s="65"/>
      <c r="H320" s="52" t="s">
        <v>81</v>
      </c>
      <c r="I320" s="52" t="s">
        <v>408</v>
      </c>
      <c r="J320" s="52" t="s">
        <v>105</v>
      </c>
      <c r="K320" s="52"/>
      <c r="L320" s="52"/>
      <c r="M320" s="52"/>
      <c r="N320" s="52" t="s">
        <v>70</v>
      </c>
      <c r="O320" s="52"/>
      <c r="P320" s="52"/>
      <c r="Q320" s="52"/>
      <c r="R320" s="51" t="b">
        <v>0</v>
      </c>
      <c r="S320" s="51"/>
      <c r="T320" s="52"/>
      <c r="U320" s="51" t="b">
        <v>0</v>
      </c>
      <c r="V320" s="51" t="b">
        <v>0</v>
      </c>
      <c r="W320" s="51" t="b">
        <v>0</v>
      </c>
      <c r="X320" s="51" t="b">
        <v>0</v>
      </c>
      <c r="Y320" s="51" t="b">
        <v>0</v>
      </c>
      <c r="Z320" s="51" t="b">
        <v>0</v>
      </c>
      <c r="AA320" s="68"/>
      <c r="AB320" s="52"/>
      <c r="AC320" s="52"/>
      <c r="AD320" s="52"/>
      <c r="AE320" s="56"/>
      <c r="AF320" s="56"/>
    </row>
    <row r="321">
      <c r="A321" s="52" t="s">
        <v>1828</v>
      </c>
      <c r="B321" s="52" t="s">
        <v>14</v>
      </c>
      <c r="C321" s="52" t="s">
        <v>289</v>
      </c>
      <c r="D321" s="65">
        <v>0.5563078703703703</v>
      </c>
      <c r="E321" s="65">
        <v>0.0020833333333333333</v>
      </c>
      <c r="F321" s="65">
        <v>0.5583912037037037</v>
      </c>
      <c r="G321" s="65" t="s">
        <v>409</v>
      </c>
      <c r="H321" s="52" t="s">
        <v>83</v>
      </c>
      <c r="I321" s="52" t="s">
        <v>410</v>
      </c>
      <c r="J321" s="52"/>
      <c r="K321" s="52"/>
      <c r="L321" s="52"/>
      <c r="M321" s="52"/>
      <c r="N321" s="52" t="s">
        <v>70</v>
      </c>
      <c r="O321" s="52"/>
      <c r="P321" s="52"/>
      <c r="Q321" s="52"/>
      <c r="R321" s="51" t="b">
        <v>0</v>
      </c>
      <c r="S321" s="51"/>
      <c r="T321" s="52"/>
      <c r="U321" s="51" t="b">
        <v>0</v>
      </c>
      <c r="V321" s="51" t="b">
        <v>0</v>
      </c>
      <c r="W321" s="51" t="b">
        <v>0</v>
      </c>
      <c r="X321" s="51" t="b">
        <v>0</v>
      </c>
      <c r="Y321" s="51" t="b">
        <v>0</v>
      </c>
      <c r="Z321" s="51" t="b">
        <v>0</v>
      </c>
      <c r="AA321" s="68"/>
      <c r="AB321" s="52"/>
      <c r="AC321" s="52"/>
      <c r="AD321" s="52"/>
      <c r="AE321" s="56" t="s">
        <v>314</v>
      </c>
      <c r="AF321" s="56"/>
    </row>
    <row r="322">
      <c r="A322" s="52" t="s">
        <v>1833</v>
      </c>
      <c r="B322" s="52" t="s">
        <v>607</v>
      </c>
      <c r="C322" s="52" t="s">
        <v>607</v>
      </c>
      <c r="D322" s="65" t="s">
        <v>607</v>
      </c>
      <c r="E322" s="65" t="s">
        <v>607</v>
      </c>
      <c r="F322" s="65" t="s">
        <v>607</v>
      </c>
      <c r="G322" s="65" t="s">
        <v>607</v>
      </c>
      <c r="H322" s="52" t="s">
        <v>607</v>
      </c>
      <c r="I322" s="52" t="s">
        <v>607</v>
      </c>
      <c r="J322" s="52" t="s">
        <v>607</v>
      </c>
      <c r="K322" s="52" t="s">
        <v>607</v>
      </c>
      <c r="L322" s="52" t="s">
        <v>607</v>
      </c>
      <c r="M322" s="52" t="s">
        <v>607</v>
      </c>
      <c r="N322" s="52" t="s">
        <v>607</v>
      </c>
      <c r="O322" s="52"/>
      <c r="P322" s="52"/>
      <c r="Q322" s="52"/>
      <c r="R322" s="51" t="b">
        <v>0</v>
      </c>
      <c r="S322" s="51"/>
      <c r="T322" s="52"/>
      <c r="U322" s="51" t="b">
        <v>0</v>
      </c>
      <c r="V322" s="51" t="b">
        <v>0</v>
      </c>
      <c r="W322" s="51" t="b">
        <v>0</v>
      </c>
      <c r="X322" s="51" t="b">
        <v>0</v>
      </c>
      <c r="Y322" s="51" t="b">
        <v>0</v>
      </c>
      <c r="Z322" s="51" t="b">
        <v>0</v>
      </c>
      <c r="AA322" s="68"/>
      <c r="AB322" s="52"/>
      <c r="AC322" s="52"/>
      <c r="AD322" s="52"/>
      <c r="AE322" s="56" t="s">
        <v>607</v>
      </c>
      <c r="AF322" s="56" t="s">
        <v>607</v>
      </c>
    </row>
    <row r="323">
      <c r="A323" s="52" t="s">
        <v>1834</v>
      </c>
      <c r="B323" s="52" t="s">
        <v>14</v>
      </c>
      <c r="C323" s="52" t="s">
        <v>289</v>
      </c>
      <c r="D323" s="65">
        <v>0.5583912037037037</v>
      </c>
      <c r="E323" s="65">
        <v>5.902777777777778E-4</v>
      </c>
      <c r="F323" s="65">
        <v>0.5589814814814814</v>
      </c>
      <c r="G323" s="65"/>
      <c r="H323" s="52" t="s">
        <v>126</v>
      </c>
      <c r="I323" s="52" t="s">
        <v>411</v>
      </c>
      <c r="J323" s="52" t="s">
        <v>90</v>
      </c>
      <c r="K323" s="52"/>
      <c r="L323" s="52"/>
      <c r="M323" s="52"/>
      <c r="N323" s="52" t="s">
        <v>70</v>
      </c>
      <c r="O323" s="52"/>
      <c r="P323" s="69" t="s">
        <v>30</v>
      </c>
      <c r="Q323" s="73" t="s">
        <v>1835</v>
      </c>
      <c r="R323" s="51" t="b">
        <v>1</v>
      </c>
      <c r="S323" s="110" t="s">
        <v>411</v>
      </c>
      <c r="T323" s="52"/>
      <c r="U323" s="51" t="b">
        <v>0</v>
      </c>
      <c r="V323" s="51" t="b">
        <v>1</v>
      </c>
      <c r="W323" s="51" t="b">
        <v>1</v>
      </c>
      <c r="X323" s="51" t="b">
        <v>1</v>
      </c>
      <c r="Y323" s="51" t="b">
        <v>1</v>
      </c>
      <c r="Z323" s="51" t="b">
        <v>0</v>
      </c>
      <c r="AA323" s="117">
        <v>0.035416666666666666</v>
      </c>
      <c r="AB323" s="52"/>
      <c r="AC323" s="97" t="s">
        <v>1836</v>
      </c>
      <c r="AD323" s="118" t="s">
        <v>1837</v>
      </c>
      <c r="AE323" s="56"/>
      <c r="AF323" s="56" t="s">
        <v>600</v>
      </c>
    </row>
    <row r="324">
      <c r="A324" s="52" t="s">
        <v>1838</v>
      </c>
      <c r="B324" s="52" t="s">
        <v>607</v>
      </c>
      <c r="C324" s="52" t="s">
        <v>607</v>
      </c>
      <c r="D324" s="65" t="s">
        <v>607</v>
      </c>
      <c r="E324" s="65" t="s">
        <v>607</v>
      </c>
      <c r="F324" s="65" t="s">
        <v>607</v>
      </c>
      <c r="G324" s="65" t="s">
        <v>607</v>
      </c>
      <c r="H324" s="52" t="s">
        <v>607</v>
      </c>
      <c r="I324" s="52" t="s">
        <v>607</v>
      </c>
      <c r="J324" s="52" t="s">
        <v>607</v>
      </c>
      <c r="K324" s="52" t="s">
        <v>607</v>
      </c>
      <c r="L324" s="52" t="s">
        <v>607</v>
      </c>
      <c r="M324" s="52" t="s">
        <v>607</v>
      </c>
      <c r="N324" s="52" t="s">
        <v>607</v>
      </c>
      <c r="O324" s="52"/>
      <c r="P324" s="52"/>
      <c r="Q324" s="52"/>
      <c r="R324" s="51" t="b">
        <v>0</v>
      </c>
      <c r="S324" s="51"/>
      <c r="T324" s="52"/>
      <c r="U324" s="51" t="b">
        <v>0</v>
      </c>
      <c r="V324" s="51" t="b">
        <v>0</v>
      </c>
      <c r="W324" s="51" t="b">
        <v>0</v>
      </c>
      <c r="X324" s="51" t="b">
        <v>0</v>
      </c>
      <c r="Y324" s="51" t="b">
        <v>0</v>
      </c>
      <c r="Z324" s="51" t="b">
        <v>0</v>
      </c>
      <c r="AA324" s="68"/>
      <c r="AB324" s="52"/>
      <c r="AC324" s="52"/>
      <c r="AD324" s="52"/>
      <c r="AE324" s="56" t="s">
        <v>607</v>
      </c>
      <c r="AF324" s="56" t="s">
        <v>607</v>
      </c>
    </row>
    <row r="325">
      <c r="A325" s="52" t="s">
        <v>1839</v>
      </c>
      <c r="B325" s="52" t="s">
        <v>14</v>
      </c>
      <c r="C325" s="52" t="s">
        <v>289</v>
      </c>
      <c r="D325" s="65">
        <v>0.5589814814814814</v>
      </c>
      <c r="E325" s="65">
        <v>2.314814814814815E-4</v>
      </c>
      <c r="F325" s="65">
        <v>0.5592129629629629</v>
      </c>
      <c r="G325" s="65"/>
      <c r="H325" s="52" t="s">
        <v>81</v>
      </c>
      <c r="I325" s="52" t="s">
        <v>81</v>
      </c>
      <c r="J325" s="52" t="s">
        <v>105</v>
      </c>
      <c r="K325" s="52"/>
      <c r="L325" s="52"/>
      <c r="M325" s="52"/>
      <c r="N325" s="52" t="s">
        <v>70</v>
      </c>
      <c r="O325" s="52"/>
      <c r="P325" s="52"/>
      <c r="Q325" s="52"/>
      <c r="R325" s="51" t="b">
        <v>0</v>
      </c>
      <c r="S325" s="51"/>
      <c r="T325" s="52"/>
      <c r="U325" s="51" t="b">
        <v>0</v>
      </c>
      <c r="V325" s="51" t="b">
        <v>0</v>
      </c>
      <c r="W325" s="51" t="b">
        <v>0</v>
      </c>
      <c r="X325" s="51" t="b">
        <v>0</v>
      </c>
      <c r="Y325" s="51" t="b">
        <v>0</v>
      </c>
      <c r="Z325" s="51" t="b">
        <v>0</v>
      </c>
      <c r="AA325" s="68"/>
      <c r="AB325" s="52"/>
      <c r="AC325" s="52"/>
      <c r="AD325" s="52"/>
      <c r="AE325" s="56"/>
      <c r="AF325" s="56"/>
    </row>
    <row r="326">
      <c r="A326" s="52" t="s">
        <v>1840</v>
      </c>
      <c r="B326" s="52" t="s">
        <v>785</v>
      </c>
      <c r="C326" s="52" t="s">
        <v>289</v>
      </c>
      <c r="D326" s="65">
        <v>0.6791087962962967</v>
      </c>
      <c r="E326" s="65">
        <v>0.006944444444444444</v>
      </c>
      <c r="F326" s="65">
        <v>0.6860532407407411</v>
      </c>
      <c r="G326" s="65"/>
      <c r="H326" s="52" t="s">
        <v>165</v>
      </c>
      <c r="I326" s="52" t="s">
        <v>1781</v>
      </c>
      <c r="J326" s="52" t="s">
        <v>1782</v>
      </c>
      <c r="K326" s="52"/>
      <c r="L326" s="52"/>
      <c r="M326" s="52"/>
      <c r="N326" s="52" t="s">
        <v>70</v>
      </c>
      <c r="O326" s="52"/>
      <c r="P326" s="52"/>
      <c r="Q326" s="52"/>
      <c r="R326" s="51" t="b">
        <v>0</v>
      </c>
      <c r="S326" s="51"/>
      <c r="T326" s="52"/>
      <c r="U326" s="51" t="b">
        <v>0</v>
      </c>
      <c r="V326" s="51" t="b">
        <v>0</v>
      </c>
      <c r="W326" s="51" t="b">
        <v>0</v>
      </c>
      <c r="X326" s="51" t="b">
        <v>0</v>
      </c>
      <c r="Y326" s="51" t="b">
        <v>0</v>
      </c>
      <c r="Z326" s="51" t="b">
        <v>0</v>
      </c>
      <c r="AA326" s="68"/>
      <c r="AB326" s="52"/>
      <c r="AC326" s="52"/>
      <c r="AD326" s="52"/>
      <c r="AE326" s="56" t="s">
        <v>743</v>
      </c>
      <c r="AF326" s="56" t="s">
        <v>1253</v>
      </c>
    </row>
    <row r="327">
      <c r="A327" s="52" t="s">
        <v>1841</v>
      </c>
      <c r="B327" s="52" t="s">
        <v>785</v>
      </c>
      <c r="C327" s="52" t="s">
        <v>289</v>
      </c>
      <c r="D327" s="65">
        <v>0.6860532407407411</v>
      </c>
      <c r="E327" s="65">
        <v>1.7361111111111112E-4</v>
      </c>
      <c r="F327" s="65">
        <v>0.6862268518518523</v>
      </c>
      <c r="G327" s="65"/>
      <c r="H327" s="52" t="s">
        <v>85</v>
      </c>
      <c r="I327" s="52" t="s">
        <v>85</v>
      </c>
      <c r="J327" s="52" t="s">
        <v>128</v>
      </c>
      <c r="K327" s="52"/>
      <c r="L327" s="52"/>
      <c r="M327" s="52"/>
      <c r="N327" s="52" t="s">
        <v>70</v>
      </c>
      <c r="O327" s="52"/>
      <c r="P327" s="52"/>
      <c r="Q327" s="52"/>
      <c r="R327" s="51" t="b">
        <v>0</v>
      </c>
      <c r="S327" s="51"/>
      <c r="T327" s="52"/>
      <c r="U327" s="51" t="b">
        <v>0</v>
      </c>
      <c r="V327" s="51" t="b">
        <v>0</v>
      </c>
      <c r="W327" s="51" t="b">
        <v>0</v>
      </c>
      <c r="X327" s="51" t="b">
        <v>0</v>
      </c>
      <c r="Y327" s="51" t="b">
        <v>0</v>
      </c>
      <c r="Z327" s="51" t="b">
        <v>0</v>
      </c>
      <c r="AA327" s="68"/>
      <c r="AB327" s="52"/>
      <c r="AC327" s="52"/>
      <c r="AD327" s="52"/>
      <c r="AE327" s="56"/>
      <c r="AF327" s="56"/>
    </row>
    <row r="328">
      <c r="A328" s="52" t="s">
        <v>1842</v>
      </c>
      <c r="B328" s="52" t="s">
        <v>14</v>
      </c>
      <c r="C328" s="52" t="s">
        <v>66</v>
      </c>
      <c r="D328" s="65">
        <v>0.6220370370370368</v>
      </c>
      <c r="E328" s="65">
        <v>2.314814814814815E-4</v>
      </c>
      <c r="F328" s="65">
        <v>0.6222685185185183</v>
      </c>
      <c r="G328" s="65"/>
      <c r="H328" s="52" t="s">
        <v>81</v>
      </c>
      <c r="I328" s="52" t="s">
        <v>91</v>
      </c>
      <c r="J328" s="52" t="s">
        <v>128</v>
      </c>
      <c r="K328" s="52"/>
      <c r="L328" s="52"/>
      <c r="M328" s="52"/>
      <c r="N328" s="52" t="s">
        <v>70</v>
      </c>
      <c r="O328" s="52"/>
      <c r="P328" s="52"/>
      <c r="Q328" s="52"/>
      <c r="R328" s="51" t="b">
        <v>0</v>
      </c>
      <c r="S328" s="51"/>
      <c r="T328" s="52"/>
      <c r="U328" s="51" t="b">
        <v>0</v>
      </c>
      <c r="V328" s="51" t="b">
        <v>0</v>
      </c>
      <c r="W328" s="51" t="b">
        <v>0</v>
      </c>
      <c r="X328" s="51" t="b">
        <v>0</v>
      </c>
      <c r="Y328" s="51" t="b">
        <v>0</v>
      </c>
      <c r="Z328" s="51" t="b">
        <v>0</v>
      </c>
      <c r="AA328" s="68"/>
      <c r="AB328" s="52"/>
      <c r="AC328" s="52"/>
      <c r="AD328" s="52"/>
      <c r="AE328" s="56"/>
      <c r="AF328" s="56"/>
    </row>
    <row r="329">
      <c r="A329" s="52" t="s">
        <v>1843</v>
      </c>
      <c r="B329" s="52" t="s">
        <v>14</v>
      </c>
      <c r="C329" s="52" t="s">
        <v>221</v>
      </c>
      <c r="D329" s="65">
        <v>0.5024305555555559</v>
      </c>
      <c r="E329" s="65">
        <v>0.009027777777777777</v>
      </c>
      <c r="F329" s="65">
        <v>0.5114583333333337</v>
      </c>
      <c r="G329" s="65"/>
      <c r="H329" s="52" t="s">
        <v>107</v>
      </c>
      <c r="I329" s="52" t="s">
        <v>257</v>
      </c>
      <c r="J329" s="52" t="s">
        <v>258</v>
      </c>
      <c r="K329" s="52" t="s">
        <v>259</v>
      </c>
      <c r="L329" s="52"/>
      <c r="M329" s="52"/>
      <c r="N329" s="52" t="s">
        <v>260</v>
      </c>
      <c r="O329" s="69" t="s">
        <v>734</v>
      </c>
      <c r="P329" s="69" t="s">
        <v>20</v>
      </c>
      <c r="Q329" s="80" t="s">
        <v>1844</v>
      </c>
      <c r="R329" s="51" t="b">
        <v>1</v>
      </c>
      <c r="S329" s="52" t="s">
        <v>257</v>
      </c>
      <c r="T329" s="52"/>
      <c r="U329" s="51" t="b">
        <v>0</v>
      </c>
      <c r="V329" s="51" t="b">
        <v>1</v>
      </c>
      <c r="W329" s="51" t="b">
        <v>1</v>
      </c>
      <c r="X329" s="51" t="b">
        <v>1</v>
      </c>
      <c r="Y329" s="51" t="b">
        <v>0</v>
      </c>
      <c r="Z329" s="51" t="b">
        <v>0</v>
      </c>
      <c r="AA329" s="71">
        <v>0.008923611111111111</v>
      </c>
      <c r="AB329" s="52"/>
      <c r="AC329" s="119"/>
      <c r="AD329" s="73" t="s">
        <v>1845</v>
      </c>
      <c r="AE329" s="56" t="s">
        <v>629</v>
      </c>
      <c r="AF329" s="56" t="s">
        <v>847</v>
      </c>
    </row>
    <row r="330">
      <c r="A330" s="52" t="s">
        <v>1846</v>
      </c>
      <c r="B330" s="52" t="s">
        <v>607</v>
      </c>
      <c r="C330" s="52" t="s">
        <v>607</v>
      </c>
      <c r="D330" s="65" t="s">
        <v>607</v>
      </c>
      <c r="E330" s="65" t="s">
        <v>607</v>
      </c>
      <c r="F330" s="65" t="s">
        <v>607</v>
      </c>
      <c r="G330" s="65" t="s">
        <v>607</v>
      </c>
      <c r="H330" s="52" t="s">
        <v>607</v>
      </c>
      <c r="I330" s="52" t="s">
        <v>607</v>
      </c>
      <c r="J330" s="52" t="s">
        <v>607</v>
      </c>
      <c r="K330" s="52" t="s">
        <v>607</v>
      </c>
      <c r="L330" s="52" t="s">
        <v>607</v>
      </c>
      <c r="M330" s="52" t="s">
        <v>607</v>
      </c>
      <c r="N330" s="52" t="s">
        <v>607</v>
      </c>
      <c r="O330" s="52"/>
      <c r="P330" s="52"/>
      <c r="Q330" s="52"/>
      <c r="R330" s="51" t="b">
        <v>0</v>
      </c>
      <c r="S330" s="51"/>
      <c r="T330" s="52"/>
      <c r="U330" s="51" t="b">
        <v>0</v>
      </c>
      <c r="V330" s="51" t="b">
        <v>0</v>
      </c>
      <c r="W330" s="51" t="b">
        <v>0</v>
      </c>
      <c r="X330" s="51" t="b">
        <v>0</v>
      </c>
      <c r="Y330" s="51" t="b">
        <v>0</v>
      </c>
      <c r="Z330" s="51" t="b">
        <v>0</v>
      </c>
      <c r="AA330" s="68"/>
      <c r="AB330" s="52"/>
      <c r="AC330" s="52"/>
      <c r="AD330" s="52"/>
      <c r="AE330" s="56" t="s">
        <v>607</v>
      </c>
      <c r="AF330" s="56" t="s">
        <v>607</v>
      </c>
    </row>
    <row r="331">
      <c r="A331" s="52" t="s">
        <v>1847</v>
      </c>
      <c r="B331" s="52" t="s">
        <v>607</v>
      </c>
      <c r="C331" s="52" t="s">
        <v>607</v>
      </c>
      <c r="D331" s="65" t="s">
        <v>607</v>
      </c>
      <c r="E331" s="65" t="s">
        <v>607</v>
      </c>
      <c r="F331" s="65" t="s">
        <v>607</v>
      </c>
      <c r="G331" s="65" t="s">
        <v>607</v>
      </c>
      <c r="H331" s="52" t="s">
        <v>607</v>
      </c>
      <c r="I331" s="52" t="s">
        <v>607</v>
      </c>
      <c r="J331" s="52" t="s">
        <v>607</v>
      </c>
      <c r="K331" s="52" t="s">
        <v>607</v>
      </c>
      <c r="L331" s="52" t="s">
        <v>607</v>
      </c>
      <c r="M331" s="52" t="s">
        <v>607</v>
      </c>
      <c r="N331" s="52" t="s">
        <v>607</v>
      </c>
      <c r="O331" s="52"/>
      <c r="P331" s="52"/>
      <c r="Q331" s="52"/>
      <c r="R331" s="51" t="b">
        <v>0</v>
      </c>
      <c r="S331" s="51"/>
      <c r="T331" s="52"/>
      <c r="U331" s="51" t="b">
        <v>0</v>
      </c>
      <c r="V331" s="51" t="b">
        <v>0</v>
      </c>
      <c r="W331" s="51" t="b">
        <v>0</v>
      </c>
      <c r="X331" s="51" t="b">
        <v>0</v>
      </c>
      <c r="Y331" s="51" t="b">
        <v>0</v>
      </c>
      <c r="Z331" s="51" t="b">
        <v>0</v>
      </c>
      <c r="AA331" s="68"/>
      <c r="AB331" s="52"/>
      <c r="AC331" s="52"/>
      <c r="AD331" s="52"/>
      <c r="AE331" s="56" t="s">
        <v>607</v>
      </c>
      <c r="AF331" s="56" t="s">
        <v>607</v>
      </c>
    </row>
    <row r="332">
      <c r="A332" s="52" t="s">
        <v>1848</v>
      </c>
      <c r="B332" s="52" t="s">
        <v>14</v>
      </c>
      <c r="C332" s="52" t="s">
        <v>289</v>
      </c>
      <c r="D332" s="65">
        <v>0.5696296296296295</v>
      </c>
      <c r="E332" s="65">
        <v>2.314814814814815E-4</v>
      </c>
      <c r="F332" s="65">
        <v>0.5698611111111109</v>
      </c>
      <c r="G332" s="65"/>
      <c r="H332" s="52" t="s">
        <v>81</v>
      </c>
      <c r="I332" s="52" t="s">
        <v>416</v>
      </c>
      <c r="J332" s="52" t="s">
        <v>73</v>
      </c>
      <c r="K332" s="52" t="s">
        <v>105</v>
      </c>
      <c r="L332" s="52"/>
      <c r="M332" s="52"/>
      <c r="N332" s="52" t="s">
        <v>70</v>
      </c>
      <c r="O332" s="52"/>
      <c r="P332" s="52"/>
      <c r="Q332" s="52"/>
      <c r="R332" s="51" t="b">
        <v>0</v>
      </c>
      <c r="S332" s="51"/>
      <c r="T332" s="52"/>
      <c r="U332" s="51" t="b">
        <v>0</v>
      </c>
      <c r="V332" s="51" t="b">
        <v>0</v>
      </c>
      <c r="W332" s="51" t="b">
        <v>0</v>
      </c>
      <c r="X332" s="51" t="b">
        <v>0</v>
      </c>
      <c r="Y332" s="51" t="b">
        <v>0</v>
      </c>
      <c r="Z332" s="51" t="b">
        <v>0</v>
      </c>
      <c r="AA332" s="68"/>
      <c r="AB332" s="52"/>
      <c r="AC332" s="52"/>
      <c r="AD332" s="52"/>
      <c r="AE332" s="56"/>
      <c r="AF332" s="56"/>
    </row>
    <row r="333">
      <c r="A333" s="52" t="s">
        <v>1849</v>
      </c>
      <c r="B333" s="52" t="s">
        <v>607</v>
      </c>
      <c r="C333" s="52" t="s">
        <v>607</v>
      </c>
      <c r="D333" s="65" t="s">
        <v>607</v>
      </c>
      <c r="E333" s="65" t="s">
        <v>607</v>
      </c>
      <c r="F333" s="65" t="s">
        <v>607</v>
      </c>
      <c r="G333" s="65" t="s">
        <v>607</v>
      </c>
      <c r="H333" s="52" t="s">
        <v>607</v>
      </c>
      <c r="I333" s="52" t="s">
        <v>607</v>
      </c>
      <c r="J333" s="52" t="s">
        <v>607</v>
      </c>
      <c r="K333" s="52" t="s">
        <v>607</v>
      </c>
      <c r="L333" s="52" t="s">
        <v>607</v>
      </c>
      <c r="M333" s="52" t="s">
        <v>607</v>
      </c>
      <c r="N333" s="52" t="s">
        <v>607</v>
      </c>
      <c r="O333" s="52"/>
      <c r="P333" s="52"/>
      <c r="Q333" s="52"/>
      <c r="R333" s="51" t="b">
        <v>0</v>
      </c>
      <c r="S333" s="51"/>
      <c r="T333" s="52"/>
      <c r="U333" s="51" t="b">
        <v>0</v>
      </c>
      <c r="V333" s="51" t="b">
        <v>0</v>
      </c>
      <c r="W333" s="51" t="b">
        <v>0</v>
      </c>
      <c r="X333" s="51" t="b">
        <v>0</v>
      </c>
      <c r="Y333" s="51" t="b">
        <v>0</v>
      </c>
      <c r="Z333" s="51" t="b">
        <v>0</v>
      </c>
      <c r="AA333" s="68"/>
      <c r="AB333" s="52"/>
      <c r="AC333" s="52"/>
      <c r="AD333" s="52"/>
      <c r="AE333" s="56" t="s">
        <v>607</v>
      </c>
      <c r="AF333" s="56" t="s">
        <v>607</v>
      </c>
    </row>
    <row r="334">
      <c r="A334" s="52" t="s">
        <v>1850</v>
      </c>
      <c r="B334" s="52" t="s">
        <v>607</v>
      </c>
      <c r="C334" s="52" t="s">
        <v>607</v>
      </c>
      <c r="D334" s="65" t="s">
        <v>607</v>
      </c>
      <c r="E334" s="65" t="s">
        <v>607</v>
      </c>
      <c r="F334" s="65" t="s">
        <v>607</v>
      </c>
      <c r="G334" s="65" t="s">
        <v>607</v>
      </c>
      <c r="H334" s="52" t="s">
        <v>607</v>
      </c>
      <c r="I334" s="52" t="s">
        <v>607</v>
      </c>
      <c r="J334" s="52" t="s">
        <v>607</v>
      </c>
      <c r="K334" s="52" t="s">
        <v>607</v>
      </c>
      <c r="L334" s="52" t="s">
        <v>607</v>
      </c>
      <c r="M334" s="52" t="s">
        <v>607</v>
      </c>
      <c r="N334" s="52" t="s">
        <v>607</v>
      </c>
      <c r="O334" s="52"/>
      <c r="P334" s="52"/>
      <c r="Q334" s="52"/>
      <c r="R334" s="51" t="b">
        <v>0</v>
      </c>
      <c r="S334" s="51"/>
      <c r="T334" s="52"/>
      <c r="U334" s="51" t="b">
        <v>0</v>
      </c>
      <c r="V334" s="51" t="b">
        <v>0</v>
      </c>
      <c r="W334" s="51" t="b">
        <v>0</v>
      </c>
      <c r="X334" s="51" t="b">
        <v>0</v>
      </c>
      <c r="Y334" s="51" t="b">
        <v>0</v>
      </c>
      <c r="Z334" s="51" t="b">
        <v>0</v>
      </c>
      <c r="AA334" s="68"/>
      <c r="AB334" s="52"/>
      <c r="AC334" s="52"/>
      <c r="AD334" s="52"/>
      <c r="AE334" s="56" t="s">
        <v>607</v>
      </c>
      <c r="AF334" s="56" t="s">
        <v>607</v>
      </c>
    </row>
    <row r="335">
      <c r="A335" s="52" t="s">
        <v>1851</v>
      </c>
      <c r="B335" s="52" t="s">
        <v>14</v>
      </c>
      <c r="C335" s="52" t="s">
        <v>289</v>
      </c>
      <c r="D335" s="65">
        <v>0.586296296296296</v>
      </c>
      <c r="E335" s="65">
        <v>3.4722222222222224E-4</v>
      </c>
      <c r="F335" s="65">
        <v>0.5866435185185183</v>
      </c>
      <c r="G335" s="65"/>
      <c r="H335" s="52" t="s">
        <v>79</v>
      </c>
      <c r="I335" s="52" t="s">
        <v>80</v>
      </c>
      <c r="J335" s="52" t="s">
        <v>69</v>
      </c>
      <c r="K335" s="52"/>
      <c r="L335" s="52"/>
      <c r="M335" s="52"/>
      <c r="N335" s="52" t="s">
        <v>70</v>
      </c>
      <c r="O335" s="52"/>
      <c r="P335" s="52"/>
      <c r="Q335" s="52"/>
      <c r="R335" s="51" t="b">
        <v>0</v>
      </c>
      <c r="S335" s="51"/>
      <c r="T335" s="52"/>
      <c r="U335" s="51" t="b">
        <v>0</v>
      </c>
      <c r="V335" s="51" t="b">
        <v>0</v>
      </c>
      <c r="W335" s="51" t="b">
        <v>0</v>
      </c>
      <c r="X335" s="51" t="b">
        <v>0</v>
      </c>
      <c r="Y335" s="51" t="b">
        <v>0</v>
      </c>
      <c r="Z335" s="51" t="b">
        <v>0</v>
      </c>
      <c r="AA335" s="68"/>
      <c r="AB335" s="52"/>
      <c r="AC335" s="52"/>
      <c r="AD335" s="52"/>
      <c r="AE335" s="56"/>
      <c r="AF335" s="56"/>
    </row>
    <row r="336">
      <c r="A336" s="52" t="s">
        <v>1852</v>
      </c>
      <c r="B336" s="52" t="s">
        <v>14</v>
      </c>
      <c r="C336" s="52" t="s">
        <v>289</v>
      </c>
      <c r="D336" s="65">
        <v>0.5866435185185183</v>
      </c>
      <c r="E336" s="65">
        <v>6.944444444444445E-4</v>
      </c>
      <c r="F336" s="65">
        <v>0.5873379629629627</v>
      </c>
      <c r="G336" s="65"/>
      <c r="H336" s="52" t="s">
        <v>103</v>
      </c>
      <c r="I336" s="52" t="s">
        <v>422</v>
      </c>
      <c r="J336" s="52" t="s">
        <v>128</v>
      </c>
      <c r="K336" s="52"/>
      <c r="L336" s="52"/>
      <c r="M336" s="52"/>
      <c r="N336" s="52" t="s">
        <v>70</v>
      </c>
      <c r="O336" s="52"/>
      <c r="P336" s="52"/>
      <c r="Q336" s="52"/>
      <c r="R336" s="51" t="b">
        <v>0</v>
      </c>
      <c r="S336" s="51"/>
      <c r="T336" s="52"/>
      <c r="U336" s="51" t="b">
        <v>0</v>
      </c>
      <c r="V336" s="51" t="b">
        <v>0</v>
      </c>
      <c r="W336" s="51" t="b">
        <v>0</v>
      </c>
      <c r="X336" s="51" t="b">
        <v>0</v>
      </c>
      <c r="Y336" s="51" t="b">
        <v>0</v>
      </c>
      <c r="Z336" s="51" t="b">
        <v>0</v>
      </c>
      <c r="AA336" s="68"/>
      <c r="AB336" s="52"/>
      <c r="AC336" s="52"/>
      <c r="AD336" s="52"/>
      <c r="AE336" s="56"/>
      <c r="AF336" s="56"/>
    </row>
    <row r="337">
      <c r="A337" s="52" t="s">
        <v>1853</v>
      </c>
      <c r="B337" s="52" t="s">
        <v>16</v>
      </c>
      <c r="C337" s="52" t="s">
        <v>66</v>
      </c>
      <c r="D337" s="65">
        <v>0.49260416666666673</v>
      </c>
      <c r="E337" s="65">
        <v>3.4722222222222224E-4</v>
      </c>
      <c r="F337" s="65">
        <v>0.49295138888888895</v>
      </c>
      <c r="G337" s="65" t="s">
        <v>195</v>
      </c>
      <c r="H337" s="52" t="s">
        <v>81</v>
      </c>
      <c r="I337" s="52" t="s">
        <v>91</v>
      </c>
      <c r="J337" s="52"/>
      <c r="K337" s="52"/>
      <c r="L337" s="52"/>
      <c r="M337" s="52"/>
      <c r="N337" s="52" t="s">
        <v>70</v>
      </c>
      <c r="O337" s="52"/>
      <c r="P337" s="52"/>
      <c r="Q337" s="52"/>
      <c r="R337" s="51" t="b">
        <v>0</v>
      </c>
      <c r="S337" s="51"/>
      <c r="T337" s="52"/>
      <c r="U337" s="51" t="b">
        <v>0</v>
      </c>
      <c r="V337" s="51" t="b">
        <v>0</v>
      </c>
      <c r="W337" s="51" t="b">
        <v>0</v>
      </c>
      <c r="X337" s="51" t="b">
        <v>0</v>
      </c>
      <c r="Y337" s="51" t="b">
        <v>0</v>
      </c>
      <c r="Z337" s="51" t="b">
        <v>0</v>
      </c>
      <c r="AA337" s="68"/>
      <c r="AB337" s="52"/>
      <c r="AC337" s="52"/>
      <c r="AD337" s="52"/>
      <c r="AE337" s="56"/>
      <c r="AF337" s="56"/>
    </row>
    <row r="338">
      <c r="A338" s="52" t="s">
        <v>1854</v>
      </c>
      <c r="B338" s="52" t="s">
        <v>14</v>
      </c>
      <c r="C338" s="52" t="s">
        <v>66</v>
      </c>
      <c r="D338" s="65">
        <v>0.44282407407407426</v>
      </c>
      <c r="E338" s="65">
        <v>0.013888888888888888</v>
      </c>
      <c r="F338" s="65">
        <v>0.45671296296296315</v>
      </c>
      <c r="G338" s="65"/>
      <c r="H338" s="52" t="s">
        <v>94</v>
      </c>
      <c r="I338" s="52" t="s">
        <v>100</v>
      </c>
      <c r="J338" s="52" t="s">
        <v>101</v>
      </c>
      <c r="K338" s="52"/>
      <c r="L338" s="52"/>
      <c r="M338" s="52"/>
      <c r="N338" s="52" t="s">
        <v>102</v>
      </c>
      <c r="O338" s="69" t="s">
        <v>618</v>
      </c>
      <c r="P338" s="69" t="s">
        <v>30</v>
      </c>
      <c r="Q338" s="80" t="s">
        <v>1855</v>
      </c>
      <c r="R338" s="51" t="b">
        <v>1</v>
      </c>
      <c r="S338" s="52" t="s">
        <v>100</v>
      </c>
      <c r="T338" s="52"/>
      <c r="U338" s="51" t="b">
        <v>0</v>
      </c>
      <c r="V338" s="51" t="b">
        <v>1</v>
      </c>
      <c r="W338" s="51" t="b">
        <v>1</v>
      </c>
      <c r="X338" s="51" t="b">
        <v>1</v>
      </c>
      <c r="Y338" s="51" t="b">
        <v>0</v>
      </c>
      <c r="Z338" s="51" t="b">
        <v>0</v>
      </c>
      <c r="AA338" s="71">
        <v>0.014143518518518519</v>
      </c>
      <c r="AB338" s="52"/>
      <c r="AC338" s="119"/>
      <c r="AD338" s="73" t="s">
        <v>1856</v>
      </c>
      <c r="AE338" s="56" t="s">
        <v>629</v>
      </c>
      <c r="AF338" s="56" t="s">
        <v>726</v>
      </c>
    </row>
    <row r="339">
      <c r="A339" s="52" t="s">
        <v>1857</v>
      </c>
      <c r="B339" s="52" t="s">
        <v>16</v>
      </c>
      <c r="C339" s="52" t="s">
        <v>66</v>
      </c>
      <c r="D339" s="65">
        <v>0.4998958333333334</v>
      </c>
      <c r="E339" s="65">
        <v>1.7361111111111112E-4</v>
      </c>
      <c r="F339" s="65">
        <v>0.5000694444444445</v>
      </c>
      <c r="G339" s="65" t="s">
        <v>195</v>
      </c>
      <c r="H339" s="52" t="s">
        <v>85</v>
      </c>
      <c r="I339" s="52" t="s">
        <v>500</v>
      </c>
      <c r="J339" s="52"/>
      <c r="K339" s="52"/>
      <c r="L339" s="52"/>
      <c r="M339" s="52"/>
      <c r="N339" s="52" t="s">
        <v>70</v>
      </c>
      <c r="O339" s="52"/>
      <c r="P339" s="52"/>
      <c r="Q339" s="52"/>
      <c r="R339" s="51" t="b">
        <v>0</v>
      </c>
      <c r="S339" s="51"/>
      <c r="T339" s="52"/>
      <c r="U339" s="51" t="b">
        <v>0</v>
      </c>
      <c r="V339" s="51" t="b">
        <v>0</v>
      </c>
      <c r="W339" s="51" t="b">
        <v>0</v>
      </c>
      <c r="X339" s="51" t="b">
        <v>0</v>
      </c>
      <c r="Y339" s="51" t="b">
        <v>0</v>
      </c>
      <c r="Z339" s="51" t="b">
        <v>0</v>
      </c>
      <c r="AA339" s="68"/>
      <c r="AB339" s="52"/>
      <c r="AC339" s="52"/>
      <c r="AD339" s="52"/>
      <c r="AE339" s="56"/>
      <c r="AF339" s="56"/>
    </row>
    <row r="340">
      <c r="A340" s="52" t="s">
        <v>1858</v>
      </c>
      <c r="B340" s="52" t="s">
        <v>14</v>
      </c>
      <c r="C340" s="52" t="s">
        <v>289</v>
      </c>
      <c r="D340" s="65">
        <v>0.5991898148148145</v>
      </c>
      <c r="E340" s="65">
        <v>2.314814814814815E-4</v>
      </c>
      <c r="F340" s="65">
        <v>0.5994212962962959</v>
      </c>
      <c r="G340" s="65"/>
      <c r="H340" s="52" t="s">
        <v>81</v>
      </c>
      <c r="I340" s="52" t="s">
        <v>427</v>
      </c>
      <c r="J340" s="52" t="s">
        <v>128</v>
      </c>
      <c r="K340" s="52"/>
      <c r="L340" s="52"/>
      <c r="M340" s="52"/>
      <c r="N340" s="52" t="s">
        <v>70</v>
      </c>
      <c r="O340" s="52"/>
      <c r="P340" s="52"/>
      <c r="Q340" s="52"/>
      <c r="R340" s="51" t="b">
        <v>0</v>
      </c>
      <c r="S340" s="51"/>
      <c r="T340" s="52"/>
      <c r="U340" s="51" t="b">
        <v>0</v>
      </c>
      <c r="V340" s="51" t="b">
        <v>0</v>
      </c>
      <c r="W340" s="51" t="b">
        <v>0</v>
      </c>
      <c r="X340" s="51" t="b">
        <v>0</v>
      </c>
      <c r="Y340" s="51" t="b">
        <v>0</v>
      </c>
      <c r="Z340" s="51" t="b">
        <v>0</v>
      </c>
      <c r="AA340" s="68"/>
      <c r="AB340" s="52"/>
      <c r="AC340" s="52"/>
      <c r="AD340" s="52"/>
      <c r="AE340" s="56"/>
      <c r="AF340" s="56"/>
    </row>
    <row r="341">
      <c r="A341" s="52" t="s">
        <v>1859</v>
      </c>
      <c r="B341" s="52" t="s">
        <v>14</v>
      </c>
      <c r="C341" s="52" t="s">
        <v>289</v>
      </c>
      <c r="D341" s="65">
        <v>0.5994212962962959</v>
      </c>
      <c r="E341" s="65">
        <v>0.0020833333333333333</v>
      </c>
      <c r="F341" s="65">
        <v>0.6015046296296293</v>
      </c>
      <c r="G341" s="65"/>
      <c r="H341" s="52" t="s">
        <v>83</v>
      </c>
      <c r="I341" s="52" t="s">
        <v>428</v>
      </c>
      <c r="J341" s="52"/>
      <c r="K341" s="52"/>
      <c r="L341" s="52"/>
      <c r="M341" s="52"/>
      <c r="N341" s="52" t="s">
        <v>70</v>
      </c>
      <c r="O341" s="52"/>
      <c r="P341" s="69" t="s">
        <v>23</v>
      </c>
      <c r="Q341" s="73" t="s">
        <v>1860</v>
      </c>
      <c r="R341" s="51" t="b">
        <v>1</v>
      </c>
      <c r="S341" s="84" t="s">
        <v>428</v>
      </c>
      <c r="T341" s="52"/>
      <c r="U341" s="51" t="b">
        <v>0</v>
      </c>
      <c r="V341" s="51" t="b">
        <v>0</v>
      </c>
      <c r="W341" s="51" t="b">
        <v>0</v>
      </c>
      <c r="X341" s="51" t="b">
        <v>0</v>
      </c>
      <c r="Y341" s="51" t="b">
        <v>1</v>
      </c>
      <c r="Z341" s="51" t="b">
        <v>0</v>
      </c>
      <c r="AA341" s="108">
        <v>0.0020833333333333333</v>
      </c>
      <c r="AB341" s="120">
        <v>0.125</v>
      </c>
      <c r="AC341" s="69"/>
      <c r="AD341" s="103"/>
      <c r="AE341" s="74"/>
      <c r="AF341" s="74"/>
    </row>
    <row r="342">
      <c r="A342" s="52" t="s">
        <v>1861</v>
      </c>
      <c r="B342" s="52" t="s">
        <v>607</v>
      </c>
      <c r="C342" s="52" t="s">
        <v>607</v>
      </c>
      <c r="D342" s="65" t="s">
        <v>607</v>
      </c>
      <c r="E342" s="65" t="s">
        <v>607</v>
      </c>
      <c r="F342" s="65" t="s">
        <v>607</v>
      </c>
      <c r="G342" s="65" t="s">
        <v>607</v>
      </c>
      <c r="H342" s="52" t="s">
        <v>607</v>
      </c>
      <c r="I342" s="52" t="s">
        <v>607</v>
      </c>
      <c r="J342" s="52" t="s">
        <v>607</v>
      </c>
      <c r="K342" s="52" t="s">
        <v>607</v>
      </c>
      <c r="L342" s="52" t="s">
        <v>607</v>
      </c>
      <c r="M342" s="52" t="s">
        <v>607</v>
      </c>
      <c r="N342" s="52" t="s">
        <v>607</v>
      </c>
      <c r="O342" s="52"/>
      <c r="P342" s="52"/>
      <c r="Q342" s="52"/>
      <c r="R342" s="51" t="b">
        <v>0</v>
      </c>
      <c r="S342" s="51"/>
      <c r="T342" s="52"/>
      <c r="U342" s="51" t="b">
        <v>0</v>
      </c>
      <c r="V342" s="51" t="b">
        <v>0</v>
      </c>
      <c r="W342" s="51" t="b">
        <v>0</v>
      </c>
      <c r="X342" s="51" t="b">
        <v>0</v>
      </c>
      <c r="Y342" s="51" t="b">
        <v>0</v>
      </c>
      <c r="Z342" s="51" t="b">
        <v>0</v>
      </c>
      <c r="AA342" s="68"/>
      <c r="AB342" s="52"/>
      <c r="AC342" s="52"/>
      <c r="AD342" s="52"/>
      <c r="AE342" s="56" t="s">
        <v>607</v>
      </c>
      <c r="AF342" s="56" t="s">
        <v>607</v>
      </c>
    </row>
    <row r="343">
      <c r="A343" s="52" t="s">
        <v>1862</v>
      </c>
      <c r="B343" s="52" t="s">
        <v>14</v>
      </c>
      <c r="C343" s="52" t="s">
        <v>221</v>
      </c>
      <c r="D343" s="65">
        <v>0.6275115740740739</v>
      </c>
      <c r="E343" s="65">
        <v>2.314814814814815E-4</v>
      </c>
      <c r="F343" s="65">
        <v>0.6277430555555553</v>
      </c>
      <c r="G343" s="65"/>
      <c r="H343" s="52" t="s">
        <v>81</v>
      </c>
      <c r="I343" s="52" t="s">
        <v>91</v>
      </c>
      <c r="J343" s="52" t="s">
        <v>128</v>
      </c>
      <c r="K343" s="52"/>
      <c r="L343" s="52"/>
      <c r="M343" s="52"/>
      <c r="N343" s="52" t="s">
        <v>70</v>
      </c>
      <c r="O343" s="52"/>
      <c r="P343" s="52"/>
      <c r="Q343" s="52"/>
      <c r="R343" s="51" t="b">
        <v>0</v>
      </c>
      <c r="S343" s="51"/>
      <c r="T343" s="52"/>
      <c r="U343" s="51" t="b">
        <v>0</v>
      </c>
      <c r="V343" s="51" t="b">
        <v>0</v>
      </c>
      <c r="W343" s="51" t="b">
        <v>0</v>
      </c>
      <c r="X343" s="51" t="b">
        <v>0</v>
      </c>
      <c r="Y343" s="51" t="b">
        <v>0</v>
      </c>
      <c r="Z343" s="51" t="b">
        <v>0</v>
      </c>
      <c r="AA343" s="68"/>
      <c r="AB343" s="52"/>
      <c r="AC343" s="52"/>
      <c r="AD343" s="52"/>
      <c r="AE343" s="56"/>
      <c r="AF343" s="56"/>
    </row>
    <row r="344">
      <c r="A344" s="52" t="s">
        <v>1863</v>
      </c>
      <c r="B344" s="52" t="s">
        <v>14</v>
      </c>
      <c r="C344" s="52" t="s">
        <v>289</v>
      </c>
      <c r="D344" s="65">
        <v>0.5592129629629629</v>
      </c>
      <c r="E344" s="65">
        <v>0.010416666666666666</v>
      </c>
      <c r="F344" s="65">
        <v>0.5696296296296295</v>
      </c>
      <c r="G344" s="65"/>
      <c r="H344" s="52" t="s">
        <v>107</v>
      </c>
      <c r="I344" s="52" t="s">
        <v>412</v>
      </c>
      <c r="J344" s="52" t="s">
        <v>413</v>
      </c>
      <c r="K344" s="52" t="s">
        <v>414</v>
      </c>
      <c r="L344" s="52"/>
      <c r="M344" s="52"/>
      <c r="N344" s="52" t="s">
        <v>415</v>
      </c>
      <c r="O344" s="69" t="s">
        <v>791</v>
      </c>
      <c r="P344" s="69" t="s">
        <v>17</v>
      </c>
      <c r="Q344" s="70" t="s">
        <v>1864</v>
      </c>
      <c r="R344" s="51" t="b">
        <v>1</v>
      </c>
      <c r="S344" s="52" t="s">
        <v>412</v>
      </c>
      <c r="T344" s="52"/>
      <c r="U344" s="51" t="b">
        <v>0</v>
      </c>
      <c r="V344" s="51" t="b">
        <v>1</v>
      </c>
      <c r="W344" s="51" t="b">
        <v>0</v>
      </c>
      <c r="X344" s="51" t="b">
        <v>0</v>
      </c>
      <c r="Y344" s="51" t="b">
        <v>0</v>
      </c>
      <c r="Z344" s="51" t="b">
        <v>1</v>
      </c>
      <c r="AA344" s="71">
        <v>0.013321759259259259</v>
      </c>
      <c r="AB344" s="69"/>
      <c r="AC344" s="69" t="s">
        <v>1865</v>
      </c>
      <c r="AD344" s="121" t="s">
        <v>1866</v>
      </c>
      <c r="AE344" s="56" t="s">
        <v>629</v>
      </c>
      <c r="AF344" s="56" t="s">
        <v>860</v>
      </c>
    </row>
    <row r="345">
      <c r="A345" s="52" t="s">
        <v>1867</v>
      </c>
      <c r="B345" s="52" t="s">
        <v>607</v>
      </c>
      <c r="C345" s="52" t="s">
        <v>607</v>
      </c>
      <c r="D345" s="65" t="s">
        <v>607</v>
      </c>
      <c r="E345" s="65" t="s">
        <v>607</v>
      </c>
      <c r="F345" s="65" t="s">
        <v>607</v>
      </c>
      <c r="G345" s="65" t="s">
        <v>607</v>
      </c>
      <c r="H345" s="52" t="s">
        <v>607</v>
      </c>
      <c r="I345" s="52" t="s">
        <v>607</v>
      </c>
      <c r="J345" s="52" t="s">
        <v>607</v>
      </c>
      <c r="K345" s="52" t="s">
        <v>607</v>
      </c>
      <c r="L345" s="52" t="s">
        <v>607</v>
      </c>
      <c r="M345" s="52" t="s">
        <v>607</v>
      </c>
      <c r="N345" s="52" t="s">
        <v>607</v>
      </c>
      <c r="O345" s="52"/>
      <c r="P345" s="52"/>
      <c r="Q345" s="52"/>
      <c r="R345" s="51" t="b">
        <v>0</v>
      </c>
      <c r="S345" s="51"/>
      <c r="T345" s="52"/>
      <c r="U345" s="51" t="b">
        <v>0</v>
      </c>
      <c r="V345" s="51" t="b">
        <v>0</v>
      </c>
      <c r="W345" s="51" t="b">
        <v>0</v>
      </c>
      <c r="X345" s="51" t="b">
        <v>0</v>
      </c>
      <c r="Y345" s="51" t="b">
        <v>0</v>
      </c>
      <c r="Z345" s="51" t="b">
        <v>0</v>
      </c>
      <c r="AA345" s="68"/>
      <c r="AB345" s="52"/>
      <c r="AC345" s="52"/>
      <c r="AD345" s="52"/>
      <c r="AE345" s="56" t="s">
        <v>607</v>
      </c>
      <c r="AF345" s="56" t="s">
        <v>607</v>
      </c>
    </row>
    <row r="346">
      <c r="A346" s="52" t="s">
        <v>1868</v>
      </c>
      <c r="B346" s="52" t="s">
        <v>607</v>
      </c>
      <c r="C346" s="52" t="s">
        <v>607</v>
      </c>
      <c r="D346" s="65" t="s">
        <v>607</v>
      </c>
      <c r="E346" s="65" t="s">
        <v>607</v>
      </c>
      <c r="F346" s="65" t="s">
        <v>607</v>
      </c>
      <c r="G346" s="65" t="s">
        <v>607</v>
      </c>
      <c r="H346" s="52" t="s">
        <v>607</v>
      </c>
      <c r="I346" s="52" t="s">
        <v>607</v>
      </c>
      <c r="J346" s="52" t="s">
        <v>607</v>
      </c>
      <c r="K346" s="52" t="s">
        <v>607</v>
      </c>
      <c r="L346" s="52" t="s">
        <v>607</v>
      </c>
      <c r="M346" s="52" t="s">
        <v>607</v>
      </c>
      <c r="N346" s="52" t="s">
        <v>607</v>
      </c>
      <c r="O346" s="52"/>
      <c r="P346" s="52"/>
      <c r="Q346" s="52"/>
      <c r="R346" s="51" t="b">
        <v>0</v>
      </c>
      <c r="S346" s="51"/>
      <c r="T346" s="52"/>
      <c r="U346" s="51" t="b">
        <v>0</v>
      </c>
      <c r="V346" s="51" t="b">
        <v>0</v>
      </c>
      <c r="W346" s="51" t="b">
        <v>0</v>
      </c>
      <c r="X346" s="51" t="b">
        <v>0</v>
      </c>
      <c r="Y346" s="51" t="b">
        <v>0</v>
      </c>
      <c r="Z346" s="51" t="b">
        <v>0</v>
      </c>
      <c r="AA346" s="68"/>
      <c r="AB346" s="52"/>
      <c r="AC346" s="52"/>
      <c r="AD346" s="52"/>
      <c r="AE346" s="56" t="s">
        <v>607</v>
      </c>
      <c r="AF346" s="56" t="s">
        <v>607</v>
      </c>
    </row>
    <row r="347">
      <c r="A347" s="52" t="s">
        <v>1869</v>
      </c>
      <c r="B347" s="52" t="s">
        <v>607</v>
      </c>
      <c r="C347" s="52" t="s">
        <v>607</v>
      </c>
      <c r="D347" s="65" t="s">
        <v>607</v>
      </c>
      <c r="E347" s="65" t="s">
        <v>607</v>
      </c>
      <c r="F347" s="65" t="s">
        <v>607</v>
      </c>
      <c r="G347" s="65" t="s">
        <v>607</v>
      </c>
      <c r="H347" s="52" t="s">
        <v>607</v>
      </c>
      <c r="I347" s="52" t="s">
        <v>607</v>
      </c>
      <c r="J347" s="52" t="s">
        <v>607</v>
      </c>
      <c r="K347" s="52" t="s">
        <v>607</v>
      </c>
      <c r="L347" s="52" t="s">
        <v>607</v>
      </c>
      <c r="M347" s="52" t="s">
        <v>607</v>
      </c>
      <c r="N347" s="52" t="s">
        <v>607</v>
      </c>
      <c r="O347" s="52"/>
      <c r="P347" s="52"/>
      <c r="Q347" s="52"/>
      <c r="R347" s="51" t="b">
        <v>0</v>
      </c>
      <c r="S347" s="51"/>
      <c r="T347" s="52"/>
      <c r="U347" s="51" t="b">
        <v>0</v>
      </c>
      <c r="V347" s="51" t="b">
        <v>0</v>
      </c>
      <c r="W347" s="51" t="b">
        <v>0</v>
      </c>
      <c r="X347" s="51" t="b">
        <v>0</v>
      </c>
      <c r="Y347" s="51" t="b">
        <v>0</v>
      </c>
      <c r="Z347" s="51" t="b">
        <v>0</v>
      </c>
      <c r="AA347" s="68"/>
      <c r="AB347" s="52"/>
      <c r="AC347" s="52"/>
      <c r="AD347" s="52"/>
      <c r="AE347" s="56" t="s">
        <v>607</v>
      </c>
      <c r="AF347" s="56" t="s">
        <v>607</v>
      </c>
    </row>
    <row r="348">
      <c r="A348" s="52" t="s">
        <v>1870</v>
      </c>
      <c r="B348" s="52" t="s">
        <v>14</v>
      </c>
      <c r="C348" s="52" t="s">
        <v>289</v>
      </c>
      <c r="D348" s="65">
        <v>0.5864351851851852</v>
      </c>
      <c r="E348" s="65">
        <v>2.314814814814815E-4</v>
      </c>
      <c r="F348" s="65">
        <v>0.5866666666666667</v>
      </c>
      <c r="G348" s="65"/>
      <c r="H348" s="52" t="s">
        <v>81</v>
      </c>
      <c r="I348" s="52" t="s">
        <v>91</v>
      </c>
      <c r="J348" s="52" t="s">
        <v>128</v>
      </c>
      <c r="K348" s="52"/>
      <c r="L348" s="52"/>
      <c r="M348" s="52"/>
      <c r="N348" s="52"/>
      <c r="O348" s="52"/>
      <c r="P348" s="52"/>
      <c r="Q348" s="52"/>
      <c r="R348" s="51" t="b">
        <v>0</v>
      </c>
      <c r="S348" s="51"/>
      <c r="T348" s="52"/>
      <c r="U348" s="51" t="b">
        <v>0</v>
      </c>
      <c r="V348" s="51" t="b">
        <v>0</v>
      </c>
      <c r="W348" s="51" t="b">
        <v>0</v>
      </c>
      <c r="X348" s="51" t="b">
        <v>0</v>
      </c>
      <c r="Y348" s="51" t="b">
        <v>0</v>
      </c>
      <c r="Z348" s="51" t="b">
        <v>0</v>
      </c>
      <c r="AA348" s="68"/>
      <c r="AB348" s="52"/>
      <c r="AC348" s="52"/>
      <c r="AD348" s="52"/>
      <c r="AE348" s="56"/>
      <c r="AF348" s="56"/>
    </row>
    <row r="349">
      <c r="A349" s="52" t="s">
        <v>1871</v>
      </c>
      <c r="B349" s="52" t="s">
        <v>14</v>
      </c>
      <c r="C349" s="52" t="s">
        <v>221</v>
      </c>
      <c r="D349" s="65">
        <v>0.5149305555555559</v>
      </c>
      <c r="E349" s="65">
        <v>0.013402777777777777</v>
      </c>
      <c r="F349" s="65">
        <v>0.5283333333333337</v>
      </c>
      <c r="G349" s="65"/>
      <c r="H349" s="52" t="s">
        <v>107</v>
      </c>
      <c r="I349" s="52" t="s">
        <v>263</v>
      </c>
      <c r="J349" s="52" t="s">
        <v>264</v>
      </c>
      <c r="K349" s="52" t="s">
        <v>265</v>
      </c>
      <c r="L349" s="52"/>
      <c r="M349" s="52"/>
      <c r="N349" s="52" t="s">
        <v>266</v>
      </c>
      <c r="O349" s="69" t="s">
        <v>734</v>
      </c>
      <c r="P349" s="69" t="s">
        <v>20</v>
      </c>
      <c r="Q349" s="70" t="s">
        <v>1872</v>
      </c>
      <c r="R349" s="51" t="b">
        <v>1</v>
      </c>
      <c r="S349" s="52" t="s">
        <v>263</v>
      </c>
      <c r="T349" s="52"/>
      <c r="U349" s="51" t="b">
        <v>0</v>
      </c>
      <c r="V349" s="51" t="b">
        <v>1</v>
      </c>
      <c r="W349" s="51" t="b">
        <v>1</v>
      </c>
      <c r="X349" s="51" t="b">
        <v>1</v>
      </c>
      <c r="Y349" s="51" t="b">
        <v>0</v>
      </c>
      <c r="Z349" s="51" t="b">
        <v>0</v>
      </c>
      <c r="AA349" s="71">
        <v>0.013402777777777777</v>
      </c>
      <c r="AB349" s="69" t="s">
        <v>1873</v>
      </c>
      <c r="AC349" s="72"/>
      <c r="AD349" s="76" t="s">
        <v>1874</v>
      </c>
      <c r="AE349" s="74" t="s">
        <v>629</v>
      </c>
      <c r="AF349" s="74" t="s">
        <v>1362</v>
      </c>
    </row>
    <row r="350">
      <c r="A350" s="52" t="s">
        <v>1875</v>
      </c>
      <c r="B350" s="52" t="s">
        <v>607</v>
      </c>
      <c r="C350" s="52" t="s">
        <v>607</v>
      </c>
      <c r="D350" s="65" t="s">
        <v>607</v>
      </c>
      <c r="E350" s="65" t="s">
        <v>607</v>
      </c>
      <c r="F350" s="65" t="s">
        <v>607</v>
      </c>
      <c r="G350" s="65" t="s">
        <v>607</v>
      </c>
      <c r="H350" s="52" t="s">
        <v>607</v>
      </c>
      <c r="I350" s="52" t="s">
        <v>607</v>
      </c>
      <c r="J350" s="52" t="s">
        <v>607</v>
      </c>
      <c r="K350" s="52" t="s">
        <v>607</v>
      </c>
      <c r="L350" s="52" t="s">
        <v>607</v>
      </c>
      <c r="M350" s="52" t="s">
        <v>607</v>
      </c>
      <c r="N350" s="52" t="s">
        <v>607</v>
      </c>
      <c r="O350" s="52"/>
      <c r="P350" s="52"/>
      <c r="Q350" s="52"/>
      <c r="R350" s="51" t="b">
        <v>0</v>
      </c>
      <c r="S350" s="51"/>
      <c r="T350" s="52"/>
      <c r="U350" s="51" t="b">
        <v>0</v>
      </c>
      <c r="V350" s="51" t="b">
        <v>0</v>
      </c>
      <c r="W350" s="51" t="b">
        <v>0</v>
      </c>
      <c r="X350" s="51" t="b">
        <v>0</v>
      </c>
      <c r="Y350" s="51" t="b">
        <v>0</v>
      </c>
      <c r="Z350" s="51" t="b">
        <v>0</v>
      </c>
      <c r="AA350" s="68"/>
      <c r="AB350" s="52"/>
      <c r="AC350" s="52"/>
      <c r="AD350" s="52"/>
      <c r="AE350" s="56" t="s">
        <v>607</v>
      </c>
      <c r="AF350" s="56" t="s">
        <v>607</v>
      </c>
    </row>
    <row r="351">
      <c r="A351" s="52" t="s">
        <v>1876</v>
      </c>
      <c r="B351" s="52" t="s">
        <v>607</v>
      </c>
      <c r="C351" s="52" t="s">
        <v>607</v>
      </c>
      <c r="D351" s="65" t="s">
        <v>607</v>
      </c>
      <c r="E351" s="65" t="s">
        <v>607</v>
      </c>
      <c r="F351" s="65" t="s">
        <v>607</v>
      </c>
      <c r="G351" s="65" t="s">
        <v>607</v>
      </c>
      <c r="H351" s="52" t="s">
        <v>607</v>
      </c>
      <c r="I351" s="52" t="s">
        <v>607</v>
      </c>
      <c r="J351" s="52" t="s">
        <v>607</v>
      </c>
      <c r="K351" s="52" t="s">
        <v>607</v>
      </c>
      <c r="L351" s="52" t="s">
        <v>607</v>
      </c>
      <c r="M351" s="52" t="s">
        <v>607</v>
      </c>
      <c r="N351" s="52" t="s">
        <v>607</v>
      </c>
      <c r="O351" s="52"/>
      <c r="P351" s="52"/>
      <c r="Q351" s="52"/>
      <c r="R351" s="51" t="b">
        <v>0</v>
      </c>
      <c r="S351" s="51"/>
      <c r="T351" s="52"/>
      <c r="U351" s="51" t="b">
        <v>0</v>
      </c>
      <c r="V351" s="51" t="b">
        <v>0</v>
      </c>
      <c r="W351" s="51" t="b">
        <v>0</v>
      </c>
      <c r="X351" s="51" t="b">
        <v>0</v>
      </c>
      <c r="Y351" s="51" t="b">
        <v>0</v>
      </c>
      <c r="Z351" s="51" t="b">
        <v>0</v>
      </c>
      <c r="AA351" s="68"/>
      <c r="AB351" s="52"/>
      <c r="AC351" s="52"/>
      <c r="AD351" s="52"/>
      <c r="AE351" s="56" t="s">
        <v>607</v>
      </c>
      <c r="AF351" s="56" t="s">
        <v>607</v>
      </c>
    </row>
    <row r="352">
      <c r="A352" s="52" t="s">
        <v>1877</v>
      </c>
      <c r="B352" s="52" t="s">
        <v>14</v>
      </c>
      <c r="C352" s="52" t="s">
        <v>289</v>
      </c>
      <c r="D352" s="65">
        <v>0.6271412037037031</v>
      </c>
      <c r="E352" s="65">
        <v>0.0010416666666666667</v>
      </c>
      <c r="F352" s="65">
        <v>0.6281828703703698</v>
      </c>
      <c r="G352" s="65"/>
      <c r="H352" s="52" t="s">
        <v>67</v>
      </c>
      <c r="I352" s="52" t="s">
        <v>68</v>
      </c>
      <c r="J352" s="52" t="s">
        <v>69</v>
      </c>
      <c r="K352" s="52"/>
      <c r="L352" s="52"/>
      <c r="M352" s="52"/>
      <c r="N352" s="52" t="s">
        <v>70</v>
      </c>
      <c r="O352" s="52"/>
      <c r="P352" s="52"/>
      <c r="Q352" s="52"/>
      <c r="R352" s="51" t="b">
        <v>0</v>
      </c>
      <c r="S352" s="51"/>
      <c r="T352" s="52"/>
      <c r="U352" s="51" t="b">
        <v>0</v>
      </c>
      <c r="V352" s="51" t="b">
        <v>0</v>
      </c>
      <c r="W352" s="51" t="b">
        <v>0</v>
      </c>
      <c r="X352" s="51" t="b">
        <v>0</v>
      </c>
      <c r="Y352" s="51" t="b">
        <v>0</v>
      </c>
      <c r="Z352" s="51" t="b">
        <v>0</v>
      </c>
      <c r="AA352" s="68"/>
      <c r="AB352" s="52"/>
      <c r="AC352" s="52"/>
      <c r="AD352" s="52"/>
      <c r="AE352" s="56"/>
      <c r="AF352" s="56" t="s">
        <v>600</v>
      </c>
    </row>
    <row r="353">
      <c r="A353" s="52" t="s">
        <v>1878</v>
      </c>
      <c r="B353" s="52" t="s">
        <v>14</v>
      </c>
      <c r="C353" s="52" t="s">
        <v>289</v>
      </c>
      <c r="D353" s="65">
        <v>0.6281828703703698</v>
      </c>
      <c r="E353" s="65">
        <v>6.944444444444445E-4</v>
      </c>
      <c r="F353" s="65">
        <v>0.6288773148148142</v>
      </c>
      <c r="G353" s="65"/>
      <c r="H353" s="52" t="s">
        <v>103</v>
      </c>
      <c r="I353" s="52" t="s">
        <v>440</v>
      </c>
      <c r="J353" s="52" t="s">
        <v>92</v>
      </c>
      <c r="K353" s="52"/>
      <c r="L353" s="52"/>
      <c r="M353" s="52"/>
      <c r="N353" s="52" t="s">
        <v>70</v>
      </c>
      <c r="O353" s="52"/>
      <c r="P353" s="52"/>
      <c r="Q353" s="52"/>
      <c r="R353" s="51" t="b">
        <v>0</v>
      </c>
      <c r="S353" s="51"/>
      <c r="T353" s="52"/>
      <c r="U353" s="51" t="b">
        <v>0</v>
      </c>
      <c r="V353" s="51" t="b">
        <v>0</v>
      </c>
      <c r="W353" s="51" t="b">
        <v>0</v>
      </c>
      <c r="X353" s="51" t="b">
        <v>0</v>
      </c>
      <c r="Y353" s="51" t="b">
        <v>0</v>
      </c>
      <c r="Z353" s="51" t="b">
        <v>0</v>
      </c>
      <c r="AA353" s="68"/>
      <c r="AB353" s="52"/>
      <c r="AC353" s="52"/>
      <c r="AD353" s="52"/>
      <c r="AE353" s="56"/>
      <c r="AF353" s="56"/>
    </row>
    <row r="354">
      <c r="A354" s="52" t="s">
        <v>1879</v>
      </c>
      <c r="B354" s="52" t="s">
        <v>785</v>
      </c>
      <c r="C354" s="52" t="s">
        <v>289</v>
      </c>
      <c r="D354" s="65">
        <v>0.6862268518518523</v>
      </c>
      <c r="E354" s="65">
        <v>3.4722222222222224E-4</v>
      </c>
      <c r="F354" s="65">
        <v>0.6865740740740746</v>
      </c>
      <c r="G354" s="65" t="s">
        <v>314</v>
      </c>
      <c r="H354" s="52" t="s">
        <v>81</v>
      </c>
      <c r="I354" s="52" t="s">
        <v>81</v>
      </c>
      <c r="J354" s="52" t="s">
        <v>128</v>
      </c>
      <c r="K354" s="52"/>
      <c r="L354" s="52"/>
      <c r="M354" s="52"/>
      <c r="N354" s="52" t="s">
        <v>70</v>
      </c>
      <c r="O354" s="52"/>
      <c r="P354" s="52"/>
      <c r="Q354" s="52"/>
      <c r="R354" s="51" t="b">
        <v>0</v>
      </c>
      <c r="S354" s="51"/>
      <c r="T354" s="52"/>
      <c r="U354" s="51" t="b">
        <v>0</v>
      </c>
      <c r="V354" s="51" t="b">
        <v>0</v>
      </c>
      <c r="W354" s="51" t="b">
        <v>0</v>
      </c>
      <c r="X354" s="51" t="b">
        <v>0</v>
      </c>
      <c r="Y354" s="51" t="b">
        <v>0</v>
      </c>
      <c r="Z354" s="51" t="b">
        <v>0</v>
      </c>
      <c r="AA354" s="68"/>
      <c r="AB354" s="52"/>
      <c r="AC354" s="52"/>
      <c r="AD354" s="52"/>
      <c r="AE354" s="56"/>
      <c r="AF354" s="56"/>
    </row>
    <row r="355">
      <c r="A355" s="52" t="s">
        <v>1880</v>
      </c>
      <c r="B355" s="52" t="s">
        <v>785</v>
      </c>
      <c r="C355" s="52" t="s">
        <v>289</v>
      </c>
      <c r="D355" s="65">
        <v>0.6865740740740746</v>
      </c>
      <c r="E355" s="65">
        <v>0.008333333333333333</v>
      </c>
      <c r="F355" s="65">
        <v>0.6949074074074079</v>
      </c>
      <c r="G355" s="65" t="s">
        <v>481</v>
      </c>
      <c r="H355" s="52" t="s">
        <v>165</v>
      </c>
      <c r="I355" s="52" t="s">
        <v>1785</v>
      </c>
      <c r="J355" s="52" t="s">
        <v>1786</v>
      </c>
      <c r="K355" s="52"/>
      <c r="L355" s="52"/>
      <c r="M355" s="52"/>
      <c r="N355" s="52" t="s">
        <v>70</v>
      </c>
      <c r="O355" s="52"/>
      <c r="P355" s="69" t="s">
        <v>15</v>
      </c>
      <c r="Q355" s="70" t="s">
        <v>1881</v>
      </c>
      <c r="R355" s="51" t="b">
        <v>1</v>
      </c>
      <c r="S355" s="51" t="s">
        <v>1882</v>
      </c>
      <c r="T355" s="52"/>
      <c r="U355" s="51" t="b">
        <v>0</v>
      </c>
      <c r="V355" s="51" t="b">
        <v>1</v>
      </c>
      <c r="W355" s="51" t="b">
        <v>1</v>
      </c>
      <c r="X355" s="51" t="b">
        <v>1</v>
      </c>
      <c r="Y355" s="51" t="b">
        <v>0</v>
      </c>
      <c r="Z355" s="51" t="b">
        <v>0</v>
      </c>
      <c r="AA355" s="71">
        <v>0.007916666666666667</v>
      </c>
      <c r="AB355" s="52"/>
      <c r="AC355" s="122"/>
      <c r="AD355" s="73" t="s">
        <v>1883</v>
      </c>
      <c r="AE355" s="56" t="s">
        <v>743</v>
      </c>
      <c r="AF355" s="56" t="s">
        <v>873</v>
      </c>
    </row>
    <row r="356">
      <c r="A356" s="52" t="s">
        <v>1884</v>
      </c>
      <c r="B356" s="52" t="s">
        <v>785</v>
      </c>
      <c r="C356" s="52" t="s">
        <v>289</v>
      </c>
      <c r="D356" s="65">
        <v>0.6949074074074079</v>
      </c>
      <c r="E356" s="65">
        <v>1.7361111111111112E-4</v>
      </c>
      <c r="F356" s="65">
        <v>0.695081018518519</v>
      </c>
      <c r="G356" s="65"/>
      <c r="H356" s="52" t="s">
        <v>85</v>
      </c>
      <c r="I356" s="52" t="s">
        <v>85</v>
      </c>
      <c r="J356" s="52" t="s">
        <v>92</v>
      </c>
      <c r="K356" s="52"/>
      <c r="L356" s="52"/>
      <c r="M356" s="52"/>
      <c r="N356" s="52" t="s">
        <v>70</v>
      </c>
      <c r="O356" s="52"/>
      <c r="P356" s="52"/>
      <c r="Q356" s="52"/>
      <c r="R356" s="51" t="b">
        <v>0</v>
      </c>
      <c r="S356" s="51"/>
      <c r="T356" s="52"/>
      <c r="U356" s="51" t="b">
        <v>0</v>
      </c>
      <c r="V356" s="51" t="b">
        <v>0</v>
      </c>
      <c r="W356" s="51" t="b">
        <v>0</v>
      </c>
      <c r="X356" s="51" t="b">
        <v>0</v>
      </c>
      <c r="Y356" s="51" t="b">
        <v>0</v>
      </c>
      <c r="Z356" s="51" t="b">
        <v>0</v>
      </c>
      <c r="AA356" s="68"/>
      <c r="AB356" s="52"/>
      <c r="AC356" s="52"/>
      <c r="AD356" s="52"/>
      <c r="AE356" s="56"/>
      <c r="AF356" s="56"/>
    </row>
    <row r="357">
      <c r="A357" s="52" t="s">
        <v>1885</v>
      </c>
      <c r="B357" s="52" t="s">
        <v>14</v>
      </c>
      <c r="C357" s="52" t="s">
        <v>289</v>
      </c>
      <c r="D357" s="65">
        <v>0.6397106481481475</v>
      </c>
      <c r="E357" s="65">
        <v>2.314814814814815E-4</v>
      </c>
      <c r="F357" s="65">
        <v>0.6399421296296289</v>
      </c>
      <c r="G357" s="65"/>
      <c r="H357" s="52" t="s">
        <v>81</v>
      </c>
      <c r="I357" s="52" t="s">
        <v>445</v>
      </c>
      <c r="J357" s="52" t="s">
        <v>73</v>
      </c>
      <c r="K357" s="52" t="s">
        <v>92</v>
      </c>
      <c r="L357" s="52"/>
      <c r="M357" s="52"/>
      <c r="N357" s="52" t="s">
        <v>70</v>
      </c>
      <c r="O357" s="52"/>
      <c r="P357" s="52"/>
      <c r="Q357" s="52"/>
      <c r="R357" s="51" t="b">
        <v>0</v>
      </c>
      <c r="S357" s="51"/>
      <c r="T357" s="52"/>
      <c r="U357" s="51" t="b">
        <v>0</v>
      </c>
      <c r="V357" s="51" t="b">
        <v>0</v>
      </c>
      <c r="W357" s="51" t="b">
        <v>0</v>
      </c>
      <c r="X357" s="51" t="b">
        <v>0</v>
      </c>
      <c r="Y357" s="51" t="b">
        <v>0</v>
      </c>
      <c r="Z357" s="51" t="b">
        <v>0</v>
      </c>
      <c r="AA357" s="68"/>
      <c r="AB357" s="52"/>
      <c r="AC357" s="52"/>
      <c r="AD357" s="52"/>
      <c r="AE357" s="56"/>
      <c r="AF357" s="56"/>
    </row>
    <row r="358">
      <c r="A358" s="52" t="s">
        <v>1886</v>
      </c>
      <c r="B358" s="52" t="s">
        <v>14</v>
      </c>
      <c r="C358" s="52" t="s">
        <v>289</v>
      </c>
      <c r="D358" s="65">
        <v>0.6399421296296289</v>
      </c>
      <c r="E358" s="65">
        <v>0.0020833333333333333</v>
      </c>
      <c r="F358" s="65">
        <v>0.6420254629629623</v>
      </c>
      <c r="G358" s="65" t="s">
        <v>446</v>
      </c>
      <c r="H358" s="52" t="s">
        <v>83</v>
      </c>
      <c r="I358" s="52" t="s">
        <v>447</v>
      </c>
      <c r="J358" s="52"/>
      <c r="K358" s="52"/>
      <c r="L358" s="52"/>
      <c r="M358" s="52"/>
      <c r="N358" s="52" t="s">
        <v>70</v>
      </c>
      <c r="O358" s="52"/>
      <c r="P358" s="69" t="s">
        <v>20</v>
      </c>
      <c r="Q358" s="80" t="s">
        <v>1887</v>
      </c>
      <c r="R358" s="51" t="b">
        <v>1</v>
      </c>
      <c r="S358" s="84" t="s">
        <v>447</v>
      </c>
      <c r="T358" s="52"/>
      <c r="U358" s="51" t="b">
        <v>0</v>
      </c>
      <c r="V358" s="51" t="b">
        <v>1</v>
      </c>
      <c r="W358" s="51" t="b">
        <v>0</v>
      </c>
      <c r="X358" s="51" t="b">
        <v>0</v>
      </c>
      <c r="Y358" s="51" t="b">
        <v>1</v>
      </c>
      <c r="Z358" s="51" t="b">
        <v>0</v>
      </c>
      <c r="AA358" s="71">
        <v>0.001990740740740741</v>
      </c>
      <c r="AB358" s="52"/>
      <c r="AC358" s="52"/>
      <c r="AD358" s="121" t="s">
        <v>1888</v>
      </c>
      <c r="AE358" s="56" t="s">
        <v>314</v>
      </c>
      <c r="AF358" s="56" t="s">
        <v>847</v>
      </c>
    </row>
    <row r="359">
      <c r="A359" s="52" t="s">
        <v>1889</v>
      </c>
      <c r="B359" s="52" t="s">
        <v>607</v>
      </c>
      <c r="C359" s="52" t="s">
        <v>607</v>
      </c>
      <c r="D359" s="65" t="s">
        <v>607</v>
      </c>
      <c r="E359" s="65" t="s">
        <v>607</v>
      </c>
      <c r="F359" s="65" t="s">
        <v>607</v>
      </c>
      <c r="G359" s="65" t="s">
        <v>607</v>
      </c>
      <c r="H359" s="52" t="s">
        <v>607</v>
      </c>
      <c r="I359" s="52" t="s">
        <v>607</v>
      </c>
      <c r="J359" s="52" t="s">
        <v>607</v>
      </c>
      <c r="K359" s="52" t="s">
        <v>607</v>
      </c>
      <c r="L359" s="52" t="s">
        <v>607</v>
      </c>
      <c r="M359" s="52" t="s">
        <v>607</v>
      </c>
      <c r="N359" s="52" t="s">
        <v>607</v>
      </c>
      <c r="O359" s="52"/>
      <c r="P359" s="52"/>
      <c r="Q359" s="52"/>
      <c r="R359" s="51" t="b">
        <v>0</v>
      </c>
      <c r="S359" s="51"/>
      <c r="T359" s="52"/>
      <c r="U359" s="51" t="b">
        <v>0</v>
      </c>
      <c r="V359" s="51" t="b">
        <v>0</v>
      </c>
      <c r="W359" s="51" t="b">
        <v>0</v>
      </c>
      <c r="X359" s="51" t="b">
        <v>0</v>
      </c>
      <c r="Y359" s="51" t="b">
        <v>0</v>
      </c>
      <c r="Z359" s="51" t="b">
        <v>0</v>
      </c>
      <c r="AA359" s="68"/>
      <c r="AB359" s="52"/>
      <c r="AC359" s="52"/>
      <c r="AD359" s="52"/>
      <c r="AE359" s="56" t="s">
        <v>607</v>
      </c>
      <c r="AF359" s="56" t="s">
        <v>607</v>
      </c>
    </row>
    <row r="360">
      <c r="A360" s="52" t="s">
        <v>1890</v>
      </c>
      <c r="B360" s="52" t="s">
        <v>785</v>
      </c>
      <c r="C360" s="52" t="s">
        <v>289</v>
      </c>
      <c r="D360" s="65">
        <v>0.644664351851852</v>
      </c>
      <c r="E360" s="65">
        <v>3.4722222222222224E-4</v>
      </c>
      <c r="F360" s="65">
        <v>0.6450115740740743</v>
      </c>
      <c r="G360" s="65"/>
      <c r="H360" s="52" t="s">
        <v>81</v>
      </c>
      <c r="I360" s="52" t="s">
        <v>81</v>
      </c>
      <c r="J360" s="52"/>
      <c r="K360" s="52"/>
      <c r="L360" s="52"/>
      <c r="M360" s="52"/>
      <c r="N360" s="52" t="s">
        <v>70</v>
      </c>
      <c r="O360" s="52"/>
      <c r="P360" s="52"/>
      <c r="Q360" s="52"/>
      <c r="R360" s="51" t="b">
        <v>0</v>
      </c>
      <c r="S360" s="51"/>
      <c r="T360" s="52"/>
      <c r="U360" s="51" t="b">
        <v>0</v>
      </c>
      <c r="V360" s="51" t="b">
        <v>0</v>
      </c>
      <c r="W360" s="51" t="b">
        <v>0</v>
      </c>
      <c r="X360" s="51" t="b">
        <v>0</v>
      </c>
      <c r="Y360" s="51" t="b">
        <v>0</v>
      </c>
      <c r="Z360" s="51" t="b">
        <v>0</v>
      </c>
      <c r="AA360" s="68"/>
      <c r="AB360" s="52"/>
      <c r="AC360" s="52"/>
      <c r="AD360" s="52"/>
      <c r="AE360" s="56"/>
      <c r="AF360" s="56"/>
    </row>
    <row r="361">
      <c r="A361" s="52" t="s">
        <v>1891</v>
      </c>
      <c r="B361" s="52" t="s">
        <v>785</v>
      </c>
      <c r="C361" s="52" t="s">
        <v>289</v>
      </c>
      <c r="D361" s="65">
        <v>0.6450115740740743</v>
      </c>
      <c r="E361" s="65">
        <v>0.006944444444444444</v>
      </c>
      <c r="F361" s="65">
        <v>0.6519560185185187</v>
      </c>
      <c r="G361" s="65"/>
      <c r="H361" s="52" t="s">
        <v>165</v>
      </c>
      <c r="I361" s="52" t="s">
        <v>1768</v>
      </c>
      <c r="J361" s="52" t="s">
        <v>1769</v>
      </c>
      <c r="K361" s="52"/>
      <c r="L361" s="52"/>
      <c r="M361" s="52"/>
      <c r="N361" s="52" t="s">
        <v>70</v>
      </c>
      <c r="O361" s="69" t="s">
        <v>884</v>
      </c>
      <c r="P361" s="69" t="s">
        <v>32</v>
      </c>
      <c r="Q361" s="80" t="s">
        <v>1892</v>
      </c>
      <c r="R361" s="51" t="b">
        <v>1</v>
      </c>
      <c r="S361" s="78" t="s">
        <v>1893</v>
      </c>
      <c r="T361" s="52"/>
      <c r="U361" s="51" t="b">
        <v>0</v>
      </c>
      <c r="V361" s="51" t="b">
        <v>1</v>
      </c>
      <c r="W361" s="51" t="b">
        <v>1</v>
      </c>
      <c r="X361" s="51" t="b">
        <v>1</v>
      </c>
      <c r="Y361" s="51" t="b">
        <v>0</v>
      </c>
      <c r="Z361" s="51" t="b">
        <v>0</v>
      </c>
      <c r="AA361" s="71">
        <v>0.007488425925925926</v>
      </c>
      <c r="AB361" s="69" t="s">
        <v>1894</v>
      </c>
      <c r="AC361" s="75"/>
      <c r="AD361" s="73" t="s">
        <v>1895</v>
      </c>
      <c r="AE361" s="56" t="s">
        <v>743</v>
      </c>
      <c r="AF361" s="56" t="s">
        <v>1253</v>
      </c>
    </row>
    <row r="362">
      <c r="A362" s="52" t="s">
        <v>1896</v>
      </c>
      <c r="B362" s="52" t="s">
        <v>785</v>
      </c>
      <c r="C362" s="52" t="s">
        <v>289</v>
      </c>
      <c r="D362" s="65">
        <v>0.6519560185185187</v>
      </c>
      <c r="E362" s="65">
        <v>1.7361111111111112E-4</v>
      </c>
      <c r="F362" s="65">
        <v>0.6521296296296298</v>
      </c>
      <c r="G362" s="65"/>
      <c r="H362" s="52" t="s">
        <v>85</v>
      </c>
      <c r="I362" s="52" t="s">
        <v>85</v>
      </c>
      <c r="J362" s="52"/>
      <c r="K362" s="52"/>
      <c r="L362" s="52"/>
      <c r="M362" s="52"/>
      <c r="N362" s="52" t="s">
        <v>70</v>
      </c>
      <c r="O362" s="52"/>
      <c r="P362" s="52"/>
      <c r="Q362" s="52"/>
      <c r="R362" s="51" t="b">
        <v>0</v>
      </c>
      <c r="S362" s="51"/>
      <c r="T362" s="52"/>
      <c r="U362" s="51" t="b">
        <v>0</v>
      </c>
      <c r="V362" s="51" t="b">
        <v>0</v>
      </c>
      <c r="W362" s="51" t="b">
        <v>0</v>
      </c>
      <c r="X362" s="51" t="b">
        <v>0</v>
      </c>
      <c r="Y362" s="51" t="b">
        <v>0</v>
      </c>
      <c r="Z362" s="51" t="b">
        <v>0</v>
      </c>
      <c r="AA362" s="68"/>
      <c r="AB362" s="52"/>
      <c r="AC362" s="52"/>
      <c r="AD362" s="52"/>
      <c r="AE362" s="56"/>
      <c r="AF362" s="56"/>
    </row>
    <row r="363">
      <c r="A363" s="52" t="s">
        <v>1897</v>
      </c>
      <c r="B363" s="52" t="s">
        <v>14</v>
      </c>
      <c r="C363" s="52" t="s">
        <v>221</v>
      </c>
      <c r="D363" s="65">
        <v>0.5146990740740744</v>
      </c>
      <c r="E363" s="65">
        <v>2.314814814814815E-4</v>
      </c>
      <c r="F363" s="65">
        <v>0.5149305555555559</v>
      </c>
      <c r="G363" s="65"/>
      <c r="H363" s="52" t="s">
        <v>81</v>
      </c>
      <c r="I363" s="52" t="s">
        <v>81</v>
      </c>
      <c r="J363" s="52" t="s">
        <v>128</v>
      </c>
      <c r="K363" s="52"/>
      <c r="L363" s="52"/>
      <c r="M363" s="52"/>
      <c r="N363" s="52" t="s">
        <v>70</v>
      </c>
      <c r="O363" s="52"/>
      <c r="P363" s="52"/>
      <c r="Q363" s="52"/>
      <c r="R363" s="51" t="b">
        <v>0</v>
      </c>
      <c r="S363" s="51"/>
      <c r="T363" s="52"/>
      <c r="U363" s="51" t="b">
        <v>0</v>
      </c>
      <c r="V363" s="51" t="b">
        <v>0</v>
      </c>
      <c r="W363" s="51" t="b">
        <v>0</v>
      </c>
      <c r="X363" s="51" t="b">
        <v>0</v>
      </c>
      <c r="Y363" s="51" t="b">
        <v>0</v>
      </c>
      <c r="Z363" s="51" t="b">
        <v>0</v>
      </c>
      <c r="AA363" s="68"/>
      <c r="AB363" s="52"/>
      <c r="AC363" s="52"/>
      <c r="AD363" s="52"/>
      <c r="AE363" s="56"/>
      <c r="AF363" s="56"/>
    </row>
    <row r="364">
      <c r="A364" s="52" t="s">
        <v>1898</v>
      </c>
      <c r="B364" s="52" t="s">
        <v>14</v>
      </c>
      <c r="C364" s="52" t="s">
        <v>221</v>
      </c>
      <c r="D364" s="65">
        <v>0.6277430555555553</v>
      </c>
      <c r="E364" s="65">
        <v>0.006944444444444444</v>
      </c>
      <c r="F364" s="65">
        <v>0.6346874999999997</v>
      </c>
      <c r="G364" s="65" t="s">
        <v>245</v>
      </c>
      <c r="H364" s="52" t="s">
        <v>165</v>
      </c>
      <c r="I364" s="52" t="s">
        <v>308</v>
      </c>
      <c r="J364" s="52" t="s">
        <v>309</v>
      </c>
      <c r="K364" s="52"/>
      <c r="L364" s="52"/>
      <c r="M364" s="52"/>
      <c r="N364" s="52" t="s">
        <v>70</v>
      </c>
      <c r="O364" s="69" t="s">
        <v>884</v>
      </c>
      <c r="P364" s="69" t="s">
        <v>30</v>
      </c>
      <c r="Q364" s="70" t="s">
        <v>1899</v>
      </c>
      <c r="R364" s="51" t="b">
        <v>1</v>
      </c>
      <c r="S364" s="52" t="s">
        <v>308</v>
      </c>
      <c r="T364" s="52"/>
      <c r="U364" s="51" t="b">
        <v>0</v>
      </c>
      <c r="V364" s="51" t="b">
        <v>1</v>
      </c>
      <c r="W364" s="51" t="b">
        <v>1</v>
      </c>
      <c r="X364" s="51" t="b">
        <v>1</v>
      </c>
      <c r="Y364" s="51" t="b">
        <v>0</v>
      </c>
      <c r="Z364" s="51" t="b">
        <v>0</v>
      </c>
      <c r="AA364" s="71">
        <v>0.007013888888888889</v>
      </c>
      <c r="AB364" s="104" t="s">
        <v>1900</v>
      </c>
      <c r="AC364" s="72"/>
      <c r="AD364" s="76" t="s">
        <v>1901</v>
      </c>
      <c r="AE364" s="74" t="s">
        <v>743</v>
      </c>
      <c r="AF364" s="74" t="s">
        <v>873</v>
      </c>
    </row>
    <row r="365">
      <c r="A365" s="52" t="s">
        <v>1902</v>
      </c>
      <c r="B365" s="52" t="s">
        <v>607</v>
      </c>
      <c r="C365" s="52" t="s">
        <v>607</v>
      </c>
      <c r="D365" s="65" t="s">
        <v>607</v>
      </c>
      <c r="E365" s="65" t="s">
        <v>607</v>
      </c>
      <c r="F365" s="65" t="s">
        <v>607</v>
      </c>
      <c r="G365" s="65" t="s">
        <v>607</v>
      </c>
      <c r="H365" s="52" t="s">
        <v>607</v>
      </c>
      <c r="I365" s="52" t="s">
        <v>607</v>
      </c>
      <c r="J365" s="52" t="s">
        <v>607</v>
      </c>
      <c r="K365" s="52" t="s">
        <v>607</v>
      </c>
      <c r="L365" s="52" t="s">
        <v>607</v>
      </c>
      <c r="M365" s="52" t="s">
        <v>607</v>
      </c>
      <c r="N365" s="52" t="s">
        <v>607</v>
      </c>
      <c r="O365" s="52"/>
      <c r="P365" s="52"/>
      <c r="Q365" s="52"/>
      <c r="R365" s="51" t="b">
        <v>0</v>
      </c>
      <c r="S365" s="51"/>
      <c r="T365" s="52"/>
      <c r="U365" s="51" t="b">
        <v>0</v>
      </c>
      <c r="V365" s="51" t="b">
        <v>0</v>
      </c>
      <c r="W365" s="51" t="b">
        <v>0</v>
      </c>
      <c r="X365" s="51" t="b">
        <v>0</v>
      </c>
      <c r="Y365" s="51" t="b">
        <v>0</v>
      </c>
      <c r="Z365" s="51" t="b">
        <v>0</v>
      </c>
      <c r="AA365" s="68"/>
      <c r="AB365" s="52"/>
      <c r="AC365" s="52"/>
      <c r="AD365" s="52"/>
      <c r="AE365" s="56" t="s">
        <v>607</v>
      </c>
      <c r="AF365" s="56" t="s">
        <v>607</v>
      </c>
    </row>
    <row r="366">
      <c r="A366" s="52" t="s">
        <v>1903</v>
      </c>
      <c r="B366" s="52" t="s">
        <v>607</v>
      </c>
      <c r="C366" s="52" t="s">
        <v>607</v>
      </c>
      <c r="D366" s="65" t="s">
        <v>607</v>
      </c>
      <c r="E366" s="65" t="s">
        <v>607</v>
      </c>
      <c r="F366" s="65" t="s">
        <v>607</v>
      </c>
      <c r="G366" s="65" t="s">
        <v>607</v>
      </c>
      <c r="H366" s="52" t="s">
        <v>607</v>
      </c>
      <c r="I366" s="52" t="s">
        <v>607</v>
      </c>
      <c r="J366" s="52" t="s">
        <v>607</v>
      </c>
      <c r="K366" s="52" t="s">
        <v>607</v>
      </c>
      <c r="L366" s="52" t="s">
        <v>607</v>
      </c>
      <c r="M366" s="52" t="s">
        <v>607</v>
      </c>
      <c r="N366" s="52" t="s">
        <v>607</v>
      </c>
      <c r="O366" s="52"/>
      <c r="P366" s="52"/>
      <c r="Q366" s="52"/>
      <c r="R366" s="51" t="b">
        <v>0</v>
      </c>
      <c r="S366" s="51"/>
      <c r="T366" s="52"/>
      <c r="U366" s="51" t="b">
        <v>0</v>
      </c>
      <c r="V366" s="51" t="b">
        <v>0</v>
      </c>
      <c r="W366" s="51" t="b">
        <v>0</v>
      </c>
      <c r="X366" s="51" t="b">
        <v>0</v>
      </c>
      <c r="Y366" s="51" t="b">
        <v>0</v>
      </c>
      <c r="Z366" s="51" t="b">
        <v>0</v>
      </c>
      <c r="AA366" s="68"/>
      <c r="AB366" s="52"/>
      <c r="AC366" s="52"/>
      <c r="AD366" s="52"/>
      <c r="AE366" s="56" t="s">
        <v>607</v>
      </c>
      <c r="AF366" s="56" t="s">
        <v>607</v>
      </c>
    </row>
    <row r="367">
      <c r="A367" s="52" t="s">
        <v>1904</v>
      </c>
      <c r="B367" s="52" t="s">
        <v>785</v>
      </c>
      <c r="C367" s="52" t="s">
        <v>289</v>
      </c>
      <c r="D367" s="65">
        <v>0.6521296296296298</v>
      </c>
      <c r="E367" s="65">
        <v>3.4722222222222224E-4</v>
      </c>
      <c r="F367" s="65">
        <v>0.6524768518518521</v>
      </c>
      <c r="G367" s="65"/>
      <c r="H367" s="52" t="s">
        <v>81</v>
      </c>
      <c r="I367" s="52" t="s">
        <v>81</v>
      </c>
      <c r="J367" s="52"/>
      <c r="K367" s="52"/>
      <c r="L367" s="52"/>
      <c r="M367" s="52"/>
      <c r="N367" s="52" t="s">
        <v>70</v>
      </c>
      <c r="O367" s="52"/>
      <c r="P367" s="52"/>
      <c r="Q367" s="52"/>
      <c r="R367" s="51" t="b">
        <v>0</v>
      </c>
      <c r="S367" s="51"/>
      <c r="T367" s="52"/>
      <c r="U367" s="51" t="b">
        <v>0</v>
      </c>
      <c r="V367" s="51" t="b">
        <v>0</v>
      </c>
      <c r="W367" s="51" t="b">
        <v>0</v>
      </c>
      <c r="X367" s="51" t="b">
        <v>0</v>
      </c>
      <c r="Y367" s="51" t="b">
        <v>0</v>
      </c>
      <c r="Z367" s="51" t="b">
        <v>0</v>
      </c>
      <c r="AA367" s="68"/>
      <c r="AB367" s="52"/>
      <c r="AC367" s="52"/>
      <c r="AD367" s="52"/>
      <c r="AE367" s="56"/>
      <c r="AF367" s="56"/>
    </row>
    <row r="368">
      <c r="A368" s="52" t="s">
        <v>1905</v>
      </c>
      <c r="B368" s="52" t="s">
        <v>785</v>
      </c>
      <c r="C368" s="52" t="s">
        <v>289</v>
      </c>
      <c r="D368" s="65">
        <v>0.6524768518518521</v>
      </c>
      <c r="E368" s="65">
        <v>0.010416666666666666</v>
      </c>
      <c r="F368" s="65">
        <v>0.6628935185185187</v>
      </c>
      <c r="G368" s="65" t="s">
        <v>140</v>
      </c>
      <c r="H368" s="52" t="s">
        <v>74</v>
      </c>
      <c r="I368" s="52" t="s">
        <v>1771</v>
      </c>
      <c r="J368" s="52" t="s">
        <v>1772</v>
      </c>
      <c r="K368" s="52" t="s">
        <v>1773</v>
      </c>
      <c r="L368" s="52" t="s">
        <v>1774</v>
      </c>
      <c r="M368" s="52"/>
      <c r="N368" s="52" t="s">
        <v>1775</v>
      </c>
      <c r="O368" s="69" t="s">
        <v>791</v>
      </c>
      <c r="P368" s="69" t="s">
        <v>17</v>
      </c>
      <c r="Q368" s="70" t="s">
        <v>1906</v>
      </c>
      <c r="R368" s="51" t="b">
        <v>1</v>
      </c>
      <c r="S368" s="98" t="s">
        <v>1907</v>
      </c>
      <c r="T368" s="52"/>
      <c r="U368" s="51" t="b">
        <v>0</v>
      </c>
      <c r="V368" s="51" t="b">
        <v>1</v>
      </c>
      <c r="W368" s="51" t="b">
        <v>1</v>
      </c>
      <c r="X368" s="51" t="b">
        <v>1</v>
      </c>
      <c r="Y368" s="51" t="b">
        <v>0</v>
      </c>
      <c r="Z368" s="51" t="b">
        <v>0</v>
      </c>
      <c r="AA368" s="71">
        <v>0.008483796296296297</v>
      </c>
      <c r="AB368" s="69"/>
      <c r="AC368" s="72"/>
      <c r="AD368" s="73" t="s">
        <v>1908</v>
      </c>
      <c r="AE368" s="74" t="s">
        <v>629</v>
      </c>
      <c r="AF368" s="74" t="s">
        <v>1055</v>
      </c>
    </row>
    <row r="369">
      <c r="A369" s="52" t="s">
        <v>1909</v>
      </c>
      <c r="B369" s="52" t="s">
        <v>785</v>
      </c>
      <c r="C369" s="52" t="s">
        <v>289</v>
      </c>
      <c r="D369" s="65">
        <v>0.6628935185185187</v>
      </c>
      <c r="E369" s="65">
        <v>1.7361111111111112E-4</v>
      </c>
      <c r="F369" s="65">
        <v>0.6630671296296299</v>
      </c>
      <c r="G369" s="65"/>
      <c r="H369" s="52"/>
      <c r="I369" s="52"/>
      <c r="J369" s="52"/>
      <c r="K369" s="52"/>
      <c r="L369" s="52"/>
      <c r="M369" s="52"/>
      <c r="N369" s="52" t="s">
        <v>70</v>
      </c>
      <c r="O369" s="52"/>
      <c r="P369" s="52"/>
      <c r="Q369" s="52"/>
      <c r="R369" s="51" t="b">
        <v>0</v>
      </c>
      <c r="S369" s="51"/>
      <c r="T369" s="52"/>
      <c r="U369" s="51" t="b">
        <v>0</v>
      </c>
      <c r="V369" s="51" t="b">
        <v>0</v>
      </c>
      <c r="W369" s="51" t="b">
        <v>0</v>
      </c>
      <c r="X369" s="51" t="b">
        <v>0</v>
      </c>
      <c r="Y369" s="51" t="b">
        <v>0</v>
      </c>
      <c r="Z369" s="51" t="b">
        <v>0</v>
      </c>
      <c r="AA369" s="68"/>
      <c r="AB369" s="52"/>
      <c r="AC369" s="52"/>
      <c r="AD369" s="52"/>
      <c r="AE369" s="56"/>
      <c r="AF369" s="56"/>
    </row>
    <row r="370">
      <c r="A370" s="52" t="s">
        <v>1910</v>
      </c>
      <c r="B370" s="52" t="s">
        <v>607</v>
      </c>
      <c r="C370" s="52" t="s">
        <v>607</v>
      </c>
      <c r="D370" s="65" t="s">
        <v>607</v>
      </c>
      <c r="E370" s="65" t="s">
        <v>607</v>
      </c>
      <c r="F370" s="65" t="s">
        <v>607</v>
      </c>
      <c r="G370" s="65" t="s">
        <v>607</v>
      </c>
      <c r="H370" s="52" t="s">
        <v>607</v>
      </c>
      <c r="I370" s="52" t="s">
        <v>607</v>
      </c>
      <c r="J370" s="52" t="s">
        <v>607</v>
      </c>
      <c r="K370" s="52" t="s">
        <v>607</v>
      </c>
      <c r="L370" s="52" t="s">
        <v>607</v>
      </c>
      <c r="M370" s="52" t="s">
        <v>607</v>
      </c>
      <c r="N370" s="52" t="s">
        <v>607</v>
      </c>
      <c r="O370" s="52"/>
      <c r="P370" s="52"/>
      <c r="Q370" s="52"/>
      <c r="R370" s="51" t="b">
        <v>0</v>
      </c>
      <c r="S370" s="51"/>
      <c r="T370" s="52"/>
      <c r="U370" s="51" t="b">
        <v>0</v>
      </c>
      <c r="V370" s="51" t="b">
        <v>0</v>
      </c>
      <c r="W370" s="51" t="b">
        <v>0</v>
      </c>
      <c r="X370" s="51" t="b">
        <v>0</v>
      </c>
      <c r="Y370" s="51" t="b">
        <v>0</v>
      </c>
      <c r="Z370" s="51" t="b">
        <v>0</v>
      </c>
      <c r="AA370" s="68"/>
      <c r="AB370" s="52"/>
      <c r="AC370" s="52"/>
      <c r="AD370" s="52"/>
      <c r="AE370" s="56" t="s">
        <v>607</v>
      </c>
      <c r="AF370" s="56" t="s">
        <v>607</v>
      </c>
    </row>
    <row r="371">
      <c r="A371" s="52" t="s">
        <v>1911</v>
      </c>
      <c r="B371" s="52" t="s">
        <v>14</v>
      </c>
      <c r="C371" s="52" t="s">
        <v>289</v>
      </c>
      <c r="D371" s="65">
        <v>0.6683449074074065</v>
      </c>
      <c r="E371" s="65">
        <v>6.944444444444445E-4</v>
      </c>
      <c r="F371" s="65">
        <v>0.6690393518518509</v>
      </c>
      <c r="G371" s="65"/>
      <c r="H371" s="52" t="s">
        <v>103</v>
      </c>
      <c r="I371" s="52" t="s">
        <v>456</v>
      </c>
      <c r="J371" s="52" t="s">
        <v>128</v>
      </c>
      <c r="K371" s="52" t="s">
        <v>457</v>
      </c>
      <c r="L371" s="52"/>
      <c r="M371" s="52"/>
      <c r="N371" s="52" t="s">
        <v>70</v>
      </c>
      <c r="O371" s="52"/>
      <c r="P371" s="52"/>
      <c r="Q371" s="52"/>
      <c r="R371" s="51" t="b">
        <v>0</v>
      </c>
      <c r="S371" s="51"/>
      <c r="T371" s="52"/>
      <c r="U371" s="51" t="b">
        <v>0</v>
      </c>
      <c r="V371" s="51" t="b">
        <v>0</v>
      </c>
      <c r="W371" s="51" t="b">
        <v>0</v>
      </c>
      <c r="X371" s="51" t="b">
        <v>0</v>
      </c>
      <c r="Y371" s="51" t="b">
        <v>0</v>
      </c>
      <c r="Z371" s="51" t="b">
        <v>0</v>
      </c>
      <c r="AA371" s="68"/>
      <c r="AB371" s="52"/>
      <c r="AC371" s="52"/>
      <c r="AD371" s="52"/>
      <c r="AE371" s="56"/>
      <c r="AF371" s="56"/>
    </row>
    <row r="372">
      <c r="A372" s="52" t="s">
        <v>1912</v>
      </c>
      <c r="B372" s="52" t="s">
        <v>14</v>
      </c>
      <c r="C372" s="52" t="s">
        <v>289</v>
      </c>
      <c r="D372" s="65">
        <v>0.43165509259259266</v>
      </c>
      <c r="E372" s="65">
        <v>2.314814814814815E-4</v>
      </c>
      <c r="F372" s="65">
        <v>0.43188657407407416</v>
      </c>
      <c r="G372" s="65"/>
      <c r="H372" s="52" t="s">
        <v>81</v>
      </c>
      <c r="I372" s="52" t="s">
        <v>81</v>
      </c>
      <c r="J372" s="52" t="s">
        <v>105</v>
      </c>
      <c r="K372" s="52"/>
      <c r="L372" s="52"/>
      <c r="M372" s="52"/>
      <c r="N372" s="52" t="s">
        <v>70</v>
      </c>
      <c r="O372" s="52"/>
      <c r="P372" s="52"/>
      <c r="Q372" s="52"/>
      <c r="R372" s="51" t="b">
        <v>0</v>
      </c>
      <c r="S372" s="51"/>
      <c r="T372" s="52"/>
      <c r="U372" s="51" t="b">
        <v>0</v>
      </c>
      <c r="V372" s="51" t="b">
        <v>0</v>
      </c>
      <c r="W372" s="51" t="b">
        <v>0</v>
      </c>
      <c r="X372" s="51" t="b">
        <v>0</v>
      </c>
      <c r="Y372" s="51" t="b">
        <v>0</v>
      </c>
      <c r="Z372" s="51" t="b">
        <v>0</v>
      </c>
      <c r="AA372" s="68"/>
      <c r="AB372" s="52"/>
      <c r="AC372" s="52"/>
      <c r="AD372" s="52"/>
      <c r="AE372" s="56"/>
      <c r="AF372" s="56"/>
    </row>
    <row r="373">
      <c r="A373" s="52" t="s">
        <v>1913</v>
      </c>
      <c r="B373" s="52" t="s">
        <v>14</v>
      </c>
      <c r="C373" s="52" t="s">
        <v>289</v>
      </c>
      <c r="D373" s="65">
        <v>0.43188657407407416</v>
      </c>
      <c r="E373" s="65">
        <v>0.009722222222222222</v>
      </c>
      <c r="F373" s="65">
        <v>0.4416087962962964</v>
      </c>
      <c r="G373" s="65"/>
      <c r="H373" s="52" t="s">
        <v>94</v>
      </c>
      <c r="I373" s="52" t="s">
        <v>352</v>
      </c>
      <c r="J373" s="52" t="s">
        <v>353</v>
      </c>
      <c r="K373" s="52"/>
      <c r="L373" s="52"/>
      <c r="M373" s="52"/>
      <c r="N373" s="52" t="s">
        <v>354</v>
      </c>
      <c r="O373" s="52"/>
      <c r="P373" s="52"/>
      <c r="Q373" s="52"/>
      <c r="R373" s="51" t="b">
        <v>0</v>
      </c>
      <c r="S373" s="51"/>
      <c r="T373" s="52"/>
      <c r="U373" s="51" t="b">
        <v>0</v>
      </c>
      <c r="V373" s="51" t="b">
        <v>0</v>
      </c>
      <c r="W373" s="51" t="b">
        <v>0</v>
      </c>
      <c r="X373" s="51" t="b">
        <v>0</v>
      </c>
      <c r="Y373" s="51" t="b">
        <v>0</v>
      </c>
      <c r="Z373" s="51" t="b">
        <v>0</v>
      </c>
      <c r="AA373" s="68"/>
      <c r="AB373" s="52"/>
      <c r="AC373" s="52"/>
      <c r="AD373" s="52"/>
      <c r="AE373" s="56" t="s">
        <v>1499</v>
      </c>
      <c r="AF373" s="56" t="s">
        <v>1125</v>
      </c>
    </row>
    <row r="374">
      <c r="A374" s="52" t="s">
        <v>1914</v>
      </c>
      <c r="B374" s="52" t="s">
        <v>607</v>
      </c>
      <c r="C374" s="52" t="s">
        <v>607</v>
      </c>
      <c r="D374" s="65" t="s">
        <v>607</v>
      </c>
      <c r="E374" s="65" t="s">
        <v>607</v>
      </c>
      <c r="F374" s="65" t="s">
        <v>607</v>
      </c>
      <c r="G374" s="65" t="s">
        <v>607</v>
      </c>
      <c r="H374" s="52" t="s">
        <v>607</v>
      </c>
      <c r="I374" s="52" t="s">
        <v>607</v>
      </c>
      <c r="J374" s="52" t="s">
        <v>607</v>
      </c>
      <c r="K374" s="52" t="s">
        <v>607</v>
      </c>
      <c r="L374" s="52" t="s">
        <v>607</v>
      </c>
      <c r="M374" s="52" t="s">
        <v>607</v>
      </c>
      <c r="N374" s="52" t="s">
        <v>607</v>
      </c>
      <c r="O374" s="52"/>
      <c r="P374" s="52"/>
      <c r="Q374" s="52"/>
      <c r="R374" s="51" t="b">
        <v>0</v>
      </c>
      <c r="S374" s="51"/>
      <c r="T374" s="52"/>
      <c r="U374" s="51" t="b">
        <v>0</v>
      </c>
      <c r="V374" s="51" t="b">
        <v>0</v>
      </c>
      <c r="W374" s="51" t="b">
        <v>0</v>
      </c>
      <c r="X374" s="51" t="b">
        <v>0</v>
      </c>
      <c r="Y374" s="51" t="b">
        <v>0</v>
      </c>
      <c r="Z374" s="51" t="b">
        <v>0</v>
      </c>
      <c r="AA374" s="68"/>
      <c r="AB374" s="52"/>
      <c r="AC374" s="52"/>
      <c r="AD374" s="52"/>
      <c r="AE374" s="56" t="s">
        <v>607</v>
      </c>
      <c r="AF374" s="56" t="s">
        <v>607</v>
      </c>
    </row>
    <row r="375">
      <c r="A375" s="52" t="s">
        <v>1915</v>
      </c>
      <c r="B375" s="52" t="s">
        <v>14</v>
      </c>
      <c r="C375" s="52" t="s">
        <v>221</v>
      </c>
      <c r="D375" s="65">
        <v>0.44525462962962975</v>
      </c>
      <c r="E375" s="65">
        <v>2.314814814814815E-4</v>
      </c>
      <c r="F375" s="65">
        <v>0.44548611111111125</v>
      </c>
      <c r="G375" s="65"/>
      <c r="H375" s="52" t="s">
        <v>81</v>
      </c>
      <c r="I375" s="52" t="s">
        <v>233</v>
      </c>
      <c r="J375" s="52" t="s">
        <v>128</v>
      </c>
      <c r="K375" s="52"/>
      <c r="L375" s="52"/>
      <c r="M375" s="52"/>
      <c r="N375" s="52" t="s">
        <v>70</v>
      </c>
      <c r="O375" s="52"/>
      <c r="P375" s="52"/>
      <c r="Q375" s="52"/>
      <c r="R375" s="51" t="b">
        <v>0</v>
      </c>
      <c r="S375" s="51"/>
      <c r="T375" s="52"/>
      <c r="U375" s="51" t="b">
        <v>0</v>
      </c>
      <c r="V375" s="51" t="b">
        <v>0</v>
      </c>
      <c r="W375" s="51" t="b">
        <v>0</v>
      </c>
      <c r="X375" s="51" t="b">
        <v>0</v>
      </c>
      <c r="Y375" s="51" t="b">
        <v>0</v>
      </c>
      <c r="Z375" s="51" t="b">
        <v>0</v>
      </c>
      <c r="AA375" s="68"/>
      <c r="AB375" s="52"/>
      <c r="AC375" s="52"/>
      <c r="AD375" s="52"/>
      <c r="AE375" s="56"/>
      <c r="AF375" s="56"/>
    </row>
    <row r="376">
      <c r="A376" s="52" t="s">
        <v>1916</v>
      </c>
      <c r="B376" s="52" t="s">
        <v>14</v>
      </c>
      <c r="C376" s="52" t="s">
        <v>221</v>
      </c>
      <c r="D376" s="65">
        <v>0.44548611111111125</v>
      </c>
      <c r="E376" s="65">
        <v>0.0020833333333333333</v>
      </c>
      <c r="F376" s="65">
        <v>0.4475694444444446</v>
      </c>
      <c r="G376" s="65"/>
      <c r="H376" s="52" t="s">
        <v>83</v>
      </c>
      <c r="I376" s="52" t="s">
        <v>234</v>
      </c>
      <c r="J376" s="52"/>
      <c r="K376" s="52"/>
      <c r="L376" s="52"/>
      <c r="M376" s="52"/>
      <c r="N376" s="52" t="s">
        <v>70</v>
      </c>
      <c r="O376" s="52"/>
      <c r="P376" s="52"/>
      <c r="Q376" s="52"/>
      <c r="R376" s="51" t="b">
        <v>0</v>
      </c>
      <c r="S376" s="51"/>
      <c r="T376" s="52"/>
      <c r="U376" s="51" t="b">
        <v>0</v>
      </c>
      <c r="V376" s="51" t="b">
        <v>0</v>
      </c>
      <c r="W376" s="51" t="b">
        <v>0</v>
      </c>
      <c r="X376" s="51" t="b">
        <v>0</v>
      </c>
      <c r="Y376" s="51" t="b">
        <v>0</v>
      </c>
      <c r="Z376" s="51" t="b">
        <v>0</v>
      </c>
      <c r="AA376" s="68"/>
      <c r="AB376" s="52"/>
      <c r="AC376" s="52"/>
      <c r="AD376" s="52"/>
      <c r="AE376" s="56" t="s">
        <v>314</v>
      </c>
      <c r="AF376" s="56"/>
    </row>
    <row r="377">
      <c r="A377" s="52" t="s">
        <v>1917</v>
      </c>
      <c r="B377" s="52" t="s">
        <v>607</v>
      </c>
      <c r="C377" s="52" t="s">
        <v>607</v>
      </c>
      <c r="D377" s="65" t="s">
        <v>607</v>
      </c>
      <c r="E377" s="65" t="s">
        <v>607</v>
      </c>
      <c r="F377" s="65" t="s">
        <v>607</v>
      </c>
      <c r="G377" s="65" t="s">
        <v>607</v>
      </c>
      <c r="H377" s="52" t="s">
        <v>607</v>
      </c>
      <c r="I377" s="52" t="s">
        <v>607</v>
      </c>
      <c r="J377" s="52" t="s">
        <v>607</v>
      </c>
      <c r="K377" s="52" t="s">
        <v>607</v>
      </c>
      <c r="L377" s="52" t="s">
        <v>607</v>
      </c>
      <c r="M377" s="52" t="s">
        <v>607</v>
      </c>
      <c r="N377" s="52" t="s">
        <v>607</v>
      </c>
      <c r="O377" s="52"/>
      <c r="P377" s="52"/>
      <c r="Q377" s="52"/>
      <c r="R377" s="51" t="b">
        <v>0</v>
      </c>
      <c r="S377" s="51"/>
      <c r="T377" s="52"/>
      <c r="U377" s="51" t="b">
        <v>0</v>
      </c>
      <c r="V377" s="51" t="b">
        <v>0</v>
      </c>
      <c r="W377" s="51" t="b">
        <v>0</v>
      </c>
      <c r="X377" s="51" t="b">
        <v>0</v>
      </c>
      <c r="Y377" s="51" t="b">
        <v>0</v>
      </c>
      <c r="Z377" s="51" t="b">
        <v>0</v>
      </c>
      <c r="AA377" s="68"/>
      <c r="AB377" s="52"/>
      <c r="AC377" s="52"/>
      <c r="AD377" s="52"/>
      <c r="AE377" s="56" t="s">
        <v>607</v>
      </c>
      <c r="AF377" s="56" t="s">
        <v>607</v>
      </c>
    </row>
    <row r="378">
      <c r="A378" s="52" t="s">
        <v>1918</v>
      </c>
      <c r="B378" s="52" t="s">
        <v>14</v>
      </c>
      <c r="C378" s="52" t="s">
        <v>289</v>
      </c>
      <c r="D378" s="65">
        <v>0.6804745370370361</v>
      </c>
      <c r="E378" s="65">
        <v>2.314814814814815E-4</v>
      </c>
      <c r="F378" s="65">
        <v>0.6807060185185175</v>
      </c>
      <c r="G378" s="65"/>
      <c r="H378" s="52" t="s">
        <v>81</v>
      </c>
      <c r="I378" s="52" t="s">
        <v>81</v>
      </c>
      <c r="J378" s="52" t="s">
        <v>73</v>
      </c>
      <c r="K378" s="52" t="s">
        <v>128</v>
      </c>
      <c r="L378" s="52"/>
      <c r="M378" s="52"/>
      <c r="N378" s="52" t="s">
        <v>70</v>
      </c>
      <c r="O378" s="52"/>
      <c r="P378" s="52"/>
      <c r="Q378" s="52"/>
      <c r="R378" s="51" t="b">
        <v>0</v>
      </c>
      <c r="S378" s="51"/>
      <c r="T378" s="52"/>
      <c r="U378" s="51" t="b">
        <v>0</v>
      </c>
      <c r="V378" s="51" t="b">
        <v>0</v>
      </c>
      <c r="W378" s="51" t="b">
        <v>0</v>
      </c>
      <c r="X378" s="51" t="b">
        <v>0</v>
      </c>
      <c r="Y378" s="51" t="b">
        <v>0</v>
      </c>
      <c r="Z378" s="51" t="b">
        <v>0</v>
      </c>
      <c r="AA378" s="68"/>
      <c r="AB378" s="52"/>
      <c r="AC378" s="52"/>
      <c r="AD378" s="52"/>
      <c r="AE378" s="56"/>
      <c r="AF378" s="56"/>
    </row>
    <row r="379">
      <c r="A379" s="52" t="s">
        <v>1919</v>
      </c>
      <c r="B379" s="52" t="s">
        <v>14</v>
      </c>
      <c r="C379" s="52" t="s">
        <v>289</v>
      </c>
      <c r="D379" s="65">
        <v>0.6807060185185175</v>
      </c>
      <c r="E379" s="65">
        <v>0.010416666666666666</v>
      </c>
      <c r="F379" s="65">
        <v>0.6911226851851842</v>
      </c>
      <c r="G379" s="65" t="s">
        <v>140</v>
      </c>
      <c r="H379" s="52" t="s">
        <v>94</v>
      </c>
      <c r="I379" s="52" t="s">
        <v>462</v>
      </c>
      <c r="J379" s="52" t="s">
        <v>463</v>
      </c>
      <c r="K379" s="52"/>
      <c r="L379" s="52"/>
      <c r="M379" s="52"/>
      <c r="N379" s="52" t="s">
        <v>464</v>
      </c>
      <c r="O379" s="69" t="s">
        <v>618</v>
      </c>
      <c r="P379" s="69" t="s">
        <v>30</v>
      </c>
      <c r="Q379" s="80" t="s">
        <v>1920</v>
      </c>
      <c r="R379" s="51" t="b">
        <v>1</v>
      </c>
      <c r="S379" s="52" t="s">
        <v>462</v>
      </c>
      <c r="T379" s="52"/>
      <c r="U379" s="51" t="b">
        <v>0</v>
      </c>
      <c r="V379" s="51" t="b">
        <v>1</v>
      </c>
      <c r="W379" s="51" t="b">
        <v>1</v>
      </c>
      <c r="X379" s="51" t="b">
        <v>1</v>
      </c>
      <c r="Y379" s="51" t="b">
        <v>0</v>
      </c>
      <c r="Z379" s="51" t="b">
        <v>0</v>
      </c>
      <c r="AA379" s="71">
        <v>0.64375</v>
      </c>
      <c r="AB379" s="52"/>
      <c r="AC379" s="122"/>
      <c r="AD379" s="73" t="s">
        <v>1921</v>
      </c>
      <c r="AE379" s="56" t="s">
        <v>629</v>
      </c>
      <c r="AF379" s="56" t="s">
        <v>873</v>
      </c>
    </row>
    <row r="380">
      <c r="A380" s="52" t="s">
        <v>1922</v>
      </c>
      <c r="B380" s="52" t="s">
        <v>607</v>
      </c>
      <c r="C380" s="52" t="s">
        <v>607</v>
      </c>
      <c r="D380" s="65" t="s">
        <v>607</v>
      </c>
      <c r="E380" s="65" t="s">
        <v>607</v>
      </c>
      <c r="F380" s="65" t="s">
        <v>607</v>
      </c>
      <c r="G380" s="65" t="s">
        <v>607</v>
      </c>
      <c r="H380" s="52" t="s">
        <v>607</v>
      </c>
      <c r="I380" s="52" t="s">
        <v>607</v>
      </c>
      <c r="J380" s="52" t="s">
        <v>607</v>
      </c>
      <c r="K380" s="52" t="s">
        <v>607</v>
      </c>
      <c r="L380" s="52" t="s">
        <v>607</v>
      </c>
      <c r="M380" s="52" t="s">
        <v>607</v>
      </c>
      <c r="N380" s="52" t="s">
        <v>607</v>
      </c>
      <c r="O380" s="52"/>
      <c r="P380" s="52"/>
      <c r="Q380" s="52"/>
      <c r="R380" s="51" t="b">
        <v>0</v>
      </c>
      <c r="S380" s="51"/>
      <c r="T380" s="52"/>
      <c r="U380" s="51" t="b">
        <v>0</v>
      </c>
      <c r="V380" s="51" t="b">
        <v>0</v>
      </c>
      <c r="W380" s="51" t="b">
        <v>0</v>
      </c>
      <c r="X380" s="51" t="b">
        <v>0</v>
      </c>
      <c r="Y380" s="51" t="b">
        <v>0</v>
      </c>
      <c r="Z380" s="51" t="b">
        <v>0</v>
      </c>
      <c r="AA380" s="68"/>
      <c r="AB380" s="52"/>
      <c r="AC380" s="52"/>
      <c r="AD380" s="52"/>
      <c r="AE380" s="56" t="s">
        <v>607</v>
      </c>
      <c r="AF380" s="56" t="s">
        <v>607</v>
      </c>
    </row>
    <row r="381">
      <c r="A381" s="52" t="s">
        <v>1923</v>
      </c>
      <c r="B381" s="52" t="s">
        <v>607</v>
      </c>
      <c r="C381" s="52" t="s">
        <v>607</v>
      </c>
      <c r="D381" s="65" t="s">
        <v>607</v>
      </c>
      <c r="E381" s="65" t="s">
        <v>607</v>
      </c>
      <c r="F381" s="65" t="s">
        <v>607</v>
      </c>
      <c r="G381" s="65" t="s">
        <v>607</v>
      </c>
      <c r="H381" s="52" t="s">
        <v>607</v>
      </c>
      <c r="I381" s="52" t="s">
        <v>607</v>
      </c>
      <c r="J381" s="52" t="s">
        <v>607</v>
      </c>
      <c r="K381" s="52" t="s">
        <v>607</v>
      </c>
      <c r="L381" s="52" t="s">
        <v>607</v>
      </c>
      <c r="M381" s="52" t="s">
        <v>607</v>
      </c>
      <c r="N381" s="52" t="s">
        <v>607</v>
      </c>
      <c r="O381" s="52"/>
      <c r="P381" s="52"/>
      <c r="Q381" s="52"/>
      <c r="R381" s="51" t="b">
        <v>0</v>
      </c>
      <c r="S381" s="51"/>
      <c r="T381" s="52"/>
      <c r="U381" s="51" t="b">
        <v>0</v>
      </c>
      <c r="V381" s="51" t="b">
        <v>0</v>
      </c>
      <c r="W381" s="51" t="b">
        <v>0</v>
      </c>
      <c r="X381" s="51" t="b">
        <v>0</v>
      </c>
      <c r="Y381" s="51" t="b">
        <v>0</v>
      </c>
      <c r="Z381" s="51" t="b">
        <v>0</v>
      </c>
      <c r="AA381" s="68"/>
      <c r="AB381" s="52"/>
      <c r="AC381" s="52"/>
      <c r="AD381" s="52"/>
      <c r="AE381" s="56" t="s">
        <v>607</v>
      </c>
      <c r="AF381" s="56" t="s">
        <v>607</v>
      </c>
    </row>
    <row r="382">
      <c r="A382" s="52" t="s">
        <v>1924</v>
      </c>
      <c r="B382" s="52" t="s">
        <v>14</v>
      </c>
      <c r="C382" s="52" t="s">
        <v>289</v>
      </c>
      <c r="D382" s="65">
        <v>0.580509259259259</v>
      </c>
      <c r="E382" s="65">
        <v>2.314814814814815E-4</v>
      </c>
      <c r="F382" s="65">
        <v>0.5807407407407404</v>
      </c>
      <c r="G382" s="65"/>
      <c r="H382" s="52" t="s">
        <v>81</v>
      </c>
      <c r="I382" s="52" t="s">
        <v>119</v>
      </c>
      <c r="J382" s="52" t="s">
        <v>105</v>
      </c>
      <c r="K382" s="52"/>
      <c r="L382" s="52"/>
      <c r="M382" s="52"/>
      <c r="N382" s="52"/>
      <c r="O382" s="52"/>
      <c r="P382" s="52"/>
      <c r="Q382" s="52"/>
      <c r="R382" s="51" t="b">
        <v>0</v>
      </c>
      <c r="S382" s="51"/>
      <c r="T382" s="52"/>
      <c r="U382" s="51" t="b">
        <v>0</v>
      </c>
      <c r="V382" s="51" t="b">
        <v>0</v>
      </c>
      <c r="W382" s="51" t="b">
        <v>0</v>
      </c>
      <c r="X382" s="51" t="b">
        <v>0</v>
      </c>
      <c r="Y382" s="51" t="b">
        <v>0</v>
      </c>
      <c r="Z382" s="51" t="b">
        <v>0</v>
      </c>
      <c r="AA382" s="68"/>
      <c r="AB382" s="52"/>
      <c r="AC382" s="52"/>
      <c r="AD382" s="52"/>
      <c r="AE382" s="56"/>
      <c r="AF382" s="56"/>
    </row>
    <row r="383">
      <c r="A383" s="52" t="s">
        <v>1925</v>
      </c>
      <c r="B383" s="52" t="s">
        <v>14</v>
      </c>
      <c r="C383" s="52" t="s">
        <v>289</v>
      </c>
      <c r="D383" s="65">
        <v>0.5807407407407404</v>
      </c>
      <c r="E383" s="65">
        <v>0.005555555555555556</v>
      </c>
      <c r="F383" s="65">
        <v>0.586296296296296</v>
      </c>
      <c r="G383" s="65"/>
      <c r="H383" s="52" t="s">
        <v>165</v>
      </c>
      <c r="I383" s="52" t="s">
        <v>420</v>
      </c>
      <c r="J383" s="52" t="s">
        <v>421</v>
      </c>
      <c r="K383" s="52"/>
      <c r="L383" s="52"/>
      <c r="M383" s="52"/>
      <c r="N383" s="52"/>
      <c r="O383" s="69" t="s">
        <v>1926</v>
      </c>
      <c r="P383" s="69" t="s">
        <v>23</v>
      </c>
      <c r="Q383" s="80" t="s">
        <v>1927</v>
      </c>
      <c r="R383" s="51" t="b">
        <v>1</v>
      </c>
      <c r="S383" s="96" t="s">
        <v>1928</v>
      </c>
      <c r="T383" s="52"/>
      <c r="U383" s="51" t="b">
        <v>0</v>
      </c>
      <c r="V383" s="51" t="b">
        <v>1</v>
      </c>
      <c r="W383" s="51" t="b">
        <v>1</v>
      </c>
      <c r="X383" s="51" t="b">
        <v>1</v>
      </c>
      <c r="Y383" s="51" t="b">
        <v>0</v>
      </c>
      <c r="Z383" s="51" t="b">
        <v>0</v>
      </c>
      <c r="AA383" s="71">
        <v>0.00568287037037037</v>
      </c>
      <c r="AB383" s="69" t="s">
        <v>1929</v>
      </c>
      <c r="AC383" s="123" t="s">
        <v>1930</v>
      </c>
      <c r="AD383" s="76" t="s">
        <v>1931</v>
      </c>
      <c r="AE383" s="56" t="s">
        <v>629</v>
      </c>
      <c r="AF383" s="56" t="s">
        <v>860</v>
      </c>
    </row>
    <row r="384">
      <c r="A384" s="52" t="s">
        <v>1932</v>
      </c>
      <c r="B384" s="52" t="s">
        <v>607</v>
      </c>
      <c r="C384" s="52" t="s">
        <v>607</v>
      </c>
      <c r="D384" s="65" t="s">
        <v>607</v>
      </c>
      <c r="E384" s="65" t="s">
        <v>607</v>
      </c>
      <c r="F384" s="65" t="s">
        <v>607</v>
      </c>
      <c r="G384" s="65" t="s">
        <v>607</v>
      </c>
      <c r="H384" s="52" t="s">
        <v>607</v>
      </c>
      <c r="I384" s="52" t="s">
        <v>607</v>
      </c>
      <c r="J384" s="52" t="s">
        <v>607</v>
      </c>
      <c r="K384" s="52" t="s">
        <v>607</v>
      </c>
      <c r="L384" s="52" t="s">
        <v>607</v>
      </c>
      <c r="M384" s="52" t="s">
        <v>607</v>
      </c>
      <c r="N384" s="52" t="s">
        <v>607</v>
      </c>
      <c r="O384" s="52"/>
      <c r="P384" s="52"/>
      <c r="Q384" s="52"/>
      <c r="R384" s="51" t="b">
        <v>0</v>
      </c>
      <c r="S384" s="51"/>
      <c r="T384" s="52"/>
      <c r="U384" s="51" t="b">
        <v>0</v>
      </c>
      <c r="V384" s="51" t="b">
        <v>0</v>
      </c>
      <c r="W384" s="51" t="b">
        <v>0</v>
      </c>
      <c r="X384" s="51" t="b">
        <v>0</v>
      </c>
      <c r="Y384" s="51" t="b">
        <v>0</v>
      </c>
      <c r="Z384" s="51" t="b">
        <v>0</v>
      </c>
      <c r="AA384" s="68"/>
      <c r="AB384" s="52"/>
      <c r="AC384" s="52"/>
      <c r="AD384" s="52"/>
      <c r="AE384" s="56" t="s">
        <v>607</v>
      </c>
      <c r="AF384" s="56" t="s">
        <v>607</v>
      </c>
    </row>
    <row r="385">
      <c r="A385" s="52" t="s">
        <v>1933</v>
      </c>
      <c r="B385" s="52" t="s">
        <v>14</v>
      </c>
      <c r="C385" s="52" t="s">
        <v>289</v>
      </c>
      <c r="D385" s="65">
        <v>0.4422800925925927</v>
      </c>
      <c r="E385" s="65">
        <v>2.314814814814815E-4</v>
      </c>
      <c r="F385" s="65">
        <v>0.4425115740740742</v>
      </c>
      <c r="G385" s="65"/>
      <c r="H385" s="52" t="s">
        <v>81</v>
      </c>
      <c r="I385" s="52" t="s">
        <v>119</v>
      </c>
      <c r="J385" s="52" t="s">
        <v>105</v>
      </c>
      <c r="K385" s="52"/>
      <c r="L385" s="52"/>
      <c r="M385" s="52"/>
      <c r="N385" s="52" t="s">
        <v>70</v>
      </c>
      <c r="O385" s="52"/>
      <c r="P385" s="52"/>
      <c r="Q385" s="52"/>
      <c r="R385" s="51" t="b">
        <v>0</v>
      </c>
      <c r="S385" s="51"/>
      <c r="T385" s="52"/>
      <c r="U385" s="51" t="b">
        <v>0</v>
      </c>
      <c r="V385" s="51" t="b">
        <v>0</v>
      </c>
      <c r="W385" s="51" t="b">
        <v>0</v>
      </c>
      <c r="X385" s="51" t="b">
        <v>0</v>
      </c>
      <c r="Y385" s="51" t="b">
        <v>0</v>
      </c>
      <c r="Z385" s="51" t="b">
        <v>0</v>
      </c>
      <c r="AA385" s="68"/>
      <c r="AB385" s="52"/>
      <c r="AC385" s="52"/>
      <c r="AD385" s="52"/>
      <c r="AE385" s="56"/>
      <c r="AF385" s="56"/>
    </row>
    <row r="386">
      <c r="A386" s="52" t="s">
        <v>1934</v>
      </c>
      <c r="B386" s="52" t="s">
        <v>14</v>
      </c>
      <c r="C386" s="52" t="s">
        <v>289</v>
      </c>
      <c r="D386" s="65">
        <v>0.4425115740740742</v>
      </c>
      <c r="E386" s="65">
        <v>0.004861111111111111</v>
      </c>
      <c r="F386" s="65">
        <v>0.4473726851851853</v>
      </c>
      <c r="G386" s="65"/>
      <c r="H386" s="52" t="s">
        <v>165</v>
      </c>
      <c r="I386" s="52" t="s">
        <v>356</v>
      </c>
      <c r="J386" s="52" t="s">
        <v>357</v>
      </c>
      <c r="K386" s="52"/>
      <c r="L386" s="52"/>
      <c r="M386" s="52"/>
      <c r="N386" s="52" t="s">
        <v>70</v>
      </c>
      <c r="O386" s="69" t="s">
        <v>884</v>
      </c>
      <c r="P386" s="69" t="s">
        <v>30</v>
      </c>
      <c r="Q386" s="70" t="s">
        <v>1935</v>
      </c>
      <c r="R386" s="51" t="b">
        <v>1</v>
      </c>
      <c r="S386" s="52" t="s">
        <v>356</v>
      </c>
      <c r="T386" s="52"/>
      <c r="U386" s="51" t="b">
        <v>0</v>
      </c>
      <c r="V386" s="51" t="b">
        <v>1</v>
      </c>
      <c r="W386" s="51" t="b">
        <v>1</v>
      </c>
      <c r="X386" s="51" t="b">
        <v>1</v>
      </c>
      <c r="Y386" s="51" t="b">
        <v>0</v>
      </c>
      <c r="Z386" s="51" t="b">
        <v>0</v>
      </c>
      <c r="AA386" s="71">
        <v>0.004872685185185185</v>
      </c>
      <c r="AB386" s="69" t="s">
        <v>1936</v>
      </c>
      <c r="AC386" s="72"/>
      <c r="AD386" s="73" t="s">
        <v>1937</v>
      </c>
      <c r="AE386" s="74" t="s">
        <v>629</v>
      </c>
      <c r="AF386" s="74" t="s">
        <v>946</v>
      </c>
    </row>
    <row r="387">
      <c r="A387" s="52" t="s">
        <v>1938</v>
      </c>
      <c r="B387" s="52" t="s">
        <v>607</v>
      </c>
      <c r="C387" s="52" t="s">
        <v>607</v>
      </c>
      <c r="D387" s="65" t="s">
        <v>607</v>
      </c>
      <c r="E387" s="65" t="s">
        <v>607</v>
      </c>
      <c r="F387" s="65" t="s">
        <v>607</v>
      </c>
      <c r="G387" s="65" t="s">
        <v>607</v>
      </c>
      <c r="H387" s="52" t="s">
        <v>607</v>
      </c>
      <c r="I387" s="52" t="s">
        <v>607</v>
      </c>
      <c r="J387" s="52" t="s">
        <v>607</v>
      </c>
      <c r="K387" s="52" t="s">
        <v>607</v>
      </c>
      <c r="L387" s="52" t="s">
        <v>607</v>
      </c>
      <c r="M387" s="52" t="s">
        <v>607</v>
      </c>
      <c r="N387" s="52" t="s">
        <v>607</v>
      </c>
      <c r="O387" s="52"/>
      <c r="P387" s="52"/>
      <c r="Q387" s="52"/>
      <c r="R387" s="51" t="b">
        <v>0</v>
      </c>
      <c r="S387" s="51"/>
      <c r="T387" s="52"/>
      <c r="U387" s="51" t="b">
        <v>0</v>
      </c>
      <c r="V387" s="51" t="b">
        <v>0</v>
      </c>
      <c r="W387" s="51" t="b">
        <v>0</v>
      </c>
      <c r="X387" s="51" t="b">
        <v>0</v>
      </c>
      <c r="Y387" s="51" t="b">
        <v>0</v>
      </c>
      <c r="Z387" s="51" t="b">
        <v>0</v>
      </c>
      <c r="AA387" s="68"/>
      <c r="AB387" s="52"/>
      <c r="AC387" s="52"/>
      <c r="AD387" s="52"/>
      <c r="AE387" s="56" t="s">
        <v>607</v>
      </c>
      <c r="AF387" s="56" t="s">
        <v>607</v>
      </c>
    </row>
    <row r="388">
      <c r="A388" s="52" t="s">
        <v>1939</v>
      </c>
      <c r="B388" s="52" t="s">
        <v>14</v>
      </c>
      <c r="C388" s="52" t="s">
        <v>289</v>
      </c>
      <c r="D388" s="65">
        <v>0.6923958333333323</v>
      </c>
      <c r="E388" s="65">
        <v>0.004166666666666667</v>
      </c>
      <c r="F388" s="65">
        <v>0.696562499999999</v>
      </c>
      <c r="G388" s="65"/>
      <c r="H388" s="52" t="s">
        <v>248</v>
      </c>
      <c r="I388" s="52" t="s">
        <v>466</v>
      </c>
      <c r="J388" s="52" t="s">
        <v>92</v>
      </c>
      <c r="K388" s="52" t="s">
        <v>105</v>
      </c>
      <c r="L388" s="52"/>
      <c r="M388" s="52"/>
      <c r="N388" s="52" t="s">
        <v>70</v>
      </c>
      <c r="O388" s="52"/>
      <c r="P388" s="52"/>
      <c r="Q388" s="52"/>
      <c r="R388" s="51" t="b">
        <v>0</v>
      </c>
      <c r="S388" s="51"/>
      <c r="T388" s="52"/>
      <c r="U388" s="51" t="b">
        <v>0</v>
      </c>
      <c r="V388" s="51" t="b">
        <v>0</v>
      </c>
      <c r="W388" s="51" t="b">
        <v>0</v>
      </c>
      <c r="X388" s="51" t="b">
        <v>0</v>
      </c>
      <c r="Y388" s="51" t="b">
        <v>0</v>
      </c>
      <c r="Z388" s="51" t="b">
        <v>0</v>
      </c>
      <c r="AA388" s="68"/>
      <c r="AB388" s="52"/>
      <c r="AC388" s="52"/>
      <c r="AD388" s="52"/>
      <c r="AE388" s="56"/>
      <c r="AF388" s="56"/>
    </row>
    <row r="389">
      <c r="A389" s="52" t="s">
        <v>1940</v>
      </c>
      <c r="B389" s="52" t="s">
        <v>14</v>
      </c>
      <c r="C389" s="52" t="s">
        <v>289</v>
      </c>
      <c r="D389" s="65">
        <v>0.7106828703703693</v>
      </c>
      <c r="E389" s="65">
        <v>6.944444444444445E-4</v>
      </c>
      <c r="F389" s="65">
        <v>0.7113773148148137</v>
      </c>
      <c r="G389" s="65"/>
      <c r="H389" s="52" t="s">
        <v>71</v>
      </c>
      <c r="I389" s="52" t="s">
        <v>468</v>
      </c>
      <c r="J389" s="52" t="s">
        <v>73</v>
      </c>
      <c r="K389" s="52"/>
      <c r="L389" s="52"/>
      <c r="M389" s="52"/>
      <c r="N389" s="52" t="s">
        <v>70</v>
      </c>
      <c r="O389" s="52"/>
      <c r="P389" s="52"/>
      <c r="Q389" s="52"/>
      <c r="R389" s="51" t="b">
        <v>0</v>
      </c>
      <c r="S389" s="51"/>
      <c r="T389" s="52"/>
      <c r="U389" s="51" t="b">
        <v>0</v>
      </c>
      <c r="V389" s="51" t="b">
        <v>0</v>
      </c>
      <c r="W389" s="51" t="b">
        <v>0</v>
      </c>
      <c r="X389" s="51" t="b">
        <v>0</v>
      </c>
      <c r="Y389" s="51" t="b">
        <v>0</v>
      </c>
      <c r="Z389" s="51" t="b">
        <v>0</v>
      </c>
      <c r="AA389" s="68"/>
      <c r="AB389" s="52"/>
      <c r="AC389" s="52"/>
      <c r="AD389" s="52"/>
      <c r="AE389" s="56"/>
      <c r="AF389" s="56"/>
    </row>
    <row r="390">
      <c r="A390" s="52" t="s">
        <v>1941</v>
      </c>
      <c r="B390" s="52" t="s">
        <v>469</v>
      </c>
      <c r="C390" s="52"/>
      <c r="D390" s="65"/>
      <c r="E390" s="65"/>
      <c r="F390" s="65"/>
      <c r="G390" s="65"/>
      <c r="H390" s="52"/>
      <c r="I390" s="52"/>
      <c r="J390" s="52"/>
      <c r="K390" s="52"/>
      <c r="L390" s="52"/>
      <c r="M390" s="52"/>
      <c r="N390" s="52" t="s">
        <v>70</v>
      </c>
      <c r="O390" s="52"/>
      <c r="P390" s="69"/>
      <c r="Q390" s="52"/>
      <c r="R390" s="51" t="b">
        <v>0</v>
      </c>
      <c r="S390" s="51"/>
      <c r="T390" s="52"/>
      <c r="U390" s="51" t="b">
        <v>0</v>
      </c>
      <c r="V390" s="51" t="b">
        <v>0</v>
      </c>
      <c r="W390" s="51" t="b">
        <v>0</v>
      </c>
      <c r="X390" s="51" t="b">
        <v>0</v>
      </c>
      <c r="Y390" s="51" t="b">
        <v>0</v>
      </c>
      <c r="Z390" s="51" t="b">
        <v>0</v>
      </c>
      <c r="AA390" s="68"/>
      <c r="AB390" s="52"/>
      <c r="AC390" s="52"/>
      <c r="AD390" s="52"/>
      <c r="AE390" s="56"/>
      <c r="AF390" s="56"/>
    </row>
    <row r="391">
      <c r="A391" s="52" t="s">
        <v>1942</v>
      </c>
      <c r="B391" s="52" t="s">
        <v>65</v>
      </c>
      <c r="C391" s="52"/>
      <c r="D391" s="65"/>
      <c r="E391" s="65"/>
      <c r="F391" s="65"/>
      <c r="G391" s="65"/>
      <c r="H391" s="52"/>
      <c r="I391" s="52"/>
      <c r="J391" s="52"/>
      <c r="K391" s="52"/>
      <c r="L391" s="52"/>
      <c r="M391" s="52"/>
      <c r="N391" s="52" t="s">
        <v>70</v>
      </c>
      <c r="O391" s="52"/>
      <c r="P391" s="52"/>
      <c r="Q391" s="52"/>
      <c r="R391" s="51" t="b">
        <v>0</v>
      </c>
      <c r="S391" s="51"/>
      <c r="T391" s="52"/>
      <c r="U391" s="51" t="b">
        <v>0</v>
      </c>
      <c r="V391" s="51" t="b">
        <v>0</v>
      </c>
      <c r="W391" s="51" t="b">
        <v>0</v>
      </c>
      <c r="X391" s="51" t="b">
        <v>0</v>
      </c>
      <c r="Y391" s="51" t="b">
        <v>0</v>
      </c>
      <c r="Z391" s="51" t="b">
        <v>0</v>
      </c>
      <c r="AA391" s="68"/>
      <c r="AB391" s="52"/>
      <c r="AC391" s="52"/>
      <c r="AD391" s="52"/>
      <c r="AE391" s="56"/>
      <c r="AF391" s="56"/>
    </row>
    <row r="392">
      <c r="A392" s="52" t="s">
        <v>1943</v>
      </c>
      <c r="B392" s="52" t="s">
        <v>16</v>
      </c>
      <c r="C392" s="52" t="s">
        <v>66</v>
      </c>
      <c r="D392" s="65">
        <v>0.4166666666666667</v>
      </c>
      <c r="E392" s="65">
        <v>0.0010416666666666667</v>
      </c>
      <c r="F392" s="65">
        <v>0.41770833333333335</v>
      </c>
      <c r="G392" s="65" t="s">
        <v>195</v>
      </c>
      <c r="H392" s="52" t="s">
        <v>67</v>
      </c>
      <c r="I392" s="52" t="s">
        <v>470</v>
      </c>
      <c r="J392" s="52"/>
      <c r="K392" s="52"/>
      <c r="L392" s="52"/>
      <c r="M392" s="52"/>
      <c r="N392" s="52" t="s">
        <v>70</v>
      </c>
      <c r="O392" s="52"/>
      <c r="P392" s="52"/>
      <c r="Q392" s="52"/>
      <c r="R392" s="51" t="b">
        <v>0</v>
      </c>
      <c r="S392" s="51"/>
      <c r="T392" s="52"/>
      <c r="U392" s="51" t="b">
        <v>0</v>
      </c>
      <c r="V392" s="51" t="b">
        <v>0</v>
      </c>
      <c r="W392" s="51" t="b">
        <v>0</v>
      </c>
      <c r="X392" s="51" t="b">
        <v>0</v>
      </c>
      <c r="Y392" s="51" t="b">
        <v>0</v>
      </c>
      <c r="Z392" s="51" t="b">
        <v>0</v>
      </c>
      <c r="AA392" s="68"/>
      <c r="AB392" s="52"/>
      <c r="AC392" s="52"/>
      <c r="AD392" s="52"/>
      <c r="AE392" s="56"/>
      <c r="AF392" s="56" t="s">
        <v>1944</v>
      </c>
    </row>
    <row r="393">
      <c r="A393" s="52" t="s">
        <v>1945</v>
      </c>
      <c r="B393" s="52" t="s">
        <v>16</v>
      </c>
      <c r="C393" s="52" t="s">
        <v>66</v>
      </c>
      <c r="D393" s="65">
        <v>0.41793981481481485</v>
      </c>
      <c r="E393" s="65">
        <v>3.4722222222222224E-4</v>
      </c>
      <c r="F393" s="65">
        <v>0.41828703703703707</v>
      </c>
      <c r="G393" s="65" t="s">
        <v>195</v>
      </c>
      <c r="H393" s="52" t="s">
        <v>81</v>
      </c>
      <c r="I393" s="52" t="s">
        <v>81</v>
      </c>
      <c r="J393" s="52"/>
      <c r="K393" s="52"/>
      <c r="L393" s="52"/>
      <c r="M393" s="52"/>
      <c r="N393" s="52" t="s">
        <v>70</v>
      </c>
      <c r="O393" s="52"/>
      <c r="P393" s="69"/>
      <c r="Q393" s="52"/>
      <c r="R393" s="51" t="b">
        <v>0</v>
      </c>
      <c r="S393" s="51"/>
      <c r="T393" s="52"/>
      <c r="U393" s="51" t="b">
        <v>0</v>
      </c>
      <c r="V393" s="51" t="b">
        <v>0</v>
      </c>
      <c r="W393" s="51" t="b">
        <v>0</v>
      </c>
      <c r="X393" s="51" t="b">
        <v>0</v>
      </c>
      <c r="Y393" s="51" t="b">
        <v>0</v>
      </c>
      <c r="Z393" s="51" t="b">
        <v>0</v>
      </c>
      <c r="AA393" s="68"/>
      <c r="AB393" s="52"/>
      <c r="AC393" s="52"/>
      <c r="AD393" s="52"/>
      <c r="AE393" s="56"/>
      <c r="AF393" s="56" t="s">
        <v>1944</v>
      </c>
    </row>
    <row r="394">
      <c r="A394" s="52" t="s">
        <v>1946</v>
      </c>
      <c r="B394" s="52" t="s">
        <v>16</v>
      </c>
      <c r="C394" s="52" t="s">
        <v>66</v>
      </c>
      <c r="D394" s="65">
        <v>0.41828703703703707</v>
      </c>
      <c r="E394" s="65">
        <v>0.006944444444444444</v>
      </c>
      <c r="F394" s="65">
        <v>0.4252314814814815</v>
      </c>
      <c r="G394" s="65" t="s">
        <v>195</v>
      </c>
      <c r="H394" s="52" t="s">
        <v>165</v>
      </c>
      <c r="I394" s="52" t="s">
        <v>473</v>
      </c>
      <c r="J394" s="52" t="s">
        <v>474</v>
      </c>
      <c r="K394" s="52"/>
      <c r="L394" s="52"/>
      <c r="M394" s="52"/>
      <c r="N394" s="52" t="s">
        <v>70</v>
      </c>
      <c r="O394" s="52"/>
      <c r="P394" s="52"/>
      <c r="Q394" s="52"/>
      <c r="R394" s="51" t="b">
        <v>0</v>
      </c>
      <c r="S394" s="51"/>
      <c r="T394" s="52"/>
      <c r="U394" s="51" t="b">
        <v>0</v>
      </c>
      <c r="V394" s="51" t="b">
        <v>0</v>
      </c>
      <c r="W394" s="51" t="b">
        <v>0</v>
      </c>
      <c r="X394" s="51" t="b">
        <v>0</v>
      </c>
      <c r="Y394" s="51" t="b">
        <v>0</v>
      </c>
      <c r="Z394" s="51" t="b">
        <v>0</v>
      </c>
      <c r="AA394" s="68"/>
      <c r="AB394" s="52"/>
      <c r="AC394" s="52"/>
      <c r="AD394" s="52"/>
      <c r="AE394" s="56" t="s">
        <v>652</v>
      </c>
      <c r="AF394" s="56" t="s">
        <v>803</v>
      </c>
    </row>
    <row r="395">
      <c r="A395" s="52" t="s">
        <v>1947</v>
      </c>
      <c r="B395" s="52" t="s">
        <v>16</v>
      </c>
      <c r="C395" s="52" t="s">
        <v>66</v>
      </c>
      <c r="D395" s="65">
        <v>0.4252314814814815</v>
      </c>
      <c r="E395" s="65">
        <v>1.7361111111111112E-4</v>
      </c>
      <c r="F395" s="65">
        <v>0.4254050925925926</v>
      </c>
      <c r="G395" s="65" t="s">
        <v>195</v>
      </c>
      <c r="H395" s="52" t="s">
        <v>85</v>
      </c>
      <c r="I395" s="52" t="s">
        <v>85</v>
      </c>
      <c r="J395" s="52"/>
      <c r="K395" s="52"/>
      <c r="L395" s="52"/>
      <c r="M395" s="52"/>
      <c r="N395" s="52" t="s">
        <v>70</v>
      </c>
      <c r="O395" s="52"/>
      <c r="P395" s="52"/>
      <c r="Q395" s="52"/>
      <c r="R395" s="51" t="b">
        <v>0</v>
      </c>
      <c r="S395" s="51"/>
      <c r="T395" s="52"/>
      <c r="U395" s="51" t="b">
        <v>0</v>
      </c>
      <c r="V395" s="51" t="b">
        <v>0</v>
      </c>
      <c r="W395" s="51" t="b">
        <v>0</v>
      </c>
      <c r="X395" s="51" t="b">
        <v>0</v>
      </c>
      <c r="Y395" s="51" t="b">
        <v>0</v>
      </c>
      <c r="Z395" s="51" t="b">
        <v>0</v>
      </c>
      <c r="AA395" s="68"/>
      <c r="AB395" s="52"/>
      <c r="AC395" s="52"/>
      <c r="AD395" s="52"/>
      <c r="AE395" s="56"/>
      <c r="AF395" s="56" t="s">
        <v>1944</v>
      </c>
    </row>
    <row r="396">
      <c r="A396" s="52" t="s">
        <v>1948</v>
      </c>
      <c r="B396" s="52" t="s">
        <v>16</v>
      </c>
      <c r="C396" s="52" t="s">
        <v>66</v>
      </c>
      <c r="D396" s="65">
        <v>0.4254050925925926</v>
      </c>
      <c r="E396" s="65">
        <v>3.356481481481481E-4</v>
      </c>
      <c r="F396" s="65">
        <v>0.42574074074074075</v>
      </c>
      <c r="G396" s="65" t="s">
        <v>195</v>
      </c>
      <c r="H396" s="52" t="s">
        <v>81</v>
      </c>
      <c r="I396" s="52" t="s">
        <v>81</v>
      </c>
      <c r="J396" s="52"/>
      <c r="K396" s="52"/>
      <c r="L396" s="52"/>
      <c r="M396" s="52"/>
      <c r="N396" s="52" t="s">
        <v>70</v>
      </c>
      <c r="O396" s="52"/>
      <c r="P396" s="52"/>
      <c r="Q396" s="52"/>
      <c r="R396" s="51" t="b">
        <v>0</v>
      </c>
      <c r="S396" s="51"/>
      <c r="T396" s="52"/>
      <c r="U396" s="51" t="b">
        <v>0</v>
      </c>
      <c r="V396" s="51" t="b">
        <v>0</v>
      </c>
      <c r="W396" s="51" t="b">
        <v>0</v>
      </c>
      <c r="X396" s="51" t="b">
        <v>0</v>
      </c>
      <c r="Y396" s="51" t="b">
        <v>0</v>
      </c>
      <c r="Z396" s="51" t="b">
        <v>0</v>
      </c>
      <c r="AA396" s="68"/>
      <c r="AB396" s="52"/>
      <c r="AC396" s="52"/>
      <c r="AD396" s="52"/>
      <c r="AE396" s="56"/>
      <c r="AF396" s="56" t="s">
        <v>1944</v>
      </c>
    </row>
    <row r="397">
      <c r="A397" s="52" t="s">
        <v>1949</v>
      </c>
      <c r="B397" s="52" t="s">
        <v>16</v>
      </c>
      <c r="C397" s="52" t="s">
        <v>66</v>
      </c>
      <c r="D397" s="65">
        <v>0.42574074074074075</v>
      </c>
      <c r="E397" s="65">
        <v>0.00982638888888889</v>
      </c>
      <c r="F397" s="65">
        <v>0.4355671296296296</v>
      </c>
      <c r="G397" s="65" t="s">
        <v>195</v>
      </c>
      <c r="H397" s="52" t="s">
        <v>74</v>
      </c>
      <c r="I397" s="52" t="s">
        <v>476</v>
      </c>
      <c r="J397" s="52" t="s">
        <v>477</v>
      </c>
      <c r="K397" s="52" t="s">
        <v>478</v>
      </c>
      <c r="L397" s="52" t="s">
        <v>479</v>
      </c>
      <c r="M397" s="52"/>
      <c r="N397" s="52" t="s">
        <v>480</v>
      </c>
      <c r="O397" s="69" t="s">
        <v>791</v>
      </c>
      <c r="P397" s="69" t="s">
        <v>32</v>
      </c>
      <c r="Q397" s="80" t="s">
        <v>1950</v>
      </c>
      <c r="R397" s="51" t="b">
        <v>1</v>
      </c>
      <c r="S397" s="78" t="s">
        <v>476</v>
      </c>
      <c r="T397" s="52"/>
      <c r="U397" s="51" t="b">
        <v>0</v>
      </c>
      <c r="V397" s="51" t="b">
        <v>1</v>
      </c>
      <c r="W397" s="51" t="b">
        <v>1</v>
      </c>
      <c r="X397" s="51" t="b">
        <v>1</v>
      </c>
      <c r="Y397" s="51" t="b">
        <v>0</v>
      </c>
      <c r="Z397" s="51" t="b">
        <v>0</v>
      </c>
      <c r="AA397" s="71">
        <v>0.00982638888888889</v>
      </c>
      <c r="AB397" s="69" t="s">
        <v>1951</v>
      </c>
      <c r="AC397" s="72"/>
      <c r="AD397" s="73" t="s">
        <v>1952</v>
      </c>
      <c r="AE397" s="56" t="s">
        <v>629</v>
      </c>
      <c r="AF397" s="56" t="s">
        <v>803</v>
      </c>
    </row>
    <row r="398">
      <c r="A398" s="52" t="s">
        <v>1953</v>
      </c>
      <c r="B398" s="52" t="s">
        <v>16</v>
      </c>
      <c r="C398" s="52" t="s">
        <v>66</v>
      </c>
      <c r="D398" s="65">
        <v>0.4355671296296296</v>
      </c>
      <c r="E398" s="65">
        <v>1.7361111111111112E-4</v>
      </c>
      <c r="F398" s="65">
        <v>0.43574074074074076</v>
      </c>
      <c r="G398" s="65" t="s">
        <v>195</v>
      </c>
      <c r="H398" s="52" t="s">
        <v>85</v>
      </c>
      <c r="I398" s="52" t="s">
        <v>85</v>
      </c>
      <c r="J398" s="52"/>
      <c r="K398" s="52"/>
      <c r="L398" s="52"/>
      <c r="M398" s="52"/>
      <c r="N398" s="52" t="s">
        <v>70</v>
      </c>
      <c r="O398" s="52"/>
      <c r="P398" s="52"/>
      <c r="Q398" s="52"/>
      <c r="R398" s="51" t="b">
        <v>0</v>
      </c>
      <c r="S398" s="51"/>
      <c r="T398" s="52"/>
      <c r="U398" s="51" t="b">
        <v>0</v>
      </c>
      <c r="V398" s="51" t="b">
        <v>0</v>
      </c>
      <c r="W398" s="51" t="b">
        <v>0</v>
      </c>
      <c r="X398" s="51" t="b">
        <v>0</v>
      </c>
      <c r="Y398" s="51" t="b">
        <v>0</v>
      </c>
      <c r="Z398" s="51" t="b">
        <v>0</v>
      </c>
      <c r="AA398" s="68"/>
      <c r="AB398" s="52"/>
      <c r="AC398" s="52"/>
      <c r="AD398" s="52"/>
      <c r="AE398" s="56"/>
      <c r="AF398" s="56" t="s">
        <v>1944</v>
      </c>
    </row>
    <row r="399">
      <c r="A399" s="52" t="s">
        <v>1954</v>
      </c>
      <c r="B399" s="52" t="s">
        <v>16</v>
      </c>
      <c r="C399" s="52" t="s">
        <v>66</v>
      </c>
      <c r="D399" s="65">
        <v>0.6346990740740754</v>
      </c>
      <c r="E399" s="65">
        <v>3.4722222222222224E-4</v>
      </c>
      <c r="F399" s="65">
        <v>0.6350462962962977</v>
      </c>
      <c r="G399" s="65" t="s">
        <v>195</v>
      </c>
      <c r="H399" s="52" t="s">
        <v>511</v>
      </c>
      <c r="I399" s="52" t="s">
        <v>511</v>
      </c>
      <c r="J399" s="52"/>
      <c r="K399" s="52"/>
      <c r="L399" s="52"/>
      <c r="M399" s="52"/>
      <c r="N399" s="52" t="s">
        <v>70</v>
      </c>
      <c r="O399" s="52"/>
      <c r="P399" s="52"/>
      <c r="Q399" s="52"/>
      <c r="R399" s="51" t="b">
        <v>0</v>
      </c>
      <c r="S399" s="51"/>
      <c r="T399" s="52"/>
      <c r="U399" s="51" t="b">
        <v>0</v>
      </c>
      <c r="V399" s="51" t="b">
        <v>0</v>
      </c>
      <c r="W399" s="51" t="b">
        <v>0</v>
      </c>
      <c r="X399" s="51" t="b">
        <v>0</v>
      </c>
      <c r="Y399" s="51" t="b">
        <v>0</v>
      </c>
      <c r="Z399" s="51" t="b">
        <v>0</v>
      </c>
      <c r="AA399" s="68"/>
      <c r="AB399" s="52"/>
      <c r="AC399" s="52"/>
      <c r="AD399" s="52"/>
      <c r="AE399" s="56"/>
      <c r="AF399" s="56" t="s">
        <v>1944</v>
      </c>
    </row>
    <row r="400">
      <c r="A400" s="52" t="s">
        <v>1955</v>
      </c>
      <c r="B400" s="52" t="s">
        <v>16</v>
      </c>
      <c r="C400" s="52" t="s">
        <v>66</v>
      </c>
      <c r="D400" s="65">
        <v>0.6489351851851866</v>
      </c>
      <c r="E400" s="65">
        <v>3.4722222222222224E-4</v>
      </c>
      <c r="F400" s="65">
        <v>0.6492824074074088</v>
      </c>
      <c r="G400" s="65" t="s">
        <v>195</v>
      </c>
      <c r="H400" s="52" t="s">
        <v>81</v>
      </c>
      <c r="I400" s="52" t="s">
        <v>81</v>
      </c>
      <c r="J400" s="52"/>
      <c r="K400" s="52"/>
      <c r="L400" s="52"/>
      <c r="M400" s="52"/>
      <c r="N400" s="52" t="s">
        <v>70</v>
      </c>
      <c r="O400" s="52"/>
      <c r="P400" s="52"/>
      <c r="Q400" s="52"/>
      <c r="R400" s="51" t="b">
        <v>0</v>
      </c>
      <c r="S400" s="52"/>
      <c r="T400" s="52"/>
      <c r="U400" s="51" t="b">
        <v>0</v>
      </c>
      <c r="V400" s="51" t="b">
        <v>0</v>
      </c>
      <c r="W400" s="51" t="b">
        <v>0</v>
      </c>
      <c r="X400" s="51" t="b">
        <v>0</v>
      </c>
      <c r="Y400" s="51" t="b">
        <v>0</v>
      </c>
      <c r="Z400" s="51" t="b">
        <v>0</v>
      </c>
      <c r="AA400" s="68"/>
      <c r="AB400" s="52"/>
      <c r="AC400" s="52"/>
      <c r="AD400" s="52"/>
      <c r="AE400" s="56"/>
      <c r="AF400" s="56" t="s">
        <v>1944</v>
      </c>
    </row>
    <row r="401">
      <c r="A401" s="52" t="s">
        <v>1956</v>
      </c>
      <c r="B401" s="52" t="s">
        <v>16</v>
      </c>
      <c r="C401" s="52" t="s">
        <v>66</v>
      </c>
      <c r="D401" s="65">
        <v>0.6492824074074088</v>
      </c>
      <c r="E401" s="65">
        <v>0.008356481481481482</v>
      </c>
      <c r="F401" s="65">
        <v>0.6576388888888903</v>
      </c>
      <c r="G401" s="65" t="s">
        <v>195</v>
      </c>
      <c r="H401" s="52" t="s">
        <v>165</v>
      </c>
      <c r="I401" s="52" t="s">
        <v>578</v>
      </c>
      <c r="J401" s="52" t="s">
        <v>579</v>
      </c>
      <c r="K401" s="52"/>
      <c r="L401" s="52"/>
      <c r="M401" s="52"/>
      <c r="N401" s="52" t="s">
        <v>70</v>
      </c>
      <c r="O401" s="69" t="s">
        <v>884</v>
      </c>
      <c r="P401" s="69" t="s">
        <v>25</v>
      </c>
      <c r="Q401" s="70" t="s">
        <v>1957</v>
      </c>
      <c r="R401" s="51" t="b">
        <v>1</v>
      </c>
      <c r="S401" s="52" t="s">
        <v>578</v>
      </c>
      <c r="T401" s="52"/>
      <c r="U401" s="51" t="b">
        <v>0</v>
      </c>
      <c r="V401" s="51" t="b">
        <v>1</v>
      </c>
      <c r="W401" s="51" t="b">
        <v>1</v>
      </c>
      <c r="X401" s="51" t="b">
        <v>1</v>
      </c>
      <c r="Y401" s="51" t="b">
        <v>0</v>
      </c>
      <c r="Z401" s="51" t="b">
        <v>0</v>
      </c>
      <c r="AA401" s="71">
        <v>0.008356481481481482</v>
      </c>
      <c r="AB401" s="69"/>
      <c r="AC401" s="72"/>
      <c r="AD401" s="80" t="s">
        <v>1958</v>
      </c>
      <c r="AE401" s="74" t="s">
        <v>743</v>
      </c>
      <c r="AF401" s="74" t="s">
        <v>803</v>
      </c>
    </row>
    <row r="402">
      <c r="A402" s="52" t="s">
        <v>1959</v>
      </c>
      <c r="B402" s="52" t="s">
        <v>16</v>
      </c>
      <c r="C402" s="52" t="s">
        <v>66</v>
      </c>
      <c r="D402" s="65">
        <v>0.6576388888888903</v>
      </c>
      <c r="E402" s="65">
        <v>1.7361111111111112E-4</v>
      </c>
      <c r="F402" s="65">
        <v>0.6578125000000015</v>
      </c>
      <c r="G402" s="65" t="s">
        <v>195</v>
      </c>
      <c r="H402" s="52" t="s">
        <v>85</v>
      </c>
      <c r="I402" s="52" t="s">
        <v>580</v>
      </c>
      <c r="J402" s="52"/>
      <c r="K402" s="52"/>
      <c r="L402" s="52"/>
      <c r="M402" s="52"/>
      <c r="N402" s="52" t="s">
        <v>70</v>
      </c>
      <c r="O402" s="52"/>
      <c r="P402" s="52"/>
      <c r="Q402" s="52"/>
      <c r="R402" s="51" t="b">
        <v>0</v>
      </c>
      <c r="S402" s="51"/>
      <c r="T402" s="52"/>
      <c r="U402" s="51" t="b">
        <v>0</v>
      </c>
      <c r="V402" s="51" t="b">
        <v>0</v>
      </c>
      <c r="W402" s="51" t="b">
        <v>0</v>
      </c>
      <c r="X402" s="51" t="b">
        <v>0</v>
      </c>
      <c r="Y402" s="51" t="b">
        <v>0</v>
      </c>
      <c r="Z402" s="51" t="b">
        <v>0</v>
      </c>
      <c r="AA402" s="68"/>
      <c r="AB402" s="52"/>
      <c r="AC402" s="52"/>
      <c r="AD402" s="52"/>
      <c r="AE402" s="56"/>
      <c r="AF402" s="56" t="s">
        <v>1944</v>
      </c>
    </row>
    <row r="403">
      <c r="A403" s="52" t="s">
        <v>1960</v>
      </c>
      <c r="B403" s="52" t="s">
        <v>16</v>
      </c>
      <c r="C403" s="52" t="s">
        <v>66</v>
      </c>
      <c r="D403" s="65">
        <v>0.6346990740740754</v>
      </c>
      <c r="E403" s="65">
        <v>3.4722222222222224E-4</v>
      </c>
      <c r="F403" s="65">
        <v>0.6350462962962977</v>
      </c>
      <c r="G403" s="65" t="s">
        <v>481</v>
      </c>
      <c r="H403" s="52" t="s">
        <v>81</v>
      </c>
      <c r="I403" s="52" t="s">
        <v>81</v>
      </c>
      <c r="J403" s="52"/>
      <c r="K403" s="52"/>
      <c r="L403" s="52"/>
      <c r="M403" s="52"/>
      <c r="N403" s="52" t="s">
        <v>70</v>
      </c>
      <c r="O403" s="52"/>
      <c r="P403" s="52"/>
      <c r="Q403" s="52"/>
      <c r="R403" s="51" t="b">
        <v>0</v>
      </c>
      <c r="S403" s="51"/>
      <c r="T403" s="52"/>
      <c r="U403" s="51" t="b">
        <v>0</v>
      </c>
      <c r="V403" s="51" t="b">
        <v>0</v>
      </c>
      <c r="W403" s="51" t="b">
        <v>0</v>
      </c>
      <c r="X403" s="51" t="b">
        <v>0</v>
      </c>
      <c r="Y403" s="51" t="b">
        <v>0</v>
      </c>
      <c r="Z403" s="51" t="b">
        <v>0</v>
      </c>
      <c r="AA403" s="68"/>
      <c r="AB403" s="52"/>
      <c r="AC403" s="52"/>
      <c r="AD403" s="52"/>
      <c r="AE403" s="56"/>
      <c r="AF403" s="56" t="s">
        <v>1944</v>
      </c>
    </row>
    <row r="404">
      <c r="A404" s="52" t="s">
        <v>1961</v>
      </c>
      <c r="B404" s="52" t="s">
        <v>16</v>
      </c>
      <c r="C404" s="52" t="s">
        <v>66</v>
      </c>
      <c r="D404" s="65">
        <v>0.6350462962962977</v>
      </c>
      <c r="E404" s="65">
        <v>0.013888888888888888</v>
      </c>
      <c r="F404" s="65">
        <v>0.6489351851851866</v>
      </c>
      <c r="G404" s="65" t="s">
        <v>481</v>
      </c>
      <c r="H404" s="52" t="s">
        <v>107</v>
      </c>
      <c r="I404" s="52" t="s">
        <v>574</v>
      </c>
      <c r="J404" s="52" t="s">
        <v>575</v>
      </c>
      <c r="K404" s="52" t="s">
        <v>576</v>
      </c>
      <c r="L404" s="52"/>
      <c r="M404" s="52"/>
      <c r="N404" s="52" t="s">
        <v>577</v>
      </c>
      <c r="O404" s="52"/>
      <c r="P404" s="69"/>
      <c r="Q404" s="52"/>
      <c r="R404" s="51" t="b">
        <v>0</v>
      </c>
      <c r="S404" s="51"/>
      <c r="T404" s="52"/>
      <c r="U404" s="51" t="b">
        <v>0</v>
      </c>
      <c r="V404" s="51" t="b">
        <v>0</v>
      </c>
      <c r="W404" s="51" t="b">
        <v>0</v>
      </c>
      <c r="X404" s="51" t="b">
        <v>0</v>
      </c>
      <c r="Y404" s="51" t="b">
        <v>0</v>
      </c>
      <c r="Z404" s="51" t="b">
        <v>0</v>
      </c>
      <c r="AA404" s="68"/>
      <c r="AB404" s="52"/>
      <c r="AC404" s="52"/>
      <c r="AD404" s="52"/>
      <c r="AE404" s="56" t="s">
        <v>1962</v>
      </c>
      <c r="AF404" s="56" t="s">
        <v>726</v>
      </c>
    </row>
    <row r="405">
      <c r="A405" s="52" t="s">
        <v>1963</v>
      </c>
      <c r="B405" s="52" t="s">
        <v>607</v>
      </c>
      <c r="C405" s="52" t="s">
        <v>607</v>
      </c>
      <c r="D405" s="65" t="s">
        <v>607</v>
      </c>
      <c r="E405" s="65" t="s">
        <v>607</v>
      </c>
      <c r="F405" s="65" t="s">
        <v>607</v>
      </c>
      <c r="G405" s="65" t="s">
        <v>607</v>
      </c>
      <c r="H405" s="52" t="s">
        <v>607</v>
      </c>
      <c r="I405" s="52" t="s">
        <v>607</v>
      </c>
      <c r="J405" s="52" t="s">
        <v>607</v>
      </c>
      <c r="K405" s="52" t="s">
        <v>607</v>
      </c>
      <c r="L405" s="52" t="s">
        <v>607</v>
      </c>
      <c r="M405" s="52" t="s">
        <v>607</v>
      </c>
      <c r="N405" s="52" t="s">
        <v>607</v>
      </c>
      <c r="O405" s="52"/>
      <c r="P405" s="52"/>
      <c r="Q405" s="52"/>
      <c r="R405" s="51" t="b">
        <v>0</v>
      </c>
      <c r="S405" s="51"/>
      <c r="T405" s="52"/>
      <c r="U405" s="51" t="b">
        <v>0</v>
      </c>
      <c r="V405" s="51" t="b">
        <v>0</v>
      </c>
      <c r="W405" s="51" t="b">
        <v>0</v>
      </c>
      <c r="X405" s="51" t="b">
        <v>0</v>
      </c>
      <c r="Y405" s="51" t="b">
        <v>0</v>
      </c>
      <c r="Z405" s="51" t="b">
        <v>0</v>
      </c>
      <c r="AA405" s="68"/>
      <c r="AB405" s="52"/>
      <c r="AC405" s="52"/>
      <c r="AD405" s="52"/>
      <c r="AE405" s="56" t="s">
        <v>607</v>
      </c>
      <c r="AF405" s="56" t="s">
        <v>607</v>
      </c>
    </row>
    <row r="406">
      <c r="A406" s="52" t="s">
        <v>1964</v>
      </c>
      <c r="B406" s="52" t="s">
        <v>607</v>
      </c>
      <c r="C406" s="52" t="s">
        <v>607</v>
      </c>
      <c r="D406" s="65" t="s">
        <v>607</v>
      </c>
      <c r="E406" s="65" t="s">
        <v>607</v>
      </c>
      <c r="F406" s="65" t="s">
        <v>607</v>
      </c>
      <c r="G406" s="65" t="s">
        <v>607</v>
      </c>
      <c r="H406" s="52" t="s">
        <v>607</v>
      </c>
      <c r="I406" s="52" t="s">
        <v>607</v>
      </c>
      <c r="J406" s="52" t="s">
        <v>607</v>
      </c>
      <c r="K406" s="52" t="s">
        <v>607</v>
      </c>
      <c r="L406" s="52" t="s">
        <v>607</v>
      </c>
      <c r="M406" s="52" t="s">
        <v>607</v>
      </c>
      <c r="N406" s="52" t="s">
        <v>607</v>
      </c>
      <c r="O406" s="52"/>
      <c r="P406" s="52"/>
      <c r="Q406" s="52"/>
      <c r="R406" s="51" t="b">
        <v>0</v>
      </c>
      <c r="S406" s="51"/>
      <c r="T406" s="52"/>
      <c r="U406" s="51" t="b">
        <v>0</v>
      </c>
      <c r="V406" s="51" t="b">
        <v>0</v>
      </c>
      <c r="W406" s="51" t="b">
        <v>0</v>
      </c>
      <c r="X406" s="51" t="b">
        <v>0</v>
      </c>
      <c r="Y406" s="51" t="b">
        <v>0</v>
      </c>
      <c r="Z406" s="51" t="b">
        <v>0</v>
      </c>
      <c r="AA406" s="68"/>
      <c r="AB406" s="52"/>
      <c r="AC406" s="52"/>
      <c r="AD406" s="52"/>
      <c r="AE406" s="56" t="s">
        <v>607</v>
      </c>
      <c r="AF406" s="56" t="s">
        <v>607</v>
      </c>
    </row>
    <row r="407">
      <c r="A407" s="52" t="s">
        <v>1965</v>
      </c>
      <c r="B407" s="52" t="s">
        <v>607</v>
      </c>
      <c r="C407" s="52" t="s">
        <v>607</v>
      </c>
      <c r="D407" s="65" t="s">
        <v>607</v>
      </c>
      <c r="E407" s="65" t="s">
        <v>607</v>
      </c>
      <c r="F407" s="65" t="s">
        <v>607</v>
      </c>
      <c r="G407" s="65" t="s">
        <v>607</v>
      </c>
      <c r="H407" s="52" t="s">
        <v>607</v>
      </c>
      <c r="I407" s="52" t="s">
        <v>607</v>
      </c>
      <c r="J407" s="52" t="s">
        <v>607</v>
      </c>
      <c r="K407" s="52" t="s">
        <v>607</v>
      </c>
      <c r="L407" s="52" t="s">
        <v>607</v>
      </c>
      <c r="M407" s="52" t="s">
        <v>607</v>
      </c>
      <c r="N407" s="52" t="s">
        <v>607</v>
      </c>
      <c r="O407" s="52"/>
      <c r="P407" s="52"/>
      <c r="Q407" s="52"/>
      <c r="R407" s="51" t="b">
        <v>0</v>
      </c>
      <c r="S407" s="51"/>
      <c r="T407" s="52"/>
      <c r="U407" s="51" t="b">
        <v>0</v>
      </c>
      <c r="V407" s="51" t="b">
        <v>0</v>
      </c>
      <c r="W407" s="51" t="b">
        <v>0</v>
      </c>
      <c r="X407" s="51" t="b">
        <v>0</v>
      </c>
      <c r="Y407" s="51" t="b">
        <v>0</v>
      </c>
      <c r="Z407" s="51" t="b">
        <v>0</v>
      </c>
      <c r="AA407" s="68"/>
      <c r="AB407" s="52"/>
      <c r="AC407" s="52"/>
      <c r="AD407" s="52"/>
      <c r="AE407" s="56" t="s">
        <v>607</v>
      </c>
      <c r="AF407" s="56" t="s">
        <v>607</v>
      </c>
    </row>
    <row r="408">
      <c r="A408" s="52" t="s">
        <v>1966</v>
      </c>
      <c r="B408" s="52" t="s">
        <v>16</v>
      </c>
      <c r="C408" s="52" t="s">
        <v>66</v>
      </c>
      <c r="D408" s="65">
        <v>0.4592361111111112</v>
      </c>
      <c r="E408" s="65">
        <v>3.4722222222222224E-4</v>
      </c>
      <c r="F408" s="65">
        <v>0.4595833333333334</v>
      </c>
      <c r="G408" s="65" t="s">
        <v>106</v>
      </c>
      <c r="H408" s="52" t="s">
        <v>81</v>
      </c>
      <c r="I408" s="52" t="s">
        <v>81</v>
      </c>
      <c r="J408" s="52"/>
      <c r="K408" s="52"/>
      <c r="L408" s="52"/>
      <c r="M408" s="52"/>
      <c r="N408" s="52" t="s">
        <v>70</v>
      </c>
      <c r="O408" s="52"/>
      <c r="P408" s="69"/>
      <c r="Q408" s="52"/>
      <c r="R408" s="51" t="b">
        <v>0</v>
      </c>
      <c r="S408" s="51"/>
      <c r="T408" s="52"/>
      <c r="U408" s="51" t="b">
        <v>0</v>
      </c>
      <c r="V408" s="51" t="b">
        <v>0</v>
      </c>
      <c r="W408" s="51" t="b">
        <v>0</v>
      </c>
      <c r="X408" s="51" t="b">
        <v>0</v>
      </c>
      <c r="Y408" s="51" t="b">
        <v>0</v>
      </c>
      <c r="Z408" s="51" t="b">
        <v>0</v>
      </c>
      <c r="AA408" s="68"/>
      <c r="AB408" s="52"/>
      <c r="AC408" s="52"/>
      <c r="AD408" s="52"/>
      <c r="AE408" s="56"/>
      <c r="AF408" s="56" t="s">
        <v>1944</v>
      </c>
    </row>
    <row r="409">
      <c r="A409" s="52" t="s">
        <v>1967</v>
      </c>
      <c r="B409" s="52" t="s">
        <v>16</v>
      </c>
      <c r="C409" s="52" t="s">
        <v>66</v>
      </c>
      <c r="D409" s="65">
        <v>0.4595833333333334</v>
      </c>
      <c r="E409" s="65">
        <v>0.010613425925925925</v>
      </c>
      <c r="F409" s="65">
        <v>0.4701967592592593</v>
      </c>
      <c r="G409" s="65" t="s">
        <v>106</v>
      </c>
      <c r="H409" s="52" t="s">
        <v>107</v>
      </c>
      <c r="I409" s="52" t="s">
        <v>489</v>
      </c>
      <c r="J409" s="52" t="s">
        <v>490</v>
      </c>
      <c r="K409" s="52" t="s">
        <v>491</v>
      </c>
      <c r="L409" s="52"/>
      <c r="M409" s="52"/>
      <c r="N409" s="52" t="s">
        <v>492</v>
      </c>
      <c r="O409" s="69" t="s">
        <v>734</v>
      </c>
      <c r="P409" s="69" t="s">
        <v>25</v>
      </c>
      <c r="Q409" s="70" t="s">
        <v>1968</v>
      </c>
      <c r="R409" s="51" t="b">
        <v>1</v>
      </c>
      <c r="S409" s="78" t="s">
        <v>489</v>
      </c>
      <c r="T409" s="52"/>
      <c r="U409" s="51" t="b">
        <v>0</v>
      </c>
      <c r="V409" s="51" t="b">
        <v>1</v>
      </c>
      <c r="W409" s="51" t="b">
        <v>1</v>
      </c>
      <c r="X409" s="51" t="b">
        <v>1</v>
      </c>
      <c r="Y409" s="51" t="b">
        <v>0</v>
      </c>
      <c r="Z409" s="51" t="b">
        <v>0</v>
      </c>
      <c r="AA409" s="71">
        <v>0.010613425925925925</v>
      </c>
      <c r="AB409" s="69"/>
      <c r="AC409" s="72"/>
      <c r="AD409" s="70" t="s">
        <v>1969</v>
      </c>
      <c r="AE409" s="74" t="s">
        <v>629</v>
      </c>
      <c r="AF409" s="74" t="s">
        <v>1253</v>
      </c>
    </row>
    <row r="410">
      <c r="A410" s="52" t="s">
        <v>1970</v>
      </c>
      <c r="B410" s="52" t="s">
        <v>607</v>
      </c>
      <c r="C410" s="52" t="s">
        <v>607</v>
      </c>
      <c r="D410" s="65" t="s">
        <v>607</v>
      </c>
      <c r="E410" s="65" t="s">
        <v>607</v>
      </c>
      <c r="F410" s="65" t="s">
        <v>607</v>
      </c>
      <c r="G410" s="65" t="s">
        <v>607</v>
      </c>
      <c r="H410" s="52" t="s">
        <v>607</v>
      </c>
      <c r="I410" s="52" t="s">
        <v>607</v>
      </c>
      <c r="J410" s="52" t="s">
        <v>607</v>
      </c>
      <c r="K410" s="52" t="s">
        <v>607</v>
      </c>
      <c r="L410" s="52" t="s">
        <v>607</v>
      </c>
      <c r="M410" s="52" t="s">
        <v>607</v>
      </c>
      <c r="N410" s="52" t="s">
        <v>607</v>
      </c>
      <c r="O410" s="52"/>
      <c r="P410" s="52"/>
      <c r="Q410" s="52"/>
      <c r="R410" s="51" t="b">
        <v>0</v>
      </c>
      <c r="S410" s="51"/>
      <c r="T410" s="52"/>
      <c r="U410" s="51" t="b">
        <v>0</v>
      </c>
      <c r="V410" s="51" t="b">
        <v>0</v>
      </c>
      <c r="W410" s="51" t="b">
        <v>0</v>
      </c>
      <c r="X410" s="51" t="b">
        <v>0</v>
      </c>
      <c r="Y410" s="51" t="b">
        <v>0</v>
      </c>
      <c r="Z410" s="51" t="b">
        <v>0</v>
      </c>
      <c r="AA410" s="68"/>
      <c r="AB410" s="52"/>
      <c r="AC410" s="52"/>
      <c r="AD410" s="52"/>
      <c r="AE410" s="56" t="s">
        <v>607</v>
      </c>
      <c r="AF410" s="56" t="s">
        <v>607</v>
      </c>
    </row>
    <row r="411">
      <c r="A411" s="52" t="s">
        <v>1971</v>
      </c>
      <c r="B411" s="52" t="s">
        <v>607</v>
      </c>
      <c r="C411" s="52" t="s">
        <v>607</v>
      </c>
      <c r="D411" s="65" t="s">
        <v>607</v>
      </c>
      <c r="E411" s="65" t="s">
        <v>607</v>
      </c>
      <c r="F411" s="65" t="s">
        <v>607</v>
      </c>
      <c r="G411" s="65" t="s">
        <v>607</v>
      </c>
      <c r="H411" s="52" t="s">
        <v>607</v>
      </c>
      <c r="I411" s="52" t="s">
        <v>607</v>
      </c>
      <c r="J411" s="52" t="s">
        <v>607</v>
      </c>
      <c r="K411" s="52" t="s">
        <v>607</v>
      </c>
      <c r="L411" s="52" t="s">
        <v>607</v>
      </c>
      <c r="M411" s="52" t="s">
        <v>607</v>
      </c>
      <c r="N411" s="52" t="s">
        <v>607</v>
      </c>
      <c r="O411" s="52"/>
      <c r="P411" s="52"/>
      <c r="Q411" s="52"/>
      <c r="R411" s="51" t="b">
        <v>0</v>
      </c>
      <c r="S411" s="51"/>
      <c r="T411" s="52"/>
      <c r="U411" s="51" t="b">
        <v>0</v>
      </c>
      <c r="V411" s="51" t="b">
        <v>0</v>
      </c>
      <c r="W411" s="51" t="b">
        <v>0</v>
      </c>
      <c r="X411" s="51" t="b">
        <v>0</v>
      </c>
      <c r="Y411" s="51" t="b">
        <v>0</v>
      </c>
      <c r="Z411" s="51" t="b">
        <v>0</v>
      </c>
      <c r="AA411" s="68"/>
      <c r="AB411" s="52"/>
      <c r="AC411" s="52"/>
      <c r="AD411" s="52"/>
      <c r="AE411" s="56" t="s">
        <v>607</v>
      </c>
      <c r="AF411" s="56" t="s">
        <v>607</v>
      </c>
    </row>
    <row r="412">
      <c r="A412" s="52" t="s">
        <v>1972</v>
      </c>
      <c r="B412" s="52" t="s">
        <v>16</v>
      </c>
      <c r="C412" s="52" t="s">
        <v>66</v>
      </c>
      <c r="D412" s="65">
        <v>0.4701967592592593</v>
      </c>
      <c r="E412" s="65">
        <v>3.4722222222222224E-4</v>
      </c>
      <c r="F412" s="65">
        <v>0.4705439814814815</v>
      </c>
      <c r="G412" s="65" t="s">
        <v>106</v>
      </c>
      <c r="H412" s="52" t="s">
        <v>81</v>
      </c>
      <c r="I412" s="52" t="s">
        <v>81</v>
      </c>
      <c r="J412" s="52"/>
      <c r="K412" s="52"/>
      <c r="L412" s="52"/>
      <c r="M412" s="52"/>
      <c r="N412" s="52" t="s">
        <v>70</v>
      </c>
      <c r="O412" s="52"/>
      <c r="P412" s="52"/>
      <c r="Q412" s="52"/>
      <c r="R412" s="51" t="b">
        <v>0</v>
      </c>
      <c r="S412" s="51"/>
      <c r="T412" s="52"/>
      <c r="U412" s="51" t="b">
        <v>0</v>
      </c>
      <c r="V412" s="51" t="b">
        <v>0</v>
      </c>
      <c r="W412" s="51" t="b">
        <v>0</v>
      </c>
      <c r="X412" s="51" t="b">
        <v>0</v>
      </c>
      <c r="Y412" s="51" t="b">
        <v>0</v>
      </c>
      <c r="Z412" s="51" t="b">
        <v>0</v>
      </c>
      <c r="AA412" s="68"/>
      <c r="AB412" s="52"/>
      <c r="AC412" s="52"/>
      <c r="AD412" s="52"/>
      <c r="AE412" s="56"/>
      <c r="AF412" s="56" t="s">
        <v>1944</v>
      </c>
    </row>
    <row r="413">
      <c r="A413" s="52" t="s">
        <v>1973</v>
      </c>
      <c r="B413" s="52" t="s">
        <v>16</v>
      </c>
      <c r="C413" s="52" t="s">
        <v>66</v>
      </c>
      <c r="D413" s="65">
        <v>0.4705439814814815</v>
      </c>
      <c r="E413" s="65">
        <v>0.013888888888888888</v>
      </c>
      <c r="F413" s="65">
        <v>0.4844328703703704</v>
      </c>
      <c r="G413" s="65" t="s">
        <v>106</v>
      </c>
      <c r="H413" s="52" t="s">
        <v>94</v>
      </c>
      <c r="I413" s="52" t="s">
        <v>493</v>
      </c>
      <c r="J413" s="52" t="s">
        <v>494</v>
      </c>
      <c r="K413" s="52"/>
      <c r="L413" s="52"/>
      <c r="M413" s="52"/>
      <c r="N413" s="52" t="s">
        <v>495</v>
      </c>
      <c r="O413" s="69" t="s">
        <v>618</v>
      </c>
      <c r="P413" s="69" t="s">
        <v>32</v>
      </c>
      <c r="Q413" s="80" t="s">
        <v>1974</v>
      </c>
      <c r="R413" s="51" t="b">
        <v>1</v>
      </c>
      <c r="S413" s="52" t="s">
        <v>493</v>
      </c>
      <c r="T413" s="52"/>
      <c r="U413" s="51" t="b">
        <v>0</v>
      </c>
      <c r="V413" s="51" t="b">
        <v>0</v>
      </c>
      <c r="W413" s="51" t="b">
        <v>0</v>
      </c>
      <c r="X413" s="51" t="b">
        <v>0</v>
      </c>
      <c r="Y413" s="51" t="b">
        <v>0</v>
      </c>
      <c r="Z413" s="51" t="b">
        <v>0</v>
      </c>
      <c r="AA413" s="102">
        <v>0.014895833333333334</v>
      </c>
      <c r="AB413" s="69" t="s">
        <v>1975</v>
      </c>
      <c r="AC413" s="52"/>
      <c r="AD413" s="52"/>
      <c r="AE413" s="56" t="s">
        <v>629</v>
      </c>
      <c r="AF413" s="56" t="s">
        <v>1253</v>
      </c>
    </row>
    <row r="414">
      <c r="A414" s="52" t="s">
        <v>1976</v>
      </c>
      <c r="B414" s="52" t="s">
        <v>607</v>
      </c>
      <c r="C414" s="52" t="s">
        <v>607</v>
      </c>
      <c r="D414" s="65" t="s">
        <v>607</v>
      </c>
      <c r="E414" s="65" t="s">
        <v>607</v>
      </c>
      <c r="F414" s="65" t="s">
        <v>607</v>
      </c>
      <c r="G414" s="65" t="s">
        <v>607</v>
      </c>
      <c r="H414" s="52" t="s">
        <v>607</v>
      </c>
      <c r="I414" s="52" t="s">
        <v>607</v>
      </c>
      <c r="J414" s="52" t="s">
        <v>607</v>
      </c>
      <c r="K414" s="52" t="s">
        <v>607</v>
      </c>
      <c r="L414" s="52" t="s">
        <v>607</v>
      </c>
      <c r="M414" s="52" t="s">
        <v>607</v>
      </c>
      <c r="N414" s="52" t="s">
        <v>607</v>
      </c>
      <c r="O414" s="52"/>
      <c r="P414" s="52"/>
      <c r="Q414" s="52"/>
      <c r="R414" s="51" t="b">
        <v>0</v>
      </c>
      <c r="S414" s="51"/>
      <c r="T414" s="52"/>
      <c r="U414" s="51" t="b">
        <v>0</v>
      </c>
      <c r="V414" s="51" t="b">
        <v>0</v>
      </c>
      <c r="W414" s="51" t="b">
        <v>0</v>
      </c>
      <c r="X414" s="51" t="b">
        <v>0</v>
      </c>
      <c r="Y414" s="51" t="b">
        <v>0</v>
      </c>
      <c r="Z414" s="51" t="b">
        <v>0</v>
      </c>
      <c r="AA414" s="68"/>
      <c r="AB414" s="52"/>
      <c r="AC414" s="52"/>
      <c r="AD414" s="52"/>
      <c r="AE414" s="56" t="s">
        <v>607</v>
      </c>
      <c r="AF414" s="56" t="s">
        <v>607</v>
      </c>
    </row>
    <row r="415">
      <c r="A415" s="52" t="s">
        <v>1977</v>
      </c>
      <c r="B415" s="52" t="s">
        <v>607</v>
      </c>
      <c r="C415" s="52" t="s">
        <v>607</v>
      </c>
      <c r="D415" s="65" t="s">
        <v>607</v>
      </c>
      <c r="E415" s="65" t="s">
        <v>607</v>
      </c>
      <c r="F415" s="65" t="s">
        <v>607</v>
      </c>
      <c r="G415" s="65" t="s">
        <v>607</v>
      </c>
      <c r="H415" s="52" t="s">
        <v>607</v>
      </c>
      <c r="I415" s="52" t="s">
        <v>607</v>
      </c>
      <c r="J415" s="52" t="s">
        <v>607</v>
      </c>
      <c r="K415" s="52" t="s">
        <v>607</v>
      </c>
      <c r="L415" s="52" t="s">
        <v>607</v>
      </c>
      <c r="M415" s="52" t="s">
        <v>607</v>
      </c>
      <c r="N415" s="52" t="s">
        <v>607</v>
      </c>
      <c r="O415" s="52"/>
      <c r="P415" s="52"/>
      <c r="Q415" s="52"/>
      <c r="R415" s="51" t="b">
        <v>0</v>
      </c>
      <c r="S415" s="51"/>
      <c r="T415" s="52"/>
      <c r="U415" s="51" t="b">
        <v>0</v>
      </c>
      <c r="V415" s="51" t="b">
        <v>0</v>
      </c>
      <c r="W415" s="51" t="b">
        <v>0</v>
      </c>
      <c r="X415" s="51" t="b">
        <v>0</v>
      </c>
      <c r="Y415" s="51" t="b">
        <v>0</v>
      </c>
      <c r="Z415" s="51" t="b">
        <v>0</v>
      </c>
      <c r="AA415" s="68"/>
      <c r="AB415" s="52"/>
      <c r="AC415" s="52"/>
      <c r="AD415" s="52"/>
      <c r="AE415" s="56" t="s">
        <v>607</v>
      </c>
      <c r="AF415" s="56" t="s">
        <v>607</v>
      </c>
    </row>
    <row r="416">
      <c r="A416" s="52" t="s">
        <v>1978</v>
      </c>
      <c r="B416" s="52" t="s">
        <v>607</v>
      </c>
      <c r="C416" s="52" t="s">
        <v>607</v>
      </c>
      <c r="D416" s="65" t="s">
        <v>607</v>
      </c>
      <c r="E416" s="65" t="s">
        <v>607</v>
      </c>
      <c r="F416" s="65" t="s">
        <v>607</v>
      </c>
      <c r="G416" s="65" t="s">
        <v>607</v>
      </c>
      <c r="H416" s="52" t="s">
        <v>607</v>
      </c>
      <c r="I416" s="52" t="s">
        <v>607</v>
      </c>
      <c r="J416" s="52" t="s">
        <v>607</v>
      </c>
      <c r="K416" s="52" t="s">
        <v>607</v>
      </c>
      <c r="L416" s="52" t="s">
        <v>607</v>
      </c>
      <c r="M416" s="52" t="s">
        <v>607</v>
      </c>
      <c r="N416" s="52" t="s">
        <v>607</v>
      </c>
      <c r="O416" s="52"/>
      <c r="P416" s="52"/>
      <c r="Q416" s="52"/>
      <c r="R416" s="51" t="b">
        <v>0</v>
      </c>
      <c r="S416" s="51"/>
      <c r="T416" s="52"/>
      <c r="U416" s="51" t="b">
        <v>0</v>
      </c>
      <c r="V416" s="51" t="b">
        <v>0</v>
      </c>
      <c r="W416" s="51" t="b">
        <v>0</v>
      </c>
      <c r="X416" s="51" t="b">
        <v>0</v>
      </c>
      <c r="Y416" s="51" t="b">
        <v>0</v>
      </c>
      <c r="Z416" s="51" t="b">
        <v>0</v>
      </c>
      <c r="AA416" s="68"/>
      <c r="AB416" s="52"/>
      <c r="AC416" s="52"/>
      <c r="AD416" s="52"/>
      <c r="AE416" s="56" t="s">
        <v>607</v>
      </c>
      <c r="AF416" s="56" t="s">
        <v>607</v>
      </c>
    </row>
    <row r="417">
      <c r="A417" s="52" t="s">
        <v>1979</v>
      </c>
      <c r="B417" s="52" t="s">
        <v>16</v>
      </c>
      <c r="C417" s="52" t="s">
        <v>66</v>
      </c>
      <c r="D417" s="65">
        <v>0.48478009259259264</v>
      </c>
      <c r="E417" s="65">
        <v>3.4722222222222224E-4</v>
      </c>
      <c r="F417" s="65">
        <v>0.48512731481481486</v>
      </c>
      <c r="G417" s="65" t="s">
        <v>106</v>
      </c>
      <c r="H417" s="52" t="s">
        <v>81</v>
      </c>
      <c r="I417" s="52" t="s">
        <v>81</v>
      </c>
      <c r="J417" s="52"/>
      <c r="K417" s="52"/>
      <c r="L417" s="52"/>
      <c r="M417" s="52"/>
      <c r="N417" s="52"/>
      <c r="O417" s="52"/>
      <c r="P417" s="69"/>
      <c r="Q417" s="52"/>
      <c r="R417" s="51" t="b">
        <v>0</v>
      </c>
      <c r="S417" s="51"/>
      <c r="T417" s="52"/>
      <c r="U417" s="51" t="b">
        <v>0</v>
      </c>
      <c r="V417" s="51" t="b">
        <v>0</v>
      </c>
      <c r="W417" s="51" t="b">
        <v>0</v>
      </c>
      <c r="X417" s="51" t="b">
        <v>0</v>
      </c>
      <c r="Y417" s="51" t="b">
        <v>0</v>
      </c>
      <c r="Z417" s="51" t="b">
        <v>0</v>
      </c>
      <c r="AA417" s="68"/>
      <c r="AB417" s="52"/>
      <c r="AC417" s="52"/>
      <c r="AD417" s="52"/>
      <c r="AE417" s="56"/>
      <c r="AF417" s="56" t="s">
        <v>1944</v>
      </c>
    </row>
    <row r="418">
      <c r="A418" s="52" t="s">
        <v>1980</v>
      </c>
      <c r="B418" s="52" t="s">
        <v>16</v>
      </c>
      <c r="C418" s="52" t="s">
        <v>66</v>
      </c>
      <c r="D418" s="65">
        <v>0.48512731481481486</v>
      </c>
      <c r="E418" s="65">
        <v>0.007476851851851852</v>
      </c>
      <c r="F418" s="65">
        <v>0.49260416666666673</v>
      </c>
      <c r="G418" s="65" t="s">
        <v>106</v>
      </c>
      <c r="H418" s="52" t="s">
        <v>165</v>
      </c>
      <c r="I418" s="52" t="s">
        <v>496</v>
      </c>
      <c r="J418" s="52" t="s">
        <v>497</v>
      </c>
      <c r="K418" s="52"/>
      <c r="L418" s="52"/>
      <c r="M418" s="52"/>
      <c r="N418" s="52"/>
      <c r="O418" s="69" t="s">
        <v>1926</v>
      </c>
      <c r="P418" s="69" t="s">
        <v>30</v>
      </c>
      <c r="Q418" s="70" t="s">
        <v>1981</v>
      </c>
      <c r="R418" s="51" t="b">
        <v>1</v>
      </c>
      <c r="S418" s="52" t="s">
        <v>496</v>
      </c>
      <c r="T418" s="52"/>
      <c r="U418" s="51" t="b">
        <v>0</v>
      </c>
      <c r="V418" s="51" t="b">
        <v>1</v>
      </c>
      <c r="W418" s="51" t="b">
        <v>1</v>
      </c>
      <c r="X418" s="51" t="b">
        <v>1</v>
      </c>
      <c r="Y418" s="51" t="b">
        <v>0</v>
      </c>
      <c r="Z418" s="51" t="b">
        <v>0</v>
      </c>
      <c r="AA418" s="88">
        <v>0.007476851851851852</v>
      </c>
      <c r="AB418" s="91" t="s">
        <v>1982</v>
      </c>
      <c r="AC418" s="72"/>
      <c r="AD418" s="73" t="s">
        <v>1983</v>
      </c>
      <c r="AE418" s="74" t="s">
        <v>629</v>
      </c>
      <c r="AF418" s="74" t="s">
        <v>946</v>
      </c>
    </row>
    <row r="419">
      <c r="A419" s="52" t="s">
        <v>1984</v>
      </c>
      <c r="B419" s="52" t="s">
        <v>607</v>
      </c>
      <c r="C419" s="52" t="s">
        <v>607</v>
      </c>
      <c r="D419" s="65" t="s">
        <v>607</v>
      </c>
      <c r="E419" s="65" t="s">
        <v>607</v>
      </c>
      <c r="F419" s="65" t="s">
        <v>607</v>
      </c>
      <c r="G419" s="65" t="s">
        <v>607</v>
      </c>
      <c r="H419" s="52" t="s">
        <v>607</v>
      </c>
      <c r="I419" s="52" t="s">
        <v>607</v>
      </c>
      <c r="J419" s="52" t="s">
        <v>607</v>
      </c>
      <c r="K419" s="52" t="s">
        <v>607</v>
      </c>
      <c r="L419" s="52" t="s">
        <v>607</v>
      </c>
      <c r="M419" s="52" t="s">
        <v>607</v>
      </c>
      <c r="N419" s="52" t="s">
        <v>607</v>
      </c>
      <c r="O419" s="52"/>
      <c r="P419" s="52"/>
      <c r="Q419" s="52"/>
      <c r="R419" s="51" t="b">
        <v>0</v>
      </c>
      <c r="S419" s="51"/>
      <c r="T419" s="52"/>
      <c r="U419" s="51" t="b">
        <v>0</v>
      </c>
      <c r="V419" s="51" t="b">
        <v>0</v>
      </c>
      <c r="W419" s="51" t="b">
        <v>0</v>
      </c>
      <c r="X419" s="51" t="b">
        <v>0</v>
      </c>
      <c r="Y419" s="51" t="b">
        <v>0</v>
      </c>
      <c r="Z419" s="51" t="b">
        <v>0</v>
      </c>
      <c r="AA419" s="68"/>
      <c r="AB419" s="52"/>
      <c r="AC419" s="52"/>
      <c r="AD419" s="52"/>
      <c r="AE419" s="56" t="s">
        <v>607</v>
      </c>
      <c r="AF419" s="56" t="s">
        <v>607</v>
      </c>
    </row>
    <row r="420">
      <c r="A420" s="52" t="s">
        <v>1985</v>
      </c>
      <c r="B420" s="52" t="s">
        <v>785</v>
      </c>
      <c r="C420" s="52" t="s">
        <v>66</v>
      </c>
      <c r="D420" s="65">
        <v>0.49224537037037047</v>
      </c>
      <c r="E420" s="65">
        <v>3.4722222222222224E-4</v>
      </c>
      <c r="F420" s="65">
        <v>0.4925925925925927</v>
      </c>
      <c r="G420" s="65" t="s">
        <v>106</v>
      </c>
      <c r="H420" s="52" t="s">
        <v>81</v>
      </c>
      <c r="I420" s="52" t="s">
        <v>81</v>
      </c>
      <c r="J420" s="52"/>
      <c r="K420" s="52"/>
      <c r="L420" s="52"/>
      <c r="M420" s="52"/>
      <c r="N420" s="52" t="s">
        <v>70</v>
      </c>
      <c r="O420" s="52"/>
      <c r="P420" s="52"/>
      <c r="Q420" s="52"/>
      <c r="R420" s="51" t="b">
        <v>0</v>
      </c>
      <c r="S420" s="51"/>
      <c r="T420" s="52"/>
      <c r="U420" s="51" t="b">
        <v>0</v>
      </c>
      <c r="V420" s="51" t="b">
        <v>0</v>
      </c>
      <c r="W420" s="51" t="b">
        <v>0</v>
      </c>
      <c r="X420" s="51" t="b">
        <v>0</v>
      </c>
      <c r="Y420" s="51" t="b">
        <v>0</v>
      </c>
      <c r="Z420" s="51" t="b">
        <v>0</v>
      </c>
      <c r="AA420" s="68"/>
      <c r="AB420" s="52"/>
      <c r="AC420" s="52"/>
      <c r="AD420" s="52"/>
      <c r="AE420" s="56"/>
      <c r="AF420" s="56" t="s">
        <v>1944</v>
      </c>
    </row>
    <row r="421">
      <c r="A421" s="52" t="s">
        <v>1986</v>
      </c>
      <c r="B421" s="52" t="s">
        <v>785</v>
      </c>
      <c r="C421" s="52" t="s">
        <v>66</v>
      </c>
      <c r="D421" s="65">
        <v>0.6128935185185185</v>
      </c>
      <c r="E421" s="65">
        <v>0.005555555555555556</v>
      </c>
      <c r="F421" s="65">
        <v>0.618449074074074</v>
      </c>
      <c r="G421" s="65" t="s">
        <v>106</v>
      </c>
      <c r="H421" s="52" t="s">
        <v>165</v>
      </c>
      <c r="I421" s="52" t="s">
        <v>1755</v>
      </c>
      <c r="J421" s="52" t="s">
        <v>1756</v>
      </c>
      <c r="K421" s="52"/>
      <c r="L421" s="52"/>
      <c r="M421" s="52"/>
      <c r="N421" s="52" t="s">
        <v>70</v>
      </c>
      <c r="O421" s="69" t="s">
        <v>884</v>
      </c>
      <c r="P421" s="69" t="s">
        <v>30</v>
      </c>
      <c r="Q421" s="80" t="s">
        <v>1987</v>
      </c>
      <c r="R421" s="51" t="b">
        <v>1</v>
      </c>
      <c r="S421" s="52" t="s">
        <v>1755</v>
      </c>
      <c r="T421" s="52"/>
      <c r="U421" s="51" t="b">
        <v>0</v>
      </c>
      <c r="V421" s="51" t="b">
        <v>1</v>
      </c>
      <c r="W421" s="51" t="b">
        <v>1</v>
      </c>
      <c r="X421" s="51" t="b">
        <v>1</v>
      </c>
      <c r="Y421" s="51" t="b">
        <v>0</v>
      </c>
      <c r="Z421" s="51" t="b">
        <v>0</v>
      </c>
      <c r="AA421" s="71">
        <v>0.005567129629629629</v>
      </c>
      <c r="AB421" s="52"/>
      <c r="AC421" s="75"/>
      <c r="AD421" s="76" t="s">
        <v>1988</v>
      </c>
      <c r="AE421" s="56" t="s">
        <v>743</v>
      </c>
      <c r="AF421" s="56" t="s">
        <v>1253</v>
      </c>
    </row>
    <row r="422">
      <c r="A422" s="52" t="s">
        <v>1989</v>
      </c>
      <c r="B422" s="52" t="s">
        <v>785</v>
      </c>
      <c r="C422" s="52" t="s">
        <v>66</v>
      </c>
      <c r="D422" s="65">
        <v>0.4995370370370371</v>
      </c>
      <c r="E422" s="65">
        <v>1.7361111111111112E-4</v>
      </c>
      <c r="F422" s="65">
        <v>0.49971064814814825</v>
      </c>
      <c r="G422" s="65" t="s">
        <v>106</v>
      </c>
      <c r="H422" s="52" t="s">
        <v>85</v>
      </c>
      <c r="I422" s="52" t="s">
        <v>85</v>
      </c>
      <c r="J422" s="52"/>
      <c r="K422" s="52"/>
      <c r="L422" s="52"/>
      <c r="M422" s="52"/>
      <c r="N422" s="52" t="s">
        <v>70</v>
      </c>
      <c r="O422" s="52"/>
      <c r="P422" s="69"/>
      <c r="Q422" s="52"/>
      <c r="R422" s="51" t="b">
        <v>0</v>
      </c>
      <c r="S422" s="51"/>
      <c r="T422" s="52"/>
      <c r="U422" s="51" t="b">
        <v>0</v>
      </c>
      <c r="V422" s="51" t="b">
        <v>0</v>
      </c>
      <c r="W422" s="51" t="b">
        <v>0</v>
      </c>
      <c r="X422" s="51" t="b">
        <v>0</v>
      </c>
      <c r="Y422" s="51" t="b">
        <v>0</v>
      </c>
      <c r="Z422" s="51" t="b">
        <v>0</v>
      </c>
      <c r="AA422" s="68"/>
      <c r="AB422" s="52"/>
      <c r="AC422" s="52"/>
      <c r="AD422" s="52"/>
      <c r="AE422" s="56"/>
      <c r="AF422" s="56" t="s">
        <v>1944</v>
      </c>
    </row>
    <row r="423">
      <c r="A423" s="52" t="s">
        <v>1990</v>
      </c>
      <c r="B423" s="52" t="s">
        <v>607</v>
      </c>
      <c r="C423" s="52" t="s">
        <v>607</v>
      </c>
      <c r="D423" s="65" t="s">
        <v>607</v>
      </c>
      <c r="E423" s="65" t="s">
        <v>607</v>
      </c>
      <c r="F423" s="65" t="s">
        <v>607</v>
      </c>
      <c r="G423" s="65" t="s">
        <v>607</v>
      </c>
      <c r="H423" s="52" t="s">
        <v>607</v>
      </c>
      <c r="I423" s="52" t="s">
        <v>607</v>
      </c>
      <c r="J423" s="52" t="s">
        <v>607</v>
      </c>
      <c r="K423" s="52" t="s">
        <v>607</v>
      </c>
      <c r="L423" s="52" t="s">
        <v>607</v>
      </c>
      <c r="M423" s="52" t="s">
        <v>607</v>
      </c>
      <c r="N423" s="52" t="s">
        <v>607</v>
      </c>
      <c r="O423" s="52"/>
      <c r="P423" s="52"/>
      <c r="Q423" s="52"/>
      <c r="R423" s="51" t="b">
        <v>0</v>
      </c>
      <c r="S423" s="51"/>
      <c r="T423" s="52"/>
      <c r="U423" s="51" t="b">
        <v>0</v>
      </c>
      <c r="V423" s="51" t="b">
        <v>0</v>
      </c>
      <c r="W423" s="51" t="b">
        <v>0</v>
      </c>
      <c r="X423" s="51" t="b">
        <v>0</v>
      </c>
      <c r="Y423" s="51" t="b">
        <v>0</v>
      </c>
      <c r="Z423" s="51" t="b">
        <v>0</v>
      </c>
      <c r="AA423" s="68"/>
      <c r="AB423" s="52"/>
      <c r="AC423" s="52"/>
      <c r="AD423" s="52"/>
      <c r="AE423" s="56" t="s">
        <v>607</v>
      </c>
      <c r="AF423" s="56" t="s">
        <v>607</v>
      </c>
    </row>
    <row r="424">
      <c r="A424" s="52" t="s">
        <v>1991</v>
      </c>
      <c r="B424" s="52" t="s">
        <v>607</v>
      </c>
      <c r="C424" s="52" t="s">
        <v>607</v>
      </c>
      <c r="D424" s="65" t="s">
        <v>607</v>
      </c>
      <c r="E424" s="65" t="s">
        <v>607</v>
      </c>
      <c r="F424" s="65" t="s">
        <v>607</v>
      </c>
      <c r="G424" s="65" t="s">
        <v>607</v>
      </c>
      <c r="H424" s="52" t="s">
        <v>607</v>
      </c>
      <c r="I424" s="52" t="s">
        <v>607</v>
      </c>
      <c r="J424" s="52" t="s">
        <v>607</v>
      </c>
      <c r="K424" s="52" t="s">
        <v>607</v>
      </c>
      <c r="L424" s="52" t="s">
        <v>607</v>
      </c>
      <c r="M424" s="52" t="s">
        <v>607</v>
      </c>
      <c r="N424" s="52" t="s">
        <v>607</v>
      </c>
      <c r="O424" s="52"/>
      <c r="P424" s="52"/>
      <c r="Q424" s="52"/>
      <c r="R424" s="51" t="b">
        <v>0</v>
      </c>
      <c r="S424" s="51"/>
      <c r="T424" s="52"/>
      <c r="U424" s="51" t="b">
        <v>0</v>
      </c>
      <c r="V424" s="51" t="b">
        <v>0</v>
      </c>
      <c r="W424" s="51" t="b">
        <v>0</v>
      </c>
      <c r="X424" s="51" t="b">
        <v>0</v>
      </c>
      <c r="Y424" s="51" t="b">
        <v>0</v>
      </c>
      <c r="Z424" s="51" t="b">
        <v>0</v>
      </c>
      <c r="AA424" s="68"/>
      <c r="AB424" s="52"/>
      <c r="AC424" s="52"/>
      <c r="AD424" s="52"/>
      <c r="AE424" s="56" t="s">
        <v>607</v>
      </c>
      <c r="AF424" s="56" t="s">
        <v>607</v>
      </c>
    </row>
    <row r="425">
      <c r="A425" s="52" t="s">
        <v>1992</v>
      </c>
      <c r="B425" s="52" t="s">
        <v>607</v>
      </c>
      <c r="C425" s="52" t="s">
        <v>607</v>
      </c>
      <c r="D425" s="65" t="s">
        <v>607</v>
      </c>
      <c r="E425" s="65" t="s">
        <v>607</v>
      </c>
      <c r="F425" s="65" t="s">
        <v>607</v>
      </c>
      <c r="G425" s="65" t="s">
        <v>607</v>
      </c>
      <c r="H425" s="52" t="s">
        <v>607</v>
      </c>
      <c r="I425" s="52" t="s">
        <v>607</v>
      </c>
      <c r="J425" s="52" t="s">
        <v>607</v>
      </c>
      <c r="K425" s="52" t="s">
        <v>607</v>
      </c>
      <c r="L425" s="52" t="s">
        <v>607</v>
      </c>
      <c r="M425" s="52" t="s">
        <v>607</v>
      </c>
      <c r="N425" s="52" t="s">
        <v>607</v>
      </c>
      <c r="O425" s="52"/>
      <c r="P425" s="52"/>
      <c r="Q425" s="52"/>
      <c r="R425" s="51" t="b">
        <v>0</v>
      </c>
      <c r="S425" s="51"/>
      <c r="T425" s="52"/>
      <c r="U425" s="51" t="b">
        <v>0</v>
      </c>
      <c r="V425" s="51" t="b">
        <v>0</v>
      </c>
      <c r="W425" s="51" t="b">
        <v>0</v>
      </c>
      <c r="X425" s="51" t="b">
        <v>0</v>
      </c>
      <c r="Y425" s="51" t="b">
        <v>0</v>
      </c>
      <c r="Z425" s="51" t="b">
        <v>0</v>
      </c>
      <c r="AA425" s="68"/>
      <c r="AB425" s="52"/>
      <c r="AC425" s="52"/>
      <c r="AD425" s="52"/>
      <c r="AE425" s="56" t="s">
        <v>607</v>
      </c>
      <c r="AF425" s="56" t="s">
        <v>607</v>
      </c>
    </row>
    <row r="426">
      <c r="A426" s="52" t="s">
        <v>1993</v>
      </c>
      <c r="B426" s="52" t="s">
        <v>16</v>
      </c>
      <c r="C426" s="52" t="s">
        <v>66</v>
      </c>
      <c r="D426" s="65">
        <v>0.5003009259259259</v>
      </c>
      <c r="E426" s="65">
        <v>3.4722222222222224E-4</v>
      </c>
      <c r="F426" s="65">
        <v>0.5006481481481482</v>
      </c>
      <c r="G426" s="65" t="s">
        <v>129</v>
      </c>
      <c r="H426" s="52" t="s">
        <v>81</v>
      </c>
      <c r="I426" s="52" t="s">
        <v>81</v>
      </c>
      <c r="J426" s="52"/>
      <c r="K426" s="52"/>
      <c r="L426" s="52"/>
      <c r="M426" s="52"/>
      <c r="N426" s="52" t="s">
        <v>70</v>
      </c>
      <c r="O426" s="52"/>
      <c r="P426" s="52"/>
      <c r="Q426" s="52"/>
      <c r="R426" s="51" t="b">
        <v>0</v>
      </c>
      <c r="S426" s="51"/>
      <c r="T426" s="52"/>
      <c r="U426" s="51" t="b">
        <v>0</v>
      </c>
      <c r="V426" s="51" t="b">
        <v>0</v>
      </c>
      <c r="W426" s="51" t="b">
        <v>0</v>
      </c>
      <c r="X426" s="51" t="b">
        <v>0</v>
      </c>
      <c r="Y426" s="51" t="b">
        <v>0</v>
      </c>
      <c r="Z426" s="51" t="b">
        <v>0</v>
      </c>
      <c r="AA426" s="68"/>
      <c r="AB426" s="52"/>
      <c r="AC426" s="52"/>
      <c r="AD426" s="52"/>
      <c r="AE426" s="56"/>
      <c r="AF426" s="56" t="s">
        <v>1944</v>
      </c>
    </row>
    <row r="427">
      <c r="A427" s="52" t="s">
        <v>1994</v>
      </c>
      <c r="B427" s="52" t="s">
        <v>16</v>
      </c>
      <c r="C427" s="52" t="s">
        <v>66</v>
      </c>
      <c r="D427" s="65">
        <v>0.5006481481481482</v>
      </c>
      <c r="E427" s="65">
        <v>0.007766203703703704</v>
      </c>
      <c r="F427" s="65">
        <v>0.5084143518518519</v>
      </c>
      <c r="G427" s="65" t="s">
        <v>129</v>
      </c>
      <c r="H427" s="52" t="s">
        <v>107</v>
      </c>
      <c r="I427" s="52" t="s">
        <v>502</v>
      </c>
      <c r="J427" s="52" t="s">
        <v>503</v>
      </c>
      <c r="K427" s="52" t="s">
        <v>504</v>
      </c>
      <c r="L427" s="52"/>
      <c r="M427" s="52"/>
      <c r="N427" s="52" t="s">
        <v>505</v>
      </c>
      <c r="O427" s="69" t="s">
        <v>734</v>
      </c>
      <c r="P427" s="69" t="s">
        <v>30</v>
      </c>
      <c r="Q427" s="80" t="s">
        <v>1995</v>
      </c>
      <c r="R427" s="51" t="b">
        <v>1</v>
      </c>
      <c r="S427" s="78" t="s">
        <v>502</v>
      </c>
      <c r="T427" s="52"/>
      <c r="U427" s="51" t="b">
        <v>0</v>
      </c>
      <c r="V427" s="51" t="b">
        <v>1</v>
      </c>
      <c r="W427" s="51" t="b">
        <v>1</v>
      </c>
      <c r="X427" s="51" t="b">
        <v>1</v>
      </c>
      <c r="Y427" s="51" t="b">
        <v>0</v>
      </c>
      <c r="Z427" s="51" t="b">
        <v>0</v>
      </c>
      <c r="AA427" s="124">
        <v>0.007766203703703704</v>
      </c>
      <c r="AB427" s="69" t="s">
        <v>1996</v>
      </c>
      <c r="AC427" s="72"/>
      <c r="AD427" s="76" t="s">
        <v>1997</v>
      </c>
      <c r="AE427" s="56" t="s">
        <v>629</v>
      </c>
      <c r="AF427" s="56" t="s">
        <v>860</v>
      </c>
    </row>
    <row r="428">
      <c r="A428" s="52" t="s">
        <v>1998</v>
      </c>
      <c r="B428" s="52" t="s">
        <v>607</v>
      </c>
      <c r="C428" s="52" t="s">
        <v>607</v>
      </c>
      <c r="D428" s="65" t="s">
        <v>607</v>
      </c>
      <c r="E428" s="65" t="s">
        <v>607</v>
      </c>
      <c r="F428" s="65" t="s">
        <v>607</v>
      </c>
      <c r="G428" s="65" t="s">
        <v>607</v>
      </c>
      <c r="H428" s="52" t="s">
        <v>607</v>
      </c>
      <c r="I428" s="52" t="s">
        <v>607</v>
      </c>
      <c r="J428" s="52" t="s">
        <v>607</v>
      </c>
      <c r="K428" s="52" t="s">
        <v>607</v>
      </c>
      <c r="L428" s="52" t="s">
        <v>607</v>
      </c>
      <c r="M428" s="52" t="s">
        <v>607</v>
      </c>
      <c r="N428" s="52" t="s">
        <v>607</v>
      </c>
      <c r="O428" s="52"/>
      <c r="P428" s="52"/>
      <c r="Q428" s="52"/>
      <c r="R428" s="51" t="b">
        <v>0</v>
      </c>
      <c r="S428" s="51"/>
      <c r="T428" s="52"/>
      <c r="U428" s="51" t="b">
        <v>0</v>
      </c>
      <c r="V428" s="51" t="b">
        <v>0</v>
      </c>
      <c r="W428" s="51" t="b">
        <v>0</v>
      </c>
      <c r="X428" s="51" t="b">
        <v>0</v>
      </c>
      <c r="Y428" s="51" t="b">
        <v>0</v>
      </c>
      <c r="Z428" s="51" t="b">
        <v>0</v>
      </c>
      <c r="AA428" s="68"/>
      <c r="AB428" s="52"/>
      <c r="AC428" s="52"/>
      <c r="AD428" s="52"/>
      <c r="AE428" s="56" t="s">
        <v>607</v>
      </c>
      <c r="AF428" s="56" t="s">
        <v>607</v>
      </c>
    </row>
    <row r="429">
      <c r="A429" s="52" t="s">
        <v>1999</v>
      </c>
      <c r="B429" s="52" t="s">
        <v>16</v>
      </c>
      <c r="C429" s="52" t="s">
        <v>66</v>
      </c>
      <c r="D429" s="65">
        <v>0.5084143518518519</v>
      </c>
      <c r="E429" s="65">
        <v>2.314814814814815E-4</v>
      </c>
      <c r="F429" s="65">
        <v>0.5086458333333334</v>
      </c>
      <c r="G429" s="65" t="s">
        <v>129</v>
      </c>
      <c r="H429" s="52" t="s">
        <v>506</v>
      </c>
      <c r="I429" s="52" t="s">
        <v>507</v>
      </c>
      <c r="J429" s="52"/>
      <c r="K429" s="52"/>
      <c r="L429" s="52"/>
      <c r="M429" s="52"/>
      <c r="N429" s="52" t="s">
        <v>70</v>
      </c>
      <c r="O429" s="69" t="s">
        <v>506</v>
      </c>
      <c r="P429" s="69" t="s">
        <v>30</v>
      </c>
      <c r="Q429" s="73" t="s">
        <v>2000</v>
      </c>
      <c r="R429" s="51" t="b">
        <v>1</v>
      </c>
      <c r="S429" s="110" t="s">
        <v>507</v>
      </c>
      <c r="T429" s="52"/>
      <c r="U429" s="51" t="b">
        <v>0</v>
      </c>
      <c r="V429" s="51" t="b">
        <v>1</v>
      </c>
      <c r="W429" s="51" t="b">
        <v>1</v>
      </c>
      <c r="X429" s="51" t="b">
        <v>0</v>
      </c>
      <c r="Y429" s="51" t="b">
        <v>0</v>
      </c>
      <c r="Z429" s="51" t="b">
        <v>0</v>
      </c>
      <c r="AA429" s="71">
        <v>1.7361111111111112E-4</v>
      </c>
      <c r="AB429" s="52"/>
      <c r="AC429" s="52"/>
      <c r="AD429" s="73" t="s">
        <v>2001</v>
      </c>
      <c r="AE429" s="56"/>
      <c r="AF429" s="56" t="s">
        <v>1215</v>
      </c>
    </row>
    <row r="430">
      <c r="A430" s="52" t="s">
        <v>2002</v>
      </c>
      <c r="B430" s="52" t="s">
        <v>16</v>
      </c>
      <c r="C430" s="52" t="s">
        <v>66</v>
      </c>
      <c r="D430" s="65">
        <v>0.5086458333333334</v>
      </c>
      <c r="E430" s="65">
        <v>3.4722222222222224E-4</v>
      </c>
      <c r="F430" s="65">
        <v>0.5089930555555556</v>
      </c>
      <c r="G430" s="65" t="s">
        <v>129</v>
      </c>
      <c r="H430" s="52" t="s">
        <v>87</v>
      </c>
      <c r="I430" s="52" t="s">
        <v>508</v>
      </c>
      <c r="J430" s="52"/>
      <c r="K430" s="52"/>
      <c r="L430" s="52"/>
      <c r="M430" s="52"/>
      <c r="N430" s="52" t="s">
        <v>70</v>
      </c>
      <c r="O430" s="52"/>
      <c r="P430" s="69"/>
      <c r="Q430" s="52"/>
      <c r="R430" s="51" t="b">
        <v>0</v>
      </c>
      <c r="S430" s="51"/>
      <c r="T430" s="52"/>
      <c r="U430" s="51" t="b">
        <v>0</v>
      </c>
      <c r="V430" s="51" t="b">
        <v>0</v>
      </c>
      <c r="W430" s="51" t="b">
        <v>0</v>
      </c>
      <c r="X430" s="51" t="b">
        <v>0</v>
      </c>
      <c r="Y430" s="51" t="b">
        <v>0</v>
      </c>
      <c r="Z430" s="51" t="b">
        <v>0</v>
      </c>
      <c r="AA430" s="68"/>
      <c r="AB430" s="52"/>
      <c r="AC430" s="52"/>
      <c r="AD430" s="52"/>
      <c r="AE430" s="56"/>
      <c r="AF430" s="56" t="s">
        <v>1944</v>
      </c>
    </row>
    <row r="431">
      <c r="A431" s="52" t="s">
        <v>2003</v>
      </c>
      <c r="B431" s="52" t="s">
        <v>16</v>
      </c>
      <c r="C431" s="52" t="s">
        <v>66</v>
      </c>
      <c r="D431" s="65">
        <v>0.5089930555555556</v>
      </c>
      <c r="E431" s="65">
        <v>1.7361111111111112E-4</v>
      </c>
      <c r="F431" s="65">
        <v>0.5091666666666668</v>
      </c>
      <c r="G431" s="65" t="s">
        <v>129</v>
      </c>
      <c r="H431" s="52" t="s">
        <v>77</v>
      </c>
      <c r="I431" s="52" t="s">
        <v>509</v>
      </c>
      <c r="J431" s="52"/>
      <c r="K431" s="52"/>
      <c r="L431" s="52"/>
      <c r="M431" s="52"/>
      <c r="N431" s="52" t="s">
        <v>70</v>
      </c>
      <c r="O431" s="52"/>
      <c r="P431" s="52"/>
      <c r="Q431" s="52"/>
      <c r="R431" s="51" t="b">
        <v>0</v>
      </c>
      <c r="S431" s="51"/>
      <c r="T431" s="52"/>
      <c r="U431" s="51" t="b">
        <v>0</v>
      </c>
      <c r="V431" s="51" t="b">
        <v>0</v>
      </c>
      <c r="W431" s="51" t="b">
        <v>0</v>
      </c>
      <c r="X431" s="51" t="b">
        <v>0</v>
      </c>
      <c r="Y431" s="51" t="b">
        <v>0</v>
      </c>
      <c r="Z431" s="51" t="b">
        <v>0</v>
      </c>
      <c r="AA431" s="68"/>
      <c r="AB431" s="52"/>
      <c r="AC431" s="52"/>
      <c r="AD431" s="52"/>
      <c r="AE431" s="56"/>
      <c r="AF431" s="56" t="s">
        <v>2004</v>
      </c>
    </row>
    <row r="432">
      <c r="A432" s="52" t="s">
        <v>2005</v>
      </c>
      <c r="B432" s="52" t="s">
        <v>16</v>
      </c>
      <c r="C432" s="52" t="s">
        <v>66</v>
      </c>
      <c r="D432" s="65">
        <v>0.5091666666666668</v>
      </c>
      <c r="E432" s="65">
        <v>1.7361111111111112E-4</v>
      </c>
      <c r="F432" s="65">
        <v>0.5093402777777779</v>
      </c>
      <c r="G432" s="65" t="s">
        <v>129</v>
      </c>
      <c r="H432" s="52" t="s">
        <v>77</v>
      </c>
      <c r="I432" s="52" t="s">
        <v>510</v>
      </c>
      <c r="J432" s="52"/>
      <c r="K432" s="52"/>
      <c r="L432" s="52"/>
      <c r="M432" s="52"/>
      <c r="N432" s="52" t="s">
        <v>70</v>
      </c>
      <c r="O432" s="52"/>
      <c r="P432" s="52"/>
      <c r="Q432" s="52"/>
      <c r="R432" s="51" t="b">
        <v>0</v>
      </c>
      <c r="S432" s="51"/>
      <c r="T432" s="52"/>
      <c r="U432" s="51" t="b">
        <v>0</v>
      </c>
      <c r="V432" s="51" t="b">
        <v>0</v>
      </c>
      <c r="W432" s="51" t="b">
        <v>0</v>
      </c>
      <c r="X432" s="51" t="b">
        <v>0</v>
      </c>
      <c r="Y432" s="51" t="b">
        <v>0</v>
      </c>
      <c r="Z432" s="51" t="b">
        <v>0</v>
      </c>
      <c r="AA432" s="68"/>
      <c r="AB432" s="52"/>
      <c r="AC432" s="52"/>
      <c r="AD432" s="52"/>
      <c r="AE432" s="56"/>
      <c r="AF432" s="56" t="s">
        <v>2004</v>
      </c>
    </row>
    <row r="433">
      <c r="A433" s="52" t="s">
        <v>2006</v>
      </c>
      <c r="B433" s="52" t="s">
        <v>16</v>
      </c>
      <c r="C433" s="52" t="s">
        <v>66</v>
      </c>
      <c r="D433" s="65">
        <v>0.5093402777777779</v>
      </c>
      <c r="E433" s="65">
        <v>3.4722222222222224E-4</v>
      </c>
      <c r="F433" s="65">
        <v>0.5096875000000002</v>
      </c>
      <c r="G433" s="65" t="s">
        <v>129</v>
      </c>
      <c r="H433" s="52" t="s">
        <v>511</v>
      </c>
      <c r="I433" s="52" t="s">
        <v>511</v>
      </c>
      <c r="J433" s="52"/>
      <c r="K433" s="52"/>
      <c r="L433" s="52"/>
      <c r="M433" s="52"/>
      <c r="N433" s="52" t="s">
        <v>70</v>
      </c>
      <c r="O433" s="52"/>
      <c r="P433" s="69"/>
      <c r="Q433" s="52"/>
      <c r="R433" s="51" t="b">
        <v>0</v>
      </c>
      <c r="S433" s="52"/>
      <c r="T433" s="52"/>
      <c r="U433" s="51" t="b">
        <v>0</v>
      </c>
      <c r="V433" s="51" t="b">
        <v>0</v>
      </c>
      <c r="W433" s="51" t="b">
        <v>0</v>
      </c>
      <c r="X433" s="51" t="b">
        <v>0</v>
      </c>
      <c r="Y433" s="51" t="b">
        <v>0</v>
      </c>
      <c r="Z433" s="51" t="b">
        <v>0</v>
      </c>
      <c r="AA433" s="68"/>
      <c r="AB433" s="52"/>
      <c r="AC433" s="52"/>
      <c r="AD433" s="125"/>
      <c r="AE433" s="56"/>
      <c r="AF433" s="56" t="s">
        <v>860</v>
      </c>
    </row>
    <row r="434">
      <c r="A434" s="52" t="s">
        <v>2007</v>
      </c>
      <c r="B434" s="52" t="s">
        <v>16</v>
      </c>
      <c r="C434" s="52" t="s">
        <v>66</v>
      </c>
      <c r="D434" s="65">
        <v>0.5096875000000002</v>
      </c>
      <c r="E434" s="65">
        <v>3.4722222222222224E-4</v>
      </c>
      <c r="F434" s="65">
        <v>0.5100347222222225</v>
      </c>
      <c r="G434" s="65" t="s">
        <v>129</v>
      </c>
      <c r="H434" s="52" t="s">
        <v>81</v>
      </c>
      <c r="I434" s="52" t="s">
        <v>81</v>
      </c>
      <c r="J434" s="52"/>
      <c r="K434" s="52"/>
      <c r="L434" s="52"/>
      <c r="M434" s="52"/>
      <c r="N434" s="52" t="s">
        <v>70</v>
      </c>
      <c r="O434" s="52"/>
      <c r="P434" s="52"/>
      <c r="Q434" s="52"/>
      <c r="R434" s="51" t="b">
        <v>0</v>
      </c>
      <c r="S434" s="51"/>
      <c r="T434" s="52"/>
      <c r="U434" s="51" t="b">
        <v>0</v>
      </c>
      <c r="V434" s="51" t="b">
        <v>0</v>
      </c>
      <c r="W434" s="51" t="b">
        <v>0</v>
      </c>
      <c r="X434" s="51" t="b">
        <v>0</v>
      </c>
      <c r="Y434" s="51" t="b">
        <v>0</v>
      </c>
      <c r="Z434" s="51" t="b">
        <v>0</v>
      </c>
      <c r="AA434" s="68"/>
      <c r="AB434" s="52"/>
      <c r="AC434" s="52"/>
      <c r="AD434" s="52"/>
      <c r="AE434" s="56"/>
      <c r="AF434" s="56" t="s">
        <v>1944</v>
      </c>
    </row>
    <row r="435">
      <c r="A435" s="52" t="s">
        <v>2008</v>
      </c>
      <c r="B435" s="52" t="s">
        <v>16</v>
      </c>
      <c r="C435" s="52" t="s">
        <v>66</v>
      </c>
      <c r="D435" s="65">
        <v>0.5100347222222225</v>
      </c>
      <c r="E435" s="65">
        <v>0.013888888888888888</v>
      </c>
      <c r="F435" s="65">
        <v>0.5239236111111113</v>
      </c>
      <c r="G435" s="65" t="s">
        <v>129</v>
      </c>
      <c r="H435" s="52" t="s">
        <v>94</v>
      </c>
      <c r="I435" s="52" t="s">
        <v>512</v>
      </c>
      <c r="J435" s="52" t="s">
        <v>513</v>
      </c>
      <c r="K435" s="52"/>
      <c r="L435" s="52"/>
      <c r="M435" s="52"/>
      <c r="N435" s="52" t="s">
        <v>514</v>
      </c>
      <c r="O435" s="52"/>
      <c r="P435" s="52"/>
      <c r="Q435" s="52"/>
      <c r="R435" s="51" t="b">
        <v>0</v>
      </c>
      <c r="S435" s="51"/>
      <c r="T435" s="52"/>
      <c r="U435" s="51" t="b">
        <v>0</v>
      </c>
      <c r="V435" s="51" t="b">
        <v>0</v>
      </c>
      <c r="W435" s="51" t="b">
        <v>0</v>
      </c>
      <c r="X435" s="51" t="b">
        <v>0</v>
      </c>
      <c r="Y435" s="51" t="b">
        <v>0</v>
      </c>
      <c r="Z435" s="51" t="b">
        <v>0</v>
      </c>
      <c r="AA435" s="68"/>
      <c r="AB435" s="52"/>
      <c r="AC435" s="52"/>
      <c r="AD435" s="52"/>
      <c r="AE435" s="56" t="s">
        <v>1025</v>
      </c>
      <c r="AF435" s="56" t="s">
        <v>726</v>
      </c>
    </row>
    <row r="436">
      <c r="A436" s="52" t="s">
        <v>2009</v>
      </c>
      <c r="B436" s="52" t="s">
        <v>16</v>
      </c>
      <c r="C436" s="52" t="s">
        <v>66</v>
      </c>
      <c r="D436" s="65">
        <v>0.5239236111111113</v>
      </c>
      <c r="E436" s="65">
        <v>1.7361111111111112E-4</v>
      </c>
      <c r="F436" s="65">
        <v>0.5240972222222224</v>
      </c>
      <c r="G436" s="65" t="s">
        <v>129</v>
      </c>
      <c r="H436" s="52" t="s">
        <v>85</v>
      </c>
      <c r="I436" s="52" t="s">
        <v>85</v>
      </c>
      <c r="J436" s="52"/>
      <c r="K436" s="52"/>
      <c r="L436" s="52"/>
      <c r="M436" s="52"/>
      <c r="N436" s="52" t="s">
        <v>70</v>
      </c>
      <c r="O436" s="52"/>
      <c r="P436" s="52"/>
      <c r="Q436" s="52"/>
      <c r="R436" s="51" t="b">
        <v>0</v>
      </c>
      <c r="S436" s="51"/>
      <c r="T436" s="52"/>
      <c r="U436" s="51" t="b">
        <v>0</v>
      </c>
      <c r="V436" s="51" t="b">
        <v>0</v>
      </c>
      <c r="W436" s="51" t="b">
        <v>0</v>
      </c>
      <c r="X436" s="51" t="b">
        <v>0</v>
      </c>
      <c r="Y436" s="51" t="b">
        <v>0</v>
      </c>
      <c r="Z436" s="51" t="b">
        <v>0</v>
      </c>
      <c r="AA436" s="68"/>
      <c r="AB436" s="52"/>
      <c r="AC436" s="52"/>
      <c r="AD436" s="52"/>
      <c r="AE436" s="56"/>
      <c r="AF436" s="56" t="s">
        <v>1944</v>
      </c>
    </row>
    <row r="437">
      <c r="A437" s="52" t="s">
        <v>2010</v>
      </c>
      <c r="B437" s="52" t="s">
        <v>16</v>
      </c>
      <c r="C437" s="52" t="s">
        <v>66</v>
      </c>
      <c r="D437" s="65">
        <v>0.5240972222222224</v>
      </c>
      <c r="E437" s="65">
        <v>3.4722222222222224E-4</v>
      </c>
      <c r="F437" s="65">
        <v>0.5244444444444447</v>
      </c>
      <c r="G437" s="65" t="s">
        <v>129</v>
      </c>
      <c r="H437" s="52" t="s">
        <v>81</v>
      </c>
      <c r="I437" s="52" t="s">
        <v>81</v>
      </c>
      <c r="J437" s="52"/>
      <c r="K437" s="52"/>
      <c r="L437" s="52"/>
      <c r="M437" s="52"/>
      <c r="N437" s="52" t="s">
        <v>70</v>
      </c>
      <c r="O437" s="52"/>
      <c r="P437" s="69"/>
      <c r="Q437" s="52"/>
      <c r="R437" s="51" t="b">
        <v>0</v>
      </c>
      <c r="S437" s="51"/>
      <c r="T437" s="52"/>
      <c r="U437" s="51" t="b">
        <v>0</v>
      </c>
      <c r="V437" s="51" t="b">
        <v>0</v>
      </c>
      <c r="W437" s="51" t="b">
        <v>0</v>
      </c>
      <c r="X437" s="51" t="b">
        <v>0</v>
      </c>
      <c r="Y437" s="51" t="b">
        <v>0</v>
      </c>
      <c r="Z437" s="51" t="b">
        <v>0</v>
      </c>
      <c r="AA437" s="68"/>
      <c r="AB437" s="52"/>
      <c r="AC437" s="52"/>
      <c r="AD437" s="52"/>
      <c r="AE437" s="56"/>
      <c r="AF437" s="56" t="s">
        <v>1944</v>
      </c>
    </row>
    <row r="438">
      <c r="A438" s="52" t="s">
        <v>2011</v>
      </c>
      <c r="B438" s="52" t="s">
        <v>16</v>
      </c>
      <c r="C438" s="52" t="s">
        <v>221</v>
      </c>
      <c r="D438" s="65">
        <v>0.4984259259259262</v>
      </c>
      <c r="E438" s="65">
        <v>0.0021296296296296298</v>
      </c>
      <c r="F438" s="65">
        <v>0.5005555555555559</v>
      </c>
      <c r="G438" s="65" t="s">
        <v>129</v>
      </c>
      <c r="H438" s="52" t="s">
        <v>165</v>
      </c>
      <c r="I438" s="52" t="s">
        <v>655</v>
      </c>
      <c r="J438" s="52" t="s">
        <v>656</v>
      </c>
      <c r="K438" s="52"/>
      <c r="L438" s="52"/>
      <c r="M438" s="52"/>
      <c r="N438" s="52" t="s">
        <v>70</v>
      </c>
      <c r="O438" s="69" t="s">
        <v>884</v>
      </c>
      <c r="P438" s="69" t="s">
        <v>25</v>
      </c>
      <c r="Q438" s="73" t="s">
        <v>2012</v>
      </c>
      <c r="R438" s="51" t="b">
        <v>1</v>
      </c>
      <c r="S438" s="52" t="s">
        <v>655</v>
      </c>
      <c r="T438" s="52"/>
      <c r="U438" s="51" t="b">
        <v>0</v>
      </c>
      <c r="V438" s="51" t="b">
        <v>1</v>
      </c>
      <c r="W438" s="51" t="b">
        <v>1</v>
      </c>
      <c r="X438" s="51" t="b">
        <v>1</v>
      </c>
      <c r="Y438" s="51" t="b">
        <v>0</v>
      </c>
      <c r="Z438" s="51" t="b">
        <v>0</v>
      </c>
      <c r="AA438" s="71">
        <v>0.0021296296296296298</v>
      </c>
      <c r="AB438" s="69"/>
      <c r="AC438" s="72"/>
      <c r="AD438" s="126" t="s">
        <v>2013</v>
      </c>
      <c r="AE438" s="74" t="s">
        <v>743</v>
      </c>
      <c r="AF438" s="74" t="s">
        <v>630</v>
      </c>
    </row>
    <row r="439">
      <c r="A439" s="52" t="s">
        <v>2014</v>
      </c>
      <c r="B439" s="52" t="s">
        <v>16</v>
      </c>
      <c r="C439" s="52" t="s">
        <v>66</v>
      </c>
      <c r="D439" s="65">
        <v>0.526527777777778</v>
      </c>
      <c r="E439" s="65">
        <v>1.7361111111111112E-4</v>
      </c>
      <c r="F439" s="65">
        <v>0.5267013888888892</v>
      </c>
      <c r="G439" s="65" t="s">
        <v>129</v>
      </c>
      <c r="H439" s="52" t="s">
        <v>85</v>
      </c>
      <c r="I439" s="52" t="s">
        <v>85</v>
      </c>
      <c r="J439" s="52"/>
      <c r="K439" s="52"/>
      <c r="L439" s="52"/>
      <c r="M439" s="52"/>
      <c r="N439" s="52" t="s">
        <v>70</v>
      </c>
      <c r="O439" s="52"/>
      <c r="P439" s="52"/>
      <c r="Q439" s="52"/>
      <c r="R439" s="51" t="b">
        <v>0</v>
      </c>
      <c r="S439" s="51"/>
      <c r="T439" s="52"/>
      <c r="U439" s="51" t="b">
        <v>0</v>
      </c>
      <c r="V439" s="51" t="b">
        <v>0</v>
      </c>
      <c r="W439" s="51" t="b">
        <v>0</v>
      </c>
      <c r="X439" s="51" t="b">
        <v>0</v>
      </c>
      <c r="Y439" s="51" t="b">
        <v>0</v>
      </c>
      <c r="Z439" s="51" t="b">
        <v>0</v>
      </c>
      <c r="AA439" s="68"/>
      <c r="AB439" s="52"/>
      <c r="AC439" s="52"/>
      <c r="AD439" s="52"/>
      <c r="AE439" s="56"/>
      <c r="AF439" s="56" t="s">
        <v>1944</v>
      </c>
    </row>
    <row r="440">
      <c r="A440" s="52" t="s">
        <v>2015</v>
      </c>
      <c r="B440" s="52" t="s">
        <v>16</v>
      </c>
      <c r="C440" s="52" t="s">
        <v>66</v>
      </c>
      <c r="D440" s="65">
        <v>0.4254050925925926</v>
      </c>
      <c r="E440" s="65">
        <v>1.7361111111111112E-4</v>
      </c>
      <c r="F440" s="65">
        <v>0.42557870370370376</v>
      </c>
      <c r="G440" s="65" t="s">
        <v>129</v>
      </c>
      <c r="H440" s="52" t="s">
        <v>77</v>
      </c>
      <c r="I440" s="52" t="s">
        <v>475</v>
      </c>
      <c r="J440" s="52"/>
      <c r="K440" s="52"/>
      <c r="L440" s="52"/>
      <c r="M440" s="52"/>
      <c r="N440" s="52"/>
      <c r="O440" s="52"/>
      <c r="P440" s="52"/>
      <c r="Q440" s="52"/>
      <c r="R440" s="51" t="b">
        <v>0</v>
      </c>
      <c r="S440" s="51"/>
      <c r="T440" s="52"/>
      <c r="U440" s="51" t="b">
        <v>0</v>
      </c>
      <c r="V440" s="51" t="b">
        <v>0</v>
      </c>
      <c r="W440" s="51" t="b">
        <v>0</v>
      </c>
      <c r="X440" s="51" t="b">
        <v>0</v>
      </c>
      <c r="Y440" s="51" t="b">
        <v>0</v>
      </c>
      <c r="Z440" s="51" t="b">
        <v>0</v>
      </c>
      <c r="AA440" s="68"/>
      <c r="AB440" s="52"/>
      <c r="AC440" s="52"/>
      <c r="AD440" s="52"/>
      <c r="AE440" s="56"/>
      <c r="AF440" s="56" t="s">
        <v>2004</v>
      </c>
    </row>
    <row r="441">
      <c r="A441" s="52" t="s">
        <v>2016</v>
      </c>
      <c r="B441" s="52" t="s">
        <v>16</v>
      </c>
      <c r="C441" s="52" t="s">
        <v>66</v>
      </c>
      <c r="D441" s="65">
        <v>0.5267013888888892</v>
      </c>
      <c r="E441" s="65">
        <v>3.4722222222222224E-4</v>
      </c>
      <c r="F441" s="65">
        <v>0.5270486111111115</v>
      </c>
      <c r="G441" s="65" t="s">
        <v>129</v>
      </c>
      <c r="H441" s="52" t="s">
        <v>81</v>
      </c>
      <c r="I441" s="52" t="s">
        <v>81</v>
      </c>
      <c r="J441" s="52"/>
      <c r="K441" s="52"/>
      <c r="L441" s="52"/>
      <c r="M441" s="52"/>
      <c r="N441" s="52" t="s">
        <v>70</v>
      </c>
      <c r="O441" s="52"/>
      <c r="P441" s="52"/>
      <c r="Q441" s="52"/>
      <c r="R441" s="51" t="b">
        <v>0</v>
      </c>
      <c r="S441" s="51"/>
      <c r="T441" s="52"/>
      <c r="U441" s="51" t="b">
        <v>0</v>
      </c>
      <c r="V441" s="51" t="b">
        <v>0</v>
      </c>
      <c r="W441" s="51" t="b">
        <v>0</v>
      </c>
      <c r="X441" s="51" t="b">
        <v>0</v>
      </c>
      <c r="Y441" s="51" t="b">
        <v>0</v>
      </c>
      <c r="Z441" s="51" t="b">
        <v>0</v>
      </c>
      <c r="AA441" s="68"/>
      <c r="AB441" s="52"/>
      <c r="AC441" s="52"/>
      <c r="AD441" s="52"/>
      <c r="AE441" s="56"/>
      <c r="AF441" s="56" t="s">
        <v>1944</v>
      </c>
    </row>
    <row r="442">
      <c r="A442" s="52" t="s">
        <v>2017</v>
      </c>
      <c r="B442" s="52" t="s">
        <v>16</v>
      </c>
      <c r="C442" s="52" t="s">
        <v>66</v>
      </c>
      <c r="D442" s="65">
        <v>0.5270486111111115</v>
      </c>
      <c r="E442" s="65">
        <v>0.0125</v>
      </c>
      <c r="F442" s="65">
        <v>0.5395486111111114</v>
      </c>
      <c r="G442" s="65" t="s">
        <v>129</v>
      </c>
      <c r="H442" s="52" t="s">
        <v>107</v>
      </c>
      <c r="I442" s="52" t="s">
        <v>517</v>
      </c>
      <c r="J442" s="52" t="s">
        <v>518</v>
      </c>
      <c r="K442" s="52" t="s">
        <v>519</v>
      </c>
      <c r="L442" s="52"/>
      <c r="M442" s="52"/>
      <c r="N442" s="52" t="s">
        <v>520</v>
      </c>
      <c r="O442" s="52"/>
      <c r="P442" s="69" t="s">
        <v>23</v>
      </c>
      <c r="Q442" s="80" t="s">
        <v>2018</v>
      </c>
      <c r="R442" s="51" t="b">
        <v>1</v>
      </c>
      <c r="S442" s="52" t="s">
        <v>517</v>
      </c>
      <c r="T442" s="52"/>
      <c r="U442" s="51" t="b">
        <v>0</v>
      </c>
      <c r="V442" s="51" t="b">
        <v>0</v>
      </c>
      <c r="W442" s="51" t="b">
        <v>0</v>
      </c>
      <c r="X442" s="51" t="b">
        <v>0</v>
      </c>
      <c r="Y442" s="51" t="b">
        <v>0</v>
      </c>
      <c r="Z442" s="51" t="b">
        <v>0</v>
      </c>
      <c r="AA442" s="68"/>
      <c r="AB442" s="52"/>
      <c r="AC442" s="52"/>
      <c r="AD442" s="52"/>
      <c r="AE442" s="56" t="s">
        <v>629</v>
      </c>
      <c r="AF442" s="56" t="s">
        <v>860</v>
      </c>
    </row>
    <row r="443">
      <c r="A443" s="52" t="s">
        <v>2019</v>
      </c>
      <c r="B443" s="52" t="s">
        <v>16</v>
      </c>
      <c r="C443" s="52" t="s">
        <v>66</v>
      </c>
      <c r="D443" s="65">
        <v>0.5395486111111114</v>
      </c>
      <c r="E443" s="65">
        <v>1.7361111111111112E-4</v>
      </c>
      <c r="F443" s="65">
        <v>0.5397222222222225</v>
      </c>
      <c r="G443" s="65" t="s">
        <v>129</v>
      </c>
      <c r="H443" s="52" t="s">
        <v>85</v>
      </c>
      <c r="I443" s="52" t="s">
        <v>521</v>
      </c>
      <c r="J443" s="52"/>
      <c r="K443" s="52"/>
      <c r="L443" s="52"/>
      <c r="M443" s="52"/>
      <c r="N443" s="52" t="s">
        <v>70</v>
      </c>
      <c r="O443" s="52"/>
      <c r="P443" s="52"/>
      <c r="Q443" s="52"/>
      <c r="R443" s="51" t="b">
        <v>0</v>
      </c>
      <c r="S443" s="51"/>
      <c r="T443" s="52"/>
      <c r="U443" s="51" t="b">
        <v>0</v>
      </c>
      <c r="V443" s="51" t="b">
        <v>0</v>
      </c>
      <c r="W443" s="51" t="b">
        <v>0</v>
      </c>
      <c r="X443" s="51" t="b">
        <v>0</v>
      </c>
      <c r="Y443" s="51" t="b">
        <v>0</v>
      </c>
      <c r="Z443" s="51" t="b">
        <v>0</v>
      </c>
      <c r="AA443" s="68"/>
      <c r="AB443" s="52"/>
      <c r="AC443" s="52"/>
      <c r="AD443" s="52"/>
      <c r="AE443" s="56"/>
      <c r="AF443" s="56" t="s">
        <v>1944</v>
      </c>
    </row>
    <row r="444">
      <c r="A444" s="52" t="s">
        <v>2020</v>
      </c>
      <c r="B444" s="52" t="s">
        <v>16</v>
      </c>
      <c r="C444" s="52" t="s">
        <v>66</v>
      </c>
      <c r="D444" s="65">
        <v>0.5397222222222225</v>
      </c>
      <c r="E444" s="65">
        <v>3.4722222222222224E-4</v>
      </c>
      <c r="F444" s="65">
        <v>0.5400694444444448</v>
      </c>
      <c r="G444" s="65" t="s">
        <v>129</v>
      </c>
      <c r="H444" s="52" t="s">
        <v>89</v>
      </c>
      <c r="I444" s="52" t="s">
        <v>89</v>
      </c>
      <c r="J444" s="52"/>
      <c r="K444" s="52"/>
      <c r="L444" s="52"/>
      <c r="M444" s="52"/>
      <c r="N444" s="52" t="s">
        <v>70</v>
      </c>
      <c r="O444" s="52"/>
      <c r="P444" s="52"/>
      <c r="Q444" s="52"/>
      <c r="R444" s="51" t="b">
        <v>0</v>
      </c>
      <c r="S444" s="51"/>
      <c r="T444" s="52"/>
      <c r="U444" s="51" t="b">
        <v>0</v>
      </c>
      <c r="V444" s="51" t="b">
        <v>0</v>
      </c>
      <c r="W444" s="51" t="b">
        <v>0</v>
      </c>
      <c r="X444" s="51" t="b">
        <v>0</v>
      </c>
      <c r="Y444" s="51" t="b">
        <v>0</v>
      </c>
      <c r="Z444" s="51" t="b">
        <v>0</v>
      </c>
      <c r="AA444" s="68"/>
      <c r="AB444" s="52"/>
      <c r="AC444" s="52"/>
      <c r="AD444" s="52"/>
      <c r="AE444" s="56"/>
      <c r="AF444" s="56" t="s">
        <v>1944</v>
      </c>
    </row>
    <row r="445">
      <c r="A445" s="52" t="s">
        <v>2021</v>
      </c>
      <c r="B445" s="52" t="s">
        <v>607</v>
      </c>
      <c r="C445" s="52" t="s">
        <v>607</v>
      </c>
      <c r="D445" s="65" t="s">
        <v>607</v>
      </c>
      <c r="E445" s="65" t="s">
        <v>607</v>
      </c>
      <c r="F445" s="65" t="s">
        <v>607</v>
      </c>
      <c r="G445" s="65" t="s">
        <v>607</v>
      </c>
      <c r="H445" s="52" t="s">
        <v>607</v>
      </c>
      <c r="I445" s="52" t="s">
        <v>607</v>
      </c>
      <c r="J445" s="52" t="s">
        <v>607</v>
      </c>
      <c r="K445" s="52" t="s">
        <v>607</v>
      </c>
      <c r="L445" s="52" t="s">
        <v>607</v>
      </c>
      <c r="M445" s="52" t="s">
        <v>607</v>
      </c>
      <c r="N445" s="52" t="s">
        <v>607</v>
      </c>
      <c r="O445" s="52"/>
      <c r="P445" s="52"/>
      <c r="Q445" s="52"/>
      <c r="R445" s="51" t="b">
        <v>0</v>
      </c>
      <c r="S445" s="51"/>
      <c r="T445" s="52"/>
      <c r="U445" s="51" t="b">
        <v>0</v>
      </c>
      <c r="V445" s="51" t="b">
        <v>0</v>
      </c>
      <c r="W445" s="51" t="b">
        <v>0</v>
      </c>
      <c r="X445" s="51" t="b">
        <v>0</v>
      </c>
      <c r="Y445" s="51" t="b">
        <v>0</v>
      </c>
      <c r="Z445" s="51" t="b">
        <v>0</v>
      </c>
      <c r="AA445" s="68"/>
      <c r="AB445" s="52"/>
      <c r="AC445" s="52"/>
      <c r="AD445" s="52"/>
      <c r="AE445" s="56" t="s">
        <v>607</v>
      </c>
      <c r="AF445" s="56" t="s">
        <v>607</v>
      </c>
    </row>
    <row r="446">
      <c r="A446" s="52" t="s">
        <v>2022</v>
      </c>
      <c r="B446" s="52" t="s">
        <v>16</v>
      </c>
      <c r="C446" s="52" t="s">
        <v>66</v>
      </c>
      <c r="D446" s="65">
        <v>0.5400694444444448</v>
      </c>
      <c r="E446" s="65">
        <v>3.4722222222222224E-4</v>
      </c>
      <c r="F446" s="65">
        <v>0.5404166666666671</v>
      </c>
      <c r="G446" s="65" t="s">
        <v>151</v>
      </c>
      <c r="H446" s="52" t="s">
        <v>81</v>
      </c>
      <c r="I446" s="52" t="s">
        <v>81</v>
      </c>
      <c r="J446" s="52"/>
      <c r="K446" s="52"/>
      <c r="L446" s="52"/>
      <c r="M446" s="52"/>
      <c r="N446" s="52" t="s">
        <v>70</v>
      </c>
      <c r="O446" s="52"/>
      <c r="P446" s="69"/>
      <c r="Q446" s="52"/>
      <c r="R446" s="51" t="b">
        <v>0</v>
      </c>
      <c r="S446" s="51"/>
      <c r="T446" s="52"/>
      <c r="U446" s="51" t="b">
        <v>0</v>
      </c>
      <c r="V446" s="51" t="b">
        <v>0</v>
      </c>
      <c r="W446" s="51" t="b">
        <v>0</v>
      </c>
      <c r="X446" s="51" t="b">
        <v>0</v>
      </c>
      <c r="Y446" s="51" t="b">
        <v>0</v>
      </c>
      <c r="Z446" s="51" t="b">
        <v>0</v>
      </c>
      <c r="AA446" s="68"/>
      <c r="AB446" s="52"/>
      <c r="AC446" s="52"/>
      <c r="AD446" s="52"/>
      <c r="AE446" s="56"/>
      <c r="AF446" s="56" t="s">
        <v>1944</v>
      </c>
    </row>
    <row r="447">
      <c r="A447" s="52" t="s">
        <v>2023</v>
      </c>
      <c r="B447" s="52" t="s">
        <v>14</v>
      </c>
      <c r="C447" s="52" t="s">
        <v>66</v>
      </c>
      <c r="D447" s="65">
        <v>0.6120138888888886</v>
      </c>
      <c r="E447" s="65">
        <v>0.010023148148148147</v>
      </c>
      <c r="F447" s="65">
        <v>0.6220370370370368</v>
      </c>
      <c r="G447" s="65"/>
      <c r="H447" s="52" t="s">
        <v>74</v>
      </c>
      <c r="I447" s="52" t="s">
        <v>180</v>
      </c>
      <c r="J447" s="52" t="s">
        <v>181</v>
      </c>
      <c r="K447" s="52" t="s">
        <v>182</v>
      </c>
      <c r="L447" s="52" t="s">
        <v>183</v>
      </c>
      <c r="M447" s="52"/>
      <c r="N447" s="52" t="s">
        <v>184</v>
      </c>
      <c r="O447" s="69" t="s">
        <v>791</v>
      </c>
      <c r="P447" s="69" t="s">
        <v>32</v>
      </c>
      <c r="Q447" s="73" t="s">
        <v>2024</v>
      </c>
      <c r="R447" s="51" t="b">
        <v>1</v>
      </c>
      <c r="S447" s="78" t="s">
        <v>180</v>
      </c>
      <c r="T447" s="52"/>
      <c r="U447" s="51" t="b">
        <v>0</v>
      </c>
      <c r="V447" s="51" t="b">
        <v>1</v>
      </c>
      <c r="W447" s="51" t="b">
        <v>1</v>
      </c>
      <c r="X447" s="51" t="b">
        <v>0</v>
      </c>
      <c r="Y447" s="51" t="b">
        <v>1</v>
      </c>
      <c r="Z447" s="51" t="b">
        <v>0</v>
      </c>
      <c r="AA447" s="71">
        <v>0.010023148148148147</v>
      </c>
      <c r="AB447" s="69" t="s">
        <v>2025</v>
      </c>
      <c r="AC447" s="69" t="s">
        <v>2026</v>
      </c>
      <c r="AD447" s="80" t="s">
        <v>2027</v>
      </c>
      <c r="AE447" s="74" t="s">
        <v>629</v>
      </c>
      <c r="AF447" s="74" t="s">
        <v>1076</v>
      </c>
    </row>
    <row r="448">
      <c r="A448" s="52" t="s">
        <v>2028</v>
      </c>
      <c r="B448" s="52" t="s">
        <v>607</v>
      </c>
      <c r="C448" s="52" t="s">
        <v>607</v>
      </c>
      <c r="D448" s="65" t="s">
        <v>607</v>
      </c>
      <c r="E448" s="65" t="s">
        <v>607</v>
      </c>
      <c r="F448" s="65" t="s">
        <v>607</v>
      </c>
      <c r="G448" s="65" t="s">
        <v>607</v>
      </c>
      <c r="H448" s="52" t="s">
        <v>607</v>
      </c>
      <c r="I448" s="52" t="s">
        <v>607</v>
      </c>
      <c r="J448" s="52" t="s">
        <v>607</v>
      </c>
      <c r="K448" s="52" t="s">
        <v>607</v>
      </c>
      <c r="L448" s="52" t="s">
        <v>607</v>
      </c>
      <c r="M448" s="52" t="s">
        <v>607</v>
      </c>
      <c r="N448" s="52" t="s">
        <v>607</v>
      </c>
      <c r="O448" s="52"/>
      <c r="P448" s="52"/>
      <c r="Q448" s="52"/>
      <c r="R448" s="51" t="b">
        <v>0</v>
      </c>
      <c r="S448" s="51"/>
      <c r="T448" s="52"/>
      <c r="U448" s="51" t="b">
        <v>0</v>
      </c>
      <c r="V448" s="51" t="b">
        <v>0</v>
      </c>
      <c r="W448" s="51" t="b">
        <v>0</v>
      </c>
      <c r="X448" s="51" t="b">
        <v>0</v>
      </c>
      <c r="Y448" s="51" t="b">
        <v>0</v>
      </c>
      <c r="Z448" s="51" t="b">
        <v>0</v>
      </c>
      <c r="AA448" s="68"/>
      <c r="AB448" s="52"/>
      <c r="AC448" s="52"/>
      <c r="AD448" s="52"/>
      <c r="AE448" s="56" t="s">
        <v>607</v>
      </c>
      <c r="AF448" s="56" t="s">
        <v>607</v>
      </c>
    </row>
    <row r="449">
      <c r="A449" s="52" t="s">
        <v>2029</v>
      </c>
      <c r="B449" s="52" t="s">
        <v>16</v>
      </c>
      <c r="C449" s="52" t="s">
        <v>66</v>
      </c>
      <c r="D449" s="65">
        <v>0.551180555555556</v>
      </c>
      <c r="E449" s="65">
        <v>1.7361111111111112E-4</v>
      </c>
      <c r="F449" s="65">
        <v>0.5513541666666671</v>
      </c>
      <c r="G449" s="65" t="s">
        <v>151</v>
      </c>
      <c r="H449" s="52" t="s">
        <v>77</v>
      </c>
      <c r="I449" s="52" t="s">
        <v>526</v>
      </c>
      <c r="J449" s="52"/>
      <c r="K449" s="52"/>
      <c r="L449" s="52"/>
      <c r="M449" s="52"/>
      <c r="N449" s="52" t="s">
        <v>70</v>
      </c>
      <c r="O449" s="52"/>
      <c r="P449" s="52"/>
      <c r="Q449" s="52"/>
      <c r="R449" s="51" t="b">
        <v>0</v>
      </c>
      <c r="S449" s="51"/>
      <c r="T449" s="52"/>
      <c r="U449" s="51" t="b">
        <v>0</v>
      </c>
      <c r="V449" s="51" t="b">
        <v>0</v>
      </c>
      <c r="W449" s="51" t="b">
        <v>0</v>
      </c>
      <c r="X449" s="51" t="b">
        <v>0</v>
      </c>
      <c r="Y449" s="51" t="b">
        <v>0</v>
      </c>
      <c r="Z449" s="51" t="b">
        <v>0</v>
      </c>
      <c r="AA449" s="68"/>
      <c r="AB449" s="52"/>
      <c r="AC449" s="52"/>
      <c r="AD449" s="52"/>
      <c r="AE449" s="56"/>
      <c r="AF449" s="56" t="s">
        <v>2004</v>
      </c>
    </row>
    <row r="450">
      <c r="A450" s="52" t="s">
        <v>2030</v>
      </c>
      <c r="B450" s="52" t="s">
        <v>16</v>
      </c>
      <c r="C450" s="52" t="s">
        <v>66</v>
      </c>
      <c r="D450" s="65">
        <v>0.5513541666666671</v>
      </c>
      <c r="E450" s="65">
        <v>3.4722222222222224E-4</v>
      </c>
      <c r="F450" s="65">
        <v>0.5517013888888894</v>
      </c>
      <c r="G450" s="65" t="s">
        <v>151</v>
      </c>
      <c r="H450" s="52" t="s">
        <v>81</v>
      </c>
      <c r="I450" s="52" t="s">
        <v>81</v>
      </c>
      <c r="J450" s="52"/>
      <c r="K450" s="52"/>
      <c r="L450" s="52"/>
      <c r="M450" s="52"/>
      <c r="N450" s="52" t="s">
        <v>70</v>
      </c>
      <c r="O450" s="52"/>
      <c r="P450" s="52"/>
      <c r="Q450" s="52"/>
      <c r="R450" s="51" t="b">
        <v>0</v>
      </c>
      <c r="S450" s="51"/>
      <c r="T450" s="52"/>
      <c r="U450" s="51" t="b">
        <v>0</v>
      </c>
      <c r="V450" s="51" t="b">
        <v>0</v>
      </c>
      <c r="W450" s="51" t="b">
        <v>0</v>
      </c>
      <c r="X450" s="51" t="b">
        <v>0</v>
      </c>
      <c r="Y450" s="51" t="b">
        <v>0</v>
      </c>
      <c r="Z450" s="51" t="b">
        <v>0</v>
      </c>
      <c r="AA450" s="68"/>
      <c r="AB450" s="52"/>
      <c r="AC450" s="52"/>
      <c r="AD450" s="52"/>
      <c r="AE450" s="56"/>
      <c r="AF450" s="56" t="s">
        <v>1944</v>
      </c>
    </row>
    <row r="451">
      <c r="A451" s="52" t="s">
        <v>2031</v>
      </c>
      <c r="B451" s="52" t="s">
        <v>16</v>
      </c>
      <c r="C451" s="52" t="s">
        <v>66</v>
      </c>
      <c r="D451" s="65">
        <v>0.5517013888888894</v>
      </c>
      <c r="E451" s="65">
        <v>0.013888888888888888</v>
      </c>
      <c r="F451" s="65">
        <v>0.5655902777777783</v>
      </c>
      <c r="G451" s="65" t="s">
        <v>151</v>
      </c>
      <c r="H451" s="52" t="s">
        <v>107</v>
      </c>
      <c r="I451" s="52" t="s">
        <v>527</v>
      </c>
      <c r="J451" s="52" t="s">
        <v>528</v>
      </c>
      <c r="K451" s="52" t="s">
        <v>529</v>
      </c>
      <c r="L451" s="52"/>
      <c r="M451" s="52"/>
      <c r="N451" s="52" t="s">
        <v>214</v>
      </c>
      <c r="O451" s="69" t="s">
        <v>734</v>
      </c>
      <c r="P451" s="69" t="s">
        <v>17</v>
      </c>
      <c r="Q451" s="80" t="s">
        <v>854</v>
      </c>
      <c r="R451" s="51" t="b">
        <v>1</v>
      </c>
      <c r="S451" s="52" t="s">
        <v>527</v>
      </c>
      <c r="T451" s="52"/>
      <c r="U451" s="51" t="b">
        <v>0</v>
      </c>
      <c r="V451" s="51" t="b">
        <v>1</v>
      </c>
      <c r="W451" s="51" t="b">
        <v>1</v>
      </c>
      <c r="X451" s="51" t="b">
        <v>0</v>
      </c>
      <c r="Y451" s="51" t="b">
        <v>1</v>
      </c>
      <c r="Z451" s="51" t="b">
        <v>0</v>
      </c>
      <c r="AA451" s="71">
        <v>0.015370370370370371</v>
      </c>
      <c r="AB451" s="127" t="s">
        <v>2032</v>
      </c>
      <c r="AC451" s="52"/>
      <c r="AD451" s="73" t="s">
        <v>2033</v>
      </c>
      <c r="AE451" s="56" t="s">
        <v>629</v>
      </c>
      <c r="AF451" s="56" t="s">
        <v>860</v>
      </c>
    </row>
    <row r="452">
      <c r="A452" s="52" t="s">
        <v>2034</v>
      </c>
      <c r="B452" s="52" t="s">
        <v>16</v>
      </c>
      <c r="C452" s="52" t="s">
        <v>66</v>
      </c>
      <c r="D452" s="65">
        <v>0.5655902777777783</v>
      </c>
      <c r="E452" s="65">
        <v>1.7361111111111112E-4</v>
      </c>
      <c r="F452" s="65">
        <v>0.5657638888888894</v>
      </c>
      <c r="G452" s="65" t="s">
        <v>151</v>
      </c>
      <c r="H452" s="52" t="s">
        <v>85</v>
      </c>
      <c r="I452" s="52" t="s">
        <v>85</v>
      </c>
      <c r="J452" s="52"/>
      <c r="K452" s="52"/>
      <c r="L452" s="52"/>
      <c r="M452" s="52"/>
      <c r="N452" s="52" t="s">
        <v>70</v>
      </c>
      <c r="O452" s="52"/>
      <c r="P452" s="69"/>
      <c r="Q452" s="52"/>
      <c r="R452" s="51" t="b">
        <v>0</v>
      </c>
      <c r="S452" s="51"/>
      <c r="T452" s="52"/>
      <c r="U452" s="51" t="b">
        <v>0</v>
      </c>
      <c r="V452" s="51" t="b">
        <v>0</v>
      </c>
      <c r="W452" s="51" t="b">
        <v>0</v>
      </c>
      <c r="X452" s="51" t="b">
        <v>0</v>
      </c>
      <c r="Y452" s="51" t="b">
        <v>0</v>
      </c>
      <c r="Z452" s="51" t="b">
        <v>0</v>
      </c>
      <c r="AA452" s="68"/>
      <c r="AB452" s="52"/>
      <c r="AC452" s="52"/>
      <c r="AD452" s="52"/>
      <c r="AE452" s="56"/>
      <c r="AF452" s="56" t="s">
        <v>1944</v>
      </c>
    </row>
    <row r="453">
      <c r="A453" s="52" t="s">
        <v>2035</v>
      </c>
      <c r="B453" s="52" t="s">
        <v>16</v>
      </c>
      <c r="C453" s="52" t="s">
        <v>66</v>
      </c>
      <c r="D453" s="65">
        <v>0.5657638888888894</v>
      </c>
      <c r="E453" s="65">
        <v>2.546296296296296E-4</v>
      </c>
      <c r="F453" s="65">
        <v>0.566018518518519</v>
      </c>
      <c r="G453" s="65" t="s">
        <v>151</v>
      </c>
      <c r="H453" s="52" t="s">
        <v>506</v>
      </c>
      <c r="I453" s="52" t="s">
        <v>530</v>
      </c>
      <c r="J453" s="52"/>
      <c r="K453" s="52"/>
      <c r="L453" s="52"/>
      <c r="M453" s="52"/>
      <c r="N453" s="52" t="s">
        <v>70</v>
      </c>
      <c r="O453" s="52"/>
      <c r="P453" s="69" t="s">
        <v>32</v>
      </c>
      <c r="Q453" s="80" t="s">
        <v>2036</v>
      </c>
      <c r="R453" s="51" t="b">
        <v>1</v>
      </c>
      <c r="S453" s="110" t="s">
        <v>530</v>
      </c>
      <c r="T453" s="52"/>
      <c r="U453" s="51" t="b">
        <v>0</v>
      </c>
      <c r="V453" s="51" t="b">
        <v>1</v>
      </c>
      <c r="W453" s="51" t="b">
        <v>1</v>
      </c>
      <c r="X453" s="51" t="b">
        <v>1</v>
      </c>
      <c r="Y453" s="51" t="b">
        <v>0</v>
      </c>
      <c r="Z453" s="51" t="b">
        <v>0</v>
      </c>
      <c r="AA453" s="71">
        <v>2.8935185185185184E-4</v>
      </c>
      <c r="AB453" s="52"/>
      <c r="AC453" s="122"/>
      <c r="AD453" s="76" t="s">
        <v>2037</v>
      </c>
      <c r="AE453" s="56"/>
      <c r="AF453" s="56" t="s">
        <v>1215</v>
      </c>
    </row>
    <row r="454">
      <c r="A454" s="52" t="s">
        <v>2038</v>
      </c>
      <c r="B454" s="52" t="s">
        <v>16</v>
      </c>
      <c r="C454" s="52" t="s">
        <v>66</v>
      </c>
      <c r="D454" s="65">
        <v>0.566018518518519</v>
      </c>
      <c r="E454" s="65">
        <v>3.4722222222222224E-4</v>
      </c>
      <c r="F454" s="65">
        <v>0.5663657407407413</v>
      </c>
      <c r="G454" s="65" t="s">
        <v>151</v>
      </c>
      <c r="H454" s="52" t="s">
        <v>89</v>
      </c>
      <c r="I454" s="52" t="s">
        <v>89</v>
      </c>
      <c r="J454" s="52"/>
      <c r="K454" s="52"/>
      <c r="L454" s="52"/>
      <c r="M454" s="52"/>
      <c r="N454" s="52" t="s">
        <v>70</v>
      </c>
      <c r="O454" s="52"/>
      <c r="P454" s="52"/>
      <c r="Q454" s="52"/>
      <c r="R454" s="51" t="b">
        <v>0</v>
      </c>
      <c r="S454" s="51"/>
      <c r="T454" s="52"/>
      <c r="U454" s="51" t="b">
        <v>0</v>
      </c>
      <c r="V454" s="51" t="b">
        <v>0</v>
      </c>
      <c r="W454" s="51" t="b">
        <v>0</v>
      </c>
      <c r="X454" s="51" t="b">
        <v>0</v>
      </c>
      <c r="Y454" s="51" t="b">
        <v>0</v>
      </c>
      <c r="Z454" s="51" t="b">
        <v>0</v>
      </c>
      <c r="AA454" s="68"/>
      <c r="AB454" s="52"/>
      <c r="AC454" s="52"/>
      <c r="AD454" s="52"/>
      <c r="AE454" s="56"/>
      <c r="AF454" s="56" t="s">
        <v>1944</v>
      </c>
    </row>
    <row r="455">
      <c r="A455" s="52" t="s">
        <v>2039</v>
      </c>
      <c r="B455" s="52" t="s">
        <v>16</v>
      </c>
      <c r="C455" s="52" t="s">
        <v>66</v>
      </c>
      <c r="D455" s="65">
        <v>0.5663657407407413</v>
      </c>
      <c r="E455" s="65">
        <v>1.7361111111111112E-4</v>
      </c>
      <c r="F455" s="65">
        <v>0.5665393518518524</v>
      </c>
      <c r="G455" s="65" t="s">
        <v>151</v>
      </c>
      <c r="H455" s="52" t="s">
        <v>77</v>
      </c>
      <c r="I455" s="52" t="s">
        <v>531</v>
      </c>
      <c r="J455" s="52"/>
      <c r="K455" s="52"/>
      <c r="L455" s="52"/>
      <c r="M455" s="52"/>
      <c r="N455" s="52" t="s">
        <v>70</v>
      </c>
      <c r="O455" s="52"/>
      <c r="P455" s="52"/>
      <c r="Q455" s="52"/>
      <c r="R455" s="51" t="b">
        <v>0</v>
      </c>
      <c r="S455" s="51"/>
      <c r="T455" s="52"/>
      <c r="U455" s="51" t="b">
        <v>0</v>
      </c>
      <c r="V455" s="51" t="b">
        <v>0</v>
      </c>
      <c r="W455" s="51" t="b">
        <v>0</v>
      </c>
      <c r="X455" s="51" t="b">
        <v>0</v>
      </c>
      <c r="Y455" s="51" t="b">
        <v>0</v>
      </c>
      <c r="Z455" s="51" t="b">
        <v>0</v>
      </c>
      <c r="AA455" s="68"/>
      <c r="AB455" s="52"/>
      <c r="AC455" s="52"/>
      <c r="AD455" s="52"/>
      <c r="AE455" s="56"/>
      <c r="AF455" s="56" t="s">
        <v>2004</v>
      </c>
    </row>
    <row r="456">
      <c r="A456" s="52" t="s">
        <v>2040</v>
      </c>
      <c r="B456" s="52" t="s">
        <v>16</v>
      </c>
      <c r="C456" s="52" t="s">
        <v>66</v>
      </c>
      <c r="D456" s="65">
        <v>0.5665393518518524</v>
      </c>
      <c r="E456" s="65">
        <v>1.7361111111111112E-4</v>
      </c>
      <c r="F456" s="65">
        <v>0.5667129629629636</v>
      </c>
      <c r="G456" s="65" t="s">
        <v>151</v>
      </c>
      <c r="H456" s="52" t="s">
        <v>81</v>
      </c>
      <c r="I456" s="52" t="s">
        <v>81</v>
      </c>
      <c r="J456" s="52"/>
      <c r="K456" s="52"/>
      <c r="L456" s="52"/>
      <c r="M456" s="52"/>
      <c r="N456" s="52" t="s">
        <v>70</v>
      </c>
      <c r="O456" s="52"/>
      <c r="P456" s="52"/>
      <c r="Q456" s="52"/>
      <c r="R456" s="51" t="b">
        <v>0</v>
      </c>
      <c r="S456" s="51"/>
      <c r="T456" s="52"/>
      <c r="U456" s="51" t="b">
        <v>0</v>
      </c>
      <c r="V456" s="51" t="b">
        <v>0</v>
      </c>
      <c r="W456" s="51" t="b">
        <v>0</v>
      </c>
      <c r="X456" s="51" t="b">
        <v>0</v>
      </c>
      <c r="Y456" s="51" t="b">
        <v>0</v>
      </c>
      <c r="Z456" s="51" t="b">
        <v>0</v>
      </c>
      <c r="AA456" s="68"/>
      <c r="AB456" s="52"/>
      <c r="AC456" s="52"/>
      <c r="AD456" s="52"/>
      <c r="AE456" s="56"/>
      <c r="AF456" s="56" t="s">
        <v>1944</v>
      </c>
    </row>
    <row r="457">
      <c r="A457" s="52" t="s">
        <v>2041</v>
      </c>
      <c r="B457" s="52" t="s">
        <v>16</v>
      </c>
      <c r="C457" s="52" t="s">
        <v>66</v>
      </c>
      <c r="D457" s="65">
        <v>0.5667129629629636</v>
      </c>
      <c r="E457" s="65">
        <v>0.010416666666666666</v>
      </c>
      <c r="F457" s="65">
        <v>0.5771296296296302</v>
      </c>
      <c r="G457" s="65" t="s">
        <v>151</v>
      </c>
      <c r="H457" s="52" t="s">
        <v>74</v>
      </c>
      <c r="I457" s="52" t="s">
        <v>532</v>
      </c>
      <c r="J457" s="52" t="s">
        <v>533</v>
      </c>
      <c r="K457" s="52" t="s">
        <v>534</v>
      </c>
      <c r="L457" s="52" t="s">
        <v>535</v>
      </c>
      <c r="M457" s="52"/>
      <c r="N457" s="52" t="s">
        <v>149</v>
      </c>
      <c r="O457" s="52"/>
      <c r="P457" s="69" t="s">
        <v>15</v>
      </c>
      <c r="Q457" s="80" t="s">
        <v>2042</v>
      </c>
      <c r="R457" s="51" t="b">
        <v>1</v>
      </c>
      <c r="S457" s="78" t="s">
        <v>532</v>
      </c>
      <c r="T457" s="52"/>
      <c r="U457" s="51" t="b">
        <v>0</v>
      </c>
      <c r="V457" s="51" t="b">
        <v>1</v>
      </c>
      <c r="W457" s="51" t="b">
        <v>0</v>
      </c>
      <c r="X457" s="51" t="b">
        <v>0</v>
      </c>
      <c r="Y457" s="51" t="b">
        <v>0</v>
      </c>
      <c r="Z457" s="51" t="b">
        <v>0</v>
      </c>
      <c r="AA457" s="102">
        <v>0.010532407407407407</v>
      </c>
      <c r="AB457" s="52"/>
      <c r="AC457" s="52"/>
      <c r="AD457" s="73" t="s">
        <v>2043</v>
      </c>
      <c r="AE457" s="56" t="s">
        <v>629</v>
      </c>
      <c r="AF457" s="56" t="s">
        <v>1631</v>
      </c>
    </row>
    <row r="458">
      <c r="A458" s="52" t="s">
        <v>2044</v>
      </c>
      <c r="B458" s="52" t="s">
        <v>607</v>
      </c>
      <c r="C458" s="52" t="s">
        <v>607</v>
      </c>
      <c r="D458" s="65" t="s">
        <v>607</v>
      </c>
      <c r="E458" s="65" t="s">
        <v>607</v>
      </c>
      <c r="F458" s="65" t="s">
        <v>607</v>
      </c>
      <c r="G458" s="65" t="s">
        <v>607</v>
      </c>
      <c r="H458" s="52" t="s">
        <v>607</v>
      </c>
      <c r="I458" s="52" t="s">
        <v>607</v>
      </c>
      <c r="J458" s="52" t="s">
        <v>607</v>
      </c>
      <c r="K458" s="52" t="s">
        <v>607</v>
      </c>
      <c r="L458" s="52" t="s">
        <v>607</v>
      </c>
      <c r="M458" s="52" t="s">
        <v>607</v>
      </c>
      <c r="N458" s="52" t="s">
        <v>607</v>
      </c>
      <c r="O458" s="52"/>
      <c r="P458" s="52"/>
      <c r="Q458" s="52"/>
      <c r="R458" s="51" t="b">
        <v>0</v>
      </c>
      <c r="S458" s="52"/>
      <c r="T458" s="52"/>
      <c r="U458" s="51" t="b">
        <v>0</v>
      </c>
      <c r="V458" s="51" t="b">
        <v>0</v>
      </c>
      <c r="W458" s="51" t="b">
        <v>0</v>
      </c>
      <c r="X458" s="51" t="b">
        <v>0</v>
      </c>
      <c r="Y458" s="51" t="b">
        <v>0</v>
      </c>
      <c r="Z458" s="51" t="b">
        <v>0</v>
      </c>
      <c r="AA458" s="68"/>
      <c r="AB458" s="52"/>
      <c r="AC458" s="52"/>
      <c r="AD458" s="52"/>
      <c r="AE458" s="56" t="s">
        <v>607</v>
      </c>
      <c r="AF458" s="56" t="s">
        <v>607</v>
      </c>
    </row>
    <row r="459">
      <c r="A459" s="52" t="s">
        <v>2045</v>
      </c>
      <c r="B459" s="52" t="s">
        <v>16</v>
      </c>
      <c r="C459" s="52" t="s">
        <v>66</v>
      </c>
      <c r="D459" s="65">
        <v>0.5771296296296302</v>
      </c>
      <c r="E459" s="65">
        <v>3.4722222222222224E-4</v>
      </c>
      <c r="F459" s="65">
        <v>0.5774768518518525</v>
      </c>
      <c r="G459" s="65" t="s">
        <v>151</v>
      </c>
      <c r="H459" s="52" t="s">
        <v>87</v>
      </c>
      <c r="I459" s="52" t="s">
        <v>525</v>
      </c>
      <c r="J459" s="52"/>
      <c r="K459" s="52"/>
      <c r="L459" s="52"/>
      <c r="M459" s="52"/>
      <c r="N459" s="52" t="s">
        <v>70</v>
      </c>
      <c r="O459" s="52"/>
      <c r="P459" s="52"/>
      <c r="Q459" s="52"/>
      <c r="R459" s="51" t="b">
        <v>0</v>
      </c>
      <c r="S459" s="51"/>
      <c r="T459" s="52"/>
      <c r="U459" s="51" t="b">
        <v>0</v>
      </c>
      <c r="V459" s="51" t="b">
        <v>0</v>
      </c>
      <c r="W459" s="51" t="b">
        <v>0</v>
      </c>
      <c r="X459" s="51" t="b">
        <v>0</v>
      </c>
      <c r="Y459" s="51" t="b">
        <v>0</v>
      </c>
      <c r="Z459" s="51" t="b">
        <v>0</v>
      </c>
      <c r="AA459" s="68"/>
      <c r="AB459" s="52"/>
      <c r="AC459" s="52"/>
      <c r="AD459" s="52"/>
      <c r="AE459" s="56"/>
      <c r="AF459" s="56" t="s">
        <v>1944</v>
      </c>
    </row>
    <row r="460">
      <c r="A460" s="52" t="s">
        <v>2046</v>
      </c>
      <c r="B460" s="52" t="s">
        <v>16</v>
      </c>
      <c r="C460" s="52" t="s">
        <v>66</v>
      </c>
      <c r="D460" s="65">
        <v>0.5774768518518525</v>
      </c>
      <c r="E460" s="65">
        <v>2.0833333333333335E-4</v>
      </c>
      <c r="F460" s="65">
        <v>0.5776851851851859</v>
      </c>
      <c r="G460" s="65" t="s">
        <v>151</v>
      </c>
      <c r="H460" s="52" t="s">
        <v>506</v>
      </c>
      <c r="I460" s="52" t="s">
        <v>545</v>
      </c>
      <c r="J460" s="52"/>
      <c r="K460" s="52"/>
      <c r="L460" s="52"/>
      <c r="M460" s="52"/>
      <c r="N460" s="52" t="s">
        <v>70</v>
      </c>
      <c r="O460" s="69" t="s">
        <v>506</v>
      </c>
      <c r="P460" s="69" t="s">
        <v>30</v>
      </c>
      <c r="Q460" s="73" t="s">
        <v>2047</v>
      </c>
      <c r="R460" s="51" t="b">
        <v>1</v>
      </c>
      <c r="S460" s="110" t="s">
        <v>545</v>
      </c>
      <c r="T460" s="52"/>
      <c r="U460" s="51" t="b">
        <v>0</v>
      </c>
      <c r="V460" s="51" t="b">
        <v>1</v>
      </c>
      <c r="W460" s="51" t="b">
        <v>0</v>
      </c>
      <c r="X460" s="51" t="b">
        <v>0</v>
      </c>
      <c r="Y460" s="51" t="b">
        <v>0</v>
      </c>
      <c r="Z460" s="51" t="b">
        <v>0</v>
      </c>
      <c r="AA460" s="71">
        <v>2.199074074074074E-4</v>
      </c>
      <c r="AB460" s="52"/>
      <c r="AC460" s="52"/>
      <c r="AD460" s="73" t="s">
        <v>2048</v>
      </c>
      <c r="AE460" s="56"/>
      <c r="AF460" s="56" t="s">
        <v>1215</v>
      </c>
    </row>
    <row r="461">
      <c r="A461" s="52" t="s">
        <v>2049</v>
      </c>
      <c r="B461" s="52" t="s">
        <v>16</v>
      </c>
      <c r="C461" s="52" t="s">
        <v>66</v>
      </c>
      <c r="D461" s="65">
        <v>0.5776851851851859</v>
      </c>
      <c r="E461" s="65">
        <v>2.314814814814815E-4</v>
      </c>
      <c r="F461" s="65">
        <v>0.5779166666666673</v>
      </c>
      <c r="G461" s="65" t="s">
        <v>151</v>
      </c>
      <c r="H461" s="52" t="s">
        <v>506</v>
      </c>
      <c r="I461" s="52" t="s">
        <v>548</v>
      </c>
      <c r="J461" s="52"/>
      <c r="K461" s="52"/>
      <c r="L461" s="52"/>
      <c r="M461" s="52"/>
      <c r="N461" s="52" t="s">
        <v>70</v>
      </c>
      <c r="O461" s="52"/>
      <c r="P461" s="52"/>
      <c r="Q461" s="52"/>
      <c r="R461" s="51" t="b">
        <v>0</v>
      </c>
      <c r="S461" s="52"/>
      <c r="T461" s="52"/>
      <c r="U461" s="51" t="b">
        <v>0</v>
      </c>
      <c r="V461" s="51" t="b">
        <v>0</v>
      </c>
      <c r="W461" s="51" t="b">
        <v>0</v>
      </c>
      <c r="X461" s="51" t="b">
        <v>0</v>
      </c>
      <c r="Y461" s="51" t="b">
        <v>0</v>
      </c>
      <c r="Z461" s="51" t="b">
        <v>0</v>
      </c>
      <c r="AA461" s="68"/>
      <c r="AB461" s="52"/>
      <c r="AC461" s="52"/>
      <c r="AD461" s="52"/>
      <c r="AE461" s="56"/>
      <c r="AF461" s="56" t="s">
        <v>1215</v>
      </c>
    </row>
    <row r="462">
      <c r="A462" s="52" t="s">
        <v>2050</v>
      </c>
      <c r="B462" s="52" t="s">
        <v>16</v>
      </c>
      <c r="C462" s="52" t="s">
        <v>66</v>
      </c>
      <c r="D462" s="65">
        <v>0.5779166666666673</v>
      </c>
      <c r="E462" s="65">
        <v>3.4722222222222224E-4</v>
      </c>
      <c r="F462" s="65">
        <v>0.5782638888888896</v>
      </c>
      <c r="G462" s="65" t="s">
        <v>151</v>
      </c>
      <c r="H462" s="52" t="s">
        <v>81</v>
      </c>
      <c r="I462" s="52" t="s">
        <v>81</v>
      </c>
      <c r="J462" s="52"/>
      <c r="K462" s="52"/>
      <c r="L462" s="52"/>
      <c r="M462" s="52"/>
      <c r="N462" s="52" t="s">
        <v>70</v>
      </c>
      <c r="O462" s="52"/>
      <c r="P462" s="52"/>
      <c r="Q462" s="52"/>
      <c r="R462" s="51" t="b">
        <v>0</v>
      </c>
      <c r="S462" s="51"/>
      <c r="T462" s="52"/>
      <c r="U462" s="51" t="b">
        <v>0</v>
      </c>
      <c r="V462" s="51" t="b">
        <v>0</v>
      </c>
      <c r="W462" s="51" t="b">
        <v>0</v>
      </c>
      <c r="X462" s="51" t="b">
        <v>0</v>
      </c>
      <c r="Y462" s="51" t="b">
        <v>0</v>
      </c>
      <c r="Z462" s="51" t="b">
        <v>0</v>
      </c>
      <c r="AA462" s="68"/>
      <c r="AB462" s="52"/>
      <c r="AC462" s="52"/>
      <c r="AD462" s="52"/>
      <c r="AE462" s="56"/>
      <c r="AF462" s="56" t="s">
        <v>1944</v>
      </c>
    </row>
    <row r="463">
      <c r="A463" s="52" t="s">
        <v>2051</v>
      </c>
      <c r="B463" s="52" t="s">
        <v>16</v>
      </c>
      <c r="C463" s="52" t="s">
        <v>66</v>
      </c>
      <c r="D463" s="65">
        <v>0.5782638888888896</v>
      </c>
      <c r="E463" s="65">
        <v>0.0021412037037037038</v>
      </c>
      <c r="F463" s="65">
        <v>0.5804050925925933</v>
      </c>
      <c r="G463" s="65" t="s">
        <v>151</v>
      </c>
      <c r="H463" s="52" t="s">
        <v>165</v>
      </c>
      <c r="I463" s="52" t="s">
        <v>549</v>
      </c>
      <c r="J463" s="52" t="s">
        <v>550</v>
      </c>
      <c r="K463" s="52"/>
      <c r="L463" s="52"/>
      <c r="M463" s="52"/>
      <c r="N463" s="52" t="s">
        <v>70</v>
      </c>
      <c r="O463" s="69" t="s">
        <v>884</v>
      </c>
      <c r="P463" s="69" t="s">
        <v>32</v>
      </c>
      <c r="Q463" s="73" t="s">
        <v>2052</v>
      </c>
      <c r="R463" s="51" t="b">
        <v>1</v>
      </c>
      <c r="S463" s="52" t="s">
        <v>549</v>
      </c>
      <c r="T463" s="52"/>
      <c r="U463" s="51" t="b">
        <v>0</v>
      </c>
      <c r="V463" s="51" t="b">
        <v>1</v>
      </c>
      <c r="W463" s="51" t="b">
        <v>1</v>
      </c>
      <c r="X463" s="51" t="b">
        <v>1</v>
      </c>
      <c r="Y463" s="51" t="b">
        <v>0</v>
      </c>
      <c r="Z463" s="51" t="b">
        <v>0</v>
      </c>
      <c r="AA463" s="71">
        <v>0.0021412037037037038</v>
      </c>
      <c r="AB463" s="69" t="s">
        <v>2053</v>
      </c>
      <c r="AC463" s="72"/>
      <c r="AD463" s="73" t="s">
        <v>2054</v>
      </c>
      <c r="AE463" s="74" t="s">
        <v>743</v>
      </c>
      <c r="AF463" s="74" t="s">
        <v>630</v>
      </c>
    </row>
    <row r="464">
      <c r="A464" s="52" t="s">
        <v>2055</v>
      </c>
      <c r="B464" s="52" t="s">
        <v>607</v>
      </c>
      <c r="C464" s="52" t="s">
        <v>607</v>
      </c>
      <c r="D464" s="65" t="s">
        <v>607</v>
      </c>
      <c r="E464" s="65" t="s">
        <v>607</v>
      </c>
      <c r="F464" s="65" t="s">
        <v>607</v>
      </c>
      <c r="G464" s="65" t="s">
        <v>607</v>
      </c>
      <c r="H464" s="52" t="s">
        <v>607</v>
      </c>
      <c r="I464" s="52" t="s">
        <v>607</v>
      </c>
      <c r="J464" s="52" t="s">
        <v>607</v>
      </c>
      <c r="K464" s="52" t="s">
        <v>607</v>
      </c>
      <c r="L464" s="52" t="s">
        <v>607</v>
      </c>
      <c r="M464" s="52" t="s">
        <v>607</v>
      </c>
      <c r="N464" s="52" t="s">
        <v>607</v>
      </c>
      <c r="O464" s="52"/>
      <c r="P464" s="52"/>
      <c r="Q464" s="52"/>
      <c r="R464" s="51" t="b">
        <v>0</v>
      </c>
      <c r="S464" s="51"/>
      <c r="T464" s="52"/>
      <c r="U464" s="51" t="b">
        <v>0</v>
      </c>
      <c r="V464" s="51" t="b">
        <v>0</v>
      </c>
      <c r="W464" s="51" t="b">
        <v>0</v>
      </c>
      <c r="X464" s="51" t="b">
        <v>0</v>
      </c>
      <c r="Y464" s="51" t="b">
        <v>0</v>
      </c>
      <c r="Z464" s="51" t="b">
        <v>0</v>
      </c>
      <c r="AA464" s="68"/>
      <c r="AB464" s="52"/>
      <c r="AC464" s="52"/>
      <c r="AD464" s="52"/>
      <c r="AE464" s="56" t="s">
        <v>607</v>
      </c>
      <c r="AF464" s="56" t="s">
        <v>607</v>
      </c>
    </row>
    <row r="465">
      <c r="A465" s="52" t="s">
        <v>2056</v>
      </c>
      <c r="B465" s="52" t="s">
        <v>16</v>
      </c>
      <c r="C465" s="52" t="s">
        <v>66</v>
      </c>
      <c r="D465" s="65">
        <v>0.5804050925925933</v>
      </c>
      <c r="E465" s="65">
        <v>1.7361111111111112E-4</v>
      </c>
      <c r="F465" s="65">
        <v>0.5805787037037045</v>
      </c>
      <c r="G465" s="65" t="s">
        <v>151</v>
      </c>
      <c r="H465" s="52" t="s">
        <v>77</v>
      </c>
      <c r="I465" s="52" t="s">
        <v>551</v>
      </c>
      <c r="J465" s="52"/>
      <c r="K465" s="52"/>
      <c r="L465" s="52"/>
      <c r="M465" s="52"/>
      <c r="N465" s="52" t="s">
        <v>70</v>
      </c>
      <c r="O465" s="52"/>
      <c r="P465" s="69"/>
      <c r="Q465" s="52"/>
      <c r="R465" s="51" t="b">
        <v>0</v>
      </c>
      <c r="S465" s="51"/>
      <c r="T465" s="52"/>
      <c r="U465" s="51" t="b">
        <v>0</v>
      </c>
      <c r="V465" s="51" t="b">
        <v>0</v>
      </c>
      <c r="W465" s="51" t="b">
        <v>0</v>
      </c>
      <c r="X465" s="51" t="b">
        <v>0</v>
      </c>
      <c r="Y465" s="51" t="b">
        <v>0</v>
      </c>
      <c r="Z465" s="51" t="b">
        <v>0</v>
      </c>
      <c r="AA465" s="68"/>
      <c r="AB465" s="52"/>
      <c r="AC465" s="52"/>
      <c r="AD465" s="52"/>
      <c r="AE465" s="56"/>
      <c r="AF465" s="56" t="s">
        <v>2004</v>
      </c>
    </row>
    <row r="466">
      <c r="A466" s="52" t="s">
        <v>2057</v>
      </c>
      <c r="B466" s="52" t="s">
        <v>16</v>
      </c>
      <c r="C466" s="52" t="s">
        <v>66</v>
      </c>
      <c r="D466" s="65">
        <v>0.5805787037037045</v>
      </c>
      <c r="E466" s="65">
        <v>3.4722222222222224E-4</v>
      </c>
      <c r="F466" s="65">
        <v>0.5809259259259267</v>
      </c>
      <c r="G466" s="65" t="s">
        <v>151</v>
      </c>
      <c r="H466" s="52" t="s">
        <v>506</v>
      </c>
      <c r="I466" s="52" t="s">
        <v>552</v>
      </c>
      <c r="J466" s="52"/>
      <c r="K466" s="52"/>
      <c r="L466" s="52"/>
      <c r="M466" s="52"/>
      <c r="N466" s="52" t="s">
        <v>70</v>
      </c>
      <c r="O466" s="52"/>
      <c r="P466" s="52"/>
      <c r="Q466" s="52"/>
      <c r="R466" s="51" t="b">
        <v>0</v>
      </c>
      <c r="S466" s="51"/>
      <c r="T466" s="52"/>
      <c r="U466" s="51" t="b">
        <v>0</v>
      </c>
      <c r="V466" s="51" t="b">
        <v>0</v>
      </c>
      <c r="W466" s="51" t="b">
        <v>0</v>
      </c>
      <c r="X466" s="51" t="b">
        <v>0</v>
      </c>
      <c r="Y466" s="51" t="b">
        <v>0</v>
      </c>
      <c r="Z466" s="51" t="b">
        <v>0</v>
      </c>
      <c r="AA466" s="68"/>
      <c r="AB466" s="52"/>
      <c r="AC466" s="52"/>
      <c r="AD466" s="52"/>
      <c r="AE466" s="56"/>
      <c r="AF466" s="56" t="s">
        <v>1215</v>
      </c>
    </row>
    <row r="467">
      <c r="A467" s="52" t="s">
        <v>2058</v>
      </c>
      <c r="B467" s="52" t="s">
        <v>607</v>
      </c>
      <c r="C467" s="52" t="s">
        <v>607</v>
      </c>
      <c r="D467" s="65" t="s">
        <v>607</v>
      </c>
      <c r="E467" s="65" t="s">
        <v>607</v>
      </c>
      <c r="F467" s="65" t="s">
        <v>607</v>
      </c>
      <c r="G467" s="65" t="s">
        <v>607</v>
      </c>
      <c r="H467" s="52" t="s">
        <v>607</v>
      </c>
      <c r="I467" s="52" t="s">
        <v>607</v>
      </c>
      <c r="J467" s="52" t="s">
        <v>607</v>
      </c>
      <c r="K467" s="52" t="s">
        <v>607</v>
      </c>
      <c r="L467" s="52" t="s">
        <v>607</v>
      </c>
      <c r="M467" s="52" t="s">
        <v>607</v>
      </c>
      <c r="N467" s="52" t="s">
        <v>607</v>
      </c>
      <c r="O467" s="52"/>
      <c r="P467" s="52"/>
      <c r="Q467" s="52"/>
      <c r="R467" s="51" t="b">
        <v>0</v>
      </c>
      <c r="S467" s="51"/>
      <c r="T467" s="52"/>
      <c r="U467" s="51" t="b">
        <v>0</v>
      </c>
      <c r="V467" s="51" t="b">
        <v>0</v>
      </c>
      <c r="W467" s="51" t="b">
        <v>0</v>
      </c>
      <c r="X467" s="51" t="b">
        <v>0</v>
      </c>
      <c r="Y467" s="51" t="b">
        <v>0</v>
      </c>
      <c r="Z467" s="51" t="b">
        <v>0</v>
      </c>
      <c r="AA467" s="68"/>
      <c r="AB467" s="52"/>
      <c r="AC467" s="52"/>
      <c r="AD467" s="52"/>
      <c r="AE467" s="56" t="s">
        <v>607</v>
      </c>
      <c r="AF467" s="56" t="s">
        <v>607</v>
      </c>
    </row>
    <row r="468">
      <c r="A468" s="52" t="s">
        <v>2059</v>
      </c>
      <c r="B468" s="52" t="s">
        <v>16</v>
      </c>
      <c r="C468" s="52" t="s">
        <v>66</v>
      </c>
      <c r="D468" s="65"/>
      <c r="E468" s="65"/>
      <c r="F468" s="65"/>
      <c r="G468" s="65"/>
      <c r="H468" s="52"/>
      <c r="I468" s="52"/>
      <c r="J468" s="52"/>
      <c r="K468" s="52"/>
      <c r="L468" s="52"/>
      <c r="M468" s="52"/>
      <c r="N468" s="52" t="s">
        <v>70</v>
      </c>
      <c r="O468" s="52"/>
      <c r="P468" s="52"/>
      <c r="Q468" s="52"/>
      <c r="R468" s="51" t="b">
        <v>0</v>
      </c>
      <c r="S468" s="51"/>
      <c r="T468" s="52"/>
      <c r="U468" s="51" t="b">
        <v>0</v>
      </c>
      <c r="V468" s="51" t="b">
        <v>0</v>
      </c>
      <c r="W468" s="51" t="b">
        <v>0</v>
      </c>
      <c r="X468" s="51" t="b">
        <v>0</v>
      </c>
      <c r="Y468" s="51" t="b">
        <v>0</v>
      </c>
      <c r="Z468" s="51" t="b">
        <v>0</v>
      </c>
      <c r="AA468" s="68"/>
      <c r="AB468" s="52"/>
      <c r="AC468" s="52"/>
      <c r="AD468" s="52"/>
      <c r="AE468" s="56"/>
      <c r="AF468" s="56"/>
    </row>
    <row r="469">
      <c r="A469" s="52" t="s">
        <v>2060</v>
      </c>
      <c r="B469" s="52" t="s">
        <v>16</v>
      </c>
      <c r="C469" s="52" t="s">
        <v>66</v>
      </c>
      <c r="D469" s="65">
        <v>0.5809259259259267</v>
      </c>
      <c r="E469" s="65">
        <v>3.4722222222222224E-4</v>
      </c>
      <c r="F469" s="65">
        <v>0.581273148148149</v>
      </c>
      <c r="G469" s="65" t="s">
        <v>93</v>
      </c>
      <c r="H469" s="52" t="s">
        <v>81</v>
      </c>
      <c r="I469" s="52" t="s">
        <v>81</v>
      </c>
      <c r="J469" s="52"/>
      <c r="K469" s="52"/>
      <c r="L469" s="52"/>
      <c r="M469" s="52"/>
      <c r="N469" s="52" t="s">
        <v>70</v>
      </c>
      <c r="O469" s="52"/>
      <c r="P469" s="52"/>
      <c r="Q469" s="52"/>
      <c r="R469" s="51" t="b">
        <v>0</v>
      </c>
      <c r="S469" s="51"/>
      <c r="T469" s="52"/>
      <c r="U469" s="51" t="b">
        <v>0</v>
      </c>
      <c r="V469" s="51" t="b">
        <v>0</v>
      </c>
      <c r="W469" s="51" t="b">
        <v>0</v>
      </c>
      <c r="X469" s="51" t="b">
        <v>0</v>
      </c>
      <c r="Y469" s="51" t="b">
        <v>0</v>
      </c>
      <c r="Z469" s="51" t="b">
        <v>0</v>
      </c>
      <c r="AA469" s="68"/>
      <c r="AB469" s="52"/>
      <c r="AC469" s="52"/>
      <c r="AD469" s="52"/>
      <c r="AE469" s="56"/>
      <c r="AF469" s="56" t="s">
        <v>1944</v>
      </c>
    </row>
    <row r="470">
      <c r="A470" s="52" t="s">
        <v>2061</v>
      </c>
      <c r="B470" s="52" t="s">
        <v>16</v>
      </c>
      <c r="C470" s="52" t="s">
        <v>66</v>
      </c>
      <c r="D470" s="65">
        <v>0.581273148148149</v>
      </c>
      <c r="E470" s="65">
        <v>0.01167824074074074</v>
      </c>
      <c r="F470" s="65">
        <v>0.5929513888888898</v>
      </c>
      <c r="G470" s="65" t="s">
        <v>93</v>
      </c>
      <c r="H470" s="52" t="s">
        <v>74</v>
      </c>
      <c r="I470" s="52" t="s">
        <v>553</v>
      </c>
      <c r="J470" s="52" t="s">
        <v>554</v>
      </c>
      <c r="K470" s="52" t="s">
        <v>555</v>
      </c>
      <c r="L470" s="52" t="s">
        <v>556</v>
      </c>
      <c r="M470" s="52"/>
      <c r="N470" s="52" t="s">
        <v>557</v>
      </c>
      <c r="O470" s="52"/>
      <c r="P470" s="69" t="s">
        <v>23</v>
      </c>
      <c r="Q470" s="80" t="s">
        <v>2062</v>
      </c>
      <c r="R470" s="51" t="b">
        <v>1</v>
      </c>
      <c r="S470" s="52" t="s">
        <v>553</v>
      </c>
      <c r="T470" s="52"/>
      <c r="U470" s="51" t="b">
        <v>0</v>
      </c>
      <c r="V470" s="51" t="b">
        <v>1</v>
      </c>
      <c r="W470" s="51" t="b">
        <v>0</v>
      </c>
      <c r="X470" s="51" t="b">
        <v>0</v>
      </c>
      <c r="Y470" s="51" t="b">
        <v>0</v>
      </c>
      <c r="Z470" s="51" t="b">
        <v>0</v>
      </c>
      <c r="AA470" s="71">
        <v>0.011493055555555555</v>
      </c>
      <c r="AB470" s="69" t="s">
        <v>2063</v>
      </c>
      <c r="AC470" s="52"/>
      <c r="AD470" s="76" t="s">
        <v>2064</v>
      </c>
      <c r="AE470" s="56" t="s">
        <v>629</v>
      </c>
      <c r="AF470" s="56" t="s">
        <v>972</v>
      </c>
    </row>
    <row r="471">
      <c r="A471" s="52" t="s">
        <v>2065</v>
      </c>
      <c r="B471" s="52" t="s">
        <v>16</v>
      </c>
      <c r="C471" s="52" t="s">
        <v>66</v>
      </c>
      <c r="D471" s="65">
        <v>0.5929513888888898</v>
      </c>
      <c r="E471" s="65">
        <v>1.7361111111111112E-4</v>
      </c>
      <c r="F471" s="65">
        <v>0.5931250000000009</v>
      </c>
      <c r="G471" s="65" t="s">
        <v>93</v>
      </c>
      <c r="H471" s="52" t="s">
        <v>85</v>
      </c>
      <c r="I471" s="52" t="s">
        <v>85</v>
      </c>
      <c r="J471" s="52"/>
      <c r="K471" s="52"/>
      <c r="L471" s="52"/>
      <c r="M471" s="52"/>
      <c r="N471" s="52" t="s">
        <v>70</v>
      </c>
      <c r="O471" s="52"/>
      <c r="P471" s="52"/>
      <c r="Q471" s="52"/>
      <c r="R471" s="51" t="b">
        <v>0</v>
      </c>
      <c r="S471" s="51"/>
      <c r="T471" s="52"/>
      <c r="U471" s="51" t="b">
        <v>0</v>
      </c>
      <c r="V471" s="51" t="b">
        <v>0</v>
      </c>
      <c r="W471" s="51" t="b">
        <v>0</v>
      </c>
      <c r="X471" s="51" t="b">
        <v>0</v>
      </c>
      <c r="Y471" s="51" t="b">
        <v>0</v>
      </c>
      <c r="Z471" s="51" t="b">
        <v>0</v>
      </c>
      <c r="AA471" s="68"/>
      <c r="AB471" s="52"/>
      <c r="AC471" s="52"/>
      <c r="AD471" s="52"/>
      <c r="AE471" s="56"/>
      <c r="AF471" s="56" t="s">
        <v>1944</v>
      </c>
    </row>
    <row r="472">
      <c r="A472" s="52" t="s">
        <v>2066</v>
      </c>
      <c r="B472" s="52" t="s">
        <v>16</v>
      </c>
      <c r="C472" s="52" t="s">
        <v>66</v>
      </c>
      <c r="D472" s="65">
        <v>0.5931250000000009</v>
      </c>
      <c r="E472" s="65">
        <v>3.4722222222222224E-4</v>
      </c>
      <c r="F472" s="65">
        <v>0.5934722222222232</v>
      </c>
      <c r="G472" s="65" t="s">
        <v>93</v>
      </c>
      <c r="H472" s="52" t="s">
        <v>89</v>
      </c>
      <c r="I472" s="52" t="s">
        <v>89</v>
      </c>
      <c r="J472" s="52"/>
      <c r="K472" s="52"/>
      <c r="L472" s="52"/>
      <c r="M472" s="52"/>
      <c r="N472" s="52" t="s">
        <v>70</v>
      </c>
      <c r="O472" s="52"/>
      <c r="P472" s="52"/>
      <c r="Q472" s="52"/>
      <c r="R472" s="51" t="b">
        <v>0</v>
      </c>
      <c r="S472" s="51"/>
      <c r="T472" s="52"/>
      <c r="U472" s="51" t="b">
        <v>0</v>
      </c>
      <c r="V472" s="51" t="b">
        <v>0</v>
      </c>
      <c r="W472" s="51" t="b">
        <v>0</v>
      </c>
      <c r="X472" s="51" t="b">
        <v>0</v>
      </c>
      <c r="Y472" s="51" t="b">
        <v>0</v>
      </c>
      <c r="Z472" s="51" t="b">
        <v>0</v>
      </c>
      <c r="AA472" s="68"/>
      <c r="AB472" s="52"/>
      <c r="AC472" s="52"/>
      <c r="AD472" s="52"/>
      <c r="AE472" s="56"/>
      <c r="AF472" s="56" t="s">
        <v>1944</v>
      </c>
    </row>
    <row r="473">
      <c r="A473" s="52" t="s">
        <v>2067</v>
      </c>
      <c r="B473" s="52" t="s">
        <v>16</v>
      </c>
      <c r="C473" s="52" t="s">
        <v>66</v>
      </c>
      <c r="D473" s="65">
        <v>0.5934722222222232</v>
      </c>
      <c r="E473" s="65">
        <v>3.4722222222222224E-4</v>
      </c>
      <c r="F473" s="65">
        <v>0.5938194444444455</v>
      </c>
      <c r="G473" s="65" t="s">
        <v>93</v>
      </c>
      <c r="H473" s="52" t="s">
        <v>511</v>
      </c>
      <c r="I473" s="52" t="s">
        <v>511</v>
      </c>
      <c r="J473" s="52"/>
      <c r="K473" s="52"/>
      <c r="L473" s="52"/>
      <c r="M473" s="52"/>
      <c r="N473" s="52" t="s">
        <v>70</v>
      </c>
      <c r="O473" s="52"/>
      <c r="P473" s="52"/>
      <c r="Q473" s="52"/>
      <c r="R473" s="51" t="b">
        <v>0</v>
      </c>
      <c r="S473" s="51"/>
      <c r="T473" s="52"/>
      <c r="U473" s="51" t="b">
        <v>0</v>
      </c>
      <c r="V473" s="51" t="b">
        <v>0</v>
      </c>
      <c r="W473" s="51" t="b">
        <v>0</v>
      </c>
      <c r="X473" s="51" t="b">
        <v>0</v>
      </c>
      <c r="Y473" s="51" t="b">
        <v>0</v>
      </c>
      <c r="Z473" s="51" t="b">
        <v>0</v>
      </c>
      <c r="AA473" s="68"/>
      <c r="AB473" s="52"/>
      <c r="AC473" s="52"/>
      <c r="AD473" s="52"/>
      <c r="AE473" s="56"/>
      <c r="AF473" s="56" t="s">
        <v>1944</v>
      </c>
    </row>
    <row r="474">
      <c r="A474" s="52" t="s">
        <v>2068</v>
      </c>
      <c r="B474" s="52" t="s">
        <v>16</v>
      </c>
      <c r="C474" s="52" t="s">
        <v>66</v>
      </c>
      <c r="D474" s="65">
        <v>0.5938194444444455</v>
      </c>
      <c r="E474" s="65">
        <v>3.4722222222222224E-4</v>
      </c>
      <c r="F474" s="65">
        <v>0.5941666666666677</v>
      </c>
      <c r="G474" s="65" t="s">
        <v>93</v>
      </c>
      <c r="H474" s="52" t="s">
        <v>81</v>
      </c>
      <c r="I474" s="52" t="s">
        <v>81</v>
      </c>
      <c r="J474" s="52"/>
      <c r="K474" s="52"/>
      <c r="L474" s="52"/>
      <c r="M474" s="52"/>
      <c r="N474" s="52" t="s">
        <v>70</v>
      </c>
      <c r="O474" s="52"/>
      <c r="P474" s="69"/>
      <c r="Q474" s="52"/>
      <c r="R474" s="51" t="b">
        <v>0</v>
      </c>
      <c r="S474" s="51"/>
      <c r="T474" s="52"/>
      <c r="U474" s="51" t="b">
        <v>0</v>
      </c>
      <c r="V474" s="51" t="b">
        <v>0</v>
      </c>
      <c r="W474" s="51" t="b">
        <v>0</v>
      </c>
      <c r="X474" s="51" t="b">
        <v>0</v>
      </c>
      <c r="Y474" s="51" t="b">
        <v>0</v>
      </c>
      <c r="Z474" s="51" t="b">
        <v>0</v>
      </c>
      <c r="AA474" s="68"/>
      <c r="AB474" s="52"/>
      <c r="AC474" s="52"/>
      <c r="AD474" s="52"/>
      <c r="AE474" s="56"/>
      <c r="AF474" s="56" t="s">
        <v>1944</v>
      </c>
    </row>
    <row r="475">
      <c r="A475" s="52" t="s">
        <v>2069</v>
      </c>
      <c r="B475" s="52" t="s">
        <v>16</v>
      </c>
      <c r="C475" s="52" t="s">
        <v>66</v>
      </c>
      <c r="D475" s="65">
        <v>0.5941666666666677</v>
      </c>
      <c r="E475" s="65">
        <v>0.008333333333333333</v>
      </c>
      <c r="F475" s="65">
        <v>0.602500000000001</v>
      </c>
      <c r="G475" s="65" t="s">
        <v>93</v>
      </c>
      <c r="H475" s="52" t="s">
        <v>94</v>
      </c>
      <c r="I475" s="52" t="s">
        <v>558</v>
      </c>
      <c r="J475" s="52" t="s">
        <v>559</v>
      </c>
      <c r="K475" s="52"/>
      <c r="L475" s="52"/>
      <c r="M475" s="52"/>
      <c r="N475" s="52" t="s">
        <v>560</v>
      </c>
      <c r="O475" s="52"/>
      <c r="P475" s="69" t="s">
        <v>28</v>
      </c>
      <c r="Q475" s="80" t="s">
        <v>2070</v>
      </c>
      <c r="R475" s="51" t="b">
        <v>1</v>
      </c>
      <c r="S475" s="52" t="s">
        <v>558</v>
      </c>
      <c r="T475" s="52"/>
      <c r="U475" s="51" t="b">
        <v>0</v>
      </c>
      <c r="V475" s="51" t="b">
        <v>1</v>
      </c>
      <c r="W475" s="51" t="b">
        <v>1</v>
      </c>
      <c r="X475" s="51" t="b">
        <v>1</v>
      </c>
      <c r="Y475" s="51" t="b">
        <v>0</v>
      </c>
      <c r="Z475" s="51" t="b">
        <v>0</v>
      </c>
      <c r="AA475" s="71">
        <v>0.008333333333333333</v>
      </c>
      <c r="AB475" s="52"/>
      <c r="AC475" s="72"/>
      <c r="AD475" s="73" t="s">
        <v>2071</v>
      </c>
      <c r="AE475" s="56" t="s">
        <v>629</v>
      </c>
      <c r="AF475" s="56" t="s">
        <v>972</v>
      </c>
    </row>
    <row r="476">
      <c r="A476" s="52" t="s">
        <v>2072</v>
      </c>
      <c r="B476" s="52" t="s">
        <v>607</v>
      </c>
      <c r="C476" s="52" t="s">
        <v>607</v>
      </c>
      <c r="D476" s="65" t="s">
        <v>607</v>
      </c>
      <c r="E476" s="65" t="s">
        <v>607</v>
      </c>
      <c r="F476" s="65" t="s">
        <v>607</v>
      </c>
      <c r="G476" s="65" t="s">
        <v>607</v>
      </c>
      <c r="H476" s="52" t="s">
        <v>607</v>
      </c>
      <c r="I476" s="52" t="s">
        <v>607</v>
      </c>
      <c r="J476" s="52" t="s">
        <v>607</v>
      </c>
      <c r="K476" s="52" t="s">
        <v>607</v>
      </c>
      <c r="L476" s="52" t="s">
        <v>607</v>
      </c>
      <c r="M476" s="52" t="s">
        <v>607</v>
      </c>
      <c r="N476" s="52" t="s">
        <v>607</v>
      </c>
      <c r="O476" s="52"/>
      <c r="P476" s="52"/>
      <c r="Q476" s="52"/>
      <c r="R476" s="51" t="b">
        <v>0</v>
      </c>
      <c r="S476" s="51"/>
      <c r="T476" s="52"/>
      <c r="U476" s="51" t="b">
        <v>0</v>
      </c>
      <c r="V476" s="51" t="b">
        <v>0</v>
      </c>
      <c r="W476" s="51" t="b">
        <v>0</v>
      </c>
      <c r="X476" s="51" t="b">
        <v>0</v>
      </c>
      <c r="Y476" s="51" t="b">
        <v>0</v>
      </c>
      <c r="Z476" s="51" t="b">
        <v>0</v>
      </c>
      <c r="AA476" s="68"/>
      <c r="AB476" s="52"/>
      <c r="AC476" s="52"/>
      <c r="AD476" s="52"/>
      <c r="AE476" s="56" t="s">
        <v>607</v>
      </c>
      <c r="AF476" s="56" t="s">
        <v>607</v>
      </c>
    </row>
    <row r="477">
      <c r="A477" s="52" t="s">
        <v>2073</v>
      </c>
      <c r="B477" s="52" t="s">
        <v>16</v>
      </c>
      <c r="C477" s="52" t="s">
        <v>66</v>
      </c>
      <c r="D477" s="65">
        <v>0.602500000000001</v>
      </c>
      <c r="E477" s="65">
        <v>3.4722222222222224E-4</v>
      </c>
      <c r="F477" s="65">
        <v>0.6028472222222233</v>
      </c>
      <c r="G477" s="65" t="s">
        <v>93</v>
      </c>
      <c r="H477" s="52" t="s">
        <v>87</v>
      </c>
      <c r="I477" s="52" t="s">
        <v>525</v>
      </c>
      <c r="J477" s="52"/>
      <c r="K477" s="52"/>
      <c r="L477" s="52"/>
      <c r="M477" s="52"/>
      <c r="N477" s="52" t="s">
        <v>70</v>
      </c>
      <c r="O477" s="52"/>
      <c r="P477" s="69"/>
      <c r="Q477" s="52"/>
      <c r="R477" s="51" t="b">
        <v>0</v>
      </c>
      <c r="S477" s="51"/>
      <c r="T477" s="52"/>
      <c r="U477" s="51" t="b">
        <v>0</v>
      </c>
      <c r="V477" s="51" t="b">
        <v>0</v>
      </c>
      <c r="W477" s="51" t="b">
        <v>0</v>
      </c>
      <c r="X477" s="51" t="b">
        <v>0</v>
      </c>
      <c r="Y477" s="51" t="b">
        <v>0</v>
      </c>
      <c r="Z477" s="51" t="b">
        <v>0</v>
      </c>
      <c r="AA477" s="68"/>
      <c r="AB477" s="52"/>
      <c r="AC477" s="52"/>
      <c r="AD477" s="52"/>
      <c r="AE477" s="56"/>
      <c r="AF477" s="56" t="s">
        <v>1944</v>
      </c>
    </row>
    <row r="478">
      <c r="A478" s="52" t="s">
        <v>2074</v>
      </c>
      <c r="B478" s="52" t="s">
        <v>16</v>
      </c>
      <c r="C478" s="52" t="s">
        <v>66</v>
      </c>
      <c r="D478" s="65">
        <v>0.6028472222222233</v>
      </c>
      <c r="E478" s="65">
        <v>3.4722222222222224E-4</v>
      </c>
      <c r="F478" s="65">
        <v>0.6031944444444456</v>
      </c>
      <c r="G478" s="65" t="s">
        <v>93</v>
      </c>
      <c r="H478" s="52" t="s">
        <v>81</v>
      </c>
      <c r="I478" s="52" t="s">
        <v>81</v>
      </c>
      <c r="J478" s="52"/>
      <c r="K478" s="52"/>
      <c r="L478" s="52"/>
      <c r="M478" s="52"/>
      <c r="N478" s="52" t="s">
        <v>70</v>
      </c>
      <c r="O478" s="52"/>
      <c r="P478" s="52"/>
      <c r="Q478" s="52"/>
      <c r="R478" s="51" t="b">
        <v>0</v>
      </c>
      <c r="S478" s="51"/>
      <c r="T478" s="52"/>
      <c r="U478" s="51" t="b">
        <v>0</v>
      </c>
      <c r="V478" s="51" t="b">
        <v>0</v>
      </c>
      <c r="W478" s="51" t="b">
        <v>0</v>
      </c>
      <c r="X478" s="51" t="b">
        <v>0</v>
      </c>
      <c r="Y478" s="51" t="b">
        <v>0</v>
      </c>
      <c r="Z478" s="51" t="b">
        <v>0</v>
      </c>
      <c r="AA478" s="68"/>
      <c r="AB478" s="52"/>
      <c r="AC478" s="52"/>
      <c r="AD478" s="52"/>
      <c r="AE478" s="56"/>
      <c r="AF478" s="56" t="s">
        <v>1944</v>
      </c>
    </row>
    <row r="479">
      <c r="A479" s="52" t="s">
        <v>2075</v>
      </c>
      <c r="B479" s="52" t="s">
        <v>16</v>
      </c>
      <c r="C479" s="52" t="s">
        <v>66</v>
      </c>
      <c r="D479" s="65">
        <v>0.6031944444444456</v>
      </c>
      <c r="E479" s="65">
        <v>0.010347222222222223</v>
      </c>
      <c r="F479" s="65">
        <v>0.6135416666666678</v>
      </c>
      <c r="G479" s="65" t="s">
        <v>93</v>
      </c>
      <c r="H479" s="52" t="s">
        <v>74</v>
      </c>
      <c r="I479" s="52" t="s">
        <v>561</v>
      </c>
      <c r="J479" s="52" t="s">
        <v>433</v>
      </c>
      <c r="K479" s="52" t="s">
        <v>562</v>
      </c>
      <c r="L479" s="52" t="s">
        <v>149</v>
      </c>
      <c r="M479" s="52"/>
      <c r="N479" s="52" t="s">
        <v>563</v>
      </c>
      <c r="O479" s="52"/>
      <c r="P479" s="69" t="s">
        <v>15</v>
      </c>
      <c r="Q479" s="80" t="s">
        <v>2076</v>
      </c>
      <c r="R479" s="51" t="b">
        <v>1</v>
      </c>
      <c r="S479" s="78" t="s">
        <v>561</v>
      </c>
      <c r="T479" s="52"/>
      <c r="U479" s="51" t="b">
        <v>0</v>
      </c>
      <c r="V479" s="51" t="b">
        <v>1</v>
      </c>
      <c r="W479" s="51" t="b">
        <v>1</v>
      </c>
      <c r="X479" s="51" t="b">
        <v>1</v>
      </c>
      <c r="Y479" s="51" t="b">
        <v>0</v>
      </c>
      <c r="Z479" s="51" t="b">
        <v>0</v>
      </c>
      <c r="AA479" s="71">
        <v>0.010347222222222223</v>
      </c>
      <c r="AB479" s="52"/>
      <c r="AC479" s="72"/>
      <c r="AD479" s="73" t="s">
        <v>2077</v>
      </c>
      <c r="AE479" s="56" t="s">
        <v>652</v>
      </c>
      <c r="AF479" s="56" t="s">
        <v>972</v>
      </c>
    </row>
    <row r="480">
      <c r="A480" s="52" t="s">
        <v>2078</v>
      </c>
      <c r="B480" s="52" t="s">
        <v>607</v>
      </c>
      <c r="C480" s="52" t="s">
        <v>607</v>
      </c>
      <c r="D480" s="65" t="s">
        <v>607</v>
      </c>
      <c r="E480" s="65" t="s">
        <v>607</v>
      </c>
      <c r="F480" s="65" t="s">
        <v>607</v>
      </c>
      <c r="G480" s="65" t="s">
        <v>607</v>
      </c>
      <c r="H480" s="52" t="s">
        <v>607</v>
      </c>
      <c r="I480" s="52" t="s">
        <v>607</v>
      </c>
      <c r="J480" s="52" t="s">
        <v>607</v>
      </c>
      <c r="K480" s="52" t="s">
        <v>607</v>
      </c>
      <c r="L480" s="52" t="s">
        <v>607</v>
      </c>
      <c r="M480" s="52" t="s">
        <v>607</v>
      </c>
      <c r="N480" s="52" t="s">
        <v>607</v>
      </c>
      <c r="O480" s="52"/>
      <c r="P480" s="52"/>
      <c r="Q480" s="52"/>
      <c r="R480" s="51" t="b">
        <v>0</v>
      </c>
      <c r="S480" s="51"/>
      <c r="T480" s="52"/>
      <c r="U480" s="51" t="b">
        <v>0</v>
      </c>
      <c r="V480" s="51" t="b">
        <v>0</v>
      </c>
      <c r="W480" s="51" t="b">
        <v>0</v>
      </c>
      <c r="X480" s="51" t="b">
        <v>0</v>
      </c>
      <c r="Y480" s="51" t="b">
        <v>0</v>
      </c>
      <c r="Z480" s="51" t="b">
        <v>0</v>
      </c>
      <c r="AA480" s="68"/>
      <c r="AB480" s="52"/>
      <c r="AC480" s="52"/>
      <c r="AD480" s="52"/>
      <c r="AE480" s="56" t="s">
        <v>607</v>
      </c>
      <c r="AF480" s="56" t="s">
        <v>607</v>
      </c>
    </row>
    <row r="481">
      <c r="A481" s="52" t="s">
        <v>2080</v>
      </c>
      <c r="B481" s="52" t="s">
        <v>16</v>
      </c>
      <c r="C481" s="52" t="s">
        <v>66</v>
      </c>
      <c r="D481" s="65">
        <v>0.6135416666666678</v>
      </c>
      <c r="E481" s="65">
        <v>3.4722222222222224E-4</v>
      </c>
      <c r="F481" s="65">
        <v>0.61388888888889</v>
      </c>
      <c r="G481" s="65" t="s">
        <v>93</v>
      </c>
      <c r="H481" s="52" t="s">
        <v>81</v>
      </c>
      <c r="I481" s="52" t="s">
        <v>81</v>
      </c>
      <c r="J481" s="52"/>
      <c r="K481" s="52"/>
      <c r="L481" s="52"/>
      <c r="M481" s="52"/>
      <c r="N481" s="52" t="s">
        <v>70</v>
      </c>
      <c r="O481" s="52"/>
      <c r="P481" s="52"/>
      <c r="Q481" s="52"/>
      <c r="R481" s="51" t="b">
        <v>0</v>
      </c>
      <c r="S481" s="51"/>
      <c r="T481" s="52"/>
      <c r="U481" s="51" t="b">
        <v>0</v>
      </c>
      <c r="V481" s="51" t="b">
        <v>0</v>
      </c>
      <c r="W481" s="51" t="b">
        <v>0</v>
      </c>
      <c r="X481" s="51" t="b">
        <v>0</v>
      </c>
      <c r="Y481" s="51" t="b">
        <v>0</v>
      </c>
      <c r="Z481" s="51" t="b">
        <v>0</v>
      </c>
      <c r="AA481" s="68"/>
      <c r="AB481" s="52"/>
      <c r="AC481" s="52"/>
      <c r="AD481" s="52"/>
      <c r="AE481" s="56"/>
      <c r="AF481" s="56" t="s">
        <v>1944</v>
      </c>
    </row>
    <row r="482">
      <c r="A482" s="52" t="s">
        <v>2081</v>
      </c>
      <c r="B482" s="52" t="s">
        <v>16</v>
      </c>
      <c r="C482" s="52" t="s">
        <v>66</v>
      </c>
      <c r="D482" s="65">
        <v>0.61388888888889</v>
      </c>
      <c r="E482" s="65">
        <v>0.007615740740740741</v>
      </c>
      <c r="F482" s="65">
        <v>0.6215046296296308</v>
      </c>
      <c r="G482" s="65" t="s">
        <v>93</v>
      </c>
      <c r="H482" s="52" t="s">
        <v>107</v>
      </c>
      <c r="I482" s="52" t="s">
        <v>564</v>
      </c>
      <c r="J482" s="52" t="s">
        <v>565</v>
      </c>
      <c r="K482" s="52" t="s">
        <v>566</v>
      </c>
      <c r="L482" s="52"/>
      <c r="M482" s="52"/>
      <c r="N482" s="52" t="s">
        <v>567</v>
      </c>
      <c r="O482" s="69" t="s">
        <v>734</v>
      </c>
      <c r="P482" s="69" t="s">
        <v>30</v>
      </c>
      <c r="Q482" s="111" t="s">
        <v>2085</v>
      </c>
      <c r="R482" s="51" t="b">
        <v>1</v>
      </c>
      <c r="S482" s="78" t="s">
        <v>564</v>
      </c>
      <c r="T482" s="52"/>
      <c r="U482" s="51" t="b">
        <v>0</v>
      </c>
      <c r="V482" s="51" t="b">
        <v>1</v>
      </c>
      <c r="W482" s="51" t="b">
        <v>1</v>
      </c>
      <c r="X482" s="51" t="b">
        <v>1</v>
      </c>
      <c r="Y482" s="51" t="b">
        <v>0</v>
      </c>
      <c r="Z482" s="51" t="b">
        <v>0</v>
      </c>
      <c r="AA482" s="114">
        <v>0.007615740740740741</v>
      </c>
      <c r="AB482" s="100" t="s">
        <v>2086</v>
      </c>
      <c r="AC482" s="72"/>
      <c r="AD482" s="73" t="s">
        <v>2087</v>
      </c>
      <c r="AE482" s="56" t="s">
        <v>629</v>
      </c>
      <c r="AF482" s="56" t="s">
        <v>972</v>
      </c>
    </row>
    <row r="483">
      <c r="A483" s="52" t="s">
        <v>2091</v>
      </c>
      <c r="B483" s="52" t="s">
        <v>607</v>
      </c>
      <c r="C483" s="52" t="s">
        <v>607</v>
      </c>
      <c r="D483" s="65" t="s">
        <v>607</v>
      </c>
      <c r="E483" s="65" t="s">
        <v>607</v>
      </c>
      <c r="F483" s="65" t="s">
        <v>607</v>
      </c>
      <c r="G483" s="65" t="s">
        <v>607</v>
      </c>
      <c r="H483" s="52" t="s">
        <v>607</v>
      </c>
      <c r="I483" s="52" t="s">
        <v>607</v>
      </c>
      <c r="J483" s="52" t="s">
        <v>607</v>
      </c>
      <c r="K483" s="52" t="s">
        <v>607</v>
      </c>
      <c r="L483" s="52" t="s">
        <v>607</v>
      </c>
      <c r="M483" s="52" t="s">
        <v>607</v>
      </c>
      <c r="N483" s="52" t="s">
        <v>607</v>
      </c>
      <c r="O483" s="52"/>
      <c r="P483" s="52"/>
      <c r="Q483" s="52"/>
      <c r="R483" s="51" t="b">
        <v>0</v>
      </c>
      <c r="S483" s="51"/>
      <c r="T483" s="52"/>
      <c r="U483" s="51" t="b">
        <v>0</v>
      </c>
      <c r="V483" s="51" t="b">
        <v>0</v>
      </c>
      <c r="W483" s="51" t="b">
        <v>0</v>
      </c>
      <c r="X483" s="51" t="b">
        <v>0</v>
      </c>
      <c r="Y483" s="51" t="b">
        <v>0</v>
      </c>
      <c r="Z483" s="51" t="b">
        <v>0</v>
      </c>
      <c r="AA483" s="68"/>
      <c r="AB483" s="52"/>
      <c r="AC483" s="52"/>
      <c r="AD483" s="52"/>
      <c r="AE483" s="56" t="s">
        <v>607</v>
      </c>
      <c r="AF483" s="56" t="s">
        <v>607</v>
      </c>
    </row>
    <row r="484">
      <c r="A484" s="52" t="s">
        <v>2092</v>
      </c>
      <c r="B484" s="52" t="s">
        <v>16</v>
      </c>
      <c r="C484" s="52" t="s">
        <v>66</v>
      </c>
      <c r="D484" s="65">
        <v>0.6215046296296308</v>
      </c>
      <c r="E484" s="65">
        <v>3.4722222222222224E-4</v>
      </c>
      <c r="F484" s="65">
        <v>0.6218518518518531</v>
      </c>
      <c r="G484" s="65" t="s">
        <v>93</v>
      </c>
      <c r="H484" s="52" t="s">
        <v>89</v>
      </c>
      <c r="I484" s="52" t="s">
        <v>89</v>
      </c>
      <c r="J484" s="52"/>
      <c r="K484" s="52"/>
      <c r="L484" s="52"/>
      <c r="M484" s="52"/>
      <c r="N484" s="52" t="s">
        <v>70</v>
      </c>
      <c r="O484" s="52"/>
      <c r="P484" s="52"/>
      <c r="Q484" s="52"/>
      <c r="R484" s="51" t="b">
        <v>0</v>
      </c>
      <c r="S484" s="51"/>
      <c r="T484" s="52"/>
      <c r="U484" s="51" t="b">
        <v>0</v>
      </c>
      <c r="V484" s="51" t="b">
        <v>0</v>
      </c>
      <c r="W484" s="51" t="b">
        <v>0</v>
      </c>
      <c r="X484" s="51" t="b">
        <v>0</v>
      </c>
      <c r="Y484" s="51" t="b">
        <v>0</v>
      </c>
      <c r="Z484" s="51" t="b">
        <v>0</v>
      </c>
      <c r="AA484" s="68"/>
      <c r="AB484" s="52"/>
      <c r="AC484" s="52"/>
      <c r="AD484" s="52"/>
      <c r="AE484" s="56"/>
      <c r="AF484" s="56" t="s">
        <v>1944</v>
      </c>
    </row>
    <row r="485">
      <c r="A485" s="52" t="s">
        <v>2097</v>
      </c>
      <c r="B485" s="52" t="s">
        <v>16</v>
      </c>
      <c r="C485" s="52" t="s">
        <v>66</v>
      </c>
      <c r="D485" s="65"/>
      <c r="E485" s="65"/>
      <c r="F485" s="65"/>
      <c r="G485" s="65"/>
      <c r="H485" s="52"/>
      <c r="I485" s="52"/>
      <c r="J485" s="52"/>
      <c r="K485" s="52"/>
      <c r="L485" s="52"/>
      <c r="M485" s="52"/>
      <c r="N485" s="52" t="s">
        <v>70</v>
      </c>
      <c r="O485" s="52"/>
      <c r="P485" s="52"/>
      <c r="Q485" s="52"/>
      <c r="R485" s="51" t="b">
        <v>0</v>
      </c>
      <c r="S485" s="51"/>
      <c r="T485" s="52"/>
      <c r="U485" s="51" t="b">
        <v>0</v>
      </c>
      <c r="V485" s="51" t="b">
        <v>0</v>
      </c>
      <c r="W485" s="51" t="b">
        <v>0</v>
      </c>
      <c r="X485" s="51" t="b">
        <v>0</v>
      </c>
      <c r="Y485" s="51" t="b">
        <v>0</v>
      </c>
      <c r="Z485" s="51" t="b">
        <v>0</v>
      </c>
      <c r="AA485" s="68"/>
      <c r="AB485" s="52"/>
      <c r="AC485" s="52"/>
      <c r="AD485" s="52"/>
      <c r="AE485" s="56"/>
      <c r="AF485" s="56"/>
    </row>
    <row r="486">
      <c r="A486" s="52" t="s">
        <v>2098</v>
      </c>
      <c r="B486" s="52" t="s">
        <v>16</v>
      </c>
      <c r="C486" s="52" t="s">
        <v>66</v>
      </c>
      <c r="D486" s="65">
        <v>0.6218518518518531</v>
      </c>
      <c r="E486" s="65">
        <v>3.4722222222222224E-4</v>
      </c>
      <c r="F486" s="65">
        <v>0.6221990740740754</v>
      </c>
      <c r="G486" s="65" t="s">
        <v>481</v>
      </c>
      <c r="H486" s="52" t="s">
        <v>81</v>
      </c>
      <c r="I486" s="52" t="s">
        <v>81</v>
      </c>
      <c r="J486" s="52"/>
      <c r="K486" s="52"/>
      <c r="L486" s="52"/>
      <c r="M486" s="52"/>
      <c r="N486" s="52" t="s">
        <v>70</v>
      </c>
      <c r="O486" s="52"/>
      <c r="P486" s="52"/>
      <c r="Q486" s="52"/>
      <c r="R486" s="51" t="b">
        <v>0</v>
      </c>
      <c r="S486" s="52"/>
      <c r="T486" s="52"/>
      <c r="U486" s="51" t="b">
        <v>0</v>
      </c>
      <c r="V486" s="51" t="b">
        <v>0</v>
      </c>
      <c r="W486" s="51" t="b">
        <v>0</v>
      </c>
      <c r="X486" s="51" t="b">
        <v>0</v>
      </c>
      <c r="Y486" s="51" t="b">
        <v>0</v>
      </c>
      <c r="Z486" s="51" t="b">
        <v>0</v>
      </c>
      <c r="AA486" s="68"/>
      <c r="AB486" s="52"/>
      <c r="AC486" s="52"/>
      <c r="AD486" s="52"/>
      <c r="AE486" s="56"/>
      <c r="AF486" s="56" t="s">
        <v>1944</v>
      </c>
    </row>
    <row r="487">
      <c r="A487" s="52" t="s">
        <v>2101</v>
      </c>
      <c r="B487" s="52" t="s">
        <v>16</v>
      </c>
      <c r="C487" s="52" t="s">
        <v>66</v>
      </c>
      <c r="D487" s="65">
        <v>0.6221990740740754</v>
      </c>
      <c r="E487" s="65">
        <v>0.012152777777777778</v>
      </c>
      <c r="F487" s="65">
        <v>0.6343518518518532</v>
      </c>
      <c r="G487" s="65" t="s">
        <v>481</v>
      </c>
      <c r="H487" s="52" t="s">
        <v>74</v>
      </c>
      <c r="I487" s="52" t="s">
        <v>568</v>
      </c>
      <c r="J487" s="52" t="s">
        <v>569</v>
      </c>
      <c r="K487" s="52" t="s">
        <v>570</v>
      </c>
      <c r="L487" s="52" t="s">
        <v>571</v>
      </c>
      <c r="M487" s="52"/>
      <c r="N487" s="52" t="s">
        <v>572</v>
      </c>
      <c r="O487" s="69" t="s">
        <v>791</v>
      </c>
      <c r="P487" s="69" t="s">
        <v>30</v>
      </c>
      <c r="Q487" s="80" t="s">
        <v>2103</v>
      </c>
      <c r="R487" s="51" t="b">
        <v>1</v>
      </c>
      <c r="S487" s="52" t="s">
        <v>568</v>
      </c>
      <c r="T487" s="52"/>
      <c r="U487" s="51" t="b">
        <v>0</v>
      </c>
      <c r="V487" s="51" t="b">
        <v>1</v>
      </c>
      <c r="W487" s="51" t="b">
        <v>0</v>
      </c>
      <c r="X487" s="51" t="b">
        <v>0</v>
      </c>
      <c r="Y487" s="51" t="b">
        <v>1</v>
      </c>
      <c r="Z487" s="51" t="b">
        <v>0</v>
      </c>
      <c r="AA487" s="71">
        <v>0.010613425925925925</v>
      </c>
      <c r="AB487" s="69" t="s">
        <v>2106</v>
      </c>
      <c r="AC487" s="52"/>
      <c r="AD487" s="121" t="s">
        <v>2107</v>
      </c>
      <c r="AE487" s="56" t="s">
        <v>629</v>
      </c>
      <c r="AF487" s="56" t="s">
        <v>1631</v>
      </c>
    </row>
    <row r="488">
      <c r="A488" s="52" t="s">
        <v>2108</v>
      </c>
      <c r="B488" s="52" t="s">
        <v>16</v>
      </c>
      <c r="C488" s="52" t="s">
        <v>66</v>
      </c>
      <c r="D488" s="65">
        <v>0.6343518518518532</v>
      </c>
      <c r="E488" s="65">
        <v>1.7361111111111112E-4</v>
      </c>
      <c r="F488" s="65">
        <v>0.6345254629629643</v>
      </c>
      <c r="G488" s="65" t="s">
        <v>481</v>
      </c>
      <c r="H488" s="52" t="s">
        <v>85</v>
      </c>
      <c r="I488" s="52" t="s">
        <v>85</v>
      </c>
      <c r="J488" s="52"/>
      <c r="K488" s="52"/>
      <c r="L488" s="52"/>
      <c r="M488" s="52"/>
      <c r="N488" s="52" t="s">
        <v>70</v>
      </c>
      <c r="O488" s="52"/>
      <c r="P488" s="52"/>
      <c r="Q488" s="52"/>
      <c r="R488" s="51" t="b">
        <v>0</v>
      </c>
      <c r="S488" s="51"/>
      <c r="T488" s="52"/>
      <c r="U488" s="51" t="b">
        <v>0</v>
      </c>
      <c r="V488" s="51" t="b">
        <v>0</v>
      </c>
      <c r="W488" s="51" t="b">
        <v>0</v>
      </c>
      <c r="X488" s="51" t="b">
        <v>0</v>
      </c>
      <c r="Y488" s="51" t="b">
        <v>0</v>
      </c>
      <c r="Z488" s="51" t="b">
        <v>0</v>
      </c>
      <c r="AA488" s="68"/>
      <c r="AB488" s="52"/>
      <c r="AC488" s="52"/>
      <c r="AD488" s="52"/>
      <c r="AE488" s="56"/>
      <c r="AF488" s="56" t="s">
        <v>1944</v>
      </c>
    </row>
    <row r="489">
      <c r="A489" s="52" t="s">
        <v>2109</v>
      </c>
      <c r="B489" s="52" t="s">
        <v>16</v>
      </c>
      <c r="C489" s="52" t="s">
        <v>66</v>
      </c>
      <c r="D489" s="65">
        <v>0.6345254629629643</v>
      </c>
      <c r="E489" s="65">
        <v>1.7361111111111112E-4</v>
      </c>
      <c r="F489" s="65">
        <v>0.6346990740740754</v>
      </c>
      <c r="G489" s="65" t="s">
        <v>481</v>
      </c>
      <c r="H489" s="52" t="s">
        <v>77</v>
      </c>
      <c r="I489" s="52" t="s">
        <v>573</v>
      </c>
      <c r="J489" s="52"/>
      <c r="K489" s="52"/>
      <c r="L489" s="52"/>
      <c r="M489" s="52"/>
      <c r="N489" s="52" t="s">
        <v>70</v>
      </c>
      <c r="O489" s="52"/>
      <c r="P489" s="52"/>
      <c r="Q489" s="52"/>
      <c r="R489" s="51" t="b">
        <v>0</v>
      </c>
      <c r="S489" s="51"/>
      <c r="T489" s="52"/>
      <c r="U489" s="51" t="b">
        <v>0</v>
      </c>
      <c r="V489" s="51" t="b">
        <v>0</v>
      </c>
      <c r="W489" s="51" t="b">
        <v>0</v>
      </c>
      <c r="X489" s="51" t="b">
        <v>0</v>
      </c>
      <c r="Y489" s="51" t="b">
        <v>0</v>
      </c>
      <c r="Z489" s="51" t="b">
        <v>0</v>
      </c>
      <c r="AA489" s="68"/>
      <c r="AB489" s="52"/>
      <c r="AC489" s="52"/>
      <c r="AD489" s="52"/>
      <c r="AE489" s="56"/>
      <c r="AF489" s="56" t="s">
        <v>2004</v>
      </c>
    </row>
    <row r="490">
      <c r="A490" s="52" t="s">
        <v>2116</v>
      </c>
      <c r="B490" s="52" t="s">
        <v>16</v>
      </c>
      <c r="C490" s="52" t="s">
        <v>66</v>
      </c>
      <c r="D490" s="65">
        <v>0.4439467592592593</v>
      </c>
      <c r="E490" s="65">
        <v>3.4722222222222224E-4</v>
      </c>
      <c r="F490" s="65">
        <v>0.4442939814814815</v>
      </c>
      <c r="G490" s="65" t="s">
        <v>195</v>
      </c>
      <c r="H490" s="52" t="s">
        <v>81</v>
      </c>
      <c r="I490" s="52" t="s">
        <v>81</v>
      </c>
      <c r="J490" s="52"/>
      <c r="K490" s="52"/>
      <c r="L490" s="52"/>
      <c r="M490" s="52"/>
      <c r="N490" s="52"/>
      <c r="O490" s="52"/>
      <c r="P490" s="69"/>
      <c r="Q490" s="52"/>
      <c r="R490" s="51" t="b">
        <v>0</v>
      </c>
      <c r="S490" s="51"/>
      <c r="T490" s="52"/>
      <c r="U490" s="51" t="b">
        <v>0</v>
      </c>
      <c r="V490" s="51" t="b">
        <v>0</v>
      </c>
      <c r="W490" s="51" t="b">
        <v>0</v>
      </c>
      <c r="X490" s="51" t="b">
        <v>0</v>
      </c>
      <c r="Y490" s="51" t="b">
        <v>0</v>
      </c>
      <c r="Z490" s="51" t="b">
        <v>0</v>
      </c>
      <c r="AA490" s="68"/>
      <c r="AB490" s="52"/>
      <c r="AC490" s="52"/>
      <c r="AD490" s="52"/>
      <c r="AE490" s="56"/>
      <c r="AF490" s="56" t="s">
        <v>1944</v>
      </c>
    </row>
    <row r="491">
      <c r="A491" s="52" t="s">
        <v>2117</v>
      </c>
      <c r="B491" s="52" t="s">
        <v>16</v>
      </c>
      <c r="C491" s="52" t="s">
        <v>66</v>
      </c>
      <c r="D491" s="65">
        <v>0.4442939814814815</v>
      </c>
      <c r="E491" s="65">
        <v>0.01476851851851852</v>
      </c>
      <c r="F491" s="65">
        <v>0.45906250000000004</v>
      </c>
      <c r="G491" s="65" t="s">
        <v>195</v>
      </c>
      <c r="H491" s="52" t="s">
        <v>107</v>
      </c>
      <c r="I491" s="52" t="s">
        <v>485</v>
      </c>
      <c r="J491" s="52" t="s">
        <v>486</v>
      </c>
      <c r="K491" s="52" t="s">
        <v>487</v>
      </c>
      <c r="L491" s="52"/>
      <c r="M491" s="52"/>
      <c r="N491" s="52" t="s">
        <v>488</v>
      </c>
      <c r="O491" s="69" t="s">
        <v>618</v>
      </c>
      <c r="P491" s="69" t="s">
        <v>30</v>
      </c>
      <c r="Q491" s="73" t="s">
        <v>995</v>
      </c>
      <c r="R491" s="51" t="b">
        <v>1</v>
      </c>
      <c r="S491" s="52" t="s">
        <v>485</v>
      </c>
      <c r="T491" s="52"/>
      <c r="U491" s="51" t="b">
        <v>0</v>
      </c>
      <c r="V491" s="51" t="b">
        <v>1</v>
      </c>
      <c r="W491" s="51" t="b">
        <v>1</v>
      </c>
      <c r="X491" s="51" t="b">
        <v>1</v>
      </c>
      <c r="Y491" s="51" t="b">
        <v>0</v>
      </c>
      <c r="Z491" s="51" t="b">
        <v>0</v>
      </c>
      <c r="AA491" s="85">
        <v>0.01476851851851852</v>
      </c>
      <c r="AB491" s="128">
        <v>0.8861111111111111</v>
      </c>
      <c r="AC491" s="129"/>
      <c r="AD491" s="73" t="s">
        <v>2122</v>
      </c>
      <c r="AE491" s="74" t="s">
        <v>629</v>
      </c>
      <c r="AF491" s="74" t="s">
        <v>1631</v>
      </c>
    </row>
    <row r="492">
      <c r="A492" s="52" t="s">
        <v>2123</v>
      </c>
      <c r="B492" s="52" t="s">
        <v>16</v>
      </c>
      <c r="C492" s="52" t="s">
        <v>66</v>
      </c>
      <c r="D492" s="65">
        <v>0.45906250000000004</v>
      </c>
      <c r="E492" s="65">
        <v>1.7361111111111112E-4</v>
      </c>
      <c r="F492" s="65">
        <v>0.4592361111111112</v>
      </c>
      <c r="G492" s="65" t="s">
        <v>195</v>
      </c>
      <c r="H492" s="52" t="s">
        <v>85</v>
      </c>
      <c r="I492" s="52" t="s">
        <v>85</v>
      </c>
      <c r="J492" s="52"/>
      <c r="K492" s="52"/>
      <c r="L492" s="52"/>
      <c r="M492" s="52"/>
      <c r="N492" s="52"/>
      <c r="O492" s="52"/>
      <c r="P492" s="52"/>
      <c r="Q492" s="52"/>
      <c r="R492" s="51" t="b">
        <v>0</v>
      </c>
      <c r="S492" s="51"/>
      <c r="T492" s="52"/>
      <c r="U492" s="51" t="b">
        <v>0</v>
      </c>
      <c r="V492" s="51" t="b">
        <v>0</v>
      </c>
      <c r="W492" s="51" t="b">
        <v>0</v>
      </c>
      <c r="X492" s="51" t="b">
        <v>0</v>
      </c>
      <c r="Y492" s="51" t="b">
        <v>0</v>
      </c>
      <c r="Z492" s="51" t="b">
        <v>0</v>
      </c>
      <c r="AA492" s="68"/>
      <c r="AB492" s="52"/>
      <c r="AC492" s="52"/>
      <c r="AD492" s="52"/>
      <c r="AE492" s="56"/>
      <c r="AF492" s="56" t="s">
        <v>1944</v>
      </c>
    </row>
    <row r="493">
      <c r="A493" s="52" t="s">
        <v>2124</v>
      </c>
      <c r="B493" s="52" t="s">
        <v>16</v>
      </c>
      <c r="C493" s="52" t="s">
        <v>66</v>
      </c>
      <c r="D493" s="65">
        <v>0.6578125000000015</v>
      </c>
      <c r="E493" s="65">
        <v>1.7361111111111112E-4</v>
      </c>
      <c r="F493" s="65">
        <v>0.6579861111111126</v>
      </c>
      <c r="G493" s="65" t="s">
        <v>481</v>
      </c>
      <c r="H493" s="52" t="s">
        <v>77</v>
      </c>
      <c r="I493" s="52" t="s">
        <v>581</v>
      </c>
      <c r="J493" s="52"/>
      <c r="K493" s="52"/>
      <c r="L493" s="52"/>
      <c r="M493" s="52"/>
      <c r="N493" s="52" t="s">
        <v>70</v>
      </c>
      <c r="O493" s="52"/>
      <c r="P493" s="52"/>
      <c r="Q493" s="52"/>
      <c r="R493" s="51" t="b">
        <v>0</v>
      </c>
      <c r="S493" s="51"/>
      <c r="T493" s="52"/>
      <c r="U493" s="51" t="b">
        <v>0</v>
      </c>
      <c r="V493" s="51" t="b">
        <v>0</v>
      </c>
      <c r="W493" s="51" t="b">
        <v>0</v>
      </c>
      <c r="X493" s="51" t="b">
        <v>0</v>
      </c>
      <c r="Y493" s="51" t="b">
        <v>0</v>
      </c>
      <c r="Z493" s="51" t="b">
        <v>0</v>
      </c>
      <c r="AA493" s="68"/>
      <c r="AB493" s="52"/>
      <c r="AC493" s="52"/>
      <c r="AD493" s="52"/>
      <c r="AE493" s="56"/>
      <c r="AF493" s="56" t="s">
        <v>2004</v>
      </c>
    </row>
    <row r="494">
      <c r="A494" s="52" t="s">
        <v>2130</v>
      </c>
      <c r="B494" s="52" t="s">
        <v>16</v>
      </c>
      <c r="C494" s="52" t="s">
        <v>66</v>
      </c>
      <c r="D494" s="65">
        <v>0.43574074074074076</v>
      </c>
      <c r="E494" s="65">
        <v>3.4722222222222224E-4</v>
      </c>
      <c r="F494" s="65">
        <v>0.436087962962963</v>
      </c>
      <c r="G494" s="65" t="s">
        <v>481</v>
      </c>
      <c r="H494" s="52" t="s">
        <v>81</v>
      </c>
      <c r="I494" s="52" t="s">
        <v>81</v>
      </c>
      <c r="J494" s="52"/>
      <c r="K494" s="52"/>
      <c r="L494" s="52"/>
      <c r="M494" s="52"/>
      <c r="N494" s="52"/>
      <c r="O494" s="52"/>
      <c r="P494" s="52"/>
      <c r="Q494" s="52"/>
      <c r="R494" s="51" t="b">
        <v>0</v>
      </c>
      <c r="S494" s="51"/>
      <c r="T494" s="52"/>
      <c r="U494" s="51" t="b">
        <v>0</v>
      </c>
      <c r="V494" s="51" t="b">
        <v>0</v>
      </c>
      <c r="W494" s="51" t="b">
        <v>0</v>
      </c>
      <c r="X494" s="51" t="b">
        <v>0</v>
      </c>
      <c r="Y494" s="51" t="b">
        <v>0</v>
      </c>
      <c r="Z494" s="51" t="b">
        <v>0</v>
      </c>
      <c r="AA494" s="68"/>
      <c r="AB494" s="52"/>
      <c r="AC494" s="52"/>
      <c r="AD494" s="52"/>
      <c r="AE494" s="56"/>
      <c r="AF494" s="56" t="s">
        <v>1944</v>
      </c>
    </row>
    <row r="495">
      <c r="A495" s="52" t="s">
        <v>2131</v>
      </c>
      <c r="B495" s="52" t="s">
        <v>16</v>
      </c>
      <c r="C495" s="52" t="s">
        <v>66</v>
      </c>
      <c r="D495" s="65">
        <v>0.436087962962963</v>
      </c>
      <c r="E495" s="65">
        <v>0.0076851851851851855</v>
      </c>
      <c r="F495" s="65">
        <v>0.44377314814814817</v>
      </c>
      <c r="G495" s="65" t="s">
        <v>481</v>
      </c>
      <c r="H495" s="52" t="s">
        <v>165</v>
      </c>
      <c r="I495" s="52" t="s">
        <v>482</v>
      </c>
      <c r="J495" s="52" t="s">
        <v>483</v>
      </c>
      <c r="K495" s="52"/>
      <c r="L495" s="52"/>
      <c r="M495" s="52"/>
      <c r="N495" s="52"/>
      <c r="O495" s="52"/>
      <c r="P495" s="69" t="s">
        <v>23</v>
      </c>
      <c r="Q495" s="80" t="s">
        <v>2133</v>
      </c>
      <c r="R495" s="51" t="b">
        <v>1</v>
      </c>
      <c r="S495" s="52" t="s">
        <v>482</v>
      </c>
      <c r="T495" s="52"/>
      <c r="U495" s="51" t="b">
        <v>0</v>
      </c>
      <c r="V495" s="51" t="b">
        <v>1</v>
      </c>
      <c r="W495" s="51" t="b">
        <v>1</v>
      </c>
      <c r="X495" s="51" t="b">
        <v>1</v>
      </c>
      <c r="Y495" s="51" t="b">
        <v>0</v>
      </c>
      <c r="Z495" s="51" t="b">
        <v>0</v>
      </c>
      <c r="AA495" s="71">
        <v>0.0076851851851851855</v>
      </c>
      <c r="AB495" s="69" t="s">
        <v>2135</v>
      </c>
      <c r="AC495" s="72"/>
      <c r="AD495" s="76" t="s">
        <v>2136</v>
      </c>
      <c r="AE495" s="56" t="s">
        <v>743</v>
      </c>
      <c r="AF495" s="56" t="s">
        <v>847</v>
      </c>
    </row>
    <row r="496">
      <c r="A496" s="52" t="s">
        <v>2139</v>
      </c>
      <c r="B496" s="52" t="s">
        <v>607</v>
      </c>
      <c r="C496" s="52" t="s">
        <v>607</v>
      </c>
      <c r="D496" s="65" t="s">
        <v>607</v>
      </c>
      <c r="E496" s="65" t="s">
        <v>607</v>
      </c>
      <c r="F496" s="65" t="s">
        <v>607</v>
      </c>
      <c r="G496" s="65" t="s">
        <v>607</v>
      </c>
      <c r="H496" s="52" t="s">
        <v>607</v>
      </c>
      <c r="I496" s="52" t="s">
        <v>607</v>
      </c>
      <c r="J496" s="52" t="s">
        <v>607</v>
      </c>
      <c r="K496" s="52" t="s">
        <v>607</v>
      </c>
      <c r="L496" s="52" t="s">
        <v>607</v>
      </c>
      <c r="M496" s="52" t="s">
        <v>607</v>
      </c>
      <c r="N496" s="52" t="s">
        <v>607</v>
      </c>
      <c r="O496" s="52"/>
      <c r="P496" s="52"/>
      <c r="Q496" s="52"/>
      <c r="R496" s="51" t="b">
        <v>0</v>
      </c>
      <c r="S496" s="51"/>
      <c r="T496" s="52"/>
      <c r="U496" s="51" t="b">
        <v>0</v>
      </c>
      <c r="V496" s="51" t="b">
        <v>0</v>
      </c>
      <c r="W496" s="51" t="b">
        <v>0</v>
      </c>
      <c r="X496" s="51" t="b">
        <v>0</v>
      </c>
      <c r="Y496" s="51" t="b">
        <v>0</v>
      </c>
      <c r="Z496" s="51" t="b">
        <v>0</v>
      </c>
      <c r="AA496" s="68"/>
      <c r="AB496" s="52"/>
      <c r="AC496" s="52"/>
      <c r="AD496" s="52"/>
      <c r="AE496" s="56" t="s">
        <v>607</v>
      </c>
      <c r="AF496" s="56" t="s">
        <v>607</v>
      </c>
    </row>
    <row r="497">
      <c r="A497" s="52" t="s">
        <v>2141</v>
      </c>
      <c r="B497" s="52" t="s">
        <v>16</v>
      </c>
      <c r="C497" s="52" t="s">
        <v>66</v>
      </c>
      <c r="D497" s="65">
        <v>0.6583333333333349</v>
      </c>
      <c r="E497" s="65">
        <v>3.4722222222222224E-4</v>
      </c>
      <c r="F497" s="65">
        <v>0.6586805555555572</v>
      </c>
      <c r="G497" s="65" t="s">
        <v>481</v>
      </c>
      <c r="H497" s="52" t="s">
        <v>81</v>
      </c>
      <c r="I497" s="52" t="s">
        <v>81</v>
      </c>
      <c r="J497" s="52"/>
      <c r="K497" s="52"/>
      <c r="L497" s="52"/>
      <c r="M497" s="52"/>
      <c r="N497" s="52" t="s">
        <v>70</v>
      </c>
      <c r="O497" s="52"/>
      <c r="P497" s="52"/>
      <c r="Q497" s="52"/>
      <c r="R497" s="51" t="b">
        <v>0</v>
      </c>
      <c r="S497" s="51"/>
      <c r="T497" s="52"/>
      <c r="U497" s="51" t="b">
        <v>0</v>
      </c>
      <c r="V497" s="51" t="b">
        <v>0</v>
      </c>
      <c r="W497" s="51" t="b">
        <v>0</v>
      </c>
      <c r="X497" s="51" t="b">
        <v>0</v>
      </c>
      <c r="Y497" s="51" t="b">
        <v>0</v>
      </c>
      <c r="Z497" s="51" t="b">
        <v>0</v>
      </c>
      <c r="AA497" s="68"/>
      <c r="AB497" s="52"/>
      <c r="AC497" s="52"/>
      <c r="AD497" s="52"/>
      <c r="AE497" s="56"/>
      <c r="AF497" s="56" t="s">
        <v>1944</v>
      </c>
    </row>
    <row r="498">
      <c r="A498" s="52" t="s">
        <v>2148</v>
      </c>
      <c r="B498" s="52" t="s">
        <v>16</v>
      </c>
      <c r="C498" s="52" t="s">
        <v>66</v>
      </c>
      <c r="D498" s="65">
        <v>0.6586805555555572</v>
      </c>
      <c r="E498" s="65">
        <v>0.005555555555555556</v>
      </c>
      <c r="F498" s="65">
        <v>0.6642361111111127</v>
      </c>
      <c r="G498" s="65" t="s">
        <v>481</v>
      </c>
      <c r="H498" s="52" t="s">
        <v>165</v>
      </c>
      <c r="I498" s="52" t="s">
        <v>583</v>
      </c>
      <c r="J498" s="52" t="s">
        <v>584</v>
      </c>
      <c r="K498" s="52"/>
      <c r="L498" s="52"/>
      <c r="M498" s="52"/>
      <c r="N498" s="52" t="s">
        <v>70</v>
      </c>
      <c r="O498" s="52"/>
      <c r="P498" s="69" t="s">
        <v>2149</v>
      </c>
      <c r="Q498" s="76" t="s">
        <v>2150</v>
      </c>
      <c r="R498" s="51" t="b">
        <v>1</v>
      </c>
      <c r="S498" s="78" t="s">
        <v>583</v>
      </c>
      <c r="T498" s="52"/>
      <c r="U498" s="51" t="b">
        <v>0</v>
      </c>
      <c r="V498" s="51" t="b">
        <v>0</v>
      </c>
      <c r="W498" s="51" t="b">
        <v>0</v>
      </c>
      <c r="X498" s="51" t="b">
        <v>0</v>
      </c>
      <c r="Y498" s="51" t="b">
        <v>0</v>
      </c>
      <c r="Z498" s="51" t="b">
        <v>0</v>
      </c>
      <c r="AA498" s="68"/>
      <c r="AB498" s="52"/>
      <c r="AC498" s="52"/>
      <c r="AD498" s="52"/>
      <c r="AE498" s="56" t="s">
        <v>743</v>
      </c>
      <c r="AF498" s="56" t="s">
        <v>946</v>
      </c>
    </row>
    <row r="499">
      <c r="A499" s="52" t="s">
        <v>2153</v>
      </c>
      <c r="B499" s="52" t="s">
        <v>607</v>
      </c>
      <c r="C499" s="52" t="s">
        <v>607</v>
      </c>
      <c r="D499" s="65" t="s">
        <v>607</v>
      </c>
      <c r="E499" s="65" t="s">
        <v>607</v>
      </c>
      <c r="F499" s="65" t="s">
        <v>607</v>
      </c>
      <c r="G499" s="65" t="s">
        <v>607</v>
      </c>
      <c r="H499" s="52" t="s">
        <v>607</v>
      </c>
      <c r="I499" s="52" t="s">
        <v>607</v>
      </c>
      <c r="J499" s="52" t="s">
        <v>607</v>
      </c>
      <c r="K499" s="52" t="s">
        <v>607</v>
      </c>
      <c r="L499" s="52" t="s">
        <v>607</v>
      </c>
      <c r="M499" s="52" t="s">
        <v>607</v>
      </c>
      <c r="N499" s="52" t="s">
        <v>607</v>
      </c>
      <c r="O499" s="52"/>
      <c r="P499" s="52"/>
      <c r="Q499" s="52"/>
      <c r="R499" s="51" t="b">
        <v>0</v>
      </c>
      <c r="S499" s="51"/>
      <c r="T499" s="52"/>
      <c r="U499" s="51" t="b">
        <v>0</v>
      </c>
      <c r="V499" s="51" t="b">
        <v>0</v>
      </c>
      <c r="W499" s="51" t="b">
        <v>0</v>
      </c>
      <c r="X499" s="51" t="b">
        <v>0</v>
      </c>
      <c r="Y499" s="51" t="b">
        <v>0</v>
      </c>
      <c r="Z499" s="51" t="b">
        <v>0</v>
      </c>
      <c r="AA499" s="68"/>
      <c r="AB499" s="52"/>
      <c r="AC499" s="52"/>
      <c r="AD499" s="52"/>
      <c r="AE499" s="56" t="s">
        <v>607</v>
      </c>
      <c r="AF499" s="56" t="s">
        <v>607</v>
      </c>
    </row>
    <row r="500">
      <c r="A500" s="52" t="s">
        <v>2154</v>
      </c>
      <c r="B500" s="52" t="s">
        <v>16</v>
      </c>
      <c r="C500" s="52" t="s">
        <v>66</v>
      </c>
      <c r="D500" s="65"/>
      <c r="E500" s="65"/>
      <c r="F500" s="65"/>
      <c r="G500" s="65"/>
      <c r="H500" s="52"/>
      <c r="I500" s="52"/>
      <c r="J500" s="52"/>
      <c r="K500" s="52"/>
      <c r="L500" s="52"/>
      <c r="M500" s="52"/>
      <c r="N500" s="52" t="s">
        <v>70</v>
      </c>
      <c r="O500" s="52"/>
      <c r="P500" s="52"/>
      <c r="Q500" s="52"/>
      <c r="R500" s="51" t="b">
        <v>0</v>
      </c>
      <c r="S500" s="51"/>
      <c r="T500" s="52"/>
      <c r="U500" s="51" t="b">
        <v>0</v>
      </c>
      <c r="V500" s="51" t="b">
        <v>0</v>
      </c>
      <c r="W500" s="51" t="b">
        <v>0</v>
      </c>
      <c r="X500" s="51" t="b">
        <v>0</v>
      </c>
      <c r="Y500" s="51" t="b">
        <v>0</v>
      </c>
      <c r="Z500" s="51" t="b">
        <v>0</v>
      </c>
      <c r="AA500" s="68"/>
      <c r="AB500" s="52"/>
      <c r="AC500" s="52"/>
      <c r="AD500" s="52"/>
      <c r="AE500" s="56"/>
      <c r="AF500" s="56"/>
    </row>
    <row r="501">
      <c r="A501" s="52" t="s">
        <v>2157</v>
      </c>
      <c r="B501" s="52" t="s">
        <v>607</v>
      </c>
      <c r="C501" s="52" t="s">
        <v>607</v>
      </c>
      <c r="D501" s="65" t="s">
        <v>607</v>
      </c>
      <c r="E501" s="65" t="s">
        <v>607</v>
      </c>
      <c r="F501" s="65" t="s">
        <v>607</v>
      </c>
      <c r="G501" s="65" t="s">
        <v>607</v>
      </c>
      <c r="H501" s="52" t="s">
        <v>607</v>
      </c>
      <c r="I501" s="52" t="s">
        <v>607</v>
      </c>
      <c r="J501" s="52" t="s">
        <v>607</v>
      </c>
      <c r="K501" s="52" t="s">
        <v>607</v>
      </c>
      <c r="L501" s="52" t="s">
        <v>607</v>
      </c>
      <c r="M501" s="52" t="s">
        <v>607</v>
      </c>
      <c r="N501" s="52" t="s">
        <v>607</v>
      </c>
      <c r="O501" s="52"/>
      <c r="P501" s="52"/>
      <c r="Q501" s="103"/>
      <c r="R501" s="51" t="b">
        <v>0</v>
      </c>
      <c r="S501" s="52"/>
      <c r="T501" s="52"/>
      <c r="U501" s="51" t="b">
        <v>0</v>
      </c>
      <c r="V501" s="51" t="b">
        <v>0</v>
      </c>
      <c r="W501" s="51" t="b">
        <v>0</v>
      </c>
      <c r="X501" s="51" t="b">
        <v>0</v>
      </c>
      <c r="Y501" s="51" t="b">
        <v>0</v>
      </c>
      <c r="Z501" s="51" t="b">
        <v>0</v>
      </c>
      <c r="AA501" s="68"/>
      <c r="AB501" s="52"/>
      <c r="AC501" s="52"/>
      <c r="AD501" s="52"/>
      <c r="AE501" s="56" t="s">
        <v>607</v>
      </c>
      <c r="AF501" s="56" t="s">
        <v>607</v>
      </c>
    </row>
    <row r="502">
      <c r="A502" s="52" t="s">
        <v>2158</v>
      </c>
      <c r="B502" s="52" t="s">
        <v>16</v>
      </c>
      <c r="C502" s="52" t="s">
        <v>66</v>
      </c>
      <c r="D502" s="65">
        <v>0.6642361111111127</v>
      </c>
      <c r="E502" s="65">
        <v>3.4722222222222224E-4</v>
      </c>
      <c r="F502" s="65">
        <v>0.664583333333335</v>
      </c>
      <c r="G502" s="65" t="s">
        <v>140</v>
      </c>
      <c r="H502" s="52" t="s">
        <v>81</v>
      </c>
      <c r="I502" s="52" t="s">
        <v>81</v>
      </c>
      <c r="J502" s="52"/>
      <c r="K502" s="52"/>
      <c r="L502" s="52"/>
      <c r="M502" s="52"/>
      <c r="N502" s="52" t="s">
        <v>70</v>
      </c>
      <c r="O502" s="52"/>
      <c r="P502" s="52"/>
      <c r="Q502" s="52"/>
      <c r="R502" s="51" t="b">
        <v>0</v>
      </c>
      <c r="S502" s="51"/>
      <c r="T502" s="52"/>
      <c r="U502" s="51" t="b">
        <v>0</v>
      </c>
      <c r="V502" s="51" t="b">
        <v>0</v>
      </c>
      <c r="W502" s="51" t="b">
        <v>0</v>
      </c>
      <c r="X502" s="51" t="b">
        <v>0</v>
      </c>
      <c r="Y502" s="51" t="b">
        <v>0</v>
      </c>
      <c r="Z502" s="51" t="b">
        <v>0</v>
      </c>
      <c r="AA502" s="68"/>
      <c r="AB502" s="52"/>
      <c r="AC502" s="52"/>
      <c r="AD502" s="52"/>
      <c r="AE502" s="56"/>
      <c r="AF502" s="56" t="s">
        <v>1944</v>
      </c>
    </row>
    <row r="503">
      <c r="A503" s="52" t="s">
        <v>2164</v>
      </c>
      <c r="B503" s="52" t="s">
        <v>16</v>
      </c>
      <c r="C503" s="52" t="s">
        <v>66</v>
      </c>
      <c r="D503" s="65">
        <v>0.664583333333335</v>
      </c>
      <c r="E503" s="65">
        <v>0.010416666666666666</v>
      </c>
      <c r="F503" s="65">
        <v>0.6750000000000016</v>
      </c>
      <c r="G503" s="65" t="s">
        <v>140</v>
      </c>
      <c r="H503" s="52" t="s">
        <v>74</v>
      </c>
      <c r="I503" s="52" t="s">
        <v>585</v>
      </c>
      <c r="J503" s="52" t="s">
        <v>586</v>
      </c>
      <c r="K503" s="52" t="s">
        <v>587</v>
      </c>
      <c r="L503" s="52"/>
      <c r="M503" s="52"/>
      <c r="N503" s="52" t="s">
        <v>588</v>
      </c>
      <c r="O503" s="52"/>
      <c r="P503" s="52"/>
      <c r="Q503" s="52"/>
      <c r="R503" s="51" t="b">
        <v>0</v>
      </c>
      <c r="S503" s="51"/>
      <c r="T503" s="52"/>
      <c r="U503" s="51" t="b">
        <v>0</v>
      </c>
      <c r="V503" s="51" t="b">
        <v>0</v>
      </c>
      <c r="W503" s="51" t="b">
        <v>0</v>
      </c>
      <c r="X503" s="51" t="b">
        <v>0</v>
      </c>
      <c r="Y503" s="51" t="b">
        <v>0</v>
      </c>
      <c r="Z503" s="51" t="b">
        <v>0</v>
      </c>
      <c r="AA503" s="68"/>
      <c r="AB503" s="52"/>
      <c r="AC503" s="52"/>
      <c r="AD503" s="52"/>
      <c r="AE503" s="56" t="s">
        <v>1499</v>
      </c>
      <c r="AF503" s="56" t="s">
        <v>972</v>
      </c>
    </row>
    <row r="504">
      <c r="A504" s="52" t="s">
        <v>2165</v>
      </c>
      <c r="B504" s="52" t="s">
        <v>16</v>
      </c>
      <c r="C504" s="52" t="s">
        <v>66</v>
      </c>
      <c r="D504" s="65">
        <v>0.6750000000000016</v>
      </c>
      <c r="E504" s="65">
        <v>1.7361111111111112E-4</v>
      </c>
      <c r="F504" s="65">
        <v>0.6751736111111127</v>
      </c>
      <c r="G504" s="65" t="s">
        <v>140</v>
      </c>
      <c r="H504" s="52" t="s">
        <v>85</v>
      </c>
      <c r="I504" s="52" t="s">
        <v>484</v>
      </c>
      <c r="J504" s="52"/>
      <c r="K504" s="52"/>
      <c r="L504" s="52"/>
      <c r="M504" s="52"/>
      <c r="N504" s="52"/>
      <c r="O504" s="52"/>
      <c r="P504" s="69"/>
      <c r="Q504" s="52"/>
      <c r="R504" s="51" t="b">
        <v>0</v>
      </c>
      <c r="S504" s="51"/>
      <c r="T504" s="52"/>
      <c r="U504" s="51" t="b">
        <v>0</v>
      </c>
      <c r="V504" s="51" t="b">
        <v>0</v>
      </c>
      <c r="W504" s="51" t="b">
        <v>0</v>
      </c>
      <c r="X504" s="51" t="b">
        <v>0</v>
      </c>
      <c r="Y504" s="51" t="b">
        <v>0</v>
      </c>
      <c r="Z504" s="51" t="b">
        <v>0</v>
      </c>
      <c r="AA504" s="68"/>
      <c r="AB504" s="52"/>
      <c r="AC504" s="52"/>
      <c r="AD504" s="52"/>
      <c r="AE504" s="56"/>
      <c r="AF504" s="56" t="s">
        <v>1944</v>
      </c>
    </row>
    <row r="505">
      <c r="A505" s="52" t="s">
        <v>2168</v>
      </c>
      <c r="B505" s="52" t="s">
        <v>16</v>
      </c>
      <c r="C505" s="52" t="s">
        <v>66</v>
      </c>
      <c r="D505" s="65">
        <v>0.6751736111111127</v>
      </c>
      <c r="E505" s="65">
        <v>3.4722222222222224E-4</v>
      </c>
      <c r="F505" s="65">
        <v>0.675520833333335</v>
      </c>
      <c r="G505" s="65" t="s">
        <v>140</v>
      </c>
      <c r="H505" s="52" t="s">
        <v>81</v>
      </c>
      <c r="I505" s="52" t="s">
        <v>81</v>
      </c>
      <c r="J505" s="52"/>
      <c r="K505" s="52"/>
      <c r="L505" s="52"/>
      <c r="M505" s="52"/>
      <c r="N505" s="52" t="s">
        <v>70</v>
      </c>
      <c r="O505" s="52"/>
      <c r="P505" s="52"/>
      <c r="Q505" s="52"/>
      <c r="R505" s="51" t="b">
        <v>0</v>
      </c>
      <c r="S505" s="51"/>
      <c r="T505" s="52"/>
      <c r="U505" s="51" t="b">
        <v>0</v>
      </c>
      <c r="V505" s="51" t="b">
        <v>0</v>
      </c>
      <c r="W505" s="51" t="b">
        <v>0</v>
      </c>
      <c r="X505" s="51" t="b">
        <v>0</v>
      </c>
      <c r="Y505" s="51" t="b">
        <v>0</v>
      </c>
      <c r="Z505" s="51" t="b">
        <v>0</v>
      </c>
      <c r="AA505" s="68"/>
      <c r="AB505" s="52"/>
      <c r="AC505" s="52"/>
      <c r="AD505" s="52"/>
      <c r="AE505" s="56"/>
      <c r="AF505" s="56" t="s">
        <v>1944</v>
      </c>
    </row>
    <row r="506">
      <c r="A506" s="52" t="s">
        <v>2169</v>
      </c>
      <c r="B506" s="52" t="s">
        <v>16</v>
      </c>
      <c r="C506" s="52" t="s">
        <v>66</v>
      </c>
      <c r="D506" s="65">
        <v>0.675520833333335</v>
      </c>
      <c r="E506" s="65">
        <v>0.008356481481481482</v>
      </c>
      <c r="F506" s="65">
        <v>0.6838773148148165</v>
      </c>
      <c r="G506" s="65" t="s">
        <v>140</v>
      </c>
      <c r="H506" s="52" t="s">
        <v>94</v>
      </c>
      <c r="I506" s="52" t="s">
        <v>589</v>
      </c>
      <c r="J506" s="52" t="s">
        <v>590</v>
      </c>
      <c r="K506" s="52"/>
      <c r="L506" s="52"/>
      <c r="M506" s="52"/>
      <c r="N506" s="52" t="s">
        <v>591</v>
      </c>
      <c r="O506" s="69" t="s">
        <v>618</v>
      </c>
      <c r="P506" s="69" t="s">
        <v>32</v>
      </c>
      <c r="Q506" s="76" t="s">
        <v>2172</v>
      </c>
      <c r="R506" s="51" t="b">
        <v>1</v>
      </c>
      <c r="S506" s="52" t="s">
        <v>589</v>
      </c>
      <c r="T506" s="52"/>
      <c r="U506" s="51" t="b">
        <v>0</v>
      </c>
      <c r="V506" s="51" t="b">
        <v>1</v>
      </c>
      <c r="W506" s="51" t="b">
        <v>1</v>
      </c>
      <c r="X506" s="51" t="b">
        <v>0</v>
      </c>
      <c r="Y506" s="51" t="b">
        <v>1</v>
      </c>
      <c r="Z506" s="51" t="b">
        <v>0</v>
      </c>
      <c r="AA506" s="71">
        <v>0.008518518518518519</v>
      </c>
      <c r="AB506" s="69"/>
      <c r="AC506" s="69"/>
      <c r="AD506" s="80" t="s">
        <v>2173</v>
      </c>
      <c r="AE506" s="74" t="s">
        <v>629</v>
      </c>
      <c r="AF506" s="74" t="s">
        <v>972</v>
      </c>
    </row>
    <row r="507">
      <c r="A507" s="52" t="s">
        <v>2180</v>
      </c>
      <c r="B507" s="52" t="s">
        <v>607</v>
      </c>
      <c r="C507" s="52" t="s">
        <v>607</v>
      </c>
      <c r="D507" s="65" t="s">
        <v>607</v>
      </c>
      <c r="E507" s="65" t="s">
        <v>607</v>
      </c>
      <c r="F507" s="65" t="s">
        <v>607</v>
      </c>
      <c r="G507" s="65" t="s">
        <v>607</v>
      </c>
      <c r="H507" s="52" t="s">
        <v>607</v>
      </c>
      <c r="I507" s="52" t="s">
        <v>607</v>
      </c>
      <c r="J507" s="52" t="s">
        <v>607</v>
      </c>
      <c r="K507" s="52" t="s">
        <v>607</v>
      </c>
      <c r="L507" s="52" t="s">
        <v>607</v>
      </c>
      <c r="M507" s="52" t="s">
        <v>607</v>
      </c>
      <c r="N507" s="52" t="s">
        <v>607</v>
      </c>
      <c r="O507" s="52"/>
      <c r="P507" s="69"/>
      <c r="Q507" s="52"/>
      <c r="R507" s="51" t="b">
        <v>0</v>
      </c>
      <c r="S507" s="51"/>
      <c r="T507" s="52"/>
      <c r="U507" s="51" t="b">
        <v>0</v>
      </c>
      <c r="V507" s="51" t="b">
        <v>0</v>
      </c>
      <c r="W507" s="51" t="b">
        <v>0</v>
      </c>
      <c r="X507" s="51" t="b">
        <v>0</v>
      </c>
      <c r="Y507" s="51" t="b">
        <v>0</v>
      </c>
      <c r="Z507" s="51" t="b">
        <v>0</v>
      </c>
      <c r="AA507" s="68"/>
      <c r="AB507" s="52"/>
      <c r="AC507" s="52"/>
      <c r="AD507" s="52"/>
      <c r="AE507" s="56" t="s">
        <v>607</v>
      </c>
      <c r="AF507" s="56" t="s">
        <v>607</v>
      </c>
    </row>
    <row r="508">
      <c r="A508" s="52" t="s">
        <v>2181</v>
      </c>
      <c r="B508" s="52" t="s">
        <v>16</v>
      </c>
      <c r="C508" s="52" t="s">
        <v>66</v>
      </c>
      <c r="D508" s="65">
        <v>0.6838773148148165</v>
      </c>
      <c r="E508" s="65">
        <v>1.7361111111111112E-4</v>
      </c>
      <c r="F508" s="65">
        <v>0.6840509259259276</v>
      </c>
      <c r="G508" s="65" t="s">
        <v>140</v>
      </c>
      <c r="H508" s="52" t="s">
        <v>81</v>
      </c>
      <c r="I508" s="52" t="s">
        <v>81</v>
      </c>
      <c r="J508" s="52"/>
      <c r="K508" s="52"/>
      <c r="L508" s="52"/>
      <c r="M508" s="52"/>
      <c r="N508" s="52" t="s">
        <v>70</v>
      </c>
      <c r="O508" s="52"/>
      <c r="P508" s="52"/>
      <c r="Q508" s="52"/>
      <c r="R508" s="51" t="b">
        <v>0</v>
      </c>
      <c r="S508" s="51"/>
      <c r="T508" s="52"/>
      <c r="U508" s="51" t="b">
        <v>0</v>
      </c>
      <c r="V508" s="51" t="b">
        <v>0</v>
      </c>
      <c r="W508" s="51" t="b">
        <v>0</v>
      </c>
      <c r="X508" s="51" t="b">
        <v>0</v>
      </c>
      <c r="Y508" s="51" t="b">
        <v>0</v>
      </c>
      <c r="Z508" s="51" t="b">
        <v>0</v>
      </c>
      <c r="AA508" s="68"/>
      <c r="AB508" s="52"/>
      <c r="AC508" s="52"/>
      <c r="AD508" s="52"/>
      <c r="AE508" s="56"/>
      <c r="AF508" s="56" t="s">
        <v>1944</v>
      </c>
    </row>
    <row r="509">
      <c r="A509" s="52" t="s">
        <v>2184</v>
      </c>
      <c r="B509" s="52" t="s">
        <v>16</v>
      </c>
      <c r="C509" s="52" t="s">
        <v>66</v>
      </c>
      <c r="D509" s="65">
        <v>0.6840509259259276</v>
      </c>
      <c r="E509" s="65">
        <v>0.007546296296296297</v>
      </c>
      <c r="F509" s="65">
        <v>0.691597222222224</v>
      </c>
      <c r="G509" s="65" t="s">
        <v>140</v>
      </c>
      <c r="H509" s="52" t="s">
        <v>165</v>
      </c>
      <c r="I509" s="52" t="s">
        <v>593</v>
      </c>
      <c r="J509" s="52" t="s">
        <v>594</v>
      </c>
      <c r="K509" s="52"/>
      <c r="L509" s="52"/>
      <c r="M509" s="52"/>
      <c r="N509" s="52" t="s">
        <v>70</v>
      </c>
      <c r="O509" s="52"/>
      <c r="P509" s="69" t="s">
        <v>20</v>
      </c>
      <c r="Q509" s="80" t="s">
        <v>2185</v>
      </c>
      <c r="R509" s="51" t="b">
        <v>1</v>
      </c>
      <c r="S509" s="52" t="s">
        <v>593</v>
      </c>
      <c r="T509" s="52"/>
      <c r="U509" s="51" t="b">
        <v>0</v>
      </c>
      <c r="V509" s="51" t="b">
        <v>1</v>
      </c>
      <c r="W509" s="51" t="b">
        <v>1</v>
      </c>
      <c r="X509" s="51" t="b">
        <v>1</v>
      </c>
      <c r="Y509" s="51" t="b">
        <v>0</v>
      </c>
      <c r="Z509" s="51" t="b">
        <v>0</v>
      </c>
      <c r="AA509" s="71">
        <v>0.4527777777777778</v>
      </c>
      <c r="AB509" s="69" t="s">
        <v>2188</v>
      </c>
      <c r="AC509" s="72"/>
      <c r="AD509" s="73" t="s">
        <v>2189</v>
      </c>
      <c r="AE509" s="56" t="s">
        <v>743</v>
      </c>
      <c r="AF509" s="56" t="s">
        <v>972</v>
      </c>
    </row>
    <row r="510">
      <c r="A510" s="52" t="s">
        <v>2190</v>
      </c>
      <c r="B510" s="52" t="s">
        <v>16</v>
      </c>
      <c r="C510" s="52" t="s">
        <v>66</v>
      </c>
      <c r="D510" s="65">
        <v>0.691597222222224</v>
      </c>
      <c r="E510" s="65">
        <v>1.7361111111111112E-4</v>
      </c>
      <c r="F510" s="65">
        <v>0.6917708333333351</v>
      </c>
      <c r="G510" s="65" t="s">
        <v>140</v>
      </c>
      <c r="H510" s="52" t="s">
        <v>85</v>
      </c>
      <c r="I510" s="52" t="s">
        <v>85</v>
      </c>
      <c r="J510" s="52"/>
      <c r="K510" s="52"/>
      <c r="L510" s="52"/>
      <c r="M510" s="52"/>
      <c r="N510" s="52" t="s">
        <v>70</v>
      </c>
      <c r="O510" s="52"/>
      <c r="P510" s="52"/>
      <c r="Q510" s="52"/>
      <c r="R510" s="51" t="b">
        <v>0</v>
      </c>
      <c r="S510" s="51"/>
      <c r="T510" s="52"/>
      <c r="U510" s="51" t="b">
        <v>0</v>
      </c>
      <c r="V510" s="51" t="b">
        <v>0</v>
      </c>
      <c r="W510" s="51" t="b">
        <v>0</v>
      </c>
      <c r="X510" s="51" t="b">
        <v>0</v>
      </c>
      <c r="Y510" s="51" t="b">
        <v>0</v>
      </c>
      <c r="Z510" s="51" t="b">
        <v>0</v>
      </c>
      <c r="AA510" s="68"/>
      <c r="AB510" s="52"/>
      <c r="AC510" s="52"/>
      <c r="AD510" s="52"/>
      <c r="AE510" s="56"/>
      <c r="AF510" s="56" t="s">
        <v>1944</v>
      </c>
    </row>
    <row r="511">
      <c r="A511" s="52" t="s">
        <v>2193</v>
      </c>
      <c r="B511" s="52" t="s">
        <v>16</v>
      </c>
      <c r="C511" s="52" t="s">
        <v>66</v>
      </c>
      <c r="D511" s="65">
        <v>0.6917708333333351</v>
      </c>
      <c r="E511" s="65">
        <v>3.4722222222222224E-4</v>
      </c>
      <c r="F511" s="65">
        <v>0.6921180555555574</v>
      </c>
      <c r="G511" s="65" t="s">
        <v>140</v>
      </c>
      <c r="H511" s="52" t="s">
        <v>81</v>
      </c>
      <c r="I511" s="52" t="s">
        <v>81</v>
      </c>
      <c r="J511" s="52"/>
      <c r="K511" s="52"/>
      <c r="L511" s="52"/>
      <c r="M511" s="52"/>
      <c r="N511" s="52" t="s">
        <v>70</v>
      </c>
      <c r="O511" s="52"/>
      <c r="P511" s="52"/>
      <c r="Q511" s="52"/>
      <c r="R511" s="51" t="b">
        <v>0</v>
      </c>
      <c r="S511" s="51"/>
      <c r="T511" s="52"/>
      <c r="U511" s="51" t="b">
        <v>0</v>
      </c>
      <c r="V511" s="51" t="b">
        <v>0</v>
      </c>
      <c r="W511" s="51" t="b">
        <v>0</v>
      </c>
      <c r="X511" s="51" t="b">
        <v>0</v>
      </c>
      <c r="Y511" s="51" t="b">
        <v>0</v>
      </c>
      <c r="Z511" s="51" t="b">
        <v>0</v>
      </c>
      <c r="AA511" s="68"/>
      <c r="AB511" s="52"/>
      <c r="AC511" s="52"/>
      <c r="AD511" s="52"/>
      <c r="AE511" s="56"/>
      <c r="AF511" s="56" t="s">
        <v>1944</v>
      </c>
    </row>
    <row r="512">
      <c r="A512" s="52" t="s">
        <v>2194</v>
      </c>
      <c r="B512" s="52" t="s">
        <v>16</v>
      </c>
      <c r="C512" s="52" t="s">
        <v>66</v>
      </c>
      <c r="D512" s="65">
        <v>0.6921180555555574</v>
      </c>
      <c r="E512" s="65">
        <v>0.014131944444444445</v>
      </c>
      <c r="F512" s="65">
        <v>0.7062500000000018</v>
      </c>
      <c r="G512" s="65" t="s">
        <v>140</v>
      </c>
      <c r="H512" s="52" t="s">
        <v>94</v>
      </c>
      <c r="I512" s="52" t="s">
        <v>595</v>
      </c>
      <c r="J512" s="52" t="s">
        <v>596</v>
      </c>
      <c r="K512" s="52"/>
      <c r="L512" s="52"/>
      <c r="M512" s="52"/>
      <c r="N512" s="52" t="s">
        <v>201</v>
      </c>
      <c r="O512" s="69" t="s">
        <v>618</v>
      </c>
      <c r="P512" s="69" t="s">
        <v>32</v>
      </c>
      <c r="Q512" s="70" t="s">
        <v>2195</v>
      </c>
      <c r="R512" s="51" t="b">
        <v>1</v>
      </c>
      <c r="S512" s="52" t="s">
        <v>595</v>
      </c>
      <c r="T512" s="52"/>
      <c r="U512" s="51" t="b">
        <v>0</v>
      </c>
      <c r="V512" s="51" t="b">
        <v>1</v>
      </c>
      <c r="W512" s="51" t="b">
        <v>1</v>
      </c>
      <c r="X512" s="51" t="b">
        <v>1</v>
      </c>
      <c r="Y512" s="51" t="b">
        <v>0</v>
      </c>
      <c r="Z512" s="51" t="b">
        <v>0</v>
      </c>
      <c r="AA512" s="71">
        <v>0.014131944444444445</v>
      </c>
      <c r="AB512" s="69" t="s">
        <v>2201</v>
      </c>
      <c r="AC512" s="72"/>
      <c r="AD512" s="73" t="s">
        <v>2202</v>
      </c>
      <c r="AE512" s="56" t="s">
        <v>629</v>
      </c>
      <c r="AF512" s="56" t="s">
        <v>653</v>
      </c>
    </row>
    <row r="513">
      <c r="A513" s="52" t="s">
        <v>2203</v>
      </c>
      <c r="B513" s="52" t="s">
        <v>607</v>
      </c>
      <c r="C513" s="52" t="s">
        <v>607</v>
      </c>
      <c r="D513" s="65" t="s">
        <v>607</v>
      </c>
      <c r="E513" s="65" t="s">
        <v>607</v>
      </c>
      <c r="F513" s="65" t="s">
        <v>607</v>
      </c>
      <c r="G513" s="65" t="s">
        <v>607</v>
      </c>
      <c r="H513" s="52" t="s">
        <v>607</v>
      </c>
      <c r="I513" s="52" t="s">
        <v>607</v>
      </c>
      <c r="J513" s="52" t="s">
        <v>607</v>
      </c>
      <c r="K513" s="52" t="s">
        <v>607</v>
      </c>
      <c r="L513" s="52" t="s">
        <v>607</v>
      </c>
      <c r="M513" s="52" t="s">
        <v>607</v>
      </c>
      <c r="N513" s="52" t="s">
        <v>607</v>
      </c>
      <c r="O513" s="52"/>
      <c r="P513" s="52"/>
      <c r="Q513" s="52"/>
      <c r="R513" s="51" t="b">
        <v>0</v>
      </c>
      <c r="S513" s="51"/>
      <c r="T513" s="52"/>
      <c r="U513" s="51" t="b">
        <v>0</v>
      </c>
      <c r="V513" s="51" t="b">
        <v>0</v>
      </c>
      <c r="W513" s="51" t="b">
        <v>0</v>
      </c>
      <c r="X513" s="51" t="b">
        <v>0</v>
      </c>
      <c r="Y513" s="51" t="b">
        <v>0</v>
      </c>
      <c r="Z513" s="51" t="b">
        <v>0</v>
      </c>
      <c r="AA513" s="68"/>
      <c r="AB513" s="52"/>
      <c r="AC513" s="52"/>
      <c r="AD513" s="52"/>
      <c r="AE513" s="56" t="s">
        <v>607</v>
      </c>
      <c r="AF513" s="56" t="s">
        <v>607</v>
      </c>
    </row>
    <row r="514">
      <c r="A514" s="52" t="s">
        <v>2205</v>
      </c>
      <c r="B514" s="52" t="s">
        <v>16</v>
      </c>
      <c r="C514" s="52" t="s">
        <v>66</v>
      </c>
      <c r="D514" s="65">
        <v>0.7062500000000018</v>
      </c>
      <c r="E514" s="65">
        <v>3.587962962962963E-4</v>
      </c>
      <c r="F514" s="65">
        <v>0.7066087962962981</v>
      </c>
      <c r="G514" s="65" t="s">
        <v>140</v>
      </c>
      <c r="H514" s="52" t="s">
        <v>598</v>
      </c>
      <c r="I514" s="52" t="s">
        <v>598</v>
      </c>
      <c r="J514" s="52"/>
      <c r="K514" s="52"/>
      <c r="L514" s="52"/>
      <c r="M514" s="52"/>
      <c r="N514" s="52" t="s">
        <v>70</v>
      </c>
      <c r="O514" s="52"/>
      <c r="P514" s="69"/>
      <c r="Q514" s="52"/>
      <c r="R514" s="51" t="b">
        <v>0</v>
      </c>
      <c r="S514" s="51"/>
      <c r="T514" s="52"/>
      <c r="U514" s="51" t="b">
        <v>0</v>
      </c>
      <c r="V514" s="51" t="b">
        <v>0</v>
      </c>
      <c r="W514" s="51" t="b">
        <v>0</v>
      </c>
      <c r="X514" s="51" t="b">
        <v>0</v>
      </c>
      <c r="Y514" s="51" t="b">
        <v>0</v>
      </c>
      <c r="Z514" s="51" t="b">
        <v>0</v>
      </c>
      <c r="AA514" s="68"/>
      <c r="AB514" s="52"/>
      <c r="AC514" s="52"/>
      <c r="AD514" s="52"/>
      <c r="AE514" s="56"/>
      <c r="AF514" s="56" t="s">
        <v>1944</v>
      </c>
    </row>
    <row r="515">
      <c r="A515" s="52" t="s">
        <v>2208</v>
      </c>
      <c r="B515" s="52" t="s">
        <v>607</v>
      </c>
      <c r="C515" s="52" t="s">
        <v>607</v>
      </c>
      <c r="D515" s="65" t="s">
        <v>607</v>
      </c>
      <c r="E515" s="65" t="s">
        <v>607</v>
      </c>
      <c r="F515" s="65" t="s">
        <v>607</v>
      </c>
      <c r="G515" s="65" t="s">
        <v>607</v>
      </c>
      <c r="H515" s="52" t="s">
        <v>607</v>
      </c>
      <c r="I515" s="52" t="s">
        <v>607</v>
      </c>
      <c r="J515" s="52" t="s">
        <v>607</v>
      </c>
      <c r="K515" s="52" t="s">
        <v>607</v>
      </c>
      <c r="L515" s="52" t="s">
        <v>607</v>
      </c>
      <c r="M515" s="52" t="s">
        <v>607</v>
      </c>
      <c r="N515" s="52" t="s">
        <v>607</v>
      </c>
      <c r="O515" s="52"/>
      <c r="P515" s="52"/>
      <c r="Q515" s="52"/>
      <c r="R515" s="51" t="b">
        <v>0</v>
      </c>
      <c r="S515" s="51"/>
      <c r="T515" s="52"/>
      <c r="U515" s="51" t="b">
        <v>0</v>
      </c>
      <c r="V515" s="51" t="b">
        <v>0</v>
      </c>
      <c r="W515" s="51" t="b">
        <v>0</v>
      </c>
      <c r="X515" s="51" t="b">
        <v>0</v>
      </c>
      <c r="Y515" s="51" t="b">
        <v>0</v>
      </c>
      <c r="Z515" s="51" t="b">
        <v>0</v>
      </c>
      <c r="AA515" s="68"/>
      <c r="AB515" s="52"/>
      <c r="AC515" s="52"/>
      <c r="AD515" s="52"/>
      <c r="AE515" s="56" t="s">
        <v>607</v>
      </c>
      <c r="AF515" s="56" t="s">
        <v>607</v>
      </c>
    </row>
    <row r="516">
      <c r="A516" s="52" t="s">
        <v>2209</v>
      </c>
      <c r="B516" s="52" t="s">
        <v>220</v>
      </c>
      <c r="C516" s="52"/>
      <c r="D516" s="65"/>
      <c r="E516" s="65"/>
      <c r="F516" s="65"/>
      <c r="G516" s="65"/>
      <c r="H516" s="52"/>
      <c r="I516" s="52"/>
      <c r="J516" s="52"/>
      <c r="K516" s="52"/>
      <c r="L516" s="52"/>
      <c r="M516" s="52"/>
      <c r="N516" s="52" t="s">
        <v>70</v>
      </c>
      <c r="O516" s="52"/>
      <c r="P516" s="52"/>
      <c r="Q516" s="52"/>
      <c r="R516" s="51" t="b">
        <v>0</v>
      </c>
      <c r="S516" s="51"/>
      <c r="T516" s="52"/>
      <c r="U516" s="51" t="b">
        <v>0</v>
      </c>
      <c r="V516" s="51" t="b">
        <v>0</v>
      </c>
      <c r="W516" s="51" t="b">
        <v>0</v>
      </c>
      <c r="X516" s="51" t="b">
        <v>0</v>
      </c>
      <c r="Y516" s="51" t="b">
        <v>0</v>
      </c>
      <c r="Z516" s="51" t="b">
        <v>0</v>
      </c>
      <c r="AA516" s="68"/>
      <c r="AB516" s="52"/>
      <c r="AC516" s="52"/>
      <c r="AD516" s="52"/>
      <c r="AE516" s="56"/>
      <c r="AF516" s="56"/>
    </row>
    <row r="517">
      <c r="A517" s="52" t="s">
        <v>2212</v>
      </c>
      <c r="B517" s="52" t="s">
        <v>16</v>
      </c>
      <c r="C517" s="52" t="s">
        <v>221</v>
      </c>
      <c r="D517" s="65">
        <v>0.4166666666666667</v>
      </c>
      <c r="E517" s="65">
        <v>0.0010416666666666667</v>
      </c>
      <c r="F517" s="65">
        <v>0.41770833333333335</v>
      </c>
      <c r="G517" s="65" t="s">
        <v>394</v>
      </c>
      <c r="H517" s="52" t="s">
        <v>67</v>
      </c>
      <c r="I517" s="52" t="s">
        <v>67</v>
      </c>
      <c r="J517" s="52"/>
      <c r="K517" s="52"/>
      <c r="L517" s="52"/>
      <c r="M517" s="52"/>
      <c r="N517" s="52" t="s">
        <v>70</v>
      </c>
      <c r="O517" s="52"/>
      <c r="P517" s="69"/>
      <c r="Q517" s="52"/>
      <c r="R517" s="51" t="b">
        <v>0</v>
      </c>
      <c r="S517" s="51"/>
      <c r="T517" s="52"/>
      <c r="U517" s="51" t="b">
        <v>0</v>
      </c>
      <c r="V517" s="51" t="b">
        <v>0</v>
      </c>
      <c r="W517" s="51" t="b">
        <v>0</v>
      </c>
      <c r="X517" s="51" t="b">
        <v>0</v>
      </c>
      <c r="Y517" s="51" t="b">
        <v>0</v>
      </c>
      <c r="Z517" s="51" t="b">
        <v>0</v>
      </c>
      <c r="AA517" s="68"/>
      <c r="AB517" s="52"/>
      <c r="AC517" s="52"/>
      <c r="AD517" s="52"/>
      <c r="AE517" s="56"/>
      <c r="AF517" s="56" t="s">
        <v>1944</v>
      </c>
    </row>
    <row r="518">
      <c r="A518" s="52" t="s">
        <v>2219</v>
      </c>
      <c r="B518" s="52" t="s">
        <v>16</v>
      </c>
      <c r="C518" s="52" t="s">
        <v>221</v>
      </c>
      <c r="D518" s="65">
        <v>0.41770833333333335</v>
      </c>
      <c r="E518" s="65">
        <v>3.4722222222222224E-4</v>
      </c>
      <c r="F518" s="65">
        <v>0.41805555555555557</v>
      </c>
      <c r="G518" s="65" t="s">
        <v>394</v>
      </c>
      <c r="H518" s="52" t="s">
        <v>81</v>
      </c>
      <c r="I518" s="52" t="s">
        <v>81</v>
      </c>
      <c r="J518" s="52"/>
      <c r="K518" s="52"/>
      <c r="L518" s="52"/>
      <c r="M518" s="52"/>
      <c r="N518" s="52" t="s">
        <v>70</v>
      </c>
      <c r="O518" s="52"/>
      <c r="P518" s="52"/>
      <c r="Q518" s="52"/>
      <c r="R518" s="51" t="b">
        <v>0</v>
      </c>
      <c r="S518" s="51"/>
      <c r="T518" s="52"/>
      <c r="U518" s="51" t="b">
        <v>0</v>
      </c>
      <c r="V518" s="51" t="b">
        <v>0</v>
      </c>
      <c r="W518" s="51" t="b">
        <v>0</v>
      </c>
      <c r="X518" s="51" t="b">
        <v>0</v>
      </c>
      <c r="Y518" s="51" t="b">
        <v>0</v>
      </c>
      <c r="Z518" s="51" t="b">
        <v>0</v>
      </c>
      <c r="AA518" s="68"/>
      <c r="AB518" s="52"/>
      <c r="AC518" s="52"/>
      <c r="AD518" s="52"/>
      <c r="AE518" s="56"/>
      <c r="AF518" s="56" t="s">
        <v>1944</v>
      </c>
    </row>
    <row r="519">
      <c r="A519" s="52" t="s">
        <v>2220</v>
      </c>
      <c r="B519" s="52" t="s">
        <v>16</v>
      </c>
      <c r="C519" s="52" t="s">
        <v>221</v>
      </c>
      <c r="D519" s="65">
        <v>0.41805555555555557</v>
      </c>
      <c r="E519" s="65">
        <v>0.00837962962962963</v>
      </c>
      <c r="F519" s="65">
        <v>0.4264351851851852</v>
      </c>
      <c r="G519" s="65" t="s">
        <v>394</v>
      </c>
      <c r="H519" s="52" t="s">
        <v>107</v>
      </c>
      <c r="I519" s="52" t="s">
        <v>602</v>
      </c>
      <c r="J519" s="52" t="s">
        <v>603</v>
      </c>
      <c r="K519" s="52" t="s">
        <v>604</v>
      </c>
      <c r="L519" s="52"/>
      <c r="M519" s="52"/>
      <c r="N519" s="52" t="s">
        <v>605</v>
      </c>
      <c r="O519" s="69" t="s">
        <v>734</v>
      </c>
      <c r="P519" s="69" t="s">
        <v>17</v>
      </c>
      <c r="Q519" s="80" t="s">
        <v>2221</v>
      </c>
      <c r="R519" s="51" t="b">
        <v>1</v>
      </c>
      <c r="S519" s="52" t="s">
        <v>602</v>
      </c>
      <c r="T519" s="52"/>
      <c r="U519" s="51" t="b">
        <v>0</v>
      </c>
      <c r="V519" s="51" t="b">
        <v>1</v>
      </c>
      <c r="W519" s="51" t="b">
        <v>1</v>
      </c>
      <c r="X519" s="51" t="b">
        <v>1</v>
      </c>
      <c r="Y519" s="51" t="b">
        <v>0</v>
      </c>
      <c r="Z519" s="51" t="b">
        <v>0</v>
      </c>
      <c r="AA519" s="71">
        <v>0.008368055555555556</v>
      </c>
      <c r="AB519" s="69"/>
      <c r="AC519" s="122"/>
      <c r="AD519" s="73" t="s">
        <v>2223</v>
      </c>
      <c r="AE519" s="56" t="s">
        <v>629</v>
      </c>
      <c r="AF519" s="56" t="s">
        <v>847</v>
      </c>
    </row>
    <row r="520">
      <c r="A520" s="52" t="s">
        <v>2225</v>
      </c>
      <c r="B520" s="52" t="s">
        <v>16</v>
      </c>
      <c r="C520" s="52" t="s">
        <v>221</v>
      </c>
      <c r="D520" s="65">
        <v>0.4264351851851852</v>
      </c>
      <c r="E520" s="65">
        <v>1.7361111111111112E-4</v>
      </c>
      <c r="F520" s="65">
        <v>0.42660879629629633</v>
      </c>
      <c r="G520" s="65" t="s">
        <v>394</v>
      </c>
      <c r="H520" s="52" t="s">
        <v>85</v>
      </c>
      <c r="I520" s="52" t="s">
        <v>85</v>
      </c>
      <c r="J520" s="52"/>
      <c r="K520" s="52"/>
      <c r="L520" s="52"/>
      <c r="M520" s="52"/>
      <c r="N520" s="52" t="s">
        <v>70</v>
      </c>
      <c r="O520" s="52"/>
      <c r="P520" s="69"/>
      <c r="Q520" s="52"/>
      <c r="R520" s="51" t="b">
        <v>0</v>
      </c>
      <c r="S520" s="51"/>
      <c r="T520" s="52"/>
      <c r="U520" s="51" t="b">
        <v>0</v>
      </c>
      <c r="V520" s="51" t="b">
        <v>0</v>
      </c>
      <c r="W520" s="51" t="b">
        <v>0</v>
      </c>
      <c r="X520" s="51" t="b">
        <v>0</v>
      </c>
      <c r="Y520" s="51" t="b">
        <v>0</v>
      </c>
      <c r="Z520" s="51" t="b">
        <v>0</v>
      </c>
      <c r="AA520" s="68"/>
      <c r="AB520" s="52"/>
      <c r="AC520" s="52"/>
      <c r="AD520" s="52"/>
      <c r="AE520" s="56"/>
      <c r="AF520" s="56" t="s">
        <v>1944</v>
      </c>
    </row>
    <row r="521">
      <c r="A521" s="52" t="s">
        <v>2226</v>
      </c>
      <c r="B521" s="52" t="s">
        <v>16</v>
      </c>
      <c r="C521" s="52" t="s">
        <v>221</v>
      </c>
      <c r="D521" s="65">
        <v>0.42678240740740747</v>
      </c>
      <c r="E521" s="65">
        <v>3.4722222222222224E-4</v>
      </c>
      <c r="F521" s="65">
        <v>0.4271296296296297</v>
      </c>
      <c r="G521" s="65" t="s">
        <v>394</v>
      </c>
      <c r="H521" s="52" t="s">
        <v>81</v>
      </c>
      <c r="I521" s="52" t="s">
        <v>81</v>
      </c>
      <c r="J521" s="52"/>
      <c r="K521" s="52"/>
      <c r="L521" s="52"/>
      <c r="M521" s="52"/>
      <c r="N521" s="52" t="s">
        <v>70</v>
      </c>
      <c r="O521" s="52"/>
      <c r="P521" s="52"/>
      <c r="Q521" s="52"/>
      <c r="R521" s="51" t="b">
        <v>0</v>
      </c>
      <c r="S521" s="51"/>
      <c r="T521" s="52"/>
      <c r="U521" s="51" t="b">
        <v>0</v>
      </c>
      <c r="V521" s="51" t="b">
        <v>0</v>
      </c>
      <c r="W521" s="51" t="b">
        <v>0</v>
      </c>
      <c r="X521" s="51" t="b">
        <v>0</v>
      </c>
      <c r="Y521" s="51" t="b">
        <v>0</v>
      </c>
      <c r="Z521" s="51" t="b">
        <v>0</v>
      </c>
      <c r="AA521" s="68"/>
      <c r="AB521" s="52"/>
      <c r="AC521" s="52"/>
      <c r="AD521" s="52"/>
      <c r="AE521" s="56"/>
      <c r="AF521" s="56" t="s">
        <v>1944</v>
      </c>
    </row>
    <row r="522">
      <c r="A522" s="52" t="s">
        <v>2229</v>
      </c>
      <c r="B522" s="52" t="s">
        <v>16</v>
      </c>
      <c r="C522" s="52" t="s">
        <v>221</v>
      </c>
      <c r="D522" s="65">
        <v>0.4271296296296297</v>
      </c>
      <c r="E522" s="65">
        <v>0.0125</v>
      </c>
      <c r="F522" s="65">
        <v>0.4396296296296297</v>
      </c>
      <c r="G522" s="65" t="s">
        <v>394</v>
      </c>
      <c r="H522" s="52" t="s">
        <v>107</v>
      </c>
      <c r="I522" s="52" t="s">
        <v>613</v>
      </c>
      <c r="J522" s="52" t="s">
        <v>614</v>
      </c>
      <c r="K522" s="52" t="s">
        <v>615</v>
      </c>
      <c r="L522" s="52"/>
      <c r="M522" s="52"/>
      <c r="N522" s="52" t="s">
        <v>616</v>
      </c>
      <c r="O522" s="69" t="s">
        <v>734</v>
      </c>
      <c r="P522" s="69" t="s">
        <v>32</v>
      </c>
      <c r="Q522" s="80" t="s">
        <v>2230</v>
      </c>
      <c r="R522" s="51" t="b">
        <v>1</v>
      </c>
      <c r="S522" s="52" t="s">
        <v>613</v>
      </c>
      <c r="T522" s="52"/>
      <c r="U522" s="51" t="b">
        <v>0</v>
      </c>
      <c r="V522" s="51" t="b">
        <v>1</v>
      </c>
      <c r="W522" s="51" t="b">
        <v>1</v>
      </c>
      <c r="X522" s="51" t="b">
        <v>0</v>
      </c>
      <c r="Y522" s="51" t="b">
        <v>1</v>
      </c>
      <c r="Z522" s="51" t="b">
        <v>0</v>
      </c>
      <c r="AA522" s="71">
        <v>0.0125</v>
      </c>
      <c r="AB522" s="69" t="s">
        <v>2231</v>
      </c>
      <c r="AC522" s="52"/>
      <c r="AD522" s="76" t="s">
        <v>2232</v>
      </c>
      <c r="AE522" s="56" t="s">
        <v>629</v>
      </c>
      <c r="AF522" s="56" t="s">
        <v>847</v>
      </c>
    </row>
    <row r="523">
      <c r="A523" s="52" t="s">
        <v>2233</v>
      </c>
      <c r="B523" s="52" t="s">
        <v>16</v>
      </c>
      <c r="C523" s="52" t="s">
        <v>221</v>
      </c>
      <c r="D523" s="65">
        <v>0.4396296296296297</v>
      </c>
      <c r="E523" s="65">
        <v>1.7361111111111112E-4</v>
      </c>
      <c r="F523" s="65">
        <v>0.43980324074074084</v>
      </c>
      <c r="G523" s="65" t="s">
        <v>394</v>
      </c>
      <c r="H523" s="52" t="s">
        <v>85</v>
      </c>
      <c r="I523" s="52" t="s">
        <v>85</v>
      </c>
      <c r="J523" s="52"/>
      <c r="K523" s="52"/>
      <c r="L523" s="52"/>
      <c r="M523" s="52"/>
      <c r="N523" s="52" t="s">
        <v>70</v>
      </c>
      <c r="O523" s="52"/>
      <c r="P523" s="69"/>
      <c r="Q523" s="52"/>
      <c r="R523" s="51" t="b">
        <v>0</v>
      </c>
      <c r="S523" s="51"/>
      <c r="T523" s="52"/>
      <c r="U523" s="51" t="b">
        <v>0</v>
      </c>
      <c r="V523" s="51" t="b">
        <v>0</v>
      </c>
      <c r="W523" s="51" t="b">
        <v>0</v>
      </c>
      <c r="X523" s="51" t="b">
        <v>0</v>
      </c>
      <c r="Y523" s="51" t="b">
        <v>0</v>
      </c>
      <c r="Z523" s="51" t="b">
        <v>0</v>
      </c>
      <c r="AA523" s="68"/>
      <c r="AB523" s="52"/>
      <c r="AC523" s="52"/>
      <c r="AD523" s="52"/>
      <c r="AE523" s="56"/>
      <c r="AF523" s="56" t="s">
        <v>1944</v>
      </c>
    </row>
    <row r="524">
      <c r="A524" s="52" t="s">
        <v>2239</v>
      </c>
      <c r="B524" s="52" t="s">
        <v>16</v>
      </c>
      <c r="C524" s="52" t="s">
        <v>221</v>
      </c>
      <c r="D524" s="65">
        <v>0.43980324074074084</v>
      </c>
      <c r="E524" s="65">
        <v>3.4722222222222224E-4</v>
      </c>
      <c r="F524" s="65">
        <v>0.44015046296296306</v>
      </c>
      <c r="G524" s="65" t="s">
        <v>394</v>
      </c>
      <c r="H524" s="52" t="s">
        <v>81</v>
      </c>
      <c r="I524" s="52" t="s">
        <v>81</v>
      </c>
      <c r="J524" s="52"/>
      <c r="K524" s="52"/>
      <c r="L524" s="52"/>
      <c r="M524" s="52"/>
      <c r="N524" s="52" t="s">
        <v>70</v>
      </c>
      <c r="O524" s="52"/>
      <c r="P524" s="52"/>
      <c r="Q524" s="52"/>
      <c r="R524" s="51" t="b">
        <v>0</v>
      </c>
      <c r="S524" s="51"/>
      <c r="T524" s="52"/>
      <c r="U524" s="51" t="b">
        <v>0</v>
      </c>
      <c r="V524" s="51" t="b">
        <v>0</v>
      </c>
      <c r="W524" s="51" t="b">
        <v>0</v>
      </c>
      <c r="X524" s="51" t="b">
        <v>0</v>
      </c>
      <c r="Y524" s="51" t="b">
        <v>0</v>
      </c>
      <c r="Z524" s="51" t="b">
        <v>0</v>
      </c>
      <c r="AA524" s="68"/>
      <c r="AB524" s="52"/>
      <c r="AC524" s="52"/>
      <c r="AD524" s="52"/>
      <c r="AE524" s="56"/>
      <c r="AF524" s="56" t="s">
        <v>1944</v>
      </c>
    </row>
    <row r="525">
      <c r="A525" s="52" t="s">
        <v>2240</v>
      </c>
      <c r="B525" s="52" t="s">
        <v>16</v>
      </c>
      <c r="C525" s="52" t="s">
        <v>221</v>
      </c>
      <c r="D525" s="65">
        <v>0.44015046296296306</v>
      </c>
      <c r="E525" s="65">
        <v>0.008333333333333333</v>
      </c>
      <c r="F525" s="65">
        <v>0.4484837962962964</v>
      </c>
      <c r="G525" s="65" t="s">
        <v>394</v>
      </c>
      <c r="H525" s="52" t="s">
        <v>107</v>
      </c>
      <c r="I525" s="52" t="s">
        <v>620</v>
      </c>
      <c r="J525" s="52" t="s">
        <v>621</v>
      </c>
      <c r="K525" s="52" t="s">
        <v>622</v>
      </c>
      <c r="L525" s="52"/>
      <c r="M525" s="52"/>
      <c r="N525" s="52" t="s">
        <v>605</v>
      </c>
      <c r="O525" s="69" t="s">
        <v>734</v>
      </c>
      <c r="P525" s="69" t="s">
        <v>30</v>
      </c>
      <c r="Q525" s="70" t="s">
        <v>2242</v>
      </c>
      <c r="R525" s="51" t="b">
        <v>1</v>
      </c>
      <c r="S525" s="78" t="s">
        <v>620</v>
      </c>
      <c r="T525" s="52"/>
      <c r="U525" s="51" t="b">
        <v>0</v>
      </c>
      <c r="V525" s="51" t="b">
        <v>1</v>
      </c>
      <c r="W525" s="51" t="b">
        <v>1</v>
      </c>
      <c r="X525" s="51" t="b">
        <v>1</v>
      </c>
      <c r="Y525" s="51" t="b">
        <v>0</v>
      </c>
      <c r="Z525" s="51" t="b">
        <v>0</v>
      </c>
      <c r="AA525" s="71">
        <v>0.00832175925925926</v>
      </c>
      <c r="AB525" s="104" t="s">
        <v>2244</v>
      </c>
      <c r="AC525" s="130"/>
      <c r="AD525" s="76" t="s">
        <v>2245</v>
      </c>
      <c r="AE525" s="74" t="s">
        <v>629</v>
      </c>
      <c r="AF525" s="74" t="s">
        <v>847</v>
      </c>
    </row>
    <row r="526">
      <c r="A526" s="52" t="s">
        <v>2248</v>
      </c>
      <c r="B526" s="52" t="s">
        <v>16</v>
      </c>
      <c r="C526" s="52" t="s">
        <v>221</v>
      </c>
      <c r="D526" s="65">
        <v>0.4484837962962964</v>
      </c>
      <c r="E526" s="65">
        <v>1.7361111111111112E-4</v>
      </c>
      <c r="F526" s="65">
        <v>0.44865740740740756</v>
      </c>
      <c r="G526" s="65" t="s">
        <v>394</v>
      </c>
      <c r="H526" s="52" t="s">
        <v>85</v>
      </c>
      <c r="I526" s="52" t="s">
        <v>85</v>
      </c>
      <c r="J526" s="52"/>
      <c r="K526" s="52"/>
      <c r="L526" s="52"/>
      <c r="M526" s="52"/>
      <c r="N526" s="52" t="s">
        <v>70</v>
      </c>
      <c r="O526" s="52"/>
      <c r="P526" s="52"/>
      <c r="Q526" s="52"/>
      <c r="R526" s="51" t="b">
        <v>0</v>
      </c>
      <c r="S526" s="51"/>
      <c r="T526" s="52"/>
      <c r="U526" s="51" t="b">
        <v>0</v>
      </c>
      <c r="V526" s="51" t="b">
        <v>0</v>
      </c>
      <c r="W526" s="51" t="b">
        <v>0</v>
      </c>
      <c r="X526" s="51" t="b">
        <v>0</v>
      </c>
      <c r="Y526" s="51" t="b">
        <v>0</v>
      </c>
      <c r="Z526" s="51" t="b">
        <v>0</v>
      </c>
      <c r="AA526" s="68"/>
      <c r="AB526" s="52"/>
      <c r="AC526" s="52"/>
      <c r="AD526" s="52"/>
      <c r="AE526" s="56"/>
      <c r="AF526" s="56" t="s">
        <v>1944</v>
      </c>
    </row>
    <row r="527">
      <c r="A527" s="52" t="s">
        <v>2249</v>
      </c>
      <c r="B527" s="52" t="s">
        <v>16</v>
      </c>
      <c r="C527" s="52" t="s">
        <v>221</v>
      </c>
      <c r="D527" s="65">
        <v>0.6240277777777787</v>
      </c>
      <c r="E527" s="65">
        <v>3.4722222222222224E-4</v>
      </c>
      <c r="F527" s="65">
        <v>0.624375000000001</v>
      </c>
      <c r="G527" s="65" t="s">
        <v>394</v>
      </c>
      <c r="H527" s="52" t="s">
        <v>81</v>
      </c>
      <c r="I527" s="52" t="s">
        <v>81</v>
      </c>
      <c r="J527" s="52"/>
      <c r="K527" s="52"/>
      <c r="L527" s="52"/>
      <c r="M527" s="52"/>
      <c r="N527" s="52" t="s">
        <v>70</v>
      </c>
      <c r="O527" s="52"/>
      <c r="P527" s="52"/>
      <c r="Q527" s="52"/>
      <c r="R527" s="51" t="b">
        <v>0</v>
      </c>
      <c r="S527" s="51"/>
      <c r="T527" s="52"/>
      <c r="U527" s="51" t="b">
        <v>0</v>
      </c>
      <c r="V527" s="51" t="b">
        <v>0</v>
      </c>
      <c r="W527" s="51" t="b">
        <v>0</v>
      </c>
      <c r="X527" s="51" t="b">
        <v>0</v>
      </c>
      <c r="Y527" s="51" t="b">
        <v>0</v>
      </c>
      <c r="Z527" s="51" t="b">
        <v>0</v>
      </c>
      <c r="AA527" s="68"/>
      <c r="AB527" s="52"/>
      <c r="AC527" s="52"/>
      <c r="AD527" s="52"/>
      <c r="AE527" s="56"/>
      <c r="AF527" s="56" t="s">
        <v>1944</v>
      </c>
    </row>
    <row r="528">
      <c r="A528" s="52" t="s">
        <v>2256</v>
      </c>
      <c r="B528" s="52" t="s">
        <v>16</v>
      </c>
      <c r="C528" s="52" t="s">
        <v>221</v>
      </c>
      <c r="D528" s="65">
        <v>0.624375000000001</v>
      </c>
      <c r="E528" s="65">
        <v>0.008333333333333333</v>
      </c>
      <c r="F528" s="65">
        <v>0.6327083333333343</v>
      </c>
      <c r="G528" s="65" t="s">
        <v>394</v>
      </c>
      <c r="H528" s="52" t="s">
        <v>107</v>
      </c>
      <c r="I528" s="52" t="s">
        <v>729</v>
      </c>
      <c r="J528" s="52" t="s">
        <v>730</v>
      </c>
      <c r="K528" s="131" t="s">
        <v>492</v>
      </c>
      <c r="L528" s="52"/>
      <c r="M528" s="52"/>
      <c r="N528" s="52" t="s">
        <v>733</v>
      </c>
      <c r="O528" s="52"/>
      <c r="P528" s="52"/>
      <c r="Q528" s="52"/>
      <c r="R528" s="51" t="b">
        <v>0</v>
      </c>
      <c r="S528" s="51"/>
      <c r="T528" s="52"/>
      <c r="U528" s="51" t="b">
        <v>0</v>
      </c>
      <c r="V528" s="51" t="b">
        <v>0</v>
      </c>
      <c r="W528" s="51" t="b">
        <v>0</v>
      </c>
      <c r="X528" s="51" t="b">
        <v>0</v>
      </c>
      <c r="Y528" s="51" t="b">
        <v>0</v>
      </c>
      <c r="Z528" s="51" t="b">
        <v>0</v>
      </c>
      <c r="AA528" s="68"/>
      <c r="AB528" s="52"/>
      <c r="AC528" s="52"/>
      <c r="AD528" s="52"/>
      <c r="AE528" s="56" t="s">
        <v>652</v>
      </c>
      <c r="AF528" s="56" t="s">
        <v>847</v>
      </c>
    </row>
    <row r="529">
      <c r="A529" s="52" t="s">
        <v>2259</v>
      </c>
      <c r="B529" s="52" t="s">
        <v>16</v>
      </c>
      <c r="C529" s="52" t="s">
        <v>221</v>
      </c>
      <c r="D529" s="65">
        <v>0.6327083333333343</v>
      </c>
      <c r="E529" s="65">
        <v>1.7361111111111112E-4</v>
      </c>
      <c r="F529" s="65">
        <v>0.6328819444444455</v>
      </c>
      <c r="G529" s="65" t="s">
        <v>394</v>
      </c>
      <c r="H529" s="52" t="s">
        <v>85</v>
      </c>
      <c r="I529" s="52" t="s">
        <v>85</v>
      </c>
      <c r="J529" s="52"/>
      <c r="K529" s="52"/>
      <c r="L529" s="52"/>
      <c r="M529" s="52"/>
      <c r="N529" s="52" t="s">
        <v>70</v>
      </c>
      <c r="O529" s="52"/>
      <c r="P529" s="69"/>
      <c r="Q529" s="52"/>
      <c r="R529" s="51" t="b">
        <v>0</v>
      </c>
      <c r="S529" s="52"/>
      <c r="T529" s="52"/>
      <c r="U529" s="51" t="b">
        <v>0</v>
      </c>
      <c r="V529" s="51" t="b">
        <v>0</v>
      </c>
      <c r="W529" s="51" t="b">
        <v>0</v>
      </c>
      <c r="X529" s="51" t="b">
        <v>0</v>
      </c>
      <c r="Y529" s="51" t="b">
        <v>0</v>
      </c>
      <c r="Z529" s="51" t="b">
        <v>0</v>
      </c>
      <c r="AA529" s="68"/>
      <c r="AB529" s="52"/>
      <c r="AC529" s="52"/>
      <c r="AD529" s="52"/>
      <c r="AE529" s="56"/>
      <c r="AF529" s="56" t="s">
        <v>1944</v>
      </c>
    </row>
    <row r="530">
      <c r="A530" s="52" t="s">
        <v>2260</v>
      </c>
      <c r="B530" s="52" t="s">
        <v>16</v>
      </c>
      <c r="C530" s="52" t="s">
        <v>221</v>
      </c>
      <c r="D530" s="65"/>
      <c r="E530" s="65"/>
      <c r="F530" s="65"/>
      <c r="G530" s="65"/>
      <c r="H530" s="52"/>
      <c r="I530" s="52"/>
      <c r="J530" s="52"/>
      <c r="K530" s="52"/>
      <c r="L530" s="52"/>
      <c r="M530" s="52"/>
      <c r="N530" s="52" t="s">
        <v>70</v>
      </c>
      <c r="O530" s="52"/>
      <c r="P530" s="52"/>
      <c r="Q530" s="52"/>
      <c r="R530" s="51" t="b">
        <v>0</v>
      </c>
      <c r="S530" s="51"/>
      <c r="T530" s="52"/>
      <c r="U530" s="51" t="b">
        <v>0</v>
      </c>
      <c r="V530" s="51" t="b">
        <v>0</v>
      </c>
      <c r="W530" s="51" t="b">
        <v>0</v>
      </c>
      <c r="X530" s="51" t="b">
        <v>0</v>
      </c>
      <c r="Y530" s="51" t="b">
        <v>0</v>
      </c>
      <c r="Z530" s="51" t="b">
        <v>0</v>
      </c>
      <c r="AA530" s="68"/>
      <c r="AB530" s="52"/>
      <c r="AC530" s="52"/>
      <c r="AD530" s="52"/>
      <c r="AE530" s="56"/>
      <c r="AF530" s="56"/>
    </row>
    <row r="531">
      <c r="A531" s="52" t="s">
        <v>2263</v>
      </c>
      <c r="B531" s="52" t="s">
        <v>607</v>
      </c>
      <c r="C531" s="52" t="s">
        <v>607</v>
      </c>
      <c r="D531" s="65" t="s">
        <v>607</v>
      </c>
      <c r="E531" s="65" t="s">
        <v>607</v>
      </c>
      <c r="F531" s="65" t="s">
        <v>607</v>
      </c>
      <c r="G531" s="65" t="s">
        <v>607</v>
      </c>
      <c r="H531" s="52" t="s">
        <v>607</v>
      </c>
      <c r="I531" s="52" t="s">
        <v>607</v>
      </c>
      <c r="J531" s="52" t="s">
        <v>607</v>
      </c>
      <c r="K531" s="52" t="s">
        <v>607</v>
      </c>
      <c r="L531" s="52" t="s">
        <v>607</v>
      </c>
      <c r="M531" s="52" t="s">
        <v>607</v>
      </c>
      <c r="N531" s="52" t="s">
        <v>607</v>
      </c>
      <c r="O531" s="52"/>
      <c r="P531" s="52"/>
      <c r="Q531" s="52"/>
      <c r="R531" s="51" t="b">
        <v>0</v>
      </c>
      <c r="S531" s="51"/>
      <c r="T531" s="52"/>
      <c r="U531" s="51" t="b">
        <v>0</v>
      </c>
      <c r="V531" s="51" t="b">
        <v>0</v>
      </c>
      <c r="W531" s="51" t="b">
        <v>0</v>
      </c>
      <c r="X531" s="51" t="b">
        <v>0</v>
      </c>
      <c r="Y531" s="51" t="b">
        <v>0</v>
      </c>
      <c r="Z531" s="51" t="b">
        <v>0</v>
      </c>
      <c r="AA531" s="68"/>
      <c r="AB531" s="52"/>
      <c r="AC531" s="52"/>
      <c r="AD531" s="52"/>
      <c r="AE531" s="56" t="s">
        <v>607</v>
      </c>
      <c r="AF531" s="56" t="s">
        <v>607</v>
      </c>
    </row>
    <row r="532">
      <c r="A532" s="52" t="s">
        <v>2264</v>
      </c>
      <c r="B532" s="52" t="s">
        <v>16</v>
      </c>
      <c r="C532" s="52" t="s">
        <v>221</v>
      </c>
      <c r="D532" s="65">
        <v>0.42660879629629633</v>
      </c>
      <c r="E532" s="65">
        <v>1.7361111111111112E-4</v>
      </c>
      <c r="F532" s="65">
        <v>0.42678240740740747</v>
      </c>
      <c r="G532" s="65" t="s">
        <v>394</v>
      </c>
      <c r="H532" s="52" t="s">
        <v>77</v>
      </c>
      <c r="I532" s="52" t="s">
        <v>608</v>
      </c>
      <c r="J532" s="52"/>
      <c r="K532" s="52"/>
      <c r="L532" s="52"/>
      <c r="M532" s="52"/>
      <c r="N532" s="52"/>
      <c r="O532" s="52"/>
      <c r="P532" s="52"/>
      <c r="Q532" s="52"/>
      <c r="R532" s="51" t="b">
        <v>0</v>
      </c>
      <c r="S532" s="51"/>
      <c r="T532" s="52"/>
      <c r="U532" s="51" t="b">
        <v>0</v>
      </c>
      <c r="V532" s="51" t="b">
        <v>0</v>
      </c>
      <c r="W532" s="51" t="b">
        <v>0</v>
      </c>
      <c r="X532" s="51" t="b">
        <v>0</v>
      </c>
      <c r="Y532" s="51" t="b">
        <v>0</v>
      </c>
      <c r="Z532" s="51" t="b">
        <v>0</v>
      </c>
      <c r="AA532" s="68"/>
      <c r="AB532" s="52"/>
      <c r="AC532" s="52"/>
      <c r="AD532" s="52"/>
      <c r="AE532" s="56"/>
      <c r="AF532" s="56" t="s">
        <v>2004</v>
      </c>
    </row>
    <row r="533">
      <c r="A533" s="52" t="s">
        <v>2265</v>
      </c>
      <c r="B533" s="52" t="s">
        <v>16</v>
      </c>
      <c r="C533" s="52" t="s">
        <v>221</v>
      </c>
      <c r="D533" s="65">
        <v>0.45975694444444465</v>
      </c>
      <c r="E533" s="65">
        <v>3.4722222222222224E-4</v>
      </c>
      <c r="F533" s="65">
        <v>0.46010416666666687</v>
      </c>
      <c r="G533" s="65" t="s">
        <v>195</v>
      </c>
      <c r="H533" s="52" t="s">
        <v>81</v>
      </c>
      <c r="I533" s="52" t="s">
        <v>81</v>
      </c>
      <c r="J533" s="52"/>
      <c r="K533" s="52"/>
      <c r="L533" s="52"/>
      <c r="M533" s="52"/>
      <c r="N533" s="52" t="s">
        <v>70</v>
      </c>
      <c r="O533" s="52"/>
      <c r="P533" s="52"/>
      <c r="Q533" s="52"/>
      <c r="R533" s="51" t="b">
        <v>0</v>
      </c>
      <c r="S533" s="51"/>
      <c r="T533" s="52"/>
      <c r="U533" s="51" t="b">
        <v>0</v>
      </c>
      <c r="V533" s="51" t="b">
        <v>0</v>
      </c>
      <c r="W533" s="51" t="b">
        <v>0</v>
      </c>
      <c r="X533" s="51" t="b">
        <v>0</v>
      </c>
      <c r="Y533" s="51" t="b">
        <v>0</v>
      </c>
      <c r="Z533" s="51" t="b">
        <v>0</v>
      </c>
      <c r="AA533" s="68"/>
      <c r="AB533" s="52"/>
      <c r="AC533" s="52"/>
      <c r="AD533" s="52"/>
      <c r="AE533" s="56"/>
      <c r="AF533" s="56" t="s">
        <v>1944</v>
      </c>
    </row>
    <row r="534">
      <c r="A534" s="52" t="s">
        <v>2271</v>
      </c>
      <c r="B534" s="52" t="s">
        <v>16</v>
      </c>
      <c r="C534" s="52" t="s">
        <v>221</v>
      </c>
      <c r="D534" s="65">
        <v>0.46010416666666687</v>
      </c>
      <c r="E534" s="65">
        <v>0.006712962962962963</v>
      </c>
      <c r="F534" s="65">
        <v>0.46681712962962985</v>
      </c>
      <c r="G534" s="65" t="s">
        <v>195</v>
      </c>
      <c r="H534" s="52" t="s">
        <v>165</v>
      </c>
      <c r="I534" s="52" t="s">
        <v>627</v>
      </c>
      <c r="J534" s="52" t="s">
        <v>628</v>
      </c>
      <c r="K534" s="52"/>
      <c r="L534" s="52"/>
      <c r="M534" s="52"/>
      <c r="N534" s="52" t="s">
        <v>70</v>
      </c>
      <c r="O534" s="69" t="s">
        <v>884</v>
      </c>
      <c r="P534" s="69" t="s">
        <v>20</v>
      </c>
      <c r="Q534" s="76" t="s">
        <v>2273</v>
      </c>
      <c r="R534" s="51" t="b">
        <v>1</v>
      </c>
      <c r="S534" s="52" t="s">
        <v>627</v>
      </c>
      <c r="T534" s="52"/>
      <c r="U534" s="51" t="b">
        <v>0</v>
      </c>
      <c r="V534" s="51" t="b">
        <v>1</v>
      </c>
      <c r="W534" s="51" t="b">
        <v>1</v>
      </c>
      <c r="X534" s="51" t="b">
        <v>1</v>
      </c>
      <c r="Y534" s="51" t="b">
        <v>0</v>
      </c>
      <c r="Z534" s="51" t="b">
        <v>0</v>
      </c>
      <c r="AA534" s="88">
        <v>0.006712962962962963</v>
      </c>
      <c r="AB534" s="69" t="s">
        <v>2275</v>
      </c>
      <c r="AC534" s="72"/>
      <c r="AD534" s="76" t="s">
        <v>2276</v>
      </c>
      <c r="AE534" s="74" t="s">
        <v>743</v>
      </c>
      <c r="AF534" s="74" t="s">
        <v>946</v>
      </c>
    </row>
    <row r="535">
      <c r="A535" s="52" t="s">
        <v>2279</v>
      </c>
      <c r="B535" s="52" t="s">
        <v>607</v>
      </c>
      <c r="C535" s="52" t="s">
        <v>607</v>
      </c>
      <c r="D535" s="65" t="s">
        <v>607</v>
      </c>
      <c r="E535" s="65" t="s">
        <v>607</v>
      </c>
      <c r="F535" s="65" t="s">
        <v>607</v>
      </c>
      <c r="G535" s="65" t="s">
        <v>607</v>
      </c>
      <c r="H535" s="52" t="s">
        <v>607</v>
      </c>
      <c r="I535" s="52" t="s">
        <v>607</v>
      </c>
      <c r="J535" s="52" t="s">
        <v>607</v>
      </c>
      <c r="K535" s="52" t="s">
        <v>607</v>
      </c>
      <c r="L535" s="52" t="s">
        <v>607</v>
      </c>
      <c r="M535" s="52" t="s">
        <v>607</v>
      </c>
      <c r="N535" s="52" t="s">
        <v>607</v>
      </c>
      <c r="O535" s="52"/>
      <c r="P535" s="52"/>
      <c r="Q535" s="52"/>
      <c r="R535" s="51" t="b">
        <v>0</v>
      </c>
      <c r="S535" s="51"/>
      <c r="T535" s="52"/>
      <c r="U535" s="51" t="b">
        <v>0</v>
      </c>
      <c r="V535" s="51" t="b">
        <v>0</v>
      </c>
      <c r="W535" s="51" t="b">
        <v>0</v>
      </c>
      <c r="X535" s="51" t="b">
        <v>0</v>
      </c>
      <c r="Y535" s="51" t="b">
        <v>0</v>
      </c>
      <c r="Z535" s="51" t="b">
        <v>0</v>
      </c>
      <c r="AA535" s="68"/>
      <c r="AB535" s="52"/>
      <c r="AC535" s="52"/>
      <c r="AD535" s="52"/>
      <c r="AE535" s="56" t="s">
        <v>607</v>
      </c>
      <c r="AF535" s="56" t="s">
        <v>607</v>
      </c>
    </row>
    <row r="536">
      <c r="A536" s="52" t="s">
        <v>2283</v>
      </c>
      <c r="B536" s="52" t="s">
        <v>16</v>
      </c>
      <c r="C536" s="52" t="s">
        <v>221</v>
      </c>
      <c r="D536" s="65">
        <v>0.46681712962962985</v>
      </c>
      <c r="E536" s="65">
        <v>2.314814814814815E-4</v>
      </c>
      <c r="F536" s="65">
        <v>0.46704861111111134</v>
      </c>
      <c r="G536" s="65" t="s">
        <v>195</v>
      </c>
      <c r="H536" s="52" t="s">
        <v>506</v>
      </c>
      <c r="I536" s="52" t="s">
        <v>632</v>
      </c>
      <c r="J536" s="52"/>
      <c r="K536" s="52"/>
      <c r="L536" s="52"/>
      <c r="M536" s="52"/>
      <c r="N536" s="52" t="s">
        <v>70</v>
      </c>
      <c r="O536" s="52"/>
      <c r="P536" s="69" t="s">
        <v>15</v>
      </c>
      <c r="Q536" s="80" t="s">
        <v>2284</v>
      </c>
      <c r="R536" s="51" t="b">
        <v>1</v>
      </c>
      <c r="S536" s="110" t="s">
        <v>632</v>
      </c>
      <c r="T536" s="52"/>
      <c r="U536" s="51" t="b">
        <v>0</v>
      </c>
      <c r="V536" s="51" t="b">
        <v>1</v>
      </c>
      <c r="W536" s="51" t="b">
        <v>1</v>
      </c>
      <c r="X536" s="51" t="b">
        <v>1</v>
      </c>
      <c r="Y536" s="51" t="b">
        <v>0</v>
      </c>
      <c r="Z536" s="51" t="b">
        <v>0</v>
      </c>
      <c r="AA536" s="71">
        <v>2.314814814814815E-4</v>
      </c>
      <c r="AB536" s="52"/>
      <c r="AC536" s="122"/>
      <c r="AD536" s="73" t="s">
        <v>2285</v>
      </c>
      <c r="AE536" s="56"/>
      <c r="AF536" s="56" t="s">
        <v>1215</v>
      </c>
    </row>
    <row r="537">
      <c r="A537" s="52" t="s">
        <v>2288</v>
      </c>
      <c r="B537" s="52" t="s">
        <v>16</v>
      </c>
      <c r="C537" s="52" t="s">
        <v>221</v>
      </c>
      <c r="D537" s="65">
        <v>0.46704861111111134</v>
      </c>
      <c r="E537" s="65">
        <v>3.4722222222222224E-4</v>
      </c>
      <c r="F537" s="65">
        <v>0.46739583333333357</v>
      </c>
      <c r="G537" s="65" t="s">
        <v>195</v>
      </c>
      <c r="H537" s="52" t="s">
        <v>89</v>
      </c>
      <c r="I537" s="52" t="s">
        <v>89</v>
      </c>
      <c r="J537" s="52"/>
      <c r="K537" s="52"/>
      <c r="L537" s="52"/>
      <c r="M537" s="52"/>
      <c r="N537" s="52" t="s">
        <v>70</v>
      </c>
      <c r="O537" s="52"/>
      <c r="P537" s="52"/>
      <c r="Q537" s="52"/>
      <c r="R537" s="51" t="b">
        <v>0</v>
      </c>
      <c r="S537" s="51"/>
      <c r="T537" s="52"/>
      <c r="U537" s="51" t="b">
        <v>0</v>
      </c>
      <c r="V537" s="51" t="b">
        <v>0</v>
      </c>
      <c r="W537" s="51" t="b">
        <v>0</v>
      </c>
      <c r="X537" s="51" t="b">
        <v>0</v>
      </c>
      <c r="Y537" s="51" t="b">
        <v>0</v>
      </c>
      <c r="Z537" s="51" t="b">
        <v>0</v>
      </c>
      <c r="AA537" s="68"/>
      <c r="AB537" s="52"/>
      <c r="AC537" s="52"/>
      <c r="AD537" s="52"/>
      <c r="AE537" s="56"/>
      <c r="AF537" s="56"/>
    </row>
    <row r="538">
      <c r="A538" s="52" t="s">
        <v>2289</v>
      </c>
      <c r="B538" s="52" t="s">
        <v>16</v>
      </c>
      <c r="C538" s="52" t="s">
        <v>221</v>
      </c>
      <c r="D538" s="65">
        <v>0.46739583333333357</v>
      </c>
      <c r="E538" s="65">
        <v>3.4722222222222224E-4</v>
      </c>
      <c r="F538" s="65">
        <v>0.4677430555555558</v>
      </c>
      <c r="G538" s="65" t="s">
        <v>195</v>
      </c>
      <c r="H538" s="52" t="s">
        <v>81</v>
      </c>
      <c r="I538" s="52" t="s">
        <v>81</v>
      </c>
      <c r="J538" s="52"/>
      <c r="K538" s="52"/>
      <c r="L538" s="52"/>
      <c r="M538" s="52"/>
      <c r="N538" s="52" t="s">
        <v>70</v>
      </c>
      <c r="O538" s="52"/>
      <c r="P538" s="52"/>
      <c r="Q538" s="52"/>
      <c r="R538" s="51" t="b">
        <v>0</v>
      </c>
      <c r="S538" s="52"/>
      <c r="T538" s="52"/>
      <c r="U538" s="51" t="b">
        <v>0</v>
      </c>
      <c r="V538" s="51" t="b">
        <v>0</v>
      </c>
      <c r="W538" s="51" t="b">
        <v>0</v>
      </c>
      <c r="X538" s="51" t="b">
        <v>0</v>
      </c>
      <c r="Y538" s="51" t="b">
        <v>0</v>
      </c>
      <c r="Z538" s="51" t="b">
        <v>0</v>
      </c>
      <c r="AA538" s="68"/>
      <c r="AB538" s="52"/>
      <c r="AC538" s="52"/>
      <c r="AD538" s="52"/>
      <c r="AE538" s="56"/>
      <c r="AF538" s="56" t="s">
        <v>1944</v>
      </c>
    </row>
    <row r="539">
      <c r="A539" s="52" t="s">
        <v>2292</v>
      </c>
      <c r="B539" s="52" t="s">
        <v>16</v>
      </c>
      <c r="C539" s="52" t="s">
        <v>221</v>
      </c>
      <c r="D539" s="65">
        <v>0.4677430555555558</v>
      </c>
      <c r="E539" s="65">
        <v>0.010717592592592593</v>
      </c>
      <c r="F539" s="65">
        <v>0.47846064814814837</v>
      </c>
      <c r="G539" s="65" t="s">
        <v>195</v>
      </c>
      <c r="H539" s="52" t="s">
        <v>94</v>
      </c>
      <c r="I539" s="52" t="s">
        <v>634</v>
      </c>
      <c r="J539" s="52" t="s">
        <v>635</v>
      </c>
      <c r="K539" s="52"/>
      <c r="L539" s="52"/>
      <c r="M539" s="52"/>
      <c r="N539" s="52" t="s">
        <v>637</v>
      </c>
      <c r="O539" s="69" t="s">
        <v>618</v>
      </c>
      <c r="P539" s="69" t="s">
        <v>17</v>
      </c>
      <c r="Q539" s="80" t="s">
        <v>2293</v>
      </c>
      <c r="R539" s="51" t="b">
        <v>1</v>
      </c>
      <c r="S539" s="52" t="s">
        <v>634</v>
      </c>
      <c r="T539" s="52"/>
      <c r="U539" s="51" t="b">
        <v>0</v>
      </c>
      <c r="V539" s="51" t="b">
        <v>1</v>
      </c>
      <c r="W539" s="51" t="b">
        <v>1</v>
      </c>
      <c r="X539" s="51" t="b">
        <v>1</v>
      </c>
      <c r="Y539" s="51" t="b">
        <v>0</v>
      </c>
      <c r="Z539" s="51" t="b">
        <v>0</v>
      </c>
      <c r="AA539" s="71">
        <v>0.010717592592592593</v>
      </c>
      <c r="AB539" s="69" t="s">
        <v>2298</v>
      </c>
      <c r="AC539" s="72"/>
      <c r="AD539" s="76" t="s">
        <v>2299</v>
      </c>
      <c r="AE539" s="56" t="s">
        <v>743</v>
      </c>
      <c r="AF539" s="56" t="s">
        <v>1055</v>
      </c>
    </row>
    <row r="540">
      <c r="A540" s="52" t="s">
        <v>2300</v>
      </c>
      <c r="B540" s="52" t="s">
        <v>607</v>
      </c>
      <c r="C540" s="52" t="s">
        <v>607</v>
      </c>
      <c r="D540" s="65" t="s">
        <v>607</v>
      </c>
      <c r="E540" s="65" t="s">
        <v>607</v>
      </c>
      <c r="F540" s="65" t="s">
        <v>607</v>
      </c>
      <c r="G540" s="65" t="s">
        <v>607</v>
      </c>
      <c r="H540" s="52" t="s">
        <v>607</v>
      </c>
      <c r="I540" s="52" t="s">
        <v>607</v>
      </c>
      <c r="J540" s="52" t="s">
        <v>607</v>
      </c>
      <c r="K540" s="52" t="s">
        <v>607</v>
      </c>
      <c r="L540" s="52" t="s">
        <v>607</v>
      </c>
      <c r="M540" s="52" t="s">
        <v>607</v>
      </c>
      <c r="N540" s="52" t="s">
        <v>607</v>
      </c>
      <c r="O540" s="52"/>
      <c r="P540" s="52"/>
      <c r="Q540" s="52"/>
      <c r="R540" s="51" t="b">
        <v>0</v>
      </c>
      <c r="S540" s="51"/>
      <c r="T540" s="52"/>
      <c r="U540" s="51" t="b">
        <v>0</v>
      </c>
      <c r="V540" s="51" t="b">
        <v>0</v>
      </c>
      <c r="W540" s="51" t="b">
        <v>0</v>
      </c>
      <c r="X540" s="51" t="b">
        <v>0</v>
      </c>
      <c r="Y540" s="51" t="b">
        <v>0</v>
      </c>
      <c r="Z540" s="51" t="b">
        <v>0</v>
      </c>
      <c r="AA540" s="68"/>
      <c r="AB540" s="52"/>
      <c r="AC540" s="52"/>
      <c r="AD540" s="52"/>
      <c r="AE540" s="56" t="s">
        <v>607</v>
      </c>
      <c r="AF540" s="56" t="s">
        <v>607</v>
      </c>
    </row>
    <row r="541">
      <c r="A541" s="52" t="s">
        <v>2303</v>
      </c>
      <c r="B541" s="52" t="s">
        <v>607</v>
      </c>
      <c r="C541" s="52" t="s">
        <v>607</v>
      </c>
      <c r="D541" s="65" t="s">
        <v>607</v>
      </c>
      <c r="E541" s="65" t="s">
        <v>607</v>
      </c>
      <c r="F541" s="65" t="s">
        <v>607</v>
      </c>
      <c r="G541" s="65" t="s">
        <v>607</v>
      </c>
      <c r="H541" s="52" t="s">
        <v>607</v>
      </c>
      <c r="I541" s="52" t="s">
        <v>607</v>
      </c>
      <c r="J541" s="52" t="s">
        <v>607</v>
      </c>
      <c r="K541" s="52" t="s">
        <v>607</v>
      </c>
      <c r="L541" s="52" t="s">
        <v>607</v>
      </c>
      <c r="M541" s="52" t="s">
        <v>607</v>
      </c>
      <c r="N541" s="52" t="s">
        <v>607</v>
      </c>
      <c r="O541" s="52"/>
      <c r="P541" s="52"/>
      <c r="Q541" s="52"/>
      <c r="R541" s="51" t="b">
        <v>0</v>
      </c>
      <c r="S541" s="51"/>
      <c r="T541" s="52"/>
      <c r="U541" s="51" t="b">
        <v>0</v>
      </c>
      <c r="V541" s="51" t="b">
        <v>0</v>
      </c>
      <c r="W541" s="51" t="b">
        <v>0</v>
      </c>
      <c r="X541" s="51" t="b">
        <v>0</v>
      </c>
      <c r="Y541" s="51" t="b">
        <v>0</v>
      </c>
      <c r="Z541" s="51" t="b">
        <v>0</v>
      </c>
      <c r="AA541" s="68"/>
      <c r="AB541" s="52"/>
      <c r="AC541" s="52"/>
      <c r="AD541" s="52"/>
      <c r="AE541" s="56" t="s">
        <v>607</v>
      </c>
      <c r="AF541" s="56" t="s">
        <v>607</v>
      </c>
    </row>
    <row r="542">
      <c r="A542" s="52" t="s">
        <v>2304</v>
      </c>
      <c r="B542" s="52" t="s">
        <v>16</v>
      </c>
      <c r="C542" s="52" t="s">
        <v>221</v>
      </c>
      <c r="D542" s="65">
        <v>0.4786342592592595</v>
      </c>
      <c r="E542" s="65">
        <v>3.4722222222222224E-4</v>
      </c>
      <c r="F542" s="65">
        <v>0.47898148148148173</v>
      </c>
      <c r="G542" s="65" t="s">
        <v>195</v>
      </c>
      <c r="H542" s="52" t="s">
        <v>81</v>
      </c>
      <c r="I542" s="52" t="s">
        <v>81</v>
      </c>
      <c r="J542" s="52"/>
      <c r="K542" s="52"/>
      <c r="L542" s="52"/>
      <c r="M542" s="52"/>
      <c r="N542" s="52" t="s">
        <v>70</v>
      </c>
      <c r="O542" s="52"/>
      <c r="P542" s="69"/>
      <c r="Q542" s="52"/>
      <c r="R542" s="51" t="b">
        <v>0</v>
      </c>
      <c r="S542" s="52"/>
      <c r="T542" s="52"/>
      <c r="U542" s="51" t="b">
        <v>0</v>
      </c>
      <c r="V542" s="51" t="b">
        <v>0</v>
      </c>
      <c r="W542" s="51" t="b">
        <v>0</v>
      </c>
      <c r="X542" s="51" t="b">
        <v>0</v>
      </c>
      <c r="Y542" s="51" t="b">
        <v>0</v>
      </c>
      <c r="Z542" s="51" t="b">
        <v>0</v>
      </c>
      <c r="AA542" s="68"/>
      <c r="AB542" s="52"/>
      <c r="AC542" s="52"/>
      <c r="AD542" s="52"/>
      <c r="AE542" s="56"/>
      <c r="AF542" s="56" t="s">
        <v>1944</v>
      </c>
    </row>
    <row r="543">
      <c r="A543" s="52" t="s">
        <v>2305</v>
      </c>
      <c r="B543" s="52" t="s">
        <v>16</v>
      </c>
      <c r="C543" s="52" t="s">
        <v>221</v>
      </c>
      <c r="D543" s="65">
        <v>0.47898148148148173</v>
      </c>
      <c r="E543" s="65">
        <v>0.007060185185185185</v>
      </c>
      <c r="F543" s="65">
        <v>0.4860416666666669</v>
      </c>
      <c r="G543" s="65" t="s">
        <v>195</v>
      </c>
      <c r="H543" s="52" t="s">
        <v>165</v>
      </c>
      <c r="I543" s="52" t="s">
        <v>641</v>
      </c>
      <c r="J543" s="52" t="s">
        <v>642</v>
      </c>
      <c r="K543" s="52"/>
      <c r="L543" s="52"/>
      <c r="M543" s="52"/>
      <c r="N543" s="52" t="s">
        <v>70</v>
      </c>
      <c r="O543" s="69" t="s">
        <v>884</v>
      </c>
      <c r="P543" s="69" t="s">
        <v>30</v>
      </c>
      <c r="Q543" s="73" t="s">
        <v>2308</v>
      </c>
      <c r="R543" s="51" t="b">
        <v>1</v>
      </c>
      <c r="S543" s="52" t="s">
        <v>641</v>
      </c>
      <c r="T543" s="52"/>
      <c r="U543" s="51" t="b">
        <v>0</v>
      </c>
      <c r="V543" s="51" t="b">
        <v>1</v>
      </c>
      <c r="W543" s="51" t="b">
        <v>1</v>
      </c>
      <c r="X543" s="51" t="b">
        <v>1</v>
      </c>
      <c r="Y543" s="51" t="b">
        <v>0</v>
      </c>
      <c r="Z543" s="51" t="b">
        <v>0</v>
      </c>
      <c r="AA543" s="71">
        <v>0.007060185185185185</v>
      </c>
      <c r="AB543" s="69"/>
      <c r="AC543" s="72"/>
      <c r="AD543" s="132" t="s">
        <v>2309</v>
      </c>
      <c r="AE543" s="74" t="s">
        <v>743</v>
      </c>
      <c r="AF543" s="74" t="s">
        <v>1631</v>
      </c>
    </row>
    <row r="544">
      <c r="A544" s="52" t="s">
        <v>2312</v>
      </c>
      <c r="B544" s="52" t="s">
        <v>16</v>
      </c>
      <c r="C544" s="52" t="s">
        <v>221</v>
      </c>
      <c r="D544" s="65">
        <v>0.4860416666666669</v>
      </c>
      <c r="E544" s="65">
        <v>1.7361111111111112E-4</v>
      </c>
      <c r="F544" s="65">
        <v>0.48621527777777807</v>
      </c>
      <c r="G544" s="65" t="s">
        <v>195</v>
      </c>
      <c r="H544" s="52" t="s">
        <v>85</v>
      </c>
      <c r="I544" s="52" t="s">
        <v>85</v>
      </c>
      <c r="J544" s="52"/>
      <c r="K544" s="52"/>
      <c r="L544" s="52"/>
      <c r="M544" s="52"/>
      <c r="N544" s="52" t="s">
        <v>70</v>
      </c>
      <c r="O544" s="52"/>
      <c r="P544" s="52"/>
      <c r="Q544" s="52"/>
      <c r="R544" s="51" t="b">
        <v>0</v>
      </c>
      <c r="S544" s="51"/>
      <c r="T544" s="52"/>
      <c r="U544" s="51" t="b">
        <v>0</v>
      </c>
      <c r="V544" s="51" t="b">
        <v>0</v>
      </c>
      <c r="W544" s="51" t="b">
        <v>0</v>
      </c>
      <c r="X544" s="51" t="b">
        <v>0</v>
      </c>
      <c r="Y544" s="51" t="b">
        <v>0</v>
      </c>
      <c r="Z544" s="51" t="b">
        <v>0</v>
      </c>
      <c r="AA544" s="68"/>
      <c r="AB544" s="52"/>
      <c r="AC544" s="52"/>
      <c r="AD544" s="52"/>
      <c r="AE544" s="56"/>
      <c r="AF544" s="56" t="s">
        <v>1944</v>
      </c>
    </row>
    <row r="545">
      <c r="A545" s="52" t="s">
        <v>2319</v>
      </c>
      <c r="B545" s="52" t="s">
        <v>607</v>
      </c>
      <c r="C545" s="52" t="s">
        <v>607</v>
      </c>
      <c r="D545" s="65" t="s">
        <v>607</v>
      </c>
      <c r="E545" s="65" t="s">
        <v>607</v>
      </c>
      <c r="F545" s="65" t="s">
        <v>607</v>
      </c>
      <c r="G545" s="65" t="s">
        <v>607</v>
      </c>
      <c r="H545" s="52" t="s">
        <v>607</v>
      </c>
      <c r="I545" s="52" t="s">
        <v>607</v>
      </c>
      <c r="J545" s="52" t="s">
        <v>607</v>
      </c>
      <c r="K545" s="52" t="s">
        <v>607</v>
      </c>
      <c r="L545" s="52" t="s">
        <v>607</v>
      </c>
      <c r="M545" s="52" t="s">
        <v>607</v>
      </c>
      <c r="N545" s="52" t="s">
        <v>607</v>
      </c>
      <c r="O545" s="52"/>
      <c r="P545" s="52"/>
      <c r="Q545" s="52"/>
      <c r="R545" s="51" t="b">
        <v>0</v>
      </c>
      <c r="S545" s="51"/>
      <c r="T545" s="52"/>
      <c r="U545" s="51" t="b">
        <v>0</v>
      </c>
      <c r="V545" s="51" t="b">
        <v>0</v>
      </c>
      <c r="W545" s="51" t="b">
        <v>0</v>
      </c>
      <c r="X545" s="51" t="b">
        <v>0</v>
      </c>
      <c r="Y545" s="51" t="b">
        <v>0</v>
      </c>
      <c r="Z545" s="51" t="b">
        <v>0</v>
      </c>
      <c r="AA545" s="68"/>
      <c r="AB545" s="52"/>
      <c r="AC545" s="52"/>
      <c r="AD545" s="52"/>
      <c r="AE545" s="56" t="s">
        <v>607</v>
      </c>
      <c r="AF545" s="56" t="s">
        <v>607</v>
      </c>
    </row>
    <row r="546">
      <c r="A546" s="52" t="s">
        <v>2320</v>
      </c>
      <c r="B546" s="52" t="s">
        <v>16</v>
      </c>
      <c r="C546" s="52" t="s">
        <v>221</v>
      </c>
      <c r="D546" s="65">
        <v>0.48621527777777807</v>
      </c>
      <c r="E546" s="65">
        <v>3.4722222222222224E-4</v>
      </c>
      <c r="F546" s="65">
        <v>0.4865625000000003</v>
      </c>
      <c r="G546" s="65" t="s">
        <v>195</v>
      </c>
      <c r="H546" s="52" t="s">
        <v>81</v>
      </c>
      <c r="I546" s="52" t="s">
        <v>81</v>
      </c>
      <c r="J546" s="52"/>
      <c r="K546" s="133"/>
      <c r="L546" s="52"/>
      <c r="M546" s="52"/>
      <c r="N546" s="52" t="s">
        <v>70</v>
      </c>
      <c r="O546" s="52"/>
      <c r="P546" s="52"/>
      <c r="Q546" s="52"/>
      <c r="R546" s="51" t="b">
        <v>0</v>
      </c>
      <c r="S546" s="52"/>
      <c r="T546" s="52"/>
      <c r="U546" s="51" t="b">
        <v>0</v>
      </c>
      <c r="V546" s="51" t="b">
        <v>0</v>
      </c>
      <c r="W546" s="51" t="b">
        <v>0</v>
      </c>
      <c r="X546" s="51" t="b">
        <v>0</v>
      </c>
      <c r="Y546" s="51" t="b">
        <v>0</v>
      </c>
      <c r="Z546" s="51" t="b">
        <v>0</v>
      </c>
      <c r="AA546" s="71"/>
      <c r="AB546" s="69"/>
      <c r="AC546" s="69"/>
      <c r="AD546" s="103"/>
      <c r="AE546" s="74"/>
      <c r="AF546" s="74" t="s">
        <v>1944</v>
      </c>
    </row>
    <row r="547">
      <c r="A547" s="52" t="s">
        <v>2323</v>
      </c>
      <c r="B547" s="52" t="s">
        <v>16</v>
      </c>
      <c r="C547" s="52" t="s">
        <v>221</v>
      </c>
      <c r="D547" s="65">
        <v>0.4865625000000003</v>
      </c>
      <c r="E547" s="65">
        <v>0.011273148148148148</v>
      </c>
      <c r="F547" s="65">
        <v>0.49783564814814846</v>
      </c>
      <c r="G547" s="65" t="s">
        <v>195</v>
      </c>
      <c r="H547" s="52" t="s">
        <v>74</v>
      </c>
      <c r="I547" s="52" t="s">
        <v>644</v>
      </c>
      <c r="J547" s="52" t="s">
        <v>646</v>
      </c>
      <c r="K547" s="52" t="s">
        <v>647</v>
      </c>
      <c r="L547" s="52" t="s">
        <v>648</v>
      </c>
      <c r="M547" s="52"/>
      <c r="N547" s="52" t="s">
        <v>649</v>
      </c>
      <c r="O547" s="69" t="s">
        <v>791</v>
      </c>
      <c r="P547" s="69" t="s">
        <v>30</v>
      </c>
      <c r="Q547" s="73" t="s">
        <v>2324</v>
      </c>
      <c r="R547" s="51" t="b">
        <v>1</v>
      </c>
      <c r="S547" s="78" t="s">
        <v>644</v>
      </c>
      <c r="T547" s="52"/>
      <c r="U547" s="51" t="b">
        <v>0</v>
      </c>
      <c r="V547" s="51" t="b">
        <v>1</v>
      </c>
      <c r="W547" s="51" t="b">
        <v>1</v>
      </c>
      <c r="X547" s="51" t="b">
        <v>1</v>
      </c>
      <c r="Y547" s="51" t="b">
        <v>0</v>
      </c>
      <c r="Z547" s="51" t="b">
        <v>0</v>
      </c>
      <c r="AA547" s="71">
        <v>0.013078703703703703</v>
      </c>
      <c r="AB547" s="69" t="s">
        <v>2325</v>
      </c>
      <c r="AC547" s="72"/>
      <c r="AD547" s="73" t="s">
        <v>2326</v>
      </c>
      <c r="AE547" s="74" t="s">
        <v>629</v>
      </c>
      <c r="AF547" s="74" t="s">
        <v>860</v>
      </c>
    </row>
    <row r="548">
      <c r="A548" s="52" t="s">
        <v>2329</v>
      </c>
      <c r="B548" s="52" t="s">
        <v>607</v>
      </c>
      <c r="C548" s="52" t="s">
        <v>607</v>
      </c>
      <c r="D548" s="65" t="s">
        <v>607</v>
      </c>
      <c r="E548" s="65" t="s">
        <v>607</v>
      </c>
      <c r="F548" s="65" t="s">
        <v>607</v>
      </c>
      <c r="G548" s="65" t="s">
        <v>607</v>
      </c>
      <c r="H548" s="52" t="s">
        <v>607</v>
      </c>
      <c r="I548" s="52" t="s">
        <v>607</v>
      </c>
      <c r="J548" s="52" t="s">
        <v>607</v>
      </c>
      <c r="K548" s="52" t="s">
        <v>607</v>
      </c>
      <c r="L548" s="52" t="s">
        <v>607</v>
      </c>
      <c r="M548" s="52" t="s">
        <v>607</v>
      </c>
      <c r="N548" s="52" t="s">
        <v>607</v>
      </c>
      <c r="O548" s="52"/>
      <c r="P548" s="52"/>
      <c r="Q548" s="52"/>
      <c r="R548" s="51" t="b">
        <v>0</v>
      </c>
      <c r="S548" s="51"/>
      <c r="T548" s="52"/>
      <c r="U548" s="51" t="b">
        <v>0</v>
      </c>
      <c r="V548" s="51" t="b">
        <v>0</v>
      </c>
      <c r="W548" s="51" t="b">
        <v>0</v>
      </c>
      <c r="X548" s="51" t="b">
        <v>0</v>
      </c>
      <c r="Y548" s="51" t="b">
        <v>0</v>
      </c>
      <c r="Z548" s="51" t="b">
        <v>0</v>
      </c>
      <c r="AA548" s="68"/>
      <c r="AB548" s="52"/>
      <c r="AC548" s="52"/>
      <c r="AD548" s="52"/>
      <c r="AE548" s="56" t="s">
        <v>607</v>
      </c>
      <c r="AF548" s="56" t="s">
        <v>607</v>
      </c>
    </row>
    <row r="549">
      <c r="A549" s="52" t="s">
        <v>2332</v>
      </c>
      <c r="B549" s="52" t="s">
        <v>16</v>
      </c>
      <c r="C549" s="52" t="s">
        <v>221</v>
      </c>
      <c r="D549" s="65">
        <v>0.49783564814814846</v>
      </c>
      <c r="E549" s="65">
        <v>2.4305555555555555E-4</v>
      </c>
      <c r="F549" s="65">
        <v>0.498078703703704</v>
      </c>
      <c r="G549" s="65" t="s">
        <v>195</v>
      </c>
      <c r="H549" s="52" t="s">
        <v>506</v>
      </c>
      <c r="I549" s="52" t="s">
        <v>651</v>
      </c>
      <c r="J549" s="52"/>
      <c r="K549" s="52"/>
      <c r="L549" s="52"/>
      <c r="M549" s="52"/>
      <c r="N549" s="52" t="s">
        <v>70</v>
      </c>
      <c r="O549" s="69" t="s">
        <v>506</v>
      </c>
      <c r="P549" s="69" t="s">
        <v>30</v>
      </c>
      <c r="Q549" s="80" t="s">
        <v>2333</v>
      </c>
      <c r="R549" s="51" t="b">
        <v>1</v>
      </c>
      <c r="S549" s="110" t="s">
        <v>651</v>
      </c>
      <c r="T549" s="52"/>
      <c r="U549" s="51" t="b">
        <v>0</v>
      </c>
      <c r="V549" s="51" t="b">
        <v>1</v>
      </c>
      <c r="W549" s="51" t="b">
        <v>1</v>
      </c>
      <c r="X549" s="51" t="b">
        <v>0</v>
      </c>
      <c r="Y549" s="51" t="b">
        <v>0</v>
      </c>
      <c r="Z549" s="51" t="b">
        <v>0</v>
      </c>
      <c r="AA549" s="71">
        <v>2.4305555555555555E-4</v>
      </c>
      <c r="AB549" s="52"/>
      <c r="AC549" s="52"/>
      <c r="AD549" s="73" t="s">
        <v>2340</v>
      </c>
      <c r="AE549" s="56"/>
      <c r="AF549" s="56" t="s">
        <v>1215</v>
      </c>
    </row>
    <row r="550">
      <c r="A550" s="52" t="s">
        <v>2343</v>
      </c>
      <c r="B550" s="52" t="s">
        <v>785</v>
      </c>
      <c r="C550" s="52" t="s">
        <v>221</v>
      </c>
      <c r="D550" s="65">
        <v>0.498078703703704</v>
      </c>
      <c r="E550" s="65">
        <v>3.4722222222222224E-4</v>
      </c>
      <c r="F550" s="65">
        <v>0.4984259259259262</v>
      </c>
      <c r="G550" s="65" t="s">
        <v>195</v>
      </c>
      <c r="H550" s="52" t="s">
        <v>81</v>
      </c>
      <c r="I550" s="52" t="s">
        <v>81</v>
      </c>
      <c r="J550" s="52"/>
      <c r="K550" s="52"/>
      <c r="L550" s="52"/>
      <c r="M550" s="52"/>
      <c r="N550" s="52" t="s">
        <v>70</v>
      </c>
      <c r="O550" s="52"/>
      <c r="P550" s="52"/>
      <c r="Q550" s="52"/>
      <c r="R550" s="51" t="b">
        <v>0</v>
      </c>
      <c r="S550" s="51"/>
      <c r="T550" s="52"/>
      <c r="U550" s="51" t="b">
        <v>0</v>
      </c>
      <c r="V550" s="51" t="b">
        <v>0</v>
      </c>
      <c r="W550" s="51" t="b">
        <v>0</v>
      </c>
      <c r="X550" s="51" t="b">
        <v>0</v>
      </c>
      <c r="Y550" s="51" t="b">
        <v>0</v>
      </c>
      <c r="Z550" s="51" t="b">
        <v>0</v>
      </c>
      <c r="AA550" s="68"/>
      <c r="AB550" s="52"/>
      <c r="AC550" s="52"/>
      <c r="AD550" s="52"/>
      <c r="AE550" s="56"/>
      <c r="AF550" s="56" t="s">
        <v>1944</v>
      </c>
    </row>
    <row r="551">
      <c r="A551" s="52" t="s">
        <v>2346</v>
      </c>
      <c r="B551" s="52" t="s">
        <v>785</v>
      </c>
      <c r="C551" s="52" t="s">
        <v>221</v>
      </c>
      <c r="D551" s="65">
        <v>0.4984259259259262</v>
      </c>
      <c r="E551" s="65">
        <v>0.0020833333333333333</v>
      </c>
      <c r="F551" s="65">
        <v>0.5005092592592596</v>
      </c>
      <c r="G551" s="65" t="s">
        <v>195</v>
      </c>
      <c r="H551" s="52" t="s">
        <v>165</v>
      </c>
      <c r="I551" s="52" t="s">
        <v>1804</v>
      </c>
      <c r="J551" s="52" t="s">
        <v>1805</v>
      </c>
      <c r="K551" s="52"/>
      <c r="L551" s="52"/>
      <c r="M551" s="52"/>
      <c r="N551" s="52" t="s">
        <v>70</v>
      </c>
      <c r="O551" s="52"/>
      <c r="P551" s="69" t="s">
        <v>23</v>
      </c>
      <c r="Q551" s="73" t="s">
        <v>2347</v>
      </c>
      <c r="R551" s="51" t="b">
        <v>1</v>
      </c>
      <c r="S551" s="52" t="s">
        <v>2353</v>
      </c>
      <c r="T551" s="52"/>
      <c r="U551" s="51" t="b">
        <v>0</v>
      </c>
      <c r="V551" s="51" t="b">
        <v>1</v>
      </c>
      <c r="W551" s="51" t="b">
        <v>1</v>
      </c>
      <c r="X551" s="51" t="b">
        <v>1</v>
      </c>
      <c r="Y551" s="51" t="b">
        <v>0</v>
      </c>
      <c r="Z551" s="51" t="b">
        <v>0</v>
      </c>
      <c r="AA551" s="108">
        <v>0.002037037037037037</v>
      </c>
      <c r="AB551" s="134" t="s">
        <v>2355</v>
      </c>
      <c r="AC551" s="75"/>
      <c r="AD551" s="76" t="s">
        <v>2356</v>
      </c>
      <c r="AE551" s="74" t="s">
        <v>743</v>
      </c>
      <c r="AF551" s="74" t="s">
        <v>630</v>
      </c>
    </row>
    <row r="552">
      <c r="A552" s="52" t="s">
        <v>2357</v>
      </c>
      <c r="B552" s="52" t="s">
        <v>785</v>
      </c>
      <c r="C552" s="52" t="s">
        <v>221</v>
      </c>
      <c r="D552" s="65">
        <v>0.5005092592592596</v>
      </c>
      <c r="E552" s="65">
        <v>2.4305555555555555E-4</v>
      </c>
      <c r="F552" s="65">
        <v>0.5007523148148152</v>
      </c>
      <c r="G552" s="65" t="s">
        <v>195</v>
      </c>
      <c r="H552" s="52" t="s">
        <v>85</v>
      </c>
      <c r="I552" s="52" t="s">
        <v>1807</v>
      </c>
      <c r="J552" s="52"/>
      <c r="K552" s="52"/>
      <c r="L552" s="52"/>
      <c r="M552" s="52"/>
      <c r="N552" s="52" t="s">
        <v>70</v>
      </c>
      <c r="O552" s="52"/>
      <c r="P552" s="52"/>
      <c r="Q552" s="52"/>
      <c r="R552" s="51" t="b">
        <v>0</v>
      </c>
      <c r="S552" s="51"/>
      <c r="T552" s="52"/>
      <c r="U552" s="51" t="b">
        <v>0</v>
      </c>
      <c r="V552" s="51" t="b">
        <v>0</v>
      </c>
      <c r="W552" s="51" t="b">
        <v>0</v>
      </c>
      <c r="X552" s="51" t="b">
        <v>0</v>
      </c>
      <c r="Y552" s="51" t="b">
        <v>0</v>
      </c>
      <c r="Z552" s="51" t="b">
        <v>0</v>
      </c>
      <c r="AA552" s="68"/>
      <c r="AB552" s="52"/>
      <c r="AC552" s="52"/>
      <c r="AD552" s="52"/>
      <c r="AE552" s="56"/>
      <c r="AF552" s="56" t="s">
        <v>1944</v>
      </c>
    </row>
    <row r="553">
      <c r="A553" s="52" t="s">
        <v>2360</v>
      </c>
      <c r="B553" s="52" t="s">
        <v>607</v>
      </c>
      <c r="C553" s="52" t="s">
        <v>607</v>
      </c>
      <c r="D553" s="65" t="s">
        <v>607</v>
      </c>
      <c r="E553" s="65" t="s">
        <v>607</v>
      </c>
      <c r="F553" s="65" t="s">
        <v>607</v>
      </c>
      <c r="G553" s="65" t="s">
        <v>607</v>
      </c>
      <c r="H553" s="52" t="s">
        <v>607</v>
      </c>
      <c r="I553" s="52" t="s">
        <v>607</v>
      </c>
      <c r="J553" s="52" t="s">
        <v>607</v>
      </c>
      <c r="K553" s="52" t="s">
        <v>607</v>
      </c>
      <c r="L553" s="52" t="s">
        <v>607</v>
      </c>
      <c r="M553" s="52" t="s">
        <v>607</v>
      </c>
      <c r="N553" s="52" t="s">
        <v>607</v>
      </c>
      <c r="O553" s="52"/>
      <c r="P553" s="52"/>
      <c r="Q553" s="52"/>
      <c r="R553" s="51" t="b">
        <v>0</v>
      </c>
      <c r="S553" s="51"/>
      <c r="T553" s="52"/>
      <c r="U553" s="51" t="b">
        <v>0</v>
      </c>
      <c r="V553" s="51" t="b">
        <v>0</v>
      </c>
      <c r="W553" s="51" t="b">
        <v>0</v>
      </c>
      <c r="X553" s="51" t="b">
        <v>0</v>
      </c>
      <c r="Y553" s="51" t="b">
        <v>0</v>
      </c>
      <c r="Z553" s="51" t="b">
        <v>0</v>
      </c>
      <c r="AA553" s="68"/>
      <c r="AB553" s="52"/>
      <c r="AC553" s="52"/>
      <c r="AD553" s="52"/>
      <c r="AE553" s="56" t="s">
        <v>607</v>
      </c>
      <c r="AF553" s="56" t="s">
        <v>607</v>
      </c>
    </row>
    <row r="554">
      <c r="A554" s="52" t="s">
        <v>2363</v>
      </c>
      <c r="B554" s="52" t="s">
        <v>16</v>
      </c>
      <c r="C554" s="52" t="s">
        <v>221</v>
      </c>
      <c r="D554" s="65"/>
      <c r="E554" s="65"/>
      <c r="F554" s="65"/>
      <c r="G554" s="65"/>
      <c r="H554" s="52"/>
      <c r="I554" s="52"/>
      <c r="J554" s="52"/>
      <c r="K554" s="52"/>
      <c r="L554" s="52"/>
      <c r="M554" s="52"/>
      <c r="N554" s="52" t="s">
        <v>70</v>
      </c>
      <c r="O554" s="52"/>
      <c r="P554" s="52"/>
      <c r="Q554" s="52"/>
      <c r="R554" s="51" t="b">
        <v>0</v>
      </c>
      <c r="S554" s="51"/>
      <c r="T554" s="52"/>
      <c r="U554" s="51" t="b">
        <v>0</v>
      </c>
      <c r="V554" s="51" t="b">
        <v>0</v>
      </c>
      <c r="W554" s="51" t="b">
        <v>0</v>
      </c>
      <c r="X554" s="51" t="b">
        <v>0</v>
      </c>
      <c r="Y554" s="51" t="b">
        <v>0</v>
      </c>
      <c r="Z554" s="51" t="b">
        <v>0</v>
      </c>
      <c r="AA554" s="68"/>
      <c r="AB554" s="52"/>
      <c r="AC554" s="52"/>
      <c r="AD554" s="52"/>
      <c r="AE554" s="56"/>
      <c r="AF554" s="56"/>
    </row>
    <row r="555">
      <c r="A555" s="52" t="s">
        <v>2370</v>
      </c>
      <c r="B555" s="52" t="s">
        <v>16</v>
      </c>
      <c r="C555" s="52" t="s">
        <v>221</v>
      </c>
      <c r="D555" s="65">
        <v>0.5263541666666671</v>
      </c>
      <c r="E555" s="65">
        <v>3.4722222222222224E-4</v>
      </c>
      <c r="F555" s="65">
        <v>0.5267013888888894</v>
      </c>
      <c r="G555" s="65" t="s">
        <v>658</v>
      </c>
      <c r="H555" s="52" t="s">
        <v>81</v>
      </c>
      <c r="I555" s="52" t="s">
        <v>81</v>
      </c>
      <c r="J555" s="52"/>
      <c r="K555" s="52"/>
      <c r="L555" s="52"/>
      <c r="M555" s="52"/>
      <c r="N555" s="52" t="s">
        <v>70</v>
      </c>
      <c r="O555" s="52"/>
      <c r="P555" s="69"/>
      <c r="Q555" s="52"/>
      <c r="R555" s="51" t="b">
        <v>0</v>
      </c>
      <c r="S555" s="51"/>
      <c r="T555" s="52"/>
      <c r="U555" s="51" t="b">
        <v>0</v>
      </c>
      <c r="V555" s="51" t="b">
        <v>0</v>
      </c>
      <c r="W555" s="51" t="b">
        <v>0</v>
      </c>
      <c r="X555" s="51" t="b">
        <v>0</v>
      </c>
      <c r="Y555" s="51" t="b">
        <v>0</v>
      </c>
      <c r="Z555" s="51" t="b">
        <v>0</v>
      </c>
      <c r="AA555" s="68"/>
      <c r="AB555" s="52"/>
      <c r="AC555" s="52"/>
      <c r="AD555" s="52"/>
      <c r="AE555" s="56"/>
      <c r="AF555" s="56" t="s">
        <v>1944</v>
      </c>
    </row>
    <row r="556">
      <c r="A556" s="52" t="s">
        <v>2373</v>
      </c>
      <c r="B556" s="52" t="s">
        <v>16</v>
      </c>
      <c r="C556" s="52" t="s">
        <v>221</v>
      </c>
      <c r="D556" s="65">
        <v>0.5267013888888894</v>
      </c>
      <c r="E556" s="65">
        <v>0.011122685185185185</v>
      </c>
      <c r="F556" s="65">
        <v>0.5378240740740746</v>
      </c>
      <c r="G556" s="65" t="s">
        <v>658</v>
      </c>
      <c r="H556" s="52" t="s">
        <v>74</v>
      </c>
      <c r="I556" s="52" t="s">
        <v>669</v>
      </c>
      <c r="J556" s="52" t="s">
        <v>670</v>
      </c>
      <c r="K556" s="52" t="s">
        <v>671</v>
      </c>
      <c r="L556" s="52" t="s">
        <v>672</v>
      </c>
      <c r="M556" s="52"/>
      <c r="N556" s="52" t="s">
        <v>673</v>
      </c>
      <c r="O556" s="69" t="s">
        <v>791</v>
      </c>
      <c r="P556" s="69" t="s">
        <v>25</v>
      </c>
      <c r="Q556" s="73" t="s">
        <v>2374</v>
      </c>
      <c r="R556" s="51" t="b">
        <v>1</v>
      </c>
      <c r="S556" s="52" t="s">
        <v>669</v>
      </c>
      <c r="T556" s="52"/>
      <c r="U556" s="51" t="b">
        <v>0</v>
      </c>
      <c r="V556" s="51" t="b">
        <v>1</v>
      </c>
      <c r="W556" s="51" t="b">
        <v>1</v>
      </c>
      <c r="X556" s="51" t="b">
        <v>1</v>
      </c>
      <c r="Y556" s="51" t="b">
        <v>0</v>
      </c>
      <c r="Z556" s="51" t="b">
        <v>0</v>
      </c>
      <c r="AA556" s="71">
        <v>0.011122685185185185</v>
      </c>
      <c r="AB556" s="52"/>
      <c r="AC556" s="72"/>
      <c r="AD556" s="111" t="s">
        <v>2377</v>
      </c>
      <c r="AE556" s="56" t="s">
        <v>629</v>
      </c>
      <c r="AF556" s="56" t="s">
        <v>1631</v>
      </c>
    </row>
    <row r="557">
      <c r="A557" s="52" t="s">
        <v>2378</v>
      </c>
      <c r="B557" s="52" t="s">
        <v>607</v>
      </c>
      <c r="C557" s="52" t="s">
        <v>607</v>
      </c>
      <c r="D557" s="65" t="s">
        <v>607</v>
      </c>
      <c r="E557" s="65" t="s">
        <v>607</v>
      </c>
      <c r="F557" s="65" t="s">
        <v>607</v>
      </c>
      <c r="G557" s="65" t="s">
        <v>607</v>
      </c>
      <c r="H557" s="52" t="s">
        <v>607</v>
      </c>
      <c r="I557" s="52" t="s">
        <v>607</v>
      </c>
      <c r="J557" s="52" t="s">
        <v>607</v>
      </c>
      <c r="K557" s="52" t="s">
        <v>607</v>
      </c>
      <c r="L557" s="52" t="s">
        <v>607</v>
      </c>
      <c r="M557" s="52" t="s">
        <v>607</v>
      </c>
      <c r="N557" s="52" t="s">
        <v>607</v>
      </c>
      <c r="O557" s="52"/>
      <c r="P557" s="52"/>
      <c r="Q557" s="52"/>
      <c r="R557" s="51" t="b">
        <v>0</v>
      </c>
      <c r="S557" s="51"/>
      <c r="T557" s="52"/>
      <c r="U557" s="51" t="b">
        <v>0</v>
      </c>
      <c r="V557" s="51" t="b">
        <v>0</v>
      </c>
      <c r="W557" s="51" t="b">
        <v>0</v>
      </c>
      <c r="X557" s="51" t="b">
        <v>0</v>
      </c>
      <c r="Y557" s="51" t="b">
        <v>0</v>
      </c>
      <c r="Z557" s="51" t="b">
        <v>0</v>
      </c>
      <c r="AA557" s="68"/>
      <c r="AB557" s="52"/>
      <c r="AC557" s="52"/>
      <c r="AD557" s="52"/>
      <c r="AE557" s="56" t="s">
        <v>607</v>
      </c>
      <c r="AF557" s="56" t="s">
        <v>607</v>
      </c>
    </row>
    <row r="558">
      <c r="A558" s="52" t="s">
        <v>2384</v>
      </c>
      <c r="B558" s="52" t="s">
        <v>607</v>
      </c>
      <c r="C558" s="52" t="s">
        <v>607</v>
      </c>
      <c r="D558" s="65" t="s">
        <v>607</v>
      </c>
      <c r="E558" s="65" t="s">
        <v>607</v>
      </c>
      <c r="F558" s="65" t="s">
        <v>607</v>
      </c>
      <c r="G558" s="65" t="s">
        <v>607</v>
      </c>
      <c r="H558" s="52" t="s">
        <v>607</v>
      </c>
      <c r="I558" s="52" t="s">
        <v>607</v>
      </c>
      <c r="J558" s="52" t="s">
        <v>607</v>
      </c>
      <c r="K558" s="52" t="s">
        <v>607</v>
      </c>
      <c r="L558" s="52" t="s">
        <v>607</v>
      </c>
      <c r="M558" s="52" t="s">
        <v>607</v>
      </c>
      <c r="N558" s="52" t="s">
        <v>607</v>
      </c>
      <c r="O558" s="52"/>
      <c r="P558" s="52"/>
      <c r="Q558" s="52"/>
      <c r="R558" s="51" t="b">
        <v>0</v>
      </c>
      <c r="S558" s="51"/>
      <c r="T558" s="52"/>
      <c r="U558" s="51" t="b">
        <v>0</v>
      </c>
      <c r="V558" s="51" t="b">
        <v>0</v>
      </c>
      <c r="W558" s="51" t="b">
        <v>0</v>
      </c>
      <c r="X558" s="51" t="b">
        <v>0</v>
      </c>
      <c r="Y558" s="51" t="b">
        <v>0</v>
      </c>
      <c r="Z558" s="51" t="b">
        <v>0</v>
      </c>
      <c r="AA558" s="68"/>
      <c r="AB558" s="52"/>
      <c r="AC558" s="52"/>
      <c r="AD558" s="52"/>
      <c r="AE558" s="56" t="s">
        <v>607</v>
      </c>
      <c r="AF558" s="56" t="s">
        <v>607</v>
      </c>
    </row>
    <row r="559">
      <c r="A559" s="52" t="s">
        <v>2387</v>
      </c>
      <c r="B559" s="52" t="s">
        <v>16</v>
      </c>
      <c r="C559" s="52" t="s">
        <v>221</v>
      </c>
      <c r="D559" s="65">
        <v>0.511666666666667</v>
      </c>
      <c r="E559" s="65">
        <v>3.4722222222222224E-4</v>
      </c>
      <c r="F559" s="65">
        <v>0.5120138888888893</v>
      </c>
      <c r="G559" s="65" t="s">
        <v>658</v>
      </c>
      <c r="H559" s="52" t="s">
        <v>81</v>
      </c>
      <c r="I559" s="52" t="s">
        <v>81</v>
      </c>
      <c r="J559" s="52"/>
      <c r="K559" s="52"/>
      <c r="L559" s="52"/>
      <c r="M559" s="52"/>
      <c r="N559" s="52" t="s">
        <v>70</v>
      </c>
      <c r="O559" s="52"/>
      <c r="P559" s="52"/>
      <c r="Q559" s="52"/>
      <c r="R559" s="51" t="b">
        <v>0</v>
      </c>
      <c r="S559" s="51"/>
      <c r="T559" s="52"/>
      <c r="U559" s="51" t="b">
        <v>0</v>
      </c>
      <c r="V559" s="51" t="b">
        <v>0</v>
      </c>
      <c r="W559" s="51" t="b">
        <v>0</v>
      </c>
      <c r="X559" s="51" t="b">
        <v>0</v>
      </c>
      <c r="Y559" s="51" t="b">
        <v>0</v>
      </c>
      <c r="Z559" s="51" t="b">
        <v>0</v>
      </c>
      <c r="AA559" s="68"/>
      <c r="AB559" s="52"/>
      <c r="AC559" s="52"/>
      <c r="AD559" s="52"/>
      <c r="AE559" s="56"/>
      <c r="AF559" s="56" t="s">
        <v>1944</v>
      </c>
    </row>
    <row r="560">
      <c r="A560" s="52" t="s">
        <v>2391</v>
      </c>
      <c r="B560" s="52" t="s">
        <v>16</v>
      </c>
      <c r="C560" s="52" t="s">
        <v>221</v>
      </c>
      <c r="D560" s="65">
        <v>0.5120138888888893</v>
      </c>
      <c r="E560" s="65">
        <v>0.014131944444444445</v>
      </c>
      <c r="F560" s="65">
        <v>0.5261458333333338</v>
      </c>
      <c r="G560" s="65" t="s">
        <v>658</v>
      </c>
      <c r="H560" s="52" t="s">
        <v>94</v>
      </c>
      <c r="I560" s="52" t="s">
        <v>664</v>
      </c>
      <c r="J560" s="52" t="s">
        <v>665</v>
      </c>
      <c r="K560" s="52"/>
      <c r="L560" s="52"/>
      <c r="M560" s="52"/>
      <c r="N560" s="52" t="s">
        <v>662</v>
      </c>
      <c r="O560" s="69" t="s">
        <v>618</v>
      </c>
      <c r="P560" s="69" t="s">
        <v>30</v>
      </c>
      <c r="Q560" s="80" t="s">
        <v>1303</v>
      </c>
      <c r="R560" s="51" t="b">
        <v>1</v>
      </c>
      <c r="S560" s="52" t="s">
        <v>664</v>
      </c>
      <c r="T560" s="52"/>
      <c r="U560" s="51" t="b">
        <v>0</v>
      </c>
      <c r="V560" s="51" t="b">
        <v>1</v>
      </c>
      <c r="W560" s="51" t="b">
        <v>1</v>
      </c>
      <c r="X560" s="51" t="b">
        <v>0</v>
      </c>
      <c r="Y560" s="51" t="b">
        <v>0</v>
      </c>
      <c r="Z560" s="51" t="b">
        <v>0</v>
      </c>
      <c r="AA560" s="71">
        <v>0.014131944444444445</v>
      </c>
      <c r="AB560" s="52"/>
      <c r="AC560" s="52"/>
      <c r="AD560" s="73" t="s">
        <v>2398</v>
      </c>
      <c r="AE560" s="56" t="s">
        <v>629</v>
      </c>
      <c r="AF560" s="56" t="s">
        <v>726</v>
      </c>
    </row>
    <row r="561">
      <c r="A561" s="52" t="s">
        <v>2399</v>
      </c>
      <c r="B561" s="52" t="s">
        <v>607</v>
      </c>
      <c r="C561" s="52" t="s">
        <v>607</v>
      </c>
      <c r="D561" s="65" t="s">
        <v>607</v>
      </c>
      <c r="E561" s="65" t="s">
        <v>607</v>
      </c>
      <c r="F561" s="65" t="s">
        <v>607</v>
      </c>
      <c r="G561" s="65" t="s">
        <v>607</v>
      </c>
      <c r="H561" s="52" t="s">
        <v>607</v>
      </c>
      <c r="I561" s="52" t="s">
        <v>607</v>
      </c>
      <c r="J561" s="52" t="s">
        <v>607</v>
      </c>
      <c r="K561" s="52" t="s">
        <v>607</v>
      </c>
      <c r="L561" s="52" t="s">
        <v>607</v>
      </c>
      <c r="M561" s="52" t="s">
        <v>607</v>
      </c>
      <c r="N561" s="52" t="s">
        <v>607</v>
      </c>
      <c r="O561" s="52"/>
      <c r="P561" s="52"/>
      <c r="Q561" s="52"/>
      <c r="R561" s="51" t="b">
        <v>0</v>
      </c>
      <c r="S561" s="51"/>
      <c r="T561" s="52"/>
      <c r="U561" s="51" t="b">
        <v>0</v>
      </c>
      <c r="V561" s="51" t="b">
        <v>0</v>
      </c>
      <c r="W561" s="51" t="b">
        <v>0</v>
      </c>
      <c r="X561" s="51" t="b">
        <v>0</v>
      </c>
      <c r="Y561" s="51" t="b">
        <v>0</v>
      </c>
      <c r="Z561" s="51" t="b">
        <v>0</v>
      </c>
      <c r="AA561" s="68"/>
      <c r="AB561" s="52"/>
      <c r="AC561" s="52"/>
      <c r="AD561" s="52"/>
      <c r="AE561" s="56" t="s">
        <v>607</v>
      </c>
      <c r="AF561" s="56" t="s">
        <v>607</v>
      </c>
    </row>
    <row r="562">
      <c r="A562" s="52" t="s">
        <v>2402</v>
      </c>
      <c r="B562" s="52" t="s">
        <v>16</v>
      </c>
      <c r="C562" s="52" t="s">
        <v>221</v>
      </c>
      <c r="D562" s="65">
        <v>0.5261458333333338</v>
      </c>
      <c r="E562" s="65">
        <v>2.0833333333333335E-4</v>
      </c>
      <c r="F562" s="65">
        <v>0.5263541666666671</v>
      </c>
      <c r="G562" s="65" t="s">
        <v>658</v>
      </c>
      <c r="H562" s="52" t="s">
        <v>506</v>
      </c>
      <c r="I562" s="52" t="s">
        <v>667</v>
      </c>
      <c r="J562" s="52"/>
      <c r="K562" s="52"/>
      <c r="L562" s="52"/>
      <c r="M562" s="52"/>
      <c r="N562" s="52" t="s">
        <v>70</v>
      </c>
      <c r="O562" s="69" t="s">
        <v>506</v>
      </c>
      <c r="P562" s="69" t="s">
        <v>30</v>
      </c>
      <c r="Q562" s="80" t="s">
        <v>2404</v>
      </c>
      <c r="R562" s="51" t="b">
        <v>1</v>
      </c>
      <c r="S562" s="110" t="s">
        <v>667</v>
      </c>
      <c r="T562" s="52"/>
      <c r="U562" s="51" t="b">
        <v>0</v>
      </c>
      <c r="V562" s="51" t="b">
        <v>1</v>
      </c>
      <c r="W562" s="51" t="b">
        <v>1</v>
      </c>
      <c r="X562" s="51" t="b">
        <v>0</v>
      </c>
      <c r="Y562" s="51" t="b">
        <v>0</v>
      </c>
      <c r="Z562" s="51" t="b">
        <v>0</v>
      </c>
      <c r="AA562" s="71">
        <v>2.314814814814815E-4</v>
      </c>
      <c r="AB562" s="52"/>
      <c r="AC562" s="52"/>
      <c r="AD562" s="73" t="s">
        <v>2406</v>
      </c>
      <c r="AE562" s="56"/>
      <c r="AF562" s="56" t="s">
        <v>1215</v>
      </c>
    </row>
    <row r="563">
      <c r="A563" s="52" t="s">
        <v>2413</v>
      </c>
      <c r="B563" s="52" t="s">
        <v>16</v>
      </c>
      <c r="C563" s="52" t="s">
        <v>221</v>
      </c>
      <c r="D563" s="65">
        <v>0.5005555555555559</v>
      </c>
      <c r="E563" s="65">
        <v>3.4722222222222224E-4</v>
      </c>
      <c r="F563" s="65">
        <v>0.5009027777777781</v>
      </c>
      <c r="G563" s="65" t="s">
        <v>658</v>
      </c>
      <c r="H563" s="52" t="s">
        <v>81</v>
      </c>
      <c r="I563" s="52" t="s">
        <v>81</v>
      </c>
      <c r="J563" s="52"/>
      <c r="K563" s="52"/>
      <c r="L563" s="52"/>
      <c r="M563" s="52"/>
      <c r="N563" s="52"/>
      <c r="O563" s="52"/>
      <c r="P563" s="52"/>
      <c r="Q563" s="52"/>
      <c r="R563" s="51" t="b">
        <v>0</v>
      </c>
      <c r="S563" s="51"/>
      <c r="T563" s="52"/>
      <c r="U563" s="51" t="b">
        <v>0</v>
      </c>
      <c r="V563" s="51" t="b">
        <v>0</v>
      </c>
      <c r="W563" s="51" t="b">
        <v>0</v>
      </c>
      <c r="X563" s="51" t="b">
        <v>0</v>
      </c>
      <c r="Y563" s="51" t="b">
        <v>0</v>
      </c>
      <c r="Z563" s="51" t="b">
        <v>0</v>
      </c>
      <c r="AA563" s="68"/>
      <c r="AB563" s="52"/>
      <c r="AC563" s="52"/>
      <c r="AD563" s="52"/>
      <c r="AE563" s="56"/>
      <c r="AF563" s="56" t="s">
        <v>1944</v>
      </c>
    </row>
    <row r="564">
      <c r="A564" s="52" t="s">
        <v>2416</v>
      </c>
      <c r="B564" s="52" t="s">
        <v>16</v>
      </c>
      <c r="C564" s="52" t="s">
        <v>221</v>
      </c>
      <c r="D564" s="65">
        <v>0.5009027777777781</v>
      </c>
      <c r="E564" s="65">
        <v>0.010763888888888889</v>
      </c>
      <c r="F564" s="65">
        <v>0.511666666666667</v>
      </c>
      <c r="G564" s="65" t="s">
        <v>658</v>
      </c>
      <c r="H564" s="52" t="s">
        <v>94</v>
      </c>
      <c r="I564" s="52" t="s">
        <v>660</v>
      </c>
      <c r="J564" s="52" t="s">
        <v>661</v>
      </c>
      <c r="K564" s="52"/>
      <c r="L564" s="52"/>
      <c r="M564" s="52"/>
      <c r="N564" s="52" t="s">
        <v>662</v>
      </c>
      <c r="O564" s="69" t="s">
        <v>618</v>
      </c>
      <c r="P564" s="69" t="s">
        <v>17</v>
      </c>
      <c r="Q564" s="80" t="s">
        <v>2417</v>
      </c>
      <c r="R564" s="51" t="b">
        <v>1</v>
      </c>
      <c r="S564" s="52" t="s">
        <v>660</v>
      </c>
      <c r="T564" s="52"/>
      <c r="U564" s="51" t="b">
        <v>0</v>
      </c>
      <c r="V564" s="51" t="b">
        <v>1</v>
      </c>
      <c r="W564" s="51" t="b">
        <v>1</v>
      </c>
      <c r="X564" s="51" t="b">
        <v>0</v>
      </c>
      <c r="Y564" s="51" t="b">
        <v>0</v>
      </c>
      <c r="Z564" s="51" t="b">
        <v>0</v>
      </c>
      <c r="AA564" s="71">
        <v>0.010763888888888889</v>
      </c>
      <c r="AB564" s="69"/>
      <c r="AC564" s="52"/>
      <c r="AD564" s="73" t="s">
        <v>2418</v>
      </c>
      <c r="AE564" s="56" t="s">
        <v>629</v>
      </c>
      <c r="AF564" s="56" t="s">
        <v>1185</v>
      </c>
    </row>
    <row r="565">
      <c r="A565" s="52" t="s">
        <v>2422</v>
      </c>
      <c r="B565" s="52" t="s">
        <v>607</v>
      </c>
      <c r="C565" s="52" t="s">
        <v>607</v>
      </c>
      <c r="D565" s="65" t="s">
        <v>607</v>
      </c>
      <c r="E565" s="65" t="s">
        <v>607</v>
      </c>
      <c r="F565" s="65" t="s">
        <v>607</v>
      </c>
      <c r="G565" s="65" t="s">
        <v>607</v>
      </c>
      <c r="H565" s="52" t="s">
        <v>607</v>
      </c>
      <c r="I565" s="52" t="s">
        <v>607</v>
      </c>
      <c r="J565" s="52" t="s">
        <v>607</v>
      </c>
      <c r="K565" s="52" t="s">
        <v>607</v>
      </c>
      <c r="L565" s="52" t="s">
        <v>607</v>
      </c>
      <c r="M565" s="52" t="s">
        <v>607</v>
      </c>
      <c r="N565" s="52" t="s">
        <v>607</v>
      </c>
      <c r="O565" s="52"/>
      <c r="P565" s="69"/>
      <c r="Q565" s="52"/>
      <c r="R565" s="51" t="b">
        <v>0</v>
      </c>
      <c r="S565" s="51"/>
      <c r="T565" s="52"/>
      <c r="U565" s="51" t="b">
        <v>0</v>
      </c>
      <c r="V565" s="51" t="b">
        <v>0</v>
      </c>
      <c r="W565" s="51" t="b">
        <v>0</v>
      </c>
      <c r="X565" s="51" t="b">
        <v>0</v>
      </c>
      <c r="Y565" s="51" t="b">
        <v>0</v>
      </c>
      <c r="Z565" s="51" t="b">
        <v>0</v>
      </c>
      <c r="AA565" s="68"/>
      <c r="AB565" s="52"/>
      <c r="AC565" s="52"/>
      <c r="AD565" s="52"/>
      <c r="AE565" s="56" t="s">
        <v>607</v>
      </c>
      <c r="AF565" s="56" t="s">
        <v>607</v>
      </c>
    </row>
    <row r="566">
      <c r="A566" s="52" t="s">
        <v>2423</v>
      </c>
      <c r="B566" s="52" t="s">
        <v>16</v>
      </c>
      <c r="C566" s="52" t="s">
        <v>221</v>
      </c>
      <c r="D566" s="65">
        <v>0.47846064814814837</v>
      </c>
      <c r="E566" s="65">
        <v>1.7361111111111112E-4</v>
      </c>
      <c r="F566" s="65">
        <v>0.4786342592592595</v>
      </c>
      <c r="G566" s="65" t="s">
        <v>195</v>
      </c>
      <c r="H566" s="52" t="s">
        <v>77</v>
      </c>
      <c r="I566" s="52" t="s">
        <v>638</v>
      </c>
      <c r="J566" s="52"/>
      <c r="K566" s="52"/>
      <c r="L566" s="52"/>
      <c r="M566" s="52"/>
      <c r="N566" s="52"/>
      <c r="O566" s="52"/>
      <c r="P566" s="52"/>
      <c r="Q566" s="52"/>
      <c r="R566" s="51" t="b">
        <v>0</v>
      </c>
      <c r="S566" s="51"/>
      <c r="T566" s="52"/>
      <c r="U566" s="51" t="b">
        <v>0</v>
      </c>
      <c r="V566" s="51" t="b">
        <v>0</v>
      </c>
      <c r="W566" s="51" t="b">
        <v>0</v>
      </c>
      <c r="X566" s="51" t="b">
        <v>0</v>
      </c>
      <c r="Y566" s="51" t="b">
        <v>0</v>
      </c>
      <c r="Z566" s="51" t="b">
        <v>0</v>
      </c>
      <c r="AA566" s="68"/>
      <c r="AB566" s="52"/>
      <c r="AC566" s="52"/>
      <c r="AD566" s="52"/>
      <c r="AE566" s="56"/>
      <c r="AF566" s="56" t="s">
        <v>2004</v>
      </c>
    </row>
    <row r="567">
      <c r="A567" s="52" t="s">
        <v>2424</v>
      </c>
      <c r="B567" s="52" t="s">
        <v>16</v>
      </c>
      <c r="C567" s="52" t="s">
        <v>221</v>
      </c>
      <c r="D567" s="65">
        <v>0.5378240740740746</v>
      </c>
      <c r="E567" s="65">
        <v>3.4722222222222224E-4</v>
      </c>
      <c r="F567" s="65">
        <v>0.5381712962962969</v>
      </c>
      <c r="G567" s="65" t="s">
        <v>658</v>
      </c>
      <c r="H567" s="52" t="s">
        <v>81</v>
      </c>
      <c r="I567" s="52" t="s">
        <v>81</v>
      </c>
      <c r="J567" s="52"/>
      <c r="K567" s="52"/>
      <c r="L567" s="52"/>
      <c r="M567" s="52"/>
      <c r="N567" s="52" t="s">
        <v>70</v>
      </c>
      <c r="O567" s="52"/>
      <c r="P567" s="52"/>
      <c r="Q567" s="52"/>
      <c r="R567" s="51" t="b">
        <v>0</v>
      </c>
      <c r="S567" s="51"/>
      <c r="T567" s="52"/>
      <c r="U567" s="51" t="b">
        <v>0</v>
      </c>
      <c r="V567" s="51" t="b">
        <v>0</v>
      </c>
      <c r="W567" s="51" t="b">
        <v>0</v>
      </c>
      <c r="X567" s="51" t="b">
        <v>0</v>
      </c>
      <c r="Y567" s="51" t="b">
        <v>0</v>
      </c>
      <c r="Z567" s="51" t="b">
        <v>0</v>
      </c>
      <c r="AA567" s="68"/>
      <c r="AB567" s="52"/>
      <c r="AC567" s="52"/>
      <c r="AD567" s="52"/>
      <c r="AE567" s="56"/>
      <c r="AF567" s="56" t="s">
        <v>1944</v>
      </c>
    </row>
    <row r="568">
      <c r="A568" s="52" t="s">
        <v>2429</v>
      </c>
      <c r="B568" s="52" t="s">
        <v>16</v>
      </c>
      <c r="C568" s="52" t="s">
        <v>221</v>
      </c>
      <c r="D568" s="65">
        <v>0.5381712962962969</v>
      </c>
      <c r="E568" s="65">
        <v>0.0020949074074074073</v>
      </c>
      <c r="F568" s="65">
        <v>0.5402662037037043</v>
      </c>
      <c r="G568" s="65" t="s">
        <v>658</v>
      </c>
      <c r="H568" s="52" t="s">
        <v>165</v>
      </c>
      <c r="I568" s="52" t="s">
        <v>675</v>
      </c>
      <c r="J568" s="52" t="s">
        <v>676</v>
      </c>
      <c r="K568" s="52"/>
      <c r="L568" s="52"/>
      <c r="M568" s="52"/>
      <c r="N568" s="52" t="s">
        <v>70</v>
      </c>
      <c r="O568" s="69" t="s">
        <v>884</v>
      </c>
      <c r="P568" s="69" t="s">
        <v>20</v>
      </c>
      <c r="Q568" s="70" t="s">
        <v>2434</v>
      </c>
      <c r="R568" s="51" t="b">
        <v>1</v>
      </c>
      <c r="S568" s="78" t="s">
        <v>675</v>
      </c>
      <c r="T568" s="52"/>
      <c r="U568" s="51" t="b">
        <v>0</v>
      </c>
      <c r="V568" s="51" t="b">
        <v>1</v>
      </c>
      <c r="W568" s="51" t="b">
        <v>1</v>
      </c>
      <c r="X568" s="51" t="b">
        <v>1</v>
      </c>
      <c r="Y568" s="51" t="b">
        <v>0</v>
      </c>
      <c r="Z568" s="51" t="b">
        <v>0</v>
      </c>
      <c r="AA568" s="71">
        <v>0.0020949074074074073</v>
      </c>
      <c r="AB568" s="69" t="s">
        <v>2436</v>
      </c>
      <c r="AC568" s="72"/>
      <c r="AD568" s="73" t="s">
        <v>2437</v>
      </c>
      <c r="AE568" s="56" t="s">
        <v>743</v>
      </c>
      <c r="AF568" s="56" t="s">
        <v>630</v>
      </c>
    </row>
    <row r="569">
      <c r="A569" s="52" t="s">
        <v>2438</v>
      </c>
      <c r="B569" s="52" t="s">
        <v>16</v>
      </c>
      <c r="C569" s="52" t="s">
        <v>221</v>
      </c>
      <c r="D569" s="65">
        <v>0.5402662037037043</v>
      </c>
      <c r="E569" s="65">
        <v>1.7361111111111112E-4</v>
      </c>
      <c r="F569" s="65">
        <v>0.5404398148148154</v>
      </c>
      <c r="G569" s="65" t="s">
        <v>658</v>
      </c>
      <c r="H569" s="52" t="s">
        <v>85</v>
      </c>
      <c r="I569" s="52" t="s">
        <v>85</v>
      </c>
      <c r="J569" s="52"/>
      <c r="K569" s="52"/>
      <c r="L569" s="52"/>
      <c r="M569" s="52"/>
      <c r="N569" s="52" t="s">
        <v>70</v>
      </c>
      <c r="O569" s="52"/>
      <c r="P569" s="52"/>
      <c r="Q569" s="52"/>
      <c r="R569" s="51" t="b">
        <v>0</v>
      </c>
      <c r="S569" s="51"/>
      <c r="T569" s="52"/>
      <c r="U569" s="51" t="b">
        <v>0</v>
      </c>
      <c r="V569" s="51" t="b">
        <v>0</v>
      </c>
      <c r="W569" s="51" t="b">
        <v>0</v>
      </c>
      <c r="X569" s="51" t="b">
        <v>0</v>
      </c>
      <c r="Y569" s="51" t="b">
        <v>0</v>
      </c>
      <c r="Z569" s="51" t="b">
        <v>0</v>
      </c>
      <c r="AA569" s="68"/>
      <c r="AB569" s="52"/>
      <c r="AC569" s="52"/>
      <c r="AD569" s="52"/>
      <c r="AE569" s="56"/>
      <c r="AF569" s="56" t="s">
        <v>1944</v>
      </c>
    </row>
    <row r="570">
      <c r="A570" s="52" t="s">
        <v>2439</v>
      </c>
      <c r="B570" s="52" t="s">
        <v>16</v>
      </c>
      <c r="C570" s="52" t="s">
        <v>221</v>
      </c>
      <c r="D570" s="65">
        <v>0.5404398148148154</v>
      </c>
      <c r="E570" s="65">
        <v>2.0833333333333335E-4</v>
      </c>
      <c r="F570" s="65">
        <v>0.5406481481481488</v>
      </c>
      <c r="G570" s="65" t="s">
        <v>658</v>
      </c>
      <c r="H570" s="52" t="s">
        <v>506</v>
      </c>
      <c r="I570" s="52" t="s">
        <v>679</v>
      </c>
      <c r="J570" s="52"/>
      <c r="K570" s="52"/>
      <c r="L570" s="52"/>
      <c r="M570" s="52"/>
      <c r="N570" s="52" t="s">
        <v>70</v>
      </c>
      <c r="O570" s="69" t="s">
        <v>506</v>
      </c>
      <c r="P570" s="69" t="s">
        <v>30</v>
      </c>
      <c r="Q570" s="80" t="s">
        <v>2440</v>
      </c>
      <c r="R570" s="51" t="b">
        <v>1</v>
      </c>
      <c r="S570" s="110" t="s">
        <v>679</v>
      </c>
      <c r="T570" s="52"/>
      <c r="U570" s="51" t="b">
        <v>0</v>
      </c>
      <c r="V570" s="51" t="b">
        <v>1</v>
      </c>
      <c r="W570" s="51" t="b">
        <v>1</v>
      </c>
      <c r="X570" s="51" t="b">
        <v>0</v>
      </c>
      <c r="Y570" s="51" t="b">
        <v>0</v>
      </c>
      <c r="Z570" s="51" t="b">
        <v>0</v>
      </c>
      <c r="AA570" s="71">
        <v>2.0833333333333335E-4</v>
      </c>
      <c r="AB570" s="52"/>
      <c r="AC570" s="52"/>
      <c r="AD570" s="73" t="s">
        <v>2442</v>
      </c>
      <c r="AE570" s="56"/>
      <c r="AF570" s="56" t="s">
        <v>1215</v>
      </c>
    </row>
    <row r="571">
      <c r="A571" s="52" t="s">
        <v>2444</v>
      </c>
      <c r="B571" s="52" t="s">
        <v>16</v>
      </c>
      <c r="C571" s="52" t="s">
        <v>221</v>
      </c>
      <c r="D571" s="65">
        <v>0.5406481481481488</v>
      </c>
      <c r="E571" s="65">
        <v>6.944444444444445E-4</v>
      </c>
      <c r="F571" s="65">
        <v>0.5413425925925932</v>
      </c>
      <c r="G571" s="65" t="s">
        <v>658</v>
      </c>
      <c r="H571" s="52" t="s">
        <v>103</v>
      </c>
      <c r="I571" s="52" t="s">
        <v>681</v>
      </c>
      <c r="J571" s="52"/>
      <c r="K571" s="52"/>
      <c r="L571" s="52"/>
      <c r="M571" s="52"/>
      <c r="N571" s="52" t="s">
        <v>70</v>
      </c>
      <c r="O571" s="52"/>
      <c r="P571" s="52"/>
      <c r="Q571" s="52"/>
      <c r="R571" s="51" t="b">
        <v>0</v>
      </c>
      <c r="S571" s="51"/>
      <c r="T571" s="52"/>
      <c r="U571" s="51" t="b">
        <v>0</v>
      </c>
      <c r="V571" s="51" t="b">
        <v>0</v>
      </c>
      <c r="W571" s="51" t="b">
        <v>0</v>
      </c>
      <c r="X571" s="51" t="b">
        <v>0</v>
      </c>
      <c r="Y571" s="51" t="b">
        <v>0</v>
      </c>
      <c r="Z571" s="51" t="b">
        <v>0</v>
      </c>
      <c r="AA571" s="68"/>
      <c r="AB571" s="52"/>
      <c r="AC571" s="52"/>
      <c r="AD571" s="52"/>
      <c r="AE571" s="56"/>
      <c r="AF571" s="56" t="s">
        <v>1944</v>
      </c>
    </row>
    <row r="572">
      <c r="A572" s="52" t="s">
        <v>2447</v>
      </c>
      <c r="B572" s="52" t="s">
        <v>16</v>
      </c>
      <c r="C572" s="52" t="s">
        <v>221</v>
      </c>
      <c r="D572" s="65">
        <v>0.5413425925925932</v>
      </c>
      <c r="E572" s="65">
        <v>1.7361111111111112E-4</v>
      </c>
      <c r="F572" s="65">
        <v>0.5415162037037043</v>
      </c>
      <c r="G572" s="65" t="s">
        <v>658</v>
      </c>
      <c r="H572" s="52" t="s">
        <v>77</v>
      </c>
      <c r="I572" s="52" t="s">
        <v>682</v>
      </c>
      <c r="J572" s="52"/>
      <c r="K572" s="52"/>
      <c r="L572" s="52"/>
      <c r="M572" s="52"/>
      <c r="N572" s="52" t="s">
        <v>70</v>
      </c>
      <c r="O572" s="52"/>
      <c r="P572" s="52"/>
      <c r="Q572" s="52"/>
      <c r="R572" s="51" t="b">
        <v>0</v>
      </c>
      <c r="S572" s="51"/>
      <c r="T572" s="52"/>
      <c r="U572" s="51" t="b">
        <v>0</v>
      </c>
      <c r="V572" s="51" t="b">
        <v>0</v>
      </c>
      <c r="W572" s="51" t="b">
        <v>0</v>
      </c>
      <c r="X572" s="51" t="b">
        <v>0</v>
      </c>
      <c r="Y572" s="51" t="b">
        <v>0</v>
      </c>
      <c r="Z572" s="51" t="b">
        <v>0</v>
      </c>
      <c r="AA572" s="68"/>
      <c r="AB572" s="52"/>
      <c r="AC572" s="52"/>
      <c r="AD572" s="52"/>
      <c r="AE572" s="56"/>
      <c r="AF572" s="56" t="s">
        <v>2004</v>
      </c>
    </row>
    <row r="573">
      <c r="A573" s="52" t="s">
        <v>2448</v>
      </c>
      <c r="B573" s="52" t="s">
        <v>16</v>
      </c>
      <c r="C573" s="52" t="s">
        <v>221</v>
      </c>
      <c r="D573" s="65"/>
      <c r="E573" s="65"/>
      <c r="F573" s="65"/>
      <c r="G573" s="65"/>
      <c r="H573" s="52"/>
      <c r="I573" s="52"/>
      <c r="J573" s="52"/>
      <c r="K573" s="52"/>
      <c r="L573" s="52"/>
      <c r="M573" s="52"/>
      <c r="N573" s="52" t="s">
        <v>70</v>
      </c>
      <c r="O573" s="52"/>
      <c r="P573" s="69"/>
      <c r="Q573" s="52"/>
      <c r="R573" s="51" t="b">
        <v>0</v>
      </c>
      <c r="S573" s="51"/>
      <c r="T573" s="52"/>
      <c r="U573" s="51" t="b">
        <v>0</v>
      </c>
      <c r="V573" s="51" t="b">
        <v>0</v>
      </c>
      <c r="W573" s="51" t="b">
        <v>0</v>
      </c>
      <c r="X573" s="51" t="b">
        <v>0</v>
      </c>
      <c r="Y573" s="51" t="b">
        <v>0</v>
      </c>
      <c r="Z573" s="51" t="b">
        <v>0</v>
      </c>
      <c r="AA573" s="68"/>
      <c r="AB573" s="52"/>
      <c r="AC573" s="52"/>
      <c r="AD573" s="52"/>
      <c r="AE573" s="56"/>
      <c r="AF573" s="56"/>
    </row>
    <row r="574">
      <c r="A574" s="52" t="s">
        <v>2450</v>
      </c>
      <c r="B574" s="52" t="s">
        <v>16</v>
      </c>
      <c r="C574" s="52" t="s">
        <v>221</v>
      </c>
      <c r="D574" s="65">
        <v>0.5415162037037043</v>
      </c>
      <c r="E574" s="65">
        <v>1.7361111111111112E-4</v>
      </c>
      <c r="F574" s="65">
        <v>0.5416898148148155</v>
      </c>
      <c r="G574" s="65" t="s">
        <v>140</v>
      </c>
      <c r="H574" s="52" t="s">
        <v>77</v>
      </c>
      <c r="I574" s="52" t="s">
        <v>684</v>
      </c>
      <c r="J574" s="52"/>
      <c r="K574" s="52"/>
      <c r="L574" s="52"/>
      <c r="M574" s="52"/>
      <c r="N574" s="52" t="s">
        <v>70</v>
      </c>
      <c r="O574" s="52"/>
      <c r="P574" s="52"/>
      <c r="Q574" s="52"/>
      <c r="R574" s="51" t="b">
        <v>0</v>
      </c>
      <c r="S574" s="51"/>
      <c r="T574" s="52"/>
      <c r="U574" s="51" t="b">
        <v>0</v>
      </c>
      <c r="V574" s="51" t="b">
        <v>0</v>
      </c>
      <c r="W574" s="51" t="b">
        <v>0</v>
      </c>
      <c r="X574" s="51" t="b">
        <v>0</v>
      </c>
      <c r="Y574" s="51" t="b">
        <v>0</v>
      </c>
      <c r="Z574" s="51" t="b">
        <v>0</v>
      </c>
      <c r="AA574" s="68"/>
      <c r="AB574" s="52"/>
      <c r="AC574" s="52"/>
      <c r="AD574" s="52"/>
      <c r="AE574" s="56"/>
      <c r="AF574" s="56" t="s">
        <v>2004</v>
      </c>
    </row>
    <row r="575">
      <c r="A575" s="52" t="s">
        <v>2453</v>
      </c>
      <c r="B575" s="52" t="s">
        <v>16</v>
      </c>
      <c r="C575" s="52" t="s">
        <v>221</v>
      </c>
      <c r="D575" s="65">
        <v>0.5416898148148155</v>
      </c>
      <c r="E575" s="65">
        <v>3.4722222222222224E-4</v>
      </c>
      <c r="F575" s="65">
        <v>0.5420370370370378</v>
      </c>
      <c r="G575" s="65" t="s">
        <v>140</v>
      </c>
      <c r="H575" s="52" t="s">
        <v>81</v>
      </c>
      <c r="I575" s="52" t="s">
        <v>81</v>
      </c>
      <c r="J575" s="52"/>
      <c r="K575" s="52"/>
      <c r="L575" s="52"/>
      <c r="M575" s="52"/>
      <c r="N575" s="52" t="s">
        <v>70</v>
      </c>
      <c r="O575" s="52"/>
      <c r="P575" s="52"/>
      <c r="Q575" s="52"/>
      <c r="R575" s="51" t="b">
        <v>0</v>
      </c>
      <c r="S575" s="51"/>
      <c r="T575" s="52"/>
      <c r="U575" s="51" t="b">
        <v>0</v>
      </c>
      <c r="V575" s="51" t="b">
        <v>0</v>
      </c>
      <c r="W575" s="51" t="b">
        <v>0</v>
      </c>
      <c r="X575" s="51" t="b">
        <v>0</v>
      </c>
      <c r="Y575" s="51" t="b">
        <v>0</v>
      </c>
      <c r="Z575" s="51" t="b">
        <v>0</v>
      </c>
      <c r="AA575" s="68"/>
      <c r="AB575" s="52"/>
      <c r="AC575" s="52"/>
      <c r="AD575" s="52"/>
      <c r="AE575" s="56"/>
      <c r="AF575" s="56" t="s">
        <v>1944</v>
      </c>
    </row>
    <row r="576">
      <c r="A576" s="52" t="s">
        <v>2455</v>
      </c>
      <c r="B576" s="52" t="s">
        <v>16</v>
      </c>
      <c r="C576" s="52" t="s">
        <v>221</v>
      </c>
      <c r="D576" s="65">
        <v>0.5420370370370378</v>
      </c>
      <c r="E576" s="65">
        <v>0.009641203703703704</v>
      </c>
      <c r="F576" s="65">
        <v>0.5516782407407415</v>
      </c>
      <c r="G576" s="65" t="s">
        <v>140</v>
      </c>
      <c r="H576" s="52" t="s">
        <v>74</v>
      </c>
      <c r="I576" s="52" t="s">
        <v>686</v>
      </c>
      <c r="J576" s="52" t="s">
        <v>687</v>
      </c>
      <c r="K576" s="52" t="s">
        <v>688</v>
      </c>
      <c r="L576" s="52"/>
      <c r="M576" s="52"/>
      <c r="N576" s="52" t="s">
        <v>689</v>
      </c>
      <c r="O576" s="69" t="s">
        <v>734</v>
      </c>
      <c r="P576" s="69" t="s">
        <v>17</v>
      </c>
      <c r="Q576" s="80" t="s">
        <v>2457</v>
      </c>
      <c r="R576" s="51" t="b">
        <v>1</v>
      </c>
      <c r="S576" s="98" t="s">
        <v>686</v>
      </c>
      <c r="T576" s="52"/>
      <c r="U576" s="51" t="b">
        <v>0</v>
      </c>
      <c r="V576" s="51" t="b">
        <v>1</v>
      </c>
      <c r="W576" s="51" t="b">
        <v>1</v>
      </c>
      <c r="X576" s="51" t="b">
        <v>1</v>
      </c>
      <c r="Y576" s="51" t="b">
        <v>0</v>
      </c>
      <c r="Z576" s="51" t="b">
        <v>1</v>
      </c>
      <c r="AA576" s="71">
        <v>0.009641203703703704</v>
      </c>
      <c r="AB576" s="69" t="s">
        <v>2459</v>
      </c>
      <c r="AC576" s="72"/>
      <c r="AD576" s="73" t="s">
        <v>2460</v>
      </c>
      <c r="AE576" s="56" t="s">
        <v>629</v>
      </c>
      <c r="AF576" s="56" t="s">
        <v>972</v>
      </c>
    </row>
    <row r="577">
      <c r="A577" s="52" t="s">
        <v>2461</v>
      </c>
      <c r="B577" s="52" t="s">
        <v>607</v>
      </c>
      <c r="C577" s="52" t="s">
        <v>607</v>
      </c>
      <c r="D577" s="65" t="s">
        <v>607</v>
      </c>
      <c r="E577" s="65" t="s">
        <v>607</v>
      </c>
      <c r="F577" s="65" t="s">
        <v>607</v>
      </c>
      <c r="G577" s="65" t="s">
        <v>607</v>
      </c>
      <c r="H577" s="52" t="s">
        <v>607</v>
      </c>
      <c r="I577" s="52" t="s">
        <v>607</v>
      </c>
      <c r="J577" s="52" t="s">
        <v>607</v>
      </c>
      <c r="K577" s="52" t="s">
        <v>607</v>
      </c>
      <c r="L577" s="52" t="s">
        <v>607</v>
      </c>
      <c r="M577" s="52" t="s">
        <v>607</v>
      </c>
      <c r="N577" s="52" t="s">
        <v>607</v>
      </c>
      <c r="O577" s="52"/>
      <c r="P577" s="52"/>
      <c r="Q577" s="52"/>
      <c r="R577" s="51" t="b">
        <v>0</v>
      </c>
      <c r="S577" s="51"/>
      <c r="T577" s="52"/>
      <c r="U577" s="51" t="b">
        <v>0</v>
      </c>
      <c r="V577" s="51" t="b">
        <v>0</v>
      </c>
      <c r="W577" s="51" t="b">
        <v>0</v>
      </c>
      <c r="X577" s="51" t="b">
        <v>0</v>
      </c>
      <c r="Y577" s="51" t="b">
        <v>0</v>
      </c>
      <c r="Z577" s="51" t="b">
        <v>0</v>
      </c>
      <c r="AA577" s="68"/>
      <c r="AB577" s="52"/>
      <c r="AC577" s="52"/>
      <c r="AD577" s="52"/>
      <c r="AE577" s="56" t="s">
        <v>607</v>
      </c>
      <c r="AF577" s="56" t="s">
        <v>607</v>
      </c>
    </row>
    <row r="578">
      <c r="A578" s="52" t="s">
        <v>2462</v>
      </c>
      <c r="B578" s="52" t="s">
        <v>16</v>
      </c>
      <c r="C578" s="52" t="s">
        <v>221</v>
      </c>
      <c r="D578" s="65">
        <v>0.5516782407407415</v>
      </c>
      <c r="E578" s="65">
        <v>3.4722222222222224E-4</v>
      </c>
      <c r="F578" s="65">
        <v>0.5520254629629637</v>
      </c>
      <c r="G578" s="65" t="s">
        <v>140</v>
      </c>
      <c r="H578" s="52" t="s">
        <v>81</v>
      </c>
      <c r="I578" s="52" t="s">
        <v>81</v>
      </c>
      <c r="J578" s="52"/>
      <c r="K578" s="52"/>
      <c r="L578" s="52"/>
      <c r="M578" s="52"/>
      <c r="N578" s="52" t="s">
        <v>70</v>
      </c>
      <c r="O578" s="52"/>
      <c r="P578" s="52"/>
      <c r="Q578" s="52"/>
      <c r="R578" s="51" t="b">
        <v>0</v>
      </c>
      <c r="S578" s="51"/>
      <c r="T578" s="52"/>
      <c r="U578" s="51" t="b">
        <v>0</v>
      </c>
      <c r="V578" s="51" t="b">
        <v>0</v>
      </c>
      <c r="W578" s="51" t="b">
        <v>0</v>
      </c>
      <c r="X578" s="51" t="b">
        <v>0</v>
      </c>
      <c r="Y578" s="51" t="b">
        <v>0</v>
      </c>
      <c r="Z578" s="51" t="b">
        <v>0</v>
      </c>
      <c r="AA578" s="68"/>
      <c r="AB578" s="52"/>
      <c r="AC578" s="52"/>
      <c r="AD578" s="52"/>
      <c r="AE578" s="56"/>
      <c r="AF578" s="56" t="s">
        <v>1944</v>
      </c>
    </row>
    <row r="579">
      <c r="A579" s="52" t="s">
        <v>2463</v>
      </c>
      <c r="B579" s="52" t="s">
        <v>16</v>
      </c>
      <c r="C579" s="52" t="s">
        <v>221</v>
      </c>
      <c r="D579" s="65">
        <v>0.5520254629629637</v>
      </c>
      <c r="E579" s="65">
        <v>0.009340277777777777</v>
      </c>
      <c r="F579" s="65">
        <v>0.5613657407407415</v>
      </c>
      <c r="G579" s="65" t="s">
        <v>140</v>
      </c>
      <c r="H579" s="52" t="s">
        <v>107</v>
      </c>
      <c r="I579" s="52" t="s">
        <v>691</v>
      </c>
      <c r="J579" s="52" t="s">
        <v>693</v>
      </c>
      <c r="K579" s="52" t="s">
        <v>694</v>
      </c>
      <c r="L579" s="52"/>
      <c r="M579" s="52"/>
      <c r="N579" s="52" t="s">
        <v>144</v>
      </c>
      <c r="O579" s="69" t="s">
        <v>734</v>
      </c>
      <c r="P579" s="69" t="s">
        <v>30</v>
      </c>
      <c r="Q579" s="80" t="s">
        <v>2464</v>
      </c>
      <c r="R579" s="51" t="b">
        <v>1</v>
      </c>
      <c r="S579" s="52" t="s">
        <v>691</v>
      </c>
      <c r="T579" s="52"/>
      <c r="U579" s="51" t="b">
        <v>0</v>
      </c>
      <c r="V579" s="51" t="b">
        <v>1</v>
      </c>
      <c r="W579" s="51" t="b">
        <v>1</v>
      </c>
      <c r="X579" s="51" t="b">
        <v>0</v>
      </c>
      <c r="Y579" s="51" t="b">
        <v>0</v>
      </c>
      <c r="Z579" s="135" t="b">
        <v>0</v>
      </c>
      <c r="AA579" s="71">
        <v>0.009340277777777777</v>
      </c>
      <c r="AB579" s="52"/>
      <c r="AC579" s="52"/>
      <c r="AD579" s="73" t="s">
        <v>2465</v>
      </c>
      <c r="AE579" s="56" t="s">
        <v>629</v>
      </c>
      <c r="AF579" s="56" t="s">
        <v>972</v>
      </c>
    </row>
    <row r="580">
      <c r="A580" s="52" t="s">
        <v>2466</v>
      </c>
      <c r="B580" s="52" t="s">
        <v>607</v>
      </c>
      <c r="C580" s="52" t="s">
        <v>607</v>
      </c>
      <c r="D580" s="65" t="s">
        <v>607</v>
      </c>
      <c r="E580" s="65" t="s">
        <v>607</v>
      </c>
      <c r="F580" s="65" t="s">
        <v>607</v>
      </c>
      <c r="G580" s="65" t="s">
        <v>607</v>
      </c>
      <c r="H580" s="52" t="s">
        <v>607</v>
      </c>
      <c r="I580" s="52" t="s">
        <v>607</v>
      </c>
      <c r="J580" s="52" t="s">
        <v>607</v>
      </c>
      <c r="K580" s="52" t="s">
        <v>607</v>
      </c>
      <c r="L580" s="52" t="s">
        <v>607</v>
      </c>
      <c r="M580" s="52" t="s">
        <v>607</v>
      </c>
      <c r="N580" s="52" t="s">
        <v>607</v>
      </c>
      <c r="O580" s="52"/>
      <c r="P580" s="69"/>
      <c r="Q580" s="52"/>
      <c r="R580" s="51" t="b">
        <v>0</v>
      </c>
      <c r="S580" s="51"/>
      <c r="T580" s="52"/>
      <c r="U580" s="51" t="b">
        <v>0</v>
      </c>
      <c r="V580" s="51" t="b">
        <v>0</v>
      </c>
      <c r="W580" s="51" t="b">
        <v>0</v>
      </c>
      <c r="X580" s="51" t="b">
        <v>0</v>
      </c>
      <c r="Y580" s="51" t="b">
        <v>0</v>
      </c>
      <c r="Z580" s="51" t="b">
        <v>0</v>
      </c>
      <c r="AA580" s="68"/>
      <c r="AB580" s="52"/>
      <c r="AC580" s="52"/>
      <c r="AD580" s="52"/>
      <c r="AE580" s="56" t="s">
        <v>607</v>
      </c>
      <c r="AF580" s="56" t="s">
        <v>607</v>
      </c>
    </row>
    <row r="581">
      <c r="A581" s="52" t="s">
        <v>2467</v>
      </c>
      <c r="B581" s="52" t="s">
        <v>16</v>
      </c>
      <c r="C581" s="52" t="s">
        <v>221</v>
      </c>
      <c r="D581" s="65">
        <v>0.6077083333333342</v>
      </c>
      <c r="E581" s="65">
        <v>1.7361111111111112E-4</v>
      </c>
      <c r="F581" s="65">
        <v>0.6078819444444453</v>
      </c>
      <c r="G581" s="65" t="s">
        <v>140</v>
      </c>
      <c r="H581" s="52" t="s">
        <v>77</v>
      </c>
      <c r="I581" s="52" t="s">
        <v>717</v>
      </c>
      <c r="J581" s="52"/>
      <c r="K581" s="52"/>
      <c r="L581" s="52"/>
      <c r="M581" s="52"/>
      <c r="N581" s="52" t="s">
        <v>70</v>
      </c>
      <c r="O581" s="52"/>
      <c r="P581" s="52"/>
      <c r="Q581" s="52"/>
      <c r="R581" s="51" t="b">
        <v>0</v>
      </c>
      <c r="S581" s="51"/>
      <c r="T581" s="52"/>
      <c r="U581" s="51" t="b">
        <v>0</v>
      </c>
      <c r="V581" s="51" t="b">
        <v>0</v>
      </c>
      <c r="W581" s="51" t="b">
        <v>0</v>
      </c>
      <c r="X581" s="51" t="b">
        <v>0</v>
      </c>
      <c r="Y581" s="51" t="b">
        <v>0</v>
      </c>
      <c r="Z581" s="51" t="b">
        <v>0</v>
      </c>
      <c r="AA581" s="68"/>
      <c r="AB581" s="52"/>
      <c r="AC581" s="52"/>
      <c r="AD581" s="52"/>
      <c r="AE581" s="56"/>
      <c r="AF581" s="56" t="s">
        <v>2004</v>
      </c>
    </row>
    <row r="582">
      <c r="A582" s="52" t="s">
        <v>2468</v>
      </c>
      <c r="B582" s="52" t="s">
        <v>16</v>
      </c>
      <c r="C582" s="52" t="s">
        <v>221</v>
      </c>
      <c r="D582" s="65">
        <v>0.5613657407407415</v>
      </c>
      <c r="E582" s="65">
        <v>3.4722222222222224E-4</v>
      </c>
      <c r="F582" s="65">
        <v>0.5617129629629638</v>
      </c>
      <c r="G582" s="65" t="s">
        <v>140</v>
      </c>
      <c r="H582" s="52" t="s">
        <v>81</v>
      </c>
      <c r="I582" s="52" t="s">
        <v>81</v>
      </c>
      <c r="J582" s="52"/>
      <c r="K582" s="52"/>
      <c r="L582" s="52"/>
      <c r="M582" s="52"/>
      <c r="N582" s="52" t="s">
        <v>70</v>
      </c>
      <c r="O582" s="52"/>
      <c r="P582" s="52"/>
      <c r="Q582" s="52"/>
      <c r="R582" s="51" t="b">
        <v>0</v>
      </c>
      <c r="S582" s="51"/>
      <c r="T582" s="52"/>
      <c r="U582" s="51" t="b">
        <v>0</v>
      </c>
      <c r="V582" s="51" t="b">
        <v>0</v>
      </c>
      <c r="W582" s="51" t="b">
        <v>0</v>
      </c>
      <c r="X582" s="51" t="b">
        <v>0</v>
      </c>
      <c r="Y582" s="51" t="b">
        <v>0</v>
      </c>
      <c r="Z582" s="51" t="b">
        <v>0</v>
      </c>
      <c r="AA582" s="68"/>
      <c r="AB582" s="52"/>
      <c r="AC582" s="52"/>
      <c r="AD582" s="52"/>
      <c r="AE582" s="56"/>
      <c r="AF582" s="56" t="s">
        <v>1944</v>
      </c>
    </row>
    <row r="583">
      <c r="A583" s="52" t="s">
        <v>2469</v>
      </c>
      <c r="B583" s="52" t="s">
        <v>16</v>
      </c>
      <c r="C583" s="52" t="s">
        <v>221</v>
      </c>
      <c r="D583" s="65">
        <v>0.5617129629629638</v>
      </c>
      <c r="E583" s="65">
        <v>0.008333333333333333</v>
      </c>
      <c r="F583" s="65">
        <v>0.5700462962962971</v>
      </c>
      <c r="G583" s="65" t="s">
        <v>140</v>
      </c>
      <c r="H583" s="52" t="s">
        <v>107</v>
      </c>
      <c r="I583" s="52" t="s">
        <v>698</v>
      </c>
      <c r="J583" s="52" t="s">
        <v>699</v>
      </c>
      <c r="K583" s="52" t="s">
        <v>700</v>
      </c>
      <c r="L583" s="52"/>
      <c r="M583" s="52"/>
      <c r="N583" s="52" t="s">
        <v>701</v>
      </c>
      <c r="O583" s="52"/>
      <c r="P583" s="69" t="s">
        <v>23</v>
      </c>
      <c r="Q583" s="80" t="s">
        <v>2470</v>
      </c>
      <c r="R583" s="51" t="b">
        <v>1</v>
      </c>
      <c r="S583" s="52" t="s">
        <v>698</v>
      </c>
      <c r="T583" s="52"/>
      <c r="U583" s="51" t="b">
        <v>0</v>
      </c>
      <c r="V583" s="51" t="b">
        <v>1</v>
      </c>
      <c r="W583" s="51" t="b">
        <v>1</v>
      </c>
      <c r="X583" s="51" t="b">
        <v>0</v>
      </c>
      <c r="Y583" s="51" t="b">
        <v>0</v>
      </c>
      <c r="Z583" s="51" t="b">
        <v>1</v>
      </c>
      <c r="AA583" s="71">
        <v>0.01070601851851852</v>
      </c>
      <c r="AB583" s="69" t="s">
        <v>2471</v>
      </c>
      <c r="AC583" s="52"/>
      <c r="AD583" s="76" t="s">
        <v>2472</v>
      </c>
      <c r="AE583" s="56" t="s">
        <v>629</v>
      </c>
      <c r="AF583" s="56" t="s">
        <v>972</v>
      </c>
    </row>
    <row r="584">
      <c r="A584" s="52" t="s">
        <v>2473</v>
      </c>
      <c r="B584" s="52" t="s">
        <v>607</v>
      </c>
      <c r="C584" s="52" t="s">
        <v>607</v>
      </c>
      <c r="D584" s="65" t="s">
        <v>607</v>
      </c>
      <c r="E584" s="65" t="s">
        <v>607</v>
      </c>
      <c r="F584" s="65" t="s">
        <v>607</v>
      </c>
      <c r="G584" s="65" t="s">
        <v>607</v>
      </c>
      <c r="H584" s="52" t="s">
        <v>607</v>
      </c>
      <c r="I584" s="52" t="s">
        <v>607</v>
      </c>
      <c r="J584" s="52" t="s">
        <v>607</v>
      </c>
      <c r="K584" s="52" t="s">
        <v>607</v>
      </c>
      <c r="L584" s="52" t="s">
        <v>607</v>
      </c>
      <c r="M584" s="52" t="s">
        <v>607</v>
      </c>
      <c r="N584" s="52" t="s">
        <v>607</v>
      </c>
      <c r="O584" s="52"/>
      <c r="P584" s="52"/>
      <c r="Q584" s="52"/>
      <c r="R584" s="51" t="b">
        <v>0</v>
      </c>
      <c r="S584" s="51"/>
      <c r="T584" s="52"/>
      <c r="U584" s="51" t="b">
        <v>0</v>
      </c>
      <c r="V584" s="51" t="b">
        <v>0</v>
      </c>
      <c r="W584" s="51" t="b">
        <v>0</v>
      </c>
      <c r="X584" s="51" t="b">
        <v>0</v>
      </c>
      <c r="Y584" s="51" t="b">
        <v>0</v>
      </c>
      <c r="Z584" s="51" t="b">
        <v>0</v>
      </c>
      <c r="AA584" s="68"/>
      <c r="AB584" s="52"/>
      <c r="AC584" s="52"/>
      <c r="AD584" s="52"/>
      <c r="AE584" s="56" t="s">
        <v>607</v>
      </c>
      <c r="AF584" s="56" t="s">
        <v>607</v>
      </c>
    </row>
    <row r="585">
      <c r="A585" s="52" t="s">
        <v>2474</v>
      </c>
      <c r="B585" s="52" t="s">
        <v>16</v>
      </c>
      <c r="C585" s="52" t="s">
        <v>221</v>
      </c>
      <c r="D585" s="65">
        <v>0.5700462962962971</v>
      </c>
      <c r="E585" s="65">
        <v>3.4722222222222224E-4</v>
      </c>
      <c r="F585" s="65">
        <v>0.5703935185185194</v>
      </c>
      <c r="G585" s="65" t="s">
        <v>140</v>
      </c>
      <c r="H585" s="52" t="s">
        <v>81</v>
      </c>
      <c r="I585" s="52" t="s">
        <v>81</v>
      </c>
      <c r="J585" s="52"/>
      <c r="K585" s="52"/>
      <c r="L585" s="52"/>
      <c r="M585" s="52"/>
      <c r="N585" s="52" t="s">
        <v>70</v>
      </c>
      <c r="O585" s="52"/>
      <c r="P585" s="52"/>
      <c r="Q585" s="52"/>
      <c r="R585" s="51" t="b">
        <v>0</v>
      </c>
      <c r="S585" s="51"/>
      <c r="T585" s="52"/>
      <c r="U585" s="51" t="b">
        <v>0</v>
      </c>
      <c r="V585" s="51" t="b">
        <v>0</v>
      </c>
      <c r="W585" s="51" t="b">
        <v>0</v>
      </c>
      <c r="X585" s="51" t="b">
        <v>0</v>
      </c>
      <c r="Y585" s="51" t="b">
        <v>0</v>
      </c>
      <c r="Z585" s="51" t="b">
        <v>0</v>
      </c>
      <c r="AA585" s="68"/>
      <c r="AB585" s="52"/>
      <c r="AC585" s="52"/>
      <c r="AD585" s="52"/>
      <c r="AE585" s="56"/>
      <c r="AF585" s="56" t="s">
        <v>1944</v>
      </c>
    </row>
    <row r="586">
      <c r="A586" s="52" t="s">
        <v>2475</v>
      </c>
      <c r="B586" s="52" t="s">
        <v>16</v>
      </c>
      <c r="C586" s="52" t="s">
        <v>221</v>
      </c>
      <c r="D586" s="65">
        <v>0.5703935185185194</v>
      </c>
      <c r="E586" s="65">
        <v>0.0125</v>
      </c>
      <c r="F586" s="65">
        <v>0.5828935185185193</v>
      </c>
      <c r="G586" s="65" t="s">
        <v>140</v>
      </c>
      <c r="H586" s="52" t="s">
        <v>94</v>
      </c>
      <c r="I586" s="52" t="s">
        <v>704</v>
      </c>
      <c r="J586" s="52" t="s">
        <v>705</v>
      </c>
      <c r="K586" s="52"/>
      <c r="L586" s="52"/>
      <c r="M586" s="52"/>
      <c r="N586" s="52" t="s">
        <v>706</v>
      </c>
      <c r="O586" s="69" t="s">
        <v>618</v>
      </c>
      <c r="P586" s="69" t="s">
        <v>30</v>
      </c>
      <c r="Q586" s="80" t="s">
        <v>896</v>
      </c>
      <c r="R586" s="51" t="b">
        <v>1</v>
      </c>
      <c r="S586" s="78" t="s">
        <v>704</v>
      </c>
      <c r="T586" s="52"/>
      <c r="U586" s="51" t="b">
        <v>0</v>
      </c>
      <c r="V586" s="51" t="b">
        <v>0</v>
      </c>
      <c r="W586" s="51" t="b">
        <v>0</v>
      </c>
      <c r="X586" s="51" t="b">
        <v>0</v>
      </c>
      <c r="Y586" s="51" t="b">
        <v>0</v>
      </c>
      <c r="Z586" s="51" t="b">
        <v>0</v>
      </c>
      <c r="AA586" s="71"/>
      <c r="AB586" s="69" t="s">
        <v>2476</v>
      </c>
      <c r="AC586" s="52"/>
      <c r="AD586" s="52"/>
      <c r="AE586" s="56" t="s">
        <v>629</v>
      </c>
      <c r="AF586" s="56" t="s">
        <v>860</v>
      </c>
    </row>
    <row r="587">
      <c r="A587" s="52" t="s">
        <v>2477</v>
      </c>
      <c r="B587" s="52" t="s">
        <v>607</v>
      </c>
      <c r="C587" s="52" t="s">
        <v>607</v>
      </c>
      <c r="D587" s="65" t="s">
        <v>607</v>
      </c>
      <c r="E587" s="65" t="s">
        <v>607</v>
      </c>
      <c r="F587" s="65" t="s">
        <v>607</v>
      </c>
      <c r="G587" s="65" t="s">
        <v>607</v>
      </c>
      <c r="H587" s="52" t="s">
        <v>607</v>
      </c>
      <c r="I587" s="52" t="s">
        <v>607</v>
      </c>
      <c r="J587" s="52" t="s">
        <v>607</v>
      </c>
      <c r="K587" s="52" t="s">
        <v>607</v>
      </c>
      <c r="L587" s="52" t="s">
        <v>607</v>
      </c>
      <c r="M587" s="52" t="s">
        <v>607</v>
      </c>
      <c r="N587" s="52" t="s">
        <v>607</v>
      </c>
      <c r="O587" s="52"/>
      <c r="P587" s="69"/>
      <c r="Q587" s="52"/>
      <c r="R587" s="51" t="b">
        <v>0</v>
      </c>
      <c r="S587" s="51"/>
      <c r="T587" s="52"/>
      <c r="U587" s="51" t="b">
        <v>0</v>
      </c>
      <c r="V587" s="51" t="b">
        <v>0</v>
      </c>
      <c r="W587" s="51" t="b">
        <v>0</v>
      </c>
      <c r="X587" s="51" t="b">
        <v>0</v>
      </c>
      <c r="Y587" s="51" t="b">
        <v>0</v>
      </c>
      <c r="Z587" s="51" t="b">
        <v>0</v>
      </c>
      <c r="AA587" s="68"/>
      <c r="AB587" s="52"/>
      <c r="AC587" s="52"/>
      <c r="AD587" s="52"/>
      <c r="AE587" s="56" t="s">
        <v>607</v>
      </c>
      <c r="AF587" s="56" t="s">
        <v>607</v>
      </c>
    </row>
    <row r="588">
      <c r="A588" s="52" t="s">
        <v>2478</v>
      </c>
      <c r="B588" s="52" t="s">
        <v>607</v>
      </c>
      <c r="C588" s="52" t="s">
        <v>607</v>
      </c>
      <c r="D588" s="65" t="s">
        <v>607</v>
      </c>
      <c r="E588" s="65" t="s">
        <v>607</v>
      </c>
      <c r="F588" s="65" t="s">
        <v>607</v>
      </c>
      <c r="G588" s="65" t="s">
        <v>607</v>
      </c>
      <c r="H588" s="52" t="s">
        <v>607</v>
      </c>
      <c r="I588" s="52" t="s">
        <v>607</v>
      </c>
      <c r="J588" s="52" t="s">
        <v>607</v>
      </c>
      <c r="K588" s="52" t="s">
        <v>607</v>
      </c>
      <c r="L588" s="52" t="s">
        <v>607</v>
      </c>
      <c r="M588" s="52" t="s">
        <v>607</v>
      </c>
      <c r="N588" s="52" t="s">
        <v>607</v>
      </c>
      <c r="O588" s="52"/>
      <c r="P588" s="52"/>
      <c r="Q588" s="52"/>
      <c r="R588" s="51" t="b">
        <v>0</v>
      </c>
      <c r="S588" s="51"/>
      <c r="T588" s="52"/>
      <c r="U588" s="51" t="b">
        <v>0</v>
      </c>
      <c r="V588" s="51" t="b">
        <v>0</v>
      </c>
      <c r="W588" s="51" t="b">
        <v>0</v>
      </c>
      <c r="X588" s="51" t="b">
        <v>0</v>
      </c>
      <c r="Y588" s="51" t="b">
        <v>0</v>
      </c>
      <c r="Z588" s="51" t="b">
        <v>0</v>
      </c>
      <c r="AA588" s="68"/>
      <c r="AB588" s="52"/>
      <c r="AC588" s="52"/>
      <c r="AD588" s="52"/>
      <c r="AE588" s="56" t="s">
        <v>607</v>
      </c>
      <c r="AF588" s="56" t="s">
        <v>607</v>
      </c>
    </row>
    <row r="589">
      <c r="A589" s="52" t="s">
        <v>2479</v>
      </c>
      <c r="B589" s="52" t="s">
        <v>16</v>
      </c>
      <c r="C589" s="52" t="s">
        <v>289</v>
      </c>
      <c r="D589" s="65">
        <v>0.482627314814815</v>
      </c>
      <c r="E589" s="65">
        <v>3.4722222222222224E-4</v>
      </c>
      <c r="F589" s="65">
        <v>0.48297453703703724</v>
      </c>
      <c r="G589" s="65" t="s">
        <v>189</v>
      </c>
      <c r="H589" s="52" t="s">
        <v>81</v>
      </c>
      <c r="I589" s="52" t="s">
        <v>81</v>
      </c>
      <c r="J589" s="52"/>
      <c r="K589" s="52"/>
      <c r="L589" s="52"/>
      <c r="M589" s="52"/>
      <c r="N589" s="52" t="s">
        <v>70</v>
      </c>
      <c r="O589" s="52"/>
      <c r="P589" s="52"/>
      <c r="Q589" s="52"/>
      <c r="R589" s="51" t="b">
        <v>0</v>
      </c>
      <c r="S589" s="51"/>
      <c r="T589" s="52"/>
      <c r="U589" s="51" t="b">
        <v>0</v>
      </c>
      <c r="V589" s="51" t="b">
        <v>0</v>
      </c>
      <c r="W589" s="51" t="b">
        <v>0</v>
      </c>
      <c r="X589" s="51" t="b">
        <v>0</v>
      </c>
      <c r="Y589" s="51" t="b">
        <v>0</v>
      </c>
      <c r="Z589" s="51" t="b">
        <v>0</v>
      </c>
      <c r="AA589" s="68"/>
      <c r="AB589" s="52"/>
      <c r="AC589" s="52"/>
      <c r="AD589" s="52"/>
      <c r="AE589" s="56"/>
      <c r="AF589" s="56" t="s">
        <v>1944</v>
      </c>
    </row>
    <row r="590">
      <c r="A590" s="52" t="s">
        <v>2480</v>
      </c>
      <c r="B590" s="52" t="s">
        <v>16</v>
      </c>
      <c r="C590" s="52" t="s">
        <v>289</v>
      </c>
      <c r="D590" s="65">
        <v>0.48297453703703724</v>
      </c>
      <c r="E590" s="65">
        <v>0.008333333333333333</v>
      </c>
      <c r="F590" s="65">
        <v>0.4913078703703706</v>
      </c>
      <c r="G590" s="65" t="s">
        <v>189</v>
      </c>
      <c r="H590" s="52" t="s">
        <v>107</v>
      </c>
      <c r="I590" s="52" t="s">
        <v>828</v>
      </c>
      <c r="J590" s="52" t="s">
        <v>829</v>
      </c>
      <c r="K590" s="52" t="s">
        <v>830</v>
      </c>
      <c r="L590" s="52"/>
      <c r="M590" s="52"/>
      <c r="N590" s="52" t="s">
        <v>831</v>
      </c>
      <c r="O590" s="69" t="s">
        <v>734</v>
      </c>
      <c r="P590" s="69" t="s">
        <v>30</v>
      </c>
      <c r="Q590" s="80" t="s">
        <v>2481</v>
      </c>
      <c r="R590" s="51" t="b">
        <v>1</v>
      </c>
      <c r="S590" s="52" t="s">
        <v>828</v>
      </c>
      <c r="T590" s="52"/>
      <c r="U590" s="51" t="b">
        <v>0</v>
      </c>
      <c r="V590" s="51" t="b">
        <v>1</v>
      </c>
      <c r="W590" s="51" t="b">
        <v>1</v>
      </c>
      <c r="X590" s="51" t="b">
        <v>0</v>
      </c>
      <c r="Y590" s="51" t="b">
        <v>0</v>
      </c>
      <c r="Z590" s="51" t="b">
        <v>0</v>
      </c>
      <c r="AA590" s="71">
        <v>0.008263888888888888</v>
      </c>
      <c r="AB590" s="69" t="s">
        <v>2482</v>
      </c>
      <c r="AC590" s="52"/>
      <c r="AD590" s="73" t="s">
        <v>2483</v>
      </c>
      <c r="AE590" s="56" t="s">
        <v>629</v>
      </c>
      <c r="AF590" s="56" t="s">
        <v>946</v>
      </c>
    </row>
    <row r="591">
      <c r="A591" s="52" t="s">
        <v>2484</v>
      </c>
      <c r="B591" s="52" t="s">
        <v>16</v>
      </c>
      <c r="C591" s="52" t="s">
        <v>289</v>
      </c>
      <c r="D591" s="65">
        <v>0.4913078703703706</v>
      </c>
      <c r="E591" s="65">
        <v>1.7361111111111112E-4</v>
      </c>
      <c r="F591" s="65">
        <v>0.49148148148148174</v>
      </c>
      <c r="G591" s="65" t="s">
        <v>189</v>
      </c>
      <c r="H591" s="52" t="s">
        <v>85</v>
      </c>
      <c r="I591" s="52" t="s">
        <v>85</v>
      </c>
      <c r="J591" s="52"/>
      <c r="K591" s="52"/>
      <c r="L591" s="52"/>
      <c r="M591" s="52"/>
      <c r="N591" s="52" t="s">
        <v>70</v>
      </c>
      <c r="O591" s="52"/>
      <c r="P591" s="52"/>
      <c r="Q591" s="52"/>
      <c r="R591" s="51" t="b">
        <v>0</v>
      </c>
      <c r="S591" s="51"/>
      <c r="T591" s="52"/>
      <c r="U591" s="51" t="b">
        <v>0</v>
      </c>
      <c r="V591" s="51" t="b">
        <v>0</v>
      </c>
      <c r="W591" s="51" t="b">
        <v>0</v>
      </c>
      <c r="X591" s="51" t="b">
        <v>0</v>
      </c>
      <c r="Y591" s="51" t="b">
        <v>0</v>
      </c>
      <c r="Z591" s="51" t="b">
        <v>0</v>
      </c>
      <c r="AA591" s="68"/>
      <c r="AB591" s="52"/>
      <c r="AC591" s="52"/>
      <c r="AD591" s="52"/>
      <c r="AE591" s="56"/>
      <c r="AF591" s="56" t="s">
        <v>1944</v>
      </c>
    </row>
    <row r="592">
      <c r="A592" s="52" t="s">
        <v>2485</v>
      </c>
      <c r="B592" s="52" t="s">
        <v>16</v>
      </c>
      <c r="C592" s="52" t="s">
        <v>221</v>
      </c>
      <c r="D592" s="65">
        <v>0.5934722222222231</v>
      </c>
      <c r="E592" s="65">
        <v>3.4722222222222224E-4</v>
      </c>
      <c r="F592" s="65">
        <v>0.5938194444444453</v>
      </c>
      <c r="G592" s="65" t="s">
        <v>189</v>
      </c>
      <c r="H592" s="52" t="s">
        <v>81</v>
      </c>
      <c r="I592" s="52" t="s">
        <v>81</v>
      </c>
      <c r="J592" s="52"/>
      <c r="K592" s="52"/>
      <c r="L592" s="52"/>
      <c r="M592" s="52"/>
      <c r="N592" s="52" t="s">
        <v>70</v>
      </c>
      <c r="O592" s="52"/>
      <c r="P592" s="69"/>
      <c r="Q592" s="52"/>
      <c r="R592" s="51" t="b">
        <v>0</v>
      </c>
      <c r="S592" s="51"/>
      <c r="T592" s="52"/>
      <c r="U592" s="51" t="b">
        <v>0</v>
      </c>
      <c r="V592" s="51" t="b">
        <v>0</v>
      </c>
      <c r="W592" s="51" t="b">
        <v>0</v>
      </c>
      <c r="X592" s="51" t="b">
        <v>0</v>
      </c>
      <c r="Y592" s="51" t="b">
        <v>0</v>
      </c>
      <c r="Z592" s="51" t="b">
        <v>0</v>
      </c>
      <c r="AA592" s="68"/>
      <c r="AB592" s="52"/>
      <c r="AC592" s="52"/>
      <c r="AD592" s="52"/>
      <c r="AE592" s="56"/>
      <c r="AF592" s="56"/>
    </row>
    <row r="593">
      <c r="A593" s="52" t="s">
        <v>2486</v>
      </c>
      <c r="B593" s="52" t="s">
        <v>607</v>
      </c>
      <c r="C593" s="52" t="s">
        <v>607</v>
      </c>
      <c r="D593" s="65" t="s">
        <v>607</v>
      </c>
      <c r="E593" s="65" t="s">
        <v>607</v>
      </c>
      <c r="F593" s="65" t="s">
        <v>607</v>
      </c>
      <c r="G593" s="65" t="s">
        <v>607</v>
      </c>
      <c r="H593" s="52" t="s">
        <v>607</v>
      </c>
      <c r="I593" s="52" t="s">
        <v>607</v>
      </c>
      <c r="J593" s="52" t="s">
        <v>607</v>
      </c>
      <c r="K593" s="52" t="s">
        <v>607</v>
      </c>
      <c r="L593" s="52" t="s">
        <v>607</v>
      </c>
      <c r="M593" s="52" t="s">
        <v>607</v>
      </c>
      <c r="N593" s="52" t="s">
        <v>607</v>
      </c>
      <c r="O593" s="52"/>
      <c r="P593" s="52"/>
      <c r="Q593" s="52"/>
      <c r="R593" s="51" t="b">
        <v>0</v>
      </c>
      <c r="S593" s="51"/>
      <c r="T593" s="52"/>
      <c r="U593" s="51" t="b">
        <v>0</v>
      </c>
      <c r="V593" s="51" t="b">
        <v>0</v>
      </c>
      <c r="W593" s="51" t="b">
        <v>0</v>
      </c>
      <c r="X593" s="51" t="b">
        <v>0</v>
      </c>
      <c r="Y593" s="51" t="b">
        <v>0</v>
      </c>
      <c r="Z593" s="51" t="b">
        <v>0</v>
      </c>
      <c r="AA593" s="68"/>
      <c r="AB593" s="52"/>
      <c r="AC593" s="52"/>
      <c r="AD593" s="52"/>
      <c r="AE593" s="56" t="s">
        <v>607</v>
      </c>
      <c r="AF593" s="56" t="s">
        <v>607</v>
      </c>
    </row>
    <row r="594">
      <c r="A594" s="52" t="s">
        <v>2487</v>
      </c>
      <c r="B594" s="52" t="s">
        <v>16</v>
      </c>
      <c r="C594" s="52" t="s">
        <v>221</v>
      </c>
      <c r="D594" s="65">
        <v>0.6672569444444455</v>
      </c>
      <c r="E594" s="65">
        <v>3.4722222222222224E-4</v>
      </c>
      <c r="F594" s="65">
        <v>0.6676041666666678</v>
      </c>
      <c r="G594" s="65" t="s">
        <v>754</v>
      </c>
      <c r="H594" s="52" t="s">
        <v>506</v>
      </c>
      <c r="I594" s="52" t="s">
        <v>755</v>
      </c>
      <c r="J594" s="52"/>
      <c r="K594" s="52"/>
      <c r="L594" s="52"/>
      <c r="M594" s="52"/>
      <c r="N594" s="52"/>
      <c r="O594" s="52"/>
      <c r="P594" s="52"/>
      <c r="Q594" s="52"/>
      <c r="R594" s="51" t="b">
        <v>0</v>
      </c>
      <c r="S594" s="51"/>
      <c r="T594" s="52"/>
      <c r="U594" s="51" t="b">
        <v>0</v>
      </c>
      <c r="V594" s="51" t="b">
        <v>0</v>
      </c>
      <c r="W594" s="51" t="b">
        <v>0</v>
      </c>
      <c r="X594" s="51" t="b">
        <v>0</v>
      </c>
      <c r="Y594" s="51" t="b">
        <v>0</v>
      </c>
      <c r="Z594" s="51" t="b">
        <v>0</v>
      </c>
      <c r="AA594" s="68"/>
      <c r="AB594" s="52"/>
      <c r="AC594" s="52"/>
      <c r="AD594" s="52"/>
      <c r="AE594" s="56"/>
      <c r="AF594" s="56" t="s">
        <v>1215</v>
      </c>
    </row>
    <row r="595">
      <c r="A595" s="52" t="s">
        <v>2488</v>
      </c>
      <c r="B595" s="52" t="s">
        <v>16</v>
      </c>
      <c r="C595" s="52" t="s">
        <v>221</v>
      </c>
      <c r="D595" s="65">
        <v>0.5938194444444453</v>
      </c>
      <c r="E595" s="65">
        <v>0.013888888888888888</v>
      </c>
      <c r="F595" s="65">
        <v>0.6077083333333342</v>
      </c>
      <c r="G595" s="65" t="s">
        <v>189</v>
      </c>
      <c r="H595" s="52" t="s">
        <v>107</v>
      </c>
      <c r="I595" s="52" t="s">
        <v>713</v>
      </c>
      <c r="J595" s="52" t="s">
        <v>714</v>
      </c>
      <c r="K595" s="52"/>
      <c r="L595" s="52"/>
      <c r="M595" s="52"/>
      <c r="N595" s="52" t="s">
        <v>715</v>
      </c>
      <c r="O595" s="52"/>
      <c r="P595" s="69"/>
      <c r="Q595" s="52"/>
      <c r="R595" s="51" t="b">
        <v>0</v>
      </c>
      <c r="S595" s="51"/>
      <c r="T595" s="52"/>
      <c r="U595" s="51" t="b">
        <v>0</v>
      </c>
      <c r="V595" s="51" t="b">
        <v>0</v>
      </c>
      <c r="W595" s="51" t="b">
        <v>0</v>
      </c>
      <c r="X595" s="51" t="b">
        <v>0</v>
      </c>
      <c r="Y595" s="51" t="b">
        <v>0</v>
      </c>
      <c r="Z595" s="51" t="b">
        <v>0</v>
      </c>
      <c r="AA595" s="68"/>
      <c r="AB595" s="52"/>
      <c r="AC595" s="52"/>
      <c r="AD595" s="52"/>
      <c r="AE595" s="56" t="s">
        <v>652</v>
      </c>
      <c r="AF595" s="56" t="s">
        <v>726</v>
      </c>
    </row>
    <row r="596">
      <c r="A596" s="52" t="s">
        <v>2489</v>
      </c>
      <c r="B596" s="52" t="s">
        <v>607</v>
      </c>
      <c r="C596" s="52" t="s">
        <v>607</v>
      </c>
      <c r="D596" s="65" t="s">
        <v>607</v>
      </c>
      <c r="E596" s="65" t="s">
        <v>607</v>
      </c>
      <c r="F596" s="65" t="s">
        <v>607</v>
      </c>
      <c r="G596" s="65" t="s">
        <v>607</v>
      </c>
      <c r="H596" s="52" t="s">
        <v>607</v>
      </c>
      <c r="I596" s="52" t="s">
        <v>607</v>
      </c>
      <c r="J596" s="52" t="s">
        <v>607</v>
      </c>
      <c r="K596" s="52" t="s">
        <v>607</v>
      </c>
      <c r="L596" s="52" t="s">
        <v>607</v>
      </c>
      <c r="M596" s="52" t="s">
        <v>607</v>
      </c>
      <c r="N596" s="52" t="s">
        <v>607</v>
      </c>
      <c r="O596" s="52"/>
      <c r="P596" s="52"/>
      <c r="Q596" s="52"/>
      <c r="R596" s="51" t="b">
        <v>0</v>
      </c>
      <c r="S596" s="51"/>
      <c r="T596" s="52"/>
      <c r="U596" s="51" t="b">
        <v>0</v>
      </c>
      <c r="V596" s="51" t="b">
        <v>0</v>
      </c>
      <c r="W596" s="51" t="b">
        <v>0</v>
      </c>
      <c r="X596" s="51" t="b">
        <v>0</v>
      </c>
      <c r="Y596" s="51" t="b">
        <v>0</v>
      </c>
      <c r="Z596" s="51" t="b">
        <v>0</v>
      </c>
      <c r="AA596" s="68"/>
      <c r="AB596" s="52"/>
      <c r="AC596" s="52"/>
      <c r="AD596" s="52"/>
      <c r="AE596" s="56" t="s">
        <v>607</v>
      </c>
      <c r="AF596" s="56" t="s">
        <v>607</v>
      </c>
    </row>
    <row r="597">
      <c r="A597" s="52" t="s">
        <v>2490</v>
      </c>
      <c r="B597" s="52" t="s">
        <v>16</v>
      </c>
      <c r="C597" s="52" t="s">
        <v>221</v>
      </c>
      <c r="D597" s="65">
        <v>0.5828935185185193</v>
      </c>
      <c r="E597" s="65">
        <v>3.4722222222222224E-4</v>
      </c>
      <c r="F597" s="65">
        <v>0.5832407407407416</v>
      </c>
      <c r="G597" s="65" t="s">
        <v>189</v>
      </c>
      <c r="H597" s="52" t="s">
        <v>81</v>
      </c>
      <c r="I597" s="52" t="s">
        <v>81</v>
      </c>
      <c r="J597" s="52"/>
      <c r="K597" s="52"/>
      <c r="L597" s="52"/>
      <c r="M597" s="52"/>
      <c r="N597" s="52"/>
      <c r="O597" s="52"/>
      <c r="P597" s="52"/>
      <c r="Q597" s="52"/>
      <c r="R597" s="51" t="b">
        <v>0</v>
      </c>
      <c r="S597" s="51"/>
      <c r="T597" s="52"/>
      <c r="U597" s="51" t="b">
        <v>0</v>
      </c>
      <c r="V597" s="51" t="b">
        <v>0</v>
      </c>
      <c r="W597" s="51" t="b">
        <v>0</v>
      </c>
      <c r="X597" s="51" t="b">
        <v>0</v>
      </c>
      <c r="Y597" s="51" t="b">
        <v>0</v>
      </c>
      <c r="Z597" s="51" t="b">
        <v>0</v>
      </c>
      <c r="AA597" s="68"/>
      <c r="AB597" s="52"/>
      <c r="AC597" s="52"/>
      <c r="AD597" s="52"/>
      <c r="AE597" s="56"/>
      <c r="AF597" s="56" t="s">
        <v>1944</v>
      </c>
    </row>
    <row r="598">
      <c r="A598" s="52" t="s">
        <v>2491</v>
      </c>
      <c r="B598" s="52" t="s">
        <v>16</v>
      </c>
      <c r="C598" s="52" t="s">
        <v>221</v>
      </c>
      <c r="D598" s="65">
        <v>0.5832407407407416</v>
      </c>
      <c r="E598" s="65">
        <v>0.010231481481481482</v>
      </c>
      <c r="F598" s="65">
        <v>0.5934722222222231</v>
      </c>
      <c r="G598" s="65" t="s">
        <v>189</v>
      </c>
      <c r="H598" s="52" t="s">
        <v>165</v>
      </c>
      <c r="I598" s="52" t="s">
        <v>709</v>
      </c>
      <c r="J598" s="52" t="s">
        <v>710</v>
      </c>
      <c r="K598" s="52"/>
      <c r="L598" s="52"/>
      <c r="M598" s="52"/>
      <c r="N598" s="52"/>
      <c r="O598" s="69" t="s">
        <v>1926</v>
      </c>
      <c r="P598" s="69" t="s">
        <v>17</v>
      </c>
      <c r="Q598" s="77" t="s">
        <v>2492</v>
      </c>
      <c r="R598" s="51" t="b">
        <v>1</v>
      </c>
      <c r="S598" s="78" t="s">
        <v>709</v>
      </c>
      <c r="T598" s="52"/>
      <c r="U598" s="51" t="b">
        <v>0</v>
      </c>
      <c r="V598" s="51" t="b">
        <v>1</v>
      </c>
      <c r="W598" s="51" t="b">
        <v>1</v>
      </c>
      <c r="X598" s="51" t="b">
        <v>1</v>
      </c>
      <c r="Y598" s="51" t="b">
        <v>0</v>
      </c>
      <c r="Z598" s="51" t="b">
        <v>0</v>
      </c>
      <c r="AA598" s="71">
        <v>0.010231481481481482</v>
      </c>
      <c r="AB598" s="69"/>
      <c r="AC598" s="72"/>
      <c r="AD598" s="73" t="s">
        <v>2493</v>
      </c>
      <c r="AE598" s="56" t="s">
        <v>743</v>
      </c>
      <c r="AF598" s="56" t="s">
        <v>946</v>
      </c>
    </row>
    <row r="599">
      <c r="A599" s="52" t="s">
        <v>2494</v>
      </c>
      <c r="B599" s="52" t="s">
        <v>607</v>
      </c>
      <c r="C599" s="52" t="s">
        <v>607</v>
      </c>
      <c r="D599" s="65" t="s">
        <v>607</v>
      </c>
      <c r="E599" s="65" t="s">
        <v>607</v>
      </c>
      <c r="F599" s="65" t="s">
        <v>607</v>
      </c>
      <c r="G599" s="65" t="s">
        <v>607</v>
      </c>
      <c r="H599" s="52" t="s">
        <v>607</v>
      </c>
      <c r="I599" s="52" t="s">
        <v>607</v>
      </c>
      <c r="J599" s="52" t="s">
        <v>607</v>
      </c>
      <c r="K599" s="52" t="s">
        <v>607</v>
      </c>
      <c r="L599" s="52" t="s">
        <v>607</v>
      </c>
      <c r="M599" s="52" t="s">
        <v>607</v>
      </c>
      <c r="N599" s="52" t="s">
        <v>607</v>
      </c>
      <c r="O599" s="52"/>
      <c r="P599" s="52"/>
      <c r="Q599" s="52"/>
      <c r="R599" s="51" t="b">
        <v>0</v>
      </c>
      <c r="S599" s="51"/>
      <c r="T599" s="52"/>
      <c r="U599" s="51" t="b">
        <v>0</v>
      </c>
      <c r="V599" s="51" t="b">
        <v>0</v>
      </c>
      <c r="W599" s="51" t="b">
        <v>0</v>
      </c>
      <c r="X599" s="51" t="b">
        <v>0</v>
      </c>
      <c r="Y599" s="51" t="b">
        <v>0</v>
      </c>
      <c r="Z599" s="51" t="b">
        <v>0</v>
      </c>
      <c r="AA599" s="68"/>
      <c r="AB599" s="52"/>
      <c r="AC599" s="52"/>
      <c r="AD599" s="52"/>
      <c r="AE599" s="56" t="s">
        <v>607</v>
      </c>
      <c r="AF599" s="56" t="s">
        <v>607</v>
      </c>
    </row>
    <row r="600">
      <c r="A600" s="52" t="s">
        <v>2495</v>
      </c>
      <c r="B600" s="52" t="s">
        <v>16</v>
      </c>
      <c r="C600" s="52" t="s">
        <v>221</v>
      </c>
      <c r="D600" s="65">
        <v>0.615173611111112</v>
      </c>
      <c r="E600" s="65">
        <v>3.4722222222222224E-4</v>
      </c>
      <c r="F600" s="65">
        <v>0.6155208333333343</v>
      </c>
      <c r="G600" s="65" t="s">
        <v>189</v>
      </c>
      <c r="H600" s="52" t="s">
        <v>81</v>
      </c>
      <c r="I600" s="52" t="s">
        <v>81</v>
      </c>
      <c r="J600" s="52"/>
      <c r="K600" s="52"/>
      <c r="L600" s="52"/>
      <c r="M600" s="52"/>
      <c r="N600" s="52" t="s">
        <v>70</v>
      </c>
      <c r="O600" s="52"/>
      <c r="P600" s="52"/>
      <c r="Q600" s="52"/>
      <c r="R600" s="51" t="b">
        <v>0</v>
      </c>
      <c r="S600" s="51"/>
      <c r="T600" s="52"/>
      <c r="U600" s="51" t="b">
        <v>0</v>
      </c>
      <c r="V600" s="51" t="b">
        <v>0</v>
      </c>
      <c r="W600" s="51" t="b">
        <v>0</v>
      </c>
      <c r="X600" s="51" t="b">
        <v>0</v>
      </c>
      <c r="Y600" s="51" t="b">
        <v>0</v>
      </c>
      <c r="Z600" s="51" t="b">
        <v>0</v>
      </c>
      <c r="AA600" s="68"/>
      <c r="AB600" s="52"/>
      <c r="AC600" s="52"/>
      <c r="AD600" s="52"/>
      <c r="AE600" s="56"/>
      <c r="AF600" s="56" t="s">
        <v>1944</v>
      </c>
    </row>
    <row r="601">
      <c r="A601" s="52" t="s">
        <v>2496</v>
      </c>
      <c r="B601" s="52" t="s">
        <v>16</v>
      </c>
      <c r="C601" s="52" t="s">
        <v>221</v>
      </c>
      <c r="D601" s="65">
        <v>0.6155208333333343</v>
      </c>
      <c r="E601" s="65">
        <v>0.008333333333333333</v>
      </c>
      <c r="F601" s="65">
        <v>0.6238541666666676</v>
      </c>
      <c r="G601" s="65" t="s">
        <v>189</v>
      </c>
      <c r="H601" s="52" t="s">
        <v>94</v>
      </c>
      <c r="I601" s="52" t="s">
        <v>724</v>
      </c>
      <c r="J601" s="52" t="s">
        <v>725</v>
      </c>
      <c r="K601" s="52"/>
      <c r="L601" s="52"/>
      <c r="M601" s="52"/>
      <c r="N601" s="52" t="s">
        <v>321</v>
      </c>
      <c r="O601" s="52"/>
      <c r="P601" s="52"/>
      <c r="Q601" s="52"/>
      <c r="R601" s="51" t="b">
        <v>0</v>
      </c>
      <c r="S601" s="52"/>
      <c r="T601" s="52"/>
      <c r="U601" s="51" t="b">
        <v>0</v>
      </c>
      <c r="V601" s="51" t="b">
        <v>0</v>
      </c>
      <c r="W601" s="51" t="b">
        <v>0</v>
      </c>
      <c r="X601" s="51" t="b">
        <v>0</v>
      </c>
      <c r="Y601" s="51" t="b">
        <v>0</v>
      </c>
      <c r="Z601" s="51" t="b">
        <v>0</v>
      </c>
      <c r="AA601" s="68"/>
      <c r="AB601" s="52"/>
      <c r="AC601" s="52"/>
      <c r="AD601" s="52"/>
      <c r="AE601" s="56" t="s">
        <v>652</v>
      </c>
      <c r="AF601" s="56" t="s">
        <v>630</v>
      </c>
    </row>
    <row r="602">
      <c r="A602" s="52" t="s">
        <v>2497</v>
      </c>
      <c r="B602" s="52" t="s">
        <v>16</v>
      </c>
      <c r="C602" s="52" t="s">
        <v>221</v>
      </c>
      <c r="D602" s="65">
        <v>0.6238541666666676</v>
      </c>
      <c r="E602" s="65">
        <v>1.7361111111111112E-4</v>
      </c>
      <c r="F602" s="65">
        <v>0.6240277777777787</v>
      </c>
      <c r="G602" s="65" t="s">
        <v>189</v>
      </c>
      <c r="H602" s="52" t="s">
        <v>85</v>
      </c>
      <c r="I602" s="52" t="s">
        <v>85</v>
      </c>
      <c r="J602" s="52"/>
      <c r="K602" s="52"/>
      <c r="L602" s="52"/>
      <c r="M602" s="52"/>
      <c r="N602" s="52" t="s">
        <v>70</v>
      </c>
      <c r="O602" s="52"/>
      <c r="P602" s="69"/>
      <c r="Q602" s="52"/>
      <c r="R602" s="51" t="b">
        <v>0</v>
      </c>
      <c r="S602" s="51"/>
      <c r="T602" s="52"/>
      <c r="U602" s="51" t="b">
        <v>0</v>
      </c>
      <c r="V602" s="51" t="b">
        <v>0</v>
      </c>
      <c r="W602" s="51" t="b">
        <v>0</v>
      </c>
      <c r="X602" s="51" t="b">
        <v>0</v>
      </c>
      <c r="Y602" s="51" t="b">
        <v>0</v>
      </c>
      <c r="Z602" s="51" t="b">
        <v>0</v>
      </c>
      <c r="AA602" s="68"/>
      <c r="AB602" s="52"/>
      <c r="AC602" s="52"/>
      <c r="AD602" s="52"/>
      <c r="AE602" s="56"/>
      <c r="AF602" s="56" t="s">
        <v>1944</v>
      </c>
    </row>
    <row r="603">
      <c r="A603" s="52" t="s">
        <v>2498</v>
      </c>
      <c r="B603" s="52" t="s">
        <v>16</v>
      </c>
      <c r="C603" s="52" t="s">
        <v>221</v>
      </c>
      <c r="D603" s="65"/>
      <c r="E603" s="65"/>
      <c r="F603" s="65"/>
      <c r="G603" s="65"/>
      <c r="H603" s="52"/>
      <c r="I603" s="52"/>
      <c r="J603" s="52"/>
      <c r="K603" s="52"/>
      <c r="L603" s="52"/>
      <c r="M603" s="52"/>
      <c r="N603" s="52" t="s">
        <v>70</v>
      </c>
      <c r="O603" s="52"/>
      <c r="P603" s="52"/>
      <c r="Q603" s="52"/>
      <c r="R603" s="51" t="b">
        <v>0</v>
      </c>
      <c r="S603" s="51"/>
      <c r="T603" s="52"/>
      <c r="U603" s="51" t="b">
        <v>0</v>
      </c>
      <c r="V603" s="51" t="b">
        <v>0</v>
      </c>
      <c r="W603" s="51" t="b">
        <v>0</v>
      </c>
      <c r="X603" s="51" t="b">
        <v>0</v>
      </c>
      <c r="Y603" s="51" t="b">
        <v>0</v>
      </c>
      <c r="Z603" s="51" t="b">
        <v>0</v>
      </c>
      <c r="AA603" s="68"/>
      <c r="AB603" s="52"/>
      <c r="AC603" s="52"/>
      <c r="AD603" s="52"/>
      <c r="AE603" s="56"/>
      <c r="AF603" s="56"/>
    </row>
    <row r="604">
      <c r="A604" s="52" t="s">
        <v>2499</v>
      </c>
      <c r="B604" s="52" t="s">
        <v>607</v>
      </c>
      <c r="C604" s="52" t="s">
        <v>607</v>
      </c>
      <c r="D604" s="65" t="s">
        <v>607</v>
      </c>
      <c r="E604" s="65" t="s">
        <v>607</v>
      </c>
      <c r="F604" s="65" t="s">
        <v>607</v>
      </c>
      <c r="G604" s="65" t="s">
        <v>607</v>
      </c>
      <c r="H604" s="52" t="s">
        <v>607</v>
      </c>
      <c r="I604" s="52" t="s">
        <v>607</v>
      </c>
      <c r="J604" s="52" t="s">
        <v>607</v>
      </c>
      <c r="K604" s="52" t="s">
        <v>607</v>
      </c>
      <c r="L604" s="52" t="s">
        <v>607</v>
      </c>
      <c r="M604" s="52" t="s">
        <v>607</v>
      </c>
      <c r="N604" s="52" t="s">
        <v>607</v>
      </c>
      <c r="O604" s="52"/>
      <c r="P604" s="52"/>
      <c r="Q604" s="52"/>
      <c r="R604" s="51" t="b">
        <v>0</v>
      </c>
      <c r="S604" s="51"/>
      <c r="T604" s="52"/>
      <c r="U604" s="51" t="b">
        <v>0</v>
      </c>
      <c r="V604" s="51" t="b">
        <v>0</v>
      </c>
      <c r="W604" s="51" t="b">
        <v>0</v>
      </c>
      <c r="X604" s="51" t="b">
        <v>0</v>
      </c>
      <c r="Y604" s="51" t="b">
        <v>0</v>
      </c>
      <c r="Z604" s="51" t="b">
        <v>0</v>
      </c>
      <c r="AA604" s="68"/>
      <c r="AB604" s="52"/>
      <c r="AC604" s="52"/>
      <c r="AD604" s="52"/>
      <c r="AE604" s="56" t="s">
        <v>607</v>
      </c>
      <c r="AF604" s="56" t="s">
        <v>607</v>
      </c>
    </row>
    <row r="605">
      <c r="A605" s="52" t="s">
        <v>2500</v>
      </c>
      <c r="B605" s="52" t="s">
        <v>785</v>
      </c>
      <c r="C605" s="52" t="s">
        <v>289</v>
      </c>
      <c r="D605" s="65">
        <v>0.4496412037037037</v>
      </c>
      <c r="E605" s="65">
        <v>0.010416666666666666</v>
      </c>
      <c r="F605" s="65">
        <v>0.4600578703703704</v>
      </c>
      <c r="G605" s="65" t="s">
        <v>737</v>
      </c>
      <c r="H605" s="52" t="s">
        <v>74</v>
      </c>
      <c r="I605" s="52" t="s">
        <v>1829</v>
      </c>
      <c r="J605" s="52" t="s">
        <v>1830</v>
      </c>
      <c r="K605" s="52" t="s">
        <v>1831</v>
      </c>
      <c r="L605" s="52" t="s">
        <v>1832</v>
      </c>
      <c r="M605" s="52"/>
      <c r="N605" s="52" t="s">
        <v>184</v>
      </c>
      <c r="O605" s="52"/>
      <c r="P605" s="69" t="s">
        <v>28</v>
      </c>
      <c r="Q605" s="76" t="s">
        <v>2501</v>
      </c>
      <c r="R605" s="51" t="b">
        <v>1</v>
      </c>
      <c r="S605" s="52" t="s">
        <v>1829</v>
      </c>
      <c r="T605" s="52"/>
      <c r="U605" s="51" t="b">
        <v>0</v>
      </c>
      <c r="V605" s="51" t="b">
        <v>1</v>
      </c>
      <c r="W605" s="51" t="b">
        <v>0</v>
      </c>
      <c r="X605" s="51" t="b">
        <v>0</v>
      </c>
      <c r="Y605" s="51" t="b">
        <v>1</v>
      </c>
      <c r="Z605" s="51" t="b">
        <v>0</v>
      </c>
      <c r="AA605" s="71">
        <v>0.010324074074074074</v>
      </c>
      <c r="AB605" s="69" t="s">
        <v>2502</v>
      </c>
      <c r="AC605" s="69" t="s">
        <v>2503</v>
      </c>
      <c r="AD605" s="136" t="s">
        <v>2504</v>
      </c>
      <c r="AE605" s="56" t="s">
        <v>629</v>
      </c>
      <c r="AF605" s="56" t="s">
        <v>1076</v>
      </c>
    </row>
    <row r="606">
      <c r="A606" s="52" t="s">
        <v>2505</v>
      </c>
      <c r="B606" s="52" t="s">
        <v>607</v>
      </c>
      <c r="C606" s="52" t="s">
        <v>607</v>
      </c>
      <c r="D606" s="65" t="s">
        <v>607</v>
      </c>
      <c r="E606" s="65" t="s">
        <v>607</v>
      </c>
      <c r="F606" s="65" t="s">
        <v>607</v>
      </c>
      <c r="G606" s="65" t="s">
        <v>607</v>
      </c>
      <c r="H606" s="52" t="s">
        <v>607</v>
      </c>
      <c r="I606" s="52" t="s">
        <v>607</v>
      </c>
      <c r="J606" s="52" t="s">
        <v>607</v>
      </c>
      <c r="K606" s="52" t="s">
        <v>607</v>
      </c>
      <c r="L606" s="52" t="s">
        <v>607</v>
      </c>
      <c r="M606" s="52" t="s">
        <v>607</v>
      </c>
      <c r="N606" s="52" t="s">
        <v>607</v>
      </c>
      <c r="O606" s="52"/>
      <c r="P606" s="52"/>
      <c r="Q606" s="52"/>
      <c r="R606" s="51" t="b">
        <v>0</v>
      </c>
      <c r="S606" s="51"/>
      <c r="T606" s="52"/>
      <c r="U606" s="51" t="b">
        <v>0</v>
      </c>
      <c r="V606" s="51" t="b">
        <v>0</v>
      </c>
      <c r="W606" s="51" t="b">
        <v>0</v>
      </c>
      <c r="X606" s="51" t="b">
        <v>0</v>
      </c>
      <c r="Y606" s="51" t="b">
        <v>0</v>
      </c>
      <c r="Z606" s="51" t="b">
        <v>0</v>
      </c>
      <c r="AA606" s="68"/>
      <c r="AB606" s="52"/>
      <c r="AC606" s="52"/>
      <c r="AD606" s="52"/>
      <c r="AE606" s="56" t="s">
        <v>607</v>
      </c>
      <c r="AF606" s="56" t="s">
        <v>607</v>
      </c>
    </row>
    <row r="607">
      <c r="A607" s="52" t="s">
        <v>2506</v>
      </c>
      <c r="B607" s="52" t="s">
        <v>14</v>
      </c>
      <c r="C607" s="52" t="s">
        <v>66</v>
      </c>
      <c r="D607" s="65">
        <v>0.6117824074074072</v>
      </c>
      <c r="E607" s="65">
        <v>2.314814814814815E-4</v>
      </c>
      <c r="F607" s="65">
        <v>0.6120138888888886</v>
      </c>
      <c r="G607" s="65"/>
      <c r="H607" s="52" t="s">
        <v>81</v>
      </c>
      <c r="I607" s="52" t="s">
        <v>91</v>
      </c>
      <c r="J607" s="52" t="s">
        <v>73</v>
      </c>
      <c r="K607" s="52" t="s">
        <v>128</v>
      </c>
      <c r="L607" s="52"/>
      <c r="M607" s="52"/>
      <c r="N607" s="52"/>
      <c r="O607" s="52"/>
      <c r="P607" s="52"/>
      <c r="Q607" s="52"/>
      <c r="R607" s="51" t="b">
        <v>0</v>
      </c>
      <c r="S607" s="51"/>
      <c r="T607" s="52"/>
      <c r="U607" s="51" t="b">
        <v>0</v>
      </c>
      <c r="V607" s="51" t="b">
        <v>0</v>
      </c>
      <c r="W607" s="51" t="b">
        <v>0</v>
      </c>
      <c r="X607" s="51" t="b">
        <v>0</v>
      </c>
      <c r="Y607" s="51" t="b">
        <v>0</v>
      </c>
      <c r="Z607" s="51" t="b">
        <v>0</v>
      </c>
      <c r="AA607" s="68"/>
      <c r="AB607" s="52"/>
      <c r="AC607" s="52"/>
      <c r="AD607" s="52"/>
      <c r="AE607" s="56"/>
      <c r="AF607" s="56"/>
    </row>
    <row r="608">
      <c r="A608" s="52" t="s">
        <v>2507</v>
      </c>
      <c r="B608" s="52" t="s">
        <v>785</v>
      </c>
      <c r="C608" s="52" t="s">
        <v>221</v>
      </c>
      <c r="D608" s="65">
        <v>0.641712962962963</v>
      </c>
      <c r="E608" s="65">
        <v>1.7361111111111112E-4</v>
      </c>
      <c r="F608" s="65">
        <v>0.6418865740740741</v>
      </c>
      <c r="G608" s="65" t="s">
        <v>737</v>
      </c>
      <c r="H608" s="52" t="s">
        <v>74</v>
      </c>
      <c r="I608" s="52" t="s">
        <v>1763</v>
      </c>
      <c r="J608" s="52" t="s">
        <v>1647</v>
      </c>
      <c r="K608" s="52" t="s">
        <v>1648</v>
      </c>
      <c r="L608" s="52" t="s">
        <v>1649</v>
      </c>
      <c r="M608" s="52"/>
      <c r="N608" s="52" t="s">
        <v>859</v>
      </c>
      <c r="O608" s="69" t="s">
        <v>791</v>
      </c>
      <c r="P608" s="69" t="s">
        <v>20</v>
      </c>
      <c r="Q608" s="76" t="s">
        <v>2508</v>
      </c>
      <c r="R608" s="51" t="b">
        <v>1</v>
      </c>
      <c r="S608" s="52" t="s">
        <v>1646</v>
      </c>
      <c r="T608" s="52"/>
      <c r="U608" s="51" t="b">
        <v>0</v>
      </c>
      <c r="V608" s="51" t="b">
        <v>1</v>
      </c>
      <c r="W608" s="51" t="b">
        <v>1</v>
      </c>
      <c r="X608" s="51" t="b">
        <v>1</v>
      </c>
      <c r="Y608" s="51" t="b">
        <v>0</v>
      </c>
      <c r="Z608" s="51" t="b">
        <v>0</v>
      </c>
      <c r="AA608" s="71">
        <v>0.010462962962962962</v>
      </c>
      <c r="AB608" s="69" t="s">
        <v>2509</v>
      </c>
      <c r="AC608" s="75"/>
      <c r="AD608" s="76" t="s">
        <v>2510</v>
      </c>
      <c r="AE608" s="74" t="s">
        <v>629</v>
      </c>
      <c r="AF608" s="74" t="s">
        <v>1076</v>
      </c>
    </row>
    <row r="609">
      <c r="A609" s="52" t="s">
        <v>2511</v>
      </c>
      <c r="B609" s="52" t="s">
        <v>607</v>
      </c>
      <c r="C609" s="52" t="s">
        <v>607</v>
      </c>
      <c r="D609" s="65" t="s">
        <v>607</v>
      </c>
      <c r="E609" s="65" t="s">
        <v>607</v>
      </c>
      <c r="F609" s="65" t="s">
        <v>607</v>
      </c>
      <c r="G609" s="65" t="s">
        <v>607</v>
      </c>
      <c r="H609" s="52" t="s">
        <v>607</v>
      </c>
      <c r="I609" s="52" t="s">
        <v>607</v>
      </c>
      <c r="J609" s="52" t="s">
        <v>607</v>
      </c>
      <c r="K609" s="52" t="s">
        <v>607</v>
      </c>
      <c r="L609" s="52" t="s">
        <v>607</v>
      </c>
      <c r="M609" s="52" t="s">
        <v>607</v>
      </c>
      <c r="N609" s="52" t="s">
        <v>607</v>
      </c>
      <c r="O609" s="52"/>
      <c r="P609" s="52"/>
      <c r="Q609" s="52"/>
      <c r="R609" s="51" t="b">
        <v>0</v>
      </c>
      <c r="S609" s="51"/>
      <c r="T609" s="52"/>
      <c r="U609" s="51" t="b">
        <v>0</v>
      </c>
      <c r="V609" s="51" t="b">
        <v>0</v>
      </c>
      <c r="W609" s="51" t="b">
        <v>0</v>
      </c>
      <c r="X609" s="51" t="b">
        <v>0</v>
      </c>
      <c r="Y609" s="51" t="b">
        <v>0</v>
      </c>
      <c r="Z609" s="51" t="b">
        <v>0</v>
      </c>
      <c r="AA609" s="68"/>
      <c r="AB609" s="52"/>
      <c r="AC609" s="52"/>
      <c r="AD609" s="52"/>
      <c r="AE609" s="56" t="s">
        <v>607</v>
      </c>
      <c r="AF609" s="56" t="s">
        <v>607</v>
      </c>
    </row>
    <row r="610">
      <c r="A610" s="52" t="s">
        <v>2512</v>
      </c>
      <c r="B610" s="52" t="s">
        <v>16</v>
      </c>
      <c r="C610" s="52" t="s">
        <v>289</v>
      </c>
      <c r="D610" s="65">
        <v>0.4586921296296298</v>
      </c>
      <c r="E610" s="65">
        <v>3.4722222222222224E-4</v>
      </c>
      <c r="F610" s="65">
        <v>0.459039351851852</v>
      </c>
      <c r="G610" s="65" t="s">
        <v>737</v>
      </c>
      <c r="H610" s="52" t="s">
        <v>81</v>
      </c>
      <c r="I610" s="52" t="s">
        <v>81</v>
      </c>
      <c r="J610" s="52"/>
      <c r="K610" s="52"/>
      <c r="L610" s="52"/>
      <c r="M610" s="52"/>
      <c r="N610" s="52"/>
      <c r="O610" s="52"/>
      <c r="P610" s="52"/>
      <c r="Q610" s="52"/>
      <c r="R610" s="51" t="b">
        <v>0</v>
      </c>
      <c r="S610" s="51"/>
      <c r="T610" s="52"/>
      <c r="U610" s="51" t="b">
        <v>0</v>
      </c>
      <c r="V610" s="51" t="b">
        <v>0</v>
      </c>
      <c r="W610" s="51" t="b">
        <v>0</v>
      </c>
      <c r="X610" s="51" t="b">
        <v>0</v>
      </c>
      <c r="Y610" s="51" t="b">
        <v>0</v>
      </c>
      <c r="Z610" s="51" t="b">
        <v>0</v>
      </c>
      <c r="AA610" s="68"/>
      <c r="AB610" s="52"/>
      <c r="AC610" s="52"/>
      <c r="AD610" s="52"/>
      <c r="AE610" s="56"/>
      <c r="AF610" s="56" t="s">
        <v>1944</v>
      </c>
    </row>
    <row r="611">
      <c r="A611" s="52" t="s">
        <v>2513</v>
      </c>
      <c r="B611" s="52" t="s">
        <v>16</v>
      </c>
      <c r="C611" s="52" t="s">
        <v>289</v>
      </c>
      <c r="D611" s="65">
        <v>0.459039351851852</v>
      </c>
      <c r="E611" s="65">
        <v>0.0125</v>
      </c>
      <c r="F611" s="65">
        <v>0.47153935185185203</v>
      </c>
      <c r="G611" s="65" t="s">
        <v>737</v>
      </c>
      <c r="H611" s="52" t="s">
        <v>107</v>
      </c>
      <c r="I611" s="52" t="s">
        <v>817</v>
      </c>
      <c r="J611" s="52" t="s">
        <v>818</v>
      </c>
      <c r="K611" s="52" t="s">
        <v>819</v>
      </c>
      <c r="L611" s="52"/>
      <c r="M611" s="52"/>
      <c r="N611" s="52" t="s">
        <v>214</v>
      </c>
      <c r="O611" s="69" t="s">
        <v>734</v>
      </c>
      <c r="P611" s="69" t="s">
        <v>30</v>
      </c>
      <c r="Q611" s="80" t="s">
        <v>2514</v>
      </c>
      <c r="R611" s="51" t="b">
        <v>1</v>
      </c>
      <c r="S611" s="52" t="s">
        <v>817</v>
      </c>
      <c r="T611" s="52"/>
      <c r="U611" s="51" t="b">
        <v>0</v>
      </c>
      <c r="V611" s="51" t="b">
        <v>1</v>
      </c>
      <c r="W611" s="51" t="b">
        <v>1</v>
      </c>
      <c r="X611" s="51" t="b">
        <v>0</v>
      </c>
      <c r="Y611" s="51" t="b">
        <v>0</v>
      </c>
      <c r="Z611" s="51" t="b">
        <v>0</v>
      </c>
      <c r="AA611" s="71">
        <v>0.012418981481481482</v>
      </c>
      <c r="AB611" s="52"/>
      <c r="AC611" s="52"/>
      <c r="AD611" s="73" t="s">
        <v>2515</v>
      </c>
      <c r="AE611" s="56" t="s">
        <v>629</v>
      </c>
      <c r="AF611" s="56" t="s">
        <v>1253</v>
      </c>
    </row>
    <row r="612">
      <c r="A612" s="52" t="s">
        <v>2516</v>
      </c>
      <c r="B612" s="52" t="s">
        <v>16</v>
      </c>
      <c r="C612" s="52" t="s">
        <v>289</v>
      </c>
      <c r="D612" s="65">
        <v>0.47153935185185203</v>
      </c>
      <c r="E612" s="65">
        <v>1.7361111111111112E-4</v>
      </c>
      <c r="F612" s="65">
        <v>0.47171296296296317</v>
      </c>
      <c r="G612" s="65" t="s">
        <v>737</v>
      </c>
      <c r="H612" s="52" t="s">
        <v>85</v>
      </c>
      <c r="I612" s="52" t="s">
        <v>85</v>
      </c>
      <c r="J612" s="52"/>
      <c r="K612" s="52"/>
      <c r="L612" s="52"/>
      <c r="M612" s="52"/>
      <c r="N612" s="52" t="s">
        <v>70</v>
      </c>
      <c r="O612" s="52"/>
      <c r="P612" s="52"/>
      <c r="Q612" s="52"/>
      <c r="R612" s="51" t="b">
        <v>0</v>
      </c>
      <c r="S612" s="51"/>
      <c r="T612" s="52"/>
      <c r="U612" s="51" t="b">
        <v>0</v>
      </c>
      <c r="V612" s="51" t="b">
        <v>0</v>
      </c>
      <c r="W612" s="51" t="b">
        <v>0</v>
      </c>
      <c r="X612" s="51" t="b">
        <v>0</v>
      </c>
      <c r="Y612" s="51" t="b">
        <v>0</v>
      </c>
      <c r="Z612" s="51" t="b">
        <v>0</v>
      </c>
      <c r="AA612" s="68"/>
      <c r="AB612" s="52"/>
      <c r="AC612" s="52"/>
      <c r="AD612" s="52"/>
      <c r="AE612" s="56"/>
      <c r="AF612" s="56" t="s">
        <v>1944</v>
      </c>
    </row>
    <row r="613">
      <c r="A613" s="52" t="s">
        <v>2517</v>
      </c>
      <c r="B613" s="52" t="s">
        <v>16</v>
      </c>
      <c r="C613" s="52" t="s">
        <v>289</v>
      </c>
      <c r="D613" s="65">
        <v>0.5296296296296303</v>
      </c>
      <c r="E613" s="65">
        <v>3.4722222222222224E-4</v>
      </c>
      <c r="F613" s="65">
        <v>0.5299768518518526</v>
      </c>
      <c r="G613" s="65" t="s">
        <v>737</v>
      </c>
      <c r="H613" s="52" t="s">
        <v>81</v>
      </c>
      <c r="I613" s="52" t="s">
        <v>81</v>
      </c>
      <c r="J613" s="52"/>
      <c r="K613" s="52"/>
      <c r="L613" s="52"/>
      <c r="M613" s="52"/>
      <c r="N613" s="52" t="s">
        <v>70</v>
      </c>
      <c r="O613" s="52"/>
      <c r="P613" s="52"/>
      <c r="Q613" s="52"/>
      <c r="R613" s="51" t="b">
        <v>0</v>
      </c>
      <c r="S613" s="51"/>
      <c r="T613" s="52"/>
      <c r="U613" s="51" t="b">
        <v>0</v>
      </c>
      <c r="V613" s="51" t="b">
        <v>0</v>
      </c>
      <c r="W613" s="51" t="b">
        <v>0</v>
      </c>
      <c r="X613" s="51" t="b">
        <v>0</v>
      </c>
      <c r="Y613" s="51" t="b">
        <v>0</v>
      </c>
      <c r="Z613" s="51" t="b">
        <v>0</v>
      </c>
      <c r="AA613" s="68"/>
      <c r="AB613" s="52"/>
      <c r="AC613" s="52"/>
      <c r="AD613" s="52"/>
      <c r="AE613" s="56"/>
      <c r="AF613" s="56"/>
    </row>
    <row r="614">
      <c r="A614" s="52" t="s">
        <v>2518</v>
      </c>
      <c r="B614" s="52" t="s">
        <v>16</v>
      </c>
      <c r="C614" s="52" t="s">
        <v>289</v>
      </c>
      <c r="D614" s="65">
        <v>0.5299768518518526</v>
      </c>
      <c r="E614" s="65">
        <v>0.010138888888888888</v>
      </c>
      <c r="F614" s="65">
        <v>0.5401157407407415</v>
      </c>
      <c r="G614" s="65" t="s">
        <v>737</v>
      </c>
      <c r="H614" s="52" t="s">
        <v>74</v>
      </c>
      <c r="I614" s="52" t="s">
        <v>855</v>
      </c>
      <c r="J614" s="52" t="s">
        <v>856</v>
      </c>
      <c r="K614" s="52" t="s">
        <v>857</v>
      </c>
      <c r="L614" s="52" t="s">
        <v>858</v>
      </c>
      <c r="M614" s="52"/>
      <c r="N614" s="52" t="s">
        <v>859</v>
      </c>
      <c r="O614" s="69" t="s">
        <v>791</v>
      </c>
      <c r="P614" s="69" t="s">
        <v>30</v>
      </c>
      <c r="Q614" s="80" t="s">
        <v>2519</v>
      </c>
      <c r="R614" s="51" t="b">
        <v>1</v>
      </c>
      <c r="S614" s="78" t="s">
        <v>855</v>
      </c>
      <c r="T614" s="52"/>
      <c r="U614" s="51" t="b">
        <v>0</v>
      </c>
      <c r="V614" s="51" t="b">
        <v>1</v>
      </c>
      <c r="W614" s="51" t="b">
        <v>1</v>
      </c>
      <c r="X614" s="51" t="b">
        <v>1</v>
      </c>
      <c r="Y614" s="51" t="b">
        <v>0</v>
      </c>
      <c r="Z614" s="51" t="b">
        <v>0</v>
      </c>
      <c r="AA614" s="71">
        <v>0.010138888888888888</v>
      </c>
      <c r="AB614" s="69" t="s">
        <v>2520</v>
      </c>
      <c r="AC614" s="72"/>
      <c r="AD614" s="73" t="s">
        <v>2521</v>
      </c>
      <c r="AE614" s="56" t="s">
        <v>629</v>
      </c>
      <c r="AF614" s="56" t="s">
        <v>1076</v>
      </c>
    </row>
    <row r="615">
      <c r="A615" s="52" t="s">
        <v>2522</v>
      </c>
      <c r="B615" s="52" t="s">
        <v>16</v>
      </c>
      <c r="C615" s="52" t="s">
        <v>289</v>
      </c>
      <c r="D615" s="65">
        <v>0.5401157407407415</v>
      </c>
      <c r="E615" s="65">
        <v>1.7361111111111112E-4</v>
      </c>
      <c r="F615" s="65">
        <v>0.5402893518518527</v>
      </c>
      <c r="G615" s="65" t="s">
        <v>737</v>
      </c>
      <c r="H615" s="52" t="s">
        <v>85</v>
      </c>
      <c r="I615" s="52" t="s">
        <v>85</v>
      </c>
      <c r="J615" s="52"/>
      <c r="K615" s="52"/>
      <c r="L615" s="52"/>
      <c r="M615" s="52"/>
      <c r="N615" s="52" t="s">
        <v>70</v>
      </c>
      <c r="O615" s="52"/>
      <c r="P615" s="52"/>
      <c r="Q615" s="52"/>
      <c r="R615" s="51" t="b">
        <v>0</v>
      </c>
      <c r="S615" s="51"/>
      <c r="T615" s="52"/>
      <c r="U615" s="51" t="b">
        <v>0</v>
      </c>
      <c r="V615" s="51" t="b">
        <v>0</v>
      </c>
      <c r="W615" s="51" t="b">
        <v>0</v>
      </c>
      <c r="X615" s="51" t="b">
        <v>0</v>
      </c>
      <c r="Y615" s="51" t="b">
        <v>0</v>
      </c>
      <c r="Z615" s="51" t="b">
        <v>0</v>
      </c>
      <c r="AA615" s="68"/>
      <c r="AB615" s="52"/>
      <c r="AC615" s="52"/>
      <c r="AD615" s="52"/>
      <c r="AE615" s="56"/>
      <c r="AF615" s="56"/>
    </row>
    <row r="616">
      <c r="A616" s="52" t="s">
        <v>2523</v>
      </c>
      <c r="B616" s="52" t="s">
        <v>16</v>
      </c>
      <c r="C616" s="52" t="s">
        <v>221</v>
      </c>
      <c r="D616" s="65"/>
      <c r="E616" s="65"/>
      <c r="F616" s="65"/>
      <c r="G616" s="65"/>
      <c r="H616" s="52"/>
      <c r="I616" s="52"/>
      <c r="J616" s="52"/>
      <c r="K616" s="52"/>
      <c r="L616" s="52"/>
      <c r="M616" s="52"/>
      <c r="N616" s="52"/>
      <c r="O616" s="52"/>
      <c r="P616" s="69"/>
      <c r="Q616" s="52"/>
      <c r="R616" s="51" t="b">
        <v>0</v>
      </c>
      <c r="S616" s="51"/>
      <c r="T616" s="52"/>
      <c r="U616" s="51" t="b">
        <v>0</v>
      </c>
      <c r="V616" s="51" t="b">
        <v>0</v>
      </c>
      <c r="W616" s="51" t="b">
        <v>0</v>
      </c>
      <c r="X616" s="51" t="b">
        <v>0</v>
      </c>
      <c r="Y616" s="51" t="b">
        <v>0</v>
      </c>
      <c r="Z616" s="51" t="b">
        <v>0</v>
      </c>
      <c r="AA616" s="68"/>
      <c r="AB616" s="52"/>
      <c r="AC616" s="52"/>
      <c r="AD616" s="52"/>
      <c r="AE616" s="56"/>
      <c r="AF616" s="56"/>
    </row>
    <row r="617">
      <c r="A617" s="52" t="s">
        <v>2524</v>
      </c>
      <c r="B617" s="52" t="s">
        <v>607</v>
      </c>
      <c r="C617" s="52" t="s">
        <v>607</v>
      </c>
      <c r="D617" s="65" t="s">
        <v>607</v>
      </c>
      <c r="E617" s="65" t="s">
        <v>607</v>
      </c>
      <c r="F617" s="65" t="s">
        <v>607</v>
      </c>
      <c r="G617" s="65" t="s">
        <v>607</v>
      </c>
      <c r="H617" s="52" t="s">
        <v>607</v>
      </c>
      <c r="I617" s="52" t="s">
        <v>607</v>
      </c>
      <c r="J617" s="52" t="s">
        <v>607</v>
      </c>
      <c r="K617" s="52" t="s">
        <v>607</v>
      </c>
      <c r="L617" s="52" t="s">
        <v>607</v>
      </c>
      <c r="M617" s="52" t="s">
        <v>607</v>
      </c>
      <c r="N617" s="52" t="s">
        <v>607</v>
      </c>
      <c r="O617" s="52"/>
      <c r="P617" s="52"/>
      <c r="Q617" s="52"/>
      <c r="R617" s="51" t="b">
        <v>0</v>
      </c>
      <c r="S617" s="51"/>
      <c r="T617" s="52"/>
      <c r="U617" s="51" t="b">
        <v>0</v>
      </c>
      <c r="V617" s="51" t="b">
        <v>0</v>
      </c>
      <c r="W617" s="51" t="b">
        <v>0</v>
      </c>
      <c r="X617" s="51" t="b">
        <v>0</v>
      </c>
      <c r="Y617" s="51" t="b">
        <v>0</v>
      </c>
      <c r="Z617" s="51" t="b">
        <v>0</v>
      </c>
      <c r="AA617" s="68"/>
      <c r="AB617" s="52"/>
      <c r="AC617" s="52"/>
      <c r="AD617" s="52"/>
      <c r="AE617" s="56" t="s">
        <v>607</v>
      </c>
      <c r="AF617" s="56" t="s">
        <v>607</v>
      </c>
    </row>
    <row r="618">
      <c r="A618" s="52" t="s">
        <v>2525</v>
      </c>
      <c r="B618" s="52" t="s">
        <v>16</v>
      </c>
      <c r="C618" s="52" t="s">
        <v>221</v>
      </c>
      <c r="D618" s="65">
        <v>0.6676041666666678</v>
      </c>
      <c r="E618" s="65">
        <v>3.4722222222222224E-4</v>
      </c>
      <c r="F618" s="65">
        <v>0.66795138888889</v>
      </c>
      <c r="G618" s="65" t="s">
        <v>754</v>
      </c>
      <c r="H618" s="52" t="s">
        <v>81</v>
      </c>
      <c r="I618" s="52" t="s">
        <v>81</v>
      </c>
      <c r="J618" s="52"/>
      <c r="K618" s="52"/>
      <c r="L618" s="52"/>
      <c r="M618" s="52"/>
      <c r="N618" s="52"/>
      <c r="O618" s="52"/>
      <c r="P618" s="52"/>
      <c r="Q618" s="52"/>
      <c r="R618" s="51" t="b">
        <v>0</v>
      </c>
      <c r="S618" s="51"/>
      <c r="T618" s="52"/>
      <c r="U618" s="51" t="b">
        <v>0</v>
      </c>
      <c r="V618" s="51" t="b">
        <v>0</v>
      </c>
      <c r="W618" s="51" t="b">
        <v>0</v>
      </c>
      <c r="X618" s="51" t="b">
        <v>0</v>
      </c>
      <c r="Y618" s="51" t="b">
        <v>0</v>
      </c>
      <c r="Z618" s="51" t="b">
        <v>0</v>
      </c>
      <c r="AA618" s="68"/>
      <c r="AB618" s="52"/>
      <c r="AC618" s="52"/>
      <c r="AD618" s="52"/>
      <c r="AE618" s="56"/>
      <c r="AF618" s="56" t="s">
        <v>1944</v>
      </c>
    </row>
    <row r="619">
      <c r="A619" s="52" t="s">
        <v>2526</v>
      </c>
      <c r="B619" s="52" t="s">
        <v>16</v>
      </c>
      <c r="C619" s="52" t="s">
        <v>221</v>
      </c>
      <c r="D619" s="65">
        <v>0.66795138888889</v>
      </c>
      <c r="E619" s="65">
        <v>0.008333333333333333</v>
      </c>
      <c r="F619" s="65">
        <v>0.6762847222222234</v>
      </c>
      <c r="G619" s="65" t="s">
        <v>754</v>
      </c>
      <c r="H619" s="52" t="s">
        <v>107</v>
      </c>
      <c r="I619" s="52" t="s">
        <v>758</v>
      </c>
      <c r="J619" s="52" t="s">
        <v>759</v>
      </c>
      <c r="K619" s="52" t="s">
        <v>760</v>
      </c>
      <c r="L619" s="52"/>
      <c r="M619" s="52"/>
      <c r="N619" s="52" t="s">
        <v>761</v>
      </c>
      <c r="O619" s="52"/>
      <c r="P619" s="69" t="s">
        <v>15</v>
      </c>
      <c r="Q619" s="80" t="s">
        <v>2527</v>
      </c>
      <c r="R619" s="51" t="b">
        <v>0</v>
      </c>
      <c r="S619" s="52" t="s">
        <v>758</v>
      </c>
      <c r="T619" s="52"/>
      <c r="U619" s="51" t="b">
        <v>0</v>
      </c>
      <c r="V619" s="51" t="b">
        <v>0</v>
      </c>
      <c r="W619" s="51" t="b">
        <v>0</v>
      </c>
      <c r="X619" s="51" t="b">
        <v>0</v>
      </c>
      <c r="Y619" s="51" t="b">
        <v>0</v>
      </c>
      <c r="Z619" s="51" t="b">
        <v>0</v>
      </c>
      <c r="AA619" s="68"/>
      <c r="AB619" s="52"/>
      <c r="AC619" s="52"/>
      <c r="AD619" s="52"/>
      <c r="AE619" s="56" t="s">
        <v>629</v>
      </c>
      <c r="AF619" s="56" t="s">
        <v>1631</v>
      </c>
    </row>
    <row r="620">
      <c r="A620" s="52" t="s">
        <v>2528</v>
      </c>
      <c r="B620" s="52" t="s">
        <v>16</v>
      </c>
      <c r="C620" s="52" t="s">
        <v>221</v>
      </c>
      <c r="D620" s="65">
        <v>0.6762847222222234</v>
      </c>
      <c r="E620" s="65">
        <v>1.7361111111111112E-4</v>
      </c>
      <c r="F620" s="65">
        <v>0.6764583333333345</v>
      </c>
      <c r="G620" s="65" t="s">
        <v>754</v>
      </c>
      <c r="H620" s="52" t="s">
        <v>85</v>
      </c>
      <c r="I620" s="52" t="s">
        <v>85</v>
      </c>
      <c r="J620" s="52"/>
      <c r="K620" s="52"/>
      <c r="L620" s="52"/>
      <c r="M620" s="52"/>
      <c r="N620" s="52" t="s">
        <v>70</v>
      </c>
      <c r="O620" s="52"/>
      <c r="P620" s="69"/>
      <c r="Q620" s="52"/>
      <c r="R620" s="51" t="b">
        <v>0</v>
      </c>
      <c r="S620" s="51"/>
      <c r="T620" s="52"/>
      <c r="U620" s="51" t="b">
        <v>0</v>
      </c>
      <c r="V620" s="51" t="b">
        <v>0</v>
      </c>
      <c r="W620" s="51" t="b">
        <v>0</v>
      </c>
      <c r="X620" s="51" t="b">
        <v>0</v>
      </c>
      <c r="Y620" s="51" t="b">
        <v>0</v>
      </c>
      <c r="Z620" s="51" t="b">
        <v>0</v>
      </c>
      <c r="AA620" s="68"/>
      <c r="AB620" s="52"/>
      <c r="AC620" s="52"/>
      <c r="AD620" s="52"/>
      <c r="AE620" s="56"/>
      <c r="AF620" s="56" t="s">
        <v>1944</v>
      </c>
    </row>
    <row r="621">
      <c r="A621" s="52" t="s">
        <v>2529</v>
      </c>
      <c r="B621" s="52" t="s">
        <v>607</v>
      </c>
      <c r="C621" s="52" t="s">
        <v>607</v>
      </c>
      <c r="D621" s="65" t="s">
        <v>607</v>
      </c>
      <c r="E621" s="65" t="s">
        <v>607</v>
      </c>
      <c r="F621" s="65" t="s">
        <v>607</v>
      </c>
      <c r="G621" s="65" t="s">
        <v>607</v>
      </c>
      <c r="H621" s="52" t="s">
        <v>607</v>
      </c>
      <c r="I621" s="52" t="s">
        <v>607</v>
      </c>
      <c r="J621" s="52" t="s">
        <v>607</v>
      </c>
      <c r="K621" s="52" t="s">
        <v>607</v>
      </c>
      <c r="L621" s="52" t="s">
        <v>607</v>
      </c>
      <c r="M621" s="52" t="s">
        <v>607</v>
      </c>
      <c r="N621" s="52" t="s">
        <v>607</v>
      </c>
      <c r="O621" s="52"/>
      <c r="P621" s="52"/>
      <c r="Q621" s="52"/>
      <c r="R621" s="51" t="b">
        <v>0</v>
      </c>
      <c r="S621" s="51"/>
      <c r="T621" s="52"/>
      <c r="U621" s="51" t="b">
        <v>0</v>
      </c>
      <c r="V621" s="51" t="b">
        <v>0</v>
      </c>
      <c r="W621" s="51" t="b">
        <v>0</v>
      </c>
      <c r="X621" s="51" t="b">
        <v>0</v>
      </c>
      <c r="Y621" s="51" t="b">
        <v>0</v>
      </c>
      <c r="Z621" s="51" t="b">
        <v>0</v>
      </c>
      <c r="AA621" s="68"/>
      <c r="AB621" s="52"/>
      <c r="AC621" s="52"/>
      <c r="AD621" s="52"/>
      <c r="AE621" s="56" t="s">
        <v>607</v>
      </c>
      <c r="AF621" s="56" t="s">
        <v>607</v>
      </c>
    </row>
    <row r="622">
      <c r="A622" s="52" t="s">
        <v>2530</v>
      </c>
      <c r="B622" s="52" t="s">
        <v>16</v>
      </c>
      <c r="C622" s="52" t="s">
        <v>221</v>
      </c>
      <c r="D622" s="65">
        <v>0.6764583333333345</v>
      </c>
      <c r="E622" s="65">
        <v>3.4722222222222224E-4</v>
      </c>
      <c r="F622" s="65">
        <v>0.6768055555555568</v>
      </c>
      <c r="G622" s="65" t="s">
        <v>754</v>
      </c>
      <c r="H622" s="52" t="s">
        <v>81</v>
      </c>
      <c r="I622" s="52" t="s">
        <v>81</v>
      </c>
      <c r="J622" s="52"/>
      <c r="K622" s="52"/>
      <c r="L622" s="52"/>
      <c r="M622" s="52"/>
      <c r="N622" s="52" t="s">
        <v>70</v>
      </c>
      <c r="O622" s="52"/>
      <c r="P622" s="52"/>
      <c r="Q622" s="52"/>
      <c r="R622" s="51" t="b">
        <v>0</v>
      </c>
      <c r="S622" s="51"/>
      <c r="T622" s="52"/>
      <c r="U622" s="51" t="b">
        <v>0</v>
      </c>
      <c r="V622" s="51" t="b">
        <v>0</v>
      </c>
      <c r="W622" s="51" t="b">
        <v>0</v>
      </c>
      <c r="X622" s="51" t="b">
        <v>0</v>
      </c>
      <c r="Y622" s="51" t="b">
        <v>0</v>
      </c>
      <c r="Z622" s="51" t="b">
        <v>0</v>
      </c>
      <c r="AA622" s="68"/>
      <c r="AB622" s="52"/>
      <c r="AC622" s="52"/>
      <c r="AD622" s="52"/>
      <c r="AE622" s="56"/>
      <c r="AF622" s="56" t="s">
        <v>1944</v>
      </c>
    </row>
    <row r="623">
      <c r="A623" s="52" t="s">
        <v>2531</v>
      </c>
      <c r="B623" s="52" t="s">
        <v>16</v>
      </c>
      <c r="C623" s="52" t="s">
        <v>221</v>
      </c>
      <c r="D623" s="65">
        <v>0.6768055555555568</v>
      </c>
      <c r="E623" s="65">
        <v>0.013888888888888888</v>
      </c>
      <c r="F623" s="65">
        <v>0.6906944444444456</v>
      </c>
      <c r="G623" s="65" t="s">
        <v>754</v>
      </c>
      <c r="H623" s="52" t="s">
        <v>94</v>
      </c>
      <c r="I623" s="52" t="s">
        <v>763</v>
      </c>
      <c r="J623" s="52" t="s">
        <v>764</v>
      </c>
      <c r="K623" s="52"/>
      <c r="L623" s="52"/>
      <c r="M623" s="52"/>
      <c r="N623" s="52" t="s">
        <v>765</v>
      </c>
      <c r="O623" s="52"/>
      <c r="P623" s="69"/>
      <c r="Q623" s="52"/>
      <c r="R623" s="51" t="b">
        <v>0</v>
      </c>
      <c r="S623" s="51"/>
      <c r="T623" s="52"/>
      <c r="U623" s="51" t="b">
        <v>0</v>
      </c>
      <c r="V623" s="51" t="b">
        <v>0</v>
      </c>
      <c r="W623" s="51" t="b">
        <v>0</v>
      </c>
      <c r="X623" s="51" t="b">
        <v>0</v>
      </c>
      <c r="Y623" s="51" t="b">
        <v>0</v>
      </c>
      <c r="Z623" s="51" t="b">
        <v>0</v>
      </c>
      <c r="AA623" s="68"/>
      <c r="AB623" s="52"/>
      <c r="AC623" s="52"/>
      <c r="AD623" s="52"/>
      <c r="AE623" s="56" t="s">
        <v>1499</v>
      </c>
      <c r="AF623" s="56" t="s">
        <v>726</v>
      </c>
    </row>
    <row r="624">
      <c r="A624" s="52" t="s">
        <v>2532</v>
      </c>
      <c r="B624" s="52" t="s">
        <v>607</v>
      </c>
      <c r="C624" s="52" t="s">
        <v>607</v>
      </c>
      <c r="D624" s="65" t="s">
        <v>607</v>
      </c>
      <c r="E624" s="65" t="s">
        <v>607</v>
      </c>
      <c r="F624" s="65" t="s">
        <v>607</v>
      </c>
      <c r="G624" s="65" t="s">
        <v>607</v>
      </c>
      <c r="H624" s="52" t="s">
        <v>607</v>
      </c>
      <c r="I624" s="52" t="s">
        <v>607</v>
      </c>
      <c r="J624" s="52" t="s">
        <v>607</v>
      </c>
      <c r="K624" s="52" t="s">
        <v>607</v>
      </c>
      <c r="L624" s="52" t="s">
        <v>607</v>
      </c>
      <c r="M624" s="52" t="s">
        <v>607</v>
      </c>
      <c r="N624" s="52" t="s">
        <v>607</v>
      </c>
      <c r="O624" s="52"/>
      <c r="P624" s="52"/>
      <c r="Q624" s="52"/>
      <c r="R624" s="51" t="b">
        <v>0</v>
      </c>
      <c r="S624" s="51"/>
      <c r="T624" s="52"/>
      <c r="U624" s="51" t="b">
        <v>0</v>
      </c>
      <c r="V624" s="51" t="b">
        <v>0</v>
      </c>
      <c r="W624" s="51" t="b">
        <v>0</v>
      </c>
      <c r="X624" s="51" t="b">
        <v>0</v>
      </c>
      <c r="Y624" s="51" t="b">
        <v>0</v>
      </c>
      <c r="Z624" s="51" t="b">
        <v>0</v>
      </c>
      <c r="AA624" s="68"/>
      <c r="AB624" s="52"/>
      <c r="AC624" s="52"/>
      <c r="AD624" s="52"/>
      <c r="AE624" s="56" t="s">
        <v>607</v>
      </c>
      <c r="AF624" s="56" t="s">
        <v>607</v>
      </c>
    </row>
    <row r="625">
      <c r="A625" s="52" t="s">
        <v>2533</v>
      </c>
      <c r="B625" s="52" t="s">
        <v>16</v>
      </c>
      <c r="C625" s="52" t="s">
        <v>221</v>
      </c>
      <c r="D625" s="65">
        <v>0.6906944444444456</v>
      </c>
      <c r="E625" s="65">
        <v>3.4722222222222224E-4</v>
      </c>
      <c r="F625" s="65">
        <v>0.6910416666666679</v>
      </c>
      <c r="G625" s="65" t="s">
        <v>754</v>
      </c>
      <c r="H625" s="52" t="s">
        <v>81</v>
      </c>
      <c r="I625" s="52" t="s">
        <v>81</v>
      </c>
      <c r="J625" s="52"/>
      <c r="K625" s="52"/>
      <c r="L625" s="52"/>
      <c r="M625" s="52"/>
      <c r="N625" s="52" t="s">
        <v>70</v>
      </c>
      <c r="O625" s="52"/>
      <c r="P625" s="52"/>
      <c r="Q625" s="52"/>
      <c r="R625" s="51" t="b">
        <v>0</v>
      </c>
      <c r="S625" s="51"/>
      <c r="T625" s="52"/>
      <c r="U625" s="51" t="b">
        <v>0</v>
      </c>
      <c r="V625" s="51" t="b">
        <v>0</v>
      </c>
      <c r="W625" s="51" t="b">
        <v>0</v>
      </c>
      <c r="X625" s="51" t="b">
        <v>0</v>
      </c>
      <c r="Y625" s="51" t="b">
        <v>0</v>
      </c>
      <c r="Z625" s="51" t="b">
        <v>0</v>
      </c>
      <c r="AA625" s="68"/>
      <c r="AB625" s="52"/>
      <c r="AC625" s="52"/>
      <c r="AD625" s="52"/>
      <c r="AE625" s="56"/>
      <c r="AF625" s="56" t="s">
        <v>1944</v>
      </c>
    </row>
    <row r="626">
      <c r="A626" s="52" t="s">
        <v>2534</v>
      </c>
      <c r="B626" s="52" t="s">
        <v>16</v>
      </c>
      <c r="C626" s="52" t="s">
        <v>221</v>
      </c>
      <c r="D626" s="65">
        <v>0.6910416666666679</v>
      </c>
      <c r="E626" s="65">
        <v>0.007974537037037037</v>
      </c>
      <c r="F626" s="65">
        <v>0.6990162037037049</v>
      </c>
      <c r="G626" s="65" t="s">
        <v>754</v>
      </c>
      <c r="H626" s="52" t="s">
        <v>94</v>
      </c>
      <c r="I626" s="52" t="s">
        <v>767</v>
      </c>
      <c r="J626" s="52" t="s">
        <v>768</v>
      </c>
      <c r="K626" s="52"/>
      <c r="L626" s="52"/>
      <c r="M626" s="52"/>
      <c r="N626" s="52" t="s">
        <v>769</v>
      </c>
      <c r="O626" s="69" t="s">
        <v>618</v>
      </c>
      <c r="P626" s="69" t="s">
        <v>30</v>
      </c>
      <c r="Q626" s="70" t="s">
        <v>2535</v>
      </c>
      <c r="R626" s="51" t="b">
        <v>1</v>
      </c>
      <c r="S626" s="78" t="s">
        <v>767</v>
      </c>
      <c r="T626" s="52"/>
      <c r="U626" s="51" t="b">
        <v>0</v>
      </c>
      <c r="V626" s="51" t="b">
        <v>1</v>
      </c>
      <c r="W626" s="51" t="b">
        <v>1</v>
      </c>
      <c r="X626" s="51" t="b">
        <v>1</v>
      </c>
      <c r="Y626" s="51" t="b">
        <v>0</v>
      </c>
      <c r="Z626" s="51" t="b">
        <v>0</v>
      </c>
      <c r="AA626" s="85">
        <v>0.007974537037037037</v>
      </c>
      <c r="AB626" s="137" t="s">
        <v>2536</v>
      </c>
      <c r="AC626" s="72"/>
      <c r="AD626" s="138" t="s">
        <v>2537</v>
      </c>
      <c r="AE626" s="74" t="s">
        <v>629</v>
      </c>
      <c r="AF626" s="74" t="s">
        <v>1055</v>
      </c>
    </row>
    <row r="627">
      <c r="A627" s="52" t="s">
        <v>2538</v>
      </c>
      <c r="B627" s="52" t="s">
        <v>607</v>
      </c>
      <c r="C627" s="52" t="s">
        <v>607</v>
      </c>
      <c r="D627" s="65" t="s">
        <v>607</v>
      </c>
      <c r="E627" s="65" t="s">
        <v>607</v>
      </c>
      <c r="F627" s="65" t="s">
        <v>607</v>
      </c>
      <c r="G627" s="65" t="s">
        <v>607</v>
      </c>
      <c r="H627" s="52" t="s">
        <v>607</v>
      </c>
      <c r="I627" s="52" t="s">
        <v>607</v>
      </c>
      <c r="J627" s="52" t="s">
        <v>607</v>
      </c>
      <c r="K627" s="52" t="s">
        <v>607</v>
      </c>
      <c r="L627" s="52" t="s">
        <v>607</v>
      </c>
      <c r="M627" s="52" t="s">
        <v>607</v>
      </c>
      <c r="N627" s="52" t="s">
        <v>607</v>
      </c>
      <c r="O627" s="52"/>
      <c r="P627" s="52"/>
      <c r="Q627" s="52"/>
      <c r="R627" s="51" t="b">
        <v>0</v>
      </c>
      <c r="S627" s="51"/>
      <c r="T627" s="52"/>
      <c r="U627" s="51" t="b">
        <v>0</v>
      </c>
      <c r="V627" s="51" t="b">
        <v>0</v>
      </c>
      <c r="W627" s="51" t="b">
        <v>0</v>
      </c>
      <c r="X627" s="51" t="b">
        <v>0</v>
      </c>
      <c r="Y627" s="51" t="b">
        <v>0</v>
      </c>
      <c r="Z627" s="51" t="b">
        <v>0</v>
      </c>
      <c r="AA627" s="68"/>
      <c r="AB627" s="52"/>
      <c r="AC627" s="52"/>
      <c r="AD627" s="52"/>
      <c r="AE627" s="56" t="s">
        <v>607</v>
      </c>
      <c r="AF627" s="56" t="s">
        <v>607</v>
      </c>
    </row>
    <row r="628">
      <c r="A628" s="52" t="s">
        <v>2539</v>
      </c>
      <c r="B628" s="52" t="s">
        <v>16</v>
      </c>
      <c r="C628" s="52" t="s">
        <v>221</v>
      </c>
      <c r="D628" s="65">
        <v>0.6990162037037049</v>
      </c>
      <c r="E628" s="65">
        <v>3.4722222222222224E-4</v>
      </c>
      <c r="F628" s="65">
        <v>0.6993634259259272</v>
      </c>
      <c r="G628" s="65" t="s">
        <v>754</v>
      </c>
      <c r="H628" s="52" t="s">
        <v>81</v>
      </c>
      <c r="I628" s="52" t="s">
        <v>81</v>
      </c>
      <c r="J628" s="52"/>
      <c r="K628" s="52"/>
      <c r="L628" s="52"/>
      <c r="M628" s="52"/>
      <c r="N628" s="52" t="s">
        <v>70</v>
      </c>
      <c r="O628" s="52"/>
      <c r="P628" s="52"/>
      <c r="Q628" s="52"/>
      <c r="R628" s="51" t="b">
        <v>0</v>
      </c>
      <c r="S628" s="51"/>
      <c r="T628" s="52"/>
      <c r="U628" s="51" t="b">
        <v>0</v>
      </c>
      <c r="V628" s="51" t="b">
        <v>0</v>
      </c>
      <c r="W628" s="51" t="b">
        <v>0</v>
      </c>
      <c r="X628" s="51" t="b">
        <v>0</v>
      </c>
      <c r="Y628" s="51" t="b">
        <v>0</v>
      </c>
      <c r="Z628" s="51" t="b">
        <v>0</v>
      </c>
      <c r="AA628" s="68"/>
      <c r="AB628" s="52"/>
      <c r="AC628" s="52"/>
      <c r="AD628" s="52"/>
      <c r="AE628" s="56"/>
      <c r="AF628" s="56" t="s">
        <v>1944</v>
      </c>
    </row>
    <row r="629">
      <c r="A629" s="52" t="s">
        <v>2540</v>
      </c>
      <c r="B629" s="52" t="s">
        <v>16</v>
      </c>
      <c r="C629" s="52" t="s">
        <v>221</v>
      </c>
      <c r="D629" s="65">
        <v>0.6993634259259272</v>
      </c>
      <c r="E629" s="65">
        <v>0.008078703703703704</v>
      </c>
      <c r="F629" s="65">
        <v>0.7074421296296308</v>
      </c>
      <c r="G629" s="65" t="s">
        <v>754</v>
      </c>
      <c r="H629" s="52" t="s">
        <v>107</v>
      </c>
      <c r="I629" s="52" t="s">
        <v>771</v>
      </c>
      <c r="J629" s="52" t="s">
        <v>772</v>
      </c>
      <c r="K629" s="52" t="s">
        <v>773</v>
      </c>
      <c r="L629" s="52"/>
      <c r="M629" s="52"/>
      <c r="N629" s="52" t="s">
        <v>102</v>
      </c>
      <c r="O629" s="52"/>
      <c r="P629" s="69" t="s">
        <v>15</v>
      </c>
      <c r="Q629" s="80" t="s">
        <v>2541</v>
      </c>
      <c r="R629" s="51" t="b">
        <v>1</v>
      </c>
      <c r="S629" s="52" t="s">
        <v>771</v>
      </c>
      <c r="T629" s="52"/>
      <c r="U629" s="51" t="b">
        <v>0</v>
      </c>
      <c r="V629" s="51" t="b">
        <v>1</v>
      </c>
      <c r="W629" s="51" t="b">
        <v>1</v>
      </c>
      <c r="X629" s="51" t="b">
        <v>0</v>
      </c>
      <c r="Y629" s="51" t="b">
        <v>0</v>
      </c>
      <c r="Z629" s="51" t="b">
        <v>0</v>
      </c>
      <c r="AA629" s="71">
        <v>0.008078703703703704</v>
      </c>
      <c r="AB629" s="52"/>
      <c r="AC629" s="52"/>
      <c r="AD629" s="73" t="s">
        <v>2542</v>
      </c>
      <c r="AE629" s="56" t="s">
        <v>629</v>
      </c>
      <c r="AF629" s="56" t="s">
        <v>847</v>
      </c>
    </row>
    <row r="630">
      <c r="A630" s="52" t="s">
        <v>2543</v>
      </c>
      <c r="B630" s="52" t="s">
        <v>607</v>
      </c>
      <c r="C630" s="52" t="s">
        <v>607</v>
      </c>
      <c r="D630" s="65" t="s">
        <v>607</v>
      </c>
      <c r="E630" s="65" t="s">
        <v>607</v>
      </c>
      <c r="F630" s="65" t="s">
        <v>607</v>
      </c>
      <c r="G630" s="65" t="s">
        <v>607</v>
      </c>
      <c r="H630" s="52" t="s">
        <v>607</v>
      </c>
      <c r="I630" s="52" t="s">
        <v>607</v>
      </c>
      <c r="J630" s="52" t="s">
        <v>607</v>
      </c>
      <c r="K630" s="52" t="s">
        <v>607</v>
      </c>
      <c r="L630" s="52" t="s">
        <v>607</v>
      </c>
      <c r="M630" s="52" t="s">
        <v>607</v>
      </c>
      <c r="N630" s="52" t="s">
        <v>607</v>
      </c>
      <c r="O630" s="52"/>
      <c r="P630" s="52"/>
      <c r="Q630" s="52"/>
      <c r="R630" s="51" t="b">
        <v>0</v>
      </c>
      <c r="S630" s="51"/>
      <c r="T630" s="52"/>
      <c r="U630" s="51" t="b">
        <v>0</v>
      </c>
      <c r="V630" s="51" t="b">
        <v>0</v>
      </c>
      <c r="W630" s="51" t="b">
        <v>0</v>
      </c>
      <c r="X630" s="51" t="b">
        <v>0</v>
      </c>
      <c r="Y630" s="51" t="b">
        <v>0</v>
      </c>
      <c r="Z630" s="51" t="b">
        <v>0</v>
      </c>
      <c r="AA630" s="68"/>
      <c r="AB630" s="52"/>
      <c r="AC630" s="52"/>
      <c r="AD630" s="52"/>
      <c r="AE630" s="56" t="s">
        <v>607</v>
      </c>
      <c r="AF630" s="56" t="s">
        <v>607</v>
      </c>
    </row>
    <row r="631">
      <c r="A631" s="52" t="s">
        <v>2544</v>
      </c>
      <c r="B631" s="52" t="s">
        <v>607</v>
      </c>
      <c r="C631" s="52" t="s">
        <v>607</v>
      </c>
      <c r="D631" s="65" t="s">
        <v>607</v>
      </c>
      <c r="E631" s="65" t="s">
        <v>607</v>
      </c>
      <c r="F631" s="65" t="s">
        <v>607</v>
      </c>
      <c r="G631" s="65" t="s">
        <v>607</v>
      </c>
      <c r="H631" s="52" t="s">
        <v>607</v>
      </c>
      <c r="I631" s="52" t="s">
        <v>607</v>
      </c>
      <c r="J631" s="52" t="s">
        <v>607</v>
      </c>
      <c r="K631" s="52" t="s">
        <v>607</v>
      </c>
      <c r="L631" s="52" t="s">
        <v>607</v>
      </c>
      <c r="M631" s="52" t="s">
        <v>607</v>
      </c>
      <c r="N631" s="52" t="s">
        <v>607</v>
      </c>
      <c r="O631" s="52"/>
      <c r="P631" s="52"/>
      <c r="Q631" s="52"/>
      <c r="R631" s="51" t="b">
        <v>0</v>
      </c>
      <c r="S631" s="51"/>
      <c r="T631" s="52"/>
      <c r="U631" s="51" t="b">
        <v>0</v>
      </c>
      <c r="V631" s="51" t="b">
        <v>0</v>
      </c>
      <c r="W631" s="51" t="b">
        <v>0</v>
      </c>
      <c r="X631" s="51" t="b">
        <v>0</v>
      </c>
      <c r="Y631" s="51" t="b">
        <v>0</v>
      </c>
      <c r="Z631" s="51" t="b">
        <v>0</v>
      </c>
      <c r="AA631" s="68"/>
      <c r="AB631" s="52"/>
      <c r="AC631" s="52"/>
      <c r="AD631" s="52"/>
      <c r="AE631" s="56" t="s">
        <v>607</v>
      </c>
      <c r="AF631" s="56" t="s">
        <v>607</v>
      </c>
    </row>
    <row r="632">
      <c r="A632" s="52" t="s">
        <v>2545</v>
      </c>
      <c r="B632" s="52" t="s">
        <v>16</v>
      </c>
      <c r="C632" s="52" t="s">
        <v>221</v>
      </c>
      <c r="D632" s="65">
        <v>0.7074421296296308</v>
      </c>
      <c r="E632" s="65">
        <v>3.4722222222222224E-4</v>
      </c>
      <c r="F632" s="65">
        <v>0.7077893518518531</v>
      </c>
      <c r="G632" s="65" t="s">
        <v>754</v>
      </c>
      <c r="H632" s="52" t="s">
        <v>598</v>
      </c>
      <c r="I632" s="52" t="s">
        <v>598</v>
      </c>
      <c r="J632" s="52"/>
      <c r="K632" s="52"/>
      <c r="L632" s="52"/>
      <c r="M632" s="52"/>
      <c r="N632" s="52" t="s">
        <v>70</v>
      </c>
      <c r="O632" s="52"/>
      <c r="P632" s="52"/>
      <c r="Q632" s="52"/>
      <c r="R632" s="51" t="b">
        <v>0</v>
      </c>
      <c r="S632" s="51"/>
      <c r="T632" s="52"/>
      <c r="U632" s="51" t="b">
        <v>0</v>
      </c>
      <c r="V632" s="51" t="b">
        <v>0</v>
      </c>
      <c r="W632" s="51" t="b">
        <v>0</v>
      </c>
      <c r="X632" s="51" t="b">
        <v>0</v>
      </c>
      <c r="Y632" s="51" t="b">
        <v>0</v>
      </c>
      <c r="Z632" s="51" t="b">
        <v>0</v>
      </c>
      <c r="AA632" s="68"/>
      <c r="AB632" s="52"/>
      <c r="AC632" s="52"/>
      <c r="AD632" s="52"/>
      <c r="AE632" s="56"/>
      <c r="AF632" s="56" t="s">
        <v>1944</v>
      </c>
    </row>
    <row r="633">
      <c r="A633" s="52" t="s">
        <v>2546</v>
      </c>
      <c r="B633" s="52" t="s">
        <v>16</v>
      </c>
      <c r="C633" s="52"/>
      <c r="D633" s="65"/>
      <c r="E633" s="65"/>
      <c r="F633" s="65"/>
      <c r="G633" s="65"/>
      <c r="H633" s="52"/>
      <c r="I633" s="52"/>
      <c r="J633" s="52"/>
      <c r="K633" s="52"/>
      <c r="L633" s="52"/>
      <c r="M633" s="52"/>
      <c r="N633" s="52" t="s">
        <v>70</v>
      </c>
      <c r="O633" s="52"/>
      <c r="P633" s="52"/>
      <c r="Q633" s="52"/>
      <c r="R633" s="51" t="b">
        <v>0</v>
      </c>
      <c r="S633" s="51"/>
      <c r="T633" s="52"/>
      <c r="U633" s="51" t="b">
        <v>0</v>
      </c>
      <c r="V633" s="51" t="b">
        <v>0</v>
      </c>
      <c r="W633" s="51" t="b">
        <v>0</v>
      </c>
      <c r="X633" s="51" t="b">
        <v>0</v>
      </c>
      <c r="Y633" s="51" t="b">
        <v>0</v>
      </c>
      <c r="Z633" s="51" t="b">
        <v>0</v>
      </c>
      <c r="AA633" s="68"/>
      <c r="AB633" s="52"/>
      <c r="AC633" s="52"/>
      <c r="AD633" s="52"/>
      <c r="AE633" s="56"/>
      <c r="AF633" s="56"/>
    </row>
    <row r="634">
      <c r="A634" s="52" t="s">
        <v>2547</v>
      </c>
      <c r="B634" s="52" t="s">
        <v>16</v>
      </c>
      <c r="C634" s="52"/>
      <c r="D634" s="65"/>
      <c r="E634" s="65"/>
      <c r="F634" s="65"/>
      <c r="G634" s="65"/>
      <c r="H634" s="52"/>
      <c r="I634" s="52"/>
      <c r="J634" s="52"/>
      <c r="K634" s="52"/>
      <c r="L634" s="52"/>
      <c r="M634" s="52"/>
      <c r="N634" s="52" t="s">
        <v>70</v>
      </c>
      <c r="O634" s="52"/>
      <c r="P634" s="52"/>
      <c r="Q634" s="52"/>
      <c r="R634" s="51" t="b">
        <v>0</v>
      </c>
      <c r="S634" s="51"/>
      <c r="T634" s="52"/>
      <c r="U634" s="51" t="b">
        <v>0</v>
      </c>
      <c r="V634" s="51" t="b">
        <v>0</v>
      </c>
      <c r="W634" s="51" t="b">
        <v>0</v>
      </c>
      <c r="X634" s="51" t="b">
        <v>0</v>
      </c>
      <c r="Y634" s="51" t="b">
        <v>0</v>
      </c>
      <c r="Z634" s="51" t="b">
        <v>0</v>
      </c>
      <c r="AA634" s="68"/>
      <c r="AB634" s="52"/>
      <c r="AC634" s="52"/>
      <c r="AD634" s="52"/>
      <c r="AE634" s="56"/>
      <c r="AF634" s="56"/>
    </row>
    <row r="635">
      <c r="A635" s="52" t="s">
        <v>2548</v>
      </c>
      <c r="B635" s="52" t="s">
        <v>344</v>
      </c>
      <c r="C635" s="52"/>
      <c r="D635" s="65"/>
      <c r="E635" s="65"/>
      <c r="F635" s="65"/>
      <c r="G635" s="65"/>
      <c r="H635" s="52"/>
      <c r="I635" s="52"/>
      <c r="J635" s="52"/>
      <c r="K635" s="52"/>
      <c r="L635" s="52"/>
      <c r="M635" s="52"/>
      <c r="N635" s="52" t="s">
        <v>70</v>
      </c>
      <c r="O635" s="52"/>
      <c r="P635" s="69"/>
      <c r="Q635" s="52"/>
      <c r="R635" s="51" t="b">
        <v>0</v>
      </c>
      <c r="S635" s="51"/>
      <c r="T635" s="52"/>
      <c r="U635" s="51" t="b">
        <v>0</v>
      </c>
      <c r="V635" s="51" t="b">
        <v>0</v>
      </c>
      <c r="W635" s="51" t="b">
        <v>0</v>
      </c>
      <c r="X635" s="51" t="b">
        <v>0</v>
      </c>
      <c r="Y635" s="51" t="b">
        <v>0</v>
      </c>
      <c r="Z635" s="51" t="b">
        <v>0</v>
      </c>
      <c r="AA635" s="68"/>
      <c r="AB635" s="52"/>
      <c r="AC635" s="52"/>
      <c r="AD635" s="52"/>
      <c r="AE635" s="56"/>
      <c r="AF635" s="56"/>
    </row>
    <row r="636">
      <c r="A636" s="52" t="s">
        <v>2549</v>
      </c>
      <c r="B636" s="52" t="s">
        <v>16</v>
      </c>
      <c r="C636" s="52" t="s">
        <v>289</v>
      </c>
      <c r="D636" s="65">
        <v>0.4166666666666667</v>
      </c>
      <c r="E636" s="65">
        <v>0.0010416666666666667</v>
      </c>
      <c r="F636" s="65">
        <v>0.41770833333333335</v>
      </c>
      <c r="G636" s="65" t="s">
        <v>120</v>
      </c>
      <c r="H636" s="52" t="s">
        <v>67</v>
      </c>
      <c r="I636" s="52" t="s">
        <v>67</v>
      </c>
      <c r="J636" s="52"/>
      <c r="K636" s="52"/>
      <c r="L636" s="52"/>
      <c r="M636" s="52"/>
      <c r="N636" s="52" t="s">
        <v>70</v>
      </c>
      <c r="O636" s="52"/>
      <c r="P636" s="52"/>
      <c r="Q636" s="52"/>
      <c r="R636" s="51" t="b">
        <v>0</v>
      </c>
      <c r="S636" s="51"/>
      <c r="T636" s="52"/>
      <c r="U636" s="51" t="b">
        <v>0</v>
      </c>
      <c r="V636" s="51" t="b">
        <v>0</v>
      </c>
      <c r="W636" s="51" t="b">
        <v>0</v>
      </c>
      <c r="X636" s="51" t="b">
        <v>0</v>
      </c>
      <c r="Y636" s="51" t="b">
        <v>0</v>
      </c>
      <c r="Z636" s="51" t="b">
        <v>0</v>
      </c>
      <c r="AA636" s="68"/>
      <c r="AB636" s="52"/>
      <c r="AC636" s="52"/>
      <c r="AD636" s="52"/>
      <c r="AE636" s="56"/>
      <c r="AF636" s="56" t="s">
        <v>1944</v>
      </c>
    </row>
    <row r="637">
      <c r="A637" s="52" t="s">
        <v>2550</v>
      </c>
      <c r="B637" s="52" t="s">
        <v>16</v>
      </c>
      <c r="C637" s="52" t="s">
        <v>289</v>
      </c>
      <c r="D637" s="65">
        <v>0.41770833333333335</v>
      </c>
      <c r="E637" s="65">
        <v>1.7361111111111112E-4</v>
      </c>
      <c r="F637" s="65">
        <v>0.4178819444444445</v>
      </c>
      <c r="G637" s="65" t="s">
        <v>120</v>
      </c>
      <c r="H637" s="52" t="s">
        <v>81</v>
      </c>
      <c r="I637" s="52" t="s">
        <v>81</v>
      </c>
      <c r="J637" s="52"/>
      <c r="K637" s="52"/>
      <c r="L637" s="52"/>
      <c r="M637" s="52"/>
      <c r="N637" s="52" t="s">
        <v>70</v>
      </c>
      <c r="O637" s="52"/>
      <c r="P637" s="52"/>
      <c r="Q637" s="52"/>
      <c r="R637" s="51" t="b">
        <v>0</v>
      </c>
      <c r="S637" s="51"/>
      <c r="T637" s="52"/>
      <c r="U637" s="51" t="b">
        <v>0</v>
      </c>
      <c r="V637" s="51" t="b">
        <v>0</v>
      </c>
      <c r="W637" s="51" t="b">
        <v>0</v>
      </c>
      <c r="X637" s="51" t="b">
        <v>0</v>
      </c>
      <c r="Y637" s="51" t="b">
        <v>0</v>
      </c>
      <c r="Z637" s="51" t="b">
        <v>0</v>
      </c>
      <c r="AA637" s="68"/>
      <c r="AB637" s="52"/>
      <c r="AC637" s="52"/>
      <c r="AD637" s="52"/>
      <c r="AE637" s="56"/>
      <c r="AF637" s="56" t="s">
        <v>1944</v>
      </c>
    </row>
    <row r="638">
      <c r="A638" s="52" t="s">
        <v>2551</v>
      </c>
      <c r="B638" s="52" t="s">
        <v>16</v>
      </c>
      <c r="C638" s="52" t="s">
        <v>289</v>
      </c>
      <c r="D638" s="65">
        <v>0.4178819444444445</v>
      </c>
      <c r="E638" s="65">
        <v>0.011435185185185185</v>
      </c>
      <c r="F638" s="65">
        <v>0.42931712962962965</v>
      </c>
      <c r="G638" s="65" t="s">
        <v>120</v>
      </c>
      <c r="H638" s="52" t="s">
        <v>74</v>
      </c>
      <c r="I638" s="52" t="s">
        <v>779</v>
      </c>
      <c r="J638" s="52" t="s">
        <v>780</v>
      </c>
      <c r="K638" s="52" t="s">
        <v>781</v>
      </c>
      <c r="L638" s="52" t="s">
        <v>782</v>
      </c>
      <c r="M638" s="52"/>
      <c r="N638" s="52" t="s">
        <v>783</v>
      </c>
      <c r="O638" s="52"/>
      <c r="P638" s="69" t="s">
        <v>28</v>
      </c>
      <c r="Q638" s="73" t="s">
        <v>2552</v>
      </c>
      <c r="R638" s="51" t="b">
        <v>1</v>
      </c>
      <c r="S638" s="52" t="s">
        <v>779</v>
      </c>
      <c r="T638" s="52"/>
      <c r="U638" s="51" t="b">
        <v>0</v>
      </c>
      <c r="V638" s="51" t="b">
        <v>1</v>
      </c>
      <c r="W638" s="51" t="b">
        <v>1</v>
      </c>
      <c r="X638" s="51" t="b">
        <v>0</v>
      </c>
      <c r="Y638" s="51" t="b">
        <v>0</v>
      </c>
      <c r="Z638" s="51" t="b">
        <v>0</v>
      </c>
      <c r="AA638" s="71">
        <v>0.011435185185185185</v>
      </c>
      <c r="AB638" s="69"/>
      <c r="AC638" s="52"/>
      <c r="AD638" s="73" t="s">
        <v>2553</v>
      </c>
      <c r="AE638" s="56" t="s">
        <v>629</v>
      </c>
      <c r="AF638" s="56" t="s">
        <v>1631</v>
      </c>
    </row>
    <row r="639">
      <c r="A639" s="52" t="s">
        <v>2554</v>
      </c>
      <c r="B639" s="52" t="s">
        <v>16</v>
      </c>
      <c r="C639" s="52" t="s">
        <v>289</v>
      </c>
      <c r="D639" s="65">
        <v>0.42931712962962965</v>
      </c>
      <c r="E639" s="65">
        <v>1.7361111111111112E-4</v>
      </c>
      <c r="F639" s="65">
        <v>0.4294907407407408</v>
      </c>
      <c r="G639" s="65" t="s">
        <v>120</v>
      </c>
      <c r="H639" s="52" t="s">
        <v>85</v>
      </c>
      <c r="I639" s="52" t="s">
        <v>85</v>
      </c>
      <c r="J639" s="52"/>
      <c r="K639" s="52"/>
      <c r="L639" s="52"/>
      <c r="M639" s="52"/>
      <c r="N639" s="52" t="s">
        <v>70</v>
      </c>
      <c r="O639" s="52"/>
      <c r="P639" s="52"/>
      <c r="Q639" s="52"/>
      <c r="R639" s="51" t="b">
        <v>0</v>
      </c>
      <c r="S639" s="51"/>
      <c r="T639" s="52"/>
      <c r="U639" s="51" t="b">
        <v>0</v>
      </c>
      <c r="V639" s="51" t="b">
        <v>0</v>
      </c>
      <c r="W639" s="51" t="b">
        <v>0</v>
      </c>
      <c r="X639" s="51" t="b">
        <v>0</v>
      </c>
      <c r="Y639" s="51" t="b">
        <v>0</v>
      </c>
      <c r="Z639" s="51" t="b">
        <v>0</v>
      </c>
      <c r="AA639" s="68"/>
      <c r="AB639" s="52"/>
      <c r="AC639" s="52"/>
      <c r="AD639" s="52"/>
      <c r="AE639" s="56"/>
      <c r="AF639" s="56" t="s">
        <v>1944</v>
      </c>
    </row>
    <row r="640">
      <c r="A640" s="52" t="s">
        <v>2555</v>
      </c>
      <c r="B640" s="52" t="s">
        <v>16</v>
      </c>
      <c r="C640" s="52" t="s">
        <v>289</v>
      </c>
      <c r="D640" s="65">
        <v>0.4294907407407408</v>
      </c>
      <c r="E640" s="65">
        <v>3.4722222222222224E-4</v>
      </c>
      <c r="F640" s="65">
        <v>0.429837962962963</v>
      </c>
      <c r="G640" s="65" t="s">
        <v>120</v>
      </c>
      <c r="H640" s="52" t="s">
        <v>81</v>
      </c>
      <c r="I640" s="52" t="s">
        <v>81</v>
      </c>
      <c r="J640" s="52"/>
      <c r="K640" s="52"/>
      <c r="L640" s="52"/>
      <c r="M640" s="52"/>
      <c r="N640" s="52" t="s">
        <v>70</v>
      </c>
      <c r="O640" s="52"/>
      <c r="P640" s="52"/>
      <c r="Q640" s="52"/>
      <c r="R640" s="51" t="b">
        <v>0</v>
      </c>
      <c r="S640" s="51"/>
      <c r="T640" s="52"/>
      <c r="U640" s="51" t="b">
        <v>0</v>
      </c>
      <c r="V640" s="51" t="b">
        <v>0</v>
      </c>
      <c r="W640" s="51" t="b">
        <v>0</v>
      </c>
      <c r="X640" s="51" t="b">
        <v>0</v>
      </c>
      <c r="Y640" s="51" t="b">
        <v>0</v>
      </c>
      <c r="Z640" s="51" t="b">
        <v>0</v>
      </c>
      <c r="AA640" s="68"/>
      <c r="AB640" s="52"/>
      <c r="AC640" s="52"/>
      <c r="AD640" s="52"/>
      <c r="AE640" s="56"/>
      <c r="AF640" s="56" t="s">
        <v>1944</v>
      </c>
    </row>
    <row r="641">
      <c r="A641" s="52" t="s">
        <v>2556</v>
      </c>
      <c r="B641" s="52" t="s">
        <v>16</v>
      </c>
      <c r="C641" s="52" t="s">
        <v>289</v>
      </c>
      <c r="D641" s="65">
        <v>0.429837962962963</v>
      </c>
      <c r="E641" s="65">
        <v>0.01363425925925926</v>
      </c>
      <c r="F641" s="65">
        <v>0.44347222222222227</v>
      </c>
      <c r="G641" s="65" t="s">
        <v>120</v>
      </c>
      <c r="H641" s="52" t="s">
        <v>94</v>
      </c>
      <c r="I641" s="52" t="s">
        <v>792</v>
      </c>
      <c r="J641" s="52" t="s">
        <v>794</v>
      </c>
      <c r="K641" s="52"/>
      <c r="L641" s="52"/>
      <c r="M641" s="52"/>
      <c r="N641" s="52" t="s">
        <v>795</v>
      </c>
      <c r="O641" s="52"/>
      <c r="P641" s="69" t="s">
        <v>23</v>
      </c>
      <c r="Q641" s="80" t="s">
        <v>1598</v>
      </c>
      <c r="R641" s="51" t="b">
        <v>1</v>
      </c>
      <c r="S641" s="78" t="s">
        <v>792</v>
      </c>
      <c r="T641" s="52"/>
      <c r="U641" s="51" t="b">
        <v>0</v>
      </c>
      <c r="V641" s="51" t="b">
        <v>1</v>
      </c>
      <c r="W641" s="51" t="b">
        <v>1</v>
      </c>
      <c r="X641" s="51" t="b">
        <v>0</v>
      </c>
      <c r="Y641" s="51" t="b">
        <v>0</v>
      </c>
      <c r="Z641" s="51" t="b">
        <v>0</v>
      </c>
      <c r="AA641" s="71">
        <v>0.01363425925925926</v>
      </c>
      <c r="AB641" s="69" t="s">
        <v>2557</v>
      </c>
      <c r="AC641" s="52"/>
      <c r="AD641" s="76" t="s">
        <v>2558</v>
      </c>
      <c r="AE641" s="56" t="s">
        <v>629</v>
      </c>
      <c r="AF641" s="56" t="s">
        <v>653</v>
      </c>
    </row>
    <row r="642">
      <c r="A642" s="52" t="s">
        <v>2559</v>
      </c>
      <c r="B642" s="52" t="s">
        <v>16</v>
      </c>
      <c r="C642" s="52" t="s">
        <v>289</v>
      </c>
      <c r="D642" s="65">
        <v>0.44347222222222227</v>
      </c>
      <c r="E642" s="65">
        <v>3.4722222222222224E-4</v>
      </c>
      <c r="F642" s="65">
        <v>0.4438194444444445</v>
      </c>
      <c r="G642" s="65" t="s">
        <v>120</v>
      </c>
      <c r="H642" s="52" t="s">
        <v>85</v>
      </c>
      <c r="I642" s="52" t="s">
        <v>796</v>
      </c>
      <c r="J642" s="52"/>
      <c r="K642" s="52"/>
      <c r="L642" s="52"/>
      <c r="M642" s="52"/>
      <c r="N642" s="52" t="s">
        <v>70</v>
      </c>
      <c r="O642" s="52"/>
      <c r="P642" s="52"/>
      <c r="Q642" s="52"/>
      <c r="R642" s="51" t="b">
        <v>0</v>
      </c>
      <c r="S642" s="51"/>
      <c r="T642" s="52"/>
      <c r="U642" s="51" t="b">
        <v>0</v>
      </c>
      <c r="V642" s="51" t="b">
        <v>0</v>
      </c>
      <c r="W642" s="51" t="b">
        <v>0</v>
      </c>
      <c r="X642" s="51" t="b">
        <v>0</v>
      </c>
      <c r="Y642" s="51" t="b">
        <v>0</v>
      </c>
      <c r="Z642" s="51" t="b">
        <v>0</v>
      </c>
      <c r="AA642" s="68"/>
      <c r="AB642" s="52"/>
      <c r="AC642" s="52"/>
      <c r="AD642" s="52"/>
      <c r="AE642" s="56"/>
      <c r="AF642" s="56" t="s">
        <v>1944</v>
      </c>
    </row>
    <row r="643">
      <c r="A643" s="52" t="s">
        <v>2560</v>
      </c>
      <c r="B643" s="52" t="s">
        <v>607</v>
      </c>
      <c r="C643" s="52" t="s">
        <v>607</v>
      </c>
      <c r="D643" s="65" t="s">
        <v>607</v>
      </c>
      <c r="E643" s="65" t="s">
        <v>607</v>
      </c>
      <c r="F643" s="65" t="s">
        <v>607</v>
      </c>
      <c r="G643" s="65" t="s">
        <v>607</v>
      </c>
      <c r="H643" s="52" t="s">
        <v>607</v>
      </c>
      <c r="I643" s="52" t="s">
        <v>607</v>
      </c>
      <c r="J643" s="52" t="s">
        <v>607</v>
      </c>
      <c r="K643" s="52" t="s">
        <v>607</v>
      </c>
      <c r="L643" s="52" t="s">
        <v>607</v>
      </c>
      <c r="M643" s="52" t="s">
        <v>607</v>
      </c>
      <c r="N643" s="52" t="s">
        <v>607</v>
      </c>
      <c r="O643" s="52"/>
      <c r="P643" s="52"/>
      <c r="Q643" s="52"/>
      <c r="R643" s="51" t="b">
        <v>0</v>
      </c>
      <c r="S643" s="52"/>
      <c r="T643" s="52"/>
      <c r="U643" s="51" t="b">
        <v>0</v>
      </c>
      <c r="V643" s="51" t="b">
        <v>0</v>
      </c>
      <c r="W643" s="51" t="b">
        <v>0</v>
      </c>
      <c r="X643" s="51" t="b">
        <v>0</v>
      </c>
      <c r="Y643" s="51" t="b">
        <v>0</v>
      </c>
      <c r="Z643" s="51" t="b">
        <v>0</v>
      </c>
      <c r="AA643" s="68"/>
      <c r="AB643" s="52"/>
      <c r="AC643" s="52"/>
      <c r="AD643" s="52"/>
      <c r="AE643" s="56" t="s">
        <v>607</v>
      </c>
      <c r="AF643" s="56" t="s">
        <v>607</v>
      </c>
    </row>
    <row r="644">
      <c r="A644" s="52" t="s">
        <v>2561</v>
      </c>
      <c r="B644" s="52" t="s">
        <v>16</v>
      </c>
      <c r="C644" s="52" t="s">
        <v>289</v>
      </c>
      <c r="D644" s="65">
        <v>0.4438194444444445</v>
      </c>
      <c r="E644" s="65">
        <v>1.7361111111111112E-4</v>
      </c>
      <c r="F644" s="65">
        <v>0.4439930555555556</v>
      </c>
      <c r="G644" s="65" t="s">
        <v>120</v>
      </c>
      <c r="H644" s="52" t="s">
        <v>77</v>
      </c>
      <c r="I644" s="52" t="s">
        <v>798</v>
      </c>
      <c r="J644" s="52"/>
      <c r="K644" s="52"/>
      <c r="L644" s="52"/>
      <c r="M644" s="52"/>
      <c r="N644" s="52" t="s">
        <v>70</v>
      </c>
      <c r="O644" s="52"/>
      <c r="P644" s="52"/>
      <c r="Q644" s="52"/>
      <c r="R644" s="51" t="b">
        <v>0</v>
      </c>
      <c r="S644" s="51"/>
      <c r="T644" s="52"/>
      <c r="U644" s="51" t="b">
        <v>0</v>
      </c>
      <c r="V644" s="51" t="b">
        <v>0</v>
      </c>
      <c r="W644" s="51" t="b">
        <v>0</v>
      </c>
      <c r="X644" s="51" t="b">
        <v>0</v>
      </c>
      <c r="Y644" s="51" t="b">
        <v>0</v>
      </c>
      <c r="Z644" s="51" t="b">
        <v>0</v>
      </c>
      <c r="AA644" s="68"/>
      <c r="AB644" s="52"/>
      <c r="AC644" s="52"/>
      <c r="AD644" s="52"/>
      <c r="AE644" s="56"/>
      <c r="AF644" s="56" t="s">
        <v>2004</v>
      </c>
    </row>
    <row r="645">
      <c r="A645" s="52" t="s">
        <v>2562</v>
      </c>
      <c r="B645" s="52" t="s">
        <v>16</v>
      </c>
      <c r="C645" s="52" t="s">
        <v>289</v>
      </c>
      <c r="D645" s="65">
        <v>0.4439930555555556</v>
      </c>
      <c r="E645" s="65">
        <v>3.4722222222222224E-4</v>
      </c>
      <c r="F645" s="65">
        <v>0.44434027777777785</v>
      </c>
      <c r="G645" s="65" t="s">
        <v>120</v>
      </c>
      <c r="H645" s="52" t="s">
        <v>81</v>
      </c>
      <c r="I645" s="52" t="s">
        <v>81</v>
      </c>
      <c r="J645" s="52"/>
      <c r="K645" s="52"/>
      <c r="L645" s="52"/>
      <c r="M645" s="52"/>
      <c r="N645" s="52" t="s">
        <v>70</v>
      </c>
      <c r="O645" s="52"/>
      <c r="P645" s="52"/>
      <c r="Q645" s="52"/>
      <c r="R645" s="51" t="b">
        <v>0</v>
      </c>
      <c r="S645" s="51"/>
      <c r="T645" s="52"/>
      <c r="U645" s="51" t="b">
        <v>0</v>
      </c>
      <c r="V645" s="51" t="b">
        <v>0</v>
      </c>
      <c r="W645" s="51" t="b">
        <v>0</v>
      </c>
      <c r="X645" s="51" t="b">
        <v>0</v>
      </c>
      <c r="Y645" s="51" t="b">
        <v>0</v>
      </c>
      <c r="Z645" s="51" t="b">
        <v>0</v>
      </c>
      <c r="AA645" s="68"/>
      <c r="AB645" s="52"/>
      <c r="AC645" s="52"/>
      <c r="AD645" s="52"/>
      <c r="AE645" s="56"/>
      <c r="AF645" s="56" t="s">
        <v>1944</v>
      </c>
    </row>
    <row r="646">
      <c r="A646" s="52" t="s">
        <v>2563</v>
      </c>
      <c r="B646" s="52" t="s">
        <v>16</v>
      </c>
      <c r="C646" s="52" t="s">
        <v>289</v>
      </c>
      <c r="D646" s="65">
        <v>0.44434027777777785</v>
      </c>
      <c r="E646" s="65">
        <v>0.0025</v>
      </c>
      <c r="F646" s="65">
        <v>0.44684027777777785</v>
      </c>
      <c r="G646" s="65" t="s">
        <v>120</v>
      </c>
      <c r="H646" s="52" t="s">
        <v>165</v>
      </c>
      <c r="I646" s="52" t="s">
        <v>801</v>
      </c>
      <c r="J646" s="52" t="s">
        <v>802</v>
      </c>
      <c r="K646" s="52"/>
      <c r="L646" s="52"/>
      <c r="M646" s="52"/>
      <c r="N646" s="52" t="s">
        <v>70</v>
      </c>
      <c r="O646" s="69" t="s">
        <v>884</v>
      </c>
      <c r="P646" s="69" t="s">
        <v>30</v>
      </c>
      <c r="Q646" s="80" t="s">
        <v>2564</v>
      </c>
      <c r="R646" s="51" t="b">
        <v>1</v>
      </c>
      <c r="S646" s="52" t="s">
        <v>801</v>
      </c>
      <c r="T646" s="52"/>
      <c r="U646" s="51" t="b">
        <v>0</v>
      </c>
      <c r="V646" s="51" t="b">
        <v>1</v>
      </c>
      <c r="W646" s="51" t="b">
        <v>1</v>
      </c>
      <c r="X646" s="51" t="b">
        <v>0</v>
      </c>
      <c r="Y646" s="51" t="b">
        <v>1</v>
      </c>
      <c r="Z646" s="51" t="b">
        <v>1</v>
      </c>
      <c r="AA646" s="71">
        <v>0.0025</v>
      </c>
      <c r="AB646" s="69"/>
      <c r="AC646" s="69"/>
      <c r="AD646" s="76" t="s">
        <v>2565</v>
      </c>
      <c r="AE646" s="74" t="s">
        <v>743</v>
      </c>
      <c r="AF646" s="74" t="s">
        <v>630</v>
      </c>
    </row>
    <row r="647">
      <c r="A647" s="52" t="s">
        <v>2566</v>
      </c>
      <c r="B647" s="52" t="s">
        <v>16</v>
      </c>
      <c r="C647" s="52" t="s">
        <v>289</v>
      </c>
      <c r="D647" s="65">
        <v>0.44684027777777785</v>
      </c>
      <c r="E647" s="65">
        <v>1.7361111111111112E-4</v>
      </c>
      <c r="F647" s="65">
        <v>0.447013888888889</v>
      </c>
      <c r="G647" s="65" t="s">
        <v>120</v>
      </c>
      <c r="H647" s="52" t="s">
        <v>85</v>
      </c>
      <c r="I647" s="52" t="s">
        <v>85</v>
      </c>
      <c r="J647" s="52"/>
      <c r="K647" s="52"/>
      <c r="L647" s="52"/>
      <c r="M647" s="52"/>
      <c r="N647" s="52" t="s">
        <v>70</v>
      </c>
      <c r="O647" s="52"/>
      <c r="P647" s="69"/>
      <c r="Q647" s="52"/>
      <c r="R647" s="51" t="b">
        <v>0</v>
      </c>
      <c r="S647" s="51"/>
      <c r="T647" s="52"/>
      <c r="U647" s="51" t="b">
        <v>0</v>
      </c>
      <c r="V647" s="51" t="b">
        <v>0</v>
      </c>
      <c r="W647" s="51" t="b">
        <v>0</v>
      </c>
      <c r="X647" s="51" t="b">
        <v>0</v>
      </c>
      <c r="Y647" s="51" t="b">
        <v>0</v>
      </c>
      <c r="Z647" s="51" t="b">
        <v>0</v>
      </c>
      <c r="AA647" s="68"/>
      <c r="AB647" s="52"/>
      <c r="AC647" s="52"/>
      <c r="AD647" s="52"/>
      <c r="AE647" s="56"/>
      <c r="AF647" s="56" t="s">
        <v>1944</v>
      </c>
    </row>
    <row r="648">
      <c r="A648" s="52" t="s">
        <v>2567</v>
      </c>
      <c r="B648" s="52" t="s">
        <v>16</v>
      </c>
      <c r="C648" s="52" t="s">
        <v>289</v>
      </c>
      <c r="D648" s="65">
        <v>0.447013888888889</v>
      </c>
      <c r="E648" s="65">
        <v>3.4722222222222224E-4</v>
      </c>
      <c r="F648" s="65">
        <v>0.4473611111111112</v>
      </c>
      <c r="G648" s="65" t="s">
        <v>120</v>
      </c>
      <c r="H648" s="52" t="s">
        <v>506</v>
      </c>
      <c r="I648" s="52" t="s">
        <v>755</v>
      </c>
      <c r="J648" s="52"/>
      <c r="K648" s="52"/>
      <c r="L648" s="52"/>
      <c r="M648" s="52"/>
      <c r="N648" s="52" t="s">
        <v>70</v>
      </c>
      <c r="O648" s="52"/>
      <c r="P648" s="52"/>
      <c r="Q648" s="52"/>
      <c r="R648" s="51" t="b">
        <v>0</v>
      </c>
      <c r="S648" s="51"/>
      <c r="T648" s="52"/>
      <c r="U648" s="51" t="b">
        <v>0</v>
      </c>
      <c r="V648" s="51" t="b">
        <v>0</v>
      </c>
      <c r="W648" s="51" t="b">
        <v>0</v>
      </c>
      <c r="X648" s="51" t="b">
        <v>0</v>
      </c>
      <c r="Y648" s="51" t="b">
        <v>0</v>
      </c>
      <c r="Z648" s="51" t="b">
        <v>0</v>
      </c>
      <c r="AA648" s="68"/>
      <c r="AB648" s="52"/>
      <c r="AC648" s="52"/>
      <c r="AD648" s="52"/>
      <c r="AE648" s="56"/>
      <c r="AF648" s="56" t="s">
        <v>1215</v>
      </c>
    </row>
    <row r="649">
      <c r="A649" s="52" t="s">
        <v>2568</v>
      </c>
      <c r="B649" s="52" t="s">
        <v>16</v>
      </c>
      <c r="C649" s="52" t="s">
        <v>289</v>
      </c>
      <c r="D649" s="65">
        <v>0.4473611111111112</v>
      </c>
      <c r="E649" s="65">
        <v>3.4722222222222224E-4</v>
      </c>
      <c r="F649" s="65">
        <v>0.44770833333333343</v>
      </c>
      <c r="G649" s="65" t="s">
        <v>120</v>
      </c>
      <c r="H649" s="52" t="s">
        <v>81</v>
      </c>
      <c r="I649" s="52" t="s">
        <v>81</v>
      </c>
      <c r="J649" s="52"/>
      <c r="K649" s="52"/>
      <c r="L649" s="52"/>
      <c r="M649" s="52"/>
      <c r="N649" s="52" t="s">
        <v>70</v>
      </c>
      <c r="O649" s="52"/>
      <c r="P649" s="52"/>
      <c r="Q649" s="52"/>
      <c r="R649" s="51" t="b">
        <v>0</v>
      </c>
      <c r="S649" s="51"/>
      <c r="T649" s="52"/>
      <c r="U649" s="51" t="b">
        <v>0</v>
      </c>
      <c r="V649" s="51" t="b">
        <v>0</v>
      </c>
      <c r="W649" s="51" t="b">
        <v>0</v>
      </c>
      <c r="X649" s="51" t="b">
        <v>0</v>
      </c>
      <c r="Y649" s="51" t="b">
        <v>0</v>
      </c>
      <c r="Z649" s="51" t="b">
        <v>0</v>
      </c>
      <c r="AA649" s="68"/>
      <c r="AB649" s="52"/>
      <c r="AC649" s="52"/>
      <c r="AD649" s="52"/>
      <c r="AE649" s="56"/>
      <c r="AF649" s="56" t="s">
        <v>1944</v>
      </c>
    </row>
    <row r="650">
      <c r="A650" s="52" t="s">
        <v>2569</v>
      </c>
      <c r="B650" s="52" t="s">
        <v>16</v>
      </c>
      <c r="C650" s="52" t="s">
        <v>289</v>
      </c>
      <c r="D650" s="65">
        <v>0.44770833333333343</v>
      </c>
      <c r="E650" s="65">
        <v>0.007569444444444445</v>
      </c>
      <c r="F650" s="65">
        <v>0.4552777777777779</v>
      </c>
      <c r="G650" s="65" t="s">
        <v>120</v>
      </c>
      <c r="H650" s="52" t="s">
        <v>107</v>
      </c>
      <c r="I650" s="52" t="s">
        <v>805</v>
      </c>
      <c r="J650" s="52" t="s">
        <v>806</v>
      </c>
      <c r="K650" s="52" t="s">
        <v>807</v>
      </c>
      <c r="L650" s="52"/>
      <c r="M650" s="52"/>
      <c r="N650" s="52" t="s">
        <v>808</v>
      </c>
      <c r="O650" s="69" t="s">
        <v>734</v>
      </c>
      <c r="P650" s="69" t="s">
        <v>15</v>
      </c>
      <c r="Q650" s="73" t="s">
        <v>2570</v>
      </c>
      <c r="R650" s="51" t="b">
        <v>1</v>
      </c>
      <c r="S650" s="139" t="s">
        <v>805</v>
      </c>
      <c r="T650" s="52"/>
      <c r="U650" s="51" t="b">
        <v>0</v>
      </c>
      <c r="V650" s="51" t="b">
        <v>1</v>
      </c>
      <c r="W650" s="51" t="b">
        <v>1</v>
      </c>
      <c r="X650" s="51" t="b">
        <v>1</v>
      </c>
      <c r="Y650" s="51" t="b">
        <v>0</v>
      </c>
      <c r="Z650" s="51" t="b">
        <v>0</v>
      </c>
      <c r="AA650" s="71">
        <v>0.00755787037037037</v>
      </c>
      <c r="AB650" s="69" t="s">
        <v>2571</v>
      </c>
      <c r="AC650" s="72"/>
      <c r="AD650" s="73" t="s">
        <v>2572</v>
      </c>
      <c r="AE650" s="74" t="s">
        <v>629</v>
      </c>
      <c r="AF650" s="74" t="s">
        <v>1055</v>
      </c>
    </row>
    <row r="651">
      <c r="A651" s="52" t="s">
        <v>2573</v>
      </c>
      <c r="B651" s="52" t="s">
        <v>16</v>
      </c>
      <c r="C651" s="52" t="s">
        <v>289</v>
      </c>
      <c r="D651" s="65">
        <v>0.4552777777777779</v>
      </c>
      <c r="E651" s="65">
        <v>1.7361111111111112E-4</v>
      </c>
      <c r="F651" s="65">
        <v>0.45545138888888903</v>
      </c>
      <c r="G651" s="65" t="s">
        <v>120</v>
      </c>
      <c r="H651" s="52" t="s">
        <v>85</v>
      </c>
      <c r="I651" s="52" t="s">
        <v>85</v>
      </c>
      <c r="J651" s="52"/>
      <c r="K651" s="52"/>
      <c r="L651" s="52"/>
      <c r="M651" s="52"/>
      <c r="N651" s="52" t="s">
        <v>70</v>
      </c>
      <c r="O651" s="52"/>
      <c r="P651" s="52"/>
      <c r="Q651" s="52"/>
      <c r="R651" s="51" t="b">
        <v>0</v>
      </c>
      <c r="S651" s="51"/>
      <c r="T651" s="52"/>
      <c r="U651" s="51" t="b">
        <v>0</v>
      </c>
      <c r="V651" s="51" t="b">
        <v>0</v>
      </c>
      <c r="W651" s="51" t="b">
        <v>0</v>
      </c>
      <c r="X651" s="51" t="b">
        <v>0</v>
      </c>
      <c r="Y651" s="51" t="b">
        <v>0</v>
      </c>
      <c r="Z651" s="51" t="b">
        <v>0</v>
      </c>
      <c r="AA651" s="68"/>
      <c r="AB651" s="52"/>
      <c r="AC651" s="52"/>
      <c r="AD651" s="52"/>
      <c r="AE651" s="56"/>
      <c r="AF651" s="56" t="s">
        <v>1944</v>
      </c>
    </row>
    <row r="652">
      <c r="A652" s="52" t="s">
        <v>2574</v>
      </c>
      <c r="B652" s="52" t="s">
        <v>607</v>
      </c>
      <c r="C652" s="52" t="s">
        <v>607</v>
      </c>
      <c r="D652" s="65" t="s">
        <v>607</v>
      </c>
      <c r="E652" s="65" t="s">
        <v>607</v>
      </c>
      <c r="F652" s="65" t="s">
        <v>607</v>
      </c>
      <c r="G652" s="65" t="s">
        <v>607</v>
      </c>
      <c r="H652" s="52" t="s">
        <v>607</v>
      </c>
      <c r="I652" s="52" t="s">
        <v>607</v>
      </c>
      <c r="J652" s="52" t="s">
        <v>607</v>
      </c>
      <c r="K652" s="52" t="s">
        <v>607</v>
      </c>
      <c r="L652" s="52" t="s">
        <v>607</v>
      </c>
      <c r="M652" s="52" t="s">
        <v>607</v>
      </c>
      <c r="N652" s="52" t="s">
        <v>607</v>
      </c>
      <c r="O652" s="52"/>
      <c r="P652" s="52"/>
      <c r="Q652" s="52"/>
      <c r="R652" s="51" t="b">
        <v>0</v>
      </c>
      <c r="S652" s="52"/>
      <c r="T652" s="52"/>
      <c r="U652" s="51" t="b">
        <v>0</v>
      </c>
      <c r="V652" s="51" t="b">
        <v>0</v>
      </c>
      <c r="W652" s="51" t="b">
        <v>0</v>
      </c>
      <c r="X652" s="51" t="b">
        <v>0</v>
      </c>
      <c r="Y652" s="51" t="b">
        <v>0</v>
      </c>
      <c r="Z652" s="51" t="b">
        <v>0</v>
      </c>
      <c r="AA652" s="68"/>
      <c r="AB652" s="52"/>
      <c r="AC652" s="52"/>
      <c r="AD652" s="52"/>
      <c r="AE652" s="56" t="s">
        <v>607</v>
      </c>
      <c r="AF652" s="56" t="s">
        <v>607</v>
      </c>
    </row>
    <row r="653">
      <c r="A653" s="52" t="s">
        <v>2575</v>
      </c>
      <c r="B653" s="52" t="s">
        <v>16</v>
      </c>
      <c r="C653" s="52" t="s">
        <v>289</v>
      </c>
      <c r="D653" s="65">
        <v>0.45545138888888903</v>
      </c>
      <c r="E653" s="65">
        <v>1.7361111111111112E-4</v>
      </c>
      <c r="F653" s="65">
        <v>0.45562500000000017</v>
      </c>
      <c r="G653" s="65" t="s">
        <v>120</v>
      </c>
      <c r="H653" s="52" t="s">
        <v>77</v>
      </c>
      <c r="I653" s="52" t="s">
        <v>810</v>
      </c>
      <c r="J653" s="52"/>
      <c r="K653" s="52"/>
      <c r="L653" s="52"/>
      <c r="M653" s="52"/>
      <c r="N653" s="52" t="s">
        <v>70</v>
      </c>
      <c r="O653" s="52"/>
      <c r="P653" s="52"/>
      <c r="Q653" s="52"/>
      <c r="R653" s="51" t="b">
        <v>0</v>
      </c>
      <c r="S653" s="51"/>
      <c r="T653" s="52"/>
      <c r="U653" s="51" t="b">
        <v>0</v>
      </c>
      <c r="V653" s="51" t="b">
        <v>0</v>
      </c>
      <c r="W653" s="51" t="b">
        <v>0</v>
      </c>
      <c r="X653" s="51" t="b">
        <v>0</v>
      </c>
      <c r="Y653" s="51" t="b">
        <v>0</v>
      </c>
      <c r="Z653" s="51" t="b">
        <v>0</v>
      </c>
      <c r="AA653" s="68"/>
      <c r="AB653" s="52"/>
      <c r="AC653" s="52"/>
      <c r="AD653" s="52"/>
      <c r="AE653" s="56"/>
      <c r="AF653" s="56" t="s">
        <v>1215</v>
      </c>
    </row>
    <row r="654">
      <c r="A654" s="52" t="s">
        <v>2576</v>
      </c>
      <c r="B654" s="52" t="s">
        <v>16</v>
      </c>
      <c r="C654" s="52" t="s">
        <v>289</v>
      </c>
      <c r="D654" s="65">
        <v>0.45562500000000017</v>
      </c>
      <c r="E654" s="65">
        <v>3.4722222222222224E-4</v>
      </c>
      <c r="F654" s="65">
        <v>0.4559722222222224</v>
      </c>
      <c r="G654" s="65" t="s">
        <v>120</v>
      </c>
      <c r="H654" s="52" t="s">
        <v>81</v>
      </c>
      <c r="I654" s="52" t="s">
        <v>81</v>
      </c>
      <c r="J654" s="52"/>
      <c r="K654" s="52"/>
      <c r="L654" s="52"/>
      <c r="M654" s="52"/>
      <c r="N654" s="52" t="s">
        <v>70</v>
      </c>
      <c r="O654" s="52"/>
      <c r="P654" s="52"/>
      <c r="Q654" s="52"/>
      <c r="R654" s="51" t="b">
        <v>0</v>
      </c>
      <c r="S654" s="51"/>
      <c r="T654" s="52"/>
      <c r="U654" s="51" t="b">
        <v>0</v>
      </c>
      <c r="V654" s="51" t="b">
        <v>0</v>
      </c>
      <c r="W654" s="51" t="b">
        <v>0</v>
      </c>
      <c r="X654" s="51" t="b">
        <v>0</v>
      </c>
      <c r="Y654" s="51" t="b">
        <v>0</v>
      </c>
      <c r="Z654" s="51" t="b">
        <v>0</v>
      </c>
      <c r="AA654" s="68"/>
      <c r="AB654" s="52"/>
      <c r="AC654" s="52"/>
      <c r="AD654" s="52"/>
      <c r="AE654" s="56"/>
      <c r="AF654" s="56" t="s">
        <v>1944</v>
      </c>
    </row>
    <row r="655">
      <c r="A655" s="52" t="s">
        <v>2577</v>
      </c>
      <c r="B655" s="52" t="s">
        <v>16</v>
      </c>
      <c r="C655" s="52" t="s">
        <v>289</v>
      </c>
      <c r="D655" s="65">
        <v>0.4559722222222224</v>
      </c>
      <c r="E655" s="65">
        <v>0.0021064814814814813</v>
      </c>
      <c r="F655" s="65">
        <v>0.45807870370370385</v>
      </c>
      <c r="G655" s="65" t="s">
        <v>120</v>
      </c>
      <c r="H655" s="52" t="s">
        <v>165</v>
      </c>
      <c r="I655" s="52" t="s">
        <v>812</v>
      </c>
      <c r="J655" s="52" t="s">
        <v>813</v>
      </c>
      <c r="K655" s="52"/>
      <c r="L655" s="52"/>
      <c r="M655" s="52"/>
      <c r="N655" s="52" t="s">
        <v>70</v>
      </c>
      <c r="O655" s="69" t="s">
        <v>884</v>
      </c>
      <c r="P655" s="69" t="s">
        <v>20</v>
      </c>
      <c r="Q655" s="73" t="s">
        <v>2578</v>
      </c>
      <c r="R655" s="51" t="b">
        <v>1</v>
      </c>
      <c r="S655" s="52" t="s">
        <v>812</v>
      </c>
      <c r="T655" s="52"/>
      <c r="U655" s="51" t="b">
        <v>0</v>
      </c>
      <c r="V655" s="51" t="b">
        <v>1</v>
      </c>
      <c r="W655" s="51" t="b">
        <v>1</v>
      </c>
      <c r="X655" s="51" t="b">
        <v>0</v>
      </c>
      <c r="Y655" s="51" t="b">
        <v>0</v>
      </c>
      <c r="Z655" s="51" t="b">
        <v>0</v>
      </c>
      <c r="AA655" s="71">
        <v>0.0021064814814814813</v>
      </c>
      <c r="AB655" s="69" t="s">
        <v>2579</v>
      </c>
      <c r="AC655" s="69" t="s">
        <v>2580</v>
      </c>
      <c r="AD655" s="76" t="s">
        <v>2581</v>
      </c>
      <c r="AE655" s="74" t="s">
        <v>743</v>
      </c>
      <c r="AF655" s="74" t="s">
        <v>630</v>
      </c>
    </row>
    <row r="656">
      <c r="A656" s="52" t="s">
        <v>2582</v>
      </c>
      <c r="B656" s="52" t="s">
        <v>16</v>
      </c>
      <c r="C656" s="52" t="s">
        <v>289</v>
      </c>
      <c r="D656" s="65">
        <v>0.45807870370370385</v>
      </c>
      <c r="E656" s="65">
        <v>2.662037037037037E-4</v>
      </c>
      <c r="F656" s="65">
        <v>0.4583449074074076</v>
      </c>
      <c r="G656" s="65" t="s">
        <v>120</v>
      </c>
      <c r="H656" s="52" t="s">
        <v>85</v>
      </c>
      <c r="I656" s="52" t="s">
        <v>815</v>
      </c>
      <c r="J656" s="52"/>
      <c r="K656" s="52"/>
      <c r="L656" s="52"/>
      <c r="M656" s="52"/>
      <c r="N656" s="52" t="s">
        <v>70</v>
      </c>
      <c r="O656" s="52"/>
      <c r="P656" s="52"/>
      <c r="Q656" s="52"/>
      <c r="R656" s="51" t="b">
        <v>0</v>
      </c>
      <c r="S656" s="51"/>
      <c r="T656" s="52"/>
      <c r="U656" s="51" t="b">
        <v>0</v>
      </c>
      <c r="V656" s="51" t="b">
        <v>0</v>
      </c>
      <c r="W656" s="51" t="b">
        <v>0</v>
      </c>
      <c r="X656" s="51" t="b">
        <v>0</v>
      </c>
      <c r="Y656" s="51" t="b">
        <v>0</v>
      </c>
      <c r="Z656" s="51" t="b">
        <v>0</v>
      </c>
      <c r="AA656" s="68"/>
      <c r="AB656" s="52"/>
      <c r="AC656" s="52"/>
      <c r="AD656" s="52"/>
      <c r="AE656" s="56"/>
      <c r="AF656" s="56" t="s">
        <v>1944</v>
      </c>
    </row>
    <row r="657">
      <c r="A657" s="52" t="s">
        <v>2583</v>
      </c>
      <c r="B657" s="52" t="s">
        <v>16</v>
      </c>
      <c r="C657" s="52" t="s">
        <v>289</v>
      </c>
      <c r="D657" s="65">
        <v>0.4583449074074076</v>
      </c>
      <c r="E657" s="65">
        <v>3.4722222222222224E-4</v>
      </c>
      <c r="F657" s="65">
        <v>0.4586921296296298</v>
      </c>
      <c r="G657" s="65" t="s">
        <v>120</v>
      </c>
      <c r="H657" s="52" t="s">
        <v>506</v>
      </c>
      <c r="I657" s="52" t="s">
        <v>755</v>
      </c>
      <c r="J657" s="52"/>
      <c r="K657" s="52"/>
      <c r="L657" s="52"/>
      <c r="M657" s="52"/>
      <c r="N657" s="52" t="s">
        <v>70</v>
      </c>
      <c r="O657" s="52"/>
      <c r="P657" s="52"/>
      <c r="Q657" s="52"/>
      <c r="R657" s="51" t="b">
        <v>0</v>
      </c>
      <c r="S657" s="51"/>
      <c r="T657" s="52"/>
      <c r="U657" s="51" t="b">
        <v>0</v>
      </c>
      <c r="V657" s="51" t="b">
        <v>0</v>
      </c>
      <c r="W657" s="51" t="b">
        <v>0</v>
      </c>
      <c r="X657" s="51" t="b">
        <v>0</v>
      </c>
      <c r="Y657" s="51" t="b">
        <v>0</v>
      </c>
      <c r="Z657" s="51" t="b">
        <v>0</v>
      </c>
      <c r="AA657" s="68"/>
      <c r="AB657" s="52"/>
      <c r="AC657" s="52"/>
      <c r="AD657" s="52"/>
      <c r="AE657" s="56"/>
      <c r="AF657" s="56" t="s">
        <v>1944</v>
      </c>
    </row>
    <row r="658">
      <c r="A658" s="52" t="s">
        <v>2584</v>
      </c>
      <c r="B658" s="52" t="s">
        <v>607</v>
      </c>
      <c r="C658" s="52" t="s">
        <v>607</v>
      </c>
      <c r="D658" s="65" t="s">
        <v>607</v>
      </c>
      <c r="E658" s="65" t="s">
        <v>607</v>
      </c>
      <c r="F658" s="65" t="s">
        <v>607</v>
      </c>
      <c r="G658" s="65" t="s">
        <v>607</v>
      </c>
      <c r="H658" s="52" t="s">
        <v>607</v>
      </c>
      <c r="I658" s="52" t="s">
        <v>607</v>
      </c>
      <c r="J658" s="52" t="s">
        <v>607</v>
      </c>
      <c r="K658" s="52" t="s">
        <v>607</v>
      </c>
      <c r="L658" s="52" t="s">
        <v>607</v>
      </c>
      <c r="M658" s="52" t="s">
        <v>607</v>
      </c>
      <c r="N658" s="52" t="s">
        <v>607</v>
      </c>
      <c r="O658" s="52"/>
      <c r="P658" s="52"/>
      <c r="Q658" s="52"/>
      <c r="R658" s="51" t="b">
        <v>0</v>
      </c>
      <c r="S658" s="51"/>
      <c r="T658" s="52"/>
      <c r="U658" s="51" t="b">
        <v>0</v>
      </c>
      <c r="V658" s="51" t="b">
        <v>0</v>
      </c>
      <c r="W658" s="51" t="b">
        <v>0</v>
      </c>
      <c r="X658" s="51" t="b">
        <v>0</v>
      </c>
      <c r="Y658" s="51" t="b">
        <v>0</v>
      </c>
      <c r="Z658" s="51" t="b">
        <v>0</v>
      </c>
      <c r="AA658" s="68"/>
      <c r="AB658" s="52"/>
      <c r="AC658" s="52"/>
      <c r="AD658" s="52"/>
      <c r="AE658" s="56" t="s">
        <v>607</v>
      </c>
      <c r="AF658" s="56" t="s">
        <v>607</v>
      </c>
    </row>
    <row r="659">
      <c r="A659" s="52" t="s">
        <v>2585</v>
      </c>
      <c r="B659" s="52" t="s">
        <v>16</v>
      </c>
      <c r="C659" s="52" t="s">
        <v>289</v>
      </c>
      <c r="D659" s="65"/>
      <c r="E659" s="65"/>
      <c r="F659" s="65"/>
      <c r="G659" s="65"/>
      <c r="H659" s="52"/>
      <c r="I659" s="52"/>
      <c r="J659" s="52"/>
      <c r="K659" s="52"/>
      <c r="L659" s="52"/>
      <c r="M659" s="52"/>
      <c r="N659" s="52" t="s">
        <v>70</v>
      </c>
      <c r="O659" s="52"/>
      <c r="P659" s="52"/>
      <c r="Q659" s="103"/>
      <c r="R659" s="51" t="b">
        <v>0</v>
      </c>
      <c r="S659" s="52"/>
      <c r="T659" s="52"/>
      <c r="U659" s="51" t="b">
        <v>0</v>
      </c>
      <c r="V659" s="51" t="b">
        <v>0</v>
      </c>
      <c r="W659" s="51" t="b">
        <v>0</v>
      </c>
      <c r="X659" s="51" t="b">
        <v>0</v>
      </c>
      <c r="Y659" s="51" t="b">
        <v>0</v>
      </c>
      <c r="Z659" s="51" t="b">
        <v>0</v>
      </c>
      <c r="AA659" s="68"/>
      <c r="AB659" s="52"/>
      <c r="AC659" s="52"/>
      <c r="AD659" s="103"/>
      <c r="AE659" s="74"/>
      <c r="AF659" s="74"/>
    </row>
    <row r="660">
      <c r="A660" s="52" t="s">
        <v>2586</v>
      </c>
      <c r="B660" s="52" t="s">
        <v>16</v>
      </c>
      <c r="C660" s="52" t="s">
        <v>221</v>
      </c>
      <c r="D660" s="65">
        <v>0.6422569444444455</v>
      </c>
      <c r="E660" s="65">
        <v>3.4722222222222224E-4</v>
      </c>
      <c r="F660" s="65">
        <v>0.6426041666666678</v>
      </c>
      <c r="G660" s="65" t="s">
        <v>737</v>
      </c>
      <c r="H660" s="52" t="s">
        <v>81</v>
      </c>
      <c r="I660" s="52" t="s">
        <v>81</v>
      </c>
      <c r="J660" s="52"/>
      <c r="K660" s="52"/>
      <c r="L660" s="52"/>
      <c r="M660" s="52"/>
      <c r="N660" s="52"/>
      <c r="O660" s="52"/>
      <c r="P660" s="52"/>
      <c r="Q660" s="52"/>
      <c r="R660" s="51" t="b">
        <v>0</v>
      </c>
      <c r="S660" s="51"/>
      <c r="T660" s="52"/>
      <c r="U660" s="51" t="b">
        <v>0</v>
      </c>
      <c r="V660" s="51" t="b">
        <v>0</v>
      </c>
      <c r="W660" s="51" t="b">
        <v>0</v>
      </c>
      <c r="X660" s="51" t="b">
        <v>0</v>
      </c>
      <c r="Y660" s="51" t="b">
        <v>0</v>
      </c>
      <c r="Z660" s="51" t="b">
        <v>0</v>
      </c>
      <c r="AA660" s="68"/>
      <c r="AB660" s="52"/>
      <c r="AC660" s="52"/>
      <c r="AD660" s="52"/>
      <c r="AE660" s="56"/>
      <c r="AF660" s="56" t="s">
        <v>1944</v>
      </c>
    </row>
    <row r="661">
      <c r="A661" s="52" t="s">
        <v>2587</v>
      </c>
      <c r="B661" s="52" t="s">
        <v>16</v>
      </c>
      <c r="C661" s="52" t="s">
        <v>221</v>
      </c>
      <c r="D661" s="65">
        <v>0.6426041666666678</v>
      </c>
      <c r="E661" s="65">
        <v>0.013888888888888888</v>
      </c>
      <c r="F661" s="65">
        <v>0.6564930555555566</v>
      </c>
      <c r="G661" s="65" t="s">
        <v>737</v>
      </c>
      <c r="H661" s="52" t="s">
        <v>94</v>
      </c>
      <c r="I661" s="52" t="s">
        <v>745</v>
      </c>
      <c r="J661" s="52" t="s">
        <v>746</v>
      </c>
      <c r="K661" s="52"/>
      <c r="L661" s="52"/>
      <c r="M661" s="52"/>
      <c r="N661" s="52" t="s">
        <v>171</v>
      </c>
      <c r="O661" s="69" t="s">
        <v>618</v>
      </c>
      <c r="P661" s="69" t="s">
        <v>17</v>
      </c>
      <c r="Q661" s="80" t="s">
        <v>2588</v>
      </c>
      <c r="R661" s="51" t="b">
        <v>1</v>
      </c>
      <c r="S661" s="52" t="s">
        <v>745</v>
      </c>
      <c r="T661" s="52"/>
      <c r="U661" s="51" t="b">
        <v>0</v>
      </c>
      <c r="V661" s="51" t="b">
        <v>1</v>
      </c>
      <c r="W661" s="51" t="b">
        <v>1</v>
      </c>
      <c r="X661" s="51" t="b">
        <v>0</v>
      </c>
      <c r="Y661" s="51" t="b">
        <v>0</v>
      </c>
      <c r="Z661" s="51" t="b">
        <v>0</v>
      </c>
      <c r="AA661" s="102">
        <v>0.013113425925925926</v>
      </c>
      <c r="AB661" s="52"/>
      <c r="AC661" s="52"/>
      <c r="AD661" s="73" t="s">
        <v>2589</v>
      </c>
      <c r="AE661" s="56" t="s">
        <v>629</v>
      </c>
      <c r="AF661" s="56" t="s">
        <v>611</v>
      </c>
    </row>
    <row r="662">
      <c r="A662" s="52" t="s">
        <v>2590</v>
      </c>
      <c r="B662" s="52" t="s">
        <v>607</v>
      </c>
      <c r="C662" s="52" t="s">
        <v>607</v>
      </c>
      <c r="D662" s="65" t="s">
        <v>607</v>
      </c>
      <c r="E662" s="65" t="s">
        <v>607</v>
      </c>
      <c r="F662" s="65" t="s">
        <v>607</v>
      </c>
      <c r="G662" s="65" t="s">
        <v>607</v>
      </c>
      <c r="H662" s="52" t="s">
        <v>607</v>
      </c>
      <c r="I662" s="52" t="s">
        <v>607</v>
      </c>
      <c r="J662" s="52" t="s">
        <v>607</v>
      </c>
      <c r="K662" s="52" t="s">
        <v>607</v>
      </c>
      <c r="L662" s="52" t="s">
        <v>607</v>
      </c>
      <c r="M662" s="52" t="s">
        <v>607</v>
      </c>
      <c r="N662" s="52" t="s">
        <v>607</v>
      </c>
      <c r="O662" s="52"/>
      <c r="P662" s="52"/>
      <c r="Q662" s="52"/>
      <c r="R662" s="51" t="b">
        <v>0</v>
      </c>
      <c r="S662" s="52"/>
      <c r="T662" s="52"/>
      <c r="U662" s="51" t="b">
        <v>0</v>
      </c>
      <c r="V662" s="51" t="b">
        <v>0</v>
      </c>
      <c r="W662" s="51" t="b">
        <v>0</v>
      </c>
      <c r="X662" s="51" t="b">
        <v>0</v>
      </c>
      <c r="Y662" s="51" t="b">
        <v>0</v>
      </c>
      <c r="Z662" s="51" t="b">
        <v>0</v>
      </c>
      <c r="AA662" s="68"/>
      <c r="AB662" s="52"/>
      <c r="AC662" s="52"/>
      <c r="AD662" s="52"/>
      <c r="AE662" s="56" t="s">
        <v>607</v>
      </c>
      <c r="AF662" s="56" t="s">
        <v>607</v>
      </c>
    </row>
    <row r="663">
      <c r="A663" s="52" t="s">
        <v>2591</v>
      </c>
      <c r="B663" s="52" t="s">
        <v>16</v>
      </c>
      <c r="C663" s="52" t="s">
        <v>221</v>
      </c>
      <c r="D663" s="65">
        <v>0.6078819444444453</v>
      </c>
      <c r="E663" s="65">
        <v>3.4722222222222224E-4</v>
      </c>
      <c r="F663" s="65">
        <v>0.6082291666666676</v>
      </c>
      <c r="G663" s="65" t="s">
        <v>195</v>
      </c>
      <c r="H663" s="52" t="s">
        <v>81</v>
      </c>
      <c r="I663" s="52" t="s">
        <v>81</v>
      </c>
      <c r="J663" s="52"/>
      <c r="K663" s="52"/>
      <c r="L663" s="52"/>
      <c r="M663" s="52"/>
      <c r="N663" s="52"/>
      <c r="O663" s="52"/>
      <c r="P663" s="52"/>
      <c r="Q663" s="52"/>
      <c r="R663" s="51" t="b">
        <v>0</v>
      </c>
      <c r="S663" s="51"/>
      <c r="T663" s="52"/>
      <c r="U663" s="51" t="b">
        <v>0</v>
      </c>
      <c r="V663" s="51" t="b">
        <v>0</v>
      </c>
      <c r="W663" s="51" t="b">
        <v>0</v>
      </c>
      <c r="X663" s="51" t="b">
        <v>0</v>
      </c>
      <c r="Y663" s="51" t="b">
        <v>0</v>
      </c>
      <c r="Z663" s="51" t="b">
        <v>0</v>
      </c>
      <c r="AA663" s="68"/>
      <c r="AB663" s="52"/>
      <c r="AC663" s="52"/>
      <c r="AD663" s="52"/>
      <c r="AE663" s="56"/>
      <c r="AF663" s="56" t="s">
        <v>1944</v>
      </c>
    </row>
    <row r="664">
      <c r="A664" s="52" t="s">
        <v>2592</v>
      </c>
      <c r="B664" s="52" t="s">
        <v>16</v>
      </c>
      <c r="C664" s="52" t="s">
        <v>221</v>
      </c>
      <c r="D664" s="65">
        <v>0.6082291666666676</v>
      </c>
      <c r="E664" s="65">
        <v>0.006944444444444444</v>
      </c>
      <c r="F664" s="65">
        <v>0.615173611111112</v>
      </c>
      <c r="G664" s="65" t="s">
        <v>195</v>
      </c>
      <c r="H664" s="52" t="s">
        <v>165</v>
      </c>
      <c r="I664" s="52" t="s">
        <v>719</v>
      </c>
      <c r="J664" s="52" t="s">
        <v>720</v>
      </c>
      <c r="K664" s="52"/>
      <c r="L664" s="52"/>
      <c r="M664" s="52"/>
      <c r="N664" s="52" t="s">
        <v>70</v>
      </c>
      <c r="O664" s="69" t="s">
        <v>884</v>
      </c>
      <c r="P664" s="69" t="s">
        <v>30</v>
      </c>
      <c r="Q664" s="76" t="s">
        <v>2593</v>
      </c>
      <c r="R664" s="51" t="b">
        <v>1</v>
      </c>
      <c r="S664" s="52" t="s">
        <v>719</v>
      </c>
      <c r="T664" s="52"/>
      <c r="U664" s="51" t="b">
        <v>0</v>
      </c>
      <c r="V664" s="51" t="b">
        <v>1</v>
      </c>
      <c r="W664" s="51" t="b">
        <v>1</v>
      </c>
      <c r="X664" s="51" t="b">
        <v>1</v>
      </c>
      <c r="Y664" s="51" t="b">
        <v>0</v>
      </c>
      <c r="Z664" s="51" t="b">
        <v>0</v>
      </c>
      <c r="AA664" s="71">
        <v>0.006944444444444444</v>
      </c>
      <c r="AB664" s="140">
        <v>0.4166666666666667</v>
      </c>
      <c r="AC664" s="72"/>
      <c r="AD664" s="73" t="s">
        <v>2594</v>
      </c>
      <c r="AE664" s="74" t="s">
        <v>743</v>
      </c>
      <c r="AF664" s="74" t="s">
        <v>1055</v>
      </c>
    </row>
    <row r="665">
      <c r="A665" s="52" t="s">
        <v>2595</v>
      </c>
      <c r="B665" s="52" t="s">
        <v>607</v>
      </c>
      <c r="C665" s="52" t="s">
        <v>607</v>
      </c>
      <c r="D665" s="65" t="s">
        <v>607</v>
      </c>
      <c r="E665" s="65" t="s">
        <v>607</v>
      </c>
      <c r="F665" s="65" t="s">
        <v>607</v>
      </c>
      <c r="G665" s="65" t="s">
        <v>607</v>
      </c>
      <c r="H665" s="52" t="s">
        <v>607</v>
      </c>
      <c r="I665" s="52" t="s">
        <v>607</v>
      </c>
      <c r="J665" s="52" t="s">
        <v>607</v>
      </c>
      <c r="K665" s="52" t="s">
        <v>607</v>
      </c>
      <c r="L665" s="52" t="s">
        <v>607</v>
      </c>
      <c r="M665" s="52" t="s">
        <v>607</v>
      </c>
      <c r="N665" s="52" t="s">
        <v>607</v>
      </c>
      <c r="O665" s="52"/>
      <c r="P665" s="52"/>
      <c r="Q665" s="103"/>
      <c r="R665" s="51" t="b">
        <v>0</v>
      </c>
      <c r="S665" s="52"/>
      <c r="T665" s="52"/>
      <c r="U665" s="51" t="b">
        <v>0</v>
      </c>
      <c r="V665" s="51" t="b">
        <v>0</v>
      </c>
      <c r="W665" s="51" t="b">
        <v>0</v>
      </c>
      <c r="X665" s="51" t="b">
        <v>0</v>
      </c>
      <c r="Y665" s="51" t="b">
        <v>0</v>
      </c>
      <c r="Z665" s="51" t="b">
        <v>0</v>
      </c>
      <c r="AA665" s="68"/>
      <c r="AB665" s="52"/>
      <c r="AC665" s="52"/>
      <c r="AD665" s="52"/>
      <c r="AE665" s="56" t="s">
        <v>607</v>
      </c>
      <c r="AF665" s="56" t="s">
        <v>607</v>
      </c>
    </row>
    <row r="666">
      <c r="A666" s="52" t="s">
        <v>2596</v>
      </c>
      <c r="B666" s="52" t="s">
        <v>19</v>
      </c>
      <c r="C666" s="52" t="s">
        <v>66</v>
      </c>
      <c r="D666" s="65">
        <v>0.5078125</v>
      </c>
      <c r="E666" s="65">
        <v>3.4722222222222224E-4</v>
      </c>
      <c r="F666" s="65">
        <v>0.5081597222222223</v>
      </c>
      <c r="G666" s="65" t="s">
        <v>195</v>
      </c>
      <c r="H666" s="52" t="s">
        <v>81</v>
      </c>
      <c r="I666" s="52" t="s">
        <v>81</v>
      </c>
      <c r="J666" s="52"/>
      <c r="K666" s="52"/>
      <c r="L666" s="52"/>
      <c r="M666" s="52"/>
      <c r="N666" s="52" t="s">
        <v>70</v>
      </c>
      <c r="O666" s="52"/>
      <c r="P666" s="52"/>
      <c r="Q666" s="52"/>
      <c r="R666" s="51" t="b">
        <v>0</v>
      </c>
      <c r="S666" s="51"/>
      <c r="T666" s="52"/>
      <c r="U666" s="51" t="b">
        <v>0</v>
      </c>
      <c r="V666" s="51" t="b">
        <v>0</v>
      </c>
      <c r="W666" s="51" t="b">
        <v>0</v>
      </c>
      <c r="X666" s="51" t="b">
        <v>0</v>
      </c>
      <c r="Y666" s="51" t="b">
        <v>0</v>
      </c>
      <c r="Z666" s="51" t="b">
        <v>0</v>
      </c>
      <c r="AA666" s="68"/>
      <c r="AB666" s="52"/>
      <c r="AC666" s="52"/>
      <c r="AD666" s="52"/>
      <c r="AE666" s="56"/>
      <c r="AF666" s="56" t="s">
        <v>1944</v>
      </c>
    </row>
    <row r="667">
      <c r="A667" s="52" t="s">
        <v>2597</v>
      </c>
      <c r="B667" s="52" t="s">
        <v>19</v>
      </c>
      <c r="C667" s="52" t="s">
        <v>66</v>
      </c>
      <c r="D667" s="65">
        <v>0.5081597222222223</v>
      </c>
      <c r="E667" s="65">
        <v>0.006805555555555555</v>
      </c>
      <c r="F667" s="65">
        <v>0.5149652777777778</v>
      </c>
      <c r="G667" s="65" t="s">
        <v>195</v>
      </c>
      <c r="H667" s="52" t="s">
        <v>107</v>
      </c>
      <c r="I667" s="52" t="s">
        <v>1048</v>
      </c>
      <c r="J667" s="52" t="s">
        <v>1049</v>
      </c>
      <c r="K667" s="52" t="s">
        <v>1050</v>
      </c>
      <c r="L667" s="52"/>
      <c r="M667" s="52"/>
      <c r="N667" s="52" t="s">
        <v>829</v>
      </c>
      <c r="O667" s="69" t="s">
        <v>734</v>
      </c>
      <c r="P667" s="69" t="s">
        <v>32</v>
      </c>
      <c r="Q667" s="70" t="s">
        <v>2598</v>
      </c>
      <c r="R667" s="51" t="b">
        <v>1</v>
      </c>
      <c r="S667" s="78" t="s">
        <v>1048</v>
      </c>
      <c r="T667" s="52"/>
      <c r="U667" s="51" t="b">
        <v>0</v>
      </c>
      <c r="V667" s="51" t="b">
        <v>1</v>
      </c>
      <c r="W667" s="51" t="b">
        <v>1</v>
      </c>
      <c r="X667" s="51" t="b">
        <v>0</v>
      </c>
      <c r="Y667" s="51" t="b">
        <v>1</v>
      </c>
      <c r="Z667" s="51" t="b">
        <v>0</v>
      </c>
      <c r="AA667" s="71">
        <v>0.006805555555555555</v>
      </c>
      <c r="AB667" s="69" t="s">
        <v>2599</v>
      </c>
      <c r="AC667" s="69" t="s">
        <v>2600</v>
      </c>
      <c r="AD667" s="73" t="s">
        <v>2601</v>
      </c>
      <c r="AE667" s="74" t="s">
        <v>629</v>
      </c>
      <c r="AF667" s="74" t="s">
        <v>946</v>
      </c>
    </row>
    <row r="668">
      <c r="A668" s="52" t="s">
        <v>2602</v>
      </c>
      <c r="B668" s="52" t="s">
        <v>607</v>
      </c>
      <c r="C668" s="52" t="s">
        <v>607</v>
      </c>
      <c r="D668" s="65" t="s">
        <v>607</v>
      </c>
      <c r="E668" s="65" t="s">
        <v>607</v>
      </c>
      <c r="F668" s="65" t="s">
        <v>607</v>
      </c>
      <c r="G668" s="65" t="s">
        <v>607</v>
      </c>
      <c r="H668" s="52" t="s">
        <v>607</v>
      </c>
      <c r="I668" s="52" t="s">
        <v>607</v>
      </c>
      <c r="J668" s="52" t="s">
        <v>607</v>
      </c>
      <c r="K668" s="52" t="s">
        <v>607</v>
      </c>
      <c r="L668" s="52" t="s">
        <v>607</v>
      </c>
      <c r="M668" s="52" t="s">
        <v>607</v>
      </c>
      <c r="N668" s="52" t="s">
        <v>607</v>
      </c>
      <c r="O668" s="52"/>
      <c r="P668" s="52"/>
      <c r="Q668" s="52"/>
      <c r="R668" s="51" t="b">
        <v>0</v>
      </c>
      <c r="S668" s="51"/>
      <c r="T668" s="52"/>
      <c r="U668" s="51" t="b">
        <v>0</v>
      </c>
      <c r="V668" s="51" t="b">
        <v>0</v>
      </c>
      <c r="W668" s="51" t="b">
        <v>0</v>
      </c>
      <c r="X668" s="51" t="b">
        <v>0</v>
      </c>
      <c r="Y668" s="51" t="b">
        <v>0</v>
      </c>
      <c r="Z668" s="51" t="b">
        <v>0</v>
      </c>
      <c r="AA668" s="68"/>
      <c r="AB668" s="52"/>
      <c r="AC668" s="52"/>
      <c r="AD668" s="52"/>
      <c r="AE668" s="56" t="s">
        <v>607</v>
      </c>
      <c r="AF668" s="56" t="s">
        <v>607</v>
      </c>
    </row>
    <row r="669">
      <c r="A669" s="52" t="s">
        <v>2603</v>
      </c>
      <c r="B669" s="52" t="s">
        <v>16</v>
      </c>
      <c r="C669" s="52" t="s">
        <v>289</v>
      </c>
      <c r="D669" s="65">
        <v>0.49148148148148174</v>
      </c>
      <c r="E669" s="65">
        <v>3.4722222222222224E-4</v>
      </c>
      <c r="F669" s="65">
        <v>0.49182870370370396</v>
      </c>
      <c r="G669" s="65" t="s">
        <v>195</v>
      </c>
      <c r="H669" s="52" t="s">
        <v>81</v>
      </c>
      <c r="I669" s="52" t="s">
        <v>81</v>
      </c>
      <c r="J669" s="52"/>
      <c r="K669" s="52"/>
      <c r="L669" s="52"/>
      <c r="M669" s="52"/>
      <c r="N669" s="52" t="s">
        <v>70</v>
      </c>
      <c r="O669" s="52"/>
      <c r="P669" s="69"/>
      <c r="Q669" s="52"/>
      <c r="R669" s="51" t="b">
        <v>0</v>
      </c>
      <c r="S669" s="51"/>
      <c r="T669" s="52"/>
      <c r="U669" s="51" t="b">
        <v>0</v>
      </c>
      <c r="V669" s="51" t="b">
        <v>0</v>
      </c>
      <c r="W669" s="51" t="b">
        <v>0</v>
      </c>
      <c r="X669" s="51" t="b">
        <v>0</v>
      </c>
      <c r="Y669" s="51" t="b">
        <v>0</v>
      </c>
      <c r="Z669" s="51" t="b">
        <v>0</v>
      </c>
      <c r="AA669" s="68"/>
      <c r="AB669" s="52"/>
      <c r="AC669" s="52"/>
      <c r="AD669" s="52"/>
      <c r="AE669" s="56"/>
      <c r="AF669" s="56" t="s">
        <v>1944</v>
      </c>
    </row>
    <row r="670">
      <c r="A670" s="52" t="s">
        <v>2604</v>
      </c>
      <c r="B670" s="52" t="s">
        <v>16</v>
      </c>
      <c r="C670" s="52" t="s">
        <v>289</v>
      </c>
      <c r="D670" s="65">
        <v>0.49182870370370396</v>
      </c>
      <c r="E670" s="65">
        <v>0.007268518518518519</v>
      </c>
      <c r="F670" s="65">
        <v>0.49909722222222247</v>
      </c>
      <c r="G670" s="65" t="s">
        <v>195</v>
      </c>
      <c r="H670" s="52" t="s">
        <v>165</v>
      </c>
      <c r="I670" s="52" t="s">
        <v>834</v>
      </c>
      <c r="J670" s="52" t="s">
        <v>835</v>
      </c>
      <c r="K670" s="52"/>
      <c r="L670" s="52"/>
      <c r="M670" s="52"/>
      <c r="N670" s="52" t="s">
        <v>70</v>
      </c>
      <c r="O670" s="69" t="s">
        <v>884</v>
      </c>
      <c r="P670" s="69" t="s">
        <v>30</v>
      </c>
      <c r="Q670" s="70" t="s">
        <v>2605</v>
      </c>
      <c r="R670" s="51" t="b">
        <v>1</v>
      </c>
      <c r="S670" s="78" t="s">
        <v>834</v>
      </c>
      <c r="T670" s="52"/>
      <c r="U670" s="51" t="b">
        <v>0</v>
      </c>
      <c r="V670" s="51" t="b">
        <v>1</v>
      </c>
      <c r="W670" s="51" t="b">
        <v>1</v>
      </c>
      <c r="X670" s="51" t="b">
        <v>0</v>
      </c>
      <c r="Y670" s="51" t="b">
        <v>0</v>
      </c>
      <c r="Z670" s="51" t="b">
        <v>0</v>
      </c>
      <c r="AA670" s="71">
        <v>0.007256944444444444</v>
      </c>
      <c r="AB670" s="141" t="s">
        <v>2606</v>
      </c>
      <c r="AC670" s="141"/>
      <c r="AD670" s="73" t="s">
        <v>2607</v>
      </c>
      <c r="AE670" s="74" t="s">
        <v>743</v>
      </c>
      <c r="AF670" s="74" t="s">
        <v>1055</v>
      </c>
    </row>
    <row r="671">
      <c r="A671" s="52" t="s">
        <v>2608</v>
      </c>
      <c r="B671" s="52" t="s">
        <v>16</v>
      </c>
      <c r="C671" s="52" t="s">
        <v>289</v>
      </c>
      <c r="D671" s="65">
        <v>0.49909722222222247</v>
      </c>
      <c r="E671" s="65">
        <v>1.7361111111111112E-4</v>
      </c>
      <c r="F671" s="65">
        <v>0.4992708333333336</v>
      </c>
      <c r="G671" s="65" t="s">
        <v>195</v>
      </c>
      <c r="H671" s="52" t="s">
        <v>85</v>
      </c>
      <c r="I671" s="52" t="s">
        <v>85</v>
      </c>
      <c r="J671" s="52"/>
      <c r="K671" s="52"/>
      <c r="L671" s="52"/>
      <c r="M671" s="52"/>
      <c r="N671" s="52" t="s">
        <v>70</v>
      </c>
      <c r="O671" s="52"/>
      <c r="P671" s="52"/>
      <c r="Q671" s="52"/>
      <c r="R671" s="51" t="b">
        <v>0</v>
      </c>
      <c r="S671" s="51"/>
      <c r="T671" s="52"/>
      <c r="U671" s="51" t="b">
        <v>0</v>
      </c>
      <c r="V671" s="51" t="b">
        <v>0</v>
      </c>
      <c r="W671" s="51" t="b">
        <v>0</v>
      </c>
      <c r="X671" s="51" t="b">
        <v>0</v>
      </c>
      <c r="Y671" s="51" t="b">
        <v>0</v>
      </c>
      <c r="Z671" s="51" t="b">
        <v>0</v>
      </c>
      <c r="AA671" s="68"/>
      <c r="AB671" s="52"/>
      <c r="AC671" s="52"/>
      <c r="AD671" s="52"/>
      <c r="AE671" s="56"/>
      <c r="AF671" s="56" t="s">
        <v>1944</v>
      </c>
    </row>
    <row r="672">
      <c r="A672" s="52" t="s">
        <v>2609</v>
      </c>
      <c r="B672" s="52" t="s">
        <v>16</v>
      </c>
      <c r="C672" s="52" t="s">
        <v>289</v>
      </c>
      <c r="D672" s="65"/>
      <c r="E672" s="65"/>
      <c r="F672" s="65"/>
      <c r="G672" s="65"/>
      <c r="H672" s="52"/>
      <c r="I672" s="52"/>
      <c r="J672" s="52"/>
      <c r="K672" s="52"/>
      <c r="L672" s="52"/>
      <c r="M672" s="52"/>
      <c r="N672" s="52" t="s">
        <v>70</v>
      </c>
      <c r="O672" s="52"/>
      <c r="P672" s="69"/>
      <c r="Q672" s="52"/>
      <c r="R672" s="51" t="b">
        <v>0</v>
      </c>
      <c r="S672" s="51"/>
      <c r="T672" s="52"/>
      <c r="U672" s="51" t="b">
        <v>0</v>
      </c>
      <c r="V672" s="51" t="b">
        <v>0</v>
      </c>
      <c r="W672" s="51" t="b">
        <v>0</v>
      </c>
      <c r="X672" s="51" t="b">
        <v>0</v>
      </c>
      <c r="Y672" s="51" t="b">
        <v>0</v>
      </c>
      <c r="Z672" s="51" t="b">
        <v>0</v>
      </c>
      <c r="AA672" s="68"/>
      <c r="AB672" s="52"/>
      <c r="AC672" s="52"/>
      <c r="AD672" s="52"/>
      <c r="AE672" s="56"/>
      <c r="AF672" s="56"/>
    </row>
    <row r="673">
      <c r="A673" s="52" t="s">
        <v>2610</v>
      </c>
      <c r="B673" s="52" t="s">
        <v>16</v>
      </c>
      <c r="C673" s="52" t="s">
        <v>289</v>
      </c>
      <c r="D673" s="65">
        <v>0.4992708333333336</v>
      </c>
      <c r="E673" s="65">
        <v>3.4722222222222224E-4</v>
      </c>
      <c r="F673" s="65">
        <v>0.49961805555555583</v>
      </c>
      <c r="G673" s="65" t="s">
        <v>151</v>
      </c>
      <c r="H673" s="52" t="s">
        <v>81</v>
      </c>
      <c r="I673" s="52" t="s">
        <v>81</v>
      </c>
      <c r="J673" s="52"/>
      <c r="K673" s="52"/>
      <c r="L673" s="52"/>
      <c r="M673" s="52"/>
      <c r="N673" s="52" t="s">
        <v>70</v>
      </c>
      <c r="O673" s="52"/>
      <c r="P673" s="52"/>
      <c r="Q673" s="52"/>
      <c r="R673" s="51" t="b">
        <v>0</v>
      </c>
      <c r="S673" s="51"/>
      <c r="T673" s="52"/>
      <c r="U673" s="51" t="b">
        <v>0</v>
      </c>
      <c r="V673" s="51" t="b">
        <v>0</v>
      </c>
      <c r="W673" s="51" t="b">
        <v>0</v>
      </c>
      <c r="X673" s="51" t="b">
        <v>0</v>
      </c>
      <c r="Y673" s="51" t="b">
        <v>0</v>
      </c>
      <c r="Z673" s="51" t="b">
        <v>0</v>
      </c>
      <c r="AA673" s="68"/>
      <c r="AB673" s="52"/>
      <c r="AC673" s="52"/>
      <c r="AD673" s="52"/>
      <c r="AE673" s="56"/>
      <c r="AF673" s="56" t="s">
        <v>1944</v>
      </c>
    </row>
    <row r="674">
      <c r="A674" s="52" t="s">
        <v>2611</v>
      </c>
      <c r="B674" s="52" t="s">
        <v>16</v>
      </c>
      <c r="C674" s="52" t="s">
        <v>289</v>
      </c>
      <c r="D674" s="65">
        <v>0.49961805555555583</v>
      </c>
      <c r="E674" s="65">
        <v>0.008854166666666666</v>
      </c>
      <c r="F674" s="65">
        <v>0.5084722222222225</v>
      </c>
      <c r="G674" s="65" t="s">
        <v>151</v>
      </c>
      <c r="H674" s="52" t="s">
        <v>107</v>
      </c>
      <c r="I674" s="52" t="s">
        <v>838</v>
      </c>
      <c r="J674" s="52" t="s">
        <v>839</v>
      </c>
      <c r="K674" s="52" t="s">
        <v>840</v>
      </c>
      <c r="L674" s="52"/>
      <c r="M674" s="52"/>
      <c r="N674" s="52" t="s">
        <v>841</v>
      </c>
      <c r="O674" s="69" t="s">
        <v>734</v>
      </c>
      <c r="P674" s="69" t="s">
        <v>32</v>
      </c>
      <c r="Q674" s="80" t="s">
        <v>2612</v>
      </c>
      <c r="R674" s="51" t="b">
        <v>1</v>
      </c>
      <c r="S674" s="52" t="s">
        <v>838</v>
      </c>
      <c r="T674" s="52"/>
      <c r="U674" s="51" t="b">
        <v>0</v>
      </c>
      <c r="V674" s="51" t="b">
        <v>1</v>
      </c>
      <c r="W674" s="51" t="b">
        <v>1</v>
      </c>
      <c r="X674" s="51" t="b">
        <v>0</v>
      </c>
      <c r="Y674" s="51" t="b">
        <v>0</v>
      </c>
      <c r="Z674" s="51" t="b">
        <v>0</v>
      </c>
      <c r="AA674" s="71">
        <v>0.008854166666666666</v>
      </c>
      <c r="AB674" s="69" t="s">
        <v>2613</v>
      </c>
      <c r="AC674" s="52"/>
      <c r="AD674" s="73" t="s">
        <v>2614</v>
      </c>
      <c r="AE674" s="56" t="s">
        <v>629</v>
      </c>
      <c r="AF674" s="56" t="s">
        <v>1631</v>
      </c>
    </row>
    <row r="675">
      <c r="A675" s="52" t="s">
        <v>2615</v>
      </c>
      <c r="B675" s="52" t="s">
        <v>16</v>
      </c>
      <c r="C675" s="52" t="s">
        <v>289</v>
      </c>
      <c r="D675" s="65">
        <v>0.5084722222222225</v>
      </c>
      <c r="E675" s="65">
        <v>1.7361111111111112E-4</v>
      </c>
      <c r="F675" s="65">
        <v>0.5086458333333337</v>
      </c>
      <c r="G675" s="65" t="s">
        <v>151</v>
      </c>
      <c r="H675" s="52" t="s">
        <v>85</v>
      </c>
      <c r="I675" s="52" t="s">
        <v>85</v>
      </c>
      <c r="J675" s="52"/>
      <c r="K675" s="52"/>
      <c r="L675" s="52"/>
      <c r="M675" s="52"/>
      <c r="N675" s="52" t="s">
        <v>70</v>
      </c>
      <c r="O675" s="52"/>
      <c r="P675" s="52"/>
      <c r="Q675" s="52"/>
      <c r="R675" s="51" t="b">
        <v>0</v>
      </c>
      <c r="S675" s="51"/>
      <c r="T675" s="52"/>
      <c r="U675" s="51" t="b">
        <v>0</v>
      </c>
      <c r="V675" s="51" t="b">
        <v>0</v>
      </c>
      <c r="W675" s="51" t="b">
        <v>0</v>
      </c>
      <c r="X675" s="51" t="b">
        <v>0</v>
      </c>
      <c r="Y675" s="51" t="b">
        <v>0</v>
      </c>
      <c r="Z675" s="51" t="b">
        <v>0</v>
      </c>
      <c r="AA675" s="68"/>
      <c r="AB675" s="52"/>
      <c r="AC675" s="52"/>
      <c r="AD675" s="52"/>
      <c r="AE675" s="56"/>
      <c r="AF675" s="56" t="s">
        <v>1944</v>
      </c>
    </row>
    <row r="676">
      <c r="A676" s="52" t="s">
        <v>2616</v>
      </c>
      <c r="B676" s="52" t="s">
        <v>16</v>
      </c>
      <c r="C676" s="52" t="s">
        <v>289</v>
      </c>
      <c r="D676" s="65">
        <v>0.5086458333333337</v>
      </c>
      <c r="E676" s="65">
        <v>3.4722222222222224E-4</v>
      </c>
      <c r="F676" s="65">
        <v>0.508993055555556</v>
      </c>
      <c r="G676" s="65" t="s">
        <v>151</v>
      </c>
      <c r="H676" s="52" t="s">
        <v>511</v>
      </c>
      <c r="I676" s="52" t="s">
        <v>511</v>
      </c>
      <c r="J676" s="52"/>
      <c r="K676" s="52"/>
      <c r="L676" s="52"/>
      <c r="M676" s="52"/>
      <c r="N676" s="52" t="s">
        <v>70</v>
      </c>
      <c r="O676" s="52"/>
      <c r="P676" s="52"/>
      <c r="Q676" s="52"/>
      <c r="R676" s="51" t="b">
        <v>0</v>
      </c>
      <c r="S676" s="51"/>
      <c r="T676" s="52"/>
      <c r="U676" s="51" t="b">
        <v>0</v>
      </c>
      <c r="V676" s="51" t="b">
        <v>0</v>
      </c>
      <c r="W676" s="51" t="b">
        <v>0</v>
      </c>
      <c r="X676" s="51" t="b">
        <v>0</v>
      </c>
      <c r="Y676" s="51" t="b">
        <v>0</v>
      </c>
      <c r="Z676" s="51" t="b">
        <v>0</v>
      </c>
      <c r="AA676" s="68"/>
      <c r="AB676" s="52"/>
      <c r="AC676" s="52"/>
      <c r="AD676" s="52"/>
      <c r="AE676" s="56"/>
      <c r="AF676" s="56" t="s">
        <v>1944</v>
      </c>
    </row>
    <row r="677">
      <c r="A677" s="52" t="s">
        <v>2617</v>
      </c>
      <c r="B677" s="52" t="s">
        <v>16</v>
      </c>
      <c r="C677" s="52" t="s">
        <v>289</v>
      </c>
      <c r="D677" s="65">
        <v>0.508993055555556</v>
      </c>
      <c r="E677" s="65">
        <v>3.4722222222222224E-4</v>
      </c>
      <c r="F677" s="65">
        <v>0.5093402777777782</v>
      </c>
      <c r="G677" s="65" t="s">
        <v>151</v>
      </c>
      <c r="H677" s="52" t="s">
        <v>81</v>
      </c>
      <c r="I677" s="52" t="s">
        <v>81</v>
      </c>
      <c r="J677" s="52"/>
      <c r="K677" s="52"/>
      <c r="L677" s="52"/>
      <c r="M677" s="52"/>
      <c r="N677" s="52" t="s">
        <v>70</v>
      </c>
      <c r="O677" s="52"/>
      <c r="P677" s="69"/>
      <c r="Q677" s="52"/>
      <c r="R677" s="51" t="b">
        <v>0</v>
      </c>
      <c r="S677" s="51"/>
      <c r="T677" s="52"/>
      <c r="U677" s="51" t="b">
        <v>0</v>
      </c>
      <c r="V677" s="51" t="b">
        <v>0</v>
      </c>
      <c r="W677" s="51" t="b">
        <v>0</v>
      </c>
      <c r="X677" s="51" t="b">
        <v>0</v>
      </c>
      <c r="Y677" s="51" t="b">
        <v>0</v>
      </c>
      <c r="Z677" s="51" t="b">
        <v>0</v>
      </c>
      <c r="AA677" s="68"/>
      <c r="AB677" s="52"/>
      <c r="AC677" s="52"/>
      <c r="AD677" s="52"/>
      <c r="AE677" s="56"/>
      <c r="AF677" s="56" t="s">
        <v>1944</v>
      </c>
    </row>
    <row r="678">
      <c r="A678" s="52" t="s">
        <v>2618</v>
      </c>
      <c r="B678" s="52" t="s">
        <v>16</v>
      </c>
      <c r="C678" s="52" t="s">
        <v>289</v>
      </c>
      <c r="D678" s="65">
        <v>0.5093402777777782</v>
      </c>
      <c r="E678" s="65">
        <v>0.016574074074074074</v>
      </c>
      <c r="F678" s="65">
        <v>0.5259143518518523</v>
      </c>
      <c r="G678" s="65" t="s">
        <v>151</v>
      </c>
      <c r="H678" s="52" t="s">
        <v>94</v>
      </c>
      <c r="I678" s="52" t="s">
        <v>844</v>
      </c>
      <c r="J678" s="52" t="s">
        <v>845</v>
      </c>
      <c r="K678" s="52"/>
      <c r="L678" s="52"/>
      <c r="M678" s="52"/>
      <c r="N678" s="52" t="s">
        <v>846</v>
      </c>
      <c r="O678" s="69" t="s">
        <v>618</v>
      </c>
      <c r="P678" s="69" t="s">
        <v>20</v>
      </c>
      <c r="Q678" s="80" t="s">
        <v>1787</v>
      </c>
      <c r="R678" s="51" t="b">
        <v>1</v>
      </c>
      <c r="S678" s="52" t="s">
        <v>844</v>
      </c>
      <c r="T678" s="52"/>
      <c r="U678" s="51" t="b">
        <v>0</v>
      </c>
      <c r="V678" s="51" t="b">
        <v>1</v>
      </c>
      <c r="W678" s="51" t="b">
        <v>1</v>
      </c>
      <c r="X678" s="51" t="b">
        <v>0</v>
      </c>
      <c r="Y678" s="51" t="b">
        <v>0</v>
      </c>
      <c r="Z678" s="51" t="b">
        <v>0</v>
      </c>
      <c r="AA678" s="71">
        <v>0.016574074074074074</v>
      </c>
      <c r="AB678" s="69" t="s">
        <v>2619</v>
      </c>
      <c r="AC678" s="52"/>
      <c r="AD678" s="142" t="s">
        <v>2620</v>
      </c>
      <c r="AE678" s="56" t="s">
        <v>629</v>
      </c>
      <c r="AF678" s="56" t="s">
        <v>653</v>
      </c>
    </row>
    <row r="679">
      <c r="A679" s="52" t="s">
        <v>2621</v>
      </c>
      <c r="B679" s="52" t="s">
        <v>16</v>
      </c>
      <c r="C679" s="52" t="s">
        <v>289</v>
      </c>
      <c r="D679" s="65">
        <v>0.5259143518518523</v>
      </c>
      <c r="E679" s="65">
        <v>1.7361111111111112E-4</v>
      </c>
      <c r="F679" s="65">
        <v>0.5260879629629635</v>
      </c>
      <c r="G679" s="65" t="s">
        <v>151</v>
      </c>
      <c r="H679" s="52" t="s">
        <v>85</v>
      </c>
      <c r="I679" s="52" t="s">
        <v>85</v>
      </c>
      <c r="J679" s="52"/>
      <c r="K679" s="52"/>
      <c r="L679" s="52"/>
      <c r="M679" s="52"/>
      <c r="N679" s="52" t="s">
        <v>70</v>
      </c>
      <c r="O679" s="52"/>
      <c r="P679" s="52"/>
      <c r="Q679" s="52"/>
      <c r="R679" s="51" t="b">
        <v>0</v>
      </c>
      <c r="S679" s="51"/>
      <c r="T679" s="52"/>
      <c r="U679" s="51" t="b">
        <v>0</v>
      </c>
      <c r="V679" s="51" t="b">
        <v>0</v>
      </c>
      <c r="W679" s="51" t="b">
        <v>0</v>
      </c>
      <c r="X679" s="51" t="b">
        <v>0</v>
      </c>
      <c r="Y679" s="51" t="b">
        <v>0</v>
      </c>
      <c r="Z679" s="51" t="b">
        <v>0</v>
      </c>
      <c r="AA679" s="68"/>
      <c r="AB679" s="52"/>
      <c r="AC679" s="52"/>
      <c r="AD679" s="52"/>
      <c r="AE679" s="56"/>
      <c r="AF679" s="56" t="s">
        <v>1944</v>
      </c>
    </row>
    <row r="680">
      <c r="A680" s="52" t="s">
        <v>2622</v>
      </c>
      <c r="B680" s="52" t="s">
        <v>16</v>
      </c>
      <c r="C680" s="52" t="s">
        <v>289</v>
      </c>
      <c r="D680" s="65">
        <v>0.5260879629629635</v>
      </c>
      <c r="E680" s="65">
        <v>1.7361111111111112E-4</v>
      </c>
      <c r="F680" s="65">
        <v>0.5262615740740746</v>
      </c>
      <c r="G680" s="65" t="s">
        <v>151</v>
      </c>
      <c r="H680" s="52" t="s">
        <v>77</v>
      </c>
      <c r="I680" s="52" t="s">
        <v>682</v>
      </c>
      <c r="J680" s="52"/>
      <c r="K680" s="52"/>
      <c r="L680" s="52"/>
      <c r="M680" s="52"/>
      <c r="N680" s="52" t="s">
        <v>70</v>
      </c>
      <c r="O680" s="52"/>
      <c r="P680" s="52"/>
      <c r="Q680" s="52"/>
      <c r="R680" s="51" t="b">
        <v>0</v>
      </c>
      <c r="S680" s="51"/>
      <c r="T680" s="52"/>
      <c r="U680" s="51" t="b">
        <v>0</v>
      </c>
      <c r="V680" s="51" t="b">
        <v>0</v>
      </c>
      <c r="W680" s="51" t="b">
        <v>0</v>
      </c>
      <c r="X680" s="51" t="b">
        <v>0</v>
      </c>
      <c r="Y680" s="51" t="b">
        <v>0</v>
      </c>
      <c r="Z680" s="51" t="b">
        <v>0</v>
      </c>
      <c r="AA680" s="68"/>
      <c r="AB680" s="52"/>
      <c r="AC680" s="52"/>
      <c r="AD680" s="52"/>
      <c r="AE680" s="56" t="s">
        <v>314</v>
      </c>
      <c r="AF680" s="56" t="s">
        <v>1944</v>
      </c>
    </row>
    <row r="681">
      <c r="A681" s="52" t="s">
        <v>2623</v>
      </c>
      <c r="B681" s="52" t="s">
        <v>607</v>
      </c>
      <c r="C681" s="52" t="s">
        <v>607</v>
      </c>
      <c r="D681" s="65" t="s">
        <v>607</v>
      </c>
      <c r="E681" s="65" t="s">
        <v>607</v>
      </c>
      <c r="F681" s="65" t="s">
        <v>607</v>
      </c>
      <c r="G681" s="65" t="s">
        <v>607</v>
      </c>
      <c r="H681" s="52" t="s">
        <v>607</v>
      </c>
      <c r="I681" s="52" t="s">
        <v>607</v>
      </c>
      <c r="J681" s="52" t="s">
        <v>607</v>
      </c>
      <c r="K681" s="52" t="s">
        <v>607</v>
      </c>
      <c r="L681" s="52" t="s">
        <v>607</v>
      </c>
      <c r="M681" s="52" t="s">
        <v>607</v>
      </c>
      <c r="N681" s="52" t="s">
        <v>607</v>
      </c>
      <c r="O681" s="52"/>
      <c r="P681" s="69"/>
      <c r="Q681" s="52"/>
      <c r="R681" s="51" t="b">
        <v>0</v>
      </c>
      <c r="S681" s="51"/>
      <c r="T681" s="52"/>
      <c r="U681" s="51" t="b">
        <v>0</v>
      </c>
      <c r="V681" s="51" t="b">
        <v>0</v>
      </c>
      <c r="W681" s="51" t="b">
        <v>0</v>
      </c>
      <c r="X681" s="51" t="b">
        <v>0</v>
      </c>
      <c r="Y681" s="51" t="b">
        <v>0</v>
      </c>
      <c r="Z681" s="51" t="b">
        <v>0</v>
      </c>
      <c r="AA681" s="68"/>
      <c r="AB681" s="52"/>
      <c r="AC681" s="52"/>
      <c r="AD681" s="52"/>
      <c r="AE681" s="56" t="s">
        <v>607</v>
      </c>
      <c r="AF681" s="56" t="s">
        <v>607</v>
      </c>
    </row>
    <row r="682">
      <c r="A682" s="52" t="s">
        <v>2624</v>
      </c>
      <c r="B682" s="52" t="s">
        <v>16</v>
      </c>
      <c r="C682" s="52" t="s">
        <v>289</v>
      </c>
      <c r="D682" s="65">
        <v>0.5262615740740746</v>
      </c>
      <c r="E682" s="65">
        <v>3.4722222222222224E-4</v>
      </c>
      <c r="F682" s="65">
        <v>0.5266087962962969</v>
      </c>
      <c r="G682" s="65" t="s">
        <v>151</v>
      </c>
      <c r="H682" s="52" t="s">
        <v>81</v>
      </c>
      <c r="I682" s="52" t="s">
        <v>81</v>
      </c>
      <c r="J682" s="52"/>
      <c r="K682" s="52"/>
      <c r="L682" s="52"/>
      <c r="M682" s="52"/>
      <c r="N682" s="52" t="s">
        <v>70</v>
      </c>
      <c r="O682" s="52"/>
      <c r="P682" s="52"/>
      <c r="Q682" s="52"/>
      <c r="R682" s="51" t="b">
        <v>0</v>
      </c>
      <c r="S682" s="51"/>
      <c r="T682" s="52"/>
      <c r="U682" s="51" t="b">
        <v>0</v>
      </c>
      <c r="V682" s="51" t="b">
        <v>0</v>
      </c>
      <c r="W682" s="51" t="b">
        <v>0</v>
      </c>
      <c r="X682" s="51" t="b">
        <v>0</v>
      </c>
      <c r="Y682" s="51" t="b">
        <v>0</v>
      </c>
      <c r="Z682" s="51" t="b">
        <v>0</v>
      </c>
      <c r="AA682" s="68"/>
      <c r="AB682" s="52"/>
      <c r="AC682" s="52"/>
      <c r="AD682" s="52"/>
      <c r="AE682" s="56"/>
      <c r="AF682" s="56" t="s">
        <v>1944</v>
      </c>
    </row>
    <row r="683">
      <c r="A683" s="52" t="s">
        <v>2625</v>
      </c>
      <c r="B683" s="52" t="s">
        <v>16</v>
      </c>
      <c r="C683" s="52" t="s">
        <v>289</v>
      </c>
      <c r="D683" s="65">
        <v>0.5266087962962969</v>
      </c>
      <c r="E683" s="65">
        <v>0.0023263888888888887</v>
      </c>
      <c r="F683" s="65">
        <v>0.5289351851851858</v>
      </c>
      <c r="G683" s="65" t="s">
        <v>151</v>
      </c>
      <c r="H683" s="52" t="s">
        <v>165</v>
      </c>
      <c r="I683" s="52" t="s">
        <v>850</v>
      </c>
      <c r="J683" s="52" t="s">
        <v>851</v>
      </c>
      <c r="K683" s="52"/>
      <c r="L683" s="52"/>
      <c r="M683" s="52"/>
      <c r="N683" s="52" t="s">
        <v>70</v>
      </c>
      <c r="O683" s="69" t="s">
        <v>884</v>
      </c>
      <c r="P683" s="69" t="s">
        <v>17</v>
      </c>
      <c r="Q683" s="73" t="s">
        <v>2626</v>
      </c>
      <c r="R683" s="51" t="b">
        <v>1</v>
      </c>
      <c r="S683" s="52" t="s">
        <v>850</v>
      </c>
      <c r="T683" s="52"/>
      <c r="U683" s="51" t="b">
        <v>0</v>
      </c>
      <c r="V683" s="51" t="b">
        <v>1</v>
      </c>
      <c r="W683" s="51" t="b">
        <v>1</v>
      </c>
      <c r="X683" s="51" t="b">
        <v>0</v>
      </c>
      <c r="Y683" s="51" t="b">
        <v>0</v>
      </c>
      <c r="Z683" s="51" t="b">
        <v>0</v>
      </c>
      <c r="AA683" s="71">
        <v>0.0023263888888888887</v>
      </c>
      <c r="AB683" s="69"/>
      <c r="AC683" s="69"/>
      <c r="AD683" s="143" t="s">
        <v>2627</v>
      </c>
      <c r="AE683" s="74" t="s">
        <v>743</v>
      </c>
      <c r="AF683" s="74" t="s">
        <v>630</v>
      </c>
    </row>
    <row r="684">
      <c r="A684" s="52" t="s">
        <v>2628</v>
      </c>
      <c r="B684" s="52" t="s">
        <v>16</v>
      </c>
      <c r="C684" s="52" t="s">
        <v>289</v>
      </c>
      <c r="D684" s="65">
        <v>0.5289351851851858</v>
      </c>
      <c r="E684" s="65">
        <v>1.7361111111111112E-4</v>
      </c>
      <c r="F684" s="65">
        <v>0.5291087962962969</v>
      </c>
      <c r="G684" s="65" t="s">
        <v>151</v>
      </c>
      <c r="H684" s="52" t="s">
        <v>85</v>
      </c>
      <c r="I684" s="52" t="s">
        <v>85</v>
      </c>
      <c r="J684" s="52"/>
      <c r="K684" s="52"/>
      <c r="L684" s="52"/>
      <c r="M684" s="52"/>
      <c r="N684" s="52" t="s">
        <v>70</v>
      </c>
      <c r="O684" s="52"/>
      <c r="P684" s="52"/>
      <c r="Q684" s="52"/>
      <c r="R684" s="51" t="b">
        <v>0</v>
      </c>
      <c r="S684" s="51"/>
      <c r="T684" s="52"/>
      <c r="U684" s="51" t="b">
        <v>0</v>
      </c>
      <c r="V684" s="51" t="b">
        <v>0</v>
      </c>
      <c r="W684" s="51" t="b">
        <v>0</v>
      </c>
      <c r="X684" s="51" t="b">
        <v>0</v>
      </c>
      <c r="Y684" s="51" t="b">
        <v>0</v>
      </c>
      <c r="Z684" s="51" t="b">
        <v>0</v>
      </c>
      <c r="AA684" s="68"/>
      <c r="AB684" s="52"/>
      <c r="AC684" s="52"/>
      <c r="AD684" s="52"/>
      <c r="AE684" s="56"/>
      <c r="AF684" s="56" t="s">
        <v>1944</v>
      </c>
    </row>
    <row r="685">
      <c r="A685" s="52" t="s">
        <v>2629</v>
      </c>
      <c r="B685" s="52" t="s">
        <v>16</v>
      </c>
      <c r="C685" s="52" t="s">
        <v>289</v>
      </c>
      <c r="D685" s="65">
        <v>0.5291087962962969</v>
      </c>
      <c r="E685" s="65">
        <v>1.7361111111111112E-4</v>
      </c>
      <c r="F685" s="65">
        <v>0.5292824074074081</v>
      </c>
      <c r="G685" s="65" t="s">
        <v>151</v>
      </c>
      <c r="H685" s="52" t="s">
        <v>77</v>
      </c>
      <c r="I685" s="52" t="s">
        <v>853</v>
      </c>
      <c r="J685" s="52"/>
      <c r="K685" s="52"/>
      <c r="L685" s="52"/>
      <c r="M685" s="52"/>
      <c r="N685" s="52" t="s">
        <v>70</v>
      </c>
      <c r="O685" s="52"/>
      <c r="P685" s="52"/>
      <c r="Q685" s="52"/>
      <c r="R685" s="51" t="b">
        <v>0</v>
      </c>
      <c r="S685" s="51"/>
      <c r="T685" s="52"/>
      <c r="U685" s="51" t="b">
        <v>0</v>
      </c>
      <c r="V685" s="51" t="b">
        <v>0</v>
      </c>
      <c r="W685" s="51" t="b">
        <v>0</v>
      </c>
      <c r="X685" s="51" t="b">
        <v>0</v>
      </c>
      <c r="Y685" s="51" t="b">
        <v>0</v>
      </c>
      <c r="Z685" s="51" t="b">
        <v>0</v>
      </c>
      <c r="AA685" s="68"/>
      <c r="AB685" s="52"/>
      <c r="AC685" s="52"/>
      <c r="AD685" s="52"/>
      <c r="AE685" s="56"/>
      <c r="AF685" s="56" t="s">
        <v>2004</v>
      </c>
    </row>
    <row r="686">
      <c r="A686" s="52" t="s">
        <v>2630</v>
      </c>
      <c r="B686" s="52" t="s">
        <v>16</v>
      </c>
      <c r="C686" s="52" t="s">
        <v>289</v>
      </c>
      <c r="D686" s="65">
        <v>0.5292824074074081</v>
      </c>
      <c r="E686" s="65">
        <v>3.4722222222222224E-4</v>
      </c>
      <c r="F686" s="65">
        <v>0.5296296296296303</v>
      </c>
      <c r="G686" s="65" t="s">
        <v>151</v>
      </c>
      <c r="H686" s="52" t="s">
        <v>506</v>
      </c>
      <c r="I686" s="52" t="s">
        <v>755</v>
      </c>
      <c r="J686" s="52"/>
      <c r="K686" s="52"/>
      <c r="L686" s="52"/>
      <c r="M686" s="52"/>
      <c r="N686" s="52" t="s">
        <v>70</v>
      </c>
      <c r="O686" s="52"/>
      <c r="P686" s="52"/>
      <c r="Q686" s="52"/>
      <c r="R686" s="51" t="b">
        <v>0</v>
      </c>
      <c r="S686" s="52"/>
      <c r="T686" s="52"/>
      <c r="U686" s="51" t="b">
        <v>0</v>
      </c>
      <c r="V686" s="51" t="b">
        <v>0</v>
      </c>
      <c r="W686" s="51" t="b">
        <v>0</v>
      </c>
      <c r="X686" s="51" t="b">
        <v>0</v>
      </c>
      <c r="Y686" s="51" t="b">
        <v>0</v>
      </c>
      <c r="Z686" s="51" t="b">
        <v>0</v>
      </c>
      <c r="AA686" s="68"/>
      <c r="AB686" s="52"/>
      <c r="AC686" s="52"/>
      <c r="AD686" s="52"/>
      <c r="AE686" s="56"/>
      <c r="AF686" s="56" t="s">
        <v>1215</v>
      </c>
    </row>
    <row r="687">
      <c r="A687" s="52" t="s">
        <v>2631</v>
      </c>
      <c r="B687" s="52" t="s">
        <v>16</v>
      </c>
      <c r="C687" s="52" t="s">
        <v>221</v>
      </c>
      <c r="D687" s="65">
        <v>0.6564930555555566</v>
      </c>
      <c r="E687" s="65">
        <v>3.4722222222222224E-4</v>
      </c>
      <c r="F687" s="65">
        <v>0.6568402777777789</v>
      </c>
      <c r="G687" s="65" t="s">
        <v>151</v>
      </c>
      <c r="H687" s="52" t="s">
        <v>81</v>
      </c>
      <c r="I687" s="52" t="s">
        <v>81</v>
      </c>
      <c r="J687" s="52"/>
      <c r="K687" s="52"/>
      <c r="L687" s="52"/>
      <c r="M687" s="52"/>
      <c r="N687" s="52"/>
      <c r="O687" s="52"/>
      <c r="P687" s="52"/>
      <c r="Q687" s="52"/>
      <c r="R687" s="51" t="b">
        <v>0</v>
      </c>
      <c r="S687" s="51"/>
      <c r="T687" s="52"/>
      <c r="U687" s="51" t="b">
        <v>0</v>
      </c>
      <c r="V687" s="51" t="b">
        <v>0</v>
      </c>
      <c r="W687" s="51" t="b">
        <v>0</v>
      </c>
      <c r="X687" s="51" t="b">
        <v>0</v>
      </c>
      <c r="Y687" s="51" t="b">
        <v>0</v>
      </c>
      <c r="Z687" s="51" t="b">
        <v>0</v>
      </c>
      <c r="AA687" s="68"/>
      <c r="AB687" s="52"/>
      <c r="AC687" s="52"/>
      <c r="AD687" s="52"/>
      <c r="AE687" s="56"/>
      <c r="AF687" s="56" t="s">
        <v>1944</v>
      </c>
    </row>
    <row r="688">
      <c r="A688" s="52" t="s">
        <v>2632</v>
      </c>
      <c r="B688" s="52" t="s">
        <v>16</v>
      </c>
      <c r="C688" s="52" t="s">
        <v>221</v>
      </c>
      <c r="D688" s="65">
        <v>0.6568402777777789</v>
      </c>
      <c r="E688" s="65">
        <v>0.010416666666666666</v>
      </c>
      <c r="F688" s="65">
        <v>0.6672569444444455</v>
      </c>
      <c r="G688" s="65" t="s">
        <v>151</v>
      </c>
      <c r="H688" s="52" t="s">
        <v>107</v>
      </c>
      <c r="I688" s="52" t="s">
        <v>748</v>
      </c>
      <c r="J688" s="52" t="s">
        <v>749</v>
      </c>
      <c r="K688" s="52" t="s">
        <v>751</v>
      </c>
      <c r="L688" s="52"/>
      <c r="M688" s="52"/>
      <c r="N688" s="52" t="s">
        <v>752</v>
      </c>
      <c r="O688" s="69" t="s">
        <v>457</v>
      </c>
      <c r="P688" s="69" t="s">
        <v>20</v>
      </c>
      <c r="Q688" s="80" t="s">
        <v>2633</v>
      </c>
      <c r="R688" s="51" t="b">
        <v>1</v>
      </c>
      <c r="S688" s="52" t="s">
        <v>748</v>
      </c>
      <c r="T688" s="52"/>
      <c r="U688" s="51" t="b">
        <v>0</v>
      </c>
      <c r="V688" s="51" t="b">
        <v>0</v>
      </c>
      <c r="W688" s="51" t="b">
        <v>0</v>
      </c>
      <c r="X688" s="51" t="b">
        <v>0</v>
      </c>
      <c r="Y688" s="51" t="b">
        <v>0</v>
      </c>
      <c r="Z688" s="51" t="b">
        <v>0</v>
      </c>
      <c r="AA688" s="68"/>
      <c r="AB688" s="52"/>
      <c r="AC688" s="52"/>
      <c r="AD688" s="52"/>
      <c r="AE688" s="56" t="s">
        <v>629</v>
      </c>
      <c r="AF688" s="56" t="s">
        <v>1125</v>
      </c>
    </row>
    <row r="689">
      <c r="A689" s="52" t="s">
        <v>2634</v>
      </c>
      <c r="B689" s="52" t="s">
        <v>607</v>
      </c>
      <c r="C689" s="52" t="s">
        <v>607</v>
      </c>
      <c r="D689" s="65" t="s">
        <v>607</v>
      </c>
      <c r="E689" s="65" t="s">
        <v>607</v>
      </c>
      <c r="F689" s="65" t="s">
        <v>607</v>
      </c>
      <c r="G689" s="65" t="s">
        <v>607</v>
      </c>
      <c r="H689" s="52" t="s">
        <v>607</v>
      </c>
      <c r="I689" s="52" t="s">
        <v>607</v>
      </c>
      <c r="J689" s="52" t="s">
        <v>607</v>
      </c>
      <c r="K689" s="52" t="s">
        <v>607</v>
      </c>
      <c r="L689" s="52" t="s">
        <v>607</v>
      </c>
      <c r="M689" s="52" t="s">
        <v>607</v>
      </c>
      <c r="N689" s="52" t="s">
        <v>607</v>
      </c>
      <c r="O689" s="52"/>
      <c r="P689" s="52"/>
      <c r="Q689" s="52"/>
      <c r="R689" s="51" t="b">
        <v>0</v>
      </c>
      <c r="S689" s="51"/>
      <c r="T689" s="52"/>
      <c r="U689" s="51" t="b">
        <v>0</v>
      </c>
      <c r="V689" s="51" t="b">
        <v>0</v>
      </c>
      <c r="W689" s="51" t="b">
        <v>0</v>
      </c>
      <c r="X689" s="51" t="b">
        <v>0</v>
      </c>
      <c r="Y689" s="51" t="b">
        <v>0</v>
      </c>
      <c r="Z689" s="51" t="b">
        <v>0</v>
      </c>
      <c r="AA689" s="68"/>
      <c r="AB689" s="52"/>
      <c r="AC689" s="52"/>
      <c r="AD689" s="52"/>
      <c r="AE689" s="56" t="s">
        <v>607</v>
      </c>
      <c r="AF689" s="56" t="s">
        <v>607</v>
      </c>
    </row>
    <row r="690">
      <c r="A690" s="52" t="s">
        <v>2635</v>
      </c>
      <c r="B690" s="52" t="s">
        <v>607</v>
      </c>
      <c r="C690" s="52" t="s">
        <v>607</v>
      </c>
      <c r="D690" s="65" t="s">
        <v>607</v>
      </c>
      <c r="E690" s="65" t="s">
        <v>607</v>
      </c>
      <c r="F690" s="65" t="s">
        <v>607</v>
      </c>
      <c r="G690" s="65" t="s">
        <v>607</v>
      </c>
      <c r="H690" s="52" t="s">
        <v>607</v>
      </c>
      <c r="I690" s="52" t="s">
        <v>607</v>
      </c>
      <c r="J690" s="52" t="s">
        <v>607</v>
      </c>
      <c r="K690" s="52" t="s">
        <v>607</v>
      </c>
      <c r="L690" s="52" t="s">
        <v>607</v>
      </c>
      <c r="M690" s="52" t="s">
        <v>607</v>
      </c>
      <c r="N690" s="52" t="s">
        <v>607</v>
      </c>
      <c r="O690" s="52"/>
      <c r="P690" s="52"/>
      <c r="Q690" s="52"/>
      <c r="R690" s="51" t="b">
        <v>0</v>
      </c>
      <c r="S690" s="51"/>
      <c r="T690" s="52"/>
      <c r="U690" s="51" t="b">
        <v>0</v>
      </c>
      <c r="V690" s="51" t="b">
        <v>0</v>
      </c>
      <c r="W690" s="51" t="b">
        <v>0</v>
      </c>
      <c r="X690" s="51" t="b">
        <v>0</v>
      </c>
      <c r="Y690" s="51" t="b">
        <v>0</v>
      </c>
      <c r="Z690" s="51" t="b">
        <v>0</v>
      </c>
      <c r="AA690" s="68"/>
      <c r="AB690" s="52"/>
      <c r="AC690" s="52"/>
      <c r="AD690" s="52"/>
      <c r="AE690" s="56" t="s">
        <v>607</v>
      </c>
      <c r="AF690" s="56" t="s">
        <v>607</v>
      </c>
    </row>
    <row r="691">
      <c r="A691" s="52" t="s">
        <v>2636</v>
      </c>
      <c r="B691" s="52" t="s">
        <v>607</v>
      </c>
      <c r="C691" s="52" t="s">
        <v>607</v>
      </c>
      <c r="D691" s="65" t="s">
        <v>607</v>
      </c>
      <c r="E691" s="65" t="s">
        <v>607</v>
      </c>
      <c r="F691" s="65" t="s">
        <v>607</v>
      </c>
      <c r="G691" s="65" t="s">
        <v>607</v>
      </c>
      <c r="H691" s="52" t="s">
        <v>607</v>
      </c>
      <c r="I691" s="52" t="s">
        <v>607</v>
      </c>
      <c r="J691" s="52" t="s">
        <v>607</v>
      </c>
      <c r="K691" s="52" t="s">
        <v>607</v>
      </c>
      <c r="L691" s="52" t="s">
        <v>607</v>
      </c>
      <c r="M691" s="52" t="s">
        <v>607</v>
      </c>
      <c r="N691" s="52" t="s">
        <v>607</v>
      </c>
      <c r="O691" s="52"/>
      <c r="P691" s="52"/>
      <c r="Q691" s="52"/>
      <c r="R691" s="51" t="b">
        <v>0</v>
      </c>
      <c r="S691" s="52"/>
      <c r="T691" s="52"/>
      <c r="U691" s="51" t="b">
        <v>0</v>
      </c>
      <c r="V691" s="51" t="b">
        <v>0</v>
      </c>
      <c r="W691" s="51" t="b">
        <v>0</v>
      </c>
      <c r="X691" s="51" t="b">
        <v>0</v>
      </c>
      <c r="Y691" s="51" t="b">
        <v>0</v>
      </c>
      <c r="Z691" s="51" t="b">
        <v>0</v>
      </c>
      <c r="AA691" s="68"/>
      <c r="AB691" s="52"/>
      <c r="AC691" s="52"/>
      <c r="AD691" s="52"/>
      <c r="AE691" s="56" t="s">
        <v>607</v>
      </c>
      <c r="AF691" s="56" t="s">
        <v>607</v>
      </c>
    </row>
    <row r="692">
      <c r="A692" s="52" t="s">
        <v>2637</v>
      </c>
      <c r="B692" s="52" t="s">
        <v>16</v>
      </c>
      <c r="C692" s="52" t="s">
        <v>289</v>
      </c>
      <c r="D692" s="65"/>
      <c r="E692" s="65"/>
      <c r="F692" s="65"/>
      <c r="G692" s="65"/>
      <c r="H692" s="52"/>
      <c r="I692" s="52"/>
      <c r="J692" s="52"/>
      <c r="K692" s="52"/>
      <c r="L692" s="52"/>
      <c r="M692" s="52"/>
      <c r="N692" s="52" t="s">
        <v>70</v>
      </c>
      <c r="O692" s="52"/>
      <c r="P692" s="52"/>
      <c r="Q692" s="52"/>
      <c r="R692" s="51" t="b">
        <v>0</v>
      </c>
      <c r="S692" s="51"/>
      <c r="T692" s="52"/>
      <c r="U692" s="51" t="b">
        <v>0</v>
      </c>
      <c r="V692" s="51" t="b">
        <v>0</v>
      </c>
      <c r="W692" s="51" t="b">
        <v>0</v>
      </c>
      <c r="X692" s="51" t="b">
        <v>0</v>
      </c>
      <c r="Y692" s="51" t="b">
        <v>0</v>
      </c>
      <c r="Z692" s="51" t="b">
        <v>0</v>
      </c>
      <c r="AA692" s="68"/>
      <c r="AB692" s="52"/>
      <c r="AC692" s="52"/>
      <c r="AD692" s="52"/>
      <c r="AE692" s="56"/>
      <c r="AF692" s="56"/>
    </row>
    <row r="693">
      <c r="A693" s="52" t="s">
        <v>2638</v>
      </c>
      <c r="B693" s="52" t="s">
        <v>16</v>
      </c>
      <c r="C693" s="52" t="s">
        <v>289</v>
      </c>
      <c r="D693" s="65">
        <v>0.5402893518518527</v>
      </c>
      <c r="E693" s="65">
        <v>3.4722222222222224E-4</v>
      </c>
      <c r="F693" s="65">
        <v>0.540636574074075</v>
      </c>
      <c r="G693" s="65" t="s">
        <v>409</v>
      </c>
      <c r="H693" s="52" t="s">
        <v>81</v>
      </c>
      <c r="I693" s="52" t="s">
        <v>81</v>
      </c>
      <c r="J693" s="52"/>
      <c r="K693" s="52"/>
      <c r="L693" s="52"/>
      <c r="M693" s="52"/>
      <c r="N693" s="52" t="s">
        <v>70</v>
      </c>
      <c r="O693" s="52"/>
      <c r="P693" s="52"/>
      <c r="Q693" s="52"/>
      <c r="R693" s="51" t="b">
        <v>0</v>
      </c>
      <c r="S693" s="51"/>
      <c r="T693" s="52"/>
      <c r="U693" s="51" t="b">
        <v>0</v>
      </c>
      <c r="V693" s="51" t="b">
        <v>0</v>
      </c>
      <c r="W693" s="51" t="b">
        <v>0</v>
      </c>
      <c r="X693" s="51" t="b">
        <v>0</v>
      </c>
      <c r="Y693" s="51" t="b">
        <v>0</v>
      </c>
      <c r="Z693" s="51" t="b">
        <v>0</v>
      </c>
      <c r="AA693" s="68"/>
      <c r="AB693" s="52"/>
      <c r="AC693" s="52"/>
      <c r="AD693" s="52"/>
      <c r="AE693" s="56"/>
      <c r="AF693" s="56" t="s">
        <v>1944</v>
      </c>
    </row>
    <row r="694">
      <c r="A694" s="52" t="s">
        <v>2639</v>
      </c>
      <c r="B694" s="52" t="s">
        <v>16</v>
      </c>
      <c r="C694" s="52" t="s">
        <v>289</v>
      </c>
      <c r="D694" s="65">
        <v>0.540636574074075</v>
      </c>
      <c r="E694" s="65">
        <v>0.010243055555555556</v>
      </c>
      <c r="F694" s="65">
        <v>0.5508796296296306</v>
      </c>
      <c r="G694" s="65" t="s">
        <v>409</v>
      </c>
      <c r="H694" s="52" t="s">
        <v>107</v>
      </c>
      <c r="I694" s="52" t="s">
        <v>864</v>
      </c>
      <c r="J694" s="52" t="s">
        <v>865</v>
      </c>
      <c r="K694" s="52" t="s">
        <v>866</v>
      </c>
      <c r="L694" s="52"/>
      <c r="M694" s="52"/>
      <c r="N694" s="52" t="s">
        <v>868</v>
      </c>
      <c r="O694" s="69" t="s">
        <v>734</v>
      </c>
      <c r="P694" s="69" t="s">
        <v>20</v>
      </c>
      <c r="Q694" s="70" t="s">
        <v>2640</v>
      </c>
      <c r="R694" s="51" t="b">
        <v>1</v>
      </c>
      <c r="S694" s="78" t="s">
        <v>864</v>
      </c>
      <c r="T694" s="52"/>
      <c r="U694" s="51" t="b">
        <v>0</v>
      </c>
      <c r="V694" s="51" t="b">
        <v>1</v>
      </c>
      <c r="W694" s="51" t="b">
        <v>1</v>
      </c>
      <c r="X694" s="51" t="b">
        <v>0</v>
      </c>
      <c r="Y694" s="51" t="b">
        <v>0</v>
      </c>
      <c r="Z694" s="51" t="b">
        <v>0</v>
      </c>
      <c r="AA694" s="71">
        <v>0.010243055555555556</v>
      </c>
      <c r="AB694" s="69" t="s">
        <v>2641</v>
      </c>
      <c r="AC694" s="69"/>
      <c r="AD694" s="76" t="s">
        <v>2642</v>
      </c>
      <c r="AE694" s="74" t="s">
        <v>629</v>
      </c>
      <c r="AF694" s="74" t="s">
        <v>803</v>
      </c>
    </row>
    <row r="695">
      <c r="A695" s="52" t="s">
        <v>2643</v>
      </c>
      <c r="B695" s="52" t="s">
        <v>16</v>
      </c>
      <c r="C695" s="52" t="s">
        <v>289</v>
      </c>
      <c r="D695" s="65">
        <v>0.5508796296296306</v>
      </c>
      <c r="E695" s="65">
        <v>1.7361111111111112E-4</v>
      </c>
      <c r="F695" s="65">
        <v>0.5510532407407417</v>
      </c>
      <c r="G695" s="65" t="s">
        <v>409</v>
      </c>
      <c r="H695" s="52" t="s">
        <v>85</v>
      </c>
      <c r="I695" s="52" t="s">
        <v>85</v>
      </c>
      <c r="J695" s="52"/>
      <c r="K695" s="52"/>
      <c r="L695" s="52"/>
      <c r="M695" s="52"/>
      <c r="N695" s="52" t="s">
        <v>70</v>
      </c>
      <c r="O695" s="52"/>
      <c r="P695" s="52"/>
      <c r="Q695" s="52"/>
      <c r="R695" s="51" t="b">
        <v>0</v>
      </c>
      <c r="S695" s="51"/>
      <c r="T695" s="52"/>
      <c r="U695" s="51" t="b">
        <v>0</v>
      </c>
      <c r="V695" s="51" t="b">
        <v>0</v>
      </c>
      <c r="W695" s="51" t="b">
        <v>0</v>
      </c>
      <c r="X695" s="51" t="b">
        <v>0</v>
      </c>
      <c r="Y695" s="51" t="b">
        <v>0</v>
      </c>
      <c r="Z695" s="51" t="b">
        <v>0</v>
      </c>
      <c r="AA695" s="68"/>
      <c r="AB695" s="52"/>
      <c r="AC695" s="52"/>
      <c r="AD695" s="52"/>
      <c r="AE695" s="56"/>
      <c r="AF695" s="56" t="s">
        <v>1944</v>
      </c>
    </row>
    <row r="696">
      <c r="A696" s="52" t="s">
        <v>2644</v>
      </c>
      <c r="B696" s="52" t="s">
        <v>16</v>
      </c>
      <c r="C696" s="52" t="s">
        <v>289</v>
      </c>
      <c r="D696" s="65">
        <v>0.5510532407407417</v>
      </c>
      <c r="E696" s="65">
        <v>1.7361111111111112E-4</v>
      </c>
      <c r="F696" s="65">
        <v>0.5512268518518528</v>
      </c>
      <c r="G696" s="65" t="s">
        <v>409</v>
      </c>
      <c r="H696" s="52" t="s">
        <v>77</v>
      </c>
      <c r="I696" s="52" t="s">
        <v>870</v>
      </c>
      <c r="J696" s="52"/>
      <c r="K696" s="52"/>
      <c r="L696" s="52"/>
      <c r="M696" s="52"/>
      <c r="N696" s="52" t="s">
        <v>70</v>
      </c>
      <c r="O696" s="52"/>
      <c r="P696" s="52"/>
      <c r="Q696" s="52"/>
      <c r="R696" s="51" t="b">
        <v>0</v>
      </c>
      <c r="S696" s="51"/>
      <c r="T696" s="52"/>
      <c r="U696" s="51" t="b">
        <v>0</v>
      </c>
      <c r="V696" s="51" t="b">
        <v>0</v>
      </c>
      <c r="W696" s="51" t="b">
        <v>0</v>
      </c>
      <c r="X696" s="51" t="b">
        <v>0</v>
      </c>
      <c r="Y696" s="51" t="b">
        <v>0</v>
      </c>
      <c r="Z696" s="51" t="b">
        <v>0</v>
      </c>
      <c r="AA696" s="68"/>
      <c r="AB696" s="52"/>
      <c r="AC696" s="52"/>
      <c r="AD696" s="52"/>
      <c r="AE696" s="56"/>
      <c r="AF696" s="56" t="s">
        <v>2004</v>
      </c>
    </row>
    <row r="697">
      <c r="A697" s="52" t="s">
        <v>2645</v>
      </c>
      <c r="B697" s="52" t="s">
        <v>16</v>
      </c>
      <c r="C697" s="52" t="s">
        <v>289</v>
      </c>
      <c r="D697" s="65">
        <v>0.5512268518518528</v>
      </c>
      <c r="E697" s="65">
        <v>3.4722222222222224E-4</v>
      </c>
      <c r="F697" s="65">
        <v>0.5515740740740751</v>
      </c>
      <c r="G697" s="65" t="s">
        <v>409</v>
      </c>
      <c r="H697" s="52" t="s">
        <v>81</v>
      </c>
      <c r="I697" s="52" t="s">
        <v>81</v>
      </c>
      <c r="J697" s="52"/>
      <c r="K697" s="52"/>
      <c r="L697" s="52"/>
      <c r="M697" s="52"/>
      <c r="N697" s="52" t="s">
        <v>70</v>
      </c>
      <c r="O697" s="52"/>
      <c r="P697" s="69"/>
      <c r="Q697" s="52"/>
      <c r="R697" s="51" t="b">
        <v>0</v>
      </c>
      <c r="S697" s="51"/>
      <c r="T697" s="52"/>
      <c r="U697" s="51" t="b">
        <v>0</v>
      </c>
      <c r="V697" s="51" t="b">
        <v>0</v>
      </c>
      <c r="W697" s="51" t="b">
        <v>0</v>
      </c>
      <c r="X697" s="51" t="b">
        <v>0</v>
      </c>
      <c r="Y697" s="51" t="b">
        <v>0</v>
      </c>
      <c r="Z697" s="51" t="b">
        <v>0</v>
      </c>
      <c r="AA697" s="68"/>
      <c r="AB697" s="52"/>
      <c r="AC697" s="52"/>
      <c r="AD697" s="52"/>
      <c r="AE697" s="56"/>
      <c r="AF697" s="56" t="s">
        <v>1944</v>
      </c>
    </row>
    <row r="698">
      <c r="A698" s="52" t="s">
        <v>2646</v>
      </c>
      <c r="B698" s="52" t="s">
        <v>16</v>
      </c>
      <c r="C698" s="52" t="s">
        <v>289</v>
      </c>
      <c r="D698" s="65">
        <v>0.5515740740740751</v>
      </c>
      <c r="E698" s="65">
        <v>0.013888888888888888</v>
      </c>
      <c r="F698" s="65">
        <v>0.5654629629629639</v>
      </c>
      <c r="G698" s="65" t="s">
        <v>409</v>
      </c>
      <c r="H698" s="52" t="s">
        <v>94</v>
      </c>
      <c r="I698" s="52" t="s">
        <v>875</v>
      </c>
      <c r="J698" s="52" t="s">
        <v>876</v>
      </c>
      <c r="K698" s="52"/>
      <c r="L698" s="52"/>
      <c r="M698" s="52"/>
      <c r="N698" s="52" t="s">
        <v>877</v>
      </c>
      <c r="O698" s="52"/>
      <c r="P698" s="52"/>
      <c r="Q698" s="52"/>
      <c r="R698" s="51" t="b">
        <v>0</v>
      </c>
      <c r="S698" s="51"/>
      <c r="T698" s="52"/>
      <c r="U698" s="51" t="b">
        <v>0</v>
      </c>
      <c r="V698" s="51" t="b">
        <v>0</v>
      </c>
      <c r="W698" s="51" t="b">
        <v>0</v>
      </c>
      <c r="X698" s="51" t="b">
        <v>0</v>
      </c>
      <c r="Y698" s="51" t="b">
        <v>0</v>
      </c>
      <c r="Z698" s="51" t="b">
        <v>0</v>
      </c>
      <c r="AA698" s="68"/>
      <c r="AB698" s="52"/>
      <c r="AC698" s="52"/>
      <c r="AD698" s="52"/>
      <c r="AE698" s="56" t="s">
        <v>1499</v>
      </c>
      <c r="AF698" s="56" t="s">
        <v>653</v>
      </c>
    </row>
    <row r="699">
      <c r="A699" s="52" t="s">
        <v>2647</v>
      </c>
      <c r="B699" s="52" t="s">
        <v>16</v>
      </c>
      <c r="C699" s="52" t="s">
        <v>289</v>
      </c>
      <c r="D699" s="65">
        <v>0.5654629629629639</v>
      </c>
      <c r="E699" s="65">
        <v>1.7361111111111112E-4</v>
      </c>
      <c r="F699" s="65">
        <v>0.5656365740740751</v>
      </c>
      <c r="G699" s="65" t="s">
        <v>409</v>
      </c>
      <c r="H699" s="52" t="s">
        <v>85</v>
      </c>
      <c r="I699" s="52" t="s">
        <v>85</v>
      </c>
      <c r="J699" s="52"/>
      <c r="K699" s="52"/>
      <c r="L699" s="52"/>
      <c r="M699" s="52"/>
      <c r="N699" s="52" t="s">
        <v>70</v>
      </c>
      <c r="O699" s="52"/>
      <c r="P699" s="52"/>
      <c r="Q699" s="52"/>
      <c r="R699" s="51" t="b">
        <v>0</v>
      </c>
      <c r="S699" s="51"/>
      <c r="T699" s="52"/>
      <c r="U699" s="51" t="b">
        <v>0</v>
      </c>
      <c r="V699" s="51" t="b">
        <v>0</v>
      </c>
      <c r="W699" s="51" t="b">
        <v>0</v>
      </c>
      <c r="X699" s="51" t="b">
        <v>0</v>
      </c>
      <c r="Y699" s="51" t="b">
        <v>0</v>
      </c>
      <c r="Z699" s="51" t="b">
        <v>0</v>
      </c>
      <c r="AA699" s="68"/>
      <c r="AB699" s="52"/>
      <c r="AC699" s="52"/>
      <c r="AD699" s="52"/>
      <c r="AE699" s="56"/>
      <c r="AF699" s="56" t="s">
        <v>1944</v>
      </c>
    </row>
    <row r="700">
      <c r="A700" s="52" t="s">
        <v>2648</v>
      </c>
      <c r="B700" s="52" t="s">
        <v>607</v>
      </c>
      <c r="C700" s="52" t="s">
        <v>607</v>
      </c>
      <c r="D700" s="65" t="s">
        <v>607</v>
      </c>
      <c r="E700" s="65" t="s">
        <v>607</v>
      </c>
      <c r="F700" s="65" t="s">
        <v>607</v>
      </c>
      <c r="G700" s="65" t="s">
        <v>607</v>
      </c>
      <c r="H700" s="52" t="s">
        <v>607</v>
      </c>
      <c r="I700" s="52" t="s">
        <v>607</v>
      </c>
      <c r="J700" s="52" t="s">
        <v>607</v>
      </c>
      <c r="K700" s="52" t="s">
        <v>607</v>
      </c>
      <c r="L700" s="52" t="s">
        <v>607</v>
      </c>
      <c r="M700" s="52" t="s">
        <v>607</v>
      </c>
      <c r="N700" s="52" t="s">
        <v>607</v>
      </c>
      <c r="O700" s="52"/>
      <c r="P700" s="52"/>
      <c r="Q700" s="52"/>
      <c r="R700" s="51" t="b">
        <v>0</v>
      </c>
      <c r="S700" s="51"/>
      <c r="T700" s="52"/>
      <c r="U700" s="51" t="b">
        <v>0</v>
      </c>
      <c r="V700" s="51" t="b">
        <v>0</v>
      </c>
      <c r="W700" s="51" t="b">
        <v>0</v>
      </c>
      <c r="X700" s="51" t="b">
        <v>0</v>
      </c>
      <c r="Y700" s="51" t="b">
        <v>0</v>
      </c>
      <c r="Z700" s="51" t="b">
        <v>0</v>
      </c>
      <c r="AA700" s="68"/>
      <c r="AB700" s="52"/>
      <c r="AC700" s="52"/>
      <c r="AD700" s="52"/>
      <c r="AE700" s="56" t="s">
        <v>607</v>
      </c>
      <c r="AF700" s="56" t="s">
        <v>607</v>
      </c>
    </row>
    <row r="701">
      <c r="A701" s="52" t="s">
        <v>2649</v>
      </c>
      <c r="B701" s="52" t="s">
        <v>16</v>
      </c>
      <c r="C701" s="52" t="s">
        <v>289</v>
      </c>
      <c r="D701" s="65">
        <v>0.5656365740740751</v>
      </c>
      <c r="E701" s="65">
        <v>2.662037037037037E-4</v>
      </c>
      <c r="F701" s="65">
        <v>0.5659027777777788</v>
      </c>
      <c r="G701" s="65" t="s">
        <v>409</v>
      </c>
      <c r="H701" s="52" t="s">
        <v>81</v>
      </c>
      <c r="I701" s="52" t="s">
        <v>879</v>
      </c>
      <c r="J701" s="52"/>
      <c r="K701" s="52"/>
      <c r="L701" s="52"/>
      <c r="M701" s="52"/>
      <c r="N701" s="52" t="s">
        <v>70</v>
      </c>
      <c r="O701" s="52"/>
      <c r="P701" s="69"/>
      <c r="Q701" s="52"/>
      <c r="R701" s="51" t="b">
        <v>0</v>
      </c>
      <c r="S701" s="51"/>
      <c r="T701" s="52"/>
      <c r="U701" s="51" t="b">
        <v>0</v>
      </c>
      <c r="V701" s="51" t="b">
        <v>0</v>
      </c>
      <c r="W701" s="51" t="b">
        <v>0</v>
      </c>
      <c r="X701" s="51" t="b">
        <v>0</v>
      </c>
      <c r="Y701" s="51" t="b">
        <v>0</v>
      </c>
      <c r="Z701" s="51" t="b">
        <v>0</v>
      </c>
      <c r="AA701" s="68"/>
      <c r="AB701" s="52"/>
      <c r="AC701" s="52"/>
      <c r="AD701" s="52"/>
      <c r="AE701" s="56"/>
      <c r="AF701" s="56" t="s">
        <v>1944</v>
      </c>
    </row>
    <row r="702">
      <c r="A702" s="52" t="s">
        <v>2650</v>
      </c>
      <c r="B702" s="52" t="s">
        <v>16</v>
      </c>
      <c r="C702" s="52" t="s">
        <v>289</v>
      </c>
      <c r="D702" s="65">
        <v>0.5659027777777788</v>
      </c>
      <c r="E702" s="65">
        <v>0.0020949074074074073</v>
      </c>
      <c r="F702" s="65">
        <v>0.5679976851851861</v>
      </c>
      <c r="G702" s="65" t="s">
        <v>409</v>
      </c>
      <c r="H702" s="52" t="s">
        <v>165</v>
      </c>
      <c r="I702" s="52" t="s">
        <v>881</v>
      </c>
      <c r="J702" s="52" t="s">
        <v>882</v>
      </c>
      <c r="K702" s="52"/>
      <c r="L702" s="52"/>
      <c r="M702" s="52"/>
      <c r="N702" s="52" t="s">
        <v>70</v>
      </c>
      <c r="O702" s="69" t="s">
        <v>884</v>
      </c>
      <c r="P702" s="78" t="s">
        <v>32</v>
      </c>
      <c r="Q702" s="144" t="s">
        <v>2651</v>
      </c>
      <c r="R702" s="145" t="b">
        <v>1</v>
      </c>
      <c r="S702" s="78" t="s">
        <v>881</v>
      </c>
      <c r="T702" s="52"/>
      <c r="U702" s="51" t="b">
        <v>0</v>
      </c>
      <c r="V702" s="51" t="b">
        <v>1</v>
      </c>
      <c r="W702" s="51" t="b">
        <v>1</v>
      </c>
      <c r="X702" s="51" t="b">
        <v>0</v>
      </c>
      <c r="Y702" s="51" t="b">
        <v>0</v>
      </c>
      <c r="Z702" s="51" t="b">
        <v>0</v>
      </c>
      <c r="AA702" s="71">
        <v>0.0020949074074074073</v>
      </c>
      <c r="AB702" s="69" t="s">
        <v>2652</v>
      </c>
      <c r="AC702" s="69"/>
      <c r="AD702" s="73" t="s">
        <v>2653</v>
      </c>
      <c r="AE702" s="74" t="s">
        <v>743</v>
      </c>
      <c r="AF702" s="74" t="s">
        <v>630</v>
      </c>
    </row>
    <row r="703">
      <c r="A703" s="52" t="s">
        <v>2654</v>
      </c>
      <c r="B703" s="52" t="s">
        <v>16</v>
      </c>
      <c r="C703" s="52" t="s">
        <v>289</v>
      </c>
      <c r="D703" s="65">
        <v>0.5679976851851861</v>
      </c>
      <c r="E703" s="65">
        <v>1.7361111111111112E-4</v>
      </c>
      <c r="F703" s="65">
        <v>0.5681712962962973</v>
      </c>
      <c r="G703" s="65" t="s">
        <v>409</v>
      </c>
      <c r="H703" s="52" t="s">
        <v>85</v>
      </c>
      <c r="I703" s="52" t="s">
        <v>85</v>
      </c>
      <c r="J703" s="52"/>
      <c r="K703" s="52"/>
      <c r="L703" s="52"/>
      <c r="M703" s="52"/>
      <c r="N703" s="52" t="s">
        <v>70</v>
      </c>
      <c r="O703" s="52"/>
      <c r="P703" s="52"/>
      <c r="Q703" s="52"/>
      <c r="R703" s="51" t="b">
        <v>0</v>
      </c>
      <c r="S703" s="51"/>
      <c r="T703" s="52"/>
      <c r="U703" s="51" t="b">
        <v>0</v>
      </c>
      <c r="V703" s="51" t="b">
        <v>0</v>
      </c>
      <c r="W703" s="51" t="b">
        <v>0</v>
      </c>
      <c r="X703" s="51" t="b">
        <v>0</v>
      </c>
      <c r="Y703" s="51" t="b">
        <v>0</v>
      </c>
      <c r="Z703" s="51" t="b">
        <v>0</v>
      </c>
      <c r="AA703" s="68"/>
      <c r="AB703" s="52"/>
      <c r="AC703" s="52"/>
      <c r="AD703" s="52"/>
      <c r="AE703" s="56"/>
      <c r="AF703" s="56" t="s">
        <v>1944</v>
      </c>
    </row>
    <row r="704">
      <c r="A704" s="52" t="s">
        <v>2655</v>
      </c>
      <c r="B704" s="52" t="s">
        <v>16</v>
      </c>
      <c r="C704" s="52" t="s">
        <v>289</v>
      </c>
      <c r="D704" s="65">
        <v>0.5681712962962973</v>
      </c>
      <c r="E704" s="65">
        <v>3.4722222222222224E-4</v>
      </c>
      <c r="F704" s="65">
        <v>0.5685185185185195</v>
      </c>
      <c r="G704" s="65" t="s">
        <v>409</v>
      </c>
      <c r="H704" s="52" t="s">
        <v>81</v>
      </c>
      <c r="I704" s="52" t="s">
        <v>81</v>
      </c>
      <c r="J704" s="52"/>
      <c r="K704" s="52"/>
      <c r="L704" s="52"/>
      <c r="M704" s="52"/>
      <c r="N704" s="52" t="s">
        <v>70</v>
      </c>
      <c r="O704" s="52"/>
      <c r="P704" s="52"/>
      <c r="Q704" s="52"/>
      <c r="R704" s="51" t="b">
        <v>0</v>
      </c>
      <c r="S704" s="52"/>
      <c r="T704" s="52"/>
      <c r="U704" s="51" t="b">
        <v>0</v>
      </c>
      <c r="V704" s="51" t="b">
        <v>0</v>
      </c>
      <c r="W704" s="51" t="b">
        <v>0</v>
      </c>
      <c r="X704" s="51" t="b">
        <v>0</v>
      </c>
      <c r="Y704" s="51" t="b">
        <v>0</v>
      </c>
      <c r="Z704" s="51" t="b">
        <v>0</v>
      </c>
      <c r="AA704" s="68"/>
      <c r="AB704" s="52"/>
      <c r="AC704" s="52"/>
      <c r="AD704" s="52"/>
      <c r="AE704" s="56"/>
      <c r="AF704" s="56" t="s">
        <v>1944</v>
      </c>
    </row>
    <row r="705">
      <c r="A705" s="52" t="s">
        <v>2656</v>
      </c>
      <c r="B705" s="52" t="s">
        <v>16</v>
      </c>
      <c r="C705" s="52" t="s">
        <v>289</v>
      </c>
      <c r="D705" s="65">
        <v>0.5685185185185195</v>
      </c>
      <c r="E705" s="65">
        <v>0.010324074074074074</v>
      </c>
      <c r="F705" s="65">
        <v>0.5788425925925936</v>
      </c>
      <c r="G705" s="65" t="s">
        <v>409</v>
      </c>
      <c r="H705" s="52" t="s">
        <v>94</v>
      </c>
      <c r="I705" s="52" t="s">
        <v>886</v>
      </c>
      <c r="J705" s="52" t="s">
        <v>887</v>
      </c>
      <c r="K705" s="52"/>
      <c r="L705" s="52"/>
      <c r="M705" s="52"/>
      <c r="N705" s="52" t="s">
        <v>888</v>
      </c>
      <c r="O705" s="69" t="s">
        <v>618</v>
      </c>
      <c r="P705" s="51" t="s">
        <v>30</v>
      </c>
      <c r="Q705" s="144" t="s">
        <v>2657</v>
      </c>
      <c r="R705" s="51" t="b">
        <v>1</v>
      </c>
      <c r="S705" s="146" t="s">
        <v>886</v>
      </c>
      <c r="T705" s="52"/>
      <c r="U705" s="51" t="b">
        <v>0</v>
      </c>
      <c r="V705" s="51" t="b">
        <v>1</v>
      </c>
      <c r="W705" s="51" t="b">
        <v>1</v>
      </c>
      <c r="X705" s="51" t="b">
        <v>0</v>
      </c>
      <c r="Y705" s="51" t="b">
        <v>0</v>
      </c>
      <c r="Z705" s="51" t="b">
        <v>0</v>
      </c>
      <c r="AA705" s="71">
        <v>0.0103125</v>
      </c>
      <c r="AB705" s="69" t="s">
        <v>2658</v>
      </c>
      <c r="AC705" s="69"/>
      <c r="AD705" s="73" t="s">
        <v>2659</v>
      </c>
      <c r="AE705" s="74" t="s">
        <v>629</v>
      </c>
      <c r="AF705" s="74" t="s">
        <v>1362</v>
      </c>
    </row>
    <row r="706">
      <c r="A706" s="52" t="s">
        <v>2660</v>
      </c>
      <c r="B706" s="52" t="s">
        <v>16</v>
      </c>
      <c r="C706" s="52" t="s">
        <v>289</v>
      </c>
      <c r="D706" s="65">
        <v>0.5788425925925936</v>
      </c>
      <c r="E706" s="65">
        <v>1.7361111111111112E-4</v>
      </c>
      <c r="F706" s="65">
        <v>0.5790162037037048</v>
      </c>
      <c r="G706" s="65" t="s">
        <v>409</v>
      </c>
      <c r="H706" s="52" t="s">
        <v>85</v>
      </c>
      <c r="I706" s="52" t="s">
        <v>85</v>
      </c>
      <c r="J706" s="52"/>
      <c r="K706" s="52"/>
      <c r="L706" s="52"/>
      <c r="M706" s="52"/>
      <c r="N706" s="52" t="s">
        <v>70</v>
      </c>
      <c r="O706" s="52"/>
      <c r="P706" s="52"/>
      <c r="Q706" s="52"/>
      <c r="R706" s="51" t="b">
        <v>0</v>
      </c>
      <c r="S706" s="51"/>
      <c r="T706" s="52"/>
      <c r="U706" s="51" t="b">
        <v>0</v>
      </c>
      <c r="V706" s="51" t="b">
        <v>0</v>
      </c>
      <c r="W706" s="51" t="b">
        <v>0</v>
      </c>
      <c r="X706" s="51" t="b">
        <v>0</v>
      </c>
      <c r="Y706" s="51" t="b">
        <v>0</v>
      </c>
      <c r="Z706" s="51" t="b">
        <v>0</v>
      </c>
      <c r="AA706" s="68"/>
      <c r="AB706" s="52"/>
      <c r="AC706" s="52"/>
      <c r="AD706" s="52"/>
      <c r="AE706" s="56"/>
      <c r="AF706" s="56" t="s">
        <v>1944</v>
      </c>
    </row>
    <row r="707">
      <c r="A707" s="52" t="s">
        <v>2661</v>
      </c>
      <c r="B707" s="52" t="s">
        <v>607</v>
      </c>
      <c r="C707" s="52" t="s">
        <v>607</v>
      </c>
      <c r="D707" s="65" t="s">
        <v>607</v>
      </c>
      <c r="E707" s="65" t="s">
        <v>607</v>
      </c>
      <c r="F707" s="65" t="s">
        <v>607</v>
      </c>
      <c r="G707" s="65" t="s">
        <v>607</v>
      </c>
      <c r="H707" s="52" t="s">
        <v>607</v>
      </c>
      <c r="I707" s="52" t="s">
        <v>607</v>
      </c>
      <c r="J707" s="52" t="s">
        <v>607</v>
      </c>
      <c r="K707" s="52" t="s">
        <v>607</v>
      </c>
      <c r="L707" s="52" t="s">
        <v>607</v>
      </c>
      <c r="M707" s="52" t="s">
        <v>607</v>
      </c>
      <c r="N707" s="52" t="s">
        <v>607</v>
      </c>
      <c r="O707" s="52"/>
      <c r="P707" s="52"/>
      <c r="Q707" s="52"/>
      <c r="R707" s="51" t="b">
        <v>0</v>
      </c>
      <c r="S707" s="51"/>
      <c r="T707" s="52"/>
      <c r="U707" s="51" t="b">
        <v>0</v>
      </c>
      <c r="V707" s="51" t="b">
        <v>0</v>
      </c>
      <c r="W707" s="51" t="b">
        <v>0</v>
      </c>
      <c r="X707" s="51" t="b">
        <v>0</v>
      </c>
      <c r="Y707" s="51" t="b">
        <v>0</v>
      </c>
      <c r="Z707" s="51" t="b">
        <v>0</v>
      </c>
      <c r="AA707" s="68"/>
      <c r="AB707" s="52"/>
      <c r="AC707" s="52"/>
      <c r="AD707" s="52"/>
      <c r="AE707" s="56" t="s">
        <v>607</v>
      </c>
      <c r="AF707" s="56" t="s">
        <v>607</v>
      </c>
    </row>
    <row r="708">
      <c r="A708" s="52" t="s">
        <v>2662</v>
      </c>
      <c r="B708" s="52" t="s">
        <v>16</v>
      </c>
      <c r="C708" s="52" t="s">
        <v>289</v>
      </c>
      <c r="D708" s="65">
        <v>0.5790162037037048</v>
      </c>
      <c r="E708" s="65">
        <v>2.314814814814815E-4</v>
      </c>
      <c r="F708" s="65">
        <v>0.5792476851851862</v>
      </c>
      <c r="G708" s="65" t="s">
        <v>409</v>
      </c>
      <c r="H708" s="52" t="s">
        <v>81</v>
      </c>
      <c r="I708" s="52" t="s">
        <v>892</v>
      </c>
      <c r="J708" s="52"/>
      <c r="K708" s="52"/>
      <c r="L708" s="52"/>
      <c r="M708" s="52"/>
      <c r="N708" s="52" t="s">
        <v>70</v>
      </c>
      <c r="O708" s="52"/>
      <c r="P708" s="52"/>
      <c r="Q708" s="52"/>
      <c r="R708" s="51" t="b">
        <v>0</v>
      </c>
      <c r="S708" s="52"/>
      <c r="T708" s="52"/>
      <c r="U708" s="51" t="b">
        <v>0</v>
      </c>
      <c r="V708" s="51" t="b">
        <v>0</v>
      </c>
      <c r="W708" s="51" t="b">
        <v>0</v>
      </c>
      <c r="X708" s="51" t="b">
        <v>0</v>
      </c>
      <c r="Y708" s="51" t="b">
        <v>0</v>
      </c>
      <c r="Z708" s="51" t="b">
        <v>0</v>
      </c>
      <c r="AA708" s="68"/>
      <c r="AB708" s="52"/>
      <c r="AC708" s="52"/>
      <c r="AD708" s="52"/>
      <c r="AE708" s="56"/>
      <c r="AF708" s="56" t="s">
        <v>1944</v>
      </c>
    </row>
    <row r="709">
      <c r="A709" s="52" t="s">
        <v>2663</v>
      </c>
      <c r="B709" s="52" t="s">
        <v>16</v>
      </c>
      <c r="C709" s="52" t="s">
        <v>289</v>
      </c>
      <c r="D709" s="65">
        <v>0.5792476851851862</v>
      </c>
      <c r="E709" s="65">
        <v>0.0024421296296296296</v>
      </c>
      <c r="F709" s="65">
        <v>0.5816898148148159</v>
      </c>
      <c r="G709" s="65" t="s">
        <v>409</v>
      </c>
      <c r="H709" s="52" t="s">
        <v>165</v>
      </c>
      <c r="I709" s="52" t="s">
        <v>893</v>
      </c>
      <c r="J709" s="52" t="s">
        <v>894</v>
      </c>
      <c r="K709" s="52"/>
      <c r="L709" s="52"/>
      <c r="M709" s="52"/>
      <c r="N709" s="52" t="s">
        <v>70</v>
      </c>
      <c r="O709" s="52"/>
      <c r="P709" s="69" t="s">
        <v>23</v>
      </c>
      <c r="Q709" s="73" t="s">
        <v>2664</v>
      </c>
      <c r="R709" s="51" t="b">
        <v>1</v>
      </c>
      <c r="S709" s="52" t="s">
        <v>893</v>
      </c>
      <c r="T709" s="52"/>
      <c r="U709" s="51" t="b">
        <v>0</v>
      </c>
      <c r="V709" s="51" t="b">
        <v>1</v>
      </c>
      <c r="W709" s="51" t="b">
        <v>1</v>
      </c>
      <c r="X709" s="51" t="b">
        <v>0</v>
      </c>
      <c r="Y709" s="51" t="b">
        <v>0</v>
      </c>
      <c r="Z709" s="51" t="b">
        <v>0</v>
      </c>
      <c r="AA709" s="108">
        <v>0.0024421296296296296</v>
      </c>
      <c r="AB709" s="134" t="s">
        <v>2665</v>
      </c>
      <c r="AC709" s="134"/>
      <c r="AD709" s="76" t="s">
        <v>2666</v>
      </c>
      <c r="AE709" s="74" t="s">
        <v>743</v>
      </c>
      <c r="AF709" s="74" t="s">
        <v>630</v>
      </c>
    </row>
    <row r="710">
      <c r="A710" s="52" t="s">
        <v>2667</v>
      </c>
      <c r="B710" s="52" t="s">
        <v>16</v>
      </c>
      <c r="C710" s="52" t="s">
        <v>289</v>
      </c>
      <c r="D710" s="65">
        <v>0.5816898148148159</v>
      </c>
      <c r="E710" s="65">
        <v>1.7361111111111112E-4</v>
      </c>
      <c r="F710" s="65">
        <v>0.581863425925927</v>
      </c>
      <c r="G710" s="65" t="s">
        <v>409</v>
      </c>
      <c r="H710" s="52" t="s">
        <v>85</v>
      </c>
      <c r="I710" s="52" t="s">
        <v>85</v>
      </c>
      <c r="J710" s="52"/>
      <c r="K710" s="52"/>
      <c r="L710" s="52"/>
      <c r="M710" s="52"/>
      <c r="N710" s="52" t="s">
        <v>70</v>
      </c>
      <c r="O710" s="52"/>
      <c r="P710" s="52"/>
      <c r="Q710" s="52"/>
      <c r="R710" s="51" t="b">
        <v>0</v>
      </c>
      <c r="S710" s="51"/>
      <c r="T710" s="52"/>
      <c r="U710" s="51" t="b">
        <v>0</v>
      </c>
      <c r="V710" s="51" t="b">
        <v>0</v>
      </c>
      <c r="W710" s="51" t="b">
        <v>0</v>
      </c>
      <c r="X710" s="51" t="b">
        <v>0</v>
      </c>
      <c r="Y710" s="51" t="b">
        <v>0</v>
      </c>
      <c r="Z710" s="51" t="b">
        <v>0</v>
      </c>
      <c r="AA710" s="68"/>
      <c r="AB710" s="52"/>
      <c r="AC710" s="52"/>
      <c r="AD710" s="52"/>
      <c r="AE710" s="56"/>
      <c r="AF710" s="56" t="s">
        <v>1944</v>
      </c>
    </row>
    <row r="711">
      <c r="A711" s="52" t="s">
        <v>2668</v>
      </c>
      <c r="B711" s="52" t="s">
        <v>16</v>
      </c>
      <c r="C711" s="52" t="s">
        <v>289</v>
      </c>
      <c r="D711" s="65"/>
      <c r="E711" s="65"/>
      <c r="F711" s="65"/>
      <c r="G711" s="65"/>
      <c r="H711" s="52"/>
      <c r="I711" s="52"/>
      <c r="J711" s="52"/>
      <c r="K711" s="52"/>
      <c r="L711" s="52"/>
      <c r="M711" s="52"/>
      <c r="N711" s="52" t="s">
        <v>70</v>
      </c>
      <c r="O711" s="52"/>
      <c r="P711" s="52"/>
      <c r="Q711" s="52"/>
      <c r="R711" s="51" t="b">
        <v>0</v>
      </c>
      <c r="S711" s="51"/>
      <c r="T711" s="52"/>
      <c r="U711" s="51" t="b">
        <v>0</v>
      </c>
      <c r="V711" s="51" t="b">
        <v>0</v>
      </c>
      <c r="W711" s="51" t="b">
        <v>0</v>
      </c>
      <c r="X711" s="51" t="b">
        <v>0</v>
      </c>
      <c r="Y711" s="51" t="b">
        <v>0</v>
      </c>
      <c r="Z711" s="51" t="b">
        <v>0</v>
      </c>
      <c r="AA711" s="68"/>
      <c r="AB711" s="52"/>
      <c r="AC711" s="52"/>
      <c r="AD711" s="52"/>
      <c r="AE711" s="56"/>
      <c r="AF711" s="56"/>
    </row>
    <row r="712">
      <c r="A712" s="52" t="s">
        <v>2669</v>
      </c>
      <c r="B712" s="52" t="s">
        <v>607</v>
      </c>
      <c r="C712" s="52" t="s">
        <v>607</v>
      </c>
      <c r="D712" s="65" t="s">
        <v>607</v>
      </c>
      <c r="E712" s="65" t="s">
        <v>607</v>
      </c>
      <c r="F712" s="65" t="s">
        <v>607</v>
      </c>
      <c r="G712" s="65" t="s">
        <v>607</v>
      </c>
      <c r="H712" s="52" t="s">
        <v>607</v>
      </c>
      <c r="I712" s="52" t="s">
        <v>607</v>
      </c>
      <c r="J712" s="52" t="s">
        <v>607</v>
      </c>
      <c r="K712" s="52" t="s">
        <v>607</v>
      </c>
      <c r="L712" s="52" t="s">
        <v>607</v>
      </c>
      <c r="M712" s="52" t="s">
        <v>607</v>
      </c>
      <c r="N712" s="52" t="s">
        <v>607</v>
      </c>
      <c r="O712" s="52"/>
      <c r="P712" s="52"/>
      <c r="Q712" s="52"/>
      <c r="R712" s="51" t="b">
        <v>0</v>
      </c>
      <c r="S712" s="52"/>
      <c r="T712" s="52"/>
      <c r="U712" s="51" t="b">
        <v>0</v>
      </c>
      <c r="V712" s="51" t="b">
        <v>0</v>
      </c>
      <c r="W712" s="51" t="b">
        <v>0</v>
      </c>
      <c r="X712" s="51" t="b">
        <v>0</v>
      </c>
      <c r="Y712" s="51" t="b">
        <v>0</v>
      </c>
      <c r="Z712" s="51" t="b">
        <v>0</v>
      </c>
      <c r="AA712" s="68"/>
      <c r="AB712" s="52"/>
      <c r="AC712" s="52"/>
      <c r="AD712" s="52"/>
      <c r="AE712" s="56" t="s">
        <v>607</v>
      </c>
      <c r="AF712" s="56" t="s">
        <v>607</v>
      </c>
    </row>
    <row r="713">
      <c r="A713" s="52" t="s">
        <v>2670</v>
      </c>
      <c r="B713" s="52" t="s">
        <v>16</v>
      </c>
      <c r="C713" s="52" t="s">
        <v>289</v>
      </c>
      <c r="D713" s="65">
        <v>0.581863425925927</v>
      </c>
      <c r="E713" s="65">
        <v>3.4722222222222224E-4</v>
      </c>
      <c r="F713" s="65">
        <v>0.5822106481481493</v>
      </c>
      <c r="G713" s="65" t="s">
        <v>245</v>
      </c>
      <c r="H713" s="52" t="s">
        <v>81</v>
      </c>
      <c r="I713" s="52" t="s">
        <v>81</v>
      </c>
      <c r="J713" s="52"/>
      <c r="K713" s="52"/>
      <c r="L713" s="52"/>
      <c r="M713" s="52"/>
      <c r="N713" s="52" t="s">
        <v>70</v>
      </c>
      <c r="O713" s="52"/>
      <c r="P713" s="52"/>
      <c r="Q713" s="52"/>
      <c r="R713" s="51" t="b">
        <v>0</v>
      </c>
      <c r="S713" s="51"/>
      <c r="T713" s="52"/>
      <c r="U713" s="51" t="b">
        <v>0</v>
      </c>
      <c r="V713" s="51" t="b">
        <v>0</v>
      </c>
      <c r="W713" s="51" t="b">
        <v>0</v>
      </c>
      <c r="X713" s="51" t="b">
        <v>0</v>
      </c>
      <c r="Y713" s="51" t="b">
        <v>0</v>
      </c>
      <c r="Z713" s="51" t="b">
        <v>0</v>
      </c>
      <c r="AA713" s="68"/>
      <c r="AB713" s="52"/>
      <c r="AC713" s="52"/>
      <c r="AD713" s="52"/>
      <c r="AE713" s="56"/>
      <c r="AF713" s="56" t="s">
        <v>1944</v>
      </c>
    </row>
    <row r="714">
      <c r="A714" s="52" t="s">
        <v>2671</v>
      </c>
      <c r="B714" s="52" t="s">
        <v>16</v>
      </c>
      <c r="C714" s="52" t="s">
        <v>289</v>
      </c>
      <c r="D714" s="65">
        <v>0.5822106481481493</v>
      </c>
      <c r="E714" s="65">
        <v>0.0096875</v>
      </c>
      <c r="F714" s="65">
        <v>0.5918981481481492</v>
      </c>
      <c r="G714" s="65" t="s">
        <v>245</v>
      </c>
      <c r="H714" s="52" t="s">
        <v>74</v>
      </c>
      <c r="I714" s="52" t="s">
        <v>900</v>
      </c>
      <c r="J714" s="52" t="s">
        <v>901</v>
      </c>
      <c r="K714" s="52" t="s">
        <v>902</v>
      </c>
      <c r="L714" s="52" t="s">
        <v>903</v>
      </c>
      <c r="M714" s="52"/>
      <c r="N714" s="52" t="s">
        <v>904</v>
      </c>
      <c r="O714" s="69" t="s">
        <v>791</v>
      </c>
      <c r="P714" s="69" t="s">
        <v>15</v>
      </c>
      <c r="Q714" s="70" t="s">
        <v>2672</v>
      </c>
      <c r="R714" s="51" t="b">
        <v>1</v>
      </c>
      <c r="S714" s="78" t="s">
        <v>900</v>
      </c>
      <c r="T714" s="52"/>
      <c r="U714" s="51" t="b">
        <v>0</v>
      </c>
      <c r="V714" s="51" t="b">
        <v>1</v>
      </c>
      <c r="W714" s="51" t="b">
        <v>1</v>
      </c>
      <c r="X714" s="51" t="b">
        <v>0</v>
      </c>
      <c r="Y714" s="51" t="b">
        <v>0</v>
      </c>
      <c r="Z714" s="51" t="b">
        <v>0</v>
      </c>
      <c r="AA714" s="71">
        <v>0.0096875</v>
      </c>
      <c r="AB714" s="69" t="s">
        <v>2673</v>
      </c>
      <c r="AC714" s="69"/>
      <c r="AD714" s="73" t="s">
        <v>2674</v>
      </c>
      <c r="AE714" s="74" t="s">
        <v>629</v>
      </c>
      <c r="AF714" s="74" t="s">
        <v>946</v>
      </c>
    </row>
    <row r="715">
      <c r="A715" s="52" t="s">
        <v>2675</v>
      </c>
      <c r="B715" s="52" t="s">
        <v>16</v>
      </c>
      <c r="C715" s="52" t="s">
        <v>289</v>
      </c>
      <c r="D715" s="65">
        <v>0.5918981481481492</v>
      </c>
      <c r="E715" s="65">
        <v>1.7361111111111112E-4</v>
      </c>
      <c r="F715" s="65">
        <v>0.5920717592592604</v>
      </c>
      <c r="G715" s="65" t="s">
        <v>245</v>
      </c>
      <c r="H715" s="52" t="s">
        <v>85</v>
      </c>
      <c r="I715" s="52" t="s">
        <v>85</v>
      </c>
      <c r="J715" s="52"/>
      <c r="K715" s="52"/>
      <c r="L715" s="52"/>
      <c r="M715" s="52"/>
      <c r="N715" s="52" t="s">
        <v>70</v>
      </c>
      <c r="O715" s="52"/>
      <c r="P715" s="52"/>
      <c r="Q715" s="52"/>
      <c r="R715" s="51" t="b">
        <v>0</v>
      </c>
      <c r="S715" s="51"/>
      <c r="T715" s="52"/>
      <c r="U715" s="51" t="b">
        <v>0</v>
      </c>
      <c r="V715" s="51" t="b">
        <v>0</v>
      </c>
      <c r="W715" s="51" t="b">
        <v>0</v>
      </c>
      <c r="X715" s="51" t="b">
        <v>0</v>
      </c>
      <c r="Y715" s="51" t="b">
        <v>0</v>
      </c>
      <c r="Z715" s="51" t="b">
        <v>0</v>
      </c>
      <c r="AA715" s="68"/>
      <c r="AB715" s="52"/>
      <c r="AC715" s="52"/>
      <c r="AD715" s="52"/>
      <c r="AE715" s="56"/>
      <c r="AF715" s="56" t="s">
        <v>1944</v>
      </c>
    </row>
    <row r="716">
      <c r="A716" s="52" t="s">
        <v>2676</v>
      </c>
      <c r="B716" s="52" t="s">
        <v>16</v>
      </c>
      <c r="C716" s="52" t="s">
        <v>289</v>
      </c>
      <c r="D716" s="65">
        <v>0.5920717592592604</v>
      </c>
      <c r="E716" s="65">
        <v>3.4722222222222224E-4</v>
      </c>
      <c r="F716" s="65">
        <v>0.5924189814814826</v>
      </c>
      <c r="G716" s="65" t="s">
        <v>245</v>
      </c>
      <c r="H716" s="52" t="s">
        <v>81</v>
      </c>
      <c r="I716" s="52" t="s">
        <v>81</v>
      </c>
      <c r="J716" s="52"/>
      <c r="K716" s="52"/>
      <c r="L716" s="52"/>
      <c r="M716" s="52"/>
      <c r="N716" s="52" t="s">
        <v>70</v>
      </c>
      <c r="O716" s="52"/>
      <c r="P716" s="52"/>
      <c r="Q716" s="52"/>
      <c r="R716" s="51" t="b">
        <v>0</v>
      </c>
      <c r="S716" s="51"/>
      <c r="T716" s="52"/>
      <c r="U716" s="51" t="b">
        <v>0</v>
      </c>
      <c r="V716" s="51" t="b">
        <v>0</v>
      </c>
      <c r="W716" s="51" t="b">
        <v>0</v>
      </c>
      <c r="X716" s="51" t="b">
        <v>0</v>
      </c>
      <c r="Y716" s="51" t="b">
        <v>0</v>
      </c>
      <c r="Z716" s="51" t="b">
        <v>0</v>
      </c>
      <c r="AA716" s="68"/>
      <c r="AB716" s="52"/>
      <c r="AC716" s="52"/>
      <c r="AD716" s="52"/>
      <c r="AE716" s="56"/>
      <c r="AF716" s="56" t="s">
        <v>1944</v>
      </c>
    </row>
    <row r="717">
      <c r="A717" s="52" t="s">
        <v>2677</v>
      </c>
      <c r="B717" s="52" t="s">
        <v>16</v>
      </c>
      <c r="C717" s="52" t="s">
        <v>289</v>
      </c>
      <c r="D717" s="65">
        <v>0.5924189814814826</v>
      </c>
      <c r="E717" s="65">
        <v>0.014085648148148147</v>
      </c>
      <c r="F717" s="65">
        <v>0.6065046296296308</v>
      </c>
      <c r="G717" s="65" t="s">
        <v>245</v>
      </c>
      <c r="H717" s="52" t="s">
        <v>107</v>
      </c>
      <c r="I717" s="52" t="s">
        <v>907</v>
      </c>
      <c r="J717" s="52" t="s">
        <v>908</v>
      </c>
      <c r="K717" s="52" t="s">
        <v>909</v>
      </c>
      <c r="L717" s="52"/>
      <c r="M717" s="52"/>
      <c r="N717" s="52" t="s">
        <v>910</v>
      </c>
      <c r="O717" s="52"/>
      <c r="P717" s="69" t="s">
        <v>23</v>
      </c>
      <c r="Q717" s="73" t="s">
        <v>1860</v>
      </c>
      <c r="R717" s="51" t="b">
        <v>1</v>
      </c>
      <c r="S717" s="52" t="s">
        <v>907</v>
      </c>
      <c r="T717" s="52"/>
      <c r="U717" s="51" t="b">
        <v>0</v>
      </c>
      <c r="V717" s="51" t="b">
        <v>1</v>
      </c>
      <c r="W717" s="51" t="b">
        <v>1</v>
      </c>
      <c r="X717" s="51" t="b">
        <v>0</v>
      </c>
      <c r="Y717" s="51" t="b">
        <v>0</v>
      </c>
      <c r="Z717" s="51" t="b">
        <v>0</v>
      </c>
      <c r="AA717" s="108">
        <v>0.014085648148148147</v>
      </c>
      <c r="AB717" s="134" t="s">
        <v>2678</v>
      </c>
      <c r="AC717" s="134"/>
      <c r="AD717" s="76" t="s">
        <v>2679</v>
      </c>
      <c r="AE717" s="74" t="s">
        <v>629</v>
      </c>
      <c r="AF717" s="74" t="s">
        <v>1125</v>
      </c>
    </row>
    <row r="718">
      <c r="A718" s="52" t="s">
        <v>2680</v>
      </c>
      <c r="B718" s="52" t="s">
        <v>16</v>
      </c>
      <c r="C718" s="52" t="s">
        <v>289</v>
      </c>
      <c r="D718" s="65">
        <v>0.6065046296296308</v>
      </c>
      <c r="E718" s="65">
        <v>1.7361111111111112E-4</v>
      </c>
      <c r="F718" s="65">
        <v>0.606678240740742</v>
      </c>
      <c r="G718" s="65" t="s">
        <v>245</v>
      </c>
      <c r="H718" s="52" t="s">
        <v>85</v>
      </c>
      <c r="I718" s="52" t="s">
        <v>85</v>
      </c>
      <c r="J718" s="52"/>
      <c r="K718" s="52"/>
      <c r="L718" s="52"/>
      <c r="M718" s="52"/>
      <c r="N718" s="52" t="s">
        <v>70</v>
      </c>
      <c r="O718" s="52"/>
      <c r="P718" s="52"/>
      <c r="Q718" s="52"/>
      <c r="R718" s="51" t="b">
        <v>0</v>
      </c>
      <c r="S718" s="51"/>
      <c r="T718" s="52"/>
      <c r="U718" s="51" t="b">
        <v>0</v>
      </c>
      <c r="V718" s="51" t="b">
        <v>0</v>
      </c>
      <c r="W718" s="51" t="b">
        <v>0</v>
      </c>
      <c r="X718" s="51" t="b">
        <v>0</v>
      </c>
      <c r="Y718" s="51" t="b">
        <v>0</v>
      </c>
      <c r="Z718" s="51" t="b">
        <v>0</v>
      </c>
      <c r="AA718" s="68"/>
      <c r="AB718" s="52"/>
      <c r="AC718" s="52"/>
      <c r="AD718" s="52"/>
      <c r="AE718" s="56"/>
      <c r="AF718" s="56" t="s">
        <v>1944</v>
      </c>
    </row>
    <row r="719">
      <c r="A719" s="52" t="s">
        <v>2681</v>
      </c>
      <c r="B719" s="52" t="s">
        <v>16</v>
      </c>
      <c r="C719" s="52" t="s">
        <v>289</v>
      </c>
      <c r="D719" s="65">
        <v>0.606678240740742</v>
      </c>
      <c r="E719" s="65">
        <v>3.4722222222222224E-4</v>
      </c>
      <c r="F719" s="65">
        <v>0.6070254629629642</v>
      </c>
      <c r="G719" s="65" t="s">
        <v>245</v>
      </c>
      <c r="H719" s="52" t="s">
        <v>89</v>
      </c>
      <c r="I719" s="52" t="s">
        <v>525</v>
      </c>
      <c r="J719" s="52"/>
      <c r="K719" s="52"/>
      <c r="L719" s="52"/>
      <c r="M719" s="52"/>
      <c r="N719" s="52" t="s">
        <v>70</v>
      </c>
      <c r="O719" s="52"/>
      <c r="P719" s="52"/>
      <c r="Q719" s="52"/>
      <c r="R719" s="51" t="b">
        <v>0</v>
      </c>
      <c r="S719" s="51"/>
      <c r="T719" s="52"/>
      <c r="U719" s="51" t="b">
        <v>0</v>
      </c>
      <c r="V719" s="51" t="b">
        <v>0</v>
      </c>
      <c r="W719" s="51" t="b">
        <v>0</v>
      </c>
      <c r="X719" s="51" t="b">
        <v>0</v>
      </c>
      <c r="Y719" s="51" t="b">
        <v>0</v>
      </c>
      <c r="Z719" s="51" t="b">
        <v>0</v>
      </c>
      <c r="AA719" s="68"/>
      <c r="AB719" s="52"/>
      <c r="AC719" s="52"/>
      <c r="AD719" s="52"/>
      <c r="AE719" s="56"/>
      <c r="AF719" s="56" t="s">
        <v>1944</v>
      </c>
    </row>
    <row r="720">
      <c r="A720" s="52" t="s">
        <v>2682</v>
      </c>
      <c r="B720" s="52" t="s">
        <v>16</v>
      </c>
      <c r="C720" s="52" t="s">
        <v>289</v>
      </c>
      <c r="D720" s="65">
        <v>0.6070254629629642</v>
      </c>
      <c r="E720" s="65">
        <v>3.4722222222222224E-4</v>
      </c>
      <c r="F720" s="65">
        <v>0.6073726851851865</v>
      </c>
      <c r="G720" s="65" t="s">
        <v>245</v>
      </c>
      <c r="H720" s="52" t="s">
        <v>81</v>
      </c>
      <c r="I720" s="52" t="s">
        <v>81</v>
      </c>
      <c r="J720" s="52"/>
      <c r="K720" s="52"/>
      <c r="L720" s="52"/>
      <c r="M720" s="52"/>
      <c r="N720" s="52" t="s">
        <v>70</v>
      </c>
      <c r="O720" s="52"/>
      <c r="P720" s="52"/>
      <c r="Q720" s="52"/>
      <c r="R720" s="51" t="b">
        <v>0</v>
      </c>
      <c r="S720" s="52"/>
      <c r="T720" s="52"/>
      <c r="U720" s="51" t="b">
        <v>0</v>
      </c>
      <c r="V720" s="51" t="b">
        <v>0</v>
      </c>
      <c r="W720" s="51" t="b">
        <v>0</v>
      </c>
      <c r="X720" s="51" t="b">
        <v>0</v>
      </c>
      <c r="Y720" s="51" t="b">
        <v>0</v>
      </c>
      <c r="Z720" s="51" t="b">
        <v>0</v>
      </c>
      <c r="AA720" s="68"/>
      <c r="AB720" s="52"/>
      <c r="AC720" s="52"/>
      <c r="AD720" s="52"/>
      <c r="AE720" s="56"/>
      <c r="AF720" s="56" t="s">
        <v>1944</v>
      </c>
    </row>
    <row r="721">
      <c r="A721" s="52" t="s">
        <v>2683</v>
      </c>
      <c r="B721" s="52" t="s">
        <v>16</v>
      </c>
      <c r="C721" s="52" t="s">
        <v>289</v>
      </c>
      <c r="D721" s="65">
        <v>0.6073726851851865</v>
      </c>
      <c r="E721" s="65">
        <v>0.00798611111111111</v>
      </c>
      <c r="F721" s="65">
        <v>0.6153587962962976</v>
      </c>
      <c r="G721" s="65" t="s">
        <v>245</v>
      </c>
      <c r="H721" s="52" t="s">
        <v>165</v>
      </c>
      <c r="I721" s="52" t="s">
        <v>915</v>
      </c>
      <c r="J721" s="52" t="s">
        <v>916</v>
      </c>
      <c r="K721" s="52"/>
      <c r="L721" s="52"/>
      <c r="M721" s="52"/>
      <c r="N721" s="52" t="s">
        <v>70</v>
      </c>
      <c r="O721" s="52"/>
      <c r="P721" s="69" t="s">
        <v>2149</v>
      </c>
      <c r="Q721" s="73" t="s">
        <v>2684</v>
      </c>
      <c r="R721" s="51" t="b">
        <v>1</v>
      </c>
      <c r="S721" s="52" t="s">
        <v>915</v>
      </c>
      <c r="T721" s="52"/>
      <c r="U721" s="51" t="b">
        <v>0</v>
      </c>
      <c r="V721" s="51" t="b">
        <v>0</v>
      </c>
      <c r="W721" s="51" t="b">
        <v>0</v>
      </c>
      <c r="X721" s="51" t="b">
        <v>0</v>
      </c>
      <c r="Y721" s="51" t="b">
        <v>0</v>
      </c>
      <c r="Z721" s="51" t="b">
        <v>0</v>
      </c>
      <c r="AA721" s="108"/>
      <c r="AB721" s="134" t="s">
        <v>2685</v>
      </c>
      <c r="AC721" s="134"/>
      <c r="AD721" s="52"/>
      <c r="AE721" s="56" t="s">
        <v>743</v>
      </c>
      <c r="AF721" s="56" t="s">
        <v>1185</v>
      </c>
    </row>
    <row r="722">
      <c r="A722" s="52" t="s">
        <v>2686</v>
      </c>
      <c r="B722" s="52" t="s">
        <v>16</v>
      </c>
      <c r="C722" s="52" t="s">
        <v>289</v>
      </c>
      <c r="D722" s="65">
        <v>0.6153587962962976</v>
      </c>
      <c r="E722" s="65">
        <v>1.7361111111111112E-4</v>
      </c>
      <c r="F722" s="65">
        <v>0.6155324074074088</v>
      </c>
      <c r="G722" s="65" t="s">
        <v>245</v>
      </c>
      <c r="H722" s="52" t="s">
        <v>85</v>
      </c>
      <c r="I722" s="52" t="s">
        <v>85</v>
      </c>
      <c r="J722" s="52"/>
      <c r="K722" s="52"/>
      <c r="L722" s="52"/>
      <c r="M722" s="52"/>
      <c r="N722" s="52" t="s">
        <v>70</v>
      </c>
      <c r="O722" s="52"/>
      <c r="P722" s="52"/>
      <c r="Q722" s="52"/>
      <c r="R722" s="51" t="b">
        <v>0</v>
      </c>
      <c r="S722" s="51"/>
      <c r="T722" s="52"/>
      <c r="U722" s="51" t="b">
        <v>0</v>
      </c>
      <c r="V722" s="51" t="b">
        <v>0</v>
      </c>
      <c r="W722" s="51" t="b">
        <v>0</v>
      </c>
      <c r="X722" s="51" t="b">
        <v>0</v>
      </c>
      <c r="Y722" s="51" t="b">
        <v>0</v>
      </c>
      <c r="Z722" s="51" t="b">
        <v>0</v>
      </c>
      <c r="AA722" s="68"/>
      <c r="AB722" s="52"/>
      <c r="AC722" s="52"/>
      <c r="AD722" s="52"/>
      <c r="AE722" s="56"/>
      <c r="AF722" s="56" t="s">
        <v>1944</v>
      </c>
    </row>
    <row r="723">
      <c r="A723" s="52" t="s">
        <v>2687</v>
      </c>
      <c r="B723" s="52" t="s">
        <v>16</v>
      </c>
      <c r="C723" s="52" t="s">
        <v>289</v>
      </c>
      <c r="D723" s="65">
        <v>0.6155324074074088</v>
      </c>
      <c r="E723" s="65">
        <v>3.4722222222222224E-4</v>
      </c>
      <c r="F723" s="65">
        <v>0.615879629629631</v>
      </c>
      <c r="G723" s="65" t="s">
        <v>245</v>
      </c>
      <c r="H723" s="52" t="s">
        <v>89</v>
      </c>
      <c r="I723" s="52" t="s">
        <v>89</v>
      </c>
      <c r="J723" s="52"/>
      <c r="K723" s="52"/>
      <c r="L723" s="52"/>
      <c r="M723" s="52"/>
      <c r="N723" s="52" t="s">
        <v>70</v>
      </c>
      <c r="O723" s="52"/>
      <c r="P723" s="52"/>
      <c r="Q723" s="52"/>
      <c r="R723" s="51" t="b">
        <v>0</v>
      </c>
      <c r="S723" s="51"/>
      <c r="T723" s="52"/>
      <c r="U723" s="51" t="b">
        <v>0</v>
      </c>
      <c r="V723" s="51" t="b">
        <v>0</v>
      </c>
      <c r="W723" s="51" t="b">
        <v>0</v>
      </c>
      <c r="X723" s="51" t="b">
        <v>0</v>
      </c>
      <c r="Y723" s="51" t="b">
        <v>0</v>
      </c>
      <c r="Z723" s="51" t="b">
        <v>0</v>
      </c>
      <c r="AA723" s="68"/>
      <c r="AB723" s="52"/>
      <c r="AC723" s="52"/>
      <c r="AD723" s="52"/>
      <c r="AE723" s="56"/>
      <c r="AF723" s="56" t="s">
        <v>1944</v>
      </c>
    </row>
    <row r="724">
      <c r="A724" s="52" t="s">
        <v>2688</v>
      </c>
      <c r="B724" s="52" t="s">
        <v>16</v>
      </c>
      <c r="C724" s="52" t="s">
        <v>289</v>
      </c>
      <c r="D724" s="65">
        <v>0.615879629629631</v>
      </c>
      <c r="E724" s="65">
        <v>3.4722222222222224E-4</v>
      </c>
      <c r="F724" s="65">
        <v>0.6162268518518533</v>
      </c>
      <c r="G724" s="65" t="s">
        <v>245</v>
      </c>
      <c r="H724" s="52" t="s">
        <v>81</v>
      </c>
      <c r="I724" s="52" t="s">
        <v>81</v>
      </c>
      <c r="J724" s="52"/>
      <c r="K724" s="52"/>
      <c r="L724" s="52"/>
      <c r="M724" s="52"/>
      <c r="N724" s="52" t="s">
        <v>70</v>
      </c>
      <c r="O724" s="52"/>
      <c r="P724" s="52"/>
      <c r="Q724" s="52"/>
      <c r="R724" s="51" t="b">
        <v>0</v>
      </c>
      <c r="S724" s="52"/>
      <c r="T724" s="52"/>
      <c r="U724" s="51" t="b">
        <v>0</v>
      </c>
      <c r="V724" s="51" t="b">
        <v>0</v>
      </c>
      <c r="W724" s="51" t="b">
        <v>0</v>
      </c>
      <c r="X724" s="51" t="b">
        <v>0</v>
      </c>
      <c r="Y724" s="51" t="b">
        <v>0</v>
      </c>
      <c r="Z724" s="51" t="b">
        <v>0</v>
      </c>
      <c r="AA724" s="68"/>
      <c r="AB724" s="52"/>
      <c r="AC724" s="52"/>
      <c r="AD724" s="52"/>
      <c r="AE724" s="56"/>
      <c r="AF724" s="56" t="s">
        <v>1944</v>
      </c>
    </row>
    <row r="725">
      <c r="A725" s="52" t="s">
        <v>2689</v>
      </c>
      <c r="B725" s="52" t="s">
        <v>16</v>
      </c>
      <c r="C725" s="52" t="s">
        <v>289</v>
      </c>
      <c r="D725" s="65">
        <v>0.6162268518518533</v>
      </c>
      <c r="E725" s="65">
        <v>0.006944444444444444</v>
      </c>
      <c r="F725" s="65">
        <v>0.6231712962962977</v>
      </c>
      <c r="G725" s="65" t="s">
        <v>245</v>
      </c>
      <c r="H725" s="52" t="s">
        <v>165</v>
      </c>
      <c r="I725" s="52" t="s">
        <v>921</v>
      </c>
      <c r="J725" s="52" t="s">
        <v>922</v>
      </c>
      <c r="K725" s="52"/>
      <c r="L725" s="52"/>
      <c r="M725" s="52"/>
      <c r="N725" s="52" t="s">
        <v>70</v>
      </c>
      <c r="O725" s="52"/>
      <c r="P725" s="52"/>
      <c r="Q725" s="52"/>
      <c r="R725" s="51" t="b">
        <v>0</v>
      </c>
      <c r="S725" s="51"/>
      <c r="T725" s="52"/>
      <c r="U725" s="51" t="b">
        <v>0</v>
      </c>
      <c r="V725" s="51" t="b">
        <v>0</v>
      </c>
      <c r="W725" s="51" t="b">
        <v>0</v>
      </c>
      <c r="X725" s="51" t="b">
        <v>0</v>
      </c>
      <c r="Y725" s="51" t="b">
        <v>0</v>
      </c>
      <c r="Z725" s="51" t="b">
        <v>0</v>
      </c>
      <c r="AA725" s="68"/>
      <c r="AB725" s="52"/>
      <c r="AC725" s="52"/>
      <c r="AD725" s="52"/>
      <c r="AE725" s="56" t="s">
        <v>652</v>
      </c>
      <c r="AF725" s="56" t="s">
        <v>873</v>
      </c>
    </row>
    <row r="726">
      <c r="A726" s="52" t="s">
        <v>2690</v>
      </c>
      <c r="B726" s="52" t="s">
        <v>16</v>
      </c>
      <c r="C726" s="52" t="s">
        <v>289</v>
      </c>
      <c r="D726" s="65">
        <v>0.6231712962962977</v>
      </c>
      <c r="E726" s="65">
        <v>1.7361111111111112E-4</v>
      </c>
      <c r="F726" s="65">
        <v>0.6233449074074089</v>
      </c>
      <c r="G726" s="65" t="s">
        <v>245</v>
      </c>
      <c r="H726" s="52" t="s">
        <v>85</v>
      </c>
      <c r="I726" s="52" t="s">
        <v>85</v>
      </c>
      <c r="J726" s="52"/>
      <c r="K726" s="52"/>
      <c r="L726" s="52"/>
      <c r="M726" s="52"/>
      <c r="N726" s="52" t="s">
        <v>70</v>
      </c>
      <c r="O726" s="52"/>
      <c r="P726" s="52"/>
      <c r="Q726" s="52"/>
      <c r="R726" s="51" t="b">
        <v>0</v>
      </c>
      <c r="S726" s="51"/>
      <c r="T726" s="52"/>
      <c r="U726" s="51" t="b">
        <v>0</v>
      </c>
      <c r="V726" s="51" t="b">
        <v>0</v>
      </c>
      <c r="W726" s="51" t="b">
        <v>0</v>
      </c>
      <c r="X726" s="51" t="b">
        <v>0</v>
      </c>
      <c r="Y726" s="51" t="b">
        <v>0</v>
      </c>
      <c r="Z726" s="51" t="b">
        <v>0</v>
      </c>
      <c r="AA726" s="68"/>
      <c r="AB726" s="52"/>
      <c r="AC726" s="52"/>
      <c r="AD726" s="52"/>
      <c r="AE726" s="56"/>
      <c r="AF726" s="56" t="s">
        <v>1944</v>
      </c>
    </row>
    <row r="727">
      <c r="A727" s="52" t="s">
        <v>2691</v>
      </c>
      <c r="B727" s="52" t="s">
        <v>607</v>
      </c>
      <c r="C727" s="52" t="s">
        <v>607</v>
      </c>
      <c r="D727" s="65" t="s">
        <v>607</v>
      </c>
      <c r="E727" s="65" t="s">
        <v>607</v>
      </c>
      <c r="F727" s="65" t="s">
        <v>607</v>
      </c>
      <c r="G727" s="65" t="s">
        <v>607</v>
      </c>
      <c r="H727" s="52" t="s">
        <v>607</v>
      </c>
      <c r="I727" s="52" t="s">
        <v>607</v>
      </c>
      <c r="J727" s="52" t="s">
        <v>607</v>
      </c>
      <c r="K727" s="52" t="s">
        <v>607</v>
      </c>
      <c r="L727" s="52" t="s">
        <v>607</v>
      </c>
      <c r="M727" s="52" t="s">
        <v>607</v>
      </c>
      <c r="N727" s="52" t="s">
        <v>607</v>
      </c>
      <c r="O727" s="52"/>
      <c r="P727" s="52"/>
      <c r="Q727" s="52"/>
      <c r="R727" s="51" t="b">
        <v>0</v>
      </c>
      <c r="S727" s="51"/>
      <c r="T727" s="52"/>
      <c r="U727" s="51" t="b">
        <v>0</v>
      </c>
      <c r="V727" s="51" t="b">
        <v>0</v>
      </c>
      <c r="W727" s="51" t="b">
        <v>0</v>
      </c>
      <c r="X727" s="51" t="b">
        <v>0</v>
      </c>
      <c r="Y727" s="51" t="b">
        <v>0</v>
      </c>
      <c r="Z727" s="51" t="b">
        <v>0</v>
      </c>
      <c r="AA727" s="68"/>
      <c r="AB727" s="52"/>
      <c r="AC727" s="52"/>
      <c r="AD727" s="52"/>
      <c r="AE727" s="56" t="s">
        <v>607</v>
      </c>
      <c r="AF727" s="56" t="s">
        <v>607</v>
      </c>
    </row>
    <row r="728">
      <c r="A728" s="52" t="s">
        <v>2692</v>
      </c>
      <c r="B728" s="52" t="s">
        <v>16</v>
      </c>
      <c r="C728" s="52" t="s">
        <v>289</v>
      </c>
      <c r="D728" s="65"/>
      <c r="E728" s="65"/>
      <c r="F728" s="65"/>
      <c r="G728" s="65"/>
      <c r="H728" s="52"/>
      <c r="I728" s="52"/>
      <c r="J728" s="52"/>
      <c r="K728" s="52"/>
      <c r="L728" s="52"/>
      <c r="M728" s="52"/>
      <c r="N728" s="52" t="s">
        <v>70</v>
      </c>
      <c r="O728" s="52"/>
      <c r="P728" s="69"/>
      <c r="Q728" s="52"/>
      <c r="R728" s="51" t="b">
        <v>0</v>
      </c>
      <c r="S728" s="51"/>
      <c r="T728" s="52"/>
      <c r="U728" s="51" t="b">
        <v>0</v>
      </c>
      <c r="V728" s="51" t="b">
        <v>0</v>
      </c>
      <c r="W728" s="51" t="b">
        <v>0</v>
      </c>
      <c r="X728" s="51" t="b">
        <v>0</v>
      </c>
      <c r="Y728" s="51" t="b">
        <v>0</v>
      </c>
      <c r="Z728" s="51" t="b">
        <v>0</v>
      </c>
      <c r="AA728" s="68"/>
      <c r="AB728" s="52"/>
      <c r="AC728" s="52"/>
      <c r="AD728" s="52"/>
      <c r="AE728" s="56"/>
      <c r="AF728" s="56"/>
    </row>
    <row r="729">
      <c r="A729" s="52" t="s">
        <v>2693</v>
      </c>
      <c r="B729" s="52" t="s">
        <v>16</v>
      </c>
      <c r="C729" s="52" t="s">
        <v>289</v>
      </c>
      <c r="D729" s="65">
        <v>0.6649189814814834</v>
      </c>
      <c r="E729" s="65">
        <v>3.4722222222222224E-4</v>
      </c>
      <c r="F729" s="65">
        <v>0.6652662037037057</v>
      </c>
      <c r="G729" s="65" t="s">
        <v>140</v>
      </c>
      <c r="H729" s="52" t="s">
        <v>89</v>
      </c>
      <c r="I729" s="52" t="s">
        <v>89</v>
      </c>
      <c r="J729" s="52"/>
      <c r="K729" s="52"/>
      <c r="L729" s="52"/>
      <c r="M729" s="52"/>
      <c r="N729" s="52" t="s">
        <v>70</v>
      </c>
      <c r="O729" s="52"/>
      <c r="P729" s="52"/>
      <c r="Q729" s="52"/>
      <c r="R729" s="51" t="b">
        <v>0</v>
      </c>
      <c r="S729" s="51"/>
      <c r="T729" s="52"/>
      <c r="U729" s="51" t="b">
        <v>0</v>
      </c>
      <c r="V729" s="51" t="b">
        <v>0</v>
      </c>
      <c r="W729" s="51" t="b">
        <v>0</v>
      </c>
      <c r="X729" s="51" t="b">
        <v>0</v>
      </c>
      <c r="Y729" s="51" t="b">
        <v>0</v>
      </c>
      <c r="Z729" s="51" t="b">
        <v>0</v>
      </c>
      <c r="AA729" s="68"/>
      <c r="AB729" s="52"/>
      <c r="AC729" s="52"/>
      <c r="AD729" s="52"/>
      <c r="AE729" s="56"/>
      <c r="AF729" s="56" t="s">
        <v>1944</v>
      </c>
    </row>
    <row r="730">
      <c r="A730" s="52" t="s">
        <v>2694</v>
      </c>
      <c r="B730" s="52" t="s">
        <v>16</v>
      </c>
      <c r="C730" s="52" t="s">
        <v>289</v>
      </c>
      <c r="D730" s="65">
        <v>0.6652662037037057</v>
      </c>
      <c r="E730" s="65">
        <v>3.4722222222222224E-4</v>
      </c>
      <c r="F730" s="65">
        <v>0.665613425925928</v>
      </c>
      <c r="G730" s="65" t="s">
        <v>140</v>
      </c>
      <c r="H730" s="52" t="s">
        <v>81</v>
      </c>
      <c r="I730" s="52" t="s">
        <v>81</v>
      </c>
      <c r="J730" s="52"/>
      <c r="K730" s="52"/>
      <c r="L730" s="52"/>
      <c r="M730" s="52"/>
      <c r="N730" s="52" t="s">
        <v>70</v>
      </c>
      <c r="O730" s="52"/>
      <c r="P730" s="52"/>
      <c r="Q730" s="52"/>
      <c r="R730" s="51" t="b">
        <v>0</v>
      </c>
      <c r="S730" s="51"/>
      <c r="T730" s="52"/>
      <c r="U730" s="51" t="b">
        <v>0</v>
      </c>
      <c r="V730" s="51" t="b">
        <v>0</v>
      </c>
      <c r="W730" s="51" t="b">
        <v>0</v>
      </c>
      <c r="X730" s="51" t="b">
        <v>0</v>
      </c>
      <c r="Y730" s="51" t="b">
        <v>0</v>
      </c>
      <c r="Z730" s="51" t="b">
        <v>0</v>
      </c>
      <c r="AA730" s="68"/>
      <c r="AB730" s="52"/>
      <c r="AC730" s="52"/>
      <c r="AD730" s="52"/>
      <c r="AE730" s="56"/>
      <c r="AF730" s="56" t="s">
        <v>1944</v>
      </c>
    </row>
    <row r="731">
      <c r="A731" s="52" t="s">
        <v>2695</v>
      </c>
      <c r="B731" s="52" t="s">
        <v>16</v>
      </c>
      <c r="C731" s="52" t="s">
        <v>289</v>
      </c>
      <c r="D731" s="65">
        <v>0.665613425925928</v>
      </c>
      <c r="E731" s="65">
        <v>0.006944444444444444</v>
      </c>
      <c r="F731" s="65">
        <v>0.6725578703703724</v>
      </c>
      <c r="G731" s="65" t="s">
        <v>140</v>
      </c>
      <c r="H731" s="52" t="s">
        <v>165</v>
      </c>
      <c r="I731" s="52" t="s">
        <v>959</v>
      </c>
      <c r="J731" s="52" t="s">
        <v>960</v>
      </c>
      <c r="K731" s="52"/>
      <c r="L731" s="52"/>
      <c r="M731" s="52"/>
      <c r="N731" s="52" t="s">
        <v>70</v>
      </c>
      <c r="O731" s="52"/>
      <c r="P731" s="52"/>
      <c r="Q731" s="92" t="s">
        <v>1030</v>
      </c>
      <c r="R731" s="51" t="b">
        <v>0</v>
      </c>
      <c r="S731" s="51"/>
      <c r="T731" s="52"/>
      <c r="U731" s="51" t="b">
        <v>0</v>
      </c>
      <c r="V731" s="51" t="b">
        <v>0</v>
      </c>
      <c r="W731" s="51" t="b">
        <v>0</v>
      </c>
      <c r="X731" s="51" t="b">
        <v>0</v>
      </c>
      <c r="Y731" s="51" t="b">
        <v>0</v>
      </c>
      <c r="Z731" s="51" t="b">
        <v>0</v>
      </c>
      <c r="AA731" s="68"/>
      <c r="AB731" s="52"/>
      <c r="AC731" s="52"/>
      <c r="AD731" s="52"/>
      <c r="AE731" s="56" t="s">
        <v>652</v>
      </c>
      <c r="AF731" s="56" t="s">
        <v>972</v>
      </c>
    </row>
    <row r="732">
      <c r="A732" s="52" t="s">
        <v>2696</v>
      </c>
      <c r="B732" s="52" t="s">
        <v>16</v>
      </c>
      <c r="C732" s="52" t="s">
        <v>289</v>
      </c>
      <c r="D732" s="65">
        <v>0.6725578703703724</v>
      </c>
      <c r="E732" s="65">
        <v>1.7361111111111112E-4</v>
      </c>
      <c r="F732" s="65">
        <v>0.6727314814814835</v>
      </c>
      <c r="G732" s="65" t="s">
        <v>140</v>
      </c>
      <c r="H732" s="52" t="s">
        <v>85</v>
      </c>
      <c r="I732" s="52" t="s">
        <v>85</v>
      </c>
      <c r="J732" s="52"/>
      <c r="K732" s="52"/>
      <c r="L732" s="52"/>
      <c r="M732" s="52"/>
      <c r="N732" s="52" t="s">
        <v>70</v>
      </c>
      <c r="O732" s="52"/>
      <c r="P732" s="52"/>
      <c r="Q732" s="52"/>
      <c r="R732" s="51" t="b">
        <v>0</v>
      </c>
      <c r="S732" s="51"/>
      <c r="T732" s="52"/>
      <c r="U732" s="51" t="b">
        <v>0</v>
      </c>
      <c r="V732" s="51" t="b">
        <v>0</v>
      </c>
      <c r="W732" s="51" t="b">
        <v>0</v>
      </c>
      <c r="X732" s="51" t="b">
        <v>0</v>
      </c>
      <c r="Y732" s="51" t="b">
        <v>0</v>
      </c>
      <c r="Z732" s="51" t="b">
        <v>0</v>
      </c>
      <c r="AA732" s="68"/>
      <c r="AB732" s="52"/>
      <c r="AC732" s="52"/>
      <c r="AD732" s="52"/>
      <c r="AE732" s="56"/>
      <c r="AF732" s="56" t="s">
        <v>1944</v>
      </c>
    </row>
    <row r="733">
      <c r="A733" s="52" t="s">
        <v>2697</v>
      </c>
      <c r="B733" s="52" t="s">
        <v>607</v>
      </c>
      <c r="C733" s="52" t="s">
        <v>607</v>
      </c>
      <c r="D733" s="65" t="s">
        <v>607</v>
      </c>
      <c r="E733" s="65" t="s">
        <v>607</v>
      </c>
      <c r="F733" s="65" t="s">
        <v>607</v>
      </c>
      <c r="G733" s="65" t="s">
        <v>607</v>
      </c>
      <c r="H733" s="52" t="s">
        <v>607</v>
      </c>
      <c r="I733" s="52" t="s">
        <v>607</v>
      </c>
      <c r="J733" s="52" t="s">
        <v>607</v>
      </c>
      <c r="K733" s="52" t="s">
        <v>607</v>
      </c>
      <c r="L733" s="52" t="s">
        <v>607</v>
      </c>
      <c r="M733" s="52" t="s">
        <v>607</v>
      </c>
      <c r="N733" s="52" t="s">
        <v>607</v>
      </c>
      <c r="O733" s="52"/>
      <c r="P733" s="52"/>
      <c r="Q733" s="52"/>
      <c r="R733" s="51" t="b">
        <v>0</v>
      </c>
      <c r="S733" s="51"/>
      <c r="T733" s="52"/>
      <c r="U733" s="51" t="b">
        <v>0</v>
      </c>
      <c r="V733" s="51" t="b">
        <v>0</v>
      </c>
      <c r="W733" s="51" t="b">
        <v>0</v>
      </c>
      <c r="X733" s="51" t="b">
        <v>0</v>
      </c>
      <c r="Y733" s="51" t="b">
        <v>0</v>
      </c>
      <c r="Z733" s="51" t="b">
        <v>0</v>
      </c>
      <c r="AA733" s="68"/>
      <c r="AB733" s="52"/>
      <c r="AC733" s="52"/>
      <c r="AD733" s="52"/>
      <c r="AE733" s="56" t="s">
        <v>607</v>
      </c>
      <c r="AF733" s="56" t="s">
        <v>607</v>
      </c>
    </row>
    <row r="734">
      <c r="A734" s="52" t="s">
        <v>2698</v>
      </c>
      <c r="B734" s="52" t="s">
        <v>16</v>
      </c>
      <c r="C734" s="52" t="s">
        <v>289</v>
      </c>
      <c r="D734" s="65">
        <v>0.6727314814814835</v>
      </c>
      <c r="E734" s="65">
        <v>3.4722222222222224E-4</v>
      </c>
      <c r="F734" s="65">
        <v>0.6730787037037058</v>
      </c>
      <c r="G734" s="65" t="s">
        <v>140</v>
      </c>
      <c r="H734" s="52" t="s">
        <v>81</v>
      </c>
      <c r="I734" s="52" t="s">
        <v>81</v>
      </c>
      <c r="J734" s="52"/>
      <c r="K734" s="52"/>
      <c r="L734" s="52"/>
      <c r="M734" s="52"/>
      <c r="N734" s="52" t="s">
        <v>70</v>
      </c>
      <c r="O734" s="52"/>
      <c r="P734" s="69"/>
      <c r="Q734" s="52"/>
      <c r="R734" s="51" t="b">
        <v>0</v>
      </c>
      <c r="S734" s="51"/>
      <c r="T734" s="52"/>
      <c r="U734" s="51" t="b">
        <v>0</v>
      </c>
      <c r="V734" s="51" t="b">
        <v>0</v>
      </c>
      <c r="W734" s="51" t="b">
        <v>0</v>
      </c>
      <c r="X734" s="51" t="b">
        <v>0</v>
      </c>
      <c r="Y734" s="51" t="b">
        <v>0</v>
      </c>
      <c r="Z734" s="51" t="b">
        <v>0</v>
      </c>
      <c r="AA734" s="68"/>
      <c r="AB734" s="52"/>
      <c r="AC734" s="52"/>
      <c r="AD734" s="52"/>
      <c r="AE734" s="56"/>
      <c r="AF734" s="56" t="s">
        <v>1944</v>
      </c>
    </row>
    <row r="735">
      <c r="A735" s="52" t="s">
        <v>2699</v>
      </c>
      <c r="B735" s="52" t="s">
        <v>16</v>
      </c>
      <c r="C735" s="52" t="s">
        <v>289</v>
      </c>
      <c r="D735" s="65">
        <v>0.6730787037037058</v>
      </c>
      <c r="E735" s="65">
        <v>0.008761574074074074</v>
      </c>
      <c r="F735" s="65">
        <v>0.6818402777777799</v>
      </c>
      <c r="G735" s="65" t="s">
        <v>140</v>
      </c>
      <c r="H735" s="52" t="s">
        <v>107</v>
      </c>
      <c r="I735" s="52" t="s">
        <v>963</v>
      </c>
      <c r="J735" s="52" t="s">
        <v>143</v>
      </c>
      <c r="K735" s="52" t="s">
        <v>964</v>
      </c>
      <c r="L735" s="52"/>
      <c r="M735" s="52"/>
      <c r="N735" s="52" t="s">
        <v>594</v>
      </c>
      <c r="O735" s="52"/>
      <c r="P735" s="69" t="s">
        <v>23</v>
      </c>
      <c r="Q735" s="70" t="s">
        <v>2700</v>
      </c>
      <c r="R735" s="51" t="b">
        <v>1</v>
      </c>
      <c r="S735" s="52" t="s">
        <v>963</v>
      </c>
      <c r="T735" s="52"/>
      <c r="U735" s="51" t="b">
        <v>0</v>
      </c>
      <c r="V735" s="51" t="b">
        <v>1</v>
      </c>
      <c r="W735" s="51" t="b">
        <v>1</v>
      </c>
      <c r="X735" s="51" t="b">
        <v>0</v>
      </c>
      <c r="Y735" s="51" t="b">
        <v>0</v>
      </c>
      <c r="Z735" s="51" t="b">
        <v>0</v>
      </c>
      <c r="AA735" s="108">
        <v>0.008761574074074074</v>
      </c>
      <c r="AB735" s="134" t="s">
        <v>2701</v>
      </c>
      <c r="AC735" s="134"/>
      <c r="AD735" s="76" t="s">
        <v>2702</v>
      </c>
      <c r="AE735" s="74" t="s">
        <v>629</v>
      </c>
      <c r="AF735" s="74" t="s">
        <v>972</v>
      </c>
    </row>
    <row r="736">
      <c r="A736" s="52" t="s">
        <v>2703</v>
      </c>
      <c r="B736" s="52" t="s">
        <v>16</v>
      </c>
      <c r="C736" s="52" t="s">
        <v>289</v>
      </c>
      <c r="D736" s="65">
        <v>0.6818402777777799</v>
      </c>
      <c r="E736" s="65">
        <v>1.7361111111111112E-4</v>
      </c>
      <c r="F736" s="65">
        <v>0.682013888888891</v>
      </c>
      <c r="G736" s="65" t="s">
        <v>140</v>
      </c>
      <c r="H736" s="52" t="s">
        <v>85</v>
      </c>
      <c r="I736" s="52" t="s">
        <v>85</v>
      </c>
      <c r="J736" s="52"/>
      <c r="K736" s="52"/>
      <c r="L736" s="52"/>
      <c r="M736" s="52"/>
      <c r="N736" s="52" t="s">
        <v>70</v>
      </c>
      <c r="O736" s="52"/>
      <c r="P736" s="52"/>
      <c r="Q736" s="52"/>
      <c r="R736" s="51" t="b">
        <v>0</v>
      </c>
      <c r="S736" s="51"/>
      <c r="T736" s="52"/>
      <c r="U736" s="51" t="b">
        <v>0</v>
      </c>
      <c r="V736" s="51" t="b">
        <v>0</v>
      </c>
      <c r="W736" s="51" t="b">
        <v>0</v>
      </c>
      <c r="X736" s="51" t="b">
        <v>0</v>
      </c>
      <c r="Y736" s="51" t="b">
        <v>0</v>
      </c>
      <c r="Z736" s="51" t="b">
        <v>0</v>
      </c>
      <c r="AA736" s="68"/>
      <c r="AB736" s="52"/>
      <c r="AC736" s="52"/>
      <c r="AD736" s="52"/>
      <c r="AE736" s="56"/>
      <c r="AF736" s="56" t="s">
        <v>1944</v>
      </c>
    </row>
    <row r="737">
      <c r="A737" s="52" t="s">
        <v>2704</v>
      </c>
      <c r="B737" s="52" t="s">
        <v>16</v>
      </c>
      <c r="C737" s="52" t="s">
        <v>289</v>
      </c>
      <c r="D737" s="65">
        <v>0.682013888888891</v>
      </c>
      <c r="E737" s="65">
        <v>3.4722222222222224E-4</v>
      </c>
      <c r="F737" s="65">
        <v>0.6823611111111133</v>
      </c>
      <c r="G737" s="65" t="s">
        <v>140</v>
      </c>
      <c r="H737" s="52" t="s">
        <v>506</v>
      </c>
      <c r="I737" s="52" t="s">
        <v>967</v>
      </c>
      <c r="J737" s="52"/>
      <c r="K737" s="52"/>
      <c r="L737" s="52"/>
      <c r="M737" s="52"/>
      <c r="N737" s="52" t="s">
        <v>70</v>
      </c>
      <c r="O737" s="52"/>
      <c r="P737" s="52"/>
      <c r="Q737" s="52"/>
      <c r="R737" s="51" t="b">
        <v>0</v>
      </c>
      <c r="S737" s="51"/>
      <c r="T737" s="52"/>
      <c r="U737" s="51" t="b">
        <v>0</v>
      </c>
      <c r="V737" s="51" t="b">
        <v>0</v>
      </c>
      <c r="W737" s="51" t="b">
        <v>0</v>
      </c>
      <c r="X737" s="51" t="b">
        <v>0</v>
      </c>
      <c r="Y737" s="51" t="b">
        <v>0</v>
      </c>
      <c r="Z737" s="51" t="b">
        <v>0</v>
      </c>
      <c r="AA737" s="68"/>
      <c r="AB737" s="52"/>
      <c r="AC737" s="52"/>
      <c r="AD737" s="52"/>
      <c r="AE737" s="56"/>
      <c r="AF737" s="56" t="s">
        <v>1215</v>
      </c>
    </row>
    <row r="738">
      <c r="A738" s="52" t="s">
        <v>2705</v>
      </c>
      <c r="B738" s="52" t="s">
        <v>16</v>
      </c>
      <c r="C738" s="52" t="s">
        <v>289</v>
      </c>
      <c r="D738" s="65">
        <v>0.6823611111111133</v>
      </c>
      <c r="E738" s="65">
        <v>3.4722222222222224E-4</v>
      </c>
      <c r="F738" s="65">
        <v>0.6827083333333356</v>
      </c>
      <c r="G738" s="65" t="s">
        <v>140</v>
      </c>
      <c r="H738" s="52" t="s">
        <v>81</v>
      </c>
      <c r="I738" s="52" t="s">
        <v>81</v>
      </c>
      <c r="J738" s="52"/>
      <c r="K738" s="52"/>
      <c r="L738" s="52"/>
      <c r="M738" s="52"/>
      <c r="N738" s="52" t="s">
        <v>70</v>
      </c>
      <c r="O738" s="52"/>
      <c r="P738" s="69"/>
      <c r="Q738" s="52"/>
      <c r="R738" s="51" t="b">
        <v>0</v>
      </c>
      <c r="S738" s="51"/>
      <c r="T738" s="52"/>
      <c r="U738" s="51" t="b">
        <v>0</v>
      </c>
      <c r="V738" s="51" t="b">
        <v>0</v>
      </c>
      <c r="W738" s="51" t="b">
        <v>0</v>
      </c>
      <c r="X738" s="51" t="b">
        <v>0</v>
      </c>
      <c r="Y738" s="51" t="b">
        <v>0</v>
      </c>
      <c r="Z738" s="51" t="b">
        <v>0</v>
      </c>
      <c r="AA738" s="68"/>
      <c r="AB738" s="52"/>
      <c r="AC738" s="52"/>
      <c r="AD738" s="52"/>
      <c r="AE738" s="56"/>
      <c r="AF738" s="56" t="s">
        <v>1944</v>
      </c>
    </row>
    <row r="739">
      <c r="A739" s="52" t="s">
        <v>2706</v>
      </c>
      <c r="B739" s="52" t="s">
        <v>16</v>
      </c>
      <c r="C739" s="52" t="s">
        <v>289</v>
      </c>
      <c r="D739" s="65">
        <v>0.6827083333333356</v>
      </c>
      <c r="E739" s="65">
        <v>0.003472222222222222</v>
      </c>
      <c r="F739" s="65">
        <v>0.6861805555555578</v>
      </c>
      <c r="G739" s="65" t="s">
        <v>140</v>
      </c>
      <c r="H739" s="52" t="s">
        <v>165</v>
      </c>
      <c r="I739" s="52" t="s">
        <v>968</v>
      </c>
      <c r="J739" s="52" t="s">
        <v>969</v>
      </c>
      <c r="K739" s="52"/>
      <c r="L739" s="52"/>
      <c r="M739" s="52"/>
      <c r="N739" s="52" t="s">
        <v>70</v>
      </c>
      <c r="O739" s="69" t="s">
        <v>884</v>
      </c>
      <c r="P739" s="69" t="s">
        <v>30</v>
      </c>
      <c r="Q739" s="92" t="s">
        <v>1030</v>
      </c>
      <c r="R739" s="51" t="b">
        <v>0</v>
      </c>
      <c r="S739" s="52"/>
      <c r="T739" s="52"/>
      <c r="U739" s="51" t="b">
        <v>0</v>
      </c>
      <c r="V739" s="51" t="b">
        <v>0</v>
      </c>
      <c r="W739" s="51" t="b">
        <v>0</v>
      </c>
      <c r="X739" s="51" t="b">
        <v>0</v>
      </c>
      <c r="Y739" s="51" t="b">
        <v>0</v>
      </c>
      <c r="Z739" s="51" t="b">
        <v>1</v>
      </c>
      <c r="AA739" s="71"/>
      <c r="AB739" s="69"/>
      <c r="AC739" s="69"/>
      <c r="AD739" s="69"/>
      <c r="AE739" s="74" t="s">
        <v>652</v>
      </c>
      <c r="AF739" s="74" t="s">
        <v>630</v>
      </c>
    </row>
    <row r="740">
      <c r="A740" s="52" t="s">
        <v>2707</v>
      </c>
      <c r="B740" s="52" t="s">
        <v>16</v>
      </c>
      <c r="C740" s="52" t="s">
        <v>289</v>
      </c>
      <c r="D740" s="65">
        <v>0.6861805555555578</v>
      </c>
      <c r="E740" s="65">
        <v>1.7361111111111112E-4</v>
      </c>
      <c r="F740" s="65">
        <v>0.6863541666666689</v>
      </c>
      <c r="G740" s="65" t="s">
        <v>140</v>
      </c>
      <c r="H740" s="52" t="s">
        <v>85</v>
      </c>
      <c r="I740" s="52" t="s">
        <v>85</v>
      </c>
      <c r="J740" s="52"/>
      <c r="K740" s="52"/>
      <c r="L740" s="52"/>
      <c r="M740" s="52"/>
      <c r="N740" s="52" t="s">
        <v>70</v>
      </c>
      <c r="O740" s="52"/>
      <c r="P740" s="52"/>
      <c r="Q740" s="52"/>
      <c r="R740" s="51" t="b">
        <v>0</v>
      </c>
      <c r="S740" s="51"/>
      <c r="T740" s="52"/>
      <c r="U740" s="51" t="b">
        <v>0</v>
      </c>
      <c r="V740" s="51" t="b">
        <v>0</v>
      </c>
      <c r="W740" s="51" t="b">
        <v>0</v>
      </c>
      <c r="X740" s="51" t="b">
        <v>0</v>
      </c>
      <c r="Y740" s="51" t="b">
        <v>0</v>
      </c>
      <c r="Z740" s="51" t="b">
        <v>0</v>
      </c>
      <c r="AA740" s="68"/>
      <c r="AB740" s="52"/>
      <c r="AC740" s="52"/>
      <c r="AD740" s="52"/>
      <c r="AE740" s="56"/>
      <c r="AF740" s="56" t="s">
        <v>1944</v>
      </c>
    </row>
    <row r="741">
      <c r="A741" s="52" t="s">
        <v>2708</v>
      </c>
      <c r="B741" s="52" t="s">
        <v>607</v>
      </c>
      <c r="C741" s="52" t="s">
        <v>607</v>
      </c>
      <c r="D741" s="65" t="s">
        <v>607</v>
      </c>
      <c r="E741" s="65" t="s">
        <v>607</v>
      </c>
      <c r="F741" s="65" t="s">
        <v>607</v>
      </c>
      <c r="G741" s="65" t="s">
        <v>607</v>
      </c>
      <c r="H741" s="52" t="s">
        <v>607</v>
      </c>
      <c r="I741" s="52" t="s">
        <v>607</v>
      </c>
      <c r="J741" s="52" t="s">
        <v>607</v>
      </c>
      <c r="K741" s="52" t="s">
        <v>607</v>
      </c>
      <c r="L741" s="52" t="s">
        <v>607</v>
      </c>
      <c r="M741" s="52" t="s">
        <v>607</v>
      </c>
      <c r="N741" s="52" t="s">
        <v>607</v>
      </c>
      <c r="O741" s="52"/>
      <c r="P741" s="52"/>
      <c r="Q741" s="52"/>
      <c r="R741" s="51" t="b">
        <v>0</v>
      </c>
      <c r="S741" s="51"/>
      <c r="T741" s="52"/>
      <c r="U741" s="51" t="b">
        <v>0</v>
      </c>
      <c r="V741" s="51" t="b">
        <v>0</v>
      </c>
      <c r="W741" s="51" t="b">
        <v>0</v>
      </c>
      <c r="X741" s="51" t="b">
        <v>0</v>
      </c>
      <c r="Y741" s="51" t="b">
        <v>0</v>
      </c>
      <c r="Z741" s="51" t="b">
        <v>0</v>
      </c>
      <c r="AA741" s="68"/>
      <c r="AB741" s="52"/>
      <c r="AC741" s="52"/>
      <c r="AD741" s="52"/>
      <c r="AE741" s="56" t="s">
        <v>607</v>
      </c>
      <c r="AF741" s="56" t="s">
        <v>607</v>
      </c>
    </row>
    <row r="742">
      <c r="A742" s="52" t="s">
        <v>2709</v>
      </c>
      <c r="B742" s="52" t="s">
        <v>16</v>
      </c>
      <c r="C742" s="52" t="s">
        <v>289</v>
      </c>
      <c r="D742" s="65">
        <v>0.6863541666666689</v>
      </c>
      <c r="E742" s="65">
        <v>3.4722222222222224E-4</v>
      </c>
      <c r="F742" s="65">
        <v>0.6867013888888912</v>
      </c>
      <c r="G742" s="65" t="s">
        <v>140</v>
      </c>
      <c r="H742" s="52" t="s">
        <v>81</v>
      </c>
      <c r="I742" s="52" t="s">
        <v>81</v>
      </c>
      <c r="J742" s="52"/>
      <c r="K742" s="52"/>
      <c r="L742" s="52"/>
      <c r="M742" s="52"/>
      <c r="N742" s="52" t="s">
        <v>70</v>
      </c>
      <c r="O742" s="52"/>
      <c r="P742" s="52"/>
      <c r="Q742" s="52"/>
      <c r="R742" s="51" t="b">
        <v>0</v>
      </c>
      <c r="S742" s="52"/>
      <c r="T742" s="52"/>
      <c r="U742" s="51" t="b">
        <v>0</v>
      </c>
      <c r="V742" s="51" t="b">
        <v>0</v>
      </c>
      <c r="W742" s="51" t="b">
        <v>0</v>
      </c>
      <c r="X742" s="51" t="b">
        <v>0</v>
      </c>
      <c r="Y742" s="51" t="b">
        <v>0</v>
      </c>
      <c r="Z742" s="51" t="b">
        <v>0</v>
      </c>
      <c r="AA742" s="68"/>
      <c r="AB742" s="52"/>
      <c r="AC742" s="52"/>
      <c r="AD742" s="52"/>
      <c r="AE742" s="56"/>
      <c r="AF742" s="56" t="s">
        <v>1944</v>
      </c>
    </row>
    <row r="743">
      <c r="A743" s="52" t="s">
        <v>2710</v>
      </c>
      <c r="B743" s="52" t="s">
        <v>785</v>
      </c>
      <c r="C743" s="52" t="s">
        <v>66</v>
      </c>
      <c r="D743" s="65">
        <v>0.4925925925925927</v>
      </c>
      <c r="E743" s="65">
        <v>0.006944444444444444</v>
      </c>
      <c r="F743" s="65">
        <v>0.4995370370370371</v>
      </c>
      <c r="G743" s="65" t="s">
        <v>106</v>
      </c>
      <c r="H743" s="52" t="s">
        <v>165</v>
      </c>
      <c r="I743" s="52" t="s">
        <v>1800</v>
      </c>
      <c r="J743" s="52" t="s">
        <v>1801</v>
      </c>
      <c r="K743" s="52"/>
      <c r="L743" s="52"/>
      <c r="M743" s="52"/>
      <c r="N743" s="52" t="s">
        <v>70</v>
      </c>
      <c r="O743" s="69" t="s">
        <v>884</v>
      </c>
      <c r="P743" s="69" t="s">
        <v>15</v>
      </c>
      <c r="Q743" s="147" t="s">
        <v>2711</v>
      </c>
      <c r="R743" s="51" t="b">
        <v>1</v>
      </c>
      <c r="S743" s="148" t="s">
        <v>1800</v>
      </c>
      <c r="T743" s="52"/>
      <c r="U743" s="51" t="b">
        <v>0</v>
      </c>
      <c r="V743" s="51" t="b">
        <v>0</v>
      </c>
      <c r="W743" s="51" t="b">
        <v>0</v>
      </c>
      <c r="X743" s="51" t="b">
        <v>0</v>
      </c>
      <c r="Y743" s="51" t="b">
        <v>0</v>
      </c>
      <c r="Z743" s="51" t="b">
        <v>0</v>
      </c>
      <c r="AA743" s="149"/>
      <c r="AB743" s="150" t="s">
        <v>2712</v>
      </c>
      <c r="AC743" s="150" t="s">
        <v>898</v>
      </c>
      <c r="AD743" s="151"/>
      <c r="AE743" s="56" t="s">
        <v>743</v>
      </c>
      <c r="AF743" s="56" t="s">
        <v>972</v>
      </c>
    </row>
    <row r="744">
      <c r="A744" s="52" t="s">
        <v>2713</v>
      </c>
      <c r="B744" s="52" t="s">
        <v>16</v>
      </c>
      <c r="C744" s="52" t="s">
        <v>289</v>
      </c>
      <c r="D744" s="65">
        <v>0.6971180555555578</v>
      </c>
      <c r="E744" s="65">
        <v>1.7361111111111112E-4</v>
      </c>
      <c r="F744" s="65">
        <v>0.697291666666669</v>
      </c>
      <c r="G744" s="65" t="s">
        <v>140</v>
      </c>
      <c r="H744" s="52" t="s">
        <v>85</v>
      </c>
      <c r="I744" s="52" t="s">
        <v>85</v>
      </c>
      <c r="J744" s="52"/>
      <c r="K744" s="52"/>
      <c r="L744" s="52"/>
      <c r="M744" s="52"/>
      <c r="N744" s="52" t="s">
        <v>70</v>
      </c>
      <c r="O744" s="52"/>
      <c r="P744" s="52"/>
      <c r="Q744" s="52"/>
      <c r="R744" s="51" t="b">
        <v>0</v>
      </c>
      <c r="S744" s="51"/>
      <c r="T744" s="52"/>
      <c r="U744" s="51" t="b">
        <v>0</v>
      </c>
      <c r="V744" s="51" t="b">
        <v>0</v>
      </c>
      <c r="W744" s="51" t="b">
        <v>0</v>
      </c>
      <c r="X744" s="51" t="b">
        <v>0</v>
      </c>
      <c r="Y744" s="51" t="b">
        <v>0</v>
      </c>
      <c r="Z744" s="51" t="b">
        <v>0</v>
      </c>
      <c r="AA744" s="68"/>
      <c r="AB744" s="52"/>
      <c r="AC744" s="52"/>
      <c r="AD744" s="52"/>
      <c r="AE744" s="56"/>
      <c r="AF744" s="56" t="s">
        <v>1944</v>
      </c>
    </row>
    <row r="745">
      <c r="A745" s="52" t="s">
        <v>2714</v>
      </c>
      <c r="B745" s="52" t="s">
        <v>607</v>
      </c>
      <c r="C745" s="52" t="s">
        <v>607</v>
      </c>
      <c r="D745" s="65" t="s">
        <v>607</v>
      </c>
      <c r="E745" s="65" t="s">
        <v>607</v>
      </c>
      <c r="F745" s="65" t="s">
        <v>607</v>
      </c>
      <c r="G745" s="65" t="s">
        <v>607</v>
      </c>
      <c r="H745" s="52" t="s">
        <v>607</v>
      </c>
      <c r="I745" s="52" t="s">
        <v>607</v>
      </c>
      <c r="J745" s="52" t="s">
        <v>607</v>
      </c>
      <c r="K745" s="52" t="s">
        <v>607</v>
      </c>
      <c r="L745" s="52" t="s">
        <v>607</v>
      </c>
      <c r="M745" s="52" t="s">
        <v>607</v>
      </c>
      <c r="N745" s="52" t="s">
        <v>607</v>
      </c>
      <c r="O745" s="52"/>
      <c r="P745" s="52"/>
      <c r="Q745" s="52"/>
      <c r="R745" s="51" t="b">
        <v>0</v>
      </c>
      <c r="S745" s="51"/>
      <c r="T745" s="52"/>
      <c r="U745" s="51" t="b">
        <v>0</v>
      </c>
      <c r="V745" s="51" t="b">
        <v>0</v>
      </c>
      <c r="W745" s="51" t="b">
        <v>0</v>
      </c>
      <c r="X745" s="51" t="b">
        <v>0</v>
      </c>
      <c r="Y745" s="51" t="b">
        <v>0</v>
      </c>
      <c r="Z745" s="51" t="b">
        <v>0</v>
      </c>
      <c r="AA745" s="68"/>
      <c r="AB745" s="52"/>
      <c r="AC745" s="52"/>
      <c r="AD745" s="52"/>
      <c r="AE745" s="56" t="s">
        <v>607</v>
      </c>
      <c r="AF745" s="56" t="s">
        <v>607</v>
      </c>
    </row>
    <row r="746">
      <c r="A746" s="52" t="s">
        <v>2715</v>
      </c>
      <c r="B746" s="52" t="s">
        <v>16</v>
      </c>
      <c r="C746" s="52" t="s">
        <v>289</v>
      </c>
      <c r="D746" s="65">
        <v>0.697291666666669</v>
      </c>
      <c r="E746" s="65">
        <v>3.4722222222222224E-4</v>
      </c>
      <c r="F746" s="65">
        <v>0.6976388888888913</v>
      </c>
      <c r="G746" s="65" t="s">
        <v>140</v>
      </c>
      <c r="H746" s="52" t="s">
        <v>81</v>
      </c>
      <c r="I746" s="52" t="s">
        <v>81</v>
      </c>
      <c r="J746" s="52"/>
      <c r="K746" s="52"/>
      <c r="L746" s="52"/>
      <c r="M746" s="52"/>
      <c r="N746" s="52" t="s">
        <v>70</v>
      </c>
      <c r="O746" s="52"/>
      <c r="P746" s="69"/>
      <c r="Q746" s="52"/>
      <c r="R746" s="51" t="b">
        <v>0</v>
      </c>
      <c r="S746" s="51"/>
      <c r="T746" s="52"/>
      <c r="U746" s="51" t="b">
        <v>0</v>
      </c>
      <c r="V746" s="51" t="b">
        <v>0</v>
      </c>
      <c r="W746" s="51" t="b">
        <v>0</v>
      </c>
      <c r="X746" s="51" t="b">
        <v>0</v>
      </c>
      <c r="Y746" s="51" t="b">
        <v>0</v>
      </c>
      <c r="Z746" s="51" t="b">
        <v>0</v>
      </c>
      <c r="AA746" s="68"/>
      <c r="AB746" s="52"/>
      <c r="AC746" s="52"/>
      <c r="AD746" s="52"/>
      <c r="AE746" s="56"/>
      <c r="AF746" s="56" t="s">
        <v>1944</v>
      </c>
    </row>
    <row r="747">
      <c r="A747" s="52" t="s">
        <v>2716</v>
      </c>
      <c r="B747" s="52" t="s">
        <v>16</v>
      </c>
      <c r="C747" s="52" t="s">
        <v>289</v>
      </c>
      <c r="D747" s="65">
        <v>0.6976388888888913</v>
      </c>
      <c r="E747" s="65">
        <v>0.005555555555555556</v>
      </c>
      <c r="F747" s="65">
        <v>0.7031944444444468</v>
      </c>
      <c r="G747" s="65" t="s">
        <v>140</v>
      </c>
      <c r="H747" s="52" t="s">
        <v>165</v>
      </c>
      <c r="I747" s="52" t="s">
        <v>981</v>
      </c>
      <c r="J747" s="52" t="s">
        <v>982</v>
      </c>
      <c r="K747" s="52"/>
      <c r="L747" s="52"/>
      <c r="M747" s="52"/>
      <c r="N747" s="52" t="s">
        <v>70</v>
      </c>
      <c r="O747" s="69" t="s">
        <v>1926</v>
      </c>
      <c r="P747" s="69" t="s">
        <v>30</v>
      </c>
      <c r="Q747" s="73" t="s">
        <v>2717</v>
      </c>
      <c r="R747" s="51" t="b">
        <v>1</v>
      </c>
      <c r="S747" s="52" t="s">
        <v>981</v>
      </c>
      <c r="T747" s="52"/>
      <c r="U747" s="51" t="b">
        <v>0</v>
      </c>
      <c r="V747" s="51" t="b">
        <v>1</v>
      </c>
      <c r="W747" s="51" t="b">
        <v>1</v>
      </c>
      <c r="X747" s="51" t="b">
        <v>0</v>
      </c>
      <c r="Y747" s="51" t="b">
        <v>0</v>
      </c>
      <c r="Z747" s="51" t="b">
        <v>0</v>
      </c>
      <c r="AA747" s="71">
        <v>0.005555555555555556</v>
      </c>
      <c r="AB747" s="69" t="s">
        <v>2718</v>
      </c>
      <c r="AC747" s="69"/>
      <c r="AD747" s="73" t="s">
        <v>2719</v>
      </c>
      <c r="AE747" s="74" t="s">
        <v>743</v>
      </c>
      <c r="AF747" s="74" t="s">
        <v>972</v>
      </c>
    </row>
    <row r="748">
      <c r="A748" s="52" t="s">
        <v>2720</v>
      </c>
      <c r="B748" s="52" t="s">
        <v>16</v>
      </c>
      <c r="C748" s="52" t="s">
        <v>289</v>
      </c>
      <c r="D748" s="65">
        <v>0.7031944444444468</v>
      </c>
      <c r="E748" s="65">
        <v>1.7361111111111112E-4</v>
      </c>
      <c r="F748" s="65">
        <v>0.7033680555555579</v>
      </c>
      <c r="G748" s="65" t="s">
        <v>140</v>
      </c>
      <c r="H748" s="52" t="s">
        <v>85</v>
      </c>
      <c r="I748" s="52" t="s">
        <v>85</v>
      </c>
      <c r="J748" s="52"/>
      <c r="K748" s="52"/>
      <c r="L748" s="52"/>
      <c r="M748" s="52"/>
      <c r="N748" s="52" t="s">
        <v>70</v>
      </c>
      <c r="O748" s="52"/>
      <c r="P748" s="52"/>
      <c r="Q748" s="52"/>
      <c r="R748" s="51" t="b">
        <v>0</v>
      </c>
      <c r="S748" s="51"/>
      <c r="T748" s="52"/>
      <c r="U748" s="51" t="b">
        <v>0</v>
      </c>
      <c r="V748" s="51" t="b">
        <v>0</v>
      </c>
      <c r="W748" s="51" t="b">
        <v>0</v>
      </c>
      <c r="X748" s="51" t="b">
        <v>0</v>
      </c>
      <c r="Y748" s="51" t="b">
        <v>0</v>
      </c>
      <c r="Z748" s="51" t="b">
        <v>0</v>
      </c>
      <c r="AA748" s="68"/>
      <c r="AB748" s="52"/>
      <c r="AC748" s="52"/>
      <c r="AD748" s="52"/>
      <c r="AE748" s="56"/>
      <c r="AF748" s="56" t="s">
        <v>1944</v>
      </c>
    </row>
    <row r="749">
      <c r="A749" s="52" t="s">
        <v>2721</v>
      </c>
      <c r="B749" s="52" t="s">
        <v>607</v>
      </c>
      <c r="C749" s="52" t="s">
        <v>607</v>
      </c>
      <c r="D749" s="65" t="s">
        <v>607</v>
      </c>
      <c r="E749" s="65" t="s">
        <v>607</v>
      </c>
      <c r="F749" s="65" t="s">
        <v>607</v>
      </c>
      <c r="G749" s="65" t="s">
        <v>607</v>
      </c>
      <c r="H749" s="52" t="s">
        <v>607</v>
      </c>
      <c r="I749" s="52" t="s">
        <v>607</v>
      </c>
      <c r="J749" s="52" t="s">
        <v>607</v>
      </c>
      <c r="K749" s="52" t="s">
        <v>607</v>
      </c>
      <c r="L749" s="52" t="s">
        <v>607</v>
      </c>
      <c r="M749" s="52" t="s">
        <v>607</v>
      </c>
      <c r="N749" s="52" t="s">
        <v>607</v>
      </c>
      <c r="O749" s="52"/>
      <c r="P749" s="52"/>
      <c r="Q749" s="52"/>
      <c r="R749" s="51" t="b">
        <v>0</v>
      </c>
      <c r="S749" s="52"/>
      <c r="T749" s="52"/>
      <c r="U749" s="51" t="b">
        <v>0</v>
      </c>
      <c r="V749" s="51" t="b">
        <v>0</v>
      </c>
      <c r="W749" s="51" t="b">
        <v>0</v>
      </c>
      <c r="X749" s="51" t="b">
        <v>0</v>
      </c>
      <c r="Y749" s="51" t="b">
        <v>0</v>
      </c>
      <c r="Z749" s="51" t="b">
        <v>0</v>
      </c>
      <c r="AA749" s="68"/>
      <c r="AB749" s="52"/>
      <c r="AC749" s="52"/>
      <c r="AD749" s="52"/>
      <c r="AE749" s="56" t="s">
        <v>607</v>
      </c>
      <c r="AF749" s="56" t="s">
        <v>607</v>
      </c>
    </row>
    <row r="750">
      <c r="A750" s="52" t="s">
        <v>2722</v>
      </c>
      <c r="B750" s="52" t="s">
        <v>16</v>
      </c>
      <c r="C750" s="52" t="s">
        <v>289</v>
      </c>
      <c r="D750" s="65">
        <v>0.7033680555555579</v>
      </c>
      <c r="E750" s="65">
        <v>3.4722222222222224E-4</v>
      </c>
      <c r="F750" s="65">
        <v>0.7037152777777802</v>
      </c>
      <c r="G750" s="65" t="s">
        <v>140</v>
      </c>
      <c r="H750" s="52" t="s">
        <v>81</v>
      </c>
      <c r="I750" s="52" t="s">
        <v>81</v>
      </c>
      <c r="J750" s="52"/>
      <c r="K750" s="52"/>
      <c r="L750" s="52"/>
      <c r="M750" s="52"/>
      <c r="N750" s="52" t="s">
        <v>70</v>
      </c>
      <c r="O750" s="52"/>
      <c r="P750" s="52"/>
      <c r="Q750" s="52"/>
      <c r="R750" s="51" t="b">
        <v>0</v>
      </c>
      <c r="S750" s="52"/>
      <c r="T750" s="52"/>
      <c r="U750" s="51" t="b">
        <v>0</v>
      </c>
      <c r="V750" s="51" t="b">
        <v>0</v>
      </c>
      <c r="W750" s="51" t="b">
        <v>0</v>
      </c>
      <c r="X750" s="51" t="b">
        <v>0</v>
      </c>
      <c r="Y750" s="51" t="b">
        <v>0</v>
      </c>
      <c r="Z750" s="51" t="b">
        <v>0</v>
      </c>
      <c r="AA750" s="68"/>
      <c r="AB750" s="52"/>
      <c r="AC750" s="52"/>
      <c r="AD750" s="52"/>
      <c r="AE750" s="56"/>
      <c r="AF750" s="56" t="s">
        <v>1944</v>
      </c>
    </row>
    <row r="751">
      <c r="A751" s="52" t="s">
        <v>2723</v>
      </c>
      <c r="B751" s="52" t="s">
        <v>16</v>
      </c>
      <c r="C751" s="52" t="s">
        <v>289</v>
      </c>
      <c r="D751" s="65">
        <v>0.7037152777777802</v>
      </c>
      <c r="E751" s="65">
        <v>0.002037037037037037</v>
      </c>
      <c r="F751" s="65">
        <v>0.7057523148148173</v>
      </c>
      <c r="G751" s="65" t="s">
        <v>140</v>
      </c>
      <c r="H751" s="52" t="s">
        <v>165</v>
      </c>
      <c r="I751" s="52" t="s">
        <v>984</v>
      </c>
      <c r="J751" s="52" t="s">
        <v>985</v>
      </c>
      <c r="K751" s="52"/>
      <c r="L751" s="52"/>
      <c r="M751" s="52"/>
      <c r="N751" s="52" t="s">
        <v>70</v>
      </c>
      <c r="O751" s="69" t="s">
        <v>884</v>
      </c>
      <c r="P751" s="69" t="s">
        <v>30</v>
      </c>
      <c r="Q751" s="73" t="s">
        <v>2724</v>
      </c>
      <c r="R751" s="51" t="b">
        <v>1</v>
      </c>
      <c r="S751" s="52" t="s">
        <v>984</v>
      </c>
      <c r="T751" s="52"/>
      <c r="U751" s="51" t="b">
        <v>0</v>
      </c>
      <c r="V751" s="51" t="b">
        <v>1</v>
      </c>
      <c r="W751" s="51" t="b">
        <v>1</v>
      </c>
      <c r="X751" s="51" t="b">
        <v>0</v>
      </c>
      <c r="Y751" s="51" t="b">
        <v>0</v>
      </c>
      <c r="Z751" s="51" t="b">
        <v>0</v>
      </c>
      <c r="AA751" s="85">
        <v>0.002037037037037037</v>
      </c>
      <c r="AB751" s="86" t="s">
        <v>2725</v>
      </c>
      <c r="AC751" s="86"/>
      <c r="AD751" s="73" t="s">
        <v>2726</v>
      </c>
      <c r="AE751" s="74" t="s">
        <v>743</v>
      </c>
      <c r="AF751" s="74" t="s">
        <v>630</v>
      </c>
    </row>
    <row r="752">
      <c r="A752" s="52" t="s">
        <v>2727</v>
      </c>
      <c r="B752" s="52" t="s">
        <v>16</v>
      </c>
      <c r="C752" s="52" t="s">
        <v>289</v>
      </c>
      <c r="D752" s="65">
        <v>0.7057523148148173</v>
      </c>
      <c r="E752" s="65">
        <v>1.7361111111111112E-4</v>
      </c>
      <c r="F752" s="65">
        <v>0.7059259259259284</v>
      </c>
      <c r="G752" s="65" t="s">
        <v>140</v>
      </c>
      <c r="H752" s="52" t="s">
        <v>85</v>
      </c>
      <c r="I752" s="52" t="s">
        <v>85</v>
      </c>
      <c r="J752" s="52"/>
      <c r="K752" s="52"/>
      <c r="L752" s="52"/>
      <c r="M752" s="52"/>
      <c r="N752" s="52" t="s">
        <v>70</v>
      </c>
      <c r="O752" s="52"/>
      <c r="P752" s="52"/>
      <c r="Q752" s="52"/>
      <c r="R752" s="51" t="b">
        <v>0</v>
      </c>
      <c r="S752" s="51"/>
      <c r="T752" s="52"/>
      <c r="U752" s="51" t="b">
        <v>0</v>
      </c>
      <c r="V752" s="51" t="b">
        <v>0</v>
      </c>
      <c r="W752" s="51" t="b">
        <v>0</v>
      </c>
      <c r="X752" s="51" t="b">
        <v>0</v>
      </c>
      <c r="Y752" s="51" t="b">
        <v>0</v>
      </c>
      <c r="Z752" s="51" t="b">
        <v>0</v>
      </c>
      <c r="AA752" s="68"/>
      <c r="AB752" s="52"/>
      <c r="AC752" s="52"/>
      <c r="AD752" s="52"/>
      <c r="AE752" s="56"/>
      <c r="AF752" s="56" t="s">
        <v>1944</v>
      </c>
    </row>
    <row r="753">
      <c r="A753" s="52" t="s">
        <v>2728</v>
      </c>
      <c r="B753" s="52" t="s">
        <v>607</v>
      </c>
      <c r="C753" s="52" t="s">
        <v>607</v>
      </c>
      <c r="D753" s="65" t="s">
        <v>607</v>
      </c>
      <c r="E753" s="65" t="s">
        <v>607</v>
      </c>
      <c r="F753" s="65" t="s">
        <v>607</v>
      </c>
      <c r="G753" s="65" t="s">
        <v>607</v>
      </c>
      <c r="H753" s="52" t="s">
        <v>607</v>
      </c>
      <c r="I753" s="52" t="s">
        <v>607</v>
      </c>
      <c r="J753" s="52" t="s">
        <v>607</v>
      </c>
      <c r="K753" s="52" t="s">
        <v>607</v>
      </c>
      <c r="L753" s="52" t="s">
        <v>607</v>
      </c>
      <c r="M753" s="52" t="s">
        <v>607</v>
      </c>
      <c r="N753" s="52" t="s">
        <v>607</v>
      </c>
      <c r="O753" s="52"/>
      <c r="P753" s="52"/>
      <c r="Q753" s="52"/>
      <c r="R753" s="51" t="b">
        <v>0</v>
      </c>
      <c r="S753" s="51"/>
      <c r="T753" s="52"/>
      <c r="U753" s="51" t="b">
        <v>0</v>
      </c>
      <c r="V753" s="51" t="b">
        <v>0</v>
      </c>
      <c r="W753" s="51" t="b">
        <v>0</v>
      </c>
      <c r="X753" s="51" t="b">
        <v>0</v>
      </c>
      <c r="Y753" s="51" t="b">
        <v>0</v>
      </c>
      <c r="Z753" s="51" t="b">
        <v>0</v>
      </c>
      <c r="AA753" s="68"/>
      <c r="AB753" s="52"/>
      <c r="AC753" s="52"/>
      <c r="AD753" s="52"/>
      <c r="AE753" s="56" t="s">
        <v>607</v>
      </c>
      <c r="AF753" s="56" t="s">
        <v>607</v>
      </c>
    </row>
    <row r="754">
      <c r="A754" s="52" t="s">
        <v>2729</v>
      </c>
      <c r="B754" s="52" t="s">
        <v>607</v>
      </c>
      <c r="C754" s="52" t="s">
        <v>607</v>
      </c>
      <c r="D754" s="65" t="s">
        <v>607</v>
      </c>
      <c r="E754" s="65" t="s">
        <v>607</v>
      </c>
      <c r="F754" s="65" t="s">
        <v>607</v>
      </c>
      <c r="G754" s="65" t="s">
        <v>607</v>
      </c>
      <c r="H754" s="52" t="s">
        <v>607</v>
      </c>
      <c r="I754" s="52" t="s">
        <v>607</v>
      </c>
      <c r="J754" s="52" t="s">
        <v>607</v>
      </c>
      <c r="K754" s="52" t="s">
        <v>607</v>
      </c>
      <c r="L754" s="52" t="s">
        <v>607</v>
      </c>
      <c r="M754" s="52" t="s">
        <v>607</v>
      </c>
      <c r="N754" s="52" t="s">
        <v>607</v>
      </c>
      <c r="O754" s="52"/>
      <c r="P754" s="52"/>
      <c r="Q754" s="52"/>
      <c r="R754" s="51" t="b">
        <v>0</v>
      </c>
      <c r="S754" s="52"/>
      <c r="T754" s="52"/>
      <c r="U754" s="51" t="b">
        <v>0</v>
      </c>
      <c r="V754" s="51" t="b">
        <v>0</v>
      </c>
      <c r="W754" s="51" t="b">
        <v>0</v>
      </c>
      <c r="X754" s="51" t="b">
        <v>0</v>
      </c>
      <c r="Y754" s="51" t="b">
        <v>0</v>
      </c>
      <c r="Z754" s="51" t="b">
        <v>0</v>
      </c>
      <c r="AA754" s="68"/>
      <c r="AB754" s="52"/>
      <c r="AC754" s="52"/>
      <c r="AD754" s="52"/>
      <c r="AE754" s="56" t="s">
        <v>607</v>
      </c>
      <c r="AF754" s="56" t="s">
        <v>607</v>
      </c>
    </row>
    <row r="755">
      <c r="A755" s="52" t="s">
        <v>2730</v>
      </c>
      <c r="B755" s="52" t="s">
        <v>16</v>
      </c>
      <c r="C755" s="52" t="s">
        <v>289</v>
      </c>
      <c r="D755" s="65">
        <v>0.6233449074074089</v>
      </c>
      <c r="E755" s="65">
        <v>3.4722222222222224E-4</v>
      </c>
      <c r="F755" s="65">
        <v>0.6236921296296312</v>
      </c>
      <c r="G755" s="65" t="s">
        <v>924</v>
      </c>
      <c r="H755" s="52" t="s">
        <v>81</v>
      </c>
      <c r="I755" s="52" t="s">
        <v>81</v>
      </c>
      <c r="J755" s="52"/>
      <c r="K755" s="52"/>
      <c r="L755" s="52"/>
      <c r="M755" s="52"/>
      <c r="N755" s="52"/>
      <c r="O755" s="52"/>
      <c r="P755" s="52"/>
      <c r="Q755" s="52"/>
      <c r="R755" s="51" t="b">
        <v>0</v>
      </c>
      <c r="S755" s="51"/>
      <c r="T755" s="52"/>
      <c r="U755" s="51" t="b">
        <v>0</v>
      </c>
      <c r="V755" s="51" t="b">
        <v>0</v>
      </c>
      <c r="W755" s="51" t="b">
        <v>0</v>
      </c>
      <c r="X755" s="51" t="b">
        <v>0</v>
      </c>
      <c r="Y755" s="51" t="b">
        <v>0</v>
      </c>
      <c r="Z755" s="51" t="b">
        <v>0</v>
      </c>
      <c r="AA755" s="68"/>
      <c r="AB755" s="52"/>
      <c r="AC755" s="52"/>
      <c r="AD755" s="52"/>
      <c r="AE755" s="56"/>
      <c r="AF755" s="56" t="s">
        <v>1944</v>
      </c>
    </row>
    <row r="756">
      <c r="A756" s="52" t="s">
        <v>2731</v>
      </c>
      <c r="B756" s="52" t="s">
        <v>16</v>
      </c>
      <c r="C756" s="52" t="s">
        <v>289</v>
      </c>
      <c r="D756" s="65">
        <v>0.6236921296296312</v>
      </c>
      <c r="E756" s="65">
        <v>0.007407407407407408</v>
      </c>
      <c r="F756" s="65">
        <v>0.6310995370370386</v>
      </c>
      <c r="G756" s="65" t="s">
        <v>924</v>
      </c>
      <c r="H756" s="52" t="s">
        <v>165</v>
      </c>
      <c r="I756" s="52" t="s">
        <v>926</v>
      </c>
      <c r="J756" s="52" t="s">
        <v>927</v>
      </c>
      <c r="K756" s="52"/>
      <c r="L756" s="52"/>
      <c r="M756" s="52"/>
      <c r="N756" s="52"/>
      <c r="O756" s="52"/>
      <c r="P756" s="69" t="s">
        <v>23</v>
      </c>
      <c r="Q756" s="80" t="s">
        <v>2732</v>
      </c>
      <c r="R756" s="51" t="b">
        <v>1</v>
      </c>
      <c r="S756" s="52" t="s">
        <v>926</v>
      </c>
      <c r="T756" s="52"/>
      <c r="U756" s="51" t="b">
        <v>0</v>
      </c>
      <c r="V756" s="51" t="b">
        <v>1</v>
      </c>
      <c r="W756" s="51" t="b">
        <v>1</v>
      </c>
      <c r="X756" s="51" t="b">
        <v>0</v>
      </c>
      <c r="Y756" s="51" t="b">
        <v>0</v>
      </c>
      <c r="Z756" s="51" t="b">
        <v>0</v>
      </c>
      <c r="AA756" s="71">
        <v>0.007407407407407408</v>
      </c>
      <c r="AB756" s="69" t="s">
        <v>2733</v>
      </c>
      <c r="AC756" s="52"/>
      <c r="AD756" s="76" t="s">
        <v>2734</v>
      </c>
      <c r="AE756" s="56" t="s">
        <v>629</v>
      </c>
      <c r="AF756" s="56" t="s">
        <v>1185</v>
      </c>
    </row>
    <row r="757">
      <c r="A757" s="52" t="s">
        <v>2735</v>
      </c>
      <c r="B757" s="52" t="s">
        <v>16</v>
      </c>
      <c r="C757" s="52" t="s">
        <v>289</v>
      </c>
      <c r="D757" s="65">
        <v>0.6310995370370386</v>
      </c>
      <c r="E757" s="65">
        <v>1.7361111111111112E-4</v>
      </c>
      <c r="F757" s="65">
        <v>0.6312731481481497</v>
      </c>
      <c r="G757" s="65" t="s">
        <v>924</v>
      </c>
      <c r="H757" s="52" t="s">
        <v>85</v>
      </c>
      <c r="I757" s="52" t="s">
        <v>85</v>
      </c>
      <c r="J757" s="52"/>
      <c r="K757" s="52"/>
      <c r="L757" s="52"/>
      <c r="M757" s="52"/>
      <c r="N757" s="52"/>
      <c r="O757" s="52"/>
      <c r="P757" s="52"/>
      <c r="Q757" s="52"/>
      <c r="R757" s="51" t="b">
        <v>0</v>
      </c>
      <c r="S757" s="51"/>
      <c r="T757" s="52"/>
      <c r="U757" s="51" t="b">
        <v>0</v>
      </c>
      <c r="V757" s="51" t="b">
        <v>0</v>
      </c>
      <c r="W757" s="51" t="b">
        <v>0</v>
      </c>
      <c r="X757" s="51" t="b">
        <v>0</v>
      </c>
      <c r="Y757" s="51" t="b">
        <v>0</v>
      </c>
      <c r="Z757" s="51" t="b">
        <v>0</v>
      </c>
      <c r="AA757" s="68"/>
      <c r="AB757" s="52"/>
      <c r="AC757" s="52"/>
      <c r="AD757" s="52"/>
      <c r="AE757" s="56"/>
      <c r="AF757" s="56" t="s">
        <v>1944</v>
      </c>
    </row>
    <row r="758">
      <c r="A758" s="52" t="s">
        <v>2736</v>
      </c>
      <c r="B758" s="52" t="s">
        <v>16</v>
      </c>
      <c r="C758" s="52" t="s">
        <v>289</v>
      </c>
      <c r="D758" s="65">
        <v>0.6312731481481497</v>
      </c>
      <c r="E758" s="65">
        <v>1.7361111111111112E-4</v>
      </c>
      <c r="F758" s="65">
        <v>0.6314467592592609</v>
      </c>
      <c r="G758" s="65" t="s">
        <v>924</v>
      </c>
      <c r="H758" s="52" t="s">
        <v>77</v>
      </c>
      <c r="I758" s="52" t="s">
        <v>930</v>
      </c>
      <c r="J758" s="52"/>
      <c r="K758" s="52"/>
      <c r="L758" s="52"/>
      <c r="M758" s="52"/>
      <c r="N758" s="52"/>
      <c r="O758" s="52"/>
      <c r="P758" s="52"/>
      <c r="Q758" s="52"/>
      <c r="R758" s="51" t="b">
        <v>0</v>
      </c>
      <c r="S758" s="51"/>
      <c r="T758" s="52"/>
      <c r="U758" s="51" t="b">
        <v>0</v>
      </c>
      <c r="V758" s="51" t="b">
        <v>0</v>
      </c>
      <c r="W758" s="51" t="b">
        <v>0</v>
      </c>
      <c r="X758" s="51" t="b">
        <v>0</v>
      </c>
      <c r="Y758" s="51" t="b">
        <v>0</v>
      </c>
      <c r="Z758" s="51" t="b">
        <v>0</v>
      </c>
      <c r="AA758" s="68"/>
      <c r="AB758" s="52"/>
      <c r="AC758" s="52"/>
      <c r="AD758" s="52"/>
      <c r="AE758" s="56"/>
      <c r="AF758" s="56" t="s">
        <v>2004</v>
      </c>
    </row>
    <row r="759">
      <c r="A759" s="52" t="s">
        <v>2737</v>
      </c>
      <c r="B759" s="52" t="s">
        <v>16</v>
      </c>
      <c r="C759" s="52" t="s">
        <v>289</v>
      </c>
      <c r="D759" s="65">
        <v>0.6314467592592609</v>
      </c>
      <c r="E759" s="65">
        <v>3.4722222222222224E-4</v>
      </c>
      <c r="F759" s="65">
        <v>0.6317939814814831</v>
      </c>
      <c r="G759" s="65" t="s">
        <v>924</v>
      </c>
      <c r="H759" s="52" t="s">
        <v>89</v>
      </c>
      <c r="I759" s="52" t="s">
        <v>89</v>
      </c>
      <c r="J759" s="52"/>
      <c r="K759" s="52"/>
      <c r="L759" s="52"/>
      <c r="M759" s="52"/>
      <c r="N759" s="52" t="s">
        <v>70</v>
      </c>
      <c r="O759" s="52"/>
      <c r="P759" s="69"/>
      <c r="Q759" s="52"/>
      <c r="R759" s="51" t="b">
        <v>0</v>
      </c>
      <c r="S759" s="51"/>
      <c r="T759" s="52"/>
      <c r="U759" s="51" t="b">
        <v>0</v>
      </c>
      <c r="V759" s="51" t="b">
        <v>0</v>
      </c>
      <c r="W759" s="51" t="b">
        <v>0</v>
      </c>
      <c r="X759" s="51" t="b">
        <v>0</v>
      </c>
      <c r="Y759" s="51" t="b">
        <v>0</v>
      </c>
      <c r="Z759" s="51" t="b">
        <v>0</v>
      </c>
      <c r="AA759" s="68"/>
      <c r="AB759" s="52"/>
      <c r="AC759" s="52"/>
      <c r="AD759" s="52"/>
      <c r="AE759" s="56"/>
      <c r="AF759" s="56" t="s">
        <v>1944</v>
      </c>
    </row>
    <row r="760">
      <c r="A760" s="52" t="s">
        <v>2738</v>
      </c>
      <c r="B760" s="52" t="s">
        <v>16</v>
      </c>
      <c r="C760" s="52" t="s">
        <v>289</v>
      </c>
      <c r="D760" s="65">
        <v>0.6317939814814831</v>
      </c>
      <c r="E760" s="65">
        <v>3.4722222222222224E-4</v>
      </c>
      <c r="F760" s="65">
        <v>0.6321412037037054</v>
      </c>
      <c r="G760" s="65" t="s">
        <v>924</v>
      </c>
      <c r="H760" s="52" t="s">
        <v>81</v>
      </c>
      <c r="I760" s="52" t="s">
        <v>81</v>
      </c>
      <c r="J760" s="52"/>
      <c r="K760" s="52"/>
      <c r="L760" s="52"/>
      <c r="M760" s="52"/>
      <c r="N760" s="52" t="s">
        <v>70</v>
      </c>
      <c r="O760" s="52"/>
      <c r="P760" s="52"/>
      <c r="Q760" s="52"/>
      <c r="R760" s="51" t="b">
        <v>0</v>
      </c>
      <c r="S760" s="51"/>
      <c r="T760" s="52"/>
      <c r="U760" s="51" t="b">
        <v>0</v>
      </c>
      <c r="V760" s="51" t="b">
        <v>0</v>
      </c>
      <c r="W760" s="51" t="b">
        <v>0</v>
      </c>
      <c r="X760" s="51" t="b">
        <v>0</v>
      </c>
      <c r="Y760" s="51" t="b">
        <v>0</v>
      </c>
      <c r="Z760" s="51" t="b">
        <v>0</v>
      </c>
      <c r="AA760" s="68"/>
      <c r="AB760" s="52"/>
      <c r="AC760" s="52"/>
      <c r="AD760" s="52"/>
      <c r="AE760" s="56"/>
      <c r="AF760" s="56" t="s">
        <v>1944</v>
      </c>
    </row>
    <row r="761">
      <c r="A761" s="52" t="s">
        <v>2739</v>
      </c>
      <c r="B761" s="52" t="s">
        <v>16</v>
      </c>
      <c r="C761" s="52" t="s">
        <v>289</v>
      </c>
      <c r="D761" s="65">
        <v>0.6321412037037054</v>
      </c>
      <c r="E761" s="65">
        <v>0.008333333333333333</v>
      </c>
      <c r="F761" s="65">
        <v>0.6404745370370387</v>
      </c>
      <c r="G761" s="65" t="s">
        <v>924</v>
      </c>
      <c r="H761" s="52" t="s">
        <v>165</v>
      </c>
      <c r="I761" s="52" t="s">
        <v>934</v>
      </c>
      <c r="J761" s="52" t="s">
        <v>935</v>
      </c>
      <c r="K761" s="52"/>
      <c r="L761" s="52"/>
      <c r="M761" s="52"/>
      <c r="N761" s="52" t="s">
        <v>70</v>
      </c>
      <c r="O761" s="52"/>
      <c r="P761" s="52"/>
      <c r="Q761" s="52"/>
      <c r="R761" s="51" t="b">
        <v>0</v>
      </c>
      <c r="S761" s="51"/>
      <c r="T761" s="52"/>
      <c r="U761" s="51" t="b">
        <v>0</v>
      </c>
      <c r="V761" s="51" t="b">
        <v>0</v>
      </c>
      <c r="W761" s="51" t="b">
        <v>0</v>
      </c>
      <c r="X761" s="51" t="b">
        <v>0</v>
      </c>
      <c r="Y761" s="51" t="b">
        <v>0</v>
      </c>
      <c r="Z761" s="51" t="b">
        <v>0</v>
      </c>
      <c r="AA761" s="68"/>
      <c r="AB761" s="52"/>
      <c r="AC761" s="52"/>
      <c r="AD761" s="52"/>
      <c r="AE761" s="56" t="s">
        <v>610</v>
      </c>
      <c r="AF761" s="56" t="s">
        <v>1185</v>
      </c>
    </row>
    <row r="762">
      <c r="A762" s="52" t="s">
        <v>2740</v>
      </c>
      <c r="B762" s="52" t="s">
        <v>16</v>
      </c>
      <c r="C762" s="52" t="s">
        <v>289</v>
      </c>
      <c r="D762" s="65">
        <v>0.6404745370370387</v>
      </c>
      <c r="E762" s="65">
        <v>1.7361111111111112E-4</v>
      </c>
      <c r="F762" s="65">
        <v>0.6406481481481499</v>
      </c>
      <c r="G762" s="65" t="s">
        <v>924</v>
      </c>
      <c r="H762" s="52" t="s">
        <v>85</v>
      </c>
      <c r="I762" s="52" t="s">
        <v>85</v>
      </c>
      <c r="J762" s="52"/>
      <c r="K762" s="52"/>
      <c r="L762" s="52"/>
      <c r="M762" s="52"/>
      <c r="N762" s="52" t="s">
        <v>70</v>
      </c>
      <c r="O762" s="52"/>
      <c r="P762" s="52"/>
      <c r="Q762" s="52"/>
      <c r="R762" s="51" t="b">
        <v>0</v>
      </c>
      <c r="S762" s="51"/>
      <c r="T762" s="52"/>
      <c r="U762" s="51" t="b">
        <v>0</v>
      </c>
      <c r="V762" s="51" t="b">
        <v>0</v>
      </c>
      <c r="W762" s="51" t="b">
        <v>0</v>
      </c>
      <c r="X762" s="51" t="b">
        <v>0</v>
      </c>
      <c r="Y762" s="51" t="b">
        <v>0</v>
      </c>
      <c r="Z762" s="51" t="b">
        <v>0</v>
      </c>
      <c r="AA762" s="68"/>
      <c r="AB762" s="52"/>
      <c r="AC762" s="52"/>
      <c r="AD762" s="52"/>
      <c r="AE762" s="56"/>
      <c r="AF762" s="56" t="s">
        <v>1944</v>
      </c>
    </row>
    <row r="763">
      <c r="A763" s="52" t="s">
        <v>2741</v>
      </c>
      <c r="B763" s="52" t="s">
        <v>16</v>
      </c>
      <c r="C763" s="52" t="s">
        <v>289</v>
      </c>
      <c r="D763" s="65">
        <v>0.6406481481481499</v>
      </c>
      <c r="E763" s="65">
        <v>3.4722222222222224E-4</v>
      </c>
      <c r="F763" s="65">
        <v>0.6409953703703721</v>
      </c>
      <c r="G763" s="65" t="s">
        <v>924</v>
      </c>
      <c r="H763" s="52" t="s">
        <v>506</v>
      </c>
      <c r="I763" s="52" t="s">
        <v>937</v>
      </c>
      <c r="J763" s="52"/>
      <c r="K763" s="52"/>
      <c r="L763" s="52"/>
      <c r="M763" s="52"/>
      <c r="N763" s="52" t="s">
        <v>70</v>
      </c>
      <c r="O763" s="52"/>
      <c r="P763" s="52"/>
      <c r="Q763" s="52"/>
      <c r="R763" s="51" t="b">
        <v>0</v>
      </c>
      <c r="S763" s="51"/>
      <c r="T763" s="52"/>
      <c r="U763" s="51" t="b">
        <v>0</v>
      </c>
      <c r="V763" s="51" t="b">
        <v>0</v>
      </c>
      <c r="W763" s="51" t="b">
        <v>0</v>
      </c>
      <c r="X763" s="51" t="b">
        <v>0</v>
      </c>
      <c r="Y763" s="51" t="b">
        <v>0</v>
      </c>
      <c r="Z763" s="51" t="b">
        <v>0</v>
      </c>
      <c r="AA763" s="68"/>
      <c r="AB763" s="52"/>
      <c r="AC763" s="52"/>
      <c r="AD763" s="52"/>
      <c r="AE763" s="56"/>
      <c r="AF763" s="56" t="s">
        <v>1215</v>
      </c>
    </row>
    <row r="764">
      <c r="A764" s="52" t="s">
        <v>2742</v>
      </c>
      <c r="B764" s="52" t="s">
        <v>16</v>
      </c>
      <c r="C764" s="52" t="s">
        <v>289</v>
      </c>
      <c r="D764" s="65">
        <v>0.6409953703703721</v>
      </c>
      <c r="E764" s="65">
        <v>3.4722222222222224E-4</v>
      </c>
      <c r="F764" s="65">
        <v>0.6413425925925944</v>
      </c>
      <c r="G764" s="65" t="s">
        <v>924</v>
      </c>
      <c r="H764" s="52" t="s">
        <v>81</v>
      </c>
      <c r="I764" s="52" t="s">
        <v>81</v>
      </c>
      <c r="J764" s="52"/>
      <c r="K764" s="52"/>
      <c r="L764" s="52"/>
      <c r="M764" s="52"/>
      <c r="N764" s="52" t="s">
        <v>70</v>
      </c>
      <c r="O764" s="52"/>
      <c r="P764" s="69"/>
      <c r="Q764" s="52"/>
      <c r="R764" s="51" t="b">
        <v>0</v>
      </c>
      <c r="S764" s="51"/>
      <c r="T764" s="52"/>
      <c r="U764" s="51" t="b">
        <v>0</v>
      </c>
      <c r="V764" s="51" t="b">
        <v>0</v>
      </c>
      <c r="W764" s="51" t="b">
        <v>0</v>
      </c>
      <c r="X764" s="51" t="b">
        <v>0</v>
      </c>
      <c r="Y764" s="51" t="b">
        <v>0</v>
      </c>
      <c r="Z764" s="51" t="b">
        <v>0</v>
      </c>
      <c r="AA764" s="68"/>
      <c r="AB764" s="52"/>
      <c r="AC764" s="52"/>
      <c r="AD764" s="52"/>
      <c r="AE764" s="56"/>
      <c r="AF764" s="56" t="s">
        <v>1944</v>
      </c>
    </row>
    <row r="765">
      <c r="A765" s="52" t="s">
        <v>2743</v>
      </c>
      <c r="B765" s="52" t="s">
        <v>16</v>
      </c>
      <c r="C765" s="52" t="s">
        <v>289</v>
      </c>
      <c r="D765" s="65">
        <v>0.6413425925925944</v>
      </c>
      <c r="E765" s="65">
        <v>0.010416666666666666</v>
      </c>
      <c r="F765" s="65">
        <v>0.651759259259261</v>
      </c>
      <c r="G765" s="65" t="s">
        <v>924</v>
      </c>
      <c r="H765" s="52" t="s">
        <v>74</v>
      </c>
      <c r="I765" s="52" t="s">
        <v>939</v>
      </c>
      <c r="J765" s="52" t="s">
        <v>940</v>
      </c>
      <c r="K765" s="52" t="s">
        <v>941</v>
      </c>
      <c r="L765" s="52" t="s">
        <v>942</v>
      </c>
      <c r="M765" s="52"/>
      <c r="N765" s="52" t="s">
        <v>943</v>
      </c>
      <c r="O765" s="69" t="s">
        <v>791</v>
      </c>
      <c r="P765" s="69" t="s">
        <v>32</v>
      </c>
      <c r="Q765" s="80" t="s">
        <v>2744</v>
      </c>
      <c r="R765" s="51" t="b">
        <v>1</v>
      </c>
      <c r="S765" s="52" t="s">
        <v>939</v>
      </c>
      <c r="T765" s="52"/>
      <c r="U765" s="51" t="b">
        <v>0</v>
      </c>
      <c r="V765" s="51" t="b">
        <v>1</v>
      </c>
      <c r="W765" s="51" t="b">
        <v>1</v>
      </c>
      <c r="X765" s="51" t="b">
        <v>0</v>
      </c>
      <c r="Y765" s="51" t="b">
        <v>0</v>
      </c>
      <c r="Z765" s="51" t="b">
        <v>0</v>
      </c>
      <c r="AA765" s="71">
        <v>0.010289351851851852</v>
      </c>
      <c r="AB765" s="69" t="s">
        <v>2745</v>
      </c>
      <c r="AC765" s="69"/>
      <c r="AD765" s="73" t="s">
        <v>2746</v>
      </c>
      <c r="AE765" s="74" t="s">
        <v>629</v>
      </c>
      <c r="AF765" s="74" t="s">
        <v>1185</v>
      </c>
    </row>
    <row r="766">
      <c r="A766" s="52" t="s">
        <v>2747</v>
      </c>
      <c r="B766" s="52" t="s">
        <v>16</v>
      </c>
      <c r="C766" s="52" t="s">
        <v>289</v>
      </c>
      <c r="D766" s="65">
        <v>0.651759259259261</v>
      </c>
      <c r="E766" s="65">
        <v>1.7361111111111112E-4</v>
      </c>
      <c r="F766" s="65">
        <v>0.6519328703703722</v>
      </c>
      <c r="G766" s="65" t="s">
        <v>924</v>
      </c>
      <c r="H766" s="52" t="s">
        <v>85</v>
      </c>
      <c r="I766" s="52" t="s">
        <v>85</v>
      </c>
      <c r="J766" s="52"/>
      <c r="K766" s="52"/>
      <c r="L766" s="52"/>
      <c r="M766" s="52"/>
      <c r="N766" s="52" t="s">
        <v>70</v>
      </c>
      <c r="O766" s="52"/>
      <c r="P766" s="52"/>
      <c r="Q766" s="52"/>
      <c r="R766" s="51" t="b">
        <v>0</v>
      </c>
      <c r="S766" s="51"/>
      <c r="T766" s="52"/>
      <c r="U766" s="51" t="b">
        <v>0</v>
      </c>
      <c r="V766" s="51" t="b">
        <v>0</v>
      </c>
      <c r="W766" s="51" t="b">
        <v>0</v>
      </c>
      <c r="X766" s="51" t="b">
        <v>0</v>
      </c>
      <c r="Y766" s="51" t="b">
        <v>0</v>
      </c>
      <c r="Z766" s="51" t="b">
        <v>0</v>
      </c>
      <c r="AA766" s="68"/>
      <c r="AB766" s="52"/>
      <c r="AC766" s="52"/>
      <c r="AD766" s="52"/>
      <c r="AE766" s="56"/>
      <c r="AF766" s="56" t="s">
        <v>1944</v>
      </c>
    </row>
    <row r="767">
      <c r="A767" s="52" t="s">
        <v>2748</v>
      </c>
      <c r="B767" s="52" t="s">
        <v>16</v>
      </c>
      <c r="C767" s="52" t="s">
        <v>289</v>
      </c>
      <c r="D767" s="65">
        <v>0.6317939814814831</v>
      </c>
      <c r="E767" s="65">
        <v>1.7361111111111112E-4</v>
      </c>
      <c r="F767" s="65">
        <v>0.6319675925925943</v>
      </c>
      <c r="G767" s="65" t="s">
        <v>924</v>
      </c>
      <c r="H767" s="52" t="s">
        <v>77</v>
      </c>
      <c r="I767" s="52" t="s">
        <v>932</v>
      </c>
      <c r="J767" s="52"/>
      <c r="K767" s="52"/>
      <c r="L767" s="52"/>
      <c r="M767" s="52"/>
      <c r="N767" s="52"/>
      <c r="O767" s="52"/>
      <c r="P767" s="52"/>
      <c r="Q767" s="52"/>
      <c r="R767" s="51" t="b">
        <v>0</v>
      </c>
      <c r="S767" s="51"/>
      <c r="T767" s="52"/>
      <c r="U767" s="51" t="b">
        <v>0</v>
      </c>
      <c r="V767" s="51" t="b">
        <v>0</v>
      </c>
      <c r="W767" s="51" t="b">
        <v>0</v>
      </c>
      <c r="X767" s="51" t="b">
        <v>0</v>
      </c>
      <c r="Y767" s="51" t="b">
        <v>0</v>
      </c>
      <c r="Z767" s="51" t="b">
        <v>0</v>
      </c>
      <c r="AA767" s="68"/>
      <c r="AB767" s="52"/>
      <c r="AC767" s="52"/>
      <c r="AD767" s="52"/>
      <c r="AE767" s="56"/>
      <c r="AF767" s="56" t="s">
        <v>2004</v>
      </c>
    </row>
    <row r="768">
      <c r="A768" s="52" t="s">
        <v>2749</v>
      </c>
      <c r="B768" s="52" t="s">
        <v>16</v>
      </c>
      <c r="C768" s="52" t="s">
        <v>289</v>
      </c>
      <c r="D768" s="65">
        <v>0.6519328703703722</v>
      </c>
      <c r="E768" s="65">
        <v>3.4722222222222224E-4</v>
      </c>
      <c r="F768" s="65">
        <v>0.6522800925925945</v>
      </c>
      <c r="G768" s="65" t="s">
        <v>924</v>
      </c>
      <c r="H768" s="52" t="s">
        <v>81</v>
      </c>
      <c r="I768" s="52" t="s">
        <v>81</v>
      </c>
      <c r="J768" s="52"/>
      <c r="K768" s="52"/>
      <c r="L768" s="52"/>
      <c r="M768" s="52"/>
      <c r="N768" s="52" t="s">
        <v>70</v>
      </c>
      <c r="O768" s="52"/>
      <c r="P768" s="52"/>
      <c r="Q768" s="52"/>
      <c r="R768" s="51" t="b">
        <v>0</v>
      </c>
      <c r="S768" s="51"/>
      <c r="T768" s="52"/>
      <c r="U768" s="51" t="b">
        <v>0</v>
      </c>
      <c r="V768" s="51" t="b">
        <v>0</v>
      </c>
      <c r="W768" s="51" t="b">
        <v>0</v>
      </c>
      <c r="X768" s="51" t="b">
        <v>0</v>
      </c>
      <c r="Y768" s="51" t="b">
        <v>0</v>
      </c>
      <c r="Z768" s="51" t="b">
        <v>0</v>
      </c>
      <c r="AA768" s="68"/>
      <c r="AB768" s="52"/>
      <c r="AC768" s="52"/>
      <c r="AD768" s="52"/>
      <c r="AE768" s="56"/>
      <c r="AF768" s="56" t="s">
        <v>1944</v>
      </c>
    </row>
    <row r="769">
      <c r="A769" s="52" t="s">
        <v>2750</v>
      </c>
      <c r="B769" s="52" t="s">
        <v>16</v>
      </c>
      <c r="C769" s="52" t="s">
        <v>289</v>
      </c>
      <c r="D769" s="65">
        <v>0.6522800925925945</v>
      </c>
      <c r="E769" s="65">
        <v>0.006030092592592593</v>
      </c>
      <c r="F769" s="65">
        <v>0.658310185185187</v>
      </c>
      <c r="G769" s="65" t="s">
        <v>924</v>
      </c>
      <c r="H769" s="52" t="s">
        <v>165</v>
      </c>
      <c r="I769" s="52" t="s">
        <v>948</v>
      </c>
      <c r="J769" s="52" t="s">
        <v>949</v>
      </c>
      <c r="K769" s="52"/>
      <c r="L769" s="52"/>
      <c r="M769" s="52"/>
      <c r="N769" s="52" t="s">
        <v>70</v>
      </c>
      <c r="O769" s="69" t="s">
        <v>884</v>
      </c>
      <c r="P769" s="69" t="s">
        <v>32</v>
      </c>
      <c r="Q769" s="80" t="s">
        <v>2751</v>
      </c>
      <c r="R769" s="51" t="b">
        <v>1</v>
      </c>
      <c r="S769" s="4" t="s">
        <v>948</v>
      </c>
      <c r="T769" s="52"/>
      <c r="U769" s="51" t="b">
        <v>0</v>
      </c>
      <c r="V769" s="51" t="b">
        <v>1</v>
      </c>
      <c r="W769" s="51" t="b">
        <v>1</v>
      </c>
      <c r="X769" s="51" t="b">
        <v>0</v>
      </c>
      <c r="Y769" s="51" t="b">
        <v>0</v>
      </c>
      <c r="Z769" s="51" t="b">
        <v>0</v>
      </c>
      <c r="AA769" s="71">
        <v>0.006030092592592593</v>
      </c>
      <c r="AB769" s="69" t="s">
        <v>2752</v>
      </c>
      <c r="AC769" s="69" t="s">
        <v>2753</v>
      </c>
      <c r="AD769" s="73" t="s">
        <v>2754</v>
      </c>
      <c r="AE769" s="56" t="s">
        <v>743</v>
      </c>
      <c r="AF769" s="56" t="s">
        <v>1185</v>
      </c>
    </row>
    <row r="770">
      <c r="A770" s="52" t="s">
        <v>2755</v>
      </c>
      <c r="B770" s="52" t="s">
        <v>16</v>
      </c>
      <c r="C770" s="52" t="s">
        <v>289</v>
      </c>
      <c r="D770" s="65">
        <v>0.658310185185187</v>
      </c>
      <c r="E770" s="65">
        <v>1.7361111111111112E-4</v>
      </c>
      <c r="F770" s="65">
        <v>0.6584837962962982</v>
      </c>
      <c r="G770" s="65" t="s">
        <v>924</v>
      </c>
      <c r="H770" s="52" t="s">
        <v>85</v>
      </c>
      <c r="I770" s="52" t="s">
        <v>85</v>
      </c>
      <c r="J770" s="52"/>
      <c r="K770" s="52"/>
      <c r="L770" s="52"/>
      <c r="M770" s="52"/>
      <c r="N770" s="52" t="s">
        <v>70</v>
      </c>
      <c r="O770" s="52"/>
      <c r="P770" s="52"/>
      <c r="Q770" s="52"/>
      <c r="R770" s="51" t="b">
        <v>0</v>
      </c>
      <c r="S770" s="51"/>
      <c r="T770" s="52"/>
      <c r="U770" s="51" t="b">
        <v>0</v>
      </c>
      <c r="V770" s="51" t="b">
        <v>0</v>
      </c>
      <c r="W770" s="51" t="b">
        <v>0</v>
      </c>
      <c r="X770" s="51" t="b">
        <v>0</v>
      </c>
      <c r="Y770" s="51" t="b">
        <v>0</v>
      </c>
      <c r="Z770" s="51" t="b">
        <v>0</v>
      </c>
      <c r="AA770" s="68"/>
      <c r="AB770" s="52"/>
      <c r="AC770" s="52"/>
      <c r="AD770" s="52"/>
      <c r="AE770" s="56"/>
      <c r="AF770" s="56" t="s">
        <v>1944</v>
      </c>
    </row>
    <row r="771">
      <c r="A771" s="52" t="s">
        <v>2756</v>
      </c>
      <c r="B771" s="52" t="s">
        <v>16</v>
      </c>
      <c r="C771" s="52" t="s">
        <v>289</v>
      </c>
      <c r="D771" s="65">
        <v>0.6588310185185204</v>
      </c>
      <c r="E771" s="65">
        <v>0.005914351851851852</v>
      </c>
      <c r="F771" s="65">
        <v>0.6647453703703723</v>
      </c>
      <c r="G771" s="65" t="s">
        <v>924</v>
      </c>
      <c r="H771" s="52" t="s">
        <v>165</v>
      </c>
      <c r="I771" s="52" t="s">
        <v>952</v>
      </c>
      <c r="J771" s="52" t="s">
        <v>953</v>
      </c>
      <c r="K771" s="52"/>
      <c r="L771" s="52"/>
      <c r="M771" s="52"/>
      <c r="N771" s="52" t="s">
        <v>70</v>
      </c>
      <c r="O771" s="69" t="s">
        <v>884</v>
      </c>
      <c r="P771" s="69" t="s">
        <v>30</v>
      </c>
      <c r="Q771" s="80" t="s">
        <v>2757</v>
      </c>
      <c r="R771" s="51" t="b">
        <v>1</v>
      </c>
      <c r="S771" s="52" t="s">
        <v>952</v>
      </c>
      <c r="T771" s="52"/>
      <c r="U771" s="51" t="b">
        <v>0</v>
      </c>
      <c r="V771" s="51" t="b">
        <v>1</v>
      </c>
      <c r="W771" s="51" t="b">
        <v>1</v>
      </c>
      <c r="X771" s="51" t="b">
        <v>0</v>
      </c>
      <c r="Y771" s="51" t="b">
        <v>0</v>
      </c>
      <c r="Z771" s="51" t="b">
        <v>0</v>
      </c>
      <c r="AA771" s="71">
        <v>0.005914351851851852</v>
      </c>
      <c r="AB771" s="69" t="s">
        <v>2758</v>
      </c>
      <c r="AC771" s="52"/>
      <c r="AD771" s="73" t="s">
        <v>2759</v>
      </c>
      <c r="AE771" s="56" t="s">
        <v>743</v>
      </c>
      <c r="AF771" s="56" t="s">
        <v>803</v>
      </c>
    </row>
    <row r="772">
      <c r="A772" s="52" t="s">
        <v>2760</v>
      </c>
      <c r="B772" s="52" t="s">
        <v>16</v>
      </c>
      <c r="C772" s="52" t="s">
        <v>289</v>
      </c>
      <c r="D772" s="65">
        <v>0.7062731481481507</v>
      </c>
      <c r="E772" s="65">
        <v>3.935185185185185E-4</v>
      </c>
      <c r="F772" s="65">
        <v>0.7066666666666692</v>
      </c>
      <c r="G772" s="65" t="s">
        <v>924</v>
      </c>
      <c r="H772" s="52" t="s">
        <v>598</v>
      </c>
      <c r="I772" s="52" t="s">
        <v>598</v>
      </c>
      <c r="J772" s="52"/>
      <c r="K772" s="52"/>
      <c r="L772" s="52"/>
      <c r="M772" s="52"/>
      <c r="N772" s="52" t="s">
        <v>70</v>
      </c>
      <c r="O772" s="52"/>
      <c r="P772" s="52"/>
      <c r="Q772" s="52"/>
      <c r="R772" s="51" t="b">
        <v>0</v>
      </c>
      <c r="S772" s="51"/>
      <c r="T772" s="52"/>
      <c r="U772" s="51" t="b">
        <v>0</v>
      </c>
      <c r="V772" s="51" t="b">
        <v>0</v>
      </c>
      <c r="W772" s="51" t="b">
        <v>0</v>
      </c>
      <c r="X772" s="51" t="b">
        <v>0</v>
      </c>
      <c r="Y772" s="51" t="b">
        <v>0</v>
      </c>
      <c r="Z772" s="51" t="b">
        <v>0</v>
      </c>
      <c r="AA772" s="68"/>
      <c r="AB772" s="52"/>
      <c r="AC772" s="52"/>
      <c r="AD772" s="52"/>
      <c r="AE772" s="56"/>
      <c r="AF772" s="56" t="s">
        <v>1944</v>
      </c>
    </row>
    <row r="773">
      <c r="A773" s="52" t="s">
        <v>2761</v>
      </c>
      <c r="B773" s="52" t="s">
        <v>16</v>
      </c>
      <c r="C773" s="52"/>
      <c r="D773" s="65"/>
      <c r="E773" s="65"/>
      <c r="F773" s="65"/>
      <c r="G773" s="65"/>
      <c r="H773" s="52"/>
      <c r="I773" s="52"/>
      <c r="J773" s="52"/>
      <c r="K773" s="52"/>
      <c r="L773" s="52"/>
      <c r="M773" s="52"/>
      <c r="N773" s="52" t="s">
        <v>70</v>
      </c>
      <c r="O773" s="52"/>
      <c r="P773" s="52"/>
      <c r="Q773" s="52"/>
      <c r="R773" s="51" t="b">
        <v>0</v>
      </c>
      <c r="S773" s="51"/>
      <c r="T773" s="52"/>
      <c r="U773" s="51" t="b">
        <v>0</v>
      </c>
      <c r="V773" s="51" t="b">
        <v>0</v>
      </c>
      <c r="W773" s="51" t="b">
        <v>0</v>
      </c>
      <c r="X773" s="51" t="b">
        <v>0</v>
      </c>
      <c r="Y773" s="51" t="b">
        <v>0</v>
      </c>
      <c r="Z773" s="51" t="b">
        <v>0</v>
      </c>
      <c r="AA773" s="68"/>
      <c r="AB773" s="52"/>
      <c r="AC773" s="52"/>
      <c r="AD773" s="52"/>
      <c r="AE773" s="56"/>
      <c r="AF773" s="56"/>
    </row>
    <row r="774">
      <c r="A774" s="52" t="s">
        <v>2762</v>
      </c>
      <c r="B774" s="52" t="s">
        <v>16</v>
      </c>
      <c r="C774" s="52"/>
      <c r="D774" s="65"/>
      <c r="E774" s="65"/>
      <c r="F774" s="65"/>
      <c r="G774" s="65"/>
      <c r="H774" s="52"/>
      <c r="I774" s="52"/>
      <c r="J774" s="52"/>
      <c r="K774" s="52"/>
      <c r="L774" s="52"/>
      <c r="M774" s="52"/>
      <c r="N774" s="52" t="s">
        <v>70</v>
      </c>
      <c r="O774" s="52"/>
      <c r="P774" s="52"/>
      <c r="Q774" s="52"/>
      <c r="R774" s="51" t="b">
        <v>0</v>
      </c>
      <c r="S774" s="51"/>
      <c r="T774" s="52"/>
      <c r="U774" s="51" t="b">
        <v>0</v>
      </c>
      <c r="V774" s="51" t="b">
        <v>0</v>
      </c>
      <c r="W774" s="51" t="b">
        <v>0</v>
      </c>
      <c r="X774" s="51" t="b">
        <v>0</v>
      </c>
      <c r="Y774" s="51" t="b">
        <v>0</v>
      </c>
      <c r="Z774" s="51" t="b">
        <v>0</v>
      </c>
      <c r="AA774" s="68"/>
      <c r="AB774" s="52"/>
      <c r="AC774" s="52"/>
      <c r="AD774" s="52"/>
      <c r="AE774" s="56"/>
      <c r="AF774" s="56"/>
    </row>
    <row r="775">
      <c r="A775" s="52" t="s">
        <v>2763</v>
      </c>
      <c r="B775" s="52" t="s">
        <v>16</v>
      </c>
      <c r="C775" s="52"/>
      <c r="D775" s="65"/>
      <c r="E775" s="65"/>
      <c r="F775" s="65"/>
      <c r="G775" s="65"/>
      <c r="H775" s="52"/>
      <c r="I775" s="52"/>
      <c r="J775" s="52"/>
      <c r="K775" s="52"/>
      <c r="L775" s="52"/>
      <c r="M775" s="52"/>
      <c r="N775" s="52" t="s">
        <v>70</v>
      </c>
      <c r="O775" s="52"/>
      <c r="P775" s="52"/>
      <c r="Q775" s="52"/>
      <c r="R775" s="51" t="b">
        <v>0</v>
      </c>
      <c r="S775" s="51"/>
      <c r="T775" s="52"/>
      <c r="U775" s="51" t="b">
        <v>0</v>
      </c>
      <c r="V775" s="51" t="b">
        <v>0</v>
      </c>
      <c r="W775" s="51" t="b">
        <v>0</v>
      </c>
      <c r="X775" s="51" t="b">
        <v>0</v>
      </c>
      <c r="Y775" s="51" t="b">
        <v>0</v>
      </c>
      <c r="Z775" s="51" t="b">
        <v>0</v>
      </c>
      <c r="AA775" s="68"/>
      <c r="AB775" s="52"/>
      <c r="AC775" s="52"/>
      <c r="AD775" s="52"/>
      <c r="AE775" s="56"/>
      <c r="AF775" s="56"/>
    </row>
    <row r="776">
      <c r="A776" s="52" t="s">
        <v>2764</v>
      </c>
      <c r="B776" s="52" t="s">
        <v>990</v>
      </c>
      <c r="C776" s="52"/>
      <c r="D776" s="65"/>
      <c r="E776" s="65"/>
      <c r="F776" s="65"/>
      <c r="G776" s="65"/>
      <c r="H776" s="52"/>
      <c r="I776" s="52"/>
      <c r="J776" s="52"/>
      <c r="K776" s="52"/>
      <c r="L776" s="52"/>
      <c r="M776" s="52"/>
      <c r="N776" s="52" t="s">
        <v>70</v>
      </c>
      <c r="O776" s="52"/>
      <c r="P776" s="52"/>
      <c r="Q776" s="52"/>
      <c r="R776" s="51" t="b">
        <v>0</v>
      </c>
      <c r="S776" s="51"/>
      <c r="T776" s="52"/>
      <c r="U776" s="51" t="b">
        <v>0</v>
      </c>
      <c r="V776" s="51" t="b">
        <v>0</v>
      </c>
      <c r="W776" s="51" t="b">
        <v>0</v>
      </c>
      <c r="X776" s="51" t="b">
        <v>0</v>
      </c>
      <c r="Y776" s="51" t="b">
        <v>0</v>
      </c>
      <c r="Z776" s="51" t="b">
        <v>0</v>
      </c>
      <c r="AA776" s="68"/>
      <c r="AB776" s="52"/>
      <c r="AC776" s="52"/>
      <c r="AD776" s="52"/>
      <c r="AE776" s="56"/>
      <c r="AF776" s="56"/>
    </row>
    <row r="777">
      <c r="A777" s="52" t="s">
        <v>2765</v>
      </c>
      <c r="B777" s="52" t="s">
        <v>65</v>
      </c>
      <c r="C777" s="52"/>
      <c r="D777" s="65"/>
      <c r="E777" s="65"/>
      <c r="F777" s="65"/>
      <c r="G777" s="65"/>
      <c r="H777" s="52"/>
      <c r="I777" s="52"/>
      <c r="J777" s="52"/>
      <c r="K777" s="52"/>
      <c r="L777" s="52"/>
      <c r="M777" s="52"/>
      <c r="N777" s="52" t="s">
        <v>70</v>
      </c>
      <c r="O777" s="52"/>
      <c r="P777" s="52"/>
      <c r="Q777" s="52"/>
      <c r="R777" s="51" t="b">
        <v>0</v>
      </c>
      <c r="S777" s="51"/>
      <c r="T777" s="52"/>
      <c r="U777" s="51" t="b">
        <v>0</v>
      </c>
      <c r="V777" s="51" t="b">
        <v>0</v>
      </c>
      <c r="W777" s="51" t="b">
        <v>0</v>
      </c>
      <c r="X777" s="51" t="b">
        <v>0</v>
      </c>
      <c r="Y777" s="51" t="b">
        <v>0</v>
      </c>
      <c r="Z777" s="51" t="b">
        <v>0</v>
      </c>
      <c r="AA777" s="68"/>
      <c r="AB777" s="52"/>
      <c r="AC777" s="52"/>
      <c r="AD777" s="52"/>
      <c r="AE777" s="56"/>
      <c r="AF777" s="56"/>
    </row>
    <row r="778">
      <c r="A778" s="52" t="s">
        <v>2766</v>
      </c>
      <c r="B778" s="52" t="s">
        <v>19</v>
      </c>
      <c r="C778" s="52" t="s">
        <v>66</v>
      </c>
      <c r="D778" s="65">
        <v>0.4166666666666667</v>
      </c>
      <c r="E778" s="65">
        <v>0.0010416666666666667</v>
      </c>
      <c r="F778" s="65">
        <v>0.41770833333333335</v>
      </c>
      <c r="G778" s="65"/>
      <c r="H778" s="52" t="s">
        <v>67</v>
      </c>
      <c r="I778" s="52"/>
      <c r="J778" s="52"/>
      <c r="K778" s="52"/>
      <c r="L778" s="52"/>
      <c r="M778" s="52"/>
      <c r="N778" s="52" t="s">
        <v>70</v>
      </c>
      <c r="O778" s="52"/>
      <c r="P778" s="52"/>
      <c r="Q778" s="52"/>
      <c r="R778" s="51" t="b">
        <v>0</v>
      </c>
      <c r="S778" s="51"/>
      <c r="T778" s="52"/>
      <c r="U778" s="51" t="b">
        <v>0</v>
      </c>
      <c r="V778" s="51" t="b">
        <v>0</v>
      </c>
      <c r="W778" s="51" t="b">
        <v>0</v>
      </c>
      <c r="X778" s="51" t="b">
        <v>0</v>
      </c>
      <c r="Y778" s="51" t="b">
        <v>0</v>
      </c>
      <c r="Z778" s="51" t="b">
        <v>0</v>
      </c>
      <c r="AA778" s="68"/>
      <c r="AB778" s="52"/>
      <c r="AC778" s="52"/>
      <c r="AD778" s="52"/>
      <c r="AE778" s="56"/>
      <c r="AF778" s="56" t="s">
        <v>1944</v>
      </c>
    </row>
    <row r="779">
      <c r="A779" s="52" t="s">
        <v>2767</v>
      </c>
      <c r="B779" s="52" t="s">
        <v>607</v>
      </c>
      <c r="C779" s="52" t="s">
        <v>607</v>
      </c>
      <c r="D779" s="65" t="s">
        <v>607</v>
      </c>
      <c r="E779" s="65" t="s">
        <v>607</v>
      </c>
      <c r="F779" s="65" t="s">
        <v>607</v>
      </c>
      <c r="G779" s="65" t="s">
        <v>607</v>
      </c>
      <c r="H779" s="52" t="s">
        <v>607</v>
      </c>
      <c r="I779" s="52" t="s">
        <v>607</v>
      </c>
      <c r="J779" s="52" t="s">
        <v>607</v>
      </c>
      <c r="K779" s="52" t="s">
        <v>607</v>
      </c>
      <c r="L779" s="52" t="s">
        <v>607</v>
      </c>
      <c r="M779" s="52" t="s">
        <v>607</v>
      </c>
      <c r="N779" s="52" t="s">
        <v>607</v>
      </c>
      <c r="O779" s="52"/>
      <c r="P779" s="52"/>
      <c r="Q779" s="52"/>
      <c r="R779" s="51" t="b">
        <v>0</v>
      </c>
      <c r="S779" s="51"/>
      <c r="T779" s="52"/>
      <c r="U779" s="51" t="b">
        <v>0</v>
      </c>
      <c r="V779" s="51" t="b">
        <v>0</v>
      </c>
      <c r="W779" s="51" t="b">
        <v>0</v>
      </c>
      <c r="X779" s="51" t="b">
        <v>0</v>
      </c>
      <c r="Y779" s="51" t="b">
        <v>0</v>
      </c>
      <c r="Z779" s="51" t="b">
        <v>0</v>
      </c>
      <c r="AA779" s="68"/>
      <c r="AB779" s="52"/>
      <c r="AC779" s="52"/>
      <c r="AD779" s="52"/>
      <c r="AE779" s="56" t="s">
        <v>607</v>
      </c>
      <c r="AF779" s="56" t="s">
        <v>607</v>
      </c>
    </row>
    <row r="780">
      <c r="A780" s="52" t="s">
        <v>2768</v>
      </c>
      <c r="B780" s="52" t="s">
        <v>19</v>
      </c>
      <c r="C780" s="52" t="s">
        <v>66</v>
      </c>
      <c r="D780" s="65">
        <v>0.4447222222222223</v>
      </c>
      <c r="E780" s="65">
        <v>2.314814814814815E-4</v>
      </c>
      <c r="F780" s="65">
        <v>0.4449537037037038</v>
      </c>
      <c r="G780" s="65" t="s">
        <v>120</v>
      </c>
      <c r="H780" s="52" t="s">
        <v>81</v>
      </c>
      <c r="I780" s="52" t="s">
        <v>81</v>
      </c>
      <c r="J780" s="52"/>
      <c r="K780" s="52"/>
      <c r="L780" s="52"/>
      <c r="M780" s="52"/>
      <c r="N780" s="52" t="s">
        <v>70</v>
      </c>
      <c r="O780" s="52"/>
      <c r="P780" s="52"/>
      <c r="Q780" s="52"/>
      <c r="R780" s="51" t="b">
        <v>0</v>
      </c>
      <c r="S780" s="51"/>
      <c r="T780" s="52"/>
      <c r="U780" s="51" t="b">
        <v>0</v>
      </c>
      <c r="V780" s="51" t="b">
        <v>0</v>
      </c>
      <c r="W780" s="51" t="b">
        <v>0</v>
      </c>
      <c r="X780" s="51" t="b">
        <v>0</v>
      </c>
      <c r="Y780" s="51" t="b">
        <v>0</v>
      </c>
      <c r="Z780" s="51" t="b">
        <v>0</v>
      </c>
      <c r="AA780" s="68"/>
      <c r="AB780" s="52"/>
      <c r="AC780" s="52"/>
      <c r="AD780" s="52"/>
      <c r="AE780" s="56"/>
      <c r="AF780" s="56" t="s">
        <v>1944</v>
      </c>
    </row>
    <row r="781">
      <c r="A781" s="52" t="s">
        <v>2769</v>
      </c>
      <c r="B781" s="52" t="s">
        <v>19</v>
      </c>
      <c r="C781" s="52" t="s">
        <v>66</v>
      </c>
      <c r="D781" s="65">
        <v>0.4449537037037038</v>
      </c>
      <c r="E781" s="65">
        <v>0.009652777777777777</v>
      </c>
      <c r="F781" s="65">
        <v>0.4546064814814816</v>
      </c>
      <c r="G781" s="65" t="s">
        <v>120</v>
      </c>
      <c r="H781" s="52" t="s">
        <v>107</v>
      </c>
      <c r="I781" s="52" t="s">
        <v>1011</v>
      </c>
      <c r="J781" s="52" t="s">
        <v>1012</v>
      </c>
      <c r="K781" s="52" t="s">
        <v>1013</v>
      </c>
      <c r="L781" s="52"/>
      <c r="M781" s="52"/>
      <c r="N781" s="52" t="s">
        <v>1002</v>
      </c>
      <c r="O781" s="52"/>
      <c r="P781" s="69" t="s">
        <v>23</v>
      </c>
      <c r="Q781" s="80" t="s">
        <v>2770</v>
      </c>
      <c r="R781" s="51" t="b">
        <v>1</v>
      </c>
      <c r="S781" s="52" t="s">
        <v>1011</v>
      </c>
      <c r="T781" s="52"/>
      <c r="U781" s="51" t="b">
        <v>0</v>
      </c>
      <c r="V781" s="51" t="b">
        <v>1</v>
      </c>
      <c r="W781" s="51" t="b">
        <v>1</v>
      </c>
      <c r="X781" s="51" t="b">
        <v>0</v>
      </c>
      <c r="Y781" s="51" t="b">
        <v>0</v>
      </c>
      <c r="Z781" s="51" t="b">
        <v>0</v>
      </c>
      <c r="AA781" s="71">
        <v>0.009652777777777777</v>
      </c>
      <c r="AB781" s="69" t="s">
        <v>2771</v>
      </c>
      <c r="AC781" s="52"/>
      <c r="AD781" s="76" t="s">
        <v>2772</v>
      </c>
      <c r="AE781" s="56" t="s">
        <v>629</v>
      </c>
      <c r="AF781" s="56" t="s">
        <v>1076</v>
      </c>
    </row>
    <row r="782">
      <c r="A782" s="52" t="s">
        <v>2773</v>
      </c>
      <c r="B782" s="52" t="s">
        <v>607</v>
      </c>
      <c r="C782" s="52" t="s">
        <v>607</v>
      </c>
      <c r="D782" s="65" t="s">
        <v>607</v>
      </c>
      <c r="E782" s="65" t="s">
        <v>607</v>
      </c>
      <c r="F782" s="65" t="s">
        <v>607</v>
      </c>
      <c r="G782" s="65" t="s">
        <v>607</v>
      </c>
      <c r="H782" s="52" t="s">
        <v>607</v>
      </c>
      <c r="I782" s="52" t="s">
        <v>607</v>
      </c>
      <c r="J782" s="52" t="s">
        <v>607</v>
      </c>
      <c r="K782" s="52" t="s">
        <v>607</v>
      </c>
      <c r="L782" s="52" t="s">
        <v>607</v>
      </c>
      <c r="M782" s="52" t="s">
        <v>607</v>
      </c>
      <c r="N782" s="52" t="s">
        <v>607</v>
      </c>
      <c r="O782" s="52"/>
      <c r="P782" s="52"/>
      <c r="Q782" s="52"/>
      <c r="R782" s="51" t="b">
        <v>0</v>
      </c>
      <c r="S782" s="51"/>
      <c r="T782" s="52"/>
      <c r="U782" s="51" t="b">
        <v>0</v>
      </c>
      <c r="V782" s="51" t="b">
        <v>0</v>
      </c>
      <c r="W782" s="51" t="b">
        <v>0</v>
      </c>
      <c r="X782" s="51" t="b">
        <v>0</v>
      </c>
      <c r="Y782" s="51" t="b">
        <v>0</v>
      </c>
      <c r="Z782" s="51" t="b">
        <v>0</v>
      </c>
      <c r="AA782" s="68"/>
      <c r="AB782" s="52"/>
      <c r="AC782" s="52"/>
      <c r="AD782" s="52"/>
      <c r="AE782" s="56" t="s">
        <v>607</v>
      </c>
      <c r="AF782" s="56" t="s">
        <v>607</v>
      </c>
    </row>
    <row r="783">
      <c r="A783" s="52" t="s">
        <v>2774</v>
      </c>
      <c r="B783" s="52" t="s">
        <v>19</v>
      </c>
      <c r="C783" s="52" t="s">
        <v>66</v>
      </c>
      <c r="D783" s="65">
        <v>0.42802083333333335</v>
      </c>
      <c r="E783" s="65">
        <v>2.314814814814815E-4</v>
      </c>
      <c r="F783" s="65">
        <v>0.42825231481481485</v>
      </c>
      <c r="G783" s="65" t="s">
        <v>120</v>
      </c>
      <c r="H783" s="52" t="s">
        <v>81</v>
      </c>
      <c r="I783" s="52" t="s">
        <v>81</v>
      </c>
      <c r="J783" s="52"/>
      <c r="K783" s="52"/>
      <c r="L783" s="52"/>
      <c r="M783" s="52"/>
      <c r="N783" s="52" t="s">
        <v>70</v>
      </c>
      <c r="O783" s="52"/>
      <c r="P783" s="52"/>
      <c r="Q783" s="52"/>
      <c r="R783" s="51" t="b">
        <v>0</v>
      </c>
      <c r="S783" s="51"/>
      <c r="T783" s="52"/>
      <c r="U783" s="51" t="b">
        <v>0</v>
      </c>
      <c r="V783" s="51" t="b">
        <v>0</v>
      </c>
      <c r="W783" s="51" t="b">
        <v>0</v>
      </c>
      <c r="X783" s="51" t="b">
        <v>0</v>
      </c>
      <c r="Y783" s="51" t="b">
        <v>0</v>
      </c>
      <c r="Z783" s="51" t="b">
        <v>0</v>
      </c>
      <c r="AA783" s="68"/>
      <c r="AB783" s="52"/>
      <c r="AC783" s="52"/>
      <c r="AD783" s="52"/>
      <c r="AE783" s="56"/>
      <c r="AF783" s="56" t="s">
        <v>1944</v>
      </c>
    </row>
    <row r="784">
      <c r="A784" s="52" t="s">
        <v>2775</v>
      </c>
      <c r="B784" s="52" t="s">
        <v>19</v>
      </c>
      <c r="C784" s="52" t="s">
        <v>66</v>
      </c>
      <c r="D784" s="65">
        <v>0.42825231481481485</v>
      </c>
      <c r="E784" s="65">
        <v>0.013888888888888888</v>
      </c>
      <c r="F784" s="65">
        <v>0.44214120370370374</v>
      </c>
      <c r="G784" s="65" t="s">
        <v>120</v>
      </c>
      <c r="H784" s="52" t="s">
        <v>94</v>
      </c>
      <c r="I784" s="52" t="s">
        <v>999</v>
      </c>
      <c r="J784" s="52" t="s">
        <v>1000</v>
      </c>
      <c r="K784" s="52"/>
      <c r="L784" s="52"/>
      <c r="M784" s="52"/>
      <c r="N784" s="52" t="s">
        <v>1002</v>
      </c>
      <c r="O784" s="69"/>
      <c r="P784" s="69" t="s">
        <v>23</v>
      </c>
      <c r="Q784" s="80" t="s">
        <v>2776</v>
      </c>
      <c r="R784" s="51" t="b">
        <v>1</v>
      </c>
      <c r="S784" s="52" t="s">
        <v>999</v>
      </c>
      <c r="T784" s="52"/>
      <c r="U784" s="51" t="b">
        <v>0</v>
      </c>
      <c r="V784" s="51" t="b">
        <v>0</v>
      </c>
      <c r="W784" s="51" t="b">
        <v>0</v>
      </c>
      <c r="X784" s="51" t="b">
        <v>0</v>
      </c>
      <c r="Y784" s="51" t="b">
        <v>0</v>
      </c>
      <c r="Z784" s="51" t="b">
        <v>0</v>
      </c>
      <c r="AA784" s="68"/>
      <c r="AB784" s="52"/>
      <c r="AC784" s="52"/>
      <c r="AD784" s="52"/>
      <c r="AE784" s="56" t="s">
        <v>652</v>
      </c>
      <c r="AF784" s="56" t="s">
        <v>873</v>
      </c>
    </row>
    <row r="785">
      <c r="A785" s="52" t="s">
        <v>2777</v>
      </c>
      <c r="B785" s="52" t="s">
        <v>19</v>
      </c>
      <c r="C785" s="52" t="s">
        <v>66</v>
      </c>
      <c r="D785" s="65">
        <v>0.44214120370370374</v>
      </c>
      <c r="E785" s="65">
        <v>1.7361111111111112E-4</v>
      </c>
      <c r="F785" s="65">
        <v>0.4423148148148149</v>
      </c>
      <c r="G785" s="65" t="s">
        <v>120</v>
      </c>
      <c r="H785" s="52" t="s">
        <v>85</v>
      </c>
      <c r="I785" s="52" t="s">
        <v>1004</v>
      </c>
      <c r="J785" s="52"/>
      <c r="K785" s="52"/>
      <c r="L785" s="52"/>
      <c r="M785" s="52"/>
      <c r="N785" s="52" t="s">
        <v>70</v>
      </c>
      <c r="O785" s="52"/>
      <c r="P785" s="52"/>
      <c r="Q785" s="52"/>
      <c r="R785" s="51" t="b">
        <v>0</v>
      </c>
      <c r="S785" s="51"/>
      <c r="T785" s="52"/>
      <c r="U785" s="51" t="b">
        <v>0</v>
      </c>
      <c r="V785" s="51" t="b">
        <v>0</v>
      </c>
      <c r="W785" s="51" t="b">
        <v>0</v>
      </c>
      <c r="X785" s="51" t="b">
        <v>0</v>
      </c>
      <c r="Y785" s="51" t="b">
        <v>0</v>
      </c>
      <c r="Z785" s="51" t="b">
        <v>0</v>
      </c>
      <c r="AA785" s="68"/>
      <c r="AB785" s="52"/>
      <c r="AC785" s="52"/>
      <c r="AD785" s="52"/>
      <c r="AE785" s="56"/>
      <c r="AF785" s="56" t="s">
        <v>1944</v>
      </c>
    </row>
    <row r="786">
      <c r="A786" s="52" t="s">
        <v>2778</v>
      </c>
      <c r="B786" s="52" t="s">
        <v>19</v>
      </c>
      <c r="C786" s="52" t="s">
        <v>66</v>
      </c>
      <c r="D786" s="65">
        <v>0.4423148148148149</v>
      </c>
      <c r="E786" s="65">
        <v>2.314814814814815E-4</v>
      </c>
      <c r="F786" s="65">
        <v>0.4425462962962964</v>
      </c>
      <c r="G786" s="65" t="s">
        <v>120</v>
      </c>
      <c r="H786" s="52" t="s">
        <v>81</v>
      </c>
      <c r="I786" s="52" t="s">
        <v>81</v>
      </c>
      <c r="J786" s="52"/>
      <c r="K786" s="52"/>
      <c r="L786" s="52"/>
      <c r="M786" s="52"/>
      <c r="N786" s="52" t="s">
        <v>70</v>
      </c>
      <c r="O786" s="52"/>
      <c r="P786" s="52"/>
      <c r="Q786" s="52"/>
      <c r="R786" s="51" t="b">
        <v>0</v>
      </c>
      <c r="S786" s="51"/>
      <c r="T786" s="52"/>
      <c r="U786" s="51" t="b">
        <v>0</v>
      </c>
      <c r="V786" s="51" t="b">
        <v>0</v>
      </c>
      <c r="W786" s="51" t="b">
        <v>0</v>
      </c>
      <c r="X786" s="51" t="b">
        <v>0</v>
      </c>
      <c r="Y786" s="51" t="b">
        <v>0</v>
      </c>
      <c r="Z786" s="51" t="b">
        <v>0</v>
      </c>
      <c r="AA786" s="68"/>
      <c r="AB786" s="52"/>
      <c r="AC786" s="52"/>
      <c r="AD786" s="52"/>
      <c r="AE786" s="56"/>
      <c r="AF786" s="56" t="s">
        <v>1944</v>
      </c>
    </row>
    <row r="787">
      <c r="A787" s="52" t="s">
        <v>2779</v>
      </c>
      <c r="B787" s="52" t="s">
        <v>19</v>
      </c>
      <c r="C787" s="52" t="s">
        <v>66</v>
      </c>
      <c r="D787" s="65">
        <v>0.4425462962962964</v>
      </c>
      <c r="E787" s="65">
        <v>0.0018287037037037037</v>
      </c>
      <c r="F787" s="65">
        <v>0.4443750000000001</v>
      </c>
      <c r="G787" s="65" t="s">
        <v>120</v>
      </c>
      <c r="H787" s="52" t="s">
        <v>165</v>
      </c>
      <c r="I787" s="52" t="s">
        <v>1006</v>
      </c>
      <c r="J787" s="52" t="s">
        <v>1007</v>
      </c>
      <c r="K787" s="52"/>
      <c r="L787" s="52"/>
      <c r="M787" s="52"/>
      <c r="N787" s="52" t="s">
        <v>70</v>
      </c>
      <c r="O787" s="52"/>
      <c r="P787" s="69" t="s">
        <v>25</v>
      </c>
      <c r="Q787" s="80" t="s">
        <v>2780</v>
      </c>
      <c r="R787" s="51" t="b">
        <v>1</v>
      </c>
      <c r="S787" s="52" t="s">
        <v>1006</v>
      </c>
      <c r="T787" s="52"/>
      <c r="U787" s="51" t="b">
        <v>0</v>
      </c>
      <c r="V787" s="51" t="b">
        <v>1</v>
      </c>
      <c r="W787" s="51" t="b">
        <v>1</v>
      </c>
      <c r="X787" s="51" t="b">
        <v>0</v>
      </c>
      <c r="Y787" s="51" t="b">
        <v>0</v>
      </c>
      <c r="Z787" s="51" t="b">
        <v>0</v>
      </c>
      <c r="AA787" s="71">
        <v>0.0018287037037037037</v>
      </c>
      <c r="AB787" s="52"/>
      <c r="AC787" s="52"/>
      <c r="AD787" s="80" t="s">
        <v>2781</v>
      </c>
      <c r="AE787" s="56" t="s">
        <v>743</v>
      </c>
      <c r="AF787" s="56" t="s">
        <v>630</v>
      </c>
    </row>
    <row r="788">
      <c r="A788" s="52" t="s">
        <v>2782</v>
      </c>
      <c r="B788" s="52" t="s">
        <v>607</v>
      </c>
      <c r="C788" s="52" t="s">
        <v>607</v>
      </c>
      <c r="D788" s="65" t="s">
        <v>607</v>
      </c>
      <c r="E788" s="65" t="s">
        <v>607</v>
      </c>
      <c r="F788" s="65" t="s">
        <v>607</v>
      </c>
      <c r="G788" s="65" t="s">
        <v>607</v>
      </c>
      <c r="H788" s="52" t="s">
        <v>607</v>
      </c>
      <c r="I788" s="52" t="s">
        <v>607</v>
      </c>
      <c r="J788" s="52" t="s">
        <v>607</v>
      </c>
      <c r="K788" s="52" t="s">
        <v>607</v>
      </c>
      <c r="L788" s="52" t="s">
        <v>607</v>
      </c>
      <c r="M788" s="52" t="s">
        <v>607</v>
      </c>
      <c r="N788" s="52" t="s">
        <v>607</v>
      </c>
      <c r="O788" s="52"/>
      <c r="P788" s="52"/>
      <c r="Q788" s="52"/>
      <c r="R788" s="51" t="b">
        <v>0</v>
      </c>
      <c r="S788" s="51"/>
      <c r="T788" s="52"/>
      <c r="U788" s="51" t="b">
        <v>0</v>
      </c>
      <c r="V788" s="51" t="b">
        <v>0</v>
      </c>
      <c r="W788" s="51" t="b">
        <v>0</v>
      </c>
      <c r="X788" s="51" t="b">
        <v>0</v>
      </c>
      <c r="Y788" s="51" t="b">
        <v>0</v>
      </c>
      <c r="Z788" s="51" t="b">
        <v>0</v>
      </c>
      <c r="AA788" s="68"/>
      <c r="AB788" s="52"/>
      <c r="AC788" s="52"/>
      <c r="AD788" s="52"/>
      <c r="AE788" s="56" t="s">
        <v>607</v>
      </c>
      <c r="AF788" s="56" t="s">
        <v>607</v>
      </c>
    </row>
    <row r="789">
      <c r="A789" s="52" t="s">
        <v>2783</v>
      </c>
      <c r="B789" s="52" t="s">
        <v>607</v>
      </c>
      <c r="C789" s="52" t="s">
        <v>607</v>
      </c>
      <c r="D789" s="65" t="s">
        <v>607</v>
      </c>
      <c r="E789" s="65" t="s">
        <v>607</v>
      </c>
      <c r="F789" s="65" t="s">
        <v>607</v>
      </c>
      <c r="G789" s="65" t="s">
        <v>607</v>
      </c>
      <c r="H789" s="52" t="s">
        <v>607</v>
      </c>
      <c r="I789" s="52" t="s">
        <v>607</v>
      </c>
      <c r="J789" s="52" t="s">
        <v>607</v>
      </c>
      <c r="K789" s="52" t="s">
        <v>607</v>
      </c>
      <c r="L789" s="52" t="s">
        <v>607</v>
      </c>
      <c r="M789" s="52" t="s">
        <v>607</v>
      </c>
      <c r="N789" s="52" t="s">
        <v>607</v>
      </c>
      <c r="O789" s="52"/>
      <c r="P789" s="52"/>
      <c r="Q789" s="52"/>
      <c r="R789" s="51" t="b">
        <v>0</v>
      </c>
      <c r="S789" s="51"/>
      <c r="T789" s="52"/>
      <c r="U789" s="51" t="b">
        <v>0</v>
      </c>
      <c r="V789" s="51" t="b">
        <v>0</v>
      </c>
      <c r="W789" s="51" t="b">
        <v>0</v>
      </c>
      <c r="X789" s="51" t="b">
        <v>0</v>
      </c>
      <c r="Y789" s="51" t="b">
        <v>0</v>
      </c>
      <c r="Z789" s="51" t="b">
        <v>0</v>
      </c>
      <c r="AA789" s="68"/>
      <c r="AB789" s="52"/>
      <c r="AC789" s="52"/>
      <c r="AD789" s="52"/>
      <c r="AE789" s="56" t="s">
        <v>607</v>
      </c>
      <c r="AF789" s="56" t="s">
        <v>607</v>
      </c>
    </row>
    <row r="790">
      <c r="A790" s="52" t="s">
        <v>2784</v>
      </c>
      <c r="B790" s="52" t="s">
        <v>19</v>
      </c>
      <c r="C790" s="52" t="s">
        <v>66</v>
      </c>
      <c r="D790" s="65">
        <v>0.4178819444444445</v>
      </c>
      <c r="E790" s="65">
        <v>3.4722222222222224E-4</v>
      </c>
      <c r="F790" s="65">
        <v>0.4182291666666667</v>
      </c>
      <c r="G790" s="65" t="s">
        <v>120</v>
      </c>
      <c r="H790" s="52" t="s">
        <v>81</v>
      </c>
      <c r="I790" s="52" t="s">
        <v>81</v>
      </c>
      <c r="J790" s="52"/>
      <c r="K790" s="52"/>
      <c r="L790" s="52"/>
      <c r="M790" s="52"/>
      <c r="N790" s="52" t="s">
        <v>70</v>
      </c>
      <c r="O790" s="52"/>
      <c r="P790" s="52"/>
      <c r="Q790" s="52"/>
      <c r="R790" s="51" t="b">
        <v>0</v>
      </c>
      <c r="S790" s="51"/>
      <c r="T790" s="52"/>
      <c r="U790" s="51" t="b">
        <v>0</v>
      </c>
      <c r="V790" s="51" t="b">
        <v>0</v>
      </c>
      <c r="W790" s="51" t="b">
        <v>0</v>
      </c>
      <c r="X790" s="51" t="b">
        <v>0</v>
      </c>
      <c r="Y790" s="51" t="b">
        <v>0</v>
      </c>
      <c r="Z790" s="51" t="b">
        <v>0</v>
      </c>
      <c r="AA790" s="68"/>
      <c r="AB790" s="52"/>
      <c r="AC790" s="52"/>
      <c r="AD790" s="52"/>
      <c r="AE790" s="56"/>
      <c r="AF790" s="56" t="s">
        <v>1944</v>
      </c>
    </row>
    <row r="791">
      <c r="A791" s="52" t="s">
        <v>2785</v>
      </c>
      <c r="B791" s="52" t="s">
        <v>19</v>
      </c>
      <c r="C791" s="52" t="s">
        <v>66</v>
      </c>
      <c r="D791" s="65">
        <v>0.4182291666666667</v>
      </c>
      <c r="E791" s="65">
        <v>0.009791666666666667</v>
      </c>
      <c r="F791" s="65">
        <v>0.42802083333333335</v>
      </c>
      <c r="G791" s="65" t="s">
        <v>120</v>
      </c>
      <c r="H791" s="52" t="s">
        <v>94</v>
      </c>
      <c r="I791" s="52" t="s">
        <v>996</v>
      </c>
      <c r="J791" s="52" t="s">
        <v>997</v>
      </c>
      <c r="K791" s="52"/>
      <c r="L791" s="52"/>
      <c r="M791" s="52"/>
      <c r="N791" s="52" t="s">
        <v>998</v>
      </c>
      <c r="O791" s="52"/>
      <c r="P791" s="69" t="s">
        <v>23</v>
      </c>
      <c r="Q791" s="80" t="s">
        <v>2786</v>
      </c>
      <c r="R791" s="51" t="b">
        <v>1</v>
      </c>
      <c r="S791" s="52" t="s">
        <v>996</v>
      </c>
      <c r="T791" s="52"/>
      <c r="U791" s="51" t="b">
        <v>0</v>
      </c>
      <c r="V791" s="51" t="b">
        <v>1</v>
      </c>
      <c r="W791" s="51" t="b">
        <v>1</v>
      </c>
      <c r="X791" s="51" t="b">
        <v>0</v>
      </c>
      <c r="Y791" s="51" t="b">
        <v>0</v>
      </c>
      <c r="Z791" s="51" t="b">
        <v>0</v>
      </c>
      <c r="AA791" s="88">
        <v>0.009791666666666667</v>
      </c>
      <c r="AB791" s="69" t="s">
        <v>2787</v>
      </c>
      <c r="AC791" s="52"/>
      <c r="AD791" s="76" t="s">
        <v>2788</v>
      </c>
      <c r="AE791" s="56" t="s">
        <v>629</v>
      </c>
      <c r="AF791" s="56" t="s">
        <v>873</v>
      </c>
    </row>
    <row r="792">
      <c r="A792" s="52" t="s">
        <v>2789</v>
      </c>
      <c r="B792" s="52" t="s">
        <v>607</v>
      </c>
      <c r="C792" s="52" t="s">
        <v>607</v>
      </c>
      <c r="D792" s="65" t="s">
        <v>607</v>
      </c>
      <c r="E792" s="65" t="s">
        <v>607</v>
      </c>
      <c r="F792" s="65" t="s">
        <v>607</v>
      </c>
      <c r="G792" s="65" t="s">
        <v>607</v>
      </c>
      <c r="H792" s="52" t="s">
        <v>607</v>
      </c>
      <c r="I792" s="52" t="s">
        <v>607</v>
      </c>
      <c r="J792" s="52" t="s">
        <v>607</v>
      </c>
      <c r="K792" s="52" t="s">
        <v>607</v>
      </c>
      <c r="L792" s="52" t="s">
        <v>607</v>
      </c>
      <c r="M792" s="52" t="s">
        <v>607</v>
      </c>
      <c r="N792" s="52" t="s">
        <v>607</v>
      </c>
      <c r="O792" s="52"/>
      <c r="P792" s="52"/>
      <c r="Q792" s="52"/>
      <c r="R792" s="51" t="b">
        <v>0</v>
      </c>
      <c r="S792" s="51"/>
      <c r="T792" s="52"/>
      <c r="U792" s="51" t="b">
        <v>0</v>
      </c>
      <c r="V792" s="51" t="b">
        <v>0</v>
      </c>
      <c r="W792" s="51" t="b">
        <v>0</v>
      </c>
      <c r="X792" s="51" t="b">
        <v>0</v>
      </c>
      <c r="Y792" s="51" t="b">
        <v>0</v>
      </c>
      <c r="Z792" s="51" t="b">
        <v>0</v>
      </c>
      <c r="AA792" s="68"/>
      <c r="AB792" s="52"/>
      <c r="AC792" s="52"/>
      <c r="AD792" s="52"/>
      <c r="AE792" s="56" t="s">
        <v>607</v>
      </c>
      <c r="AF792" s="56" t="s">
        <v>607</v>
      </c>
    </row>
    <row r="793">
      <c r="A793" s="52" t="s">
        <v>2790</v>
      </c>
      <c r="B793" s="52" t="s">
        <v>607</v>
      </c>
      <c r="C793" s="52" t="s">
        <v>607</v>
      </c>
      <c r="D793" s="65" t="s">
        <v>607</v>
      </c>
      <c r="E793" s="65" t="s">
        <v>607</v>
      </c>
      <c r="F793" s="65" t="s">
        <v>607</v>
      </c>
      <c r="G793" s="65" t="s">
        <v>607</v>
      </c>
      <c r="H793" s="52" t="s">
        <v>607</v>
      </c>
      <c r="I793" s="52" t="s">
        <v>607</v>
      </c>
      <c r="J793" s="52" t="s">
        <v>607</v>
      </c>
      <c r="K793" s="52" t="s">
        <v>607</v>
      </c>
      <c r="L793" s="52" t="s">
        <v>607</v>
      </c>
      <c r="M793" s="52" t="s">
        <v>607</v>
      </c>
      <c r="N793" s="52" t="s">
        <v>607</v>
      </c>
      <c r="O793" s="52"/>
      <c r="P793" s="52"/>
      <c r="Q793" s="52"/>
      <c r="R793" s="51" t="b">
        <v>0</v>
      </c>
      <c r="S793" s="51"/>
      <c r="T793" s="52"/>
      <c r="U793" s="51" t="b">
        <v>0</v>
      </c>
      <c r="V793" s="51" t="b">
        <v>0</v>
      </c>
      <c r="W793" s="51" t="b">
        <v>0</v>
      </c>
      <c r="X793" s="51" t="b">
        <v>0</v>
      </c>
      <c r="Y793" s="51" t="b">
        <v>0</v>
      </c>
      <c r="Z793" s="51" t="b">
        <v>0</v>
      </c>
      <c r="AA793" s="68"/>
      <c r="AB793" s="52"/>
      <c r="AC793" s="52"/>
      <c r="AD793" s="52"/>
      <c r="AE793" s="56" t="s">
        <v>607</v>
      </c>
      <c r="AF793" s="56" t="s">
        <v>607</v>
      </c>
    </row>
    <row r="794">
      <c r="A794" s="52" t="s">
        <v>2791</v>
      </c>
      <c r="B794" s="52" t="s">
        <v>19</v>
      </c>
      <c r="C794" s="52" t="s">
        <v>66</v>
      </c>
      <c r="D794" s="65">
        <v>0.4443750000000001</v>
      </c>
      <c r="E794" s="65">
        <v>3.4722222222222224E-4</v>
      </c>
      <c r="F794" s="65">
        <v>0.4447222222222223</v>
      </c>
      <c r="G794" s="65" t="s">
        <v>120</v>
      </c>
      <c r="H794" s="52" t="s">
        <v>77</v>
      </c>
      <c r="I794" s="52" t="s">
        <v>1009</v>
      </c>
      <c r="J794" s="52"/>
      <c r="K794" s="52"/>
      <c r="L794" s="52"/>
      <c r="M794" s="52"/>
      <c r="N794" s="52" t="s">
        <v>70</v>
      </c>
      <c r="O794" s="52"/>
      <c r="P794" s="52"/>
      <c r="Q794" s="52"/>
      <c r="R794" s="51" t="b">
        <v>0</v>
      </c>
      <c r="S794" s="51"/>
      <c r="T794" s="52"/>
      <c r="U794" s="51" t="b">
        <v>0</v>
      </c>
      <c r="V794" s="51" t="b">
        <v>0</v>
      </c>
      <c r="W794" s="51" t="b">
        <v>0</v>
      </c>
      <c r="X794" s="51" t="b">
        <v>0</v>
      </c>
      <c r="Y794" s="51" t="b">
        <v>0</v>
      </c>
      <c r="Z794" s="51" t="b">
        <v>0</v>
      </c>
      <c r="AA794" s="68"/>
      <c r="AB794" s="52"/>
      <c r="AC794" s="52"/>
      <c r="AD794" s="52"/>
      <c r="AE794" s="56"/>
      <c r="AF794" s="56" t="s">
        <v>1944</v>
      </c>
    </row>
    <row r="795">
      <c r="A795" s="52" t="s">
        <v>2792</v>
      </c>
      <c r="B795" s="52" t="s">
        <v>19</v>
      </c>
      <c r="C795" s="52" t="s">
        <v>66</v>
      </c>
      <c r="D795" s="65">
        <v>0.41770833333333335</v>
      </c>
      <c r="E795" s="65">
        <v>1.7361111111111112E-4</v>
      </c>
      <c r="F795" s="65">
        <v>0.4178819444444445</v>
      </c>
      <c r="G795" s="65" t="s">
        <v>120</v>
      </c>
      <c r="H795" s="52" t="s">
        <v>77</v>
      </c>
      <c r="I795" s="52" t="s">
        <v>993</v>
      </c>
      <c r="J795" s="52"/>
      <c r="K795" s="52"/>
      <c r="L795" s="52"/>
      <c r="M795" s="52"/>
      <c r="N795" s="52" t="s">
        <v>70</v>
      </c>
      <c r="O795" s="52"/>
      <c r="P795" s="52"/>
      <c r="Q795" s="52"/>
      <c r="R795" s="51" t="b">
        <v>0</v>
      </c>
      <c r="S795" s="51"/>
      <c r="T795" s="52"/>
      <c r="U795" s="51" t="b">
        <v>0</v>
      </c>
      <c r="V795" s="51" t="b">
        <v>0</v>
      </c>
      <c r="W795" s="51" t="b">
        <v>0</v>
      </c>
      <c r="X795" s="51" t="b">
        <v>0</v>
      </c>
      <c r="Y795" s="51" t="b">
        <v>0</v>
      </c>
      <c r="Z795" s="51" t="b">
        <v>0</v>
      </c>
      <c r="AA795" s="68"/>
      <c r="AB795" s="52"/>
      <c r="AC795" s="52"/>
      <c r="AD795" s="52"/>
      <c r="AE795" s="56"/>
      <c r="AF795" s="56" t="s">
        <v>2004</v>
      </c>
    </row>
    <row r="796">
      <c r="A796" s="52" t="s">
        <v>2793</v>
      </c>
      <c r="B796" s="52" t="s">
        <v>19</v>
      </c>
      <c r="C796" s="52" t="s">
        <v>66</v>
      </c>
      <c r="D796" s="65">
        <v>0.4583333333333333</v>
      </c>
      <c r="E796" s="65">
        <v>3.4722222222222224E-4</v>
      </c>
      <c r="F796" s="65">
        <v>0.45868055555555554</v>
      </c>
      <c r="G796" s="65" t="s">
        <v>441</v>
      </c>
      <c r="H796" s="52" t="s">
        <v>81</v>
      </c>
      <c r="I796" s="52" t="s">
        <v>81</v>
      </c>
      <c r="J796" s="52"/>
      <c r="K796" s="52"/>
      <c r="L796" s="52"/>
      <c r="M796" s="52"/>
      <c r="N796" s="52" t="s">
        <v>70</v>
      </c>
      <c r="O796" s="52"/>
      <c r="P796" s="52"/>
      <c r="Q796" s="52"/>
      <c r="R796" s="51" t="b">
        <v>0</v>
      </c>
      <c r="S796" s="51"/>
      <c r="T796" s="52"/>
      <c r="U796" s="51" t="b">
        <v>0</v>
      </c>
      <c r="V796" s="51" t="b">
        <v>0</v>
      </c>
      <c r="W796" s="51" t="b">
        <v>0</v>
      </c>
      <c r="X796" s="51" t="b">
        <v>0</v>
      </c>
      <c r="Y796" s="51" t="b">
        <v>0</v>
      </c>
      <c r="Z796" s="51" t="b">
        <v>0</v>
      </c>
      <c r="AA796" s="68"/>
      <c r="AB796" s="52"/>
      <c r="AC796" s="52"/>
      <c r="AD796" s="52"/>
      <c r="AE796" s="56"/>
      <c r="AF796" s="56" t="s">
        <v>1944</v>
      </c>
    </row>
    <row r="797">
      <c r="A797" s="52" t="s">
        <v>2794</v>
      </c>
      <c r="B797" s="52" t="s">
        <v>19</v>
      </c>
      <c r="C797" s="52" t="s">
        <v>66</v>
      </c>
      <c r="D797" s="65">
        <v>0.45868055555555554</v>
      </c>
      <c r="E797" s="65">
        <v>0.010833333333333334</v>
      </c>
      <c r="F797" s="65">
        <v>0.4695138888888889</v>
      </c>
      <c r="G797" s="65" t="s">
        <v>441</v>
      </c>
      <c r="H797" s="52" t="s">
        <v>107</v>
      </c>
      <c r="I797" s="52" t="s">
        <v>1022</v>
      </c>
      <c r="J797" s="52" t="s">
        <v>1023</v>
      </c>
      <c r="K797" s="52" t="s">
        <v>1024</v>
      </c>
      <c r="L797" s="52"/>
      <c r="M797" s="52"/>
      <c r="N797" s="52" t="s">
        <v>514</v>
      </c>
      <c r="O797" s="69" t="s">
        <v>734</v>
      </c>
      <c r="P797" s="69" t="s">
        <v>25</v>
      </c>
      <c r="Q797" s="70" t="s">
        <v>2795</v>
      </c>
      <c r="R797" s="51" t="b">
        <v>1</v>
      </c>
      <c r="S797" s="52" t="s">
        <v>1022</v>
      </c>
      <c r="T797" s="52"/>
      <c r="U797" s="51" t="b">
        <v>0</v>
      </c>
      <c r="V797" s="51" t="b">
        <v>1</v>
      </c>
      <c r="W797" s="51" t="b">
        <v>1</v>
      </c>
      <c r="X797" s="51" t="b">
        <v>0</v>
      </c>
      <c r="Y797" s="51" t="b">
        <v>0</v>
      </c>
      <c r="Z797" s="51" t="b">
        <v>0</v>
      </c>
      <c r="AA797" s="71">
        <v>0.010833333333333334</v>
      </c>
      <c r="AB797" s="69"/>
      <c r="AC797" s="69"/>
      <c r="AD797" s="70" t="s">
        <v>2796</v>
      </c>
      <c r="AE797" s="74" t="s">
        <v>629</v>
      </c>
      <c r="AF797" s="74" t="s">
        <v>1125</v>
      </c>
    </row>
    <row r="798">
      <c r="A798" s="52" t="s">
        <v>2797</v>
      </c>
      <c r="B798" s="52" t="s">
        <v>607</v>
      </c>
      <c r="C798" s="52" t="s">
        <v>607</v>
      </c>
      <c r="D798" s="65" t="s">
        <v>607</v>
      </c>
      <c r="E798" s="65" t="s">
        <v>607</v>
      </c>
      <c r="F798" s="65" t="s">
        <v>607</v>
      </c>
      <c r="G798" s="65" t="s">
        <v>607</v>
      </c>
      <c r="H798" s="52" t="s">
        <v>607</v>
      </c>
      <c r="I798" s="52" t="s">
        <v>607</v>
      </c>
      <c r="J798" s="52" t="s">
        <v>607</v>
      </c>
      <c r="K798" s="52" t="s">
        <v>607</v>
      </c>
      <c r="L798" s="52" t="s">
        <v>607</v>
      </c>
      <c r="M798" s="52" t="s">
        <v>607</v>
      </c>
      <c r="N798" s="52" t="s">
        <v>607</v>
      </c>
      <c r="O798" s="52"/>
      <c r="P798" s="52"/>
      <c r="Q798" s="52"/>
      <c r="R798" s="51" t="b">
        <v>0</v>
      </c>
      <c r="S798" s="51"/>
      <c r="T798" s="52"/>
      <c r="U798" s="51" t="b">
        <v>0</v>
      </c>
      <c r="V798" s="51" t="b">
        <v>0</v>
      </c>
      <c r="W798" s="51" t="b">
        <v>0</v>
      </c>
      <c r="X798" s="51" t="b">
        <v>0</v>
      </c>
      <c r="Y798" s="51" t="b">
        <v>0</v>
      </c>
      <c r="Z798" s="51" t="b">
        <v>0</v>
      </c>
      <c r="AA798" s="68"/>
      <c r="AB798" s="52"/>
      <c r="AC798" s="52"/>
      <c r="AD798" s="52"/>
      <c r="AE798" s="56" t="s">
        <v>607</v>
      </c>
      <c r="AF798" s="56" t="s">
        <v>607</v>
      </c>
    </row>
    <row r="799">
      <c r="A799" s="52" t="s">
        <v>2798</v>
      </c>
      <c r="B799" s="52" t="s">
        <v>19</v>
      </c>
      <c r="C799" s="52" t="s">
        <v>66</v>
      </c>
      <c r="D799" s="65">
        <v>0.4695138888888889</v>
      </c>
      <c r="E799" s="65">
        <v>2.314814814814815E-4</v>
      </c>
      <c r="F799" s="65">
        <v>0.4697453703703704</v>
      </c>
      <c r="G799" s="65" t="s">
        <v>441</v>
      </c>
      <c r="H799" s="52" t="s">
        <v>81</v>
      </c>
      <c r="I799" s="52" t="s">
        <v>81</v>
      </c>
      <c r="J799" s="52"/>
      <c r="K799" s="52"/>
      <c r="L799" s="52"/>
      <c r="M799" s="52"/>
      <c r="N799" s="52" t="s">
        <v>70</v>
      </c>
      <c r="O799" s="52"/>
      <c r="P799" s="52"/>
      <c r="Q799" s="52"/>
      <c r="R799" s="51" t="b">
        <v>0</v>
      </c>
      <c r="S799" s="51"/>
      <c r="T799" s="52"/>
      <c r="U799" s="51" t="b">
        <v>0</v>
      </c>
      <c r="V799" s="51" t="b">
        <v>0</v>
      </c>
      <c r="W799" s="51" t="b">
        <v>0</v>
      </c>
      <c r="X799" s="51" t="b">
        <v>0</v>
      </c>
      <c r="Y799" s="51" t="b">
        <v>0</v>
      </c>
      <c r="Z799" s="51" t="b">
        <v>0</v>
      </c>
      <c r="AA799" s="68"/>
      <c r="AB799" s="52"/>
      <c r="AC799" s="52"/>
      <c r="AD799" s="52"/>
      <c r="AE799" s="56"/>
      <c r="AF799" s="56" t="s">
        <v>1944</v>
      </c>
    </row>
    <row r="800">
      <c r="A800" s="52" t="s">
        <v>2799</v>
      </c>
      <c r="B800" s="52" t="s">
        <v>19</v>
      </c>
      <c r="C800" s="52" t="s">
        <v>66</v>
      </c>
      <c r="D800" s="65">
        <v>0.4697453703703704</v>
      </c>
      <c r="E800" s="65">
        <v>0.007060185185185185</v>
      </c>
      <c r="F800" s="65">
        <v>0.4768055555555556</v>
      </c>
      <c r="G800" s="65" t="s">
        <v>441</v>
      </c>
      <c r="H800" s="52" t="s">
        <v>165</v>
      </c>
      <c r="I800" s="52" t="s">
        <v>1027</v>
      </c>
      <c r="J800" s="52" t="s">
        <v>1028</v>
      </c>
      <c r="K800" s="52"/>
      <c r="L800" s="52"/>
      <c r="M800" s="52"/>
      <c r="N800" s="52" t="s">
        <v>70</v>
      </c>
      <c r="O800" s="52"/>
      <c r="P800" s="69" t="s">
        <v>25</v>
      </c>
      <c r="Q800" s="80" t="s">
        <v>2800</v>
      </c>
      <c r="R800" s="51" t="b">
        <v>1</v>
      </c>
      <c r="S800" s="52" t="s">
        <v>1027</v>
      </c>
      <c r="T800" s="52"/>
      <c r="U800" s="51" t="b">
        <v>0</v>
      </c>
      <c r="V800" s="51" t="b">
        <v>1</v>
      </c>
      <c r="W800" s="51" t="b">
        <v>1</v>
      </c>
      <c r="X800" s="51" t="b">
        <v>0</v>
      </c>
      <c r="Y800" s="51" t="b">
        <v>0</v>
      </c>
      <c r="Z800" s="51" t="b">
        <v>0</v>
      </c>
      <c r="AA800" s="71">
        <v>0.007060185185185185</v>
      </c>
      <c r="AB800" s="52"/>
      <c r="AC800" s="52"/>
      <c r="AD800" s="80" t="s">
        <v>2801</v>
      </c>
      <c r="AE800" s="56" t="s">
        <v>743</v>
      </c>
      <c r="AF800" s="56" t="s">
        <v>1125</v>
      </c>
    </row>
    <row r="801">
      <c r="A801" s="52" t="s">
        <v>2802</v>
      </c>
      <c r="B801" s="52" t="s">
        <v>607</v>
      </c>
      <c r="C801" s="52" t="s">
        <v>607</v>
      </c>
      <c r="D801" s="65" t="s">
        <v>607</v>
      </c>
      <c r="E801" s="65" t="s">
        <v>607</v>
      </c>
      <c r="F801" s="65" t="s">
        <v>607</v>
      </c>
      <c r="G801" s="65" t="s">
        <v>607</v>
      </c>
      <c r="H801" s="52" t="s">
        <v>607</v>
      </c>
      <c r="I801" s="52" t="s">
        <v>607</v>
      </c>
      <c r="J801" s="52" t="s">
        <v>607</v>
      </c>
      <c r="K801" s="52" t="s">
        <v>607</v>
      </c>
      <c r="L801" s="52" t="s">
        <v>607</v>
      </c>
      <c r="M801" s="52" t="s">
        <v>607</v>
      </c>
      <c r="N801" s="52" t="s">
        <v>607</v>
      </c>
      <c r="O801" s="52"/>
      <c r="P801" s="52"/>
      <c r="Q801" s="52"/>
      <c r="R801" s="51" t="b">
        <v>0</v>
      </c>
      <c r="S801" s="51"/>
      <c r="T801" s="52"/>
      <c r="U801" s="51" t="b">
        <v>0</v>
      </c>
      <c r="V801" s="51" t="b">
        <v>0</v>
      </c>
      <c r="W801" s="51" t="b">
        <v>0</v>
      </c>
      <c r="X801" s="51" t="b">
        <v>0</v>
      </c>
      <c r="Y801" s="51" t="b">
        <v>0</v>
      </c>
      <c r="Z801" s="51" t="b">
        <v>0</v>
      </c>
      <c r="AA801" s="68"/>
      <c r="AB801" s="52"/>
      <c r="AC801" s="52"/>
      <c r="AD801" s="52"/>
      <c r="AE801" s="56" t="s">
        <v>607</v>
      </c>
      <c r="AF801" s="56" t="s">
        <v>607</v>
      </c>
    </row>
    <row r="802">
      <c r="A802" s="52" t="s">
        <v>2803</v>
      </c>
      <c r="B802" s="52" t="s">
        <v>607</v>
      </c>
      <c r="C802" s="52" t="s">
        <v>607</v>
      </c>
      <c r="D802" s="65" t="s">
        <v>607</v>
      </c>
      <c r="E802" s="65" t="s">
        <v>607</v>
      </c>
      <c r="F802" s="65" t="s">
        <v>607</v>
      </c>
      <c r="G802" s="65" t="s">
        <v>607</v>
      </c>
      <c r="H802" s="52" t="s">
        <v>607</v>
      </c>
      <c r="I802" s="52" t="s">
        <v>607</v>
      </c>
      <c r="J802" s="52" t="s">
        <v>607</v>
      </c>
      <c r="K802" s="52" t="s">
        <v>607</v>
      </c>
      <c r="L802" s="52" t="s">
        <v>607</v>
      </c>
      <c r="M802" s="52" t="s">
        <v>607</v>
      </c>
      <c r="N802" s="52" t="s">
        <v>607</v>
      </c>
      <c r="O802" s="52"/>
      <c r="P802" s="52"/>
      <c r="Q802" s="52"/>
      <c r="R802" s="51" t="b">
        <v>0</v>
      </c>
      <c r="S802" s="51"/>
      <c r="T802" s="52"/>
      <c r="U802" s="51" t="b">
        <v>0</v>
      </c>
      <c r="V802" s="51" t="b">
        <v>0</v>
      </c>
      <c r="W802" s="51" t="b">
        <v>0</v>
      </c>
      <c r="X802" s="51" t="b">
        <v>0</v>
      </c>
      <c r="Y802" s="51" t="b">
        <v>0</v>
      </c>
      <c r="Z802" s="51" t="b">
        <v>0</v>
      </c>
      <c r="AA802" s="68"/>
      <c r="AB802" s="52"/>
      <c r="AC802" s="52"/>
      <c r="AD802" s="52"/>
      <c r="AE802" s="56" t="s">
        <v>607</v>
      </c>
      <c r="AF802" s="56" t="s">
        <v>607</v>
      </c>
    </row>
    <row r="803">
      <c r="A803" s="52" t="s">
        <v>2804</v>
      </c>
      <c r="B803" s="52" t="s">
        <v>19</v>
      </c>
      <c r="C803" s="52" t="s">
        <v>66</v>
      </c>
      <c r="D803" s="65">
        <v>0.5835300925925926</v>
      </c>
      <c r="E803" s="65">
        <v>1.7361111111111112E-4</v>
      </c>
      <c r="F803" s="65">
        <v>0.5837037037037037</v>
      </c>
      <c r="G803" s="65" t="s">
        <v>441</v>
      </c>
      <c r="H803" s="52" t="s">
        <v>77</v>
      </c>
      <c r="I803" s="52" t="s">
        <v>1098</v>
      </c>
      <c r="J803" s="52"/>
      <c r="K803" s="52"/>
      <c r="L803" s="52"/>
      <c r="M803" s="52"/>
      <c r="N803" s="52" t="s">
        <v>70</v>
      </c>
      <c r="O803" s="52"/>
      <c r="P803" s="52"/>
      <c r="Q803" s="52"/>
      <c r="R803" s="51" t="b">
        <v>0</v>
      </c>
      <c r="S803" s="51"/>
      <c r="T803" s="52"/>
      <c r="U803" s="51" t="b">
        <v>0</v>
      </c>
      <c r="V803" s="51" t="b">
        <v>0</v>
      </c>
      <c r="W803" s="51" t="b">
        <v>0</v>
      </c>
      <c r="X803" s="51" t="b">
        <v>0</v>
      </c>
      <c r="Y803" s="51" t="b">
        <v>0</v>
      </c>
      <c r="Z803" s="51" t="b">
        <v>0</v>
      </c>
      <c r="AA803" s="68"/>
      <c r="AB803" s="52"/>
      <c r="AC803" s="52"/>
      <c r="AD803" s="52"/>
      <c r="AE803" s="56"/>
      <c r="AF803" s="56" t="s">
        <v>2004</v>
      </c>
    </row>
    <row r="804">
      <c r="A804" s="52" t="s">
        <v>2805</v>
      </c>
      <c r="B804" s="52" t="s">
        <v>19</v>
      </c>
      <c r="C804" s="52" t="s">
        <v>66</v>
      </c>
      <c r="D804" s="65">
        <v>0.4768055555555556</v>
      </c>
      <c r="E804" s="65">
        <v>2.314814814814815E-4</v>
      </c>
      <c r="F804" s="65">
        <v>0.4770370370370371</v>
      </c>
      <c r="G804" s="65" t="s">
        <v>441</v>
      </c>
      <c r="H804" s="52" t="s">
        <v>81</v>
      </c>
      <c r="I804" s="52" t="s">
        <v>81</v>
      </c>
      <c r="J804" s="52"/>
      <c r="K804" s="52"/>
      <c r="L804" s="52"/>
      <c r="M804" s="52"/>
      <c r="N804" s="52" t="s">
        <v>70</v>
      </c>
      <c r="O804" s="52"/>
      <c r="P804" s="52"/>
      <c r="Q804" s="52"/>
      <c r="R804" s="51" t="b">
        <v>0</v>
      </c>
      <c r="S804" s="51"/>
      <c r="T804" s="52"/>
      <c r="U804" s="51" t="b">
        <v>0</v>
      </c>
      <c r="V804" s="51" t="b">
        <v>0</v>
      </c>
      <c r="W804" s="51" t="b">
        <v>0</v>
      </c>
      <c r="X804" s="51" t="b">
        <v>0</v>
      </c>
      <c r="Y804" s="51" t="b">
        <v>0</v>
      </c>
      <c r="Z804" s="51" t="b">
        <v>0</v>
      </c>
      <c r="AA804" s="68"/>
      <c r="AB804" s="52"/>
      <c r="AC804" s="52"/>
      <c r="AD804" s="52"/>
      <c r="AE804" s="56"/>
      <c r="AF804" s="56" t="s">
        <v>1944</v>
      </c>
    </row>
    <row r="805">
      <c r="A805" s="52" t="s">
        <v>2806</v>
      </c>
      <c r="B805" s="52" t="s">
        <v>19</v>
      </c>
      <c r="C805" s="52" t="s">
        <v>66</v>
      </c>
      <c r="D805" s="65">
        <v>0.4770370370370371</v>
      </c>
      <c r="E805" s="65">
        <v>3.4722222222222224E-4</v>
      </c>
      <c r="F805" s="65">
        <v>0.4773842592592593</v>
      </c>
      <c r="G805" s="65" t="s">
        <v>441</v>
      </c>
      <c r="H805" s="52" t="s">
        <v>511</v>
      </c>
      <c r="I805" s="52" t="s">
        <v>511</v>
      </c>
      <c r="J805" s="52"/>
      <c r="K805" s="52"/>
      <c r="L805" s="52"/>
      <c r="M805" s="52"/>
      <c r="N805" s="52" t="s">
        <v>70</v>
      </c>
      <c r="O805" s="52"/>
      <c r="P805" s="69"/>
      <c r="Q805" s="52"/>
      <c r="R805" s="51" t="b">
        <v>0</v>
      </c>
      <c r="S805" s="51"/>
      <c r="T805" s="52"/>
      <c r="U805" s="51" t="b">
        <v>0</v>
      </c>
      <c r="V805" s="51" t="b">
        <v>0</v>
      </c>
      <c r="W805" s="51" t="b">
        <v>0</v>
      </c>
      <c r="X805" s="51" t="b">
        <v>0</v>
      </c>
      <c r="Y805" s="51" t="b">
        <v>0</v>
      </c>
      <c r="Z805" s="51" t="b">
        <v>0</v>
      </c>
      <c r="AA805" s="68"/>
      <c r="AB805" s="52"/>
      <c r="AC805" s="52"/>
      <c r="AD805" s="52"/>
      <c r="AE805" s="56"/>
      <c r="AF805" s="56" t="s">
        <v>1944</v>
      </c>
    </row>
    <row r="806">
      <c r="A806" s="52" t="s">
        <v>2807</v>
      </c>
      <c r="B806" s="52" t="s">
        <v>19</v>
      </c>
      <c r="C806" s="52" t="s">
        <v>66</v>
      </c>
      <c r="D806" s="65">
        <v>0.4773842592592593</v>
      </c>
      <c r="E806" s="65">
        <v>0.011458333333333333</v>
      </c>
      <c r="F806" s="65">
        <v>0.48884259259259266</v>
      </c>
      <c r="G806" s="65" t="s">
        <v>441</v>
      </c>
      <c r="H806" s="52" t="s">
        <v>165</v>
      </c>
      <c r="I806" s="52" t="s">
        <v>1031</v>
      </c>
      <c r="J806" s="52" t="s">
        <v>1032</v>
      </c>
      <c r="K806" s="52" t="s">
        <v>1033</v>
      </c>
      <c r="L806" s="52"/>
      <c r="M806" s="52"/>
      <c r="N806" s="52" t="s">
        <v>70</v>
      </c>
      <c r="O806" s="52"/>
      <c r="P806" s="69" t="s">
        <v>30</v>
      </c>
      <c r="Q806" s="80" t="s">
        <v>2808</v>
      </c>
      <c r="R806" s="51" t="b">
        <v>1</v>
      </c>
      <c r="S806" s="52" t="s">
        <v>1031</v>
      </c>
      <c r="T806" s="52"/>
      <c r="U806" s="51" t="b">
        <v>0</v>
      </c>
      <c r="V806" s="51" t="b">
        <v>1</v>
      </c>
      <c r="W806" s="51" t="b">
        <v>0</v>
      </c>
      <c r="X806" s="51" t="b">
        <v>0</v>
      </c>
      <c r="Y806" s="51" t="b">
        <v>0</v>
      </c>
      <c r="Z806" s="51" t="b">
        <v>0</v>
      </c>
      <c r="AA806" s="102">
        <v>0.011458333333333333</v>
      </c>
      <c r="AB806" s="52"/>
      <c r="AC806" s="52"/>
      <c r="AD806" s="73" t="s">
        <v>2809</v>
      </c>
      <c r="AE806" s="56" t="s">
        <v>743</v>
      </c>
      <c r="AF806" s="56" t="s">
        <v>1125</v>
      </c>
    </row>
    <row r="807">
      <c r="A807" s="52" t="s">
        <v>2810</v>
      </c>
      <c r="B807" s="52" t="s">
        <v>19</v>
      </c>
      <c r="C807" s="52" t="s">
        <v>66</v>
      </c>
      <c r="D807" s="65">
        <v>0.48884259259259266</v>
      </c>
      <c r="E807" s="65">
        <v>1.7361111111111112E-4</v>
      </c>
      <c r="F807" s="65">
        <v>0.4890162037037038</v>
      </c>
      <c r="G807" s="65" t="s">
        <v>441</v>
      </c>
      <c r="H807" s="52" t="s">
        <v>85</v>
      </c>
      <c r="I807" s="52" t="s">
        <v>1004</v>
      </c>
      <c r="J807" s="52"/>
      <c r="K807" s="52"/>
      <c r="L807" s="52"/>
      <c r="M807" s="52"/>
      <c r="N807" s="52" t="s">
        <v>70</v>
      </c>
      <c r="O807" s="52"/>
      <c r="P807" s="52"/>
      <c r="Q807" s="52"/>
      <c r="R807" s="51" t="b">
        <v>0</v>
      </c>
      <c r="S807" s="51"/>
      <c r="T807" s="52"/>
      <c r="U807" s="51" t="b">
        <v>0</v>
      </c>
      <c r="V807" s="51" t="b">
        <v>0</v>
      </c>
      <c r="W807" s="51" t="b">
        <v>0</v>
      </c>
      <c r="X807" s="51" t="b">
        <v>0</v>
      </c>
      <c r="Y807" s="51" t="b">
        <v>0</v>
      </c>
      <c r="Z807" s="51" t="b">
        <v>0</v>
      </c>
      <c r="AA807" s="68"/>
      <c r="AB807" s="52"/>
      <c r="AC807" s="52"/>
      <c r="AD807" s="52"/>
      <c r="AE807" s="56"/>
      <c r="AF807" s="56" t="s">
        <v>1944</v>
      </c>
    </row>
    <row r="808">
      <c r="A808" s="52" t="s">
        <v>2811</v>
      </c>
      <c r="B808" s="52" t="s">
        <v>607</v>
      </c>
      <c r="C808" s="52" t="s">
        <v>607</v>
      </c>
      <c r="D808" s="65" t="s">
        <v>607</v>
      </c>
      <c r="E808" s="65" t="s">
        <v>607</v>
      </c>
      <c r="F808" s="65" t="s">
        <v>607</v>
      </c>
      <c r="G808" s="65" t="s">
        <v>607</v>
      </c>
      <c r="H808" s="52" t="s">
        <v>607</v>
      </c>
      <c r="I808" s="52" t="s">
        <v>607</v>
      </c>
      <c r="J808" s="52" t="s">
        <v>607</v>
      </c>
      <c r="K808" s="52" t="s">
        <v>607</v>
      </c>
      <c r="L808" s="52" t="s">
        <v>607</v>
      </c>
      <c r="M808" s="52" t="s">
        <v>607</v>
      </c>
      <c r="N808" s="52" t="s">
        <v>607</v>
      </c>
      <c r="O808" s="52"/>
      <c r="P808" s="52"/>
      <c r="Q808" s="52"/>
      <c r="R808" s="51" t="b">
        <v>0</v>
      </c>
      <c r="S808" s="51"/>
      <c r="T808" s="52"/>
      <c r="U808" s="51" t="b">
        <v>0</v>
      </c>
      <c r="V808" s="51" t="b">
        <v>0</v>
      </c>
      <c r="W808" s="51" t="b">
        <v>0</v>
      </c>
      <c r="X808" s="51" t="b">
        <v>0</v>
      </c>
      <c r="Y808" s="51" t="b">
        <v>0</v>
      </c>
      <c r="Z808" s="51" t="b">
        <v>0</v>
      </c>
      <c r="AA808" s="68"/>
      <c r="AB808" s="52"/>
      <c r="AC808" s="52"/>
      <c r="AD808" s="52"/>
      <c r="AE808" s="56" t="s">
        <v>607</v>
      </c>
      <c r="AF808" s="56" t="s">
        <v>607</v>
      </c>
    </row>
    <row r="809">
      <c r="A809" s="52" t="s">
        <v>2812</v>
      </c>
      <c r="B809" s="52" t="s">
        <v>19</v>
      </c>
      <c r="C809" s="52" t="s">
        <v>66</v>
      </c>
      <c r="D809" s="65">
        <v>0.5837037037037037</v>
      </c>
      <c r="E809" s="65">
        <v>2.314814814814815E-4</v>
      </c>
      <c r="F809" s="65">
        <v>0.5839351851851852</v>
      </c>
      <c r="G809" s="65" t="s">
        <v>441</v>
      </c>
      <c r="H809" s="52" t="s">
        <v>81</v>
      </c>
      <c r="I809" s="52" t="s">
        <v>81</v>
      </c>
      <c r="J809" s="52"/>
      <c r="K809" s="52"/>
      <c r="L809" s="52"/>
      <c r="M809" s="52"/>
      <c r="N809" s="52" t="s">
        <v>70</v>
      </c>
      <c r="O809" s="52"/>
      <c r="P809" s="52"/>
      <c r="Q809" s="52"/>
      <c r="R809" s="51" t="b">
        <v>0</v>
      </c>
      <c r="S809" s="51"/>
      <c r="T809" s="52"/>
      <c r="U809" s="51" t="b">
        <v>0</v>
      </c>
      <c r="V809" s="51" t="b">
        <v>0</v>
      </c>
      <c r="W809" s="51" t="b">
        <v>0</v>
      </c>
      <c r="X809" s="51" t="b">
        <v>0</v>
      </c>
      <c r="Y809" s="51" t="b">
        <v>0</v>
      </c>
      <c r="Z809" s="51" t="b">
        <v>0</v>
      </c>
      <c r="AA809" s="68"/>
      <c r="AB809" s="52"/>
      <c r="AC809" s="52"/>
      <c r="AD809" s="52"/>
      <c r="AE809" s="56"/>
      <c r="AF809" s="56" t="s">
        <v>1944</v>
      </c>
    </row>
    <row r="810">
      <c r="A810" s="52" t="s">
        <v>2813</v>
      </c>
      <c r="B810" s="52" t="s">
        <v>19</v>
      </c>
      <c r="C810" s="52" t="s">
        <v>66</v>
      </c>
      <c r="D810" s="65">
        <v>0.5839351851851852</v>
      </c>
      <c r="E810" s="65">
        <v>0.009791666666666667</v>
      </c>
      <c r="F810" s="65">
        <v>0.5937268518518518</v>
      </c>
      <c r="G810" s="65" t="s">
        <v>441</v>
      </c>
      <c r="H810" s="52" t="s">
        <v>165</v>
      </c>
      <c r="I810" s="52" t="s">
        <v>1099</v>
      </c>
      <c r="J810" s="52" t="s">
        <v>1100</v>
      </c>
      <c r="K810" s="52"/>
      <c r="L810" s="52"/>
      <c r="M810" s="52"/>
      <c r="N810" s="52" t="s">
        <v>70</v>
      </c>
      <c r="O810" s="52"/>
      <c r="P810" s="69" t="s">
        <v>23</v>
      </c>
      <c r="Q810" s="80" t="s">
        <v>2814</v>
      </c>
      <c r="R810" s="51" t="b">
        <v>1</v>
      </c>
      <c r="S810" s="52" t="s">
        <v>1099</v>
      </c>
      <c r="T810" s="52"/>
      <c r="U810" s="51" t="b">
        <v>0</v>
      </c>
      <c r="V810" s="51" t="b">
        <v>1</v>
      </c>
      <c r="W810" s="51" t="b">
        <v>1</v>
      </c>
      <c r="X810" s="51" t="b">
        <v>0</v>
      </c>
      <c r="Y810" s="51" t="b">
        <v>0</v>
      </c>
      <c r="Z810" s="51" t="b">
        <v>0</v>
      </c>
      <c r="AA810" s="71">
        <v>0.009791666666666667</v>
      </c>
      <c r="AB810" s="69" t="s">
        <v>2815</v>
      </c>
      <c r="AC810" s="52"/>
      <c r="AD810" s="76" t="s">
        <v>2816</v>
      </c>
      <c r="AE810" s="56" t="s">
        <v>743</v>
      </c>
      <c r="AF810" s="56" t="s">
        <v>1125</v>
      </c>
    </row>
    <row r="811">
      <c r="A811" s="52" t="s">
        <v>2817</v>
      </c>
      <c r="B811" s="52" t="s">
        <v>607</v>
      </c>
      <c r="C811" s="52" t="s">
        <v>607</v>
      </c>
      <c r="D811" s="65" t="s">
        <v>607</v>
      </c>
      <c r="E811" s="65" t="s">
        <v>607</v>
      </c>
      <c r="F811" s="65" t="s">
        <v>607</v>
      </c>
      <c r="G811" s="65" t="s">
        <v>607</v>
      </c>
      <c r="H811" s="52" t="s">
        <v>607</v>
      </c>
      <c r="I811" s="52" t="s">
        <v>607</v>
      </c>
      <c r="J811" s="52" t="s">
        <v>607</v>
      </c>
      <c r="K811" s="52" t="s">
        <v>607</v>
      </c>
      <c r="L811" s="52" t="s">
        <v>607</v>
      </c>
      <c r="M811" s="52" t="s">
        <v>607</v>
      </c>
      <c r="N811" s="52" t="s">
        <v>607</v>
      </c>
      <c r="O811" s="52"/>
      <c r="P811" s="52"/>
      <c r="Q811" s="52"/>
      <c r="R811" s="51" t="b">
        <v>0</v>
      </c>
      <c r="S811" s="51"/>
      <c r="T811" s="52"/>
      <c r="U811" s="51" t="b">
        <v>0</v>
      </c>
      <c r="V811" s="51" t="b">
        <v>0</v>
      </c>
      <c r="W811" s="51" t="b">
        <v>0</v>
      </c>
      <c r="X811" s="51" t="b">
        <v>0</v>
      </c>
      <c r="Y811" s="51" t="b">
        <v>0</v>
      </c>
      <c r="Z811" s="51" t="b">
        <v>0</v>
      </c>
      <c r="AA811" s="68"/>
      <c r="AB811" s="52"/>
      <c r="AC811" s="52"/>
      <c r="AD811" s="52"/>
      <c r="AE811" s="56" t="s">
        <v>607</v>
      </c>
      <c r="AF811" s="56" t="s">
        <v>607</v>
      </c>
    </row>
    <row r="812">
      <c r="A812" s="52" t="s">
        <v>2818</v>
      </c>
      <c r="B812" s="52" t="s">
        <v>19</v>
      </c>
      <c r="C812" s="52" t="s">
        <v>66</v>
      </c>
      <c r="D812" s="65">
        <v>0.5</v>
      </c>
      <c r="E812" s="65">
        <v>3.4722222222222224E-4</v>
      </c>
      <c r="F812" s="65">
        <v>0.5003472222222223</v>
      </c>
      <c r="G812" s="65" t="s">
        <v>164</v>
      </c>
      <c r="H812" s="52" t="s">
        <v>81</v>
      </c>
      <c r="I812" s="52" t="s">
        <v>81</v>
      </c>
      <c r="J812" s="52"/>
      <c r="K812" s="52"/>
      <c r="L812" s="52"/>
      <c r="M812" s="52"/>
      <c r="N812" s="52" t="s">
        <v>70</v>
      </c>
      <c r="O812" s="52"/>
      <c r="P812" s="52"/>
      <c r="Q812" s="52"/>
      <c r="R812" s="51" t="b">
        <v>0</v>
      </c>
      <c r="S812" s="51"/>
      <c r="T812" s="52"/>
      <c r="U812" s="51" t="b">
        <v>0</v>
      </c>
      <c r="V812" s="51" t="b">
        <v>0</v>
      </c>
      <c r="W812" s="51" t="b">
        <v>0</v>
      </c>
      <c r="X812" s="51" t="b">
        <v>0</v>
      </c>
      <c r="Y812" s="51" t="b">
        <v>0</v>
      </c>
      <c r="Z812" s="51" t="b">
        <v>0</v>
      </c>
      <c r="AA812" s="68"/>
      <c r="AB812" s="52"/>
      <c r="AC812" s="52"/>
      <c r="AD812" s="52"/>
      <c r="AE812" s="56"/>
      <c r="AF812" s="56" t="s">
        <v>1944</v>
      </c>
    </row>
    <row r="813">
      <c r="A813" s="52" t="s">
        <v>2819</v>
      </c>
      <c r="B813" s="52" t="s">
        <v>19</v>
      </c>
      <c r="C813" s="52" t="s">
        <v>66</v>
      </c>
      <c r="D813" s="65">
        <v>0.5003472222222223</v>
      </c>
      <c r="E813" s="65">
        <v>0.006944444444444444</v>
      </c>
      <c r="F813" s="65">
        <v>0.5072916666666667</v>
      </c>
      <c r="G813" s="65" t="s">
        <v>164</v>
      </c>
      <c r="H813" s="52" t="s">
        <v>94</v>
      </c>
      <c r="I813" s="52" t="s">
        <v>1044</v>
      </c>
      <c r="J813" s="52" t="s">
        <v>1045</v>
      </c>
      <c r="K813" s="52"/>
      <c r="L813" s="52"/>
      <c r="M813" s="52"/>
      <c r="N813" s="52" t="s">
        <v>253</v>
      </c>
      <c r="O813" s="69" t="s">
        <v>618</v>
      </c>
      <c r="P813" s="69" t="s">
        <v>23</v>
      </c>
      <c r="Q813" s="80" t="s">
        <v>2820</v>
      </c>
      <c r="R813" s="51" t="b">
        <v>1</v>
      </c>
      <c r="S813" s="52" t="s">
        <v>1044</v>
      </c>
      <c r="T813" s="52"/>
      <c r="U813" s="51" t="b">
        <v>0</v>
      </c>
      <c r="V813" s="51" t="b">
        <v>1</v>
      </c>
      <c r="W813" s="51" t="b">
        <v>0</v>
      </c>
      <c r="X813" s="51" t="b">
        <v>0</v>
      </c>
      <c r="Y813" s="51" t="b">
        <v>1</v>
      </c>
      <c r="Z813" s="51" t="b">
        <v>0</v>
      </c>
      <c r="AA813" s="85">
        <v>0.006435185185185185</v>
      </c>
      <c r="AB813" s="152" t="s">
        <v>2821</v>
      </c>
      <c r="AC813" s="153"/>
      <c r="AD813" s="154" t="s">
        <v>2822</v>
      </c>
      <c r="AE813" s="74" t="s">
        <v>629</v>
      </c>
      <c r="AF813" s="74" t="s">
        <v>946</v>
      </c>
    </row>
    <row r="814">
      <c r="A814" s="52" t="s">
        <v>2823</v>
      </c>
      <c r="B814" s="52" t="s">
        <v>607</v>
      </c>
      <c r="C814" s="52" t="s">
        <v>607</v>
      </c>
      <c r="D814" s="65" t="s">
        <v>607</v>
      </c>
      <c r="E814" s="65" t="s">
        <v>607</v>
      </c>
      <c r="F814" s="65" t="s">
        <v>607</v>
      </c>
      <c r="G814" s="65" t="s">
        <v>607</v>
      </c>
      <c r="H814" s="52" t="s">
        <v>607</v>
      </c>
      <c r="I814" s="52" t="s">
        <v>607</v>
      </c>
      <c r="J814" s="52" t="s">
        <v>607</v>
      </c>
      <c r="K814" s="52" t="s">
        <v>607</v>
      </c>
      <c r="L814" s="52" t="s">
        <v>607</v>
      </c>
      <c r="M814" s="52" t="s">
        <v>607</v>
      </c>
      <c r="N814" s="52" t="s">
        <v>607</v>
      </c>
      <c r="O814" s="52"/>
      <c r="P814" s="52"/>
      <c r="Q814" s="52"/>
      <c r="R814" s="51" t="b">
        <v>0</v>
      </c>
      <c r="S814" s="51"/>
      <c r="T814" s="52"/>
      <c r="U814" s="51" t="b">
        <v>0</v>
      </c>
      <c r="V814" s="51" t="b">
        <v>0</v>
      </c>
      <c r="W814" s="51" t="b">
        <v>0</v>
      </c>
      <c r="X814" s="51" t="b">
        <v>0</v>
      </c>
      <c r="Y814" s="51" t="b">
        <v>0</v>
      </c>
      <c r="Z814" s="51" t="b">
        <v>0</v>
      </c>
      <c r="AA814" s="68"/>
      <c r="AB814" s="52"/>
      <c r="AC814" s="52"/>
      <c r="AD814" s="52"/>
      <c r="AE814" s="56" t="s">
        <v>607</v>
      </c>
      <c r="AF814" s="56" t="s">
        <v>607</v>
      </c>
    </row>
    <row r="815">
      <c r="A815" s="52" t="s">
        <v>2824</v>
      </c>
      <c r="B815" s="52" t="s">
        <v>607</v>
      </c>
      <c r="C815" s="52" t="s">
        <v>607</v>
      </c>
      <c r="D815" s="65" t="s">
        <v>607</v>
      </c>
      <c r="E815" s="65" t="s">
        <v>607</v>
      </c>
      <c r="F815" s="65" t="s">
        <v>607</v>
      </c>
      <c r="G815" s="65" t="s">
        <v>607</v>
      </c>
      <c r="H815" s="52" t="s">
        <v>607</v>
      </c>
      <c r="I815" s="52" t="s">
        <v>607</v>
      </c>
      <c r="J815" s="52" t="s">
        <v>607</v>
      </c>
      <c r="K815" s="52" t="s">
        <v>607</v>
      </c>
      <c r="L815" s="52" t="s">
        <v>607</v>
      </c>
      <c r="M815" s="52" t="s">
        <v>607</v>
      </c>
      <c r="N815" s="52" t="s">
        <v>607</v>
      </c>
      <c r="O815" s="52"/>
      <c r="P815" s="52"/>
      <c r="Q815" s="52"/>
      <c r="R815" s="51" t="b">
        <v>0</v>
      </c>
      <c r="S815" s="51"/>
      <c r="T815" s="52"/>
      <c r="U815" s="51" t="b">
        <v>0</v>
      </c>
      <c r="V815" s="51" t="b">
        <v>0</v>
      </c>
      <c r="W815" s="51" t="b">
        <v>0</v>
      </c>
      <c r="X815" s="51" t="b">
        <v>0</v>
      </c>
      <c r="Y815" s="51" t="b">
        <v>0</v>
      </c>
      <c r="Z815" s="51" t="b">
        <v>0</v>
      </c>
      <c r="AA815" s="68"/>
      <c r="AB815" s="52"/>
      <c r="AC815" s="52"/>
      <c r="AD815" s="52"/>
      <c r="AE815" s="56" t="s">
        <v>607</v>
      </c>
      <c r="AF815" s="56" t="s">
        <v>607</v>
      </c>
    </row>
    <row r="816">
      <c r="A816" s="52" t="s">
        <v>2825</v>
      </c>
      <c r="B816" s="52" t="s">
        <v>16</v>
      </c>
      <c r="C816" s="52" t="s">
        <v>221</v>
      </c>
      <c r="D816" s="65">
        <v>0.44865740740740756</v>
      </c>
      <c r="E816" s="65">
        <v>3.4722222222222224E-4</v>
      </c>
      <c r="F816" s="65">
        <v>0.4490046296296298</v>
      </c>
      <c r="G816" s="65" t="s">
        <v>164</v>
      </c>
      <c r="H816" s="52" t="s">
        <v>81</v>
      </c>
      <c r="I816" s="52" t="s">
        <v>81</v>
      </c>
      <c r="J816" s="52"/>
      <c r="K816" s="52"/>
      <c r="L816" s="52"/>
      <c r="M816" s="52"/>
      <c r="N816" s="52"/>
      <c r="O816" s="52"/>
      <c r="P816" s="52"/>
      <c r="Q816" s="52"/>
      <c r="R816" s="51" t="b">
        <v>0</v>
      </c>
      <c r="S816" s="51"/>
      <c r="T816" s="52"/>
      <c r="U816" s="51" t="b">
        <v>0</v>
      </c>
      <c r="V816" s="51" t="b">
        <v>0</v>
      </c>
      <c r="W816" s="51" t="b">
        <v>0</v>
      </c>
      <c r="X816" s="51" t="b">
        <v>0</v>
      </c>
      <c r="Y816" s="51" t="b">
        <v>0</v>
      </c>
      <c r="Z816" s="51" t="b">
        <v>0</v>
      </c>
      <c r="AA816" s="68"/>
      <c r="AB816" s="52"/>
      <c r="AC816" s="52"/>
      <c r="AD816" s="52"/>
      <c r="AE816" s="56"/>
      <c r="AF816" s="56" t="s">
        <v>1944</v>
      </c>
    </row>
    <row r="817">
      <c r="A817" s="52" t="s">
        <v>2826</v>
      </c>
      <c r="B817" s="52" t="s">
        <v>16</v>
      </c>
      <c r="C817" s="52" t="s">
        <v>221</v>
      </c>
      <c r="D817" s="65">
        <v>0.4490046296296298</v>
      </c>
      <c r="E817" s="65">
        <v>0.010578703703703703</v>
      </c>
      <c r="F817" s="65">
        <v>0.4595833333333335</v>
      </c>
      <c r="G817" s="65" t="s">
        <v>164</v>
      </c>
      <c r="H817" s="52" t="s">
        <v>165</v>
      </c>
      <c r="I817" s="52" t="s">
        <v>623</v>
      </c>
      <c r="J817" s="52" t="s">
        <v>624</v>
      </c>
      <c r="K817" s="52"/>
      <c r="L817" s="52"/>
      <c r="M817" s="52"/>
      <c r="N817" s="52"/>
      <c r="O817" s="52"/>
      <c r="P817" s="69" t="s">
        <v>25</v>
      </c>
      <c r="Q817" s="80" t="s">
        <v>2827</v>
      </c>
      <c r="R817" s="51" t="b">
        <v>1</v>
      </c>
      <c r="S817" s="52" t="s">
        <v>623</v>
      </c>
      <c r="T817" s="52"/>
      <c r="U817" s="51" t="b">
        <v>0</v>
      </c>
      <c r="V817" s="51" t="b">
        <v>1</v>
      </c>
      <c r="W817" s="51" t="b">
        <v>1</v>
      </c>
      <c r="X817" s="51" t="b">
        <v>0</v>
      </c>
      <c r="Y817" s="51" t="b">
        <v>1</v>
      </c>
      <c r="Z817" s="51" t="b">
        <v>0</v>
      </c>
      <c r="AA817" s="71">
        <v>0.010578703703703703</v>
      </c>
      <c r="AB817" s="69" t="s">
        <v>2828</v>
      </c>
      <c r="AC817" s="69" t="s">
        <v>2600</v>
      </c>
      <c r="AD817" s="80" t="s">
        <v>2829</v>
      </c>
      <c r="AE817" s="56" t="s">
        <v>743</v>
      </c>
      <c r="AF817" s="56" t="s">
        <v>946</v>
      </c>
    </row>
    <row r="818">
      <c r="A818" s="52" t="s">
        <v>2830</v>
      </c>
      <c r="B818" s="52" t="s">
        <v>16</v>
      </c>
      <c r="C818" s="52" t="s">
        <v>221</v>
      </c>
      <c r="D818" s="65">
        <v>0.4595833333333335</v>
      </c>
      <c r="E818" s="65">
        <v>1.7361111111111112E-4</v>
      </c>
      <c r="F818" s="65">
        <v>0.45975694444444465</v>
      </c>
      <c r="G818" s="65" t="s">
        <v>164</v>
      </c>
      <c r="H818" s="52" t="s">
        <v>85</v>
      </c>
      <c r="I818" s="52" t="s">
        <v>85</v>
      </c>
      <c r="J818" s="52"/>
      <c r="K818" s="52"/>
      <c r="L818" s="52"/>
      <c r="M818" s="52"/>
      <c r="N818" s="52"/>
      <c r="O818" s="52"/>
      <c r="P818" s="52"/>
      <c r="Q818" s="52"/>
      <c r="R818" s="51" t="b">
        <v>0</v>
      </c>
      <c r="S818" s="51"/>
      <c r="T818" s="52"/>
      <c r="U818" s="51" t="b">
        <v>0</v>
      </c>
      <c r="V818" s="51" t="b">
        <v>0</v>
      </c>
      <c r="W818" s="51" t="b">
        <v>0</v>
      </c>
      <c r="X818" s="51" t="b">
        <v>0</v>
      </c>
      <c r="Y818" s="51" t="b">
        <v>0</v>
      </c>
      <c r="Z818" s="51" t="b">
        <v>0</v>
      </c>
      <c r="AA818" s="68"/>
      <c r="AB818" s="52"/>
      <c r="AC818" s="52"/>
      <c r="AD818" s="52"/>
      <c r="AE818" s="56"/>
      <c r="AF818" s="56" t="s">
        <v>1944</v>
      </c>
    </row>
    <row r="819">
      <c r="A819" s="52" t="s">
        <v>2831</v>
      </c>
      <c r="B819" s="52" t="s">
        <v>19</v>
      </c>
      <c r="C819" s="52" t="s">
        <v>66</v>
      </c>
      <c r="D819" s="65">
        <v>0.5149652777777778</v>
      </c>
      <c r="E819" s="65">
        <v>2.314814814814815E-4</v>
      </c>
      <c r="F819" s="65">
        <v>0.5151967592592592</v>
      </c>
      <c r="G819" s="65" t="s">
        <v>164</v>
      </c>
      <c r="H819" s="52" t="s">
        <v>81</v>
      </c>
      <c r="I819" s="52" t="s">
        <v>81</v>
      </c>
      <c r="J819" s="52"/>
      <c r="K819" s="52"/>
      <c r="L819" s="52"/>
      <c r="M819" s="52"/>
      <c r="N819" s="52" t="s">
        <v>70</v>
      </c>
      <c r="O819" s="52"/>
      <c r="P819" s="52"/>
      <c r="Q819" s="52"/>
      <c r="R819" s="51" t="b">
        <v>0</v>
      </c>
      <c r="S819" s="51"/>
      <c r="T819" s="52"/>
      <c r="U819" s="51" t="b">
        <v>0</v>
      </c>
      <c r="V819" s="51" t="b">
        <v>0</v>
      </c>
      <c r="W819" s="51" t="b">
        <v>0</v>
      </c>
      <c r="X819" s="51" t="b">
        <v>0</v>
      </c>
      <c r="Y819" s="51" t="b">
        <v>0</v>
      </c>
      <c r="Z819" s="51" t="b">
        <v>0</v>
      </c>
      <c r="AA819" s="68"/>
      <c r="AB819" s="52"/>
      <c r="AC819" s="52"/>
      <c r="AD819" s="52"/>
      <c r="AE819" s="56"/>
      <c r="AF819" s="56" t="s">
        <v>1944</v>
      </c>
    </row>
    <row r="820">
      <c r="A820" s="52" t="s">
        <v>2832</v>
      </c>
      <c r="B820" s="52" t="s">
        <v>19</v>
      </c>
      <c r="C820" s="52" t="s">
        <v>66</v>
      </c>
      <c r="D820" s="65">
        <v>0.5151967592592592</v>
      </c>
      <c r="E820" s="65">
        <v>0.0070023148148148145</v>
      </c>
      <c r="F820" s="65">
        <v>0.5221990740740741</v>
      </c>
      <c r="G820" s="65" t="s">
        <v>164</v>
      </c>
      <c r="H820" s="52" t="s">
        <v>165</v>
      </c>
      <c r="I820" s="52" t="s">
        <v>1053</v>
      </c>
      <c r="J820" s="52" t="s">
        <v>1054</v>
      </c>
      <c r="K820" s="52"/>
      <c r="L820" s="52"/>
      <c r="M820" s="52"/>
      <c r="N820" s="52" t="s">
        <v>70</v>
      </c>
      <c r="O820" s="69" t="s">
        <v>884</v>
      </c>
      <c r="P820" s="69" t="s">
        <v>17</v>
      </c>
      <c r="Q820" s="80" t="s">
        <v>2833</v>
      </c>
      <c r="R820" s="51" t="b">
        <v>1</v>
      </c>
      <c r="S820" s="52" t="s">
        <v>1053</v>
      </c>
      <c r="T820" s="52"/>
      <c r="U820" s="51" t="b">
        <v>0</v>
      </c>
      <c r="V820" s="51" t="b">
        <v>1</v>
      </c>
      <c r="W820" s="51" t="b">
        <v>1</v>
      </c>
      <c r="X820" s="51" t="b">
        <v>0</v>
      </c>
      <c r="Y820" s="51" t="b">
        <v>0</v>
      </c>
      <c r="Z820" s="51" t="b">
        <v>0</v>
      </c>
      <c r="AA820" s="71">
        <v>0.0070023148148148145</v>
      </c>
      <c r="AB820" s="69"/>
      <c r="AC820" s="52"/>
      <c r="AD820" s="73" t="s">
        <v>2834</v>
      </c>
      <c r="AE820" s="56" t="s">
        <v>743</v>
      </c>
      <c r="AF820" s="56" t="s">
        <v>946</v>
      </c>
    </row>
    <row r="821">
      <c r="A821" s="52" t="s">
        <v>2835</v>
      </c>
      <c r="B821" s="52" t="s">
        <v>607</v>
      </c>
      <c r="C821" s="52" t="s">
        <v>607</v>
      </c>
      <c r="D821" s="65" t="s">
        <v>607</v>
      </c>
      <c r="E821" s="65" t="s">
        <v>607</v>
      </c>
      <c r="F821" s="65" t="s">
        <v>607</v>
      </c>
      <c r="G821" s="65" t="s">
        <v>607</v>
      </c>
      <c r="H821" s="52" t="s">
        <v>607</v>
      </c>
      <c r="I821" s="52" t="s">
        <v>607</v>
      </c>
      <c r="J821" s="52" t="s">
        <v>607</v>
      </c>
      <c r="K821" s="52" t="s">
        <v>607</v>
      </c>
      <c r="L821" s="52" t="s">
        <v>607</v>
      </c>
      <c r="M821" s="52" t="s">
        <v>607</v>
      </c>
      <c r="N821" s="52" t="s">
        <v>607</v>
      </c>
      <c r="O821" s="52"/>
      <c r="P821" s="52"/>
      <c r="Q821" s="52"/>
      <c r="R821" s="51" t="b">
        <v>0</v>
      </c>
      <c r="S821" s="51"/>
      <c r="T821" s="52"/>
      <c r="U821" s="51" t="b">
        <v>0</v>
      </c>
      <c r="V821" s="51" t="b">
        <v>0</v>
      </c>
      <c r="W821" s="51" t="b">
        <v>0</v>
      </c>
      <c r="X821" s="51" t="b">
        <v>0</v>
      </c>
      <c r="Y821" s="51" t="b">
        <v>0</v>
      </c>
      <c r="Z821" s="51" t="b">
        <v>0</v>
      </c>
      <c r="AA821" s="68"/>
      <c r="AB821" s="52"/>
      <c r="AC821" s="52"/>
      <c r="AD821" s="52"/>
      <c r="AE821" s="56" t="s">
        <v>607</v>
      </c>
      <c r="AF821" s="56" t="s">
        <v>607</v>
      </c>
    </row>
    <row r="822">
      <c r="A822" s="52" t="s">
        <v>2836</v>
      </c>
      <c r="B822" s="52" t="s">
        <v>607</v>
      </c>
      <c r="C822" s="52" t="s">
        <v>607</v>
      </c>
      <c r="D822" s="65" t="s">
        <v>607</v>
      </c>
      <c r="E822" s="65" t="s">
        <v>607</v>
      </c>
      <c r="F822" s="65" t="s">
        <v>607</v>
      </c>
      <c r="G822" s="65" t="s">
        <v>607</v>
      </c>
      <c r="H822" s="52" t="s">
        <v>607</v>
      </c>
      <c r="I822" s="52" t="s">
        <v>607</v>
      </c>
      <c r="J822" s="52" t="s">
        <v>607</v>
      </c>
      <c r="K822" s="52" t="s">
        <v>607</v>
      </c>
      <c r="L822" s="52" t="s">
        <v>607</v>
      </c>
      <c r="M822" s="52" t="s">
        <v>607</v>
      </c>
      <c r="N822" s="52" t="s">
        <v>607</v>
      </c>
      <c r="O822" s="52"/>
      <c r="P822" s="52"/>
      <c r="Q822" s="52"/>
      <c r="R822" s="51" t="b">
        <v>0</v>
      </c>
      <c r="S822" s="51"/>
      <c r="T822" s="52"/>
      <c r="U822" s="51" t="b">
        <v>0</v>
      </c>
      <c r="V822" s="51" t="b">
        <v>0</v>
      </c>
      <c r="W822" s="51" t="b">
        <v>0</v>
      </c>
      <c r="X822" s="51" t="b">
        <v>0</v>
      </c>
      <c r="Y822" s="51" t="b">
        <v>0</v>
      </c>
      <c r="Z822" s="51" t="b">
        <v>0</v>
      </c>
      <c r="AA822" s="68"/>
      <c r="AB822" s="52"/>
      <c r="AC822" s="52"/>
      <c r="AD822" s="52"/>
      <c r="AE822" s="56" t="s">
        <v>607</v>
      </c>
      <c r="AF822" s="56" t="s">
        <v>607</v>
      </c>
    </row>
    <row r="823">
      <c r="A823" s="52" t="s">
        <v>2837</v>
      </c>
      <c r="B823" s="52" t="s">
        <v>19</v>
      </c>
      <c r="C823" s="52" t="s">
        <v>66</v>
      </c>
      <c r="D823" s="65">
        <v>0.5232407407407408</v>
      </c>
      <c r="E823" s="65">
        <v>2.314814814814815E-4</v>
      </c>
      <c r="F823" s="65">
        <v>0.5234722222222222</v>
      </c>
      <c r="G823" s="65" t="s">
        <v>164</v>
      </c>
      <c r="H823" s="52" t="s">
        <v>81</v>
      </c>
      <c r="I823" s="52" t="s">
        <v>81</v>
      </c>
      <c r="J823" s="52"/>
      <c r="K823" s="52"/>
      <c r="L823" s="52"/>
      <c r="M823" s="52"/>
      <c r="N823" s="52" t="s">
        <v>70</v>
      </c>
      <c r="O823" s="52"/>
      <c r="P823" s="52"/>
      <c r="Q823" s="52"/>
      <c r="R823" s="51" t="b">
        <v>0</v>
      </c>
      <c r="S823" s="51"/>
      <c r="T823" s="52"/>
      <c r="U823" s="51" t="b">
        <v>0</v>
      </c>
      <c r="V823" s="51" t="b">
        <v>0</v>
      </c>
      <c r="W823" s="51" t="b">
        <v>0</v>
      </c>
      <c r="X823" s="51" t="b">
        <v>0</v>
      </c>
      <c r="Y823" s="51" t="b">
        <v>0</v>
      </c>
      <c r="Z823" s="51" t="b">
        <v>0</v>
      </c>
      <c r="AA823" s="68"/>
      <c r="AB823" s="52"/>
      <c r="AC823" s="52"/>
      <c r="AD823" s="52"/>
      <c r="AE823" s="56"/>
      <c r="AF823" s="56" t="s">
        <v>1944</v>
      </c>
    </row>
    <row r="824">
      <c r="A824" s="52" t="s">
        <v>2838</v>
      </c>
      <c r="B824" s="52" t="s">
        <v>19</v>
      </c>
      <c r="C824" s="52" t="s">
        <v>66</v>
      </c>
      <c r="D824" s="65">
        <v>0.5234722222222222</v>
      </c>
      <c r="E824" s="65">
        <v>0.007453703703703704</v>
      </c>
      <c r="F824" s="65">
        <v>0.5309259259259259</v>
      </c>
      <c r="G824" s="65" t="s">
        <v>164</v>
      </c>
      <c r="H824" s="52" t="s">
        <v>107</v>
      </c>
      <c r="I824" s="52" t="s">
        <v>1058</v>
      </c>
      <c r="J824" s="52" t="s">
        <v>1059</v>
      </c>
      <c r="K824" s="52" t="s">
        <v>1060</v>
      </c>
      <c r="L824" s="52"/>
      <c r="M824" s="52"/>
      <c r="N824" s="52" t="s">
        <v>439</v>
      </c>
      <c r="O824" s="69" t="s">
        <v>734</v>
      </c>
      <c r="P824" s="69" t="s">
        <v>25</v>
      </c>
      <c r="Q824" s="70" t="s">
        <v>2839</v>
      </c>
      <c r="R824" s="51" t="b">
        <v>1</v>
      </c>
      <c r="S824" s="52" t="s">
        <v>1058</v>
      </c>
      <c r="T824" s="52"/>
      <c r="U824" s="51" t="b">
        <v>0</v>
      </c>
      <c r="V824" s="51" t="b">
        <v>1</v>
      </c>
      <c r="W824" s="51" t="b">
        <v>1</v>
      </c>
      <c r="X824" s="51" t="b">
        <v>0</v>
      </c>
      <c r="Y824" s="51" t="b">
        <v>1</v>
      </c>
      <c r="Z824" s="51" t="b">
        <v>0</v>
      </c>
      <c r="AA824" s="85">
        <v>0.007453703703703704</v>
      </c>
      <c r="AB824" s="86" t="s">
        <v>2840</v>
      </c>
      <c r="AC824" s="86" t="s">
        <v>2841</v>
      </c>
      <c r="AD824" s="80" t="s">
        <v>2842</v>
      </c>
      <c r="AE824" s="74" t="s">
        <v>743</v>
      </c>
      <c r="AF824" s="74" t="s">
        <v>946</v>
      </c>
    </row>
    <row r="825">
      <c r="A825" s="52" t="s">
        <v>2843</v>
      </c>
      <c r="B825" s="52" t="s">
        <v>607</v>
      </c>
      <c r="C825" s="52" t="s">
        <v>607</v>
      </c>
      <c r="D825" s="65" t="s">
        <v>607</v>
      </c>
      <c r="E825" s="65" t="s">
        <v>607</v>
      </c>
      <c r="F825" s="65" t="s">
        <v>607</v>
      </c>
      <c r="G825" s="65" t="s">
        <v>607</v>
      </c>
      <c r="H825" s="52" t="s">
        <v>607</v>
      </c>
      <c r="I825" s="52" t="s">
        <v>607</v>
      </c>
      <c r="J825" s="52" t="s">
        <v>607</v>
      </c>
      <c r="K825" s="52" t="s">
        <v>607</v>
      </c>
      <c r="L825" s="52" t="s">
        <v>607</v>
      </c>
      <c r="M825" s="52" t="s">
        <v>607</v>
      </c>
      <c r="N825" s="52" t="s">
        <v>607</v>
      </c>
      <c r="O825" s="52"/>
      <c r="P825" s="52"/>
      <c r="Q825" s="52"/>
      <c r="R825" s="51" t="b">
        <v>0</v>
      </c>
      <c r="S825" s="51"/>
      <c r="T825" s="52"/>
      <c r="U825" s="51" t="b">
        <v>0</v>
      </c>
      <c r="V825" s="51" t="b">
        <v>0</v>
      </c>
      <c r="W825" s="51" t="b">
        <v>0</v>
      </c>
      <c r="X825" s="51" t="b">
        <v>0</v>
      </c>
      <c r="Y825" s="51" t="b">
        <v>0</v>
      </c>
      <c r="Z825" s="51" t="b">
        <v>0</v>
      </c>
      <c r="AA825" s="68"/>
      <c r="AB825" s="52"/>
      <c r="AC825" s="52"/>
      <c r="AD825" s="52"/>
      <c r="AE825" s="56" t="s">
        <v>607</v>
      </c>
      <c r="AF825" s="56" t="s">
        <v>607</v>
      </c>
    </row>
    <row r="826">
      <c r="A826" s="52" t="s">
        <v>2844</v>
      </c>
      <c r="B826" s="52" t="s">
        <v>19</v>
      </c>
      <c r="C826" s="52" t="s">
        <v>66</v>
      </c>
      <c r="D826" s="65">
        <v>0.5309259259259259</v>
      </c>
      <c r="E826" s="65">
        <v>2.314814814814815E-4</v>
      </c>
      <c r="F826" s="65">
        <v>0.5311574074074074</v>
      </c>
      <c r="G826" s="65" t="s">
        <v>164</v>
      </c>
      <c r="H826" s="52" t="s">
        <v>81</v>
      </c>
      <c r="I826" s="52" t="s">
        <v>81</v>
      </c>
      <c r="J826" s="52"/>
      <c r="K826" s="52"/>
      <c r="L826" s="52"/>
      <c r="M826" s="52"/>
      <c r="N826" s="52" t="s">
        <v>70</v>
      </c>
      <c r="O826" s="52"/>
      <c r="P826" s="52"/>
      <c r="Q826" s="52"/>
      <c r="R826" s="51" t="b">
        <v>0</v>
      </c>
      <c r="S826" s="51"/>
      <c r="T826" s="52"/>
      <c r="U826" s="51" t="b">
        <v>0</v>
      </c>
      <c r="V826" s="51" t="b">
        <v>0</v>
      </c>
      <c r="W826" s="51" t="b">
        <v>0</v>
      </c>
      <c r="X826" s="51" t="b">
        <v>0</v>
      </c>
      <c r="Y826" s="51" t="b">
        <v>0</v>
      </c>
      <c r="Z826" s="51" t="b">
        <v>0</v>
      </c>
      <c r="AA826" s="68"/>
      <c r="AB826" s="52"/>
      <c r="AC826" s="52"/>
      <c r="AD826" s="52"/>
      <c r="AE826" s="56"/>
      <c r="AF826" s="56" t="s">
        <v>1944</v>
      </c>
    </row>
    <row r="827">
      <c r="A827" s="52" t="s">
        <v>2845</v>
      </c>
      <c r="B827" s="52" t="s">
        <v>19</v>
      </c>
      <c r="C827" s="52" t="s">
        <v>66</v>
      </c>
      <c r="D827" s="65">
        <v>0.5311574074074074</v>
      </c>
      <c r="E827" s="65">
        <v>0.00931712962962963</v>
      </c>
      <c r="F827" s="65">
        <v>0.540474537037037</v>
      </c>
      <c r="G827" s="65" t="s">
        <v>164</v>
      </c>
      <c r="H827" s="52" t="s">
        <v>74</v>
      </c>
      <c r="I827" s="52" t="s">
        <v>1062</v>
      </c>
      <c r="J827" s="52" t="s">
        <v>1063</v>
      </c>
      <c r="K827" s="52" t="s">
        <v>1064</v>
      </c>
      <c r="L827" s="52" t="s">
        <v>1065</v>
      </c>
      <c r="M827" s="52"/>
      <c r="N827" s="52" t="s">
        <v>1067</v>
      </c>
      <c r="O827" s="69" t="s">
        <v>791</v>
      </c>
      <c r="P827" s="69" t="s">
        <v>25</v>
      </c>
      <c r="Q827" s="73" t="s">
        <v>2846</v>
      </c>
      <c r="R827" s="51" t="b">
        <v>1</v>
      </c>
      <c r="S827" s="52" t="s">
        <v>1062</v>
      </c>
      <c r="T827" s="52"/>
      <c r="U827" s="51" t="b">
        <v>0</v>
      </c>
      <c r="V827" s="51" t="b">
        <v>1</v>
      </c>
      <c r="W827" s="51" t="b">
        <v>1</v>
      </c>
      <c r="X827" s="51" t="b">
        <v>0</v>
      </c>
      <c r="Y827" s="51" t="b">
        <v>0</v>
      </c>
      <c r="Z827" s="51" t="b">
        <v>0</v>
      </c>
      <c r="AA827" s="71">
        <v>0.00931712962962963</v>
      </c>
      <c r="AB827" s="69"/>
      <c r="AC827" s="69"/>
      <c r="AD827" s="155" t="s">
        <v>2847</v>
      </c>
      <c r="AE827" s="74" t="s">
        <v>629</v>
      </c>
      <c r="AF827" s="74" t="s">
        <v>946</v>
      </c>
    </row>
    <row r="828">
      <c r="A828" s="52" t="s">
        <v>2848</v>
      </c>
      <c r="B828" s="52" t="s">
        <v>607</v>
      </c>
      <c r="C828" s="52" t="s">
        <v>607</v>
      </c>
      <c r="D828" s="65" t="s">
        <v>607</v>
      </c>
      <c r="E828" s="65" t="s">
        <v>607</v>
      </c>
      <c r="F828" s="65" t="s">
        <v>607</v>
      </c>
      <c r="G828" s="65" t="s">
        <v>607</v>
      </c>
      <c r="H828" s="52" t="s">
        <v>607</v>
      </c>
      <c r="I828" s="52" t="s">
        <v>607</v>
      </c>
      <c r="J828" s="52" t="s">
        <v>607</v>
      </c>
      <c r="K828" s="52" t="s">
        <v>607</v>
      </c>
      <c r="L828" s="52" t="s">
        <v>607</v>
      </c>
      <c r="M828" s="52" t="s">
        <v>607</v>
      </c>
      <c r="N828" s="52" t="s">
        <v>607</v>
      </c>
      <c r="O828" s="52"/>
      <c r="P828" s="52"/>
      <c r="Q828" s="52"/>
      <c r="R828" s="51" t="b">
        <v>0</v>
      </c>
      <c r="S828" s="51"/>
      <c r="T828" s="52"/>
      <c r="U828" s="51" t="b">
        <v>0</v>
      </c>
      <c r="V828" s="51" t="b">
        <v>0</v>
      </c>
      <c r="W828" s="51" t="b">
        <v>0</v>
      </c>
      <c r="X828" s="51" t="b">
        <v>0</v>
      </c>
      <c r="Y828" s="51" t="b">
        <v>0</v>
      </c>
      <c r="Z828" s="51" t="b">
        <v>0</v>
      </c>
      <c r="AA828" s="68"/>
      <c r="AB828" s="52"/>
      <c r="AC828" s="52"/>
      <c r="AD828" s="52"/>
      <c r="AE828" s="56" t="s">
        <v>607</v>
      </c>
      <c r="AF828" s="56" t="s">
        <v>607</v>
      </c>
    </row>
    <row r="829">
      <c r="A829" s="52" t="s">
        <v>2849</v>
      </c>
      <c r="B829" s="52" t="s">
        <v>19</v>
      </c>
      <c r="C829" s="52" t="s">
        <v>66</v>
      </c>
      <c r="D829" s="65">
        <v>0.4988773148148149</v>
      </c>
      <c r="E829" s="65">
        <v>2.0833333333333335E-4</v>
      </c>
      <c r="F829" s="65">
        <v>0.4990856481481482</v>
      </c>
      <c r="G829" s="65" t="s">
        <v>1040</v>
      </c>
      <c r="H829" s="52" t="s">
        <v>506</v>
      </c>
      <c r="I829" s="52" t="s">
        <v>1041</v>
      </c>
      <c r="J829" s="52"/>
      <c r="K829" s="52"/>
      <c r="L829" s="52"/>
      <c r="M829" s="52"/>
      <c r="N829" s="52" t="s">
        <v>70</v>
      </c>
      <c r="O829" s="69" t="s">
        <v>506</v>
      </c>
      <c r="P829" s="69" t="s">
        <v>30</v>
      </c>
      <c r="Q829" s="80" t="s">
        <v>2850</v>
      </c>
      <c r="R829" s="51" t="b">
        <v>1</v>
      </c>
      <c r="S829" s="110" t="s">
        <v>1041</v>
      </c>
      <c r="T829" s="52"/>
      <c r="U829" s="51" t="b">
        <v>0</v>
      </c>
      <c r="V829" s="51" t="b">
        <v>1</v>
      </c>
      <c r="W829" s="51" t="b">
        <v>1</v>
      </c>
      <c r="X829" s="51" t="b">
        <v>0</v>
      </c>
      <c r="Y829" s="51" t="b">
        <v>0</v>
      </c>
      <c r="Z829" s="51" t="b">
        <v>0</v>
      </c>
      <c r="AA829" s="71">
        <v>2.0833333333333335E-4</v>
      </c>
      <c r="AB829" s="52"/>
      <c r="AC829" s="52"/>
      <c r="AD829" s="73" t="s">
        <v>2851</v>
      </c>
      <c r="AE829" s="56"/>
      <c r="AF829" s="56" t="s">
        <v>1215</v>
      </c>
    </row>
    <row r="830">
      <c r="A830" s="52" t="s">
        <v>2852</v>
      </c>
      <c r="B830" s="52" t="s">
        <v>607</v>
      </c>
      <c r="C830" s="52" t="s">
        <v>607</v>
      </c>
      <c r="D830" s="65" t="s">
        <v>607</v>
      </c>
      <c r="E830" s="65" t="s">
        <v>607</v>
      </c>
      <c r="F830" s="65" t="s">
        <v>607</v>
      </c>
      <c r="G830" s="65" t="s">
        <v>607</v>
      </c>
      <c r="H830" s="52" t="s">
        <v>607</v>
      </c>
      <c r="I830" s="52" t="s">
        <v>607</v>
      </c>
      <c r="J830" s="52" t="s">
        <v>607</v>
      </c>
      <c r="K830" s="52" t="s">
        <v>607</v>
      </c>
      <c r="L830" s="52" t="s">
        <v>607</v>
      </c>
      <c r="M830" s="52" t="s">
        <v>607</v>
      </c>
      <c r="N830" s="52" t="s">
        <v>607</v>
      </c>
      <c r="O830" s="52"/>
      <c r="P830" s="52"/>
      <c r="Q830" s="52"/>
      <c r="R830" s="51" t="b">
        <v>0</v>
      </c>
      <c r="S830" s="51"/>
      <c r="T830" s="52"/>
      <c r="U830" s="51" t="b">
        <v>0</v>
      </c>
      <c r="V830" s="51" t="b">
        <v>0</v>
      </c>
      <c r="W830" s="51" t="b">
        <v>0</v>
      </c>
      <c r="X830" s="51" t="b">
        <v>0</v>
      </c>
      <c r="Y830" s="51" t="b">
        <v>0</v>
      </c>
      <c r="Z830" s="51" t="b">
        <v>0</v>
      </c>
      <c r="AA830" s="68"/>
      <c r="AB830" s="52"/>
      <c r="AC830" s="52"/>
      <c r="AD830" s="52"/>
      <c r="AE830" s="56" t="s">
        <v>607</v>
      </c>
      <c r="AF830" s="56" t="s">
        <v>607</v>
      </c>
    </row>
    <row r="831">
      <c r="A831" s="52" t="s">
        <v>2853</v>
      </c>
      <c r="B831" s="52" t="s">
        <v>14</v>
      </c>
      <c r="C831" s="52" t="s">
        <v>66</v>
      </c>
      <c r="D831" s="65">
        <v>0.5445833333333334</v>
      </c>
      <c r="E831" s="65">
        <v>0.010763888888888889</v>
      </c>
      <c r="F831" s="65">
        <v>0.5553472222222223</v>
      </c>
      <c r="G831" s="65" t="s">
        <v>146</v>
      </c>
      <c r="H831" s="52" t="s">
        <v>94</v>
      </c>
      <c r="I831" s="52" t="s">
        <v>147</v>
      </c>
      <c r="J831" s="52" t="s">
        <v>148</v>
      </c>
      <c r="K831" s="52"/>
      <c r="L831" s="52"/>
      <c r="M831" s="52"/>
      <c r="N831" s="52" t="s">
        <v>149</v>
      </c>
      <c r="O831" s="69" t="s">
        <v>618</v>
      </c>
      <c r="P831" s="69" t="s">
        <v>32</v>
      </c>
      <c r="Q831" s="73" t="s">
        <v>2854</v>
      </c>
      <c r="R831" s="51" t="b">
        <v>1</v>
      </c>
      <c r="S831" s="52" t="s">
        <v>147</v>
      </c>
      <c r="T831" s="52"/>
      <c r="U831" s="51" t="b">
        <v>0</v>
      </c>
      <c r="V831" s="51" t="b">
        <v>1</v>
      </c>
      <c r="W831" s="51" t="b">
        <v>1</v>
      </c>
      <c r="X831" s="51" t="b">
        <v>0</v>
      </c>
      <c r="Y831" s="51" t="b">
        <v>0</v>
      </c>
      <c r="Z831" s="51" t="b">
        <v>0</v>
      </c>
      <c r="AA831" s="71">
        <v>0.010925925925925926</v>
      </c>
      <c r="AB831" s="97" t="s">
        <v>2855</v>
      </c>
      <c r="AC831" s="97"/>
      <c r="AD831" s="121" t="s">
        <v>2856</v>
      </c>
      <c r="AE831" s="74" t="s">
        <v>743</v>
      </c>
      <c r="AF831" s="74" t="s">
        <v>726</v>
      </c>
    </row>
    <row r="832">
      <c r="A832" s="52" t="s">
        <v>2857</v>
      </c>
      <c r="B832" s="52" t="s">
        <v>607</v>
      </c>
      <c r="C832" s="52" t="s">
        <v>607</v>
      </c>
      <c r="D832" s="65" t="s">
        <v>607</v>
      </c>
      <c r="E832" s="65" t="s">
        <v>607</v>
      </c>
      <c r="F832" s="65" t="s">
        <v>607</v>
      </c>
      <c r="G832" s="65" t="s">
        <v>607</v>
      </c>
      <c r="H832" s="52" t="s">
        <v>607</v>
      </c>
      <c r="I832" s="52" t="s">
        <v>607</v>
      </c>
      <c r="J832" s="52" t="s">
        <v>607</v>
      </c>
      <c r="K832" s="52" t="s">
        <v>607</v>
      </c>
      <c r="L832" s="52" t="s">
        <v>607</v>
      </c>
      <c r="M832" s="52" t="s">
        <v>607</v>
      </c>
      <c r="N832" s="52" t="s">
        <v>607</v>
      </c>
      <c r="O832" s="52"/>
      <c r="P832" s="52"/>
      <c r="Q832" s="52"/>
      <c r="R832" s="51" t="b">
        <v>0</v>
      </c>
      <c r="S832" s="51"/>
      <c r="T832" s="52"/>
      <c r="U832" s="51" t="b">
        <v>0</v>
      </c>
      <c r="V832" s="51" t="b">
        <v>0</v>
      </c>
      <c r="W832" s="51" t="b">
        <v>0</v>
      </c>
      <c r="X832" s="51" t="b">
        <v>0</v>
      </c>
      <c r="Y832" s="51" t="b">
        <v>0</v>
      </c>
      <c r="Z832" s="51" t="b">
        <v>0</v>
      </c>
      <c r="AA832" s="68"/>
      <c r="AB832" s="52"/>
      <c r="AC832" s="52"/>
      <c r="AD832" s="52"/>
      <c r="AE832" s="56" t="s">
        <v>607</v>
      </c>
      <c r="AF832" s="56" t="s">
        <v>607</v>
      </c>
    </row>
    <row r="833">
      <c r="A833" s="52" t="s">
        <v>2858</v>
      </c>
      <c r="B833" s="52" t="s">
        <v>607</v>
      </c>
      <c r="C833" s="52" t="s">
        <v>607</v>
      </c>
      <c r="D833" s="65" t="s">
        <v>607</v>
      </c>
      <c r="E833" s="65" t="s">
        <v>607</v>
      </c>
      <c r="F833" s="65" t="s">
        <v>607</v>
      </c>
      <c r="G833" s="65" t="s">
        <v>607</v>
      </c>
      <c r="H833" s="52" t="s">
        <v>607</v>
      </c>
      <c r="I833" s="52" t="s">
        <v>607</v>
      </c>
      <c r="J833" s="52" t="s">
        <v>607</v>
      </c>
      <c r="K833" s="52" t="s">
        <v>607</v>
      </c>
      <c r="L833" s="52" t="s">
        <v>607</v>
      </c>
      <c r="M833" s="52" t="s">
        <v>607</v>
      </c>
      <c r="N833" s="52" t="s">
        <v>607</v>
      </c>
      <c r="O833" s="52"/>
      <c r="P833" s="52"/>
      <c r="Q833" s="52"/>
      <c r="R833" s="51" t="b">
        <v>0</v>
      </c>
      <c r="S833" s="51"/>
      <c r="T833" s="52"/>
      <c r="U833" s="51" t="b">
        <v>0</v>
      </c>
      <c r="V833" s="51" t="b">
        <v>0</v>
      </c>
      <c r="W833" s="51" t="b">
        <v>0</v>
      </c>
      <c r="X833" s="51" t="b">
        <v>0</v>
      </c>
      <c r="Y833" s="51" t="b">
        <v>0</v>
      </c>
      <c r="Z833" s="51" t="b">
        <v>0</v>
      </c>
      <c r="AA833" s="68"/>
      <c r="AB833" s="52"/>
      <c r="AC833" s="52"/>
      <c r="AD833" s="52"/>
      <c r="AE833" s="56" t="s">
        <v>607</v>
      </c>
      <c r="AF833" s="56" t="s">
        <v>607</v>
      </c>
    </row>
    <row r="834">
      <c r="A834" s="52" t="s">
        <v>2859</v>
      </c>
      <c r="B834" s="52" t="s">
        <v>19</v>
      </c>
      <c r="C834" s="52" t="s">
        <v>66</v>
      </c>
      <c r="D834" s="65">
        <v>0.5500810185185185</v>
      </c>
      <c r="E834" s="65">
        <v>2.314814814814815E-4</v>
      </c>
      <c r="F834" s="65">
        <v>0.5503125</v>
      </c>
      <c r="G834" s="65" t="s">
        <v>146</v>
      </c>
      <c r="H834" s="52" t="s">
        <v>81</v>
      </c>
      <c r="I834" s="52" t="s">
        <v>81</v>
      </c>
      <c r="J834" s="52"/>
      <c r="K834" s="52"/>
      <c r="L834" s="52"/>
      <c r="M834" s="52"/>
      <c r="N834" s="52" t="s">
        <v>70</v>
      </c>
      <c r="O834" s="52"/>
      <c r="P834" s="52"/>
      <c r="Q834" s="52"/>
      <c r="R834" s="51" t="b">
        <v>0</v>
      </c>
      <c r="S834" s="51"/>
      <c r="T834" s="52"/>
      <c r="U834" s="51" t="b">
        <v>0</v>
      </c>
      <c r="V834" s="51" t="b">
        <v>0</v>
      </c>
      <c r="W834" s="51" t="b">
        <v>0</v>
      </c>
      <c r="X834" s="51" t="b">
        <v>0</v>
      </c>
      <c r="Y834" s="51" t="b">
        <v>0</v>
      </c>
      <c r="Z834" s="51" t="b">
        <v>0</v>
      </c>
      <c r="AA834" s="68"/>
      <c r="AB834" s="52"/>
      <c r="AC834" s="52"/>
      <c r="AD834" s="52"/>
      <c r="AE834" s="56"/>
      <c r="AF834" s="56" t="s">
        <v>1944</v>
      </c>
    </row>
    <row r="835">
      <c r="A835" s="52" t="s">
        <v>2860</v>
      </c>
      <c r="B835" s="52" t="s">
        <v>19</v>
      </c>
      <c r="C835" s="52" t="s">
        <v>66</v>
      </c>
      <c r="D835" s="65">
        <v>0.5503125</v>
      </c>
      <c r="E835" s="65">
        <v>0.010416666666666666</v>
      </c>
      <c r="F835" s="65">
        <v>0.5607291666666666</v>
      </c>
      <c r="G835" s="65" t="s">
        <v>146</v>
      </c>
      <c r="H835" s="52" t="s">
        <v>94</v>
      </c>
      <c r="I835" s="52" t="s">
        <v>1073</v>
      </c>
      <c r="J835" s="52" t="s">
        <v>1074</v>
      </c>
      <c r="K835" s="52"/>
      <c r="L835" s="52"/>
      <c r="M835" s="52"/>
      <c r="N835" s="52" t="s">
        <v>1075</v>
      </c>
      <c r="O835" s="52"/>
      <c r="P835" s="69"/>
      <c r="Q835" s="52"/>
      <c r="R835" s="51" t="b">
        <v>0</v>
      </c>
      <c r="S835" s="51"/>
      <c r="T835" s="52"/>
      <c r="U835" s="51" t="b">
        <v>0</v>
      </c>
      <c r="V835" s="51" t="b">
        <v>0</v>
      </c>
      <c r="W835" s="51" t="b">
        <v>0</v>
      </c>
      <c r="X835" s="51" t="b">
        <v>0</v>
      </c>
      <c r="Y835" s="51" t="b">
        <v>0</v>
      </c>
      <c r="Z835" s="51" t="b">
        <v>0</v>
      </c>
      <c r="AA835" s="68"/>
      <c r="AB835" s="52"/>
      <c r="AC835" s="52"/>
      <c r="AD835" s="52"/>
      <c r="AE835" s="56" t="s">
        <v>1499</v>
      </c>
      <c r="AF835" s="56" t="s">
        <v>1185</v>
      </c>
    </row>
    <row r="836">
      <c r="A836" s="52" t="s">
        <v>2861</v>
      </c>
      <c r="B836" s="52" t="s">
        <v>607</v>
      </c>
      <c r="C836" s="52" t="s">
        <v>607</v>
      </c>
      <c r="D836" s="65" t="s">
        <v>607</v>
      </c>
      <c r="E836" s="65" t="s">
        <v>607</v>
      </c>
      <c r="F836" s="65" t="s">
        <v>607</v>
      </c>
      <c r="G836" s="65" t="s">
        <v>607</v>
      </c>
      <c r="H836" s="52" t="s">
        <v>607</v>
      </c>
      <c r="I836" s="52" t="s">
        <v>607</v>
      </c>
      <c r="J836" s="52" t="s">
        <v>607</v>
      </c>
      <c r="K836" s="52" t="s">
        <v>607</v>
      </c>
      <c r="L836" s="52" t="s">
        <v>607</v>
      </c>
      <c r="M836" s="52" t="s">
        <v>607</v>
      </c>
      <c r="N836" s="52" t="s">
        <v>607</v>
      </c>
      <c r="O836" s="52"/>
      <c r="P836" s="52"/>
      <c r="Q836" s="52"/>
      <c r="R836" s="51" t="b">
        <v>0</v>
      </c>
      <c r="S836" s="51"/>
      <c r="T836" s="52"/>
      <c r="U836" s="51" t="b">
        <v>0</v>
      </c>
      <c r="V836" s="51" t="b">
        <v>0</v>
      </c>
      <c r="W836" s="51" t="b">
        <v>0</v>
      </c>
      <c r="X836" s="51" t="b">
        <v>0</v>
      </c>
      <c r="Y836" s="51" t="b">
        <v>0</v>
      </c>
      <c r="Z836" s="51" t="b">
        <v>0</v>
      </c>
      <c r="AA836" s="68"/>
      <c r="AB836" s="52"/>
      <c r="AC836" s="52"/>
      <c r="AD836" s="52"/>
      <c r="AE836" s="56" t="s">
        <v>607</v>
      </c>
      <c r="AF836" s="56" t="s">
        <v>607</v>
      </c>
    </row>
    <row r="837">
      <c r="A837" s="52" t="s">
        <v>2862</v>
      </c>
      <c r="B837" s="52" t="s">
        <v>19</v>
      </c>
      <c r="C837" s="52" t="s">
        <v>66</v>
      </c>
      <c r="D837" s="65">
        <v>0.5416666666666666</v>
      </c>
      <c r="E837" s="65">
        <v>3.4722222222222224E-4</v>
      </c>
      <c r="F837" s="65">
        <v>0.5420138888888889</v>
      </c>
      <c r="G837" s="65" t="s">
        <v>146</v>
      </c>
      <c r="H837" s="52" t="s">
        <v>81</v>
      </c>
      <c r="I837" s="52" t="s">
        <v>81</v>
      </c>
      <c r="J837" s="52"/>
      <c r="K837" s="52"/>
      <c r="L837" s="52"/>
      <c r="M837" s="52"/>
      <c r="N837" s="52" t="s">
        <v>70</v>
      </c>
      <c r="O837" s="52"/>
      <c r="P837" s="52"/>
      <c r="Q837" s="52"/>
      <c r="R837" s="51" t="b">
        <v>0</v>
      </c>
      <c r="S837" s="51"/>
      <c r="T837" s="52"/>
      <c r="U837" s="51" t="b">
        <v>0</v>
      </c>
      <c r="V837" s="51" t="b">
        <v>0</v>
      </c>
      <c r="W837" s="51" t="b">
        <v>0</v>
      </c>
      <c r="X837" s="51" t="b">
        <v>0</v>
      </c>
      <c r="Y837" s="51" t="b">
        <v>0</v>
      </c>
      <c r="Z837" s="51" t="b">
        <v>0</v>
      </c>
      <c r="AA837" s="68"/>
      <c r="AB837" s="52"/>
      <c r="AC837" s="52"/>
      <c r="AD837" s="52"/>
      <c r="AE837" s="56"/>
      <c r="AF837" s="56" t="s">
        <v>1944</v>
      </c>
    </row>
    <row r="838">
      <c r="A838" s="52" t="s">
        <v>2863</v>
      </c>
      <c r="B838" s="52" t="s">
        <v>19</v>
      </c>
      <c r="C838" s="52" t="s">
        <v>66</v>
      </c>
      <c r="D838" s="65">
        <v>0.5420138888888889</v>
      </c>
      <c r="E838" s="65">
        <v>0.008067129629629629</v>
      </c>
      <c r="F838" s="65">
        <v>0.5500810185185185</v>
      </c>
      <c r="G838" s="65" t="s">
        <v>146</v>
      </c>
      <c r="H838" s="52" t="s">
        <v>94</v>
      </c>
      <c r="I838" s="52" t="s">
        <v>1069</v>
      </c>
      <c r="J838" s="52" t="s">
        <v>1070</v>
      </c>
      <c r="K838" s="52"/>
      <c r="L838" s="52"/>
      <c r="M838" s="52"/>
      <c r="N838" s="52" t="s">
        <v>1071</v>
      </c>
      <c r="O838" s="69" t="s">
        <v>618</v>
      </c>
      <c r="P838" s="69" t="s">
        <v>30</v>
      </c>
      <c r="Q838" s="80" t="s">
        <v>2864</v>
      </c>
      <c r="R838" s="51" t="b">
        <v>1</v>
      </c>
      <c r="S838" s="52" t="s">
        <v>1069</v>
      </c>
      <c r="T838" s="52"/>
      <c r="U838" s="51" t="b">
        <v>0</v>
      </c>
      <c r="V838" s="51" t="b">
        <v>1</v>
      </c>
      <c r="W838" s="51" t="b">
        <v>1</v>
      </c>
      <c r="X838" s="51" t="b">
        <v>0</v>
      </c>
      <c r="Y838" s="51" t="b">
        <v>0</v>
      </c>
      <c r="Z838" s="51" t="b">
        <v>0</v>
      </c>
      <c r="AA838" s="71">
        <v>0.008067129629629629</v>
      </c>
      <c r="AB838" s="52"/>
      <c r="AC838" s="52"/>
      <c r="AD838" s="73" t="s">
        <v>2865</v>
      </c>
      <c r="AE838" s="56" t="s">
        <v>629</v>
      </c>
      <c r="AF838" s="56" t="s">
        <v>1631</v>
      </c>
    </row>
    <row r="839">
      <c r="A839" s="52" t="s">
        <v>2866</v>
      </c>
      <c r="B839" s="52" t="s">
        <v>607</v>
      </c>
      <c r="C839" s="52" t="s">
        <v>607</v>
      </c>
      <c r="D839" s="65" t="s">
        <v>607</v>
      </c>
      <c r="E839" s="65" t="s">
        <v>607</v>
      </c>
      <c r="F839" s="65" t="s">
        <v>607</v>
      </c>
      <c r="G839" s="65" t="s">
        <v>607</v>
      </c>
      <c r="H839" s="52" t="s">
        <v>607</v>
      </c>
      <c r="I839" s="52" t="s">
        <v>607</v>
      </c>
      <c r="J839" s="52" t="s">
        <v>607</v>
      </c>
      <c r="K839" s="52" t="s">
        <v>607</v>
      </c>
      <c r="L839" s="52" t="s">
        <v>607</v>
      </c>
      <c r="M839" s="52" t="s">
        <v>607</v>
      </c>
      <c r="N839" s="52" t="s">
        <v>607</v>
      </c>
      <c r="O839" s="52"/>
      <c r="P839" s="52"/>
      <c r="Q839" s="52"/>
      <c r="R839" s="51" t="b">
        <v>0</v>
      </c>
      <c r="S839" s="51"/>
      <c r="T839" s="52"/>
      <c r="U839" s="51" t="b">
        <v>0</v>
      </c>
      <c r="V839" s="51" t="b">
        <v>0</v>
      </c>
      <c r="W839" s="51" t="b">
        <v>0</v>
      </c>
      <c r="X839" s="51" t="b">
        <v>0</v>
      </c>
      <c r="Y839" s="51" t="b">
        <v>0</v>
      </c>
      <c r="Z839" s="51" t="b">
        <v>0</v>
      </c>
      <c r="AA839" s="68"/>
      <c r="AB839" s="52"/>
      <c r="AC839" s="52"/>
      <c r="AD839" s="52"/>
      <c r="AE839" s="56" t="s">
        <v>607</v>
      </c>
      <c r="AF839" s="56" t="s">
        <v>607</v>
      </c>
    </row>
    <row r="840">
      <c r="A840" s="52" t="s">
        <v>2867</v>
      </c>
      <c r="B840" s="52" t="s">
        <v>19</v>
      </c>
      <c r="C840" s="52" t="s">
        <v>66</v>
      </c>
      <c r="D840" s="65">
        <v>0.5734490740740741</v>
      </c>
      <c r="E840" s="65">
        <v>2.314814814814815E-4</v>
      </c>
      <c r="F840" s="65">
        <v>0.5736805555555555</v>
      </c>
      <c r="G840" s="65" t="s">
        <v>146</v>
      </c>
      <c r="H840" s="52" t="s">
        <v>81</v>
      </c>
      <c r="I840" s="52" t="s">
        <v>81</v>
      </c>
      <c r="J840" s="52"/>
      <c r="K840" s="52"/>
      <c r="L840" s="52"/>
      <c r="M840" s="52"/>
      <c r="N840" s="52" t="s">
        <v>70</v>
      </c>
      <c r="O840" s="52"/>
      <c r="P840" s="52"/>
      <c r="Q840" s="52"/>
      <c r="R840" s="51" t="b">
        <v>0</v>
      </c>
      <c r="S840" s="51"/>
      <c r="T840" s="52"/>
      <c r="U840" s="51" t="b">
        <v>0</v>
      </c>
      <c r="V840" s="51" t="b">
        <v>0</v>
      </c>
      <c r="W840" s="51" t="b">
        <v>0</v>
      </c>
      <c r="X840" s="51" t="b">
        <v>0</v>
      </c>
      <c r="Y840" s="51" t="b">
        <v>0</v>
      </c>
      <c r="Z840" s="51" t="b">
        <v>0</v>
      </c>
      <c r="AA840" s="68"/>
      <c r="AB840" s="52"/>
      <c r="AC840" s="52"/>
      <c r="AD840" s="52"/>
      <c r="AE840" s="56"/>
      <c r="AF840" s="56" t="s">
        <v>1944</v>
      </c>
    </row>
    <row r="841">
      <c r="A841" s="52" t="s">
        <v>2868</v>
      </c>
      <c r="B841" s="52" t="s">
        <v>19</v>
      </c>
      <c r="C841" s="52" t="s">
        <v>66</v>
      </c>
      <c r="D841" s="65">
        <v>0.5736805555555555</v>
      </c>
      <c r="E841" s="65">
        <v>0.009097222222222222</v>
      </c>
      <c r="F841" s="65">
        <v>0.5827777777777777</v>
      </c>
      <c r="G841" s="65" t="s">
        <v>146</v>
      </c>
      <c r="H841" s="52" t="s">
        <v>94</v>
      </c>
      <c r="I841" s="52" t="s">
        <v>1085</v>
      </c>
      <c r="J841" s="52" t="s">
        <v>1086</v>
      </c>
      <c r="K841" s="52"/>
      <c r="L841" s="52"/>
      <c r="M841" s="52"/>
      <c r="N841" s="52" t="s">
        <v>1087</v>
      </c>
      <c r="O841" s="69" t="s">
        <v>618</v>
      </c>
      <c r="P841" s="69" t="s">
        <v>30</v>
      </c>
      <c r="Q841" s="80" t="s">
        <v>2869</v>
      </c>
      <c r="R841" s="51" t="b">
        <v>1</v>
      </c>
      <c r="S841" s="52" t="s">
        <v>1085</v>
      </c>
      <c r="T841" s="52"/>
      <c r="U841" s="51" t="b">
        <v>0</v>
      </c>
      <c r="V841" s="51" t="b">
        <v>1</v>
      </c>
      <c r="W841" s="51" t="b">
        <v>1</v>
      </c>
      <c r="X841" s="51" t="b">
        <v>0</v>
      </c>
      <c r="Y841" s="51" t="b">
        <v>0</v>
      </c>
      <c r="Z841" s="51" t="b">
        <v>0</v>
      </c>
      <c r="AA841" s="71">
        <v>0.009097222222222222</v>
      </c>
      <c r="AB841" s="52"/>
      <c r="AC841" s="52"/>
      <c r="AD841" s="73" t="s">
        <v>2870</v>
      </c>
      <c r="AE841" s="56" t="s">
        <v>629</v>
      </c>
      <c r="AF841" s="56" t="s">
        <v>873</v>
      </c>
    </row>
    <row r="842">
      <c r="A842" s="52" t="s">
        <v>2871</v>
      </c>
      <c r="B842" s="52" t="s">
        <v>607</v>
      </c>
      <c r="C842" s="52" t="s">
        <v>607</v>
      </c>
      <c r="D842" s="65" t="s">
        <v>607</v>
      </c>
      <c r="E842" s="65" t="s">
        <v>607</v>
      </c>
      <c r="F842" s="65" t="s">
        <v>607</v>
      </c>
      <c r="G842" s="65" t="s">
        <v>607</v>
      </c>
      <c r="H842" s="52" t="s">
        <v>607</v>
      </c>
      <c r="I842" s="52" t="s">
        <v>607</v>
      </c>
      <c r="J842" s="52" t="s">
        <v>607</v>
      </c>
      <c r="K842" s="52" t="s">
        <v>607</v>
      </c>
      <c r="L842" s="52" t="s">
        <v>607</v>
      </c>
      <c r="M842" s="52" t="s">
        <v>607</v>
      </c>
      <c r="N842" s="52" t="s">
        <v>607</v>
      </c>
      <c r="O842" s="52"/>
      <c r="P842" s="52"/>
      <c r="Q842" s="52"/>
      <c r="R842" s="51" t="b">
        <v>0</v>
      </c>
      <c r="S842" s="51"/>
      <c r="T842" s="52"/>
      <c r="U842" s="51" t="b">
        <v>0</v>
      </c>
      <c r="V842" s="51" t="b">
        <v>0</v>
      </c>
      <c r="W842" s="51" t="b">
        <v>0</v>
      </c>
      <c r="X842" s="51" t="b">
        <v>0</v>
      </c>
      <c r="Y842" s="51" t="b">
        <v>0</v>
      </c>
      <c r="Z842" s="51" t="b">
        <v>0</v>
      </c>
      <c r="AA842" s="68"/>
      <c r="AB842" s="52"/>
      <c r="AC842" s="52"/>
      <c r="AD842" s="52"/>
      <c r="AE842" s="56" t="s">
        <v>607</v>
      </c>
      <c r="AF842" s="56" t="s">
        <v>607</v>
      </c>
    </row>
    <row r="843">
      <c r="A843" s="52" t="s">
        <v>2872</v>
      </c>
      <c r="B843" s="52" t="s">
        <v>607</v>
      </c>
      <c r="C843" s="52" t="s">
        <v>607</v>
      </c>
      <c r="D843" s="65" t="s">
        <v>607</v>
      </c>
      <c r="E843" s="65" t="s">
        <v>607</v>
      </c>
      <c r="F843" s="65" t="s">
        <v>607</v>
      </c>
      <c r="G843" s="65" t="s">
        <v>607</v>
      </c>
      <c r="H843" s="52" t="s">
        <v>607</v>
      </c>
      <c r="I843" s="52" t="s">
        <v>607</v>
      </c>
      <c r="J843" s="52" t="s">
        <v>607</v>
      </c>
      <c r="K843" s="52" t="s">
        <v>607</v>
      </c>
      <c r="L843" s="52" t="s">
        <v>607</v>
      </c>
      <c r="M843" s="52" t="s">
        <v>607</v>
      </c>
      <c r="N843" s="52" t="s">
        <v>607</v>
      </c>
      <c r="O843" s="52"/>
      <c r="P843" s="52"/>
      <c r="Q843" s="52"/>
      <c r="R843" s="51" t="b">
        <v>0</v>
      </c>
      <c r="S843" s="51"/>
      <c r="T843" s="52"/>
      <c r="U843" s="51" t="b">
        <v>0</v>
      </c>
      <c r="V843" s="51" t="b">
        <v>0</v>
      </c>
      <c r="W843" s="51" t="b">
        <v>0</v>
      </c>
      <c r="X843" s="51" t="b">
        <v>0</v>
      </c>
      <c r="Y843" s="51" t="b">
        <v>0</v>
      </c>
      <c r="Z843" s="51" t="b">
        <v>0</v>
      </c>
      <c r="AA843" s="68"/>
      <c r="AB843" s="52"/>
      <c r="AC843" s="52"/>
      <c r="AD843" s="52"/>
      <c r="AE843" s="56" t="s">
        <v>607</v>
      </c>
      <c r="AF843" s="56" t="s">
        <v>607</v>
      </c>
    </row>
    <row r="844">
      <c r="A844" s="52" t="s">
        <v>2873</v>
      </c>
      <c r="B844" s="52" t="s">
        <v>19</v>
      </c>
      <c r="C844" s="52" t="s">
        <v>66</v>
      </c>
      <c r="D844" s="65">
        <v>0.5833333333333334</v>
      </c>
      <c r="E844" s="65">
        <v>1.9675925925925926E-4</v>
      </c>
      <c r="F844" s="65">
        <v>0.5835300925925926</v>
      </c>
      <c r="G844" s="65" t="s">
        <v>245</v>
      </c>
      <c r="H844" s="52" t="s">
        <v>506</v>
      </c>
      <c r="I844" s="52" t="s">
        <v>1093</v>
      </c>
      <c r="J844" s="52"/>
      <c r="K844" s="52"/>
      <c r="L844" s="52"/>
      <c r="M844" s="52"/>
      <c r="N844" s="52" t="s">
        <v>70</v>
      </c>
      <c r="O844" s="69" t="s">
        <v>506</v>
      </c>
      <c r="P844" s="69" t="s">
        <v>30</v>
      </c>
      <c r="Q844" s="80" t="s">
        <v>2874</v>
      </c>
      <c r="R844" s="51" t="b">
        <v>1</v>
      </c>
      <c r="S844" s="110" t="s">
        <v>1093</v>
      </c>
      <c r="T844" s="52"/>
      <c r="U844" s="51" t="b">
        <v>0</v>
      </c>
      <c r="V844" s="51" t="b">
        <v>1</v>
      </c>
      <c r="W844" s="51" t="b">
        <v>1</v>
      </c>
      <c r="X844" s="51" t="b">
        <v>0</v>
      </c>
      <c r="Y844" s="51" t="b">
        <v>1</v>
      </c>
      <c r="Z844" s="51" t="b">
        <v>0</v>
      </c>
      <c r="AA844" s="156">
        <v>2.0833333333333335E-4</v>
      </c>
      <c r="AB844" s="52"/>
      <c r="AC844" s="52"/>
      <c r="AD844" s="77" t="s">
        <v>2875</v>
      </c>
      <c r="AE844" s="56"/>
      <c r="AF844" s="56" t="s">
        <v>1215</v>
      </c>
    </row>
    <row r="845">
      <c r="A845" s="52" t="s">
        <v>2876</v>
      </c>
      <c r="B845" s="52" t="s">
        <v>19</v>
      </c>
      <c r="C845" s="52" t="s">
        <v>66</v>
      </c>
      <c r="D845" s="65">
        <v>0.4890162037037038</v>
      </c>
      <c r="E845" s="65">
        <v>2.314814814814815E-4</v>
      </c>
      <c r="F845" s="65">
        <v>0.4892476851851853</v>
      </c>
      <c r="G845" s="65" t="s">
        <v>245</v>
      </c>
      <c r="H845" s="52" t="s">
        <v>81</v>
      </c>
      <c r="I845" s="52" t="s">
        <v>81</v>
      </c>
      <c r="J845" s="52"/>
      <c r="K845" s="52"/>
      <c r="L845" s="52"/>
      <c r="M845" s="52"/>
      <c r="N845" s="52" t="s">
        <v>70</v>
      </c>
      <c r="O845" s="52"/>
      <c r="P845" s="52"/>
      <c r="Q845" s="52"/>
      <c r="R845" s="51" t="b">
        <v>0</v>
      </c>
      <c r="S845" s="51"/>
      <c r="T845" s="52"/>
      <c r="U845" s="51" t="b">
        <v>0</v>
      </c>
      <c r="V845" s="51" t="b">
        <v>0</v>
      </c>
      <c r="W845" s="51" t="b">
        <v>0</v>
      </c>
      <c r="X845" s="51" t="b">
        <v>0</v>
      </c>
      <c r="Y845" s="51" t="b">
        <v>0</v>
      </c>
      <c r="Z845" s="51" t="b">
        <v>0</v>
      </c>
      <c r="AA845" s="68"/>
      <c r="AB845" s="52"/>
      <c r="AC845" s="52"/>
      <c r="AD845" s="52"/>
      <c r="AE845" s="56"/>
      <c r="AF845" s="56" t="s">
        <v>1944</v>
      </c>
    </row>
    <row r="846">
      <c r="A846" s="52" t="s">
        <v>2877</v>
      </c>
      <c r="B846" s="52" t="s">
        <v>19</v>
      </c>
      <c r="C846" s="52" t="s">
        <v>66</v>
      </c>
      <c r="D846" s="65">
        <v>0.49028935185185196</v>
      </c>
      <c r="E846" s="65">
        <v>0.008587962962962962</v>
      </c>
      <c r="F846" s="65">
        <v>0.4988773148148149</v>
      </c>
      <c r="G846" s="65" t="s">
        <v>245</v>
      </c>
      <c r="H846" s="52" t="s">
        <v>94</v>
      </c>
      <c r="I846" s="52" t="s">
        <v>1037</v>
      </c>
      <c r="J846" s="52" t="s">
        <v>1038</v>
      </c>
      <c r="K846" s="52"/>
      <c r="L846" s="52"/>
      <c r="M846" s="52"/>
      <c r="N846" s="52" t="s">
        <v>1039</v>
      </c>
      <c r="O846" s="69" t="s">
        <v>618</v>
      </c>
      <c r="P846" s="69" t="s">
        <v>32</v>
      </c>
      <c r="Q846" s="80" t="s">
        <v>2878</v>
      </c>
      <c r="R846" s="51" t="b">
        <v>1</v>
      </c>
      <c r="S846" s="52" t="s">
        <v>1037</v>
      </c>
      <c r="T846" s="52"/>
      <c r="U846" s="51" t="b">
        <v>0</v>
      </c>
      <c r="V846" s="51" t="b">
        <v>1</v>
      </c>
      <c r="W846" s="51" t="b">
        <v>1</v>
      </c>
      <c r="X846" s="51" t="b">
        <v>0</v>
      </c>
      <c r="Y846" s="51" t="b">
        <v>0</v>
      </c>
      <c r="Z846" s="51" t="b">
        <v>0</v>
      </c>
      <c r="AA846" s="71">
        <v>0.008587962962962962</v>
      </c>
      <c r="AB846" s="69" t="s">
        <v>2879</v>
      </c>
      <c r="AC846" s="52"/>
      <c r="AD846" s="73" t="s">
        <v>2880</v>
      </c>
      <c r="AE846" s="56" t="s">
        <v>629</v>
      </c>
      <c r="AF846" s="56" t="s">
        <v>873</v>
      </c>
    </row>
    <row r="847">
      <c r="A847" s="52" t="s">
        <v>2881</v>
      </c>
      <c r="B847" s="52" t="s">
        <v>607</v>
      </c>
      <c r="C847" s="52" t="s">
        <v>607</v>
      </c>
      <c r="D847" s="65" t="s">
        <v>607</v>
      </c>
      <c r="E847" s="65" t="s">
        <v>607</v>
      </c>
      <c r="F847" s="65" t="s">
        <v>607</v>
      </c>
      <c r="G847" s="65" t="s">
        <v>607</v>
      </c>
      <c r="H847" s="52" t="s">
        <v>607</v>
      </c>
      <c r="I847" s="52" t="s">
        <v>607</v>
      </c>
      <c r="J847" s="52" t="s">
        <v>607</v>
      </c>
      <c r="K847" s="52" t="s">
        <v>607</v>
      </c>
      <c r="L847" s="52" t="s">
        <v>607</v>
      </c>
      <c r="M847" s="52" t="s">
        <v>607</v>
      </c>
      <c r="N847" s="52" t="s">
        <v>607</v>
      </c>
      <c r="O847" s="52"/>
      <c r="P847" s="52"/>
      <c r="Q847" s="52"/>
      <c r="R847" s="51" t="b">
        <v>0</v>
      </c>
      <c r="S847" s="51"/>
      <c r="T847" s="52"/>
      <c r="U847" s="51" t="b">
        <v>0</v>
      </c>
      <c r="V847" s="51" t="b">
        <v>0</v>
      </c>
      <c r="W847" s="51" t="b">
        <v>0</v>
      </c>
      <c r="X847" s="51" t="b">
        <v>0</v>
      </c>
      <c r="Y847" s="51" t="b">
        <v>0</v>
      </c>
      <c r="Z847" s="51" t="b">
        <v>0</v>
      </c>
      <c r="AA847" s="68"/>
      <c r="AB847" s="52"/>
      <c r="AC847" s="52"/>
      <c r="AD847" s="52"/>
      <c r="AE847" s="56" t="s">
        <v>607</v>
      </c>
      <c r="AF847" s="56" t="s">
        <v>607</v>
      </c>
    </row>
    <row r="848">
      <c r="A848" s="52" t="s">
        <v>2882</v>
      </c>
      <c r="B848" s="52" t="s">
        <v>19</v>
      </c>
      <c r="C848" s="52" t="s">
        <v>66</v>
      </c>
      <c r="D848" s="65">
        <v>0.5937268518518518</v>
      </c>
      <c r="E848" s="65">
        <v>6.944444444444445E-4</v>
      </c>
      <c r="F848" s="65">
        <v>0.5944212962962963</v>
      </c>
      <c r="G848" s="65" t="s">
        <v>245</v>
      </c>
      <c r="H848" s="52" t="s">
        <v>103</v>
      </c>
      <c r="I848" s="52" t="s">
        <v>103</v>
      </c>
      <c r="J848" s="52"/>
      <c r="K848" s="52"/>
      <c r="L848" s="52"/>
      <c r="M848" s="52"/>
      <c r="N848" s="52" t="s">
        <v>70</v>
      </c>
      <c r="O848" s="52"/>
      <c r="P848" s="52"/>
      <c r="Q848" s="52"/>
      <c r="R848" s="51" t="b">
        <v>0</v>
      </c>
      <c r="S848" s="51"/>
      <c r="T848" s="52"/>
      <c r="U848" s="51" t="b">
        <v>0</v>
      </c>
      <c r="V848" s="51" t="b">
        <v>0</v>
      </c>
      <c r="W848" s="51" t="b">
        <v>0</v>
      </c>
      <c r="X848" s="51" t="b">
        <v>0</v>
      </c>
      <c r="Y848" s="51" t="b">
        <v>0</v>
      </c>
      <c r="Z848" s="51" t="b">
        <v>0</v>
      </c>
      <c r="AA848" s="68"/>
      <c r="AB848" s="52"/>
      <c r="AC848" s="52"/>
      <c r="AD848" s="52"/>
      <c r="AE848" s="56"/>
      <c r="AF848" s="56" t="s">
        <v>1944</v>
      </c>
    </row>
    <row r="849">
      <c r="A849" s="52" t="s">
        <v>2883</v>
      </c>
      <c r="B849" s="52" t="s">
        <v>19</v>
      </c>
      <c r="C849" s="52" t="s">
        <v>66</v>
      </c>
      <c r="D849" s="65">
        <v>0.5944212962962963</v>
      </c>
      <c r="E849" s="65">
        <v>2.314814814814815E-4</v>
      </c>
      <c r="F849" s="65">
        <v>0.5946527777777777</v>
      </c>
      <c r="G849" s="65" t="s">
        <v>245</v>
      </c>
      <c r="H849" s="52" t="s">
        <v>81</v>
      </c>
      <c r="I849" s="52" t="s">
        <v>81</v>
      </c>
      <c r="J849" s="52"/>
      <c r="K849" s="52"/>
      <c r="L849" s="52"/>
      <c r="M849" s="52"/>
      <c r="N849" s="52" t="s">
        <v>70</v>
      </c>
      <c r="O849" s="52"/>
      <c r="P849" s="52"/>
      <c r="Q849" s="52"/>
      <c r="R849" s="51" t="b">
        <v>0</v>
      </c>
      <c r="S849" s="51"/>
      <c r="T849" s="52"/>
      <c r="U849" s="51" t="b">
        <v>0</v>
      </c>
      <c r="V849" s="51" t="b">
        <v>0</v>
      </c>
      <c r="W849" s="51" t="b">
        <v>0</v>
      </c>
      <c r="X849" s="51" t="b">
        <v>0</v>
      </c>
      <c r="Y849" s="51" t="b">
        <v>0</v>
      </c>
      <c r="Z849" s="51" t="b">
        <v>0</v>
      </c>
      <c r="AA849" s="68"/>
      <c r="AB849" s="52"/>
      <c r="AC849" s="52"/>
      <c r="AD849" s="52"/>
      <c r="AE849" s="56"/>
      <c r="AF849" s="56" t="s">
        <v>1944</v>
      </c>
    </row>
    <row r="850">
      <c r="A850" s="52" t="s">
        <v>2884</v>
      </c>
      <c r="B850" s="52" t="s">
        <v>19</v>
      </c>
      <c r="C850" s="52" t="s">
        <v>66</v>
      </c>
      <c r="D850" s="65">
        <v>0.5946527777777777</v>
      </c>
      <c r="E850" s="65">
        <v>0.01380787037037037</v>
      </c>
      <c r="F850" s="65">
        <v>0.608460648148148</v>
      </c>
      <c r="G850" s="65" t="s">
        <v>245</v>
      </c>
      <c r="H850" s="52" t="s">
        <v>94</v>
      </c>
      <c r="I850" s="52" t="s">
        <v>1104</v>
      </c>
      <c r="J850" s="52" t="s">
        <v>1106</v>
      </c>
      <c r="K850" s="52"/>
      <c r="L850" s="52"/>
      <c r="M850" s="52"/>
      <c r="N850" s="52" t="s">
        <v>1108</v>
      </c>
      <c r="O850" s="52"/>
      <c r="P850" s="69" t="s">
        <v>23</v>
      </c>
      <c r="Q850" s="80" t="s">
        <v>2885</v>
      </c>
      <c r="R850" s="51" t="b">
        <v>1</v>
      </c>
      <c r="S850" s="52" t="s">
        <v>1104</v>
      </c>
      <c r="T850" s="52"/>
      <c r="U850" s="51" t="b">
        <v>0</v>
      </c>
      <c r="V850" s="51" t="b">
        <v>1</v>
      </c>
      <c r="W850" s="51" t="b">
        <v>1</v>
      </c>
      <c r="X850" s="51" t="b">
        <v>0</v>
      </c>
      <c r="Y850" s="51" t="b">
        <v>0</v>
      </c>
      <c r="Z850" s="51" t="b">
        <v>0</v>
      </c>
      <c r="AA850" s="71">
        <v>0.01380787037037037</v>
      </c>
      <c r="AB850" s="69" t="s">
        <v>2886</v>
      </c>
      <c r="AC850" s="52"/>
      <c r="AD850" s="76" t="s">
        <v>2887</v>
      </c>
      <c r="AE850" s="56" t="s">
        <v>629</v>
      </c>
      <c r="AF850" s="56" t="s">
        <v>873</v>
      </c>
    </row>
    <row r="851">
      <c r="A851" s="52" t="s">
        <v>2888</v>
      </c>
      <c r="B851" s="52" t="s">
        <v>19</v>
      </c>
      <c r="C851" s="52" t="s">
        <v>66</v>
      </c>
      <c r="D851" s="65">
        <v>0.608460648148148</v>
      </c>
      <c r="E851" s="65">
        <v>1.7361111111111112E-4</v>
      </c>
      <c r="F851" s="65">
        <v>0.6086342592592592</v>
      </c>
      <c r="G851" s="65"/>
      <c r="H851" s="52" t="s">
        <v>85</v>
      </c>
      <c r="I851" s="52" t="s">
        <v>1082</v>
      </c>
      <c r="J851" s="52"/>
      <c r="K851" s="52"/>
      <c r="L851" s="52"/>
      <c r="M851" s="52"/>
      <c r="N851" s="52"/>
      <c r="O851" s="52"/>
      <c r="P851" s="52"/>
      <c r="Q851" s="52"/>
      <c r="R851" s="51" t="b">
        <v>0</v>
      </c>
      <c r="S851" s="51"/>
      <c r="T851" s="52"/>
      <c r="U851" s="51" t="b">
        <v>0</v>
      </c>
      <c r="V851" s="51" t="b">
        <v>0</v>
      </c>
      <c r="W851" s="51" t="b">
        <v>0</v>
      </c>
      <c r="X851" s="51" t="b">
        <v>0</v>
      </c>
      <c r="Y851" s="51" t="b">
        <v>0</v>
      </c>
      <c r="Z851" s="51" t="b">
        <v>0</v>
      </c>
      <c r="AA851" s="68"/>
      <c r="AB851" s="52"/>
      <c r="AC851" s="52"/>
      <c r="AD851" s="52"/>
      <c r="AE851" s="56"/>
      <c r="AF851" s="56" t="s">
        <v>1944</v>
      </c>
    </row>
    <row r="852">
      <c r="A852" s="52" t="s">
        <v>2889</v>
      </c>
      <c r="B852" s="52" t="s">
        <v>19</v>
      </c>
      <c r="C852" s="52" t="s">
        <v>66</v>
      </c>
      <c r="D852" s="65">
        <v>0.6376851851851852</v>
      </c>
      <c r="E852" s="65">
        <v>1.7361111111111112E-4</v>
      </c>
      <c r="F852" s="65">
        <v>0.6378587962962964</v>
      </c>
      <c r="G852" s="65" t="s">
        <v>245</v>
      </c>
      <c r="H852" s="52" t="s">
        <v>77</v>
      </c>
      <c r="I852" s="52" t="s">
        <v>1131</v>
      </c>
      <c r="J852" s="52"/>
      <c r="K852" s="52"/>
      <c r="L852" s="52"/>
      <c r="M852" s="52"/>
      <c r="N852" s="52" t="s">
        <v>70</v>
      </c>
      <c r="O852" s="52"/>
      <c r="P852" s="52"/>
      <c r="Q852" s="52"/>
      <c r="R852" s="51" t="b">
        <v>0</v>
      </c>
      <c r="S852" s="51"/>
      <c r="T852" s="52"/>
      <c r="U852" s="51" t="b">
        <v>0</v>
      </c>
      <c r="V852" s="51" t="b">
        <v>0</v>
      </c>
      <c r="W852" s="51" t="b">
        <v>0</v>
      </c>
      <c r="X852" s="51" t="b">
        <v>0</v>
      </c>
      <c r="Y852" s="51" t="b">
        <v>0</v>
      </c>
      <c r="Z852" s="51" t="b">
        <v>0</v>
      </c>
      <c r="AA852" s="68"/>
      <c r="AB852" s="52"/>
      <c r="AC852" s="52"/>
      <c r="AD852" s="52"/>
      <c r="AE852" s="56"/>
      <c r="AF852" s="56" t="s">
        <v>2004</v>
      </c>
    </row>
    <row r="853">
      <c r="A853" s="52" t="s">
        <v>2890</v>
      </c>
      <c r="B853" s="52" t="s">
        <v>19</v>
      </c>
      <c r="C853" s="52" t="s">
        <v>289</v>
      </c>
      <c r="D853" s="65">
        <v>0.6765046296296297</v>
      </c>
      <c r="E853" s="65">
        <v>2.314814814814815E-4</v>
      </c>
      <c r="F853" s="65">
        <v>0.6767361111111111</v>
      </c>
      <c r="G853" s="65" t="s">
        <v>245</v>
      </c>
      <c r="H853" s="52" t="s">
        <v>81</v>
      </c>
      <c r="I853" s="52" t="s">
        <v>81</v>
      </c>
      <c r="J853" s="52"/>
      <c r="K853" s="52"/>
      <c r="L853" s="52"/>
      <c r="M853" s="52"/>
      <c r="N853" s="52" t="s">
        <v>70</v>
      </c>
      <c r="O853" s="52"/>
      <c r="P853" s="52"/>
      <c r="Q853" s="52"/>
      <c r="R853" s="51" t="b">
        <v>0</v>
      </c>
      <c r="S853" s="51"/>
      <c r="T853" s="52"/>
      <c r="U853" s="51" t="b">
        <v>0</v>
      </c>
      <c r="V853" s="51" t="b">
        <v>0</v>
      </c>
      <c r="W853" s="51" t="b">
        <v>0</v>
      </c>
      <c r="X853" s="51" t="b">
        <v>0</v>
      </c>
      <c r="Y853" s="51" t="b">
        <v>0</v>
      </c>
      <c r="Z853" s="51" t="b">
        <v>0</v>
      </c>
      <c r="AA853" s="68"/>
      <c r="AB853" s="52"/>
      <c r="AC853" s="52"/>
      <c r="AD853" s="52"/>
      <c r="AE853" s="56"/>
      <c r="AF853" s="56" t="s">
        <v>1944</v>
      </c>
    </row>
    <row r="854">
      <c r="A854" s="52" t="s">
        <v>2891</v>
      </c>
      <c r="B854" s="52" t="s">
        <v>19</v>
      </c>
      <c r="C854" s="52" t="s">
        <v>289</v>
      </c>
      <c r="D854" s="65">
        <v>0.6767361111111111</v>
      </c>
      <c r="E854" s="65">
        <v>0.015011574074074075</v>
      </c>
      <c r="F854" s="65">
        <v>0.6917476851851851</v>
      </c>
      <c r="G854" s="65" t="s">
        <v>245</v>
      </c>
      <c r="H854" s="52" t="s">
        <v>94</v>
      </c>
      <c r="I854" s="52" t="s">
        <v>1475</v>
      </c>
      <c r="J854" s="52" t="s">
        <v>1476</v>
      </c>
      <c r="K854" s="52"/>
      <c r="L854" s="52"/>
      <c r="M854" s="52"/>
      <c r="N854" s="52" t="s">
        <v>1477</v>
      </c>
      <c r="O854" s="69" t="s">
        <v>618</v>
      </c>
      <c r="P854" s="69" t="s">
        <v>30</v>
      </c>
      <c r="Q854" s="80" t="s">
        <v>2892</v>
      </c>
      <c r="R854" s="51" t="b">
        <v>1</v>
      </c>
      <c r="S854" s="52" t="s">
        <v>1475</v>
      </c>
      <c r="T854" s="52"/>
      <c r="U854" s="51" t="b">
        <v>0</v>
      </c>
      <c r="V854" s="51" t="b">
        <v>1</v>
      </c>
      <c r="W854" s="51" t="b">
        <v>1</v>
      </c>
      <c r="X854" s="51" t="b">
        <v>0</v>
      </c>
      <c r="Y854" s="51" t="b">
        <v>1</v>
      </c>
      <c r="Z854" s="51" t="b">
        <v>0</v>
      </c>
      <c r="AA854" s="71">
        <v>0.015011574074074075</v>
      </c>
      <c r="AB854" s="157" t="s">
        <v>2893</v>
      </c>
      <c r="AC854" s="52"/>
      <c r="AD854" s="121" t="s">
        <v>2894</v>
      </c>
      <c r="AE854" s="56" t="s">
        <v>629</v>
      </c>
      <c r="AF854" s="56" t="s">
        <v>873</v>
      </c>
    </row>
    <row r="855">
      <c r="A855" s="52" t="s">
        <v>2895</v>
      </c>
      <c r="B855" s="52" t="s">
        <v>607</v>
      </c>
      <c r="C855" s="52" t="s">
        <v>607</v>
      </c>
      <c r="D855" s="65" t="s">
        <v>607</v>
      </c>
      <c r="E855" s="65" t="s">
        <v>607</v>
      </c>
      <c r="F855" s="65" t="s">
        <v>607</v>
      </c>
      <c r="G855" s="65" t="s">
        <v>607</v>
      </c>
      <c r="H855" s="52" t="s">
        <v>607</v>
      </c>
      <c r="I855" s="52" t="s">
        <v>607</v>
      </c>
      <c r="J855" s="52" t="s">
        <v>607</v>
      </c>
      <c r="K855" s="52" t="s">
        <v>607</v>
      </c>
      <c r="L855" s="52" t="s">
        <v>607</v>
      </c>
      <c r="M855" s="52" t="s">
        <v>607</v>
      </c>
      <c r="N855" s="52" t="s">
        <v>607</v>
      </c>
      <c r="O855" s="52"/>
      <c r="P855" s="52"/>
      <c r="Q855" s="52"/>
      <c r="R855" s="51" t="b">
        <v>0</v>
      </c>
      <c r="S855" s="51"/>
      <c r="T855" s="52"/>
      <c r="U855" s="51" t="b">
        <v>0</v>
      </c>
      <c r="V855" s="51" t="b">
        <v>0</v>
      </c>
      <c r="W855" s="51" t="b">
        <v>0</v>
      </c>
      <c r="X855" s="51" t="b">
        <v>0</v>
      </c>
      <c r="Y855" s="51" t="b">
        <v>0</v>
      </c>
      <c r="Z855" s="51" t="b">
        <v>0</v>
      </c>
      <c r="AA855" s="68"/>
      <c r="AB855" s="52"/>
      <c r="AC855" s="52"/>
      <c r="AD855" s="52"/>
      <c r="AE855" s="56" t="s">
        <v>607</v>
      </c>
      <c r="AF855" s="56" t="s">
        <v>607</v>
      </c>
    </row>
    <row r="856">
      <c r="A856" s="52" t="s">
        <v>2896</v>
      </c>
      <c r="B856" s="52" t="s">
        <v>607</v>
      </c>
      <c r="C856" s="52" t="s">
        <v>607</v>
      </c>
      <c r="D856" s="65" t="s">
        <v>607</v>
      </c>
      <c r="E856" s="65" t="s">
        <v>607</v>
      </c>
      <c r="F856" s="65" t="s">
        <v>607</v>
      </c>
      <c r="G856" s="65" t="s">
        <v>607</v>
      </c>
      <c r="H856" s="52" t="s">
        <v>607</v>
      </c>
      <c r="I856" s="52" t="s">
        <v>607</v>
      </c>
      <c r="J856" s="52" t="s">
        <v>607</v>
      </c>
      <c r="K856" s="52" t="s">
        <v>607</v>
      </c>
      <c r="L856" s="52" t="s">
        <v>607</v>
      </c>
      <c r="M856" s="52" t="s">
        <v>607</v>
      </c>
      <c r="N856" s="52" t="s">
        <v>607</v>
      </c>
      <c r="O856" s="52"/>
      <c r="P856" s="52"/>
      <c r="Q856" s="52"/>
      <c r="R856" s="51" t="b">
        <v>0</v>
      </c>
      <c r="S856" s="51"/>
      <c r="T856" s="52"/>
      <c r="U856" s="51" t="b">
        <v>0</v>
      </c>
      <c r="V856" s="51" t="b">
        <v>0</v>
      </c>
      <c r="W856" s="51" t="b">
        <v>0</v>
      </c>
      <c r="X856" s="51" t="b">
        <v>0</v>
      </c>
      <c r="Y856" s="51" t="b">
        <v>0</v>
      </c>
      <c r="Z856" s="51" t="b">
        <v>0</v>
      </c>
      <c r="AA856" s="68"/>
      <c r="AB856" s="52"/>
      <c r="AC856" s="52"/>
      <c r="AD856" s="52"/>
      <c r="AE856" s="56" t="s">
        <v>607</v>
      </c>
      <c r="AF856" s="56" t="s">
        <v>607</v>
      </c>
    </row>
    <row r="857">
      <c r="A857" s="52" t="s">
        <v>2897</v>
      </c>
      <c r="B857" s="52" t="s">
        <v>19</v>
      </c>
      <c r="C857" s="52" t="s">
        <v>66</v>
      </c>
      <c r="D857" s="65">
        <v>0.6661921296296296</v>
      </c>
      <c r="E857" s="65">
        <v>1.9675925925925926E-4</v>
      </c>
      <c r="F857" s="65">
        <v>0.6663888888888888</v>
      </c>
      <c r="G857" s="65" t="s">
        <v>245</v>
      </c>
      <c r="H857" s="52" t="s">
        <v>506</v>
      </c>
      <c r="I857" s="52" t="s">
        <v>1146</v>
      </c>
      <c r="J857" s="52"/>
      <c r="K857" s="52"/>
      <c r="L857" s="52"/>
      <c r="M857" s="52"/>
      <c r="N857" s="52" t="s">
        <v>70</v>
      </c>
      <c r="O857" s="69" t="s">
        <v>506</v>
      </c>
      <c r="P857" s="69" t="s">
        <v>30</v>
      </c>
      <c r="Q857" s="80" t="s">
        <v>2898</v>
      </c>
      <c r="R857" s="51" t="b">
        <v>1</v>
      </c>
      <c r="S857" s="110" t="s">
        <v>1146</v>
      </c>
      <c r="T857" s="52"/>
      <c r="U857" s="51" t="b">
        <v>0</v>
      </c>
      <c r="V857" s="51" t="b">
        <v>1</v>
      </c>
      <c r="W857" s="51" t="b">
        <v>1</v>
      </c>
      <c r="X857" s="51" t="b">
        <v>0</v>
      </c>
      <c r="Y857" s="51" t="b">
        <v>0</v>
      </c>
      <c r="Z857" s="51" t="b">
        <v>0</v>
      </c>
      <c r="AA857" s="156">
        <v>2.0833333333333335E-4</v>
      </c>
      <c r="AB857" s="52"/>
      <c r="AC857" s="52"/>
      <c r="AD857" s="70" t="s">
        <v>2899</v>
      </c>
      <c r="AE857" s="56"/>
      <c r="AF857" s="56" t="s">
        <v>1215</v>
      </c>
    </row>
    <row r="858">
      <c r="A858" s="52" t="s">
        <v>2900</v>
      </c>
      <c r="B858" s="52" t="s">
        <v>19</v>
      </c>
      <c r="C858" s="52" t="s">
        <v>66</v>
      </c>
      <c r="D858" s="65">
        <v>0.6233449074074073</v>
      </c>
      <c r="E858" s="65">
        <v>5.208333333333333E-4</v>
      </c>
      <c r="F858" s="65">
        <v>0.6238657407407406</v>
      </c>
      <c r="G858" s="65" t="s">
        <v>245</v>
      </c>
      <c r="H858" s="52" t="s">
        <v>79</v>
      </c>
      <c r="I858" s="52" t="s">
        <v>79</v>
      </c>
      <c r="J858" s="52"/>
      <c r="K858" s="52"/>
      <c r="L858" s="52"/>
      <c r="M858" s="52"/>
      <c r="N858" s="52" t="s">
        <v>70</v>
      </c>
      <c r="O858" s="52"/>
      <c r="P858" s="52"/>
      <c r="Q858" s="52"/>
      <c r="R858" s="51" t="b">
        <v>0</v>
      </c>
      <c r="S858" s="51"/>
      <c r="T858" s="52"/>
      <c r="U858" s="51" t="b">
        <v>0</v>
      </c>
      <c r="V858" s="51" t="b">
        <v>0</v>
      </c>
      <c r="W858" s="51" t="b">
        <v>0</v>
      </c>
      <c r="X858" s="51" t="b">
        <v>0</v>
      </c>
      <c r="Y858" s="51" t="b">
        <v>0</v>
      </c>
      <c r="Z858" s="51" t="b">
        <v>0</v>
      </c>
      <c r="AA858" s="68"/>
      <c r="AB858" s="52"/>
      <c r="AC858" s="52"/>
      <c r="AD858" s="52"/>
      <c r="AE858" s="56"/>
      <c r="AF858" s="56" t="s">
        <v>1944</v>
      </c>
    </row>
    <row r="859">
      <c r="A859" s="52" t="s">
        <v>2901</v>
      </c>
      <c r="B859" s="52" t="s">
        <v>19</v>
      </c>
      <c r="C859" s="52" t="s">
        <v>66</v>
      </c>
      <c r="D859" s="65">
        <v>0.625</v>
      </c>
      <c r="E859" s="65">
        <v>3.4722222222222224E-4</v>
      </c>
      <c r="F859" s="65">
        <v>0.6253472222222223</v>
      </c>
      <c r="G859" s="65" t="s">
        <v>1040</v>
      </c>
      <c r="H859" s="52" t="s">
        <v>81</v>
      </c>
      <c r="I859" s="52" t="s">
        <v>81</v>
      </c>
      <c r="J859" s="52"/>
      <c r="K859" s="52"/>
      <c r="L859" s="52"/>
      <c r="M859" s="52"/>
      <c r="N859" s="52" t="s">
        <v>70</v>
      </c>
      <c r="O859" s="52"/>
      <c r="P859" s="52"/>
      <c r="Q859" s="52"/>
      <c r="R859" s="51" t="b">
        <v>0</v>
      </c>
      <c r="S859" s="51"/>
      <c r="T859" s="52"/>
      <c r="U859" s="51" t="b">
        <v>0</v>
      </c>
      <c r="V859" s="51" t="b">
        <v>0</v>
      </c>
      <c r="W859" s="51" t="b">
        <v>0</v>
      </c>
      <c r="X859" s="51" t="b">
        <v>0</v>
      </c>
      <c r="Y859" s="51" t="b">
        <v>0</v>
      </c>
      <c r="Z859" s="51" t="b">
        <v>0</v>
      </c>
      <c r="AA859" s="68"/>
      <c r="AB859" s="52"/>
      <c r="AC859" s="52"/>
      <c r="AD859" s="52"/>
      <c r="AE859" s="56"/>
      <c r="AF859" s="56" t="s">
        <v>1944</v>
      </c>
    </row>
    <row r="860">
      <c r="A860" s="52" t="s">
        <v>2902</v>
      </c>
      <c r="B860" s="52" t="s">
        <v>19</v>
      </c>
      <c r="C860" s="52" t="s">
        <v>66</v>
      </c>
      <c r="D860" s="65">
        <v>0.6253472222222223</v>
      </c>
      <c r="E860" s="65">
        <v>0.009953703703703704</v>
      </c>
      <c r="F860" s="65">
        <v>0.635300925925926</v>
      </c>
      <c r="G860" s="65" t="s">
        <v>1040</v>
      </c>
      <c r="H860" s="52" t="s">
        <v>107</v>
      </c>
      <c r="I860" s="52" t="s">
        <v>1122</v>
      </c>
      <c r="J860" s="52" t="s">
        <v>1123</v>
      </c>
      <c r="K860" s="52" t="s">
        <v>1124</v>
      </c>
      <c r="L860" s="52"/>
      <c r="M860" s="52"/>
      <c r="N860" s="52" t="s">
        <v>689</v>
      </c>
      <c r="O860" s="69" t="s">
        <v>734</v>
      </c>
      <c r="P860" s="69" t="s">
        <v>30</v>
      </c>
      <c r="Q860" s="73" t="s">
        <v>2903</v>
      </c>
      <c r="R860" s="51" t="b">
        <v>1</v>
      </c>
      <c r="S860" s="52" t="s">
        <v>1122</v>
      </c>
      <c r="T860" s="52"/>
      <c r="U860" s="51" t="b">
        <v>0</v>
      </c>
      <c r="V860" s="51" t="b">
        <v>1</v>
      </c>
      <c r="W860" s="51" t="b">
        <v>1</v>
      </c>
      <c r="X860" s="51" t="b">
        <v>0</v>
      </c>
      <c r="Y860" s="51" t="b">
        <v>0</v>
      </c>
      <c r="Z860" s="51" t="b">
        <v>0</v>
      </c>
      <c r="AA860" s="85">
        <v>0.009953703703703704</v>
      </c>
      <c r="AB860" s="137" t="s">
        <v>2904</v>
      </c>
      <c r="AC860" s="137"/>
      <c r="AD860" s="158" t="s">
        <v>2905</v>
      </c>
      <c r="AE860" s="74" t="s">
        <v>629</v>
      </c>
      <c r="AF860" s="74" t="s">
        <v>1055</v>
      </c>
    </row>
    <row r="861">
      <c r="A861" s="52" t="s">
        <v>2906</v>
      </c>
      <c r="B861" s="52" t="s">
        <v>607</v>
      </c>
      <c r="C861" s="52" t="s">
        <v>607</v>
      </c>
      <c r="D861" s="65" t="s">
        <v>607</v>
      </c>
      <c r="E861" s="65" t="s">
        <v>607</v>
      </c>
      <c r="F861" s="65" t="s">
        <v>607</v>
      </c>
      <c r="G861" s="65" t="s">
        <v>607</v>
      </c>
      <c r="H861" s="52" t="s">
        <v>607</v>
      </c>
      <c r="I861" s="52" t="s">
        <v>607</v>
      </c>
      <c r="J861" s="52" t="s">
        <v>607</v>
      </c>
      <c r="K861" s="52" t="s">
        <v>607</v>
      </c>
      <c r="L861" s="52" t="s">
        <v>607</v>
      </c>
      <c r="M861" s="52" t="s">
        <v>607</v>
      </c>
      <c r="N861" s="52" t="s">
        <v>607</v>
      </c>
      <c r="O861" s="52"/>
      <c r="P861" s="52"/>
      <c r="Q861" s="52"/>
      <c r="R861" s="51" t="b">
        <v>0</v>
      </c>
      <c r="S861" s="51"/>
      <c r="T861" s="52"/>
      <c r="U861" s="51" t="b">
        <v>0</v>
      </c>
      <c r="V861" s="51" t="b">
        <v>0</v>
      </c>
      <c r="W861" s="51" t="b">
        <v>0</v>
      </c>
      <c r="X861" s="51" t="b">
        <v>0</v>
      </c>
      <c r="Y861" s="51" t="b">
        <v>0</v>
      </c>
      <c r="Z861" s="51" t="b">
        <v>0</v>
      </c>
      <c r="AA861" s="68"/>
      <c r="AB861" s="52"/>
      <c r="AC861" s="52"/>
      <c r="AD861" s="52"/>
      <c r="AE861" s="56" t="s">
        <v>607</v>
      </c>
      <c r="AF861" s="56" t="s">
        <v>607</v>
      </c>
    </row>
    <row r="862">
      <c r="A862" s="52" t="s">
        <v>2907</v>
      </c>
      <c r="B862" s="52" t="s">
        <v>19</v>
      </c>
      <c r="C862" s="52" t="s">
        <v>66</v>
      </c>
      <c r="D862" s="65">
        <v>0.635300925925926</v>
      </c>
      <c r="E862" s="65">
        <v>2.314814814814815E-4</v>
      </c>
      <c r="F862" s="65">
        <v>0.6355324074074075</v>
      </c>
      <c r="G862" s="65" t="s">
        <v>1040</v>
      </c>
      <c r="H862" s="52" t="s">
        <v>81</v>
      </c>
      <c r="I862" s="52" t="s">
        <v>1127</v>
      </c>
      <c r="J862" s="52"/>
      <c r="K862" s="52"/>
      <c r="L862" s="52"/>
      <c r="M862" s="52"/>
      <c r="N862" s="52" t="s">
        <v>70</v>
      </c>
      <c r="O862" s="52"/>
      <c r="P862" s="52"/>
      <c r="Q862" s="52"/>
      <c r="R862" s="51" t="b">
        <v>0</v>
      </c>
      <c r="S862" s="51"/>
      <c r="T862" s="52"/>
      <c r="U862" s="51" t="b">
        <v>0</v>
      </c>
      <c r="V862" s="51" t="b">
        <v>0</v>
      </c>
      <c r="W862" s="51" t="b">
        <v>0</v>
      </c>
      <c r="X862" s="51" t="b">
        <v>0</v>
      </c>
      <c r="Y862" s="51" t="b">
        <v>0</v>
      </c>
      <c r="Z862" s="51" t="b">
        <v>0</v>
      </c>
      <c r="AA862" s="68"/>
      <c r="AB862" s="52"/>
      <c r="AC862" s="52"/>
      <c r="AD862" s="52"/>
      <c r="AE862" s="56"/>
      <c r="AF862" s="56" t="s">
        <v>1944</v>
      </c>
    </row>
    <row r="863">
      <c r="A863" s="52" t="s">
        <v>2908</v>
      </c>
      <c r="B863" s="52" t="s">
        <v>19</v>
      </c>
      <c r="C863" s="52" t="s">
        <v>66</v>
      </c>
      <c r="D863" s="65">
        <v>0.6355324074074075</v>
      </c>
      <c r="E863" s="65">
        <v>0.0021527777777777778</v>
      </c>
      <c r="F863" s="65">
        <v>0.6376851851851852</v>
      </c>
      <c r="G863" s="65" t="s">
        <v>1040</v>
      </c>
      <c r="H863" s="52" t="s">
        <v>165</v>
      </c>
      <c r="I863" s="52" t="s">
        <v>1128</v>
      </c>
      <c r="J863" s="52" t="s">
        <v>1129</v>
      </c>
      <c r="K863" s="52"/>
      <c r="L863" s="52"/>
      <c r="M863" s="52"/>
      <c r="N863" s="52" t="s">
        <v>70</v>
      </c>
      <c r="O863" s="69" t="s">
        <v>884</v>
      </c>
      <c r="P863" s="69" t="s">
        <v>30</v>
      </c>
      <c r="Q863" s="70" t="s">
        <v>2909</v>
      </c>
      <c r="R863" s="51" t="b">
        <v>1</v>
      </c>
      <c r="S863" s="52" t="s">
        <v>1128</v>
      </c>
      <c r="T863" s="52"/>
      <c r="U863" s="51" t="b">
        <v>0</v>
      </c>
      <c r="V863" s="51" t="b">
        <v>1</v>
      </c>
      <c r="W863" s="51" t="b">
        <v>1</v>
      </c>
      <c r="X863" s="51" t="b">
        <v>0</v>
      </c>
      <c r="Y863" s="51" t="b">
        <v>0</v>
      </c>
      <c r="Z863" s="51" t="b">
        <v>0</v>
      </c>
      <c r="AA863" s="71">
        <v>0.0021527777777777778</v>
      </c>
      <c r="AB863" s="69" t="s">
        <v>2910</v>
      </c>
      <c r="AC863" s="69"/>
      <c r="AD863" s="73" t="s">
        <v>2911</v>
      </c>
      <c r="AE863" s="56" t="s">
        <v>743</v>
      </c>
      <c r="AF863" s="56" t="s">
        <v>630</v>
      </c>
    </row>
    <row r="864">
      <c r="A864" s="52" t="s">
        <v>2912</v>
      </c>
      <c r="B864" s="52" t="s">
        <v>607</v>
      </c>
      <c r="C864" s="52" t="s">
        <v>607</v>
      </c>
      <c r="D864" s="65" t="s">
        <v>607</v>
      </c>
      <c r="E864" s="65" t="s">
        <v>607</v>
      </c>
      <c r="F864" s="65" t="s">
        <v>607</v>
      </c>
      <c r="G864" s="65" t="s">
        <v>607</v>
      </c>
      <c r="H864" s="52" t="s">
        <v>607</v>
      </c>
      <c r="I864" s="52" t="s">
        <v>607</v>
      </c>
      <c r="J864" s="52" t="s">
        <v>607</v>
      </c>
      <c r="K864" s="52" t="s">
        <v>607</v>
      </c>
      <c r="L864" s="52" t="s">
        <v>607</v>
      </c>
      <c r="M864" s="52" t="s">
        <v>607</v>
      </c>
      <c r="N864" s="52" t="s">
        <v>607</v>
      </c>
      <c r="O864" s="52"/>
      <c r="P864" s="52"/>
      <c r="Q864" s="52"/>
      <c r="R864" s="51" t="b">
        <v>0</v>
      </c>
      <c r="S864" s="51"/>
      <c r="T864" s="52"/>
      <c r="U864" s="51" t="b">
        <v>0</v>
      </c>
      <c r="V864" s="51" t="b">
        <v>0</v>
      </c>
      <c r="W864" s="51" t="b">
        <v>0</v>
      </c>
      <c r="X864" s="51" t="b">
        <v>0</v>
      </c>
      <c r="Y864" s="51" t="b">
        <v>0</v>
      </c>
      <c r="Z864" s="51" t="b">
        <v>0</v>
      </c>
      <c r="AA864" s="68"/>
      <c r="AB864" s="52"/>
      <c r="AC864" s="52"/>
      <c r="AD864" s="52"/>
      <c r="AE864" s="56" t="s">
        <v>607</v>
      </c>
      <c r="AF864" s="56" t="s">
        <v>607</v>
      </c>
    </row>
    <row r="865">
      <c r="A865" s="52" t="s">
        <v>2913</v>
      </c>
      <c r="B865" s="52" t="s">
        <v>19</v>
      </c>
      <c r="C865" s="52" t="s">
        <v>66</v>
      </c>
      <c r="D865" s="65">
        <v>0.6089814814814815</v>
      </c>
      <c r="E865" s="65">
        <v>2.4305555555555555E-4</v>
      </c>
      <c r="F865" s="65">
        <v>0.609224537037037</v>
      </c>
      <c r="G865" s="65" t="s">
        <v>1040</v>
      </c>
      <c r="H865" s="52" t="s">
        <v>506</v>
      </c>
      <c r="I865" s="52" t="s">
        <v>1112</v>
      </c>
      <c r="J865" s="52"/>
      <c r="K865" s="52"/>
      <c r="L865" s="52"/>
      <c r="M865" s="52"/>
      <c r="N865" s="52" t="s">
        <v>70</v>
      </c>
      <c r="O865" s="52"/>
      <c r="P865" s="69" t="s">
        <v>32</v>
      </c>
      <c r="Q865" s="80" t="s">
        <v>2914</v>
      </c>
      <c r="R865" s="51" t="b">
        <v>1</v>
      </c>
      <c r="S865" s="159" t="s">
        <v>2915</v>
      </c>
      <c r="T865" s="52"/>
      <c r="U865" s="51" t="b">
        <v>0</v>
      </c>
      <c r="V865" s="51" t="b">
        <v>1</v>
      </c>
      <c r="W865" s="51" t="b">
        <v>1</v>
      </c>
      <c r="X865" s="51" t="b">
        <v>0</v>
      </c>
      <c r="Y865" s="51" t="b">
        <v>0</v>
      </c>
      <c r="Z865" s="51" t="b">
        <v>0</v>
      </c>
      <c r="AA865" s="71">
        <v>2.8935185185185184E-4</v>
      </c>
      <c r="AB865" s="52"/>
      <c r="AC865" s="52"/>
      <c r="AD865" s="73" t="s">
        <v>2916</v>
      </c>
      <c r="AE865" s="56"/>
      <c r="AF865" s="56" t="s">
        <v>1215</v>
      </c>
    </row>
    <row r="866">
      <c r="A866" s="52" t="s">
        <v>2917</v>
      </c>
      <c r="B866" s="52" t="s">
        <v>19</v>
      </c>
      <c r="C866" s="52" t="s">
        <v>66</v>
      </c>
      <c r="D866" s="65">
        <v>0.6378587962962964</v>
      </c>
      <c r="E866" s="65">
        <v>2.314814814814815E-4</v>
      </c>
      <c r="F866" s="65">
        <v>0.6380902777777778</v>
      </c>
      <c r="G866" s="65" t="s">
        <v>1040</v>
      </c>
      <c r="H866" s="52" t="s">
        <v>81</v>
      </c>
      <c r="I866" s="52" t="s">
        <v>81</v>
      </c>
      <c r="J866" s="52"/>
      <c r="K866" s="52"/>
      <c r="L866" s="52"/>
      <c r="M866" s="52"/>
      <c r="N866" s="52" t="s">
        <v>70</v>
      </c>
      <c r="O866" s="52"/>
      <c r="P866" s="52"/>
      <c r="Q866" s="52"/>
      <c r="R866" s="51" t="b">
        <v>0</v>
      </c>
      <c r="S866" s="51"/>
      <c r="T866" s="52"/>
      <c r="U866" s="51" t="b">
        <v>0</v>
      </c>
      <c r="V866" s="51" t="b">
        <v>0</v>
      </c>
      <c r="W866" s="51" t="b">
        <v>0</v>
      </c>
      <c r="X866" s="51" t="b">
        <v>0</v>
      </c>
      <c r="Y866" s="51" t="b">
        <v>0</v>
      </c>
      <c r="Z866" s="51" t="b">
        <v>0</v>
      </c>
      <c r="AA866" s="68"/>
      <c r="AB866" s="52"/>
      <c r="AC866" s="52"/>
      <c r="AD866" s="52"/>
      <c r="AE866" s="56"/>
      <c r="AF866" s="56" t="s">
        <v>1944</v>
      </c>
    </row>
    <row r="867">
      <c r="A867" s="52" t="s">
        <v>2918</v>
      </c>
      <c r="B867" s="52" t="s">
        <v>19</v>
      </c>
      <c r="C867" s="52" t="s">
        <v>66</v>
      </c>
      <c r="D867" s="65">
        <v>0.6380902777777778</v>
      </c>
      <c r="E867" s="65">
        <v>0.009837962962962963</v>
      </c>
      <c r="F867" s="65">
        <v>0.6479282407407407</v>
      </c>
      <c r="G867" s="65" t="s">
        <v>1040</v>
      </c>
      <c r="H867" s="52" t="s">
        <v>94</v>
      </c>
      <c r="I867" s="52" t="s">
        <v>1133</v>
      </c>
      <c r="J867" s="52" t="s">
        <v>1134</v>
      </c>
      <c r="K867" s="52"/>
      <c r="L867" s="52"/>
      <c r="M867" s="52"/>
      <c r="N867" s="52" t="s">
        <v>342</v>
      </c>
      <c r="O867" s="52"/>
      <c r="P867" s="69" t="s">
        <v>25</v>
      </c>
      <c r="Q867" s="80" t="s">
        <v>2919</v>
      </c>
      <c r="R867" s="51" t="b">
        <v>1</v>
      </c>
      <c r="S867" s="52" t="s">
        <v>1133</v>
      </c>
      <c r="T867" s="52"/>
      <c r="U867" s="51" t="b">
        <v>0</v>
      </c>
      <c r="V867" s="51" t="b">
        <v>1</v>
      </c>
      <c r="W867" s="51" t="b">
        <v>1</v>
      </c>
      <c r="X867" s="51" t="b">
        <v>0</v>
      </c>
      <c r="Y867" s="51" t="b">
        <v>0</v>
      </c>
      <c r="Z867" s="51" t="b">
        <v>0</v>
      </c>
      <c r="AA867" s="71">
        <v>0.009837962962962963</v>
      </c>
      <c r="AB867" s="52"/>
      <c r="AC867" s="52"/>
      <c r="AD867" s="80" t="s">
        <v>2920</v>
      </c>
      <c r="AE867" s="56" t="s">
        <v>629</v>
      </c>
      <c r="AF867" s="56" t="s">
        <v>847</v>
      </c>
    </row>
    <row r="868">
      <c r="A868" s="52" t="s">
        <v>2921</v>
      </c>
      <c r="B868" s="52" t="s">
        <v>607</v>
      </c>
      <c r="C868" s="52" t="s">
        <v>607</v>
      </c>
      <c r="D868" s="65" t="s">
        <v>607</v>
      </c>
      <c r="E868" s="65" t="s">
        <v>607</v>
      </c>
      <c r="F868" s="65" t="s">
        <v>607</v>
      </c>
      <c r="G868" s="65" t="s">
        <v>607</v>
      </c>
      <c r="H868" s="52" t="s">
        <v>607</v>
      </c>
      <c r="I868" s="52" t="s">
        <v>607</v>
      </c>
      <c r="J868" s="52" t="s">
        <v>607</v>
      </c>
      <c r="K868" s="52" t="s">
        <v>607</v>
      </c>
      <c r="L868" s="52" t="s">
        <v>607</v>
      </c>
      <c r="M868" s="52" t="s">
        <v>607</v>
      </c>
      <c r="N868" s="52" t="s">
        <v>607</v>
      </c>
      <c r="O868" s="52"/>
      <c r="P868" s="52"/>
      <c r="Q868" s="52"/>
      <c r="R868" s="51" t="b">
        <v>0</v>
      </c>
      <c r="S868" s="51"/>
      <c r="T868" s="52"/>
      <c r="U868" s="51" t="b">
        <v>0</v>
      </c>
      <c r="V868" s="51" t="b">
        <v>0</v>
      </c>
      <c r="W868" s="51" t="b">
        <v>0</v>
      </c>
      <c r="X868" s="51" t="b">
        <v>0</v>
      </c>
      <c r="Y868" s="51" t="b">
        <v>0</v>
      </c>
      <c r="Z868" s="51" t="b">
        <v>0</v>
      </c>
      <c r="AA868" s="68"/>
      <c r="AB868" s="52"/>
      <c r="AC868" s="52"/>
      <c r="AD868" s="52"/>
      <c r="AE868" s="56" t="s">
        <v>607</v>
      </c>
      <c r="AF868" s="56" t="s">
        <v>607</v>
      </c>
    </row>
    <row r="869">
      <c r="A869" s="52" t="s">
        <v>2922</v>
      </c>
      <c r="B869" s="52" t="s">
        <v>19</v>
      </c>
      <c r="C869" s="52" t="s">
        <v>66</v>
      </c>
      <c r="D869" s="65">
        <v>0.6489699074074075</v>
      </c>
      <c r="E869" s="65">
        <v>2.314814814814815E-4</v>
      </c>
      <c r="F869" s="65">
        <v>0.6492013888888889</v>
      </c>
      <c r="G869" s="65" t="s">
        <v>1040</v>
      </c>
      <c r="H869" s="52" t="s">
        <v>81</v>
      </c>
      <c r="I869" s="52" t="s">
        <v>81</v>
      </c>
      <c r="J869" s="52"/>
      <c r="K869" s="52"/>
      <c r="L869" s="52"/>
      <c r="M869" s="52"/>
      <c r="N869" s="52" t="s">
        <v>70</v>
      </c>
      <c r="O869" s="52"/>
      <c r="P869" s="52"/>
      <c r="Q869" s="52"/>
      <c r="R869" s="51" t="b">
        <v>0</v>
      </c>
      <c r="S869" s="51"/>
      <c r="T869" s="52"/>
      <c r="U869" s="51" t="b">
        <v>0</v>
      </c>
      <c r="V869" s="51" t="b">
        <v>0</v>
      </c>
      <c r="W869" s="51" t="b">
        <v>0</v>
      </c>
      <c r="X869" s="51" t="b">
        <v>0</v>
      </c>
      <c r="Y869" s="51" t="b">
        <v>0</v>
      </c>
      <c r="Z869" s="51" t="b">
        <v>0</v>
      </c>
      <c r="AA869" s="68"/>
      <c r="AB869" s="52"/>
      <c r="AC869" s="52"/>
      <c r="AD869" s="52"/>
      <c r="AE869" s="56"/>
      <c r="AF869" s="56" t="s">
        <v>1944</v>
      </c>
    </row>
    <row r="870">
      <c r="A870" s="52" t="s">
        <v>2923</v>
      </c>
      <c r="B870" s="52" t="s">
        <v>19</v>
      </c>
      <c r="C870" s="52" t="s">
        <v>66</v>
      </c>
      <c r="D870" s="65">
        <v>0.6492013888888889</v>
      </c>
      <c r="E870" s="65">
        <v>0.007893518518518518</v>
      </c>
      <c r="F870" s="65">
        <v>0.6570949074074074</v>
      </c>
      <c r="G870" s="65" t="s">
        <v>1040</v>
      </c>
      <c r="H870" s="52" t="s">
        <v>94</v>
      </c>
      <c r="I870" s="52" t="s">
        <v>1138</v>
      </c>
      <c r="J870" s="52" t="s">
        <v>1139</v>
      </c>
      <c r="K870" s="52"/>
      <c r="L870" s="52"/>
      <c r="M870" s="52"/>
      <c r="N870" s="52" t="s">
        <v>132</v>
      </c>
      <c r="O870" s="69" t="s">
        <v>618</v>
      </c>
      <c r="P870" s="69" t="s">
        <v>30</v>
      </c>
      <c r="Q870" s="70" t="s">
        <v>2924</v>
      </c>
      <c r="R870" s="51" t="b">
        <v>1</v>
      </c>
      <c r="S870" s="52" t="s">
        <v>1138</v>
      </c>
      <c r="T870" s="52"/>
      <c r="U870" s="51" t="b">
        <v>0</v>
      </c>
      <c r="V870" s="51" t="b">
        <v>1</v>
      </c>
      <c r="W870" s="51" t="b">
        <v>1</v>
      </c>
      <c r="X870" s="51" t="b">
        <v>0</v>
      </c>
      <c r="Y870" s="51" t="b">
        <v>1</v>
      </c>
      <c r="Z870" s="51" t="b">
        <v>0</v>
      </c>
      <c r="AA870" s="71">
        <v>0.007893518518518518</v>
      </c>
      <c r="AB870" s="69" t="s">
        <v>2925</v>
      </c>
      <c r="AC870" s="69"/>
      <c r="AD870" s="121" t="s">
        <v>2926</v>
      </c>
      <c r="AE870" s="56" t="s">
        <v>629</v>
      </c>
      <c r="AF870" s="56" t="s">
        <v>873</v>
      </c>
    </row>
    <row r="871">
      <c r="A871" s="52" t="s">
        <v>2927</v>
      </c>
      <c r="B871" s="52" t="s">
        <v>607</v>
      </c>
      <c r="C871" s="52" t="s">
        <v>607</v>
      </c>
      <c r="D871" s="65" t="s">
        <v>607</v>
      </c>
      <c r="E871" s="65" t="s">
        <v>607</v>
      </c>
      <c r="F871" s="65" t="s">
        <v>607</v>
      </c>
      <c r="G871" s="65" t="s">
        <v>607</v>
      </c>
      <c r="H871" s="52" t="s">
        <v>607</v>
      </c>
      <c r="I871" s="52" t="s">
        <v>607</v>
      </c>
      <c r="J871" s="52" t="s">
        <v>607</v>
      </c>
      <c r="K871" s="52" t="s">
        <v>607</v>
      </c>
      <c r="L871" s="52" t="s">
        <v>607</v>
      </c>
      <c r="M871" s="52" t="s">
        <v>607</v>
      </c>
      <c r="N871" s="52" t="s">
        <v>607</v>
      </c>
      <c r="O871" s="52"/>
      <c r="P871" s="52"/>
      <c r="Q871" s="52"/>
      <c r="R871" s="51" t="b">
        <v>0</v>
      </c>
      <c r="S871" s="51"/>
      <c r="T871" s="52"/>
      <c r="U871" s="51" t="b">
        <v>0</v>
      </c>
      <c r="V871" s="51" t="b">
        <v>0</v>
      </c>
      <c r="W871" s="51" t="b">
        <v>0</v>
      </c>
      <c r="X871" s="51" t="b">
        <v>0</v>
      </c>
      <c r="Y871" s="51" t="b">
        <v>0</v>
      </c>
      <c r="Z871" s="51" t="b">
        <v>0</v>
      </c>
      <c r="AA871" s="68"/>
      <c r="AB871" s="52"/>
      <c r="AC871" s="52"/>
      <c r="AD871" s="52"/>
      <c r="AE871" s="56" t="s">
        <v>607</v>
      </c>
      <c r="AF871" s="56" t="s">
        <v>607</v>
      </c>
    </row>
    <row r="872">
      <c r="A872" s="52" t="s">
        <v>2928</v>
      </c>
      <c r="B872" s="52" t="s">
        <v>19</v>
      </c>
      <c r="C872" s="52" t="s">
        <v>66</v>
      </c>
      <c r="D872" s="65">
        <v>0.6574421296296297</v>
      </c>
      <c r="E872" s="65">
        <v>2.314814814814815E-4</v>
      </c>
      <c r="F872" s="65">
        <v>0.6576736111111111</v>
      </c>
      <c r="G872" s="65" t="s">
        <v>1040</v>
      </c>
      <c r="H872" s="52" t="s">
        <v>81</v>
      </c>
      <c r="I872" s="52" t="s">
        <v>81</v>
      </c>
      <c r="J872" s="52"/>
      <c r="K872" s="52"/>
      <c r="L872" s="52"/>
      <c r="M872" s="52"/>
      <c r="N872" s="52" t="s">
        <v>70</v>
      </c>
      <c r="O872" s="52"/>
      <c r="P872" s="52"/>
      <c r="Q872" s="52"/>
      <c r="R872" s="51" t="b">
        <v>0</v>
      </c>
      <c r="S872" s="51"/>
      <c r="T872" s="52"/>
      <c r="U872" s="51" t="b">
        <v>0</v>
      </c>
      <c r="V872" s="51" t="b">
        <v>0</v>
      </c>
      <c r="W872" s="51" t="b">
        <v>0</v>
      </c>
      <c r="X872" s="51" t="b">
        <v>0</v>
      </c>
      <c r="Y872" s="51" t="b">
        <v>0</v>
      </c>
      <c r="Z872" s="51" t="b">
        <v>0</v>
      </c>
      <c r="AA872" s="68"/>
      <c r="AB872" s="52"/>
      <c r="AC872" s="52"/>
      <c r="AD872" s="52"/>
      <c r="AE872" s="56"/>
      <c r="AF872" s="56" t="s">
        <v>1944</v>
      </c>
    </row>
    <row r="873">
      <c r="A873" s="52" t="s">
        <v>2929</v>
      </c>
      <c r="B873" s="52" t="s">
        <v>19</v>
      </c>
      <c r="C873" s="52" t="s">
        <v>66</v>
      </c>
      <c r="D873" s="65">
        <v>0.6576736111111111</v>
      </c>
      <c r="E873" s="65">
        <v>0.008518518518518519</v>
      </c>
      <c r="F873" s="65">
        <v>0.6661921296296296</v>
      </c>
      <c r="G873" s="65" t="s">
        <v>1040</v>
      </c>
      <c r="H873" s="52" t="s">
        <v>94</v>
      </c>
      <c r="I873" s="52" t="s">
        <v>1143</v>
      </c>
      <c r="J873" s="52" t="s">
        <v>1144</v>
      </c>
      <c r="K873" s="52" t="s">
        <v>1145</v>
      </c>
      <c r="L873" s="52"/>
      <c r="M873" s="52"/>
      <c r="N873" s="52"/>
      <c r="O873" s="52"/>
      <c r="P873" s="69" t="s">
        <v>23</v>
      </c>
      <c r="Q873" s="80" t="s">
        <v>2930</v>
      </c>
      <c r="R873" s="51" t="b">
        <v>1</v>
      </c>
      <c r="S873" s="52" t="s">
        <v>1143</v>
      </c>
      <c r="T873" s="52"/>
      <c r="U873" s="51" t="b">
        <v>0</v>
      </c>
      <c r="V873" s="51" t="b">
        <v>1</v>
      </c>
      <c r="W873" s="51" t="b">
        <v>1</v>
      </c>
      <c r="X873" s="51" t="b">
        <v>0</v>
      </c>
      <c r="Y873" s="51" t="b">
        <v>0</v>
      </c>
      <c r="Z873" s="51" t="b">
        <v>0</v>
      </c>
      <c r="AA873" s="71">
        <v>0.008518518518518519</v>
      </c>
      <c r="AB873" s="69" t="s">
        <v>2931</v>
      </c>
      <c r="AC873" s="52"/>
      <c r="AD873" s="76" t="s">
        <v>2932</v>
      </c>
      <c r="AE873" s="56" t="s">
        <v>743</v>
      </c>
      <c r="AF873" s="56" t="s">
        <v>1055</v>
      </c>
    </row>
    <row r="874">
      <c r="A874" s="52" t="s">
        <v>2933</v>
      </c>
      <c r="B874" s="52" t="s">
        <v>607</v>
      </c>
      <c r="C874" s="52" t="s">
        <v>607</v>
      </c>
      <c r="D874" s="65" t="s">
        <v>607</v>
      </c>
      <c r="E874" s="65" t="s">
        <v>607</v>
      </c>
      <c r="F874" s="65" t="s">
        <v>607</v>
      </c>
      <c r="G874" s="65" t="s">
        <v>607</v>
      </c>
      <c r="H874" s="52" t="s">
        <v>607</v>
      </c>
      <c r="I874" s="52" t="s">
        <v>607</v>
      </c>
      <c r="J874" s="52" t="s">
        <v>607</v>
      </c>
      <c r="K874" s="52" t="s">
        <v>607</v>
      </c>
      <c r="L874" s="52" t="s">
        <v>607</v>
      </c>
      <c r="M874" s="52" t="s">
        <v>607</v>
      </c>
      <c r="N874" s="52" t="s">
        <v>607</v>
      </c>
      <c r="O874" s="52"/>
      <c r="P874" s="52"/>
      <c r="Q874" s="52"/>
      <c r="R874" s="51" t="b">
        <v>0</v>
      </c>
      <c r="S874" s="51"/>
      <c r="T874" s="52"/>
      <c r="U874" s="51" t="b">
        <v>0</v>
      </c>
      <c r="V874" s="51" t="b">
        <v>0</v>
      </c>
      <c r="W874" s="51" t="b">
        <v>0</v>
      </c>
      <c r="X874" s="51" t="b">
        <v>0</v>
      </c>
      <c r="Y874" s="51" t="b">
        <v>0</v>
      </c>
      <c r="Z874" s="51" t="b">
        <v>0</v>
      </c>
      <c r="AA874" s="68"/>
      <c r="AB874" s="52"/>
      <c r="AC874" s="52"/>
      <c r="AD874" s="52"/>
      <c r="AE874" s="56" t="s">
        <v>607</v>
      </c>
      <c r="AF874" s="56" t="s">
        <v>607</v>
      </c>
    </row>
    <row r="875">
      <c r="A875" s="52" t="s">
        <v>2934</v>
      </c>
      <c r="B875" s="52" t="s">
        <v>19</v>
      </c>
      <c r="C875" s="52" t="s">
        <v>66</v>
      </c>
      <c r="D875" s="65">
        <v>0.6668402777777778</v>
      </c>
      <c r="E875" s="65">
        <v>3.4722222222222224E-4</v>
      </c>
      <c r="F875" s="65">
        <v>0.6671875</v>
      </c>
      <c r="G875" s="65" t="s">
        <v>210</v>
      </c>
      <c r="H875" s="52" t="s">
        <v>81</v>
      </c>
      <c r="I875" s="52" t="s">
        <v>81</v>
      </c>
      <c r="J875" s="52"/>
      <c r="K875" s="52"/>
      <c r="L875" s="52"/>
      <c r="M875" s="52"/>
      <c r="N875" s="52" t="s">
        <v>70</v>
      </c>
      <c r="O875" s="52"/>
      <c r="P875" s="52"/>
      <c r="Q875" s="52"/>
      <c r="R875" s="51" t="b">
        <v>0</v>
      </c>
      <c r="S875" s="51"/>
      <c r="T875" s="52"/>
      <c r="U875" s="51" t="b">
        <v>0</v>
      </c>
      <c r="V875" s="51" t="b">
        <v>0</v>
      </c>
      <c r="W875" s="51" t="b">
        <v>0</v>
      </c>
      <c r="X875" s="51" t="b">
        <v>0</v>
      </c>
      <c r="Y875" s="51" t="b">
        <v>0</v>
      </c>
      <c r="Z875" s="51" t="b">
        <v>0</v>
      </c>
      <c r="AA875" s="68"/>
      <c r="AB875" s="52"/>
      <c r="AC875" s="52"/>
      <c r="AD875" s="52"/>
      <c r="AE875" s="56"/>
      <c r="AF875" s="56" t="s">
        <v>1944</v>
      </c>
    </row>
    <row r="876">
      <c r="A876" s="52" t="s">
        <v>2935</v>
      </c>
      <c r="B876" s="52" t="s">
        <v>19</v>
      </c>
      <c r="C876" s="52" t="s">
        <v>66</v>
      </c>
      <c r="D876" s="65">
        <v>0.6671875</v>
      </c>
      <c r="E876" s="65">
        <v>0.010011574074074074</v>
      </c>
      <c r="F876" s="65">
        <v>0.6771990740740741</v>
      </c>
      <c r="G876" s="65" t="s">
        <v>210</v>
      </c>
      <c r="H876" s="52" t="s">
        <v>107</v>
      </c>
      <c r="I876" s="52" t="s">
        <v>1152</v>
      </c>
      <c r="J876" s="52" t="s">
        <v>1153</v>
      </c>
      <c r="K876" s="52" t="s">
        <v>1154</v>
      </c>
      <c r="L876" s="52"/>
      <c r="M876" s="52"/>
      <c r="N876" s="52" t="s">
        <v>1155</v>
      </c>
      <c r="O876" s="69" t="s">
        <v>734</v>
      </c>
      <c r="P876" s="69" t="s">
        <v>32</v>
      </c>
      <c r="Q876" s="80" t="s">
        <v>2936</v>
      </c>
      <c r="R876" s="51" t="b">
        <v>1</v>
      </c>
      <c r="S876" s="52" t="s">
        <v>1152</v>
      </c>
      <c r="T876" s="52"/>
      <c r="U876" s="51" t="b">
        <v>0</v>
      </c>
      <c r="V876" s="51" t="b">
        <v>1</v>
      </c>
      <c r="W876" s="51" t="b">
        <v>1</v>
      </c>
      <c r="X876" s="51" t="b">
        <v>0</v>
      </c>
      <c r="Y876" s="51" t="b">
        <v>0</v>
      </c>
      <c r="Z876" s="51" t="b">
        <v>1</v>
      </c>
      <c r="AA876" s="71">
        <v>0.010011574074074074</v>
      </c>
      <c r="AB876" s="45" t="s">
        <v>2937</v>
      </c>
      <c r="AC876" s="160" t="s">
        <v>2938</v>
      </c>
      <c r="AD876" s="73" t="s">
        <v>2939</v>
      </c>
      <c r="AE876" s="56" t="s">
        <v>629</v>
      </c>
      <c r="AF876" s="56" t="s">
        <v>1076</v>
      </c>
    </row>
    <row r="877">
      <c r="A877" s="52" t="s">
        <v>2940</v>
      </c>
      <c r="B877" s="52" t="s">
        <v>607</v>
      </c>
      <c r="C877" s="52" t="s">
        <v>607</v>
      </c>
      <c r="D877" s="65" t="s">
        <v>607</v>
      </c>
      <c r="E877" s="65" t="s">
        <v>607</v>
      </c>
      <c r="F877" s="65" t="s">
        <v>607</v>
      </c>
      <c r="G877" s="65" t="s">
        <v>607</v>
      </c>
      <c r="H877" s="52" t="s">
        <v>607</v>
      </c>
      <c r="I877" s="52" t="s">
        <v>607</v>
      </c>
      <c r="J877" s="52" t="s">
        <v>607</v>
      </c>
      <c r="K877" s="52" t="s">
        <v>607</v>
      </c>
      <c r="L877" s="52" t="s">
        <v>607</v>
      </c>
      <c r="M877" s="52" t="s">
        <v>607</v>
      </c>
      <c r="N877" s="52" t="s">
        <v>607</v>
      </c>
      <c r="O877" s="52"/>
      <c r="P877" s="52"/>
      <c r="Q877" s="52"/>
      <c r="R877" s="51" t="b">
        <v>0</v>
      </c>
      <c r="S877" s="51"/>
      <c r="T877" s="52"/>
      <c r="U877" s="51" t="b">
        <v>0</v>
      </c>
      <c r="V877" s="51" t="b">
        <v>0</v>
      </c>
      <c r="W877" s="51" t="b">
        <v>0</v>
      </c>
      <c r="X877" s="51" t="b">
        <v>0</v>
      </c>
      <c r="Y877" s="51" t="b">
        <v>0</v>
      </c>
      <c r="Z877" s="51" t="b">
        <v>0</v>
      </c>
      <c r="AA877" s="68"/>
      <c r="AB877" s="52"/>
      <c r="AC877" s="52"/>
      <c r="AD877" s="52"/>
      <c r="AE877" s="56" t="s">
        <v>607</v>
      </c>
      <c r="AF877" s="56" t="s">
        <v>607</v>
      </c>
    </row>
    <row r="878">
      <c r="A878" s="52" t="s">
        <v>2941</v>
      </c>
      <c r="B878" s="52" t="s">
        <v>19</v>
      </c>
      <c r="C878" s="52" t="s">
        <v>66</v>
      </c>
      <c r="D878" s="65">
        <v>0.6773726851851852</v>
      </c>
      <c r="E878" s="65">
        <v>2.314814814814815E-4</v>
      </c>
      <c r="F878" s="65">
        <v>0.6776041666666667</v>
      </c>
      <c r="G878" s="65" t="s">
        <v>210</v>
      </c>
      <c r="H878" s="52" t="s">
        <v>81</v>
      </c>
      <c r="I878" s="52" t="s">
        <v>81</v>
      </c>
      <c r="J878" s="52"/>
      <c r="K878" s="52"/>
      <c r="L878" s="52"/>
      <c r="M878" s="52"/>
      <c r="N878" s="52" t="s">
        <v>70</v>
      </c>
      <c r="O878" s="52"/>
      <c r="P878" s="52"/>
      <c r="Q878" s="52"/>
      <c r="R878" s="51" t="b">
        <v>0</v>
      </c>
      <c r="S878" s="51"/>
      <c r="T878" s="52"/>
      <c r="U878" s="51" t="b">
        <v>0</v>
      </c>
      <c r="V878" s="51" t="b">
        <v>0</v>
      </c>
      <c r="W878" s="51" t="b">
        <v>0</v>
      </c>
      <c r="X878" s="51" t="b">
        <v>0</v>
      </c>
      <c r="Y878" s="51" t="b">
        <v>0</v>
      </c>
      <c r="Z878" s="51" t="b">
        <v>0</v>
      </c>
      <c r="AA878" s="68"/>
      <c r="AB878" s="52"/>
      <c r="AC878" s="52"/>
      <c r="AD878" s="52"/>
      <c r="AE878" s="56"/>
      <c r="AF878" s="56" t="s">
        <v>1944</v>
      </c>
    </row>
    <row r="879">
      <c r="A879" s="52" t="s">
        <v>2942</v>
      </c>
      <c r="B879" s="52" t="s">
        <v>19</v>
      </c>
      <c r="C879" s="52" t="s">
        <v>66</v>
      </c>
      <c r="D879" s="65">
        <v>0.6776041666666667</v>
      </c>
      <c r="E879" s="65">
        <v>0.014849537037037038</v>
      </c>
      <c r="F879" s="65">
        <v>0.6924537037037037</v>
      </c>
      <c r="G879" s="65" t="s">
        <v>210</v>
      </c>
      <c r="H879" s="52" t="s">
        <v>94</v>
      </c>
      <c r="I879" s="52" t="s">
        <v>1159</v>
      </c>
      <c r="J879" s="52" t="s">
        <v>1160</v>
      </c>
      <c r="K879" s="52"/>
      <c r="L879" s="52"/>
      <c r="M879" s="52"/>
      <c r="N879" s="52" t="s">
        <v>96</v>
      </c>
      <c r="O879" s="69" t="s">
        <v>618</v>
      </c>
      <c r="P879" s="69" t="s">
        <v>30</v>
      </c>
      <c r="Q879" s="80" t="s">
        <v>2943</v>
      </c>
      <c r="R879" s="51" t="b">
        <v>1</v>
      </c>
      <c r="S879" s="52" t="s">
        <v>1159</v>
      </c>
      <c r="T879" s="52"/>
      <c r="U879" s="51" t="b">
        <v>0</v>
      </c>
      <c r="V879" s="51" t="b">
        <v>1</v>
      </c>
      <c r="W879" s="51" t="b">
        <v>1</v>
      </c>
      <c r="X879" s="51" t="b">
        <v>0</v>
      </c>
      <c r="Y879" s="51" t="b">
        <v>1</v>
      </c>
      <c r="Z879" s="51" t="b">
        <v>0</v>
      </c>
      <c r="AA879" s="71">
        <v>0.014849537037037038</v>
      </c>
      <c r="AB879" s="52"/>
      <c r="AC879" s="52"/>
      <c r="AD879" s="121" t="s">
        <v>2944</v>
      </c>
      <c r="AE879" s="56" t="s">
        <v>743</v>
      </c>
      <c r="AF879" s="56" t="s">
        <v>1076</v>
      </c>
    </row>
    <row r="880">
      <c r="A880" s="52" t="s">
        <v>2945</v>
      </c>
      <c r="B880" s="52" t="s">
        <v>607</v>
      </c>
      <c r="C880" s="52" t="s">
        <v>607</v>
      </c>
      <c r="D880" s="65" t="s">
        <v>607</v>
      </c>
      <c r="E880" s="65" t="s">
        <v>607</v>
      </c>
      <c r="F880" s="65" t="s">
        <v>607</v>
      </c>
      <c r="G880" s="65" t="s">
        <v>607</v>
      </c>
      <c r="H880" s="52" t="s">
        <v>607</v>
      </c>
      <c r="I880" s="52" t="s">
        <v>607</v>
      </c>
      <c r="J880" s="52" t="s">
        <v>607</v>
      </c>
      <c r="K880" s="52" t="s">
        <v>607</v>
      </c>
      <c r="L880" s="52" t="s">
        <v>607</v>
      </c>
      <c r="M880" s="52" t="s">
        <v>607</v>
      </c>
      <c r="N880" s="52" t="s">
        <v>607</v>
      </c>
      <c r="O880" s="52"/>
      <c r="P880" s="52"/>
      <c r="Q880" s="52"/>
      <c r="R880" s="51" t="b">
        <v>0</v>
      </c>
      <c r="S880" s="51"/>
      <c r="T880" s="52"/>
      <c r="U880" s="51" t="b">
        <v>0</v>
      </c>
      <c r="V880" s="51" t="b">
        <v>0</v>
      </c>
      <c r="W880" s="51" t="b">
        <v>0</v>
      </c>
      <c r="X880" s="51" t="b">
        <v>0</v>
      </c>
      <c r="Y880" s="51" t="b">
        <v>0</v>
      </c>
      <c r="Z880" s="51" t="b">
        <v>0</v>
      </c>
      <c r="AA880" s="68"/>
      <c r="AB880" s="52"/>
      <c r="AC880" s="52"/>
      <c r="AD880" s="52"/>
      <c r="AE880" s="56" t="s">
        <v>607</v>
      </c>
      <c r="AF880" s="56" t="s">
        <v>607</v>
      </c>
    </row>
    <row r="881">
      <c r="A881" s="52" t="s">
        <v>2946</v>
      </c>
      <c r="B881" s="52" t="s">
        <v>19</v>
      </c>
      <c r="C881" s="52" t="s">
        <v>66</v>
      </c>
      <c r="D881" s="65">
        <v>0.4546064814814816</v>
      </c>
      <c r="E881" s="65">
        <v>3.0092592592592595E-4</v>
      </c>
      <c r="F881" s="65">
        <v>0.4549074074074075</v>
      </c>
      <c r="G881" s="65" t="s">
        <v>210</v>
      </c>
      <c r="H881" s="52" t="s">
        <v>506</v>
      </c>
      <c r="I881" s="52" t="s">
        <v>1015</v>
      </c>
      <c r="J881" s="52"/>
      <c r="K881" s="52"/>
      <c r="L881" s="52"/>
      <c r="M881" s="52"/>
      <c r="N881" s="52" t="s">
        <v>70</v>
      </c>
      <c r="O881" s="69" t="s">
        <v>506</v>
      </c>
      <c r="P881" s="69" t="s">
        <v>30</v>
      </c>
      <c r="Q881" s="80" t="s">
        <v>2947</v>
      </c>
      <c r="R881" s="51" t="b">
        <v>1</v>
      </c>
      <c r="S881" s="110" t="s">
        <v>1015</v>
      </c>
      <c r="T881" s="52"/>
      <c r="U881" s="51" t="b">
        <v>0</v>
      </c>
      <c r="V881" s="51" t="b">
        <v>1</v>
      </c>
      <c r="W881" s="51" t="b">
        <v>1</v>
      </c>
      <c r="X881" s="51" t="b">
        <v>0</v>
      </c>
      <c r="Y881" s="51" t="b">
        <v>1</v>
      </c>
      <c r="Z881" s="51" t="b">
        <v>0</v>
      </c>
      <c r="AA881" s="71">
        <v>3.125E-4</v>
      </c>
      <c r="AB881" s="52"/>
      <c r="AC881" s="52"/>
      <c r="AD881" s="73" t="s">
        <v>2948</v>
      </c>
      <c r="AE881" s="56"/>
      <c r="AF881" s="56" t="s">
        <v>1215</v>
      </c>
    </row>
    <row r="882">
      <c r="A882" s="52" t="s">
        <v>2949</v>
      </c>
      <c r="B882" s="52" t="s">
        <v>19</v>
      </c>
      <c r="C882" s="52" t="s">
        <v>66</v>
      </c>
      <c r="D882" s="65">
        <v>0.692800925925926</v>
      </c>
      <c r="E882" s="65">
        <v>2.314814814814815E-4</v>
      </c>
      <c r="F882" s="65">
        <v>0.6930324074074075</v>
      </c>
      <c r="G882" s="65" t="s">
        <v>210</v>
      </c>
      <c r="H882" s="52" t="s">
        <v>81</v>
      </c>
      <c r="I882" s="52" t="s">
        <v>81</v>
      </c>
      <c r="J882" s="52"/>
      <c r="K882" s="52"/>
      <c r="L882" s="52"/>
      <c r="M882" s="52"/>
      <c r="N882" s="52" t="s">
        <v>70</v>
      </c>
      <c r="O882" s="52"/>
      <c r="P882" s="52"/>
      <c r="Q882" s="52"/>
      <c r="R882" s="51" t="b">
        <v>0</v>
      </c>
      <c r="S882" s="51"/>
      <c r="T882" s="52"/>
      <c r="U882" s="51" t="b">
        <v>0</v>
      </c>
      <c r="V882" s="51" t="b">
        <v>0</v>
      </c>
      <c r="W882" s="51" t="b">
        <v>0</v>
      </c>
      <c r="X882" s="51" t="b">
        <v>0</v>
      </c>
      <c r="Y882" s="51" t="b">
        <v>0</v>
      </c>
      <c r="Z882" s="51" t="b">
        <v>0</v>
      </c>
      <c r="AA882" s="68"/>
      <c r="AB882" s="52"/>
      <c r="AC882" s="52"/>
      <c r="AD882" s="52"/>
      <c r="AE882" s="56"/>
      <c r="AF882" s="56" t="s">
        <v>1944</v>
      </c>
    </row>
    <row r="883">
      <c r="A883" s="52" t="s">
        <v>2950</v>
      </c>
      <c r="B883" s="52" t="s">
        <v>19</v>
      </c>
      <c r="C883" s="52" t="s">
        <v>66</v>
      </c>
      <c r="D883" s="65">
        <v>0.6930324074074075</v>
      </c>
      <c r="E883" s="65">
        <v>0.0020949074074074073</v>
      </c>
      <c r="F883" s="65">
        <v>0.6951273148148148</v>
      </c>
      <c r="G883" s="65" t="s">
        <v>210</v>
      </c>
      <c r="H883" s="52" t="s">
        <v>165</v>
      </c>
      <c r="I883" s="52" t="s">
        <v>1162</v>
      </c>
      <c r="J883" s="52" t="s">
        <v>1164</v>
      </c>
      <c r="K883" s="52"/>
      <c r="L883" s="52"/>
      <c r="M883" s="52"/>
      <c r="N883" s="52" t="s">
        <v>70</v>
      </c>
      <c r="O883" s="52"/>
      <c r="P883" s="69" t="s">
        <v>25</v>
      </c>
      <c r="Q883" s="73" t="s">
        <v>2951</v>
      </c>
      <c r="R883" s="51" t="b">
        <v>1</v>
      </c>
      <c r="S883" s="52" t="s">
        <v>1162</v>
      </c>
      <c r="T883" s="52"/>
      <c r="U883" s="51" t="b">
        <v>0</v>
      </c>
      <c r="V883" s="51" t="b">
        <v>1</v>
      </c>
      <c r="W883" s="51" t="b">
        <v>1</v>
      </c>
      <c r="X883" s="51" t="b">
        <v>0</v>
      </c>
      <c r="Y883" s="51" t="b">
        <v>0</v>
      </c>
      <c r="Z883" s="51" t="b">
        <v>0</v>
      </c>
      <c r="AA883" s="71">
        <v>0.0020949074074074073</v>
      </c>
      <c r="AB883" s="69"/>
      <c r="AC883" s="69"/>
      <c r="AD883" s="155" t="s">
        <v>2952</v>
      </c>
      <c r="AE883" s="74" t="s">
        <v>743</v>
      </c>
      <c r="AF883" s="74" t="s">
        <v>630</v>
      </c>
    </row>
    <row r="884">
      <c r="A884" s="52" t="s">
        <v>2953</v>
      </c>
      <c r="B884" s="52" t="s">
        <v>607</v>
      </c>
      <c r="C884" s="52" t="s">
        <v>607</v>
      </c>
      <c r="D884" s="65" t="s">
        <v>607</v>
      </c>
      <c r="E884" s="65" t="s">
        <v>607</v>
      </c>
      <c r="F884" s="65" t="s">
        <v>607</v>
      </c>
      <c r="G884" s="65" t="s">
        <v>607</v>
      </c>
      <c r="H884" s="52" t="s">
        <v>607</v>
      </c>
      <c r="I884" s="52" t="s">
        <v>607</v>
      </c>
      <c r="J884" s="52" t="s">
        <v>607</v>
      </c>
      <c r="K884" s="52" t="s">
        <v>607</v>
      </c>
      <c r="L884" s="52" t="s">
        <v>607</v>
      </c>
      <c r="M884" s="52" t="s">
        <v>607</v>
      </c>
      <c r="N884" s="52" t="s">
        <v>607</v>
      </c>
      <c r="O884" s="52"/>
      <c r="P884" s="52"/>
      <c r="Q884" s="52"/>
      <c r="R884" s="51" t="b">
        <v>0</v>
      </c>
      <c r="S884" s="51"/>
      <c r="T884" s="52"/>
      <c r="U884" s="51" t="b">
        <v>0</v>
      </c>
      <c r="V884" s="51" t="b">
        <v>0</v>
      </c>
      <c r="W884" s="51" t="b">
        <v>0</v>
      </c>
      <c r="X884" s="51" t="b">
        <v>0</v>
      </c>
      <c r="Y884" s="51" t="b">
        <v>0</v>
      </c>
      <c r="Z884" s="51" t="b">
        <v>0</v>
      </c>
      <c r="AA884" s="68"/>
      <c r="AB884" s="52"/>
      <c r="AC884" s="52"/>
      <c r="AD884" s="52"/>
      <c r="AE884" s="56" t="s">
        <v>607</v>
      </c>
      <c r="AF884" s="56" t="s">
        <v>607</v>
      </c>
    </row>
    <row r="885">
      <c r="A885" s="52" t="s">
        <v>2954</v>
      </c>
      <c r="B885" s="52" t="s">
        <v>607</v>
      </c>
      <c r="C885" s="52" t="s">
        <v>607</v>
      </c>
      <c r="D885" s="65" t="s">
        <v>607</v>
      </c>
      <c r="E885" s="65" t="s">
        <v>607</v>
      </c>
      <c r="F885" s="65" t="s">
        <v>607</v>
      </c>
      <c r="G885" s="65" t="s">
        <v>607</v>
      </c>
      <c r="H885" s="52" t="s">
        <v>607</v>
      </c>
      <c r="I885" s="52" t="s">
        <v>607</v>
      </c>
      <c r="J885" s="52" t="s">
        <v>607</v>
      </c>
      <c r="K885" s="52" t="s">
        <v>607</v>
      </c>
      <c r="L885" s="52" t="s">
        <v>607</v>
      </c>
      <c r="M885" s="52" t="s">
        <v>607</v>
      </c>
      <c r="N885" s="52" t="s">
        <v>607</v>
      </c>
      <c r="O885" s="52"/>
      <c r="P885" s="52"/>
      <c r="Q885" s="52"/>
      <c r="R885" s="51" t="b">
        <v>0</v>
      </c>
      <c r="S885" s="51"/>
      <c r="T885" s="52"/>
      <c r="U885" s="51" t="b">
        <v>0</v>
      </c>
      <c r="V885" s="51" t="b">
        <v>0</v>
      </c>
      <c r="W885" s="51" t="b">
        <v>0</v>
      </c>
      <c r="X885" s="51" t="b">
        <v>0</v>
      </c>
      <c r="Y885" s="51" t="b">
        <v>0</v>
      </c>
      <c r="Z885" s="51" t="b">
        <v>0</v>
      </c>
      <c r="AA885" s="68"/>
      <c r="AB885" s="52"/>
      <c r="AC885" s="52"/>
      <c r="AD885" s="52"/>
      <c r="AE885" s="56" t="s">
        <v>607</v>
      </c>
      <c r="AF885" s="56" t="s">
        <v>607</v>
      </c>
    </row>
    <row r="886">
      <c r="A886" s="52" t="s">
        <v>2955</v>
      </c>
      <c r="B886" s="52" t="s">
        <v>19</v>
      </c>
      <c r="C886" s="52" t="s">
        <v>66</v>
      </c>
      <c r="D886" s="65">
        <v>0.695300925925926</v>
      </c>
      <c r="E886" s="65">
        <v>2.314814814814815E-4</v>
      </c>
      <c r="F886" s="65">
        <v>0.6955324074074074</v>
      </c>
      <c r="G886" s="65" t="s">
        <v>210</v>
      </c>
      <c r="H886" s="52" t="s">
        <v>81</v>
      </c>
      <c r="I886" s="52" t="s">
        <v>81</v>
      </c>
      <c r="J886" s="52"/>
      <c r="K886" s="52"/>
      <c r="L886" s="52"/>
      <c r="M886" s="52"/>
      <c r="N886" s="52" t="s">
        <v>70</v>
      </c>
      <c r="O886" s="52"/>
      <c r="P886" s="52"/>
      <c r="Q886" s="52"/>
      <c r="R886" s="51" t="b">
        <v>0</v>
      </c>
      <c r="S886" s="51"/>
      <c r="T886" s="52"/>
      <c r="U886" s="51" t="b">
        <v>0</v>
      </c>
      <c r="V886" s="51" t="b">
        <v>0</v>
      </c>
      <c r="W886" s="51" t="b">
        <v>0</v>
      </c>
      <c r="X886" s="51" t="b">
        <v>0</v>
      </c>
      <c r="Y886" s="51" t="b">
        <v>0</v>
      </c>
      <c r="Z886" s="51" t="b">
        <v>0</v>
      </c>
      <c r="AA886" s="68"/>
      <c r="AB886" s="52"/>
      <c r="AC886" s="52"/>
      <c r="AD886" s="52"/>
      <c r="AE886" s="56"/>
      <c r="AF886" s="56" t="s">
        <v>1944</v>
      </c>
    </row>
    <row r="887">
      <c r="A887" s="52" t="s">
        <v>2956</v>
      </c>
      <c r="B887" s="52" t="s">
        <v>785</v>
      </c>
      <c r="C887" s="52" t="s">
        <v>66</v>
      </c>
      <c r="D887" s="65">
        <v>0.5682175925925925</v>
      </c>
      <c r="E887" s="65">
        <v>0.011979166666666667</v>
      </c>
      <c r="F887" s="65">
        <v>0.5801967592592592</v>
      </c>
      <c r="G887" s="65" t="s">
        <v>210</v>
      </c>
      <c r="H887" s="52" t="s">
        <v>74</v>
      </c>
      <c r="I887" s="52" t="s">
        <v>1745</v>
      </c>
      <c r="J887" s="52" t="s">
        <v>1746</v>
      </c>
      <c r="K887" s="52" t="s">
        <v>1747</v>
      </c>
      <c r="L887" s="52" t="s">
        <v>1748</v>
      </c>
      <c r="M887" s="52"/>
      <c r="N887" s="52" t="s">
        <v>1749</v>
      </c>
      <c r="O887" s="52"/>
      <c r="P887" s="69" t="s">
        <v>25</v>
      </c>
      <c r="Q887" s="73" t="s">
        <v>2957</v>
      </c>
      <c r="R887" s="51" t="b">
        <v>1</v>
      </c>
      <c r="S887" s="52" t="s">
        <v>2958</v>
      </c>
      <c r="T887" s="52"/>
      <c r="U887" s="51" t="b">
        <v>0</v>
      </c>
      <c r="V887" s="51" t="b">
        <v>1</v>
      </c>
      <c r="W887" s="51" t="b">
        <v>1</v>
      </c>
      <c r="X887" s="51" t="b">
        <v>0</v>
      </c>
      <c r="Y887" s="51" t="b">
        <v>0</v>
      </c>
      <c r="Z887" s="51" t="b">
        <v>0</v>
      </c>
      <c r="AA887" s="71">
        <v>0.01119212962962963</v>
      </c>
      <c r="AB887" s="69"/>
      <c r="AC887" s="69"/>
      <c r="AD887" s="80" t="s">
        <v>2959</v>
      </c>
      <c r="AE887" s="56" t="s">
        <v>629</v>
      </c>
      <c r="AF887" s="56" t="s">
        <v>803</v>
      </c>
    </row>
    <row r="888">
      <c r="A888" s="52" t="s">
        <v>2960</v>
      </c>
      <c r="B888" s="52" t="s">
        <v>19</v>
      </c>
      <c r="C888" s="52" t="s">
        <v>66</v>
      </c>
      <c r="D888" s="65">
        <v>0.7079166666666666</v>
      </c>
      <c r="E888" s="65">
        <v>2.8935185185185184E-4</v>
      </c>
      <c r="F888" s="65">
        <v>0.7082060185185185</v>
      </c>
      <c r="G888" s="65"/>
      <c r="H888" s="52" t="s">
        <v>85</v>
      </c>
      <c r="I888" s="52" t="s">
        <v>85</v>
      </c>
      <c r="J888" s="52"/>
      <c r="K888" s="52"/>
      <c r="L888" s="52"/>
      <c r="M888" s="52"/>
      <c r="N888" s="52"/>
      <c r="O888" s="52"/>
      <c r="P888" s="52"/>
      <c r="Q888" s="52"/>
      <c r="R888" s="51" t="b">
        <v>0</v>
      </c>
      <c r="S888" s="51"/>
      <c r="T888" s="52"/>
      <c r="U888" s="51" t="b">
        <v>0</v>
      </c>
      <c r="V888" s="51" t="b">
        <v>0</v>
      </c>
      <c r="W888" s="51" t="b">
        <v>0</v>
      </c>
      <c r="X888" s="51" t="b">
        <v>0</v>
      </c>
      <c r="Y888" s="51" t="b">
        <v>0</v>
      </c>
      <c r="Z888" s="51" t="b">
        <v>0</v>
      </c>
      <c r="AA888" s="68"/>
      <c r="AB888" s="52"/>
      <c r="AC888" s="52"/>
      <c r="AD888" s="52"/>
      <c r="AE888" s="56"/>
      <c r="AF888" s="56"/>
    </row>
    <row r="889">
      <c r="A889" s="52" t="s">
        <v>2961</v>
      </c>
      <c r="B889" s="52" t="s">
        <v>607</v>
      </c>
      <c r="C889" s="52" t="s">
        <v>607</v>
      </c>
      <c r="D889" s="65" t="s">
        <v>607</v>
      </c>
      <c r="E889" s="65" t="s">
        <v>607</v>
      </c>
      <c r="F889" s="65" t="s">
        <v>607</v>
      </c>
      <c r="G889" s="65" t="s">
        <v>607</v>
      </c>
      <c r="H889" s="52" t="s">
        <v>607</v>
      </c>
      <c r="I889" s="52" t="s">
        <v>607</v>
      </c>
      <c r="J889" s="52" t="s">
        <v>607</v>
      </c>
      <c r="K889" s="52" t="s">
        <v>607</v>
      </c>
      <c r="L889" s="52" t="s">
        <v>607</v>
      </c>
      <c r="M889" s="52" t="s">
        <v>607</v>
      </c>
      <c r="N889" s="52" t="s">
        <v>607</v>
      </c>
      <c r="O889" s="52"/>
      <c r="P889" s="52"/>
      <c r="Q889" s="52"/>
      <c r="R889" s="51" t="b">
        <v>0</v>
      </c>
      <c r="S889" s="51"/>
      <c r="T889" s="52"/>
      <c r="U889" s="51" t="b">
        <v>0</v>
      </c>
      <c r="V889" s="51" t="b">
        <v>0</v>
      </c>
      <c r="W889" s="51" t="b">
        <v>0</v>
      </c>
      <c r="X889" s="51" t="b">
        <v>0</v>
      </c>
      <c r="Y889" s="51" t="b">
        <v>0</v>
      </c>
      <c r="Z889" s="51" t="b">
        <v>0</v>
      </c>
      <c r="AA889" s="68"/>
      <c r="AB889" s="52"/>
      <c r="AC889" s="52"/>
      <c r="AD889" s="52"/>
      <c r="AE889" s="56" t="s">
        <v>607</v>
      </c>
      <c r="AF889" s="56" t="s">
        <v>607</v>
      </c>
    </row>
    <row r="890">
      <c r="A890" s="52" t="s">
        <v>2962</v>
      </c>
      <c r="B890" s="52" t="s">
        <v>19</v>
      </c>
      <c r="C890" s="52" t="s">
        <v>66</v>
      </c>
      <c r="D890" s="65">
        <v>0.7082060185185185</v>
      </c>
      <c r="E890" s="65">
        <v>3.4722222222222224E-4</v>
      </c>
      <c r="F890" s="65">
        <v>0.7085532407407408</v>
      </c>
      <c r="G890" s="65"/>
      <c r="H890" s="52" t="s">
        <v>598</v>
      </c>
      <c r="I890" s="52" t="s">
        <v>1171</v>
      </c>
      <c r="J890" s="52"/>
      <c r="K890" s="52"/>
      <c r="L890" s="52"/>
      <c r="M890" s="52"/>
      <c r="N890" s="52" t="s">
        <v>70</v>
      </c>
      <c r="O890" s="52"/>
      <c r="P890" s="52"/>
      <c r="Q890" s="52"/>
      <c r="R890" s="51" t="b">
        <v>0</v>
      </c>
      <c r="S890" s="51"/>
      <c r="T890" s="52"/>
      <c r="U890" s="51" t="b">
        <v>0</v>
      </c>
      <c r="V890" s="51" t="b">
        <v>0</v>
      </c>
      <c r="W890" s="51" t="b">
        <v>0</v>
      </c>
      <c r="X890" s="51" t="b">
        <v>0</v>
      </c>
      <c r="Y890" s="51" t="b">
        <v>0</v>
      </c>
      <c r="Z890" s="51" t="b">
        <v>0</v>
      </c>
      <c r="AA890" s="68"/>
      <c r="AB890" s="52"/>
      <c r="AC890" s="52"/>
      <c r="AD890" s="52"/>
      <c r="AE890" s="56"/>
      <c r="AF890" s="56" t="s">
        <v>1944</v>
      </c>
    </row>
    <row r="891">
      <c r="A891" s="52" t="s">
        <v>2963</v>
      </c>
      <c r="B891" s="52" t="s">
        <v>19</v>
      </c>
      <c r="C891" s="52" t="s">
        <v>66</v>
      </c>
      <c r="D891" s="65"/>
      <c r="E891" s="65"/>
      <c r="F891" s="65"/>
      <c r="G891" s="65"/>
      <c r="H891" s="52"/>
      <c r="I891" s="52"/>
      <c r="J891" s="52"/>
      <c r="K891" s="52"/>
      <c r="L891" s="52"/>
      <c r="M891" s="52"/>
      <c r="N891" s="52" t="s">
        <v>70</v>
      </c>
      <c r="O891" s="52"/>
      <c r="P891" s="52"/>
      <c r="Q891" s="52"/>
      <c r="R891" s="51" t="b">
        <v>0</v>
      </c>
      <c r="S891" s="51"/>
      <c r="T891" s="52"/>
      <c r="U891" s="51" t="b">
        <v>0</v>
      </c>
      <c r="V891" s="51" t="b">
        <v>0</v>
      </c>
      <c r="W891" s="51" t="b">
        <v>0</v>
      </c>
      <c r="X891" s="51" t="b">
        <v>0</v>
      </c>
      <c r="Y891" s="51" t="b">
        <v>0</v>
      </c>
      <c r="Z891" s="51" t="b">
        <v>0</v>
      </c>
      <c r="AA891" s="68"/>
      <c r="AB891" s="52"/>
      <c r="AC891" s="52"/>
      <c r="AD891" s="52"/>
      <c r="AE891" s="56"/>
      <c r="AF891" s="56"/>
    </row>
    <row r="892">
      <c r="A892" s="52" t="s">
        <v>2964</v>
      </c>
      <c r="B892" s="52" t="s">
        <v>19</v>
      </c>
      <c r="C892" s="52" t="s">
        <v>66</v>
      </c>
      <c r="D892" s="65"/>
      <c r="E892" s="65"/>
      <c r="F892" s="65"/>
      <c r="G892" s="65"/>
      <c r="H892" s="52"/>
      <c r="I892" s="52"/>
      <c r="J892" s="52"/>
      <c r="K892" s="52"/>
      <c r="L892" s="52"/>
      <c r="M892" s="52"/>
      <c r="N892" s="52" t="s">
        <v>70</v>
      </c>
      <c r="O892" s="52"/>
      <c r="P892" s="52"/>
      <c r="Q892" s="52"/>
      <c r="R892" s="51" t="b">
        <v>0</v>
      </c>
      <c r="S892" s="51"/>
      <c r="T892" s="52"/>
      <c r="U892" s="51" t="b">
        <v>0</v>
      </c>
      <c r="V892" s="51" t="b">
        <v>0</v>
      </c>
      <c r="W892" s="51" t="b">
        <v>0</v>
      </c>
      <c r="X892" s="51" t="b">
        <v>0</v>
      </c>
      <c r="Y892" s="51" t="b">
        <v>0</v>
      </c>
      <c r="Z892" s="51" t="b">
        <v>0</v>
      </c>
      <c r="AA892" s="68"/>
      <c r="AB892" s="52"/>
      <c r="AC892" s="52"/>
      <c r="AD892" s="52"/>
      <c r="AE892" s="56"/>
      <c r="AF892" s="56"/>
    </row>
    <row r="893">
      <c r="A893" s="52" t="s">
        <v>2965</v>
      </c>
      <c r="B893" s="52" t="s">
        <v>19</v>
      </c>
      <c r="C893" s="52" t="s">
        <v>66</v>
      </c>
      <c r="D893" s="65"/>
      <c r="E893" s="65"/>
      <c r="F893" s="65"/>
      <c r="G893" s="65"/>
      <c r="H893" s="52"/>
      <c r="I893" s="52"/>
      <c r="J893" s="52"/>
      <c r="K893" s="52"/>
      <c r="L893" s="52"/>
      <c r="M893" s="52"/>
      <c r="N893" s="52" t="s">
        <v>70</v>
      </c>
      <c r="O893" s="52"/>
      <c r="P893" s="52"/>
      <c r="Q893" s="52"/>
      <c r="R893" s="51" t="b">
        <v>0</v>
      </c>
      <c r="S893" s="51"/>
      <c r="T893" s="52"/>
      <c r="U893" s="51" t="b">
        <v>0</v>
      </c>
      <c r="V893" s="51" t="b">
        <v>0</v>
      </c>
      <c r="W893" s="51" t="b">
        <v>0</v>
      </c>
      <c r="X893" s="51" t="b">
        <v>0</v>
      </c>
      <c r="Y893" s="51" t="b">
        <v>0</v>
      </c>
      <c r="Z893" s="51" t="b">
        <v>0</v>
      </c>
      <c r="AA893" s="68"/>
      <c r="AB893" s="52"/>
      <c r="AC893" s="52"/>
      <c r="AD893" s="52"/>
      <c r="AE893" s="56"/>
      <c r="AF893" s="56"/>
    </row>
    <row r="894">
      <c r="A894" s="52" t="s">
        <v>2966</v>
      </c>
      <c r="B894" s="52" t="s">
        <v>19</v>
      </c>
      <c r="C894" s="52" t="s">
        <v>66</v>
      </c>
      <c r="D894" s="65"/>
      <c r="E894" s="65"/>
      <c r="F894" s="65"/>
      <c r="G894" s="65"/>
      <c r="H894" s="52"/>
      <c r="I894" s="52"/>
      <c r="J894" s="52"/>
      <c r="K894" s="52"/>
      <c r="L894" s="52"/>
      <c r="M894" s="52"/>
      <c r="N894" s="52" t="s">
        <v>70</v>
      </c>
      <c r="O894" s="52"/>
      <c r="P894" s="52"/>
      <c r="Q894" s="52"/>
      <c r="R894" s="51" t="b">
        <v>0</v>
      </c>
      <c r="S894" s="51"/>
      <c r="T894" s="52"/>
      <c r="U894" s="51" t="b">
        <v>0</v>
      </c>
      <c r="V894" s="51" t="b">
        <v>0</v>
      </c>
      <c r="W894" s="51" t="b">
        <v>0</v>
      </c>
      <c r="X894" s="51" t="b">
        <v>0</v>
      </c>
      <c r="Y894" s="51" t="b">
        <v>0</v>
      </c>
      <c r="Z894" s="51" t="b">
        <v>0</v>
      </c>
      <c r="AA894" s="68"/>
      <c r="AB894" s="52"/>
      <c r="AC894" s="52"/>
      <c r="AD894" s="52"/>
      <c r="AE894" s="56"/>
      <c r="AF894" s="56"/>
    </row>
    <row r="895">
      <c r="A895" s="52" t="s">
        <v>2967</v>
      </c>
      <c r="B895" s="52" t="s">
        <v>220</v>
      </c>
      <c r="C895" s="52"/>
      <c r="D895" s="65"/>
      <c r="E895" s="65"/>
      <c r="F895" s="65"/>
      <c r="G895" s="65"/>
      <c r="H895" s="52"/>
      <c r="I895" s="52"/>
      <c r="J895" s="52"/>
      <c r="K895" s="52"/>
      <c r="L895" s="52"/>
      <c r="M895" s="52"/>
      <c r="N895" s="52" t="s">
        <v>70</v>
      </c>
      <c r="O895" s="52"/>
      <c r="P895" s="52"/>
      <c r="Q895" s="52"/>
      <c r="R895" s="51" t="b">
        <v>0</v>
      </c>
      <c r="S895" s="51"/>
      <c r="T895" s="52"/>
      <c r="U895" s="51" t="b">
        <v>0</v>
      </c>
      <c r="V895" s="51" t="b">
        <v>0</v>
      </c>
      <c r="W895" s="51" t="b">
        <v>0</v>
      </c>
      <c r="X895" s="51" t="b">
        <v>0</v>
      </c>
      <c r="Y895" s="51" t="b">
        <v>0</v>
      </c>
      <c r="Z895" s="51" t="b">
        <v>0</v>
      </c>
      <c r="AA895" s="68"/>
      <c r="AB895" s="52"/>
      <c r="AC895" s="52"/>
      <c r="AD895" s="52"/>
      <c r="AE895" s="56"/>
      <c r="AF895" s="56"/>
    </row>
    <row r="896">
      <c r="A896" s="52" t="s">
        <v>2968</v>
      </c>
      <c r="B896" s="52" t="s">
        <v>19</v>
      </c>
      <c r="C896" s="52" t="s">
        <v>221</v>
      </c>
      <c r="D896" s="65">
        <v>0.4166666666666667</v>
      </c>
      <c r="E896" s="65">
        <v>0.0010416666666666667</v>
      </c>
      <c r="F896" s="65">
        <v>0.41770833333333335</v>
      </c>
      <c r="G896" s="65" t="s">
        <v>106</v>
      </c>
      <c r="H896" s="52" t="s">
        <v>67</v>
      </c>
      <c r="I896" s="52" t="s">
        <v>67</v>
      </c>
      <c r="J896" s="52"/>
      <c r="K896" s="52"/>
      <c r="L896" s="52"/>
      <c r="M896" s="52"/>
      <c r="N896" s="52" t="s">
        <v>70</v>
      </c>
      <c r="O896" s="52"/>
      <c r="P896" s="52"/>
      <c r="Q896" s="52"/>
      <c r="R896" s="51" t="b">
        <v>0</v>
      </c>
      <c r="S896" s="51"/>
      <c r="T896" s="52"/>
      <c r="U896" s="51" t="b">
        <v>0</v>
      </c>
      <c r="V896" s="51" t="b">
        <v>0</v>
      </c>
      <c r="W896" s="51" t="b">
        <v>0</v>
      </c>
      <c r="X896" s="51" t="b">
        <v>0</v>
      </c>
      <c r="Y896" s="51" t="b">
        <v>0</v>
      </c>
      <c r="Z896" s="51" t="b">
        <v>0</v>
      </c>
      <c r="AA896" s="68"/>
      <c r="AB896" s="52"/>
      <c r="AC896" s="52"/>
      <c r="AD896" s="52"/>
      <c r="AE896" s="56"/>
      <c r="AF896" s="56"/>
    </row>
    <row r="897">
      <c r="A897" s="52" t="s">
        <v>2969</v>
      </c>
      <c r="B897" s="52" t="s">
        <v>19</v>
      </c>
      <c r="C897" s="52" t="s">
        <v>221</v>
      </c>
      <c r="D897" s="65">
        <v>0.41770833333333335</v>
      </c>
      <c r="E897" s="65">
        <v>3.4722222222222224E-4</v>
      </c>
      <c r="F897" s="65">
        <v>0.41805555555555557</v>
      </c>
      <c r="G897" s="65" t="s">
        <v>106</v>
      </c>
      <c r="H897" s="52" t="s">
        <v>81</v>
      </c>
      <c r="I897" s="52" t="s">
        <v>81</v>
      </c>
      <c r="J897" s="52"/>
      <c r="K897" s="52"/>
      <c r="L897" s="52"/>
      <c r="M897" s="52"/>
      <c r="N897" s="52" t="s">
        <v>70</v>
      </c>
      <c r="O897" s="52"/>
      <c r="P897" s="52"/>
      <c r="Q897" s="52"/>
      <c r="R897" s="51" t="b">
        <v>0</v>
      </c>
      <c r="S897" s="51"/>
      <c r="T897" s="52"/>
      <c r="U897" s="51" t="b">
        <v>0</v>
      </c>
      <c r="V897" s="51" t="b">
        <v>0</v>
      </c>
      <c r="W897" s="51" t="b">
        <v>0</v>
      </c>
      <c r="X897" s="51" t="b">
        <v>0</v>
      </c>
      <c r="Y897" s="51" t="b">
        <v>0</v>
      </c>
      <c r="Z897" s="51" t="b">
        <v>0</v>
      </c>
      <c r="AA897" s="68"/>
      <c r="AB897" s="52"/>
      <c r="AC897" s="52"/>
      <c r="AD897" s="52"/>
      <c r="AE897" s="56"/>
      <c r="AF897" s="56" t="s">
        <v>1944</v>
      </c>
    </row>
    <row r="898">
      <c r="A898" s="52" t="s">
        <v>2970</v>
      </c>
      <c r="B898" s="52" t="s">
        <v>19</v>
      </c>
      <c r="C898" s="52" t="s">
        <v>221</v>
      </c>
      <c r="D898" s="65">
        <v>0.41805555555555557</v>
      </c>
      <c r="E898" s="65">
        <v>0.009895833333333333</v>
      </c>
      <c r="F898" s="65">
        <v>0.4279513888888889</v>
      </c>
      <c r="G898" s="65" t="s">
        <v>106</v>
      </c>
      <c r="H898" s="52" t="s">
        <v>107</v>
      </c>
      <c r="I898" s="52" t="s">
        <v>1178</v>
      </c>
      <c r="J898" s="52" t="s">
        <v>1179</v>
      </c>
      <c r="K898" s="52" t="s">
        <v>1180</v>
      </c>
      <c r="L898" s="52"/>
      <c r="M898" s="52"/>
      <c r="N898" s="52" t="s">
        <v>1183</v>
      </c>
      <c r="O898" s="52"/>
      <c r="P898" s="69"/>
      <c r="Q898" s="52"/>
      <c r="R898" s="51" t="b">
        <v>0</v>
      </c>
      <c r="S898" s="51"/>
      <c r="T898" s="52"/>
      <c r="U898" s="51" t="b">
        <v>0</v>
      </c>
      <c r="V898" s="51" t="b">
        <v>0</v>
      </c>
      <c r="W898" s="51" t="b">
        <v>0</v>
      </c>
      <c r="X898" s="51" t="b">
        <v>0</v>
      </c>
      <c r="Y898" s="51" t="b">
        <v>0</v>
      </c>
      <c r="Z898" s="51" t="b">
        <v>0</v>
      </c>
      <c r="AA898" s="68"/>
      <c r="AB898" s="52"/>
      <c r="AC898" s="52"/>
      <c r="AD898" s="52"/>
      <c r="AE898" s="56" t="s">
        <v>1499</v>
      </c>
      <c r="AF898" s="56" t="s">
        <v>1253</v>
      </c>
    </row>
    <row r="899">
      <c r="A899" s="52" t="s">
        <v>2971</v>
      </c>
      <c r="B899" s="52" t="s">
        <v>607</v>
      </c>
      <c r="C899" s="52" t="s">
        <v>607</v>
      </c>
      <c r="D899" s="65" t="s">
        <v>607</v>
      </c>
      <c r="E899" s="65" t="s">
        <v>607</v>
      </c>
      <c r="F899" s="65" t="s">
        <v>607</v>
      </c>
      <c r="G899" s="65" t="s">
        <v>607</v>
      </c>
      <c r="H899" s="52" t="s">
        <v>607</v>
      </c>
      <c r="I899" s="52" t="s">
        <v>607</v>
      </c>
      <c r="J899" s="52" t="s">
        <v>607</v>
      </c>
      <c r="K899" s="52" t="s">
        <v>607</v>
      </c>
      <c r="L899" s="52" t="s">
        <v>607</v>
      </c>
      <c r="M899" s="52" t="s">
        <v>607</v>
      </c>
      <c r="N899" s="52" t="s">
        <v>607</v>
      </c>
      <c r="O899" s="52"/>
      <c r="P899" s="52"/>
      <c r="Q899" s="52"/>
      <c r="R899" s="51" t="b">
        <v>0</v>
      </c>
      <c r="S899" s="51"/>
      <c r="T899" s="52"/>
      <c r="U899" s="51" t="b">
        <v>0</v>
      </c>
      <c r="V899" s="51" t="b">
        <v>0</v>
      </c>
      <c r="W899" s="51" t="b">
        <v>0</v>
      </c>
      <c r="X899" s="51" t="b">
        <v>0</v>
      </c>
      <c r="Y899" s="51" t="b">
        <v>0</v>
      </c>
      <c r="Z899" s="51" t="b">
        <v>0</v>
      </c>
      <c r="AA899" s="68"/>
      <c r="AB899" s="52"/>
      <c r="AC899" s="52"/>
      <c r="AD899" s="52"/>
      <c r="AE899" s="56" t="s">
        <v>607</v>
      </c>
      <c r="AF899" s="56" t="s">
        <v>607</v>
      </c>
    </row>
    <row r="900">
      <c r="A900" s="52" t="s">
        <v>2972</v>
      </c>
      <c r="B900" s="52" t="s">
        <v>19</v>
      </c>
      <c r="C900" s="52" t="s">
        <v>221</v>
      </c>
      <c r="D900" s="65">
        <v>0.42812500000000003</v>
      </c>
      <c r="E900" s="65">
        <v>2.314814814814815E-4</v>
      </c>
      <c r="F900" s="65">
        <v>0.42835648148148153</v>
      </c>
      <c r="G900" s="65" t="s">
        <v>106</v>
      </c>
      <c r="H900" s="52" t="s">
        <v>81</v>
      </c>
      <c r="I900" s="52" t="s">
        <v>81</v>
      </c>
      <c r="J900" s="52"/>
      <c r="K900" s="52"/>
      <c r="L900" s="52"/>
      <c r="M900" s="52"/>
      <c r="N900" s="52" t="s">
        <v>70</v>
      </c>
      <c r="O900" s="52"/>
      <c r="P900" s="52"/>
      <c r="Q900" s="52"/>
      <c r="R900" s="51" t="b">
        <v>0</v>
      </c>
      <c r="S900" s="51"/>
      <c r="T900" s="52"/>
      <c r="U900" s="51" t="b">
        <v>0</v>
      </c>
      <c r="V900" s="51" t="b">
        <v>0</v>
      </c>
      <c r="W900" s="51" t="b">
        <v>0</v>
      </c>
      <c r="X900" s="51" t="b">
        <v>0</v>
      </c>
      <c r="Y900" s="51" t="b">
        <v>0</v>
      </c>
      <c r="Z900" s="51" t="b">
        <v>0</v>
      </c>
      <c r="AA900" s="68"/>
      <c r="AB900" s="52"/>
      <c r="AC900" s="52"/>
      <c r="AD900" s="52"/>
      <c r="AE900" s="56"/>
      <c r="AF900" s="56" t="s">
        <v>1944</v>
      </c>
    </row>
    <row r="901">
      <c r="A901" s="52" t="s">
        <v>2973</v>
      </c>
      <c r="B901" s="52" t="s">
        <v>19</v>
      </c>
      <c r="C901" s="52" t="s">
        <v>221</v>
      </c>
      <c r="D901" s="65">
        <v>0.42835648148148153</v>
      </c>
      <c r="E901" s="65">
        <v>0.013888888888888888</v>
      </c>
      <c r="F901" s="65">
        <v>0.4422453703703704</v>
      </c>
      <c r="G901" s="65" t="s">
        <v>106</v>
      </c>
      <c r="H901" s="52" t="s">
        <v>94</v>
      </c>
      <c r="I901" s="52" t="s">
        <v>1187</v>
      </c>
      <c r="J901" s="52" t="s">
        <v>1188</v>
      </c>
      <c r="K901" s="52"/>
      <c r="L901" s="52"/>
      <c r="M901" s="52"/>
      <c r="N901" s="52" t="s">
        <v>495</v>
      </c>
      <c r="O901" s="52"/>
      <c r="P901" s="69"/>
      <c r="Q901" s="52"/>
      <c r="R901" s="51" t="b">
        <v>0</v>
      </c>
      <c r="S901" s="51"/>
      <c r="T901" s="52"/>
      <c r="U901" s="51" t="b">
        <v>0</v>
      </c>
      <c r="V901" s="51" t="b">
        <v>0</v>
      </c>
      <c r="W901" s="51" t="b">
        <v>0</v>
      </c>
      <c r="X901" s="51" t="b">
        <v>0</v>
      </c>
      <c r="Y901" s="51" t="b">
        <v>0</v>
      </c>
      <c r="Z901" s="51" t="b">
        <v>0</v>
      </c>
      <c r="AA901" s="68"/>
      <c r="AB901" s="52"/>
      <c r="AC901" s="52"/>
      <c r="AD901" s="52"/>
      <c r="AE901" s="56" t="s">
        <v>652</v>
      </c>
      <c r="AF901" s="56" t="s">
        <v>726</v>
      </c>
    </row>
    <row r="902">
      <c r="A902" s="52" t="s">
        <v>2974</v>
      </c>
      <c r="B902" s="52" t="s">
        <v>607</v>
      </c>
      <c r="C902" s="52" t="s">
        <v>607</v>
      </c>
      <c r="D902" s="65" t="s">
        <v>607</v>
      </c>
      <c r="E902" s="65" t="s">
        <v>607</v>
      </c>
      <c r="F902" s="65" t="s">
        <v>607</v>
      </c>
      <c r="G902" s="65" t="s">
        <v>607</v>
      </c>
      <c r="H902" s="52" t="s">
        <v>607</v>
      </c>
      <c r="I902" s="52" t="s">
        <v>607</v>
      </c>
      <c r="J902" s="52" t="s">
        <v>607</v>
      </c>
      <c r="K902" s="52" t="s">
        <v>607</v>
      </c>
      <c r="L902" s="52" t="s">
        <v>607</v>
      </c>
      <c r="M902" s="52" t="s">
        <v>607</v>
      </c>
      <c r="N902" s="52" t="s">
        <v>607</v>
      </c>
      <c r="O902" s="52"/>
      <c r="P902" s="52"/>
      <c r="Q902" s="52"/>
      <c r="R902" s="51" t="b">
        <v>0</v>
      </c>
      <c r="S902" s="51"/>
      <c r="T902" s="52"/>
      <c r="U902" s="51" t="b">
        <v>0</v>
      </c>
      <c r="V902" s="51" t="b">
        <v>0</v>
      </c>
      <c r="W902" s="51" t="b">
        <v>0</v>
      </c>
      <c r="X902" s="51" t="b">
        <v>0</v>
      </c>
      <c r="Y902" s="51" t="b">
        <v>0</v>
      </c>
      <c r="Z902" s="51" t="b">
        <v>0</v>
      </c>
      <c r="AA902" s="68"/>
      <c r="AB902" s="52"/>
      <c r="AC902" s="52"/>
      <c r="AD902" s="52"/>
      <c r="AE902" s="56" t="s">
        <v>607</v>
      </c>
      <c r="AF902" s="56" t="s">
        <v>607</v>
      </c>
    </row>
    <row r="903">
      <c r="A903" s="52" t="s">
        <v>2975</v>
      </c>
      <c r="B903" s="52" t="s">
        <v>19</v>
      </c>
      <c r="C903" s="52" t="s">
        <v>221</v>
      </c>
      <c r="D903" s="65">
        <v>0.4431018518518519</v>
      </c>
      <c r="E903" s="65">
        <v>3.4722222222222224E-4</v>
      </c>
      <c r="F903" s="65">
        <v>0.44344907407407413</v>
      </c>
      <c r="G903" s="65" t="s">
        <v>106</v>
      </c>
      <c r="H903" s="52" t="s">
        <v>511</v>
      </c>
      <c r="I903" s="52" t="s">
        <v>1191</v>
      </c>
      <c r="J903" s="52"/>
      <c r="K903" s="52"/>
      <c r="L903" s="52"/>
      <c r="M903" s="52"/>
      <c r="N903" s="52" t="s">
        <v>70</v>
      </c>
      <c r="O903" s="52"/>
      <c r="P903" s="52"/>
      <c r="Q903" s="52"/>
      <c r="R903" s="51" t="b">
        <v>0</v>
      </c>
      <c r="S903" s="51"/>
      <c r="T903" s="52"/>
      <c r="U903" s="51" t="b">
        <v>0</v>
      </c>
      <c r="V903" s="51" t="b">
        <v>0</v>
      </c>
      <c r="W903" s="51" t="b">
        <v>0</v>
      </c>
      <c r="X903" s="51" t="b">
        <v>0</v>
      </c>
      <c r="Y903" s="51" t="b">
        <v>0</v>
      </c>
      <c r="Z903" s="51" t="b">
        <v>0</v>
      </c>
      <c r="AA903" s="68"/>
      <c r="AB903" s="52"/>
      <c r="AC903" s="52"/>
      <c r="AD903" s="52"/>
      <c r="AE903" s="56"/>
      <c r="AF903" s="56" t="s">
        <v>1944</v>
      </c>
    </row>
    <row r="904">
      <c r="A904" s="52" t="s">
        <v>2976</v>
      </c>
      <c r="B904" s="52" t="s">
        <v>19</v>
      </c>
      <c r="C904" s="52" t="s">
        <v>289</v>
      </c>
      <c r="D904" s="65">
        <v>0.5256018518518518</v>
      </c>
      <c r="E904" s="65">
        <v>0.0</v>
      </c>
      <c r="F904" s="65">
        <v>0.5256018518518518</v>
      </c>
      <c r="G904" s="65" t="s">
        <v>106</v>
      </c>
      <c r="H904" s="52" t="s">
        <v>81</v>
      </c>
      <c r="I904" s="52" t="s">
        <v>81</v>
      </c>
      <c r="J904" s="52"/>
      <c r="K904" s="52"/>
      <c r="L904" s="52"/>
      <c r="M904" s="52"/>
      <c r="N904" s="52" t="s">
        <v>70</v>
      </c>
      <c r="O904" s="52"/>
      <c r="P904" s="52"/>
      <c r="Q904" s="52"/>
      <c r="R904" s="51" t="b">
        <v>0</v>
      </c>
      <c r="S904" s="51"/>
      <c r="T904" s="52"/>
      <c r="U904" s="51" t="b">
        <v>0</v>
      </c>
      <c r="V904" s="51" t="b">
        <v>0</v>
      </c>
      <c r="W904" s="51" t="b">
        <v>0</v>
      </c>
      <c r="X904" s="51" t="b">
        <v>0</v>
      </c>
      <c r="Y904" s="51" t="b">
        <v>0</v>
      </c>
      <c r="Z904" s="51" t="b">
        <v>0</v>
      </c>
      <c r="AA904" s="68"/>
      <c r="AB904" s="52"/>
      <c r="AC904" s="52"/>
      <c r="AD904" s="52"/>
      <c r="AE904" s="56"/>
      <c r="AF904" s="56" t="s">
        <v>1944</v>
      </c>
    </row>
    <row r="905">
      <c r="A905" s="52" t="s">
        <v>2977</v>
      </c>
      <c r="B905" s="52" t="s">
        <v>19</v>
      </c>
      <c r="C905" s="52" t="s">
        <v>289</v>
      </c>
      <c r="D905" s="65">
        <v>0.5256018518518518</v>
      </c>
      <c r="E905" s="65">
        <v>0.01355324074074074</v>
      </c>
      <c r="F905" s="65">
        <v>0.5391550925925925</v>
      </c>
      <c r="G905" s="65" t="s">
        <v>106</v>
      </c>
      <c r="H905" s="52" t="s">
        <v>94</v>
      </c>
      <c r="I905" s="52" t="s">
        <v>1378</v>
      </c>
      <c r="J905" s="52" t="s">
        <v>1379</v>
      </c>
      <c r="K905" s="52"/>
      <c r="L905" s="52"/>
      <c r="M905" s="52"/>
      <c r="N905" s="52" t="s">
        <v>1380</v>
      </c>
      <c r="O905" s="52"/>
      <c r="P905" s="69" t="s">
        <v>20</v>
      </c>
      <c r="Q905" s="80" t="s">
        <v>2978</v>
      </c>
      <c r="R905" s="51" t="b">
        <v>1</v>
      </c>
      <c r="S905" s="52" t="s">
        <v>1378</v>
      </c>
      <c r="T905" s="52"/>
      <c r="U905" s="51" t="b">
        <v>0</v>
      </c>
      <c r="V905" s="51" t="b">
        <v>1</v>
      </c>
      <c r="W905" s="51" t="b">
        <v>1</v>
      </c>
      <c r="X905" s="51" t="b">
        <v>0</v>
      </c>
      <c r="Y905" s="51" t="b">
        <v>0</v>
      </c>
      <c r="Z905" s="51" t="b">
        <v>0</v>
      </c>
      <c r="AA905" s="71">
        <v>0.01355324074074074</v>
      </c>
      <c r="AB905" s="69" t="s">
        <v>2979</v>
      </c>
      <c r="AC905" s="52"/>
      <c r="AD905" s="73" t="s">
        <v>2980</v>
      </c>
      <c r="AE905" s="56" t="s">
        <v>629</v>
      </c>
      <c r="AF905" s="56" t="s">
        <v>1076</v>
      </c>
    </row>
    <row r="906">
      <c r="A906" s="52" t="s">
        <v>2981</v>
      </c>
      <c r="B906" s="52" t="s">
        <v>19</v>
      </c>
      <c r="C906" s="52" t="s">
        <v>289</v>
      </c>
      <c r="D906" s="65">
        <v>0.5391550925925925</v>
      </c>
      <c r="E906" s="65">
        <v>1.7361111111111112E-4</v>
      </c>
      <c r="F906" s="65">
        <v>0.5393287037037037</v>
      </c>
      <c r="G906" s="65" t="s">
        <v>106</v>
      </c>
      <c r="H906" s="52" t="s">
        <v>85</v>
      </c>
      <c r="I906" s="52" t="s">
        <v>85</v>
      </c>
      <c r="J906" s="52"/>
      <c r="K906" s="52"/>
      <c r="L906" s="52"/>
      <c r="M906" s="52"/>
      <c r="N906" s="52" t="s">
        <v>70</v>
      </c>
      <c r="O906" s="52"/>
      <c r="P906" s="52"/>
      <c r="Q906" s="52"/>
      <c r="R906" s="51" t="b">
        <v>0</v>
      </c>
      <c r="S906" s="51"/>
      <c r="T906" s="52"/>
      <c r="U906" s="51" t="b">
        <v>0</v>
      </c>
      <c r="V906" s="51" t="b">
        <v>0</v>
      </c>
      <c r="W906" s="51" t="b">
        <v>0</v>
      </c>
      <c r="X906" s="51" t="b">
        <v>0</v>
      </c>
      <c r="Y906" s="51" t="b">
        <v>0</v>
      </c>
      <c r="Z906" s="51" t="b">
        <v>0</v>
      </c>
      <c r="AA906" s="68"/>
      <c r="AB906" s="52"/>
      <c r="AC906" s="52"/>
      <c r="AD906" s="52"/>
      <c r="AE906" s="56"/>
      <c r="AF906" s="56" t="s">
        <v>1944</v>
      </c>
    </row>
    <row r="907">
      <c r="A907" s="52" t="s">
        <v>2982</v>
      </c>
      <c r="B907" s="52" t="s">
        <v>19</v>
      </c>
      <c r="C907" s="52" t="s">
        <v>221</v>
      </c>
      <c r="D907" s="65">
        <v>0.44293981481481487</v>
      </c>
      <c r="E907" s="65">
        <v>1.6203703703703703E-4</v>
      </c>
      <c r="F907" s="65">
        <v>0.4431018518518519</v>
      </c>
      <c r="G907" s="65" t="s">
        <v>106</v>
      </c>
      <c r="H907" s="52" t="s">
        <v>506</v>
      </c>
      <c r="I907" s="52" t="s">
        <v>1190</v>
      </c>
      <c r="J907" s="52"/>
      <c r="K907" s="52"/>
      <c r="L907" s="52"/>
      <c r="M907" s="52"/>
      <c r="N907" s="52" t="s">
        <v>70</v>
      </c>
      <c r="O907" s="52"/>
      <c r="P907" s="52"/>
      <c r="Q907" s="52"/>
      <c r="R907" s="51" t="b">
        <v>0</v>
      </c>
      <c r="S907" s="51"/>
      <c r="T907" s="52"/>
      <c r="U907" s="51" t="b">
        <v>0</v>
      </c>
      <c r="V907" s="51" t="b">
        <v>0</v>
      </c>
      <c r="W907" s="51" t="b">
        <v>0</v>
      </c>
      <c r="X907" s="51" t="b">
        <v>0</v>
      </c>
      <c r="Y907" s="51" t="b">
        <v>0</v>
      </c>
      <c r="Z907" s="51" t="b">
        <v>0</v>
      </c>
      <c r="AA907" s="68"/>
      <c r="AB907" s="52"/>
      <c r="AC907" s="52"/>
      <c r="AD907" s="52"/>
      <c r="AE907" s="56"/>
      <c r="AF907" s="56" t="s">
        <v>1215</v>
      </c>
    </row>
    <row r="908">
      <c r="A908" s="52" t="s">
        <v>2983</v>
      </c>
      <c r="B908" s="52" t="s">
        <v>607</v>
      </c>
      <c r="C908" s="52" t="s">
        <v>607</v>
      </c>
      <c r="D908" s="65" t="s">
        <v>607</v>
      </c>
      <c r="E908" s="65" t="s">
        <v>607</v>
      </c>
      <c r="F908" s="65" t="s">
        <v>607</v>
      </c>
      <c r="G908" s="65" t="s">
        <v>607</v>
      </c>
      <c r="H908" s="52" t="s">
        <v>607</v>
      </c>
      <c r="I908" s="52" t="s">
        <v>607</v>
      </c>
      <c r="J908" s="52" t="s">
        <v>607</v>
      </c>
      <c r="K908" s="52" t="s">
        <v>607</v>
      </c>
      <c r="L908" s="52" t="s">
        <v>607</v>
      </c>
      <c r="M908" s="52" t="s">
        <v>607</v>
      </c>
      <c r="N908" s="52" t="s">
        <v>607</v>
      </c>
      <c r="O908" s="52"/>
      <c r="P908" s="52"/>
      <c r="Q908" s="52"/>
      <c r="R908" s="51" t="b">
        <v>0</v>
      </c>
      <c r="S908" s="51"/>
      <c r="T908" s="52"/>
      <c r="U908" s="51" t="b">
        <v>0</v>
      </c>
      <c r="V908" s="51" t="b">
        <v>0</v>
      </c>
      <c r="W908" s="51" t="b">
        <v>0</v>
      </c>
      <c r="X908" s="51" t="b">
        <v>0</v>
      </c>
      <c r="Y908" s="51" t="b">
        <v>0</v>
      </c>
      <c r="Z908" s="51" t="b">
        <v>0</v>
      </c>
      <c r="AA908" s="68"/>
      <c r="AB908" s="52"/>
      <c r="AC908" s="52"/>
      <c r="AD908" s="52"/>
      <c r="AE908" s="56" t="s">
        <v>607</v>
      </c>
      <c r="AF908" s="56" t="s">
        <v>607</v>
      </c>
    </row>
    <row r="909">
      <c r="A909" s="52" t="s">
        <v>2984</v>
      </c>
      <c r="B909" s="52" t="s">
        <v>607</v>
      </c>
      <c r="C909" s="52" t="s">
        <v>607</v>
      </c>
      <c r="D909" s="65" t="s">
        <v>607</v>
      </c>
      <c r="E909" s="65" t="s">
        <v>607</v>
      </c>
      <c r="F909" s="65" t="s">
        <v>607</v>
      </c>
      <c r="G909" s="65" t="s">
        <v>607</v>
      </c>
      <c r="H909" s="52" t="s">
        <v>607</v>
      </c>
      <c r="I909" s="52" t="s">
        <v>607</v>
      </c>
      <c r="J909" s="52" t="s">
        <v>607</v>
      </c>
      <c r="K909" s="52" t="s">
        <v>607</v>
      </c>
      <c r="L909" s="52" t="s">
        <v>607</v>
      </c>
      <c r="M909" s="52" t="s">
        <v>607</v>
      </c>
      <c r="N909" s="52" t="s">
        <v>607</v>
      </c>
      <c r="O909" s="52"/>
      <c r="P909" s="69"/>
      <c r="Q909" s="92" t="s">
        <v>1030</v>
      </c>
      <c r="R909" s="51" t="b">
        <v>0</v>
      </c>
      <c r="S909" s="51"/>
      <c r="T909" s="52"/>
      <c r="U909" s="51" t="b">
        <v>0</v>
      </c>
      <c r="V909" s="51" t="b">
        <v>0</v>
      </c>
      <c r="W909" s="51" t="b">
        <v>0</v>
      </c>
      <c r="X909" s="51" t="b">
        <v>0</v>
      </c>
      <c r="Y909" s="51" t="b">
        <v>0</v>
      </c>
      <c r="Z909" s="51" t="b">
        <v>0</v>
      </c>
      <c r="AA909" s="68"/>
      <c r="AB909" s="52"/>
      <c r="AC909" s="52"/>
      <c r="AD909" s="52"/>
      <c r="AE909" s="56" t="s">
        <v>607</v>
      </c>
      <c r="AF909" s="56" t="s">
        <v>607</v>
      </c>
    </row>
    <row r="910">
      <c r="A910" s="52" t="s">
        <v>2985</v>
      </c>
      <c r="B910" s="52" t="s">
        <v>607</v>
      </c>
      <c r="C910" s="52" t="s">
        <v>607</v>
      </c>
      <c r="D910" s="65" t="s">
        <v>607</v>
      </c>
      <c r="E910" s="65" t="s">
        <v>607</v>
      </c>
      <c r="F910" s="65" t="s">
        <v>607</v>
      </c>
      <c r="G910" s="65" t="s">
        <v>607</v>
      </c>
      <c r="H910" s="52" t="s">
        <v>607</v>
      </c>
      <c r="I910" s="52" t="s">
        <v>607</v>
      </c>
      <c r="J910" s="52" t="s">
        <v>607</v>
      </c>
      <c r="K910" s="52" t="s">
        <v>607</v>
      </c>
      <c r="L910" s="52" t="s">
        <v>607</v>
      </c>
      <c r="M910" s="52" t="s">
        <v>607</v>
      </c>
      <c r="N910" s="52" t="s">
        <v>607</v>
      </c>
      <c r="O910" s="52"/>
      <c r="P910" s="52"/>
      <c r="Q910" s="52"/>
      <c r="R910" s="51" t="b">
        <v>0</v>
      </c>
      <c r="S910" s="51"/>
      <c r="T910" s="52"/>
      <c r="U910" s="51" t="b">
        <v>0</v>
      </c>
      <c r="V910" s="51" t="b">
        <v>0</v>
      </c>
      <c r="W910" s="51" t="b">
        <v>0</v>
      </c>
      <c r="X910" s="51" t="b">
        <v>0</v>
      </c>
      <c r="Y910" s="51" t="b">
        <v>0</v>
      </c>
      <c r="Z910" s="51" t="b">
        <v>0</v>
      </c>
      <c r="AA910" s="68"/>
      <c r="AB910" s="52"/>
      <c r="AC910" s="52"/>
      <c r="AD910" s="52"/>
      <c r="AE910" s="56" t="s">
        <v>607</v>
      </c>
      <c r="AF910" s="56" t="s">
        <v>607</v>
      </c>
    </row>
    <row r="911">
      <c r="A911" s="52" t="s">
        <v>2986</v>
      </c>
      <c r="B911" s="52" t="s">
        <v>19</v>
      </c>
      <c r="C911" s="52" t="s">
        <v>221</v>
      </c>
      <c r="D911" s="65">
        <v>0.4672222222222222</v>
      </c>
      <c r="E911" s="65">
        <v>1.7361111111111112E-4</v>
      </c>
      <c r="F911" s="65">
        <v>0.46739583333333334</v>
      </c>
      <c r="G911" s="65" t="s">
        <v>358</v>
      </c>
      <c r="H911" s="52" t="s">
        <v>77</v>
      </c>
      <c r="I911" s="52" t="s">
        <v>993</v>
      </c>
      <c r="J911" s="52"/>
      <c r="K911" s="52"/>
      <c r="L911" s="52"/>
      <c r="M911" s="52"/>
      <c r="N911" s="52" t="s">
        <v>70</v>
      </c>
      <c r="O911" s="52"/>
      <c r="P911" s="52"/>
      <c r="Q911" s="52"/>
      <c r="R911" s="51" t="b">
        <v>0</v>
      </c>
      <c r="S911" s="51"/>
      <c r="T911" s="52"/>
      <c r="U911" s="51" t="b">
        <v>0</v>
      </c>
      <c r="V911" s="51" t="b">
        <v>0</v>
      </c>
      <c r="W911" s="51" t="b">
        <v>0</v>
      </c>
      <c r="X911" s="51" t="b">
        <v>0</v>
      </c>
      <c r="Y911" s="51" t="b">
        <v>0</v>
      </c>
      <c r="Z911" s="51" t="b">
        <v>0</v>
      </c>
      <c r="AA911" s="68"/>
      <c r="AB911" s="52"/>
      <c r="AC911" s="52"/>
      <c r="AD911" s="52"/>
      <c r="AE911" s="56"/>
      <c r="AF911" s="56" t="s">
        <v>2004</v>
      </c>
    </row>
    <row r="912">
      <c r="A912" s="52" t="s">
        <v>2987</v>
      </c>
      <c r="B912" s="52" t="s">
        <v>19</v>
      </c>
      <c r="C912" s="52" t="s">
        <v>221</v>
      </c>
      <c r="D912" s="65">
        <v>0.46739583333333334</v>
      </c>
      <c r="E912" s="65">
        <v>2.314814814814815E-4</v>
      </c>
      <c r="F912" s="65">
        <v>0.46762731481481484</v>
      </c>
      <c r="G912" s="65" t="s">
        <v>358</v>
      </c>
      <c r="H912" s="52" t="s">
        <v>81</v>
      </c>
      <c r="I912" s="52" t="s">
        <v>81</v>
      </c>
      <c r="J912" s="52"/>
      <c r="K912" s="52"/>
      <c r="L912" s="52"/>
      <c r="M912" s="52"/>
      <c r="N912" s="52" t="s">
        <v>70</v>
      </c>
      <c r="O912" s="52"/>
      <c r="P912" s="52"/>
      <c r="Q912" s="52"/>
      <c r="R912" s="51" t="b">
        <v>0</v>
      </c>
      <c r="S912" s="51"/>
      <c r="T912" s="52"/>
      <c r="U912" s="51" t="b">
        <v>0</v>
      </c>
      <c r="V912" s="51" t="b">
        <v>0</v>
      </c>
      <c r="W912" s="51" t="b">
        <v>0</v>
      </c>
      <c r="X912" s="51" t="b">
        <v>0</v>
      </c>
      <c r="Y912" s="51" t="b">
        <v>0</v>
      </c>
      <c r="Z912" s="51" t="b">
        <v>0</v>
      </c>
      <c r="AA912" s="68"/>
      <c r="AB912" s="52"/>
      <c r="AC912" s="52"/>
      <c r="AD912" s="52"/>
      <c r="AE912" s="56"/>
      <c r="AF912" s="56" t="s">
        <v>1944</v>
      </c>
    </row>
    <row r="913">
      <c r="A913" s="52" t="s">
        <v>2988</v>
      </c>
      <c r="B913" s="52" t="s">
        <v>19</v>
      </c>
      <c r="C913" s="52" t="s">
        <v>221</v>
      </c>
      <c r="D913" s="65">
        <v>0.46762731481481484</v>
      </c>
      <c r="E913" s="65">
        <v>0.013888888888888888</v>
      </c>
      <c r="F913" s="65">
        <v>0.48151620370370374</v>
      </c>
      <c r="G913" s="65" t="s">
        <v>358</v>
      </c>
      <c r="H913" s="52" t="s">
        <v>94</v>
      </c>
      <c r="I913" s="52" t="s">
        <v>1208</v>
      </c>
      <c r="J913" s="52" t="s">
        <v>1209</v>
      </c>
      <c r="K913" s="52"/>
      <c r="L913" s="52"/>
      <c r="M913" s="52"/>
      <c r="N913" s="52" t="s">
        <v>1210</v>
      </c>
      <c r="O913" s="52"/>
      <c r="P913" s="69"/>
      <c r="Q913" s="52"/>
      <c r="R913" s="51" t="b">
        <v>0</v>
      </c>
      <c r="S913" s="51"/>
      <c r="T913" s="52"/>
      <c r="U913" s="51" t="b">
        <v>0</v>
      </c>
      <c r="V913" s="51" t="b">
        <v>0</v>
      </c>
      <c r="W913" s="51" t="b">
        <v>0</v>
      </c>
      <c r="X913" s="51" t="b">
        <v>0</v>
      </c>
      <c r="Y913" s="51" t="b">
        <v>0</v>
      </c>
      <c r="Z913" s="51" t="b">
        <v>0</v>
      </c>
      <c r="AA913" s="68"/>
      <c r="AB913" s="52"/>
      <c r="AC913" s="52"/>
      <c r="AD913" s="52"/>
      <c r="AE913" s="56" t="s">
        <v>1499</v>
      </c>
      <c r="AF913" s="56" t="s">
        <v>726</v>
      </c>
    </row>
    <row r="914">
      <c r="A914" s="52" t="s">
        <v>2989</v>
      </c>
      <c r="B914" s="52" t="s">
        <v>607</v>
      </c>
      <c r="C914" s="52" t="s">
        <v>607</v>
      </c>
      <c r="D914" s="65" t="s">
        <v>607</v>
      </c>
      <c r="E914" s="65" t="s">
        <v>607</v>
      </c>
      <c r="F914" s="65" t="s">
        <v>607</v>
      </c>
      <c r="G914" s="65" t="s">
        <v>607</v>
      </c>
      <c r="H914" s="52" t="s">
        <v>607</v>
      </c>
      <c r="I914" s="52" t="s">
        <v>607</v>
      </c>
      <c r="J914" s="52" t="s">
        <v>607</v>
      </c>
      <c r="K914" s="52" t="s">
        <v>607</v>
      </c>
      <c r="L914" s="52" t="s">
        <v>607</v>
      </c>
      <c r="M914" s="52" t="s">
        <v>607</v>
      </c>
      <c r="N914" s="52" t="s">
        <v>607</v>
      </c>
      <c r="O914" s="52"/>
      <c r="P914" s="52"/>
      <c r="Q914" s="52"/>
      <c r="R914" s="51" t="b">
        <v>0</v>
      </c>
      <c r="S914" s="51"/>
      <c r="T914" s="52"/>
      <c r="U914" s="51" t="b">
        <v>0</v>
      </c>
      <c r="V914" s="51" t="b">
        <v>0</v>
      </c>
      <c r="W914" s="51" t="b">
        <v>0</v>
      </c>
      <c r="X914" s="51" t="b">
        <v>0</v>
      </c>
      <c r="Y914" s="51" t="b">
        <v>0</v>
      </c>
      <c r="Z914" s="51" t="b">
        <v>0</v>
      </c>
      <c r="AA914" s="68"/>
      <c r="AB914" s="52"/>
      <c r="AC914" s="52"/>
      <c r="AD914" s="52"/>
      <c r="AE914" s="56" t="s">
        <v>607</v>
      </c>
      <c r="AF914" s="56" t="s">
        <v>607</v>
      </c>
    </row>
    <row r="915">
      <c r="A915" s="52" t="s">
        <v>2990</v>
      </c>
      <c r="B915" s="52" t="s">
        <v>607</v>
      </c>
      <c r="C915" s="52" t="s">
        <v>607</v>
      </c>
      <c r="D915" s="65" t="s">
        <v>607</v>
      </c>
      <c r="E915" s="65" t="s">
        <v>607</v>
      </c>
      <c r="F915" s="65" t="s">
        <v>607</v>
      </c>
      <c r="G915" s="65" t="s">
        <v>607</v>
      </c>
      <c r="H915" s="52" t="s">
        <v>607</v>
      </c>
      <c r="I915" s="52" t="s">
        <v>607</v>
      </c>
      <c r="J915" s="52" t="s">
        <v>607</v>
      </c>
      <c r="K915" s="52" t="s">
        <v>607</v>
      </c>
      <c r="L915" s="52" t="s">
        <v>607</v>
      </c>
      <c r="M915" s="52" t="s">
        <v>607</v>
      </c>
      <c r="N915" s="52" t="s">
        <v>607</v>
      </c>
      <c r="O915" s="52"/>
      <c r="P915" s="52"/>
      <c r="Q915" s="52"/>
      <c r="R915" s="51" t="b">
        <v>0</v>
      </c>
      <c r="S915" s="51"/>
      <c r="T915" s="52"/>
      <c r="U915" s="51" t="b">
        <v>0</v>
      </c>
      <c r="V915" s="51" t="b">
        <v>0</v>
      </c>
      <c r="W915" s="51" t="b">
        <v>0</v>
      </c>
      <c r="X915" s="51" t="b">
        <v>0</v>
      </c>
      <c r="Y915" s="51" t="b">
        <v>0</v>
      </c>
      <c r="Z915" s="51" t="b">
        <v>0</v>
      </c>
      <c r="AA915" s="68"/>
      <c r="AB915" s="52"/>
      <c r="AC915" s="52"/>
      <c r="AD915" s="52"/>
      <c r="AE915" s="56" t="s">
        <v>607</v>
      </c>
      <c r="AF915" s="56" t="s">
        <v>607</v>
      </c>
    </row>
    <row r="916">
      <c r="A916" s="52" t="s">
        <v>2991</v>
      </c>
      <c r="B916" s="52" t="s">
        <v>607</v>
      </c>
      <c r="C916" s="52" t="s">
        <v>607</v>
      </c>
      <c r="D916" s="65" t="s">
        <v>607</v>
      </c>
      <c r="E916" s="65" t="s">
        <v>607</v>
      </c>
      <c r="F916" s="65" t="s">
        <v>607</v>
      </c>
      <c r="G916" s="65" t="s">
        <v>607</v>
      </c>
      <c r="H916" s="52" t="s">
        <v>607</v>
      </c>
      <c r="I916" s="52" t="s">
        <v>607</v>
      </c>
      <c r="J916" s="52" t="s">
        <v>607</v>
      </c>
      <c r="K916" s="52" t="s">
        <v>607</v>
      </c>
      <c r="L916" s="52" t="s">
        <v>607</v>
      </c>
      <c r="M916" s="52" t="s">
        <v>607</v>
      </c>
      <c r="N916" s="52" t="s">
        <v>607</v>
      </c>
      <c r="O916" s="52"/>
      <c r="P916" s="52"/>
      <c r="Q916" s="52"/>
      <c r="R916" s="51" t="b">
        <v>0</v>
      </c>
      <c r="S916" s="51"/>
      <c r="T916" s="52"/>
      <c r="U916" s="51" t="b">
        <v>0</v>
      </c>
      <c r="V916" s="51" t="b">
        <v>0</v>
      </c>
      <c r="W916" s="51" t="b">
        <v>0</v>
      </c>
      <c r="X916" s="51" t="b">
        <v>0</v>
      </c>
      <c r="Y916" s="51" t="b">
        <v>0</v>
      </c>
      <c r="Z916" s="51" t="b">
        <v>0</v>
      </c>
      <c r="AA916" s="68"/>
      <c r="AB916" s="52"/>
      <c r="AC916" s="52"/>
      <c r="AD916" s="52"/>
      <c r="AE916" s="56" t="s">
        <v>607</v>
      </c>
      <c r="AF916" s="56" t="s">
        <v>607</v>
      </c>
    </row>
    <row r="917">
      <c r="A917" s="52" t="s">
        <v>2992</v>
      </c>
      <c r="B917" s="52" t="s">
        <v>19</v>
      </c>
      <c r="C917" s="52" t="s">
        <v>221</v>
      </c>
      <c r="D917" s="65">
        <v>0.48186342592592596</v>
      </c>
      <c r="E917" s="65">
        <v>2.314814814814815E-4</v>
      </c>
      <c r="F917" s="65">
        <v>0.48209490740740746</v>
      </c>
      <c r="G917" s="65" t="s">
        <v>358</v>
      </c>
      <c r="H917" s="52" t="s">
        <v>81</v>
      </c>
      <c r="I917" s="52" t="s">
        <v>81</v>
      </c>
      <c r="J917" s="52"/>
      <c r="K917" s="52"/>
      <c r="L917" s="52"/>
      <c r="M917" s="52"/>
      <c r="N917" s="52" t="s">
        <v>70</v>
      </c>
      <c r="O917" s="52"/>
      <c r="P917" s="52"/>
      <c r="Q917" s="52"/>
      <c r="R917" s="51" t="b">
        <v>0</v>
      </c>
      <c r="S917" s="51"/>
      <c r="T917" s="52"/>
      <c r="U917" s="51" t="b">
        <v>0</v>
      </c>
      <c r="V917" s="51" t="b">
        <v>0</v>
      </c>
      <c r="W917" s="51" t="b">
        <v>0</v>
      </c>
      <c r="X917" s="51" t="b">
        <v>0</v>
      </c>
      <c r="Y917" s="51" t="b">
        <v>0</v>
      </c>
      <c r="Z917" s="51" t="b">
        <v>0</v>
      </c>
      <c r="AA917" s="68"/>
      <c r="AB917" s="52"/>
      <c r="AC917" s="52"/>
      <c r="AD917" s="52"/>
      <c r="AE917" s="56"/>
      <c r="AF917" s="56" t="s">
        <v>1944</v>
      </c>
    </row>
    <row r="918">
      <c r="A918" s="52" t="s">
        <v>2993</v>
      </c>
      <c r="B918" s="52" t="s">
        <v>19</v>
      </c>
      <c r="C918" s="52" t="s">
        <v>221</v>
      </c>
      <c r="D918" s="65">
        <v>0.48209490740740746</v>
      </c>
      <c r="E918" s="65">
        <v>0.014328703703703703</v>
      </c>
      <c r="F918" s="65">
        <v>0.49642361111111116</v>
      </c>
      <c r="G918" s="65" t="s">
        <v>358</v>
      </c>
      <c r="H918" s="52" t="s">
        <v>94</v>
      </c>
      <c r="I918" s="52" t="s">
        <v>1212</v>
      </c>
      <c r="J918" s="52" t="s">
        <v>1213</v>
      </c>
      <c r="K918" s="52" t="s">
        <v>320</v>
      </c>
      <c r="L918" s="52"/>
      <c r="M918" s="52"/>
      <c r="N918" s="52"/>
      <c r="O918" s="69" t="s">
        <v>618</v>
      </c>
      <c r="P918" s="69" t="s">
        <v>30</v>
      </c>
      <c r="Q918" s="70" t="s">
        <v>2994</v>
      </c>
      <c r="R918" s="51" t="b">
        <v>1</v>
      </c>
      <c r="S918" s="52" t="s">
        <v>1212</v>
      </c>
      <c r="T918" s="52"/>
      <c r="U918" s="51" t="b">
        <v>0</v>
      </c>
      <c r="V918" s="51" t="b">
        <v>1</v>
      </c>
      <c r="W918" s="51" t="b">
        <v>1</v>
      </c>
      <c r="X918" s="51" t="b">
        <v>0</v>
      </c>
      <c r="Y918" s="51" t="b">
        <v>0</v>
      </c>
      <c r="Z918" s="51" t="b">
        <v>0</v>
      </c>
      <c r="AA918" s="71">
        <v>0.014328703703703703</v>
      </c>
      <c r="AB918" s="69" t="s">
        <v>2995</v>
      </c>
      <c r="AC918" s="69"/>
      <c r="AD918" s="73" t="s">
        <v>2996</v>
      </c>
      <c r="AE918" s="56" t="s">
        <v>629</v>
      </c>
      <c r="AF918" s="56" t="s">
        <v>1253</v>
      </c>
    </row>
    <row r="919">
      <c r="A919" s="52" t="s">
        <v>2997</v>
      </c>
      <c r="B919" s="52" t="s">
        <v>607</v>
      </c>
      <c r="C919" s="52" t="s">
        <v>607</v>
      </c>
      <c r="D919" s="65" t="s">
        <v>607</v>
      </c>
      <c r="E919" s="65" t="s">
        <v>607</v>
      </c>
      <c r="F919" s="65" t="s">
        <v>607</v>
      </c>
      <c r="G919" s="65" t="s">
        <v>607</v>
      </c>
      <c r="H919" s="52" t="s">
        <v>607</v>
      </c>
      <c r="I919" s="52" t="s">
        <v>607</v>
      </c>
      <c r="J919" s="52" t="s">
        <v>607</v>
      </c>
      <c r="K919" s="52" t="s">
        <v>607</v>
      </c>
      <c r="L919" s="52" t="s">
        <v>607</v>
      </c>
      <c r="M919" s="52" t="s">
        <v>607</v>
      </c>
      <c r="N919" s="52" t="s">
        <v>607</v>
      </c>
      <c r="O919" s="52"/>
      <c r="P919" s="52"/>
      <c r="Q919" s="52"/>
      <c r="R919" s="51" t="b">
        <v>0</v>
      </c>
      <c r="S919" s="51"/>
      <c r="T919" s="52"/>
      <c r="U919" s="51" t="b">
        <v>0</v>
      </c>
      <c r="V919" s="51" t="b">
        <v>0</v>
      </c>
      <c r="W919" s="51" t="b">
        <v>0</v>
      </c>
      <c r="X919" s="51" t="b">
        <v>0</v>
      </c>
      <c r="Y919" s="51" t="b">
        <v>0</v>
      </c>
      <c r="Z919" s="51" t="b">
        <v>0</v>
      </c>
      <c r="AA919" s="68"/>
      <c r="AB919" s="52"/>
      <c r="AC919" s="52"/>
      <c r="AD919" s="52"/>
      <c r="AE919" s="56" t="s">
        <v>607</v>
      </c>
      <c r="AF919" s="56" t="s">
        <v>607</v>
      </c>
    </row>
    <row r="920">
      <c r="A920" s="52" t="s">
        <v>2998</v>
      </c>
      <c r="B920" s="52" t="s">
        <v>19</v>
      </c>
      <c r="C920" s="52" t="s">
        <v>221</v>
      </c>
      <c r="D920" s="65">
        <v>0.49642361111111116</v>
      </c>
      <c r="E920" s="65">
        <v>3.4722222222222224E-4</v>
      </c>
      <c r="F920" s="65">
        <v>0.4967708333333334</v>
      </c>
      <c r="G920" s="65" t="s">
        <v>358</v>
      </c>
      <c r="H920" s="52" t="s">
        <v>77</v>
      </c>
      <c r="I920" s="52" t="s">
        <v>1009</v>
      </c>
      <c r="J920" s="52"/>
      <c r="K920" s="52"/>
      <c r="L920" s="52"/>
      <c r="M920" s="52"/>
      <c r="N920" s="52" t="s">
        <v>70</v>
      </c>
      <c r="O920" s="52"/>
      <c r="P920" s="52"/>
      <c r="Q920" s="52"/>
      <c r="R920" s="51" t="b">
        <v>0</v>
      </c>
      <c r="S920" s="51"/>
      <c r="T920" s="52"/>
      <c r="U920" s="51" t="b">
        <v>0</v>
      </c>
      <c r="V920" s="51" t="b">
        <v>0</v>
      </c>
      <c r="W920" s="51" t="b">
        <v>0</v>
      </c>
      <c r="X920" s="51" t="b">
        <v>0</v>
      </c>
      <c r="Y920" s="51" t="b">
        <v>0</v>
      </c>
      <c r="Z920" s="51" t="b">
        <v>0</v>
      </c>
      <c r="AA920" s="68"/>
      <c r="AB920" s="52"/>
      <c r="AC920" s="52"/>
      <c r="AD920" s="52"/>
      <c r="AE920" s="56"/>
      <c r="AF920" s="56" t="s">
        <v>1944</v>
      </c>
    </row>
    <row r="921">
      <c r="A921" s="52" t="s">
        <v>2999</v>
      </c>
      <c r="B921" s="52" t="s">
        <v>19</v>
      </c>
      <c r="C921" s="52" t="s">
        <v>221</v>
      </c>
      <c r="D921" s="65">
        <v>0.5</v>
      </c>
      <c r="E921" s="65">
        <v>3.4722222222222224E-4</v>
      </c>
      <c r="F921" s="65">
        <v>0.5003472222222223</v>
      </c>
      <c r="G921" s="65" t="s">
        <v>441</v>
      </c>
      <c r="H921" s="52" t="s">
        <v>81</v>
      </c>
      <c r="I921" s="52" t="s">
        <v>81</v>
      </c>
      <c r="J921" s="52"/>
      <c r="K921" s="52"/>
      <c r="L921" s="52"/>
      <c r="M921" s="52"/>
      <c r="N921" s="52" t="s">
        <v>70</v>
      </c>
      <c r="O921" s="52"/>
      <c r="P921" s="52"/>
      <c r="Q921" s="52"/>
      <c r="R921" s="51" t="b">
        <v>0</v>
      </c>
      <c r="S921" s="51"/>
      <c r="T921" s="52"/>
      <c r="U921" s="51" t="b">
        <v>0</v>
      </c>
      <c r="V921" s="51" t="b">
        <v>0</v>
      </c>
      <c r="W921" s="51" t="b">
        <v>0</v>
      </c>
      <c r="X921" s="51" t="b">
        <v>0</v>
      </c>
      <c r="Y921" s="51" t="b">
        <v>0</v>
      </c>
      <c r="Z921" s="51" t="b">
        <v>0</v>
      </c>
      <c r="AA921" s="68"/>
      <c r="AB921" s="52"/>
      <c r="AC921" s="52"/>
      <c r="AD921" s="52"/>
      <c r="AE921" s="56"/>
      <c r="AF921" s="56" t="s">
        <v>1944</v>
      </c>
    </row>
    <row r="922">
      <c r="A922" s="52" t="s">
        <v>3000</v>
      </c>
      <c r="B922" s="52" t="s">
        <v>19</v>
      </c>
      <c r="C922" s="52" t="s">
        <v>221</v>
      </c>
      <c r="D922" s="65">
        <v>0.5003472222222223</v>
      </c>
      <c r="E922" s="65">
        <v>0.0096875</v>
      </c>
      <c r="F922" s="65">
        <v>0.5100347222222222</v>
      </c>
      <c r="G922" s="65" t="s">
        <v>441</v>
      </c>
      <c r="H922" s="52" t="s">
        <v>107</v>
      </c>
      <c r="I922" s="52" t="s">
        <v>1218</v>
      </c>
      <c r="J922" s="52" t="s">
        <v>1219</v>
      </c>
      <c r="K922" s="52" t="s">
        <v>1220</v>
      </c>
      <c r="L922" s="52"/>
      <c r="M922" s="52"/>
      <c r="N922" s="52" t="s">
        <v>402</v>
      </c>
      <c r="O922" s="52"/>
      <c r="P922" s="69" t="s">
        <v>28</v>
      </c>
      <c r="Q922" s="73" t="s">
        <v>3001</v>
      </c>
      <c r="R922" s="51" t="b">
        <v>1</v>
      </c>
      <c r="S922" s="52" t="s">
        <v>1218</v>
      </c>
      <c r="T922" s="52"/>
      <c r="U922" s="51" t="b">
        <v>0</v>
      </c>
      <c r="V922" s="51" t="b">
        <v>1</v>
      </c>
      <c r="W922" s="51" t="b">
        <v>1</v>
      </c>
      <c r="X922" s="51" t="b">
        <v>0</v>
      </c>
      <c r="Y922" s="51" t="b">
        <v>0</v>
      </c>
      <c r="Z922" s="51" t="b">
        <v>0</v>
      </c>
      <c r="AA922" s="71">
        <v>0.0096875</v>
      </c>
      <c r="AB922" s="69"/>
      <c r="AC922" s="69"/>
      <c r="AD922" s="76" t="s">
        <v>3002</v>
      </c>
      <c r="AE922" s="74" t="s">
        <v>629</v>
      </c>
      <c r="AF922" s="74" t="s">
        <v>1185</v>
      </c>
    </row>
    <row r="923">
      <c r="A923" s="52" t="s">
        <v>3003</v>
      </c>
      <c r="B923" s="52" t="s">
        <v>607</v>
      </c>
      <c r="C923" s="52" t="s">
        <v>607</v>
      </c>
      <c r="D923" s="65" t="s">
        <v>607</v>
      </c>
      <c r="E923" s="65" t="s">
        <v>607</v>
      </c>
      <c r="F923" s="65" t="s">
        <v>607</v>
      </c>
      <c r="G923" s="65" t="s">
        <v>607</v>
      </c>
      <c r="H923" s="52" t="s">
        <v>607</v>
      </c>
      <c r="I923" s="52" t="s">
        <v>607</v>
      </c>
      <c r="J923" s="52" t="s">
        <v>607</v>
      </c>
      <c r="K923" s="52" t="s">
        <v>607</v>
      </c>
      <c r="L923" s="52" t="s">
        <v>607</v>
      </c>
      <c r="M923" s="52" t="s">
        <v>607</v>
      </c>
      <c r="N923" s="52" t="s">
        <v>607</v>
      </c>
      <c r="O923" s="52"/>
      <c r="P923" s="52"/>
      <c r="Q923" s="52"/>
      <c r="R923" s="51" t="b">
        <v>0</v>
      </c>
      <c r="S923" s="51"/>
      <c r="T923" s="52"/>
      <c r="U923" s="51" t="b">
        <v>0</v>
      </c>
      <c r="V923" s="51" t="b">
        <v>0</v>
      </c>
      <c r="W923" s="51" t="b">
        <v>0</v>
      </c>
      <c r="X923" s="51" t="b">
        <v>0</v>
      </c>
      <c r="Y923" s="51" t="b">
        <v>0</v>
      </c>
      <c r="Z923" s="51" t="b">
        <v>0</v>
      </c>
      <c r="AA923" s="68"/>
      <c r="AB923" s="52"/>
      <c r="AC923" s="52"/>
      <c r="AD923" s="52"/>
      <c r="AE923" s="56" t="s">
        <v>607</v>
      </c>
      <c r="AF923" s="56" t="s">
        <v>607</v>
      </c>
    </row>
    <row r="924">
      <c r="A924" s="52" t="s">
        <v>3004</v>
      </c>
      <c r="B924" s="52" t="s">
        <v>607</v>
      </c>
      <c r="C924" s="52" t="s">
        <v>607</v>
      </c>
      <c r="D924" s="65" t="s">
        <v>607</v>
      </c>
      <c r="E924" s="65" t="s">
        <v>607</v>
      </c>
      <c r="F924" s="65" t="s">
        <v>607</v>
      </c>
      <c r="G924" s="65" t="s">
        <v>607</v>
      </c>
      <c r="H924" s="52" t="s">
        <v>607</v>
      </c>
      <c r="I924" s="52" t="s">
        <v>607</v>
      </c>
      <c r="J924" s="52" t="s">
        <v>607</v>
      </c>
      <c r="K924" s="52" t="s">
        <v>607</v>
      </c>
      <c r="L924" s="52" t="s">
        <v>607</v>
      </c>
      <c r="M924" s="52" t="s">
        <v>607</v>
      </c>
      <c r="N924" s="52" t="s">
        <v>607</v>
      </c>
      <c r="O924" s="52"/>
      <c r="P924" s="52"/>
      <c r="Q924" s="52"/>
      <c r="R924" s="51" t="b">
        <v>0</v>
      </c>
      <c r="S924" s="51"/>
      <c r="T924" s="52"/>
      <c r="U924" s="51" t="b">
        <v>0</v>
      </c>
      <c r="V924" s="51" t="b">
        <v>0</v>
      </c>
      <c r="W924" s="51" t="b">
        <v>0</v>
      </c>
      <c r="X924" s="51" t="b">
        <v>0</v>
      </c>
      <c r="Y924" s="51" t="b">
        <v>0</v>
      </c>
      <c r="Z924" s="51" t="b">
        <v>0</v>
      </c>
      <c r="AA924" s="68"/>
      <c r="AB924" s="52"/>
      <c r="AC924" s="52"/>
      <c r="AD924" s="52"/>
      <c r="AE924" s="56" t="s">
        <v>607</v>
      </c>
      <c r="AF924" s="56" t="s">
        <v>607</v>
      </c>
    </row>
    <row r="925">
      <c r="A925" s="52" t="s">
        <v>3005</v>
      </c>
      <c r="B925" s="52" t="s">
        <v>607</v>
      </c>
      <c r="C925" s="52" t="s">
        <v>607</v>
      </c>
      <c r="D925" s="65" t="s">
        <v>607</v>
      </c>
      <c r="E925" s="65" t="s">
        <v>607</v>
      </c>
      <c r="F925" s="65" t="s">
        <v>607</v>
      </c>
      <c r="G925" s="65" t="s">
        <v>607</v>
      </c>
      <c r="H925" s="52" t="s">
        <v>607</v>
      </c>
      <c r="I925" s="52" t="s">
        <v>607</v>
      </c>
      <c r="J925" s="52" t="s">
        <v>607</v>
      </c>
      <c r="K925" s="52" t="s">
        <v>607</v>
      </c>
      <c r="L925" s="52" t="s">
        <v>607</v>
      </c>
      <c r="M925" s="52" t="s">
        <v>607</v>
      </c>
      <c r="N925" s="52" t="s">
        <v>607</v>
      </c>
      <c r="O925" s="52"/>
      <c r="P925" s="52"/>
      <c r="Q925" s="52"/>
      <c r="R925" s="51" t="b">
        <v>0</v>
      </c>
      <c r="S925" s="51"/>
      <c r="T925" s="52"/>
      <c r="U925" s="51" t="b">
        <v>0</v>
      </c>
      <c r="V925" s="51" t="b">
        <v>0</v>
      </c>
      <c r="W925" s="51" t="b">
        <v>0</v>
      </c>
      <c r="X925" s="51" t="b">
        <v>0</v>
      </c>
      <c r="Y925" s="51" t="b">
        <v>0</v>
      </c>
      <c r="Z925" s="51" t="b">
        <v>0</v>
      </c>
      <c r="AA925" s="68"/>
      <c r="AB925" s="52"/>
      <c r="AC925" s="52"/>
      <c r="AD925" s="52"/>
      <c r="AE925" s="56" t="s">
        <v>607</v>
      </c>
      <c r="AF925" s="56" t="s">
        <v>607</v>
      </c>
    </row>
    <row r="926">
      <c r="A926" s="52" t="s">
        <v>3006</v>
      </c>
      <c r="B926" s="52" t="s">
        <v>19</v>
      </c>
      <c r="C926" s="52" t="s">
        <v>221</v>
      </c>
      <c r="D926" s="65">
        <v>0.5100347222222222</v>
      </c>
      <c r="E926" s="65">
        <v>2.314814814814815E-4</v>
      </c>
      <c r="F926" s="65">
        <v>0.5102662037037037</v>
      </c>
      <c r="G926" s="65" t="s">
        <v>441</v>
      </c>
      <c r="H926" s="52" t="s">
        <v>81</v>
      </c>
      <c r="I926" s="52" t="s">
        <v>81</v>
      </c>
      <c r="J926" s="52"/>
      <c r="K926" s="52"/>
      <c r="L926" s="52"/>
      <c r="M926" s="52"/>
      <c r="N926" s="52" t="s">
        <v>70</v>
      </c>
      <c r="O926" s="52"/>
      <c r="P926" s="52"/>
      <c r="Q926" s="52"/>
      <c r="R926" s="51" t="b">
        <v>0</v>
      </c>
      <c r="S926" s="51"/>
      <c r="T926" s="52"/>
      <c r="U926" s="51" t="b">
        <v>0</v>
      </c>
      <c r="V926" s="51" t="b">
        <v>0</v>
      </c>
      <c r="W926" s="51" t="b">
        <v>0</v>
      </c>
      <c r="X926" s="51" t="b">
        <v>0</v>
      </c>
      <c r="Y926" s="51" t="b">
        <v>0</v>
      </c>
      <c r="Z926" s="51" t="b">
        <v>0</v>
      </c>
      <c r="AA926" s="68"/>
      <c r="AB926" s="52"/>
      <c r="AC926" s="52"/>
      <c r="AD926" s="52"/>
      <c r="AE926" s="56"/>
      <c r="AF926" s="56" t="s">
        <v>1944</v>
      </c>
    </row>
    <row r="927">
      <c r="A927" s="52" t="s">
        <v>3007</v>
      </c>
      <c r="B927" s="52" t="s">
        <v>19</v>
      </c>
      <c r="C927" s="52" t="s">
        <v>221</v>
      </c>
      <c r="D927" s="65">
        <v>0.5102662037037037</v>
      </c>
      <c r="E927" s="65">
        <v>0.013229166666666667</v>
      </c>
      <c r="F927" s="65">
        <v>0.5234953703703703</v>
      </c>
      <c r="G927" s="65" t="s">
        <v>441</v>
      </c>
      <c r="H927" s="52" t="s">
        <v>94</v>
      </c>
      <c r="I927" s="52" t="s">
        <v>1222</v>
      </c>
      <c r="J927" s="52" t="s">
        <v>1223</v>
      </c>
      <c r="K927" s="52"/>
      <c r="L927" s="52"/>
      <c r="M927" s="52"/>
      <c r="N927" s="52" t="s">
        <v>1224</v>
      </c>
      <c r="O927" s="52"/>
      <c r="P927" s="69" t="s">
        <v>25</v>
      </c>
      <c r="Q927" s="80" t="s">
        <v>3008</v>
      </c>
      <c r="R927" s="51" t="b">
        <v>1</v>
      </c>
      <c r="S927" s="52" t="s">
        <v>1222</v>
      </c>
      <c r="T927" s="52"/>
      <c r="U927" s="51" t="b">
        <v>0</v>
      </c>
      <c r="V927" s="51" t="b">
        <v>1</v>
      </c>
      <c r="W927" s="51" t="b">
        <v>1</v>
      </c>
      <c r="X927" s="161" t="b">
        <v>0</v>
      </c>
      <c r="Y927" s="51" t="b">
        <v>0</v>
      </c>
      <c r="Z927" s="51" t="b">
        <v>0</v>
      </c>
      <c r="AA927" s="71">
        <v>0.013229166666666667</v>
      </c>
      <c r="AB927" s="69" t="s">
        <v>3009</v>
      </c>
      <c r="AC927" s="52"/>
      <c r="AD927" s="80" t="s">
        <v>3010</v>
      </c>
      <c r="AE927" s="56" t="s">
        <v>629</v>
      </c>
      <c r="AF927" s="56" t="s">
        <v>1362</v>
      </c>
    </row>
    <row r="928">
      <c r="A928" s="52" t="s">
        <v>3011</v>
      </c>
      <c r="B928" s="52" t="s">
        <v>607</v>
      </c>
      <c r="C928" s="52" t="s">
        <v>607</v>
      </c>
      <c r="D928" s="65" t="s">
        <v>607</v>
      </c>
      <c r="E928" s="65" t="s">
        <v>607</v>
      </c>
      <c r="F928" s="65" t="s">
        <v>607</v>
      </c>
      <c r="G928" s="65" t="s">
        <v>607</v>
      </c>
      <c r="H928" s="52" t="s">
        <v>607</v>
      </c>
      <c r="I928" s="52" t="s">
        <v>607</v>
      </c>
      <c r="J928" s="52" t="s">
        <v>607</v>
      </c>
      <c r="K928" s="52" t="s">
        <v>607</v>
      </c>
      <c r="L928" s="52" t="s">
        <v>607</v>
      </c>
      <c r="M928" s="52" t="s">
        <v>607</v>
      </c>
      <c r="N928" s="52" t="s">
        <v>607</v>
      </c>
      <c r="O928" s="52"/>
      <c r="P928" s="52"/>
      <c r="Q928" s="52"/>
      <c r="R928" s="51" t="b">
        <v>0</v>
      </c>
      <c r="S928" s="51"/>
      <c r="T928" s="52"/>
      <c r="U928" s="51" t="b">
        <v>0</v>
      </c>
      <c r="V928" s="51" t="b">
        <v>0</v>
      </c>
      <c r="W928" s="51" t="b">
        <v>0</v>
      </c>
      <c r="X928" s="51" t="b">
        <v>0</v>
      </c>
      <c r="Y928" s="51" t="b">
        <v>0</v>
      </c>
      <c r="Z928" s="51" t="b">
        <v>0</v>
      </c>
      <c r="AA928" s="68"/>
      <c r="AB928" s="52"/>
      <c r="AC928" s="52"/>
      <c r="AD928" s="52"/>
      <c r="AE928" s="56" t="s">
        <v>607</v>
      </c>
      <c r="AF928" s="56" t="s">
        <v>607</v>
      </c>
    </row>
    <row r="929">
      <c r="A929" s="52" t="s">
        <v>3012</v>
      </c>
      <c r="B929" s="52" t="s">
        <v>19</v>
      </c>
      <c r="C929" s="52" t="s">
        <v>221</v>
      </c>
      <c r="D929" s="65">
        <v>0.5416666666666666</v>
      </c>
      <c r="E929" s="65">
        <v>3.4722222222222224E-4</v>
      </c>
      <c r="F929" s="65">
        <v>0.5420138888888889</v>
      </c>
      <c r="G929" s="65" t="s">
        <v>441</v>
      </c>
      <c r="H929" s="52" t="s">
        <v>81</v>
      </c>
      <c r="I929" s="52" t="s">
        <v>81</v>
      </c>
      <c r="J929" s="52"/>
      <c r="K929" s="52"/>
      <c r="L929" s="52"/>
      <c r="M929" s="52"/>
      <c r="N929" s="52" t="s">
        <v>70</v>
      </c>
      <c r="O929" s="52"/>
      <c r="P929" s="52"/>
      <c r="Q929" s="52"/>
      <c r="R929" s="51" t="b">
        <v>0</v>
      </c>
      <c r="S929" s="51"/>
      <c r="T929" s="52"/>
      <c r="U929" s="51" t="b">
        <v>0</v>
      </c>
      <c r="V929" s="51" t="b">
        <v>0</v>
      </c>
      <c r="W929" s="51" t="b">
        <v>0</v>
      </c>
      <c r="X929" s="51" t="b">
        <v>0</v>
      </c>
      <c r="Y929" s="51" t="b">
        <v>0</v>
      </c>
      <c r="Z929" s="51" t="b">
        <v>0</v>
      </c>
      <c r="AA929" s="68"/>
      <c r="AB929" s="52"/>
      <c r="AC929" s="52"/>
      <c r="AD929" s="52"/>
      <c r="AE929" s="56"/>
      <c r="AF929" s="56" t="s">
        <v>1944</v>
      </c>
    </row>
    <row r="930">
      <c r="A930" s="52" t="s">
        <v>3013</v>
      </c>
      <c r="B930" s="52" t="s">
        <v>19</v>
      </c>
      <c r="C930" s="52" t="s">
        <v>221</v>
      </c>
      <c r="D930" s="65">
        <v>0.5420138888888889</v>
      </c>
      <c r="E930" s="65">
        <v>0.007662037037037037</v>
      </c>
      <c r="F930" s="65">
        <v>0.549675925925926</v>
      </c>
      <c r="G930" s="65" t="s">
        <v>441</v>
      </c>
      <c r="H930" s="52" t="s">
        <v>94</v>
      </c>
      <c r="I930" s="52" t="s">
        <v>1232</v>
      </c>
      <c r="J930" s="52" t="s">
        <v>1233</v>
      </c>
      <c r="K930" s="52"/>
      <c r="L930" s="52"/>
      <c r="M930" s="52"/>
      <c r="N930" s="52" t="s">
        <v>415</v>
      </c>
      <c r="O930" s="52"/>
      <c r="P930" s="69" t="s">
        <v>23</v>
      </c>
      <c r="Q930" s="80" t="s">
        <v>3014</v>
      </c>
      <c r="R930" s="51" t="b">
        <v>1</v>
      </c>
      <c r="S930" s="52" t="s">
        <v>1232</v>
      </c>
      <c r="T930" s="52"/>
      <c r="U930" s="51" t="b">
        <v>0</v>
      </c>
      <c r="V930" s="51" t="b">
        <v>1</v>
      </c>
      <c r="W930" s="51" t="b">
        <v>1</v>
      </c>
      <c r="X930" s="51" t="b">
        <v>0</v>
      </c>
      <c r="Y930" s="51" t="b">
        <v>0</v>
      </c>
      <c r="Z930" s="51" t="b">
        <v>0</v>
      </c>
      <c r="AA930" s="71">
        <v>0.007662037037037037</v>
      </c>
      <c r="AB930" s="69" t="s">
        <v>3015</v>
      </c>
      <c r="AC930" s="52"/>
      <c r="AD930" s="76" t="s">
        <v>3016</v>
      </c>
      <c r="AE930" s="56" t="s">
        <v>629</v>
      </c>
      <c r="AF930" s="56" t="s">
        <v>1125</v>
      </c>
    </row>
    <row r="931">
      <c r="A931" s="52" t="s">
        <v>3017</v>
      </c>
      <c r="B931" s="52" t="s">
        <v>607</v>
      </c>
      <c r="C931" s="52" t="s">
        <v>607</v>
      </c>
      <c r="D931" s="65" t="s">
        <v>607</v>
      </c>
      <c r="E931" s="65" t="s">
        <v>607</v>
      </c>
      <c r="F931" s="65" t="s">
        <v>607</v>
      </c>
      <c r="G931" s="65" t="s">
        <v>607</v>
      </c>
      <c r="H931" s="52" t="s">
        <v>607</v>
      </c>
      <c r="I931" s="52" t="s">
        <v>607</v>
      </c>
      <c r="J931" s="52" t="s">
        <v>607</v>
      </c>
      <c r="K931" s="52" t="s">
        <v>607</v>
      </c>
      <c r="L931" s="52" t="s">
        <v>607</v>
      </c>
      <c r="M931" s="52" t="s">
        <v>607</v>
      </c>
      <c r="N931" s="52" t="s">
        <v>607</v>
      </c>
      <c r="O931" s="52"/>
      <c r="P931" s="52"/>
      <c r="Q931" s="52"/>
      <c r="R931" s="51" t="b">
        <v>0</v>
      </c>
      <c r="S931" s="51"/>
      <c r="T931" s="52"/>
      <c r="U931" s="51" t="b">
        <v>0</v>
      </c>
      <c r="V931" s="51" t="b">
        <v>0</v>
      </c>
      <c r="W931" s="51" t="b">
        <v>0</v>
      </c>
      <c r="X931" s="51" t="b">
        <v>0</v>
      </c>
      <c r="Y931" s="51" t="b">
        <v>0</v>
      </c>
      <c r="Z931" s="51" t="b">
        <v>0</v>
      </c>
      <c r="AA931" s="68"/>
      <c r="AB931" s="52"/>
      <c r="AC931" s="52"/>
      <c r="AD931" s="52"/>
      <c r="AE931" s="56" t="s">
        <v>607</v>
      </c>
      <c r="AF931" s="56" t="s">
        <v>607</v>
      </c>
    </row>
    <row r="932">
      <c r="A932" s="52" t="s">
        <v>3018</v>
      </c>
      <c r="B932" s="52" t="s">
        <v>19</v>
      </c>
      <c r="C932" s="52" t="s">
        <v>221</v>
      </c>
      <c r="D932" s="65">
        <v>0.5923495370370371</v>
      </c>
      <c r="E932" s="65">
        <v>2.314814814814815E-4</v>
      </c>
      <c r="F932" s="65">
        <v>0.5925810185185185</v>
      </c>
      <c r="G932" s="65" t="s">
        <v>441</v>
      </c>
      <c r="H932" s="52" t="s">
        <v>81</v>
      </c>
      <c r="I932" s="52" t="s">
        <v>81</v>
      </c>
      <c r="J932" s="52"/>
      <c r="K932" s="52"/>
      <c r="L932" s="52"/>
      <c r="M932" s="52"/>
      <c r="N932" s="52" t="s">
        <v>70</v>
      </c>
      <c r="O932" s="52"/>
      <c r="P932" s="52"/>
      <c r="Q932" s="52"/>
      <c r="R932" s="51" t="b">
        <v>0</v>
      </c>
      <c r="S932" s="51"/>
      <c r="T932" s="52"/>
      <c r="U932" s="51" t="b">
        <v>0</v>
      </c>
      <c r="V932" s="51" t="b">
        <v>0</v>
      </c>
      <c r="W932" s="51" t="b">
        <v>0</v>
      </c>
      <c r="X932" s="51" t="b">
        <v>0</v>
      </c>
      <c r="Y932" s="51" t="b">
        <v>0</v>
      </c>
      <c r="Z932" s="51" t="b">
        <v>0</v>
      </c>
      <c r="AA932" s="68"/>
      <c r="AB932" s="52"/>
      <c r="AC932" s="52"/>
      <c r="AD932" s="52"/>
      <c r="AE932" s="56"/>
      <c r="AF932" s="56" t="s">
        <v>1944</v>
      </c>
    </row>
    <row r="933">
      <c r="A933" s="52" t="s">
        <v>3019</v>
      </c>
      <c r="B933" s="52" t="s">
        <v>19</v>
      </c>
      <c r="C933" s="52" t="s">
        <v>221</v>
      </c>
      <c r="D933" s="65">
        <v>0.5925810185185185</v>
      </c>
      <c r="E933" s="65">
        <v>0.009236111111111112</v>
      </c>
      <c r="F933" s="65">
        <v>0.6018171296296296</v>
      </c>
      <c r="G933" s="65" t="s">
        <v>441</v>
      </c>
      <c r="H933" s="52" t="s">
        <v>94</v>
      </c>
      <c r="I933" s="52" t="s">
        <v>1257</v>
      </c>
      <c r="J933" s="52" t="s">
        <v>1258</v>
      </c>
      <c r="K933" s="52"/>
      <c r="L933" s="52"/>
      <c r="M933" s="52"/>
      <c r="N933" s="52" t="s">
        <v>1259</v>
      </c>
      <c r="O933" s="52"/>
      <c r="P933" s="69" t="s">
        <v>15</v>
      </c>
      <c r="Q933" s="80" t="s">
        <v>3020</v>
      </c>
      <c r="R933" s="51" t="b">
        <v>1</v>
      </c>
      <c r="S933" s="52" t="s">
        <v>1257</v>
      </c>
      <c r="T933" s="52"/>
      <c r="U933" s="51" t="b">
        <v>0</v>
      </c>
      <c r="V933" s="51" t="b">
        <v>1</v>
      </c>
      <c r="W933" s="51" t="b">
        <v>1</v>
      </c>
      <c r="X933" s="51" t="b">
        <v>0</v>
      </c>
      <c r="Y933" s="51" t="b">
        <v>0</v>
      </c>
      <c r="Z933" s="51" t="b">
        <v>0</v>
      </c>
      <c r="AA933" s="71">
        <v>0.009236111111111112</v>
      </c>
      <c r="AB933" s="52"/>
      <c r="AC933" s="52"/>
      <c r="AD933" s="76" t="s">
        <v>3021</v>
      </c>
      <c r="AE933" s="56" t="s">
        <v>629</v>
      </c>
      <c r="AF933" s="56" t="s">
        <v>1125</v>
      </c>
    </row>
    <row r="934">
      <c r="A934" s="52" t="s">
        <v>3022</v>
      </c>
      <c r="B934" s="52" t="s">
        <v>607</v>
      </c>
      <c r="C934" s="52" t="s">
        <v>607</v>
      </c>
      <c r="D934" s="65" t="s">
        <v>607</v>
      </c>
      <c r="E934" s="65" t="s">
        <v>607</v>
      </c>
      <c r="F934" s="65" t="s">
        <v>607</v>
      </c>
      <c r="G934" s="65" t="s">
        <v>607</v>
      </c>
      <c r="H934" s="52" t="s">
        <v>607</v>
      </c>
      <c r="I934" s="52" t="s">
        <v>607</v>
      </c>
      <c r="J934" s="52" t="s">
        <v>607</v>
      </c>
      <c r="K934" s="52" t="s">
        <v>607</v>
      </c>
      <c r="L934" s="52" t="s">
        <v>607</v>
      </c>
      <c r="M934" s="52" t="s">
        <v>607</v>
      </c>
      <c r="N934" s="52" t="s">
        <v>607</v>
      </c>
      <c r="O934" s="52"/>
      <c r="P934" s="52"/>
      <c r="Q934" s="52"/>
      <c r="R934" s="51" t="b">
        <v>0</v>
      </c>
      <c r="S934" s="51"/>
      <c r="T934" s="52"/>
      <c r="U934" s="51" t="b">
        <v>0</v>
      </c>
      <c r="V934" s="51" t="b">
        <v>0</v>
      </c>
      <c r="W934" s="51" t="b">
        <v>0</v>
      </c>
      <c r="X934" s="51" t="b">
        <v>0</v>
      </c>
      <c r="Y934" s="51" t="b">
        <v>0</v>
      </c>
      <c r="Z934" s="51" t="b">
        <v>0</v>
      </c>
      <c r="AA934" s="68"/>
      <c r="AB934" s="52"/>
      <c r="AC934" s="52"/>
      <c r="AD934" s="52"/>
      <c r="AE934" s="56" t="s">
        <v>607</v>
      </c>
      <c r="AF934" s="56" t="s">
        <v>607</v>
      </c>
    </row>
    <row r="935">
      <c r="A935" s="52" t="s">
        <v>3023</v>
      </c>
      <c r="B935" s="52" t="s">
        <v>607</v>
      </c>
      <c r="C935" s="52" t="s">
        <v>607</v>
      </c>
      <c r="D935" s="65" t="s">
        <v>607</v>
      </c>
      <c r="E935" s="65" t="s">
        <v>607</v>
      </c>
      <c r="F935" s="65" t="s">
        <v>607</v>
      </c>
      <c r="G935" s="65" t="s">
        <v>607</v>
      </c>
      <c r="H935" s="52" t="s">
        <v>607</v>
      </c>
      <c r="I935" s="52" t="s">
        <v>607</v>
      </c>
      <c r="J935" s="52" t="s">
        <v>607</v>
      </c>
      <c r="K935" s="52" t="s">
        <v>607</v>
      </c>
      <c r="L935" s="52" t="s">
        <v>607</v>
      </c>
      <c r="M935" s="52" t="s">
        <v>607</v>
      </c>
      <c r="N935" s="52" t="s">
        <v>607</v>
      </c>
      <c r="O935" s="52"/>
      <c r="P935" s="52"/>
      <c r="Q935" s="52"/>
      <c r="R935" s="51" t="b">
        <v>0</v>
      </c>
      <c r="S935" s="51"/>
      <c r="T935" s="52"/>
      <c r="U935" s="51" t="b">
        <v>0</v>
      </c>
      <c r="V935" s="51" t="b">
        <v>0</v>
      </c>
      <c r="W935" s="51" t="b">
        <v>0</v>
      </c>
      <c r="X935" s="51" t="b">
        <v>0</v>
      </c>
      <c r="Y935" s="51" t="b">
        <v>0</v>
      </c>
      <c r="Z935" s="51" t="b">
        <v>0</v>
      </c>
      <c r="AA935" s="68"/>
      <c r="AB935" s="52"/>
      <c r="AC935" s="52"/>
      <c r="AD935" s="52"/>
      <c r="AE935" s="56" t="s">
        <v>607</v>
      </c>
      <c r="AF935" s="56" t="s">
        <v>607</v>
      </c>
    </row>
    <row r="936">
      <c r="A936" s="52" t="s">
        <v>3024</v>
      </c>
      <c r="B936" s="52" t="s">
        <v>19</v>
      </c>
      <c r="C936" s="52" t="s">
        <v>221</v>
      </c>
      <c r="D936" s="65">
        <v>0.5664930555555556</v>
      </c>
      <c r="E936" s="65">
        <v>2.314814814814815E-4</v>
      </c>
      <c r="F936" s="65">
        <v>0.5667245370370371</v>
      </c>
      <c r="G936" s="65" t="s">
        <v>275</v>
      </c>
      <c r="H936" s="52" t="s">
        <v>81</v>
      </c>
      <c r="I936" s="52" t="s">
        <v>81</v>
      </c>
      <c r="J936" s="52"/>
      <c r="K936" s="52"/>
      <c r="L936" s="52"/>
      <c r="M936" s="52"/>
      <c r="N936" s="52" t="s">
        <v>70</v>
      </c>
      <c r="O936" s="52"/>
      <c r="P936" s="52"/>
      <c r="Q936" s="52"/>
      <c r="R936" s="51" t="b">
        <v>0</v>
      </c>
      <c r="S936" s="51"/>
      <c r="T936" s="52"/>
      <c r="U936" s="51" t="b">
        <v>0</v>
      </c>
      <c r="V936" s="51" t="b">
        <v>0</v>
      </c>
      <c r="W936" s="51" t="b">
        <v>0</v>
      </c>
      <c r="X936" s="51" t="b">
        <v>0</v>
      </c>
      <c r="Y936" s="51" t="b">
        <v>0</v>
      </c>
      <c r="Z936" s="51" t="b">
        <v>0</v>
      </c>
      <c r="AA936" s="68"/>
      <c r="AB936" s="52"/>
      <c r="AC936" s="52"/>
      <c r="AD936" s="52"/>
      <c r="AE936" s="56"/>
      <c r="AF936" s="56" t="s">
        <v>1944</v>
      </c>
    </row>
    <row r="937">
      <c r="A937" s="52" t="s">
        <v>3025</v>
      </c>
      <c r="B937" s="52" t="s">
        <v>19</v>
      </c>
      <c r="C937" s="52" t="s">
        <v>221</v>
      </c>
      <c r="D937" s="65">
        <v>0.5667245370370371</v>
      </c>
      <c r="E937" s="65">
        <v>0.009039351851851852</v>
      </c>
      <c r="F937" s="65">
        <v>0.575763888888889</v>
      </c>
      <c r="G937" s="65" t="s">
        <v>275</v>
      </c>
      <c r="H937" s="52" t="s">
        <v>165</v>
      </c>
      <c r="I937" s="52" t="s">
        <v>1243</v>
      </c>
      <c r="J937" s="52" t="s">
        <v>1244</v>
      </c>
      <c r="K937" s="52"/>
      <c r="L937" s="52"/>
      <c r="M937" s="52"/>
      <c r="N937" s="52" t="s">
        <v>70</v>
      </c>
      <c r="O937" s="69" t="s">
        <v>884</v>
      </c>
      <c r="P937" s="69" t="s">
        <v>20</v>
      </c>
      <c r="Q937" s="80" t="s">
        <v>3026</v>
      </c>
      <c r="R937" s="51" t="b">
        <v>1</v>
      </c>
      <c r="S937" s="52" t="s">
        <v>1243</v>
      </c>
      <c r="T937" s="52"/>
      <c r="U937" s="51" t="b">
        <v>0</v>
      </c>
      <c r="V937" s="51" t="b">
        <v>1</v>
      </c>
      <c r="W937" s="51" t="b">
        <v>1</v>
      </c>
      <c r="X937" s="51" t="b">
        <v>0</v>
      </c>
      <c r="Y937" s="51" t="b">
        <v>0</v>
      </c>
      <c r="Z937" s="51" t="b">
        <v>1</v>
      </c>
      <c r="AA937" s="71">
        <v>0.009039351851851852</v>
      </c>
      <c r="AB937" s="69" t="s">
        <v>3027</v>
      </c>
      <c r="AC937" s="52"/>
      <c r="AD937" s="73" t="s">
        <v>3028</v>
      </c>
      <c r="AE937" s="56" t="s">
        <v>743</v>
      </c>
      <c r="AF937" s="56" t="s">
        <v>873</v>
      </c>
    </row>
    <row r="938">
      <c r="A938" s="52" t="s">
        <v>3029</v>
      </c>
      <c r="B938" s="52" t="s">
        <v>607</v>
      </c>
      <c r="C938" s="52" t="s">
        <v>607</v>
      </c>
      <c r="D938" s="65" t="s">
        <v>607</v>
      </c>
      <c r="E938" s="65" t="s">
        <v>607</v>
      </c>
      <c r="F938" s="65" t="s">
        <v>607</v>
      </c>
      <c r="G938" s="65" t="s">
        <v>607</v>
      </c>
      <c r="H938" s="52" t="s">
        <v>607</v>
      </c>
      <c r="I938" s="52" t="s">
        <v>607</v>
      </c>
      <c r="J938" s="52" t="s">
        <v>607</v>
      </c>
      <c r="K938" s="52" t="s">
        <v>607</v>
      </c>
      <c r="L938" s="52" t="s">
        <v>607</v>
      </c>
      <c r="M938" s="52" t="s">
        <v>607</v>
      </c>
      <c r="N938" s="52" t="s">
        <v>607</v>
      </c>
      <c r="O938" s="52"/>
      <c r="P938" s="52"/>
      <c r="Q938" s="52"/>
      <c r="R938" s="51" t="b">
        <v>0</v>
      </c>
      <c r="S938" s="51"/>
      <c r="T938" s="52"/>
      <c r="U938" s="51" t="b">
        <v>0</v>
      </c>
      <c r="V938" s="51" t="b">
        <v>0</v>
      </c>
      <c r="W938" s="51" t="b">
        <v>0</v>
      </c>
      <c r="X938" s="51" t="b">
        <v>0</v>
      </c>
      <c r="Y938" s="51" t="b">
        <v>0</v>
      </c>
      <c r="Z938" s="51" t="b">
        <v>0</v>
      </c>
      <c r="AA938" s="68"/>
      <c r="AB938" s="52"/>
      <c r="AC938" s="52"/>
      <c r="AD938" s="52"/>
      <c r="AE938" s="56" t="s">
        <v>607</v>
      </c>
      <c r="AF938" s="56" t="s">
        <v>607</v>
      </c>
    </row>
    <row r="939">
      <c r="A939" s="52" t="s">
        <v>3030</v>
      </c>
      <c r="B939" s="52" t="s">
        <v>607</v>
      </c>
      <c r="C939" s="52" t="s">
        <v>607</v>
      </c>
      <c r="D939" s="65" t="s">
        <v>607</v>
      </c>
      <c r="E939" s="65" t="s">
        <v>607</v>
      </c>
      <c r="F939" s="65" t="s">
        <v>607</v>
      </c>
      <c r="G939" s="65" t="s">
        <v>607</v>
      </c>
      <c r="H939" s="52" t="s">
        <v>607</v>
      </c>
      <c r="I939" s="52" t="s">
        <v>607</v>
      </c>
      <c r="J939" s="52" t="s">
        <v>607</v>
      </c>
      <c r="K939" s="52" t="s">
        <v>607</v>
      </c>
      <c r="L939" s="52" t="s">
        <v>607</v>
      </c>
      <c r="M939" s="52" t="s">
        <v>607</v>
      </c>
      <c r="N939" s="52" t="s">
        <v>607</v>
      </c>
      <c r="O939" s="52"/>
      <c r="P939" s="52"/>
      <c r="Q939" s="52"/>
      <c r="R939" s="51" t="b">
        <v>0</v>
      </c>
      <c r="S939" s="51"/>
      <c r="T939" s="52"/>
      <c r="U939" s="51" t="b">
        <v>0</v>
      </c>
      <c r="V939" s="51" t="b">
        <v>0</v>
      </c>
      <c r="W939" s="51" t="b">
        <v>0</v>
      </c>
      <c r="X939" s="51" t="b">
        <v>0</v>
      </c>
      <c r="Y939" s="51" t="b">
        <v>0</v>
      </c>
      <c r="Z939" s="51" t="b">
        <v>0</v>
      </c>
      <c r="AA939" s="68"/>
      <c r="AB939" s="52"/>
      <c r="AC939" s="52"/>
      <c r="AD939" s="52"/>
      <c r="AE939" s="56" t="s">
        <v>607</v>
      </c>
      <c r="AF939" s="56" t="s">
        <v>607</v>
      </c>
    </row>
    <row r="940">
      <c r="A940" s="52" t="s">
        <v>3031</v>
      </c>
      <c r="B940" s="52" t="s">
        <v>607</v>
      </c>
      <c r="C940" s="52" t="s">
        <v>607</v>
      </c>
      <c r="D940" s="65" t="s">
        <v>607</v>
      </c>
      <c r="E940" s="65" t="s">
        <v>607</v>
      </c>
      <c r="F940" s="65" t="s">
        <v>607</v>
      </c>
      <c r="G940" s="65" t="s">
        <v>607</v>
      </c>
      <c r="H940" s="52" t="s">
        <v>607</v>
      </c>
      <c r="I940" s="52" t="s">
        <v>607</v>
      </c>
      <c r="J940" s="52" t="s">
        <v>607</v>
      </c>
      <c r="K940" s="52" t="s">
        <v>607</v>
      </c>
      <c r="L940" s="52" t="s">
        <v>607</v>
      </c>
      <c r="M940" s="52" t="s">
        <v>607</v>
      </c>
      <c r="N940" s="52" t="s">
        <v>607</v>
      </c>
      <c r="O940" s="52"/>
      <c r="P940" s="52"/>
      <c r="Q940" s="52"/>
      <c r="R940" s="51" t="b">
        <v>0</v>
      </c>
      <c r="S940" s="51"/>
      <c r="T940" s="52"/>
      <c r="U940" s="51" t="b">
        <v>0</v>
      </c>
      <c r="V940" s="51" t="b">
        <v>0</v>
      </c>
      <c r="W940" s="51" t="b">
        <v>0</v>
      </c>
      <c r="X940" s="51" t="b">
        <v>0</v>
      </c>
      <c r="Y940" s="51" t="b">
        <v>0</v>
      </c>
      <c r="Z940" s="51" t="b">
        <v>0</v>
      </c>
      <c r="AA940" s="68"/>
      <c r="AB940" s="52"/>
      <c r="AC940" s="52"/>
      <c r="AD940" s="52"/>
      <c r="AE940" s="56" t="s">
        <v>607</v>
      </c>
      <c r="AF940" s="56" t="s">
        <v>607</v>
      </c>
    </row>
    <row r="941">
      <c r="A941" s="52" t="s">
        <v>3032</v>
      </c>
      <c r="B941" s="52" t="s">
        <v>19</v>
      </c>
      <c r="C941" s="52" t="s">
        <v>66</v>
      </c>
      <c r="D941" s="65">
        <v>0.6570949074074074</v>
      </c>
      <c r="E941" s="65">
        <v>3.4722222222222224E-4</v>
      </c>
      <c r="F941" s="65">
        <v>0.6574421296296297</v>
      </c>
      <c r="G941" s="65" t="s">
        <v>275</v>
      </c>
      <c r="H941" s="52" t="s">
        <v>506</v>
      </c>
      <c r="I941" s="52" t="s">
        <v>1141</v>
      </c>
      <c r="J941" s="52"/>
      <c r="K941" s="52"/>
      <c r="L941" s="52"/>
      <c r="M941" s="52"/>
      <c r="N941" s="52" t="s">
        <v>70</v>
      </c>
      <c r="O941" s="52"/>
      <c r="P941" s="52"/>
      <c r="Q941" s="52"/>
      <c r="R941" s="51" t="b">
        <v>0</v>
      </c>
      <c r="S941" s="51"/>
      <c r="T941" s="52"/>
      <c r="U941" s="51" t="b">
        <v>0</v>
      </c>
      <c r="V941" s="51" t="b">
        <v>0</v>
      </c>
      <c r="W941" s="51" t="b">
        <v>0</v>
      </c>
      <c r="X941" s="51" t="b">
        <v>0</v>
      </c>
      <c r="Y941" s="51" t="b">
        <v>0</v>
      </c>
      <c r="Z941" s="51" t="b">
        <v>0</v>
      </c>
      <c r="AA941" s="68"/>
      <c r="AB941" s="52"/>
      <c r="AC941" s="52"/>
      <c r="AD941" s="52"/>
      <c r="AE941" s="56"/>
      <c r="AF941" s="56" t="s">
        <v>1215</v>
      </c>
    </row>
    <row r="942">
      <c r="A942" s="52" t="s">
        <v>3033</v>
      </c>
      <c r="B942" s="52" t="s">
        <v>607</v>
      </c>
      <c r="C942" s="52" t="s">
        <v>607</v>
      </c>
      <c r="D942" s="65" t="s">
        <v>607</v>
      </c>
      <c r="E942" s="65" t="s">
        <v>607</v>
      </c>
      <c r="F942" s="65" t="s">
        <v>607</v>
      </c>
      <c r="G942" s="65" t="s">
        <v>607</v>
      </c>
      <c r="H942" s="52" t="s">
        <v>607</v>
      </c>
      <c r="I942" s="52" t="s">
        <v>607</v>
      </c>
      <c r="J942" s="52" t="s">
        <v>607</v>
      </c>
      <c r="K942" s="52" t="s">
        <v>607</v>
      </c>
      <c r="L942" s="52" t="s">
        <v>607</v>
      </c>
      <c r="M942" s="52" t="s">
        <v>607</v>
      </c>
      <c r="N942" s="52" t="s">
        <v>607</v>
      </c>
      <c r="O942" s="52"/>
      <c r="P942" s="52"/>
      <c r="Q942" s="52"/>
      <c r="R942" s="51" t="b">
        <v>0</v>
      </c>
      <c r="S942" s="51"/>
      <c r="T942" s="52"/>
      <c r="U942" s="51" t="b">
        <v>0</v>
      </c>
      <c r="V942" s="51" t="b">
        <v>0</v>
      </c>
      <c r="W942" s="51" t="b">
        <v>0</v>
      </c>
      <c r="X942" s="51" t="b">
        <v>0</v>
      </c>
      <c r="Y942" s="51" t="b">
        <v>0</v>
      </c>
      <c r="Z942" s="51" t="b">
        <v>0</v>
      </c>
      <c r="AA942" s="68"/>
      <c r="AB942" s="52"/>
      <c r="AC942" s="52"/>
      <c r="AD942" s="52"/>
      <c r="AE942" s="56" t="s">
        <v>607</v>
      </c>
      <c r="AF942" s="56" t="s">
        <v>607</v>
      </c>
    </row>
    <row r="943">
      <c r="A943" s="52" t="s">
        <v>3034</v>
      </c>
      <c r="B943" s="52" t="s">
        <v>19</v>
      </c>
      <c r="C943" s="52" t="s">
        <v>221</v>
      </c>
      <c r="D943" s="65">
        <v>0.5523958333333334</v>
      </c>
      <c r="E943" s="65">
        <v>2.314814814814815E-4</v>
      </c>
      <c r="F943" s="65">
        <v>0.5526273148148149</v>
      </c>
      <c r="G943" s="65" t="s">
        <v>275</v>
      </c>
      <c r="H943" s="52" t="s">
        <v>81</v>
      </c>
      <c r="I943" s="52" t="s">
        <v>81</v>
      </c>
      <c r="J943" s="52"/>
      <c r="K943" s="52"/>
      <c r="L943" s="52"/>
      <c r="M943" s="52"/>
      <c r="N943" s="52" t="s">
        <v>70</v>
      </c>
      <c r="O943" s="52"/>
      <c r="P943" s="52"/>
      <c r="Q943" s="52"/>
      <c r="R943" s="51" t="b">
        <v>0</v>
      </c>
      <c r="S943" s="51"/>
      <c r="T943" s="52"/>
      <c r="U943" s="51" t="b">
        <v>0</v>
      </c>
      <c r="V943" s="51" t="b">
        <v>0</v>
      </c>
      <c r="W943" s="51" t="b">
        <v>0</v>
      </c>
      <c r="X943" s="51" t="b">
        <v>0</v>
      </c>
      <c r="Y943" s="51" t="b">
        <v>0</v>
      </c>
      <c r="Z943" s="51" t="b">
        <v>0</v>
      </c>
      <c r="AA943" s="68"/>
      <c r="AB943" s="52"/>
      <c r="AC943" s="52"/>
      <c r="AD943" s="52"/>
      <c r="AE943" s="56"/>
      <c r="AF943" s="56" t="s">
        <v>1944</v>
      </c>
    </row>
    <row r="944">
      <c r="A944" s="52" t="s">
        <v>3035</v>
      </c>
      <c r="B944" s="52" t="s">
        <v>19</v>
      </c>
      <c r="C944" s="52" t="s">
        <v>221</v>
      </c>
      <c r="D944" s="65">
        <v>0.5526273148148149</v>
      </c>
      <c r="E944" s="65">
        <v>0.013865740740740741</v>
      </c>
      <c r="F944" s="65">
        <v>0.5664930555555556</v>
      </c>
      <c r="G944" s="65" t="s">
        <v>275</v>
      </c>
      <c r="H944" s="52" t="s">
        <v>94</v>
      </c>
      <c r="I944" s="52" t="s">
        <v>1240</v>
      </c>
      <c r="J944" s="52" t="s">
        <v>1241</v>
      </c>
      <c r="K944" s="52"/>
      <c r="L944" s="52"/>
      <c r="M944" s="52"/>
      <c r="N944" s="52" t="s">
        <v>378</v>
      </c>
      <c r="O944" s="52"/>
      <c r="P944" s="69" t="s">
        <v>23</v>
      </c>
      <c r="Q944" s="80" t="s">
        <v>1373</v>
      </c>
      <c r="R944" s="51" t="b">
        <v>1</v>
      </c>
      <c r="S944" s="52" t="s">
        <v>1240</v>
      </c>
      <c r="T944" s="52"/>
      <c r="U944" s="51" t="b">
        <v>0</v>
      </c>
      <c r="V944" s="51" t="b">
        <v>1</v>
      </c>
      <c r="W944" s="51" t="b">
        <v>1</v>
      </c>
      <c r="X944" s="51" t="b">
        <v>0</v>
      </c>
      <c r="Y944" s="51" t="b">
        <v>0</v>
      </c>
      <c r="Z944" s="51" t="b">
        <v>0</v>
      </c>
      <c r="AA944" s="71">
        <v>0.013865740740740741</v>
      </c>
      <c r="AB944" s="69" t="s">
        <v>3036</v>
      </c>
      <c r="AC944" s="52"/>
      <c r="AD944" s="76" t="s">
        <v>3037</v>
      </c>
      <c r="AE944" s="56" t="s">
        <v>629</v>
      </c>
      <c r="AF944" s="56" t="s">
        <v>1253</v>
      </c>
    </row>
    <row r="945">
      <c r="A945" s="52" t="s">
        <v>3038</v>
      </c>
      <c r="B945" s="52" t="s">
        <v>607</v>
      </c>
      <c r="C945" s="52" t="s">
        <v>607</v>
      </c>
      <c r="D945" s="65" t="s">
        <v>607</v>
      </c>
      <c r="E945" s="65" t="s">
        <v>607</v>
      </c>
      <c r="F945" s="65" t="s">
        <v>607</v>
      </c>
      <c r="G945" s="65" t="s">
        <v>607</v>
      </c>
      <c r="H945" s="52" t="s">
        <v>607</v>
      </c>
      <c r="I945" s="52" t="s">
        <v>607</v>
      </c>
      <c r="J945" s="52" t="s">
        <v>607</v>
      </c>
      <c r="K945" s="52" t="s">
        <v>607</v>
      </c>
      <c r="L945" s="52" t="s">
        <v>607</v>
      </c>
      <c r="M945" s="52" t="s">
        <v>607</v>
      </c>
      <c r="N945" s="52" t="s">
        <v>607</v>
      </c>
      <c r="O945" s="52"/>
      <c r="P945" s="52"/>
      <c r="Q945" s="52"/>
      <c r="R945" s="51" t="b">
        <v>0</v>
      </c>
      <c r="S945" s="51"/>
      <c r="T945" s="52"/>
      <c r="U945" s="51" t="b">
        <v>0</v>
      </c>
      <c r="V945" s="51" t="b">
        <v>0</v>
      </c>
      <c r="W945" s="51" t="b">
        <v>0</v>
      </c>
      <c r="X945" s="51" t="b">
        <v>0</v>
      </c>
      <c r="Y945" s="51" t="b">
        <v>0</v>
      </c>
      <c r="Z945" s="51" t="b">
        <v>0</v>
      </c>
      <c r="AA945" s="68"/>
      <c r="AB945" s="52"/>
      <c r="AC945" s="52"/>
      <c r="AD945" s="52"/>
      <c r="AE945" s="56" t="s">
        <v>607</v>
      </c>
      <c r="AF945" s="56" t="s">
        <v>607</v>
      </c>
    </row>
    <row r="946">
      <c r="A946" s="52" t="s">
        <v>3039</v>
      </c>
      <c r="B946" s="52" t="s">
        <v>785</v>
      </c>
      <c r="C946" s="52" t="s">
        <v>221</v>
      </c>
      <c r="D946" s="65">
        <v>0.7117824074074081</v>
      </c>
      <c r="E946" s="65">
        <v>3.4722222222222224E-4</v>
      </c>
      <c r="F946" s="65">
        <v>0.7121296296296303</v>
      </c>
      <c r="G946" s="65" t="s">
        <v>275</v>
      </c>
      <c r="H946" s="52" t="s">
        <v>81</v>
      </c>
      <c r="I946" s="52" t="s">
        <v>81</v>
      </c>
      <c r="J946" s="52"/>
      <c r="K946" s="52"/>
      <c r="L946" s="52"/>
      <c r="M946" s="52"/>
      <c r="N946" s="52" t="s">
        <v>70</v>
      </c>
      <c r="O946" s="52"/>
      <c r="P946" s="52"/>
      <c r="Q946" s="52"/>
      <c r="R946" s="51" t="b">
        <v>0</v>
      </c>
      <c r="S946" s="51"/>
      <c r="T946" s="52"/>
      <c r="U946" s="51" t="b">
        <v>0</v>
      </c>
      <c r="V946" s="51" t="b">
        <v>0</v>
      </c>
      <c r="W946" s="51" t="b">
        <v>0</v>
      </c>
      <c r="X946" s="51" t="b">
        <v>0</v>
      </c>
      <c r="Y946" s="51" t="b">
        <v>0</v>
      </c>
      <c r="Z946" s="51" t="b">
        <v>0</v>
      </c>
      <c r="AA946" s="68"/>
      <c r="AB946" s="52"/>
      <c r="AC946" s="52"/>
      <c r="AD946" s="52"/>
      <c r="AE946" s="56"/>
      <c r="AF946" s="56" t="s">
        <v>1944</v>
      </c>
    </row>
    <row r="947">
      <c r="A947" s="52" t="s">
        <v>3040</v>
      </c>
      <c r="B947" s="52" t="s">
        <v>785</v>
      </c>
      <c r="C947" s="52" t="s">
        <v>221</v>
      </c>
      <c r="D947" s="65">
        <v>0.7121296296296303</v>
      </c>
      <c r="E947" s="65">
        <v>0.007638888888888889</v>
      </c>
      <c r="F947" s="65">
        <v>0.7197685185185192</v>
      </c>
      <c r="G947" s="65" t="s">
        <v>275</v>
      </c>
      <c r="H947" s="52" t="s">
        <v>165</v>
      </c>
      <c r="I947" s="52" t="s">
        <v>1797</v>
      </c>
      <c r="J947" s="52" t="s">
        <v>1798</v>
      </c>
      <c r="K947" s="52"/>
      <c r="L947" s="52"/>
      <c r="M947" s="52"/>
      <c r="N947" s="52" t="s">
        <v>70</v>
      </c>
      <c r="O947" s="52"/>
      <c r="P947" s="69"/>
      <c r="Q947" s="94" t="s">
        <v>1034</v>
      </c>
      <c r="R947" s="51" t="b">
        <v>0</v>
      </c>
      <c r="S947" s="51"/>
      <c r="T947" s="52"/>
      <c r="U947" s="51" t="b">
        <v>0</v>
      </c>
      <c r="V947" s="51" t="b">
        <v>0</v>
      </c>
      <c r="W947" s="51" t="b">
        <v>0</v>
      </c>
      <c r="X947" s="51" t="b">
        <v>0</v>
      </c>
      <c r="Y947" s="51" t="b">
        <v>0</v>
      </c>
      <c r="Z947" s="51" t="b">
        <v>1</v>
      </c>
      <c r="AA947" s="93"/>
      <c r="AB947" s="94" t="s">
        <v>1034</v>
      </c>
      <c r="AC947" s="94"/>
      <c r="AD947" s="52"/>
      <c r="AE947" s="56" t="s">
        <v>652</v>
      </c>
      <c r="AF947" s="56" t="s">
        <v>1185</v>
      </c>
    </row>
    <row r="948">
      <c r="A948" s="52" t="s">
        <v>3041</v>
      </c>
      <c r="B948" s="52" t="s">
        <v>785</v>
      </c>
      <c r="C948" s="52" t="s">
        <v>221</v>
      </c>
      <c r="D948" s="65">
        <v>0.7197685185185192</v>
      </c>
      <c r="E948" s="65">
        <v>1.7361111111111112E-4</v>
      </c>
      <c r="F948" s="65">
        <v>0.7199421296296303</v>
      </c>
      <c r="G948" s="65" t="s">
        <v>275</v>
      </c>
      <c r="H948" s="52" t="s">
        <v>85</v>
      </c>
      <c r="I948" s="52" t="s">
        <v>85</v>
      </c>
      <c r="J948" s="52"/>
      <c r="K948" s="52"/>
      <c r="L948" s="52"/>
      <c r="M948" s="52"/>
      <c r="N948" s="52" t="s">
        <v>70</v>
      </c>
      <c r="O948" s="52"/>
      <c r="P948" s="52"/>
      <c r="Q948" s="52"/>
      <c r="R948" s="51" t="b">
        <v>0</v>
      </c>
      <c r="S948" s="51"/>
      <c r="T948" s="52"/>
      <c r="U948" s="51" t="b">
        <v>0</v>
      </c>
      <c r="V948" s="51" t="b">
        <v>0</v>
      </c>
      <c r="W948" s="51" t="b">
        <v>0</v>
      </c>
      <c r="X948" s="51" t="b">
        <v>0</v>
      </c>
      <c r="Y948" s="51" t="b">
        <v>0</v>
      </c>
      <c r="Z948" s="51" t="b">
        <v>0</v>
      </c>
      <c r="AA948" s="68"/>
      <c r="AB948" s="52"/>
      <c r="AC948" s="52"/>
      <c r="AD948" s="52"/>
      <c r="AE948" s="56"/>
      <c r="AF948" s="56" t="s">
        <v>1944</v>
      </c>
    </row>
    <row r="949">
      <c r="A949" s="52" t="s">
        <v>3042</v>
      </c>
      <c r="B949" s="52" t="s">
        <v>607</v>
      </c>
      <c r="C949" s="52" t="s">
        <v>607</v>
      </c>
      <c r="D949" s="65" t="s">
        <v>607</v>
      </c>
      <c r="E949" s="65" t="s">
        <v>607</v>
      </c>
      <c r="F949" s="65" t="s">
        <v>607</v>
      </c>
      <c r="G949" s="65" t="s">
        <v>607</v>
      </c>
      <c r="H949" s="52" t="s">
        <v>607</v>
      </c>
      <c r="I949" s="52" t="s">
        <v>607</v>
      </c>
      <c r="J949" s="52" t="s">
        <v>607</v>
      </c>
      <c r="K949" s="52" t="s">
        <v>607</v>
      </c>
      <c r="L949" s="52" t="s">
        <v>607</v>
      </c>
      <c r="M949" s="52" t="s">
        <v>607</v>
      </c>
      <c r="N949" s="52" t="s">
        <v>607</v>
      </c>
      <c r="O949" s="52"/>
      <c r="P949" s="52"/>
      <c r="Q949" s="52"/>
      <c r="R949" s="51" t="b">
        <v>0</v>
      </c>
      <c r="S949" s="51"/>
      <c r="T949" s="52"/>
      <c r="U949" s="51" t="b">
        <v>0</v>
      </c>
      <c r="V949" s="51" t="b">
        <v>0</v>
      </c>
      <c r="W949" s="51" t="b">
        <v>0</v>
      </c>
      <c r="X949" s="51" t="b">
        <v>0</v>
      </c>
      <c r="Y949" s="51" t="b">
        <v>0</v>
      </c>
      <c r="Z949" s="51" t="b">
        <v>0</v>
      </c>
      <c r="AA949" s="68"/>
      <c r="AB949" s="52"/>
      <c r="AC949" s="52"/>
      <c r="AD949" s="52"/>
      <c r="AE949" s="56" t="s">
        <v>607</v>
      </c>
      <c r="AF949" s="56" t="s">
        <v>607</v>
      </c>
    </row>
    <row r="950">
      <c r="A950" s="52" t="s">
        <v>3043</v>
      </c>
      <c r="B950" s="52" t="s">
        <v>19</v>
      </c>
      <c r="C950" s="52" t="s">
        <v>221</v>
      </c>
      <c r="D950" s="65">
        <v>0.575763888888889</v>
      </c>
      <c r="E950" s="65">
        <v>2.314814814814815E-4</v>
      </c>
      <c r="F950" s="65">
        <v>0.5759953703703704</v>
      </c>
      <c r="G950" s="65"/>
      <c r="H950" s="52" t="s">
        <v>81</v>
      </c>
      <c r="I950" s="52" t="s">
        <v>81</v>
      </c>
      <c r="J950" s="52"/>
      <c r="K950" s="52"/>
      <c r="L950" s="52"/>
      <c r="M950" s="52"/>
      <c r="N950" s="52"/>
      <c r="O950" s="52"/>
      <c r="P950" s="52"/>
      <c r="Q950" s="52"/>
      <c r="R950" s="51" t="b">
        <v>0</v>
      </c>
      <c r="S950" s="51"/>
      <c r="T950" s="52"/>
      <c r="U950" s="51" t="b">
        <v>0</v>
      </c>
      <c r="V950" s="51" t="b">
        <v>0</v>
      </c>
      <c r="W950" s="51" t="b">
        <v>0</v>
      </c>
      <c r="X950" s="51" t="b">
        <v>0</v>
      </c>
      <c r="Y950" s="51" t="b">
        <v>0</v>
      </c>
      <c r="Z950" s="51" t="b">
        <v>0</v>
      </c>
      <c r="AA950" s="68"/>
      <c r="AB950" s="52"/>
      <c r="AC950" s="52"/>
      <c r="AD950" s="52"/>
      <c r="AE950" s="56"/>
      <c r="AF950" s="56" t="s">
        <v>1944</v>
      </c>
    </row>
    <row r="951">
      <c r="A951" s="52" t="s">
        <v>3044</v>
      </c>
      <c r="B951" s="52" t="s">
        <v>19</v>
      </c>
      <c r="C951" s="52" t="s">
        <v>221</v>
      </c>
      <c r="D951" s="65">
        <v>0.5759953703703704</v>
      </c>
      <c r="E951" s="65">
        <v>0.0069328703703703705</v>
      </c>
      <c r="F951" s="65">
        <v>0.5829282407407408</v>
      </c>
      <c r="G951" s="65" t="s">
        <v>275</v>
      </c>
      <c r="H951" s="52" t="s">
        <v>165</v>
      </c>
      <c r="I951" s="52" t="s">
        <v>1248</v>
      </c>
      <c r="J951" s="52" t="s">
        <v>1249</v>
      </c>
      <c r="K951" s="52"/>
      <c r="L951" s="52"/>
      <c r="M951" s="52"/>
      <c r="N951" s="52" t="s">
        <v>70</v>
      </c>
      <c r="O951" s="69" t="s">
        <v>1926</v>
      </c>
      <c r="P951" s="69" t="s">
        <v>30</v>
      </c>
      <c r="Q951" s="80" t="s">
        <v>3045</v>
      </c>
      <c r="R951" s="51" t="b">
        <v>1</v>
      </c>
      <c r="S951" s="52" t="s">
        <v>1248</v>
      </c>
      <c r="T951" s="52"/>
      <c r="U951" s="51" t="b">
        <v>0</v>
      </c>
      <c r="V951" s="51" t="b">
        <v>1</v>
      </c>
      <c r="W951" s="51" t="b">
        <v>1</v>
      </c>
      <c r="X951" s="51" t="b">
        <v>0</v>
      </c>
      <c r="Y951" s="51" t="b">
        <v>0</v>
      </c>
      <c r="Z951" s="51" t="b">
        <v>0</v>
      </c>
      <c r="AA951" s="71">
        <v>0.0069328703703703705</v>
      </c>
      <c r="AB951" s="52"/>
      <c r="AC951" s="52"/>
      <c r="AD951" s="73" t="s">
        <v>3046</v>
      </c>
      <c r="AE951" s="56" t="s">
        <v>629</v>
      </c>
      <c r="AF951" s="56" t="s">
        <v>946</v>
      </c>
    </row>
    <row r="952">
      <c r="A952" s="52" t="s">
        <v>3047</v>
      </c>
      <c r="B952" s="52" t="s">
        <v>607</v>
      </c>
      <c r="C952" s="52" t="s">
        <v>607</v>
      </c>
      <c r="D952" s="65" t="s">
        <v>607</v>
      </c>
      <c r="E952" s="65" t="s">
        <v>607</v>
      </c>
      <c r="F952" s="65" t="s">
        <v>607</v>
      </c>
      <c r="G952" s="65" t="s">
        <v>607</v>
      </c>
      <c r="H952" s="52" t="s">
        <v>607</v>
      </c>
      <c r="I952" s="52" t="s">
        <v>607</v>
      </c>
      <c r="J952" s="52" t="s">
        <v>607</v>
      </c>
      <c r="K952" s="52" t="s">
        <v>607</v>
      </c>
      <c r="L952" s="52" t="s">
        <v>607</v>
      </c>
      <c r="M952" s="52" t="s">
        <v>607</v>
      </c>
      <c r="N952" s="52" t="s">
        <v>607</v>
      </c>
      <c r="O952" s="52"/>
      <c r="P952" s="52"/>
      <c r="Q952" s="52"/>
      <c r="R952" s="51" t="b">
        <v>0</v>
      </c>
      <c r="S952" s="51"/>
      <c r="T952" s="52"/>
      <c r="U952" s="51" t="b">
        <v>0</v>
      </c>
      <c r="V952" s="51" t="b">
        <v>0</v>
      </c>
      <c r="W952" s="51" t="b">
        <v>0</v>
      </c>
      <c r="X952" s="51" t="b">
        <v>0</v>
      </c>
      <c r="Y952" s="51" t="b">
        <v>0</v>
      </c>
      <c r="Z952" s="51" t="b">
        <v>0</v>
      </c>
      <c r="AA952" s="68"/>
      <c r="AB952" s="52"/>
      <c r="AC952" s="52"/>
      <c r="AD952" s="52"/>
      <c r="AE952" s="56" t="s">
        <v>607</v>
      </c>
      <c r="AF952" s="56" t="s">
        <v>607</v>
      </c>
    </row>
    <row r="953">
      <c r="A953" s="52" t="s">
        <v>3048</v>
      </c>
      <c r="B953" s="52" t="s">
        <v>19</v>
      </c>
      <c r="C953" s="52" t="s">
        <v>221</v>
      </c>
      <c r="D953" s="65">
        <v>0.4967708333333334</v>
      </c>
      <c r="E953" s="65">
        <v>3.4722222222222224E-4</v>
      </c>
      <c r="F953" s="65">
        <v>0.4971180555555556</v>
      </c>
      <c r="G953" s="65" t="s">
        <v>275</v>
      </c>
      <c r="H953" s="52" t="s">
        <v>506</v>
      </c>
      <c r="I953" s="52" t="s">
        <v>1141</v>
      </c>
      <c r="J953" s="52"/>
      <c r="K953" s="52"/>
      <c r="L953" s="52"/>
      <c r="M953" s="52"/>
      <c r="N953" s="52" t="s">
        <v>70</v>
      </c>
      <c r="O953" s="52"/>
      <c r="P953" s="52"/>
      <c r="Q953" s="52"/>
      <c r="R953" s="51" t="b">
        <v>0</v>
      </c>
      <c r="S953" s="51"/>
      <c r="T953" s="52"/>
      <c r="U953" s="51" t="b">
        <v>0</v>
      </c>
      <c r="V953" s="51" t="b">
        <v>0</v>
      </c>
      <c r="W953" s="51" t="b">
        <v>0</v>
      </c>
      <c r="X953" s="51" t="b">
        <v>0</v>
      </c>
      <c r="Y953" s="51" t="b">
        <v>0</v>
      </c>
      <c r="Z953" s="51" t="b">
        <v>0</v>
      </c>
      <c r="AA953" s="68"/>
      <c r="AB953" s="52"/>
      <c r="AC953" s="52"/>
      <c r="AD953" s="52"/>
      <c r="AE953" s="56"/>
      <c r="AF953" s="56" t="s">
        <v>1215</v>
      </c>
    </row>
    <row r="954">
      <c r="A954" s="52" t="s">
        <v>3049</v>
      </c>
      <c r="B954" s="52" t="s">
        <v>19</v>
      </c>
      <c r="C954" s="52" t="s">
        <v>221</v>
      </c>
      <c r="D954" s="65">
        <v>0.5833333333333334</v>
      </c>
      <c r="E954" s="65">
        <v>3.4722222222222224E-4</v>
      </c>
      <c r="F954" s="65">
        <v>0.5836805555555556</v>
      </c>
      <c r="G954" s="65" t="s">
        <v>93</v>
      </c>
      <c r="H954" s="52" t="s">
        <v>81</v>
      </c>
      <c r="I954" s="52" t="s">
        <v>81</v>
      </c>
      <c r="J954" s="52"/>
      <c r="K954" s="52"/>
      <c r="L954" s="52"/>
      <c r="M954" s="52"/>
      <c r="N954" s="52" t="s">
        <v>70</v>
      </c>
      <c r="O954" s="52"/>
      <c r="P954" s="52"/>
      <c r="Q954" s="52"/>
      <c r="R954" s="51" t="b">
        <v>0</v>
      </c>
      <c r="S954" s="51"/>
      <c r="T954" s="52"/>
      <c r="U954" s="51" t="b">
        <v>0</v>
      </c>
      <c r="V954" s="51" t="b">
        <v>0</v>
      </c>
      <c r="W954" s="51" t="b">
        <v>0</v>
      </c>
      <c r="X954" s="51" t="b">
        <v>0</v>
      </c>
      <c r="Y954" s="51" t="b">
        <v>0</v>
      </c>
      <c r="Z954" s="51" t="b">
        <v>0</v>
      </c>
      <c r="AA954" s="68"/>
      <c r="AB954" s="52"/>
      <c r="AC954" s="52"/>
      <c r="AD954" s="52"/>
      <c r="AE954" s="56"/>
      <c r="AF954" s="56" t="s">
        <v>1944</v>
      </c>
    </row>
    <row r="955">
      <c r="A955" s="52" t="s">
        <v>3050</v>
      </c>
      <c r="B955" s="52" t="s">
        <v>19</v>
      </c>
      <c r="C955" s="52" t="s">
        <v>221</v>
      </c>
      <c r="D955" s="65">
        <v>0.5836805555555556</v>
      </c>
      <c r="E955" s="65">
        <v>0.00866898148148148</v>
      </c>
      <c r="F955" s="65">
        <v>0.5923495370370371</v>
      </c>
      <c r="G955" s="65" t="s">
        <v>93</v>
      </c>
      <c r="H955" s="52" t="s">
        <v>94</v>
      </c>
      <c r="I955" s="52" t="s">
        <v>1255</v>
      </c>
      <c r="J955" s="52" t="s">
        <v>1210</v>
      </c>
      <c r="K955" s="52"/>
      <c r="L955" s="52"/>
      <c r="M955" s="52"/>
      <c r="N955" s="52" t="s">
        <v>563</v>
      </c>
      <c r="O955" s="69" t="s">
        <v>618</v>
      </c>
      <c r="P955" s="69" t="s">
        <v>20</v>
      </c>
      <c r="Q955" s="111" t="s">
        <v>3051</v>
      </c>
      <c r="R955" s="51" t="b">
        <v>1</v>
      </c>
      <c r="S955" s="52" t="s">
        <v>1255</v>
      </c>
      <c r="T955" s="52"/>
      <c r="U955" s="51" t="b">
        <v>0</v>
      </c>
      <c r="V955" s="51" t="b">
        <v>1</v>
      </c>
      <c r="W955" s="51" t="b">
        <v>1</v>
      </c>
      <c r="X955" s="51" t="b">
        <v>0</v>
      </c>
      <c r="Y955" s="51" t="b">
        <v>0</v>
      </c>
      <c r="Z955" s="51" t="b">
        <v>0</v>
      </c>
      <c r="AA955" s="71">
        <v>0.00866898148148148</v>
      </c>
      <c r="AB955" s="69" t="s">
        <v>3052</v>
      </c>
      <c r="AC955" s="52"/>
      <c r="AD955" s="73" t="s">
        <v>3053</v>
      </c>
      <c r="AE955" s="56" t="s">
        <v>629</v>
      </c>
      <c r="AF955" s="56" t="s">
        <v>972</v>
      </c>
    </row>
    <row r="956">
      <c r="A956" s="52" t="s">
        <v>3054</v>
      </c>
      <c r="B956" s="52" t="s">
        <v>607</v>
      </c>
      <c r="C956" s="52" t="s">
        <v>607</v>
      </c>
      <c r="D956" s="65" t="s">
        <v>607</v>
      </c>
      <c r="E956" s="65" t="s">
        <v>607</v>
      </c>
      <c r="F956" s="65" t="s">
        <v>607</v>
      </c>
      <c r="G956" s="65" t="s">
        <v>607</v>
      </c>
      <c r="H956" s="52" t="s">
        <v>607</v>
      </c>
      <c r="I956" s="52" t="s">
        <v>607</v>
      </c>
      <c r="J956" s="52" t="s">
        <v>607</v>
      </c>
      <c r="K956" s="52" t="s">
        <v>607</v>
      </c>
      <c r="L956" s="52" t="s">
        <v>607</v>
      </c>
      <c r="M956" s="52" t="s">
        <v>607</v>
      </c>
      <c r="N956" s="52" t="s">
        <v>607</v>
      </c>
      <c r="O956" s="52"/>
      <c r="P956" s="52"/>
      <c r="Q956" s="52"/>
      <c r="R956" s="51" t="b">
        <v>0</v>
      </c>
      <c r="S956" s="51"/>
      <c r="T956" s="52"/>
      <c r="U956" s="51" t="b">
        <v>0</v>
      </c>
      <c r="V956" s="51" t="b">
        <v>0</v>
      </c>
      <c r="W956" s="51" t="b">
        <v>0</v>
      </c>
      <c r="X956" s="51" t="b">
        <v>0</v>
      </c>
      <c r="Y956" s="51" t="b">
        <v>0</v>
      </c>
      <c r="Z956" s="51" t="b">
        <v>0</v>
      </c>
      <c r="AA956" s="68"/>
      <c r="AB956" s="52"/>
      <c r="AC956" s="52"/>
      <c r="AD956" s="52"/>
      <c r="AE956" s="56" t="s">
        <v>607</v>
      </c>
      <c r="AF956" s="56" t="s">
        <v>607</v>
      </c>
    </row>
    <row r="957">
      <c r="A957" s="52" t="s">
        <v>3055</v>
      </c>
      <c r="B957" s="52" t="s">
        <v>19</v>
      </c>
      <c r="C957" s="52" t="s">
        <v>221</v>
      </c>
      <c r="D957" s="65">
        <v>0.5341435185185184</v>
      </c>
      <c r="E957" s="65">
        <v>2.314814814814815E-4</v>
      </c>
      <c r="F957" s="65">
        <v>0.5343749999999998</v>
      </c>
      <c r="G957" s="65" t="s">
        <v>93</v>
      </c>
      <c r="H957" s="52" t="s">
        <v>81</v>
      </c>
      <c r="I957" s="52" t="s">
        <v>81</v>
      </c>
      <c r="J957" s="52"/>
      <c r="K957" s="52"/>
      <c r="L957" s="52"/>
      <c r="M957" s="52"/>
      <c r="N957" s="52" t="s">
        <v>70</v>
      </c>
      <c r="O957" s="52"/>
      <c r="P957" s="52"/>
      <c r="Q957" s="52"/>
      <c r="R957" s="51" t="b">
        <v>0</v>
      </c>
      <c r="S957" s="51"/>
      <c r="T957" s="52"/>
      <c r="U957" s="51" t="b">
        <v>0</v>
      </c>
      <c r="V957" s="51" t="b">
        <v>0</v>
      </c>
      <c r="W957" s="51" t="b">
        <v>0</v>
      </c>
      <c r="X957" s="51" t="b">
        <v>0</v>
      </c>
      <c r="Y957" s="51" t="b">
        <v>0</v>
      </c>
      <c r="Z957" s="51" t="b">
        <v>0</v>
      </c>
      <c r="AA957" s="68"/>
      <c r="AB957" s="52"/>
      <c r="AC957" s="52"/>
      <c r="AD957" s="52"/>
      <c r="AE957" s="56"/>
      <c r="AF957" s="56" t="s">
        <v>1944</v>
      </c>
    </row>
    <row r="958">
      <c r="A958" s="52" t="s">
        <v>3056</v>
      </c>
      <c r="B958" s="52" t="s">
        <v>19</v>
      </c>
      <c r="C958" s="52" t="s">
        <v>221</v>
      </c>
      <c r="D958" s="65">
        <v>0.5343749999999998</v>
      </c>
      <c r="E958" s="65">
        <v>0.007048611111111111</v>
      </c>
      <c r="F958" s="65">
        <v>0.5414236111111109</v>
      </c>
      <c r="G958" s="65" t="s">
        <v>93</v>
      </c>
      <c r="H958" s="52" t="s">
        <v>94</v>
      </c>
      <c r="I958" s="52" t="s">
        <v>1229</v>
      </c>
      <c r="J958" s="52" t="s">
        <v>557</v>
      </c>
      <c r="K958" s="52"/>
      <c r="L958" s="52"/>
      <c r="M958" s="52"/>
      <c r="N958" s="52" t="s">
        <v>560</v>
      </c>
      <c r="O958" s="52"/>
      <c r="P958" s="69" t="s">
        <v>23</v>
      </c>
      <c r="Q958" s="80" t="s">
        <v>3057</v>
      </c>
      <c r="R958" s="51" t="b">
        <v>1</v>
      </c>
      <c r="S958" s="52" t="s">
        <v>1229</v>
      </c>
      <c r="T958" s="52"/>
      <c r="U958" s="51" t="b">
        <v>0</v>
      </c>
      <c r="V958" s="51" t="b">
        <v>1</v>
      </c>
      <c r="W958" s="51" t="b">
        <v>1</v>
      </c>
      <c r="X958" s="51" t="b">
        <v>0</v>
      </c>
      <c r="Y958" s="51" t="b">
        <v>0</v>
      </c>
      <c r="Z958" s="51" t="b">
        <v>0</v>
      </c>
      <c r="AA958" s="71">
        <v>0.007048611111111111</v>
      </c>
      <c r="AB958" s="69" t="s">
        <v>3058</v>
      </c>
      <c r="AC958" s="109"/>
      <c r="AD958" s="76" t="s">
        <v>3059</v>
      </c>
      <c r="AE958" s="56" t="s">
        <v>629</v>
      </c>
      <c r="AF958" s="56" t="s">
        <v>972</v>
      </c>
    </row>
    <row r="959">
      <c r="A959" s="52" t="s">
        <v>3060</v>
      </c>
      <c r="B959" s="52" t="s">
        <v>607</v>
      </c>
      <c r="C959" s="52" t="s">
        <v>607</v>
      </c>
      <c r="D959" s="65" t="s">
        <v>607</v>
      </c>
      <c r="E959" s="65" t="s">
        <v>607</v>
      </c>
      <c r="F959" s="65" t="s">
        <v>607</v>
      </c>
      <c r="G959" s="65" t="s">
        <v>607</v>
      </c>
      <c r="H959" s="52" t="s">
        <v>607</v>
      </c>
      <c r="I959" s="52" t="s">
        <v>607</v>
      </c>
      <c r="J959" s="52" t="s">
        <v>607</v>
      </c>
      <c r="K959" s="52" t="s">
        <v>607</v>
      </c>
      <c r="L959" s="52" t="s">
        <v>607</v>
      </c>
      <c r="M959" s="52" t="s">
        <v>607</v>
      </c>
      <c r="N959" s="52" t="s">
        <v>607</v>
      </c>
      <c r="O959" s="52"/>
      <c r="P959" s="52"/>
      <c r="Q959" s="52"/>
      <c r="R959" s="51" t="b">
        <v>0</v>
      </c>
      <c r="S959" s="51"/>
      <c r="T959" s="52"/>
      <c r="U959" s="51" t="b">
        <v>0</v>
      </c>
      <c r="V959" s="51" t="b">
        <v>0</v>
      </c>
      <c r="W959" s="51" t="b">
        <v>0</v>
      </c>
      <c r="X959" s="51" t="b">
        <v>0</v>
      </c>
      <c r="Y959" s="51" t="b">
        <v>0</v>
      </c>
      <c r="Z959" s="51" t="b">
        <v>0</v>
      </c>
      <c r="AA959" s="68"/>
      <c r="AB959" s="52"/>
      <c r="AC959" s="52"/>
      <c r="AD959" s="52"/>
      <c r="AE959" s="56" t="s">
        <v>607</v>
      </c>
      <c r="AF959" s="56" t="s">
        <v>607</v>
      </c>
    </row>
    <row r="960">
      <c r="A960" s="52" t="s">
        <v>3061</v>
      </c>
      <c r="B960" s="52" t="s">
        <v>19</v>
      </c>
      <c r="C960" s="52" t="s">
        <v>221</v>
      </c>
      <c r="D960" s="65">
        <v>0.6018171296296296</v>
      </c>
      <c r="E960" s="65">
        <v>2.314814814814815E-4</v>
      </c>
      <c r="F960" s="65">
        <v>0.6020486111111111</v>
      </c>
      <c r="G960" s="65" t="s">
        <v>93</v>
      </c>
      <c r="H960" s="52" t="s">
        <v>81</v>
      </c>
      <c r="I960" s="52" t="s">
        <v>81</v>
      </c>
      <c r="J960" s="52"/>
      <c r="K960" s="52"/>
      <c r="L960" s="52"/>
      <c r="M960" s="52"/>
      <c r="N960" s="52" t="s">
        <v>70</v>
      </c>
      <c r="O960" s="52"/>
      <c r="P960" s="52"/>
      <c r="Q960" s="52"/>
      <c r="R960" s="51" t="b">
        <v>0</v>
      </c>
      <c r="S960" s="51"/>
      <c r="T960" s="52"/>
      <c r="U960" s="51" t="b">
        <v>0</v>
      </c>
      <c r="V960" s="51" t="b">
        <v>0</v>
      </c>
      <c r="W960" s="51" t="b">
        <v>0</v>
      </c>
      <c r="X960" s="51" t="b">
        <v>0</v>
      </c>
      <c r="Y960" s="51" t="b">
        <v>0</v>
      </c>
      <c r="Z960" s="51" t="b">
        <v>0</v>
      </c>
      <c r="AA960" s="68"/>
      <c r="AB960" s="52"/>
      <c r="AC960" s="52"/>
      <c r="AD960" s="52"/>
      <c r="AE960" s="56"/>
      <c r="AF960" s="56" t="s">
        <v>1944</v>
      </c>
    </row>
    <row r="961">
      <c r="A961" s="52" t="s">
        <v>3062</v>
      </c>
      <c r="B961" s="52" t="s">
        <v>19</v>
      </c>
      <c r="C961" s="52" t="s">
        <v>221</v>
      </c>
      <c r="D961" s="65">
        <v>0.6020486111111111</v>
      </c>
      <c r="E961" s="65">
        <v>0.008263888888888888</v>
      </c>
      <c r="F961" s="65">
        <v>0.6103124999999999</v>
      </c>
      <c r="G961" s="65" t="s">
        <v>93</v>
      </c>
      <c r="H961" s="52" t="s">
        <v>94</v>
      </c>
      <c r="I961" s="52" t="s">
        <v>1262</v>
      </c>
      <c r="J961" s="52" t="s">
        <v>96</v>
      </c>
      <c r="K961" s="52"/>
      <c r="L961" s="52"/>
      <c r="M961" s="52"/>
      <c r="N961" s="52" t="s">
        <v>591</v>
      </c>
      <c r="O961" s="52"/>
      <c r="P961" s="69" t="s">
        <v>28</v>
      </c>
      <c r="Q961" s="80" t="s">
        <v>3063</v>
      </c>
      <c r="R961" s="51" t="b">
        <v>1</v>
      </c>
      <c r="S961" s="52" t="s">
        <v>1262</v>
      </c>
      <c r="T961" s="52"/>
      <c r="U961" s="51" t="b">
        <v>0</v>
      </c>
      <c r="V961" s="51" t="b">
        <v>1</v>
      </c>
      <c r="W961" s="51" t="b">
        <v>1</v>
      </c>
      <c r="X961" s="51" t="b">
        <v>0</v>
      </c>
      <c r="Y961" s="51" t="b">
        <v>1</v>
      </c>
      <c r="Z961" s="51" t="b">
        <v>0</v>
      </c>
      <c r="AA961" s="71">
        <v>0.008263888888888888</v>
      </c>
      <c r="AB961" s="69" t="s">
        <v>3064</v>
      </c>
      <c r="AC961" s="69" t="s">
        <v>3065</v>
      </c>
      <c r="AD961" s="73" t="s">
        <v>3066</v>
      </c>
      <c r="AE961" s="56" t="s">
        <v>629</v>
      </c>
      <c r="AF961" s="56" t="s">
        <v>972</v>
      </c>
    </row>
    <row r="962">
      <c r="A962" s="52" t="s">
        <v>3068</v>
      </c>
      <c r="B962" s="52" t="s">
        <v>607</v>
      </c>
      <c r="C962" s="52" t="s">
        <v>607</v>
      </c>
      <c r="D962" s="65" t="s">
        <v>607</v>
      </c>
      <c r="E962" s="65" t="s">
        <v>607</v>
      </c>
      <c r="F962" s="65" t="s">
        <v>607</v>
      </c>
      <c r="G962" s="65" t="s">
        <v>607</v>
      </c>
      <c r="H962" s="52" t="s">
        <v>607</v>
      </c>
      <c r="I962" s="52" t="s">
        <v>607</v>
      </c>
      <c r="J962" s="52" t="s">
        <v>607</v>
      </c>
      <c r="K962" s="52" t="s">
        <v>607</v>
      </c>
      <c r="L962" s="52" t="s">
        <v>607</v>
      </c>
      <c r="M962" s="52" t="s">
        <v>607</v>
      </c>
      <c r="N962" s="52" t="s">
        <v>607</v>
      </c>
      <c r="O962" s="52"/>
      <c r="P962" s="52"/>
      <c r="Q962" s="52"/>
      <c r="R962" s="51" t="b">
        <v>0</v>
      </c>
      <c r="S962" s="51"/>
      <c r="T962" s="52"/>
      <c r="U962" s="51" t="b">
        <v>0</v>
      </c>
      <c r="V962" s="51" t="b">
        <v>0</v>
      </c>
      <c r="W962" s="51" t="b">
        <v>0</v>
      </c>
      <c r="X962" s="51" t="b">
        <v>0</v>
      </c>
      <c r="Y962" s="51" t="b">
        <v>0</v>
      </c>
      <c r="Z962" s="51" t="b">
        <v>0</v>
      </c>
      <c r="AA962" s="68"/>
      <c r="AB962" s="52"/>
      <c r="AC962" s="52"/>
      <c r="AD962" s="52"/>
      <c r="AE962" s="56" t="s">
        <v>607</v>
      </c>
      <c r="AF962" s="56" t="s">
        <v>607</v>
      </c>
    </row>
    <row r="963">
      <c r="A963" s="52" t="s">
        <v>3070</v>
      </c>
      <c r="B963" s="52" t="s">
        <v>19</v>
      </c>
      <c r="C963" s="52" t="s">
        <v>221</v>
      </c>
      <c r="D963" s="65">
        <v>0.5829282407407408</v>
      </c>
      <c r="E963" s="65">
        <v>3.4722222222222224E-4</v>
      </c>
      <c r="F963" s="65">
        <v>0.5832754629629631</v>
      </c>
      <c r="G963" s="65" t="s">
        <v>93</v>
      </c>
      <c r="H963" s="52" t="s">
        <v>506</v>
      </c>
      <c r="I963" s="52" t="s">
        <v>1141</v>
      </c>
      <c r="J963" s="52"/>
      <c r="K963" s="52"/>
      <c r="L963" s="52"/>
      <c r="M963" s="52"/>
      <c r="N963" s="52" t="s">
        <v>70</v>
      </c>
      <c r="O963" s="52"/>
      <c r="P963" s="52"/>
      <c r="Q963" s="52"/>
      <c r="R963" s="51" t="b">
        <v>0</v>
      </c>
      <c r="S963" s="51"/>
      <c r="T963" s="52"/>
      <c r="U963" s="51" t="b">
        <v>0</v>
      </c>
      <c r="V963" s="51" t="b">
        <v>0</v>
      </c>
      <c r="W963" s="51" t="b">
        <v>0</v>
      </c>
      <c r="X963" s="51" t="b">
        <v>0</v>
      </c>
      <c r="Y963" s="51" t="b">
        <v>0</v>
      </c>
      <c r="Z963" s="51" t="b">
        <v>0</v>
      </c>
      <c r="AA963" s="68"/>
      <c r="AB963" s="52"/>
      <c r="AC963" s="52"/>
      <c r="AD963" s="52"/>
      <c r="AE963" s="56"/>
      <c r="AF963" s="56" t="s">
        <v>1215</v>
      </c>
    </row>
    <row r="964">
      <c r="A964" s="52" t="s">
        <v>3073</v>
      </c>
      <c r="B964" s="52" t="s">
        <v>19</v>
      </c>
      <c r="C964" s="52" t="s">
        <v>221</v>
      </c>
      <c r="D964" s="65">
        <v>0.6103124999999999</v>
      </c>
      <c r="E964" s="65">
        <v>2.314814814814815E-4</v>
      </c>
      <c r="F964" s="65">
        <v>0.6105439814814814</v>
      </c>
      <c r="G964" s="65" t="s">
        <v>93</v>
      </c>
      <c r="H964" s="52" t="s">
        <v>81</v>
      </c>
      <c r="I964" s="52" t="s">
        <v>81</v>
      </c>
      <c r="J964" s="52"/>
      <c r="K964" s="52"/>
      <c r="L964" s="52"/>
      <c r="M964" s="52"/>
      <c r="N964" s="52" t="s">
        <v>70</v>
      </c>
      <c r="O964" s="52"/>
      <c r="P964" s="52"/>
      <c r="Q964" s="52"/>
      <c r="R964" s="51" t="b">
        <v>0</v>
      </c>
      <c r="S964" s="51"/>
      <c r="T964" s="52"/>
      <c r="U964" s="51" t="b">
        <v>0</v>
      </c>
      <c r="V964" s="51" t="b">
        <v>0</v>
      </c>
      <c r="W964" s="51" t="b">
        <v>0</v>
      </c>
      <c r="X964" s="51" t="b">
        <v>0</v>
      </c>
      <c r="Y964" s="51" t="b">
        <v>0</v>
      </c>
      <c r="Z964" s="51" t="b">
        <v>0</v>
      </c>
      <c r="AA964" s="68"/>
      <c r="AB964" s="52"/>
      <c r="AC964" s="52"/>
      <c r="AD964" s="52"/>
      <c r="AE964" s="56"/>
      <c r="AF964" s="56" t="s">
        <v>1944</v>
      </c>
    </row>
    <row r="965">
      <c r="A965" s="52" t="s">
        <v>3074</v>
      </c>
      <c r="B965" s="52" t="s">
        <v>19</v>
      </c>
      <c r="C965" s="52" t="s">
        <v>221</v>
      </c>
      <c r="D965" s="65">
        <v>0.6105439814814814</v>
      </c>
      <c r="E965" s="65">
        <v>0.007025462962962963</v>
      </c>
      <c r="F965" s="65">
        <v>0.6175694444444443</v>
      </c>
      <c r="G965" s="65" t="s">
        <v>93</v>
      </c>
      <c r="H965" s="52" t="s">
        <v>94</v>
      </c>
      <c r="I965" s="52" t="s">
        <v>1266</v>
      </c>
      <c r="J965" s="52" t="s">
        <v>1267</v>
      </c>
      <c r="K965" s="52"/>
      <c r="L965" s="52"/>
      <c r="M965" s="52"/>
      <c r="N965" s="52" t="s">
        <v>1269</v>
      </c>
      <c r="O965" s="52"/>
      <c r="P965" s="69" t="s">
        <v>25</v>
      </c>
      <c r="Q965" s="111" t="s">
        <v>3076</v>
      </c>
      <c r="R965" s="51" t="b">
        <v>1</v>
      </c>
      <c r="S965" s="52" t="s">
        <v>1266</v>
      </c>
      <c r="T965" s="52"/>
      <c r="U965" s="51" t="b">
        <v>0</v>
      </c>
      <c r="V965" s="51" t="b">
        <v>1</v>
      </c>
      <c r="W965" s="51" t="b">
        <v>1</v>
      </c>
      <c r="X965" s="51" t="b">
        <v>0</v>
      </c>
      <c r="Y965" s="51" t="b">
        <v>0</v>
      </c>
      <c r="Z965" s="51" t="b">
        <v>0</v>
      </c>
      <c r="AA965" s="71">
        <v>0.007025462962962963</v>
      </c>
      <c r="AB965" s="52"/>
      <c r="AC965" s="52"/>
      <c r="AD965" s="80" t="s">
        <v>3078</v>
      </c>
      <c r="AE965" s="56" t="s">
        <v>629</v>
      </c>
      <c r="AF965" s="56" t="s">
        <v>972</v>
      </c>
    </row>
    <row r="966">
      <c r="A966" s="52" t="s">
        <v>3082</v>
      </c>
      <c r="B966" s="52" t="s">
        <v>607</v>
      </c>
      <c r="C966" s="52" t="s">
        <v>607</v>
      </c>
      <c r="D966" s="65" t="s">
        <v>607</v>
      </c>
      <c r="E966" s="65" t="s">
        <v>607</v>
      </c>
      <c r="F966" s="65" t="s">
        <v>607</v>
      </c>
      <c r="G966" s="65" t="s">
        <v>607</v>
      </c>
      <c r="H966" s="52" t="s">
        <v>607</v>
      </c>
      <c r="I966" s="52" t="s">
        <v>607</v>
      </c>
      <c r="J966" s="52" t="s">
        <v>607</v>
      </c>
      <c r="K966" s="52" t="s">
        <v>607</v>
      </c>
      <c r="L966" s="52" t="s">
        <v>607</v>
      </c>
      <c r="M966" s="52" t="s">
        <v>607</v>
      </c>
      <c r="N966" s="52" t="s">
        <v>607</v>
      </c>
      <c r="O966" s="52"/>
      <c r="P966" s="52"/>
      <c r="Q966" s="52"/>
      <c r="R966" s="51" t="b">
        <v>0</v>
      </c>
      <c r="S966" s="51"/>
      <c r="T966" s="52"/>
      <c r="U966" s="51" t="b">
        <v>0</v>
      </c>
      <c r="V966" s="51" t="b">
        <v>0</v>
      </c>
      <c r="W966" s="51" t="b">
        <v>0</v>
      </c>
      <c r="X966" s="51" t="b">
        <v>0</v>
      </c>
      <c r="Y966" s="51" t="b">
        <v>0</v>
      </c>
      <c r="Z966" s="51" t="b">
        <v>0</v>
      </c>
      <c r="AA966" s="68"/>
      <c r="AB966" s="52"/>
      <c r="AC966" s="52"/>
      <c r="AD966" s="52"/>
      <c r="AE966" s="56" t="s">
        <v>607</v>
      </c>
      <c r="AF966" s="56" t="s">
        <v>607</v>
      </c>
    </row>
    <row r="967">
      <c r="A967" s="52" t="s">
        <v>3084</v>
      </c>
      <c r="B967" s="52" t="s">
        <v>19</v>
      </c>
      <c r="C967" s="52" t="s">
        <v>221</v>
      </c>
      <c r="D967" s="65">
        <v>0.6175694444444443</v>
      </c>
      <c r="E967" s="65">
        <v>2.314814814814815E-4</v>
      </c>
      <c r="F967" s="65">
        <v>0.6178009259259257</v>
      </c>
      <c r="G967" s="65" t="s">
        <v>93</v>
      </c>
      <c r="H967" s="52" t="s">
        <v>81</v>
      </c>
      <c r="I967" s="52" t="s">
        <v>81</v>
      </c>
      <c r="J967" s="52"/>
      <c r="K967" s="52"/>
      <c r="L967" s="52"/>
      <c r="M967" s="52"/>
      <c r="N967" s="52" t="s">
        <v>70</v>
      </c>
      <c r="O967" s="52"/>
      <c r="P967" s="52"/>
      <c r="Q967" s="52"/>
      <c r="R967" s="51" t="b">
        <v>0</v>
      </c>
      <c r="S967" s="51"/>
      <c r="T967" s="52"/>
      <c r="U967" s="51" t="b">
        <v>0</v>
      </c>
      <c r="V967" s="51" t="b">
        <v>0</v>
      </c>
      <c r="W967" s="51" t="b">
        <v>0</v>
      </c>
      <c r="X967" s="51" t="b">
        <v>0</v>
      </c>
      <c r="Y967" s="51" t="b">
        <v>0</v>
      </c>
      <c r="Z967" s="51" t="b">
        <v>0</v>
      </c>
      <c r="AA967" s="68"/>
      <c r="AB967" s="52"/>
      <c r="AC967" s="52"/>
      <c r="AD967" s="52"/>
      <c r="AE967" s="56"/>
      <c r="AF967" s="56" t="s">
        <v>1944</v>
      </c>
    </row>
    <row r="968">
      <c r="A968" s="52" t="s">
        <v>3086</v>
      </c>
      <c r="B968" s="52" t="s">
        <v>19</v>
      </c>
      <c r="C968" s="52" t="s">
        <v>221</v>
      </c>
      <c r="D968" s="65">
        <v>0.6178009259259257</v>
      </c>
      <c r="E968" s="65">
        <v>0.0077314814814814815</v>
      </c>
      <c r="F968" s="65">
        <v>0.6255324074074072</v>
      </c>
      <c r="G968" s="65" t="s">
        <v>93</v>
      </c>
      <c r="H968" s="52" t="s">
        <v>107</v>
      </c>
      <c r="I968" s="52" t="s">
        <v>1272</v>
      </c>
      <c r="J968" s="52" t="s">
        <v>795</v>
      </c>
      <c r="K968" s="52" t="s">
        <v>1273</v>
      </c>
      <c r="L968" s="52"/>
      <c r="M968" s="52"/>
      <c r="N968" s="52" t="s">
        <v>1274</v>
      </c>
      <c r="O968" s="52"/>
      <c r="P968" s="69" t="s">
        <v>25</v>
      </c>
      <c r="Q968" s="80" t="s">
        <v>3088</v>
      </c>
      <c r="R968" s="51" t="b">
        <v>1</v>
      </c>
      <c r="S968" s="52" t="s">
        <v>1272</v>
      </c>
      <c r="T968" s="52"/>
      <c r="U968" s="51" t="b">
        <v>0</v>
      </c>
      <c r="V968" s="51" t="b">
        <v>1</v>
      </c>
      <c r="W968" s="51" t="b">
        <v>1</v>
      </c>
      <c r="X968" s="51" t="b">
        <v>0</v>
      </c>
      <c r="Y968" s="51" t="b">
        <v>0</v>
      </c>
      <c r="Z968" s="51" t="b">
        <v>0</v>
      </c>
      <c r="AA968" s="71">
        <v>0.0077314814814814815</v>
      </c>
      <c r="AB968" s="69" t="s">
        <v>3092</v>
      </c>
      <c r="AC968" s="52"/>
      <c r="AD968" s="80" t="s">
        <v>3093</v>
      </c>
      <c r="AE968" s="56" t="s">
        <v>629</v>
      </c>
      <c r="AF968" s="56" t="s">
        <v>972</v>
      </c>
    </row>
    <row r="969">
      <c r="A969" s="52" t="s">
        <v>3095</v>
      </c>
      <c r="B969" s="52" t="s">
        <v>607</v>
      </c>
      <c r="C969" s="52" t="s">
        <v>607</v>
      </c>
      <c r="D969" s="65" t="s">
        <v>607</v>
      </c>
      <c r="E969" s="65" t="s">
        <v>607</v>
      </c>
      <c r="F969" s="65" t="s">
        <v>607</v>
      </c>
      <c r="G969" s="65" t="s">
        <v>607</v>
      </c>
      <c r="H969" s="52" t="s">
        <v>607</v>
      </c>
      <c r="I969" s="52" t="s">
        <v>607</v>
      </c>
      <c r="J969" s="52" t="s">
        <v>607</v>
      </c>
      <c r="K969" s="52" t="s">
        <v>607</v>
      </c>
      <c r="L969" s="52" t="s">
        <v>607</v>
      </c>
      <c r="M969" s="52" t="s">
        <v>607</v>
      </c>
      <c r="N969" s="52" t="s">
        <v>607</v>
      </c>
      <c r="O969" s="52"/>
      <c r="P969" s="52"/>
      <c r="Q969" s="52"/>
      <c r="R969" s="51" t="b">
        <v>0</v>
      </c>
      <c r="S969" s="51"/>
      <c r="T969" s="52"/>
      <c r="U969" s="51" t="b">
        <v>0</v>
      </c>
      <c r="V969" s="51" t="b">
        <v>0</v>
      </c>
      <c r="W969" s="51" t="b">
        <v>0</v>
      </c>
      <c r="X969" s="51" t="b">
        <v>0</v>
      </c>
      <c r="Y969" s="51" t="b">
        <v>0</v>
      </c>
      <c r="Z969" s="51" t="b">
        <v>0</v>
      </c>
      <c r="AA969" s="68"/>
      <c r="AB969" s="52"/>
      <c r="AC969" s="52"/>
      <c r="AD969" s="52"/>
      <c r="AE969" s="56" t="s">
        <v>607</v>
      </c>
      <c r="AF969" s="56" t="s">
        <v>607</v>
      </c>
    </row>
    <row r="970">
      <c r="A970" s="52" t="s">
        <v>3097</v>
      </c>
      <c r="B970" s="52" t="s">
        <v>607</v>
      </c>
      <c r="C970" s="52" t="s">
        <v>607</v>
      </c>
      <c r="D970" s="65" t="s">
        <v>607</v>
      </c>
      <c r="E970" s="65" t="s">
        <v>607</v>
      </c>
      <c r="F970" s="65" t="s">
        <v>607</v>
      </c>
      <c r="G970" s="65" t="s">
        <v>607</v>
      </c>
      <c r="H970" s="52" t="s">
        <v>607</v>
      </c>
      <c r="I970" s="52" t="s">
        <v>607</v>
      </c>
      <c r="J970" s="52" t="s">
        <v>607</v>
      </c>
      <c r="K970" s="52" t="s">
        <v>607</v>
      </c>
      <c r="L970" s="52" t="s">
        <v>607</v>
      </c>
      <c r="M970" s="52" t="s">
        <v>607</v>
      </c>
      <c r="N970" s="52" t="s">
        <v>607</v>
      </c>
      <c r="O970" s="52"/>
      <c r="P970" s="52"/>
      <c r="Q970" s="52"/>
      <c r="R970" s="51" t="b">
        <v>0</v>
      </c>
      <c r="S970" s="51"/>
      <c r="T970" s="52"/>
      <c r="U970" s="51" t="b">
        <v>0</v>
      </c>
      <c r="V970" s="51" t="b">
        <v>0</v>
      </c>
      <c r="W970" s="51" t="b">
        <v>0</v>
      </c>
      <c r="X970" s="51" t="b">
        <v>0</v>
      </c>
      <c r="Y970" s="51" t="b">
        <v>0</v>
      </c>
      <c r="Z970" s="51" t="b">
        <v>0</v>
      </c>
      <c r="AA970" s="68"/>
      <c r="AB970" s="52"/>
      <c r="AC970" s="52"/>
      <c r="AD970" s="52"/>
      <c r="AE970" s="56" t="s">
        <v>607</v>
      </c>
      <c r="AF970" s="56" t="s">
        <v>607</v>
      </c>
    </row>
    <row r="971">
      <c r="A971" s="52" t="s">
        <v>3099</v>
      </c>
      <c r="B971" s="52" t="s">
        <v>607</v>
      </c>
      <c r="C971" s="52" t="s">
        <v>607</v>
      </c>
      <c r="D971" s="65" t="s">
        <v>607</v>
      </c>
      <c r="E971" s="65" t="s">
        <v>607</v>
      </c>
      <c r="F971" s="65" t="s">
        <v>607</v>
      </c>
      <c r="G971" s="65" t="s">
        <v>607</v>
      </c>
      <c r="H971" s="52" t="s">
        <v>607</v>
      </c>
      <c r="I971" s="52" t="s">
        <v>607</v>
      </c>
      <c r="J971" s="52" t="s">
        <v>607</v>
      </c>
      <c r="K971" s="52" t="s">
        <v>607</v>
      </c>
      <c r="L971" s="52" t="s">
        <v>607</v>
      </c>
      <c r="M971" s="52" t="s">
        <v>607</v>
      </c>
      <c r="N971" s="52" t="s">
        <v>607</v>
      </c>
      <c r="O971" s="52"/>
      <c r="P971" s="69"/>
      <c r="Q971" s="52"/>
      <c r="R971" s="51" t="b">
        <v>0</v>
      </c>
      <c r="S971" s="51"/>
      <c r="T971" s="52"/>
      <c r="U971" s="51" t="b">
        <v>0</v>
      </c>
      <c r="V971" s="51" t="b">
        <v>0</v>
      </c>
      <c r="W971" s="51" t="b">
        <v>0</v>
      </c>
      <c r="X971" s="51" t="b">
        <v>0</v>
      </c>
      <c r="Y971" s="51" t="b">
        <v>0</v>
      </c>
      <c r="Z971" s="51" t="b">
        <v>0</v>
      </c>
      <c r="AA971" s="68"/>
      <c r="AB971" s="52"/>
      <c r="AC971" s="52"/>
      <c r="AD971" s="52"/>
      <c r="AE971" s="56" t="s">
        <v>607</v>
      </c>
      <c r="AF971" s="56" t="s">
        <v>607</v>
      </c>
    </row>
    <row r="972">
      <c r="A972" s="52" t="s">
        <v>3102</v>
      </c>
      <c r="B972" s="52" t="s">
        <v>607</v>
      </c>
      <c r="C972" s="52" t="s">
        <v>607</v>
      </c>
      <c r="D972" s="65" t="s">
        <v>607</v>
      </c>
      <c r="E972" s="65" t="s">
        <v>607</v>
      </c>
      <c r="F972" s="65" t="s">
        <v>607</v>
      </c>
      <c r="G972" s="65" t="s">
        <v>607</v>
      </c>
      <c r="H972" s="52" t="s">
        <v>607</v>
      </c>
      <c r="I972" s="52" t="s">
        <v>607</v>
      </c>
      <c r="J972" s="52" t="s">
        <v>607</v>
      </c>
      <c r="K972" s="52" t="s">
        <v>607</v>
      </c>
      <c r="L972" s="52" t="s">
        <v>607</v>
      </c>
      <c r="M972" s="52" t="s">
        <v>607</v>
      </c>
      <c r="N972" s="52" t="s">
        <v>607</v>
      </c>
      <c r="O972" s="52"/>
      <c r="P972" s="52"/>
      <c r="Q972" s="52"/>
      <c r="R972" s="51" t="b">
        <v>0</v>
      </c>
      <c r="S972" s="51"/>
      <c r="T972" s="52"/>
      <c r="U972" s="51" t="b">
        <v>0</v>
      </c>
      <c r="V972" s="51" t="b">
        <v>0</v>
      </c>
      <c r="W972" s="51" t="b">
        <v>0</v>
      </c>
      <c r="X972" s="51" t="b">
        <v>0</v>
      </c>
      <c r="Y972" s="51" t="b">
        <v>0</v>
      </c>
      <c r="Z972" s="51" t="b">
        <v>0</v>
      </c>
      <c r="AA972" s="68"/>
      <c r="AB972" s="52"/>
      <c r="AC972" s="52"/>
      <c r="AD972" s="52"/>
      <c r="AE972" s="56" t="s">
        <v>607</v>
      </c>
      <c r="AF972" s="56" t="s">
        <v>607</v>
      </c>
    </row>
    <row r="973">
      <c r="A973" s="52" t="s">
        <v>3104</v>
      </c>
      <c r="B973" s="52" t="s">
        <v>607</v>
      </c>
      <c r="C973" s="52" t="s">
        <v>607</v>
      </c>
      <c r="D973" s="65" t="s">
        <v>607</v>
      </c>
      <c r="E973" s="65" t="s">
        <v>607</v>
      </c>
      <c r="F973" s="65" t="s">
        <v>607</v>
      </c>
      <c r="G973" s="65" t="s">
        <v>607</v>
      </c>
      <c r="H973" s="52" t="s">
        <v>607</v>
      </c>
      <c r="I973" s="52" t="s">
        <v>607</v>
      </c>
      <c r="J973" s="52" t="s">
        <v>607</v>
      </c>
      <c r="K973" s="52" t="s">
        <v>607</v>
      </c>
      <c r="L973" s="52" t="s">
        <v>607</v>
      </c>
      <c r="M973" s="52" t="s">
        <v>607</v>
      </c>
      <c r="N973" s="52" t="s">
        <v>607</v>
      </c>
      <c r="O973" s="52"/>
      <c r="P973" s="52"/>
      <c r="Q973" s="52"/>
      <c r="R973" s="51" t="b">
        <v>0</v>
      </c>
      <c r="S973" s="51"/>
      <c r="T973" s="52"/>
      <c r="U973" s="51" t="b">
        <v>0</v>
      </c>
      <c r="V973" s="51" t="b">
        <v>0</v>
      </c>
      <c r="W973" s="51" t="b">
        <v>0</v>
      </c>
      <c r="X973" s="51" t="b">
        <v>0</v>
      </c>
      <c r="Y973" s="51" t="b">
        <v>0</v>
      </c>
      <c r="Z973" s="51" t="b">
        <v>0</v>
      </c>
      <c r="AA973" s="68"/>
      <c r="AB973" s="52"/>
      <c r="AC973" s="52"/>
      <c r="AD973" s="52"/>
      <c r="AE973" s="56" t="s">
        <v>607</v>
      </c>
      <c r="AF973" s="56" t="s">
        <v>607</v>
      </c>
    </row>
    <row r="974">
      <c r="A974" s="52" t="s">
        <v>3106</v>
      </c>
      <c r="B974" s="52" t="s">
        <v>19</v>
      </c>
      <c r="C974" s="52" t="s">
        <v>221</v>
      </c>
      <c r="D974" s="65">
        <v>0.6361805555555556</v>
      </c>
      <c r="E974" s="65">
        <v>2.314814814814815E-4</v>
      </c>
      <c r="F974" s="65">
        <v>0.6364120370370371</v>
      </c>
      <c r="G974" s="65" t="s">
        <v>398</v>
      </c>
      <c r="H974" s="52" t="s">
        <v>81</v>
      </c>
      <c r="I974" s="52" t="s">
        <v>81</v>
      </c>
      <c r="J974" s="52"/>
      <c r="K974" s="52"/>
      <c r="L974" s="52"/>
      <c r="M974" s="52"/>
      <c r="N974" s="52" t="s">
        <v>70</v>
      </c>
      <c r="O974" s="52"/>
      <c r="P974" s="52"/>
      <c r="Q974" s="52"/>
      <c r="R974" s="51" t="b">
        <v>0</v>
      </c>
      <c r="S974" s="51"/>
      <c r="T974" s="52"/>
      <c r="U974" s="51" t="b">
        <v>0</v>
      </c>
      <c r="V974" s="51" t="b">
        <v>0</v>
      </c>
      <c r="W974" s="51" t="b">
        <v>0</v>
      </c>
      <c r="X974" s="51" t="b">
        <v>0</v>
      </c>
      <c r="Y974" s="51" t="b">
        <v>0</v>
      </c>
      <c r="Z974" s="51" t="b">
        <v>0</v>
      </c>
      <c r="AA974" s="68"/>
      <c r="AB974" s="52"/>
      <c r="AC974" s="52"/>
      <c r="AD974" s="52"/>
      <c r="AE974" s="56"/>
      <c r="AF974" s="56" t="s">
        <v>1944</v>
      </c>
    </row>
    <row r="975">
      <c r="A975" s="52" t="s">
        <v>3108</v>
      </c>
      <c r="B975" s="52" t="s">
        <v>19</v>
      </c>
      <c r="C975" s="52" t="s">
        <v>221</v>
      </c>
      <c r="D975" s="65">
        <v>0.6364120370370371</v>
      </c>
      <c r="E975" s="65">
        <v>0.013888888888888888</v>
      </c>
      <c r="F975" s="65">
        <v>0.6503009259259259</v>
      </c>
      <c r="G975" s="65" t="s">
        <v>398</v>
      </c>
      <c r="H975" s="52" t="s">
        <v>94</v>
      </c>
      <c r="I975" s="52" t="s">
        <v>1280</v>
      </c>
      <c r="J975" s="52" t="s">
        <v>1281</v>
      </c>
      <c r="K975" s="52"/>
      <c r="L975" s="52"/>
      <c r="M975" s="52"/>
      <c r="N975" s="52" t="s">
        <v>520</v>
      </c>
      <c r="O975" s="52"/>
      <c r="P975" s="69"/>
      <c r="Q975" s="52"/>
      <c r="R975" s="51" t="b">
        <v>0</v>
      </c>
      <c r="S975" s="51"/>
      <c r="T975" s="52"/>
      <c r="U975" s="51" t="b">
        <v>0</v>
      </c>
      <c r="V975" s="51" t="b">
        <v>0</v>
      </c>
      <c r="W975" s="51" t="b">
        <v>0</v>
      </c>
      <c r="X975" s="51" t="b">
        <v>0</v>
      </c>
      <c r="Y975" s="51" t="b">
        <v>0</v>
      </c>
      <c r="Z975" s="51" t="b">
        <v>0</v>
      </c>
      <c r="AA975" s="68"/>
      <c r="AB975" s="52"/>
      <c r="AC975" s="52"/>
      <c r="AD975" s="52"/>
      <c r="AE975" s="56" t="s">
        <v>1499</v>
      </c>
      <c r="AF975" s="56" t="s">
        <v>630</v>
      </c>
    </row>
    <row r="976">
      <c r="A976" s="52" t="s">
        <v>3111</v>
      </c>
      <c r="B976" s="52" t="s">
        <v>607</v>
      </c>
      <c r="C976" s="52" t="s">
        <v>607</v>
      </c>
      <c r="D976" s="65" t="s">
        <v>607</v>
      </c>
      <c r="E976" s="65" t="s">
        <v>607</v>
      </c>
      <c r="F976" s="65" t="s">
        <v>607</v>
      </c>
      <c r="G976" s="65" t="s">
        <v>607</v>
      </c>
      <c r="H976" s="52" t="s">
        <v>607</v>
      </c>
      <c r="I976" s="52" t="s">
        <v>607</v>
      </c>
      <c r="J976" s="52" t="s">
        <v>607</v>
      </c>
      <c r="K976" s="52" t="s">
        <v>607</v>
      </c>
      <c r="L976" s="52" t="s">
        <v>607</v>
      </c>
      <c r="M976" s="52" t="s">
        <v>607</v>
      </c>
      <c r="N976" s="52" t="s">
        <v>607</v>
      </c>
      <c r="O976" s="52"/>
      <c r="P976" s="52"/>
      <c r="Q976" s="52"/>
      <c r="R976" s="51" t="b">
        <v>0</v>
      </c>
      <c r="S976" s="51"/>
      <c r="T976" s="52"/>
      <c r="U976" s="51" t="b">
        <v>0</v>
      </c>
      <c r="V976" s="51" t="b">
        <v>0</v>
      </c>
      <c r="W976" s="51" t="b">
        <v>0</v>
      </c>
      <c r="X976" s="51" t="b">
        <v>0</v>
      </c>
      <c r="Y976" s="51" t="b">
        <v>0</v>
      </c>
      <c r="Z976" s="51" t="b">
        <v>0</v>
      </c>
      <c r="AA976" s="68"/>
      <c r="AB976" s="52"/>
      <c r="AC976" s="52"/>
      <c r="AD976" s="52"/>
      <c r="AE976" s="56" t="s">
        <v>607</v>
      </c>
      <c r="AF976" s="56" t="s">
        <v>607</v>
      </c>
    </row>
    <row r="977">
      <c r="A977" s="52" t="s">
        <v>3115</v>
      </c>
      <c r="B977" s="52" t="s">
        <v>607</v>
      </c>
      <c r="C977" s="52" t="s">
        <v>607</v>
      </c>
      <c r="D977" s="65" t="s">
        <v>607</v>
      </c>
      <c r="E977" s="65" t="s">
        <v>607</v>
      </c>
      <c r="F977" s="65" t="s">
        <v>607</v>
      </c>
      <c r="G977" s="65" t="s">
        <v>607</v>
      </c>
      <c r="H977" s="52" t="s">
        <v>607</v>
      </c>
      <c r="I977" s="52" t="s">
        <v>607</v>
      </c>
      <c r="J977" s="52" t="s">
        <v>607</v>
      </c>
      <c r="K977" s="52" t="s">
        <v>607</v>
      </c>
      <c r="L977" s="52" t="s">
        <v>607</v>
      </c>
      <c r="M977" s="52" t="s">
        <v>607</v>
      </c>
      <c r="N977" s="52" t="s">
        <v>607</v>
      </c>
      <c r="O977" s="52"/>
      <c r="P977" s="52"/>
      <c r="Q977" s="52"/>
      <c r="R977" s="51" t="b">
        <v>0</v>
      </c>
      <c r="S977" s="51"/>
      <c r="T977" s="52"/>
      <c r="U977" s="51" t="b">
        <v>0</v>
      </c>
      <c r="V977" s="51" t="b">
        <v>0</v>
      </c>
      <c r="W977" s="51" t="b">
        <v>0</v>
      </c>
      <c r="X977" s="51" t="b">
        <v>0</v>
      </c>
      <c r="Y977" s="51" t="b">
        <v>0</v>
      </c>
      <c r="Z977" s="51" t="b">
        <v>0</v>
      </c>
      <c r="AA977" s="68"/>
      <c r="AB977" s="52"/>
      <c r="AC977" s="52"/>
      <c r="AD977" s="52"/>
      <c r="AE977" s="56" t="s">
        <v>607</v>
      </c>
      <c r="AF977" s="56" t="s">
        <v>607</v>
      </c>
    </row>
    <row r="978">
      <c r="A978" s="52" t="s">
        <v>3118</v>
      </c>
      <c r="B978" s="52" t="s">
        <v>607</v>
      </c>
      <c r="C978" s="52" t="s">
        <v>607</v>
      </c>
      <c r="D978" s="65" t="s">
        <v>607</v>
      </c>
      <c r="E978" s="65" t="s">
        <v>607</v>
      </c>
      <c r="F978" s="65" t="s">
        <v>607</v>
      </c>
      <c r="G978" s="65" t="s">
        <v>607</v>
      </c>
      <c r="H978" s="52" t="s">
        <v>607</v>
      </c>
      <c r="I978" s="52" t="s">
        <v>607</v>
      </c>
      <c r="J978" s="52" t="s">
        <v>607</v>
      </c>
      <c r="K978" s="52" t="s">
        <v>607</v>
      </c>
      <c r="L978" s="52" t="s">
        <v>607</v>
      </c>
      <c r="M978" s="52" t="s">
        <v>607</v>
      </c>
      <c r="N978" s="52" t="s">
        <v>607</v>
      </c>
      <c r="O978" s="52"/>
      <c r="P978" s="52"/>
      <c r="Q978" s="52"/>
      <c r="R978" s="51" t="b">
        <v>0</v>
      </c>
      <c r="S978" s="51"/>
      <c r="T978" s="52"/>
      <c r="U978" s="51" t="b">
        <v>0</v>
      </c>
      <c r="V978" s="51" t="b">
        <v>0</v>
      </c>
      <c r="W978" s="51" t="b">
        <v>0</v>
      </c>
      <c r="X978" s="51" t="b">
        <v>0</v>
      </c>
      <c r="Y978" s="51" t="b">
        <v>0</v>
      </c>
      <c r="Z978" s="51" t="b">
        <v>0</v>
      </c>
      <c r="AA978" s="68"/>
      <c r="AB978" s="52"/>
      <c r="AC978" s="52"/>
      <c r="AD978" s="52"/>
      <c r="AE978" s="56" t="s">
        <v>607</v>
      </c>
      <c r="AF978" s="56" t="s">
        <v>607</v>
      </c>
    </row>
    <row r="979">
      <c r="A979" s="52" t="s">
        <v>3120</v>
      </c>
      <c r="B979" s="52" t="s">
        <v>19</v>
      </c>
      <c r="C979" s="52" t="s">
        <v>221</v>
      </c>
      <c r="D979" s="65">
        <v>0.6503009259259259</v>
      </c>
      <c r="E979" s="65">
        <v>2.314814814814815E-4</v>
      </c>
      <c r="F979" s="65">
        <v>0.6505324074074074</v>
      </c>
      <c r="G979" s="65" t="s">
        <v>398</v>
      </c>
      <c r="H979" s="52" t="s">
        <v>81</v>
      </c>
      <c r="I979" s="52" t="s">
        <v>81</v>
      </c>
      <c r="J979" s="52"/>
      <c r="K979" s="52"/>
      <c r="L979" s="52"/>
      <c r="M979" s="52"/>
      <c r="N979" s="52" t="s">
        <v>70</v>
      </c>
      <c r="O979" s="52"/>
      <c r="P979" s="52"/>
      <c r="Q979" s="52"/>
      <c r="R979" s="51" t="b">
        <v>0</v>
      </c>
      <c r="S979" s="51"/>
      <c r="T979" s="52"/>
      <c r="U979" s="51" t="b">
        <v>0</v>
      </c>
      <c r="V979" s="51" t="b">
        <v>0</v>
      </c>
      <c r="W979" s="51" t="b">
        <v>0</v>
      </c>
      <c r="X979" s="51" t="b">
        <v>0</v>
      </c>
      <c r="Y979" s="51" t="b">
        <v>0</v>
      </c>
      <c r="Z979" s="51" t="b">
        <v>0</v>
      </c>
      <c r="AA979" s="68"/>
      <c r="AB979" s="52"/>
      <c r="AC979" s="52"/>
      <c r="AD979" s="52"/>
      <c r="AE979" s="56"/>
      <c r="AF979" s="56" t="s">
        <v>1944</v>
      </c>
    </row>
    <row r="980">
      <c r="A980" s="52" t="s">
        <v>3125</v>
      </c>
      <c r="B980" s="52" t="s">
        <v>19</v>
      </c>
      <c r="C980" s="52" t="s">
        <v>221</v>
      </c>
      <c r="D980" s="65">
        <v>0.6505324074074074</v>
      </c>
      <c r="E980" s="65">
        <v>0.010439814814814815</v>
      </c>
      <c r="F980" s="65">
        <v>0.6609722222222222</v>
      </c>
      <c r="G980" s="65" t="s">
        <v>398</v>
      </c>
      <c r="H980" s="52" t="s">
        <v>94</v>
      </c>
      <c r="I980" s="52" t="s">
        <v>1283</v>
      </c>
      <c r="J980" s="52" t="s">
        <v>1284</v>
      </c>
      <c r="K980" s="52"/>
      <c r="L980" s="52"/>
      <c r="M980" s="52"/>
      <c r="N980" s="52" t="s">
        <v>1286</v>
      </c>
      <c r="O980" s="52"/>
      <c r="P980" s="69" t="s">
        <v>23</v>
      </c>
      <c r="Q980" s="70" t="s">
        <v>3127</v>
      </c>
      <c r="R980" s="51" t="b">
        <v>1</v>
      </c>
      <c r="S980" s="52" t="s">
        <v>1283</v>
      </c>
      <c r="T980" s="52"/>
      <c r="U980" s="51" t="b">
        <v>0</v>
      </c>
      <c r="V980" s="51" t="b">
        <v>1</v>
      </c>
      <c r="W980" s="51" t="b">
        <v>1</v>
      </c>
      <c r="X980" s="51" t="b">
        <v>0</v>
      </c>
      <c r="Y980" s="51" t="b">
        <v>0</v>
      </c>
      <c r="Z980" s="51" t="b">
        <v>0</v>
      </c>
      <c r="AA980" s="71">
        <v>0.010439814814814815</v>
      </c>
      <c r="AB980" s="69" t="s">
        <v>3130</v>
      </c>
      <c r="AC980" s="52"/>
      <c r="AD980" s="76" t="s">
        <v>3131</v>
      </c>
      <c r="AE980" s="56" t="s">
        <v>743</v>
      </c>
      <c r="AF980" s="56" t="s">
        <v>1125</v>
      </c>
    </row>
    <row r="981">
      <c r="A981" s="52" t="s">
        <v>3134</v>
      </c>
      <c r="B981" s="52" t="s">
        <v>607</v>
      </c>
      <c r="C981" s="52" t="s">
        <v>607</v>
      </c>
      <c r="D981" s="65" t="s">
        <v>607</v>
      </c>
      <c r="E981" s="65" t="s">
        <v>607</v>
      </c>
      <c r="F981" s="65" t="s">
        <v>607</v>
      </c>
      <c r="G981" s="65" t="s">
        <v>607</v>
      </c>
      <c r="H981" s="52" t="s">
        <v>607</v>
      </c>
      <c r="I981" s="52" t="s">
        <v>607</v>
      </c>
      <c r="J981" s="52" t="s">
        <v>607</v>
      </c>
      <c r="K981" s="52" t="s">
        <v>607</v>
      </c>
      <c r="L981" s="52" t="s">
        <v>607</v>
      </c>
      <c r="M981" s="52" t="s">
        <v>607</v>
      </c>
      <c r="N981" s="52" t="s">
        <v>607</v>
      </c>
      <c r="O981" s="52"/>
      <c r="P981" s="52"/>
      <c r="Q981" s="52"/>
      <c r="R981" s="51" t="b">
        <v>0</v>
      </c>
      <c r="S981" s="51"/>
      <c r="T981" s="52"/>
      <c r="U981" s="51" t="b">
        <v>0</v>
      </c>
      <c r="V981" s="51" t="b">
        <v>0</v>
      </c>
      <c r="W981" s="51" t="b">
        <v>0</v>
      </c>
      <c r="X981" s="51" t="b">
        <v>0</v>
      </c>
      <c r="Y981" s="51" t="b">
        <v>0</v>
      </c>
      <c r="Z981" s="51" t="b">
        <v>0</v>
      </c>
      <c r="AA981" s="68"/>
      <c r="AB981" s="52"/>
      <c r="AC981" s="52"/>
      <c r="AD981" s="52"/>
      <c r="AE981" s="56" t="s">
        <v>607</v>
      </c>
      <c r="AF981" s="56" t="s">
        <v>607</v>
      </c>
    </row>
    <row r="982">
      <c r="A982" s="52" t="s">
        <v>3136</v>
      </c>
      <c r="B982" s="52" t="s">
        <v>19</v>
      </c>
      <c r="C982" s="52" t="s">
        <v>221</v>
      </c>
      <c r="D982" s="65">
        <v>0.6645254629629629</v>
      </c>
      <c r="E982" s="65">
        <v>2.314814814814815E-4</v>
      </c>
      <c r="F982" s="65">
        <v>0.6647569444444443</v>
      </c>
      <c r="G982" s="65" t="s">
        <v>398</v>
      </c>
      <c r="H982" s="52" t="s">
        <v>81</v>
      </c>
      <c r="I982" s="52" t="s">
        <v>81</v>
      </c>
      <c r="J982" s="52"/>
      <c r="K982" s="52"/>
      <c r="L982" s="52"/>
      <c r="M982" s="52"/>
      <c r="N982" s="52" t="s">
        <v>70</v>
      </c>
      <c r="O982" s="52"/>
      <c r="P982" s="52"/>
      <c r="Q982" s="52"/>
      <c r="R982" s="51" t="b">
        <v>0</v>
      </c>
      <c r="S982" s="51"/>
      <c r="T982" s="52"/>
      <c r="U982" s="51" t="b">
        <v>0</v>
      </c>
      <c r="V982" s="51" t="b">
        <v>0</v>
      </c>
      <c r="W982" s="51" t="b">
        <v>0</v>
      </c>
      <c r="X982" s="51" t="b">
        <v>0</v>
      </c>
      <c r="Y982" s="51" t="b">
        <v>0</v>
      </c>
      <c r="Z982" s="51" t="b">
        <v>0</v>
      </c>
      <c r="AA982" s="68"/>
      <c r="AB982" s="52"/>
      <c r="AC982" s="52"/>
      <c r="AD982" s="52"/>
      <c r="AE982" s="56"/>
      <c r="AF982" s="56" t="s">
        <v>1944</v>
      </c>
    </row>
    <row r="983">
      <c r="A983" s="52" t="s">
        <v>3139</v>
      </c>
      <c r="B983" s="52" t="s">
        <v>19</v>
      </c>
      <c r="C983" s="52" t="s">
        <v>221</v>
      </c>
      <c r="D983" s="65">
        <v>0.6647569444444443</v>
      </c>
      <c r="E983" s="65">
        <v>0.0018402777777777777</v>
      </c>
      <c r="F983" s="65">
        <v>0.6665972222222221</v>
      </c>
      <c r="G983" s="65" t="s">
        <v>398</v>
      </c>
      <c r="H983" s="52" t="s">
        <v>165</v>
      </c>
      <c r="I983" s="52" t="s">
        <v>1294</v>
      </c>
      <c r="J983" s="52" t="s">
        <v>1295</v>
      </c>
      <c r="K983" s="52"/>
      <c r="L983" s="52"/>
      <c r="M983" s="52"/>
      <c r="N983" s="52" t="s">
        <v>70</v>
      </c>
      <c r="O983" s="52"/>
      <c r="P983" s="69" t="s">
        <v>28</v>
      </c>
      <c r="Q983" s="73" t="s">
        <v>3141</v>
      </c>
      <c r="R983" s="51" t="b">
        <v>1</v>
      </c>
      <c r="S983" s="51" t="s">
        <v>1294</v>
      </c>
      <c r="T983" s="52"/>
      <c r="U983" s="51" t="b">
        <v>0</v>
      </c>
      <c r="V983" s="51" t="b">
        <v>1</v>
      </c>
      <c r="W983" s="51" t="b">
        <v>1</v>
      </c>
      <c r="X983" s="51" t="b">
        <v>0</v>
      </c>
      <c r="Y983" s="51" t="b">
        <v>1</v>
      </c>
      <c r="Z983" s="51" t="b">
        <v>0</v>
      </c>
      <c r="AA983" s="71">
        <v>0.0018402777777777777</v>
      </c>
      <c r="AB983" s="69"/>
      <c r="AC983" s="69"/>
      <c r="AD983" s="136" t="s">
        <v>3148</v>
      </c>
      <c r="AE983" s="74" t="s">
        <v>743</v>
      </c>
      <c r="AF983" s="74" t="s">
        <v>630</v>
      </c>
    </row>
    <row r="984">
      <c r="A984" s="52" t="s">
        <v>3152</v>
      </c>
      <c r="B984" s="52" t="s">
        <v>607</v>
      </c>
      <c r="C984" s="52" t="s">
        <v>607</v>
      </c>
      <c r="D984" s="65" t="s">
        <v>607</v>
      </c>
      <c r="E984" s="65" t="s">
        <v>607</v>
      </c>
      <c r="F984" s="65" t="s">
        <v>607</v>
      </c>
      <c r="G984" s="65" t="s">
        <v>607</v>
      </c>
      <c r="H984" s="52" t="s">
        <v>607</v>
      </c>
      <c r="I984" s="52" t="s">
        <v>607</v>
      </c>
      <c r="J984" s="52" t="s">
        <v>607</v>
      </c>
      <c r="K984" s="52" t="s">
        <v>607</v>
      </c>
      <c r="L984" s="52" t="s">
        <v>607</v>
      </c>
      <c r="M984" s="52" t="s">
        <v>607</v>
      </c>
      <c r="N984" s="52" t="s">
        <v>607</v>
      </c>
      <c r="O984" s="52"/>
      <c r="P984" s="52"/>
      <c r="Q984" s="52"/>
      <c r="R984" s="51" t="b">
        <v>0</v>
      </c>
      <c r="S984" s="51"/>
      <c r="T984" s="52"/>
      <c r="U984" s="51" t="b">
        <v>0</v>
      </c>
      <c r="V984" s="51" t="b">
        <v>0</v>
      </c>
      <c r="W984" s="51" t="b">
        <v>0</v>
      </c>
      <c r="X984" s="51" t="b">
        <v>0</v>
      </c>
      <c r="Y984" s="51" t="b">
        <v>0</v>
      </c>
      <c r="Z984" s="51" t="b">
        <v>0</v>
      </c>
      <c r="AA984" s="68"/>
      <c r="AB984" s="52"/>
      <c r="AC984" s="52"/>
      <c r="AD984" s="52"/>
      <c r="AE984" s="56" t="s">
        <v>607</v>
      </c>
      <c r="AF984" s="56" t="s">
        <v>607</v>
      </c>
    </row>
    <row r="985">
      <c r="A985" s="52" t="s">
        <v>3155</v>
      </c>
      <c r="B985" s="52" t="s">
        <v>19</v>
      </c>
      <c r="C985" s="52" t="s">
        <v>221</v>
      </c>
      <c r="D985" s="65">
        <v>0.4525000000000002</v>
      </c>
      <c r="E985" s="65">
        <v>0.00542824074074074</v>
      </c>
      <c r="F985" s="65">
        <v>0.4579282407407409</v>
      </c>
      <c r="G985" s="65" t="s">
        <v>398</v>
      </c>
      <c r="H985" s="52" t="s">
        <v>165</v>
      </c>
      <c r="I985" s="52" t="s">
        <v>1337</v>
      </c>
      <c r="J985" s="52" t="s">
        <v>1338</v>
      </c>
      <c r="K985" s="52"/>
      <c r="L985" s="52"/>
      <c r="M985" s="52"/>
      <c r="N985" s="52" t="s">
        <v>70</v>
      </c>
      <c r="O985" s="69" t="s">
        <v>1926</v>
      </c>
      <c r="P985" s="69" t="s">
        <v>17</v>
      </c>
      <c r="Q985" s="80" t="s">
        <v>3158</v>
      </c>
      <c r="R985" s="51" t="b">
        <v>1</v>
      </c>
      <c r="S985" s="52" t="s">
        <v>1337</v>
      </c>
      <c r="T985" s="52"/>
      <c r="U985" s="51" t="b">
        <v>0</v>
      </c>
      <c r="V985" s="51" t="b">
        <v>1</v>
      </c>
      <c r="W985" s="51" t="b">
        <v>1</v>
      </c>
      <c r="X985" s="51" t="b">
        <v>0</v>
      </c>
      <c r="Y985" s="51" t="b">
        <v>0</v>
      </c>
      <c r="Z985" s="51" t="b">
        <v>0</v>
      </c>
      <c r="AA985" s="71">
        <v>0.00542824074074074</v>
      </c>
      <c r="AB985" s="52"/>
      <c r="AC985" s="52"/>
      <c r="AD985" s="73" t="s">
        <v>3167</v>
      </c>
      <c r="AE985" s="56" t="s">
        <v>629</v>
      </c>
      <c r="AF985" s="56" t="s">
        <v>873</v>
      </c>
    </row>
    <row r="986">
      <c r="A986" s="52" t="s">
        <v>3170</v>
      </c>
      <c r="B986" s="52" t="s">
        <v>19</v>
      </c>
      <c r="C986" s="52" t="s">
        <v>289</v>
      </c>
      <c r="D986" s="65">
        <v>0.653587962962963</v>
      </c>
      <c r="E986" s="65">
        <v>1.7361111111111112E-4</v>
      </c>
      <c r="F986" s="65">
        <v>0.6537615740740741</v>
      </c>
      <c r="G986" s="65" t="s">
        <v>331</v>
      </c>
      <c r="H986" s="52" t="s">
        <v>77</v>
      </c>
      <c r="I986" s="52" t="s">
        <v>1454</v>
      </c>
      <c r="J986" s="52"/>
      <c r="K986" s="52"/>
      <c r="L986" s="52"/>
      <c r="M986" s="52"/>
      <c r="N986" s="52" t="s">
        <v>70</v>
      </c>
      <c r="O986" s="52"/>
      <c r="P986" s="52"/>
      <c r="Q986" s="52"/>
      <c r="R986" s="51" t="b">
        <v>0</v>
      </c>
      <c r="S986" s="51"/>
      <c r="T986" s="52"/>
      <c r="U986" s="51" t="b">
        <v>0</v>
      </c>
      <c r="V986" s="51" t="b">
        <v>0</v>
      </c>
      <c r="W986" s="51" t="b">
        <v>0</v>
      </c>
      <c r="X986" s="51" t="b">
        <v>0</v>
      </c>
      <c r="Y986" s="51" t="b">
        <v>0</v>
      </c>
      <c r="Z986" s="51" t="b">
        <v>0</v>
      </c>
      <c r="AA986" s="68"/>
      <c r="AB986" s="52"/>
      <c r="AC986" s="52"/>
      <c r="AD986" s="52"/>
      <c r="AE986" s="56"/>
      <c r="AF986" s="56" t="s">
        <v>2004</v>
      </c>
    </row>
    <row r="987">
      <c r="A987" s="52" t="s">
        <v>3175</v>
      </c>
      <c r="B987" s="52" t="s">
        <v>19</v>
      </c>
      <c r="C987" s="52" t="s">
        <v>221</v>
      </c>
      <c r="D987" s="65">
        <v>0.625</v>
      </c>
      <c r="E987" s="65">
        <v>3.4722222222222224E-4</v>
      </c>
      <c r="F987" s="65">
        <v>0.6253472222222223</v>
      </c>
      <c r="G987" s="65" t="s">
        <v>331</v>
      </c>
      <c r="H987" s="52" t="s">
        <v>81</v>
      </c>
      <c r="I987" s="52" t="s">
        <v>81</v>
      </c>
      <c r="J987" s="52"/>
      <c r="K987" s="52"/>
      <c r="L987" s="52"/>
      <c r="M987" s="52"/>
      <c r="N987" s="52" t="s">
        <v>70</v>
      </c>
      <c r="O987" s="52"/>
      <c r="P987" s="52"/>
      <c r="Q987" s="52"/>
      <c r="R987" s="51" t="b">
        <v>0</v>
      </c>
      <c r="S987" s="51"/>
      <c r="T987" s="52"/>
      <c r="U987" s="51" t="b">
        <v>0</v>
      </c>
      <c r="V987" s="51" t="b">
        <v>0</v>
      </c>
      <c r="W987" s="51" t="b">
        <v>0</v>
      </c>
      <c r="X987" s="51" t="b">
        <v>0</v>
      </c>
      <c r="Y987" s="51" t="b">
        <v>0</v>
      </c>
      <c r="Z987" s="51" t="b">
        <v>0</v>
      </c>
      <c r="AA987" s="68"/>
      <c r="AB987" s="52"/>
      <c r="AC987" s="52"/>
      <c r="AD987" s="52"/>
      <c r="AE987" s="56"/>
      <c r="AF987" s="56" t="s">
        <v>1944</v>
      </c>
    </row>
    <row r="988">
      <c r="A988" s="52" t="s">
        <v>3180</v>
      </c>
      <c r="B988" s="52" t="s">
        <v>19</v>
      </c>
      <c r="C988" s="52" t="s">
        <v>221</v>
      </c>
      <c r="D988" s="65">
        <v>0.6253472222222223</v>
      </c>
      <c r="E988" s="65">
        <v>0.010833333333333334</v>
      </c>
      <c r="F988" s="65">
        <v>0.6361805555555556</v>
      </c>
      <c r="G988" s="65" t="s">
        <v>331</v>
      </c>
      <c r="H988" s="52" t="s">
        <v>94</v>
      </c>
      <c r="I988" s="52" t="s">
        <v>1276</v>
      </c>
      <c r="J988" s="52" t="s">
        <v>1277</v>
      </c>
      <c r="K988" s="52"/>
      <c r="L988" s="52"/>
      <c r="M988" s="52"/>
      <c r="N988" s="52" t="s">
        <v>1278</v>
      </c>
      <c r="O988" s="69" t="s">
        <v>618</v>
      </c>
      <c r="P988" s="69" t="s">
        <v>20</v>
      </c>
      <c r="Q988" s="70" t="s">
        <v>3184</v>
      </c>
      <c r="R988" s="51" t="b">
        <v>1</v>
      </c>
      <c r="S988" s="52" t="s">
        <v>1276</v>
      </c>
      <c r="T988" s="52"/>
      <c r="U988" s="51" t="b">
        <v>0</v>
      </c>
      <c r="V988" s="51" t="b">
        <v>1</v>
      </c>
      <c r="W988" s="51" t="b">
        <v>1</v>
      </c>
      <c r="X988" s="51" t="b">
        <v>0</v>
      </c>
      <c r="Y988" s="51" t="b">
        <v>0</v>
      </c>
      <c r="Z988" s="51" t="b">
        <v>0</v>
      </c>
      <c r="AA988" s="71">
        <v>0.01056712962962963</v>
      </c>
      <c r="AB988" s="69" t="s">
        <v>3190</v>
      </c>
      <c r="AC988" s="69" t="s">
        <v>3191</v>
      </c>
      <c r="AD988" s="76" t="s">
        <v>3192</v>
      </c>
      <c r="AE988" s="74" t="s">
        <v>629</v>
      </c>
      <c r="AF988" s="74" t="s">
        <v>1362</v>
      </c>
    </row>
    <row r="989">
      <c r="A989" s="52" t="s">
        <v>3195</v>
      </c>
      <c r="B989" s="52" t="s">
        <v>607</v>
      </c>
      <c r="C989" s="52" t="s">
        <v>607</v>
      </c>
      <c r="D989" s="65" t="s">
        <v>607</v>
      </c>
      <c r="E989" s="65" t="s">
        <v>607</v>
      </c>
      <c r="F989" s="65" t="s">
        <v>607</v>
      </c>
      <c r="G989" s="65" t="s">
        <v>607</v>
      </c>
      <c r="H989" s="52" t="s">
        <v>607</v>
      </c>
      <c r="I989" s="52" t="s">
        <v>607</v>
      </c>
      <c r="J989" s="52" t="s">
        <v>607</v>
      </c>
      <c r="K989" s="52" t="s">
        <v>607</v>
      </c>
      <c r="L989" s="52" t="s">
        <v>607</v>
      </c>
      <c r="M989" s="52" t="s">
        <v>607</v>
      </c>
      <c r="N989" s="52" t="s">
        <v>607</v>
      </c>
      <c r="O989" s="52"/>
      <c r="P989" s="52"/>
      <c r="Q989" s="52"/>
      <c r="R989" s="51" t="b">
        <v>0</v>
      </c>
      <c r="S989" s="51"/>
      <c r="T989" s="52"/>
      <c r="U989" s="51" t="b">
        <v>0</v>
      </c>
      <c r="V989" s="51" t="b">
        <v>0</v>
      </c>
      <c r="W989" s="51" t="b">
        <v>0</v>
      </c>
      <c r="X989" s="51" t="b">
        <v>0</v>
      </c>
      <c r="Y989" s="51" t="b">
        <v>0</v>
      </c>
      <c r="Z989" s="51" t="b">
        <v>0</v>
      </c>
      <c r="AA989" s="68"/>
      <c r="AB989" s="52"/>
      <c r="AC989" s="52"/>
      <c r="AD989" s="52"/>
      <c r="AE989" s="56" t="s">
        <v>607</v>
      </c>
      <c r="AF989" s="56" t="s">
        <v>607</v>
      </c>
    </row>
    <row r="990">
      <c r="A990" s="52" t="s">
        <v>3199</v>
      </c>
      <c r="B990" s="52" t="s">
        <v>607</v>
      </c>
      <c r="C990" s="52" t="s">
        <v>607</v>
      </c>
      <c r="D990" s="65" t="s">
        <v>607</v>
      </c>
      <c r="E990" s="65" t="s">
        <v>607</v>
      </c>
      <c r="F990" s="65" t="s">
        <v>607</v>
      </c>
      <c r="G990" s="65" t="s">
        <v>607</v>
      </c>
      <c r="H990" s="52" t="s">
        <v>607</v>
      </c>
      <c r="I990" s="52" t="s">
        <v>607</v>
      </c>
      <c r="J990" s="52" t="s">
        <v>607</v>
      </c>
      <c r="K990" s="52" t="s">
        <v>607</v>
      </c>
      <c r="L990" s="52" t="s">
        <v>607</v>
      </c>
      <c r="M990" s="52" t="s">
        <v>607</v>
      </c>
      <c r="N990" s="52" t="s">
        <v>607</v>
      </c>
      <c r="O990" s="52"/>
      <c r="P990" s="52"/>
      <c r="Q990" s="52"/>
      <c r="R990" s="51" t="b">
        <v>0</v>
      </c>
      <c r="S990" s="51"/>
      <c r="T990" s="52"/>
      <c r="U990" s="51" t="b">
        <v>0</v>
      </c>
      <c r="V990" s="51" t="b">
        <v>0</v>
      </c>
      <c r="W990" s="51" t="b">
        <v>0</v>
      </c>
      <c r="X990" s="51" t="b">
        <v>0</v>
      </c>
      <c r="Y990" s="51" t="b">
        <v>0</v>
      </c>
      <c r="Z990" s="51" t="b">
        <v>0</v>
      </c>
      <c r="AA990" s="68"/>
      <c r="AB990" s="52"/>
      <c r="AC990" s="52"/>
      <c r="AD990" s="52"/>
      <c r="AE990" s="56" t="s">
        <v>607</v>
      </c>
      <c r="AF990" s="56" t="s">
        <v>607</v>
      </c>
    </row>
    <row r="991">
      <c r="A991" s="52" t="s">
        <v>3204</v>
      </c>
      <c r="B991" s="52" t="s">
        <v>19</v>
      </c>
      <c r="C991" s="52" t="s">
        <v>221</v>
      </c>
      <c r="D991" s="65">
        <v>0.6620138888888889</v>
      </c>
      <c r="E991" s="65">
        <v>2.314814814814815E-4</v>
      </c>
      <c r="F991" s="65">
        <v>0.6622453703703703</v>
      </c>
      <c r="G991" s="65" t="s">
        <v>331</v>
      </c>
      <c r="H991" s="52" t="s">
        <v>81</v>
      </c>
      <c r="I991" s="52" t="s">
        <v>81</v>
      </c>
      <c r="J991" s="52"/>
      <c r="K991" s="52"/>
      <c r="L991" s="52"/>
      <c r="M991" s="52"/>
      <c r="N991" s="52" t="s">
        <v>70</v>
      </c>
      <c r="O991" s="52"/>
      <c r="P991" s="52"/>
      <c r="Q991" s="52"/>
      <c r="R991" s="51" t="b">
        <v>0</v>
      </c>
      <c r="S991" s="51"/>
      <c r="T991" s="52"/>
      <c r="U991" s="51" t="b">
        <v>0</v>
      </c>
      <c r="V991" s="51" t="b">
        <v>0</v>
      </c>
      <c r="W991" s="51" t="b">
        <v>0</v>
      </c>
      <c r="X991" s="51" t="b">
        <v>0</v>
      </c>
      <c r="Y991" s="51" t="b">
        <v>0</v>
      </c>
      <c r="Z991" s="51" t="b">
        <v>0</v>
      </c>
      <c r="AA991" s="68"/>
      <c r="AB991" s="52"/>
      <c r="AC991" s="52"/>
      <c r="AD991" s="52"/>
      <c r="AE991" s="56"/>
      <c r="AF991" s="56" t="s">
        <v>1944</v>
      </c>
    </row>
    <row r="992">
      <c r="A992" s="52" t="s">
        <v>3207</v>
      </c>
      <c r="B992" s="52" t="s">
        <v>19</v>
      </c>
      <c r="C992" s="52" t="s">
        <v>221</v>
      </c>
      <c r="D992" s="65">
        <v>0.6622453703703703</v>
      </c>
      <c r="E992" s="65">
        <v>0.0022800925925925927</v>
      </c>
      <c r="F992" s="65">
        <v>0.6645254629629629</v>
      </c>
      <c r="G992" s="65" t="s">
        <v>331</v>
      </c>
      <c r="H992" s="52" t="s">
        <v>165</v>
      </c>
      <c r="I992" s="52" t="s">
        <v>1289</v>
      </c>
      <c r="J992" s="52" t="s">
        <v>1290</v>
      </c>
      <c r="K992" s="52"/>
      <c r="L992" s="52"/>
      <c r="M992" s="52"/>
      <c r="N992" s="52" t="s">
        <v>70</v>
      </c>
      <c r="O992" s="52"/>
      <c r="P992" s="69" t="s">
        <v>28</v>
      </c>
      <c r="Q992" s="73" t="s">
        <v>3210</v>
      </c>
      <c r="R992" s="51" t="b">
        <v>1</v>
      </c>
      <c r="S992" s="69" t="s">
        <v>1289</v>
      </c>
      <c r="T992" s="52"/>
      <c r="U992" s="51" t="b">
        <v>0</v>
      </c>
      <c r="V992" s="51" t="b">
        <v>1</v>
      </c>
      <c r="W992" s="51" t="b">
        <v>1</v>
      </c>
      <c r="X992" s="51" t="b">
        <v>0</v>
      </c>
      <c r="Y992" s="51" t="b">
        <v>1</v>
      </c>
      <c r="Z992" s="51" t="b">
        <v>0</v>
      </c>
      <c r="AA992" s="71">
        <v>0.0022800925925925927</v>
      </c>
      <c r="AB992" s="69"/>
      <c r="AC992" s="69"/>
      <c r="AD992" s="76" t="s">
        <v>3214</v>
      </c>
      <c r="AE992" s="74" t="s">
        <v>743</v>
      </c>
      <c r="AF992" s="74" t="s">
        <v>630</v>
      </c>
    </row>
    <row r="993">
      <c r="A993" s="52" t="s">
        <v>3217</v>
      </c>
      <c r="B993" s="52" t="s">
        <v>607</v>
      </c>
      <c r="C993" s="52" t="s">
        <v>607</v>
      </c>
      <c r="D993" s="65" t="s">
        <v>607</v>
      </c>
      <c r="E993" s="65" t="s">
        <v>607</v>
      </c>
      <c r="F993" s="65" t="s">
        <v>607</v>
      </c>
      <c r="G993" s="65" t="s">
        <v>607</v>
      </c>
      <c r="H993" s="52" t="s">
        <v>607</v>
      </c>
      <c r="I993" s="52" t="s">
        <v>607</v>
      </c>
      <c r="J993" s="52" t="s">
        <v>607</v>
      </c>
      <c r="K993" s="52" t="s">
        <v>607</v>
      </c>
      <c r="L993" s="52" t="s">
        <v>607</v>
      </c>
      <c r="M993" s="52" t="s">
        <v>607</v>
      </c>
      <c r="N993" s="52" t="s">
        <v>607</v>
      </c>
      <c r="O993" s="52"/>
      <c r="P993" s="52"/>
      <c r="Q993" s="52"/>
      <c r="R993" s="51" t="b">
        <v>0</v>
      </c>
      <c r="S993" s="51"/>
      <c r="T993" s="52"/>
      <c r="U993" s="51" t="b">
        <v>0</v>
      </c>
      <c r="V993" s="51" t="b">
        <v>0</v>
      </c>
      <c r="W993" s="51" t="b">
        <v>0</v>
      </c>
      <c r="X993" s="51" t="b">
        <v>0</v>
      </c>
      <c r="Y993" s="51" t="b">
        <v>0</v>
      </c>
      <c r="Z993" s="51" t="b">
        <v>0</v>
      </c>
      <c r="AA993" s="68"/>
      <c r="AB993" s="52"/>
      <c r="AC993" s="52"/>
      <c r="AD993" s="52"/>
      <c r="AE993" s="56" t="s">
        <v>607</v>
      </c>
      <c r="AF993" s="56" t="s">
        <v>607</v>
      </c>
    </row>
    <row r="994">
      <c r="A994" s="52" t="s">
        <v>3220</v>
      </c>
      <c r="B994" s="52" t="s">
        <v>607</v>
      </c>
      <c r="C994" s="52" t="s">
        <v>607</v>
      </c>
      <c r="D994" s="65" t="s">
        <v>607</v>
      </c>
      <c r="E994" s="65" t="s">
        <v>607</v>
      </c>
      <c r="F994" s="65" t="s">
        <v>607</v>
      </c>
      <c r="G994" s="65" t="s">
        <v>607</v>
      </c>
      <c r="H994" s="52" t="s">
        <v>607</v>
      </c>
      <c r="I994" s="52" t="s">
        <v>607</v>
      </c>
      <c r="J994" s="52" t="s">
        <v>607</v>
      </c>
      <c r="K994" s="52" t="s">
        <v>607</v>
      </c>
      <c r="L994" s="52" t="s">
        <v>607</v>
      </c>
      <c r="M994" s="52" t="s">
        <v>607</v>
      </c>
      <c r="N994" s="52" t="s">
        <v>607</v>
      </c>
      <c r="O994" s="52"/>
      <c r="P994" s="52"/>
      <c r="Q994" s="52"/>
      <c r="R994" s="51" t="b">
        <v>0</v>
      </c>
      <c r="S994" s="51"/>
      <c r="T994" s="52"/>
      <c r="U994" s="51" t="b">
        <v>0</v>
      </c>
      <c r="V994" s="51" t="b">
        <v>0</v>
      </c>
      <c r="W994" s="51" t="b">
        <v>0</v>
      </c>
      <c r="X994" s="51" t="b">
        <v>0</v>
      </c>
      <c r="Y994" s="51" t="b">
        <v>0</v>
      </c>
      <c r="Z994" s="51" t="b">
        <v>0</v>
      </c>
      <c r="AA994" s="68"/>
      <c r="AB994" s="52"/>
      <c r="AC994" s="52"/>
      <c r="AD994" s="52"/>
      <c r="AE994" s="56" t="s">
        <v>607</v>
      </c>
      <c r="AF994" s="56" t="s">
        <v>607</v>
      </c>
    </row>
    <row r="995">
      <c r="A995" s="52" t="s">
        <v>3225</v>
      </c>
      <c r="B995" s="52" t="s">
        <v>19</v>
      </c>
      <c r="C995" s="52" t="s">
        <v>221</v>
      </c>
      <c r="D995" s="65">
        <v>0.6774305555555555</v>
      </c>
      <c r="E995" s="65">
        <v>2.314814814814815E-4</v>
      </c>
      <c r="F995" s="65">
        <v>0.677662037037037</v>
      </c>
      <c r="G995" s="65" t="s">
        <v>331</v>
      </c>
      <c r="H995" s="52" t="s">
        <v>81</v>
      </c>
      <c r="I995" s="52" t="s">
        <v>81</v>
      </c>
      <c r="J995" s="52"/>
      <c r="K995" s="52"/>
      <c r="L995" s="52"/>
      <c r="M995" s="52"/>
      <c r="N995" s="52" t="s">
        <v>70</v>
      </c>
      <c r="O995" s="52"/>
      <c r="P995" s="52"/>
      <c r="Q995" s="52"/>
      <c r="R995" s="51" t="b">
        <v>0</v>
      </c>
      <c r="S995" s="51"/>
      <c r="T995" s="52"/>
      <c r="U995" s="51" t="b">
        <v>0</v>
      </c>
      <c r="V995" s="51" t="b">
        <v>0</v>
      </c>
      <c r="W995" s="51" t="b">
        <v>0</v>
      </c>
      <c r="X995" s="51" t="b">
        <v>0</v>
      </c>
      <c r="Y995" s="51" t="b">
        <v>0</v>
      </c>
      <c r="Z995" s="51" t="b">
        <v>0</v>
      </c>
      <c r="AA995" s="68"/>
      <c r="AB995" s="52"/>
      <c r="AC995" s="52"/>
      <c r="AD995" s="52"/>
      <c r="AE995" s="56"/>
      <c r="AF995" s="56" t="s">
        <v>1944</v>
      </c>
    </row>
    <row r="996">
      <c r="A996" s="52" t="s">
        <v>3227</v>
      </c>
      <c r="B996" s="52" t="s">
        <v>19</v>
      </c>
      <c r="C996" s="52" t="s">
        <v>221</v>
      </c>
      <c r="D996" s="65">
        <v>0.677662037037037</v>
      </c>
      <c r="E996" s="65">
        <v>0.014050925925925927</v>
      </c>
      <c r="F996" s="65">
        <v>0.6917129629629629</v>
      </c>
      <c r="G996" s="65" t="s">
        <v>331</v>
      </c>
      <c r="H996" s="52" t="s">
        <v>94</v>
      </c>
      <c r="I996" s="52" t="s">
        <v>1302</v>
      </c>
      <c r="J996" s="52" t="s">
        <v>1304</v>
      </c>
      <c r="K996" s="52"/>
      <c r="L996" s="52"/>
      <c r="M996" s="52"/>
      <c r="N996" s="52" t="s">
        <v>1305</v>
      </c>
      <c r="O996" s="69" t="s">
        <v>618</v>
      </c>
      <c r="P996" s="69" t="s">
        <v>30</v>
      </c>
      <c r="Q996" s="80" t="s">
        <v>3231</v>
      </c>
      <c r="R996" s="51" t="b">
        <v>1</v>
      </c>
      <c r="S996" s="52" t="s">
        <v>1302</v>
      </c>
      <c r="T996" s="52"/>
      <c r="U996" s="51" t="b">
        <v>0</v>
      </c>
      <c r="V996" s="51" t="b">
        <v>1</v>
      </c>
      <c r="W996" s="51" t="b">
        <v>1</v>
      </c>
      <c r="X996" s="51" t="b">
        <v>0</v>
      </c>
      <c r="Y996" s="51" t="b">
        <v>1</v>
      </c>
      <c r="Z996" s="51" t="b">
        <v>0</v>
      </c>
      <c r="AA996" s="71">
        <v>0.014050925925925927</v>
      </c>
      <c r="AB996" s="69" t="s">
        <v>3235</v>
      </c>
      <c r="AC996" s="52"/>
      <c r="AD996" s="73" t="s">
        <v>3237</v>
      </c>
      <c r="AE996" s="56" t="s">
        <v>629</v>
      </c>
      <c r="AF996" s="56" t="s">
        <v>1362</v>
      </c>
    </row>
    <row r="997">
      <c r="A997" s="52" t="s">
        <v>3241</v>
      </c>
      <c r="B997" s="52" t="s">
        <v>607</v>
      </c>
      <c r="C997" s="52" t="s">
        <v>607</v>
      </c>
      <c r="D997" s="65" t="s">
        <v>607</v>
      </c>
      <c r="E997" s="65" t="s">
        <v>607</v>
      </c>
      <c r="F997" s="65" t="s">
        <v>607</v>
      </c>
      <c r="G997" s="65" t="s">
        <v>607</v>
      </c>
      <c r="H997" s="52" t="s">
        <v>607</v>
      </c>
      <c r="I997" s="52" t="s">
        <v>607</v>
      </c>
      <c r="J997" s="52" t="s">
        <v>607</v>
      </c>
      <c r="K997" s="52" t="s">
        <v>607</v>
      </c>
      <c r="L997" s="52" t="s">
        <v>607</v>
      </c>
      <c r="M997" s="52" t="s">
        <v>607</v>
      </c>
      <c r="N997" s="52" t="s">
        <v>607</v>
      </c>
      <c r="O997" s="52"/>
      <c r="P997" s="52"/>
      <c r="Q997" s="52"/>
      <c r="R997" s="51" t="b">
        <v>0</v>
      </c>
      <c r="S997" s="51"/>
      <c r="T997" s="52"/>
      <c r="U997" s="51" t="b">
        <v>0</v>
      </c>
      <c r="V997" s="51" t="b">
        <v>0</v>
      </c>
      <c r="W997" s="51" t="b">
        <v>0</v>
      </c>
      <c r="X997" s="51" t="b">
        <v>0</v>
      </c>
      <c r="Y997" s="51" t="b">
        <v>0</v>
      </c>
      <c r="Z997" s="51" t="b">
        <v>0</v>
      </c>
      <c r="AA997" s="68"/>
      <c r="AB997" s="52"/>
      <c r="AC997" s="52"/>
      <c r="AD997" s="52"/>
      <c r="AE997" s="56" t="s">
        <v>607</v>
      </c>
      <c r="AF997" s="56" t="s">
        <v>607</v>
      </c>
    </row>
    <row r="998">
      <c r="A998" s="52" t="s">
        <v>3246</v>
      </c>
      <c r="B998" s="52" t="s">
        <v>785</v>
      </c>
      <c r="C998" s="52" t="s">
        <v>221</v>
      </c>
      <c r="D998" s="65">
        <v>0.695081018518519</v>
      </c>
      <c r="E998" s="65">
        <v>3.4722222222222224E-4</v>
      </c>
      <c r="F998" s="65">
        <v>0.6954282407407413</v>
      </c>
      <c r="G998" s="65" t="s">
        <v>331</v>
      </c>
      <c r="H998" s="52" t="s">
        <v>81</v>
      </c>
      <c r="I998" s="52" t="s">
        <v>81</v>
      </c>
      <c r="J998" s="52"/>
      <c r="K998" s="52"/>
      <c r="L998" s="52"/>
      <c r="M998" s="52"/>
      <c r="N998" s="52" t="s">
        <v>70</v>
      </c>
      <c r="O998" s="52"/>
      <c r="P998" s="52"/>
      <c r="Q998" s="52"/>
      <c r="R998" s="51" t="b">
        <v>0</v>
      </c>
      <c r="S998" s="51"/>
      <c r="T998" s="52"/>
      <c r="U998" s="51" t="b">
        <v>0</v>
      </c>
      <c r="V998" s="51" t="b">
        <v>0</v>
      </c>
      <c r="W998" s="51" t="b">
        <v>0</v>
      </c>
      <c r="X998" s="51" t="b">
        <v>0</v>
      </c>
      <c r="Y998" s="51" t="b">
        <v>0</v>
      </c>
      <c r="Z998" s="51" t="b">
        <v>0</v>
      </c>
      <c r="AA998" s="68"/>
      <c r="AB998" s="52"/>
      <c r="AC998" s="52"/>
      <c r="AD998" s="52"/>
      <c r="AE998" s="56"/>
      <c r="AF998" s="56" t="s">
        <v>1944</v>
      </c>
    </row>
    <row r="999">
      <c r="A999" s="52" t="s">
        <v>3249</v>
      </c>
      <c r="B999" s="52" t="s">
        <v>785</v>
      </c>
      <c r="C999" s="52" t="s">
        <v>221</v>
      </c>
      <c r="D999" s="65">
        <v>0.6954282407407413</v>
      </c>
      <c r="E999" s="65">
        <v>0.008333333333333333</v>
      </c>
      <c r="F999" s="65">
        <v>0.7037615740740746</v>
      </c>
      <c r="G999" s="65" t="s">
        <v>331</v>
      </c>
      <c r="H999" s="52" t="s">
        <v>107</v>
      </c>
      <c r="I999" s="52" t="s">
        <v>1789</v>
      </c>
      <c r="J999" s="52" t="s">
        <v>1790</v>
      </c>
      <c r="K999" s="52" t="s">
        <v>1791</v>
      </c>
      <c r="L999" s="52"/>
      <c r="M999" s="52"/>
      <c r="N999" s="52" t="s">
        <v>1775</v>
      </c>
      <c r="O999" s="69" t="s">
        <v>734</v>
      </c>
      <c r="P999" s="69" t="s">
        <v>20</v>
      </c>
      <c r="Q999" s="111" t="s">
        <v>3251</v>
      </c>
      <c r="R999" s="51" t="b">
        <v>1</v>
      </c>
      <c r="S999" s="52" t="s">
        <v>1789</v>
      </c>
      <c r="T999" s="52"/>
      <c r="U999" s="51" t="b">
        <v>0</v>
      </c>
      <c r="V999" s="51" t="b">
        <v>1</v>
      </c>
      <c r="W999" s="51" t="b">
        <v>1</v>
      </c>
      <c r="X999" s="51" t="b">
        <v>0</v>
      </c>
      <c r="Y999" s="51" t="b">
        <v>0</v>
      </c>
      <c r="Z999" s="51" t="b">
        <v>1</v>
      </c>
      <c r="AA999" s="170"/>
      <c r="AB999" s="159"/>
      <c r="AC999" s="159"/>
      <c r="AD999" s="111" t="s">
        <v>3260</v>
      </c>
      <c r="AE999" s="74" t="s">
        <v>629</v>
      </c>
      <c r="AF999" s="74" t="s">
        <v>1362</v>
      </c>
    </row>
    <row r="1000">
      <c r="A1000" s="52" t="s">
        <v>3262</v>
      </c>
      <c r="B1000" s="52" t="s">
        <v>785</v>
      </c>
      <c r="C1000" s="52" t="s">
        <v>221</v>
      </c>
      <c r="D1000" s="65">
        <v>0.7037615740740746</v>
      </c>
      <c r="E1000" s="65">
        <v>1.7361111111111112E-4</v>
      </c>
      <c r="F1000" s="65">
        <v>0.7039351851851857</v>
      </c>
      <c r="G1000" s="65" t="s">
        <v>331</v>
      </c>
      <c r="H1000" s="52" t="s">
        <v>85</v>
      </c>
      <c r="I1000" s="52" t="s">
        <v>85</v>
      </c>
      <c r="J1000" s="52"/>
      <c r="K1000" s="52"/>
      <c r="L1000" s="52"/>
      <c r="M1000" s="52"/>
      <c r="N1000" s="52" t="s">
        <v>70</v>
      </c>
      <c r="O1000" s="52"/>
      <c r="P1000" s="52"/>
      <c r="Q1000" s="52"/>
      <c r="R1000" s="51" t="b">
        <v>0</v>
      </c>
      <c r="S1000" s="51"/>
      <c r="T1000" s="52"/>
      <c r="U1000" s="51" t="b">
        <v>0</v>
      </c>
      <c r="V1000" s="51" t="b">
        <v>0</v>
      </c>
      <c r="W1000" s="51" t="b">
        <v>0</v>
      </c>
      <c r="X1000" s="51" t="b">
        <v>0</v>
      </c>
      <c r="Y1000" s="51" t="b">
        <v>0</v>
      </c>
      <c r="Z1000" s="51" t="b">
        <v>0</v>
      </c>
      <c r="AA1000" s="68"/>
      <c r="AB1000" s="52"/>
      <c r="AC1000" s="52"/>
      <c r="AD1000" s="52"/>
      <c r="AE1000" s="56"/>
      <c r="AF1000" s="56" t="s">
        <v>1944</v>
      </c>
    </row>
    <row r="1001">
      <c r="A1001" s="52" t="s">
        <v>3269</v>
      </c>
      <c r="B1001" s="52" t="s">
        <v>19</v>
      </c>
      <c r="C1001" s="52" t="s">
        <v>221</v>
      </c>
      <c r="D1001" s="65">
        <v>0.7007986111111111</v>
      </c>
      <c r="E1001" s="65">
        <v>2.314814814814815E-4</v>
      </c>
      <c r="F1001" s="65">
        <v>0.7010300925925925</v>
      </c>
      <c r="G1001" s="65" t="s">
        <v>331</v>
      </c>
      <c r="H1001" s="52" t="s">
        <v>81</v>
      </c>
      <c r="I1001" s="52" t="s">
        <v>81</v>
      </c>
      <c r="J1001" s="52"/>
      <c r="K1001" s="52"/>
      <c r="L1001" s="52"/>
      <c r="M1001" s="52"/>
      <c r="N1001" s="52" t="s">
        <v>70</v>
      </c>
      <c r="O1001" s="52"/>
      <c r="P1001" s="52"/>
      <c r="Q1001" s="52"/>
      <c r="R1001" s="51" t="b">
        <v>0</v>
      </c>
      <c r="S1001" s="51"/>
      <c r="T1001" s="52"/>
      <c r="U1001" s="51" t="b">
        <v>0</v>
      </c>
      <c r="V1001" s="51" t="b">
        <v>0</v>
      </c>
      <c r="W1001" s="51" t="b">
        <v>0</v>
      </c>
      <c r="X1001" s="51" t="b">
        <v>0</v>
      </c>
      <c r="Y1001" s="51" t="b">
        <v>0</v>
      </c>
      <c r="Z1001" s="51" t="b">
        <v>0</v>
      </c>
      <c r="AA1001" s="68"/>
      <c r="AB1001" s="52"/>
      <c r="AC1001" s="52"/>
      <c r="AD1001" s="52"/>
      <c r="AE1001" s="56"/>
      <c r="AF1001" s="56" t="s">
        <v>1944</v>
      </c>
    </row>
    <row r="1002">
      <c r="A1002" s="52" t="s">
        <v>3273</v>
      </c>
      <c r="B1002" s="52" t="s">
        <v>19</v>
      </c>
      <c r="C1002" s="52" t="s">
        <v>221</v>
      </c>
      <c r="D1002" s="65">
        <v>0.7010300925925925</v>
      </c>
      <c r="E1002" s="65">
        <v>0.0068865740740740745</v>
      </c>
      <c r="F1002" s="65">
        <v>0.7079166666666666</v>
      </c>
      <c r="G1002" s="65" t="s">
        <v>331</v>
      </c>
      <c r="H1002" s="52" t="s">
        <v>94</v>
      </c>
      <c r="I1002" s="52" t="s">
        <v>1311</v>
      </c>
      <c r="J1002" s="52" t="s">
        <v>1312</v>
      </c>
      <c r="K1002" s="52"/>
      <c r="L1002" s="52"/>
      <c r="M1002" s="52"/>
      <c r="N1002" s="52" t="s">
        <v>1313</v>
      </c>
      <c r="O1002" s="69" t="s">
        <v>618</v>
      </c>
      <c r="P1002" s="69" t="s">
        <v>30</v>
      </c>
      <c r="Q1002" s="80" t="s">
        <v>3276</v>
      </c>
      <c r="R1002" s="51" t="b">
        <v>1</v>
      </c>
      <c r="S1002" s="52" t="s">
        <v>1311</v>
      </c>
      <c r="T1002" s="52"/>
      <c r="U1002" s="51" t="b">
        <v>0</v>
      </c>
      <c r="V1002" s="51" t="b">
        <v>1</v>
      </c>
      <c r="W1002" s="51" t="b">
        <v>1</v>
      </c>
      <c r="X1002" s="51" t="b">
        <v>0</v>
      </c>
      <c r="Y1002" s="51" t="b">
        <v>0</v>
      </c>
      <c r="Z1002" s="51" t="b">
        <v>1</v>
      </c>
      <c r="AA1002" s="71">
        <v>0.0068865740740740745</v>
      </c>
      <c r="AB1002" s="127" t="s">
        <v>3279</v>
      </c>
      <c r="AC1002" s="159"/>
      <c r="AD1002" s="73" t="s">
        <v>3283</v>
      </c>
      <c r="AE1002" s="56" t="s">
        <v>743</v>
      </c>
      <c r="AF1002" s="56" t="s">
        <v>1362</v>
      </c>
    </row>
    <row r="1003">
      <c r="A1003" s="52" t="s">
        <v>3287</v>
      </c>
      <c r="B1003" s="52" t="s">
        <v>607</v>
      </c>
      <c r="C1003" s="52" t="s">
        <v>607</v>
      </c>
      <c r="D1003" s="65" t="s">
        <v>607</v>
      </c>
      <c r="E1003" s="65" t="s">
        <v>607</v>
      </c>
      <c r="F1003" s="65" t="s">
        <v>607</v>
      </c>
      <c r="G1003" s="65" t="s">
        <v>607</v>
      </c>
      <c r="H1003" s="52" t="s">
        <v>607</v>
      </c>
      <c r="I1003" s="52" t="s">
        <v>607</v>
      </c>
      <c r="J1003" s="52" t="s">
        <v>607</v>
      </c>
      <c r="K1003" s="52" t="s">
        <v>607</v>
      </c>
      <c r="L1003" s="52" t="s">
        <v>607</v>
      </c>
      <c r="M1003" s="52" t="s">
        <v>607</v>
      </c>
      <c r="N1003" s="52" t="s">
        <v>607</v>
      </c>
      <c r="O1003" s="52"/>
      <c r="P1003" s="52"/>
      <c r="Q1003" s="52"/>
      <c r="R1003" s="51" t="b">
        <v>0</v>
      </c>
      <c r="S1003" s="51"/>
      <c r="T1003" s="52"/>
      <c r="U1003" s="51" t="b">
        <v>0</v>
      </c>
      <c r="V1003" s="51" t="b">
        <v>0</v>
      </c>
      <c r="W1003" s="51" t="b">
        <v>0</v>
      </c>
      <c r="X1003" s="51" t="b">
        <v>0</v>
      </c>
      <c r="Y1003" s="51" t="b">
        <v>0</v>
      </c>
      <c r="Z1003" s="51" t="b">
        <v>0</v>
      </c>
      <c r="AA1003" s="68"/>
      <c r="AB1003" s="52"/>
      <c r="AC1003" s="52"/>
      <c r="AD1003" s="52"/>
      <c r="AE1003" s="56" t="s">
        <v>607</v>
      </c>
      <c r="AF1003" s="56" t="s">
        <v>607</v>
      </c>
    </row>
    <row r="1004">
      <c r="A1004" s="52" t="s">
        <v>3291</v>
      </c>
      <c r="B1004" s="52" t="s">
        <v>19</v>
      </c>
      <c r="C1004" s="52" t="s">
        <v>221</v>
      </c>
      <c r="D1004" s="65">
        <v>0.7079166666666666</v>
      </c>
      <c r="E1004" s="65">
        <v>3.4722222222222224E-4</v>
      </c>
      <c r="F1004" s="65">
        <v>0.7082638888888889</v>
      </c>
      <c r="G1004" s="65"/>
      <c r="H1004" s="52" t="s">
        <v>598</v>
      </c>
      <c r="I1004" s="52" t="s">
        <v>1171</v>
      </c>
      <c r="J1004" s="52"/>
      <c r="K1004" s="52"/>
      <c r="L1004" s="52"/>
      <c r="M1004" s="52"/>
      <c r="N1004" s="52" t="s">
        <v>70</v>
      </c>
      <c r="O1004" s="52"/>
      <c r="P1004" s="52"/>
      <c r="Q1004" s="52"/>
      <c r="R1004" s="51" t="b">
        <v>0</v>
      </c>
      <c r="S1004" s="51"/>
      <c r="T1004" s="52"/>
      <c r="U1004" s="51" t="b">
        <v>0</v>
      </c>
      <c r="V1004" s="51" t="b">
        <v>0</v>
      </c>
      <c r="W1004" s="51" t="b">
        <v>0</v>
      </c>
      <c r="X1004" s="51" t="b">
        <v>0</v>
      </c>
      <c r="Y1004" s="51" t="b">
        <v>0</v>
      </c>
      <c r="Z1004" s="51" t="b">
        <v>0</v>
      </c>
      <c r="AA1004" s="68"/>
      <c r="AB1004" s="52"/>
      <c r="AC1004" s="52"/>
      <c r="AD1004" s="52"/>
      <c r="AE1004" s="56"/>
      <c r="AF1004" s="56" t="s">
        <v>1944</v>
      </c>
    </row>
    <row r="1005">
      <c r="A1005" s="52" t="s">
        <v>3294</v>
      </c>
      <c r="B1005" s="52" t="s">
        <v>344</v>
      </c>
      <c r="C1005" s="52"/>
      <c r="D1005" s="65"/>
      <c r="E1005" s="65"/>
      <c r="F1005" s="65"/>
      <c r="G1005" s="65"/>
      <c r="H1005" s="52"/>
      <c r="I1005" s="52"/>
      <c r="J1005" s="52"/>
      <c r="K1005" s="52"/>
      <c r="L1005" s="52"/>
      <c r="M1005" s="52"/>
      <c r="N1005" s="52" t="s">
        <v>70</v>
      </c>
      <c r="O1005" s="52"/>
      <c r="P1005" s="52"/>
      <c r="Q1005" s="52"/>
      <c r="R1005" s="51" t="b">
        <v>0</v>
      </c>
      <c r="S1005" s="51"/>
      <c r="T1005" s="52"/>
      <c r="U1005" s="51" t="b">
        <v>0</v>
      </c>
      <c r="V1005" s="51" t="b">
        <v>0</v>
      </c>
      <c r="W1005" s="51" t="b">
        <v>0</v>
      </c>
      <c r="X1005" s="51" t="b">
        <v>0</v>
      </c>
      <c r="Y1005" s="51" t="b">
        <v>0</v>
      </c>
      <c r="Z1005" s="51" t="b">
        <v>0</v>
      </c>
      <c r="AA1005" s="68"/>
      <c r="AB1005" s="52"/>
      <c r="AC1005" s="52"/>
      <c r="AD1005" s="52"/>
      <c r="AE1005" s="56"/>
      <c r="AF1005" s="56"/>
    </row>
    <row r="1006">
      <c r="A1006" s="52" t="s">
        <v>3299</v>
      </c>
      <c r="B1006" s="52" t="s">
        <v>19</v>
      </c>
      <c r="C1006" s="52" t="s">
        <v>289</v>
      </c>
      <c r="D1006" s="65">
        <v>0.4178819444444445</v>
      </c>
      <c r="E1006" s="65">
        <v>3.4722222222222224E-4</v>
      </c>
      <c r="F1006" s="65">
        <v>0.4182291666666667</v>
      </c>
      <c r="G1006" s="65" t="s">
        <v>299</v>
      </c>
      <c r="H1006" s="52" t="s">
        <v>81</v>
      </c>
      <c r="I1006" s="52" t="s">
        <v>81</v>
      </c>
      <c r="J1006" s="52"/>
      <c r="K1006" s="52"/>
      <c r="L1006" s="52"/>
      <c r="M1006" s="52"/>
      <c r="N1006" s="52" t="s">
        <v>70</v>
      </c>
      <c r="O1006" s="52"/>
      <c r="P1006" s="52"/>
      <c r="Q1006" s="52"/>
      <c r="R1006" s="51" t="b">
        <v>0</v>
      </c>
      <c r="S1006" s="51"/>
      <c r="T1006" s="52"/>
      <c r="U1006" s="51" t="b">
        <v>0</v>
      </c>
      <c r="V1006" s="51" t="b">
        <v>0</v>
      </c>
      <c r="W1006" s="51" t="b">
        <v>0</v>
      </c>
      <c r="X1006" s="51" t="b">
        <v>0</v>
      </c>
      <c r="Y1006" s="51" t="b">
        <v>0</v>
      </c>
      <c r="Z1006" s="51" t="b">
        <v>0</v>
      </c>
      <c r="AA1006" s="68"/>
      <c r="AB1006" s="52"/>
      <c r="AC1006" s="52"/>
      <c r="AD1006" s="52"/>
      <c r="AE1006" s="56"/>
      <c r="AF1006" s="56" t="s">
        <v>1944</v>
      </c>
    </row>
    <row r="1007">
      <c r="A1007" s="52" t="s">
        <v>3303</v>
      </c>
      <c r="B1007" s="52" t="s">
        <v>19</v>
      </c>
      <c r="C1007" s="52" t="s">
        <v>289</v>
      </c>
      <c r="D1007" s="65">
        <v>0.4182291666666667</v>
      </c>
      <c r="E1007" s="65">
        <v>0.005104166666666667</v>
      </c>
      <c r="F1007" s="65">
        <v>0.4233333333333334</v>
      </c>
      <c r="G1007" s="65" t="s">
        <v>299</v>
      </c>
      <c r="H1007" s="52" t="s">
        <v>165</v>
      </c>
      <c r="I1007" s="52" t="s">
        <v>1319</v>
      </c>
      <c r="J1007" s="52" t="s">
        <v>163</v>
      </c>
      <c r="K1007" s="52"/>
      <c r="L1007" s="52"/>
      <c r="M1007" s="52"/>
      <c r="N1007" s="52" t="s">
        <v>70</v>
      </c>
      <c r="O1007" s="52"/>
      <c r="P1007" s="69" t="s">
        <v>23</v>
      </c>
      <c r="Q1007" s="80" t="s">
        <v>3307</v>
      </c>
      <c r="R1007" s="51" t="b">
        <v>1</v>
      </c>
      <c r="S1007" s="52" t="s">
        <v>1319</v>
      </c>
      <c r="T1007" s="52"/>
      <c r="U1007" s="51" t="b">
        <v>0</v>
      </c>
      <c r="V1007" s="51" t="b">
        <v>1</v>
      </c>
      <c r="W1007" s="51" t="b">
        <v>1</v>
      </c>
      <c r="X1007" s="51" t="b">
        <v>0</v>
      </c>
      <c r="Y1007" s="51" t="b">
        <v>0</v>
      </c>
      <c r="Z1007" s="51" t="b">
        <v>0</v>
      </c>
      <c r="AA1007" s="71">
        <v>0.005104166666666667</v>
      </c>
      <c r="AB1007" s="69" t="s">
        <v>3312</v>
      </c>
      <c r="AC1007" s="52"/>
      <c r="AD1007" s="76" t="s">
        <v>3313</v>
      </c>
      <c r="AE1007" s="56" t="s">
        <v>743</v>
      </c>
      <c r="AF1007" s="56" t="s">
        <v>653</v>
      </c>
    </row>
    <row r="1008">
      <c r="A1008" s="52" t="s">
        <v>3315</v>
      </c>
      <c r="B1008" s="52" t="s">
        <v>607</v>
      </c>
      <c r="C1008" s="52" t="s">
        <v>607</v>
      </c>
      <c r="D1008" s="65" t="s">
        <v>607</v>
      </c>
      <c r="E1008" s="65" t="s">
        <v>607</v>
      </c>
      <c r="F1008" s="65" t="s">
        <v>607</v>
      </c>
      <c r="G1008" s="65" t="s">
        <v>607</v>
      </c>
      <c r="H1008" s="52" t="s">
        <v>607</v>
      </c>
      <c r="I1008" s="52" t="s">
        <v>607</v>
      </c>
      <c r="J1008" s="52" t="s">
        <v>607</v>
      </c>
      <c r="K1008" s="52" t="s">
        <v>607</v>
      </c>
      <c r="L1008" s="52" t="s">
        <v>607</v>
      </c>
      <c r="M1008" s="52" t="s">
        <v>607</v>
      </c>
      <c r="N1008" s="52" t="s">
        <v>607</v>
      </c>
      <c r="O1008" s="52"/>
      <c r="P1008" s="52"/>
      <c r="Q1008" s="52"/>
      <c r="R1008" s="51" t="b">
        <v>0</v>
      </c>
      <c r="S1008" s="51"/>
      <c r="T1008" s="52"/>
      <c r="U1008" s="51" t="b">
        <v>0</v>
      </c>
      <c r="V1008" s="51" t="b">
        <v>0</v>
      </c>
      <c r="W1008" s="51" t="b">
        <v>0</v>
      </c>
      <c r="X1008" s="51" t="b">
        <v>0</v>
      </c>
      <c r="Y1008" s="51" t="b">
        <v>0</v>
      </c>
      <c r="Z1008" s="51" t="b">
        <v>0</v>
      </c>
      <c r="AA1008" s="68"/>
      <c r="AB1008" s="52"/>
      <c r="AC1008" s="52"/>
      <c r="AD1008" s="52"/>
      <c r="AE1008" s="56" t="s">
        <v>607</v>
      </c>
      <c r="AF1008" s="56" t="s">
        <v>607</v>
      </c>
    </row>
    <row r="1009">
      <c r="A1009" s="52" t="s">
        <v>3320</v>
      </c>
      <c r="B1009" s="52" t="s">
        <v>19</v>
      </c>
      <c r="C1009" s="52" t="s">
        <v>289</v>
      </c>
      <c r="D1009" s="65">
        <v>0.4233333333333334</v>
      </c>
      <c r="E1009" s="65">
        <v>2.314814814814815E-4</v>
      </c>
      <c r="F1009" s="65">
        <v>0.4235648148148149</v>
      </c>
      <c r="G1009" s="65" t="s">
        <v>299</v>
      </c>
      <c r="H1009" s="52" t="s">
        <v>81</v>
      </c>
      <c r="I1009" s="52" t="s">
        <v>81</v>
      </c>
      <c r="J1009" s="52"/>
      <c r="K1009" s="52"/>
      <c r="L1009" s="52"/>
      <c r="M1009" s="52"/>
      <c r="N1009" s="52" t="s">
        <v>70</v>
      </c>
      <c r="O1009" s="52"/>
      <c r="P1009" s="52"/>
      <c r="Q1009" s="52"/>
      <c r="R1009" s="51" t="b">
        <v>0</v>
      </c>
      <c r="S1009" s="51"/>
      <c r="T1009" s="52"/>
      <c r="U1009" s="51" t="b">
        <v>0</v>
      </c>
      <c r="V1009" s="51" t="b">
        <v>0</v>
      </c>
      <c r="W1009" s="51" t="b">
        <v>0</v>
      </c>
      <c r="X1009" s="51" t="b">
        <v>0</v>
      </c>
      <c r="Y1009" s="51" t="b">
        <v>0</v>
      </c>
      <c r="Z1009" s="51" t="b">
        <v>0</v>
      </c>
      <c r="AA1009" s="68"/>
      <c r="AB1009" s="52"/>
      <c r="AC1009" s="52"/>
      <c r="AD1009" s="52"/>
      <c r="AE1009" s="56"/>
      <c r="AF1009" s="56" t="s">
        <v>1944</v>
      </c>
    </row>
    <row r="1010">
      <c r="A1010" s="52" t="s">
        <v>3325</v>
      </c>
      <c r="B1010" s="52" t="s">
        <v>19</v>
      </c>
      <c r="C1010" s="52" t="s">
        <v>289</v>
      </c>
      <c r="D1010" s="65">
        <v>0.42373842592592603</v>
      </c>
      <c r="E1010" s="65">
        <v>0.008483796296296297</v>
      </c>
      <c r="F1010" s="65">
        <v>0.43222222222222234</v>
      </c>
      <c r="G1010" s="65" t="s">
        <v>299</v>
      </c>
      <c r="H1010" s="52" t="s">
        <v>165</v>
      </c>
      <c r="I1010" s="52" t="s">
        <v>1322</v>
      </c>
      <c r="J1010" s="52" t="s">
        <v>1323</v>
      </c>
      <c r="K1010" s="52"/>
      <c r="L1010" s="52"/>
      <c r="M1010" s="52"/>
      <c r="N1010" s="52" t="s">
        <v>70</v>
      </c>
      <c r="O1010" s="52"/>
      <c r="P1010" s="69" t="s">
        <v>15</v>
      </c>
      <c r="Q1010" s="73" t="s">
        <v>3329</v>
      </c>
      <c r="R1010" s="51" t="b">
        <v>1</v>
      </c>
      <c r="S1010" s="52" t="s">
        <v>1322</v>
      </c>
      <c r="T1010" s="52"/>
      <c r="U1010" s="51" t="b">
        <v>0</v>
      </c>
      <c r="V1010" s="51" t="b">
        <v>0</v>
      </c>
      <c r="W1010" s="51" t="b">
        <v>0</v>
      </c>
      <c r="X1010" s="51" t="b">
        <v>0</v>
      </c>
      <c r="Y1010" s="51" t="b">
        <v>0</v>
      </c>
      <c r="Z1010" s="51" t="b">
        <v>1</v>
      </c>
      <c r="AA1010" s="71">
        <v>0.008483796296296297</v>
      </c>
      <c r="AB1010" s="69" t="s">
        <v>3334</v>
      </c>
      <c r="AC1010" s="52"/>
      <c r="AE1010" s="56" t="s">
        <v>743</v>
      </c>
      <c r="AF1010" s="56" t="s">
        <v>653</v>
      </c>
    </row>
    <row r="1011">
      <c r="A1011" s="52" t="s">
        <v>3337</v>
      </c>
      <c r="B1011" s="52" t="s">
        <v>19</v>
      </c>
      <c r="C1011" s="52" t="s">
        <v>289</v>
      </c>
      <c r="D1011" s="65">
        <v>0.43222222222222234</v>
      </c>
      <c r="E1011" s="65">
        <v>1.7361111111111112E-4</v>
      </c>
      <c r="F1011" s="65">
        <v>0.4323958333333335</v>
      </c>
      <c r="G1011" s="65"/>
      <c r="H1011" s="52" t="s">
        <v>85</v>
      </c>
      <c r="I1011" s="52" t="s">
        <v>1327</v>
      </c>
      <c r="J1011" s="52"/>
      <c r="K1011" s="52"/>
      <c r="L1011" s="52"/>
      <c r="M1011" s="52"/>
      <c r="N1011" s="52"/>
      <c r="O1011" s="52"/>
      <c r="P1011" s="52"/>
      <c r="Q1011" s="52"/>
      <c r="R1011" s="51" t="b">
        <v>0</v>
      </c>
      <c r="S1011" s="51"/>
      <c r="T1011" s="52"/>
      <c r="U1011" s="51" t="b">
        <v>0</v>
      </c>
      <c r="V1011" s="51" t="b">
        <v>0</v>
      </c>
      <c r="W1011" s="51" t="b">
        <v>0</v>
      </c>
      <c r="X1011" s="51" t="b">
        <v>0</v>
      </c>
      <c r="Y1011" s="51" t="b">
        <v>0</v>
      </c>
      <c r="Z1011" s="51" t="b">
        <v>0</v>
      </c>
      <c r="AA1011" s="68"/>
      <c r="AB1011" s="52"/>
      <c r="AC1011" s="52"/>
      <c r="AD1011" s="52"/>
      <c r="AE1011" s="56"/>
      <c r="AF1011" s="56"/>
    </row>
    <row r="1012">
      <c r="A1012" s="52" t="s">
        <v>3342</v>
      </c>
      <c r="B1012" s="52" t="s">
        <v>19</v>
      </c>
      <c r="C1012" s="52" t="s">
        <v>289</v>
      </c>
      <c r="D1012" s="65">
        <v>0.41770833333333335</v>
      </c>
      <c r="E1012" s="65">
        <v>1.7361111111111112E-4</v>
      </c>
      <c r="F1012" s="65">
        <v>0.4178819444444445</v>
      </c>
      <c r="G1012" s="65" t="s">
        <v>299</v>
      </c>
      <c r="H1012" s="52" t="s">
        <v>77</v>
      </c>
      <c r="I1012" s="52" t="s">
        <v>1316</v>
      </c>
      <c r="J1012" s="52"/>
      <c r="K1012" s="52"/>
      <c r="L1012" s="52"/>
      <c r="M1012" s="52"/>
      <c r="N1012" s="52" t="s">
        <v>70</v>
      </c>
      <c r="O1012" s="52"/>
      <c r="P1012" s="52"/>
      <c r="Q1012" s="52"/>
      <c r="R1012" s="51" t="b">
        <v>0</v>
      </c>
      <c r="S1012" s="51"/>
      <c r="T1012" s="52"/>
      <c r="U1012" s="51" t="b">
        <v>0</v>
      </c>
      <c r="V1012" s="51" t="b">
        <v>0</v>
      </c>
      <c r="W1012" s="51" t="b">
        <v>0</v>
      </c>
      <c r="X1012" s="51" t="b">
        <v>0</v>
      </c>
      <c r="Y1012" s="51" t="b">
        <v>0</v>
      </c>
      <c r="Z1012" s="51" t="b">
        <v>0</v>
      </c>
      <c r="AA1012" s="68"/>
      <c r="AB1012" s="52"/>
      <c r="AC1012" s="52"/>
      <c r="AD1012" s="52"/>
      <c r="AE1012" s="56"/>
      <c r="AF1012" s="56" t="s">
        <v>2004</v>
      </c>
    </row>
    <row r="1013">
      <c r="A1013" s="52" t="s">
        <v>3344</v>
      </c>
      <c r="B1013" s="52" t="s">
        <v>19</v>
      </c>
      <c r="C1013" s="52" t="s">
        <v>289</v>
      </c>
      <c r="D1013" s="65">
        <v>0.4323958333333335</v>
      </c>
      <c r="E1013" s="65">
        <v>2.314814814814815E-4</v>
      </c>
      <c r="F1013" s="65">
        <v>0.432627314814815</v>
      </c>
      <c r="G1013" s="65" t="s">
        <v>299</v>
      </c>
      <c r="H1013" s="52" t="s">
        <v>81</v>
      </c>
      <c r="I1013" s="52" t="s">
        <v>81</v>
      </c>
      <c r="J1013" s="52"/>
      <c r="K1013" s="52"/>
      <c r="L1013" s="52"/>
      <c r="M1013" s="52"/>
      <c r="N1013" s="52" t="s">
        <v>70</v>
      </c>
      <c r="O1013" s="52"/>
      <c r="P1013" s="52"/>
      <c r="Q1013" s="52"/>
      <c r="R1013" s="51" t="b">
        <v>0</v>
      </c>
      <c r="S1013" s="51"/>
      <c r="T1013" s="52"/>
      <c r="U1013" s="51" t="b">
        <v>0</v>
      </c>
      <c r="V1013" s="51" t="b">
        <v>0</v>
      </c>
      <c r="W1013" s="51" t="b">
        <v>0</v>
      </c>
      <c r="X1013" s="51" t="b">
        <v>0</v>
      </c>
      <c r="Y1013" s="51" t="b">
        <v>0</v>
      </c>
      <c r="Z1013" s="51" t="b">
        <v>0</v>
      </c>
      <c r="AA1013" s="68"/>
      <c r="AB1013" s="52"/>
      <c r="AC1013" s="52"/>
      <c r="AD1013" s="52"/>
      <c r="AE1013" s="56"/>
      <c r="AF1013" s="56" t="s">
        <v>1944</v>
      </c>
    </row>
    <row r="1014">
      <c r="A1014" s="52" t="s">
        <v>3351</v>
      </c>
      <c r="B1014" s="52" t="s">
        <v>19</v>
      </c>
      <c r="C1014" s="52" t="s">
        <v>289</v>
      </c>
      <c r="D1014" s="65">
        <v>0.432627314814815</v>
      </c>
      <c r="E1014" s="65">
        <v>0.010902777777777779</v>
      </c>
      <c r="F1014" s="65">
        <v>0.44353009259259274</v>
      </c>
      <c r="G1014" s="65" t="s">
        <v>299</v>
      </c>
      <c r="H1014" s="52" t="s">
        <v>107</v>
      </c>
      <c r="I1014" s="52" t="s">
        <v>1329</v>
      </c>
      <c r="J1014" s="52" t="s">
        <v>1331</v>
      </c>
      <c r="K1014" s="52" t="s">
        <v>1332</v>
      </c>
      <c r="L1014" s="52"/>
      <c r="M1014" s="52"/>
      <c r="N1014" s="52" t="s">
        <v>102</v>
      </c>
      <c r="O1014" s="52"/>
      <c r="P1014" s="69" t="s">
        <v>23</v>
      </c>
      <c r="Q1014" s="80" t="s">
        <v>3354</v>
      </c>
      <c r="R1014" s="51" t="b">
        <v>1</v>
      </c>
      <c r="S1014" s="52" t="s">
        <v>1329</v>
      </c>
      <c r="T1014" s="52"/>
      <c r="U1014" s="51" t="b">
        <v>0</v>
      </c>
      <c r="V1014" s="51" t="b">
        <v>1</v>
      </c>
      <c r="W1014" s="51" t="b">
        <v>1</v>
      </c>
      <c r="X1014" s="51" t="b">
        <v>0</v>
      </c>
      <c r="Y1014" s="51" t="b">
        <v>0</v>
      </c>
      <c r="Z1014" s="51" t="b">
        <v>0</v>
      </c>
      <c r="AA1014" s="71">
        <v>0.010902777777777779</v>
      </c>
      <c r="AB1014" s="69" t="s">
        <v>3357</v>
      </c>
      <c r="AC1014" s="52"/>
      <c r="AD1014" s="76" t="s">
        <v>3358</v>
      </c>
      <c r="AE1014" s="56" t="s">
        <v>629</v>
      </c>
      <c r="AF1014" s="56" t="s">
        <v>860</v>
      </c>
    </row>
    <row r="1015">
      <c r="A1015" s="52" t="s">
        <v>3362</v>
      </c>
      <c r="B1015" s="52" t="s">
        <v>19</v>
      </c>
      <c r="C1015" s="52" t="s">
        <v>289</v>
      </c>
      <c r="D1015" s="65">
        <v>0.44353009259259274</v>
      </c>
      <c r="E1015" s="65">
        <v>1.7361111111111112E-4</v>
      </c>
      <c r="F1015" s="65">
        <v>0.4437037037037039</v>
      </c>
      <c r="G1015" s="65" t="s">
        <v>299</v>
      </c>
      <c r="H1015" s="52" t="s">
        <v>85</v>
      </c>
      <c r="I1015" s="52" t="s">
        <v>85</v>
      </c>
      <c r="J1015" s="52"/>
      <c r="K1015" s="52"/>
      <c r="L1015" s="52"/>
      <c r="M1015" s="52"/>
      <c r="N1015" s="52" t="s">
        <v>70</v>
      </c>
      <c r="O1015" s="52"/>
      <c r="P1015" s="52"/>
      <c r="Q1015" s="52"/>
      <c r="R1015" s="51" t="b">
        <v>0</v>
      </c>
      <c r="S1015" s="51"/>
      <c r="T1015" s="52"/>
      <c r="U1015" s="51" t="b">
        <v>0</v>
      </c>
      <c r="V1015" s="51" t="b">
        <v>0</v>
      </c>
      <c r="W1015" s="51" t="b">
        <v>0</v>
      </c>
      <c r="X1015" s="51" t="b">
        <v>0</v>
      </c>
      <c r="Y1015" s="51" t="b">
        <v>0</v>
      </c>
      <c r="Z1015" s="51" t="b">
        <v>0</v>
      </c>
      <c r="AA1015" s="68"/>
      <c r="AB1015" s="52"/>
      <c r="AC1015" s="52"/>
      <c r="AD1015" s="52"/>
      <c r="AE1015" s="56"/>
      <c r="AF1015" s="56" t="s">
        <v>1944</v>
      </c>
    </row>
    <row r="1016">
      <c r="A1016" s="52" t="s">
        <v>3368</v>
      </c>
      <c r="B1016" s="52" t="s">
        <v>19</v>
      </c>
      <c r="C1016" s="52" t="s">
        <v>289</v>
      </c>
      <c r="D1016" s="65">
        <v>0.4279513888888889</v>
      </c>
      <c r="E1016" s="65">
        <v>1.7361111111111112E-4</v>
      </c>
      <c r="F1016" s="65">
        <v>0.42812500000000003</v>
      </c>
      <c r="G1016" s="65" t="s">
        <v>299</v>
      </c>
      <c r="H1016" s="52" t="s">
        <v>77</v>
      </c>
      <c r="I1016" s="52" t="s">
        <v>1184</v>
      </c>
      <c r="J1016" s="52"/>
      <c r="K1016" s="52"/>
      <c r="L1016" s="52"/>
      <c r="M1016" s="52"/>
      <c r="N1016" s="52" t="s">
        <v>70</v>
      </c>
      <c r="O1016" s="52"/>
      <c r="P1016" s="52"/>
      <c r="Q1016" s="52"/>
      <c r="R1016" s="51" t="b">
        <v>0</v>
      </c>
      <c r="S1016" s="51"/>
      <c r="T1016" s="52"/>
      <c r="U1016" s="51" t="b">
        <v>0</v>
      </c>
      <c r="V1016" s="51" t="b">
        <v>0</v>
      </c>
      <c r="W1016" s="51" t="b">
        <v>0</v>
      </c>
      <c r="X1016" s="51" t="b">
        <v>0</v>
      </c>
      <c r="Y1016" s="51" t="b">
        <v>0</v>
      </c>
      <c r="Z1016" s="51" t="b">
        <v>0</v>
      </c>
      <c r="AA1016" s="68"/>
      <c r="AB1016" s="52"/>
      <c r="AC1016" s="52"/>
      <c r="AD1016" s="52"/>
      <c r="AE1016" s="56"/>
      <c r="AF1016" s="56" t="s">
        <v>2004</v>
      </c>
    </row>
    <row r="1017">
      <c r="A1017" s="52" t="s">
        <v>3374</v>
      </c>
      <c r="B1017" s="52" t="s">
        <v>19</v>
      </c>
      <c r="C1017" s="52" t="s">
        <v>289</v>
      </c>
      <c r="D1017" s="65">
        <v>0.4437037037037039</v>
      </c>
      <c r="E1017" s="65">
        <v>3.4722222222222224E-4</v>
      </c>
      <c r="F1017" s="65">
        <v>0.4440509259259261</v>
      </c>
      <c r="G1017" s="65" t="s">
        <v>299</v>
      </c>
      <c r="H1017" s="52" t="s">
        <v>511</v>
      </c>
      <c r="I1017" s="52" t="s">
        <v>511</v>
      </c>
      <c r="J1017" s="52"/>
      <c r="K1017" s="52"/>
      <c r="L1017" s="52"/>
      <c r="M1017" s="52"/>
      <c r="N1017" s="52" t="s">
        <v>70</v>
      </c>
      <c r="O1017" s="52"/>
      <c r="P1017" s="52"/>
      <c r="Q1017" s="52"/>
      <c r="R1017" s="51" t="b">
        <v>0</v>
      </c>
      <c r="S1017" s="51"/>
      <c r="T1017" s="52"/>
      <c r="U1017" s="51" t="b">
        <v>0</v>
      </c>
      <c r="V1017" s="51" t="b">
        <v>0</v>
      </c>
      <c r="W1017" s="51" t="b">
        <v>0</v>
      </c>
      <c r="X1017" s="51" t="b">
        <v>0</v>
      </c>
      <c r="Y1017" s="51" t="b">
        <v>0</v>
      </c>
      <c r="Z1017" s="51" t="b">
        <v>0</v>
      </c>
      <c r="AA1017" s="68"/>
      <c r="AB1017" s="52"/>
      <c r="AC1017" s="52"/>
      <c r="AD1017" s="52"/>
      <c r="AE1017" s="56"/>
      <c r="AF1017" s="56" t="s">
        <v>1944</v>
      </c>
    </row>
    <row r="1018">
      <c r="A1018" s="52" t="s">
        <v>3379</v>
      </c>
      <c r="B1018" s="52" t="s">
        <v>19</v>
      </c>
      <c r="C1018" s="52" t="s">
        <v>289</v>
      </c>
      <c r="D1018" s="65">
        <v>0.4440509259259261</v>
      </c>
      <c r="E1018" s="65">
        <v>2.314814814814815E-4</v>
      </c>
      <c r="F1018" s="65">
        <v>0.4442824074074076</v>
      </c>
      <c r="G1018" s="65" t="s">
        <v>299</v>
      </c>
      <c r="H1018" s="52" t="s">
        <v>81</v>
      </c>
      <c r="I1018" s="52" t="s">
        <v>81</v>
      </c>
      <c r="J1018" s="52"/>
      <c r="K1018" s="52"/>
      <c r="L1018" s="52"/>
      <c r="M1018" s="52"/>
      <c r="N1018" s="52" t="s">
        <v>70</v>
      </c>
      <c r="O1018" s="52"/>
      <c r="P1018" s="52"/>
      <c r="Q1018" s="52"/>
      <c r="R1018" s="51" t="b">
        <v>0</v>
      </c>
      <c r="S1018" s="51"/>
      <c r="T1018" s="52"/>
      <c r="U1018" s="51" t="b">
        <v>0</v>
      </c>
      <c r="V1018" s="51" t="b">
        <v>0</v>
      </c>
      <c r="W1018" s="51" t="b">
        <v>0</v>
      </c>
      <c r="X1018" s="51" t="b">
        <v>0</v>
      </c>
      <c r="Y1018" s="51" t="b">
        <v>0</v>
      </c>
      <c r="Z1018" s="51" t="b">
        <v>0</v>
      </c>
      <c r="AA1018" s="68"/>
      <c r="AB1018" s="52"/>
      <c r="AC1018" s="52"/>
      <c r="AD1018" s="52"/>
      <c r="AE1018" s="56"/>
      <c r="AF1018" s="56" t="s">
        <v>1944</v>
      </c>
    </row>
    <row r="1019">
      <c r="A1019" s="52" t="s">
        <v>3384</v>
      </c>
      <c r="B1019" s="52" t="s">
        <v>19</v>
      </c>
      <c r="C1019" s="52" t="s">
        <v>289</v>
      </c>
      <c r="D1019" s="65">
        <v>0.4442824074074076</v>
      </c>
      <c r="E1019" s="65">
        <v>0.00798611111111111</v>
      </c>
      <c r="F1019" s="65">
        <v>0.4522685185185187</v>
      </c>
      <c r="G1019" s="65" t="s">
        <v>299</v>
      </c>
      <c r="H1019" s="52" t="s">
        <v>94</v>
      </c>
      <c r="I1019" s="52" t="s">
        <v>1334</v>
      </c>
      <c r="J1019" s="52" t="s">
        <v>1335</v>
      </c>
      <c r="K1019" s="52"/>
      <c r="L1019" s="52"/>
      <c r="M1019" s="52"/>
      <c r="N1019" s="52" t="s">
        <v>1269</v>
      </c>
      <c r="O1019" s="69" t="s">
        <v>618</v>
      </c>
      <c r="P1019" s="69" t="s">
        <v>32</v>
      </c>
      <c r="Q1019" s="80" t="s">
        <v>3389</v>
      </c>
      <c r="R1019" s="51" t="b">
        <v>1</v>
      </c>
      <c r="S1019" s="52" t="s">
        <v>1334</v>
      </c>
      <c r="T1019" s="52"/>
      <c r="U1019" s="51" t="b">
        <v>0</v>
      </c>
      <c r="V1019" s="51" t="b">
        <v>1</v>
      </c>
      <c r="W1019" s="51" t="b">
        <v>1</v>
      </c>
      <c r="X1019" s="51" t="b">
        <v>0</v>
      </c>
      <c r="Y1019" s="51" t="b">
        <v>1</v>
      </c>
      <c r="Z1019" s="51" t="b">
        <v>0</v>
      </c>
      <c r="AA1019" s="71">
        <v>0.00798611111111111</v>
      </c>
      <c r="AB1019" s="69" t="s">
        <v>3397</v>
      </c>
      <c r="AC1019" s="52"/>
      <c r="AD1019" s="73" t="s">
        <v>3398</v>
      </c>
      <c r="AE1019" s="56" t="s">
        <v>629</v>
      </c>
      <c r="AF1019" s="56" t="s">
        <v>1362</v>
      </c>
    </row>
    <row r="1020">
      <c r="A1020" s="52" t="s">
        <v>3401</v>
      </c>
      <c r="B1020" s="52" t="s">
        <v>607</v>
      </c>
      <c r="C1020" s="52" t="s">
        <v>607</v>
      </c>
      <c r="D1020" s="65" t="s">
        <v>607</v>
      </c>
      <c r="E1020" s="65" t="s">
        <v>607</v>
      </c>
      <c r="F1020" s="65" t="s">
        <v>607</v>
      </c>
      <c r="G1020" s="65" t="s">
        <v>607</v>
      </c>
      <c r="H1020" s="52" t="s">
        <v>607</v>
      </c>
      <c r="I1020" s="52" t="s">
        <v>607</v>
      </c>
      <c r="J1020" s="52" t="s">
        <v>607</v>
      </c>
      <c r="K1020" s="52" t="s">
        <v>607</v>
      </c>
      <c r="L1020" s="52" t="s">
        <v>607</v>
      </c>
      <c r="M1020" s="52" t="s">
        <v>607</v>
      </c>
      <c r="N1020" s="52" t="s">
        <v>607</v>
      </c>
      <c r="O1020" s="52"/>
      <c r="P1020" s="52"/>
      <c r="Q1020" s="52"/>
      <c r="R1020" s="51" t="b">
        <v>0</v>
      </c>
      <c r="S1020" s="51"/>
      <c r="T1020" s="52"/>
      <c r="U1020" s="51" t="b">
        <v>0</v>
      </c>
      <c r="V1020" s="51" t="b">
        <v>0</v>
      </c>
      <c r="W1020" s="51" t="b">
        <v>0</v>
      </c>
      <c r="X1020" s="51" t="b">
        <v>0</v>
      </c>
      <c r="Y1020" s="51" t="b">
        <v>0</v>
      </c>
      <c r="Z1020" s="51" t="b">
        <v>0</v>
      </c>
      <c r="AA1020" s="68"/>
      <c r="AB1020" s="52"/>
      <c r="AC1020" s="52"/>
      <c r="AD1020" s="52"/>
      <c r="AE1020" s="56" t="s">
        <v>607</v>
      </c>
      <c r="AF1020" s="56" t="s">
        <v>607</v>
      </c>
    </row>
    <row r="1021">
      <c r="A1021" s="52" t="s">
        <v>3409</v>
      </c>
      <c r="B1021" s="52" t="s">
        <v>19</v>
      </c>
      <c r="C1021" s="52" t="s">
        <v>289</v>
      </c>
      <c r="D1021" s="65">
        <v>0.4995254629629631</v>
      </c>
      <c r="E1021" s="65">
        <v>2.777777777777778E-4</v>
      </c>
      <c r="F1021" s="65">
        <v>0.49980324074074084</v>
      </c>
      <c r="G1021" s="65" t="s">
        <v>368</v>
      </c>
      <c r="H1021" s="52" t="s">
        <v>506</v>
      </c>
      <c r="I1021" s="52" t="s">
        <v>1361</v>
      </c>
      <c r="J1021" s="52"/>
      <c r="K1021" s="52"/>
      <c r="L1021" s="52"/>
      <c r="M1021" s="52"/>
      <c r="N1021" s="52" t="s">
        <v>70</v>
      </c>
      <c r="O1021" s="69" t="s">
        <v>506</v>
      </c>
      <c r="P1021" s="69" t="s">
        <v>30</v>
      </c>
      <c r="Q1021" s="111" t="s">
        <v>3413</v>
      </c>
      <c r="R1021" s="51" t="b">
        <v>1</v>
      </c>
      <c r="S1021" s="110" t="s">
        <v>1361</v>
      </c>
      <c r="T1021" s="52"/>
      <c r="U1021" s="51" t="b">
        <v>0</v>
      </c>
      <c r="V1021" s="51" t="b">
        <v>1</v>
      </c>
      <c r="W1021" s="51" t="b">
        <v>1</v>
      </c>
      <c r="X1021" s="51" t="b">
        <v>0</v>
      </c>
      <c r="Y1021" s="51" t="b">
        <v>0</v>
      </c>
      <c r="Z1021" s="51" t="b">
        <v>0</v>
      </c>
      <c r="AA1021" s="71">
        <v>2.777777777777778E-4</v>
      </c>
      <c r="AB1021" s="52"/>
      <c r="AC1021" s="52"/>
      <c r="AD1021" s="73" t="s">
        <v>3418</v>
      </c>
      <c r="AE1021" s="56"/>
      <c r="AF1021" s="56" t="s">
        <v>1215</v>
      </c>
    </row>
    <row r="1022">
      <c r="A1022" s="52" t="s">
        <v>3422</v>
      </c>
      <c r="B1022" s="52" t="s">
        <v>19</v>
      </c>
      <c r="C1022" s="52" t="s">
        <v>289</v>
      </c>
      <c r="D1022" s="65">
        <v>0.45850694444444445</v>
      </c>
      <c r="E1022" s="65">
        <v>2.314814814814815E-4</v>
      </c>
      <c r="F1022" s="65">
        <v>0.45873842592592595</v>
      </c>
      <c r="G1022" s="65" t="s">
        <v>368</v>
      </c>
      <c r="H1022" s="52" t="s">
        <v>81</v>
      </c>
      <c r="I1022" s="52" t="s">
        <v>81</v>
      </c>
      <c r="J1022" s="52"/>
      <c r="K1022" s="52"/>
      <c r="L1022" s="52"/>
      <c r="M1022" s="52"/>
      <c r="N1022" s="52" t="s">
        <v>70</v>
      </c>
      <c r="O1022" s="52"/>
      <c r="P1022" s="52"/>
      <c r="Q1022" s="52"/>
      <c r="R1022" s="51" t="b">
        <v>0</v>
      </c>
      <c r="S1022" s="51"/>
      <c r="T1022" s="52"/>
      <c r="U1022" s="51" t="b">
        <v>0</v>
      </c>
      <c r="V1022" s="51" t="b">
        <v>0</v>
      </c>
      <c r="W1022" s="51" t="b">
        <v>0</v>
      </c>
      <c r="X1022" s="51" t="b">
        <v>0</v>
      </c>
      <c r="Y1022" s="51" t="b">
        <v>0</v>
      </c>
      <c r="Z1022" s="51" t="b">
        <v>0</v>
      </c>
      <c r="AA1022" s="68"/>
      <c r="AB1022" s="52"/>
      <c r="AC1022" s="52"/>
      <c r="AD1022" s="52"/>
      <c r="AE1022" s="56"/>
      <c r="AF1022" s="56" t="s">
        <v>1944</v>
      </c>
    </row>
    <row r="1023">
      <c r="A1023" s="52" t="s">
        <v>3425</v>
      </c>
      <c r="B1023" s="52" t="s">
        <v>19</v>
      </c>
      <c r="C1023" s="52" t="s">
        <v>289</v>
      </c>
      <c r="D1023" s="65">
        <v>0.45873842592592595</v>
      </c>
      <c r="E1023" s="65">
        <v>0.008611111111111111</v>
      </c>
      <c r="F1023" s="65">
        <v>0.4673495370370371</v>
      </c>
      <c r="G1023" s="65" t="s">
        <v>368</v>
      </c>
      <c r="H1023" s="52" t="s">
        <v>94</v>
      </c>
      <c r="I1023" s="52" t="s">
        <v>1341</v>
      </c>
      <c r="J1023" s="52" t="s">
        <v>1342</v>
      </c>
      <c r="K1023" s="52" t="s">
        <v>1343</v>
      </c>
      <c r="L1023" s="52"/>
      <c r="M1023" s="52"/>
      <c r="N1023" s="52"/>
      <c r="O1023" s="69" t="s">
        <v>1926</v>
      </c>
      <c r="P1023" s="69" t="s">
        <v>30</v>
      </c>
      <c r="Q1023" s="73" t="s">
        <v>3428</v>
      </c>
      <c r="R1023" s="51" t="b">
        <v>1</v>
      </c>
      <c r="S1023" s="52" t="s">
        <v>1341</v>
      </c>
      <c r="T1023" s="52"/>
      <c r="U1023" s="51" t="b">
        <v>0</v>
      </c>
      <c r="V1023" s="51" t="b">
        <v>1</v>
      </c>
      <c r="W1023" s="51" t="b">
        <v>1</v>
      </c>
      <c r="X1023" s="51" t="b">
        <v>0</v>
      </c>
      <c r="Y1023" s="51" t="b">
        <v>0</v>
      </c>
      <c r="Z1023" s="51" t="b">
        <v>0</v>
      </c>
      <c r="AA1023" s="71">
        <v>0.008599537037037037</v>
      </c>
      <c r="AB1023" s="69" t="s">
        <v>3434</v>
      </c>
      <c r="AC1023" s="69"/>
      <c r="AD1023" s="171" t="s">
        <v>3435</v>
      </c>
      <c r="AE1023" s="74" t="s">
        <v>629</v>
      </c>
      <c r="AF1023" s="74" t="s">
        <v>1185</v>
      </c>
    </row>
    <row r="1024">
      <c r="A1024" s="52" t="s">
        <v>3441</v>
      </c>
      <c r="B1024" s="52" t="s">
        <v>607</v>
      </c>
      <c r="C1024" s="52" t="s">
        <v>607</v>
      </c>
      <c r="D1024" s="65" t="s">
        <v>607</v>
      </c>
      <c r="E1024" s="65" t="s">
        <v>607</v>
      </c>
      <c r="F1024" s="65" t="s">
        <v>607</v>
      </c>
      <c r="G1024" s="65" t="s">
        <v>607</v>
      </c>
      <c r="H1024" s="52" t="s">
        <v>607</v>
      </c>
      <c r="I1024" s="52" t="s">
        <v>607</v>
      </c>
      <c r="J1024" s="52" t="s">
        <v>607</v>
      </c>
      <c r="K1024" s="52" t="s">
        <v>607</v>
      </c>
      <c r="L1024" s="52" t="s">
        <v>607</v>
      </c>
      <c r="M1024" s="52" t="s">
        <v>607</v>
      </c>
      <c r="N1024" s="52" t="s">
        <v>607</v>
      </c>
      <c r="O1024" s="52"/>
      <c r="P1024" s="52"/>
      <c r="Q1024" s="52"/>
      <c r="R1024" s="51" t="b">
        <v>0</v>
      </c>
      <c r="S1024" s="51"/>
      <c r="T1024" s="52"/>
      <c r="U1024" s="51" t="b">
        <v>0</v>
      </c>
      <c r="V1024" s="51" t="b">
        <v>0</v>
      </c>
      <c r="W1024" s="51" t="b">
        <v>0</v>
      </c>
      <c r="X1024" s="51" t="b">
        <v>0</v>
      </c>
      <c r="Y1024" s="51" t="b">
        <v>0</v>
      </c>
      <c r="Z1024" s="51" t="b">
        <v>0</v>
      </c>
      <c r="AA1024" s="68"/>
      <c r="AB1024" s="52"/>
      <c r="AC1024" s="52"/>
      <c r="AD1024" s="52"/>
      <c r="AE1024" s="56" t="s">
        <v>607</v>
      </c>
      <c r="AF1024" s="56" t="s">
        <v>607</v>
      </c>
    </row>
    <row r="1025">
      <c r="A1025" s="52" t="s">
        <v>3445</v>
      </c>
      <c r="B1025" s="52" t="s">
        <v>19</v>
      </c>
      <c r="C1025" s="52" t="s">
        <v>289</v>
      </c>
      <c r="D1025" s="65">
        <v>0.4673495370370371</v>
      </c>
      <c r="E1025" s="65">
        <v>1.7361111111111112E-4</v>
      </c>
      <c r="F1025" s="65">
        <v>0.4675231481481482</v>
      </c>
      <c r="G1025" s="65" t="s">
        <v>368</v>
      </c>
      <c r="H1025" s="52" t="s">
        <v>77</v>
      </c>
      <c r="I1025" s="52" t="s">
        <v>1009</v>
      </c>
      <c r="J1025" s="52"/>
      <c r="K1025" s="52"/>
      <c r="L1025" s="52"/>
      <c r="M1025" s="52"/>
      <c r="N1025" s="52" t="s">
        <v>70</v>
      </c>
      <c r="O1025" s="52"/>
      <c r="P1025" s="52"/>
      <c r="Q1025" s="52"/>
      <c r="R1025" s="51" t="b">
        <v>0</v>
      </c>
      <c r="S1025" s="51"/>
      <c r="T1025" s="52"/>
      <c r="U1025" s="51" t="b">
        <v>0</v>
      </c>
      <c r="V1025" s="51" t="b">
        <v>0</v>
      </c>
      <c r="W1025" s="51" t="b">
        <v>0</v>
      </c>
      <c r="X1025" s="51" t="b">
        <v>0</v>
      </c>
      <c r="Y1025" s="51" t="b">
        <v>0</v>
      </c>
      <c r="Z1025" s="51" t="b">
        <v>0</v>
      </c>
      <c r="AA1025" s="68"/>
      <c r="AB1025" s="52"/>
      <c r="AC1025" s="52"/>
      <c r="AD1025" s="52"/>
      <c r="AE1025" s="56"/>
      <c r="AF1025" s="56" t="s">
        <v>2004</v>
      </c>
    </row>
    <row r="1026">
      <c r="A1026" s="52" t="s">
        <v>3447</v>
      </c>
      <c r="B1026" s="52" t="s">
        <v>19</v>
      </c>
      <c r="C1026" s="52" t="s">
        <v>289</v>
      </c>
      <c r="D1026" s="65">
        <v>0.46787037037037044</v>
      </c>
      <c r="E1026" s="65">
        <v>3.4722222222222224E-4</v>
      </c>
      <c r="F1026" s="65">
        <v>0.46821759259259266</v>
      </c>
      <c r="G1026" s="65" t="s">
        <v>368</v>
      </c>
      <c r="H1026" s="52" t="s">
        <v>511</v>
      </c>
      <c r="I1026" s="52" t="s">
        <v>511</v>
      </c>
      <c r="J1026" s="52"/>
      <c r="K1026" s="52"/>
      <c r="L1026" s="52"/>
      <c r="M1026" s="52"/>
      <c r="N1026" s="52" t="s">
        <v>70</v>
      </c>
      <c r="O1026" s="52"/>
      <c r="P1026" s="52"/>
      <c r="Q1026" s="52"/>
      <c r="R1026" s="51" t="b">
        <v>0</v>
      </c>
      <c r="S1026" s="51"/>
      <c r="T1026" s="52"/>
      <c r="U1026" s="51" t="b">
        <v>0</v>
      </c>
      <c r="V1026" s="51" t="b">
        <v>0</v>
      </c>
      <c r="W1026" s="51" t="b">
        <v>0</v>
      </c>
      <c r="X1026" s="51" t="b">
        <v>0</v>
      </c>
      <c r="Y1026" s="51" t="b">
        <v>0</v>
      </c>
      <c r="Z1026" s="51" t="b">
        <v>0</v>
      </c>
      <c r="AA1026" s="68"/>
      <c r="AB1026" s="52"/>
      <c r="AC1026" s="52"/>
      <c r="AD1026" s="52"/>
      <c r="AE1026" s="56"/>
      <c r="AF1026" s="56" t="s">
        <v>1944</v>
      </c>
    </row>
    <row r="1027">
      <c r="A1027" s="52" t="s">
        <v>3452</v>
      </c>
      <c r="B1027" s="52" t="s">
        <v>19</v>
      </c>
      <c r="C1027" s="52" t="s">
        <v>289</v>
      </c>
      <c r="D1027" s="65">
        <v>0.46821759259259266</v>
      </c>
      <c r="E1027" s="65">
        <v>2.314814814814815E-4</v>
      </c>
      <c r="F1027" s="65">
        <v>0.46844907407407416</v>
      </c>
      <c r="G1027" s="65" t="s">
        <v>368</v>
      </c>
      <c r="H1027" s="52" t="s">
        <v>81</v>
      </c>
      <c r="I1027" s="52" t="s">
        <v>81</v>
      </c>
      <c r="J1027" s="52"/>
      <c r="K1027" s="52"/>
      <c r="L1027" s="52"/>
      <c r="M1027" s="52"/>
      <c r="N1027" s="52" t="s">
        <v>70</v>
      </c>
      <c r="O1027" s="52"/>
      <c r="P1027" s="52"/>
      <c r="Q1027" s="52"/>
      <c r="R1027" s="51" t="b">
        <v>0</v>
      </c>
      <c r="S1027" s="51"/>
      <c r="T1027" s="52"/>
      <c r="U1027" s="51" t="b">
        <v>0</v>
      </c>
      <c r="V1027" s="51" t="b">
        <v>0</v>
      </c>
      <c r="W1027" s="51" t="b">
        <v>0</v>
      </c>
      <c r="X1027" s="51" t="b">
        <v>0</v>
      </c>
      <c r="Y1027" s="51" t="b">
        <v>0</v>
      </c>
      <c r="Z1027" s="51" t="b">
        <v>0</v>
      </c>
      <c r="AA1027" s="68"/>
      <c r="AB1027" s="52"/>
      <c r="AC1027" s="52"/>
      <c r="AD1027" s="52"/>
      <c r="AE1027" s="56"/>
      <c r="AF1027" s="56" t="s">
        <v>1944</v>
      </c>
    </row>
    <row r="1028">
      <c r="A1028" s="52" t="s">
        <v>3455</v>
      </c>
      <c r="B1028" s="52" t="s">
        <v>19</v>
      </c>
      <c r="C1028" s="52" t="s">
        <v>289</v>
      </c>
      <c r="D1028" s="65">
        <v>0.46844907407407416</v>
      </c>
      <c r="E1028" s="65">
        <v>0.013888888888888888</v>
      </c>
      <c r="F1028" s="65">
        <v>0.48233796296296305</v>
      </c>
      <c r="G1028" s="65" t="s">
        <v>368</v>
      </c>
      <c r="H1028" s="52" t="s">
        <v>165</v>
      </c>
      <c r="I1028" s="52" t="s">
        <v>1348</v>
      </c>
      <c r="J1028" s="52" t="s">
        <v>1349</v>
      </c>
      <c r="K1028" s="52"/>
      <c r="L1028" s="52"/>
      <c r="M1028" s="52"/>
      <c r="N1028" s="52" t="s">
        <v>70</v>
      </c>
      <c r="O1028" s="52"/>
      <c r="P1028" s="69"/>
      <c r="Q1028" s="52"/>
      <c r="R1028" s="51" t="b">
        <v>0</v>
      </c>
      <c r="S1028" s="51"/>
      <c r="T1028" s="52"/>
      <c r="U1028" s="51" t="b">
        <v>0</v>
      </c>
      <c r="V1028" s="51" t="b">
        <v>0</v>
      </c>
      <c r="W1028" s="51" t="b">
        <v>0</v>
      </c>
      <c r="X1028" s="51" t="b">
        <v>0</v>
      </c>
      <c r="Y1028" s="51" t="b">
        <v>0</v>
      </c>
      <c r="Z1028" s="51" t="b">
        <v>0</v>
      </c>
      <c r="AA1028" s="68"/>
      <c r="AB1028" s="52"/>
      <c r="AC1028" s="52"/>
      <c r="AD1028" s="52"/>
      <c r="AE1028" s="56" t="s">
        <v>3460</v>
      </c>
      <c r="AF1028" s="56" t="s">
        <v>1185</v>
      </c>
    </row>
    <row r="1029">
      <c r="A1029" s="52" t="s">
        <v>3461</v>
      </c>
      <c r="B1029" s="52" t="s">
        <v>607</v>
      </c>
      <c r="C1029" s="52" t="s">
        <v>607</v>
      </c>
      <c r="D1029" s="65" t="s">
        <v>607</v>
      </c>
      <c r="E1029" s="65" t="s">
        <v>607</v>
      </c>
      <c r="F1029" s="65" t="s">
        <v>607</v>
      </c>
      <c r="G1029" s="65" t="s">
        <v>607</v>
      </c>
      <c r="H1029" s="52" t="s">
        <v>607</v>
      </c>
      <c r="I1029" s="52" t="s">
        <v>607</v>
      </c>
      <c r="J1029" s="52" t="s">
        <v>607</v>
      </c>
      <c r="K1029" s="52" t="s">
        <v>607</v>
      </c>
      <c r="L1029" s="52" t="s">
        <v>607</v>
      </c>
      <c r="M1029" s="52" t="s">
        <v>607</v>
      </c>
      <c r="N1029" s="52" t="s">
        <v>607</v>
      </c>
      <c r="O1029" s="52"/>
      <c r="P1029" s="52"/>
      <c r="Q1029" s="52"/>
      <c r="R1029" s="51" t="b">
        <v>0</v>
      </c>
      <c r="S1029" s="51"/>
      <c r="T1029" s="52"/>
      <c r="U1029" s="51" t="b">
        <v>0</v>
      </c>
      <c r="V1029" s="51" t="b">
        <v>0</v>
      </c>
      <c r="W1029" s="51" t="b">
        <v>0</v>
      </c>
      <c r="X1029" s="51" t="b">
        <v>0</v>
      </c>
      <c r="Y1029" s="51" t="b">
        <v>0</v>
      </c>
      <c r="Z1029" s="51" t="b">
        <v>0</v>
      </c>
      <c r="AA1029" s="68"/>
      <c r="AB1029" s="52"/>
      <c r="AC1029" s="52"/>
      <c r="AD1029" s="52"/>
      <c r="AE1029" s="56" t="s">
        <v>607</v>
      </c>
      <c r="AF1029" s="56" t="s">
        <v>607</v>
      </c>
    </row>
    <row r="1030">
      <c r="A1030" s="52" t="s">
        <v>3465</v>
      </c>
      <c r="B1030" s="52" t="s">
        <v>19</v>
      </c>
      <c r="C1030" s="52" t="s">
        <v>289</v>
      </c>
      <c r="D1030" s="65">
        <v>0.4833796296296297</v>
      </c>
      <c r="E1030" s="65">
        <v>2.314814814814815E-4</v>
      </c>
      <c r="F1030" s="65">
        <v>0.4836111111111112</v>
      </c>
      <c r="G1030" s="65" t="s">
        <v>368</v>
      </c>
      <c r="H1030" s="52" t="s">
        <v>81</v>
      </c>
      <c r="I1030" s="52" t="s">
        <v>81</v>
      </c>
      <c r="J1030" s="52"/>
      <c r="K1030" s="52"/>
      <c r="L1030" s="52"/>
      <c r="M1030" s="52"/>
      <c r="N1030" s="52" t="s">
        <v>70</v>
      </c>
      <c r="O1030" s="52"/>
      <c r="P1030" s="52"/>
      <c r="Q1030" s="52"/>
      <c r="R1030" s="51" t="b">
        <v>0</v>
      </c>
      <c r="S1030" s="51"/>
      <c r="T1030" s="52"/>
      <c r="U1030" s="51" t="b">
        <v>0</v>
      </c>
      <c r="V1030" s="51" t="b">
        <v>0</v>
      </c>
      <c r="W1030" s="51" t="b">
        <v>0</v>
      </c>
      <c r="X1030" s="51" t="b">
        <v>0</v>
      </c>
      <c r="Y1030" s="51" t="b">
        <v>0</v>
      </c>
      <c r="Z1030" s="51" t="b">
        <v>0</v>
      </c>
      <c r="AA1030" s="68"/>
      <c r="AB1030" s="52"/>
      <c r="AC1030" s="52"/>
      <c r="AD1030" s="52"/>
      <c r="AE1030" s="56"/>
      <c r="AF1030" s="56" t="s">
        <v>1944</v>
      </c>
    </row>
    <row r="1031">
      <c r="A1031" s="52" t="s">
        <v>3468</v>
      </c>
      <c r="B1031" s="52" t="s">
        <v>19</v>
      </c>
      <c r="C1031" s="52" t="s">
        <v>289</v>
      </c>
      <c r="D1031" s="65">
        <v>0.4836111111111112</v>
      </c>
      <c r="E1031" s="65">
        <v>0.009085648148148148</v>
      </c>
      <c r="F1031" s="65">
        <v>0.4926967592592594</v>
      </c>
      <c r="G1031" s="65" t="s">
        <v>368</v>
      </c>
      <c r="H1031" s="52" t="s">
        <v>94</v>
      </c>
      <c r="I1031" s="52" t="s">
        <v>1354</v>
      </c>
      <c r="J1031" s="52" t="s">
        <v>1355</v>
      </c>
      <c r="K1031" s="52"/>
      <c r="L1031" s="52"/>
      <c r="M1031" s="52"/>
      <c r="N1031" s="52" t="s">
        <v>1356</v>
      </c>
      <c r="O1031" s="69" t="s">
        <v>618</v>
      </c>
      <c r="P1031" s="69" t="s">
        <v>30</v>
      </c>
      <c r="Q1031" s="70" t="s">
        <v>3472</v>
      </c>
      <c r="R1031" s="51" t="b">
        <v>1</v>
      </c>
      <c r="S1031" s="78" t="s">
        <v>1354</v>
      </c>
      <c r="T1031" s="52"/>
      <c r="U1031" s="51" t="b">
        <v>0</v>
      </c>
      <c r="V1031" s="51" t="b">
        <v>1</v>
      </c>
      <c r="W1031" s="51" t="b">
        <v>1</v>
      </c>
      <c r="X1031" s="51" t="b">
        <v>0</v>
      </c>
      <c r="Y1031" s="51" t="b">
        <v>0</v>
      </c>
      <c r="Z1031" s="51" t="b">
        <v>0</v>
      </c>
      <c r="AA1031" s="172">
        <v>0.009085648148148148</v>
      </c>
      <c r="AB1031" s="159" t="s">
        <v>3477</v>
      </c>
      <c r="AC1031" s="159"/>
      <c r="AD1031" s="73" t="s">
        <v>3479</v>
      </c>
      <c r="AE1031" s="56" t="s">
        <v>629</v>
      </c>
      <c r="AF1031" s="56" t="s">
        <v>1185</v>
      </c>
    </row>
    <row r="1032">
      <c r="A1032" s="52" t="s">
        <v>3482</v>
      </c>
      <c r="B1032" s="52" t="s">
        <v>607</v>
      </c>
      <c r="C1032" s="52" t="s">
        <v>607</v>
      </c>
      <c r="D1032" s="65" t="s">
        <v>607</v>
      </c>
      <c r="E1032" s="65" t="s">
        <v>607</v>
      </c>
      <c r="F1032" s="65" t="s">
        <v>607</v>
      </c>
      <c r="G1032" s="65" t="s">
        <v>607</v>
      </c>
      <c r="H1032" s="52" t="s">
        <v>607</v>
      </c>
      <c r="I1032" s="52" t="s">
        <v>607</v>
      </c>
      <c r="J1032" s="52" t="s">
        <v>607</v>
      </c>
      <c r="K1032" s="52" t="s">
        <v>607</v>
      </c>
      <c r="L1032" s="52" t="s">
        <v>607</v>
      </c>
      <c r="M1032" s="52" t="s">
        <v>607</v>
      </c>
      <c r="N1032" s="52" t="s">
        <v>607</v>
      </c>
      <c r="O1032" s="52"/>
      <c r="P1032" s="52"/>
      <c r="Q1032" s="52"/>
      <c r="R1032" s="51" t="b">
        <v>0</v>
      </c>
      <c r="S1032" s="51"/>
      <c r="T1032" s="52"/>
      <c r="U1032" s="51" t="b">
        <v>0</v>
      </c>
      <c r="V1032" s="51" t="b">
        <v>0</v>
      </c>
      <c r="W1032" s="51" t="b">
        <v>0</v>
      </c>
      <c r="X1032" s="51" t="b">
        <v>0</v>
      </c>
      <c r="Y1032" s="51" t="b">
        <v>0</v>
      </c>
      <c r="Z1032" s="51" t="b">
        <v>0</v>
      </c>
      <c r="AA1032" s="68"/>
      <c r="AB1032" s="52"/>
      <c r="AC1032" s="52"/>
      <c r="AD1032" s="52"/>
      <c r="AE1032" s="56" t="s">
        <v>607</v>
      </c>
      <c r="AF1032" s="56" t="s">
        <v>607</v>
      </c>
    </row>
    <row r="1033">
      <c r="A1033" s="52" t="s">
        <v>3484</v>
      </c>
      <c r="B1033" s="52" t="s">
        <v>19</v>
      </c>
      <c r="C1033" s="52" t="s">
        <v>289</v>
      </c>
      <c r="D1033" s="65">
        <v>0.6359375</v>
      </c>
      <c r="E1033" s="65">
        <v>1.7361111111111112E-4</v>
      </c>
      <c r="F1033" s="65">
        <v>0.6361111111111112</v>
      </c>
      <c r="G1033" s="65" t="s">
        <v>368</v>
      </c>
      <c r="H1033" s="52" t="s">
        <v>77</v>
      </c>
      <c r="I1033" s="52" t="s">
        <v>1443</v>
      </c>
      <c r="J1033" s="52"/>
      <c r="K1033" s="52"/>
      <c r="L1033" s="52"/>
      <c r="M1033" s="52"/>
      <c r="N1033" s="52" t="s">
        <v>70</v>
      </c>
      <c r="O1033" s="52"/>
      <c r="P1033" s="52"/>
      <c r="Q1033" s="52"/>
      <c r="R1033" s="51" t="b">
        <v>0</v>
      </c>
      <c r="S1033" s="51"/>
      <c r="T1033" s="52"/>
      <c r="U1033" s="51" t="b">
        <v>0</v>
      </c>
      <c r="V1033" s="51" t="b">
        <v>0</v>
      </c>
      <c r="W1033" s="51" t="b">
        <v>0</v>
      </c>
      <c r="X1033" s="51" t="b">
        <v>0</v>
      </c>
      <c r="Y1033" s="51" t="b">
        <v>0</v>
      </c>
      <c r="Z1033" s="51" t="b">
        <v>0</v>
      </c>
      <c r="AA1033" s="68"/>
      <c r="AB1033" s="52"/>
      <c r="AC1033" s="52"/>
      <c r="AD1033" s="52"/>
      <c r="AE1033" s="56"/>
      <c r="AF1033" s="56" t="s">
        <v>2004</v>
      </c>
    </row>
    <row r="1034">
      <c r="A1034" s="52" t="s">
        <v>3486</v>
      </c>
      <c r="B1034" s="52" t="s">
        <v>19</v>
      </c>
      <c r="C1034" s="52" t="s">
        <v>289</v>
      </c>
      <c r="D1034" s="65">
        <v>0.4926967592592594</v>
      </c>
      <c r="E1034" s="65">
        <v>2.314814814814815E-4</v>
      </c>
      <c r="F1034" s="65">
        <v>0.4929282407407409</v>
      </c>
      <c r="G1034" s="65" t="s">
        <v>368</v>
      </c>
      <c r="H1034" s="52" t="s">
        <v>81</v>
      </c>
      <c r="I1034" s="52" t="s">
        <v>81</v>
      </c>
      <c r="J1034" s="52"/>
      <c r="K1034" s="52"/>
      <c r="L1034" s="52"/>
      <c r="M1034" s="52"/>
      <c r="N1034" s="52" t="s">
        <v>70</v>
      </c>
      <c r="O1034" s="52"/>
      <c r="P1034" s="52"/>
      <c r="Q1034" s="52"/>
      <c r="R1034" s="51" t="b">
        <v>0</v>
      </c>
      <c r="S1034" s="51"/>
      <c r="T1034" s="52"/>
      <c r="U1034" s="51" t="b">
        <v>0</v>
      </c>
      <c r="V1034" s="51" t="b">
        <v>0</v>
      </c>
      <c r="W1034" s="51" t="b">
        <v>0</v>
      </c>
      <c r="X1034" s="51" t="b">
        <v>0</v>
      </c>
      <c r="Y1034" s="51" t="b">
        <v>0</v>
      </c>
      <c r="Z1034" s="51" t="b">
        <v>0</v>
      </c>
      <c r="AA1034" s="68"/>
      <c r="AB1034" s="52"/>
      <c r="AC1034" s="52"/>
      <c r="AD1034" s="52"/>
      <c r="AE1034" s="56"/>
      <c r="AF1034" s="56" t="s">
        <v>1944</v>
      </c>
    </row>
    <row r="1035">
      <c r="A1035" s="52" t="s">
        <v>3489</v>
      </c>
      <c r="B1035" s="52" t="s">
        <v>19</v>
      </c>
      <c r="C1035" s="52" t="s">
        <v>289</v>
      </c>
      <c r="D1035" s="65">
        <v>0.4929282407407409</v>
      </c>
      <c r="E1035" s="65">
        <v>0.006597222222222222</v>
      </c>
      <c r="F1035" s="65">
        <v>0.4995254629629631</v>
      </c>
      <c r="G1035" s="65" t="s">
        <v>368</v>
      </c>
      <c r="H1035" s="52" t="s">
        <v>165</v>
      </c>
      <c r="I1035" s="52" t="s">
        <v>1359</v>
      </c>
      <c r="J1035" s="52" t="s">
        <v>1360</v>
      </c>
      <c r="K1035" s="52"/>
      <c r="L1035" s="52"/>
      <c r="M1035" s="52"/>
      <c r="N1035" s="52" t="s">
        <v>70</v>
      </c>
      <c r="O1035" s="69" t="s">
        <v>884</v>
      </c>
      <c r="P1035" s="69" t="s">
        <v>17</v>
      </c>
      <c r="Q1035" s="70" t="s">
        <v>3490</v>
      </c>
      <c r="R1035" s="51" t="b">
        <v>1</v>
      </c>
      <c r="S1035" s="52" t="s">
        <v>1359</v>
      </c>
      <c r="T1035" s="52"/>
      <c r="U1035" s="51" t="b">
        <v>0</v>
      </c>
      <c r="V1035" s="51" t="b">
        <v>1</v>
      </c>
      <c r="W1035" s="51" t="b">
        <v>1</v>
      </c>
      <c r="X1035" s="51" t="b">
        <v>0</v>
      </c>
      <c r="Y1035" s="51" t="b">
        <v>0</v>
      </c>
      <c r="Z1035" s="51" t="b">
        <v>0</v>
      </c>
      <c r="AA1035" s="71">
        <v>0.006585648148148148</v>
      </c>
      <c r="AB1035" s="69"/>
      <c r="AC1035" s="69"/>
      <c r="AD1035" s="73" t="s">
        <v>3493</v>
      </c>
      <c r="AE1035" s="74" t="s">
        <v>743</v>
      </c>
      <c r="AF1035" s="74" t="s">
        <v>803</v>
      </c>
    </row>
    <row r="1036">
      <c r="A1036" s="52" t="s">
        <v>3496</v>
      </c>
      <c r="B1036" s="52" t="s">
        <v>607</v>
      </c>
      <c r="C1036" s="52" t="s">
        <v>607</v>
      </c>
      <c r="D1036" s="65" t="s">
        <v>607</v>
      </c>
      <c r="E1036" s="65" t="s">
        <v>607</v>
      </c>
      <c r="F1036" s="65" t="s">
        <v>607</v>
      </c>
      <c r="G1036" s="65" t="s">
        <v>607</v>
      </c>
      <c r="H1036" s="52" t="s">
        <v>607</v>
      </c>
      <c r="I1036" s="52" t="s">
        <v>607</v>
      </c>
      <c r="J1036" s="52" t="s">
        <v>607</v>
      </c>
      <c r="K1036" s="52" t="s">
        <v>607</v>
      </c>
      <c r="L1036" s="52" t="s">
        <v>607</v>
      </c>
      <c r="M1036" s="52" t="s">
        <v>607</v>
      </c>
      <c r="N1036" s="52" t="s">
        <v>607</v>
      </c>
      <c r="O1036" s="52"/>
      <c r="P1036" s="52"/>
      <c r="Q1036" s="52"/>
      <c r="R1036" s="51" t="b">
        <v>0</v>
      </c>
      <c r="S1036" s="51"/>
      <c r="T1036" s="52"/>
      <c r="U1036" s="51" t="b">
        <v>0</v>
      </c>
      <c r="V1036" s="51" t="b">
        <v>0</v>
      </c>
      <c r="W1036" s="51" t="b">
        <v>0</v>
      </c>
      <c r="X1036" s="51" t="b">
        <v>0</v>
      </c>
      <c r="Y1036" s="51" t="b">
        <v>0</v>
      </c>
      <c r="Z1036" s="51" t="b">
        <v>0</v>
      </c>
      <c r="AA1036" s="68"/>
      <c r="AB1036" s="52"/>
      <c r="AC1036" s="52"/>
      <c r="AD1036" s="52"/>
      <c r="AE1036" s="56" t="s">
        <v>607</v>
      </c>
      <c r="AF1036" s="56" t="s">
        <v>607</v>
      </c>
    </row>
    <row r="1037">
      <c r="A1037" s="52" t="s">
        <v>3498</v>
      </c>
      <c r="B1037" s="52" t="s">
        <v>19</v>
      </c>
      <c r="C1037" s="52" t="s">
        <v>289</v>
      </c>
      <c r="D1037" s="65">
        <v>0.5001736111111111</v>
      </c>
      <c r="E1037" s="65">
        <v>3.4722222222222224E-4</v>
      </c>
      <c r="F1037" s="65">
        <v>0.5005208333333334</v>
      </c>
      <c r="G1037" s="65" t="s">
        <v>1017</v>
      </c>
      <c r="H1037" s="52" t="s">
        <v>81</v>
      </c>
      <c r="I1037" s="52" t="s">
        <v>81</v>
      </c>
      <c r="J1037" s="52"/>
      <c r="K1037" s="52"/>
      <c r="L1037" s="52"/>
      <c r="M1037" s="52"/>
      <c r="N1037" s="52" t="s">
        <v>70</v>
      </c>
      <c r="O1037" s="52"/>
      <c r="P1037" s="52"/>
      <c r="Q1037" s="52"/>
      <c r="R1037" s="51" t="b">
        <v>0</v>
      </c>
      <c r="S1037" s="51"/>
      <c r="T1037" s="52"/>
      <c r="U1037" s="51" t="b">
        <v>0</v>
      </c>
      <c r="V1037" s="51" t="b">
        <v>0</v>
      </c>
      <c r="W1037" s="51" t="b">
        <v>0</v>
      </c>
      <c r="X1037" s="51" t="b">
        <v>0</v>
      </c>
      <c r="Y1037" s="51" t="b">
        <v>0</v>
      </c>
      <c r="Z1037" s="51" t="b">
        <v>0</v>
      </c>
      <c r="AA1037" s="68"/>
      <c r="AB1037" s="52"/>
      <c r="AC1037" s="52"/>
      <c r="AD1037" s="52"/>
      <c r="AE1037" s="56"/>
      <c r="AF1037" s="56" t="s">
        <v>1944</v>
      </c>
    </row>
    <row r="1038">
      <c r="A1038" s="52" t="s">
        <v>3500</v>
      </c>
      <c r="B1038" s="52" t="s">
        <v>19</v>
      </c>
      <c r="C1038" s="52" t="s">
        <v>289</v>
      </c>
      <c r="D1038" s="65">
        <v>0.5005208333333334</v>
      </c>
      <c r="E1038" s="65">
        <v>0.0090625</v>
      </c>
      <c r="F1038" s="65">
        <v>0.5095833333333334</v>
      </c>
      <c r="G1038" s="65" t="s">
        <v>1017</v>
      </c>
      <c r="H1038" s="52" t="s">
        <v>107</v>
      </c>
      <c r="I1038" s="52" t="s">
        <v>1366</v>
      </c>
      <c r="J1038" s="52" t="s">
        <v>1367</v>
      </c>
      <c r="K1038" s="52" t="s">
        <v>1368</v>
      </c>
      <c r="L1038" s="52"/>
      <c r="M1038" s="52"/>
      <c r="N1038" s="52" t="s">
        <v>1369</v>
      </c>
      <c r="O1038" s="69" t="s">
        <v>734</v>
      </c>
      <c r="P1038" s="69" t="s">
        <v>30</v>
      </c>
      <c r="Q1038" s="80" t="s">
        <v>3502</v>
      </c>
      <c r="R1038" s="51" t="b">
        <v>1</v>
      </c>
      <c r="S1038" s="52" t="s">
        <v>1366</v>
      </c>
      <c r="T1038" s="52"/>
      <c r="U1038" s="51" t="b">
        <v>0</v>
      </c>
      <c r="V1038" s="51" t="b">
        <v>1</v>
      </c>
      <c r="W1038" s="51" t="b">
        <v>1</v>
      </c>
      <c r="X1038" s="51" t="b">
        <v>0</v>
      </c>
      <c r="Y1038" s="51" t="b">
        <v>0</v>
      </c>
      <c r="Z1038" s="51" t="b">
        <v>0</v>
      </c>
      <c r="AA1038" s="71">
        <v>0.0090625</v>
      </c>
      <c r="AB1038" s="69" t="s">
        <v>3505</v>
      </c>
      <c r="AC1038" s="52"/>
      <c r="AD1038" s="73" t="s">
        <v>3506</v>
      </c>
      <c r="AE1038" s="56" t="s">
        <v>629</v>
      </c>
      <c r="AF1038" s="56" t="s">
        <v>873</v>
      </c>
    </row>
    <row r="1039">
      <c r="A1039" s="52" t="s">
        <v>3508</v>
      </c>
      <c r="B1039" s="52" t="s">
        <v>607</v>
      </c>
      <c r="C1039" s="52" t="s">
        <v>607</v>
      </c>
      <c r="D1039" s="65" t="s">
        <v>607</v>
      </c>
      <c r="E1039" s="65" t="s">
        <v>607</v>
      </c>
      <c r="F1039" s="65" t="s">
        <v>607</v>
      </c>
      <c r="G1039" s="65" t="s">
        <v>607</v>
      </c>
      <c r="H1039" s="52" t="s">
        <v>607</v>
      </c>
      <c r="I1039" s="52" t="s">
        <v>607</v>
      </c>
      <c r="J1039" s="52" t="s">
        <v>607</v>
      </c>
      <c r="K1039" s="52" t="s">
        <v>607</v>
      </c>
      <c r="L1039" s="52" t="s">
        <v>607</v>
      </c>
      <c r="M1039" s="52" t="s">
        <v>607</v>
      </c>
      <c r="N1039" s="52" t="s">
        <v>607</v>
      </c>
      <c r="O1039" s="52"/>
      <c r="P1039" s="52"/>
      <c r="Q1039" s="52"/>
      <c r="R1039" s="51" t="b">
        <v>0</v>
      </c>
      <c r="S1039" s="51"/>
      <c r="T1039" s="52"/>
      <c r="U1039" s="51" t="b">
        <v>0</v>
      </c>
      <c r="V1039" s="51" t="b">
        <v>0</v>
      </c>
      <c r="W1039" s="51" t="b">
        <v>0</v>
      </c>
      <c r="X1039" s="51" t="b">
        <v>0</v>
      </c>
      <c r="Y1039" s="51" t="b">
        <v>0</v>
      </c>
      <c r="Z1039" s="51" t="b">
        <v>0</v>
      </c>
      <c r="AA1039" s="68"/>
      <c r="AB1039" s="52"/>
      <c r="AC1039" s="52"/>
      <c r="AD1039" s="52"/>
      <c r="AE1039" s="56" t="s">
        <v>607</v>
      </c>
      <c r="AF1039" s="56" t="s">
        <v>607</v>
      </c>
    </row>
    <row r="1040">
      <c r="A1040" s="52" t="s">
        <v>3510</v>
      </c>
      <c r="B1040" s="52" t="s">
        <v>19</v>
      </c>
      <c r="C1040" s="52" t="s">
        <v>289</v>
      </c>
      <c r="D1040" s="65">
        <v>0.4549074074074075</v>
      </c>
      <c r="E1040" s="65">
        <v>2.314814814814815E-4</v>
      </c>
      <c r="F1040" s="65">
        <v>0.455138888888889</v>
      </c>
      <c r="G1040" s="65" t="s">
        <v>1017</v>
      </c>
      <c r="H1040" s="52" t="s">
        <v>81</v>
      </c>
      <c r="I1040" s="52" t="s">
        <v>81</v>
      </c>
      <c r="J1040" s="52"/>
      <c r="K1040" s="52"/>
      <c r="L1040" s="52"/>
      <c r="M1040" s="52"/>
      <c r="N1040" s="52" t="s">
        <v>70</v>
      </c>
      <c r="O1040" s="52"/>
      <c r="P1040" s="52"/>
      <c r="Q1040" s="52"/>
      <c r="R1040" s="51" t="b">
        <v>0</v>
      </c>
      <c r="S1040" s="51"/>
      <c r="T1040" s="52"/>
      <c r="U1040" s="51" t="b">
        <v>0</v>
      </c>
      <c r="V1040" s="51" t="b">
        <v>0</v>
      </c>
      <c r="W1040" s="51" t="b">
        <v>0</v>
      </c>
      <c r="X1040" s="51" t="b">
        <v>0</v>
      </c>
      <c r="Y1040" s="51" t="b">
        <v>0</v>
      </c>
      <c r="Z1040" s="51" t="b">
        <v>0</v>
      </c>
      <c r="AA1040" s="68"/>
      <c r="AB1040" s="52"/>
      <c r="AC1040" s="52"/>
      <c r="AD1040" s="52"/>
      <c r="AE1040" s="56"/>
      <c r="AF1040" s="56" t="s">
        <v>1944</v>
      </c>
    </row>
    <row r="1041">
      <c r="A1041" s="52" t="s">
        <v>3513</v>
      </c>
      <c r="B1041" s="52" t="s">
        <v>19</v>
      </c>
      <c r="C1041" s="52" t="s">
        <v>289</v>
      </c>
      <c r="D1041" s="65">
        <v>0.455138888888889</v>
      </c>
      <c r="E1041" s="65">
        <v>0.0019560185185185184</v>
      </c>
      <c r="F1041" s="65">
        <v>0.4570949074074075</v>
      </c>
      <c r="G1041" s="65" t="s">
        <v>1017</v>
      </c>
      <c r="H1041" s="52" t="s">
        <v>165</v>
      </c>
      <c r="I1041" s="52" t="s">
        <v>1018</v>
      </c>
      <c r="J1041" s="52" t="s">
        <v>1019</v>
      </c>
      <c r="K1041" s="52"/>
      <c r="L1041" s="52"/>
      <c r="M1041" s="52"/>
      <c r="N1041" s="52" t="s">
        <v>70</v>
      </c>
      <c r="O1041" s="69" t="s">
        <v>884</v>
      </c>
      <c r="P1041" s="69" t="s">
        <v>32</v>
      </c>
      <c r="Q1041" s="73" t="s">
        <v>3514</v>
      </c>
      <c r="R1041" s="51" t="b">
        <v>1</v>
      </c>
      <c r="S1041" s="52" t="s">
        <v>1018</v>
      </c>
      <c r="T1041" s="52"/>
      <c r="U1041" s="51" t="b">
        <v>0</v>
      </c>
      <c r="V1041" s="51" t="b">
        <v>1</v>
      </c>
      <c r="W1041" s="51" t="b">
        <v>1</v>
      </c>
      <c r="X1041" s="51" t="b">
        <v>0</v>
      </c>
      <c r="Y1041" s="51" t="b">
        <v>0</v>
      </c>
      <c r="Z1041" s="51" t="b">
        <v>0</v>
      </c>
      <c r="AA1041" s="71">
        <v>0.0019560185185185184</v>
      </c>
      <c r="AB1041" s="69" t="s">
        <v>3517</v>
      </c>
      <c r="AC1041" s="69"/>
      <c r="AD1041" s="176" t="s">
        <v>3518</v>
      </c>
      <c r="AE1041" s="74" t="s">
        <v>743</v>
      </c>
      <c r="AF1041" s="74" t="s">
        <v>630</v>
      </c>
    </row>
    <row r="1042">
      <c r="A1042" s="52" t="s">
        <v>3522</v>
      </c>
      <c r="B1042" s="52" t="s">
        <v>607</v>
      </c>
      <c r="C1042" s="52" t="s">
        <v>607</v>
      </c>
      <c r="D1042" s="65" t="s">
        <v>607</v>
      </c>
      <c r="E1042" s="65" t="s">
        <v>607</v>
      </c>
      <c r="F1042" s="65" t="s">
        <v>607</v>
      </c>
      <c r="G1042" s="65" t="s">
        <v>607</v>
      </c>
      <c r="H1042" s="52" t="s">
        <v>607</v>
      </c>
      <c r="I1042" s="52" t="s">
        <v>607</v>
      </c>
      <c r="J1042" s="52" t="s">
        <v>607</v>
      </c>
      <c r="K1042" s="52" t="s">
        <v>607</v>
      </c>
      <c r="L1042" s="52" t="s">
        <v>607</v>
      </c>
      <c r="M1042" s="52" t="s">
        <v>607</v>
      </c>
      <c r="N1042" s="52" t="s">
        <v>607</v>
      </c>
      <c r="O1042" s="52"/>
      <c r="P1042" s="52"/>
      <c r="Q1042" s="52"/>
      <c r="R1042" s="51" t="b">
        <v>0</v>
      </c>
      <c r="S1042" s="51"/>
      <c r="T1042" s="52"/>
      <c r="U1042" s="51" t="b">
        <v>0</v>
      </c>
      <c r="V1042" s="51" t="b">
        <v>0</v>
      </c>
      <c r="W1042" s="51" t="b">
        <v>0</v>
      </c>
      <c r="X1042" s="51" t="b">
        <v>0</v>
      </c>
      <c r="Y1042" s="51" t="b">
        <v>0</v>
      </c>
      <c r="Z1042" s="51" t="b">
        <v>0</v>
      </c>
      <c r="AA1042" s="68"/>
      <c r="AB1042" s="52"/>
      <c r="AC1042" s="52"/>
      <c r="AD1042" s="52"/>
      <c r="AE1042" s="56" t="s">
        <v>607</v>
      </c>
      <c r="AF1042" s="56" t="s">
        <v>607</v>
      </c>
    </row>
    <row r="1043">
      <c r="A1043" s="52" t="s">
        <v>3524</v>
      </c>
      <c r="B1043" s="52" t="s">
        <v>19</v>
      </c>
      <c r="C1043" s="52" t="s">
        <v>66</v>
      </c>
      <c r="D1043" s="65">
        <v>0.609224537037037</v>
      </c>
      <c r="E1043" s="65">
        <v>2.314814814814815E-4</v>
      </c>
      <c r="F1043" s="65">
        <v>0.6094560185185185</v>
      </c>
      <c r="G1043" s="65" t="s">
        <v>1017</v>
      </c>
      <c r="H1043" s="52" t="s">
        <v>81</v>
      </c>
      <c r="I1043" s="52" t="s">
        <v>81</v>
      </c>
      <c r="J1043" s="52"/>
      <c r="K1043" s="52"/>
      <c r="L1043" s="52"/>
      <c r="M1043" s="52"/>
      <c r="N1043" s="52" t="s">
        <v>70</v>
      </c>
      <c r="O1043" s="52"/>
      <c r="P1043" s="52"/>
      <c r="Q1043" s="52"/>
      <c r="R1043" s="51" t="b">
        <v>0</v>
      </c>
      <c r="S1043" s="51"/>
      <c r="T1043" s="52"/>
      <c r="U1043" s="51" t="b">
        <v>0</v>
      </c>
      <c r="V1043" s="51" t="b">
        <v>0</v>
      </c>
      <c r="W1043" s="51" t="b">
        <v>0</v>
      </c>
      <c r="X1043" s="51" t="b">
        <v>0</v>
      </c>
      <c r="Y1043" s="51" t="b">
        <v>0</v>
      </c>
      <c r="Z1043" s="51" t="b">
        <v>0</v>
      </c>
      <c r="AA1043" s="68"/>
      <c r="AB1043" s="52"/>
      <c r="AC1043" s="52"/>
      <c r="AD1043" s="52"/>
      <c r="AE1043" s="56"/>
      <c r="AF1043" s="56" t="s">
        <v>1944</v>
      </c>
    </row>
    <row r="1044">
      <c r="A1044" s="52" t="s">
        <v>3526</v>
      </c>
      <c r="B1044" s="52" t="s">
        <v>19</v>
      </c>
      <c r="C1044" s="52" t="s">
        <v>66</v>
      </c>
      <c r="D1044" s="65">
        <v>0.6094560185185185</v>
      </c>
      <c r="E1044" s="65">
        <v>0.013888888888888888</v>
      </c>
      <c r="F1044" s="65">
        <v>0.6233449074074073</v>
      </c>
      <c r="G1044" s="65" t="s">
        <v>1017</v>
      </c>
      <c r="H1044" s="52" t="s">
        <v>94</v>
      </c>
      <c r="I1044" s="52" t="s">
        <v>1114</v>
      </c>
      <c r="J1044" s="52" t="s">
        <v>1115</v>
      </c>
      <c r="K1044" s="52"/>
      <c r="L1044" s="52"/>
      <c r="M1044" s="52"/>
      <c r="N1044" s="52" t="s">
        <v>1116</v>
      </c>
      <c r="O1044" s="52"/>
      <c r="P1044" s="69"/>
      <c r="Q1044" s="52"/>
      <c r="R1044" s="51" t="b">
        <v>0</v>
      </c>
      <c r="S1044" s="51"/>
      <c r="T1044" s="52"/>
      <c r="U1044" s="51" t="b">
        <v>0</v>
      </c>
      <c r="V1044" s="51" t="b">
        <v>0</v>
      </c>
      <c r="W1044" s="51" t="b">
        <v>0</v>
      </c>
      <c r="X1044" s="51" t="b">
        <v>0</v>
      </c>
      <c r="Y1044" s="51" t="b">
        <v>0</v>
      </c>
      <c r="Z1044" s="51" t="b">
        <v>0</v>
      </c>
      <c r="AA1044" s="68"/>
      <c r="AB1044" s="52"/>
      <c r="AC1044" s="52"/>
      <c r="AD1044" s="52"/>
      <c r="AE1044" s="56" t="s">
        <v>1499</v>
      </c>
      <c r="AF1044" s="56" t="s">
        <v>873</v>
      </c>
    </row>
    <row r="1045">
      <c r="A1045" s="52" t="s">
        <v>3527</v>
      </c>
      <c r="B1045" s="52" t="s">
        <v>607</v>
      </c>
      <c r="C1045" s="52" t="s">
        <v>607</v>
      </c>
      <c r="D1045" s="65" t="s">
        <v>607</v>
      </c>
      <c r="E1045" s="65" t="s">
        <v>607</v>
      </c>
      <c r="F1045" s="65" t="s">
        <v>607</v>
      </c>
      <c r="G1045" s="65" t="s">
        <v>607</v>
      </c>
      <c r="H1045" s="52" t="s">
        <v>607</v>
      </c>
      <c r="I1045" s="52" t="s">
        <v>607</v>
      </c>
      <c r="J1045" s="52" t="s">
        <v>607</v>
      </c>
      <c r="K1045" s="52" t="s">
        <v>607</v>
      </c>
      <c r="L1045" s="52" t="s">
        <v>607</v>
      </c>
      <c r="M1045" s="52" t="s">
        <v>607</v>
      </c>
      <c r="N1045" s="52" t="s">
        <v>607</v>
      </c>
      <c r="O1045" s="52"/>
      <c r="P1045" s="52"/>
      <c r="Q1045" s="52"/>
      <c r="R1045" s="51" t="b">
        <v>0</v>
      </c>
      <c r="S1045" s="51"/>
      <c r="T1045" s="52"/>
      <c r="U1045" s="51" t="b">
        <v>0</v>
      </c>
      <c r="V1045" s="51" t="b">
        <v>0</v>
      </c>
      <c r="W1045" s="51" t="b">
        <v>0</v>
      </c>
      <c r="X1045" s="51" t="b">
        <v>0</v>
      </c>
      <c r="Y1045" s="51" t="b">
        <v>0</v>
      </c>
      <c r="Z1045" s="51" t="b">
        <v>0</v>
      </c>
      <c r="AA1045" s="68"/>
      <c r="AB1045" s="52"/>
      <c r="AC1045" s="52"/>
      <c r="AD1045" s="52"/>
      <c r="AE1045" s="56" t="s">
        <v>607</v>
      </c>
      <c r="AF1045" s="56" t="s">
        <v>607</v>
      </c>
    </row>
    <row r="1046">
      <c r="A1046" s="52" t="s">
        <v>3528</v>
      </c>
      <c r="B1046" s="52" t="s">
        <v>19</v>
      </c>
      <c r="C1046" s="52" t="s">
        <v>289</v>
      </c>
      <c r="D1046" s="65">
        <v>0.5175925925925926</v>
      </c>
      <c r="E1046" s="65">
        <v>2.314814814814815E-4</v>
      </c>
      <c r="F1046" s="65">
        <v>0.517824074074074</v>
      </c>
      <c r="G1046" s="65" t="s">
        <v>1017</v>
      </c>
      <c r="H1046" s="52" t="s">
        <v>81</v>
      </c>
      <c r="I1046" s="52" t="s">
        <v>81</v>
      </c>
      <c r="J1046" s="52"/>
      <c r="K1046" s="52"/>
      <c r="L1046" s="52"/>
      <c r="M1046" s="52"/>
      <c r="N1046" s="52" t="s">
        <v>70</v>
      </c>
      <c r="O1046" s="52"/>
      <c r="P1046" s="52"/>
      <c r="Q1046" s="52"/>
      <c r="R1046" s="51" t="b">
        <v>0</v>
      </c>
      <c r="S1046" s="51"/>
      <c r="T1046" s="52"/>
      <c r="U1046" s="51" t="b">
        <v>0</v>
      </c>
      <c r="V1046" s="51" t="b">
        <v>0</v>
      </c>
      <c r="W1046" s="51" t="b">
        <v>0</v>
      </c>
      <c r="X1046" s="51" t="b">
        <v>0</v>
      </c>
      <c r="Y1046" s="51" t="b">
        <v>0</v>
      </c>
      <c r="Z1046" s="51" t="b">
        <v>0</v>
      </c>
      <c r="AA1046" s="68"/>
      <c r="AB1046" s="52"/>
      <c r="AC1046" s="52"/>
      <c r="AD1046" s="52"/>
      <c r="AE1046" s="56"/>
      <c r="AF1046" s="56" t="s">
        <v>1944</v>
      </c>
    </row>
    <row r="1047">
      <c r="A1047" s="52" t="s">
        <v>3530</v>
      </c>
      <c r="B1047" s="52" t="s">
        <v>19</v>
      </c>
      <c r="C1047" s="52" t="s">
        <v>289</v>
      </c>
      <c r="D1047" s="65">
        <v>0.517824074074074</v>
      </c>
      <c r="E1047" s="65">
        <v>0.0077777777777777776</v>
      </c>
      <c r="F1047" s="65">
        <v>0.5256018518518518</v>
      </c>
      <c r="G1047" s="65" t="s">
        <v>1017</v>
      </c>
      <c r="H1047" s="52" t="s">
        <v>94</v>
      </c>
      <c r="I1047" s="52" t="s">
        <v>1375</v>
      </c>
      <c r="J1047" s="52" t="s">
        <v>1376</v>
      </c>
      <c r="K1047" s="52"/>
      <c r="L1047" s="52"/>
      <c r="M1047" s="52"/>
      <c r="N1047" s="52" t="s">
        <v>464</v>
      </c>
      <c r="O1047" s="52"/>
      <c r="P1047" s="69" t="s">
        <v>23</v>
      </c>
      <c r="Q1047" s="80" t="s">
        <v>3532</v>
      </c>
      <c r="R1047" s="51" t="b">
        <v>1</v>
      </c>
      <c r="S1047" s="52" t="s">
        <v>1375</v>
      </c>
      <c r="T1047" s="52"/>
      <c r="U1047" s="51" t="b">
        <v>0</v>
      </c>
      <c r="V1047" s="51" t="b">
        <v>1</v>
      </c>
      <c r="W1047" s="51" t="b">
        <v>1</v>
      </c>
      <c r="X1047" s="51" t="b">
        <v>0</v>
      </c>
      <c r="Y1047" s="51" t="b">
        <v>0</v>
      </c>
      <c r="Z1047" s="51" t="b">
        <v>0</v>
      </c>
      <c r="AA1047" s="71">
        <v>0.0077777777777777776</v>
      </c>
      <c r="AB1047" s="69" t="s">
        <v>3534</v>
      </c>
      <c r="AC1047" s="52"/>
      <c r="AD1047" s="76" t="s">
        <v>3535</v>
      </c>
      <c r="AE1047" s="56" t="s">
        <v>629</v>
      </c>
      <c r="AF1047" s="56" t="s">
        <v>873</v>
      </c>
    </row>
    <row r="1048">
      <c r="A1048" s="52" t="s">
        <v>3536</v>
      </c>
      <c r="B1048" s="52" t="s">
        <v>607</v>
      </c>
      <c r="C1048" s="52" t="s">
        <v>607</v>
      </c>
      <c r="D1048" s="65" t="s">
        <v>607</v>
      </c>
      <c r="E1048" s="65" t="s">
        <v>607</v>
      </c>
      <c r="F1048" s="65" t="s">
        <v>607</v>
      </c>
      <c r="G1048" s="65" t="s">
        <v>607</v>
      </c>
      <c r="H1048" s="52" t="s">
        <v>607</v>
      </c>
      <c r="I1048" s="52" t="s">
        <v>607</v>
      </c>
      <c r="J1048" s="52" t="s">
        <v>607</v>
      </c>
      <c r="K1048" s="52" t="s">
        <v>607</v>
      </c>
      <c r="L1048" s="52" t="s">
        <v>607</v>
      </c>
      <c r="M1048" s="52" t="s">
        <v>607</v>
      </c>
      <c r="N1048" s="52" t="s">
        <v>607</v>
      </c>
      <c r="O1048" s="52"/>
      <c r="P1048" s="52"/>
      <c r="Q1048" s="52"/>
      <c r="R1048" s="51" t="b">
        <v>0</v>
      </c>
      <c r="S1048" s="51"/>
      <c r="T1048" s="52"/>
      <c r="U1048" s="51" t="b">
        <v>0</v>
      </c>
      <c r="V1048" s="51" t="b">
        <v>0</v>
      </c>
      <c r="W1048" s="51" t="b">
        <v>0</v>
      </c>
      <c r="X1048" s="51" t="b">
        <v>0</v>
      </c>
      <c r="Y1048" s="51" t="b">
        <v>0</v>
      </c>
      <c r="Z1048" s="51" t="b">
        <v>0</v>
      </c>
      <c r="AA1048" s="68"/>
      <c r="AB1048" s="52"/>
      <c r="AC1048" s="52"/>
      <c r="AD1048" s="52"/>
      <c r="AE1048" s="56" t="s">
        <v>607</v>
      </c>
      <c r="AF1048" s="56" t="s">
        <v>607</v>
      </c>
    </row>
    <row r="1049">
      <c r="A1049" s="52" t="s">
        <v>3539</v>
      </c>
      <c r="B1049" s="52" t="s">
        <v>19</v>
      </c>
      <c r="C1049" s="52" t="s">
        <v>289</v>
      </c>
      <c r="D1049" s="65">
        <v>0.5095833333333334</v>
      </c>
      <c r="E1049" s="65">
        <v>2.314814814814815E-4</v>
      </c>
      <c r="F1049" s="65">
        <v>0.5098148148148148</v>
      </c>
      <c r="G1049" s="65" t="s">
        <v>1017</v>
      </c>
      <c r="H1049" s="52" t="s">
        <v>81</v>
      </c>
      <c r="I1049" s="52" t="s">
        <v>81</v>
      </c>
      <c r="J1049" s="52"/>
      <c r="K1049" s="52"/>
      <c r="L1049" s="52"/>
      <c r="M1049" s="52"/>
      <c r="N1049" s="52" t="s">
        <v>70</v>
      </c>
      <c r="O1049" s="52"/>
      <c r="P1049" s="52"/>
      <c r="Q1049" s="52"/>
      <c r="R1049" s="51" t="b">
        <v>0</v>
      </c>
      <c r="S1049" s="51"/>
      <c r="T1049" s="52"/>
      <c r="U1049" s="51" t="b">
        <v>0</v>
      </c>
      <c r="V1049" s="51" t="b">
        <v>0</v>
      </c>
      <c r="W1049" s="51" t="b">
        <v>0</v>
      </c>
      <c r="X1049" s="51" t="b">
        <v>0</v>
      </c>
      <c r="Y1049" s="51" t="b">
        <v>0</v>
      </c>
      <c r="Z1049" s="51" t="b">
        <v>0</v>
      </c>
      <c r="AA1049" s="68"/>
      <c r="AB1049" s="52"/>
      <c r="AC1049" s="52"/>
      <c r="AD1049" s="52"/>
      <c r="AE1049" s="56"/>
      <c r="AF1049" s="56" t="s">
        <v>1944</v>
      </c>
    </row>
    <row r="1050">
      <c r="A1050" s="52" t="s">
        <v>3542</v>
      </c>
      <c r="B1050" s="52" t="s">
        <v>19</v>
      </c>
      <c r="C1050" s="52" t="s">
        <v>289</v>
      </c>
      <c r="D1050" s="65">
        <v>0.5098148148148148</v>
      </c>
      <c r="E1050" s="65">
        <v>0.0077777777777777776</v>
      </c>
      <c r="F1050" s="65">
        <v>0.5175925925925926</v>
      </c>
      <c r="G1050" s="65" t="s">
        <v>1017</v>
      </c>
      <c r="H1050" s="52" t="s">
        <v>165</v>
      </c>
      <c r="I1050" s="52" t="s">
        <v>1372</v>
      </c>
      <c r="J1050" s="52" t="s">
        <v>1374</v>
      </c>
      <c r="K1050" s="52"/>
      <c r="L1050" s="52"/>
      <c r="M1050" s="52"/>
      <c r="N1050" s="52" t="s">
        <v>70</v>
      </c>
      <c r="O1050" s="69" t="s">
        <v>884</v>
      </c>
      <c r="P1050" s="69" t="s">
        <v>20</v>
      </c>
      <c r="Q1050" s="73" t="s">
        <v>3544</v>
      </c>
      <c r="R1050" s="51" t="b">
        <v>1</v>
      </c>
      <c r="S1050" s="52" t="s">
        <v>1372</v>
      </c>
      <c r="T1050" s="52"/>
      <c r="U1050" s="51" t="b">
        <v>0</v>
      </c>
      <c r="V1050" s="51" t="b">
        <v>1</v>
      </c>
      <c r="W1050" s="51" t="b">
        <v>1</v>
      </c>
      <c r="X1050" s="51" t="b">
        <v>0</v>
      </c>
      <c r="Y1050" s="51" t="b">
        <v>0</v>
      </c>
      <c r="Z1050" s="51" t="b">
        <v>0</v>
      </c>
      <c r="AA1050" s="71">
        <v>0.0077314814814814815</v>
      </c>
      <c r="AB1050" s="69" t="s">
        <v>3547</v>
      </c>
      <c r="AC1050" s="69"/>
      <c r="AD1050" s="193" t="s">
        <v>3548</v>
      </c>
      <c r="AE1050" s="74" t="s">
        <v>743</v>
      </c>
      <c r="AF1050" s="74" t="s">
        <v>873</v>
      </c>
    </row>
    <row r="1051">
      <c r="A1051" s="52" t="s">
        <v>3550</v>
      </c>
      <c r="B1051" s="52" t="s">
        <v>607</v>
      </c>
      <c r="C1051" s="52" t="s">
        <v>607</v>
      </c>
      <c r="D1051" s="65" t="s">
        <v>607</v>
      </c>
      <c r="E1051" s="65" t="s">
        <v>607</v>
      </c>
      <c r="F1051" s="65" t="s">
        <v>607</v>
      </c>
      <c r="G1051" s="65" t="s">
        <v>607</v>
      </c>
      <c r="H1051" s="52" t="s">
        <v>607</v>
      </c>
      <c r="I1051" s="52" t="s">
        <v>607</v>
      </c>
      <c r="J1051" s="52" t="s">
        <v>607</v>
      </c>
      <c r="K1051" s="52" t="s">
        <v>607</v>
      </c>
      <c r="L1051" s="52" t="s">
        <v>607</v>
      </c>
      <c r="M1051" s="52" t="s">
        <v>607</v>
      </c>
      <c r="N1051" s="52" t="s">
        <v>607</v>
      </c>
      <c r="O1051" s="52"/>
      <c r="P1051" s="52"/>
      <c r="Q1051" s="52"/>
      <c r="R1051" s="51" t="b">
        <v>0</v>
      </c>
      <c r="S1051" s="51"/>
      <c r="T1051" s="52"/>
      <c r="U1051" s="51" t="b">
        <v>0</v>
      </c>
      <c r="V1051" s="51" t="b">
        <v>0</v>
      </c>
      <c r="W1051" s="51" t="b">
        <v>0</v>
      </c>
      <c r="X1051" s="51" t="b">
        <v>0</v>
      </c>
      <c r="Y1051" s="51" t="b">
        <v>0</v>
      </c>
      <c r="Z1051" s="51" t="b">
        <v>0</v>
      </c>
      <c r="AA1051" s="68"/>
      <c r="AB1051" s="52"/>
      <c r="AC1051" s="52"/>
      <c r="AD1051" s="52"/>
      <c r="AE1051" s="56" t="s">
        <v>607</v>
      </c>
      <c r="AF1051" s="56" t="s">
        <v>607</v>
      </c>
    </row>
    <row r="1052">
      <c r="A1052" s="52" t="s">
        <v>3552</v>
      </c>
      <c r="B1052" s="52" t="s">
        <v>19</v>
      </c>
      <c r="C1052" s="52" t="s">
        <v>289</v>
      </c>
      <c r="D1052" s="65">
        <v>0.5416666666666666</v>
      </c>
      <c r="E1052" s="65">
        <v>3.4722222222222224E-4</v>
      </c>
      <c r="F1052" s="65">
        <v>0.5420138888888889</v>
      </c>
      <c r="G1052" s="65" t="s">
        <v>280</v>
      </c>
      <c r="H1052" s="52" t="s">
        <v>81</v>
      </c>
      <c r="I1052" s="52" t="s">
        <v>81</v>
      </c>
      <c r="J1052" s="52"/>
      <c r="K1052" s="52"/>
      <c r="L1052" s="52"/>
      <c r="M1052" s="52"/>
      <c r="N1052" s="52" t="s">
        <v>70</v>
      </c>
      <c r="O1052" s="52"/>
      <c r="P1052" s="52"/>
      <c r="Q1052" s="52"/>
      <c r="R1052" s="51" t="b">
        <v>0</v>
      </c>
      <c r="S1052" s="51"/>
      <c r="T1052" s="52"/>
      <c r="U1052" s="51" t="b">
        <v>0</v>
      </c>
      <c r="V1052" s="51" t="b">
        <v>0</v>
      </c>
      <c r="W1052" s="51" t="b">
        <v>0</v>
      </c>
      <c r="X1052" s="51" t="b">
        <v>0</v>
      </c>
      <c r="Y1052" s="51" t="b">
        <v>0</v>
      </c>
      <c r="Z1052" s="51" t="b">
        <v>0</v>
      </c>
      <c r="AA1052" s="68"/>
      <c r="AB1052" s="52"/>
      <c r="AC1052" s="52"/>
      <c r="AD1052" s="52"/>
      <c r="AE1052" s="56"/>
      <c r="AF1052" s="56" t="s">
        <v>1944</v>
      </c>
    </row>
    <row r="1053">
      <c r="A1053" s="52" t="s">
        <v>3555</v>
      </c>
      <c r="B1053" s="52" t="s">
        <v>19</v>
      </c>
      <c r="C1053" s="52" t="s">
        <v>289</v>
      </c>
      <c r="D1053" s="65">
        <v>0.5420138888888889</v>
      </c>
      <c r="E1053" s="65">
        <v>0.010717592592592593</v>
      </c>
      <c r="F1053" s="65">
        <v>0.5527314814814815</v>
      </c>
      <c r="G1053" s="65" t="s">
        <v>280</v>
      </c>
      <c r="H1053" s="52" t="s">
        <v>94</v>
      </c>
      <c r="I1053" s="52" t="s">
        <v>1385</v>
      </c>
      <c r="J1053" s="52" t="s">
        <v>1386</v>
      </c>
      <c r="K1053" s="52"/>
      <c r="L1053" s="52"/>
      <c r="M1053" s="52"/>
      <c r="N1053" s="52" t="s">
        <v>1387</v>
      </c>
      <c r="O1053" s="69" t="s">
        <v>618</v>
      </c>
      <c r="P1053" s="69" t="s">
        <v>32</v>
      </c>
      <c r="Q1053" s="76" t="s">
        <v>3557</v>
      </c>
      <c r="R1053" s="51" t="b">
        <v>1</v>
      </c>
      <c r="S1053" s="52" t="s">
        <v>1385</v>
      </c>
      <c r="T1053" s="52"/>
      <c r="U1053" s="51" t="b">
        <v>0</v>
      </c>
      <c r="V1053" s="51" t="b">
        <v>1</v>
      </c>
      <c r="W1053" s="51" t="b">
        <v>1</v>
      </c>
      <c r="X1053" s="51" t="b">
        <v>0</v>
      </c>
      <c r="Y1053" s="51" t="b">
        <v>1</v>
      </c>
      <c r="Z1053" s="51" t="b">
        <v>0</v>
      </c>
      <c r="AA1053" s="71">
        <v>0.010717592592592593</v>
      </c>
      <c r="AB1053" s="69"/>
      <c r="AC1053" s="52"/>
      <c r="AD1053" s="76" t="s">
        <v>3559</v>
      </c>
      <c r="AE1053" s="56" t="s">
        <v>629</v>
      </c>
      <c r="AF1053" s="56" t="s">
        <v>860</v>
      </c>
    </row>
    <row r="1054">
      <c r="A1054" s="52" t="s">
        <v>3563</v>
      </c>
      <c r="B1054" s="52" t="s">
        <v>607</v>
      </c>
      <c r="C1054" s="52" t="s">
        <v>607</v>
      </c>
      <c r="D1054" s="65" t="s">
        <v>607</v>
      </c>
      <c r="E1054" s="65" t="s">
        <v>607</v>
      </c>
      <c r="F1054" s="65" t="s">
        <v>607</v>
      </c>
      <c r="G1054" s="65" t="s">
        <v>607</v>
      </c>
      <c r="H1054" s="52" t="s">
        <v>607</v>
      </c>
      <c r="I1054" s="52" t="s">
        <v>607</v>
      </c>
      <c r="J1054" s="52" t="s">
        <v>607</v>
      </c>
      <c r="K1054" s="52" t="s">
        <v>607</v>
      </c>
      <c r="L1054" s="52" t="s">
        <v>607</v>
      </c>
      <c r="M1054" s="52" t="s">
        <v>607</v>
      </c>
      <c r="N1054" s="52" t="s">
        <v>607</v>
      </c>
      <c r="O1054" s="52"/>
      <c r="P1054" s="52"/>
      <c r="Q1054" s="52"/>
      <c r="R1054" s="51" t="b">
        <v>0</v>
      </c>
      <c r="S1054" s="51"/>
      <c r="T1054" s="52"/>
      <c r="U1054" s="51" t="b">
        <v>0</v>
      </c>
      <c r="V1054" s="51" t="b">
        <v>0</v>
      </c>
      <c r="W1054" s="51" t="b">
        <v>0</v>
      </c>
      <c r="X1054" s="51" t="b">
        <v>0</v>
      </c>
      <c r="Y1054" s="51" t="b">
        <v>0</v>
      </c>
      <c r="Z1054" s="51" t="b">
        <v>0</v>
      </c>
      <c r="AA1054" s="68"/>
      <c r="AB1054" s="52"/>
      <c r="AC1054" s="52"/>
      <c r="AD1054" s="52"/>
      <c r="AE1054" s="56" t="s">
        <v>607</v>
      </c>
      <c r="AF1054" s="56" t="s">
        <v>607</v>
      </c>
    </row>
    <row r="1055">
      <c r="A1055" s="52" t="s">
        <v>3564</v>
      </c>
      <c r="B1055" s="52" t="s">
        <v>607</v>
      </c>
      <c r="C1055" s="52" t="s">
        <v>607</v>
      </c>
      <c r="D1055" s="65" t="s">
        <v>607</v>
      </c>
      <c r="E1055" s="65" t="s">
        <v>607</v>
      </c>
      <c r="F1055" s="65" t="s">
        <v>607</v>
      </c>
      <c r="G1055" s="65" t="s">
        <v>607</v>
      </c>
      <c r="H1055" s="52" t="s">
        <v>607</v>
      </c>
      <c r="I1055" s="52" t="s">
        <v>607</v>
      </c>
      <c r="J1055" s="52" t="s">
        <v>607</v>
      </c>
      <c r="K1055" s="52" t="s">
        <v>607</v>
      </c>
      <c r="L1055" s="52" t="s">
        <v>607</v>
      </c>
      <c r="M1055" s="52" t="s">
        <v>607</v>
      </c>
      <c r="N1055" s="52" t="s">
        <v>607</v>
      </c>
      <c r="O1055" s="52"/>
      <c r="P1055" s="52"/>
      <c r="Q1055" s="52"/>
      <c r="R1055" s="51" t="b">
        <v>0</v>
      </c>
      <c r="S1055" s="51"/>
      <c r="T1055" s="52"/>
      <c r="U1055" s="51" t="b">
        <v>0</v>
      </c>
      <c r="V1055" s="51" t="b">
        <v>0</v>
      </c>
      <c r="W1055" s="51" t="b">
        <v>0</v>
      </c>
      <c r="X1055" s="51" t="b">
        <v>0</v>
      </c>
      <c r="Y1055" s="51" t="b">
        <v>0</v>
      </c>
      <c r="Z1055" s="51" t="b">
        <v>0</v>
      </c>
      <c r="AA1055" s="68"/>
      <c r="AB1055" s="52"/>
      <c r="AC1055" s="52"/>
      <c r="AD1055" s="52"/>
      <c r="AE1055" s="56" t="s">
        <v>607</v>
      </c>
      <c r="AF1055" s="56" t="s">
        <v>607</v>
      </c>
    </row>
    <row r="1056">
      <c r="A1056" s="52" t="s">
        <v>3567</v>
      </c>
      <c r="B1056" s="52" t="s">
        <v>19</v>
      </c>
      <c r="C1056" s="52" t="s">
        <v>289</v>
      </c>
      <c r="D1056" s="65">
        <v>0.5527314814814815</v>
      </c>
      <c r="E1056" s="65">
        <v>2.314814814814815E-4</v>
      </c>
      <c r="F1056" s="65">
        <v>0.552962962962963</v>
      </c>
      <c r="G1056" s="65" t="s">
        <v>280</v>
      </c>
      <c r="H1056" s="52" t="s">
        <v>81</v>
      </c>
      <c r="I1056" s="52" t="s">
        <v>81</v>
      </c>
      <c r="J1056" s="52"/>
      <c r="K1056" s="52"/>
      <c r="L1056" s="52"/>
      <c r="M1056" s="52"/>
      <c r="N1056" s="52" t="s">
        <v>70</v>
      </c>
      <c r="O1056" s="52"/>
      <c r="P1056" s="52"/>
      <c r="Q1056" s="52"/>
      <c r="R1056" s="51" t="b">
        <v>0</v>
      </c>
      <c r="S1056" s="51"/>
      <c r="T1056" s="52"/>
      <c r="U1056" s="51" t="b">
        <v>0</v>
      </c>
      <c r="V1056" s="51" t="b">
        <v>0</v>
      </c>
      <c r="W1056" s="51" t="b">
        <v>0</v>
      </c>
      <c r="X1056" s="51" t="b">
        <v>0</v>
      </c>
      <c r="Y1056" s="51" t="b">
        <v>0</v>
      </c>
      <c r="Z1056" s="51" t="b">
        <v>0</v>
      </c>
      <c r="AA1056" s="68"/>
      <c r="AB1056" s="52"/>
      <c r="AC1056" s="52"/>
      <c r="AD1056" s="52"/>
      <c r="AE1056" s="56"/>
      <c r="AF1056" s="56" t="s">
        <v>1944</v>
      </c>
    </row>
    <row r="1057">
      <c r="A1057" s="52" t="s">
        <v>3570</v>
      </c>
      <c r="B1057" s="52" t="s">
        <v>14</v>
      </c>
      <c r="C1057" s="52" t="s">
        <v>221</v>
      </c>
      <c r="D1057" s="65">
        <v>0.5626504629629632</v>
      </c>
      <c r="E1057" s="65">
        <v>0.010416666666666666</v>
      </c>
      <c r="F1057" s="65">
        <v>0.5730671296296298</v>
      </c>
      <c r="G1057" s="65" t="s">
        <v>280</v>
      </c>
      <c r="H1057" s="52" t="s">
        <v>74</v>
      </c>
      <c r="I1057" s="52" t="s">
        <v>281</v>
      </c>
      <c r="J1057" s="52" t="s">
        <v>282</v>
      </c>
      <c r="K1057" s="52" t="s">
        <v>283</v>
      </c>
      <c r="L1057" s="52" t="s">
        <v>284</v>
      </c>
      <c r="M1057" s="52"/>
      <c r="N1057" s="52" t="s">
        <v>285</v>
      </c>
      <c r="O1057" s="69" t="s">
        <v>791</v>
      </c>
      <c r="P1057" s="69" t="s">
        <v>17</v>
      </c>
      <c r="Q1057" s="80" t="s">
        <v>3572</v>
      </c>
      <c r="R1057" s="51" t="b">
        <v>1</v>
      </c>
      <c r="S1057" s="52" t="s">
        <v>281</v>
      </c>
      <c r="T1057" s="52"/>
      <c r="U1057" s="51" t="b">
        <v>0</v>
      </c>
      <c r="V1057" s="51" t="b">
        <v>1</v>
      </c>
      <c r="W1057" s="51" t="b">
        <v>1</v>
      </c>
      <c r="X1057" s="51" t="b">
        <v>0</v>
      </c>
      <c r="Y1057" s="51" t="b">
        <v>0</v>
      </c>
      <c r="Z1057" s="51" t="b">
        <v>0</v>
      </c>
      <c r="AA1057" s="71">
        <v>0.011307870370370371</v>
      </c>
      <c r="AB1057" s="69"/>
      <c r="AC1057" s="52"/>
      <c r="AD1057" s="73" t="s">
        <v>3576</v>
      </c>
      <c r="AE1057" s="56" t="s">
        <v>743</v>
      </c>
      <c r="AF1057" s="56" t="s">
        <v>860</v>
      </c>
    </row>
    <row r="1058">
      <c r="A1058" s="52" t="s">
        <v>3578</v>
      </c>
      <c r="B1058" s="52" t="s">
        <v>607</v>
      </c>
      <c r="C1058" s="52" t="s">
        <v>607</v>
      </c>
      <c r="D1058" s="65" t="s">
        <v>607</v>
      </c>
      <c r="E1058" s="65" t="s">
        <v>607</v>
      </c>
      <c r="F1058" s="65" t="s">
        <v>607</v>
      </c>
      <c r="G1058" s="65" t="s">
        <v>607</v>
      </c>
      <c r="H1058" s="52" t="s">
        <v>607</v>
      </c>
      <c r="I1058" s="52" t="s">
        <v>607</v>
      </c>
      <c r="J1058" s="52" t="s">
        <v>607</v>
      </c>
      <c r="K1058" s="52" t="s">
        <v>607</v>
      </c>
      <c r="L1058" s="52" t="s">
        <v>607</v>
      </c>
      <c r="M1058" s="52" t="s">
        <v>607</v>
      </c>
      <c r="N1058" s="52" t="s">
        <v>607</v>
      </c>
      <c r="O1058" s="52"/>
      <c r="P1058" s="52"/>
      <c r="Q1058" s="52"/>
      <c r="R1058" s="51" t="b">
        <v>0</v>
      </c>
      <c r="S1058" s="51"/>
      <c r="T1058" s="52"/>
      <c r="U1058" s="51" t="b">
        <v>0</v>
      </c>
      <c r="V1058" s="51" t="b">
        <v>0</v>
      </c>
      <c r="W1058" s="51" t="b">
        <v>0</v>
      </c>
      <c r="X1058" s="51" t="b">
        <v>0</v>
      </c>
      <c r="Y1058" s="51" t="b">
        <v>0</v>
      </c>
      <c r="Z1058" s="51" t="b">
        <v>0</v>
      </c>
      <c r="AA1058" s="68"/>
      <c r="AB1058" s="52"/>
      <c r="AC1058" s="52"/>
      <c r="AD1058" s="52"/>
      <c r="AE1058" s="56" t="s">
        <v>607</v>
      </c>
      <c r="AF1058" s="56" t="s">
        <v>607</v>
      </c>
    </row>
    <row r="1059">
      <c r="A1059" s="52" t="s">
        <v>3581</v>
      </c>
      <c r="B1059" s="52" t="s">
        <v>19</v>
      </c>
      <c r="C1059" s="52" t="s">
        <v>289</v>
      </c>
      <c r="D1059" s="65">
        <v>0.5734259259259259</v>
      </c>
      <c r="E1059" s="65">
        <v>2.314814814814815E-4</v>
      </c>
      <c r="F1059" s="65">
        <v>0.5736574074074073</v>
      </c>
      <c r="G1059" s="65" t="s">
        <v>280</v>
      </c>
      <c r="H1059" s="52" t="s">
        <v>81</v>
      </c>
      <c r="I1059" s="52" t="s">
        <v>81</v>
      </c>
      <c r="J1059" s="52"/>
      <c r="K1059" s="52"/>
      <c r="L1059" s="52"/>
      <c r="M1059" s="52"/>
      <c r="N1059" s="52" t="s">
        <v>70</v>
      </c>
      <c r="O1059" s="52"/>
      <c r="P1059" s="52"/>
      <c r="Q1059" s="52"/>
      <c r="R1059" s="51" t="b">
        <v>0</v>
      </c>
      <c r="S1059" s="51"/>
      <c r="T1059" s="52"/>
      <c r="U1059" s="51" t="b">
        <v>0</v>
      </c>
      <c r="V1059" s="51" t="b">
        <v>0</v>
      </c>
      <c r="W1059" s="51" t="b">
        <v>0</v>
      </c>
      <c r="X1059" s="51" t="b">
        <v>0</v>
      </c>
      <c r="Y1059" s="51" t="b">
        <v>0</v>
      </c>
      <c r="Z1059" s="51" t="b">
        <v>0</v>
      </c>
      <c r="AA1059" s="68"/>
      <c r="AB1059" s="52"/>
      <c r="AC1059" s="52"/>
      <c r="AD1059" s="52"/>
      <c r="AE1059" s="56"/>
      <c r="AF1059" s="56" t="s">
        <v>1944</v>
      </c>
    </row>
    <row r="1060">
      <c r="A1060" s="52" t="s">
        <v>3583</v>
      </c>
      <c r="B1060" s="52" t="s">
        <v>19</v>
      </c>
      <c r="C1060" s="52" t="s">
        <v>289</v>
      </c>
      <c r="D1060" s="65">
        <v>0.5736574074074073</v>
      </c>
      <c r="E1060" s="65">
        <v>0.008333333333333333</v>
      </c>
      <c r="F1060" s="65">
        <v>0.5819907407407406</v>
      </c>
      <c r="G1060" s="65" t="s">
        <v>280</v>
      </c>
      <c r="H1060" s="52" t="s">
        <v>94</v>
      </c>
      <c r="I1060" s="52" t="s">
        <v>1401</v>
      </c>
      <c r="J1060" s="52" t="s">
        <v>1402</v>
      </c>
      <c r="K1060" s="52" t="s">
        <v>1403</v>
      </c>
      <c r="L1060" s="52"/>
      <c r="M1060" s="52"/>
      <c r="N1060" s="52" t="s">
        <v>1399</v>
      </c>
      <c r="O1060" s="52"/>
      <c r="P1060" s="69"/>
      <c r="Q1060" s="52"/>
      <c r="R1060" s="51" t="b">
        <v>0</v>
      </c>
      <c r="S1060" s="51"/>
      <c r="T1060" s="52"/>
      <c r="U1060" s="51" t="b">
        <v>0</v>
      </c>
      <c r="V1060" s="51" t="b">
        <v>0</v>
      </c>
      <c r="W1060" s="51" t="b">
        <v>0</v>
      </c>
      <c r="X1060" s="51" t="b">
        <v>0</v>
      </c>
      <c r="Y1060" s="51" t="b">
        <v>0</v>
      </c>
      <c r="Z1060" s="51" t="b">
        <v>0</v>
      </c>
      <c r="AA1060" s="68"/>
      <c r="AB1060" s="52"/>
      <c r="AC1060" s="52"/>
      <c r="AD1060" s="52"/>
      <c r="AE1060" s="56" t="s">
        <v>1025</v>
      </c>
      <c r="AF1060" s="56" t="s">
        <v>860</v>
      </c>
    </row>
    <row r="1061">
      <c r="A1061" s="52" t="s">
        <v>3586</v>
      </c>
      <c r="B1061" s="52" t="s">
        <v>607</v>
      </c>
      <c r="C1061" s="52" t="s">
        <v>607</v>
      </c>
      <c r="D1061" s="65" t="s">
        <v>607</v>
      </c>
      <c r="E1061" s="65" t="s">
        <v>607</v>
      </c>
      <c r="F1061" s="65" t="s">
        <v>607</v>
      </c>
      <c r="G1061" s="65" t="s">
        <v>607</v>
      </c>
      <c r="H1061" s="52" t="s">
        <v>607</v>
      </c>
      <c r="I1061" s="52" t="s">
        <v>607</v>
      </c>
      <c r="J1061" s="52" t="s">
        <v>607</v>
      </c>
      <c r="K1061" s="52" t="s">
        <v>607</v>
      </c>
      <c r="L1061" s="52" t="s">
        <v>607</v>
      </c>
      <c r="M1061" s="52" t="s">
        <v>607</v>
      </c>
      <c r="N1061" s="52" t="s">
        <v>607</v>
      </c>
      <c r="O1061" s="52"/>
      <c r="P1061" s="52"/>
      <c r="Q1061" s="52"/>
      <c r="R1061" s="51" t="b">
        <v>0</v>
      </c>
      <c r="S1061" s="51"/>
      <c r="T1061" s="52"/>
      <c r="U1061" s="51" t="b">
        <v>0</v>
      </c>
      <c r="V1061" s="51" t="b">
        <v>0</v>
      </c>
      <c r="W1061" s="51" t="b">
        <v>0</v>
      </c>
      <c r="X1061" s="51" t="b">
        <v>0</v>
      </c>
      <c r="Y1061" s="51" t="b">
        <v>0</v>
      </c>
      <c r="Z1061" s="51" t="b">
        <v>0</v>
      </c>
      <c r="AA1061" s="68"/>
      <c r="AB1061" s="52"/>
      <c r="AC1061" s="52"/>
      <c r="AD1061" s="52"/>
      <c r="AE1061" s="56" t="s">
        <v>607</v>
      </c>
      <c r="AF1061" s="56" t="s">
        <v>607</v>
      </c>
    </row>
    <row r="1062">
      <c r="A1062" s="52" t="s">
        <v>3589</v>
      </c>
      <c r="B1062" s="52" t="s">
        <v>19</v>
      </c>
      <c r="C1062" s="52" t="s">
        <v>289</v>
      </c>
      <c r="D1062" s="65">
        <v>0.5651157407407408</v>
      </c>
      <c r="E1062" s="65">
        <v>2.314814814814815E-4</v>
      </c>
      <c r="F1062" s="65">
        <v>0.5653472222222222</v>
      </c>
      <c r="G1062" s="65" t="s">
        <v>280</v>
      </c>
      <c r="H1062" s="52" t="s">
        <v>81</v>
      </c>
      <c r="I1062" s="52" t="s">
        <v>81</v>
      </c>
      <c r="J1062" s="52"/>
      <c r="K1062" s="52"/>
      <c r="L1062" s="52"/>
      <c r="M1062" s="52"/>
      <c r="N1062" s="52" t="s">
        <v>70</v>
      </c>
      <c r="O1062" s="52"/>
      <c r="P1062" s="52"/>
      <c r="Q1062" s="52"/>
      <c r="R1062" s="51" t="b">
        <v>0</v>
      </c>
      <c r="S1062" s="51"/>
      <c r="T1062" s="52"/>
      <c r="U1062" s="51" t="b">
        <v>0</v>
      </c>
      <c r="V1062" s="51" t="b">
        <v>0</v>
      </c>
      <c r="W1062" s="51" t="b">
        <v>0</v>
      </c>
      <c r="X1062" s="51" t="b">
        <v>0</v>
      </c>
      <c r="Y1062" s="51" t="b">
        <v>0</v>
      </c>
      <c r="Z1062" s="51" t="b">
        <v>0</v>
      </c>
      <c r="AA1062" s="68"/>
      <c r="AB1062" s="52"/>
      <c r="AC1062" s="52"/>
      <c r="AD1062" s="52"/>
      <c r="AE1062" s="56"/>
      <c r="AF1062" s="56" t="s">
        <v>1944</v>
      </c>
    </row>
    <row r="1063">
      <c r="A1063" s="52" t="s">
        <v>3592</v>
      </c>
      <c r="B1063" s="52" t="s">
        <v>19</v>
      </c>
      <c r="C1063" s="52" t="s">
        <v>289</v>
      </c>
      <c r="D1063" s="65">
        <v>0.5653472222222222</v>
      </c>
      <c r="E1063" s="65">
        <v>0.008078703703703704</v>
      </c>
      <c r="F1063" s="65">
        <v>0.5734259259259259</v>
      </c>
      <c r="G1063" s="65" t="s">
        <v>280</v>
      </c>
      <c r="H1063" s="52" t="s">
        <v>107</v>
      </c>
      <c r="I1063" s="52" t="s">
        <v>1396</v>
      </c>
      <c r="J1063" s="52" t="s">
        <v>1397</v>
      </c>
      <c r="K1063" s="52" t="s">
        <v>1398</v>
      </c>
      <c r="L1063" s="52"/>
      <c r="M1063" s="52"/>
      <c r="N1063" s="52" t="s">
        <v>1399</v>
      </c>
      <c r="O1063" s="69" t="s">
        <v>734</v>
      </c>
      <c r="P1063" s="69" t="s">
        <v>15</v>
      </c>
      <c r="Q1063" s="77" t="s">
        <v>3593</v>
      </c>
      <c r="R1063" s="51" t="b">
        <v>1</v>
      </c>
      <c r="S1063" s="52" t="s">
        <v>1396</v>
      </c>
      <c r="T1063" s="52"/>
      <c r="U1063" s="51" t="b">
        <v>0</v>
      </c>
      <c r="V1063" s="51" t="b">
        <v>1</v>
      </c>
      <c r="W1063" s="51" t="b">
        <v>1</v>
      </c>
      <c r="X1063" s="51" t="b">
        <v>0</v>
      </c>
      <c r="Y1063" s="51" t="b">
        <v>1</v>
      </c>
      <c r="Z1063" s="51" t="b">
        <v>0</v>
      </c>
      <c r="AA1063" s="71">
        <v>0.008078703703703704</v>
      </c>
      <c r="AB1063" s="69" t="s">
        <v>3596</v>
      </c>
      <c r="AC1063" s="52"/>
      <c r="AD1063" s="73" t="s">
        <v>3597</v>
      </c>
      <c r="AE1063" s="56" t="s">
        <v>629</v>
      </c>
      <c r="AF1063" s="56" t="s">
        <v>860</v>
      </c>
    </row>
    <row r="1064">
      <c r="A1064" s="52" t="s">
        <v>3598</v>
      </c>
      <c r="B1064" s="52" t="s">
        <v>607</v>
      </c>
      <c r="C1064" s="52" t="s">
        <v>607</v>
      </c>
      <c r="D1064" s="65" t="s">
        <v>607</v>
      </c>
      <c r="E1064" s="65" t="s">
        <v>607</v>
      </c>
      <c r="F1064" s="65" t="s">
        <v>607</v>
      </c>
      <c r="G1064" s="65" t="s">
        <v>607</v>
      </c>
      <c r="H1064" s="52" t="s">
        <v>607</v>
      </c>
      <c r="I1064" s="52" t="s">
        <v>607</v>
      </c>
      <c r="J1064" s="52" t="s">
        <v>607</v>
      </c>
      <c r="K1064" s="52" t="s">
        <v>607</v>
      </c>
      <c r="L1064" s="52" t="s">
        <v>607</v>
      </c>
      <c r="M1064" s="52" t="s">
        <v>607</v>
      </c>
      <c r="N1064" s="52" t="s">
        <v>607</v>
      </c>
      <c r="O1064" s="52"/>
      <c r="P1064" s="52"/>
      <c r="Q1064" s="52"/>
      <c r="R1064" s="51" t="b">
        <v>0</v>
      </c>
      <c r="S1064" s="51"/>
      <c r="T1064" s="52"/>
      <c r="U1064" s="51" t="b">
        <v>0</v>
      </c>
      <c r="V1064" s="51" t="b">
        <v>0</v>
      </c>
      <c r="W1064" s="51" t="b">
        <v>0</v>
      </c>
      <c r="X1064" s="51" t="b">
        <v>0</v>
      </c>
      <c r="Y1064" s="51" t="b">
        <v>0</v>
      </c>
      <c r="Z1064" s="51" t="b">
        <v>0</v>
      </c>
      <c r="AA1064" s="68"/>
      <c r="AB1064" s="52"/>
      <c r="AC1064" s="52"/>
      <c r="AD1064" s="52"/>
      <c r="AE1064" s="56" t="s">
        <v>607</v>
      </c>
      <c r="AF1064" s="56" t="s">
        <v>607</v>
      </c>
    </row>
    <row r="1065">
      <c r="A1065" s="52" t="s">
        <v>3601</v>
      </c>
      <c r="B1065" s="52" t="s">
        <v>785</v>
      </c>
      <c r="C1065" s="52" t="s">
        <v>289</v>
      </c>
      <c r="D1065" s="65">
        <v>0.7039351851851857</v>
      </c>
      <c r="E1065" s="65">
        <v>3.4722222222222224E-4</v>
      </c>
      <c r="F1065" s="65">
        <v>0.704282407407408</v>
      </c>
      <c r="G1065" s="65" t="s">
        <v>1345</v>
      </c>
      <c r="H1065" s="52" t="s">
        <v>81</v>
      </c>
      <c r="I1065" s="52" t="s">
        <v>81</v>
      </c>
      <c r="J1065" s="52"/>
      <c r="K1065" s="52"/>
      <c r="L1065" s="52"/>
      <c r="M1065" s="52"/>
      <c r="N1065" s="52" t="s">
        <v>70</v>
      </c>
      <c r="O1065" s="52"/>
      <c r="P1065" s="52"/>
      <c r="Q1065" s="52"/>
      <c r="R1065" s="51" t="b">
        <v>0</v>
      </c>
      <c r="S1065" s="51"/>
      <c r="T1065" s="52"/>
      <c r="U1065" s="51" t="b">
        <v>0</v>
      </c>
      <c r="V1065" s="51" t="b">
        <v>0</v>
      </c>
      <c r="W1065" s="51" t="b">
        <v>0</v>
      </c>
      <c r="X1065" s="51" t="b">
        <v>0</v>
      </c>
      <c r="Y1065" s="51" t="b">
        <v>0</v>
      </c>
      <c r="Z1065" s="51" t="b">
        <v>0</v>
      </c>
      <c r="AA1065" s="68"/>
      <c r="AB1065" s="52"/>
      <c r="AC1065" s="52"/>
      <c r="AD1065" s="52"/>
      <c r="AE1065" s="56"/>
      <c r="AF1065" s="56" t="s">
        <v>1944</v>
      </c>
    </row>
    <row r="1066">
      <c r="A1066" s="52" t="s">
        <v>3605</v>
      </c>
      <c r="B1066" s="52" t="s">
        <v>785</v>
      </c>
      <c r="C1066" s="52" t="s">
        <v>289</v>
      </c>
      <c r="D1066" s="65">
        <v>0.704282407407408</v>
      </c>
      <c r="E1066" s="65">
        <v>0.007326388888888889</v>
      </c>
      <c r="F1066" s="65">
        <v>0.7116087962962969</v>
      </c>
      <c r="G1066" s="65" t="s">
        <v>1345</v>
      </c>
      <c r="H1066" s="52" t="s">
        <v>165</v>
      </c>
      <c r="I1066" s="52" t="s">
        <v>1794</v>
      </c>
      <c r="J1066" s="52" t="s">
        <v>1795</v>
      </c>
      <c r="K1066" s="52"/>
      <c r="L1066" s="52"/>
      <c r="M1066" s="52"/>
      <c r="N1066" s="52" t="s">
        <v>70</v>
      </c>
      <c r="O1066" s="69" t="s">
        <v>884</v>
      </c>
      <c r="P1066" s="69" t="s">
        <v>17</v>
      </c>
      <c r="Q1066" s="73" t="s">
        <v>3606</v>
      </c>
      <c r="R1066" s="51" t="b">
        <v>1</v>
      </c>
      <c r="S1066" s="52" t="s">
        <v>3609</v>
      </c>
      <c r="T1066" s="52"/>
      <c r="U1066" s="51" t="b">
        <v>0</v>
      </c>
      <c r="V1066" s="51" t="b">
        <v>1</v>
      </c>
      <c r="W1066" s="51" t="b">
        <v>1</v>
      </c>
      <c r="X1066" s="51" t="b">
        <v>1</v>
      </c>
      <c r="Y1066" s="51" t="b">
        <v>0</v>
      </c>
      <c r="Z1066" s="51" t="b">
        <v>0</v>
      </c>
      <c r="AA1066" s="71">
        <v>0.007314814814814815</v>
      </c>
      <c r="AB1066" s="69"/>
      <c r="AC1066" s="75"/>
      <c r="AD1066" s="208" t="s">
        <v>3610</v>
      </c>
      <c r="AE1066" s="74" t="s">
        <v>629</v>
      </c>
      <c r="AF1066" s="74" t="s">
        <v>1055</v>
      </c>
    </row>
    <row r="1067">
      <c r="A1067" s="52" t="s">
        <v>3612</v>
      </c>
      <c r="B1067" s="52" t="s">
        <v>785</v>
      </c>
      <c r="C1067" s="52" t="s">
        <v>289</v>
      </c>
      <c r="D1067" s="65">
        <v>0.7116087962962969</v>
      </c>
      <c r="E1067" s="65">
        <v>1.7361111111111112E-4</v>
      </c>
      <c r="F1067" s="65">
        <v>0.7117824074074081</v>
      </c>
      <c r="G1067" s="65" t="s">
        <v>1345</v>
      </c>
      <c r="H1067" s="52" t="s">
        <v>85</v>
      </c>
      <c r="I1067" s="52" t="s">
        <v>85</v>
      </c>
      <c r="J1067" s="52"/>
      <c r="K1067" s="52"/>
      <c r="L1067" s="52"/>
      <c r="M1067" s="52"/>
      <c r="N1067" s="52" t="s">
        <v>70</v>
      </c>
      <c r="O1067" s="52"/>
      <c r="P1067" s="52"/>
      <c r="Q1067" s="52"/>
      <c r="R1067" s="51" t="b">
        <v>0</v>
      </c>
      <c r="S1067" s="51"/>
      <c r="T1067" s="52"/>
      <c r="U1067" s="51" t="b">
        <v>0</v>
      </c>
      <c r="V1067" s="51" t="b">
        <v>0</v>
      </c>
      <c r="W1067" s="51" t="b">
        <v>0</v>
      </c>
      <c r="X1067" s="51" t="b">
        <v>0</v>
      </c>
      <c r="Y1067" s="51" t="b">
        <v>0</v>
      </c>
      <c r="Z1067" s="51" t="b">
        <v>0</v>
      </c>
      <c r="AA1067" s="68"/>
      <c r="AB1067" s="52"/>
      <c r="AC1067" s="52"/>
      <c r="AD1067" s="52"/>
      <c r="AE1067" s="56"/>
      <c r="AF1067" s="56" t="s">
        <v>1944</v>
      </c>
    </row>
    <row r="1068">
      <c r="A1068" s="52" t="s">
        <v>3615</v>
      </c>
      <c r="B1068" s="52" t="s">
        <v>19</v>
      </c>
      <c r="C1068" s="52" t="s">
        <v>289</v>
      </c>
      <c r="D1068" s="65">
        <v>0.5933796296296298</v>
      </c>
      <c r="E1068" s="65">
        <v>2.314814814814815E-4</v>
      </c>
      <c r="F1068" s="65">
        <v>0.5936111111111112</v>
      </c>
      <c r="G1068" s="65" t="s">
        <v>1345</v>
      </c>
      <c r="H1068" s="52" t="s">
        <v>81</v>
      </c>
      <c r="I1068" s="52" t="s">
        <v>81</v>
      </c>
      <c r="J1068" s="52"/>
      <c r="K1068" s="52"/>
      <c r="L1068" s="52"/>
      <c r="M1068" s="52"/>
      <c r="N1068" s="52" t="s">
        <v>70</v>
      </c>
      <c r="O1068" s="52"/>
      <c r="P1068" s="52"/>
      <c r="Q1068" s="52"/>
      <c r="R1068" s="51" t="b">
        <v>0</v>
      </c>
      <c r="S1068" s="51"/>
      <c r="T1068" s="52"/>
      <c r="U1068" s="51" t="b">
        <v>0</v>
      </c>
      <c r="V1068" s="51" t="b">
        <v>0</v>
      </c>
      <c r="W1068" s="51" t="b">
        <v>0</v>
      </c>
      <c r="X1068" s="51" t="b">
        <v>0</v>
      </c>
      <c r="Y1068" s="51" t="b">
        <v>0</v>
      </c>
      <c r="Z1068" s="51" t="b">
        <v>0</v>
      </c>
      <c r="AA1068" s="68"/>
      <c r="AB1068" s="52"/>
      <c r="AC1068" s="52"/>
      <c r="AD1068" s="52"/>
      <c r="AE1068" s="56"/>
      <c r="AF1068" s="56" t="s">
        <v>1944</v>
      </c>
    </row>
    <row r="1069">
      <c r="A1069" s="52" t="s">
        <v>3619</v>
      </c>
      <c r="B1069" s="52" t="s">
        <v>19</v>
      </c>
      <c r="C1069" s="52" t="s">
        <v>289</v>
      </c>
      <c r="D1069" s="65">
        <v>0.5936111111111112</v>
      </c>
      <c r="E1069" s="65">
        <v>0.0021064814814814813</v>
      </c>
      <c r="F1069" s="65">
        <v>0.5957175925925927</v>
      </c>
      <c r="G1069" s="65" t="s">
        <v>1345</v>
      </c>
      <c r="H1069" s="52" t="s">
        <v>165</v>
      </c>
      <c r="I1069" s="52" t="s">
        <v>1413</v>
      </c>
      <c r="J1069" s="52" t="s">
        <v>1414</v>
      </c>
      <c r="K1069" s="52"/>
      <c r="L1069" s="52"/>
      <c r="M1069" s="52"/>
      <c r="N1069" s="52" t="s">
        <v>70</v>
      </c>
      <c r="O1069" s="52"/>
      <c r="P1069" s="69" t="s">
        <v>23</v>
      </c>
      <c r="Q1069" s="70" t="s">
        <v>3621</v>
      </c>
      <c r="R1069" s="51" t="b">
        <v>1</v>
      </c>
      <c r="S1069" s="52" t="s">
        <v>1413</v>
      </c>
      <c r="T1069" s="52"/>
      <c r="U1069" s="51" t="b">
        <v>0</v>
      </c>
      <c r="V1069" s="51" t="b">
        <v>1</v>
      </c>
      <c r="W1069" s="51" t="b">
        <v>1</v>
      </c>
      <c r="X1069" s="51" t="b">
        <v>0</v>
      </c>
      <c r="Y1069" s="51" t="b">
        <v>1</v>
      </c>
      <c r="Z1069" s="51" t="b">
        <v>0</v>
      </c>
      <c r="AA1069" s="108">
        <v>0.0021064814814814813</v>
      </c>
      <c r="AB1069" s="134" t="s">
        <v>3625</v>
      </c>
      <c r="AC1069" s="134"/>
      <c r="AD1069" s="76" t="s">
        <v>3627</v>
      </c>
      <c r="AE1069" s="74" t="s">
        <v>743</v>
      </c>
      <c r="AF1069" s="74" t="s">
        <v>630</v>
      </c>
    </row>
    <row r="1070">
      <c r="A1070" s="52" t="s">
        <v>3629</v>
      </c>
      <c r="B1070" s="52" t="s">
        <v>607</v>
      </c>
      <c r="C1070" s="52" t="s">
        <v>607</v>
      </c>
      <c r="D1070" s="65" t="s">
        <v>607</v>
      </c>
      <c r="E1070" s="65" t="s">
        <v>607</v>
      </c>
      <c r="F1070" s="65" t="s">
        <v>607</v>
      </c>
      <c r="G1070" s="65" t="s">
        <v>607</v>
      </c>
      <c r="H1070" s="52" t="s">
        <v>607</v>
      </c>
      <c r="I1070" s="52" t="s">
        <v>607</v>
      </c>
      <c r="J1070" s="52" t="s">
        <v>607</v>
      </c>
      <c r="K1070" s="52" t="s">
        <v>607</v>
      </c>
      <c r="L1070" s="52" t="s">
        <v>607</v>
      </c>
      <c r="M1070" s="52" t="s">
        <v>607</v>
      </c>
      <c r="N1070" s="52" t="s">
        <v>607</v>
      </c>
      <c r="O1070" s="52"/>
      <c r="P1070" s="52"/>
      <c r="Q1070" s="52"/>
      <c r="R1070" s="51" t="b">
        <v>0</v>
      </c>
      <c r="S1070" s="51"/>
      <c r="T1070" s="52"/>
      <c r="U1070" s="51" t="b">
        <v>0</v>
      </c>
      <c r="V1070" s="51" t="b">
        <v>0</v>
      </c>
      <c r="W1070" s="51" t="b">
        <v>0</v>
      </c>
      <c r="X1070" s="51" t="b">
        <v>0</v>
      </c>
      <c r="Y1070" s="51" t="b">
        <v>0</v>
      </c>
      <c r="Z1070" s="51" t="b">
        <v>0</v>
      </c>
      <c r="AA1070" s="68"/>
      <c r="AB1070" s="52"/>
      <c r="AC1070" s="52"/>
      <c r="AD1070" s="52"/>
      <c r="AE1070" s="56" t="s">
        <v>607</v>
      </c>
      <c r="AF1070" s="56" t="s">
        <v>607</v>
      </c>
    </row>
    <row r="1071">
      <c r="A1071" s="52" t="s">
        <v>3633</v>
      </c>
      <c r="B1071" s="52" t="s">
        <v>19</v>
      </c>
      <c r="C1071" s="52" t="s">
        <v>289</v>
      </c>
      <c r="D1071" s="65">
        <v>0.4675231481481482</v>
      </c>
      <c r="E1071" s="65">
        <v>3.4722222222222224E-4</v>
      </c>
      <c r="F1071" s="65">
        <v>0.46787037037037044</v>
      </c>
      <c r="G1071" s="65" t="s">
        <v>1345</v>
      </c>
      <c r="H1071" s="52" t="s">
        <v>506</v>
      </c>
      <c r="I1071" s="52" t="s">
        <v>1141</v>
      </c>
      <c r="J1071" s="52"/>
      <c r="K1071" s="52"/>
      <c r="L1071" s="52"/>
      <c r="M1071" s="52"/>
      <c r="N1071" s="52" t="s">
        <v>70</v>
      </c>
      <c r="O1071" s="52"/>
      <c r="P1071" s="52"/>
      <c r="Q1071" s="52"/>
      <c r="R1071" s="51" t="b">
        <v>0</v>
      </c>
      <c r="S1071" s="51"/>
      <c r="T1071" s="52"/>
      <c r="U1071" s="51" t="b">
        <v>0</v>
      </c>
      <c r="V1071" s="51" t="b">
        <v>0</v>
      </c>
      <c r="W1071" s="51" t="b">
        <v>0</v>
      </c>
      <c r="X1071" s="51" t="b">
        <v>0</v>
      </c>
      <c r="Y1071" s="51" t="b">
        <v>0</v>
      </c>
      <c r="Z1071" s="51" t="b">
        <v>0</v>
      </c>
      <c r="AA1071" s="68"/>
      <c r="AB1071" s="52"/>
      <c r="AC1071" s="52"/>
      <c r="AD1071" s="52"/>
      <c r="AE1071" s="56"/>
      <c r="AF1071" s="56" t="s">
        <v>1215</v>
      </c>
    </row>
    <row r="1072">
      <c r="A1072" s="52" t="s">
        <v>3635</v>
      </c>
      <c r="B1072" s="52" t="s">
        <v>19</v>
      </c>
      <c r="C1072" s="52" t="s">
        <v>289</v>
      </c>
      <c r="D1072" s="65">
        <v>0.5957175925925927</v>
      </c>
      <c r="E1072" s="65">
        <v>2.314814814814815E-4</v>
      </c>
      <c r="F1072" s="65">
        <v>0.5959490740740742</v>
      </c>
      <c r="G1072" s="65" t="s">
        <v>1345</v>
      </c>
      <c r="H1072" s="52" t="s">
        <v>81</v>
      </c>
      <c r="I1072" s="52" t="s">
        <v>81</v>
      </c>
      <c r="J1072" s="52"/>
      <c r="K1072" s="52"/>
      <c r="L1072" s="52"/>
      <c r="M1072" s="52"/>
      <c r="N1072" s="52" t="s">
        <v>70</v>
      </c>
      <c r="O1072" s="52"/>
      <c r="P1072" s="52"/>
      <c r="Q1072" s="52"/>
      <c r="R1072" s="51" t="b">
        <v>0</v>
      </c>
      <c r="S1072" s="51"/>
      <c r="T1072" s="52"/>
      <c r="U1072" s="51" t="b">
        <v>0</v>
      </c>
      <c r="V1072" s="51" t="b">
        <v>0</v>
      </c>
      <c r="W1072" s="51" t="b">
        <v>0</v>
      </c>
      <c r="X1072" s="51" t="b">
        <v>0</v>
      </c>
      <c r="Y1072" s="51" t="b">
        <v>0</v>
      </c>
      <c r="Z1072" s="51" t="b">
        <v>0</v>
      </c>
      <c r="AA1072" s="68"/>
      <c r="AB1072" s="52"/>
      <c r="AC1072" s="52"/>
      <c r="AD1072" s="52"/>
      <c r="AE1072" s="56"/>
      <c r="AF1072" s="56" t="s">
        <v>1944</v>
      </c>
    </row>
    <row r="1073">
      <c r="A1073" s="52" t="s">
        <v>3637</v>
      </c>
      <c r="B1073" s="52" t="s">
        <v>19</v>
      </c>
      <c r="C1073" s="52" t="s">
        <v>289</v>
      </c>
      <c r="D1073" s="65">
        <v>0.5959490740740742</v>
      </c>
      <c r="E1073" s="65">
        <v>0.005613425925925926</v>
      </c>
      <c r="F1073" s="65">
        <v>0.6015625000000001</v>
      </c>
      <c r="G1073" s="65" t="s">
        <v>1345</v>
      </c>
      <c r="H1073" s="52" t="s">
        <v>165</v>
      </c>
      <c r="I1073" s="52" t="s">
        <v>1416</v>
      </c>
      <c r="J1073" s="52" t="s">
        <v>1418</v>
      </c>
      <c r="K1073" s="52"/>
      <c r="L1073" s="52"/>
      <c r="M1073" s="52"/>
      <c r="N1073" s="52" t="s">
        <v>70</v>
      </c>
      <c r="O1073" s="69" t="s">
        <v>884</v>
      </c>
      <c r="P1073" s="69" t="s">
        <v>17</v>
      </c>
      <c r="Q1073" s="73" t="s">
        <v>3639</v>
      </c>
      <c r="R1073" s="51" t="b">
        <v>1</v>
      </c>
      <c r="S1073" s="52" t="s">
        <v>1416</v>
      </c>
      <c r="T1073" s="52"/>
      <c r="U1073" s="51" t="b">
        <v>0</v>
      </c>
      <c r="V1073" s="51" t="b">
        <v>1</v>
      </c>
      <c r="W1073" s="51" t="b">
        <v>1</v>
      </c>
      <c r="X1073" s="51" t="b">
        <v>1</v>
      </c>
      <c r="Y1073" s="51" t="b">
        <v>0</v>
      </c>
      <c r="Z1073" s="51" t="b">
        <v>0</v>
      </c>
      <c r="AA1073" s="71">
        <v>0.005601851851851852</v>
      </c>
      <c r="AB1073" s="69"/>
      <c r="AC1073" s="72"/>
      <c r="AD1073" s="73" t="s">
        <v>3644</v>
      </c>
      <c r="AE1073" s="74" t="s">
        <v>743</v>
      </c>
      <c r="AF1073" s="74" t="s">
        <v>1055</v>
      </c>
    </row>
    <row r="1074">
      <c r="A1074" s="52" t="s">
        <v>3647</v>
      </c>
      <c r="B1074" s="52" t="s">
        <v>607</v>
      </c>
      <c r="C1074" s="52" t="s">
        <v>607</v>
      </c>
      <c r="D1074" s="65" t="s">
        <v>607</v>
      </c>
      <c r="E1074" s="65" t="s">
        <v>607</v>
      </c>
      <c r="F1074" s="65" t="s">
        <v>607</v>
      </c>
      <c r="G1074" s="65" t="s">
        <v>607</v>
      </c>
      <c r="H1074" s="52" t="s">
        <v>607</v>
      </c>
      <c r="I1074" s="52" t="s">
        <v>607</v>
      </c>
      <c r="J1074" s="52" t="s">
        <v>607</v>
      </c>
      <c r="K1074" s="52" t="s">
        <v>607</v>
      </c>
      <c r="L1074" s="52" t="s">
        <v>607</v>
      </c>
      <c r="M1074" s="52" t="s">
        <v>607</v>
      </c>
      <c r="N1074" s="52" t="s">
        <v>607</v>
      </c>
      <c r="O1074" s="52"/>
      <c r="P1074" s="52"/>
      <c r="Q1074" s="52"/>
      <c r="R1074" s="51" t="b">
        <v>0</v>
      </c>
      <c r="S1074" s="51"/>
      <c r="T1074" s="52"/>
      <c r="U1074" s="51" t="b">
        <v>0</v>
      </c>
      <c r="V1074" s="51" t="b">
        <v>0</v>
      </c>
      <c r="W1074" s="51" t="b">
        <v>0</v>
      </c>
      <c r="X1074" s="51" t="b">
        <v>0</v>
      </c>
      <c r="Y1074" s="51" t="b">
        <v>0</v>
      </c>
      <c r="Z1074" s="51" t="b">
        <v>0</v>
      </c>
      <c r="AA1074" s="68"/>
      <c r="AB1074" s="52"/>
      <c r="AC1074" s="52"/>
      <c r="AD1074" s="52"/>
      <c r="AE1074" s="56" t="s">
        <v>607</v>
      </c>
      <c r="AF1074" s="56" t="s">
        <v>607</v>
      </c>
    </row>
    <row r="1075">
      <c r="A1075" s="52" t="s">
        <v>3650</v>
      </c>
      <c r="B1075" s="52" t="s">
        <v>19</v>
      </c>
      <c r="C1075" s="52" t="s">
        <v>289</v>
      </c>
      <c r="D1075" s="65">
        <v>0.6015625000000001</v>
      </c>
      <c r="E1075" s="65">
        <v>2.314814814814815E-4</v>
      </c>
      <c r="F1075" s="65">
        <v>0.6017939814814816</v>
      </c>
      <c r="G1075" s="65" t="s">
        <v>1345</v>
      </c>
      <c r="H1075" s="52" t="s">
        <v>81</v>
      </c>
      <c r="I1075" s="52" t="s">
        <v>81</v>
      </c>
      <c r="J1075" s="52"/>
      <c r="K1075" s="52"/>
      <c r="L1075" s="52"/>
      <c r="M1075" s="52"/>
      <c r="N1075" s="52" t="s">
        <v>70</v>
      </c>
      <c r="O1075" s="52"/>
      <c r="P1075" s="52"/>
      <c r="Q1075" s="52"/>
      <c r="R1075" s="51" t="b">
        <v>0</v>
      </c>
      <c r="S1075" s="51"/>
      <c r="T1075" s="52"/>
      <c r="U1075" s="51" t="b">
        <v>0</v>
      </c>
      <c r="V1075" s="51" t="b">
        <v>0</v>
      </c>
      <c r="W1075" s="51" t="b">
        <v>0</v>
      </c>
      <c r="X1075" s="51" t="b">
        <v>0</v>
      </c>
      <c r="Y1075" s="51" t="b">
        <v>0</v>
      </c>
      <c r="Z1075" s="51" t="b">
        <v>0</v>
      </c>
      <c r="AA1075" s="68"/>
      <c r="AB1075" s="52"/>
      <c r="AC1075" s="52"/>
      <c r="AD1075" s="52"/>
      <c r="AE1075" s="56"/>
      <c r="AF1075" s="56" t="s">
        <v>1944</v>
      </c>
    </row>
    <row r="1076">
      <c r="A1076" s="52" t="s">
        <v>3653</v>
      </c>
      <c r="B1076" s="52" t="s">
        <v>19</v>
      </c>
      <c r="C1076" s="52" t="s">
        <v>289</v>
      </c>
      <c r="D1076" s="65">
        <v>0.6017939814814816</v>
      </c>
      <c r="E1076" s="65">
        <v>0.007361111111111111</v>
      </c>
      <c r="F1076" s="65">
        <v>0.6091550925925927</v>
      </c>
      <c r="G1076" s="65" t="s">
        <v>1345</v>
      </c>
      <c r="H1076" s="52" t="s">
        <v>107</v>
      </c>
      <c r="I1076" s="52" t="s">
        <v>1421</v>
      </c>
      <c r="J1076" s="52" t="s">
        <v>1423</v>
      </c>
      <c r="K1076" s="52" t="s">
        <v>1424</v>
      </c>
      <c r="L1076" s="52"/>
      <c r="M1076" s="52"/>
      <c r="N1076" s="52" t="s">
        <v>1425</v>
      </c>
      <c r="O1076" s="52"/>
      <c r="P1076" s="69" t="s">
        <v>28</v>
      </c>
      <c r="Q1076" s="70" t="s">
        <v>3657</v>
      </c>
      <c r="R1076" s="51" t="b">
        <v>1</v>
      </c>
      <c r="S1076" s="52" t="s">
        <v>1421</v>
      </c>
      <c r="T1076" s="52"/>
      <c r="U1076" s="51" t="b">
        <v>0</v>
      </c>
      <c r="V1076" s="51" t="b">
        <v>1</v>
      </c>
      <c r="W1076" s="51" t="b">
        <v>1</v>
      </c>
      <c r="X1076" s="51" t="b">
        <v>0</v>
      </c>
      <c r="Y1076" s="51" t="b">
        <v>1</v>
      </c>
      <c r="Z1076" s="51" t="b">
        <v>0</v>
      </c>
      <c r="AA1076" s="71">
        <v>0.007361111111111111</v>
      </c>
      <c r="AB1076" s="69" t="s">
        <v>3660</v>
      </c>
      <c r="AC1076" s="69"/>
      <c r="AD1076" s="76" t="s">
        <v>3661</v>
      </c>
      <c r="AE1076" s="74" t="s">
        <v>743</v>
      </c>
      <c r="AF1076" s="74" t="s">
        <v>1055</v>
      </c>
    </row>
    <row r="1077">
      <c r="A1077" s="52" t="s">
        <v>3663</v>
      </c>
      <c r="B1077" s="52" t="s">
        <v>607</v>
      </c>
      <c r="C1077" s="52" t="s">
        <v>607</v>
      </c>
      <c r="D1077" s="65" t="s">
        <v>607</v>
      </c>
      <c r="E1077" s="65" t="s">
        <v>607</v>
      </c>
      <c r="F1077" s="65" t="s">
        <v>607</v>
      </c>
      <c r="G1077" s="65" t="s">
        <v>607</v>
      </c>
      <c r="H1077" s="52" t="s">
        <v>607</v>
      </c>
      <c r="I1077" s="52" t="s">
        <v>607</v>
      </c>
      <c r="J1077" s="52" t="s">
        <v>607</v>
      </c>
      <c r="K1077" s="52" t="s">
        <v>607</v>
      </c>
      <c r="L1077" s="52" t="s">
        <v>607</v>
      </c>
      <c r="M1077" s="52" t="s">
        <v>607</v>
      </c>
      <c r="N1077" s="52" t="s">
        <v>607</v>
      </c>
      <c r="O1077" s="52"/>
      <c r="P1077" s="52"/>
      <c r="Q1077" s="52"/>
      <c r="R1077" s="51" t="b">
        <v>0</v>
      </c>
      <c r="S1077" s="51"/>
      <c r="T1077" s="52"/>
      <c r="U1077" s="51" t="b">
        <v>0</v>
      </c>
      <c r="V1077" s="51" t="b">
        <v>0</v>
      </c>
      <c r="W1077" s="51" t="b">
        <v>0</v>
      </c>
      <c r="X1077" s="51" t="b">
        <v>0</v>
      </c>
      <c r="Y1077" s="51" t="b">
        <v>0</v>
      </c>
      <c r="Z1077" s="51" t="b">
        <v>0</v>
      </c>
      <c r="AA1077" s="68"/>
      <c r="AB1077" s="52"/>
      <c r="AC1077" s="52"/>
      <c r="AD1077" s="52"/>
      <c r="AE1077" s="56" t="s">
        <v>607</v>
      </c>
      <c r="AF1077" s="56" t="s">
        <v>607</v>
      </c>
    </row>
    <row r="1078">
      <c r="A1078" s="52" t="s">
        <v>3667</v>
      </c>
      <c r="B1078" s="52" t="s">
        <v>19</v>
      </c>
      <c r="C1078" s="52" t="s">
        <v>289</v>
      </c>
      <c r="D1078" s="65">
        <v>0.6091550925925927</v>
      </c>
      <c r="E1078" s="65">
        <v>2.314814814814815E-4</v>
      </c>
      <c r="F1078" s="65">
        <v>0.6093865740740741</v>
      </c>
      <c r="G1078" s="65" t="s">
        <v>1345</v>
      </c>
      <c r="H1078" s="52" t="s">
        <v>81</v>
      </c>
      <c r="I1078" s="52" t="s">
        <v>81</v>
      </c>
      <c r="J1078" s="52"/>
      <c r="K1078" s="52"/>
      <c r="L1078" s="52"/>
      <c r="M1078" s="52"/>
      <c r="N1078" s="52" t="s">
        <v>70</v>
      </c>
      <c r="O1078" s="52"/>
      <c r="P1078" s="52"/>
      <c r="Q1078" s="52"/>
      <c r="R1078" s="51" t="b">
        <v>0</v>
      </c>
      <c r="S1078" s="51"/>
      <c r="T1078" s="52"/>
      <c r="U1078" s="51" t="b">
        <v>0</v>
      </c>
      <c r="V1078" s="51" t="b">
        <v>0</v>
      </c>
      <c r="W1078" s="51" t="b">
        <v>0</v>
      </c>
      <c r="X1078" s="51" t="b">
        <v>0</v>
      </c>
      <c r="Y1078" s="51" t="b">
        <v>0</v>
      </c>
      <c r="Z1078" s="51" t="b">
        <v>0</v>
      </c>
      <c r="AA1078" s="68"/>
      <c r="AB1078" s="52"/>
      <c r="AC1078" s="52"/>
      <c r="AD1078" s="52"/>
      <c r="AE1078" s="56"/>
      <c r="AF1078" s="56" t="s">
        <v>1944</v>
      </c>
    </row>
    <row r="1079">
      <c r="A1079" s="52" t="s">
        <v>3670</v>
      </c>
      <c r="B1079" s="52" t="s">
        <v>19</v>
      </c>
      <c r="C1079" s="52" t="s">
        <v>289</v>
      </c>
      <c r="D1079" s="65">
        <v>0.6093865740740741</v>
      </c>
      <c r="E1079" s="65">
        <v>0.006944444444444444</v>
      </c>
      <c r="F1079" s="65">
        <v>0.6163310185185186</v>
      </c>
      <c r="G1079" s="65" t="s">
        <v>1345</v>
      </c>
      <c r="H1079" s="52" t="s">
        <v>165</v>
      </c>
      <c r="I1079" s="52" t="s">
        <v>1427</v>
      </c>
      <c r="J1079" s="52" t="s">
        <v>1428</v>
      </c>
      <c r="K1079" s="52"/>
      <c r="L1079" s="52"/>
      <c r="M1079" s="52"/>
      <c r="N1079" s="52" t="s">
        <v>70</v>
      </c>
      <c r="O1079" s="52"/>
      <c r="P1079" s="69"/>
      <c r="Q1079" s="52"/>
      <c r="R1079" s="51" t="b">
        <v>0</v>
      </c>
      <c r="S1079" s="51"/>
      <c r="T1079" s="52"/>
      <c r="U1079" s="51" t="b">
        <v>0</v>
      </c>
      <c r="V1079" s="51" t="b">
        <v>0</v>
      </c>
      <c r="W1079" s="51" t="b">
        <v>0</v>
      </c>
      <c r="X1079" s="51" t="b">
        <v>0</v>
      </c>
      <c r="Y1079" s="51" t="b">
        <v>0</v>
      </c>
      <c r="Z1079" s="51" t="b">
        <v>0</v>
      </c>
      <c r="AA1079" s="68"/>
      <c r="AB1079" s="52"/>
      <c r="AC1079" s="52"/>
      <c r="AD1079" s="52"/>
      <c r="AE1079" s="56" t="s">
        <v>610</v>
      </c>
      <c r="AF1079" s="56" t="s">
        <v>803</v>
      </c>
    </row>
    <row r="1080">
      <c r="A1080" s="52" t="s">
        <v>3674</v>
      </c>
      <c r="B1080" s="52" t="s">
        <v>607</v>
      </c>
      <c r="C1080" s="52" t="s">
        <v>607</v>
      </c>
      <c r="D1080" s="65" t="s">
        <v>607</v>
      </c>
      <c r="E1080" s="65" t="s">
        <v>607</v>
      </c>
      <c r="F1080" s="65" t="s">
        <v>607</v>
      </c>
      <c r="G1080" s="65" t="s">
        <v>607</v>
      </c>
      <c r="H1080" s="52" t="s">
        <v>607</v>
      </c>
      <c r="I1080" s="52" t="s">
        <v>607</v>
      </c>
      <c r="J1080" s="52" t="s">
        <v>607</v>
      </c>
      <c r="K1080" s="52" t="s">
        <v>607</v>
      </c>
      <c r="L1080" s="52" t="s">
        <v>607</v>
      </c>
      <c r="M1080" s="52" t="s">
        <v>607</v>
      </c>
      <c r="N1080" s="52" t="s">
        <v>607</v>
      </c>
      <c r="O1080" s="52"/>
      <c r="P1080" s="52"/>
      <c r="Q1080" s="52"/>
      <c r="R1080" s="51" t="b">
        <v>0</v>
      </c>
      <c r="S1080" s="51"/>
      <c r="T1080" s="52"/>
      <c r="U1080" s="51" t="b">
        <v>0</v>
      </c>
      <c r="V1080" s="51" t="b">
        <v>0</v>
      </c>
      <c r="W1080" s="51" t="b">
        <v>0</v>
      </c>
      <c r="X1080" s="51" t="b">
        <v>0</v>
      </c>
      <c r="Y1080" s="51" t="b">
        <v>0</v>
      </c>
      <c r="Z1080" s="51" t="b">
        <v>0</v>
      </c>
      <c r="AA1080" s="68"/>
      <c r="AB1080" s="52"/>
      <c r="AC1080" s="52"/>
      <c r="AD1080" s="52"/>
      <c r="AE1080" s="56" t="s">
        <v>607</v>
      </c>
      <c r="AF1080" s="56" t="s">
        <v>607</v>
      </c>
    </row>
    <row r="1081">
      <c r="A1081" s="52" t="s">
        <v>3678</v>
      </c>
      <c r="B1081" s="52" t="s">
        <v>19</v>
      </c>
      <c r="C1081" s="52" t="s">
        <v>289</v>
      </c>
      <c r="D1081" s="65">
        <v>0.6163310185185186</v>
      </c>
      <c r="E1081" s="65">
        <v>2.314814814814815E-4</v>
      </c>
      <c r="F1081" s="65">
        <v>0.6165625</v>
      </c>
      <c r="G1081" s="65" t="s">
        <v>1345</v>
      </c>
      <c r="H1081" s="52" t="s">
        <v>81</v>
      </c>
      <c r="I1081" s="52" t="s">
        <v>81</v>
      </c>
      <c r="J1081" s="52"/>
      <c r="K1081" s="52"/>
      <c r="L1081" s="52"/>
      <c r="M1081" s="52"/>
      <c r="N1081" s="52" t="s">
        <v>70</v>
      </c>
      <c r="O1081" s="52"/>
      <c r="P1081" s="52"/>
      <c r="Q1081" s="52"/>
      <c r="R1081" s="51" t="b">
        <v>0</v>
      </c>
      <c r="S1081" s="51"/>
      <c r="T1081" s="52"/>
      <c r="U1081" s="51" t="b">
        <v>0</v>
      </c>
      <c r="V1081" s="51" t="b">
        <v>0</v>
      </c>
      <c r="W1081" s="51" t="b">
        <v>0</v>
      </c>
      <c r="X1081" s="51" t="b">
        <v>0</v>
      </c>
      <c r="Y1081" s="51" t="b">
        <v>0</v>
      </c>
      <c r="Z1081" s="51" t="b">
        <v>0</v>
      </c>
      <c r="AA1081" s="68"/>
      <c r="AB1081" s="52"/>
      <c r="AC1081" s="52"/>
      <c r="AD1081" s="52"/>
      <c r="AE1081" s="56"/>
      <c r="AF1081" s="56" t="s">
        <v>1944</v>
      </c>
    </row>
    <row r="1082">
      <c r="A1082" s="52" t="s">
        <v>3680</v>
      </c>
      <c r="B1082" s="52" t="s">
        <v>19</v>
      </c>
      <c r="C1082" s="52" t="s">
        <v>289</v>
      </c>
      <c r="D1082" s="65">
        <v>0.6165625</v>
      </c>
      <c r="E1082" s="65">
        <v>0.007523148148148148</v>
      </c>
      <c r="F1082" s="65">
        <v>0.6240856481481482</v>
      </c>
      <c r="G1082" s="65" t="s">
        <v>1345</v>
      </c>
      <c r="H1082" s="52" t="s">
        <v>94</v>
      </c>
      <c r="I1082" s="52" t="s">
        <v>1431</v>
      </c>
      <c r="J1082" s="52" t="s">
        <v>1432</v>
      </c>
      <c r="K1082" s="52"/>
      <c r="L1082" s="52"/>
      <c r="M1082" s="52"/>
      <c r="N1082" s="52" t="s">
        <v>1433</v>
      </c>
      <c r="O1082" s="69" t="s">
        <v>618</v>
      </c>
      <c r="P1082" s="69" t="s">
        <v>30</v>
      </c>
      <c r="Q1082" s="73" t="s">
        <v>3683</v>
      </c>
      <c r="R1082" s="51" t="b">
        <v>1</v>
      </c>
      <c r="S1082" s="52" t="s">
        <v>1431</v>
      </c>
      <c r="T1082" s="52"/>
      <c r="U1082" s="51" t="b">
        <v>0</v>
      </c>
      <c r="V1082" s="51" t="b">
        <v>1</v>
      </c>
      <c r="W1082" s="51" t="b">
        <v>1</v>
      </c>
      <c r="X1082" s="51" t="b">
        <v>1</v>
      </c>
      <c r="Y1082" s="51" t="b">
        <v>0</v>
      </c>
      <c r="Z1082" s="51" t="b">
        <v>0</v>
      </c>
      <c r="AA1082" s="71">
        <v>0.0075</v>
      </c>
      <c r="AB1082" s="69" t="s">
        <v>3687</v>
      </c>
      <c r="AC1082" s="72"/>
      <c r="AD1082" s="208" t="s">
        <v>3689</v>
      </c>
      <c r="AE1082" s="74" t="s">
        <v>629</v>
      </c>
      <c r="AF1082" s="74" t="s">
        <v>1055</v>
      </c>
    </row>
    <row r="1083">
      <c r="A1083" s="52" t="s">
        <v>3690</v>
      </c>
      <c r="B1083" s="52" t="s">
        <v>607</v>
      </c>
      <c r="C1083" s="52" t="s">
        <v>607</v>
      </c>
      <c r="D1083" s="65" t="s">
        <v>607</v>
      </c>
      <c r="E1083" s="65" t="s">
        <v>607</v>
      </c>
      <c r="F1083" s="65" t="s">
        <v>607</v>
      </c>
      <c r="G1083" s="65" t="s">
        <v>607</v>
      </c>
      <c r="H1083" s="52" t="s">
        <v>607</v>
      </c>
      <c r="I1083" s="52" t="s">
        <v>607</v>
      </c>
      <c r="J1083" s="52" t="s">
        <v>607</v>
      </c>
      <c r="K1083" s="52" t="s">
        <v>607</v>
      </c>
      <c r="L1083" s="52" t="s">
        <v>607</v>
      </c>
      <c r="M1083" s="52" t="s">
        <v>607</v>
      </c>
      <c r="N1083" s="52" t="s">
        <v>607</v>
      </c>
      <c r="O1083" s="52"/>
      <c r="P1083" s="52"/>
      <c r="Q1083" s="52"/>
      <c r="R1083" s="51" t="b">
        <v>0</v>
      </c>
      <c r="S1083" s="51"/>
      <c r="T1083" s="52"/>
      <c r="U1083" s="51" t="b">
        <v>0</v>
      </c>
      <c r="V1083" s="51" t="b">
        <v>0</v>
      </c>
      <c r="W1083" s="51" t="b">
        <v>0</v>
      </c>
      <c r="X1083" s="51" t="b">
        <v>0</v>
      </c>
      <c r="Y1083" s="51" t="b">
        <v>0</v>
      </c>
      <c r="Z1083" s="51" t="b">
        <v>0</v>
      </c>
      <c r="AA1083" s="68"/>
      <c r="AB1083" s="52"/>
      <c r="AC1083" s="52"/>
      <c r="AD1083" s="52"/>
      <c r="AE1083" s="56" t="s">
        <v>607</v>
      </c>
      <c r="AF1083" s="56" t="s">
        <v>607</v>
      </c>
    </row>
    <row r="1084">
      <c r="A1084" s="52" t="s">
        <v>3693</v>
      </c>
      <c r="B1084" s="52" t="s">
        <v>19</v>
      </c>
      <c r="C1084" s="52" t="s">
        <v>289</v>
      </c>
      <c r="D1084" s="65">
        <v>0.6642361111111111</v>
      </c>
      <c r="E1084" s="65">
        <v>2.314814814814815E-4</v>
      </c>
      <c r="F1084" s="65">
        <v>0.6644675925925926</v>
      </c>
      <c r="G1084" s="65" t="s">
        <v>446</v>
      </c>
      <c r="H1084" s="52" t="s">
        <v>81</v>
      </c>
      <c r="I1084" s="52" t="s">
        <v>81</v>
      </c>
      <c r="J1084" s="52"/>
      <c r="K1084" s="52"/>
      <c r="L1084" s="52"/>
      <c r="M1084" s="52"/>
      <c r="N1084" s="52" t="s">
        <v>70</v>
      </c>
      <c r="O1084" s="52"/>
      <c r="P1084" s="52"/>
      <c r="Q1084" s="52"/>
      <c r="R1084" s="51" t="b">
        <v>0</v>
      </c>
      <c r="S1084" s="51"/>
      <c r="T1084" s="52"/>
      <c r="U1084" s="51" t="b">
        <v>0</v>
      </c>
      <c r="V1084" s="51" t="b">
        <v>0</v>
      </c>
      <c r="W1084" s="51" t="b">
        <v>0</v>
      </c>
      <c r="X1084" s="51" t="b">
        <v>0</v>
      </c>
      <c r="Y1084" s="51" t="b">
        <v>0</v>
      </c>
      <c r="Z1084" s="51" t="b">
        <v>0</v>
      </c>
      <c r="AA1084" s="68"/>
      <c r="AB1084" s="52"/>
      <c r="AC1084" s="52"/>
      <c r="AD1084" s="52"/>
      <c r="AE1084" s="56"/>
      <c r="AF1084" s="56" t="s">
        <v>1944</v>
      </c>
    </row>
    <row r="1085">
      <c r="A1085" s="52" t="s">
        <v>3697</v>
      </c>
      <c r="B1085" s="52" t="s">
        <v>19</v>
      </c>
      <c r="C1085" s="52" t="s">
        <v>289</v>
      </c>
      <c r="D1085" s="65">
        <v>0.6644675925925926</v>
      </c>
      <c r="E1085" s="65">
        <v>0.001990740740740741</v>
      </c>
      <c r="F1085" s="65">
        <v>0.6664583333333334</v>
      </c>
      <c r="G1085" s="65" t="s">
        <v>446</v>
      </c>
      <c r="H1085" s="52" t="s">
        <v>165</v>
      </c>
      <c r="I1085" s="52" t="s">
        <v>1464</v>
      </c>
      <c r="J1085" s="52" t="s">
        <v>1465</v>
      </c>
      <c r="K1085" s="52"/>
      <c r="L1085" s="52"/>
      <c r="M1085" s="52"/>
      <c r="N1085" s="52" t="s">
        <v>70</v>
      </c>
      <c r="O1085" s="69" t="s">
        <v>884</v>
      </c>
      <c r="P1085" s="69" t="s">
        <v>30</v>
      </c>
      <c r="Q1085" s="73" t="s">
        <v>3699</v>
      </c>
      <c r="R1085" s="51" t="b">
        <v>1</v>
      </c>
      <c r="S1085" s="52" t="s">
        <v>1464</v>
      </c>
      <c r="T1085" s="52"/>
      <c r="U1085" s="51" t="b">
        <v>0</v>
      </c>
      <c r="V1085" s="51" t="b">
        <v>1</v>
      </c>
      <c r="W1085" s="51" t="b">
        <v>1</v>
      </c>
      <c r="X1085" s="51" t="b">
        <v>1</v>
      </c>
      <c r="Y1085" s="51" t="b">
        <v>1</v>
      </c>
      <c r="Z1085" s="51" t="b">
        <v>0</v>
      </c>
      <c r="AA1085" s="71">
        <v>0.001990740740740741</v>
      </c>
      <c r="AB1085" s="69" t="s">
        <v>3701</v>
      </c>
      <c r="AC1085" s="72"/>
      <c r="AD1085" s="73" t="s">
        <v>3703</v>
      </c>
      <c r="AE1085" s="74" t="s">
        <v>743</v>
      </c>
      <c r="AF1085" s="74" t="s">
        <v>630</v>
      </c>
    </row>
    <row r="1086">
      <c r="A1086" s="52" t="s">
        <v>3705</v>
      </c>
      <c r="B1086" s="52" t="s">
        <v>607</v>
      </c>
      <c r="C1086" s="52" t="s">
        <v>607</v>
      </c>
      <c r="D1086" s="65" t="s">
        <v>607</v>
      </c>
      <c r="E1086" s="65" t="s">
        <v>607</v>
      </c>
      <c r="F1086" s="65" t="s">
        <v>607</v>
      </c>
      <c r="G1086" s="65" t="s">
        <v>607</v>
      </c>
      <c r="H1086" s="52" t="s">
        <v>607</v>
      </c>
      <c r="I1086" s="52" t="s">
        <v>607</v>
      </c>
      <c r="J1086" s="52" t="s">
        <v>607</v>
      </c>
      <c r="K1086" s="52" t="s">
        <v>607</v>
      </c>
      <c r="L1086" s="52" t="s">
        <v>607</v>
      </c>
      <c r="M1086" s="52" t="s">
        <v>607</v>
      </c>
      <c r="N1086" s="52" t="s">
        <v>607</v>
      </c>
      <c r="O1086" s="52"/>
      <c r="P1086" s="52"/>
      <c r="Q1086" s="52"/>
      <c r="R1086" s="51" t="b">
        <v>0</v>
      </c>
      <c r="S1086" s="51"/>
      <c r="T1086" s="52"/>
      <c r="U1086" s="51" t="b">
        <v>0</v>
      </c>
      <c r="V1086" s="51" t="b">
        <v>0</v>
      </c>
      <c r="W1086" s="51" t="b">
        <v>0</v>
      </c>
      <c r="X1086" s="51" t="b">
        <v>0</v>
      </c>
      <c r="Y1086" s="51" t="b">
        <v>0</v>
      </c>
      <c r="Z1086" s="51" t="b">
        <v>0</v>
      </c>
      <c r="AA1086" s="68"/>
      <c r="AB1086" s="52"/>
      <c r="AC1086" s="52"/>
      <c r="AD1086" s="52"/>
      <c r="AE1086" s="56" t="s">
        <v>607</v>
      </c>
      <c r="AF1086" s="56" t="s">
        <v>607</v>
      </c>
    </row>
    <row r="1087">
      <c r="A1087" s="52" t="s">
        <v>3709</v>
      </c>
      <c r="B1087" s="52" t="s">
        <v>19</v>
      </c>
      <c r="C1087" s="52" t="s">
        <v>289</v>
      </c>
      <c r="D1087" s="65">
        <v>0.625</v>
      </c>
      <c r="E1087" s="65">
        <v>3.4722222222222224E-4</v>
      </c>
      <c r="F1087" s="65">
        <v>0.6253472222222223</v>
      </c>
      <c r="G1087" s="65" t="s">
        <v>446</v>
      </c>
      <c r="H1087" s="52" t="s">
        <v>81</v>
      </c>
      <c r="I1087" s="52" t="s">
        <v>81</v>
      </c>
      <c r="J1087" s="52"/>
      <c r="K1087" s="52"/>
      <c r="L1087" s="52"/>
      <c r="M1087" s="52"/>
      <c r="N1087" s="52" t="s">
        <v>70</v>
      </c>
      <c r="O1087" s="52"/>
      <c r="P1087" s="52"/>
      <c r="Q1087" s="52"/>
      <c r="R1087" s="51" t="b">
        <v>0</v>
      </c>
      <c r="S1087" s="51"/>
      <c r="T1087" s="52"/>
      <c r="U1087" s="51" t="b">
        <v>0</v>
      </c>
      <c r="V1087" s="51" t="b">
        <v>0</v>
      </c>
      <c r="W1087" s="51" t="b">
        <v>0</v>
      </c>
      <c r="X1087" s="51" t="b">
        <v>0</v>
      </c>
      <c r="Y1087" s="51" t="b">
        <v>0</v>
      </c>
      <c r="Z1087" s="51" t="b">
        <v>0</v>
      </c>
      <c r="AA1087" s="68"/>
      <c r="AB1087" s="52"/>
      <c r="AC1087" s="52"/>
      <c r="AD1087" s="52"/>
      <c r="AE1087" s="56"/>
      <c r="AF1087" s="56" t="s">
        <v>1944</v>
      </c>
    </row>
    <row r="1088">
      <c r="A1088" s="52" t="s">
        <v>3712</v>
      </c>
      <c r="B1088" s="52" t="s">
        <v>19</v>
      </c>
      <c r="C1088" s="52" t="s">
        <v>289</v>
      </c>
      <c r="D1088" s="65">
        <v>0.6253472222222223</v>
      </c>
      <c r="E1088" s="65">
        <v>0.010590277777777778</v>
      </c>
      <c r="F1088" s="65">
        <v>0.6359375</v>
      </c>
      <c r="G1088" s="65" t="s">
        <v>446</v>
      </c>
      <c r="H1088" s="52" t="s">
        <v>94</v>
      </c>
      <c r="I1088" s="52" t="s">
        <v>1437</v>
      </c>
      <c r="J1088" s="52" t="s">
        <v>1439</v>
      </c>
      <c r="K1088" s="52"/>
      <c r="L1088" s="52"/>
      <c r="M1088" s="52"/>
      <c r="N1088" s="52" t="s">
        <v>1441</v>
      </c>
      <c r="O1088" s="52"/>
      <c r="P1088" s="69"/>
      <c r="Q1088" s="80" t="s">
        <v>3714</v>
      </c>
      <c r="R1088" s="51" t="b">
        <v>0</v>
      </c>
      <c r="S1088" s="52" t="s">
        <v>1437</v>
      </c>
      <c r="T1088" s="52"/>
      <c r="U1088" s="51" t="b">
        <v>0</v>
      </c>
      <c r="V1088" s="51" t="b">
        <v>0</v>
      </c>
      <c r="W1088" s="51" t="b">
        <v>0</v>
      </c>
      <c r="X1088" s="51" t="b">
        <v>0</v>
      </c>
      <c r="Y1088" s="51" t="b">
        <v>0</v>
      </c>
      <c r="Z1088" s="51" t="b">
        <v>0</v>
      </c>
      <c r="AA1088" s="68"/>
      <c r="AB1088" s="52"/>
      <c r="AC1088" s="52"/>
      <c r="AD1088" s="52"/>
      <c r="AE1088" s="56" t="s">
        <v>629</v>
      </c>
      <c r="AF1088" s="56" t="s">
        <v>847</v>
      </c>
    </row>
    <row r="1089">
      <c r="A1089" s="52" t="s">
        <v>3717</v>
      </c>
      <c r="B1089" s="52" t="s">
        <v>607</v>
      </c>
      <c r="C1089" s="52" t="s">
        <v>607</v>
      </c>
      <c r="D1089" s="65" t="s">
        <v>607</v>
      </c>
      <c r="E1089" s="65" t="s">
        <v>607</v>
      </c>
      <c r="F1089" s="65" t="s">
        <v>607</v>
      </c>
      <c r="G1089" s="65" t="s">
        <v>607</v>
      </c>
      <c r="H1089" s="52" t="s">
        <v>607</v>
      </c>
      <c r="I1089" s="52" t="s">
        <v>607</v>
      </c>
      <c r="J1089" s="52" t="s">
        <v>607</v>
      </c>
      <c r="K1089" s="52" t="s">
        <v>607</v>
      </c>
      <c r="L1089" s="52" t="s">
        <v>607</v>
      </c>
      <c r="M1089" s="52" t="s">
        <v>607</v>
      </c>
      <c r="N1089" s="52" t="s">
        <v>607</v>
      </c>
      <c r="O1089" s="52"/>
      <c r="P1089" s="52"/>
      <c r="Q1089" s="52"/>
      <c r="R1089" s="51" t="b">
        <v>0</v>
      </c>
      <c r="S1089" s="51"/>
      <c r="T1089" s="52"/>
      <c r="U1089" s="51" t="b">
        <v>0</v>
      </c>
      <c r="V1089" s="51" t="b">
        <v>0</v>
      </c>
      <c r="W1089" s="51" t="b">
        <v>0</v>
      </c>
      <c r="X1089" s="51" t="b">
        <v>0</v>
      </c>
      <c r="Y1089" s="51" t="b">
        <v>0</v>
      </c>
      <c r="Z1089" s="51" t="b">
        <v>0</v>
      </c>
      <c r="AA1089" s="68"/>
      <c r="AB1089" s="52"/>
      <c r="AC1089" s="52"/>
      <c r="AD1089" s="52"/>
      <c r="AE1089" s="56" t="s">
        <v>607</v>
      </c>
      <c r="AF1089" s="56" t="s">
        <v>607</v>
      </c>
    </row>
    <row r="1090">
      <c r="A1090" s="52" t="s">
        <v>3722</v>
      </c>
      <c r="B1090" s="52" t="s">
        <v>19</v>
      </c>
      <c r="C1090" s="52" t="s">
        <v>289</v>
      </c>
      <c r="D1090" s="65">
        <v>0.6361111111111112</v>
      </c>
      <c r="E1090" s="65">
        <v>2.314814814814815E-4</v>
      </c>
      <c r="F1090" s="65">
        <v>0.6363425925925926</v>
      </c>
      <c r="G1090" s="65" t="s">
        <v>446</v>
      </c>
      <c r="H1090" s="52" t="s">
        <v>81</v>
      </c>
      <c r="I1090" s="52" t="s">
        <v>81</v>
      </c>
      <c r="J1090" s="52"/>
      <c r="K1090" s="52"/>
      <c r="L1090" s="52"/>
      <c r="M1090" s="52"/>
      <c r="N1090" s="52" t="s">
        <v>70</v>
      </c>
      <c r="O1090" s="52"/>
      <c r="P1090" s="52"/>
      <c r="Q1090" s="52"/>
      <c r="R1090" s="51" t="b">
        <v>0</v>
      </c>
      <c r="S1090" s="51"/>
      <c r="T1090" s="52"/>
      <c r="U1090" s="51" t="b">
        <v>0</v>
      </c>
      <c r="V1090" s="51" t="b">
        <v>0</v>
      </c>
      <c r="W1090" s="51" t="b">
        <v>0</v>
      </c>
      <c r="X1090" s="51" t="b">
        <v>0</v>
      </c>
      <c r="Y1090" s="51" t="b">
        <v>0</v>
      </c>
      <c r="Z1090" s="51" t="b">
        <v>0</v>
      </c>
      <c r="AA1090" s="68"/>
      <c r="AB1090" s="52"/>
      <c r="AC1090" s="52"/>
      <c r="AD1090" s="52"/>
      <c r="AE1090" s="56"/>
      <c r="AF1090" s="56" t="s">
        <v>1944</v>
      </c>
    </row>
    <row r="1091">
      <c r="A1091" s="52" t="s">
        <v>3725</v>
      </c>
      <c r="B1091" s="52" t="s">
        <v>19</v>
      </c>
      <c r="C1091" s="52" t="s">
        <v>289</v>
      </c>
      <c r="D1091" s="65">
        <v>0.6363425925925926</v>
      </c>
      <c r="E1091" s="65">
        <v>0.013888888888888888</v>
      </c>
      <c r="F1091" s="65">
        <v>0.6502314814814815</v>
      </c>
      <c r="G1091" s="65" t="s">
        <v>446</v>
      </c>
      <c r="H1091" s="52" t="s">
        <v>107</v>
      </c>
      <c r="I1091" s="52" t="s">
        <v>1447</v>
      </c>
      <c r="J1091" s="52" t="s">
        <v>1448</v>
      </c>
      <c r="K1091" s="52" t="s">
        <v>1449</v>
      </c>
      <c r="L1091" s="52"/>
      <c r="M1091" s="52"/>
      <c r="N1091" s="52" t="s">
        <v>733</v>
      </c>
      <c r="O1091" s="69" t="s">
        <v>734</v>
      </c>
      <c r="P1091" s="69" t="s">
        <v>20</v>
      </c>
      <c r="Q1091" s="80" t="s">
        <v>3727</v>
      </c>
      <c r="R1091" s="51" t="b">
        <v>1</v>
      </c>
      <c r="S1091" s="52" t="s">
        <v>1447</v>
      </c>
      <c r="T1091" s="52"/>
      <c r="U1091" s="51" t="b">
        <v>0</v>
      </c>
      <c r="V1091" s="51" t="b">
        <v>1</v>
      </c>
      <c r="W1091" s="51" t="b">
        <v>1</v>
      </c>
      <c r="X1091" s="51" t="b">
        <v>0</v>
      </c>
      <c r="Y1091" s="51" t="b">
        <v>0</v>
      </c>
      <c r="Z1091" s="51" t="b">
        <v>0</v>
      </c>
      <c r="AA1091" s="71">
        <v>0.013888888888888888</v>
      </c>
      <c r="AB1091" s="69" t="s">
        <v>3733</v>
      </c>
      <c r="AC1091" s="52"/>
      <c r="AD1091" s="73" t="s">
        <v>3734</v>
      </c>
      <c r="AE1091" s="56" t="s">
        <v>629</v>
      </c>
      <c r="AF1091" s="56" t="s">
        <v>847</v>
      </c>
    </row>
    <row r="1092">
      <c r="A1092" s="52" t="s">
        <v>3736</v>
      </c>
      <c r="B1092" s="52" t="s">
        <v>607</v>
      </c>
      <c r="C1092" s="52" t="s">
        <v>607</v>
      </c>
      <c r="D1092" s="65" t="s">
        <v>607</v>
      </c>
      <c r="E1092" s="65" t="s">
        <v>607</v>
      </c>
      <c r="F1092" s="65" t="s">
        <v>607</v>
      </c>
      <c r="G1092" s="65" t="s">
        <v>607</v>
      </c>
      <c r="H1092" s="52" t="s">
        <v>607</v>
      </c>
      <c r="I1092" s="52" t="s">
        <v>607</v>
      </c>
      <c r="J1092" s="52" t="s">
        <v>607</v>
      </c>
      <c r="K1092" s="52" t="s">
        <v>607</v>
      </c>
      <c r="L1092" s="52" t="s">
        <v>607</v>
      </c>
      <c r="M1092" s="52" t="s">
        <v>607</v>
      </c>
      <c r="N1092" s="52" t="s">
        <v>607</v>
      </c>
      <c r="O1092" s="52"/>
      <c r="P1092" s="52"/>
      <c r="Q1092" s="52"/>
      <c r="R1092" s="51" t="b">
        <v>0</v>
      </c>
      <c r="S1092" s="51"/>
      <c r="T1092" s="52"/>
      <c r="U1092" s="51" t="b">
        <v>0</v>
      </c>
      <c r="V1092" s="51" t="b">
        <v>0</v>
      </c>
      <c r="W1092" s="51" t="b">
        <v>0</v>
      </c>
      <c r="X1092" s="51" t="b">
        <v>0</v>
      </c>
      <c r="Y1092" s="51" t="b">
        <v>0</v>
      </c>
      <c r="Z1092" s="51" t="b">
        <v>0</v>
      </c>
      <c r="AA1092" s="68"/>
      <c r="AB1092" s="52"/>
      <c r="AC1092" s="52"/>
      <c r="AD1092" s="52"/>
      <c r="AE1092" s="56" t="s">
        <v>607</v>
      </c>
      <c r="AF1092" s="56" t="s">
        <v>607</v>
      </c>
    </row>
    <row r="1093">
      <c r="A1093" s="52" t="s">
        <v>3740</v>
      </c>
      <c r="B1093" s="52" t="s">
        <v>785</v>
      </c>
      <c r="C1093" s="52" t="s">
        <v>289</v>
      </c>
      <c r="D1093" s="65">
        <v>0.5801967592592592</v>
      </c>
      <c r="E1093" s="65">
        <v>3.4722222222222224E-4</v>
      </c>
      <c r="F1093" s="65">
        <v>0.5805439814814815</v>
      </c>
      <c r="G1093" s="65" t="s">
        <v>446</v>
      </c>
      <c r="H1093" s="52" t="s">
        <v>81</v>
      </c>
      <c r="I1093" s="52" t="s">
        <v>81</v>
      </c>
      <c r="J1093" s="52"/>
      <c r="K1093" s="52"/>
      <c r="L1093" s="52"/>
      <c r="M1093" s="52"/>
      <c r="N1093" s="52" t="s">
        <v>70</v>
      </c>
      <c r="O1093" s="52"/>
      <c r="P1093" s="52"/>
      <c r="Q1093" s="52"/>
      <c r="R1093" s="51" t="b">
        <v>0</v>
      </c>
      <c r="S1093" s="51"/>
      <c r="T1093" s="52"/>
      <c r="U1093" s="51" t="b">
        <v>0</v>
      </c>
      <c r="V1093" s="51" t="b">
        <v>0</v>
      </c>
      <c r="W1093" s="51" t="b">
        <v>0</v>
      </c>
      <c r="X1093" s="51" t="b">
        <v>0</v>
      </c>
      <c r="Y1093" s="51" t="b">
        <v>0</v>
      </c>
      <c r="Z1093" s="51" t="b">
        <v>0</v>
      </c>
      <c r="AA1093" s="68"/>
      <c r="AB1093" s="52"/>
      <c r="AC1093" s="52"/>
      <c r="AD1093" s="52"/>
      <c r="AE1093" s="56"/>
      <c r="AF1093" s="56" t="s">
        <v>1944</v>
      </c>
    </row>
    <row r="1094">
      <c r="A1094" s="52" t="s">
        <v>3742</v>
      </c>
      <c r="B1094" s="52" t="s">
        <v>785</v>
      </c>
      <c r="C1094" s="52" t="s">
        <v>289</v>
      </c>
      <c r="D1094" s="65">
        <v>0.5805439814814815</v>
      </c>
      <c r="E1094" s="65">
        <v>0.0020833333333333333</v>
      </c>
      <c r="F1094" s="65">
        <v>0.5826273148148148</v>
      </c>
      <c r="G1094" s="65" t="s">
        <v>446</v>
      </c>
      <c r="H1094" s="52" t="s">
        <v>165</v>
      </c>
      <c r="I1094" s="52" t="s">
        <v>1750</v>
      </c>
      <c r="J1094" s="52" t="s">
        <v>1751</v>
      </c>
      <c r="K1094" s="52"/>
      <c r="L1094" s="52"/>
      <c r="M1094" s="52"/>
      <c r="N1094" s="52" t="s">
        <v>70</v>
      </c>
      <c r="O1094" s="69" t="s">
        <v>884</v>
      </c>
      <c r="P1094" s="69" t="s">
        <v>30</v>
      </c>
      <c r="Q1094" s="73" t="s">
        <v>3745</v>
      </c>
      <c r="R1094" s="51" t="b">
        <v>1</v>
      </c>
      <c r="S1094" s="52" t="s">
        <v>3746</v>
      </c>
      <c r="T1094" s="52"/>
      <c r="U1094" s="51" t="b">
        <v>0</v>
      </c>
      <c r="V1094" s="51" t="b">
        <v>1</v>
      </c>
      <c r="W1094" s="51" t="b">
        <v>1</v>
      </c>
      <c r="X1094" s="51" t="b">
        <v>1</v>
      </c>
      <c r="Y1094" s="51" t="b">
        <v>0</v>
      </c>
      <c r="Z1094" s="51" t="b">
        <v>0</v>
      </c>
      <c r="AA1094" s="71">
        <v>0.0022337962962962962</v>
      </c>
      <c r="AB1094" s="69" t="s">
        <v>3747</v>
      </c>
      <c r="AC1094" s="72"/>
      <c r="AD1094" s="83" t="s">
        <v>3749</v>
      </c>
      <c r="AE1094" s="74" t="s">
        <v>743</v>
      </c>
      <c r="AF1094" s="74" t="s">
        <v>630</v>
      </c>
    </row>
    <row r="1095">
      <c r="A1095" s="52" t="s">
        <v>3751</v>
      </c>
      <c r="B1095" s="52" t="s">
        <v>785</v>
      </c>
      <c r="C1095" s="52" t="s">
        <v>289</v>
      </c>
      <c r="D1095" s="65">
        <v>0.5826273148148148</v>
      </c>
      <c r="E1095" s="65">
        <v>1.7361111111111112E-4</v>
      </c>
      <c r="F1095" s="65">
        <v>0.5828009259259259</v>
      </c>
      <c r="G1095" s="65" t="s">
        <v>446</v>
      </c>
      <c r="H1095" s="52" t="s">
        <v>85</v>
      </c>
      <c r="I1095" s="52" t="s">
        <v>85</v>
      </c>
      <c r="J1095" s="52"/>
      <c r="K1095" s="52"/>
      <c r="L1095" s="52"/>
      <c r="M1095" s="52"/>
      <c r="N1095" s="52" t="s">
        <v>70</v>
      </c>
      <c r="O1095" s="52"/>
      <c r="P1095" s="52"/>
      <c r="Q1095" s="52"/>
      <c r="R1095" s="51" t="b">
        <v>0</v>
      </c>
      <c r="S1095" s="51"/>
      <c r="T1095" s="52"/>
      <c r="U1095" s="51" t="b">
        <v>0</v>
      </c>
      <c r="V1095" s="51" t="b">
        <v>0</v>
      </c>
      <c r="W1095" s="51" t="b">
        <v>0</v>
      </c>
      <c r="X1095" s="51" t="b">
        <v>0</v>
      </c>
      <c r="Y1095" s="51" t="b">
        <v>0</v>
      </c>
      <c r="Z1095" s="51" t="b">
        <v>0</v>
      </c>
      <c r="AA1095" s="68"/>
      <c r="AB1095" s="52"/>
      <c r="AC1095" s="52"/>
      <c r="AD1095" s="52"/>
      <c r="AE1095" s="56"/>
      <c r="AF1095" s="56" t="s">
        <v>1944</v>
      </c>
    </row>
    <row r="1096">
      <c r="A1096" s="52" t="s">
        <v>3754</v>
      </c>
      <c r="B1096" s="52" t="s">
        <v>607</v>
      </c>
      <c r="C1096" s="52" t="s">
        <v>607</v>
      </c>
      <c r="D1096" s="65" t="s">
        <v>607</v>
      </c>
      <c r="E1096" s="65" t="s">
        <v>607</v>
      </c>
      <c r="F1096" s="65" t="s">
        <v>607</v>
      </c>
      <c r="G1096" s="65" t="s">
        <v>607</v>
      </c>
      <c r="H1096" s="52" t="s">
        <v>607</v>
      </c>
      <c r="I1096" s="52" t="s">
        <v>607</v>
      </c>
      <c r="J1096" s="52" t="s">
        <v>607</v>
      </c>
      <c r="K1096" s="52" t="s">
        <v>607</v>
      </c>
      <c r="L1096" s="52" t="s">
        <v>607</v>
      </c>
      <c r="M1096" s="52" t="s">
        <v>607</v>
      </c>
      <c r="N1096" s="52" t="s">
        <v>607</v>
      </c>
      <c r="O1096" s="52"/>
      <c r="P1096" s="52"/>
      <c r="Q1096" s="52"/>
      <c r="R1096" s="51" t="b">
        <v>0</v>
      </c>
      <c r="S1096" s="51"/>
      <c r="T1096" s="52"/>
      <c r="U1096" s="51" t="b">
        <v>0</v>
      </c>
      <c r="V1096" s="51" t="b">
        <v>0</v>
      </c>
      <c r="W1096" s="51" t="b">
        <v>0</v>
      </c>
      <c r="X1096" s="51" t="b">
        <v>0</v>
      </c>
      <c r="Y1096" s="51" t="b">
        <v>0</v>
      </c>
      <c r="Z1096" s="51" t="b">
        <v>0</v>
      </c>
      <c r="AA1096" s="68"/>
      <c r="AB1096" s="52"/>
      <c r="AC1096" s="52"/>
      <c r="AD1096" s="52"/>
      <c r="AE1096" s="56" t="s">
        <v>607</v>
      </c>
      <c r="AF1096" s="56" t="s">
        <v>607</v>
      </c>
    </row>
    <row r="1097">
      <c r="A1097" s="52" t="s">
        <v>3759</v>
      </c>
      <c r="B1097" s="52" t="s">
        <v>607</v>
      </c>
      <c r="C1097" s="52" t="s">
        <v>607</v>
      </c>
      <c r="D1097" s="65" t="s">
        <v>607</v>
      </c>
      <c r="E1097" s="65" t="s">
        <v>607</v>
      </c>
      <c r="F1097" s="65" t="s">
        <v>607</v>
      </c>
      <c r="G1097" s="65" t="s">
        <v>607</v>
      </c>
      <c r="H1097" s="52" t="s">
        <v>607</v>
      </c>
      <c r="I1097" s="52" t="s">
        <v>607</v>
      </c>
      <c r="J1097" s="52" t="s">
        <v>607</v>
      </c>
      <c r="K1097" s="52" t="s">
        <v>607</v>
      </c>
      <c r="L1097" s="52" t="s">
        <v>607</v>
      </c>
      <c r="M1097" s="52" t="s">
        <v>607</v>
      </c>
      <c r="N1097" s="52" t="s">
        <v>607</v>
      </c>
      <c r="O1097" s="52"/>
      <c r="P1097" s="69"/>
      <c r="Q1097" s="52"/>
      <c r="R1097" s="51" t="b">
        <v>0</v>
      </c>
      <c r="S1097" s="51"/>
      <c r="T1097" s="52"/>
      <c r="U1097" s="51" t="b">
        <v>0</v>
      </c>
      <c r="V1097" s="51" t="b">
        <v>0</v>
      </c>
      <c r="W1097" s="51" t="b">
        <v>0</v>
      </c>
      <c r="X1097" s="51" t="b">
        <v>0</v>
      </c>
      <c r="Y1097" s="51" t="b">
        <v>0</v>
      </c>
      <c r="Z1097" s="51" t="b">
        <v>0</v>
      </c>
      <c r="AA1097" s="68"/>
      <c r="AB1097" s="52"/>
      <c r="AC1097" s="52"/>
      <c r="AD1097" s="52"/>
      <c r="AE1097" s="56" t="s">
        <v>607</v>
      </c>
      <c r="AF1097" s="56" t="s">
        <v>607</v>
      </c>
    </row>
    <row r="1098">
      <c r="A1098" s="52" t="s">
        <v>3761</v>
      </c>
      <c r="B1098" s="52" t="s">
        <v>607</v>
      </c>
      <c r="C1098" s="52" t="s">
        <v>607</v>
      </c>
      <c r="D1098" s="65" t="s">
        <v>607</v>
      </c>
      <c r="E1098" s="65" t="s">
        <v>607</v>
      </c>
      <c r="F1098" s="65" t="s">
        <v>607</v>
      </c>
      <c r="G1098" s="65" t="s">
        <v>607</v>
      </c>
      <c r="H1098" s="52" t="s">
        <v>607</v>
      </c>
      <c r="I1098" s="52" t="s">
        <v>607</v>
      </c>
      <c r="J1098" s="52" t="s">
        <v>607</v>
      </c>
      <c r="K1098" s="52" t="s">
        <v>607</v>
      </c>
      <c r="L1098" s="52" t="s">
        <v>607</v>
      </c>
      <c r="M1098" s="52" t="s">
        <v>607</v>
      </c>
      <c r="N1098" s="52" t="s">
        <v>607</v>
      </c>
      <c r="O1098" s="52"/>
      <c r="P1098" s="52"/>
      <c r="Q1098" s="52"/>
      <c r="R1098" s="51" t="b">
        <v>0</v>
      </c>
      <c r="S1098" s="51"/>
      <c r="T1098" s="52"/>
      <c r="U1098" s="51" t="b">
        <v>0</v>
      </c>
      <c r="V1098" s="51" t="b">
        <v>0</v>
      </c>
      <c r="W1098" s="51" t="b">
        <v>0</v>
      </c>
      <c r="X1098" s="51" t="b">
        <v>0</v>
      </c>
      <c r="Y1098" s="51" t="b">
        <v>0</v>
      </c>
      <c r="Z1098" s="51" t="b">
        <v>0</v>
      </c>
      <c r="AA1098" s="68"/>
      <c r="AB1098" s="52"/>
      <c r="AC1098" s="52"/>
      <c r="AD1098" s="52"/>
      <c r="AE1098" s="56" t="s">
        <v>607</v>
      </c>
      <c r="AF1098" s="56" t="s">
        <v>607</v>
      </c>
    </row>
    <row r="1099">
      <c r="A1099" s="52" t="s">
        <v>3763</v>
      </c>
      <c r="B1099" s="52" t="s">
        <v>19</v>
      </c>
      <c r="C1099" s="52" t="s">
        <v>289</v>
      </c>
      <c r="D1099" s="65">
        <v>0.6537615740740741</v>
      </c>
      <c r="E1099" s="65">
        <v>2.314814814814815E-4</v>
      </c>
      <c r="F1099" s="65">
        <v>0.6539930555555555</v>
      </c>
      <c r="G1099" s="65" t="s">
        <v>446</v>
      </c>
      <c r="H1099" s="52" t="s">
        <v>81</v>
      </c>
      <c r="I1099" s="52" t="s">
        <v>81</v>
      </c>
      <c r="J1099" s="52"/>
      <c r="K1099" s="52"/>
      <c r="L1099" s="52"/>
      <c r="M1099" s="52"/>
      <c r="N1099" s="52" t="s">
        <v>70</v>
      </c>
      <c r="O1099" s="52"/>
      <c r="P1099" s="52"/>
      <c r="Q1099" s="52"/>
      <c r="R1099" s="51" t="b">
        <v>0</v>
      </c>
      <c r="S1099" s="51"/>
      <c r="T1099" s="52"/>
      <c r="U1099" s="51" t="b">
        <v>0</v>
      </c>
      <c r="V1099" s="51" t="b">
        <v>0</v>
      </c>
      <c r="W1099" s="51" t="b">
        <v>0</v>
      </c>
      <c r="X1099" s="51" t="b">
        <v>0</v>
      </c>
      <c r="Y1099" s="51" t="b">
        <v>0</v>
      </c>
      <c r="Z1099" s="51" t="b">
        <v>0</v>
      </c>
      <c r="AA1099" s="68"/>
      <c r="AB1099" s="52"/>
      <c r="AC1099" s="52"/>
      <c r="AD1099" s="52"/>
      <c r="AE1099" s="56"/>
      <c r="AF1099" s="56" t="s">
        <v>1944</v>
      </c>
    </row>
    <row r="1100">
      <c r="A1100" s="52" t="s">
        <v>3767</v>
      </c>
      <c r="B1100" s="52" t="s">
        <v>19</v>
      </c>
      <c r="C1100" s="52" t="s">
        <v>289</v>
      </c>
      <c r="D1100" s="65">
        <v>0.6539930555555555</v>
      </c>
      <c r="E1100" s="65">
        <v>0.010069444444444445</v>
      </c>
      <c r="F1100" s="65">
        <v>0.6640625</v>
      </c>
      <c r="G1100" s="65" t="s">
        <v>446</v>
      </c>
      <c r="H1100" s="52" t="s">
        <v>107</v>
      </c>
      <c r="I1100" s="52" t="s">
        <v>1457</v>
      </c>
      <c r="J1100" s="52" t="s">
        <v>1458</v>
      </c>
      <c r="K1100" s="52" t="s">
        <v>1459</v>
      </c>
      <c r="L1100" s="52"/>
      <c r="M1100" s="52"/>
      <c r="N1100" s="52" t="s">
        <v>1460</v>
      </c>
      <c r="O1100" s="52"/>
      <c r="P1100" s="69" t="s">
        <v>23</v>
      </c>
      <c r="Q1100" s="80" t="s">
        <v>3769</v>
      </c>
      <c r="R1100" s="51" t="b">
        <v>1</v>
      </c>
      <c r="S1100" s="52" t="s">
        <v>1457</v>
      </c>
      <c r="T1100" s="52"/>
      <c r="U1100" s="51" t="b">
        <v>0</v>
      </c>
      <c r="V1100" s="51" t="b">
        <v>1</v>
      </c>
      <c r="W1100" s="51" t="b">
        <v>0</v>
      </c>
      <c r="X1100" s="51" t="b">
        <v>0</v>
      </c>
      <c r="Y1100" s="51" t="b">
        <v>0</v>
      </c>
      <c r="Z1100" s="51" t="b">
        <v>0</v>
      </c>
      <c r="AA1100" s="214">
        <v>0.009976851851851851</v>
      </c>
      <c r="AB1100" s="215" t="s">
        <v>314</v>
      </c>
      <c r="AC1100" s="52"/>
      <c r="AD1100" s="76" t="s">
        <v>3775</v>
      </c>
      <c r="AE1100" s="56" t="s">
        <v>629</v>
      </c>
      <c r="AF1100" s="56" t="s">
        <v>847</v>
      </c>
    </row>
    <row r="1101">
      <c r="A1101" s="52" t="s">
        <v>3779</v>
      </c>
      <c r="B1101" s="52" t="s">
        <v>607</v>
      </c>
      <c r="C1101" s="52" t="s">
        <v>607</v>
      </c>
      <c r="D1101" s="65" t="s">
        <v>607</v>
      </c>
      <c r="E1101" s="65" t="s">
        <v>607</v>
      </c>
      <c r="F1101" s="65" t="s">
        <v>607</v>
      </c>
      <c r="G1101" s="65" t="s">
        <v>607</v>
      </c>
      <c r="H1101" s="52" t="s">
        <v>607</v>
      </c>
      <c r="I1101" s="52" t="s">
        <v>607</v>
      </c>
      <c r="J1101" s="52" t="s">
        <v>607</v>
      </c>
      <c r="K1101" s="52" t="s">
        <v>607</v>
      </c>
      <c r="L1101" s="52" t="s">
        <v>607</v>
      </c>
      <c r="M1101" s="52" t="s">
        <v>607</v>
      </c>
      <c r="N1101" s="52" t="s">
        <v>607</v>
      </c>
      <c r="O1101" s="52"/>
      <c r="P1101" s="52"/>
      <c r="Q1101" s="52"/>
      <c r="R1101" s="51" t="b">
        <v>0</v>
      </c>
      <c r="S1101" s="51"/>
      <c r="T1101" s="52"/>
      <c r="U1101" s="51" t="b">
        <v>0</v>
      </c>
      <c r="V1101" s="51" t="b">
        <v>0</v>
      </c>
      <c r="W1101" s="51" t="b">
        <v>0</v>
      </c>
      <c r="X1101" s="51" t="b">
        <v>0</v>
      </c>
      <c r="Y1101" s="51" t="b">
        <v>0</v>
      </c>
      <c r="Z1101" s="51" t="b">
        <v>0</v>
      </c>
      <c r="AA1101" s="68"/>
      <c r="AB1101" s="52"/>
      <c r="AC1101" s="52"/>
      <c r="AD1101" s="52"/>
      <c r="AE1101" s="56" t="s">
        <v>607</v>
      </c>
      <c r="AF1101" s="56" t="s">
        <v>607</v>
      </c>
    </row>
    <row r="1102">
      <c r="A1102" s="52" t="s">
        <v>3782</v>
      </c>
      <c r="B1102" s="52" t="s">
        <v>19</v>
      </c>
      <c r="C1102" s="52" t="s">
        <v>289</v>
      </c>
      <c r="D1102" s="65">
        <v>0.6640625</v>
      </c>
      <c r="E1102" s="65">
        <v>1.7361111111111112E-4</v>
      </c>
      <c r="F1102" s="65">
        <v>0.6642361111111111</v>
      </c>
      <c r="G1102" s="65" t="s">
        <v>446</v>
      </c>
      <c r="H1102" s="52" t="s">
        <v>506</v>
      </c>
      <c r="I1102" s="52" t="s">
        <v>1461</v>
      </c>
      <c r="J1102" s="52"/>
      <c r="K1102" s="52"/>
      <c r="L1102" s="52"/>
      <c r="M1102" s="52"/>
      <c r="N1102" s="52" t="s">
        <v>70</v>
      </c>
      <c r="O1102" s="69" t="s">
        <v>506</v>
      </c>
      <c r="P1102" s="69" t="s">
        <v>17</v>
      </c>
      <c r="Q1102" s="80" t="s">
        <v>3785</v>
      </c>
      <c r="R1102" s="51" t="b">
        <v>1</v>
      </c>
      <c r="S1102" s="110" t="s">
        <v>1461</v>
      </c>
      <c r="T1102" s="52"/>
      <c r="U1102" s="51" t="b">
        <v>0</v>
      </c>
      <c r="V1102" s="51" t="b">
        <v>1</v>
      </c>
      <c r="W1102" s="51" t="b">
        <v>1</v>
      </c>
      <c r="X1102" s="51" t="b">
        <v>0</v>
      </c>
      <c r="Y1102" s="51" t="b">
        <v>1</v>
      </c>
      <c r="Z1102" s="51" t="b">
        <v>0</v>
      </c>
      <c r="AA1102" s="71">
        <v>1.7361111111111112E-4</v>
      </c>
      <c r="AB1102" s="52"/>
      <c r="AC1102" s="52"/>
      <c r="AD1102" s="73" t="s">
        <v>3788</v>
      </c>
      <c r="AE1102" s="56"/>
      <c r="AF1102" s="56" t="s">
        <v>1215</v>
      </c>
    </row>
    <row r="1103">
      <c r="A1103" s="52" t="s">
        <v>3791</v>
      </c>
      <c r="B1103" s="52" t="s">
        <v>19</v>
      </c>
      <c r="C1103" s="52" t="s">
        <v>289</v>
      </c>
      <c r="D1103" s="65">
        <v>0.6666666666666666</v>
      </c>
      <c r="E1103" s="65">
        <v>3.4722222222222224E-4</v>
      </c>
      <c r="F1103" s="65">
        <v>0.6670138888888889</v>
      </c>
      <c r="G1103" s="65" t="s">
        <v>1193</v>
      </c>
      <c r="H1103" s="52" t="s">
        <v>81</v>
      </c>
      <c r="I1103" s="52" t="s">
        <v>81</v>
      </c>
      <c r="J1103" s="52"/>
      <c r="K1103" s="52"/>
      <c r="L1103" s="52"/>
      <c r="M1103" s="52"/>
      <c r="N1103" s="52" t="s">
        <v>70</v>
      </c>
      <c r="O1103" s="52"/>
      <c r="P1103" s="52"/>
      <c r="Q1103" s="52"/>
      <c r="R1103" s="51" t="b">
        <v>0</v>
      </c>
      <c r="S1103" s="51"/>
      <c r="T1103" s="52"/>
      <c r="U1103" s="51" t="b">
        <v>0</v>
      </c>
      <c r="V1103" s="51" t="b">
        <v>0</v>
      </c>
      <c r="W1103" s="51" t="b">
        <v>0</v>
      </c>
      <c r="X1103" s="51" t="b">
        <v>0</v>
      </c>
      <c r="Y1103" s="51" t="b">
        <v>0</v>
      </c>
      <c r="Z1103" s="51" t="b">
        <v>0</v>
      </c>
      <c r="AA1103" s="68"/>
      <c r="AB1103" s="52"/>
      <c r="AC1103" s="52"/>
      <c r="AD1103" s="52"/>
      <c r="AE1103" s="56"/>
      <c r="AF1103" s="56" t="s">
        <v>1944</v>
      </c>
    </row>
    <row r="1104">
      <c r="A1104" s="52" t="s">
        <v>3795</v>
      </c>
      <c r="B1104" s="52" t="s">
        <v>19</v>
      </c>
      <c r="C1104" s="52" t="s">
        <v>289</v>
      </c>
      <c r="D1104" s="65">
        <v>0.6670138888888889</v>
      </c>
      <c r="E1104" s="65">
        <v>0.008217592592592592</v>
      </c>
      <c r="F1104" s="65">
        <v>0.6752314814814815</v>
      </c>
      <c r="G1104" s="65" t="s">
        <v>1193</v>
      </c>
      <c r="H1104" s="52" t="s">
        <v>94</v>
      </c>
      <c r="I1104" s="52" t="s">
        <v>1469</v>
      </c>
      <c r="J1104" s="52" t="s">
        <v>1470</v>
      </c>
      <c r="K1104" s="52"/>
      <c r="L1104" s="52"/>
      <c r="M1104" s="52"/>
      <c r="N1104" s="52" t="s">
        <v>1471</v>
      </c>
      <c r="O1104" s="69" t="s">
        <v>618</v>
      </c>
      <c r="P1104" s="69" t="s">
        <v>30</v>
      </c>
      <c r="Q1104" s="73" t="s">
        <v>3796</v>
      </c>
      <c r="R1104" s="51" t="b">
        <v>1</v>
      </c>
      <c r="S1104" s="52" t="s">
        <v>1469</v>
      </c>
      <c r="T1104" s="52"/>
      <c r="U1104" s="51" t="b">
        <v>0</v>
      </c>
      <c r="V1104" s="51" t="b">
        <v>1</v>
      </c>
      <c r="W1104" s="51" t="b">
        <v>1</v>
      </c>
      <c r="X1104" s="51" t="b">
        <v>1</v>
      </c>
      <c r="Y1104" s="51" t="b">
        <v>0</v>
      </c>
      <c r="Z1104" s="51" t="b">
        <v>0</v>
      </c>
      <c r="AA1104" s="85">
        <v>0.008217592592592592</v>
      </c>
      <c r="AB1104" s="86" t="s">
        <v>3799</v>
      </c>
      <c r="AC1104" s="75"/>
      <c r="AD1104" s="73" t="s">
        <v>3800</v>
      </c>
      <c r="AE1104" s="74" t="s">
        <v>629</v>
      </c>
      <c r="AF1104" s="74" t="s">
        <v>1185</v>
      </c>
    </row>
    <row r="1105">
      <c r="A1105" s="52" t="s">
        <v>3802</v>
      </c>
      <c r="B1105" s="52" t="s">
        <v>607</v>
      </c>
      <c r="C1105" s="52" t="s">
        <v>607</v>
      </c>
      <c r="D1105" s="65" t="s">
        <v>607</v>
      </c>
      <c r="E1105" s="65" t="s">
        <v>607</v>
      </c>
      <c r="F1105" s="65" t="s">
        <v>607</v>
      </c>
      <c r="G1105" s="65" t="s">
        <v>607</v>
      </c>
      <c r="H1105" s="52" t="s">
        <v>607</v>
      </c>
      <c r="I1105" s="52" t="s">
        <v>607</v>
      </c>
      <c r="J1105" s="52" t="s">
        <v>607</v>
      </c>
      <c r="K1105" s="52" t="s">
        <v>607</v>
      </c>
      <c r="L1105" s="52" t="s">
        <v>607</v>
      </c>
      <c r="M1105" s="52" t="s">
        <v>607</v>
      </c>
      <c r="N1105" s="52" t="s">
        <v>607</v>
      </c>
      <c r="O1105" s="52"/>
      <c r="P1105" s="52"/>
      <c r="Q1105" s="52"/>
      <c r="R1105" s="51" t="b">
        <v>0</v>
      </c>
      <c r="S1105" s="51"/>
      <c r="T1105" s="52"/>
      <c r="U1105" s="51" t="b">
        <v>0</v>
      </c>
      <c r="V1105" s="51" t="b">
        <v>0</v>
      </c>
      <c r="W1105" s="51" t="b">
        <v>0</v>
      </c>
      <c r="X1105" s="51" t="b">
        <v>0</v>
      </c>
      <c r="Y1105" s="51" t="b">
        <v>0</v>
      </c>
      <c r="Z1105" s="51" t="b">
        <v>0</v>
      </c>
      <c r="AA1105" s="68"/>
      <c r="AB1105" s="52"/>
      <c r="AC1105" s="52"/>
      <c r="AD1105" s="52"/>
      <c r="AE1105" s="56" t="s">
        <v>607</v>
      </c>
      <c r="AF1105" s="56" t="s">
        <v>607</v>
      </c>
    </row>
    <row r="1106">
      <c r="A1106" s="52" t="s">
        <v>3807</v>
      </c>
      <c r="B1106" s="52" t="s">
        <v>19</v>
      </c>
      <c r="C1106" s="52" t="s">
        <v>289</v>
      </c>
      <c r="D1106" s="65">
        <v>0.6752314814814815</v>
      </c>
      <c r="E1106" s="65">
        <v>2.314814814814815E-4</v>
      </c>
      <c r="F1106" s="65">
        <v>0.6754629629629629</v>
      </c>
      <c r="G1106" s="65" t="s">
        <v>1193</v>
      </c>
      <c r="H1106" s="52" t="s">
        <v>506</v>
      </c>
      <c r="I1106" s="52" t="s">
        <v>1141</v>
      </c>
      <c r="J1106" s="52"/>
      <c r="K1106" s="52"/>
      <c r="L1106" s="52"/>
      <c r="M1106" s="52"/>
      <c r="N1106" s="52" t="s">
        <v>70</v>
      </c>
      <c r="O1106" s="52"/>
      <c r="P1106" s="52"/>
      <c r="Q1106" s="52"/>
      <c r="R1106" s="51" t="b">
        <v>0</v>
      </c>
      <c r="S1106" s="51"/>
      <c r="T1106" s="52"/>
      <c r="U1106" s="51" t="b">
        <v>0</v>
      </c>
      <c r="V1106" s="51" t="b">
        <v>0</v>
      </c>
      <c r="W1106" s="51" t="b">
        <v>0</v>
      </c>
      <c r="X1106" s="51" t="b">
        <v>0</v>
      </c>
      <c r="Y1106" s="51" t="b">
        <v>0</v>
      </c>
      <c r="Z1106" s="51" t="b">
        <v>0</v>
      </c>
      <c r="AA1106" s="68"/>
      <c r="AB1106" s="52"/>
      <c r="AC1106" s="52"/>
      <c r="AD1106" s="52"/>
      <c r="AE1106" s="56"/>
      <c r="AF1106" s="56" t="s">
        <v>1215</v>
      </c>
    </row>
    <row r="1107">
      <c r="A1107" s="52" t="s">
        <v>3809</v>
      </c>
      <c r="B1107" s="52" t="s">
        <v>19</v>
      </c>
      <c r="C1107" s="52" t="s">
        <v>289</v>
      </c>
      <c r="D1107" s="65">
        <v>0.6754629629629629</v>
      </c>
      <c r="E1107" s="65">
        <v>3.4722222222222224E-4</v>
      </c>
      <c r="F1107" s="65">
        <v>0.6758101851851852</v>
      </c>
      <c r="G1107" s="65" t="s">
        <v>1193</v>
      </c>
      <c r="H1107" s="52" t="s">
        <v>89</v>
      </c>
      <c r="I1107" s="52" t="s">
        <v>89</v>
      </c>
      <c r="J1107" s="52"/>
      <c r="K1107" s="52"/>
      <c r="L1107" s="52"/>
      <c r="M1107" s="52"/>
      <c r="N1107" s="52" t="s">
        <v>70</v>
      </c>
      <c r="O1107" s="52"/>
      <c r="P1107" s="52"/>
      <c r="Q1107" s="52"/>
      <c r="R1107" s="51" t="b">
        <v>0</v>
      </c>
      <c r="S1107" s="51"/>
      <c r="T1107" s="52"/>
      <c r="U1107" s="51" t="b">
        <v>0</v>
      </c>
      <c r="V1107" s="51" t="b">
        <v>0</v>
      </c>
      <c r="W1107" s="51" t="b">
        <v>0</v>
      </c>
      <c r="X1107" s="51" t="b">
        <v>0</v>
      </c>
      <c r="Y1107" s="51" t="b">
        <v>0</v>
      </c>
      <c r="Z1107" s="51" t="b">
        <v>0</v>
      </c>
      <c r="AA1107" s="68"/>
      <c r="AB1107" s="52"/>
      <c r="AC1107" s="52"/>
      <c r="AD1107" s="52"/>
      <c r="AE1107" s="56"/>
      <c r="AF1107" s="56" t="s">
        <v>1944</v>
      </c>
    </row>
    <row r="1108">
      <c r="A1108" s="52" t="s">
        <v>3811</v>
      </c>
      <c r="B1108" s="52" t="s">
        <v>19</v>
      </c>
      <c r="C1108" s="52" t="s">
        <v>289</v>
      </c>
      <c r="D1108" s="65">
        <v>0.6758101851851852</v>
      </c>
      <c r="E1108" s="65">
        <v>6.944444444444445E-4</v>
      </c>
      <c r="F1108" s="65">
        <v>0.6765046296296297</v>
      </c>
      <c r="G1108" s="65" t="s">
        <v>1193</v>
      </c>
      <c r="H1108" s="52" t="s">
        <v>103</v>
      </c>
      <c r="I1108" s="52" t="s">
        <v>103</v>
      </c>
      <c r="J1108" s="52"/>
      <c r="K1108" s="52"/>
      <c r="L1108" s="52"/>
      <c r="M1108" s="52"/>
      <c r="N1108" s="52" t="s">
        <v>70</v>
      </c>
      <c r="O1108" s="52"/>
      <c r="P1108" s="52"/>
      <c r="Q1108" s="52"/>
      <c r="R1108" s="51" t="b">
        <v>0</v>
      </c>
      <c r="S1108" s="52"/>
      <c r="T1108" s="52"/>
      <c r="U1108" s="51" t="b">
        <v>0</v>
      </c>
      <c r="V1108" s="51" t="b">
        <v>0</v>
      </c>
      <c r="W1108" s="51" t="b">
        <v>0</v>
      </c>
      <c r="X1108" s="51" t="b">
        <v>0</v>
      </c>
      <c r="Y1108" s="51" t="b">
        <v>0</v>
      </c>
      <c r="Z1108" s="51" t="b">
        <v>0</v>
      </c>
      <c r="AA1108" s="68"/>
      <c r="AB1108" s="52"/>
      <c r="AC1108" s="52"/>
      <c r="AD1108" s="52"/>
      <c r="AE1108" s="56"/>
      <c r="AF1108" s="56" t="s">
        <v>1944</v>
      </c>
    </row>
    <row r="1109">
      <c r="A1109" s="52" t="s">
        <v>3814</v>
      </c>
      <c r="B1109" s="52" t="s">
        <v>19</v>
      </c>
      <c r="C1109" s="52" t="s">
        <v>221</v>
      </c>
      <c r="D1109" s="65">
        <v>0.44344907407407413</v>
      </c>
      <c r="E1109" s="65">
        <v>2.314814814814815E-4</v>
      </c>
      <c r="F1109" s="65">
        <v>0.44368055555555563</v>
      </c>
      <c r="G1109" s="65" t="s">
        <v>1193</v>
      </c>
      <c r="H1109" s="52" t="s">
        <v>81</v>
      </c>
      <c r="I1109" s="52" t="s">
        <v>81</v>
      </c>
      <c r="J1109" s="52"/>
      <c r="K1109" s="52"/>
      <c r="L1109" s="52"/>
      <c r="M1109" s="52"/>
      <c r="N1109" s="52" t="s">
        <v>70</v>
      </c>
      <c r="O1109" s="52"/>
      <c r="P1109" s="52"/>
      <c r="Q1109" s="52"/>
      <c r="R1109" s="51" t="b">
        <v>0</v>
      </c>
      <c r="S1109" s="51"/>
      <c r="T1109" s="52"/>
      <c r="U1109" s="51" t="b">
        <v>0</v>
      </c>
      <c r="V1109" s="51" t="b">
        <v>0</v>
      </c>
      <c r="W1109" s="51" t="b">
        <v>0</v>
      </c>
      <c r="X1109" s="51" t="b">
        <v>0</v>
      </c>
      <c r="Y1109" s="51" t="b">
        <v>0</v>
      </c>
      <c r="Z1109" s="51" t="b">
        <v>0</v>
      </c>
      <c r="AA1109" s="68"/>
      <c r="AB1109" s="52"/>
      <c r="AC1109" s="52"/>
      <c r="AD1109" s="52"/>
      <c r="AE1109" s="56"/>
      <c r="AF1109" s="56" t="s">
        <v>1944</v>
      </c>
    </row>
    <row r="1110">
      <c r="A1110" s="52" t="s">
        <v>3816</v>
      </c>
      <c r="B1110" s="52" t="s">
        <v>19</v>
      </c>
      <c r="C1110" s="52" t="s">
        <v>221</v>
      </c>
      <c r="D1110" s="65">
        <v>0.44368055555555563</v>
      </c>
      <c r="E1110" s="65">
        <v>0.013888888888888888</v>
      </c>
      <c r="F1110" s="65">
        <v>0.45756944444444453</v>
      </c>
      <c r="G1110" s="65" t="s">
        <v>1193</v>
      </c>
      <c r="H1110" s="52" t="s">
        <v>94</v>
      </c>
      <c r="I1110" s="52" t="s">
        <v>1195</v>
      </c>
      <c r="J1110" s="52" t="s">
        <v>1196</v>
      </c>
      <c r="K1110" s="52"/>
      <c r="L1110" s="52"/>
      <c r="M1110" s="52"/>
      <c r="N1110" s="52" t="s">
        <v>1197</v>
      </c>
      <c r="O1110" s="52"/>
      <c r="P1110" s="69"/>
      <c r="Q1110" s="52"/>
      <c r="R1110" s="51" t="b">
        <v>0</v>
      </c>
      <c r="S1110" s="51"/>
      <c r="T1110" s="52"/>
      <c r="U1110" s="51" t="b">
        <v>0</v>
      </c>
      <c r="V1110" s="51" t="b">
        <v>0</v>
      </c>
      <c r="W1110" s="51" t="b">
        <v>0</v>
      </c>
      <c r="X1110" s="51" t="b">
        <v>0</v>
      </c>
      <c r="Y1110" s="51" t="b">
        <v>0</v>
      </c>
      <c r="Z1110" s="51" t="b">
        <v>0</v>
      </c>
      <c r="AA1110" s="68"/>
      <c r="AB1110" s="52"/>
      <c r="AC1110" s="52"/>
      <c r="AD1110" s="52"/>
      <c r="AE1110" s="56" t="s">
        <v>652</v>
      </c>
      <c r="AF1110" s="56" t="s">
        <v>611</v>
      </c>
    </row>
    <row r="1111">
      <c r="A1111" s="52" t="s">
        <v>3819</v>
      </c>
      <c r="B1111" s="52" t="s">
        <v>607</v>
      </c>
      <c r="C1111" s="52" t="s">
        <v>607</v>
      </c>
      <c r="D1111" s="65" t="s">
        <v>607</v>
      </c>
      <c r="E1111" s="65" t="s">
        <v>607</v>
      </c>
      <c r="F1111" s="65" t="s">
        <v>607</v>
      </c>
      <c r="G1111" s="65" t="s">
        <v>607</v>
      </c>
      <c r="H1111" s="52" t="s">
        <v>607</v>
      </c>
      <c r="I1111" s="52" t="s">
        <v>607</v>
      </c>
      <c r="J1111" s="52" t="s">
        <v>607</v>
      </c>
      <c r="K1111" s="52" t="s">
        <v>607</v>
      </c>
      <c r="L1111" s="52" t="s">
        <v>607</v>
      </c>
      <c r="M1111" s="52" t="s">
        <v>607</v>
      </c>
      <c r="N1111" s="52" t="s">
        <v>607</v>
      </c>
      <c r="O1111" s="52"/>
      <c r="P1111" s="52"/>
      <c r="Q1111" s="52"/>
      <c r="R1111" s="51" t="b">
        <v>0</v>
      </c>
      <c r="S1111" s="51"/>
      <c r="T1111" s="52"/>
      <c r="U1111" s="51" t="b">
        <v>0</v>
      </c>
      <c r="V1111" s="51" t="b">
        <v>0</v>
      </c>
      <c r="W1111" s="51" t="b">
        <v>0</v>
      </c>
      <c r="X1111" s="51" t="b">
        <v>0</v>
      </c>
      <c r="Y1111" s="51" t="b">
        <v>0</v>
      </c>
      <c r="Z1111" s="51" t="b">
        <v>0</v>
      </c>
      <c r="AA1111" s="68"/>
      <c r="AB1111" s="52"/>
      <c r="AC1111" s="52"/>
      <c r="AD1111" s="52"/>
      <c r="AE1111" s="56" t="s">
        <v>607</v>
      </c>
      <c r="AF1111" s="56" t="s">
        <v>607</v>
      </c>
    </row>
    <row r="1112">
      <c r="A1112" s="52" t="s">
        <v>3823</v>
      </c>
      <c r="B1112" s="52" t="s">
        <v>19</v>
      </c>
      <c r="C1112" s="52" t="s">
        <v>289</v>
      </c>
      <c r="D1112" s="65">
        <v>0.6920949074074074</v>
      </c>
      <c r="E1112" s="65">
        <v>2.314814814814815E-4</v>
      </c>
      <c r="F1112" s="65">
        <v>0.6923263888888889</v>
      </c>
      <c r="G1112" s="65" t="s">
        <v>1193</v>
      </c>
      <c r="H1112" s="52" t="s">
        <v>81</v>
      </c>
      <c r="I1112" s="52" t="s">
        <v>81</v>
      </c>
      <c r="J1112" s="52"/>
      <c r="K1112" s="52"/>
      <c r="L1112" s="52"/>
      <c r="M1112" s="52"/>
      <c r="N1112" s="52" t="s">
        <v>70</v>
      </c>
      <c r="O1112" s="52"/>
      <c r="P1112" s="52"/>
      <c r="Q1112" s="52"/>
      <c r="R1112" s="51" t="b">
        <v>0</v>
      </c>
      <c r="S1112" s="51"/>
      <c r="T1112" s="52"/>
      <c r="U1112" s="51" t="b">
        <v>0</v>
      </c>
      <c r="V1112" s="51" t="b">
        <v>0</v>
      </c>
      <c r="W1112" s="51" t="b">
        <v>0</v>
      </c>
      <c r="X1112" s="51" t="b">
        <v>0</v>
      </c>
      <c r="Y1112" s="51" t="b">
        <v>0</v>
      </c>
      <c r="Z1112" s="51" t="b">
        <v>0</v>
      </c>
      <c r="AA1112" s="68"/>
      <c r="AB1112" s="52"/>
      <c r="AC1112" s="52"/>
      <c r="AD1112" s="52"/>
      <c r="AE1112" s="56"/>
      <c r="AF1112" s="56" t="s">
        <v>1944</v>
      </c>
    </row>
    <row r="1113">
      <c r="A1113" s="52" t="s">
        <v>3825</v>
      </c>
      <c r="B1113" s="52" t="s">
        <v>607</v>
      </c>
      <c r="C1113" s="52" t="s">
        <v>607</v>
      </c>
      <c r="D1113" s="65" t="s">
        <v>607</v>
      </c>
      <c r="E1113" s="65" t="s">
        <v>607</v>
      </c>
      <c r="F1113" s="65" t="s">
        <v>607</v>
      </c>
      <c r="G1113" s="65" t="s">
        <v>607</v>
      </c>
      <c r="H1113" s="52" t="s">
        <v>607</v>
      </c>
      <c r="I1113" s="52" t="s">
        <v>607</v>
      </c>
      <c r="J1113" s="52" t="s">
        <v>607</v>
      </c>
      <c r="K1113" s="52" t="s">
        <v>607</v>
      </c>
      <c r="L1113" s="52" t="s">
        <v>607</v>
      </c>
      <c r="M1113" s="52" t="s">
        <v>607</v>
      </c>
      <c r="N1113" s="52" t="s">
        <v>607</v>
      </c>
      <c r="O1113" s="52"/>
      <c r="P1113" s="69"/>
      <c r="Q1113" s="52"/>
      <c r="R1113" s="51" t="b">
        <v>0</v>
      </c>
      <c r="S1113" s="51"/>
      <c r="T1113" s="52"/>
      <c r="U1113" s="51" t="b">
        <v>0</v>
      </c>
      <c r="V1113" s="51" t="b">
        <v>0</v>
      </c>
      <c r="W1113" s="51" t="b">
        <v>0</v>
      </c>
      <c r="X1113" s="51" t="b">
        <v>0</v>
      </c>
      <c r="Y1113" s="51" t="b">
        <v>0</v>
      </c>
      <c r="Z1113" s="51" t="b">
        <v>0</v>
      </c>
      <c r="AA1113" s="68"/>
      <c r="AB1113" s="52"/>
      <c r="AC1113" s="52"/>
      <c r="AD1113" s="52"/>
      <c r="AE1113" s="56" t="s">
        <v>607</v>
      </c>
      <c r="AF1113" s="56" t="s">
        <v>607</v>
      </c>
    </row>
    <row r="1114">
      <c r="A1114" s="52" t="s">
        <v>3827</v>
      </c>
      <c r="B1114" s="52" t="s">
        <v>607</v>
      </c>
      <c r="C1114" s="52" t="s">
        <v>607</v>
      </c>
      <c r="D1114" s="65" t="s">
        <v>607</v>
      </c>
      <c r="E1114" s="65" t="s">
        <v>607</v>
      </c>
      <c r="F1114" s="65" t="s">
        <v>607</v>
      </c>
      <c r="G1114" s="65" t="s">
        <v>607</v>
      </c>
      <c r="H1114" s="52" t="s">
        <v>607</v>
      </c>
      <c r="I1114" s="52" t="s">
        <v>607</v>
      </c>
      <c r="J1114" s="52" t="s">
        <v>607</v>
      </c>
      <c r="K1114" s="52" t="s">
        <v>607</v>
      </c>
      <c r="L1114" s="52" t="s">
        <v>607</v>
      </c>
      <c r="M1114" s="52" t="s">
        <v>607</v>
      </c>
      <c r="N1114" s="52" t="s">
        <v>607</v>
      </c>
      <c r="O1114" s="52"/>
      <c r="P1114" s="52"/>
      <c r="Q1114" s="52"/>
      <c r="R1114" s="51" t="b">
        <v>0</v>
      </c>
      <c r="S1114" s="51"/>
      <c r="T1114" s="52"/>
      <c r="U1114" s="51" t="b">
        <v>0</v>
      </c>
      <c r="V1114" s="51" t="b">
        <v>0</v>
      </c>
      <c r="W1114" s="51" t="b">
        <v>0</v>
      </c>
      <c r="X1114" s="51" t="b">
        <v>0</v>
      </c>
      <c r="Y1114" s="51" t="b">
        <v>0</v>
      </c>
      <c r="Z1114" s="51" t="b">
        <v>0</v>
      </c>
      <c r="AA1114" s="68"/>
      <c r="AB1114" s="52"/>
      <c r="AC1114" s="52"/>
      <c r="AD1114" s="52"/>
      <c r="AE1114" s="56" t="s">
        <v>607</v>
      </c>
      <c r="AF1114" s="56" t="s">
        <v>607</v>
      </c>
    </row>
    <row r="1115">
      <c r="A1115" s="52" t="s">
        <v>3829</v>
      </c>
      <c r="B1115" s="52" t="s">
        <v>19</v>
      </c>
      <c r="C1115" s="52" t="s">
        <v>289</v>
      </c>
      <c r="D1115" s="65">
        <v>0.6991087962962963</v>
      </c>
      <c r="E1115" s="65">
        <v>2.314814814814815E-4</v>
      </c>
      <c r="F1115" s="65">
        <v>0.6993402777777777</v>
      </c>
      <c r="G1115" s="65" t="s">
        <v>1193</v>
      </c>
      <c r="H1115" s="52" t="s">
        <v>81</v>
      </c>
      <c r="I1115" s="52" t="s">
        <v>81</v>
      </c>
      <c r="J1115" s="52"/>
      <c r="K1115" s="52"/>
      <c r="L1115" s="52"/>
      <c r="M1115" s="52"/>
      <c r="N1115" s="52" t="s">
        <v>70</v>
      </c>
      <c r="O1115" s="52"/>
      <c r="P1115" s="52"/>
      <c r="Q1115" s="52"/>
      <c r="R1115" s="51" t="b">
        <v>0</v>
      </c>
      <c r="S1115" s="51"/>
      <c r="T1115" s="52"/>
      <c r="U1115" s="51" t="b">
        <v>0</v>
      </c>
      <c r="V1115" s="51" t="b">
        <v>0</v>
      </c>
      <c r="W1115" s="51" t="b">
        <v>0</v>
      </c>
      <c r="X1115" s="51" t="b">
        <v>0</v>
      </c>
      <c r="Y1115" s="51" t="b">
        <v>0</v>
      </c>
      <c r="Z1115" s="51" t="b">
        <v>0</v>
      </c>
      <c r="AA1115" s="68"/>
      <c r="AB1115" s="52"/>
      <c r="AC1115" s="52"/>
      <c r="AD1115" s="52"/>
      <c r="AE1115" s="56"/>
      <c r="AF1115" s="56" t="s">
        <v>1944</v>
      </c>
    </row>
    <row r="1116">
      <c r="A1116" s="52" t="s">
        <v>3832</v>
      </c>
      <c r="B1116" s="52" t="s">
        <v>19</v>
      </c>
      <c r="C1116" s="52" t="s">
        <v>289</v>
      </c>
      <c r="D1116" s="65">
        <v>0.6993402777777777</v>
      </c>
      <c r="E1116" s="65">
        <v>0.0078125</v>
      </c>
      <c r="F1116" s="65">
        <v>0.7071527777777777</v>
      </c>
      <c r="G1116" s="65" t="s">
        <v>1193</v>
      </c>
      <c r="H1116" s="52" t="s">
        <v>94</v>
      </c>
      <c r="I1116" s="52" t="s">
        <v>1487</v>
      </c>
      <c r="J1116" s="52" t="s">
        <v>1488</v>
      </c>
      <c r="K1116" s="52"/>
      <c r="L1116" s="52"/>
      <c r="M1116" s="52"/>
      <c r="N1116" s="52" t="s">
        <v>1471</v>
      </c>
      <c r="O1116" s="69" t="s">
        <v>618</v>
      </c>
      <c r="P1116" s="69" t="s">
        <v>17</v>
      </c>
      <c r="Q1116" s="73" t="s">
        <v>3834</v>
      </c>
      <c r="R1116" s="51" t="b">
        <v>1</v>
      </c>
      <c r="S1116" s="52" t="s">
        <v>1487</v>
      </c>
      <c r="T1116" s="52"/>
      <c r="U1116" s="51" t="b">
        <v>0</v>
      </c>
      <c r="V1116" s="51" t="b">
        <v>0</v>
      </c>
      <c r="W1116" s="51" t="b">
        <v>0</v>
      </c>
      <c r="X1116" s="51" t="b">
        <v>0</v>
      </c>
      <c r="Y1116" s="51" t="b">
        <v>0</v>
      </c>
      <c r="Z1116" s="51" t="b">
        <v>0</v>
      </c>
      <c r="AA1116" s="170"/>
      <c r="AB1116" s="159" t="s">
        <v>3837</v>
      </c>
      <c r="AC1116" s="159"/>
      <c r="AD1116" s="52"/>
      <c r="AE1116" s="56" t="s">
        <v>629</v>
      </c>
      <c r="AF1116" s="56" t="s">
        <v>1185</v>
      </c>
    </row>
    <row r="1117">
      <c r="A1117" s="52" t="s">
        <v>3838</v>
      </c>
      <c r="B1117" s="52" t="s">
        <v>607</v>
      </c>
      <c r="C1117" s="52" t="s">
        <v>607</v>
      </c>
      <c r="D1117" s="65" t="s">
        <v>607</v>
      </c>
      <c r="E1117" s="65" t="s">
        <v>607</v>
      </c>
      <c r="F1117" s="65" t="s">
        <v>607</v>
      </c>
      <c r="G1117" s="65" t="s">
        <v>607</v>
      </c>
      <c r="H1117" s="52" t="s">
        <v>607</v>
      </c>
      <c r="I1117" s="52" t="s">
        <v>607</v>
      </c>
      <c r="J1117" s="52" t="s">
        <v>607</v>
      </c>
      <c r="K1117" s="52" t="s">
        <v>607</v>
      </c>
      <c r="L1117" s="52" t="s">
        <v>607</v>
      </c>
      <c r="M1117" s="52" t="s">
        <v>607</v>
      </c>
      <c r="N1117" s="52" t="s">
        <v>607</v>
      </c>
      <c r="O1117" s="52"/>
      <c r="P1117" s="52"/>
      <c r="Q1117" s="52"/>
      <c r="R1117" s="51" t="b">
        <v>0</v>
      </c>
      <c r="S1117" s="51"/>
      <c r="T1117" s="52"/>
      <c r="U1117" s="51" t="b">
        <v>0</v>
      </c>
      <c r="V1117" s="51" t="b">
        <v>0</v>
      </c>
      <c r="W1117" s="51" t="b">
        <v>0</v>
      </c>
      <c r="X1117" s="51" t="b">
        <v>0</v>
      </c>
      <c r="Y1117" s="51" t="b">
        <v>0</v>
      </c>
      <c r="Z1117" s="51" t="b">
        <v>0</v>
      </c>
      <c r="AA1117" s="68"/>
      <c r="AB1117" s="52"/>
      <c r="AC1117" s="52"/>
      <c r="AD1117" s="52"/>
      <c r="AE1117" s="56" t="s">
        <v>607</v>
      </c>
      <c r="AF1117" s="56" t="s">
        <v>607</v>
      </c>
    </row>
    <row r="1118">
      <c r="A1118" s="52" t="s">
        <v>3842</v>
      </c>
      <c r="B1118" s="52" t="s">
        <v>19</v>
      </c>
      <c r="C1118" s="52" t="s">
        <v>289</v>
      </c>
      <c r="D1118" s="65">
        <v>0.7071527777777777</v>
      </c>
      <c r="E1118" s="65">
        <v>3.4722222222222224E-4</v>
      </c>
      <c r="F1118" s="65">
        <v>0.7075</v>
      </c>
      <c r="G1118" s="65" t="s">
        <v>1193</v>
      </c>
      <c r="H1118" s="52" t="s">
        <v>598</v>
      </c>
      <c r="I1118" s="52" t="s">
        <v>1171</v>
      </c>
      <c r="J1118" s="52"/>
      <c r="K1118" s="52"/>
      <c r="L1118" s="52"/>
      <c r="M1118" s="52"/>
      <c r="N1118" s="52" t="s">
        <v>70</v>
      </c>
      <c r="O1118" s="52"/>
      <c r="P1118" s="52"/>
      <c r="Q1118" s="52"/>
      <c r="R1118" s="51" t="b">
        <v>0</v>
      </c>
      <c r="S1118" s="51"/>
      <c r="T1118" s="52"/>
      <c r="U1118" s="51" t="b">
        <v>0</v>
      </c>
      <c r="V1118" s="51" t="b">
        <v>0</v>
      </c>
      <c r="W1118" s="51" t="b">
        <v>0</v>
      </c>
      <c r="X1118" s="51" t="b">
        <v>0</v>
      </c>
      <c r="Y1118" s="51" t="b">
        <v>0</v>
      </c>
      <c r="Z1118" s="51" t="b">
        <v>0</v>
      </c>
      <c r="AA1118" s="68"/>
      <c r="AB1118" s="52"/>
      <c r="AC1118" s="52"/>
      <c r="AD1118" s="52"/>
      <c r="AE1118" s="56"/>
      <c r="AF1118" s="56"/>
    </row>
    <row r="1119">
      <c r="A1119" s="52" t="s">
        <v>3845</v>
      </c>
      <c r="B1119" s="52" t="s">
        <v>19</v>
      </c>
      <c r="C1119" s="52" t="s">
        <v>289</v>
      </c>
      <c r="D1119" s="65"/>
      <c r="E1119" s="65"/>
      <c r="F1119" s="65"/>
      <c r="G1119" s="65"/>
      <c r="H1119" s="52"/>
      <c r="I1119" s="52"/>
      <c r="J1119" s="52"/>
      <c r="K1119" s="52"/>
      <c r="L1119" s="52"/>
      <c r="M1119" s="52"/>
      <c r="N1119" s="52"/>
      <c r="O1119" s="52"/>
      <c r="P1119" s="52"/>
      <c r="Q1119" s="52"/>
      <c r="R1119" s="51" t="b">
        <v>0</v>
      </c>
      <c r="S1119" s="51"/>
      <c r="T1119" s="52"/>
      <c r="U1119" s="51" t="b">
        <v>0</v>
      </c>
      <c r="V1119" s="51" t="b">
        <v>0</v>
      </c>
      <c r="W1119" s="51" t="b">
        <v>0</v>
      </c>
      <c r="X1119" s="51" t="b">
        <v>0</v>
      </c>
      <c r="Y1119" s="51" t="b">
        <v>0</v>
      </c>
      <c r="Z1119" s="51" t="b">
        <v>0</v>
      </c>
      <c r="AA1119" s="68"/>
      <c r="AB1119" s="52"/>
      <c r="AC1119" s="52"/>
      <c r="AD1119" s="52"/>
      <c r="AE1119" s="56"/>
      <c r="AF1119" s="56"/>
    </row>
    <row r="1120">
      <c r="A1120" s="52" t="s">
        <v>3849</v>
      </c>
      <c r="B1120" s="52" t="s">
        <v>19</v>
      </c>
      <c r="C1120" s="52" t="s">
        <v>289</v>
      </c>
      <c r="D1120" s="65"/>
      <c r="E1120" s="65"/>
      <c r="F1120" s="65"/>
      <c r="G1120" s="65"/>
      <c r="H1120" s="52"/>
      <c r="I1120" s="52"/>
      <c r="J1120" s="52"/>
      <c r="K1120" s="52"/>
      <c r="L1120" s="52"/>
      <c r="M1120" s="52"/>
      <c r="N1120" s="52" t="s">
        <v>70</v>
      </c>
      <c r="O1120" s="52"/>
      <c r="P1120" s="52"/>
      <c r="Q1120" s="52"/>
      <c r="R1120" s="51" t="b">
        <v>0</v>
      </c>
      <c r="S1120" s="51"/>
      <c r="T1120" s="52"/>
      <c r="U1120" s="51" t="b">
        <v>0</v>
      </c>
      <c r="V1120" s="51" t="b">
        <v>0</v>
      </c>
      <c r="W1120" s="51" t="b">
        <v>0</v>
      </c>
      <c r="X1120" s="51" t="b">
        <v>0</v>
      </c>
      <c r="Y1120" s="51" t="b">
        <v>0</v>
      </c>
      <c r="Z1120" s="51" t="b">
        <v>0</v>
      </c>
      <c r="AA1120" s="68"/>
      <c r="AB1120" s="52"/>
      <c r="AC1120" s="52"/>
      <c r="AD1120" s="52"/>
      <c r="AE1120" s="56"/>
      <c r="AF1120" s="56"/>
    </row>
    <row r="1121">
      <c r="A1121" s="52" t="s">
        <v>3852</v>
      </c>
      <c r="B1121" s="52" t="s">
        <v>19</v>
      </c>
      <c r="C1121" s="52" t="s">
        <v>289</v>
      </c>
      <c r="D1121" s="65"/>
      <c r="E1121" s="65"/>
      <c r="F1121" s="65"/>
      <c r="G1121" s="65"/>
      <c r="H1121" s="52"/>
      <c r="I1121" s="52"/>
      <c r="J1121" s="52"/>
      <c r="K1121" s="52"/>
      <c r="L1121" s="52"/>
      <c r="M1121" s="52"/>
      <c r="N1121" s="52" t="s">
        <v>70</v>
      </c>
      <c r="O1121" s="52"/>
      <c r="P1121" s="52"/>
      <c r="Q1121" s="52"/>
      <c r="R1121" s="51" t="b">
        <v>0</v>
      </c>
      <c r="S1121" s="51"/>
      <c r="T1121" s="52"/>
      <c r="U1121" s="51" t="b">
        <v>0</v>
      </c>
      <c r="V1121" s="51" t="b">
        <v>0</v>
      </c>
      <c r="W1121" s="51" t="b">
        <v>0</v>
      </c>
      <c r="X1121" s="51" t="b">
        <v>0</v>
      </c>
      <c r="Y1121" s="51" t="b">
        <v>0</v>
      </c>
      <c r="Z1121" s="51" t="b">
        <v>0</v>
      </c>
      <c r="AA1121" s="68"/>
      <c r="AB1121" s="52"/>
      <c r="AC1121" s="52"/>
      <c r="AD1121" s="52"/>
      <c r="AE1121" s="56"/>
      <c r="AF1121" s="56"/>
    </row>
    <row r="1122">
      <c r="A1122" s="52" t="s">
        <v>3854</v>
      </c>
      <c r="B1122" s="52" t="s">
        <v>1494</v>
      </c>
      <c r="C1122" s="52"/>
      <c r="D1122" s="65"/>
      <c r="E1122" s="65"/>
      <c r="F1122" s="65"/>
      <c r="G1122" s="65"/>
      <c r="H1122" s="52"/>
      <c r="I1122" s="52"/>
      <c r="J1122" s="52"/>
      <c r="K1122" s="52"/>
      <c r="L1122" s="52"/>
      <c r="M1122" s="52"/>
      <c r="N1122" s="52" t="s">
        <v>70</v>
      </c>
      <c r="O1122" s="52"/>
      <c r="P1122" s="52"/>
      <c r="Q1122" s="52"/>
      <c r="R1122" s="51" t="b">
        <v>0</v>
      </c>
      <c r="S1122" s="51"/>
      <c r="T1122" s="52"/>
      <c r="U1122" s="51" t="b">
        <v>0</v>
      </c>
      <c r="V1122" s="51" t="b">
        <v>0</v>
      </c>
      <c r="W1122" s="51" t="b">
        <v>0</v>
      </c>
      <c r="X1122" s="51" t="b">
        <v>0</v>
      </c>
      <c r="Y1122" s="51" t="b">
        <v>0</v>
      </c>
      <c r="Z1122" s="51" t="b">
        <v>0</v>
      </c>
      <c r="AA1122" s="65"/>
      <c r="AB1122" s="52"/>
      <c r="AC1122" s="52"/>
      <c r="AD1122" s="52"/>
      <c r="AE1122" s="56"/>
      <c r="AF1122" s="56"/>
    </row>
    <row r="1123">
      <c r="A1123" s="52" t="s">
        <v>3858</v>
      </c>
      <c r="B1123" s="52" t="s">
        <v>65</v>
      </c>
      <c r="C1123" s="52"/>
      <c r="D1123" s="65"/>
      <c r="E1123" s="65"/>
      <c r="F1123" s="65"/>
      <c r="G1123" s="65"/>
      <c r="H1123" s="52"/>
      <c r="I1123" s="52"/>
      <c r="J1123" s="52"/>
      <c r="K1123" s="52"/>
      <c r="L1123" s="52"/>
      <c r="M1123" s="52"/>
      <c r="N1123" s="52" t="s">
        <v>70</v>
      </c>
      <c r="O1123" s="52"/>
      <c r="P1123" s="52"/>
      <c r="Q1123" s="52"/>
      <c r="R1123" s="51" t="b">
        <v>0</v>
      </c>
      <c r="S1123" s="51"/>
      <c r="T1123" s="52"/>
      <c r="U1123" s="51" t="b">
        <v>0</v>
      </c>
      <c r="V1123" s="51" t="b">
        <v>0</v>
      </c>
      <c r="W1123" s="51" t="b">
        <v>0</v>
      </c>
      <c r="X1123" s="51" t="b">
        <v>0</v>
      </c>
      <c r="Y1123" s="51" t="b">
        <v>0</v>
      </c>
      <c r="Z1123" s="51" t="b">
        <v>0</v>
      </c>
      <c r="AA1123" s="68"/>
      <c r="AB1123" s="52"/>
      <c r="AC1123" s="52"/>
      <c r="AD1123" s="52"/>
      <c r="AE1123" s="56"/>
      <c r="AF1123" s="56"/>
    </row>
    <row r="1124">
      <c r="A1124" s="52" t="s">
        <v>3862</v>
      </c>
      <c r="B1124" s="52" t="s">
        <v>22</v>
      </c>
      <c r="C1124" s="52" t="s">
        <v>66</v>
      </c>
      <c r="D1124" s="65">
        <v>0.4166666666666667</v>
      </c>
      <c r="E1124" s="65">
        <v>0.001388888888888889</v>
      </c>
      <c r="F1124" s="65">
        <v>0.41805555555555557</v>
      </c>
      <c r="G1124" s="65"/>
      <c r="H1124" s="52" t="s">
        <v>79</v>
      </c>
      <c r="I1124" s="52" t="s">
        <v>1497</v>
      </c>
      <c r="J1124" s="52"/>
      <c r="K1124" s="52"/>
      <c r="L1124" s="52"/>
      <c r="M1124" s="52"/>
      <c r="N1124" s="52" t="s">
        <v>70</v>
      </c>
      <c r="O1124" s="52"/>
      <c r="P1124" s="52"/>
      <c r="Q1124" s="52"/>
      <c r="R1124" s="51" t="b">
        <v>0</v>
      </c>
      <c r="S1124" s="51"/>
      <c r="T1124" s="52"/>
      <c r="U1124" s="51" t="b">
        <v>0</v>
      </c>
      <c r="V1124" s="51" t="b">
        <v>0</v>
      </c>
      <c r="W1124" s="51" t="b">
        <v>0</v>
      </c>
      <c r="X1124" s="51" t="b">
        <v>0</v>
      </c>
      <c r="Y1124" s="51" t="b">
        <v>0</v>
      </c>
      <c r="Z1124" s="51" t="b">
        <v>0</v>
      </c>
      <c r="AA1124" s="88"/>
      <c r="AB1124" s="52"/>
      <c r="AC1124" s="52"/>
      <c r="AD1124" s="52"/>
      <c r="AE1124" s="56"/>
      <c r="AF1124" s="56"/>
    </row>
    <row r="1125">
      <c r="A1125" s="52" t="s">
        <v>3865</v>
      </c>
      <c r="B1125" s="52" t="s">
        <v>22</v>
      </c>
      <c r="C1125" s="52" t="s">
        <v>221</v>
      </c>
      <c r="D1125" s="65">
        <v>0.4178703703703704</v>
      </c>
      <c r="E1125" s="65">
        <v>3.4722222222222224E-4</v>
      </c>
      <c r="F1125" s="65">
        <v>0.4182175925925926</v>
      </c>
      <c r="G1125" s="65"/>
      <c r="H1125" s="52" t="s">
        <v>81</v>
      </c>
      <c r="I1125" s="52" t="s">
        <v>1558</v>
      </c>
      <c r="J1125" s="52"/>
      <c r="K1125" s="52"/>
      <c r="L1125" s="52"/>
      <c r="M1125" s="52"/>
      <c r="N1125" s="52" t="s">
        <v>70</v>
      </c>
      <c r="O1125" s="52"/>
      <c r="P1125" s="52"/>
      <c r="Q1125" s="52"/>
      <c r="R1125" s="51" t="b">
        <v>0</v>
      </c>
      <c r="S1125" s="51"/>
      <c r="T1125" s="52"/>
      <c r="U1125" s="51" t="b">
        <v>0</v>
      </c>
      <c r="V1125" s="51" t="b">
        <v>0</v>
      </c>
      <c r="W1125" s="51" t="b">
        <v>0</v>
      </c>
      <c r="X1125" s="51" t="b">
        <v>0</v>
      </c>
      <c r="Y1125" s="51" t="b">
        <v>0</v>
      </c>
      <c r="Z1125" s="51" t="b">
        <v>0</v>
      </c>
      <c r="AA1125" s="65"/>
      <c r="AB1125" s="52"/>
      <c r="AC1125" s="52"/>
      <c r="AD1125" s="52"/>
      <c r="AE1125" s="56"/>
      <c r="AF1125" s="56"/>
    </row>
    <row r="1126">
      <c r="A1126" s="52" t="s">
        <v>3868</v>
      </c>
      <c r="B1126" s="52" t="s">
        <v>22</v>
      </c>
      <c r="C1126" s="52" t="s">
        <v>221</v>
      </c>
      <c r="D1126" s="65">
        <v>0.4182175925925926</v>
      </c>
      <c r="E1126" s="65">
        <v>0.02048611111111111</v>
      </c>
      <c r="F1126" s="65">
        <v>0.4387037037037037</v>
      </c>
      <c r="G1126" s="65"/>
      <c r="H1126" s="52" t="s">
        <v>1501</v>
      </c>
      <c r="I1126" s="52" t="s">
        <v>1559</v>
      </c>
      <c r="J1126" s="52" t="s">
        <v>1160</v>
      </c>
      <c r="K1126" s="52"/>
      <c r="L1126" s="52"/>
      <c r="M1126" s="52"/>
      <c r="N1126" s="52" t="s">
        <v>96</v>
      </c>
      <c r="O1126" s="52"/>
      <c r="P1126" s="69" t="s">
        <v>3871</v>
      </c>
      <c r="Q1126" s="73" t="s">
        <v>3872</v>
      </c>
      <c r="R1126" s="51" t="b">
        <v>1</v>
      </c>
      <c r="S1126" s="52" t="s">
        <v>1559</v>
      </c>
      <c r="T1126" s="52"/>
      <c r="U1126" s="51" t="b">
        <v>0</v>
      </c>
      <c r="V1126" s="51" t="b">
        <v>1</v>
      </c>
      <c r="W1126" s="51" t="b">
        <v>0</v>
      </c>
      <c r="X1126" s="51" t="b">
        <v>0</v>
      </c>
      <c r="Y1126" s="51" t="b">
        <v>1</v>
      </c>
      <c r="Z1126" s="51" t="b">
        <v>0</v>
      </c>
      <c r="AA1126" s="65">
        <v>0.034212962962962966</v>
      </c>
      <c r="AB1126" s="69" t="s">
        <v>3876</v>
      </c>
      <c r="AC1126" s="69"/>
      <c r="AD1126" s="69"/>
      <c r="AE1126" s="56" t="s">
        <v>629</v>
      </c>
      <c r="AF1126" s="56" t="s">
        <v>1253</v>
      </c>
    </row>
    <row r="1127">
      <c r="A1127" s="52" t="s">
        <v>3877</v>
      </c>
      <c r="B1127" s="52" t="s">
        <v>607</v>
      </c>
      <c r="C1127" s="52" t="s">
        <v>607</v>
      </c>
      <c r="D1127" s="65" t="s">
        <v>607</v>
      </c>
      <c r="E1127" s="65" t="s">
        <v>607</v>
      </c>
      <c r="F1127" s="65" t="s">
        <v>607</v>
      </c>
      <c r="G1127" s="65" t="s">
        <v>607</v>
      </c>
      <c r="H1127" s="52" t="s">
        <v>607</v>
      </c>
      <c r="I1127" s="52" t="s">
        <v>607</v>
      </c>
      <c r="J1127" s="52" t="s">
        <v>607</v>
      </c>
      <c r="K1127" s="52" t="s">
        <v>607</v>
      </c>
      <c r="L1127" s="52" t="s">
        <v>607</v>
      </c>
      <c r="M1127" s="52" t="s">
        <v>607</v>
      </c>
      <c r="N1127" s="52" t="s">
        <v>607</v>
      </c>
      <c r="O1127" s="52"/>
      <c r="P1127" s="52"/>
      <c r="Q1127" s="52"/>
      <c r="R1127" s="51" t="b">
        <v>0</v>
      </c>
      <c r="S1127" s="51"/>
      <c r="T1127" s="52"/>
      <c r="U1127" s="51" t="b">
        <v>0</v>
      </c>
      <c r="V1127" s="51" t="b">
        <v>0</v>
      </c>
      <c r="W1127" s="51" t="b">
        <v>0</v>
      </c>
      <c r="X1127" s="51" t="b">
        <v>0</v>
      </c>
      <c r="Y1127" s="51" t="b">
        <v>0</v>
      </c>
      <c r="Z1127" s="51" t="b">
        <v>0</v>
      </c>
      <c r="AA1127" s="68"/>
      <c r="AB1127" s="52"/>
      <c r="AC1127" s="52"/>
      <c r="AD1127" s="52"/>
      <c r="AE1127" s="56" t="s">
        <v>607</v>
      </c>
      <c r="AF1127" s="56" t="s">
        <v>607</v>
      </c>
    </row>
    <row r="1128">
      <c r="A1128" s="52" t="s">
        <v>3881</v>
      </c>
      <c r="B1128" s="52" t="s">
        <v>22</v>
      </c>
      <c r="C1128" s="52" t="s">
        <v>66</v>
      </c>
      <c r="D1128" s="65">
        <v>0.6642361111111114</v>
      </c>
      <c r="E1128" s="65">
        <v>3.4722222222222224E-4</v>
      </c>
      <c r="F1128" s="65">
        <v>0.6645833333333336</v>
      </c>
      <c r="G1128" s="65"/>
      <c r="H1128" s="52" t="s">
        <v>81</v>
      </c>
      <c r="I1128" s="52" t="s">
        <v>1498</v>
      </c>
      <c r="J1128" s="52"/>
      <c r="K1128" s="52"/>
      <c r="L1128" s="52"/>
      <c r="M1128" s="52"/>
      <c r="N1128" s="52" t="s">
        <v>70</v>
      </c>
      <c r="O1128" s="52"/>
      <c r="P1128" s="52"/>
      <c r="Q1128" s="52"/>
      <c r="R1128" s="51" t="b">
        <v>0</v>
      </c>
      <c r="S1128" s="51"/>
      <c r="T1128" s="52"/>
      <c r="U1128" s="51" t="b">
        <v>0</v>
      </c>
      <c r="V1128" s="51" t="b">
        <v>0</v>
      </c>
      <c r="W1128" s="51" t="b">
        <v>0</v>
      </c>
      <c r="X1128" s="51" t="b">
        <v>0</v>
      </c>
      <c r="Y1128" s="51" t="b">
        <v>0</v>
      </c>
      <c r="Z1128" s="51" t="b">
        <v>0</v>
      </c>
      <c r="AA1128" s="65"/>
      <c r="AB1128" s="52"/>
      <c r="AC1128" s="52"/>
      <c r="AD1128" s="52"/>
      <c r="AE1128" s="56"/>
      <c r="AF1128" s="56"/>
    </row>
    <row r="1129">
      <c r="A1129" s="52" t="s">
        <v>3885</v>
      </c>
      <c r="B1129" s="52" t="s">
        <v>22</v>
      </c>
      <c r="C1129" s="52" t="s">
        <v>66</v>
      </c>
      <c r="D1129" s="65">
        <v>0.6645833333333336</v>
      </c>
      <c r="E1129" s="65">
        <v>0.017326388888888888</v>
      </c>
      <c r="F1129" s="65">
        <v>0.6819097222222226</v>
      </c>
      <c r="G1129" s="65"/>
      <c r="H1129" s="52" t="s">
        <v>1501</v>
      </c>
      <c r="I1129" s="52" t="s">
        <v>1529</v>
      </c>
      <c r="J1129" s="52" t="s">
        <v>579</v>
      </c>
      <c r="K1129" s="52"/>
      <c r="L1129" s="52"/>
      <c r="M1129" s="52"/>
      <c r="N1129" s="52" t="s">
        <v>1530</v>
      </c>
      <c r="O1129" s="52"/>
      <c r="P1129" s="52"/>
      <c r="Q1129" s="73" t="s">
        <v>3889</v>
      </c>
      <c r="R1129" s="51" t="b">
        <v>0</v>
      </c>
      <c r="S1129" s="52" t="s">
        <v>1529</v>
      </c>
      <c r="T1129" s="52"/>
      <c r="U1129" s="51" t="b">
        <v>0</v>
      </c>
      <c r="V1129" s="51" t="b">
        <v>0</v>
      </c>
      <c r="W1129" s="51" t="b">
        <v>0</v>
      </c>
      <c r="X1129" s="51" t="b">
        <v>0</v>
      </c>
      <c r="Y1129" s="51" t="b">
        <v>0</v>
      </c>
      <c r="Z1129" s="51" t="b">
        <v>0</v>
      </c>
      <c r="AA1129" s="65"/>
      <c r="AB1129" s="52"/>
      <c r="AC1129" s="52"/>
      <c r="AD1129" s="52"/>
      <c r="AE1129" s="56" t="s">
        <v>629</v>
      </c>
      <c r="AF1129" s="56" t="s">
        <v>1253</v>
      </c>
    </row>
    <row r="1130">
      <c r="A1130" s="52" t="s">
        <v>3894</v>
      </c>
      <c r="B1130" s="52" t="s">
        <v>22</v>
      </c>
      <c r="C1130" s="52" t="s">
        <v>66</v>
      </c>
      <c r="D1130" s="65">
        <v>0.6819097222222226</v>
      </c>
      <c r="E1130" s="65">
        <v>0.0012037037037037038</v>
      </c>
      <c r="F1130" s="65">
        <v>0.6831134259259263</v>
      </c>
      <c r="G1130" s="65"/>
      <c r="H1130" s="52" t="s">
        <v>79</v>
      </c>
      <c r="I1130" s="52" t="s">
        <v>1497</v>
      </c>
      <c r="J1130" s="52"/>
      <c r="K1130" s="52"/>
      <c r="L1130" s="52"/>
      <c r="M1130" s="52"/>
      <c r="N1130" s="52" t="s">
        <v>70</v>
      </c>
      <c r="O1130" s="52"/>
      <c r="P1130" s="52"/>
      <c r="Q1130" s="52"/>
      <c r="R1130" s="51" t="b">
        <v>0</v>
      </c>
      <c r="S1130" s="51"/>
      <c r="T1130" s="52"/>
      <c r="U1130" s="51" t="b">
        <v>0</v>
      </c>
      <c r="V1130" s="51" t="b">
        <v>0</v>
      </c>
      <c r="W1130" s="51" t="b">
        <v>0</v>
      </c>
      <c r="X1130" s="51" t="b">
        <v>0</v>
      </c>
      <c r="Y1130" s="51" t="b">
        <v>0</v>
      </c>
      <c r="Z1130" s="51" t="b">
        <v>0</v>
      </c>
      <c r="AA1130" s="65"/>
      <c r="AB1130" s="52"/>
      <c r="AC1130" s="52"/>
      <c r="AD1130" s="52"/>
      <c r="AE1130" s="56"/>
      <c r="AF1130" s="56"/>
    </row>
    <row r="1131">
      <c r="A1131" s="52" t="s">
        <v>3897</v>
      </c>
      <c r="B1131" s="52" t="s">
        <v>22</v>
      </c>
      <c r="C1131" s="52" t="s">
        <v>66</v>
      </c>
      <c r="D1131" s="65">
        <v>0.4802777777777778</v>
      </c>
      <c r="E1131" s="65">
        <v>3.4722222222222224E-4</v>
      </c>
      <c r="F1131" s="65">
        <v>0.480625</v>
      </c>
      <c r="G1131" s="65"/>
      <c r="H1131" s="52" t="s">
        <v>81</v>
      </c>
      <c r="I1131" s="52" t="s">
        <v>1498</v>
      </c>
      <c r="J1131" s="52"/>
      <c r="K1131" s="52"/>
      <c r="L1131" s="52"/>
      <c r="M1131" s="52"/>
      <c r="N1131" s="52" t="s">
        <v>70</v>
      </c>
      <c r="O1131" s="52"/>
      <c r="P1131" s="52"/>
      <c r="Q1131" s="52"/>
      <c r="R1131" s="51" t="b">
        <v>0</v>
      </c>
      <c r="S1131" s="51"/>
      <c r="T1131" s="52"/>
      <c r="U1131" s="51" t="b">
        <v>0</v>
      </c>
      <c r="V1131" s="51" t="b">
        <v>0</v>
      </c>
      <c r="W1131" s="51" t="b">
        <v>0</v>
      </c>
      <c r="X1131" s="51" t="b">
        <v>0</v>
      </c>
      <c r="Y1131" s="51" t="b">
        <v>0</v>
      </c>
      <c r="Z1131" s="51" t="b">
        <v>0</v>
      </c>
      <c r="AA1131" s="65"/>
      <c r="AB1131" s="52"/>
      <c r="AC1131" s="52"/>
      <c r="AD1131" s="52"/>
      <c r="AE1131" s="56"/>
      <c r="AF1131" s="56"/>
    </row>
    <row r="1132">
      <c r="A1132" s="52" t="s">
        <v>3901</v>
      </c>
      <c r="B1132" s="52" t="s">
        <v>22</v>
      </c>
      <c r="C1132" s="52" t="s">
        <v>66</v>
      </c>
      <c r="D1132" s="65">
        <v>0.480625</v>
      </c>
      <c r="E1132" s="65">
        <v>0.04774305555555555</v>
      </c>
      <c r="F1132" s="65">
        <v>0.5283680555555555</v>
      </c>
      <c r="G1132" s="65"/>
      <c r="H1132" s="52" t="s">
        <v>1501</v>
      </c>
      <c r="I1132" s="52" t="s">
        <v>1508</v>
      </c>
      <c r="J1132" s="52" t="s">
        <v>1332</v>
      </c>
      <c r="K1132" s="52"/>
      <c r="L1132" s="52"/>
      <c r="M1132" s="52"/>
      <c r="N1132" s="52" t="s">
        <v>97</v>
      </c>
      <c r="O1132" s="52"/>
      <c r="P1132" s="69" t="s">
        <v>3871</v>
      </c>
      <c r="Q1132" s="70" t="s">
        <v>3903</v>
      </c>
      <c r="R1132" s="51" t="b">
        <v>1</v>
      </c>
      <c r="S1132" s="52" t="s">
        <v>1508</v>
      </c>
      <c r="T1132" s="69" t="s">
        <v>3906</v>
      </c>
      <c r="U1132" s="51" t="b">
        <v>0</v>
      </c>
      <c r="V1132" s="51" t="b">
        <v>1</v>
      </c>
      <c r="W1132" s="51" t="b">
        <v>1</v>
      </c>
      <c r="X1132" s="51" t="b">
        <v>0</v>
      </c>
      <c r="Y1132" s="51" t="b">
        <v>0</v>
      </c>
      <c r="Z1132" s="51" t="b">
        <v>0</v>
      </c>
      <c r="AA1132" s="216">
        <v>0.047719907407407405</v>
      </c>
      <c r="AB1132" s="52"/>
      <c r="AC1132" s="52"/>
      <c r="AD1132" s="73" t="s">
        <v>3909</v>
      </c>
      <c r="AE1132" s="56" t="s">
        <v>629</v>
      </c>
      <c r="AF1132" s="56" t="s">
        <v>860</v>
      </c>
    </row>
    <row r="1133">
      <c r="A1133" s="52" t="s">
        <v>3913</v>
      </c>
      <c r="B1133" s="52" t="s">
        <v>22</v>
      </c>
      <c r="C1133" s="52" t="s">
        <v>66</v>
      </c>
      <c r="D1133" s="65">
        <v>0.5283680555555555</v>
      </c>
      <c r="E1133" s="65">
        <v>0.0012037037037037038</v>
      </c>
      <c r="F1133" s="65">
        <v>0.5295717592592593</v>
      </c>
      <c r="G1133" s="65"/>
      <c r="H1133" s="52" t="s">
        <v>79</v>
      </c>
      <c r="I1133" s="52" t="s">
        <v>1497</v>
      </c>
      <c r="J1133" s="52"/>
      <c r="K1133" s="52"/>
      <c r="L1133" s="52"/>
      <c r="M1133" s="52"/>
      <c r="N1133" s="52" t="s">
        <v>70</v>
      </c>
      <c r="O1133" s="52"/>
      <c r="P1133" s="52"/>
      <c r="Q1133" s="52"/>
      <c r="R1133" s="51" t="b">
        <v>0</v>
      </c>
      <c r="S1133" s="51"/>
      <c r="T1133" s="52"/>
      <c r="U1133" s="51" t="b">
        <v>0</v>
      </c>
      <c r="V1133" s="51" t="b">
        <v>0</v>
      </c>
      <c r="W1133" s="51" t="b">
        <v>0</v>
      </c>
      <c r="X1133" s="51" t="b">
        <v>0</v>
      </c>
      <c r="Y1133" s="51" t="b">
        <v>0</v>
      </c>
      <c r="Z1133" s="51" t="b">
        <v>0</v>
      </c>
      <c r="AA1133" s="65"/>
      <c r="AB1133" s="52"/>
      <c r="AC1133" s="52"/>
      <c r="AD1133" s="52"/>
      <c r="AE1133" s="56"/>
      <c r="AF1133" s="56"/>
    </row>
    <row r="1134">
      <c r="A1134" s="52" t="s">
        <v>3916</v>
      </c>
      <c r="B1134" s="52" t="s">
        <v>607</v>
      </c>
      <c r="C1134" s="52" t="s">
        <v>607</v>
      </c>
      <c r="D1134" s="65" t="s">
        <v>607</v>
      </c>
      <c r="E1134" s="65" t="s">
        <v>607</v>
      </c>
      <c r="F1134" s="65" t="s">
        <v>607</v>
      </c>
      <c r="G1134" s="65" t="s">
        <v>607</v>
      </c>
      <c r="H1134" s="52" t="s">
        <v>607</v>
      </c>
      <c r="I1134" s="52" t="s">
        <v>607</v>
      </c>
      <c r="J1134" s="52" t="s">
        <v>607</v>
      </c>
      <c r="K1134" s="52" t="s">
        <v>607</v>
      </c>
      <c r="L1134" s="52" t="s">
        <v>607</v>
      </c>
      <c r="M1134" s="52" t="s">
        <v>607</v>
      </c>
      <c r="N1134" s="52" t="s">
        <v>607</v>
      </c>
      <c r="O1134" s="52"/>
      <c r="P1134" s="52"/>
      <c r="Q1134" s="52"/>
      <c r="R1134" s="51" t="b">
        <v>0</v>
      </c>
      <c r="S1134" s="51"/>
      <c r="T1134" s="52"/>
      <c r="U1134" s="51" t="b">
        <v>0</v>
      </c>
      <c r="V1134" s="51" t="b">
        <v>0</v>
      </c>
      <c r="W1134" s="51" t="b">
        <v>0</v>
      </c>
      <c r="X1134" s="51" t="b">
        <v>0</v>
      </c>
      <c r="Y1134" s="51" t="b">
        <v>0</v>
      </c>
      <c r="Z1134" s="51" t="b">
        <v>0</v>
      </c>
      <c r="AA1134" s="68"/>
      <c r="AB1134" s="52"/>
      <c r="AC1134" s="52"/>
      <c r="AD1134" s="52"/>
      <c r="AE1134" s="56" t="s">
        <v>607</v>
      </c>
      <c r="AF1134" s="56" t="s">
        <v>607</v>
      </c>
    </row>
    <row r="1135">
      <c r="A1135" s="52" t="s">
        <v>3920</v>
      </c>
      <c r="B1135" s="52" t="s">
        <v>607</v>
      </c>
      <c r="C1135" s="52" t="s">
        <v>607</v>
      </c>
      <c r="D1135" s="65" t="s">
        <v>607</v>
      </c>
      <c r="E1135" s="65" t="s">
        <v>607</v>
      </c>
      <c r="F1135" s="65" t="s">
        <v>607</v>
      </c>
      <c r="G1135" s="65" t="s">
        <v>607</v>
      </c>
      <c r="H1135" s="52" t="s">
        <v>607</v>
      </c>
      <c r="I1135" s="52" t="s">
        <v>607</v>
      </c>
      <c r="J1135" s="52" t="s">
        <v>607</v>
      </c>
      <c r="K1135" s="52" t="s">
        <v>607</v>
      </c>
      <c r="L1135" s="52" t="s">
        <v>607</v>
      </c>
      <c r="M1135" s="52" t="s">
        <v>607</v>
      </c>
      <c r="N1135" s="52" t="s">
        <v>607</v>
      </c>
      <c r="O1135" s="52"/>
      <c r="P1135" s="52"/>
      <c r="Q1135" s="52"/>
      <c r="R1135" s="51" t="b">
        <v>0</v>
      </c>
      <c r="S1135" s="51"/>
      <c r="T1135" s="52"/>
      <c r="U1135" s="51" t="b">
        <v>0</v>
      </c>
      <c r="V1135" s="51" t="b">
        <v>0</v>
      </c>
      <c r="W1135" s="51" t="b">
        <v>0</v>
      </c>
      <c r="X1135" s="51" t="b">
        <v>0</v>
      </c>
      <c r="Y1135" s="51" t="b">
        <v>0</v>
      </c>
      <c r="Z1135" s="51" t="b">
        <v>0</v>
      </c>
      <c r="AA1135" s="68"/>
      <c r="AB1135" s="52"/>
      <c r="AC1135" s="52"/>
      <c r="AD1135" s="52"/>
      <c r="AE1135" s="56" t="s">
        <v>607</v>
      </c>
      <c r="AF1135" s="56" t="s">
        <v>607</v>
      </c>
    </row>
    <row r="1136">
      <c r="A1136" s="52" t="s">
        <v>3924</v>
      </c>
      <c r="B1136" s="52" t="s">
        <v>22</v>
      </c>
      <c r="C1136" s="52" t="s">
        <v>66</v>
      </c>
      <c r="D1136" s="65">
        <v>0.5551273148148148</v>
      </c>
      <c r="E1136" s="65">
        <v>0.0012037037037037038</v>
      </c>
      <c r="F1136" s="65">
        <v>0.5563310185185185</v>
      </c>
      <c r="G1136" s="65"/>
      <c r="H1136" s="52" t="s">
        <v>79</v>
      </c>
      <c r="I1136" s="52" t="s">
        <v>1497</v>
      </c>
      <c r="J1136" s="52"/>
      <c r="K1136" s="52"/>
      <c r="L1136" s="52"/>
      <c r="M1136" s="52"/>
      <c r="N1136" s="52" t="s">
        <v>70</v>
      </c>
      <c r="O1136" s="52"/>
      <c r="P1136" s="52"/>
      <c r="Q1136" s="52"/>
      <c r="R1136" s="51" t="b">
        <v>0</v>
      </c>
      <c r="S1136" s="51"/>
      <c r="T1136" s="52"/>
      <c r="U1136" s="51" t="b">
        <v>0</v>
      </c>
      <c r="V1136" s="51" t="b">
        <v>0</v>
      </c>
      <c r="W1136" s="51" t="b">
        <v>0</v>
      </c>
      <c r="X1136" s="51" t="b">
        <v>0</v>
      </c>
      <c r="Y1136" s="51" t="b">
        <v>0</v>
      </c>
      <c r="Z1136" s="51" t="b">
        <v>0</v>
      </c>
      <c r="AA1136" s="65"/>
      <c r="AB1136" s="52"/>
      <c r="AC1136" s="52"/>
      <c r="AD1136" s="52"/>
      <c r="AE1136" s="56"/>
      <c r="AF1136" s="56"/>
    </row>
    <row r="1137">
      <c r="A1137" s="52" t="s">
        <v>3928</v>
      </c>
      <c r="B1137" s="52" t="s">
        <v>22</v>
      </c>
      <c r="C1137" s="52" t="s">
        <v>66</v>
      </c>
      <c r="D1137" s="65">
        <v>0.5563310185185185</v>
      </c>
      <c r="E1137" s="65">
        <v>3.4722222222222224E-4</v>
      </c>
      <c r="F1137" s="65">
        <v>0.5566782407407408</v>
      </c>
      <c r="G1137" s="65"/>
      <c r="H1137" s="52" t="s">
        <v>81</v>
      </c>
      <c r="I1137" s="52" t="s">
        <v>1498</v>
      </c>
      <c r="J1137" s="52"/>
      <c r="K1137" s="52"/>
      <c r="L1137" s="52"/>
      <c r="M1137" s="52"/>
      <c r="N1137" s="52" t="s">
        <v>70</v>
      </c>
      <c r="O1137" s="52"/>
      <c r="P1137" s="52"/>
      <c r="Q1137" s="52"/>
      <c r="R1137" s="51" t="b">
        <v>0</v>
      </c>
      <c r="S1137" s="51"/>
      <c r="T1137" s="52"/>
      <c r="U1137" s="51" t="b">
        <v>0</v>
      </c>
      <c r="V1137" s="51" t="b">
        <v>0</v>
      </c>
      <c r="W1137" s="51" t="b">
        <v>0</v>
      </c>
      <c r="X1137" s="51" t="b">
        <v>0</v>
      </c>
      <c r="Y1137" s="51" t="b">
        <v>0</v>
      </c>
      <c r="Z1137" s="51" t="b">
        <v>0</v>
      </c>
      <c r="AA1137" s="65"/>
      <c r="AB1137" s="52"/>
      <c r="AC1137" s="52"/>
      <c r="AD1137" s="52"/>
      <c r="AE1137" s="56"/>
      <c r="AF1137" s="56"/>
    </row>
    <row r="1138">
      <c r="A1138" s="52" t="s">
        <v>3932</v>
      </c>
      <c r="B1138" s="52" t="s">
        <v>22</v>
      </c>
      <c r="C1138" s="52" t="s">
        <v>66</v>
      </c>
      <c r="D1138" s="65">
        <v>0.5566782407407408</v>
      </c>
      <c r="E1138" s="65">
        <v>0.04164351851851852</v>
      </c>
      <c r="F1138" s="65">
        <v>0.5983217592592593</v>
      </c>
      <c r="G1138" s="65"/>
      <c r="H1138" s="52" t="s">
        <v>1501</v>
      </c>
      <c r="I1138" s="52" t="s">
        <v>1515</v>
      </c>
      <c r="J1138" s="52" t="s">
        <v>1386</v>
      </c>
      <c r="K1138" s="52"/>
      <c r="L1138" s="52"/>
      <c r="M1138" s="52"/>
      <c r="N1138" s="52" t="s">
        <v>1387</v>
      </c>
      <c r="O1138" s="52"/>
      <c r="P1138" s="69" t="s">
        <v>3871</v>
      </c>
      <c r="Q1138" s="73" t="s">
        <v>3934</v>
      </c>
      <c r="R1138" s="51" t="b">
        <v>1</v>
      </c>
      <c r="S1138" s="78" t="s">
        <v>1515</v>
      </c>
      <c r="T1138" s="69" t="s">
        <v>3906</v>
      </c>
      <c r="U1138" s="51" t="b">
        <v>0</v>
      </c>
      <c r="V1138" s="51" t="b">
        <v>1</v>
      </c>
      <c r="W1138" s="51" t="b">
        <v>1</v>
      </c>
      <c r="X1138" s="51" t="b">
        <v>0</v>
      </c>
      <c r="Y1138" s="51" t="b">
        <v>0</v>
      </c>
      <c r="Z1138" s="51" t="b">
        <v>0</v>
      </c>
      <c r="AA1138" s="216">
        <v>0.04164351851851852</v>
      </c>
      <c r="AB1138" s="52"/>
      <c r="AC1138" s="52"/>
      <c r="AD1138" s="73" t="s">
        <v>3937</v>
      </c>
      <c r="AE1138" s="56" t="s">
        <v>629</v>
      </c>
      <c r="AF1138" s="56" t="s">
        <v>860</v>
      </c>
    </row>
    <row r="1139">
      <c r="A1139" s="52" t="s">
        <v>3942</v>
      </c>
      <c r="B1139" s="52" t="s">
        <v>22</v>
      </c>
      <c r="C1139" s="52" t="s">
        <v>66</v>
      </c>
      <c r="D1139" s="65">
        <v>0.5983217592592593</v>
      </c>
      <c r="E1139" s="65">
        <v>0.0012037037037037038</v>
      </c>
      <c r="F1139" s="65">
        <v>0.599525462962963</v>
      </c>
      <c r="G1139" s="65"/>
      <c r="H1139" s="52" t="s">
        <v>79</v>
      </c>
      <c r="I1139" s="52" t="s">
        <v>1497</v>
      </c>
      <c r="J1139" s="52"/>
      <c r="K1139" s="52"/>
      <c r="L1139" s="52"/>
      <c r="M1139" s="52"/>
      <c r="N1139" s="52" t="s">
        <v>70</v>
      </c>
      <c r="O1139" s="52"/>
      <c r="P1139" s="52"/>
      <c r="Q1139" s="52"/>
      <c r="R1139" s="51" t="b">
        <v>0</v>
      </c>
      <c r="S1139" s="51"/>
      <c r="T1139" s="52"/>
      <c r="U1139" s="51" t="b">
        <v>0</v>
      </c>
      <c r="V1139" s="51" t="b">
        <v>0</v>
      </c>
      <c r="W1139" s="51" t="b">
        <v>0</v>
      </c>
      <c r="X1139" s="51" t="b">
        <v>0</v>
      </c>
      <c r="Y1139" s="51" t="b">
        <v>0</v>
      </c>
      <c r="Z1139" s="51" t="b">
        <v>0</v>
      </c>
      <c r="AA1139" s="65"/>
      <c r="AB1139" s="52"/>
      <c r="AC1139" s="52"/>
      <c r="AD1139" s="52"/>
      <c r="AE1139" s="56"/>
      <c r="AF1139" s="56"/>
    </row>
    <row r="1140">
      <c r="A1140" s="52" t="s">
        <v>3944</v>
      </c>
      <c r="B1140" s="52" t="s">
        <v>22</v>
      </c>
      <c r="C1140" s="52" t="s">
        <v>221</v>
      </c>
      <c r="D1140" s="65">
        <v>0.5809375000000001</v>
      </c>
      <c r="E1140" s="65">
        <v>3.4722222222222224E-4</v>
      </c>
      <c r="F1140" s="65">
        <v>0.5812847222222224</v>
      </c>
      <c r="G1140" s="65"/>
      <c r="H1140" s="52" t="s">
        <v>81</v>
      </c>
      <c r="I1140" s="52" t="s">
        <v>1498</v>
      </c>
      <c r="J1140" s="52"/>
      <c r="K1140" s="52"/>
      <c r="L1140" s="52"/>
      <c r="M1140" s="52"/>
      <c r="N1140" s="52" t="s">
        <v>70</v>
      </c>
      <c r="O1140" s="52"/>
      <c r="P1140" s="52"/>
      <c r="Q1140" s="52"/>
      <c r="R1140" s="51" t="b">
        <v>0</v>
      </c>
      <c r="S1140" s="51"/>
      <c r="T1140" s="52"/>
      <c r="U1140" s="51" t="b">
        <v>0</v>
      </c>
      <c r="V1140" s="51" t="b">
        <v>0</v>
      </c>
      <c r="W1140" s="51" t="b">
        <v>0</v>
      </c>
      <c r="X1140" s="51" t="b">
        <v>0</v>
      </c>
      <c r="Y1140" s="51" t="b">
        <v>0</v>
      </c>
      <c r="Z1140" s="51" t="b">
        <v>0</v>
      </c>
      <c r="AA1140" s="65"/>
      <c r="AB1140" s="52"/>
      <c r="AC1140" s="52"/>
      <c r="AD1140" s="52"/>
      <c r="AE1140" s="56"/>
      <c r="AF1140" s="56"/>
    </row>
    <row r="1141">
      <c r="A1141" s="52" t="s">
        <v>3947</v>
      </c>
      <c r="B1141" s="52" t="s">
        <v>22</v>
      </c>
      <c r="C1141" s="52" t="s">
        <v>221</v>
      </c>
      <c r="D1141" s="65">
        <v>0.5812847222222224</v>
      </c>
      <c r="E1141" s="65">
        <v>0.040671296296296296</v>
      </c>
      <c r="F1141" s="65">
        <v>0.6219560185185187</v>
      </c>
      <c r="G1141" s="65"/>
      <c r="H1141" s="52" t="s">
        <v>1501</v>
      </c>
      <c r="I1141" s="52" t="s">
        <v>1579</v>
      </c>
      <c r="J1141" s="52" t="s">
        <v>1134</v>
      </c>
      <c r="K1141" s="52"/>
      <c r="L1141" s="52"/>
      <c r="M1141" s="52"/>
      <c r="N1141" s="52" t="s">
        <v>433</v>
      </c>
      <c r="O1141" s="52"/>
      <c r="P1141" s="69" t="s">
        <v>3871</v>
      </c>
      <c r="Q1141" s="73" t="s">
        <v>3949</v>
      </c>
      <c r="R1141" s="51" t="b">
        <v>1</v>
      </c>
      <c r="S1141" s="52" t="s">
        <v>1579</v>
      </c>
      <c r="T1141" s="52"/>
      <c r="U1141" s="51" t="b">
        <v>0</v>
      </c>
      <c r="V1141" s="51" t="b">
        <v>1</v>
      </c>
      <c r="W1141" s="51" t="b">
        <v>0</v>
      </c>
      <c r="X1141" s="51" t="b">
        <v>0</v>
      </c>
      <c r="Y1141" s="51" t="b">
        <v>0</v>
      </c>
      <c r="Z1141" s="51" t="b">
        <v>0</v>
      </c>
      <c r="AA1141" s="65"/>
      <c r="AB1141" s="52"/>
      <c r="AC1141" s="52"/>
      <c r="AD1141" s="52"/>
      <c r="AE1141" s="56" t="s">
        <v>629</v>
      </c>
      <c r="AF1141" s="56" t="s">
        <v>860</v>
      </c>
    </row>
    <row r="1142">
      <c r="A1142" s="52" t="s">
        <v>3953</v>
      </c>
      <c r="B1142" s="52" t="s">
        <v>22</v>
      </c>
      <c r="C1142" s="52" t="s">
        <v>221</v>
      </c>
      <c r="D1142" s="65">
        <v>0.6219560185185187</v>
      </c>
      <c r="E1142" s="65">
        <v>0.0012037037037037038</v>
      </c>
      <c r="F1142" s="65">
        <v>0.6231597222222224</v>
      </c>
      <c r="G1142" s="65"/>
      <c r="H1142" s="52" t="s">
        <v>79</v>
      </c>
      <c r="I1142" s="52" t="s">
        <v>1497</v>
      </c>
      <c r="J1142" s="52"/>
      <c r="K1142" s="52"/>
      <c r="L1142" s="52"/>
      <c r="M1142" s="52"/>
      <c r="N1142" s="52" t="s">
        <v>70</v>
      </c>
      <c r="O1142" s="52"/>
      <c r="P1142" s="52"/>
      <c r="Q1142" s="52"/>
      <c r="R1142" s="51" t="b">
        <v>0</v>
      </c>
      <c r="S1142" s="51"/>
      <c r="T1142" s="52"/>
      <c r="U1142" s="51" t="b">
        <v>0</v>
      </c>
      <c r="V1142" s="51" t="b">
        <v>0</v>
      </c>
      <c r="W1142" s="51" t="b">
        <v>0</v>
      </c>
      <c r="X1142" s="51" t="b">
        <v>0</v>
      </c>
      <c r="Y1142" s="51" t="b">
        <v>0</v>
      </c>
      <c r="Z1142" s="51" t="b">
        <v>0</v>
      </c>
      <c r="AA1142" s="65"/>
      <c r="AB1142" s="52"/>
      <c r="AC1142" s="52"/>
      <c r="AD1142" s="52"/>
      <c r="AE1142" s="56"/>
      <c r="AF1142" s="56"/>
    </row>
    <row r="1143">
      <c r="A1143" s="52" t="s">
        <v>3955</v>
      </c>
      <c r="B1143" s="52" t="s">
        <v>22</v>
      </c>
      <c r="C1143" s="52" t="s">
        <v>221</v>
      </c>
      <c r="D1143" s="65">
        <v>0.5497106481481482</v>
      </c>
      <c r="E1143" s="65">
        <v>3.4722222222222224E-4</v>
      </c>
      <c r="F1143" s="65">
        <v>0.5500578703703705</v>
      </c>
      <c r="G1143" s="65"/>
      <c r="H1143" s="52" t="s">
        <v>81</v>
      </c>
      <c r="I1143" s="52" t="s">
        <v>1498</v>
      </c>
      <c r="J1143" s="52"/>
      <c r="K1143" s="52"/>
      <c r="L1143" s="52"/>
      <c r="M1143" s="52"/>
      <c r="N1143" s="52" t="s">
        <v>70</v>
      </c>
      <c r="O1143" s="52"/>
      <c r="P1143" s="52"/>
      <c r="Q1143" s="52"/>
      <c r="R1143" s="51" t="b">
        <v>0</v>
      </c>
      <c r="S1143" s="51"/>
      <c r="T1143" s="52"/>
      <c r="U1143" s="51" t="b">
        <v>0</v>
      </c>
      <c r="V1143" s="51" t="b">
        <v>0</v>
      </c>
      <c r="W1143" s="51" t="b">
        <v>0</v>
      </c>
      <c r="X1143" s="51" t="b">
        <v>0</v>
      </c>
      <c r="Y1143" s="51" t="b">
        <v>0</v>
      </c>
      <c r="Z1143" s="51" t="b">
        <v>0</v>
      </c>
      <c r="AA1143" s="65"/>
      <c r="AB1143" s="52"/>
      <c r="AC1143" s="52"/>
      <c r="AD1143" s="52"/>
      <c r="AE1143" s="56"/>
      <c r="AF1143" s="56"/>
    </row>
    <row r="1144">
      <c r="A1144" s="52" t="s">
        <v>3957</v>
      </c>
      <c r="B1144" s="52" t="s">
        <v>22</v>
      </c>
      <c r="C1144" s="52" t="s">
        <v>221</v>
      </c>
      <c r="D1144" s="65">
        <v>0.5500578703703705</v>
      </c>
      <c r="E1144" s="65">
        <v>0.029675925925925925</v>
      </c>
      <c r="F1144" s="65">
        <v>0.5797337962962964</v>
      </c>
      <c r="G1144" s="65"/>
      <c r="H1144" s="52" t="s">
        <v>1501</v>
      </c>
      <c r="I1144" s="52" t="s">
        <v>1573</v>
      </c>
      <c r="J1144" s="52" t="s">
        <v>236</v>
      </c>
      <c r="K1144" s="52"/>
      <c r="L1144" s="52"/>
      <c r="M1144" s="52"/>
      <c r="N1144" s="52" t="s">
        <v>1574</v>
      </c>
      <c r="O1144" s="52"/>
      <c r="P1144" s="52"/>
      <c r="Q1144" s="73" t="s">
        <v>3959</v>
      </c>
      <c r="R1144" s="51" t="b">
        <v>0</v>
      </c>
      <c r="S1144" s="51"/>
      <c r="T1144" s="52"/>
      <c r="U1144" s="51" t="b">
        <v>0</v>
      </c>
      <c r="V1144" s="51" t="b">
        <v>0</v>
      </c>
      <c r="W1144" s="51" t="b">
        <v>0</v>
      </c>
      <c r="X1144" s="51" t="b">
        <v>0</v>
      </c>
      <c r="Y1144" s="51" t="b">
        <v>0</v>
      </c>
      <c r="Z1144" s="51" t="b">
        <v>0</v>
      </c>
      <c r="AA1144" s="65"/>
      <c r="AB1144" s="52"/>
      <c r="AC1144" s="52"/>
      <c r="AD1144" s="52"/>
      <c r="AE1144" s="56" t="s">
        <v>629</v>
      </c>
      <c r="AF1144" s="56" t="s">
        <v>1253</v>
      </c>
    </row>
    <row r="1145">
      <c r="A1145" s="52" t="s">
        <v>3962</v>
      </c>
      <c r="B1145" s="52" t="s">
        <v>22</v>
      </c>
      <c r="C1145" s="52" t="s">
        <v>221</v>
      </c>
      <c r="D1145" s="65">
        <v>0.5797337962962964</v>
      </c>
      <c r="E1145" s="65">
        <v>0.0012037037037037038</v>
      </c>
      <c r="F1145" s="65">
        <v>0.5809375000000001</v>
      </c>
      <c r="G1145" s="65"/>
      <c r="H1145" s="52" t="s">
        <v>79</v>
      </c>
      <c r="I1145" s="52" t="s">
        <v>1577</v>
      </c>
      <c r="J1145" s="52"/>
      <c r="K1145" s="52"/>
      <c r="L1145" s="52"/>
      <c r="M1145" s="52"/>
      <c r="N1145" s="52" t="s">
        <v>70</v>
      </c>
      <c r="O1145" s="52"/>
      <c r="P1145" s="52"/>
      <c r="Q1145" s="52"/>
      <c r="R1145" s="51" t="b">
        <v>0</v>
      </c>
      <c r="S1145" s="51"/>
      <c r="T1145" s="52"/>
      <c r="U1145" s="51" t="b">
        <v>0</v>
      </c>
      <c r="V1145" s="51" t="b">
        <v>0</v>
      </c>
      <c r="W1145" s="51" t="b">
        <v>0</v>
      </c>
      <c r="X1145" s="51" t="b">
        <v>0</v>
      </c>
      <c r="Y1145" s="51" t="b">
        <v>0</v>
      </c>
      <c r="Z1145" s="51" t="b">
        <v>0</v>
      </c>
      <c r="AA1145" s="65"/>
      <c r="AB1145" s="52"/>
      <c r="AC1145" s="52"/>
      <c r="AD1145" s="52"/>
      <c r="AE1145" s="56"/>
      <c r="AF1145" s="56"/>
    </row>
    <row r="1146">
      <c r="A1146" s="52" t="s">
        <v>3967</v>
      </c>
      <c r="B1146" s="52" t="s">
        <v>22</v>
      </c>
      <c r="C1146" s="52" t="s">
        <v>66</v>
      </c>
      <c r="D1146" s="65">
        <v>0.4524074074074074</v>
      </c>
      <c r="E1146" s="65">
        <v>3.4722222222222224E-4</v>
      </c>
      <c r="F1146" s="65">
        <v>0.45275462962962965</v>
      </c>
      <c r="G1146" s="65"/>
      <c r="H1146" s="52" t="s">
        <v>81</v>
      </c>
      <c r="I1146" s="52" t="s">
        <v>1498</v>
      </c>
      <c r="J1146" s="52"/>
      <c r="K1146" s="52"/>
      <c r="L1146" s="52"/>
      <c r="M1146" s="52"/>
      <c r="N1146" s="52" t="s">
        <v>70</v>
      </c>
      <c r="O1146" s="52"/>
      <c r="P1146" s="52"/>
      <c r="Q1146" s="52"/>
      <c r="R1146" s="51" t="b">
        <v>0</v>
      </c>
      <c r="S1146" s="51"/>
      <c r="T1146" s="52"/>
      <c r="U1146" s="51" t="b">
        <v>0</v>
      </c>
      <c r="V1146" s="51" t="b">
        <v>0</v>
      </c>
      <c r="W1146" s="51" t="b">
        <v>0</v>
      </c>
      <c r="X1146" s="51" t="b">
        <v>0</v>
      </c>
      <c r="Y1146" s="51" t="b">
        <v>0</v>
      </c>
      <c r="Z1146" s="51" t="b">
        <v>0</v>
      </c>
      <c r="AA1146" s="65"/>
      <c r="AB1146" s="52"/>
      <c r="AC1146" s="52"/>
      <c r="AD1146" s="52"/>
      <c r="AE1146" s="56"/>
      <c r="AF1146" s="56"/>
    </row>
    <row r="1147">
      <c r="A1147" s="52" t="s">
        <v>3970</v>
      </c>
      <c r="B1147" s="52" t="s">
        <v>22</v>
      </c>
      <c r="C1147" s="52" t="s">
        <v>66</v>
      </c>
      <c r="D1147" s="65">
        <v>0.45275462962962965</v>
      </c>
      <c r="E1147" s="65">
        <v>0.026319444444444444</v>
      </c>
      <c r="F1147" s="65">
        <v>0.4790740740740741</v>
      </c>
      <c r="G1147" s="65"/>
      <c r="H1147" s="52" t="s">
        <v>1501</v>
      </c>
      <c r="I1147" s="52" t="s">
        <v>1504</v>
      </c>
      <c r="J1147" s="52" t="s">
        <v>1505</v>
      </c>
      <c r="K1147" s="52"/>
      <c r="L1147" s="52"/>
      <c r="M1147" s="52"/>
      <c r="N1147" s="52" t="s">
        <v>110</v>
      </c>
      <c r="O1147" s="52"/>
      <c r="P1147" s="52"/>
      <c r="Q1147" s="73" t="s">
        <v>3973</v>
      </c>
      <c r="R1147" s="51" t="b">
        <v>0</v>
      </c>
      <c r="S1147" s="52" t="s">
        <v>1504</v>
      </c>
      <c r="T1147" s="52"/>
      <c r="U1147" s="51" t="b">
        <v>0</v>
      </c>
      <c r="V1147" s="51" t="b">
        <v>0</v>
      </c>
      <c r="W1147" s="51" t="b">
        <v>0</v>
      </c>
      <c r="X1147" s="51" t="b">
        <v>0</v>
      </c>
      <c r="Y1147" s="51" t="b">
        <v>0</v>
      </c>
      <c r="Z1147" s="51" t="b">
        <v>0</v>
      </c>
      <c r="AA1147" s="65"/>
      <c r="AB1147" s="52"/>
      <c r="AC1147" s="52"/>
      <c r="AD1147" s="52"/>
      <c r="AE1147" s="56" t="s">
        <v>629</v>
      </c>
      <c r="AF1147" s="56" t="s">
        <v>1253</v>
      </c>
    </row>
    <row r="1148">
      <c r="A1148" s="52" t="s">
        <v>3976</v>
      </c>
      <c r="B1148" s="52" t="s">
        <v>22</v>
      </c>
      <c r="C1148" s="52" t="s">
        <v>66</v>
      </c>
      <c r="D1148" s="65">
        <v>0.4790740740740741</v>
      </c>
      <c r="E1148" s="65">
        <v>0.0012037037037037038</v>
      </c>
      <c r="F1148" s="65">
        <v>0.4802777777777778</v>
      </c>
      <c r="G1148" s="65"/>
      <c r="H1148" s="52" t="s">
        <v>79</v>
      </c>
      <c r="I1148" s="52" t="s">
        <v>1497</v>
      </c>
      <c r="J1148" s="52"/>
      <c r="K1148" s="52"/>
      <c r="L1148" s="52"/>
      <c r="M1148" s="52"/>
      <c r="N1148" s="52" t="s">
        <v>70</v>
      </c>
      <c r="O1148" s="52"/>
      <c r="P1148" s="52"/>
      <c r="Q1148" s="52"/>
      <c r="R1148" s="51" t="b">
        <v>0</v>
      </c>
      <c r="S1148" s="51"/>
      <c r="T1148" s="52"/>
      <c r="U1148" s="51" t="b">
        <v>0</v>
      </c>
      <c r="V1148" s="51" t="b">
        <v>0</v>
      </c>
      <c r="W1148" s="51" t="b">
        <v>0</v>
      </c>
      <c r="X1148" s="51" t="b">
        <v>0</v>
      </c>
      <c r="Y1148" s="51" t="b">
        <v>0</v>
      </c>
      <c r="Z1148" s="51" t="b">
        <v>0</v>
      </c>
      <c r="AA1148" s="65"/>
      <c r="AB1148" s="52"/>
      <c r="AC1148" s="52"/>
      <c r="AD1148" s="52"/>
      <c r="AE1148" s="56"/>
      <c r="AF1148" s="56"/>
    </row>
    <row r="1149">
      <c r="A1149" s="52" t="s">
        <v>3981</v>
      </c>
      <c r="B1149" s="52" t="s">
        <v>22</v>
      </c>
      <c r="C1149" s="52" t="s">
        <v>289</v>
      </c>
      <c r="D1149" s="65">
        <v>0.4405787037037037</v>
      </c>
      <c r="E1149" s="65">
        <v>3.4722222222222224E-4</v>
      </c>
      <c r="F1149" s="65">
        <v>0.44092592592592594</v>
      </c>
      <c r="G1149" s="65"/>
      <c r="H1149" s="52" t="s">
        <v>81</v>
      </c>
      <c r="I1149" s="52" t="s">
        <v>1498</v>
      </c>
      <c r="J1149" s="52"/>
      <c r="K1149" s="52"/>
      <c r="L1149" s="52"/>
      <c r="M1149" s="52"/>
      <c r="N1149" s="52" t="s">
        <v>70</v>
      </c>
      <c r="O1149" s="52"/>
      <c r="P1149" s="52"/>
      <c r="Q1149" s="52"/>
      <c r="R1149" s="51" t="b">
        <v>0</v>
      </c>
      <c r="S1149" s="51"/>
      <c r="T1149" s="52"/>
      <c r="U1149" s="51" t="b">
        <v>0</v>
      </c>
      <c r="V1149" s="51" t="b">
        <v>0</v>
      </c>
      <c r="W1149" s="51" t="b">
        <v>0</v>
      </c>
      <c r="X1149" s="51" t="b">
        <v>0</v>
      </c>
      <c r="Y1149" s="51" t="b">
        <v>0</v>
      </c>
      <c r="Z1149" s="51" t="b">
        <v>0</v>
      </c>
      <c r="AA1149" s="65"/>
      <c r="AB1149" s="52"/>
      <c r="AC1149" s="52"/>
      <c r="AD1149" s="52"/>
      <c r="AE1149" s="56"/>
      <c r="AF1149" s="56"/>
    </row>
    <row r="1150">
      <c r="A1150" s="52" t="s">
        <v>3983</v>
      </c>
      <c r="B1150" s="52" t="s">
        <v>22</v>
      </c>
      <c r="C1150" s="52" t="s">
        <v>289</v>
      </c>
      <c r="D1150" s="65">
        <v>0.44092592592592594</v>
      </c>
      <c r="E1150" s="65">
        <v>0.03125</v>
      </c>
      <c r="F1150" s="65">
        <v>0.47217592592592594</v>
      </c>
      <c r="G1150" s="65"/>
      <c r="H1150" s="52" t="s">
        <v>1501</v>
      </c>
      <c r="I1150" s="52" t="s">
        <v>1605</v>
      </c>
      <c r="J1150" s="52" t="s">
        <v>255</v>
      </c>
      <c r="K1150" s="52"/>
      <c r="L1150" s="52"/>
      <c r="M1150" s="52"/>
      <c r="N1150" s="52" t="s">
        <v>439</v>
      </c>
      <c r="O1150" s="52"/>
      <c r="P1150" s="52"/>
      <c r="Q1150" s="52"/>
      <c r="R1150" s="51" t="b">
        <v>0</v>
      </c>
      <c r="S1150" s="51"/>
      <c r="T1150" s="52"/>
      <c r="U1150" s="51" t="b">
        <v>0</v>
      </c>
      <c r="V1150" s="51" t="b">
        <v>0</v>
      </c>
      <c r="W1150" s="51" t="b">
        <v>0</v>
      </c>
      <c r="X1150" s="51" t="b">
        <v>0</v>
      </c>
      <c r="Y1150" s="51" t="b">
        <v>0</v>
      </c>
      <c r="Z1150" s="51" t="b">
        <v>0</v>
      </c>
      <c r="AA1150" s="65"/>
      <c r="AB1150" s="52"/>
      <c r="AC1150" s="52"/>
      <c r="AD1150" s="52"/>
      <c r="AE1150" s="56" t="s">
        <v>1025</v>
      </c>
      <c r="AF1150" s="56" t="s">
        <v>1253</v>
      </c>
    </row>
    <row r="1151">
      <c r="A1151" s="52" t="s">
        <v>3984</v>
      </c>
      <c r="B1151" s="52" t="s">
        <v>22</v>
      </c>
      <c r="C1151" s="52" t="s">
        <v>289</v>
      </c>
      <c r="D1151" s="65">
        <v>0.47217592592592594</v>
      </c>
      <c r="E1151" s="65">
        <v>0.001388888888888889</v>
      </c>
      <c r="F1151" s="65">
        <v>0.4735648148148148</v>
      </c>
      <c r="G1151" s="65"/>
      <c r="H1151" s="52" t="s">
        <v>79</v>
      </c>
      <c r="I1151" s="52" t="s">
        <v>1497</v>
      </c>
      <c r="J1151" s="52"/>
      <c r="K1151" s="52"/>
      <c r="L1151" s="52"/>
      <c r="M1151" s="52"/>
      <c r="N1151" s="52" t="s">
        <v>70</v>
      </c>
      <c r="O1151" s="52"/>
      <c r="P1151" s="52"/>
      <c r="Q1151" s="52"/>
      <c r="R1151" s="51" t="b">
        <v>0</v>
      </c>
      <c r="S1151" s="51"/>
      <c r="T1151" s="52"/>
      <c r="U1151" s="51" t="b">
        <v>0</v>
      </c>
      <c r="V1151" s="51" t="b">
        <v>0</v>
      </c>
      <c r="W1151" s="51" t="b">
        <v>0</v>
      </c>
      <c r="X1151" s="51" t="b">
        <v>0</v>
      </c>
      <c r="Y1151" s="51" t="b">
        <v>0</v>
      </c>
      <c r="Z1151" s="51" t="b">
        <v>0</v>
      </c>
      <c r="AA1151" s="65"/>
      <c r="AB1151" s="52"/>
      <c r="AC1151" s="52"/>
      <c r="AD1151" s="52"/>
      <c r="AE1151" s="56"/>
      <c r="AF1151" s="56"/>
    </row>
    <row r="1152">
      <c r="A1152" s="52" t="s">
        <v>3986</v>
      </c>
      <c r="B1152" s="52" t="s">
        <v>22</v>
      </c>
      <c r="C1152" s="52" t="s">
        <v>66</v>
      </c>
      <c r="D1152" s="65">
        <v>0.6831134259259263</v>
      </c>
      <c r="E1152" s="65">
        <v>0.0</v>
      </c>
      <c r="F1152" s="65">
        <v>0.6831134259259263</v>
      </c>
      <c r="G1152" s="65"/>
      <c r="H1152" s="52" t="s">
        <v>85</v>
      </c>
      <c r="I1152" s="52" t="s">
        <v>1538</v>
      </c>
      <c r="J1152" s="52"/>
      <c r="K1152" s="52"/>
      <c r="L1152" s="52"/>
      <c r="M1152" s="52"/>
      <c r="N1152" s="52" t="s">
        <v>70</v>
      </c>
      <c r="O1152" s="52"/>
      <c r="P1152" s="52"/>
      <c r="Q1152" s="52"/>
      <c r="R1152" s="51" t="b">
        <v>0</v>
      </c>
      <c r="S1152" s="51"/>
      <c r="T1152" s="52"/>
      <c r="U1152" s="51" t="b">
        <v>0</v>
      </c>
      <c r="V1152" s="51" t="b">
        <v>0</v>
      </c>
      <c r="W1152" s="51" t="b">
        <v>0</v>
      </c>
      <c r="X1152" s="51" t="b">
        <v>0</v>
      </c>
      <c r="Y1152" s="51" t="b">
        <v>0</v>
      </c>
      <c r="Z1152" s="51" t="b">
        <v>0</v>
      </c>
      <c r="AA1152" s="65"/>
      <c r="AB1152" s="52"/>
      <c r="AC1152" s="52"/>
      <c r="AD1152" s="52"/>
      <c r="AE1152" s="56"/>
      <c r="AF1152" s="56"/>
    </row>
    <row r="1153">
      <c r="A1153" s="52" t="s">
        <v>3989</v>
      </c>
      <c r="B1153" s="52" t="s">
        <v>22</v>
      </c>
      <c r="C1153" s="52" t="s">
        <v>66</v>
      </c>
      <c r="D1153" s="65">
        <v>0.6831134259259263</v>
      </c>
      <c r="E1153" s="65">
        <v>0.0</v>
      </c>
      <c r="F1153" s="65">
        <v>0.6831134259259263</v>
      </c>
      <c r="G1153" s="65"/>
      <c r="H1153" s="52"/>
      <c r="I1153" s="52"/>
      <c r="J1153" s="52"/>
      <c r="K1153" s="52"/>
      <c r="L1153" s="52"/>
      <c r="M1153" s="52"/>
      <c r="N1153" s="52" t="s">
        <v>70</v>
      </c>
      <c r="O1153" s="52"/>
      <c r="P1153" s="52"/>
      <c r="Q1153" s="52"/>
      <c r="R1153" s="51" t="b">
        <v>0</v>
      </c>
      <c r="S1153" s="51"/>
      <c r="T1153" s="52"/>
      <c r="U1153" s="51" t="b">
        <v>0</v>
      </c>
      <c r="V1153" s="51" t="b">
        <v>0</v>
      </c>
      <c r="W1153" s="51" t="b">
        <v>0</v>
      </c>
      <c r="X1153" s="51" t="b">
        <v>0</v>
      </c>
      <c r="Y1153" s="51" t="b">
        <v>0</v>
      </c>
      <c r="Z1153" s="51" t="b">
        <v>0</v>
      </c>
      <c r="AA1153" s="65"/>
      <c r="AB1153" s="52"/>
      <c r="AC1153" s="52"/>
      <c r="AD1153" s="52"/>
      <c r="AE1153" s="56"/>
      <c r="AF1153" s="56"/>
    </row>
    <row r="1154">
      <c r="A1154" s="52" t="s">
        <v>3991</v>
      </c>
      <c r="B1154" s="52" t="s">
        <v>22</v>
      </c>
      <c r="C1154" s="52" t="s">
        <v>66</v>
      </c>
      <c r="D1154" s="65">
        <v>0.6831134259259263</v>
      </c>
      <c r="E1154" s="65">
        <v>0.0</v>
      </c>
      <c r="F1154" s="65">
        <v>0.6831134259259263</v>
      </c>
      <c r="G1154" s="65"/>
      <c r="H1154" s="52"/>
      <c r="I1154" s="52"/>
      <c r="J1154" s="52"/>
      <c r="K1154" s="52"/>
      <c r="L1154" s="52"/>
      <c r="M1154" s="52"/>
      <c r="N1154" s="52" t="s">
        <v>70</v>
      </c>
      <c r="O1154" s="52"/>
      <c r="P1154" s="52"/>
      <c r="Q1154" s="52"/>
      <c r="R1154" s="51" t="b">
        <v>0</v>
      </c>
      <c r="S1154" s="51"/>
      <c r="T1154" s="52"/>
      <c r="U1154" s="51" t="b">
        <v>0</v>
      </c>
      <c r="V1154" s="51" t="b">
        <v>0</v>
      </c>
      <c r="W1154" s="51" t="b">
        <v>0</v>
      </c>
      <c r="X1154" s="51" t="b">
        <v>0</v>
      </c>
      <c r="Y1154" s="51" t="b">
        <v>0</v>
      </c>
      <c r="Z1154" s="51" t="b">
        <v>0</v>
      </c>
      <c r="AA1154" s="65"/>
      <c r="AB1154" s="52"/>
      <c r="AC1154" s="52"/>
      <c r="AD1154" s="52"/>
      <c r="AE1154" s="56"/>
      <c r="AF1154" s="56"/>
    </row>
    <row r="1155">
      <c r="A1155" s="52" t="s">
        <v>3993</v>
      </c>
      <c r="B1155" s="52" t="s">
        <v>22</v>
      </c>
      <c r="C1155" s="52" t="s">
        <v>66</v>
      </c>
      <c r="D1155" s="65">
        <v>0.6831134259259263</v>
      </c>
      <c r="E1155" s="65">
        <v>0.0</v>
      </c>
      <c r="F1155" s="65">
        <v>0.6831134259259263</v>
      </c>
      <c r="G1155" s="65"/>
      <c r="H1155" s="52"/>
      <c r="I1155" s="52"/>
      <c r="J1155" s="52"/>
      <c r="K1155" s="52"/>
      <c r="L1155" s="52"/>
      <c r="M1155" s="52"/>
      <c r="N1155" s="52" t="s">
        <v>70</v>
      </c>
      <c r="O1155" s="52"/>
      <c r="P1155" s="52"/>
      <c r="Q1155" s="52"/>
      <c r="R1155" s="51" t="b">
        <v>0</v>
      </c>
      <c r="S1155" s="51"/>
      <c r="T1155" s="52"/>
      <c r="U1155" s="51" t="b">
        <v>0</v>
      </c>
      <c r="V1155" s="51" t="b">
        <v>0</v>
      </c>
      <c r="W1155" s="51" t="b">
        <v>0</v>
      </c>
      <c r="X1155" s="51" t="b">
        <v>0</v>
      </c>
      <c r="Y1155" s="51" t="b">
        <v>0</v>
      </c>
      <c r="Z1155" s="51" t="b">
        <v>0</v>
      </c>
      <c r="AA1155" s="65"/>
      <c r="AB1155" s="52"/>
      <c r="AC1155" s="52"/>
      <c r="AD1155" s="52"/>
      <c r="AE1155" s="56"/>
      <c r="AF1155" s="56"/>
    </row>
    <row r="1156">
      <c r="A1156" s="52" t="s">
        <v>3996</v>
      </c>
      <c r="B1156" s="52" t="s">
        <v>22</v>
      </c>
      <c r="C1156" s="52" t="s">
        <v>66</v>
      </c>
      <c r="D1156" s="65">
        <v>0.6831134259259263</v>
      </c>
      <c r="E1156" s="65">
        <v>0.0</v>
      </c>
      <c r="F1156" s="65">
        <v>0.6831134259259263</v>
      </c>
      <c r="G1156" s="65"/>
      <c r="H1156" s="52"/>
      <c r="I1156" s="52"/>
      <c r="J1156" s="52"/>
      <c r="K1156" s="52"/>
      <c r="L1156" s="52"/>
      <c r="M1156" s="52"/>
      <c r="N1156" s="52" t="s">
        <v>70</v>
      </c>
      <c r="O1156" s="52"/>
      <c r="P1156" s="52"/>
      <c r="Q1156" s="52"/>
      <c r="R1156" s="51" t="b">
        <v>0</v>
      </c>
      <c r="S1156" s="51"/>
      <c r="T1156" s="52"/>
      <c r="U1156" s="51" t="b">
        <v>0</v>
      </c>
      <c r="V1156" s="51" t="b">
        <v>0</v>
      </c>
      <c r="W1156" s="51" t="b">
        <v>0</v>
      </c>
      <c r="X1156" s="51" t="b">
        <v>0</v>
      </c>
      <c r="Y1156" s="51" t="b">
        <v>0</v>
      </c>
      <c r="Z1156" s="51" t="b">
        <v>0</v>
      </c>
      <c r="AA1156" s="65"/>
      <c r="AB1156" s="52"/>
      <c r="AC1156" s="52"/>
      <c r="AD1156" s="52"/>
      <c r="AE1156" s="56"/>
      <c r="AF1156" s="56"/>
    </row>
    <row r="1157">
      <c r="A1157" s="52" t="s">
        <v>3998</v>
      </c>
      <c r="B1157" s="52" t="s">
        <v>22</v>
      </c>
      <c r="C1157" s="52" t="s">
        <v>66</v>
      </c>
      <c r="D1157" s="65">
        <v>0.6831134259259263</v>
      </c>
      <c r="E1157" s="65">
        <v>0.0</v>
      </c>
      <c r="F1157" s="65">
        <v>0.6831134259259263</v>
      </c>
      <c r="G1157" s="65"/>
      <c r="H1157" s="52"/>
      <c r="I1157" s="52"/>
      <c r="J1157" s="52"/>
      <c r="K1157" s="52"/>
      <c r="L1157" s="52"/>
      <c r="M1157" s="52"/>
      <c r="N1157" s="52" t="s">
        <v>70</v>
      </c>
      <c r="O1157" s="52"/>
      <c r="P1157" s="52"/>
      <c r="Q1157" s="52"/>
      <c r="R1157" s="51" t="b">
        <v>0</v>
      </c>
      <c r="S1157" s="51"/>
      <c r="T1157" s="52"/>
      <c r="U1157" s="51" t="b">
        <v>0</v>
      </c>
      <c r="V1157" s="51" t="b">
        <v>0</v>
      </c>
      <c r="W1157" s="51" t="b">
        <v>0</v>
      </c>
      <c r="X1157" s="51" t="b">
        <v>0</v>
      </c>
      <c r="Y1157" s="51" t="b">
        <v>0</v>
      </c>
      <c r="Z1157" s="51" t="b">
        <v>0</v>
      </c>
      <c r="AA1157" s="65"/>
      <c r="AB1157" s="52"/>
      <c r="AC1157" s="52"/>
      <c r="AD1157" s="52"/>
      <c r="AE1157" s="56"/>
      <c r="AF1157" s="56"/>
    </row>
    <row r="1158">
      <c r="A1158" s="52" t="s">
        <v>4000</v>
      </c>
      <c r="B1158" s="52" t="s">
        <v>22</v>
      </c>
      <c r="C1158" s="52" t="s">
        <v>66</v>
      </c>
      <c r="D1158" s="65">
        <v>0.6831134259259263</v>
      </c>
      <c r="E1158" s="65">
        <v>0.0</v>
      </c>
      <c r="F1158" s="65">
        <v>0.6831134259259263</v>
      </c>
      <c r="G1158" s="65"/>
      <c r="H1158" s="52"/>
      <c r="I1158" s="52"/>
      <c r="J1158" s="52"/>
      <c r="K1158" s="52"/>
      <c r="L1158" s="52"/>
      <c r="M1158" s="52"/>
      <c r="N1158" s="52" t="s">
        <v>70</v>
      </c>
      <c r="O1158" s="52"/>
      <c r="P1158" s="52"/>
      <c r="Q1158" s="52"/>
      <c r="R1158" s="51" t="b">
        <v>0</v>
      </c>
      <c r="S1158" s="51"/>
      <c r="T1158" s="52"/>
      <c r="U1158" s="51" t="b">
        <v>0</v>
      </c>
      <c r="V1158" s="51" t="b">
        <v>0</v>
      </c>
      <c r="W1158" s="51" t="b">
        <v>0</v>
      </c>
      <c r="X1158" s="51" t="b">
        <v>0</v>
      </c>
      <c r="Y1158" s="51" t="b">
        <v>0</v>
      </c>
      <c r="Z1158" s="51" t="b">
        <v>0</v>
      </c>
      <c r="AA1158" s="65"/>
      <c r="AB1158" s="52"/>
      <c r="AC1158" s="52"/>
      <c r="AD1158" s="52"/>
      <c r="AE1158" s="56"/>
      <c r="AF1158" s="56"/>
    </row>
    <row r="1159">
      <c r="A1159" s="52" t="s">
        <v>4002</v>
      </c>
      <c r="B1159" s="52" t="s">
        <v>22</v>
      </c>
      <c r="C1159" s="52" t="s">
        <v>66</v>
      </c>
      <c r="D1159" s="65">
        <v>0.6831134259259263</v>
      </c>
      <c r="E1159" s="65">
        <v>0.0</v>
      </c>
      <c r="F1159" s="65">
        <v>0.6831134259259263</v>
      </c>
      <c r="G1159" s="65"/>
      <c r="H1159" s="52"/>
      <c r="I1159" s="52"/>
      <c r="J1159" s="52"/>
      <c r="K1159" s="52"/>
      <c r="L1159" s="52"/>
      <c r="M1159" s="52"/>
      <c r="N1159" s="52" t="s">
        <v>70</v>
      </c>
      <c r="O1159" s="52"/>
      <c r="P1159" s="52"/>
      <c r="Q1159" s="52"/>
      <c r="R1159" s="51" t="b">
        <v>0</v>
      </c>
      <c r="S1159" s="51"/>
      <c r="T1159" s="52"/>
      <c r="U1159" s="51" t="b">
        <v>0</v>
      </c>
      <c r="V1159" s="51" t="b">
        <v>0</v>
      </c>
      <c r="W1159" s="51" t="b">
        <v>0</v>
      </c>
      <c r="X1159" s="51" t="b">
        <v>0</v>
      </c>
      <c r="Y1159" s="51" t="b">
        <v>0</v>
      </c>
      <c r="Z1159" s="51" t="b">
        <v>0</v>
      </c>
      <c r="AA1159" s="65"/>
      <c r="AB1159" s="52"/>
      <c r="AC1159" s="52"/>
      <c r="AD1159" s="52"/>
      <c r="AE1159" s="56"/>
      <c r="AF1159" s="56"/>
    </row>
    <row r="1160">
      <c r="A1160" s="52" t="s">
        <v>4003</v>
      </c>
      <c r="B1160" s="52" t="s">
        <v>22</v>
      </c>
      <c r="C1160" s="52" t="s">
        <v>66</v>
      </c>
      <c r="D1160" s="65">
        <v>0.6831134259259263</v>
      </c>
      <c r="E1160" s="65">
        <v>0.0</v>
      </c>
      <c r="F1160" s="65">
        <v>0.6831134259259263</v>
      </c>
      <c r="G1160" s="65"/>
      <c r="H1160" s="52"/>
      <c r="I1160" s="52"/>
      <c r="J1160" s="52"/>
      <c r="K1160" s="52"/>
      <c r="L1160" s="52"/>
      <c r="M1160" s="52"/>
      <c r="N1160" s="52" t="s">
        <v>70</v>
      </c>
      <c r="O1160" s="52"/>
      <c r="P1160" s="52"/>
      <c r="Q1160" s="52"/>
      <c r="R1160" s="51" t="b">
        <v>0</v>
      </c>
      <c r="S1160" s="51"/>
      <c r="T1160" s="52"/>
      <c r="U1160" s="51" t="b">
        <v>0</v>
      </c>
      <c r="V1160" s="51" t="b">
        <v>0</v>
      </c>
      <c r="W1160" s="51" t="b">
        <v>0</v>
      </c>
      <c r="X1160" s="51" t="b">
        <v>0</v>
      </c>
      <c r="Y1160" s="51" t="b">
        <v>0</v>
      </c>
      <c r="Z1160" s="51" t="b">
        <v>0</v>
      </c>
      <c r="AA1160" s="65"/>
      <c r="AB1160" s="52"/>
      <c r="AC1160" s="52"/>
      <c r="AD1160" s="52"/>
      <c r="AE1160" s="56"/>
      <c r="AF1160" s="56"/>
    </row>
    <row r="1161">
      <c r="A1161" s="52" t="s">
        <v>4005</v>
      </c>
      <c r="B1161" s="52" t="s">
        <v>22</v>
      </c>
      <c r="C1161" s="52" t="s">
        <v>66</v>
      </c>
      <c r="D1161" s="65">
        <v>0.6831134259259263</v>
      </c>
      <c r="E1161" s="65">
        <v>0.0</v>
      </c>
      <c r="F1161" s="65">
        <v>0.6831134259259263</v>
      </c>
      <c r="G1161" s="65"/>
      <c r="H1161" s="52"/>
      <c r="I1161" s="52"/>
      <c r="J1161" s="52"/>
      <c r="K1161" s="52"/>
      <c r="L1161" s="52"/>
      <c r="M1161" s="52"/>
      <c r="N1161" s="52" t="s">
        <v>70</v>
      </c>
      <c r="O1161" s="52"/>
      <c r="P1161" s="52"/>
      <c r="Q1161" s="52"/>
      <c r="R1161" s="51" t="b">
        <v>0</v>
      </c>
      <c r="S1161" s="51"/>
      <c r="T1161" s="52"/>
      <c r="U1161" s="51" t="b">
        <v>0</v>
      </c>
      <c r="V1161" s="51" t="b">
        <v>0</v>
      </c>
      <c r="W1161" s="51" t="b">
        <v>0</v>
      </c>
      <c r="X1161" s="51" t="b">
        <v>0</v>
      </c>
      <c r="Y1161" s="51" t="b">
        <v>0</v>
      </c>
      <c r="Z1161" s="51" t="b">
        <v>0</v>
      </c>
      <c r="AA1161" s="65"/>
      <c r="AB1161" s="52"/>
      <c r="AC1161" s="52"/>
      <c r="AD1161" s="52"/>
      <c r="AE1161" s="56"/>
      <c r="AF1161" s="56"/>
    </row>
    <row r="1162">
      <c r="A1162" s="52" t="s">
        <v>4009</v>
      </c>
      <c r="B1162" s="52" t="s">
        <v>22</v>
      </c>
      <c r="C1162" s="52" t="s">
        <v>66</v>
      </c>
      <c r="D1162" s="65"/>
      <c r="E1162" s="65"/>
      <c r="F1162" s="65"/>
      <c r="G1162" s="65"/>
      <c r="H1162" s="52"/>
      <c r="I1162" s="52"/>
      <c r="J1162" s="52"/>
      <c r="K1162" s="52"/>
      <c r="L1162" s="52"/>
      <c r="M1162" s="52"/>
      <c r="N1162" s="52" t="s">
        <v>70</v>
      </c>
      <c r="O1162" s="52"/>
      <c r="P1162" s="52"/>
      <c r="Q1162" s="52"/>
      <c r="R1162" s="51" t="b">
        <v>0</v>
      </c>
      <c r="S1162" s="51"/>
      <c r="T1162" s="52"/>
      <c r="U1162" s="51" t="b">
        <v>0</v>
      </c>
      <c r="V1162" s="51" t="b">
        <v>0</v>
      </c>
      <c r="W1162" s="51" t="b">
        <v>0</v>
      </c>
      <c r="X1162" s="51" t="b">
        <v>0</v>
      </c>
      <c r="Y1162" s="51" t="b">
        <v>0</v>
      </c>
      <c r="Z1162" s="51" t="b">
        <v>0</v>
      </c>
      <c r="AA1162" s="65"/>
      <c r="AB1162" s="52"/>
      <c r="AC1162" s="52"/>
      <c r="AD1162" s="52"/>
      <c r="AE1162" s="56"/>
      <c r="AF1162" s="56"/>
    </row>
    <row r="1163">
      <c r="A1163" s="52" t="s">
        <v>4011</v>
      </c>
      <c r="B1163" s="52" t="s">
        <v>22</v>
      </c>
      <c r="C1163" s="52" t="s">
        <v>66</v>
      </c>
      <c r="D1163" s="65"/>
      <c r="E1163" s="65"/>
      <c r="F1163" s="65"/>
      <c r="G1163" s="65"/>
      <c r="H1163" s="52"/>
      <c r="I1163" s="52"/>
      <c r="J1163" s="52"/>
      <c r="K1163" s="52"/>
      <c r="L1163" s="52"/>
      <c r="M1163" s="52"/>
      <c r="N1163" s="52" t="s">
        <v>70</v>
      </c>
      <c r="O1163" s="52"/>
      <c r="P1163" s="52"/>
      <c r="Q1163" s="52"/>
      <c r="R1163" s="51" t="b">
        <v>0</v>
      </c>
      <c r="S1163" s="51"/>
      <c r="T1163" s="52"/>
      <c r="U1163" s="51" t="b">
        <v>0</v>
      </c>
      <c r="V1163" s="51" t="b">
        <v>0</v>
      </c>
      <c r="W1163" s="51" t="b">
        <v>0</v>
      </c>
      <c r="X1163" s="51" t="b">
        <v>0</v>
      </c>
      <c r="Y1163" s="51" t="b">
        <v>0</v>
      </c>
      <c r="Z1163" s="51" t="b">
        <v>0</v>
      </c>
      <c r="AA1163" s="65"/>
      <c r="AB1163" s="52"/>
      <c r="AC1163" s="52"/>
      <c r="AD1163" s="52"/>
      <c r="AE1163" s="56"/>
      <c r="AF1163" s="56"/>
    </row>
    <row r="1164">
      <c r="A1164" s="52" t="s">
        <v>4013</v>
      </c>
      <c r="B1164" s="52" t="s">
        <v>22</v>
      </c>
      <c r="C1164" s="52" t="s">
        <v>66</v>
      </c>
      <c r="D1164" s="65"/>
      <c r="E1164" s="65"/>
      <c r="F1164" s="65"/>
      <c r="G1164" s="65"/>
      <c r="H1164" s="52"/>
      <c r="I1164" s="52"/>
      <c r="J1164" s="52"/>
      <c r="K1164" s="52"/>
      <c r="L1164" s="52"/>
      <c r="M1164" s="52"/>
      <c r="N1164" s="52" t="s">
        <v>70</v>
      </c>
      <c r="O1164" s="52"/>
      <c r="P1164" s="52"/>
      <c r="Q1164" s="52"/>
      <c r="R1164" s="51" t="b">
        <v>0</v>
      </c>
      <c r="S1164" s="51"/>
      <c r="T1164" s="52"/>
      <c r="U1164" s="51" t="b">
        <v>0</v>
      </c>
      <c r="V1164" s="51" t="b">
        <v>0</v>
      </c>
      <c r="W1164" s="51" t="b">
        <v>0</v>
      </c>
      <c r="X1164" s="51" t="b">
        <v>0</v>
      </c>
      <c r="Y1164" s="51" t="b">
        <v>0</v>
      </c>
      <c r="Z1164" s="51" t="b">
        <v>0</v>
      </c>
      <c r="AA1164" s="65"/>
      <c r="AB1164" s="52"/>
      <c r="AC1164" s="52"/>
      <c r="AD1164" s="52"/>
      <c r="AE1164" s="56"/>
      <c r="AF1164" s="56"/>
    </row>
    <row r="1165">
      <c r="A1165" s="52" t="s">
        <v>4015</v>
      </c>
      <c r="B1165" s="52" t="s">
        <v>22</v>
      </c>
      <c r="C1165" s="52" t="s">
        <v>66</v>
      </c>
      <c r="D1165" s="65"/>
      <c r="E1165" s="65"/>
      <c r="F1165" s="65"/>
      <c r="G1165" s="65"/>
      <c r="H1165" s="52"/>
      <c r="I1165" s="52"/>
      <c r="J1165" s="52"/>
      <c r="K1165" s="52"/>
      <c r="L1165" s="52"/>
      <c r="M1165" s="52"/>
      <c r="N1165" s="52" t="s">
        <v>70</v>
      </c>
      <c r="O1165" s="52"/>
      <c r="P1165" s="52"/>
      <c r="Q1165" s="52"/>
      <c r="R1165" s="51" t="b">
        <v>0</v>
      </c>
      <c r="S1165" s="51"/>
      <c r="T1165" s="52"/>
      <c r="U1165" s="51" t="b">
        <v>0</v>
      </c>
      <c r="V1165" s="51" t="b">
        <v>0</v>
      </c>
      <c r="W1165" s="51" t="b">
        <v>0</v>
      </c>
      <c r="X1165" s="51" t="b">
        <v>0</v>
      </c>
      <c r="Y1165" s="51" t="b">
        <v>0</v>
      </c>
      <c r="Z1165" s="51" t="b">
        <v>0</v>
      </c>
      <c r="AA1165" s="65"/>
      <c r="AB1165" s="52"/>
      <c r="AC1165" s="52"/>
      <c r="AD1165" s="52"/>
      <c r="AE1165" s="56"/>
      <c r="AF1165" s="56"/>
    </row>
    <row r="1166">
      <c r="A1166" s="52" t="s">
        <v>4019</v>
      </c>
      <c r="B1166" s="52" t="s">
        <v>22</v>
      </c>
      <c r="C1166" s="52" t="s">
        <v>66</v>
      </c>
      <c r="D1166" s="65"/>
      <c r="E1166" s="65"/>
      <c r="F1166" s="65"/>
      <c r="G1166" s="65"/>
      <c r="H1166" s="52"/>
      <c r="I1166" s="52"/>
      <c r="J1166" s="52"/>
      <c r="K1166" s="52"/>
      <c r="L1166" s="52"/>
      <c r="M1166" s="52"/>
      <c r="N1166" s="52" t="s">
        <v>70</v>
      </c>
      <c r="O1166" s="52"/>
      <c r="P1166" s="52"/>
      <c r="Q1166" s="52"/>
      <c r="R1166" s="51" t="b">
        <v>0</v>
      </c>
      <c r="S1166" s="51"/>
      <c r="T1166" s="52"/>
      <c r="U1166" s="51" t="b">
        <v>0</v>
      </c>
      <c r="V1166" s="51" t="b">
        <v>0</v>
      </c>
      <c r="W1166" s="51" t="b">
        <v>0</v>
      </c>
      <c r="X1166" s="51" t="b">
        <v>0</v>
      </c>
      <c r="Y1166" s="51" t="b">
        <v>0</v>
      </c>
      <c r="Z1166" s="51" t="b">
        <v>0</v>
      </c>
      <c r="AA1166" s="65"/>
      <c r="AB1166" s="52"/>
      <c r="AC1166" s="52"/>
      <c r="AD1166" s="52"/>
      <c r="AE1166" s="56"/>
      <c r="AF1166" s="56"/>
    </row>
    <row r="1167">
      <c r="A1167" s="52" t="s">
        <v>4021</v>
      </c>
      <c r="B1167" s="52" t="s">
        <v>22</v>
      </c>
      <c r="C1167" s="52" t="s">
        <v>66</v>
      </c>
      <c r="D1167" s="65"/>
      <c r="E1167" s="65"/>
      <c r="F1167" s="65"/>
      <c r="G1167" s="65"/>
      <c r="H1167" s="52"/>
      <c r="I1167" s="52"/>
      <c r="J1167" s="52"/>
      <c r="K1167" s="52"/>
      <c r="L1167" s="52"/>
      <c r="M1167" s="52"/>
      <c r="N1167" s="52" t="s">
        <v>70</v>
      </c>
      <c r="O1167" s="52"/>
      <c r="P1167" s="52"/>
      <c r="Q1167" s="52"/>
      <c r="R1167" s="51" t="b">
        <v>0</v>
      </c>
      <c r="S1167" s="51"/>
      <c r="T1167" s="52"/>
      <c r="U1167" s="51" t="b">
        <v>0</v>
      </c>
      <c r="V1167" s="51" t="b">
        <v>0</v>
      </c>
      <c r="W1167" s="51" t="b">
        <v>0</v>
      </c>
      <c r="X1167" s="51" t="b">
        <v>0</v>
      </c>
      <c r="Y1167" s="51" t="b">
        <v>0</v>
      </c>
      <c r="Z1167" s="51" t="b">
        <v>0</v>
      </c>
      <c r="AA1167" s="65"/>
      <c r="AB1167" s="52"/>
      <c r="AC1167" s="52"/>
      <c r="AD1167" s="52"/>
      <c r="AE1167" s="56"/>
      <c r="AF1167" s="56"/>
    </row>
    <row r="1168">
      <c r="A1168" s="52" t="s">
        <v>4023</v>
      </c>
      <c r="B1168" s="52" t="s">
        <v>22</v>
      </c>
      <c r="C1168" s="52" t="s">
        <v>66</v>
      </c>
      <c r="D1168" s="65"/>
      <c r="E1168" s="65"/>
      <c r="F1168" s="65"/>
      <c r="G1168" s="65"/>
      <c r="H1168" s="52"/>
      <c r="I1168" s="52"/>
      <c r="J1168" s="52"/>
      <c r="K1168" s="52"/>
      <c r="L1168" s="52"/>
      <c r="M1168" s="52"/>
      <c r="N1168" s="52" t="s">
        <v>70</v>
      </c>
      <c r="O1168" s="52"/>
      <c r="P1168" s="52"/>
      <c r="Q1168" s="52"/>
      <c r="R1168" s="51" t="b">
        <v>0</v>
      </c>
      <c r="S1168" s="51"/>
      <c r="T1168" s="52"/>
      <c r="U1168" s="51" t="b">
        <v>0</v>
      </c>
      <c r="V1168" s="51" t="b">
        <v>0</v>
      </c>
      <c r="W1168" s="51" t="b">
        <v>0</v>
      </c>
      <c r="X1168" s="51" t="b">
        <v>0</v>
      </c>
      <c r="Y1168" s="51" t="b">
        <v>0</v>
      </c>
      <c r="Z1168" s="51" t="b">
        <v>0</v>
      </c>
      <c r="AA1168" s="65"/>
      <c r="AB1168" s="52"/>
      <c r="AC1168" s="52"/>
      <c r="AD1168" s="52"/>
      <c r="AE1168" s="56"/>
      <c r="AF1168" s="56"/>
    </row>
    <row r="1169">
      <c r="A1169" s="52" t="s">
        <v>4026</v>
      </c>
      <c r="B1169" s="52" t="s">
        <v>22</v>
      </c>
      <c r="C1169" s="52" t="s">
        <v>66</v>
      </c>
      <c r="D1169" s="65"/>
      <c r="E1169" s="65"/>
      <c r="F1169" s="65"/>
      <c r="G1169" s="65"/>
      <c r="H1169" s="52"/>
      <c r="I1169" s="52"/>
      <c r="J1169" s="52"/>
      <c r="K1169" s="52"/>
      <c r="L1169" s="52"/>
      <c r="M1169" s="52"/>
      <c r="N1169" s="52" t="s">
        <v>70</v>
      </c>
      <c r="O1169" s="52"/>
      <c r="P1169" s="52"/>
      <c r="Q1169" s="52"/>
      <c r="R1169" s="51" t="b">
        <v>0</v>
      </c>
      <c r="S1169" s="51"/>
      <c r="T1169" s="52"/>
      <c r="U1169" s="51" t="b">
        <v>0</v>
      </c>
      <c r="V1169" s="51" t="b">
        <v>0</v>
      </c>
      <c r="W1169" s="51" t="b">
        <v>0</v>
      </c>
      <c r="X1169" s="51" t="b">
        <v>0</v>
      </c>
      <c r="Y1169" s="51" t="b">
        <v>0</v>
      </c>
      <c r="Z1169" s="51" t="b">
        <v>0</v>
      </c>
      <c r="AA1169" s="65"/>
      <c r="AB1169" s="52"/>
      <c r="AC1169" s="52"/>
      <c r="AD1169" s="52"/>
      <c r="AE1169" s="56"/>
      <c r="AF1169" s="56"/>
    </row>
    <row r="1170">
      <c r="A1170" s="52" t="s">
        <v>4028</v>
      </c>
      <c r="B1170" s="52" t="s">
        <v>22</v>
      </c>
      <c r="C1170" s="52" t="s">
        <v>66</v>
      </c>
      <c r="D1170" s="65"/>
      <c r="E1170" s="65"/>
      <c r="F1170" s="65"/>
      <c r="G1170" s="65"/>
      <c r="H1170" s="52"/>
      <c r="I1170" s="52"/>
      <c r="J1170" s="52"/>
      <c r="K1170" s="52"/>
      <c r="L1170" s="52"/>
      <c r="M1170" s="52"/>
      <c r="N1170" s="52"/>
      <c r="O1170" s="52"/>
      <c r="P1170" s="52"/>
      <c r="Q1170" s="52"/>
      <c r="R1170" s="51" t="b">
        <v>0</v>
      </c>
      <c r="S1170" s="51"/>
      <c r="T1170" s="52"/>
      <c r="U1170" s="51" t="b">
        <v>0</v>
      </c>
      <c r="V1170" s="51" t="b">
        <v>0</v>
      </c>
      <c r="W1170" s="51" t="b">
        <v>0</v>
      </c>
      <c r="X1170" s="51" t="b">
        <v>0</v>
      </c>
      <c r="Y1170" s="51" t="b">
        <v>0</v>
      </c>
      <c r="Z1170" s="51" t="b">
        <v>0</v>
      </c>
      <c r="AA1170" s="65"/>
      <c r="AB1170" s="52"/>
      <c r="AC1170" s="52"/>
      <c r="AD1170" s="52"/>
      <c r="AE1170" s="56"/>
      <c r="AF1170" s="56"/>
    </row>
    <row r="1171">
      <c r="A1171" s="52" t="s">
        <v>4030</v>
      </c>
      <c r="B1171" s="52" t="s">
        <v>22</v>
      </c>
      <c r="C1171" s="52" t="s">
        <v>66</v>
      </c>
      <c r="D1171" s="65"/>
      <c r="E1171" s="65"/>
      <c r="F1171" s="65"/>
      <c r="G1171" s="65"/>
      <c r="H1171" s="52"/>
      <c r="I1171" s="52"/>
      <c r="J1171" s="52"/>
      <c r="K1171" s="52"/>
      <c r="L1171" s="52"/>
      <c r="M1171" s="52"/>
      <c r="N1171" s="52"/>
      <c r="O1171" s="52"/>
      <c r="P1171" s="52"/>
      <c r="Q1171" s="52"/>
      <c r="R1171" s="51" t="b">
        <v>0</v>
      </c>
      <c r="S1171" s="51"/>
      <c r="T1171" s="52"/>
      <c r="U1171" s="51" t="b">
        <v>0</v>
      </c>
      <c r="V1171" s="51" t="b">
        <v>0</v>
      </c>
      <c r="W1171" s="51" t="b">
        <v>0</v>
      </c>
      <c r="X1171" s="51" t="b">
        <v>0</v>
      </c>
      <c r="Y1171" s="51" t="b">
        <v>0</v>
      </c>
      <c r="Z1171" s="51" t="b">
        <v>0</v>
      </c>
      <c r="AA1171" s="65"/>
      <c r="AB1171" s="52"/>
      <c r="AC1171" s="52"/>
      <c r="AD1171" s="52"/>
      <c r="AE1171" s="56"/>
      <c r="AF1171" s="56"/>
    </row>
    <row r="1172">
      <c r="A1172" s="52" t="s">
        <v>4032</v>
      </c>
      <c r="B1172" s="52" t="s">
        <v>22</v>
      </c>
      <c r="C1172" s="52" t="s">
        <v>66</v>
      </c>
      <c r="D1172" s="65"/>
      <c r="E1172" s="65"/>
      <c r="F1172" s="65"/>
      <c r="G1172" s="65"/>
      <c r="H1172" s="52"/>
      <c r="I1172" s="52"/>
      <c r="J1172" s="52"/>
      <c r="K1172" s="52"/>
      <c r="L1172" s="52"/>
      <c r="M1172" s="52"/>
      <c r="N1172" s="52"/>
      <c r="O1172" s="52"/>
      <c r="P1172" s="52"/>
      <c r="Q1172" s="52"/>
      <c r="R1172" s="51" t="b">
        <v>0</v>
      </c>
      <c r="S1172" s="51"/>
      <c r="T1172" s="52"/>
      <c r="U1172" s="51" t="b">
        <v>0</v>
      </c>
      <c r="V1172" s="51" t="b">
        <v>0</v>
      </c>
      <c r="W1172" s="51" t="b">
        <v>0</v>
      </c>
      <c r="X1172" s="51" t="b">
        <v>0</v>
      </c>
      <c r="Y1172" s="51" t="b">
        <v>0</v>
      </c>
      <c r="Z1172" s="51" t="b">
        <v>0</v>
      </c>
      <c r="AA1172" s="65"/>
      <c r="AB1172" s="52"/>
      <c r="AC1172" s="52"/>
      <c r="AD1172" s="52"/>
      <c r="AE1172" s="56"/>
      <c r="AF1172" s="56"/>
    </row>
    <row r="1173">
      <c r="A1173" s="52" t="s">
        <v>4043</v>
      </c>
      <c r="B1173" s="52" t="s">
        <v>22</v>
      </c>
      <c r="C1173" s="52" t="s">
        <v>66</v>
      </c>
      <c r="D1173" s="65"/>
      <c r="E1173" s="65"/>
      <c r="F1173" s="65"/>
      <c r="G1173" s="65"/>
      <c r="H1173" s="52"/>
      <c r="I1173" s="52"/>
      <c r="J1173" s="52"/>
      <c r="K1173" s="52"/>
      <c r="L1173" s="52"/>
      <c r="M1173" s="52"/>
      <c r="N1173" s="52" t="s">
        <v>70</v>
      </c>
      <c r="O1173" s="52"/>
      <c r="P1173" s="52"/>
      <c r="Q1173" s="52"/>
      <c r="R1173" s="51" t="b">
        <v>0</v>
      </c>
      <c r="S1173" s="51"/>
      <c r="T1173" s="52"/>
      <c r="U1173" s="51" t="b">
        <v>0</v>
      </c>
      <c r="V1173" s="51" t="b">
        <v>0</v>
      </c>
      <c r="W1173" s="51" t="b">
        <v>0</v>
      </c>
      <c r="X1173" s="51" t="b">
        <v>0</v>
      </c>
      <c r="Y1173" s="51" t="b">
        <v>0</v>
      </c>
      <c r="Z1173" s="51" t="b">
        <v>0</v>
      </c>
      <c r="AA1173" s="65"/>
      <c r="AB1173" s="52"/>
      <c r="AC1173" s="52"/>
      <c r="AD1173" s="52"/>
      <c r="AE1173" s="56"/>
      <c r="AF1173" s="56"/>
    </row>
    <row r="1174">
      <c r="A1174" s="52" t="s">
        <v>4045</v>
      </c>
      <c r="B1174" s="52" t="s">
        <v>220</v>
      </c>
      <c r="C1174" s="52"/>
      <c r="D1174" s="65"/>
      <c r="E1174" s="65"/>
      <c r="F1174" s="65"/>
      <c r="G1174" s="65"/>
      <c r="H1174" s="52"/>
      <c r="I1174" s="52"/>
      <c r="J1174" s="52"/>
      <c r="K1174" s="52"/>
      <c r="L1174" s="52"/>
      <c r="M1174" s="52"/>
      <c r="N1174" s="52"/>
      <c r="O1174" s="52"/>
      <c r="P1174" s="52"/>
      <c r="Q1174" s="52"/>
      <c r="R1174" s="51" t="b">
        <v>0</v>
      </c>
      <c r="S1174" s="51"/>
      <c r="T1174" s="52"/>
      <c r="U1174" s="51" t="b">
        <v>0</v>
      </c>
      <c r="V1174" s="51" t="b">
        <v>0</v>
      </c>
      <c r="W1174" s="51" t="b">
        <v>0</v>
      </c>
      <c r="X1174" s="51" t="b">
        <v>0</v>
      </c>
      <c r="Y1174" s="51" t="b">
        <v>0</v>
      </c>
      <c r="Z1174" s="51" t="b">
        <v>0</v>
      </c>
      <c r="AA1174" s="68"/>
      <c r="AB1174" s="52"/>
      <c r="AC1174" s="52"/>
      <c r="AD1174" s="52"/>
      <c r="AE1174" s="56"/>
      <c r="AF1174" s="56"/>
    </row>
    <row r="1175">
      <c r="A1175" s="52" t="s">
        <v>4048</v>
      </c>
      <c r="B1175" s="52" t="s">
        <v>22</v>
      </c>
      <c r="C1175" s="52" t="s">
        <v>221</v>
      </c>
      <c r="D1175" s="65">
        <v>0.4166666666666667</v>
      </c>
      <c r="E1175" s="65">
        <v>0.0012037037037037038</v>
      </c>
      <c r="F1175" s="65">
        <v>0.4178703703703704</v>
      </c>
      <c r="G1175" s="65"/>
      <c r="H1175" s="52" t="s">
        <v>79</v>
      </c>
      <c r="I1175" s="52" t="s">
        <v>1497</v>
      </c>
      <c r="J1175" s="52"/>
      <c r="K1175" s="52"/>
      <c r="L1175" s="52"/>
      <c r="M1175" s="52"/>
      <c r="N1175" s="52" t="s">
        <v>70</v>
      </c>
      <c r="O1175" s="52"/>
      <c r="P1175" s="52"/>
      <c r="Q1175" s="52"/>
      <c r="R1175" s="51" t="b">
        <v>0</v>
      </c>
      <c r="S1175" s="51"/>
      <c r="T1175" s="52"/>
      <c r="U1175" s="51" t="b">
        <v>0</v>
      </c>
      <c r="V1175" s="51" t="b">
        <v>0</v>
      </c>
      <c r="W1175" s="51" t="b">
        <v>0</v>
      </c>
      <c r="X1175" s="51" t="b">
        <v>0</v>
      </c>
      <c r="Y1175" s="51" t="b">
        <v>0</v>
      </c>
      <c r="Z1175" s="51" t="b">
        <v>0</v>
      </c>
      <c r="AA1175" s="65"/>
      <c r="AB1175" s="52"/>
      <c r="AC1175" s="52"/>
      <c r="AD1175" s="52"/>
      <c r="AE1175" s="56"/>
      <c r="AF1175" s="56"/>
    </row>
    <row r="1176">
      <c r="A1176" s="52" t="s">
        <v>4051</v>
      </c>
      <c r="B1176" s="52" t="s">
        <v>22</v>
      </c>
      <c r="C1176" s="52" t="s">
        <v>66</v>
      </c>
      <c r="D1176" s="65">
        <v>0.41805555555555557</v>
      </c>
      <c r="E1176" s="65">
        <v>3.4722222222222224E-4</v>
      </c>
      <c r="F1176" s="65">
        <v>0.4184027777777778</v>
      </c>
      <c r="G1176" s="65"/>
      <c r="H1176" s="52" t="s">
        <v>81</v>
      </c>
      <c r="I1176" s="52" t="s">
        <v>1498</v>
      </c>
      <c r="J1176" s="52"/>
      <c r="K1176" s="52"/>
      <c r="L1176" s="52"/>
      <c r="M1176" s="52"/>
      <c r="N1176" s="52" t="s">
        <v>70</v>
      </c>
      <c r="O1176" s="52"/>
      <c r="P1176" s="52"/>
      <c r="Q1176" s="52"/>
      <c r="R1176" s="51" t="b">
        <v>0</v>
      </c>
      <c r="S1176" s="51"/>
      <c r="T1176" s="52"/>
      <c r="U1176" s="51" t="b">
        <v>0</v>
      </c>
      <c r="V1176" s="51" t="b">
        <v>0</v>
      </c>
      <c r="W1176" s="51" t="b">
        <v>0</v>
      </c>
      <c r="X1176" s="51" t="b">
        <v>0</v>
      </c>
      <c r="Y1176" s="51" t="b">
        <v>0</v>
      </c>
      <c r="Z1176" s="51" t="b">
        <v>0</v>
      </c>
      <c r="AA1176" s="65"/>
      <c r="AB1176" s="52"/>
      <c r="AC1176" s="52"/>
      <c r="AD1176" s="52"/>
      <c r="AE1176" s="56"/>
      <c r="AF1176" s="56"/>
    </row>
    <row r="1177">
      <c r="A1177" s="52" t="s">
        <v>4053</v>
      </c>
      <c r="B1177" s="52" t="s">
        <v>22</v>
      </c>
      <c r="C1177" s="52" t="s">
        <v>66</v>
      </c>
      <c r="D1177" s="65">
        <v>0.4184027777777778</v>
      </c>
      <c r="E1177" s="65">
        <v>0.03280092592592593</v>
      </c>
      <c r="F1177" s="65">
        <v>0.4512037037037037</v>
      </c>
      <c r="G1177" s="65"/>
      <c r="H1177" s="52" t="s">
        <v>1501</v>
      </c>
      <c r="I1177" s="52" t="s">
        <v>1502</v>
      </c>
      <c r="J1177" s="52" t="s">
        <v>148</v>
      </c>
      <c r="K1177" s="52"/>
      <c r="L1177" s="52"/>
      <c r="M1177" s="52"/>
      <c r="N1177" s="52" t="s">
        <v>92</v>
      </c>
      <c r="O1177" s="52"/>
      <c r="P1177" s="69" t="s">
        <v>3871</v>
      </c>
      <c r="Q1177" s="73" t="s">
        <v>4056</v>
      </c>
      <c r="R1177" s="51" t="b">
        <v>1</v>
      </c>
      <c r="S1177" s="52" t="s">
        <v>1502</v>
      </c>
      <c r="T1177" s="52"/>
      <c r="U1177" s="51" t="b">
        <v>0</v>
      </c>
      <c r="V1177" s="51" t="b">
        <v>1</v>
      </c>
      <c r="W1177" s="51" t="b">
        <v>1</v>
      </c>
      <c r="X1177" s="51" t="b">
        <v>0</v>
      </c>
      <c r="Y1177" s="51" t="b">
        <v>0</v>
      </c>
      <c r="Z1177" s="51" t="b">
        <v>0</v>
      </c>
      <c r="AA1177" s="216">
        <v>0.03280092592592593</v>
      </c>
      <c r="AB1177" s="52"/>
      <c r="AC1177" s="52"/>
      <c r="AD1177" s="73" t="s">
        <v>4060</v>
      </c>
      <c r="AE1177" s="56" t="s">
        <v>629</v>
      </c>
      <c r="AF1177" s="56" t="s">
        <v>1253</v>
      </c>
    </row>
    <row r="1178">
      <c r="A1178" s="52" t="s">
        <v>4063</v>
      </c>
      <c r="B1178" s="52" t="s">
        <v>22</v>
      </c>
      <c r="C1178" s="52" t="s">
        <v>66</v>
      </c>
      <c r="D1178" s="65">
        <v>0.4512037037037037</v>
      </c>
      <c r="E1178" s="65">
        <v>0.0012037037037037038</v>
      </c>
      <c r="F1178" s="65">
        <v>0.4524074074074074</v>
      </c>
      <c r="G1178" s="65"/>
      <c r="H1178" s="52" t="s">
        <v>79</v>
      </c>
      <c r="I1178" s="52" t="s">
        <v>1497</v>
      </c>
      <c r="J1178" s="52"/>
      <c r="K1178" s="52"/>
      <c r="L1178" s="52"/>
      <c r="M1178" s="52"/>
      <c r="N1178" s="52" t="s">
        <v>70</v>
      </c>
      <c r="O1178" s="52"/>
      <c r="P1178" s="52"/>
      <c r="Q1178" s="52"/>
      <c r="R1178" s="51" t="b">
        <v>0</v>
      </c>
      <c r="S1178" s="51"/>
      <c r="T1178" s="52"/>
      <c r="U1178" s="51" t="b">
        <v>0</v>
      </c>
      <c r="V1178" s="51" t="b">
        <v>0</v>
      </c>
      <c r="W1178" s="51" t="b">
        <v>0</v>
      </c>
      <c r="X1178" s="51" t="b">
        <v>0</v>
      </c>
      <c r="Y1178" s="51" t="b">
        <v>0</v>
      </c>
      <c r="Z1178" s="51" t="b">
        <v>0</v>
      </c>
      <c r="AA1178" s="65"/>
      <c r="AB1178" s="52"/>
      <c r="AC1178" s="52"/>
      <c r="AD1178" s="52"/>
      <c r="AE1178" s="56"/>
      <c r="AF1178" s="56"/>
    </row>
    <row r="1179">
      <c r="A1179" s="52" t="s">
        <v>4067</v>
      </c>
      <c r="B1179" s="52" t="s">
        <v>22</v>
      </c>
      <c r="C1179" s="52" t="s">
        <v>289</v>
      </c>
      <c r="D1179" s="65">
        <v>0.5697337962962963</v>
      </c>
      <c r="E1179" s="65">
        <v>3.4722222222222224E-4</v>
      </c>
      <c r="F1179" s="65">
        <v>0.5700810185185186</v>
      </c>
      <c r="G1179" s="65"/>
      <c r="H1179" s="52" t="s">
        <v>81</v>
      </c>
      <c r="I1179" s="52" t="s">
        <v>1498</v>
      </c>
      <c r="J1179" s="52"/>
      <c r="K1179" s="52"/>
      <c r="L1179" s="52"/>
      <c r="M1179" s="52"/>
      <c r="N1179" s="52" t="s">
        <v>70</v>
      </c>
      <c r="O1179" s="52"/>
      <c r="P1179" s="52"/>
      <c r="Q1179" s="52"/>
      <c r="R1179" s="51" t="b">
        <v>0</v>
      </c>
      <c r="S1179" s="51"/>
      <c r="T1179" s="52"/>
      <c r="U1179" s="51" t="b">
        <v>0</v>
      </c>
      <c r="V1179" s="51" t="b">
        <v>0</v>
      </c>
      <c r="W1179" s="51" t="b">
        <v>0</v>
      </c>
      <c r="X1179" s="51" t="b">
        <v>0</v>
      </c>
      <c r="Y1179" s="51" t="b">
        <v>0</v>
      </c>
      <c r="Z1179" s="51" t="b">
        <v>0</v>
      </c>
      <c r="AA1179" s="65"/>
      <c r="AB1179" s="52"/>
      <c r="AC1179" s="52"/>
      <c r="AD1179" s="52"/>
      <c r="AE1179" s="56"/>
      <c r="AF1179" s="56"/>
    </row>
    <row r="1180">
      <c r="A1180" s="52" t="s">
        <v>4069</v>
      </c>
      <c r="B1180" s="52" t="s">
        <v>22</v>
      </c>
      <c r="C1180" s="52" t="s">
        <v>289</v>
      </c>
      <c r="D1180" s="65">
        <v>0.5700810185185186</v>
      </c>
      <c r="E1180" s="65">
        <v>0.03125</v>
      </c>
      <c r="F1180" s="65">
        <v>0.6013310185185186</v>
      </c>
      <c r="G1180" s="65"/>
      <c r="H1180" s="52" t="s">
        <v>1501</v>
      </c>
      <c r="I1180" s="52" t="s">
        <v>1625</v>
      </c>
      <c r="J1180" s="52" t="s">
        <v>725</v>
      </c>
      <c r="K1180" s="52"/>
      <c r="L1180" s="52"/>
      <c r="M1180" s="52"/>
      <c r="N1180" s="52" t="s">
        <v>520</v>
      </c>
      <c r="O1180" s="52"/>
      <c r="P1180" s="52"/>
      <c r="Q1180" s="73" t="s">
        <v>4073</v>
      </c>
      <c r="R1180" s="51" t="b">
        <v>0</v>
      </c>
      <c r="S1180" s="51"/>
      <c r="T1180" s="52"/>
      <c r="U1180" s="51" t="b">
        <v>0</v>
      </c>
      <c r="V1180" s="51" t="b">
        <v>0</v>
      </c>
      <c r="W1180" s="51" t="b">
        <v>0</v>
      </c>
      <c r="X1180" s="51" t="b">
        <v>0</v>
      </c>
      <c r="Y1180" s="51" t="b">
        <v>0</v>
      </c>
      <c r="Z1180" s="51" t="b">
        <v>0</v>
      </c>
      <c r="AA1180" s="65"/>
      <c r="AB1180" s="52"/>
      <c r="AC1180" s="52"/>
      <c r="AD1180" s="52"/>
      <c r="AE1180" s="56" t="s">
        <v>629</v>
      </c>
      <c r="AF1180" s="56" t="s">
        <v>860</v>
      </c>
    </row>
    <row r="1181">
      <c r="A1181" s="52" t="s">
        <v>4075</v>
      </c>
      <c r="B1181" s="52" t="s">
        <v>22</v>
      </c>
      <c r="C1181" s="52" t="s">
        <v>289</v>
      </c>
      <c r="D1181" s="65">
        <v>0.6013310185185186</v>
      </c>
      <c r="E1181" s="65">
        <v>0.001388888888888889</v>
      </c>
      <c r="F1181" s="65">
        <v>0.6027199074074074</v>
      </c>
      <c r="G1181" s="65"/>
      <c r="H1181" s="52" t="s">
        <v>79</v>
      </c>
      <c r="I1181" s="52" t="s">
        <v>1497</v>
      </c>
      <c r="J1181" s="52"/>
      <c r="K1181" s="52"/>
      <c r="L1181" s="52"/>
      <c r="M1181" s="52"/>
      <c r="N1181" s="52" t="s">
        <v>70</v>
      </c>
      <c r="O1181" s="52"/>
      <c r="P1181" s="52"/>
      <c r="Q1181" s="52"/>
      <c r="R1181" s="51" t="b">
        <v>0</v>
      </c>
      <c r="S1181" s="51"/>
      <c r="T1181" s="52"/>
      <c r="U1181" s="51" t="b">
        <v>0</v>
      </c>
      <c r="V1181" s="51" t="b">
        <v>0</v>
      </c>
      <c r="W1181" s="51" t="b">
        <v>0</v>
      </c>
      <c r="X1181" s="51" t="b">
        <v>0</v>
      </c>
      <c r="Y1181" s="51" t="b">
        <v>0</v>
      </c>
      <c r="Z1181" s="51" t="b">
        <v>0</v>
      </c>
      <c r="AA1181" s="65"/>
      <c r="AB1181" s="52"/>
      <c r="AC1181" s="52"/>
      <c r="AD1181" s="52"/>
      <c r="AE1181" s="56"/>
      <c r="AF1181" s="56"/>
    </row>
    <row r="1182">
      <c r="A1182" s="52" t="s">
        <v>4079</v>
      </c>
      <c r="B1182" s="52" t="s">
        <v>22</v>
      </c>
      <c r="C1182" s="52" t="s">
        <v>221</v>
      </c>
      <c r="D1182" s="65">
        <v>0.4399074074074074</v>
      </c>
      <c r="E1182" s="65">
        <v>3.4722222222222224E-4</v>
      </c>
      <c r="F1182" s="65">
        <v>0.44025462962962963</v>
      </c>
      <c r="G1182" s="65"/>
      <c r="H1182" s="52" t="s">
        <v>81</v>
      </c>
      <c r="I1182" s="52" t="s">
        <v>1498</v>
      </c>
      <c r="J1182" s="52"/>
      <c r="K1182" s="52"/>
      <c r="L1182" s="52"/>
      <c r="M1182" s="52"/>
      <c r="N1182" s="52" t="s">
        <v>70</v>
      </c>
      <c r="O1182" s="52"/>
      <c r="P1182" s="52"/>
      <c r="Q1182" s="52"/>
      <c r="R1182" s="51" t="b">
        <v>0</v>
      </c>
      <c r="S1182" s="51"/>
      <c r="T1182" s="52"/>
      <c r="U1182" s="51" t="b">
        <v>0</v>
      </c>
      <c r="V1182" s="51" t="b">
        <v>0</v>
      </c>
      <c r="W1182" s="51" t="b">
        <v>0</v>
      </c>
      <c r="X1182" s="51" t="b">
        <v>0</v>
      </c>
      <c r="Y1182" s="51" t="b">
        <v>0</v>
      </c>
      <c r="Z1182" s="51" t="b">
        <v>0</v>
      </c>
      <c r="AA1182" s="65"/>
      <c r="AB1182" s="52"/>
      <c r="AC1182" s="52"/>
      <c r="AD1182" s="52"/>
      <c r="AE1182" s="56"/>
      <c r="AF1182" s="56"/>
    </row>
    <row r="1183">
      <c r="A1183" s="52" t="s">
        <v>4083</v>
      </c>
      <c r="B1183" s="52" t="s">
        <v>22</v>
      </c>
      <c r="C1183" s="52" t="s">
        <v>221</v>
      </c>
      <c r="D1183" s="65">
        <v>0.44025462962962963</v>
      </c>
      <c r="E1183" s="65">
        <v>0.03009259259259259</v>
      </c>
      <c r="F1183" s="65">
        <v>0.47034722222222225</v>
      </c>
      <c r="G1183" s="65"/>
      <c r="H1183" s="52" t="s">
        <v>1501</v>
      </c>
      <c r="I1183" s="52" t="s">
        <v>1562</v>
      </c>
      <c r="J1183" s="52" t="s">
        <v>1331</v>
      </c>
      <c r="K1183" s="52"/>
      <c r="L1183" s="52"/>
      <c r="M1183" s="52"/>
      <c r="N1183" s="52" t="s">
        <v>605</v>
      </c>
      <c r="O1183" s="52"/>
      <c r="P1183" s="69" t="s">
        <v>3871</v>
      </c>
      <c r="Q1183" s="73" t="s">
        <v>4086</v>
      </c>
      <c r="R1183" s="51" t="b">
        <v>1</v>
      </c>
      <c r="S1183" s="52" t="s">
        <v>1562</v>
      </c>
      <c r="T1183" s="52"/>
      <c r="U1183" s="51" t="b">
        <v>0</v>
      </c>
      <c r="V1183" s="51" t="b">
        <v>1</v>
      </c>
      <c r="W1183" s="51" t="b">
        <v>1</v>
      </c>
      <c r="X1183" s="51" t="b">
        <v>0</v>
      </c>
      <c r="Y1183" s="51" t="b">
        <v>0</v>
      </c>
      <c r="Z1183" s="51" t="b">
        <v>0</v>
      </c>
      <c r="AA1183" s="216">
        <v>0.030081018518518517</v>
      </c>
      <c r="AB1183" s="52"/>
      <c r="AC1183" s="52"/>
      <c r="AD1183" s="73" t="s">
        <v>4090</v>
      </c>
      <c r="AE1183" s="56" t="s">
        <v>629</v>
      </c>
      <c r="AF1183" s="56" t="s">
        <v>860</v>
      </c>
    </row>
    <row r="1184">
      <c r="A1184" s="52" t="s">
        <v>4094</v>
      </c>
      <c r="B1184" s="52" t="s">
        <v>22</v>
      </c>
      <c r="C1184" s="52" t="s">
        <v>221</v>
      </c>
      <c r="D1184" s="65">
        <v>0.47034722222222225</v>
      </c>
      <c r="E1184" s="65">
        <v>0.0012037037037037038</v>
      </c>
      <c r="F1184" s="65">
        <v>0.47155092592592596</v>
      </c>
      <c r="G1184" s="65"/>
      <c r="H1184" s="52" t="s">
        <v>79</v>
      </c>
      <c r="I1184" s="52" t="s">
        <v>1497</v>
      </c>
      <c r="J1184" s="52"/>
      <c r="K1184" s="52"/>
      <c r="L1184" s="52"/>
      <c r="M1184" s="52"/>
      <c r="N1184" s="52" t="s">
        <v>70</v>
      </c>
      <c r="O1184" s="52"/>
      <c r="P1184" s="52"/>
      <c r="Q1184" s="52"/>
      <c r="R1184" s="51" t="b">
        <v>0</v>
      </c>
      <c r="S1184" s="51"/>
      <c r="T1184" s="52"/>
      <c r="U1184" s="51" t="b">
        <v>0</v>
      </c>
      <c r="V1184" s="51" t="b">
        <v>0</v>
      </c>
      <c r="W1184" s="51" t="b">
        <v>0</v>
      </c>
      <c r="X1184" s="51" t="b">
        <v>0</v>
      </c>
      <c r="Y1184" s="51" t="b">
        <v>0</v>
      </c>
      <c r="Z1184" s="51" t="b">
        <v>0</v>
      </c>
      <c r="AA1184" s="65"/>
      <c r="AB1184" s="52"/>
      <c r="AC1184" s="52"/>
      <c r="AD1184" s="52"/>
      <c r="AE1184" s="56"/>
      <c r="AF1184" s="56"/>
    </row>
    <row r="1185">
      <c r="A1185" s="52" t="s">
        <v>4098</v>
      </c>
      <c r="B1185" s="52" t="s">
        <v>22</v>
      </c>
      <c r="C1185" s="52" t="s">
        <v>289</v>
      </c>
      <c r="D1185" s="65">
        <v>0.4735648148148148</v>
      </c>
      <c r="E1185" s="65">
        <v>3.4722222222222224E-4</v>
      </c>
      <c r="F1185" s="65">
        <v>0.47391203703703705</v>
      </c>
      <c r="G1185" s="65"/>
      <c r="H1185" s="52" t="s">
        <v>81</v>
      </c>
      <c r="I1185" s="52" t="s">
        <v>1498</v>
      </c>
      <c r="J1185" s="52"/>
      <c r="K1185" s="52"/>
      <c r="L1185" s="52"/>
      <c r="M1185" s="52"/>
      <c r="N1185" s="52" t="s">
        <v>70</v>
      </c>
      <c r="O1185" s="52"/>
      <c r="P1185" s="52"/>
      <c r="Q1185" s="52"/>
      <c r="R1185" s="51" t="b">
        <v>0</v>
      </c>
      <c r="S1185" s="51"/>
      <c r="T1185" s="52"/>
      <c r="U1185" s="51" t="b">
        <v>0</v>
      </c>
      <c r="V1185" s="51" t="b">
        <v>0</v>
      </c>
      <c r="W1185" s="51" t="b">
        <v>0</v>
      </c>
      <c r="X1185" s="51" t="b">
        <v>0</v>
      </c>
      <c r="Y1185" s="51" t="b">
        <v>0</v>
      </c>
      <c r="Z1185" s="51" t="b">
        <v>0</v>
      </c>
      <c r="AA1185" s="65"/>
      <c r="AB1185" s="52"/>
      <c r="AC1185" s="52"/>
      <c r="AD1185" s="52"/>
      <c r="AE1185" s="56"/>
      <c r="AF1185" s="56"/>
    </row>
    <row r="1186">
      <c r="A1186" s="52" t="s">
        <v>4102</v>
      </c>
      <c r="B1186" s="52" t="s">
        <v>22</v>
      </c>
      <c r="C1186" s="52" t="s">
        <v>289</v>
      </c>
      <c r="D1186" s="65">
        <v>0.47391203703703705</v>
      </c>
      <c r="E1186" s="65">
        <v>0.026354166666666668</v>
      </c>
      <c r="F1186" s="65">
        <v>0.5002662037037037</v>
      </c>
      <c r="G1186" s="65"/>
      <c r="H1186" s="52" t="s">
        <v>1501</v>
      </c>
      <c r="I1186" s="52" t="s">
        <v>1608</v>
      </c>
      <c r="J1186" s="52" t="s">
        <v>916</v>
      </c>
      <c r="K1186" s="52"/>
      <c r="L1186" s="52"/>
      <c r="M1186" s="52"/>
      <c r="N1186" s="52" t="s">
        <v>230</v>
      </c>
      <c r="O1186" s="52"/>
      <c r="P1186" s="69" t="s">
        <v>3871</v>
      </c>
      <c r="Q1186" s="73" t="s">
        <v>4104</v>
      </c>
      <c r="R1186" s="51" t="b">
        <v>1</v>
      </c>
      <c r="S1186" s="52" t="s">
        <v>1608</v>
      </c>
      <c r="T1186" s="69" t="s">
        <v>3906</v>
      </c>
      <c r="U1186" s="51" t="b">
        <v>0</v>
      </c>
      <c r="V1186" s="51" t="b">
        <v>1</v>
      </c>
      <c r="W1186" s="51" t="b">
        <v>1</v>
      </c>
      <c r="X1186" s="51" t="b">
        <v>0</v>
      </c>
      <c r="Y1186" s="51" t="b">
        <v>0</v>
      </c>
      <c r="Z1186" s="51" t="b">
        <v>0</v>
      </c>
      <c r="AA1186" s="216">
        <v>0.026354166666666668</v>
      </c>
      <c r="AB1186" s="69"/>
      <c r="AC1186" s="69"/>
      <c r="AD1186" s="73" t="s">
        <v>4109</v>
      </c>
      <c r="AE1186" s="56" t="s">
        <v>629</v>
      </c>
      <c r="AF1186" s="56" t="s">
        <v>860</v>
      </c>
    </row>
    <row r="1187">
      <c r="A1187" s="52" t="s">
        <v>4113</v>
      </c>
      <c r="B1187" s="52" t="s">
        <v>22</v>
      </c>
      <c r="C1187" s="52" t="s">
        <v>289</v>
      </c>
      <c r="D1187" s="65">
        <v>0.5002662037037037</v>
      </c>
      <c r="E1187" s="65">
        <v>0.001388888888888889</v>
      </c>
      <c r="F1187" s="65">
        <v>0.5016550925925926</v>
      </c>
      <c r="G1187" s="65"/>
      <c r="H1187" s="52" t="s">
        <v>79</v>
      </c>
      <c r="I1187" s="52" t="s">
        <v>1497</v>
      </c>
      <c r="J1187" s="52"/>
      <c r="K1187" s="52"/>
      <c r="L1187" s="52"/>
      <c r="M1187" s="52"/>
      <c r="N1187" s="52" t="s">
        <v>70</v>
      </c>
      <c r="O1187" s="52"/>
      <c r="P1187" s="52"/>
      <c r="Q1187" s="52"/>
      <c r="R1187" s="51" t="b">
        <v>0</v>
      </c>
      <c r="S1187" s="51"/>
      <c r="T1187" s="52"/>
      <c r="U1187" s="51" t="b">
        <v>0</v>
      </c>
      <c r="V1187" s="51" t="b">
        <v>0</v>
      </c>
      <c r="W1187" s="51" t="b">
        <v>0</v>
      </c>
      <c r="X1187" s="51" t="b">
        <v>0</v>
      </c>
      <c r="Y1187" s="51" t="b">
        <v>0</v>
      </c>
      <c r="Z1187" s="51" t="b">
        <v>0</v>
      </c>
      <c r="AA1187" s="65"/>
      <c r="AB1187" s="52"/>
      <c r="AC1187" s="52"/>
      <c r="AD1187" s="52"/>
      <c r="AE1187" s="56"/>
      <c r="AF1187" s="56"/>
    </row>
    <row r="1188">
      <c r="A1188" s="52" t="s">
        <v>4117</v>
      </c>
      <c r="B1188" s="52" t="s">
        <v>22</v>
      </c>
      <c r="C1188" s="52" t="s">
        <v>221</v>
      </c>
      <c r="D1188" s="65">
        <v>0.5169097222222222</v>
      </c>
      <c r="E1188" s="65">
        <v>3.4722222222222224E-4</v>
      </c>
      <c r="F1188" s="65">
        <v>0.5172569444444445</v>
      </c>
      <c r="G1188" s="65"/>
      <c r="H1188" s="52" t="s">
        <v>81</v>
      </c>
      <c r="I1188" s="52" t="s">
        <v>1498</v>
      </c>
      <c r="J1188" s="52"/>
      <c r="K1188" s="52"/>
      <c r="L1188" s="52"/>
      <c r="M1188" s="52"/>
      <c r="N1188" s="52" t="s">
        <v>70</v>
      </c>
      <c r="O1188" s="52"/>
      <c r="P1188" s="52"/>
      <c r="Q1188" s="52"/>
      <c r="R1188" s="51" t="b">
        <v>0</v>
      </c>
      <c r="S1188" s="51"/>
      <c r="T1188" s="52"/>
      <c r="U1188" s="51" t="b">
        <v>0</v>
      </c>
      <c r="V1188" s="51" t="b">
        <v>0</v>
      </c>
      <c r="W1188" s="51" t="b">
        <v>0</v>
      </c>
      <c r="X1188" s="51" t="b">
        <v>0</v>
      </c>
      <c r="Y1188" s="51" t="b">
        <v>0</v>
      </c>
      <c r="Z1188" s="51" t="b">
        <v>0</v>
      </c>
      <c r="AA1188" s="65"/>
      <c r="AB1188" s="52"/>
      <c r="AC1188" s="52"/>
      <c r="AD1188" s="52"/>
      <c r="AE1188" s="56"/>
      <c r="AF1188" s="56"/>
    </row>
    <row r="1189">
      <c r="A1189" s="52" t="s">
        <v>4123</v>
      </c>
      <c r="B1189" s="52" t="s">
        <v>22</v>
      </c>
      <c r="C1189" s="52" t="s">
        <v>221</v>
      </c>
      <c r="D1189" s="65">
        <v>0.5172569444444445</v>
      </c>
      <c r="E1189" s="65">
        <v>0.03125</v>
      </c>
      <c r="F1189" s="65">
        <v>0.5485069444444445</v>
      </c>
      <c r="G1189" s="65"/>
      <c r="H1189" s="52" t="s">
        <v>1501</v>
      </c>
      <c r="I1189" s="52" t="s">
        <v>1569</v>
      </c>
      <c r="J1189" s="52" t="s">
        <v>1570</v>
      </c>
      <c r="K1189" s="52"/>
      <c r="L1189" s="52"/>
      <c r="M1189" s="52"/>
      <c r="N1189" s="52" t="s">
        <v>1572</v>
      </c>
      <c r="O1189" s="52"/>
      <c r="P1189" s="52"/>
      <c r="Q1189" s="52"/>
      <c r="R1189" s="51" t="b">
        <v>0</v>
      </c>
      <c r="S1189" s="51"/>
      <c r="T1189" s="52"/>
      <c r="U1189" s="51" t="b">
        <v>0</v>
      </c>
      <c r="V1189" s="51" t="b">
        <v>0</v>
      </c>
      <c r="W1189" s="51" t="b">
        <v>0</v>
      </c>
      <c r="X1189" s="51" t="b">
        <v>0</v>
      </c>
      <c r="Y1189" s="51" t="b">
        <v>0</v>
      </c>
      <c r="Z1189" s="51" t="b">
        <v>0</v>
      </c>
      <c r="AA1189" s="65"/>
      <c r="AB1189" s="52"/>
      <c r="AC1189" s="52"/>
      <c r="AD1189" s="52"/>
      <c r="AE1189" s="56" t="s">
        <v>629</v>
      </c>
      <c r="AF1189" s="56" t="s">
        <v>1253</v>
      </c>
    </row>
    <row r="1190">
      <c r="A1190" s="52" t="s">
        <v>4127</v>
      </c>
      <c r="B1190" s="52" t="s">
        <v>22</v>
      </c>
      <c r="C1190" s="52" t="s">
        <v>221</v>
      </c>
      <c r="D1190" s="65">
        <v>0.5485069444444445</v>
      </c>
      <c r="E1190" s="65">
        <v>0.0012037037037037038</v>
      </c>
      <c r="F1190" s="65">
        <v>0.5497106481481482</v>
      </c>
      <c r="G1190" s="65"/>
      <c r="H1190" s="52" t="s">
        <v>79</v>
      </c>
      <c r="I1190" s="52" t="s">
        <v>1497</v>
      </c>
      <c r="J1190" s="52"/>
      <c r="K1190" s="52"/>
      <c r="L1190" s="52"/>
      <c r="M1190" s="52"/>
      <c r="N1190" s="52" t="s">
        <v>70</v>
      </c>
      <c r="O1190" s="52"/>
      <c r="P1190" s="52"/>
      <c r="Q1190" s="52"/>
      <c r="R1190" s="51" t="b">
        <v>0</v>
      </c>
      <c r="S1190" s="51"/>
      <c r="T1190" s="52"/>
      <c r="U1190" s="51" t="b">
        <v>0</v>
      </c>
      <c r="V1190" s="51" t="b">
        <v>0</v>
      </c>
      <c r="W1190" s="51" t="b">
        <v>0</v>
      </c>
      <c r="X1190" s="51" t="b">
        <v>0</v>
      </c>
      <c r="Y1190" s="51" t="b">
        <v>0</v>
      </c>
      <c r="Z1190" s="51" t="b">
        <v>0</v>
      </c>
      <c r="AA1190" s="65"/>
      <c r="AB1190" s="52"/>
      <c r="AC1190" s="52"/>
      <c r="AD1190" s="52"/>
      <c r="AE1190" s="56"/>
      <c r="AF1190" s="56"/>
    </row>
    <row r="1191">
      <c r="A1191" s="52" t="s">
        <v>4132</v>
      </c>
      <c r="B1191" s="52" t="s">
        <v>22</v>
      </c>
      <c r="C1191" s="52" t="s">
        <v>66</v>
      </c>
      <c r="D1191" s="65">
        <v>0.6335185185185187</v>
      </c>
      <c r="E1191" s="65">
        <v>3.4722222222222224E-4</v>
      </c>
      <c r="F1191" s="65">
        <v>0.633865740740741</v>
      </c>
      <c r="G1191" s="65"/>
      <c r="H1191" s="52" t="s">
        <v>81</v>
      </c>
      <c r="I1191" s="52" t="s">
        <v>1498</v>
      </c>
      <c r="J1191" s="52"/>
      <c r="K1191" s="52"/>
      <c r="L1191" s="52"/>
      <c r="M1191" s="52"/>
      <c r="N1191" s="52" t="s">
        <v>70</v>
      </c>
      <c r="O1191" s="52"/>
      <c r="P1191" s="52"/>
      <c r="Q1191" s="52"/>
      <c r="R1191" s="51" t="b">
        <v>0</v>
      </c>
      <c r="S1191" s="51"/>
      <c r="T1191" s="52"/>
      <c r="U1191" s="51" t="b">
        <v>0</v>
      </c>
      <c r="V1191" s="51" t="b">
        <v>0</v>
      </c>
      <c r="W1191" s="51" t="b">
        <v>0</v>
      </c>
      <c r="X1191" s="51" t="b">
        <v>0</v>
      </c>
      <c r="Y1191" s="51" t="b">
        <v>0</v>
      </c>
      <c r="Z1191" s="51" t="b">
        <v>0</v>
      </c>
      <c r="AA1191" s="65"/>
      <c r="AB1191" s="52"/>
      <c r="AC1191" s="52"/>
      <c r="AD1191" s="52"/>
      <c r="AE1191" s="56"/>
      <c r="AF1191" s="56"/>
    </row>
    <row r="1192">
      <c r="A1192" s="52" t="s">
        <v>4134</v>
      </c>
      <c r="B1192" s="52" t="s">
        <v>22</v>
      </c>
      <c r="C1192" s="52" t="s">
        <v>66</v>
      </c>
      <c r="D1192" s="65">
        <v>0.633865740740741</v>
      </c>
      <c r="E1192" s="65">
        <v>0.029166666666666667</v>
      </c>
      <c r="F1192" s="65">
        <v>0.6630324074074077</v>
      </c>
      <c r="G1192" s="65"/>
      <c r="H1192" s="52" t="s">
        <v>1501</v>
      </c>
      <c r="I1192" s="52" t="s">
        <v>1525</v>
      </c>
      <c r="J1192" s="52" t="s">
        <v>201</v>
      </c>
      <c r="K1192" s="52" t="s">
        <v>1526</v>
      </c>
      <c r="L1192" s="52"/>
      <c r="M1192" s="52"/>
      <c r="N1192" s="52" t="s">
        <v>752</v>
      </c>
      <c r="O1192" s="52"/>
      <c r="P1192" s="52"/>
      <c r="Q1192" s="73" t="s">
        <v>4137</v>
      </c>
      <c r="R1192" s="51" t="b">
        <v>0</v>
      </c>
      <c r="S1192" s="51"/>
      <c r="T1192" s="52"/>
      <c r="U1192" s="51" t="b">
        <v>0</v>
      </c>
      <c r="V1192" s="51" t="b">
        <v>0</v>
      </c>
      <c r="W1192" s="51" t="b">
        <v>0</v>
      </c>
      <c r="X1192" s="51" t="b">
        <v>0</v>
      </c>
      <c r="Y1192" s="51" t="b">
        <v>0</v>
      </c>
      <c r="Z1192" s="51" t="b">
        <v>0</v>
      </c>
      <c r="AA1192" s="65"/>
      <c r="AB1192" s="52"/>
      <c r="AC1192" s="52"/>
      <c r="AD1192" s="52"/>
      <c r="AE1192" s="56" t="s">
        <v>629</v>
      </c>
      <c r="AF1192" s="56" t="s">
        <v>4142</v>
      </c>
    </row>
    <row r="1193">
      <c r="A1193" s="52" t="s">
        <v>4143</v>
      </c>
      <c r="B1193" s="52" t="s">
        <v>22</v>
      </c>
      <c r="C1193" s="52" t="s">
        <v>66</v>
      </c>
      <c r="D1193" s="65">
        <v>0.6630324074074077</v>
      </c>
      <c r="E1193" s="65">
        <v>0.0012037037037037038</v>
      </c>
      <c r="F1193" s="65">
        <v>0.6642361111111114</v>
      </c>
      <c r="G1193" s="65"/>
      <c r="H1193" s="52" t="s">
        <v>79</v>
      </c>
      <c r="I1193" s="52" t="s">
        <v>1497</v>
      </c>
      <c r="J1193" s="52"/>
      <c r="K1193" s="52"/>
      <c r="L1193" s="52"/>
      <c r="M1193" s="52"/>
      <c r="N1193" s="52" t="s">
        <v>70</v>
      </c>
      <c r="O1193" s="52"/>
      <c r="P1193" s="52"/>
      <c r="Q1193" s="52"/>
      <c r="R1193" s="51" t="b">
        <v>0</v>
      </c>
      <c r="S1193" s="51"/>
      <c r="T1193" s="52"/>
      <c r="U1193" s="51" t="b">
        <v>0</v>
      </c>
      <c r="V1193" s="51" t="b">
        <v>0</v>
      </c>
      <c r="W1193" s="51" t="b">
        <v>0</v>
      </c>
      <c r="X1193" s="51" t="b">
        <v>0</v>
      </c>
      <c r="Y1193" s="51" t="b">
        <v>0</v>
      </c>
      <c r="Z1193" s="51" t="b">
        <v>0</v>
      </c>
      <c r="AA1193" s="65"/>
      <c r="AB1193" s="52"/>
      <c r="AC1193" s="52"/>
      <c r="AD1193" s="52"/>
      <c r="AE1193" s="56"/>
      <c r="AF1193" s="56"/>
    </row>
    <row r="1194">
      <c r="A1194" s="52" t="s">
        <v>4146</v>
      </c>
      <c r="B1194" s="52" t="s">
        <v>22</v>
      </c>
      <c r="C1194" s="52" t="s">
        <v>66</v>
      </c>
      <c r="D1194" s="65">
        <v>0.599525462962963</v>
      </c>
      <c r="E1194" s="65">
        <v>3.4722222222222224E-4</v>
      </c>
      <c r="F1194" s="65">
        <v>0.5998726851851853</v>
      </c>
      <c r="G1194" s="65"/>
      <c r="H1194" s="52" t="s">
        <v>81</v>
      </c>
      <c r="I1194" s="52" t="s">
        <v>1498</v>
      </c>
      <c r="J1194" s="52"/>
      <c r="K1194" s="52"/>
      <c r="L1194" s="52"/>
      <c r="M1194" s="52"/>
      <c r="N1194" s="52" t="s">
        <v>70</v>
      </c>
      <c r="O1194" s="52"/>
      <c r="P1194" s="52"/>
      <c r="Q1194" s="52"/>
      <c r="R1194" s="51" t="b">
        <v>0</v>
      </c>
      <c r="S1194" s="51"/>
      <c r="T1194" s="52"/>
      <c r="U1194" s="51" t="b">
        <v>0</v>
      </c>
      <c r="V1194" s="51" t="b">
        <v>0</v>
      </c>
      <c r="W1194" s="51" t="b">
        <v>0</v>
      </c>
      <c r="X1194" s="51" t="b">
        <v>0</v>
      </c>
      <c r="Y1194" s="51" t="b">
        <v>0</v>
      </c>
      <c r="Z1194" s="51" t="b">
        <v>0</v>
      </c>
      <c r="AA1194" s="65"/>
      <c r="AB1194" s="52"/>
      <c r="AC1194" s="52"/>
      <c r="AD1194" s="52"/>
      <c r="AE1194" s="56"/>
      <c r="AF1194" s="56"/>
    </row>
    <row r="1195">
      <c r="A1195" s="52" t="s">
        <v>4150</v>
      </c>
      <c r="B1195" s="52" t="s">
        <v>22</v>
      </c>
      <c r="C1195" s="52" t="s">
        <v>66</v>
      </c>
      <c r="D1195" s="65">
        <v>0.5998726851851853</v>
      </c>
      <c r="E1195" s="65">
        <v>0.032442129629629626</v>
      </c>
      <c r="F1195" s="65">
        <v>0.632314814814815</v>
      </c>
      <c r="G1195" s="65"/>
      <c r="H1195" s="52" t="s">
        <v>1501</v>
      </c>
      <c r="I1195" s="52" t="s">
        <v>1519</v>
      </c>
      <c r="J1195" s="52" t="s">
        <v>1520</v>
      </c>
      <c r="K1195" s="52" t="s">
        <v>1521</v>
      </c>
      <c r="L1195" s="52" t="s">
        <v>1522</v>
      </c>
      <c r="M1195" s="52"/>
      <c r="N1195" s="52" t="s">
        <v>1523</v>
      </c>
      <c r="O1195" s="52"/>
      <c r="P1195" s="69" t="s">
        <v>3871</v>
      </c>
      <c r="Q1195" s="73" t="s">
        <v>4152</v>
      </c>
      <c r="R1195" s="51" t="b">
        <v>1</v>
      </c>
      <c r="S1195" s="52" t="s">
        <v>1519</v>
      </c>
      <c r="T1195" s="52"/>
      <c r="U1195" s="51" t="b">
        <v>0</v>
      </c>
      <c r="V1195" s="51" t="b">
        <v>1</v>
      </c>
      <c r="W1195" s="51" t="b">
        <v>1</v>
      </c>
      <c r="X1195" s="51" t="b">
        <v>0</v>
      </c>
      <c r="Y1195" s="51" t="b">
        <v>1</v>
      </c>
      <c r="Z1195" s="51" t="b">
        <v>0</v>
      </c>
      <c r="AA1195" s="216">
        <v>0.032442129629629626</v>
      </c>
      <c r="AB1195" s="52"/>
      <c r="AC1195" s="52"/>
      <c r="AD1195" s="76" t="s">
        <v>4161</v>
      </c>
      <c r="AE1195" s="56" t="s">
        <v>629</v>
      </c>
      <c r="AF1195" s="56" t="s">
        <v>860</v>
      </c>
    </row>
    <row r="1196">
      <c r="A1196" s="52" t="s">
        <v>4165</v>
      </c>
      <c r="B1196" s="52" t="s">
        <v>22</v>
      </c>
      <c r="C1196" s="52" t="s">
        <v>66</v>
      </c>
      <c r="D1196" s="65">
        <v>0.632314814814815</v>
      </c>
      <c r="E1196" s="65">
        <v>0.0012037037037037038</v>
      </c>
      <c r="F1196" s="65">
        <v>0.6335185185185187</v>
      </c>
      <c r="G1196" s="65"/>
      <c r="H1196" s="52" t="s">
        <v>79</v>
      </c>
      <c r="I1196" s="52" t="s">
        <v>1497</v>
      </c>
      <c r="J1196" s="52"/>
      <c r="K1196" s="52"/>
      <c r="L1196" s="52"/>
      <c r="M1196" s="52"/>
      <c r="N1196" s="52" t="s">
        <v>70</v>
      </c>
      <c r="O1196" s="52"/>
      <c r="P1196" s="52"/>
      <c r="Q1196" s="52"/>
      <c r="R1196" s="51" t="b">
        <v>0</v>
      </c>
      <c r="S1196" s="51"/>
      <c r="T1196" s="52"/>
      <c r="U1196" s="51" t="b">
        <v>0</v>
      </c>
      <c r="V1196" s="51" t="b">
        <v>0</v>
      </c>
      <c r="W1196" s="51" t="b">
        <v>0</v>
      </c>
      <c r="X1196" s="51" t="b">
        <v>0</v>
      </c>
      <c r="Y1196" s="51" t="b">
        <v>0</v>
      </c>
      <c r="Z1196" s="51" t="b">
        <v>0</v>
      </c>
      <c r="AA1196" s="65"/>
      <c r="AB1196" s="52"/>
      <c r="AC1196" s="52"/>
      <c r="AD1196" s="52"/>
      <c r="AE1196" s="56"/>
      <c r="AF1196" s="56"/>
    </row>
    <row r="1197">
      <c r="A1197" s="52" t="s">
        <v>4171</v>
      </c>
      <c r="B1197" s="52" t="s">
        <v>22</v>
      </c>
      <c r="C1197" s="52" t="s">
        <v>221</v>
      </c>
      <c r="D1197" s="65">
        <v>0.6231597222222224</v>
      </c>
      <c r="E1197" s="65">
        <v>3.472222222222222E-5</v>
      </c>
      <c r="F1197" s="65">
        <v>0.6231944444444446</v>
      </c>
      <c r="G1197" s="65"/>
      <c r="H1197" s="52" t="s">
        <v>81</v>
      </c>
      <c r="I1197" s="52" t="s">
        <v>1498</v>
      </c>
      <c r="J1197" s="52"/>
      <c r="K1197" s="52"/>
      <c r="L1197" s="52"/>
      <c r="M1197" s="52"/>
      <c r="N1197" s="52" t="s">
        <v>70</v>
      </c>
      <c r="O1197" s="52"/>
      <c r="P1197" s="52"/>
      <c r="Q1197" s="52"/>
      <c r="R1197" s="51" t="b">
        <v>0</v>
      </c>
      <c r="S1197" s="51"/>
      <c r="T1197" s="52"/>
      <c r="U1197" s="51" t="b">
        <v>0</v>
      </c>
      <c r="V1197" s="51" t="b">
        <v>0</v>
      </c>
      <c r="W1197" s="51" t="b">
        <v>0</v>
      </c>
      <c r="X1197" s="51" t="b">
        <v>0</v>
      </c>
      <c r="Y1197" s="51" t="b">
        <v>0</v>
      </c>
      <c r="Z1197" s="51" t="b">
        <v>0</v>
      </c>
      <c r="AA1197" s="65"/>
      <c r="AB1197" s="52"/>
      <c r="AC1197" s="52"/>
      <c r="AD1197" s="52"/>
      <c r="AE1197" s="56"/>
      <c r="AF1197" s="56"/>
    </row>
    <row r="1198">
      <c r="A1198" s="52" t="s">
        <v>4178</v>
      </c>
      <c r="B1198" s="52" t="s">
        <v>22</v>
      </c>
      <c r="C1198" s="52" t="s">
        <v>221</v>
      </c>
      <c r="D1198" s="65">
        <v>0.6231944444444446</v>
      </c>
      <c r="E1198" s="65">
        <v>0.034826388888888886</v>
      </c>
      <c r="F1198" s="65">
        <v>0.6580208333333335</v>
      </c>
      <c r="G1198" s="65"/>
      <c r="H1198" s="52" t="s">
        <v>1501</v>
      </c>
      <c r="I1198" s="52" t="s">
        <v>1582</v>
      </c>
      <c r="J1198" s="52" t="s">
        <v>1583</v>
      </c>
      <c r="K1198" s="52"/>
      <c r="L1198" s="52"/>
      <c r="M1198" s="52"/>
      <c r="N1198" s="52" t="s">
        <v>1584</v>
      </c>
      <c r="O1198" s="52"/>
      <c r="P1198" s="69" t="s">
        <v>3871</v>
      </c>
      <c r="Q1198" s="73" t="s">
        <v>4184</v>
      </c>
      <c r="R1198" s="51" t="b">
        <v>1</v>
      </c>
      <c r="S1198" s="52" t="s">
        <v>1582</v>
      </c>
      <c r="T1198" s="52"/>
      <c r="U1198" s="51" t="b">
        <v>0</v>
      </c>
      <c r="V1198" s="51" t="b">
        <v>1</v>
      </c>
      <c r="W1198" s="51" t="b">
        <v>1</v>
      </c>
      <c r="X1198" s="51" t="b">
        <v>0</v>
      </c>
      <c r="Y1198" s="51" t="b">
        <v>0</v>
      </c>
      <c r="Z1198" s="51" t="b">
        <v>0</v>
      </c>
      <c r="AA1198" s="216">
        <v>0.03481481481481481</v>
      </c>
      <c r="AB1198" s="52"/>
      <c r="AC1198" s="52"/>
      <c r="AD1198" s="73" t="s">
        <v>4192</v>
      </c>
      <c r="AE1198" s="56" t="s">
        <v>629</v>
      </c>
      <c r="AF1198" s="56" t="s">
        <v>860</v>
      </c>
    </row>
    <row r="1199">
      <c r="A1199" s="52" t="s">
        <v>4195</v>
      </c>
      <c r="B1199" s="52" t="s">
        <v>22</v>
      </c>
      <c r="C1199" s="52" t="s">
        <v>221</v>
      </c>
      <c r="D1199" s="65">
        <v>0.6580208333333335</v>
      </c>
      <c r="E1199" s="65">
        <v>0.0012037037037037038</v>
      </c>
      <c r="F1199" s="65">
        <v>0.6592245370370372</v>
      </c>
      <c r="G1199" s="65"/>
      <c r="H1199" s="52" t="s">
        <v>79</v>
      </c>
      <c r="I1199" s="52" t="s">
        <v>1497</v>
      </c>
      <c r="J1199" s="52"/>
      <c r="K1199" s="52"/>
      <c r="L1199" s="52"/>
      <c r="M1199" s="52"/>
      <c r="N1199" s="52" t="s">
        <v>70</v>
      </c>
      <c r="O1199" s="52"/>
      <c r="P1199" s="52"/>
      <c r="Q1199" s="52"/>
      <c r="R1199" s="51" t="b">
        <v>0</v>
      </c>
      <c r="S1199" s="51"/>
      <c r="T1199" s="52"/>
      <c r="U1199" s="51" t="b">
        <v>0</v>
      </c>
      <c r="V1199" s="51" t="b">
        <v>0</v>
      </c>
      <c r="W1199" s="51" t="b">
        <v>0</v>
      </c>
      <c r="X1199" s="51" t="b">
        <v>0</v>
      </c>
      <c r="Y1199" s="51" t="b">
        <v>0</v>
      </c>
      <c r="Z1199" s="51" t="b">
        <v>0</v>
      </c>
      <c r="AA1199" s="65"/>
      <c r="AB1199" s="52"/>
      <c r="AC1199" s="52"/>
      <c r="AD1199" s="52"/>
      <c r="AE1199" s="56"/>
      <c r="AF1199" s="56"/>
    </row>
    <row r="1200">
      <c r="A1200" s="52" t="s">
        <v>4201</v>
      </c>
      <c r="B1200" s="52" t="s">
        <v>22</v>
      </c>
      <c r="C1200" s="52" t="s">
        <v>221</v>
      </c>
      <c r="D1200" s="65">
        <v>0.6592245370370372</v>
      </c>
      <c r="E1200" s="65">
        <v>3.4722222222222224E-4</v>
      </c>
      <c r="F1200" s="65">
        <v>0.6595717592592595</v>
      </c>
      <c r="G1200" s="65"/>
      <c r="H1200" s="52" t="s">
        <v>81</v>
      </c>
      <c r="I1200" s="52" t="s">
        <v>1498</v>
      </c>
      <c r="J1200" s="52"/>
      <c r="K1200" s="52"/>
      <c r="L1200" s="52"/>
      <c r="M1200" s="52"/>
      <c r="N1200" s="52" t="s">
        <v>70</v>
      </c>
      <c r="O1200" s="52"/>
      <c r="P1200" s="52"/>
      <c r="Q1200" s="52"/>
      <c r="R1200" s="51" t="b">
        <v>0</v>
      </c>
      <c r="S1200" s="51"/>
      <c r="T1200" s="52"/>
      <c r="U1200" s="51" t="b">
        <v>0</v>
      </c>
      <c r="V1200" s="51" t="b">
        <v>0</v>
      </c>
      <c r="W1200" s="51" t="b">
        <v>0</v>
      </c>
      <c r="X1200" s="51" t="b">
        <v>0</v>
      </c>
      <c r="Y1200" s="51" t="b">
        <v>0</v>
      </c>
      <c r="Z1200" s="51" t="b">
        <v>0</v>
      </c>
      <c r="AA1200" s="65"/>
      <c r="AB1200" s="52"/>
      <c r="AC1200" s="52"/>
      <c r="AD1200" s="52"/>
      <c r="AE1200" s="56"/>
      <c r="AF1200" s="56"/>
    </row>
    <row r="1201">
      <c r="A1201" s="52" t="s">
        <v>4204</v>
      </c>
      <c r="B1201" s="52" t="s">
        <v>22</v>
      </c>
      <c r="C1201" s="52" t="s">
        <v>221</v>
      </c>
      <c r="D1201" s="65">
        <v>0.6595717592592595</v>
      </c>
      <c r="E1201" s="65">
        <v>0.01766203703703704</v>
      </c>
      <c r="F1201" s="65">
        <v>0.6772337962962965</v>
      </c>
      <c r="G1201" s="65"/>
      <c r="H1201" s="52" t="s">
        <v>1501</v>
      </c>
      <c r="I1201" s="52" t="s">
        <v>1587</v>
      </c>
      <c r="J1201" s="52" t="s">
        <v>278</v>
      </c>
      <c r="K1201" s="52"/>
      <c r="L1201" s="52"/>
      <c r="M1201" s="52"/>
      <c r="N1201" s="52" t="s">
        <v>279</v>
      </c>
      <c r="O1201" s="52"/>
      <c r="P1201" s="69" t="s">
        <v>3871</v>
      </c>
      <c r="Q1201" s="80" t="s">
        <v>4206</v>
      </c>
      <c r="R1201" s="51" t="b">
        <v>0</v>
      </c>
      <c r="S1201" s="52" t="s">
        <v>4209</v>
      </c>
      <c r="T1201" s="52"/>
      <c r="U1201" s="51" t="b">
        <v>0</v>
      </c>
      <c r="V1201" s="51" t="b">
        <v>0</v>
      </c>
      <c r="W1201" s="51" t="b">
        <v>0</v>
      </c>
      <c r="X1201" s="51" t="b">
        <v>0</v>
      </c>
      <c r="Y1201" s="51" t="b">
        <v>0</v>
      </c>
      <c r="Z1201" s="51" t="b">
        <v>0</v>
      </c>
      <c r="AA1201" s="65"/>
      <c r="AB1201" s="52"/>
      <c r="AC1201" s="52"/>
      <c r="AD1201" s="52"/>
      <c r="AE1201" s="56" t="s">
        <v>629</v>
      </c>
      <c r="AF1201" s="56" t="s">
        <v>1253</v>
      </c>
    </row>
    <row r="1202">
      <c r="A1202" s="52" t="s">
        <v>4210</v>
      </c>
      <c r="B1202" s="52" t="s">
        <v>22</v>
      </c>
      <c r="C1202" s="52" t="s">
        <v>221</v>
      </c>
      <c r="D1202" s="65">
        <v>0.6772337962962965</v>
      </c>
      <c r="E1202" s="65">
        <v>0.0012037037037037038</v>
      </c>
      <c r="F1202" s="65">
        <v>0.6784375000000002</v>
      </c>
      <c r="G1202" s="65"/>
      <c r="H1202" s="52" t="s">
        <v>79</v>
      </c>
      <c r="I1202" s="52" t="s">
        <v>1497</v>
      </c>
      <c r="J1202" s="52"/>
      <c r="K1202" s="52"/>
      <c r="L1202" s="52"/>
      <c r="M1202" s="52"/>
      <c r="N1202" s="52" t="s">
        <v>70</v>
      </c>
      <c r="O1202" s="52"/>
      <c r="P1202" s="52"/>
      <c r="Q1202" s="52"/>
      <c r="R1202" s="51" t="b">
        <v>0</v>
      </c>
      <c r="S1202" s="51"/>
      <c r="T1202" s="52"/>
      <c r="U1202" s="51" t="b">
        <v>0</v>
      </c>
      <c r="V1202" s="51" t="b">
        <v>0</v>
      </c>
      <c r="W1202" s="51" t="b">
        <v>0</v>
      </c>
      <c r="X1202" s="51" t="b">
        <v>0</v>
      </c>
      <c r="Y1202" s="51" t="b">
        <v>0</v>
      </c>
      <c r="Z1202" s="51" t="b">
        <v>0</v>
      </c>
      <c r="AA1202" s="65"/>
      <c r="AB1202" s="52"/>
      <c r="AC1202" s="52"/>
      <c r="AD1202" s="52"/>
      <c r="AE1202" s="56"/>
      <c r="AF1202" s="56"/>
    </row>
    <row r="1203">
      <c r="A1203" s="52" t="s">
        <v>4212</v>
      </c>
      <c r="B1203" s="52" t="s">
        <v>22</v>
      </c>
      <c r="C1203" s="52" t="s">
        <v>221</v>
      </c>
      <c r="D1203" s="65">
        <v>0.707766203703704</v>
      </c>
      <c r="E1203" s="65">
        <v>3.4722222222222224E-4</v>
      </c>
      <c r="F1203" s="65">
        <v>0.7081134259259263</v>
      </c>
      <c r="G1203" s="65"/>
      <c r="H1203" s="52" t="s">
        <v>85</v>
      </c>
      <c r="I1203" s="52" t="s">
        <v>1538</v>
      </c>
      <c r="J1203" s="52"/>
      <c r="K1203" s="52"/>
      <c r="L1203" s="52"/>
      <c r="M1203" s="52"/>
      <c r="N1203" s="52" t="s">
        <v>70</v>
      </c>
      <c r="O1203" s="52"/>
      <c r="P1203" s="52"/>
      <c r="Q1203" s="52"/>
      <c r="R1203" s="51" t="b">
        <v>0</v>
      </c>
      <c r="S1203" s="51"/>
      <c r="T1203" s="52"/>
      <c r="U1203" s="51" t="b">
        <v>0</v>
      </c>
      <c r="V1203" s="51" t="b">
        <v>0</v>
      </c>
      <c r="W1203" s="51" t="b">
        <v>0</v>
      </c>
      <c r="X1203" s="51" t="b">
        <v>0</v>
      </c>
      <c r="Y1203" s="51" t="b">
        <v>0</v>
      </c>
      <c r="Z1203" s="51" t="b">
        <v>0</v>
      </c>
      <c r="AA1203" s="65"/>
      <c r="AB1203" s="52"/>
      <c r="AC1203" s="52"/>
      <c r="AD1203" s="52"/>
      <c r="AE1203" s="56"/>
      <c r="AF1203" s="56"/>
    </row>
    <row r="1204">
      <c r="A1204" s="52" t="s">
        <v>4215</v>
      </c>
      <c r="B1204" s="52" t="s">
        <v>22</v>
      </c>
      <c r="C1204" s="52" t="s">
        <v>221</v>
      </c>
      <c r="D1204" s="65">
        <v>0.7081134259259263</v>
      </c>
      <c r="E1204" s="65">
        <v>0.0</v>
      </c>
      <c r="F1204" s="65">
        <v>0.7081134259259263</v>
      </c>
      <c r="G1204" s="65"/>
      <c r="H1204" s="52"/>
      <c r="I1204" s="52"/>
      <c r="J1204" s="52"/>
      <c r="K1204" s="52"/>
      <c r="L1204" s="52"/>
      <c r="M1204" s="52"/>
      <c r="N1204" s="52" t="s">
        <v>70</v>
      </c>
      <c r="O1204" s="52"/>
      <c r="P1204" s="52"/>
      <c r="Q1204" s="52"/>
      <c r="R1204" s="51" t="b">
        <v>0</v>
      </c>
      <c r="S1204" s="51"/>
      <c r="T1204" s="52"/>
      <c r="U1204" s="51" t="b">
        <v>0</v>
      </c>
      <c r="V1204" s="51" t="b">
        <v>0</v>
      </c>
      <c r="W1204" s="51" t="b">
        <v>0</v>
      </c>
      <c r="X1204" s="51" t="b">
        <v>0</v>
      </c>
      <c r="Y1204" s="51" t="b">
        <v>0</v>
      </c>
      <c r="Z1204" s="51" t="b">
        <v>0</v>
      </c>
      <c r="AA1204" s="65"/>
      <c r="AB1204" s="52"/>
      <c r="AC1204" s="52"/>
      <c r="AD1204" s="52"/>
      <c r="AE1204" s="56"/>
      <c r="AF1204" s="56"/>
    </row>
    <row r="1205">
      <c r="A1205" s="52" t="s">
        <v>4218</v>
      </c>
      <c r="B1205" s="52" t="s">
        <v>22</v>
      </c>
      <c r="C1205" s="52" t="s">
        <v>221</v>
      </c>
      <c r="D1205" s="65">
        <v>0.7081134259259263</v>
      </c>
      <c r="E1205" s="65">
        <v>0.0</v>
      </c>
      <c r="F1205" s="65">
        <v>0.7081134259259263</v>
      </c>
      <c r="G1205" s="65"/>
      <c r="H1205" s="52"/>
      <c r="I1205" s="52"/>
      <c r="J1205" s="52"/>
      <c r="K1205" s="52"/>
      <c r="L1205" s="52"/>
      <c r="M1205" s="52"/>
      <c r="N1205" s="52" t="s">
        <v>70</v>
      </c>
      <c r="O1205" s="52"/>
      <c r="P1205" s="52"/>
      <c r="Q1205" s="52"/>
      <c r="R1205" s="51" t="b">
        <v>0</v>
      </c>
      <c r="S1205" s="51"/>
      <c r="T1205" s="52"/>
      <c r="U1205" s="51" t="b">
        <v>0</v>
      </c>
      <c r="V1205" s="51" t="b">
        <v>0</v>
      </c>
      <c r="W1205" s="51" t="b">
        <v>0</v>
      </c>
      <c r="X1205" s="51" t="b">
        <v>0</v>
      </c>
      <c r="Y1205" s="51" t="b">
        <v>0</v>
      </c>
      <c r="Z1205" s="51" t="b">
        <v>0</v>
      </c>
      <c r="AA1205" s="65"/>
      <c r="AB1205" s="52"/>
      <c r="AC1205" s="52"/>
      <c r="AD1205" s="52"/>
      <c r="AE1205" s="56"/>
      <c r="AF1205" s="56"/>
    </row>
    <row r="1206">
      <c r="A1206" s="52" t="s">
        <v>4221</v>
      </c>
      <c r="B1206" s="52" t="s">
        <v>22</v>
      </c>
      <c r="C1206" s="52" t="s">
        <v>221</v>
      </c>
      <c r="D1206" s="65">
        <v>0.7081134259259263</v>
      </c>
      <c r="E1206" s="65">
        <v>0.0</v>
      </c>
      <c r="F1206" s="65">
        <v>0.7081134259259263</v>
      </c>
      <c r="G1206" s="65"/>
      <c r="H1206" s="52"/>
      <c r="I1206" s="52"/>
      <c r="J1206" s="52"/>
      <c r="K1206" s="52"/>
      <c r="L1206" s="52"/>
      <c r="M1206" s="52"/>
      <c r="N1206" s="52" t="s">
        <v>70</v>
      </c>
      <c r="O1206" s="52"/>
      <c r="P1206" s="52"/>
      <c r="Q1206" s="52"/>
      <c r="R1206" s="51" t="b">
        <v>0</v>
      </c>
      <c r="S1206" s="51"/>
      <c r="T1206" s="52"/>
      <c r="U1206" s="51" t="b">
        <v>0</v>
      </c>
      <c r="V1206" s="51" t="b">
        <v>0</v>
      </c>
      <c r="W1206" s="51" t="b">
        <v>0</v>
      </c>
      <c r="X1206" s="51" t="b">
        <v>0</v>
      </c>
      <c r="Y1206" s="51" t="b">
        <v>0</v>
      </c>
      <c r="Z1206" s="51" t="b">
        <v>0</v>
      </c>
      <c r="AA1206" s="65"/>
      <c r="AB1206" s="52"/>
      <c r="AC1206" s="52"/>
      <c r="AD1206" s="52"/>
      <c r="AE1206" s="56"/>
      <c r="AF1206" s="56"/>
    </row>
    <row r="1207">
      <c r="A1207" s="52" t="s">
        <v>4224</v>
      </c>
      <c r="B1207" s="52" t="s">
        <v>22</v>
      </c>
      <c r="C1207" s="52" t="s">
        <v>221</v>
      </c>
      <c r="D1207" s="65">
        <v>0.7081134259259263</v>
      </c>
      <c r="E1207" s="65">
        <v>0.0</v>
      </c>
      <c r="F1207" s="65">
        <v>0.7081134259259263</v>
      </c>
      <c r="G1207" s="65"/>
      <c r="H1207" s="52"/>
      <c r="I1207" s="52"/>
      <c r="J1207" s="52"/>
      <c r="K1207" s="52"/>
      <c r="L1207" s="52"/>
      <c r="M1207" s="52"/>
      <c r="N1207" s="52" t="s">
        <v>70</v>
      </c>
      <c r="O1207" s="52"/>
      <c r="P1207" s="52"/>
      <c r="Q1207" s="52"/>
      <c r="R1207" s="51" t="b">
        <v>0</v>
      </c>
      <c r="S1207" s="51"/>
      <c r="T1207" s="52"/>
      <c r="U1207" s="51" t="b">
        <v>0</v>
      </c>
      <c r="V1207" s="51" t="b">
        <v>0</v>
      </c>
      <c r="W1207" s="51" t="b">
        <v>0</v>
      </c>
      <c r="X1207" s="51" t="b">
        <v>0</v>
      </c>
      <c r="Y1207" s="51" t="b">
        <v>0</v>
      </c>
      <c r="Z1207" s="51" t="b">
        <v>0</v>
      </c>
      <c r="AA1207" s="65"/>
      <c r="AB1207" s="52"/>
      <c r="AC1207" s="52"/>
      <c r="AD1207" s="52"/>
      <c r="AE1207" s="56"/>
      <c r="AF1207" s="56"/>
    </row>
    <row r="1208">
      <c r="A1208" s="52" t="s">
        <v>4226</v>
      </c>
      <c r="B1208" s="52" t="s">
        <v>22</v>
      </c>
      <c r="C1208" s="52" t="s">
        <v>221</v>
      </c>
      <c r="D1208" s="65">
        <v>0.7081134259259263</v>
      </c>
      <c r="E1208" s="65">
        <v>0.0</v>
      </c>
      <c r="F1208" s="65">
        <v>0.7081134259259263</v>
      </c>
      <c r="G1208" s="65"/>
      <c r="H1208" s="52"/>
      <c r="I1208" s="52"/>
      <c r="J1208" s="52"/>
      <c r="K1208" s="52"/>
      <c r="L1208" s="52"/>
      <c r="M1208" s="52"/>
      <c r="N1208" s="52" t="s">
        <v>70</v>
      </c>
      <c r="O1208" s="52"/>
      <c r="P1208" s="52"/>
      <c r="Q1208" s="52"/>
      <c r="R1208" s="51" t="b">
        <v>0</v>
      </c>
      <c r="S1208" s="51"/>
      <c r="T1208" s="52"/>
      <c r="U1208" s="51" t="b">
        <v>0</v>
      </c>
      <c r="V1208" s="51" t="b">
        <v>0</v>
      </c>
      <c r="W1208" s="51" t="b">
        <v>0</v>
      </c>
      <c r="X1208" s="51" t="b">
        <v>0</v>
      </c>
      <c r="Y1208" s="51" t="b">
        <v>0</v>
      </c>
      <c r="Z1208" s="51" t="b">
        <v>0</v>
      </c>
      <c r="AA1208" s="65"/>
      <c r="AB1208" s="52"/>
      <c r="AC1208" s="52"/>
      <c r="AD1208" s="52"/>
      <c r="AE1208" s="56"/>
      <c r="AF1208" s="56"/>
    </row>
    <row r="1209">
      <c r="A1209" s="52" t="s">
        <v>4229</v>
      </c>
      <c r="B1209" s="52" t="s">
        <v>344</v>
      </c>
      <c r="C1209" s="52"/>
      <c r="D1209" s="65"/>
      <c r="E1209" s="65"/>
      <c r="F1209" s="65"/>
      <c r="G1209" s="65"/>
      <c r="H1209" s="52"/>
      <c r="I1209" s="52"/>
      <c r="J1209" s="52"/>
      <c r="K1209" s="52"/>
      <c r="L1209" s="52"/>
      <c r="M1209" s="52"/>
      <c r="N1209" s="52" t="s">
        <v>70</v>
      </c>
      <c r="O1209" s="52"/>
      <c r="P1209" s="52"/>
      <c r="Q1209" s="52"/>
      <c r="R1209" s="51" t="b">
        <v>0</v>
      </c>
      <c r="S1209" s="51"/>
      <c r="T1209" s="52"/>
      <c r="U1209" s="51" t="b">
        <v>0</v>
      </c>
      <c r="V1209" s="51" t="b">
        <v>0</v>
      </c>
      <c r="W1209" s="51" t="b">
        <v>0</v>
      </c>
      <c r="X1209" s="51" t="b">
        <v>0</v>
      </c>
      <c r="Y1209" s="51" t="b">
        <v>0</v>
      </c>
      <c r="Z1209" s="51" t="b">
        <v>0</v>
      </c>
      <c r="AA1209" s="68"/>
      <c r="AB1209" s="52"/>
      <c r="AC1209" s="52"/>
      <c r="AD1209" s="52"/>
      <c r="AE1209" s="56"/>
      <c r="AF1209" s="56"/>
    </row>
    <row r="1210">
      <c r="A1210" s="52" t="s">
        <v>4232</v>
      </c>
      <c r="B1210" s="52" t="s">
        <v>22</v>
      </c>
      <c r="C1210" s="52" t="s">
        <v>289</v>
      </c>
      <c r="D1210" s="65">
        <v>0.4166666666666667</v>
      </c>
      <c r="E1210" s="65">
        <v>0.0012037037037037038</v>
      </c>
      <c r="F1210" s="65">
        <v>0.4178703703703704</v>
      </c>
      <c r="G1210" s="65"/>
      <c r="H1210" s="52" t="s">
        <v>79</v>
      </c>
      <c r="I1210" s="52" t="s">
        <v>1497</v>
      </c>
      <c r="J1210" s="52"/>
      <c r="K1210" s="52"/>
      <c r="L1210" s="52"/>
      <c r="M1210" s="52"/>
      <c r="N1210" s="52" t="s">
        <v>70</v>
      </c>
      <c r="O1210" s="52"/>
      <c r="P1210" s="52"/>
      <c r="Q1210" s="52"/>
      <c r="R1210" s="51" t="b">
        <v>0</v>
      </c>
      <c r="S1210" s="51"/>
      <c r="T1210" s="52"/>
      <c r="U1210" s="51" t="b">
        <v>0</v>
      </c>
      <c r="V1210" s="51" t="b">
        <v>0</v>
      </c>
      <c r="W1210" s="51" t="b">
        <v>0</v>
      </c>
      <c r="X1210" s="51" t="b">
        <v>0</v>
      </c>
      <c r="Y1210" s="51" t="b">
        <v>0</v>
      </c>
      <c r="Z1210" s="51" t="b">
        <v>0</v>
      </c>
      <c r="AA1210" s="65"/>
      <c r="AB1210" s="52"/>
      <c r="AC1210" s="52"/>
      <c r="AD1210" s="52"/>
      <c r="AE1210" s="56"/>
      <c r="AF1210" s="56"/>
    </row>
    <row r="1211">
      <c r="A1211" s="52" t="s">
        <v>4235</v>
      </c>
      <c r="B1211" s="52" t="s">
        <v>22</v>
      </c>
      <c r="C1211" s="52" t="s">
        <v>289</v>
      </c>
      <c r="D1211" s="65">
        <v>0.6254976851851852</v>
      </c>
      <c r="E1211" s="65">
        <v>3.4722222222222224E-4</v>
      </c>
      <c r="F1211" s="65">
        <v>0.6258449074074075</v>
      </c>
      <c r="G1211" s="65"/>
      <c r="H1211" s="52" t="s">
        <v>81</v>
      </c>
      <c r="I1211" s="52" t="s">
        <v>1498</v>
      </c>
      <c r="J1211" s="52"/>
      <c r="K1211" s="52"/>
      <c r="L1211" s="52"/>
      <c r="M1211" s="52"/>
      <c r="N1211" s="52" t="s">
        <v>70</v>
      </c>
      <c r="O1211" s="52"/>
      <c r="P1211" s="52"/>
      <c r="Q1211" s="52"/>
      <c r="R1211" s="51" t="b">
        <v>0</v>
      </c>
      <c r="S1211" s="51"/>
      <c r="T1211" s="52"/>
      <c r="U1211" s="51" t="b">
        <v>0</v>
      </c>
      <c r="V1211" s="51" t="b">
        <v>0</v>
      </c>
      <c r="W1211" s="51" t="b">
        <v>0</v>
      </c>
      <c r="X1211" s="51" t="b">
        <v>0</v>
      </c>
      <c r="Y1211" s="51" t="b">
        <v>0</v>
      </c>
      <c r="Z1211" s="51" t="b">
        <v>0</v>
      </c>
      <c r="AA1211" s="65"/>
      <c r="AB1211" s="52"/>
      <c r="AC1211" s="52"/>
      <c r="AD1211" s="52"/>
      <c r="AE1211" s="56"/>
      <c r="AF1211" s="56"/>
    </row>
    <row r="1212">
      <c r="A1212" s="52" t="s">
        <v>4237</v>
      </c>
      <c r="B1212" s="52" t="s">
        <v>22</v>
      </c>
      <c r="C1212" s="52" t="s">
        <v>289</v>
      </c>
      <c r="D1212" s="65">
        <v>0.6258449074074075</v>
      </c>
      <c r="E1212" s="65">
        <v>0.025185185185185185</v>
      </c>
      <c r="F1212" s="65">
        <v>0.6510300925925927</v>
      </c>
      <c r="G1212" s="65"/>
      <c r="H1212" s="52" t="s">
        <v>1501</v>
      </c>
      <c r="I1212" s="52" t="s">
        <v>1634</v>
      </c>
      <c r="J1212" s="52" t="s">
        <v>908</v>
      </c>
      <c r="K1212" s="52" t="s">
        <v>909</v>
      </c>
      <c r="L1212" s="52"/>
      <c r="M1212" s="52"/>
      <c r="N1212" s="52" t="s">
        <v>910</v>
      </c>
      <c r="O1212" s="52"/>
      <c r="P1212" s="69" t="s">
        <v>3871</v>
      </c>
      <c r="Q1212" s="73" t="s">
        <v>4239</v>
      </c>
      <c r="R1212" s="51" t="b">
        <v>1</v>
      </c>
      <c r="S1212" s="52" t="s">
        <v>1634</v>
      </c>
      <c r="T1212" s="52"/>
      <c r="U1212" s="51" t="b">
        <v>0</v>
      </c>
      <c r="V1212" s="51" t="b">
        <v>1</v>
      </c>
      <c r="W1212" s="51" t="b">
        <v>0</v>
      </c>
      <c r="X1212" s="51" t="b">
        <v>0</v>
      </c>
      <c r="Y1212" s="51" t="b">
        <v>1</v>
      </c>
      <c r="Z1212" s="51" t="b">
        <v>0</v>
      </c>
      <c r="AA1212" s="216">
        <v>0.025185185185185185</v>
      </c>
      <c r="AB1212" s="69" t="s">
        <v>4242</v>
      </c>
      <c r="AC1212" s="52"/>
      <c r="AD1212" s="73" t="s">
        <v>4243</v>
      </c>
      <c r="AE1212" s="56" t="s">
        <v>629</v>
      </c>
      <c r="AF1212" s="56" t="s">
        <v>1253</v>
      </c>
    </row>
    <row r="1213">
      <c r="A1213" s="52" t="s">
        <v>4245</v>
      </c>
      <c r="B1213" s="52" t="s">
        <v>785</v>
      </c>
      <c r="C1213" s="52" t="s">
        <v>289</v>
      </c>
      <c r="D1213" s="65">
        <v>0.4322916666666667</v>
      </c>
      <c r="E1213" s="65">
        <v>0.001388888888888889</v>
      </c>
      <c r="F1213" s="65">
        <v>0.43368055555555557</v>
      </c>
      <c r="G1213" s="65"/>
      <c r="H1213" s="52" t="s">
        <v>79</v>
      </c>
      <c r="I1213" s="52" t="s">
        <v>1497</v>
      </c>
      <c r="J1213" s="52"/>
      <c r="K1213" s="52"/>
      <c r="L1213" s="52"/>
      <c r="M1213" s="52"/>
      <c r="N1213" s="52" t="s">
        <v>70</v>
      </c>
      <c r="O1213" s="52"/>
      <c r="P1213" s="52"/>
      <c r="Q1213" s="52"/>
      <c r="R1213" s="51" t="b">
        <v>0</v>
      </c>
      <c r="S1213" s="51"/>
      <c r="T1213" s="52"/>
      <c r="U1213" s="51" t="b">
        <v>0</v>
      </c>
      <c r="V1213" s="51" t="b">
        <v>0</v>
      </c>
      <c r="W1213" s="51" t="b">
        <v>0</v>
      </c>
      <c r="X1213" s="51" t="b">
        <v>0</v>
      </c>
      <c r="Y1213" s="51" t="b">
        <v>0</v>
      </c>
      <c r="Z1213" s="51" t="b">
        <v>0</v>
      </c>
      <c r="AA1213" s="65"/>
      <c r="AB1213" s="52"/>
      <c r="AC1213" s="52"/>
      <c r="AD1213" s="52"/>
      <c r="AE1213" s="56"/>
      <c r="AF1213" s="56"/>
    </row>
    <row r="1214">
      <c r="A1214" s="52" t="s">
        <v>4248</v>
      </c>
      <c r="B1214" s="52" t="s">
        <v>22</v>
      </c>
      <c r="C1214" s="52" t="s">
        <v>221</v>
      </c>
      <c r="D1214" s="65">
        <v>0.48564814814814816</v>
      </c>
      <c r="E1214" s="65">
        <v>3.4722222222222224E-4</v>
      </c>
      <c r="F1214" s="65">
        <v>0.4859953703703704</v>
      </c>
      <c r="G1214" s="65"/>
      <c r="H1214" s="52" t="s">
        <v>81</v>
      </c>
      <c r="I1214" s="52" t="s">
        <v>1498</v>
      </c>
      <c r="J1214" s="52"/>
      <c r="K1214" s="52"/>
      <c r="L1214" s="52"/>
      <c r="M1214" s="52"/>
      <c r="N1214" s="52" t="s">
        <v>70</v>
      </c>
      <c r="O1214" s="52"/>
      <c r="P1214" s="52"/>
      <c r="Q1214" s="52"/>
      <c r="R1214" s="51" t="b">
        <v>0</v>
      </c>
      <c r="S1214" s="51"/>
      <c r="T1214" s="52"/>
      <c r="U1214" s="51" t="b">
        <v>0</v>
      </c>
      <c r="V1214" s="51" t="b">
        <v>0</v>
      </c>
      <c r="W1214" s="51" t="b">
        <v>0</v>
      </c>
      <c r="X1214" s="51" t="b">
        <v>0</v>
      </c>
      <c r="Y1214" s="51" t="b">
        <v>0</v>
      </c>
      <c r="Z1214" s="51" t="b">
        <v>0</v>
      </c>
      <c r="AA1214" s="65"/>
      <c r="AB1214" s="52"/>
      <c r="AC1214" s="52"/>
      <c r="AD1214" s="52"/>
      <c r="AE1214" s="56"/>
      <c r="AF1214" s="56"/>
    </row>
    <row r="1215">
      <c r="A1215" s="52" t="s">
        <v>4251</v>
      </c>
      <c r="B1215" s="52" t="s">
        <v>22</v>
      </c>
      <c r="C1215" s="52" t="s">
        <v>221</v>
      </c>
      <c r="D1215" s="65">
        <v>0.4859953703703704</v>
      </c>
      <c r="E1215" s="65">
        <v>0.02971064814814815</v>
      </c>
      <c r="F1215" s="65">
        <v>0.5157060185185185</v>
      </c>
      <c r="G1215" s="65"/>
      <c r="H1215" s="52" t="s">
        <v>1501</v>
      </c>
      <c r="I1215" s="52" t="s">
        <v>1567</v>
      </c>
      <c r="J1215" s="52" t="s">
        <v>624</v>
      </c>
      <c r="K1215" s="52"/>
      <c r="L1215" s="52"/>
      <c r="M1215" s="52"/>
      <c r="N1215" s="52" t="s">
        <v>201</v>
      </c>
      <c r="O1215" s="52"/>
      <c r="P1215" s="69" t="s">
        <v>3871</v>
      </c>
      <c r="Q1215" s="73" t="s">
        <v>4253</v>
      </c>
      <c r="R1215" s="51" t="b">
        <v>1</v>
      </c>
      <c r="S1215" s="52" t="s">
        <v>1567</v>
      </c>
      <c r="T1215" s="52"/>
      <c r="U1215" s="51" t="b">
        <v>0</v>
      </c>
      <c r="V1215" s="51" t="b">
        <v>1</v>
      </c>
      <c r="W1215" s="51" t="b">
        <v>1</v>
      </c>
      <c r="X1215" s="51" t="b">
        <v>0</v>
      </c>
      <c r="Y1215" s="51" t="b">
        <v>0</v>
      </c>
      <c r="Z1215" s="51" t="b">
        <v>0</v>
      </c>
      <c r="AA1215" s="216">
        <v>0.02971064814814815</v>
      </c>
      <c r="AB1215" s="52"/>
      <c r="AC1215" s="52"/>
      <c r="AD1215" s="73" t="s">
        <v>4256</v>
      </c>
      <c r="AE1215" s="56" t="s">
        <v>629</v>
      </c>
      <c r="AF1215" s="56" t="s">
        <v>1253</v>
      </c>
    </row>
    <row r="1216">
      <c r="A1216" s="52" t="s">
        <v>4258</v>
      </c>
      <c r="B1216" s="52" t="s">
        <v>22</v>
      </c>
      <c r="C1216" s="52" t="s">
        <v>221</v>
      </c>
      <c r="D1216" s="65">
        <v>0.5157060185185185</v>
      </c>
      <c r="E1216" s="65">
        <v>0.0012037037037037038</v>
      </c>
      <c r="F1216" s="65">
        <v>0.5169097222222222</v>
      </c>
      <c r="G1216" s="65"/>
      <c r="H1216" s="52" t="s">
        <v>79</v>
      </c>
      <c r="I1216" s="52" t="s">
        <v>1497</v>
      </c>
      <c r="J1216" s="52"/>
      <c r="K1216" s="52"/>
      <c r="L1216" s="52"/>
      <c r="M1216" s="52"/>
      <c r="N1216" s="52" t="s">
        <v>70</v>
      </c>
      <c r="O1216" s="52"/>
      <c r="P1216" s="52"/>
      <c r="Q1216" s="52"/>
      <c r="R1216" s="51" t="b">
        <v>0</v>
      </c>
      <c r="S1216" s="51"/>
      <c r="T1216" s="52"/>
      <c r="U1216" s="51" t="b">
        <v>0</v>
      </c>
      <c r="V1216" s="51" t="b">
        <v>0</v>
      </c>
      <c r="W1216" s="51" t="b">
        <v>0</v>
      </c>
      <c r="X1216" s="51" t="b">
        <v>0</v>
      </c>
      <c r="Y1216" s="51" t="b">
        <v>0</v>
      </c>
      <c r="Z1216" s="51" t="b">
        <v>0</v>
      </c>
      <c r="AA1216" s="65"/>
      <c r="AB1216" s="52"/>
      <c r="AC1216" s="52"/>
      <c r="AD1216" s="52"/>
      <c r="AE1216" s="56"/>
      <c r="AF1216" s="56"/>
    </row>
    <row r="1217">
      <c r="A1217" s="52" t="s">
        <v>4261</v>
      </c>
      <c r="B1217" s="52" t="s">
        <v>607</v>
      </c>
      <c r="C1217" s="52" t="s">
        <v>607</v>
      </c>
      <c r="D1217" s="65" t="s">
        <v>607</v>
      </c>
      <c r="E1217" s="65" t="s">
        <v>607</v>
      </c>
      <c r="F1217" s="65" t="s">
        <v>607</v>
      </c>
      <c r="G1217" s="65" t="s">
        <v>607</v>
      </c>
      <c r="H1217" s="52" t="s">
        <v>607</v>
      </c>
      <c r="I1217" s="52" t="s">
        <v>607</v>
      </c>
      <c r="J1217" s="52" t="s">
        <v>607</v>
      </c>
      <c r="K1217" s="52" t="s">
        <v>607</v>
      </c>
      <c r="L1217" s="52" t="s">
        <v>607</v>
      </c>
      <c r="M1217" s="52" t="s">
        <v>607</v>
      </c>
      <c r="N1217" s="52" t="s">
        <v>607</v>
      </c>
      <c r="O1217" s="52"/>
      <c r="P1217" s="52"/>
      <c r="Q1217" s="52"/>
      <c r="R1217" s="51" t="b">
        <v>0</v>
      </c>
      <c r="S1217" s="51"/>
      <c r="T1217" s="52"/>
      <c r="U1217" s="51" t="b">
        <v>0</v>
      </c>
      <c r="V1217" s="51" t="b">
        <v>0</v>
      </c>
      <c r="W1217" s="51" t="b">
        <v>0</v>
      </c>
      <c r="X1217" s="51" t="b">
        <v>0</v>
      </c>
      <c r="Y1217" s="51" t="b">
        <v>0</v>
      </c>
      <c r="Z1217" s="51" t="b">
        <v>0</v>
      </c>
      <c r="AA1217" s="65"/>
      <c r="AB1217" s="52"/>
      <c r="AC1217" s="52"/>
      <c r="AD1217" s="52"/>
      <c r="AE1217" s="56" t="s">
        <v>607</v>
      </c>
      <c r="AF1217" s="56" t="s">
        <v>607</v>
      </c>
    </row>
    <row r="1218">
      <c r="A1218" s="52" t="s">
        <v>4263</v>
      </c>
      <c r="B1218" s="52" t="s">
        <v>607</v>
      </c>
      <c r="C1218" s="52" t="s">
        <v>607</v>
      </c>
      <c r="D1218" s="65" t="s">
        <v>607</v>
      </c>
      <c r="E1218" s="65" t="s">
        <v>607</v>
      </c>
      <c r="F1218" s="65" t="s">
        <v>607</v>
      </c>
      <c r="G1218" s="65" t="s">
        <v>607</v>
      </c>
      <c r="H1218" s="52" t="s">
        <v>607</v>
      </c>
      <c r="I1218" s="52" t="s">
        <v>607</v>
      </c>
      <c r="J1218" s="52" t="s">
        <v>607</v>
      </c>
      <c r="K1218" s="52" t="s">
        <v>607</v>
      </c>
      <c r="L1218" s="52" t="s">
        <v>607</v>
      </c>
      <c r="M1218" s="52" t="s">
        <v>607</v>
      </c>
      <c r="N1218" s="52" t="s">
        <v>607</v>
      </c>
      <c r="O1218" s="52"/>
      <c r="P1218" s="52"/>
      <c r="Q1218" s="52"/>
      <c r="R1218" s="51" t="b">
        <v>0</v>
      </c>
      <c r="S1218" s="51"/>
      <c r="T1218" s="52"/>
      <c r="U1218" s="51" t="b">
        <v>0</v>
      </c>
      <c r="V1218" s="51" t="b">
        <v>0</v>
      </c>
      <c r="W1218" s="51" t="b">
        <v>0</v>
      </c>
      <c r="X1218" s="51" t="b">
        <v>0</v>
      </c>
      <c r="Y1218" s="51" t="b">
        <v>0</v>
      </c>
      <c r="Z1218" s="51" t="b">
        <v>0</v>
      </c>
      <c r="AA1218" s="65"/>
      <c r="AB1218" s="52"/>
      <c r="AC1218" s="52"/>
      <c r="AD1218" s="52"/>
      <c r="AE1218" s="56" t="s">
        <v>607</v>
      </c>
      <c r="AF1218" s="56" t="s">
        <v>607</v>
      </c>
    </row>
    <row r="1219">
      <c r="A1219" s="52" t="s">
        <v>4266</v>
      </c>
      <c r="B1219" s="52" t="s">
        <v>607</v>
      </c>
      <c r="C1219" s="52" t="s">
        <v>607</v>
      </c>
      <c r="D1219" s="65" t="s">
        <v>607</v>
      </c>
      <c r="E1219" s="65" t="s">
        <v>607</v>
      </c>
      <c r="F1219" s="65" t="s">
        <v>607</v>
      </c>
      <c r="G1219" s="65" t="s">
        <v>607</v>
      </c>
      <c r="H1219" s="52" t="s">
        <v>607</v>
      </c>
      <c r="I1219" s="52" t="s">
        <v>607</v>
      </c>
      <c r="J1219" s="52" t="s">
        <v>607</v>
      </c>
      <c r="K1219" s="52" t="s">
        <v>607</v>
      </c>
      <c r="L1219" s="52" t="s">
        <v>607</v>
      </c>
      <c r="M1219" s="52" t="s">
        <v>607</v>
      </c>
      <c r="N1219" s="52" t="s">
        <v>607</v>
      </c>
      <c r="O1219" s="52"/>
      <c r="P1219" s="52"/>
      <c r="Q1219" s="52"/>
      <c r="R1219" s="51" t="b">
        <v>0</v>
      </c>
      <c r="S1219" s="51"/>
      <c r="T1219" s="52"/>
      <c r="U1219" s="51" t="b">
        <v>0</v>
      </c>
      <c r="V1219" s="51" t="b">
        <v>0</v>
      </c>
      <c r="W1219" s="51" t="b">
        <v>0</v>
      </c>
      <c r="X1219" s="51" t="b">
        <v>0</v>
      </c>
      <c r="Y1219" s="51" t="b">
        <v>0</v>
      </c>
      <c r="Z1219" s="51" t="b">
        <v>0</v>
      </c>
      <c r="AA1219" s="65"/>
      <c r="AB1219" s="52"/>
      <c r="AC1219" s="52"/>
      <c r="AD1219" s="52"/>
      <c r="AE1219" s="56" t="s">
        <v>607</v>
      </c>
      <c r="AF1219" s="56" t="s">
        <v>607</v>
      </c>
    </row>
    <row r="1220">
      <c r="A1220" s="52" t="s">
        <v>4269</v>
      </c>
      <c r="B1220" s="52" t="s">
        <v>22</v>
      </c>
      <c r="C1220" s="52" t="s">
        <v>289</v>
      </c>
      <c r="D1220" s="65">
        <v>0.5016550925925926</v>
      </c>
      <c r="E1220" s="65">
        <v>3.4722222222222224E-4</v>
      </c>
      <c r="F1220" s="65">
        <v>0.5020023148148148</v>
      </c>
      <c r="G1220" s="65"/>
      <c r="H1220" s="52" t="s">
        <v>81</v>
      </c>
      <c r="I1220" s="52" t="s">
        <v>1498</v>
      </c>
      <c r="J1220" s="52"/>
      <c r="K1220" s="52"/>
      <c r="L1220" s="52"/>
      <c r="M1220" s="52"/>
      <c r="N1220" s="52" t="s">
        <v>70</v>
      </c>
      <c r="O1220" s="52"/>
      <c r="P1220" s="52"/>
      <c r="Q1220" s="52"/>
      <c r="R1220" s="51" t="b">
        <v>0</v>
      </c>
      <c r="S1220" s="51"/>
      <c r="T1220" s="52"/>
      <c r="U1220" s="51" t="b">
        <v>0</v>
      </c>
      <c r="V1220" s="51" t="b">
        <v>0</v>
      </c>
      <c r="W1220" s="51" t="b">
        <v>0</v>
      </c>
      <c r="X1220" s="51" t="b">
        <v>0</v>
      </c>
      <c r="Y1220" s="51" t="b">
        <v>0</v>
      </c>
      <c r="Z1220" s="51" t="b">
        <v>0</v>
      </c>
      <c r="AA1220" s="65"/>
      <c r="AB1220" s="52"/>
      <c r="AC1220" s="52"/>
      <c r="AD1220" s="52"/>
      <c r="AE1220" s="56"/>
      <c r="AF1220" s="56"/>
    </row>
    <row r="1221">
      <c r="A1221" s="52" t="s">
        <v>4271</v>
      </c>
      <c r="B1221" s="52" t="s">
        <v>22</v>
      </c>
      <c r="C1221" s="52" t="s">
        <v>289</v>
      </c>
      <c r="D1221" s="65">
        <v>0.5020023148148148</v>
      </c>
      <c r="E1221" s="65">
        <v>0.037141203703703704</v>
      </c>
      <c r="F1221" s="65">
        <v>0.5391435185185185</v>
      </c>
      <c r="G1221" s="65"/>
      <c r="H1221" s="52" t="s">
        <v>1501</v>
      </c>
      <c r="I1221" s="52" t="s">
        <v>1611</v>
      </c>
      <c r="J1221" s="52" t="s">
        <v>710</v>
      </c>
      <c r="K1221" s="52"/>
      <c r="L1221" s="52"/>
      <c r="M1221" s="52"/>
      <c r="N1221" s="52" t="s">
        <v>1612</v>
      </c>
      <c r="O1221" s="52"/>
      <c r="P1221" s="69" t="s">
        <v>3871</v>
      </c>
      <c r="Q1221" s="73" t="s">
        <v>4273</v>
      </c>
      <c r="R1221" s="51" t="b">
        <v>1</v>
      </c>
      <c r="S1221" s="52" t="s">
        <v>1611</v>
      </c>
      <c r="T1221" s="52"/>
      <c r="U1221" s="51" t="b">
        <v>0</v>
      </c>
      <c r="V1221" s="51" t="b">
        <v>1</v>
      </c>
      <c r="W1221" s="51" t="b">
        <v>1</v>
      </c>
      <c r="X1221" s="51" t="b">
        <v>0</v>
      </c>
      <c r="Y1221" s="51" t="b">
        <v>0</v>
      </c>
      <c r="Z1221" s="51" t="b">
        <v>0</v>
      </c>
      <c r="AA1221" s="216">
        <v>0.037395833333333336</v>
      </c>
      <c r="AB1221" s="52"/>
      <c r="AC1221" s="52"/>
      <c r="AD1221" s="73" t="s">
        <v>4276</v>
      </c>
      <c r="AE1221" s="56" t="s">
        <v>629</v>
      </c>
      <c r="AF1221" s="56" t="s">
        <v>1253</v>
      </c>
    </row>
    <row r="1222">
      <c r="A1222" s="52" t="s">
        <v>4278</v>
      </c>
      <c r="B1222" s="52" t="s">
        <v>22</v>
      </c>
      <c r="C1222" s="52" t="s">
        <v>289</v>
      </c>
      <c r="D1222" s="65">
        <v>0.5391435185185185</v>
      </c>
      <c r="E1222" s="65">
        <v>0.001388888888888889</v>
      </c>
      <c r="F1222" s="65">
        <v>0.5405324074074074</v>
      </c>
      <c r="G1222" s="65"/>
      <c r="H1222" s="52" t="s">
        <v>79</v>
      </c>
      <c r="I1222" s="52" t="s">
        <v>1497</v>
      </c>
      <c r="J1222" s="52"/>
      <c r="K1222" s="52"/>
      <c r="L1222" s="52"/>
      <c r="M1222" s="52"/>
      <c r="N1222" s="52" t="s">
        <v>70</v>
      </c>
      <c r="O1222" s="52"/>
      <c r="P1222" s="52"/>
      <c r="Q1222" s="52"/>
      <c r="R1222" s="51" t="b">
        <v>0</v>
      </c>
      <c r="S1222" s="51"/>
      <c r="T1222" s="52"/>
      <c r="U1222" s="51" t="b">
        <v>0</v>
      </c>
      <c r="V1222" s="51" t="b">
        <v>0</v>
      </c>
      <c r="W1222" s="51" t="b">
        <v>0</v>
      </c>
      <c r="X1222" s="51" t="b">
        <v>0</v>
      </c>
      <c r="Y1222" s="51" t="b">
        <v>0</v>
      </c>
      <c r="Z1222" s="51" t="b">
        <v>0</v>
      </c>
      <c r="AA1222" s="65"/>
      <c r="AB1222" s="52"/>
      <c r="AC1222" s="52"/>
      <c r="AD1222" s="52"/>
      <c r="AE1222" s="56"/>
      <c r="AF1222" s="56"/>
    </row>
    <row r="1223">
      <c r="A1223" s="52" t="s">
        <v>4281</v>
      </c>
      <c r="B1223" s="52" t="s">
        <v>22</v>
      </c>
      <c r="C1223" s="52" t="s">
        <v>66</v>
      </c>
      <c r="D1223" s="65">
        <v>0.5295717592592593</v>
      </c>
      <c r="E1223" s="65">
        <v>3.4722222222222224E-4</v>
      </c>
      <c r="F1223" s="65">
        <v>0.5299189814814815</v>
      </c>
      <c r="G1223" s="65"/>
      <c r="H1223" s="52" t="s">
        <v>81</v>
      </c>
      <c r="I1223" s="52" t="s">
        <v>1498</v>
      </c>
      <c r="J1223" s="52"/>
      <c r="K1223" s="52"/>
      <c r="L1223" s="52"/>
      <c r="M1223" s="52"/>
      <c r="N1223" s="52" t="s">
        <v>70</v>
      </c>
      <c r="O1223" s="52"/>
      <c r="P1223" s="52"/>
      <c r="Q1223" s="52"/>
      <c r="R1223" s="51" t="b">
        <v>0</v>
      </c>
      <c r="S1223" s="51"/>
      <c r="T1223" s="52"/>
      <c r="U1223" s="51" t="b">
        <v>0</v>
      </c>
      <c r="V1223" s="51" t="b">
        <v>0</v>
      </c>
      <c r="W1223" s="51" t="b">
        <v>0</v>
      </c>
      <c r="X1223" s="51" t="b">
        <v>0</v>
      </c>
      <c r="Y1223" s="51" t="b">
        <v>0</v>
      </c>
      <c r="Z1223" s="51" t="b">
        <v>0</v>
      </c>
      <c r="AA1223" s="65"/>
      <c r="AB1223" s="52"/>
      <c r="AC1223" s="52"/>
      <c r="AD1223" s="52"/>
      <c r="AE1223" s="56"/>
      <c r="AF1223" s="56"/>
    </row>
    <row r="1224">
      <c r="A1224" s="52" t="s">
        <v>4283</v>
      </c>
      <c r="B1224" s="52" t="s">
        <v>22</v>
      </c>
      <c r="C1224" s="52" t="s">
        <v>66</v>
      </c>
      <c r="D1224" s="65">
        <v>0.5299189814814815</v>
      </c>
      <c r="E1224" s="65">
        <v>0.025208333333333333</v>
      </c>
      <c r="F1224" s="65">
        <v>0.5551273148148148</v>
      </c>
      <c r="G1224" s="65"/>
      <c r="H1224" s="52" t="s">
        <v>1501</v>
      </c>
      <c r="I1224" s="52" t="s">
        <v>1511</v>
      </c>
      <c r="J1224" s="52" t="s">
        <v>1045</v>
      </c>
      <c r="K1224" s="52"/>
      <c r="L1224" s="52"/>
      <c r="M1224" s="52"/>
      <c r="N1224" s="52" t="s">
        <v>1512</v>
      </c>
      <c r="O1224" s="52"/>
      <c r="P1224" s="69" t="s">
        <v>3871</v>
      </c>
      <c r="Q1224" s="73" t="s">
        <v>4285</v>
      </c>
      <c r="R1224" s="51" t="b">
        <v>1</v>
      </c>
      <c r="S1224" s="52" t="s">
        <v>1511</v>
      </c>
      <c r="T1224" s="52"/>
      <c r="U1224" s="51" t="b">
        <v>0</v>
      </c>
      <c r="V1224" s="51" t="b">
        <v>1</v>
      </c>
      <c r="W1224" s="51" t="b">
        <v>1</v>
      </c>
      <c r="X1224" s="51" t="b">
        <v>0</v>
      </c>
      <c r="Y1224" s="51" t="b">
        <v>0</v>
      </c>
      <c r="Z1224" s="51" t="b">
        <v>0</v>
      </c>
      <c r="AA1224" s="216">
        <v>0.025208333333333333</v>
      </c>
      <c r="AB1224" s="52"/>
      <c r="AC1224" s="52"/>
      <c r="AD1224" s="73" t="s">
        <v>4288</v>
      </c>
      <c r="AE1224" s="56" t="s">
        <v>629</v>
      </c>
      <c r="AF1224" s="56" t="s">
        <v>1253</v>
      </c>
    </row>
    <row r="1225">
      <c r="A1225" s="52" t="s">
        <v>4290</v>
      </c>
      <c r="B1225" s="52" t="s">
        <v>607</v>
      </c>
      <c r="C1225" s="52" t="s">
        <v>607</v>
      </c>
      <c r="D1225" s="65" t="s">
        <v>607</v>
      </c>
      <c r="E1225" s="65" t="s">
        <v>607</v>
      </c>
      <c r="F1225" s="65" t="s">
        <v>607</v>
      </c>
      <c r="G1225" s="65" t="s">
        <v>607</v>
      </c>
      <c r="H1225" s="52" t="s">
        <v>607</v>
      </c>
      <c r="I1225" s="52" t="s">
        <v>607</v>
      </c>
      <c r="J1225" s="52" t="s">
        <v>607</v>
      </c>
      <c r="K1225" s="52" t="s">
        <v>607</v>
      </c>
      <c r="L1225" s="52" t="s">
        <v>607</v>
      </c>
      <c r="M1225" s="52" t="s">
        <v>607</v>
      </c>
      <c r="N1225" s="52" t="s">
        <v>607</v>
      </c>
      <c r="O1225" s="52"/>
      <c r="P1225" s="52"/>
      <c r="Q1225" s="52"/>
      <c r="R1225" s="51" t="b">
        <v>0</v>
      </c>
      <c r="S1225" s="51"/>
      <c r="T1225" s="52"/>
      <c r="U1225" s="51" t="b">
        <v>0</v>
      </c>
      <c r="V1225" s="51" t="b">
        <v>0</v>
      </c>
      <c r="W1225" s="51" t="b">
        <v>0</v>
      </c>
      <c r="X1225" s="51" t="b">
        <v>0</v>
      </c>
      <c r="Y1225" s="51" t="b">
        <v>0</v>
      </c>
      <c r="Z1225" s="51" t="b">
        <v>0</v>
      </c>
      <c r="AA1225" s="68"/>
      <c r="AB1225" s="52"/>
      <c r="AC1225" s="52"/>
      <c r="AD1225" s="52"/>
      <c r="AE1225" s="56" t="s">
        <v>607</v>
      </c>
      <c r="AF1225" s="56" t="s">
        <v>607</v>
      </c>
    </row>
    <row r="1226">
      <c r="A1226" s="52" t="s">
        <v>4292</v>
      </c>
      <c r="B1226" s="52" t="s">
        <v>22</v>
      </c>
      <c r="C1226" s="52" t="s">
        <v>289</v>
      </c>
      <c r="D1226" s="65">
        <v>0.5405324074074074</v>
      </c>
      <c r="E1226" s="65">
        <v>3.4722222222222224E-4</v>
      </c>
      <c r="F1226" s="65">
        <v>0.5408796296296297</v>
      </c>
      <c r="G1226" s="65"/>
      <c r="H1226" s="52" t="s">
        <v>81</v>
      </c>
      <c r="I1226" s="52" t="s">
        <v>1498</v>
      </c>
      <c r="J1226" s="52"/>
      <c r="K1226" s="52"/>
      <c r="L1226" s="52"/>
      <c r="M1226" s="52"/>
      <c r="N1226" s="52" t="s">
        <v>70</v>
      </c>
      <c r="O1226" s="52"/>
      <c r="P1226" s="52"/>
      <c r="Q1226" s="52"/>
      <c r="R1226" s="51" t="b">
        <v>0</v>
      </c>
      <c r="S1226" s="51"/>
      <c r="T1226" s="52"/>
      <c r="U1226" s="51" t="b">
        <v>0</v>
      </c>
      <c r="V1226" s="51" t="b">
        <v>0</v>
      </c>
      <c r="W1226" s="51" t="b">
        <v>0</v>
      </c>
      <c r="X1226" s="51" t="b">
        <v>0</v>
      </c>
      <c r="Y1226" s="51" t="b">
        <v>0</v>
      </c>
      <c r="Z1226" s="51" t="b">
        <v>0</v>
      </c>
      <c r="AA1226" s="65"/>
      <c r="AB1226" s="52"/>
      <c r="AC1226" s="52"/>
      <c r="AD1226" s="52"/>
      <c r="AE1226" s="56"/>
      <c r="AF1226" s="56"/>
    </row>
    <row r="1227">
      <c r="A1227" s="52" t="s">
        <v>4295</v>
      </c>
      <c r="B1227" s="52" t="s">
        <v>22</v>
      </c>
      <c r="C1227" s="52" t="s">
        <v>289</v>
      </c>
      <c r="D1227" s="65">
        <v>0.5408796296296297</v>
      </c>
      <c r="E1227" s="65">
        <v>0.02746527777777778</v>
      </c>
      <c r="F1227" s="65">
        <v>0.5683449074074074</v>
      </c>
      <c r="G1227" s="65"/>
      <c r="H1227" s="52" t="s">
        <v>1501</v>
      </c>
      <c r="I1227" s="52" t="s">
        <v>1614</v>
      </c>
      <c r="J1227" s="52" t="s">
        <v>421</v>
      </c>
      <c r="K1227" s="52"/>
      <c r="L1227" s="52"/>
      <c r="M1227" s="52"/>
      <c r="N1227" s="52" t="s">
        <v>1615</v>
      </c>
      <c r="O1227" s="52"/>
      <c r="P1227" s="69" t="s">
        <v>3871</v>
      </c>
      <c r="Q1227" s="73" t="s">
        <v>4297</v>
      </c>
      <c r="R1227" s="51" t="b">
        <v>1</v>
      </c>
      <c r="S1227" s="52" t="s">
        <v>1614</v>
      </c>
      <c r="T1227" s="52"/>
      <c r="U1227" s="51" t="b">
        <v>0</v>
      </c>
      <c r="V1227" s="51" t="b">
        <v>1</v>
      </c>
      <c r="W1227" s="51" t="b">
        <v>1</v>
      </c>
      <c r="X1227" s="51" t="b">
        <v>0</v>
      </c>
      <c r="Y1227" s="51" t="b">
        <v>0</v>
      </c>
      <c r="Z1227" s="51" t="b">
        <v>0</v>
      </c>
      <c r="AA1227" s="216">
        <v>0.027453703703703702</v>
      </c>
      <c r="AB1227" s="52"/>
      <c r="AC1227" s="52"/>
      <c r="AD1227" s="73" t="s">
        <v>4300</v>
      </c>
      <c r="AE1227" s="56" t="s">
        <v>629</v>
      </c>
      <c r="AF1227" s="56" t="s">
        <v>860</v>
      </c>
    </row>
    <row r="1228">
      <c r="A1228" s="52" t="s">
        <v>4303</v>
      </c>
      <c r="B1228" s="52" t="s">
        <v>22</v>
      </c>
      <c r="C1228" s="52" t="s">
        <v>289</v>
      </c>
      <c r="D1228" s="65">
        <v>0.5683449074074074</v>
      </c>
      <c r="E1228" s="65">
        <v>0.001388888888888889</v>
      </c>
      <c r="F1228" s="65">
        <v>0.5697337962962963</v>
      </c>
      <c r="G1228" s="65"/>
      <c r="H1228" s="52" t="s">
        <v>79</v>
      </c>
      <c r="I1228" s="52" t="s">
        <v>1497</v>
      </c>
      <c r="J1228" s="52"/>
      <c r="K1228" s="52"/>
      <c r="L1228" s="52"/>
      <c r="M1228" s="52"/>
      <c r="N1228" s="52" t="s">
        <v>70</v>
      </c>
      <c r="O1228" s="52"/>
      <c r="P1228" s="52"/>
      <c r="Q1228" s="52"/>
      <c r="R1228" s="51" t="b">
        <v>0</v>
      </c>
      <c r="S1228" s="51"/>
      <c r="T1228" s="52"/>
      <c r="U1228" s="51" t="b">
        <v>0</v>
      </c>
      <c r="V1228" s="51" t="b">
        <v>0</v>
      </c>
      <c r="W1228" s="51" t="b">
        <v>0</v>
      </c>
      <c r="X1228" s="51" t="b">
        <v>0</v>
      </c>
      <c r="Y1228" s="51" t="b">
        <v>0</v>
      </c>
      <c r="Z1228" s="51" t="b">
        <v>0</v>
      </c>
      <c r="AA1228" s="65"/>
      <c r="AB1228" s="52"/>
      <c r="AC1228" s="52"/>
      <c r="AD1228" s="52"/>
      <c r="AE1228" s="56"/>
      <c r="AF1228" s="56"/>
    </row>
    <row r="1229">
      <c r="A1229" s="52" t="s">
        <v>4307</v>
      </c>
      <c r="B1229" s="52" t="s">
        <v>785</v>
      </c>
      <c r="C1229" s="52" t="s">
        <v>289</v>
      </c>
      <c r="D1229" s="65">
        <v>0.41805555555555557</v>
      </c>
      <c r="E1229" s="65">
        <v>3.4722222222222224E-4</v>
      </c>
      <c r="F1229" s="65">
        <v>0.4184027777777778</v>
      </c>
      <c r="G1229" s="65"/>
      <c r="H1229" s="52" t="s">
        <v>81</v>
      </c>
      <c r="I1229" s="52" t="s">
        <v>1498</v>
      </c>
      <c r="J1229" s="52"/>
      <c r="K1229" s="52"/>
      <c r="L1229" s="52"/>
      <c r="M1229" s="52"/>
      <c r="N1229" s="52" t="s">
        <v>70</v>
      </c>
      <c r="O1229" s="52"/>
      <c r="P1229" s="52"/>
      <c r="Q1229" s="52"/>
      <c r="R1229" s="51" t="b">
        <v>0</v>
      </c>
      <c r="S1229" s="51"/>
      <c r="T1229" s="52"/>
      <c r="U1229" s="51" t="b">
        <v>0</v>
      </c>
      <c r="V1229" s="51" t="b">
        <v>0</v>
      </c>
      <c r="W1229" s="51" t="b">
        <v>0</v>
      </c>
      <c r="X1229" s="51" t="b">
        <v>0</v>
      </c>
      <c r="Y1229" s="51" t="b">
        <v>0</v>
      </c>
      <c r="Z1229" s="51" t="b">
        <v>0</v>
      </c>
      <c r="AA1229" s="65"/>
      <c r="AB1229" s="52"/>
      <c r="AC1229" s="52"/>
      <c r="AD1229" s="52"/>
      <c r="AE1229" s="56"/>
      <c r="AF1229" s="56"/>
    </row>
    <row r="1230">
      <c r="A1230" s="52" t="s">
        <v>4310</v>
      </c>
      <c r="B1230" s="52" t="s">
        <v>785</v>
      </c>
      <c r="C1230" s="52" t="s">
        <v>289</v>
      </c>
      <c r="D1230" s="65">
        <v>0.4184027777777778</v>
      </c>
      <c r="E1230" s="65">
        <v>0.013888888888888888</v>
      </c>
      <c r="F1230" s="65">
        <v>0.4322916666666667</v>
      </c>
      <c r="G1230" s="65"/>
      <c r="H1230" s="52" t="s">
        <v>1501</v>
      </c>
      <c r="I1230" s="52" t="s">
        <v>1821</v>
      </c>
      <c r="J1230" s="52" t="s">
        <v>528</v>
      </c>
      <c r="K1230" s="52" t="s">
        <v>529</v>
      </c>
      <c r="L1230" s="52"/>
      <c r="M1230" s="52"/>
      <c r="N1230" s="52" t="s">
        <v>214</v>
      </c>
      <c r="O1230" s="52"/>
      <c r="P1230" s="52"/>
      <c r="Q1230" s="52"/>
      <c r="R1230" s="51" t="b">
        <v>0</v>
      </c>
      <c r="S1230" s="51"/>
      <c r="T1230" s="52"/>
      <c r="U1230" s="51" t="b">
        <v>0</v>
      </c>
      <c r="V1230" s="51" t="b">
        <v>0</v>
      </c>
      <c r="W1230" s="51" t="b">
        <v>0</v>
      </c>
      <c r="X1230" s="51" t="b">
        <v>0</v>
      </c>
      <c r="Y1230" s="51" t="b">
        <v>0</v>
      </c>
      <c r="Z1230" s="51" t="b">
        <v>0</v>
      </c>
      <c r="AA1230" s="65"/>
      <c r="AB1230" s="52"/>
      <c r="AC1230" s="52"/>
      <c r="AD1230" s="52"/>
      <c r="AE1230" s="56" t="s">
        <v>629</v>
      </c>
      <c r="AF1230" s="56" t="s">
        <v>860</v>
      </c>
    </row>
    <row r="1231">
      <c r="A1231" s="52" t="s">
        <v>4314</v>
      </c>
      <c r="B1231" s="52" t="s">
        <v>22</v>
      </c>
      <c r="C1231" s="52" t="s">
        <v>289</v>
      </c>
      <c r="D1231" s="65">
        <v>0.6510300925925927</v>
      </c>
      <c r="E1231" s="65">
        <v>0.001388888888888889</v>
      </c>
      <c r="F1231" s="65">
        <v>0.6524189814814816</v>
      </c>
      <c r="G1231" s="65"/>
      <c r="H1231" s="52" t="s">
        <v>79</v>
      </c>
      <c r="I1231" s="52" t="s">
        <v>1497</v>
      </c>
      <c r="J1231" s="52"/>
      <c r="K1231" s="52"/>
      <c r="L1231" s="52"/>
      <c r="M1231" s="52"/>
      <c r="N1231" s="52" t="s">
        <v>70</v>
      </c>
      <c r="O1231" s="52"/>
      <c r="P1231" s="52"/>
      <c r="Q1231" s="52"/>
      <c r="R1231" s="51" t="b">
        <v>0</v>
      </c>
      <c r="S1231" s="51"/>
      <c r="T1231" s="52"/>
      <c r="U1231" s="51" t="b">
        <v>0</v>
      </c>
      <c r="V1231" s="51" t="b">
        <v>0</v>
      </c>
      <c r="W1231" s="51" t="b">
        <v>0</v>
      </c>
      <c r="X1231" s="51" t="b">
        <v>0</v>
      </c>
      <c r="Y1231" s="51" t="b">
        <v>0</v>
      </c>
      <c r="Z1231" s="51" t="b">
        <v>0</v>
      </c>
      <c r="AA1231" s="65"/>
      <c r="AB1231" s="52"/>
      <c r="AC1231" s="52"/>
      <c r="AD1231" s="52"/>
      <c r="AE1231" s="56"/>
      <c r="AF1231" s="56"/>
    </row>
    <row r="1232">
      <c r="A1232" s="52" t="s">
        <v>4317</v>
      </c>
      <c r="B1232" s="52" t="s">
        <v>22</v>
      </c>
      <c r="C1232" s="52" t="s">
        <v>289</v>
      </c>
      <c r="D1232" s="65">
        <v>0.6027199074074074</v>
      </c>
      <c r="E1232" s="65">
        <v>3.4722222222222224E-4</v>
      </c>
      <c r="F1232" s="65">
        <v>0.6030671296296297</v>
      </c>
      <c r="G1232" s="65"/>
      <c r="H1232" s="52" t="s">
        <v>81</v>
      </c>
      <c r="I1232" s="52" t="s">
        <v>1498</v>
      </c>
      <c r="J1232" s="52"/>
      <c r="K1232" s="52"/>
      <c r="L1232" s="52"/>
      <c r="M1232" s="52"/>
      <c r="N1232" s="52" t="s">
        <v>70</v>
      </c>
      <c r="O1232" s="52"/>
      <c r="P1232" s="52"/>
      <c r="Q1232" s="52"/>
      <c r="R1232" s="51" t="b">
        <v>0</v>
      </c>
      <c r="S1232" s="51"/>
      <c r="T1232" s="52"/>
      <c r="U1232" s="51" t="b">
        <v>0</v>
      </c>
      <c r="V1232" s="51" t="b">
        <v>0</v>
      </c>
      <c r="W1232" s="51" t="b">
        <v>0</v>
      </c>
      <c r="X1232" s="51" t="b">
        <v>0</v>
      </c>
      <c r="Y1232" s="51" t="b">
        <v>0</v>
      </c>
      <c r="Z1232" s="51" t="b">
        <v>0</v>
      </c>
      <c r="AA1232" s="65"/>
      <c r="AB1232" s="52"/>
      <c r="AC1232" s="52"/>
      <c r="AD1232" s="52"/>
      <c r="AE1232" s="56"/>
      <c r="AF1232" s="56"/>
    </row>
    <row r="1233">
      <c r="A1233" s="52" t="s">
        <v>4322</v>
      </c>
      <c r="B1233" s="52" t="s">
        <v>22</v>
      </c>
      <c r="C1233" s="52" t="s">
        <v>289</v>
      </c>
      <c r="D1233" s="65">
        <v>0.6030671296296297</v>
      </c>
      <c r="E1233" s="65">
        <v>0.021041666666666667</v>
      </c>
      <c r="F1233" s="65">
        <v>0.6241087962962963</v>
      </c>
      <c r="G1233" s="65"/>
      <c r="H1233" s="52" t="s">
        <v>1501</v>
      </c>
      <c r="I1233" s="52" t="s">
        <v>1630</v>
      </c>
      <c r="J1233" s="52" t="s">
        <v>845</v>
      </c>
      <c r="K1233" s="52"/>
      <c r="L1233" s="52"/>
      <c r="M1233" s="52"/>
      <c r="N1233" s="52" t="s">
        <v>846</v>
      </c>
      <c r="O1233" s="52"/>
      <c r="P1233" s="69" t="s">
        <v>3871</v>
      </c>
      <c r="Q1233" s="80" t="s">
        <v>3903</v>
      </c>
      <c r="R1233" s="51" t="b">
        <v>1</v>
      </c>
      <c r="S1233" s="52" t="s">
        <v>845</v>
      </c>
      <c r="T1233" s="52"/>
      <c r="U1233" s="51" t="b">
        <v>0</v>
      </c>
      <c r="V1233" s="51" t="b">
        <v>1</v>
      </c>
      <c r="W1233" s="51" t="b">
        <v>0</v>
      </c>
      <c r="X1233" s="51" t="b">
        <v>0</v>
      </c>
      <c r="Y1233" s="51" t="b">
        <v>0</v>
      </c>
      <c r="Z1233" s="51" t="b">
        <v>0</v>
      </c>
      <c r="AA1233" s="216">
        <v>0.021041666666666667</v>
      </c>
      <c r="AB1233" s="52"/>
      <c r="AC1233" s="52"/>
      <c r="AD1233" s="103"/>
      <c r="AE1233" s="56" t="s">
        <v>629</v>
      </c>
      <c r="AF1233" s="56" t="s">
        <v>1253</v>
      </c>
    </row>
    <row r="1234">
      <c r="A1234" s="52" t="s">
        <v>4329</v>
      </c>
      <c r="B1234" s="52" t="s">
        <v>22</v>
      </c>
      <c r="C1234" s="52" t="s">
        <v>289</v>
      </c>
      <c r="D1234" s="65">
        <v>0.6241087962962963</v>
      </c>
      <c r="E1234" s="65">
        <v>0.001388888888888889</v>
      </c>
      <c r="F1234" s="65">
        <v>0.6254976851851852</v>
      </c>
      <c r="G1234" s="65"/>
      <c r="H1234" s="52" t="s">
        <v>79</v>
      </c>
      <c r="I1234" s="52" t="s">
        <v>1497</v>
      </c>
      <c r="J1234" s="52"/>
      <c r="K1234" s="52"/>
      <c r="L1234" s="52"/>
      <c r="M1234" s="52"/>
      <c r="N1234" s="52" t="s">
        <v>70</v>
      </c>
      <c r="O1234" s="52"/>
      <c r="P1234" s="52"/>
      <c r="Q1234" s="52"/>
      <c r="R1234" s="51" t="b">
        <v>0</v>
      </c>
      <c r="S1234" s="51"/>
      <c r="T1234" s="52"/>
      <c r="U1234" s="51" t="b">
        <v>0</v>
      </c>
      <c r="V1234" s="51" t="b">
        <v>0</v>
      </c>
      <c r="W1234" s="51" t="b">
        <v>0</v>
      </c>
      <c r="X1234" s="51" t="b">
        <v>0</v>
      </c>
      <c r="Y1234" s="51" t="b">
        <v>0</v>
      </c>
      <c r="Z1234" s="51" t="b">
        <v>0</v>
      </c>
      <c r="AA1234" s="65"/>
      <c r="AB1234" s="52"/>
      <c r="AC1234" s="52"/>
      <c r="AD1234" s="52"/>
      <c r="AE1234" s="56"/>
      <c r="AF1234" s="56"/>
    </row>
    <row r="1235">
      <c r="A1235" s="52" t="s">
        <v>4333</v>
      </c>
      <c r="B1235" s="52" t="s">
        <v>785</v>
      </c>
      <c r="C1235" s="52" t="s">
        <v>289</v>
      </c>
      <c r="D1235" s="65">
        <v>0.5007523148148152</v>
      </c>
      <c r="E1235" s="65">
        <v>3.4722222222222224E-4</v>
      </c>
      <c r="F1235" s="65">
        <v>0.5010995370370375</v>
      </c>
      <c r="G1235" s="65"/>
      <c r="H1235" s="52" t="s">
        <v>81</v>
      </c>
      <c r="I1235" s="52" t="s">
        <v>1498</v>
      </c>
      <c r="J1235" s="52"/>
      <c r="K1235" s="52"/>
      <c r="L1235" s="52"/>
      <c r="M1235" s="52"/>
      <c r="N1235" s="52" t="s">
        <v>70</v>
      </c>
      <c r="O1235" s="52"/>
      <c r="P1235" s="52"/>
      <c r="Q1235" s="52"/>
      <c r="R1235" s="51" t="b">
        <v>0</v>
      </c>
      <c r="S1235" s="51"/>
      <c r="T1235" s="52"/>
      <c r="U1235" s="51" t="b">
        <v>0</v>
      </c>
      <c r="V1235" s="51" t="b">
        <v>0</v>
      </c>
      <c r="W1235" s="51" t="b">
        <v>0</v>
      </c>
      <c r="X1235" s="51" t="b">
        <v>0</v>
      </c>
      <c r="Y1235" s="51" t="b">
        <v>0</v>
      </c>
      <c r="Z1235" s="51" t="b">
        <v>0</v>
      </c>
      <c r="AA1235" s="65"/>
      <c r="AB1235" s="52"/>
      <c r="AC1235" s="52"/>
      <c r="AD1235" s="52"/>
      <c r="AE1235" s="56"/>
      <c r="AF1235" s="56"/>
    </row>
    <row r="1236">
      <c r="A1236" s="52" t="s">
        <v>4337</v>
      </c>
      <c r="B1236" s="52" t="s">
        <v>785</v>
      </c>
      <c r="C1236" s="52" t="s">
        <v>289</v>
      </c>
      <c r="D1236" s="65">
        <v>0.5010995370370375</v>
      </c>
      <c r="E1236" s="65">
        <v>0.014155092592592592</v>
      </c>
      <c r="F1236" s="65">
        <v>0.5152546296296301</v>
      </c>
      <c r="G1236" s="65"/>
      <c r="H1236" s="52" t="s">
        <v>1501</v>
      </c>
      <c r="I1236" s="52" t="s">
        <v>1810</v>
      </c>
      <c r="J1236" s="52" t="s">
        <v>596</v>
      </c>
      <c r="K1236" s="52"/>
      <c r="L1236" s="52"/>
      <c r="M1236" s="52"/>
      <c r="N1236" s="52" t="s">
        <v>201</v>
      </c>
      <c r="O1236" s="52"/>
      <c r="P1236" s="69" t="s">
        <v>3871</v>
      </c>
      <c r="Q1236" s="73" t="s">
        <v>4339</v>
      </c>
      <c r="R1236" s="51" t="b">
        <v>1</v>
      </c>
      <c r="S1236" s="52" t="s">
        <v>1810</v>
      </c>
      <c r="T1236" s="52"/>
      <c r="U1236" s="51" t="b">
        <v>0</v>
      </c>
      <c r="V1236" s="51" t="b">
        <v>1</v>
      </c>
      <c r="W1236" s="51" t="b">
        <v>1</v>
      </c>
      <c r="X1236" s="51" t="b">
        <v>0</v>
      </c>
      <c r="Y1236" s="51" t="b">
        <v>0</v>
      </c>
      <c r="Z1236" s="51" t="b">
        <v>0</v>
      </c>
      <c r="AA1236" s="216">
        <v>0.014143518518518519</v>
      </c>
      <c r="AB1236" s="52"/>
      <c r="AC1236" s="52"/>
      <c r="AD1236" s="73" t="s">
        <v>4339</v>
      </c>
      <c r="AE1236" s="56" t="s">
        <v>629</v>
      </c>
      <c r="AF1236" s="56" t="s">
        <v>4345</v>
      </c>
    </row>
    <row r="1237">
      <c r="A1237" s="52" t="s">
        <v>4346</v>
      </c>
      <c r="B1237" s="52" t="s">
        <v>607</v>
      </c>
      <c r="C1237" s="52" t="s">
        <v>607</v>
      </c>
      <c r="D1237" s="65" t="s">
        <v>607</v>
      </c>
      <c r="E1237" s="65" t="s">
        <v>607</v>
      </c>
      <c r="F1237" s="65" t="s">
        <v>607</v>
      </c>
      <c r="G1237" s="65" t="s">
        <v>607</v>
      </c>
      <c r="H1237" s="52" t="s">
        <v>607</v>
      </c>
      <c r="I1237" s="52" t="s">
        <v>607</v>
      </c>
      <c r="J1237" s="52" t="s">
        <v>607</v>
      </c>
      <c r="K1237" s="52" t="s">
        <v>607</v>
      </c>
      <c r="L1237" s="52" t="s">
        <v>607</v>
      </c>
      <c r="M1237" s="52" t="s">
        <v>607</v>
      </c>
      <c r="N1237" s="52" t="s">
        <v>607</v>
      </c>
      <c r="O1237" s="52"/>
      <c r="P1237" s="52"/>
      <c r="Q1237" s="52"/>
      <c r="R1237" s="51" t="b">
        <v>0</v>
      </c>
      <c r="S1237" s="51"/>
      <c r="T1237" s="52"/>
      <c r="U1237" s="51" t="b">
        <v>0</v>
      </c>
      <c r="V1237" s="51" t="b">
        <v>0</v>
      </c>
      <c r="W1237" s="51" t="b">
        <v>0</v>
      </c>
      <c r="X1237" s="51" t="b">
        <v>0</v>
      </c>
      <c r="Y1237" s="51" t="b">
        <v>0</v>
      </c>
      <c r="Z1237" s="51" t="b">
        <v>0</v>
      </c>
      <c r="AA1237" s="68"/>
      <c r="AB1237" s="52"/>
      <c r="AC1237" s="52"/>
      <c r="AD1237" s="52"/>
      <c r="AE1237" s="56" t="s">
        <v>607</v>
      </c>
      <c r="AF1237" s="56" t="s">
        <v>607</v>
      </c>
    </row>
    <row r="1238">
      <c r="A1238" s="52" t="s">
        <v>4350</v>
      </c>
      <c r="B1238" s="52" t="s">
        <v>785</v>
      </c>
      <c r="C1238" s="52" t="s">
        <v>66</v>
      </c>
      <c r="D1238" s="65">
        <v>0.516643518518519</v>
      </c>
      <c r="E1238" s="65">
        <v>3.4722222222222224E-4</v>
      </c>
      <c r="F1238" s="65">
        <v>0.5169907407407413</v>
      </c>
      <c r="G1238" s="65"/>
      <c r="H1238" s="52" t="s">
        <v>81</v>
      </c>
      <c r="I1238" s="52" t="s">
        <v>1498</v>
      </c>
      <c r="J1238" s="52"/>
      <c r="K1238" s="52"/>
      <c r="L1238" s="52"/>
      <c r="M1238" s="52"/>
      <c r="N1238" s="52" t="s">
        <v>70</v>
      </c>
      <c r="O1238" s="52"/>
      <c r="P1238" s="52"/>
      <c r="Q1238" s="52"/>
      <c r="R1238" s="51" t="b">
        <v>0</v>
      </c>
      <c r="S1238" s="51"/>
      <c r="T1238" s="52"/>
      <c r="U1238" s="51" t="b">
        <v>0</v>
      </c>
      <c r="V1238" s="51" t="b">
        <v>0</v>
      </c>
      <c r="W1238" s="51" t="b">
        <v>0</v>
      </c>
      <c r="X1238" s="51" t="b">
        <v>0</v>
      </c>
      <c r="Y1238" s="51" t="b">
        <v>0</v>
      </c>
      <c r="Z1238" s="51" t="b">
        <v>0</v>
      </c>
      <c r="AA1238" s="65"/>
      <c r="AB1238" s="52"/>
      <c r="AC1238" s="52"/>
      <c r="AD1238" s="52"/>
      <c r="AE1238" s="56"/>
      <c r="AF1238" s="56"/>
    </row>
    <row r="1239">
      <c r="A1239" s="52" t="s">
        <v>4353</v>
      </c>
      <c r="B1239" s="52" t="s">
        <v>785</v>
      </c>
      <c r="C1239" s="52" t="s">
        <v>66</v>
      </c>
      <c r="D1239" s="65">
        <v>0.5169907407407413</v>
      </c>
      <c r="E1239" s="65">
        <v>0.013888888888888888</v>
      </c>
      <c r="F1239" s="65">
        <v>0.5308796296296301</v>
      </c>
      <c r="G1239" s="65"/>
      <c r="H1239" s="52" t="s">
        <v>1501</v>
      </c>
      <c r="I1239" s="52" t="s">
        <v>1817</v>
      </c>
      <c r="J1239" s="52" t="s">
        <v>494</v>
      </c>
      <c r="K1239" s="52"/>
      <c r="L1239" s="52"/>
      <c r="M1239" s="52"/>
      <c r="N1239" s="52" t="s">
        <v>495</v>
      </c>
      <c r="O1239" s="52"/>
      <c r="P1239" s="52"/>
      <c r="Q1239" s="52"/>
      <c r="R1239" s="51" t="b">
        <v>0</v>
      </c>
      <c r="S1239" s="51"/>
      <c r="T1239" s="52"/>
      <c r="U1239" s="51" t="b">
        <v>0</v>
      </c>
      <c r="V1239" s="51" t="b">
        <v>0</v>
      </c>
      <c r="W1239" s="51" t="b">
        <v>0</v>
      </c>
      <c r="X1239" s="51" t="b">
        <v>0</v>
      </c>
      <c r="Y1239" s="51" t="b">
        <v>0</v>
      </c>
      <c r="Z1239" s="51" t="b">
        <v>0</v>
      </c>
      <c r="AA1239" s="65"/>
      <c r="AB1239" s="52"/>
      <c r="AC1239" s="52"/>
      <c r="AD1239" s="52"/>
      <c r="AE1239" s="56" t="s">
        <v>629</v>
      </c>
      <c r="AF1239" s="56" t="s">
        <v>1253</v>
      </c>
    </row>
    <row r="1240">
      <c r="A1240" s="52" t="s">
        <v>4357</v>
      </c>
      <c r="B1240" s="52" t="s">
        <v>785</v>
      </c>
      <c r="C1240" s="52" t="s">
        <v>66</v>
      </c>
      <c r="D1240" s="65">
        <v>0.5308796296296301</v>
      </c>
      <c r="E1240" s="65">
        <v>0.001388888888888889</v>
      </c>
      <c r="F1240" s="65">
        <v>0.532268518518519</v>
      </c>
      <c r="G1240" s="65"/>
      <c r="H1240" s="52" t="s">
        <v>79</v>
      </c>
      <c r="I1240" s="52" t="s">
        <v>1497</v>
      </c>
      <c r="J1240" s="52"/>
      <c r="K1240" s="52"/>
      <c r="L1240" s="52"/>
      <c r="M1240" s="52"/>
      <c r="N1240" s="52" t="s">
        <v>70</v>
      </c>
      <c r="O1240" s="52"/>
      <c r="P1240" s="52"/>
      <c r="Q1240" s="52"/>
      <c r="R1240" s="51" t="b">
        <v>0</v>
      </c>
      <c r="S1240" s="51"/>
      <c r="T1240" s="52"/>
      <c r="U1240" s="51" t="b">
        <v>0</v>
      </c>
      <c r="V1240" s="51" t="b">
        <v>0</v>
      </c>
      <c r="W1240" s="51" t="b">
        <v>0</v>
      </c>
      <c r="X1240" s="51" t="b">
        <v>0</v>
      </c>
      <c r="Y1240" s="51" t="b">
        <v>0</v>
      </c>
      <c r="Z1240" s="51" t="b">
        <v>0</v>
      </c>
      <c r="AA1240" s="65"/>
      <c r="AB1240" s="52"/>
      <c r="AC1240" s="52"/>
      <c r="AD1240" s="52"/>
      <c r="AE1240" s="56"/>
      <c r="AF1240" s="56"/>
    </row>
    <row r="1241">
      <c r="A1241" s="52" t="s">
        <v>4361</v>
      </c>
      <c r="B1241" s="52" t="s">
        <v>785</v>
      </c>
      <c r="C1241" s="52" t="s">
        <v>289</v>
      </c>
      <c r="D1241" s="65">
        <v>0.43368055555555557</v>
      </c>
      <c r="E1241" s="65">
        <v>3.4722222222222224E-4</v>
      </c>
      <c r="F1241" s="65">
        <v>0.4340277777777778</v>
      </c>
      <c r="G1241" s="65"/>
      <c r="H1241" s="52" t="s">
        <v>81</v>
      </c>
      <c r="I1241" s="52" t="s">
        <v>1498</v>
      </c>
      <c r="J1241" s="52"/>
      <c r="K1241" s="52"/>
      <c r="L1241" s="52"/>
      <c r="M1241" s="52"/>
      <c r="N1241" s="52" t="s">
        <v>70</v>
      </c>
      <c r="O1241" s="52"/>
      <c r="P1241" s="52"/>
      <c r="Q1241" s="52"/>
      <c r="R1241" s="51" t="b">
        <v>0</v>
      </c>
      <c r="S1241" s="51"/>
      <c r="T1241" s="52"/>
      <c r="U1241" s="51" t="b">
        <v>0</v>
      </c>
      <c r="V1241" s="51" t="b">
        <v>0</v>
      </c>
      <c r="W1241" s="51" t="b">
        <v>0</v>
      </c>
      <c r="X1241" s="51" t="b">
        <v>0</v>
      </c>
      <c r="Y1241" s="51" t="b">
        <v>0</v>
      </c>
      <c r="Z1241" s="51" t="b">
        <v>0</v>
      </c>
      <c r="AA1241" s="65"/>
      <c r="AB1241" s="52"/>
      <c r="AC1241" s="52"/>
      <c r="AD1241" s="52"/>
      <c r="AE1241" s="56"/>
      <c r="AF1241" s="56"/>
    </row>
    <row r="1242">
      <c r="A1242" s="52" t="s">
        <v>4364</v>
      </c>
      <c r="B1242" s="52" t="s">
        <v>785</v>
      </c>
      <c r="C1242" s="52" t="s">
        <v>289</v>
      </c>
      <c r="D1242" s="65">
        <v>0.4340277777777778</v>
      </c>
      <c r="E1242" s="65">
        <v>0.013888888888888888</v>
      </c>
      <c r="F1242" s="65">
        <v>0.4479166666666667</v>
      </c>
      <c r="G1242" s="65"/>
      <c r="H1242" s="52" t="s">
        <v>1501</v>
      </c>
      <c r="I1242" s="52" t="s">
        <v>1825</v>
      </c>
      <c r="J1242" s="52" t="s">
        <v>218</v>
      </c>
      <c r="K1242" s="52"/>
      <c r="L1242" s="52"/>
      <c r="M1242" s="52"/>
      <c r="N1242" s="52"/>
      <c r="O1242" s="52"/>
      <c r="P1242" s="52"/>
      <c r="Q1242" s="52"/>
      <c r="R1242" s="51" t="b">
        <v>0</v>
      </c>
      <c r="S1242" s="51"/>
      <c r="T1242" s="52"/>
      <c r="U1242" s="51" t="b">
        <v>0</v>
      </c>
      <c r="V1242" s="51" t="b">
        <v>0</v>
      </c>
      <c r="W1242" s="51" t="b">
        <v>0</v>
      </c>
      <c r="X1242" s="51" t="b">
        <v>0</v>
      </c>
      <c r="Y1242" s="51" t="b">
        <v>0</v>
      </c>
      <c r="Z1242" s="51" t="b">
        <v>0</v>
      </c>
      <c r="AA1242" s="65"/>
      <c r="AB1242" s="52"/>
      <c r="AC1242" s="52"/>
      <c r="AD1242" s="52"/>
      <c r="AE1242" s="56" t="s">
        <v>629</v>
      </c>
      <c r="AF1242" s="56" t="s">
        <v>4345</v>
      </c>
    </row>
    <row r="1243">
      <c r="A1243" s="52" t="s">
        <v>4368</v>
      </c>
      <c r="B1243" s="52" t="s">
        <v>607</v>
      </c>
      <c r="C1243" s="52" t="s">
        <v>607</v>
      </c>
      <c r="D1243" s="65" t="s">
        <v>607</v>
      </c>
      <c r="E1243" s="65" t="s">
        <v>607</v>
      </c>
      <c r="F1243" s="65" t="s">
        <v>607</v>
      </c>
      <c r="G1243" s="65" t="s">
        <v>607</v>
      </c>
      <c r="H1243" s="52" t="s">
        <v>607</v>
      </c>
      <c r="I1243" s="52" t="s">
        <v>607</v>
      </c>
      <c r="J1243" s="52" t="s">
        <v>607</v>
      </c>
      <c r="K1243" s="52" t="s">
        <v>607</v>
      </c>
      <c r="L1243" s="52" t="s">
        <v>607</v>
      </c>
      <c r="M1243" s="52" t="s">
        <v>607</v>
      </c>
      <c r="N1243" s="52" t="s">
        <v>607</v>
      </c>
      <c r="O1243" s="52"/>
      <c r="P1243" s="52"/>
      <c r="Q1243" s="52"/>
      <c r="R1243" s="51" t="b">
        <v>0</v>
      </c>
      <c r="S1243" s="51"/>
      <c r="T1243" s="52"/>
      <c r="U1243" s="51" t="b">
        <v>0</v>
      </c>
      <c r="V1243" s="51" t="b">
        <v>0</v>
      </c>
      <c r="W1243" s="51" t="b">
        <v>0</v>
      </c>
      <c r="X1243" s="51" t="b">
        <v>0</v>
      </c>
      <c r="Y1243" s="51" t="b">
        <v>0</v>
      </c>
      <c r="Z1243" s="51" t="b">
        <v>0</v>
      </c>
      <c r="AA1243" s="68"/>
      <c r="AB1243" s="52"/>
      <c r="AC1243" s="52"/>
      <c r="AD1243" s="52"/>
      <c r="AE1243" s="56" t="s">
        <v>607</v>
      </c>
      <c r="AF1243" s="56" t="s">
        <v>607</v>
      </c>
    </row>
    <row r="1244">
      <c r="A1244" s="52" t="s">
        <v>4372</v>
      </c>
      <c r="B1244" s="52" t="s">
        <v>785</v>
      </c>
      <c r="C1244" s="52" t="s">
        <v>221</v>
      </c>
      <c r="D1244" s="65">
        <v>0.5007523148148152</v>
      </c>
      <c r="E1244" s="65">
        <v>3.4722222222222224E-4</v>
      </c>
      <c r="F1244" s="65">
        <v>0.5010995370370375</v>
      </c>
      <c r="G1244" s="65"/>
      <c r="H1244" s="52" t="s">
        <v>81</v>
      </c>
      <c r="I1244" s="52" t="s">
        <v>1498</v>
      </c>
      <c r="J1244" s="52"/>
      <c r="K1244" s="52"/>
      <c r="L1244" s="52"/>
      <c r="M1244" s="52"/>
      <c r="N1244" s="52" t="s">
        <v>70</v>
      </c>
      <c r="O1244" s="52"/>
      <c r="P1244" s="52"/>
      <c r="Q1244" s="52"/>
      <c r="R1244" s="51" t="b">
        <v>0</v>
      </c>
      <c r="S1244" s="51"/>
      <c r="T1244" s="52"/>
      <c r="U1244" s="51" t="b">
        <v>0</v>
      </c>
      <c r="V1244" s="51" t="b">
        <v>0</v>
      </c>
      <c r="W1244" s="51" t="b">
        <v>0</v>
      </c>
      <c r="X1244" s="51" t="b">
        <v>0</v>
      </c>
      <c r="Y1244" s="51" t="b">
        <v>0</v>
      </c>
      <c r="Z1244" s="51" t="b">
        <v>0</v>
      </c>
      <c r="AA1244" s="65"/>
      <c r="AB1244" s="52"/>
      <c r="AC1244" s="52"/>
      <c r="AD1244" s="52"/>
      <c r="AE1244" s="56"/>
      <c r="AF1244" s="56"/>
    </row>
    <row r="1245">
      <c r="A1245" s="52" t="s">
        <v>4376</v>
      </c>
      <c r="B1245" s="52" t="s">
        <v>785</v>
      </c>
      <c r="C1245" s="52" t="s">
        <v>221</v>
      </c>
      <c r="D1245" s="65">
        <v>0.5010995370370375</v>
      </c>
      <c r="E1245" s="65">
        <v>0.013888888888888888</v>
      </c>
      <c r="F1245" s="65">
        <v>0.5149884259259263</v>
      </c>
      <c r="G1245" s="65"/>
      <c r="H1245" s="52" t="s">
        <v>1501</v>
      </c>
      <c r="I1245" s="52" t="s">
        <v>1815</v>
      </c>
      <c r="J1245" s="52" t="s">
        <v>1196</v>
      </c>
      <c r="K1245" s="52"/>
      <c r="L1245" s="52"/>
      <c r="M1245" s="52"/>
      <c r="N1245" s="52" t="s">
        <v>1197</v>
      </c>
      <c r="O1245" s="52"/>
      <c r="P1245" s="52"/>
      <c r="Q1245" s="52"/>
      <c r="R1245" s="51" t="b">
        <v>0</v>
      </c>
      <c r="S1245" s="51"/>
      <c r="T1245" s="52"/>
      <c r="U1245" s="51" t="b">
        <v>0</v>
      </c>
      <c r="V1245" s="51" t="b">
        <v>0</v>
      </c>
      <c r="W1245" s="51" t="b">
        <v>0</v>
      </c>
      <c r="X1245" s="51" t="b">
        <v>0</v>
      </c>
      <c r="Y1245" s="51" t="b">
        <v>0</v>
      </c>
      <c r="Z1245" s="51" t="b">
        <v>0</v>
      </c>
      <c r="AA1245" s="65"/>
      <c r="AB1245" s="52"/>
      <c r="AC1245" s="52"/>
      <c r="AD1245" s="52"/>
      <c r="AE1245" s="56" t="s">
        <v>629</v>
      </c>
      <c r="AF1245" s="56" t="s">
        <v>4345</v>
      </c>
    </row>
    <row r="1246">
      <c r="A1246" s="52" t="s">
        <v>4379</v>
      </c>
      <c r="B1246" s="52" t="s">
        <v>607</v>
      </c>
      <c r="C1246" s="52" t="s">
        <v>607</v>
      </c>
      <c r="D1246" s="65" t="s">
        <v>607</v>
      </c>
      <c r="E1246" s="65" t="s">
        <v>607</v>
      </c>
      <c r="F1246" s="65" t="s">
        <v>607</v>
      </c>
      <c r="G1246" s="65" t="s">
        <v>607</v>
      </c>
      <c r="H1246" s="52" t="s">
        <v>607</v>
      </c>
      <c r="I1246" s="52" t="s">
        <v>607</v>
      </c>
      <c r="J1246" s="52" t="s">
        <v>607</v>
      </c>
      <c r="K1246" s="52" t="s">
        <v>607</v>
      </c>
      <c r="L1246" s="52" t="s">
        <v>607</v>
      </c>
      <c r="M1246" s="52" t="s">
        <v>607</v>
      </c>
      <c r="N1246" s="52" t="s">
        <v>607</v>
      </c>
      <c r="O1246" s="52"/>
      <c r="P1246" s="52"/>
      <c r="Q1246" s="52"/>
      <c r="R1246" s="51" t="b">
        <v>0</v>
      </c>
      <c r="S1246" s="51"/>
      <c r="T1246" s="52"/>
      <c r="U1246" s="51" t="b">
        <v>0</v>
      </c>
      <c r="V1246" s="51" t="b">
        <v>0</v>
      </c>
      <c r="W1246" s="51" t="b">
        <v>0</v>
      </c>
      <c r="X1246" s="51" t="b">
        <v>0</v>
      </c>
      <c r="Y1246" s="51" t="b">
        <v>0</v>
      </c>
      <c r="Z1246" s="51" t="b">
        <v>0</v>
      </c>
      <c r="AA1246" s="68"/>
      <c r="AB1246" s="52"/>
      <c r="AC1246" s="52"/>
      <c r="AD1246" s="52"/>
      <c r="AE1246" s="56" t="s">
        <v>607</v>
      </c>
      <c r="AF1246" s="56" t="s">
        <v>607</v>
      </c>
    </row>
    <row r="1247">
      <c r="A1247" s="52" t="s">
        <v>4382</v>
      </c>
      <c r="B1247" s="52" t="s">
        <v>22</v>
      </c>
      <c r="C1247" s="52" t="s">
        <v>289</v>
      </c>
      <c r="D1247" s="65">
        <v>0.704803240740741</v>
      </c>
      <c r="E1247" s="65">
        <v>3.4722222222222224E-4</v>
      </c>
      <c r="F1247" s="65">
        <v>0.7051504629629632</v>
      </c>
      <c r="G1247" s="65"/>
      <c r="H1247" s="52" t="s">
        <v>1656</v>
      </c>
      <c r="I1247" s="52" t="s">
        <v>85</v>
      </c>
      <c r="J1247" s="52"/>
      <c r="K1247" s="52"/>
      <c r="L1247" s="52"/>
      <c r="M1247" s="52"/>
      <c r="N1247" s="52" t="s">
        <v>70</v>
      </c>
      <c r="O1247" s="52"/>
      <c r="P1247" s="52"/>
      <c r="Q1247" s="52"/>
      <c r="R1247" s="51" t="b">
        <v>0</v>
      </c>
      <c r="S1247" s="51"/>
      <c r="T1247" s="52"/>
      <c r="U1247" s="51" t="b">
        <v>0</v>
      </c>
      <c r="V1247" s="51" t="b">
        <v>0</v>
      </c>
      <c r="W1247" s="51" t="b">
        <v>0</v>
      </c>
      <c r="X1247" s="51" t="b">
        <v>0</v>
      </c>
      <c r="Y1247" s="51" t="b">
        <v>0</v>
      </c>
      <c r="Z1247" s="51" t="b">
        <v>0</v>
      </c>
      <c r="AA1247" s="65"/>
      <c r="AB1247" s="52"/>
      <c r="AC1247" s="52"/>
      <c r="AD1247" s="52"/>
      <c r="AE1247" s="56"/>
      <c r="AF1247" s="56"/>
    </row>
    <row r="1248">
      <c r="A1248" s="52" t="s">
        <v>4386</v>
      </c>
      <c r="B1248" s="52" t="s">
        <v>22</v>
      </c>
      <c r="C1248" s="52" t="s">
        <v>289</v>
      </c>
      <c r="D1248" s="65">
        <v>0.7051504629629632</v>
      </c>
      <c r="E1248" s="65"/>
      <c r="F1248" s="65">
        <v>0.7051504629629632</v>
      </c>
      <c r="G1248" s="65"/>
      <c r="H1248" s="52"/>
      <c r="I1248" s="52"/>
      <c r="J1248" s="52"/>
      <c r="K1248" s="52"/>
      <c r="L1248" s="52"/>
      <c r="M1248" s="52"/>
      <c r="N1248" s="52" t="s">
        <v>70</v>
      </c>
      <c r="O1248" s="52"/>
      <c r="P1248" s="52"/>
      <c r="Q1248" s="52"/>
      <c r="R1248" s="51" t="b">
        <v>0</v>
      </c>
      <c r="S1248" s="51"/>
      <c r="T1248" s="52"/>
      <c r="U1248" s="51" t="b">
        <v>0</v>
      </c>
      <c r="V1248" s="51" t="b">
        <v>0</v>
      </c>
      <c r="W1248" s="51" t="b">
        <v>0</v>
      </c>
      <c r="X1248" s="51" t="b">
        <v>0</v>
      </c>
      <c r="Y1248" s="51" t="b">
        <v>0</v>
      </c>
      <c r="Z1248" s="51" t="b">
        <v>0</v>
      </c>
      <c r="AA1248" s="65"/>
      <c r="AB1248" s="52"/>
      <c r="AC1248" s="52"/>
      <c r="AD1248" s="52"/>
      <c r="AE1248" s="56"/>
      <c r="AF1248" s="56"/>
    </row>
    <row r="1249">
      <c r="A1249" s="52" t="s">
        <v>4389</v>
      </c>
      <c r="B1249" s="52" t="s">
        <v>22</v>
      </c>
      <c r="C1249" s="52" t="s">
        <v>289</v>
      </c>
      <c r="D1249" s="65">
        <v>0.7051504629629632</v>
      </c>
      <c r="E1249" s="65"/>
      <c r="F1249" s="65">
        <v>0.7051504629629632</v>
      </c>
      <c r="G1249" s="65"/>
      <c r="H1249" s="52"/>
      <c r="I1249" s="52"/>
      <c r="J1249" s="52"/>
      <c r="K1249" s="52"/>
      <c r="L1249" s="52"/>
      <c r="M1249" s="52"/>
      <c r="N1249" s="52" t="s">
        <v>70</v>
      </c>
      <c r="O1249" s="52"/>
      <c r="P1249" s="52"/>
      <c r="Q1249" s="52"/>
      <c r="R1249" s="51" t="b">
        <v>0</v>
      </c>
      <c r="S1249" s="51"/>
      <c r="T1249" s="52"/>
      <c r="U1249" s="51" t="b">
        <v>0</v>
      </c>
      <c r="V1249" s="51" t="b">
        <v>0</v>
      </c>
      <c r="W1249" s="51" t="b">
        <v>0</v>
      </c>
      <c r="X1249" s="51" t="b">
        <v>0</v>
      </c>
      <c r="Y1249" s="51" t="b">
        <v>0</v>
      </c>
      <c r="Z1249" s="51" t="b">
        <v>0</v>
      </c>
      <c r="AA1249" s="65"/>
      <c r="AB1249" s="52"/>
      <c r="AC1249" s="52"/>
      <c r="AD1249" s="52"/>
      <c r="AE1249" s="56"/>
      <c r="AF1249" s="56"/>
    </row>
    <row r="1250">
      <c r="A1250" s="52" t="s">
        <v>4393</v>
      </c>
      <c r="B1250" s="52" t="s">
        <v>22</v>
      </c>
      <c r="C1250" s="52" t="s">
        <v>289</v>
      </c>
      <c r="D1250" s="65">
        <v>0.7051504629629632</v>
      </c>
      <c r="E1250" s="65"/>
      <c r="F1250" s="65">
        <v>0.7051504629629632</v>
      </c>
      <c r="G1250" s="65"/>
      <c r="H1250" s="52"/>
      <c r="I1250" s="52"/>
      <c r="J1250" s="52"/>
      <c r="K1250" s="52"/>
      <c r="L1250" s="52"/>
      <c r="M1250" s="52"/>
      <c r="N1250" s="52" t="s">
        <v>70</v>
      </c>
      <c r="O1250" s="52"/>
      <c r="P1250" s="52"/>
      <c r="Q1250" s="52"/>
      <c r="R1250" s="51" t="b">
        <v>0</v>
      </c>
      <c r="S1250" s="51"/>
      <c r="T1250" s="52"/>
      <c r="U1250" s="51" t="b">
        <v>0</v>
      </c>
      <c r="V1250" s="51" t="b">
        <v>0</v>
      </c>
      <c r="W1250" s="51" t="b">
        <v>0</v>
      </c>
      <c r="X1250" s="51" t="b">
        <v>0</v>
      </c>
      <c r="Y1250" s="51" t="b">
        <v>0</v>
      </c>
      <c r="Z1250" s="51" t="b">
        <v>0</v>
      </c>
      <c r="AA1250" s="65"/>
      <c r="AB1250" s="52"/>
      <c r="AC1250" s="52"/>
      <c r="AD1250" s="52"/>
      <c r="AE1250" s="56"/>
      <c r="AF1250" s="56"/>
    </row>
    <row r="1251">
      <c r="A1251" s="52" t="s">
        <v>4397</v>
      </c>
      <c r="B1251" s="52" t="s">
        <v>22</v>
      </c>
      <c r="C1251" s="52" t="s">
        <v>289</v>
      </c>
      <c r="D1251" s="65">
        <v>0.7051504629629632</v>
      </c>
      <c r="E1251" s="65"/>
      <c r="F1251" s="65">
        <v>0.7051504629629632</v>
      </c>
      <c r="G1251" s="65"/>
      <c r="H1251" s="52"/>
      <c r="I1251" s="52"/>
      <c r="J1251" s="52"/>
      <c r="K1251" s="52"/>
      <c r="L1251" s="52"/>
      <c r="M1251" s="52"/>
      <c r="N1251" s="52" t="s">
        <v>70</v>
      </c>
      <c r="O1251" s="52"/>
      <c r="P1251" s="52"/>
      <c r="Q1251" s="52"/>
      <c r="R1251" s="51" t="b">
        <v>0</v>
      </c>
      <c r="S1251" s="51"/>
      <c r="T1251" s="52"/>
      <c r="U1251" s="51" t="b">
        <v>0</v>
      </c>
      <c r="V1251" s="51" t="b">
        <v>0</v>
      </c>
      <c r="W1251" s="51" t="b">
        <v>0</v>
      </c>
      <c r="X1251" s="51" t="b">
        <v>0</v>
      </c>
      <c r="Y1251" s="51" t="b">
        <v>0</v>
      </c>
      <c r="Z1251" s="51" t="b">
        <v>0</v>
      </c>
      <c r="AA1251" s="65"/>
      <c r="AB1251" s="52"/>
      <c r="AC1251" s="52"/>
      <c r="AD1251" s="52"/>
      <c r="AE1251" s="56"/>
      <c r="AF1251" s="56"/>
    </row>
    <row r="1252">
      <c r="A1252" s="52" t="s">
        <v>4400</v>
      </c>
      <c r="B1252" s="52" t="s">
        <v>22</v>
      </c>
      <c r="C1252" s="52" t="s">
        <v>289</v>
      </c>
      <c r="D1252" s="65">
        <v>0.7051504629629632</v>
      </c>
      <c r="E1252" s="65"/>
      <c r="F1252" s="65">
        <v>0.7051504629629632</v>
      </c>
      <c r="G1252" s="65"/>
      <c r="H1252" s="52"/>
      <c r="I1252" s="52"/>
      <c r="J1252" s="52"/>
      <c r="K1252" s="52"/>
      <c r="L1252" s="52"/>
      <c r="M1252" s="52"/>
      <c r="N1252" s="52" t="s">
        <v>70</v>
      </c>
      <c r="O1252" s="52"/>
      <c r="P1252" s="52"/>
      <c r="Q1252" s="52"/>
      <c r="R1252" s="51" t="b">
        <v>0</v>
      </c>
      <c r="S1252" s="51"/>
      <c r="T1252" s="52"/>
      <c r="U1252" s="51" t="b">
        <v>0</v>
      </c>
      <c r="V1252" s="51" t="b">
        <v>0</v>
      </c>
      <c r="W1252" s="51" t="b">
        <v>0</v>
      </c>
      <c r="X1252" s="51" t="b">
        <v>0</v>
      </c>
      <c r="Y1252" s="51" t="b">
        <v>0</v>
      </c>
      <c r="Z1252" s="51" t="b">
        <v>0</v>
      </c>
      <c r="AA1252" s="65"/>
      <c r="AB1252" s="52"/>
      <c r="AC1252" s="52"/>
      <c r="AD1252" s="52"/>
      <c r="AE1252" s="56"/>
      <c r="AF1252" s="56"/>
    </row>
    <row r="1253">
      <c r="A1253" s="52" t="s">
        <v>4404</v>
      </c>
      <c r="B1253" s="52" t="s">
        <v>22</v>
      </c>
      <c r="C1253" s="52" t="s">
        <v>289</v>
      </c>
      <c r="D1253" s="65">
        <v>0.7051504629629632</v>
      </c>
      <c r="E1253" s="65"/>
      <c r="F1253" s="65">
        <v>0.7051504629629632</v>
      </c>
      <c r="G1253" s="65"/>
      <c r="H1253" s="52"/>
      <c r="I1253" s="52"/>
      <c r="J1253" s="52"/>
      <c r="K1253" s="52"/>
      <c r="L1253" s="52"/>
      <c r="M1253" s="52"/>
      <c r="N1253" s="52" t="s">
        <v>70</v>
      </c>
      <c r="O1253" s="52"/>
      <c r="P1253" s="52"/>
      <c r="Q1253" s="52"/>
      <c r="R1253" s="51" t="b">
        <v>0</v>
      </c>
      <c r="S1253" s="51"/>
      <c r="T1253" s="52"/>
      <c r="U1253" s="51" t="b">
        <v>0</v>
      </c>
      <c r="V1253" s="51" t="b">
        <v>0</v>
      </c>
      <c r="W1253" s="51" t="b">
        <v>0</v>
      </c>
      <c r="X1253" s="51" t="b">
        <v>0</v>
      </c>
      <c r="Y1253" s="51" t="b">
        <v>0</v>
      </c>
      <c r="Z1253" s="51" t="b">
        <v>0</v>
      </c>
      <c r="AA1253" s="65"/>
      <c r="AB1253" s="52"/>
      <c r="AC1253" s="52"/>
      <c r="AD1253" s="52"/>
      <c r="AE1253" s="56"/>
      <c r="AF1253" s="56"/>
    </row>
    <row r="1254">
      <c r="A1254" s="52" t="s">
        <v>4407</v>
      </c>
      <c r="B1254" s="52" t="s">
        <v>22</v>
      </c>
      <c r="C1254" s="52"/>
      <c r="D1254" s="65"/>
      <c r="E1254" s="65"/>
      <c r="F1254" s="65"/>
      <c r="G1254" s="65"/>
      <c r="H1254" s="52"/>
      <c r="I1254" s="52"/>
      <c r="J1254" s="52"/>
      <c r="K1254" s="52"/>
      <c r="L1254" s="52"/>
      <c r="M1254" s="52"/>
      <c r="N1254" s="52" t="s">
        <v>70</v>
      </c>
      <c r="O1254" s="52"/>
      <c r="P1254" s="52"/>
      <c r="Q1254" s="52"/>
      <c r="R1254" s="51" t="b">
        <v>0</v>
      </c>
      <c r="S1254" s="51"/>
      <c r="T1254" s="52"/>
      <c r="U1254" s="51" t="b">
        <v>0</v>
      </c>
      <c r="V1254" s="51" t="b">
        <v>0</v>
      </c>
      <c r="W1254" s="51" t="b">
        <v>0</v>
      </c>
      <c r="X1254" s="51" t="b">
        <v>0</v>
      </c>
      <c r="Y1254" s="51" t="b">
        <v>0</v>
      </c>
      <c r="Z1254" s="51" t="b">
        <v>0</v>
      </c>
      <c r="AA1254" s="65"/>
      <c r="AB1254" s="52"/>
      <c r="AC1254" s="52"/>
      <c r="AD1254" s="52"/>
      <c r="AE1254" s="56"/>
      <c r="AF1254" s="56"/>
    </row>
    <row r="1255">
      <c r="A1255" s="52" t="s">
        <v>4410</v>
      </c>
      <c r="B1255" s="52" t="s">
        <v>1667</v>
      </c>
      <c r="C1255" s="52"/>
      <c r="D1255" s="65"/>
      <c r="E1255" s="65"/>
      <c r="F1255" s="65"/>
      <c r="G1255" s="65"/>
      <c r="H1255" s="52"/>
      <c r="I1255" s="52"/>
      <c r="J1255" s="52"/>
      <c r="K1255" s="52"/>
      <c r="L1255" s="52"/>
      <c r="M1255" s="52"/>
      <c r="N1255" s="52" t="s">
        <v>70</v>
      </c>
      <c r="O1255" s="52"/>
      <c r="P1255" s="52"/>
      <c r="Q1255" s="52"/>
      <c r="R1255" s="51" t="b">
        <v>0</v>
      </c>
      <c r="S1255" s="51"/>
      <c r="T1255" s="52"/>
      <c r="U1255" s="51" t="b">
        <v>0</v>
      </c>
      <c r="V1255" s="51" t="b">
        <v>0</v>
      </c>
      <c r="W1255" s="51" t="b">
        <v>0</v>
      </c>
      <c r="X1255" s="51" t="b">
        <v>0</v>
      </c>
      <c r="Y1255" s="51" t="b">
        <v>0</v>
      </c>
      <c r="Z1255" s="51" t="b">
        <v>0</v>
      </c>
      <c r="AA1255" s="68"/>
      <c r="AB1255" s="52"/>
      <c r="AC1255" s="52"/>
      <c r="AD1255" s="52"/>
      <c r="AE1255" s="56"/>
      <c r="AF1255" s="56"/>
    </row>
    <row r="1256">
      <c r="A1256" s="52" t="s">
        <v>4414</v>
      </c>
      <c r="B1256" s="52"/>
      <c r="C1256" s="52"/>
      <c r="D1256" s="65"/>
      <c r="E1256" s="65"/>
      <c r="F1256" s="65"/>
      <c r="G1256" s="65"/>
      <c r="H1256" s="52"/>
      <c r="I1256" s="52"/>
      <c r="J1256" s="52"/>
      <c r="K1256" s="52"/>
      <c r="L1256" s="52"/>
      <c r="M1256" s="52"/>
      <c r="N1256" s="52" t="s">
        <v>70</v>
      </c>
      <c r="O1256" s="52"/>
      <c r="P1256" s="52"/>
      <c r="Q1256" s="52"/>
      <c r="R1256" s="51" t="b">
        <v>0</v>
      </c>
      <c r="S1256" s="51"/>
      <c r="T1256" s="52"/>
      <c r="U1256" s="51" t="b">
        <v>0</v>
      </c>
      <c r="V1256" s="51" t="b">
        <v>0</v>
      </c>
      <c r="W1256" s="51" t="b">
        <v>0</v>
      </c>
      <c r="X1256" s="51" t="b">
        <v>0</v>
      </c>
      <c r="Y1256" s="51" t="b">
        <v>0</v>
      </c>
      <c r="Z1256" s="51" t="b">
        <v>0</v>
      </c>
      <c r="AA1256" s="68"/>
      <c r="AB1256" s="52"/>
      <c r="AC1256" s="52"/>
      <c r="AD1256" s="52"/>
      <c r="AE1256" s="56"/>
      <c r="AF1256" s="56"/>
    </row>
    <row r="1257">
      <c r="A1257" s="52" t="s">
        <v>4417</v>
      </c>
      <c r="B1257" s="52" t="s">
        <v>785</v>
      </c>
      <c r="C1257" s="52" t="s">
        <v>66</v>
      </c>
      <c r="D1257" s="65">
        <v>0.4166666666666667</v>
      </c>
      <c r="E1257" s="65">
        <v>0.010416666666666666</v>
      </c>
      <c r="F1257" s="65">
        <v>0.42708333333333337</v>
      </c>
      <c r="G1257" s="65" t="s">
        <v>140</v>
      </c>
      <c r="H1257" s="52" t="s">
        <v>107</v>
      </c>
      <c r="I1257" s="52" t="s">
        <v>1671</v>
      </c>
      <c r="J1257" s="52" t="s">
        <v>1672</v>
      </c>
      <c r="K1257" s="52" t="s">
        <v>1673</v>
      </c>
      <c r="L1257" s="52"/>
      <c r="M1257" s="52"/>
      <c r="N1257" s="52" t="s">
        <v>1674</v>
      </c>
      <c r="O1257" s="69" t="s">
        <v>734</v>
      </c>
      <c r="P1257" s="69" t="s">
        <v>30</v>
      </c>
      <c r="Q1257" s="73" t="s">
        <v>4420</v>
      </c>
      <c r="R1257" s="51" t="b">
        <v>1</v>
      </c>
      <c r="S1257" s="51" t="s">
        <v>4423</v>
      </c>
      <c r="T1257" s="52"/>
      <c r="U1257" s="51" t="b">
        <v>0</v>
      </c>
      <c r="V1257" s="51" t="b">
        <v>1</v>
      </c>
      <c r="W1257" s="51" t="b">
        <v>1</v>
      </c>
      <c r="X1257" s="51" t="b">
        <v>0</v>
      </c>
      <c r="Y1257" s="51" t="b">
        <v>0</v>
      </c>
      <c r="Z1257" s="51" t="b">
        <v>0</v>
      </c>
      <c r="AA1257" s="71">
        <v>0.008275462962962964</v>
      </c>
      <c r="AB1257" s="52"/>
      <c r="AC1257" s="52"/>
      <c r="AD1257" s="73" t="s">
        <v>4425</v>
      </c>
      <c r="AE1257" s="56" t="s">
        <v>629</v>
      </c>
      <c r="AF1257" s="56" t="s">
        <v>1362</v>
      </c>
    </row>
    <row r="1258">
      <c r="A1258" s="52" t="s">
        <v>4428</v>
      </c>
      <c r="B1258" s="52" t="s">
        <v>607</v>
      </c>
      <c r="C1258" s="52" t="s">
        <v>607</v>
      </c>
      <c r="D1258" s="65" t="s">
        <v>607</v>
      </c>
      <c r="E1258" s="65" t="s">
        <v>607</v>
      </c>
      <c r="F1258" s="65" t="s">
        <v>607</v>
      </c>
      <c r="G1258" s="65" t="s">
        <v>607</v>
      </c>
      <c r="H1258" s="52" t="s">
        <v>607</v>
      </c>
      <c r="I1258" s="52" t="s">
        <v>607</v>
      </c>
      <c r="J1258" s="52" t="s">
        <v>607</v>
      </c>
      <c r="K1258" s="52" t="s">
        <v>607</v>
      </c>
      <c r="L1258" s="52" t="s">
        <v>607</v>
      </c>
      <c r="M1258" s="52" t="s">
        <v>607</v>
      </c>
      <c r="N1258" s="52" t="s">
        <v>607</v>
      </c>
      <c r="O1258" s="52"/>
      <c r="P1258" s="52"/>
      <c r="Q1258" s="52"/>
      <c r="R1258" s="51" t="b">
        <v>0</v>
      </c>
      <c r="S1258" s="51"/>
      <c r="T1258" s="52"/>
      <c r="U1258" s="51" t="b">
        <v>0</v>
      </c>
      <c r="V1258" s="51" t="b">
        <v>0</v>
      </c>
      <c r="W1258" s="51" t="b">
        <v>0</v>
      </c>
      <c r="X1258" s="51" t="b">
        <v>0</v>
      </c>
      <c r="Y1258" s="51" t="b">
        <v>0</v>
      </c>
      <c r="Z1258" s="51" t="b">
        <v>0</v>
      </c>
      <c r="AA1258" s="68"/>
      <c r="AB1258" s="52"/>
      <c r="AC1258" s="52"/>
      <c r="AD1258" s="52"/>
      <c r="AE1258" s="56" t="s">
        <v>607</v>
      </c>
      <c r="AF1258" s="56" t="s">
        <v>607</v>
      </c>
    </row>
    <row r="1259">
      <c r="A1259" s="52" t="s">
        <v>4431</v>
      </c>
      <c r="B1259" s="52" t="s">
        <v>785</v>
      </c>
      <c r="C1259" s="52" t="s">
        <v>66</v>
      </c>
      <c r="D1259" s="65">
        <v>0.42708333333333337</v>
      </c>
      <c r="E1259" s="65">
        <v>0.010416666666666666</v>
      </c>
      <c r="F1259" s="65">
        <v>0.43750000000000006</v>
      </c>
      <c r="G1259" s="65" t="s">
        <v>106</v>
      </c>
      <c r="H1259" s="52" t="s">
        <v>74</v>
      </c>
      <c r="I1259" s="52" t="s">
        <v>1675</v>
      </c>
      <c r="J1259" s="52" t="s">
        <v>1600</v>
      </c>
      <c r="K1259" s="52" t="s">
        <v>1601</v>
      </c>
      <c r="L1259" s="52" t="s">
        <v>1602</v>
      </c>
      <c r="M1259" s="52"/>
      <c r="N1259" s="52" t="s">
        <v>1603</v>
      </c>
      <c r="O1259" s="69" t="s">
        <v>791</v>
      </c>
      <c r="P1259" s="69" t="s">
        <v>17</v>
      </c>
      <c r="Q1259" s="73" t="s">
        <v>4432</v>
      </c>
      <c r="R1259" s="51" t="b">
        <v>1</v>
      </c>
      <c r="S1259" s="52" t="s">
        <v>1599</v>
      </c>
      <c r="T1259" s="52"/>
      <c r="U1259" s="51" t="b">
        <v>0</v>
      </c>
      <c r="V1259" s="51" t="b">
        <v>1</v>
      </c>
      <c r="W1259" s="51" t="b">
        <v>1</v>
      </c>
      <c r="X1259" s="51" t="b">
        <v>0</v>
      </c>
      <c r="Y1259" s="51" t="b">
        <v>0</v>
      </c>
      <c r="Z1259" s="51" t="b">
        <v>0</v>
      </c>
      <c r="AA1259" s="71">
        <v>0.010266203703703704</v>
      </c>
      <c r="AB1259" s="127"/>
      <c r="AC1259" s="52"/>
      <c r="AD1259" s="73" t="s">
        <v>4434</v>
      </c>
      <c r="AE1259" s="56" t="s">
        <v>629</v>
      </c>
      <c r="AF1259" s="56" t="s">
        <v>1253</v>
      </c>
    </row>
    <row r="1260">
      <c r="A1260" s="52" t="s">
        <v>4435</v>
      </c>
      <c r="B1260" s="52" t="s">
        <v>607</v>
      </c>
      <c r="C1260" s="52" t="s">
        <v>607</v>
      </c>
      <c r="D1260" s="65" t="s">
        <v>607</v>
      </c>
      <c r="E1260" s="65" t="s">
        <v>607</v>
      </c>
      <c r="F1260" s="65" t="s">
        <v>607</v>
      </c>
      <c r="G1260" s="65" t="s">
        <v>607</v>
      </c>
      <c r="H1260" s="52" t="s">
        <v>607</v>
      </c>
      <c r="I1260" s="52" t="s">
        <v>607</v>
      </c>
      <c r="J1260" s="52" t="s">
        <v>607</v>
      </c>
      <c r="K1260" s="52" t="s">
        <v>607</v>
      </c>
      <c r="L1260" s="52" t="s">
        <v>607</v>
      </c>
      <c r="M1260" s="52" t="s">
        <v>607</v>
      </c>
      <c r="N1260" s="52" t="s">
        <v>607</v>
      </c>
      <c r="O1260" s="52"/>
      <c r="P1260" s="52"/>
      <c r="Q1260" s="52"/>
      <c r="R1260" s="51" t="b">
        <v>0</v>
      </c>
      <c r="S1260" s="51"/>
      <c r="T1260" s="52"/>
      <c r="U1260" s="51" t="b">
        <v>0</v>
      </c>
      <c r="V1260" s="51" t="b">
        <v>0</v>
      </c>
      <c r="W1260" s="51" t="b">
        <v>0</v>
      </c>
      <c r="X1260" s="51" t="b">
        <v>0</v>
      </c>
      <c r="Y1260" s="51" t="b">
        <v>0</v>
      </c>
      <c r="Z1260" s="51" t="b">
        <v>0</v>
      </c>
      <c r="AA1260" s="68"/>
      <c r="AB1260" s="52"/>
      <c r="AC1260" s="52"/>
      <c r="AD1260" s="52"/>
      <c r="AE1260" s="56" t="s">
        <v>607</v>
      </c>
      <c r="AF1260" s="56" t="s">
        <v>607</v>
      </c>
    </row>
    <row r="1261">
      <c r="A1261" s="52" t="s">
        <v>4436</v>
      </c>
      <c r="B1261" s="52" t="s">
        <v>785</v>
      </c>
      <c r="C1261" s="52" t="s">
        <v>66</v>
      </c>
      <c r="D1261" s="65">
        <v>0.43750000000000006</v>
      </c>
      <c r="E1261" s="65">
        <v>0.010416666666666666</v>
      </c>
      <c r="F1261" s="65">
        <v>0.44791666666666674</v>
      </c>
      <c r="G1261" s="65" t="s">
        <v>140</v>
      </c>
      <c r="H1261" s="52" t="s">
        <v>74</v>
      </c>
      <c r="I1261" s="52" t="s">
        <v>1677</v>
      </c>
      <c r="J1261" s="52" t="s">
        <v>1678</v>
      </c>
      <c r="K1261" s="52" t="s">
        <v>1679</v>
      </c>
      <c r="L1261" s="52" t="s">
        <v>1680</v>
      </c>
      <c r="M1261" s="52"/>
      <c r="N1261" s="52" t="s">
        <v>144</v>
      </c>
      <c r="O1261" s="52"/>
      <c r="P1261" s="69" t="s">
        <v>28</v>
      </c>
      <c r="Q1261" s="73" t="s">
        <v>4438</v>
      </c>
      <c r="R1261" s="51" t="b">
        <v>1</v>
      </c>
      <c r="S1261" s="51" t="s">
        <v>4439</v>
      </c>
      <c r="T1261" s="52"/>
      <c r="U1261" s="51" t="b">
        <v>0</v>
      </c>
      <c r="V1261" s="51" t="b">
        <v>1</v>
      </c>
      <c r="W1261" s="51" t="b">
        <v>1</v>
      </c>
      <c r="X1261" s="51" t="b">
        <v>0</v>
      </c>
      <c r="Y1261" s="51" t="b">
        <v>1</v>
      </c>
      <c r="Z1261" s="51" t="b">
        <v>0</v>
      </c>
      <c r="AA1261" s="71">
        <v>0.010659722222222221</v>
      </c>
      <c r="AB1261" s="52"/>
      <c r="AC1261" s="52"/>
      <c r="AD1261" s="136" t="s">
        <v>4440</v>
      </c>
      <c r="AE1261" s="56" t="s">
        <v>629</v>
      </c>
      <c r="AF1261" s="56" t="s">
        <v>972</v>
      </c>
    </row>
    <row r="1262">
      <c r="A1262" s="52" t="s">
        <v>4441</v>
      </c>
      <c r="B1262" s="52" t="s">
        <v>19</v>
      </c>
      <c r="C1262" s="52" t="s">
        <v>289</v>
      </c>
      <c r="D1262" s="65">
        <v>0.5836805555555556</v>
      </c>
      <c r="E1262" s="65">
        <v>0.009699074074074074</v>
      </c>
      <c r="F1262" s="65">
        <v>0.5933796296296298</v>
      </c>
      <c r="G1262" s="65" t="s">
        <v>245</v>
      </c>
      <c r="H1262" s="52" t="s">
        <v>107</v>
      </c>
      <c r="I1262" s="52" t="s">
        <v>1408</v>
      </c>
      <c r="J1262" s="52" t="s">
        <v>1410</v>
      </c>
      <c r="K1262" s="52" t="s">
        <v>1411</v>
      </c>
      <c r="L1262" s="52"/>
      <c r="M1262" s="52"/>
      <c r="N1262" s="52" t="s">
        <v>439</v>
      </c>
      <c r="O1262" s="52"/>
      <c r="P1262" s="69" t="s">
        <v>28</v>
      </c>
      <c r="Q1262" s="77" t="s">
        <v>4442</v>
      </c>
      <c r="R1262" s="51" t="b">
        <v>1</v>
      </c>
      <c r="S1262" s="52" t="s">
        <v>4443</v>
      </c>
      <c r="T1262" s="52"/>
      <c r="U1262" s="51" t="b">
        <v>0</v>
      </c>
      <c r="V1262" s="51" t="b">
        <v>1</v>
      </c>
      <c r="W1262" s="51" t="b">
        <v>1</v>
      </c>
      <c r="X1262" s="51" t="b">
        <v>0</v>
      </c>
      <c r="Y1262" s="51" t="b">
        <v>0</v>
      </c>
      <c r="Z1262" s="51" t="b">
        <v>0</v>
      </c>
      <c r="AA1262" s="228">
        <v>0.009699074074074074</v>
      </c>
      <c r="AB1262" s="159" t="s">
        <v>457</v>
      </c>
      <c r="AC1262" s="159"/>
      <c r="AD1262" s="73" t="s">
        <v>4445</v>
      </c>
      <c r="AE1262" s="56" t="s">
        <v>743</v>
      </c>
      <c r="AF1262" s="56" t="s">
        <v>873</v>
      </c>
    </row>
    <row r="1263">
      <c r="A1263" s="52" t="s">
        <v>4447</v>
      </c>
      <c r="B1263" s="52" t="s">
        <v>19</v>
      </c>
      <c r="C1263" s="52" t="s">
        <v>221</v>
      </c>
      <c r="D1263" s="65">
        <v>0.459375</v>
      </c>
      <c r="E1263" s="65">
        <v>0.006805555555555555</v>
      </c>
      <c r="F1263" s="65">
        <v>0.46618055555555554</v>
      </c>
      <c r="G1263" s="65" t="s">
        <v>481</v>
      </c>
      <c r="H1263" s="52" t="s">
        <v>107</v>
      </c>
      <c r="I1263" s="52" t="s">
        <v>1201</v>
      </c>
      <c r="J1263" s="52" t="s">
        <v>1202</v>
      </c>
      <c r="K1263" s="52" t="s">
        <v>1203</v>
      </c>
      <c r="L1263" s="52"/>
      <c r="M1263" s="52"/>
      <c r="N1263" s="52" t="s">
        <v>1205</v>
      </c>
      <c r="O1263" s="69" t="s">
        <v>734</v>
      </c>
      <c r="P1263" s="69" t="s">
        <v>30</v>
      </c>
      <c r="Q1263" s="70" t="s">
        <v>4448</v>
      </c>
      <c r="R1263" s="51" t="b">
        <v>1</v>
      </c>
      <c r="S1263" s="52" t="s">
        <v>4449</v>
      </c>
      <c r="T1263" s="52"/>
      <c r="U1263" s="51" t="b">
        <v>0</v>
      </c>
      <c r="V1263" s="51" t="b">
        <v>1</v>
      </c>
      <c r="W1263" s="51" t="b">
        <v>1</v>
      </c>
      <c r="X1263" s="51" t="b">
        <v>1</v>
      </c>
      <c r="Y1263" s="51" t="b">
        <v>0</v>
      </c>
      <c r="Z1263" s="51" t="b">
        <v>0</v>
      </c>
      <c r="AA1263" s="71">
        <v>0.006458333333333333</v>
      </c>
      <c r="AB1263" s="104" t="s">
        <v>4450</v>
      </c>
      <c r="AC1263" s="130"/>
      <c r="AD1263" s="73" t="s">
        <v>4451</v>
      </c>
      <c r="AE1263" s="56" t="s">
        <v>629</v>
      </c>
      <c r="AF1263" s="56" t="s">
        <v>803</v>
      </c>
    </row>
    <row r="1264">
      <c r="A1264" s="52" t="s">
        <v>4452</v>
      </c>
      <c r="B1264" s="52" t="s">
        <v>785</v>
      </c>
      <c r="C1264" s="52" t="s">
        <v>66</v>
      </c>
      <c r="D1264" s="65">
        <v>0.44791666666666674</v>
      </c>
      <c r="E1264" s="65">
        <v>0.007638888888888889</v>
      </c>
      <c r="F1264" s="65">
        <v>0.4555555555555556</v>
      </c>
      <c r="G1264" s="65" t="s">
        <v>481</v>
      </c>
      <c r="H1264" s="52" t="s">
        <v>107</v>
      </c>
      <c r="I1264" s="52" t="s">
        <v>1681</v>
      </c>
      <c r="J1264" s="52" t="s">
        <v>1682</v>
      </c>
      <c r="K1264" s="52" t="s">
        <v>1684</v>
      </c>
      <c r="L1264" s="52"/>
      <c r="M1264" s="52"/>
      <c r="N1264" s="52" t="s">
        <v>270</v>
      </c>
      <c r="O1264" s="69" t="s">
        <v>734</v>
      </c>
      <c r="P1264" s="69" t="s">
        <v>32</v>
      </c>
      <c r="Q1264" s="229" t="s">
        <v>4453</v>
      </c>
      <c r="R1264" s="51" t="b">
        <v>1</v>
      </c>
      <c r="S1264" s="52" t="s">
        <v>4454</v>
      </c>
      <c r="T1264" s="52"/>
      <c r="U1264" s="51" t="b">
        <v>0</v>
      </c>
      <c r="V1264" s="51" t="b">
        <v>1</v>
      </c>
      <c r="W1264" s="51" t="b">
        <v>1</v>
      </c>
      <c r="X1264" s="51" t="b">
        <v>0</v>
      </c>
      <c r="Y1264" s="51" t="b">
        <v>0</v>
      </c>
      <c r="Z1264" s="51" t="b">
        <v>0</v>
      </c>
      <c r="AA1264" s="71">
        <v>0.007546296296296297</v>
      </c>
      <c r="AB1264" s="52"/>
      <c r="AC1264" s="52"/>
      <c r="AD1264" s="73" t="s">
        <v>4455</v>
      </c>
      <c r="AE1264" s="56" t="s">
        <v>629</v>
      </c>
      <c r="AF1264" s="56" t="s">
        <v>1631</v>
      </c>
    </row>
    <row r="1265">
      <c r="A1265" s="52" t="s">
        <v>4456</v>
      </c>
      <c r="B1265" s="52" t="s">
        <v>19</v>
      </c>
      <c r="C1265" s="52" t="s">
        <v>221</v>
      </c>
      <c r="D1265" s="65">
        <v>0.6670138888888889</v>
      </c>
      <c r="E1265" s="65">
        <v>0.010416666666666666</v>
      </c>
      <c r="F1265" s="65">
        <v>0.6774305555555555</v>
      </c>
      <c r="G1265" s="65" t="s">
        <v>368</v>
      </c>
      <c r="H1265" s="52" t="s">
        <v>74</v>
      </c>
      <c r="I1265" s="52" t="s">
        <v>1298</v>
      </c>
      <c r="J1265" s="52" t="s">
        <v>1299</v>
      </c>
      <c r="K1265" s="52" t="s">
        <v>1300</v>
      </c>
      <c r="L1265" s="52"/>
      <c r="M1265" s="52"/>
      <c r="N1265" s="52" t="s">
        <v>253</v>
      </c>
      <c r="O1265" s="52"/>
      <c r="P1265" s="69" t="s">
        <v>28</v>
      </c>
      <c r="Q1265" s="80" t="s">
        <v>4457</v>
      </c>
      <c r="R1265" s="51" t="b">
        <v>1</v>
      </c>
      <c r="S1265" s="52" t="s">
        <v>1298</v>
      </c>
      <c r="T1265" s="52"/>
      <c r="U1265" s="51" t="b">
        <v>0</v>
      </c>
      <c r="V1265" s="51" t="b">
        <v>1</v>
      </c>
      <c r="W1265" s="51" t="b">
        <v>1</v>
      </c>
      <c r="X1265" s="51" t="b">
        <v>0</v>
      </c>
      <c r="Y1265" s="51" t="b">
        <v>0</v>
      </c>
      <c r="Z1265" s="51" t="b">
        <v>0</v>
      </c>
      <c r="AA1265" s="88">
        <v>0.010416666666666666</v>
      </c>
      <c r="AB1265" s="69" t="s">
        <v>4458</v>
      </c>
      <c r="AC1265" s="52"/>
      <c r="AD1265" s="73" t="s">
        <v>4459</v>
      </c>
      <c r="AE1265" s="56" t="s">
        <v>629</v>
      </c>
      <c r="AF1265" s="56" t="s">
        <v>803</v>
      </c>
    </row>
    <row r="1266">
      <c r="A1266" s="52" t="s">
        <v>4460</v>
      </c>
      <c r="B1266" s="52" t="s">
        <v>607</v>
      </c>
      <c r="C1266" s="52" t="s">
        <v>607</v>
      </c>
      <c r="D1266" s="65" t="s">
        <v>607</v>
      </c>
      <c r="E1266" s="65" t="s">
        <v>607</v>
      </c>
      <c r="F1266" s="65" t="s">
        <v>607</v>
      </c>
      <c r="G1266" s="65" t="s">
        <v>607</v>
      </c>
      <c r="H1266" s="52" t="s">
        <v>607</v>
      </c>
      <c r="I1266" s="52" t="s">
        <v>607</v>
      </c>
      <c r="J1266" s="52" t="s">
        <v>607</v>
      </c>
      <c r="K1266" s="52" t="s">
        <v>607</v>
      </c>
      <c r="L1266" s="52" t="s">
        <v>607</v>
      </c>
      <c r="M1266" s="52" t="s">
        <v>607</v>
      </c>
      <c r="N1266" s="52" t="s">
        <v>607</v>
      </c>
      <c r="O1266" s="52"/>
      <c r="P1266" s="52"/>
      <c r="Q1266" s="69" t="s">
        <v>4461</v>
      </c>
      <c r="R1266" s="51" t="b">
        <v>0</v>
      </c>
      <c r="S1266" s="52" t="s">
        <v>4462</v>
      </c>
      <c r="T1266" s="52"/>
      <c r="U1266" s="51" t="b">
        <v>0</v>
      </c>
      <c r="V1266" s="51" t="b">
        <v>0</v>
      </c>
      <c r="W1266" s="51" t="b">
        <v>0</v>
      </c>
      <c r="X1266" s="51" t="b">
        <v>0</v>
      </c>
      <c r="Y1266" s="51" t="b">
        <v>0</v>
      </c>
      <c r="Z1266" s="51" t="b">
        <v>0</v>
      </c>
      <c r="AA1266" s="68"/>
      <c r="AB1266" s="52"/>
      <c r="AC1266" s="52"/>
      <c r="AD1266" s="52"/>
      <c r="AE1266" s="56" t="s">
        <v>607</v>
      </c>
      <c r="AF1266" s="56" t="s">
        <v>607</v>
      </c>
    </row>
    <row r="1267">
      <c r="A1267" s="52" t="s">
        <v>4463</v>
      </c>
      <c r="B1267" s="52" t="s">
        <v>607</v>
      </c>
      <c r="C1267" s="52" t="s">
        <v>607</v>
      </c>
      <c r="D1267" s="65" t="s">
        <v>607</v>
      </c>
      <c r="E1267" s="65" t="s">
        <v>607</v>
      </c>
      <c r="F1267" s="65" t="s">
        <v>607</v>
      </c>
      <c r="G1267" s="65" t="s">
        <v>607</v>
      </c>
      <c r="H1267" s="52" t="s">
        <v>607</v>
      </c>
      <c r="I1267" s="52" t="s">
        <v>607</v>
      </c>
      <c r="J1267" s="52" t="s">
        <v>607</v>
      </c>
      <c r="K1267" s="52" t="s">
        <v>607</v>
      </c>
      <c r="L1267" s="52" t="s">
        <v>607</v>
      </c>
      <c r="M1267" s="52" t="s">
        <v>607</v>
      </c>
      <c r="N1267" s="52" t="s">
        <v>607</v>
      </c>
      <c r="O1267" s="69" t="s">
        <v>884</v>
      </c>
      <c r="P1267" s="69" t="s">
        <v>4464</v>
      </c>
      <c r="Q1267" s="92" t="s">
        <v>1030</v>
      </c>
      <c r="R1267" s="51" t="b">
        <v>0</v>
      </c>
      <c r="S1267" s="52"/>
      <c r="T1267" s="52"/>
      <c r="U1267" s="51" t="b">
        <v>0</v>
      </c>
      <c r="V1267" s="51" t="b">
        <v>0</v>
      </c>
      <c r="W1267" s="51" t="b">
        <v>0</v>
      </c>
      <c r="X1267" s="51" t="b">
        <v>0</v>
      </c>
      <c r="Y1267" s="51" t="b">
        <v>0</v>
      </c>
      <c r="Z1267" s="51" t="b">
        <v>1</v>
      </c>
      <c r="AA1267" s="71">
        <v>0.007465277777777778</v>
      </c>
      <c r="AB1267" s="69" t="s">
        <v>4465</v>
      </c>
      <c r="AC1267" s="69"/>
      <c r="AD1267" s="230" t="s">
        <v>4466</v>
      </c>
      <c r="AE1267" s="74" t="s">
        <v>607</v>
      </c>
      <c r="AF1267" s="74" t="s">
        <v>607</v>
      </c>
    </row>
    <row r="1268">
      <c r="A1268" s="52" t="s">
        <v>4467</v>
      </c>
      <c r="B1268" s="52" t="s">
        <v>785</v>
      </c>
      <c r="C1268" s="52" t="s">
        <v>66</v>
      </c>
      <c r="D1268" s="65">
        <v>0.4555555555555556</v>
      </c>
      <c r="E1268" s="65">
        <v>0.005555555555555556</v>
      </c>
      <c r="F1268" s="65">
        <v>0.46111111111111114</v>
      </c>
      <c r="G1268" s="65" t="s">
        <v>441</v>
      </c>
      <c r="H1268" s="52" t="s">
        <v>165</v>
      </c>
      <c r="I1268" s="52" t="s">
        <v>1685</v>
      </c>
      <c r="J1268" s="52" t="s">
        <v>1686</v>
      </c>
      <c r="K1268" s="52"/>
      <c r="L1268" s="52"/>
      <c r="M1268" s="52"/>
      <c r="N1268" s="52" t="s">
        <v>70</v>
      </c>
      <c r="O1268" s="52"/>
      <c r="P1268" s="69" t="s">
        <v>23</v>
      </c>
      <c r="Q1268" s="76" t="s">
        <v>4469</v>
      </c>
      <c r="R1268" s="51" t="b">
        <v>1</v>
      </c>
      <c r="S1268" s="52" t="s">
        <v>4470</v>
      </c>
      <c r="T1268" s="69" t="s">
        <v>3906</v>
      </c>
      <c r="U1268" s="51" t="b">
        <v>0</v>
      </c>
      <c r="V1268" s="51" t="b">
        <v>0</v>
      </c>
      <c r="W1268" s="51" t="b">
        <v>0</v>
      </c>
      <c r="X1268" s="51" t="b">
        <v>0</v>
      </c>
      <c r="Y1268" s="51" t="b">
        <v>0</v>
      </c>
      <c r="Z1268" s="51" t="b">
        <v>0</v>
      </c>
      <c r="AA1268" s="108"/>
      <c r="AB1268" s="52"/>
      <c r="AC1268" s="52"/>
      <c r="AD1268" s="52"/>
      <c r="AE1268" s="56" t="s">
        <v>743</v>
      </c>
      <c r="AF1268" s="56" t="s">
        <v>1125</v>
      </c>
    </row>
    <row r="1269" ht="18.75" customHeight="1">
      <c r="A1269" s="52" t="s">
        <v>4471</v>
      </c>
      <c r="B1269" s="52" t="s">
        <v>785</v>
      </c>
      <c r="C1269" s="52" t="s">
        <v>66</v>
      </c>
      <c r="D1269" s="65">
        <v>0.46111111111111114</v>
      </c>
      <c r="E1269" s="65">
        <v>0.008333333333333333</v>
      </c>
      <c r="F1269" s="65">
        <v>0.4694444444444445</v>
      </c>
      <c r="G1269" s="65" t="s">
        <v>358</v>
      </c>
      <c r="H1269" s="52" t="s">
        <v>107</v>
      </c>
      <c r="I1269" s="52" t="s">
        <v>1688</v>
      </c>
      <c r="J1269" s="52" t="s">
        <v>1689</v>
      </c>
      <c r="K1269" s="52" t="s">
        <v>1690</v>
      </c>
      <c r="L1269" s="52"/>
      <c r="M1269" s="52"/>
      <c r="N1269" s="131" t="s">
        <v>1691</v>
      </c>
      <c r="O1269" s="52"/>
      <c r="P1269" s="69" t="s">
        <v>25</v>
      </c>
      <c r="Q1269" s="80" t="s">
        <v>4472</v>
      </c>
      <c r="R1269" s="51" t="b">
        <v>1</v>
      </c>
      <c r="S1269" s="52" t="s">
        <v>4473</v>
      </c>
      <c r="T1269" s="52"/>
      <c r="U1269" s="51" t="b">
        <v>0</v>
      </c>
      <c r="V1269" s="51" t="b">
        <v>1</v>
      </c>
      <c r="W1269" s="51" t="b">
        <v>1</v>
      </c>
      <c r="X1269" s="51" t="b">
        <v>0</v>
      </c>
      <c r="Y1269" s="51" t="b">
        <v>0</v>
      </c>
      <c r="Z1269" s="51" t="b">
        <v>0</v>
      </c>
      <c r="AA1269" s="71">
        <v>0.007662037037037037</v>
      </c>
      <c r="AB1269" s="69" t="s">
        <v>4475</v>
      </c>
      <c r="AC1269" s="69" t="s">
        <v>4476</v>
      </c>
      <c r="AD1269" s="80" t="s">
        <v>4477</v>
      </c>
      <c r="AE1269" s="56" t="s">
        <v>629</v>
      </c>
      <c r="AF1269" s="56" t="s">
        <v>860</v>
      </c>
    </row>
    <row r="1270">
      <c r="A1270" s="52" t="s">
        <v>4478</v>
      </c>
      <c r="B1270" s="52" t="s">
        <v>785</v>
      </c>
      <c r="C1270" s="52" t="s">
        <v>66</v>
      </c>
      <c r="D1270" s="65">
        <v>0.4694444444444445</v>
      </c>
      <c r="E1270" s="65">
        <v>0.010416666666666666</v>
      </c>
      <c r="F1270" s="65">
        <v>0.4798611111111112</v>
      </c>
      <c r="G1270" s="65" t="s">
        <v>245</v>
      </c>
      <c r="H1270" s="52" t="s">
        <v>107</v>
      </c>
      <c r="I1270" s="52" t="s">
        <v>1693</v>
      </c>
      <c r="J1270" s="52" t="s">
        <v>1694</v>
      </c>
      <c r="K1270" s="52" t="s">
        <v>1695</v>
      </c>
      <c r="L1270" s="52"/>
      <c r="M1270" s="52"/>
      <c r="N1270" s="52" t="s">
        <v>1696</v>
      </c>
      <c r="O1270" s="69" t="s">
        <v>734</v>
      </c>
      <c r="P1270" s="69" t="s">
        <v>30</v>
      </c>
      <c r="Q1270" s="70" t="s">
        <v>4479</v>
      </c>
      <c r="R1270" s="51" t="b">
        <v>1</v>
      </c>
      <c r="S1270" s="78" t="s">
        <v>1693</v>
      </c>
      <c r="T1270" s="52"/>
      <c r="U1270" s="51" t="b">
        <v>0</v>
      </c>
      <c r="V1270" s="51" t="b">
        <v>1</v>
      </c>
      <c r="W1270" s="51" t="b">
        <v>1</v>
      </c>
      <c r="X1270" s="51" t="b">
        <v>1</v>
      </c>
      <c r="Y1270" s="51" t="b">
        <v>0</v>
      </c>
      <c r="Z1270" s="51" t="b">
        <v>0</v>
      </c>
      <c r="AA1270" s="231">
        <v>0.010717592592592593</v>
      </c>
      <c r="AB1270" s="159" t="s">
        <v>4480</v>
      </c>
      <c r="AC1270" s="116"/>
      <c r="AD1270" s="73" t="s">
        <v>4481</v>
      </c>
      <c r="AE1270" s="56" t="s">
        <v>629</v>
      </c>
      <c r="AF1270" s="56" t="s">
        <v>873</v>
      </c>
    </row>
    <row r="1271">
      <c r="A1271" s="52" t="s">
        <v>4482</v>
      </c>
      <c r="B1271" s="52" t="s">
        <v>785</v>
      </c>
      <c r="C1271" s="52" t="s">
        <v>66</v>
      </c>
      <c r="D1271" s="65">
        <v>0.4798611111111112</v>
      </c>
      <c r="E1271" s="65">
        <v>0.010416666666666666</v>
      </c>
      <c r="F1271" s="65">
        <v>0.49027777777777787</v>
      </c>
      <c r="G1271" s="65" t="s">
        <v>754</v>
      </c>
      <c r="H1271" s="52" t="s">
        <v>74</v>
      </c>
      <c r="I1271" s="52" t="s">
        <v>1697</v>
      </c>
      <c r="J1271" s="52" t="s">
        <v>1698</v>
      </c>
      <c r="K1271" s="52" t="s">
        <v>1699</v>
      </c>
      <c r="L1271" s="52" t="s">
        <v>1700</v>
      </c>
      <c r="M1271" s="52"/>
      <c r="N1271" s="52" t="s">
        <v>125</v>
      </c>
      <c r="O1271" s="69" t="s">
        <v>791</v>
      </c>
      <c r="P1271" s="69" t="s">
        <v>32</v>
      </c>
      <c r="Q1271" s="73" t="s">
        <v>4483</v>
      </c>
      <c r="R1271" s="51" t="b">
        <v>1</v>
      </c>
      <c r="S1271" s="78" t="s">
        <v>4484</v>
      </c>
      <c r="T1271" s="52"/>
      <c r="U1271" s="51" t="b">
        <v>0</v>
      </c>
      <c r="V1271" s="51" t="b">
        <v>1</v>
      </c>
      <c r="W1271" s="51" t="b">
        <v>1</v>
      </c>
      <c r="X1271" s="51" t="b">
        <v>0</v>
      </c>
      <c r="Y1271" s="51" t="b">
        <v>0</v>
      </c>
      <c r="Z1271" s="51" t="b">
        <v>0</v>
      </c>
      <c r="AA1271" s="71">
        <v>0.011122685185185185</v>
      </c>
      <c r="AB1271" s="69" t="s">
        <v>4485</v>
      </c>
      <c r="AC1271" s="52"/>
      <c r="AD1271" s="73" t="s">
        <v>4486</v>
      </c>
      <c r="AE1271" s="56" t="s">
        <v>743</v>
      </c>
      <c r="AF1271" s="56" t="s">
        <v>1631</v>
      </c>
    </row>
    <row r="1272">
      <c r="A1272" s="52" t="s">
        <v>4487</v>
      </c>
      <c r="B1272" s="52" t="s">
        <v>785</v>
      </c>
      <c r="C1272" s="52" t="s">
        <v>66</v>
      </c>
      <c r="D1272" s="65">
        <v>0.49027777777777787</v>
      </c>
      <c r="E1272" s="65">
        <v>0.010416666666666666</v>
      </c>
      <c r="F1272" s="65">
        <v>0.5006944444444446</v>
      </c>
      <c r="G1272" s="65" t="s">
        <v>129</v>
      </c>
      <c r="H1272" s="52" t="s">
        <v>74</v>
      </c>
      <c r="I1272" s="52" t="s">
        <v>1702</v>
      </c>
      <c r="J1272" s="52" t="s">
        <v>1703</v>
      </c>
      <c r="K1272" s="52" t="s">
        <v>1704</v>
      </c>
      <c r="L1272" s="52"/>
      <c r="M1272" s="52"/>
      <c r="N1272" s="52" t="s">
        <v>1705</v>
      </c>
      <c r="O1272" s="52"/>
      <c r="P1272" s="69" t="s">
        <v>15</v>
      </c>
      <c r="Q1272" s="80" t="s">
        <v>4488</v>
      </c>
      <c r="R1272" s="51" t="b">
        <v>1</v>
      </c>
      <c r="S1272" s="52" t="s">
        <v>4489</v>
      </c>
      <c r="T1272" s="52"/>
      <c r="U1272" s="51" t="b">
        <v>0</v>
      </c>
      <c r="V1272" s="51" t="b">
        <v>1</v>
      </c>
      <c r="W1272" s="51" t="b">
        <v>1</v>
      </c>
      <c r="X1272" s="51" t="b">
        <v>0</v>
      </c>
      <c r="Y1272" s="51" t="b">
        <v>1</v>
      </c>
      <c r="Z1272" s="51" t="b">
        <v>0</v>
      </c>
      <c r="AA1272" s="71">
        <v>0.011087962962962963</v>
      </c>
      <c r="AB1272" s="52"/>
      <c r="AC1272" s="52"/>
      <c r="AD1272" s="73" t="s">
        <v>4490</v>
      </c>
      <c r="AE1272" s="56" t="s">
        <v>629</v>
      </c>
      <c r="AF1272" s="56" t="s">
        <v>860</v>
      </c>
    </row>
    <row r="1273">
      <c r="A1273" s="52" t="s">
        <v>4491</v>
      </c>
      <c r="B1273" s="52" t="s">
        <v>607</v>
      </c>
      <c r="C1273" s="52" t="s">
        <v>607</v>
      </c>
      <c r="D1273" s="65" t="s">
        <v>607</v>
      </c>
      <c r="E1273" s="65" t="s">
        <v>607</v>
      </c>
      <c r="F1273" s="65" t="s">
        <v>607</v>
      </c>
      <c r="G1273" s="65" t="s">
        <v>607</v>
      </c>
      <c r="H1273" s="52" t="s">
        <v>607</v>
      </c>
      <c r="I1273" s="52" t="s">
        <v>607</v>
      </c>
      <c r="J1273" s="52" t="s">
        <v>607</v>
      </c>
      <c r="K1273" s="52" t="s">
        <v>607</v>
      </c>
      <c r="L1273" s="52" t="s">
        <v>607</v>
      </c>
      <c r="M1273" s="52" t="s">
        <v>607</v>
      </c>
      <c r="N1273" s="52" t="s">
        <v>607</v>
      </c>
      <c r="O1273" s="52"/>
      <c r="P1273" s="52"/>
      <c r="Q1273" s="52"/>
      <c r="R1273" s="51" t="b">
        <v>0</v>
      </c>
      <c r="S1273" s="51"/>
      <c r="T1273" s="52"/>
      <c r="U1273" s="51" t="b">
        <v>0</v>
      </c>
      <c r="V1273" s="51" t="b">
        <v>0</v>
      </c>
      <c r="W1273" s="51" t="b">
        <v>0</v>
      </c>
      <c r="X1273" s="51" t="b">
        <v>0</v>
      </c>
      <c r="Y1273" s="51" t="b">
        <v>0</v>
      </c>
      <c r="Z1273" s="51" t="b">
        <v>0</v>
      </c>
      <c r="AA1273" s="68"/>
      <c r="AB1273" s="52"/>
      <c r="AC1273" s="52"/>
      <c r="AD1273" s="52"/>
      <c r="AE1273" s="56" t="s">
        <v>607</v>
      </c>
      <c r="AF1273" s="56" t="s">
        <v>607</v>
      </c>
    </row>
    <row r="1274">
      <c r="A1274" s="52" t="s">
        <v>4492</v>
      </c>
      <c r="B1274" s="52" t="s">
        <v>19</v>
      </c>
      <c r="C1274" s="52" t="s">
        <v>289</v>
      </c>
      <c r="D1274" s="65">
        <v>0.6515046296296296</v>
      </c>
      <c r="E1274" s="65">
        <v>0.0020833333333333333</v>
      </c>
      <c r="F1274" s="65">
        <v>0.653587962962963</v>
      </c>
      <c r="G1274" s="65" t="s">
        <v>140</v>
      </c>
      <c r="H1274" s="52" t="s">
        <v>165</v>
      </c>
      <c r="I1274" s="52" t="s">
        <v>1452</v>
      </c>
      <c r="J1274" s="52" t="s">
        <v>1453</v>
      </c>
      <c r="K1274" s="52"/>
      <c r="L1274" s="52"/>
      <c r="M1274" s="52"/>
      <c r="N1274" s="52" t="s">
        <v>70</v>
      </c>
      <c r="O1274" s="69" t="s">
        <v>884</v>
      </c>
      <c r="P1274" s="69" t="s">
        <v>17</v>
      </c>
      <c r="Q1274" s="73" t="s">
        <v>4493</v>
      </c>
      <c r="R1274" s="51" t="b">
        <v>1</v>
      </c>
      <c r="S1274" s="232" t="s">
        <v>1452</v>
      </c>
      <c r="T1274" s="52"/>
      <c r="U1274" s="51" t="b">
        <v>0</v>
      </c>
      <c r="V1274" s="51" t="b">
        <v>1</v>
      </c>
      <c r="W1274" s="51" t="b">
        <v>1</v>
      </c>
      <c r="X1274" s="51" t="b">
        <v>1</v>
      </c>
      <c r="Y1274" s="51" t="b">
        <v>0</v>
      </c>
      <c r="Z1274" s="51" t="b">
        <v>0</v>
      </c>
      <c r="AA1274" s="71">
        <v>0.0021180555555555558</v>
      </c>
      <c r="AB1274" s="69"/>
      <c r="AC1274" s="72"/>
      <c r="AD1274" s="233" t="s">
        <v>4494</v>
      </c>
      <c r="AE1274" s="74" t="s">
        <v>743</v>
      </c>
      <c r="AF1274" s="74" t="s">
        <v>630</v>
      </c>
    </row>
    <row r="1275">
      <c r="A1275" s="52" t="s">
        <v>4495</v>
      </c>
      <c r="B1275" s="52" t="s">
        <v>785</v>
      </c>
      <c r="C1275" s="52" t="s">
        <v>66</v>
      </c>
      <c r="D1275" s="65">
        <v>0.5006944444444446</v>
      </c>
      <c r="E1275" s="65">
        <v>0.008333333333333333</v>
      </c>
      <c r="F1275" s="65">
        <v>0.5090277777777779</v>
      </c>
      <c r="G1275" s="65" t="s">
        <v>446</v>
      </c>
      <c r="H1275" s="52" t="s">
        <v>107</v>
      </c>
      <c r="I1275" s="52" t="s">
        <v>1706</v>
      </c>
      <c r="J1275" s="52" t="s">
        <v>1653</v>
      </c>
      <c r="K1275" s="52" t="s">
        <v>1654</v>
      </c>
      <c r="L1275" s="52"/>
      <c r="M1275" s="52"/>
      <c r="N1275" s="52" t="s">
        <v>1655</v>
      </c>
      <c r="O1275" s="69" t="s">
        <v>734</v>
      </c>
      <c r="P1275" s="69" t="s">
        <v>32</v>
      </c>
      <c r="Q1275" s="80" t="s">
        <v>4496</v>
      </c>
      <c r="R1275" s="51" t="b">
        <v>1</v>
      </c>
      <c r="S1275" s="52" t="s">
        <v>1706</v>
      </c>
      <c r="T1275" s="52"/>
      <c r="U1275" s="51" t="b">
        <v>0</v>
      </c>
      <c r="V1275" s="51" t="b">
        <v>1</v>
      </c>
      <c r="W1275" s="51" t="b">
        <v>1</v>
      </c>
      <c r="X1275" s="51" t="b">
        <v>0</v>
      </c>
      <c r="Y1275" s="51" t="b">
        <v>0</v>
      </c>
      <c r="Z1275" s="51" t="b">
        <v>0</v>
      </c>
      <c r="AA1275" s="71">
        <v>0.008263888888888888</v>
      </c>
      <c r="AB1275" s="69" t="s">
        <v>4497</v>
      </c>
      <c r="AC1275" s="52"/>
      <c r="AD1275" s="73" t="s">
        <v>4498</v>
      </c>
      <c r="AE1275" s="56" t="s">
        <v>743</v>
      </c>
      <c r="AF1275" s="56" t="s">
        <v>1362</v>
      </c>
    </row>
    <row r="1276">
      <c r="A1276" s="52" t="s">
        <v>4499</v>
      </c>
      <c r="B1276" s="52" t="s">
        <v>14</v>
      </c>
      <c r="C1276" s="52" t="s">
        <v>66</v>
      </c>
      <c r="D1276" s="65">
        <v>0.7051851851851848</v>
      </c>
      <c r="E1276" s="65">
        <v>0.010416666666666666</v>
      </c>
      <c r="F1276" s="65">
        <v>0.7156018518518514</v>
      </c>
      <c r="G1276" s="65" t="s">
        <v>140</v>
      </c>
      <c r="H1276" s="52" t="s">
        <v>165</v>
      </c>
      <c r="I1276" s="52" t="s">
        <v>217</v>
      </c>
      <c r="J1276" s="52" t="s">
        <v>218</v>
      </c>
      <c r="K1276" s="52"/>
      <c r="L1276" s="52"/>
      <c r="M1276" s="52"/>
      <c r="N1276" s="52"/>
      <c r="O1276" s="52"/>
      <c r="P1276" s="52"/>
      <c r="Q1276" s="52"/>
      <c r="R1276" s="51" t="b">
        <v>0</v>
      </c>
      <c r="S1276" s="51"/>
      <c r="T1276" s="52"/>
      <c r="U1276" s="51" t="b">
        <v>0</v>
      </c>
      <c r="V1276" s="51" t="b">
        <v>0</v>
      </c>
      <c r="W1276" s="51" t="b">
        <v>0</v>
      </c>
      <c r="X1276" s="51" t="b">
        <v>0</v>
      </c>
      <c r="Y1276" s="51" t="b">
        <v>0</v>
      </c>
      <c r="Z1276" s="51" t="b">
        <v>0</v>
      </c>
      <c r="AA1276" s="68"/>
      <c r="AB1276" s="52"/>
      <c r="AC1276" s="52"/>
      <c r="AD1276" s="52"/>
      <c r="AE1276" s="56" t="s">
        <v>1025</v>
      </c>
      <c r="AF1276" s="56" t="s">
        <v>972</v>
      </c>
    </row>
    <row r="1277">
      <c r="A1277" s="52" t="s">
        <v>4500</v>
      </c>
      <c r="B1277" s="52" t="s">
        <v>14</v>
      </c>
      <c r="C1277" s="52" t="s">
        <v>221</v>
      </c>
      <c r="D1277" s="65">
        <v>0.6356134259259256</v>
      </c>
      <c r="E1277" s="65">
        <v>0.010416666666666666</v>
      </c>
      <c r="F1277" s="65">
        <v>0.6460300925925923</v>
      </c>
      <c r="G1277" s="65" t="s">
        <v>106</v>
      </c>
      <c r="H1277" s="52" t="s">
        <v>107</v>
      </c>
      <c r="I1277" s="52" t="s">
        <v>311</v>
      </c>
      <c r="J1277" s="52" t="s">
        <v>312</v>
      </c>
      <c r="K1277" s="52"/>
      <c r="L1277" s="52"/>
      <c r="M1277" s="52"/>
      <c r="N1277" s="52" t="s">
        <v>313</v>
      </c>
      <c r="O1277" s="52"/>
      <c r="P1277" s="52"/>
      <c r="Q1277" s="52"/>
      <c r="R1277" s="51" t="b">
        <v>0</v>
      </c>
      <c r="S1277" s="51"/>
      <c r="T1277" s="52"/>
      <c r="U1277" s="51" t="b">
        <v>0</v>
      </c>
      <c r="V1277" s="51" t="b">
        <v>0</v>
      </c>
      <c r="W1277" s="51" t="b">
        <v>0</v>
      </c>
      <c r="X1277" s="51" t="b">
        <v>0</v>
      </c>
      <c r="Y1277" s="51" t="b">
        <v>0</v>
      </c>
      <c r="Z1277" s="51" t="b">
        <v>0</v>
      </c>
      <c r="AA1277" s="68"/>
      <c r="AB1277" s="52"/>
      <c r="AC1277" s="52"/>
      <c r="AD1277" s="52"/>
      <c r="AE1277" s="56" t="s">
        <v>652</v>
      </c>
      <c r="AF1277" s="56" t="s">
        <v>1253</v>
      </c>
    </row>
    <row r="1278">
      <c r="A1278" s="52" t="s">
        <v>4501</v>
      </c>
      <c r="B1278" s="52" t="s">
        <v>607</v>
      </c>
      <c r="C1278" s="52" t="s">
        <v>607</v>
      </c>
      <c r="D1278" s="65" t="s">
        <v>607</v>
      </c>
      <c r="E1278" s="65" t="s">
        <v>607</v>
      </c>
      <c r="F1278" s="65" t="s">
        <v>607</v>
      </c>
      <c r="G1278" s="65" t="s">
        <v>607</v>
      </c>
      <c r="H1278" s="52" t="s">
        <v>607</v>
      </c>
      <c r="I1278" s="52" t="s">
        <v>607</v>
      </c>
      <c r="J1278" s="52" t="s">
        <v>607</v>
      </c>
      <c r="K1278" s="52" t="s">
        <v>607</v>
      </c>
      <c r="L1278" s="52" t="s">
        <v>607</v>
      </c>
      <c r="M1278" s="52" t="s">
        <v>607</v>
      </c>
      <c r="N1278" s="52" t="s">
        <v>607</v>
      </c>
      <c r="O1278" s="52"/>
      <c r="P1278" s="52"/>
      <c r="Q1278" s="52"/>
      <c r="R1278" s="51" t="b">
        <v>0</v>
      </c>
      <c r="S1278" s="51"/>
      <c r="T1278" s="52"/>
      <c r="U1278" s="51" t="b">
        <v>0</v>
      </c>
      <c r="V1278" s="51" t="b">
        <v>0</v>
      </c>
      <c r="W1278" s="51" t="b">
        <v>0</v>
      </c>
      <c r="X1278" s="51" t="b">
        <v>0</v>
      </c>
      <c r="Y1278" s="51" t="b">
        <v>0</v>
      </c>
      <c r="Z1278" s="51" t="b">
        <v>0</v>
      </c>
      <c r="AA1278" s="68"/>
      <c r="AB1278" s="52"/>
      <c r="AC1278" s="52"/>
      <c r="AD1278" s="52"/>
      <c r="AE1278" s="56" t="s">
        <v>607</v>
      </c>
      <c r="AF1278" s="56" t="s">
        <v>607</v>
      </c>
    </row>
    <row r="1279">
      <c r="A1279" s="52" t="s">
        <v>4502</v>
      </c>
      <c r="B1279" s="52" t="s">
        <v>785</v>
      </c>
      <c r="C1279" s="52" t="s">
        <v>221</v>
      </c>
      <c r="D1279" s="65">
        <v>0.5090277777777779</v>
      </c>
      <c r="E1279" s="65">
        <v>0.010416666666666666</v>
      </c>
      <c r="F1279" s="65">
        <v>0.5194444444444445</v>
      </c>
      <c r="G1279" s="65" t="s">
        <v>737</v>
      </c>
      <c r="H1279" s="52" t="s">
        <v>74</v>
      </c>
      <c r="I1279" s="52" t="s">
        <v>1707</v>
      </c>
      <c r="J1279" s="52" t="s">
        <v>1708</v>
      </c>
      <c r="K1279" s="52" t="s">
        <v>1709</v>
      </c>
      <c r="L1279" s="52" t="s">
        <v>1710</v>
      </c>
      <c r="M1279" s="52"/>
      <c r="N1279" s="52" t="s">
        <v>1711</v>
      </c>
      <c r="O1279" s="69" t="s">
        <v>791</v>
      </c>
      <c r="P1279" s="69" t="s">
        <v>32</v>
      </c>
      <c r="Q1279" s="73" t="s">
        <v>4503</v>
      </c>
      <c r="R1279" s="51" t="b">
        <v>1</v>
      </c>
      <c r="S1279" s="52" t="s">
        <v>4504</v>
      </c>
      <c r="T1279" s="52"/>
      <c r="U1279" s="51" t="b">
        <v>0</v>
      </c>
      <c r="V1279" s="51" t="b">
        <v>0</v>
      </c>
      <c r="W1279" s="234" t="b">
        <v>0</v>
      </c>
      <c r="X1279" s="51" t="b">
        <v>0</v>
      </c>
      <c r="Y1279" s="51" t="b">
        <v>0</v>
      </c>
      <c r="Z1279" s="51" t="b">
        <v>1</v>
      </c>
      <c r="AA1279" s="71">
        <v>0.010543981481481482</v>
      </c>
      <c r="AB1279" s="69" t="s">
        <v>4505</v>
      </c>
      <c r="AC1279" s="69" t="s">
        <v>4506</v>
      </c>
      <c r="AD1279" s="73" t="s">
        <v>4507</v>
      </c>
      <c r="AE1279" s="74" t="s">
        <v>629</v>
      </c>
      <c r="AF1279" s="74" t="s">
        <v>1076</v>
      </c>
    </row>
    <row r="1280">
      <c r="A1280" s="52" t="s">
        <v>4508</v>
      </c>
      <c r="B1280" s="52" t="s">
        <v>14</v>
      </c>
      <c r="C1280" s="52" t="s">
        <v>289</v>
      </c>
      <c r="D1280" s="65">
        <v>0.6024884259259254</v>
      </c>
      <c r="E1280" s="65">
        <v>0.011111111111111112</v>
      </c>
      <c r="F1280" s="65">
        <v>0.6135995370370365</v>
      </c>
      <c r="G1280" s="65" t="s">
        <v>358</v>
      </c>
      <c r="H1280" s="52" t="s">
        <v>74</v>
      </c>
      <c r="I1280" s="52" t="s">
        <v>429</v>
      </c>
      <c r="J1280" s="52" t="s">
        <v>430</v>
      </c>
      <c r="K1280" s="52" t="s">
        <v>431</v>
      </c>
      <c r="L1280" s="52" t="s">
        <v>432</v>
      </c>
      <c r="M1280" s="52"/>
      <c r="N1280" s="52" t="s">
        <v>433</v>
      </c>
      <c r="O1280" s="69" t="s">
        <v>791</v>
      </c>
      <c r="P1280" s="69" t="s">
        <v>32</v>
      </c>
      <c r="Q1280" s="80" t="s">
        <v>4509</v>
      </c>
      <c r="R1280" s="51" t="b">
        <v>1</v>
      </c>
      <c r="S1280" s="52" t="s">
        <v>429</v>
      </c>
      <c r="T1280" s="52"/>
      <c r="U1280" s="51" t="b">
        <v>0</v>
      </c>
      <c r="V1280" s="51" t="b">
        <v>1</v>
      </c>
      <c r="W1280" s="51" t="b">
        <v>1</v>
      </c>
      <c r="X1280" s="51" t="b">
        <v>0</v>
      </c>
      <c r="Y1280" s="51" t="b">
        <v>0</v>
      </c>
      <c r="Z1280" s="51" t="b">
        <v>0</v>
      </c>
      <c r="AA1280" s="71">
        <v>0.0109375</v>
      </c>
      <c r="AB1280" s="52"/>
      <c r="AC1280" s="52"/>
      <c r="AD1280" s="73" t="s">
        <v>4510</v>
      </c>
      <c r="AE1280" s="56" t="s">
        <v>629</v>
      </c>
      <c r="AF1280" s="56" t="s">
        <v>847</v>
      </c>
    </row>
    <row r="1281">
      <c r="A1281" s="52" t="s">
        <v>4511</v>
      </c>
      <c r="B1281" s="52" t="s">
        <v>607</v>
      </c>
      <c r="C1281" s="52" t="s">
        <v>607</v>
      </c>
      <c r="D1281" s="65" t="s">
        <v>607</v>
      </c>
      <c r="E1281" s="65" t="s">
        <v>607</v>
      </c>
      <c r="F1281" s="65" t="s">
        <v>607</v>
      </c>
      <c r="G1281" s="65" t="s">
        <v>607</v>
      </c>
      <c r="H1281" s="52" t="s">
        <v>607</v>
      </c>
      <c r="I1281" s="52" t="s">
        <v>607</v>
      </c>
      <c r="J1281" s="52" t="s">
        <v>607</v>
      </c>
      <c r="K1281" s="52" t="s">
        <v>607</v>
      </c>
      <c r="L1281" s="52" t="s">
        <v>607</v>
      </c>
      <c r="M1281" s="52" t="s">
        <v>607</v>
      </c>
      <c r="N1281" s="52" t="s">
        <v>607</v>
      </c>
      <c r="O1281" s="52"/>
      <c r="P1281" s="52"/>
      <c r="Q1281" s="69" t="s">
        <v>4461</v>
      </c>
      <c r="R1281" s="51" t="b">
        <v>0</v>
      </c>
      <c r="S1281" s="52" t="s">
        <v>4512</v>
      </c>
      <c r="T1281" s="52"/>
      <c r="U1281" s="51" t="b">
        <v>0</v>
      </c>
      <c r="V1281" s="51" t="b">
        <v>0</v>
      </c>
      <c r="W1281" s="51" t="b">
        <v>0</v>
      </c>
      <c r="X1281" s="51" t="b">
        <v>0</v>
      </c>
      <c r="Y1281" s="51" t="b">
        <v>0</v>
      </c>
      <c r="Z1281" s="51" t="b">
        <v>0</v>
      </c>
      <c r="AA1281" s="68"/>
      <c r="AB1281" s="52"/>
      <c r="AC1281" s="52"/>
      <c r="AD1281" s="52"/>
      <c r="AE1281" s="56" t="s">
        <v>607</v>
      </c>
      <c r="AF1281" s="56" t="s">
        <v>607</v>
      </c>
    </row>
    <row r="1282">
      <c r="A1282" s="52" t="s">
        <v>4513</v>
      </c>
      <c r="B1282" s="52" t="s">
        <v>14</v>
      </c>
      <c r="C1282" s="52" t="s">
        <v>289</v>
      </c>
      <c r="D1282" s="65">
        <v>0.5347800925925926</v>
      </c>
      <c r="E1282" s="65">
        <v>0.009606481481481481</v>
      </c>
      <c r="F1282" s="65">
        <v>0.5443865740740741</v>
      </c>
      <c r="G1282" s="65" t="s">
        <v>398</v>
      </c>
      <c r="H1282" s="52" t="s">
        <v>107</v>
      </c>
      <c r="I1282" s="52" t="s">
        <v>399</v>
      </c>
      <c r="J1282" s="52" t="s">
        <v>400</v>
      </c>
      <c r="K1282" s="52" t="s">
        <v>401</v>
      </c>
      <c r="L1282" s="52"/>
      <c r="M1282" s="52"/>
      <c r="N1282" s="52" t="s">
        <v>402</v>
      </c>
      <c r="O1282" s="69" t="s">
        <v>734</v>
      </c>
      <c r="P1282" s="69" t="s">
        <v>32</v>
      </c>
      <c r="Q1282" s="70" t="s">
        <v>4514</v>
      </c>
      <c r="R1282" s="51" t="b">
        <v>1</v>
      </c>
      <c r="S1282" s="52" t="s">
        <v>399</v>
      </c>
      <c r="T1282" s="52"/>
      <c r="U1282" s="51" t="b">
        <v>0</v>
      </c>
      <c r="V1282" s="51" t="b">
        <v>1</v>
      </c>
      <c r="W1282" s="51" t="b">
        <v>1</v>
      </c>
      <c r="X1282" s="51" t="b">
        <v>0</v>
      </c>
      <c r="Y1282" s="51" t="b">
        <v>0</v>
      </c>
      <c r="Z1282" s="51" t="b">
        <v>0</v>
      </c>
      <c r="AA1282" s="71">
        <v>0.008530092592592593</v>
      </c>
      <c r="AB1282" s="69" t="s">
        <v>4515</v>
      </c>
      <c r="AC1282" s="134"/>
      <c r="AD1282" s="73" t="s">
        <v>4516</v>
      </c>
      <c r="AE1282" s="74" t="s">
        <v>629</v>
      </c>
      <c r="AF1282" s="74" t="s">
        <v>860</v>
      </c>
    </row>
    <row r="1283">
      <c r="A1283" s="52" t="s">
        <v>4517</v>
      </c>
      <c r="B1283" s="52" t="s">
        <v>785</v>
      </c>
      <c r="C1283" s="52" t="s">
        <v>221</v>
      </c>
      <c r="D1283" s="65">
        <v>0.5194444444444445</v>
      </c>
      <c r="E1283" s="65">
        <v>0.007638888888888889</v>
      </c>
      <c r="F1283" s="65">
        <v>0.5270833333333333</v>
      </c>
      <c r="G1283" s="65" t="s">
        <v>398</v>
      </c>
      <c r="H1283" s="52" t="s">
        <v>94</v>
      </c>
      <c r="I1283" s="52" t="s">
        <v>1713</v>
      </c>
      <c r="J1283" s="52" t="s">
        <v>1714</v>
      </c>
      <c r="K1283" s="52"/>
      <c r="L1283" s="52"/>
      <c r="M1283" s="52"/>
      <c r="N1283" s="52" t="s">
        <v>1715</v>
      </c>
      <c r="O1283" s="69" t="s">
        <v>618</v>
      </c>
      <c r="P1283" s="69" t="s">
        <v>17</v>
      </c>
      <c r="Q1283" s="80" t="s">
        <v>4518</v>
      </c>
      <c r="R1283" s="51" t="b">
        <v>1</v>
      </c>
      <c r="S1283" s="52" t="s">
        <v>4519</v>
      </c>
      <c r="T1283" s="52"/>
      <c r="U1283" s="51" t="b">
        <v>0</v>
      </c>
      <c r="V1283" s="51" t="b">
        <v>0</v>
      </c>
      <c r="W1283" s="51" t="b">
        <v>0</v>
      </c>
      <c r="X1283" s="51" t="b">
        <v>0</v>
      </c>
      <c r="Y1283" s="51" t="b">
        <v>0</v>
      </c>
      <c r="Z1283" s="51" t="b">
        <v>0</v>
      </c>
      <c r="AA1283" s="68"/>
      <c r="AB1283" s="159" t="s">
        <v>4520</v>
      </c>
      <c r="AC1283" s="52"/>
      <c r="AD1283" s="52"/>
      <c r="AE1283" s="56" t="s">
        <v>629</v>
      </c>
      <c r="AF1283" s="56" t="s">
        <v>860</v>
      </c>
    </row>
    <row r="1284">
      <c r="A1284" s="52" t="s">
        <v>4521</v>
      </c>
      <c r="B1284" s="52" t="s">
        <v>785</v>
      </c>
      <c r="C1284" s="52" t="s">
        <v>289</v>
      </c>
      <c r="D1284" s="65">
        <v>0.5270833333333333</v>
      </c>
      <c r="E1284" s="65">
        <v>0.0</v>
      </c>
      <c r="F1284" s="65">
        <v>0.5270833333333333</v>
      </c>
      <c r="G1284" s="65" t="s">
        <v>658</v>
      </c>
      <c r="H1284" s="52" t="s">
        <v>94</v>
      </c>
      <c r="I1284" s="52" t="s">
        <v>1717</v>
      </c>
      <c r="J1284" s="52" t="s">
        <v>1639</v>
      </c>
      <c r="K1284" s="52"/>
      <c r="L1284" s="52"/>
      <c r="M1284" s="52"/>
      <c r="N1284" s="52" t="s">
        <v>1718</v>
      </c>
      <c r="O1284" s="52"/>
      <c r="P1284" s="69" t="s">
        <v>15</v>
      </c>
      <c r="Q1284" s="80" t="s">
        <v>4522</v>
      </c>
      <c r="R1284" s="51" t="b">
        <v>1</v>
      </c>
      <c r="S1284" s="52" t="s">
        <v>1717</v>
      </c>
      <c r="T1284" s="52"/>
      <c r="U1284" s="51" t="b">
        <v>0</v>
      </c>
      <c r="V1284" s="51" t="b">
        <v>1</v>
      </c>
      <c r="W1284" s="51" t="b">
        <v>1</v>
      </c>
      <c r="X1284" s="51" t="b">
        <v>0</v>
      </c>
      <c r="Y1284" s="51" t="b">
        <v>0</v>
      </c>
      <c r="Z1284" s="51" t="b">
        <v>0</v>
      </c>
      <c r="AA1284" s="71">
        <v>0.007013888888888889</v>
      </c>
      <c r="AB1284" s="52"/>
      <c r="AC1284" s="52"/>
      <c r="AD1284" s="76" t="s">
        <v>4523</v>
      </c>
      <c r="AE1284" s="56" t="s">
        <v>629</v>
      </c>
      <c r="AF1284" s="56" t="s">
        <v>1185</v>
      </c>
    </row>
    <row r="1285">
      <c r="A1285" s="52" t="s">
        <v>4525</v>
      </c>
      <c r="B1285" s="52" t="s">
        <v>607</v>
      </c>
      <c r="C1285" s="52" t="s">
        <v>607</v>
      </c>
      <c r="D1285" s="65" t="s">
        <v>607</v>
      </c>
      <c r="E1285" s="65" t="s">
        <v>607</v>
      </c>
      <c r="F1285" s="65" t="s">
        <v>607</v>
      </c>
      <c r="G1285" s="65" t="s">
        <v>607</v>
      </c>
      <c r="H1285" s="52" t="s">
        <v>607</v>
      </c>
      <c r="I1285" s="52" t="s">
        <v>607</v>
      </c>
      <c r="J1285" s="52" t="s">
        <v>607</v>
      </c>
      <c r="K1285" s="52" t="s">
        <v>607</v>
      </c>
      <c r="L1285" s="52" t="s">
        <v>607</v>
      </c>
      <c r="M1285" s="52" t="s">
        <v>607</v>
      </c>
      <c r="N1285" s="52" t="s">
        <v>607</v>
      </c>
      <c r="O1285" s="52"/>
      <c r="P1285" s="52"/>
      <c r="Q1285" s="52"/>
      <c r="R1285" s="51" t="b">
        <v>0</v>
      </c>
      <c r="S1285" s="51"/>
      <c r="T1285" s="52"/>
      <c r="U1285" s="51" t="b">
        <v>0</v>
      </c>
      <c r="V1285" s="51" t="b">
        <v>0</v>
      </c>
      <c r="W1285" s="51" t="b">
        <v>0</v>
      </c>
      <c r="X1285" s="51" t="b">
        <v>0</v>
      </c>
      <c r="Y1285" s="51" t="b">
        <v>0</v>
      </c>
      <c r="Z1285" s="51" t="b">
        <v>0</v>
      </c>
      <c r="AA1285" s="68"/>
      <c r="AB1285" s="52"/>
      <c r="AC1285" s="52"/>
      <c r="AD1285" s="52"/>
      <c r="AE1285" s="56" t="s">
        <v>607</v>
      </c>
      <c r="AF1285" s="56" t="s">
        <v>607</v>
      </c>
    </row>
    <row r="1286">
      <c r="A1286" s="52" t="s">
        <v>4526</v>
      </c>
      <c r="B1286" s="52" t="s">
        <v>607</v>
      </c>
      <c r="C1286" s="52" t="s">
        <v>607</v>
      </c>
      <c r="D1286" s="65" t="s">
        <v>607</v>
      </c>
      <c r="E1286" s="65" t="s">
        <v>607</v>
      </c>
      <c r="F1286" s="65" t="s">
        <v>607</v>
      </c>
      <c r="G1286" s="65" t="s">
        <v>607</v>
      </c>
      <c r="H1286" s="52" t="s">
        <v>607</v>
      </c>
      <c r="I1286" s="52" t="s">
        <v>607</v>
      </c>
      <c r="J1286" s="52" t="s">
        <v>607</v>
      </c>
      <c r="K1286" s="52" t="s">
        <v>607</v>
      </c>
      <c r="L1286" s="52" t="s">
        <v>607</v>
      </c>
      <c r="M1286" s="52" t="s">
        <v>607</v>
      </c>
      <c r="N1286" s="52" t="s">
        <v>607</v>
      </c>
      <c r="O1286" s="52"/>
      <c r="P1286" s="52"/>
      <c r="Q1286" s="52"/>
      <c r="R1286" s="51" t="b">
        <v>0</v>
      </c>
      <c r="S1286" s="51"/>
      <c r="T1286" s="52"/>
      <c r="U1286" s="51" t="b">
        <v>0</v>
      </c>
      <c r="V1286" s="51" t="b">
        <v>0</v>
      </c>
      <c r="W1286" s="51" t="b">
        <v>0</v>
      </c>
      <c r="X1286" s="51" t="b">
        <v>0</v>
      </c>
      <c r="Y1286" s="51" t="b">
        <v>0</v>
      </c>
      <c r="Z1286" s="51" t="b">
        <v>0</v>
      </c>
      <c r="AA1286" s="68"/>
      <c r="AB1286" s="52"/>
      <c r="AC1286" s="52"/>
      <c r="AD1286" s="52"/>
      <c r="AE1286" s="56" t="s">
        <v>607</v>
      </c>
      <c r="AF1286" s="56" t="s">
        <v>607</v>
      </c>
    </row>
    <row r="1287">
      <c r="A1287" s="52" t="s">
        <v>4527</v>
      </c>
      <c r="B1287" s="52" t="s">
        <v>785</v>
      </c>
      <c r="C1287" s="52" t="s">
        <v>289</v>
      </c>
      <c r="D1287" s="65">
        <v>0.5432291666666667</v>
      </c>
      <c r="E1287" s="65">
        <v>0.010416666666666666</v>
      </c>
      <c r="F1287" s="65">
        <v>0.5536458333333333</v>
      </c>
      <c r="G1287" s="65" t="s">
        <v>210</v>
      </c>
      <c r="H1287" s="52" t="s">
        <v>74</v>
      </c>
      <c r="I1287" s="52" t="s">
        <v>1724</v>
      </c>
      <c r="J1287" s="52" t="s">
        <v>1725</v>
      </c>
      <c r="K1287" s="52" t="s">
        <v>1727</v>
      </c>
      <c r="L1287" s="52" t="s">
        <v>1728</v>
      </c>
      <c r="M1287" s="52"/>
      <c r="N1287" s="52" t="s">
        <v>1729</v>
      </c>
      <c r="O1287" s="69" t="s">
        <v>791</v>
      </c>
      <c r="P1287" s="69" t="s">
        <v>32</v>
      </c>
      <c r="Q1287" s="80" t="s">
        <v>4528</v>
      </c>
      <c r="R1287" s="51" t="b">
        <v>1</v>
      </c>
      <c r="S1287" s="52" t="s">
        <v>4529</v>
      </c>
      <c r="T1287" s="52"/>
      <c r="U1287" s="51" t="b">
        <v>0</v>
      </c>
      <c r="V1287" s="51" t="b">
        <v>1</v>
      </c>
      <c r="W1287" s="51" t="b">
        <v>1</v>
      </c>
      <c r="X1287" s="51" t="b">
        <v>0</v>
      </c>
      <c r="Y1287" s="51" t="b">
        <v>0</v>
      </c>
      <c r="Z1287" s="51" t="b">
        <v>0</v>
      </c>
      <c r="AA1287" s="71">
        <v>0.010300925925925925</v>
      </c>
      <c r="AB1287" s="69" t="s">
        <v>4530</v>
      </c>
      <c r="AC1287" s="69" t="s">
        <v>4531</v>
      </c>
      <c r="AD1287" s="73" t="s">
        <v>4532</v>
      </c>
      <c r="AE1287" s="56" t="s">
        <v>629</v>
      </c>
      <c r="AF1287" s="56" t="s">
        <v>1362</v>
      </c>
    </row>
    <row r="1288">
      <c r="A1288" s="52" t="s">
        <v>4533</v>
      </c>
      <c r="B1288" s="52" t="s">
        <v>607</v>
      </c>
      <c r="C1288" s="52" t="s">
        <v>607</v>
      </c>
      <c r="D1288" s="65" t="s">
        <v>607</v>
      </c>
      <c r="E1288" s="65" t="s">
        <v>607</v>
      </c>
      <c r="F1288" s="65" t="s">
        <v>607</v>
      </c>
      <c r="G1288" s="65" t="s">
        <v>607</v>
      </c>
      <c r="H1288" s="52" t="s">
        <v>607</v>
      </c>
      <c r="I1288" s="52" t="s">
        <v>607</v>
      </c>
      <c r="J1288" s="52" t="s">
        <v>607</v>
      </c>
      <c r="K1288" s="52" t="s">
        <v>607</v>
      </c>
      <c r="L1288" s="52" t="s">
        <v>607</v>
      </c>
      <c r="M1288" s="52" t="s">
        <v>607</v>
      </c>
      <c r="N1288" s="52" t="s">
        <v>607</v>
      </c>
      <c r="O1288" s="52"/>
      <c r="P1288" s="52"/>
      <c r="Q1288" s="52"/>
      <c r="R1288" s="51" t="b">
        <v>0</v>
      </c>
      <c r="S1288" s="51"/>
      <c r="T1288" s="52"/>
      <c r="U1288" s="51" t="b">
        <v>0</v>
      </c>
      <c r="V1288" s="51" t="b">
        <v>0</v>
      </c>
      <c r="W1288" s="51" t="b">
        <v>0</v>
      </c>
      <c r="X1288" s="51" t="b">
        <v>0</v>
      </c>
      <c r="Y1288" s="51" t="b">
        <v>0</v>
      </c>
      <c r="Z1288" s="51" t="b">
        <v>0</v>
      </c>
      <c r="AA1288" s="68"/>
      <c r="AB1288" s="52"/>
      <c r="AC1288" s="52"/>
      <c r="AD1288" s="52"/>
      <c r="AE1288" s="56" t="s">
        <v>607</v>
      </c>
      <c r="AF1288" s="56" t="s">
        <v>607</v>
      </c>
    </row>
    <row r="1289">
      <c r="A1289" s="52" t="s">
        <v>4534</v>
      </c>
      <c r="B1289" s="52" t="s">
        <v>785</v>
      </c>
      <c r="C1289" s="52" t="s">
        <v>221</v>
      </c>
      <c r="D1289" s="65">
        <v>0.5536458333333333</v>
      </c>
      <c r="E1289" s="65">
        <v>0.010416666666666666</v>
      </c>
      <c r="F1289" s="65">
        <v>0.5640624999999999</v>
      </c>
      <c r="G1289" s="65" t="s">
        <v>151</v>
      </c>
      <c r="H1289" s="52" t="s">
        <v>74</v>
      </c>
      <c r="I1289" s="52" t="s">
        <v>1731</v>
      </c>
      <c r="J1289" s="52" t="s">
        <v>1732</v>
      </c>
      <c r="K1289" s="52" t="s">
        <v>1733</v>
      </c>
      <c r="L1289" s="52" t="s">
        <v>1734</v>
      </c>
      <c r="M1289" s="52"/>
      <c r="N1289" s="52" t="s">
        <v>1735</v>
      </c>
      <c r="O1289" s="69" t="s">
        <v>791</v>
      </c>
      <c r="P1289" s="69" t="s">
        <v>30</v>
      </c>
      <c r="Q1289" s="111" t="s">
        <v>4535</v>
      </c>
      <c r="R1289" s="51" t="b">
        <v>1</v>
      </c>
      <c r="S1289" s="52" t="s">
        <v>1731</v>
      </c>
      <c r="T1289" s="52"/>
      <c r="U1289" s="51" t="b">
        <v>0</v>
      </c>
      <c r="V1289" s="51" t="b">
        <v>0</v>
      </c>
      <c r="W1289" s="51" t="b">
        <v>0</v>
      </c>
      <c r="X1289" s="51" t="b">
        <v>0</v>
      </c>
      <c r="Y1289" s="51" t="b">
        <v>0</v>
      </c>
      <c r="Z1289" s="51" t="b">
        <v>0</v>
      </c>
      <c r="AA1289" s="68"/>
      <c r="AB1289" s="69" t="s">
        <v>4536</v>
      </c>
      <c r="AC1289" s="52"/>
      <c r="AD1289" s="52"/>
      <c r="AE1289" s="56" t="s">
        <v>629</v>
      </c>
      <c r="AF1289" s="56" t="s">
        <v>1362</v>
      </c>
    </row>
    <row r="1290">
      <c r="A1290" s="52" t="s">
        <v>4537</v>
      </c>
      <c r="B1290" s="52" t="s">
        <v>785</v>
      </c>
      <c r="C1290" s="52" t="s">
        <v>221</v>
      </c>
      <c r="D1290" s="65">
        <v>0.5270833333333333</v>
      </c>
      <c r="E1290" s="65">
        <v>0.010416666666666666</v>
      </c>
      <c r="F1290" s="65">
        <v>0.5375</v>
      </c>
      <c r="G1290" s="65" t="s">
        <v>151</v>
      </c>
      <c r="H1290" s="52" t="s">
        <v>74</v>
      </c>
      <c r="I1290" s="52" t="s">
        <v>1719</v>
      </c>
      <c r="J1290" s="52" t="s">
        <v>1720</v>
      </c>
      <c r="K1290" s="52" t="s">
        <v>1721</v>
      </c>
      <c r="L1290" s="52" t="s">
        <v>1722</v>
      </c>
      <c r="M1290" s="52"/>
      <c r="N1290" s="52" t="s">
        <v>1723</v>
      </c>
      <c r="O1290" s="52"/>
      <c r="P1290" s="52"/>
      <c r="Q1290" s="52"/>
      <c r="R1290" s="51" t="b">
        <v>0</v>
      </c>
      <c r="S1290" s="51"/>
      <c r="T1290" s="52"/>
      <c r="U1290" s="51" t="b">
        <v>0</v>
      </c>
      <c r="V1290" s="51" t="b">
        <v>0</v>
      </c>
      <c r="W1290" s="51" t="b">
        <v>0</v>
      </c>
      <c r="X1290" s="51" t="b">
        <v>0</v>
      </c>
      <c r="Y1290" s="51" t="b">
        <v>0</v>
      </c>
      <c r="Z1290" s="51" t="b">
        <v>0</v>
      </c>
      <c r="AA1290" s="68"/>
      <c r="AB1290" s="52"/>
      <c r="AC1290" s="52"/>
      <c r="AD1290" s="52"/>
      <c r="AE1290" s="56" t="s">
        <v>652</v>
      </c>
      <c r="AF1290" s="56" t="s">
        <v>1362</v>
      </c>
    </row>
    <row r="1291">
      <c r="A1291" s="52" t="s">
        <v>4539</v>
      </c>
      <c r="B1291" s="52" t="s">
        <v>785</v>
      </c>
      <c r="C1291" s="52" t="s">
        <v>221</v>
      </c>
      <c r="D1291" s="65">
        <v>0.5375</v>
      </c>
      <c r="E1291" s="65">
        <v>0.010416666666666666</v>
      </c>
      <c r="F1291" s="65">
        <v>0.5479166666666666</v>
      </c>
      <c r="G1291" s="65" t="s">
        <v>245</v>
      </c>
      <c r="H1291" s="52" t="s">
        <v>94</v>
      </c>
      <c r="I1291" s="52" t="s">
        <v>1736</v>
      </c>
      <c r="J1291" s="52" t="s">
        <v>1737</v>
      </c>
      <c r="K1291" s="52" t="s">
        <v>1738</v>
      </c>
      <c r="L1291" s="52"/>
      <c r="M1291" s="52"/>
      <c r="N1291" s="52" t="s">
        <v>1696</v>
      </c>
      <c r="O1291" s="69" t="s">
        <v>734</v>
      </c>
      <c r="P1291" s="69" t="s">
        <v>30</v>
      </c>
      <c r="Q1291" s="80" t="s">
        <v>4540</v>
      </c>
      <c r="R1291" s="51" t="b">
        <v>1</v>
      </c>
      <c r="S1291" s="52" t="s">
        <v>1736</v>
      </c>
      <c r="T1291" s="52"/>
      <c r="U1291" s="51" t="b">
        <v>0</v>
      </c>
      <c r="V1291" s="51" t="b">
        <v>1</v>
      </c>
      <c r="W1291" s="51" t="b">
        <v>1</v>
      </c>
      <c r="X1291" s="51" t="b">
        <v>0</v>
      </c>
      <c r="Y1291" s="51" t="b">
        <v>0</v>
      </c>
      <c r="Z1291" s="51" t="b">
        <v>0</v>
      </c>
      <c r="AA1291" s="71">
        <v>0.009791666666666667</v>
      </c>
      <c r="AB1291" s="69"/>
      <c r="AC1291" s="52"/>
      <c r="AD1291" s="73" t="s">
        <v>4541</v>
      </c>
      <c r="AE1291" s="56" t="s">
        <v>629</v>
      </c>
      <c r="AF1291" s="56" t="s">
        <v>873</v>
      </c>
    </row>
    <row r="1292">
      <c r="A1292" s="52" t="s">
        <v>4542</v>
      </c>
      <c r="B1292" s="52" t="s">
        <v>785</v>
      </c>
      <c r="C1292" s="52" t="s">
        <v>289</v>
      </c>
      <c r="D1292" s="65">
        <v>0.5479166666666666</v>
      </c>
      <c r="E1292" s="65">
        <v>0.011111111111111112</v>
      </c>
      <c r="F1292" s="65">
        <v>0.5590277777777777</v>
      </c>
      <c r="G1292" s="65" t="s">
        <v>151</v>
      </c>
      <c r="H1292" s="52" t="s">
        <v>74</v>
      </c>
      <c r="I1292" s="52" t="s">
        <v>1740</v>
      </c>
      <c r="J1292" s="52" t="s">
        <v>1741</v>
      </c>
      <c r="K1292" s="52" t="s">
        <v>1742</v>
      </c>
      <c r="L1292" s="52" t="s">
        <v>1264</v>
      </c>
      <c r="M1292" s="52"/>
      <c r="N1292" s="52" t="s">
        <v>1743</v>
      </c>
      <c r="O1292" s="69" t="s">
        <v>791</v>
      </c>
      <c r="P1292" s="69" t="s">
        <v>30</v>
      </c>
      <c r="Q1292" s="73" t="s">
        <v>4543</v>
      </c>
      <c r="R1292" s="51" t="b">
        <v>1</v>
      </c>
      <c r="S1292" s="52" t="s">
        <v>4545</v>
      </c>
      <c r="T1292" s="52"/>
      <c r="U1292" s="51" t="b">
        <v>0</v>
      </c>
      <c r="V1292" s="51" t="b">
        <v>1</v>
      </c>
      <c r="W1292" s="51" t="b">
        <v>1</v>
      </c>
      <c r="X1292" s="51" t="b">
        <v>0</v>
      </c>
      <c r="Y1292" s="51" t="b">
        <v>1</v>
      </c>
      <c r="Z1292" s="51" t="b">
        <v>0</v>
      </c>
      <c r="AA1292" s="235">
        <v>0.010833333333333334</v>
      </c>
      <c r="AB1292" s="69" t="s">
        <v>4546</v>
      </c>
      <c r="AC1292" s="69" t="s">
        <v>4547</v>
      </c>
      <c r="AD1292" s="73" t="s">
        <v>4548</v>
      </c>
      <c r="AE1292" s="74" t="s">
        <v>629</v>
      </c>
      <c r="AF1292" s="74" t="s">
        <v>1631</v>
      </c>
    </row>
    <row r="1293">
      <c r="A1293" s="52" t="s">
        <v>4549</v>
      </c>
      <c r="B1293" s="52" t="s">
        <v>607</v>
      </c>
      <c r="C1293" s="52" t="s">
        <v>607</v>
      </c>
      <c r="D1293" s="65" t="s">
        <v>607</v>
      </c>
      <c r="E1293" s="65" t="s">
        <v>607</v>
      </c>
      <c r="F1293" s="65" t="s">
        <v>607</v>
      </c>
      <c r="G1293" s="65" t="s">
        <v>607</v>
      </c>
      <c r="H1293" s="52" t="s">
        <v>607</v>
      </c>
      <c r="I1293" s="52" t="s">
        <v>607</v>
      </c>
      <c r="J1293" s="52" t="s">
        <v>607</v>
      </c>
      <c r="K1293" s="52" t="s">
        <v>607</v>
      </c>
      <c r="L1293" s="52" t="s">
        <v>607</v>
      </c>
      <c r="M1293" s="52" t="s">
        <v>607</v>
      </c>
      <c r="N1293" s="52" t="s">
        <v>607</v>
      </c>
      <c r="O1293" s="52"/>
      <c r="P1293" s="52"/>
      <c r="Q1293" s="52"/>
      <c r="R1293" s="51" t="b">
        <v>0</v>
      </c>
      <c r="S1293" s="51"/>
      <c r="T1293" s="52"/>
      <c r="U1293" s="51" t="b">
        <v>0</v>
      </c>
      <c r="V1293" s="51" t="b">
        <v>0</v>
      </c>
      <c r="W1293" s="51" t="b">
        <v>0</v>
      </c>
      <c r="X1293" s="51" t="b">
        <v>0</v>
      </c>
      <c r="Y1293" s="51" t="b">
        <v>0</v>
      </c>
      <c r="Z1293" s="51" t="b">
        <v>0</v>
      </c>
      <c r="AA1293" s="68"/>
      <c r="AB1293" s="52"/>
      <c r="AC1293" s="52"/>
      <c r="AD1293" s="52"/>
      <c r="AE1293" s="56" t="s">
        <v>607</v>
      </c>
      <c r="AF1293" s="56" t="s">
        <v>607</v>
      </c>
    </row>
    <row r="1294">
      <c r="A1294" s="52" t="s">
        <v>4550</v>
      </c>
      <c r="B1294" s="52" t="s">
        <v>16</v>
      </c>
      <c r="C1294" s="52" t="s">
        <v>66</v>
      </c>
      <c r="D1294" s="65">
        <v>0.5244444444444447</v>
      </c>
      <c r="E1294" s="65">
        <v>0.0020833333333333333</v>
      </c>
      <c r="F1294" s="65">
        <v>0.526527777777778</v>
      </c>
      <c r="G1294" s="65" t="s">
        <v>129</v>
      </c>
      <c r="H1294" s="52" t="s">
        <v>165</v>
      </c>
      <c r="I1294" s="52" t="s">
        <v>515</v>
      </c>
      <c r="J1294" s="52" t="s">
        <v>516</v>
      </c>
      <c r="K1294" s="52"/>
      <c r="L1294" s="52"/>
      <c r="M1294" s="52"/>
      <c r="N1294" s="52" t="s">
        <v>70</v>
      </c>
      <c r="O1294" s="69" t="s">
        <v>884</v>
      </c>
      <c r="P1294" s="69" t="s">
        <v>17</v>
      </c>
      <c r="Q1294" s="144" t="s">
        <v>4551</v>
      </c>
      <c r="R1294" s="236" t="b">
        <v>1</v>
      </c>
      <c r="S1294" s="78" t="s">
        <v>515</v>
      </c>
      <c r="T1294" s="52"/>
      <c r="U1294" s="51" t="b">
        <v>0</v>
      </c>
      <c r="V1294" s="51" t="b">
        <v>1</v>
      </c>
      <c r="W1294" s="51" t="b">
        <v>1</v>
      </c>
      <c r="X1294" s="51" t="b">
        <v>1</v>
      </c>
      <c r="Y1294" s="51" t="b">
        <v>0</v>
      </c>
      <c r="Z1294" s="51" t="b">
        <v>0</v>
      </c>
      <c r="AA1294" s="71">
        <v>0.0020601851851851853</v>
      </c>
      <c r="AB1294" s="69"/>
      <c r="AC1294" s="72"/>
      <c r="AD1294" s="76" t="s">
        <v>4552</v>
      </c>
      <c r="AE1294" s="74" t="s">
        <v>743</v>
      </c>
      <c r="AF1294" s="74" t="s">
        <v>630</v>
      </c>
    </row>
    <row r="1295">
      <c r="A1295" s="52" t="s">
        <v>4553</v>
      </c>
      <c r="B1295" s="52" t="s">
        <v>16</v>
      </c>
      <c r="C1295" s="52" t="s">
        <v>289</v>
      </c>
      <c r="D1295" s="65">
        <v>0.4720601851851854</v>
      </c>
      <c r="E1295" s="65">
        <v>0.010393518518518519</v>
      </c>
      <c r="F1295" s="65">
        <v>0.4824537037037039</v>
      </c>
      <c r="G1295" s="65" t="s">
        <v>195</v>
      </c>
      <c r="H1295" s="52" t="s">
        <v>74</v>
      </c>
      <c r="I1295" s="52" t="s">
        <v>822</v>
      </c>
      <c r="J1295" s="52" t="s">
        <v>823</v>
      </c>
      <c r="K1295" s="52" t="s">
        <v>824</v>
      </c>
      <c r="L1295" s="52" t="s">
        <v>825</v>
      </c>
      <c r="M1295" s="52"/>
      <c r="N1295" s="52" t="s">
        <v>826</v>
      </c>
      <c r="O1295" s="69" t="s">
        <v>791</v>
      </c>
      <c r="P1295" s="69" t="s">
        <v>30</v>
      </c>
      <c r="Q1295" s="76" t="s">
        <v>4554</v>
      </c>
      <c r="R1295" s="51" t="b">
        <v>1</v>
      </c>
      <c r="S1295" s="52" t="s">
        <v>822</v>
      </c>
      <c r="T1295" s="52"/>
      <c r="U1295" s="51" t="b">
        <v>0</v>
      </c>
      <c r="V1295" s="51" t="b">
        <v>1</v>
      </c>
      <c r="W1295" s="51" t="b">
        <v>1</v>
      </c>
      <c r="X1295" s="51" t="b">
        <v>1</v>
      </c>
      <c r="Y1295" s="51" t="b">
        <v>0</v>
      </c>
      <c r="Z1295" s="51" t="b">
        <v>0</v>
      </c>
      <c r="AA1295" s="71">
        <v>0.010393518518518519</v>
      </c>
      <c r="AB1295" s="140">
        <v>0.6236111111111111</v>
      </c>
      <c r="AC1295" s="237"/>
      <c r="AD1295" s="73" t="s">
        <v>4555</v>
      </c>
      <c r="AE1295" s="74" t="s">
        <v>629</v>
      </c>
      <c r="AF1295" s="74" t="s">
        <v>1076</v>
      </c>
    </row>
    <row r="1296">
      <c r="A1296" s="52" t="s">
        <v>4556</v>
      </c>
      <c r="B1296" s="52" t="s">
        <v>607</v>
      </c>
      <c r="C1296" s="52" t="s">
        <v>607</v>
      </c>
      <c r="D1296" s="65" t="s">
        <v>607</v>
      </c>
      <c r="E1296" s="65" t="s">
        <v>607</v>
      </c>
      <c r="F1296" s="65" t="s">
        <v>607</v>
      </c>
      <c r="G1296" s="65" t="s">
        <v>607</v>
      </c>
      <c r="H1296" s="52" t="s">
        <v>607</v>
      </c>
      <c r="I1296" s="52" t="s">
        <v>607</v>
      </c>
      <c r="J1296" s="52" t="s">
        <v>607</v>
      </c>
      <c r="K1296" s="52" t="s">
        <v>607</v>
      </c>
      <c r="L1296" s="52" t="s">
        <v>607</v>
      </c>
      <c r="M1296" s="52" t="s">
        <v>607</v>
      </c>
      <c r="N1296" s="52" t="s">
        <v>607</v>
      </c>
      <c r="O1296" s="52"/>
      <c r="P1296" s="52"/>
      <c r="Q1296" s="52"/>
      <c r="R1296" s="51" t="b">
        <v>0</v>
      </c>
      <c r="S1296" s="51"/>
      <c r="T1296" s="52"/>
      <c r="U1296" s="51" t="b">
        <v>0</v>
      </c>
      <c r="V1296" s="51" t="b">
        <v>0</v>
      </c>
      <c r="W1296" s="51" t="b">
        <v>0</v>
      </c>
      <c r="X1296" s="51" t="b">
        <v>0</v>
      </c>
      <c r="Y1296" s="51" t="b">
        <v>0</v>
      </c>
      <c r="Z1296" s="51" t="b">
        <v>0</v>
      </c>
      <c r="AA1296" s="68"/>
      <c r="AB1296" s="52"/>
      <c r="AC1296" s="52"/>
      <c r="AD1296" s="52"/>
      <c r="AE1296" s="56" t="s">
        <v>607</v>
      </c>
      <c r="AF1296" s="56" t="s">
        <v>607</v>
      </c>
    </row>
    <row r="1297">
      <c r="A1297" s="52" t="s">
        <v>4557</v>
      </c>
      <c r="B1297" s="52" t="s">
        <v>607</v>
      </c>
      <c r="C1297" s="52" t="s">
        <v>607</v>
      </c>
      <c r="D1297" s="65" t="s">
        <v>607</v>
      </c>
      <c r="E1297" s="65" t="s">
        <v>607</v>
      </c>
      <c r="F1297" s="65" t="s">
        <v>607</v>
      </c>
      <c r="G1297" s="65" t="s">
        <v>607</v>
      </c>
      <c r="H1297" s="52" t="s">
        <v>607</v>
      </c>
      <c r="I1297" s="52" t="s">
        <v>607</v>
      </c>
      <c r="J1297" s="52" t="s">
        <v>607</v>
      </c>
      <c r="K1297" s="52" t="s">
        <v>607</v>
      </c>
      <c r="L1297" s="52" t="s">
        <v>607</v>
      </c>
      <c r="M1297" s="52" t="s">
        <v>607</v>
      </c>
      <c r="N1297" s="52" t="s">
        <v>607</v>
      </c>
      <c r="O1297" s="52"/>
      <c r="P1297" s="52"/>
      <c r="Q1297" s="52"/>
      <c r="R1297" s="51" t="b">
        <v>0</v>
      </c>
      <c r="S1297" s="52"/>
      <c r="T1297" s="52"/>
      <c r="U1297" s="51" t="b">
        <v>0</v>
      </c>
      <c r="V1297" s="51" t="b">
        <v>0</v>
      </c>
      <c r="W1297" s="51" t="b">
        <v>0</v>
      </c>
      <c r="X1297" s="51" t="b">
        <v>0</v>
      </c>
      <c r="Y1297" s="51" t="b">
        <v>0</v>
      </c>
      <c r="Z1297" s="51" t="b">
        <v>0</v>
      </c>
      <c r="AA1297" s="68"/>
      <c r="AB1297" s="52"/>
      <c r="AC1297" s="52"/>
      <c r="AD1297" s="52"/>
      <c r="AE1297" s="56" t="s">
        <v>607</v>
      </c>
      <c r="AF1297" s="56" t="s">
        <v>607</v>
      </c>
    </row>
    <row r="1298">
      <c r="A1298" s="52" t="s">
        <v>4558</v>
      </c>
      <c r="B1298" s="52" t="s">
        <v>14</v>
      </c>
      <c r="C1298" s="52" t="s">
        <v>289</v>
      </c>
      <c r="D1298" s="65">
        <v>0.47173611111111136</v>
      </c>
      <c r="E1298" s="65">
        <v>0.0020833333333333333</v>
      </c>
      <c r="F1298" s="65">
        <v>0.4738194444444447</v>
      </c>
      <c r="G1298" s="65" t="s">
        <v>371</v>
      </c>
      <c r="H1298" s="52" t="s">
        <v>165</v>
      </c>
      <c r="I1298" s="52" t="s">
        <v>372</v>
      </c>
      <c r="J1298" s="52" t="s">
        <v>373</v>
      </c>
      <c r="K1298" s="52"/>
      <c r="L1298" s="52"/>
      <c r="M1298" s="52"/>
      <c r="N1298" s="52" t="s">
        <v>70</v>
      </c>
      <c r="O1298" s="69" t="s">
        <v>884</v>
      </c>
      <c r="P1298" s="69" t="s">
        <v>30</v>
      </c>
      <c r="Q1298" s="73" t="s">
        <v>4559</v>
      </c>
      <c r="R1298" s="51" t="b">
        <v>1</v>
      </c>
      <c r="S1298" s="78" t="s">
        <v>372</v>
      </c>
      <c r="T1298" s="52"/>
      <c r="U1298" s="51" t="b">
        <v>0</v>
      </c>
      <c r="V1298" s="51" t="b">
        <v>1</v>
      </c>
      <c r="W1298" s="51" t="b">
        <v>1</v>
      </c>
      <c r="X1298" s="51" t="b">
        <v>1</v>
      </c>
      <c r="Y1298" s="51" t="b">
        <v>0</v>
      </c>
      <c r="Z1298" s="51" t="b">
        <v>0</v>
      </c>
      <c r="AA1298" s="114">
        <v>0.0020601851851851853</v>
      </c>
      <c r="AB1298" s="238" t="s">
        <v>4560</v>
      </c>
      <c r="AC1298" s="119"/>
      <c r="AD1298" s="73" t="s">
        <v>4524</v>
      </c>
      <c r="AE1298" s="56" t="s">
        <v>743</v>
      </c>
      <c r="AF1298" s="56" t="s">
        <v>630</v>
      </c>
    </row>
    <row r="1299">
      <c r="A1299" s="52" t="s">
        <v>4561</v>
      </c>
      <c r="B1299" s="52" t="s">
        <v>19</v>
      </c>
      <c r="C1299" s="52" t="s">
        <v>289</v>
      </c>
      <c r="D1299" s="65">
        <v>0.6923263888888889</v>
      </c>
      <c r="E1299" s="65">
        <v>0.006782407407407407</v>
      </c>
      <c r="F1299" s="65">
        <v>0.6991087962962963</v>
      </c>
      <c r="G1299" s="65" t="s">
        <v>481</v>
      </c>
      <c r="H1299" s="52" t="s">
        <v>74</v>
      </c>
      <c r="I1299" s="52" t="s">
        <v>1480</v>
      </c>
      <c r="J1299" s="52" t="s">
        <v>1481</v>
      </c>
      <c r="K1299" s="52" t="s">
        <v>1482</v>
      </c>
      <c r="L1299" s="52" t="s">
        <v>1483</v>
      </c>
      <c r="M1299" s="52"/>
      <c r="N1299" s="52" t="s">
        <v>1484</v>
      </c>
      <c r="O1299" s="69" t="s">
        <v>791</v>
      </c>
      <c r="P1299" s="69" t="s">
        <v>3871</v>
      </c>
      <c r="Q1299" s="70" t="s">
        <v>4562</v>
      </c>
      <c r="R1299" s="51" t="b">
        <v>1</v>
      </c>
      <c r="S1299" s="52" t="s">
        <v>1480</v>
      </c>
      <c r="T1299" s="52"/>
      <c r="U1299" s="51" t="b">
        <v>0</v>
      </c>
      <c r="V1299" s="51" t="b">
        <v>1</v>
      </c>
      <c r="W1299" s="51" t="b">
        <v>1</v>
      </c>
      <c r="X1299" s="51" t="b">
        <v>0</v>
      </c>
      <c r="Y1299" s="51" t="b">
        <v>1</v>
      </c>
      <c r="Z1299" s="51" t="b">
        <v>0</v>
      </c>
      <c r="AA1299" s="114">
        <v>0.006782407407407407</v>
      </c>
      <c r="AB1299" s="100" t="s">
        <v>4563</v>
      </c>
      <c r="AC1299" s="69" t="s">
        <v>4564</v>
      </c>
      <c r="AD1299" s="230" t="s">
        <v>4565</v>
      </c>
      <c r="AE1299" s="56" t="s">
        <v>629</v>
      </c>
      <c r="AF1299" s="56" t="s">
        <v>847</v>
      </c>
    </row>
    <row r="1300">
      <c r="A1300" s="52" t="s">
        <v>4566</v>
      </c>
      <c r="B1300" s="52" t="s">
        <v>607</v>
      </c>
      <c r="C1300" s="52" t="s">
        <v>607</v>
      </c>
      <c r="D1300" s="65" t="s">
        <v>607</v>
      </c>
      <c r="E1300" s="65" t="s">
        <v>607</v>
      </c>
      <c r="F1300" s="65" t="s">
        <v>607</v>
      </c>
      <c r="G1300" s="65" t="s">
        <v>607</v>
      </c>
      <c r="H1300" s="52" t="s">
        <v>607</v>
      </c>
      <c r="I1300" s="52" t="s">
        <v>607</v>
      </c>
      <c r="J1300" s="52" t="s">
        <v>607</v>
      </c>
      <c r="K1300" s="52" t="s">
        <v>607</v>
      </c>
      <c r="L1300" s="52" t="s">
        <v>607</v>
      </c>
      <c r="M1300" s="52" t="s">
        <v>607</v>
      </c>
      <c r="N1300" s="52" t="s">
        <v>607</v>
      </c>
      <c r="O1300" s="52"/>
      <c r="P1300" s="52"/>
      <c r="Q1300" s="52"/>
      <c r="R1300" s="51" t="b">
        <v>0</v>
      </c>
      <c r="S1300" s="51"/>
      <c r="T1300" s="52"/>
      <c r="U1300" s="51" t="b">
        <v>0</v>
      </c>
      <c r="V1300" s="51" t="b">
        <v>0</v>
      </c>
      <c r="W1300" s="51" t="b">
        <v>0</v>
      </c>
      <c r="X1300" s="51" t="b">
        <v>0</v>
      </c>
      <c r="Y1300" s="51" t="b">
        <v>0</v>
      </c>
      <c r="Z1300" s="51" t="b">
        <v>0</v>
      </c>
      <c r="AA1300" s="68"/>
      <c r="AB1300" s="52"/>
      <c r="AC1300" s="52"/>
      <c r="AD1300" s="52"/>
      <c r="AE1300" s="56" t="s">
        <v>607</v>
      </c>
      <c r="AF1300" s="56" t="s">
        <v>607</v>
      </c>
    </row>
    <row r="1301">
      <c r="A1301" s="52" t="s">
        <v>4567</v>
      </c>
      <c r="B1301" s="52" t="s">
        <v>607</v>
      </c>
      <c r="C1301" s="52" t="s">
        <v>607</v>
      </c>
      <c r="D1301" s="65" t="s">
        <v>607</v>
      </c>
      <c r="E1301" s="65" t="s">
        <v>607</v>
      </c>
      <c r="F1301" s="65" t="s">
        <v>607</v>
      </c>
      <c r="G1301" s="65" t="s">
        <v>607</v>
      </c>
      <c r="H1301" s="52" t="s">
        <v>607</v>
      </c>
      <c r="I1301" s="52" t="s">
        <v>607</v>
      </c>
      <c r="J1301" s="52" t="s">
        <v>607</v>
      </c>
      <c r="K1301" s="52" t="s">
        <v>607</v>
      </c>
      <c r="L1301" s="52" t="s">
        <v>607</v>
      </c>
      <c r="M1301" s="52" t="s">
        <v>607</v>
      </c>
      <c r="N1301" s="52" t="s">
        <v>607</v>
      </c>
      <c r="O1301" s="52"/>
      <c r="P1301" s="52"/>
      <c r="Q1301" s="52"/>
      <c r="R1301" s="51" t="b">
        <v>0</v>
      </c>
      <c r="S1301" s="51"/>
      <c r="T1301" s="52"/>
      <c r="U1301" s="51" t="b">
        <v>0</v>
      </c>
      <c r="V1301" s="51" t="b">
        <v>0</v>
      </c>
      <c r="W1301" s="51" t="b">
        <v>0</v>
      </c>
      <c r="X1301" s="51" t="b">
        <v>0</v>
      </c>
      <c r="Y1301" s="51" t="b">
        <v>0</v>
      </c>
      <c r="Z1301" s="51" t="b">
        <v>0</v>
      </c>
      <c r="AA1301" s="68"/>
      <c r="AB1301" s="52"/>
      <c r="AC1301" s="52"/>
      <c r="AD1301" s="52"/>
      <c r="AE1301" s="56" t="s">
        <v>607</v>
      </c>
      <c r="AF1301" s="56" t="s">
        <v>607</v>
      </c>
    </row>
    <row r="1302">
      <c r="A1302" s="52" t="s">
        <v>4568</v>
      </c>
      <c r="B1302" s="52" t="s">
        <v>607</v>
      </c>
      <c r="C1302" s="52" t="s">
        <v>607</v>
      </c>
      <c r="D1302" s="65" t="s">
        <v>607</v>
      </c>
      <c r="E1302" s="65" t="s">
        <v>607</v>
      </c>
      <c r="F1302" s="65" t="s">
        <v>607</v>
      </c>
      <c r="G1302" s="65" t="s">
        <v>607</v>
      </c>
      <c r="H1302" s="52" t="s">
        <v>607</v>
      </c>
      <c r="I1302" s="52" t="s">
        <v>607</v>
      </c>
      <c r="J1302" s="52" t="s">
        <v>607</v>
      </c>
      <c r="K1302" s="52" t="s">
        <v>607</v>
      </c>
      <c r="L1302" s="52" t="s">
        <v>607</v>
      </c>
      <c r="M1302" s="52" t="s">
        <v>607</v>
      </c>
      <c r="N1302" s="52" t="s">
        <v>607</v>
      </c>
      <c r="O1302" s="52"/>
      <c r="P1302" s="52"/>
      <c r="Q1302" s="52"/>
      <c r="R1302" s="51" t="b">
        <v>0</v>
      </c>
      <c r="S1302" s="51"/>
      <c r="T1302" s="52"/>
      <c r="U1302" s="51" t="b">
        <v>0</v>
      </c>
      <c r="V1302" s="51" t="b">
        <v>0</v>
      </c>
      <c r="W1302" s="51" t="b">
        <v>0</v>
      </c>
      <c r="X1302" s="51" t="b">
        <v>0</v>
      </c>
      <c r="Y1302" s="51" t="b">
        <v>0</v>
      </c>
      <c r="Z1302" s="51" t="b">
        <v>0</v>
      </c>
      <c r="AA1302" s="68"/>
      <c r="AB1302" s="52"/>
      <c r="AC1302" s="52"/>
      <c r="AD1302" s="52"/>
      <c r="AE1302" s="56" t="s">
        <v>607</v>
      </c>
      <c r="AF1302" s="56" t="s">
        <v>607</v>
      </c>
    </row>
    <row r="1303">
      <c r="A1303" s="52" t="s">
        <v>4569</v>
      </c>
      <c r="B1303" s="52" t="s">
        <v>607</v>
      </c>
      <c r="C1303" s="52" t="s">
        <v>607</v>
      </c>
      <c r="D1303" s="65" t="s">
        <v>607</v>
      </c>
      <c r="E1303" s="65" t="s">
        <v>607</v>
      </c>
      <c r="F1303" s="65" t="s">
        <v>607</v>
      </c>
      <c r="G1303" s="65" t="s">
        <v>607</v>
      </c>
      <c r="H1303" s="52" t="s">
        <v>607</v>
      </c>
      <c r="I1303" s="52" t="s">
        <v>607</v>
      </c>
      <c r="J1303" s="52" t="s">
        <v>607</v>
      </c>
      <c r="K1303" s="52" t="s">
        <v>607</v>
      </c>
      <c r="L1303" s="52" t="s">
        <v>607</v>
      </c>
      <c r="M1303" s="52" t="s">
        <v>607</v>
      </c>
      <c r="N1303" s="52" t="s">
        <v>607</v>
      </c>
      <c r="O1303" s="52"/>
      <c r="P1303" s="52"/>
      <c r="Q1303" s="52"/>
      <c r="R1303" s="51" t="b">
        <v>0</v>
      </c>
      <c r="S1303" s="51"/>
      <c r="T1303" s="52"/>
      <c r="U1303" s="51" t="b">
        <v>0</v>
      </c>
      <c r="V1303" s="51" t="b">
        <v>0</v>
      </c>
      <c r="W1303" s="51" t="b">
        <v>0</v>
      </c>
      <c r="X1303" s="51" t="b">
        <v>0</v>
      </c>
      <c r="Y1303" s="51" t="b">
        <v>0</v>
      </c>
      <c r="Z1303" s="51" t="b">
        <v>0</v>
      </c>
      <c r="AA1303" s="68"/>
      <c r="AB1303" s="52"/>
      <c r="AC1303" s="52"/>
      <c r="AD1303" s="52"/>
      <c r="AE1303" s="56" t="s">
        <v>607</v>
      </c>
      <c r="AF1303" s="56" t="s">
        <v>607</v>
      </c>
    </row>
    <row r="1304">
      <c r="A1304" s="52" t="s">
        <v>4570</v>
      </c>
      <c r="B1304" s="52" t="s">
        <v>607</v>
      </c>
      <c r="C1304" s="52" t="s">
        <v>607</v>
      </c>
      <c r="D1304" s="65" t="s">
        <v>607</v>
      </c>
      <c r="E1304" s="65" t="s">
        <v>607</v>
      </c>
      <c r="F1304" s="65" t="s">
        <v>607</v>
      </c>
      <c r="G1304" s="65" t="s">
        <v>607</v>
      </c>
      <c r="H1304" s="52" t="s">
        <v>607</v>
      </c>
      <c r="I1304" s="52" t="s">
        <v>607</v>
      </c>
      <c r="J1304" s="52" t="s">
        <v>607</v>
      </c>
      <c r="K1304" s="52" t="s">
        <v>607</v>
      </c>
      <c r="L1304" s="52" t="s">
        <v>607</v>
      </c>
      <c r="M1304" s="52" t="s">
        <v>607</v>
      </c>
      <c r="N1304" s="52" t="s">
        <v>607</v>
      </c>
      <c r="O1304" s="52"/>
      <c r="P1304" s="52"/>
      <c r="Q1304" s="52"/>
      <c r="R1304" s="51" t="b">
        <v>0</v>
      </c>
      <c r="S1304" s="51"/>
      <c r="T1304" s="52"/>
      <c r="U1304" s="51" t="b">
        <v>0</v>
      </c>
      <c r="V1304" s="51" t="b">
        <v>0</v>
      </c>
      <c r="W1304" s="51" t="b">
        <v>0</v>
      </c>
      <c r="X1304" s="51" t="b">
        <v>0</v>
      </c>
      <c r="Y1304" s="51" t="b">
        <v>0</v>
      </c>
      <c r="Z1304" s="51" t="b">
        <v>0</v>
      </c>
      <c r="AA1304" s="68"/>
      <c r="AB1304" s="52"/>
      <c r="AC1304" s="52"/>
      <c r="AD1304" s="52"/>
      <c r="AE1304" s="56" t="s">
        <v>607</v>
      </c>
      <c r="AF1304" s="56" t="s">
        <v>607</v>
      </c>
    </row>
    <row r="1305">
      <c r="A1305" s="52" t="s">
        <v>4571</v>
      </c>
      <c r="B1305" s="52" t="s">
        <v>607</v>
      </c>
      <c r="C1305" s="52" t="s">
        <v>607</v>
      </c>
      <c r="D1305" s="65" t="s">
        <v>607</v>
      </c>
      <c r="E1305" s="65" t="s">
        <v>607</v>
      </c>
      <c r="F1305" s="65" t="s">
        <v>607</v>
      </c>
      <c r="G1305" s="65" t="s">
        <v>607</v>
      </c>
      <c r="H1305" s="52" t="s">
        <v>607</v>
      </c>
      <c r="I1305" s="52" t="s">
        <v>607</v>
      </c>
      <c r="J1305" s="52" t="s">
        <v>607</v>
      </c>
      <c r="K1305" s="52" t="s">
        <v>607</v>
      </c>
      <c r="L1305" s="52" t="s">
        <v>607</v>
      </c>
      <c r="M1305" s="52" t="s">
        <v>607</v>
      </c>
      <c r="N1305" s="52" t="s">
        <v>607</v>
      </c>
      <c r="O1305" s="52"/>
      <c r="P1305" s="52"/>
      <c r="Q1305" s="52"/>
      <c r="R1305" s="51" t="b">
        <v>0</v>
      </c>
      <c r="S1305" s="51"/>
      <c r="T1305" s="52"/>
      <c r="U1305" s="51" t="b">
        <v>0</v>
      </c>
      <c r="V1305" s="51" t="b">
        <v>0</v>
      </c>
      <c r="W1305" s="51" t="b">
        <v>0</v>
      </c>
      <c r="X1305" s="51" t="b">
        <v>0</v>
      </c>
      <c r="Y1305" s="51" t="b">
        <v>0</v>
      </c>
      <c r="Z1305" s="51" t="b">
        <v>0</v>
      </c>
      <c r="AA1305" s="68"/>
      <c r="AB1305" s="52"/>
      <c r="AC1305" s="52"/>
      <c r="AD1305" s="52"/>
      <c r="AE1305" s="56" t="s">
        <v>607</v>
      </c>
      <c r="AF1305" s="56" t="s">
        <v>607</v>
      </c>
    </row>
    <row r="1306">
      <c r="A1306" s="52" t="s">
        <v>4572</v>
      </c>
      <c r="B1306" s="52" t="s">
        <v>607</v>
      </c>
      <c r="C1306" s="52" t="s">
        <v>607</v>
      </c>
      <c r="D1306" s="65" t="s">
        <v>607</v>
      </c>
      <c r="E1306" s="65" t="s">
        <v>607</v>
      </c>
      <c r="F1306" s="65" t="s">
        <v>607</v>
      </c>
      <c r="G1306" s="65" t="s">
        <v>607</v>
      </c>
      <c r="H1306" s="52" t="s">
        <v>607</v>
      </c>
      <c r="I1306" s="52" t="s">
        <v>607</v>
      </c>
      <c r="J1306" s="52" t="s">
        <v>607</v>
      </c>
      <c r="K1306" s="52" t="s">
        <v>607</v>
      </c>
      <c r="L1306" s="52" t="s">
        <v>607</v>
      </c>
      <c r="M1306" s="52" t="s">
        <v>607</v>
      </c>
      <c r="N1306" s="52" t="s">
        <v>607</v>
      </c>
      <c r="O1306" s="52"/>
      <c r="P1306" s="52"/>
      <c r="Q1306" s="52"/>
      <c r="R1306" s="51" t="b">
        <v>0</v>
      </c>
      <c r="S1306" s="51"/>
      <c r="T1306" s="52"/>
      <c r="U1306" s="51" t="b">
        <v>0</v>
      </c>
      <c r="V1306" s="51" t="b">
        <v>0</v>
      </c>
      <c r="W1306" s="51" t="b">
        <v>0</v>
      </c>
      <c r="X1306" s="51" t="b">
        <v>0</v>
      </c>
      <c r="Y1306" s="51" t="b">
        <v>0</v>
      </c>
      <c r="Z1306" s="51" t="b">
        <v>0</v>
      </c>
      <c r="AA1306" s="68"/>
      <c r="AB1306" s="52"/>
      <c r="AC1306" s="52"/>
      <c r="AD1306" s="52"/>
      <c r="AE1306" s="56" t="s">
        <v>607</v>
      </c>
      <c r="AF1306" s="56" t="s">
        <v>607</v>
      </c>
    </row>
    <row r="1307">
      <c r="A1307" s="52" t="s">
        <v>4573</v>
      </c>
      <c r="B1307" s="52" t="s">
        <v>607</v>
      </c>
      <c r="C1307" s="52" t="s">
        <v>607</v>
      </c>
      <c r="D1307" s="65" t="s">
        <v>607</v>
      </c>
      <c r="E1307" s="65" t="s">
        <v>607</v>
      </c>
      <c r="F1307" s="65" t="s">
        <v>607</v>
      </c>
      <c r="G1307" s="65" t="s">
        <v>607</v>
      </c>
      <c r="H1307" s="52" t="s">
        <v>607</v>
      </c>
      <c r="I1307" s="52" t="s">
        <v>607</v>
      </c>
      <c r="J1307" s="52" t="s">
        <v>607</v>
      </c>
      <c r="K1307" s="52" t="s">
        <v>607</v>
      </c>
      <c r="L1307" s="52" t="s">
        <v>607</v>
      </c>
      <c r="M1307" s="52" t="s">
        <v>607</v>
      </c>
      <c r="N1307" s="52" t="s">
        <v>607</v>
      </c>
      <c r="O1307" s="52"/>
      <c r="P1307" s="52"/>
      <c r="Q1307" s="52"/>
      <c r="R1307" s="51" t="b">
        <v>0</v>
      </c>
      <c r="S1307" s="51"/>
      <c r="T1307" s="52"/>
      <c r="U1307" s="51" t="b">
        <v>0</v>
      </c>
      <c r="V1307" s="51" t="b">
        <v>0</v>
      </c>
      <c r="W1307" s="51" t="b">
        <v>0</v>
      </c>
      <c r="X1307" s="51" t="b">
        <v>0</v>
      </c>
      <c r="Y1307" s="51" t="b">
        <v>0</v>
      </c>
      <c r="Z1307" s="51" t="b">
        <v>0</v>
      </c>
      <c r="AA1307" s="68"/>
      <c r="AB1307" s="52"/>
      <c r="AC1307" s="52"/>
      <c r="AD1307" s="52"/>
      <c r="AE1307" s="56" t="s">
        <v>607</v>
      </c>
      <c r="AF1307" s="56" t="s">
        <v>607</v>
      </c>
    </row>
    <row r="1308">
      <c r="A1308" s="52" t="s">
        <v>4574</v>
      </c>
      <c r="B1308" s="52" t="s">
        <v>607</v>
      </c>
      <c r="C1308" s="52" t="s">
        <v>607</v>
      </c>
      <c r="D1308" s="65" t="s">
        <v>607</v>
      </c>
      <c r="E1308" s="65" t="s">
        <v>607</v>
      </c>
      <c r="F1308" s="65" t="s">
        <v>607</v>
      </c>
      <c r="G1308" s="65" t="s">
        <v>607</v>
      </c>
      <c r="H1308" s="52" t="s">
        <v>607</v>
      </c>
      <c r="I1308" s="52" t="s">
        <v>607</v>
      </c>
      <c r="J1308" s="52" t="s">
        <v>607</v>
      </c>
      <c r="K1308" s="52" t="s">
        <v>607</v>
      </c>
      <c r="L1308" s="52" t="s">
        <v>607</v>
      </c>
      <c r="M1308" s="52" t="s">
        <v>607</v>
      </c>
      <c r="N1308" s="52" t="s">
        <v>607</v>
      </c>
      <c r="O1308" s="52"/>
      <c r="P1308" s="52"/>
      <c r="Q1308" s="52"/>
      <c r="R1308" s="51" t="b">
        <v>0</v>
      </c>
      <c r="S1308" s="51"/>
      <c r="T1308" s="52"/>
      <c r="U1308" s="51" t="b">
        <v>0</v>
      </c>
      <c r="V1308" s="51" t="b">
        <v>0</v>
      </c>
      <c r="W1308" s="51" t="b">
        <v>0</v>
      </c>
      <c r="X1308" s="51" t="b">
        <v>0</v>
      </c>
      <c r="Y1308" s="51" t="b">
        <v>0</v>
      </c>
      <c r="Z1308" s="51" t="b">
        <v>0</v>
      </c>
      <c r="AA1308" s="68"/>
      <c r="AB1308" s="52"/>
      <c r="AC1308" s="52"/>
      <c r="AD1308" s="52"/>
      <c r="AE1308" s="56" t="s">
        <v>607</v>
      </c>
      <c r="AF1308" s="56" t="s">
        <v>607</v>
      </c>
    </row>
    <row r="1309">
      <c r="A1309" s="52" t="s">
        <v>4575</v>
      </c>
      <c r="B1309" s="52" t="s">
        <v>607</v>
      </c>
      <c r="C1309" s="52" t="s">
        <v>607</v>
      </c>
      <c r="D1309" s="65" t="s">
        <v>607</v>
      </c>
      <c r="E1309" s="65" t="s">
        <v>607</v>
      </c>
      <c r="F1309" s="65" t="s">
        <v>607</v>
      </c>
      <c r="G1309" s="65" t="s">
        <v>607</v>
      </c>
      <c r="H1309" s="52" t="s">
        <v>607</v>
      </c>
      <c r="I1309" s="52" t="s">
        <v>607</v>
      </c>
      <c r="J1309" s="52" t="s">
        <v>607</v>
      </c>
      <c r="K1309" s="52" t="s">
        <v>607</v>
      </c>
      <c r="L1309" s="52" t="s">
        <v>607</v>
      </c>
      <c r="M1309" s="52" t="s">
        <v>607</v>
      </c>
      <c r="N1309" s="52" t="s">
        <v>607</v>
      </c>
      <c r="O1309" s="52"/>
      <c r="P1309" s="52"/>
      <c r="Q1309" s="52"/>
      <c r="R1309" s="51" t="b">
        <v>0</v>
      </c>
      <c r="S1309" s="51"/>
      <c r="T1309" s="52"/>
      <c r="U1309" s="51" t="b">
        <v>0</v>
      </c>
      <c r="V1309" s="51" t="b">
        <v>0</v>
      </c>
      <c r="W1309" s="51" t="b">
        <v>0</v>
      </c>
      <c r="X1309" s="51" t="b">
        <v>0</v>
      </c>
      <c r="Y1309" s="51" t="b">
        <v>0</v>
      </c>
      <c r="Z1309" s="51" t="b">
        <v>0</v>
      </c>
      <c r="AA1309" s="68"/>
      <c r="AB1309" s="52"/>
      <c r="AC1309" s="52"/>
      <c r="AD1309" s="52"/>
      <c r="AE1309" s="56" t="s">
        <v>607</v>
      </c>
      <c r="AF1309" s="56" t="s">
        <v>607</v>
      </c>
    </row>
    <row r="1310">
      <c r="A1310" s="52" t="s">
        <v>4576</v>
      </c>
      <c r="B1310" s="52" t="s">
        <v>607</v>
      </c>
      <c r="C1310" s="52" t="s">
        <v>607</v>
      </c>
      <c r="D1310" s="65" t="s">
        <v>607</v>
      </c>
      <c r="E1310" s="65" t="s">
        <v>607</v>
      </c>
      <c r="F1310" s="65" t="s">
        <v>607</v>
      </c>
      <c r="G1310" s="65" t="s">
        <v>607</v>
      </c>
      <c r="H1310" s="52" t="s">
        <v>607</v>
      </c>
      <c r="I1310" s="52" t="s">
        <v>607</v>
      </c>
      <c r="J1310" s="52" t="s">
        <v>607</v>
      </c>
      <c r="K1310" s="52" t="s">
        <v>607</v>
      </c>
      <c r="L1310" s="52" t="s">
        <v>607</v>
      </c>
      <c r="M1310" s="52" t="s">
        <v>607</v>
      </c>
      <c r="N1310" s="52" t="s">
        <v>607</v>
      </c>
      <c r="O1310" s="52"/>
      <c r="P1310" s="52"/>
      <c r="Q1310" s="52"/>
      <c r="R1310" s="51" t="b">
        <v>0</v>
      </c>
      <c r="S1310" s="51"/>
      <c r="T1310" s="52"/>
      <c r="U1310" s="51" t="b">
        <v>0</v>
      </c>
      <c r="V1310" s="51" t="b">
        <v>0</v>
      </c>
      <c r="W1310" s="51" t="b">
        <v>0</v>
      </c>
      <c r="X1310" s="51" t="b">
        <v>0</v>
      </c>
      <c r="Y1310" s="51" t="b">
        <v>0</v>
      </c>
      <c r="Z1310" s="51" t="b">
        <v>0</v>
      </c>
      <c r="AA1310" s="68"/>
      <c r="AB1310" s="52"/>
      <c r="AC1310" s="52"/>
      <c r="AD1310" s="52"/>
      <c r="AE1310" s="56" t="s">
        <v>607</v>
      </c>
      <c r="AF1310" s="56" t="s">
        <v>607</v>
      </c>
    </row>
    <row r="1311">
      <c r="A1311" s="52" t="s">
        <v>4577</v>
      </c>
      <c r="B1311" s="52" t="s">
        <v>607</v>
      </c>
      <c r="C1311" s="52" t="s">
        <v>607</v>
      </c>
      <c r="D1311" s="65" t="s">
        <v>607</v>
      </c>
      <c r="E1311" s="65" t="s">
        <v>607</v>
      </c>
      <c r="F1311" s="65" t="s">
        <v>607</v>
      </c>
      <c r="G1311" s="65" t="s">
        <v>607</v>
      </c>
      <c r="H1311" s="52" t="s">
        <v>607</v>
      </c>
      <c r="I1311" s="52" t="s">
        <v>607</v>
      </c>
      <c r="J1311" s="52" t="s">
        <v>607</v>
      </c>
      <c r="K1311" s="52" t="s">
        <v>607</v>
      </c>
      <c r="L1311" s="52" t="s">
        <v>607</v>
      </c>
      <c r="M1311" s="52" t="s">
        <v>607</v>
      </c>
      <c r="N1311" s="52" t="s">
        <v>607</v>
      </c>
      <c r="O1311" s="52"/>
      <c r="P1311" s="52"/>
      <c r="Q1311" s="52"/>
      <c r="R1311" s="51" t="b">
        <v>0</v>
      </c>
      <c r="S1311" s="51"/>
      <c r="T1311" s="52"/>
      <c r="U1311" s="51" t="b">
        <v>0</v>
      </c>
      <c r="V1311" s="51" t="b">
        <v>0</v>
      </c>
      <c r="W1311" s="51" t="b">
        <v>0</v>
      </c>
      <c r="X1311" s="51" t="b">
        <v>0</v>
      </c>
      <c r="Y1311" s="51" t="b">
        <v>0</v>
      </c>
      <c r="Z1311" s="51" t="b">
        <v>0</v>
      </c>
      <c r="AA1311" s="68"/>
      <c r="AB1311" s="52"/>
      <c r="AC1311" s="52"/>
      <c r="AD1311" s="52"/>
      <c r="AE1311" s="56" t="s">
        <v>607</v>
      </c>
      <c r="AF1311" s="56" t="s">
        <v>607</v>
      </c>
    </row>
    <row r="1312">
      <c r="A1312" s="52" t="s">
        <v>4578</v>
      </c>
      <c r="B1312" s="52" t="s">
        <v>607</v>
      </c>
      <c r="C1312" s="52" t="s">
        <v>607</v>
      </c>
      <c r="D1312" s="65" t="s">
        <v>607</v>
      </c>
      <c r="E1312" s="65" t="s">
        <v>607</v>
      </c>
      <c r="F1312" s="65" t="s">
        <v>607</v>
      </c>
      <c r="G1312" s="65" t="s">
        <v>607</v>
      </c>
      <c r="H1312" s="52" t="s">
        <v>607</v>
      </c>
      <c r="I1312" s="52" t="s">
        <v>607</v>
      </c>
      <c r="J1312" s="52" t="s">
        <v>607</v>
      </c>
      <c r="K1312" s="52" t="s">
        <v>607</v>
      </c>
      <c r="L1312" s="52" t="s">
        <v>607</v>
      </c>
      <c r="M1312" s="52" t="s">
        <v>607</v>
      </c>
      <c r="N1312" s="52" t="s">
        <v>607</v>
      </c>
      <c r="O1312" s="52"/>
      <c r="P1312" s="52"/>
      <c r="Q1312" s="52"/>
      <c r="R1312" s="51" t="b">
        <v>0</v>
      </c>
      <c r="S1312" s="51"/>
      <c r="T1312" s="52"/>
      <c r="U1312" s="51" t="b">
        <v>0</v>
      </c>
      <c r="V1312" s="51" t="b">
        <v>0</v>
      </c>
      <c r="W1312" s="51" t="b">
        <v>0</v>
      </c>
      <c r="X1312" s="51" t="b">
        <v>0</v>
      </c>
      <c r="Y1312" s="51" t="b">
        <v>0</v>
      </c>
      <c r="Z1312" s="51" t="b">
        <v>0</v>
      </c>
      <c r="AA1312" s="68"/>
      <c r="AB1312" s="52"/>
      <c r="AC1312" s="52"/>
      <c r="AD1312" s="52"/>
      <c r="AE1312" s="56" t="s">
        <v>607</v>
      </c>
      <c r="AF1312" s="56" t="s">
        <v>607</v>
      </c>
    </row>
    <row r="1313">
      <c r="A1313" s="52" t="s">
        <v>4579</v>
      </c>
      <c r="B1313" s="52" t="s">
        <v>607</v>
      </c>
      <c r="C1313" s="52" t="s">
        <v>607</v>
      </c>
      <c r="D1313" s="65" t="s">
        <v>607</v>
      </c>
      <c r="E1313" s="65" t="s">
        <v>607</v>
      </c>
      <c r="F1313" s="65" t="s">
        <v>607</v>
      </c>
      <c r="G1313" s="65" t="s">
        <v>607</v>
      </c>
      <c r="H1313" s="52" t="s">
        <v>607</v>
      </c>
      <c r="I1313" s="52" t="s">
        <v>607</v>
      </c>
      <c r="J1313" s="52" t="s">
        <v>607</v>
      </c>
      <c r="K1313" s="52" t="s">
        <v>607</v>
      </c>
      <c r="L1313" s="52" t="s">
        <v>607</v>
      </c>
      <c r="M1313" s="52" t="s">
        <v>607</v>
      </c>
      <c r="N1313" s="52" t="s">
        <v>607</v>
      </c>
      <c r="O1313" s="52"/>
      <c r="P1313" s="52"/>
      <c r="Q1313" s="52"/>
      <c r="R1313" s="51" t="b">
        <v>0</v>
      </c>
      <c r="S1313" s="51"/>
      <c r="T1313" s="52"/>
      <c r="U1313" s="51" t="b">
        <v>0</v>
      </c>
      <c r="V1313" s="51" t="b">
        <v>0</v>
      </c>
      <c r="W1313" s="51" t="b">
        <v>0</v>
      </c>
      <c r="X1313" s="51" t="b">
        <v>0</v>
      </c>
      <c r="Y1313" s="51" t="b">
        <v>0</v>
      </c>
      <c r="Z1313" s="51" t="b">
        <v>0</v>
      </c>
      <c r="AA1313" s="68"/>
      <c r="AB1313" s="52"/>
      <c r="AC1313" s="52"/>
      <c r="AD1313" s="52"/>
      <c r="AE1313" s="56" t="s">
        <v>607</v>
      </c>
      <c r="AF1313" s="56" t="s">
        <v>607</v>
      </c>
    </row>
    <row r="1314">
      <c r="A1314" s="52" t="s">
        <v>4580</v>
      </c>
      <c r="B1314" s="52" t="s">
        <v>607</v>
      </c>
      <c r="C1314" s="52" t="s">
        <v>607</v>
      </c>
      <c r="D1314" s="65" t="s">
        <v>607</v>
      </c>
      <c r="E1314" s="65" t="s">
        <v>607</v>
      </c>
      <c r="F1314" s="65" t="s">
        <v>607</v>
      </c>
      <c r="G1314" s="65" t="s">
        <v>607</v>
      </c>
      <c r="H1314" s="52" t="s">
        <v>607</v>
      </c>
      <c r="I1314" s="52" t="s">
        <v>607</v>
      </c>
      <c r="J1314" s="52" t="s">
        <v>607</v>
      </c>
      <c r="K1314" s="52" t="s">
        <v>607</v>
      </c>
      <c r="L1314" s="52" t="s">
        <v>607</v>
      </c>
      <c r="M1314" s="52" t="s">
        <v>607</v>
      </c>
      <c r="N1314" s="52" t="s">
        <v>607</v>
      </c>
      <c r="O1314" s="52"/>
      <c r="P1314" s="52"/>
      <c r="Q1314" s="52"/>
      <c r="R1314" s="51" t="b">
        <v>0</v>
      </c>
      <c r="S1314" s="51"/>
      <c r="T1314" s="52"/>
      <c r="U1314" s="51" t="b">
        <v>0</v>
      </c>
      <c r="V1314" s="51" t="b">
        <v>0</v>
      </c>
      <c r="W1314" s="51" t="b">
        <v>0</v>
      </c>
      <c r="X1314" s="51" t="b">
        <v>0</v>
      </c>
      <c r="Y1314" s="51" t="b">
        <v>0</v>
      </c>
      <c r="Z1314" s="51" t="b">
        <v>0</v>
      </c>
      <c r="AA1314" s="68"/>
      <c r="AB1314" s="52"/>
      <c r="AC1314" s="52"/>
      <c r="AD1314" s="52"/>
      <c r="AE1314" s="56" t="s">
        <v>607</v>
      </c>
      <c r="AF1314" s="56" t="s">
        <v>607</v>
      </c>
    </row>
    <row r="1315">
      <c r="A1315" s="52" t="s">
        <v>4581</v>
      </c>
      <c r="B1315" s="52" t="s">
        <v>607</v>
      </c>
      <c r="C1315" s="52" t="s">
        <v>607</v>
      </c>
      <c r="D1315" s="65" t="s">
        <v>607</v>
      </c>
      <c r="E1315" s="65" t="s">
        <v>607</v>
      </c>
      <c r="F1315" s="65" t="s">
        <v>607</v>
      </c>
      <c r="G1315" s="65" t="s">
        <v>607</v>
      </c>
      <c r="H1315" s="52" t="s">
        <v>607</v>
      </c>
      <c r="I1315" s="52" t="s">
        <v>607</v>
      </c>
      <c r="J1315" s="52" t="s">
        <v>607</v>
      </c>
      <c r="K1315" s="52" t="s">
        <v>607</v>
      </c>
      <c r="L1315" s="52" t="s">
        <v>607</v>
      </c>
      <c r="M1315" s="52" t="s">
        <v>607</v>
      </c>
      <c r="N1315" s="52" t="s">
        <v>607</v>
      </c>
      <c r="O1315" s="52"/>
      <c r="P1315" s="52"/>
      <c r="Q1315" s="52"/>
      <c r="R1315" s="51" t="b">
        <v>0</v>
      </c>
      <c r="S1315" s="51"/>
      <c r="T1315" s="52"/>
      <c r="U1315" s="51" t="b">
        <v>0</v>
      </c>
      <c r="V1315" s="51" t="b">
        <v>0</v>
      </c>
      <c r="W1315" s="51" t="b">
        <v>0</v>
      </c>
      <c r="X1315" s="51" t="b">
        <v>0</v>
      </c>
      <c r="Y1315" s="51" t="b">
        <v>0</v>
      </c>
      <c r="Z1315" s="51" t="b">
        <v>0</v>
      </c>
      <c r="AA1315" s="68"/>
      <c r="AB1315" s="52"/>
      <c r="AC1315" s="52"/>
      <c r="AD1315" s="52"/>
      <c r="AE1315" s="56" t="s">
        <v>607</v>
      </c>
      <c r="AF1315" s="56" t="s">
        <v>607</v>
      </c>
    </row>
    <row r="1316">
      <c r="A1316" s="52" t="s">
        <v>4582</v>
      </c>
      <c r="B1316" s="52" t="s">
        <v>607</v>
      </c>
      <c r="C1316" s="52" t="s">
        <v>607</v>
      </c>
      <c r="D1316" s="65" t="s">
        <v>607</v>
      </c>
      <c r="E1316" s="65" t="s">
        <v>607</v>
      </c>
      <c r="F1316" s="65" t="s">
        <v>607</v>
      </c>
      <c r="G1316" s="65" t="s">
        <v>607</v>
      </c>
      <c r="H1316" s="52" t="s">
        <v>607</v>
      </c>
      <c r="I1316" s="52" t="s">
        <v>607</v>
      </c>
      <c r="J1316" s="52" t="s">
        <v>607</v>
      </c>
      <c r="K1316" s="52" t="s">
        <v>607</v>
      </c>
      <c r="L1316" s="52" t="s">
        <v>607</v>
      </c>
      <c r="M1316" s="52" t="s">
        <v>607</v>
      </c>
      <c r="N1316" s="52" t="s">
        <v>607</v>
      </c>
      <c r="O1316" s="52"/>
      <c r="P1316" s="52"/>
      <c r="Q1316" s="52"/>
      <c r="R1316" s="51" t="b">
        <v>0</v>
      </c>
      <c r="S1316" s="51"/>
      <c r="T1316" s="52"/>
      <c r="U1316" s="51" t="b">
        <v>0</v>
      </c>
      <c r="V1316" s="51" t="b">
        <v>0</v>
      </c>
      <c r="W1316" s="51" t="b">
        <v>0</v>
      </c>
      <c r="X1316" s="51" t="b">
        <v>0</v>
      </c>
      <c r="Y1316" s="51" t="b">
        <v>0</v>
      </c>
      <c r="Z1316" s="51" t="b">
        <v>0</v>
      </c>
      <c r="AA1316" s="68"/>
      <c r="AB1316" s="52"/>
      <c r="AC1316" s="52"/>
      <c r="AD1316" s="52"/>
      <c r="AE1316" s="56" t="s">
        <v>607</v>
      </c>
      <c r="AF1316" s="56" t="s">
        <v>607</v>
      </c>
    </row>
    <row r="1317">
      <c r="A1317" s="52" t="s">
        <v>4583</v>
      </c>
      <c r="B1317" s="52" t="s">
        <v>607</v>
      </c>
      <c r="C1317" s="52" t="s">
        <v>607</v>
      </c>
      <c r="D1317" s="65" t="s">
        <v>607</v>
      </c>
      <c r="E1317" s="65" t="s">
        <v>607</v>
      </c>
      <c r="F1317" s="65" t="s">
        <v>607</v>
      </c>
      <c r="G1317" s="65" t="s">
        <v>607</v>
      </c>
      <c r="H1317" s="52" t="s">
        <v>607</v>
      </c>
      <c r="I1317" s="52" t="s">
        <v>607</v>
      </c>
      <c r="J1317" s="52" t="s">
        <v>607</v>
      </c>
      <c r="K1317" s="52" t="s">
        <v>607</v>
      </c>
      <c r="L1317" s="52" t="s">
        <v>607</v>
      </c>
      <c r="M1317" s="52" t="s">
        <v>607</v>
      </c>
      <c r="N1317" s="52" t="s">
        <v>607</v>
      </c>
      <c r="O1317" s="52"/>
      <c r="P1317" s="52"/>
      <c r="Q1317" s="52"/>
      <c r="R1317" s="51" t="b">
        <v>0</v>
      </c>
      <c r="S1317" s="51"/>
      <c r="T1317" s="52"/>
      <c r="U1317" s="51" t="b">
        <v>0</v>
      </c>
      <c r="V1317" s="51" t="b">
        <v>0</v>
      </c>
      <c r="W1317" s="51" t="b">
        <v>0</v>
      </c>
      <c r="X1317" s="51" t="b">
        <v>0</v>
      </c>
      <c r="Y1317" s="51" t="b">
        <v>0</v>
      </c>
      <c r="Z1317" s="51" t="b">
        <v>0</v>
      </c>
      <c r="AA1317" s="68"/>
      <c r="AB1317" s="52"/>
      <c r="AC1317" s="52"/>
      <c r="AD1317" s="52"/>
      <c r="AE1317" s="56" t="s">
        <v>607</v>
      </c>
      <c r="AF1317" s="56" t="s">
        <v>607</v>
      </c>
    </row>
    <row r="1318">
      <c r="A1318" s="52" t="s">
        <v>4584</v>
      </c>
      <c r="B1318" s="52" t="s">
        <v>607</v>
      </c>
      <c r="C1318" s="52" t="s">
        <v>607</v>
      </c>
      <c r="D1318" s="65" t="s">
        <v>607</v>
      </c>
      <c r="E1318" s="65" t="s">
        <v>607</v>
      </c>
      <c r="F1318" s="65" t="s">
        <v>607</v>
      </c>
      <c r="G1318" s="65" t="s">
        <v>607</v>
      </c>
      <c r="H1318" s="52" t="s">
        <v>607</v>
      </c>
      <c r="I1318" s="52" t="s">
        <v>607</v>
      </c>
      <c r="J1318" s="52" t="s">
        <v>607</v>
      </c>
      <c r="K1318" s="52" t="s">
        <v>607</v>
      </c>
      <c r="L1318" s="52" t="s">
        <v>607</v>
      </c>
      <c r="M1318" s="52" t="s">
        <v>607</v>
      </c>
      <c r="N1318" s="52" t="s">
        <v>607</v>
      </c>
      <c r="O1318" s="52"/>
      <c r="P1318" s="52"/>
      <c r="Q1318" s="52"/>
      <c r="R1318" s="51" t="b">
        <v>0</v>
      </c>
      <c r="S1318" s="51"/>
      <c r="T1318" s="52"/>
      <c r="U1318" s="51" t="b">
        <v>0</v>
      </c>
      <c r="V1318" s="51" t="b">
        <v>0</v>
      </c>
      <c r="W1318" s="51" t="b">
        <v>0</v>
      </c>
      <c r="X1318" s="51" t="b">
        <v>0</v>
      </c>
      <c r="Y1318" s="51" t="b">
        <v>0</v>
      </c>
      <c r="Z1318" s="51" t="b">
        <v>0</v>
      </c>
      <c r="AA1318" s="68"/>
      <c r="AB1318" s="52"/>
      <c r="AC1318" s="52"/>
      <c r="AD1318" s="52"/>
      <c r="AE1318" s="56" t="s">
        <v>607</v>
      </c>
      <c r="AF1318" s="56" t="s">
        <v>607</v>
      </c>
    </row>
    <row r="1319">
      <c r="A1319" s="52" t="s">
        <v>4585</v>
      </c>
      <c r="B1319" s="52" t="s">
        <v>607</v>
      </c>
      <c r="C1319" s="52" t="s">
        <v>607</v>
      </c>
      <c r="D1319" s="65" t="s">
        <v>607</v>
      </c>
      <c r="E1319" s="65" t="s">
        <v>607</v>
      </c>
      <c r="F1319" s="65" t="s">
        <v>607</v>
      </c>
      <c r="G1319" s="65" t="s">
        <v>607</v>
      </c>
      <c r="H1319" s="52" t="s">
        <v>607</v>
      </c>
      <c r="I1319" s="52" t="s">
        <v>607</v>
      </c>
      <c r="J1319" s="52" t="s">
        <v>607</v>
      </c>
      <c r="K1319" s="52" t="s">
        <v>607</v>
      </c>
      <c r="L1319" s="52" t="s">
        <v>607</v>
      </c>
      <c r="M1319" s="52" t="s">
        <v>607</v>
      </c>
      <c r="N1319" s="52" t="s">
        <v>607</v>
      </c>
      <c r="O1319" s="52"/>
      <c r="P1319" s="52"/>
      <c r="Q1319" s="52"/>
      <c r="R1319" s="51" t="b">
        <v>0</v>
      </c>
      <c r="S1319" s="51"/>
      <c r="T1319" s="52"/>
      <c r="U1319" s="51" t="b">
        <v>0</v>
      </c>
      <c r="V1319" s="51" t="b">
        <v>0</v>
      </c>
      <c r="W1319" s="51" t="b">
        <v>0</v>
      </c>
      <c r="X1319" s="51" t="b">
        <v>0</v>
      </c>
      <c r="Y1319" s="51" t="b">
        <v>0</v>
      </c>
      <c r="Z1319" s="51" t="b">
        <v>0</v>
      </c>
      <c r="AA1319" s="68"/>
      <c r="AB1319" s="52"/>
      <c r="AC1319" s="52"/>
      <c r="AD1319" s="52"/>
      <c r="AE1319" s="56" t="s">
        <v>607</v>
      </c>
      <c r="AF1319" s="56" t="s">
        <v>607</v>
      </c>
    </row>
    <row r="1320">
      <c r="A1320" s="52" t="s">
        <v>4586</v>
      </c>
      <c r="B1320" s="52" t="s">
        <v>607</v>
      </c>
      <c r="C1320" s="52" t="s">
        <v>607</v>
      </c>
      <c r="D1320" s="65" t="s">
        <v>607</v>
      </c>
      <c r="E1320" s="65" t="s">
        <v>607</v>
      </c>
      <c r="F1320" s="65" t="s">
        <v>607</v>
      </c>
      <c r="G1320" s="65" t="s">
        <v>607</v>
      </c>
      <c r="H1320" s="52" t="s">
        <v>607</v>
      </c>
      <c r="I1320" s="52" t="s">
        <v>607</v>
      </c>
      <c r="J1320" s="52" t="s">
        <v>607</v>
      </c>
      <c r="K1320" s="52" t="s">
        <v>607</v>
      </c>
      <c r="L1320" s="52" t="s">
        <v>607</v>
      </c>
      <c r="M1320" s="52" t="s">
        <v>607</v>
      </c>
      <c r="N1320" s="52" t="s">
        <v>607</v>
      </c>
      <c r="O1320" s="52"/>
      <c r="P1320" s="52"/>
      <c r="Q1320" s="52"/>
      <c r="R1320" s="51" t="b">
        <v>0</v>
      </c>
      <c r="S1320" s="51"/>
      <c r="T1320" s="52"/>
      <c r="U1320" s="51" t="b">
        <v>0</v>
      </c>
      <c r="V1320" s="51" t="b">
        <v>0</v>
      </c>
      <c r="W1320" s="51" t="b">
        <v>0</v>
      </c>
      <c r="X1320" s="51" t="b">
        <v>0</v>
      </c>
      <c r="Y1320" s="51" t="b">
        <v>0</v>
      </c>
      <c r="Z1320" s="51" t="b">
        <v>0</v>
      </c>
      <c r="AA1320" s="68"/>
      <c r="AB1320" s="52"/>
      <c r="AC1320" s="52"/>
      <c r="AD1320" s="52"/>
      <c r="AE1320" s="56" t="s">
        <v>607</v>
      </c>
      <c r="AF1320" s="56" t="s">
        <v>607</v>
      </c>
    </row>
    <row r="1321">
      <c r="A1321" s="52" t="s">
        <v>4587</v>
      </c>
      <c r="B1321" s="52" t="s">
        <v>607</v>
      </c>
      <c r="C1321" s="52" t="s">
        <v>607</v>
      </c>
      <c r="D1321" s="65" t="s">
        <v>607</v>
      </c>
      <c r="E1321" s="65" t="s">
        <v>607</v>
      </c>
      <c r="F1321" s="65" t="s">
        <v>607</v>
      </c>
      <c r="G1321" s="65" t="s">
        <v>607</v>
      </c>
      <c r="H1321" s="52" t="s">
        <v>607</v>
      </c>
      <c r="I1321" s="52" t="s">
        <v>607</v>
      </c>
      <c r="J1321" s="52" t="s">
        <v>607</v>
      </c>
      <c r="K1321" s="52" t="s">
        <v>607</v>
      </c>
      <c r="L1321" s="52" t="s">
        <v>607</v>
      </c>
      <c r="M1321" s="52" t="s">
        <v>607</v>
      </c>
      <c r="N1321" s="52" t="s">
        <v>607</v>
      </c>
      <c r="O1321" s="52"/>
      <c r="P1321" s="52"/>
      <c r="Q1321" s="52"/>
      <c r="R1321" s="51" t="b">
        <v>0</v>
      </c>
      <c r="S1321" s="51"/>
      <c r="T1321" s="52"/>
      <c r="U1321" s="51" t="b">
        <v>0</v>
      </c>
      <c r="V1321" s="51" t="b">
        <v>0</v>
      </c>
      <c r="W1321" s="51" t="b">
        <v>0</v>
      </c>
      <c r="X1321" s="51" t="b">
        <v>0</v>
      </c>
      <c r="Y1321" s="51" t="b">
        <v>0</v>
      </c>
      <c r="Z1321" s="51" t="b">
        <v>0</v>
      </c>
      <c r="AA1321" s="68"/>
      <c r="AB1321" s="52"/>
      <c r="AC1321" s="52"/>
      <c r="AD1321" s="52"/>
      <c r="AE1321" s="56" t="s">
        <v>607</v>
      </c>
      <c r="AF1321" s="56" t="s">
        <v>607</v>
      </c>
    </row>
    <row r="1322">
      <c r="A1322" s="52" t="s">
        <v>4588</v>
      </c>
      <c r="B1322" s="52" t="s">
        <v>607</v>
      </c>
      <c r="C1322" s="52" t="s">
        <v>607</v>
      </c>
      <c r="D1322" s="65" t="s">
        <v>607</v>
      </c>
      <c r="E1322" s="65" t="s">
        <v>607</v>
      </c>
      <c r="F1322" s="65" t="s">
        <v>607</v>
      </c>
      <c r="G1322" s="65" t="s">
        <v>607</v>
      </c>
      <c r="H1322" s="52" t="s">
        <v>607</v>
      </c>
      <c r="I1322" s="52" t="s">
        <v>607</v>
      </c>
      <c r="J1322" s="52" t="s">
        <v>607</v>
      </c>
      <c r="K1322" s="52" t="s">
        <v>607</v>
      </c>
      <c r="L1322" s="52" t="s">
        <v>607</v>
      </c>
      <c r="M1322" s="52" t="s">
        <v>607</v>
      </c>
      <c r="N1322" s="52" t="s">
        <v>607</v>
      </c>
      <c r="O1322" s="52"/>
      <c r="P1322" s="52"/>
      <c r="Q1322" s="52"/>
      <c r="R1322" s="51" t="b">
        <v>0</v>
      </c>
      <c r="S1322" s="51"/>
      <c r="T1322" s="52"/>
      <c r="U1322" s="51" t="b">
        <v>0</v>
      </c>
      <c r="V1322" s="51" t="b">
        <v>0</v>
      </c>
      <c r="W1322" s="51" t="b">
        <v>0</v>
      </c>
      <c r="X1322" s="51" t="b">
        <v>0</v>
      </c>
      <c r="Y1322" s="51" t="b">
        <v>0</v>
      </c>
      <c r="Z1322" s="51" t="b">
        <v>0</v>
      </c>
      <c r="AA1322" s="68"/>
      <c r="AB1322" s="52"/>
      <c r="AC1322" s="52"/>
      <c r="AD1322" s="52"/>
      <c r="AE1322" s="56" t="s">
        <v>607</v>
      </c>
      <c r="AF1322" s="56" t="s">
        <v>607</v>
      </c>
    </row>
    <row r="1323">
      <c r="A1323" s="52" t="s">
        <v>4589</v>
      </c>
      <c r="B1323" s="52" t="s">
        <v>607</v>
      </c>
      <c r="C1323" s="52" t="s">
        <v>607</v>
      </c>
      <c r="D1323" s="65" t="s">
        <v>607</v>
      </c>
      <c r="E1323" s="65" t="s">
        <v>607</v>
      </c>
      <c r="F1323" s="65" t="s">
        <v>607</v>
      </c>
      <c r="G1323" s="65" t="s">
        <v>607</v>
      </c>
      <c r="H1323" s="52" t="s">
        <v>607</v>
      </c>
      <c r="I1323" s="52" t="s">
        <v>607</v>
      </c>
      <c r="J1323" s="52" t="s">
        <v>607</v>
      </c>
      <c r="K1323" s="52" t="s">
        <v>607</v>
      </c>
      <c r="L1323" s="52" t="s">
        <v>607</v>
      </c>
      <c r="M1323" s="52" t="s">
        <v>607</v>
      </c>
      <c r="N1323" s="52" t="s">
        <v>607</v>
      </c>
      <c r="O1323" s="52"/>
      <c r="P1323" s="52"/>
      <c r="Q1323" s="52"/>
      <c r="R1323" s="51" t="b">
        <v>0</v>
      </c>
      <c r="S1323" s="51"/>
      <c r="T1323" s="52"/>
      <c r="U1323" s="51" t="b">
        <v>0</v>
      </c>
      <c r="V1323" s="51" t="b">
        <v>0</v>
      </c>
      <c r="W1323" s="51" t="b">
        <v>0</v>
      </c>
      <c r="X1323" s="51" t="b">
        <v>0</v>
      </c>
      <c r="Y1323" s="51" t="b">
        <v>0</v>
      </c>
      <c r="Z1323" s="51" t="b">
        <v>0</v>
      </c>
      <c r="AA1323" s="68"/>
      <c r="AB1323" s="52"/>
      <c r="AC1323" s="52"/>
      <c r="AD1323" s="52"/>
      <c r="AE1323" s="56" t="s">
        <v>607</v>
      </c>
      <c r="AF1323" s="56" t="s">
        <v>607</v>
      </c>
    </row>
    <row r="1324">
      <c r="A1324" s="52" t="s">
        <v>4590</v>
      </c>
      <c r="B1324" s="52" t="s">
        <v>607</v>
      </c>
      <c r="C1324" s="52" t="s">
        <v>607</v>
      </c>
      <c r="D1324" s="65" t="s">
        <v>607</v>
      </c>
      <c r="E1324" s="65" t="s">
        <v>607</v>
      </c>
      <c r="F1324" s="65" t="s">
        <v>607</v>
      </c>
      <c r="G1324" s="65" t="s">
        <v>607</v>
      </c>
      <c r="H1324" s="52" t="s">
        <v>607</v>
      </c>
      <c r="I1324" s="52" t="s">
        <v>607</v>
      </c>
      <c r="J1324" s="52" t="s">
        <v>607</v>
      </c>
      <c r="K1324" s="52" t="s">
        <v>607</v>
      </c>
      <c r="L1324" s="52" t="s">
        <v>607</v>
      </c>
      <c r="M1324" s="52" t="s">
        <v>607</v>
      </c>
      <c r="N1324" s="52" t="s">
        <v>607</v>
      </c>
      <c r="O1324" s="52"/>
      <c r="P1324" s="52"/>
      <c r="Q1324" s="52"/>
      <c r="R1324" s="51" t="b">
        <v>0</v>
      </c>
      <c r="S1324" s="51"/>
      <c r="T1324" s="52"/>
      <c r="U1324" s="51" t="b">
        <v>0</v>
      </c>
      <c r="V1324" s="51" t="b">
        <v>0</v>
      </c>
      <c r="W1324" s="51" t="b">
        <v>0</v>
      </c>
      <c r="X1324" s="51" t="b">
        <v>0</v>
      </c>
      <c r="Y1324" s="51" t="b">
        <v>0</v>
      </c>
      <c r="Z1324" s="51" t="b">
        <v>0</v>
      </c>
      <c r="AA1324" s="68"/>
      <c r="AB1324" s="52"/>
      <c r="AC1324" s="52"/>
      <c r="AD1324" s="52"/>
      <c r="AE1324" s="56" t="s">
        <v>607</v>
      </c>
      <c r="AF1324" s="56" t="s">
        <v>607</v>
      </c>
    </row>
    <row r="1325">
      <c r="A1325" s="52" t="s">
        <v>4591</v>
      </c>
      <c r="B1325" s="52" t="s">
        <v>607</v>
      </c>
      <c r="C1325" s="52" t="s">
        <v>607</v>
      </c>
      <c r="D1325" s="65" t="s">
        <v>607</v>
      </c>
      <c r="E1325" s="65" t="s">
        <v>607</v>
      </c>
      <c r="F1325" s="65" t="s">
        <v>607</v>
      </c>
      <c r="G1325" s="65" t="s">
        <v>607</v>
      </c>
      <c r="H1325" s="52" t="s">
        <v>607</v>
      </c>
      <c r="I1325" s="52" t="s">
        <v>607</v>
      </c>
      <c r="J1325" s="52" t="s">
        <v>607</v>
      </c>
      <c r="K1325" s="52" t="s">
        <v>607</v>
      </c>
      <c r="L1325" s="52" t="s">
        <v>607</v>
      </c>
      <c r="M1325" s="52" t="s">
        <v>607</v>
      </c>
      <c r="N1325" s="52" t="s">
        <v>607</v>
      </c>
      <c r="O1325" s="52"/>
      <c r="P1325" s="52"/>
      <c r="Q1325" s="52"/>
      <c r="R1325" s="51" t="b">
        <v>0</v>
      </c>
      <c r="S1325" s="51"/>
      <c r="T1325" s="52"/>
      <c r="U1325" s="51" t="b">
        <v>0</v>
      </c>
      <c r="V1325" s="51" t="b">
        <v>0</v>
      </c>
      <c r="W1325" s="51" t="b">
        <v>0</v>
      </c>
      <c r="X1325" s="51" t="b">
        <v>0</v>
      </c>
      <c r="Y1325" s="51" t="b">
        <v>0</v>
      </c>
      <c r="Z1325" s="51" t="b">
        <v>0</v>
      </c>
      <c r="AA1325" s="68"/>
      <c r="AB1325" s="52"/>
      <c r="AC1325" s="52"/>
      <c r="AD1325" s="52"/>
      <c r="AE1325" s="56" t="s">
        <v>607</v>
      </c>
      <c r="AF1325" s="56" t="s">
        <v>607</v>
      </c>
    </row>
    <row r="1326">
      <c r="A1326" s="52" t="s">
        <v>4592</v>
      </c>
      <c r="B1326" s="52" t="s">
        <v>607</v>
      </c>
      <c r="C1326" s="52" t="s">
        <v>607</v>
      </c>
      <c r="D1326" s="65" t="s">
        <v>607</v>
      </c>
      <c r="E1326" s="65" t="s">
        <v>607</v>
      </c>
      <c r="F1326" s="65" t="s">
        <v>607</v>
      </c>
      <c r="G1326" s="65" t="s">
        <v>607</v>
      </c>
      <c r="H1326" s="52" t="s">
        <v>607</v>
      </c>
      <c r="I1326" s="52" t="s">
        <v>607</v>
      </c>
      <c r="J1326" s="52" t="s">
        <v>607</v>
      </c>
      <c r="K1326" s="52" t="s">
        <v>607</v>
      </c>
      <c r="L1326" s="52" t="s">
        <v>607</v>
      </c>
      <c r="M1326" s="52" t="s">
        <v>607</v>
      </c>
      <c r="N1326" s="52" t="s">
        <v>607</v>
      </c>
      <c r="O1326" s="52"/>
      <c r="P1326" s="52"/>
      <c r="Q1326" s="52"/>
      <c r="R1326" s="51" t="b">
        <v>0</v>
      </c>
      <c r="S1326" s="51"/>
      <c r="T1326" s="52"/>
      <c r="U1326" s="51" t="b">
        <v>0</v>
      </c>
      <c r="V1326" s="51" t="b">
        <v>0</v>
      </c>
      <c r="W1326" s="51" t="b">
        <v>0</v>
      </c>
      <c r="X1326" s="51" t="b">
        <v>0</v>
      </c>
      <c r="Y1326" s="51" t="b">
        <v>0</v>
      </c>
      <c r="Z1326" s="51" t="b">
        <v>0</v>
      </c>
      <c r="AA1326" s="68"/>
      <c r="AB1326" s="52"/>
      <c r="AC1326" s="52"/>
      <c r="AD1326" s="52"/>
      <c r="AE1326" s="56" t="s">
        <v>607</v>
      </c>
      <c r="AF1326" s="56" t="s">
        <v>607</v>
      </c>
    </row>
    <row r="1327">
      <c r="A1327" s="52" t="s">
        <v>4593</v>
      </c>
      <c r="B1327" s="52" t="s">
        <v>607</v>
      </c>
      <c r="C1327" s="52" t="s">
        <v>607</v>
      </c>
      <c r="D1327" s="65" t="s">
        <v>607</v>
      </c>
      <c r="E1327" s="65" t="s">
        <v>607</v>
      </c>
      <c r="F1327" s="65" t="s">
        <v>607</v>
      </c>
      <c r="G1327" s="65" t="s">
        <v>607</v>
      </c>
      <c r="H1327" s="52" t="s">
        <v>607</v>
      </c>
      <c r="I1327" s="52" t="s">
        <v>607</v>
      </c>
      <c r="J1327" s="52" t="s">
        <v>607</v>
      </c>
      <c r="K1327" s="52" t="s">
        <v>607</v>
      </c>
      <c r="L1327" s="52" t="s">
        <v>607</v>
      </c>
      <c r="M1327" s="52" t="s">
        <v>607</v>
      </c>
      <c r="N1327" s="52" t="s">
        <v>607</v>
      </c>
      <c r="O1327" s="52"/>
      <c r="P1327" s="52"/>
      <c r="Q1327" s="52"/>
      <c r="R1327" s="51" t="b">
        <v>0</v>
      </c>
      <c r="S1327" s="51"/>
      <c r="T1327" s="52"/>
      <c r="U1327" s="51" t="b">
        <v>0</v>
      </c>
      <c r="V1327" s="51" t="b">
        <v>0</v>
      </c>
      <c r="W1327" s="51" t="b">
        <v>0</v>
      </c>
      <c r="X1327" s="51" t="b">
        <v>0</v>
      </c>
      <c r="Y1327" s="51" t="b">
        <v>0</v>
      </c>
      <c r="Z1327" s="51" t="b">
        <v>0</v>
      </c>
      <c r="AA1327" s="68"/>
      <c r="AB1327" s="52"/>
      <c r="AC1327" s="52"/>
      <c r="AD1327" s="52"/>
      <c r="AE1327" s="56" t="s">
        <v>607</v>
      </c>
      <c r="AF1327" s="56" t="s">
        <v>607</v>
      </c>
    </row>
    <row r="1328">
      <c r="A1328" s="52" t="s">
        <v>4594</v>
      </c>
      <c r="B1328" s="52" t="s">
        <v>607</v>
      </c>
      <c r="C1328" s="52" t="s">
        <v>607</v>
      </c>
      <c r="D1328" s="65" t="s">
        <v>607</v>
      </c>
      <c r="E1328" s="65" t="s">
        <v>607</v>
      </c>
      <c r="F1328" s="65" t="s">
        <v>607</v>
      </c>
      <c r="G1328" s="65" t="s">
        <v>607</v>
      </c>
      <c r="H1328" s="52" t="s">
        <v>607</v>
      </c>
      <c r="I1328" s="52" t="s">
        <v>607</v>
      </c>
      <c r="J1328" s="52" t="s">
        <v>607</v>
      </c>
      <c r="K1328" s="52" t="s">
        <v>607</v>
      </c>
      <c r="L1328" s="52" t="s">
        <v>607</v>
      </c>
      <c r="M1328" s="52" t="s">
        <v>607</v>
      </c>
      <c r="N1328" s="52" t="s">
        <v>607</v>
      </c>
      <c r="O1328" s="52"/>
      <c r="P1328" s="52"/>
      <c r="Q1328" s="52"/>
      <c r="R1328" s="51" t="b">
        <v>0</v>
      </c>
      <c r="S1328" s="51"/>
      <c r="T1328" s="52"/>
      <c r="U1328" s="51" t="b">
        <v>0</v>
      </c>
      <c r="V1328" s="51" t="b">
        <v>0</v>
      </c>
      <c r="W1328" s="51" t="b">
        <v>0</v>
      </c>
      <c r="X1328" s="51" t="b">
        <v>0</v>
      </c>
      <c r="Y1328" s="51" t="b">
        <v>0</v>
      </c>
      <c r="Z1328" s="51" t="b">
        <v>0</v>
      </c>
      <c r="AA1328" s="68"/>
      <c r="AB1328" s="52"/>
      <c r="AC1328" s="52"/>
      <c r="AD1328" s="52"/>
      <c r="AE1328" s="56" t="s">
        <v>607</v>
      </c>
      <c r="AF1328" s="56" t="s">
        <v>607</v>
      </c>
    </row>
    <row r="1329">
      <c r="A1329" s="52" t="s">
        <v>4595</v>
      </c>
      <c r="B1329" s="52" t="s">
        <v>607</v>
      </c>
      <c r="C1329" s="52" t="s">
        <v>607</v>
      </c>
      <c r="D1329" s="65" t="s">
        <v>607</v>
      </c>
      <c r="E1329" s="65" t="s">
        <v>607</v>
      </c>
      <c r="F1329" s="65" t="s">
        <v>607</v>
      </c>
      <c r="G1329" s="65" t="s">
        <v>607</v>
      </c>
      <c r="H1329" s="52" t="s">
        <v>607</v>
      </c>
      <c r="I1329" s="52" t="s">
        <v>607</v>
      </c>
      <c r="J1329" s="52" t="s">
        <v>607</v>
      </c>
      <c r="K1329" s="52" t="s">
        <v>607</v>
      </c>
      <c r="L1329" s="52" t="s">
        <v>607</v>
      </c>
      <c r="M1329" s="52" t="s">
        <v>607</v>
      </c>
      <c r="N1329" s="52" t="s">
        <v>607</v>
      </c>
      <c r="O1329" s="52"/>
      <c r="P1329" s="52"/>
      <c r="Q1329" s="52"/>
      <c r="R1329" s="51" t="b">
        <v>0</v>
      </c>
      <c r="S1329" s="51"/>
      <c r="T1329" s="52"/>
      <c r="U1329" s="51" t="b">
        <v>0</v>
      </c>
      <c r="V1329" s="51" t="b">
        <v>0</v>
      </c>
      <c r="W1329" s="51" t="b">
        <v>0</v>
      </c>
      <c r="X1329" s="51" t="b">
        <v>0</v>
      </c>
      <c r="Y1329" s="51" t="b">
        <v>0</v>
      </c>
      <c r="Z1329" s="51" t="b">
        <v>0</v>
      </c>
      <c r="AA1329" s="68"/>
      <c r="AB1329" s="52"/>
      <c r="AC1329" s="52"/>
      <c r="AD1329" s="52"/>
      <c r="AE1329" s="56" t="s">
        <v>607</v>
      </c>
      <c r="AF1329" s="56" t="s">
        <v>607</v>
      </c>
    </row>
    <row r="1330">
      <c r="A1330" s="52" t="s">
        <v>4596</v>
      </c>
      <c r="B1330" s="52" t="s">
        <v>607</v>
      </c>
      <c r="C1330" s="52" t="s">
        <v>607</v>
      </c>
      <c r="D1330" s="65" t="s">
        <v>607</v>
      </c>
      <c r="E1330" s="65" t="s">
        <v>607</v>
      </c>
      <c r="F1330" s="65" t="s">
        <v>607</v>
      </c>
      <c r="G1330" s="65" t="s">
        <v>607</v>
      </c>
      <c r="H1330" s="52" t="s">
        <v>607</v>
      </c>
      <c r="I1330" s="52" t="s">
        <v>607</v>
      </c>
      <c r="J1330" s="52" t="s">
        <v>607</v>
      </c>
      <c r="K1330" s="52" t="s">
        <v>607</v>
      </c>
      <c r="L1330" s="52" t="s">
        <v>607</v>
      </c>
      <c r="M1330" s="52" t="s">
        <v>607</v>
      </c>
      <c r="N1330" s="52" t="s">
        <v>607</v>
      </c>
      <c r="O1330" s="52"/>
      <c r="P1330" s="52"/>
      <c r="Q1330" s="52"/>
      <c r="R1330" s="51" t="b">
        <v>0</v>
      </c>
      <c r="S1330" s="51"/>
      <c r="T1330" s="52"/>
      <c r="U1330" s="51" t="b">
        <v>0</v>
      </c>
      <c r="V1330" s="51" t="b">
        <v>0</v>
      </c>
      <c r="W1330" s="51" t="b">
        <v>0</v>
      </c>
      <c r="X1330" s="51" t="b">
        <v>0</v>
      </c>
      <c r="Y1330" s="51" t="b">
        <v>0</v>
      </c>
      <c r="Z1330" s="51" t="b">
        <v>0</v>
      </c>
      <c r="AA1330" s="68"/>
      <c r="AB1330" s="52"/>
      <c r="AC1330" s="52"/>
      <c r="AD1330" s="52"/>
      <c r="AE1330" s="56" t="s">
        <v>607</v>
      </c>
      <c r="AF1330" s="56" t="s">
        <v>607</v>
      </c>
    </row>
    <row r="1331">
      <c r="A1331" s="52" t="s">
        <v>4597</v>
      </c>
      <c r="B1331" s="52" t="s">
        <v>607</v>
      </c>
      <c r="C1331" s="52" t="s">
        <v>607</v>
      </c>
      <c r="D1331" s="65" t="s">
        <v>607</v>
      </c>
      <c r="E1331" s="65" t="s">
        <v>607</v>
      </c>
      <c r="F1331" s="65" t="s">
        <v>607</v>
      </c>
      <c r="G1331" s="65" t="s">
        <v>607</v>
      </c>
      <c r="H1331" s="52" t="s">
        <v>607</v>
      </c>
      <c r="I1331" s="52" t="s">
        <v>607</v>
      </c>
      <c r="J1331" s="52" t="s">
        <v>607</v>
      </c>
      <c r="K1331" s="52" t="s">
        <v>607</v>
      </c>
      <c r="L1331" s="52" t="s">
        <v>607</v>
      </c>
      <c r="M1331" s="52" t="s">
        <v>607</v>
      </c>
      <c r="N1331" s="52" t="s">
        <v>607</v>
      </c>
      <c r="O1331" s="52"/>
      <c r="P1331" s="52"/>
      <c r="Q1331" s="52"/>
      <c r="R1331" s="51" t="b">
        <v>0</v>
      </c>
      <c r="S1331" s="51"/>
      <c r="T1331" s="52"/>
      <c r="U1331" s="51" t="b">
        <v>0</v>
      </c>
      <c r="V1331" s="51" t="b">
        <v>0</v>
      </c>
      <c r="W1331" s="51" t="b">
        <v>0</v>
      </c>
      <c r="X1331" s="51" t="b">
        <v>0</v>
      </c>
      <c r="Y1331" s="51" t="b">
        <v>0</v>
      </c>
      <c r="Z1331" s="51" t="b">
        <v>0</v>
      </c>
      <c r="AA1331" s="68"/>
      <c r="AB1331" s="52"/>
      <c r="AC1331" s="52"/>
      <c r="AD1331" s="52"/>
      <c r="AE1331" s="56" t="s">
        <v>607</v>
      </c>
      <c r="AF1331" s="56" t="s">
        <v>607</v>
      </c>
    </row>
    <row r="1332">
      <c r="A1332" s="52" t="s">
        <v>4598</v>
      </c>
      <c r="B1332" s="52" t="s">
        <v>607</v>
      </c>
      <c r="C1332" s="52" t="s">
        <v>607</v>
      </c>
      <c r="D1332" s="65" t="s">
        <v>607</v>
      </c>
      <c r="E1332" s="65" t="s">
        <v>607</v>
      </c>
      <c r="F1332" s="65" t="s">
        <v>607</v>
      </c>
      <c r="G1332" s="65" t="s">
        <v>607</v>
      </c>
      <c r="H1332" s="52" t="s">
        <v>607</v>
      </c>
      <c r="I1332" s="52" t="s">
        <v>607</v>
      </c>
      <c r="J1332" s="52" t="s">
        <v>607</v>
      </c>
      <c r="K1332" s="52" t="s">
        <v>607</v>
      </c>
      <c r="L1332" s="52" t="s">
        <v>607</v>
      </c>
      <c r="M1332" s="52" t="s">
        <v>607</v>
      </c>
      <c r="N1332" s="52" t="s">
        <v>607</v>
      </c>
      <c r="O1332" s="52"/>
      <c r="P1332" s="52"/>
      <c r="Q1332" s="52"/>
      <c r="R1332" s="51" t="b">
        <v>0</v>
      </c>
      <c r="S1332" s="51"/>
      <c r="T1332" s="52"/>
      <c r="U1332" s="51" t="b">
        <v>0</v>
      </c>
      <c r="V1332" s="51" t="b">
        <v>0</v>
      </c>
      <c r="W1332" s="51" t="b">
        <v>0</v>
      </c>
      <c r="X1332" s="51" t="b">
        <v>0</v>
      </c>
      <c r="Y1332" s="51" t="b">
        <v>0</v>
      </c>
      <c r="Z1332" s="51" t="b">
        <v>0</v>
      </c>
      <c r="AA1332" s="68"/>
      <c r="AB1332" s="52"/>
      <c r="AC1332" s="52"/>
      <c r="AD1332" s="52"/>
      <c r="AE1332" s="56" t="s">
        <v>607</v>
      </c>
      <c r="AF1332" s="56" t="s">
        <v>607</v>
      </c>
    </row>
    <row r="1333">
      <c r="A1333" s="52" t="s">
        <v>4599</v>
      </c>
      <c r="B1333" s="52" t="s">
        <v>607</v>
      </c>
      <c r="C1333" s="52" t="s">
        <v>607</v>
      </c>
      <c r="D1333" s="65" t="s">
        <v>607</v>
      </c>
      <c r="E1333" s="65" t="s">
        <v>607</v>
      </c>
      <c r="F1333" s="65" t="s">
        <v>607</v>
      </c>
      <c r="G1333" s="65" t="s">
        <v>607</v>
      </c>
      <c r="H1333" s="52" t="s">
        <v>607</v>
      </c>
      <c r="I1333" s="52" t="s">
        <v>607</v>
      </c>
      <c r="J1333" s="52" t="s">
        <v>607</v>
      </c>
      <c r="K1333" s="52" t="s">
        <v>607</v>
      </c>
      <c r="L1333" s="52" t="s">
        <v>607</v>
      </c>
      <c r="M1333" s="52" t="s">
        <v>607</v>
      </c>
      <c r="N1333" s="52" t="s">
        <v>607</v>
      </c>
      <c r="O1333" s="52"/>
      <c r="P1333" s="52"/>
      <c r="Q1333" s="52"/>
      <c r="R1333" s="51" t="b">
        <v>0</v>
      </c>
      <c r="S1333" s="51"/>
      <c r="T1333" s="52"/>
      <c r="U1333" s="51" t="b">
        <v>0</v>
      </c>
      <c r="V1333" s="51" t="b">
        <v>0</v>
      </c>
      <c r="W1333" s="51" t="b">
        <v>0</v>
      </c>
      <c r="X1333" s="51" t="b">
        <v>0</v>
      </c>
      <c r="Y1333" s="51" t="b">
        <v>0</v>
      </c>
      <c r="Z1333" s="51" t="b">
        <v>0</v>
      </c>
      <c r="AA1333" s="68"/>
      <c r="AB1333" s="52"/>
      <c r="AC1333" s="52"/>
      <c r="AD1333" s="52"/>
      <c r="AE1333" s="56" t="s">
        <v>607</v>
      </c>
      <c r="AF1333" s="56" t="s">
        <v>607</v>
      </c>
    </row>
    <row r="1334">
      <c r="A1334" s="52" t="s">
        <v>4600</v>
      </c>
      <c r="B1334" s="52" t="s">
        <v>607</v>
      </c>
      <c r="C1334" s="52" t="s">
        <v>607</v>
      </c>
      <c r="D1334" s="65" t="s">
        <v>607</v>
      </c>
      <c r="E1334" s="65" t="s">
        <v>607</v>
      </c>
      <c r="F1334" s="65" t="s">
        <v>607</v>
      </c>
      <c r="G1334" s="65" t="s">
        <v>607</v>
      </c>
      <c r="H1334" s="52" t="s">
        <v>607</v>
      </c>
      <c r="I1334" s="52" t="s">
        <v>607</v>
      </c>
      <c r="J1334" s="52" t="s">
        <v>607</v>
      </c>
      <c r="K1334" s="52" t="s">
        <v>607</v>
      </c>
      <c r="L1334" s="52" t="s">
        <v>607</v>
      </c>
      <c r="M1334" s="52" t="s">
        <v>607</v>
      </c>
      <c r="N1334" s="52" t="s">
        <v>607</v>
      </c>
      <c r="O1334" s="52"/>
      <c r="P1334" s="52"/>
      <c r="Q1334" s="52"/>
      <c r="R1334" s="51" t="b">
        <v>0</v>
      </c>
      <c r="S1334" s="51"/>
      <c r="T1334" s="52"/>
      <c r="U1334" s="51" t="b">
        <v>0</v>
      </c>
      <c r="V1334" s="51" t="b">
        <v>0</v>
      </c>
      <c r="W1334" s="51" t="b">
        <v>0</v>
      </c>
      <c r="X1334" s="51" t="b">
        <v>0</v>
      </c>
      <c r="Y1334" s="51" t="b">
        <v>0</v>
      </c>
      <c r="Z1334" s="51" t="b">
        <v>0</v>
      </c>
      <c r="AA1334" s="68"/>
      <c r="AB1334" s="52"/>
      <c r="AC1334" s="52"/>
      <c r="AD1334" s="52"/>
      <c r="AE1334" s="56" t="s">
        <v>607</v>
      </c>
      <c r="AF1334" s="56" t="s">
        <v>607</v>
      </c>
    </row>
    <row r="1335">
      <c r="A1335" s="52" t="s">
        <v>4601</v>
      </c>
      <c r="B1335" s="52" t="s">
        <v>607</v>
      </c>
      <c r="C1335" s="52" t="s">
        <v>607</v>
      </c>
      <c r="D1335" s="65" t="s">
        <v>607</v>
      </c>
      <c r="E1335" s="65" t="s">
        <v>607</v>
      </c>
      <c r="F1335" s="65" t="s">
        <v>607</v>
      </c>
      <c r="G1335" s="65" t="s">
        <v>607</v>
      </c>
      <c r="H1335" s="52" t="s">
        <v>607</v>
      </c>
      <c r="I1335" s="52" t="s">
        <v>607</v>
      </c>
      <c r="J1335" s="52" t="s">
        <v>607</v>
      </c>
      <c r="K1335" s="52" t="s">
        <v>607</v>
      </c>
      <c r="L1335" s="52" t="s">
        <v>607</v>
      </c>
      <c r="M1335" s="52" t="s">
        <v>607</v>
      </c>
      <c r="N1335" s="52" t="s">
        <v>607</v>
      </c>
      <c r="O1335" s="52"/>
      <c r="P1335" s="52"/>
      <c r="Q1335" s="52"/>
      <c r="R1335" s="51" t="b">
        <v>0</v>
      </c>
      <c r="S1335" s="51"/>
      <c r="T1335" s="52"/>
      <c r="U1335" s="51" t="b">
        <v>0</v>
      </c>
      <c r="V1335" s="51" t="b">
        <v>0</v>
      </c>
      <c r="W1335" s="51" t="b">
        <v>0</v>
      </c>
      <c r="X1335" s="51" t="b">
        <v>0</v>
      </c>
      <c r="Y1335" s="51" t="b">
        <v>0</v>
      </c>
      <c r="Z1335" s="51" t="b">
        <v>0</v>
      </c>
      <c r="AA1335" s="68"/>
      <c r="AB1335" s="52"/>
      <c r="AC1335" s="52"/>
      <c r="AD1335" s="52"/>
      <c r="AE1335" s="56" t="s">
        <v>607</v>
      </c>
      <c r="AF1335" s="56" t="s">
        <v>607</v>
      </c>
    </row>
    <row r="1336">
      <c r="A1336" s="52" t="s">
        <v>4602</v>
      </c>
      <c r="B1336" s="52" t="s">
        <v>607</v>
      </c>
      <c r="C1336" s="52" t="s">
        <v>607</v>
      </c>
      <c r="D1336" s="65" t="s">
        <v>607</v>
      </c>
      <c r="E1336" s="65" t="s">
        <v>607</v>
      </c>
      <c r="F1336" s="65" t="s">
        <v>607</v>
      </c>
      <c r="G1336" s="65" t="s">
        <v>607</v>
      </c>
      <c r="H1336" s="52" t="s">
        <v>607</v>
      </c>
      <c r="I1336" s="52" t="s">
        <v>607</v>
      </c>
      <c r="J1336" s="52" t="s">
        <v>607</v>
      </c>
      <c r="K1336" s="52" t="s">
        <v>607</v>
      </c>
      <c r="L1336" s="52" t="s">
        <v>607</v>
      </c>
      <c r="M1336" s="52" t="s">
        <v>607</v>
      </c>
      <c r="N1336" s="52" t="s">
        <v>607</v>
      </c>
      <c r="O1336" s="52"/>
      <c r="P1336" s="52"/>
      <c r="Q1336" s="52"/>
      <c r="R1336" s="51" t="b">
        <v>0</v>
      </c>
      <c r="S1336" s="51"/>
      <c r="T1336" s="52"/>
      <c r="U1336" s="51" t="b">
        <v>0</v>
      </c>
      <c r="V1336" s="51" t="b">
        <v>0</v>
      </c>
      <c r="W1336" s="51" t="b">
        <v>0</v>
      </c>
      <c r="X1336" s="51" t="b">
        <v>0</v>
      </c>
      <c r="Y1336" s="51" t="b">
        <v>0</v>
      </c>
      <c r="Z1336" s="51" t="b">
        <v>0</v>
      </c>
      <c r="AA1336" s="68"/>
      <c r="AB1336" s="52"/>
      <c r="AC1336" s="52"/>
      <c r="AD1336" s="52"/>
      <c r="AE1336" s="56" t="s">
        <v>607</v>
      </c>
      <c r="AF1336" s="56" t="s">
        <v>607</v>
      </c>
    </row>
    <row r="1337">
      <c r="A1337" s="52" t="s">
        <v>4603</v>
      </c>
      <c r="B1337" s="52" t="s">
        <v>607</v>
      </c>
      <c r="C1337" s="52" t="s">
        <v>607</v>
      </c>
      <c r="D1337" s="65" t="s">
        <v>607</v>
      </c>
      <c r="E1337" s="65" t="s">
        <v>607</v>
      </c>
      <c r="F1337" s="65" t="s">
        <v>607</v>
      </c>
      <c r="G1337" s="65" t="s">
        <v>607</v>
      </c>
      <c r="H1337" s="52" t="s">
        <v>607</v>
      </c>
      <c r="I1337" s="52" t="s">
        <v>607</v>
      </c>
      <c r="J1337" s="52" t="s">
        <v>607</v>
      </c>
      <c r="K1337" s="52" t="s">
        <v>607</v>
      </c>
      <c r="L1337" s="52" t="s">
        <v>607</v>
      </c>
      <c r="M1337" s="52" t="s">
        <v>607</v>
      </c>
      <c r="N1337" s="52" t="s">
        <v>607</v>
      </c>
      <c r="O1337" s="52"/>
      <c r="P1337" s="52"/>
      <c r="Q1337" s="52"/>
      <c r="R1337" s="51" t="b">
        <v>0</v>
      </c>
      <c r="S1337" s="51"/>
      <c r="T1337" s="52"/>
      <c r="U1337" s="51" t="b">
        <v>0</v>
      </c>
      <c r="V1337" s="51" t="b">
        <v>0</v>
      </c>
      <c r="W1337" s="51" t="b">
        <v>0</v>
      </c>
      <c r="X1337" s="51" t="b">
        <v>0</v>
      </c>
      <c r="Y1337" s="51" t="b">
        <v>0</v>
      </c>
      <c r="Z1337" s="51" t="b">
        <v>0</v>
      </c>
      <c r="AA1337" s="68"/>
      <c r="AB1337" s="52"/>
      <c r="AC1337" s="52"/>
      <c r="AD1337" s="52"/>
      <c r="AE1337" s="56" t="s">
        <v>607</v>
      </c>
      <c r="AF1337" s="56" t="s">
        <v>607</v>
      </c>
    </row>
    <row r="1338">
      <c r="A1338" s="52" t="s">
        <v>4604</v>
      </c>
      <c r="B1338" s="52" t="s">
        <v>19</v>
      </c>
      <c r="C1338" s="52" t="s">
        <v>66</v>
      </c>
      <c r="D1338" s="65">
        <v>0.6955324074074074</v>
      </c>
      <c r="E1338" s="65">
        <v>0.01238425925925926</v>
      </c>
      <c r="F1338" s="65">
        <v>0.7079166666666666</v>
      </c>
      <c r="G1338" s="65" t="s">
        <v>210</v>
      </c>
      <c r="H1338" s="52" t="s">
        <v>107</v>
      </c>
      <c r="I1338" s="52" t="s">
        <v>1166</v>
      </c>
      <c r="J1338" s="52" t="s">
        <v>1167</v>
      </c>
      <c r="K1338" s="52" t="s">
        <v>1168</v>
      </c>
      <c r="L1338" s="52"/>
      <c r="M1338" s="52"/>
      <c r="N1338" s="52" t="s">
        <v>1169</v>
      </c>
      <c r="O1338" s="69" t="s">
        <v>734</v>
      </c>
      <c r="P1338" s="69" t="s">
        <v>32</v>
      </c>
      <c r="Q1338" s="80" t="s">
        <v>4605</v>
      </c>
      <c r="R1338" s="51" t="b">
        <v>1</v>
      </c>
      <c r="S1338" s="52" t="s">
        <v>1166</v>
      </c>
      <c r="T1338" s="52"/>
      <c r="U1338" s="51" t="b">
        <v>0</v>
      </c>
      <c r="V1338" s="51" t="b">
        <v>1</v>
      </c>
      <c r="W1338" s="51" t="b">
        <v>1</v>
      </c>
      <c r="X1338" s="51" t="b">
        <v>0</v>
      </c>
      <c r="Y1338" s="51" t="b">
        <v>1</v>
      </c>
      <c r="Z1338" s="51" t="b">
        <v>0</v>
      </c>
      <c r="AA1338" s="71">
        <v>0.01238425925925926</v>
      </c>
      <c r="AB1338" s="69" t="s">
        <v>4606</v>
      </c>
      <c r="AC1338" s="52"/>
      <c r="AD1338" s="73" t="s">
        <v>4607</v>
      </c>
      <c r="AE1338" s="56" t="s">
        <v>629</v>
      </c>
      <c r="AF1338" s="56" t="s">
        <v>847</v>
      </c>
    </row>
    <row r="1339">
      <c r="A1339" s="52" t="s">
        <v>4608</v>
      </c>
      <c r="B1339" s="52" t="s">
        <v>607</v>
      </c>
      <c r="C1339" s="52" t="s">
        <v>607</v>
      </c>
      <c r="D1339" s="65" t="s">
        <v>607</v>
      </c>
      <c r="E1339" s="65" t="s">
        <v>607</v>
      </c>
      <c r="F1339" s="65" t="s">
        <v>607</v>
      </c>
      <c r="G1339" s="65" t="s">
        <v>607</v>
      </c>
      <c r="H1339" s="52" t="s">
        <v>607</v>
      </c>
      <c r="I1339" s="52" t="s">
        <v>607</v>
      </c>
      <c r="J1339" s="52" t="s">
        <v>607</v>
      </c>
      <c r="K1339" s="52" t="s">
        <v>607</v>
      </c>
      <c r="L1339" s="52" t="s">
        <v>607</v>
      </c>
      <c r="M1339" s="52" t="s">
        <v>607</v>
      </c>
      <c r="N1339" s="52" t="s">
        <v>607</v>
      </c>
      <c r="O1339" s="52"/>
      <c r="P1339" s="52"/>
      <c r="Q1339" s="52"/>
      <c r="R1339" s="51" t="b">
        <v>0</v>
      </c>
      <c r="S1339" s="51"/>
      <c r="T1339" s="52"/>
      <c r="U1339" s="51" t="b">
        <v>0</v>
      </c>
      <c r="V1339" s="51" t="b">
        <v>0</v>
      </c>
      <c r="W1339" s="51" t="b">
        <v>0</v>
      </c>
      <c r="X1339" s="51" t="b">
        <v>0</v>
      </c>
      <c r="Y1339" s="51" t="b">
        <v>0</v>
      </c>
      <c r="Z1339" s="51" t="b">
        <v>0</v>
      </c>
      <c r="AA1339" s="68"/>
      <c r="AB1339" s="52"/>
      <c r="AC1339" s="52"/>
      <c r="AD1339" s="52"/>
      <c r="AE1339" s="56" t="s">
        <v>607</v>
      </c>
      <c r="AF1339" s="56" t="s">
        <v>607</v>
      </c>
    </row>
    <row r="1340">
      <c r="A1340" s="52" t="s">
        <v>4609</v>
      </c>
      <c r="B1340" s="52" t="s">
        <v>16</v>
      </c>
      <c r="C1340" s="52" t="s">
        <v>66</v>
      </c>
      <c r="D1340" s="65"/>
      <c r="E1340" s="65"/>
      <c r="F1340" s="65"/>
      <c r="G1340" s="65"/>
      <c r="H1340" s="52"/>
      <c r="I1340" s="52"/>
      <c r="J1340" s="52"/>
      <c r="K1340" s="52"/>
      <c r="L1340" s="52"/>
      <c r="M1340" s="52"/>
      <c r="N1340" s="52"/>
      <c r="O1340" s="52"/>
      <c r="P1340" s="52"/>
      <c r="Q1340" s="52"/>
      <c r="R1340" s="51" t="b">
        <v>0</v>
      </c>
      <c r="S1340" s="51"/>
      <c r="T1340" s="52"/>
      <c r="U1340" s="51" t="b">
        <v>0</v>
      </c>
      <c r="V1340" s="51" t="b">
        <v>0</v>
      </c>
      <c r="W1340" s="51" t="b">
        <v>0</v>
      </c>
      <c r="X1340" s="51" t="b">
        <v>0</v>
      </c>
      <c r="Y1340" s="51" t="b">
        <v>0</v>
      </c>
      <c r="Z1340" s="51" t="b">
        <v>0</v>
      </c>
      <c r="AA1340" s="68"/>
      <c r="AB1340" s="52"/>
      <c r="AC1340" s="52"/>
      <c r="AD1340" s="52"/>
      <c r="AE1340" s="56"/>
      <c r="AF1340" s="56"/>
    </row>
    <row r="1341">
      <c r="A1341" s="52" t="s">
        <v>4610</v>
      </c>
      <c r="B1341" s="52" t="s">
        <v>16</v>
      </c>
      <c r="C1341" s="52" t="s">
        <v>66</v>
      </c>
      <c r="D1341" s="65">
        <v>0.5508333333333337</v>
      </c>
      <c r="E1341" s="65">
        <v>3.4722222222222224E-4</v>
      </c>
      <c r="F1341" s="65">
        <v>0.551180555555556</v>
      </c>
      <c r="G1341" s="65" t="s">
        <v>151</v>
      </c>
      <c r="H1341" s="52" t="s">
        <v>87</v>
      </c>
      <c r="I1341" s="52" t="s">
        <v>525</v>
      </c>
      <c r="J1341" s="52"/>
      <c r="K1341" s="52"/>
      <c r="L1341" s="52"/>
      <c r="M1341" s="52"/>
      <c r="N1341" s="52"/>
      <c r="O1341" s="52"/>
      <c r="P1341" s="52"/>
      <c r="Q1341" s="52"/>
      <c r="R1341" s="51" t="b">
        <v>0</v>
      </c>
      <c r="S1341" s="51"/>
      <c r="T1341" s="52"/>
      <c r="U1341" s="51" t="b">
        <v>0</v>
      </c>
      <c r="V1341" s="51" t="b">
        <v>0</v>
      </c>
      <c r="W1341" s="51" t="b">
        <v>0</v>
      </c>
      <c r="X1341" s="51" t="b">
        <v>0</v>
      </c>
      <c r="Y1341" s="51" t="b">
        <v>0</v>
      </c>
      <c r="Z1341" s="51" t="b">
        <v>0</v>
      </c>
      <c r="AA1341" s="68"/>
      <c r="AB1341" s="52"/>
      <c r="AC1341" s="52"/>
      <c r="AD1341" s="52"/>
      <c r="AE1341" s="56"/>
      <c r="AF1341" s="56"/>
    </row>
    <row r="1342">
      <c r="A1342" s="52" t="s">
        <v>4611</v>
      </c>
      <c r="B1342" s="52" t="s">
        <v>19</v>
      </c>
      <c r="C1342" s="52" t="s">
        <v>66</v>
      </c>
      <c r="D1342" s="65"/>
      <c r="E1342" s="65"/>
      <c r="F1342" s="65"/>
      <c r="G1342" s="65"/>
      <c r="H1342" s="52"/>
      <c r="I1342" s="52"/>
      <c r="J1342" s="52"/>
      <c r="K1342" s="52"/>
      <c r="L1342" s="52"/>
      <c r="M1342" s="52"/>
      <c r="N1342" s="52"/>
      <c r="O1342" s="52"/>
      <c r="P1342" s="52"/>
      <c r="Q1342" s="52"/>
      <c r="R1342" s="51" t="b">
        <v>0</v>
      </c>
      <c r="S1342" s="51"/>
      <c r="T1342" s="52"/>
      <c r="U1342" s="51" t="b">
        <v>0</v>
      </c>
      <c r="V1342" s="51" t="b">
        <v>0</v>
      </c>
      <c r="W1342" s="51" t="b">
        <v>0</v>
      </c>
      <c r="X1342" s="51" t="b">
        <v>0</v>
      </c>
      <c r="Y1342" s="51" t="b">
        <v>0</v>
      </c>
      <c r="Z1342" s="51" t="b">
        <v>0</v>
      </c>
      <c r="AA1342" s="68"/>
      <c r="AB1342" s="52"/>
      <c r="AC1342" s="52"/>
      <c r="AD1342" s="52"/>
      <c r="AE1342" s="56"/>
      <c r="AF1342" s="56"/>
    </row>
    <row r="1343">
      <c r="A1343" s="52" t="s">
        <v>4612</v>
      </c>
      <c r="B1343" s="52" t="s">
        <v>19</v>
      </c>
      <c r="C1343" s="52" t="s">
        <v>66</v>
      </c>
      <c r="D1343" s="65"/>
      <c r="E1343" s="65"/>
      <c r="F1343" s="65"/>
      <c r="G1343" s="65"/>
      <c r="H1343" s="52"/>
      <c r="I1343" s="52"/>
      <c r="J1343" s="52"/>
      <c r="K1343" s="52"/>
      <c r="L1343" s="52"/>
      <c r="M1343" s="52"/>
      <c r="N1343" s="52"/>
      <c r="O1343" s="52"/>
      <c r="P1343" s="52"/>
      <c r="Q1343" s="52"/>
      <c r="R1343" s="51" t="b">
        <v>0</v>
      </c>
      <c r="S1343" s="51"/>
      <c r="T1343" s="52"/>
      <c r="U1343" s="51" t="b">
        <v>0</v>
      </c>
      <c r="V1343" s="51" t="b">
        <v>0</v>
      </c>
      <c r="W1343" s="51" t="b">
        <v>0</v>
      </c>
      <c r="X1343" s="51" t="b">
        <v>0</v>
      </c>
      <c r="Y1343" s="51" t="b">
        <v>0</v>
      </c>
      <c r="Z1343" s="51" t="b">
        <v>0</v>
      </c>
      <c r="AA1343" s="68"/>
      <c r="AB1343" s="52"/>
      <c r="AC1343" s="52"/>
      <c r="AD1343" s="52"/>
      <c r="AE1343" s="56"/>
      <c r="AF1343" s="56"/>
    </row>
    <row r="1344">
      <c r="A1344" s="52" t="s">
        <v>4613</v>
      </c>
      <c r="B1344" s="52" t="s">
        <v>19</v>
      </c>
      <c r="C1344" s="52" t="s">
        <v>66</v>
      </c>
      <c r="D1344" s="65"/>
      <c r="E1344" s="65"/>
      <c r="F1344" s="65"/>
      <c r="G1344" s="65"/>
      <c r="H1344" s="52"/>
      <c r="I1344" s="52"/>
      <c r="J1344" s="52"/>
      <c r="K1344" s="52"/>
      <c r="L1344" s="52"/>
      <c r="M1344" s="52"/>
      <c r="N1344" s="52"/>
      <c r="O1344" s="52"/>
      <c r="P1344" s="52"/>
      <c r="Q1344" s="52"/>
      <c r="R1344" s="51" t="b">
        <v>0</v>
      </c>
      <c r="S1344" s="51"/>
      <c r="T1344" s="52"/>
      <c r="U1344" s="51" t="b">
        <v>0</v>
      </c>
      <c r="V1344" s="51" t="b">
        <v>0</v>
      </c>
      <c r="W1344" s="51" t="b">
        <v>0</v>
      </c>
      <c r="X1344" s="51" t="b">
        <v>0</v>
      </c>
      <c r="Y1344" s="51" t="b">
        <v>0</v>
      </c>
      <c r="Z1344" s="51" t="b">
        <v>0</v>
      </c>
      <c r="AA1344" s="68"/>
      <c r="AB1344" s="52"/>
      <c r="AC1344" s="52"/>
      <c r="AD1344" s="52"/>
      <c r="AE1344" s="56"/>
      <c r="AF1344" s="56"/>
    </row>
    <row r="1345">
      <c r="A1345" s="52" t="s">
        <v>4614</v>
      </c>
      <c r="B1345" s="52" t="s">
        <v>607</v>
      </c>
      <c r="C1345" s="52" t="s">
        <v>607</v>
      </c>
      <c r="D1345" s="65" t="s">
        <v>607</v>
      </c>
      <c r="E1345" s="65" t="s">
        <v>607</v>
      </c>
      <c r="F1345" s="65" t="s">
        <v>607</v>
      </c>
      <c r="G1345" s="65" t="s">
        <v>607</v>
      </c>
      <c r="H1345" s="52" t="s">
        <v>607</v>
      </c>
      <c r="I1345" s="52" t="s">
        <v>607</v>
      </c>
      <c r="J1345" s="52" t="s">
        <v>607</v>
      </c>
      <c r="K1345" s="52" t="s">
        <v>607</v>
      </c>
      <c r="L1345" s="52" t="s">
        <v>607</v>
      </c>
      <c r="M1345" s="52" t="s">
        <v>607</v>
      </c>
      <c r="N1345" s="52" t="s">
        <v>607</v>
      </c>
      <c r="O1345" s="52"/>
      <c r="P1345" s="52"/>
      <c r="Q1345" s="52"/>
      <c r="R1345" s="51" t="b">
        <v>0</v>
      </c>
      <c r="S1345" s="51"/>
      <c r="T1345" s="52"/>
      <c r="U1345" s="51" t="b">
        <v>0</v>
      </c>
      <c r="V1345" s="51" t="b">
        <v>0</v>
      </c>
      <c r="W1345" s="51" t="b">
        <v>0</v>
      </c>
      <c r="X1345" s="51" t="b">
        <v>0</v>
      </c>
      <c r="Y1345" s="51" t="b">
        <v>0</v>
      </c>
      <c r="Z1345" s="51" t="b">
        <v>0</v>
      </c>
      <c r="AA1345" s="68"/>
      <c r="AB1345" s="52"/>
      <c r="AC1345" s="52"/>
      <c r="AD1345" s="52"/>
      <c r="AE1345" s="56" t="s">
        <v>607</v>
      </c>
      <c r="AF1345" s="56" t="s">
        <v>607</v>
      </c>
    </row>
    <row r="1346">
      <c r="A1346" s="52" t="s">
        <v>4615</v>
      </c>
      <c r="B1346" s="52" t="s">
        <v>607</v>
      </c>
      <c r="C1346" s="52" t="s">
        <v>607</v>
      </c>
      <c r="D1346" s="65" t="s">
        <v>607</v>
      </c>
      <c r="E1346" s="65" t="s">
        <v>607</v>
      </c>
      <c r="F1346" s="65" t="s">
        <v>607</v>
      </c>
      <c r="G1346" s="65" t="s">
        <v>607</v>
      </c>
      <c r="H1346" s="52" t="s">
        <v>607</v>
      </c>
      <c r="I1346" s="52" t="s">
        <v>607</v>
      </c>
      <c r="J1346" s="52" t="s">
        <v>607</v>
      </c>
      <c r="K1346" s="52" t="s">
        <v>607</v>
      </c>
      <c r="L1346" s="52" t="s">
        <v>607</v>
      </c>
      <c r="M1346" s="52" t="s">
        <v>607</v>
      </c>
      <c r="N1346" s="52" t="s">
        <v>607</v>
      </c>
      <c r="O1346" s="52"/>
      <c r="P1346" s="52"/>
      <c r="Q1346" s="52"/>
      <c r="R1346" s="51" t="b">
        <v>0</v>
      </c>
      <c r="S1346" s="51"/>
      <c r="T1346" s="52"/>
      <c r="U1346" s="51" t="b">
        <v>0</v>
      </c>
      <c r="V1346" s="51" t="b">
        <v>0</v>
      </c>
      <c r="W1346" s="51" t="b">
        <v>0</v>
      </c>
      <c r="X1346" s="51" t="b">
        <v>0</v>
      </c>
      <c r="Y1346" s="51" t="b">
        <v>0</v>
      </c>
      <c r="Z1346" s="51" t="b">
        <v>0</v>
      </c>
      <c r="AA1346" s="68"/>
      <c r="AB1346" s="52"/>
      <c r="AC1346" s="52"/>
      <c r="AD1346" s="52"/>
      <c r="AE1346" s="56" t="s">
        <v>607</v>
      </c>
      <c r="AF1346" s="56" t="s">
        <v>607</v>
      </c>
    </row>
    <row r="1347">
      <c r="A1347" s="52" t="s">
        <v>4616</v>
      </c>
      <c r="B1347" s="52" t="s">
        <v>19</v>
      </c>
      <c r="C1347" s="52" t="s">
        <v>66</v>
      </c>
      <c r="D1347" s="65"/>
      <c r="E1347" s="65"/>
      <c r="F1347" s="65"/>
      <c r="G1347" s="65"/>
      <c r="H1347" s="52"/>
      <c r="I1347" s="52"/>
      <c r="J1347" s="52"/>
      <c r="K1347" s="52"/>
      <c r="L1347" s="52"/>
      <c r="M1347" s="52"/>
      <c r="N1347" s="52"/>
      <c r="O1347" s="52"/>
      <c r="P1347" s="52"/>
      <c r="Q1347" s="52"/>
      <c r="R1347" s="51" t="b">
        <v>0</v>
      </c>
      <c r="S1347" s="51"/>
      <c r="T1347" s="52"/>
      <c r="U1347" s="51" t="b">
        <v>0</v>
      </c>
      <c r="V1347" s="51" t="b">
        <v>0</v>
      </c>
      <c r="W1347" s="51" t="b">
        <v>0</v>
      </c>
      <c r="X1347" s="51" t="b">
        <v>0</v>
      </c>
      <c r="Y1347" s="51" t="b">
        <v>0</v>
      </c>
      <c r="Z1347" s="51" t="b">
        <v>0</v>
      </c>
      <c r="AA1347" s="68"/>
      <c r="AB1347" s="52"/>
      <c r="AC1347" s="52"/>
      <c r="AD1347" s="52"/>
      <c r="AE1347" s="56"/>
      <c r="AF1347" s="56"/>
    </row>
    <row r="1348">
      <c r="A1348" s="52" t="s">
        <v>4617</v>
      </c>
      <c r="B1348" s="52" t="s">
        <v>19</v>
      </c>
      <c r="C1348" s="52" t="s">
        <v>221</v>
      </c>
      <c r="D1348" s="65"/>
      <c r="E1348" s="65"/>
      <c r="F1348" s="65"/>
      <c r="G1348" s="65"/>
      <c r="H1348" s="52"/>
      <c r="I1348" s="52"/>
      <c r="J1348" s="52"/>
      <c r="K1348" s="52"/>
      <c r="L1348" s="52"/>
      <c r="M1348" s="52"/>
      <c r="N1348" s="52"/>
      <c r="O1348" s="52"/>
      <c r="P1348" s="52"/>
      <c r="Q1348" s="52"/>
      <c r="R1348" s="51" t="b">
        <v>0</v>
      </c>
      <c r="S1348" s="51"/>
      <c r="T1348" s="52"/>
      <c r="U1348" s="51" t="b">
        <v>0</v>
      </c>
      <c r="V1348" s="51" t="b">
        <v>0</v>
      </c>
      <c r="W1348" s="51" t="b">
        <v>0</v>
      </c>
      <c r="X1348" s="51" t="b">
        <v>0</v>
      </c>
      <c r="Y1348" s="51" t="b">
        <v>0</v>
      </c>
      <c r="Z1348" s="51" t="b">
        <v>0</v>
      </c>
      <c r="AA1348" s="68"/>
      <c r="AB1348" s="52"/>
      <c r="AC1348" s="52"/>
      <c r="AD1348" s="52"/>
      <c r="AE1348" s="56"/>
      <c r="AF1348" s="56"/>
    </row>
    <row r="1349">
      <c r="A1349" s="52" t="s">
        <v>4618</v>
      </c>
      <c r="B1349" s="52" t="s">
        <v>19</v>
      </c>
      <c r="C1349" s="52" t="s">
        <v>221</v>
      </c>
      <c r="D1349" s="65"/>
      <c r="E1349" s="65"/>
      <c r="F1349" s="65"/>
      <c r="G1349" s="65"/>
      <c r="H1349" s="52"/>
      <c r="I1349" s="52"/>
      <c r="J1349" s="52"/>
      <c r="K1349" s="52"/>
      <c r="L1349" s="52"/>
      <c r="M1349" s="52"/>
      <c r="N1349" s="52"/>
      <c r="O1349" s="52"/>
      <c r="P1349" s="52"/>
      <c r="Q1349" s="52"/>
      <c r="R1349" s="51" t="b">
        <v>0</v>
      </c>
      <c r="S1349" s="51"/>
      <c r="T1349" s="52"/>
      <c r="U1349" s="51" t="b">
        <v>0</v>
      </c>
      <c r="V1349" s="51" t="b">
        <v>0</v>
      </c>
      <c r="W1349" s="51" t="b">
        <v>0</v>
      </c>
      <c r="X1349" s="51" t="b">
        <v>0</v>
      </c>
      <c r="Y1349" s="51" t="b">
        <v>0</v>
      </c>
      <c r="Z1349" s="51" t="b">
        <v>0</v>
      </c>
      <c r="AA1349" s="68"/>
      <c r="AB1349" s="52"/>
      <c r="AC1349" s="52"/>
      <c r="AD1349" s="52"/>
      <c r="AE1349" s="56"/>
      <c r="AF1349" s="56"/>
    </row>
    <row r="1350">
      <c r="A1350" s="52" t="s">
        <v>4619</v>
      </c>
      <c r="B1350" s="52" t="s">
        <v>19</v>
      </c>
      <c r="C1350" s="52"/>
      <c r="D1350" s="65"/>
      <c r="E1350" s="65"/>
      <c r="F1350" s="65"/>
      <c r="G1350" s="65"/>
      <c r="H1350" s="52"/>
      <c r="I1350" s="52"/>
      <c r="J1350" s="52"/>
      <c r="K1350" s="52"/>
      <c r="L1350" s="52"/>
      <c r="M1350" s="52"/>
      <c r="N1350" s="52"/>
      <c r="O1350" s="52"/>
      <c r="P1350" s="52"/>
      <c r="Q1350" s="52"/>
      <c r="R1350" s="51" t="b">
        <v>0</v>
      </c>
      <c r="S1350" s="51"/>
      <c r="T1350" s="52"/>
      <c r="U1350" s="51" t="b">
        <v>0</v>
      </c>
      <c r="V1350" s="51" t="b">
        <v>0</v>
      </c>
      <c r="W1350" s="51" t="b">
        <v>0</v>
      </c>
      <c r="X1350" s="51" t="b">
        <v>0</v>
      </c>
      <c r="Y1350" s="51" t="b">
        <v>0</v>
      </c>
      <c r="Z1350" s="51" t="b">
        <v>0</v>
      </c>
      <c r="AA1350" s="68"/>
      <c r="AB1350" s="52"/>
      <c r="AC1350" s="52"/>
      <c r="AD1350" s="52"/>
      <c r="AE1350" s="56"/>
      <c r="AF1350" s="56"/>
    </row>
    <row r="1351">
      <c r="A1351" s="52" t="s">
        <v>4620</v>
      </c>
      <c r="B1351" s="52" t="s">
        <v>19</v>
      </c>
      <c r="C1351" s="52" t="s">
        <v>221</v>
      </c>
      <c r="D1351" s="65"/>
      <c r="E1351" s="65"/>
      <c r="F1351" s="65"/>
      <c r="G1351" s="65"/>
      <c r="H1351" s="52"/>
      <c r="I1351" s="52"/>
      <c r="J1351" s="52"/>
      <c r="K1351" s="52"/>
      <c r="L1351" s="52"/>
      <c r="M1351" s="52"/>
      <c r="N1351" s="52"/>
      <c r="O1351" s="52"/>
      <c r="P1351" s="52"/>
      <c r="Q1351" s="52"/>
      <c r="R1351" s="51" t="b">
        <v>0</v>
      </c>
      <c r="S1351" s="51"/>
      <c r="T1351" s="52"/>
      <c r="U1351" s="51" t="b">
        <v>0</v>
      </c>
      <c r="V1351" s="51" t="b">
        <v>0</v>
      </c>
      <c r="W1351" s="51" t="b">
        <v>0</v>
      </c>
      <c r="X1351" s="51" t="b">
        <v>0</v>
      </c>
      <c r="Y1351" s="51" t="b">
        <v>0</v>
      </c>
      <c r="Z1351" s="51" t="b">
        <v>0</v>
      </c>
      <c r="AA1351" s="68"/>
      <c r="AB1351" s="52"/>
      <c r="AC1351" s="52"/>
      <c r="AD1351" s="52"/>
      <c r="AE1351" s="56"/>
      <c r="AF1351" s="56"/>
    </row>
    <row r="1352">
      <c r="A1352" s="52" t="s">
        <v>4621</v>
      </c>
      <c r="B1352" s="52" t="s">
        <v>19</v>
      </c>
      <c r="C1352" s="52" t="s">
        <v>221</v>
      </c>
      <c r="D1352" s="65"/>
      <c r="E1352" s="65"/>
      <c r="F1352" s="65"/>
      <c r="G1352" s="65"/>
      <c r="H1352" s="52"/>
      <c r="I1352" s="52"/>
      <c r="J1352" s="52"/>
      <c r="K1352" s="52"/>
      <c r="L1352" s="52"/>
      <c r="M1352" s="52"/>
      <c r="N1352" s="52"/>
      <c r="O1352" s="52"/>
      <c r="P1352" s="52"/>
      <c r="Q1352" s="52"/>
      <c r="R1352" s="51" t="b">
        <v>0</v>
      </c>
      <c r="S1352" s="51"/>
      <c r="T1352" s="52"/>
      <c r="U1352" s="51" t="b">
        <v>0</v>
      </c>
      <c r="V1352" s="51" t="b">
        <v>0</v>
      </c>
      <c r="W1352" s="51" t="b">
        <v>0</v>
      </c>
      <c r="X1352" s="51" t="b">
        <v>0</v>
      </c>
      <c r="Y1352" s="51" t="b">
        <v>0</v>
      </c>
      <c r="Z1352" s="51" t="b">
        <v>0</v>
      </c>
      <c r="AA1352" s="68"/>
      <c r="AB1352" s="52"/>
      <c r="AC1352" s="52"/>
      <c r="AD1352" s="52"/>
      <c r="AE1352" s="56"/>
      <c r="AF1352" s="56"/>
    </row>
    <row r="1353">
      <c r="A1353" s="52" t="s">
        <v>4622</v>
      </c>
      <c r="B1353" s="52" t="s">
        <v>607</v>
      </c>
      <c r="C1353" s="52" t="s">
        <v>607</v>
      </c>
      <c r="D1353" s="65" t="s">
        <v>607</v>
      </c>
      <c r="E1353" s="65" t="s">
        <v>607</v>
      </c>
      <c r="F1353" s="65" t="s">
        <v>607</v>
      </c>
      <c r="G1353" s="65" t="s">
        <v>607</v>
      </c>
      <c r="H1353" s="52" t="s">
        <v>607</v>
      </c>
      <c r="I1353" s="52" t="s">
        <v>607</v>
      </c>
      <c r="J1353" s="52" t="s">
        <v>607</v>
      </c>
      <c r="K1353" s="52" t="s">
        <v>607</v>
      </c>
      <c r="L1353" s="52" t="s">
        <v>607</v>
      </c>
      <c r="M1353" s="52" t="s">
        <v>607</v>
      </c>
      <c r="N1353" s="52" t="s">
        <v>607</v>
      </c>
      <c r="O1353" s="52"/>
      <c r="P1353" s="52"/>
      <c r="Q1353" s="52"/>
      <c r="R1353" s="51" t="b">
        <v>0</v>
      </c>
      <c r="S1353" s="51"/>
      <c r="T1353" s="52"/>
      <c r="U1353" s="51" t="b">
        <v>0</v>
      </c>
      <c r="V1353" s="51" t="b">
        <v>0</v>
      </c>
      <c r="W1353" s="51" t="b">
        <v>0</v>
      </c>
      <c r="X1353" s="51" t="b">
        <v>0</v>
      </c>
      <c r="Y1353" s="51" t="b">
        <v>0</v>
      </c>
      <c r="Z1353" s="51" t="b">
        <v>0</v>
      </c>
      <c r="AA1353" s="68"/>
      <c r="AB1353" s="52"/>
      <c r="AC1353" s="52"/>
      <c r="AD1353" s="52"/>
      <c r="AE1353" s="56" t="s">
        <v>607</v>
      </c>
      <c r="AF1353" s="56" t="s">
        <v>607</v>
      </c>
    </row>
    <row r="1354">
      <c r="A1354" s="52" t="s">
        <v>4623</v>
      </c>
      <c r="B1354" s="52" t="s">
        <v>19</v>
      </c>
      <c r="C1354" s="52" t="s">
        <v>289</v>
      </c>
      <c r="D1354" s="65"/>
      <c r="E1354" s="65"/>
      <c r="F1354" s="65"/>
      <c r="G1354" s="65"/>
      <c r="H1354" s="52"/>
      <c r="I1354" s="52"/>
      <c r="J1354" s="52"/>
      <c r="K1354" s="52"/>
      <c r="L1354" s="52"/>
      <c r="M1354" s="52"/>
      <c r="N1354" s="52"/>
      <c r="O1354" s="52"/>
      <c r="P1354" s="52"/>
      <c r="Q1354" s="52"/>
      <c r="R1354" s="51" t="b">
        <v>0</v>
      </c>
      <c r="S1354" s="51"/>
      <c r="T1354" s="52"/>
      <c r="U1354" s="51" t="b">
        <v>0</v>
      </c>
      <c r="V1354" s="51" t="b">
        <v>0</v>
      </c>
      <c r="W1354" s="51" t="b">
        <v>0</v>
      </c>
      <c r="X1354" s="51" t="b">
        <v>0</v>
      </c>
      <c r="Y1354" s="51" t="b">
        <v>0</v>
      </c>
      <c r="Z1354" s="51" t="b">
        <v>0</v>
      </c>
      <c r="AA1354" s="68"/>
      <c r="AB1354" s="52"/>
      <c r="AC1354" s="52"/>
      <c r="AD1354" s="52"/>
      <c r="AE1354" s="56"/>
      <c r="AF1354" s="56"/>
    </row>
    <row r="1355">
      <c r="A1355" s="52" t="s">
        <v>4624</v>
      </c>
      <c r="B1355" s="52" t="s">
        <v>19</v>
      </c>
      <c r="C1355" s="52" t="s">
        <v>289</v>
      </c>
      <c r="D1355" s="65"/>
      <c r="E1355" s="65"/>
      <c r="F1355" s="65"/>
      <c r="G1355" s="65"/>
      <c r="H1355" s="52"/>
      <c r="I1355" s="52"/>
      <c r="J1355" s="52"/>
      <c r="K1355" s="52"/>
      <c r="L1355" s="52"/>
      <c r="M1355" s="52"/>
      <c r="N1355" s="52"/>
      <c r="O1355" s="52"/>
      <c r="P1355" s="52"/>
      <c r="Q1355" s="52"/>
      <c r="R1355" s="51" t="b">
        <v>0</v>
      </c>
      <c r="S1355" s="51"/>
      <c r="T1355" s="52"/>
      <c r="U1355" s="51" t="b">
        <v>0</v>
      </c>
      <c r="V1355" s="51" t="b">
        <v>0</v>
      </c>
      <c r="W1355" s="51" t="b">
        <v>0</v>
      </c>
      <c r="X1355" s="51" t="b">
        <v>0</v>
      </c>
      <c r="Y1355" s="51" t="b">
        <v>0</v>
      </c>
      <c r="Z1355" s="51" t="b">
        <v>0</v>
      </c>
      <c r="AA1355" s="68"/>
      <c r="AB1355" s="52"/>
      <c r="AC1355" s="52"/>
      <c r="AD1355" s="52"/>
      <c r="AE1355" s="56"/>
      <c r="AF1355" s="56"/>
    </row>
    <row r="1356">
      <c r="A1356" s="52" t="s">
        <v>4625</v>
      </c>
      <c r="B1356" s="52" t="s">
        <v>19</v>
      </c>
      <c r="C1356" s="52" t="s">
        <v>289</v>
      </c>
      <c r="D1356" s="65"/>
      <c r="E1356" s="65"/>
      <c r="F1356" s="65"/>
      <c r="G1356" s="65"/>
      <c r="H1356" s="52"/>
      <c r="I1356" s="52"/>
      <c r="J1356" s="52"/>
      <c r="K1356" s="52"/>
      <c r="L1356" s="52"/>
      <c r="M1356" s="52"/>
      <c r="N1356" s="52"/>
      <c r="O1356" s="52"/>
      <c r="P1356" s="52"/>
      <c r="Q1356" s="52"/>
      <c r="R1356" s="51" t="b">
        <v>0</v>
      </c>
      <c r="S1356" s="51"/>
      <c r="T1356" s="52"/>
      <c r="U1356" s="51" t="b">
        <v>0</v>
      </c>
      <c r="V1356" s="51" t="b">
        <v>0</v>
      </c>
      <c r="W1356" s="51" t="b">
        <v>0</v>
      </c>
      <c r="X1356" s="51" t="b">
        <v>0</v>
      </c>
      <c r="Y1356" s="51" t="b">
        <v>0</v>
      </c>
      <c r="Z1356" s="51" t="b">
        <v>0</v>
      </c>
      <c r="AA1356" s="68"/>
      <c r="AB1356" s="52"/>
      <c r="AC1356" s="52"/>
      <c r="AD1356" s="52"/>
      <c r="AE1356" s="56"/>
      <c r="AF1356" s="56"/>
    </row>
    <row r="1357">
      <c r="A1357" s="52" t="s">
        <v>4626</v>
      </c>
      <c r="B1357" s="52" t="s">
        <v>19</v>
      </c>
      <c r="C1357" s="52" t="s">
        <v>289</v>
      </c>
      <c r="D1357" s="65"/>
      <c r="E1357" s="65"/>
      <c r="F1357" s="65"/>
      <c r="G1357" s="65"/>
      <c r="H1357" s="52"/>
      <c r="I1357" s="52"/>
      <c r="J1357" s="52"/>
      <c r="K1357" s="52"/>
      <c r="L1357" s="52"/>
      <c r="M1357" s="52"/>
      <c r="N1357" s="52"/>
      <c r="O1357" s="52"/>
      <c r="P1357" s="52"/>
      <c r="Q1357" s="52"/>
      <c r="R1357" s="51" t="b">
        <v>0</v>
      </c>
      <c r="S1357" s="51"/>
      <c r="T1357" s="52"/>
      <c r="U1357" s="51" t="b">
        <v>0</v>
      </c>
      <c r="V1357" s="51" t="b">
        <v>0</v>
      </c>
      <c r="W1357" s="51" t="b">
        <v>0</v>
      </c>
      <c r="X1357" s="51" t="b">
        <v>0</v>
      </c>
      <c r="Y1357" s="51" t="b">
        <v>0</v>
      </c>
      <c r="Z1357" s="51" t="b">
        <v>0</v>
      </c>
      <c r="AA1357" s="68"/>
      <c r="AB1357" s="52"/>
      <c r="AC1357" s="52"/>
      <c r="AD1357" s="52"/>
      <c r="AE1357" s="56"/>
      <c r="AF1357" s="56"/>
    </row>
    <row r="1358">
      <c r="A1358" s="52" t="s">
        <v>4627</v>
      </c>
      <c r="B1358" s="52" t="s">
        <v>19</v>
      </c>
      <c r="C1358" s="52" t="s">
        <v>289</v>
      </c>
      <c r="D1358" s="65"/>
      <c r="E1358" s="65"/>
      <c r="F1358" s="65"/>
      <c r="G1358" s="65"/>
      <c r="H1358" s="52"/>
      <c r="I1358" s="52"/>
      <c r="J1358" s="52"/>
      <c r="K1358" s="52"/>
      <c r="L1358" s="52"/>
      <c r="M1358" s="52"/>
      <c r="N1358" s="52"/>
      <c r="O1358" s="52"/>
      <c r="P1358" s="52"/>
      <c r="Q1358" s="52"/>
      <c r="R1358" s="51" t="b">
        <v>0</v>
      </c>
      <c r="S1358" s="51"/>
      <c r="T1358" s="52"/>
      <c r="U1358" s="51" t="b">
        <v>0</v>
      </c>
      <c r="V1358" s="51" t="b">
        <v>0</v>
      </c>
      <c r="W1358" s="51" t="b">
        <v>0</v>
      </c>
      <c r="X1358" s="51" t="b">
        <v>0</v>
      </c>
      <c r="Y1358" s="51" t="b">
        <v>0</v>
      </c>
      <c r="Z1358" s="51" t="b">
        <v>0</v>
      </c>
      <c r="AA1358" s="68"/>
      <c r="AB1358" s="52"/>
      <c r="AC1358" s="52"/>
      <c r="AD1358" s="52"/>
      <c r="AE1358" s="56"/>
      <c r="AF1358" s="56"/>
    </row>
    <row r="1359">
      <c r="A1359" s="52" t="s">
        <v>4628</v>
      </c>
      <c r="B1359" s="52" t="s">
        <v>19</v>
      </c>
      <c r="C1359" s="52" t="s">
        <v>289</v>
      </c>
      <c r="D1359" s="65"/>
      <c r="E1359" s="65"/>
      <c r="F1359" s="65"/>
      <c r="G1359" s="65"/>
      <c r="H1359" s="52"/>
      <c r="I1359" s="52"/>
      <c r="J1359" s="52"/>
      <c r="K1359" s="52"/>
      <c r="L1359" s="52"/>
      <c r="M1359" s="52"/>
      <c r="N1359" s="52"/>
      <c r="O1359" s="52"/>
      <c r="P1359" s="52"/>
      <c r="Q1359" s="52"/>
      <c r="R1359" s="51" t="b">
        <v>0</v>
      </c>
      <c r="S1359" s="51"/>
      <c r="T1359" s="52"/>
      <c r="U1359" s="51" t="b">
        <v>0</v>
      </c>
      <c r="V1359" s="51" t="b">
        <v>0</v>
      </c>
      <c r="W1359" s="51" t="b">
        <v>0</v>
      </c>
      <c r="X1359" s="51" t="b">
        <v>0</v>
      </c>
      <c r="Y1359" s="51" t="b">
        <v>0</v>
      </c>
      <c r="Z1359" s="51" t="b">
        <v>0</v>
      </c>
      <c r="AA1359" s="68"/>
      <c r="AB1359" s="52"/>
      <c r="AC1359" s="52"/>
      <c r="AD1359" s="52"/>
      <c r="AE1359" s="56"/>
      <c r="AF1359" s="56"/>
    </row>
    <row r="1360">
      <c r="A1360" s="52" t="s">
        <v>4629</v>
      </c>
      <c r="B1360" s="52" t="s">
        <v>607</v>
      </c>
      <c r="C1360" s="52" t="s">
        <v>607</v>
      </c>
      <c r="D1360" s="65" t="s">
        <v>607</v>
      </c>
      <c r="E1360" s="65" t="s">
        <v>607</v>
      </c>
      <c r="F1360" s="65" t="s">
        <v>607</v>
      </c>
      <c r="G1360" s="65" t="s">
        <v>607</v>
      </c>
      <c r="H1360" s="52" t="s">
        <v>607</v>
      </c>
      <c r="I1360" s="52" t="s">
        <v>607</v>
      </c>
      <c r="J1360" s="52" t="s">
        <v>607</v>
      </c>
      <c r="K1360" s="52" t="s">
        <v>607</v>
      </c>
      <c r="L1360" s="52" t="s">
        <v>607</v>
      </c>
      <c r="M1360" s="52" t="s">
        <v>607</v>
      </c>
      <c r="N1360" s="52" t="s">
        <v>607</v>
      </c>
      <c r="O1360" s="52"/>
      <c r="P1360" s="52"/>
      <c r="Q1360" s="52"/>
      <c r="R1360" s="51" t="b">
        <v>0</v>
      </c>
      <c r="S1360" s="51"/>
      <c r="T1360" s="52"/>
      <c r="U1360" s="51" t="b">
        <v>0</v>
      </c>
      <c r="V1360" s="51" t="b">
        <v>0</v>
      </c>
      <c r="W1360" s="51" t="b">
        <v>0</v>
      </c>
      <c r="X1360" s="51" t="b">
        <v>0</v>
      </c>
      <c r="Y1360" s="51" t="b">
        <v>0</v>
      </c>
      <c r="Z1360" s="51" t="b">
        <v>0</v>
      </c>
      <c r="AA1360" s="68"/>
      <c r="AB1360" s="52"/>
      <c r="AC1360" s="52"/>
      <c r="AD1360" s="52"/>
      <c r="AE1360" s="56" t="s">
        <v>607</v>
      </c>
      <c r="AF1360" s="56" t="s">
        <v>607</v>
      </c>
    </row>
    <row r="1361">
      <c r="A1361" s="52" t="s">
        <v>4630</v>
      </c>
      <c r="B1361" s="52" t="s">
        <v>607</v>
      </c>
      <c r="C1361" s="52" t="s">
        <v>607</v>
      </c>
      <c r="D1361" s="65" t="s">
        <v>607</v>
      </c>
      <c r="E1361" s="65" t="s">
        <v>607</v>
      </c>
      <c r="F1361" s="65" t="s">
        <v>607</v>
      </c>
      <c r="G1361" s="65" t="s">
        <v>607</v>
      </c>
      <c r="H1361" s="52" t="s">
        <v>607</v>
      </c>
      <c r="I1361" s="52" t="s">
        <v>607</v>
      </c>
      <c r="J1361" s="52" t="s">
        <v>607</v>
      </c>
      <c r="K1361" s="52" t="s">
        <v>607</v>
      </c>
      <c r="L1361" s="52" t="s">
        <v>607</v>
      </c>
      <c r="M1361" s="52" t="s">
        <v>607</v>
      </c>
      <c r="N1361" s="52" t="s">
        <v>607</v>
      </c>
      <c r="O1361" s="52"/>
      <c r="P1361" s="52"/>
      <c r="Q1361" s="52"/>
      <c r="R1361" s="51" t="b">
        <v>0</v>
      </c>
      <c r="S1361" s="51"/>
      <c r="T1361" s="52"/>
      <c r="U1361" s="51" t="b">
        <v>0</v>
      </c>
      <c r="V1361" s="51" t="b">
        <v>0</v>
      </c>
      <c r="W1361" s="51" t="b">
        <v>0</v>
      </c>
      <c r="X1361" s="51" t="b">
        <v>0</v>
      </c>
      <c r="Y1361" s="51" t="b">
        <v>0</v>
      </c>
      <c r="Z1361" s="51" t="b">
        <v>0</v>
      </c>
      <c r="AA1361" s="68"/>
      <c r="AB1361" s="52"/>
      <c r="AC1361" s="52"/>
      <c r="AD1361" s="52"/>
      <c r="AE1361" s="56" t="s">
        <v>607</v>
      </c>
      <c r="AF1361" s="56" t="s">
        <v>607</v>
      </c>
    </row>
    <row r="1362">
      <c r="A1362" s="52" t="s">
        <v>4631</v>
      </c>
      <c r="B1362" s="52" t="s">
        <v>19</v>
      </c>
      <c r="C1362" s="52" t="s">
        <v>289</v>
      </c>
      <c r="D1362" s="65">
        <v>0.552962962962963</v>
      </c>
      <c r="E1362" s="65">
        <v>0.012152777777777778</v>
      </c>
      <c r="F1362" s="65">
        <v>0.5651157407407408</v>
      </c>
      <c r="G1362" s="65" t="s">
        <v>280</v>
      </c>
      <c r="H1362" s="52" t="s">
        <v>74</v>
      </c>
      <c r="I1362" s="52" t="s">
        <v>1389</v>
      </c>
      <c r="J1362" s="52" t="s">
        <v>1390</v>
      </c>
      <c r="K1362" s="52" t="s">
        <v>1391</v>
      </c>
      <c r="L1362" s="52" t="s">
        <v>1392</v>
      </c>
      <c r="M1362" s="52" t="s">
        <v>1393</v>
      </c>
      <c r="N1362" s="52" t="s">
        <v>425</v>
      </c>
      <c r="O1362" s="52"/>
      <c r="P1362" s="69" t="s">
        <v>23</v>
      </c>
      <c r="Q1362" s="80" t="s">
        <v>4632</v>
      </c>
      <c r="R1362" s="51" t="b">
        <v>1</v>
      </c>
      <c r="S1362" s="52" t="s">
        <v>1389</v>
      </c>
      <c r="T1362" s="52"/>
      <c r="U1362" s="51" t="b">
        <v>0</v>
      </c>
      <c r="V1362" s="51" t="b">
        <v>1</v>
      </c>
      <c r="W1362" s="51" t="b">
        <v>1</v>
      </c>
      <c r="X1362" s="51" t="b">
        <v>0</v>
      </c>
      <c r="Y1362" s="51" t="b">
        <v>0</v>
      </c>
      <c r="Z1362" s="51" t="b">
        <v>0</v>
      </c>
      <c r="AA1362" s="71">
        <v>0.01207175925925926</v>
      </c>
      <c r="AB1362" s="69" t="s">
        <v>4633</v>
      </c>
      <c r="AC1362" s="52"/>
      <c r="AD1362" s="76" t="s">
        <v>4634</v>
      </c>
      <c r="AE1362" s="56" t="s">
        <v>629</v>
      </c>
      <c r="AF1362" s="56" t="s">
        <v>860</v>
      </c>
    </row>
    <row r="1363">
      <c r="A1363" s="52" t="s">
        <v>4635</v>
      </c>
      <c r="B1363" s="52" t="s">
        <v>14</v>
      </c>
      <c r="C1363" s="52" t="s">
        <v>66</v>
      </c>
      <c r="D1363" s="65">
        <v>0.49452546296296335</v>
      </c>
      <c r="E1363" s="65">
        <v>3.4722222222222224E-4</v>
      </c>
      <c r="F1363" s="65">
        <v>0.49487268518518557</v>
      </c>
      <c r="G1363" s="65"/>
      <c r="H1363" s="52" t="s">
        <v>87</v>
      </c>
      <c r="I1363" s="52" t="s">
        <v>88</v>
      </c>
      <c r="J1363" s="52" t="s">
        <v>69</v>
      </c>
      <c r="K1363" s="52"/>
      <c r="L1363" s="52"/>
      <c r="M1363" s="52"/>
      <c r="N1363" s="52"/>
      <c r="O1363" s="52"/>
      <c r="P1363" s="52"/>
      <c r="Q1363" s="52"/>
      <c r="R1363" s="51" t="b">
        <v>0</v>
      </c>
      <c r="S1363" s="51"/>
      <c r="T1363" s="52"/>
      <c r="U1363" s="51" t="b">
        <v>0</v>
      </c>
      <c r="V1363" s="51" t="b">
        <v>0</v>
      </c>
      <c r="W1363" s="51" t="b">
        <v>0</v>
      </c>
      <c r="X1363" s="51" t="b">
        <v>0</v>
      </c>
      <c r="Y1363" s="51" t="b">
        <v>0</v>
      </c>
      <c r="Z1363" s="51" t="b">
        <v>0</v>
      </c>
      <c r="AA1363" s="68"/>
      <c r="AB1363" s="52"/>
      <c r="AC1363" s="52"/>
      <c r="AD1363" s="52"/>
      <c r="AE1363" s="56"/>
      <c r="AF1363" s="56" t="s">
        <v>600</v>
      </c>
    </row>
    <row r="1364">
      <c r="A1364" s="52" t="s">
        <v>4636</v>
      </c>
      <c r="B1364" s="52" t="s">
        <v>14</v>
      </c>
      <c r="C1364" s="52" t="s">
        <v>66</v>
      </c>
      <c r="D1364" s="65">
        <v>0.48069444444444476</v>
      </c>
      <c r="E1364" s="65">
        <v>0.0020833333333333333</v>
      </c>
      <c r="F1364" s="65">
        <v>0.4827777777777781</v>
      </c>
      <c r="G1364" s="65"/>
      <c r="H1364" s="52" t="s">
        <v>83</v>
      </c>
      <c r="I1364" s="52" t="s">
        <v>118</v>
      </c>
      <c r="J1364" s="52" t="s">
        <v>90</v>
      </c>
      <c r="K1364" s="52"/>
      <c r="L1364" s="52"/>
      <c r="M1364" s="52"/>
      <c r="N1364" s="52" t="s">
        <v>70</v>
      </c>
      <c r="O1364" s="69" t="s">
        <v>1926</v>
      </c>
      <c r="P1364" s="69" t="s">
        <v>30</v>
      </c>
      <c r="Q1364" s="80" t="s">
        <v>1981</v>
      </c>
      <c r="R1364" s="51" t="b">
        <v>1</v>
      </c>
      <c r="S1364" s="84" t="s">
        <v>118</v>
      </c>
      <c r="T1364" s="52"/>
      <c r="U1364" s="51" t="b">
        <v>0</v>
      </c>
      <c r="V1364" s="51" t="b">
        <v>1</v>
      </c>
      <c r="W1364" s="51" t="b">
        <v>1</v>
      </c>
      <c r="X1364" s="51" t="b">
        <v>0</v>
      </c>
      <c r="Y1364" s="51" t="b">
        <v>1</v>
      </c>
      <c r="Z1364" s="51" t="b">
        <v>0</v>
      </c>
      <c r="AA1364" s="88">
        <v>0.0020833333333333333</v>
      </c>
      <c r="AB1364" s="69"/>
      <c r="AC1364" s="52"/>
      <c r="AD1364" s="73" t="s">
        <v>4324</v>
      </c>
      <c r="AE1364" s="56"/>
      <c r="AF1364" s="56"/>
    </row>
    <row r="1365">
      <c r="A1365" s="52" t="s">
        <v>4637</v>
      </c>
      <c r="B1365" s="52" t="s">
        <v>14</v>
      </c>
      <c r="C1365" s="52" t="s">
        <v>66</v>
      </c>
      <c r="D1365" s="65">
        <v>0.42696759259259265</v>
      </c>
      <c r="E1365" s="65">
        <v>0.0020833333333333333</v>
      </c>
      <c r="F1365" s="65">
        <v>0.429050925925926</v>
      </c>
      <c r="G1365" s="65"/>
      <c r="H1365" s="52" t="s">
        <v>83</v>
      </c>
      <c r="I1365" s="52" t="s">
        <v>84</v>
      </c>
      <c r="J1365" s="52"/>
      <c r="K1365" s="52"/>
      <c r="L1365" s="52"/>
      <c r="M1365" s="52"/>
      <c r="N1365" s="52"/>
      <c r="O1365" s="52"/>
      <c r="P1365" s="52"/>
      <c r="Q1365" s="52"/>
      <c r="R1365" s="51" t="b">
        <v>0</v>
      </c>
      <c r="S1365" s="51"/>
      <c r="T1365" s="52"/>
      <c r="U1365" s="51" t="b">
        <v>0</v>
      </c>
      <c r="V1365" s="51" t="b">
        <v>0</v>
      </c>
      <c r="W1365" s="51" t="b">
        <v>0</v>
      </c>
      <c r="X1365" s="51" t="b">
        <v>0</v>
      </c>
      <c r="Y1365" s="51" t="b">
        <v>0</v>
      </c>
      <c r="Z1365" s="51" t="b">
        <v>0</v>
      </c>
      <c r="AA1365" s="68"/>
      <c r="AB1365" s="52"/>
      <c r="AC1365" s="52"/>
      <c r="AD1365" s="52"/>
      <c r="AE1365" s="56"/>
      <c r="AF1365" s="56"/>
    </row>
    <row r="1366">
      <c r="A1366" s="52" t="s">
        <v>4638</v>
      </c>
      <c r="B1366" s="52" t="s">
        <v>14</v>
      </c>
      <c r="C1366" s="52" t="s">
        <v>221</v>
      </c>
      <c r="D1366" s="65">
        <v>0.4431712962962964</v>
      </c>
      <c r="E1366" s="65">
        <v>0.0020833333333333333</v>
      </c>
      <c r="F1366" s="65">
        <v>0.44525462962962975</v>
      </c>
      <c r="G1366" s="65"/>
      <c r="H1366" s="52" t="s">
        <v>165</v>
      </c>
      <c r="I1366" s="52" t="s">
        <v>231</v>
      </c>
      <c r="J1366" s="52" t="s">
        <v>232</v>
      </c>
      <c r="K1366" s="52"/>
      <c r="L1366" s="52"/>
      <c r="M1366" s="52"/>
      <c r="N1366" s="52"/>
      <c r="O1366" s="69" t="s">
        <v>884</v>
      </c>
      <c r="P1366" s="69" t="s">
        <v>30</v>
      </c>
      <c r="Q1366" s="80" t="s">
        <v>4639</v>
      </c>
      <c r="R1366" s="51" t="b">
        <v>1</v>
      </c>
      <c r="S1366" s="52" t="s">
        <v>231</v>
      </c>
      <c r="T1366" s="52"/>
      <c r="U1366" s="51" t="b">
        <v>0</v>
      </c>
      <c r="V1366" s="51" t="b">
        <v>1</v>
      </c>
      <c r="W1366" s="51" t="b">
        <v>1</v>
      </c>
      <c r="X1366" s="51" t="b">
        <v>0</v>
      </c>
      <c r="Y1366" s="51" t="b">
        <v>0</v>
      </c>
      <c r="Z1366" s="51" t="b">
        <v>0</v>
      </c>
      <c r="AA1366" s="71">
        <v>0.0020486111111111113</v>
      </c>
      <c r="AB1366" s="52"/>
      <c r="AC1366" s="52"/>
      <c r="AD1366" s="73" t="s">
        <v>4446</v>
      </c>
      <c r="AE1366" s="56" t="s">
        <v>743</v>
      </c>
      <c r="AF1366" s="56" t="s">
        <v>630</v>
      </c>
    </row>
    <row r="1367">
      <c r="A1367" s="52" t="s">
        <v>4640</v>
      </c>
      <c r="B1367" s="52" t="s">
        <v>607</v>
      </c>
      <c r="C1367" s="52" t="s">
        <v>607</v>
      </c>
      <c r="D1367" s="65" t="s">
        <v>607</v>
      </c>
      <c r="E1367" s="65" t="s">
        <v>607</v>
      </c>
      <c r="F1367" s="65" t="s">
        <v>607</v>
      </c>
      <c r="G1367" s="65" t="s">
        <v>607</v>
      </c>
      <c r="H1367" s="52" t="s">
        <v>607</v>
      </c>
      <c r="I1367" s="52" t="s">
        <v>607</v>
      </c>
      <c r="J1367" s="52" t="s">
        <v>607</v>
      </c>
      <c r="K1367" s="52" t="s">
        <v>607</v>
      </c>
      <c r="L1367" s="52" t="s">
        <v>607</v>
      </c>
      <c r="M1367" s="52" t="s">
        <v>607</v>
      </c>
      <c r="N1367" s="52" t="s">
        <v>607</v>
      </c>
      <c r="O1367" s="52"/>
      <c r="P1367" s="52"/>
      <c r="Q1367" s="52"/>
      <c r="R1367" s="51" t="b">
        <v>0</v>
      </c>
      <c r="S1367" s="51"/>
      <c r="T1367" s="52"/>
      <c r="U1367" s="51" t="b">
        <v>0</v>
      </c>
      <c r="V1367" s="51" t="b">
        <v>0</v>
      </c>
      <c r="W1367" s="51" t="b">
        <v>0</v>
      </c>
      <c r="X1367" s="51" t="b">
        <v>0</v>
      </c>
      <c r="Y1367" s="51" t="b">
        <v>0</v>
      </c>
      <c r="Z1367" s="51" t="b">
        <v>0</v>
      </c>
      <c r="AA1367" s="68"/>
      <c r="AB1367" s="52"/>
      <c r="AC1367" s="52"/>
      <c r="AD1367" s="52"/>
      <c r="AE1367" s="56" t="s">
        <v>607</v>
      </c>
      <c r="AF1367" s="56" t="s">
        <v>607</v>
      </c>
    </row>
    <row r="1368">
      <c r="A1368" s="52" t="s">
        <v>4641</v>
      </c>
      <c r="B1368" s="52" t="s">
        <v>607</v>
      </c>
      <c r="C1368" s="52" t="s">
        <v>607</v>
      </c>
      <c r="D1368" s="65" t="s">
        <v>607</v>
      </c>
      <c r="E1368" s="65" t="s">
        <v>607</v>
      </c>
      <c r="F1368" s="65" t="s">
        <v>607</v>
      </c>
      <c r="G1368" s="65" t="s">
        <v>607</v>
      </c>
      <c r="H1368" s="52" t="s">
        <v>607</v>
      </c>
      <c r="I1368" s="52" t="s">
        <v>607</v>
      </c>
      <c r="J1368" s="52" t="s">
        <v>607</v>
      </c>
      <c r="K1368" s="52" t="s">
        <v>607</v>
      </c>
      <c r="L1368" s="52" t="s">
        <v>607</v>
      </c>
      <c r="M1368" s="52" t="s">
        <v>607</v>
      </c>
      <c r="N1368" s="52" t="s">
        <v>607</v>
      </c>
      <c r="O1368" s="52"/>
      <c r="P1368" s="52"/>
      <c r="Q1368" s="52"/>
      <c r="R1368" s="51" t="b">
        <v>0</v>
      </c>
      <c r="S1368" s="51"/>
      <c r="T1368" s="52"/>
      <c r="U1368" s="51" t="b">
        <v>0</v>
      </c>
      <c r="V1368" s="51" t="b">
        <v>0</v>
      </c>
      <c r="W1368" s="51" t="b">
        <v>0</v>
      </c>
      <c r="X1368" s="51" t="b">
        <v>0</v>
      </c>
      <c r="Y1368" s="51" t="b">
        <v>0</v>
      </c>
      <c r="Z1368" s="51" t="b">
        <v>0</v>
      </c>
      <c r="AA1368" s="68"/>
      <c r="AB1368" s="52"/>
      <c r="AC1368" s="52"/>
      <c r="AD1368" s="52"/>
      <c r="AE1368" s="56" t="s">
        <v>607</v>
      </c>
      <c r="AF1368" s="56" t="s">
        <v>607</v>
      </c>
    </row>
    <row r="1369">
      <c r="A1369" s="52" t="s">
        <v>4642</v>
      </c>
      <c r="B1369" s="52" t="s">
        <v>19</v>
      </c>
      <c r="C1369" s="52" t="s">
        <v>289</v>
      </c>
      <c r="D1369" s="65">
        <v>0.6512731481481482</v>
      </c>
      <c r="E1369" s="65">
        <v>2.314814814814815E-4</v>
      </c>
      <c r="F1369" s="65">
        <v>0.6515046296296296</v>
      </c>
      <c r="G1369" s="65" t="s">
        <v>446</v>
      </c>
      <c r="H1369" s="52" t="s">
        <v>81</v>
      </c>
      <c r="I1369" s="52" t="s">
        <v>81</v>
      </c>
      <c r="J1369" s="52"/>
      <c r="K1369" s="52"/>
      <c r="L1369" s="52"/>
      <c r="M1369" s="52"/>
      <c r="N1369" s="52" t="s">
        <v>70</v>
      </c>
      <c r="O1369" s="52"/>
      <c r="P1369" s="52"/>
      <c r="Q1369" s="52"/>
      <c r="R1369" s="51" t="b">
        <v>0</v>
      </c>
      <c r="S1369" s="51"/>
      <c r="T1369" s="52"/>
      <c r="U1369" s="51" t="b">
        <v>0</v>
      </c>
      <c r="V1369" s="51" t="b">
        <v>0</v>
      </c>
      <c r="W1369" s="51" t="b">
        <v>0</v>
      </c>
      <c r="X1369" s="51" t="b">
        <v>0</v>
      </c>
      <c r="Y1369" s="51" t="b">
        <v>0</v>
      </c>
      <c r="Z1369" s="51" t="b">
        <v>0</v>
      </c>
      <c r="AA1369" s="68"/>
      <c r="AB1369" s="52"/>
      <c r="AC1369" s="52"/>
      <c r="AD1369" s="52"/>
      <c r="AE1369" s="56"/>
      <c r="AF1369" s="56" t="s">
        <v>1944</v>
      </c>
    </row>
    <row r="1370">
      <c r="A1370" s="52" t="s">
        <v>4643</v>
      </c>
      <c r="B1370" s="52" t="s">
        <v>607</v>
      </c>
      <c r="C1370" s="52" t="s">
        <v>607</v>
      </c>
      <c r="D1370" s="65" t="s">
        <v>607</v>
      </c>
      <c r="E1370" s="65" t="s">
        <v>607</v>
      </c>
      <c r="F1370" s="65" t="s">
        <v>607</v>
      </c>
      <c r="G1370" s="65" t="s">
        <v>607</v>
      </c>
      <c r="H1370" s="52" t="s">
        <v>607</v>
      </c>
      <c r="I1370" s="52" t="s">
        <v>607</v>
      </c>
      <c r="J1370" s="52" t="s">
        <v>607</v>
      </c>
      <c r="K1370" s="52" t="s">
        <v>607</v>
      </c>
      <c r="L1370" s="52" t="s">
        <v>607</v>
      </c>
      <c r="M1370" s="52" t="s">
        <v>607</v>
      </c>
      <c r="N1370" s="52" t="s">
        <v>607</v>
      </c>
      <c r="O1370" s="52"/>
      <c r="P1370" s="52"/>
      <c r="Q1370" s="52"/>
      <c r="R1370" s="51" t="b">
        <v>0</v>
      </c>
      <c r="S1370" s="51"/>
      <c r="T1370" s="52"/>
      <c r="U1370" s="51" t="b">
        <v>0</v>
      </c>
      <c r="V1370" s="51" t="b">
        <v>0</v>
      </c>
      <c r="W1370" s="51" t="b">
        <v>0</v>
      </c>
      <c r="X1370" s="51" t="b">
        <v>0</v>
      </c>
      <c r="Y1370" s="51" t="b">
        <v>0</v>
      </c>
      <c r="Z1370" s="51" t="b">
        <v>0</v>
      </c>
      <c r="AA1370" s="68"/>
      <c r="AB1370" s="52"/>
      <c r="AC1370" s="52"/>
      <c r="AD1370" s="52"/>
      <c r="AE1370" s="56" t="s">
        <v>607</v>
      </c>
      <c r="AF1370" s="56" t="s">
        <v>607</v>
      </c>
    </row>
    <row r="1371">
      <c r="A1371" s="52" t="s">
        <v>4645</v>
      </c>
      <c r="B1371" s="52" t="s">
        <v>14</v>
      </c>
      <c r="C1371" s="52" t="s">
        <v>221</v>
      </c>
      <c r="D1371" s="65">
        <v>0.6269444444444442</v>
      </c>
      <c r="E1371" s="65">
        <v>5.671296296296297E-4</v>
      </c>
      <c r="F1371" s="65">
        <v>0.6275115740740739</v>
      </c>
      <c r="G1371" s="65"/>
      <c r="H1371" s="52" t="s">
        <v>126</v>
      </c>
      <c r="I1371" s="52" t="s">
        <v>307</v>
      </c>
      <c r="J1371" s="52" t="s">
        <v>90</v>
      </c>
      <c r="K1371" s="52"/>
      <c r="L1371" s="52"/>
      <c r="M1371" s="52"/>
      <c r="N1371" s="52"/>
      <c r="O1371" s="52"/>
      <c r="P1371" s="69" t="s">
        <v>30</v>
      </c>
      <c r="Q1371" s="73" t="s">
        <v>4646</v>
      </c>
      <c r="R1371" s="51" t="b">
        <v>1</v>
      </c>
      <c r="S1371" s="110" t="s">
        <v>307</v>
      </c>
      <c r="T1371" s="52"/>
      <c r="U1371" s="51" t="b">
        <v>0</v>
      </c>
      <c r="V1371" s="51" t="b">
        <v>1</v>
      </c>
      <c r="W1371" s="51" t="b">
        <v>1</v>
      </c>
      <c r="X1371" s="51" t="b">
        <v>0</v>
      </c>
      <c r="Y1371" s="51" t="b">
        <v>0</v>
      </c>
      <c r="Z1371" s="51" t="b">
        <v>0</v>
      </c>
      <c r="AA1371" s="117">
        <v>0.034027777777777775</v>
      </c>
      <c r="AB1371" s="52"/>
      <c r="AC1371" s="52"/>
      <c r="AD1371" s="70" t="s">
        <v>4111</v>
      </c>
      <c r="AE1371" s="56"/>
      <c r="AF1371" s="56"/>
    </row>
    <row r="1372">
      <c r="A1372" s="52" t="s">
        <v>4647</v>
      </c>
      <c r="B1372" s="52" t="s">
        <v>14</v>
      </c>
      <c r="C1372" s="52" t="s">
        <v>221</v>
      </c>
      <c r="D1372" s="65">
        <v>0.5778703703703705</v>
      </c>
      <c r="E1372" s="65">
        <v>2.314814814814815E-4</v>
      </c>
      <c r="F1372" s="65">
        <v>0.5781018518518519</v>
      </c>
      <c r="G1372" s="65"/>
      <c r="H1372" s="52" t="s">
        <v>81</v>
      </c>
      <c r="I1372" s="52" t="s">
        <v>91</v>
      </c>
      <c r="J1372" s="52" t="s">
        <v>128</v>
      </c>
      <c r="K1372" s="52"/>
      <c r="L1372" s="52"/>
      <c r="M1372" s="52"/>
      <c r="N1372" s="52"/>
      <c r="O1372" s="52"/>
      <c r="P1372" s="52"/>
      <c r="Q1372" s="52"/>
      <c r="R1372" s="51" t="b">
        <v>0</v>
      </c>
      <c r="S1372" s="51"/>
      <c r="T1372" s="52"/>
      <c r="U1372" s="51" t="b">
        <v>0</v>
      </c>
      <c r="V1372" s="51" t="b">
        <v>0</v>
      </c>
      <c r="W1372" s="51" t="b">
        <v>0</v>
      </c>
      <c r="X1372" s="51" t="b">
        <v>0</v>
      </c>
      <c r="Y1372" s="51" t="b">
        <v>0</v>
      </c>
      <c r="Z1372" s="51" t="b">
        <v>0</v>
      </c>
      <c r="AA1372" s="68"/>
      <c r="AB1372" s="52"/>
      <c r="AC1372" s="52"/>
      <c r="AD1372" s="52"/>
      <c r="AE1372" s="56"/>
      <c r="AF1372" s="56"/>
    </row>
    <row r="1373">
      <c r="A1373" s="52" t="s">
        <v>4648</v>
      </c>
      <c r="B1373" s="52" t="s">
        <v>16</v>
      </c>
      <c r="C1373" s="52" t="s">
        <v>66</v>
      </c>
      <c r="D1373" s="65">
        <v>0.5404166666666671</v>
      </c>
      <c r="E1373" s="65">
        <v>0.010416666666666666</v>
      </c>
      <c r="F1373" s="65">
        <v>0.5508333333333337</v>
      </c>
      <c r="G1373" s="65" t="s">
        <v>151</v>
      </c>
      <c r="H1373" s="52" t="s">
        <v>94</v>
      </c>
      <c r="I1373" s="52" t="s">
        <v>522</v>
      </c>
      <c r="J1373" s="52" t="s">
        <v>523</v>
      </c>
      <c r="K1373" s="52"/>
      <c r="L1373" s="52"/>
      <c r="M1373" s="52"/>
      <c r="N1373" s="52" t="s">
        <v>524</v>
      </c>
      <c r="O1373" s="52"/>
      <c r="P1373" s="52"/>
      <c r="Q1373" s="52"/>
      <c r="R1373" s="51" t="b">
        <v>0</v>
      </c>
      <c r="S1373" s="51"/>
      <c r="T1373" s="52"/>
      <c r="U1373" s="51" t="b">
        <v>0</v>
      </c>
      <c r="V1373" s="51" t="b">
        <v>0</v>
      </c>
      <c r="W1373" s="51" t="b">
        <v>0</v>
      </c>
      <c r="X1373" s="51" t="b">
        <v>0</v>
      </c>
      <c r="Y1373" s="51" t="b">
        <v>0</v>
      </c>
      <c r="Z1373" s="51" t="b">
        <v>0</v>
      </c>
      <c r="AA1373" s="68"/>
      <c r="AB1373" s="52"/>
      <c r="AC1373" s="52"/>
      <c r="AD1373" s="52"/>
      <c r="AE1373" s="56" t="s">
        <v>652</v>
      </c>
      <c r="AF1373" s="56" t="s">
        <v>847</v>
      </c>
    </row>
    <row r="1374">
      <c r="A1374" s="52" t="s">
        <v>4649</v>
      </c>
      <c r="B1374" s="52" t="s">
        <v>19</v>
      </c>
      <c r="C1374" s="52" t="s">
        <v>221</v>
      </c>
      <c r="D1374" s="65">
        <v>0.6917129629629629</v>
      </c>
      <c r="E1374" s="65">
        <v>2.314814814814815E-4</v>
      </c>
      <c r="F1374" s="65">
        <v>0.6919444444444444</v>
      </c>
      <c r="G1374" s="65"/>
      <c r="H1374" s="52" t="s">
        <v>81</v>
      </c>
      <c r="I1374" s="52" t="s">
        <v>81</v>
      </c>
      <c r="J1374" s="52"/>
      <c r="K1374" s="52"/>
      <c r="L1374" s="52"/>
      <c r="M1374" s="52"/>
      <c r="N1374" s="52"/>
      <c r="O1374" s="52"/>
      <c r="P1374" s="52"/>
      <c r="Q1374" s="52"/>
      <c r="R1374" s="51" t="b">
        <v>0</v>
      </c>
      <c r="S1374" s="51"/>
      <c r="T1374" s="52"/>
      <c r="U1374" s="51" t="b">
        <v>0</v>
      </c>
      <c r="V1374" s="51" t="b">
        <v>0</v>
      </c>
      <c r="W1374" s="51" t="b">
        <v>0</v>
      </c>
      <c r="X1374" s="51" t="b">
        <v>0</v>
      </c>
      <c r="Y1374" s="51" t="b">
        <v>0</v>
      </c>
      <c r="Z1374" s="51" t="b">
        <v>0</v>
      </c>
      <c r="AA1374" s="68"/>
      <c r="AB1374" s="52"/>
      <c r="AC1374" s="52"/>
      <c r="AD1374" s="52"/>
      <c r="AE1374" s="56"/>
      <c r="AF1374" s="56" t="s">
        <v>1944</v>
      </c>
    </row>
    <row r="1375">
      <c r="A1375" s="52" t="s">
        <v>4650</v>
      </c>
      <c r="B1375" s="52" t="s">
        <v>607</v>
      </c>
      <c r="C1375" s="52" t="s">
        <v>607</v>
      </c>
      <c r="D1375" s="65" t="s">
        <v>607</v>
      </c>
      <c r="E1375" s="65" t="s">
        <v>607</v>
      </c>
      <c r="F1375" s="65" t="s">
        <v>607</v>
      </c>
      <c r="G1375" s="65" t="s">
        <v>607</v>
      </c>
      <c r="H1375" s="52" t="s">
        <v>607</v>
      </c>
      <c r="I1375" s="52" t="s">
        <v>607</v>
      </c>
      <c r="J1375" s="52" t="s">
        <v>607</v>
      </c>
      <c r="K1375" s="52" t="s">
        <v>607</v>
      </c>
      <c r="L1375" s="52" t="s">
        <v>607</v>
      </c>
      <c r="M1375" s="52" t="s">
        <v>607</v>
      </c>
      <c r="N1375" s="52" t="s">
        <v>607</v>
      </c>
      <c r="O1375" s="52"/>
      <c r="P1375" s="52"/>
      <c r="Q1375" s="52"/>
      <c r="R1375" s="51" t="b">
        <v>0</v>
      </c>
      <c r="S1375" s="51"/>
      <c r="T1375" s="52"/>
      <c r="U1375" s="51" t="b">
        <v>0</v>
      </c>
      <c r="V1375" s="51" t="b">
        <v>0</v>
      </c>
      <c r="W1375" s="51" t="b">
        <v>0</v>
      </c>
      <c r="X1375" s="51" t="b">
        <v>0</v>
      </c>
      <c r="Y1375" s="51" t="b">
        <v>0</v>
      </c>
      <c r="Z1375" s="51" t="b">
        <v>0</v>
      </c>
      <c r="AA1375" s="68"/>
      <c r="AB1375" s="52"/>
      <c r="AC1375" s="52"/>
      <c r="AD1375" s="52"/>
      <c r="AE1375" s="56" t="s">
        <v>607</v>
      </c>
      <c r="AF1375" s="56" t="s">
        <v>607</v>
      </c>
    </row>
    <row r="1376">
      <c r="A1376" s="52" t="s">
        <v>4651</v>
      </c>
      <c r="B1376" s="52" t="s">
        <v>607</v>
      </c>
      <c r="C1376" s="52" t="s">
        <v>607</v>
      </c>
      <c r="D1376" s="65" t="s">
        <v>607</v>
      </c>
      <c r="E1376" s="65" t="s">
        <v>607</v>
      </c>
      <c r="F1376" s="65" t="s">
        <v>607</v>
      </c>
      <c r="G1376" s="65" t="s">
        <v>607</v>
      </c>
      <c r="H1376" s="52" t="s">
        <v>607</v>
      </c>
      <c r="I1376" s="52" t="s">
        <v>607</v>
      </c>
      <c r="J1376" s="52" t="s">
        <v>607</v>
      </c>
      <c r="K1376" s="52" t="s">
        <v>607</v>
      </c>
      <c r="L1376" s="52" t="s">
        <v>607</v>
      </c>
      <c r="M1376" s="52" t="s">
        <v>607</v>
      </c>
      <c r="N1376" s="52" t="s">
        <v>607</v>
      </c>
      <c r="O1376" s="52"/>
      <c r="P1376" s="52"/>
      <c r="Q1376" s="52"/>
      <c r="R1376" s="51" t="b">
        <v>0</v>
      </c>
      <c r="S1376" s="51"/>
      <c r="T1376" s="52"/>
      <c r="U1376" s="51" t="b">
        <v>0</v>
      </c>
      <c r="V1376" s="51" t="b">
        <v>0</v>
      </c>
      <c r="W1376" s="51" t="b">
        <v>0</v>
      </c>
      <c r="X1376" s="51" t="b">
        <v>0</v>
      </c>
      <c r="Y1376" s="51" t="b">
        <v>0</v>
      </c>
      <c r="Z1376" s="51" t="b">
        <v>0</v>
      </c>
      <c r="AA1376" s="68"/>
      <c r="AB1376" s="52"/>
      <c r="AC1376" s="52"/>
      <c r="AD1376" s="52"/>
      <c r="AE1376" s="56" t="s">
        <v>607</v>
      </c>
      <c r="AF1376" s="56" t="s">
        <v>607</v>
      </c>
    </row>
    <row r="1377">
      <c r="A1377" s="52" t="s">
        <v>4652</v>
      </c>
      <c r="B1377" s="52" t="s">
        <v>14</v>
      </c>
      <c r="C1377" s="52" t="s">
        <v>66</v>
      </c>
      <c r="D1377" s="65">
        <v>0.47207175925925954</v>
      </c>
      <c r="E1377" s="65">
        <v>0.008043981481481482</v>
      </c>
      <c r="F1377" s="65">
        <v>0.48011574074074104</v>
      </c>
      <c r="G1377" s="65"/>
      <c r="H1377" s="52" t="s">
        <v>107</v>
      </c>
      <c r="I1377" s="52" t="s">
        <v>113</v>
      </c>
      <c r="J1377" s="52" t="s">
        <v>114</v>
      </c>
      <c r="K1377" s="52" t="s">
        <v>115</v>
      </c>
      <c r="L1377" s="52"/>
      <c r="M1377" s="52"/>
      <c r="N1377" s="52" t="s">
        <v>116</v>
      </c>
      <c r="O1377" s="52"/>
      <c r="P1377" s="69" t="s">
        <v>23</v>
      </c>
      <c r="Q1377" s="80" t="s">
        <v>4653</v>
      </c>
      <c r="R1377" s="51" t="b">
        <v>1</v>
      </c>
      <c r="S1377" s="52" t="s">
        <v>113</v>
      </c>
      <c r="T1377" s="52"/>
      <c r="U1377" s="51" t="b">
        <v>0</v>
      </c>
      <c r="V1377" s="51" t="b">
        <v>1</v>
      </c>
      <c r="W1377" s="51" t="b">
        <v>0</v>
      </c>
      <c r="X1377" s="51" t="b">
        <v>0</v>
      </c>
      <c r="Y1377" s="51" t="b">
        <v>1</v>
      </c>
      <c r="Z1377" s="51" t="b">
        <v>0</v>
      </c>
      <c r="AA1377" s="71">
        <v>0.008043981481481482</v>
      </c>
      <c r="AB1377" s="97" t="s">
        <v>4654</v>
      </c>
      <c r="AC1377" s="69" t="s">
        <v>4655</v>
      </c>
      <c r="AD1377" s="136" t="s">
        <v>4318</v>
      </c>
      <c r="AE1377" s="56" t="s">
        <v>629</v>
      </c>
      <c r="AF1377" s="56" t="s">
        <v>653</v>
      </c>
    </row>
    <row r="1378">
      <c r="A1378" s="52" t="s">
        <v>4656</v>
      </c>
      <c r="B1378" s="52" t="s">
        <v>14</v>
      </c>
      <c r="C1378" s="52" t="s">
        <v>66</v>
      </c>
      <c r="D1378" s="65"/>
      <c r="E1378" s="65"/>
      <c r="F1378" s="65"/>
      <c r="G1378" s="65"/>
      <c r="H1378" s="52"/>
      <c r="I1378" s="52"/>
      <c r="J1378" s="52"/>
      <c r="K1378" s="52"/>
      <c r="L1378" s="52"/>
      <c r="M1378" s="52"/>
      <c r="N1378" s="52"/>
      <c r="O1378" s="52"/>
      <c r="P1378" s="52"/>
      <c r="Q1378" s="52"/>
      <c r="R1378" s="51" t="b">
        <v>0</v>
      </c>
      <c r="S1378" s="51"/>
      <c r="T1378" s="52"/>
      <c r="U1378" s="51" t="b">
        <v>0</v>
      </c>
      <c r="V1378" s="51" t="b">
        <v>0</v>
      </c>
      <c r="W1378" s="51" t="b">
        <v>0</v>
      </c>
      <c r="X1378" s="51" t="b">
        <v>0</v>
      </c>
      <c r="Y1378" s="51" t="b">
        <v>0</v>
      </c>
      <c r="Z1378" s="51" t="b">
        <v>0</v>
      </c>
      <c r="AA1378" s="68"/>
      <c r="AB1378" s="52"/>
      <c r="AC1378" s="52"/>
      <c r="AD1378" s="52"/>
      <c r="AE1378" s="56"/>
      <c r="AF1378" s="56"/>
    </row>
    <row r="1379">
      <c r="A1379" s="52" t="s">
        <v>4657</v>
      </c>
      <c r="B1379" s="52" t="s">
        <v>607</v>
      </c>
      <c r="C1379" s="52" t="s">
        <v>607</v>
      </c>
      <c r="D1379" s="65" t="s">
        <v>607</v>
      </c>
      <c r="E1379" s="65" t="s">
        <v>607</v>
      </c>
      <c r="F1379" s="65" t="s">
        <v>607</v>
      </c>
      <c r="G1379" s="65" t="s">
        <v>607</v>
      </c>
      <c r="H1379" s="52" t="s">
        <v>607</v>
      </c>
      <c r="I1379" s="52" t="s">
        <v>607</v>
      </c>
      <c r="J1379" s="52" t="s">
        <v>607</v>
      </c>
      <c r="K1379" s="52" t="s">
        <v>607</v>
      </c>
      <c r="L1379" s="52" t="s">
        <v>607</v>
      </c>
      <c r="M1379" s="52" t="s">
        <v>607</v>
      </c>
      <c r="N1379" s="52" t="s">
        <v>607</v>
      </c>
      <c r="O1379" s="52"/>
      <c r="P1379" s="52"/>
      <c r="Q1379" s="52"/>
      <c r="R1379" s="51" t="b">
        <v>0</v>
      </c>
      <c r="S1379" s="51"/>
      <c r="T1379" s="52"/>
      <c r="U1379" s="51" t="b">
        <v>0</v>
      </c>
      <c r="V1379" s="51" t="b">
        <v>0</v>
      </c>
      <c r="W1379" s="51" t="b">
        <v>0</v>
      </c>
      <c r="X1379" s="51" t="b">
        <v>0</v>
      </c>
      <c r="Y1379" s="51" t="b">
        <v>0</v>
      </c>
      <c r="Z1379" s="51" t="b">
        <v>0</v>
      </c>
      <c r="AA1379" s="68"/>
      <c r="AB1379" s="52"/>
      <c r="AC1379" s="52"/>
      <c r="AD1379" s="52"/>
      <c r="AE1379" s="56" t="s">
        <v>607</v>
      </c>
      <c r="AF1379" s="56" t="s">
        <v>607</v>
      </c>
    </row>
    <row r="1380">
      <c r="A1380" s="52" t="s">
        <v>4658</v>
      </c>
      <c r="B1380" s="52" t="s">
        <v>607</v>
      </c>
      <c r="C1380" s="52" t="s">
        <v>607</v>
      </c>
      <c r="D1380" s="65" t="s">
        <v>607</v>
      </c>
      <c r="E1380" s="65" t="s">
        <v>607</v>
      </c>
      <c r="F1380" s="65" t="s">
        <v>607</v>
      </c>
      <c r="G1380" s="65" t="s">
        <v>607</v>
      </c>
      <c r="H1380" s="52" t="s">
        <v>607</v>
      </c>
      <c r="I1380" s="52" t="s">
        <v>607</v>
      </c>
      <c r="J1380" s="52" t="s">
        <v>607</v>
      </c>
      <c r="K1380" s="52" t="s">
        <v>607</v>
      </c>
      <c r="L1380" s="52" t="s">
        <v>607</v>
      </c>
      <c r="M1380" s="52" t="s">
        <v>607</v>
      </c>
      <c r="N1380" s="52" t="s">
        <v>607</v>
      </c>
      <c r="O1380" s="52"/>
      <c r="P1380" s="52"/>
      <c r="Q1380" s="52"/>
      <c r="R1380" s="51" t="b">
        <v>0</v>
      </c>
      <c r="S1380" s="51"/>
      <c r="T1380" s="52"/>
      <c r="U1380" s="51" t="b">
        <v>0</v>
      </c>
      <c r="V1380" s="51" t="b">
        <v>0</v>
      </c>
      <c r="W1380" s="51" t="b">
        <v>0</v>
      </c>
      <c r="X1380" s="51" t="b">
        <v>0</v>
      </c>
      <c r="Y1380" s="51" t="b">
        <v>0</v>
      </c>
      <c r="Z1380" s="51" t="b">
        <v>0</v>
      </c>
      <c r="AA1380" s="68"/>
      <c r="AB1380" s="52"/>
      <c r="AC1380" s="52"/>
      <c r="AD1380" s="52"/>
      <c r="AE1380" s="56" t="s">
        <v>607</v>
      </c>
      <c r="AF1380" s="56" t="s">
        <v>607</v>
      </c>
    </row>
    <row r="1381">
      <c r="A1381" s="52" t="s">
        <v>4659</v>
      </c>
      <c r="B1381" s="52" t="s">
        <v>607</v>
      </c>
      <c r="C1381" s="52" t="s">
        <v>607</v>
      </c>
      <c r="D1381" s="65" t="s">
        <v>607</v>
      </c>
      <c r="E1381" s="65" t="s">
        <v>607</v>
      </c>
      <c r="F1381" s="65" t="s">
        <v>607</v>
      </c>
      <c r="G1381" s="65" t="s">
        <v>607</v>
      </c>
      <c r="H1381" s="52" t="s">
        <v>607</v>
      </c>
      <c r="I1381" s="52" t="s">
        <v>607</v>
      </c>
      <c r="J1381" s="52" t="s">
        <v>607</v>
      </c>
      <c r="K1381" s="52" t="s">
        <v>607</v>
      </c>
      <c r="L1381" s="52" t="s">
        <v>607</v>
      </c>
      <c r="M1381" s="52" t="s">
        <v>607</v>
      </c>
      <c r="N1381" s="52" t="s">
        <v>607</v>
      </c>
      <c r="O1381" s="52"/>
      <c r="P1381" s="52"/>
      <c r="Q1381" s="52"/>
      <c r="R1381" s="51" t="b">
        <v>0</v>
      </c>
      <c r="S1381" s="51"/>
      <c r="T1381" s="52"/>
      <c r="U1381" s="51" t="b">
        <v>0</v>
      </c>
      <c r="V1381" s="51" t="b">
        <v>0</v>
      </c>
      <c r="W1381" s="51" t="b">
        <v>0</v>
      </c>
      <c r="X1381" s="51" t="b">
        <v>0</v>
      </c>
      <c r="Y1381" s="51" t="b">
        <v>0</v>
      </c>
      <c r="Z1381" s="51" t="b">
        <v>0</v>
      </c>
      <c r="AA1381" s="68"/>
      <c r="AB1381" s="52"/>
      <c r="AC1381" s="52"/>
      <c r="AD1381" s="52"/>
      <c r="AE1381" s="56" t="s">
        <v>607</v>
      </c>
      <c r="AF1381" s="56" t="s">
        <v>607</v>
      </c>
    </row>
    <row r="1382">
      <c r="A1382" s="52" t="s">
        <v>4660</v>
      </c>
      <c r="B1382" s="52" t="s">
        <v>607</v>
      </c>
      <c r="C1382" s="52" t="s">
        <v>607</v>
      </c>
      <c r="D1382" s="65" t="s">
        <v>607</v>
      </c>
      <c r="E1382" s="65" t="s">
        <v>607</v>
      </c>
      <c r="F1382" s="65" t="s">
        <v>607</v>
      </c>
      <c r="G1382" s="65" t="s">
        <v>607</v>
      </c>
      <c r="H1382" s="52" t="s">
        <v>607</v>
      </c>
      <c r="I1382" s="52" t="s">
        <v>607</v>
      </c>
      <c r="J1382" s="52" t="s">
        <v>607</v>
      </c>
      <c r="K1382" s="52" t="s">
        <v>607</v>
      </c>
      <c r="L1382" s="52" t="s">
        <v>607</v>
      </c>
      <c r="M1382" s="52" t="s">
        <v>607</v>
      </c>
      <c r="N1382" s="52" t="s">
        <v>607</v>
      </c>
      <c r="O1382" s="52"/>
      <c r="P1382" s="52"/>
      <c r="Q1382" s="52"/>
      <c r="R1382" s="51" t="b">
        <v>0</v>
      </c>
      <c r="S1382" s="51"/>
      <c r="T1382" s="52"/>
      <c r="U1382" s="51" t="b">
        <v>0</v>
      </c>
      <c r="V1382" s="51" t="b">
        <v>0</v>
      </c>
      <c r="W1382" s="51" t="b">
        <v>0</v>
      </c>
      <c r="X1382" s="51" t="b">
        <v>0</v>
      </c>
      <c r="Y1382" s="51" t="b">
        <v>0</v>
      </c>
      <c r="Z1382" s="51" t="b">
        <v>0</v>
      </c>
      <c r="AA1382" s="68"/>
      <c r="AB1382" s="52"/>
      <c r="AC1382" s="52"/>
      <c r="AD1382" s="52"/>
      <c r="AE1382" s="56" t="s">
        <v>607</v>
      </c>
      <c r="AF1382" s="56" t="s">
        <v>607</v>
      </c>
    </row>
    <row r="1383">
      <c r="A1383" s="52" t="s">
        <v>4661</v>
      </c>
      <c r="B1383" s="52" t="s">
        <v>19</v>
      </c>
      <c r="C1383" s="52" t="s">
        <v>66</v>
      </c>
      <c r="D1383" s="65">
        <v>0.5607291666666666</v>
      </c>
      <c r="E1383" s="65">
        <v>3.4722222222222224E-4</v>
      </c>
      <c r="F1383" s="65">
        <v>0.5610763888888889</v>
      </c>
      <c r="G1383" s="65" t="s">
        <v>146</v>
      </c>
      <c r="H1383" s="52" t="s">
        <v>81</v>
      </c>
      <c r="I1383" s="52" t="s">
        <v>81</v>
      </c>
      <c r="J1383" s="52"/>
      <c r="K1383" s="52"/>
      <c r="L1383" s="52"/>
      <c r="M1383" s="52"/>
      <c r="N1383" s="52" t="s">
        <v>70</v>
      </c>
      <c r="O1383" s="52"/>
      <c r="P1383" s="52"/>
      <c r="Q1383" s="52"/>
      <c r="R1383" s="51" t="b">
        <v>0</v>
      </c>
      <c r="S1383" s="51"/>
      <c r="T1383" s="52"/>
      <c r="U1383" s="51" t="b">
        <v>0</v>
      </c>
      <c r="V1383" s="51" t="b">
        <v>0</v>
      </c>
      <c r="W1383" s="51" t="b">
        <v>0</v>
      </c>
      <c r="X1383" s="51" t="b">
        <v>0</v>
      </c>
      <c r="Y1383" s="51" t="b">
        <v>0</v>
      </c>
      <c r="Z1383" s="51" t="b">
        <v>0</v>
      </c>
      <c r="AA1383" s="68"/>
      <c r="AB1383" s="52"/>
      <c r="AC1383" s="52"/>
      <c r="AD1383" s="52"/>
      <c r="AE1383" s="56"/>
      <c r="AF1383" s="56" t="s">
        <v>1944</v>
      </c>
    </row>
    <row r="1384">
      <c r="A1384" s="52" t="s">
        <v>4662</v>
      </c>
      <c r="B1384" s="52" t="s">
        <v>19</v>
      </c>
      <c r="C1384" s="52" t="s">
        <v>66</v>
      </c>
      <c r="D1384" s="65">
        <v>0.5610763888888889</v>
      </c>
      <c r="E1384" s="65">
        <v>0.012025462962962963</v>
      </c>
      <c r="F1384" s="65">
        <v>0.5731018518518518</v>
      </c>
      <c r="G1384" s="65" t="s">
        <v>146</v>
      </c>
      <c r="H1384" s="52" t="s">
        <v>94</v>
      </c>
      <c r="I1384" s="52" t="s">
        <v>1078</v>
      </c>
      <c r="J1384" s="52" t="s">
        <v>1079</v>
      </c>
      <c r="K1384" s="52"/>
      <c r="L1384" s="52"/>
      <c r="M1384" s="52"/>
      <c r="N1384" s="52" t="s">
        <v>1081</v>
      </c>
      <c r="O1384" s="69" t="s">
        <v>618</v>
      </c>
      <c r="P1384" s="69" t="s">
        <v>30</v>
      </c>
      <c r="Q1384" s="80" t="s">
        <v>4663</v>
      </c>
      <c r="R1384" s="51" t="b">
        <v>1</v>
      </c>
      <c r="S1384" s="52" t="s">
        <v>1078</v>
      </c>
      <c r="T1384" s="52"/>
      <c r="U1384" s="51" t="b">
        <v>0</v>
      </c>
      <c r="V1384" s="51" t="b">
        <v>1</v>
      </c>
      <c r="W1384" s="51" t="b">
        <v>1</v>
      </c>
      <c r="X1384" s="51" t="b">
        <v>0</v>
      </c>
      <c r="Y1384" s="51" t="b">
        <v>1</v>
      </c>
      <c r="Z1384" s="51" t="b">
        <v>0</v>
      </c>
      <c r="AA1384" s="71">
        <v>0.012025462962962963</v>
      </c>
      <c r="AB1384" s="52"/>
      <c r="AC1384" s="52"/>
      <c r="AD1384" s="73" t="s">
        <v>4664</v>
      </c>
      <c r="AE1384" s="56" t="s">
        <v>743</v>
      </c>
      <c r="AF1384" s="56" t="s">
        <v>726</v>
      </c>
    </row>
    <row r="1385">
      <c r="A1385" s="52" t="s">
        <v>4665</v>
      </c>
      <c r="B1385" s="52" t="s">
        <v>607</v>
      </c>
      <c r="C1385" s="52" t="s">
        <v>607</v>
      </c>
      <c r="D1385" s="65" t="s">
        <v>607</v>
      </c>
      <c r="E1385" s="65" t="s">
        <v>607</v>
      </c>
      <c r="F1385" s="65" t="s">
        <v>607</v>
      </c>
      <c r="G1385" s="65" t="s">
        <v>607</v>
      </c>
      <c r="H1385" s="52" t="s">
        <v>607</v>
      </c>
      <c r="I1385" s="52" t="s">
        <v>607</v>
      </c>
      <c r="J1385" s="52" t="s">
        <v>607</v>
      </c>
      <c r="K1385" s="52" t="s">
        <v>607</v>
      </c>
      <c r="L1385" s="52" t="s">
        <v>607</v>
      </c>
      <c r="M1385" s="52" t="s">
        <v>607</v>
      </c>
      <c r="N1385" s="52" t="s">
        <v>607</v>
      </c>
      <c r="O1385" s="52"/>
      <c r="P1385" s="52"/>
      <c r="Q1385" s="52"/>
      <c r="R1385" s="51" t="b">
        <v>0</v>
      </c>
      <c r="S1385" s="51"/>
      <c r="T1385" s="52"/>
      <c r="U1385" s="51" t="b">
        <v>0</v>
      </c>
      <c r="V1385" s="51" t="b">
        <v>0</v>
      </c>
      <c r="W1385" s="51" t="b">
        <v>0</v>
      </c>
      <c r="X1385" s="51" t="b">
        <v>0</v>
      </c>
      <c r="Y1385" s="51" t="b">
        <v>0</v>
      </c>
      <c r="Z1385" s="51" t="b">
        <v>0</v>
      </c>
      <c r="AA1385" s="68"/>
      <c r="AB1385" s="52"/>
      <c r="AC1385" s="52"/>
      <c r="AD1385" s="52"/>
      <c r="AE1385" s="56" t="s">
        <v>607</v>
      </c>
      <c r="AF1385" s="56" t="s">
        <v>607</v>
      </c>
    </row>
    <row r="1386">
      <c r="A1386" s="52" t="s">
        <v>4666</v>
      </c>
      <c r="B1386" s="52" t="s">
        <v>14</v>
      </c>
      <c r="C1386" s="52" t="s">
        <v>66</v>
      </c>
      <c r="D1386" s="65"/>
      <c r="E1386" s="65"/>
      <c r="F1386" s="65"/>
      <c r="G1386" s="65"/>
      <c r="H1386" s="52"/>
      <c r="I1386" s="52"/>
      <c r="J1386" s="52"/>
      <c r="K1386" s="52"/>
      <c r="L1386" s="52"/>
      <c r="M1386" s="52"/>
      <c r="N1386" s="52"/>
      <c r="O1386" s="52"/>
      <c r="P1386" s="52"/>
      <c r="Q1386" s="52"/>
      <c r="R1386" s="51" t="b">
        <v>0</v>
      </c>
      <c r="S1386" s="51"/>
      <c r="T1386" s="52"/>
      <c r="U1386" s="51" t="b">
        <v>0</v>
      </c>
      <c r="V1386" s="51" t="b">
        <v>0</v>
      </c>
      <c r="W1386" s="51" t="b">
        <v>0</v>
      </c>
      <c r="X1386" s="51" t="b">
        <v>0</v>
      </c>
      <c r="Y1386" s="51" t="b">
        <v>0</v>
      </c>
      <c r="Z1386" s="51" t="b">
        <v>0</v>
      </c>
      <c r="AA1386" s="68"/>
      <c r="AB1386" s="52"/>
      <c r="AC1386" s="52"/>
      <c r="AD1386" s="52"/>
      <c r="AE1386" s="56"/>
      <c r="AF1386" s="56"/>
    </row>
    <row r="1387">
      <c r="A1387" s="52" t="s">
        <v>4667</v>
      </c>
      <c r="B1387" s="52" t="s">
        <v>14</v>
      </c>
      <c r="C1387" s="52" t="s">
        <v>66</v>
      </c>
      <c r="D1387" s="65">
        <v>0.68724537037037</v>
      </c>
      <c r="E1387" s="65">
        <v>3.4722222222222224E-4</v>
      </c>
      <c r="F1387" s="65">
        <v>0.6875925925925923</v>
      </c>
      <c r="G1387" s="65"/>
      <c r="H1387" s="52" t="s">
        <v>87</v>
      </c>
      <c r="I1387" s="52" t="s">
        <v>88</v>
      </c>
      <c r="J1387" s="52" t="s">
        <v>69</v>
      </c>
      <c r="K1387" s="52"/>
      <c r="L1387" s="52"/>
      <c r="M1387" s="52"/>
      <c r="N1387" s="52"/>
      <c r="O1387" s="52"/>
      <c r="P1387" s="52"/>
      <c r="Q1387" s="52"/>
      <c r="R1387" s="51" t="b">
        <v>0</v>
      </c>
      <c r="S1387" s="51"/>
      <c r="T1387" s="52"/>
      <c r="U1387" s="51" t="b">
        <v>0</v>
      </c>
      <c r="V1387" s="51" t="b">
        <v>0</v>
      </c>
      <c r="W1387" s="51" t="b">
        <v>0</v>
      </c>
      <c r="X1387" s="51" t="b">
        <v>0</v>
      </c>
      <c r="Y1387" s="51" t="b">
        <v>0</v>
      </c>
      <c r="Z1387" s="51" t="b">
        <v>0</v>
      </c>
      <c r="AA1387" s="68"/>
      <c r="AB1387" s="52"/>
      <c r="AC1387" s="52"/>
      <c r="AD1387" s="52"/>
      <c r="AE1387" s="56"/>
      <c r="AF1387" s="56" t="s">
        <v>600</v>
      </c>
    </row>
    <row r="1388">
      <c r="A1388" s="52" t="s">
        <v>4668</v>
      </c>
      <c r="B1388" s="52" t="s">
        <v>607</v>
      </c>
      <c r="C1388" s="52" t="s">
        <v>607</v>
      </c>
      <c r="D1388" s="65" t="s">
        <v>607</v>
      </c>
      <c r="E1388" s="65" t="s">
        <v>607</v>
      </c>
      <c r="F1388" s="65" t="s">
        <v>607</v>
      </c>
      <c r="G1388" s="65" t="s">
        <v>607</v>
      </c>
      <c r="H1388" s="52" t="s">
        <v>607</v>
      </c>
      <c r="I1388" s="52" t="s">
        <v>607</v>
      </c>
      <c r="J1388" s="52" t="s">
        <v>607</v>
      </c>
      <c r="K1388" s="52" t="s">
        <v>607</v>
      </c>
      <c r="L1388" s="52" t="s">
        <v>607</v>
      </c>
      <c r="M1388" s="52" t="s">
        <v>607</v>
      </c>
      <c r="N1388" s="52" t="s">
        <v>607</v>
      </c>
      <c r="O1388" s="52"/>
      <c r="P1388" s="52"/>
      <c r="Q1388" s="52"/>
      <c r="R1388" s="51" t="b">
        <v>0</v>
      </c>
      <c r="S1388" s="51"/>
      <c r="T1388" s="52"/>
      <c r="U1388" s="51" t="b">
        <v>0</v>
      </c>
      <c r="V1388" s="51" t="b">
        <v>0</v>
      </c>
      <c r="W1388" s="51" t="b">
        <v>0</v>
      </c>
      <c r="X1388" s="51" t="b">
        <v>0</v>
      </c>
      <c r="Y1388" s="51" t="b">
        <v>0</v>
      </c>
      <c r="Z1388" s="51" t="b">
        <v>0</v>
      </c>
      <c r="AA1388" s="68"/>
      <c r="AB1388" s="52"/>
      <c r="AC1388" s="52"/>
      <c r="AD1388" s="52"/>
      <c r="AE1388" s="56" t="s">
        <v>607</v>
      </c>
      <c r="AF1388" s="56" t="s">
        <v>607</v>
      </c>
    </row>
    <row r="1389">
      <c r="A1389" s="52" t="s">
        <v>4669</v>
      </c>
      <c r="B1389" s="52" t="s">
        <v>14</v>
      </c>
      <c r="C1389" s="52" t="s">
        <v>66</v>
      </c>
      <c r="D1389" s="65">
        <v>0.7046064814814811</v>
      </c>
      <c r="E1389" s="65">
        <v>3.4722222222222224E-4</v>
      </c>
      <c r="F1389" s="65">
        <v>0.7049537037037034</v>
      </c>
      <c r="G1389" s="65"/>
      <c r="H1389" s="52" t="s">
        <v>89</v>
      </c>
      <c r="I1389" s="52" t="s">
        <v>80</v>
      </c>
      <c r="J1389" s="52" t="s">
        <v>69</v>
      </c>
      <c r="K1389" s="52"/>
      <c r="L1389" s="52"/>
      <c r="M1389" s="52"/>
      <c r="N1389" s="52"/>
      <c r="O1389" s="52"/>
      <c r="P1389" s="52"/>
      <c r="Q1389" s="52"/>
      <c r="R1389" s="51" t="b">
        <v>0</v>
      </c>
      <c r="S1389" s="51"/>
      <c r="T1389" s="52"/>
      <c r="U1389" s="51" t="b">
        <v>0</v>
      </c>
      <c r="V1389" s="51" t="b">
        <v>0</v>
      </c>
      <c r="W1389" s="51" t="b">
        <v>0</v>
      </c>
      <c r="X1389" s="51" t="b">
        <v>0</v>
      </c>
      <c r="Y1389" s="51" t="b">
        <v>0</v>
      </c>
      <c r="Z1389" s="51" t="b">
        <v>0</v>
      </c>
      <c r="AA1389" s="68"/>
      <c r="AB1389" s="52"/>
      <c r="AC1389" s="52"/>
      <c r="AD1389" s="52"/>
      <c r="AE1389" s="56"/>
      <c r="AF1389" s="56"/>
    </row>
    <row r="1390">
      <c r="A1390" s="52" t="s">
        <v>4670</v>
      </c>
      <c r="B1390" s="52" t="s">
        <v>607</v>
      </c>
      <c r="C1390" s="52" t="s">
        <v>607</v>
      </c>
      <c r="D1390" s="65" t="s">
        <v>607</v>
      </c>
      <c r="E1390" s="65" t="s">
        <v>607</v>
      </c>
      <c r="F1390" s="65" t="s">
        <v>607</v>
      </c>
      <c r="G1390" s="65" t="s">
        <v>607</v>
      </c>
      <c r="H1390" s="52" t="s">
        <v>607</v>
      </c>
      <c r="I1390" s="52" t="s">
        <v>607</v>
      </c>
      <c r="J1390" s="52" t="s">
        <v>607</v>
      </c>
      <c r="K1390" s="52" t="s">
        <v>607</v>
      </c>
      <c r="L1390" s="52" t="s">
        <v>607</v>
      </c>
      <c r="M1390" s="52" t="s">
        <v>607</v>
      </c>
      <c r="N1390" s="52" t="s">
        <v>607</v>
      </c>
      <c r="O1390" s="52"/>
      <c r="P1390" s="52"/>
      <c r="Q1390" s="52"/>
      <c r="R1390" s="51" t="b">
        <v>0</v>
      </c>
      <c r="S1390" s="51"/>
      <c r="T1390" s="52"/>
      <c r="U1390" s="51" t="b">
        <v>0</v>
      </c>
      <c r="V1390" s="51" t="b">
        <v>0</v>
      </c>
      <c r="W1390" s="51" t="b">
        <v>0</v>
      </c>
      <c r="X1390" s="51" t="b">
        <v>0</v>
      </c>
      <c r="Y1390" s="51" t="b">
        <v>0</v>
      </c>
      <c r="Z1390" s="51" t="b">
        <v>0</v>
      </c>
      <c r="AA1390" s="68"/>
      <c r="AB1390" s="52"/>
      <c r="AC1390" s="52"/>
      <c r="AD1390" s="52"/>
      <c r="AE1390" s="56" t="s">
        <v>607</v>
      </c>
      <c r="AF1390" s="56" t="s">
        <v>607</v>
      </c>
    </row>
    <row r="1391">
      <c r="A1391" s="52" t="s">
        <v>4671</v>
      </c>
      <c r="B1391" s="52" t="s">
        <v>14</v>
      </c>
      <c r="C1391" s="52" t="s">
        <v>221</v>
      </c>
      <c r="D1391" s="65">
        <v>0.5114583333333337</v>
      </c>
      <c r="E1391" s="65">
        <v>3.4722222222222224E-4</v>
      </c>
      <c r="F1391" s="65">
        <v>0.511805555555556</v>
      </c>
      <c r="G1391" s="65"/>
      <c r="H1391" s="52" t="s">
        <v>89</v>
      </c>
      <c r="I1391" s="52" t="s">
        <v>80</v>
      </c>
      <c r="J1391" s="52" t="s">
        <v>69</v>
      </c>
      <c r="K1391" s="52"/>
      <c r="L1391" s="52"/>
      <c r="M1391" s="52"/>
      <c r="N1391" s="52"/>
      <c r="O1391" s="52"/>
      <c r="P1391" s="52"/>
      <c r="Q1391" s="52"/>
      <c r="R1391" s="51" t="b">
        <v>0</v>
      </c>
      <c r="S1391" s="51"/>
      <c r="T1391" s="52"/>
      <c r="U1391" s="51" t="b">
        <v>0</v>
      </c>
      <c r="V1391" s="51" t="b">
        <v>0</v>
      </c>
      <c r="W1391" s="51" t="b">
        <v>0</v>
      </c>
      <c r="X1391" s="51" t="b">
        <v>0</v>
      </c>
      <c r="Y1391" s="51" t="b">
        <v>0</v>
      </c>
      <c r="Z1391" s="51" t="b">
        <v>0</v>
      </c>
      <c r="AA1391" s="68"/>
      <c r="AB1391" s="52"/>
      <c r="AC1391" s="52"/>
      <c r="AD1391" s="52"/>
      <c r="AE1391" s="56"/>
      <c r="AF1391" s="56"/>
    </row>
    <row r="1392">
      <c r="A1392" s="52" t="s">
        <v>4672</v>
      </c>
      <c r="B1392" s="52" t="s">
        <v>16</v>
      </c>
      <c r="C1392" s="52" t="s">
        <v>289</v>
      </c>
      <c r="D1392" s="65">
        <v>0.47171296296296317</v>
      </c>
      <c r="E1392" s="65">
        <v>3.4722222222222224E-4</v>
      </c>
      <c r="F1392" s="65">
        <v>0.4720601851851854</v>
      </c>
      <c r="G1392" s="65" t="s">
        <v>195</v>
      </c>
      <c r="H1392" s="52" t="s">
        <v>81</v>
      </c>
      <c r="I1392" s="52" t="s">
        <v>81</v>
      </c>
      <c r="J1392" s="52" t="s">
        <v>105</v>
      </c>
      <c r="K1392" s="52"/>
      <c r="L1392" s="52"/>
      <c r="M1392" s="52"/>
      <c r="N1392" s="52"/>
      <c r="O1392" s="52"/>
      <c r="P1392" s="52"/>
      <c r="Q1392" s="52"/>
      <c r="R1392" s="51" t="b">
        <v>0</v>
      </c>
      <c r="S1392" s="51"/>
      <c r="T1392" s="52"/>
      <c r="U1392" s="51" t="b">
        <v>0</v>
      </c>
      <c r="V1392" s="51" t="b">
        <v>0</v>
      </c>
      <c r="W1392" s="51" t="b">
        <v>0</v>
      </c>
      <c r="X1392" s="51" t="b">
        <v>0</v>
      </c>
      <c r="Y1392" s="51" t="b">
        <v>0</v>
      </c>
      <c r="Z1392" s="51" t="b">
        <v>0</v>
      </c>
      <c r="AA1392" s="68"/>
      <c r="AB1392" s="52"/>
      <c r="AC1392" s="52"/>
      <c r="AD1392" s="52"/>
      <c r="AE1392" s="56"/>
      <c r="AF1392" s="56"/>
    </row>
    <row r="1393">
      <c r="A1393" s="52" t="s">
        <v>4673</v>
      </c>
      <c r="B1393" s="52" t="s">
        <v>607</v>
      </c>
      <c r="C1393" s="52" t="s">
        <v>607</v>
      </c>
      <c r="D1393" s="65" t="s">
        <v>607</v>
      </c>
      <c r="E1393" s="65" t="s">
        <v>607</v>
      </c>
      <c r="F1393" s="65" t="s">
        <v>607</v>
      </c>
      <c r="G1393" s="65" t="s">
        <v>607</v>
      </c>
      <c r="H1393" s="52" t="s">
        <v>607</v>
      </c>
      <c r="I1393" s="52" t="s">
        <v>607</v>
      </c>
      <c r="J1393" s="52" t="s">
        <v>607</v>
      </c>
      <c r="K1393" s="52" t="s">
        <v>607</v>
      </c>
      <c r="L1393" s="52" t="s">
        <v>607</v>
      </c>
      <c r="M1393" s="52" t="s">
        <v>607</v>
      </c>
      <c r="N1393" s="52" t="s">
        <v>607</v>
      </c>
      <c r="O1393" s="52"/>
      <c r="P1393" s="52"/>
      <c r="Q1393" s="52"/>
      <c r="R1393" s="51" t="b">
        <v>0</v>
      </c>
      <c r="S1393" s="51"/>
      <c r="T1393" s="52"/>
      <c r="U1393" s="51" t="b">
        <v>0</v>
      </c>
      <c r="V1393" s="51" t="b">
        <v>0</v>
      </c>
      <c r="W1393" s="51" t="b">
        <v>0</v>
      </c>
      <c r="X1393" s="51" t="b">
        <v>0</v>
      </c>
      <c r="Y1393" s="51" t="b">
        <v>0</v>
      </c>
      <c r="Z1393" s="51" t="b">
        <v>0</v>
      </c>
      <c r="AA1393" s="68"/>
      <c r="AB1393" s="52"/>
      <c r="AC1393" s="52"/>
      <c r="AD1393" s="52"/>
      <c r="AE1393" s="56" t="s">
        <v>607</v>
      </c>
      <c r="AF1393" s="56" t="s">
        <v>607</v>
      </c>
    </row>
    <row r="1394">
      <c r="A1394" s="52" t="s">
        <v>4674</v>
      </c>
      <c r="B1394" s="52" t="s">
        <v>14</v>
      </c>
      <c r="C1394" s="52" t="s">
        <v>221</v>
      </c>
      <c r="D1394" s="65"/>
      <c r="E1394" s="65"/>
      <c r="F1394" s="65"/>
      <c r="G1394" s="65"/>
      <c r="H1394" s="52"/>
      <c r="I1394" s="52"/>
      <c r="J1394" s="52"/>
      <c r="K1394" s="52"/>
      <c r="L1394" s="52"/>
      <c r="M1394" s="52"/>
      <c r="N1394" s="52"/>
      <c r="O1394" s="52"/>
      <c r="P1394" s="52"/>
      <c r="Q1394" s="52"/>
      <c r="R1394" s="51" t="b">
        <v>0</v>
      </c>
      <c r="S1394" s="51"/>
      <c r="T1394" s="52"/>
      <c r="U1394" s="51" t="b">
        <v>0</v>
      </c>
      <c r="V1394" s="51" t="b">
        <v>0</v>
      </c>
      <c r="W1394" s="51" t="b">
        <v>0</v>
      </c>
      <c r="X1394" s="51" t="b">
        <v>0</v>
      </c>
      <c r="Y1394" s="51" t="b">
        <v>0</v>
      </c>
      <c r="Z1394" s="51" t="b">
        <v>0</v>
      </c>
      <c r="AA1394" s="68"/>
      <c r="AB1394" s="52"/>
      <c r="AC1394" s="52"/>
      <c r="AD1394" s="52"/>
      <c r="AE1394" s="56"/>
      <c r="AF1394" s="56"/>
    </row>
    <row r="1395">
      <c r="A1395" s="52" t="s">
        <v>4675</v>
      </c>
      <c r="B1395" s="52" t="s">
        <v>607</v>
      </c>
      <c r="C1395" s="52" t="s">
        <v>607</v>
      </c>
      <c r="D1395" s="65" t="s">
        <v>607</v>
      </c>
      <c r="E1395" s="65" t="s">
        <v>607</v>
      </c>
      <c r="F1395" s="65" t="s">
        <v>607</v>
      </c>
      <c r="G1395" s="65" t="s">
        <v>607</v>
      </c>
      <c r="H1395" s="52" t="s">
        <v>607</v>
      </c>
      <c r="I1395" s="52" t="s">
        <v>607</v>
      </c>
      <c r="J1395" s="52" t="s">
        <v>607</v>
      </c>
      <c r="K1395" s="52" t="s">
        <v>607</v>
      </c>
      <c r="L1395" s="52" t="s">
        <v>607</v>
      </c>
      <c r="M1395" s="52" t="s">
        <v>607</v>
      </c>
      <c r="N1395" s="52" t="s">
        <v>607</v>
      </c>
      <c r="O1395" s="52"/>
      <c r="P1395" s="52"/>
      <c r="Q1395" s="52"/>
      <c r="R1395" s="51" t="b">
        <v>0</v>
      </c>
      <c r="S1395" s="51"/>
      <c r="T1395" s="52"/>
      <c r="U1395" s="51" t="b">
        <v>0</v>
      </c>
      <c r="V1395" s="51" t="b">
        <v>0</v>
      </c>
      <c r="W1395" s="51" t="b">
        <v>0</v>
      </c>
      <c r="X1395" s="51" t="b">
        <v>0</v>
      </c>
      <c r="Y1395" s="51" t="b">
        <v>0</v>
      </c>
      <c r="Z1395" s="51" t="b">
        <v>0</v>
      </c>
      <c r="AA1395" s="68"/>
      <c r="AB1395" s="52"/>
      <c r="AC1395" s="52"/>
      <c r="AD1395" s="52"/>
      <c r="AE1395" s="56" t="s">
        <v>607</v>
      </c>
      <c r="AF1395" s="56" t="s">
        <v>607</v>
      </c>
    </row>
    <row r="1396">
      <c r="A1396" s="52" t="s">
        <v>4676</v>
      </c>
      <c r="B1396" s="52" t="s">
        <v>14</v>
      </c>
      <c r="C1396" s="52" t="s">
        <v>66</v>
      </c>
      <c r="D1396" s="65">
        <v>0.5692013888888888</v>
      </c>
      <c r="E1396" s="65">
        <v>3.4722222222222224E-4</v>
      </c>
      <c r="F1396" s="65">
        <v>0.5695486111111111</v>
      </c>
      <c r="G1396" s="65"/>
      <c r="H1396" s="52" t="s">
        <v>79</v>
      </c>
      <c r="I1396" s="52" t="s">
        <v>80</v>
      </c>
      <c r="J1396" s="52" t="s">
        <v>69</v>
      </c>
      <c r="K1396" s="52"/>
      <c r="L1396" s="52"/>
      <c r="M1396" s="52"/>
      <c r="N1396" s="52"/>
      <c r="O1396" s="52"/>
      <c r="P1396" s="52"/>
      <c r="Q1396" s="52"/>
      <c r="R1396" s="51" t="b">
        <v>0</v>
      </c>
      <c r="S1396" s="51"/>
      <c r="T1396" s="52"/>
      <c r="U1396" s="51" t="b">
        <v>0</v>
      </c>
      <c r="V1396" s="51" t="b">
        <v>0</v>
      </c>
      <c r="W1396" s="51" t="b">
        <v>0</v>
      </c>
      <c r="X1396" s="51" t="b">
        <v>0</v>
      </c>
      <c r="Y1396" s="51" t="b">
        <v>0</v>
      </c>
      <c r="Z1396" s="51" t="b">
        <v>0</v>
      </c>
      <c r="AA1396" s="68"/>
      <c r="AB1396" s="52"/>
      <c r="AC1396" s="52"/>
      <c r="AD1396" s="52"/>
      <c r="AE1396" s="56"/>
      <c r="AF1396" s="56"/>
    </row>
    <row r="1397">
      <c r="A1397" s="52" t="s">
        <v>4677</v>
      </c>
      <c r="B1397" s="52" t="s">
        <v>14</v>
      </c>
      <c r="C1397" s="52" t="s">
        <v>221</v>
      </c>
      <c r="D1397" s="65">
        <v>0.5143518518518522</v>
      </c>
      <c r="E1397" s="65">
        <v>3.4722222222222224E-4</v>
      </c>
      <c r="F1397" s="65">
        <v>0.5146990740740744</v>
      </c>
      <c r="G1397" s="65"/>
      <c r="H1397" s="52" t="s">
        <v>89</v>
      </c>
      <c r="I1397" s="52" t="s">
        <v>80</v>
      </c>
      <c r="J1397" s="52" t="s">
        <v>69</v>
      </c>
      <c r="K1397" s="52"/>
      <c r="L1397" s="52"/>
      <c r="M1397" s="52"/>
      <c r="N1397" s="52"/>
      <c r="O1397" s="52"/>
      <c r="P1397" s="52"/>
      <c r="Q1397" s="52"/>
      <c r="R1397" s="51" t="b">
        <v>0</v>
      </c>
      <c r="S1397" s="51"/>
      <c r="T1397" s="52"/>
      <c r="U1397" s="51" t="b">
        <v>0</v>
      </c>
      <c r="V1397" s="51" t="b">
        <v>0</v>
      </c>
      <c r="W1397" s="51" t="b">
        <v>0</v>
      </c>
      <c r="X1397" s="51" t="b">
        <v>0</v>
      </c>
      <c r="Y1397" s="51" t="b">
        <v>0</v>
      </c>
      <c r="Z1397" s="51" t="b">
        <v>0</v>
      </c>
      <c r="AA1397" s="68"/>
      <c r="AB1397" s="52"/>
      <c r="AC1397" s="52"/>
      <c r="AD1397" s="52"/>
      <c r="AE1397" s="56"/>
      <c r="AF1397" s="56"/>
    </row>
    <row r="1398">
      <c r="A1398" s="52" t="s">
        <v>4678</v>
      </c>
      <c r="B1398" s="52" t="s">
        <v>607</v>
      </c>
      <c r="C1398" s="52" t="s">
        <v>607</v>
      </c>
      <c r="D1398" s="65" t="s">
        <v>607</v>
      </c>
      <c r="E1398" s="65" t="s">
        <v>607</v>
      </c>
      <c r="F1398" s="65" t="s">
        <v>607</v>
      </c>
      <c r="G1398" s="65" t="s">
        <v>607</v>
      </c>
      <c r="H1398" s="52" t="s">
        <v>607</v>
      </c>
      <c r="I1398" s="52" t="s">
        <v>607</v>
      </c>
      <c r="J1398" s="52" t="s">
        <v>607</v>
      </c>
      <c r="K1398" s="52" t="s">
        <v>607</v>
      </c>
      <c r="L1398" s="52" t="s">
        <v>607</v>
      </c>
      <c r="M1398" s="52" t="s">
        <v>607</v>
      </c>
      <c r="N1398" s="52" t="s">
        <v>607</v>
      </c>
      <c r="O1398" s="52"/>
      <c r="P1398" s="52"/>
      <c r="Q1398" s="52"/>
      <c r="R1398" s="51" t="b">
        <v>0</v>
      </c>
      <c r="S1398" s="51"/>
      <c r="T1398" s="52"/>
      <c r="U1398" s="51" t="b">
        <v>0</v>
      </c>
      <c r="V1398" s="51" t="b">
        <v>0</v>
      </c>
      <c r="W1398" s="51" t="b">
        <v>0</v>
      </c>
      <c r="X1398" s="51" t="b">
        <v>0</v>
      </c>
      <c r="Y1398" s="51" t="b">
        <v>0</v>
      </c>
      <c r="Z1398" s="51" t="b">
        <v>0</v>
      </c>
      <c r="AA1398" s="68"/>
      <c r="AB1398" s="52"/>
      <c r="AC1398" s="52"/>
      <c r="AD1398" s="52"/>
      <c r="AE1398" s="56" t="s">
        <v>607</v>
      </c>
      <c r="AF1398" s="56" t="s">
        <v>607</v>
      </c>
    </row>
    <row r="1399">
      <c r="A1399" s="52" t="s">
        <v>4679</v>
      </c>
      <c r="B1399" s="52" t="s">
        <v>607</v>
      </c>
      <c r="C1399" s="52" t="s">
        <v>607</v>
      </c>
      <c r="D1399" s="65" t="s">
        <v>607</v>
      </c>
      <c r="E1399" s="65" t="s">
        <v>607</v>
      </c>
      <c r="F1399" s="65" t="s">
        <v>607</v>
      </c>
      <c r="G1399" s="65" t="s">
        <v>607</v>
      </c>
      <c r="H1399" s="52" t="s">
        <v>607</v>
      </c>
      <c r="I1399" s="52" t="s">
        <v>607</v>
      </c>
      <c r="J1399" s="52" t="s">
        <v>607</v>
      </c>
      <c r="K1399" s="52" t="s">
        <v>607</v>
      </c>
      <c r="L1399" s="52" t="s">
        <v>607</v>
      </c>
      <c r="M1399" s="52" t="s">
        <v>607</v>
      </c>
      <c r="N1399" s="52" t="s">
        <v>607</v>
      </c>
      <c r="O1399" s="52"/>
      <c r="P1399" s="52"/>
      <c r="Q1399" s="52"/>
      <c r="R1399" s="51" t="b">
        <v>0</v>
      </c>
      <c r="S1399" s="51"/>
      <c r="T1399" s="52"/>
      <c r="U1399" s="51" t="b">
        <v>0</v>
      </c>
      <c r="V1399" s="51" t="b">
        <v>0</v>
      </c>
      <c r="W1399" s="51" t="b">
        <v>0</v>
      </c>
      <c r="X1399" s="51" t="b">
        <v>0</v>
      </c>
      <c r="Y1399" s="51" t="b">
        <v>0</v>
      </c>
      <c r="Z1399" s="51" t="b">
        <v>0</v>
      </c>
      <c r="AA1399" s="68"/>
      <c r="AB1399" s="52"/>
      <c r="AC1399" s="52"/>
      <c r="AD1399" s="52"/>
      <c r="AE1399" s="56" t="s">
        <v>607</v>
      </c>
      <c r="AF1399" s="56" t="s">
        <v>607</v>
      </c>
    </row>
    <row r="1400">
      <c r="A1400" s="52" t="s">
        <v>4680</v>
      </c>
      <c r="B1400" s="52" t="s">
        <v>14</v>
      </c>
      <c r="C1400" s="52" t="s">
        <v>66</v>
      </c>
      <c r="D1400" s="65">
        <v>0.5668865740740741</v>
      </c>
      <c r="E1400" s="65">
        <v>0.0020833333333333333</v>
      </c>
      <c r="F1400" s="65">
        <v>0.5689699074074074</v>
      </c>
      <c r="G1400" s="65"/>
      <c r="H1400" s="52" t="s">
        <v>83</v>
      </c>
      <c r="I1400" s="52" t="s">
        <v>159</v>
      </c>
      <c r="J1400" s="52"/>
      <c r="K1400" s="52"/>
      <c r="L1400" s="52"/>
      <c r="M1400" s="52"/>
      <c r="N1400" s="52"/>
      <c r="O1400" s="69" t="s">
        <v>618</v>
      </c>
      <c r="P1400" s="69" t="s">
        <v>30</v>
      </c>
      <c r="Q1400" s="80" t="s">
        <v>4681</v>
      </c>
      <c r="R1400" s="51" t="b">
        <v>1</v>
      </c>
      <c r="S1400" s="84" t="s">
        <v>159</v>
      </c>
      <c r="T1400" s="52"/>
      <c r="U1400" s="51" t="b">
        <v>0</v>
      </c>
      <c r="V1400" s="51" t="b">
        <v>1</v>
      </c>
      <c r="W1400" s="51" t="b">
        <v>1</v>
      </c>
      <c r="X1400" s="51" t="b">
        <v>0</v>
      </c>
      <c r="Y1400" s="51" t="b">
        <v>1</v>
      </c>
      <c r="Z1400" s="51" t="b">
        <v>0</v>
      </c>
      <c r="AA1400" s="71">
        <v>0.002025462962962963</v>
      </c>
      <c r="AB1400" s="52"/>
      <c r="AC1400" s="52"/>
      <c r="AD1400" s="73" t="s">
        <v>4373</v>
      </c>
      <c r="AE1400" s="56"/>
      <c r="AF1400" s="56"/>
    </row>
    <row r="1401">
      <c r="A1401" s="52" t="s">
        <v>4682</v>
      </c>
      <c r="B1401" s="52" t="s">
        <v>607</v>
      </c>
      <c r="C1401" s="52" t="s">
        <v>607</v>
      </c>
      <c r="D1401" s="65" t="s">
        <v>607</v>
      </c>
      <c r="E1401" s="65" t="s">
        <v>607</v>
      </c>
      <c r="F1401" s="65" t="s">
        <v>607</v>
      </c>
      <c r="G1401" s="65" t="s">
        <v>607</v>
      </c>
      <c r="H1401" s="52" t="s">
        <v>607</v>
      </c>
      <c r="I1401" s="52" t="s">
        <v>607</v>
      </c>
      <c r="J1401" s="52" t="s">
        <v>607</v>
      </c>
      <c r="K1401" s="52" t="s">
        <v>607</v>
      </c>
      <c r="L1401" s="52" t="s">
        <v>607</v>
      </c>
      <c r="M1401" s="52" t="s">
        <v>607</v>
      </c>
      <c r="N1401" s="52" t="s">
        <v>607</v>
      </c>
      <c r="O1401" s="52"/>
      <c r="P1401" s="52"/>
      <c r="Q1401" s="52"/>
      <c r="R1401" s="51" t="b">
        <v>0</v>
      </c>
      <c r="S1401" s="51"/>
      <c r="T1401" s="52"/>
      <c r="U1401" s="51" t="b">
        <v>0</v>
      </c>
      <c r="V1401" s="51" t="b">
        <v>0</v>
      </c>
      <c r="W1401" s="51" t="b">
        <v>0</v>
      </c>
      <c r="X1401" s="51" t="b">
        <v>0</v>
      </c>
      <c r="Y1401" s="51" t="b">
        <v>0</v>
      </c>
      <c r="Z1401" s="51" t="b">
        <v>0</v>
      </c>
      <c r="AA1401" s="68"/>
      <c r="AB1401" s="52"/>
      <c r="AC1401" s="52"/>
      <c r="AD1401" s="52"/>
      <c r="AE1401" s="56" t="s">
        <v>607</v>
      </c>
      <c r="AF1401" s="56" t="s">
        <v>607</v>
      </c>
    </row>
    <row r="1402">
      <c r="A1402" s="52" t="s">
        <v>4683</v>
      </c>
      <c r="B1402" s="52" t="s">
        <v>14</v>
      </c>
      <c r="C1402" s="52" t="s">
        <v>221</v>
      </c>
      <c r="D1402" s="65">
        <v>0.6346874999999997</v>
      </c>
      <c r="E1402" s="65">
        <v>6.944444444444445E-4</v>
      </c>
      <c r="F1402" s="65">
        <v>0.6353819444444442</v>
      </c>
      <c r="G1402" s="65"/>
      <c r="H1402" s="52" t="s">
        <v>103</v>
      </c>
      <c r="I1402" s="52" t="s">
        <v>310</v>
      </c>
      <c r="J1402" s="52" t="s">
        <v>92</v>
      </c>
      <c r="K1402" s="52"/>
      <c r="L1402" s="52"/>
      <c r="M1402" s="52"/>
      <c r="N1402" s="52"/>
      <c r="O1402" s="52"/>
      <c r="P1402" s="52"/>
      <c r="Q1402" s="52"/>
      <c r="R1402" s="51" t="b">
        <v>0</v>
      </c>
      <c r="S1402" s="51"/>
      <c r="T1402" s="52"/>
      <c r="U1402" s="51" t="b">
        <v>0</v>
      </c>
      <c r="V1402" s="51" t="b">
        <v>0</v>
      </c>
      <c r="W1402" s="51" t="b">
        <v>0</v>
      </c>
      <c r="X1402" s="51" t="b">
        <v>0</v>
      </c>
      <c r="Y1402" s="51" t="b">
        <v>0</v>
      </c>
      <c r="Z1402" s="51" t="b">
        <v>0</v>
      </c>
      <c r="AA1402" s="68"/>
      <c r="AB1402" s="52"/>
      <c r="AC1402" s="52"/>
      <c r="AD1402" s="52"/>
      <c r="AE1402" s="56"/>
      <c r="AF1402" s="56"/>
    </row>
    <row r="1403">
      <c r="A1403" s="52" t="s">
        <v>4684</v>
      </c>
      <c r="B1403" s="52" t="s">
        <v>14</v>
      </c>
      <c r="C1403" s="52" t="s">
        <v>221</v>
      </c>
      <c r="D1403" s="65">
        <v>0.6460300925925923</v>
      </c>
      <c r="E1403" s="65">
        <v>3.4722222222222224E-4</v>
      </c>
      <c r="F1403" s="65">
        <v>0.6463773148148145</v>
      </c>
      <c r="G1403" s="65"/>
      <c r="H1403" s="52" t="s">
        <v>79</v>
      </c>
      <c r="I1403" s="52" t="s">
        <v>80</v>
      </c>
      <c r="J1403" s="52" t="s">
        <v>69</v>
      </c>
      <c r="K1403" s="52"/>
      <c r="L1403" s="52"/>
      <c r="M1403" s="52"/>
      <c r="N1403" s="52"/>
      <c r="O1403" s="52"/>
      <c r="P1403" s="52"/>
      <c r="Q1403" s="52"/>
      <c r="R1403" s="51" t="b">
        <v>0</v>
      </c>
      <c r="S1403" s="51"/>
      <c r="T1403" s="52"/>
      <c r="U1403" s="51" t="b">
        <v>0</v>
      </c>
      <c r="V1403" s="51" t="b">
        <v>0</v>
      </c>
      <c r="W1403" s="51" t="b">
        <v>0</v>
      </c>
      <c r="X1403" s="51" t="b">
        <v>0</v>
      </c>
      <c r="Y1403" s="51" t="b">
        <v>0</v>
      </c>
      <c r="Z1403" s="51" t="b">
        <v>0</v>
      </c>
      <c r="AA1403" s="68"/>
      <c r="AB1403" s="52"/>
      <c r="AC1403" s="52"/>
      <c r="AD1403" s="52"/>
      <c r="AE1403" s="56"/>
      <c r="AF1403" s="56"/>
    </row>
    <row r="1404">
      <c r="A1404" s="52" t="s">
        <v>4685</v>
      </c>
      <c r="B1404" s="52" t="s">
        <v>607</v>
      </c>
      <c r="C1404" s="52" t="s">
        <v>607</v>
      </c>
      <c r="D1404" s="65" t="s">
        <v>607</v>
      </c>
      <c r="E1404" s="65" t="s">
        <v>607</v>
      </c>
      <c r="F1404" s="65" t="s">
        <v>607</v>
      </c>
      <c r="G1404" s="65" t="s">
        <v>607</v>
      </c>
      <c r="H1404" s="52" t="s">
        <v>607</v>
      </c>
      <c r="I1404" s="52" t="s">
        <v>607</v>
      </c>
      <c r="J1404" s="52" t="s">
        <v>607</v>
      </c>
      <c r="K1404" s="52" t="s">
        <v>607</v>
      </c>
      <c r="L1404" s="52" t="s">
        <v>607</v>
      </c>
      <c r="M1404" s="52" t="s">
        <v>607</v>
      </c>
      <c r="N1404" s="52" t="s">
        <v>607</v>
      </c>
      <c r="O1404" s="52"/>
      <c r="P1404" s="52"/>
      <c r="Q1404" s="52"/>
      <c r="R1404" s="51" t="b">
        <v>0</v>
      </c>
      <c r="S1404" s="51"/>
      <c r="T1404" s="52"/>
      <c r="U1404" s="51" t="b">
        <v>0</v>
      </c>
      <c r="V1404" s="51" t="b">
        <v>0</v>
      </c>
      <c r="W1404" s="51" t="b">
        <v>0</v>
      </c>
      <c r="X1404" s="51" t="b">
        <v>0</v>
      </c>
      <c r="Y1404" s="51" t="b">
        <v>0</v>
      </c>
      <c r="Z1404" s="51" t="b">
        <v>0</v>
      </c>
      <c r="AA1404" s="68"/>
      <c r="AB1404" s="52"/>
      <c r="AC1404" s="52"/>
      <c r="AD1404" s="52"/>
      <c r="AE1404" s="56" t="s">
        <v>607</v>
      </c>
      <c r="AF1404" s="56" t="s">
        <v>607</v>
      </c>
    </row>
    <row r="1405">
      <c r="A1405" s="52" t="s">
        <v>4686</v>
      </c>
      <c r="B1405" s="52" t="s">
        <v>607</v>
      </c>
      <c r="C1405" s="52" t="s">
        <v>607</v>
      </c>
      <c r="D1405" s="65" t="s">
        <v>607</v>
      </c>
      <c r="E1405" s="65" t="s">
        <v>607</v>
      </c>
      <c r="F1405" s="65" t="s">
        <v>607</v>
      </c>
      <c r="G1405" s="65" t="s">
        <v>607</v>
      </c>
      <c r="H1405" s="52" t="s">
        <v>607</v>
      </c>
      <c r="I1405" s="52" t="s">
        <v>607</v>
      </c>
      <c r="J1405" s="52" t="s">
        <v>607</v>
      </c>
      <c r="K1405" s="52" t="s">
        <v>607</v>
      </c>
      <c r="L1405" s="52" t="s">
        <v>607</v>
      </c>
      <c r="M1405" s="52" t="s">
        <v>607</v>
      </c>
      <c r="N1405" s="52" t="s">
        <v>607</v>
      </c>
      <c r="O1405" s="52"/>
      <c r="P1405" s="52"/>
      <c r="Q1405" s="52"/>
      <c r="R1405" s="51" t="b">
        <v>0</v>
      </c>
      <c r="S1405" s="51"/>
      <c r="T1405" s="52"/>
      <c r="U1405" s="51" t="b">
        <v>0</v>
      </c>
      <c r="V1405" s="51" t="b">
        <v>0</v>
      </c>
      <c r="W1405" s="51" t="b">
        <v>0</v>
      </c>
      <c r="X1405" s="51" t="b">
        <v>0</v>
      </c>
      <c r="Y1405" s="51" t="b">
        <v>0</v>
      </c>
      <c r="Z1405" s="51" t="b">
        <v>0</v>
      </c>
      <c r="AA1405" s="68"/>
      <c r="AB1405" s="52"/>
      <c r="AC1405" s="52"/>
      <c r="AD1405" s="52"/>
      <c r="AE1405" s="56" t="s">
        <v>607</v>
      </c>
      <c r="AF1405" s="56" t="s">
        <v>607</v>
      </c>
    </row>
    <row r="1406">
      <c r="A1406" s="52" t="s">
        <v>4687</v>
      </c>
      <c r="B1406" s="52" t="s">
        <v>14</v>
      </c>
      <c r="C1406" s="52" t="s">
        <v>289</v>
      </c>
      <c r="D1406" s="65">
        <v>0.602256944444444</v>
      </c>
      <c r="E1406" s="65">
        <v>2.314814814814815E-4</v>
      </c>
      <c r="F1406" s="65">
        <v>0.6024884259259254</v>
      </c>
      <c r="G1406" s="65"/>
      <c r="H1406" s="52" t="s">
        <v>81</v>
      </c>
      <c r="I1406" s="52" t="s">
        <v>81</v>
      </c>
      <c r="J1406" s="52" t="s">
        <v>73</v>
      </c>
      <c r="K1406" s="52" t="s">
        <v>128</v>
      </c>
      <c r="L1406" s="52"/>
      <c r="M1406" s="52"/>
      <c r="N1406" s="52"/>
      <c r="O1406" s="52"/>
      <c r="P1406" s="52"/>
      <c r="Q1406" s="52"/>
      <c r="R1406" s="51" t="b">
        <v>0</v>
      </c>
      <c r="S1406" s="51"/>
      <c r="T1406" s="52"/>
      <c r="U1406" s="51" t="b">
        <v>0</v>
      </c>
      <c r="V1406" s="51" t="b">
        <v>0</v>
      </c>
      <c r="W1406" s="51" t="b">
        <v>0</v>
      </c>
      <c r="X1406" s="51" t="b">
        <v>0</v>
      </c>
      <c r="Y1406" s="51" t="b">
        <v>0</v>
      </c>
      <c r="Z1406" s="51" t="b">
        <v>0</v>
      </c>
      <c r="AA1406" s="68"/>
      <c r="AB1406" s="52"/>
      <c r="AC1406" s="52"/>
      <c r="AD1406" s="52"/>
      <c r="AE1406" s="56"/>
      <c r="AF1406" s="56"/>
    </row>
    <row r="1407">
      <c r="A1407" s="52" t="s">
        <v>4688</v>
      </c>
      <c r="B1407" s="52" t="s">
        <v>607</v>
      </c>
      <c r="C1407" s="52" t="s">
        <v>607</v>
      </c>
      <c r="D1407" s="65" t="s">
        <v>607</v>
      </c>
      <c r="E1407" s="65" t="s">
        <v>607</v>
      </c>
      <c r="F1407" s="65" t="s">
        <v>607</v>
      </c>
      <c r="G1407" s="65" t="s">
        <v>607</v>
      </c>
      <c r="H1407" s="52" t="s">
        <v>607</v>
      </c>
      <c r="I1407" s="52" t="s">
        <v>607</v>
      </c>
      <c r="J1407" s="52" t="s">
        <v>607</v>
      </c>
      <c r="K1407" s="52" t="s">
        <v>607</v>
      </c>
      <c r="L1407" s="52" t="s">
        <v>607</v>
      </c>
      <c r="M1407" s="52" t="s">
        <v>607</v>
      </c>
      <c r="N1407" s="52" t="s">
        <v>607</v>
      </c>
      <c r="O1407" s="52"/>
      <c r="P1407" s="52"/>
      <c r="Q1407" s="52"/>
      <c r="R1407" s="51" t="b">
        <v>0</v>
      </c>
      <c r="S1407" s="51"/>
      <c r="T1407" s="52"/>
      <c r="U1407" s="51" t="b">
        <v>0</v>
      </c>
      <c r="V1407" s="51" t="b">
        <v>0</v>
      </c>
      <c r="W1407" s="51" t="b">
        <v>0</v>
      </c>
      <c r="X1407" s="51" t="b">
        <v>0</v>
      </c>
      <c r="Y1407" s="51" t="b">
        <v>0</v>
      </c>
      <c r="Z1407" s="51" t="b">
        <v>0</v>
      </c>
      <c r="AA1407" s="68"/>
      <c r="AB1407" s="52"/>
      <c r="AC1407" s="52"/>
      <c r="AD1407" s="52"/>
      <c r="AE1407" s="56" t="s">
        <v>607</v>
      </c>
      <c r="AF1407" s="56" t="s">
        <v>607</v>
      </c>
    </row>
    <row r="1408">
      <c r="A1408" s="52" t="s">
        <v>4689</v>
      </c>
      <c r="B1408" s="52" t="s">
        <v>14</v>
      </c>
      <c r="C1408" s="52" t="s">
        <v>289</v>
      </c>
      <c r="D1408" s="65">
        <v>0.49809027777777803</v>
      </c>
      <c r="E1408" s="65">
        <v>0.0010416666666666667</v>
      </c>
      <c r="F1408" s="65">
        <v>0.4991319444444447</v>
      </c>
      <c r="G1408" s="65"/>
      <c r="H1408" s="52" t="s">
        <v>248</v>
      </c>
      <c r="I1408" s="131" t="s">
        <v>384</v>
      </c>
      <c r="J1408" s="52" t="s">
        <v>69</v>
      </c>
      <c r="K1408" s="52"/>
      <c r="L1408" s="52"/>
      <c r="M1408" s="52"/>
      <c r="N1408" s="52"/>
      <c r="O1408" s="52"/>
      <c r="P1408" s="52"/>
      <c r="Q1408" s="52"/>
      <c r="R1408" s="51" t="b">
        <v>0</v>
      </c>
      <c r="S1408" s="51"/>
      <c r="T1408" s="52"/>
      <c r="U1408" s="51" t="b">
        <v>0</v>
      </c>
      <c r="V1408" s="51" t="b">
        <v>0</v>
      </c>
      <c r="W1408" s="51" t="b">
        <v>0</v>
      </c>
      <c r="X1408" s="51" t="b">
        <v>0</v>
      </c>
      <c r="Y1408" s="51" t="b">
        <v>0</v>
      </c>
      <c r="Z1408" s="51" t="b">
        <v>0</v>
      </c>
      <c r="AA1408" s="68"/>
      <c r="AB1408" s="52"/>
      <c r="AC1408" s="52"/>
      <c r="AD1408" s="52"/>
      <c r="AE1408" s="56"/>
      <c r="AF1408" s="56" t="s">
        <v>600</v>
      </c>
    </row>
    <row r="1409">
      <c r="A1409" s="52" t="s">
        <v>4690</v>
      </c>
      <c r="B1409" s="52" t="s">
        <v>14</v>
      </c>
      <c r="C1409" s="52" t="s">
        <v>289</v>
      </c>
      <c r="D1409" s="65">
        <v>0.45894675925925943</v>
      </c>
      <c r="E1409" s="65">
        <v>3.4722222222222224E-4</v>
      </c>
      <c r="F1409" s="65">
        <v>0.45929398148148165</v>
      </c>
      <c r="G1409" s="65"/>
      <c r="H1409" s="52" t="s">
        <v>87</v>
      </c>
      <c r="I1409" s="52" t="s">
        <v>88</v>
      </c>
      <c r="J1409" s="52" t="s">
        <v>69</v>
      </c>
      <c r="K1409" s="52"/>
      <c r="L1409" s="52"/>
      <c r="M1409" s="52"/>
      <c r="N1409" s="52"/>
      <c r="O1409" s="52"/>
      <c r="P1409" s="52"/>
      <c r="Q1409" s="52"/>
      <c r="R1409" s="51" t="b">
        <v>0</v>
      </c>
      <c r="S1409" s="51"/>
      <c r="T1409" s="52"/>
      <c r="U1409" s="51" t="b">
        <v>0</v>
      </c>
      <c r="V1409" s="51" t="b">
        <v>0</v>
      </c>
      <c r="W1409" s="51" t="b">
        <v>0</v>
      </c>
      <c r="X1409" s="51" t="b">
        <v>0</v>
      </c>
      <c r="Y1409" s="51" t="b">
        <v>0</v>
      </c>
      <c r="Z1409" s="51" t="b">
        <v>0</v>
      </c>
      <c r="AA1409" s="68"/>
      <c r="AB1409" s="52"/>
      <c r="AC1409" s="52"/>
      <c r="AD1409" s="52"/>
      <c r="AE1409" s="56"/>
      <c r="AF1409" s="56" t="s">
        <v>600</v>
      </c>
    </row>
    <row r="1410">
      <c r="A1410" s="52" t="s">
        <v>4691</v>
      </c>
      <c r="B1410" s="52" t="s">
        <v>607</v>
      </c>
      <c r="C1410" s="52" t="s">
        <v>607</v>
      </c>
      <c r="D1410" s="65" t="s">
        <v>607</v>
      </c>
      <c r="E1410" s="65" t="s">
        <v>607</v>
      </c>
      <c r="F1410" s="65" t="s">
        <v>607</v>
      </c>
      <c r="G1410" s="65" t="s">
        <v>607</v>
      </c>
      <c r="H1410" s="52" t="s">
        <v>607</v>
      </c>
      <c r="I1410" s="52" t="s">
        <v>607</v>
      </c>
      <c r="J1410" s="52" t="s">
        <v>607</v>
      </c>
      <c r="K1410" s="52" t="s">
        <v>607</v>
      </c>
      <c r="L1410" s="52" t="s">
        <v>607</v>
      </c>
      <c r="M1410" s="52" t="s">
        <v>607</v>
      </c>
      <c r="N1410" s="52" t="s">
        <v>607</v>
      </c>
      <c r="O1410" s="52"/>
      <c r="P1410" s="52"/>
      <c r="Q1410" s="52"/>
      <c r="R1410" s="51" t="b">
        <v>0</v>
      </c>
      <c r="S1410" s="51"/>
      <c r="T1410" s="52"/>
      <c r="U1410" s="51" t="b">
        <v>0</v>
      </c>
      <c r="V1410" s="51" t="b">
        <v>0</v>
      </c>
      <c r="W1410" s="51" t="b">
        <v>0</v>
      </c>
      <c r="X1410" s="51" t="b">
        <v>0</v>
      </c>
      <c r="Y1410" s="51" t="b">
        <v>0</v>
      </c>
      <c r="Z1410" s="51" t="b">
        <v>0</v>
      </c>
      <c r="AA1410" s="68"/>
      <c r="AB1410" s="52"/>
      <c r="AC1410" s="52"/>
      <c r="AD1410" s="52"/>
      <c r="AE1410" s="56" t="s">
        <v>607</v>
      </c>
      <c r="AF1410" s="56" t="s">
        <v>607</v>
      </c>
    </row>
    <row r="1411">
      <c r="A1411" s="52" t="s">
        <v>4692</v>
      </c>
      <c r="B1411" s="52" t="s">
        <v>14</v>
      </c>
      <c r="C1411" s="52" t="s">
        <v>221</v>
      </c>
      <c r="D1411" s="65">
        <v>0.6644560185185181</v>
      </c>
      <c r="E1411" s="65">
        <v>2.314814814814815E-4</v>
      </c>
      <c r="F1411" s="65">
        <v>0.6646874999999995</v>
      </c>
      <c r="G1411" s="65"/>
      <c r="H1411" s="52" t="s">
        <v>81</v>
      </c>
      <c r="I1411" s="52" t="s">
        <v>322</v>
      </c>
      <c r="J1411" s="52" t="s">
        <v>92</v>
      </c>
      <c r="K1411" s="52"/>
      <c r="L1411" s="52"/>
      <c r="M1411" s="52"/>
      <c r="N1411" s="52"/>
      <c r="O1411" s="52"/>
      <c r="P1411" s="52"/>
      <c r="Q1411" s="52"/>
      <c r="R1411" s="51" t="b">
        <v>0</v>
      </c>
      <c r="S1411" s="51"/>
      <c r="T1411" s="52"/>
      <c r="U1411" s="51" t="b">
        <v>0</v>
      </c>
      <c r="V1411" s="51" t="b">
        <v>0</v>
      </c>
      <c r="W1411" s="51" t="b">
        <v>0</v>
      </c>
      <c r="X1411" s="51" t="b">
        <v>0</v>
      </c>
      <c r="Y1411" s="51" t="b">
        <v>0</v>
      </c>
      <c r="Z1411" s="51" t="b">
        <v>0</v>
      </c>
      <c r="AA1411" s="68"/>
      <c r="AB1411" s="52"/>
      <c r="AC1411" s="52"/>
      <c r="AD1411" s="52"/>
      <c r="AE1411" s="56"/>
      <c r="AF1411" s="56"/>
    </row>
    <row r="1412">
      <c r="A1412" s="52" t="s">
        <v>4693</v>
      </c>
      <c r="B1412" s="52" t="s">
        <v>607</v>
      </c>
      <c r="C1412" s="52" t="s">
        <v>607</v>
      </c>
      <c r="D1412" s="65" t="s">
        <v>607</v>
      </c>
      <c r="E1412" s="65" t="s">
        <v>607</v>
      </c>
      <c r="F1412" s="65" t="s">
        <v>607</v>
      </c>
      <c r="G1412" s="65" t="s">
        <v>607</v>
      </c>
      <c r="H1412" s="52" t="s">
        <v>607</v>
      </c>
      <c r="I1412" s="52" t="s">
        <v>607</v>
      </c>
      <c r="J1412" s="52" t="s">
        <v>607</v>
      </c>
      <c r="K1412" s="52" t="s">
        <v>607</v>
      </c>
      <c r="L1412" s="52" t="s">
        <v>607</v>
      </c>
      <c r="M1412" s="52" t="s">
        <v>607</v>
      </c>
      <c r="N1412" s="52" t="s">
        <v>607</v>
      </c>
      <c r="O1412" s="52"/>
      <c r="P1412" s="52"/>
      <c r="Q1412" s="52"/>
      <c r="R1412" s="51" t="b">
        <v>0</v>
      </c>
      <c r="S1412" s="51"/>
      <c r="T1412" s="52"/>
      <c r="U1412" s="51" t="b">
        <v>0</v>
      </c>
      <c r="V1412" s="51" t="b">
        <v>0</v>
      </c>
      <c r="W1412" s="51" t="b">
        <v>0</v>
      </c>
      <c r="X1412" s="51" t="b">
        <v>0</v>
      </c>
      <c r="Y1412" s="51" t="b">
        <v>0</v>
      </c>
      <c r="Z1412" s="51" t="b">
        <v>0</v>
      </c>
      <c r="AA1412" s="68"/>
      <c r="AB1412" s="52"/>
      <c r="AC1412" s="52"/>
      <c r="AD1412" s="52"/>
      <c r="AE1412" s="56" t="s">
        <v>607</v>
      </c>
      <c r="AF1412" s="56" t="s">
        <v>607</v>
      </c>
    </row>
    <row r="1413">
      <c r="A1413" s="52" t="s">
        <v>4694</v>
      </c>
      <c r="B1413" s="52" t="s">
        <v>14</v>
      </c>
      <c r="C1413" s="52" t="s">
        <v>66</v>
      </c>
      <c r="D1413" s="65">
        <v>0.609236111111111</v>
      </c>
      <c r="E1413" s="65">
        <v>2.314814814814815E-4</v>
      </c>
      <c r="F1413" s="65">
        <v>0.6094675925925924</v>
      </c>
      <c r="G1413" s="65"/>
      <c r="H1413" s="52" t="s">
        <v>81</v>
      </c>
      <c r="I1413" s="52" t="s">
        <v>178</v>
      </c>
      <c r="J1413" s="52" t="s">
        <v>128</v>
      </c>
      <c r="K1413" s="52"/>
      <c r="L1413" s="52"/>
      <c r="M1413" s="52"/>
      <c r="N1413" s="52"/>
      <c r="O1413" s="52"/>
      <c r="P1413" s="52"/>
      <c r="Q1413" s="52"/>
      <c r="R1413" s="51" t="b">
        <v>0</v>
      </c>
      <c r="S1413" s="51"/>
      <c r="T1413" s="52"/>
      <c r="U1413" s="51" t="b">
        <v>0</v>
      </c>
      <c r="V1413" s="51" t="b">
        <v>0</v>
      </c>
      <c r="W1413" s="51" t="b">
        <v>0</v>
      </c>
      <c r="X1413" s="51" t="b">
        <v>0</v>
      </c>
      <c r="Y1413" s="51" t="b">
        <v>0</v>
      </c>
      <c r="Z1413" s="51" t="b">
        <v>0</v>
      </c>
      <c r="AA1413" s="68"/>
      <c r="AB1413" s="52"/>
      <c r="AC1413" s="52"/>
      <c r="AD1413" s="52"/>
      <c r="AE1413" s="56"/>
      <c r="AF1413" s="56"/>
    </row>
    <row r="1414">
      <c r="A1414" s="52" t="s">
        <v>4695</v>
      </c>
      <c r="B1414" s="52" t="s">
        <v>607</v>
      </c>
      <c r="C1414" s="52" t="s">
        <v>607</v>
      </c>
      <c r="D1414" s="65" t="s">
        <v>607</v>
      </c>
      <c r="E1414" s="65" t="s">
        <v>607</v>
      </c>
      <c r="F1414" s="65" t="s">
        <v>607</v>
      </c>
      <c r="G1414" s="65" t="s">
        <v>607</v>
      </c>
      <c r="H1414" s="52" t="s">
        <v>607</v>
      </c>
      <c r="I1414" s="52" t="s">
        <v>607</v>
      </c>
      <c r="J1414" s="52" t="s">
        <v>607</v>
      </c>
      <c r="K1414" s="52" t="s">
        <v>607</v>
      </c>
      <c r="L1414" s="52" t="s">
        <v>607</v>
      </c>
      <c r="M1414" s="52" t="s">
        <v>607</v>
      </c>
      <c r="N1414" s="52" t="s">
        <v>607</v>
      </c>
      <c r="O1414" s="52"/>
      <c r="P1414" s="52"/>
      <c r="Q1414" s="52"/>
      <c r="R1414" s="51" t="b">
        <v>0</v>
      </c>
      <c r="S1414" s="51"/>
      <c r="T1414" s="52"/>
      <c r="U1414" s="51" t="b">
        <v>0</v>
      </c>
      <c r="V1414" s="51" t="b">
        <v>0</v>
      </c>
      <c r="W1414" s="51" t="b">
        <v>0</v>
      </c>
      <c r="X1414" s="51" t="b">
        <v>0</v>
      </c>
      <c r="Y1414" s="51" t="b">
        <v>0</v>
      </c>
      <c r="Z1414" s="51" t="b">
        <v>0</v>
      </c>
      <c r="AA1414" s="68"/>
      <c r="AB1414" s="52"/>
      <c r="AC1414" s="52"/>
      <c r="AD1414" s="52"/>
      <c r="AE1414" s="56" t="s">
        <v>607</v>
      </c>
      <c r="AF1414" s="56" t="s">
        <v>607</v>
      </c>
    </row>
    <row r="1415">
      <c r="A1415" s="52" t="s">
        <v>4696</v>
      </c>
      <c r="B1415" s="52" t="s">
        <v>607</v>
      </c>
      <c r="C1415" s="52" t="s">
        <v>607</v>
      </c>
      <c r="D1415" s="65" t="s">
        <v>607</v>
      </c>
      <c r="E1415" s="65" t="s">
        <v>607</v>
      </c>
      <c r="F1415" s="65" t="s">
        <v>607</v>
      </c>
      <c r="G1415" s="65" t="s">
        <v>607</v>
      </c>
      <c r="H1415" s="52" t="s">
        <v>607</v>
      </c>
      <c r="I1415" s="52" t="s">
        <v>607</v>
      </c>
      <c r="J1415" s="52" t="s">
        <v>607</v>
      </c>
      <c r="K1415" s="52" t="s">
        <v>607</v>
      </c>
      <c r="L1415" s="52" t="s">
        <v>607</v>
      </c>
      <c r="M1415" s="52" t="s">
        <v>607</v>
      </c>
      <c r="N1415" s="52" t="s">
        <v>607</v>
      </c>
      <c r="O1415" s="52"/>
      <c r="P1415" s="52"/>
      <c r="Q1415" s="52"/>
      <c r="R1415" s="51" t="b">
        <v>0</v>
      </c>
      <c r="S1415" s="51"/>
      <c r="T1415" s="52"/>
      <c r="U1415" s="51" t="b">
        <v>0</v>
      </c>
      <c r="V1415" s="51" t="b">
        <v>0</v>
      </c>
      <c r="W1415" s="51" t="b">
        <v>0</v>
      </c>
      <c r="X1415" s="51" t="b">
        <v>0</v>
      </c>
      <c r="Y1415" s="51" t="b">
        <v>0</v>
      </c>
      <c r="Z1415" s="51" t="b">
        <v>0</v>
      </c>
      <c r="AA1415" s="68"/>
      <c r="AB1415" s="52"/>
      <c r="AC1415" s="52"/>
      <c r="AD1415" s="52"/>
      <c r="AE1415" s="56" t="s">
        <v>607</v>
      </c>
      <c r="AF1415" s="56" t="s">
        <v>607</v>
      </c>
    </row>
    <row r="1416">
      <c r="A1416" s="52" t="s">
        <v>4697</v>
      </c>
      <c r="B1416" s="52" t="s">
        <v>607</v>
      </c>
      <c r="C1416" s="52" t="s">
        <v>607</v>
      </c>
      <c r="D1416" s="65" t="s">
        <v>607</v>
      </c>
      <c r="E1416" s="65" t="s">
        <v>607</v>
      </c>
      <c r="F1416" s="65" t="s">
        <v>607</v>
      </c>
      <c r="G1416" s="65" t="s">
        <v>607</v>
      </c>
      <c r="H1416" s="52" t="s">
        <v>607</v>
      </c>
      <c r="I1416" s="52" t="s">
        <v>607</v>
      </c>
      <c r="J1416" s="52" t="s">
        <v>607</v>
      </c>
      <c r="K1416" s="52" t="s">
        <v>607</v>
      </c>
      <c r="L1416" s="52" t="s">
        <v>607</v>
      </c>
      <c r="M1416" s="52" t="s">
        <v>607</v>
      </c>
      <c r="N1416" s="52" t="s">
        <v>607</v>
      </c>
      <c r="O1416" s="52"/>
      <c r="P1416" s="52"/>
      <c r="Q1416" s="52"/>
      <c r="R1416" s="51" t="b">
        <v>0</v>
      </c>
      <c r="S1416" s="51"/>
      <c r="T1416" s="52"/>
      <c r="U1416" s="51" t="b">
        <v>0</v>
      </c>
      <c r="V1416" s="51" t="b">
        <v>0</v>
      </c>
      <c r="W1416" s="51" t="b">
        <v>0</v>
      </c>
      <c r="X1416" s="51" t="b">
        <v>0</v>
      </c>
      <c r="Y1416" s="51" t="b">
        <v>0</v>
      </c>
      <c r="Z1416" s="51" t="b">
        <v>0</v>
      </c>
      <c r="AA1416" s="68"/>
      <c r="AB1416" s="52"/>
      <c r="AC1416" s="52"/>
      <c r="AD1416" s="52"/>
      <c r="AE1416" s="56" t="s">
        <v>607</v>
      </c>
      <c r="AF1416" s="56" t="s">
        <v>607</v>
      </c>
    </row>
    <row r="1417">
      <c r="A1417" s="52" t="s">
        <v>4699</v>
      </c>
      <c r="B1417" s="52" t="s">
        <v>607</v>
      </c>
      <c r="C1417" s="52" t="s">
        <v>607</v>
      </c>
      <c r="D1417" s="65" t="s">
        <v>607</v>
      </c>
      <c r="E1417" s="65" t="s">
        <v>607</v>
      </c>
      <c r="F1417" s="65" t="s">
        <v>607</v>
      </c>
      <c r="G1417" s="65" t="s">
        <v>607</v>
      </c>
      <c r="H1417" s="52" t="s">
        <v>607</v>
      </c>
      <c r="I1417" s="52" t="s">
        <v>607</v>
      </c>
      <c r="J1417" s="52" t="s">
        <v>607</v>
      </c>
      <c r="K1417" s="52" t="s">
        <v>607</v>
      </c>
      <c r="L1417" s="52" t="s">
        <v>607</v>
      </c>
      <c r="M1417" s="52" t="s">
        <v>607</v>
      </c>
      <c r="N1417" s="52" t="s">
        <v>607</v>
      </c>
      <c r="O1417" s="52"/>
      <c r="P1417" s="52"/>
      <c r="Q1417" s="52"/>
      <c r="R1417" s="51" t="b">
        <v>0</v>
      </c>
      <c r="S1417" s="51"/>
      <c r="T1417" s="52"/>
      <c r="U1417" s="51" t="b">
        <v>0</v>
      </c>
      <c r="V1417" s="51" t="b">
        <v>0</v>
      </c>
      <c r="W1417" s="51" t="b">
        <v>0</v>
      </c>
      <c r="X1417" s="51" t="b">
        <v>0</v>
      </c>
      <c r="Y1417" s="51" t="b">
        <v>0</v>
      </c>
      <c r="Z1417" s="51" t="b">
        <v>0</v>
      </c>
      <c r="AA1417" s="68"/>
      <c r="AB1417" s="52"/>
      <c r="AC1417" s="52"/>
      <c r="AD1417" s="52"/>
      <c r="AE1417" s="56" t="s">
        <v>607</v>
      </c>
      <c r="AF1417" s="56" t="s">
        <v>607</v>
      </c>
    </row>
    <row r="1418">
      <c r="A1418" s="52" t="s">
        <v>4700</v>
      </c>
      <c r="B1418" s="52" t="s">
        <v>607</v>
      </c>
      <c r="C1418" s="52" t="s">
        <v>607</v>
      </c>
      <c r="D1418" s="65" t="s">
        <v>607</v>
      </c>
      <c r="E1418" s="65" t="s">
        <v>607</v>
      </c>
      <c r="F1418" s="65" t="s">
        <v>607</v>
      </c>
      <c r="G1418" s="65" t="s">
        <v>607</v>
      </c>
      <c r="H1418" s="52" t="s">
        <v>607</v>
      </c>
      <c r="I1418" s="52" t="s">
        <v>607</v>
      </c>
      <c r="J1418" s="52" t="s">
        <v>607</v>
      </c>
      <c r="K1418" s="52" t="s">
        <v>607</v>
      </c>
      <c r="L1418" s="52" t="s">
        <v>607</v>
      </c>
      <c r="M1418" s="52" t="s">
        <v>607</v>
      </c>
      <c r="N1418" s="52" t="s">
        <v>607</v>
      </c>
      <c r="O1418" s="52"/>
      <c r="P1418" s="52"/>
      <c r="Q1418" s="52"/>
      <c r="R1418" s="51" t="b">
        <v>0</v>
      </c>
      <c r="S1418" s="51"/>
      <c r="T1418" s="52"/>
      <c r="U1418" s="51" t="b">
        <v>0</v>
      </c>
      <c r="V1418" s="51" t="b">
        <v>0</v>
      </c>
      <c r="W1418" s="51" t="b">
        <v>0</v>
      </c>
      <c r="X1418" s="51" t="b">
        <v>0</v>
      </c>
      <c r="Y1418" s="51" t="b">
        <v>0</v>
      </c>
      <c r="Z1418" s="51" t="b">
        <v>0</v>
      </c>
      <c r="AA1418" s="68"/>
      <c r="AB1418" s="52"/>
      <c r="AC1418" s="52"/>
      <c r="AD1418" s="52"/>
      <c r="AE1418" s="56" t="s">
        <v>607</v>
      </c>
      <c r="AF1418" s="56" t="s">
        <v>607</v>
      </c>
    </row>
    <row r="1419">
      <c r="A1419" s="52" t="s">
        <v>4701</v>
      </c>
      <c r="B1419" s="52" t="s">
        <v>607</v>
      </c>
      <c r="C1419" s="52" t="s">
        <v>607</v>
      </c>
      <c r="D1419" s="65" t="s">
        <v>607</v>
      </c>
      <c r="E1419" s="65" t="s">
        <v>607</v>
      </c>
      <c r="F1419" s="65" t="s">
        <v>607</v>
      </c>
      <c r="G1419" s="65" t="s">
        <v>607</v>
      </c>
      <c r="H1419" s="52" t="s">
        <v>607</v>
      </c>
      <c r="I1419" s="52" t="s">
        <v>607</v>
      </c>
      <c r="J1419" s="52" t="s">
        <v>607</v>
      </c>
      <c r="K1419" s="52" t="s">
        <v>607</v>
      </c>
      <c r="L1419" s="52" t="s">
        <v>607</v>
      </c>
      <c r="M1419" s="52" t="s">
        <v>607</v>
      </c>
      <c r="N1419" s="52" t="s">
        <v>607</v>
      </c>
      <c r="O1419" s="52"/>
      <c r="P1419" s="52"/>
      <c r="Q1419" s="52"/>
      <c r="R1419" s="51" t="b">
        <v>0</v>
      </c>
      <c r="S1419" s="51"/>
      <c r="T1419" s="52"/>
      <c r="U1419" s="51" t="b">
        <v>0</v>
      </c>
      <c r="V1419" s="51" t="b">
        <v>0</v>
      </c>
      <c r="W1419" s="51" t="b">
        <v>0</v>
      </c>
      <c r="X1419" s="51" t="b">
        <v>0</v>
      </c>
      <c r="Y1419" s="51" t="b">
        <v>0</v>
      </c>
      <c r="Z1419" s="51" t="b">
        <v>0</v>
      </c>
      <c r="AA1419" s="68"/>
      <c r="AB1419" s="52"/>
      <c r="AC1419" s="52"/>
      <c r="AD1419" s="52"/>
      <c r="AE1419" s="56" t="s">
        <v>607</v>
      </c>
      <c r="AF1419" s="56" t="s">
        <v>607</v>
      </c>
    </row>
    <row r="1420">
      <c r="A1420" s="52" t="s">
        <v>4702</v>
      </c>
      <c r="B1420" s="52" t="s">
        <v>607</v>
      </c>
      <c r="C1420" s="52" t="s">
        <v>607</v>
      </c>
      <c r="D1420" s="65" t="s">
        <v>607</v>
      </c>
      <c r="E1420" s="65" t="s">
        <v>607</v>
      </c>
      <c r="F1420" s="65" t="s">
        <v>607</v>
      </c>
      <c r="G1420" s="65" t="s">
        <v>607</v>
      </c>
      <c r="H1420" s="52" t="s">
        <v>607</v>
      </c>
      <c r="I1420" s="52" t="s">
        <v>607</v>
      </c>
      <c r="J1420" s="52" t="s">
        <v>607</v>
      </c>
      <c r="K1420" s="52" t="s">
        <v>607</v>
      </c>
      <c r="L1420" s="52" t="s">
        <v>607</v>
      </c>
      <c r="M1420" s="52" t="s">
        <v>607</v>
      </c>
      <c r="N1420" s="52" t="s">
        <v>607</v>
      </c>
      <c r="O1420" s="52"/>
      <c r="P1420" s="52"/>
      <c r="Q1420" s="52"/>
      <c r="R1420" s="51" t="b">
        <v>0</v>
      </c>
      <c r="S1420" s="51"/>
      <c r="T1420" s="52"/>
      <c r="U1420" s="51" t="b">
        <v>0</v>
      </c>
      <c r="V1420" s="51" t="b">
        <v>0</v>
      </c>
      <c r="W1420" s="51" t="b">
        <v>0</v>
      </c>
      <c r="X1420" s="51" t="b">
        <v>0</v>
      </c>
      <c r="Y1420" s="51" t="b">
        <v>0</v>
      </c>
      <c r="Z1420" s="51" t="b">
        <v>0</v>
      </c>
      <c r="AA1420" s="68"/>
      <c r="AB1420" s="52"/>
      <c r="AC1420" s="52"/>
      <c r="AD1420" s="52"/>
      <c r="AE1420" s="56" t="s">
        <v>607</v>
      </c>
      <c r="AF1420" s="56" t="s">
        <v>607</v>
      </c>
    </row>
    <row r="1421">
      <c r="A1421" s="52" t="s">
        <v>4703</v>
      </c>
      <c r="B1421" s="52" t="s">
        <v>607</v>
      </c>
      <c r="C1421" s="52" t="s">
        <v>607</v>
      </c>
      <c r="D1421" s="65" t="s">
        <v>607</v>
      </c>
      <c r="E1421" s="65" t="s">
        <v>607</v>
      </c>
      <c r="F1421" s="65" t="s">
        <v>607</v>
      </c>
      <c r="G1421" s="65" t="s">
        <v>607</v>
      </c>
      <c r="H1421" s="52" t="s">
        <v>607</v>
      </c>
      <c r="I1421" s="52" t="s">
        <v>607</v>
      </c>
      <c r="J1421" s="52" t="s">
        <v>607</v>
      </c>
      <c r="K1421" s="52" t="s">
        <v>607</v>
      </c>
      <c r="L1421" s="52" t="s">
        <v>607</v>
      </c>
      <c r="M1421" s="52" t="s">
        <v>607</v>
      </c>
      <c r="N1421" s="52" t="s">
        <v>607</v>
      </c>
      <c r="O1421" s="52"/>
      <c r="P1421" s="52"/>
      <c r="Q1421" s="52"/>
      <c r="R1421" s="51" t="b">
        <v>0</v>
      </c>
      <c r="S1421" s="51"/>
      <c r="T1421" s="52"/>
      <c r="U1421" s="51" t="b">
        <v>0</v>
      </c>
      <c r="V1421" s="51" t="b">
        <v>0</v>
      </c>
      <c r="W1421" s="51" t="b">
        <v>0</v>
      </c>
      <c r="X1421" s="51" t="b">
        <v>0</v>
      </c>
      <c r="Y1421" s="51" t="b">
        <v>0</v>
      </c>
      <c r="Z1421" s="51" t="b">
        <v>0</v>
      </c>
      <c r="AA1421" s="68"/>
      <c r="AB1421" s="52"/>
      <c r="AC1421" s="52"/>
      <c r="AD1421" s="52"/>
      <c r="AE1421" s="56" t="s">
        <v>607</v>
      </c>
      <c r="AF1421" s="56" t="s">
        <v>607</v>
      </c>
    </row>
    <row r="1422">
      <c r="A1422" s="52" t="s">
        <v>4704</v>
      </c>
      <c r="B1422" s="52" t="s">
        <v>14</v>
      </c>
      <c r="C1422" s="52" t="s">
        <v>289</v>
      </c>
      <c r="D1422" s="65">
        <v>0.5979861111111108</v>
      </c>
      <c r="E1422" s="65">
        <v>0.0012037037037037038</v>
      </c>
      <c r="F1422" s="65">
        <v>0.5991898148148145</v>
      </c>
      <c r="G1422" s="65"/>
      <c r="H1422" s="52" t="s">
        <v>126</v>
      </c>
      <c r="I1422" s="52" t="s">
        <v>426</v>
      </c>
      <c r="J1422" s="52" t="s">
        <v>90</v>
      </c>
      <c r="K1422" s="52"/>
      <c r="L1422" s="52"/>
      <c r="M1422" s="52"/>
      <c r="N1422" s="52"/>
      <c r="O1422" s="52"/>
      <c r="P1422" s="69" t="s">
        <v>23</v>
      </c>
      <c r="Q1422" s="76" t="s">
        <v>4047</v>
      </c>
      <c r="R1422" s="51" t="b">
        <v>1</v>
      </c>
      <c r="S1422" s="110" t="s">
        <v>426</v>
      </c>
      <c r="T1422" s="52"/>
      <c r="U1422" s="51" t="b">
        <v>0</v>
      </c>
      <c r="V1422" s="51" t="b">
        <v>1</v>
      </c>
      <c r="W1422" s="51" t="b">
        <v>1</v>
      </c>
      <c r="X1422" s="51" t="b">
        <v>0</v>
      </c>
      <c r="Y1422" s="51" t="b">
        <v>1</v>
      </c>
      <c r="Z1422" s="51" t="b">
        <v>0</v>
      </c>
      <c r="AA1422" s="71">
        <v>0.0012037037037037038</v>
      </c>
      <c r="AB1422" s="52"/>
      <c r="AC1422" s="52"/>
      <c r="AD1422" s="76" t="s">
        <v>4047</v>
      </c>
      <c r="AE1422" s="56"/>
      <c r="AF1422" s="56" t="s">
        <v>600</v>
      </c>
    </row>
    <row r="1423">
      <c r="A1423" s="52" t="s">
        <v>4705</v>
      </c>
      <c r="B1423" s="52" t="s">
        <v>607</v>
      </c>
      <c r="C1423" s="52" t="s">
        <v>607</v>
      </c>
      <c r="D1423" s="65" t="s">
        <v>607</v>
      </c>
      <c r="E1423" s="65" t="s">
        <v>607</v>
      </c>
      <c r="F1423" s="65" t="s">
        <v>607</v>
      </c>
      <c r="G1423" s="65" t="s">
        <v>607</v>
      </c>
      <c r="H1423" s="52" t="s">
        <v>607</v>
      </c>
      <c r="I1423" s="52" t="s">
        <v>607</v>
      </c>
      <c r="J1423" s="52" t="s">
        <v>607</v>
      </c>
      <c r="K1423" s="52" t="s">
        <v>607</v>
      </c>
      <c r="L1423" s="52" t="s">
        <v>607</v>
      </c>
      <c r="M1423" s="52" t="s">
        <v>607</v>
      </c>
      <c r="N1423" s="52" t="s">
        <v>607</v>
      </c>
      <c r="O1423" s="52"/>
      <c r="P1423" s="52"/>
      <c r="Q1423" s="52"/>
      <c r="R1423" s="51" t="b">
        <v>0</v>
      </c>
      <c r="S1423" s="51"/>
      <c r="T1423" s="52"/>
      <c r="U1423" s="51" t="b">
        <v>0</v>
      </c>
      <c r="V1423" s="51" t="b">
        <v>0</v>
      </c>
      <c r="W1423" s="51" t="b">
        <v>0</v>
      </c>
      <c r="X1423" s="51" t="b">
        <v>0</v>
      </c>
      <c r="Y1423" s="51" t="b">
        <v>0</v>
      </c>
      <c r="Z1423" s="51" t="b">
        <v>0</v>
      </c>
      <c r="AA1423" s="68"/>
      <c r="AB1423" s="52"/>
      <c r="AC1423" s="52"/>
      <c r="AD1423" s="52"/>
      <c r="AE1423" s="56" t="s">
        <v>607</v>
      </c>
      <c r="AF1423" s="56" t="s">
        <v>607</v>
      </c>
    </row>
    <row r="1424">
      <c r="A1424" s="52" t="s">
        <v>4706</v>
      </c>
      <c r="B1424" s="52" t="s">
        <v>607</v>
      </c>
      <c r="C1424" s="52" t="s">
        <v>607</v>
      </c>
      <c r="D1424" s="65" t="s">
        <v>607</v>
      </c>
      <c r="E1424" s="65" t="s">
        <v>607</v>
      </c>
      <c r="F1424" s="65" t="s">
        <v>607</v>
      </c>
      <c r="G1424" s="65" t="s">
        <v>607</v>
      </c>
      <c r="H1424" s="52" t="s">
        <v>607</v>
      </c>
      <c r="I1424" s="52" t="s">
        <v>607</v>
      </c>
      <c r="J1424" s="52" t="s">
        <v>607</v>
      </c>
      <c r="K1424" s="52" t="s">
        <v>607</v>
      </c>
      <c r="L1424" s="52" t="s">
        <v>607</v>
      </c>
      <c r="M1424" s="52" t="s">
        <v>607</v>
      </c>
      <c r="N1424" s="52" t="s">
        <v>607</v>
      </c>
      <c r="O1424" s="52"/>
      <c r="P1424" s="52"/>
      <c r="Q1424" s="52"/>
      <c r="R1424" s="51" t="b">
        <v>0</v>
      </c>
      <c r="S1424" s="51"/>
      <c r="T1424" s="52"/>
      <c r="U1424" s="51" t="b">
        <v>0</v>
      </c>
      <c r="V1424" s="51" t="b">
        <v>0</v>
      </c>
      <c r="W1424" s="51" t="b">
        <v>0</v>
      </c>
      <c r="X1424" s="51" t="b">
        <v>0</v>
      </c>
      <c r="Y1424" s="51" t="b">
        <v>0</v>
      </c>
      <c r="Z1424" s="51" t="b">
        <v>0</v>
      </c>
      <c r="AA1424" s="68"/>
      <c r="AB1424" s="52"/>
      <c r="AC1424" s="52"/>
      <c r="AD1424" s="52"/>
      <c r="AE1424" s="56" t="s">
        <v>607</v>
      </c>
      <c r="AF1424" s="56" t="s">
        <v>607</v>
      </c>
    </row>
    <row r="1425">
      <c r="A1425" s="52" t="s">
        <v>4707</v>
      </c>
      <c r="B1425" s="52" t="s">
        <v>14</v>
      </c>
      <c r="C1425" s="52" t="s">
        <v>289</v>
      </c>
      <c r="D1425" s="65">
        <v>0.6017361111111107</v>
      </c>
      <c r="E1425" s="65">
        <v>5.208333333333333E-4</v>
      </c>
      <c r="F1425" s="65">
        <v>0.602256944444444</v>
      </c>
      <c r="G1425" s="65"/>
      <c r="H1425" s="52" t="s">
        <v>79</v>
      </c>
      <c r="I1425" s="52" t="s">
        <v>80</v>
      </c>
      <c r="J1425" s="52" t="s">
        <v>69</v>
      </c>
      <c r="K1425" s="52"/>
      <c r="L1425" s="52"/>
      <c r="M1425" s="52"/>
      <c r="N1425" s="52"/>
      <c r="O1425" s="52"/>
      <c r="P1425" s="52"/>
      <c r="Q1425" s="52"/>
      <c r="R1425" s="51" t="b">
        <v>0</v>
      </c>
      <c r="S1425" s="51"/>
      <c r="T1425" s="52"/>
      <c r="U1425" s="51" t="b">
        <v>0</v>
      </c>
      <c r="V1425" s="51" t="b">
        <v>0</v>
      </c>
      <c r="W1425" s="51" t="b">
        <v>0</v>
      </c>
      <c r="X1425" s="51" t="b">
        <v>0</v>
      </c>
      <c r="Y1425" s="51" t="b">
        <v>0</v>
      </c>
      <c r="Z1425" s="51" t="b">
        <v>0</v>
      </c>
      <c r="AA1425" s="68"/>
      <c r="AB1425" s="52"/>
      <c r="AC1425" s="52"/>
      <c r="AD1425" s="52"/>
      <c r="AE1425" s="56"/>
      <c r="AF1425" s="56"/>
    </row>
    <row r="1426">
      <c r="A1426" s="52" t="s">
        <v>4708</v>
      </c>
      <c r="B1426" s="52" t="s">
        <v>14</v>
      </c>
      <c r="C1426" s="52" t="s">
        <v>66</v>
      </c>
      <c r="D1426" s="65">
        <v>0.5156481481481484</v>
      </c>
      <c r="E1426" s="65">
        <v>2.314814814814815E-4</v>
      </c>
      <c r="F1426" s="65">
        <v>0.5158796296296299</v>
      </c>
      <c r="G1426" s="65"/>
      <c r="H1426" s="52" t="s">
        <v>81</v>
      </c>
      <c r="I1426" s="52" t="s">
        <v>91</v>
      </c>
      <c r="J1426" s="52" t="s">
        <v>73</v>
      </c>
      <c r="K1426" s="52" t="s">
        <v>128</v>
      </c>
      <c r="L1426" s="52"/>
      <c r="M1426" s="52"/>
      <c r="N1426" s="52" t="s">
        <v>70</v>
      </c>
      <c r="O1426" s="52"/>
      <c r="P1426" s="52"/>
      <c r="Q1426" s="52"/>
      <c r="R1426" s="51" t="b">
        <v>0</v>
      </c>
      <c r="S1426" s="51"/>
      <c r="T1426" s="52"/>
      <c r="U1426" s="51" t="b">
        <v>0</v>
      </c>
      <c r="V1426" s="51" t="b">
        <v>0</v>
      </c>
      <c r="W1426" s="51" t="b">
        <v>0</v>
      </c>
      <c r="X1426" s="51" t="b">
        <v>0</v>
      </c>
      <c r="Y1426" s="51" t="b">
        <v>0</v>
      </c>
      <c r="Z1426" s="51" t="b">
        <v>0</v>
      </c>
      <c r="AA1426" s="68"/>
      <c r="AB1426" s="52"/>
      <c r="AC1426" s="52"/>
      <c r="AD1426" s="52"/>
      <c r="AE1426" s="56"/>
      <c r="AF1426" s="56"/>
    </row>
    <row r="1427">
      <c r="A1427" s="52" t="s">
        <v>4709</v>
      </c>
      <c r="B1427" s="52" t="s">
        <v>607</v>
      </c>
      <c r="C1427" s="52" t="s">
        <v>607</v>
      </c>
      <c r="D1427" s="65" t="s">
        <v>607</v>
      </c>
      <c r="E1427" s="65" t="s">
        <v>607</v>
      </c>
      <c r="F1427" s="65" t="s">
        <v>607</v>
      </c>
      <c r="G1427" s="65" t="s">
        <v>607</v>
      </c>
      <c r="H1427" s="52" t="s">
        <v>607</v>
      </c>
      <c r="I1427" s="52" t="s">
        <v>607</v>
      </c>
      <c r="J1427" s="52" t="s">
        <v>607</v>
      </c>
      <c r="K1427" s="52" t="s">
        <v>607</v>
      </c>
      <c r="L1427" s="52" t="s">
        <v>607</v>
      </c>
      <c r="M1427" s="52" t="s">
        <v>607</v>
      </c>
      <c r="N1427" s="52" t="s">
        <v>607</v>
      </c>
      <c r="O1427" s="52"/>
      <c r="P1427" s="52"/>
      <c r="Q1427" s="52"/>
      <c r="R1427" s="51" t="b">
        <v>0</v>
      </c>
      <c r="S1427" s="51"/>
      <c r="T1427" s="52"/>
      <c r="U1427" s="51" t="b">
        <v>0</v>
      </c>
      <c r="V1427" s="51" t="b">
        <v>0</v>
      </c>
      <c r="W1427" s="51" t="b">
        <v>0</v>
      </c>
      <c r="X1427" s="51" t="b">
        <v>0</v>
      </c>
      <c r="Y1427" s="51" t="b">
        <v>0</v>
      </c>
      <c r="Z1427" s="51" t="b">
        <v>0</v>
      </c>
      <c r="AA1427" s="68"/>
      <c r="AB1427" s="52"/>
      <c r="AC1427" s="52"/>
      <c r="AD1427" s="52"/>
      <c r="AE1427" s="56" t="s">
        <v>607</v>
      </c>
      <c r="AF1427" s="56" t="s">
        <v>607</v>
      </c>
    </row>
    <row r="1428">
      <c r="A1428" s="52" t="s">
        <v>4710</v>
      </c>
      <c r="B1428" s="52" t="s">
        <v>14</v>
      </c>
      <c r="C1428" s="52" t="s">
        <v>289</v>
      </c>
      <c r="D1428" s="65">
        <v>0.6135995370370365</v>
      </c>
      <c r="E1428" s="65">
        <v>2.314814814814815E-4</v>
      </c>
      <c r="F1428" s="65">
        <v>0.613831018518518</v>
      </c>
      <c r="G1428" s="65"/>
      <c r="H1428" s="52" t="s">
        <v>81</v>
      </c>
      <c r="I1428" s="52" t="s">
        <v>434</v>
      </c>
      <c r="J1428" s="52" t="s">
        <v>128</v>
      </c>
      <c r="K1428" s="52"/>
      <c r="L1428" s="52"/>
      <c r="M1428" s="52"/>
      <c r="N1428" s="52" t="s">
        <v>70</v>
      </c>
      <c r="O1428" s="52"/>
      <c r="P1428" s="52"/>
      <c r="Q1428" s="52"/>
      <c r="R1428" s="51" t="b">
        <v>0</v>
      </c>
      <c r="S1428" s="51"/>
      <c r="T1428" s="52"/>
      <c r="U1428" s="51" t="b">
        <v>0</v>
      </c>
      <c r="V1428" s="51" t="b">
        <v>0</v>
      </c>
      <c r="W1428" s="51" t="b">
        <v>0</v>
      </c>
      <c r="X1428" s="51" t="b">
        <v>0</v>
      </c>
      <c r="Y1428" s="51" t="b">
        <v>0</v>
      </c>
      <c r="Z1428" s="51" t="b">
        <v>0</v>
      </c>
      <c r="AA1428" s="68"/>
      <c r="AB1428" s="52"/>
      <c r="AC1428" s="52"/>
      <c r="AD1428" s="52"/>
      <c r="AE1428" s="56"/>
      <c r="AF1428" s="56"/>
    </row>
    <row r="1429">
      <c r="A1429" s="52" t="s">
        <v>4711</v>
      </c>
      <c r="B1429" s="52" t="s">
        <v>14</v>
      </c>
      <c r="C1429" s="52" t="s">
        <v>221</v>
      </c>
      <c r="D1429" s="65">
        <v>0.5735879629629631</v>
      </c>
      <c r="E1429" s="65">
        <v>2.314814814814815E-4</v>
      </c>
      <c r="F1429" s="65">
        <v>0.5738194444444445</v>
      </c>
      <c r="G1429" s="65"/>
      <c r="H1429" s="52" t="s">
        <v>81</v>
      </c>
      <c r="I1429" s="52" t="s">
        <v>286</v>
      </c>
      <c r="J1429" s="52" t="s">
        <v>128</v>
      </c>
      <c r="K1429" s="52"/>
      <c r="L1429" s="52"/>
      <c r="M1429" s="52"/>
      <c r="N1429" s="52"/>
      <c r="O1429" s="52"/>
      <c r="P1429" s="52"/>
      <c r="Q1429" s="52"/>
      <c r="R1429" s="51" t="b">
        <v>0</v>
      </c>
      <c r="S1429" s="51"/>
      <c r="T1429" s="52"/>
      <c r="U1429" s="51" t="b">
        <v>0</v>
      </c>
      <c r="V1429" s="51" t="b">
        <v>0</v>
      </c>
      <c r="W1429" s="51" t="b">
        <v>0</v>
      </c>
      <c r="X1429" s="51" t="b">
        <v>0</v>
      </c>
      <c r="Y1429" s="51" t="b">
        <v>0</v>
      </c>
      <c r="Z1429" s="51" t="b">
        <v>0</v>
      </c>
      <c r="AA1429" s="68"/>
      <c r="AB1429" s="52"/>
      <c r="AC1429" s="52"/>
      <c r="AD1429" s="52"/>
      <c r="AE1429" s="56"/>
      <c r="AF1429" s="56"/>
    </row>
    <row r="1430">
      <c r="A1430" s="52" t="s">
        <v>4712</v>
      </c>
      <c r="B1430" s="52" t="s">
        <v>14</v>
      </c>
      <c r="C1430" s="52" t="s">
        <v>289</v>
      </c>
      <c r="D1430" s="65">
        <v>0.613831018518518</v>
      </c>
      <c r="E1430" s="65">
        <v>0.0020833333333333333</v>
      </c>
      <c r="F1430" s="65">
        <v>0.6159143518518513</v>
      </c>
      <c r="G1430" s="65"/>
      <c r="H1430" s="52" t="s">
        <v>83</v>
      </c>
      <c r="I1430" s="52" t="s">
        <v>435</v>
      </c>
      <c r="J1430" s="52"/>
      <c r="K1430" s="52"/>
      <c r="L1430" s="52"/>
      <c r="M1430" s="52"/>
      <c r="N1430" s="52" t="s">
        <v>70</v>
      </c>
      <c r="O1430" s="52"/>
      <c r="P1430" s="52"/>
      <c r="Q1430" s="52"/>
      <c r="R1430" s="51" t="b">
        <v>0</v>
      </c>
      <c r="S1430" s="51"/>
      <c r="T1430" s="52"/>
      <c r="U1430" s="51" t="b">
        <v>0</v>
      </c>
      <c r="V1430" s="51" t="b">
        <v>0</v>
      </c>
      <c r="W1430" s="51" t="b">
        <v>0</v>
      </c>
      <c r="X1430" s="51" t="b">
        <v>0</v>
      </c>
      <c r="Y1430" s="51" t="b">
        <v>0</v>
      </c>
      <c r="Z1430" s="51" t="b">
        <v>0</v>
      </c>
      <c r="AA1430" s="68"/>
      <c r="AB1430" s="52"/>
      <c r="AC1430" s="52"/>
      <c r="AD1430" s="52"/>
      <c r="AE1430" s="56" t="s">
        <v>314</v>
      </c>
      <c r="AF1430" s="56" t="s">
        <v>803</v>
      </c>
    </row>
    <row r="1431">
      <c r="A1431" s="52" t="s">
        <v>4713</v>
      </c>
      <c r="B1431" s="52" t="s">
        <v>607</v>
      </c>
      <c r="C1431" s="52" t="s">
        <v>607</v>
      </c>
      <c r="D1431" s="65" t="s">
        <v>607</v>
      </c>
      <c r="E1431" s="65" t="s">
        <v>607</v>
      </c>
      <c r="F1431" s="65" t="s">
        <v>607</v>
      </c>
      <c r="G1431" s="65" t="s">
        <v>607</v>
      </c>
      <c r="H1431" s="52" t="s">
        <v>607</v>
      </c>
      <c r="I1431" s="52" t="s">
        <v>607</v>
      </c>
      <c r="J1431" s="52" t="s">
        <v>607</v>
      </c>
      <c r="K1431" s="52" t="s">
        <v>607</v>
      </c>
      <c r="L1431" s="52" t="s">
        <v>607</v>
      </c>
      <c r="M1431" s="52" t="s">
        <v>607</v>
      </c>
      <c r="N1431" s="52" t="s">
        <v>607</v>
      </c>
      <c r="O1431" s="52"/>
      <c r="P1431" s="52"/>
      <c r="Q1431" s="52"/>
      <c r="R1431" s="51" t="b">
        <v>0</v>
      </c>
      <c r="S1431" s="51"/>
      <c r="T1431" s="52"/>
      <c r="U1431" s="51" t="b">
        <v>0</v>
      </c>
      <c r="V1431" s="51" t="b">
        <v>0</v>
      </c>
      <c r="W1431" s="51" t="b">
        <v>0</v>
      </c>
      <c r="X1431" s="51" t="b">
        <v>0</v>
      </c>
      <c r="Y1431" s="51" t="b">
        <v>0</v>
      </c>
      <c r="Z1431" s="51" t="b">
        <v>0</v>
      </c>
      <c r="AA1431" s="68"/>
      <c r="AB1431" s="52"/>
      <c r="AC1431" s="52"/>
      <c r="AD1431" s="52"/>
      <c r="AE1431" s="56" t="s">
        <v>607</v>
      </c>
      <c r="AF1431" s="56" t="s">
        <v>607</v>
      </c>
    </row>
    <row r="1432">
      <c r="A1432" s="52" t="s">
        <v>4714</v>
      </c>
      <c r="B1432" s="52" t="s">
        <v>14</v>
      </c>
      <c r="C1432" s="52" t="s">
        <v>289</v>
      </c>
      <c r="D1432" s="65">
        <v>0.48442129629629654</v>
      </c>
      <c r="E1432" s="65">
        <v>2.314814814814815E-4</v>
      </c>
      <c r="F1432" s="65">
        <v>0.48465277777777804</v>
      </c>
      <c r="G1432" s="65"/>
      <c r="H1432" s="52" t="s">
        <v>81</v>
      </c>
      <c r="I1432" s="52" t="s">
        <v>91</v>
      </c>
      <c r="J1432" s="52" t="s">
        <v>128</v>
      </c>
      <c r="K1432" s="52"/>
      <c r="L1432" s="52"/>
      <c r="M1432" s="52"/>
      <c r="N1432" s="52"/>
      <c r="O1432" s="52"/>
      <c r="P1432" s="52"/>
      <c r="Q1432" s="52"/>
      <c r="R1432" s="51" t="b">
        <v>0</v>
      </c>
      <c r="S1432" s="51"/>
      <c r="T1432" s="52"/>
      <c r="U1432" s="51" t="b">
        <v>0</v>
      </c>
      <c r="V1432" s="51" t="b">
        <v>0</v>
      </c>
      <c r="W1432" s="51" t="b">
        <v>0</v>
      </c>
      <c r="X1432" s="51" t="b">
        <v>0</v>
      </c>
      <c r="Y1432" s="51" t="b">
        <v>0</v>
      </c>
      <c r="Z1432" s="51" t="b">
        <v>0</v>
      </c>
      <c r="AA1432" s="68"/>
      <c r="AB1432" s="52"/>
      <c r="AC1432" s="52"/>
      <c r="AD1432" s="52"/>
      <c r="AE1432" s="56"/>
      <c r="AF1432" s="56"/>
    </row>
    <row r="1433">
      <c r="A1433" s="52" t="s">
        <v>4715</v>
      </c>
      <c r="B1433" s="52" t="s">
        <v>607</v>
      </c>
      <c r="C1433" s="52" t="s">
        <v>607</v>
      </c>
      <c r="D1433" s="65" t="s">
        <v>607</v>
      </c>
      <c r="E1433" s="65" t="s">
        <v>607</v>
      </c>
      <c r="F1433" s="65" t="s">
        <v>607</v>
      </c>
      <c r="G1433" s="65" t="s">
        <v>607</v>
      </c>
      <c r="H1433" s="52" t="s">
        <v>607</v>
      </c>
      <c r="I1433" s="52" t="s">
        <v>607</v>
      </c>
      <c r="J1433" s="52" t="s">
        <v>607</v>
      </c>
      <c r="K1433" s="52" t="s">
        <v>607</v>
      </c>
      <c r="L1433" s="52" t="s">
        <v>607</v>
      </c>
      <c r="M1433" s="52" t="s">
        <v>607</v>
      </c>
      <c r="N1433" s="52" t="s">
        <v>607</v>
      </c>
      <c r="O1433" s="52"/>
      <c r="P1433" s="52"/>
      <c r="Q1433" s="52"/>
      <c r="R1433" s="51" t="b">
        <v>0</v>
      </c>
      <c r="S1433" s="51"/>
      <c r="T1433" s="52"/>
      <c r="U1433" s="51" t="b">
        <v>0</v>
      </c>
      <c r="V1433" s="51" t="b">
        <v>0</v>
      </c>
      <c r="W1433" s="51" t="b">
        <v>0</v>
      </c>
      <c r="X1433" s="51" t="b">
        <v>0</v>
      </c>
      <c r="Y1433" s="51" t="b">
        <v>0</v>
      </c>
      <c r="Z1433" s="51" t="b">
        <v>0</v>
      </c>
      <c r="AA1433" s="68"/>
      <c r="AB1433" s="52"/>
      <c r="AC1433" s="52"/>
      <c r="AD1433" s="52"/>
      <c r="AE1433" s="56" t="s">
        <v>607</v>
      </c>
      <c r="AF1433" s="56" t="s">
        <v>607</v>
      </c>
    </row>
    <row r="1434">
      <c r="A1434" s="52" t="s">
        <v>4716</v>
      </c>
      <c r="B1434" s="52" t="s">
        <v>607</v>
      </c>
      <c r="C1434" s="52" t="s">
        <v>607</v>
      </c>
      <c r="D1434" s="65" t="s">
        <v>607</v>
      </c>
      <c r="E1434" s="65" t="s">
        <v>607</v>
      </c>
      <c r="F1434" s="65" t="s">
        <v>607</v>
      </c>
      <c r="G1434" s="65" t="s">
        <v>607</v>
      </c>
      <c r="H1434" s="52" t="s">
        <v>607</v>
      </c>
      <c r="I1434" s="52" t="s">
        <v>607</v>
      </c>
      <c r="J1434" s="52" t="s">
        <v>607</v>
      </c>
      <c r="K1434" s="52" t="s">
        <v>607</v>
      </c>
      <c r="L1434" s="52" t="s">
        <v>607</v>
      </c>
      <c r="M1434" s="52" t="s">
        <v>607</v>
      </c>
      <c r="N1434" s="52" t="s">
        <v>607</v>
      </c>
      <c r="O1434" s="52"/>
      <c r="P1434" s="52"/>
      <c r="Q1434" s="52"/>
      <c r="R1434" s="51" t="b">
        <v>0</v>
      </c>
      <c r="S1434" s="51"/>
      <c r="T1434" s="52"/>
      <c r="U1434" s="51" t="b">
        <v>0</v>
      </c>
      <c r="V1434" s="51" t="b">
        <v>0</v>
      </c>
      <c r="W1434" s="51" t="b">
        <v>0</v>
      </c>
      <c r="X1434" s="51" t="b">
        <v>0</v>
      </c>
      <c r="Y1434" s="51" t="b">
        <v>0</v>
      </c>
      <c r="Z1434" s="51" t="b">
        <v>0</v>
      </c>
      <c r="AA1434" s="68"/>
      <c r="AB1434" s="52"/>
      <c r="AC1434" s="52"/>
      <c r="AD1434" s="52"/>
      <c r="AE1434" s="56" t="s">
        <v>607</v>
      </c>
      <c r="AF1434" s="56" t="s">
        <v>607</v>
      </c>
    </row>
    <row r="1435">
      <c r="A1435" s="52" t="s">
        <v>4717</v>
      </c>
      <c r="B1435" s="52" t="s">
        <v>14</v>
      </c>
      <c r="C1435" s="52" t="s">
        <v>289</v>
      </c>
      <c r="D1435" s="65">
        <v>0.5130208333333336</v>
      </c>
      <c r="E1435" s="65">
        <v>2.314814814814815E-4</v>
      </c>
      <c r="F1435" s="65">
        <v>0.513252314814815</v>
      </c>
      <c r="G1435" s="65"/>
      <c r="H1435" s="52" t="s">
        <v>81</v>
      </c>
      <c r="I1435" s="52" t="s">
        <v>81</v>
      </c>
      <c r="J1435" s="52" t="s">
        <v>92</v>
      </c>
      <c r="K1435" s="52"/>
      <c r="L1435" s="52"/>
      <c r="M1435" s="52"/>
      <c r="N1435" s="52"/>
      <c r="O1435" s="52"/>
      <c r="P1435" s="52"/>
      <c r="Q1435" s="52"/>
      <c r="R1435" s="51" t="b">
        <v>0</v>
      </c>
      <c r="S1435" s="51"/>
      <c r="T1435" s="52"/>
      <c r="U1435" s="51" t="b">
        <v>0</v>
      </c>
      <c r="V1435" s="51" t="b">
        <v>0</v>
      </c>
      <c r="W1435" s="51" t="b">
        <v>0</v>
      </c>
      <c r="X1435" s="51" t="b">
        <v>0</v>
      </c>
      <c r="Y1435" s="51" t="b">
        <v>0</v>
      </c>
      <c r="Z1435" s="51" t="b">
        <v>0</v>
      </c>
      <c r="AA1435" s="68"/>
      <c r="AB1435" s="52"/>
      <c r="AC1435" s="52"/>
      <c r="AD1435" s="52"/>
      <c r="AE1435" s="56"/>
      <c r="AF1435" s="56"/>
    </row>
    <row r="1436">
      <c r="A1436" s="52" t="s">
        <v>4718</v>
      </c>
      <c r="B1436" s="52" t="s">
        <v>14</v>
      </c>
      <c r="C1436" s="52" t="s">
        <v>66</v>
      </c>
      <c r="D1436" s="65">
        <v>0.5995486111111109</v>
      </c>
      <c r="E1436" s="65">
        <v>3.4722222222222224E-4</v>
      </c>
      <c r="F1436" s="65">
        <v>0.5998958333333332</v>
      </c>
      <c r="G1436" s="65"/>
      <c r="H1436" s="52" t="s">
        <v>89</v>
      </c>
      <c r="I1436" s="52" t="s">
        <v>80</v>
      </c>
      <c r="J1436" s="52" t="s">
        <v>69</v>
      </c>
      <c r="K1436" s="52"/>
      <c r="L1436" s="52"/>
      <c r="M1436" s="52"/>
      <c r="N1436" s="52"/>
      <c r="O1436" s="52"/>
      <c r="P1436" s="52"/>
      <c r="Q1436" s="52"/>
      <c r="R1436" s="51" t="b">
        <v>0</v>
      </c>
      <c r="S1436" s="51"/>
      <c r="T1436" s="52"/>
      <c r="U1436" s="51" t="b">
        <v>0</v>
      </c>
      <c r="V1436" s="51" t="b">
        <v>0</v>
      </c>
      <c r="W1436" s="51" t="b">
        <v>0</v>
      </c>
      <c r="X1436" s="51" t="b">
        <v>0</v>
      </c>
      <c r="Y1436" s="51" t="b">
        <v>0</v>
      </c>
      <c r="Z1436" s="51" t="b">
        <v>0</v>
      </c>
      <c r="AA1436" s="68"/>
      <c r="AB1436" s="52"/>
      <c r="AC1436" s="52"/>
      <c r="AD1436" s="52"/>
      <c r="AE1436" s="56"/>
      <c r="AF1436" s="56"/>
    </row>
    <row r="1437">
      <c r="A1437" s="52" t="s">
        <v>4719</v>
      </c>
      <c r="B1437" s="52" t="s">
        <v>14</v>
      </c>
      <c r="C1437" s="52" t="s">
        <v>221</v>
      </c>
      <c r="D1437" s="65">
        <v>0.4332175925925927</v>
      </c>
      <c r="E1437" s="65">
        <v>0.009722222222222222</v>
      </c>
      <c r="F1437" s="65">
        <v>0.4429398148148149</v>
      </c>
      <c r="G1437" s="65"/>
      <c r="H1437" s="52" t="s">
        <v>107</v>
      </c>
      <c r="I1437" s="52" t="s">
        <v>227</v>
      </c>
      <c r="J1437" s="52" t="s">
        <v>228</v>
      </c>
      <c r="K1437" s="52" t="s">
        <v>229</v>
      </c>
      <c r="L1437" s="52"/>
      <c r="M1437" s="52"/>
      <c r="N1437" s="52" t="s">
        <v>230</v>
      </c>
      <c r="O1437" s="52"/>
      <c r="P1437" s="69" t="s">
        <v>25</v>
      </c>
      <c r="Q1437" s="80" t="s">
        <v>4720</v>
      </c>
      <c r="R1437" s="51" t="b">
        <v>1</v>
      </c>
      <c r="S1437" s="52" t="s">
        <v>227</v>
      </c>
      <c r="T1437" s="52"/>
      <c r="U1437" s="51" t="b">
        <v>0</v>
      </c>
      <c r="V1437" s="51" t="b">
        <v>1</v>
      </c>
      <c r="W1437" s="51" t="b">
        <v>1</v>
      </c>
      <c r="X1437" s="51" t="b">
        <v>0</v>
      </c>
      <c r="Y1437" s="51" t="b">
        <v>0</v>
      </c>
      <c r="Z1437" s="51" t="b">
        <v>0</v>
      </c>
      <c r="AA1437" s="71">
        <v>0.009236111111111112</v>
      </c>
      <c r="AB1437" s="52"/>
      <c r="AC1437" s="52"/>
      <c r="AD1437" s="80" t="s">
        <v>4444</v>
      </c>
      <c r="AE1437" s="56" t="s">
        <v>629</v>
      </c>
      <c r="AF1437" s="56" t="s">
        <v>860</v>
      </c>
    </row>
    <row r="1438">
      <c r="A1438" s="52" t="s">
        <v>4721</v>
      </c>
      <c r="B1438" s="52" t="s">
        <v>785</v>
      </c>
      <c r="C1438" s="52" t="s">
        <v>66</v>
      </c>
      <c r="D1438" s="65">
        <v>0.6418865740740741</v>
      </c>
      <c r="E1438" s="65">
        <v>3.4722222222222224E-4</v>
      </c>
      <c r="F1438" s="65">
        <v>0.6422337962962964</v>
      </c>
      <c r="G1438" s="65"/>
      <c r="H1438" s="52" t="s">
        <v>81</v>
      </c>
      <c r="I1438" s="52" t="s">
        <v>81</v>
      </c>
      <c r="J1438" s="52" t="s">
        <v>128</v>
      </c>
      <c r="K1438" s="52"/>
      <c r="L1438" s="52"/>
      <c r="M1438" s="52"/>
      <c r="N1438" s="52" t="s">
        <v>70</v>
      </c>
      <c r="O1438" s="52"/>
      <c r="P1438" s="52"/>
      <c r="Q1438" s="52"/>
      <c r="R1438" s="51" t="b">
        <v>0</v>
      </c>
      <c r="S1438" s="51"/>
      <c r="T1438" s="52"/>
      <c r="U1438" s="51" t="b">
        <v>0</v>
      </c>
      <c r="V1438" s="51" t="b">
        <v>0</v>
      </c>
      <c r="W1438" s="51" t="b">
        <v>0</v>
      </c>
      <c r="X1438" s="51" t="b">
        <v>0</v>
      </c>
      <c r="Y1438" s="51" t="b">
        <v>0</v>
      </c>
      <c r="Z1438" s="51" t="b">
        <v>0</v>
      </c>
      <c r="AA1438" s="68"/>
      <c r="AB1438" s="52"/>
      <c r="AC1438" s="52"/>
      <c r="AD1438" s="52"/>
      <c r="AE1438" s="56"/>
      <c r="AF1438" s="56"/>
    </row>
    <row r="1439">
      <c r="A1439" s="52" t="s">
        <v>4722</v>
      </c>
      <c r="B1439" s="52" t="s">
        <v>607</v>
      </c>
      <c r="C1439" s="52" t="s">
        <v>607</v>
      </c>
      <c r="D1439" s="65" t="s">
        <v>607</v>
      </c>
      <c r="E1439" s="65" t="s">
        <v>607</v>
      </c>
      <c r="F1439" s="65" t="s">
        <v>607</v>
      </c>
      <c r="G1439" s="65" t="s">
        <v>607</v>
      </c>
      <c r="H1439" s="52" t="s">
        <v>607</v>
      </c>
      <c r="I1439" s="52" t="s">
        <v>607</v>
      </c>
      <c r="J1439" s="52" t="s">
        <v>607</v>
      </c>
      <c r="K1439" s="52" t="s">
        <v>607</v>
      </c>
      <c r="L1439" s="52" t="s">
        <v>607</v>
      </c>
      <c r="M1439" s="52" t="s">
        <v>607</v>
      </c>
      <c r="N1439" s="52" t="s">
        <v>607</v>
      </c>
      <c r="O1439" s="52"/>
      <c r="P1439" s="52"/>
      <c r="Q1439" s="52"/>
      <c r="R1439" s="51" t="b">
        <v>0</v>
      </c>
      <c r="S1439" s="239"/>
      <c r="T1439" s="52"/>
      <c r="U1439" s="51" t="b">
        <v>0</v>
      </c>
      <c r="V1439" s="51" t="b">
        <v>0</v>
      </c>
      <c r="W1439" s="51" t="b">
        <v>0</v>
      </c>
      <c r="X1439" s="51" t="b">
        <v>0</v>
      </c>
      <c r="Y1439" s="51" t="b">
        <v>0</v>
      </c>
      <c r="Z1439" s="51" t="b">
        <v>0</v>
      </c>
      <c r="AA1439" s="68"/>
      <c r="AB1439" s="52"/>
      <c r="AC1439" s="52"/>
      <c r="AD1439" s="52"/>
      <c r="AE1439" s="56" t="s">
        <v>607</v>
      </c>
      <c r="AF1439" s="56" t="s">
        <v>607</v>
      </c>
    </row>
    <row r="1440">
      <c r="A1440" s="52" t="s">
        <v>4723</v>
      </c>
      <c r="B1440" s="52" t="s">
        <v>607</v>
      </c>
      <c r="C1440" s="52" t="s">
        <v>607</v>
      </c>
      <c r="D1440" s="65" t="s">
        <v>607</v>
      </c>
      <c r="E1440" s="65" t="s">
        <v>607</v>
      </c>
      <c r="F1440" s="65" t="s">
        <v>607</v>
      </c>
      <c r="G1440" s="65" t="s">
        <v>607</v>
      </c>
      <c r="H1440" s="52" t="s">
        <v>607</v>
      </c>
      <c r="I1440" s="52" t="s">
        <v>607</v>
      </c>
      <c r="J1440" s="52" t="s">
        <v>607</v>
      </c>
      <c r="K1440" s="52" t="s">
        <v>607</v>
      </c>
      <c r="L1440" s="52" t="s">
        <v>607</v>
      </c>
      <c r="M1440" s="52" t="s">
        <v>607</v>
      </c>
      <c r="N1440" s="52" t="s">
        <v>607</v>
      </c>
      <c r="O1440" s="52"/>
      <c r="P1440" s="52"/>
      <c r="Q1440" s="52"/>
      <c r="R1440" s="51" t="b">
        <v>0</v>
      </c>
      <c r="S1440" s="239"/>
      <c r="T1440" s="52"/>
      <c r="U1440" s="51" t="b">
        <v>0</v>
      </c>
      <c r="V1440" s="51" t="b">
        <v>0</v>
      </c>
      <c r="W1440" s="51" t="b">
        <v>0</v>
      </c>
      <c r="X1440" s="51" t="b">
        <v>0</v>
      </c>
      <c r="Y1440" s="51" t="b">
        <v>0</v>
      </c>
      <c r="Z1440" s="51" t="b">
        <v>0</v>
      </c>
      <c r="AA1440" s="68"/>
      <c r="AB1440" s="52"/>
      <c r="AC1440" s="52"/>
      <c r="AD1440" s="52"/>
      <c r="AE1440" s="56" t="s">
        <v>607</v>
      </c>
      <c r="AF1440" s="56" t="s">
        <v>607</v>
      </c>
    </row>
    <row r="1441">
      <c r="A1441" s="52" t="s">
        <v>4724</v>
      </c>
      <c r="B1441" s="52" t="s">
        <v>607</v>
      </c>
      <c r="C1441" s="52" t="s">
        <v>607</v>
      </c>
      <c r="D1441" s="65" t="s">
        <v>607</v>
      </c>
      <c r="E1441" s="65" t="s">
        <v>607</v>
      </c>
      <c r="F1441" s="65" t="s">
        <v>607</v>
      </c>
      <c r="G1441" s="65" t="s">
        <v>607</v>
      </c>
      <c r="H1441" s="52" t="s">
        <v>607</v>
      </c>
      <c r="I1441" s="52" t="s">
        <v>607</v>
      </c>
      <c r="J1441" s="52" t="s">
        <v>607</v>
      </c>
      <c r="K1441" s="52" t="s">
        <v>607</v>
      </c>
      <c r="L1441" s="52" t="s">
        <v>607</v>
      </c>
      <c r="M1441" s="52" t="s">
        <v>607</v>
      </c>
      <c r="N1441" s="52" t="s">
        <v>607</v>
      </c>
      <c r="O1441" s="52"/>
      <c r="P1441" s="52"/>
      <c r="Q1441" s="52"/>
      <c r="R1441" s="51" t="b">
        <v>0</v>
      </c>
      <c r="S1441" s="239"/>
      <c r="T1441" s="52"/>
      <c r="U1441" s="51" t="b">
        <v>0</v>
      </c>
      <c r="V1441" s="51" t="b">
        <v>0</v>
      </c>
      <c r="W1441" s="51" t="b">
        <v>0</v>
      </c>
      <c r="X1441" s="51" t="b">
        <v>0</v>
      </c>
      <c r="Y1441" s="51" t="b">
        <v>0</v>
      </c>
      <c r="Z1441" s="51" t="b">
        <v>0</v>
      </c>
      <c r="AA1441" s="68"/>
      <c r="AB1441" s="52"/>
      <c r="AC1441" s="52"/>
      <c r="AD1441" s="52"/>
      <c r="AE1441" s="56" t="s">
        <v>607</v>
      </c>
      <c r="AF1441" s="56" t="s">
        <v>607</v>
      </c>
    </row>
    <row r="1442">
      <c r="A1442" s="52" t="s">
        <v>4725</v>
      </c>
      <c r="B1442" s="52" t="s">
        <v>607</v>
      </c>
      <c r="C1442" s="52" t="s">
        <v>607</v>
      </c>
      <c r="D1442" s="65" t="s">
        <v>607</v>
      </c>
      <c r="E1442" s="65" t="s">
        <v>607</v>
      </c>
      <c r="F1442" s="65" t="s">
        <v>607</v>
      </c>
      <c r="G1442" s="65" t="s">
        <v>607</v>
      </c>
      <c r="H1442" s="52" t="s">
        <v>607</v>
      </c>
      <c r="I1442" s="52" t="s">
        <v>607</v>
      </c>
      <c r="J1442" s="52" t="s">
        <v>607</v>
      </c>
      <c r="K1442" s="52" t="s">
        <v>607</v>
      </c>
      <c r="L1442" s="52" t="s">
        <v>607</v>
      </c>
      <c r="M1442" s="52" t="s">
        <v>607</v>
      </c>
      <c r="N1442" s="52" t="s">
        <v>607</v>
      </c>
      <c r="O1442" s="52"/>
      <c r="P1442" s="52"/>
      <c r="Q1442" s="52"/>
      <c r="R1442" s="51" t="b">
        <v>0</v>
      </c>
      <c r="S1442" s="239"/>
      <c r="T1442" s="52"/>
      <c r="U1442" s="51" t="b">
        <v>0</v>
      </c>
      <c r="V1442" s="51" t="b">
        <v>0</v>
      </c>
      <c r="W1442" s="51" t="b">
        <v>0</v>
      </c>
      <c r="X1442" s="51" t="b">
        <v>0</v>
      </c>
      <c r="Y1442" s="51" t="b">
        <v>0</v>
      </c>
      <c r="Z1442" s="51" t="b">
        <v>0</v>
      </c>
      <c r="AA1442" s="68"/>
      <c r="AB1442" s="52"/>
      <c r="AC1442" s="52"/>
      <c r="AD1442" s="52"/>
      <c r="AE1442" s="56" t="s">
        <v>607</v>
      </c>
      <c r="AF1442" s="56" t="s">
        <v>607</v>
      </c>
    </row>
    <row r="1443">
      <c r="A1443" s="52" t="s">
        <v>4726</v>
      </c>
      <c r="B1443" s="52" t="s">
        <v>607</v>
      </c>
      <c r="C1443" s="52" t="s">
        <v>607</v>
      </c>
      <c r="D1443" s="65" t="s">
        <v>607</v>
      </c>
      <c r="E1443" s="65" t="s">
        <v>607</v>
      </c>
      <c r="F1443" s="65" t="s">
        <v>607</v>
      </c>
      <c r="G1443" s="65" t="s">
        <v>607</v>
      </c>
      <c r="H1443" s="52" t="s">
        <v>607</v>
      </c>
      <c r="I1443" s="52" t="s">
        <v>607</v>
      </c>
      <c r="J1443" s="52" t="s">
        <v>607</v>
      </c>
      <c r="K1443" s="52" t="s">
        <v>607</v>
      </c>
      <c r="L1443" s="52" t="s">
        <v>607</v>
      </c>
      <c r="M1443" s="52" t="s">
        <v>607</v>
      </c>
      <c r="N1443" s="52" t="s">
        <v>607</v>
      </c>
      <c r="O1443" s="52"/>
      <c r="P1443" s="52"/>
      <c r="Q1443" s="52"/>
      <c r="R1443" s="51" t="b">
        <v>0</v>
      </c>
      <c r="S1443" s="239"/>
      <c r="T1443" s="52"/>
      <c r="U1443" s="51" t="b">
        <v>0</v>
      </c>
      <c r="V1443" s="51" t="b">
        <v>0</v>
      </c>
      <c r="W1443" s="51" t="b">
        <v>0</v>
      </c>
      <c r="X1443" s="51" t="b">
        <v>0</v>
      </c>
      <c r="Y1443" s="51" t="b">
        <v>0</v>
      </c>
      <c r="Z1443" s="51" t="b">
        <v>0</v>
      </c>
      <c r="AA1443" s="68"/>
      <c r="AB1443" s="52"/>
      <c r="AC1443" s="52"/>
      <c r="AD1443" s="52"/>
      <c r="AE1443" s="56" t="s">
        <v>607</v>
      </c>
      <c r="AF1443" s="56" t="s">
        <v>607</v>
      </c>
    </row>
    <row r="1444">
      <c r="A1444" s="52" t="s">
        <v>4727</v>
      </c>
      <c r="B1444" s="52" t="s">
        <v>607</v>
      </c>
      <c r="C1444" s="52" t="s">
        <v>607</v>
      </c>
      <c r="D1444" s="65" t="s">
        <v>607</v>
      </c>
      <c r="E1444" s="65" t="s">
        <v>607</v>
      </c>
      <c r="F1444" s="65" t="s">
        <v>607</v>
      </c>
      <c r="G1444" s="65" t="s">
        <v>607</v>
      </c>
      <c r="H1444" s="52" t="s">
        <v>607</v>
      </c>
      <c r="I1444" s="52" t="s">
        <v>607</v>
      </c>
      <c r="J1444" s="52" t="s">
        <v>607</v>
      </c>
      <c r="K1444" s="52" t="s">
        <v>607</v>
      </c>
      <c r="L1444" s="52" t="s">
        <v>607</v>
      </c>
      <c r="M1444" s="52" t="s">
        <v>607</v>
      </c>
      <c r="N1444" s="52" t="s">
        <v>607</v>
      </c>
      <c r="O1444" s="52"/>
      <c r="P1444" s="52"/>
      <c r="Q1444" s="52"/>
      <c r="R1444" s="51" t="b">
        <v>0</v>
      </c>
      <c r="S1444" s="51"/>
      <c r="T1444" s="52"/>
      <c r="U1444" s="51" t="b">
        <v>0</v>
      </c>
      <c r="V1444" s="51" t="b">
        <v>0</v>
      </c>
      <c r="W1444" s="51" t="b">
        <v>0</v>
      </c>
      <c r="X1444" s="51" t="b">
        <v>0</v>
      </c>
      <c r="Y1444" s="51" t="b">
        <v>0</v>
      </c>
      <c r="Z1444" s="51" t="b">
        <v>0</v>
      </c>
      <c r="AA1444" s="68"/>
      <c r="AB1444" s="52"/>
      <c r="AC1444" s="52"/>
      <c r="AD1444" s="52"/>
      <c r="AE1444" s="56" t="s">
        <v>607</v>
      </c>
      <c r="AF1444" s="56" t="s">
        <v>607</v>
      </c>
    </row>
    <row r="1445">
      <c r="A1445" s="52" t="s">
        <v>4728</v>
      </c>
      <c r="B1445" s="52" t="s">
        <v>607</v>
      </c>
      <c r="C1445" s="52" t="s">
        <v>607</v>
      </c>
      <c r="D1445" s="65" t="s">
        <v>607</v>
      </c>
      <c r="E1445" s="65" t="s">
        <v>607</v>
      </c>
      <c r="F1445" s="65" t="s">
        <v>607</v>
      </c>
      <c r="G1445" s="65" t="s">
        <v>607</v>
      </c>
      <c r="H1445" s="52" t="s">
        <v>607</v>
      </c>
      <c r="I1445" s="52" t="s">
        <v>607</v>
      </c>
      <c r="J1445" s="52" t="s">
        <v>607</v>
      </c>
      <c r="K1445" s="52" t="s">
        <v>607</v>
      </c>
      <c r="L1445" s="52" t="s">
        <v>607</v>
      </c>
      <c r="M1445" s="52" t="s">
        <v>607</v>
      </c>
      <c r="N1445" s="52" t="s">
        <v>607</v>
      </c>
      <c r="O1445" s="52"/>
      <c r="P1445" s="52"/>
      <c r="Q1445" s="52"/>
      <c r="R1445" s="51" t="b">
        <v>0</v>
      </c>
      <c r="S1445" s="51"/>
      <c r="T1445" s="52"/>
      <c r="U1445" s="51" t="b">
        <v>0</v>
      </c>
      <c r="V1445" s="51" t="b">
        <v>0</v>
      </c>
      <c r="W1445" s="51" t="b">
        <v>0</v>
      </c>
      <c r="X1445" s="51" t="b">
        <v>0</v>
      </c>
      <c r="Y1445" s="51" t="b">
        <v>0</v>
      </c>
      <c r="Z1445" s="51" t="b">
        <v>0</v>
      </c>
      <c r="AA1445" s="68"/>
      <c r="AB1445" s="52"/>
      <c r="AC1445" s="52"/>
      <c r="AD1445" s="52"/>
      <c r="AE1445" s="56" t="s">
        <v>607</v>
      </c>
      <c r="AF1445" s="56" t="s">
        <v>607</v>
      </c>
    </row>
    <row r="1446">
      <c r="A1446" s="52" t="s">
        <v>4729</v>
      </c>
      <c r="B1446" s="52" t="s">
        <v>22</v>
      </c>
      <c r="C1446" s="52" t="s">
        <v>221</v>
      </c>
      <c r="D1446" s="65">
        <v>0.4387037037037037</v>
      </c>
      <c r="E1446" s="65">
        <v>0.0012037037037037038</v>
      </c>
      <c r="F1446" s="65">
        <v>0.4399074074074074</v>
      </c>
      <c r="G1446" s="65"/>
      <c r="H1446" s="52" t="s">
        <v>79</v>
      </c>
      <c r="I1446" s="52" t="s">
        <v>1497</v>
      </c>
      <c r="J1446" s="52"/>
      <c r="K1446" s="52"/>
      <c r="L1446" s="52"/>
      <c r="M1446" s="52"/>
      <c r="N1446" s="52" t="s">
        <v>70</v>
      </c>
      <c r="O1446" s="52"/>
      <c r="P1446" s="52"/>
      <c r="Q1446" s="52"/>
      <c r="R1446" s="51" t="b">
        <v>0</v>
      </c>
      <c r="S1446" s="51"/>
      <c r="T1446" s="52"/>
      <c r="U1446" s="51" t="b">
        <v>0</v>
      </c>
      <c r="V1446" s="51" t="b">
        <v>0</v>
      </c>
      <c r="W1446" s="51" t="b">
        <v>0</v>
      </c>
      <c r="X1446" s="51" t="b">
        <v>0</v>
      </c>
      <c r="Y1446" s="51" t="b">
        <v>0</v>
      </c>
      <c r="Z1446" s="51" t="b">
        <v>0</v>
      </c>
      <c r="AA1446" s="65"/>
      <c r="AB1446" s="52"/>
      <c r="AC1446" s="52"/>
      <c r="AD1446" s="52"/>
      <c r="AE1446" s="56"/>
      <c r="AF1446" s="56"/>
    </row>
    <row r="1447">
      <c r="A1447" s="52" t="s">
        <v>4730</v>
      </c>
      <c r="B1447" s="52" t="s">
        <v>16</v>
      </c>
      <c r="C1447" s="52" t="s">
        <v>289</v>
      </c>
      <c r="D1447" s="65">
        <v>0.6867013888888912</v>
      </c>
      <c r="E1447" s="65">
        <v>0.010416666666666666</v>
      </c>
      <c r="F1447" s="65">
        <v>0.6971180555555578</v>
      </c>
      <c r="G1447" s="65" t="s">
        <v>140</v>
      </c>
      <c r="H1447" s="52" t="s">
        <v>94</v>
      </c>
      <c r="I1447" s="52" t="s">
        <v>975</v>
      </c>
      <c r="J1447" s="52" t="s">
        <v>976</v>
      </c>
      <c r="K1447" s="52"/>
      <c r="L1447" s="52"/>
      <c r="M1447" s="52"/>
      <c r="N1447" s="52" t="s">
        <v>977</v>
      </c>
      <c r="O1447" s="69" t="s">
        <v>618</v>
      </c>
      <c r="P1447" s="69" t="s">
        <v>32</v>
      </c>
      <c r="Q1447" s="80" t="s">
        <v>4731</v>
      </c>
      <c r="R1447" s="51" t="b">
        <v>1</v>
      </c>
      <c r="S1447" s="78" t="s">
        <v>975</v>
      </c>
      <c r="T1447" s="52"/>
      <c r="U1447" s="51" t="b">
        <v>0</v>
      </c>
      <c r="V1447" s="51" t="b">
        <v>1</v>
      </c>
      <c r="W1447" s="51" t="b">
        <v>1</v>
      </c>
      <c r="X1447" s="51" t="b">
        <v>0</v>
      </c>
      <c r="Y1447" s="51" t="b">
        <v>0</v>
      </c>
      <c r="Z1447" s="51" t="b">
        <v>0</v>
      </c>
      <c r="AA1447" s="71">
        <v>0.010069444444444445</v>
      </c>
      <c r="AB1447" s="52"/>
      <c r="AC1447" s="52"/>
      <c r="AD1447" s="73" t="s">
        <v>4698</v>
      </c>
      <c r="AE1447" s="56" t="s">
        <v>629</v>
      </c>
      <c r="AF1447" s="56" t="s">
        <v>972</v>
      </c>
    </row>
    <row r="1448">
      <c r="A1448" s="52" t="s">
        <v>4732</v>
      </c>
      <c r="B1448" s="52" t="s">
        <v>16</v>
      </c>
      <c r="C1448" s="52" t="s">
        <v>289</v>
      </c>
      <c r="D1448" s="65">
        <v>0.7059259259259284</v>
      </c>
      <c r="E1448" s="65">
        <v>3.4722222222222224E-4</v>
      </c>
      <c r="F1448" s="65">
        <v>0.7062731481481507</v>
      </c>
      <c r="G1448" s="65" t="s">
        <v>140</v>
      </c>
      <c r="H1448" s="52" t="s">
        <v>87</v>
      </c>
      <c r="I1448" s="52" t="s">
        <v>979</v>
      </c>
      <c r="J1448" s="52"/>
      <c r="K1448" s="52"/>
      <c r="L1448" s="52"/>
      <c r="M1448" s="52"/>
      <c r="N1448" s="52"/>
      <c r="O1448" s="52"/>
      <c r="P1448" s="52"/>
      <c r="Q1448" s="52"/>
      <c r="R1448" s="51" t="b">
        <v>0</v>
      </c>
      <c r="S1448" s="51"/>
      <c r="T1448" s="52"/>
      <c r="U1448" s="51" t="b">
        <v>0</v>
      </c>
      <c r="V1448" s="51" t="b">
        <v>0</v>
      </c>
      <c r="W1448" s="51" t="b">
        <v>0</v>
      </c>
      <c r="X1448" s="51" t="b">
        <v>0</v>
      </c>
      <c r="Y1448" s="51" t="b">
        <v>0</v>
      </c>
      <c r="Z1448" s="51" t="b">
        <v>0</v>
      </c>
      <c r="AA1448" s="68"/>
      <c r="AB1448" s="52"/>
      <c r="AC1448" s="52"/>
      <c r="AD1448" s="52"/>
      <c r="AE1448" s="56"/>
      <c r="AF1448" s="56"/>
    </row>
    <row r="1449">
      <c r="A1449" s="52" t="s">
        <v>4733</v>
      </c>
      <c r="B1449" s="52" t="s">
        <v>607</v>
      </c>
      <c r="C1449" s="52" t="s">
        <v>607</v>
      </c>
      <c r="D1449" s="65" t="s">
        <v>607</v>
      </c>
      <c r="E1449" s="65" t="s">
        <v>607</v>
      </c>
      <c r="F1449" s="65" t="s">
        <v>607</v>
      </c>
      <c r="G1449" s="65" t="s">
        <v>607</v>
      </c>
      <c r="H1449" s="52" t="s">
        <v>607</v>
      </c>
      <c r="I1449" s="52" t="s">
        <v>607</v>
      </c>
      <c r="J1449" s="52" t="s">
        <v>607</v>
      </c>
      <c r="K1449" s="52" t="s">
        <v>607</v>
      </c>
      <c r="L1449" s="52" t="s">
        <v>607</v>
      </c>
      <c r="M1449" s="52" t="s">
        <v>607</v>
      </c>
      <c r="N1449" s="52" t="s">
        <v>607</v>
      </c>
      <c r="O1449" s="52"/>
      <c r="P1449" s="52"/>
      <c r="Q1449" s="52"/>
      <c r="R1449" s="51" t="b">
        <v>0</v>
      </c>
      <c r="S1449" s="51"/>
      <c r="T1449" s="52"/>
      <c r="U1449" s="51" t="b">
        <v>0</v>
      </c>
      <c r="V1449" s="51" t="b">
        <v>0</v>
      </c>
      <c r="W1449" s="51" t="b">
        <v>0</v>
      </c>
      <c r="X1449" s="51" t="b">
        <v>0</v>
      </c>
      <c r="Y1449" s="51" t="b">
        <v>0</v>
      </c>
      <c r="Z1449" s="51" t="b">
        <v>0</v>
      </c>
      <c r="AA1449" s="68"/>
      <c r="AB1449" s="52"/>
      <c r="AC1449" s="52"/>
      <c r="AD1449" s="52"/>
      <c r="AE1449" s="56" t="s">
        <v>607</v>
      </c>
      <c r="AF1449" s="56" t="s">
        <v>607</v>
      </c>
    </row>
    <row r="1450">
      <c r="A1450" s="52" t="s">
        <v>4734</v>
      </c>
      <c r="B1450" s="52" t="s">
        <v>16</v>
      </c>
      <c r="C1450" s="52" t="s">
        <v>66</v>
      </c>
      <c r="D1450" s="65">
        <v>0.6579861111111126</v>
      </c>
      <c r="E1450" s="65">
        <v>3.4722222222222224E-4</v>
      </c>
      <c r="F1450" s="65">
        <v>0.6583333333333349</v>
      </c>
      <c r="G1450" s="65" t="s">
        <v>481</v>
      </c>
      <c r="H1450" s="52" t="s">
        <v>89</v>
      </c>
      <c r="I1450" s="52" t="s">
        <v>582</v>
      </c>
      <c r="J1450" s="52"/>
      <c r="K1450" s="52"/>
      <c r="L1450" s="52"/>
      <c r="M1450" s="52"/>
      <c r="N1450" s="52"/>
      <c r="O1450" s="52"/>
      <c r="P1450" s="52"/>
      <c r="Q1450" s="52"/>
      <c r="R1450" s="51" t="b">
        <v>0</v>
      </c>
      <c r="S1450" s="51"/>
      <c r="T1450" s="52"/>
      <c r="U1450" s="51" t="b">
        <v>0</v>
      </c>
      <c r="V1450" s="51" t="b">
        <v>0</v>
      </c>
      <c r="W1450" s="51" t="b">
        <v>0</v>
      </c>
      <c r="X1450" s="51" t="b">
        <v>0</v>
      </c>
      <c r="Y1450" s="51" t="b">
        <v>0</v>
      </c>
      <c r="Z1450" s="51" t="b">
        <v>0</v>
      </c>
      <c r="AA1450" s="68"/>
      <c r="AB1450" s="52"/>
      <c r="AC1450" s="52"/>
      <c r="AD1450" s="52"/>
      <c r="AE1450" s="56"/>
      <c r="AF1450" s="56" t="s">
        <v>1944</v>
      </c>
    </row>
    <row r="1451">
      <c r="A1451" s="52" t="s">
        <v>4735</v>
      </c>
      <c r="B1451" s="52" t="s">
        <v>607</v>
      </c>
      <c r="C1451" s="52" t="s">
        <v>607</v>
      </c>
      <c r="D1451" s="65" t="s">
        <v>607</v>
      </c>
      <c r="E1451" s="65" t="s">
        <v>607</v>
      </c>
      <c r="F1451" s="65" t="s">
        <v>607</v>
      </c>
      <c r="G1451" s="65" t="s">
        <v>607</v>
      </c>
      <c r="H1451" s="52" t="s">
        <v>607</v>
      </c>
      <c r="I1451" s="52" t="s">
        <v>607</v>
      </c>
      <c r="J1451" s="52" t="s">
        <v>607</v>
      </c>
      <c r="K1451" s="52" t="s">
        <v>607</v>
      </c>
      <c r="L1451" s="52" t="s">
        <v>607</v>
      </c>
      <c r="M1451" s="52" t="s">
        <v>607</v>
      </c>
      <c r="N1451" s="52" t="s">
        <v>607</v>
      </c>
      <c r="O1451" s="52"/>
      <c r="P1451" s="52"/>
      <c r="Q1451" s="52"/>
      <c r="R1451" s="51" t="b">
        <v>0</v>
      </c>
      <c r="S1451" s="51"/>
      <c r="T1451" s="52"/>
      <c r="U1451" s="51" t="b">
        <v>0</v>
      </c>
      <c r="V1451" s="51" t="b">
        <v>0</v>
      </c>
      <c r="W1451" s="51" t="b">
        <v>0</v>
      </c>
      <c r="X1451" s="51" t="b">
        <v>0</v>
      </c>
      <c r="Y1451" s="51" t="b">
        <v>0</v>
      </c>
      <c r="Z1451" s="51" t="b">
        <v>0</v>
      </c>
      <c r="AA1451" s="68"/>
      <c r="AB1451" s="52"/>
      <c r="AC1451" s="52"/>
      <c r="AD1451" s="52"/>
      <c r="AE1451" s="56" t="s">
        <v>607</v>
      </c>
      <c r="AF1451" s="56" t="s">
        <v>607</v>
      </c>
    </row>
    <row r="1452">
      <c r="A1452" s="52" t="s">
        <v>4736</v>
      </c>
      <c r="B1452" s="52" t="s">
        <v>16</v>
      </c>
      <c r="C1452" s="52" t="s">
        <v>66</v>
      </c>
      <c r="D1452" s="65"/>
      <c r="E1452" s="65"/>
      <c r="F1452" s="65"/>
      <c r="G1452" s="65"/>
      <c r="H1452" s="52"/>
      <c r="I1452" s="52"/>
      <c r="J1452" s="52"/>
      <c r="K1452" s="52"/>
      <c r="L1452" s="52"/>
      <c r="M1452" s="52"/>
      <c r="N1452" s="52"/>
      <c r="O1452" s="52"/>
      <c r="P1452" s="52"/>
      <c r="Q1452" s="52"/>
      <c r="R1452" s="51" t="b">
        <v>0</v>
      </c>
      <c r="S1452" s="51"/>
      <c r="T1452" s="52"/>
      <c r="U1452" s="51" t="b">
        <v>0</v>
      </c>
      <c r="V1452" s="51" t="b">
        <v>0</v>
      </c>
      <c r="W1452" s="51" t="b">
        <v>0</v>
      </c>
      <c r="X1452" s="51" t="b">
        <v>0</v>
      </c>
      <c r="Y1452" s="51" t="b">
        <v>0</v>
      </c>
      <c r="Z1452" s="51" t="b">
        <v>0</v>
      </c>
      <c r="AA1452" s="68"/>
      <c r="AB1452" s="52"/>
      <c r="AC1452" s="52"/>
      <c r="AD1452" s="52"/>
      <c r="AE1452" s="56"/>
      <c r="AF1452" s="56"/>
    </row>
    <row r="1453">
      <c r="A1453" s="52" t="s">
        <v>4737</v>
      </c>
      <c r="B1453" s="52" t="s">
        <v>16</v>
      </c>
      <c r="C1453" s="52" t="s">
        <v>66</v>
      </c>
      <c r="D1453" s="65">
        <v>0.4844328703703704</v>
      </c>
      <c r="E1453" s="65">
        <v>3.4722222222222224E-4</v>
      </c>
      <c r="F1453" s="65">
        <v>0.48478009259259264</v>
      </c>
      <c r="G1453" s="65" t="s">
        <v>106</v>
      </c>
      <c r="H1453" s="52" t="s">
        <v>89</v>
      </c>
      <c r="I1453" s="52" t="s">
        <v>89</v>
      </c>
      <c r="J1453" s="52"/>
      <c r="K1453" s="52"/>
      <c r="L1453" s="52"/>
      <c r="M1453" s="52"/>
      <c r="N1453" s="52"/>
      <c r="O1453" s="52"/>
      <c r="P1453" s="52"/>
      <c r="Q1453" s="52"/>
      <c r="R1453" s="51" t="b">
        <v>0</v>
      </c>
      <c r="S1453" s="51"/>
      <c r="T1453" s="52"/>
      <c r="U1453" s="51" t="b">
        <v>0</v>
      </c>
      <c r="V1453" s="51" t="b">
        <v>0</v>
      </c>
      <c r="W1453" s="51" t="b">
        <v>0</v>
      </c>
      <c r="X1453" s="51" t="b">
        <v>0</v>
      </c>
      <c r="Y1453" s="51" t="b">
        <v>0</v>
      </c>
      <c r="Z1453" s="51" t="b">
        <v>0</v>
      </c>
      <c r="AA1453" s="68"/>
      <c r="AB1453" s="52"/>
      <c r="AC1453" s="52"/>
      <c r="AD1453" s="52"/>
      <c r="AE1453" s="56"/>
      <c r="AF1453" s="56" t="s">
        <v>1944</v>
      </c>
    </row>
    <row r="1454">
      <c r="A1454" s="52" t="s">
        <v>4738</v>
      </c>
      <c r="B1454" s="52" t="s">
        <v>785</v>
      </c>
      <c r="C1454" s="52" t="s">
        <v>289</v>
      </c>
      <c r="D1454" s="65">
        <v>0.44930555555555557</v>
      </c>
      <c r="E1454" s="65">
        <v>3.356481481481481E-4</v>
      </c>
      <c r="F1454" s="65">
        <v>0.4496412037037037</v>
      </c>
      <c r="G1454" s="65" t="s">
        <v>737</v>
      </c>
      <c r="H1454" s="52" t="s">
        <v>81</v>
      </c>
      <c r="I1454" s="52" t="s">
        <v>81</v>
      </c>
      <c r="J1454" s="52"/>
      <c r="K1454" s="52"/>
      <c r="L1454" s="52"/>
      <c r="M1454" s="52"/>
      <c r="N1454" s="52" t="s">
        <v>70</v>
      </c>
      <c r="O1454" s="52"/>
      <c r="P1454" s="52"/>
      <c r="Q1454" s="52"/>
      <c r="R1454" s="51" t="b">
        <v>0</v>
      </c>
      <c r="S1454" s="51"/>
      <c r="T1454" s="52"/>
      <c r="U1454" s="51" t="b">
        <v>0</v>
      </c>
      <c r="V1454" s="51" t="b">
        <v>0</v>
      </c>
      <c r="W1454" s="51" t="b">
        <v>0</v>
      </c>
      <c r="X1454" s="51" t="b">
        <v>0</v>
      </c>
      <c r="Y1454" s="51" t="b">
        <v>0</v>
      </c>
      <c r="Z1454" s="51" t="b">
        <v>0</v>
      </c>
      <c r="AA1454" s="68"/>
      <c r="AB1454" s="52"/>
      <c r="AC1454" s="52"/>
      <c r="AD1454" s="52"/>
      <c r="AE1454" s="56"/>
      <c r="AF1454" s="56"/>
    </row>
    <row r="1455">
      <c r="A1455" s="52" t="s">
        <v>4739</v>
      </c>
      <c r="B1455" s="52" t="s">
        <v>607</v>
      </c>
      <c r="C1455" s="52" t="s">
        <v>607</v>
      </c>
      <c r="D1455" s="65" t="s">
        <v>607</v>
      </c>
      <c r="E1455" s="65" t="s">
        <v>607</v>
      </c>
      <c r="F1455" s="65" t="s">
        <v>607</v>
      </c>
      <c r="G1455" s="65" t="s">
        <v>607</v>
      </c>
      <c r="H1455" s="52" t="s">
        <v>607</v>
      </c>
      <c r="I1455" s="52" t="s">
        <v>607</v>
      </c>
      <c r="J1455" s="52" t="s">
        <v>607</v>
      </c>
      <c r="K1455" s="52" t="s">
        <v>607</v>
      </c>
      <c r="L1455" s="52" t="s">
        <v>607</v>
      </c>
      <c r="M1455" s="52" t="s">
        <v>607</v>
      </c>
      <c r="N1455" s="52" t="s">
        <v>607</v>
      </c>
      <c r="O1455" s="52"/>
      <c r="P1455" s="52"/>
      <c r="Q1455" s="52"/>
      <c r="R1455" s="51" t="b">
        <v>0</v>
      </c>
      <c r="S1455" s="51"/>
      <c r="T1455" s="52"/>
      <c r="U1455" s="51" t="b">
        <v>0</v>
      </c>
      <c r="V1455" s="51" t="b">
        <v>0</v>
      </c>
      <c r="W1455" s="51" t="b">
        <v>0</v>
      </c>
      <c r="X1455" s="51" t="b">
        <v>0</v>
      </c>
      <c r="Y1455" s="51" t="b">
        <v>0</v>
      </c>
      <c r="Z1455" s="51" t="b">
        <v>0</v>
      </c>
      <c r="AA1455" s="68"/>
      <c r="AB1455" s="52"/>
      <c r="AC1455" s="52"/>
      <c r="AD1455" s="52"/>
      <c r="AE1455" s="56" t="s">
        <v>607</v>
      </c>
      <c r="AF1455" s="56" t="s">
        <v>607</v>
      </c>
    </row>
    <row r="1456">
      <c r="A1456" s="52" t="s">
        <v>4740</v>
      </c>
      <c r="B1456" s="52" t="s">
        <v>785</v>
      </c>
      <c r="C1456" s="52" t="s">
        <v>289</v>
      </c>
      <c r="D1456" s="65">
        <v>0.4600578703703704</v>
      </c>
      <c r="E1456" s="65">
        <v>1.7361111111111112E-4</v>
      </c>
      <c r="F1456" s="65">
        <v>0.4602314814814815</v>
      </c>
      <c r="G1456" s="65" t="s">
        <v>737</v>
      </c>
      <c r="H1456" s="52" t="s">
        <v>85</v>
      </c>
      <c r="I1456" s="52" t="s">
        <v>85</v>
      </c>
      <c r="J1456" s="52"/>
      <c r="K1456" s="52"/>
      <c r="L1456" s="52"/>
      <c r="M1456" s="52"/>
      <c r="N1456" s="52" t="s">
        <v>70</v>
      </c>
      <c r="O1456" s="52"/>
      <c r="P1456" s="52"/>
      <c r="Q1456" s="52"/>
      <c r="R1456" s="51" t="b">
        <v>0</v>
      </c>
      <c r="S1456" s="51"/>
      <c r="T1456" s="52"/>
      <c r="U1456" s="51" t="b">
        <v>0</v>
      </c>
      <c r="V1456" s="51" t="b">
        <v>0</v>
      </c>
      <c r="W1456" s="51" t="b">
        <v>0</v>
      </c>
      <c r="X1456" s="51" t="b">
        <v>0</v>
      </c>
      <c r="Y1456" s="51" t="b">
        <v>0</v>
      </c>
      <c r="Z1456" s="51" t="b">
        <v>0</v>
      </c>
      <c r="AA1456" s="68"/>
      <c r="AB1456" s="52"/>
      <c r="AC1456" s="52"/>
      <c r="AD1456" s="52"/>
      <c r="AE1456" s="56"/>
      <c r="AF1456" s="56"/>
    </row>
    <row r="1457">
      <c r="A1457" s="52" t="s">
        <v>4741</v>
      </c>
      <c r="B1457" s="52" t="s">
        <v>16</v>
      </c>
      <c r="C1457" s="52" t="s">
        <v>221</v>
      </c>
      <c r="D1457" s="65">
        <v>0.6328819444444455</v>
      </c>
      <c r="E1457" s="65">
        <v>3.4722222222222224E-4</v>
      </c>
      <c r="F1457" s="65">
        <v>0.6332291666666677</v>
      </c>
      <c r="G1457" s="65" t="s">
        <v>737</v>
      </c>
      <c r="H1457" s="52" t="s">
        <v>81</v>
      </c>
      <c r="I1457" s="52" t="s">
        <v>81</v>
      </c>
      <c r="J1457" s="52"/>
      <c r="K1457" s="52"/>
      <c r="L1457" s="52"/>
      <c r="M1457" s="52"/>
      <c r="N1457" s="52" t="s">
        <v>70</v>
      </c>
      <c r="O1457" s="52"/>
      <c r="P1457" s="52"/>
      <c r="Q1457" s="52"/>
      <c r="R1457" s="51" t="b">
        <v>0</v>
      </c>
      <c r="S1457" s="51"/>
      <c r="T1457" s="52"/>
      <c r="U1457" s="51" t="b">
        <v>0</v>
      </c>
      <c r="V1457" s="51" t="b">
        <v>0</v>
      </c>
      <c r="W1457" s="51" t="b">
        <v>0</v>
      </c>
      <c r="X1457" s="51" t="b">
        <v>0</v>
      </c>
      <c r="Y1457" s="51" t="b">
        <v>0</v>
      </c>
      <c r="Z1457" s="51" t="b">
        <v>0</v>
      </c>
      <c r="AA1457" s="68"/>
      <c r="AB1457" s="52"/>
      <c r="AC1457" s="52"/>
      <c r="AD1457" s="52"/>
      <c r="AE1457" s="56"/>
      <c r="AF1457" s="56"/>
    </row>
    <row r="1458">
      <c r="A1458" s="52" t="s">
        <v>4742</v>
      </c>
      <c r="B1458" s="52" t="s">
        <v>16</v>
      </c>
      <c r="C1458" s="52" t="s">
        <v>221</v>
      </c>
      <c r="D1458" s="65">
        <v>0.6332291666666677</v>
      </c>
      <c r="E1458" s="65">
        <v>0.009027777777777777</v>
      </c>
      <c r="F1458" s="65">
        <v>0.6422569444444455</v>
      </c>
      <c r="G1458" s="65" t="s">
        <v>737</v>
      </c>
      <c r="H1458" s="52" t="s">
        <v>94</v>
      </c>
      <c r="I1458" s="52" t="s">
        <v>738</v>
      </c>
      <c r="J1458" s="52" t="s">
        <v>740</v>
      </c>
      <c r="K1458" s="52"/>
      <c r="L1458" s="52"/>
      <c r="M1458" s="52"/>
      <c r="N1458" s="52" t="s">
        <v>742</v>
      </c>
      <c r="O1458" s="69" t="s">
        <v>618</v>
      </c>
      <c r="P1458" s="69" t="s">
        <v>32</v>
      </c>
      <c r="Q1458" s="80" t="s">
        <v>4743</v>
      </c>
      <c r="R1458" s="51" t="b">
        <v>1</v>
      </c>
      <c r="S1458" s="78" t="s">
        <v>738</v>
      </c>
      <c r="T1458" s="52"/>
      <c r="U1458" s="51" t="b">
        <v>0</v>
      </c>
      <c r="V1458" s="51" t="b">
        <v>1</v>
      </c>
      <c r="W1458" s="51" t="b">
        <v>1</v>
      </c>
      <c r="X1458" s="51" t="b">
        <v>0</v>
      </c>
      <c r="Y1458" s="51" t="b">
        <v>0</v>
      </c>
      <c r="Z1458" s="51" t="b">
        <v>0</v>
      </c>
      <c r="AA1458" s="71">
        <v>0.008622685185185185</v>
      </c>
      <c r="AB1458" s="69" t="s">
        <v>4744</v>
      </c>
      <c r="AC1458" s="52"/>
      <c r="AD1458" s="73" t="s">
        <v>4644</v>
      </c>
      <c r="AE1458" s="56" t="s">
        <v>629</v>
      </c>
      <c r="AF1458" s="56" t="s">
        <v>1076</v>
      </c>
    </row>
    <row r="1459">
      <c r="A1459" s="52" t="s">
        <v>4745</v>
      </c>
      <c r="B1459" s="52" t="s">
        <v>607</v>
      </c>
      <c r="C1459" s="52" t="s">
        <v>607</v>
      </c>
      <c r="D1459" s="65" t="s">
        <v>607</v>
      </c>
      <c r="E1459" s="65" t="s">
        <v>607</v>
      </c>
      <c r="F1459" s="65" t="s">
        <v>607</v>
      </c>
      <c r="G1459" s="65" t="s">
        <v>607</v>
      </c>
      <c r="H1459" s="52" t="s">
        <v>607</v>
      </c>
      <c r="I1459" s="52" t="s">
        <v>607</v>
      </c>
      <c r="J1459" s="52" t="s">
        <v>607</v>
      </c>
      <c r="K1459" s="52" t="s">
        <v>607</v>
      </c>
      <c r="L1459" s="52" t="s">
        <v>607</v>
      </c>
      <c r="M1459" s="52" t="s">
        <v>607</v>
      </c>
      <c r="N1459" s="52" t="s">
        <v>607</v>
      </c>
      <c r="O1459" s="52"/>
      <c r="P1459" s="52"/>
      <c r="Q1459" s="52"/>
      <c r="R1459" s="51" t="b">
        <v>0</v>
      </c>
      <c r="S1459" s="51"/>
      <c r="T1459" s="52"/>
      <c r="U1459" s="51" t="b">
        <v>0</v>
      </c>
      <c r="V1459" s="51" t="b">
        <v>0</v>
      </c>
      <c r="W1459" s="51" t="b">
        <v>0</v>
      </c>
      <c r="X1459" s="51" t="b">
        <v>0</v>
      </c>
      <c r="Y1459" s="51" t="b">
        <v>0</v>
      </c>
      <c r="Z1459" s="51" t="b">
        <v>0</v>
      </c>
      <c r="AA1459" s="68"/>
      <c r="AB1459" s="52"/>
      <c r="AC1459" s="52"/>
      <c r="AD1459" s="52"/>
      <c r="AE1459" s="56" t="s">
        <v>607</v>
      </c>
      <c r="AF1459" s="56" t="s">
        <v>607</v>
      </c>
    </row>
    <row r="1460">
      <c r="A1460" s="52" t="s">
        <v>4746</v>
      </c>
      <c r="B1460" s="52" t="s">
        <v>607</v>
      </c>
      <c r="C1460" s="52" t="s">
        <v>607</v>
      </c>
      <c r="D1460" s="65" t="s">
        <v>607</v>
      </c>
      <c r="E1460" s="65" t="s">
        <v>607</v>
      </c>
      <c r="F1460" s="65" t="s">
        <v>607</v>
      </c>
      <c r="G1460" s="65" t="s">
        <v>607</v>
      </c>
      <c r="H1460" s="52" t="s">
        <v>607</v>
      </c>
      <c r="I1460" s="52" t="s">
        <v>607</v>
      </c>
      <c r="J1460" s="52" t="s">
        <v>607</v>
      </c>
      <c r="K1460" s="52" t="s">
        <v>607</v>
      </c>
      <c r="L1460" s="52" t="s">
        <v>607</v>
      </c>
      <c r="M1460" s="52" t="s">
        <v>607</v>
      </c>
      <c r="N1460" s="52" t="s">
        <v>607</v>
      </c>
      <c r="O1460" s="52"/>
      <c r="P1460" s="52"/>
      <c r="Q1460" s="52"/>
      <c r="R1460" s="51" t="b">
        <v>0</v>
      </c>
      <c r="S1460" s="51"/>
      <c r="T1460" s="52"/>
      <c r="U1460" s="51" t="b">
        <v>0</v>
      </c>
      <c r="V1460" s="51" t="b">
        <v>0</v>
      </c>
      <c r="W1460" s="51" t="b">
        <v>0</v>
      </c>
      <c r="X1460" s="51" t="b">
        <v>0</v>
      </c>
      <c r="Y1460" s="51" t="b">
        <v>0</v>
      </c>
      <c r="Z1460" s="51" t="b">
        <v>0</v>
      </c>
      <c r="AA1460" s="68"/>
      <c r="AB1460" s="52"/>
      <c r="AC1460" s="52"/>
      <c r="AD1460" s="52"/>
      <c r="AE1460" s="56" t="s">
        <v>607</v>
      </c>
      <c r="AF1460" s="56" t="s">
        <v>607</v>
      </c>
    </row>
    <row r="1461">
      <c r="A1461" s="52" t="s">
        <v>4747</v>
      </c>
      <c r="B1461" s="52" t="s">
        <v>607</v>
      </c>
      <c r="C1461" s="52" t="s">
        <v>607</v>
      </c>
      <c r="D1461" s="65" t="s">
        <v>607</v>
      </c>
      <c r="E1461" s="65" t="s">
        <v>607</v>
      </c>
      <c r="F1461" s="65" t="s">
        <v>607</v>
      </c>
      <c r="G1461" s="65" t="s">
        <v>607</v>
      </c>
      <c r="H1461" s="52" t="s">
        <v>607</v>
      </c>
      <c r="I1461" s="52" t="s">
        <v>607</v>
      </c>
      <c r="J1461" s="52" t="s">
        <v>607</v>
      </c>
      <c r="K1461" s="52" t="s">
        <v>607</v>
      </c>
      <c r="L1461" s="52" t="s">
        <v>607</v>
      </c>
      <c r="M1461" s="52" t="s">
        <v>607</v>
      </c>
      <c r="N1461" s="52" t="s">
        <v>607</v>
      </c>
      <c r="O1461" s="52"/>
      <c r="P1461" s="52"/>
      <c r="Q1461" s="52"/>
      <c r="R1461" s="51" t="b">
        <v>0</v>
      </c>
      <c r="S1461" s="51"/>
      <c r="T1461" s="52"/>
      <c r="U1461" s="51" t="b">
        <v>0</v>
      </c>
      <c r="V1461" s="51" t="b">
        <v>0</v>
      </c>
      <c r="W1461" s="51" t="b">
        <v>0</v>
      </c>
      <c r="X1461" s="51" t="b">
        <v>0</v>
      </c>
      <c r="Y1461" s="51" t="b">
        <v>0</v>
      </c>
      <c r="Z1461" s="51" t="b">
        <v>0</v>
      </c>
      <c r="AA1461" s="68"/>
      <c r="AB1461" s="52"/>
      <c r="AC1461" s="52"/>
      <c r="AD1461" s="52"/>
      <c r="AE1461" s="56" t="s">
        <v>607</v>
      </c>
      <c r="AF1461" s="56" t="s">
        <v>607</v>
      </c>
    </row>
    <row r="1462">
      <c r="A1462" s="52" t="s">
        <v>4748</v>
      </c>
      <c r="B1462" s="52" t="s">
        <v>607</v>
      </c>
      <c r="C1462" s="52" t="s">
        <v>607</v>
      </c>
      <c r="D1462" s="65" t="s">
        <v>607</v>
      </c>
      <c r="E1462" s="65" t="s">
        <v>607</v>
      </c>
      <c r="F1462" s="65" t="s">
        <v>607</v>
      </c>
      <c r="G1462" s="65" t="s">
        <v>607</v>
      </c>
      <c r="H1462" s="52" t="s">
        <v>607</v>
      </c>
      <c r="I1462" s="52" t="s">
        <v>607</v>
      </c>
      <c r="J1462" s="52" t="s">
        <v>607</v>
      </c>
      <c r="K1462" s="52" t="s">
        <v>607</v>
      </c>
      <c r="L1462" s="52" t="s">
        <v>607</v>
      </c>
      <c r="M1462" s="52" t="s">
        <v>607</v>
      </c>
      <c r="N1462" s="52" t="s">
        <v>607</v>
      </c>
      <c r="O1462" s="52"/>
      <c r="P1462" s="52"/>
      <c r="Q1462" s="52"/>
      <c r="R1462" s="51" t="b">
        <v>0</v>
      </c>
      <c r="S1462" s="51"/>
      <c r="T1462" s="52"/>
      <c r="U1462" s="51" t="b">
        <v>0</v>
      </c>
      <c r="V1462" s="51" t="b">
        <v>0</v>
      </c>
      <c r="W1462" s="51" t="b">
        <v>0</v>
      </c>
      <c r="X1462" s="51" t="b">
        <v>0</v>
      </c>
      <c r="Y1462" s="51" t="b">
        <v>0</v>
      </c>
      <c r="Z1462" s="51" t="b">
        <v>0</v>
      </c>
      <c r="AA1462" s="68"/>
      <c r="AB1462" s="52"/>
      <c r="AC1462" s="52"/>
      <c r="AD1462" s="52"/>
      <c r="AE1462" s="56" t="s">
        <v>607</v>
      </c>
      <c r="AF1462" s="56" t="s">
        <v>607</v>
      </c>
    </row>
    <row r="1463">
      <c r="A1463" s="52" t="s">
        <v>4749</v>
      </c>
      <c r="B1463" s="52" t="s">
        <v>607</v>
      </c>
      <c r="C1463" s="52" t="s">
        <v>607</v>
      </c>
      <c r="D1463" s="65" t="s">
        <v>607</v>
      </c>
      <c r="E1463" s="65" t="s">
        <v>607</v>
      </c>
      <c r="F1463" s="65" t="s">
        <v>607</v>
      </c>
      <c r="G1463" s="65" t="s">
        <v>607</v>
      </c>
      <c r="H1463" s="52" t="s">
        <v>607</v>
      </c>
      <c r="I1463" s="52" t="s">
        <v>607</v>
      </c>
      <c r="J1463" s="52" t="s">
        <v>607</v>
      </c>
      <c r="K1463" s="52" t="s">
        <v>607</v>
      </c>
      <c r="L1463" s="52" t="s">
        <v>607</v>
      </c>
      <c r="M1463" s="52" t="s">
        <v>607</v>
      </c>
      <c r="N1463" s="52" t="s">
        <v>607</v>
      </c>
      <c r="O1463" s="52"/>
      <c r="P1463" s="52"/>
      <c r="Q1463" s="52"/>
      <c r="R1463" s="51" t="b">
        <v>0</v>
      </c>
      <c r="S1463" s="51"/>
      <c r="T1463" s="52"/>
      <c r="U1463" s="51" t="b">
        <v>0</v>
      </c>
      <c r="V1463" s="51" t="b">
        <v>0</v>
      </c>
      <c r="W1463" s="51" t="b">
        <v>0</v>
      </c>
      <c r="X1463" s="51" t="b">
        <v>0</v>
      </c>
      <c r="Y1463" s="51" t="b">
        <v>0</v>
      </c>
      <c r="Z1463" s="51" t="b">
        <v>0</v>
      </c>
      <c r="AA1463" s="68"/>
      <c r="AB1463" s="52"/>
      <c r="AC1463" s="52"/>
      <c r="AD1463" s="52"/>
      <c r="AE1463" s="56" t="s">
        <v>607</v>
      </c>
      <c r="AF1463" s="56" t="s">
        <v>607</v>
      </c>
    </row>
    <row r="1464">
      <c r="A1464" s="52" t="s">
        <v>4750</v>
      </c>
      <c r="B1464" s="52" t="s">
        <v>607</v>
      </c>
      <c r="C1464" s="52" t="s">
        <v>607</v>
      </c>
      <c r="D1464" s="65" t="s">
        <v>607</v>
      </c>
      <c r="E1464" s="65" t="s">
        <v>607</v>
      </c>
      <c r="F1464" s="65" t="s">
        <v>607</v>
      </c>
      <c r="G1464" s="65" t="s">
        <v>607</v>
      </c>
      <c r="H1464" s="52" t="s">
        <v>607</v>
      </c>
      <c r="I1464" s="52" t="s">
        <v>607</v>
      </c>
      <c r="J1464" s="52" t="s">
        <v>607</v>
      </c>
      <c r="K1464" s="52" t="s">
        <v>607</v>
      </c>
      <c r="L1464" s="52" t="s">
        <v>607</v>
      </c>
      <c r="M1464" s="52" t="s">
        <v>607</v>
      </c>
      <c r="N1464" s="52" t="s">
        <v>607</v>
      </c>
      <c r="O1464" s="52"/>
      <c r="P1464" s="52"/>
      <c r="Q1464" s="52"/>
      <c r="R1464" s="51" t="b">
        <v>0</v>
      </c>
      <c r="S1464" s="51"/>
      <c r="T1464" s="52"/>
      <c r="U1464" s="51" t="b">
        <v>0</v>
      </c>
      <c r="V1464" s="51" t="b">
        <v>0</v>
      </c>
      <c r="W1464" s="51" t="b">
        <v>0</v>
      </c>
      <c r="X1464" s="51" t="b">
        <v>0</v>
      </c>
      <c r="Y1464" s="51" t="b">
        <v>0</v>
      </c>
      <c r="Z1464" s="51" t="b">
        <v>0</v>
      </c>
      <c r="AA1464" s="68"/>
      <c r="AB1464" s="52"/>
      <c r="AC1464" s="52"/>
      <c r="AD1464" s="52"/>
      <c r="AE1464" s="56" t="s">
        <v>607</v>
      </c>
      <c r="AF1464" s="56" t="s">
        <v>607</v>
      </c>
    </row>
    <row r="1465">
      <c r="A1465" s="52" t="s">
        <v>4751</v>
      </c>
      <c r="B1465" s="52" t="s">
        <v>607</v>
      </c>
      <c r="C1465" s="52" t="s">
        <v>607</v>
      </c>
      <c r="D1465" s="65" t="s">
        <v>607</v>
      </c>
      <c r="E1465" s="65" t="s">
        <v>607</v>
      </c>
      <c r="F1465" s="65" t="s">
        <v>607</v>
      </c>
      <c r="G1465" s="65" t="s">
        <v>607</v>
      </c>
      <c r="H1465" s="52" t="s">
        <v>607</v>
      </c>
      <c r="I1465" s="52" t="s">
        <v>607</v>
      </c>
      <c r="J1465" s="52" t="s">
        <v>607</v>
      </c>
      <c r="K1465" s="52" t="s">
        <v>607</v>
      </c>
      <c r="L1465" s="52" t="s">
        <v>607</v>
      </c>
      <c r="M1465" s="52" t="s">
        <v>607</v>
      </c>
      <c r="N1465" s="52" t="s">
        <v>607</v>
      </c>
      <c r="O1465" s="52"/>
      <c r="P1465" s="52"/>
      <c r="Q1465" s="52"/>
      <c r="R1465" s="51" t="b">
        <v>0</v>
      </c>
      <c r="S1465" s="239"/>
      <c r="T1465" s="52"/>
      <c r="U1465" s="51" t="b">
        <v>0</v>
      </c>
      <c r="V1465" s="51" t="b">
        <v>0</v>
      </c>
      <c r="W1465" s="51" t="b">
        <v>0</v>
      </c>
      <c r="X1465" s="51" t="b">
        <v>0</v>
      </c>
      <c r="Y1465" s="51" t="b">
        <v>0</v>
      </c>
      <c r="Z1465" s="51" t="b">
        <v>0</v>
      </c>
      <c r="AA1465" s="68"/>
      <c r="AB1465" s="52"/>
      <c r="AC1465" s="52"/>
      <c r="AD1465" s="52"/>
      <c r="AE1465" s="56" t="s">
        <v>607</v>
      </c>
      <c r="AF1465" s="56" t="s">
        <v>607</v>
      </c>
    </row>
    <row r="1466">
      <c r="A1466" s="52" t="s">
        <v>4752</v>
      </c>
      <c r="B1466" s="52" t="s">
        <v>607</v>
      </c>
      <c r="C1466" s="52" t="s">
        <v>607</v>
      </c>
      <c r="D1466" s="65" t="s">
        <v>607</v>
      </c>
      <c r="E1466" s="65" t="s">
        <v>607</v>
      </c>
      <c r="F1466" s="65" t="s">
        <v>607</v>
      </c>
      <c r="G1466" s="65" t="s">
        <v>607</v>
      </c>
      <c r="H1466" s="52" t="s">
        <v>607</v>
      </c>
      <c r="I1466" s="52" t="s">
        <v>607</v>
      </c>
      <c r="J1466" s="52" t="s">
        <v>607</v>
      </c>
      <c r="K1466" s="52" t="s">
        <v>607</v>
      </c>
      <c r="L1466" s="52" t="s">
        <v>607</v>
      </c>
      <c r="M1466" s="52" t="s">
        <v>607</v>
      </c>
      <c r="N1466" s="52" t="s">
        <v>607</v>
      </c>
      <c r="O1466" s="52"/>
      <c r="P1466" s="52"/>
      <c r="Q1466" s="52"/>
      <c r="R1466" s="51" t="b">
        <v>0</v>
      </c>
      <c r="S1466" s="51"/>
      <c r="T1466" s="52"/>
      <c r="U1466" s="51" t="b">
        <v>0</v>
      </c>
      <c r="V1466" s="51" t="b">
        <v>0</v>
      </c>
      <c r="W1466" s="51" t="b">
        <v>0</v>
      </c>
      <c r="X1466" s="51" t="b">
        <v>0</v>
      </c>
      <c r="Y1466" s="51" t="b">
        <v>0</v>
      </c>
      <c r="Z1466" s="51" t="b">
        <v>0</v>
      </c>
      <c r="AA1466" s="68"/>
      <c r="AB1466" s="52"/>
      <c r="AC1466" s="52"/>
      <c r="AD1466" s="52"/>
      <c r="AE1466" s="56" t="s">
        <v>607</v>
      </c>
      <c r="AF1466" s="56" t="s">
        <v>607</v>
      </c>
    </row>
    <row r="1467">
      <c r="A1467" s="52" t="s">
        <v>4753</v>
      </c>
      <c r="B1467" s="52" t="s">
        <v>607</v>
      </c>
      <c r="C1467" s="52" t="s">
        <v>607</v>
      </c>
      <c r="D1467" s="65" t="s">
        <v>607</v>
      </c>
      <c r="E1467" s="65" t="s">
        <v>607</v>
      </c>
      <c r="F1467" s="65" t="s">
        <v>607</v>
      </c>
      <c r="G1467" s="65" t="s">
        <v>607</v>
      </c>
      <c r="H1467" s="52" t="s">
        <v>607</v>
      </c>
      <c r="I1467" s="52" t="s">
        <v>607</v>
      </c>
      <c r="J1467" s="52" t="s">
        <v>607</v>
      </c>
      <c r="K1467" s="52" t="s">
        <v>607</v>
      </c>
      <c r="L1467" s="52" t="s">
        <v>607</v>
      </c>
      <c r="M1467" s="52" t="s">
        <v>607</v>
      </c>
      <c r="N1467" s="52" t="s">
        <v>607</v>
      </c>
      <c r="O1467" s="52"/>
      <c r="P1467" s="52"/>
      <c r="Q1467" s="52"/>
      <c r="R1467" s="51" t="b">
        <v>0</v>
      </c>
      <c r="S1467" s="51"/>
      <c r="T1467" s="52"/>
      <c r="U1467" s="51" t="b">
        <v>0</v>
      </c>
      <c r="V1467" s="51" t="b">
        <v>0</v>
      </c>
      <c r="W1467" s="51" t="b">
        <v>0</v>
      </c>
      <c r="X1467" s="51" t="b">
        <v>0</v>
      </c>
      <c r="Y1467" s="51" t="b">
        <v>0</v>
      </c>
      <c r="Z1467" s="51" t="b">
        <v>0</v>
      </c>
      <c r="AA1467" s="68"/>
      <c r="AB1467" s="52"/>
      <c r="AC1467" s="52"/>
      <c r="AD1467" s="52"/>
      <c r="AE1467" s="56" t="s">
        <v>607</v>
      </c>
      <c r="AF1467" s="56" t="s">
        <v>607</v>
      </c>
    </row>
    <row r="1468">
      <c r="A1468" s="52" t="s">
        <v>4754</v>
      </c>
      <c r="B1468" s="52" t="s">
        <v>14</v>
      </c>
      <c r="C1468" s="52" t="s">
        <v>66</v>
      </c>
      <c r="D1468" s="65">
        <v>0.544351851851852</v>
      </c>
      <c r="E1468" s="65">
        <v>2.314814814814815E-4</v>
      </c>
      <c r="F1468" s="65">
        <v>0.5445833333333334</v>
      </c>
      <c r="G1468" s="65"/>
      <c r="H1468" s="52" t="s">
        <v>81</v>
      </c>
      <c r="I1468" s="52" t="s">
        <v>91</v>
      </c>
      <c r="J1468" s="52" t="s">
        <v>92</v>
      </c>
      <c r="K1468" s="52"/>
      <c r="L1468" s="52"/>
      <c r="M1468" s="52"/>
      <c r="N1468" s="52" t="s">
        <v>70</v>
      </c>
      <c r="O1468" s="52"/>
      <c r="P1468" s="52"/>
      <c r="Q1468" s="52"/>
      <c r="R1468" s="51" t="b">
        <v>0</v>
      </c>
      <c r="S1468" s="239"/>
      <c r="T1468" s="52"/>
      <c r="U1468" s="51" t="b">
        <v>0</v>
      </c>
      <c r="V1468" s="51" t="b">
        <v>0</v>
      </c>
      <c r="W1468" s="51" t="b">
        <v>0</v>
      </c>
      <c r="X1468" s="51" t="b">
        <v>0</v>
      </c>
      <c r="Y1468" s="51" t="b">
        <v>0</v>
      </c>
      <c r="Z1468" s="51" t="b">
        <v>0</v>
      </c>
      <c r="AA1468" s="68"/>
      <c r="AB1468" s="52"/>
      <c r="AC1468" s="52"/>
      <c r="AD1468" s="52"/>
      <c r="AE1468" s="56"/>
      <c r="AF1468" s="56"/>
    </row>
    <row r="1469">
      <c r="A1469" s="52" t="s">
        <v>4755</v>
      </c>
      <c r="B1469" s="52" t="s">
        <v>607</v>
      </c>
      <c r="C1469" s="52" t="s">
        <v>607</v>
      </c>
      <c r="D1469" s="65" t="s">
        <v>607</v>
      </c>
      <c r="E1469" s="65" t="s">
        <v>607</v>
      </c>
      <c r="F1469" s="65" t="s">
        <v>607</v>
      </c>
      <c r="G1469" s="65" t="s">
        <v>607</v>
      </c>
      <c r="H1469" s="52" t="s">
        <v>607</v>
      </c>
      <c r="I1469" s="52" t="s">
        <v>607</v>
      </c>
      <c r="J1469" s="52" t="s">
        <v>607</v>
      </c>
      <c r="K1469" s="52" t="s">
        <v>607</v>
      </c>
      <c r="L1469" s="52" t="s">
        <v>607</v>
      </c>
      <c r="M1469" s="52" t="s">
        <v>607</v>
      </c>
      <c r="N1469" s="52" t="s">
        <v>607</v>
      </c>
      <c r="O1469" s="52"/>
      <c r="P1469" s="52"/>
      <c r="Q1469" s="52"/>
      <c r="R1469" s="51" t="b">
        <v>0</v>
      </c>
      <c r="S1469" s="239"/>
      <c r="T1469" s="52"/>
      <c r="U1469" s="51" t="b">
        <v>0</v>
      </c>
      <c r="V1469" s="51" t="b">
        <v>0</v>
      </c>
      <c r="W1469" s="51" t="b">
        <v>0</v>
      </c>
      <c r="X1469" s="51" t="b">
        <v>0</v>
      </c>
      <c r="Y1469" s="51" t="b">
        <v>0</v>
      </c>
      <c r="Z1469" s="51" t="b">
        <v>0</v>
      </c>
      <c r="AA1469" s="68"/>
      <c r="AB1469" s="52"/>
      <c r="AC1469" s="52"/>
      <c r="AD1469" s="52"/>
      <c r="AE1469" s="56" t="s">
        <v>607</v>
      </c>
      <c r="AF1469" s="56" t="s">
        <v>607</v>
      </c>
    </row>
    <row r="1470">
      <c r="A1470" s="52" t="s">
        <v>4756</v>
      </c>
      <c r="B1470" s="52" t="s">
        <v>607</v>
      </c>
      <c r="C1470" s="52" t="s">
        <v>607</v>
      </c>
      <c r="D1470" s="65" t="s">
        <v>607</v>
      </c>
      <c r="E1470" s="65" t="s">
        <v>607</v>
      </c>
      <c r="F1470" s="65" t="s">
        <v>607</v>
      </c>
      <c r="G1470" s="65" t="s">
        <v>607</v>
      </c>
      <c r="H1470" s="52" t="s">
        <v>607</v>
      </c>
      <c r="I1470" s="52" t="s">
        <v>607</v>
      </c>
      <c r="J1470" s="52" t="s">
        <v>607</v>
      </c>
      <c r="K1470" s="52" t="s">
        <v>607</v>
      </c>
      <c r="L1470" s="52" t="s">
        <v>607</v>
      </c>
      <c r="M1470" s="52" t="s">
        <v>607</v>
      </c>
      <c r="N1470" s="52" t="s">
        <v>607</v>
      </c>
      <c r="O1470" s="52"/>
      <c r="P1470" s="52"/>
      <c r="Q1470" s="52"/>
      <c r="R1470" s="51" t="b">
        <v>0</v>
      </c>
      <c r="S1470" s="239" t="s">
        <v>457</v>
      </c>
      <c r="T1470" s="52"/>
      <c r="U1470" s="51" t="b">
        <v>0</v>
      </c>
      <c r="V1470" s="51" t="b">
        <v>0</v>
      </c>
      <c r="W1470" s="51" t="b">
        <v>0</v>
      </c>
      <c r="X1470" s="51" t="b">
        <v>0</v>
      </c>
      <c r="Y1470" s="51" t="b">
        <v>0</v>
      </c>
      <c r="Z1470" s="51" t="b">
        <v>0</v>
      </c>
      <c r="AA1470" s="68"/>
      <c r="AB1470" s="52"/>
      <c r="AC1470" s="52"/>
      <c r="AD1470" s="52"/>
      <c r="AE1470" s="56" t="s">
        <v>607</v>
      </c>
      <c r="AF1470" s="56" t="s">
        <v>607</v>
      </c>
    </row>
    <row r="1471">
      <c r="A1471" s="52" t="s">
        <v>4757</v>
      </c>
      <c r="B1471" s="52" t="s">
        <v>607</v>
      </c>
      <c r="C1471" s="52" t="s">
        <v>607</v>
      </c>
      <c r="D1471" s="65" t="s">
        <v>607</v>
      </c>
      <c r="E1471" s="65" t="s">
        <v>607</v>
      </c>
      <c r="F1471" s="65" t="s">
        <v>607</v>
      </c>
      <c r="G1471" s="65" t="s">
        <v>607</v>
      </c>
      <c r="H1471" s="52" t="s">
        <v>607</v>
      </c>
      <c r="I1471" s="52" t="s">
        <v>607</v>
      </c>
      <c r="J1471" s="52" t="s">
        <v>607</v>
      </c>
      <c r="K1471" s="52" t="s">
        <v>607</v>
      </c>
      <c r="L1471" s="52" t="s">
        <v>607</v>
      </c>
      <c r="M1471" s="52" t="s">
        <v>607</v>
      </c>
      <c r="N1471" s="52" t="s">
        <v>607</v>
      </c>
      <c r="O1471" s="52"/>
      <c r="P1471" s="52"/>
      <c r="Q1471" s="52"/>
      <c r="R1471" s="51" t="b">
        <v>0</v>
      </c>
      <c r="S1471" s="239"/>
      <c r="T1471" s="52"/>
      <c r="U1471" s="51" t="b">
        <v>0</v>
      </c>
      <c r="V1471" s="51" t="b">
        <v>0</v>
      </c>
      <c r="W1471" s="51" t="b">
        <v>0</v>
      </c>
      <c r="X1471" s="51" t="b">
        <v>0</v>
      </c>
      <c r="Y1471" s="51" t="b">
        <v>0</v>
      </c>
      <c r="Z1471" s="51" t="b">
        <v>0</v>
      </c>
      <c r="AA1471" s="68"/>
      <c r="AB1471" s="52"/>
      <c r="AC1471" s="52"/>
      <c r="AD1471" s="52"/>
      <c r="AE1471" s="56" t="s">
        <v>607</v>
      </c>
      <c r="AF1471" s="56" t="s">
        <v>607</v>
      </c>
    </row>
    <row r="1472">
      <c r="A1472" s="52" t="s">
        <v>4758</v>
      </c>
      <c r="B1472" s="52" t="s">
        <v>14</v>
      </c>
      <c r="C1472" s="52" t="s">
        <v>66</v>
      </c>
      <c r="D1472" s="65">
        <v>0.6875925925925923</v>
      </c>
      <c r="E1472" s="65">
        <v>2.314814814814815E-4</v>
      </c>
      <c r="F1472" s="65">
        <v>0.6878240740740738</v>
      </c>
      <c r="G1472" s="65"/>
      <c r="H1472" s="52" t="s">
        <v>81</v>
      </c>
      <c r="I1472" s="52" t="s">
        <v>91</v>
      </c>
      <c r="J1472" s="52" t="s">
        <v>92</v>
      </c>
      <c r="K1472" s="52"/>
      <c r="L1472" s="52"/>
      <c r="M1472" s="52"/>
      <c r="N1472" s="52" t="s">
        <v>70</v>
      </c>
      <c r="O1472" s="52"/>
      <c r="P1472" s="52"/>
      <c r="Q1472" s="52"/>
      <c r="R1472" s="51" t="b">
        <v>0</v>
      </c>
      <c r="S1472" s="239"/>
      <c r="T1472" s="52"/>
      <c r="U1472" s="51" t="b">
        <v>0</v>
      </c>
      <c r="V1472" s="51" t="b">
        <v>0</v>
      </c>
      <c r="W1472" s="51" t="b">
        <v>0</v>
      </c>
      <c r="X1472" s="51" t="b">
        <v>0</v>
      </c>
      <c r="Y1472" s="51" t="b">
        <v>0</v>
      </c>
      <c r="Z1472" s="51" t="b">
        <v>0</v>
      </c>
      <c r="AA1472" s="68"/>
      <c r="AB1472" s="52"/>
      <c r="AC1472" s="52"/>
      <c r="AD1472" s="52"/>
      <c r="AE1472" s="56"/>
      <c r="AF1472" s="56"/>
    </row>
    <row r="1473">
      <c r="A1473" s="52" t="s">
        <v>4759</v>
      </c>
      <c r="B1473" s="52" t="s">
        <v>14</v>
      </c>
      <c r="C1473" s="52" t="s">
        <v>66</v>
      </c>
      <c r="D1473" s="65">
        <v>0.6878240740740738</v>
      </c>
      <c r="E1473" s="65">
        <v>0.013888888888888888</v>
      </c>
      <c r="F1473" s="65">
        <v>0.7017129629629626</v>
      </c>
      <c r="G1473" s="65"/>
      <c r="H1473" s="52" t="s">
        <v>94</v>
      </c>
      <c r="I1473" s="52" t="s">
        <v>212</v>
      </c>
      <c r="J1473" s="52" t="s">
        <v>213</v>
      </c>
      <c r="K1473" s="52"/>
      <c r="L1473" s="52"/>
      <c r="M1473" s="52"/>
      <c r="N1473" s="52" t="s">
        <v>214</v>
      </c>
      <c r="O1473" s="52"/>
      <c r="P1473" s="52"/>
      <c r="Q1473" s="52"/>
      <c r="R1473" s="51" t="b">
        <v>0</v>
      </c>
      <c r="S1473" s="239"/>
      <c r="T1473" s="52"/>
      <c r="U1473" s="51" t="b">
        <v>0</v>
      </c>
      <c r="V1473" s="51" t="b">
        <v>0</v>
      </c>
      <c r="W1473" s="51" t="b">
        <v>0</v>
      </c>
      <c r="X1473" s="51" t="b">
        <v>0</v>
      </c>
      <c r="Y1473" s="51" t="b">
        <v>0</v>
      </c>
      <c r="Z1473" s="51" t="b">
        <v>0</v>
      </c>
      <c r="AA1473" s="68"/>
      <c r="AB1473" s="52"/>
      <c r="AC1473" s="52"/>
      <c r="AD1473" s="52"/>
      <c r="AE1473" s="56" t="s">
        <v>652</v>
      </c>
      <c r="AF1473" s="56" t="s">
        <v>653</v>
      </c>
    </row>
    <row r="1474">
      <c r="A1474" s="52" t="s">
        <v>4760</v>
      </c>
      <c r="B1474" s="52" t="s">
        <v>607</v>
      </c>
      <c r="C1474" s="52" t="s">
        <v>607</v>
      </c>
      <c r="D1474" s="65" t="s">
        <v>607</v>
      </c>
      <c r="E1474" s="65" t="s">
        <v>607</v>
      </c>
      <c r="F1474" s="65" t="s">
        <v>607</v>
      </c>
      <c r="G1474" s="65" t="s">
        <v>607</v>
      </c>
      <c r="H1474" s="52" t="s">
        <v>607</v>
      </c>
      <c r="I1474" s="52" t="s">
        <v>607</v>
      </c>
      <c r="J1474" s="52" t="s">
        <v>607</v>
      </c>
      <c r="K1474" s="52" t="s">
        <v>607</v>
      </c>
      <c r="L1474" s="52" t="s">
        <v>607</v>
      </c>
      <c r="M1474" s="52" t="s">
        <v>607</v>
      </c>
      <c r="N1474" s="52" t="s">
        <v>607</v>
      </c>
      <c r="O1474" s="52"/>
      <c r="P1474" s="52"/>
      <c r="Q1474" s="52"/>
      <c r="R1474" s="51" t="b">
        <v>0</v>
      </c>
      <c r="S1474" s="239"/>
      <c r="T1474" s="52"/>
      <c r="U1474" s="51" t="b">
        <v>0</v>
      </c>
      <c r="V1474" s="51" t="b">
        <v>0</v>
      </c>
      <c r="W1474" s="51" t="b">
        <v>0</v>
      </c>
      <c r="X1474" s="51" t="b">
        <v>0</v>
      </c>
      <c r="Y1474" s="51" t="b">
        <v>0</v>
      </c>
      <c r="Z1474" s="51" t="b">
        <v>0</v>
      </c>
      <c r="AA1474" s="68"/>
      <c r="AB1474" s="52"/>
      <c r="AC1474" s="52"/>
      <c r="AD1474" s="52"/>
      <c r="AE1474" s="56" t="s">
        <v>607</v>
      </c>
      <c r="AF1474" s="56" t="s">
        <v>607</v>
      </c>
    </row>
    <row r="1475">
      <c r="A1475" s="52" t="s">
        <v>4761</v>
      </c>
      <c r="B1475" s="52" t="s">
        <v>607</v>
      </c>
      <c r="C1475" s="52" t="s">
        <v>607</v>
      </c>
      <c r="D1475" s="65" t="s">
        <v>607</v>
      </c>
      <c r="E1475" s="65" t="s">
        <v>607</v>
      </c>
      <c r="F1475" s="65" t="s">
        <v>607</v>
      </c>
      <c r="G1475" s="65" t="s">
        <v>607</v>
      </c>
      <c r="H1475" s="52" t="s">
        <v>607</v>
      </c>
      <c r="I1475" s="52" t="s">
        <v>607</v>
      </c>
      <c r="J1475" s="52" t="s">
        <v>607</v>
      </c>
      <c r="K1475" s="52" t="s">
        <v>607</v>
      </c>
      <c r="L1475" s="52" t="s">
        <v>607</v>
      </c>
      <c r="M1475" s="52" t="s">
        <v>607</v>
      </c>
      <c r="N1475" s="52" t="s">
        <v>607</v>
      </c>
      <c r="O1475" s="52"/>
      <c r="P1475" s="52"/>
      <c r="Q1475" s="52"/>
      <c r="R1475" s="51" t="b">
        <v>0</v>
      </c>
      <c r="S1475" s="51"/>
      <c r="T1475" s="52"/>
      <c r="U1475" s="51" t="b">
        <v>0</v>
      </c>
      <c r="V1475" s="51" t="b">
        <v>0</v>
      </c>
      <c r="W1475" s="51" t="b">
        <v>0</v>
      </c>
      <c r="X1475" s="51" t="b">
        <v>0</v>
      </c>
      <c r="Y1475" s="51" t="b">
        <v>0</v>
      </c>
      <c r="Z1475" s="51" t="b">
        <v>0</v>
      </c>
      <c r="AA1475" s="68"/>
      <c r="AB1475" s="52"/>
      <c r="AC1475" s="52"/>
      <c r="AD1475" s="52"/>
      <c r="AE1475" s="56" t="s">
        <v>607</v>
      </c>
      <c r="AF1475" s="56" t="s">
        <v>607</v>
      </c>
    </row>
    <row r="1476">
      <c r="A1476" s="52" t="s">
        <v>4762</v>
      </c>
      <c r="B1476" s="52" t="s">
        <v>607</v>
      </c>
      <c r="C1476" s="52" t="s">
        <v>607</v>
      </c>
      <c r="D1476" s="65" t="s">
        <v>607</v>
      </c>
      <c r="E1476" s="65" t="s">
        <v>607</v>
      </c>
      <c r="F1476" s="65" t="s">
        <v>607</v>
      </c>
      <c r="G1476" s="65" t="s">
        <v>607</v>
      </c>
      <c r="H1476" s="52" t="s">
        <v>607</v>
      </c>
      <c r="I1476" s="52" t="s">
        <v>607</v>
      </c>
      <c r="J1476" s="52" t="s">
        <v>607</v>
      </c>
      <c r="K1476" s="52" t="s">
        <v>607</v>
      </c>
      <c r="L1476" s="52" t="s">
        <v>607</v>
      </c>
      <c r="M1476" s="52" t="s">
        <v>607</v>
      </c>
      <c r="N1476" s="52" t="s">
        <v>607</v>
      </c>
      <c r="O1476" s="52"/>
      <c r="P1476" s="52"/>
      <c r="Q1476" s="52"/>
      <c r="R1476" s="51" t="b">
        <v>0</v>
      </c>
      <c r="S1476" s="51"/>
      <c r="T1476" s="52"/>
      <c r="U1476" s="51" t="b">
        <v>0</v>
      </c>
      <c r="V1476" s="51" t="b">
        <v>0</v>
      </c>
      <c r="W1476" s="51" t="b">
        <v>0</v>
      </c>
      <c r="X1476" s="51" t="b">
        <v>0</v>
      </c>
      <c r="Y1476" s="51" t="b">
        <v>0</v>
      </c>
      <c r="Z1476" s="51" t="b">
        <v>0</v>
      </c>
      <c r="AA1476" s="68"/>
      <c r="AB1476" s="52"/>
      <c r="AC1476" s="52"/>
      <c r="AD1476" s="52"/>
      <c r="AE1476" s="56" t="s">
        <v>607</v>
      </c>
      <c r="AF1476" s="56" t="s">
        <v>607</v>
      </c>
    </row>
    <row r="1477">
      <c r="A1477" s="52" t="s">
        <v>4763</v>
      </c>
      <c r="B1477" s="52" t="s">
        <v>607</v>
      </c>
      <c r="C1477" s="52" t="s">
        <v>607</v>
      </c>
      <c r="D1477" s="65" t="s">
        <v>607</v>
      </c>
      <c r="E1477" s="65" t="s">
        <v>607</v>
      </c>
      <c r="F1477" s="65" t="s">
        <v>607</v>
      </c>
      <c r="G1477" s="65" t="s">
        <v>607</v>
      </c>
      <c r="H1477" s="52" t="s">
        <v>607</v>
      </c>
      <c r="I1477" s="52" t="s">
        <v>607</v>
      </c>
      <c r="J1477" s="52" t="s">
        <v>607</v>
      </c>
      <c r="K1477" s="52" t="s">
        <v>607</v>
      </c>
      <c r="L1477" s="52" t="s">
        <v>607</v>
      </c>
      <c r="M1477" s="52" t="s">
        <v>607</v>
      </c>
      <c r="N1477" s="52" t="s">
        <v>607</v>
      </c>
      <c r="O1477" s="52"/>
      <c r="P1477" s="52"/>
      <c r="Q1477" s="52"/>
      <c r="R1477" s="51" t="b">
        <v>0</v>
      </c>
      <c r="S1477" s="51"/>
      <c r="T1477" s="52"/>
      <c r="U1477" s="51" t="b">
        <v>0</v>
      </c>
      <c r="V1477" s="51" t="b">
        <v>0</v>
      </c>
      <c r="W1477" s="51" t="b">
        <v>0</v>
      </c>
      <c r="X1477" s="51" t="b">
        <v>0</v>
      </c>
      <c r="Y1477" s="51" t="b">
        <v>0</v>
      </c>
      <c r="Z1477" s="51" t="b">
        <v>0</v>
      </c>
      <c r="AA1477" s="68"/>
      <c r="AB1477" s="52"/>
      <c r="AC1477" s="52"/>
      <c r="AD1477" s="52"/>
      <c r="AE1477" s="56" t="s">
        <v>607</v>
      </c>
      <c r="AF1477" s="56" t="s">
        <v>607</v>
      </c>
    </row>
    <row r="1478">
      <c r="A1478" s="52" t="s">
        <v>4764</v>
      </c>
      <c r="B1478" s="52" t="s">
        <v>607</v>
      </c>
      <c r="C1478" s="52" t="s">
        <v>607</v>
      </c>
      <c r="D1478" s="65" t="s">
        <v>607</v>
      </c>
      <c r="E1478" s="65" t="s">
        <v>607</v>
      </c>
      <c r="F1478" s="65" t="s">
        <v>607</v>
      </c>
      <c r="G1478" s="65" t="s">
        <v>607</v>
      </c>
      <c r="H1478" s="52" t="s">
        <v>607</v>
      </c>
      <c r="I1478" s="52" t="s">
        <v>607</v>
      </c>
      <c r="J1478" s="52" t="s">
        <v>607</v>
      </c>
      <c r="K1478" s="52" t="s">
        <v>607</v>
      </c>
      <c r="L1478" s="52" t="s">
        <v>607</v>
      </c>
      <c r="M1478" s="52" t="s">
        <v>607</v>
      </c>
      <c r="N1478" s="52" t="s">
        <v>607</v>
      </c>
      <c r="O1478" s="52"/>
      <c r="P1478" s="52"/>
      <c r="Q1478" s="52"/>
      <c r="R1478" s="51" t="b">
        <v>0</v>
      </c>
      <c r="S1478" s="51"/>
      <c r="T1478" s="52"/>
      <c r="U1478" s="51" t="b">
        <v>0</v>
      </c>
      <c r="V1478" s="51" t="b">
        <v>0</v>
      </c>
      <c r="W1478" s="51" t="b">
        <v>0</v>
      </c>
      <c r="X1478" s="51" t="b">
        <v>0</v>
      </c>
      <c r="Y1478" s="51" t="b">
        <v>0</v>
      </c>
      <c r="Z1478" s="51" t="b">
        <v>0</v>
      </c>
      <c r="AA1478" s="68"/>
      <c r="AB1478" s="52"/>
      <c r="AC1478" s="52"/>
      <c r="AD1478" s="52"/>
      <c r="AE1478" s="56" t="s">
        <v>607</v>
      </c>
      <c r="AF1478" s="56" t="s">
        <v>607</v>
      </c>
    </row>
    <row r="1479">
      <c r="A1479" s="52" t="s">
        <v>4765</v>
      </c>
      <c r="B1479" s="52" t="s">
        <v>607</v>
      </c>
      <c r="C1479" s="52" t="s">
        <v>607</v>
      </c>
      <c r="D1479" s="65" t="s">
        <v>607</v>
      </c>
      <c r="E1479" s="65" t="s">
        <v>607</v>
      </c>
      <c r="F1479" s="65" t="s">
        <v>607</v>
      </c>
      <c r="G1479" s="65" t="s">
        <v>607</v>
      </c>
      <c r="H1479" s="52" t="s">
        <v>607</v>
      </c>
      <c r="I1479" s="52" t="s">
        <v>607</v>
      </c>
      <c r="J1479" s="52" t="s">
        <v>607</v>
      </c>
      <c r="K1479" s="52" t="s">
        <v>607</v>
      </c>
      <c r="L1479" s="52" t="s">
        <v>607</v>
      </c>
      <c r="M1479" s="52" t="s">
        <v>607</v>
      </c>
      <c r="N1479" s="52" t="s">
        <v>607</v>
      </c>
      <c r="O1479" s="52"/>
      <c r="P1479" s="52"/>
      <c r="Q1479" s="52"/>
      <c r="R1479" s="51" t="b">
        <v>0</v>
      </c>
      <c r="S1479" s="51"/>
      <c r="T1479" s="52"/>
      <c r="U1479" s="51" t="b">
        <v>0</v>
      </c>
      <c r="V1479" s="51" t="b">
        <v>0</v>
      </c>
      <c r="W1479" s="51" t="b">
        <v>0</v>
      </c>
      <c r="X1479" s="51" t="b">
        <v>0</v>
      </c>
      <c r="Y1479" s="51" t="b">
        <v>0</v>
      </c>
      <c r="Z1479" s="51" t="b">
        <v>0</v>
      </c>
      <c r="AA1479" s="68"/>
      <c r="AB1479" s="52"/>
      <c r="AC1479" s="52"/>
      <c r="AD1479" s="52"/>
      <c r="AE1479" s="56" t="s">
        <v>607</v>
      </c>
      <c r="AF1479" s="56" t="s">
        <v>607</v>
      </c>
    </row>
    <row r="1480">
      <c r="A1480" s="52" t="s">
        <v>4766</v>
      </c>
      <c r="B1480" s="52" t="s">
        <v>607</v>
      </c>
      <c r="C1480" s="52" t="s">
        <v>607</v>
      </c>
      <c r="D1480" s="65" t="s">
        <v>607</v>
      </c>
      <c r="E1480" s="65" t="s">
        <v>607</v>
      </c>
      <c r="F1480" s="65" t="s">
        <v>607</v>
      </c>
      <c r="G1480" s="65" t="s">
        <v>607</v>
      </c>
      <c r="H1480" s="52" t="s">
        <v>607</v>
      </c>
      <c r="I1480" s="52" t="s">
        <v>607</v>
      </c>
      <c r="J1480" s="52" t="s">
        <v>607</v>
      </c>
      <c r="K1480" s="52" t="s">
        <v>607</v>
      </c>
      <c r="L1480" s="52" t="s">
        <v>607</v>
      </c>
      <c r="M1480" s="52" t="s">
        <v>607</v>
      </c>
      <c r="N1480" s="52" t="s">
        <v>607</v>
      </c>
      <c r="O1480" s="52"/>
      <c r="P1480" s="52"/>
      <c r="Q1480" s="52"/>
      <c r="R1480" s="51" t="b">
        <v>0</v>
      </c>
      <c r="S1480" s="51"/>
      <c r="T1480" s="52"/>
      <c r="U1480" s="51" t="b">
        <v>0</v>
      </c>
      <c r="V1480" s="51" t="b">
        <v>0</v>
      </c>
      <c r="W1480" s="51" t="b">
        <v>0</v>
      </c>
      <c r="X1480" s="51" t="b">
        <v>0</v>
      </c>
      <c r="Y1480" s="51" t="b">
        <v>0</v>
      </c>
      <c r="Z1480" s="51" t="b">
        <v>0</v>
      </c>
      <c r="AA1480" s="68"/>
      <c r="AB1480" s="52"/>
      <c r="AC1480" s="52"/>
      <c r="AD1480" s="52"/>
      <c r="AE1480" s="56" t="s">
        <v>607</v>
      </c>
      <c r="AF1480" s="56" t="s">
        <v>607</v>
      </c>
    </row>
    <row r="1481">
      <c r="A1481" s="52" t="s">
        <v>4767</v>
      </c>
      <c r="B1481" s="52" t="s">
        <v>607</v>
      </c>
      <c r="C1481" s="52" t="s">
        <v>607</v>
      </c>
      <c r="D1481" s="65" t="s">
        <v>607</v>
      </c>
      <c r="E1481" s="65" t="s">
        <v>607</v>
      </c>
      <c r="F1481" s="65" t="s">
        <v>607</v>
      </c>
      <c r="G1481" s="65" t="s">
        <v>607</v>
      </c>
      <c r="H1481" s="52" t="s">
        <v>607</v>
      </c>
      <c r="I1481" s="52" t="s">
        <v>607</v>
      </c>
      <c r="J1481" s="52" t="s">
        <v>607</v>
      </c>
      <c r="K1481" s="52" t="s">
        <v>607</v>
      </c>
      <c r="L1481" s="52" t="s">
        <v>607</v>
      </c>
      <c r="M1481" s="52" t="s">
        <v>607</v>
      </c>
      <c r="N1481" s="52" t="s">
        <v>607</v>
      </c>
      <c r="O1481" s="52"/>
      <c r="P1481" s="52"/>
      <c r="Q1481" s="52"/>
      <c r="R1481" s="51" t="b">
        <v>0</v>
      </c>
      <c r="S1481" s="51"/>
      <c r="T1481" s="52"/>
      <c r="U1481" s="51" t="b">
        <v>0</v>
      </c>
      <c r="V1481" s="51" t="b">
        <v>0</v>
      </c>
      <c r="W1481" s="51" t="b">
        <v>0</v>
      </c>
      <c r="X1481" s="51" t="b">
        <v>0</v>
      </c>
      <c r="Y1481" s="51" t="b">
        <v>0</v>
      </c>
      <c r="Z1481" s="51" t="b">
        <v>0</v>
      </c>
      <c r="AA1481" s="68"/>
      <c r="AB1481" s="52"/>
      <c r="AC1481" s="52"/>
      <c r="AD1481" s="52"/>
      <c r="AE1481" s="56" t="s">
        <v>607</v>
      </c>
      <c r="AF1481" s="56" t="s">
        <v>607</v>
      </c>
    </row>
    <row r="1482">
      <c r="A1482" s="52" t="s">
        <v>4768</v>
      </c>
      <c r="B1482" s="52" t="s">
        <v>607</v>
      </c>
      <c r="C1482" s="52" t="s">
        <v>607</v>
      </c>
      <c r="D1482" s="65" t="s">
        <v>607</v>
      </c>
      <c r="E1482" s="65" t="s">
        <v>607</v>
      </c>
      <c r="F1482" s="65" t="s">
        <v>607</v>
      </c>
      <c r="G1482" s="65" t="s">
        <v>607</v>
      </c>
      <c r="H1482" s="52" t="s">
        <v>607</v>
      </c>
      <c r="I1482" s="52" t="s">
        <v>607</v>
      </c>
      <c r="J1482" s="52" t="s">
        <v>607</v>
      </c>
      <c r="K1482" s="52" t="s">
        <v>607</v>
      </c>
      <c r="L1482" s="52" t="s">
        <v>607</v>
      </c>
      <c r="M1482" s="52" t="s">
        <v>607</v>
      </c>
      <c r="N1482" s="52" t="s">
        <v>607</v>
      </c>
      <c r="O1482" s="52"/>
      <c r="P1482" s="52"/>
      <c r="Q1482" s="52"/>
      <c r="R1482" s="51" t="b">
        <v>0</v>
      </c>
      <c r="S1482" s="51"/>
      <c r="T1482" s="52"/>
      <c r="U1482" s="51" t="b">
        <v>0</v>
      </c>
      <c r="V1482" s="51" t="b">
        <v>0</v>
      </c>
      <c r="W1482" s="51" t="b">
        <v>0</v>
      </c>
      <c r="X1482" s="51" t="b">
        <v>0</v>
      </c>
      <c r="Y1482" s="51" t="b">
        <v>0</v>
      </c>
      <c r="Z1482" s="51" t="b">
        <v>0</v>
      </c>
      <c r="AA1482" s="68"/>
      <c r="AB1482" s="52"/>
      <c r="AC1482" s="52"/>
      <c r="AD1482" s="52"/>
      <c r="AE1482" s="56" t="s">
        <v>607</v>
      </c>
      <c r="AF1482" s="56" t="s">
        <v>607</v>
      </c>
    </row>
    <row r="1483">
      <c r="A1483" s="52" t="s">
        <v>4769</v>
      </c>
      <c r="B1483" s="52" t="s">
        <v>607</v>
      </c>
      <c r="C1483" s="52" t="s">
        <v>607</v>
      </c>
      <c r="D1483" s="65" t="s">
        <v>607</v>
      </c>
      <c r="E1483" s="65" t="s">
        <v>607</v>
      </c>
      <c r="F1483" s="65" t="s">
        <v>607</v>
      </c>
      <c r="G1483" s="65" t="s">
        <v>607</v>
      </c>
      <c r="H1483" s="52" t="s">
        <v>607</v>
      </c>
      <c r="I1483" s="52" t="s">
        <v>607</v>
      </c>
      <c r="J1483" s="52" t="s">
        <v>607</v>
      </c>
      <c r="K1483" s="52" t="s">
        <v>607</v>
      </c>
      <c r="L1483" s="52" t="s">
        <v>607</v>
      </c>
      <c r="M1483" s="52" t="s">
        <v>607</v>
      </c>
      <c r="N1483" s="52" t="s">
        <v>607</v>
      </c>
      <c r="O1483" s="52"/>
      <c r="P1483" s="52"/>
      <c r="Q1483" s="52"/>
      <c r="R1483" s="51" t="b">
        <v>0</v>
      </c>
      <c r="S1483" s="51"/>
      <c r="T1483" s="52"/>
      <c r="U1483" s="51" t="b">
        <v>0</v>
      </c>
      <c r="V1483" s="51" t="b">
        <v>0</v>
      </c>
      <c r="W1483" s="51" t="b">
        <v>0</v>
      </c>
      <c r="X1483" s="51" t="b">
        <v>0</v>
      </c>
      <c r="Y1483" s="51" t="b">
        <v>0</v>
      </c>
      <c r="Z1483" s="51" t="b">
        <v>0</v>
      </c>
      <c r="AA1483" s="68"/>
      <c r="AB1483" s="52"/>
      <c r="AC1483" s="52"/>
      <c r="AD1483" s="52"/>
      <c r="AE1483" s="56" t="s">
        <v>607</v>
      </c>
      <c r="AF1483" s="56" t="s">
        <v>607</v>
      </c>
    </row>
    <row r="1484">
      <c r="A1484" s="52" t="s">
        <v>4770</v>
      </c>
      <c r="B1484" s="52" t="s">
        <v>607</v>
      </c>
      <c r="C1484" s="52" t="s">
        <v>607</v>
      </c>
      <c r="D1484" s="65" t="s">
        <v>607</v>
      </c>
      <c r="E1484" s="65" t="s">
        <v>607</v>
      </c>
      <c r="F1484" s="65" t="s">
        <v>607</v>
      </c>
      <c r="G1484" s="65" t="s">
        <v>607</v>
      </c>
      <c r="H1484" s="52" t="s">
        <v>607</v>
      </c>
      <c r="I1484" s="52" t="s">
        <v>607</v>
      </c>
      <c r="J1484" s="52" t="s">
        <v>607</v>
      </c>
      <c r="K1484" s="52" t="s">
        <v>607</v>
      </c>
      <c r="L1484" s="52" t="s">
        <v>607</v>
      </c>
      <c r="M1484" s="52" t="s">
        <v>607</v>
      </c>
      <c r="N1484" s="52" t="s">
        <v>607</v>
      </c>
      <c r="O1484" s="52"/>
      <c r="P1484" s="52"/>
      <c r="Q1484" s="52"/>
      <c r="R1484" s="51" t="b">
        <v>0</v>
      </c>
      <c r="S1484" s="51"/>
      <c r="T1484" s="52"/>
      <c r="U1484" s="51" t="b">
        <v>0</v>
      </c>
      <c r="V1484" s="51" t="b">
        <v>0</v>
      </c>
      <c r="W1484" s="51" t="b">
        <v>0</v>
      </c>
      <c r="X1484" s="51" t="b">
        <v>0</v>
      </c>
      <c r="Y1484" s="51" t="b">
        <v>0</v>
      </c>
      <c r="Z1484" s="51" t="b">
        <v>0</v>
      </c>
      <c r="AA1484" s="68"/>
      <c r="AB1484" s="52"/>
      <c r="AC1484" s="52"/>
      <c r="AD1484" s="52"/>
      <c r="AE1484" s="56" t="s">
        <v>607</v>
      </c>
      <c r="AF1484" s="56" t="s">
        <v>607</v>
      </c>
    </row>
    <row r="1485">
      <c r="A1485" s="52" t="s">
        <v>4771</v>
      </c>
      <c r="B1485" s="52" t="s">
        <v>607</v>
      </c>
      <c r="C1485" s="52" t="s">
        <v>607</v>
      </c>
      <c r="D1485" s="65" t="s">
        <v>607</v>
      </c>
      <c r="E1485" s="65" t="s">
        <v>607</v>
      </c>
      <c r="F1485" s="65" t="s">
        <v>607</v>
      </c>
      <c r="G1485" s="65" t="s">
        <v>607</v>
      </c>
      <c r="H1485" s="52" t="s">
        <v>607</v>
      </c>
      <c r="I1485" s="52" t="s">
        <v>607</v>
      </c>
      <c r="J1485" s="52" t="s">
        <v>607</v>
      </c>
      <c r="K1485" s="52" t="s">
        <v>607</v>
      </c>
      <c r="L1485" s="52" t="s">
        <v>607</v>
      </c>
      <c r="M1485" s="52" t="s">
        <v>607</v>
      </c>
      <c r="N1485" s="52" t="s">
        <v>607</v>
      </c>
      <c r="O1485" s="52"/>
      <c r="P1485" s="52"/>
      <c r="Q1485" s="52"/>
      <c r="R1485" s="51" t="b">
        <v>0</v>
      </c>
      <c r="S1485" s="51"/>
      <c r="T1485" s="52"/>
      <c r="U1485" s="51" t="b">
        <v>0</v>
      </c>
      <c r="V1485" s="51" t="b">
        <v>0</v>
      </c>
      <c r="W1485" s="51" t="b">
        <v>0</v>
      </c>
      <c r="X1485" s="51" t="b">
        <v>0</v>
      </c>
      <c r="Y1485" s="51" t="b">
        <v>0</v>
      </c>
      <c r="Z1485" s="51" t="b">
        <v>0</v>
      </c>
      <c r="AA1485" s="68"/>
      <c r="AB1485" s="52"/>
      <c r="AC1485" s="52"/>
      <c r="AD1485" s="52"/>
      <c r="AE1485" s="56" t="s">
        <v>607</v>
      </c>
      <c r="AF1485" s="56" t="s">
        <v>607</v>
      </c>
    </row>
    <row r="1486">
      <c r="A1486" s="52" t="s">
        <v>4772</v>
      </c>
      <c r="B1486" s="52" t="s">
        <v>14</v>
      </c>
      <c r="C1486" s="52" t="s">
        <v>221</v>
      </c>
      <c r="D1486" s="65">
        <v>0.5540856481481484</v>
      </c>
      <c r="E1486" s="65">
        <v>0.008333333333333333</v>
      </c>
      <c r="F1486" s="65">
        <v>0.5624189814814817</v>
      </c>
      <c r="G1486" s="65"/>
      <c r="H1486" s="52" t="s">
        <v>94</v>
      </c>
      <c r="I1486" s="52" t="s">
        <v>277</v>
      </c>
      <c r="J1486" s="52" t="s">
        <v>278</v>
      </c>
      <c r="K1486" s="52"/>
      <c r="L1486" s="52"/>
      <c r="M1486" s="52"/>
      <c r="N1486" s="52" t="s">
        <v>279</v>
      </c>
      <c r="O1486" s="69" t="s">
        <v>618</v>
      </c>
      <c r="P1486" s="69" t="s">
        <v>30</v>
      </c>
      <c r="Q1486" s="80" t="s">
        <v>4206</v>
      </c>
      <c r="R1486" s="51" t="b">
        <v>1</v>
      </c>
      <c r="S1486" s="98" t="s">
        <v>277</v>
      </c>
      <c r="T1486" s="52"/>
      <c r="U1486" s="51" t="b">
        <v>0</v>
      </c>
      <c r="V1486" s="51" t="b">
        <v>1</v>
      </c>
      <c r="W1486" s="51" t="b">
        <v>1</v>
      </c>
      <c r="X1486" s="51" t="b">
        <v>0</v>
      </c>
      <c r="Y1486" s="51" t="b">
        <v>1</v>
      </c>
      <c r="Z1486" s="51" t="b">
        <v>0</v>
      </c>
      <c r="AA1486" s="71">
        <v>0.008275462962962964</v>
      </c>
      <c r="AB1486" s="69" t="s">
        <v>4773</v>
      </c>
      <c r="AC1486" s="52"/>
      <c r="AD1486" s="73" t="s">
        <v>4474</v>
      </c>
      <c r="AE1486" s="56" t="s">
        <v>629</v>
      </c>
      <c r="AF1486" s="56" t="s">
        <v>653</v>
      </c>
    </row>
    <row r="1487">
      <c r="A1487" s="52" t="s">
        <v>4774</v>
      </c>
      <c r="B1487" s="52" t="s">
        <v>607</v>
      </c>
      <c r="C1487" s="52" t="s">
        <v>607</v>
      </c>
      <c r="D1487" s="65" t="s">
        <v>607</v>
      </c>
      <c r="E1487" s="65" t="s">
        <v>607</v>
      </c>
      <c r="F1487" s="65" t="s">
        <v>607</v>
      </c>
      <c r="G1487" s="65" t="s">
        <v>607</v>
      </c>
      <c r="H1487" s="52" t="s">
        <v>607</v>
      </c>
      <c r="I1487" s="52" t="s">
        <v>607</v>
      </c>
      <c r="J1487" s="52" t="s">
        <v>607</v>
      </c>
      <c r="K1487" s="52" t="s">
        <v>607</v>
      </c>
      <c r="L1487" s="52" t="s">
        <v>607</v>
      </c>
      <c r="M1487" s="52" t="s">
        <v>607</v>
      </c>
      <c r="N1487" s="52" t="s">
        <v>607</v>
      </c>
      <c r="O1487" s="52"/>
      <c r="P1487" s="52"/>
      <c r="Q1487" s="52"/>
      <c r="R1487" s="51" t="b">
        <v>0</v>
      </c>
      <c r="S1487" s="51"/>
      <c r="T1487" s="52"/>
      <c r="U1487" s="51" t="b">
        <v>0</v>
      </c>
      <c r="V1487" s="51" t="b">
        <v>0</v>
      </c>
      <c r="W1487" s="51" t="b">
        <v>0</v>
      </c>
      <c r="X1487" s="51" t="b">
        <v>0</v>
      </c>
      <c r="Y1487" s="51" t="b">
        <v>0</v>
      </c>
      <c r="Z1487" s="51" t="b">
        <v>0</v>
      </c>
      <c r="AA1487" s="68"/>
      <c r="AB1487" s="52"/>
      <c r="AC1487" s="52"/>
      <c r="AD1487" s="52"/>
      <c r="AE1487" s="56" t="s">
        <v>607</v>
      </c>
      <c r="AF1487" s="56" t="s">
        <v>607</v>
      </c>
    </row>
    <row r="1488">
      <c r="A1488" s="52" t="s">
        <v>4775</v>
      </c>
      <c r="B1488" s="52" t="s">
        <v>607</v>
      </c>
      <c r="C1488" s="52" t="s">
        <v>607</v>
      </c>
      <c r="D1488" s="65" t="s">
        <v>607</v>
      </c>
      <c r="E1488" s="65" t="s">
        <v>607</v>
      </c>
      <c r="F1488" s="65" t="s">
        <v>607</v>
      </c>
      <c r="G1488" s="65" t="s">
        <v>607</v>
      </c>
      <c r="H1488" s="52" t="s">
        <v>607</v>
      </c>
      <c r="I1488" s="52" t="s">
        <v>607</v>
      </c>
      <c r="J1488" s="52" t="s">
        <v>607</v>
      </c>
      <c r="K1488" s="52" t="s">
        <v>607</v>
      </c>
      <c r="L1488" s="52" t="s">
        <v>607</v>
      </c>
      <c r="M1488" s="52" t="s">
        <v>607</v>
      </c>
      <c r="N1488" s="52" t="s">
        <v>607</v>
      </c>
      <c r="O1488" s="52"/>
      <c r="P1488" s="52"/>
      <c r="Q1488" s="52"/>
      <c r="R1488" s="51" t="b">
        <v>0</v>
      </c>
      <c r="S1488" s="51"/>
      <c r="T1488" s="52"/>
      <c r="U1488" s="51" t="b">
        <v>0</v>
      </c>
      <c r="V1488" s="51" t="b">
        <v>0</v>
      </c>
      <c r="W1488" s="51" t="b">
        <v>0</v>
      </c>
      <c r="X1488" s="51" t="b">
        <v>0</v>
      </c>
      <c r="Y1488" s="51" t="b">
        <v>0</v>
      </c>
      <c r="Z1488" s="51" t="b">
        <v>0</v>
      </c>
      <c r="AA1488" s="68"/>
      <c r="AB1488" s="52"/>
      <c r="AC1488" s="52"/>
      <c r="AD1488" s="52"/>
      <c r="AE1488" s="56" t="s">
        <v>607</v>
      </c>
      <c r="AF1488" s="56" t="s">
        <v>607</v>
      </c>
    </row>
    <row r="1489">
      <c r="A1489" s="52" t="s">
        <v>4776</v>
      </c>
      <c r="B1489" s="52" t="s">
        <v>607</v>
      </c>
      <c r="C1489" s="52" t="s">
        <v>607</v>
      </c>
      <c r="D1489" s="65" t="s">
        <v>607</v>
      </c>
      <c r="E1489" s="65" t="s">
        <v>607</v>
      </c>
      <c r="F1489" s="65" t="s">
        <v>607</v>
      </c>
      <c r="G1489" s="65" t="s">
        <v>607</v>
      </c>
      <c r="H1489" s="52" t="s">
        <v>607</v>
      </c>
      <c r="I1489" s="52" t="s">
        <v>607</v>
      </c>
      <c r="J1489" s="52" t="s">
        <v>607</v>
      </c>
      <c r="K1489" s="52" t="s">
        <v>607</v>
      </c>
      <c r="L1489" s="52" t="s">
        <v>607</v>
      </c>
      <c r="M1489" s="52" t="s">
        <v>607</v>
      </c>
      <c r="N1489" s="52" t="s">
        <v>607</v>
      </c>
      <c r="O1489" s="52"/>
      <c r="P1489" s="52"/>
      <c r="Q1489" s="52"/>
      <c r="R1489" s="51" t="b">
        <v>0</v>
      </c>
      <c r="S1489" s="51"/>
      <c r="T1489" s="52"/>
      <c r="U1489" s="51" t="b">
        <v>0</v>
      </c>
      <c r="V1489" s="51" t="b">
        <v>0</v>
      </c>
      <c r="W1489" s="51" t="b">
        <v>0</v>
      </c>
      <c r="X1489" s="51" t="b">
        <v>0</v>
      </c>
      <c r="Y1489" s="51" t="b">
        <v>0</v>
      </c>
      <c r="Z1489" s="51" t="b">
        <v>0</v>
      </c>
      <c r="AA1489" s="68"/>
      <c r="AB1489" s="52"/>
      <c r="AC1489" s="52"/>
      <c r="AD1489" s="52"/>
      <c r="AE1489" s="56" t="s">
        <v>607</v>
      </c>
      <c r="AF1489" s="56" t="s">
        <v>607</v>
      </c>
    </row>
    <row r="1490">
      <c r="A1490" s="52" t="s">
        <v>4777</v>
      </c>
      <c r="B1490" s="52" t="s">
        <v>607</v>
      </c>
      <c r="C1490" s="52" t="s">
        <v>607</v>
      </c>
      <c r="D1490" s="65" t="s">
        <v>607</v>
      </c>
      <c r="E1490" s="65" t="s">
        <v>607</v>
      </c>
      <c r="F1490" s="65" t="s">
        <v>607</v>
      </c>
      <c r="G1490" s="65" t="s">
        <v>607</v>
      </c>
      <c r="H1490" s="52" t="s">
        <v>607</v>
      </c>
      <c r="I1490" s="52" t="s">
        <v>607</v>
      </c>
      <c r="J1490" s="52" t="s">
        <v>607</v>
      </c>
      <c r="K1490" s="52" t="s">
        <v>607</v>
      </c>
      <c r="L1490" s="52" t="s">
        <v>607</v>
      </c>
      <c r="M1490" s="52" t="s">
        <v>607</v>
      </c>
      <c r="N1490" s="52" t="s">
        <v>607</v>
      </c>
      <c r="O1490" s="52"/>
      <c r="P1490" s="52"/>
      <c r="Q1490" s="52"/>
      <c r="R1490" s="51" t="b">
        <v>0</v>
      </c>
      <c r="S1490" s="51"/>
      <c r="T1490" s="52"/>
      <c r="U1490" s="51" t="b">
        <v>0</v>
      </c>
      <c r="V1490" s="51" t="b">
        <v>0</v>
      </c>
      <c r="W1490" s="51" t="b">
        <v>0</v>
      </c>
      <c r="X1490" s="51" t="b">
        <v>0</v>
      </c>
      <c r="Y1490" s="51" t="b">
        <v>0</v>
      </c>
      <c r="Z1490" s="51" t="b">
        <v>0</v>
      </c>
      <c r="AA1490" s="68"/>
      <c r="AB1490" s="52"/>
      <c r="AC1490" s="52"/>
      <c r="AD1490" s="52"/>
      <c r="AE1490" s="56" t="s">
        <v>607</v>
      </c>
      <c r="AF1490" s="56" t="s">
        <v>607</v>
      </c>
    </row>
    <row r="1491">
      <c r="A1491" s="52" t="s">
        <v>4778</v>
      </c>
      <c r="B1491" s="52" t="s">
        <v>607</v>
      </c>
      <c r="C1491" s="52" t="s">
        <v>607</v>
      </c>
      <c r="D1491" s="65" t="s">
        <v>607</v>
      </c>
      <c r="E1491" s="65" t="s">
        <v>607</v>
      </c>
      <c r="F1491" s="65" t="s">
        <v>607</v>
      </c>
      <c r="G1491" s="65" t="s">
        <v>607</v>
      </c>
      <c r="H1491" s="52" t="s">
        <v>607</v>
      </c>
      <c r="I1491" s="52" t="s">
        <v>607</v>
      </c>
      <c r="J1491" s="52" t="s">
        <v>607</v>
      </c>
      <c r="K1491" s="52" t="s">
        <v>607</v>
      </c>
      <c r="L1491" s="52" t="s">
        <v>607</v>
      </c>
      <c r="M1491" s="52" t="s">
        <v>607</v>
      </c>
      <c r="N1491" s="52" t="s">
        <v>607</v>
      </c>
      <c r="O1491" s="52"/>
      <c r="P1491" s="52"/>
      <c r="Q1491" s="52"/>
      <c r="R1491" s="51" t="b">
        <v>0</v>
      </c>
      <c r="S1491" s="51"/>
      <c r="T1491" s="52"/>
      <c r="U1491" s="51" t="b">
        <v>0</v>
      </c>
      <c r="V1491" s="51" t="b">
        <v>0</v>
      </c>
      <c r="W1491" s="51" t="b">
        <v>0</v>
      </c>
      <c r="X1491" s="51" t="b">
        <v>0</v>
      </c>
      <c r="Y1491" s="51" t="b">
        <v>0</v>
      </c>
      <c r="Z1491" s="51" t="b">
        <v>0</v>
      </c>
      <c r="AA1491" s="68"/>
      <c r="AB1491" s="52"/>
      <c r="AC1491" s="52"/>
      <c r="AD1491" s="52"/>
      <c r="AE1491" s="56" t="s">
        <v>607</v>
      </c>
      <c r="AF1491" s="56" t="s">
        <v>607</v>
      </c>
    </row>
    <row r="1492">
      <c r="A1492" s="52" t="s">
        <v>4779</v>
      </c>
      <c r="B1492" s="52" t="s">
        <v>607</v>
      </c>
      <c r="C1492" s="52" t="s">
        <v>607</v>
      </c>
      <c r="D1492" s="65" t="s">
        <v>607</v>
      </c>
      <c r="E1492" s="65" t="s">
        <v>607</v>
      </c>
      <c r="F1492" s="65" t="s">
        <v>607</v>
      </c>
      <c r="G1492" s="65" t="s">
        <v>607</v>
      </c>
      <c r="H1492" s="52" t="s">
        <v>607</v>
      </c>
      <c r="I1492" s="52" t="s">
        <v>607</v>
      </c>
      <c r="J1492" s="52" t="s">
        <v>607</v>
      </c>
      <c r="K1492" s="52" t="s">
        <v>607</v>
      </c>
      <c r="L1492" s="52" t="s">
        <v>607</v>
      </c>
      <c r="M1492" s="52" t="s">
        <v>607</v>
      </c>
      <c r="N1492" s="52" t="s">
        <v>607</v>
      </c>
      <c r="O1492" s="52"/>
      <c r="P1492" s="52"/>
      <c r="Q1492" s="52"/>
      <c r="R1492" s="51" t="b">
        <v>0</v>
      </c>
      <c r="S1492" s="239"/>
      <c r="T1492" s="52"/>
      <c r="U1492" s="51" t="b">
        <v>0</v>
      </c>
      <c r="V1492" s="51" t="b">
        <v>0</v>
      </c>
      <c r="W1492" s="51" t="b">
        <v>0</v>
      </c>
      <c r="X1492" s="51" t="b">
        <v>0</v>
      </c>
      <c r="Y1492" s="51" t="b">
        <v>0</v>
      </c>
      <c r="Z1492" s="51" t="b">
        <v>0</v>
      </c>
      <c r="AA1492" s="68"/>
      <c r="AB1492" s="52"/>
      <c r="AC1492" s="52"/>
      <c r="AD1492" s="52"/>
      <c r="AE1492" s="56" t="s">
        <v>607</v>
      </c>
      <c r="AF1492" s="56" t="s">
        <v>607</v>
      </c>
    </row>
    <row r="1493">
      <c r="A1493" s="52" t="s">
        <v>4780</v>
      </c>
      <c r="B1493" s="52" t="s">
        <v>607</v>
      </c>
      <c r="C1493" s="52" t="s">
        <v>607</v>
      </c>
      <c r="D1493" s="65" t="s">
        <v>607</v>
      </c>
      <c r="E1493" s="65" t="s">
        <v>607</v>
      </c>
      <c r="F1493" s="65" t="s">
        <v>607</v>
      </c>
      <c r="G1493" s="65" t="s">
        <v>607</v>
      </c>
      <c r="H1493" s="52" t="s">
        <v>607</v>
      </c>
      <c r="I1493" s="52" t="s">
        <v>607</v>
      </c>
      <c r="J1493" s="52" t="s">
        <v>607</v>
      </c>
      <c r="K1493" s="52" t="s">
        <v>607</v>
      </c>
      <c r="L1493" s="52" t="s">
        <v>607</v>
      </c>
      <c r="M1493" s="52" t="s">
        <v>607</v>
      </c>
      <c r="N1493" s="52" t="s">
        <v>607</v>
      </c>
      <c r="O1493" s="52"/>
      <c r="P1493" s="52"/>
      <c r="Q1493" s="52"/>
      <c r="R1493" s="51" t="b">
        <v>0</v>
      </c>
      <c r="S1493" s="51"/>
      <c r="T1493" s="52"/>
      <c r="U1493" s="51" t="b">
        <v>0</v>
      </c>
      <c r="V1493" s="51" t="b">
        <v>0</v>
      </c>
      <c r="W1493" s="51" t="b">
        <v>0</v>
      </c>
      <c r="X1493" s="51" t="b">
        <v>0</v>
      </c>
      <c r="Y1493" s="51" t="b">
        <v>0</v>
      </c>
      <c r="Z1493" s="51" t="b">
        <v>0</v>
      </c>
      <c r="AA1493" s="68"/>
      <c r="AB1493" s="52"/>
      <c r="AC1493" s="52"/>
      <c r="AD1493" s="52"/>
      <c r="AE1493" s="56" t="s">
        <v>607</v>
      </c>
      <c r="AF1493" s="56" t="s">
        <v>607</v>
      </c>
    </row>
    <row r="1494">
      <c r="A1494" s="52" t="s">
        <v>4781</v>
      </c>
      <c r="B1494" s="52" t="s">
        <v>607</v>
      </c>
      <c r="C1494" s="52" t="s">
        <v>607</v>
      </c>
      <c r="D1494" s="65" t="s">
        <v>607</v>
      </c>
      <c r="E1494" s="65" t="s">
        <v>607</v>
      </c>
      <c r="F1494" s="65" t="s">
        <v>607</v>
      </c>
      <c r="G1494" s="65" t="s">
        <v>607</v>
      </c>
      <c r="H1494" s="52" t="s">
        <v>607</v>
      </c>
      <c r="I1494" s="52" t="s">
        <v>607</v>
      </c>
      <c r="J1494" s="52" t="s">
        <v>607</v>
      </c>
      <c r="K1494" s="52" t="s">
        <v>607</v>
      </c>
      <c r="L1494" s="52" t="s">
        <v>607</v>
      </c>
      <c r="M1494" s="52" t="s">
        <v>607</v>
      </c>
      <c r="N1494" s="52" t="s">
        <v>607</v>
      </c>
      <c r="O1494" s="52"/>
      <c r="P1494" s="52"/>
      <c r="Q1494" s="52"/>
      <c r="R1494" s="51" t="b">
        <v>0</v>
      </c>
      <c r="S1494" s="51"/>
      <c r="T1494" s="52"/>
      <c r="U1494" s="51" t="b">
        <v>0</v>
      </c>
      <c r="V1494" s="51" t="b">
        <v>0</v>
      </c>
      <c r="W1494" s="51" t="b">
        <v>0</v>
      </c>
      <c r="X1494" s="51" t="b">
        <v>0</v>
      </c>
      <c r="Y1494" s="51" t="b">
        <v>0</v>
      </c>
      <c r="Z1494" s="51" t="b">
        <v>0</v>
      </c>
      <c r="AA1494" s="68"/>
      <c r="AB1494" s="52"/>
      <c r="AC1494" s="52"/>
      <c r="AD1494" s="52"/>
      <c r="AE1494" s="56" t="s">
        <v>607</v>
      </c>
      <c r="AF1494" s="56" t="s">
        <v>607</v>
      </c>
    </row>
    <row r="1495">
      <c r="A1495" s="52" t="s">
        <v>4783</v>
      </c>
      <c r="B1495" s="52" t="s">
        <v>607</v>
      </c>
      <c r="C1495" s="52" t="s">
        <v>607</v>
      </c>
      <c r="D1495" s="65" t="s">
        <v>607</v>
      </c>
      <c r="E1495" s="65" t="s">
        <v>607</v>
      </c>
      <c r="F1495" s="65" t="s">
        <v>607</v>
      </c>
      <c r="G1495" s="65" t="s">
        <v>607</v>
      </c>
      <c r="H1495" s="52" t="s">
        <v>607</v>
      </c>
      <c r="I1495" s="52" t="s">
        <v>607</v>
      </c>
      <c r="J1495" s="52" t="s">
        <v>607</v>
      </c>
      <c r="K1495" s="52" t="s">
        <v>607</v>
      </c>
      <c r="L1495" s="52" t="s">
        <v>607</v>
      </c>
      <c r="M1495" s="52" t="s">
        <v>607</v>
      </c>
      <c r="N1495" s="52" t="s">
        <v>607</v>
      </c>
      <c r="O1495" s="52"/>
      <c r="P1495" s="52"/>
      <c r="Q1495" s="52"/>
      <c r="R1495" s="51" t="b">
        <v>0</v>
      </c>
      <c r="S1495" s="51"/>
      <c r="T1495" s="52"/>
      <c r="U1495" s="51" t="b">
        <v>0</v>
      </c>
      <c r="V1495" s="51" t="b">
        <v>0</v>
      </c>
      <c r="W1495" s="51" t="b">
        <v>0</v>
      </c>
      <c r="X1495" s="51" t="b">
        <v>0</v>
      </c>
      <c r="Y1495" s="51" t="b">
        <v>0</v>
      </c>
      <c r="Z1495" s="51" t="b">
        <v>0</v>
      </c>
      <c r="AA1495" s="68"/>
      <c r="AB1495" s="52"/>
      <c r="AC1495" s="52"/>
      <c r="AD1495" s="52"/>
      <c r="AE1495" s="56" t="s">
        <v>607</v>
      </c>
      <c r="AF1495" s="56" t="s">
        <v>607</v>
      </c>
    </row>
    <row r="1496">
      <c r="A1496" s="52" t="s">
        <v>4784</v>
      </c>
      <c r="B1496" s="52" t="s">
        <v>607</v>
      </c>
      <c r="C1496" s="52" t="s">
        <v>607</v>
      </c>
      <c r="D1496" s="65" t="s">
        <v>607</v>
      </c>
      <c r="E1496" s="65" t="s">
        <v>607</v>
      </c>
      <c r="F1496" s="65" t="s">
        <v>607</v>
      </c>
      <c r="G1496" s="65" t="s">
        <v>607</v>
      </c>
      <c r="H1496" s="52" t="s">
        <v>607</v>
      </c>
      <c r="I1496" s="52" t="s">
        <v>607</v>
      </c>
      <c r="J1496" s="52" t="s">
        <v>607</v>
      </c>
      <c r="K1496" s="52" t="s">
        <v>607</v>
      </c>
      <c r="L1496" s="52" t="s">
        <v>607</v>
      </c>
      <c r="M1496" s="52" t="s">
        <v>607</v>
      </c>
      <c r="N1496" s="52" t="s">
        <v>607</v>
      </c>
      <c r="O1496" s="52"/>
      <c r="P1496" s="52"/>
      <c r="Q1496" s="52"/>
      <c r="R1496" s="51" t="b">
        <v>0</v>
      </c>
      <c r="S1496" s="51"/>
      <c r="T1496" s="52"/>
      <c r="U1496" s="51" t="b">
        <v>0</v>
      </c>
      <c r="V1496" s="51" t="b">
        <v>0</v>
      </c>
      <c r="W1496" s="51" t="b">
        <v>0</v>
      </c>
      <c r="X1496" s="51" t="b">
        <v>0</v>
      </c>
      <c r="Y1496" s="51" t="b">
        <v>0</v>
      </c>
      <c r="Z1496" s="51" t="b">
        <v>0</v>
      </c>
      <c r="AA1496" s="68"/>
      <c r="AB1496" s="52"/>
      <c r="AC1496" s="52"/>
      <c r="AD1496" s="52"/>
      <c r="AE1496" s="56" t="s">
        <v>607</v>
      </c>
      <c r="AF1496" s="56" t="s">
        <v>607</v>
      </c>
    </row>
    <row r="1497">
      <c r="A1497" s="52" t="s">
        <v>4785</v>
      </c>
      <c r="B1497" s="52" t="s">
        <v>607</v>
      </c>
      <c r="C1497" s="52" t="s">
        <v>607</v>
      </c>
      <c r="D1497" s="65" t="s">
        <v>607</v>
      </c>
      <c r="E1497" s="65" t="s">
        <v>607</v>
      </c>
      <c r="F1497" s="65" t="s">
        <v>607</v>
      </c>
      <c r="G1497" s="65" t="s">
        <v>607</v>
      </c>
      <c r="H1497" s="52" t="s">
        <v>607</v>
      </c>
      <c r="I1497" s="52" t="s">
        <v>607</v>
      </c>
      <c r="J1497" s="52" t="s">
        <v>607</v>
      </c>
      <c r="K1497" s="52" t="s">
        <v>607</v>
      </c>
      <c r="L1497" s="52" t="s">
        <v>607</v>
      </c>
      <c r="M1497" s="52" t="s">
        <v>607</v>
      </c>
      <c r="N1497" s="52" t="s">
        <v>607</v>
      </c>
      <c r="O1497" s="52"/>
      <c r="P1497" s="52"/>
      <c r="Q1497" s="52"/>
      <c r="R1497" s="51" t="b">
        <v>0</v>
      </c>
      <c r="S1497" s="51"/>
      <c r="T1497" s="52"/>
      <c r="U1497" s="51" t="b">
        <v>0</v>
      </c>
      <c r="V1497" s="51" t="b">
        <v>0</v>
      </c>
      <c r="W1497" s="51" t="b">
        <v>0</v>
      </c>
      <c r="X1497" s="51" t="b">
        <v>0</v>
      </c>
      <c r="Y1497" s="51" t="b">
        <v>0</v>
      </c>
      <c r="Z1497" s="51" t="b">
        <v>0</v>
      </c>
      <c r="AA1497" s="68"/>
      <c r="AB1497" s="52"/>
      <c r="AC1497" s="52"/>
      <c r="AD1497" s="52"/>
      <c r="AE1497" s="56" t="s">
        <v>607</v>
      </c>
      <c r="AF1497" s="56" t="s">
        <v>607</v>
      </c>
    </row>
    <row r="1498">
      <c r="A1498" s="52" t="s">
        <v>4786</v>
      </c>
      <c r="B1498" s="52" t="s">
        <v>607</v>
      </c>
      <c r="C1498" s="52" t="s">
        <v>607</v>
      </c>
      <c r="D1498" s="65" t="s">
        <v>607</v>
      </c>
      <c r="E1498" s="65" t="s">
        <v>607</v>
      </c>
      <c r="F1498" s="65" t="s">
        <v>607</v>
      </c>
      <c r="G1498" s="65" t="s">
        <v>607</v>
      </c>
      <c r="H1498" s="52" t="s">
        <v>607</v>
      </c>
      <c r="I1498" s="52" t="s">
        <v>607</v>
      </c>
      <c r="J1498" s="52" t="s">
        <v>607</v>
      </c>
      <c r="K1498" s="52" t="s">
        <v>607</v>
      </c>
      <c r="L1498" s="52" t="s">
        <v>607</v>
      </c>
      <c r="M1498" s="52" t="s">
        <v>607</v>
      </c>
      <c r="N1498" s="52" t="s">
        <v>607</v>
      </c>
      <c r="O1498" s="52"/>
      <c r="P1498" s="52"/>
      <c r="Q1498" s="52"/>
      <c r="R1498" s="51" t="b">
        <v>0</v>
      </c>
      <c r="S1498" s="51"/>
      <c r="T1498" s="52"/>
      <c r="U1498" s="51" t="b">
        <v>0</v>
      </c>
      <c r="V1498" s="51" t="b">
        <v>0</v>
      </c>
      <c r="W1498" s="51" t="b">
        <v>0</v>
      </c>
      <c r="X1498" s="51" t="b">
        <v>0</v>
      </c>
      <c r="Y1498" s="51" t="b">
        <v>0</v>
      </c>
      <c r="Z1498" s="51" t="b">
        <v>0</v>
      </c>
      <c r="AA1498" s="68"/>
      <c r="AB1498" s="52"/>
      <c r="AC1498" s="52"/>
      <c r="AD1498" s="52"/>
      <c r="AE1498" s="56" t="s">
        <v>607</v>
      </c>
      <c r="AF1498" s="56" t="s">
        <v>607</v>
      </c>
    </row>
    <row r="1499">
      <c r="A1499" s="52" t="s">
        <v>4787</v>
      </c>
      <c r="B1499" s="52" t="s">
        <v>607</v>
      </c>
      <c r="C1499" s="52" t="s">
        <v>607</v>
      </c>
      <c r="D1499" s="65" t="s">
        <v>607</v>
      </c>
      <c r="E1499" s="65" t="s">
        <v>607</v>
      </c>
      <c r="F1499" s="65" t="s">
        <v>607</v>
      </c>
      <c r="G1499" s="65" t="s">
        <v>607</v>
      </c>
      <c r="H1499" s="52" t="s">
        <v>607</v>
      </c>
      <c r="I1499" s="52" t="s">
        <v>607</v>
      </c>
      <c r="J1499" s="52" t="s">
        <v>607</v>
      </c>
      <c r="K1499" s="52" t="s">
        <v>607</v>
      </c>
      <c r="L1499" s="52" t="s">
        <v>607</v>
      </c>
      <c r="M1499" s="52" t="s">
        <v>607</v>
      </c>
      <c r="N1499" s="52" t="s">
        <v>607</v>
      </c>
      <c r="O1499" s="52"/>
      <c r="P1499" s="52"/>
      <c r="Q1499" s="52"/>
      <c r="R1499" s="51" t="b">
        <v>0</v>
      </c>
      <c r="S1499" s="51"/>
      <c r="T1499" s="52"/>
      <c r="U1499" s="51" t="b">
        <v>0</v>
      </c>
      <c r="V1499" s="51" t="b">
        <v>0</v>
      </c>
      <c r="W1499" s="51" t="b">
        <v>0</v>
      </c>
      <c r="X1499" s="51" t="b">
        <v>0</v>
      </c>
      <c r="Y1499" s="51" t="b">
        <v>0</v>
      </c>
      <c r="Z1499" s="51" t="b">
        <v>0</v>
      </c>
      <c r="AA1499" s="68"/>
      <c r="AB1499" s="52"/>
      <c r="AC1499" s="52"/>
      <c r="AD1499" s="52"/>
      <c r="AE1499" s="56" t="s">
        <v>607</v>
      </c>
      <c r="AF1499" s="56" t="s">
        <v>607</v>
      </c>
    </row>
    <row r="1500">
      <c r="A1500" s="52" t="s">
        <v>4788</v>
      </c>
      <c r="B1500" s="52" t="s">
        <v>607</v>
      </c>
      <c r="C1500" s="52" t="s">
        <v>607</v>
      </c>
      <c r="D1500" s="65" t="s">
        <v>607</v>
      </c>
      <c r="E1500" s="65" t="s">
        <v>607</v>
      </c>
      <c r="F1500" s="65" t="s">
        <v>607</v>
      </c>
      <c r="G1500" s="65" t="s">
        <v>607</v>
      </c>
      <c r="H1500" s="52" t="s">
        <v>607</v>
      </c>
      <c r="I1500" s="52" t="s">
        <v>607</v>
      </c>
      <c r="J1500" s="52" t="s">
        <v>607</v>
      </c>
      <c r="K1500" s="52" t="s">
        <v>607</v>
      </c>
      <c r="L1500" s="52" t="s">
        <v>607</v>
      </c>
      <c r="M1500" s="52" t="s">
        <v>607</v>
      </c>
      <c r="N1500" s="52" t="s">
        <v>607</v>
      </c>
      <c r="O1500" s="52"/>
      <c r="P1500" s="52"/>
      <c r="Q1500" s="52"/>
      <c r="R1500" s="51" t="b">
        <v>0</v>
      </c>
      <c r="S1500" s="51"/>
      <c r="T1500" s="52"/>
      <c r="U1500" s="51" t="b">
        <v>0</v>
      </c>
      <c r="V1500" s="51" t="b">
        <v>0</v>
      </c>
      <c r="W1500" s="51" t="b">
        <v>0</v>
      </c>
      <c r="X1500" s="51" t="b">
        <v>0</v>
      </c>
      <c r="Y1500" s="51" t="b">
        <v>0</v>
      </c>
      <c r="Z1500" s="51" t="b">
        <v>0</v>
      </c>
      <c r="AA1500" s="68"/>
      <c r="AB1500" s="52"/>
      <c r="AC1500" s="52"/>
      <c r="AD1500" s="52"/>
      <c r="AE1500" s="56" t="s">
        <v>607</v>
      </c>
      <c r="AF1500" s="56" t="s">
        <v>607</v>
      </c>
    </row>
    <row r="1501">
      <c r="A1501" s="52" t="s">
        <v>4789</v>
      </c>
      <c r="B1501" s="52" t="s">
        <v>607</v>
      </c>
      <c r="C1501" s="52" t="s">
        <v>607</v>
      </c>
      <c r="D1501" s="65" t="s">
        <v>607</v>
      </c>
      <c r="E1501" s="65" t="s">
        <v>607</v>
      </c>
      <c r="F1501" s="65" t="s">
        <v>607</v>
      </c>
      <c r="G1501" s="65" t="s">
        <v>607</v>
      </c>
      <c r="H1501" s="52" t="s">
        <v>607</v>
      </c>
      <c r="I1501" s="52" t="s">
        <v>607</v>
      </c>
      <c r="J1501" s="52" t="s">
        <v>607</v>
      </c>
      <c r="K1501" s="52" t="s">
        <v>607</v>
      </c>
      <c r="L1501" s="52" t="s">
        <v>607</v>
      </c>
      <c r="M1501" s="52" t="s">
        <v>607</v>
      </c>
      <c r="N1501" s="52" t="s">
        <v>607</v>
      </c>
      <c r="O1501" s="52"/>
      <c r="P1501" s="52"/>
      <c r="Q1501" s="52"/>
      <c r="R1501" s="51" t="b">
        <v>0</v>
      </c>
      <c r="S1501" s="51"/>
      <c r="T1501" s="52"/>
      <c r="U1501" s="51" t="b">
        <v>0</v>
      </c>
      <c r="V1501" s="51" t="b">
        <v>0</v>
      </c>
      <c r="W1501" s="51" t="b">
        <v>0</v>
      </c>
      <c r="X1501" s="51" t="b">
        <v>0</v>
      </c>
      <c r="Y1501" s="51" t="b">
        <v>0</v>
      </c>
      <c r="Z1501" s="51" t="b">
        <v>0</v>
      </c>
      <c r="AA1501" s="68"/>
      <c r="AB1501" s="52"/>
      <c r="AC1501" s="52"/>
      <c r="AD1501" s="52"/>
      <c r="AE1501" s="56" t="s">
        <v>607</v>
      </c>
      <c r="AF1501" s="56" t="s">
        <v>607</v>
      </c>
    </row>
    <row r="1502">
      <c r="A1502" s="52" t="s">
        <v>4790</v>
      </c>
      <c r="B1502" s="52" t="s">
        <v>607</v>
      </c>
      <c r="C1502" s="52" t="s">
        <v>607</v>
      </c>
      <c r="D1502" s="65" t="s">
        <v>607</v>
      </c>
      <c r="E1502" s="65" t="s">
        <v>607</v>
      </c>
      <c r="F1502" s="65" t="s">
        <v>607</v>
      </c>
      <c r="G1502" s="65" t="s">
        <v>607</v>
      </c>
      <c r="H1502" s="52" t="s">
        <v>607</v>
      </c>
      <c r="I1502" s="52" t="s">
        <v>607</v>
      </c>
      <c r="J1502" s="52" t="s">
        <v>607</v>
      </c>
      <c r="K1502" s="52" t="s">
        <v>607</v>
      </c>
      <c r="L1502" s="52" t="s">
        <v>607</v>
      </c>
      <c r="M1502" s="52" t="s">
        <v>607</v>
      </c>
      <c r="N1502" s="52" t="s">
        <v>607</v>
      </c>
      <c r="O1502" s="52"/>
      <c r="P1502" s="52"/>
      <c r="Q1502" s="52"/>
      <c r="R1502" s="51" t="b">
        <v>0</v>
      </c>
      <c r="S1502" s="51"/>
      <c r="T1502" s="52"/>
      <c r="U1502" s="51" t="b">
        <v>0</v>
      </c>
      <c r="V1502" s="51" t="b">
        <v>0</v>
      </c>
      <c r="W1502" s="51" t="b">
        <v>0</v>
      </c>
      <c r="X1502" s="51" t="b">
        <v>0</v>
      </c>
      <c r="Y1502" s="51" t="b">
        <v>0</v>
      </c>
      <c r="Z1502" s="51" t="b">
        <v>0</v>
      </c>
      <c r="AA1502" s="68"/>
      <c r="AB1502" s="52"/>
      <c r="AC1502" s="52"/>
      <c r="AD1502" s="52"/>
      <c r="AE1502" s="56" t="s">
        <v>607</v>
      </c>
      <c r="AF1502" s="56" t="s">
        <v>607</v>
      </c>
    </row>
    <row r="1503">
      <c r="A1503" s="52" t="s">
        <v>4791</v>
      </c>
      <c r="B1503" s="52" t="s">
        <v>607</v>
      </c>
      <c r="C1503" s="52" t="s">
        <v>607</v>
      </c>
      <c r="D1503" s="65" t="s">
        <v>607</v>
      </c>
      <c r="E1503" s="65" t="s">
        <v>607</v>
      </c>
      <c r="F1503" s="65" t="s">
        <v>607</v>
      </c>
      <c r="G1503" s="65" t="s">
        <v>607</v>
      </c>
      <c r="H1503" s="52" t="s">
        <v>607</v>
      </c>
      <c r="I1503" s="52" t="s">
        <v>607</v>
      </c>
      <c r="J1503" s="52" t="s">
        <v>607</v>
      </c>
      <c r="K1503" s="52" t="s">
        <v>607</v>
      </c>
      <c r="L1503" s="52" t="s">
        <v>607</v>
      </c>
      <c r="M1503" s="52" t="s">
        <v>607</v>
      </c>
      <c r="N1503" s="52" t="s">
        <v>607</v>
      </c>
      <c r="O1503" s="52"/>
      <c r="P1503" s="52"/>
      <c r="Q1503" s="52"/>
      <c r="R1503" s="51" t="b">
        <v>0</v>
      </c>
      <c r="S1503" s="51"/>
      <c r="T1503" s="52"/>
      <c r="U1503" s="51" t="b">
        <v>0</v>
      </c>
      <c r="V1503" s="51" t="b">
        <v>0</v>
      </c>
      <c r="W1503" s="51" t="b">
        <v>0</v>
      </c>
      <c r="X1503" s="51" t="b">
        <v>0</v>
      </c>
      <c r="Y1503" s="51" t="b">
        <v>0</v>
      </c>
      <c r="Z1503" s="51" t="b">
        <v>0</v>
      </c>
      <c r="AA1503" s="68"/>
      <c r="AB1503" s="52"/>
      <c r="AC1503" s="52"/>
      <c r="AD1503" s="52"/>
      <c r="AE1503" s="56" t="s">
        <v>607</v>
      </c>
      <c r="AF1503" s="56" t="s">
        <v>607</v>
      </c>
    </row>
    <row r="1504">
      <c r="A1504" s="52" t="s">
        <v>4792</v>
      </c>
      <c r="B1504" s="52" t="s">
        <v>607</v>
      </c>
      <c r="C1504" s="52" t="s">
        <v>607</v>
      </c>
      <c r="D1504" s="65" t="s">
        <v>607</v>
      </c>
      <c r="E1504" s="65" t="s">
        <v>607</v>
      </c>
      <c r="F1504" s="65" t="s">
        <v>607</v>
      </c>
      <c r="G1504" s="65" t="s">
        <v>607</v>
      </c>
      <c r="H1504" s="52" t="s">
        <v>607</v>
      </c>
      <c r="I1504" s="52" t="s">
        <v>607</v>
      </c>
      <c r="J1504" s="52" t="s">
        <v>607</v>
      </c>
      <c r="K1504" s="52" t="s">
        <v>607</v>
      </c>
      <c r="L1504" s="52" t="s">
        <v>607</v>
      </c>
      <c r="M1504" s="52" t="s">
        <v>607</v>
      </c>
      <c r="N1504" s="52" t="s">
        <v>607</v>
      </c>
      <c r="O1504" s="52"/>
      <c r="P1504" s="52"/>
      <c r="Q1504" s="52"/>
      <c r="R1504" s="51" t="b">
        <v>0</v>
      </c>
      <c r="S1504" s="51"/>
      <c r="T1504" s="52"/>
      <c r="U1504" s="51" t="b">
        <v>0</v>
      </c>
      <c r="V1504" s="51" t="b">
        <v>0</v>
      </c>
      <c r="W1504" s="51" t="b">
        <v>0</v>
      </c>
      <c r="X1504" s="51" t="b">
        <v>0</v>
      </c>
      <c r="Y1504" s="51" t="b">
        <v>0</v>
      </c>
      <c r="Z1504" s="51" t="b">
        <v>0</v>
      </c>
      <c r="AA1504" s="68"/>
      <c r="AB1504" s="52"/>
      <c r="AC1504" s="52"/>
      <c r="AD1504" s="52"/>
      <c r="AE1504" s="56" t="s">
        <v>607</v>
      </c>
      <c r="AF1504" s="56" t="s">
        <v>607</v>
      </c>
    </row>
    <row r="1505">
      <c r="A1505" s="52" t="s">
        <v>4793</v>
      </c>
      <c r="B1505" s="52" t="s">
        <v>607</v>
      </c>
      <c r="C1505" s="52" t="s">
        <v>607</v>
      </c>
      <c r="D1505" s="65" t="s">
        <v>607</v>
      </c>
      <c r="E1505" s="65" t="s">
        <v>607</v>
      </c>
      <c r="F1505" s="65" t="s">
        <v>607</v>
      </c>
      <c r="G1505" s="65" t="s">
        <v>607</v>
      </c>
      <c r="H1505" s="52" t="s">
        <v>607</v>
      </c>
      <c r="I1505" s="52" t="s">
        <v>607</v>
      </c>
      <c r="J1505" s="52" t="s">
        <v>607</v>
      </c>
      <c r="K1505" s="52" t="s">
        <v>607</v>
      </c>
      <c r="L1505" s="52" t="s">
        <v>607</v>
      </c>
      <c r="M1505" s="52" t="s">
        <v>607</v>
      </c>
      <c r="N1505" s="52" t="s">
        <v>607</v>
      </c>
      <c r="O1505" s="52"/>
      <c r="P1505" s="52"/>
      <c r="Q1505" s="52"/>
      <c r="R1505" s="51" t="b">
        <v>0</v>
      </c>
      <c r="S1505" s="51"/>
      <c r="T1505" s="52"/>
      <c r="U1505" s="51" t="b">
        <v>0</v>
      </c>
      <c r="V1505" s="51" t="b">
        <v>0</v>
      </c>
      <c r="W1505" s="51" t="b">
        <v>0</v>
      </c>
      <c r="X1505" s="51" t="b">
        <v>0</v>
      </c>
      <c r="Y1505" s="51" t="b">
        <v>0</v>
      </c>
      <c r="Z1505" s="51" t="b">
        <v>0</v>
      </c>
      <c r="AA1505" s="68"/>
      <c r="AB1505" s="52"/>
      <c r="AC1505" s="52"/>
      <c r="AD1505" s="52"/>
      <c r="AE1505" s="56" t="s">
        <v>607</v>
      </c>
      <c r="AF1505" s="56" t="s">
        <v>607</v>
      </c>
    </row>
    <row r="1506">
      <c r="A1506" s="52" t="s">
        <v>4794</v>
      </c>
      <c r="B1506" s="52" t="s">
        <v>16</v>
      </c>
      <c r="C1506" s="52" t="s">
        <v>66</v>
      </c>
      <c r="D1506" s="65"/>
      <c r="E1506" s="65"/>
      <c r="F1506" s="65"/>
      <c r="G1506" s="65"/>
      <c r="H1506" s="52"/>
      <c r="I1506" s="52"/>
      <c r="J1506" s="52"/>
      <c r="K1506" s="52"/>
      <c r="L1506" s="52"/>
      <c r="M1506" s="52"/>
      <c r="N1506" s="52"/>
      <c r="O1506" s="52"/>
      <c r="P1506" s="52"/>
      <c r="Q1506" s="52"/>
      <c r="R1506" s="51" t="b">
        <v>0</v>
      </c>
      <c r="S1506" s="51"/>
      <c r="T1506" s="52"/>
      <c r="U1506" s="51" t="b">
        <v>0</v>
      </c>
      <c r="V1506" s="51" t="b">
        <v>0</v>
      </c>
      <c r="W1506" s="51" t="b">
        <v>0</v>
      </c>
      <c r="X1506" s="51" t="b">
        <v>0</v>
      </c>
      <c r="Y1506" s="51" t="b">
        <v>0</v>
      </c>
      <c r="Z1506" s="51" t="b">
        <v>0</v>
      </c>
      <c r="AA1506" s="68"/>
      <c r="AB1506" s="52"/>
      <c r="AC1506" s="52"/>
      <c r="AD1506" s="52"/>
      <c r="AE1506" s="56"/>
      <c r="AF1506" s="56"/>
    </row>
    <row r="1507">
      <c r="A1507" s="52" t="s">
        <v>4795</v>
      </c>
      <c r="B1507" s="52" t="s">
        <v>607</v>
      </c>
      <c r="C1507" s="52" t="s">
        <v>607</v>
      </c>
      <c r="D1507" s="65" t="s">
        <v>607</v>
      </c>
      <c r="E1507" s="65" t="s">
        <v>607</v>
      </c>
      <c r="F1507" s="65" t="s">
        <v>607</v>
      </c>
      <c r="G1507" s="65" t="s">
        <v>607</v>
      </c>
      <c r="H1507" s="52" t="s">
        <v>607</v>
      </c>
      <c r="I1507" s="52" t="s">
        <v>607</v>
      </c>
      <c r="J1507" s="52" t="s">
        <v>607</v>
      </c>
      <c r="K1507" s="52" t="s">
        <v>607</v>
      </c>
      <c r="L1507" s="52" t="s">
        <v>607</v>
      </c>
      <c r="M1507" s="52" t="s">
        <v>607</v>
      </c>
      <c r="N1507" s="52" t="s">
        <v>607</v>
      </c>
      <c r="O1507" s="52"/>
      <c r="P1507" s="52"/>
      <c r="Q1507" s="52"/>
      <c r="R1507" s="51" t="b">
        <v>0</v>
      </c>
      <c r="S1507" s="51"/>
      <c r="T1507" s="52"/>
      <c r="U1507" s="51" t="b">
        <v>0</v>
      </c>
      <c r="V1507" s="51" t="b">
        <v>0</v>
      </c>
      <c r="W1507" s="51" t="b">
        <v>0</v>
      </c>
      <c r="X1507" s="51" t="b">
        <v>0</v>
      </c>
      <c r="Y1507" s="51" t="b">
        <v>0</v>
      </c>
      <c r="Z1507" s="51" t="b">
        <v>0</v>
      </c>
      <c r="AA1507" s="68"/>
      <c r="AB1507" s="52"/>
      <c r="AC1507" s="52"/>
      <c r="AD1507" s="52"/>
      <c r="AE1507" s="56" t="s">
        <v>607</v>
      </c>
      <c r="AF1507" s="56" t="s">
        <v>607</v>
      </c>
    </row>
    <row r="1508">
      <c r="A1508" s="52" t="s">
        <v>4796</v>
      </c>
      <c r="B1508" s="52" t="s">
        <v>607</v>
      </c>
      <c r="C1508" s="52" t="s">
        <v>607</v>
      </c>
      <c r="D1508" s="65" t="s">
        <v>607</v>
      </c>
      <c r="E1508" s="65" t="s">
        <v>607</v>
      </c>
      <c r="F1508" s="65" t="s">
        <v>607</v>
      </c>
      <c r="G1508" s="65" t="s">
        <v>607</v>
      </c>
      <c r="H1508" s="52" t="s">
        <v>607</v>
      </c>
      <c r="I1508" s="52" t="s">
        <v>607</v>
      </c>
      <c r="J1508" s="52" t="s">
        <v>607</v>
      </c>
      <c r="K1508" s="52" t="s">
        <v>607</v>
      </c>
      <c r="L1508" s="52" t="s">
        <v>607</v>
      </c>
      <c r="M1508" s="52" t="s">
        <v>607</v>
      </c>
      <c r="N1508" s="52" t="s">
        <v>607</v>
      </c>
      <c r="O1508" s="52"/>
      <c r="P1508" s="52"/>
      <c r="Q1508" s="52"/>
      <c r="R1508" s="51" t="b">
        <v>0</v>
      </c>
      <c r="S1508" s="51"/>
      <c r="T1508" s="52"/>
      <c r="U1508" s="51" t="b">
        <v>0</v>
      </c>
      <c r="V1508" s="51" t="b">
        <v>0</v>
      </c>
      <c r="W1508" s="51" t="b">
        <v>0</v>
      </c>
      <c r="X1508" s="51" t="b">
        <v>0</v>
      </c>
      <c r="Y1508" s="51" t="b">
        <v>0</v>
      </c>
      <c r="Z1508" s="51" t="b">
        <v>0</v>
      </c>
      <c r="AA1508" s="68"/>
      <c r="AB1508" s="52"/>
      <c r="AC1508" s="52"/>
      <c r="AD1508" s="52"/>
      <c r="AE1508" s="56" t="s">
        <v>607</v>
      </c>
      <c r="AF1508" s="56" t="s">
        <v>607</v>
      </c>
    </row>
    <row r="1509">
      <c r="A1509" s="52" t="s">
        <v>4797</v>
      </c>
      <c r="B1509" s="52" t="s">
        <v>607</v>
      </c>
      <c r="C1509" s="52" t="s">
        <v>607</v>
      </c>
      <c r="D1509" s="65" t="s">
        <v>607</v>
      </c>
      <c r="E1509" s="65" t="s">
        <v>607</v>
      </c>
      <c r="F1509" s="65" t="s">
        <v>607</v>
      </c>
      <c r="G1509" s="65" t="s">
        <v>607</v>
      </c>
      <c r="H1509" s="52" t="s">
        <v>607</v>
      </c>
      <c r="I1509" s="52" t="s">
        <v>607</v>
      </c>
      <c r="J1509" s="52" t="s">
        <v>607</v>
      </c>
      <c r="K1509" s="52" t="s">
        <v>607</v>
      </c>
      <c r="L1509" s="52" t="s">
        <v>607</v>
      </c>
      <c r="M1509" s="52" t="s">
        <v>607</v>
      </c>
      <c r="N1509" s="52" t="s">
        <v>607</v>
      </c>
      <c r="O1509" s="52"/>
      <c r="P1509" s="52"/>
      <c r="Q1509" s="52"/>
      <c r="R1509" s="51" t="b">
        <v>0</v>
      </c>
      <c r="S1509" s="51"/>
      <c r="T1509" s="52"/>
      <c r="U1509" s="51" t="b">
        <v>0</v>
      </c>
      <c r="V1509" s="51" t="b">
        <v>0</v>
      </c>
      <c r="W1509" s="51" t="b">
        <v>0</v>
      </c>
      <c r="X1509" s="51" t="b">
        <v>0</v>
      </c>
      <c r="Y1509" s="51" t="b">
        <v>0</v>
      </c>
      <c r="Z1509" s="51" t="b">
        <v>0</v>
      </c>
      <c r="AA1509" s="68"/>
      <c r="AB1509" s="52"/>
      <c r="AC1509" s="52"/>
      <c r="AD1509" s="52"/>
      <c r="AE1509" s="56" t="s">
        <v>607</v>
      </c>
      <c r="AF1509" s="56" t="s">
        <v>607</v>
      </c>
    </row>
    <row r="1510">
      <c r="A1510" s="52" t="s">
        <v>4798</v>
      </c>
      <c r="B1510" s="52" t="s">
        <v>607</v>
      </c>
      <c r="C1510" s="52" t="s">
        <v>607</v>
      </c>
      <c r="D1510" s="65" t="s">
        <v>607</v>
      </c>
      <c r="E1510" s="65" t="s">
        <v>607</v>
      </c>
      <c r="F1510" s="65" t="s">
        <v>607</v>
      </c>
      <c r="G1510" s="65" t="s">
        <v>607</v>
      </c>
      <c r="H1510" s="52" t="s">
        <v>607</v>
      </c>
      <c r="I1510" s="52" t="s">
        <v>607</v>
      </c>
      <c r="J1510" s="52" t="s">
        <v>607</v>
      </c>
      <c r="K1510" s="52" t="s">
        <v>607</v>
      </c>
      <c r="L1510" s="52" t="s">
        <v>607</v>
      </c>
      <c r="M1510" s="52" t="s">
        <v>607</v>
      </c>
      <c r="N1510" s="52" t="s">
        <v>607</v>
      </c>
      <c r="O1510" s="52"/>
      <c r="P1510" s="52"/>
      <c r="Q1510" s="52"/>
      <c r="R1510" s="51" t="b">
        <v>0</v>
      </c>
      <c r="S1510" s="51"/>
      <c r="T1510" s="52"/>
      <c r="U1510" s="51" t="b">
        <v>0</v>
      </c>
      <c r="V1510" s="51" t="b">
        <v>0</v>
      </c>
      <c r="W1510" s="51" t="b">
        <v>0</v>
      </c>
      <c r="X1510" s="51" t="b">
        <v>0</v>
      </c>
      <c r="Y1510" s="51" t="b">
        <v>0</v>
      </c>
      <c r="Z1510" s="51" t="b">
        <v>0</v>
      </c>
      <c r="AA1510" s="68"/>
      <c r="AB1510" s="52"/>
      <c r="AC1510" s="52"/>
      <c r="AD1510" s="52"/>
      <c r="AE1510" s="56" t="s">
        <v>607</v>
      </c>
      <c r="AF1510" s="56" t="s">
        <v>607</v>
      </c>
    </row>
    <row r="1511">
      <c r="A1511" s="52" t="s">
        <v>4799</v>
      </c>
      <c r="B1511" s="52" t="s">
        <v>19</v>
      </c>
      <c r="C1511" s="52" t="s">
        <v>66</v>
      </c>
      <c r="D1511" s="65">
        <v>0.6771990740740741</v>
      </c>
      <c r="E1511" s="65">
        <v>1.7361111111111112E-4</v>
      </c>
      <c r="F1511" s="65">
        <v>0.6773726851851852</v>
      </c>
      <c r="G1511" s="65" t="s">
        <v>210</v>
      </c>
      <c r="H1511" s="52" t="s">
        <v>77</v>
      </c>
      <c r="I1511" s="52" t="s">
        <v>1156</v>
      </c>
      <c r="J1511" s="52"/>
      <c r="K1511" s="52"/>
      <c r="L1511" s="52"/>
      <c r="M1511" s="52"/>
      <c r="N1511" s="52"/>
      <c r="O1511" s="52"/>
      <c r="P1511" s="52"/>
      <c r="Q1511" s="52"/>
      <c r="R1511" s="51" t="b">
        <v>0</v>
      </c>
      <c r="S1511" s="51"/>
      <c r="T1511" s="52"/>
      <c r="U1511" s="51" t="b">
        <v>0</v>
      </c>
      <c r="V1511" s="51" t="b">
        <v>0</v>
      </c>
      <c r="W1511" s="51" t="b">
        <v>0</v>
      </c>
      <c r="X1511" s="51" t="b">
        <v>0</v>
      </c>
      <c r="Y1511" s="51" t="b">
        <v>0</v>
      </c>
      <c r="Z1511" s="51" t="b">
        <v>0</v>
      </c>
      <c r="AA1511" s="68"/>
      <c r="AB1511" s="52"/>
      <c r="AC1511" s="52"/>
      <c r="AD1511" s="52"/>
      <c r="AE1511" s="56"/>
      <c r="AF1511" s="56" t="s">
        <v>2004</v>
      </c>
    </row>
    <row r="1512">
      <c r="A1512" s="52" t="s">
        <v>4800</v>
      </c>
      <c r="B1512" s="52" t="s">
        <v>607</v>
      </c>
      <c r="C1512" s="52" t="s">
        <v>607</v>
      </c>
      <c r="D1512" s="65" t="s">
        <v>607</v>
      </c>
      <c r="E1512" s="65" t="s">
        <v>607</v>
      </c>
      <c r="F1512" s="65" t="s">
        <v>607</v>
      </c>
      <c r="G1512" s="65" t="s">
        <v>607</v>
      </c>
      <c r="H1512" s="52" t="s">
        <v>607</v>
      </c>
      <c r="I1512" s="52" t="s">
        <v>607</v>
      </c>
      <c r="J1512" s="52" t="s">
        <v>607</v>
      </c>
      <c r="K1512" s="52" t="s">
        <v>607</v>
      </c>
      <c r="L1512" s="52" t="s">
        <v>607</v>
      </c>
      <c r="M1512" s="52" t="s">
        <v>607</v>
      </c>
      <c r="N1512" s="52" t="s">
        <v>607</v>
      </c>
      <c r="O1512" s="52"/>
      <c r="P1512" s="52"/>
      <c r="Q1512" s="52"/>
      <c r="R1512" s="51" t="b">
        <v>0</v>
      </c>
      <c r="S1512" s="51"/>
      <c r="T1512" s="52"/>
      <c r="U1512" s="51" t="b">
        <v>0</v>
      </c>
      <c r="V1512" s="51" t="b">
        <v>0</v>
      </c>
      <c r="W1512" s="51" t="b">
        <v>0</v>
      </c>
      <c r="X1512" s="51" t="b">
        <v>0</v>
      </c>
      <c r="Y1512" s="51" t="b">
        <v>0</v>
      </c>
      <c r="Z1512" s="51" t="b">
        <v>0</v>
      </c>
      <c r="AA1512" s="68"/>
      <c r="AB1512" s="52"/>
      <c r="AC1512" s="52"/>
      <c r="AD1512" s="52"/>
      <c r="AE1512" s="56" t="s">
        <v>607</v>
      </c>
      <c r="AF1512" s="56" t="s">
        <v>607</v>
      </c>
    </row>
    <row r="1513">
      <c r="A1513" s="52" t="s">
        <v>4801</v>
      </c>
      <c r="B1513" s="52" t="s">
        <v>19</v>
      </c>
      <c r="C1513" s="52" t="s">
        <v>66</v>
      </c>
      <c r="D1513" s="65">
        <v>0.6666666666666666</v>
      </c>
      <c r="E1513" s="65">
        <v>1.7361111111111112E-4</v>
      </c>
      <c r="F1513" s="65">
        <v>0.6668402777777778</v>
      </c>
      <c r="G1513" s="65" t="s">
        <v>210</v>
      </c>
      <c r="H1513" s="52" t="s">
        <v>77</v>
      </c>
      <c r="I1513" s="52" t="s">
        <v>1149</v>
      </c>
      <c r="J1513" s="52"/>
      <c r="K1513" s="52"/>
      <c r="L1513" s="52"/>
      <c r="M1513" s="52"/>
      <c r="N1513" s="52"/>
      <c r="O1513" s="52"/>
      <c r="P1513" s="52"/>
      <c r="Q1513" s="52"/>
      <c r="R1513" s="51" t="b">
        <v>0</v>
      </c>
      <c r="S1513" s="51"/>
      <c r="T1513" s="52"/>
      <c r="U1513" s="51" t="b">
        <v>0</v>
      </c>
      <c r="V1513" s="51" t="b">
        <v>0</v>
      </c>
      <c r="W1513" s="51" t="b">
        <v>0</v>
      </c>
      <c r="X1513" s="51" t="b">
        <v>0</v>
      </c>
      <c r="Y1513" s="51" t="b">
        <v>0</v>
      </c>
      <c r="Z1513" s="51" t="b">
        <v>0</v>
      </c>
      <c r="AA1513" s="68"/>
      <c r="AB1513" s="52"/>
      <c r="AC1513" s="52"/>
      <c r="AD1513" s="52"/>
      <c r="AE1513" s="56"/>
      <c r="AF1513" s="56" t="s">
        <v>2004</v>
      </c>
    </row>
    <row r="1514">
      <c r="A1514" s="52" t="s">
        <v>4802</v>
      </c>
      <c r="B1514" s="52" t="s">
        <v>14</v>
      </c>
      <c r="C1514" s="52" t="s">
        <v>221</v>
      </c>
      <c r="D1514" s="65">
        <v>0.47303240740740765</v>
      </c>
      <c r="E1514" s="65">
        <v>2.314814814814815E-4</v>
      </c>
      <c r="F1514" s="65">
        <v>0.47326388888888915</v>
      </c>
      <c r="G1514" s="65"/>
      <c r="H1514" s="52" t="s">
        <v>81</v>
      </c>
      <c r="I1514" s="52" t="s">
        <v>91</v>
      </c>
      <c r="J1514" s="52" t="s">
        <v>128</v>
      </c>
      <c r="K1514" s="52"/>
      <c r="L1514" s="52"/>
      <c r="M1514" s="52"/>
      <c r="N1514" s="52" t="s">
        <v>70</v>
      </c>
      <c r="O1514" s="52"/>
      <c r="P1514" s="52"/>
      <c r="Q1514" s="52"/>
      <c r="R1514" s="51" t="b">
        <v>0</v>
      </c>
      <c r="S1514" s="239"/>
      <c r="T1514" s="52"/>
      <c r="U1514" s="51" t="b">
        <v>0</v>
      </c>
      <c r="V1514" s="51" t="b">
        <v>0</v>
      </c>
      <c r="W1514" s="51" t="b">
        <v>0</v>
      </c>
      <c r="X1514" s="51" t="b">
        <v>0</v>
      </c>
      <c r="Y1514" s="51" t="b">
        <v>0</v>
      </c>
      <c r="Z1514" s="51" t="b">
        <v>0</v>
      </c>
      <c r="AA1514" s="68"/>
      <c r="AB1514" s="52"/>
      <c r="AC1514" s="52"/>
      <c r="AD1514" s="52"/>
      <c r="AE1514" s="56"/>
      <c r="AF1514" s="56"/>
    </row>
    <row r="1515">
      <c r="A1515" s="52" t="s">
        <v>4803</v>
      </c>
      <c r="B1515" s="52" t="s">
        <v>607</v>
      </c>
      <c r="C1515" s="52" t="s">
        <v>607</v>
      </c>
      <c r="D1515" s="65" t="s">
        <v>607</v>
      </c>
      <c r="E1515" s="65" t="s">
        <v>607</v>
      </c>
      <c r="F1515" s="65" t="s">
        <v>607</v>
      </c>
      <c r="G1515" s="65" t="s">
        <v>607</v>
      </c>
      <c r="H1515" s="52" t="s">
        <v>607</v>
      </c>
      <c r="I1515" s="52" t="s">
        <v>607</v>
      </c>
      <c r="J1515" s="52" t="s">
        <v>607</v>
      </c>
      <c r="K1515" s="52" t="s">
        <v>607</v>
      </c>
      <c r="L1515" s="52" t="s">
        <v>607</v>
      </c>
      <c r="M1515" s="52" t="s">
        <v>607</v>
      </c>
      <c r="N1515" s="52" t="s">
        <v>607</v>
      </c>
      <c r="O1515" s="52"/>
      <c r="P1515" s="52"/>
      <c r="Q1515" s="52"/>
      <c r="R1515" s="51" t="b">
        <v>0</v>
      </c>
      <c r="S1515" s="239"/>
      <c r="T1515" s="52"/>
      <c r="U1515" s="51" t="b">
        <v>0</v>
      </c>
      <c r="V1515" s="51" t="b">
        <v>0</v>
      </c>
      <c r="W1515" s="51" t="b">
        <v>0</v>
      </c>
      <c r="X1515" s="51" t="b">
        <v>0</v>
      </c>
      <c r="Y1515" s="51" t="b">
        <v>0</v>
      </c>
      <c r="Z1515" s="51" t="b">
        <v>0</v>
      </c>
      <c r="AA1515" s="68"/>
      <c r="AB1515" s="52"/>
      <c r="AC1515" s="52"/>
      <c r="AD1515" s="52"/>
      <c r="AE1515" s="56" t="s">
        <v>607</v>
      </c>
      <c r="AF1515" s="56" t="s">
        <v>607</v>
      </c>
    </row>
    <row r="1516">
      <c r="A1516" s="52" t="s">
        <v>4804</v>
      </c>
      <c r="B1516" s="52" t="s">
        <v>607</v>
      </c>
      <c r="C1516" s="52" t="s">
        <v>607</v>
      </c>
      <c r="D1516" s="65" t="s">
        <v>607</v>
      </c>
      <c r="E1516" s="65" t="s">
        <v>607</v>
      </c>
      <c r="F1516" s="65" t="s">
        <v>607</v>
      </c>
      <c r="G1516" s="65" t="s">
        <v>607</v>
      </c>
      <c r="H1516" s="52" t="s">
        <v>607</v>
      </c>
      <c r="I1516" s="52" t="s">
        <v>607</v>
      </c>
      <c r="J1516" s="52" t="s">
        <v>607</v>
      </c>
      <c r="K1516" s="52" t="s">
        <v>607</v>
      </c>
      <c r="L1516" s="52" t="s">
        <v>607</v>
      </c>
      <c r="M1516" s="52" t="s">
        <v>607</v>
      </c>
      <c r="N1516" s="52" t="s">
        <v>607</v>
      </c>
      <c r="O1516" s="52"/>
      <c r="P1516" s="52"/>
      <c r="Q1516" s="52"/>
      <c r="R1516" s="51" t="b">
        <v>0</v>
      </c>
      <c r="S1516" s="51"/>
      <c r="T1516" s="52"/>
      <c r="U1516" s="51" t="b">
        <v>0</v>
      </c>
      <c r="V1516" s="51" t="b">
        <v>0</v>
      </c>
      <c r="W1516" s="51" t="b">
        <v>0</v>
      </c>
      <c r="X1516" s="51" t="b">
        <v>0</v>
      </c>
      <c r="Y1516" s="51" t="b">
        <v>0</v>
      </c>
      <c r="Z1516" s="51" t="b">
        <v>0</v>
      </c>
      <c r="AA1516" s="68"/>
      <c r="AB1516" s="52"/>
      <c r="AC1516" s="52"/>
      <c r="AD1516" s="52"/>
      <c r="AE1516" s="56" t="s">
        <v>607</v>
      </c>
      <c r="AF1516" s="56" t="s">
        <v>607</v>
      </c>
    </row>
    <row r="1517">
      <c r="A1517" s="52" t="s">
        <v>4805</v>
      </c>
      <c r="B1517" s="52" t="s">
        <v>14</v>
      </c>
      <c r="C1517" s="52" t="s">
        <v>221</v>
      </c>
      <c r="D1517" s="65"/>
      <c r="E1517" s="65"/>
      <c r="F1517" s="65"/>
      <c r="G1517" s="65"/>
      <c r="H1517" s="52"/>
      <c r="I1517" s="52"/>
      <c r="J1517" s="52"/>
      <c r="K1517" s="52"/>
      <c r="L1517" s="52"/>
      <c r="M1517" s="52"/>
      <c r="N1517" s="52"/>
      <c r="O1517" s="52"/>
      <c r="P1517" s="52"/>
      <c r="Q1517" s="52"/>
      <c r="R1517" s="51" t="b">
        <v>0</v>
      </c>
      <c r="S1517" s="51"/>
      <c r="T1517" s="52"/>
      <c r="U1517" s="51" t="b">
        <v>0</v>
      </c>
      <c r="V1517" s="51" t="b">
        <v>0</v>
      </c>
      <c r="W1517" s="51" t="b">
        <v>0</v>
      </c>
      <c r="X1517" s="51" t="b">
        <v>0</v>
      </c>
      <c r="Y1517" s="51" t="b">
        <v>0</v>
      </c>
      <c r="Z1517" s="51" t="b">
        <v>0</v>
      </c>
      <c r="AA1517" s="68"/>
      <c r="AB1517" s="52"/>
      <c r="AC1517" s="52"/>
      <c r="AD1517" s="52"/>
      <c r="AE1517" s="56"/>
      <c r="AF1517" s="56"/>
    </row>
    <row r="1518">
      <c r="A1518" s="52" t="s">
        <v>4806</v>
      </c>
      <c r="B1518" s="52" t="s">
        <v>14</v>
      </c>
      <c r="C1518" s="52" t="s">
        <v>221</v>
      </c>
      <c r="D1518" s="65"/>
      <c r="E1518" s="65"/>
      <c r="F1518" s="65"/>
      <c r="G1518" s="65"/>
      <c r="H1518" s="52"/>
      <c r="I1518" s="52"/>
      <c r="J1518" s="52"/>
      <c r="K1518" s="52"/>
      <c r="L1518" s="52"/>
      <c r="M1518" s="52"/>
      <c r="N1518" s="52"/>
      <c r="O1518" s="52"/>
      <c r="P1518" s="52"/>
      <c r="Q1518" s="52"/>
      <c r="R1518" s="51" t="b">
        <v>0</v>
      </c>
      <c r="S1518" s="51"/>
      <c r="T1518" s="52"/>
      <c r="U1518" s="51" t="b">
        <v>0</v>
      </c>
      <c r="V1518" s="51" t="b">
        <v>0</v>
      </c>
      <c r="W1518" s="51" t="b">
        <v>0</v>
      </c>
      <c r="X1518" s="51" t="b">
        <v>0</v>
      </c>
      <c r="Y1518" s="51" t="b">
        <v>0</v>
      </c>
      <c r="Z1518" s="51" t="b">
        <v>0</v>
      </c>
      <c r="AA1518" s="68"/>
      <c r="AB1518" s="52"/>
      <c r="AC1518" s="52"/>
      <c r="AD1518" s="52"/>
      <c r="AE1518" s="56"/>
      <c r="AF1518" s="56"/>
    </row>
    <row r="1519">
      <c r="A1519" s="52" t="s">
        <v>4807</v>
      </c>
      <c r="B1519" s="52" t="s">
        <v>607</v>
      </c>
      <c r="C1519" s="52" t="s">
        <v>607</v>
      </c>
      <c r="D1519" s="65" t="s">
        <v>607</v>
      </c>
      <c r="E1519" s="65" t="s">
        <v>607</v>
      </c>
      <c r="F1519" s="65" t="s">
        <v>607</v>
      </c>
      <c r="G1519" s="65" t="s">
        <v>607</v>
      </c>
      <c r="H1519" s="52" t="s">
        <v>607</v>
      </c>
      <c r="I1519" s="52" t="s">
        <v>607</v>
      </c>
      <c r="J1519" s="52" t="s">
        <v>607</v>
      </c>
      <c r="K1519" s="52" t="s">
        <v>607</v>
      </c>
      <c r="L1519" s="52" t="s">
        <v>607</v>
      </c>
      <c r="M1519" s="52" t="s">
        <v>607</v>
      </c>
      <c r="N1519" s="52" t="s">
        <v>607</v>
      </c>
      <c r="O1519" s="52"/>
      <c r="P1519" s="52"/>
      <c r="Q1519" s="52"/>
      <c r="R1519" s="51" t="b">
        <v>0</v>
      </c>
      <c r="S1519" s="51"/>
      <c r="T1519" s="52"/>
      <c r="U1519" s="51" t="b">
        <v>0</v>
      </c>
      <c r="V1519" s="51" t="b">
        <v>0</v>
      </c>
      <c r="W1519" s="51" t="b">
        <v>0</v>
      </c>
      <c r="X1519" s="51" t="b">
        <v>0</v>
      </c>
      <c r="Y1519" s="51" t="b">
        <v>0</v>
      </c>
      <c r="Z1519" s="51" t="b">
        <v>0</v>
      </c>
      <c r="AA1519" s="68"/>
      <c r="AB1519" s="52"/>
      <c r="AC1519" s="52"/>
      <c r="AD1519" s="52"/>
      <c r="AE1519" s="56" t="s">
        <v>607</v>
      </c>
      <c r="AF1519" s="56" t="s">
        <v>607</v>
      </c>
    </row>
    <row r="1520">
      <c r="A1520" s="52" t="s">
        <v>4808</v>
      </c>
      <c r="B1520" s="52" t="s">
        <v>607</v>
      </c>
      <c r="C1520" s="52" t="s">
        <v>607</v>
      </c>
      <c r="D1520" s="65" t="s">
        <v>607</v>
      </c>
      <c r="E1520" s="65" t="s">
        <v>607</v>
      </c>
      <c r="F1520" s="65" t="s">
        <v>607</v>
      </c>
      <c r="G1520" s="65" t="s">
        <v>607</v>
      </c>
      <c r="H1520" s="52" t="s">
        <v>607</v>
      </c>
      <c r="I1520" s="52" t="s">
        <v>607</v>
      </c>
      <c r="J1520" s="52" t="s">
        <v>607</v>
      </c>
      <c r="K1520" s="52" t="s">
        <v>607</v>
      </c>
      <c r="L1520" s="52" t="s">
        <v>607</v>
      </c>
      <c r="M1520" s="52" t="s">
        <v>607</v>
      </c>
      <c r="N1520" s="52" t="s">
        <v>607</v>
      </c>
      <c r="O1520" s="52"/>
      <c r="P1520" s="52"/>
      <c r="Q1520" s="52"/>
      <c r="R1520" s="51" t="b">
        <v>0</v>
      </c>
      <c r="S1520" s="51"/>
      <c r="T1520" s="52"/>
      <c r="U1520" s="51" t="b">
        <v>0</v>
      </c>
      <c r="V1520" s="51" t="b">
        <v>0</v>
      </c>
      <c r="W1520" s="51" t="b">
        <v>0</v>
      </c>
      <c r="X1520" s="51" t="b">
        <v>0</v>
      </c>
      <c r="Y1520" s="51" t="b">
        <v>0</v>
      </c>
      <c r="Z1520" s="51" t="b">
        <v>0</v>
      </c>
      <c r="AA1520" s="68"/>
      <c r="AB1520" s="52"/>
      <c r="AC1520" s="52"/>
      <c r="AD1520" s="52"/>
      <c r="AE1520" s="56" t="s">
        <v>607</v>
      </c>
      <c r="AF1520" s="56" t="s">
        <v>607</v>
      </c>
    </row>
    <row r="1521">
      <c r="A1521" s="52" t="s">
        <v>4809</v>
      </c>
      <c r="B1521" s="52" t="s">
        <v>607</v>
      </c>
      <c r="C1521" s="52" t="s">
        <v>607</v>
      </c>
      <c r="D1521" s="65" t="s">
        <v>607</v>
      </c>
      <c r="E1521" s="65" t="s">
        <v>607</v>
      </c>
      <c r="F1521" s="65" t="s">
        <v>607</v>
      </c>
      <c r="G1521" s="65" t="s">
        <v>607</v>
      </c>
      <c r="H1521" s="52" t="s">
        <v>607</v>
      </c>
      <c r="I1521" s="52" t="s">
        <v>607</v>
      </c>
      <c r="J1521" s="52" t="s">
        <v>607</v>
      </c>
      <c r="K1521" s="52" t="s">
        <v>607</v>
      </c>
      <c r="L1521" s="52" t="s">
        <v>607</v>
      </c>
      <c r="M1521" s="52" t="s">
        <v>607</v>
      </c>
      <c r="N1521" s="52" t="s">
        <v>607</v>
      </c>
      <c r="O1521" s="52"/>
      <c r="P1521" s="52"/>
      <c r="Q1521" s="52"/>
      <c r="R1521" s="51" t="b">
        <v>0</v>
      </c>
      <c r="S1521" s="51"/>
      <c r="T1521" s="52"/>
      <c r="U1521" s="51" t="b">
        <v>0</v>
      </c>
      <c r="V1521" s="51" t="b">
        <v>0</v>
      </c>
      <c r="W1521" s="51" t="b">
        <v>0</v>
      </c>
      <c r="X1521" s="51" t="b">
        <v>0</v>
      </c>
      <c r="Y1521" s="51" t="b">
        <v>0</v>
      </c>
      <c r="Z1521" s="51" t="b">
        <v>0</v>
      </c>
      <c r="AA1521" s="68"/>
      <c r="AB1521" s="52"/>
      <c r="AC1521" s="52"/>
      <c r="AD1521" s="52"/>
      <c r="AE1521" s="56" t="s">
        <v>607</v>
      </c>
      <c r="AF1521" s="56" t="s">
        <v>607</v>
      </c>
    </row>
    <row r="1522">
      <c r="A1522" s="52" t="s">
        <v>4810</v>
      </c>
      <c r="B1522" s="52" t="s">
        <v>14</v>
      </c>
      <c r="C1522" s="52" t="s">
        <v>221</v>
      </c>
      <c r="D1522" s="65"/>
      <c r="E1522" s="65"/>
      <c r="F1522" s="65"/>
      <c r="G1522" s="65"/>
      <c r="H1522" s="52"/>
      <c r="I1522" s="52"/>
      <c r="J1522" s="52"/>
      <c r="K1522" s="52"/>
      <c r="L1522" s="52"/>
      <c r="M1522" s="52"/>
      <c r="N1522" s="52"/>
      <c r="O1522" s="52"/>
      <c r="P1522" s="52"/>
      <c r="Q1522" s="52"/>
      <c r="R1522" s="51" t="b">
        <v>0</v>
      </c>
      <c r="S1522" s="51"/>
      <c r="T1522" s="52"/>
      <c r="U1522" s="51" t="b">
        <v>0</v>
      </c>
      <c r="V1522" s="51" t="b">
        <v>0</v>
      </c>
      <c r="W1522" s="51" t="b">
        <v>0</v>
      </c>
      <c r="X1522" s="51" t="b">
        <v>0</v>
      </c>
      <c r="Y1522" s="51" t="b">
        <v>0</v>
      </c>
      <c r="Z1522" s="51" t="b">
        <v>0</v>
      </c>
      <c r="AA1522" s="68"/>
      <c r="AB1522" s="52"/>
      <c r="AC1522" s="52"/>
      <c r="AD1522" s="52"/>
      <c r="AE1522" s="56"/>
      <c r="AF1522" s="56"/>
    </row>
    <row r="1523">
      <c r="A1523" s="52" t="s">
        <v>4811</v>
      </c>
      <c r="B1523" s="52" t="s">
        <v>14</v>
      </c>
      <c r="C1523" s="52" t="s">
        <v>221</v>
      </c>
      <c r="D1523" s="65">
        <v>0.539328703703704</v>
      </c>
      <c r="E1523" s="65">
        <v>0.0010416666666666667</v>
      </c>
      <c r="F1523" s="65">
        <v>0.5403703703703707</v>
      </c>
      <c r="G1523" s="65"/>
      <c r="H1523" s="52" t="s">
        <v>126</v>
      </c>
      <c r="I1523" s="52"/>
      <c r="J1523" s="52"/>
      <c r="K1523" s="52"/>
      <c r="L1523" s="52"/>
      <c r="M1523" s="52"/>
      <c r="N1523" s="52"/>
      <c r="O1523" s="52"/>
      <c r="P1523" s="52"/>
      <c r="Q1523" s="52"/>
      <c r="R1523" s="51" t="b">
        <v>0</v>
      </c>
      <c r="S1523" s="51"/>
      <c r="T1523" s="52"/>
      <c r="U1523" s="51" t="b">
        <v>0</v>
      </c>
      <c r="V1523" s="51" t="b">
        <v>0</v>
      </c>
      <c r="W1523" s="51" t="b">
        <v>0</v>
      </c>
      <c r="X1523" s="51" t="b">
        <v>0</v>
      </c>
      <c r="Y1523" s="51" t="b">
        <v>0</v>
      </c>
      <c r="Z1523" s="51" t="b">
        <v>0</v>
      </c>
      <c r="AA1523" s="68"/>
      <c r="AB1523" s="52"/>
      <c r="AC1523" s="52"/>
      <c r="AD1523" s="52"/>
      <c r="AE1523" s="56"/>
      <c r="AF1523" s="56"/>
    </row>
    <row r="1524">
      <c r="A1524" s="52" t="s">
        <v>4812</v>
      </c>
      <c r="B1524" s="52" t="s">
        <v>14</v>
      </c>
      <c r="C1524" s="52" t="s">
        <v>221</v>
      </c>
      <c r="D1524" s="65"/>
      <c r="E1524" s="65"/>
      <c r="F1524" s="65"/>
      <c r="G1524" s="65"/>
      <c r="H1524" s="52"/>
      <c r="I1524" s="52"/>
      <c r="J1524" s="52"/>
      <c r="K1524" s="52"/>
      <c r="L1524" s="52"/>
      <c r="M1524" s="52"/>
      <c r="N1524" s="52"/>
      <c r="O1524" s="52"/>
      <c r="P1524" s="52"/>
      <c r="Q1524" s="52"/>
      <c r="R1524" s="51" t="b">
        <v>0</v>
      </c>
      <c r="S1524" s="51"/>
      <c r="T1524" s="52"/>
      <c r="U1524" s="51" t="b">
        <v>0</v>
      </c>
      <c r="V1524" s="51" t="b">
        <v>0</v>
      </c>
      <c r="W1524" s="51" t="b">
        <v>0</v>
      </c>
      <c r="X1524" s="51" t="b">
        <v>0</v>
      </c>
      <c r="Y1524" s="51" t="b">
        <v>0</v>
      </c>
      <c r="Z1524" s="51" t="b">
        <v>0</v>
      </c>
      <c r="AA1524" s="68"/>
      <c r="AB1524" s="52"/>
      <c r="AC1524" s="52"/>
      <c r="AD1524" s="52"/>
      <c r="AE1524" s="56"/>
      <c r="AF1524" s="56"/>
    </row>
    <row r="1525">
      <c r="A1525" s="52" t="s">
        <v>4813</v>
      </c>
      <c r="B1525" s="52" t="s">
        <v>607</v>
      </c>
      <c r="C1525" s="52" t="s">
        <v>607</v>
      </c>
      <c r="D1525" s="65" t="s">
        <v>607</v>
      </c>
      <c r="E1525" s="65" t="s">
        <v>607</v>
      </c>
      <c r="F1525" s="65" t="s">
        <v>607</v>
      </c>
      <c r="G1525" s="65" t="s">
        <v>607</v>
      </c>
      <c r="H1525" s="52" t="s">
        <v>607</v>
      </c>
      <c r="I1525" s="52" t="s">
        <v>607</v>
      </c>
      <c r="J1525" s="52" t="s">
        <v>607</v>
      </c>
      <c r="K1525" s="52" t="s">
        <v>607</v>
      </c>
      <c r="L1525" s="52" t="s">
        <v>607</v>
      </c>
      <c r="M1525" s="52" t="s">
        <v>607</v>
      </c>
      <c r="N1525" s="52" t="s">
        <v>607</v>
      </c>
      <c r="O1525" s="52"/>
      <c r="P1525" s="52"/>
      <c r="Q1525" s="52"/>
      <c r="R1525" s="51" t="b">
        <v>0</v>
      </c>
      <c r="S1525" s="51"/>
      <c r="T1525" s="52"/>
      <c r="U1525" s="51" t="b">
        <v>0</v>
      </c>
      <c r="V1525" s="51" t="b">
        <v>0</v>
      </c>
      <c r="W1525" s="51" t="b">
        <v>0</v>
      </c>
      <c r="X1525" s="51" t="b">
        <v>0</v>
      </c>
      <c r="Y1525" s="51" t="b">
        <v>0</v>
      </c>
      <c r="Z1525" s="51" t="b">
        <v>0</v>
      </c>
      <c r="AA1525" s="68"/>
      <c r="AB1525" s="52"/>
      <c r="AC1525" s="52"/>
      <c r="AD1525" s="52"/>
      <c r="AE1525" s="56" t="s">
        <v>607</v>
      </c>
      <c r="AF1525" s="56" t="s">
        <v>607</v>
      </c>
    </row>
    <row r="1526">
      <c r="A1526" s="52" t="s">
        <v>4814</v>
      </c>
      <c r="B1526" s="52" t="s">
        <v>607</v>
      </c>
      <c r="C1526" s="52" t="s">
        <v>607</v>
      </c>
      <c r="D1526" s="65" t="s">
        <v>607</v>
      </c>
      <c r="E1526" s="65" t="s">
        <v>607</v>
      </c>
      <c r="F1526" s="65" t="s">
        <v>607</v>
      </c>
      <c r="G1526" s="65" t="s">
        <v>607</v>
      </c>
      <c r="H1526" s="52" t="s">
        <v>607</v>
      </c>
      <c r="I1526" s="52" t="s">
        <v>607</v>
      </c>
      <c r="J1526" s="52" t="s">
        <v>607</v>
      </c>
      <c r="K1526" s="52" t="s">
        <v>607</v>
      </c>
      <c r="L1526" s="52" t="s">
        <v>607</v>
      </c>
      <c r="M1526" s="52" t="s">
        <v>607</v>
      </c>
      <c r="N1526" s="52" t="s">
        <v>607</v>
      </c>
      <c r="O1526" s="52"/>
      <c r="P1526" s="52"/>
      <c r="Q1526" s="52"/>
      <c r="R1526" s="51" t="b">
        <v>0</v>
      </c>
      <c r="S1526" s="51"/>
      <c r="T1526" s="52"/>
      <c r="U1526" s="51" t="b">
        <v>0</v>
      </c>
      <c r="V1526" s="51" t="b">
        <v>0</v>
      </c>
      <c r="W1526" s="51" t="b">
        <v>0</v>
      </c>
      <c r="X1526" s="51" t="b">
        <v>0</v>
      </c>
      <c r="Y1526" s="51" t="b">
        <v>0</v>
      </c>
      <c r="Z1526" s="51" t="b">
        <v>0</v>
      </c>
      <c r="AA1526" s="68"/>
      <c r="AB1526" s="52"/>
      <c r="AC1526" s="52"/>
      <c r="AD1526" s="52"/>
      <c r="AE1526" s="56" t="s">
        <v>607</v>
      </c>
      <c r="AF1526" s="56" t="s">
        <v>607</v>
      </c>
    </row>
    <row r="1527">
      <c r="A1527" s="52" t="s">
        <v>4815</v>
      </c>
      <c r="B1527" s="52" t="s">
        <v>607</v>
      </c>
      <c r="C1527" s="52" t="s">
        <v>607</v>
      </c>
      <c r="D1527" s="65" t="s">
        <v>607</v>
      </c>
      <c r="E1527" s="65" t="s">
        <v>607</v>
      </c>
      <c r="F1527" s="65" t="s">
        <v>607</v>
      </c>
      <c r="G1527" s="65" t="s">
        <v>607</v>
      </c>
      <c r="H1527" s="52" t="s">
        <v>607</v>
      </c>
      <c r="I1527" s="52" t="s">
        <v>607</v>
      </c>
      <c r="J1527" s="52" t="s">
        <v>607</v>
      </c>
      <c r="K1527" s="52" t="s">
        <v>607</v>
      </c>
      <c r="L1527" s="52" t="s">
        <v>607</v>
      </c>
      <c r="M1527" s="52" t="s">
        <v>607</v>
      </c>
      <c r="N1527" s="52" t="s">
        <v>607</v>
      </c>
      <c r="O1527" s="52"/>
      <c r="P1527" s="52"/>
      <c r="Q1527" s="52"/>
      <c r="R1527" s="51" t="b">
        <v>0</v>
      </c>
      <c r="S1527" s="51"/>
      <c r="T1527" s="52"/>
      <c r="U1527" s="51" t="b">
        <v>0</v>
      </c>
      <c r="V1527" s="51" t="b">
        <v>0</v>
      </c>
      <c r="W1527" s="51" t="b">
        <v>0</v>
      </c>
      <c r="X1527" s="51" t="b">
        <v>0</v>
      </c>
      <c r="Y1527" s="51" t="b">
        <v>0</v>
      </c>
      <c r="Z1527" s="51" t="b">
        <v>0</v>
      </c>
      <c r="AA1527" s="68"/>
      <c r="AB1527" s="52"/>
      <c r="AC1527" s="52"/>
      <c r="AD1527" s="52"/>
      <c r="AE1527" s="56" t="s">
        <v>607</v>
      </c>
      <c r="AF1527" s="56" t="s">
        <v>607</v>
      </c>
    </row>
    <row r="1528">
      <c r="A1528" s="52" t="s">
        <v>4816</v>
      </c>
      <c r="B1528" s="52" t="s">
        <v>607</v>
      </c>
      <c r="C1528" s="52" t="s">
        <v>607</v>
      </c>
      <c r="D1528" s="65" t="s">
        <v>607</v>
      </c>
      <c r="E1528" s="65" t="s">
        <v>607</v>
      </c>
      <c r="F1528" s="65" t="s">
        <v>607</v>
      </c>
      <c r="G1528" s="65" t="s">
        <v>607</v>
      </c>
      <c r="H1528" s="52" t="s">
        <v>607</v>
      </c>
      <c r="I1528" s="52" t="s">
        <v>607</v>
      </c>
      <c r="J1528" s="52" t="s">
        <v>607</v>
      </c>
      <c r="K1528" s="52" t="s">
        <v>607</v>
      </c>
      <c r="L1528" s="52" t="s">
        <v>607</v>
      </c>
      <c r="M1528" s="52" t="s">
        <v>607</v>
      </c>
      <c r="N1528" s="52" t="s">
        <v>607</v>
      </c>
      <c r="O1528" s="52"/>
      <c r="P1528" s="52"/>
      <c r="Q1528" s="52"/>
      <c r="R1528" s="51" t="b">
        <v>0</v>
      </c>
      <c r="S1528" s="51"/>
      <c r="T1528" s="52"/>
      <c r="U1528" s="51" t="b">
        <v>0</v>
      </c>
      <c r="V1528" s="51" t="b">
        <v>0</v>
      </c>
      <c r="W1528" s="51" t="b">
        <v>0</v>
      </c>
      <c r="X1528" s="51" t="b">
        <v>0</v>
      </c>
      <c r="Y1528" s="51" t="b">
        <v>0</v>
      </c>
      <c r="Z1528" s="51" t="b">
        <v>0</v>
      </c>
      <c r="AA1528" s="68"/>
      <c r="AB1528" s="52"/>
      <c r="AC1528" s="52"/>
      <c r="AD1528" s="52"/>
      <c r="AE1528" s="56" t="s">
        <v>607</v>
      </c>
      <c r="AF1528" s="56" t="s">
        <v>607</v>
      </c>
    </row>
    <row r="1529">
      <c r="A1529" s="52" t="s">
        <v>4817</v>
      </c>
      <c r="B1529" s="52" t="s">
        <v>607</v>
      </c>
      <c r="C1529" s="52" t="s">
        <v>607</v>
      </c>
      <c r="D1529" s="65" t="s">
        <v>607</v>
      </c>
      <c r="E1529" s="65" t="s">
        <v>607</v>
      </c>
      <c r="F1529" s="65" t="s">
        <v>607</v>
      </c>
      <c r="G1529" s="65" t="s">
        <v>607</v>
      </c>
      <c r="H1529" s="52" t="s">
        <v>607</v>
      </c>
      <c r="I1529" s="52" t="s">
        <v>607</v>
      </c>
      <c r="J1529" s="52" t="s">
        <v>607</v>
      </c>
      <c r="K1529" s="52" t="s">
        <v>607</v>
      </c>
      <c r="L1529" s="52" t="s">
        <v>607</v>
      </c>
      <c r="M1529" s="52" t="s">
        <v>607</v>
      </c>
      <c r="N1529" s="52" t="s">
        <v>607</v>
      </c>
      <c r="O1529" s="52"/>
      <c r="P1529" s="52"/>
      <c r="Q1529" s="52"/>
      <c r="R1529" s="51" t="b">
        <v>0</v>
      </c>
      <c r="S1529" s="51"/>
      <c r="T1529" s="52"/>
      <c r="U1529" s="51" t="b">
        <v>0</v>
      </c>
      <c r="V1529" s="51" t="b">
        <v>0</v>
      </c>
      <c r="W1529" s="51" t="b">
        <v>0</v>
      </c>
      <c r="X1529" s="51" t="b">
        <v>0</v>
      </c>
      <c r="Y1529" s="51" t="b">
        <v>0</v>
      </c>
      <c r="Z1529" s="51" t="b">
        <v>0</v>
      </c>
      <c r="AA1529" s="68"/>
      <c r="AB1529" s="52"/>
      <c r="AC1529" s="52"/>
      <c r="AD1529" s="52"/>
      <c r="AE1529" s="56" t="s">
        <v>607</v>
      </c>
      <c r="AF1529" s="56" t="s">
        <v>607</v>
      </c>
    </row>
    <row r="1530">
      <c r="A1530" s="52" t="s">
        <v>4818</v>
      </c>
      <c r="B1530" s="52" t="s">
        <v>607</v>
      </c>
      <c r="C1530" s="52" t="s">
        <v>607</v>
      </c>
      <c r="D1530" s="65" t="s">
        <v>607</v>
      </c>
      <c r="E1530" s="65" t="s">
        <v>607</v>
      </c>
      <c r="F1530" s="65" t="s">
        <v>607</v>
      </c>
      <c r="G1530" s="65" t="s">
        <v>607</v>
      </c>
      <c r="H1530" s="52" t="s">
        <v>607</v>
      </c>
      <c r="I1530" s="52" t="s">
        <v>607</v>
      </c>
      <c r="J1530" s="52" t="s">
        <v>607</v>
      </c>
      <c r="K1530" s="52" t="s">
        <v>607</v>
      </c>
      <c r="L1530" s="52" t="s">
        <v>607</v>
      </c>
      <c r="M1530" s="52" t="s">
        <v>607</v>
      </c>
      <c r="N1530" s="52" t="s">
        <v>607</v>
      </c>
      <c r="O1530" s="52"/>
      <c r="P1530" s="52"/>
      <c r="Q1530" s="52"/>
      <c r="R1530" s="51" t="b">
        <v>0</v>
      </c>
      <c r="S1530" s="51"/>
      <c r="T1530" s="52"/>
      <c r="U1530" s="51" t="b">
        <v>0</v>
      </c>
      <c r="V1530" s="51" t="b">
        <v>0</v>
      </c>
      <c r="W1530" s="51" t="b">
        <v>0</v>
      </c>
      <c r="X1530" s="51" t="b">
        <v>0</v>
      </c>
      <c r="Y1530" s="51" t="b">
        <v>0</v>
      </c>
      <c r="Z1530" s="51" t="b">
        <v>0</v>
      </c>
      <c r="AA1530" s="68"/>
      <c r="AB1530" s="52"/>
      <c r="AC1530" s="52"/>
      <c r="AD1530" s="52"/>
      <c r="AE1530" s="56" t="s">
        <v>607</v>
      </c>
      <c r="AF1530" s="56" t="s">
        <v>607</v>
      </c>
    </row>
    <row r="1531">
      <c r="A1531" s="52" t="s">
        <v>4819</v>
      </c>
      <c r="B1531" s="52" t="s">
        <v>607</v>
      </c>
      <c r="C1531" s="52" t="s">
        <v>607</v>
      </c>
      <c r="D1531" s="65" t="s">
        <v>607</v>
      </c>
      <c r="E1531" s="65" t="s">
        <v>607</v>
      </c>
      <c r="F1531" s="65" t="s">
        <v>607</v>
      </c>
      <c r="G1531" s="65" t="s">
        <v>607</v>
      </c>
      <c r="H1531" s="52" t="s">
        <v>607</v>
      </c>
      <c r="I1531" s="52" t="s">
        <v>607</v>
      </c>
      <c r="J1531" s="52" t="s">
        <v>607</v>
      </c>
      <c r="K1531" s="52" t="s">
        <v>607</v>
      </c>
      <c r="L1531" s="52" t="s">
        <v>607</v>
      </c>
      <c r="M1531" s="52" t="s">
        <v>607</v>
      </c>
      <c r="N1531" s="52" t="s">
        <v>607</v>
      </c>
      <c r="O1531" s="52"/>
      <c r="P1531" s="52"/>
      <c r="Q1531" s="52"/>
      <c r="R1531" s="51" t="b">
        <v>0</v>
      </c>
      <c r="S1531" s="51"/>
      <c r="T1531" s="52"/>
      <c r="U1531" s="51" t="b">
        <v>0</v>
      </c>
      <c r="V1531" s="51" t="b">
        <v>0</v>
      </c>
      <c r="W1531" s="51" t="b">
        <v>0</v>
      </c>
      <c r="X1531" s="51" t="b">
        <v>0</v>
      </c>
      <c r="Y1531" s="51" t="b">
        <v>0</v>
      </c>
      <c r="Z1531" s="51" t="b">
        <v>0</v>
      </c>
      <c r="AA1531" s="68"/>
      <c r="AB1531" s="52"/>
      <c r="AC1531" s="52"/>
      <c r="AD1531" s="52"/>
      <c r="AE1531" s="56" t="s">
        <v>607</v>
      </c>
      <c r="AF1531" s="56" t="s">
        <v>607</v>
      </c>
    </row>
    <row r="1532">
      <c r="A1532" s="52" t="s">
        <v>4820</v>
      </c>
      <c r="B1532" s="52" t="s">
        <v>607</v>
      </c>
      <c r="C1532" s="52" t="s">
        <v>607</v>
      </c>
      <c r="D1532" s="65" t="s">
        <v>607</v>
      </c>
      <c r="E1532" s="65" t="s">
        <v>607</v>
      </c>
      <c r="F1532" s="65" t="s">
        <v>607</v>
      </c>
      <c r="G1532" s="65" t="s">
        <v>607</v>
      </c>
      <c r="H1532" s="52" t="s">
        <v>607</v>
      </c>
      <c r="I1532" s="52" t="s">
        <v>607</v>
      </c>
      <c r="J1532" s="52" t="s">
        <v>607</v>
      </c>
      <c r="K1532" s="52" t="s">
        <v>607</v>
      </c>
      <c r="L1532" s="52" t="s">
        <v>607</v>
      </c>
      <c r="M1532" s="52" t="s">
        <v>607</v>
      </c>
      <c r="N1532" s="52" t="s">
        <v>607</v>
      </c>
      <c r="O1532" s="52"/>
      <c r="P1532" s="52"/>
      <c r="Q1532" s="52"/>
      <c r="R1532" s="51" t="b">
        <v>0</v>
      </c>
      <c r="S1532" s="51"/>
      <c r="T1532" s="52"/>
      <c r="U1532" s="51" t="b">
        <v>0</v>
      </c>
      <c r="V1532" s="51" t="b">
        <v>0</v>
      </c>
      <c r="W1532" s="51" t="b">
        <v>0</v>
      </c>
      <c r="X1532" s="51" t="b">
        <v>0</v>
      </c>
      <c r="Y1532" s="51" t="b">
        <v>0</v>
      </c>
      <c r="Z1532" s="51" t="b">
        <v>0</v>
      </c>
      <c r="AA1532" s="68"/>
      <c r="AB1532" s="52"/>
      <c r="AC1532" s="52"/>
      <c r="AD1532" s="52"/>
      <c r="AE1532" s="56" t="s">
        <v>607</v>
      </c>
      <c r="AF1532" s="56" t="s">
        <v>607</v>
      </c>
    </row>
    <row r="1533">
      <c r="A1533" s="52" t="s">
        <v>4821</v>
      </c>
      <c r="B1533" s="52" t="s">
        <v>14</v>
      </c>
      <c r="C1533" s="52" t="s">
        <v>66</v>
      </c>
      <c r="D1533" s="65">
        <v>0.42673611111111115</v>
      </c>
      <c r="E1533" s="65">
        <v>2.314814814814815E-4</v>
      </c>
      <c r="F1533" s="65">
        <v>0.42696759259259265</v>
      </c>
      <c r="G1533" s="65"/>
      <c r="H1533" s="52" t="s">
        <v>81</v>
      </c>
      <c r="I1533" s="52" t="s">
        <v>82</v>
      </c>
      <c r="J1533" s="52" t="s">
        <v>73</v>
      </c>
      <c r="K1533" s="52"/>
      <c r="L1533" s="52"/>
      <c r="M1533" s="52"/>
      <c r="N1533" s="52"/>
      <c r="O1533" s="52"/>
      <c r="P1533" s="52"/>
      <c r="Q1533" s="52"/>
      <c r="R1533" s="51" t="b">
        <v>0</v>
      </c>
      <c r="S1533" s="239"/>
      <c r="T1533" s="52"/>
      <c r="U1533" s="51" t="b">
        <v>0</v>
      </c>
      <c r="V1533" s="51" t="b">
        <v>0</v>
      </c>
      <c r="W1533" s="51" t="b">
        <v>0</v>
      </c>
      <c r="X1533" s="51" t="b">
        <v>0</v>
      </c>
      <c r="Y1533" s="51" t="b">
        <v>0</v>
      </c>
      <c r="Z1533" s="51" t="b">
        <v>0</v>
      </c>
      <c r="AA1533" s="68"/>
      <c r="AB1533" s="52"/>
      <c r="AC1533" s="52"/>
      <c r="AD1533" s="52"/>
      <c r="AE1533" s="56"/>
      <c r="AF1533" s="56"/>
    </row>
    <row r="1534">
      <c r="A1534" s="52" t="s">
        <v>4822</v>
      </c>
      <c r="B1534" s="52" t="s">
        <v>607</v>
      </c>
      <c r="C1534" s="52" t="s">
        <v>607</v>
      </c>
      <c r="D1534" s="65" t="s">
        <v>607</v>
      </c>
      <c r="E1534" s="65" t="s">
        <v>607</v>
      </c>
      <c r="F1534" s="65" t="s">
        <v>607</v>
      </c>
      <c r="G1534" s="65" t="s">
        <v>607</v>
      </c>
      <c r="H1534" s="52" t="s">
        <v>607</v>
      </c>
      <c r="I1534" s="52" t="s">
        <v>607</v>
      </c>
      <c r="J1534" s="52" t="s">
        <v>607</v>
      </c>
      <c r="K1534" s="52" t="s">
        <v>607</v>
      </c>
      <c r="L1534" s="52" t="s">
        <v>607</v>
      </c>
      <c r="M1534" s="52" t="s">
        <v>607</v>
      </c>
      <c r="N1534" s="52" t="s">
        <v>607</v>
      </c>
      <c r="O1534" s="52"/>
      <c r="P1534" s="52"/>
      <c r="Q1534" s="52"/>
      <c r="R1534" s="51" t="b">
        <v>0</v>
      </c>
      <c r="S1534" s="51"/>
      <c r="T1534" s="52"/>
      <c r="U1534" s="51" t="b">
        <v>0</v>
      </c>
      <c r="V1534" s="51" t="b">
        <v>0</v>
      </c>
      <c r="W1534" s="51" t="b">
        <v>0</v>
      </c>
      <c r="X1534" s="51" t="b">
        <v>0</v>
      </c>
      <c r="Y1534" s="51" t="b">
        <v>0</v>
      </c>
      <c r="Z1534" s="51" t="b">
        <v>0</v>
      </c>
      <c r="AA1534" s="68"/>
      <c r="AB1534" s="52"/>
      <c r="AC1534" s="52"/>
      <c r="AD1534" s="52"/>
      <c r="AE1534" s="56" t="s">
        <v>607</v>
      </c>
      <c r="AF1534" s="56" t="s">
        <v>607</v>
      </c>
    </row>
    <row r="1535">
      <c r="A1535" s="52" t="s">
        <v>4823</v>
      </c>
      <c r="B1535" s="52" t="s">
        <v>607</v>
      </c>
      <c r="C1535" s="52" t="s">
        <v>607</v>
      </c>
      <c r="D1535" s="65" t="s">
        <v>607</v>
      </c>
      <c r="E1535" s="65" t="s">
        <v>607</v>
      </c>
      <c r="F1535" s="65" t="s">
        <v>607</v>
      </c>
      <c r="G1535" s="65" t="s">
        <v>607</v>
      </c>
      <c r="H1535" s="52" t="s">
        <v>607</v>
      </c>
      <c r="I1535" s="52" t="s">
        <v>607</v>
      </c>
      <c r="J1535" s="52" t="s">
        <v>607</v>
      </c>
      <c r="K1535" s="52" t="s">
        <v>607</v>
      </c>
      <c r="L1535" s="52" t="s">
        <v>607</v>
      </c>
      <c r="M1535" s="52" t="s">
        <v>607</v>
      </c>
      <c r="N1535" s="52" t="s">
        <v>607</v>
      </c>
      <c r="O1535" s="52"/>
      <c r="P1535" s="52"/>
      <c r="Q1535" s="52"/>
      <c r="R1535" s="51" t="b">
        <v>0</v>
      </c>
      <c r="S1535" s="51"/>
      <c r="T1535" s="52"/>
      <c r="U1535" s="51" t="b">
        <v>0</v>
      </c>
      <c r="V1535" s="51" t="b">
        <v>0</v>
      </c>
      <c r="W1535" s="51" t="b">
        <v>0</v>
      </c>
      <c r="X1535" s="51" t="b">
        <v>0</v>
      </c>
      <c r="Y1535" s="51" t="b">
        <v>0</v>
      </c>
      <c r="Z1535" s="51" t="b">
        <v>0</v>
      </c>
      <c r="AA1535" s="68"/>
      <c r="AB1535" s="52"/>
      <c r="AC1535" s="52"/>
      <c r="AD1535" s="52"/>
      <c r="AE1535" s="56" t="s">
        <v>607</v>
      </c>
      <c r="AF1535" s="56" t="s">
        <v>607</v>
      </c>
    </row>
    <row r="1536">
      <c r="A1536" s="52" t="s">
        <v>4824</v>
      </c>
      <c r="B1536" s="52" t="s">
        <v>607</v>
      </c>
      <c r="C1536" s="52" t="s">
        <v>607</v>
      </c>
      <c r="D1536" s="65" t="s">
        <v>607</v>
      </c>
      <c r="E1536" s="65" t="s">
        <v>607</v>
      </c>
      <c r="F1536" s="65" t="s">
        <v>607</v>
      </c>
      <c r="G1536" s="65" t="s">
        <v>607</v>
      </c>
      <c r="H1536" s="52" t="s">
        <v>607</v>
      </c>
      <c r="I1536" s="52" t="s">
        <v>607</v>
      </c>
      <c r="J1536" s="52" t="s">
        <v>607</v>
      </c>
      <c r="K1536" s="52" t="s">
        <v>607</v>
      </c>
      <c r="L1536" s="52" t="s">
        <v>607</v>
      </c>
      <c r="M1536" s="52" t="s">
        <v>607</v>
      </c>
      <c r="N1536" s="52" t="s">
        <v>607</v>
      </c>
      <c r="O1536" s="52"/>
      <c r="P1536" s="52"/>
      <c r="Q1536" s="52"/>
      <c r="R1536" s="51" t="b">
        <v>0</v>
      </c>
      <c r="S1536" s="51"/>
      <c r="T1536" s="52"/>
      <c r="U1536" s="51" t="b">
        <v>0</v>
      </c>
      <c r="V1536" s="51" t="b">
        <v>0</v>
      </c>
      <c r="W1536" s="51" t="b">
        <v>0</v>
      </c>
      <c r="X1536" s="51" t="b">
        <v>0</v>
      </c>
      <c r="Y1536" s="51" t="b">
        <v>0</v>
      </c>
      <c r="Z1536" s="51" t="b">
        <v>0</v>
      </c>
      <c r="AA1536" s="68"/>
      <c r="AB1536" s="52"/>
      <c r="AC1536" s="52"/>
      <c r="AD1536" s="52"/>
      <c r="AE1536" s="56" t="s">
        <v>607</v>
      </c>
      <c r="AF1536" s="56" t="s">
        <v>607</v>
      </c>
    </row>
    <row r="1537">
      <c r="A1537" s="52" t="s">
        <v>4825</v>
      </c>
      <c r="B1537" s="52" t="s">
        <v>14</v>
      </c>
      <c r="C1537" s="52" t="s">
        <v>221</v>
      </c>
      <c r="D1537" s="65">
        <v>0.4329861111111112</v>
      </c>
      <c r="E1537" s="65">
        <v>2.314814814814815E-4</v>
      </c>
      <c r="F1537" s="65">
        <v>0.4332175925925927</v>
      </c>
      <c r="G1537" s="65"/>
      <c r="H1537" s="52" t="s">
        <v>81</v>
      </c>
      <c r="I1537" s="52" t="s">
        <v>119</v>
      </c>
      <c r="J1537" s="52" t="s">
        <v>128</v>
      </c>
      <c r="K1537" s="52"/>
      <c r="L1537" s="52"/>
      <c r="M1537" s="52"/>
      <c r="N1537" s="52"/>
      <c r="O1537" s="52"/>
      <c r="P1537" s="52"/>
      <c r="Q1537" s="52"/>
      <c r="R1537" s="51" t="b">
        <v>0</v>
      </c>
      <c r="S1537" s="51"/>
      <c r="T1537" s="52"/>
      <c r="U1537" s="51" t="b">
        <v>0</v>
      </c>
      <c r="V1537" s="51" t="b">
        <v>0</v>
      </c>
      <c r="W1537" s="51" t="b">
        <v>0</v>
      </c>
      <c r="X1537" s="51" t="b">
        <v>0</v>
      </c>
      <c r="Y1537" s="51" t="b">
        <v>0</v>
      </c>
      <c r="Z1537" s="51" t="b">
        <v>0</v>
      </c>
      <c r="AA1537" s="68"/>
      <c r="AB1537" s="52"/>
      <c r="AC1537" s="52"/>
      <c r="AD1537" s="52"/>
      <c r="AE1537" s="56"/>
      <c r="AF1537" s="56"/>
    </row>
    <row r="1538">
      <c r="A1538" s="52" t="s">
        <v>4826</v>
      </c>
      <c r="B1538" s="52" t="s">
        <v>607</v>
      </c>
      <c r="C1538" s="52" t="s">
        <v>607</v>
      </c>
      <c r="D1538" s="65" t="s">
        <v>607</v>
      </c>
      <c r="E1538" s="65" t="s">
        <v>607</v>
      </c>
      <c r="F1538" s="65" t="s">
        <v>607</v>
      </c>
      <c r="G1538" s="65" t="s">
        <v>607</v>
      </c>
      <c r="H1538" s="52" t="s">
        <v>607</v>
      </c>
      <c r="I1538" s="52" t="s">
        <v>607</v>
      </c>
      <c r="J1538" s="52" t="s">
        <v>607</v>
      </c>
      <c r="K1538" s="52" t="s">
        <v>607</v>
      </c>
      <c r="L1538" s="52" t="s">
        <v>607</v>
      </c>
      <c r="M1538" s="52" t="s">
        <v>607</v>
      </c>
      <c r="N1538" s="52" t="s">
        <v>607</v>
      </c>
      <c r="O1538" s="52"/>
      <c r="P1538" s="52"/>
      <c r="Q1538" s="52"/>
      <c r="R1538" s="51" t="b">
        <v>0</v>
      </c>
      <c r="S1538" s="51"/>
      <c r="T1538" s="52"/>
      <c r="U1538" s="51" t="b">
        <v>0</v>
      </c>
      <c r="V1538" s="51" t="b">
        <v>0</v>
      </c>
      <c r="W1538" s="51" t="b">
        <v>0</v>
      </c>
      <c r="X1538" s="51" t="b">
        <v>0</v>
      </c>
      <c r="Y1538" s="51" t="b">
        <v>0</v>
      </c>
      <c r="Z1538" s="51" t="b">
        <v>0</v>
      </c>
      <c r="AA1538" s="68"/>
      <c r="AB1538" s="52"/>
      <c r="AC1538" s="52"/>
      <c r="AD1538" s="52"/>
      <c r="AE1538" s="56" t="s">
        <v>607</v>
      </c>
      <c r="AF1538" s="56" t="s">
        <v>607</v>
      </c>
    </row>
    <row r="1539">
      <c r="A1539" s="52" t="s">
        <v>4827</v>
      </c>
      <c r="B1539" s="52" t="s">
        <v>607</v>
      </c>
      <c r="C1539" s="52" t="s">
        <v>607</v>
      </c>
      <c r="D1539" s="65" t="s">
        <v>607</v>
      </c>
      <c r="E1539" s="65" t="s">
        <v>607</v>
      </c>
      <c r="F1539" s="65" t="s">
        <v>607</v>
      </c>
      <c r="G1539" s="65" t="s">
        <v>607</v>
      </c>
      <c r="H1539" s="52" t="s">
        <v>607</v>
      </c>
      <c r="I1539" s="52" t="s">
        <v>607</v>
      </c>
      <c r="J1539" s="52" t="s">
        <v>607</v>
      </c>
      <c r="K1539" s="52" t="s">
        <v>607</v>
      </c>
      <c r="L1539" s="52" t="s">
        <v>607</v>
      </c>
      <c r="M1539" s="52" t="s">
        <v>607</v>
      </c>
      <c r="N1539" s="52" t="s">
        <v>607</v>
      </c>
      <c r="O1539" s="52"/>
      <c r="P1539" s="52"/>
      <c r="Q1539" s="52"/>
      <c r="R1539" s="51" t="b">
        <v>0</v>
      </c>
      <c r="S1539" s="51"/>
      <c r="T1539" s="52"/>
      <c r="U1539" s="51" t="b">
        <v>0</v>
      </c>
      <c r="V1539" s="51" t="b">
        <v>0</v>
      </c>
      <c r="W1539" s="51" t="b">
        <v>0</v>
      </c>
      <c r="X1539" s="51" t="b">
        <v>0</v>
      </c>
      <c r="Y1539" s="51" t="b">
        <v>0</v>
      </c>
      <c r="Z1539" s="51" t="b">
        <v>0</v>
      </c>
      <c r="AA1539" s="68"/>
      <c r="AB1539" s="52"/>
      <c r="AC1539" s="52"/>
      <c r="AD1539" s="52"/>
      <c r="AE1539" s="56" t="s">
        <v>607</v>
      </c>
      <c r="AF1539" s="56" t="s">
        <v>607</v>
      </c>
    </row>
    <row r="1540">
      <c r="A1540" s="52" t="s">
        <v>4828</v>
      </c>
      <c r="B1540" s="52" t="s">
        <v>607</v>
      </c>
      <c r="C1540" s="52" t="s">
        <v>607</v>
      </c>
      <c r="D1540" s="65" t="s">
        <v>607</v>
      </c>
      <c r="E1540" s="65" t="s">
        <v>607</v>
      </c>
      <c r="F1540" s="65" t="s">
        <v>607</v>
      </c>
      <c r="G1540" s="65" t="s">
        <v>607</v>
      </c>
      <c r="H1540" s="52" t="s">
        <v>607</v>
      </c>
      <c r="I1540" s="52" t="s">
        <v>607</v>
      </c>
      <c r="J1540" s="52" t="s">
        <v>607</v>
      </c>
      <c r="K1540" s="52" t="s">
        <v>607</v>
      </c>
      <c r="L1540" s="52" t="s">
        <v>607</v>
      </c>
      <c r="M1540" s="52" t="s">
        <v>607</v>
      </c>
      <c r="N1540" s="52" t="s">
        <v>607</v>
      </c>
      <c r="O1540" s="52"/>
      <c r="P1540" s="52"/>
      <c r="Q1540" s="52"/>
      <c r="R1540" s="51" t="b">
        <v>0</v>
      </c>
      <c r="S1540" s="51"/>
      <c r="T1540" s="52"/>
      <c r="U1540" s="51" t="b">
        <v>0</v>
      </c>
      <c r="V1540" s="51" t="b">
        <v>0</v>
      </c>
      <c r="W1540" s="51" t="b">
        <v>0</v>
      </c>
      <c r="X1540" s="51" t="b">
        <v>0</v>
      </c>
      <c r="Y1540" s="51" t="b">
        <v>0</v>
      </c>
      <c r="Z1540" s="51" t="b">
        <v>0</v>
      </c>
      <c r="AA1540" s="68"/>
      <c r="AB1540" s="52"/>
      <c r="AC1540" s="52"/>
      <c r="AD1540" s="52"/>
      <c r="AE1540" s="56" t="s">
        <v>607</v>
      </c>
      <c r="AF1540" s="56" t="s">
        <v>607</v>
      </c>
    </row>
    <row r="1541">
      <c r="A1541" s="52" t="s">
        <v>4829</v>
      </c>
      <c r="B1541" s="52" t="s">
        <v>14</v>
      </c>
      <c r="C1541" s="52" t="s">
        <v>289</v>
      </c>
      <c r="D1541" s="65">
        <v>0.5239004629629631</v>
      </c>
      <c r="E1541" s="65">
        <v>0.0020833333333333333</v>
      </c>
      <c r="F1541" s="65">
        <v>0.5259837962962964</v>
      </c>
      <c r="G1541" s="65"/>
      <c r="H1541" s="52" t="s">
        <v>83</v>
      </c>
      <c r="I1541" s="52" t="s">
        <v>393</v>
      </c>
      <c r="J1541" s="52"/>
      <c r="K1541" s="52"/>
      <c r="L1541" s="52"/>
      <c r="M1541" s="52"/>
      <c r="N1541" s="52"/>
      <c r="O1541" s="52"/>
      <c r="P1541" s="69" t="s">
        <v>20</v>
      </c>
      <c r="Q1541" s="80" t="s">
        <v>4830</v>
      </c>
      <c r="R1541" s="51" t="b">
        <v>1</v>
      </c>
      <c r="S1541" s="84" t="s">
        <v>393</v>
      </c>
      <c r="T1541" s="52"/>
      <c r="U1541" s="51" t="b">
        <v>0</v>
      </c>
      <c r="V1541" s="51" t="b">
        <v>1</v>
      </c>
      <c r="W1541" s="51" t="b">
        <v>0</v>
      </c>
      <c r="X1541" s="51" t="b">
        <v>0</v>
      </c>
      <c r="Y1541" s="51" t="b">
        <v>1</v>
      </c>
      <c r="Z1541" s="51" t="b">
        <v>0</v>
      </c>
      <c r="AA1541" s="71">
        <v>0.0020601851851851853</v>
      </c>
      <c r="AB1541" s="52"/>
      <c r="AC1541" s="52"/>
      <c r="AD1541" s="121" t="s">
        <v>4538</v>
      </c>
      <c r="AE1541" s="56"/>
      <c r="AF1541" s="56"/>
    </row>
    <row r="1542">
      <c r="A1542" s="52" t="s">
        <v>4831</v>
      </c>
      <c r="B1542" s="52" t="s">
        <v>607</v>
      </c>
      <c r="C1542" s="52" t="s">
        <v>607</v>
      </c>
      <c r="D1542" s="65" t="s">
        <v>607</v>
      </c>
      <c r="E1542" s="65" t="s">
        <v>607</v>
      </c>
      <c r="F1542" s="65" t="s">
        <v>607</v>
      </c>
      <c r="G1542" s="65" t="s">
        <v>607</v>
      </c>
      <c r="H1542" s="52" t="s">
        <v>607</v>
      </c>
      <c r="I1542" s="52" t="s">
        <v>607</v>
      </c>
      <c r="J1542" s="52" t="s">
        <v>607</v>
      </c>
      <c r="K1542" s="52" t="s">
        <v>607</v>
      </c>
      <c r="L1542" s="52" t="s">
        <v>607</v>
      </c>
      <c r="M1542" s="52" t="s">
        <v>607</v>
      </c>
      <c r="N1542" s="52" t="s">
        <v>607</v>
      </c>
      <c r="O1542" s="52"/>
      <c r="P1542" s="52"/>
      <c r="Q1542" s="52"/>
      <c r="R1542" s="51" t="b">
        <v>0</v>
      </c>
      <c r="S1542" s="51"/>
      <c r="T1542" s="52"/>
      <c r="U1542" s="51" t="b">
        <v>0</v>
      </c>
      <c r="V1542" s="51" t="b">
        <v>0</v>
      </c>
      <c r="W1542" s="51" t="b">
        <v>0</v>
      </c>
      <c r="X1542" s="51" t="b">
        <v>0</v>
      </c>
      <c r="Y1542" s="51" t="b">
        <v>0</v>
      </c>
      <c r="Z1542" s="51" t="b">
        <v>0</v>
      </c>
      <c r="AA1542" s="68"/>
      <c r="AB1542" s="52"/>
      <c r="AC1542" s="52"/>
      <c r="AD1542" s="52"/>
      <c r="AE1542" s="56" t="s">
        <v>607</v>
      </c>
      <c r="AF1542" s="56" t="s">
        <v>607</v>
      </c>
    </row>
    <row r="1543">
      <c r="A1543" s="52" t="s">
        <v>4832</v>
      </c>
      <c r="B1543" s="52" t="s">
        <v>607</v>
      </c>
      <c r="C1543" s="52" t="s">
        <v>607</v>
      </c>
      <c r="D1543" s="65" t="s">
        <v>607</v>
      </c>
      <c r="E1543" s="65" t="s">
        <v>607</v>
      </c>
      <c r="F1543" s="65" t="s">
        <v>607</v>
      </c>
      <c r="G1543" s="65" t="s">
        <v>607</v>
      </c>
      <c r="H1543" s="52" t="s">
        <v>607</v>
      </c>
      <c r="I1543" s="52" t="s">
        <v>607</v>
      </c>
      <c r="J1543" s="52" t="s">
        <v>607</v>
      </c>
      <c r="K1543" s="52" t="s">
        <v>607</v>
      </c>
      <c r="L1543" s="52" t="s">
        <v>607</v>
      </c>
      <c r="M1543" s="52" t="s">
        <v>607</v>
      </c>
      <c r="N1543" s="52" t="s">
        <v>607</v>
      </c>
      <c r="O1543" s="52"/>
      <c r="P1543" s="52"/>
      <c r="Q1543" s="52"/>
      <c r="R1543" s="51" t="b">
        <v>0</v>
      </c>
      <c r="S1543" s="51"/>
      <c r="T1543" s="52"/>
      <c r="U1543" s="51" t="b">
        <v>0</v>
      </c>
      <c r="V1543" s="51" t="b">
        <v>0</v>
      </c>
      <c r="W1543" s="51" t="b">
        <v>0</v>
      </c>
      <c r="X1543" s="51" t="b">
        <v>0</v>
      </c>
      <c r="Y1543" s="51" t="b">
        <v>0</v>
      </c>
      <c r="Z1543" s="51" t="b">
        <v>0</v>
      </c>
      <c r="AA1543" s="68"/>
      <c r="AB1543" s="52"/>
      <c r="AC1543" s="52"/>
      <c r="AD1543" s="52"/>
      <c r="AE1543" s="56" t="s">
        <v>607</v>
      </c>
      <c r="AF1543" s="56" t="s">
        <v>607</v>
      </c>
    </row>
    <row r="1544">
      <c r="A1544" s="52" t="s">
        <v>4833</v>
      </c>
      <c r="B1544" s="52" t="s">
        <v>607</v>
      </c>
      <c r="C1544" s="52" t="s">
        <v>607</v>
      </c>
      <c r="D1544" s="65" t="s">
        <v>607</v>
      </c>
      <c r="E1544" s="65" t="s">
        <v>607</v>
      </c>
      <c r="F1544" s="65" t="s">
        <v>607</v>
      </c>
      <c r="G1544" s="65" t="s">
        <v>607</v>
      </c>
      <c r="H1544" s="52" t="s">
        <v>607</v>
      </c>
      <c r="I1544" s="52" t="s">
        <v>607</v>
      </c>
      <c r="J1544" s="52" t="s">
        <v>607</v>
      </c>
      <c r="K1544" s="52" t="s">
        <v>607</v>
      </c>
      <c r="L1544" s="52" t="s">
        <v>607</v>
      </c>
      <c r="M1544" s="52" t="s">
        <v>607</v>
      </c>
      <c r="N1544" s="52" t="s">
        <v>607</v>
      </c>
      <c r="O1544" s="52"/>
      <c r="P1544" s="52"/>
      <c r="Q1544" s="52"/>
      <c r="R1544" s="51" t="b">
        <v>0</v>
      </c>
      <c r="S1544" s="51"/>
      <c r="T1544" s="52"/>
      <c r="U1544" s="51" t="b">
        <v>0</v>
      </c>
      <c r="V1544" s="51" t="b">
        <v>0</v>
      </c>
      <c r="W1544" s="51" t="b">
        <v>0</v>
      </c>
      <c r="X1544" s="51" t="b">
        <v>0</v>
      </c>
      <c r="Y1544" s="51" t="b">
        <v>0</v>
      </c>
      <c r="Z1544" s="51" t="b">
        <v>0</v>
      </c>
      <c r="AA1544" s="68"/>
      <c r="AB1544" s="52"/>
      <c r="AC1544" s="52"/>
      <c r="AD1544" s="52"/>
      <c r="AE1544" s="56" t="s">
        <v>607</v>
      </c>
      <c r="AF1544" s="56" t="s">
        <v>607</v>
      </c>
    </row>
    <row r="1545">
      <c r="A1545" s="52" t="s">
        <v>4834</v>
      </c>
      <c r="B1545" s="52" t="s">
        <v>607</v>
      </c>
      <c r="C1545" s="52" t="s">
        <v>607</v>
      </c>
      <c r="D1545" s="65" t="s">
        <v>607</v>
      </c>
      <c r="E1545" s="65" t="s">
        <v>607</v>
      </c>
      <c r="F1545" s="65" t="s">
        <v>607</v>
      </c>
      <c r="G1545" s="65" t="s">
        <v>607</v>
      </c>
      <c r="H1545" s="52" t="s">
        <v>607</v>
      </c>
      <c r="I1545" s="52" t="s">
        <v>607</v>
      </c>
      <c r="J1545" s="52" t="s">
        <v>607</v>
      </c>
      <c r="K1545" s="52" t="s">
        <v>607</v>
      </c>
      <c r="L1545" s="52" t="s">
        <v>607</v>
      </c>
      <c r="M1545" s="52" t="s">
        <v>607</v>
      </c>
      <c r="N1545" s="52" t="s">
        <v>607</v>
      </c>
      <c r="O1545" s="52"/>
      <c r="P1545" s="52"/>
      <c r="Q1545" s="52"/>
      <c r="R1545" s="51" t="b">
        <v>0</v>
      </c>
      <c r="S1545" s="51"/>
      <c r="T1545" s="52"/>
      <c r="U1545" s="51" t="b">
        <v>0</v>
      </c>
      <c r="V1545" s="51" t="b">
        <v>0</v>
      </c>
      <c r="W1545" s="51" t="b">
        <v>0</v>
      </c>
      <c r="X1545" s="51" t="b">
        <v>0</v>
      </c>
      <c r="Y1545" s="51" t="b">
        <v>0</v>
      </c>
      <c r="Z1545" s="51" t="b">
        <v>0</v>
      </c>
      <c r="AA1545" s="68"/>
      <c r="AB1545" s="52"/>
      <c r="AC1545" s="52"/>
      <c r="AD1545" s="52"/>
      <c r="AE1545" s="56" t="s">
        <v>607</v>
      </c>
      <c r="AF1545" s="56" t="s">
        <v>607</v>
      </c>
    </row>
    <row r="1546">
      <c r="A1546" s="52" t="s">
        <v>4835</v>
      </c>
      <c r="B1546" s="52" t="s">
        <v>607</v>
      </c>
      <c r="C1546" s="52" t="s">
        <v>607</v>
      </c>
      <c r="D1546" s="65" t="s">
        <v>607</v>
      </c>
      <c r="E1546" s="65" t="s">
        <v>607</v>
      </c>
      <c r="F1546" s="65" t="s">
        <v>607</v>
      </c>
      <c r="G1546" s="65" t="s">
        <v>607</v>
      </c>
      <c r="H1546" s="52" t="s">
        <v>607</v>
      </c>
      <c r="I1546" s="52" t="s">
        <v>607</v>
      </c>
      <c r="J1546" s="52" t="s">
        <v>607</v>
      </c>
      <c r="K1546" s="52" t="s">
        <v>607</v>
      </c>
      <c r="L1546" s="52" t="s">
        <v>607</v>
      </c>
      <c r="M1546" s="52" t="s">
        <v>607</v>
      </c>
      <c r="N1546" s="52" t="s">
        <v>607</v>
      </c>
      <c r="O1546" s="52"/>
      <c r="P1546" s="52"/>
      <c r="Q1546" s="52"/>
      <c r="R1546" s="51" t="b">
        <v>0</v>
      </c>
      <c r="S1546" s="51"/>
      <c r="T1546" s="52"/>
      <c r="U1546" s="51" t="b">
        <v>0</v>
      </c>
      <c r="V1546" s="51" t="b">
        <v>0</v>
      </c>
      <c r="W1546" s="51" t="b">
        <v>0</v>
      </c>
      <c r="X1546" s="51" t="b">
        <v>0</v>
      </c>
      <c r="Y1546" s="51" t="b">
        <v>0</v>
      </c>
      <c r="Z1546" s="51" t="b">
        <v>0</v>
      </c>
      <c r="AA1546" s="68"/>
      <c r="AB1546" s="52"/>
      <c r="AC1546" s="52"/>
      <c r="AD1546" s="52"/>
      <c r="AE1546" s="56" t="s">
        <v>607</v>
      </c>
      <c r="AF1546" s="56" t="s">
        <v>607</v>
      </c>
    </row>
    <row r="1547">
      <c r="A1547" s="52" t="s">
        <v>4836</v>
      </c>
      <c r="B1547" s="52" t="s">
        <v>607</v>
      </c>
      <c r="C1547" s="52" t="s">
        <v>607</v>
      </c>
      <c r="D1547" s="65" t="s">
        <v>607</v>
      </c>
      <c r="E1547" s="65" t="s">
        <v>607</v>
      </c>
      <c r="F1547" s="65" t="s">
        <v>607</v>
      </c>
      <c r="G1547" s="65" t="s">
        <v>607</v>
      </c>
      <c r="H1547" s="52" t="s">
        <v>607</v>
      </c>
      <c r="I1547" s="52" t="s">
        <v>607</v>
      </c>
      <c r="J1547" s="52" t="s">
        <v>607</v>
      </c>
      <c r="K1547" s="52" t="s">
        <v>607</v>
      </c>
      <c r="L1547" s="52" t="s">
        <v>607</v>
      </c>
      <c r="M1547" s="52" t="s">
        <v>607</v>
      </c>
      <c r="N1547" s="52" t="s">
        <v>607</v>
      </c>
      <c r="O1547" s="52"/>
      <c r="P1547" s="52"/>
      <c r="Q1547" s="52"/>
      <c r="R1547" s="51" t="b">
        <v>0</v>
      </c>
      <c r="S1547" s="51"/>
      <c r="T1547" s="52"/>
      <c r="U1547" s="51" t="b">
        <v>0</v>
      </c>
      <c r="V1547" s="51" t="b">
        <v>0</v>
      </c>
      <c r="W1547" s="51" t="b">
        <v>0</v>
      </c>
      <c r="X1547" s="51" t="b">
        <v>0</v>
      </c>
      <c r="Y1547" s="51" t="b">
        <v>0</v>
      </c>
      <c r="Z1547" s="51" t="b">
        <v>0</v>
      </c>
      <c r="AA1547" s="68"/>
      <c r="AB1547" s="52"/>
      <c r="AC1547" s="52"/>
      <c r="AD1547" s="52"/>
      <c r="AE1547" s="56" t="s">
        <v>607</v>
      </c>
      <c r="AF1547" s="56" t="s">
        <v>607</v>
      </c>
    </row>
    <row r="1548">
      <c r="A1548" s="52" t="s">
        <v>4837</v>
      </c>
      <c r="B1548" s="52" t="s">
        <v>607</v>
      </c>
      <c r="C1548" s="52" t="s">
        <v>607</v>
      </c>
      <c r="D1548" s="65" t="s">
        <v>607</v>
      </c>
      <c r="E1548" s="65" t="s">
        <v>607</v>
      </c>
      <c r="F1548" s="65" t="s">
        <v>607</v>
      </c>
      <c r="G1548" s="65" t="s">
        <v>607</v>
      </c>
      <c r="H1548" s="52" t="s">
        <v>607</v>
      </c>
      <c r="I1548" s="52" t="s">
        <v>607</v>
      </c>
      <c r="J1548" s="52" t="s">
        <v>607</v>
      </c>
      <c r="K1548" s="52" t="s">
        <v>607</v>
      </c>
      <c r="L1548" s="52" t="s">
        <v>607</v>
      </c>
      <c r="M1548" s="52" t="s">
        <v>607</v>
      </c>
      <c r="N1548" s="52" t="s">
        <v>607</v>
      </c>
      <c r="O1548" s="52"/>
      <c r="P1548" s="52"/>
      <c r="Q1548" s="52"/>
      <c r="R1548" s="51" t="b">
        <v>0</v>
      </c>
      <c r="S1548" s="51"/>
      <c r="T1548" s="52"/>
      <c r="U1548" s="51" t="b">
        <v>0</v>
      </c>
      <c r="V1548" s="51" t="b">
        <v>0</v>
      </c>
      <c r="W1548" s="51" t="b">
        <v>0</v>
      </c>
      <c r="X1548" s="51" t="b">
        <v>0</v>
      </c>
      <c r="Y1548" s="51" t="b">
        <v>0</v>
      </c>
      <c r="Z1548" s="51" t="b">
        <v>0</v>
      </c>
      <c r="AA1548" s="68"/>
      <c r="AB1548" s="52"/>
      <c r="AC1548" s="52"/>
      <c r="AD1548" s="52"/>
      <c r="AE1548" s="56" t="s">
        <v>607</v>
      </c>
      <c r="AF1548" s="56" t="s">
        <v>607</v>
      </c>
    </row>
    <row r="1549">
      <c r="A1549" s="52" t="s">
        <v>4838</v>
      </c>
      <c r="B1549" s="52" t="s">
        <v>607</v>
      </c>
      <c r="C1549" s="52" t="s">
        <v>607</v>
      </c>
      <c r="D1549" s="65" t="s">
        <v>607</v>
      </c>
      <c r="E1549" s="65" t="s">
        <v>607</v>
      </c>
      <c r="F1549" s="65" t="s">
        <v>607</v>
      </c>
      <c r="G1549" s="65" t="s">
        <v>607</v>
      </c>
      <c r="H1549" s="52" t="s">
        <v>607</v>
      </c>
      <c r="I1549" s="52" t="s">
        <v>607</v>
      </c>
      <c r="J1549" s="52" t="s">
        <v>607</v>
      </c>
      <c r="K1549" s="52" t="s">
        <v>607</v>
      </c>
      <c r="L1549" s="52" t="s">
        <v>607</v>
      </c>
      <c r="M1549" s="52" t="s">
        <v>607</v>
      </c>
      <c r="N1549" s="52" t="s">
        <v>607</v>
      </c>
      <c r="O1549" s="52"/>
      <c r="P1549" s="52"/>
      <c r="Q1549" s="52"/>
      <c r="R1549" s="51" t="b">
        <v>0</v>
      </c>
      <c r="S1549" s="51"/>
      <c r="T1549" s="52"/>
      <c r="U1549" s="51" t="b">
        <v>0</v>
      </c>
      <c r="V1549" s="51" t="b">
        <v>0</v>
      </c>
      <c r="W1549" s="51" t="b">
        <v>0</v>
      </c>
      <c r="X1549" s="51" t="b">
        <v>0</v>
      </c>
      <c r="Y1549" s="51" t="b">
        <v>0</v>
      </c>
      <c r="Z1549" s="51" t="b">
        <v>0</v>
      </c>
      <c r="AA1549" s="68"/>
      <c r="AB1549" s="52"/>
      <c r="AC1549" s="52"/>
      <c r="AD1549" s="52"/>
      <c r="AE1549" s="56" t="s">
        <v>607</v>
      </c>
      <c r="AF1549" s="56" t="s">
        <v>607</v>
      </c>
    </row>
    <row r="1550">
      <c r="A1550" s="52" t="s">
        <v>4839</v>
      </c>
      <c r="B1550" s="52" t="s">
        <v>607</v>
      </c>
      <c r="C1550" s="52" t="s">
        <v>607</v>
      </c>
      <c r="D1550" s="65" t="s">
        <v>607</v>
      </c>
      <c r="E1550" s="65" t="s">
        <v>607</v>
      </c>
      <c r="F1550" s="65" t="s">
        <v>607</v>
      </c>
      <c r="G1550" s="65" t="s">
        <v>607</v>
      </c>
      <c r="H1550" s="52" t="s">
        <v>607</v>
      </c>
      <c r="I1550" s="52" t="s">
        <v>607</v>
      </c>
      <c r="J1550" s="52" t="s">
        <v>607</v>
      </c>
      <c r="K1550" s="52" t="s">
        <v>607</v>
      </c>
      <c r="L1550" s="52" t="s">
        <v>607</v>
      </c>
      <c r="M1550" s="52" t="s">
        <v>607</v>
      </c>
      <c r="N1550" s="52" t="s">
        <v>607</v>
      </c>
      <c r="O1550" s="52"/>
      <c r="P1550" s="52"/>
      <c r="Q1550" s="52"/>
      <c r="R1550" s="51" t="b">
        <v>0</v>
      </c>
      <c r="S1550" s="51"/>
      <c r="T1550" s="52"/>
      <c r="U1550" s="51" t="b">
        <v>0</v>
      </c>
      <c r="V1550" s="51" t="b">
        <v>0</v>
      </c>
      <c r="W1550" s="51" t="b">
        <v>0</v>
      </c>
      <c r="X1550" s="51" t="b">
        <v>0</v>
      </c>
      <c r="Y1550" s="51" t="b">
        <v>0</v>
      </c>
      <c r="Z1550" s="51" t="b">
        <v>0</v>
      </c>
      <c r="AA1550" s="68"/>
      <c r="AB1550" s="52"/>
      <c r="AC1550" s="52"/>
      <c r="AD1550" s="52"/>
      <c r="AE1550" s="56" t="s">
        <v>607</v>
      </c>
      <c r="AF1550" s="56" t="s">
        <v>607</v>
      </c>
    </row>
    <row r="1551">
      <c r="A1551" s="52" t="s">
        <v>4840</v>
      </c>
      <c r="B1551" s="52" t="s">
        <v>607</v>
      </c>
      <c r="C1551" s="52" t="s">
        <v>607</v>
      </c>
      <c r="D1551" s="65" t="s">
        <v>607</v>
      </c>
      <c r="E1551" s="65" t="s">
        <v>607</v>
      </c>
      <c r="F1551" s="65" t="s">
        <v>607</v>
      </c>
      <c r="G1551" s="65" t="s">
        <v>607</v>
      </c>
      <c r="H1551" s="52" t="s">
        <v>607</v>
      </c>
      <c r="I1551" s="52" t="s">
        <v>607</v>
      </c>
      <c r="J1551" s="52" t="s">
        <v>607</v>
      </c>
      <c r="K1551" s="52" t="s">
        <v>607</v>
      </c>
      <c r="L1551" s="52" t="s">
        <v>607</v>
      </c>
      <c r="M1551" s="52" t="s">
        <v>607</v>
      </c>
      <c r="N1551" s="52" t="s">
        <v>607</v>
      </c>
      <c r="O1551" s="52"/>
      <c r="P1551" s="52"/>
      <c r="Q1551" s="52"/>
      <c r="R1551" s="51" t="b">
        <v>0</v>
      </c>
      <c r="S1551" s="51"/>
      <c r="T1551" s="52"/>
      <c r="U1551" s="51" t="b">
        <v>0</v>
      </c>
      <c r="V1551" s="51" t="b">
        <v>0</v>
      </c>
      <c r="W1551" s="51" t="b">
        <v>0</v>
      </c>
      <c r="X1551" s="51" t="b">
        <v>0</v>
      </c>
      <c r="Y1551" s="51" t="b">
        <v>0</v>
      </c>
      <c r="Z1551" s="51" t="b">
        <v>0</v>
      </c>
      <c r="AA1551" s="68"/>
      <c r="AB1551" s="52"/>
      <c r="AC1551" s="52"/>
      <c r="AD1551" s="52"/>
      <c r="AE1551" s="56" t="s">
        <v>607</v>
      </c>
      <c r="AF1551" s="56" t="s">
        <v>607</v>
      </c>
    </row>
    <row r="1552">
      <c r="A1552" s="52" t="s">
        <v>4841</v>
      </c>
      <c r="B1552" s="52" t="s">
        <v>14</v>
      </c>
      <c r="C1552" s="52" t="s">
        <v>221</v>
      </c>
      <c r="D1552" s="65">
        <v>0.4953703703703707</v>
      </c>
      <c r="E1552" s="65">
        <v>2.314814814814815E-4</v>
      </c>
      <c r="F1552" s="65">
        <v>0.4956018518518522</v>
      </c>
      <c r="G1552" s="65"/>
      <c r="H1552" s="52" t="s">
        <v>81</v>
      </c>
      <c r="I1552" s="52" t="s">
        <v>91</v>
      </c>
      <c r="J1552" s="52" t="s">
        <v>128</v>
      </c>
      <c r="K1552" s="52"/>
      <c r="L1552" s="52"/>
      <c r="M1552" s="52"/>
      <c r="N1552" s="52"/>
      <c r="O1552" s="52"/>
      <c r="P1552" s="52"/>
      <c r="Q1552" s="52"/>
      <c r="R1552" s="51" t="b">
        <v>0</v>
      </c>
      <c r="S1552" s="51"/>
      <c r="T1552" s="52"/>
      <c r="U1552" s="51" t="b">
        <v>0</v>
      </c>
      <c r="V1552" s="51" t="b">
        <v>0</v>
      </c>
      <c r="W1552" s="51" t="b">
        <v>0</v>
      </c>
      <c r="X1552" s="51" t="b">
        <v>0</v>
      </c>
      <c r="Y1552" s="51" t="b">
        <v>0</v>
      </c>
      <c r="Z1552" s="51" t="b">
        <v>0</v>
      </c>
      <c r="AA1552" s="68"/>
      <c r="AB1552" s="52"/>
      <c r="AC1552" s="52"/>
      <c r="AD1552" s="52"/>
      <c r="AE1552" s="56"/>
      <c r="AF1552" s="56"/>
    </row>
    <row r="1553">
      <c r="A1553" s="52" t="s">
        <v>4842</v>
      </c>
      <c r="B1553" s="52" t="s">
        <v>14</v>
      </c>
      <c r="C1553" s="52" t="s">
        <v>221</v>
      </c>
      <c r="D1553" s="65">
        <v>0.4956018518518522</v>
      </c>
      <c r="E1553" s="65">
        <v>0.005555555555555556</v>
      </c>
      <c r="F1553" s="65">
        <v>0.5011574074074078</v>
      </c>
      <c r="G1553" s="65"/>
      <c r="H1553" s="52" t="s">
        <v>165</v>
      </c>
      <c r="I1553" s="52" t="s">
        <v>254</v>
      </c>
      <c r="J1553" s="52" t="s">
        <v>255</v>
      </c>
      <c r="K1553" s="52"/>
      <c r="L1553" s="52"/>
      <c r="M1553" s="52"/>
      <c r="N1553" s="52"/>
      <c r="O1553" s="52"/>
      <c r="P1553" s="52"/>
      <c r="Q1553" s="52"/>
      <c r="R1553" s="51" t="b">
        <v>0</v>
      </c>
      <c r="S1553" s="51"/>
      <c r="T1553" s="52"/>
      <c r="U1553" s="51" t="b">
        <v>0</v>
      </c>
      <c r="V1553" s="51" t="b">
        <v>0</v>
      </c>
      <c r="W1553" s="51" t="b">
        <v>0</v>
      </c>
      <c r="X1553" s="51" t="b">
        <v>0</v>
      </c>
      <c r="Y1553" s="51" t="b">
        <v>0</v>
      </c>
      <c r="Z1553" s="51" t="b">
        <v>0</v>
      </c>
      <c r="AA1553" s="68"/>
      <c r="AB1553" s="52"/>
      <c r="AC1553" s="52"/>
      <c r="AD1553" s="52"/>
      <c r="AE1553" s="56" t="s">
        <v>3460</v>
      </c>
      <c r="AF1553" s="56" t="s">
        <v>972</v>
      </c>
    </row>
    <row r="1554">
      <c r="A1554" s="52" t="s">
        <v>4843</v>
      </c>
      <c r="B1554" s="52" t="s">
        <v>607</v>
      </c>
      <c r="C1554" s="52" t="s">
        <v>607</v>
      </c>
      <c r="D1554" s="65" t="s">
        <v>607</v>
      </c>
      <c r="E1554" s="65" t="s">
        <v>607</v>
      </c>
      <c r="F1554" s="65" t="s">
        <v>607</v>
      </c>
      <c r="G1554" s="65" t="s">
        <v>607</v>
      </c>
      <c r="H1554" s="52" t="s">
        <v>607</v>
      </c>
      <c r="I1554" s="52" t="s">
        <v>607</v>
      </c>
      <c r="J1554" s="52" t="s">
        <v>607</v>
      </c>
      <c r="K1554" s="52" t="s">
        <v>607</v>
      </c>
      <c r="L1554" s="52" t="s">
        <v>607</v>
      </c>
      <c r="M1554" s="52" t="s">
        <v>607</v>
      </c>
      <c r="N1554" s="52" t="s">
        <v>607</v>
      </c>
      <c r="O1554" s="52"/>
      <c r="P1554" s="52"/>
      <c r="Q1554" s="52"/>
      <c r="R1554" s="51" t="b">
        <v>0</v>
      </c>
      <c r="S1554" s="51"/>
      <c r="T1554" s="52"/>
      <c r="U1554" s="51" t="b">
        <v>0</v>
      </c>
      <c r="V1554" s="51" t="b">
        <v>0</v>
      </c>
      <c r="W1554" s="51" t="b">
        <v>0</v>
      </c>
      <c r="X1554" s="51" t="b">
        <v>0</v>
      </c>
      <c r="Y1554" s="51" t="b">
        <v>0</v>
      </c>
      <c r="Z1554" s="51" t="b">
        <v>0</v>
      </c>
      <c r="AA1554" s="68"/>
      <c r="AB1554" s="52"/>
      <c r="AC1554" s="52"/>
      <c r="AD1554" s="52"/>
      <c r="AE1554" s="56" t="s">
        <v>607</v>
      </c>
      <c r="AF1554" s="56" t="s">
        <v>607</v>
      </c>
    </row>
    <row r="1555">
      <c r="A1555" s="52" t="s">
        <v>4844</v>
      </c>
      <c r="B1555" s="52" t="s">
        <v>607</v>
      </c>
      <c r="C1555" s="52" t="s">
        <v>607</v>
      </c>
      <c r="D1555" s="65" t="s">
        <v>607</v>
      </c>
      <c r="E1555" s="65" t="s">
        <v>607</v>
      </c>
      <c r="F1555" s="65" t="s">
        <v>607</v>
      </c>
      <c r="G1555" s="65" t="s">
        <v>607</v>
      </c>
      <c r="H1555" s="52" t="s">
        <v>607</v>
      </c>
      <c r="I1555" s="52" t="s">
        <v>607</v>
      </c>
      <c r="J1555" s="52" t="s">
        <v>607</v>
      </c>
      <c r="K1555" s="52" t="s">
        <v>607</v>
      </c>
      <c r="L1555" s="52" t="s">
        <v>607</v>
      </c>
      <c r="M1555" s="52" t="s">
        <v>607</v>
      </c>
      <c r="N1555" s="52" t="s">
        <v>607</v>
      </c>
      <c r="O1555" s="52"/>
      <c r="P1555" s="52"/>
      <c r="Q1555" s="52"/>
      <c r="R1555" s="51" t="b">
        <v>0</v>
      </c>
      <c r="S1555" s="51"/>
      <c r="T1555" s="52"/>
      <c r="U1555" s="51" t="b">
        <v>0</v>
      </c>
      <c r="V1555" s="51" t="b">
        <v>0</v>
      </c>
      <c r="W1555" s="51" t="b">
        <v>0</v>
      </c>
      <c r="X1555" s="51" t="b">
        <v>0</v>
      </c>
      <c r="Y1555" s="51" t="b">
        <v>0</v>
      </c>
      <c r="Z1555" s="51" t="b">
        <v>0</v>
      </c>
      <c r="AA1555" s="68"/>
      <c r="AB1555" s="52"/>
      <c r="AC1555" s="52"/>
      <c r="AD1555" s="52"/>
      <c r="AE1555" s="56" t="s">
        <v>607</v>
      </c>
      <c r="AF1555" s="56" t="s">
        <v>607</v>
      </c>
    </row>
    <row r="1556">
      <c r="A1556" s="52" t="s">
        <v>4845</v>
      </c>
      <c r="B1556" s="52" t="s">
        <v>785</v>
      </c>
      <c r="C1556" s="52"/>
      <c r="D1556" s="65"/>
      <c r="E1556" s="65"/>
      <c r="F1556" s="65"/>
      <c r="G1556" s="65"/>
      <c r="H1556" s="52"/>
      <c r="I1556" s="52"/>
      <c r="J1556" s="52"/>
      <c r="K1556" s="52"/>
      <c r="L1556" s="52"/>
      <c r="M1556" s="52"/>
      <c r="N1556" s="52"/>
      <c r="O1556" s="52"/>
      <c r="P1556" s="52"/>
      <c r="Q1556" s="52"/>
      <c r="R1556" s="51" t="b">
        <v>0</v>
      </c>
      <c r="S1556" s="51"/>
      <c r="T1556" s="52"/>
      <c r="U1556" s="51" t="b">
        <v>0</v>
      </c>
      <c r="V1556" s="51" t="b">
        <v>0</v>
      </c>
      <c r="W1556" s="51" t="b">
        <v>0</v>
      </c>
      <c r="X1556" s="51" t="b">
        <v>0</v>
      </c>
      <c r="Y1556" s="51" t="b">
        <v>0</v>
      </c>
      <c r="Z1556" s="51" t="b">
        <v>0</v>
      </c>
      <c r="AA1556" s="68"/>
      <c r="AB1556" s="52"/>
      <c r="AC1556" s="52"/>
      <c r="AD1556" s="52"/>
      <c r="AE1556" s="56"/>
      <c r="AF1556" s="56"/>
    </row>
    <row r="1557">
      <c r="A1557" s="52" t="s">
        <v>4846</v>
      </c>
      <c r="B1557" s="52" t="s">
        <v>785</v>
      </c>
      <c r="C1557" s="52"/>
      <c r="D1557" s="65"/>
      <c r="E1557" s="65"/>
      <c r="F1557" s="65"/>
      <c r="G1557" s="65"/>
      <c r="H1557" s="52"/>
      <c r="I1557" s="52"/>
      <c r="J1557" s="52"/>
      <c r="K1557" s="52"/>
      <c r="L1557" s="52"/>
      <c r="M1557" s="52"/>
      <c r="N1557" s="52"/>
      <c r="O1557" s="52"/>
      <c r="P1557" s="52"/>
      <c r="Q1557" s="52"/>
      <c r="R1557" s="51" t="b">
        <v>0</v>
      </c>
      <c r="S1557" s="51"/>
      <c r="T1557" s="52"/>
      <c r="U1557" s="51" t="b">
        <v>0</v>
      </c>
      <c r="V1557" s="51" t="b">
        <v>0</v>
      </c>
      <c r="W1557" s="51" t="b">
        <v>0</v>
      </c>
      <c r="X1557" s="51" t="b">
        <v>0</v>
      </c>
      <c r="Y1557" s="51" t="b">
        <v>0</v>
      </c>
      <c r="Z1557" s="51" t="b">
        <v>0</v>
      </c>
      <c r="AA1557" s="68"/>
      <c r="AB1557" s="52"/>
      <c r="AC1557" s="52"/>
      <c r="AD1557" s="52"/>
      <c r="AE1557" s="56"/>
      <c r="AF1557" s="56"/>
    </row>
    <row r="1558">
      <c r="A1558" s="52" t="s">
        <v>4847</v>
      </c>
      <c r="B1558" s="52" t="s">
        <v>607</v>
      </c>
      <c r="C1558" s="52" t="s">
        <v>607</v>
      </c>
      <c r="D1558" s="65" t="s">
        <v>607</v>
      </c>
      <c r="E1558" s="65" t="s">
        <v>607</v>
      </c>
      <c r="F1558" s="65" t="s">
        <v>607</v>
      </c>
      <c r="G1558" s="65" t="s">
        <v>607</v>
      </c>
      <c r="H1558" s="52" t="s">
        <v>607</v>
      </c>
      <c r="I1558" s="52" t="s">
        <v>607</v>
      </c>
      <c r="J1558" s="52" t="s">
        <v>607</v>
      </c>
      <c r="K1558" s="52" t="s">
        <v>607</v>
      </c>
      <c r="L1558" s="52" t="s">
        <v>607</v>
      </c>
      <c r="M1558" s="52" t="s">
        <v>607</v>
      </c>
      <c r="N1558" s="52" t="s">
        <v>607</v>
      </c>
      <c r="O1558" s="52"/>
      <c r="P1558" s="52"/>
      <c r="Q1558" s="52"/>
      <c r="R1558" s="51" t="b">
        <v>0</v>
      </c>
      <c r="S1558" s="51"/>
      <c r="T1558" s="52"/>
      <c r="U1558" s="51" t="b">
        <v>0</v>
      </c>
      <c r="V1558" s="51" t="b">
        <v>0</v>
      </c>
      <c r="W1558" s="51" t="b">
        <v>0</v>
      </c>
      <c r="X1558" s="51" t="b">
        <v>0</v>
      </c>
      <c r="Y1558" s="51" t="b">
        <v>0</v>
      </c>
      <c r="Z1558" s="51" t="b">
        <v>0</v>
      </c>
      <c r="AA1558" s="68"/>
      <c r="AB1558" s="52"/>
      <c r="AC1558" s="52"/>
      <c r="AD1558" s="52"/>
      <c r="AE1558" s="56" t="s">
        <v>607</v>
      </c>
      <c r="AF1558" s="56" t="s">
        <v>607</v>
      </c>
    </row>
    <row r="1559">
      <c r="A1559" s="52" t="s">
        <v>4848</v>
      </c>
      <c r="B1559" s="52" t="s">
        <v>19</v>
      </c>
      <c r="C1559" s="52" t="s">
        <v>221</v>
      </c>
      <c r="D1559" s="65">
        <v>0.4422453703703704</v>
      </c>
      <c r="E1559" s="65">
        <v>6.944444444444445E-4</v>
      </c>
      <c r="F1559" s="65">
        <v>0.44293981481481487</v>
      </c>
      <c r="G1559" s="65" t="s">
        <v>106</v>
      </c>
      <c r="H1559" s="52" t="s">
        <v>79</v>
      </c>
      <c r="I1559" s="52" t="s">
        <v>79</v>
      </c>
      <c r="J1559" s="52"/>
      <c r="K1559" s="52"/>
      <c r="L1559" s="52"/>
      <c r="M1559" s="52"/>
      <c r="N1559" s="52"/>
      <c r="O1559" s="52"/>
      <c r="P1559" s="52"/>
      <c r="Q1559" s="52"/>
      <c r="R1559" s="51" t="b">
        <v>0</v>
      </c>
      <c r="S1559" s="51"/>
      <c r="T1559" s="52"/>
      <c r="U1559" s="51" t="b">
        <v>0</v>
      </c>
      <c r="V1559" s="51" t="b">
        <v>0</v>
      </c>
      <c r="W1559" s="51" t="b">
        <v>0</v>
      </c>
      <c r="X1559" s="51" t="b">
        <v>0</v>
      </c>
      <c r="Y1559" s="51" t="b">
        <v>0</v>
      </c>
      <c r="Z1559" s="51" t="b">
        <v>0</v>
      </c>
      <c r="AA1559" s="68"/>
      <c r="AB1559" s="52"/>
      <c r="AC1559" s="52"/>
      <c r="AD1559" s="52"/>
      <c r="AE1559" s="56"/>
      <c r="AF1559" s="56" t="s">
        <v>1944</v>
      </c>
    </row>
    <row r="1560">
      <c r="A1560" s="52" t="s">
        <v>4849</v>
      </c>
      <c r="B1560" s="52" t="s">
        <v>19</v>
      </c>
      <c r="C1560" s="52" t="s">
        <v>289</v>
      </c>
      <c r="D1560" s="65">
        <v>0.4166666666666667</v>
      </c>
      <c r="E1560" s="65">
        <v>0.0010416666666666667</v>
      </c>
      <c r="F1560" s="65">
        <v>0.41770833333333335</v>
      </c>
      <c r="G1560" s="65"/>
      <c r="H1560" s="52" t="s">
        <v>67</v>
      </c>
      <c r="I1560" s="52" t="s">
        <v>67</v>
      </c>
      <c r="J1560" s="52"/>
      <c r="K1560" s="52"/>
      <c r="L1560" s="52"/>
      <c r="M1560" s="52"/>
      <c r="N1560" s="52"/>
      <c r="O1560" s="52"/>
      <c r="P1560" s="52"/>
      <c r="Q1560" s="52"/>
      <c r="R1560" s="51" t="b">
        <v>0</v>
      </c>
      <c r="S1560" s="51"/>
      <c r="T1560" s="52"/>
      <c r="U1560" s="51" t="b">
        <v>0</v>
      </c>
      <c r="V1560" s="51" t="b">
        <v>0</v>
      </c>
      <c r="W1560" s="51" t="b">
        <v>0</v>
      </c>
      <c r="X1560" s="51" t="b">
        <v>0</v>
      </c>
      <c r="Y1560" s="51" t="b">
        <v>0</v>
      </c>
      <c r="Z1560" s="51" t="b">
        <v>0</v>
      </c>
      <c r="AA1560" s="68"/>
      <c r="AB1560" s="52"/>
      <c r="AC1560" s="52"/>
      <c r="AD1560" s="52"/>
      <c r="AE1560" s="56"/>
      <c r="AF1560" s="56"/>
    </row>
    <row r="1561">
      <c r="A1561" s="52" t="s">
        <v>4850</v>
      </c>
      <c r="B1561" s="52" t="s">
        <v>16</v>
      </c>
      <c r="C1561" s="52" t="s">
        <v>66</v>
      </c>
      <c r="D1561" s="65">
        <v>0.5000694444444445</v>
      </c>
      <c r="E1561" s="65">
        <v>2.314814814814815E-4</v>
      </c>
      <c r="F1561" s="65">
        <v>0.5003009259259259</v>
      </c>
      <c r="G1561" s="65"/>
      <c r="H1561" s="52"/>
      <c r="I1561" s="52" t="s">
        <v>501</v>
      </c>
      <c r="J1561" s="52"/>
      <c r="K1561" s="52"/>
      <c r="L1561" s="52"/>
      <c r="M1561" s="52"/>
      <c r="N1561" s="52"/>
      <c r="O1561" s="52"/>
      <c r="P1561" s="52"/>
      <c r="Q1561" s="52"/>
      <c r="R1561" s="51" t="b">
        <v>0</v>
      </c>
      <c r="S1561" s="51"/>
      <c r="T1561" s="52"/>
      <c r="U1561" s="51" t="b">
        <v>0</v>
      </c>
      <c r="V1561" s="51" t="b">
        <v>0</v>
      </c>
      <c r="W1561" s="51" t="b">
        <v>0</v>
      </c>
      <c r="X1561" s="51" t="b">
        <v>0</v>
      </c>
      <c r="Y1561" s="51" t="b">
        <v>0</v>
      </c>
      <c r="Z1561" s="51" t="b">
        <v>0</v>
      </c>
      <c r="AA1561" s="68"/>
      <c r="AB1561" s="52"/>
      <c r="AC1561" s="52"/>
      <c r="AD1561" s="52"/>
      <c r="AE1561" s="56"/>
      <c r="AF1561" s="56"/>
    </row>
    <row r="1562">
      <c r="A1562" s="52" t="s">
        <v>4851</v>
      </c>
      <c r="B1562" s="52" t="s">
        <v>19</v>
      </c>
      <c r="C1562" s="52" t="s">
        <v>66</v>
      </c>
      <c r="D1562" s="65"/>
      <c r="E1562" s="65"/>
      <c r="F1562" s="65"/>
      <c r="G1562" s="65"/>
      <c r="H1562" s="52"/>
      <c r="I1562" s="52"/>
      <c r="J1562" s="52"/>
      <c r="K1562" s="52"/>
      <c r="L1562" s="52"/>
      <c r="M1562" s="52"/>
      <c r="N1562" s="52"/>
      <c r="O1562" s="52"/>
      <c r="P1562" s="52"/>
      <c r="Q1562" s="52"/>
      <c r="R1562" s="51" t="b">
        <v>0</v>
      </c>
      <c r="S1562" s="51"/>
      <c r="T1562" s="52"/>
      <c r="U1562" s="51" t="b">
        <v>0</v>
      </c>
      <c r="V1562" s="51" t="b">
        <v>0</v>
      </c>
      <c r="W1562" s="51" t="b">
        <v>0</v>
      </c>
      <c r="X1562" s="51" t="b">
        <v>0</v>
      </c>
      <c r="Y1562" s="51" t="b">
        <v>0</v>
      </c>
      <c r="Z1562" s="51" t="b">
        <v>0</v>
      </c>
      <c r="AA1562" s="68"/>
      <c r="AB1562" s="52"/>
      <c r="AC1562" s="52"/>
      <c r="AD1562" s="52"/>
      <c r="AE1562" s="56"/>
      <c r="AF1562" s="56"/>
    </row>
    <row r="1563">
      <c r="A1563" s="52" t="s">
        <v>4852</v>
      </c>
      <c r="B1563" s="52" t="s">
        <v>19</v>
      </c>
      <c r="C1563" s="52" t="s">
        <v>221</v>
      </c>
      <c r="D1563" s="65">
        <v>0.6666666666666666</v>
      </c>
      <c r="E1563" s="65">
        <v>3.4722222222222224E-4</v>
      </c>
      <c r="F1563" s="65">
        <v>0.6670138888888889</v>
      </c>
      <c r="G1563" s="65"/>
      <c r="H1563" s="52" t="s">
        <v>81</v>
      </c>
      <c r="I1563" s="52" t="s">
        <v>1127</v>
      </c>
      <c r="J1563" s="52"/>
      <c r="K1563" s="52"/>
      <c r="L1563" s="52"/>
      <c r="M1563" s="52"/>
      <c r="N1563" s="52"/>
      <c r="O1563" s="52"/>
      <c r="P1563" s="52"/>
      <c r="Q1563" s="52"/>
      <c r="R1563" s="51" t="b">
        <v>0</v>
      </c>
      <c r="S1563" s="51"/>
      <c r="T1563" s="52"/>
      <c r="U1563" s="51" t="b">
        <v>0</v>
      </c>
      <c r="V1563" s="51" t="b">
        <v>0</v>
      </c>
      <c r="W1563" s="51" t="b">
        <v>0</v>
      </c>
      <c r="X1563" s="51" t="b">
        <v>0</v>
      </c>
      <c r="Y1563" s="51" t="b">
        <v>0</v>
      </c>
      <c r="Z1563" s="51" t="b">
        <v>0</v>
      </c>
      <c r="AA1563" s="68"/>
      <c r="AB1563" s="52"/>
      <c r="AC1563" s="52"/>
      <c r="AD1563" s="52"/>
      <c r="AE1563" s="56"/>
      <c r="AF1563" s="56"/>
    </row>
    <row r="1564">
      <c r="A1564" s="52" t="s">
        <v>4853</v>
      </c>
      <c r="B1564" s="52" t="s">
        <v>607</v>
      </c>
      <c r="C1564" s="52" t="s">
        <v>607</v>
      </c>
      <c r="D1564" s="65" t="s">
        <v>607</v>
      </c>
      <c r="E1564" s="65" t="s">
        <v>607</v>
      </c>
      <c r="F1564" s="65" t="s">
        <v>607</v>
      </c>
      <c r="G1564" s="65" t="s">
        <v>607</v>
      </c>
      <c r="H1564" s="52" t="s">
        <v>607</v>
      </c>
      <c r="I1564" s="52" t="s">
        <v>607</v>
      </c>
      <c r="J1564" s="52" t="s">
        <v>607</v>
      </c>
      <c r="K1564" s="52" t="s">
        <v>607</v>
      </c>
      <c r="L1564" s="52" t="s">
        <v>607</v>
      </c>
      <c r="M1564" s="52" t="s">
        <v>607</v>
      </c>
      <c r="N1564" s="52" t="s">
        <v>607</v>
      </c>
      <c r="O1564" s="52"/>
      <c r="P1564" s="52"/>
      <c r="Q1564" s="52"/>
      <c r="R1564" s="51" t="b">
        <v>0</v>
      </c>
      <c r="S1564" s="51"/>
      <c r="T1564" s="52"/>
      <c r="U1564" s="51" t="b">
        <v>0</v>
      </c>
      <c r="V1564" s="51" t="b">
        <v>0</v>
      </c>
      <c r="W1564" s="51" t="b">
        <v>0</v>
      </c>
      <c r="X1564" s="51" t="b">
        <v>0</v>
      </c>
      <c r="Y1564" s="51" t="b">
        <v>0</v>
      </c>
      <c r="Z1564" s="51" t="b">
        <v>0</v>
      </c>
      <c r="AA1564" s="68"/>
      <c r="AB1564" s="52"/>
      <c r="AC1564" s="52"/>
      <c r="AD1564" s="52"/>
      <c r="AE1564" s="56" t="s">
        <v>607</v>
      </c>
      <c r="AF1564" s="56" t="s">
        <v>607</v>
      </c>
    </row>
    <row r="1565">
      <c r="A1565" s="52" t="s">
        <v>4854</v>
      </c>
      <c r="B1565" s="52" t="s">
        <v>19</v>
      </c>
      <c r="C1565" s="52" t="s">
        <v>289</v>
      </c>
      <c r="D1565" s="65">
        <v>0.5833333333333334</v>
      </c>
      <c r="E1565" s="65">
        <v>3.4722222222222224E-4</v>
      </c>
      <c r="F1565" s="65">
        <v>0.5836805555555556</v>
      </c>
      <c r="G1565" s="65"/>
      <c r="H1565" s="52" t="s">
        <v>81</v>
      </c>
      <c r="I1565" s="52" t="s">
        <v>81</v>
      </c>
      <c r="J1565" s="52"/>
      <c r="K1565" s="52"/>
      <c r="L1565" s="52"/>
      <c r="M1565" s="52"/>
      <c r="N1565" s="52"/>
      <c r="O1565" s="52"/>
      <c r="P1565" s="52"/>
      <c r="Q1565" s="52"/>
      <c r="R1565" s="51" t="b">
        <v>0</v>
      </c>
      <c r="S1565" s="51"/>
      <c r="T1565" s="52"/>
      <c r="U1565" s="51" t="b">
        <v>0</v>
      </c>
      <c r="V1565" s="51" t="b">
        <v>0</v>
      </c>
      <c r="W1565" s="51" t="b">
        <v>0</v>
      </c>
      <c r="X1565" s="51" t="b">
        <v>0</v>
      </c>
      <c r="Y1565" s="51" t="b">
        <v>0</v>
      </c>
      <c r="Z1565" s="51" t="b">
        <v>0</v>
      </c>
      <c r="AA1565" s="68"/>
      <c r="AB1565" s="52"/>
      <c r="AC1565" s="52"/>
      <c r="AD1565" s="52"/>
      <c r="AE1565" s="56"/>
      <c r="AF1565" s="56" t="s">
        <v>1944</v>
      </c>
    </row>
    <row r="1566">
      <c r="A1566" s="52" t="s">
        <v>4855</v>
      </c>
      <c r="B1566" s="52" t="s">
        <v>607</v>
      </c>
      <c r="C1566" s="52" t="s">
        <v>607</v>
      </c>
      <c r="D1566" s="65" t="s">
        <v>607</v>
      </c>
      <c r="E1566" s="65" t="s">
        <v>607</v>
      </c>
      <c r="F1566" s="65" t="s">
        <v>607</v>
      </c>
      <c r="G1566" s="65" t="s">
        <v>607</v>
      </c>
      <c r="H1566" s="52" t="s">
        <v>607</v>
      </c>
      <c r="I1566" s="52" t="s">
        <v>607</v>
      </c>
      <c r="J1566" s="52" t="s">
        <v>607</v>
      </c>
      <c r="K1566" s="52" t="s">
        <v>607</v>
      </c>
      <c r="L1566" s="52" t="s">
        <v>607</v>
      </c>
      <c r="M1566" s="52" t="s">
        <v>607</v>
      </c>
      <c r="N1566" s="52" t="s">
        <v>607</v>
      </c>
      <c r="O1566" s="52"/>
      <c r="P1566" s="52"/>
      <c r="Q1566" s="52"/>
      <c r="R1566" s="51" t="b">
        <v>0</v>
      </c>
      <c r="S1566" s="51"/>
      <c r="T1566" s="52"/>
      <c r="U1566" s="51" t="b">
        <v>0</v>
      </c>
      <c r="V1566" s="51" t="b">
        <v>0</v>
      </c>
      <c r="W1566" s="51" t="b">
        <v>0</v>
      </c>
      <c r="X1566" s="51" t="b">
        <v>0</v>
      </c>
      <c r="Y1566" s="51" t="b">
        <v>0</v>
      </c>
      <c r="Z1566" s="51" t="b">
        <v>0</v>
      </c>
      <c r="AA1566" s="68"/>
      <c r="AB1566" s="52"/>
      <c r="AC1566" s="52"/>
      <c r="AD1566" s="52"/>
      <c r="AE1566" s="56" t="s">
        <v>607</v>
      </c>
      <c r="AF1566" s="56" t="s">
        <v>607</v>
      </c>
    </row>
    <row r="1567">
      <c r="A1567" s="52" t="s">
        <v>4856</v>
      </c>
      <c r="B1567" s="52" t="s">
        <v>19</v>
      </c>
      <c r="C1567" s="52" t="s">
        <v>66</v>
      </c>
      <c r="D1567" s="65">
        <v>0.573275462962963</v>
      </c>
      <c r="E1567" s="65">
        <v>1.7361111111111112E-4</v>
      </c>
      <c r="F1567" s="65">
        <v>0.5734490740740741</v>
      </c>
      <c r="G1567" s="65"/>
      <c r="H1567" s="52" t="s">
        <v>77</v>
      </c>
      <c r="I1567" s="52" t="s">
        <v>77</v>
      </c>
      <c r="J1567" s="52"/>
      <c r="K1567" s="52"/>
      <c r="L1567" s="52"/>
      <c r="M1567" s="52"/>
      <c r="N1567" s="52"/>
      <c r="O1567" s="52"/>
      <c r="P1567" s="52"/>
      <c r="Q1567" s="52"/>
      <c r="R1567" s="51" t="b">
        <v>0</v>
      </c>
      <c r="S1567" s="51"/>
      <c r="T1567" s="52"/>
      <c r="U1567" s="51" t="b">
        <v>0</v>
      </c>
      <c r="V1567" s="51" t="b">
        <v>0</v>
      </c>
      <c r="W1567" s="51" t="b">
        <v>0</v>
      </c>
      <c r="X1567" s="51" t="b">
        <v>0</v>
      </c>
      <c r="Y1567" s="51" t="b">
        <v>0</v>
      </c>
      <c r="Z1567" s="51" t="b">
        <v>0</v>
      </c>
      <c r="AA1567" s="68"/>
      <c r="AB1567" s="52"/>
      <c r="AC1567" s="52"/>
      <c r="AD1567" s="52"/>
      <c r="AE1567" s="56"/>
      <c r="AF1567" s="56" t="s">
        <v>2004</v>
      </c>
    </row>
    <row r="1568">
      <c r="A1568" s="52" t="s">
        <v>4857</v>
      </c>
      <c r="B1568" s="52" t="s">
        <v>607</v>
      </c>
      <c r="C1568" s="52" t="s">
        <v>607</v>
      </c>
      <c r="D1568" s="65" t="s">
        <v>607</v>
      </c>
      <c r="E1568" s="65" t="s">
        <v>607</v>
      </c>
      <c r="F1568" s="65" t="s">
        <v>607</v>
      </c>
      <c r="G1568" s="65" t="s">
        <v>607</v>
      </c>
      <c r="H1568" s="52" t="s">
        <v>607</v>
      </c>
      <c r="I1568" s="52" t="s">
        <v>607</v>
      </c>
      <c r="J1568" s="52" t="s">
        <v>607</v>
      </c>
      <c r="K1568" s="52" t="s">
        <v>607</v>
      </c>
      <c r="L1568" s="52" t="s">
        <v>607</v>
      </c>
      <c r="M1568" s="52" t="s">
        <v>607</v>
      </c>
      <c r="N1568" s="52" t="s">
        <v>607</v>
      </c>
      <c r="O1568" s="52"/>
      <c r="P1568" s="52"/>
      <c r="Q1568" s="52"/>
      <c r="R1568" s="51" t="b">
        <v>0</v>
      </c>
      <c r="S1568" s="51"/>
      <c r="T1568" s="52"/>
      <c r="U1568" s="51" t="b">
        <v>0</v>
      </c>
      <c r="V1568" s="51" t="b">
        <v>0</v>
      </c>
      <c r="W1568" s="51" t="b">
        <v>0</v>
      </c>
      <c r="X1568" s="51" t="b">
        <v>0</v>
      </c>
      <c r="Y1568" s="51" t="b">
        <v>0</v>
      </c>
      <c r="Z1568" s="51" t="b">
        <v>0</v>
      </c>
      <c r="AA1568" s="68"/>
      <c r="AB1568" s="52"/>
      <c r="AC1568" s="52"/>
      <c r="AD1568" s="52"/>
      <c r="AE1568" s="56" t="s">
        <v>607</v>
      </c>
      <c r="AF1568" s="56" t="s">
        <v>607</v>
      </c>
    </row>
    <row r="1569">
      <c r="A1569" s="52" t="s">
        <v>4858</v>
      </c>
      <c r="B1569" s="52" t="s">
        <v>607</v>
      </c>
      <c r="C1569" s="52" t="s">
        <v>607</v>
      </c>
      <c r="D1569" s="65" t="s">
        <v>607</v>
      </c>
      <c r="E1569" s="65" t="s">
        <v>607</v>
      </c>
      <c r="F1569" s="65" t="s">
        <v>607</v>
      </c>
      <c r="G1569" s="65" t="s">
        <v>607</v>
      </c>
      <c r="H1569" s="52" t="s">
        <v>607</v>
      </c>
      <c r="I1569" s="52" t="s">
        <v>607</v>
      </c>
      <c r="J1569" s="52" t="s">
        <v>607</v>
      </c>
      <c r="K1569" s="52" t="s">
        <v>607</v>
      </c>
      <c r="L1569" s="52" t="s">
        <v>607</v>
      </c>
      <c r="M1569" s="52" t="s">
        <v>607</v>
      </c>
      <c r="N1569" s="52" t="s">
        <v>607</v>
      </c>
      <c r="O1569" s="52"/>
      <c r="P1569" s="52"/>
      <c r="Q1569" s="52"/>
      <c r="R1569" s="51" t="b">
        <v>0</v>
      </c>
      <c r="S1569" s="51"/>
      <c r="T1569" s="52"/>
      <c r="U1569" s="51" t="b">
        <v>0</v>
      </c>
      <c r="V1569" s="51" t="b">
        <v>0</v>
      </c>
      <c r="W1569" s="51" t="b">
        <v>0</v>
      </c>
      <c r="X1569" s="51" t="b">
        <v>0</v>
      </c>
      <c r="Y1569" s="51" t="b">
        <v>0</v>
      </c>
      <c r="Z1569" s="51" t="b">
        <v>0</v>
      </c>
      <c r="AA1569" s="68"/>
      <c r="AB1569" s="52"/>
      <c r="AC1569" s="52"/>
      <c r="AD1569" s="52"/>
      <c r="AE1569" s="56" t="s">
        <v>607</v>
      </c>
      <c r="AF1569" s="56" t="s">
        <v>607</v>
      </c>
    </row>
    <row r="1570">
      <c r="A1570" s="52" t="s">
        <v>4859</v>
      </c>
      <c r="B1570" s="52" t="s">
        <v>607</v>
      </c>
      <c r="C1570" s="52" t="s">
        <v>607</v>
      </c>
      <c r="D1570" s="65" t="s">
        <v>607</v>
      </c>
      <c r="E1570" s="65" t="s">
        <v>607</v>
      </c>
      <c r="F1570" s="65" t="s">
        <v>607</v>
      </c>
      <c r="G1570" s="65" t="s">
        <v>607</v>
      </c>
      <c r="H1570" s="52" t="s">
        <v>607</v>
      </c>
      <c r="I1570" s="52" t="s">
        <v>607</v>
      </c>
      <c r="J1570" s="52" t="s">
        <v>607</v>
      </c>
      <c r="K1570" s="52" t="s">
        <v>607</v>
      </c>
      <c r="L1570" s="52" t="s">
        <v>607</v>
      </c>
      <c r="M1570" s="52" t="s">
        <v>607</v>
      </c>
      <c r="N1570" s="52" t="s">
        <v>607</v>
      </c>
      <c r="O1570" s="52"/>
      <c r="P1570" s="52"/>
      <c r="Q1570" s="52"/>
      <c r="R1570" s="51" t="b">
        <v>0</v>
      </c>
      <c r="S1570" s="51"/>
      <c r="T1570" s="52"/>
      <c r="U1570" s="51" t="b">
        <v>0</v>
      </c>
      <c r="V1570" s="51" t="b">
        <v>0</v>
      </c>
      <c r="W1570" s="51" t="b">
        <v>0</v>
      </c>
      <c r="X1570" s="51" t="b">
        <v>0</v>
      </c>
      <c r="Y1570" s="51" t="b">
        <v>0</v>
      </c>
      <c r="Z1570" s="51" t="b">
        <v>0</v>
      </c>
      <c r="AA1570" s="68"/>
      <c r="AB1570" s="52"/>
      <c r="AC1570" s="52"/>
      <c r="AD1570" s="52"/>
      <c r="AE1570" s="56" t="s">
        <v>607</v>
      </c>
      <c r="AF1570" s="56" t="s">
        <v>607</v>
      </c>
    </row>
    <row r="1571">
      <c r="A1571" s="52" t="s">
        <v>4860</v>
      </c>
      <c r="B1571" s="52" t="s">
        <v>607</v>
      </c>
      <c r="C1571" s="52" t="s">
        <v>607</v>
      </c>
      <c r="D1571" s="65" t="s">
        <v>607</v>
      </c>
      <c r="E1571" s="65" t="s">
        <v>607</v>
      </c>
      <c r="F1571" s="65" t="s">
        <v>607</v>
      </c>
      <c r="G1571" s="65" t="s">
        <v>607</v>
      </c>
      <c r="H1571" s="52" t="s">
        <v>607</v>
      </c>
      <c r="I1571" s="52" t="s">
        <v>607</v>
      </c>
      <c r="J1571" s="52" t="s">
        <v>607</v>
      </c>
      <c r="K1571" s="52" t="s">
        <v>607</v>
      </c>
      <c r="L1571" s="52" t="s">
        <v>607</v>
      </c>
      <c r="M1571" s="52" t="s">
        <v>607</v>
      </c>
      <c r="N1571" s="52" t="s">
        <v>607</v>
      </c>
      <c r="O1571" s="52"/>
      <c r="P1571" s="52"/>
      <c r="Q1571" s="52"/>
      <c r="R1571" s="51" t="b">
        <v>0</v>
      </c>
      <c r="S1571" s="51"/>
      <c r="T1571" s="52"/>
      <c r="U1571" s="51" t="b">
        <v>0</v>
      </c>
      <c r="V1571" s="51" t="b">
        <v>0</v>
      </c>
      <c r="W1571" s="51" t="b">
        <v>0</v>
      </c>
      <c r="X1571" s="51" t="b">
        <v>0</v>
      </c>
      <c r="Y1571" s="51" t="b">
        <v>0</v>
      </c>
      <c r="Z1571" s="51" t="b">
        <v>0</v>
      </c>
      <c r="AA1571" s="68"/>
      <c r="AB1571" s="52"/>
      <c r="AC1571" s="52"/>
      <c r="AD1571" s="52"/>
      <c r="AE1571" s="56" t="s">
        <v>607</v>
      </c>
      <c r="AF1571" s="56" t="s">
        <v>607</v>
      </c>
    </row>
    <row r="1572">
      <c r="A1572" s="52" t="s">
        <v>4861</v>
      </c>
      <c r="B1572" s="52" t="s">
        <v>14</v>
      </c>
      <c r="C1572" s="52" t="s">
        <v>289</v>
      </c>
      <c r="D1572" s="65"/>
      <c r="E1572" s="65"/>
      <c r="F1572" s="65"/>
      <c r="G1572" s="65"/>
      <c r="H1572" s="52"/>
      <c r="I1572" s="52"/>
      <c r="J1572" s="52"/>
      <c r="K1572" s="52"/>
      <c r="L1572" s="52"/>
      <c r="M1572" s="52"/>
      <c r="N1572" s="52"/>
      <c r="O1572" s="52"/>
      <c r="P1572" s="52"/>
      <c r="Q1572" s="52"/>
      <c r="R1572" s="51" t="b">
        <v>0</v>
      </c>
      <c r="S1572" s="51"/>
      <c r="T1572" s="52"/>
      <c r="U1572" s="51" t="b">
        <v>0</v>
      </c>
      <c r="V1572" s="51" t="b">
        <v>0</v>
      </c>
      <c r="W1572" s="51" t="b">
        <v>0</v>
      </c>
      <c r="X1572" s="51" t="b">
        <v>0</v>
      </c>
      <c r="Y1572" s="51" t="b">
        <v>0</v>
      </c>
      <c r="Z1572" s="51" t="b">
        <v>0</v>
      </c>
      <c r="AA1572" s="68"/>
      <c r="AB1572" s="52"/>
      <c r="AC1572" s="52"/>
      <c r="AD1572" s="52"/>
      <c r="AE1572" s="56"/>
      <c r="AF1572" s="56"/>
    </row>
    <row r="1573">
      <c r="A1573" s="52" t="s">
        <v>4862</v>
      </c>
      <c r="B1573" s="52" t="s">
        <v>607</v>
      </c>
      <c r="C1573" s="52" t="s">
        <v>607</v>
      </c>
      <c r="D1573" s="65" t="s">
        <v>607</v>
      </c>
      <c r="E1573" s="65" t="s">
        <v>607</v>
      </c>
      <c r="F1573" s="65" t="s">
        <v>607</v>
      </c>
      <c r="G1573" s="65" t="s">
        <v>607</v>
      </c>
      <c r="H1573" s="52" t="s">
        <v>607</v>
      </c>
      <c r="I1573" s="52" t="s">
        <v>607</v>
      </c>
      <c r="J1573" s="52" t="s">
        <v>607</v>
      </c>
      <c r="K1573" s="52" t="s">
        <v>607</v>
      </c>
      <c r="L1573" s="52" t="s">
        <v>607</v>
      </c>
      <c r="M1573" s="52" t="s">
        <v>607</v>
      </c>
      <c r="N1573" s="52" t="s">
        <v>607</v>
      </c>
      <c r="O1573" s="52"/>
      <c r="P1573" s="52"/>
      <c r="Q1573" s="52"/>
      <c r="R1573" s="51" t="b">
        <v>0</v>
      </c>
      <c r="S1573" s="51"/>
      <c r="T1573" s="52"/>
      <c r="U1573" s="51" t="b">
        <v>0</v>
      </c>
      <c r="V1573" s="51" t="b">
        <v>0</v>
      </c>
      <c r="W1573" s="51" t="b">
        <v>0</v>
      </c>
      <c r="X1573" s="51" t="b">
        <v>0</v>
      </c>
      <c r="Y1573" s="51" t="b">
        <v>0</v>
      </c>
      <c r="Z1573" s="51" t="b">
        <v>0</v>
      </c>
      <c r="AA1573" s="68"/>
      <c r="AB1573" s="52"/>
      <c r="AC1573" s="52"/>
      <c r="AD1573" s="52"/>
      <c r="AE1573" s="56" t="s">
        <v>607</v>
      </c>
      <c r="AF1573" s="56" t="s">
        <v>607</v>
      </c>
    </row>
    <row r="1574">
      <c r="A1574" s="52" t="s">
        <v>4863</v>
      </c>
      <c r="B1574" s="52" t="s">
        <v>607</v>
      </c>
      <c r="C1574" s="52" t="s">
        <v>607</v>
      </c>
      <c r="D1574" s="65" t="s">
        <v>607</v>
      </c>
      <c r="E1574" s="65" t="s">
        <v>607</v>
      </c>
      <c r="F1574" s="65" t="s">
        <v>607</v>
      </c>
      <c r="G1574" s="65" t="s">
        <v>607</v>
      </c>
      <c r="H1574" s="52" t="s">
        <v>607</v>
      </c>
      <c r="I1574" s="52" t="s">
        <v>607</v>
      </c>
      <c r="J1574" s="52" t="s">
        <v>607</v>
      </c>
      <c r="K1574" s="52" t="s">
        <v>607</v>
      </c>
      <c r="L1574" s="52" t="s">
        <v>607</v>
      </c>
      <c r="M1574" s="52" t="s">
        <v>607</v>
      </c>
      <c r="N1574" s="52" t="s">
        <v>607</v>
      </c>
      <c r="O1574" s="52"/>
      <c r="P1574" s="52"/>
      <c r="Q1574" s="52"/>
      <c r="R1574" s="51" t="b">
        <v>0</v>
      </c>
      <c r="S1574" s="51"/>
      <c r="T1574" s="52"/>
      <c r="U1574" s="51" t="b">
        <v>0</v>
      </c>
      <c r="V1574" s="51" t="b">
        <v>0</v>
      </c>
      <c r="W1574" s="51" t="b">
        <v>0</v>
      </c>
      <c r="X1574" s="51" t="b">
        <v>0</v>
      </c>
      <c r="Y1574" s="51" t="b">
        <v>0</v>
      </c>
      <c r="Z1574" s="51" t="b">
        <v>0</v>
      </c>
      <c r="AA1574" s="68"/>
      <c r="AB1574" s="52"/>
      <c r="AC1574" s="52"/>
      <c r="AD1574" s="52"/>
      <c r="AE1574" s="56" t="s">
        <v>607</v>
      </c>
      <c r="AF1574" s="56" t="s">
        <v>607</v>
      </c>
    </row>
    <row r="1575">
      <c r="A1575" s="52" t="s">
        <v>4864</v>
      </c>
      <c r="B1575" s="52" t="s">
        <v>19</v>
      </c>
      <c r="C1575" s="52" t="s">
        <v>66</v>
      </c>
      <c r="D1575" s="65">
        <v>0.6238657407407406</v>
      </c>
      <c r="E1575" s="65">
        <v>3.4722222222222224E-4</v>
      </c>
      <c r="F1575" s="65">
        <v>0.6242129629629629</v>
      </c>
      <c r="G1575" s="65"/>
      <c r="H1575" s="52" t="s">
        <v>77</v>
      </c>
      <c r="I1575" s="52" t="s">
        <v>1009</v>
      </c>
      <c r="J1575" s="52"/>
      <c r="K1575" s="52"/>
      <c r="L1575" s="52"/>
      <c r="M1575" s="52"/>
      <c r="N1575" s="52"/>
      <c r="O1575" s="52"/>
      <c r="P1575" s="52"/>
      <c r="Q1575" s="52"/>
      <c r="R1575" s="51" t="b">
        <v>0</v>
      </c>
      <c r="S1575" s="51"/>
      <c r="T1575" s="52"/>
      <c r="U1575" s="51" t="b">
        <v>0</v>
      </c>
      <c r="V1575" s="51" t="b">
        <v>0</v>
      </c>
      <c r="W1575" s="51" t="b">
        <v>0</v>
      </c>
      <c r="X1575" s="51" t="b">
        <v>0</v>
      </c>
      <c r="Y1575" s="51" t="b">
        <v>0</v>
      </c>
      <c r="Z1575" s="51" t="b">
        <v>0</v>
      </c>
      <c r="AA1575" s="68"/>
      <c r="AB1575" s="52"/>
      <c r="AC1575" s="52"/>
      <c r="AD1575" s="52"/>
      <c r="AE1575" s="56"/>
      <c r="AF1575" s="56" t="s">
        <v>2004</v>
      </c>
    </row>
    <row r="1576">
      <c r="A1576" s="52" t="s">
        <v>4865</v>
      </c>
      <c r="B1576" s="52" t="s">
        <v>19</v>
      </c>
      <c r="C1576" s="52" t="s">
        <v>221</v>
      </c>
      <c r="D1576" s="65"/>
      <c r="E1576" s="65"/>
      <c r="F1576" s="65"/>
      <c r="G1576" s="65"/>
      <c r="H1576" s="52"/>
      <c r="I1576" s="52"/>
      <c r="J1576" s="52"/>
      <c r="K1576" s="52"/>
      <c r="L1576" s="52"/>
      <c r="M1576" s="52"/>
      <c r="N1576" s="52"/>
      <c r="O1576" s="52"/>
      <c r="P1576" s="52"/>
      <c r="Q1576" s="52"/>
      <c r="R1576" s="51" t="b">
        <v>0</v>
      </c>
      <c r="S1576" s="51"/>
      <c r="T1576" s="52"/>
      <c r="U1576" s="51" t="b">
        <v>0</v>
      </c>
      <c r="V1576" s="51" t="b">
        <v>0</v>
      </c>
      <c r="W1576" s="51" t="b">
        <v>0</v>
      </c>
      <c r="X1576" s="51" t="b">
        <v>0</v>
      </c>
      <c r="Y1576" s="51" t="b">
        <v>0</v>
      </c>
      <c r="Z1576" s="51" t="b">
        <v>0</v>
      </c>
      <c r="AA1576" s="68"/>
      <c r="AB1576" s="52"/>
      <c r="AC1576" s="52"/>
      <c r="AD1576" s="52"/>
      <c r="AE1576" s="56"/>
      <c r="AF1576" s="56"/>
    </row>
    <row r="1577">
      <c r="A1577" s="52" t="s">
        <v>4866</v>
      </c>
      <c r="B1577" s="52" t="s">
        <v>19</v>
      </c>
      <c r="C1577" s="52" t="s">
        <v>289</v>
      </c>
      <c r="D1577" s="65">
        <v>0.4522685185185187</v>
      </c>
      <c r="E1577" s="65">
        <v>2.314814814814815E-4</v>
      </c>
      <c r="F1577" s="65">
        <v>0.4525000000000002</v>
      </c>
      <c r="G1577" s="65"/>
      <c r="H1577" s="52" t="s">
        <v>81</v>
      </c>
      <c r="I1577" s="52" t="s">
        <v>81</v>
      </c>
      <c r="J1577" s="52"/>
      <c r="K1577" s="52"/>
      <c r="L1577" s="52"/>
      <c r="M1577" s="52"/>
      <c r="N1577" s="52"/>
      <c r="O1577" s="52"/>
      <c r="P1577" s="52"/>
      <c r="Q1577" s="52"/>
      <c r="R1577" s="51" t="b">
        <v>0</v>
      </c>
      <c r="S1577" s="51"/>
      <c r="T1577" s="52"/>
      <c r="U1577" s="51" t="b">
        <v>0</v>
      </c>
      <c r="V1577" s="51" t="b">
        <v>0</v>
      </c>
      <c r="W1577" s="51" t="b">
        <v>0</v>
      </c>
      <c r="X1577" s="51" t="b">
        <v>0</v>
      </c>
      <c r="Y1577" s="51" t="b">
        <v>0</v>
      </c>
      <c r="Z1577" s="51" t="b">
        <v>0</v>
      </c>
      <c r="AA1577" s="68"/>
      <c r="AB1577" s="52"/>
      <c r="AC1577" s="52"/>
      <c r="AD1577" s="52"/>
      <c r="AE1577" s="56"/>
      <c r="AF1577" s="56" t="s">
        <v>1944</v>
      </c>
    </row>
    <row r="1578">
      <c r="A1578" s="52" t="s">
        <v>4867</v>
      </c>
      <c r="B1578" s="52" t="s">
        <v>607</v>
      </c>
      <c r="C1578" s="52" t="s">
        <v>607</v>
      </c>
      <c r="D1578" s="65" t="s">
        <v>607</v>
      </c>
      <c r="E1578" s="65" t="s">
        <v>607</v>
      </c>
      <c r="F1578" s="65" t="s">
        <v>607</v>
      </c>
      <c r="G1578" s="65" t="s">
        <v>607</v>
      </c>
      <c r="H1578" s="52" t="s">
        <v>607</v>
      </c>
      <c r="I1578" s="52" t="s">
        <v>607</v>
      </c>
      <c r="J1578" s="52" t="s">
        <v>607</v>
      </c>
      <c r="K1578" s="52" t="s">
        <v>607</v>
      </c>
      <c r="L1578" s="52" t="s">
        <v>607</v>
      </c>
      <c r="M1578" s="52" t="s">
        <v>607</v>
      </c>
      <c r="N1578" s="52" t="s">
        <v>607</v>
      </c>
      <c r="O1578" s="52"/>
      <c r="P1578" s="52"/>
      <c r="Q1578" s="52"/>
      <c r="R1578" s="51" t="b">
        <v>0</v>
      </c>
      <c r="S1578" s="51"/>
      <c r="T1578" s="52"/>
      <c r="U1578" s="51" t="b">
        <v>0</v>
      </c>
      <c r="V1578" s="51" t="b">
        <v>0</v>
      </c>
      <c r="W1578" s="51" t="b">
        <v>0</v>
      </c>
      <c r="X1578" s="51" t="b">
        <v>0</v>
      </c>
      <c r="Y1578" s="51" t="b">
        <v>0</v>
      </c>
      <c r="Z1578" s="51" t="b">
        <v>0</v>
      </c>
      <c r="AA1578" s="68"/>
      <c r="AB1578" s="52"/>
      <c r="AC1578" s="52"/>
      <c r="AD1578" s="52"/>
      <c r="AE1578" s="56" t="s">
        <v>607</v>
      </c>
      <c r="AF1578" s="56" t="s">
        <v>607</v>
      </c>
    </row>
    <row r="1579">
      <c r="A1579" s="52" t="s">
        <v>4868</v>
      </c>
      <c r="B1579" s="52" t="s">
        <v>607</v>
      </c>
      <c r="C1579" s="52" t="s">
        <v>607</v>
      </c>
      <c r="D1579" s="65" t="s">
        <v>607</v>
      </c>
      <c r="E1579" s="65" t="s">
        <v>607</v>
      </c>
      <c r="F1579" s="65" t="s">
        <v>607</v>
      </c>
      <c r="G1579" s="65" t="s">
        <v>607</v>
      </c>
      <c r="H1579" s="52" t="s">
        <v>607</v>
      </c>
      <c r="I1579" s="52" t="s">
        <v>607</v>
      </c>
      <c r="J1579" s="52" t="s">
        <v>607</v>
      </c>
      <c r="K1579" s="52" t="s">
        <v>607</v>
      </c>
      <c r="L1579" s="52" t="s">
        <v>607</v>
      </c>
      <c r="M1579" s="52" t="s">
        <v>607</v>
      </c>
      <c r="N1579" s="52" t="s">
        <v>607</v>
      </c>
      <c r="O1579" s="52"/>
      <c r="P1579" s="52"/>
      <c r="Q1579" s="52"/>
      <c r="R1579" s="51" t="b">
        <v>0</v>
      </c>
      <c r="S1579" s="51"/>
      <c r="T1579" s="52"/>
      <c r="U1579" s="51" t="b">
        <v>0</v>
      </c>
      <c r="V1579" s="51" t="b">
        <v>0</v>
      </c>
      <c r="W1579" s="51" t="b">
        <v>0</v>
      </c>
      <c r="X1579" s="51" t="b">
        <v>0</v>
      </c>
      <c r="Y1579" s="51" t="b">
        <v>0</v>
      </c>
      <c r="Z1579" s="51" t="b">
        <v>0</v>
      </c>
      <c r="AA1579" s="68"/>
      <c r="AB1579" s="52"/>
      <c r="AC1579" s="52"/>
      <c r="AD1579" s="52"/>
      <c r="AE1579" s="56" t="s">
        <v>607</v>
      </c>
      <c r="AF1579" s="56" t="s">
        <v>607</v>
      </c>
    </row>
    <row r="1580">
      <c r="A1580" s="52" t="s">
        <v>4869</v>
      </c>
      <c r="B1580" s="52" t="s">
        <v>16</v>
      </c>
      <c r="C1580" s="52"/>
      <c r="D1580" s="65"/>
      <c r="E1580" s="65"/>
      <c r="F1580" s="65"/>
      <c r="G1580" s="65"/>
      <c r="H1580" s="52"/>
      <c r="I1580" s="52"/>
      <c r="J1580" s="52"/>
      <c r="K1580" s="52"/>
      <c r="L1580" s="52"/>
      <c r="M1580" s="52"/>
      <c r="N1580" s="52"/>
      <c r="O1580" s="52"/>
      <c r="P1580" s="52"/>
      <c r="Q1580" s="52"/>
      <c r="R1580" s="51" t="b">
        <v>0</v>
      </c>
      <c r="S1580" s="51"/>
      <c r="T1580" s="52"/>
      <c r="U1580" s="51" t="b">
        <v>0</v>
      </c>
      <c r="V1580" s="51" t="b">
        <v>0</v>
      </c>
      <c r="W1580" s="51" t="b">
        <v>0</v>
      </c>
      <c r="X1580" s="51" t="b">
        <v>0</v>
      </c>
      <c r="Y1580" s="51" t="b">
        <v>0</v>
      </c>
      <c r="Z1580" s="51" t="b">
        <v>0</v>
      </c>
      <c r="AA1580" s="68"/>
      <c r="AB1580" s="52"/>
      <c r="AC1580" s="52"/>
      <c r="AD1580" s="52"/>
      <c r="AE1580" s="56"/>
      <c r="AF1580" s="56"/>
    </row>
    <row r="1581">
      <c r="A1581" s="52" t="s">
        <v>4870</v>
      </c>
      <c r="B1581" s="52" t="s">
        <v>19</v>
      </c>
      <c r="C1581" s="52"/>
      <c r="D1581" s="65"/>
      <c r="E1581" s="65"/>
      <c r="F1581" s="65"/>
      <c r="G1581" s="65"/>
      <c r="H1581" s="52"/>
      <c r="I1581" s="52"/>
      <c r="J1581" s="52"/>
      <c r="K1581" s="52"/>
      <c r="L1581" s="52"/>
      <c r="M1581" s="52"/>
      <c r="N1581" s="52"/>
      <c r="O1581" s="52"/>
      <c r="P1581" s="52"/>
      <c r="Q1581" s="52"/>
      <c r="R1581" s="51" t="b">
        <v>0</v>
      </c>
      <c r="S1581" s="51"/>
      <c r="T1581" s="52"/>
      <c r="U1581" s="51" t="b">
        <v>0</v>
      </c>
      <c r="V1581" s="51" t="b">
        <v>0</v>
      </c>
      <c r="W1581" s="51" t="b">
        <v>0</v>
      </c>
      <c r="X1581" s="51" t="b">
        <v>0</v>
      </c>
      <c r="Y1581" s="51" t="b">
        <v>0</v>
      </c>
      <c r="Z1581" s="51" t="b">
        <v>0</v>
      </c>
      <c r="AA1581" s="68"/>
      <c r="AB1581" s="52"/>
      <c r="AC1581" s="52"/>
      <c r="AD1581" s="52"/>
      <c r="AE1581" s="56"/>
      <c r="AF1581" s="56"/>
    </row>
    <row r="1582">
      <c r="A1582" s="52" t="s">
        <v>4871</v>
      </c>
      <c r="B1582" s="52" t="s">
        <v>19</v>
      </c>
      <c r="C1582" s="52" t="s">
        <v>66</v>
      </c>
      <c r="D1582" s="65">
        <v>0.6951273148148148</v>
      </c>
      <c r="E1582" s="65">
        <v>1.7361111111111112E-4</v>
      </c>
      <c r="F1582" s="65">
        <v>0.695300925925926</v>
      </c>
      <c r="G1582" s="65"/>
      <c r="H1582" s="52" t="s">
        <v>77</v>
      </c>
      <c r="I1582" s="52" t="s">
        <v>1131</v>
      </c>
      <c r="J1582" s="52"/>
      <c r="K1582" s="52"/>
      <c r="L1582" s="52"/>
      <c r="M1582" s="52"/>
      <c r="N1582" s="52"/>
      <c r="O1582" s="52"/>
      <c r="P1582" s="52"/>
      <c r="Q1582" s="52"/>
      <c r="R1582" s="51" t="b">
        <v>0</v>
      </c>
      <c r="S1582" s="51"/>
      <c r="T1582" s="52"/>
      <c r="U1582" s="51" t="b">
        <v>0</v>
      </c>
      <c r="V1582" s="51" t="b">
        <v>0</v>
      </c>
      <c r="W1582" s="51" t="b">
        <v>0</v>
      </c>
      <c r="X1582" s="51" t="b">
        <v>0</v>
      </c>
      <c r="Y1582" s="51" t="b">
        <v>0</v>
      </c>
      <c r="Z1582" s="51" t="b">
        <v>0</v>
      </c>
      <c r="AA1582" s="68"/>
      <c r="AB1582" s="52"/>
      <c r="AC1582" s="52"/>
      <c r="AD1582" s="52"/>
      <c r="AE1582" s="56"/>
      <c r="AF1582" s="56" t="s">
        <v>2004</v>
      </c>
    </row>
    <row r="1583">
      <c r="A1583" s="52" t="s">
        <v>4872</v>
      </c>
      <c r="B1583" s="52" t="s">
        <v>19</v>
      </c>
      <c r="C1583" s="52" t="s">
        <v>221</v>
      </c>
      <c r="D1583" s="65">
        <v>0.5234953703703703</v>
      </c>
      <c r="E1583" s="65">
        <v>2.314814814814815E-4</v>
      </c>
      <c r="F1583" s="65">
        <v>0.5237268518518517</v>
      </c>
      <c r="G1583" s="65"/>
      <c r="H1583" s="52" t="s">
        <v>81</v>
      </c>
      <c r="I1583" s="52" t="s">
        <v>81</v>
      </c>
      <c r="J1583" s="52"/>
      <c r="K1583" s="52"/>
      <c r="L1583" s="52"/>
      <c r="M1583" s="52"/>
      <c r="N1583" s="52"/>
      <c r="O1583" s="52"/>
      <c r="P1583" s="52"/>
      <c r="Q1583" s="52"/>
      <c r="R1583" s="51" t="b">
        <v>0</v>
      </c>
      <c r="S1583" s="51"/>
      <c r="T1583" s="52"/>
      <c r="U1583" s="51" t="b">
        <v>0</v>
      </c>
      <c r="V1583" s="51" t="b">
        <v>0</v>
      </c>
      <c r="W1583" s="51" t="b">
        <v>0</v>
      </c>
      <c r="X1583" s="51" t="b">
        <v>0</v>
      </c>
      <c r="Y1583" s="51" t="b">
        <v>0</v>
      </c>
      <c r="Z1583" s="51" t="b">
        <v>0</v>
      </c>
      <c r="AA1583" s="68"/>
      <c r="AB1583" s="52"/>
      <c r="AC1583" s="52"/>
      <c r="AD1583" s="52"/>
      <c r="AE1583" s="56"/>
      <c r="AF1583" s="56" t="s">
        <v>1944</v>
      </c>
    </row>
    <row r="1584">
      <c r="A1584" s="52" t="s">
        <v>4873</v>
      </c>
      <c r="B1584" s="52" t="s">
        <v>19</v>
      </c>
      <c r="C1584" s="52" t="s">
        <v>221</v>
      </c>
      <c r="D1584" s="65">
        <v>0.5237268518518517</v>
      </c>
      <c r="E1584" s="65">
        <v>0.010416666666666666</v>
      </c>
      <c r="F1584" s="65">
        <v>0.5341435185185184</v>
      </c>
      <c r="G1584" s="65"/>
      <c r="H1584" s="52" t="s">
        <v>94</v>
      </c>
      <c r="I1584" s="52" t="s">
        <v>1226</v>
      </c>
      <c r="J1584" s="52" t="s">
        <v>1227</v>
      </c>
      <c r="K1584" s="52"/>
      <c r="L1584" s="52"/>
      <c r="M1584" s="52"/>
      <c r="N1584" s="52" t="s">
        <v>520</v>
      </c>
      <c r="O1584" s="52"/>
      <c r="P1584" s="52"/>
      <c r="Q1584" s="52"/>
      <c r="R1584" s="51" t="b">
        <v>0</v>
      </c>
      <c r="S1584" s="51"/>
      <c r="T1584" s="52"/>
      <c r="U1584" s="51" t="b">
        <v>0</v>
      </c>
      <c r="V1584" s="51" t="b">
        <v>0</v>
      </c>
      <c r="W1584" s="51" t="b">
        <v>0</v>
      </c>
      <c r="X1584" s="51" t="b">
        <v>0</v>
      </c>
      <c r="Y1584" s="51" t="b">
        <v>0</v>
      </c>
      <c r="Z1584" s="51" t="b">
        <v>0</v>
      </c>
      <c r="AA1584" s="68"/>
      <c r="AB1584" s="52"/>
      <c r="AC1584" s="52"/>
      <c r="AD1584" s="52"/>
      <c r="AE1584" s="56" t="s">
        <v>610</v>
      </c>
      <c r="AF1584" s="56" t="s">
        <v>4142</v>
      </c>
    </row>
    <row r="1585">
      <c r="A1585" s="52" t="s">
        <v>4874</v>
      </c>
      <c r="B1585" s="52" t="s">
        <v>607</v>
      </c>
      <c r="C1585" s="52" t="s">
        <v>607</v>
      </c>
      <c r="D1585" s="65" t="s">
        <v>607</v>
      </c>
      <c r="E1585" s="65" t="s">
        <v>607</v>
      </c>
      <c r="F1585" s="65" t="s">
        <v>607</v>
      </c>
      <c r="G1585" s="65" t="s">
        <v>607</v>
      </c>
      <c r="H1585" s="52" t="s">
        <v>607</v>
      </c>
      <c r="I1585" s="52" t="s">
        <v>607</v>
      </c>
      <c r="J1585" s="52" t="s">
        <v>607</v>
      </c>
      <c r="K1585" s="52" t="s">
        <v>607</v>
      </c>
      <c r="L1585" s="52" t="s">
        <v>607</v>
      </c>
      <c r="M1585" s="52" t="s">
        <v>607</v>
      </c>
      <c r="N1585" s="52" t="s">
        <v>607</v>
      </c>
      <c r="O1585" s="52"/>
      <c r="P1585" s="52"/>
      <c r="Q1585" s="52"/>
      <c r="R1585" s="51" t="b">
        <v>0</v>
      </c>
      <c r="S1585" s="51"/>
      <c r="T1585" s="52"/>
      <c r="U1585" s="51" t="b">
        <v>0</v>
      </c>
      <c r="V1585" s="51" t="b">
        <v>0</v>
      </c>
      <c r="W1585" s="51" t="b">
        <v>0</v>
      </c>
      <c r="X1585" s="51" t="b">
        <v>0</v>
      </c>
      <c r="Y1585" s="51" t="b">
        <v>0</v>
      </c>
      <c r="Z1585" s="51" t="b">
        <v>0</v>
      </c>
      <c r="AA1585" s="68"/>
      <c r="AB1585" s="52"/>
      <c r="AC1585" s="52"/>
      <c r="AD1585" s="52"/>
      <c r="AE1585" s="56" t="s">
        <v>607</v>
      </c>
      <c r="AF1585" s="56" t="s">
        <v>607</v>
      </c>
    </row>
    <row r="1586">
      <c r="A1586" s="52" t="s">
        <v>4875</v>
      </c>
      <c r="B1586" s="52" t="s">
        <v>16</v>
      </c>
      <c r="C1586" s="52" t="s">
        <v>221</v>
      </c>
      <c r="D1586" s="65">
        <v>0.498078703703704</v>
      </c>
      <c r="E1586" s="65">
        <v>3.4722222222222224E-4</v>
      </c>
      <c r="F1586" s="65">
        <v>0.4984259259259262</v>
      </c>
      <c r="G1586" s="65" t="s">
        <v>195</v>
      </c>
      <c r="H1586" s="52" t="s">
        <v>81</v>
      </c>
      <c r="I1586" s="52" t="s">
        <v>81</v>
      </c>
      <c r="J1586" s="52"/>
      <c r="K1586" s="52"/>
      <c r="L1586" s="52"/>
      <c r="M1586" s="52"/>
      <c r="N1586" s="52" t="s">
        <v>70</v>
      </c>
      <c r="O1586" s="52"/>
      <c r="P1586" s="52"/>
      <c r="Q1586" s="52"/>
      <c r="R1586" s="51" t="b">
        <v>0</v>
      </c>
      <c r="S1586" s="51"/>
      <c r="T1586" s="52"/>
      <c r="U1586" s="51" t="b">
        <v>0</v>
      </c>
      <c r="V1586" s="51" t="b">
        <v>0</v>
      </c>
      <c r="W1586" s="51" t="b">
        <v>0</v>
      </c>
      <c r="X1586" s="51" t="b">
        <v>0</v>
      </c>
      <c r="Y1586" s="51" t="b">
        <v>0</v>
      </c>
      <c r="Z1586" s="51" t="b">
        <v>0</v>
      </c>
      <c r="AA1586" s="68"/>
      <c r="AB1586" s="52"/>
      <c r="AC1586" s="52"/>
      <c r="AD1586" s="52"/>
      <c r="AE1586" s="56"/>
      <c r="AF1586" s="56" t="s">
        <v>1944</v>
      </c>
    </row>
    <row r="1587">
      <c r="A1587" s="52" t="s">
        <v>4876</v>
      </c>
      <c r="B1587" s="52" t="s">
        <v>607</v>
      </c>
      <c r="C1587" s="52" t="s">
        <v>607</v>
      </c>
      <c r="D1587" s="65" t="s">
        <v>607</v>
      </c>
      <c r="E1587" s="65" t="s">
        <v>607</v>
      </c>
      <c r="F1587" s="65" t="s">
        <v>607</v>
      </c>
      <c r="G1587" s="65" t="s">
        <v>607</v>
      </c>
      <c r="H1587" s="52" t="s">
        <v>607</v>
      </c>
      <c r="I1587" s="52" t="s">
        <v>607</v>
      </c>
      <c r="J1587" s="52" t="s">
        <v>607</v>
      </c>
      <c r="K1587" s="52" t="s">
        <v>607</v>
      </c>
      <c r="L1587" s="52" t="s">
        <v>607</v>
      </c>
      <c r="M1587" s="52" t="s">
        <v>607</v>
      </c>
      <c r="N1587" s="52" t="s">
        <v>607</v>
      </c>
      <c r="O1587" s="52"/>
      <c r="P1587" s="52"/>
      <c r="Q1587" s="52"/>
      <c r="R1587" s="51" t="b">
        <v>0</v>
      </c>
      <c r="S1587" s="51"/>
      <c r="T1587" s="52"/>
      <c r="U1587" s="51" t="b">
        <v>0</v>
      </c>
      <c r="V1587" s="51" t="b">
        <v>0</v>
      </c>
      <c r="W1587" s="51" t="b">
        <v>0</v>
      </c>
      <c r="X1587" s="51" t="b">
        <v>0</v>
      </c>
      <c r="Y1587" s="51" t="b">
        <v>0</v>
      </c>
      <c r="Z1587" s="51" t="b">
        <v>0</v>
      </c>
      <c r="AA1587" s="68"/>
      <c r="AB1587" s="52"/>
      <c r="AC1587" s="52"/>
      <c r="AD1587" s="52"/>
      <c r="AE1587" s="56" t="s">
        <v>607</v>
      </c>
      <c r="AF1587" s="56" t="s">
        <v>607</v>
      </c>
    </row>
    <row r="1588">
      <c r="A1588" s="52" t="s">
        <v>4877</v>
      </c>
      <c r="B1588" s="52" t="s">
        <v>607</v>
      </c>
      <c r="C1588" s="52" t="s">
        <v>607</v>
      </c>
      <c r="D1588" s="65" t="s">
        <v>607</v>
      </c>
      <c r="E1588" s="65" t="s">
        <v>607</v>
      </c>
      <c r="F1588" s="65" t="s">
        <v>607</v>
      </c>
      <c r="G1588" s="65" t="s">
        <v>607</v>
      </c>
      <c r="H1588" s="52" t="s">
        <v>607</v>
      </c>
      <c r="I1588" s="52" t="s">
        <v>607</v>
      </c>
      <c r="J1588" s="52" t="s">
        <v>607</v>
      </c>
      <c r="K1588" s="52" t="s">
        <v>607</v>
      </c>
      <c r="L1588" s="52" t="s">
        <v>607</v>
      </c>
      <c r="M1588" s="52" t="s">
        <v>607</v>
      </c>
      <c r="N1588" s="52" t="s">
        <v>607</v>
      </c>
      <c r="O1588" s="52"/>
      <c r="P1588" s="52"/>
      <c r="Q1588" s="52"/>
      <c r="R1588" s="51" t="b">
        <v>0</v>
      </c>
      <c r="S1588" s="51"/>
      <c r="T1588" s="52"/>
      <c r="U1588" s="51" t="b">
        <v>0</v>
      </c>
      <c r="V1588" s="51" t="b">
        <v>0</v>
      </c>
      <c r="W1588" s="51" t="b">
        <v>0</v>
      </c>
      <c r="X1588" s="51" t="b">
        <v>0</v>
      </c>
      <c r="Y1588" s="51" t="b">
        <v>0</v>
      </c>
      <c r="Z1588" s="51" t="b">
        <v>0</v>
      </c>
      <c r="AA1588" s="68"/>
      <c r="AB1588" s="52"/>
      <c r="AC1588" s="52"/>
      <c r="AD1588" s="52"/>
      <c r="AE1588" s="56" t="s">
        <v>607</v>
      </c>
      <c r="AF1588" s="56" t="s">
        <v>607</v>
      </c>
    </row>
    <row r="1589">
      <c r="A1589" s="52" t="s">
        <v>4878</v>
      </c>
      <c r="B1589" s="52" t="s">
        <v>14</v>
      </c>
      <c r="C1589" s="52" t="s">
        <v>289</v>
      </c>
      <c r="D1589" s="65">
        <v>0.5873379629629627</v>
      </c>
      <c r="E1589" s="65">
        <v>2.314814814814815E-4</v>
      </c>
      <c r="F1589" s="65">
        <v>0.5875694444444441</v>
      </c>
      <c r="G1589" s="65"/>
      <c r="H1589" s="52" t="s">
        <v>81</v>
      </c>
      <c r="I1589" s="52" t="s">
        <v>119</v>
      </c>
      <c r="J1589" s="52" t="s">
        <v>128</v>
      </c>
      <c r="K1589" s="52"/>
      <c r="L1589" s="52"/>
      <c r="M1589" s="52"/>
      <c r="N1589" s="52"/>
      <c r="O1589" s="52"/>
      <c r="P1589" s="52"/>
      <c r="Q1589" s="52"/>
      <c r="R1589" s="51" t="b">
        <v>0</v>
      </c>
      <c r="S1589" s="51"/>
      <c r="T1589" s="52"/>
      <c r="U1589" s="51" t="b">
        <v>0</v>
      </c>
      <c r="V1589" s="51" t="b">
        <v>0</v>
      </c>
      <c r="W1589" s="51" t="b">
        <v>0</v>
      </c>
      <c r="X1589" s="51" t="b">
        <v>0</v>
      </c>
      <c r="Y1589" s="51" t="b">
        <v>0</v>
      </c>
      <c r="Z1589" s="51" t="b">
        <v>0</v>
      </c>
      <c r="AA1589" s="68"/>
      <c r="AB1589" s="52"/>
      <c r="AC1589" s="52"/>
      <c r="AD1589" s="52"/>
      <c r="AE1589" s="56"/>
      <c r="AF1589" s="56"/>
    </row>
    <row r="1590">
      <c r="A1590" s="52" t="s">
        <v>4879</v>
      </c>
      <c r="B1590" s="52" t="s">
        <v>14</v>
      </c>
      <c r="C1590" s="52" t="s">
        <v>289</v>
      </c>
      <c r="D1590" s="65">
        <v>0.5875694444444441</v>
      </c>
      <c r="E1590" s="65">
        <v>0.010416666666666666</v>
      </c>
      <c r="F1590" s="65">
        <v>0.5979861111111108</v>
      </c>
      <c r="G1590" s="65"/>
      <c r="H1590" s="52" t="s">
        <v>94</v>
      </c>
      <c r="I1590" s="52" t="s">
        <v>423</v>
      </c>
      <c r="J1590" s="52" t="s">
        <v>424</v>
      </c>
      <c r="K1590" s="52"/>
      <c r="L1590" s="52"/>
      <c r="M1590" s="52"/>
      <c r="N1590" s="52" t="s">
        <v>425</v>
      </c>
      <c r="O1590" s="52"/>
      <c r="P1590" s="52"/>
      <c r="Q1590" s="52"/>
      <c r="R1590" s="51" t="b">
        <v>0</v>
      </c>
      <c r="S1590" s="51"/>
      <c r="T1590" s="52"/>
      <c r="U1590" s="51" t="b">
        <v>0</v>
      </c>
      <c r="V1590" s="51" t="b">
        <v>0</v>
      </c>
      <c r="W1590" s="51" t="b">
        <v>0</v>
      </c>
      <c r="X1590" s="51" t="b">
        <v>0</v>
      </c>
      <c r="Y1590" s="51" t="b">
        <v>0</v>
      </c>
      <c r="Z1590" s="51" t="b">
        <v>0</v>
      </c>
      <c r="AA1590" s="68"/>
      <c r="AB1590" s="52"/>
      <c r="AC1590" s="52"/>
      <c r="AD1590" s="52"/>
      <c r="AE1590" s="56" t="s">
        <v>1025</v>
      </c>
      <c r="AF1590" s="56" t="s">
        <v>860</v>
      </c>
    </row>
    <row r="1591">
      <c r="A1591" s="52" t="s">
        <v>4880</v>
      </c>
      <c r="B1591" s="52" t="s">
        <v>607</v>
      </c>
      <c r="C1591" s="52" t="s">
        <v>607</v>
      </c>
      <c r="D1591" s="65" t="s">
        <v>607</v>
      </c>
      <c r="E1591" s="65" t="s">
        <v>607</v>
      </c>
      <c r="F1591" s="65" t="s">
        <v>607</v>
      </c>
      <c r="G1591" s="65" t="s">
        <v>607</v>
      </c>
      <c r="H1591" s="52" t="s">
        <v>607</v>
      </c>
      <c r="I1591" s="52" t="s">
        <v>607</v>
      </c>
      <c r="J1591" s="52" t="s">
        <v>607</v>
      </c>
      <c r="K1591" s="52" t="s">
        <v>607</v>
      </c>
      <c r="L1591" s="52" t="s">
        <v>607</v>
      </c>
      <c r="M1591" s="52" t="s">
        <v>607</v>
      </c>
      <c r="N1591" s="52" t="s">
        <v>607</v>
      </c>
      <c r="O1591" s="52"/>
      <c r="P1591" s="52"/>
      <c r="Q1591" s="52"/>
      <c r="R1591" s="51" t="b">
        <v>0</v>
      </c>
      <c r="S1591" s="51"/>
      <c r="T1591" s="52"/>
      <c r="U1591" s="51" t="b">
        <v>0</v>
      </c>
      <c r="V1591" s="51" t="b">
        <v>0</v>
      </c>
      <c r="W1591" s="51" t="b">
        <v>0</v>
      </c>
      <c r="X1591" s="51" t="b">
        <v>0</v>
      </c>
      <c r="Y1591" s="51" t="b">
        <v>0</v>
      </c>
      <c r="Z1591" s="51" t="b">
        <v>0</v>
      </c>
      <c r="AA1591" s="68"/>
      <c r="AB1591" s="52"/>
      <c r="AC1591" s="52"/>
      <c r="AD1591" s="52"/>
      <c r="AE1591" s="56" t="s">
        <v>607</v>
      </c>
      <c r="AF1591" s="56" t="s">
        <v>607</v>
      </c>
    </row>
    <row r="1592">
      <c r="A1592" s="52" t="s">
        <v>4881</v>
      </c>
      <c r="B1592" s="52" t="s">
        <v>14</v>
      </c>
      <c r="C1592" s="52" t="s">
        <v>289</v>
      </c>
      <c r="D1592" s="65">
        <v>0.6422569444444437</v>
      </c>
      <c r="E1592" s="65">
        <v>5.208333333333333E-4</v>
      </c>
      <c r="F1592" s="65">
        <v>0.642777777777777</v>
      </c>
      <c r="G1592" s="65"/>
      <c r="H1592" s="52" t="s">
        <v>79</v>
      </c>
      <c r="I1592" s="52" t="s">
        <v>80</v>
      </c>
      <c r="J1592" s="52" t="s">
        <v>69</v>
      </c>
      <c r="K1592" s="52"/>
      <c r="L1592" s="52"/>
      <c r="M1592" s="52"/>
      <c r="N1592" s="52"/>
      <c r="O1592" s="52"/>
      <c r="P1592" s="52"/>
      <c r="Q1592" s="52"/>
      <c r="R1592" s="51" t="b">
        <v>0</v>
      </c>
      <c r="S1592" s="51"/>
      <c r="T1592" s="52"/>
      <c r="U1592" s="51" t="b">
        <v>0</v>
      </c>
      <c r="V1592" s="51" t="b">
        <v>0</v>
      </c>
      <c r="W1592" s="51" t="b">
        <v>0</v>
      </c>
      <c r="X1592" s="51" t="b">
        <v>0</v>
      </c>
      <c r="Y1592" s="51" t="b">
        <v>0</v>
      </c>
      <c r="Z1592" s="51" t="b">
        <v>0</v>
      </c>
      <c r="AA1592" s="68"/>
      <c r="AB1592" s="52"/>
      <c r="AC1592" s="52"/>
      <c r="AD1592" s="52"/>
      <c r="AE1592" s="56"/>
      <c r="AF1592" s="56"/>
    </row>
    <row r="1593">
      <c r="A1593" s="52" t="s">
        <v>4882</v>
      </c>
      <c r="B1593" s="52" t="s">
        <v>607</v>
      </c>
      <c r="C1593" s="52" t="s">
        <v>607</v>
      </c>
      <c r="D1593" s="65" t="s">
        <v>607</v>
      </c>
      <c r="E1593" s="65" t="s">
        <v>607</v>
      </c>
      <c r="F1593" s="65" t="s">
        <v>607</v>
      </c>
      <c r="G1593" s="65" t="s">
        <v>607</v>
      </c>
      <c r="H1593" s="52" t="s">
        <v>607</v>
      </c>
      <c r="I1593" s="52" t="s">
        <v>607</v>
      </c>
      <c r="J1593" s="52" t="s">
        <v>607</v>
      </c>
      <c r="K1593" s="52" t="s">
        <v>607</v>
      </c>
      <c r="L1593" s="52" t="s">
        <v>607</v>
      </c>
      <c r="M1593" s="52" t="s">
        <v>607</v>
      </c>
      <c r="N1593" s="52" t="s">
        <v>607</v>
      </c>
      <c r="O1593" s="52"/>
      <c r="P1593" s="52"/>
      <c r="Q1593" s="52"/>
      <c r="R1593" s="51" t="b">
        <v>0</v>
      </c>
      <c r="S1593" s="51"/>
      <c r="T1593" s="52"/>
      <c r="U1593" s="51" t="b">
        <v>0</v>
      </c>
      <c r="V1593" s="51" t="b">
        <v>0</v>
      </c>
      <c r="W1593" s="51" t="b">
        <v>0</v>
      </c>
      <c r="X1593" s="51" t="b">
        <v>0</v>
      </c>
      <c r="Y1593" s="51" t="b">
        <v>0</v>
      </c>
      <c r="Z1593" s="51" t="b">
        <v>0</v>
      </c>
      <c r="AA1593" s="68"/>
      <c r="AB1593" s="52"/>
      <c r="AC1593" s="52"/>
      <c r="AD1593" s="52"/>
      <c r="AE1593" s="56" t="s">
        <v>607</v>
      </c>
      <c r="AF1593" s="56" t="s">
        <v>607</v>
      </c>
    </row>
    <row r="1594">
      <c r="A1594" s="52" t="s">
        <v>4883</v>
      </c>
      <c r="B1594" s="52" t="s">
        <v>607</v>
      </c>
      <c r="C1594" s="52" t="s">
        <v>607</v>
      </c>
      <c r="D1594" s="65" t="s">
        <v>607</v>
      </c>
      <c r="E1594" s="65" t="s">
        <v>607</v>
      </c>
      <c r="F1594" s="65" t="s">
        <v>607</v>
      </c>
      <c r="G1594" s="65" t="s">
        <v>607</v>
      </c>
      <c r="H1594" s="52" t="s">
        <v>607</v>
      </c>
      <c r="I1594" s="52" t="s">
        <v>607</v>
      </c>
      <c r="J1594" s="52" t="s">
        <v>607</v>
      </c>
      <c r="K1594" s="52" t="s">
        <v>607</v>
      </c>
      <c r="L1594" s="52" t="s">
        <v>607</v>
      </c>
      <c r="M1594" s="52" t="s">
        <v>607</v>
      </c>
      <c r="N1594" s="52" t="s">
        <v>607</v>
      </c>
      <c r="O1594" s="52"/>
      <c r="P1594" s="52"/>
      <c r="Q1594" s="52"/>
      <c r="R1594" s="51" t="b">
        <v>0</v>
      </c>
      <c r="S1594" s="51"/>
      <c r="T1594" s="52"/>
      <c r="U1594" s="51" t="b">
        <v>0</v>
      </c>
      <c r="V1594" s="51" t="b">
        <v>0</v>
      </c>
      <c r="W1594" s="51" t="b">
        <v>0</v>
      </c>
      <c r="X1594" s="51" t="b">
        <v>0</v>
      </c>
      <c r="Y1594" s="51" t="b">
        <v>0</v>
      </c>
      <c r="Z1594" s="51" t="b">
        <v>0</v>
      </c>
      <c r="AA1594" s="68"/>
      <c r="AB1594" s="52"/>
      <c r="AC1594" s="52"/>
      <c r="AD1594" s="52"/>
      <c r="AE1594" s="56" t="s">
        <v>607</v>
      </c>
      <c r="AF1594" s="56" t="s">
        <v>607</v>
      </c>
    </row>
    <row r="1595">
      <c r="A1595" s="52" t="s">
        <v>4884</v>
      </c>
      <c r="B1595" s="52" t="s">
        <v>14</v>
      </c>
      <c r="C1595" s="52" t="s">
        <v>289</v>
      </c>
      <c r="D1595" s="65">
        <v>0.6267939814814808</v>
      </c>
      <c r="E1595" s="65">
        <v>3.4722222222222224E-4</v>
      </c>
      <c r="F1595" s="65">
        <v>0.6271412037037031</v>
      </c>
      <c r="G1595" s="65"/>
      <c r="H1595" s="52" t="s">
        <v>79</v>
      </c>
      <c r="I1595" s="52" t="s">
        <v>80</v>
      </c>
      <c r="J1595" s="52" t="s">
        <v>69</v>
      </c>
      <c r="K1595" s="52"/>
      <c r="L1595" s="52"/>
      <c r="M1595" s="52"/>
      <c r="N1595" s="52"/>
      <c r="O1595" s="52"/>
      <c r="P1595" s="52"/>
      <c r="Q1595" s="52"/>
      <c r="R1595" s="51" t="b">
        <v>0</v>
      </c>
      <c r="S1595" s="51"/>
      <c r="T1595" s="52"/>
      <c r="U1595" s="51" t="b">
        <v>0</v>
      </c>
      <c r="V1595" s="51" t="b">
        <v>0</v>
      </c>
      <c r="W1595" s="51" t="b">
        <v>0</v>
      </c>
      <c r="X1595" s="51" t="b">
        <v>0</v>
      </c>
      <c r="Y1595" s="51" t="b">
        <v>0</v>
      </c>
      <c r="Z1595" s="51" t="b">
        <v>0</v>
      </c>
      <c r="AA1595" s="68"/>
      <c r="AB1595" s="52"/>
      <c r="AC1595" s="52"/>
      <c r="AD1595" s="52"/>
      <c r="AE1595" s="56"/>
      <c r="AF1595" s="56"/>
    </row>
    <row r="1596">
      <c r="A1596" s="52" t="s">
        <v>4885</v>
      </c>
      <c r="B1596" s="52" t="s">
        <v>607</v>
      </c>
      <c r="C1596" s="52" t="s">
        <v>607</v>
      </c>
      <c r="D1596" s="65" t="s">
        <v>607</v>
      </c>
      <c r="E1596" s="65" t="s">
        <v>607</v>
      </c>
      <c r="F1596" s="65" t="s">
        <v>607</v>
      </c>
      <c r="G1596" s="65" t="s">
        <v>607</v>
      </c>
      <c r="H1596" s="52" t="s">
        <v>607</v>
      </c>
      <c r="I1596" s="52" t="s">
        <v>607</v>
      </c>
      <c r="J1596" s="52" t="s">
        <v>607</v>
      </c>
      <c r="K1596" s="52" t="s">
        <v>607</v>
      </c>
      <c r="L1596" s="52" t="s">
        <v>607</v>
      </c>
      <c r="M1596" s="52" t="s">
        <v>607</v>
      </c>
      <c r="N1596" s="52" t="s">
        <v>607</v>
      </c>
      <c r="O1596" s="52"/>
      <c r="P1596" s="52"/>
      <c r="Q1596" s="52"/>
      <c r="R1596" s="51" t="b">
        <v>0</v>
      </c>
      <c r="S1596" s="51"/>
      <c r="T1596" s="52"/>
      <c r="U1596" s="51" t="b">
        <v>0</v>
      </c>
      <c r="V1596" s="51" t="b">
        <v>0</v>
      </c>
      <c r="W1596" s="51" t="b">
        <v>0</v>
      </c>
      <c r="X1596" s="51" t="b">
        <v>0</v>
      </c>
      <c r="Y1596" s="51" t="b">
        <v>0</v>
      </c>
      <c r="Z1596" s="51" t="b">
        <v>0</v>
      </c>
      <c r="AA1596" s="68"/>
      <c r="AB1596" s="52"/>
      <c r="AC1596" s="52"/>
      <c r="AD1596" s="52"/>
      <c r="AE1596" s="56" t="s">
        <v>607</v>
      </c>
      <c r="AF1596" s="56" t="s">
        <v>607</v>
      </c>
    </row>
    <row r="1597">
      <c r="A1597" s="52" t="s">
        <v>4886</v>
      </c>
      <c r="B1597" s="52" t="s">
        <v>607</v>
      </c>
      <c r="C1597" s="52" t="s">
        <v>607</v>
      </c>
      <c r="D1597" s="65" t="s">
        <v>607</v>
      </c>
      <c r="E1597" s="65" t="s">
        <v>607</v>
      </c>
      <c r="F1597" s="65" t="s">
        <v>607</v>
      </c>
      <c r="G1597" s="65" t="s">
        <v>607</v>
      </c>
      <c r="H1597" s="52" t="s">
        <v>607</v>
      </c>
      <c r="I1597" s="52" t="s">
        <v>607</v>
      </c>
      <c r="J1597" s="52" t="s">
        <v>607</v>
      </c>
      <c r="K1597" s="52" t="s">
        <v>607</v>
      </c>
      <c r="L1597" s="52" t="s">
        <v>607</v>
      </c>
      <c r="M1597" s="52" t="s">
        <v>607</v>
      </c>
      <c r="N1597" s="52" t="s">
        <v>607</v>
      </c>
      <c r="O1597" s="52"/>
      <c r="P1597" s="52"/>
      <c r="Q1597" s="52"/>
      <c r="R1597" s="51" t="b">
        <v>0</v>
      </c>
      <c r="S1597" s="51"/>
      <c r="T1597" s="52"/>
      <c r="U1597" s="51" t="b">
        <v>0</v>
      </c>
      <c r="V1597" s="51" t="b">
        <v>0</v>
      </c>
      <c r="W1597" s="51" t="b">
        <v>0</v>
      </c>
      <c r="X1597" s="51" t="b">
        <v>0</v>
      </c>
      <c r="Y1597" s="51" t="b">
        <v>0</v>
      </c>
      <c r="Z1597" s="51" t="b">
        <v>0</v>
      </c>
      <c r="AA1597" s="68"/>
      <c r="AB1597" s="52"/>
      <c r="AC1597" s="52"/>
      <c r="AD1597" s="52"/>
      <c r="AE1597" s="56" t="s">
        <v>607</v>
      </c>
      <c r="AF1597" s="56" t="s">
        <v>607</v>
      </c>
    </row>
    <row r="1598">
      <c r="A1598" s="52" t="s">
        <v>4887</v>
      </c>
      <c r="B1598" s="52" t="s">
        <v>607</v>
      </c>
      <c r="C1598" s="52" t="s">
        <v>607</v>
      </c>
      <c r="D1598" s="65" t="s">
        <v>607</v>
      </c>
      <c r="E1598" s="65" t="s">
        <v>607</v>
      </c>
      <c r="F1598" s="65" t="s">
        <v>607</v>
      </c>
      <c r="G1598" s="65" t="s">
        <v>607</v>
      </c>
      <c r="H1598" s="52" t="s">
        <v>607</v>
      </c>
      <c r="I1598" s="52" t="s">
        <v>607</v>
      </c>
      <c r="J1598" s="52" t="s">
        <v>607</v>
      </c>
      <c r="K1598" s="52" t="s">
        <v>607</v>
      </c>
      <c r="L1598" s="52" t="s">
        <v>607</v>
      </c>
      <c r="M1598" s="52" t="s">
        <v>607</v>
      </c>
      <c r="N1598" s="52" t="s">
        <v>607</v>
      </c>
      <c r="O1598" s="52"/>
      <c r="P1598" s="52"/>
      <c r="Q1598" s="52"/>
      <c r="R1598" s="51" t="b">
        <v>0</v>
      </c>
      <c r="S1598" s="51"/>
      <c r="T1598" s="52"/>
      <c r="U1598" s="51" t="b">
        <v>0</v>
      </c>
      <c r="V1598" s="51" t="b">
        <v>0</v>
      </c>
      <c r="W1598" s="51" t="b">
        <v>0</v>
      </c>
      <c r="X1598" s="51" t="b">
        <v>0</v>
      </c>
      <c r="Y1598" s="51" t="b">
        <v>0</v>
      </c>
      <c r="Z1598" s="51" t="b">
        <v>0</v>
      </c>
      <c r="AA1598" s="68"/>
      <c r="AB1598" s="52"/>
      <c r="AC1598" s="52"/>
      <c r="AD1598" s="52"/>
      <c r="AE1598" s="56" t="s">
        <v>607</v>
      </c>
      <c r="AF1598" s="56" t="s">
        <v>607</v>
      </c>
    </row>
    <row r="1599">
      <c r="A1599" s="52" t="s">
        <v>4888</v>
      </c>
      <c r="B1599" s="52" t="s">
        <v>607</v>
      </c>
      <c r="C1599" s="52" t="s">
        <v>607</v>
      </c>
      <c r="D1599" s="65" t="s">
        <v>607</v>
      </c>
      <c r="E1599" s="65" t="s">
        <v>607</v>
      </c>
      <c r="F1599" s="65" t="s">
        <v>607</v>
      </c>
      <c r="G1599" s="65" t="s">
        <v>607</v>
      </c>
      <c r="H1599" s="52" t="s">
        <v>607</v>
      </c>
      <c r="I1599" s="52" t="s">
        <v>607</v>
      </c>
      <c r="J1599" s="52" t="s">
        <v>607</v>
      </c>
      <c r="K1599" s="52" t="s">
        <v>607</v>
      </c>
      <c r="L1599" s="52" t="s">
        <v>607</v>
      </c>
      <c r="M1599" s="52" t="s">
        <v>607</v>
      </c>
      <c r="N1599" s="52" t="s">
        <v>607</v>
      </c>
      <c r="O1599" s="52"/>
      <c r="P1599" s="52"/>
      <c r="Q1599" s="52"/>
      <c r="R1599" s="51" t="b">
        <v>0</v>
      </c>
      <c r="S1599" s="51"/>
      <c r="T1599" s="52"/>
      <c r="U1599" s="51" t="b">
        <v>0</v>
      </c>
      <c r="V1599" s="51" t="b">
        <v>0</v>
      </c>
      <c r="W1599" s="51" t="b">
        <v>0</v>
      </c>
      <c r="X1599" s="51" t="b">
        <v>0</v>
      </c>
      <c r="Y1599" s="51" t="b">
        <v>0</v>
      </c>
      <c r="Z1599" s="51" t="b">
        <v>0</v>
      </c>
      <c r="AA1599" s="68"/>
      <c r="AB1599" s="52"/>
      <c r="AC1599" s="52"/>
      <c r="AD1599" s="52"/>
      <c r="AE1599" s="56" t="s">
        <v>607</v>
      </c>
      <c r="AF1599" s="56" t="s">
        <v>607</v>
      </c>
    </row>
    <row r="1600">
      <c r="A1600" s="52" t="s">
        <v>4889</v>
      </c>
      <c r="B1600" s="52" t="s">
        <v>607</v>
      </c>
      <c r="C1600" s="52" t="s">
        <v>607</v>
      </c>
      <c r="D1600" s="65" t="s">
        <v>607</v>
      </c>
      <c r="E1600" s="65" t="s">
        <v>607</v>
      </c>
      <c r="F1600" s="65" t="s">
        <v>607</v>
      </c>
      <c r="G1600" s="65" t="s">
        <v>607</v>
      </c>
      <c r="H1600" s="52" t="s">
        <v>607</v>
      </c>
      <c r="I1600" s="52" t="s">
        <v>607</v>
      </c>
      <c r="J1600" s="52" t="s">
        <v>607</v>
      </c>
      <c r="K1600" s="52" t="s">
        <v>607</v>
      </c>
      <c r="L1600" s="52" t="s">
        <v>607</v>
      </c>
      <c r="M1600" s="52" t="s">
        <v>607</v>
      </c>
      <c r="N1600" s="52" t="s">
        <v>607</v>
      </c>
      <c r="O1600" s="52"/>
      <c r="P1600" s="52"/>
      <c r="Q1600" s="52"/>
      <c r="R1600" s="51" t="b">
        <v>0</v>
      </c>
      <c r="S1600" s="51"/>
      <c r="T1600" s="52"/>
      <c r="U1600" s="51" t="b">
        <v>0</v>
      </c>
      <c r="V1600" s="51" t="b">
        <v>0</v>
      </c>
      <c r="W1600" s="51" t="b">
        <v>0</v>
      </c>
      <c r="X1600" s="51" t="b">
        <v>0</v>
      </c>
      <c r="Y1600" s="51" t="b">
        <v>0</v>
      </c>
      <c r="Z1600" s="51" t="b">
        <v>0</v>
      </c>
      <c r="AA1600" s="68"/>
      <c r="AB1600" s="52"/>
      <c r="AC1600" s="52"/>
      <c r="AD1600" s="52"/>
      <c r="AE1600" s="56" t="s">
        <v>607</v>
      </c>
      <c r="AF1600" s="56" t="s">
        <v>607</v>
      </c>
    </row>
    <row r="1601">
      <c r="A1601" s="52" t="s">
        <v>4890</v>
      </c>
      <c r="B1601" s="52" t="s">
        <v>14</v>
      </c>
      <c r="C1601" s="52" t="s">
        <v>289</v>
      </c>
      <c r="D1601" s="65">
        <v>0.5097800925925928</v>
      </c>
      <c r="E1601" s="65">
        <v>3.4722222222222224E-4</v>
      </c>
      <c r="F1601" s="65">
        <v>0.5101273148148151</v>
      </c>
      <c r="G1601" s="65"/>
      <c r="H1601" s="52" t="s">
        <v>79</v>
      </c>
      <c r="I1601" s="52" t="s">
        <v>80</v>
      </c>
      <c r="J1601" s="52" t="s">
        <v>69</v>
      </c>
      <c r="K1601" s="52"/>
      <c r="L1601" s="52"/>
      <c r="M1601" s="52"/>
      <c r="N1601" s="52"/>
      <c r="O1601" s="52"/>
      <c r="P1601" s="52"/>
      <c r="Q1601" s="52"/>
      <c r="R1601" s="51" t="b">
        <v>0</v>
      </c>
      <c r="S1601" s="51"/>
      <c r="T1601" s="52"/>
      <c r="U1601" s="51" t="b">
        <v>0</v>
      </c>
      <c r="V1601" s="51" t="b">
        <v>0</v>
      </c>
      <c r="W1601" s="51" t="b">
        <v>0</v>
      </c>
      <c r="X1601" s="51" t="b">
        <v>0</v>
      </c>
      <c r="Y1601" s="51" t="b">
        <v>0</v>
      </c>
      <c r="Z1601" s="51" t="b">
        <v>0</v>
      </c>
      <c r="AA1601" s="68"/>
      <c r="AB1601" s="52"/>
      <c r="AC1601" s="52"/>
      <c r="AD1601" s="52"/>
      <c r="AE1601" s="56"/>
      <c r="AF1601" s="56"/>
    </row>
    <row r="1602">
      <c r="A1602" s="52" t="s">
        <v>4891</v>
      </c>
      <c r="B1602" s="52" t="s">
        <v>607</v>
      </c>
      <c r="C1602" s="52" t="s">
        <v>607</v>
      </c>
      <c r="D1602" s="65" t="s">
        <v>607</v>
      </c>
      <c r="E1602" s="65" t="s">
        <v>607</v>
      </c>
      <c r="F1602" s="65" t="s">
        <v>607</v>
      </c>
      <c r="G1602" s="65" t="s">
        <v>607</v>
      </c>
      <c r="H1602" s="52" t="s">
        <v>607</v>
      </c>
      <c r="I1602" s="52" t="s">
        <v>607</v>
      </c>
      <c r="J1602" s="52" t="s">
        <v>607</v>
      </c>
      <c r="K1602" s="52" t="s">
        <v>607</v>
      </c>
      <c r="L1602" s="52" t="s">
        <v>607</v>
      </c>
      <c r="M1602" s="52" t="s">
        <v>607</v>
      </c>
      <c r="N1602" s="52" t="s">
        <v>607</v>
      </c>
      <c r="O1602" s="52"/>
      <c r="P1602" s="52"/>
      <c r="Q1602" s="52"/>
      <c r="R1602" s="51" t="b">
        <v>0</v>
      </c>
      <c r="S1602" s="51"/>
      <c r="T1602" s="52"/>
      <c r="U1602" s="51" t="b">
        <v>0</v>
      </c>
      <c r="V1602" s="51" t="b">
        <v>0</v>
      </c>
      <c r="W1602" s="51" t="b">
        <v>0</v>
      </c>
      <c r="X1602" s="51" t="b">
        <v>0</v>
      </c>
      <c r="Y1602" s="51" t="b">
        <v>0</v>
      </c>
      <c r="Z1602" s="51" t="b">
        <v>0</v>
      </c>
      <c r="AA1602" s="68"/>
      <c r="AB1602" s="52"/>
      <c r="AC1602" s="52"/>
      <c r="AD1602" s="52"/>
      <c r="AE1602" s="56" t="s">
        <v>607</v>
      </c>
      <c r="AF1602" s="56" t="s">
        <v>607</v>
      </c>
    </row>
    <row r="1603">
      <c r="A1603" s="52" t="s">
        <v>4892</v>
      </c>
      <c r="B1603" s="52" t="s">
        <v>14</v>
      </c>
      <c r="C1603" s="52" t="s">
        <v>221</v>
      </c>
      <c r="D1603" s="65">
        <v>0.5289120370370374</v>
      </c>
      <c r="E1603" s="65">
        <v>0.010416666666666666</v>
      </c>
      <c r="F1603" s="65">
        <v>0.539328703703704</v>
      </c>
      <c r="G1603" s="65"/>
      <c r="H1603" s="52" t="s">
        <v>107</v>
      </c>
      <c r="I1603" s="52" t="s">
        <v>267</v>
      </c>
      <c r="J1603" s="52" t="s">
        <v>268</v>
      </c>
      <c r="K1603" s="52" t="s">
        <v>269</v>
      </c>
      <c r="L1603" s="52"/>
      <c r="M1603" s="52"/>
      <c r="N1603" s="52" t="s">
        <v>270</v>
      </c>
      <c r="O1603" s="69" t="s">
        <v>734</v>
      </c>
      <c r="P1603" s="69" t="s">
        <v>32</v>
      </c>
      <c r="Q1603" s="73" t="s">
        <v>4893</v>
      </c>
      <c r="R1603" s="51" t="b">
        <v>1</v>
      </c>
      <c r="S1603" s="52" t="s">
        <v>267</v>
      </c>
      <c r="T1603" s="52"/>
      <c r="U1603" s="51" t="b">
        <v>0</v>
      </c>
      <c r="V1603" s="51" t="b">
        <v>1</v>
      </c>
      <c r="W1603" s="51" t="b">
        <v>0</v>
      </c>
      <c r="X1603" s="51" t="b">
        <v>0</v>
      </c>
      <c r="Y1603" s="51" t="b">
        <v>0</v>
      </c>
      <c r="Z1603" s="51" t="b">
        <v>0</v>
      </c>
      <c r="AA1603" s="102">
        <v>0.011122685185185185</v>
      </c>
      <c r="AB1603" s="240" t="s">
        <v>4894</v>
      </c>
      <c r="AC1603" s="52"/>
      <c r="AD1603" s="73" t="s">
        <v>4468</v>
      </c>
      <c r="AE1603" s="56" t="s">
        <v>629</v>
      </c>
      <c r="AF1603" s="56" t="s">
        <v>653</v>
      </c>
    </row>
    <row r="1604">
      <c r="A1604" s="52" t="s">
        <v>4895</v>
      </c>
      <c r="B1604" s="52" t="s">
        <v>607</v>
      </c>
      <c r="C1604" s="52" t="s">
        <v>607</v>
      </c>
      <c r="D1604" s="65" t="s">
        <v>607</v>
      </c>
      <c r="E1604" s="65" t="s">
        <v>607</v>
      </c>
      <c r="F1604" s="65" t="s">
        <v>607</v>
      </c>
      <c r="G1604" s="65" t="s">
        <v>607</v>
      </c>
      <c r="H1604" s="52" t="s">
        <v>607</v>
      </c>
      <c r="I1604" s="52" t="s">
        <v>607</v>
      </c>
      <c r="J1604" s="52" t="s">
        <v>607</v>
      </c>
      <c r="K1604" s="52" t="s">
        <v>607</v>
      </c>
      <c r="L1604" s="52" t="s">
        <v>607</v>
      </c>
      <c r="M1604" s="52" t="s">
        <v>607</v>
      </c>
      <c r="N1604" s="52" t="s">
        <v>607</v>
      </c>
      <c r="O1604" s="52"/>
      <c r="P1604" s="52"/>
      <c r="Q1604" s="52"/>
      <c r="R1604" s="51" t="b">
        <v>0</v>
      </c>
      <c r="S1604" s="51"/>
      <c r="T1604" s="52"/>
      <c r="U1604" s="51" t="b">
        <v>0</v>
      </c>
      <c r="V1604" s="51" t="b">
        <v>0</v>
      </c>
      <c r="W1604" s="51" t="b">
        <v>0</v>
      </c>
      <c r="X1604" s="51" t="b">
        <v>0</v>
      </c>
      <c r="Y1604" s="51" t="b">
        <v>0</v>
      </c>
      <c r="Z1604" s="51" t="b">
        <v>0</v>
      </c>
      <c r="AA1604" s="68"/>
      <c r="AB1604" s="52"/>
      <c r="AC1604" s="52"/>
      <c r="AD1604" s="52"/>
      <c r="AE1604" s="56" t="s">
        <v>607</v>
      </c>
      <c r="AF1604" s="56" t="s">
        <v>607</v>
      </c>
    </row>
    <row r="1605">
      <c r="A1605" s="52" t="s">
        <v>4896</v>
      </c>
      <c r="B1605" s="52" t="s">
        <v>607</v>
      </c>
      <c r="C1605" s="52" t="s">
        <v>607</v>
      </c>
      <c r="D1605" s="65" t="s">
        <v>607</v>
      </c>
      <c r="E1605" s="65" t="s">
        <v>607</v>
      </c>
      <c r="F1605" s="65" t="s">
        <v>607</v>
      </c>
      <c r="G1605" s="65" t="s">
        <v>607</v>
      </c>
      <c r="H1605" s="52" t="s">
        <v>607</v>
      </c>
      <c r="I1605" s="52" t="s">
        <v>607</v>
      </c>
      <c r="J1605" s="52" t="s">
        <v>607</v>
      </c>
      <c r="K1605" s="52" t="s">
        <v>607</v>
      </c>
      <c r="L1605" s="52" t="s">
        <v>607</v>
      </c>
      <c r="M1605" s="52" t="s">
        <v>607</v>
      </c>
      <c r="N1605" s="52" t="s">
        <v>607</v>
      </c>
      <c r="O1605" s="52"/>
      <c r="P1605" s="52"/>
      <c r="Q1605" s="52"/>
      <c r="R1605" s="51" t="b">
        <v>0</v>
      </c>
      <c r="S1605" s="51"/>
      <c r="T1605" s="52"/>
      <c r="U1605" s="51" t="b">
        <v>0</v>
      </c>
      <c r="V1605" s="51" t="b">
        <v>0</v>
      </c>
      <c r="W1605" s="51" t="b">
        <v>0</v>
      </c>
      <c r="X1605" s="51" t="b">
        <v>0</v>
      </c>
      <c r="Y1605" s="51" t="b">
        <v>0</v>
      </c>
      <c r="Z1605" s="51" t="b">
        <v>0</v>
      </c>
      <c r="AA1605" s="68"/>
      <c r="AB1605" s="52"/>
      <c r="AC1605" s="52"/>
      <c r="AD1605" s="52"/>
      <c r="AE1605" s="56" t="s">
        <v>607</v>
      </c>
      <c r="AF1605" s="56" t="s">
        <v>607</v>
      </c>
    </row>
    <row r="1606">
      <c r="A1606" s="52" t="s">
        <v>4897</v>
      </c>
      <c r="B1606" s="52" t="s">
        <v>607</v>
      </c>
      <c r="C1606" s="52" t="s">
        <v>607</v>
      </c>
      <c r="D1606" s="65" t="s">
        <v>607</v>
      </c>
      <c r="E1606" s="65" t="s">
        <v>607</v>
      </c>
      <c r="F1606" s="65" t="s">
        <v>607</v>
      </c>
      <c r="G1606" s="65" t="s">
        <v>607</v>
      </c>
      <c r="H1606" s="52" t="s">
        <v>607</v>
      </c>
      <c r="I1606" s="52" t="s">
        <v>607</v>
      </c>
      <c r="J1606" s="52" t="s">
        <v>607</v>
      </c>
      <c r="K1606" s="52" t="s">
        <v>607</v>
      </c>
      <c r="L1606" s="52" t="s">
        <v>607</v>
      </c>
      <c r="M1606" s="52" t="s">
        <v>607</v>
      </c>
      <c r="N1606" s="52" t="s">
        <v>607</v>
      </c>
      <c r="O1606" s="52"/>
      <c r="P1606" s="52"/>
      <c r="Q1606" s="52"/>
      <c r="R1606" s="51" t="b">
        <v>0</v>
      </c>
      <c r="S1606" s="51"/>
      <c r="T1606" s="52"/>
      <c r="U1606" s="51" t="b">
        <v>0</v>
      </c>
      <c r="V1606" s="51" t="b">
        <v>0</v>
      </c>
      <c r="W1606" s="51" t="b">
        <v>0</v>
      </c>
      <c r="X1606" s="51" t="b">
        <v>0</v>
      </c>
      <c r="Y1606" s="51" t="b">
        <v>0</v>
      </c>
      <c r="Z1606" s="51" t="b">
        <v>0</v>
      </c>
      <c r="AA1606" s="68"/>
      <c r="AB1606" s="52"/>
      <c r="AC1606" s="52"/>
      <c r="AD1606" s="52"/>
      <c r="AE1606" s="56" t="s">
        <v>607</v>
      </c>
      <c r="AF1606" s="56" t="s">
        <v>607</v>
      </c>
    </row>
    <row r="1607">
      <c r="A1607" s="52" t="s">
        <v>4898</v>
      </c>
      <c r="B1607" s="52" t="s">
        <v>14</v>
      </c>
      <c r="C1607" s="52" t="s">
        <v>221</v>
      </c>
      <c r="D1607" s="65">
        <v>0.43263888888888896</v>
      </c>
      <c r="E1607" s="65">
        <v>3.4722222222222224E-4</v>
      </c>
      <c r="F1607" s="65">
        <v>0.4329861111111112</v>
      </c>
      <c r="G1607" s="65"/>
      <c r="H1607" s="52" t="s">
        <v>79</v>
      </c>
      <c r="I1607" s="52" t="s">
        <v>80</v>
      </c>
      <c r="J1607" s="52" t="s">
        <v>69</v>
      </c>
      <c r="K1607" s="52"/>
      <c r="L1607" s="52"/>
      <c r="M1607" s="52"/>
      <c r="N1607" s="52"/>
      <c r="O1607" s="52"/>
      <c r="P1607" s="52"/>
      <c r="Q1607" s="52"/>
      <c r="R1607" s="51" t="b">
        <v>0</v>
      </c>
      <c r="S1607" s="51"/>
      <c r="T1607" s="52"/>
      <c r="U1607" s="51" t="b">
        <v>0</v>
      </c>
      <c r="V1607" s="51" t="b">
        <v>0</v>
      </c>
      <c r="W1607" s="51" t="b">
        <v>0</v>
      </c>
      <c r="X1607" s="51" t="b">
        <v>0</v>
      </c>
      <c r="Y1607" s="51" t="b">
        <v>0</v>
      </c>
      <c r="Z1607" s="51" t="b">
        <v>0</v>
      </c>
      <c r="AA1607" s="68"/>
      <c r="AB1607" s="52"/>
      <c r="AC1607" s="52"/>
      <c r="AD1607" s="52"/>
      <c r="AE1607" s="56"/>
      <c r="AF1607" s="56"/>
    </row>
    <row r="1608">
      <c r="A1608" s="52" t="s">
        <v>4899</v>
      </c>
      <c r="B1608" s="52" t="s">
        <v>14</v>
      </c>
      <c r="C1608" s="52" t="s">
        <v>66</v>
      </c>
      <c r="D1608" s="65">
        <v>0.6087152777777777</v>
      </c>
      <c r="E1608" s="65">
        <v>5.208333333333333E-4</v>
      </c>
      <c r="F1608" s="65">
        <v>0.609236111111111</v>
      </c>
      <c r="G1608" s="65"/>
      <c r="H1608" s="52" t="s">
        <v>79</v>
      </c>
      <c r="I1608" s="52" t="s">
        <v>80</v>
      </c>
      <c r="J1608" s="52" t="s">
        <v>69</v>
      </c>
      <c r="K1608" s="52"/>
      <c r="L1608" s="52"/>
      <c r="M1608" s="52"/>
      <c r="N1608" s="52"/>
      <c r="O1608" s="52"/>
      <c r="P1608" s="52"/>
      <c r="Q1608" s="52"/>
      <c r="R1608" s="51" t="b">
        <v>0</v>
      </c>
      <c r="S1608" s="51"/>
      <c r="T1608" s="52"/>
      <c r="U1608" s="51" t="b">
        <v>0</v>
      </c>
      <c r="V1608" s="51" t="b">
        <v>0</v>
      </c>
      <c r="W1608" s="51" t="b">
        <v>0</v>
      </c>
      <c r="X1608" s="51" t="b">
        <v>0</v>
      </c>
      <c r="Y1608" s="51" t="b">
        <v>0</v>
      </c>
      <c r="Z1608" s="51" t="b">
        <v>0</v>
      </c>
      <c r="AA1608" s="68"/>
      <c r="AB1608" s="52"/>
      <c r="AC1608" s="52"/>
      <c r="AD1608" s="52"/>
      <c r="AE1608" s="56"/>
      <c r="AF1608" s="56"/>
    </row>
    <row r="1609">
      <c r="A1609" s="52" t="s">
        <v>4900</v>
      </c>
      <c r="B1609" s="52" t="s">
        <v>14</v>
      </c>
      <c r="C1609" s="52" t="s">
        <v>66</v>
      </c>
      <c r="D1609" s="65">
        <v>0.5153009259259261</v>
      </c>
      <c r="E1609" s="65">
        <v>3.4722222222222224E-4</v>
      </c>
      <c r="F1609" s="65">
        <v>0.5156481481481484</v>
      </c>
      <c r="G1609" s="65"/>
      <c r="H1609" s="52" t="s">
        <v>87</v>
      </c>
      <c r="I1609" s="52" t="s">
        <v>88</v>
      </c>
      <c r="J1609" s="52" t="s">
        <v>69</v>
      </c>
      <c r="K1609" s="52"/>
      <c r="L1609" s="52"/>
      <c r="M1609" s="52"/>
      <c r="N1609" s="52"/>
      <c r="O1609" s="52"/>
      <c r="P1609" s="52"/>
      <c r="Q1609" s="52"/>
      <c r="R1609" s="51" t="b">
        <v>0</v>
      </c>
      <c r="S1609" s="51"/>
      <c r="T1609" s="52"/>
      <c r="U1609" s="51" t="b">
        <v>0</v>
      </c>
      <c r="V1609" s="51" t="b">
        <v>0</v>
      </c>
      <c r="W1609" s="51" t="b">
        <v>0</v>
      </c>
      <c r="X1609" s="51" t="b">
        <v>0</v>
      </c>
      <c r="Y1609" s="51" t="b">
        <v>0</v>
      </c>
      <c r="Z1609" s="51" t="b">
        <v>0</v>
      </c>
      <c r="AA1609" s="68"/>
      <c r="AB1609" s="52"/>
      <c r="AC1609" s="52"/>
      <c r="AD1609" s="52"/>
      <c r="AE1609" s="56"/>
      <c r="AF1609" s="56" t="s">
        <v>600</v>
      </c>
    </row>
    <row r="1610">
      <c r="A1610" s="52" t="s">
        <v>4901</v>
      </c>
      <c r="B1610" s="52" t="s">
        <v>14</v>
      </c>
      <c r="C1610" s="52" t="s">
        <v>66</v>
      </c>
      <c r="D1610" s="65">
        <v>0.5016435185185188</v>
      </c>
      <c r="E1610" s="65">
        <v>0.0010416666666666667</v>
      </c>
      <c r="F1610" s="65">
        <v>0.5026851851851856</v>
      </c>
      <c r="G1610" s="65"/>
      <c r="H1610" s="52" t="s">
        <v>67</v>
      </c>
      <c r="I1610" s="52" t="s">
        <v>68</v>
      </c>
      <c r="J1610" s="52" t="s">
        <v>69</v>
      </c>
      <c r="K1610" s="52"/>
      <c r="L1610" s="52"/>
      <c r="M1610" s="52"/>
      <c r="N1610" s="52"/>
      <c r="O1610" s="52"/>
      <c r="P1610" s="52"/>
      <c r="Q1610" s="52"/>
      <c r="R1610" s="51" t="b">
        <v>0</v>
      </c>
      <c r="S1610" s="51"/>
      <c r="T1610" s="52"/>
      <c r="U1610" s="51" t="b">
        <v>0</v>
      </c>
      <c r="V1610" s="51" t="b">
        <v>0</v>
      </c>
      <c r="W1610" s="51" t="b">
        <v>0</v>
      </c>
      <c r="X1610" s="51" t="b">
        <v>0</v>
      </c>
      <c r="Y1610" s="51" t="b">
        <v>0</v>
      </c>
      <c r="Z1610" s="51" t="b">
        <v>0</v>
      </c>
      <c r="AA1610" s="68"/>
      <c r="AB1610" s="52"/>
      <c r="AC1610" s="52"/>
      <c r="AD1610" s="52"/>
      <c r="AE1610" s="56"/>
      <c r="AF1610" s="56" t="s">
        <v>600</v>
      </c>
    </row>
    <row r="1611">
      <c r="A1611" s="52" t="s">
        <v>4902</v>
      </c>
      <c r="B1611" s="52" t="s">
        <v>14</v>
      </c>
      <c r="C1611" s="52" t="s">
        <v>66</v>
      </c>
      <c r="D1611" s="65">
        <v>0.5147800925925928</v>
      </c>
      <c r="E1611" s="65">
        <v>5.208333333333333E-4</v>
      </c>
      <c r="F1611" s="65">
        <v>0.5153009259259261</v>
      </c>
      <c r="G1611" s="65"/>
      <c r="H1611" s="52" t="s">
        <v>89</v>
      </c>
      <c r="I1611" s="52" t="s">
        <v>80</v>
      </c>
      <c r="J1611" s="52" t="s">
        <v>69</v>
      </c>
      <c r="K1611" s="52"/>
      <c r="L1611" s="52"/>
      <c r="M1611" s="52"/>
      <c r="N1611" s="52"/>
      <c r="O1611" s="52"/>
      <c r="P1611" s="52"/>
      <c r="Q1611" s="52"/>
      <c r="R1611" s="51" t="b">
        <v>0</v>
      </c>
      <c r="S1611" s="51"/>
      <c r="T1611" s="52"/>
      <c r="U1611" s="51" t="b">
        <v>0</v>
      </c>
      <c r="V1611" s="51" t="b">
        <v>0</v>
      </c>
      <c r="W1611" s="51" t="b">
        <v>0</v>
      </c>
      <c r="X1611" s="51" t="b">
        <v>0</v>
      </c>
      <c r="Y1611" s="51" t="b">
        <v>0</v>
      </c>
      <c r="Z1611" s="51" t="b">
        <v>0</v>
      </c>
      <c r="AA1611" s="68"/>
      <c r="AB1611" s="52"/>
      <c r="AC1611" s="52"/>
      <c r="AD1611" s="52"/>
      <c r="AE1611" s="56"/>
      <c r="AF1611" s="56"/>
    </row>
    <row r="1612">
      <c r="A1612" s="52" t="s">
        <v>4903</v>
      </c>
      <c r="B1612" s="52" t="s">
        <v>14</v>
      </c>
      <c r="C1612" s="52" t="s">
        <v>66</v>
      </c>
      <c r="D1612" s="65">
        <v>0.4262152777777778</v>
      </c>
      <c r="E1612" s="65">
        <v>5.208333333333333E-4</v>
      </c>
      <c r="F1612" s="65">
        <v>0.42673611111111115</v>
      </c>
      <c r="G1612" s="65"/>
      <c r="H1612" s="52" t="s">
        <v>79</v>
      </c>
      <c r="I1612" s="52" t="s">
        <v>80</v>
      </c>
      <c r="J1612" s="52" t="s">
        <v>69</v>
      </c>
      <c r="K1612" s="52"/>
      <c r="L1612" s="52"/>
      <c r="M1612" s="52"/>
      <c r="N1612" s="52"/>
      <c r="O1612" s="52"/>
      <c r="P1612" s="52"/>
      <c r="Q1612" s="52"/>
      <c r="R1612" s="51" t="b">
        <v>0</v>
      </c>
      <c r="S1612" s="51"/>
      <c r="T1612" s="52"/>
      <c r="U1612" s="51" t="b">
        <v>0</v>
      </c>
      <c r="V1612" s="51" t="b">
        <v>0</v>
      </c>
      <c r="W1612" s="51" t="b">
        <v>0</v>
      </c>
      <c r="X1612" s="51" t="b">
        <v>0</v>
      </c>
      <c r="Y1612" s="51" t="b">
        <v>0</v>
      </c>
      <c r="Z1612" s="51" t="b">
        <v>0</v>
      </c>
      <c r="AA1612" s="68"/>
      <c r="AB1612" s="52"/>
      <c r="AC1612" s="52"/>
      <c r="AD1612" s="52"/>
      <c r="AE1612" s="56"/>
      <c r="AF1612" s="56"/>
    </row>
    <row r="1613">
      <c r="A1613" s="52" t="s">
        <v>4904</v>
      </c>
      <c r="B1613" s="52" t="s">
        <v>14</v>
      </c>
      <c r="C1613" s="52" t="s">
        <v>289</v>
      </c>
      <c r="D1613" s="65">
        <v>0.696562499999999</v>
      </c>
      <c r="E1613" s="65">
        <v>2.314814814814815E-4</v>
      </c>
      <c r="F1613" s="65">
        <v>0.6967939814814804</v>
      </c>
      <c r="G1613" s="65"/>
      <c r="H1613" s="52" t="s">
        <v>81</v>
      </c>
      <c r="I1613" s="52" t="s">
        <v>81</v>
      </c>
      <c r="J1613" s="52" t="s">
        <v>128</v>
      </c>
      <c r="K1613" s="52"/>
      <c r="L1613" s="52"/>
      <c r="M1613" s="52"/>
      <c r="N1613" s="52"/>
      <c r="O1613" s="52"/>
      <c r="P1613" s="52"/>
      <c r="Q1613" s="52"/>
      <c r="R1613" s="51" t="b">
        <v>0</v>
      </c>
      <c r="S1613" s="51"/>
      <c r="T1613" s="52"/>
      <c r="U1613" s="51" t="b">
        <v>0</v>
      </c>
      <c r="V1613" s="51" t="b">
        <v>0</v>
      </c>
      <c r="W1613" s="51" t="b">
        <v>0</v>
      </c>
      <c r="X1613" s="51" t="b">
        <v>0</v>
      </c>
      <c r="Y1613" s="51" t="b">
        <v>0</v>
      </c>
      <c r="Z1613" s="51" t="b">
        <v>0</v>
      </c>
      <c r="AA1613" s="68"/>
      <c r="AB1613" s="52"/>
      <c r="AC1613" s="52"/>
      <c r="AD1613" s="52"/>
      <c r="AE1613" s="56"/>
      <c r="AF1613" s="56"/>
    </row>
    <row r="1614">
      <c r="A1614" s="52" t="s">
        <v>4905</v>
      </c>
      <c r="B1614" s="52" t="s">
        <v>14</v>
      </c>
      <c r="C1614" s="52" t="s">
        <v>289</v>
      </c>
      <c r="D1614" s="65">
        <v>0.6967939814814804</v>
      </c>
      <c r="E1614" s="65">
        <v>0.013888888888888888</v>
      </c>
      <c r="F1614" s="65">
        <v>0.7106828703703693</v>
      </c>
      <c r="G1614" s="65"/>
      <c r="H1614" s="52" t="s">
        <v>94</v>
      </c>
      <c r="I1614" s="52" t="s">
        <v>202</v>
      </c>
      <c r="J1614" s="52" t="s">
        <v>467</v>
      </c>
      <c r="K1614" s="52"/>
      <c r="L1614" s="52"/>
      <c r="M1614" s="52"/>
      <c r="N1614" s="52" t="s">
        <v>342</v>
      </c>
      <c r="O1614" s="52"/>
      <c r="P1614" s="52"/>
      <c r="Q1614" s="52"/>
      <c r="R1614" s="51" t="b">
        <v>0</v>
      </c>
      <c r="S1614" s="51"/>
      <c r="T1614" s="52"/>
      <c r="U1614" s="51" t="b">
        <v>0</v>
      </c>
      <c r="V1614" s="51" t="b">
        <v>0</v>
      </c>
      <c r="W1614" s="51" t="b">
        <v>0</v>
      </c>
      <c r="X1614" s="51" t="b">
        <v>0</v>
      </c>
      <c r="Y1614" s="51" t="b">
        <v>0</v>
      </c>
      <c r="Z1614" s="51" t="b">
        <v>0</v>
      </c>
      <c r="AA1614" s="68"/>
      <c r="AB1614" s="52"/>
      <c r="AC1614" s="52"/>
      <c r="AD1614" s="52"/>
      <c r="AE1614" s="56"/>
      <c r="AF1614" s="56" t="s">
        <v>653</v>
      </c>
    </row>
    <row r="1615">
      <c r="A1615" s="52" t="s">
        <v>4906</v>
      </c>
      <c r="B1615" s="52" t="s">
        <v>607</v>
      </c>
      <c r="C1615" s="52" t="s">
        <v>607</v>
      </c>
      <c r="D1615" s="65" t="s">
        <v>607</v>
      </c>
      <c r="E1615" s="65" t="s">
        <v>607</v>
      </c>
      <c r="F1615" s="65" t="s">
        <v>607</v>
      </c>
      <c r="G1615" s="65" t="s">
        <v>607</v>
      </c>
      <c r="H1615" s="52" t="s">
        <v>607</v>
      </c>
      <c r="I1615" s="52" t="s">
        <v>607</v>
      </c>
      <c r="J1615" s="52" t="s">
        <v>607</v>
      </c>
      <c r="K1615" s="52" t="s">
        <v>607</v>
      </c>
      <c r="L1615" s="52" t="s">
        <v>607</v>
      </c>
      <c r="M1615" s="52" t="s">
        <v>607</v>
      </c>
      <c r="N1615" s="52" t="s">
        <v>607</v>
      </c>
      <c r="O1615" s="52"/>
      <c r="P1615" s="52"/>
      <c r="Q1615" s="52"/>
      <c r="R1615" s="51" t="b">
        <v>0</v>
      </c>
      <c r="S1615" s="51"/>
      <c r="T1615" s="52"/>
      <c r="U1615" s="51" t="b">
        <v>0</v>
      </c>
      <c r="V1615" s="51" t="b">
        <v>0</v>
      </c>
      <c r="W1615" s="51" t="b">
        <v>0</v>
      </c>
      <c r="X1615" s="51" t="b">
        <v>0</v>
      </c>
      <c r="Y1615" s="51" t="b">
        <v>0</v>
      </c>
      <c r="Z1615" s="51" t="b">
        <v>0</v>
      </c>
      <c r="AA1615" s="68"/>
      <c r="AB1615" s="52"/>
      <c r="AC1615" s="52"/>
      <c r="AD1615" s="52"/>
      <c r="AE1615" s="56" t="s">
        <v>607</v>
      </c>
      <c r="AF1615" s="56" t="s">
        <v>607</v>
      </c>
    </row>
    <row r="1616">
      <c r="A1616" s="52" t="s">
        <v>4907</v>
      </c>
      <c r="B1616" s="52" t="s">
        <v>607</v>
      </c>
      <c r="C1616" s="52" t="s">
        <v>607</v>
      </c>
      <c r="D1616" s="65" t="s">
        <v>607</v>
      </c>
      <c r="E1616" s="65" t="s">
        <v>607</v>
      </c>
      <c r="F1616" s="65" t="s">
        <v>607</v>
      </c>
      <c r="G1616" s="65" t="s">
        <v>607</v>
      </c>
      <c r="H1616" s="52" t="s">
        <v>607</v>
      </c>
      <c r="I1616" s="52" t="s">
        <v>607</v>
      </c>
      <c r="J1616" s="52" t="s">
        <v>607</v>
      </c>
      <c r="K1616" s="52" t="s">
        <v>607</v>
      </c>
      <c r="L1616" s="52" t="s">
        <v>607</v>
      </c>
      <c r="M1616" s="52" t="s">
        <v>607</v>
      </c>
      <c r="N1616" s="52" t="s">
        <v>607</v>
      </c>
      <c r="O1616" s="52"/>
      <c r="P1616" s="52"/>
      <c r="Q1616" s="52"/>
      <c r="R1616" s="51" t="b">
        <v>0</v>
      </c>
      <c r="S1616" s="51"/>
      <c r="T1616" s="52"/>
      <c r="U1616" s="51" t="b">
        <v>0</v>
      </c>
      <c r="V1616" s="51" t="b">
        <v>0</v>
      </c>
      <c r="W1616" s="51" t="b">
        <v>0</v>
      </c>
      <c r="X1616" s="51" t="b">
        <v>0</v>
      </c>
      <c r="Y1616" s="51" t="b">
        <v>0</v>
      </c>
      <c r="Z1616" s="51" t="b">
        <v>0</v>
      </c>
      <c r="AA1616" s="68"/>
      <c r="AB1616" s="52"/>
      <c r="AC1616" s="52"/>
      <c r="AD1616" s="52"/>
      <c r="AE1616" s="56" t="s">
        <v>607</v>
      </c>
      <c r="AF1616" s="56" t="s">
        <v>607</v>
      </c>
    </row>
    <row r="1617">
      <c r="A1617" s="52" t="s">
        <v>4908</v>
      </c>
      <c r="B1617" s="52" t="s">
        <v>607</v>
      </c>
      <c r="C1617" s="52" t="s">
        <v>607</v>
      </c>
      <c r="D1617" s="65" t="s">
        <v>607</v>
      </c>
      <c r="E1617" s="65" t="s">
        <v>607</v>
      </c>
      <c r="F1617" s="65" t="s">
        <v>607</v>
      </c>
      <c r="G1617" s="65" t="s">
        <v>607</v>
      </c>
      <c r="H1617" s="52" t="s">
        <v>607</v>
      </c>
      <c r="I1617" s="52" t="s">
        <v>607</v>
      </c>
      <c r="J1617" s="52" t="s">
        <v>607</v>
      </c>
      <c r="K1617" s="52" t="s">
        <v>607</v>
      </c>
      <c r="L1617" s="52" t="s">
        <v>607</v>
      </c>
      <c r="M1617" s="52" t="s">
        <v>607</v>
      </c>
      <c r="N1617" s="52" t="s">
        <v>607</v>
      </c>
      <c r="O1617" s="52"/>
      <c r="P1617" s="52"/>
      <c r="Q1617" s="52"/>
      <c r="R1617" s="51" t="b">
        <v>0</v>
      </c>
      <c r="S1617" s="51"/>
      <c r="T1617" s="52"/>
      <c r="U1617" s="51" t="b">
        <v>0</v>
      </c>
      <c r="V1617" s="51" t="b">
        <v>0</v>
      </c>
      <c r="W1617" s="51" t="b">
        <v>0</v>
      </c>
      <c r="X1617" s="51" t="b">
        <v>0</v>
      </c>
      <c r="Y1617" s="51" t="b">
        <v>0</v>
      </c>
      <c r="Z1617" s="51" t="b">
        <v>0</v>
      </c>
      <c r="AA1617" s="68"/>
      <c r="AB1617" s="52"/>
      <c r="AC1617" s="52"/>
      <c r="AD1617" s="52"/>
      <c r="AE1617" s="56" t="s">
        <v>607</v>
      </c>
      <c r="AF1617" s="56" t="s">
        <v>607</v>
      </c>
    </row>
    <row r="1618">
      <c r="A1618" s="52" t="s">
        <v>4909</v>
      </c>
      <c r="B1618" s="52" t="s">
        <v>607</v>
      </c>
      <c r="C1618" s="52" t="s">
        <v>607</v>
      </c>
      <c r="D1618" s="65" t="s">
        <v>607</v>
      </c>
      <c r="E1618" s="65" t="s">
        <v>607</v>
      </c>
      <c r="F1618" s="65" t="s">
        <v>607</v>
      </c>
      <c r="G1618" s="65" t="s">
        <v>607</v>
      </c>
      <c r="H1618" s="52" t="s">
        <v>607</v>
      </c>
      <c r="I1618" s="52" t="s">
        <v>607</v>
      </c>
      <c r="J1618" s="52" t="s">
        <v>607</v>
      </c>
      <c r="K1618" s="52" t="s">
        <v>607</v>
      </c>
      <c r="L1618" s="52" t="s">
        <v>607</v>
      </c>
      <c r="M1618" s="52" t="s">
        <v>607</v>
      </c>
      <c r="N1618" s="52" t="s">
        <v>607</v>
      </c>
      <c r="O1618" s="52"/>
      <c r="P1618" s="52"/>
      <c r="Q1618" s="52"/>
      <c r="R1618" s="51" t="b">
        <v>0</v>
      </c>
      <c r="S1618" s="51"/>
      <c r="T1618" s="52"/>
      <c r="U1618" s="51" t="b">
        <v>0</v>
      </c>
      <c r="V1618" s="51" t="b">
        <v>0</v>
      </c>
      <c r="W1618" s="51" t="b">
        <v>0</v>
      </c>
      <c r="X1618" s="51" t="b">
        <v>0</v>
      </c>
      <c r="Y1618" s="51" t="b">
        <v>0</v>
      </c>
      <c r="Z1618" s="51" t="b">
        <v>0</v>
      </c>
      <c r="AA1618" s="68"/>
      <c r="AB1618" s="52"/>
      <c r="AC1618" s="52"/>
      <c r="AD1618" s="52"/>
      <c r="AE1618" s="56" t="s">
        <v>607</v>
      </c>
      <c r="AF1618" s="56" t="s">
        <v>607</v>
      </c>
    </row>
    <row r="1619">
      <c r="A1619" s="52" t="s">
        <v>4910</v>
      </c>
      <c r="B1619" s="52" t="s">
        <v>14</v>
      </c>
      <c r="C1619" s="52" t="s">
        <v>289</v>
      </c>
      <c r="D1619" s="65">
        <v>0.6921643518518509</v>
      </c>
      <c r="E1619" s="65">
        <v>2.314814814814815E-4</v>
      </c>
      <c r="F1619" s="65">
        <v>0.6923958333333323</v>
      </c>
      <c r="G1619" s="65"/>
      <c r="H1619" s="52" t="s">
        <v>81</v>
      </c>
      <c r="I1619" s="52" t="s">
        <v>119</v>
      </c>
      <c r="J1619" s="52" t="s">
        <v>128</v>
      </c>
      <c r="K1619" s="52"/>
      <c r="L1619" s="52"/>
      <c r="M1619" s="52"/>
      <c r="N1619" s="52" t="s">
        <v>70</v>
      </c>
      <c r="O1619" s="52"/>
      <c r="P1619" s="52"/>
      <c r="Q1619" s="52"/>
      <c r="R1619" s="51" t="b">
        <v>0</v>
      </c>
      <c r="S1619" s="51"/>
      <c r="T1619" s="52"/>
      <c r="U1619" s="51" t="b">
        <v>0</v>
      </c>
      <c r="V1619" s="51" t="b">
        <v>0</v>
      </c>
      <c r="W1619" s="51" t="b">
        <v>0</v>
      </c>
      <c r="X1619" s="51" t="b">
        <v>0</v>
      </c>
      <c r="Y1619" s="51" t="b">
        <v>0</v>
      </c>
      <c r="Z1619" s="51" t="b">
        <v>0</v>
      </c>
      <c r="AA1619" s="68"/>
      <c r="AB1619" s="52"/>
      <c r="AC1619" s="52"/>
      <c r="AD1619" s="52"/>
      <c r="AE1619" s="56"/>
      <c r="AF1619" s="56"/>
    </row>
    <row r="1620">
      <c r="A1620" s="52" t="s">
        <v>4911</v>
      </c>
      <c r="B1620" s="52" t="s">
        <v>607</v>
      </c>
      <c r="C1620" s="52" t="s">
        <v>607</v>
      </c>
      <c r="D1620" s="65" t="s">
        <v>607</v>
      </c>
      <c r="E1620" s="65" t="s">
        <v>607</v>
      </c>
      <c r="F1620" s="65" t="s">
        <v>607</v>
      </c>
      <c r="G1620" s="65" t="s">
        <v>607</v>
      </c>
      <c r="H1620" s="52" t="s">
        <v>607</v>
      </c>
      <c r="I1620" s="52" t="s">
        <v>607</v>
      </c>
      <c r="J1620" s="52" t="s">
        <v>607</v>
      </c>
      <c r="K1620" s="52" t="s">
        <v>607</v>
      </c>
      <c r="L1620" s="52" t="s">
        <v>607</v>
      </c>
      <c r="M1620" s="52" t="s">
        <v>607</v>
      </c>
      <c r="N1620" s="52" t="s">
        <v>607</v>
      </c>
      <c r="O1620" s="52"/>
      <c r="P1620" s="52"/>
      <c r="Q1620" s="52"/>
      <c r="R1620" s="51" t="b">
        <v>0</v>
      </c>
      <c r="S1620" s="51"/>
      <c r="T1620" s="52"/>
      <c r="U1620" s="51" t="b">
        <v>0</v>
      </c>
      <c r="V1620" s="51" t="b">
        <v>0</v>
      </c>
      <c r="W1620" s="51" t="b">
        <v>0</v>
      </c>
      <c r="X1620" s="51" t="b">
        <v>0</v>
      </c>
      <c r="Y1620" s="51" t="b">
        <v>0</v>
      </c>
      <c r="Z1620" s="51" t="b">
        <v>0</v>
      </c>
      <c r="AA1620" s="68"/>
      <c r="AB1620" s="52"/>
      <c r="AC1620" s="52"/>
      <c r="AD1620" s="52"/>
      <c r="AE1620" s="56" t="s">
        <v>607</v>
      </c>
      <c r="AF1620" s="56" t="s">
        <v>607</v>
      </c>
    </row>
    <row r="1621">
      <c r="A1621" s="52" t="s">
        <v>4912</v>
      </c>
      <c r="B1621" s="52" t="s">
        <v>607</v>
      </c>
      <c r="C1621" s="52" t="s">
        <v>607</v>
      </c>
      <c r="D1621" s="65" t="s">
        <v>607</v>
      </c>
      <c r="E1621" s="65" t="s">
        <v>607</v>
      </c>
      <c r="F1621" s="65" t="s">
        <v>607</v>
      </c>
      <c r="G1621" s="65" t="s">
        <v>607</v>
      </c>
      <c r="H1621" s="52" t="s">
        <v>607</v>
      </c>
      <c r="I1621" s="52" t="s">
        <v>607</v>
      </c>
      <c r="J1621" s="52" t="s">
        <v>607</v>
      </c>
      <c r="K1621" s="52" t="s">
        <v>607</v>
      </c>
      <c r="L1621" s="52" t="s">
        <v>607</v>
      </c>
      <c r="M1621" s="52" t="s">
        <v>607</v>
      </c>
      <c r="N1621" s="52" t="s">
        <v>607</v>
      </c>
      <c r="O1621" s="52"/>
      <c r="P1621" s="52"/>
      <c r="Q1621" s="52"/>
      <c r="R1621" s="51" t="b">
        <v>0</v>
      </c>
      <c r="S1621" s="51"/>
      <c r="T1621" s="52"/>
      <c r="U1621" s="51" t="b">
        <v>0</v>
      </c>
      <c r="V1621" s="51" t="b">
        <v>0</v>
      </c>
      <c r="W1621" s="51" t="b">
        <v>0</v>
      </c>
      <c r="X1621" s="51" t="b">
        <v>0</v>
      </c>
      <c r="Y1621" s="51" t="b">
        <v>0</v>
      </c>
      <c r="Z1621" s="51" t="b">
        <v>0</v>
      </c>
      <c r="AA1621" s="68"/>
      <c r="AB1621" s="52"/>
      <c r="AC1621" s="52"/>
      <c r="AD1621" s="52"/>
      <c r="AE1621" s="56" t="s">
        <v>607</v>
      </c>
      <c r="AF1621" s="56" t="s">
        <v>607</v>
      </c>
    </row>
    <row r="1622">
      <c r="A1622" s="52" t="s">
        <v>4913</v>
      </c>
      <c r="B1622" s="52" t="s">
        <v>607</v>
      </c>
      <c r="C1622" s="52" t="s">
        <v>607</v>
      </c>
      <c r="D1622" s="65" t="s">
        <v>607</v>
      </c>
      <c r="E1622" s="65" t="s">
        <v>607</v>
      </c>
      <c r="F1622" s="65" t="s">
        <v>607</v>
      </c>
      <c r="G1622" s="65" t="s">
        <v>607</v>
      </c>
      <c r="H1622" s="52" t="s">
        <v>607</v>
      </c>
      <c r="I1622" s="52" t="s">
        <v>607</v>
      </c>
      <c r="J1622" s="52" t="s">
        <v>607</v>
      </c>
      <c r="K1622" s="52" t="s">
        <v>607</v>
      </c>
      <c r="L1622" s="52" t="s">
        <v>607</v>
      </c>
      <c r="M1622" s="52" t="s">
        <v>607</v>
      </c>
      <c r="N1622" s="52" t="s">
        <v>607</v>
      </c>
      <c r="O1622" s="52"/>
      <c r="P1622" s="52"/>
      <c r="Q1622" s="52"/>
      <c r="R1622" s="51" t="b">
        <v>0</v>
      </c>
      <c r="S1622" s="51"/>
      <c r="T1622" s="52"/>
      <c r="U1622" s="51" t="b">
        <v>0</v>
      </c>
      <c r="V1622" s="51" t="b">
        <v>0</v>
      </c>
      <c r="W1622" s="51" t="b">
        <v>0</v>
      </c>
      <c r="X1622" s="51" t="b">
        <v>0</v>
      </c>
      <c r="Y1622" s="51" t="b">
        <v>0</v>
      </c>
      <c r="Z1622" s="51" t="b">
        <v>0</v>
      </c>
      <c r="AA1622" s="68"/>
      <c r="AB1622" s="52"/>
      <c r="AC1622" s="52"/>
      <c r="AD1622" s="52"/>
      <c r="AE1622" s="56" t="s">
        <v>607</v>
      </c>
      <c r="AF1622" s="56" t="s">
        <v>607</v>
      </c>
    </row>
    <row r="1623">
      <c r="A1623" s="52" t="s">
        <v>4914</v>
      </c>
      <c r="B1623" s="52" t="s">
        <v>607</v>
      </c>
      <c r="C1623" s="52" t="s">
        <v>607</v>
      </c>
      <c r="D1623" s="65" t="s">
        <v>607</v>
      </c>
      <c r="E1623" s="65" t="s">
        <v>607</v>
      </c>
      <c r="F1623" s="65" t="s">
        <v>607</v>
      </c>
      <c r="G1623" s="65" t="s">
        <v>607</v>
      </c>
      <c r="H1623" s="52" t="s">
        <v>607</v>
      </c>
      <c r="I1623" s="52" t="s">
        <v>607</v>
      </c>
      <c r="J1623" s="52" t="s">
        <v>607</v>
      </c>
      <c r="K1623" s="52" t="s">
        <v>607</v>
      </c>
      <c r="L1623" s="52" t="s">
        <v>607</v>
      </c>
      <c r="M1623" s="52" t="s">
        <v>607</v>
      </c>
      <c r="N1623" s="52" t="s">
        <v>607</v>
      </c>
      <c r="O1623" s="52"/>
      <c r="P1623" s="52"/>
      <c r="Q1623" s="52"/>
      <c r="R1623" s="51" t="b">
        <v>0</v>
      </c>
      <c r="S1623" s="51"/>
      <c r="T1623" s="52"/>
      <c r="U1623" s="51" t="b">
        <v>0</v>
      </c>
      <c r="V1623" s="51" t="b">
        <v>0</v>
      </c>
      <c r="W1623" s="51" t="b">
        <v>0</v>
      </c>
      <c r="X1623" s="51" t="b">
        <v>0</v>
      </c>
      <c r="Y1623" s="51" t="b">
        <v>0</v>
      </c>
      <c r="Z1623" s="51" t="b">
        <v>0</v>
      </c>
      <c r="AA1623" s="68"/>
      <c r="AB1623" s="52"/>
      <c r="AC1623" s="52"/>
      <c r="AD1623" s="52"/>
      <c r="AE1623" s="56" t="s">
        <v>607</v>
      </c>
      <c r="AF1623" s="56" t="s">
        <v>607</v>
      </c>
    </row>
    <row r="1624">
      <c r="A1624" s="52" t="s">
        <v>4915</v>
      </c>
      <c r="B1624" s="52" t="s">
        <v>607</v>
      </c>
      <c r="C1624" s="52" t="s">
        <v>607</v>
      </c>
      <c r="D1624" s="65" t="s">
        <v>607</v>
      </c>
      <c r="E1624" s="65" t="s">
        <v>607</v>
      </c>
      <c r="F1624" s="65" t="s">
        <v>607</v>
      </c>
      <c r="G1624" s="65" t="s">
        <v>607</v>
      </c>
      <c r="H1624" s="52" t="s">
        <v>607</v>
      </c>
      <c r="I1624" s="52" t="s">
        <v>607</v>
      </c>
      <c r="J1624" s="52" t="s">
        <v>607</v>
      </c>
      <c r="K1624" s="52" t="s">
        <v>607</v>
      </c>
      <c r="L1624" s="52" t="s">
        <v>607</v>
      </c>
      <c r="M1624" s="52" t="s">
        <v>607</v>
      </c>
      <c r="N1624" s="52" t="s">
        <v>607</v>
      </c>
      <c r="O1624" s="52"/>
      <c r="P1624" s="52"/>
      <c r="Q1624" s="52"/>
      <c r="R1624" s="51" t="b">
        <v>0</v>
      </c>
      <c r="S1624" s="51"/>
      <c r="T1624" s="52"/>
      <c r="U1624" s="51" t="b">
        <v>0</v>
      </c>
      <c r="V1624" s="51" t="b">
        <v>0</v>
      </c>
      <c r="W1624" s="51" t="b">
        <v>0</v>
      </c>
      <c r="X1624" s="51" t="b">
        <v>0</v>
      </c>
      <c r="Y1624" s="51" t="b">
        <v>0</v>
      </c>
      <c r="Z1624" s="51" t="b">
        <v>0</v>
      </c>
      <c r="AA1624" s="68"/>
      <c r="AB1624" s="52"/>
      <c r="AC1624" s="52"/>
      <c r="AD1624" s="52"/>
      <c r="AE1624" s="56" t="s">
        <v>607</v>
      </c>
      <c r="AF1624" s="56" t="s">
        <v>607</v>
      </c>
    </row>
    <row r="1625">
      <c r="A1625" s="52" t="s">
        <v>4916</v>
      </c>
      <c r="B1625" s="52" t="s">
        <v>607</v>
      </c>
      <c r="C1625" s="52" t="s">
        <v>607</v>
      </c>
      <c r="D1625" s="65" t="s">
        <v>607</v>
      </c>
      <c r="E1625" s="65" t="s">
        <v>607</v>
      </c>
      <c r="F1625" s="65" t="s">
        <v>607</v>
      </c>
      <c r="G1625" s="65" t="s">
        <v>607</v>
      </c>
      <c r="H1625" s="52" t="s">
        <v>607</v>
      </c>
      <c r="I1625" s="52" t="s">
        <v>607</v>
      </c>
      <c r="J1625" s="52" t="s">
        <v>607</v>
      </c>
      <c r="K1625" s="52" t="s">
        <v>607</v>
      </c>
      <c r="L1625" s="52" t="s">
        <v>607</v>
      </c>
      <c r="M1625" s="52" t="s">
        <v>607</v>
      </c>
      <c r="N1625" s="52" t="s">
        <v>607</v>
      </c>
      <c r="O1625" s="52"/>
      <c r="P1625" s="52"/>
      <c r="Q1625" s="52"/>
      <c r="R1625" s="51" t="b">
        <v>0</v>
      </c>
      <c r="S1625" s="51"/>
      <c r="T1625" s="52"/>
      <c r="U1625" s="51" t="b">
        <v>0</v>
      </c>
      <c r="V1625" s="51" t="b">
        <v>0</v>
      </c>
      <c r="W1625" s="51" t="b">
        <v>0</v>
      </c>
      <c r="X1625" s="51" t="b">
        <v>0</v>
      </c>
      <c r="Y1625" s="51" t="b">
        <v>0</v>
      </c>
      <c r="Z1625" s="51" t="b">
        <v>0</v>
      </c>
      <c r="AA1625" s="68"/>
      <c r="AB1625" s="52"/>
      <c r="AC1625" s="52"/>
      <c r="AD1625" s="52"/>
      <c r="AE1625" s="56" t="s">
        <v>607</v>
      </c>
      <c r="AF1625" s="56" t="s">
        <v>607</v>
      </c>
    </row>
    <row r="1626">
      <c r="A1626" s="52" t="s">
        <v>4917</v>
      </c>
      <c r="B1626" s="52" t="s">
        <v>607</v>
      </c>
      <c r="C1626" s="52" t="s">
        <v>607</v>
      </c>
      <c r="D1626" s="65" t="s">
        <v>607</v>
      </c>
      <c r="E1626" s="65" t="s">
        <v>607</v>
      </c>
      <c r="F1626" s="65" t="s">
        <v>607</v>
      </c>
      <c r="G1626" s="65" t="s">
        <v>607</v>
      </c>
      <c r="H1626" s="52" t="s">
        <v>607</v>
      </c>
      <c r="I1626" s="52" t="s">
        <v>607</v>
      </c>
      <c r="J1626" s="52" t="s">
        <v>607</v>
      </c>
      <c r="K1626" s="52" t="s">
        <v>607</v>
      </c>
      <c r="L1626" s="52" t="s">
        <v>607</v>
      </c>
      <c r="M1626" s="52" t="s">
        <v>607</v>
      </c>
      <c r="N1626" s="52" t="s">
        <v>607</v>
      </c>
      <c r="O1626" s="52"/>
      <c r="P1626" s="52"/>
      <c r="Q1626" s="52"/>
      <c r="R1626" s="51" t="b">
        <v>0</v>
      </c>
      <c r="S1626" s="51"/>
      <c r="T1626" s="52"/>
      <c r="U1626" s="51" t="b">
        <v>0</v>
      </c>
      <c r="V1626" s="51" t="b">
        <v>0</v>
      </c>
      <c r="W1626" s="51" t="b">
        <v>0</v>
      </c>
      <c r="X1626" s="51" t="b">
        <v>0</v>
      </c>
      <c r="Y1626" s="51" t="b">
        <v>0</v>
      </c>
      <c r="Z1626" s="51" t="b">
        <v>0</v>
      </c>
      <c r="AA1626" s="68"/>
      <c r="AB1626" s="52"/>
      <c r="AC1626" s="52"/>
      <c r="AD1626" s="52"/>
      <c r="AE1626" s="56" t="s">
        <v>607</v>
      </c>
      <c r="AF1626" s="56" t="s">
        <v>607</v>
      </c>
    </row>
    <row r="1627">
      <c r="A1627" s="52" t="s">
        <v>4918</v>
      </c>
      <c r="B1627" s="52" t="s">
        <v>607</v>
      </c>
      <c r="C1627" s="52" t="s">
        <v>607</v>
      </c>
      <c r="D1627" s="65" t="s">
        <v>607</v>
      </c>
      <c r="E1627" s="65" t="s">
        <v>607</v>
      </c>
      <c r="F1627" s="65" t="s">
        <v>607</v>
      </c>
      <c r="G1627" s="65" t="s">
        <v>607</v>
      </c>
      <c r="H1627" s="52" t="s">
        <v>607</v>
      </c>
      <c r="I1627" s="52" t="s">
        <v>607</v>
      </c>
      <c r="J1627" s="52" t="s">
        <v>607</v>
      </c>
      <c r="K1627" s="52" t="s">
        <v>607</v>
      </c>
      <c r="L1627" s="52" t="s">
        <v>607</v>
      </c>
      <c r="M1627" s="52" t="s">
        <v>607</v>
      </c>
      <c r="N1627" s="52" t="s">
        <v>607</v>
      </c>
      <c r="O1627" s="52"/>
      <c r="P1627" s="52"/>
      <c r="Q1627" s="52"/>
      <c r="R1627" s="51" t="b">
        <v>0</v>
      </c>
      <c r="S1627" s="51"/>
      <c r="T1627" s="52"/>
      <c r="U1627" s="51" t="b">
        <v>0</v>
      </c>
      <c r="V1627" s="51" t="b">
        <v>0</v>
      </c>
      <c r="W1627" s="51" t="b">
        <v>0</v>
      </c>
      <c r="X1627" s="51" t="b">
        <v>0</v>
      </c>
      <c r="Y1627" s="51" t="b">
        <v>0</v>
      </c>
      <c r="Z1627" s="51" t="b">
        <v>0</v>
      </c>
      <c r="AA1627" s="68"/>
      <c r="AB1627" s="52"/>
      <c r="AC1627" s="52"/>
      <c r="AD1627" s="52"/>
      <c r="AE1627" s="56" t="s">
        <v>607</v>
      </c>
      <c r="AF1627" s="56" t="s">
        <v>607</v>
      </c>
    </row>
    <row r="1628">
      <c r="A1628" s="52" t="s">
        <v>4919</v>
      </c>
      <c r="B1628" s="52" t="s">
        <v>607</v>
      </c>
      <c r="C1628" s="52" t="s">
        <v>607</v>
      </c>
      <c r="D1628" s="65" t="s">
        <v>607</v>
      </c>
      <c r="E1628" s="65" t="s">
        <v>607</v>
      </c>
      <c r="F1628" s="65" t="s">
        <v>607</v>
      </c>
      <c r="G1628" s="65" t="s">
        <v>607</v>
      </c>
      <c r="H1628" s="52" t="s">
        <v>607</v>
      </c>
      <c r="I1628" s="52" t="s">
        <v>607</v>
      </c>
      <c r="J1628" s="52" t="s">
        <v>607</v>
      </c>
      <c r="K1628" s="52" t="s">
        <v>607</v>
      </c>
      <c r="L1628" s="52" t="s">
        <v>607</v>
      </c>
      <c r="M1628" s="52" t="s">
        <v>607</v>
      </c>
      <c r="N1628" s="52" t="s">
        <v>607</v>
      </c>
      <c r="O1628" s="52"/>
      <c r="P1628" s="52"/>
      <c r="Q1628" s="52"/>
      <c r="R1628" s="51" t="b">
        <v>0</v>
      </c>
      <c r="S1628" s="51"/>
      <c r="T1628" s="52"/>
      <c r="U1628" s="51" t="b">
        <v>0</v>
      </c>
      <c r="V1628" s="51" t="b">
        <v>0</v>
      </c>
      <c r="W1628" s="51" t="b">
        <v>0</v>
      </c>
      <c r="X1628" s="51" t="b">
        <v>0</v>
      </c>
      <c r="Y1628" s="51" t="b">
        <v>0</v>
      </c>
      <c r="Z1628" s="51" t="b">
        <v>0</v>
      </c>
      <c r="AA1628" s="68"/>
      <c r="AB1628" s="52"/>
      <c r="AC1628" s="52"/>
      <c r="AD1628" s="52"/>
      <c r="AE1628" s="56" t="s">
        <v>607</v>
      </c>
      <c r="AF1628" s="56" t="s">
        <v>607</v>
      </c>
    </row>
    <row r="1629">
      <c r="A1629" s="52" t="s">
        <v>4920</v>
      </c>
      <c r="B1629" s="52" t="s">
        <v>607</v>
      </c>
      <c r="C1629" s="52" t="s">
        <v>607</v>
      </c>
      <c r="D1629" s="65" t="s">
        <v>607</v>
      </c>
      <c r="E1629" s="65" t="s">
        <v>607</v>
      </c>
      <c r="F1629" s="65" t="s">
        <v>607</v>
      </c>
      <c r="G1629" s="65" t="s">
        <v>607</v>
      </c>
      <c r="H1629" s="52" t="s">
        <v>607</v>
      </c>
      <c r="I1629" s="52" t="s">
        <v>607</v>
      </c>
      <c r="J1629" s="52" t="s">
        <v>607</v>
      </c>
      <c r="K1629" s="52" t="s">
        <v>607</v>
      </c>
      <c r="L1629" s="52" t="s">
        <v>607</v>
      </c>
      <c r="M1629" s="52" t="s">
        <v>607</v>
      </c>
      <c r="N1629" s="52" t="s">
        <v>607</v>
      </c>
      <c r="O1629" s="52"/>
      <c r="P1629" s="52"/>
      <c r="Q1629" s="52"/>
      <c r="R1629" s="51" t="b">
        <v>0</v>
      </c>
      <c r="S1629" s="51"/>
      <c r="T1629" s="52"/>
      <c r="U1629" s="51" t="b">
        <v>0</v>
      </c>
      <c r="V1629" s="51" t="b">
        <v>0</v>
      </c>
      <c r="W1629" s="51" t="b">
        <v>0</v>
      </c>
      <c r="X1629" s="51" t="b">
        <v>0</v>
      </c>
      <c r="Y1629" s="51" t="b">
        <v>0</v>
      </c>
      <c r="Z1629" s="51" t="b">
        <v>0</v>
      </c>
      <c r="AA1629" s="68"/>
      <c r="AB1629" s="52"/>
      <c r="AC1629" s="52"/>
      <c r="AD1629" s="52"/>
      <c r="AE1629" s="56" t="s">
        <v>607</v>
      </c>
      <c r="AF1629" s="56" t="s">
        <v>607</v>
      </c>
    </row>
    <row r="1630">
      <c r="A1630" s="52" t="s">
        <v>4921</v>
      </c>
      <c r="B1630" s="52" t="s">
        <v>607</v>
      </c>
      <c r="C1630" s="52" t="s">
        <v>607</v>
      </c>
      <c r="D1630" s="65" t="s">
        <v>607</v>
      </c>
      <c r="E1630" s="65" t="s">
        <v>607</v>
      </c>
      <c r="F1630" s="65" t="s">
        <v>607</v>
      </c>
      <c r="G1630" s="65" t="s">
        <v>607</v>
      </c>
      <c r="H1630" s="52" t="s">
        <v>607</v>
      </c>
      <c r="I1630" s="52" t="s">
        <v>607</v>
      </c>
      <c r="J1630" s="52" t="s">
        <v>607</v>
      </c>
      <c r="K1630" s="52" t="s">
        <v>607</v>
      </c>
      <c r="L1630" s="52" t="s">
        <v>607</v>
      </c>
      <c r="M1630" s="52" t="s">
        <v>607</v>
      </c>
      <c r="N1630" s="52" t="s">
        <v>607</v>
      </c>
      <c r="O1630" s="52"/>
      <c r="P1630" s="52"/>
      <c r="Q1630" s="52"/>
      <c r="R1630" s="51" t="b">
        <v>0</v>
      </c>
      <c r="S1630" s="51"/>
      <c r="T1630" s="52"/>
      <c r="U1630" s="51" t="b">
        <v>0</v>
      </c>
      <c r="V1630" s="51" t="b">
        <v>0</v>
      </c>
      <c r="W1630" s="51" t="b">
        <v>0</v>
      </c>
      <c r="X1630" s="51" t="b">
        <v>0</v>
      </c>
      <c r="Y1630" s="51" t="b">
        <v>0</v>
      </c>
      <c r="Z1630" s="51" t="b">
        <v>0</v>
      </c>
      <c r="AA1630" s="68"/>
      <c r="AB1630" s="52"/>
      <c r="AC1630" s="52"/>
      <c r="AD1630" s="52"/>
      <c r="AE1630" s="56" t="s">
        <v>607</v>
      </c>
      <c r="AF1630" s="56" t="s">
        <v>607</v>
      </c>
    </row>
    <row r="1631">
      <c r="A1631" s="52" t="s">
        <v>4922</v>
      </c>
      <c r="B1631" s="52" t="s">
        <v>14</v>
      </c>
      <c r="C1631" s="52" t="s">
        <v>66</v>
      </c>
      <c r="D1631" s="65">
        <v>0.5112500000000003</v>
      </c>
      <c r="E1631" s="65">
        <v>0.0012152777777777778</v>
      </c>
      <c r="F1631" s="65">
        <v>0.5124652777777781</v>
      </c>
      <c r="G1631" s="65"/>
      <c r="H1631" s="52" t="s">
        <v>79</v>
      </c>
      <c r="I1631" s="52" t="s">
        <v>80</v>
      </c>
      <c r="J1631" s="52" t="s">
        <v>69</v>
      </c>
      <c r="K1631" s="52"/>
      <c r="L1631" s="52"/>
      <c r="M1631" s="52"/>
      <c r="N1631" s="52"/>
      <c r="O1631" s="52"/>
      <c r="P1631" s="52"/>
      <c r="Q1631" s="52"/>
      <c r="R1631" s="51" t="b">
        <v>0</v>
      </c>
      <c r="S1631" s="51"/>
      <c r="T1631" s="52"/>
      <c r="U1631" s="51" t="b">
        <v>0</v>
      </c>
      <c r="V1631" s="51" t="b">
        <v>0</v>
      </c>
      <c r="W1631" s="51" t="b">
        <v>0</v>
      </c>
      <c r="X1631" s="51" t="b">
        <v>0</v>
      </c>
      <c r="Y1631" s="51" t="b">
        <v>0</v>
      </c>
      <c r="Z1631" s="51" t="b">
        <v>0</v>
      </c>
      <c r="AA1631" s="68"/>
      <c r="AB1631" s="52"/>
      <c r="AC1631" s="52"/>
      <c r="AD1631" s="52"/>
      <c r="AE1631" s="56"/>
      <c r="AF1631" s="56"/>
    </row>
    <row r="1632">
      <c r="A1632" s="52" t="s">
        <v>4923</v>
      </c>
      <c r="B1632" s="52" t="s">
        <v>607</v>
      </c>
      <c r="C1632" s="52" t="s">
        <v>607</v>
      </c>
      <c r="D1632" s="65" t="s">
        <v>607</v>
      </c>
      <c r="E1632" s="65" t="s">
        <v>607</v>
      </c>
      <c r="F1632" s="65" t="s">
        <v>607</v>
      </c>
      <c r="G1632" s="65" t="s">
        <v>607</v>
      </c>
      <c r="H1632" s="52" t="s">
        <v>607</v>
      </c>
      <c r="I1632" s="52" t="s">
        <v>607</v>
      </c>
      <c r="J1632" s="52" t="s">
        <v>607</v>
      </c>
      <c r="K1632" s="52" t="s">
        <v>607</v>
      </c>
      <c r="L1632" s="52" t="s">
        <v>607</v>
      </c>
      <c r="M1632" s="52" t="s">
        <v>607</v>
      </c>
      <c r="N1632" s="52" t="s">
        <v>607</v>
      </c>
      <c r="O1632" s="52"/>
      <c r="P1632" s="52"/>
      <c r="Q1632" s="52"/>
      <c r="R1632" s="51" t="b">
        <v>0</v>
      </c>
      <c r="S1632" s="51"/>
      <c r="T1632" s="52"/>
      <c r="U1632" s="51" t="b">
        <v>0</v>
      </c>
      <c r="V1632" s="51" t="b">
        <v>0</v>
      </c>
      <c r="W1632" s="51" t="b">
        <v>0</v>
      </c>
      <c r="X1632" s="51" t="b">
        <v>0</v>
      </c>
      <c r="Y1632" s="51" t="b">
        <v>0</v>
      </c>
      <c r="Z1632" s="51" t="b">
        <v>0</v>
      </c>
      <c r="AA1632" s="68"/>
      <c r="AB1632" s="52"/>
      <c r="AC1632" s="52"/>
      <c r="AD1632" s="52"/>
      <c r="AE1632" s="56" t="s">
        <v>607</v>
      </c>
      <c r="AF1632" s="56" t="s">
        <v>607</v>
      </c>
    </row>
    <row r="1633">
      <c r="A1633" s="52" t="s">
        <v>4924</v>
      </c>
      <c r="B1633" s="52" t="s">
        <v>14</v>
      </c>
      <c r="C1633" s="52" t="s">
        <v>66</v>
      </c>
      <c r="D1633" s="65">
        <v>0.5009490740740744</v>
      </c>
      <c r="E1633" s="65">
        <v>6.944444444444445E-4</v>
      </c>
      <c r="F1633" s="65">
        <v>0.5016435185185188</v>
      </c>
      <c r="G1633" s="65"/>
      <c r="H1633" s="52" t="s">
        <v>103</v>
      </c>
      <c r="I1633" s="52" t="s">
        <v>127</v>
      </c>
      <c r="J1633" s="52" t="s">
        <v>128</v>
      </c>
      <c r="K1633" s="52"/>
      <c r="L1633" s="52"/>
      <c r="M1633" s="52"/>
      <c r="N1633" s="52"/>
      <c r="O1633" s="52"/>
      <c r="P1633" s="52"/>
      <c r="Q1633" s="52"/>
      <c r="R1633" s="51" t="b">
        <v>0</v>
      </c>
      <c r="S1633" s="51"/>
      <c r="T1633" s="52"/>
      <c r="U1633" s="51" t="b">
        <v>0</v>
      </c>
      <c r="V1633" s="51" t="b">
        <v>0</v>
      </c>
      <c r="W1633" s="51" t="b">
        <v>0</v>
      </c>
      <c r="X1633" s="51" t="b">
        <v>0</v>
      </c>
      <c r="Y1633" s="51" t="b">
        <v>0</v>
      </c>
      <c r="Z1633" s="51" t="b">
        <v>0</v>
      </c>
      <c r="AA1633" s="68"/>
      <c r="AB1633" s="52"/>
      <c r="AC1633" s="52"/>
      <c r="AD1633" s="52"/>
      <c r="AE1633" s="56"/>
      <c r="AF1633" s="56"/>
    </row>
    <row r="1634">
      <c r="A1634" s="52" t="s">
        <v>4925</v>
      </c>
      <c r="B1634" s="52" t="s">
        <v>607</v>
      </c>
      <c r="C1634" s="52" t="s">
        <v>607</v>
      </c>
      <c r="D1634" s="65" t="s">
        <v>607</v>
      </c>
      <c r="E1634" s="65" t="s">
        <v>607</v>
      </c>
      <c r="F1634" s="65" t="s">
        <v>607</v>
      </c>
      <c r="G1634" s="65" t="s">
        <v>607</v>
      </c>
      <c r="H1634" s="52" t="s">
        <v>607</v>
      </c>
      <c r="I1634" s="52" t="s">
        <v>607</v>
      </c>
      <c r="J1634" s="52" t="s">
        <v>607</v>
      </c>
      <c r="K1634" s="52" t="s">
        <v>607</v>
      </c>
      <c r="L1634" s="52" t="s">
        <v>607</v>
      </c>
      <c r="M1634" s="52" t="s">
        <v>607</v>
      </c>
      <c r="N1634" s="52" t="s">
        <v>607</v>
      </c>
      <c r="O1634" s="52"/>
      <c r="P1634" s="52"/>
      <c r="Q1634" s="52"/>
      <c r="R1634" s="51" t="b">
        <v>0</v>
      </c>
      <c r="S1634" s="51"/>
      <c r="T1634" s="52"/>
      <c r="U1634" s="51" t="b">
        <v>0</v>
      </c>
      <c r="V1634" s="51" t="b">
        <v>0</v>
      </c>
      <c r="W1634" s="51" t="b">
        <v>0</v>
      </c>
      <c r="X1634" s="51" t="b">
        <v>0</v>
      </c>
      <c r="Y1634" s="51" t="b">
        <v>0</v>
      </c>
      <c r="Z1634" s="51" t="b">
        <v>0</v>
      </c>
      <c r="AA1634" s="68"/>
      <c r="AB1634" s="52"/>
      <c r="AC1634" s="52"/>
      <c r="AD1634" s="52"/>
      <c r="AE1634" s="56" t="s">
        <v>607</v>
      </c>
      <c r="AF1634" s="56" t="s">
        <v>607</v>
      </c>
    </row>
    <row r="1635">
      <c r="A1635" s="52" t="s">
        <v>4926</v>
      </c>
      <c r="B1635" s="52" t="s">
        <v>607</v>
      </c>
      <c r="C1635" s="52" t="s">
        <v>607</v>
      </c>
      <c r="D1635" s="65" t="s">
        <v>607</v>
      </c>
      <c r="E1635" s="65" t="s">
        <v>607</v>
      </c>
      <c r="F1635" s="65" t="s">
        <v>607</v>
      </c>
      <c r="G1635" s="65" t="s">
        <v>607</v>
      </c>
      <c r="H1635" s="52" t="s">
        <v>607</v>
      </c>
      <c r="I1635" s="52" t="s">
        <v>607</v>
      </c>
      <c r="J1635" s="52" t="s">
        <v>607</v>
      </c>
      <c r="K1635" s="52" t="s">
        <v>607</v>
      </c>
      <c r="L1635" s="52" t="s">
        <v>607</v>
      </c>
      <c r="M1635" s="52" t="s">
        <v>607</v>
      </c>
      <c r="N1635" s="52" t="s">
        <v>607</v>
      </c>
      <c r="O1635" s="52"/>
      <c r="P1635" s="52"/>
      <c r="Q1635" s="52"/>
      <c r="R1635" s="51" t="b">
        <v>0</v>
      </c>
      <c r="S1635" s="51"/>
      <c r="T1635" s="52"/>
      <c r="U1635" s="51" t="b">
        <v>0</v>
      </c>
      <c r="V1635" s="51" t="b">
        <v>0</v>
      </c>
      <c r="W1635" s="51" t="b">
        <v>0</v>
      </c>
      <c r="X1635" s="51" t="b">
        <v>0</v>
      </c>
      <c r="Y1635" s="51" t="b">
        <v>0</v>
      </c>
      <c r="Z1635" s="51" t="b">
        <v>0</v>
      </c>
      <c r="AA1635" s="68"/>
      <c r="AB1635" s="52"/>
      <c r="AC1635" s="52"/>
      <c r="AD1635" s="52"/>
      <c r="AE1635" s="56" t="s">
        <v>607</v>
      </c>
      <c r="AF1635" s="56" t="s">
        <v>607</v>
      </c>
    </row>
    <row r="1636">
      <c r="A1636" s="52" t="s">
        <v>4927</v>
      </c>
      <c r="B1636" s="52" t="s">
        <v>607</v>
      </c>
      <c r="C1636" s="52" t="s">
        <v>607</v>
      </c>
      <c r="D1636" s="65" t="s">
        <v>607</v>
      </c>
      <c r="E1636" s="65" t="s">
        <v>607</v>
      </c>
      <c r="F1636" s="65" t="s">
        <v>607</v>
      </c>
      <c r="G1636" s="65" t="s">
        <v>607</v>
      </c>
      <c r="H1636" s="52" t="s">
        <v>607</v>
      </c>
      <c r="I1636" s="52" t="s">
        <v>607</v>
      </c>
      <c r="J1636" s="52" t="s">
        <v>607</v>
      </c>
      <c r="K1636" s="52" t="s">
        <v>607</v>
      </c>
      <c r="L1636" s="52" t="s">
        <v>607</v>
      </c>
      <c r="M1636" s="52" t="s">
        <v>607</v>
      </c>
      <c r="N1636" s="52" t="s">
        <v>607</v>
      </c>
      <c r="O1636" s="52"/>
      <c r="P1636" s="52"/>
      <c r="Q1636" s="52"/>
      <c r="R1636" s="51" t="b">
        <v>0</v>
      </c>
      <c r="S1636" s="51"/>
      <c r="T1636" s="52"/>
      <c r="U1636" s="51" t="b">
        <v>0</v>
      </c>
      <c r="V1636" s="51" t="b">
        <v>0</v>
      </c>
      <c r="W1636" s="51" t="b">
        <v>0</v>
      </c>
      <c r="X1636" s="51" t="b">
        <v>0</v>
      </c>
      <c r="Y1636" s="51" t="b">
        <v>0</v>
      </c>
      <c r="Z1636" s="51" t="b">
        <v>0</v>
      </c>
      <c r="AA1636" s="68"/>
      <c r="AB1636" s="52"/>
      <c r="AC1636" s="52"/>
      <c r="AD1636" s="52"/>
      <c r="AE1636" s="56" t="s">
        <v>607</v>
      </c>
      <c r="AF1636" s="56" t="s">
        <v>607</v>
      </c>
    </row>
    <row r="1637">
      <c r="A1637" s="52" t="s">
        <v>4928</v>
      </c>
      <c r="B1637" s="52" t="s">
        <v>607</v>
      </c>
      <c r="C1637" s="52" t="s">
        <v>607</v>
      </c>
      <c r="D1637" s="65" t="s">
        <v>607</v>
      </c>
      <c r="E1637" s="65" t="s">
        <v>607</v>
      </c>
      <c r="F1637" s="65" t="s">
        <v>607</v>
      </c>
      <c r="G1637" s="65" t="s">
        <v>607</v>
      </c>
      <c r="H1637" s="52" t="s">
        <v>607</v>
      </c>
      <c r="I1637" s="52" t="s">
        <v>607</v>
      </c>
      <c r="J1637" s="52" t="s">
        <v>607</v>
      </c>
      <c r="K1637" s="52" t="s">
        <v>607</v>
      </c>
      <c r="L1637" s="52" t="s">
        <v>607</v>
      </c>
      <c r="M1637" s="52" t="s">
        <v>607</v>
      </c>
      <c r="N1637" s="52" t="s">
        <v>607</v>
      </c>
      <c r="O1637" s="52"/>
      <c r="P1637" s="52"/>
      <c r="Q1637" s="52"/>
      <c r="R1637" s="51" t="b">
        <v>0</v>
      </c>
      <c r="S1637" s="51"/>
      <c r="T1637" s="52"/>
      <c r="U1637" s="51" t="b">
        <v>0</v>
      </c>
      <c r="V1637" s="51" t="b">
        <v>0</v>
      </c>
      <c r="W1637" s="51" t="b">
        <v>0</v>
      </c>
      <c r="X1637" s="51" t="b">
        <v>0</v>
      </c>
      <c r="Y1637" s="51" t="b">
        <v>0</v>
      </c>
      <c r="Z1637" s="51" t="b">
        <v>0</v>
      </c>
      <c r="AA1637" s="68"/>
      <c r="AB1637" s="52"/>
      <c r="AC1637" s="52"/>
      <c r="AD1637" s="52"/>
      <c r="AE1637" s="56" t="s">
        <v>607</v>
      </c>
      <c r="AF1637" s="56" t="s">
        <v>607</v>
      </c>
    </row>
    <row r="1638">
      <c r="A1638" s="52" t="s">
        <v>4929</v>
      </c>
      <c r="B1638" s="52" t="s">
        <v>607</v>
      </c>
      <c r="C1638" s="52" t="s">
        <v>607</v>
      </c>
      <c r="D1638" s="65" t="s">
        <v>607</v>
      </c>
      <c r="E1638" s="65" t="s">
        <v>607</v>
      </c>
      <c r="F1638" s="65" t="s">
        <v>607</v>
      </c>
      <c r="G1638" s="65" t="s">
        <v>607</v>
      </c>
      <c r="H1638" s="52" t="s">
        <v>607</v>
      </c>
      <c r="I1638" s="52" t="s">
        <v>607</v>
      </c>
      <c r="J1638" s="52" t="s">
        <v>607</v>
      </c>
      <c r="K1638" s="52" t="s">
        <v>607</v>
      </c>
      <c r="L1638" s="52" t="s">
        <v>607</v>
      </c>
      <c r="M1638" s="52" t="s">
        <v>607</v>
      </c>
      <c r="N1638" s="52" t="s">
        <v>607</v>
      </c>
      <c r="O1638" s="52"/>
      <c r="P1638" s="52"/>
      <c r="Q1638" s="52"/>
      <c r="R1638" s="51" t="b">
        <v>0</v>
      </c>
      <c r="S1638" s="51"/>
      <c r="T1638" s="52"/>
      <c r="U1638" s="51" t="b">
        <v>0</v>
      </c>
      <c r="V1638" s="51" t="b">
        <v>0</v>
      </c>
      <c r="W1638" s="51" t="b">
        <v>0</v>
      </c>
      <c r="X1638" s="51" t="b">
        <v>0</v>
      </c>
      <c r="Y1638" s="51" t="b">
        <v>0</v>
      </c>
      <c r="Z1638" s="51" t="b">
        <v>0</v>
      </c>
      <c r="AA1638" s="68"/>
      <c r="AB1638" s="52"/>
      <c r="AC1638" s="52"/>
      <c r="AD1638" s="52"/>
      <c r="AE1638" s="56" t="s">
        <v>607</v>
      </c>
      <c r="AF1638" s="56" t="s">
        <v>607</v>
      </c>
    </row>
    <row r="1639">
      <c r="A1639" s="52" t="s">
        <v>4930</v>
      </c>
      <c r="B1639" s="52" t="s">
        <v>19</v>
      </c>
      <c r="C1639" s="52" t="s">
        <v>221</v>
      </c>
      <c r="D1639" s="65">
        <v>0.549675925925926</v>
      </c>
      <c r="E1639" s="65">
        <v>2.314814814814815E-4</v>
      </c>
      <c r="F1639" s="65">
        <v>0.5499074074074074</v>
      </c>
      <c r="G1639" s="65"/>
      <c r="H1639" s="52" t="s">
        <v>81</v>
      </c>
      <c r="I1639" s="52" t="s">
        <v>81</v>
      </c>
      <c r="J1639" s="52"/>
      <c r="K1639" s="52"/>
      <c r="L1639" s="52"/>
      <c r="M1639" s="52"/>
      <c r="N1639" s="52"/>
      <c r="O1639" s="52"/>
      <c r="P1639" s="52"/>
      <c r="Q1639" s="52"/>
      <c r="R1639" s="51" t="b">
        <v>0</v>
      </c>
      <c r="S1639" s="51"/>
      <c r="T1639" s="52"/>
      <c r="U1639" s="51" t="b">
        <v>0</v>
      </c>
      <c r="V1639" s="51" t="b">
        <v>0</v>
      </c>
      <c r="W1639" s="51" t="b">
        <v>0</v>
      </c>
      <c r="X1639" s="51" t="b">
        <v>0</v>
      </c>
      <c r="Y1639" s="51" t="b">
        <v>0</v>
      </c>
      <c r="Z1639" s="51" t="b">
        <v>0</v>
      </c>
      <c r="AA1639" s="68"/>
      <c r="AB1639" s="52"/>
      <c r="AC1639" s="52"/>
      <c r="AD1639" s="52"/>
      <c r="AE1639" s="56"/>
      <c r="AF1639" s="56" t="s">
        <v>1944</v>
      </c>
    </row>
    <row r="1640">
      <c r="A1640" s="52" t="s">
        <v>4931</v>
      </c>
      <c r="B1640" s="52" t="s">
        <v>19</v>
      </c>
      <c r="C1640" s="52" t="s">
        <v>221</v>
      </c>
      <c r="D1640" s="65">
        <v>0.5499074074074074</v>
      </c>
      <c r="E1640" s="65">
        <v>0.0021412037037037038</v>
      </c>
      <c r="F1640" s="65">
        <v>0.5520486111111111</v>
      </c>
      <c r="G1640" s="65" t="s">
        <v>129</v>
      </c>
      <c r="H1640" s="52" t="s">
        <v>165</v>
      </c>
      <c r="I1640" s="52" t="s">
        <v>1235</v>
      </c>
      <c r="J1640" s="52" t="s">
        <v>1236</v>
      </c>
      <c r="K1640" s="52"/>
      <c r="L1640" s="52"/>
      <c r="M1640" s="52"/>
      <c r="N1640" s="52"/>
      <c r="O1640" s="69" t="s">
        <v>884</v>
      </c>
      <c r="P1640" s="69" t="s">
        <v>30</v>
      </c>
      <c r="Q1640" s="80" t="s">
        <v>4932</v>
      </c>
      <c r="R1640" s="51" t="b">
        <v>1</v>
      </c>
      <c r="S1640" s="52" t="s">
        <v>1235</v>
      </c>
      <c r="T1640" s="52"/>
      <c r="U1640" s="51" t="b">
        <v>0</v>
      </c>
      <c r="V1640" s="51" t="b">
        <v>1</v>
      </c>
      <c r="W1640" s="51" t="b">
        <v>1</v>
      </c>
      <c r="X1640" s="51" t="b">
        <v>0</v>
      </c>
      <c r="Y1640" s="51" t="b">
        <v>0</v>
      </c>
      <c r="Z1640" s="51" t="b">
        <v>0</v>
      </c>
      <c r="AA1640" s="71">
        <v>0.0021412037037037038</v>
      </c>
      <c r="AB1640" s="52"/>
      <c r="AC1640" s="52"/>
      <c r="AD1640" s="73" t="s">
        <v>4782</v>
      </c>
      <c r="AE1640" s="56" t="s">
        <v>743</v>
      </c>
      <c r="AF1640" s="56" t="s">
        <v>630</v>
      </c>
    </row>
    <row r="1641">
      <c r="A1641" s="52" t="s">
        <v>4933</v>
      </c>
      <c r="B1641" s="52" t="s">
        <v>607</v>
      </c>
      <c r="C1641" s="52" t="s">
        <v>607</v>
      </c>
      <c r="D1641" s="65" t="s">
        <v>607</v>
      </c>
      <c r="E1641" s="65" t="s">
        <v>607</v>
      </c>
      <c r="F1641" s="65" t="s">
        <v>607</v>
      </c>
      <c r="G1641" s="65" t="s">
        <v>607</v>
      </c>
      <c r="H1641" s="52" t="s">
        <v>607</v>
      </c>
      <c r="I1641" s="52" t="s">
        <v>607</v>
      </c>
      <c r="J1641" s="52" t="s">
        <v>607</v>
      </c>
      <c r="K1641" s="52" t="s">
        <v>607</v>
      </c>
      <c r="L1641" s="52" t="s">
        <v>607</v>
      </c>
      <c r="M1641" s="52" t="s">
        <v>607</v>
      </c>
      <c r="N1641" s="52" t="s">
        <v>607</v>
      </c>
      <c r="O1641" s="52"/>
      <c r="P1641" s="52"/>
      <c r="Q1641" s="52"/>
      <c r="R1641" s="51" t="b">
        <v>0</v>
      </c>
      <c r="S1641" s="51"/>
      <c r="T1641" s="52"/>
      <c r="U1641" s="51" t="b">
        <v>0</v>
      </c>
      <c r="V1641" s="51" t="b">
        <v>0</v>
      </c>
      <c r="W1641" s="51" t="b">
        <v>0</v>
      </c>
      <c r="X1641" s="51" t="b">
        <v>0</v>
      </c>
      <c r="Y1641" s="51" t="b">
        <v>0</v>
      </c>
      <c r="Z1641" s="51" t="b">
        <v>0</v>
      </c>
      <c r="AA1641" s="68"/>
      <c r="AB1641" s="52"/>
      <c r="AC1641" s="52"/>
      <c r="AD1641" s="52"/>
      <c r="AE1641" s="56" t="s">
        <v>607</v>
      </c>
      <c r="AF1641" s="56" t="s">
        <v>607</v>
      </c>
    </row>
    <row r="1642">
      <c r="A1642" s="52" t="s">
        <v>4934</v>
      </c>
      <c r="B1642" s="52" t="s">
        <v>14</v>
      </c>
      <c r="C1642" s="52" t="s">
        <v>66</v>
      </c>
      <c r="D1642" s="65">
        <v>0.4830092592592596</v>
      </c>
      <c r="E1642" s="65">
        <v>5.208333333333333E-4</v>
      </c>
      <c r="F1642" s="65">
        <v>0.48353009259259294</v>
      </c>
      <c r="G1642" s="65"/>
      <c r="H1642" s="52" t="s">
        <v>89</v>
      </c>
      <c r="I1642" s="52" t="s">
        <v>80</v>
      </c>
      <c r="J1642" s="52" t="s">
        <v>69</v>
      </c>
      <c r="K1642" s="52"/>
      <c r="L1642" s="52"/>
      <c r="M1642" s="52"/>
      <c r="N1642" s="52" t="s">
        <v>70</v>
      </c>
      <c r="O1642" s="52"/>
      <c r="P1642" s="52"/>
      <c r="Q1642" s="52"/>
      <c r="R1642" s="51" t="b">
        <v>0</v>
      </c>
      <c r="S1642" s="51"/>
      <c r="T1642" s="52"/>
      <c r="U1642" s="51" t="b">
        <v>0</v>
      </c>
      <c r="V1642" s="51" t="b">
        <v>0</v>
      </c>
      <c r="W1642" s="51" t="b">
        <v>0</v>
      </c>
      <c r="X1642" s="51" t="b">
        <v>0</v>
      </c>
      <c r="Y1642" s="51" t="b">
        <v>0</v>
      </c>
      <c r="Z1642" s="51" t="b">
        <v>0</v>
      </c>
      <c r="AA1642" s="68"/>
      <c r="AB1642" s="52"/>
      <c r="AC1642" s="52"/>
      <c r="AD1642" s="52"/>
      <c r="AE1642" s="56"/>
      <c r="AF1642" s="56"/>
    </row>
    <row r="1643">
      <c r="A1643" s="52" t="s">
        <v>4935</v>
      </c>
      <c r="B1643" s="52" t="s">
        <v>607</v>
      </c>
      <c r="C1643" s="52" t="s">
        <v>607</v>
      </c>
      <c r="D1643" s="65" t="s">
        <v>607</v>
      </c>
      <c r="E1643" s="65" t="s">
        <v>607</v>
      </c>
      <c r="F1643" s="65" t="s">
        <v>607</v>
      </c>
      <c r="G1643" s="65" t="s">
        <v>607</v>
      </c>
      <c r="H1643" s="52" t="s">
        <v>607</v>
      </c>
      <c r="I1643" s="52" t="s">
        <v>607</v>
      </c>
      <c r="J1643" s="52" t="s">
        <v>607</v>
      </c>
      <c r="K1643" s="52" t="s">
        <v>607</v>
      </c>
      <c r="L1643" s="52" t="s">
        <v>607</v>
      </c>
      <c r="M1643" s="52" t="s">
        <v>607</v>
      </c>
      <c r="N1643" s="52" t="s">
        <v>607</v>
      </c>
      <c r="O1643" s="52"/>
      <c r="P1643" s="52"/>
      <c r="Q1643" s="52"/>
      <c r="R1643" s="51" t="b">
        <v>0</v>
      </c>
      <c r="S1643" s="51"/>
      <c r="T1643" s="52"/>
      <c r="U1643" s="51" t="b">
        <v>0</v>
      </c>
      <c r="V1643" s="51" t="b">
        <v>0</v>
      </c>
      <c r="W1643" s="51" t="b">
        <v>0</v>
      </c>
      <c r="X1643" s="51" t="b">
        <v>0</v>
      </c>
      <c r="Y1643" s="51" t="b">
        <v>0</v>
      </c>
      <c r="Z1643" s="51" t="b">
        <v>0</v>
      </c>
      <c r="AA1643" s="68"/>
      <c r="AB1643" s="52"/>
      <c r="AC1643" s="52"/>
      <c r="AD1643" s="52"/>
      <c r="AE1643" s="56" t="s">
        <v>607</v>
      </c>
      <c r="AF1643" s="56" t="s">
        <v>607</v>
      </c>
    </row>
    <row r="1644">
      <c r="A1644" s="52" t="s">
        <v>4936</v>
      </c>
      <c r="B1644" s="52"/>
      <c r="C1644" s="52"/>
      <c r="D1644" s="65"/>
      <c r="E1644" s="65"/>
      <c r="F1644" s="65"/>
      <c r="G1644" s="65"/>
      <c r="H1644" s="52"/>
      <c r="I1644" s="52"/>
      <c r="J1644" s="52"/>
      <c r="K1644" s="52"/>
      <c r="L1644" s="52"/>
      <c r="M1644" s="52"/>
      <c r="N1644" s="52"/>
      <c r="O1644" s="52"/>
      <c r="P1644" s="52"/>
      <c r="Q1644" s="52"/>
      <c r="R1644" s="51" t="b">
        <v>0</v>
      </c>
      <c r="S1644" s="51"/>
      <c r="T1644" s="52"/>
      <c r="U1644" s="51" t="b">
        <v>0</v>
      </c>
      <c r="V1644" s="51" t="b">
        <v>0</v>
      </c>
      <c r="W1644" s="51" t="b">
        <v>0</v>
      </c>
      <c r="X1644" s="51" t="b">
        <v>0</v>
      </c>
      <c r="Y1644" s="51" t="b">
        <v>0</v>
      </c>
      <c r="Z1644" s="51" t="b">
        <v>0</v>
      </c>
      <c r="AA1644" s="68"/>
      <c r="AB1644" s="52"/>
      <c r="AC1644" s="52"/>
      <c r="AD1644" s="52"/>
      <c r="AE1644" s="56"/>
      <c r="AF1644" s="56"/>
    </row>
    <row r="1645">
      <c r="A1645" s="52" t="s">
        <v>4937</v>
      </c>
      <c r="B1645" s="52" t="s">
        <v>607</v>
      </c>
      <c r="C1645" s="52" t="s">
        <v>607</v>
      </c>
      <c r="D1645" s="65" t="s">
        <v>607</v>
      </c>
      <c r="E1645" s="65" t="s">
        <v>607</v>
      </c>
      <c r="F1645" s="65" t="s">
        <v>607</v>
      </c>
      <c r="G1645" s="65" t="s">
        <v>607</v>
      </c>
      <c r="H1645" s="52" t="s">
        <v>607</v>
      </c>
      <c r="I1645" s="52" t="s">
        <v>607</v>
      </c>
      <c r="J1645" s="52" t="s">
        <v>607</v>
      </c>
      <c r="K1645" s="52" t="s">
        <v>607</v>
      </c>
      <c r="L1645" s="52" t="s">
        <v>607</v>
      </c>
      <c r="M1645" s="52" t="s">
        <v>607</v>
      </c>
      <c r="N1645" s="52" t="s">
        <v>607</v>
      </c>
      <c r="O1645" s="52"/>
      <c r="P1645" s="52"/>
      <c r="Q1645" s="52"/>
      <c r="R1645" s="51" t="b">
        <v>0</v>
      </c>
      <c r="S1645" s="51"/>
      <c r="T1645" s="52"/>
      <c r="U1645" s="51" t="b">
        <v>0</v>
      </c>
      <c r="V1645" s="51" t="b">
        <v>0</v>
      </c>
      <c r="W1645" s="51" t="b">
        <v>0</v>
      </c>
      <c r="X1645" s="51" t="b">
        <v>0</v>
      </c>
      <c r="Y1645" s="51" t="b">
        <v>0</v>
      </c>
      <c r="Z1645" s="51" t="b">
        <v>0</v>
      </c>
      <c r="AA1645" s="68"/>
      <c r="AB1645" s="52"/>
      <c r="AC1645" s="52"/>
      <c r="AD1645" s="52"/>
      <c r="AE1645" s="56" t="s">
        <v>607</v>
      </c>
      <c r="AF1645" s="56" t="s">
        <v>607</v>
      </c>
    </row>
    <row r="1646">
      <c r="A1646" s="52" t="s">
        <v>4938</v>
      </c>
      <c r="B1646" s="52" t="s">
        <v>14</v>
      </c>
      <c r="C1646" s="52" t="s">
        <v>289</v>
      </c>
      <c r="D1646" s="65">
        <v>0.5262152777777779</v>
      </c>
      <c r="E1646" s="65">
        <v>2.314814814814815E-4</v>
      </c>
      <c r="F1646" s="65">
        <v>0.5264467592592593</v>
      </c>
      <c r="G1646" s="65"/>
      <c r="H1646" s="52" t="s">
        <v>81</v>
      </c>
      <c r="I1646" s="52" t="s">
        <v>81</v>
      </c>
      <c r="J1646" s="52" t="s">
        <v>73</v>
      </c>
      <c r="K1646" s="52" t="s">
        <v>92</v>
      </c>
      <c r="L1646" s="52"/>
      <c r="M1646" s="52"/>
      <c r="N1646" s="52"/>
      <c r="O1646" s="52"/>
      <c r="P1646" s="52"/>
      <c r="Q1646" s="52"/>
      <c r="R1646" s="51" t="b">
        <v>0</v>
      </c>
      <c r="S1646" s="51"/>
      <c r="T1646" s="52"/>
      <c r="U1646" s="51" t="b">
        <v>0</v>
      </c>
      <c r="V1646" s="51" t="b">
        <v>0</v>
      </c>
      <c r="W1646" s="51" t="b">
        <v>0</v>
      </c>
      <c r="X1646" s="51" t="b">
        <v>0</v>
      </c>
      <c r="Y1646" s="51" t="b">
        <v>0</v>
      </c>
      <c r="Z1646" s="51" t="b">
        <v>0</v>
      </c>
      <c r="AA1646" s="68"/>
      <c r="AB1646" s="52"/>
      <c r="AC1646" s="52"/>
      <c r="AD1646" s="52"/>
      <c r="AE1646" s="56"/>
      <c r="AF1646" s="56"/>
    </row>
    <row r="1647">
      <c r="A1647" s="52" t="s">
        <v>4939</v>
      </c>
      <c r="B1647" s="52" t="s">
        <v>16</v>
      </c>
      <c r="C1647" s="52" t="s">
        <v>289</v>
      </c>
      <c r="D1647" s="65">
        <v>0.6584837962962982</v>
      </c>
      <c r="E1647" s="65">
        <v>3.4722222222222224E-4</v>
      </c>
      <c r="F1647" s="65">
        <v>0.6588310185185204</v>
      </c>
      <c r="G1647" s="65" t="s">
        <v>924</v>
      </c>
      <c r="H1647" s="52"/>
      <c r="I1647" s="52" t="s">
        <v>81</v>
      </c>
      <c r="J1647" s="52"/>
      <c r="K1647" s="52"/>
      <c r="L1647" s="52"/>
      <c r="M1647" s="52"/>
      <c r="N1647" s="52"/>
      <c r="O1647" s="52"/>
      <c r="P1647" s="52"/>
      <c r="Q1647" s="52"/>
      <c r="R1647" s="51" t="b">
        <v>0</v>
      </c>
      <c r="S1647" s="51"/>
      <c r="T1647" s="52"/>
      <c r="U1647" s="51" t="b">
        <v>0</v>
      </c>
      <c r="V1647" s="51" t="b">
        <v>0</v>
      </c>
      <c r="W1647" s="51" t="b">
        <v>0</v>
      </c>
      <c r="X1647" s="51" t="b">
        <v>0</v>
      </c>
      <c r="Y1647" s="51" t="b">
        <v>0</v>
      </c>
      <c r="Z1647" s="51" t="b">
        <v>0</v>
      </c>
      <c r="AA1647" s="68"/>
      <c r="AB1647" s="52"/>
      <c r="AC1647" s="52"/>
      <c r="AD1647" s="52"/>
      <c r="AE1647" s="56"/>
      <c r="AF1647" s="56"/>
    </row>
    <row r="1648">
      <c r="A1648" s="52" t="s">
        <v>4940</v>
      </c>
      <c r="B1648" s="52" t="s">
        <v>14</v>
      </c>
      <c r="C1648" s="52" t="s">
        <v>66</v>
      </c>
      <c r="D1648" s="65">
        <v>0.5436574074074075</v>
      </c>
      <c r="E1648" s="65">
        <v>6.944444444444445E-4</v>
      </c>
      <c r="F1648" s="65">
        <v>0.544351851851852</v>
      </c>
      <c r="G1648" s="65"/>
      <c r="H1648" s="52" t="s">
        <v>103</v>
      </c>
      <c r="I1648" s="52" t="s">
        <v>145</v>
      </c>
      <c r="J1648" s="52" t="s">
        <v>92</v>
      </c>
      <c r="K1648" s="52"/>
      <c r="L1648" s="52"/>
      <c r="M1648" s="52"/>
      <c r="N1648" s="52"/>
      <c r="O1648" s="52"/>
      <c r="P1648" s="52"/>
      <c r="Q1648" s="52"/>
      <c r="R1648" s="51" t="b">
        <v>0</v>
      </c>
      <c r="S1648" s="51"/>
      <c r="T1648" s="52"/>
      <c r="U1648" s="51" t="b">
        <v>0</v>
      </c>
      <c r="V1648" s="51" t="b">
        <v>0</v>
      </c>
      <c r="W1648" s="51" t="b">
        <v>0</v>
      </c>
      <c r="X1648" s="51" t="b">
        <v>0</v>
      </c>
      <c r="Y1648" s="51" t="b">
        <v>0</v>
      </c>
      <c r="Z1648" s="51" t="b">
        <v>0</v>
      </c>
      <c r="AA1648" s="68"/>
      <c r="AB1648" s="52"/>
      <c r="AC1648" s="52"/>
      <c r="AD1648" s="52"/>
      <c r="AE1648" s="56"/>
      <c r="AF1648" s="56"/>
    </row>
    <row r="1649">
      <c r="A1649" s="52" t="s">
        <v>4941</v>
      </c>
      <c r="B1649" s="52" t="s">
        <v>607</v>
      </c>
      <c r="C1649" s="52" t="s">
        <v>607</v>
      </c>
      <c r="D1649" s="65" t="s">
        <v>607</v>
      </c>
      <c r="E1649" s="65" t="s">
        <v>607</v>
      </c>
      <c r="F1649" s="65" t="s">
        <v>607</v>
      </c>
      <c r="G1649" s="65" t="s">
        <v>607</v>
      </c>
      <c r="H1649" s="52" t="s">
        <v>607</v>
      </c>
      <c r="I1649" s="52" t="s">
        <v>607</v>
      </c>
      <c r="J1649" s="52" t="s">
        <v>607</v>
      </c>
      <c r="K1649" s="52" t="s">
        <v>607</v>
      </c>
      <c r="L1649" s="52" t="s">
        <v>607</v>
      </c>
      <c r="M1649" s="52" t="s">
        <v>607</v>
      </c>
      <c r="N1649" s="52" t="s">
        <v>607</v>
      </c>
      <c r="O1649" s="52"/>
      <c r="P1649" s="52"/>
      <c r="Q1649" s="52"/>
      <c r="R1649" s="51" t="b">
        <v>0</v>
      </c>
      <c r="S1649" s="51"/>
      <c r="T1649" s="52"/>
      <c r="U1649" s="51" t="b">
        <v>0</v>
      </c>
      <c r="V1649" s="51" t="b">
        <v>0</v>
      </c>
      <c r="W1649" s="51" t="b">
        <v>0</v>
      </c>
      <c r="X1649" s="51" t="b">
        <v>0</v>
      </c>
      <c r="Y1649" s="51" t="b">
        <v>0</v>
      </c>
      <c r="Z1649" s="51" t="b">
        <v>0</v>
      </c>
      <c r="AA1649" s="68"/>
      <c r="AB1649" s="52"/>
      <c r="AC1649" s="52"/>
      <c r="AD1649" s="52"/>
      <c r="AE1649" s="56" t="s">
        <v>607</v>
      </c>
      <c r="AF1649" s="56" t="s">
        <v>607</v>
      </c>
    </row>
    <row r="1650">
      <c r="A1650" s="52" t="s">
        <v>4942</v>
      </c>
      <c r="B1650" s="52" t="s">
        <v>14</v>
      </c>
      <c r="C1650" s="52" t="s">
        <v>66</v>
      </c>
      <c r="D1650" s="65">
        <v>0.6083680555555554</v>
      </c>
      <c r="E1650" s="65">
        <v>3.4722222222222224E-4</v>
      </c>
      <c r="F1650" s="65">
        <v>0.6087152777777777</v>
      </c>
      <c r="G1650" s="65"/>
      <c r="H1650" s="52" t="s">
        <v>87</v>
      </c>
      <c r="I1650" s="52" t="s">
        <v>88</v>
      </c>
      <c r="J1650" s="52" t="s">
        <v>69</v>
      </c>
      <c r="K1650" s="52"/>
      <c r="L1650" s="52"/>
      <c r="M1650" s="52"/>
      <c r="N1650" s="52"/>
      <c r="O1650" s="52"/>
      <c r="P1650" s="52"/>
      <c r="Q1650" s="52"/>
      <c r="R1650" s="51" t="b">
        <v>0</v>
      </c>
      <c r="S1650" s="51"/>
      <c r="T1650" s="52"/>
      <c r="U1650" s="51" t="b">
        <v>0</v>
      </c>
      <c r="V1650" s="51" t="b">
        <v>0</v>
      </c>
      <c r="W1650" s="51" t="b">
        <v>0</v>
      </c>
      <c r="X1650" s="51" t="b">
        <v>0</v>
      </c>
      <c r="Y1650" s="51" t="b">
        <v>0</v>
      </c>
      <c r="Z1650" s="51" t="b">
        <v>0</v>
      </c>
      <c r="AA1650" s="68"/>
      <c r="AB1650" s="52"/>
      <c r="AC1650" s="52"/>
      <c r="AD1650" s="52"/>
      <c r="AE1650" s="56"/>
      <c r="AF1650" s="56"/>
    </row>
    <row r="1651">
      <c r="A1651" s="52" t="s">
        <v>4943</v>
      </c>
      <c r="B1651" s="52" t="s">
        <v>607</v>
      </c>
      <c r="C1651" s="52" t="s">
        <v>607</v>
      </c>
      <c r="D1651" s="65" t="s">
        <v>607</v>
      </c>
      <c r="E1651" s="65" t="s">
        <v>607</v>
      </c>
      <c r="F1651" s="65" t="s">
        <v>607</v>
      </c>
      <c r="G1651" s="65" t="s">
        <v>607</v>
      </c>
      <c r="H1651" s="52" t="s">
        <v>607</v>
      </c>
      <c r="I1651" s="52" t="s">
        <v>607</v>
      </c>
      <c r="J1651" s="52" t="s">
        <v>607</v>
      </c>
      <c r="K1651" s="52" t="s">
        <v>607</v>
      </c>
      <c r="L1651" s="52" t="s">
        <v>607</v>
      </c>
      <c r="M1651" s="52" t="s">
        <v>607</v>
      </c>
      <c r="N1651" s="52" t="s">
        <v>607</v>
      </c>
      <c r="O1651" s="52"/>
      <c r="P1651" s="52"/>
      <c r="Q1651" s="52"/>
      <c r="R1651" s="51" t="b">
        <v>0</v>
      </c>
      <c r="S1651" s="51"/>
      <c r="T1651" s="52"/>
      <c r="U1651" s="51" t="b">
        <v>0</v>
      </c>
      <c r="V1651" s="51" t="b">
        <v>0</v>
      </c>
      <c r="W1651" s="51" t="b">
        <v>0</v>
      </c>
      <c r="X1651" s="51" t="b">
        <v>0</v>
      </c>
      <c r="Y1651" s="51" t="b">
        <v>0</v>
      </c>
      <c r="Z1651" s="51" t="b">
        <v>0</v>
      </c>
      <c r="AA1651" s="68"/>
      <c r="AB1651" s="52"/>
      <c r="AC1651" s="52"/>
      <c r="AD1651" s="52"/>
      <c r="AE1651" s="56" t="s">
        <v>607</v>
      </c>
      <c r="AF1651" s="56" t="s">
        <v>607</v>
      </c>
    </row>
    <row r="1652">
      <c r="A1652" s="52" t="s">
        <v>4944</v>
      </c>
      <c r="B1652" s="52" t="s">
        <v>16</v>
      </c>
      <c r="C1652" s="52" t="s">
        <v>289</v>
      </c>
      <c r="D1652" s="65">
        <v>0.6647453703703723</v>
      </c>
      <c r="E1652" s="65">
        <v>1.7361111111111112E-4</v>
      </c>
      <c r="F1652" s="65">
        <v>0.6649189814814834</v>
      </c>
      <c r="G1652" s="65" t="s">
        <v>924</v>
      </c>
      <c r="H1652" s="52"/>
      <c r="I1652" s="52" t="s">
        <v>85</v>
      </c>
      <c r="J1652" s="52"/>
      <c r="K1652" s="52"/>
      <c r="L1652" s="52"/>
      <c r="M1652" s="52"/>
      <c r="N1652" s="52"/>
      <c r="O1652" s="52"/>
      <c r="P1652" s="52"/>
      <c r="Q1652" s="52"/>
      <c r="R1652" s="51" t="b">
        <v>0</v>
      </c>
      <c r="S1652" s="51"/>
      <c r="T1652" s="52"/>
      <c r="U1652" s="51" t="b">
        <v>0</v>
      </c>
      <c r="V1652" s="51" t="b">
        <v>0</v>
      </c>
      <c r="W1652" s="51" t="b">
        <v>0</v>
      </c>
      <c r="X1652" s="51" t="b">
        <v>0</v>
      </c>
      <c r="Y1652" s="51" t="b">
        <v>0</v>
      </c>
      <c r="Z1652" s="51" t="b">
        <v>0</v>
      </c>
      <c r="AA1652" s="68"/>
      <c r="AB1652" s="52"/>
      <c r="AC1652" s="52"/>
      <c r="AD1652" s="52"/>
      <c r="AE1652" s="56"/>
      <c r="AF1652" s="56"/>
    </row>
    <row r="1653">
      <c r="A1653" s="52" t="s">
        <v>4945</v>
      </c>
      <c r="B1653" s="52" t="s">
        <v>607</v>
      </c>
      <c r="C1653" s="52" t="s">
        <v>607</v>
      </c>
      <c r="D1653" s="65" t="s">
        <v>607</v>
      </c>
      <c r="E1653" s="65" t="s">
        <v>607</v>
      </c>
      <c r="F1653" s="65" t="s">
        <v>607</v>
      </c>
      <c r="G1653" s="65" t="s">
        <v>607</v>
      </c>
      <c r="H1653" s="52" t="s">
        <v>607</v>
      </c>
      <c r="I1653" s="52" t="s">
        <v>607</v>
      </c>
      <c r="J1653" s="52" t="s">
        <v>607</v>
      </c>
      <c r="K1653" s="52" t="s">
        <v>607</v>
      </c>
      <c r="L1653" s="52" t="s">
        <v>607</v>
      </c>
      <c r="M1653" s="52" t="s">
        <v>607</v>
      </c>
      <c r="N1653" s="52" t="s">
        <v>607</v>
      </c>
      <c r="O1653" s="52"/>
      <c r="P1653" s="52"/>
      <c r="Q1653" s="52"/>
      <c r="R1653" s="51" t="b">
        <v>0</v>
      </c>
      <c r="S1653" s="51"/>
      <c r="T1653" s="52"/>
      <c r="U1653" s="51" t="b">
        <v>0</v>
      </c>
      <c r="V1653" s="51" t="b">
        <v>0</v>
      </c>
      <c r="W1653" s="51" t="b">
        <v>0</v>
      </c>
      <c r="X1653" s="51" t="b">
        <v>0</v>
      </c>
      <c r="Y1653" s="51" t="b">
        <v>0</v>
      </c>
      <c r="Z1653" s="51" t="b">
        <v>0</v>
      </c>
      <c r="AA1653" s="68"/>
      <c r="AB1653" s="52"/>
      <c r="AC1653" s="52"/>
      <c r="AD1653" s="52"/>
      <c r="AE1653" s="56" t="s">
        <v>607</v>
      </c>
      <c r="AF1653" s="56" t="s">
        <v>607</v>
      </c>
    </row>
    <row r="1654">
      <c r="A1654" s="52" t="s">
        <v>4946</v>
      </c>
      <c r="B1654" s="52" t="s">
        <v>785</v>
      </c>
      <c r="C1654" s="52" t="s">
        <v>221</v>
      </c>
      <c r="D1654" s="65">
        <v>0.5149884259259263</v>
      </c>
      <c r="E1654" s="65">
        <v>0.001388888888888889</v>
      </c>
      <c r="F1654" s="65">
        <v>0.5163773148148152</v>
      </c>
      <c r="G1654" s="65"/>
      <c r="H1654" s="52" t="s">
        <v>79</v>
      </c>
      <c r="I1654" s="52" t="s">
        <v>1497</v>
      </c>
      <c r="J1654" s="52"/>
      <c r="K1654" s="52"/>
      <c r="L1654" s="52"/>
      <c r="M1654" s="52"/>
      <c r="N1654" s="52"/>
      <c r="O1654" s="52"/>
      <c r="P1654" s="52"/>
      <c r="Q1654" s="52"/>
      <c r="R1654" s="51" t="b">
        <v>0</v>
      </c>
      <c r="S1654" s="51"/>
      <c r="T1654" s="52"/>
      <c r="U1654" s="51" t="b">
        <v>0</v>
      </c>
      <c r="V1654" s="51" t="b">
        <v>0</v>
      </c>
      <c r="W1654" s="51" t="b">
        <v>0</v>
      </c>
      <c r="X1654" s="51" t="b">
        <v>0</v>
      </c>
      <c r="Y1654" s="51" t="b">
        <v>0</v>
      </c>
      <c r="Z1654" s="51" t="b">
        <v>0</v>
      </c>
      <c r="AA1654" s="65"/>
      <c r="AB1654" s="52"/>
      <c r="AC1654" s="52"/>
      <c r="AD1654" s="52"/>
      <c r="AE1654" s="56"/>
      <c r="AF1654" s="56"/>
    </row>
    <row r="1655">
      <c r="A1655" s="52" t="s">
        <v>4947</v>
      </c>
      <c r="B1655" s="52" t="s">
        <v>785</v>
      </c>
      <c r="C1655" s="52" t="s">
        <v>289</v>
      </c>
      <c r="D1655" s="65">
        <v>0.4479166666666667</v>
      </c>
      <c r="E1655" s="65">
        <v>0.001388888888888889</v>
      </c>
      <c r="F1655" s="65">
        <v>0.44930555555555557</v>
      </c>
      <c r="G1655" s="65"/>
      <c r="H1655" s="52" t="s">
        <v>79</v>
      </c>
      <c r="I1655" s="52" t="s">
        <v>1497</v>
      </c>
      <c r="J1655" s="52"/>
      <c r="K1655" s="52"/>
      <c r="L1655" s="52"/>
      <c r="M1655" s="52"/>
      <c r="N1655" s="52"/>
      <c r="O1655" s="52"/>
      <c r="P1655" s="52"/>
      <c r="Q1655" s="52"/>
      <c r="R1655" s="51" t="b">
        <v>0</v>
      </c>
      <c r="S1655" s="51"/>
      <c r="T1655" s="52"/>
      <c r="U1655" s="51" t="b">
        <v>0</v>
      </c>
      <c r="V1655" s="51" t="b">
        <v>0</v>
      </c>
      <c r="W1655" s="51" t="b">
        <v>0</v>
      </c>
      <c r="X1655" s="51" t="b">
        <v>0</v>
      </c>
      <c r="Y1655" s="51" t="b">
        <v>0</v>
      </c>
      <c r="Z1655" s="51" t="b">
        <v>0</v>
      </c>
      <c r="AA1655" s="65"/>
      <c r="AB1655" s="52"/>
      <c r="AC1655" s="52"/>
      <c r="AD1655" s="52"/>
      <c r="AE1655" s="56"/>
      <c r="AF1655" s="56"/>
    </row>
    <row r="1656">
      <c r="A1656" s="52" t="s">
        <v>4948</v>
      </c>
      <c r="B1656" s="52" t="s">
        <v>14</v>
      </c>
      <c r="C1656" s="52" t="s">
        <v>66</v>
      </c>
      <c r="D1656" s="65">
        <v>0.5904050925925924</v>
      </c>
      <c r="E1656" s="65">
        <v>3.4722222222222224E-4</v>
      </c>
      <c r="F1656" s="65">
        <v>0.5907523148148147</v>
      </c>
      <c r="G1656" s="65"/>
      <c r="H1656" s="52" t="s">
        <v>87</v>
      </c>
      <c r="I1656" s="52" t="s">
        <v>88</v>
      </c>
      <c r="J1656" s="52" t="s">
        <v>69</v>
      </c>
      <c r="K1656" s="52"/>
      <c r="L1656" s="52"/>
      <c r="M1656" s="52"/>
      <c r="N1656" s="52"/>
      <c r="O1656" s="52"/>
      <c r="P1656" s="52"/>
      <c r="Q1656" s="52"/>
      <c r="R1656" s="51" t="b">
        <v>0</v>
      </c>
      <c r="S1656" s="51"/>
      <c r="T1656" s="52"/>
      <c r="U1656" s="51" t="b">
        <v>0</v>
      </c>
      <c r="V1656" s="51" t="b">
        <v>0</v>
      </c>
      <c r="W1656" s="51" t="b">
        <v>0</v>
      </c>
      <c r="X1656" s="51" t="b">
        <v>0</v>
      </c>
      <c r="Y1656" s="51" t="b">
        <v>0</v>
      </c>
      <c r="Z1656" s="51" t="b">
        <v>0</v>
      </c>
      <c r="AA1656" s="68"/>
      <c r="AB1656" s="52"/>
      <c r="AC1656" s="52"/>
      <c r="AD1656" s="52"/>
      <c r="AE1656" s="56"/>
      <c r="AF1656" s="56" t="s">
        <v>600</v>
      </c>
    </row>
    <row r="1657">
      <c r="A1657" s="52" t="s">
        <v>4949</v>
      </c>
      <c r="B1657" s="52" t="s">
        <v>785</v>
      </c>
      <c r="C1657" s="52" t="s">
        <v>289</v>
      </c>
      <c r="D1657" s="65">
        <v>0.5152546296296301</v>
      </c>
      <c r="E1657" s="65">
        <v>0.001388888888888889</v>
      </c>
      <c r="F1657" s="65">
        <v>0.516643518518519</v>
      </c>
      <c r="G1657" s="65"/>
      <c r="H1657" s="52" t="s">
        <v>79</v>
      </c>
      <c r="I1657" s="52" t="s">
        <v>1497</v>
      </c>
      <c r="J1657" s="52"/>
      <c r="K1657" s="52"/>
      <c r="L1657" s="52"/>
      <c r="M1657" s="52"/>
      <c r="N1657" s="52"/>
      <c r="O1657" s="52"/>
      <c r="P1657" s="52"/>
      <c r="Q1657" s="52"/>
      <c r="R1657" s="51" t="b">
        <v>0</v>
      </c>
      <c r="S1657" s="51"/>
      <c r="T1657" s="52"/>
      <c r="U1657" s="51" t="b">
        <v>0</v>
      </c>
      <c r="V1657" s="51" t="b">
        <v>0</v>
      </c>
      <c r="W1657" s="51" t="b">
        <v>0</v>
      </c>
      <c r="X1657" s="51" t="b">
        <v>0</v>
      </c>
      <c r="Y1657" s="51" t="b">
        <v>0</v>
      </c>
      <c r="Z1657" s="51" t="b">
        <v>0</v>
      </c>
      <c r="AA1657" s="65"/>
      <c r="AB1657" s="52"/>
      <c r="AC1657" s="52"/>
      <c r="AD1657" s="52"/>
      <c r="AE1657" s="56"/>
      <c r="AF1657" s="56"/>
    </row>
    <row r="1658">
      <c r="A1658" s="52" t="s">
        <v>4950</v>
      </c>
      <c r="B1658" s="52" t="s">
        <v>19</v>
      </c>
      <c r="C1658" s="52" t="s">
        <v>289</v>
      </c>
      <c r="D1658" s="65">
        <v>0.4583333333333333</v>
      </c>
      <c r="E1658" s="65">
        <v>1.7361111111111112E-4</v>
      </c>
      <c r="F1658" s="65">
        <v>0.45850694444444445</v>
      </c>
      <c r="G1658" s="65" t="s">
        <v>368</v>
      </c>
      <c r="H1658" s="52" t="s">
        <v>77</v>
      </c>
      <c r="I1658" s="52" t="s">
        <v>1316</v>
      </c>
      <c r="J1658" s="52"/>
      <c r="K1658" s="52"/>
      <c r="L1658" s="52"/>
      <c r="M1658" s="52"/>
      <c r="N1658" s="52" t="s">
        <v>70</v>
      </c>
      <c r="O1658" s="52"/>
      <c r="P1658" s="52"/>
      <c r="Q1658" s="52"/>
      <c r="R1658" s="51" t="b">
        <v>0</v>
      </c>
      <c r="S1658" s="51"/>
      <c r="T1658" s="52"/>
      <c r="U1658" s="51" t="b">
        <v>0</v>
      </c>
      <c r="V1658" s="51" t="b">
        <v>0</v>
      </c>
      <c r="W1658" s="51" t="b">
        <v>0</v>
      </c>
      <c r="X1658" s="51" t="b">
        <v>0</v>
      </c>
      <c r="Y1658" s="51" t="b">
        <v>0</v>
      </c>
      <c r="Z1658" s="51" t="b">
        <v>0</v>
      </c>
      <c r="AA1658" s="68"/>
      <c r="AB1658" s="52"/>
      <c r="AC1658" s="52"/>
      <c r="AD1658" s="52"/>
      <c r="AE1658" s="56"/>
      <c r="AF1658" s="56" t="s">
        <v>1215</v>
      </c>
    </row>
    <row r="1659">
      <c r="A1659" s="52" t="s">
        <v>4951</v>
      </c>
      <c r="B1659" s="52" t="s">
        <v>19</v>
      </c>
      <c r="C1659" s="52" t="s">
        <v>221</v>
      </c>
      <c r="D1659" s="65">
        <v>0.48151620370370374</v>
      </c>
      <c r="E1659" s="65">
        <v>3.4722222222222224E-4</v>
      </c>
      <c r="F1659" s="65">
        <v>0.48186342592592596</v>
      </c>
      <c r="G1659" s="65"/>
      <c r="H1659" s="52" t="s">
        <v>89</v>
      </c>
      <c r="I1659" s="52" t="s">
        <v>89</v>
      </c>
      <c r="J1659" s="52"/>
      <c r="K1659" s="52"/>
      <c r="L1659" s="52"/>
      <c r="M1659" s="52"/>
      <c r="N1659" s="52"/>
      <c r="O1659" s="52"/>
      <c r="P1659" s="52"/>
      <c r="Q1659" s="52"/>
      <c r="R1659" s="51" t="b">
        <v>0</v>
      </c>
      <c r="S1659" s="51"/>
      <c r="T1659" s="52"/>
      <c r="U1659" s="51" t="b">
        <v>0</v>
      </c>
      <c r="V1659" s="51" t="b">
        <v>0</v>
      </c>
      <c r="W1659" s="51" t="b">
        <v>0</v>
      </c>
      <c r="X1659" s="51" t="b">
        <v>0</v>
      </c>
      <c r="Y1659" s="51" t="b">
        <v>0</v>
      </c>
      <c r="Z1659" s="51" t="b">
        <v>0</v>
      </c>
      <c r="AA1659" s="68"/>
      <c r="AB1659" s="52"/>
      <c r="AC1659" s="52"/>
      <c r="AD1659" s="52"/>
      <c r="AE1659" s="56"/>
      <c r="AF1659" s="56"/>
    </row>
    <row r="1660">
      <c r="A1660" s="52" t="s">
        <v>4952</v>
      </c>
      <c r="B1660" s="52" t="s">
        <v>19</v>
      </c>
      <c r="C1660" s="52" t="s">
        <v>221</v>
      </c>
      <c r="D1660" s="65">
        <v>0.7006249999999999</v>
      </c>
      <c r="E1660" s="65">
        <v>1.7361111111111112E-4</v>
      </c>
      <c r="F1660" s="65">
        <v>0.7007986111111111</v>
      </c>
      <c r="G1660" s="65"/>
      <c r="H1660" s="52" t="s">
        <v>77</v>
      </c>
      <c r="I1660" s="52" t="s">
        <v>1098</v>
      </c>
      <c r="J1660" s="52"/>
      <c r="K1660" s="52"/>
      <c r="L1660" s="52"/>
      <c r="M1660" s="52"/>
      <c r="N1660" s="52"/>
      <c r="O1660" s="52"/>
      <c r="P1660" s="52"/>
      <c r="Q1660" s="52"/>
      <c r="R1660" s="51" t="b">
        <v>0</v>
      </c>
      <c r="S1660" s="51"/>
      <c r="T1660" s="52"/>
      <c r="U1660" s="51" t="b">
        <v>0</v>
      </c>
      <c r="V1660" s="51" t="b">
        <v>0</v>
      </c>
      <c r="W1660" s="51" t="b">
        <v>0</v>
      </c>
      <c r="X1660" s="51" t="b">
        <v>0</v>
      </c>
      <c r="Y1660" s="51" t="b">
        <v>0</v>
      </c>
      <c r="Z1660" s="51" t="b">
        <v>0</v>
      </c>
      <c r="AA1660" s="68"/>
      <c r="AB1660" s="52"/>
      <c r="AC1660" s="52"/>
      <c r="AD1660" s="52"/>
      <c r="AE1660" s="56"/>
      <c r="AF1660" s="56" t="s">
        <v>2004</v>
      </c>
    </row>
    <row r="1661">
      <c r="A1661" s="52" t="s">
        <v>4953</v>
      </c>
      <c r="B1661" s="52" t="s">
        <v>22</v>
      </c>
      <c r="C1661" s="52" t="s">
        <v>221</v>
      </c>
      <c r="D1661" s="65">
        <v>0.6784375000000002</v>
      </c>
      <c r="E1661" s="65">
        <v>3.4722222222222224E-4</v>
      </c>
      <c r="F1661" s="65">
        <v>0.6787847222222225</v>
      </c>
      <c r="G1661" s="65"/>
      <c r="H1661" s="52" t="s">
        <v>81</v>
      </c>
      <c r="I1661" s="52" t="s">
        <v>1498</v>
      </c>
      <c r="J1661" s="52"/>
      <c r="K1661" s="52"/>
      <c r="L1661" s="52"/>
      <c r="M1661" s="52"/>
      <c r="N1661" s="52"/>
      <c r="O1661" s="52"/>
      <c r="P1661" s="52"/>
      <c r="Q1661" s="52"/>
      <c r="R1661" s="51" t="b">
        <v>0</v>
      </c>
      <c r="S1661" s="51"/>
      <c r="T1661" s="52"/>
      <c r="U1661" s="51" t="b">
        <v>0</v>
      </c>
      <c r="V1661" s="51" t="b">
        <v>0</v>
      </c>
      <c r="W1661" s="51" t="b">
        <v>0</v>
      </c>
      <c r="X1661" s="51" t="b">
        <v>0</v>
      </c>
      <c r="Y1661" s="51" t="b">
        <v>0</v>
      </c>
      <c r="Z1661" s="51" t="b">
        <v>0</v>
      </c>
      <c r="AA1661" s="68"/>
      <c r="AB1661" s="52"/>
      <c r="AC1661" s="52"/>
      <c r="AD1661" s="52"/>
      <c r="AE1661" s="56"/>
      <c r="AF1661" s="56"/>
    </row>
    <row r="1662">
      <c r="A1662" s="52" t="s">
        <v>4954</v>
      </c>
      <c r="B1662" s="52" t="s">
        <v>22</v>
      </c>
      <c r="C1662" s="52" t="s">
        <v>221</v>
      </c>
      <c r="D1662" s="65">
        <v>0.6787847222222225</v>
      </c>
      <c r="E1662" s="65">
        <v>0.027777777777777776</v>
      </c>
      <c r="F1662" s="65">
        <v>0.7065625000000003</v>
      </c>
      <c r="G1662" s="65"/>
      <c r="H1662" s="52" t="s">
        <v>1501</v>
      </c>
      <c r="I1662" s="52" t="s">
        <v>1589</v>
      </c>
      <c r="J1662" s="52" t="s">
        <v>1227</v>
      </c>
      <c r="K1662" s="52"/>
      <c r="L1662" s="52"/>
      <c r="M1662" s="52"/>
      <c r="N1662" s="52" t="s">
        <v>520</v>
      </c>
      <c r="O1662" s="52"/>
      <c r="P1662" s="52"/>
      <c r="Q1662" s="52"/>
      <c r="R1662" s="51" t="b">
        <v>0</v>
      </c>
      <c r="S1662" s="51"/>
      <c r="T1662" s="52"/>
      <c r="U1662" s="51" t="b">
        <v>0</v>
      </c>
      <c r="V1662" s="51" t="b">
        <v>0</v>
      </c>
      <c r="W1662" s="51" t="b">
        <v>0</v>
      </c>
      <c r="X1662" s="51" t="b">
        <v>0</v>
      </c>
      <c r="Y1662" s="51" t="b">
        <v>0</v>
      </c>
      <c r="Z1662" s="51" t="b">
        <v>0</v>
      </c>
      <c r="AA1662" s="68"/>
      <c r="AB1662" s="52"/>
      <c r="AC1662" s="52"/>
      <c r="AD1662" s="52"/>
      <c r="AE1662" s="56" t="s">
        <v>1499</v>
      </c>
      <c r="AF1662" s="56" t="s">
        <v>4142</v>
      </c>
    </row>
    <row r="1663">
      <c r="A1663" s="52" t="s">
        <v>4955</v>
      </c>
      <c r="B1663" s="52" t="s">
        <v>22</v>
      </c>
      <c r="C1663" s="52" t="s">
        <v>221</v>
      </c>
      <c r="D1663" s="65">
        <v>0.7065625000000003</v>
      </c>
      <c r="E1663" s="65">
        <v>0.0012037037037037038</v>
      </c>
      <c r="F1663" s="65">
        <v>0.707766203703704</v>
      </c>
      <c r="G1663" s="65"/>
      <c r="H1663" s="52" t="s">
        <v>79</v>
      </c>
      <c r="I1663" s="52" t="s">
        <v>1497</v>
      </c>
      <c r="J1663" s="52"/>
      <c r="K1663" s="52"/>
      <c r="L1663" s="52"/>
      <c r="M1663" s="52"/>
      <c r="N1663" s="52"/>
      <c r="O1663" s="52"/>
      <c r="P1663" s="52"/>
      <c r="Q1663" s="52"/>
      <c r="R1663" s="51" t="b">
        <v>0</v>
      </c>
      <c r="S1663" s="51"/>
      <c r="T1663" s="52"/>
      <c r="U1663" s="51" t="b">
        <v>0</v>
      </c>
      <c r="V1663" s="51" t="b">
        <v>0</v>
      </c>
      <c r="W1663" s="51" t="b">
        <v>0</v>
      </c>
      <c r="X1663" s="51" t="b">
        <v>0</v>
      </c>
      <c r="Y1663" s="51" t="b">
        <v>0</v>
      </c>
      <c r="Z1663" s="51" t="b">
        <v>0</v>
      </c>
      <c r="AA1663" s="68"/>
      <c r="AB1663" s="52"/>
      <c r="AC1663" s="52"/>
      <c r="AD1663" s="52"/>
      <c r="AE1663" s="56"/>
      <c r="AF1663" s="56"/>
    </row>
    <row r="1664">
      <c r="A1664" s="52" t="s">
        <v>4956</v>
      </c>
      <c r="B1664" s="52" t="s">
        <v>22</v>
      </c>
      <c r="C1664" s="52" t="s">
        <v>66</v>
      </c>
      <c r="D1664" s="65">
        <v>0.6831134259259263</v>
      </c>
      <c r="E1664" s="65">
        <v>3.4722222222222224E-4</v>
      </c>
      <c r="F1664" s="65">
        <v>0.6834606481481486</v>
      </c>
      <c r="G1664" s="65"/>
      <c r="H1664" s="52" t="s">
        <v>81</v>
      </c>
      <c r="I1664" s="52" t="s">
        <v>1498</v>
      </c>
      <c r="J1664" s="52"/>
      <c r="K1664" s="52"/>
      <c r="L1664" s="52"/>
      <c r="M1664" s="52"/>
      <c r="N1664" s="52"/>
      <c r="O1664" s="52"/>
      <c r="P1664" s="52"/>
      <c r="Q1664" s="52"/>
      <c r="R1664" s="51" t="b">
        <v>0</v>
      </c>
      <c r="S1664" s="51"/>
      <c r="T1664" s="52"/>
      <c r="U1664" s="51" t="b">
        <v>0</v>
      </c>
      <c r="V1664" s="51" t="b">
        <v>0</v>
      </c>
      <c r="W1664" s="51" t="b">
        <v>0</v>
      </c>
      <c r="X1664" s="51" t="b">
        <v>0</v>
      </c>
      <c r="Y1664" s="51" t="b">
        <v>0</v>
      </c>
      <c r="Z1664" s="51" t="b">
        <v>0</v>
      </c>
      <c r="AA1664" s="68"/>
      <c r="AB1664" s="52"/>
      <c r="AC1664" s="52"/>
      <c r="AD1664" s="52"/>
      <c r="AE1664" s="56"/>
      <c r="AF1664" s="56"/>
    </row>
    <row r="1665">
      <c r="A1665" s="52" t="s">
        <v>4957</v>
      </c>
      <c r="B1665" s="52" t="s">
        <v>22</v>
      </c>
      <c r="C1665" s="52" t="s">
        <v>66</v>
      </c>
      <c r="D1665" s="65">
        <v>0.6834606481481486</v>
      </c>
      <c r="E1665" s="65">
        <v>0.018055555555555554</v>
      </c>
      <c r="F1665" s="65">
        <v>0.7015162037037042</v>
      </c>
      <c r="G1665" s="65"/>
      <c r="H1665" s="52" t="s">
        <v>1501</v>
      </c>
      <c r="I1665" s="52" t="s">
        <v>1532</v>
      </c>
      <c r="J1665" s="52" t="s">
        <v>282</v>
      </c>
      <c r="K1665" s="52" t="s">
        <v>283</v>
      </c>
      <c r="L1665" s="52" t="s">
        <v>284</v>
      </c>
      <c r="M1665" s="52"/>
      <c r="N1665" s="52" t="s">
        <v>285</v>
      </c>
      <c r="O1665" s="52"/>
      <c r="P1665" s="52"/>
      <c r="Q1665" s="52"/>
      <c r="R1665" s="51" t="b">
        <v>0</v>
      </c>
      <c r="S1665" s="51"/>
      <c r="T1665" s="52"/>
      <c r="U1665" s="51" t="b">
        <v>0</v>
      </c>
      <c r="V1665" s="51" t="b">
        <v>0</v>
      </c>
      <c r="W1665" s="51" t="b">
        <v>0</v>
      </c>
      <c r="X1665" s="51" t="b">
        <v>0</v>
      </c>
      <c r="Y1665" s="51" t="b">
        <v>0</v>
      </c>
      <c r="Z1665" s="51" t="b">
        <v>0</v>
      </c>
      <c r="AA1665" s="68"/>
      <c r="AB1665" s="52"/>
      <c r="AC1665" s="52"/>
      <c r="AD1665" s="52"/>
      <c r="AE1665" s="56" t="s">
        <v>629</v>
      </c>
      <c r="AF1665" s="56" t="s">
        <v>860</v>
      </c>
    </row>
    <row r="1666">
      <c r="A1666" s="52" t="s">
        <v>4958</v>
      </c>
      <c r="B1666" s="52" t="s">
        <v>22</v>
      </c>
      <c r="C1666" s="52" t="s">
        <v>66</v>
      </c>
      <c r="D1666" s="65">
        <v>0.7015162037037042</v>
      </c>
      <c r="E1666" s="65">
        <v>0.0012037037037037038</v>
      </c>
      <c r="F1666" s="65">
        <v>0.7027199074074079</v>
      </c>
      <c r="G1666" s="65"/>
      <c r="H1666" s="52" t="s">
        <v>79</v>
      </c>
      <c r="I1666" s="52" t="s">
        <v>1497</v>
      </c>
      <c r="J1666" s="52"/>
      <c r="K1666" s="52"/>
      <c r="L1666" s="52"/>
      <c r="M1666" s="52"/>
      <c r="N1666" s="52"/>
      <c r="O1666" s="52"/>
      <c r="P1666" s="52"/>
      <c r="Q1666" s="52"/>
      <c r="R1666" s="51" t="b">
        <v>0</v>
      </c>
      <c r="S1666" s="51"/>
      <c r="T1666" s="52"/>
      <c r="U1666" s="51" t="b">
        <v>0</v>
      </c>
      <c r="V1666" s="51" t="b">
        <v>0</v>
      </c>
      <c r="W1666" s="51" t="b">
        <v>0</v>
      </c>
      <c r="X1666" s="51" t="b">
        <v>0</v>
      </c>
      <c r="Y1666" s="51" t="b">
        <v>0</v>
      </c>
      <c r="Z1666" s="51" t="b">
        <v>0</v>
      </c>
      <c r="AA1666" s="68"/>
      <c r="AB1666" s="52"/>
      <c r="AC1666" s="52"/>
      <c r="AD1666" s="52"/>
      <c r="AE1666" s="56"/>
      <c r="AF1666" s="56"/>
    </row>
    <row r="1667">
      <c r="A1667" s="52" t="s">
        <v>4959</v>
      </c>
      <c r="B1667" s="52"/>
      <c r="C1667" s="52"/>
      <c r="D1667" s="65"/>
      <c r="E1667" s="65"/>
      <c r="F1667" s="65"/>
      <c r="G1667" s="65"/>
      <c r="H1667" s="52"/>
      <c r="I1667" s="52"/>
      <c r="J1667" s="52"/>
      <c r="K1667" s="52"/>
      <c r="L1667" s="52"/>
      <c r="M1667" s="52"/>
      <c r="N1667" s="52"/>
      <c r="O1667" s="52"/>
      <c r="P1667" s="52"/>
      <c r="Q1667" s="52"/>
      <c r="R1667" s="51" t="b">
        <v>0</v>
      </c>
      <c r="S1667" s="51"/>
      <c r="T1667" s="52"/>
      <c r="U1667" s="51" t="b">
        <v>0</v>
      </c>
      <c r="V1667" s="51" t="b">
        <v>0</v>
      </c>
      <c r="W1667" s="51" t="b">
        <v>0</v>
      </c>
      <c r="X1667" s="51" t="b">
        <v>0</v>
      </c>
      <c r="Y1667" s="51" t="b">
        <v>0</v>
      </c>
      <c r="Z1667" s="51" t="b">
        <v>0</v>
      </c>
      <c r="AA1667" s="68"/>
      <c r="AB1667" s="52"/>
      <c r="AC1667" s="52"/>
      <c r="AD1667" s="52"/>
      <c r="AE1667" s="56"/>
      <c r="AF1667" s="56"/>
    </row>
    <row r="1668">
      <c r="A1668" s="52" t="s">
        <v>4960</v>
      </c>
      <c r="B1668" s="52" t="s">
        <v>16</v>
      </c>
      <c r="C1668" s="52" t="s">
        <v>66</v>
      </c>
      <c r="D1668" s="65">
        <v>0.41770833333333335</v>
      </c>
      <c r="E1668" s="65">
        <v>2.314814814814815E-4</v>
      </c>
      <c r="F1668" s="65">
        <v>0.41793981481481485</v>
      </c>
      <c r="G1668" s="65"/>
      <c r="H1668" s="52" t="s">
        <v>471</v>
      </c>
      <c r="I1668" s="52" t="s">
        <v>472</v>
      </c>
      <c r="J1668" s="52"/>
      <c r="K1668" s="52"/>
      <c r="L1668" s="52"/>
      <c r="M1668" s="52"/>
      <c r="N1668" s="52"/>
      <c r="O1668" s="52"/>
      <c r="P1668" s="52"/>
      <c r="Q1668" s="52"/>
      <c r="R1668" s="51" t="b">
        <v>0</v>
      </c>
      <c r="S1668" s="51"/>
      <c r="T1668" s="52"/>
      <c r="U1668" s="51" t="b">
        <v>0</v>
      </c>
      <c r="V1668" s="51" t="b">
        <v>0</v>
      </c>
      <c r="W1668" s="51" t="b">
        <v>0</v>
      </c>
      <c r="X1668" s="51" t="b">
        <v>0</v>
      </c>
      <c r="Y1668" s="51" t="b">
        <v>0</v>
      </c>
      <c r="Z1668" s="51" t="b">
        <v>0</v>
      </c>
      <c r="AA1668" s="68"/>
      <c r="AB1668" s="52"/>
      <c r="AC1668" s="52"/>
      <c r="AD1668" s="52"/>
      <c r="AE1668" s="56"/>
      <c r="AF1668" s="56"/>
    </row>
    <row r="1669">
      <c r="A1669" s="52" t="s">
        <v>4961</v>
      </c>
      <c r="B1669" s="52" t="s">
        <v>607</v>
      </c>
      <c r="C1669" s="52" t="s">
        <v>607</v>
      </c>
      <c r="D1669" s="65" t="s">
        <v>607</v>
      </c>
      <c r="E1669" s="65" t="s">
        <v>607</v>
      </c>
      <c r="F1669" s="65" t="s">
        <v>607</v>
      </c>
      <c r="G1669" s="65" t="s">
        <v>607</v>
      </c>
      <c r="H1669" s="52" t="s">
        <v>607</v>
      </c>
      <c r="I1669" s="52" t="s">
        <v>607</v>
      </c>
      <c r="J1669" s="52" t="s">
        <v>607</v>
      </c>
      <c r="K1669" s="52" t="s">
        <v>607</v>
      </c>
      <c r="L1669" s="52" t="s">
        <v>607</v>
      </c>
      <c r="M1669" s="52" t="s">
        <v>607</v>
      </c>
      <c r="N1669" s="52" t="s">
        <v>607</v>
      </c>
      <c r="O1669" s="52"/>
      <c r="P1669" s="52"/>
      <c r="Q1669" s="52"/>
      <c r="R1669" s="51" t="b">
        <v>0</v>
      </c>
      <c r="S1669" s="51"/>
      <c r="T1669" s="52"/>
      <c r="U1669" s="51" t="b">
        <v>0</v>
      </c>
      <c r="V1669" s="51" t="b">
        <v>0</v>
      </c>
      <c r="W1669" s="51" t="b">
        <v>0</v>
      </c>
      <c r="X1669" s="51" t="b">
        <v>0</v>
      </c>
      <c r="Y1669" s="51" t="b">
        <v>0</v>
      </c>
      <c r="Z1669" s="51" t="b">
        <v>0</v>
      </c>
      <c r="AA1669" s="68"/>
      <c r="AB1669" s="52"/>
      <c r="AC1669" s="52"/>
      <c r="AD1669" s="52"/>
      <c r="AE1669" s="56" t="s">
        <v>607</v>
      </c>
      <c r="AF1669" s="56" t="s">
        <v>607</v>
      </c>
    </row>
    <row r="1670">
      <c r="A1670" s="52" t="s">
        <v>4962</v>
      </c>
      <c r="B1670" s="52"/>
      <c r="C1670" s="52"/>
      <c r="D1670" s="65"/>
      <c r="E1670" s="65"/>
      <c r="F1670" s="65"/>
      <c r="G1670" s="65"/>
      <c r="H1670" s="52"/>
      <c r="I1670" s="52"/>
      <c r="J1670" s="52"/>
      <c r="K1670" s="52"/>
      <c r="L1670" s="52"/>
      <c r="M1670" s="52"/>
      <c r="N1670" s="52"/>
      <c r="O1670" s="52"/>
      <c r="P1670" s="52"/>
      <c r="Q1670" s="52"/>
      <c r="R1670" s="51" t="b">
        <v>0</v>
      </c>
      <c r="S1670" s="51"/>
      <c r="T1670" s="52"/>
      <c r="U1670" s="51" t="b">
        <v>0</v>
      </c>
      <c r="V1670" s="51" t="b">
        <v>0</v>
      </c>
      <c r="W1670" s="51" t="b">
        <v>0</v>
      </c>
      <c r="X1670" s="51" t="b">
        <v>0</v>
      </c>
      <c r="Y1670" s="51" t="b">
        <v>0</v>
      </c>
      <c r="Z1670" s="51" t="b">
        <v>0</v>
      </c>
      <c r="AA1670" s="68"/>
      <c r="AB1670" s="52"/>
      <c r="AC1670" s="52"/>
      <c r="AD1670" s="52"/>
      <c r="AE1670" s="56"/>
      <c r="AF1670" s="56"/>
    </row>
    <row r="1671">
      <c r="A1671" s="52" t="s">
        <v>4963</v>
      </c>
      <c r="B1671" s="52" t="s">
        <v>19</v>
      </c>
      <c r="C1671" s="52" t="s">
        <v>289</v>
      </c>
      <c r="D1671" s="65">
        <v>0.5</v>
      </c>
      <c r="E1671" s="65">
        <v>1.7361111111111112E-4</v>
      </c>
      <c r="F1671" s="65">
        <v>0.5001736111111111</v>
      </c>
      <c r="G1671" s="65"/>
      <c r="H1671" s="52" t="s">
        <v>77</v>
      </c>
      <c r="I1671" s="52" t="s">
        <v>1364</v>
      </c>
      <c r="J1671" s="52"/>
      <c r="K1671" s="52"/>
      <c r="L1671" s="52"/>
      <c r="M1671" s="52"/>
      <c r="N1671" s="52"/>
      <c r="O1671" s="52"/>
      <c r="P1671" s="52"/>
      <c r="Q1671" s="52"/>
      <c r="R1671" s="51" t="b">
        <v>0</v>
      </c>
      <c r="S1671" s="51"/>
      <c r="T1671" s="52"/>
      <c r="U1671" s="51" t="b">
        <v>0</v>
      </c>
      <c r="V1671" s="51" t="b">
        <v>0</v>
      </c>
      <c r="W1671" s="51" t="b">
        <v>0</v>
      </c>
      <c r="X1671" s="51" t="b">
        <v>0</v>
      </c>
      <c r="Y1671" s="51" t="b">
        <v>0</v>
      </c>
      <c r="Z1671" s="51" t="b">
        <v>0</v>
      </c>
      <c r="AA1671" s="68"/>
      <c r="AB1671" s="52"/>
      <c r="AC1671" s="52"/>
      <c r="AD1671" s="52"/>
      <c r="AE1671" s="56"/>
      <c r="AF1671" s="56" t="s">
        <v>2004</v>
      </c>
    </row>
    <row r="1672">
      <c r="A1672" s="52" t="s">
        <v>4964</v>
      </c>
      <c r="B1672" s="52" t="s">
        <v>19</v>
      </c>
      <c r="C1672" s="52" t="s">
        <v>66</v>
      </c>
      <c r="D1672" s="65">
        <v>0.5221990740740741</v>
      </c>
      <c r="E1672" s="65">
        <v>0.0010416666666666667</v>
      </c>
      <c r="F1672" s="65">
        <v>0.5232407407407408</v>
      </c>
      <c r="G1672" s="65"/>
      <c r="H1672" s="52" t="s">
        <v>67</v>
      </c>
      <c r="I1672" s="52" t="s">
        <v>67</v>
      </c>
      <c r="J1672" s="52"/>
      <c r="K1672" s="52"/>
      <c r="L1672" s="52"/>
      <c r="M1672" s="52"/>
      <c r="N1672" s="52"/>
      <c r="O1672" s="52"/>
      <c r="P1672" s="52"/>
      <c r="Q1672" s="52"/>
      <c r="R1672" s="51" t="b">
        <v>0</v>
      </c>
      <c r="S1672" s="51"/>
      <c r="T1672" s="52"/>
      <c r="U1672" s="51" t="b">
        <v>0</v>
      </c>
      <c r="V1672" s="51" t="b">
        <v>0</v>
      </c>
      <c r="W1672" s="51" t="b">
        <v>0</v>
      </c>
      <c r="X1672" s="51" t="b">
        <v>0</v>
      </c>
      <c r="Y1672" s="51" t="b">
        <v>0</v>
      </c>
      <c r="Z1672" s="51" t="b">
        <v>0</v>
      </c>
      <c r="AA1672" s="68"/>
      <c r="AB1672" s="52"/>
      <c r="AC1672" s="52"/>
      <c r="AD1672" s="52"/>
      <c r="AE1672" s="56"/>
      <c r="AF1672" s="56" t="s">
        <v>1944</v>
      </c>
    </row>
    <row r="1673">
      <c r="A1673" s="52" t="s">
        <v>4965</v>
      </c>
      <c r="B1673" s="52" t="s">
        <v>19</v>
      </c>
      <c r="C1673" s="52" t="s">
        <v>66</v>
      </c>
      <c r="D1673" s="65">
        <v>0.6479282407407407</v>
      </c>
      <c r="E1673" s="65">
        <v>0.0010416666666666667</v>
      </c>
      <c r="F1673" s="65">
        <v>0.6489699074074075</v>
      </c>
      <c r="G1673" s="65"/>
      <c r="H1673" s="52" t="s">
        <v>67</v>
      </c>
      <c r="I1673" s="52" t="s">
        <v>67</v>
      </c>
      <c r="J1673" s="52"/>
      <c r="K1673" s="52"/>
      <c r="L1673" s="52"/>
      <c r="M1673" s="52"/>
      <c r="N1673" s="52"/>
      <c r="O1673" s="52"/>
      <c r="P1673" s="52"/>
      <c r="Q1673" s="52"/>
      <c r="R1673" s="51" t="b">
        <v>0</v>
      </c>
      <c r="S1673" s="51"/>
      <c r="T1673" s="52"/>
      <c r="U1673" s="51" t="b">
        <v>0</v>
      </c>
      <c r="V1673" s="51" t="b">
        <v>0</v>
      </c>
      <c r="W1673" s="51" t="b">
        <v>0</v>
      </c>
      <c r="X1673" s="51" t="b">
        <v>0</v>
      </c>
      <c r="Y1673" s="51" t="b">
        <v>0</v>
      </c>
      <c r="Z1673" s="51" t="b">
        <v>0</v>
      </c>
      <c r="AA1673" s="68"/>
      <c r="AB1673" s="52"/>
      <c r="AC1673" s="52"/>
      <c r="AD1673" s="52"/>
      <c r="AE1673" s="56"/>
      <c r="AF1673" s="56" t="s">
        <v>1944</v>
      </c>
    </row>
    <row r="1674">
      <c r="A1674" s="52" t="s">
        <v>4966</v>
      </c>
      <c r="B1674" s="52" t="s">
        <v>19</v>
      </c>
      <c r="C1674" s="52" t="s">
        <v>66</v>
      </c>
      <c r="D1674" s="65">
        <v>0.6086342592592592</v>
      </c>
      <c r="E1674" s="65">
        <v>3.4722222222222224E-4</v>
      </c>
      <c r="F1674" s="65">
        <v>0.6089814814814815</v>
      </c>
      <c r="G1674" s="65"/>
      <c r="H1674" s="52" t="s">
        <v>87</v>
      </c>
      <c r="I1674" s="52" t="s">
        <v>87</v>
      </c>
      <c r="J1674" s="52"/>
      <c r="K1674" s="52"/>
      <c r="L1674" s="52"/>
      <c r="M1674" s="52"/>
      <c r="N1674" s="52"/>
      <c r="O1674" s="52"/>
      <c r="P1674" s="52"/>
      <c r="Q1674" s="52"/>
      <c r="R1674" s="51" t="b">
        <v>0</v>
      </c>
      <c r="S1674" s="51"/>
      <c r="T1674" s="52"/>
      <c r="U1674" s="51" t="b">
        <v>0</v>
      </c>
      <c r="V1674" s="51" t="b">
        <v>0</v>
      </c>
      <c r="W1674" s="51" t="b">
        <v>0</v>
      </c>
      <c r="X1674" s="51" t="b">
        <v>0</v>
      </c>
      <c r="Y1674" s="51" t="b">
        <v>0</v>
      </c>
      <c r="Z1674" s="51" t="b">
        <v>0</v>
      </c>
      <c r="AA1674" s="68"/>
      <c r="AB1674" s="52"/>
      <c r="AC1674" s="52"/>
      <c r="AD1674" s="52"/>
      <c r="AE1674" s="56"/>
      <c r="AF1674" s="56" t="s">
        <v>1944</v>
      </c>
    </row>
    <row r="1675">
      <c r="A1675" s="52" t="s">
        <v>4967</v>
      </c>
      <c r="B1675" s="52" t="s">
        <v>19</v>
      </c>
      <c r="C1675" s="52" t="s">
        <v>66</v>
      </c>
      <c r="D1675" s="65">
        <v>0.6924537037037037</v>
      </c>
      <c r="E1675" s="65">
        <v>3.4722222222222224E-4</v>
      </c>
      <c r="F1675" s="65">
        <v>0.692800925925926</v>
      </c>
      <c r="G1675" s="65"/>
      <c r="H1675" s="52" t="s">
        <v>89</v>
      </c>
      <c r="I1675" s="52" t="s">
        <v>89</v>
      </c>
      <c r="J1675" s="52"/>
      <c r="K1675" s="52"/>
      <c r="L1675" s="52"/>
      <c r="M1675" s="52"/>
      <c r="N1675" s="52"/>
      <c r="O1675" s="52"/>
      <c r="P1675" s="52"/>
      <c r="Q1675" s="52"/>
      <c r="R1675" s="51" t="b">
        <v>0</v>
      </c>
      <c r="S1675" s="51"/>
      <c r="T1675" s="52"/>
      <c r="U1675" s="51" t="b">
        <v>0</v>
      </c>
      <c r="V1675" s="51" t="b">
        <v>0</v>
      </c>
      <c r="W1675" s="51" t="b">
        <v>0</v>
      </c>
      <c r="X1675" s="51" t="b">
        <v>0</v>
      </c>
      <c r="Y1675" s="51" t="b">
        <v>0</v>
      </c>
      <c r="Z1675" s="51" t="b">
        <v>0</v>
      </c>
      <c r="AA1675" s="68"/>
      <c r="AB1675" s="52"/>
      <c r="AC1675" s="52"/>
      <c r="AD1675" s="52"/>
      <c r="AE1675" s="56"/>
      <c r="AF1675" s="56" t="s">
        <v>1944</v>
      </c>
    </row>
    <row r="1676">
      <c r="A1676" s="52" t="s">
        <v>4968</v>
      </c>
      <c r="B1676" s="52" t="s">
        <v>19</v>
      </c>
      <c r="C1676" s="52" t="s">
        <v>221</v>
      </c>
      <c r="D1676" s="65">
        <v>0.6609722222222222</v>
      </c>
      <c r="E1676" s="65">
        <v>0.0010416666666666667</v>
      </c>
      <c r="F1676" s="65">
        <v>0.6620138888888889</v>
      </c>
      <c r="G1676" s="65"/>
      <c r="H1676" s="52" t="s">
        <v>67</v>
      </c>
      <c r="I1676" s="52" t="s">
        <v>67</v>
      </c>
      <c r="J1676" s="52"/>
      <c r="K1676" s="52"/>
      <c r="L1676" s="52"/>
      <c r="M1676" s="52"/>
      <c r="N1676" s="52"/>
      <c r="O1676" s="52"/>
      <c r="P1676" s="52"/>
      <c r="Q1676" s="52"/>
      <c r="R1676" s="51" t="b">
        <v>0</v>
      </c>
      <c r="S1676" s="51"/>
      <c r="T1676" s="52"/>
      <c r="U1676" s="51" t="b">
        <v>0</v>
      </c>
      <c r="V1676" s="51" t="b">
        <v>0</v>
      </c>
      <c r="W1676" s="51" t="b">
        <v>0</v>
      </c>
      <c r="X1676" s="51" t="b">
        <v>0</v>
      </c>
      <c r="Y1676" s="51" t="b">
        <v>0</v>
      </c>
      <c r="Z1676" s="51" t="b">
        <v>0</v>
      </c>
      <c r="AA1676" s="68"/>
      <c r="AB1676" s="52"/>
      <c r="AC1676" s="52"/>
      <c r="AD1676" s="52"/>
      <c r="AE1676" s="56"/>
      <c r="AF1676" s="56" t="s">
        <v>1944</v>
      </c>
    </row>
    <row r="1677">
      <c r="A1677" s="52" t="s">
        <v>4969</v>
      </c>
      <c r="B1677" s="52" t="s">
        <v>19</v>
      </c>
      <c r="C1677" s="52" t="s">
        <v>221</v>
      </c>
      <c r="D1677" s="65">
        <v>0.5520486111111111</v>
      </c>
      <c r="E1677" s="65">
        <v>3.4722222222222224E-4</v>
      </c>
      <c r="F1677" s="65">
        <v>0.5523958333333334</v>
      </c>
      <c r="G1677" s="65"/>
      <c r="H1677" s="52" t="s">
        <v>87</v>
      </c>
      <c r="I1677" s="52" t="s">
        <v>87</v>
      </c>
      <c r="J1677" s="52"/>
      <c r="K1677" s="52"/>
      <c r="L1677" s="52"/>
      <c r="M1677" s="52"/>
      <c r="N1677" s="52"/>
      <c r="O1677" s="52"/>
      <c r="P1677" s="52"/>
      <c r="Q1677" s="52"/>
      <c r="R1677" s="51" t="b">
        <v>0</v>
      </c>
      <c r="S1677" s="51"/>
      <c r="T1677" s="52"/>
      <c r="U1677" s="51" t="b">
        <v>0</v>
      </c>
      <c r="V1677" s="51" t="b">
        <v>0</v>
      </c>
      <c r="W1677" s="51" t="b">
        <v>0</v>
      </c>
      <c r="X1677" s="51" t="b">
        <v>0</v>
      </c>
      <c r="Y1677" s="51" t="b">
        <v>0</v>
      </c>
      <c r="Z1677" s="51" t="b">
        <v>0</v>
      </c>
      <c r="AA1677" s="68"/>
      <c r="AB1677" s="52"/>
      <c r="AC1677" s="52"/>
      <c r="AD1677" s="52"/>
      <c r="AE1677" s="56"/>
      <c r="AF1677" s="56" t="s">
        <v>1944</v>
      </c>
    </row>
    <row r="1678">
      <c r="A1678" s="52" t="s">
        <v>4970</v>
      </c>
      <c r="B1678" s="52" t="s">
        <v>607</v>
      </c>
      <c r="C1678" s="52" t="s">
        <v>607</v>
      </c>
      <c r="D1678" s="65" t="s">
        <v>607</v>
      </c>
      <c r="E1678" s="65" t="s">
        <v>607</v>
      </c>
      <c r="F1678" s="65" t="s">
        <v>607</v>
      </c>
      <c r="G1678" s="65" t="s">
        <v>607</v>
      </c>
      <c r="H1678" s="52" t="s">
        <v>607</v>
      </c>
      <c r="I1678" s="52" t="s">
        <v>607</v>
      </c>
      <c r="J1678" s="52" t="s">
        <v>607</v>
      </c>
      <c r="K1678" s="52" t="s">
        <v>607</v>
      </c>
      <c r="L1678" s="52" t="s">
        <v>607</v>
      </c>
      <c r="M1678" s="52" t="s">
        <v>607</v>
      </c>
      <c r="N1678" s="52" t="s">
        <v>607</v>
      </c>
      <c r="O1678" s="52"/>
      <c r="P1678" s="52"/>
      <c r="Q1678" s="52"/>
      <c r="R1678" s="51" t="b">
        <v>0</v>
      </c>
      <c r="S1678" s="51"/>
      <c r="T1678" s="52"/>
      <c r="U1678" s="51" t="b">
        <v>0</v>
      </c>
      <c r="V1678" s="51" t="b">
        <v>0</v>
      </c>
      <c r="W1678" s="51" t="b">
        <v>0</v>
      </c>
      <c r="X1678" s="51" t="b">
        <v>0</v>
      </c>
      <c r="Y1678" s="51" t="b">
        <v>0</v>
      </c>
      <c r="Z1678" s="51" t="b">
        <v>0</v>
      </c>
      <c r="AA1678" s="68"/>
      <c r="AB1678" s="52"/>
      <c r="AC1678" s="52"/>
      <c r="AD1678" s="52"/>
      <c r="AE1678" s="56" t="s">
        <v>607</v>
      </c>
      <c r="AF1678" s="56" t="s">
        <v>607</v>
      </c>
    </row>
    <row r="1679">
      <c r="A1679" s="52" t="s">
        <v>4971</v>
      </c>
      <c r="B1679" s="52" t="s">
        <v>607</v>
      </c>
      <c r="C1679" s="52" t="s">
        <v>607</v>
      </c>
      <c r="D1679" s="65" t="s">
        <v>607</v>
      </c>
      <c r="E1679" s="65" t="s">
        <v>607</v>
      </c>
      <c r="F1679" s="65" t="s">
        <v>607</v>
      </c>
      <c r="G1679" s="65" t="s">
        <v>607</v>
      </c>
      <c r="H1679" s="52" t="s">
        <v>607</v>
      </c>
      <c r="I1679" s="52" t="s">
        <v>607</v>
      </c>
      <c r="J1679" s="52" t="s">
        <v>607</v>
      </c>
      <c r="K1679" s="52" t="s">
        <v>607</v>
      </c>
      <c r="L1679" s="52" t="s">
        <v>607</v>
      </c>
      <c r="M1679" s="52" t="s">
        <v>607</v>
      </c>
      <c r="N1679" s="52" t="s">
        <v>607</v>
      </c>
      <c r="O1679" s="52"/>
      <c r="P1679" s="52"/>
      <c r="Q1679" s="52"/>
      <c r="R1679" s="51" t="b">
        <v>0</v>
      </c>
      <c r="S1679" s="51"/>
      <c r="T1679" s="52"/>
      <c r="U1679" s="51" t="b">
        <v>0</v>
      </c>
      <c r="V1679" s="51" t="b">
        <v>0</v>
      </c>
      <c r="W1679" s="51" t="b">
        <v>0</v>
      </c>
      <c r="X1679" s="51" t="b">
        <v>0</v>
      </c>
      <c r="Y1679" s="51" t="b">
        <v>0</v>
      </c>
      <c r="Z1679" s="51" t="b">
        <v>0</v>
      </c>
      <c r="AA1679" s="68"/>
      <c r="AB1679" s="52"/>
      <c r="AC1679" s="52"/>
      <c r="AD1679" s="52"/>
      <c r="AE1679" s="56" t="s">
        <v>607</v>
      </c>
      <c r="AF1679" s="56" t="s">
        <v>607</v>
      </c>
    </row>
    <row r="1680">
      <c r="A1680" s="52" t="s">
        <v>4972</v>
      </c>
      <c r="B1680" s="52" t="s">
        <v>607</v>
      </c>
      <c r="C1680" s="52" t="s">
        <v>607</v>
      </c>
      <c r="D1680" s="65" t="s">
        <v>607</v>
      </c>
      <c r="E1680" s="65" t="s">
        <v>607</v>
      </c>
      <c r="F1680" s="65" t="s">
        <v>607</v>
      </c>
      <c r="G1680" s="65" t="s">
        <v>607</v>
      </c>
      <c r="H1680" s="52" t="s">
        <v>607</v>
      </c>
      <c r="I1680" s="52" t="s">
        <v>607</v>
      </c>
      <c r="J1680" s="52" t="s">
        <v>607</v>
      </c>
      <c r="K1680" s="52" t="s">
        <v>607</v>
      </c>
      <c r="L1680" s="52" t="s">
        <v>607</v>
      </c>
      <c r="M1680" s="52" t="s">
        <v>607</v>
      </c>
      <c r="N1680" s="52" t="s">
        <v>607</v>
      </c>
      <c r="O1680" s="52"/>
      <c r="P1680" s="52"/>
      <c r="Q1680" s="52"/>
      <c r="R1680" s="51" t="b">
        <v>0</v>
      </c>
      <c r="S1680" s="51"/>
      <c r="T1680" s="52"/>
      <c r="U1680" s="51" t="b">
        <v>0</v>
      </c>
      <c r="V1680" s="51" t="b">
        <v>0</v>
      </c>
      <c r="W1680" s="51" t="b">
        <v>0</v>
      </c>
      <c r="X1680" s="51" t="b">
        <v>0</v>
      </c>
      <c r="Y1680" s="51" t="b">
        <v>0</v>
      </c>
      <c r="Z1680" s="51" t="b">
        <v>0</v>
      </c>
      <c r="AA1680" s="68"/>
      <c r="AB1680" s="52"/>
      <c r="AC1680" s="52"/>
      <c r="AD1680" s="52"/>
      <c r="AE1680" s="56" t="s">
        <v>607</v>
      </c>
      <c r="AF1680" s="56" t="s">
        <v>607</v>
      </c>
    </row>
    <row r="1681">
      <c r="A1681" s="52" t="s">
        <v>4973</v>
      </c>
      <c r="B1681" s="52" t="s">
        <v>19</v>
      </c>
      <c r="C1681" s="52" t="s">
        <v>289</v>
      </c>
      <c r="D1681" s="65">
        <v>0.48233796296296305</v>
      </c>
      <c r="E1681" s="65">
        <v>0.0010416666666666667</v>
      </c>
      <c r="F1681" s="65">
        <v>0.4833796296296297</v>
      </c>
      <c r="G1681" s="65"/>
      <c r="H1681" s="52" t="s">
        <v>67</v>
      </c>
      <c r="I1681" s="52" t="s">
        <v>67</v>
      </c>
      <c r="J1681" s="52"/>
      <c r="K1681" s="52"/>
      <c r="L1681" s="52"/>
      <c r="M1681" s="52"/>
      <c r="N1681" s="52"/>
      <c r="O1681" s="52"/>
      <c r="P1681" s="52"/>
      <c r="Q1681" s="52"/>
      <c r="R1681" s="51" t="b">
        <v>0</v>
      </c>
      <c r="S1681" s="51"/>
      <c r="T1681" s="52"/>
      <c r="U1681" s="51" t="b">
        <v>0</v>
      </c>
      <c r="V1681" s="51" t="b">
        <v>0</v>
      </c>
      <c r="W1681" s="51" t="b">
        <v>0</v>
      </c>
      <c r="X1681" s="51" t="b">
        <v>0</v>
      </c>
      <c r="Y1681" s="51" t="b">
        <v>0</v>
      </c>
      <c r="Z1681" s="51" t="b">
        <v>0</v>
      </c>
      <c r="AA1681" s="68"/>
      <c r="AB1681" s="52"/>
      <c r="AC1681" s="52"/>
      <c r="AD1681" s="52"/>
      <c r="AE1681" s="56"/>
      <c r="AF1681" s="56" t="s">
        <v>1944</v>
      </c>
    </row>
    <row r="1682">
      <c r="A1682" s="52" t="s">
        <v>4974</v>
      </c>
      <c r="B1682" s="52" t="s">
        <v>19</v>
      </c>
      <c r="C1682" s="52" t="s">
        <v>289</v>
      </c>
      <c r="D1682" s="65">
        <v>0.6502314814814815</v>
      </c>
      <c r="E1682" s="65">
        <v>0.0010416666666666667</v>
      </c>
      <c r="F1682" s="65">
        <v>0.6512731481481482</v>
      </c>
      <c r="G1682" s="65"/>
      <c r="H1682" s="52" t="s">
        <v>67</v>
      </c>
      <c r="I1682" s="52" t="s">
        <v>67</v>
      </c>
      <c r="J1682" s="52"/>
      <c r="K1682" s="52"/>
      <c r="L1682" s="52"/>
      <c r="M1682" s="52"/>
      <c r="N1682" s="52"/>
      <c r="O1682" s="52"/>
      <c r="P1682" s="52"/>
      <c r="Q1682" s="52"/>
      <c r="R1682" s="51" t="b">
        <v>0</v>
      </c>
      <c r="S1682" s="51"/>
      <c r="T1682" s="52"/>
      <c r="U1682" s="51" t="b">
        <v>0</v>
      </c>
      <c r="V1682" s="51" t="b">
        <v>0</v>
      </c>
      <c r="W1682" s="51" t="b">
        <v>0</v>
      </c>
      <c r="X1682" s="51" t="b">
        <v>0</v>
      </c>
      <c r="Y1682" s="51" t="b">
        <v>0</v>
      </c>
      <c r="Z1682" s="51" t="b">
        <v>0</v>
      </c>
      <c r="AA1682" s="68"/>
      <c r="AB1682" s="52"/>
      <c r="AC1682" s="52"/>
      <c r="AD1682" s="52"/>
      <c r="AE1682" s="56"/>
      <c r="AF1682" s="56" t="s">
        <v>1944</v>
      </c>
    </row>
    <row r="1683">
      <c r="A1683" s="52" t="s">
        <v>4975</v>
      </c>
      <c r="B1683" s="52" t="s">
        <v>19</v>
      </c>
      <c r="C1683" s="52" t="s">
        <v>289</v>
      </c>
      <c r="D1683" s="65">
        <v>0.6917476851851851</v>
      </c>
      <c r="E1683" s="65">
        <v>3.4722222222222224E-4</v>
      </c>
      <c r="F1683" s="65">
        <v>0.6920949074074074</v>
      </c>
      <c r="G1683" s="65"/>
      <c r="H1683" s="52" t="s">
        <v>87</v>
      </c>
      <c r="I1683" s="52" t="s">
        <v>87</v>
      </c>
      <c r="J1683" s="52"/>
      <c r="K1683" s="52"/>
      <c r="L1683" s="52"/>
      <c r="M1683" s="52"/>
      <c r="N1683" s="52"/>
      <c r="O1683" s="52"/>
      <c r="P1683" s="52"/>
      <c r="Q1683" s="52"/>
      <c r="R1683" s="51" t="b">
        <v>0</v>
      </c>
      <c r="S1683" s="51"/>
      <c r="T1683" s="52"/>
      <c r="U1683" s="51" t="b">
        <v>0</v>
      </c>
      <c r="V1683" s="51" t="b">
        <v>0</v>
      </c>
      <c r="W1683" s="51" t="b">
        <v>0</v>
      </c>
      <c r="X1683" s="51" t="b">
        <v>0</v>
      </c>
      <c r="Y1683" s="51" t="b">
        <v>0</v>
      </c>
      <c r="Z1683" s="51" t="b">
        <v>0</v>
      </c>
      <c r="AA1683" s="68"/>
      <c r="AB1683" s="52"/>
      <c r="AC1683" s="52"/>
      <c r="AD1683" s="52"/>
      <c r="AE1683" s="56"/>
      <c r="AF1683" s="56" t="s">
        <v>1944</v>
      </c>
    </row>
    <row r="1684">
      <c r="A1684" s="52" t="s">
        <v>4976</v>
      </c>
      <c r="B1684" s="52" t="s">
        <v>22</v>
      </c>
      <c r="C1684" s="52" t="s">
        <v>221</v>
      </c>
      <c r="D1684" s="65">
        <v>0.47155092592592596</v>
      </c>
      <c r="E1684" s="65">
        <v>3.4722222222222224E-4</v>
      </c>
      <c r="F1684" s="65">
        <v>0.4718981481481482</v>
      </c>
      <c r="G1684" s="65"/>
      <c r="H1684" s="52" t="s">
        <v>81</v>
      </c>
      <c r="I1684" s="52" t="s">
        <v>1498</v>
      </c>
      <c r="J1684" s="52"/>
      <c r="K1684" s="52"/>
      <c r="L1684" s="52"/>
      <c r="M1684" s="52"/>
      <c r="N1684" s="52"/>
      <c r="O1684" s="52"/>
      <c r="P1684" s="52"/>
      <c r="Q1684" s="52"/>
      <c r="R1684" s="51" t="b">
        <v>0</v>
      </c>
      <c r="S1684" s="51"/>
      <c r="T1684" s="52"/>
      <c r="U1684" s="51" t="b">
        <v>0</v>
      </c>
      <c r="V1684" s="51" t="b">
        <v>0</v>
      </c>
      <c r="W1684" s="51" t="b">
        <v>0</v>
      </c>
      <c r="X1684" s="51" t="b">
        <v>0</v>
      </c>
      <c r="Y1684" s="51" t="b">
        <v>0</v>
      </c>
      <c r="Z1684" s="51" t="b">
        <v>0</v>
      </c>
      <c r="AA1684" s="68"/>
      <c r="AB1684" s="52"/>
      <c r="AC1684" s="52"/>
      <c r="AD1684" s="52"/>
      <c r="AE1684" s="56"/>
      <c r="AF1684" s="56"/>
    </row>
    <row r="1685">
      <c r="A1685" s="52" t="s">
        <v>4977</v>
      </c>
      <c r="B1685" s="52" t="s">
        <v>22</v>
      </c>
      <c r="C1685" s="52" t="s">
        <v>221</v>
      </c>
      <c r="D1685" s="65">
        <v>0.4718981481481482</v>
      </c>
      <c r="E1685" s="65">
        <v>0.012546296296296297</v>
      </c>
      <c r="F1685" s="65">
        <v>0.48444444444444446</v>
      </c>
      <c r="G1685" s="65"/>
      <c r="H1685" s="52" t="s">
        <v>74</v>
      </c>
      <c r="I1685" s="52" t="s">
        <v>797</v>
      </c>
      <c r="J1685" s="52" t="s">
        <v>787</v>
      </c>
      <c r="K1685" s="52" t="s">
        <v>788</v>
      </c>
      <c r="L1685" s="52" t="s">
        <v>789</v>
      </c>
      <c r="M1685" s="52"/>
      <c r="N1685" s="52" t="s">
        <v>790</v>
      </c>
      <c r="O1685" s="52"/>
      <c r="P1685" s="52"/>
      <c r="Q1685" s="52"/>
      <c r="R1685" s="51" t="b">
        <v>0</v>
      </c>
      <c r="S1685" s="51"/>
      <c r="T1685" s="52"/>
      <c r="U1685" s="51" t="b">
        <v>0</v>
      </c>
      <c r="V1685" s="51" t="b">
        <v>0</v>
      </c>
      <c r="W1685" s="51" t="b">
        <v>0</v>
      </c>
      <c r="X1685" s="51" t="b">
        <v>0</v>
      </c>
      <c r="Y1685" s="51" t="b">
        <v>0</v>
      </c>
      <c r="Z1685" s="51" t="b">
        <v>0</v>
      </c>
      <c r="AA1685" s="68"/>
      <c r="AB1685" s="52"/>
      <c r="AC1685" s="52"/>
      <c r="AD1685" s="52"/>
      <c r="AE1685" s="56" t="s">
        <v>629</v>
      </c>
      <c r="AF1685" s="56"/>
    </row>
    <row r="1686">
      <c r="A1686" s="52" t="s">
        <v>4978</v>
      </c>
      <c r="B1686" s="52" t="s">
        <v>22</v>
      </c>
      <c r="C1686" s="52" t="s">
        <v>221</v>
      </c>
      <c r="D1686" s="65">
        <v>0.48444444444444446</v>
      </c>
      <c r="E1686" s="65">
        <v>0.0012037037037037038</v>
      </c>
      <c r="F1686" s="65">
        <v>0.48564814814814816</v>
      </c>
      <c r="G1686" s="65"/>
      <c r="H1686" s="52" t="s">
        <v>79</v>
      </c>
      <c r="I1686" s="52" t="s">
        <v>1497</v>
      </c>
      <c r="J1686" s="52"/>
      <c r="K1686" s="52"/>
      <c r="L1686" s="52"/>
      <c r="M1686" s="52"/>
      <c r="N1686" s="52"/>
      <c r="O1686" s="52"/>
      <c r="P1686" s="52"/>
      <c r="Q1686" s="52"/>
      <c r="R1686" s="51" t="b">
        <v>0</v>
      </c>
      <c r="S1686" s="51"/>
      <c r="T1686" s="52"/>
      <c r="U1686" s="51" t="b">
        <v>0</v>
      </c>
      <c r="V1686" s="51" t="b">
        <v>0</v>
      </c>
      <c r="W1686" s="51" t="b">
        <v>0</v>
      </c>
      <c r="X1686" s="51" t="b">
        <v>0</v>
      </c>
      <c r="Y1686" s="51" t="b">
        <v>0</v>
      </c>
      <c r="Z1686" s="51" t="b">
        <v>0</v>
      </c>
      <c r="AA1686" s="68"/>
      <c r="AB1686" s="52"/>
      <c r="AC1686" s="52"/>
      <c r="AD1686" s="52"/>
      <c r="AE1686" s="56"/>
      <c r="AF1686" s="56"/>
    </row>
    <row r="1687">
      <c r="A1687" s="52" t="s">
        <v>4979</v>
      </c>
      <c r="B1687" s="52" t="s">
        <v>22</v>
      </c>
      <c r="C1687" s="52" t="s">
        <v>289</v>
      </c>
      <c r="D1687" s="65">
        <v>0.4178703703703704</v>
      </c>
      <c r="E1687" s="65">
        <v>3.4722222222222224E-4</v>
      </c>
      <c r="F1687" s="65">
        <v>0.4182175925925926</v>
      </c>
      <c r="G1687" s="65"/>
      <c r="H1687" s="52" t="s">
        <v>81</v>
      </c>
      <c r="I1687" s="52" t="s">
        <v>1498</v>
      </c>
      <c r="J1687" s="52"/>
      <c r="K1687" s="52"/>
      <c r="L1687" s="52"/>
      <c r="M1687" s="52"/>
      <c r="N1687" s="52"/>
      <c r="O1687" s="52"/>
      <c r="P1687" s="52"/>
      <c r="Q1687" s="52"/>
      <c r="R1687" s="51" t="b">
        <v>0</v>
      </c>
      <c r="S1687" s="51"/>
      <c r="T1687" s="52"/>
      <c r="U1687" s="51" t="b">
        <v>0</v>
      </c>
      <c r="V1687" s="51" t="b">
        <v>0</v>
      </c>
      <c r="W1687" s="51" t="b">
        <v>0</v>
      </c>
      <c r="X1687" s="51" t="b">
        <v>0</v>
      </c>
      <c r="Y1687" s="51" t="b">
        <v>0</v>
      </c>
      <c r="Z1687" s="51" t="b">
        <v>0</v>
      </c>
      <c r="AA1687" s="68"/>
      <c r="AB1687" s="52"/>
      <c r="AC1687" s="52"/>
      <c r="AD1687" s="52"/>
      <c r="AE1687" s="56"/>
      <c r="AF1687" s="56"/>
    </row>
    <row r="1688">
      <c r="A1688" s="52" t="s">
        <v>4980</v>
      </c>
      <c r="B1688" s="52" t="s">
        <v>22</v>
      </c>
      <c r="C1688" s="52" t="s">
        <v>289</v>
      </c>
      <c r="D1688" s="65">
        <v>0.4182175925925926</v>
      </c>
      <c r="E1688" s="65">
        <v>0.009189814814814816</v>
      </c>
      <c r="F1688" s="65">
        <v>0.4274074074074074</v>
      </c>
      <c r="G1688" s="65"/>
      <c r="H1688" s="52" t="s">
        <v>107</v>
      </c>
      <c r="I1688" s="52" t="s">
        <v>1268</v>
      </c>
      <c r="J1688" s="52" t="s">
        <v>765</v>
      </c>
      <c r="K1688" s="52" t="s">
        <v>1263</v>
      </c>
      <c r="L1688" s="52"/>
      <c r="M1688" s="52"/>
      <c r="N1688" s="52" t="s">
        <v>1264</v>
      </c>
      <c r="O1688" s="52"/>
      <c r="P1688" s="52"/>
      <c r="Q1688" s="52"/>
      <c r="R1688" s="51" t="b">
        <v>0</v>
      </c>
      <c r="S1688" s="51"/>
      <c r="T1688" s="52"/>
      <c r="U1688" s="51" t="b">
        <v>0</v>
      </c>
      <c r="V1688" s="51" t="b">
        <v>0</v>
      </c>
      <c r="W1688" s="51" t="b">
        <v>0</v>
      </c>
      <c r="X1688" s="51" t="b">
        <v>0</v>
      </c>
      <c r="Y1688" s="51" t="b">
        <v>0</v>
      </c>
      <c r="Z1688" s="51" t="b">
        <v>0</v>
      </c>
      <c r="AA1688" s="68"/>
      <c r="AB1688" s="52"/>
      <c r="AC1688" s="52"/>
      <c r="AD1688" s="52"/>
      <c r="AE1688" s="56" t="s">
        <v>629</v>
      </c>
      <c r="AF1688" s="56"/>
    </row>
    <row r="1689">
      <c r="A1689" s="52" t="s">
        <v>4981</v>
      </c>
      <c r="B1689" s="52" t="s">
        <v>22</v>
      </c>
      <c r="C1689" s="52" t="s">
        <v>289</v>
      </c>
      <c r="D1689" s="65">
        <v>0.4274074074074074</v>
      </c>
      <c r="E1689" s="65">
        <v>0.0012037037037037038</v>
      </c>
      <c r="F1689" s="65">
        <v>0.4286111111111111</v>
      </c>
      <c r="G1689" s="65"/>
      <c r="H1689" s="52" t="s">
        <v>79</v>
      </c>
      <c r="I1689" s="52" t="s">
        <v>1497</v>
      </c>
      <c r="J1689" s="52"/>
      <c r="K1689" s="52"/>
      <c r="L1689" s="52"/>
      <c r="M1689" s="52"/>
      <c r="N1689" s="52"/>
      <c r="O1689" s="52"/>
      <c r="P1689" s="52"/>
      <c r="Q1689" s="52"/>
      <c r="R1689" s="51" t="b">
        <v>0</v>
      </c>
      <c r="S1689" s="51"/>
      <c r="T1689" s="52"/>
      <c r="U1689" s="51" t="b">
        <v>0</v>
      </c>
      <c r="V1689" s="51" t="b">
        <v>0</v>
      </c>
      <c r="W1689" s="51" t="b">
        <v>0</v>
      </c>
      <c r="X1689" s="51" t="b">
        <v>0</v>
      </c>
      <c r="Y1689" s="51" t="b">
        <v>0</v>
      </c>
      <c r="Z1689" s="51" t="b">
        <v>0</v>
      </c>
      <c r="AA1689" s="68"/>
      <c r="AB1689" s="52"/>
      <c r="AC1689" s="52"/>
      <c r="AD1689" s="52"/>
      <c r="AE1689" s="56"/>
      <c r="AF1689" s="56"/>
    </row>
    <row r="1690">
      <c r="A1690" s="52" t="s">
        <v>4982</v>
      </c>
      <c r="B1690" s="52" t="s">
        <v>22</v>
      </c>
      <c r="C1690" s="52" t="s">
        <v>289</v>
      </c>
      <c r="D1690" s="65">
        <v>0.4286111111111111</v>
      </c>
      <c r="E1690" s="65">
        <v>3.4722222222222224E-4</v>
      </c>
      <c r="F1690" s="65">
        <v>0.42895833333333333</v>
      </c>
      <c r="G1690" s="65"/>
      <c r="H1690" s="52" t="s">
        <v>81</v>
      </c>
      <c r="I1690" s="52" t="s">
        <v>1498</v>
      </c>
      <c r="J1690" s="52"/>
      <c r="K1690" s="52"/>
      <c r="L1690" s="52"/>
      <c r="M1690" s="52"/>
      <c r="N1690" s="52"/>
      <c r="O1690" s="52"/>
      <c r="P1690" s="52"/>
      <c r="Q1690" s="52"/>
      <c r="R1690" s="51" t="b">
        <v>0</v>
      </c>
      <c r="S1690" s="51"/>
      <c r="T1690" s="52"/>
      <c r="U1690" s="51" t="b">
        <v>0</v>
      </c>
      <c r="V1690" s="51" t="b">
        <v>0</v>
      </c>
      <c r="W1690" s="51" t="b">
        <v>0</v>
      </c>
      <c r="X1690" s="51" t="b">
        <v>0</v>
      </c>
      <c r="Y1690" s="51" t="b">
        <v>0</v>
      </c>
      <c r="Z1690" s="51" t="b">
        <v>0</v>
      </c>
      <c r="AA1690" s="68"/>
      <c r="AB1690" s="52"/>
      <c r="AC1690" s="52"/>
      <c r="AD1690" s="52"/>
      <c r="AE1690" s="56"/>
      <c r="AF1690" s="56"/>
    </row>
    <row r="1691">
      <c r="A1691" s="52" t="s">
        <v>4983</v>
      </c>
      <c r="B1691" s="52" t="s">
        <v>22</v>
      </c>
      <c r="C1691" s="52" t="s">
        <v>289</v>
      </c>
      <c r="D1691" s="65">
        <v>0.42895833333333333</v>
      </c>
      <c r="E1691" s="65">
        <v>0.010416666666666666</v>
      </c>
      <c r="F1691" s="65">
        <v>0.439375</v>
      </c>
      <c r="G1691" s="65"/>
      <c r="H1691" s="52" t="s">
        <v>74</v>
      </c>
      <c r="I1691" s="52" t="s">
        <v>1599</v>
      </c>
      <c r="J1691" s="52" t="s">
        <v>1600</v>
      </c>
      <c r="K1691" s="52" t="s">
        <v>1601</v>
      </c>
      <c r="L1691" s="52" t="s">
        <v>1602</v>
      </c>
      <c r="M1691" s="52"/>
      <c r="N1691" s="52" t="s">
        <v>1603</v>
      </c>
      <c r="O1691" s="52"/>
      <c r="P1691" s="52"/>
      <c r="Q1691" s="52"/>
      <c r="R1691" s="51" t="b">
        <v>0</v>
      </c>
      <c r="S1691" s="51"/>
      <c r="T1691" s="52"/>
      <c r="U1691" s="51" t="b">
        <v>0</v>
      </c>
      <c r="V1691" s="51" t="b">
        <v>0</v>
      </c>
      <c r="W1691" s="51" t="b">
        <v>0</v>
      </c>
      <c r="X1691" s="51" t="b">
        <v>0</v>
      </c>
      <c r="Y1691" s="51" t="b">
        <v>0</v>
      </c>
      <c r="Z1691" s="51" t="b">
        <v>0</v>
      </c>
      <c r="AA1691" s="68"/>
      <c r="AB1691" s="52"/>
      <c r="AC1691" s="52"/>
      <c r="AD1691" s="52"/>
      <c r="AE1691" s="56" t="s">
        <v>629</v>
      </c>
      <c r="AF1691" s="56"/>
    </row>
    <row r="1692">
      <c r="A1692" s="52" t="s">
        <v>4984</v>
      </c>
      <c r="B1692" s="52" t="s">
        <v>22</v>
      </c>
      <c r="C1692" s="52" t="s">
        <v>289</v>
      </c>
      <c r="D1692" s="65">
        <v>0.439375</v>
      </c>
      <c r="E1692" s="65">
        <v>0.0012037037037037038</v>
      </c>
      <c r="F1692" s="65">
        <v>0.4405787037037037</v>
      </c>
      <c r="G1692" s="65"/>
      <c r="H1692" s="52" t="s">
        <v>79</v>
      </c>
      <c r="I1692" s="52" t="s">
        <v>1497</v>
      </c>
      <c r="J1692" s="52"/>
      <c r="K1692" s="52"/>
      <c r="L1692" s="52"/>
      <c r="M1692" s="52"/>
      <c r="N1692" s="52"/>
      <c r="O1692" s="52"/>
      <c r="P1692" s="52"/>
      <c r="Q1692" s="52"/>
      <c r="R1692" s="51" t="b">
        <v>0</v>
      </c>
      <c r="S1692" s="51"/>
      <c r="T1692" s="52"/>
      <c r="U1692" s="51" t="b">
        <v>0</v>
      </c>
      <c r="V1692" s="51" t="b">
        <v>0</v>
      </c>
      <c r="W1692" s="51" t="b">
        <v>0</v>
      </c>
      <c r="X1692" s="51" t="b">
        <v>0</v>
      </c>
      <c r="Y1692" s="51" t="b">
        <v>0</v>
      </c>
      <c r="Z1692" s="51" t="b">
        <v>0</v>
      </c>
      <c r="AA1692" s="68"/>
      <c r="AB1692" s="52"/>
      <c r="AC1692" s="52"/>
      <c r="AD1692" s="52"/>
      <c r="AE1692" s="56"/>
      <c r="AF1692" s="56"/>
    </row>
    <row r="1693">
      <c r="A1693" s="52" t="s">
        <v>4985</v>
      </c>
      <c r="B1693" s="52" t="s">
        <v>14</v>
      </c>
      <c r="C1693" s="52" t="s">
        <v>66</v>
      </c>
      <c r="D1693" s="65">
        <v>0.429050925925926</v>
      </c>
      <c r="E1693" s="65">
        <v>3.4722222222222224E-4</v>
      </c>
      <c r="F1693" s="65">
        <v>0.4293981481481482</v>
      </c>
      <c r="G1693" s="65"/>
      <c r="H1693" s="52" t="s">
        <v>87</v>
      </c>
      <c r="I1693" s="52" t="s">
        <v>88</v>
      </c>
      <c r="J1693" s="52" t="s">
        <v>69</v>
      </c>
      <c r="K1693" s="52"/>
      <c r="L1693" s="52"/>
      <c r="M1693" s="52"/>
      <c r="N1693" s="52"/>
      <c r="O1693" s="52"/>
      <c r="P1693" s="52"/>
      <c r="Q1693" s="52"/>
      <c r="R1693" s="51" t="b">
        <v>0</v>
      </c>
      <c r="S1693" s="51"/>
      <c r="T1693" s="52"/>
      <c r="U1693" s="51" t="b">
        <v>0</v>
      </c>
      <c r="V1693" s="51" t="b">
        <v>0</v>
      </c>
      <c r="W1693" s="51" t="b">
        <v>0</v>
      </c>
      <c r="X1693" s="51" t="b">
        <v>0</v>
      </c>
      <c r="Y1693" s="51" t="b">
        <v>0</v>
      </c>
      <c r="Z1693" s="51" t="b">
        <v>0</v>
      </c>
      <c r="AA1693" s="68"/>
      <c r="AB1693" s="52"/>
      <c r="AC1693" s="52"/>
      <c r="AD1693" s="52"/>
      <c r="AE1693" s="56"/>
      <c r="AF1693" s="56" t="s">
        <v>600</v>
      </c>
    </row>
    <row r="1694">
      <c r="A1694" s="52" t="s">
        <v>4986</v>
      </c>
      <c r="B1694" s="52" t="s">
        <v>22</v>
      </c>
      <c r="C1694" s="52" t="s">
        <v>289</v>
      </c>
      <c r="D1694" s="65">
        <v>0.6524189814814816</v>
      </c>
      <c r="E1694" s="65">
        <v>3.4722222222222224E-4</v>
      </c>
      <c r="F1694" s="65">
        <v>0.6527662037037039</v>
      </c>
      <c r="G1694" s="65"/>
      <c r="H1694" s="52" t="s">
        <v>81</v>
      </c>
      <c r="I1694" s="52" t="s">
        <v>1498</v>
      </c>
      <c r="J1694" s="52"/>
      <c r="K1694" s="52"/>
      <c r="L1694" s="52"/>
      <c r="M1694" s="52"/>
      <c r="N1694" s="52"/>
      <c r="O1694" s="52"/>
      <c r="P1694" s="52"/>
      <c r="Q1694" s="52"/>
      <c r="R1694" s="51" t="b">
        <v>0</v>
      </c>
      <c r="S1694" s="51"/>
      <c r="T1694" s="52"/>
      <c r="U1694" s="51" t="b">
        <v>0</v>
      </c>
      <c r="V1694" s="51" t="b">
        <v>0</v>
      </c>
      <c r="W1694" s="51" t="b">
        <v>0</v>
      </c>
      <c r="X1694" s="51" t="b">
        <v>0</v>
      </c>
      <c r="Y1694" s="51" t="b">
        <v>0</v>
      </c>
      <c r="Z1694" s="51" t="b">
        <v>0</v>
      </c>
      <c r="AA1694" s="68"/>
      <c r="AB1694" s="52"/>
      <c r="AC1694" s="52"/>
      <c r="AD1694" s="52"/>
      <c r="AE1694" s="56"/>
      <c r="AF1694" s="56"/>
    </row>
    <row r="1695">
      <c r="A1695" s="52" t="s">
        <v>4987</v>
      </c>
      <c r="B1695" s="52" t="s">
        <v>22</v>
      </c>
      <c r="C1695" s="52" t="s">
        <v>289</v>
      </c>
      <c r="D1695" s="65">
        <v>0.6527662037037039</v>
      </c>
      <c r="E1695" s="65">
        <v>0.00712962962962963</v>
      </c>
      <c r="F1695" s="65">
        <v>0.6598958333333335</v>
      </c>
      <c r="G1695" s="65"/>
      <c r="H1695" s="52" t="s">
        <v>94</v>
      </c>
      <c r="I1695" s="52" t="s">
        <v>1444</v>
      </c>
      <c r="J1695" s="52" t="s">
        <v>1438</v>
      </c>
      <c r="K1695" s="52"/>
      <c r="L1695" s="52"/>
      <c r="M1695" s="52"/>
      <c r="N1695" s="52" t="s">
        <v>1440</v>
      </c>
      <c r="O1695" s="52"/>
      <c r="P1695" s="52"/>
      <c r="Q1695" s="52"/>
      <c r="R1695" s="51" t="b">
        <v>0</v>
      </c>
      <c r="S1695" s="51"/>
      <c r="T1695" s="52"/>
      <c r="U1695" s="51" t="b">
        <v>0</v>
      </c>
      <c r="V1695" s="51" t="b">
        <v>0</v>
      </c>
      <c r="W1695" s="51" t="b">
        <v>0</v>
      </c>
      <c r="X1695" s="51" t="b">
        <v>0</v>
      </c>
      <c r="Y1695" s="51" t="b">
        <v>0</v>
      </c>
      <c r="Z1695" s="51" t="b">
        <v>0</v>
      </c>
      <c r="AA1695" s="68"/>
      <c r="AB1695" s="52"/>
      <c r="AC1695" s="52"/>
      <c r="AD1695" s="52"/>
      <c r="AE1695" s="56" t="s">
        <v>629</v>
      </c>
      <c r="AF1695" s="56"/>
    </row>
    <row r="1696">
      <c r="A1696" s="52" t="s">
        <v>4988</v>
      </c>
      <c r="B1696" s="52" t="s">
        <v>22</v>
      </c>
      <c r="C1696" s="52" t="s">
        <v>289</v>
      </c>
      <c r="D1696" s="65">
        <v>0.6598958333333335</v>
      </c>
      <c r="E1696" s="65">
        <v>0.0012037037037037038</v>
      </c>
      <c r="F1696" s="65">
        <v>0.6610995370370372</v>
      </c>
      <c r="G1696" s="65"/>
      <c r="H1696" s="52" t="s">
        <v>79</v>
      </c>
      <c r="I1696" s="52" t="s">
        <v>1497</v>
      </c>
      <c r="J1696" s="52"/>
      <c r="K1696" s="52"/>
      <c r="L1696" s="52"/>
      <c r="M1696" s="52"/>
      <c r="N1696" s="52"/>
      <c r="O1696" s="52"/>
      <c r="P1696" s="52"/>
      <c r="Q1696" s="52"/>
      <c r="R1696" s="51" t="b">
        <v>0</v>
      </c>
      <c r="S1696" s="51"/>
      <c r="T1696" s="52"/>
      <c r="U1696" s="51" t="b">
        <v>0</v>
      </c>
      <c r="V1696" s="51" t="b">
        <v>0</v>
      </c>
      <c r="W1696" s="51" t="b">
        <v>0</v>
      </c>
      <c r="X1696" s="51" t="b">
        <v>0</v>
      </c>
      <c r="Y1696" s="51" t="b">
        <v>0</v>
      </c>
      <c r="Z1696" s="51" t="b">
        <v>0</v>
      </c>
      <c r="AA1696" s="68"/>
      <c r="AB1696" s="52"/>
      <c r="AC1696" s="52"/>
      <c r="AD1696" s="52"/>
      <c r="AE1696" s="56"/>
      <c r="AF1696" s="56"/>
    </row>
    <row r="1697">
      <c r="A1697" s="52" t="s">
        <v>4989</v>
      </c>
      <c r="B1697" s="52" t="s">
        <v>22</v>
      </c>
      <c r="C1697" s="52" t="s">
        <v>289</v>
      </c>
      <c r="D1697" s="65">
        <v>0.6610995370370372</v>
      </c>
      <c r="E1697" s="65">
        <v>3.4722222222222224E-4</v>
      </c>
      <c r="F1697" s="65">
        <v>0.6614467592592594</v>
      </c>
      <c r="G1697" s="65"/>
      <c r="H1697" s="52" t="s">
        <v>81</v>
      </c>
      <c r="I1697" s="52" t="s">
        <v>1498</v>
      </c>
      <c r="J1697" s="52"/>
      <c r="K1697" s="52"/>
      <c r="L1697" s="52"/>
      <c r="M1697" s="52"/>
      <c r="N1697" s="52"/>
      <c r="O1697" s="52"/>
      <c r="P1697" s="52"/>
      <c r="Q1697" s="52"/>
      <c r="R1697" s="51" t="b">
        <v>0</v>
      </c>
      <c r="S1697" s="51"/>
      <c r="T1697" s="52"/>
      <c r="U1697" s="51" t="b">
        <v>0</v>
      </c>
      <c r="V1697" s="51" t="b">
        <v>0</v>
      </c>
      <c r="W1697" s="51" t="b">
        <v>0</v>
      </c>
      <c r="X1697" s="51" t="b">
        <v>0</v>
      </c>
      <c r="Y1697" s="51" t="b">
        <v>0</v>
      </c>
      <c r="Z1697" s="51" t="b">
        <v>0</v>
      </c>
      <c r="AA1697" s="68"/>
      <c r="AB1697" s="52"/>
      <c r="AC1697" s="52"/>
      <c r="AD1697" s="52"/>
      <c r="AE1697" s="56"/>
      <c r="AF1697" s="56"/>
    </row>
    <row r="1698">
      <c r="A1698" s="52" t="s">
        <v>4990</v>
      </c>
      <c r="B1698" s="52" t="s">
        <v>22</v>
      </c>
      <c r="C1698" s="52" t="s">
        <v>289</v>
      </c>
      <c r="D1698" s="65">
        <v>0.6614467592592594</v>
      </c>
      <c r="E1698" s="65">
        <v>0.010416666666666666</v>
      </c>
      <c r="F1698" s="65">
        <v>0.6718634259259261</v>
      </c>
      <c r="G1698" s="65"/>
      <c r="H1698" s="52" t="s">
        <v>94</v>
      </c>
      <c r="I1698" s="52" t="s">
        <v>1638</v>
      </c>
      <c r="J1698" s="52" t="s">
        <v>1639</v>
      </c>
      <c r="K1698" s="52"/>
      <c r="L1698" s="52"/>
      <c r="M1698" s="52"/>
      <c r="N1698" s="52" t="s">
        <v>1640</v>
      </c>
      <c r="O1698" s="52"/>
      <c r="P1698" s="52"/>
      <c r="Q1698" s="52"/>
      <c r="R1698" s="51" t="b">
        <v>0</v>
      </c>
      <c r="S1698" s="51"/>
      <c r="T1698" s="52"/>
      <c r="U1698" s="51" t="b">
        <v>0</v>
      </c>
      <c r="V1698" s="51" t="b">
        <v>0</v>
      </c>
      <c r="W1698" s="51" t="b">
        <v>0</v>
      </c>
      <c r="X1698" s="51" t="b">
        <v>0</v>
      </c>
      <c r="Y1698" s="51" t="b">
        <v>0</v>
      </c>
      <c r="Z1698" s="51" t="b">
        <v>0</v>
      </c>
      <c r="AA1698" s="68"/>
      <c r="AB1698" s="52"/>
      <c r="AC1698" s="52"/>
      <c r="AD1698" s="52"/>
      <c r="AE1698" s="56" t="s">
        <v>629</v>
      </c>
      <c r="AF1698" s="56"/>
    </row>
    <row r="1699">
      <c r="A1699" s="52" t="s">
        <v>4991</v>
      </c>
      <c r="B1699" s="52" t="s">
        <v>22</v>
      </c>
      <c r="C1699" s="52" t="s">
        <v>289</v>
      </c>
      <c r="D1699" s="65">
        <v>0.6718634259259261</v>
      </c>
      <c r="E1699" s="65">
        <v>0.0012037037037037038</v>
      </c>
      <c r="F1699" s="65">
        <v>0.6730671296296298</v>
      </c>
      <c r="G1699" s="65"/>
      <c r="H1699" s="52" t="s">
        <v>79</v>
      </c>
      <c r="I1699" s="52" t="s">
        <v>1497</v>
      </c>
      <c r="J1699" s="52"/>
      <c r="K1699" s="52"/>
      <c r="L1699" s="52"/>
      <c r="M1699" s="52"/>
      <c r="N1699" s="52"/>
      <c r="O1699" s="52"/>
      <c r="P1699" s="52"/>
      <c r="Q1699" s="52"/>
      <c r="R1699" s="51" t="b">
        <v>0</v>
      </c>
      <c r="S1699" s="51"/>
      <c r="T1699" s="52"/>
      <c r="U1699" s="51" t="b">
        <v>0</v>
      </c>
      <c r="V1699" s="51" t="b">
        <v>0</v>
      </c>
      <c r="W1699" s="51" t="b">
        <v>0</v>
      </c>
      <c r="X1699" s="51" t="b">
        <v>0</v>
      </c>
      <c r="Y1699" s="51" t="b">
        <v>0</v>
      </c>
      <c r="Z1699" s="51" t="b">
        <v>0</v>
      </c>
      <c r="AA1699" s="68"/>
      <c r="AB1699" s="52"/>
      <c r="AC1699" s="52"/>
      <c r="AD1699" s="52"/>
      <c r="AE1699" s="56"/>
      <c r="AF1699" s="56"/>
    </row>
    <row r="1700">
      <c r="A1700" s="52" t="s">
        <v>4992</v>
      </c>
      <c r="B1700" s="52" t="s">
        <v>22</v>
      </c>
      <c r="C1700" s="52" t="s">
        <v>289</v>
      </c>
      <c r="D1700" s="65">
        <v>0.6730671296296298</v>
      </c>
      <c r="E1700" s="65">
        <v>3.4722222222222224E-4</v>
      </c>
      <c r="F1700" s="65">
        <v>0.673414351851852</v>
      </c>
      <c r="G1700" s="65"/>
      <c r="H1700" s="52" t="s">
        <v>81</v>
      </c>
      <c r="I1700" s="52" t="s">
        <v>1498</v>
      </c>
      <c r="J1700" s="52"/>
      <c r="K1700" s="52"/>
      <c r="L1700" s="52"/>
      <c r="M1700" s="52"/>
      <c r="N1700" s="52"/>
      <c r="O1700" s="52"/>
      <c r="P1700" s="52"/>
      <c r="Q1700" s="52"/>
      <c r="R1700" s="51" t="b">
        <v>0</v>
      </c>
      <c r="S1700" s="51"/>
      <c r="T1700" s="52"/>
      <c r="U1700" s="51" t="b">
        <v>0</v>
      </c>
      <c r="V1700" s="51" t="b">
        <v>0</v>
      </c>
      <c r="W1700" s="51" t="b">
        <v>0</v>
      </c>
      <c r="X1700" s="51" t="b">
        <v>0</v>
      </c>
      <c r="Y1700" s="51" t="b">
        <v>0</v>
      </c>
      <c r="Z1700" s="51" t="b">
        <v>0</v>
      </c>
      <c r="AA1700" s="68"/>
      <c r="AB1700" s="52"/>
      <c r="AC1700" s="52"/>
      <c r="AD1700" s="52"/>
      <c r="AE1700" s="56"/>
      <c r="AF1700" s="56"/>
    </row>
    <row r="1701">
      <c r="A1701" s="52" t="s">
        <v>4993</v>
      </c>
      <c r="B1701" s="52" t="s">
        <v>22</v>
      </c>
      <c r="C1701" s="52" t="s">
        <v>289</v>
      </c>
      <c r="D1701" s="65">
        <v>0.673414351851852</v>
      </c>
      <c r="E1701" s="65">
        <v>0.008333333333333333</v>
      </c>
      <c r="F1701" s="65">
        <v>0.6817476851851854</v>
      </c>
      <c r="G1701" s="65"/>
      <c r="H1701" s="52" t="s">
        <v>94</v>
      </c>
      <c r="I1701" s="52" t="s">
        <v>1643</v>
      </c>
      <c r="J1701" s="52" t="s">
        <v>1644</v>
      </c>
      <c r="K1701" s="52"/>
      <c r="L1701" s="52"/>
      <c r="M1701" s="52"/>
      <c r="N1701" s="52" t="s">
        <v>1071</v>
      </c>
      <c r="O1701" s="52"/>
      <c r="P1701" s="52"/>
      <c r="Q1701" s="52"/>
      <c r="R1701" s="51" t="b">
        <v>0</v>
      </c>
      <c r="S1701" s="51"/>
      <c r="T1701" s="52"/>
      <c r="U1701" s="51" t="b">
        <v>0</v>
      </c>
      <c r="V1701" s="51" t="b">
        <v>0</v>
      </c>
      <c r="W1701" s="51" t="b">
        <v>0</v>
      </c>
      <c r="X1701" s="51" t="b">
        <v>0</v>
      </c>
      <c r="Y1701" s="51" t="b">
        <v>0</v>
      </c>
      <c r="Z1701" s="51" t="b">
        <v>0</v>
      </c>
      <c r="AA1701" s="68"/>
      <c r="AB1701" s="52"/>
      <c r="AC1701" s="52"/>
      <c r="AD1701" s="52"/>
      <c r="AE1701" s="56" t="s">
        <v>629</v>
      </c>
      <c r="AF1701" s="56"/>
    </row>
    <row r="1702">
      <c r="A1702" s="52" t="s">
        <v>4994</v>
      </c>
      <c r="B1702" s="52" t="s">
        <v>22</v>
      </c>
      <c r="C1702" s="52" t="s">
        <v>289</v>
      </c>
      <c r="D1702" s="65">
        <v>0.6817476851851854</v>
      </c>
      <c r="E1702" s="65">
        <v>0.0012037037037037038</v>
      </c>
      <c r="F1702" s="65">
        <v>0.6829513888888891</v>
      </c>
      <c r="G1702" s="65"/>
      <c r="H1702" s="52" t="s">
        <v>79</v>
      </c>
      <c r="I1702" s="52" t="s">
        <v>1497</v>
      </c>
      <c r="J1702" s="52"/>
      <c r="K1702" s="52"/>
      <c r="L1702" s="52"/>
      <c r="M1702" s="52"/>
      <c r="N1702" s="52"/>
      <c r="O1702" s="52"/>
      <c r="P1702" s="52"/>
      <c r="Q1702" s="52"/>
      <c r="R1702" s="51" t="b">
        <v>0</v>
      </c>
      <c r="S1702" s="51"/>
      <c r="T1702" s="52"/>
      <c r="U1702" s="51" t="b">
        <v>0</v>
      </c>
      <c r="V1702" s="51" t="b">
        <v>0</v>
      </c>
      <c r="W1702" s="51" t="b">
        <v>0</v>
      </c>
      <c r="X1702" s="51" t="b">
        <v>0</v>
      </c>
      <c r="Y1702" s="51" t="b">
        <v>0</v>
      </c>
      <c r="Z1702" s="51" t="b">
        <v>0</v>
      </c>
      <c r="AA1702" s="68"/>
      <c r="AB1702" s="52"/>
      <c r="AC1702" s="52"/>
      <c r="AD1702" s="52"/>
      <c r="AE1702" s="56"/>
      <c r="AF1702" s="56"/>
    </row>
    <row r="1703">
      <c r="A1703" s="52" t="s">
        <v>4995</v>
      </c>
      <c r="B1703" s="52" t="s">
        <v>22</v>
      </c>
      <c r="C1703" s="52" t="s">
        <v>289</v>
      </c>
      <c r="D1703" s="65">
        <v>0.6829513888888891</v>
      </c>
      <c r="E1703" s="65">
        <v>3.4722222222222224E-4</v>
      </c>
      <c r="F1703" s="65">
        <v>0.6832986111111113</v>
      </c>
      <c r="G1703" s="65"/>
      <c r="H1703" s="52" t="s">
        <v>81</v>
      </c>
      <c r="I1703" s="52" t="s">
        <v>1498</v>
      </c>
      <c r="J1703" s="52"/>
      <c r="K1703" s="52"/>
      <c r="L1703" s="52"/>
      <c r="M1703" s="52"/>
      <c r="N1703" s="52"/>
      <c r="O1703" s="52"/>
      <c r="P1703" s="52"/>
      <c r="Q1703" s="52"/>
      <c r="R1703" s="51" t="b">
        <v>0</v>
      </c>
      <c r="S1703" s="51"/>
      <c r="T1703" s="52"/>
      <c r="U1703" s="51" t="b">
        <v>0</v>
      </c>
      <c r="V1703" s="51" t="b">
        <v>0</v>
      </c>
      <c r="W1703" s="51" t="b">
        <v>0</v>
      </c>
      <c r="X1703" s="51" t="b">
        <v>0</v>
      </c>
      <c r="Y1703" s="51" t="b">
        <v>0</v>
      </c>
      <c r="Z1703" s="51" t="b">
        <v>0</v>
      </c>
      <c r="AA1703" s="68"/>
      <c r="AB1703" s="52"/>
      <c r="AC1703" s="52"/>
      <c r="AD1703" s="52"/>
      <c r="AE1703" s="56"/>
      <c r="AF1703" s="56"/>
    </row>
    <row r="1704">
      <c r="A1704" s="52" t="s">
        <v>4996</v>
      </c>
      <c r="B1704" s="52" t="s">
        <v>22</v>
      </c>
      <c r="C1704" s="52" t="s">
        <v>289</v>
      </c>
      <c r="D1704" s="65">
        <v>0.6832986111111113</v>
      </c>
      <c r="E1704" s="65">
        <v>0.010416666666666666</v>
      </c>
      <c r="F1704" s="65">
        <v>0.693715277777778</v>
      </c>
      <c r="G1704" s="65"/>
      <c r="H1704" s="52" t="s">
        <v>74</v>
      </c>
      <c r="I1704" s="52" t="s">
        <v>1646</v>
      </c>
      <c r="J1704" s="52" t="s">
        <v>1647</v>
      </c>
      <c r="K1704" s="52" t="s">
        <v>1648</v>
      </c>
      <c r="L1704" s="52" t="s">
        <v>1649</v>
      </c>
      <c r="M1704" s="52"/>
      <c r="N1704" s="52" t="s">
        <v>859</v>
      </c>
      <c r="O1704" s="52"/>
      <c r="P1704" s="52"/>
      <c r="Q1704" s="52"/>
      <c r="R1704" s="51" t="b">
        <v>0</v>
      </c>
      <c r="S1704" s="51"/>
      <c r="T1704" s="52"/>
      <c r="U1704" s="51" t="b">
        <v>0</v>
      </c>
      <c r="V1704" s="51" t="b">
        <v>0</v>
      </c>
      <c r="W1704" s="51" t="b">
        <v>0</v>
      </c>
      <c r="X1704" s="51" t="b">
        <v>0</v>
      </c>
      <c r="Y1704" s="51" t="b">
        <v>0</v>
      </c>
      <c r="Z1704" s="51" t="b">
        <v>0</v>
      </c>
      <c r="AA1704" s="68"/>
      <c r="AB1704" s="52"/>
      <c r="AC1704" s="52"/>
      <c r="AD1704" s="52"/>
      <c r="AE1704" s="56" t="s">
        <v>629</v>
      </c>
      <c r="AF1704" s="56"/>
    </row>
    <row r="1705">
      <c r="A1705" s="52" t="s">
        <v>4997</v>
      </c>
      <c r="B1705" s="52" t="s">
        <v>22</v>
      </c>
      <c r="C1705" s="52" t="s">
        <v>289</v>
      </c>
      <c r="D1705" s="65">
        <v>0.693715277777778</v>
      </c>
      <c r="E1705" s="65">
        <v>0.0012037037037037038</v>
      </c>
      <c r="F1705" s="65">
        <v>0.6949189814814817</v>
      </c>
      <c r="G1705" s="65"/>
      <c r="H1705" s="52" t="s">
        <v>79</v>
      </c>
      <c r="I1705" s="52" t="s">
        <v>1497</v>
      </c>
      <c r="J1705" s="52"/>
      <c r="K1705" s="52"/>
      <c r="L1705" s="52"/>
      <c r="M1705" s="52"/>
      <c r="N1705" s="52"/>
      <c r="O1705" s="52"/>
      <c r="P1705" s="52"/>
      <c r="Q1705" s="52"/>
      <c r="R1705" s="51" t="b">
        <v>0</v>
      </c>
      <c r="S1705" s="51"/>
      <c r="T1705" s="52"/>
      <c r="U1705" s="51" t="b">
        <v>0</v>
      </c>
      <c r="V1705" s="51" t="b">
        <v>0</v>
      </c>
      <c r="W1705" s="51" t="b">
        <v>0</v>
      </c>
      <c r="X1705" s="51" t="b">
        <v>0</v>
      </c>
      <c r="Y1705" s="51" t="b">
        <v>0</v>
      </c>
      <c r="Z1705" s="51" t="b">
        <v>0</v>
      </c>
      <c r="AA1705" s="68"/>
      <c r="AB1705" s="52"/>
      <c r="AC1705" s="52"/>
      <c r="AD1705" s="52"/>
      <c r="AE1705" s="56"/>
      <c r="AF1705" s="56"/>
    </row>
    <row r="1706">
      <c r="A1706" s="52" t="s">
        <v>4998</v>
      </c>
      <c r="B1706" s="52" t="s">
        <v>22</v>
      </c>
      <c r="C1706" s="52" t="s">
        <v>289</v>
      </c>
      <c r="D1706" s="65">
        <v>0.6949189814814817</v>
      </c>
      <c r="E1706" s="65">
        <v>3.4722222222222224E-4</v>
      </c>
      <c r="F1706" s="65">
        <v>0.695266203703704</v>
      </c>
      <c r="G1706" s="65"/>
      <c r="H1706" s="52" t="s">
        <v>81</v>
      </c>
      <c r="I1706" s="52" t="s">
        <v>1498</v>
      </c>
      <c r="J1706" s="52"/>
      <c r="K1706" s="52"/>
      <c r="L1706" s="52"/>
      <c r="M1706" s="52"/>
      <c r="N1706" s="52"/>
      <c r="O1706" s="52"/>
      <c r="P1706" s="52"/>
      <c r="Q1706" s="52"/>
      <c r="R1706" s="51" t="b">
        <v>0</v>
      </c>
      <c r="S1706" s="51"/>
      <c r="T1706" s="52"/>
      <c r="U1706" s="51" t="b">
        <v>0</v>
      </c>
      <c r="V1706" s="51" t="b">
        <v>0</v>
      </c>
      <c r="W1706" s="51" t="b">
        <v>0</v>
      </c>
      <c r="X1706" s="51" t="b">
        <v>0</v>
      </c>
      <c r="Y1706" s="51" t="b">
        <v>0</v>
      </c>
      <c r="Z1706" s="51" t="b">
        <v>0</v>
      </c>
      <c r="AA1706" s="68"/>
      <c r="AB1706" s="52"/>
      <c r="AC1706" s="52"/>
      <c r="AD1706" s="52"/>
      <c r="AE1706" s="56"/>
      <c r="AF1706" s="56"/>
    </row>
    <row r="1707">
      <c r="A1707" s="52" t="s">
        <v>4999</v>
      </c>
      <c r="B1707" s="52" t="s">
        <v>22</v>
      </c>
      <c r="C1707" s="52" t="s">
        <v>289</v>
      </c>
      <c r="D1707" s="65">
        <v>0.695266203703704</v>
      </c>
      <c r="E1707" s="65">
        <v>0.008333333333333333</v>
      </c>
      <c r="F1707" s="65">
        <v>0.7035995370370373</v>
      </c>
      <c r="G1707" s="65"/>
      <c r="H1707" s="52" t="s">
        <v>107</v>
      </c>
      <c r="I1707" s="52" t="s">
        <v>1652</v>
      </c>
      <c r="J1707" s="52" t="s">
        <v>1653</v>
      </c>
      <c r="K1707" s="52" t="s">
        <v>1654</v>
      </c>
      <c r="L1707" s="52"/>
      <c r="M1707" s="52"/>
      <c r="N1707" s="52" t="s">
        <v>1655</v>
      </c>
      <c r="O1707" s="52"/>
      <c r="P1707" s="52"/>
      <c r="Q1707" s="52"/>
      <c r="R1707" s="51" t="b">
        <v>0</v>
      </c>
      <c r="S1707" s="51"/>
      <c r="T1707" s="52"/>
      <c r="U1707" s="51" t="b">
        <v>0</v>
      </c>
      <c r="V1707" s="51" t="b">
        <v>0</v>
      </c>
      <c r="W1707" s="51" t="b">
        <v>0</v>
      </c>
      <c r="X1707" s="51" t="b">
        <v>0</v>
      </c>
      <c r="Y1707" s="51" t="b">
        <v>0</v>
      </c>
      <c r="Z1707" s="51" t="b">
        <v>0</v>
      </c>
      <c r="AA1707" s="68"/>
      <c r="AB1707" s="52"/>
      <c r="AC1707" s="52"/>
      <c r="AD1707" s="52"/>
      <c r="AE1707" s="56" t="s">
        <v>629</v>
      </c>
      <c r="AF1707" s="56"/>
    </row>
    <row r="1708">
      <c r="A1708" s="52" t="s">
        <v>5000</v>
      </c>
      <c r="B1708" s="52" t="s">
        <v>22</v>
      </c>
      <c r="C1708" s="52" t="s">
        <v>289</v>
      </c>
      <c r="D1708" s="65">
        <v>0.7035995370370373</v>
      </c>
      <c r="E1708" s="65">
        <v>0.0012037037037037038</v>
      </c>
      <c r="F1708" s="65">
        <v>0.704803240740741</v>
      </c>
      <c r="G1708" s="65"/>
      <c r="H1708" s="52" t="s">
        <v>79</v>
      </c>
      <c r="I1708" s="52" t="s">
        <v>1497</v>
      </c>
      <c r="J1708" s="52"/>
      <c r="K1708" s="52"/>
      <c r="L1708" s="52"/>
      <c r="M1708" s="52"/>
      <c r="N1708" s="52"/>
      <c r="O1708" s="52"/>
      <c r="P1708" s="52"/>
      <c r="Q1708" s="52"/>
      <c r="R1708" s="51" t="b">
        <v>0</v>
      </c>
      <c r="S1708" s="51"/>
      <c r="T1708" s="52"/>
      <c r="U1708" s="51" t="b">
        <v>0</v>
      </c>
      <c r="V1708" s="51" t="b">
        <v>0</v>
      </c>
      <c r="W1708" s="51" t="b">
        <v>0</v>
      </c>
      <c r="X1708" s="51" t="b">
        <v>0</v>
      </c>
      <c r="Y1708" s="51" t="b">
        <v>0</v>
      </c>
      <c r="Z1708" s="51" t="b">
        <v>0</v>
      </c>
      <c r="AA1708" s="68"/>
      <c r="AB1708" s="52"/>
      <c r="AC1708" s="52"/>
      <c r="AD1708" s="52"/>
      <c r="AE1708" s="56"/>
      <c r="AF1708" s="56"/>
    </row>
    <row r="1709">
      <c r="A1709" s="52" t="s">
        <v>5001</v>
      </c>
      <c r="B1709" s="52" t="s">
        <v>14</v>
      </c>
      <c r="C1709" s="52" t="s">
        <v>221</v>
      </c>
      <c r="D1709" s="65">
        <v>0.6166435185185183</v>
      </c>
      <c r="E1709" s="65">
        <v>3.4722222222222224E-4</v>
      </c>
      <c r="F1709" s="65">
        <v>0.6169907407407406</v>
      </c>
      <c r="G1709" s="65"/>
      <c r="H1709" s="52" t="s">
        <v>87</v>
      </c>
      <c r="I1709" s="52" t="s">
        <v>88</v>
      </c>
      <c r="J1709" s="52" t="s">
        <v>69</v>
      </c>
      <c r="K1709" s="52"/>
      <c r="L1709" s="52"/>
      <c r="M1709" s="52"/>
      <c r="N1709" s="52"/>
      <c r="O1709" s="52"/>
      <c r="P1709" s="52"/>
      <c r="Q1709" s="52"/>
      <c r="R1709" s="51" t="b">
        <v>0</v>
      </c>
      <c r="S1709" s="51"/>
      <c r="T1709" s="52"/>
      <c r="U1709" s="51" t="b">
        <v>0</v>
      </c>
      <c r="V1709" s="51" t="b">
        <v>0</v>
      </c>
      <c r="W1709" s="51" t="b">
        <v>0</v>
      </c>
      <c r="X1709" s="51" t="b">
        <v>0</v>
      </c>
      <c r="Y1709" s="51" t="b">
        <v>0</v>
      </c>
      <c r="Z1709" s="51" t="b">
        <v>0</v>
      </c>
      <c r="AA1709" s="68"/>
      <c r="AB1709" s="52"/>
      <c r="AC1709" s="52"/>
      <c r="AD1709" s="52"/>
      <c r="AE1709" s="56"/>
      <c r="AF1709" s="56" t="s">
        <v>600</v>
      </c>
    </row>
    <row r="1710">
      <c r="A1710" s="52" t="s">
        <v>5002</v>
      </c>
      <c r="B1710" s="52" t="s">
        <v>607</v>
      </c>
      <c r="C1710" s="52" t="s">
        <v>607</v>
      </c>
      <c r="D1710" s="65" t="s">
        <v>607</v>
      </c>
      <c r="E1710" s="65" t="s">
        <v>607</v>
      </c>
      <c r="F1710" s="65" t="s">
        <v>607</v>
      </c>
      <c r="G1710" s="65" t="s">
        <v>607</v>
      </c>
      <c r="H1710" s="52" t="s">
        <v>607</v>
      </c>
      <c r="I1710" s="52" t="s">
        <v>607</v>
      </c>
      <c r="J1710" s="52" t="s">
        <v>607</v>
      </c>
      <c r="K1710" s="52" t="s">
        <v>607</v>
      </c>
      <c r="L1710" s="52" t="s">
        <v>607</v>
      </c>
      <c r="M1710" s="52" t="s">
        <v>607</v>
      </c>
      <c r="N1710" s="52" t="s">
        <v>607</v>
      </c>
      <c r="O1710" s="52"/>
      <c r="P1710" s="52"/>
      <c r="Q1710" s="52"/>
      <c r="R1710" s="51" t="b">
        <v>0</v>
      </c>
      <c r="S1710" s="51"/>
      <c r="T1710" s="52"/>
      <c r="U1710" s="51" t="b">
        <v>0</v>
      </c>
      <c r="V1710" s="51" t="b">
        <v>0</v>
      </c>
      <c r="W1710" s="51" t="b">
        <v>0</v>
      </c>
      <c r="X1710" s="51" t="b">
        <v>0</v>
      </c>
      <c r="Y1710" s="51" t="b">
        <v>0</v>
      </c>
      <c r="Z1710" s="51" t="b">
        <v>0</v>
      </c>
      <c r="AA1710" s="68"/>
      <c r="AB1710" s="52"/>
      <c r="AC1710" s="52"/>
      <c r="AD1710" s="52"/>
      <c r="AE1710" s="56" t="s">
        <v>607</v>
      </c>
      <c r="AF1710" s="56" t="s">
        <v>607</v>
      </c>
    </row>
    <row r="1711">
      <c r="A1711" s="52" t="s">
        <v>5003</v>
      </c>
      <c r="B1711" s="52" t="s">
        <v>607</v>
      </c>
      <c r="C1711" s="52" t="s">
        <v>607</v>
      </c>
      <c r="D1711" s="65" t="s">
        <v>607</v>
      </c>
      <c r="E1711" s="65" t="s">
        <v>607</v>
      </c>
      <c r="F1711" s="65" t="s">
        <v>607</v>
      </c>
      <c r="G1711" s="65" t="s">
        <v>607</v>
      </c>
      <c r="H1711" s="52" t="s">
        <v>607</v>
      </c>
      <c r="I1711" s="52" t="s">
        <v>607</v>
      </c>
      <c r="J1711" s="52" t="s">
        <v>607</v>
      </c>
      <c r="K1711" s="52" t="s">
        <v>607</v>
      </c>
      <c r="L1711" s="52" t="s">
        <v>607</v>
      </c>
      <c r="M1711" s="52" t="s">
        <v>607</v>
      </c>
      <c r="N1711" s="52" t="s">
        <v>607</v>
      </c>
      <c r="O1711" s="52"/>
      <c r="P1711" s="52"/>
      <c r="Q1711" s="52"/>
      <c r="R1711" s="51" t="b">
        <v>0</v>
      </c>
      <c r="S1711" s="51"/>
      <c r="T1711" s="52"/>
      <c r="U1711" s="51" t="b">
        <v>0</v>
      </c>
      <c r="V1711" s="51" t="b">
        <v>0</v>
      </c>
      <c r="W1711" s="51" t="b">
        <v>0</v>
      </c>
      <c r="X1711" s="51" t="b">
        <v>0</v>
      </c>
      <c r="Y1711" s="51" t="b">
        <v>0</v>
      </c>
      <c r="Z1711" s="51" t="b">
        <v>0</v>
      </c>
      <c r="AA1711" s="68"/>
      <c r="AB1711" s="52"/>
      <c r="AC1711" s="52"/>
      <c r="AD1711" s="52"/>
      <c r="AE1711" s="56" t="s">
        <v>607</v>
      </c>
      <c r="AF1711" s="56" t="s">
        <v>607</v>
      </c>
    </row>
    <row r="1712">
      <c r="A1712" s="52" t="s">
        <v>5004</v>
      </c>
      <c r="B1712" s="52" t="s">
        <v>607</v>
      </c>
      <c r="C1712" s="52" t="s">
        <v>607</v>
      </c>
      <c r="D1712" s="65" t="s">
        <v>607</v>
      </c>
      <c r="E1712" s="65" t="s">
        <v>607</v>
      </c>
      <c r="F1712" s="65" t="s">
        <v>607</v>
      </c>
      <c r="G1712" s="65" t="s">
        <v>607</v>
      </c>
      <c r="H1712" s="52" t="s">
        <v>607</v>
      </c>
      <c r="I1712" s="52" t="s">
        <v>607</v>
      </c>
      <c r="J1712" s="52" t="s">
        <v>607</v>
      </c>
      <c r="K1712" s="52" t="s">
        <v>607</v>
      </c>
      <c r="L1712" s="52" t="s">
        <v>607</v>
      </c>
      <c r="M1712" s="52" t="s">
        <v>607</v>
      </c>
      <c r="N1712" s="52" t="s">
        <v>607</v>
      </c>
      <c r="O1712" s="52"/>
      <c r="P1712" s="52"/>
      <c r="Q1712" s="52"/>
      <c r="R1712" s="51" t="b">
        <v>0</v>
      </c>
      <c r="S1712" s="51"/>
      <c r="T1712" s="52"/>
      <c r="U1712" s="51" t="b">
        <v>0</v>
      </c>
      <c r="V1712" s="51" t="b">
        <v>0</v>
      </c>
      <c r="W1712" s="51" t="b">
        <v>0</v>
      </c>
      <c r="X1712" s="51" t="b">
        <v>0</v>
      </c>
      <c r="Y1712" s="51" t="b">
        <v>0</v>
      </c>
      <c r="Z1712" s="51" t="b">
        <v>0</v>
      </c>
      <c r="AA1712" s="68"/>
      <c r="AB1712" s="52"/>
      <c r="AC1712" s="52"/>
      <c r="AD1712" s="52"/>
      <c r="AE1712" s="56" t="s">
        <v>607</v>
      </c>
      <c r="AF1712" s="56" t="s">
        <v>607</v>
      </c>
    </row>
    <row r="1713">
      <c r="A1713" s="52" t="s">
        <v>5005</v>
      </c>
      <c r="B1713" s="52" t="s">
        <v>14</v>
      </c>
      <c r="C1713" s="52" t="s">
        <v>221</v>
      </c>
      <c r="D1713" s="65">
        <v>0.5915277777777778</v>
      </c>
      <c r="E1713" s="65">
        <v>5.787037037037037E-4</v>
      </c>
      <c r="F1713" s="65">
        <v>0.5921064814814815</v>
      </c>
      <c r="G1713" s="65"/>
      <c r="H1713" s="52" t="s">
        <v>126</v>
      </c>
      <c r="I1713" s="52" t="s">
        <v>292</v>
      </c>
      <c r="J1713" s="52" t="s">
        <v>90</v>
      </c>
      <c r="K1713" s="52"/>
      <c r="L1713" s="52"/>
      <c r="M1713" s="52"/>
      <c r="N1713" s="52"/>
      <c r="O1713" s="52"/>
      <c r="P1713" s="69" t="s">
        <v>25</v>
      </c>
      <c r="Q1713" s="73" t="s">
        <v>5006</v>
      </c>
      <c r="R1713" s="51" t="b">
        <v>1</v>
      </c>
      <c r="S1713" s="110" t="s">
        <v>292</v>
      </c>
      <c r="T1713" s="52"/>
      <c r="U1713" s="51" t="b">
        <v>0</v>
      </c>
      <c r="V1713" s="51" t="b">
        <v>0</v>
      </c>
      <c r="W1713" s="51" t="b">
        <v>0</v>
      </c>
      <c r="X1713" s="51" t="b">
        <v>0</v>
      </c>
      <c r="Y1713" s="51" t="b">
        <v>0</v>
      </c>
      <c r="Z1713" s="51" t="b">
        <v>0</v>
      </c>
      <c r="AA1713" s="68"/>
      <c r="AB1713" s="52"/>
      <c r="AC1713" s="52"/>
      <c r="AD1713" s="80" t="s">
        <v>4062</v>
      </c>
      <c r="AE1713" s="56"/>
      <c r="AF1713" s="56"/>
    </row>
    <row r="1714">
      <c r="A1714" s="52" t="s">
        <v>5007</v>
      </c>
      <c r="B1714" s="52" t="s">
        <v>14</v>
      </c>
      <c r="C1714" s="52" t="s">
        <v>66</v>
      </c>
      <c r="D1714" s="65">
        <v>0.429050925925926</v>
      </c>
      <c r="E1714" s="65">
        <v>2.314814814814815E-4</v>
      </c>
      <c r="F1714" s="65">
        <v>0.4292824074074075</v>
      </c>
      <c r="G1714" s="65"/>
      <c r="H1714" s="52" t="s">
        <v>85</v>
      </c>
      <c r="I1714" s="52" t="s">
        <v>86</v>
      </c>
      <c r="J1714" s="52" t="s">
        <v>73</v>
      </c>
      <c r="K1714" s="52"/>
      <c r="L1714" s="52"/>
      <c r="M1714" s="52"/>
      <c r="N1714" s="52"/>
      <c r="O1714" s="52"/>
      <c r="P1714" s="52"/>
      <c r="Q1714" s="52"/>
      <c r="R1714" s="51" t="b">
        <v>0</v>
      </c>
      <c r="S1714" s="51"/>
      <c r="T1714" s="52"/>
      <c r="U1714" s="51" t="b">
        <v>0</v>
      </c>
      <c r="V1714" s="51" t="b">
        <v>0</v>
      </c>
      <c r="W1714" s="51" t="b">
        <v>0</v>
      </c>
      <c r="X1714" s="51" t="b">
        <v>0</v>
      </c>
      <c r="Y1714" s="51" t="b">
        <v>0</v>
      </c>
      <c r="Z1714" s="51" t="b">
        <v>0</v>
      </c>
      <c r="AA1714" s="68"/>
      <c r="AB1714" s="52"/>
      <c r="AC1714" s="52"/>
      <c r="AD1714" s="52"/>
      <c r="AE1714" s="56"/>
      <c r="AF1714" s="56"/>
    </row>
    <row r="1715">
      <c r="A1715" s="52" t="s">
        <v>5008</v>
      </c>
      <c r="B1715" s="52"/>
      <c r="C1715" s="52"/>
      <c r="D1715" s="65"/>
      <c r="E1715" s="65"/>
      <c r="F1715" s="65"/>
      <c r="G1715" s="65"/>
      <c r="H1715" s="52"/>
      <c r="I1715" s="52"/>
      <c r="J1715" s="52"/>
      <c r="K1715" s="52"/>
      <c r="L1715" s="52"/>
      <c r="M1715" s="52"/>
      <c r="N1715" s="52"/>
      <c r="O1715" s="52"/>
      <c r="P1715" s="52"/>
      <c r="Q1715" s="52"/>
      <c r="R1715" s="51" t="b">
        <v>0</v>
      </c>
      <c r="S1715" s="51"/>
      <c r="T1715" s="52"/>
      <c r="U1715" s="51" t="b">
        <v>0</v>
      </c>
      <c r="V1715" s="51" t="b">
        <v>0</v>
      </c>
      <c r="W1715" s="51" t="b">
        <v>0</v>
      </c>
      <c r="X1715" s="51" t="b">
        <v>0</v>
      </c>
      <c r="Y1715" s="51" t="b">
        <v>0</v>
      </c>
      <c r="Z1715" s="51" t="b">
        <v>0</v>
      </c>
      <c r="AA1715" s="68"/>
      <c r="AB1715" s="52"/>
      <c r="AC1715" s="52"/>
      <c r="AD1715" s="52"/>
      <c r="AE1715" s="56"/>
      <c r="AF1715" s="56"/>
    </row>
    <row r="1716">
      <c r="A1716" s="52" t="s">
        <v>5009</v>
      </c>
      <c r="B1716" s="52" t="s">
        <v>14</v>
      </c>
      <c r="C1716" s="52" t="s">
        <v>289</v>
      </c>
      <c r="D1716" s="65">
        <v>0.4476041666666668</v>
      </c>
      <c r="E1716" s="65">
        <v>2.314814814814815E-4</v>
      </c>
      <c r="F1716" s="65">
        <v>0.4478356481481483</v>
      </c>
      <c r="G1716" s="65"/>
      <c r="H1716" s="52" t="s">
        <v>81</v>
      </c>
      <c r="I1716" s="52" t="s">
        <v>81</v>
      </c>
      <c r="J1716" s="52" t="s">
        <v>105</v>
      </c>
      <c r="K1716" s="52"/>
      <c r="L1716" s="52"/>
      <c r="M1716" s="52"/>
      <c r="N1716" s="52"/>
      <c r="O1716" s="52"/>
      <c r="P1716" s="52"/>
      <c r="Q1716" s="52"/>
      <c r="R1716" s="51" t="b">
        <v>0</v>
      </c>
      <c r="S1716" s="51"/>
      <c r="T1716" s="52"/>
      <c r="U1716" s="51" t="b">
        <v>0</v>
      </c>
      <c r="V1716" s="51" t="b">
        <v>0</v>
      </c>
      <c r="W1716" s="51" t="b">
        <v>0</v>
      </c>
      <c r="X1716" s="51" t="b">
        <v>0</v>
      </c>
      <c r="Y1716" s="51" t="b">
        <v>0</v>
      </c>
      <c r="Z1716" s="51" t="b">
        <v>0</v>
      </c>
      <c r="AA1716" s="68"/>
      <c r="AB1716" s="52"/>
      <c r="AC1716" s="52"/>
      <c r="AD1716" s="52"/>
      <c r="AE1716" s="56"/>
      <c r="AF1716" s="56"/>
    </row>
    <row r="1717">
      <c r="A1717" s="52" t="s">
        <v>5010</v>
      </c>
      <c r="B1717" s="52" t="s">
        <v>14</v>
      </c>
      <c r="C1717" s="52" t="s">
        <v>289</v>
      </c>
      <c r="D1717" s="65">
        <v>0.4478356481481483</v>
      </c>
      <c r="E1717" s="65">
        <v>0.010416666666666666</v>
      </c>
      <c r="F1717" s="65">
        <v>0.458252314814815</v>
      </c>
      <c r="G1717" s="65" t="s">
        <v>358</v>
      </c>
      <c r="H1717" s="52" t="s">
        <v>94</v>
      </c>
      <c r="I1717" s="52" t="s">
        <v>359</v>
      </c>
      <c r="J1717" s="52" t="s">
        <v>360</v>
      </c>
      <c r="K1717" s="52"/>
      <c r="L1717" s="52"/>
      <c r="M1717" s="52"/>
      <c r="N1717" s="52" t="s">
        <v>361</v>
      </c>
      <c r="O1717" s="52"/>
      <c r="P1717" s="52"/>
      <c r="Q1717" s="52"/>
      <c r="R1717" s="51" t="b">
        <v>0</v>
      </c>
      <c r="S1717" s="51"/>
      <c r="T1717" s="52"/>
      <c r="U1717" s="51" t="b">
        <v>0</v>
      </c>
      <c r="V1717" s="51" t="b">
        <v>0</v>
      </c>
      <c r="W1717" s="51" t="b">
        <v>0</v>
      </c>
      <c r="X1717" s="51" t="b">
        <v>0</v>
      </c>
      <c r="Y1717" s="51" t="b">
        <v>0</v>
      </c>
      <c r="Z1717" s="51" t="b">
        <v>0</v>
      </c>
      <c r="AA1717" s="68"/>
      <c r="AB1717" s="52"/>
      <c r="AC1717" s="52"/>
      <c r="AD1717" s="52"/>
      <c r="AE1717" s="56" t="s">
        <v>5011</v>
      </c>
      <c r="AF1717" s="56" t="s">
        <v>847</v>
      </c>
    </row>
    <row r="1718">
      <c r="A1718" s="52" t="s">
        <v>5012</v>
      </c>
      <c r="B1718" s="52" t="s">
        <v>607</v>
      </c>
      <c r="C1718" s="52" t="s">
        <v>607</v>
      </c>
      <c r="D1718" s="65" t="s">
        <v>607</v>
      </c>
      <c r="E1718" s="65" t="s">
        <v>607</v>
      </c>
      <c r="F1718" s="65" t="s">
        <v>607</v>
      </c>
      <c r="G1718" s="65" t="s">
        <v>607</v>
      </c>
      <c r="H1718" s="52" t="s">
        <v>607</v>
      </c>
      <c r="I1718" s="52" t="s">
        <v>607</v>
      </c>
      <c r="J1718" s="52" t="s">
        <v>607</v>
      </c>
      <c r="K1718" s="52" t="s">
        <v>607</v>
      </c>
      <c r="L1718" s="52" t="s">
        <v>607</v>
      </c>
      <c r="M1718" s="52" t="s">
        <v>607</v>
      </c>
      <c r="N1718" s="52" t="s">
        <v>607</v>
      </c>
      <c r="O1718" s="52"/>
      <c r="P1718" s="52"/>
      <c r="Q1718" s="52"/>
      <c r="R1718" s="51" t="b">
        <v>0</v>
      </c>
      <c r="S1718" s="51"/>
      <c r="T1718" s="52"/>
      <c r="U1718" s="51" t="b">
        <v>0</v>
      </c>
      <c r="V1718" s="51" t="b">
        <v>0</v>
      </c>
      <c r="W1718" s="51" t="b">
        <v>0</v>
      </c>
      <c r="X1718" s="51" t="b">
        <v>0</v>
      </c>
      <c r="Y1718" s="51" t="b">
        <v>0</v>
      </c>
      <c r="Z1718" s="51" t="b">
        <v>0</v>
      </c>
      <c r="AA1718" s="68"/>
      <c r="AB1718" s="52"/>
      <c r="AC1718" s="52"/>
      <c r="AD1718" s="52"/>
      <c r="AE1718" s="56" t="s">
        <v>607</v>
      </c>
      <c r="AF1718" s="56" t="s">
        <v>607</v>
      </c>
    </row>
    <row r="1719">
      <c r="A1719" s="52" t="s">
        <v>5013</v>
      </c>
      <c r="B1719" s="52" t="s">
        <v>14</v>
      </c>
      <c r="C1719" s="52" t="s">
        <v>289</v>
      </c>
      <c r="D1719" s="65">
        <v>0.6911226851851842</v>
      </c>
      <c r="E1719" s="65">
        <v>0.0010416666666666667</v>
      </c>
      <c r="F1719" s="65">
        <v>0.6921643518518509</v>
      </c>
      <c r="G1719" s="65"/>
      <c r="H1719" s="52" t="s">
        <v>248</v>
      </c>
      <c r="I1719" s="52" t="s">
        <v>465</v>
      </c>
      <c r="J1719" s="52" t="s">
        <v>90</v>
      </c>
      <c r="K1719" s="52"/>
      <c r="L1719" s="52"/>
      <c r="M1719" s="52"/>
      <c r="N1719" s="52"/>
      <c r="O1719" s="52"/>
      <c r="P1719" s="52"/>
      <c r="Q1719" s="52"/>
      <c r="R1719" s="51" t="b">
        <v>0</v>
      </c>
      <c r="S1719" s="51"/>
      <c r="T1719" s="52"/>
      <c r="U1719" s="51" t="b">
        <v>0</v>
      </c>
      <c r="V1719" s="51" t="b">
        <v>0</v>
      </c>
      <c r="W1719" s="51" t="b">
        <v>0</v>
      </c>
      <c r="X1719" s="51" t="b">
        <v>0</v>
      </c>
      <c r="Y1719" s="51" t="b">
        <v>0</v>
      </c>
      <c r="Z1719" s="51" t="b">
        <v>0</v>
      </c>
      <c r="AA1719" s="68"/>
      <c r="AB1719" s="52"/>
      <c r="AC1719" s="52"/>
      <c r="AD1719" s="52"/>
      <c r="AE1719" s="56"/>
      <c r="AF1719" s="56"/>
    </row>
    <row r="1720">
      <c r="A1720" s="52" t="s">
        <v>5014</v>
      </c>
      <c r="B1720" s="52" t="s">
        <v>607</v>
      </c>
      <c r="C1720" s="52" t="s">
        <v>607</v>
      </c>
      <c r="D1720" s="65" t="s">
        <v>607</v>
      </c>
      <c r="E1720" s="65" t="s">
        <v>607</v>
      </c>
      <c r="F1720" s="65" t="s">
        <v>607</v>
      </c>
      <c r="G1720" s="65" t="s">
        <v>607</v>
      </c>
      <c r="H1720" s="52" t="s">
        <v>607</v>
      </c>
      <c r="I1720" s="52" t="s">
        <v>607</v>
      </c>
      <c r="J1720" s="52" t="s">
        <v>607</v>
      </c>
      <c r="K1720" s="52" t="s">
        <v>607</v>
      </c>
      <c r="L1720" s="52" t="s">
        <v>607</v>
      </c>
      <c r="M1720" s="52" t="s">
        <v>607</v>
      </c>
      <c r="N1720" s="52" t="s">
        <v>607</v>
      </c>
      <c r="O1720" s="52"/>
      <c r="P1720" s="52"/>
      <c r="Q1720" s="52"/>
      <c r="R1720" s="51" t="b">
        <v>0</v>
      </c>
      <c r="S1720" s="51"/>
      <c r="T1720" s="52"/>
      <c r="U1720" s="51" t="b">
        <v>0</v>
      </c>
      <c r="V1720" s="51" t="b">
        <v>0</v>
      </c>
      <c r="W1720" s="51" t="b">
        <v>0</v>
      </c>
      <c r="X1720" s="51" t="b">
        <v>0</v>
      </c>
      <c r="Y1720" s="51" t="b">
        <v>0</v>
      </c>
      <c r="Z1720" s="51" t="b">
        <v>0</v>
      </c>
      <c r="AA1720" s="68"/>
      <c r="AB1720" s="52"/>
      <c r="AC1720" s="52"/>
      <c r="AD1720" s="52"/>
      <c r="AE1720" s="56" t="s">
        <v>607</v>
      </c>
      <c r="AF1720" s="56" t="s">
        <v>607</v>
      </c>
    </row>
    <row r="1721">
      <c r="A1721" s="52" t="s">
        <v>5015</v>
      </c>
      <c r="B1721" s="52" t="s">
        <v>14</v>
      </c>
      <c r="C1721" s="52" t="s">
        <v>289</v>
      </c>
      <c r="D1721" s="65">
        <v>0.4473726851851853</v>
      </c>
      <c r="E1721" s="65">
        <v>2.314814814814815E-4</v>
      </c>
      <c r="F1721" s="65">
        <v>0.4476041666666668</v>
      </c>
      <c r="G1721" s="65"/>
      <c r="H1721" s="52" t="s">
        <v>81</v>
      </c>
      <c r="I1721" s="52" t="s">
        <v>91</v>
      </c>
      <c r="J1721" s="52" t="s">
        <v>73</v>
      </c>
      <c r="K1721" s="52" t="s">
        <v>105</v>
      </c>
      <c r="L1721" s="52"/>
      <c r="M1721" s="52"/>
      <c r="N1721" s="52" t="s">
        <v>70</v>
      </c>
      <c r="O1721" s="52"/>
      <c r="P1721" s="52"/>
      <c r="Q1721" s="52"/>
      <c r="R1721" s="51" t="b">
        <v>0</v>
      </c>
      <c r="S1721" s="51"/>
      <c r="T1721" s="52"/>
      <c r="U1721" s="51" t="b">
        <v>0</v>
      </c>
      <c r="V1721" s="51" t="b">
        <v>0</v>
      </c>
      <c r="W1721" s="51" t="b">
        <v>0</v>
      </c>
      <c r="X1721" s="51" t="b">
        <v>0</v>
      </c>
      <c r="Y1721" s="51" t="b">
        <v>0</v>
      </c>
      <c r="Z1721" s="51" t="b">
        <v>0</v>
      </c>
      <c r="AA1721" s="68"/>
      <c r="AB1721" s="52"/>
      <c r="AC1721" s="52"/>
      <c r="AD1721" s="52"/>
      <c r="AE1721" s="56"/>
      <c r="AF1721" s="56"/>
    </row>
    <row r="1722">
      <c r="A1722" s="52" t="s">
        <v>5016</v>
      </c>
      <c r="B1722" s="52" t="s">
        <v>19</v>
      </c>
      <c r="C1722" s="52" t="s">
        <v>221</v>
      </c>
      <c r="D1722" s="65">
        <v>0.45902777777777776</v>
      </c>
      <c r="E1722" s="65">
        <v>3.4722222222222224E-4</v>
      </c>
      <c r="F1722" s="65">
        <v>0.459375</v>
      </c>
      <c r="G1722" s="65" t="s">
        <v>358</v>
      </c>
      <c r="H1722" s="52" t="s">
        <v>81</v>
      </c>
      <c r="I1722" s="52" t="s">
        <v>81</v>
      </c>
      <c r="J1722" s="52"/>
      <c r="K1722" s="52"/>
      <c r="L1722" s="52"/>
      <c r="M1722" s="52"/>
      <c r="N1722" s="52" t="s">
        <v>70</v>
      </c>
      <c r="O1722" s="52"/>
      <c r="P1722" s="52"/>
      <c r="Q1722" s="52"/>
      <c r="R1722" s="51" t="b">
        <v>0</v>
      </c>
      <c r="S1722" s="51"/>
      <c r="T1722" s="52"/>
      <c r="U1722" s="51" t="b">
        <v>0</v>
      </c>
      <c r="V1722" s="51" t="b">
        <v>0</v>
      </c>
      <c r="W1722" s="51" t="b">
        <v>0</v>
      </c>
      <c r="X1722" s="51" t="b">
        <v>0</v>
      </c>
      <c r="Y1722" s="51" t="b">
        <v>0</v>
      </c>
      <c r="Z1722" s="51" t="b">
        <v>0</v>
      </c>
      <c r="AA1722" s="68"/>
      <c r="AB1722" s="52"/>
      <c r="AC1722" s="52"/>
      <c r="AD1722" s="52"/>
      <c r="AE1722" s="56"/>
      <c r="AF1722" s="56" t="s">
        <v>1944</v>
      </c>
    </row>
    <row r="1723">
      <c r="A1723" s="52" t="s">
        <v>5017</v>
      </c>
      <c r="B1723" s="52" t="s">
        <v>19</v>
      </c>
      <c r="C1723" s="52" t="s">
        <v>221</v>
      </c>
      <c r="D1723" s="65">
        <v>0.46618055555555554</v>
      </c>
      <c r="E1723" s="65">
        <v>0.0010416666666666667</v>
      </c>
      <c r="F1723" s="65">
        <v>0.4672222222222222</v>
      </c>
      <c r="G1723" s="65"/>
      <c r="H1723" s="52" t="s">
        <v>67</v>
      </c>
      <c r="I1723" s="52" t="s">
        <v>67</v>
      </c>
      <c r="J1723" s="52"/>
      <c r="K1723" s="52"/>
      <c r="L1723" s="52"/>
      <c r="M1723" s="52"/>
      <c r="N1723" s="52"/>
      <c r="O1723" s="52"/>
      <c r="P1723" s="52"/>
      <c r="Q1723" s="52"/>
      <c r="R1723" s="51" t="b">
        <v>0</v>
      </c>
      <c r="S1723" s="51"/>
      <c r="T1723" s="52"/>
      <c r="U1723" s="51" t="b">
        <v>0</v>
      </c>
      <c r="V1723" s="51" t="b">
        <v>0</v>
      </c>
      <c r="W1723" s="51" t="b">
        <v>0</v>
      </c>
      <c r="X1723" s="51" t="b">
        <v>0</v>
      </c>
      <c r="Y1723" s="51" t="b">
        <v>0</v>
      </c>
      <c r="Z1723" s="51" t="b">
        <v>0</v>
      </c>
      <c r="AA1723" s="68"/>
      <c r="AB1723" s="52"/>
      <c r="AC1723" s="52"/>
      <c r="AD1723" s="52"/>
      <c r="AE1723" s="56"/>
      <c r="AF1723" s="56" t="s">
        <v>1944</v>
      </c>
    </row>
    <row r="1724">
      <c r="A1724" s="52" t="s">
        <v>5018</v>
      </c>
      <c r="B1724" s="52" t="s">
        <v>19</v>
      </c>
      <c r="C1724" s="52" t="s">
        <v>221</v>
      </c>
      <c r="D1724" s="65">
        <v>0.4583333333333333</v>
      </c>
      <c r="E1724" s="65">
        <v>6.944444444444445E-4</v>
      </c>
      <c r="F1724" s="65">
        <v>0.45902777777777776</v>
      </c>
      <c r="G1724" s="65"/>
      <c r="H1724" s="52" t="s">
        <v>103</v>
      </c>
      <c r="I1724" s="52" t="s">
        <v>103</v>
      </c>
      <c r="J1724" s="52"/>
      <c r="K1724" s="52"/>
      <c r="L1724" s="52"/>
      <c r="M1724" s="52"/>
      <c r="N1724" s="52"/>
      <c r="O1724" s="52"/>
      <c r="P1724" s="52"/>
      <c r="Q1724" s="52"/>
      <c r="R1724" s="51" t="b">
        <v>0</v>
      </c>
      <c r="S1724" s="51"/>
      <c r="T1724" s="52"/>
      <c r="U1724" s="51" t="b">
        <v>0</v>
      </c>
      <c r="V1724" s="51" t="b">
        <v>0</v>
      </c>
      <c r="W1724" s="51" t="b">
        <v>0</v>
      </c>
      <c r="X1724" s="51" t="b">
        <v>0</v>
      </c>
      <c r="Y1724" s="51" t="b">
        <v>0</v>
      </c>
      <c r="Z1724" s="51" t="b">
        <v>0</v>
      </c>
      <c r="AA1724" s="68"/>
      <c r="AB1724" s="52"/>
      <c r="AC1724" s="52"/>
      <c r="AD1724" s="52"/>
      <c r="AE1724" s="56"/>
      <c r="AF1724" s="56" t="s">
        <v>1944</v>
      </c>
    </row>
    <row r="1725">
      <c r="A1725" s="52" t="s">
        <v>5019</v>
      </c>
      <c r="B1725" s="52" t="s">
        <v>19</v>
      </c>
      <c r="C1725" s="52" t="s">
        <v>66</v>
      </c>
      <c r="D1725" s="65">
        <v>0.5072916666666667</v>
      </c>
      <c r="E1725" s="65">
        <v>5.208333333333333E-4</v>
      </c>
      <c r="F1725" s="65">
        <v>0.5078125</v>
      </c>
      <c r="G1725" s="65"/>
      <c r="H1725" s="52" t="s">
        <v>79</v>
      </c>
      <c r="I1725" s="52" t="s">
        <v>79</v>
      </c>
      <c r="J1725" s="52"/>
      <c r="K1725" s="52"/>
      <c r="L1725" s="52"/>
      <c r="M1725" s="52"/>
      <c r="N1725" s="52"/>
      <c r="O1725" s="52"/>
      <c r="P1725" s="52"/>
      <c r="Q1725" s="52"/>
      <c r="R1725" s="51" t="b">
        <v>0</v>
      </c>
      <c r="S1725" s="51"/>
      <c r="T1725" s="52"/>
      <c r="U1725" s="51" t="b">
        <v>0</v>
      </c>
      <c r="V1725" s="51" t="b">
        <v>0</v>
      </c>
      <c r="W1725" s="51" t="b">
        <v>0</v>
      </c>
      <c r="X1725" s="51" t="b">
        <v>0</v>
      </c>
      <c r="Y1725" s="51" t="b">
        <v>0</v>
      </c>
      <c r="Z1725" s="51" t="b">
        <v>0</v>
      </c>
      <c r="AA1725" s="68"/>
      <c r="AB1725" s="52"/>
      <c r="AC1725" s="52"/>
      <c r="AD1725" s="52"/>
      <c r="AE1725" s="56"/>
      <c r="AF1725" s="56" t="s">
        <v>1944</v>
      </c>
    </row>
    <row r="1726">
      <c r="A1726" s="52" t="s">
        <v>5020</v>
      </c>
      <c r="B1726" s="52" t="s">
        <v>19</v>
      </c>
      <c r="C1726" s="52" t="s">
        <v>66</v>
      </c>
      <c r="D1726" s="65">
        <v>0.4892476851851853</v>
      </c>
      <c r="E1726" s="65">
        <v>0.0010416666666666667</v>
      </c>
      <c r="F1726" s="65">
        <v>0.49028935185185196</v>
      </c>
      <c r="G1726" s="65"/>
      <c r="H1726" s="52" t="s">
        <v>67</v>
      </c>
      <c r="I1726" s="52" t="s">
        <v>67</v>
      </c>
      <c r="J1726" s="52"/>
      <c r="K1726" s="52"/>
      <c r="L1726" s="52"/>
      <c r="M1726" s="52"/>
      <c r="N1726" s="52"/>
      <c r="O1726" s="52"/>
      <c r="P1726" s="52"/>
      <c r="Q1726" s="52"/>
      <c r="R1726" s="51" t="b">
        <v>0</v>
      </c>
      <c r="S1726" s="51"/>
      <c r="T1726" s="52"/>
      <c r="U1726" s="51" t="b">
        <v>0</v>
      </c>
      <c r="V1726" s="51" t="b">
        <v>0</v>
      </c>
      <c r="W1726" s="51" t="b">
        <v>0</v>
      </c>
      <c r="X1726" s="51" t="b">
        <v>0</v>
      </c>
      <c r="Y1726" s="51" t="b">
        <v>0</v>
      </c>
      <c r="Z1726" s="51" t="b">
        <v>0</v>
      </c>
      <c r="AA1726" s="68"/>
      <c r="AB1726" s="52"/>
      <c r="AC1726" s="52"/>
      <c r="AD1726" s="52"/>
      <c r="AE1726" s="56"/>
      <c r="AF1726" s="56" t="s">
        <v>1944</v>
      </c>
    </row>
    <row r="1727">
      <c r="A1727" s="52" t="s">
        <v>5021</v>
      </c>
      <c r="B1727" s="52" t="s">
        <v>14</v>
      </c>
      <c r="C1727" s="52" t="s">
        <v>221</v>
      </c>
      <c r="D1727" s="65">
        <v>0.50150462962963</v>
      </c>
      <c r="E1727" s="65">
        <v>6.944444444444445E-4</v>
      </c>
      <c r="F1727" s="65">
        <v>0.5021990740740745</v>
      </c>
      <c r="G1727" s="65"/>
      <c r="H1727" s="52" t="s">
        <v>103</v>
      </c>
      <c r="I1727" s="52" t="s">
        <v>256</v>
      </c>
      <c r="J1727" s="52" t="s">
        <v>128</v>
      </c>
      <c r="K1727" s="52"/>
      <c r="L1727" s="52"/>
      <c r="M1727" s="52"/>
      <c r="N1727" s="52"/>
      <c r="O1727" s="52"/>
      <c r="P1727" s="52"/>
      <c r="Q1727" s="52"/>
      <c r="R1727" s="51" t="b">
        <v>0</v>
      </c>
      <c r="S1727" s="51"/>
      <c r="T1727" s="52"/>
      <c r="U1727" s="51" t="b">
        <v>0</v>
      </c>
      <c r="V1727" s="51" t="b">
        <v>0</v>
      </c>
      <c r="W1727" s="51" t="b">
        <v>0</v>
      </c>
      <c r="X1727" s="51" t="b">
        <v>0</v>
      </c>
      <c r="Y1727" s="51" t="b">
        <v>0</v>
      </c>
      <c r="Z1727" s="51" t="b">
        <v>0</v>
      </c>
      <c r="AA1727" s="68"/>
      <c r="AB1727" s="52"/>
      <c r="AC1727" s="52"/>
      <c r="AD1727" s="52"/>
      <c r="AE1727" s="56"/>
      <c r="AF1727" s="56"/>
    </row>
    <row r="1728">
      <c r="A1728" s="52" t="s">
        <v>5022</v>
      </c>
      <c r="B1728" s="52" t="s">
        <v>607</v>
      </c>
      <c r="C1728" s="52" t="s">
        <v>607</v>
      </c>
      <c r="D1728" s="65" t="s">
        <v>607</v>
      </c>
      <c r="E1728" s="65" t="s">
        <v>607</v>
      </c>
      <c r="F1728" s="65" t="s">
        <v>607</v>
      </c>
      <c r="G1728" s="65" t="s">
        <v>607</v>
      </c>
      <c r="H1728" s="52" t="s">
        <v>607</v>
      </c>
      <c r="I1728" s="52" t="s">
        <v>607</v>
      </c>
      <c r="J1728" s="52" t="s">
        <v>607</v>
      </c>
      <c r="K1728" s="52" t="s">
        <v>607</v>
      </c>
      <c r="L1728" s="52" t="s">
        <v>607</v>
      </c>
      <c r="M1728" s="52" t="s">
        <v>607</v>
      </c>
      <c r="N1728" s="52" t="s">
        <v>607</v>
      </c>
      <c r="O1728" s="52"/>
      <c r="P1728" s="52"/>
      <c r="Q1728" s="52"/>
      <c r="R1728" s="51" t="b">
        <v>0</v>
      </c>
      <c r="S1728" s="51"/>
      <c r="T1728" s="52"/>
      <c r="U1728" s="51" t="b">
        <v>0</v>
      </c>
      <c r="V1728" s="51" t="b">
        <v>0</v>
      </c>
      <c r="W1728" s="51" t="b">
        <v>0</v>
      </c>
      <c r="X1728" s="51" t="b">
        <v>0</v>
      </c>
      <c r="Y1728" s="51" t="b">
        <v>0</v>
      </c>
      <c r="Z1728" s="51" t="b">
        <v>0</v>
      </c>
      <c r="AA1728" s="68"/>
      <c r="AB1728" s="52"/>
      <c r="AC1728" s="52"/>
      <c r="AD1728" s="52"/>
      <c r="AE1728" s="56" t="s">
        <v>607</v>
      </c>
      <c r="AF1728" s="56" t="s">
        <v>607</v>
      </c>
    </row>
    <row r="1729">
      <c r="A1729" s="52" t="s">
        <v>5023</v>
      </c>
      <c r="B1729" s="52" t="s">
        <v>607</v>
      </c>
      <c r="C1729" s="52" t="s">
        <v>607</v>
      </c>
      <c r="D1729" s="65" t="s">
        <v>607</v>
      </c>
      <c r="E1729" s="65" t="s">
        <v>607</v>
      </c>
      <c r="F1729" s="65" t="s">
        <v>607</v>
      </c>
      <c r="G1729" s="65" t="s">
        <v>607</v>
      </c>
      <c r="H1729" s="52" t="s">
        <v>607</v>
      </c>
      <c r="I1729" s="52" t="s">
        <v>607</v>
      </c>
      <c r="J1729" s="52" t="s">
        <v>607</v>
      </c>
      <c r="K1729" s="52" t="s">
        <v>607</v>
      </c>
      <c r="L1729" s="52" t="s">
        <v>607</v>
      </c>
      <c r="M1729" s="52" t="s">
        <v>607</v>
      </c>
      <c r="N1729" s="52" t="s">
        <v>607</v>
      </c>
      <c r="O1729" s="52"/>
      <c r="P1729" s="52"/>
      <c r="Q1729" s="52"/>
      <c r="R1729" s="51" t="b">
        <v>0</v>
      </c>
      <c r="S1729" s="51"/>
      <c r="T1729" s="52"/>
      <c r="U1729" s="51" t="b">
        <v>0</v>
      </c>
      <c r="V1729" s="51" t="b">
        <v>0</v>
      </c>
      <c r="W1729" s="51" t="b">
        <v>0</v>
      </c>
      <c r="X1729" s="51" t="b">
        <v>0</v>
      </c>
      <c r="Y1729" s="51" t="b">
        <v>0</v>
      </c>
      <c r="Z1729" s="51" t="b">
        <v>0</v>
      </c>
      <c r="AA1729" s="68"/>
      <c r="AB1729" s="52"/>
      <c r="AC1729" s="52"/>
      <c r="AD1729" s="52"/>
      <c r="AE1729" s="56" t="s">
        <v>607</v>
      </c>
      <c r="AF1729" s="56" t="s">
        <v>607</v>
      </c>
    </row>
    <row r="1730">
      <c r="A1730" s="52" t="s">
        <v>5024</v>
      </c>
      <c r="B1730" s="52" t="s">
        <v>607</v>
      </c>
      <c r="C1730" s="52" t="s">
        <v>607</v>
      </c>
      <c r="D1730" s="65" t="s">
        <v>607</v>
      </c>
      <c r="E1730" s="65" t="s">
        <v>607</v>
      </c>
      <c r="F1730" s="65" t="s">
        <v>607</v>
      </c>
      <c r="G1730" s="65" t="s">
        <v>607</v>
      </c>
      <c r="H1730" s="52" t="s">
        <v>607</v>
      </c>
      <c r="I1730" s="52" t="s">
        <v>607</v>
      </c>
      <c r="J1730" s="52" t="s">
        <v>607</v>
      </c>
      <c r="K1730" s="52" t="s">
        <v>607</v>
      </c>
      <c r="L1730" s="52" t="s">
        <v>607</v>
      </c>
      <c r="M1730" s="52" t="s">
        <v>607</v>
      </c>
      <c r="N1730" s="52" t="s">
        <v>607</v>
      </c>
      <c r="O1730" s="52"/>
      <c r="P1730" s="52"/>
      <c r="Q1730" s="52"/>
      <c r="R1730" s="51" t="b">
        <v>0</v>
      </c>
      <c r="S1730" s="51"/>
      <c r="T1730" s="52"/>
      <c r="U1730" s="51" t="b">
        <v>0</v>
      </c>
      <c r="V1730" s="51" t="b">
        <v>0</v>
      </c>
      <c r="W1730" s="51" t="b">
        <v>0</v>
      </c>
      <c r="X1730" s="51" t="b">
        <v>0</v>
      </c>
      <c r="Y1730" s="51" t="b">
        <v>0</v>
      </c>
      <c r="Z1730" s="51" t="b">
        <v>0</v>
      </c>
      <c r="AA1730" s="68"/>
      <c r="AB1730" s="52"/>
      <c r="AC1730" s="52"/>
      <c r="AD1730" s="52"/>
      <c r="AE1730" s="56" t="s">
        <v>607</v>
      </c>
      <c r="AF1730" s="56" t="s">
        <v>607</v>
      </c>
    </row>
    <row r="1731">
      <c r="A1731" s="52" t="s">
        <v>5025</v>
      </c>
      <c r="B1731" s="52" t="s">
        <v>607</v>
      </c>
      <c r="C1731" s="52" t="s">
        <v>607</v>
      </c>
      <c r="D1731" s="65" t="s">
        <v>607</v>
      </c>
      <c r="E1731" s="65" t="s">
        <v>607</v>
      </c>
      <c r="F1731" s="65" t="s">
        <v>607</v>
      </c>
      <c r="G1731" s="65" t="s">
        <v>607</v>
      </c>
      <c r="H1731" s="52" t="s">
        <v>607</v>
      </c>
      <c r="I1731" s="52" t="s">
        <v>607</v>
      </c>
      <c r="J1731" s="52" t="s">
        <v>607</v>
      </c>
      <c r="K1731" s="52" t="s">
        <v>607</v>
      </c>
      <c r="L1731" s="52" t="s">
        <v>607</v>
      </c>
      <c r="M1731" s="52" t="s">
        <v>607</v>
      </c>
      <c r="N1731" s="52" t="s">
        <v>607</v>
      </c>
      <c r="O1731" s="52"/>
      <c r="P1731" s="52"/>
      <c r="Q1731" s="52"/>
      <c r="R1731" s="51" t="b">
        <v>0</v>
      </c>
      <c r="S1731" s="51"/>
      <c r="T1731" s="52"/>
      <c r="U1731" s="51" t="b">
        <v>0</v>
      </c>
      <c r="V1731" s="51" t="b">
        <v>0</v>
      </c>
      <c r="W1731" s="51" t="b">
        <v>0</v>
      </c>
      <c r="X1731" s="51" t="b">
        <v>0</v>
      </c>
      <c r="Y1731" s="51" t="b">
        <v>0</v>
      </c>
      <c r="Z1731" s="51" t="b">
        <v>0</v>
      </c>
      <c r="AA1731" s="68"/>
      <c r="AB1731" s="52"/>
      <c r="AC1731" s="52"/>
      <c r="AD1731" s="52"/>
      <c r="AE1731" s="56" t="s">
        <v>607</v>
      </c>
      <c r="AF1731" s="56" t="s">
        <v>607</v>
      </c>
    </row>
    <row r="1732">
      <c r="A1732" s="52" t="s">
        <v>5026</v>
      </c>
      <c r="B1732" s="52" t="s">
        <v>607</v>
      </c>
      <c r="C1732" s="52" t="s">
        <v>607</v>
      </c>
      <c r="D1732" s="65" t="s">
        <v>607</v>
      </c>
      <c r="E1732" s="65" t="s">
        <v>607</v>
      </c>
      <c r="F1732" s="65" t="s">
        <v>607</v>
      </c>
      <c r="G1732" s="65" t="s">
        <v>607</v>
      </c>
      <c r="H1732" s="52" t="s">
        <v>607</v>
      </c>
      <c r="I1732" s="52" t="s">
        <v>607</v>
      </c>
      <c r="J1732" s="52" t="s">
        <v>607</v>
      </c>
      <c r="K1732" s="52" t="s">
        <v>607</v>
      </c>
      <c r="L1732" s="52" t="s">
        <v>607</v>
      </c>
      <c r="M1732" s="52" t="s">
        <v>607</v>
      </c>
      <c r="N1732" s="52" t="s">
        <v>607</v>
      </c>
      <c r="O1732" s="52"/>
      <c r="P1732" s="52"/>
      <c r="Q1732" s="52"/>
      <c r="R1732" s="51" t="b">
        <v>0</v>
      </c>
      <c r="S1732" s="51"/>
      <c r="T1732" s="52"/>
      <c r="U1732" s="51" t="b">
        <v>0</v>
      </c>
      <c r="V1732" s="51" t="b">
        <v>0</v>
      </c>
      <c r="W1732" s="51" t="b">
        <v>0</v>
      </c>
      <c r="X1732" s="51" t="b">
        <v>0</v>
      </c>
      <c r="Y1732" s="51" t="b">
        <v>0</v>
      </c>
      <c r="Z1732" s="51" t="b">
        <v>0</v>
      </c>
      <c r="AA1732" s="68"/>
      <c r="AB1732" s="52"/>
      <c r="AC1732" s="52"/>
      <c r="AD1732" s="52"/>
      <c r="AE1732" s="56" t="s">
        <v>607</v>
      </c>
      <c r="AF1732" s="56" t="s">
        <v>607</v>
      </c>
    </row>
    <row r="1733">
      <c r="A1733" s="52" t="s">
        <v>5027</v>
      </c>
      <c r="B1733" s="52"/>
      <c r="C1733" s="52"/>
      <c r="D1733" s="65"/>
      <c r="E1733" s="65"/>
      <c r="F1733" s="65"/>
      <c r="G1733" s="65"/>
      <c r="H1733" s="52"/>
      <c r="I1733" s="52"/>
      <c r="J1733" s="52"/>
      <c r="K1733" s="52"/>
      <c r="L1733" s="52"/>
      <c r="M1733" s="52"/>
      <c r="N1733" s="52" t="s">
        <v>70</v>
      </c>
      <c r="O1733" s="52"/>
      <c r="P1733" s="52"/>
      <c r="Q1733" s="52"/>
      <c r="R1733" s="51" t="b">
        <v>0</v>
      </c>
      <c r="S1733" s="51"/>
      <c r="T1733" s="52"/>
      <c r="U1733" s="51" t="b">
        <v>0</v>
      </c>
      <c r="V1733" s="51" t="b">
        <v>0</v>
      </c>
      <c r="W1733" s="51" t="b">
        <v>0</v>
      </c>
      <c r="X1733" s="51" t="b">
        <v>0</v>
      </c>
      <c r="Y1733" s="51" t="b">
        <v>0</v>
      </c>
      <c r="Z1733" s="51" t="b">
        <v>0</v>
      </c>
      <c r="AA1733" s="68"/>
      <c r="AB1733" s="52"/>
      <c r="AC1733" s="52"/>
      <c r="AD1733" s="52"/>
      <c r="AE1733" s="56"/>
      <c r="AF1733" s="56"/>
    </row>
    <row r="1734">
      <c r="A1734" s="52" t="s">
        <v>5028</v>
      </c>
      <c r="B1734" s="52"/>
      <c r="C1734" s="52"/>
      <c r="D1734" s="65"/>
      <c r="E1734" s="65"/>
      <c r="F1734" s="65"/>
      <c r="G1734" s="65"/>
      <c r="H1734" s="52"/>
      <c r="I1734" s="52"/>
      <c r="J1734" s="52"/>
      <c r="K1734" s="52"/>
      <c r="L1734" s="52"/>
      <c r="M1734" s="52"/>
      <c r="N1734" s="52" t="s">
        <v>70</v>
      </c>
      <c r="O1734" s="52"/>
      <c r="P1734" s="52"/>
      <c r="Q1734" s="52"/>
      <c r="R1734" s="51" t="b">
        <v>0</v>
      </c>
      <c r="S1734" s="51"/>
      <c r="T1734" s="52"/>
      <c r="U1734" s="51" t="b">
        <v>0</v>
      </c>
      <c r="V1734" s="51" t="b">
        <v>0</v>
      </c>
      <c r="W1734" s="51" t="b">
        <v>0</v>
      </c>
      <c r="X1734" s="51" t="b">
        <v>0</v>
      </c>
      <c r="Y1734" s="51" t="b">
        <v>0</v>
      </c>
      <c r="Z1734" s="51" t="b">
        <v>0</v>
      </c>
      <c r="AA1734" s="68"/>
      <c r="AB1734" s="52"/>
      <c r="AC1734" s="52"/>
      <c r="AD1734" s="52"/>
      <c r="AE1734" s="56"/>
      <c r="AF1734" s="56"/>
    </row>
    <row r="1735">
      <c r="A1735" s="52" t="s">
        <v>5029</v>
      </c>
      <c r="B1735" s="52"/>
      <c r="C1735" s="52"/>
      <c r="D1735" s="65"/>
      <c r="E1735" s="65"/>
      <c r="F1735" s="65"/>
      <c r="G1735" s="65"/>
      <c r="H1735" s="52"/>
      <c r="I1735" s="52"/>
      <c r="J1735" s="52"/>
      <c r="K1735" s="52"/>
      <c r="L1735" s="52"/>
      <c r="M1735" s="52"/>
      <c r="N1735" s="52" t="s">
        <v>70</v>
      </c>
      <c r="O1735" s="52"/>
      <c r="P1735" s="52"/>
      <c r="Q1735" s="52"/>
      <c r="R1735" s="51" t="b">
        <v>0</v>
      </c>
      <c r="S1735" s="51"/>
      <c r="T1735" s="52"/>
      <c r="U1735" s="51" t="b">
        <v>0</v>
      </c>
      <c r="V1735" s="51" t="b">
        <v>0</v>
      </c>
      <c r="W1735" s="51" t="b">
        <v>0</v>
      </c>
      <c r="X1735" s="51" t="b">
        <v>0</v>
      </c>
      <c r="Y1735" s="51" t="b">
        <v>0</v>
      </c>
      <c r="Z1735" s="51" t="b">
        <v>0</v>
      </c>
      <c r="AA1735" s="68"/>
      <c r="AB1735" s="52"/>
      <c r="AC1735" s="52"/>
      <c r="AD1735" s="52"/>
      <c r="AE1735" s="56"/>
      <c r="AF1735" s="56"/>
    </row>
    <row r="1736">
      <c r="A1736" s="52" t="s">
        <v>5030</v>
      </c>
      <c r="B1736" s="52"/>
      <c r="C1736" s="52"/>
      <c r="D1736" s="65"/>
      <c r="E1736" s="65"/>
      <c r="F1736" s="65"/>
      <c r="G1736" s="65"/>
      <c r="H1736" s="52"/>
      <c r="I1736" s="52"/>
      <c r="J1736" s="52"/>
      <c r="K1736" s="52"/>
      <c r="L1736" s="52"/>
      <c r="M1736" s="52"/>
      <c r="N1736" s="52" t="s">
        <v>70</v>
      </c>
      <c r="O1736" s="52"/>
      <c r="P1736" s="52"/>
      <c r="Q1736" s="52"/>
      <c r="R1736" s="51" t="b">
        <v>0</v>
      </c>
      <c r="S1736" s="51"/>
      <c r="T1736" s="52"/>
      <c r="U1736" s="51" t="b">
        <v>0</v>
      </c>
      <c r="V1736" s="51" t="b">
        <v>0</v>
      </c>
      <c r="W1736" s="51" t="b">
        <v>0</v>
      </c>
      <c r="X1736" s="51" t="b">
        <v>0</v>
      </c>
      <c r="Y1736" s="51" t="b">
        <v>0</v>
      </c>
      <c r="Z1736" s="51" t="b">
        <v>0</v>
      </c>
      <c r="AA1736" s="68"/>
      <c r="AB1736" s="52"/>
      <c r="AC1736" s="52"/>
      <c r="AD1736" s="52"/>
      <c r="AE1736" s="56"/>
      <c r="AF1736" s="56"/>
    </row>
    <row r="1737">
      <c r="A1737" s="52" t="s">
        <v>5031</v>
      </c>
      <c r="B1737" s="52"/>
      <c r="C1737" s="52"/>
      <c r="D1737" s="65"/>
      <c r="E1737" s="65"/>
      <c r="F1737" s="65"/>
      <c r="G1737" s="65"/>
      <c r="H1737" s="52"/>
      <c r="I1737" s="52"/>
      <c r="J1737" s="52"/>
      <c r="K1737" s="52"/>
      <c r="L1737" s="52"/>
      <c r="M1737" s="52"/>
      <c r="N1737" s="52" t="s">
        <v>70</v>
      </c>
      <c r="O1737" s="52"/>
      <c r="P1737" s="52"/>
      <c r="Q1737" s="52"/>
      <c r="R1737" s="51" t="b">
        <v>0</v>
      </c>
      <c r="S1737" s="51"/>
      <c r="T1737" s="52"/>
      <c r="U1737" s="51" t="b">
        <v>0</v>
      </c>
      <c r="V1737" s="51" t="b">
        <v>0</v>
      </c>
      <c r="W1737" s="51" t="b">
        <v>0</v>
      </c>
      <c r="X1737" s="51" t="b">
        <v>0</v>
      </c>
      <c r="Y1737" s="51" t="b">
        <v>0</v>
      </c>
      <c r="Z1737" s="51" t="b">
        <v>0</v>
      </c>
      <c r="AA1737" s="68"/>
      <c r="AB1737" s="52"/>
      <c r="AC1737" s="52"/>
      <c r="AD1737" s="52"/>
      <c r="AE1737" s="56"/>
      <c r="AF1737" s="56"/>
    </row>
    <row r="1738">
      <c r="A1738" s="52" t="s">
        <v>5032</v>
      </c>
      <c r="B1738" s="52"/>
      <c r="C1738" s="52"/>
      <c r="D1738" s="65"/>
      <c r="E1738" s="65"/>
      <c r="F1738" s="65"/>
      <c r="G1738" s="65"/>
      <c r="H1738" s="52"/>
      <c r="I1738" s="52"/>
      <c r="J1738" s="52"/>
      <c r="K1738" s="52"/>
      <c r="L1738" s="52"/>
      <c r="M1738" s="52"/>
      <c r="N1738" s="52" t="s">
        <v>70</v>
      </c>
      <c r="O1738" s="52"/>
      <c r="P1738" s="52"/>
      <c r="Q1738" s="52"/>
      <c r="R1738" s="51" t="b">
        <v>0</v>
      </c>
      <c r="S1738" s="51"/>
      <c r="T1738" s="52"/>
      <c r="U1738" s="51" t="b">
        <v>0</v>
      </c>
      <c r="V1738" s="51" t="b">
        <v>0</v>
      </c>
      <c r="W1738" s="51" t="b">
        <v>0</v>
      </c>
      <c r="X1738" s="51" t="b">
        <v>0</v>
      </c>
      <c r="Y1738" s="51" t="b">
        <v>0</v>
      </c>
      <c r="Z1738" s="51" t="b">
        <v>0</v>
      </c>
      <c r="AA1738" s="68"/>
      <c r="AB1738" s="52"/>
      <c r="AC1738" s="52"/>
      <c r="AD1738" s="52"/>
      <c r="AE1738" s="56"/>
      <c r="AF1738" s="56"/>
    </row>
    <row r="1739">
      <c r="A1739" s="52" t="s">
        <v>5033</v>
      </c>
      <c r="B1739" s="52"/>
      <c r="C1739" s="52"/>
      <c r="D1739" s="65"/>
      <c r="E1739" s="65"/>
      <c r="F1739" s="65"/>
      <c r="G1739" s="65"/>
      <c r="H1739" s="52"/>
      <c r="I1739" s="52"/>
      <c r="J1739" s="52"/>
      <c r="K1739" s="52"/>
      <c r="L1739" s="52"/>
      <c r="M1739" s="52"/>
      <c r="N1739" s="52" t="s">
        <v>70</v>
      </c>
      <c r="O1739" s="52"/>
      <c r="P1739" s="52"/>
      <c r="Q1739" s="52"/>
      <c r="R1739" s="51" t="b">
        <v>0</v>
      </c>
      <c r="S1739" s="51"/>
      <c r="T1739" s="52"/>
      <c r="U1739" s="51" t="b">
        <v>0</v>
      </c>
      <c r="V1739" s="51" t="b">
        <v>0</v>
      </c>
      <c r="W1739" s="51" t="b">
        <v>0</v>
      </c>
      <c r="X1739" s="51" t="b">
        <v>0</v>
      </c>
      <c r="Y1739" s="51" t="b">
        <v>0</v>
      </c>
      <c r="Z1739" s="51" t="b">
        <v>0</v>
      </c>
      <c r="AA1739" s="68"/>
      <c r="AB1739" s="52"/>
      <c r="AC1739" s="52"/>
      <c r="AD1739" s="52"/>
      <c r="AE1739" s="56"/>
      <c r="AF1739" s="56"/>
    </row>
    <row r="1740">
      <c r="A1740" s="52" t="s">
        <v>5034</v>
      </c>
      <c r="B1740" s="52"/>
      <c r="C1740" s="52"/>
      <c r="D1740" s="65"/>
      <c r="E1740" s="65"/>
      <c r="F1740" s="65"/>
      <c r="G1740" s="65"/>
      <c r="H1740" s="52"/>
      <c r="I1740" s="52"/>
      <c r="J1740" s="52"/>
      <c r="K1740" s="52"/>
      <c r="L1740" s="52"/>
      <c r="M1740" s="52"/>
      <c r="N1740" s="52" t="s">
        <v>70</v>
      </c>
      <c r="O1740" s="52"/>
      <c r="P1740" s="52"/>
      <c r="Q1740" s="52"/>
      <c r="R1740" s="51" t="b">
        <v>0</v>
      </c>
      <c r="S1740" s="51"/>
      <c r="T1740" s="52"/>
      <c r="U1740" s="51" t="b">
        <v>0</v>
      </c>
      <c r="V1740" s="51" t="b">
        <v>0</v>
      </c>
      <c r="W1740" s="51" t="b">
        <v>0</v>
      </c>
      <c r="X1740" s="51" t="b">
        <v>0</v>
      </c>
      <c r="Y1740" s="51" t="b">
        <v>0</v>
      </c>
      <c r="Z1740" s="51" t="b">
        <v>0</v>
      </c>
      <c r="AA1740" s="68"/>
      <c r="AB1740" s="52"/>
      <c r="AC1740" s="52"/>
      <c r="AD1740" s="52"/>
      <c r="AE1740" s="56"/>
      <c r="AF1740" s="56"/>
    </row>
    <row r="1741">
      <c r="A1741" s="52" t="s">
        <v>5035</v>
      </c>
      <c r="B1741" s="52"/>
      <c r="C1741" s="52"/>
      <c r="D1741" s="65"/>
      <c r="E1741" s="65"/>
      <c r="F1741" s="65"/>
      <c r="G1741" s="65"/>
      <c r="H1741" s="52"/>
      <c r="I1741" s="52"/>
      <c r="J1741" s="52"/>
      <c r="K1741" s="52"/>
      <c r="L1741" s="52"/>
      <c r="M1741" s="52"/>
      <c r="N1741" s="52" t="s">
        <v>70</v>
      </c>
      <c r="O1741" s="52"/>
      <c r="P1741" s="52"/>
      <c r="Q1741" s="52"/>
      <c r="R1741" s="51" t="b">
        <v>0</v>
      </c>
      <c r="S1741" s="51"/>
      <c r="T1741" s="52"/>
      <c r="U1741" s="51" t="b">
        <v>0</v>
      </c>
      <c r="V1741" s="51" t="b">
        <v>0</v>
      </c>
      <c r="W1741" s="51" t="b">
        <v>0</v>
      </c>
      <c r="X1741" s="51" t="b">
        <v>0</v>
      </c>
      <c r="Y1741" s="51" t="b">
        <v>0</v>
      </c>
      <c r="Z1741" s="51" t="b">
        <v>0</v>
      </c>
      <c r="AA1741" s="68"/>
      <c r="AB1741" s="52"/>
      <c r="AC1741" s="52"/>
      <c r="AD1741" s="52"/>
      <c r="AE1741" s="56"/>
      <c r="AF1741" s="56"/>
    </row>
    <row r="1742">
      <c r="A1742" s="52" t="s">
        <v>5036</v>
      </c>
      <c r="B1742" s="52"/>
      <c r="C1742" s="52"/>
      <c r="D1742" s="65"/>
      <c r="E1742" s="65"/>
      <c r="F1742" s="65"/>
      <c r="G1742" s="65"/>
      <c r="H1742" s="52"/>
      <c r="I1742" s="52"/>
      <c r="J1742" s="52"/>
      <c r="K1742" s="52"/>
      <c r="L1742" s="52"/>
      <c r="M1742" s="52"/>
      <c r="N1742" s="52" t="s">
        <v>70</v>
      </c>
      <c r="O1742" s="52"/>
      <c r="P1742" s="52"/>
      <c r="Q1742" s="52"/>
      <c r="R1742" s="51" t="b">
        <v>0</v>
      </c>
      <c r="S1742" s="51"/>
      <c r="T1742" s="52"/>
      <c r="U1742" s="51" t="b">
        <v>0</v>
      </c>
      <c r="V1742" s="51" t="b">
        <v>0</v>
      </c>
      <c r="W1742" s="51" t="b">
        <v>0</v>
      </c>
      <c r="X1742" s="51" t="b">
        <v>0</v>
      </c>
      <c r="Y1742" s="51" t="b">
        <v>0</v>
      </c>
      <c r="Z1742" s="51" t="b">
        <v>0</v>
      </c>
      <c r="AA1742" s="68"/>
      <c r="AB1742" s="52"/>
      <c r="AC1742" s="52"/>
      <c r="AD1742" s="52"/>
      <c r="AE1742" s="56"/>
      <c r="AF1742" s="56"/>
    </row>
    <row r="1743">
      <c r="A1743" s="52" t="s">
        <v>5037</v>
      </c>
      <c r="B1743" s="52"/>
      <c r="C1743" s="52"/>
      <c r="D1743" s="65"/>
      <c r="E1743" s="65"/>
      <c r="F1743" s="65"/>
      <c r="G1743" s="65"/>
      <c r="H1743" s="52"/>
      <c r="I1743" s="52"/>
      <c r="J1743" s="52"/>
      <c r="K1743" s="52"/>
      <c r="L1743" s="52"/>
      <c r="M1743" s="52"/>
      <c r="N1743" s="52" t="s">
        <v>70</v>
      </c>
      <c r="O1743" s="52"/>
      <c r="P1743" s="52"/>
      <c r="Q1743" s="52"/>
      <c r="R1743" s="51" t="b">
        <v>0</v>
      </c>
      <c r="S1743" s="51"/>
      <c r="T1743" s="52"/>
      <c r="U1743" s="51" t="b">
        <v>0</v>
      </c>
      <c r="V1743" s="51" t="b">
        <v>0</v>
      </c>
      <c r="W1743" s="51" t="b">
        <v>0</v>
      </c>
      <c r="X1743" s="51" t="b">
        <v>0</v>
      </c>
      <c r="Y1743" s="51" t="b">
        <v>0</v>
      </c>
      <c r="Z1743" s="51" t="b">
        <v>0</v>
      </c>
      <c r="AA1743" s="68"/>
      <c r="AB1743" s="52"/>
      <c r="AC1743" s="52"/>
      <c r="AD1743" s="52"/>
      <c r="AE1743" s="56"/>
      <c r="AF1743" s="56"/>
    </row>
    <row r="1744">
      <c r="A1744" s="52" t="s">
        <v>5038</v>
      </c>
      <c r="B1744" s="52"/>
      <c r="C1744" s="52"/>
      <c r="D1744" s="65"/>
      <c r="E1744" s="65"/>
      <c r="F1744" s="65"/>
      <c r="G1744" s="65"/>
      <c r="H1744" s="52"/>
      <c r="I1744" s="52"/>
      <c r="J1744" s="52"/>
      <c r="K1744" s="52"/>
      <c r="L1744" s="52"/>
      <c r="M1744" s="52"/>
      <c r="N1744" s="52" t="s">
        <v>70</v>
      </c>
      <c r="O1744" s="52"/>
      <c r="P1744" s="52"/>
      <c r="Q1744" s="52"/>
      <c r="R1744" s="51" t="b">
        <v>0</v>
      </c>
      <c r="S1744" s="51"/>
      <c r="T1744" s="52"/>
      <c r="U1744" s="51" t="b">
        <v>0</v>
      </c>
      <c r="V1744" s="51" t="b">
        <v>0</v>
      </c>
      <c r="W1744" s="51" t="b">
        <v>0</v>
      </c>
      <c r="X1744" s="51" t="b">
        <v>0</v>
      </c>
      <c r="Y1744" s="51" t="b">
        <v>0</v>
      </c>
      <c r="Z1744" s="51" t="b">
        <v>0</v>
      </c>
      <c r="AA1744" s="68"/>
      <c r="AB1744" s="52"/>
      <c r="AC1744" s="52"/>
      <c r="AD1744" s="52"/>
      <c r="AE1744" s="56"/>
      <c r="AF1744" s="56"/>
    </row>
    <row r="1745">
      <c r="A1745" s="52" t="s">
        <v>5039</v>
      </c>
      <c r="B1745" s="52"/>
      <c r="C1745" s="52"/>
      <c r="D1745" s="65"/>
      <c r="E1745" s="65"/>
      <c r="F1745" s="65"/>
      <c r="G1745" s="65"/>
      <c r="H1745" s="52"/>
      <c r="I1745" s="52"/>
      <c r="J1745" s="52"/>
      <c r="K1745" s="52"/>
      <c r="L1745" s="52"/>
      <c r="M1745" s="52"/>
      <c r="N1745" s="52" t="s">
        <v>70</v>
      </c>
      <c r="O1745" s="52"/>
      <c r="P1745" s="52"/>
      <c r="Q1745" s="52"/>
      <c r="R1745" s="51" t="b">
        <v>0</v>
      </c>
      <c r="S1745" s="51"/>
      <c r="T1745" s="52"/>
      <c r="U1745" s="51" t="b">
        <v>0</v>
      </c>
      <c r="V1745" s="51" t="b">
        <v>0</v>
      </c>
      <c r="W1745" s="51" t="b">
        <v>0</v>
      </c>
      <c r="X1745" s="51" t="b">
        <v>0</v>
      </c>
      <c r="Y1745" s="51" t="b">
        <v>0</v>
      </c>
      <c r="Z1745" s="51" t="b">
        <v>0</v>
      </c>
      <c r="AA1745" s="68"/>
      <c r="AB1745" s="52"/>
      <c r="AC1745" s="52"/>
      <c r="AD1745" s="52"/>
      <c r="AE1745" s="56"/>
      <c r="AF1745" s="56"/>
    </row>
    <row r="1746">
      <c r="A1746" s="52" t="s">
        <v>5040</v>
      </c>
      <c r="B1746" s="52"/>
      <c r="C1746" s="52"/>
      <c r="D1746" s="65"/>
      <c r="E1746" s="65"/>
      <c r="F1746" s="65"/>
      <c r="G1746" s="65"/>
      <c r="H1746" s="52"/>
      <c r="I1746" s="52"/>
      <c r="J1746" s="52"/>
      <c r="K1746" s="52"/>
      <c r="L1746" s="52"/>
      <c r="M1746" s="52"/>
      <c r="N1746" s="52" t="s">
        <v>70</v>
      </c>
      <c r="O1746" s="52"/>
      <c r="P1746" s="52"/>
      <c r="Q1746" s="52"/>
      <c r="R1746" s="51" t="b">
        <v>0</v>
      </c>
      <c r="S1746" s="51"/>
      <c r="T1746" s="52"/>
      <c r="U1746" s="51" t="b">
        <v>0</v>
      </c>
      <c r="V1746" s="51" t="b">
        <v>0</v>
      </c>
      <c r="W1746" s="51" t="b">
        <v>0</v>
      </c>
      <c r="X1746" s="51" t="b">
        <v>0</v>
      </c>
      <c r="Y1746" s="51" t="b">
        <v>0</v>
      </c>
      <c r="Z1746" s="51" t="b">
        <v>0</v>
      </c>
      <c r="AA1746" s="68"/>
      <c r="AB1746" s="52"/>
      <c r="AC1746" s="52"/>
      <c r="AD1746" s="52"/>
      <c r="AE1746" s="56"/>
      <c r="AF1746" s="56"/>
    </row>
    <row r="1747">
      <c r="A1747" s="52" t="s">
        <v>5041</v>
      </c>
      <c r="B1747" s="52"/>
      <c r="C1747" s="52"/>
      <c r="D1747" s="65"/>
      <c r="E1747" s="65"/>
      <c r="F1747" s="65"/>
      <c r="G1747" s="65"/>
      <c r="H1747" s="52"/>
      <c r="I1747" s="52"/>
      <c r="J1747" s="52"/>
      <c r="K1747" s="52"/>
      <c r="L1747" s="52"/>
      <c r="M1747" s="52"/>
      <c r="N1747" s="52" t="s">
        <v>70</v>
      </c>
      <c r="O1747" s="52"/>
      <c r="P1747" s="52"/>
      <c r="Q1747" s="52"/>
      <c r="R1747" s="51" t="b">
        <v>0</v>
      </c>
      <c r="S1747" s="51"/>
      <c r="T1747" s="52"/>
      <c r="U1747" s="51" t="b">
        <v>0</v>
      </c>
      <c r="V1747" s="51" t="b">
        <v>0</v>
      </c>
      <c r="W1747" s="51" t="b">
        <v>0</v>
      </c>
      <c r="X1747" s="51" t="b">
        <v>0</v>
      </c>
      <c r="Y1747" s="51" t="b">
        <v>0</v>
      </c>
      <c r="Z1747" s="51" t="b">
        <v>0</v>
      </c>
      <c r="AA1747" s="68"/>
      <c r="AB1747" s="52"/>
      <c r="AC1747" s="52"/>
      <c r="AD1747" s="52"/>
      <c r="AE1747" s="56"/>
      <c r="AF1747" s="56"/>
    </row>
    <row r="1748">
      <c r="A1748" s="52" t="s">
        <v>5042</v>
      </c>
      <c r="B1748" s="52"/>
      <c r="C1748" s="52"/>
      <c r="D1748" s="65"/>
      <c r="E1748" s="65"/>
      <c r="F1748" s="65"/>
      <c r="G1748" s="65"/>
      <c r="H1748" s="52"/>
      <c r="I1748" s="52"/>
      <c r="J1748" s="52"/>
      <c r="K1748" s="52"/>
      <c r="L1748" s="52"/>
      <c r="M1748" s="52"/>
      <c r="N1748" s="52" t="s">
        <v>70</v>
      </c>
      <c r="O1748" s="52"/>
      <c r="P1748" s="52"/>
      <c r="Q1748" s="52"/>
      <c r="R1748" s="51" t="b">
        <v>0</v>
      </c>
      <c r="S1748" s="51"/>
      <c r="T1748" s="52"/>
      <c r="U1748" s="51" t="b">
        <v>0</v>
      </c>
      <c r="V1748" s="51" t="b">
        <v>0</v>
      </c>
      <c r="W1748" s="51" t="b">
        <v>0</v>
      </c>
      <c r="X1748" s="51" t="b">
        <v>0</v>
      </c>
      <c r="Y1748" s="51" t="b">
        <v>0</v>
      </c>
      <c r="Z1748" s="51" t="b">
        <v>0</v>
      </c>
      <c r="AA1748" s="68"/>
      <c r="AB1748" s="52"/>
      <c r="AC1748" s="52"/>
      <c r="AD1748" s="52"/>
      <c r="AE1748" s="56"/>
      <c r="AF1748" s="56"/>
    </row>
    <row r="1749">
      <c r="A1749" s="52" t="s">
        <v>5043</v>
      </c>
      <c r="B1749" s="52"/>
      <c r="C1749" s="52"/>
      <c r="D1749" s="65"/>
      <c r="E1749" s="65"/>
      <c r="F1749" s="65"/>
      <c r="G1749" s="65"/>
      <c r="H1749" s="52"/>
      <c r="I1749" s="52"/>
      <c r="J1749" s="52"/>
      <c r="K1749" s="52"/>
      <c r="L1749" s="52"/>
      <c r="M1749" s="52"/>
      <c r="N1749" s="52" t="s">
        <v>70</v>
      </c>
      <c r="O1749" s="52"/>
      <c r="P1749" s="52"/>
      <c r="Q1749" s="52"/>
      <c r="R1749" s="51" t="b">
        <v>0</v>
      </c>
      <c r="S1749" s="51"/>
      <c r="T1749" s="52"/>
      <c r="U1749" s="51" t="b">
        <v>0</v>
      </c>
      <c r="V1749" s="51" t="b">
        <v>0</v>
      </c>
      <c r="W1749" s="51" t="b">
        <v>0</v>
      </c>
      <c r="X1749" s="51" t="b">
        <v>0</v>
      </c>
      <c r="Y1749" s="51" t="b">
        <v>0</v>
      </c>
      <c r="Z1749" s="51" t="b">
        <v>0</v>
      </c>
      <c r="AA1749" s="68"/>
      <c r="AB1749" s="52"/>
      <c r="AC1749" s="52"/>
      <c r="AD1749" s="52"/>
      <c r="AE1749" s="56"/>
      <c r="AF1749" s="56"/>
    </row>
    <row r="1750">
      <c r="A1750" s="52" t="s">
        <v>5044</v>
      </c>
      <c r="B1750" s="52"/>
      <c r="C1750" s="52"/>
      <c r="D1750" s="65"/>
      <c r="E1750" s="65"/>
      <c r="F1750" s="65"/>
      <c r="G1750" s="65"/>
      <c r="H1750" s="52"/>
      <c r="I1750" s="52"/>
      <c r="J1750" s="52"/>
      <c r="K1750" s="52"/>
      <c r="L1750" s="52"/>
      <c r="M1750" s="52"/>
      <c r="N1750" s="52" t="s">
        <v>70</v>
      </c>
      <c r="O1750" s="52"/>
      <c r="P1750" s="52"/>
      <c r="Q1750" s="52"/>
      <c r="R1750" s="51" t="b">
        <v>0</v>
      </c>
      <c r="S1750" s="51"/>
      <c r="T1750" s="52"/>
      <c r="U1750" s="51" t="b">
        <v>0</v>
      </c>
      <c r="V1750" s="51" t="b">
        <v>0</v>
      </c>
      <c r="W1750" s="51" t="b">
        <v>0</v>
      </c>
      <c r="X1750" s="51" t="b">
        <v>0</v>
      </c>
      <c r="Y1750" s="51" t="b">
        <v>0</v>
      </c>
      <c r="Z1750" s="51" t="b">
        <v>0</v>
      </c>
      <c r="AA1750" s="68"/>
      <c r="AB1750" s="52"/>
      <c r="AC1750" s="52"/>
      <c r="AD1750" s="52"/>
      <c r="AE1750" s="56"/>
      <c r="AF1750" s="56"/>
    </row>
    <row r="1751">
      <c r="A1751" s="52" t="s">
        <v>5045</v>
      </c>
      <c r="B1751" s="52"/>
      <c r="C1751" s="52"/>
      <c r="D1751" s="65"/>
      <c r="E1751" s="65"/>
      <c r="F1751" s="65"/>
      <c r="G1751" s="65"/>
      <c r="H1751" s="52"/>
      <c r="I1751" s="52"/>
      <c r="J1751" s="52"/>
      <c r="K1751" s="52"/>
      <c r="L1751" s="52"/>
      <c r="M1751" s="52"/>
      <c r="N1751" s="52" t="s">
        <v>70</v>
      </c>
      <c r="O1751" s="52"/>
      <c r="P1751" s="52"/>
      <c r="Q1751" s="52"/>
      <c r="R1751" s="51" t="b">
        <v>0</v>
      </c>
      <c r="S1751" s="51"/>
      <c r="T1751" s="52"/>
      <c r="U1751" s="51" t="b">
        <v>0</v>
      </c>
      <c r="V1751" s="51" t="b">
        <v>0</v>
      </c>
      <c r="W1751" s="51" t="b">
        <v>0</v>
      </c>
      <c r="X1751" s="51" t="b">
        <v>0</v>
      </c>
      <c r="Y1751" s="51" t="b">
        <v>0</v>
      </c>
      <c r="Z1751" s="51" t="b">
        <v>0</v>
      </c>
      <c r="AA1751" s="68"/>
      <c r="AB1751" s="52"/>
      <c r="AC1751" s="52"/>
      <c r="AD1751" s="52"/>
      <c r="AE1751" s="56"/>
      <c r="AF1751" s="56"/>
    </row>
    <row r="1752">
      <c r="A1752" s="52" t="s">
        <v>5046</v>
      </c>
      <c r="B1752" s="52"/>
      <c r="C1752" s="52"/>
      <c r="D1752" s="65"/>
      <c r="E1752" s="65"/>
      <c r="F1752" s="65"/>
      <c r="G1752" s="65"/>
      <c r="H1752" s="52"/>
      <c r="I1752" s="52"/>
      <c r="J1752" s="52"/>
      <c r="K1752" s="52"/>
      <c r="L1752" s="52"/>
      <c r="M1752" s="52"/>
      <c r="N1752" s="52" t="s">
        <v>70</v>
      </c>
      <c r="O1752" s="52"/>
      <c r="P1752" s="52"/>
      <c r="Q1752" s="52"/>
      <c r="R1752" s="51" t="b">
        <v>0</v>
      </c>
      <c r="S1752" s="51"/>
      <c r="T1752" s="52"/>
      <c r="U1752" s="51" t="b">
        <v>0</v>
      </c>
      <c r="V1752" s="51" t="b">
        <v>0</v>
      </c>
      <c r="W1752" s="51" t="b">
        <v>0</v>
      </c>
      <c r="X1752" s="51" t="b">
        <v>0</v>
      </c>
      <c r="Y1752" s="51" t="b">
        <v>0</v>
      </c>
      <c r="Z1752" s="51" t="b">
        <v>0</v>
      </c>
      <c r="AA1752" s="68"/>
      <c r="AB1752" s="52"/>
      <c r="AC1752" s="52"/>
      <c r="AD1752" s="52"/>
      <c r="AE1752" s="56"/>
      <c r="AF1752" s="56"/>
    </row>
    <row r="1753">
      <c r="A1753" s="52" t="s">
        <v>5047</v>
      </c>
      <c r="B1753" s="52"/>
      <c r="C1753" s="52"/>
      <c r="D1753" s="65"/>
      <c r="E1753" s="65"/>
      <c r="F1753" s="65"/>
      <c r="G1753" s="65"/>
      <c r="H1753" s="52"/>
      <c r="I1753" s="52"/>
      <c r="J1753" s="52"/>
      <c r="K1753" s="52"/>
      <c r="L1753" s="52"/>
      <c r="M1753" s="52"/>
      <c r="N1753" s="52" t="s">
        <v>70</v>
      </c>
      <c r="O1753" s="52"/>
      <c r="P1753" s="52"/>
      <c r="Q1753" s="52"/>
      <c r="R1753" s="51" t="b">
        <v>0</v>
      </c>
      <c r="S1753" s="51"/>
      <c r="T1753" s="52"/>
      <c r="U1753" s="51" t="b">
        <v>0</v>
      </c>
      <c r="V1753" s="51" t="b">
        <v>0</v>
      </c>
      <c r="W1753" s="51" t="b">
        <v>0</v>
      </c>
      <c r="X1753" s="51" t="b">
        <v>0</v>
      </c>
      <c r="Y1753" s="51" t="b">
        <v>0</v>
      </c>
      <c r="Z1753" s="51" t="b">
        <v>0</v>
      </c>
      <c r="AA1753" s="68"/>
      <c r="AB1753" s="52"/>
      <c r="AC1753" s="52"/>
      <c r="AD1753" s="52"/>
      <c r="AE1753" s="56"/>
      <c r="AF1753" s="56"/>
    </row>
    <row r="1754">
      <c r="A1754" s="52" t="s">
        <v>5048</v>
      </c>
      <c r="B1754" s="52"/>
      <c r="C1754" s="52"/>
      <c r="D1754" s="65"/>
      <c r="E1754" s="65"/>
      <c r="F1754" s="65"/>
      <c r="G1754" s="65"/>
      <c r="H1754" s="52"/>
      <c r="I1754" s="52"/>
      <c r="J1754" s="52"/>
      <c r="K1754" s="52"/>
      <c r="L1754" s="52"/>
      <c r="M1754" s="52"/>
      <c r="N1754" s="52" t="s">
        <v>70</v>
      </c>
      <c r="O1754" s="52"/>
      <c r="P1754" s="52"/>
      <c r="Q1754" s="52"/>
      <c r="R1754" s="51" t="b">
        <v>0</v>
      </c>
      <c r="S1754" s="51"/>
      <c r="T1754" s="52"/>
      <c r="U1754" s="51" t="b">
        <v>0</v>
      </c>
      <c r="V1754" s="51" t="b">
        <v>0</v>
      </c>
      <c r="W1754" s="51" t="b">
        <v>0</v>
      </c>
      <c r="X1754" s="51" t="b">
        <v>0</v>
      </c>
      <c r="Y1754" s="51" t="b">
        <v>0</v>
      </c>
      <c r="Z1754" s="51" t="b">
        <v>0</v>
      </c>
      <c r="AA1754" s="68"/>
      <c r="AB1754" s="52"/>
      <c r="AC1754" s="52"/>
      <c r="AD1754" s="52"/>
      <c r="AE1754" s="56"/>
      <c r="AF1754" s="56"/>
    </row>
    <row r="1755">
      <c r="A1755" s="52" t="s">
        <v>5049</v>
      </c>
      <c r="B1755" s="52"/>
      <c r="C1755" s="52"/>
      <c r="D1755" s="65"/>
      <c r="E1755" s="65"/>
      <c r="F1755" s="65"/>
      <c r="G1755" s="65"/>
      <c r="H1755" s="52"/>
      <c r="I1755" s="52"/>
      <c r="J1755" s="52"/>
      <c r="K1755" s="52"/>
      <c r="L1755" s="52"/>
      <c r="M1755" s="52"/>
      <c r="N1755" s="52" t="s">
        <v>70</v>
      </c>
      <c r="O1755" s="52"/>
      <c r="P1755" s="52"/>
      <c r="Q1755" s="52"/>
      <c r="R1755" s="51" t="b">
        <v>0</v>
      </c>
      <c r="S1755" s="51"/>
      <c r="T1755" s="52"/>
      <c r="U1755" s="51" t="b">
        <v>0</v>
      </c>
      <c r="V1755" s="51" t="b">
        <v>0</v>
      </c>
      <c r="W1755" s="51" t="b">
        <v>0</v>
      </c>
      <c r="X1755" s="51" t="b">
        <v>0</v>
      </c>
      <c r="Y1755" s="51" t="b">
        <v>0</v>
      </c>
      <c r="Z1755" s="51" t="b">
        <v>0</v>
      </c>
      <c r="AA1755" s="68"/>
      <c r="AB1755" s="52"/>
      <c r="AC1755" s="52"/>
      <c r="AD1755" s="52"/>
      <c r="AE1755" s="56"/>
      <c r="AF1755" s="56"/>
    </row>
    <row r="1756">
      <c r="A1756" s="52" t="s">
        <v>5050</v>
      </c>
      <c r="B1756" s="52"/>
      <c r="C1756" s="52"/>
      <c r="D1756" s="65"/>
      <c r="E1756" s="65"/>
      <c r="F1756" s="65"/>
      <c r="G1756" s="65"/>
      <c r="H1756" s="52"/>
      <c r="I1756" s="52"/>
      <c r="J1756" s="52"/>
      <c r="K1756" s="52"/>
      <c r="L1756" s="52"/>
      <c r="M1756" s="52"/>
      <c r="N1756" s="52" t="s">
        <v>70</v>
      </c>
      <c r="O1756" s="52"/>
      <c r="P1756" s="52"/>
      <c r="Q1756" s="52"/>
      <c r="R1756" s="51" t="b">
        <v>0</v>
      </c>
      <c r="S1756" s="51"/>
      <c r="T1756" s="52"/>
      <c r="U1756" s="51" t="b">
        <v>0</v>
      </c>
      <c r="V1756" s="51" t="b">
        <v>0</v>
      </c>
      <c r="W1756" s="51" t="b">
        <v>0</v>
      </c>
      <c r="X1756" s="51" t="b">
        <v>0</v>
      </c>
      <c r="Y1756" s="51" t="b">
        <v>0</v>
      </c>
      <c r="Z1756" s="51" t="b">
        <v>0</v>
      </c>
      <c r="AA1756" s="68"/>
      <c r="AB1756" s="52"/>
      <c r="AC1756" s="52"/>
      <c r="AD1756" s="52"/>
      <c r="AE1756" s="56"/>
      <c r="AF1756" s="56"/>
    </row>
    <row r="1757">
      <c r="A1757" s="52" t="s">
        <v>5051</v>
      </c>
      <c r="B1757" s="52"/>
      <c r="C1757" s="52"/>
      <c r="D1757" s="65"/>
      <c r="E1757" s="65"/>
      <c r="F1757" s="65"/>
      <c r="G1757" s="65"/>
      <c r="H1757" s="52"/>
      <c r="I1757" s="52"/>
      <c r="J1757" s="52"/>
      <c r="K1757" s="52"/>
      <c r="L1757" s="52"/>
      <c r="M1757" s="52"/>
      <c r="N1757" s="52" t="s">
        <v>70</v>
      </c>
      <c r="O1757" s="52"/>
      <c r="P1757" s="52"/>
      <c r="Q1757" s="52"/>
      <c r="R1757" s="51" t="b">
        <v>0</v>
      </c>
      <c r="S1757" s="51"/>
      <c r="T1757" s="52"/>
      <c r="U1757" s="51" t="b">
        <v>0</v>
      </c>
      <c r="V1757" s="51" t="b">
        <v>0</v>
      </c>
      <c r="W1757" s="51" t="b">
        <v>0</v>
      </c>
      <c r="X1757" s="51" t="b">
        <v>0</v>
      </c>
      <c r="Y1757" s="51" t="b">
        <v>0</v>
      </c>
      <c r="Z1757" s="51" t="b">
        <v>0</v>
      </c>
      <c r="AA1757" s="68"/>
      <c r="AB1757" s="52"/>
      <c r="AC1757" s="52"/>
      <c r="AD1757" s="52"/>
      <c r="AE1757" s="56"/>
      <c r="AF1757" s="56"/>
    </row>
    <row r="1758">
      <c r="A1758" s="52" t="s">
        <v>5052</v>
      </c>
      <c r="B1758" s="52"/>
      <c r="C1758" s="52"/>
      <c r="D1758" s="65"/>
      <c r="E1758" s="65"/>
      <c r="F1758" s="65"/>
      <c r="G1758" s="65"/>
      <c r="H1758" s="52"/>
      <c r="I1758" s="52"/>
      <c r="J1758" s="52"/>
      <c r="K1758" s="52"/>
      <c r="L1758" s="52"/>
      <c r="M1758" s="52"/>
      <c r="N1758" s="52" t="s">
        <v>70</v>
      </c>
      <c r="O1758" s="52"/>
      <c r="P1758" s="52"/>
      <c r="Q1758" s="52"/>
      <c r="R1758" s="51" t="b">
        <v>0</v>
      </c>
      <c r="S1758" s="51"/>
      <c r="T1758" s="52"/>
      <c r="U1758" s="51" t="b">
        <v>0</v>
      </c>
      <c r="V1758" s="51" t="b">
        <v>0</v>
      </c>
      <c r="W1758" s="51" t="b">
        <v>0</v>
      </c>
      <c r="X1758" s="51" t="b">
        <v>0</v>
      </c>
      <c r="Y1758" s="51" t="b">
        <v>0</v>
      </c>
      <c r="Z1758" s="51" t="b">
        <v>0</v>
      </c>
      <c r="AA1758" s="68"/>
      <c r="AB1758" s="52"/>
      <c r="AC1758" s="52"/>
      <c r="AD1758" s="52"/>
      <c r="AE1758" s="56"/>
      <c r="AF1758" s="56"/>
    </row>
    <row r="1759">
      <c r="A1759" s="52" t="s">
        <v>5053</v>
      </c>
      <c r="B1759" s="52"/>
      <c r="C1759" s="52"/>
      <c r="D1759" s="65"/>
      <c r="E1759" s="65"/>
      <c r="F1759" s="65"/>
      <c r="G1759" s="65"/>
      <c r="H1759" s="52"/>
      <c r="I1759" s="52"/>
      <c r="J1759" s="52"/>
      <c r="K1759" s="52"/>
      <c r="L1759" s="52"/>
      <c r="M1759" s="52"/>
      <c r="N1759" s="52" t="s">
        <v>70</v>
      </c>
      <c r="O1759" s="52"/>
      <c r="P1759" s="52"/>
      <c r="Q1759" s="52"/>
      <c r="R1759" s="51" t="b">
        <v>0</v>
      </c>
      <c r="S1759" s="51"/>
      <c r="T1759" s="52"/>
      <c r="U1759" s="51" t="b">
        <v>0</v>
      </c>
      <c r="V1759" s="51" t="b">
        <v>0</v>
      </c>
      <c r="W1759" s="51" t="b">
        <v>0</v>
      </c>
      <c r="X1759" s="51" t="b">
        <v>0</v>
      </c>
      <c r="Y1759" s="51" t="b">
        <v>0</v>
      </c>
      <c r="Z1759" s="51" t="b">
        <v>0</v>
      </c>
      <c r="AA1759" s="68"/>
      <c r="AB1759" s="52"/>
      <c r="AC1759" s="52"/>
      <c r="AD1759" s="52"/>
      <c r="AE1759" s="56"/>
      <c r="AF1759" s="56"/>
    </row>
    <row r="1760">
      <c r="A1760" s="52" t="s">
        <v>5054</v>
      </c>
      <c r="B1760" s="52"/>
      <c r="C1760" s="52"/>
      <c r="D1760" s="65"/>
      <c r="E1760" s="65"/>
      <c r="F1760" s="65"/>
      <c r="G1760" s="65"/>
      <c r="H1760" s="52"/>
      <c r="I1760" s="52"/>
      <c r="J1760" s="52"/>
      <c r="K1760" s="52"/>
      <c r="L1760" s="52"/>
      <c r="M1760" s="52"/>
      <c r="N1760" s="52" t="s">
        <v>70</v>
      </c>
      <c r="O1760" s="52"/>
      <c r="P1760" s="52"/>
      <c r="Q1760" s="52"/>
      <c r="R1760" s="51" t="b">
        <v>0</v>
      </c>
      <c r="S1760" s="51"/>
      <c r="T1760" s="52"/>
      <c r="U1760" s="51" t="b">
        <v>0</v>
      </c>
      <c r="V1760" s="51" t="b">
        <v>0</v>
      </c>
      <c r="W1760" s="51" t="b">
        <v>0</v>
      </c>
      <c r="X1760" s="51" t="b">
        <v>0</v>
      </c>
      <c r="Y1760" s="51" t="b">
        <v>0</v>
      </c>
      <c r="Z1760" s="51" t="b">
        <v>0</v>
      </c>
      <c r="AA1760" s="68"/>
      <c r="AB1760" s="52"/>
      <c r="AC1760" s="52"/>
      <c r="AD1760" s="52"/>
      <c r="AE1760" s="56"/>
      <c r="AF1760" s="56"/>
    </row>
    <row r="1761">
      <c r="A1761" s="52" t="s">
        <v>5055</v>
      </c>
      <c r="B1761" s="52"/>
      <c r="C1761" s="52"/>
      <c r="D1761" s="65"/>
      <c r="E1761" s="65"/>
      <c r="F1761" s="65"/>
      <c r="G1761" s="65"/>
      <c r="H1761" s="52"/>
      <c r="I1761" s="52"/>
      <c r="J1761" s="52"/>
      <c r="K1761" s="52"/>
      <c r="L1761" s="52"/>
      <c r="M1761" s="52"/>
      <c r="N1761" s="52" t="s">
        <v>70</v>
      </c>
      <c r="O1761" s="52"/>
      <c r="P1761" s="52"/>
      <c r="Q1761" s="52"/>
      <c r="R1761" s="51" t="b">
        <v>0</v>
      </c>
      <c r="S1761" s="51"/>
      <c r="T1761" s="52"/>
      <c r="U1761" s="51" t="b">
        <v>0</v>
      </c>
      <c r="V1761" s="51" t="b">
        <v>0</v>
      </c>
      <c r="W1761" s="51" t="b">
        <v>0</v>
      </c>
      <c r="X1761" s="51" t="b">
        <v>0</v>
      </c>
      <c r="Y1761" s="51" t="b">
        <v>0</v>
      </c>
      <c r="Z1761" s="51" t="b">
        <v>0</v>
      </c>
      <c r="AA1761" s="68"/>
      <c r="AB1761" s="52"/>
      <c r="AC1761" s="52"/>
      <c r="AD1761" s="52"/>
      <c r="AE1761" s="56"/>
      <c r="AF1761" s="56"/>
    </row>
    <row r="1762">
      <c r="A1762" s="52" t="s">
        <v>5056</v>
      </c>
      <c r="B1762" s="52"/>
      <c r="C1762" s="52"/>
      <c r="D1762" s="65"/>
      <c r="E1762" s="65"/>
      <c r="F1762" s="65"/>
      <c r="G1762" s="65"/>
      <c r="H1762" s="52"/>
      <c r="I1762" s="52"/>
      <c r="J1762" s="52"/>
      <c r="K1762" s="52"/>
      <c r="L1762" s="52"/>
      <c r="M1762" s="52"/>
      <c r="N1762" s="52" t="s">
        <v>70</v>
      </c>
      <c r="O1762" s="52"/>
      <c r="P1762" s="52"/>
      <c r="Q1762" s="52"/>
      <c r="R1762" s="51" t="b">
        <v>0</v>
      </c>
      <c r="S1762" s="51"/>
      <c r="T1762" s="52"/>
      <c r="U1762" s="51" t="b">
        <v>0</v>
      </c>
      <c r="V1762" s="51" t="b">
        <v>0</v>
      </c>
      <c r="W1762" s="51" t="b">
        <v>0</v>
      </c>
      <c r="X1762" s="51" t="b">
        <v>0</v>
      </c>
      <c r="Y1762" s="51" t="b">
        <v>0</v>
      </c>
      <c r="Z1762" s="51" t="b">
        <v>0</v>
      </c>
      <c r="AA1762" s="68"/>
      <c r="AB1762" s="52"/>
      <c r="AC1762" s="52"/>
      <c r="AD1762" s="52"/>
      <c r="AE1762" s="56"/>
      <c r="AF1762" s="56"/>
    </row>
    <row r="1763">
      <c r="A1763" s="52" t="s">
        <v>5057</v>
      </c>
      <c r="B1763" s="52"/>
      <c r="C1763" s="52"/>
      <c r="D1763" s="65"/>
      <c r="E1763" s="65"/>
      <c r="F1763" s="65"/>
      <c r="G1763" s="65"/>
      <c r="H1763" s="52"/>
      <c r="I1763" s="52"/>
      <c r="J1763" s="52"/>
      <c r="K1763" s="52"/>
      <c r="L1763" s="52"/>
      <c r="M1763" s="52"/>
      <c r="N1763" s="52" t="s">
        <v>70</v>
      </c>
      <c r="O1763" s="52"/>
      <c r="P1763" s="52"/>
      <c r="Q1763" s="52"/>
      <c r="R1763" s="51" t="b">
        <v>0</v>
      </c>
      <c r="S1763" s="51"/>
      <c r="T1763" s="52"/>
      <c r="U1763" s="51" t="b">
        <v>0</v>
      </c>
      <c r="V1763" s="51" t="b">
        <v>0</v>
      </c>
      <c r="W1763" s="51" t="b">
        <v>0</v>
      </c>
      <c r="X1763" s="51" t="b">
        <v>0</v>
      </c>
      <c r="Y1763" s="51" t="b">
        <v>0</v>
      </c>
      <c r="Z1763" s="51" t="b">
        <v>0</v>
      </c>
      <c r="AA1763" s="68"/>
      <c r="AB1763" s="52"/>
      <c r="AC1763" s="52"/>
      <c r="AD1763" s="52"/>
      <c r="AE1763" s="56"/>
      <c r="AF1763" s="56"/>
    </row>
    <row r="1764">
      <c r="A1764" s="52" t="s">
        <v>5058</v>
      </c>
      <c r="B1764" s="52"/>
      <c r="C1764" s="52"/>
      <c r="D1764" s="65"/>
      <c r="E1764" s="65"/>
      <c r="F1764" s="65"/>
      <c r="G1764" s="65"/>
      <c r="H1764" s="52"/>
      <c r="I1764" s="52"/>
      <c r="J1764" s="52"/>
      <c r="K1764" s="52"/>
      <c r="L1764" s="52"/>
      <c r="M1764" s="52"/>
      <c r="N1764" s="52" t="s">
        <v>70</v>
      </c>
      <c r="O1764" s="52"/>
      <c r="P1764" s="52"/>
      <c r="Q1764" s="52"/>
      <c r="R1764" s="51" t="b">
        <v>0</v>
      </c>
      <c r="S1764" s="51"/>
      <c r="T1764" s="52"/>
      <c r="U1764" s="51" t="b">
        <v>0</v>
      </c>
      <c r="V1764" s="51" t="b">
        <v>0</v>
      </c>
      <c r="W1764" s="51" t="b">
        <v>0</v>
      </c>
      <c r="X1764" s="51" t="b">
        <v>0</v>
      </c>
      <c r="Y1764" s="51" t="b">
        <v>0</v>
      </c>
      <c r="Z1764" s="51" t="b">
        <v>0</v>
      </c>
      <c r="AA1764" s="68"/>
      <c r="AB1764" s="52"/>
      <c r="AC1764" s="52"/>
      <c r="AD1764" s="52"/>
      <c r="AE1764" s="56"/>
      <c r="AF1764" s="56"/>
    </row>
    <row r="1765">
      <c r="A1765" s="52" t="s">
        <v>5059</v>
      </c>
      <c r="B1765" s="52"/>
      <c r="C1765" s="52"/>
      <c r="D1765" s="65"/>
      <c r="E1765" s="65"/>
      <c r="F1765" s="65"/>
      <c r="G1765" s="65"/>
      <c r="H1765" s="52"/>
      <c r="I1765" s="52"/>
      <c r="J1765" s="52"/>
      <c r="K1765" s="52"/>
      <c r="L1765" s="52"/>
      <c r="M1765" s="52"/>
      <c r="N1765" s="52" t="s">
        <v>70</v>
      </c>
      <c r="O1765" s="52"/>
      <c r="P1765" s="52"/>
      <c r="Q1765" s="52"/>
      <c r="R1765" s="51" t="b">
        <v>0</v>
      </c>
      <c r="S1765" s="51"/>
      <c r="T1765" s="52"/>
      <c r="U1765" s="51" t="b">
        <v>0</v>
      </c>
      <c r="V1765" s="51" t="b">
        <v>0</v>
      </c>
      <c r="W1765" s="51" t="b">
        <v>0</v>
      </c>
      <c r="X1765" s="51" t="b">
        <v>0</v>
      </c>
      <c r="Y1765" s="51" t="b">
        <v>0</v>
      </c>
      <c r="Z1765" s="51" t="b">
        <v>0</v>
      </c>
      <c r="AA1765" s="68"/>
      <c r="AB1765" s="52"/>
      <c r="AC1765" s="52"/>
      <c r="AD1765" s="52"/>
      <c r="AE1765" s="56"/>
      <c r="AF1765" s="56"/>
    </row>
    <row r="1766">
      <c r="A1766" s="52" t="s">
        <v>5060</v>
      </c>
      <c r="B1766" s="52"/>
      <c r="C1766" s="52"/>
      <c r="D1766" s="65"/>
      <c r="E1766" s="65"/>
      <c r="F1766" s="65"/>
      <c r="G1766" s="65"/>
      <c r="H1766" s="52"/>
      <c r="I1766" s="52"/>
      <c r="J1766" s="52"/>
      <c r="K1766" s="52"/>
      <c r="L1766" s="52"/>
      <c r="M1766" s="52"/>
      <c r="N1766" s="52" t="s">
        <v>70</v>
      </c>
      <c r="O1766" s="52"/>
      <c r="P1766" s="52"/>
      <c r="Q1766" s="52"/>
      <c r="R1766" s="51" t="b">
        <v>0</v>
      </c>
      <c r="S1766" s="51"/>
      <c r="T1766" s="52"/>
      <c r="U1766" s="51" t="b">
        <v>0</v>
      </c>
      <c r="V1766" s="51" t="b">
        <v>0</v>
      </c>
      <c r="W1766" s="51" t="b">
        <v>0</v>
      </c>
      <c r="X1766" s="51" t="b">
        <v>0</v>
      </c>
      <c r="Y1766" s="51" t="b">
        <v>0</v>
      </c>
      <c r="Z1766" s="51" t="b">
        <v>0</v>
      </c>
      <c r="AA1766" s="68"/>
      <c r="AB1766" s="52"/>
      <c r="AC1766" s="52"/>
      <c r="AD1766" s="52"/>
      <c r="AE1766" s="56"/>
      <c r="AF1766" s="56"/>
    </row>
    <row r="1767">
      <c r="A1767" s="52" t="s">
        <v>5061</v>
      </c>
      <c r="B1767" s="52"/>
      <c r="C1767" s="52"/>
      <c r="D1767" s="65"/>
      <c r="E1767" s="65"/>
      <c r="F1767" s="65"/>
      <c r="G1767" s="65"/>
      <c r="H1767" s="52"/>
      <c r="I1767" s="52"/>
      <c r="J1767" s="52"/>
      <c r="K1767" s="52"/>
      <c r="L1767" s="52"/>
      <c r="M1767" s="52"/>
      <c r="N1767" s="52" t="s">
        <v>70</v>
      </c>
      <c r="O1767" s="52"/>
      <c r="P1767" s="52"/>
      <c r="Q1767" s="52"/>
      <c r="R1767" s="51" t="b">
        <v>0</v>
      </c>
      <c r="S1767" s="51"/>
      <c r="T1767" s="52"/>
      <c r="U1767" s="51" t="b">
        <v>0</v>
      </c>
      <c r="V1767" s="51" t="b">
        <v>0</v>
      </c>
      <c r="W1767" s="51" t="b">
        <v>0</v>
      </c>
      <c r="X1767" s="51" t="b">
        <v>0</v>
      </c>
      <c r="Y1767" s="51" t="b">
        <v>0</v>
      </c>
      <c r="Z1767" s="51" t="b">
        <v>0</v>
      </c>
      <c r="AA1767" s="68"/>
      <c r="AB1767" s="52"/>
      <c r="AC1767" s="52"/>
      <c r="AD1767" s="52"/>
      <c r="AE1767" s="56"/>
      <c r="AF1767" s="56"/>
    </row>
    <row r="1768">
      <c r="A1768" s="52" t="s">
        <v>5062</v>
      </c>
      <c r="B1768" s="52"/>
      <c r="C1768" s="52"/>
      <c r="D1768" s="65"/>
      <c r="E1768" s="65"/>
      <c r="F1768" s="65"/>
      <c r="G1768" s="65"/>
      <c r="H1768" s="52"/>
      <c r="I1768" s="52"/>
      <c r="J1768" s="52"/>
      <c r="K1768" s="52"/>
      <c r="L1768" s="52"/>
      <c r="M1768" s="52"/>
      <c r="N1768" s="52" t="s">
        <v>70</v>
      </c>
      <c r="O1768" s="52"/>
      <c r="P1768" s="52"/>
      <c r="Q1768" s="52"/>
      <c r="R1768" s="51" t="b">
        <v>0</v>
      </c>
      <c r="S1768" s="51"/>
      <c r="T1768" s="52"/>
      <c r="U1768" s="51" t="b">
        <v>0</v>
      </c>
      <c r="V1768" s="51" t="b">
        <v>0</v>
      </c>
      <c r="W1768" s="51" t="b">
        <v>0</v>
      </c>
      <c r="X1768" s="51" t="b">
        <v>0</v>
      </c>
      <c r="Y1768" s="51" t="b">
        <v>0</v>
      </c>
      <c r="Z1768" s="51" t="b">
        <v>0</v>
      </c>
      <c r="AA1768" s="68"/>
      <c r="AB1768" s="52"/>
      <c r="AC1768" s="52"/>
      <c r="AD1768" s="52"/>
      <c r="AE1768" s="56"/>
      <c r="AF1768" s="56"/>
    </row>
    <row r="1769">
      <c r="A1769" s="52" t="s">
        <v>5063</v>
      </c>
      <c r="B1769" s="52"/>
      <c r="C1769" s="52"/>
      <c r="D1769" s="65"/>
      <c r="E1769" s="65"/>
      <c r="F1769" s="65"/>
      <c r="G1769" s="65"/>
      <c r="H1769" s="52"/>
      <c r="I1769" s="52"/>
      <c r="J1769" s="52"/>
      <c r="K1769" s="52"/>
      <c r="L1769" s="52"/>
      <c r="M1769" s="52"/>
      <c r="N1769" s="52" t="s">
        <v>70</v>
      </c>
      <c r="O1769" s="52"/>
      <c r="P1769" s="52"/>
      <c r="Q1769" s="52"/>
      <c r="R1769" s="51" t="b">
        <v>0</v>
      </c>
      <c r="S1769" s="51"/>
      <c r="T1769" s="52"/>
      <c r="U1769" s="51" t="b">
        <v>0</v>
      </c>
      <c r="V1769" s="51" t="b">
        <v>0</v>
      </c>
      <c r="W1769" s="51" t="b">
        <v>0</v>
      </c>
      <c r="X1769" s="51" t="b">
        <v>0</v>
      </c>
      <c r="Y1769" s="51" t="b">
        <v>0</v>
      </c>
      <c r="Z1769" s="51" t="b">
        <v>0</v>
      </c>
      <c r="AA1769" s="68"/>
      <c r="AB1769" s="52"/>
      <c r="AC1769" s="52"/>
      <c r="AD1769" s="52"/>
      <c r="AE1769" s="56"/>
      <c r="AF1769" s="56"/>
    </row>
    <row r="1770">
      <c r="A1770" s="52" t="s">
        <v>5064</v>
      </c>
      <c r="B1770" s="52"/>
      <c r="C1770" s="52"/>
      <c r="D1770" s="65"/>
      <c r="E1770" s="65"/>
      <c r="F1770" s="65"/>
      <c r="G1770" s="65"/>
      <c r="H1770" s="52"/>
      <c r="I1770" s="52"/>
      <c r="J1770" s="52"/>
      <c r="K1770" s="52"/>
      <c r="L1770" s="52"/>
      <c r="M1770" s="52"/>
      <c r="N1770" s="52" t="s">
        <v>70</v>
      </c>
      <c r="O1770" s="52"/>
      <c r="P1770" s="52"/>
      <c r="Q1770" s="52"/>
      <c r="R1770" s="51" t="b">
        <v>0</v>
      </c>
      <c r="S1770" s="51"/>
      <c r="T1770" s="52"/>
      <c r="U1770" s="51" t="b">
        <v>0</v>
      </c>
      <c r="V1770" s="51" t="b">
        <v>0</v>
      </c>
      <c r="W1770" s="51" t="b">
        <v>0</v>
      </c>
      <c r="X1770" s="51" t="b">
        <v>0</v>
      </c>
      <c r="Y1770" s="51" t="b">
        <v>0</v>
      </c>
      <c r="Z1770" s="51" t="b">
        <v>0</v>
      </c>
      <c r="AA1770" s="68"/>
      <c r="AB1770" s="52"/>
      <c r="AC1770" s="52"/>
      <c r="AD1770" s="52"/>
      <c r="AE1770" s="56"/>
      <c r="AF1770" s="56"/>
    </row>
    <row r="1771">
      <c r="A1771" s="52" t="s">
        <v>5065</v>
      </c>
      <c r="B1771" s="52"/>
      <c r="C1771" s="52"/>
      <c r="D1771" s="65"/>
      <c r="E1771" s="65"/>
      <c r="F1771" s="65"/>
      <c r="G1771" s="65"/>
      <c r="H1771" s="52"/>
      <c r="I1771" s="52"/>
      <c r="J1771" s="52"/>
      <c r="K1771" s="52"/>
      <c r="L1771" s="52"/>
      <c r="M1771" s="52"/>
      <c r="N1771" s="52" t="s">
        <v>70</v>
      </c>
      <c r="O1771" s="52"/>
      <c r="P1771" s="52"/>
      <c r="Q1771" s="52"/>
      <c r="R1771" s="51" t="b">
        <v>0</v>
      </c>
      <c r="S1771" s="51"/>
      <c r="T1771" s="52"/>
      <c r="U1771" s="51" t="b">
        <v>0</v>
      </c>
      <c r="V1771" s="51" t="b">
        <v>0</v>
      </c>
      <c r="W1771" s="51" t="b">
        <v>0</v>
      </c>
      <c r="X1771" s="51" t="b">
        <v>0</v>
      </c>
      <c r="Y1771" s="51" t="b">
        <v>0</v>
      </c>
      <c r="Z1771" s="51" t="b">
        <v>0</v>
      </c>
      <c r="AA1771" s="68"/>
      <c r="AB1771" s="52"/>
      <c r="AC1771" s="52"/>
      <c r="AD1771" s="52"/>
      <c r="AE1771" s="56"/>
      <c r="AF1771" s="56"/>
    </row>
    <row r="1772">
      <c r="A1772" s="52" t="s">
        <v>5066</v>
      </c>
      <c r="B1772" s="52"/>
      <c r="C1772" s="52"/>
      <c r="D1772" s="65"/>
      <c r="E1772" s="65"/>
      <c r="F1772" s="65"/>
      <c r="G1772" s="65"/>
      <c r="H1772" s="52"/>
      <c r="I1772" s="52"/>
      <c r="J1772" s="52"/>
      <c r="K1772" s="52"/>
      <c r="L1772" s="52"/>
      <c r="M1772" s="52"/>
      <c r="N1772" s="52" t="s">
        <v>70</v>
      </c>
      <c r="O1772" s="52"/>
      <c r="P1772" s="52"/>
      <c r="Q1772" s="52"/>
      <c r="R1772" s="51" t="b">
        <v>0</v>
      </c>
      <c r="S1772" s="51"/>
      <c r="T1772" s="52"/>
      <c r="U1772" s="51" t="b">
        <v>0</v>
      </c>
      <c r="V1772" s="51" t="b">
        <v>0</v>
      </c>
      <c r="W1772" s="51" t="b">
        <v>0</v>
      </c>
      <c r="X1772" s="51" t="b">
        <v>0</v>
      </c>
      <c r="Y1772" s="51" t="b">
        <v>0</v>
      </c>
      <c r="Z1772" s="51" t="b">
        <v>0</v>
      </c>
      <c r="AA1772" s="68"/>
      <c r="AB1772" s="52"/>
      <c r="AC1772" s="52"/>
      <c r="AD1772" s="52"/>
      <c r="AE1772" s="56"/>
      <c r="AF1772" s="56"/>
    </row>
    <row r="1773">
      <c r="A1773" s="52" t="s">
        <v>5067</v>
      </c>
      <c r="B1773" s="52"/>
      <c r="C1773" s="52"/>
      <c r="D1773" s="65"/>
      <c r="E1773" s="65"/>
      <c r="F1773" s="65"/>
      <c r="G1773" s="65"/>
      <c r="H1773" s="52"/>
      <c r="I1773" s="52"/>
      <c r="J1773" s="52"/>
      <c r="K1773" s="52"/>
      <c r="L1773" s="52"/>
      <c r="M1773" s="52"/>
      <c r="N1773" s="52" t="s">
        <v>70</v>
      </c>
      <c r="O1773" s="52"/>
      <c r="P1773" s="52"/>
      <c r="Q1773" s="52"/>
      <c r="R1773" s="51" t="b">
        <v>0</v>
      </c>
      <c r="S1773" s="51"/>
      <c r="T1773" s="52"/>
      <c r="U1773" s="51" t="b">
        <v>0</v>
      </c>
      <c r="V1773" s="51" t="b">
        <v>0</v>
      </c>
      <c r="W1773" s="51" t="b">
        <v>0</v>
      </c>
      <c r="X1773" s="51" t="b">
        <v>0</v>
      </c>
      <c r="Y1773" s="51" t="b">
        <v>0</v>
      </c>
      <c r="Z1773" s="51" t="b">
        <v>0</v>
      </c>
      <c r="AA1773" s="68"/>
      <c r="AB1773" s="52"/>
      <c r="AC1773" s="52"/>
      <c r="AD1773" s="52"/>
      <c r="AE1773" s="56"/>
      <c r="AF1773" s="56"/>
    </row>
    <row r="1774">
      <c r="A1774" s="52" t="s">
        <v>5068</v>
      </c>
      <c r="B1774" s="52"/>
      <c r="C1774" s="52"/>
      <c r="D1774" s="65"/>
      <c r="E1774" s="65"/>
      <c r="F1774" s="65"/>
      <c r="G1774" s="65"/>
      <c r="H1774" s="52"/>
      <c r="I1774" s="52"/>
      <c r="J1774" s="52"/>
      <c r="K1774" s="52"/>
      <c r="L1774" s="52"/>
      <c r="M1774" s="52"/>
      <c r="N1774" s="52" t="s">
        <v>70</v>
      </c>
      <c r="O1774" s="52"/>
      <c r="P1774" s="52"/>
      <c r="Q1774" s="52"/>
      <c r="R1774" s="51" t="b">
        <v>0</v>
      </c>
      <c r="S1774" s="51"/>
      <c r="T1774" s="52"/>
      <c r="U1774" s="51" t="b">
        <v>0</v>
      </c>
      <c r="V1774" s="51" t="b">
        <v>0</v>
      </c>
      <c r="W1774" s="51" t="b">
        <v>0</v>
      </c>
      <c r="X1774" s="51" t="b">
        <v>0</v>
      </c>
      <c r="Y1774" s="51" t="b">
        <v>0</v>
      </c>
      <c r="Z1774" s="51" t="b">
        <v>0</v>
      </c>
      <c r="AA1774" s="68"/>
      <c r="AB1774" s="52"/>
      <c r="AC1774" s="52"/>
      <c r="AD1774" s="52"/>
      <c r="AE1774" s="56"/>
      <c r="AF1774" s="56"/>
    </row>
    <row r="1775">
      <c r="A1775" s="52" t="s">
        <v>5069</v>
      </c>
      <c r="B1775" s="52"/>
      <c r="C1775" s="52"/>
      <c r="D1775" s="65"/>
      <c r="E1775" s="65"/>
      <c r="F1775" s="65"/>
      <c r="G1775" s="65"/>
      <c r="H1775" s="52"/>
      <c r="I1775" s="52"/>
      <c r="J1775" s="52"/>
      <c r="K1775" s="52"/>
      <c r="L1775" s="52"/>
      <c r="M1775" s="52"/>
      <c r="N1775" s="52" t="s">
        <v>70</v>
      </c>
      <c r="O1775" s="52"/>
      <c r="P1775" s="52"/>
      <c r="Q1775" s="52"/>
      <c r="R1775" s="51" t="b">
        <v>0</v>
      </c>
      <c r="S1775" s="51"/>
      <c r="T1775" s="52"/>
      <c r="U1775" s="51" t="b">
        <v>0</v>
      </c>
      <c r="V1775" s="51" t="b">
        <v>0</v>
      </c>
      <c r="W1775" s="51" t="b">
        <v>0</v>
      </c>
      <c r="X1775" s="51" t="b">
        <v>0</v>
      </c>
      <c r="Y1775" s="51" t="b">
        <v>0</v>
      </c>
      <c r="Z1775" s="51" t="b">
        <v>0</v>
      </c>
      <c r="AA1775" s="68"/>
      <c r="AB1775" s="52"/>
      <c r="AC1775" s="52"/>
      <c r="AD1775" s="52"/>
      <c r="AE1775" s="56"/>
      <c r="AF1775" s="56"/>
    </row>
    <row r="1776">
      <c r="A1776" s="52" t="s">
        <v>5070</v>
      </c>
      <c r="B1776" s="52"/>
      <c r="C1776" s="52"/>
      <c r="D1776" s="65"/>
      <c r="E1776" s="65"/>
      <c r="F1776" s="65"/>
      <c r="G1776" s="65"/>
      <c r="H1776" s="52"/>
      <c r="I1776" s="52"/>
      <c r="J1776" s="52"/>
      <c r="K1776" s="52"/>
      <c r="L1776" s="52"/>
      <c r="M1776" s="52"/>
      <c r="N1776" s="52" t="s">
        <v>70</v>
      </c>
      <c r="O1776" s="52"/>
      <c r="P1776" s="52"/>
      <c r="Q1776" s="52"/>
      <c r="R1776" s="51" t="b">
        <v>0</v>
      </c>
      <c r="S1776" s="51"/>
      <c r="T1776" s="52"/>
      <c r="U1776" s="51" t="b">
        <v>0</v>
      </c>
      <c r="V1776" s="51" t="b">
        <v>0</v>
      </c>
      <c r="W1776" s="51" t="b">
        <v>0</v>
      </c>
      <c r="X1776" s="51" t="b">
        <v>0</v>
      </c>
      <c r="Y1776" s="51" t="b">
        <v>0</v>
      </c>
      <c r="Z1776" s="51" t="b">
        <v>0</v>
      </c>
      <c r="AA1776" s="68"/>
      <c r="AB1776" s="52"/>
      <c r="AC1776" s="52"/>
      <c r="AD1776" s="52"/>
      <c r="AE1776" s="56"/>
      <c r="AF1776" s="56"/>
    </row>
    <row r="1777">
      <c r="A1777" s="52" t="s">
        <v>5071</v>
      </c>
      <c r="B1777" s="52"/>
      <c r="C1777" s="52"/>
      <c r="D1777" s="65"/>
      <c r="E1777" s="65"/>
      <c r="F1777" s="65"/>
      <c r="G1777" s="65"/>
      <c r="H1777" s="52"/>
      <c r="I1777" s="52"/>
      <c r="J1777" s="52"/>
      <c r="K1777" s="52"/>
      <c r="L1777" s="52"/>
      <c r="M1777" s="52"/>
      <c r="N1777" s="52" t="s">
        <v>70</v>
      </c>
      <c r="O1777" s="52"/>
      <c r="P1777" s="52"/>
      <c r="Q1777" s="52"/>
      <c r="R1777" s="51" t="b">
        <v>0</v>
      </c>
      <c r="S1777" s="51"/>
      <c r="T1777" s="52"/>
      <c r="U1777" s="51" t="b">
        <v>0</v>
      </c>
      <c r="V1777" s="51" t="b">
        <v>0</v>
      </c>
      <c r="W1777" s="51" t="b">
        <v>0</v>
      </c>
      <c r="X1777" s="51" t="b">
        <v>0</v>
      </c>
      <c r="Y1777" s="51" t="b">
        <v>0</v>
      </c>
      <c r="Z1777" s="51" t="b">
        <v>0</v>
      </c>
      <c r="AA1777" s="68"/>
      <c r="AB1777" s="52"/>
      <c r="AC1777" s="52"/>
      <c r="AD1777" s="52"/>
      <c r="AE1777" s="56"/>
      <c r="AF1777" s="56"/>
    </row>
    <row r="1778">
      <c r="A1778" s="52" t="s">
        <v>5072</v>
      </c>
      <c r="B1778" s="52"/>
      <c r="C1778" s="52"/>
      <c r="D1778" s="65"/>
      <c r="E1778" s="65"/>
      <c r="F1778" s="65"/>
      <c r="G1778" s="65"/>
      <c r="H1778" s="52"/>
      <c r="I1778" s="52"/>
      <c r="J1778" s="52"/>
      <c r="K1778" s="52"/>
      <c r="L1778" s="52"/>
      <c r="M1778" s="52"/>
      <c r="N1778" s="52" t="s">
        <v>70</v>
      </c>
      <c r="O1778" s="52"/>
      <c r="P1778" s="52"/>
      <c r="Q1778" s="52"/>
      <c r="R1778" s="51" t="b">
        <v>0</v>
      </c>
      <c r="S1778" s="51"/>
      <c r="T1778" s="52"/>
      <c r="U1778" s="51" t="b">
        <v>0</v>
      </c>
      <c r="V1778" s="51" t="b">
        <v>0</v>
      </c>
      <c r="W1778" s="51" t="b">
        <v>0</v>
      </c>
      <c r="X1778" s="51" t="b">
        <v>0</v>
      </c>
      <c r="Y1778" s="51" t="b">
        <v>0</v>
      </c>
      <c r="Z1778" s="51" t="b">
        <v>0</v>
      </c>
      <c r="AA1778" s="68"/>
      <c r="AB1778" s="52"/>
      <c r="AC1778" s="52"/>
      <c r="AD1778" s="52"/>
      <c r="AE1778" s="56"/>
      <c r="AF1778" s="56"/>
    </row>
    <row r="1779">
      <c r="A1779" s="52" t="s">
        <v>5073</v>
      </c>
      <c r="B1779" s="52"/>
      <c r="C1779" s="52"/>
      <c r="D1779" s="65"/>
      <c r="E1779" s="65"/>
      <c r="F1779" s="65"/>
      <c r="G1779" s="65"/>
      <c r="H1779" s="52"/>
      <c r="I1779" s="52"/>
      <c r="J1779" s="52"/>
      <c r="K1779" s="52"/>
      <c r="L1779" s="52"/>
      <c r="M1779" s="52"/>
      <c r="N1779" s="52" t="s">
        <v>70</v>
      </c>
      <c r="O1779" s="52"/>
      <c r="P1779" s="52"/>
      <c r="Q1779" s="52"/>
      <c r="R1779" s="51" t="b">
        <v>0</v>
      </c>
      <c r="S1779" s="51"/>
      <c r="T1779" s="52"/>
      <c r="U1779" s="51" t="b">
        <v>0</v>
      </c>
      <c r="V1779" s="51" t="b">
        <v>0</v>
      </c>
      <c r="W1779" s="51" t="b">
        <v>0</v>
      </c>
      <c r="X1779" s="51" t="b">
        <v>0</v>
      </c>
      <c r="Y1779" s="51" t="b">
        <v>0</v>
      </c>
      <c r="Z1779" s="51" t="b">
        <v>0</v>
      </c>
      <c r="AA1779" s="68"/>
      <c r="AB1779" s="52"/>
      <c r="AC1779" s="52"/>
      <c r="AD1779" s="52"/>
      <c r="AE1779" s="56"/>
      <c r="AF1779" s="56"/>
    </row>
    <row r="1780">
      <c r="A1780" s="52" t="s">
        <v>5074</v>
      </c>
      <c r="B1780" s="52"/>
      <c r="C1780" s="52"/>
      <c r="D1780" s="65"/>
      <c r="E1780" s="65"/>
      <c r="F1780" s="65"/>
      <c r="G1780" s="65"/>
      <c r="H1780" s="52"/>
      <c r="I1780" s="52"/>
      <c r="J1780" s="52"/>
      <c r="K1780" s="52"/>
      <c r="L1780" s="52"/>
      <c r="M1780" s="52"/>
      <c r="N1780" s="52" t="s">
        <v>70</v>
      </c>
      <c r="O1780" s="52"/>
      <c r="P1780" s="52"/>
      <c r="Q1780" s="52"/>
      <c r="R1780" s="51" t="b">
        <v>0</v>
      </c>
      <c r="S1780" s="51"/>
      <c r="T1780" s="52"/>
      <c r="U1780" s="51" t="b">
        <v>0</v>
      </c>
      <c r="V1780" s="51" t="b">
        <v>0</v>
      </c>
      <c r="W1780" s="51" t="b">
        <v>0</v>
      </c>
      <c r="X1780" s="51" t="b">
        <v>0</v>
      </c>
      <c r="Y1780" s="51" t="b">
        <v>0</v>
      </c>
      <c r="Z1780" s="51" t="b">
        <v>0</v>
      </c>
      <c r="AA1780" s="68"/>
      <c r="AB1780" s="52"/>
      <c r="AC1780" s="52"/>
      <c r="AD1780" s="52"/>
      <c r="AE1780" s="56"/>
      <c r="AF1780" s="56"/>
    </row>
    <row r="1781">
      <c r="A1781" s="52" t="s">
        <v>5075</v>
      </c>
      <c r="B1781" s="52"/>
      <c r="C1781" s="52"/>
      <c r="D1781" s="65"/>
      <c r="E1781" s="65"/>
      <c r="F1781" s="65"/>
      <c r="G1781" s="65"/>
      <c r="H1781" s="52"/>
      <c r="I1781" s="52"/>
      <c r="J1781" s="52"/>
      <c r="K1781" s="52"/>
      <c r="L1781" s="52"/>
      <c r="M1781" s="52"/>
      <c r="N1781" s="52" t="s">
        <v>70</v>
      </c>
      <c r="O1781" s="52"/>
      <c r="P1781" s="52"/>
      <c r="Q1781" s="52"/>
      <c r="R1781" s="51" t="b">
        <v>0</v>
      </c>
      <c r="S1781" s="51"/>
      <c r="T1781" s="52"/>
      <c r="U1781" s="51" t="b">
        <v>0</v>
      </c>
      <c r="V1781" s="51" t="b">
        <v>0</v>
      </c>
      <c r="W1781" s="51" t="b">
        <v>0</v>
      </c>
      <c r="X1781" s="51" t="b">
        <v>0</v>
      </c>
      <c r="Y1781" s="51" t="b">
        <v>0</v>
      </c>
      <c r="Z1781" s="51" t="b">
        <v>0</v>
      </c>
      <c r="AA1781" s="68"/>
      <c r="AB1781" s="52"/>
      <c r="AC1781" s="52"/>
      <c r="AD1781" s="52"/>
      <c r="AE1781" s="56"/>
      <c r="AF1781" s="56"/>
    </row>
    <row r="1782">
      <c r="A1782" s="52" t="s">
        <v>5076</v>
      </c>
      <c r="B1782" s="52"/>
      <c r="C1782" s="52"/>
      <c r="D1782" s="65"/>
      <c r="E1782" s="65"/>
      <c r="F1782" s="65"/>
      <c r="G1782" s="65"/>
      <c r="H1782" s="52"/>
      <c r="I1782" s="52"/>
      <c r="J1782" s="52"/>
      <c r="K1782" s="52"/>
      <c r="L1782" s="52"/>
      <c r="M1782" s="52"/>
      <c r="N1782" s="52" t="s">
        <v>70</v>
      </c>
      <c r="O1782" s="52"/>
      <c r="P1782" s="52"/>
      <c r="Q1782" s="52"/>
      <c r="R1782" s="51" t="b">
        <v>0</v>
      </c>
      <c r="S1782" s="51"/>
      <c r="T1782" s="52"/>
      <c r="U1782" s="51" t="b">
        <v>0</v>
      </c>
      <c r="V1782" s="51" t="b">
        <v>0</v>
      </c>
      <c r="W1782" s="51" t="b">
        <v>0</v>
      </c>
      <c r="X1782" s="51" t="b">
        <v>0</v>
      </c>
      <c r="Y1782" s="51" t="b">
        <v>0</v>
      </c>
      <c r="Z1782" s="51" t="b">
        <v>0</v>
      </c>
      <c r="AA1782" s="68"/>
      <c r="AB1782" s="52"/>
      <c r="AC1782" s="52"/>
      <c r="AD1782" s="52"/>
      <c r="AE1782" s="56"/>
      <c r="AF1782" s="56"/>
    </row>
    <row r="1783">
      <c r="A1783" s="52" t="s">
        <v>5077</v>
      </c>
      <c r="B1783" s="52"/>
      <c r="C1783" s="52"/>
      <c r="D1783" s="65"/>
      <c r="E1783" s="65"/>
      <c r="F1783" s="65"/>
      <c r="G1783" s="65"/>
      <c r="H1783" s="52"/>
      <c r="I1783" s="52"/>
      <c r="J1783" s="52"/>
      <c r="K1783" s="52"/>
      <c r="L1783" s="52"/>
      <c r="M1783" s="52"/>
      <c r="N1783" s="52" t="s">
        <v>70</v>
      </c>
      <c r="O1783" s="52"/>
      <c r="P1783" s="52"/>
      <c r="Q1783" s="52"/>
      <c r="R1783" s="51" t="b">
        <v>0</v>
      </c>
      <c r="S1783" s="51"/>
      <c r="T1783" s="52"/>
      <c r="U1783" s="51" t="b">
        <v>0</v>
      </c>
      <c r="V1783" s="51" t="b">
        <v>0</v>
      </c>
      <c r="W1783" s="51" t="b">
        <v>0</v>
      </c>
      <c r="X1783" s="51" t="b">
        <v>0</v>
      </c>
      <c r="Y1783" s="51" t="b">
        <v>0</v>
      </c>
      <c r="Z1783" s="51" t="b">
        <v>0</v>
      </c>
      <c r="AA1783" s="68"/>
      <c r="AB1783" s="52"/>
      <c r="AC1783" s="52"/>
      <c r="AD1783" s="52"/>
      <c r="AE1783" s="56"/>
      <c r="AF1783" s="56"/>
    </row>
    <row r="1784">
      <c r="A1784" s="52" t="s">
        <v>5078</v>
      </c>
      <c r="B1784" s="52"/>
      <c r="C1784" s="52"/>
      <c r="D1784" s="65"/>
      <c r="E1784" s="65"/>
      <c r="F1784" s="65"/>
      <c r="G1784" s="65"/>
      <c r="H1784" s="52"/>
      <c r="I1784" s="52"/>
      <c r="J1784" s="52"/>
      <c r="K1784" s="52"/>
      <c r="L1784" s="52"/>
      <c r="M1784" s="52"/>
      <c r="N1784" s="52" t="s">
        <v>70</v>
      </c>
      <c r="O1784" s="52"/>
      <c r="P1784" s="52"/>
      <c r="Q1784" s="52"/>
      <c r="R1784" s="51" t="b">
        <v>0</v>
      </c>
      <c r="S1784" s="51"/>
      <c r="T1784" s="52"/>
      <c r="U1784" s="51" t="b">
        <v>0</v>
      </c>
      <c r="V1784" s="51" t="b">
        <v>0</v>
      </c>
      <c r="W1784" s="51" t="b">
        <v>0</v>
      </c>
      <c r="X1784" s="51" t="b">
        <v>0</v>
      </c>
      <c r="Y1784" s="51" t="b">
        <v>0</v>
      </c>
      <c r="Z1784" s="51" t="b">
        <v>0</v>
      </c>
      <c r="AA1784" s="68"/>
      <c r="AB1784" s="52"/>
      <c r="AC1784" s="52"/>
      <c r="AD1784" s="52"/>
      <c r="AE1784" s="56"/>
      <c r="AF1784" s="56"/>
    </row>
    <row r="1785">
      <c r="A1785" s="52" t="s">
        <v>5079</v>
      </c>
      <c r="B1785" s="52"/>
      <c r="C1785" s="52"/>
      <c r="D1785" s="65"/>
      <c r="E1785" s="65"/>
      <c r="F1785" s="65"/>
      <c r="G1785" s="65"/>
      <c r="H1785" s="52"/>
      <c r="I1785" s="52"/>
      <c r="J1785" s="52"/>
      <c r="K1785" s="52"/>
      <c r="L1785" s="52"/>
      <c r="M1785" s="52"/>
      <c r="N1785" s="52" t="s">
        <v>70</v>
      </c>
      <c r="O1785" s="52"/>
      <c r="P1785" s="52"/>
      <c r="Q1785" s="52"/>
      <c r="R1785" s="51" t="b">
        <v>0</v>
      </c>
      <c r="S1785" s="51"/>
      <c r="T1785" s="52"/>
      <c r="U1785" s="51" t="b">
        <v>0</v>
      </c>
      <c r="V1785" s="51" t="b">
        <v>0</v>
      </c>
      <c r="W1785" s="51" t="b">
        <v>0</v>
      </c>
      <c r="X1785" s="51" t="b">
        <v>0</v>
      </c>
      <c r="Y1785" s="51" t="b">
        <v>0</v>
      </c>
      <c r="Z1785" s="51" t="b">
        <v>0</v>
      </c>
      <c r="AA1785" s="68"/>
      <c r="AB1785" s="52"/>
      <c r="AC1785" s="52"/>
      <c r="AD1785" s="52"/>
      <c r="AE1785" s="56"/>
      <c r="AF1785" s="56"/>
    </row>
    <row r="1786">
      <c r="A1786" s="52" t="s">
        <v>5080</v>
      </c>
      <c r="B1786" s="52"/>
      <c r="C1786" s="52"/>
      <c r="D1786" s="65"/>
      <c r="E1786" s="65"/>
      <c r="F1786" s="65"/>
      <c r="G1786" s="65"/>
      <c r="H1786" s="52"/>
      <c r="I1786" s="52"/>
      <c r="J1786" s="52"/>
      <c r="K1786" s="52"/>
      <c r="L1786" s="52"/>
      <c r="M1786" s="52"/>
      <c r="N1786" s="52" t="s">
        <v>70</v>
      </c>
      <c r="O1786" s="52"/>
      <c r="P1786" s="52"/>
      <c r="Q1786" s="52"/>
      <c r="R1786" s="51" t="b">
        <v>0</v>
      </c>
      <c r="S1786" s="51"/>
      <c r="T1786" s="52"/>
      <c r="U1786" s="51" t="b">
        <v>0</v>
      </c>
      <c r="V1786" s="51" t="b">
        <v>0</v>
      </c>
      <c r="W1786" s="51" t="b">
        <v>0</v>
      </c>
      <c r="X1786" s="51" t="b">
        <v>0</v>
      </c>
      <c r="Y1786" s="51" t="b">
        <v>0</v>
      </c>
      <c r="Z1786" s="51" t="b">
        <v>0</v>
      </c>
      <c r="AA1786" s="68"/>
      <c r="AB1786" s="52"/>
      <c r="AC1786" s="52"/>
      <c r="AD1786" s="52"/>
      <c r="AE1786" s="56"/>
      <c r="AF1786" s="56"/>
    </row>
    <row r="1787">
      <c r="A1787" s="52" t="s">
        <v>5081</v>
      </c>
      <c r="B1787" s="52"/>
      <c r="C1787" s="52"/>
      <c r="D1787" s="65"/>
      <c r="E1787" s="65"/>
      <c r="F1787" s="65"/>
      <c r="G1787" s="65"/>
      <c r="H1787" s="52"/>
      <c r="I1787" s="52"/>
      <c r="J1787" s="52"/>
      <c r="K1787" s="52"/>
      <c r="L1787" s="52"/>
      <c r="M1787" s="52"/>
      <c r="N1787" s="52" t="s">
        <v>70</v>
      </c>
      <c r="O1787" s="52"/>
      <c r="P1787" s="52"/>
      <c r="Q1787" s="52"/>
      <c r="R1787" s="51" t="b">
        <v>0</v>
      </c>
      <c r="S1787" s="51"/>
      <c r="T1787" s="52"/>
      <c r="U1787" s="51" t="b">
        <v>0</v>
      </c>
      <c r="V1787" s="51" t="b">
        <v>0</v>
      </c>
      <c r="W1787" s="51" t="b">
        <v>0</v>
      </c>
      <c r="X1787" s="51" t="b">
        <v>0</v>
      </c>
      <c r="Y1787" s="51" t="b">
        <v>0</v>
      </c>
      <c r="Z1787" s="51" t="b">
        <v>0</v>
      </c>
      <c r="AA1787" s="68"/>
      <c r="AB1787" s="52"/>
      <c r="AC1787" s="52"/>
      <c r="AD1787" s="52"/>
      <c r="AE1787" s="56"/>
      <c r="AF1787" s="56"/>
    </row>
    <row r="1788">
      <c r="A1788" s="52" t="s">
        <v>5082</v>
      </c>
      <c r="B1788" s="52"/>
      <c r="C1788" s="52"/>
      <c r="D1788" s="65"/>
      <c r="E1788" s="65"/>
      <c r="F1788" s="65"/>
      <c r="G1788" s="65"/>
      <c r="H1788" s="52"/>
      <c r="I1788" s="52"/>
      <c r="J1788" s="52"/>
      <c r="K1788" s="52"/>
      <c r="L1788" s="52"/>
      <c r="M1788" s="52"/>
      <c r="N1788" s="52" t="s">
        <v>70</v>
      </c>
      <c r="O1788" s="52"/>
      <c r="P1788" s="52"/>
      <c r="Q1788" s="52"/>
      <c r="R1788" s="51" t="b">
        <v>0</v>
      </c>
      <c r="S1788" s="51"/>
      <c r="T1788" s="52"/>
      <c r="U1788" s="51" t="b">
        <v>0</v>
      </c>
      <c r="V1788" s="51" t="b">
        <v>0</v>
      </c>
      <c r="W1788" s="51" t="b">
        <v>0</v>
      </c>
      <c r="X1788" s="51" t="b">
        <v>0</v>
      </c>
      <c r="Y1788" s="51" t="b">
        <v>0</v>
      </c>
      <c r="Z1788" s="51" t="b">
        <v>0</v>
      </c>
      <c r="AA1788" s="68"/>
      <c r="AB1788" s="52"/>
      <c r="AC1788" s="52"/>
      <c r="AD1788" s="52"/>
      <c r="AE1788" s="56"/>
      <c r="AF1788" s="56"/>
    </row>
    <row r="1789">
      <c r="A1789" s="52" t="s">
        <v>5083</v>
      </c>
      <c r="B1789" s="52"/>
      <c r="C1789" s="52"/>
      <c r="D1789" s="65"/>
      <c r="E1789" s="65"/>
      <c r="F1789" s="65"/>
      <c r="G1789" s="65"/>
      <c r="H1789" s="52"/>
      <c r="I1789" s="52"/>
      <c r="J1789" s="52"/>
      <c r="K1789" s="52"/>
      <c r="L1789" s="52"/>
      <c r="M1789" s="52"/>
      <c r="N1789" s="52" t="s">
        <v>70</v>
      </c>
      <c r="O1789" s="52"/>
      <c r="P1789" s="52"/>
      <c r="Q1789" s="52"/>
      <c r="R1789" s="51" t="b">
        <v>0</v>
      </c>
      <c r="S1789" s="51"/>
      <c r="T1789" s="52"/>
      <c r="U1789" s="51" t="b">
        <v>0</v>
      </c>
      <c r="V1789" s="51" t="b">
        <v>0</v>
      </c>
      <c r="W1789" s="51" t="b">
        <v>0</v>
      </c>
      <c r="X1789" s="51" t="b">
        <v>0</v>
      </c>
      <c r="Y1789" s="51" t="b">
        <v>0</v>
      </c>
      <c r="Z1789" s="51" t="b">
        <v>0</v>
      </c>
      <c r="AA1789" s="68"/>
      <c r="AB1789" s="52"/>
      <c r="AC1789" s="52"/>
      <c r="AD1789" s="52"/>
      <c r="AE1789" s="56"/>
      <c r="AF1789" s="56"/>
    </row>
    <row r="1790">
      <c r="A1790" s="52" t="s">
        <v>5084</v>
      </c>
      <c r="B1790" s="52"/>
      <c r="C1790" s="52"/>
      <c r="D1790" s="65"/>
      <c r="E1790" s="65"/>
      <c r="F1790" s="65"/>
      <c r="G1790" s="65"/>
      <c r="H1790" s="52"/>
      <c r="I1790" s="52"/>
      <c r="J1790" s="52"/>
      <c r="K1790" s="52"/>
      <c r="L1790" s="52"/>
      <c r="M1790" s="52"/>
      <c r="N1790" s="52" t="s">
        <v>70</v>
      </c>
      <c r="O1790" s="52"/>
      <c r="P1790" s="52"/>
      <c r="Q1790" s="52"/>
      <c r="R1790" s="51" t="b">
        <v>0</v>
      </c>
      <c r="S1790" s="51"/>
      <c r="T1790" s="52"/>
      <c r="U1790" s="51" t="b">
        <v>0</v>
      </c>
      <c r="V1790" s="51" t="b">
        <v>0</v>
      </c>
      <c r="W1790" s="51" t="b">
        <v>0</v>
      </c>
      <c r="X1790" s="51" t="b">
        <v>0</v>
      </c>
      <c r="Y1790" s="51" t="b">
        <v>0</v>
      </c>
      <c r="Z1790" s="51" t="b">
        <v>0</v>
      </c>
      <c r="AA1790" s="68"/>
      <c r="AB1790" s="52"/>
      <c r="AC1790" s="52"/>
      <c r="AD1790" s="52"/>
      <c r="AE1790" s="56"/>
      <c r="AF1790" s="56"/>
    </row>
    <row r="1791">
      <c r="A1791" s="52" t="s">
        <v>5085</v>
      </c>
      <c r="B1791" s="52"/>
      <c r="C1791" s="52"/>
      <c r="D1791" s="65"/>
      <c r="E1791" s="65"/>
      <c r="F1791" s="65"/>
      <c r="G1791" s="65"/>
      <c r="H1791" s="52"/>
      <c r="I1791" s="52"/>
      <c r="J1791" s="52"/>
      <c r="K1791" s="52"/>
      <c r="L1791" s="52"/>
      <c r="M1791" s="52"/>
      <c r="N1791" s="52" t="s">
        <v>70</v>
      </c>
      <c r="O1791" s="52"/>
      <c r="P1791" s="52"/>
      <c r="Q1791" s="52"/>
      <c r="R1791" s="51" t="b">
        <v>0</v>
      </c>
      <c r="S1791" s="51"/>
      <c r="T1791" s="52"/>
      <c r="U1791" s="51" t="b">
        <v>0</v>
      </c>
      <c r="V1791" s="51" t="b">
        <v>0</v>
      </c>
      <c r="W1791" s="51" t="b">
        <v>0</v>
      </c>
      <c r="X1791" s="51" t="b">
        <v>0</v>
      </c>
      <c r="Y1791" s="51" t="b">
        <v>0</v>
      </c>
      <c r="Z1791" s="51" t="b">
        <v>0</v>
      </c>
      <c r="AA1791" s="68"/>
      <c r="AB1791" s="52"/>
      <c r="AC1791" s="52"/>
      <c r="AD1791" s="52"/>
      <c r="AE1791" s="56"/>
      <c r="AF1791" s="56"/>
    </row>
    <row r="1792">
      <c r="A1792" s="52" t="s">
        <v>5086</v>
      </c>
      <c r="B1792" s="52"/>
      <c r="C1792" s="52"/>
      <c r="D1792" s="65"/>
      <c r="E1792" s="65"/>
      <c r="F1792" s="65"/>
      <c r="G1792" s="65"/>
      <c r="H1792" s="52"/>
      <c r="I1792" s="52"/>
      <c r="J1792" s="52"/>
      <c r="K1792" s="52"/>
      <c r="L1792" s="52"/>
      <c r="M1792" s="52"/>
      <c r="N1792" s="52" t="s">
        <v>70</v>
      </c>
      <c r="O1792" s="52"/>
      <c r="P1792" s="52"/>
      <c r="Q1792" s="52"/>
      <c r="R1792" s="51" t="b">
        <v>0</v>
      </c>
      <c r="S1792" s="51"/>
      <c r="T1792" s="52"/>
      <c r="U1792" s="51" t="b">
        <v>0</v>
      </c>
      <c r="V1792" s="51" t="b">
        <v>0</v>
      </c>
      <c r="W1792" s="51" t="b">
        <v>0</v>
      </c>
      <c r="X1792" s="51" t="b">
        <v>0</v>
      </c>
      <c r="Y1792" s="51" t="b">
        <v>0</v>
      </c>
      <c r="Z1792" s="51" t="b">
        <v>0</v>
      </c>
      <c r="AA1792" s="68"/>
      <c r="AB1792" s="52"/>
      <c r="AC1792" s="52"/>
      <c r="AD1792" s="52"/>
      <c r="AE1792" s="56"/>
      <c r="AF1792" s="56"/>
    </row>
    <row r="1793">
      <c r="A1793" s="52" t="s">
        <v>5087</v>
      </c>
      <c r="B1793" s="52"/>
      <c r="C1793" s="52"/>
      <c r="D1793" s="65"/>
      <c r="E1793" s="65"/>
      <c r="F1793" s="65"/>
      <c r="G1793" s="65"/>
      <c r="H1793" s="52"/>
      <c r="I1793" s="52"/>
      <c r="J1793" s="52"/>
      <c r="K1793" s="52"/>
      <c r="L1793" s="52"/>
      <c r="M1793" s="52"/>
      <c r="N1793" s="52" t="s">
        <v>70</v>
      </c>
      <c r="O1793" s="52"/>
      <c r="P1793" s="52"/>
      <c r="Q1793" s="52"/>
      <c r="R1793" s="51" t="b">
        <v>0</v>
      </c>
      <c r="S1793" s="51"/>
      <c r="T1793" s="52"/>
      <c r="U1793" s="51" t="b">
        <v>0</v>
      </c>
      <c r="V1793" s="51" t="b">
        <v>0</v>
      </c>
      <c r="W1793" s="51" t="b">
        <v>0</v>
      </c>
      <c r="X1793" s="51" t="b">
        <v>0</v>
      </c>
      <c r="Y1793" s="51" t="b">
        <v>0</v>
      </c>
      <c r="Z1793" s="51" t="b">
        <v>0</v>
      </c>
      <c r="AA1793" s="68"/>
      <c r="AB1793" s="52"/>
      <c r="AC1793" s="52"/>
      <c r="AD1793" s="52"/>
      <c r="AE1793" s="56"/>
      <c r="AF1793" s="56"/>
    </row>
    <row r="1794">
      <c r="A1794" s="52" t="s">
        <v>5088</v>
      </c>
      <c r="B1794" s="52"/>
      <c r="C1794" s="52"/>
      <c r="D1794" s="65"/>
      <c r="E1794" s="65"/>
      <c r="F1794" s="65"/>
      <c r="G1794" s="65"/>
      <c r="H1794" s="52"/>
      <c r="I1794" s="52"/>
      <c r="J1794" s="52"/>
      <c r="K1794" s="52"/>
      <c r="L1794" s="52"/>
      <c r="M1794" s="52"/>
      <c r="N1794" s="52" t="s">
        <v>70</v>
      </c>
      <c r="O1794" s="52"/>
      <c r="P1794" s="52"/>
      <c r="Q1794" s="52"/>
      <c r="R1794" s="51" t="b">
        <v>0</v>
      </c>
      <c r="S1794" s="51"/>
      <c r="T1794" s="52"/>
      <c r="U1794" s="51" t="b">
        <v>0</v>
      </c>
      <c r="V1794" s="51" t="b">
        <v>0</v>
      </c>
      <c r="W1794" s="51" t="b">
        <v>0</v>
      </c>
      <c r="X1794" s="51" t="b">
        <v>0</v>
      </c>
      <c r="Y1794" s="51" t="b">
        <v>0</v>
      </c>
      <c r="Z1794" s="51" t="b">
        <v>0</v>
      </c>
      <c r="AA1794" s="68"/>
      <c r="AB1794" s="52"/>
      <c r="AC1794" s="52"/>
      <c r="AD1794" s="52"/>
      <c r="AE1794" s="56"/>
      <c r="AF1794" s="56"/>
    </row>
    <row r="1795">
      <c r="A1795" s="52" t="s">
        <v>5089</v>
      </c>
      <c r="B1795" s="52"/>
      <c r="C1795" s="52"/>
      <c r="D1795" s="65"/>
      <c r="E1795" s="65"/>
      <c r="F1795" s="65"/>
      <c r="G1795" s="65"/>
      <c r="H1795" s="52"/>
      <c r="I1795" s="52"/>
      <c r="J1795" s="52"/>
      <c r="K1795" s="52"/>
      <c r="L1795" s="52"/>
      <c r="M1795" s="52"/>
      <c r="N1795" s="52" t="s">
        <v>70</v>
      </c>
      <c r="O1795" s="52"/>
      <c r="P1795" s="52"/>
      <c r="Q1795" s="52"/>
      <c r="R1795" s="51" t="b">
        <v>0</v>
      </c>
      <c r="S1795" s="51"/>
      <c r="T1795" s="52"/>
      <c r="U1795" s="51" t="b">
        <v>0</v>
      </c>
      <c r="V1795" s="51" t="b">
        <v>0</v>
      </c>
      <c r="W1795" s="51" t="b">
        <v>0</v>
      </c>
      <c r="X1795" s="51" t="b">
        <v>0</v>
      </c>
      <c r="Y1795" s="51" t="b">
        <v>0</v>
      </c>
      <c r="Z1795" s="51" t="b">
        <v>0</v>
      </c>
      <c r="AA1795" s="68"/>
      <c r="AB1795" s="52"/>
      <c r="AC1795" s="52"/>
      <c r="AD1795" s="52"/>
      <c r="AE1795" s="56"/>
      <c r="AF1795" s="56"/>
    </row>
    <row r="1796">
      <c r="A1796" s="52" t="s">
        <v>5090</v>
      </c>
      <c r="B1796" s="52" t="s">
        <v>14</v>
      </c>
      <c r="C1796" s="52" t="s">
        <v>289</v>
      </c>
      <c r="D1796" s="65"/>
      <c r="E1796" s="65"/>
      <c r="F1796" s="65"/>
      <c r="G1796" s="65"/>
      <c r="H1796" s="52"/>
      <c r="I1796" s="52"/>
      <c r="J1796" s="52"/>
      <c r="K1796" s="52"/>
      <c r="L1796" s="52"/>
      <c r="M1796" s="52"/>
      <c r="N1796" s="52"/>
      <c r="O1796" s="52"/>
      <c r="P1796" s="52"/>
      <c r="Q1796" s="52"/>
      <c r="R1796" s="51" t="b">
        <v>0</v>
      </c>
      <c r="S1796" s="51"/>
      <c r="T1796" s="52"/>
      <c r="U1796" s="51" t="b">
        <v>0</v>
      </c>
      <c r="V1796" s="51" t="b">
        <v>0</v>
      </c>
      <c r="W1796" s="51" t="b">
        <v>0</v>
      </c>
      <c r="X1796" s="51" t="b">
        <v>0</v>
      </c>
      <c r="Y1796" s="51" t="b">
        <v>0</v>
      </c>
      <c r="Z1796" s="51" t="b">
        <v>0</v>
      </c>
      <c r="AA1796" s="68"/>
      <c r="AB1796" s="52"/>
      <c r="AC1796" s="52"/>
      <c r="AD1796" s="52"/>
      <c r="AE1796" s="56"/>
      <c r="AF1796" s="56"/>
    </row>
    <row r="1797">
      <c r="A1797" s="52" t="s">
        <v>5091</v>
      </c>
      <c r="B1797" s="52" t="s">
        <v>14</v>
      </c>
      <c r="C1797" s="52" t="s">
        <v>289</v>
      </c>
      <c r="D1797" s="65"/>
      <c r="E1797" s="65"/>
      <c r="F1797" s="65"/>
      <c r="G1797" s="65"/>
      <c r="H1797" s="52"/>
      <c r="I1797" s="52"/>
      <c r="J1797" s="52"/>
      <c r="K1797" s="52"/>
      <c r="L1797" s="52"/>
      <c r="M1797" s="52"/>
      <c r="N1797" s="52"/>
      <c r="O1797" s="52"/>
      <c r="P1797" s="52"/>
      <c r="Q1797" s="52"/>
      <c r="R1797" s="51" t="b">
        <v>0</v>
      </c>
      <c r="S1797" s="51"/>
      <c r="T1797" s="52"/>
      <c r="U1797" s="51" t="b">
        <v>0</v>
      </c>
      <c r="V1797" s="51" t="b">
        <v>0</v>
      </c>
      <c r="W1797" s="51" t="b">
        <v>0</v>
      </c>
      <c r="X1797" s="51" t="b">
        <v>0</v>
      </c>
      <c r="Y1797" s="51" t="b">
        <v>0</v>
      </c>
      <c r="Z1797" s="51" t="b">
        <v>0</v>
      </c>
      <c r="AA1797" s="68"/>
      <c r="AB1797" s="52"/>
      <c r="AC1797" s="52"/>
      <c r="AD1797" s="52"/>
      <c r="AE1797" s="56"/>
      <c r="AF1797" s="56"/>
    </row>
    <row r="1798">
      <c r="A1798" s="52" t="s">
        <v>5092</v>
      </c>
      <c r="B1798" s="52" t="s">
        <v>14</v>
      </c>
      <c r="C1798" s="52" t="s">
        <v>289</v>
      </c>
      <c r="D1798" s="65"/>
      <c r="E1798" s="65"/>
      <c r="F1798" s="65"/>
      <c r="G1798" s="65"/>
      <c r="H1798" s="52"/>
      <c r="I1798" s="52"/>
      <c r="J1798" s="52"/>
      <c r="K1798" s="52"/>
      <c r="L1798" s="52"/>
      <c r="M1798" s="52"/>
      <c r="N1798" s="52"/>
      <c r="O1798" s="52"/>
      <c r="P1798" s="52"/>
      <c r="Q1798" s="52"/>
      <c r="R1798" s="51" t="b">
        <v>0</v>
      </c>
      <c r="S1798" s="51"/>
      <c r="T1798" s="52"/>
      <c r="U1798" s="51" t="b">
        <v>0</v>
      </c>
      <c r="V1798" s="51" t="b">
        <v>0</v>
      </c>
      <c r="W1798" s="51" t="b">
        <v>0</v>
      </c>
      <c r="X1798" s="51" t="b">
        <v>0</v>
      </c>
      <c r="Y1798" s="51" t="b">
        <v>0</v>
      </c>
      <c r="Z1798" s="51" t="b">
        <v>0</v>
      </c>
      <c r="AA1798" s="68"/>
      <c r="AB1798" s="52"/>
      <c r="AC1798" s="52"/>
      <c r="AD1798" s="52"/>
      <c r="AE1798" s="56"/>
      <c r="AF1798" s="56"/>
    </row>
    <row r="1799">
      <c r="A1799" s="52" t="s">
        <v>5093</v>
      </c>
      <c r="B1799" s="52" t="s">
        <v>14</v>
      </c>
      <c r="C1799" s="52" t="s">
        <v>289</v>
      </c>
      <c r="D1799" s="65"/>
      <c r="E1799" s="65"/>
      <c r="F1799" s="65"/>
      <c r="G1799" s="65"/>
      <c r="H1799" s="52"/>
      <c r="I1799" s="52"/>
      <c r="J1799" s="52"/>
      <c r="K1799" s="52"/>
      <c r="L1799" s="52"/>
      <c r="M1799" s="52"/>
      <c r="N1799" s="52"/>
      <c r="O1799" s="52"/>
      <c r="P1799" s="52"/>
      <c r="Q1799" s="52"/>
      <c r="R1799" s="51" t="b">
        <v>0</v>
      </c>
      <c r="S1799" s="51"/>
      <c r="T1799" s="52"/>
      <c r="U1799" s="51" t="b">
        <v>0</v>
      </c>
      <c r="V1799" s="51" t="b">
        <v>0</v>
      </c>
      <c r="W1799" s="51" t="b">
        <v>0</v>
      </c>
      <c r="X1799" s="51" t="b">
        <v>0</v>
      </c>
      <c r="Y1799" s="51" t="b">
        <v>0</v>
      </c>
      <c r="Z1799" s="51" t="b">
        <v>0</v>
      </c>
      <c r="AA1799" s="68"/>
      <c r="AB1799" s="52"/>
      <c r="AC1799" s="52"/>
      <c r="AD1799" s="52"/>
      <c r="AE1799" s="56"/>
      <c r="AF1799" s="56"/>
    </row>
    <row r="1800">
      <c r="A1800" s="52" t="s">
        <v>5094</v>
      </c>
      <c r="B1800" s="52" t="s">
        <v>14</v>
      </c>
      <c r="C1800" s="52" t="s">
        <v>289</v>
      </c>
      <c r="D1800" s="65"/>
      <c r="E1800" s="65"/>
      <c r="F1800" s="65"/>
      <c r="G1800" s="65"/>
      <c r="H1800" s="52"/>
      <c r="I1800" s="52"/>
      <c r="J1800" s="52"/>
      <c r="K1800" s="52"/>
      <c r="L1800" s="52"/>
      <c r="M1800" s="52"/>
      <c r="N1800" s="52"/>
      <c r="O1800" s="52"/>
      <c r="P1800" s="52"/>
      <c r="Q1800" s="52"/>
      <c r="R1800" s="51" t="b">
        <v>0</v>
      </c>
      <c r="S1800" s="51"/>
      <c r="T1800" s="52"/>
      <c r="U1800" s="51" t="b">
        <v>0</v>
      </c>
      <c r="V1800" s="51" t="b">
        <v>0</v>
      </c>
      <c r="W1800" s="51" t="b">
        <v>0</v>
      </c>
      <c r="X1800" s="51" t="b">
        <v>0</v>
      </c>
      <c r="Y1800" s="51" t="b">
        <v>0</v>
      </c>
      <c r="Z1800" s="51" t="b">
        <v>0</v>
      </c>
      <c r="AA1800" s="68"/>
      <c r="AB1800" s="52"/>
      <c r="AC1800" s="52"/>
      <c r="AD1800" s="52"/>
      <c r="AE1800" s="56"/>
      <c r="AF1800" s="56"/>
    </row>
    <row r="1801">
      <c r="A1801" s="52" t="s">
        <v>5095</v>
      </c>
      <c r="B1801" s="52"/>
      <c r="C1801" s="52"/>
      <c r="D1801" s="65"/>
      <c r="E1801" s="65"/>
      <c r="F1801" s="65"/>
      <c r="G1801" s="65"/>
      <c r="H1801" s="52"/>
      <c r="I1801" s="52"/>
      <c r="J1801" s="52"/>
      <c r="K1801" s="52"/>
      <c r="L1801" s="52"/>
      <c r="M1801" s="52"/>
      <c r="N1801" s="52"/>
      <c r="O1801" s="52"/>
      <c r="P1801" s="52"/>
      <c r="Q1801" s="52"/>
      <c r="R1801" s="51" t="b">
        <v>0</v>
      </c>
      <c r="S1801" s="51"/>
      <c r="T1801" s="52"/>
      <c r="U1801" s="51" t="b">
        <v>0</v>
      </c>
      <c r="V1801" s="51" t="b">
        <v>0</v>
      </c>
      <c r="W1801" s="51" t="b">
        <v>0</v>
      </c>
      <c r="X1801" s="51" t="b">
        <v>0</v>
      </c>
      <c r="Y1801" s="51" t="b">
        <v>0</v>
      </c>
      <c r="Z1801" s="51" t="b">
        <v>0</v>
      </c>
      <c r="AA1801" s="68"/>
      <c r="AB1801" s="52"/>
      <c r="AC1801" s="52"/>
      <c r="AD1801" s="52"/>
      <c r="AE1801" s="56"/>
      <c r="AF1801" s="56"/>
    </row>
    <row r="1802">
      <c r="A1802" s="52" t="s">
        <v>5096</v>
      </c>
      <c r="B1802" s="52" t="s">
        <v>14</v>
      </c>
      <c r="C1802" s="52" t="s">
        <v>66</v>
      </c>
      <c r="D1802" s="65">
        <v>0.5834374999999999</v>
      </c>
      <c r="E1802" s="65">
        <v>2.314814814814815E-4</v>
      </c>
      <c r="F1802" s="65">
        <v>0.5836689814814814</v>
      </c>
      <c r="G1802" s="65"/>
      <c r="H1802" s="52" t="s">
        <v>81</v>
      </c>
      <c r="I1802" s="52" t="s">
        <v>91</v>
      </c>
      <c r="J1802" s="52" t="s">
        <v>92</v>
      </c>
      <c r="K1802" s="52"/>
      <c r="L1802" s="52"/>
      <c r="M1802" s="52"/>
      <c r="N1802" s="52" t="s">
        <v>70</v>
      </c>
      <c r="O1802" s="52"/>
      <c r="P1802" s="52"/>
      <c r="Q1802" s="52"/>
      <c r="R1802" s="51" t="b">
        <v>0</v>
      </c>
      <c r="S1802" s="51"/>
      <c r="T1802" s="52"/>
      <c r="U1802" s="51" t="b">
        <v>0</v>
      </c>
      <c r="V1802" s="51" t="b">
        <v>0</v>
      </c>
      <c r="W1802" s="51" t="b">
        <v>0</v>
      </c>
      <c r="X1802" s="51" t="b">
        <v>0</v>
      </c>
      <c r="Y1802" s="51" t="b">
        <v>0</v>
      </c>
      <c r="Z1802" s="51" t="b">
        <v>0</v>
      </c>
      <c r="AA1802" s="68"/>
      <c r="AB1802" s="52"/>
      <c r="AC1802" s="52"/>
      <c r="AD1802" s="52"/>
      <c r="AE1802" s="56" t="s">
        <v>743</v>
      </c>
      <c r="AF1802" s="56"/>
    </row>
    <row r="1803">
      <c r="A1803" s="52" t="s">
        <v>5097</v>
      </c>
      <c r="B1803" s="52" t="s">
        <v>14</v>
      </c>
      <c r="C1803" s="52" t="s">
        <v>221</v>
      </c>
      <c r="D1803" s="65">
        <v>0.5283333333333337</v>
      </c>
      <c r="E1803" s="65">
        <v>3.4722222222222224E-4</v>
      </c>
      <c r="F1803" s="65">
        <v>0.5286805555555559</v>
      </c>
      <c r="G1803" s="65"/>
      <c r="H1803" s="52" t="s">
        <v>87</v>
      </c>
      <c r="I1803" s="52" t="s">
        <v>88</v>
      </c>
      <c r="J1803" s="52" t="s">
        <v>69</v>
      </c>
      <c r="K1803" s="52"/>
      <c r="L1803" s="52"/>
      <c r="M1803" s="52"/>
      <c r="N1803" s="52" t="s">
        <v>70</v>
      </c>
      <c r="O1803" s="52"/>
      <c r="P1803" s="52"/>
      <c r="Q1803" s="52"/>
      <c r="R1803" s="51" t="b">
        <v>0</v>
      </c>
      <c r="S1803" s="51"/>
      <c r="T1803" s="52"/>
      <c r="U1803" s="51" t="b">
        <v>0</v>
      </c>
      <c r="V1803" s="51" t="b">
        <v>0</v>
      </c>
      <c r="W1803" s="51" t="b">
        <v>0</v>
      </c>
      <c r="X1803" s="51" t="b">
        <v>0</v>
      </c>
      <c r="Y1803" s="51" t="b">
        <v>0</v>
      </c>
      <c r="Z1803" s="51" t="b">
        <v>0</v>
      </c>
      <c r="AA1803" s="68"/>
      <c r="AB1803" s="52"/>
      <c r="AC1803" s="52"/>
      <c r="AD1803" s="52"/>
      <c r="AE1803" s="56"/>
      <c r="AF1803" s="56" t="s">
        <v>600</v>
      </c>
    </row>
    <row r="1804">
      <c r="A1804" s="52" t="s">
        <v>5098</v>
      </c>
      <c r="B1804" s="52" t="s">
        <v>14</v>
      </c>
      <c r="C1804" s="52" t="s">
        <v>221</v>
      </c>
      <c r="D1804" s="65">
        <v>0.5410648148148152</v>
      </c>
      <c r="E1804" s="65">
        <v>0.0010416666666666667</v>
      </c>
      <c r="F1804" s="65">
        <v>0.5421064814814819</v>
      </c>
      <c r="G1804" s="65"/>
      <c r="H1804" s="52" t="s">
        <v>67</v>
      </c>
      <c r="I1804" s="52" t="s">
        <v>68</v>
      </c>
      <c r="J1804" s="52" t="s">
        <v>69</v>
      </c>
      <c r="K1804" s="52"/>
      <c r="L1804" s="52"/>
      <c r="M1804" s="52"/>
      <c r="N1804" s="52" t="s">
        <v>70</v>
      </c>
      <c r="O1804" s="52"/>
      <c r="P1804" s="52"/>
      <c r="Q1804" s="52"/>
      <c r="R1804" s="51" t="b">
        <v>0</v>
      </c>
      <c r="S1804" s="51"/>
      <c r="T1804" s="52"/>
      <c r="U1804" s="51" t="b">
        <v>0</v>
      </c>
      <c r="V1804" s="51" t="b">
        <v>0</v>
      </c>
      <c r="W1804" s="51" t="b">
        <v>0</v>
      </c>
      <c r="X1804" s="51" t="b">
        <v>0</v>
      </c>
      <c r="Y1804" s="51" t="b">
        <v>0</v>
      </c>
      <c r="Z1804" s="51" t="b">
        <v>0</v>
      </c>
      <c r="AA1804" s="68"/>
      <c r="AB1804" s="52"/>
      <c r="AC1804" s="52"/>
      <c r="AD1804" s="52"/>
      <c r="AE1804" s="56"/>
      <c r="AF1804" s="56" t="s">
        <v>600</v>
      </c>
    </row>
    <row r="1805">
      <c r="A1805" s="52" t="s">
        <v>5099</v>
      </c>
      <c r="B1805" s="52" t="s">
        <v>14</v>
      </c>
      <c r="C1805" s="52" t="s">
        <v>221</v>
      </c>
      <c r="D1805" s="65">
        <v>0.5761342592592593</v>
      </c>
      <c r="E1805" s="65">
        <v>0.001388888888888889</v>
      </c>
      <c r="F1805" s="65">
        <v>0.5775231481481482</v>
      </c>
      <c r="G1805" s="65"/>
      <c r="H1805" s="52" t="s">
        <v>126</v>
      </c>
      <c r="I1805" s="52"/>
      <c r="J1805" s="52" t="s">
        <v>69</v>
      </c>
      <c r="K1805" s="52"/>
      <c r="L1805" s="52"/>
      <c r="M1805" s="52"/>
      <c r="N1805" s="52" t="s">
        <v>70</v>
      </c>
      <c r="O1805" s="52"/>
      <c r="P1805" s="52"/>
      <c r="Q1805" s="52"/>
      <c r="R1805" s="51" t="b">
        <v>0</v>
      </c>
      <c r="S1805" s="51"/>
      <c r="T1805" s="52"/>
      <c r="U1805" s="51" t="b">
        <v>0</v>
      </c>
      <c r="V1805" s="51" t="b">
        <v>0</v>
      </c>
      <c r="W1805" s="51" t="b">
        <v>0</v>
      </c>
      <c r="X1805" s="51" t="b">
        <v>0</v>
      </c>
      <c r="Y1805" s="51" t="b">
        <v>0</v>
      </c>
      <c r="Z1805" s="51" t="b">
        <v>0</v>
      </c>
      <c r="AA1805" s="68"/>
      <c r="AB1805" s="52"/>
      <c r="AC1805" s="52"/>
      <c r="AD1805" s="52"/>
      <c r="AE1805" s="56"/>
      <c r="AF1805" s="56" t="s">
        <v>600</v>
      </c>
    </row>
    <row r="1806">
      <c r="A1806" s="52" t="s">
        <v>5100</v>
      </c>
      <c r="B1806" s="52" t="s">
        <v>14</v>
      </c>
      <c r="C1806" s="52" t="s">
        <v>221</v>
      </c>
      <c r="D1806" s="65">
        <v>0.5775231481481482</v>
      </c>
      <c r="E1806" s="65">
        <v>3.4722222222222224E-4</v>
      </c>
      <c r="F1806" s="65">
        <v>0.5778703703703705</v>
      </c>
      <c r="G1806" s="65"/>
      <c r="H1806" s="52" t="s">
        <v>87</v>
      </c>
      <c r="I1806" s="52" t="s">
        <v>88</v>
      </c>
      <c r="J1806" s="52" t="s">
        <v>69</v>
      </c>
      <c r="K1806" s="52"/>
      <c r="L1806" s="52"/>
      <c r="M1806" s="52"/>
      <c r="N1806" s="52"/>
      <c r="O1806" s="52"/>
      <c r="P1806" s="52"/>
      <c r="Q1806" s="52"/>
      <c r="R1806" s="51" t="b">
        <v>0</v>
      </c>
      <c r="S1806" s="51"/>
      <c r="T1806" s="52"/>
      <c r="U1806" s="51" t="b">
        <v>0</v>
      </c>
      <c r="V1806" s="51" t="b">
        <v>0</v>
      </c>
      <c r="W1806" s="51" t="b">
        <v>0</v>
      </c>
      <c r="X1806" s="51" t="b">
        <v>0</v>
      </c>
      <c r="Y1806" s="51" t="b">
        <v>0</v>
      </c>
      <c r="Z1806" s="51" t="b">
        <v>0</v>
      </c>
      <c r="AA1806" s="68"/>
      <c r="AB1806" s="52"/>
      <c r="AC1806" s="52"/>
      <c r="AD1806" s="52"/>
      <c r="AE1806" s="56"/>
      <c r="AF1806" s="56" t="s">
        <v>600</v>
      </c>
    </row>
    <row r="1807">
      <c r="A1807" s="52" t="s">
        <v>5101</v>
      </c>
      <c r="B1807" s="52" t="s">
        <v>14</v>
      </c>
      <c r="C1807" s="52" t="s">
        <v>66</v>
      </c>
      <c r="D1807" s="65">
        <v>0.655347222222222</v>
      </c>
      <c r="E1807" s="65">
        <v>0.013888888888888888</v>
      </c>
      <c r="F1807" s="65">
        <v>0.6692361111111108</v>
      </c>
      <c r="G1807" s="65"/>
      <c r="H1807" s="52" t="s">
        <v>74</v>
      </c>
      <c r="I1807" s="52" t="s">
        <v>202</v>
      </c>
      <c r="J1807" s="52" t="s">
        <v>203</v>
      </c>
      <c r="K1807" s="52"/>
      <c r="L1807" s="52"/>
      <c r="M1807" s="52"/>
      <c r="N1807" s="52" t="s">
        <v>204</v>
      </c>
      <c r="O1807" s="52"/>
      <c r="P1807" s="52"/>
      <c r="Q1807" s="52"/>
      <c r="R1807" s="51" t="b">
        <v>0</v>
      </c>
      <c r="S1807" s="51"/>
      <c r="T1807" s="52"/>
      <c r="U1807" s="51" t="b">
        <v>0</v>
      </c>
      <c r="V1807" s="51" t="b">
        <v>0</v>
      </c>
      <c r="W1807" s="51" t="b">
        <v>0</v>
      </c>
      <c r="X1807" s="51" t="b">
        <v>0</v>
      </c>
      <c r="Y1807" s="51" t="b">
        <v>0</v>
      </c>
      <c r="Z1807" s="51" t="b">
        <v>0</v>
      </c>
      <c r="AA1807" s="68"/>
      <c r="AB1807" s="52"/>
      <c r="AC1807" s="52"/>
      <c r="AD1807" s="52"/>
      <c r="AE1807" s="56"/>
      <c r="AF1807" s="56" t="s">
        <v>1631</v>
      </c>
    </row>
    <row r="1808">
      <c r="A1808" s="52" t="s">
        <v>5102</v>
      </c>
      <c r="B1808" s="52" t="s">
        <v>14</v>
      </c>
      <c r="C1808" s="52" t="s">
        <v>66</v>
      </c>
      <c r="D1808" s="65">
        <v>0.6551157407407405</v>
      </c>
      <c r="E1808" s="65">
        <v>2.314814814814815E-4</v>
      </c>
      <c r="F1808" s="65">
        <v>0.655347222222222</v>
      </c>
      <c r="G1808" s="65"/>
      <c r="H1808" s="52" t="s">
        <v>81</v>
      </c>
      <c r="I1808" s="52"/>
      <c r="J1808" s="52" t="s">
        <v>128</v>
      </c>
      <c r="K1808" s="52"/>
      <c r="L1808" s="52"/>
      <c r="M1808" s="52"/>
      <c r="N1808" s="52"/>
      <c r="O1808" s="52"/>
      <c r="P1808" s="52"/>
      <c r="Q1808" s="52"/>
      <c r="R1808" s="51" t="b">
        <v>0</v>
      </c>
      <c r="S1808" s="51"/>
      <c r="T1808" s="52"/>
      <c r="U1808" s="51" t="b">
        <v>0</v>
      </c>
      <c r="V1808" s="51" t="b">
        <v>0</v>
      </c>
      <c r="W1808" s="51" t="b">
        <v>0</v>
      </c>
      <c r="X1808" s="51" t="b">
        <v>0</v>
      </c>
      <c r="Y1808" s="51" t="b">
        <v>0</v>
      </c>
      <c r="Z1808" s="51" t="b">
        <v>0</v>
      </c>
      <c r="AA1808" s="68"/>
      <c r="AB1808" s="52"/>
      <c r="AC1808" s="52"/>
      <c r="AD1808" s="52"/>
      <c r="AE1808" s="56"/>
      <c r="AF1808" s="56"/>
    </row>
    <row r="1809">
      <c r="A1809" s="52" t="s">
        <v>5103</v>
      </c>
      <c r="B1809" s="52" t="s">
        <v>14</v>
      </c>
      <c r="C1809" s="52" t="s">
        <v>66</v>
      </c>
      <c r="D1809" s="65">
        <v>0.6540740740740738</v>
      </c>
      <c r="E1809" s="65">
        <v>0.0010416666666666667</v>
      </c>
      <c r="F1809" s="65">
        <v>0.6551157407407405</v>
      </c>
      <c r="G1809" s="65"/>
      <c r="H1809" s="52" t="s">
        <v>67</v>
      </c>
      <c r="I1809" s="52" t="s">
        <v>68</v>
      </c>
      <c r="J1809" s="52" t="s">
        <v>69</v>
      </c>
      <c r="K1809" s="52"/>
      <c r="L1809" s="52"/>
      <c r="M1809" s="52"/>
      <c r="N1809" s="52"/>
      <c r="O1809" s="52"/>
      <c r="P1809" s="52"/>
      <c r="Q1809" s="52"/>
      <c r="R1809" s="51" t="b">
        <v>0</v>
      </c>
      <c r="S1809" s="51"/>
      <c r="T1809" s="52"/>
      <c r="U1809" s="51" t="b">
        <v>0</v>
      </c>
      <c r="V1809" s="51" t="b">
        <v>0</v>
      </c>
      <c r="W1809" s="51" t="b">
        <v>0</v>
      </c>
      <c r="X1809" s="51" t="b">
        <v>0</v>
      </c>
      <c r="Y1809" s="51" t="b">
        <v>0</v>
      </c>
      <c r="Z1809" s="51" t="b">
        <v>0</v>
      </c>
      <c r="AA1809" s="68"/>
      <c r="AB1809" s="52"/>
      <c r="AC1809" s="52"/>
      <c r="AD1809" s="52"/>
      <c r="AE1809" s="56"/>
      <c r="AF1809" s="56"/>
    </row>
    <row r="1810">
      <c r="A1810" s="52" t="s">
        <v>5104</v>
      </c>
      <c r="B1810" s="52" t="s">
        <v>14</v>
      </c>
      <c r="C1810" s="52" t="s">
        <v>221</v>
      </c>
      <c r="D1810" s="65">
        <v>0.47268518518518543</v>
      </c>
      <c r="E1810" s="65">
        <v>3.4722222222222224E-4</v>
      </c>
      <c r="F1810" s="65">
        <v>0.47303240740740765</v>
      </c>
      <c r="G1810" s="65"/>
      <c r="H1810" s="52" t="s">
        <v>87</v>
      </c>
      <c r="I1810" s="52" t="s">
        <v>187</v>
      </c>
      <c r="J1810" s="52" t="s">
        <v>69</v>
      </c>
      <c r="K1810" s="52"/>
      <c r="L1810" s="52"/>
      <c r="M1810" s="52"/>
      <c r="N1810" s="52"/>
      <c r="O1810" s="52"/>
      <c r="P1810" s="52"/>
      <c r="Q1810" s="52"/>
      <c r="R1810" s="51" t="b">
        <v>0</v>
      </c>
      <c r="S1810" s="51"/>
      <c r="T1810" s="52"/>
      <c r="U1810" s="51" t="b">
        <v>0</v>
      </c>
      <c r="V1810" s="51" t="b">
        <v>0</v>
      </c>
      <c r="W1810" s="51" t="b">
        <v>0</v>
      </c>
      <c r="X1810" s="51" t="b">
        <v>0</v>
      </c>
      <c r="Y1810" s="51" t="b">
        <v>0</v>
      </c>
      <c r="Z1810" s="51" t="b">
        <v>0</v>
      </c>
      <c r="AA1810" s="68"/>
      <c r="AB1810" s="52"/>
      <c r="AC1810" s="52"/>
      <c r="AD1810" s="52"/>
      <c r="AE1810" s="56"/>
      <c r="AF1810" s="56"/>
    </row>
    <row r="1811">
      <c r="A1811" s="52" t="s">
        <v>5105</v>
      </c>
      <c r="B1811" s="52" t="s">
        <v>14</v>
      </c>
      <c r="C1811" s="52" t="s">
        <v>66</v>
      </c>
      <c r="D1811" s="65"/>
      <c r="E1811" s="65"/>
      <c r="F1811" s="65"/>
      <c r="G1811" s="65"/>
      <c r="H1811" s="52"/>
      <c r="I1811" s="52"/>
      <c r="J1811" s="52"/>
      <c r="K1811" s="52"/>
      <c r="L1811" s="52"/>
      <c r="M1811" s="52"/>
      <c r="N1811" s="52"/>
      <c r="O1811" s="52"/>
      <c r="P1811" s="52"/>
      <c r="Q1811" s="52"/>
      <c r="R1811" s="51" t="b">
        <v>0</v>
      </c>
      <c r="S1811" s="51"/>
      <c r="T1811" s="52"/>
      <c r="U1811" s="51" t="b">
        <v>0</v>
      </c>
      <c r="V1811" s="51" t="b">
        <v>0</v>
      </c>
      <c r="W1811" s="51" t="b">
        <v>0</v>
      </c>
      <c r="X1811" s="51" t="b">
        <v>0</v>
      </c>
      <c r="Y1811" s="51" t="b">
        <v>0</v>
      </c>
      <c r="Z1811" s="51" t="b">
        <v>0</v>
      </c>
      <c r="AA1811" s="68"/>
      <c r="AB1811" s="52"/>
      <c r="AC1811" s="52"/>
      <c r="AD1811" s="52"/>
      <c r="AE1811" s="56"/>
      <c r="AF1811" s="56"/>
    </row>
    <row r="1812">
      <c r="A1812" s="52" t="s">
        <v>5106</v>
      </c>
      <c r="B1812" s="52" t="s">
        <v>14</v>
      </c>
      <c r="C1812" s="52" t="s">
        <v>221</v>
      </c>
      <c r="D1812" s="65">
        <v>0.4184027777777778</v>
      </c>
      <c r="E1812" s="65">
        <v>3.4722222222222224E-4</v>
      </c>
      <c r="F1812" s="65">
        <v>0.41875</v>
      </c>
      <c r="G1812" s="65"/>
      <c r="H1812" s="52" t="s">
        <v>79</v>
      </c>
      <c r="I1812" s="52" t="s">
        <v>80</v>
      </c>
      <c r="J1812" s="52" t="s">
        <v>69</v>
      </c>
      <c r="K1812" s="52"/>
      <c r="L1812" s="52"/>
      <c r="M1812" s="52"/>
      <c r="N1812" s="52"/>
      <c r="O1812" s="52"/>
      <c r="P1812" s="52"/>
      <c r="Q1812" s="52"/>
      <c r="R1812" s="51" t="b">
        <v>0</v>
      </c>
      <c r="S1812" s="51"/>
      <c r="T1812" s="52"/>
      <c r="U1812" s="51" t="b">
        <v>0</v>
      </c>
      <c r="V1812" s="51" t="b">
        <v>0</v>
      </c>
      <c r="W1812" s="51" t="b">
        <v>0</v>
      </c>
      <c r="X1812" s="51" t="b">
        <v>0</v>
      </c>
      <c r="Y1812" s="51" t="b">
        <v>0</v>
      </c>
      <c r="Z1812" s="51" t="b">
        <v>0</v>
      </c>
      <c r="AA1812" s="68"/>
      <c r="AB1812" s="52"/>
      <c r="AC1812" s="52"/>
      <c r="AD1812" s="52"/>
      <c r="AE1812" s="56"/>
      <c r="AF1812" s="56"/>
    </row>
    <row r="1813">
      <c r="A1813" s="52" t="s">
        <v>5107</v>
      </c>
      <c r="B1813" s="52" t="s">
        <v>14</v>
      </c>
      <c r="C1813" s="52" t="s">
        <v>66</v>
      </c>
      <c r="D1813" s="65">
        <v>0.6415162037037034</v>
      </c>
      <c r="E1813" s="65">
        <v>3.4722222222222224E-4</v>
      </c>
      <c r="F1813" s="65">
        <v>0.6418634259259257</v>
      </c>
      <c r="G1813" s="65"/>
      <c r="H1813" s="52" t="s">
        <v>87</v>
      </c>
      <c r="I1813" s="52" t="s">
        <v>187</v>
      </c>
      <c r="J1813" s="52"/>
      <c r="K1813" s="52"/>
      <c r="L1813" s="52"/>
      <c r="M1813" s="52"/>
      <c r="N1813" s="52"/>
      <c r="O1813" s="52"/>
      <c r="P1813" s="52"/>
      <c r="Q1813" s="52"/>
      <c r="R1813" s="51" t="b">
        <v>0</v>
      </c>
      <c r="S1813" s="51"/>
      <c r="T1813" s="52"/>
      <c r="U1813" s="51" t="b">
        <v>0</v>
      </c>
      <c r="V1813" s="51" t="b">
        <v>0</v>
      </c>
      <c r="W1813" s="51" t="b">
        <v>0</v>
      </c>
      <c r="X1813" s="51" t="b">
        <v>0</v>
      </c>
      <c r="Y1813" s="51" t="b">
        <v>0</v>
      </c>
      <c r="Z1813" s="51" t="b">
        <v>0</v>
      </c>
      <c r="AA1813" s="68"/>
      <c r="AB1813" s="52"/>
      <c r="AC1813" s="52"/>
      <c r="AD1813" s="52"/>
      <c r="AE1813" s="56"/>
      <c r="AF1813" s="56"/>
    </row>
    <row r="1814">
      <c r="A1814" s="52" t="s">
        <v>5108</v>
      </c>
      <c r="B1814" s="52" t="s">
        <v>607</v>
      </c>
      <c r="C1814" s="52" t="s">
        <v>607</v>
      </c>
      <c r="D1814" s="65" t="s">
        <v>607</v>
      </c>
      <c r="E1814" s="65" t="s">
        <v>607</v>
      </c>
      <c r="F1814" s="65" t="s">
        <v>607</v>
      </c>
      <c r="G1814" s="65" t="s">
        <v>607</v>
      </c>
      <c r="H1814" s="52" t="s">
        <v>607</v>
      </c>
      <c r="I1814" s="52" t="s">
        <v>607</v>
      </c>
      <c r="J1814" s="52" t="s">
        <v>607</v>
      </c>
      <c r="K1814" s="52" t="s">
        <v>607</v>
      </c>
      <c r="L1814" s="52" t="s">
        <v>607</v>
      </c>
      <c r="M1814" s="52" t="s">
        <v>607</v>
      </c>
      <c r="N1814" s="52" t="s">
        <v>607</v>
      </c>
      <c r="O1814" s="52"/>
      <c r="P1814" s="52"/>
      <c r="Q1814" s="52"/>
      <c r="R1814" s="51" t="b">
        <v>0</v>
      </c>
      <c r="S1814" s="51"/>
      <c r="T1814" s="52"/>
      <c r="U1814" s="51" t="b">
        <v>0</v>
      </c>
      <c r="V1814" s="51" t="b">
        <v>0</v>
      </c>
      <c r="W1814" s="51" t="b">
        <v>0</v>
      </c>
      <c r="X1814" s="51" t="b">
        <v>0</v>
      </c>
      <c r="Y1814" s="51" t="b">
        <v>0</v>
      </c>
      <c r="Z1814" s="51" t="b">
        <v>0</v>
      </c>
      <c r="AA1814" s="68"/>
      <c r="AB1814" s="52"/>
      <c r="AC1814" s="52"/>
      <c r="AD1814" s="52"/>
      <c r="AE1814" s="56" t="s">
        <v>607</v>
      </c>
      <c r="AF1814" s="56" t="s">
        <v>607</v>
      </c>
    </row>
    <row r="1815">
      <c r="A1815" s="52" t="s">
        <v>5109</v>
      </c>
      <c r="B1815" s="52" t="s">
        <v>14</v>
      </c>
      <c r="C1815" s="52" t="s">
        <v>66</v>
      </c>
      <c r="D1815" s="65"/>
      <c r="E1815" s="65"/>
      <c r="F1815" s="65"/>
      <c r="G1815" s="65"/>
      <c r="H1815" s="52"/>
      <c r="I1815" s="52"/>
      <c r="J1815" s="52"/>
      <c r="K1815" s="52"/>
      <c r="L1815" s="52"/>
      <c r="M1815" s="52"/>
      <c r="N1815" s="52"/>
      <c r="O1815" s="52"/>
      <c r="P1815" s="52"/>
      <c r="Q1815" s="52"/>
      <c r="R1815" s="51" t="b">
        <v>0</v>
      </c>
      <c r="S1815" s="51"/>
      <c r="T1815" s="52"/>
      <c r="U1815" s="51" t="b">
        <v>0</v>
      </c>
      <c r="V1815" s="51" t="b">
        <v>0</v>
      </c>
      <c r="W1815" s="51" t="b">
        <v>0</v>
      </c>
      <c r="X1815" s="51" t="b">
        <v>0</v>
      </c>
      <c r="Y1815" s="51" t="b">
        <v>0</v>
      </c>
      <c r="Z1815" s="51" t="b">
        <v>0</v>
      </c>
      <c r="AA1815" s="68"/>
      <c r="AB1815" s="52"/>
      <c r="AC1815" s="52"/>
      <c r="AD1815" s="52"/>
      <c r="AE1815" s="56"/>
      <c r="AF1815" s="56"/>
    </row>
    <row r="1816">
      <c r="A1816" s="52" t="s">
        <v>5110</v>
      </c>
      <c r="B1816" s="52" t="s">
        <v>14</v>
      </c>
      <c r="C1816" s="52" t="s">
        <v>66</v>
      </c>
      <c r="D1816" s="65">
        <v>0.5578935185185185</v>
      </c>
      <c r="E1816" s="65">
        <v>3.4722222222222224E-4</v>
      </c>
      <c r="F1816" s="65">
        <v>0.5582407407407408</v>
      </c>
      <c r="G1816" s="65"/>
      <c r="H1816" s="52" t="s">
        <v>89</v>
      </c>
      <c r="I1816" s="52" t="s">
        <v>153</v>
      </c>
      <c r="J1816" s="52"/>
      <c r="K1816" s="52"/>
      <c r="L1816" s="52"/>
      <c r="M1816" s="52"/>
      <c r="N1816" s="52"/>
      <c r="O1816" s="52"/>
      <c r="P1816" s="52"/>
      <c r="Q1816" s="52"/>
      <c r="R1816" s="51" t="b">
        <v>0</v>
      </c>
      <c r="S1816" s="51"/>
      <c r="T1816" s="52"/>
      <c r="U1816" s="51" t="b">
        <v>0</v>
      </c>
      <c r="V1816" s="51" t="b">
        <v>0</v>
      </c>
      <c r="W1816" s="51" t="b">
        <v>0</v>
      </c>
      <c r="X1816" s="51" t="b">
        <v>0</v>
      </c>
      <c r="Y1816" s="51" t="b">
        <v>0</v>
      </c>
      <c r="Z1816" s="51" t="b">
        <v>0</v>
      </c>
      <c r="AA1816" s="68"/>
      <c r="AB1816" s="52"/>
      <c r="AC1816" s="52"/>
      <c r="AD1816" s="52"/>
      <c r="AE1816" s="56"/>
      <c r="AF1816" s="56"/>
    </row>
    <row r="1817">
      <c r="A1817" s="52" t="s">
        <v>5111</v>
      </c>
      <c r="B1817" s="52" t="s">
        <v>14</v>
      </c>
      <c r="C1817" s="52" t="s">
        <v>66</v>
      </c>
      <c r="D1817" s="65">
        <v>0.6290162037037035</v>
      </c>
      <c r="E1817" s="65">
        <v>3.4722222222222224E-4</v>
      </c>
      <c r="F1817" s="65">
        <v>0.6293634259259258</v>
      </c>
      <c r="G1817" s="65"/>
      <c r="H1817" s="52" t="s">
        <v>87</v>
      </c>
      <c r="I1817" s="52" t="s">
        <v>187</v>
      </c>
      <c r="J1817" s="52" t="s">
        <v>69</v>
      </c>
      <c r="K1817" s="52"/>
      <c r="L1817" s="52"/>
      <c r="M1817" s="52"/>
      <c r="N1817" s="52"/>
      <c r="O1817" s="52"/>
      <c r="P1817" s="52"/>
      <c r="Q1817" s="52"/>
      <c r="R1817" s="51" t="b">
        <v>0</v>
      </c>
      <c r="S1817" s="51"/>
      <c r="T1817" s="52"/>
      <c r="U1817" s="51" t="b">
        <v>0</v>
      </c>
      <c r="V1817" s="51" t="b">
        <v>0</v>
      </c>
      <c r="W1817" s="51" t="b">
        <v>0</v>
      </c>
      <c r="X1817" s="51" t="b">
        <v>0</v>
      </c>
      <c r="Y1817" s="51" t="b">
        <v>0</v>
      </c>
      <c r="Z1817" s="51" t="b">
        <v>0</v>
      </c>
      <c r="AA1817" s="68"/>
      <c r="AB1817" s="52"/>
      <c r="AC1817" s="52"/>
      <c r="AD1817" s="52"/>
      <c r="AE1817" s="56"/>
      <c r="AF1817" s="56" t="s">
        <v>600</v>
      </c>
    </row>
    <row r="1818">
      <c r="A1818" s="52" t="s">
        <v>5112</v>
      </c>
      <c r="B1818" s="52" t="s">
        <v>14</v>
      </c>
      <c r="C1818" s="52" t="s">
        <v>66</v>
      </c>
      <c r="D1818" s="65">
        <v>0.48353009259259294</v>
      </c>
      <c r="E1818" s="65">
        <v>3.4722222222222224E-4</v>
      </c>
      <c r="F1818" s="65">
        <v>0.48387731481481516</v>
      </c>
      <c r="G1818" s="65"/>
      <c r="H1818" s="52" t="s">
        <v>87</v>
      </c>
      <c r="I1818" s="52"/>
      <c r="J1818" s="52" t="s">
        <v>69</v>
      </c>
      <c r="K1818" s="52"/>
      <c r="L1818" s="52"/>
      <c r="M1818" s="52"/>
      <c r="N1818" s="52"/>
      <c r="O1818" s="52"/>
      <c r="P1818" s="52"/>
      <c r="Q1818" s="52"/>
      <c r="R1818" s="51" t="b">
        <v>0</v>
      </c>
      <c r="S1818" s="51"/>
      <c r="T1818" s="52"/>
      <c r="U1818" s="51" t="b">
        <v>0</v>
      </c>
      <c r="V1818" s="51" t="b">
        <v>0</v>
      </c>
      <c r="W1818" s="51" t="b">
        <v>0</v>
      </c>
      <c r="X1818" s="51" t="b">
        <v>0</v>
      </c>
      <c r="Y1818" s="51" t="b">
        <v>0</v>
      </c>
      <c r="Z1818" s="51" t="b">
        <v>0</v>
      </c>
      <c r="AA1818" s="68"/>
      <c r="AB1818" s="52"/>
      <c r="AC1818" s="52"/>
      <c r="AD1818" s="52"/>
      <c r="AE1818" s="56"/>
      <c r="AF1818" s="56"/>
    </row>
    <row r="1819">
      <c r="A1819" s="52" t="s">
        <v>5113</v>
      </c>
      <c r="B1819" s="52" t="s">
        <v>14</v>
      </c>
      <c r="C1819" s="52" t="s">
        <v>66</v>
      </c>
      <c r="D1819" s="65">
        <v>0.49487268518518557</v>
      </c>
      <c r="E1819" s="65">
        <v>0.005555555555555556</v>
      </c>
      <c r="F1819" s="65">
        <v>0.5004282407407411</v>
      </c>
      <c r="G1819" s="65"/>
      <c r="H1819" s="52" t="s">
        <v>126</v>
      </c>
      <c r="I1819" s="52"/>
      <c r="J1819" s="52"/>
      <c r="K1819" s="52"/>
      <c r="L1819" s="52"/>
      <c r="M1819" s="52"/>
      <c r="N1819" s="52"/>
      <c r="O1819" s="52"/>
      <c r="P1819" s="52"/>
      <c r="Q1819" s="52"/>
      <c r="R1819" s="51" t="b">
        <v>0</v>
      </c>
      <c r="S1819" s="51"/>
      <c r="T1819" s="52"/>
      <c r="U1819" s="51" t="b">
        <v>0</v>
      </c>
      <c r="V1819" s="51" t="b">
        <v>0</v>
      </c>
      <c r="W1819" s="51" t="b">
        <v>0</v>
      </c>
      <c r="X1819" s="51" t="b">
        <v>0</v>
      </c>
      <c r="Y1819" s="51" t="b">
        <v>0</v>
      </c>
      <c r="Z1819" s="51" t="b">
        <v>0</v>
      </c>
      <c r="AA1819" s="68"/>
      <c r="AB1819" s="52"/>
      <c r="AC1819" s="52"/>
      <c r="AD1819" s="52"/>
      <c r="AE1819" s="56"/>
      <c r="AF1819" s="56"/>
    </row>
    <row r="1820">
      <c r="A1820" s="52" t="s">
        <v>5114</v>
      </c>
      <c r="B1820" s="52" t="s">
        <v>14</v>
      </c>
      <c r="C1820" s="52" t="s">
        <v>66</v>
      </c>
      <c r="D1820" s="65">
        <v>0.42604166666666665</v>
      </c>
      <c r="E1820" s="65">
        <v>1.7361111111111112E-4</v>
      </c>
      <c r="F1820" s="65">
        <v>0.4262152777777778</v>
      </c>
      <c r="G1820" s="65"/>
      <c r="H1820" s="52" t="s">
        <v>77</v>
      </c>
      <c r="I1820" s="52" t="s">
        <v>78</v>
      </c>
      <c r="J1820" s="52" t="s">
        <v>69</v>
      </c>
      <c r="K1820" s="52"/>
      <c r="L1820" s="52"/>
      <c r="M1820" s="52"/>
      <c r="N1820" s="52"/>
      <c r="O1820" s="52"/>
      <c r="P1820" s="52"/>
      <c r="Q1820" s="52"/>
      <c r="R1820" s="51" t="b">
        <v>0</v>
      </c>
      <c r="S1820" s="51"/>
      <c r="T1820" s="52"/>
      <c r="U1820" s="51" t="b">
        <v>0</v>
      </c>
      <c r="V1820" s="51" t="b">
        <v>0</v>
      </c>
      <c r="W1820" s="51" t="b">
        <v>0</v>
      </c>
      <c r="X1820" s="51" t="b">
        <v>0</v>
      </c>
      <c r="Y1820" s="51" t="b">
        <v>0</v>
      </c>
      <c r="Z1820" s="51" t="b">
        <v>0</v>
      </c>
      <c r="AA1820" s="68"/>
      <c r="AB1820" s="52"/>
      <c r="AC1820" s="52"/>
      <c r="AD1820" s="52"/>
      <c r="AE1820" s="56"/>
      <c r="AF1820" s="56"/>
    </row>
    <row r="1821">
      <c r="A1821" s="52" t="s">
        <v>5115</v>
      </c>
      <c r="B1821" s="52" t="s">
        <v>14</v>
      </c>
      <c r="C1821" s="52" t="s">
        <v>66</v>
      </c>
      <c r="D1821" s="65">
        <v>0.4293981481481482</v>
      </c>
      <c r="E1821" s="65">
        <v>5.208333333333333E-4</v>
      </c>
      <c r="F1821" s="65">
        <v>0.42991898148148155</v>
      </c>
      <c r="G1821" s="65"/>
      <c r="H1821" s="52" t="s">
        <v>89</v>
      </c>
      <c r="I1821" s="52" t="s">
        <v>80</v>
      </c>
      <c r="J1821" s="52" t="s">
        <v>90</v>
      </c>
      <c r="K1821" s="52"/>
      <c r="L1821" s="52"/>
      <c r="M1821" s="52"/>
      <c r="N1821" s="52"/>
      <c r="O1821" s="52"/>
      <c r="P1821" s="52"/>
      <c r="Q1821" s="52"/>
      <c r="R1821" s="51" t="b">
        <v>0</v>
      </c>
      <c r="S1821" s="51"/>
      <c r="T1821" s="52"/>
      <c r="U1821" s="51" t="b">
        <v>0</v>
      </c>
      <c r="V1821" s="51" t="b">
        <v>0</v>
      </c>
      <c r="W1821" s="51" t="b">
        <v>0</v>
      </c>
      <c r="X1821" s="51" t="b">
        <v>0</v>
      </c>
      <c r="Y1821" s="51" t="b">
        <v>0</v>
      </c>
      <c r="Z1821" s="51" t="b">
        <v>0</v>
      </c>
      <c r="AA1821" s="68"/>
      <c r="AB1821" s="52"/>
      <c r="AC1821" s="52"/>
      <c r="AD1821" s="52"/>
      <c r="AE1821" s="56"/>
      <c r="AF1821" s="56"/>
    </row>
    <row r="1822">
      <c r="A1822" s="52" t="s">
        <v>5116</v>
      </c>
      <c r="B1822" s="52" t="s">
        <v>14</v>
      </c>
      <c r="C1822" s="52" t="s">
        <v>66</v>
      </c>
      <c r="D1822" s="65">
        <v>0.45671296296296315</v>
      </c>
      <c r="E1822" s="65">
        <v>0.0016203703703703703</v>
      </c>
      <c r="F1822" s="65">
        <v>0.45833333333333354</v>
      </c>
      <c r="G1822" s="65"/>
      <c r="H1822" s="52"/>
      <c r="I1822" s="52"/>
      <c r="J1822" s="52"/>
      <c r="K1822" s="52"/>
      <c r="L1822" s="52"/>
      <c r="M1822" s="52"/>
      <c r="N1822" s="52"/>
      <c r="O1822" s="52"/>
      <c r="P1822" s="52"/>
      <c r="Q1822" s="52"/>
      <c r="R1822" s="51" t="b">
        <v>0</v>
      </c>
      <c r="S1822" s="51"/>
      <c r="T1822" s="52"/>
      <c r="U1822" s="51" t="b">
        <v>0</v>
      </c>
      <c r="V1822" s="51" t="b">
        <v>0</v>
      </c>
      <c r="W1822" s="51" t="b">
        <v>0</v>
      </c>
      <c r="X1822" s="51" t="b">
        <v>0</v>
      </c>
      <c r="Y1822" s="51" t="b">
        <v>0</v>
      </c>
      <c r="Z1822" s="51" t="b">
        <v>0</v>
      </c>
      <c r="AA1822" s="68"/>
      <c r="AB1822" s="52"/>
      <c r="AC1822" s="52"/>
      <c r="AD1822" s="52"/>
      <c r="AE1822" s="56"/>
      <c r="AF1822" s="56"/>
    </row>
    <row r="1823">
      <c r="A1823" s="52" t="s">
        <v>5117</v>
      </c>
      <c r="B1823" s="52" t="s">
        <v>14</v>
      </c>
      <c r="C1823" s="52" t="s">
        <v>66</v>
      </c>
      <c r="D1823" s="65">
        <v>0.459027777777778</v>
      </c>
      <c r="E1823" s="65">
        <v>3.4722222222222224E-4</v>
      </c>
      <c r="F1823" s="65">
        <v>0.4593750000000002</v>
      </c>
      <c r="G1823" s="65"/>
      <c r="H1823" s="52" t="s">
        <v>89</v>
      </c>
      <c r="I1823" s="52"/>
      <c r="J1823" s="52" t="s">
        <v>69</v>
      </c>
      <c r="K1823" s="52"/>
      <c r="L1823" s="52"/>
      <c r="M1823" s="52"/>
      <c r="N1823" s="52"/>
      <c r="O1823" s="52"/>
      <c r="P1823" s="52"/>
      <c r="Q1823" s="52"/>
      <c r="R1823" s="51" t="b">
        <v>0</v>
      </c>
      <c r="S1823" s="51"/>
      <c r="T1823" s="52"/>
      <c r="U1823" s="51" t="b">
        <v>0</v>
      </c>
      <c r="V1823" s="51" t="b">
        <v>0</v>
      </c>
      <c r="W1823" s="51" t="b">
        <v>0</v>
      </c>
      <c r="X1823" s="51" t="b">
        <v>0</v>
      </c>
      <c r="Y1823" s="51" t="b">
        <v>0</v>
      </c>
      <c r="Z1823" s="51" t="b">
        <v>0</v>
      </c>
      <c r="AA1823" s="68"/>
      <c r="AB1823" s="52"/>
      <c r="AC1823" s="52"/>
      <c r="AD1823" s="52"/>
      <c r="AE1823" s="56"/>
      <c r="AF1823" s="56"/>
    </row>
    <row r="1824">
      <c r="A1824" s="52" t="s">
        <v>5118</v>
      </c>
      <c r="B1824" s="52" t="s">
        <v>14</v>
      </c>
      <c r="C1824" s="52" t="s">
        <v>66</v>
      </c>
      <c r="D1824" s="65">
        <v>0.46842592592592613</v>
      </c>
      <c r="E1824" s="65">
        <v>3.4722222222222224E-4</v>
      </c>
      <c r="F1824" s="65">
        <v>0.46877314814814836</v>
      </c>
      <c r="G1824" s="65"/>
      <c r="H1824" s="52" t="s">
        <v>87</v>
      </c>
      <c r="I1824" s="52"/>
      <c r="J1824" s="52"/>
      <c r="K1824" s="52"/>
      <c r="L1824" s="52"/>
      <c r="M1824" s="52"/>
      <c r="N1824" s="52"/>
      <c r="O1824" s="52"/>
      <c r="P1824" s="52"/>
      <c r="Q1824" s="52"/>
      <c r="R1824" s="51" t="b">
        <v>0</v>
      </c>
      <c r="S1824" s="51"/>
      <c r="T1824" s="52"/>
      <c r="U1824" s="51" t="b">
        <v>0</v>
      </c>
      <c r="V1824" s="51" t="b">
        <v>0</v>
      </c>
      <c r="W1824" s="51" t="b">
        <v>0</v>
      </c>
      <c r="X1824" s="51" t="b">
        <v>0</v>
      </c>
      <c r="Y1824" s="51" t="b">
        <v>0</v>
      </c>
      <c r="Z1824" s="51" t="b">
        <v>0</v>
      </c>
      <c r="AA1824" s="68"/>
      <c r="AB1824" s="52"/>
      <c r="AC1824" s="52"/>
      <c r="AD1824" s="52"/>
      <c r="AE1824" s="56"/>
      <c r="AF1824" s="56"/>
    </row>
    <row r="1825">
      <c r="A1825" s="52" t="s">
        <v>5119</v>
      </c>
      <c r="B1825" s="52" t="s">
        <v>14</v>
      </c>
      <c r="C1825" s="52" t="s">
        <v>66</v>
      </c>
      <c r="D1825" s="65">
        <v>0.4713194444444447</v>
      </c>
      <c r="E1825" s="65">
        <v>5.208333333333333E-4</v>
      </c>
      <c r="F1825" s="65">
        <v>0.47184027777777804</v>
      </c>
      <c r="G1825" s="65"/>
      <c r="H1825" s="52" t="s">
        <v>79</v>
      </c>
      <c r="I1825" s="52"/>
      <c r="J1825" s="52"/>
      <c r="K1825" s="52"/>
      <c r="L1825" s="52"/>
      <c r="M1825" s="52"/>
      <c r="N1825" s="52"/>
      <c r="O1825" s="52"/>
      <c r="P1825" s="52"/>
      <c r="Q1825" s="52"/>
      <c r="R1825" s="51" t="b">
        <v>0</v>
      </c>
      <c r="S1825" s="51"/>
      <c r="T1825" s="52"/>
      <c r="U1825" s="51" t="b">
        <v>0</v>
      </c>
      <c r="V1825" s="51" t="b">
        <v>0</v>
      </c>
      <c r="W1825" s="51" t="b">
        <v>0</v>
      </c>
      <c r="X1825" s="51" t="b">
        <v>0</v>
      </c>
      <c r="Y1825" s="51" t="b">
        <v>0</v>
      </c>
      <c r="Z1825" s="51" t="b">
        <v>0</v>
      </c>
      <c r="AA1825" s="68"/>
      <c r="AB1825" s="52"/>
      <c r="AC1825" s="52"/>
      <c r="AD1825" s="52"/>
      <c r="AE1825" s="56"/>
      <c r="AF1825" s="56"/>
    </row>
    <row r="1826">
      <c r="A1826" s="52" t="s">
        <v>5120</v>
      </c>
      <c r="B1826" s="52"/>
      <c r="C1826" s="52"/>
      <c r="D1826" s="65"/>
      <c r="E1826" s="65"/>
      <c r="F1826" s="65"/>
      <c r="G1826" s="65"/>
      <c r="H1826" s="52"/>
      <c r="I1826" s="52"/>
      <c r="J1826" s="52"/>
      <c r="K1826" s="52"/>
      <c r="L1826" s="52"/>
      <c r="M1826" s="52"/>
      <c r="N1826" s="52" t="s">
        <v>70</v>
      </c>
      <c r="O1826" s="52"/>
      <c r="P1826" s="52"/>
      <c r="Q1826" s="52"/>
      <c r="R1826" s="51" t="b">
        <v>0</v>
      </c>
      <c r="S1826" s="51"/>
      <c r="T1826" s="52"/>
      <c r="U1826" s="51" t="b">
        <v>0</v>
      </c>
      <c r="V1826" s="51" t="b">
        <v>0</v>
      </c>
      <c r="W1826" s="51" t="b">
        <v>0</v>
      </c>
      <c r="X1826" s="51" t="b">
        <v>0</v>
      </c>
      <c r="Y1826" s="51" t="b">
        <v>0</v>
      </c>
      <c r="Z1826" s="51" t="b">
        <v>0</v>
      </c>
      <c r="AA1826" s="68"/>
      <c r="AB1826" s="52"/>
      <c r="AC1826" s="52"/>
      <c r="AD1826" s="52"/>
      <c r="AE1826" s="56"/>
      <c r="AF1826" s="56"/>
    </row>
    <row r="1827">
      <c r="A1827" s="52" t="s">
        <v>5121</v>
      </c>
      <c r="B1827" s="52"/>
      <c r="C1827" s="52"/>
      <c r="D1827" s="65"/>
      <c r="E1827" s="65"/>
      <c r="F1827" s="65"/>
      <c r="G1827" s="65"/>
      <c r="H1827" s="52"/>
      <c r="I1827" s="52"/>
      <c r="J1827" s="52"/>
      <c r="K1827" s="52"/>
      <c r="L1827" s="52"/>
      <c r="M1827" s="52"/>
      <c r="N1827" s="52" t="s">
        <v>70</v>
      </c>
      <c r="O1827" s="52"/>
      <c r="P1827" s="52"/>
      <c r="Q1827" s="52"/>
      <c r="R1827" s="51" t="b">
        <v>0</v>
      </c>
      <c r="S1827" s="51"/>
      <c r="T1827" s="52"/>
      <c r="U1827" s="51" t="b">
        <v>0</v>
      </c>
      <c r="V1827" s="51" t="b">
        <v>0</v>
      </c>
      <c r="W1827" s="51" t="b">
        <v>0</v>
      </c>
      <c r="X1827" s="51" t="b">
        <v>0</v>
      </c>
      <c r="Y1827" s="51" t="b">
        <v>0</v>
      </c>
      <c r="Z1827" s="51" t="b">
        <v>0</v>
      </c>
      <c r="AA1827" s="68"/>
      <c r="AB1827" s="52"/>
      <c r="AC1827" s="52"/>
      <c r="AD1827" s="52"/>
      <c r="AE1827" s="56"/>
      <c r="AF1827" s="56"/>
    </row>
    <row r="1828">
      <c r="A1828" s="52" t="s">
        <v>5122</v>
      </c>
      <c r="B1828" s="52"/>
      <c r="C1828" s="52"/>
      <c r="D1828" s="65"/>
      <c r="E1828" s="65"/>
      <c r="F1828" s="65"/>
      <c r="G1828" s="65"/>
      <c r="H1828" s="52"/>
      <c r="I1828" s="52"/>
      <c r="J1828" s="52"/>
      <c r="K1828" s="52"/>
      <c r="L1828" s="52"/>
      <c r="M1828" s="52"/>
      <c r="N1828" s="52" t="s">
        <v>70</v>
      </c>
      <c r="O1828" s="52"/>
      <c r="P1828" s="52"/>
      <c r="Q1828" s="52"/>
      <c r="R1828" s="51" t="b">
        <v>0</v>
      </c>
      <c r="S1828" s="51"/>
      <c r="T1828" s="52"/>
      <c r="U1828" s="51" t="b">
        <v>0</v>
      </c>
      <c r="V1828" s="51" t="b">
        <v>0</v>
      </c>
      <c r="W1828" s="51" t="b">
        <v>0</v>
      </c>
      <c r="X1828" s="51" t="b">
        <v>0</v>
      </c>
      <c r="Y1828" s="51" t="b">
        <v>0</v>
      </c>
      <c r="Z1828" s="51" t="b">
        <v>0</v>
      </c>
      <c r="AA1828" s="68"/>
      <c r="AB1828" s="52"/>
      <c r="AC1828" s="52"/>
      <c r="AD1828" s="52"/>
      <c r="AE1828" s="56"/>
      <c r="AF1828" s="56"/>
    </row>
    <row r="1829">
      <c r="A1829" s="52" t="s">
        <v>5123</v>
      </c>
      <c r="B1829" s="52"/>
      <c r="C1829" s="52"/>
      <c r="D1829" s="65"/>
      <c r="E1829" s="65"/>
      <c r="F1829" s="65"/>
      <c r="G1829" s="65"/>
      <c r="H1829" s="52"/>
      <c r="I1829" s="52"/>
      <c r="J1829" s="52"/>
      <c r="K1829" s="52"/>
      <c r="L1829" s="52"/>
      <c r="M1829" s="52"/>
      <c r="N1829" s="52" t="s">
        <v>70</v>
      </c>
      <c r="O1829" s="52"/>
      <c r="P1829" s="52"/>
      <c r="Q1829" s="52"/>
      <c r="R1829" s="51" t="b">
        <v>0</v>
      </c>
      <c r="S1829" s="51"/>
      <c r="T1829" s="52"/>
      <c r="U1829" s="51" t="b">
        <v>0</v>
      </c>
      <c r="V1829" s="51" t="b">
        <v>0</v>
      </c>
      <c r="W1829" s="51" t="b">
        <v>0</v>
      </c>
      <c r="X1829" s="51" t="b">
        <v>0</v>
      </c>
      <c r="Y1829" s="51" t="b">
        <v>0</v>
      </c>
      <c r="Z1829" s="51" t="b">
        <v>0</v>
      </c>
      <c r="AA1829" s="68"/>
      <c r="AB1829" s="52"/>
      <c r="AC1829" s="52"/>
      <c r="AD1829" s="52"/>
      <c r="AE1829" s="56"/>
      <c r="AF1829" s="56"/>
    </row>
    <row r="1830">
      <c r="A1830" s="52" t="s">
        <v>5124</v>
      </c>
      <c r="B1830" s="52"/>
      <c r="C1830" s="52"/>
      <c r="D1830" s="65"/>
      <c r="E1830" s="65"/>
      <c r="F1830" s="65"/>
      <c r="G1830" s="65"/>
      <c r="H1830" s="52"/>
      <c r="I1830" s="52"/>
      <c r="J1830" s="52"/>
      <c r="K1830" s="52"/>
      <c r="L1830" s="52"/>
      <c r="M1830" s="52"/>
      <c r="N1830" s="52" t="s">
        <v>70</v>
      </c>
      <c r="O1830" s="52"/>
      <c r="P1830" s="52"/>
      <c r="Q1830" s="52"/>
      <c r="R1830" s="51" t="b">
        <v>0</v>
      </c>
      <c r="S1830" s="51"/>
      <c r="T1830" s="52"/>
      <c r="U1830" s="51" t="b">
        <v>0</v>
      </c>
      <c r="V1830" s="51" t="b">
        <v>0</v>
      </c>
      <c r="W1830" s="51" t="b">
        <v>0</v>
      </c>
      <c r="X1830" s="51" t="b">
        <v>0</v>
      </c>
      <c r="Y1830" s="51" t="b">
        <v>0</v>
      </c>
      <c r="Z1830" s="51" t="b">
        <v>0</v>
      </c>
      <c r="AA1830" s="68"/>
      <c r="AB1830" s="52"/>
      <c r="AC1830" s="52"/>
      <c r="AD1830" s="52"/>
      <c r="AE1830" s="56"/>
      <c r="AF1830" s="56"/>
    </row>
    <row r="1831">
      <c r="A1831" s="52" t="s">
        <v>5125</v>
      </c>
      <c r="B1831" s="52"/>
      <c r="C1831" s="52"/>
      <c r="D1831" s="65"/>
      <c r="E1831" s="65"/>
      <c r="F1831" s="65"/>
      <c r="G1831" s="65"/>
      <c r="H1831" s="52"/>
      <c r="I1831" s="52"/>
      <c r="J1831" s="52"/>
      <c r="K1831" s="52"/>
      <c r="L1831" s="52"/>
      <c r="M1831" s="52"/>
      <c r="N1831" s="52" t="s">
        <v>70</v>
      </c>
      <c r="O1831" s="52"/>
      <c r="P1831" s="52"/>
      <c r="Q1831" s="52"/>
      <c r="R1831" s="51" t="b">
        <v>0</v>
      </c>
      <c r="S1831" s="51"/>
      <c r="T1831" s="52"/>
      <c r="U1831" s="51" t="b">
        <v>0</v>
      </c>
      <c r="V1831" s="51" t="b">
        <v>0</v>
      </c>
      <c r="W1831" s="51" t="b">
        <v>0</v>
      </c>
      <c r="X1831" s="51" t="b">
        <v>0</v>
      </c>
      <c r="Y1831" s="51" t="b">
        <v>0</v>
      </c>
      <c r="Z1831" s="51" t="b">
        <v>0</v>
      </c>
      <c r="AA1831" s="68"/>
      <c r="AB1831" s="52"/>
      <c r="AC1831" s="52"/>
      <c r="AD1831" s="52"/>
      <c r="AE1831" s="56"/>
      <c r="AF1831" s="56"/>
    </row>
    <row r="1832">
      <c r="A1832" s="52" t="s">
        <v>5126</v>
      </c>
      <c r="B1832" s="52"/>
      <c r="C1832" s="52"/>
      <c r="D1832" s="65"/>
      <c r="E1832" s="65"/>
      <c r="F1832" s="65"/>
      <c r="G1832" s="65"/>
      <c r="H1832" s="52"/>
      <c r="I1832" s="52"/>
      <c r="J1832" s="52"/>
      <c r="K1832" s="52"/>
      <c r="L1832" s="52"/>
      <c r="M1832" s="52"/>
      <c r="N1832" s="52" t="s">
        <v>70</v>
      </c>
      <c r="O1832" s="52"/>
      <c r="P1832" s="52"/>
      <c r="Q1832" s="52"/>
      <c r="R1832" s="51" t="b">
        <v>0</v>
      </c>
      <c r="S1832" s="51"/>
      <c r="T1832" s="52"/>
      <c r="U1832" s="51" t="b">
        <v>0</v>
      </c>
      <c r="V1832" s="51" t="b">
        <v>0</v>
      </c>
      <c r="W1832" s="51" t="b">
        <v>0</v>
      </c>
      <c r="X1832" s="51" t="b">
        <v>0</v>
      </c>
      <c r="Y1832" s="51" t="b">
        <v>0</v>
      </c>
      <c r="Z1832" s="51" t="b">
        <v>0</v>
      </c>
      <c r="AA1832" s="68"/>
      <c r="AB1832" s="52"/>
      <c r="AC1832" s="52"/>
      <c r="AD1832" s="52"/>
      <c r="AE1832" s="56"/>
      <c r="AF1832" s="56"/>
    </row>
    <row r="1833">
      <c r="A1833" s="52" t="s">
        <v>5127</v>
      </c>
      <c r="B1833" s="52"/>
      <c r="C1833" s="52"/>
      <c r="D1833" s="65"/>
      <c r="E1833" s="65"/>
      <c r="F1833" s="65"/>
      <c r="G1833" s="65"/>
      <c r="H1833" s="52"/>
      <c r="I1833" s="52"/>
      <c r="J1833" s="52"/>
      <c r="K1833" s="52"/>
      <c r="L1833" s="52"/>
      <c r="M1833" s="52"/>
      <c r="N1833" s="52" t="s">
        <v>70</v>
      </c>
      <c r="O1833" s="52"/>
      <c r="P1833" s="52"/>
      <c r="Q1833" s="52"/>
      <c r="R1833" s="51" t="b">
        <v>0</v>
      </c>
      <c r="S1833" s="51"/>
      <c r="T1833" s="52"/>
      <c r="U1833" s="51" t="b">
        <v>0</v>
      </c>
      <c r="V1833" s="51" t="b">
        <v>0</v>
      </c>
      <c r="W1833" s="51" t="b">
        <v>0</v>
      </c>
      <c r="X1833" s="51" t="b">
        <v>0</v>
      </c>
      <c r="Y1833" s="51" t="b">
        <v>0</v>
      </c>
      <c r="Z1833" s="51" t="b">
        <v>0</v>
      </c>
      <c r="AA1833" s="68"/>
      <c r="AB1833" s="52"/>
      <c r="AC1833" s="52"/>
      <c r="AD1833" s="52"/>
      <c r="AE1833" s="56"/>
      <c r="AF1833" s="56"/>
    </row>
    <row r="1834">
      <c r="A1834" s="52" t="s">
        <v>5128</v>
      </c>
      <c r="B1834" s="52"/>
      <c r="C1834" s="52"/>
      <c r="D1834" s="65"/>
      <c r="E1834" s="65"/>
      <c r="F1834" s="65"/>
      <c r="G1834" s="65"/>
      <c r="H1834" s="52"/>
      <c r="I1834" s="52"/>
      <c r="J1834" s="52"/>
      <c r="K1834" s="52"/>
      <c r="L1834" s="52"/>
      <c r="M1834" s="52"/>
      <c r="N1834" s="52" t="s">
        <v>70</v>
      </c>
      <c r="O1834" s="52"/>
      <c r="P1834" s="52"/>
      <c r="Q1834" s="52"/>
      <c r="R1834" s="51" t="b">
        <v>0</v>
      </c>
      <c r="S1834" s="51"/>
      <c r="T1834" s="52"/>
      <c r="U1834" s="51" t="b">
        <v>0</v>
      </c>
      <c r="V1834" s="51" t="b">
        <v>0</v>
      </c>
      <c r="W1834" s="51" t="b">
        <v>0</v>
      </c>
      <c r="X1834" s="51" t="b">
        <v>0</v>
      </c>
      <c r="Y1834" s="51" t="b">
        <v>0</v>
      </c>
      <c r="Z1834" s="51" t="b">
        <v>0</v>
      </c>
      <c r="AA1834" s="68"/>
      <c r="AB1834" s="52"/>
      <c r="AC1834" s="52"/>
      <c r="AD1834" s="52"/>
      <c r="AE1834" s="56"/>
      <c r="AF1834" s="56"/>
    </row>
    <row r="1835">
      <c r="A1835" s="52" t="s">
        <v>5129</v>
      </c>
      <c r="B1835" s="52" t="s">
        <v>607</v>
      </c>
      <c r="C1835" s="52" t="s">
        <v>607</v>
      </c>
      <c r="D1835" s="65" t="s">
        <v>607</v>
      </c>
      <c r="E1835" s="65" t="s">
        <v>607</v>
      </c>
      <c r="F1835" s="65" t="s">
        <v>607</v>
      </c>
      <c r="G1835" s="65" t="s">
        <v>607</v>
      </c>
      <c r="H1835" s="52" t="s">
        <v>607</v>
      </c>
      <c r="I1835" s="52" t="s">
        <v>607</v>
      </c>
      <c r="J1835" s="52" t="s">
        <v>607</v>
      </c>
      <c r="K1835" s="52" t="s">
        <v>607</v>
      </c>
      <c r="L1835" s="52" t="s">
        <v>607</v>
      </c>
      <c r="M1835" s="52" t="s">
        <v>607</v>
      </c>
      <c r="N1835" s="52" t="s">
        <v>607</v>
      </c>
      <c r="O1835" s="52"/>
      <c r="P1835" s="52"/>
      <c r="Q1835" s="52"/>
      <c r="R1835" s="51" t="b">
        <v>0</v>
      </c>
      <c r="S1835" s="51"/>
      <c r="T1835" s="52"/>
      <c r="U1835" s="51" t="b">
        <v>0</v>
      </c>
      <c r="V1835" s="51" t="b">
        <v>0</v>
      </c>
      <c r="W1835" s="51" t="b">
        <v>0</v>
      </c>
      <c r="X1835" s="51" t="b">
        <v>0</v>
      </c>
      <c r="Y1835" s="51" t="b">
        <v>0</v>
      </c>
      <c r="Z1835" s="51" t="b">
        <v>0</v>
      </c>
      <c r="AA1835" s="68"/>
      <c r="AB1835" s="52"/>
      <c r="AC1835" s="52"/>
      <c r="AD1835" s="52"/>
      <c r="AE1835" s="56" t="s">
        <v>607</v>
      </c>
      <c r="AF1835" s="56" t="s">
        <v>607</v>
      </c>
    </row>
    <row r="1836">
      <c r="A1836" s="52" t="s">
        <v>5130</v>
      </c>
      <c r="B1836" s="52"/>
      <c r="C1836" s="52"/>
      <c r="D1836" s="65"/>
      <c r="E1836" s="65"/>
      <c r="F1836" s="65"/>
      <c r="G1836" s="65"/>
      <c r="H1836" s="52"/>
      <c r="I1836" s="52"/>
      <c r="J1836" s="52"/>
      <c r="K1836" s="52"/>
      <c r="L1836" s="52"/>
      <c r="M1836" s="52"/>
      <c r="N1836" s="52" t="s">
        <v>70</v>
      </c>
      <c r="O1836" s="52"/>
      <c r="P1836" s="52"/>
      <c r="Q1836" s="52"/>
      <c r="R1836" s="51" t="b">
        <v>0</v>
      </c>
      <c r="S1836" s="51"/>
      <c r="T1836" s="52"/>
      <c r="U1836" s="51" t="b">
        <v>0</v>
      </c>
      <c r="V1836" s="51" t="b">
        <v>0</v>
      </c>
      <c r="W1836" s="51" t="b">
        <v>0</v>
      </c>
      <c r="X1836" s="51" t="b">
        <v>0</v>
      </c>
      <c r="Y1836" s="51" t="b">
        <v>0</v>
      </c>
      <c r="Z1836" s="51" t="b">
        <v>0</v>
      </c>
      <c r="AA1836" s="68"/>
      <c r="AB1836" s="52"/>
      <c r="AC1836" s="52"/>
      <c r="AD1836" s="52"/>
      <c r="AE1836" s="56"/>
      <c r="AF1836" s="56"/>
    </row>
    <row r="1837">
      <c r="A1837" s="52" t="s">
        <v>5131</v>
      </c>
      <c r="B1837" s="52"/>
      <c r="C1837" s="52"/>
      <c r="D1837" s="65"/>
      <c r="E1837" s="65"/>
      <c r="F1837" s="65"/>
      <c r="G1837" s="65"/>
      <c r="H1837" s="52"/>
      <c r="I1837" s="52"/>
      <c r="J1837" s="52"/>
      <c r="K1837" s="52"/>
      <c r="L1837" s="52"/>
      <c r="M1837" s="52"/>
      <c r="N1837" s="52" t="s">
        <v>70</v>
      </c>
      <c r="O1837" s="52"/>
      <c r="P1837" s="52"/>
      <c r="Q1837" s="52"/>
      <c r="R1837" s="51" t="b">
        <v>0</v>
      </c>
      <c r="S1837" s="51"/>
      <c r="T1837" s="52"/>
      <c r="U1837" s="51" t="b">
        <v>0</v>
      </c>
      <c r="V1837" s="51" t="b">
        <v>0</v>
      </c>
      <c r="W1837" s="51" t="b">
        <v>0</v>
      </c>
      <c r="X1837" s="51" t="b">
        <v>0</v>
      </c>
      <c r="Y1837" s="51" t="b">
        <v>0</v>
      </c>
      <c r="Z1837" s="51" t="b">
        <v>0</v>
      </c>
      <c r="AA1837" s="68"/>
      <c r="AB1837" s="52"/>
      <c r="AC1837" s="52"/>
      <c r="AD1837" s="52"/>
      <c r="AE1837" s="56"/>
      <c r="AF1837" s="56"/>
    </row>
    <row r="1838">
      <c r="A1838" s="52" t="s">
        <v>5132</v>
      </c>
      <c r="B1838" s="52"/>
      <c r="C1838" s="52"/>
      <c r="D1838" s="65"/>
      <c r="E1838" s="65"/>
      <c r="F1838" s="65"/>
      <c r="G1838" s="65"/>
      <c r="H1838" s="52"/>
      <c r="I1838" s="52"/>
      <c r="J1838" s="52"/>
      <c r="K1838" s="52"/>
      <c r="L1838" s="52"/>
      <c r="M1838" s="52"/>
      <c r="N1838" s="52" t="s">
        <v>70</v>
      </c>
      <c r="O1838" s="52"/>
      <c r="P1838" s="52"/>
      <c r="Q1838" s="52"/>
      <c r="R1838" s="51" t="b">
        <v>0</v>
      </c>
      <c r="S1838" s="51"/>
      <c r="T1838" s="52"/>
      <c r="U1838" s="51" t="b">
        <v>0</v>
      </c>
      <c r="V1838" s="51" t="b">
        <v>0</v>
      </c>
      <c r="W1838" s="51" t="b">
        <v>0</v>
      </c>
      <c r="X1838" s="51" t="b">
        <v>0</v>
      </c>
      <c r="Y1838" s="51" t="b">
        <v>0</v>
      </c>
      <c r="Z1838" s="51" t="b">
        <v>0</v>
      </c>
      <c r="AA1838" s="68"/>
      <c r="AB1838" s="52"/>
      <c r="AC1838" s="52"/>
      <c r="AD1838" s="52"/>
      <c r="AE1838" s="56"/>
      <c r="AF1838" s="56"/>
    </row>
    <row r="1839">
      <c r="A1839" s="52" t="s">
        <v>5133</v>
      </c>
      <c r="B1839" s="52"/>
      <c r="C1839" s="52"/>
      <c r="D1839" s="65"/>
      <c r="E1839" s="65"/>
      <c r="F1839" s="65"/>
      <c r="G1839" s="65"/>
      <c r="H1839" s="52"/>
      <c r="I1839" s="52"/>
      <c r="J1839" s="52"/>
      <c r="K1839" s="52"/>
      <c r="L1839" s="52"/>
      <c r="M1839" s="52"/>
      <c r="N1839" s="52" t="s">
        <v>70</v>
      </c>
      <c r="O1839" s="52"/>
      <c r="P1839" s="52"/>
      <c r="Q1839" s="52"/>
      <c r="R1839" s="51" t="b">
        <v>0</v>
      </c>
      <c r="S1839" s="51"/>
      <c r="T1839" s="52"/>
      <c r="U1839" s="51" t="b">
        <v>0</v>
      </c>
      <c r="V1839" s="51" t="b">
        <v>0</v>
      </c>
      <c r="W1839" s="51" t="b">
        <v>0</v>
      </c>
      <c r="X1839" s="51" t="b">
        <v>0</v>
      </c>
      <c r="Y1839" s="51" t="b">
        <v>0</v>
      </c>
      <c r="Z1839" s="51" t="b">
        <v>0</v>
      </c>
      <c r="AA1839" s="68"/>
      <c r="AB1839" s="52"/>
      <c r="AC1839" s="52"/>
      <c r="AD1839" s="52"/>
      <c r="AE1839" s="56"/>
      <c r="AF1839" s="56"/>
    </row>
    <row r="1840">
      <c r="A1840" s="52" t="s">
        <v>5134</v>
      </c>
      <c r="B1840" s="52"/>
      <c r="C1840" s="52"/>
      <c r="D1840" s="65"/>
      <c r="E1840" s="65"/>
      <c r="F1840" s="65"/>
      <c r="G1840" s="65"/>
      <c r="H1840" s="52"/>
      <c r="I1840" s="52"/>
      <c r="J1840" s="52"/>
      <c r="K1840" s="52"/>
      <c r="L1840" s="52"/>
      <c r="M1840" s="52"/>
      <c r="N1840" s="52" t="s">
        <v>70</v>
      </c>
      <c r="O1840" s="52"/>
      <c r="P1840" s="52"/>
      <c r="Q1840" s="52"/>
      <c r="R1840" s="51" t="b">
        <v>0</v>
      </c>
      <c r="S1840" s="51"/>
      <c r="T1840" s="52"/>
      <c r="U1840" s="51" t="b">
        <v>0</v>
      </c>
      <c r="V1840" s="51" t="b">
        <v>0</v>
      </c>
      <c r="W1840" s="51" t="b">
        <v>0</v>
      </c>
      <c r="X1840" s="51" t="b">
        <v>0</v>
      </c>
      <c r="Y1840" s="51" t="b">
        <v>0</v>
      </c>
      <c r="Z1840" s="51" t="b">
        <v>0</v>
      </c>
      <c r="AA1840" s="68"/>
      <c r="AB1840" s="52"/>
      <c r="AC1840" s="52"/>
      <c r="AD1840" s="52"/>
      <c r="AE1840" s="56"/>
      <c r="AF1840" s="56"/>
    </row>
    <row r="1841">
      <c r="A1841" s="52" t="s">
        <v>5135</v>
      </c>
      <c r="B1841" s="52"/>
      <c r="C1841" s="52"/>
      <c r="D1841" s="65"/>
      <c r="E1841" s="65"/>
      <c r="F1841" s="65"/>
      <c r="G1841" s="65"/>
      <c r="H1841" s="52"/>
      <c r="I1841" s="52"/>
      <c r="J1841" s="52"/>
      <c r="K1841" s="52"/>
      <c r="L1841" s="52"/>
      <c r="M1841" s="52"/>
      <c r="N1841" s="52" t="s">
        <v>70</v>
      </c>
      <c r="O1841" s="52"/>
      <c r="P1841" s="52"/>
      <c r="Q1841" s="52"/>
      <c r="R1841" s="51" t="b">
        <v>0</v>
      </c>
      <c r="S1841" s="51"/>
      <c r="T1841" s="52"/>
      <c r="U1841" s="51" t="b">
        <v>0</v>
      </c>
      <c r="V1841" s="51" t="b">
        <v>0</v>
      </c>
      <c r="W1841" s="51" t="b">
        <v>0</v>
      </c>
      <c r="X1841" s="51" t="b">
        <v>0</v>
      </c>
      <c r="Y1841" s="51" t="b">
        <v>0</v>
      </c>
      <c r="Z1841" s="51" t="b">
        <v>0</v>
      </c>
      <c r="AA1841" s="68"/>
      <c r="AB1841" s="52"/>
      <c r="AC1841" s="52"/>
      <c r="AD1841" s="52"/>
      <c r="AE1841" s="56"/>
      <c r="AF1841" s="56"/>
    </row>
    <row r="1842">
      <c r="A1842" s="52" t="s">
        <v>5136</v>
      </c>
      <c r="B1842" s="52"/>
      <c r="C1842" s="52"/>
      <c r="D1842" s="65"/>
      <c r="E1842" s="65"/>
      <c r="F1842" s="65"/>
      <c r="G1842" s="65"/>
      <c r="H1842" s="52"/>
      <c r="I1842" s="52"/>
      <c r="J1842" s="52"/>
      <c r="K1842" s="52"/>
      <c r="L1842" s="52"/>
      <c r="M1842" s="52"/>
      <c r="N1842" s="52" t="s">
        <v>70</v>
      </c>
      <c r="O1842" s="52"/>
      <c r="P1842" s="52"/>
      <c r="Q1842" s="52"/>
      <c r="R1842" s="51" t="b">
        <v>0</v>
      </c>
      <c r="S1842" s="51"/>
      <c r="T1842" s="52"/>
      <c r="U1842" s="51" t="b">
        <v>0</v>
      </c>
      <c r="V1842" s="51" t="b">
        <v>0</v>
      </c>
      <c r="W1842" s="51" t="b">
        <v>0</v>
      </c>
      <c r="X1842" s="51" t="b">
        <v>0</v>
      </c>
      <c r="Y1842" s="51" t="b">
        <v>0</v>
      </c>
      <c r="Z1842" s="51" t="b">
        <v>0</v>
      </c>
      <c r="AA1842" s="68"/>
      <c r="AB1842" s="52"/>
      <c r="AC1842" s="52"/>
      <c r="AD1842" s="52"/>
      <c r="AE1842" s="56"/>
      <c r="AF1842" s="56"/>
    </row>
    <row r="1843">
      <c r="A1843" s="52" t="s">
        <v>5137</v>
      </c>
      <c r="B1843" s="52"/>
      <c r="C1843" s="52"/>
      <c r="D1843" s="65"/>
      <c r="E1843" s="65"/>
      <c r="F1843" s="65"/>
      <c r="G1843" s="65"/>
      <c r="H1843" s="52"/>
      <c r="I1843" s="52"/>
      <c r="J1843" s="52"/>
      <c r="K1843" s="52"/>
      <c r="L1843" s="52"/>
      <c r="M1843" s="52"/>
      <c r="N1843" s="52" t="s">
        <v>70</v>
      </c>
      <c r="O1843" s="52"/>
      <c r="P1843" s="52"/>
      <c r="Q1843" s="52"/>
      <c r="R1843" s="51" t="b">
        <v>0</v>
      </c>
      <c r="S1843" s="51"/>
      <c r="T1843" s="52"/>
      <c r="U1843" s="51" t="b">
        <v>0</v>
      </c>
      <c r="V1843" s="51" t="b">
        <v>0</v>
      </c>
      <c r="W1843" s="51" t="b">
        <v>0</v>
      </c>
      <c r="X1843" s="51" t="b">
        <v>0</v>
      </c>
      <c r="Y1843" s="51" t="b">
        <v>0</v>
      </c>
      <c r="Z1843" s="51" t="b">
        <v>0</v>
      </c>
      <c r="AA1843" s="68"/>
      <c r="AB1843" s="52"/>
      <c r="AC1843" s="52"/>
      <c r="AD1843" s="52"/>
      <c r="AE1843" s="56"/>
      <c r="AF1843" s="56"/>
    </row>
    <row r="1844">
      <c r="A1844" s="52" t="s">
        <v>5138</v>
      </c>
      <c r="B1844" s="52"/>
      <c r="C1844" s="52"/>
      <c r="D1844" s="65"/>
      <c r="E1844" s="65"/>
      <c r="F1844" s="65"/>
      <c r="G1844" s="65"/>
      <c r="H1844" s="52"/>
      <c r="I1844" s="52"/>
      <c r="J1844" s="52"/>
      <c r="K1844" s="52"/>
      <c r="L1844" s="52"/>
      <c r="M1844" s="52"/>
      <c r="N1844" s="52" t="s">
        <v>70</v>
      </c>
      <c r="O1844" s="52"/>
      <c r="P1844" s="52"/>
      <c r="Q1844" s="52"/>
      <c r="R1844" s="51" t="b">
        <v>0</v>
      </c>
      <c r="S1844" s="51"/>
      <c r="T1844" s="52"/>
      <c r="U1844" s="51" t="b">
        <v>0</v>
      </c>
      <c r="V1844" s="51" t="b">
        <v>0</v>
      </c>
      <c r="W1844" s="51" t="b">
        <v>0</v>
      </c>
      <c r="X1844" s="51" t="b">
        <v>0</v>
      </c>
      <c r="Y1844" s="51" t="b">
        <v>0</v>
      </c>
      <c r="Z1844" s="51" t="b">
        <v>0</v>
      </c>
      <c r="AA1844" s="68"/>
      <c r="AB1844" s="52"/>
      <c r="AC1844" s="52"/>
      <c r="AD1844" s="52"/>
      <c r="AE1844" s="56"/>
      <c r="AF1844" s="56"/>
    </row>
    <row r="1845">
      <c r="A1845" s="52" t="s">
        <v>5139</v>
      </c>
      <c r="B1845" s="52"/>
      <c r="C1845" s="52"/>
      <c r="D1845" s="65"/>
      <c r="E1845" s="65"/>
      <c r="F1845" s="65"/>
      <c r="G1845" s="65"/>
      <c r="H1845" s="52"/>
      <c r="I1845" s="52"/>
      <c r="J1845" s="52"/>
      <c r="K1845" s="52"/>
      <c r="L1845" s="52"/>
      <c r="M1845" s="52"/>
      <c r="N1845" s="52" t="s">
        <v>70</v>
      </c>
      <c r="O1845" s="52"/>
      <c r="P1845" s="52"/>
      <c r="Q1845" s="52"/>
      <c r="R1845" s="51" t="b">
        <v>0</v>
      </c>
      <c r="S1845" s="51"/>
      <c r="T1845" s="52"/>
      <c r="U1845" s="51" t="b">
        <v>0</v>
      </c>
      <c r="V1845" s="51" t="b">
        <v>0</v>
      </c>
      <c r="W1845" s="51" t="b">
        <v>0</v>
      </c>
      <c r="X1845" s="51" t="b">
        <v>0</v>
      </c>
      <c r="Y1845" s="51" t="b">
        <v>0</v>
      </c>
      <c r="Z1845" s="51" t="b">
        <v>0</v>
      </c>
      <c r="AA1845" s="68"/>
      <c r="AB1845" s="52"/>
      <c r="AC1845" s="52"/>
      <c r="AD1845" s="52"/>
      <c r="AE1845" s="56"/>
      <c r="AF1845" s="56"/>
    </row>
    <row r="1846">
      <c r="A1846" s="52" t="s">
        <v>5140</v>
      </c>
      <c r="B1846" s="52"/>
      <c r="C1846" s="52"/>
      <c r="D1846" s="65"/>
      <c r="E1846" s="65"/>
      <c r="F1846" s="65"/>
      <c r="G1846" s="65"/>
      <c r="H1846" s="52"/>
      <c r="I1846" s="52"/>
      <c r="J1846" s="52"/>
      <c r="K1846" s="52"/>
      <c r="L1846" s="52"/>
      <c r="M1846" s="52"/>
      <c r="N1846" s="52" t="s">
        <v>70</v>
      </c>
      <c r="O1846" s="52"/>
      <c r="P1846" s="52"/>
      <c r="Q1846" s="52"/>
      <c r="R1846" s="51" t="b">
        <v>0</v>
      </c>
      <c r="S1846" s="51"/>
      <c r="T1846" s="52"/>
      <c r="U1846" s="51" t="b">
        <v>0</v>
      </c>
      <c r="V1846" s="51" t="b">
        <v>0</v>
      </c>
      <c r="W1846" s="51" t="b">
        <v>0</v>
      </c>
      <c r="X1846" s="51" t="b">
        <v>0</v>
      </c>
      <c r="Y1846" s="51" t="b">
        <v>0</v>
      </c>
      <c r="Z1846" s="51" t="b">
        <v>0</v>
      </c>
      <c r="AA1846" s="68"/>
      <c r="AB1846" s="52"/>
      <c r="AC1846" s="52"/>
      <c r="AD1846" s="52"/>
      <c r="AE1846" s="56"/>
      <c r="AF1846" s="56"/>
    </row>
    <row r="1847">
      <c r="A1847" s="52" t="s">
        <v>5141</v>
      </c>
      <c r="B1847" s="52"/>
      <c r="C1847" s="52"/>
      <c r="D1847" s="65"/>
      <c r="E1847" s="65"/>
      <c r="F1847" s="65"/>
      <c r="G1847" s="65"/>
      <c r="H1847" s="52"/>
      <c r="I1847" s="52"/>
      <c r="J1847" s="52"/>
      <c r="K1847" s="52"/>
      <c r="L1847" s="52"/>
      <c r="M1847" s="52"/>
      <c r="N1847" s="52" t="s">
        <v>70</v>
      </c>
      <c r="O1847" s="52"/>
      <c r="P1847" s="52"/>
      <c r="Q1847" s="52"/>
      <c r="R1847" s="51" t="b">
        <v>0</v>
      </c>
      <c r="S1847" s="51"/>
      <c r="T1847" s="52"/>
      <c r="U1847" s="51" t="b">
        <v>0</v>
      </c>
      <c r="V1847" s="51" t="b">
        <v>0</v>
      </c>
      <c r="W1847" s="51" t="b">
        <v>0</v>
      </c>
      <c r="X1847" s="51" t="b">
        <v>0</v>
      </c>
      <c r="Y1847" s="51" t="b">
        <v>0</v>
      </c>
      <c r="Z1847" s="51" t="b">
        <v>0</v>
      </c>
      <c r="AA1847" s="68"/>
      <c r="AB1847" s="52"/>
      <c r="AC1847" s="52"/>
      <c r="AD1847" s="52"/>
      <c r="AE1847" s="56"/>
      <c r="AF1847" s="56"/>
    </row>
    <row r="1848">
      <c r="A1848" s="52" t="s">
        <v>5142</v>
      </c>
      <c r="B1848" s="52"/>
      <c r="C1848" s="52"/>
      <c r="D1848" s="65"/>
      <c r="E1848" s="65"/>
      <c r="F1848" s="65"/>
      <c r="G1848" s="65"/>
      <c r="H1848" s="52"/>
      <c r="I1848" s="52"/>
      <c r="J1848" s="52"/>
      <c r="K1848" s="52"/>
      <c r="L1848" s="52"/>
      <c r="M1848" s="52"/>
      <c r="N1848" s="52" t="s">
        <v>70</v>
      </c>
      <c r="O1848" s="52"/>
      <c r="P1848" s="52"/>
      <c r="Q1848" s="52"/>
      <c r="R1848" s="51" t="b">
        <v>0</v>
      </c>
      <c r="S1848" s="51"/>
      <c r="T1848" s="52"/>
      <c r="U1848" s="51" t="b">
        <v>0</v>
      </c>
      <c r="V1848" s="51" t="b">
        <v>0</v>
      </c>
      <c r="W1848" s="51" t="b">
        <v>0</v>
      </c>
      <c r="X1848" s="51" t="b">
        <v>0</v>
      </c>
      <c r="Y1848" s="51" t="b">
        <v>0</v>
      </c>
      <c r="Z1848" s="51" t="b">
        <v>0</v>
      </c>
      <c r="AA1848" s="68"/>
      <c r="AB1848" s="52"/>
      <c r="AC1848" s="52"/>
      <c r="AD1848" s="52"/>
      <c r="AE1848" s="56"/>
      <c r="AF1848" s="56"/>
    </row>
    <row r="1849">
      <c r="A1849" s="52" t="s">
        <v>5143</v>
      </c>
      <c r="B1849" s="52"/>
      <c r="C1849" s="52"/>
      <c r="D1849" s="65"/>
      <c r="E1849" s="65"/>
      <c r="F1849" s="65"/>
      <c r="G1849" s="65"/>
      <c r="H1849" s="52"/>
      <c r="I1849" s="52"/>
      <c r="J1849" s="52"/>
      <c r="K1849" s="52"/>
      <c r="L1849" s="52"/>
      <c r="M1849" s="52"/>
      <c r="N1849" s="52" t="s">
        <v>70</v>
      </c>
      <c r="O1849" s="52"/>
      <c r="P1849" s="52"/>
      <c r="Q1849" s="52"/>
      <c r="R1849" s="51" t="b">
        <v>0</v>
      </c>
      <c r="S1849" s="51"/>
      <c r="T1849" s="52"/>
      <c r="U1849" s="51" t="b">
        <v>0</v>
      </c>
      <c r="V1849" s="51" t="b">
        <v>0</v>
      </c>
      <c r="W1849" s="51" t="b">
        <v>0</v>
      </c>
      <c r="X1849" s="51" t="b">
        <v>0</v>
      </c>
      <c r="Y1849" s="51" t="b">
        <v>0</v>
      </c>
      <c r="Z1849" s="51" t="b">
        <v>0</v>
      </c>
      <c r="AA1849" s="68"/>
      <c r="AB1849" s="52"/>
      <c r="AC1849" s="52"/>
      <c r="AD1849" s="52"/>
      <c r="AE1849" s="56"/>
      <c r="AF1849" s="56"/>
    </row>
    <row r="1850">
      <c r="A1850" s="52" t="s">
        <v>5144</v>
      </c>
      <c r="B1850" s="52"/>
      <c r="C1850" s="52"/>
      <c r="D1850" s="65"/>
      <c r="E1850" s="65"/>
      <c r="F1850" s="65"/>
      <c r="G1850" s="65"/>
      <c r="H1850" s="52"/>
      <c r="I1850" s="52"/>
      <c r="J1850" s="52"/>
      <c r="K1850" s="52"/>
      <c r="L1850" s="52"/>
      <c r="M1850" s="52"/>
      <c r="N1850" s="52" t="s">
        <v>70</v>
      </c>
      <c r="O1850" s="52"/>
      <c r="P1850" s="52"/>
      <c r="Q1850" s="52"/>
      <c r="R1850" s="51" t="b">
        <v>0</v>
      </c>
      <c r="S1850" s="51"/>
      <c r="T1850" s="52"/>
      <c r="U1850" s="51" t="b">
        <v>0</v>
      </c>
      <c r="V1850" s="51" t="b">
        <v>0</v>
      </c>
      <c r="W1850" s="51" t="b">
        <v>0</v>
      </c>
      <c r="X1850" s="51" t="b">
        <v>0</v>
      </c>
      <c r="Y1850" s="51" t="b">
        <v>0</v>
      </c>
      <c r="Z1850" s="51" t="b">
        <v>0</v>
      </c>
      <c r="AA1850" s="68"/>
      <c r="AB1850" s="52"/>
      <c r="AC1850" s="52"/>
      <c r="AD1850" s="52"/>
      <c r="AE1850" s="56"/>
      <c r="AF1850" s="56"/>
    </row>
    <row r="1851">
      <c r="A1851" s="52" t="s">
        <v>5145</v>
      </c>
      <c r="B1851" s="52"/>
      <c r="C1851" s="52"/>
      <c r="D1851" s="65"/>
      <c r="E1851" s="65"/>
      <c r="F1851" s="65"/>
      <c r="G1851" s="65"/>
      <c r="H1851" s="52"/>
      <c r="I1851" s="52"/>
      <c r="J1851" s="52"/>
      <c r="K1851" s="52"/>
      <c r="L1851" s="52"/>
      <c r="M1851" s="52"/>
      <c r="N1851" s="52" t="s">
        <v>70</v>
      </c>
      <c r="O1851" s="52"/>
      <c r="P1851" s="52"/>
      <c r="Q1851" s="52"/>
      <c r="R1851" s="51" t="b">
        <v>0</v>
      </c>
      <c r="S1851" s="51"/>
      <c r="T1851" s="52"/>
      <c r="U1851" s="51" t="b">
        <v>0</v>
      </c>
      <c r="V1851" s="51" t="b">
        <v>0</v>
      </c>
      <c r="W1851" s="51" t="b">
        <v>0</v>
      </c>
      <c r="X1851" s="51" t="b">
        <v>0</v>
      </c>
      <c r="Y1851" s="51" t="b">
        <v>0</v>
      </c>
      <c r="Z1851" s="51" t="b">
        <v>0</v>
      </c>
      <c r="AA1851" s="68"/>
      <c r="AB1851" s="52"/>
      <c r="AC1851" s="52"/>
      <c r="AD1851" s="52"/>
      <c r="AE1851" s="56"/>
      <c r="AF1851" s="56"/>
    </row>
    <row r="1852">
      <c r="A1852" s="52" t="s">
        <v>5146</v>
      </c>
      <c r="B1852" s="52"/>
      <c r="C1852" s="52"/>
      <c r="D1852" s="65"/>
      <c r="E1852" s="65"/>
      <c r="F1852" s="65"/>
      <c r="G1852" s="65"/>
      <c r="H1852" s="52"/>
      <c r="I1852" s="52"/>
      <c r="J1852" s="52"/>
      <c r="K1852" s="52"/>
      <c r="L1852" s="52"/>
      <c r="M1852" s="52"/>
      <c r="N1852" s="52" t="s">
        <v>70</v>
      </c>
      <c r="O1852" s="52"/>
      <c r="P1852" s="52"/>
      <c r="Q1852" s="52"/>
      <c r="R1852" s="51" t="b">
        <v>0</v>
      </c>
      <c r="S1852" s="51"/>
      <c r="T1852" s="52"/>
      <c r="U1852" s="51" t="b">
        <v>0</v>
      </c>
      <c r="V1852" s="51" t="b">
        <v>0</v>
      </c>
      <c r="W1852" s="51" t="b">
        <v>0</v>
      </c>
      <c r="X1852" s="51" t="b">
        <v>0</v>
      </c>
      <c r="Y1852" s="51" t="b">
        <v>0</v>
      </c>
      <c r="Z1852" s="51" t="b">
        <v>0</v>
      </c>
      <c r="AA1852" s="68"/>
      <c r="AB1852" s="52"/>
      <c r="AC1852" s="52"/>
      <c r="AD1852" s="52"/>
      <c r="AE1852" s="56"/>
      <c r="AF1852" s="56"/>
    </row>
    <row r="1853">
      <c r="A1853" s="52" t="s">
        <v>5147</v>
      </c>
      <c r="B1853" s="52"/>
      <c r="C1853" s="52"/>
      <c r="D1853" s="65"/>
      <c r="E1853" s="65"/>
      <c r="F1853" s="65"/>
      <c r="G1853" s="65"/>
      <c r="H1853" s="52"/>
      <c r="I1853" s="52"/>
      <c r="J1853" s="52"/>
      <c r="K1853" s="52"/>
      <c r="L1853" s="52"/>
      <c r="M1853" s="52"/>
      <c r="N1853" s="52" t="s">
        <v>70</v>
      </c>
      <c r="O1853" s="52"/>
      <c r="P1853" s="52"/>
      <c r="Q1853" s="52"/>
      <c r="R1853" s="51" t="b">
        <v>0</v>
      </c>
      <c r="S1853" s="51"/>
      <c r="T1853" s="52"/>
      <c r="U1853" s="51" t="b">
        <v>0</v>
      </c>
      <c r="V1853" s="51" t="b">
        <v>0</v>
      </c>
      <c r="W1853" s="51" t="b">
        <v>0</v>
      </c>
      <c r="X1853" s="51" t="b">
        <v>0</v>
      </c>
      <c r="Y1853" s="51" t="b">
        <v>0</v>
      </c>
      <c r="Z1853" s="51" t="b">
        <v>0</v>
      </c>
      <c r="AA1853" s="68"/>
      <c r="AB1853" s="52"/>
      <c r="AC1853" s="52"/>
      <c r="AD1853" s="52"/>
      <c r="AE1853" s="56"/>
      <c r="AF1853" s="56"/>
    </row>
    <row r="1854">
      <c r="A1854" s="52" t="s">
        <v>5148</v>
      </c>
      <c r="B1854" s="52"/>
      <c r="C1854" s="52"/>
      <c r="D1854" s="65"/>
      <c r="E1854" s="65"/>
      <c r="F1854" s="65"/>
      <c r="G1854" s="65"/>
      <c r="H1854" s="52"/>
      <c r="I1854" s="52"/>
      <c r="J1854" s="52"/>
      <c r="K1854" s="52"/>
      <c r="L1854" s="52"/>
      <c r="M1854" s="52"/>
      <c r="N1854" s="52" t="s">
        <v>70</v>
      </c>
      <c r="O1854" s="52"/>
      <c r="P1854" s="52"/>
      <c r="Q1854" s="52"/>
      <c r="R1854" s="51" t="b">
        <v>0</v>
      </c>
      <c r="S1854" s="51"/>
      <c r="T1854" s="52"/>
      <c r="U1854" s="51" t="b">
        <v>0</v>
      </c>
      <c r="V1854" s="51" t="b">
        <v>0</v>
      </c>
      <c r="W1854" s="51" t="b">
        <v>0</v>
      </c>
      <c r="X1854" s="51" t="b">
        <v>0</v>
      </c>
      <c r="Y1854" s="51" t="b">
        <v>0</v>
      </c>
      <c r="Z1854" s="51" t="b">
        <v>0</v>
      </c>
      <c r="AA1854" s="68"/>
      <c r="AB1854" s="52"/>
      <c r="AC1854" s="52"/>
      <c r="AD1854" s="52"/>
      <c r="AE1854" s="56"/>
      <c r="AF1854" s="56"/>
    </row>
    <row r="1855">
      <c r="A1855" s="52" t="s">
        <v>5149</v>
      </c>
      <c r="B1855" s="52"/>
      <c r="C1855" s="52"/>
      <c r="D1855" s="65"/>
      <c r="E1855" s="65"/>
      <c r="F1855" s="65"/>
      <c r="G1855" s="65"/>
      <c r="H1855" s="52"/>
      <c r="I1855" s="52"/>
      <c r="J1855" s="52"/>
      <c r="K1855" s="52"/>
      <c r="L1855" s="52"/>
      <c r="M1855" s="52"/>
      <c r="N1855" s="52" t="s">
        <v>70</v>
      </c>
      <c r="O1855" s="52"/>
      <c r="P1855" s="52"/>
      <c r="Q1855" s="52"/>
      <c r="R1855" s="51" t="b">
        <v>0</v>
      </c>
      <c r="S1855" s="51"/>
      <c r="T1855" s="52"/>
      <c r="U1855" s="51" t="b">
        <v>0</v>
      </c>
      <c r="V1855" s="51" t="b">
        <v>0</v>
      </c>
      <c r="W1855" s="51" t="b">
        <v>0</v>
      </c>
      <c r="X1855" s="51" t="b">
        <v>0</v>
      </c>
      <c r="Y1855" s="51" t="b">
        <v>0</v>
      </c>
      <c r="Z1855" s="51" t="b">
        <v>0</v>
      </c>
      <c r="AA1855" s="68"/>
      <c r="AB1855" s="52"/>
      <c r="AC1855" s="52"/>
      <c r="AD1855" s="52"/>
      <c r="AE1855" s="56"/>
      <c r="AF1855" s="56"/>
    </row>
    <row r="1856">
      <c r="A1856" s="52" t="s">
        <v>5150</v>
      </c>
      <c r="B1856" s="52"/>
      <c r="C1856" s="52"/>
      <c r="D1856" s="65"/>
      <c r="E1856" s="65"/>
      <c r="F1856" s="65"/>
      <c r="G1856" s="65"/>
      <c r="H1856" s="52"/>
      <c r="I1856" s="52"/>
      <c r="J1856" s="52"/>
      <c r="K1856" s="52"/>
      <c r="L1856" s="52"/>
      <c r="M1856" s="52"/>
      <c r="N1856" s="52" t="s">
        <v>70</v>
      </c>
      <c r="O1856" s="52"/>
      <c r="P1856" s="52"/>
      <c r="Q1856" s="52"/>
      <c r="R1856" s="51" t="b">
        <v>0</v>
      </c>
      <c r="S1856" s="51"/>
      <c r="T1856" s="52"/>
      <c r="U1856" s="51" t="b">
        <v>0</v>
      </c>
      <c r="V1856" s="51" t="b">
        <v>0</v>
      </c>
      <c r="W1856" s="51" t="b">
        <v>0</v>
      </c>
      <c r="X1856" s="51" t="b">
        <v>0</v>
      </c>
      <c r="Y1856" s="51" t="b">
        <v>0</v>
      </c>
      <c r="Z1856" s="51" t="b">
        <v>0</v>
      </c>
      <c r="AA1856" s="68"/>
      <c r="AB1856" s="52"/>
      <c r="AC1856" s="52"/>
      <c r="AD1856" s="52"/>
      <c r="AE1856" s="56"/>
      <c r="AF1856" s="56"/>
    </row>
    <row r="1857">
      <c r="A1857" s="52" t="s">
        <v>5151</v>
      </c>
      <c r="B1857" s="52"/>
      <c r="C1857" s="52"/>
      <c r="D1857" s="65"/>
      <c r="E1857" s="65"/>
      <c r="F1857" s="65"/>
      <c r="G1857" s="65"/>
      <c r="H1857" s="52"/>
      <c r="I1857" s="52"/>
      <c r="J1857" s="52"/>
      <c r="K1857" s="52"/>
      <c r="L1857" s="52"/>
      <c r="M1857" s="52"/>
      <c r="N1857" s="52" t="s">
        <v>70</v>
      </c>
      <c r="O1857" s="52"/>
      <c r="P1857" s="52"/>
      <c r="Q1857" s="52"/>
      <c r="R1857" s="51" t="b">
        <v>0</v>
      </c>
      <c r="S1857" s="51"/>
      <c r="T1857" s="52"/>
      <c r="U1857" s="51" t="b">
        <v>0</v>
      </c>
      <c r="V1857" s="51" t="b">
        <v>0</v>
      </c>
      <c r="W1857" s="51" t="b">
        <v>0</v>
      </c>
      <c r="X1857" s="51" t="b">
        <v>0</v>
      </c>
      <c r="Y1857" s="51" t="b">
        <v>0</v>
      </c>
      <c r="Z1857" s="51" t="b">
        <v>0</v>
      </c>
      <c r="AA1857" s="68"/>
      <c r="AB1857" s="52"/>
      <c r="AC1857" s="52"/>
      <c r="AD1857" s="52"/>
      <c r="AE1857" s="56"/>
      <c r="AF1857" s="56"/>
    </row>
    <row r="1858">
      <c r="A1858" s="52" t="s">
        <v>5152</v>
      </c>
      <c r="B1858" s="52"/>
      <c r="C1858" s="52"/>
      <c r="D1858" s="65"/>
      <c r="E1858" s="65"/>
      <c r="F1858" s="65"/>
      <c r="G1858" s="65"/>
      <c r="H1858" s="52"/>
      <c r="I1858" s="52"/>
      <c r="J1858" s="52"/>
      <c r="K1858" s="52"/>
      <c r="L1858" s="52"/>
      <c r="M1858" s="52"/>
      <c r="N1858" s="52" t="s">
        <v>70</v>
      </c>
      <c r="O1858" s="52"/>
      <c r="P1858" s="52"/>
      <c r="Q1858" s="52"/>
      <c r="R1858" s="51" t="b">
        <v>0</v>
      </c>
      <c r="S1858" s="51"/>
      <c r="T1858" s="52"/>
      <c r="U1858" s="51" t="b">
        <v>0</v>
      </c>
      <c r="V1858" s="51" t="b">
        <v>0</v>
      </c>
      <c r="W1858" s="51" t="b">
        <v>0</v>
      </c>
      <c r="X1858" s="51" t="b">
        <v>0</v>
      </c>
      <c r="Y1858" s="51" t="b">
        <v>0</v>
      </c>
      <c r="Z1858" s="51" t="b">
        <v>0</v>
      </c>
      <c r="AA1858" s="68"/>
      <c r="AB1858" s="52"/>
      <c r="AC1858" s="52"/>
      <c r="AD1858" s="52"/>
      <c r="AE1858" s="56"/>
      <c r="AF1858" s="56"/>
    </row>
    <row r="1859">
      <c r="A1859" s="52" t="s">
        <v>5153</v>
      </c>
      <c r="B1859" s="52"/>
      <c r="C1859" s="52"/>
      <c r="D1859" s="65"/>
      <c r="E1859" s="65"/>
      <c r="F1859" s="65"/>
      <c r="G1859" s="65"/>
      <c r="H1859" s="52"/>
      <c r="I1859" s="52"/>
      <c r="J1859" s="52"/>
      <c r="K1859" s="52"/>
      <c r="L1859" s="52"/>
      <c r="M1859" s="52"/>
      <c r="N1859" s="52" t="s">
        <v>70</v>
      </c>
      <c r="O1859" s="52"/>
      <c r="P1859" s="52"/>
      <c r="Q1859" s="52"/>
      <c r="R1859" s="51" t="b">
        <v>0</v>
      </c>
      <c r="S1859" s="51"/>
      <c r="T1859" s="52"/>
      <c r="U1859" s="51" t="b">
        <v>0</v>
      </c>
      <c r="V1859" s="51" t="b">
        <v>0</v>
      </c>
      <c r="W1859" s="51" t="b">
        <v>0</v>
      </c>
      <c r="X1859" s="51" t="b">
        <v>0</v>
      </c>
      <c r="Y1859" s="51" t="b">
        <v>0</v>
      </c>
      <c r="Z1859" s="51" t="b">
        <v>0</v>
      </c>
      <c r="AA1859" s="68"/>
      <c r="AB1859" s="52"/>
      <c r="AC1859" s="52"/>
      <c r="AD1859" s="52"/>
      <c r="AE1859" s="56"/>
      <c r="AF1859" s="56"/>
    </row>
    <row r="1860">
      <c r="A1860" s="52" t="s">
        <v>5154</v>
      </c>
      <c r="B1860" s="52"/>
      <c r="C1860" s="52"/>
      <c r="D1860" s="65"/>
      <c r="E1860" s="65"/>
      <c r="F1860" s="65"/>
      <c r="G1860" s="65"/>
      <c r="H1860" s="52"/>
      <c r="I1860" s="52"/>
      <c r="J1860" s="52"/>
      <c r="K1860" s="52"/>
      <c r="L1860" s="52"/>
      <c r="M1860" s="52"/>
      <c r="N1860" s="52" t="s">
        <v>70</v>
      </c>
      <c r="O1860" s="52"/>
      <c r="P1860" s="52"/>
      <c r="Q1860" s="52"/>
      <c r="R1860" s="51" t="b">
        <v>0</v>
      </c>
      <c r="S1860" s="51"/>
      <c r="T1860" s="52"/>
      <c r="U1860" s="51" t="b">
        <v>0</v>
      </c>
      <c r="V1860" s="51" t="b">
        <v>0</v>
      </c>
      <c r="W1860" s="51" t="b">
        <v>0</v>
      </c>
      <c r="X1860" s="51" t="b">
        <v>0</v>
      </c>
      <c r="Y1860" s="51" t="b">
        <v>0</v>
      </c>
      <c r="Z1860" s="51" t="b">
        <v>0</v>
      </c>
      <c r="AA1860" s="68"/>
      <c r="AB1860" s="52"/>
      <c r="AC1860" s="52"/>
      <c r="AD1860" s="52"/>
      <c r="AE1860" s="56"/>
      <c r="AF1860" s="56"/>
    </row>
    <row r="1861">
      <c r="A1861" s="52" t="s">
        <v>5155</v>
      </c>
      <c r="B1861" s="52"/>
      <c r="C1861" s="52"/>
      <c r="D1861" s="65"/>
      <c r="E1861" s="65"/>
      <c r="F1861" s="65"/>
      <c r="G1861" s="65"/>
      <c r="H1861" s="52"/>
      <c r="I1861" s="52"/>
      <c r="J1861" s="52"/>
      <c r="K1861" s="52"/>
      <c r="L1861" s="52"/>
      <c r="M1861" s="52"/>
      <c r="N1861" s="52" t="s">
        <v>70</v>
      </c>
      <c r="O1861" s="52"/>
      <c r="P1861" s="52"/>
      <c r="Q1861" s="52"/>
      <c r="R1861" s="51" t="b">
        <v>0</v>
      </c>
      <c r="S1861" s="51"/>
      <c r="T1861" s="52"/>
      <c r="U1861" s="51" t="b">
        <v>0</v>
      </c>
      <c r="V1861" s="51" t="b">
        <v>0</v>
      </c>
      <c r="W1861" s="51" t="b">
        <v>0</v>
      </c>
      <c r="X1861" s="51" t="b">
        <v>0</v>
      </c>
      <c r="Y1861" s="51" t="b">
        <v>0</v>
      </c>
      <c r="Z1861" s="51" t="b">
        <v>0</v>
      </c>
      <c r="AA1861" s="68"/>
      <c r="AB1861" s="52"/>
      <c r="AC1861" s="52"/>
      <c r="AD1861" s="52"/>
      <c r="AE1861" s="56"/>
      <c r="AF1861" s="56"/>
    </row>
    <row r="1862">
      <c r="A1862" s="52" t="s">
        <v>5156</v>
      </c>
      <c r="B1862" s="52"/>
      <c r="C1862" s="52"/>
      <c r="D1862" s="65"/>
      <c r="E1862" s="65"/>
      <c r="F1862" s="65"/>
      <c r="G1862" s="65"/>
      <c r="H1862" s="52"/>
      <c r="I1862" s="52"/>
      <c r="J1862" s="52"/>
      <c r="K1862" s="52"/>
      <c r="L1862" s="52"/>
      <c r="M1862" s="52"/>
      <c r="N1862" s="52" t="s">
        <v>70</v>
      </c>
      <c r="O1862" s="52"/>
      <c r="P1862" s="52"/>
      <c r="Q1862" s="52"/>
      <c r="R1862" s="51" t="b">
        <v>0</v>
      </c>
      <c r="S1862" s="51"/>
      <c r="T1862" s="52"/>
      <c r="U1862" s="51" t="b">
        <v>0</v>
      </c>
      <c r="V1862" s="51" t="b">
        <v>0</v>
      </c>
      <c r="W1862" s="51" t="b">
        <v>0</v>
      </c>
      <c r="X1862" s="51" t="b">
        <v>0</v>
      </c>
      <c r="Y1862" s="51" t="b">
        <v>0</v>
      </c>
      <c r="Z1862" s="51" t="b">
        <v>0</v>
      </c>
      <c r="AA1862" s="68"/>
      <c r="AB1862" s="52"/>
      <c r="AC1862" s="52"/>
      <c r="AD1862" s="52"/>
      <c r="AE1862" s="56"/>
      <c r="AF1862" s="56"/>
    </row>
    <row r="1863">
      <c r="A1863" s="52" t="s">
        <v>5157</v>
      </c>
      <c r="B1863" s="52"/>
      <c r="C1863" s="52"/>
      <c r="D1863" s="65"/>
      <c r="E1863" s="65"/>
      <c r="F1863" s="65"/>
      <c r="G1863" s="65"/>
      <c r="H1863" s="52"/>
      <c r="I1863" s="52"/>
      <c r="J1863" s="52"/>
      <c r="K1863" s="52"/>
      <c r="L1863" s="52"/>
      <c r="M1863" s="52"/>
      <c r="N1863" s="52" t="s">
        <v>70</v>
      </c>
      <c r="O1863" s="52"/>
      <c r="P1863" s="52"/>
      <c r="Q1863" s="52"/>
      <c r="R1863" s="51" t="b">
        <v>0</v>
      </c>
      <c r="S1863" s="51"/>
      <c r="T1863" s="52"/>
      <c r="U1863" s="51" t="b">
        <v>0</v>
      </c>
      <c r="V1863" s="51" t="b">
        <v>0</v>
      </c>
      <c r="W1863" s="51" t="b">
        <v>0</v>
      </c>
      <c r="X1863" s="51" t="b">
        <v>0</v>
      </c>
      <c r="Y1863" s="51" t="b">
        <v>0</v>
      </c>
      <c r="Z1863" s="51" t="b">
        <v>0</v>
      </c>
      <c r="AA1863" s="68"/>
      <c r="AB1863" s="52"/>
      <c r="AC1863" s="52"/>
      <c r="AD1863" s="52"/>
      <c r="AE1863" s="56"/>
      <c r="AF1863" s="56"/>
    </row>
    <row r="1864">
      <c r="A1864" s="52" t="s">
        <v>5158</v>
      </c>
      <c r="B1864" s="52"/>
      <c r="C1864" s="52"/>
      <c r="D1864" s="65"/>
      <c r="E1864" s="65"/>
      <c r="F1864" s="65"/>
      <c r="G1864" s="65"/>
      <c r="H1864" s="52"/>
      <c r="I1864" s="52"/>
      <c r="J1864" s="52"/>
      <c r="K1864" s="52"/>
      <c r="L1864" s="52"/>
      <c r="M1864" s="52"/>
      <c r="N1864" s="52" t="s">
        <v>70</v>
      </c>
      <c r="O1864" s="52"/>
      <c r="P1864" s="52"/>
      <c r="Q1864" s="52"/>
      <c r="R1864" s="51" t="b">
        <v>0</v>
      </c>
      <c r="S1864" s="51"/>
      <c r="T1864" s="52"/>
      <c r="U1864" s="51" t="b">
        <v>0</v>
      </c>
      <c r="V1864" s="51" t="b">
        <v>0</v>
      </c>
      <c r="W1864" s="51" t="b">
        <v>0</v>
      </c>
      <c r="X1864" s="51" t="b">
        <v>0</v>
      </c>
      <c r="Y1864" s="51" t="b">
        <v>0</v>
      </c>
      <c r="Z1864" s="51" t="b">
        <v>0</v>
      </c>
      <c r="AA1864" s="68"/>
      <c r="AB1864" s="52"/>
      <c r="AC1864" s="52"/>
      <c r="AD1864" s="52"/>
      <c r="AE1864" s="56"/>
      <c r="AF1864" s="56"/>
    </row>
    <row r="1865">
      <c r="A1865" s="52" t="s">
        <v>5159</v>
      </c>
      <c r="B1865" s="52"/>
      <c r="C1865" s="52"/>
      <c r="D1865" s="65"/>
      <c r="E1865" s="65"/>
      <c r="F1865" s="65"/>
      <c r="G1865" s="65"/>
      <c r="H1865" s="52"/>
      <c r="I1865" s="52"/>
      <c r="J1865" s="52"/>
      <c r="K1865" s="52"/>
      <c r="L1865" s="52"/>
      <c r="M1865" s="52"/>
      <c r="N1865" s="52" t="s">
        <v>70</v>
      </c>
      <c r="O1865" s="52"/>
      <c r="P1865" s="52"/>
      <c r="Q1865" s="52"/>
      <c r="R1865" s="51" t="b">
        <v>0</v>
      </c>
      <c r="S1865" s="51"/>
      <c r="T1865" s="52"/>
      <c r="U1865" s="51" t="b">
        <v>0</v>
      </c>
      <c r="V1865" s="51" t="b">
        <v>0</v>
      </c>
      <c r="W1865" s="51" t="b">
        <v>0</v>
      </c>
      <c r="X1865" s="51" t="b">
        <v>0</v>
      </c>
      <c r="Y1865" s="51" t="b">
        <v>0</v>
      </c>
      <c r="Z1865" s="51" t="b">
        <v>0</v>
      </c>
      <c r="AA1865" s="68"/>
      <c r="AB1865" s="52"/>
      <c r="AC1865" s="52"/>
      <c r="AD1865" s="52"/>
      <c r="AE1865" s="56"/>
      <c r="AF1865" s="56"/>
    </row>
    <row r="1866">
      <c r="A1866" s="52" t="s">
        <v>5160</v>
      </c>
      <c r="B1866" s="52"/>
      <c r="C1866" s="52"/>
      <c r="D1866" s="65"/>
      <c r="E1866" s="65"/>
      <c r="F1866" s="65"/>
      <c r="G1866" s="65"/>
      <c r="H1866" s="52"/>
      <c r="I1866" s="52"/>
      <c r="J1866" s="52"/>
      <c r="K1866" s="52"/>
      <c r="L1866" s="52"/>
      <c r="M1866" s="52"/>
      <c r="N1866" s="52" t="s">
        <v>70</v>
      </c>
      <c r="O1866" s="52"/>
      <c r="P1866" s="52"/>
      <c r="Q1866" s="52"/>
      <c r="R1866" s="51" t="b">
        <v>0</v>
      </c>
      <c r="S1866" s="51"/>
      <c r="T1866" s="52"/>
      <c r="U1866" s="51" t="b">
        <v>0</v>
      </c>
      <c r="V1866" s="51" t="b">
        <v>0</v>
      </c>
      <c r="W1866" s="51" t="b">
        <v>0</v>
      </c>
      <c r="X1866" s="51" t="b">
        <v>0</v>
      </c>
      <c r="Y1866" s="51" t="b">
        <v>0</v>
      </c>
      <c r="Z1866" s="51" t="b">
        <v>0</v>
      </c>
      <c r="AA1866" s="68"/>
      <c r="AB1866" s="52"/>
      <c r="AC1866" s="52"/>
      <c r="AD1866" s="52"/>
      <c r="AE1866" s="56"/>
      <c r="AF1866" s="56"/>
    </row>
    <row r="1867">
      <c r="A1867" s="52" t="s">
        <v>5161</v>
      </c>
      <c r="B1867" s="52"/>
      <c r="C1867" s="52"/>
      <c r="D1867" s="65"/>
      <c r="E1867" s="65"/>
      <c r="F1867" s="65"/>
      <c r="G1867" s="65"/>
      <c r="H1867" s="52"/>
      <c r="I1867" s="52"/>
      <c r="J1867" s="52"/>
      <c r="K1867" s="52"/>
      <c r="L1867" s="52"/>
      <c r="M1867" s="52"/>
      <c r="N1867" s="52" t="s">
        <v>70</v>
      </c>
      <c r="O1867" s="52"/>
      <c r="P1867" s="52"/>
      <c r="Q1867" s="52"/>
      <c r="R1867" s="51" t="b">
        <v>0</v>
      </c>
      <c r="S1867" s="51"/>
      <c r="T1867" s="52"/>
      <c r="U1867" s="51" t="b">
        <v>0</v>
      </c>
      <c r="V1867" s="51" t="b">
        <v>0</v>
      </c>
      <c r="W1867" s="51" t="b">
        <v>0</v>
      </c>
      <c r="X1867" s="51" t="b">
        <v>0</v>
      </c>
      <c r="Y1867" s="51" t="b">
        <v>0</v>
      </c>
      <c r="Z1867" s="51" t="b">
        <v>0</v>
      </c>
      <c r="AA1867" s="68"/>
      <c r="AB1867" s="52"/>
      <c r="AC1867" s="52"/>
      <c r="AD1867" s="52"/>
      <c r="AE1867" s="56"/>
      <c r="AF1867" s="56"/>
    </row>
    <row r="1868">
      <c r="A1868" s="52" t="s">
        <v>5162</v>
      </c>
      <c r="B1868" s="52"/>
      <c r="C1868" s="52"/>
      <c r="D1868" s="65"/>
      <c r="E1868" s="65"/>
      <c r="F1868" s="65"/>
      <c r="G1868" s="65"/>
      <c r="H1868" s="52"/>
      <c r="I1868" s="52"/>
      <c r="J1868" s="52"/>
      <c r="K1868" s="52"/>
      <c r="L1868" s="52"/>
      <c r="M1868" s="52"/>
      <c r="N1868" s="52" t="s">
        <v>70</v>
      </c>
      <c r="O1868" s="52"/>
      <c r="P1868" s="52"/>
      <c r="Q1868" s="52"/>
      <c r="R1868" s="51" t="b">
        <v>0</v>
      </c>
      <c r="S1868" s="51"/>
      <c r="T1868" s="52"/>
      <c r="U1868" s="51" t="b">
        <v>0</v>
      </c>
      <c r="V1868" s="51" t="b">
        <v>0</v>
      </c>
      <c r="W1868" s="51" t="b">
        <v>0</v>
      </c>
      <c r="X1868" s="51" t="b">
        <v>0</v>
      </c>
      <c r="Y1868" s="51" t="b">
        <v>0</v>
      </c>
      <c r="Z1868" s="51" t="b">
        <v>0</v>
      </c>
      <c r="AA1868" s="68"/>
      <c r="AB1868" s="52"/>
      <c r="AC1868" s="52"/>
      <c r="AD1868" s="52"/>
      <c r="AE1868" s="56"/>
      <c r="AF1868" s="56"/>
    </row>
    <row r="1869">
      <c r="A1869" s="52" t="s">
        <v>5163</v>
      </c>
      <c r="B1869" s="52"/>
      <c r="C1869" s="52"/>
      <c r="D1869" s="65"/>
      <c r="E1869" s="65"/>
      <c r="F1869" s="65"/>
      <c r="G1869" s="65"/>
      <c r="H1869" s="52"/>
      <c r="I1869" s="52"/>
      <c r="J1869" s="52"/>
      <c r="K1869" s="52"/>
      <c r="L1869" s="52"/>
      <c r="M1869" s="52"/>
      <c r="N1869" s="52" t="s">
        <v>70</v>
      </c>
      <c r="O1869" s="52"/>
      <c r="P1869" s="52"/>
      <c r="Q1869" s="52"/>
      <c r="R1869" s="51" t="b">
        <v>0</v>
      </c>
      <c r="S1869" s="51"/>
      <c r="T1869" s="52"/>
      <c r="U1869" s="51" t="b">
        <v>0</v>
      </c>
      <c r="V1869" s="51" t="b">
        <v>0</v>
      </c>
      <c r="W1869" s="51" t="b">
        <v>0</v>
      </c>
      <c r="X1869" s="51" t="b">
        <v>0</v>
      </c>
      <c r="Y1869" s="51" t="b">
        <v>0</v>
      </c>
      <c r="Z1869" s="51" t="b">
        <v>0</v>
      </c>
      <c r="AA1869" s="68"/>
      <c r="AB1869" s="52"/>
      <c r="AC1869" s="52"/>
      <c r="AD1869" s="52"/>
      <c r="AE1869" s="56"/>
      <c r="AF1869" s="56"/>
    </row>
    <row r="1870">
      <c r="A1870" s="52" t="s">
        <v>5164</v>
      </c>
      <c r="B1870" s="52"/>
      <c r="C1870" s="52"/>
      <c r="D1870" s="65"/>
      <c r="E1870" s="65"/>
      <c r="F1870" s="65"/>
      <c r="G1870" s="65"/>
      <c r="H1870" s="52"/>
      <c r="I1870" s="52"/>
      <c r="J1870" s="52"/>
      <c r="K1870" s="52"/>
      <c r="L1870" s="52"/>
      <c r="M1870" s="52"/>
      <c r="N1870" s="52" t="s">
        <v>70</v>
      </c>
      <c r="O1870" s="52"/>
      <c r="P1870" s="52"/>
      <c r="Q1870" s="52"/>
      <c r="R1870" s="51" t="b">
        <v>0</v>
      </c>
      <c r="S1870" s="51"/>
      <c r="T1870" s="52"/>
      <c r="U1870" s="51" t="b">
        <v>0</v>
      </c>
      <c r="V1870" s="51" t="b">
        <v>0</v>
      </c>
      <c r="W1870" s="51" t="b">
        <v>0</v>
      </c>
      <c r="X1870" s="51" t="b">
        <v>0</v>
      </c>
      <c r="Y1870" s="51" t="b">
        <v>0</v>
      </c>
      <c r="Z1870" s="51" t="b">
        <v>0</v>
      </c>
      <c r="AA1870" s="68"/>
      <c r="AB1870" s="52"/>
      <c r="AC1870" s="52"/>
      <c r="AD1870" s="52"/>
      <c r="AE1870" s="56"/>
      <c r="AF1870" s="56"/>
    </row>
    <row r="1871">
      <c r="A1871" s="52" t="s">
        <v>5165</v>
      </c>
      <c r="B1871" s="52"/>
      <c r="C1871" s="52"/>
      <c r="D1871" s="65"/>
      <c r="E1871" s="65"/>
      <c r="F1871" s="65"/>
      <c r="G1871" s="65"/>
      <c r="H1871" s="52"/>
      <c r="I1871" s="52"/>
      <c r="J1871" s="52"/>
      <c r="K1871" s="52"/>
      <c r="L1871" s="52"/>
      <c r="M1871" s="52"/>
      <c r="N1871" s="52" t="s">
        <v>70</v>
      </c>
      <c r="O1871" s="52"/>
      <c r="P1871" s="52"/>
      <c r="Q1871" s="52"/>
      <c r="R1871" s="51" t="b">
        <v>0</v>
      </c>
      <c r="S1871" s="51"/>
      <c r="T1871" s="52"/>
      <c r="U1871" s="51" t="b">
        <v>0</v>
      </c>
      <c r="V1871" s="51" t="b">
        <v>0</v>
      </c>
      <c r="W1871" s="51" t="b">
        <v>0</v>
      </c>
      <c r="X1871" s="51" t="b">
        <v>0</v>
      </c>
      <c r="Y1871" s="51" t="b">
        <v>0</v>
      </c>
      <c r="Z1871" s="51" t="b">
        <v>0</v>
      </c>
      <c r="AA1871" s="68"/>
      <c r="AB1871" s="52"/>
      <c r="AC1871" s="52"/>
      <c r="AD1871" s="52"/>
      <c r="AE1871" s="56"/>
      <c r="AF1871" s="56"/>
    </row>
    <row r="1872">
      <c r="A1872" s="52" t="s">
        <v>5166</v>
      </c>
      <c r="B1872" s="52"/>
      <c r="C1872" s="52"/>
      <c r="D1872" s="65"/>
      <c r="E1872" s="65"/>
      <c r="F1872" s="65"/>
      <c r="G1872" s="65"/>
      <c r="H1872" s="52"/>
      <c r="I1872" s="52"/>
      <c r="J1872" s="52"/>
      <c r="K1872" s="52"/>
      <c r="L1872" s="52"/>
      <c r="M1872" s="52"/>
      <c r="N1872" s="52" t="s">
        <v>70</v>
      </c>
      <c r="O1872" s="52"/>
      <c r="P1872" s="52"/>
      <c r="Q1872" s="52"/>
      <c r="R1872" s="51" t="b">
        <v>0</v>
      </c>
      <c r="S1872" s="51"/>
      <c r="T1872" s="52"/>
      <c r="U1872" s="51" t="b">
        <v>0</v>
      </c>
      <c r="V1872" s="51" t="b">
        <v>0</v>
      </c>
      <c r="W1872" s="51" t="b">
        <v>0</v>
      </c>
      <c r="X1872" s="51" t="b">
        <v>0</v>
      </c>
      <c r="Y1872" s="51" t="b">
        <v>0</v>
      </c>
      <c r="Z1872" s="51" t="b">
        <v>0</v>
      </c>
      <c r="AA1872" s="68"/>
      <c r="AB1872" s="52"/>
      <c r="AC1872" s="52"/>
      <c r="AD1872" s="52"/>
      <c r="AE1872" s="56"/>
      <c r="AF1872" s="56"/>
    </row>
    <row r="1873">
      <c r="A1873" s="52" t="s">
        <v>5167</v>
      </c>
      <c r="B1873" s="52"/>
      <c r="C1873" s="52"/>
      <c r="D1873" s="65"/>
      <c r="E1873" s="65"/>
      <c r="F1873" s="65"/>
      <c r="G1873" s="65"/>
      <c r="H1873" s="52"/>
      <c r="I1873" s="52"/>
      <c r="J1873" s="52"/>
      <c r="K1873" s="52"/>
      <c r="L1873" s="52"/>
      <c r="M1873" s="52"/>
      <c r="N1873" s="52" t="s">
        <v>70</v>
      </c>
      <c r="O1873" s="52"/>
      <c r="P1873" s="52"/>
      <c r="Q1873" s="52"/>
      <c r="R1873" s="51" t="b">
        <v>0</v>
      </c>
      <c r="S1873" s="51"/>
      <c r="T1873" s="52"/>
      <c r="U1873" s="51" t="b">
        <v>0</v>
      </c>
      <c r="V1873" s="51" t="b">
        <v>0</v>
      </c>
      <c r="W1873" s="51" t="b">
        <v>0</v>
      </c>
      <c r="X1873" s="51" t="b">
        <v>0</v>
      </c>
      <c r="Y1873" s="51" t="b">
        <v>0</v>
      </c>
      <c r="Z1873" s="51" t="b">
        <v>0</v>
      </c>
      <c r="AA1873" s="68"/>
      <c r="AB1873" s="52"/>
      <c r="AC1873" s="52"/>
      <c r="AD1873" s="52"/>
      <c r="AE1873" s="56"/>
      <c r="AF1873" s="56"/>
    </row>
    <row r="1874">
      <c r="A1874" s="52" t="s">
        <v>5168</v>
      </c>
      <c r="B1874" s="52"/>
      <c r="C1874" s="52"/>
      <c r="D1874" s="65"/>
      <c r="E1874" s="65"/>
      <c r="F1874" s="65"/>
      <c r="G1874" s="65"/>
      <c r="H1874" s="52"/>
      <c r="I1874" s="52"/>
      <c r="J1874" s="52"/>
      <c r="K1874" s="52"/>
      <c r="L1874" s="52"/>
      <c r="M1874" s="52"/>
      <c r="N1874" s="52" t="s">
        <v>70</v>
      </c>
      <c r="O1874" s="52"/>
      <c r="P1874" s="52"/>
      <c r="Q1874" s="52"/>
      <c r="R1874" s="51" t="b">
        <v>0</v>
      </c>
      <c r="S1874" s="51"/>
      <c r="T1874" s="52"/>
      <c r="U1874" s="51" t="b">
        <v>0</v>
      </c>
      <c r="V1874" s="51" t="b">
        <v>0</v>
      </c>
      <c r="W1874" s="51" t="b">
        <v>0</v>
      </c>
      <c r="X1874" s="51" t="b">
        <v>0</v>
      </c>
      <c r="Y1874" s="51" t="b">
        <v>0</v>
      </c>
      <c r="Z1874" s="51" t="b">
        <v>0</v>
      </c>
      <c r="AA1874" s="68"/>
      <c r="AB1874" s="52"/>
      <c r="AC1874" s="52"/>
      <c r="AD1874" s="52"/>
      <c r="AE1874" s="56"/>
      <c r="AF1874" s="56"/>
    </row>
    <row r="1875">
      <c r="A1875" s="52" t="s">
        <v>5169</v>
      </c>
      <c r="B1875" s="52"/>
      <c r="C1875" s="52"/>
      <c r="D1875" s="65"/>
      <c r="E1875" s="65"/>
      <c r="F1875" s="65"/>
      <c r="G1875" s="65"/>
      <c r="H1875" s="52"/>
      <c r="I1875" s="52"/>
      <c r="J1875" s="52"/>
      <c r="K1875" s="52"/>
      <c r="L1875" s="52"/>
      <c r="M1875" s="52"/>
      <c r="N1875" s="52" t="s">
        <v>70</v>
      </c>
      <c r="O1875" s="52"/>
      <c r="P1875" s="52"/>
      <c r="Q1875" s="52"/>
      <c r="R1875" s="51" t="b">
        <v>0</v>
      </c>
      <c r="S1875" s="51"/>
      <c r="T1875" s="52"/>
      <c r="U1875" s="51" t="b">
        <v>0</v>
      </c>
      <c r="V1875" s="51" t="b">
        <v>0</v>
      </c>
      <c r="W1875" s="51" t="b">
        <v>0</v>
      </c>
      <c r="X1875" s="51" t="b">
        <v>0</v>
      </c>
      <c r="Y1875" s="51" t="b">
        <v>0</v>
      </c>
      <c r="Z1875" s="51" t="b">
        <v>0</v>
      </c>
      <c r="AA1875" s="68"/>
      <c r="AB1875" s="52"/>
      <c r="AC1875" s="52"/>
      <c r="AD1875" s="52"/>
      <c r="AE1875" s="56"/>
      <c r="AF1875" s="56"/>
    </row>
    <row r="1876">
      <c r="A1876" s="52" t="s">
        <v>5170</v>
      </c>
      <c r="B1876" s="52"/>
      <c r="C1876" s="52"/>
      <c r="D1876" s="65"/>
      <c r="E1876" s="65"/>
      <c r="F1876" s="65"/>
      <c r="G1876" s="65"/>
      <c r="H1876" s="52"/>
      <c r="I1876" s="52"/>
      <c r="J1876" s="52"/>
      <c r="K1876" s="52"/>
      <c r="L1876" s="52"/>
      <c r="M1876" s="52"/>
      <c r="N1876" s="52" t="s">
        <v>70</v>
      </c>
      <c r="O1876" s="52"/>
      <c r="P1876" s="52"/>
      <c r="Q1876" s="52"/>
      <c r="R1876" s="51" t="b">
        <v>0</v>
      </c>
      <c r="S1876" s="51"/>
      <c r="T1876" s="52"/>
      <c r="U1876" s="51" t="b">
        <v>0</v>
      </c>
      <c r="V1876" s="51" t="b">
        <v>0</v>
      </c>
      <c r="W1876" s="51" t="b">
        <v>0</v>
      </c>
      <c r="X1876" s="51" t="b">
        <v>0</v>
      </c>
      <c r="Y1876" s="51" t="b">
        <v>0</v>
      </c>
      <c r="Z1876" s="51" t="b">
        <v>0</v>
      </c>
      <c r="AA1876" s="68"/>
      <c r="AB1876" s="52"/>
      <c r="AC1876" s="52"/>
      <c r="AD1876" s="52"/>
      <c r="AE1876" s="56"/>
      <c r="AF1876" s="56"/>
    </row>
    <row r="1877">
      <c r="A1877" s="52" t="s">
        <v>5171</v>
      </c>
      <c r="B1877" s="52"/>
      <c r="C1877" s="52"/>
      <c r="D1877" s="65"/>
      <c r="E1877" s="65"/>
      <c r="F1877" s="65"/>
      <c r="G1877" s="65"/>
      <c r="H1877" s="52"/>
      <c r="I1877" s="52"/>
      <c r="J1877" s="52"/>
      <c r="K1877" s="52"/>
      <c r="L1877" s="52"/>
      <c r="M1877" s="52"/>
      <c r="N1877" s="52" t="s">
        <v>70</v>
      </c>
      <c r="O1877" s="52"/>
      <c r="P1877" s="52"/>
      <c r="Q1877" s="52"/>
      <c r="R1877" s="51" t="b">
        <v>0</v>
      </c>
      <c r="S1877" s="51"/>
      <c r="T1877" s="52"/>
      <c r="U1877" s="51" t="b">
        <v>0</v>
      </c>
      <c r="V1877" s="51" t="b">
        <v>0</v>
      </c>
      <c r="W1877" s="51" t="b">
        <v>0</v>
      </c>
      <c r="X1877" s="51" t="b">
        <v>0</v>
      </c>
      <c r="Y1877" s="51" t="b">
        <v>0</v>
      </c>
      <c r="Z1877" s="51" t="b">
        <v>0</v>
      </c>
      <c r="AA1877" s="68"/>
      <c r="AB1877" s="52"/>
      <c r="AC1877" s="52"/>
      <c r="AD1877" s="52"/>
      <c r="AE1877" s="56"/>
      <c r="AF1877" s="56"/>
    </row>
    <row r="1878">
      <c r="A1878" s="52" t="s">
        <v>5172</v>
      </c>
      <c r="B1878" s="52"/>
      <c r="C1878" s="52"/>
      <c r="D1878" s="65"/>
      <c r="E1878" s="65"/>
      <c r="F1878" s="65"/>
      <c r="G1878" s="65"/>
      <c r="H1878" s="52"/>
      <c r="I1878" s="52"/>
      <c r="J1878" s="52"/>
      <c r="K1878" s="52"/>
      <c r="L1878" s="52"/>
      <c r="M1878" s="52"/>
      <c r="N1878" s="52" t="s">
        <v>70</v>
      </c>
      <c r="O1878" s="52"/>
      <c r="P1878" s="52"/>
      <c r="Q1878" s="52"/>
      <c r="R1878" s="51" t="b">
        <v>0</v>
      </c>
      <c r="S1878" s="51"/>
      <c r="T1878" s="52"/>
      <c r="U1878" s="51" t="b">
        <v>0</v>
      </c>
      <c r="V1878" s="51" t="b">
        <v>0</v>
      </c>
      <c r="W1878" s="51" t="b">
        <v>0</v>
      </c>
      <c r="X1878" s="51" t="b">
        <v>0</v>
      </c>
      <c r="Y1878" s="51" t="b">
        <v>0</v>
      </c>
      <c r="Z1878" s="51" t="b">
        <v>0</v>
      </c>
      <c r="AA1878" s="68"/>
      <c r="AB1878" s="52"/>
      <c r="AC1878" s="52"/>
      <c r="AD1878" s="52"/>
      <c r="AE1878" s="56"/>
      <c r="AF1878" s="56"/>
    </row>
    <row r="1879">
      <c r="A1879" s="52" t="s">
        <v>5173</v>
      </c>
      <c r="B1879" s="52"/>
      <c r="C1879" s="52"/>
      <c r="D1879" s="65"/>
      <c r="E1879" s="65"/>
      <c r="F1879" s="65"/>
      <c r="G1879" s="65"/>
      <c r="H1879" s="52"/>
      <c r="I1879" s="52"/>
      <c r="J1879" s="52"/>
      <c r="K1879" s="52"/>
      <c r="L1879" s="52"/>
      <c r="M1879" s="52"/>
      <c r="N1879" s="52" t="s">
        <v>70</v>
      </c>
      <c r="O1879" s="52"/>
      <c r="P1879" s="52"/>
      <c r="Q1879" s="52"/>
      <c r="R1879" s="51" t="b">
        <v>0</v>
      </c>
      <c r="S1879" s="51"/>
      <c r="T1879" s="52"/>
      <c r="U1879" s="51" t="b">
        <v>0</v>
      </c>
      <c r="V1879" s="51" t="b">
        <v>0</v>
      </c>
      <c r="W1879" s="51" t="b">
        <v>0</v>
      </c>
      <c r="X1879" s="51" t="b">
        <v>0</v>
      </c>
      <c r="Y1879" s="51" t="b">
        <v>0</v>
      </c>
      <c r="Z1879" s="51" t="b">
        <v>0</v>
      </c>
      <c r="AA1879" s="68"/>
      <c r="AB1879" s="52"/>
      <c r="AC1879" s="52"/>
      <c r="AD1879" s="52"/>
      <c r="AE1879" s="56"/>
      <c r="AF1879" s="56"/>
    </row>
    <row r="1880">
      <c r="A1880" s="52" t="s">
        <v>5174</v>
      </c>
      <c r="B1880" s="52"/>
      <c r="C1880" s="52"/>
      <c r="D1880" s="65"/>
      <c r="E1880" s="65"/>
      <c r="F1880" s="65"/>
      <c r="G1880" s="65"/>
      <c r="H1880" s="52"/>
      <c r="I1880" s="52"/>
      <c r="J1880" s="52"/>
      <c r="K1880" s="52"/>
      <c r="L1880" s="52"/>
      <c r="M1880" s="52"/>
      <c r="N1880" s="52" t="s">
        <v>70</v>
      </c>
      <c r="O1880" s="52"/>
      <c r="P1880" s="52"/>
      <c r="Q1880" s="52"/>
      <c r="R1880" s="51" t="b">
        <v>0</v>
      </c>
      <c r="S1880" s="51"/>
      <c r="T1880" s="52"/>
      <c r="U1880" s="51" t="b">
        <v>0</v>
      </c>
      <c r="V1880" s="51" t="b">
        <v>0</v>
      </c>
      <c r="W1880" s="51" t="b">
        <v>0</v>
      </c>
      <c r="X1880" s="51" t="b">
        <v>0</v>
      </c>
      <c r="Y1880" s="51" t="b">
        <v>0</v>
      </c>
      <c r="Z1880" s="51" t="b">
        <v>0</v>
      </c>
      <c r="AA1880" s="68"/>
      <c r="AB1880" s="52"/>
      <c r="AC1880" s="52"/>
      <c r="AD1880" s="52"/>
      <c r="AE1880" s="56"/>
      <c r="AF1880" s="56"/>
    </row>
    <row r="1881">
      <c r="A1881" s="52" t="s">
        <v>5175</v>
      </c>
      <c r="B1881" s="52"/>
      <c r="C1881" s="52"/>
      <c r="D1881" s="65"/>
      <c r="E1881" s="65"/>
      <c r="F1881" s="65"/>
      <c r="G1881" s="65"/>
      <c r="H1881" s="52"/>
      <c r="I1881" s="52"/>
      <c r="J1881" s="52"/>
      <c r="K1881" s="52"/>
      <c r="L1881" s="52"/>
      <c r="M1881" s="52"/>
      <c r="N1881" s="52" t="s">
        <v>70</v>
      </c>
      <c r="O1881" s="52"/>
      <c r="P1881" s="52"/>
      <c r="Q1881" s="52"/>
      <c r="R1881" s="51" t="b">
        <v>0</v>
      </c>
      <c r="S1881" s="51"/>
      <c r="T1881" s="52"/>
      <c r="U1881" s="51" t="b">
        <v>0</v>
      </c>
      <c r="V1881" s="51" t="b">
        <v>0</v>
      </c>
      <c r="W1881" s="51" t="b">
        <v>0</v>
      </c>
      <c r="X1881" s="51" t="b">
        <v>0</v>
      </c>
      <c r="Y1881" s="51" t="b">
        <v>0</v>
      </c>
      <c r="Z1881" s="51" t="b">
        <v>0</v>
      </c>
      <c r="AA1881" s="68"/>
      <c r="AB1881" s="52"/>
      <c r="AC1881" s="52"/>
      <c r="AD1881" s="52"/>
      <c r="AE1881" s="56"/>
      <c r="AF1881" s="56"/>
    </row>
    <row r="1882">
      <c r="A1882" s="52" t="s">
        <v>5176</v>
      </c>
      <c r="B1882" s="52"/>
      <c r="C1882" s="52"/>
      <c r="D1882" s="65"/>
      <c r="E1882" s="65"/>
      <c r="F1882" s="65"/>
      <c r="G1882" s="65"/>
      <c r="H1882" s="52"/>
      <c r="I1882" s="52"/>
      <c r="J1882" s="52"/>
      <c r="K1882" s="52"/>
      <c r="L1882" s="52"/>
      <c r="M1882" s="52"/>
      <c r="N1882" s="52" t="s">
        <v>70</v>
      </c>
      <c r="O1882" s="52"/>
      <c r="P1882" s="52"/>
      <c r="Q1882" s="52"/>
      <c r="R1882" s="51" t="b">
        <v>0</v>
      </c>
      <c r="S1882" s="51"/>
      <c r="T1882" s="52"/>
      <c r="U1882" s="51" t="b">
        <v>0</v>
      </c>
      <c r="V1882" s="51" t="b">
        <v>0</v>
      </c>
      <c r="W1882" s="51" t="b">
        <v>0</v>
      </c>
      <c r="X1882" s="51" t="b">
        <v>0</v>
      </c>
      <c r="Y1882" s="51" t="b">
        <v>0</v>
      </c>
      <c r="Z1882" s="51" t="b">
        <v>0</v>
      </c>
      <c r="AA1882" s="68"/>
      <c r="AB1882" s="52"/>
      <c r="AC1882" s="52"/>
      <c r="AD1882" s="52"/>
      <c r="AE1882" s="56"/>
      <c r="AF1882" s="56"/>
    </row>
    <row r="1883">
      <c r="A1883" s="52" t="s">
        <v>5177</v>
      </c>
      <c r="B1883" s="52"/>
      <c r="C1883" s="52"/>
      <c r="D1883" s="65"/>
      <c r="E1883" s="65"/>
      <c r="F1883" s="65"/>
      <c r="G1883" s="65"/>
      <c r="H1883" s="52"/>
      <c r="I1883" s="52"/>
      <c r="J1883" s="52"/>
      <c r="K1883" s="52"/>
      <c r="L1883" s="52"/>
      <c r="M1883" s="52"/>
      <c r="N1883" s="52" t="s">
        <v>70</v>
      </c>
      <c r="O1883" s="52"/>
      <c r="P1883" s="52"/>
      <c r="Q1883" s="52"/>
      <c r="R1883" s="51" t="b">
        <v>0</v>
      </c>
      <c r="S1883" s="51"/>
      <c r="T1883" s="52"/>
      <c r="U1883" s="51" t="b">
        <v>0</v>
      </c>
      <c r="V1883" s="51" t="b">
        <v>0</v>
      </c>
      <c r="W1883" s="51" t="b">
        <v>0</v>
      </c>
      <c r="X1883" s="51" t="b">
        <v>0</v>
      </c>
      <c r="Y1883" s="51" t="b">
        <v>0</v>
      </c>
      <c r="Z1883" s="51" t="b">
        <v>0</v>
      </c>
      <c r="AA1883" s="68"/>
      <c r="AB1883" s="52"/>
      <c r="AC1883" s="52"/>
      <c r="AD1883" s="52"/>
      <c r="AE1883" s="56"/>
      <c r="AF1883" s="56"/>
    </row>
    <row r="1884">
      <c r="A1884" s="52" t="s">
        <v>5178</v>
      </c>
      <c r="B1884" s="52"/>
      <c r="C1884" s="52"/>
      <c r="D1884" s="65"/>
      <c r="E1884" s="65"/>
      <c r="F1884" s="65"/>
      <c r="G1884" s="65"/>
      <c r="H1884" s="52"/>
      <c r="I1884" s="52"/>
      <c r="J1884" s="52"/>
      <c r="K1884" s="52"/>
      <c r="L1884" s="52"/>
      <c r="M1884" s="52"/>
      <c r="N1884" s="52" t="s">
        <v>70</v>
      </c>
      <c r="O1884" s="52"/>
      <c r="P1884" s="52"/>
      <c r="Q1884" s="52"/>
      <c r="R1884" s="51" t="b">
        <v>0</v>
      </c>
      <c r="S1884" s="51"/>
      <c r="T1884" s="52"/>
      <c r="U1884" s="51" t="b">
        <v>0</v>
      </c>
      <c r="V1884" s="51" t="b">
        <v>0</v>
      </c>
      <c r="W1884" s="51" t="b">
        <v>0</v>
      </c>
      <c r="X1884" s="51" t="b">
        <v>0</v>
      </c>
      <c r="Y1884" s="51" t="b">
        <v>0</v>
      </c>
      <c r="Z1884" s="51" t="b">
        <v>0</v>
      </c>
      <c r="AA1884" s="68"/>
      <c r="AB1884" s="52"/>
      <c r="AC1884" s="52"/>
      <c r="AD1884" s="52"/>
      <c r="AE1884" s="56"/>
      <c r="AF1884" s="56"/>
    </row>
    <row r="1885">
      <c r="A1885" s="52" t="s">
        <v>5179</v>
      </c>
      <c r="B1885" s="52"/>
      <c r="C1885" s="52"/>
      <c r="D1885" s="65"/>
      <c r="E1885" s="65"/>
      <c r="F1885" s="65"/>
      <c r="G1885" s="65"/>
      <c r="H1885" s="52"/>
      <c r="I1885" s="52"/>
      <c r="J1885" s="52"/>
      <c r="K1885" s="52"/>
      <c r="L1885" s="52"/>
      <c r="M1885" s="52"/>
      <c r="N1885" s="52" t="s">
        <v>70</v>
      </c>
      <c r="O1885" s="52"/>
      <c r="P1885" s="52"/>
      <c r="Q1885" s="52"/>
      <c r="R1885" s="51" t="b">
        <v>0</v>
      </c>
      <c r="S1885" s="51"/>
      <c r="T1885" s="52"/>
      <c r="U1885" s="51" t="b">
        <v>0</v>
      </c>
      <c r="V1885" s="51" t="b">
        <v>0</v>
      </c>
      <c r="W1885" s="51" t="b">
        <v>0</v>
      </c>
      <c r="X1885" s="51" t="b">
        <v>0</v>
      </c>
      <c r="Y1885" s="51" t="b">
        <v>0</v>
      </c>
      <c r="Z1885" s="51" t="b">
        <v>0</v>
      </c>
      <c r="AA1885" s="68"/>
      <c r="AB1885" s="52"/>
      <c r="AC1885" s="52"/>
      <c r="AD1885" s="52"/>
      <c r="AE1885" s="56"/>
      <c r="AF1885" s="56"/>
    </row>
    <row r="1886">
      <c r="A1886" s="52" t="s">
        <v>5180</v>
      </c>
      <c r="B1886" s="52"/>
      <c r="C1886" s="52"/>
      <c r="D1886" s="65"/>
      <c r="E1886" s="65"/>
      <c r="F1886" s="65"/>
      <c r="G1886" s="65"/>
      <c r="H1886" s="52"/>
      <c r="I1886" s="52"/>
      <c r="J1886" s="52"/>
      <c r="K1886" s="52"/>
      <c r="L1886" s="52"/>
      <c r="M1886" s="52"/>
      <c r="N1886" s="52" t="s">
        <v>70</v>
      </c>
      <c r="O1886" s="52"/>
      <c r="P1886" s="52"/>
      <c r="Q1886" s="52"/>
      <c r="R1886" s="51" t="b">
        <v>0</v>
      </c>
      <c r="S1886" s="51"/>
      <c r="T1886" s="52"/>
      <c r="U1886" s="51" t="b">
        <v>0</v>
      </c>
      <c r="V1886" s="51" t="b">
        <v>0</v>
      </c>
      <c r="W1886" s="51" t="b">
        <v>0</v>
      </c>
      <c r="X1886" s="51" t="b">
        <v>0</v>
      </c>
      <c r="Y1886" s="51" t="b">
        <v>0</v>
      </c>
      <c r="Z1886" s="51" t="b">
        <v>0</v>
      </c>
      <c r="AA1886" s="68"/>
      <c r="AB1886" s="52"/>
      <c r="AC1886" s="52"/>
      <c r="AD1886" s="52"/>
      <c r="AE1886" s="56"/>
      <c r="AF1886" s="56"/>
    </row>
    <row r="1887">
      <c r="A1887" s="52" t="s">
        <v>5181</v>
      </c>
      <c r="B1887" s="52"/>
      <c r="C1887" s="52"/>
      <c r="D1887" s="65"/>
      <c r="E1887" s="65"/>
      <c r="F1887" s="65"/>
      <c r="G1887" s="65"/>
      <c r="H1887" s="52"/>
      <c r="I1887" s="52"/>
      <c r="J1887" s="52"/>
      <c r="K1887" s="52"/>
      <c r="L1887" s="52"/>
      <c r="M1887" s="52"/>
      <c r="N1887" s="52" t="s">
        <v>70</v>
      </c>
      <c r="O1887" s="52"/>
      <c r="P1887" s="52"/>
      <c r="Q1887" s="52"/>
      <c r="R1887" s="51" t="b">
        <v>0</v>
      </c>
      <c r="S1887" s="51"/>
      <c r="T1887" s="52"/>
      <c r="U1887" s="51" t="b">
        <v>0</v>
      </c>
      <c r="V1887" s="51" t="b">
        <v>0</v>
      </c>
      <c r="W1887" s="51" t="b">
        <v>0</v>
      </c>
      <c r="X1887" s="51" t="b">
        <v>0</v>
      </c>
      <c r="Y1887" s="51" t="b">
        <v>0</v>
      </c>
      <c r="Z1887" s="51" t="b">
        <v>0</v>
      </c>
      <c r="AA1887" s="68"/>
      <c r="AB1887" s="52"/>
      <c r="AC1887" s="52"/>
      <c r="AD1887" s="52"/>
      <c r="AE1887" s="56"/>
      <c r="AF1887" s="56"/>
    </row>
    <row r="1888">
      <c r="A1888" s="52" t="s">
        <v>5182</v>
      </c>
      <c r="B1888" s="52"/>
      <c r="C1888" s="52"/>
      <c r="D1888" s="65"/>
      <c r="E1888" s="65"/>
      <c r="F1888" s="65"/>
      <c r="G1888" s="65"/>
      <c r="H1888" s="52"/>
      <c r="I1888" s="52"/>
      <c r="J1888" s="52"/>
      <c r="K1888" s="52"/>
      <c r="L1888" s="52"/>
      <c r="M1888" s="52"/>
      <c r="N1888" s="52" t="s">
        <v>70</v>
      </c>
      <c r="O1888" s="52"/>
      <c r="P1888" s="52"/>
      <c r="Q1888" s="52"/>
      <c r="R1888" s="51" t="b">
        <v>0</v>
      </c>
      <c r="S1888" s="51"/>
      <c r="T1888" s="52"/>
      <c r="U1888" s="51" t="b">
        <v>0</v>
      </c>
      <c r="V1888" s="51" t="b">
        <v>0</v>
      </c>
      <c r="W1888" s="51" t="b">
        <v>0</v>
      </c>
      <c r="X1888" s="51" t="b">
        <v>0</v>
      </c>
      <c r="Y1888" s="51" t="b">
        <v>0</v>
      </c>
      <c r="Z1888" s="51" t="b">
        <v>0</v>
      </c>
      <c r="AA1888" s="68"/>
      <c r="AB1888" s="52"/>
      <c r="AC1888" s="52"/>
      <c r="AD1888" s="52"/>
      <c r="AE1888" s="56"/>
      <c r="AF1888" s="56"/>
    </row>
    <row r="1889">
      <c r="A1889" s="52" t="s">
        <v>5183</v>
      </c>
      <c r="B1889" s="52"/>
      <c r="C1889" s="52"/>
      <c r="D1889" s="65"/>
      <c r="E1889" s="65"/>
      <c r="F1889" s="65"/>
      <c r="G1889" s="65"/>
      <c r="H1889" s="52"/>
      <c r="I1889" s="52"/>
      <c r="J1889" s="52"/>
      <c r="K1889" s="52"/>
      <c r="L1889" s="52"/>
      <c r="M1889" s="52"/>
      <c r="N1889" s="52" t="s">
        <v>70</v>
      </c>
      <c r="O1889" s="52"/>
      <c r="P1889" s="52"/>
      <c r="Q1889" s="52"/>
      <c r="R1889" s="51" t="b">
        <v>0</v>
      </c>
      <c r="S1889" s="51"/>
      <c r="T1889" s="52"/>
      <c r="U1889" s="51" t="b">
        <v>0</v>
      </c>
      <c r="V1889" s="51" t="b">
        <v>0</v>
      </c>
      <c r="W1889" s="51" t="b">
        <v>0</v>
      </c>
      <c r="X1889" s="51" t="b">
        <v>0</v>
      </c>
      <c r="Y1889" s="51" t="b">
        <v>0</v>
      </c>
      <c r="Z1889" s="51" t="b">
        <v>0</v>
      </c>
      <c r="AA1889" s="68"/>
      <c r="AB1889" s="52"/>
      <c r="AC1889" s="52"/>
      <c r="AD1889" s="52"/>
      <c r="AE1889" s="56"/>
      <c r="AF1889" s="56"/>
    </row>
    <row r="1890">
      <c r="A1890" s="52" t="s">
        <v>5184</v>
      </c>
      <c r="B1890" s="52"/>
      <c r="C1890" s="52"/>
      <c r="D1890" s="65"/>
      <c r="E1890" s="65"/>
      <c r="F1890" s="65"/>
      <c r="G1890" s="65"/>
      <c r="H1890" s="52"/>
      <c r="I1890" s="52"/>
      <c r="J1890" s="52"/>
      <c r="K1890" s="52"/>
      <c r="L1890" s="52"/>
      <c r="M1890" s="52"/>
      <c r="N1890" s="52" t="s">
        <v>70</v>
      </c>
      <c r="O1890" s="52"/>
      <c r="P1890" s="52"/>
      <c r="Q1890" s="52"/>
      <c r="R1890" s="51" t="b">
        <v>0</v>
      </c>
      <c r="S1890" s="51"/>
      <c r="T1890" s="52"/>
      <c r="U1890" s="51" t="b">
        <v>0</v>
      </c>
      <c r="V1890" s="51" t="b">
        <v>0</v>
      </c>
      <c r="W1890" s="51" t="b">
        <v>0</v>
      </c>
      <c r="X1890" s="51" t="b">
        <v>0</v>
      </c>
      <c r="Y1890" s="51" t="b">
        <v>0</v>
      </c>
      <c r="Z1890" s="51" t="b">
        <v>0</v>
      </c>
      <c r="AA1890" s="68"/>
      <c r="AB1890" s="52"/>
      <c r="AC1890" s="52"/>
      <c r="AD1890" s="52"/>
      <c r="AE1890" s="56"/>
      <c r="AF1890" s="56"/>
    </row>
    <row r="1891">
      <c r="A1891" s="52" t="s">
        <v>5185</v>
      </c>
      <c r="B1891" s="52"/>
      <c r="C1891" s="52"/>
      <c r="D1891" s="65"/>
      <c r="E1891" s="65"/>
      <c r="F1891" s="65"/>
      <c r="G1891" s="65"/>
      <c r="H1891" s="52"/>
      <c r="I1891" s="52"/>
      <c r="J1891" s="52"/>
      <c r="K1891" s="52"/>
      <c r="L1891" s="52"/>
      <c r="M1891" s="52"/>
      <c r="N1891" s="52" t="s">
        <v>70</v>
      </c>
      <c r="O1891" s="52"/>
      <c r="P1891" s="52"/>
      <c r="Q1891" s="52"/>
      <c r="R1891" s="51" t="b">
        <v>0</v>
      </c>
      <c r="S1891" s="51"/>
      <c r="T1891" s="52"/>
      <c r="U1891" s="51" t="b">
        <v>0</v>
      </c>
      <c r="V1891" s="51" t="b">
        <v>0</v>
      </c>
      <c r="W1891" s="51" t="b">
        <v>0</v>
      </c>
      <c r="X1891" s="51" t="b">
        <v>0</v>
      </c>
      <c r="Y1891" s="51" t="b">
        <v>0</v>
      </c>
      <c r="Z1891" s="51" t="b">
        <v>0</v>
      </c>
      <c r="AA1891" s="68"/>
      <c r="AB1891" s="52"/>
      <c r="AC1891" s="52"/>
      <c r="AD1891" s="52"/>
      <c r="AE1891" s="56"/>
      <c r="AF1891" s="56"/>
    </row>
    <row r="1892">
      <c r="A1892" s="52" t="s">
        <v>5186</v>
      </c>
      <c r="B1892" s="52"/>
      <c r="C1892" s="52"/>
      <c r="D1892" s="65"/>
      <c r="E1892" s="65"/>
      <c r="F1892" s="65"/>
      <c r="G1892" s="65"/>
      <c r="H1892" s="52"/>
      <c r="I1892" s="52"/>
      <c r="J1892" s="52"/>
      <c r="K1892" s="52"/>
      <c r="L1892" s="52"/>
      <c r="M1892" s="52"/>
      <c r="N1892" s="52" t="s">
        <v>70</v>
      </c>
      <c r="O1892" s="52"/>
      <c r="P1892" s="52"/>
      <c r="Q1892" s="52"/>
      <c r="R1892" s="51" t="b">
        <v>0</v>
      </c>
      <c r="S1892" s="51"/>
      <c r="T1892" s="52"/>
      <c r="U1892" s="51" t="b">
        <v>0</v>
      </c>
      <c r="V1892" s="51" t="b">
        <v>0</v>
      </c>
      <c r="W1892" s="51" t="b">
        <v>0</v>
      </c>
      <c r="X1892" s="51" t="b">
        <v>0</v>
      </c>
      <c r="Y1892" s="51" t="b">
        <v>0</v>
      </c>
      <c r="Z1892" s="51" t="b">
        <v>0</v>
      </c>
      <c r="AA1892" s="68"/>
      <c r="AB1892" s="52"/>
      <c r="AC1892" s="52"/>
      <c r="AD1892" s="52"/>
      <c r="AE1892" s="56"/>
      <c r="AF1892" s="56"/>
    </row>
    <row r="1893">
      <c r="A1893" s="52" t="s">
        <v>5187</v>
      </c>
      <c r="B1893" s="52"/>
      <c r="C1893" s="52"/>
      <c r="D1893" s="65"/>
      <c r="E1893" s="65"/>
      <c r="F1893" s="65"/>
      <c r="G1893" s="65"/>
      <c r="H1893" s="52"/>
      <c r="I1893" s="52"/>
      <c r="J1893" s="52"/>
      <c r="K1893" s="52"/>
      <c r="L1893" s="52"/>
      <c r="M1893" s="52"/>
      <c r="N1893" s="52" t="s">
        <v>70</v>
      </c>
      <c r="O1893" s="52"/>
      <c r="P1893" s="52"/>
      <c r="Q1893" s="52"/>
      <c r="R1893" s="51" t="b">
        <v>0</v>
      </c>
      <c r="S1893" s="51"/>
      <c r="T1893" s="52"/>
      <c r="U1893" s="51" t="b">
        <v>0</v>
      </c>
      <c r="V1893" s="51" t="b">
        <v>0</v>
      </c>
      <c r="W1893" s="51" t="b">
        <v>0</v>
      </c>
      <c r="X1893" s="51" t="b">
        <v>0</v>
      </c>
      <c r="Y1893" s="51" t="b">
        <v>0</v>
      </c>
      <c r="Z1893" s="51" t="b">
        <v>0</v>
      </c>
      <c r="AA1893" s="68"/>
      <c r="AB1893" s="52"/>
      <c r="AC1893" s="52"/>
      <c r="AD1893" s="52"/>
      <c r="AE1893" s="56"/>
      <c r="AF1893" s="56"/>
    </row>
    <row r="1894">
      <c r="A1894" s="52" t="s">
        <v>5188</v>
      </c>
      <c r="B1894" s="52"/>
      <c r="C1894" s="52"/>
      <c r="D1894" s="65"/>
      <c r="E1894" s="65"/>
      <c r="F1894" s="65"/>
      <c r="G1894" s="65"/>
      <c r="H1894" s="52"/>
      <c r="I1894" s="52"/>
      <c r="J1894" s="52"/>
      <c r="K1894" s="52"/>
      <c r="L1894" s="52"/>
      <c r="M1894" s="52"/>
      <c r="N1894" s="52" t="s">
        <v>70</v>
      </c>
      <c r="O1894" s="52"/>
      <c r="P1894" s="52"/>
      <c r="Q1894" s="52"/>
      <c r="R1894" s="51" t="b">
        <v>0</v>
      </c>
      <c r="S1894" s="51"/>
      <c r="T1894" s="52"/>
      <c r="U1894" s="51" t="b">
        <v>0</v>
      </c>
      <c r="V1894" s="51" t="b">
        <v>0</v>
      </c>
      <c r="W1894" s="51" t="b">
        <v>0</v>
      </c>
      <c r="X1894" s="51" t="b">
        <v>0</v>
      </c>
      <c r="Y1894" s="51" t="b">
        <v>0</v>
      </c>
      <c r="Z1894" s="51" t="b">
        <v>0</v>
      </c>
      <c r="AA1894" s="68"/>
      <c r="AB1894" s="52"/>
      <c r="AC1894" s="52"/>
      <c r="AD1894" s="52"/>
      <c r="AE1894" s="56"/>
      <c r="AF1894" s="56"/>
    </row>
    <row r="1895">
      <c r="A1895" s="52" t="s">
        <v>5189</v>
      </c>
      <c r="B1895" s="52"/>
      <c r="C1895" s="52"/>
      <c r="D1895" s="65"/>
      <c r="E1895" s="65"/>
      <c r="F1895" s="65"/>
      <c r="G1895" s="65"/>
      <c r="H1895" s="52"/>
      <c r="I1895" s="52"/>
      <c r="J1895" s="52"/>
      <c r="K1895" s="52"/>
      <c r="L1895" s="52"/>
      <c r="M1895" s="52"/>
      <c r="N1895" s="52" t="s">
        <v>70</v>
      </c>
      <c r="O1895" s="52"/>
      <c r="P1895" s="52"/>
      <c r="Q1895" s="52"/>
      <c r="R1895" s="51" t="b">
        <v>0</v>
      </c>
      <c r="S1895" s="51"/>
      <c r="T1895" s="52"/>
      <c r="U1895" s="51" t="b">
        <v>0</v>
      </c>
      <c r="V1895" s="51" t="b">
        <v>0</v>
      </c>
      <c r="W1895" s="51" t="b">
        <v>0</v>
      </c>
      <c r="X1895" s="51" t="b">
        <v>0</v>
      </c>
      <c r="Y1895" s="51" t="b">
        <v>0</v>
      </c>
      <c r="Z1895" s="51" t="b">
        <v>0</v>
      </c>
      <c r="AA1895" s="68"/>
      <c r="AB1895" s="52"/>
      <c r="AC1895" s="52"/>
      <c r="AD1895" s="52"/>
      <c r="AE1895" s="56"/>
      <c r="AF1895" s="56"/>
    </row>
    <row r="1896">
      <c r="A1896" s="52" t="s">
        <v>5190</v>
      </c>
      <c r="B1896" s="52"/>
      <c r="C1896" s="52"/>
      <c r="D1896" s="65"/>
      <c r="E1896" s="65"/>
      <c r="F1896" s="65"/>
      <c r="G1896" s="65"/>
      <c r="H1896" s="52"/>
      <c r="I1896" s="52"/>
      <c r="J1896" s="52"/>
      <c r="K1896" s="52"/>
      <c r="L1896" s="52"/>
      <c r="M1896" s="52"/>
      <c r="N1896" s="52" t="s">
        <v>70</v>
      </c>
      <c r="O1896" s="52"/>
      <c r="P1896" s="52"/>
      <c r="Q1896" s="52"/>
      <c r="R1896" s="51" t="b">
        <v>0</v>
      </c>
      <c r="S1896" s="51"/>
      <c r="T1896" s="52"/>
      <c r="U1896" s="51" t="b">
        <v>0</v>
      </c>
      <c r="V1896" s="51" t="b">
        <v>0</v>
      </c>
      <c r="W1896" s="51" t="b">
        <v>0</v>
      </c>
      <c r="X1896" s="51" t="b">
        <v>0</v>
      </c>
      <c r="Y1896" s="51" t="b">
        <v>0</v>
      </c>
      <c r="Z1896" s="51" t="b">
        <v>0</v>
      </c>
      <c r="AA1896" s="68"/>
      <c r="AB1896" s="52"/>
      <c r="AC1896" s="52"/>
      <c r="AD1896" s="52"/>
      <c r="AE1896" s="56"/>
      <c r="AF1896" s="56"/>
    </row>
    <row r="1897">
      <c r="A1897" s="52" t="s">
        <v>5191</v>
      </c>
      <c r="B1897" s="52"/>
      <c r="C1897" s="52"/>
      <c r="D1897" s="65"/>
      <c r="E1897" s="65"/>
      <c r="F1897" s="65"/>
      <c r="G1897" s="65"/>
      <c r="H1897" s="52"/>
      <c r="I1897" s="52"/>
      <c r="J1897" s="52"/>
      <c r="K1897" s="52"/>
      <c r="L1897" s="52"/>
      <c r="M1897" s="52"/>
      <c r="N1897" s="52" t="s">
        <v>70</v>
      </c>
      <c r="O1897" s="52"/>
      <c r="P1897" s="52"/>
      <c r="Q1897" s="52"/>
      <c r="R1897" s="51" t="b">
        <v>0</v>
      </c>
      <c r="S1897" s="51"/>
      <c r="T1897" s="52"/>
      <c r="U1897" s="51" t="b">
        <v>0</v>
      </c>
      <c r="V1897" s="51" t="b">
        <v>0</v>
      </c>
      <c r="W1897" s="51" t="b">
        <v>0</v>
      </c>
      <c r="X1897" s="51" t="b">
        <v>0</v>
      </c>
      <c r="Y1897" s="51" t="b">
        <v>0</v>
      </c>
      <c r="Z1897" s="51" t="b">
        <v>0</v>
      </c>
      <c r="AA1897" s="68"/>
      <c r="AB1897" s="52"/>
      <c r="AC1897" s="52"/>
      <c r="AD1897" s="52"/>
      <c r="AE1897" s="56"/>
      <c r="AF1897" s="56"/>
    </row>
    <row r="1898">
      <c r="A1898" s="52" t="s">
        <v>5192</v>
      </c>
      <c r="B1898" s="52"/>
      <c r="C1898" s="52"/>
      <c r="D1898" s="65"/>
      <c r="E1898" s="65"/>
      <c r="F1898" s="65"/>
      <c r="G1898" s="65"/>
      <c r="H1898" s="52"/>
      <c r="I1898" s="52"/>
      <c r="J1898" s="52"/>
      <c r="K1898" s="52"/>
      <c r="L1898" s="52"/>
      <c r="M1898" s="52"/>
      <c r="N1898" s="52" t="s">
        <v>70</v>
      </c>
      <c r="O1898" s="52"/>
      <c r="P1898" s="52"/>
      <c r="Q1898" s="52"/>
      <c r="R1898" s="51" t="b">
        <v>0</v>
      </c>
      <c r="S1898" s="51"/>
      <c r="T1898" s="52"/>
      <c r="U1898" s="51" t="b">
        <v>0</v>
      </c>
      <c r="V1898" s="51" t="b">
        <v>0</v>
      </c>
      <c r="W1898" s="51" t="b">
        <v>0</v>
      </c>
      <c r="X1898" s="51" t="b">
        <v>0</v>
      </c>
      <c r="Y1898" s="51" t="b">
        <v>0</v>
      </c>
      <c r="Z1898" s="51" t="b">
        <v>0</v>
      </c>
      <c r="AA1898" s="68"/>
      <c r="AB1898" s="52"/>
      <c r="AC1898" s="52"/>
      <c r="AD1898" s="52"/>
      <c r="AE1898" s="56"/>
      <c r="AF1898" s="56"/>
    </row>
    <row r="1899">
      <c r="A1899" s="52" t="s">
        <v>5193</v>
      </c>
      <c r="B1899" s="52"/>
      <c r="C1899" s="52"/>
      <c r="D1899" s="65"/>
      <c r="E1899" s="65"/>
      <c r="F1899" s="65"/>
      <c r="G1899" s="65"/>
      <c r="H1899" s="52"/>
      <c r="I1899" s="52"/>
      <c r="J1899" s="52"/>
      <c r="K1899" s="52"/>
      <c r="L1899" s="52"/>
      <c r="M1899" s="52"/>
      <c r="N1899" s="52" t="s">
        <v>70</v>
      </c>
      <c r="O1899" s="52"/>
      <c r="P1899" s="52"/>
      <c r="Q1899" s="52"/>
      <c r="R1899" s="51" t="b">
        <v>0</v>
      </c>
      <c r="S1899" s="51"/>
      <c r="T1899" s="52"/>
      <c r="U1899" s="51" t="b">
        <v>0</v>
      </c>
      <c r="V1899" s="51" t="b">
        <v>0</v>
      </c>
      <c r="W1899" s="51" t="b">
        <v>0</v>
      </c>
      <c r="X1899" s="51" t="b">
        <v>0</v>
      </c>
      <c r="Y1899" s="51" t="b">
        <v>0</v>
      </c>
      <c r="Z1899" s="51" t="b">
        <v>0</v>
      </c>
      <c r="AA1899" s="68"/>
      <c r="AB1899" s="52"/>
      <c r="AC1899" s="52"/>
      <c r="AD1899" s="52"/>
      <c r="AE1899" s="56"/>
      <c r="AF1899" s="56"/>
    </row>
    <row r="1900">
      <c r="A1900" s="52" t="s">
        <v>5194</v>
      </c>
      <c r="B1900" s="52"/>
      <c r="C1900" s="52"/>
      <c r="D1900" s="65"/>
      <c r="E1900" s="65"/>
      <c r="F1900" s="65"/>
      <c r="G1900" s="65"/>
      <c r="H1900" s="52"/>
      <c r="I1900" s="52"/>
      <c r="J1900" s="52"/>
      <c r="K1900" s="52"/>
      <c r="L1900" s="52"/>
      <c r="M1900" s="52"/>
      <c r="N1900" s="52" t="s">
        <v>70</v>
      </c>
      <c r="O1900" s="52"/>
      <c r="P1900" s="52"/>
      <c r="Q1900" s="52"/>
      <c r="R1900" s="51" t="b">
        <v>0</v>
      </c>
      <c r="S1900" s="51"/>
      <c r="T1900" s="52"/>
      <c r="U1900" s="51" t="b">
        <v>0</v>
      </c>
      <c r="V1900" s="51" t="b">
        <v>0</v>
      </c>
      <c r="W1900" s="51" t="b">
        <v>0</v>
      </c>
      <c r="X1900" s="51" t="b">
        <v>0</v>
      </c>
      <c r="Y1900" s="51" t="b">
        <v>0</v>
      </c>
      <c r="Z1900" s="51" t="b">
        <v>0</v>
      </c>
      <c r="AA1900" s="68"/>
      <c r="AB1900" s="52"/>
      <c r="AC1900" s="52"/>
      <c r="AD1900" s="52"/>
      <c r="AE1900" s="56"/>
      <c r="AF1900" s="56"/>
    </row>
    <row r="1901">
      <c r="A1901" s="52" t="s">
        <v>5195</v>
      </c>
      <c r="B1901" s="52"/>
      <c r="C1901" s="52"/>
      <c r="D1901" s="65"/>
      <c r="E1901" s="65"/>
      <c r="F1901" s="65"/>
      <c r="G1901" s="65"/>
      <c r="H1901" s="52"/>
      <c r="I1901" s="52"/>
      <c r="J1901" s="52"/>
      <c r="K1901" s="52"/>
      <c r="L1901" s="52"/>
      <c r="M1901" s="52"/>
      <c r="N1901" s="52" t="s">
        <v>70</v>
      </c>
      <c r="O1901" s="52"/>
      <c r="P1901" s="52"/>
      <c r="Q1901" s="52"/>
      <c r="R1901" s="51" t="b">
        <v>0</v>
      </c>
      <c r="S1901" s="51"/>
      <c r="T1901" s="52"/>
      <c r="U1901" s="51" t="b">
        <v>0</v>
      </c>
      <c r="V1901" s="51" t="b">
        <v>0</v>
      </c>
      <c r="W1901" s="51" t="b">
        <v>0</v>
      </c>
      <c r="X1901" s="51" t="b">
        <v>0</v>
      </c>
      <c r="Y1901" s="51" t="b">
        <v>0</v>
      </c>
      <c r="Z1901" s="51" t="b">
        <v>0</v>
      </c>
      <c r="AA1901" s="68"/>
      <c r="AB1901" s="52"/>
      <c r="AC1901" s="52"/>
      <c r="AD1901" s="52"/>
      <c r="AE1901" s="56"/>
      <c r="AF1901" s="56"/>
    </row>
    <row r="1902">
      <c r="A1902" s="52" t="s">
        <v>5196</v>
      </c>
      <c r="B1902" s="52" t="s">
        <v>14</v>
      </c>
      <c r="C1902" s="52" t="s">
        <v>66</v>
      </c>
      <c r="D1902" s="65">
        <v>0.45833333333333354</v>
      </c>
      <c r="E1902" s="65">
        <v>6.944444444444445E-4</v>
      </c>
      <c r="F1902" s="65">
        <v>0.459027777777778</v>
      </c>
      <c r="G1902" s="65"/>
      <c r="H1902" s="52" t="s">
        <v>103</v>
      </c>
      <c r="I1902" s="52" t="s">
        <v>104</v>
      </c>
      <c r="J1902" s="52" t="s">
        <v>105</v>
      </c>
      <c r="K1902" s="52"/>
      <c r="L1902" s="52"/>
      <c r="M1902" s="52"/>
      <c r="N1902" s="52"/>
      <c r="O1902" s="52"/>
      <c r="P1902" s="52"/>
      <c r="Q1902" s="52"/>
      <c r="R1902" s="51" t="b">
        <v>0</v>
      </c>
      <c r="S1902" s="51"/>
      <c r="T1902" s="52"/>
      <c r="U1902" s="51" t="b">
        <v>0</v>
      </c>
      <c r="V1902" s="51" t="b">
        <v>0</v>
      </c>
      <c r="W1902" s="51" t="b">
        <v>0</v>
      </c>
      <c r="X1902" s="51" t="b">
        <v>0</v>
      </c>
      <c r="Y1902" s="51" t="b">
        <v>0</v>
      </c>
      <c r="Z1902" s="51" t="b">
        <v>0</v>
      </c>
      <c r="AA1902" s="68"/>
      <c r="AB1902" s="52"/>
      <c r="AC1902" s="52"/>
      <c r="AD1902" s="52"/>
      <c r="AE1902" s="56"/>
      <c r="AF1902" s="56"/>
    </row>
    <row r="1903">
      <c r="A1903" s="52" t="s">
        <v>5197</v>
      </c>
      <c r="B1903" s="52"/>
      <c r="C1903" s="52"/>
      <c r="D1903" s="65"/>
      <c r="E1903" s="65"/>
      <c r="F1903" s="65"/>
      <c r="G1903" s="65"/>
      <c r="H1903" s="52"/>
      <c r="I1903" s="52"/>
      <c r="J1903" s="52"/>
      <c r="K1903" s="52"/>
      <c r="L1903" s="52"/>
      <c r="M1903" s="52"/>
      <c r="N1903" s="52" t="s">
        <v>70</v>
      </c>
      <c r="O1903" s="52"/>
      <c r="P1903" s="52"/>
      <c r="Q1903" s="52"/>
      <c r="R1903" s="51" t="b">
        <v>0</v>
      </c>
      <c r="S1903" s="51"/>
      <c r="T1903" s="52"/>
      <c r="U1903" s="51" t="b">
        <v>0</v>
      </c>
      <c r="V1903" s="51" t="b">
        <v>0</v>
      </c>
      <c r="W1903" s="51" t="b">
        <v>0</v>
      </c>
      <c r="X1903" s="51" t="b">
        <v>0</v>
      </c>
      <c r="Y1903" s="51" t="b">
        <v>0</v>
      </c>
      <c r="Z1903" s="51" t="b">
        <v>0</v>
      </c>
      <c r="AA1903" s="68"/>
      <c r="AB1903" s="52"/>
      <c r="AC1903" s="52"/>
      <c r="AD1903" s="52"/>
      <c r="AE1903" s="56"/>
      <c r="AF1903" s="56"/>
    </row>
    <row r="1904">
      <c r="A1904" s="52" t="s">
        <v>5198</v>
      </c>
      <c r="B1904" s="52"/>
      <c r="C1904" s="52"/>
      <c r="D1904" s="65"/>
      <c r="E1904" s="65"/>
      <c r="F1904" s="65"/>
      <c r="G1904" s="65"/>
      <c r="H1904" s="52"/>
      <c r="I1904" s="52"/>
      <c r="J1904" s="52"/>
      <c r="K1904" s="52"/>
      <c r="L1904" s="52"/>
      <c r="M1904" s="52"/>
      <c r="N1904" s="52" t="s">
        <v>70</v>
      </c>
      <c r="O1904" s="52"/>
      <c r="P1904" s="52"/>
      <c r="Q1904" s="52"/>
      <c r="R1904" s="51" t="b">
        <v>0</v>
      </c>
      <c r="S1904" s="51"/>
      <c r="T1904" s="52"/>
      <c r="U1904" s="51" t="b">
        <v>0</v>
      </c>
      <c r="V1904" s="51" t="b">
        <v>0</v>
      </c>
      <c r="W1904" s="51" t="b">
        <v>0</v>
      </c>
      <c r="X1904" s="51" t="b">
        <v>0</v>
      </c>
      <c r="Y1904" s="51" t="b">
        <v>0</v>
      </c>
      <c r="Z1904" s="51" t="b">
        <v>0</v>
      </c>
      <c r="AA1904" s="68"/>
      <c r="AB1904" s="52"/>
      <c r="AC1904" s="52"/>
      <c r="AD1904" s="52"/>
      <c r="AE1904" s="56"/>
      <c r="AF1904" s="56"/>
    </row>
    <row r="1905">
      <c r="A1905" s="52" t="s">
        <v>5199</v>
      </c>
      <c r="B1905" s="52"/>
      <c r="C1905" s="52"/>
      <c r="D1905" s="65"/>
      <c r="E1905" s="65"/>
      <c r="F1905" s="65"/>
      <c r="G1905" s="65"/>
      <c r="H1905" s="52"/>
      <c r="I1905" s="52"/>
      <c r="J1905" s="52"/>
      <c r="K1905" s="52"/>
      <c r="L1905" s="52"/>
      <c r="M1905" s="52"/>
      <c r="N1905" s="52" t="s">
        <v>70</v>
      </c>
      <c r="O1905" s="52"/>
      <c r="P1905" s="52"/>
      <c r="Q1905" s="52"/>
      <c r="R1905" s="51" t="b">
        <v>0</v>
      </c>
      <c r="S1905" s="51"/>
      <c r="T1905" s="52"/>
      <c r="U1905" s="51" t="b">
        <v>0</v>
      </c>
      <c r="V1905" s="51" t="b">
        <v>0</v>
      </c>
      <c r="W1905" s="51" t="b">
        <v>0</v>
      </c>
      <c r="X1905" s="51" t="b">
        <v>0</v>
      </c>
      <c r="Y1905" s="51" t="b">
        <v>0</v>
      </c>
      <c r="Z1905" s="51" t="b">
        <v>0</v>
      </c>
      <c r="AA1905" s="68"/>
      <c r="AB1905" s="52"/>
      <c r="AC1905" s="52"/>
      <c r="AD1905" s="52"/>
      <c r="AE1905" s="56"/>
      <c r="AF1905" s="56"/>
    </row>
    <row r="1906">
      <c r="A1906" s="52" t="s">
        <v>5200</v>
      </c>
      <c r="B1906" s="52"/>
      <c r="C1906" s="52"/>
      <c r="D1906" s="65"/>
      <c r="E1906" s="65"/>
      <c r="F1906" s="65"/>
      <c r="G1906" s="65"/>
      <c r="H1906" s="52"/>
      <c r="I1906" s="52"/>
      <c r="J1906" s="52"/>
      <c r="K1906" s="52"/>
      <c r="L1906" s="52"/>
      <c r="M1906" s="52"/>
      <c r="N1906" s="52" t="s">
        <v>70</v>
      </c>
      <c r="O1906" s="52"/>
      <c r="P1906" s="52"/>
      <c r="Q1906" s="52"/>
      <c r="R1906" s="51" t="b">
        <v>0</v>
      </c>
      <c r="S1906" s="51"/>
      <c r="T1906" s="52"/>
      <c r="U1906" s="51" t="b">
        <v>0</v>
      </c>
      <c r="V1906" s="51" t="b">
        <v>0</v>
      </c>
      <c r="W1906" s="51" t="b">
        <v>0</v>
      </c>
      <c r="X1906" s="51" t="b">
        <v>0</v>
      </c>
      <c r="Y1906" s="51" t="b">
        <v>0</v>
      </c>
      <c r="Z1906" s="51" t="b">
        <v>0</v>
      </c>
      <c r="AA1906" s="68"/>
      <c r="AB1906" s="52"/>
      <c r="AC1906" s="52"/>
      <c r="AD1906" s="52"/>
      <c r="AE1906" s="56"/>
      <c r="AF1906" s="56"/>
    </row>
    <row r="1907">
      <c r="A1907" s="52" t="s">
        <v>5201</v>
      </c>
      <c r="B1907" s="52"/>
      <c r="C1907" s="52"/>
      <c r="D1907" s="65"/>
      <c r="E1907" s="65"/>
      <c r="F1907" s="65"/>
      <c r="G1907" s="65"/>
      <c r="H1907" s="52"/>
      <c r="I1907" s="52"/>
      <c r="J1907" s="52"/>
      <c r="K1907" s="52"/>
      <c r="L1907" s="52"/>
      <c r="M1907" s="52"/>
      <c r="N1907" s="52" t="s">
        <v>70</v>
      </c>
      <c r="O1907" s="52"/>
      <c r="P1907" s="52"/>
      <c r="Q1907" s="52"/>
      <c r="R1907" s="51" t="b">
        <v>0</v>
      </c>
      <c r="S1907" s="51"/>
      <c r="T1907" s="52"/>
      <c r="U1907" s="51" t="b">
        <v>0</v>
      </c>
      <c r="V1907" s="51" t="b">
        <v>0</v>
      </c>
      <c r="W1907" s="51" t="b">
        <v>0</v>
      </c>
      <c r="X1907" s="51" t="b">
        <v>0</v>
      </c>
      <c r="Y1907" s="51" t="b">
        <v>0</v>
      </c>
      <c r="Z1907" s="51" t="b">
        <v>0</v>
      </c>
      <c r="AA1907" s="68"/>
      <c r="AB1907" s="52"/>
      <c r="AC1907" s="52"/>
      <c r="AD1907" s="52"/>
      <c r="AE1907" s="56"/>
      <c r="AF1907" s="56"/>
    </row>
    <row r="1908">
      <c r="A1908" s="52" t="s">
        <v>5202</v>
      </c>
      <c r="B1908" s="52"/>
      <c r="C1908" s="52"/>
      <c r="D1908" s="65"/>
      <c r="E1908" s="65"/>
      <c r="F1908" s="65"/>
      <c r="G1908" s="65"/>
      <c r="H1908" s="52"/>
      <c r="I1908" s="52"/>
      <c r="J1908" s="52"/>
      <c r="K1908" s="52"/>
      <c r="L1908" s="52"/>
      <c r="M1908" s="52"/>
      <c r="N1908" s="52" t="s">
        <v>70</v>
      </c>
      <c r="O1908" s="52"/>
      <c r="P1908" s="52"/>
      <c r="Q1908" s="52"/>
      <c r="R1908" s="51" t="b">
        <v>0</v>
      </c>
      <c r="S1908" s="51"/>
      <c r="T1908" s="52"/>
      <c r="U1908" s="51" t="b">
        <v>0</v>
      </c>
      <c r="V1908" s="51" t="b">
        <v>0</v>
      </c>
      <c r="W1908" s="51" t="b">
        <v>0</v>
      </c>
      <c r="X1908" s="51" t="b">
        <v>0</v>
      </c>
      <c r="Y1908" s="51" t="b">
        <v>0</v>
      </c>
      <c r="Z1908" s="51" t="b">
        <v>0</v>
      </c>
      <c r="AA1908" s="68"/>
      <c r="AB1908" s="52"/>
      <c r="AC1908" s="52"/>
      <c r="AD1908" s="52"/>
      <c r="AE1908" s="56"/>
      <c r="AF1908" s="56"/>
    </row>
    <row r="1909">
      <c r="A1909" s="52" t="s">
        <v>5203</v>
      </c>
      <c r="B1909" s="52"/>
      <c r="C1909" s="52"/>
      <c r="D1909" s="65"/>
      <c r="E1909" s="65"/>
      <c r="F1909" s="65"/>
      <c r="G1909" s="65"/>
      <c r="H1909" s="52"/>
      <c r="I1909" s="52"/>
      <c r="J1909" s="52"/>
      <c r="K1909" s="52"/>
      <c r="L1909" s="52"/>
      <c r="M1909" s="52"/>
      <c r="N1909" s="52" t="s">
        <v>70</v>
      </c>
      <c r="O1909" s="52"/>
      <c r="P1909" s="52"/>
      <c r="Q1909" s="52"/>
      <c r="R1909" s="51" t="b">
        <v>0</v>
      </c>
      <c r="S1909" s="51"/>
      <c r="T1909" s="52"/>
      <c r="U1909" s="51" t="b">
        <v>0</v>
      </c>
      <c r="V1909" s="51" t="b">
        <v>0</v>
      </c>
      <c r="W1909" s="51" t="b">
        <v>0</v>
      </c>
      <c r="X1909" s="51" t="b">
        <v>0</v>
      </c>
      <c r="Y1909" s="51" t="b">
        <v>0</v>
      </c>
      <c r="Z1909" s="51" t="b">
        <v>0</v>
      </c>
      <c r="AA1909" s="68"/>
      <c r="AB1909" s="52"/>
      <c r="AC1909" s="52"/>
      <c r="AD1909" s="52"/>
      <c r="AE1909" s="56"/>
      <c r="AF1909" s="56"/>
    </row>
    <row r="1910">
      <c r="A1910" s="52" t="s">
        <v>5204</v>
      </c>
      <c r="B1910" s="52"/>
      <c r="C1910" s="52"/>
      <c r="D1910" s="65"/>
      <c r="E1910" s="65"/>
      <c r="F1910" s="65"/>
      <c r="G1910" s="65"/>
      <c r="H1910" s="52"/>
      <c r="I1910" s="52"/>
      <c r="J1910" s="52"/>
      <c r="K1910" s="52"/>
      <c r="L1910" s="52"/>
      <c r="M1910" s="52"/>
      <c r="N1910" s="52" t="s">
        <v>70</v>
      </c>
      <c r="O1910" s="52"/>
      <c r="P1910" s="52"/>
      <c r="Q1910" s="52"/>
      <c r="R1910" s="51" t="b">
        <v>0</v>
      </c>
      <c r="S1910" s="51"/>
      <c r="T1910" s="52"/>
      <c r="U1910" s="51" t="b">
        <v>0</v>
      </c>
      <c r="V1910" s="51" t="b">
        <v>0</v>
      </c>
      <c r="W1910" s="51" t="b">
        <v>0</v>
      </c>
      <c r="X1910" s="51" t="b">
        <v>0</v>
      </c>
      <c r="Y1910" s="51" t="b">
        <v>0</v>
      </c>
      <c r="Z1910" s="51" t="b">
        <v>0</v>
      </c>
      <c r="AA1910" s="68"/>
      <c r="AB1910" s="52"/>
      <c r="AC1910" s="52"/>
      <c r="AD1910" s="52"/>
      <c r="AE1910" s="56"/>
      <c r="AF1910" s="56"/>
    </row>
    <row r="1911">
      <c r="A1911" s="52" t="s">
        <v>5205</v>
      </c>
      <c r="B1911" s="52"/>
      <c r="C1911" s="52"/>
      <c r="D1911" s="65"/>
      <c r="E1911" s="65"/>
      <c r="F1911" s="65"/>
      <c r="G1911" s="65"/>
      <c r="H1911" s="52"/>
      <c r="I1911" s="52"/>
      <c r="J1911" s="52"/>
      <c r="K1911" s="52"/>
      <c r="L1911" s="52"/>
      <c r="M1911" s="52"/>
      <c r="N1911" s="52" t="s">
        <v>70</v>
      </c>
      <c r="O1911" s="52"/>
      <c r="P1911" s="52"/>
      <c r="Q1911" s="52"/>
      <c r="R1911" s="51" t="b">
        <v>0</v>
      </c>
      <c r="S1911" s="51"/>
      <c r="T1911" s="52"/>
      <c r="U1911" s="51" t="b">
        <v>0</v>
      </c>
      <c r="V1911" s="51" t="b">
        <v>0</v>
      </c>
      <c r="W1911" s="51" t="b">
        <v>0</v>
      </c>
      <c r="X1911" s="51" t="b">
        <v>0</v>
      </c>
      <c r="Y1911" s="51" t="b">
        <v>0</v>
      </c>
      <c r="Z1911" s="51" t="b">
        <v>0</v>
      </c>
      <c r="AA1911" s="68"/>
      <c r="AB1911" s="52"/>
      <c r="AC1911" s="52"/>
      <c r="AD1911" s="52"/>
      <c r="AE1911" s="56"/>
      <c r="AF1911" s="56"/>
    </row>
    <row r="1912">
      <c r="A1912" s="52" t="s">
        <v>5206</v>
      </c>
      <c r="B1912" s="52"/>
      <c r="C1912" s="52"/>
      <c r="D1912" s="65"/>
      <c r="E1912" s="65"/>
      <c r="F1912" s="65"/>
      <c r="G1912" s="65"/>
      <c r="H1912" s="52"/>
      <c r="I1912" s="52"/>
      <c r="J1912" s="52"/>
      <c r="K1912" s="52"/>
      <c r="L1912" s="52"/>
      <c r="M1912" s="52"/>
      <c r="N1912" s="52" t="s">
        <v>70</v>
      </c>
      <c r="O1912" s="52"/>
      <c r="P1912" s="52"/>
      <c r="Q1912" s="52"/>
      <c r="R1912" s="51" t="b">
        <v>0</v>
      </c>
      <c r="S1912" s="51"/>
      <c r="T1912" s="52"/>
      <c r="U1912" s="51" t="b">
        <v>0</v>
      </c>
      <c r="V1912" s="51" t="b">
        <v>0</v>
      </c>
      <c r="W1912" s="51" t="b">
        <v>0</v>
      </c>
      <c r="X1912" s="51" t="b">
        <v>0</v>
      </c>
      <c r="Y1912" s="51" t="b">
        <v>0</v>
      </c>
      <c r="Z1912" s="51" t="b">
        <v>0</v>
      </c>
      <c r="AA1912" s="68"/>
      <c r="AB1912" s="52"/>
      <c r="AC1912" s="52"/>
      <c r="AD1912" s="52"/>
      <c r="AE1912" s="56"/>
      <c r="AF1912" s="56"/>
    </row>
    <row r="1913">
      <c r="A1913" s="52" t="s">
        <v>5207</v>
      </c>
      <c r="B1913" s="52"/>
      <c r="C1913" s="52"/>
      <c r="D1913" s="65"/>
      <c r="E1913" s="65"/>
      <c r="F1913" s="65"/>
      <c r="G1913" s="65"/>
      <c r="H1913" s="52"/>
      <c r="I1913" s="52"/>
      <c r="J1913" s="52"/>
      <c r="K1913" s="52"/>
      <c r="L1913" s="52"/>
      <c r="M1913" s="52"/>
      <c r="N1913" s="52" t="s">
        <v>70</v>
      </c>
      <c r="O1913" s="52"/>
      <c r="P1913" s="52"/>
      <c r="Q1913" s="52"/>
      <c r="R1913" s="51" t="b">
        <v>0</v>
      </c>
      <c r="S1913" s="51"/>
      <c r="T1913" s="52"/>
      <c r="U1913" s="51" t="b">
        <v>0</v>
      </c>
      <c r="V1913" s="51" t="b">
        <v>0</v>
      </c>
      <c r="W1913" s="51" t="b">
        <v>0</v>
      </c>
      <c r="X1913" s="51" t="b">
        <v>0</v>
      </c>
      <c r="Y1913" s="51" t="b">
        <v>0</v>
      </c>
      <c r="Z1913" s="51" t="b">
        <v>0</v>
      </c>
      <c r="AA1913" s="68"/>
      <c r="AB1913" s="52"/>
      <c r="AC1913" s="52"/>
      <c r="AD1913" s="52"/>
      <c r="AE1913" s="56"/>
      <c r="AF1913" s="56"/>
    </row>
    <row r="1914">
      <c r="A1914" s="52" t="s">
        <v>5208</v>
      </c>
      <c r="B1914" s="52"/>
      <c r="C1914" s="52"/>
      <c r="D1914" s="65"/>
      <c r="E1914" s="65"/>
      <c r="F1914" s="65"/>
      <c r="G1914" s="65"/>
      <c r="H1914" s="52"/>
      <c r="I1914" s="52"/>
      <c r="J1914" s="52"/>
      <c r="K1914" s="52"/>
      <c r="L1914" s="52"/>
      <c r="M1914" s="52"/>
      <c r="N1914" s="52" t="s">
        <v>70</v>
      </c>
      <c r="O1914" s="52"/>
      <c r="P1914" s="52"/>
      <c r="Q1914" s="52"/>
      <c r="R1914" s="51" t="b">
        <v>0</v>
      </c>
      <c r="S1914" s="51"/>
      <c r="T1914" s="52"/>
      <c r="U1914" s="51" t="b">
        <v>0</v>
      </c>
      <c r="V1914" s="51" t="b">
        <v>0</v>
      </c>
      <c r="W1914" s="51" t="b">
        <v>0</v>
      </c>
      <c r="X1914" s="51" t="b">
        <v>0</v>
      </c>
      <c r="Y1914" s="51" t="b">
        <v>0</v>
      </c>
      <c r="Z1914" s="51" t="b">
        <v>0</v>
      </c>
      <c r="AA1914" s="68"/>
      <c r="AB1914" s="52"/>
      <c r="AC1914" s="52"/>
      <c r="AD1914" s="52"/>
      <c r="AE1914" s="56"/>
      <c r="AF1914" s="56"/>
    </row>
    <row r="1915">
      <c r="A1915" s="52" t="s">
        <v>5209</v>
      </c>
      <c r="B1915" s="52"/>
      <c r="C1915" s="52"/>
      <c r="D1915" s="65"/>
      <c r="E1915" s="65"/>
      <c r="F1915" s="65"/>
      <c r="G1915" s="65"/>
      <c r="H1915" s="52"/>
      <c r="I1915" s="52"/>
      <c r="J1915" s="52"/>
      <c r="K1915" s="52"/>
      <c r="L1915" s="52"/>
      <c r="M1915" s="52"/>
      <c r="N1915" s="52" t="s">
        <v>70</v>
      </c>
      <c r="O1915" s="52"/>
      <c r="P1915" s="52"/>
      <c r="Q1915" s="52"/>
      <c r="R1915" s="51" t="b">
        <v>0</v>
      </c>
      <c r="S1915" s="51"/>
      <c r="T1915" s="52"/>
      <c r="U1915" s="51" t="b">
        <v>0</v>
      </c>
      <c r="V1915" s="51" t="b">
        <v>0</v>
      </c>
      <c r="W1915" s="51" t="b">
        <v>0</v>
      </c>
      <c r="X1915" s="51" t="b">
        <v>0</v>
      </c>
      <c r="Y1915" s="51" t="b">
        <v>0</v>
      </c>
      <c r="Z1915" s="51" t="b">
        <v>0</v>
      </c>
      <c r="AA1915" s="68"/>
      <c r="AB1915" s="52"/>
      <c r="AC1915" s="52"/>
      <c r="AD1915" s="52"/>
      <c r="AE1915" s="56"/>
      <c r="AF1915" s="56"/>
    </row>
    <row r="1916">
      <c r="A1916" s="52" t="s">
        <v>5210</v>
      </c>
      <c r="B1916" s="52"/>
      <c r="C1916" s="52"/>
      <c r="D1916" s="65"/>
      <c r="E1916" s="65"/>
      <c r="F1916" s="65"/>
      <c r="G1916" s="65"/>
      <c r="H1916" s="52"/>
      <c r="I1916" s="52"/>
      <c r="J1916" s="52"/>
      <c r="K1916" s="52"/>
      <c r="L1916" s="52"/>
      <c r="M1916" s="52"/>
      <c r="N1916" s="52" t="s">
        <v>70</v>
      </c>
      <c r="O1916" s="52"/>
      <c r="P1916" s="52"/>
      <c r="Q1916" s="52"/>
      <c r="R1916" s="51" t="b">
        <v>0</v>
      </c>
      <c r="S1916" s="51"/>
      <c r="T1916" s="52"/>
      <c r="U1916" s="51" t="b">
        <v>0</v>
      </c>
      <c r="V1916" s="51" t="b">
        <v>0</v>
      </c>
      <c r="W1916" s="51" t="b">
        <v>0</v>
      </c>
      <c r="X1916" s="51" t="b">
        <v>0</v>
      </c>
      <c r="Y1916" s="51" t="b">
        <v>0</v>
      </c>
      <c r="Z1916" s="51" t="b">
        <v>0</v>
      </c>
      <c r="AA1916" s="68"/>
      <c r="AB1916" s="52"/>
      <c r="AC1916" s="52"/>
      <c r="AD1916" s="52"/>
      <c r="AE1916" s="56"/>
      <c r="AF1916" s="56"/>
    </row>
    <row r="1917">
      <c r="A1917" s="52" t="s">
        <v>5211</v>
      </c>
      <c r="B1917" s="52"/>
      <c r="C1917" s="52"/>
      <c r="D1917" s="65"/>
      <c r="E1917" s="65"/>
      <c r="F1917" s="65"/>
      <c r="G1917" s="65"/>
      <c r="H1917" s="52"/>
      <c r="I1917" s="52"/>
      <c r="J1917" s="52"/>
      <c r="K1917" s="52"/>
      <c r="L1917" s="52"/>
      <c r="M1917" s="52"/>
      <c r="N1917" s="52" t="s">
        <v>70</v>
      </c>
      <c r="O1917" s="52"/>
      <c r="P1917" s="52"/>
      <c r="Q1917" s="52"/>
      <c r="R1917" s="51" t="b">
        <v>0</v>
      </c>
      <c r="S1917" s="51"/>
      <c r="T1917" s="52"/>
      <c r="U1917" s="51" t="b">
        <v>0</v>
      </c>
      <c r="V1917" s="51" t="b">
        <v>0</v>
      </c>
      <c r="W1917" s="51" t="b">
        <v>0</v>
      </c>
      <c r="X1917" s="51" t="b">
        <v>0</v>
      </c>
      <c r="Y1917" s="51" t="b">
        <v>0</v>
      </c>
      <c r="Z1917" s="51" t="b">
        <v>0</v>
      </c>
      <c r="AA1917" s="68"/>
      <c r="AB1917" s="52"/>
      <c r="AC1917" s="52"/>
      <c r="AD1917" s="52"/>
      <c r="AE1917" s="56"/>
      <c r="AF1917" s="56"/>
    </row>
    <row r="1918">
      <c r="A1918" s="52" t="s">
        <v>5212</v>
      </c>
      <c r="B1918" s="52"/>
      <c r="C1918" s="52"/>
      <c r="D1918" s="65"/>
      <c r="E1918" s="65"/>
      <c r="F1918" s="65"/>
      <c r="G1918" s="65"/>
      <c r="H1918" s="52"/>
      <c r="I1918" s="52"/>
      <c r="J1918" s="52"/>
      <c r="K1918" s="52"/>
      <c r="L1918" s="52"/>
      <c r="M1918" s="52"/>
      <c r="N1918" s="52" t="s">
        <v>70</v>
      </c>
      <c r="O1918" s="52"/>
      <c r="P1918" s="52"/>
      <c r="Q1918" s="52"/>
      <c r="R1918" s="51" t="b">
        <v>0</v>
      </c>
      <c r="S1918" s="51"/>
      <c r="T1918" s="52"/>
      <c r="U1918" s="51" t="b">
        <v>0</v>
      </c>
      <c r="V1918" s="51" t="b">
        <v>0</v>
      </c>
      <c r="W1918" s="51" t="b">
        <v>0</v>
      </c>
      <c r="X1918" s="51" t="b">
        <v>0</v>
      </c>
      <c r="Y1918" s="51" t="b">
        <v>0</v>
      </c>
      <c r="Z1918" s="51" t="b">
        <v>0</v>
      </c>
      <c r="AA1918" s="68"/>
      <c r="AB1918" s="52"/>
      <c r="AC1918" s="52"/>
      <c r="AD1918" s="52"/>
      <c r="AE1918" s="56"/>
      <c r="AF1918" s="56"/>
    </row>
    <row r="1919">
      <c r="A1919" s="52" t="s">
        <v>5213</v>
      </c>
      <c r="B1919" s="52"/>
      <c r="C1919" s="52"/>
      <c r="D1919" s="65"/>
      <c r="E1919" s="65"/>
      <c r="F1919" s="65"/>
      <c r="G1919" s="65"/>
      <c r="H1919" s="52"/>
      <c r="I1919" s="52"/>
      <c r="J1919" s="52"/>
      <c r="K1919" s="52"/>
      <c r="L1919" s="52"/>
      <c r="M1919" s="52"/>
      <c r="N1919" s="52" t="s">
        <v>70</v>
      </c>
      <c r="O1919" s="52"/>
      <c r="P1919" s="52"/>
      <c r="Q1919" s="52"/>
      <c r="R1919" s="51" t="b">
        <v>0</v>
      </c>
      <c r="S1919" s="51"/>
      <c r="T1919" s="52"/>
      <c r="U1919" s="51" t="b">
        <v>0</v>
      </c>
      <c r="V1919" s="51" t="b">
        <v>0</v>
      </c>
      <c r="W1919" s="51" t="b">
        <v>0</v>
      </c>
      <c r="X1919" s="51" t="b">
        <v>0</v>
      </c>
      <c r="Y1919" s="51" t="b">
        <v>0</v>
      </c>
      <c r="Z1919" s="51" t="b">
        <v>0</v>
      </c>
      <c r="AA1919" s="68"/>
      <c r="AB1919" s="52"/>
      <c r="AC1919" s="52"/>
      <c r="AD1919" s="52"/>
      <c r="AE1919" s="56"/>
      <c r="AF1919" s="56"/>
    </row>
    <row r="1920">
      <c r="A1920" s="52" t="s">
        <v>5214</v>
      </c>
      <c r="B1920" s="52"/>
      <c r="C1920" s="52"/>
      <c r="D1920" s="65"/>
      <c r="E1920" s="65"/>
      <c r="F1920" s="65"/>
      <c r="G1920" s="65"/>
      <c r="H1920" s="52"/>
      <c r="I1920" s="52"/>
      <c r="J1920" s="52"/>
      <c r="K1920" s="52"/>
      <c r="L1920" s="52"/>
      <c r="M1920" s="52"/>
      <c r="N1920" s="52" t="s">
        <v>70</v>
      </c>
      <c r="O1920" s="52"/>
      <c r="P1920" s="52"/>
      <c r="Q1920" s="52"/>
      <c r="R1920" s="51" t="b">
        <v>0</v>
      </c>
      <c r="S1920" s="51"/>
      <c r="T1920" s="52"/>
      <c r="U1920" s="51" t="b">
        <v>0</v>
      </c>
      <c r="V1920" s="51" t="b">
        <v>0</v>
      </c>
      <c r="W1920" s="51" t="b">
        <v>0</v>
      </c>
      <c r="X1920" s="51" t="b">
        <v>0</v>
      </c>
      <c r="Y1920" s="51" t="b">
        <v>0</v>
      </c>
      <c r="Z1920" s="51" t="b">
        <v>0</v>
      </c>
      <c r="AA1920" s="68"/>
      <c r="AB1920" s="52"/>
      <c r="AC1920" s="52"/>
      <c r="AD1920" s="52"/>
      <c r="AE1920" s="56"/>
      <c r="AF1920" s="56"/>
    </row>
    <row r="1921">
      <c r="A1921" s="52" t="s">
        <v>5215</v>
      </c>
      <c r="B1921" s="52"/>
      <c r="C1921" s="52"/>
      <c r="D1921" s="65"/>
      <c r="E1921" s="65"/>
      <c r="F1921" s="65"/>
      <c r="G1921" s="65"/>
      <c r="H1921" s="52"/>
      <c r="I1921" s="52"/>
      <c r="J1921" s="52"/>
      <c r="K1921" s="52"/>
      <c r="L1921" s="52"/>
      <c r="M1921" s="52"/>
      <c r="N1921" s="52" t="s">
        <v>70</v>
      </c>
      <c r="O1921" s="52"/>
      <c r="P1921" s="52"/>
      <c r="Q1921" s="52"/>
      <c r="R1921" s="51" t="b">
        <v>0</v>
      </c>
      <c r="S1921" s="51"/>
      <c r="T1921" s="52"/>
      <c r="U1921" s="51" t="b">
        <v>0</v>
      </c>
      <c r="V1921" s="51" t="b">
        <v>0</v>
      </c>
      <c r="W1921" s="51" t="b">
        <v>0</v>
      </c>
      <c r="X1921" s="51" t="b">
        <v>0</v>
      </c>
      <c r="Y1921" s="51" t="b">
        <v>0</v>
      </c>
      <c r="Z1921" s="51" t="b">
        <v>0</v>
      </c>
      <c r="AA1921" s="68"/>
      <c r="AB1921" s="52"/>
      <c r="AC1921" s="52"/>
      <c r="AD1921" s="52"/>
      <c r="AE1921" s="56"/>
      <c r="AF1921" s="56"/>
    </row>
    <row r="1922">
      <c r="A1922" s="52" t="s">
        <v>5216</v>
      </c>
      <c r="B1922" s="52"/>
      <c r="C1922" s="52"/>
      <c r="D1922" s="65"/>
      <c r="E1922" s="65"/>
      <c r="F1922" s="65"/>
      <c r="G1922" s="65"/>
      <c r="H1922" s="52"/>
      <c r="I1922" s="52"/>
      <c r="J1922" s="52"/>
      <c r="K1922" s="52"/>
      <c r="L1922" s="52"/>
      <c r="M1922" s="52"/>
      <c r="N1922" s="52" t="s">
        <v>70</v>
      </c>
      <c r="O1922" s="52"/>
      <c r="P1922" s="52"/>
      <c r="Q1922" s="52"/>
      <c r="R1922" s="51" t="b">
        <v>0</v>
      </c>
      <c r="S1922" s="51"/>
      <c r="T1922" s="52"/>
      <c r="U1922" s="51" t="b">
        <v>0</v>
      </c>
      <c r="V1922" s="51" t="b">
        <v>0</v>
      </c>
      <c r="W1922" s="51" t="b">
        <v>0</v>
      </c>
      <c r="X1922" s="51" t="b">
        <v>0</v>
      </c>
      <c r="Y1922" s="51" t="b">
        <v>0</v>
      </c>
      <c r="Z1922" s="51" t="b">
        <v>0</v>
      </c>
      <c r="AA1922" s="68"/>
      <c r="AB1922" s="52"/>
      <c r="AC1922" s="52"/>
      <c r="AD1922" s="52"/>
      <c r="AE1922" s="56"/>
      <c r="AF1922" s="56"/>
    </row>
    <row r="1923">
      <c r="A1923" s="52" t="s">
        <v>5217</v>
      </c>
      <c r="B1923" s="52"/>
      <c r="C1923" s="52"/>
      <c r="D1923" s="65"/>
      <c r="E1923" s="65"/>
      <c r="F1923" s="65"/>
      <c r="G1923" s="65"/>
      <c r="H1923" s="52"/>
      <c r="I1923" s="52"/>
      <c r="J1923" s="52"/>
      <c r="K1923" s="52"/>
      <c r="L1923" s="52"/>
      <c r="M1923" s="52"/>
      <c r="N1923" s="52" t="s">
        <v>70</v>
      </c>
      <c r="O1923" s="52"/>
      <c r="P1923" s="52"/>
      <c r="Q1923" s="52"/>
      <c r="R1923" s="51" t="b">
        <v>0</v>
      </c>
      <c r="S1923" s="51"/>
      <c r="T1923" s="52"/>
      <c r="U1923" s="51" t="b">
        <v>0</v>
      </c>
      <c r="V1923" s="51" t="b">
        <v>0</v>
      </c>
      <c r="W1923" s="51" t="b">
        <v>0</v>
      </c>
      <c r="X1923" s="51" t="b">
        <v>0</v>
      </c>
      <c r="Y1923" s="51" t="b">
        <v>0</v>
      </c>
      <c r="Z1923" s="51" t="b">
        <v>0</v>
      </c>
      <c r="AA1923" s="68"/>
      <c r="AB1923" s="52"/>
      <c r="AC1923" s="52"/>
      <c r="AD1923" s="52"/>
      <c r="AE1923" s="56"/>
      <c r="AF1923" s="56"/>
    </row>
    <row r="1924">
      <c r="A1924" s="52" t="s">
        <v>5218</v>
      </c>
      <c r="B1924" s="52"/>
      <c r="C1924" s="52"/>
      <c r="D1924" s="65"/>
      <c r="E1924" s="65"/>
      <c r="F1924" s="65"/>
      <c r="G1924" s="65"/>
      <c r="H1924" s="52"/>
      <c r="I1924" s="52"/>
      <c r="J1924" s="52"/>
      <c r="K1924" s="52"/>
      <c r="L1924" s="52"/>
      <c r="M1924" s="52"/>
      <c r="N1924" s="52" t="s">
        <v>70</v>
      </c>
      <c r="O1924" s="52"/>
      <c r="P1924" s="52"/>
      <c r="Q1924" s="52"/>
      <c r="R1924" s="51" t="b">
        <v>0</v>
      </c>
      <c r="S1924" s="51"/>
      <c r="T1924" s="52"/>
      <c r="U1924" s="51" t="b">
        <v>0</v>
      </c>
      <c r="V1924" s="51" t="b">
        <v>0</v>
      </c>
      <c r="W1924" s="51" t="b">
        <v>0</v>
      </c>
      <c r="X1924" s="51" t="b">
        <v>0</v>
      </c>
      <c r="Y1924" s="51" t="b">
        <v>0</v>
      </c>
      <c r="Z1924" s="51" t="b">
        <v>0</v>
      </c>
      <c r="AA1924" s="68"/>
      <c r="AB1924" s="52"/>
      <c r="AC1924" s="52"/>
      <c r="AD1924" s="52"/>
      <c r="AE1924" s="56"/>
      <c r="AF1924" s="56"/>
    </row>
    <row r="1925">
      <c r="A1925" s="52" t="s">
        <v>5219</v>
      </c>
      <c r="B1925" s="52"/>
      <c r="C1925" s="52"/>
      <c r="D1925" s="65"/>
      <c r="E1925" s="65"/>
      <c r="F1925" s="65"/>
      <c r="G1925" s="65"/>
      <c r="H1925" s="52"/>
      <c r="I1925" s="52"/>
      <c r="J1925" s="52"/>
      <c r="K1925" s="52"/>
      <c r="L1925" s="52"/>
      <c r="M1925" s="52"/>
      <c r="N1925" s="52" t="s">
        <v>70</v>
      </c>
      <c r="O1925" s="52"/>
      <c r="P1925" s="52"/>
      <c r="Q1925" s="52"/>
      <c r="R1925" s="51" t="b">
        <v>0</v>
      </c>
      <c r="S1925" s="51"/>
      <c r="T1925" s="52"/>
      <c r="U1925" s="51" t="b">
        <v>0</v>
      </c>
      <c r="V1925" s="51" t="b">
        <v>0</v>
      </c>
      <c r="W1925" s="51" t="b">
        <v>0</v>
      </c>
      <c r="X1925" s="51" t="b">
        <v>0</v>
      </c>
      <c r="Y1925" s="51" t="b">
        <v>0</v>
      </c>
      <c r="Z1925" s="51" t="b">
        <v>0</v>
      </c>
      <c r="AA1925" s="68"/>
      <c r="AB1925" s="52"/>
      <c r="AC1925" s="52"/>
      <c r="AD1925" s="52"/>
      <c r="AE1925" s="56"/>
      <c r="AF1925" s="56"/>
    </row>
    <row r="1926">
      <c r="A1926" s="52" t="s">
        <v>5220</v>
      </c>
      <c r="B1926" s="52"/>
      <c r="C1926" s="52"/>
      <c r="D1926" s="65"/>
      <c r="E1926" s="65"/>
      <c r="F1926" s="65"/>
      <c r="G1926" s="65"/>
      <c r="H1926" s="52"/>
      <c r="I1926" s="52"/>
      <c r="J1926" s="52"/>
      <c r="K1926" s="52"/>
      <c r="L1926" s="52"/>
      <c r="M1926" s="52"/>
      <c r="N1926" s="52" t="s">
        <v>70</v>
      </c>
      <c r="O1926" s="52"/>
      <c r="P1926" s="52"/>
      <c r="Q1926" s="52"/>
      <c r="R1926" s="51" t="b">
        <v>0</v>
      </c>
      <c r="S1926" s="51"/>
      <c r="T1926" s="52"/>
      <c r="U1926" s="51" t="b">
        <v>0</v>
      </c>
      <c r="V1926" s="51" t="b">
        <v>0</v>
      </c>
      <c r="W1926" s="51" t="b">
        <v>0</v>
      </c>
      <c r="X1926" s="51" t="b">
        <v>0</v>
      </c>
      <c r="Y1926" s="51" t="b">
        <v>0</v>
      </c>
      <c r="Z1926" s="51" t="b">
        <v>0</v>
      </c>
      <c r="AA1926" s="68"/>
      <c r="AB1926" s="52"/>
      <c r="AC1926" s="52"/>
      <c r="AD1926" s="52"/>
      <c r="AE1926" s="56"/>
      <c r="AF1926" s="56"/>
    </row>
    <row r="1927">
      <c r="A1927" s="52" t="s">
        <v>5221</v>
      </c>
      <c r="B1927" s="52"/>
      <c r="C1927" s="52"/>
      <c r="D1927" s="65"/>
      <c r="E1927" s="65"/>
      <c r="F1927" s="65"/>
      <c r="G1927" s="65"/>
      <c r="H1927" s="52"/>
      <c r="I1927" s="52"/>
      <c r="J1927" s="52"/>
      <c r="K1927" s="52"/>
      <c r="L1927" s="52"/>
      <c r="M1927" s="52"/>
      <c r="N1927" s="52" t="s">
        <v>70</v>
      </c>
      <c r="O1927" s="52"/>
      <c r="P1927" s="52"/>
      <c r="Q1927" s="52"/>
      <c r="R1927" s="51" t="b">
        <v>0</v>
      </c>
      <c r="S1927" s="51"/>
      <c r="T1927" s="52"/>
      <c r="U1927" s="51" t="b">
        <v>0</v>
      </c>
      <c r="V1927" s="51" t="b">
        <v>0</v>
      </c>
      <c r="W1927" s="51" t="b">
        <v>0</v>
      </c>
      <c r="X1927" s="51" t="b">
        <v>0</v>
      </c>
      <c r="Y1927" s="51" t="b">
        <v>0</v>
      </c>
      <c r="Z1927" s="51" t="b">
        <v>0</v>
      </c>
      <c r="AA1927" s="68"/>
      <c r="AB1927" s="52"/>
      <c r="AC1927" s="52"/>
      <c r="AD1927" s="52"/>
      <c r="AE1927" s="56"/>
      <c r="AF1927" s="56"/>
    </row>
    <row r="1928">
      <c r="A1928" s="52" t="s">
        <v>5222</v>
      </c>
      <c r="B1928" s="52"/>
      <c r="C1928" s="52"/>
      <c r="D1928" s="65"/>
      <c r="E1928" s="65"/>
      <c r="F1928" s="65"/>
      <c r="G1928" s="65"/>
      <c r="H1928" s="52"/>
      <c r="I1928" s="52"/>
      <c r="J1928" s="52"/>
      <c r="K1928" s="52"/>
      <c r="L1928" s="52"/>
      <c r="M1928" s="52"/>
      <c r="N1928" s="52" t="s">
        <v>70</v>
      </c>
      <c r="O1928" s="52"/>
      <c r="P1928" s="52"/>
      <c r="Q1928" s="52"/>
      <c r="R1928" s="51" t="b">
        <v>0</v>
      </c>
      <c r="S1928" s="51"/>
      <c r="T1928" s="52"/>
      <c r="U1928" s="51" t="b">
        <v>0</v>
      </c>
      <c r="V1928" s="51" t="b">
        <v>0</v>
      </c>
      <c r="W1928" s="51" t="b">
        <v>0</v>
      </c>
      <c r="X1928" s="51" t="b">
        <v>0</v>
      </c>
      <c r="Y1928" s="51" t="b">
        <v>0</v>
      </c>
      <c r="Z1928" s="51" t="b">
        <v>0</v>
      </c>
      <c r="AA1928" s="68"/>
      <c r="AB1928" s="52"/>
      <c r="AC1928" s="52"/>
      <c r="AD1928" s="52"/>
      <c r="AE1928" s="56"/>
      <c r="AF1928" s="56"/>
    </row>
    <row r="1929">
      <c r="A1929" s="52" t="s">
        <v>5223</v>
      </c>
      <c r="B1929" s="52"/>
      <c r="C1929" s="52"/>
      <c r="D1929" s="65"/>
      <c r="E1929" s="65"/>
      <c r="F1929" s="65"/>
      <c r="G1929" s="65"/>
      <c r="H1929" s="52"/>
      <c r="I1929" s="52"/>
      <c r="J1929" s="52"/>
      <c r="K1929" s="52"/>
      <c r="L1929" s="52"/>
      <c r="M1929" s="52"/>
      <c r="N1929" s="52" t="s">
        <v>70</v>
      </c>
      <c r="O1929" s="52"/>
      <c r="P1929" s="52"/>
      <c r="Q1929" s="52"/>
      <c r="R1929" s="51" t="b">
        <v>0</v>
      </c>
      <c r="S1929" s="51"/>
      <c r="T1929" s="52"/>
      <c r="U1929" s="51" t="b">
        <v>0</v>
      </c>
      <c r="V1929" s="51" t="b">
        <v>0</v>
      </c>
      <c r="W1929" s="51" t="b">
        <v>0</v>
      </c>
      <c r="X1929" s="51" t="b">
        <v>0</v>
      </c>
      <c r="Y1929" s="51" t="b">
        <v>0</v>
      </c>
      <c r="Z1929" s="51" t="b">
        <v>0</v>
      </c>
      <c r="AA1929" s="68"/>
      <c r="AB1929" s="52"/>
      <c r="AC1929" s="52"/>
      <c r="AD1929" s="52"/>
      <c r="AE1929" s="56"/>
      <c r="AF1929" s="56"/>
    </row>
    <row r="1930">
      <c r="A1930" s="52" t="s">
        <v>5224</v>
      </c>
      <c r="B1930" s="52"/>
      <c r="C1930" s="52"/>
      <c r="D1930" s="65"/>
      <c r="E1930" s="65"/>
      <c r="F1930" s="65"/>
      <c r="G1930" s="65"/>
      <c r="H1930" s="52"/>
      <c r="I1930" s="52"/>
      <c r="J1930" s="52"/>
      <c r="K1930" s="52"/>
      <c r="L1930" s="52"/>
      <c r="M1930" s="52"/>
      <c r="N1930" s="52" t="s">
        <v>70</v>
      </c>
      <c r="O1930" s="52"/>
      <c r="P1930" s="52"/>
      <c r="Q1930" s="52"/>
      <c r="R1930" s="51" t="b">
        <v>0</v>
      </c>
      <c r="S1930" s="51"/>
      <c r="T1930" s="52"/>
      <c r="U1930" s="51" t="b">
        <v>0</v>
      </c>
      <c r="V1930" s="51" t="b">
        <v>0</v>
      </c>
      <c r="W1930" s="51" t="b">
        <v>0</v>
      </c>
      <c r="X1930" s="51" t="b">
        <v>0</v>
      </c>
      <c r="Y1930" s="51" t="b">
        <v>0</v>
      </c>
      <c r="Z1930" s="51" t="b">
        <v>0</v>
      </c>
      <c r="AA1930" s="68"/>
      <c r="AB1930" s="52"/>
      <c r="AC1930" s="52"/>
      <c r="AD1930" s="52"/>
      <c r="AE1930" s="56"/>
      <c r="AF1930" s="56"/>
    </row>
    <row r="1931">
      <c r="A1931" s="52" t="s">
        <v>5225</v>
      </c>
      <c r="B1931" s="52"/>
      <c r="C1931" s="52"/>
      <c r="D1931" s="65"/>
      <c r="E1931" s="65"/>
      <c r="F1931" s="65"/>
      <c r="G1931" s="65"/>
      <c r="H1931" s="52"/>
      <c r="I1931" s="52"/>
      <c r="J1931" s="52"/>
      <c r="K1931" s="52"/>
      <c r="L1931" s="52"/>
      <c r="M1931" s="52"/>
      <c r="N1931" s="52" t="s">
        <v>70</v>
      </c>
      <c r="O1931" s="52"/>
      <c r="P1931" s="52"/>
      <c r="Q1931" s="52"/>
      <c r="R1931" s="51" t="b">
        <v>0</v>
      </c>
      <c r="S1931" s="51"/>
      <c r="T1931" s="52"/>
      <c r="U1931" s="51" t="b">
        <v>0</v>
      </c>
      <c r="V1931" s="51" t="b">
        <v>0</v>
      </c>
      <c r="W1931" s="51" t="b">
        <v>0</v>
      </c>
      <c r="X1931" s="51" t="b">
        <v>0</v>
      </c>
      <c r="Y1931" s="51" t="b">
        <v>0</v>
      </c>
      <c r="Z1931" s="51" t="b">
        <v>0</v>
      </c>
      <c r="AA1931" s="68"/>
      <c r="AB1931" s="52"/>
      <c r="AC1931" s="52"/>
      <c r="AD1931" s="52"/>
      <c r="AE1931" s="56"/>
      <c r="AF1931" s="56"/>
    </row>
    <row r="1932">
      <c r="A1932" s="52" t="s">
        <v>5226</v>
      </c>
      <c r="B1932" s="52"/>
      <c r="C1932" s="52"/>
      <c r="D1932" s="65"/>
      <c r="E1932" s="65"/>
      <c r="F1932" s="65"/>
      <c r="G1932" s="65"/>
      <c r="H1932" s="52"/>
      <c r="I1932" s="52"/>
      <c r="J1932" s="52"/>
      <c r="K1932" s="52"/>
      <c r="L1932" s="52"/>
      <c r="M1932" s="52"/>
      <c r="N1932" s="52" t="s">
        <v>70</v>
      </c>
      <c r="O1932" s="52"/>
      <c r="P1932" s="52"/>
      <c r="Q1932" s="52"/>
      <c r="R1932" s="51" t="b">
        <v>0</v>
      </c>
      <c r="S1932" s="51"/>
      <c r="T1932" s="52"/>
      <c r="U1932" s="51" t="b">
        <v>0</v>
      </c>
      <c r="V1932" s="51" t="b">
        <v>0</v>
      </c>
      <c r="W1932" s="51" t="b">
        <v>0</v>
      </c>
      <c r="X1932" s="51" t="b">
        <v>0</v>
      </c>
      <c r="Y1932" s="51" t="b">
        <v>0</v>
      </c>
      <c r="Z1932" s="51" t="b">
        <v>0</v>
      </c>
      <c r="AA1932" s="68"/>
      <c r="AB1932" s="52"/>
      <c r="AC1932" s="52"/>
      <c r="AD1932" s="52"/>
      <c r="AE1932" s="56"/>
      <c r="AF1932" s="56"/>
    </row>
    <row r="1933">
      <c r="A1933" s="52" t="s">
        <v>5227</v>
      </c>
      <c r="B1933" s="52"/>
      <c r="C1933" s="52"/>
      <c r="D1933" s="65"/>
      <c r="E1933" s="65"/>
      <c r="F1933" s="65"/>
      <c r="G1933" s="65"/>
      <c r="H1933" s="52"/>
      <c r="I1933" s="52"/>
      <c r="J1933" s="52"/>
      <c r="K1933" s="52"/>
      <c r="L1933" s="52"/>
      <c r="M1933" s="52"/>
      <c r="N1933" s="52" t="s">
        <v>70</v>
      </c>
      <c r="O1933" s="52"/>
      <c r="P1933" s="52"/>
      <c r="Q1933" s="52"/>
      <c r="R1933" s="51" t="b">
        <v>0</v>
      </c>
      <c r="S1933" s="51"/>
      <c r="T1933" s="52"/>
      <c r="U1933" s="51" t="b">
        <v>0</v>
      </c>
      <c r="V1933" s="51" t="b">
        <v>0</v>
      </c>
      <c r="W1933" s="51" t="b">
        <v>0</v>
      </c>
      <c r="X1933" s="51" t="b">
        <v>0</v>
      </c>
      <c r="Y1933" s="51" t="b">
        <v>0</v>
      </c>
      <c r="Z1933" s="51" t="b">
        <v>0</v>
      </c>
      <c r="AA1933" s="68"/>
      <c r="AB1933" s="52"/>
      <c r="AC1933" s="52"/>
      <c r="AD1933" s="52"/>
      <c r="AE1933" s="56"/>
      <c r="AF1933" s="56"/>
    </row>
    <row r="1934">
      <c r="A1934" s="52" t="s">
        <v>5228</v>
      </c>
      <c r="B1934" s="52"/>
      <c r="C1934" s="52"/>
      <c r="D1934" s="65"/>
      <c r="E1934" s="65"/>
      <c r="F1934" s="65"/>
      <c r="G1934" s="65"/>
      <c r="H1934" s="52"/>
      <c r="I1934" s="52"/>
      <c r="J1934" s="52"/>
      <c r="K1934" s="52"/>
      <c r="L1934" s="52"/>
      <c r="M1934" s="52"/>
      <c r="N1934" s="52" t="s">
        <v>70</v>
      </c>
      <c r="O1934" s="52"/>
      <c r="P1934" s="52"/>
      <c r="Q1934" s="52"/>
      <c r="R1934" s="51" t="b">
        <v>0</v>
      </c>
      <c r="S1934" s="51"/>
      <c r="T1934" s="52"/>
      <c r="U1934" s="51" t="b">
        <v>0</v>
      </c>
      <c r="V1934" s="51" t="b">
        <v>0</v>
      </c>
      <c r="W1934" s="51" t="b">
        <v>0</v>
      </c>
      <c r="X1934" s="51" t="b">
        <v>0</v>
      </c>
      <c r="Y1934" s="51" t="b">
        <v>0</v>
      </c>
      <c r="Z1934" s="51" t="b">
        <v>0</v>
      </c>
      <c r="AA1934" s="68"/>
      <c r="AB1934" s="52"/>
      <c r="AC1934" s="52"/>
      <c r="AD1934" s="52"/>
      <c r="AE1934" s="56"/>
      <c r="AF1934" s="56"/>
    </row>
    <row r="1935">
      <c r="A1935" s="52" t="s">
        <v>5229</v>
      </c>
      <c r="B1935" s="52"/>
      <c r="C1935" s="52"/>
      <c r="D1935" s="65"/>
      <c r="E1935" s="65"/>
      <c r="F1935" s="65"/>
      <c r="G1935" s="65"/>
      <c r="H1935" s="52"/>
      <c r="I1935" s="52"/>
      <c r="J1935" s="52"/>
      <c r="K1935" s="52"/>
      <c r="L1935" s="52"/>
      <c r="M1935" s="52"/>
      <c r="N1935" s="52" t="s">
        <v>70</v>
      </c>
      <c r="O1935" s="52"/>
      <c r="P1935" s="52"/>
      <c r="Q1935" s="52"/>
      <c r="R1935" s="51" t="b">
        <v>0</v>
      </c>
      <c r="S1935" s="51"/>
      <c r="T1935" s="52"/>
      <c r="U1935" s="51" t="b">
        <v>0</v>
      </c>
      <c r="V1935" s="51" t="b">
        <v>0</v>
      </c>
      <c r="W1935" s="51" t="b">
        <v>0</v>
      </c>
      <c r="X1935" s="51" t="b">
        <v>0</v>
      </c>
      <c r="Y1935" s="51" t="b">
        <v>0</v>
      </c>
      <c r="Z1935" s="51" t="b">
        <v>0</v>
      </c>
      <c r="AA1935" s="68"/>
      <c r="AB1935" s="52"/>
      <c r="AC1935" s="52"/>
      <c r="AD1935" s="52"/>
      <c r="AE1935" s="56"/>
      <c r="AF1935" s="56"/>
    </row>
    <row r="1936">
      <c r="A1936" s="52" t="s">
        <v>5230</v>
      </c>
      <c r="B1936" s="52"/>
      <c r="C1936" s="52"/>
      <c r="D1936" s="65"/>
      <c r="E1936" s="65"/>
      <c r="F1936" s="65"/>
      <c r="G1936" s="65"/>
      <c r="H1936" s="52"/>
      <c r="I1936" s="52"/>
      <c r="J1936" s="52"/>
      <c r="K1936" s="52"/>
      <c r="L1936" s="52"/>
      <c r="M1936" s="52"/>
      <c r="N1936" s="52" t="s">
        <v>70</v>
      </c>
      <c r="O1936" s="52"/>
      <c r="P1936" s="52"/>
      <c r="Q1936" s="52"/>
      <c r="R1936" s="51" t="b">
        <v>0</v>
      </c>
      <c r="S1936" s="51"/>
      <c r="T1936" s="52"/>
      <c r="U1936" s="51" t="b">
        <v>0</v>
      </c>
      <c r="V1936" s="51" t="b">
        <v>0</v>
      </c>
      <c r="W1936" s="51" t="b">
        <v>0</v>
      </c>
      <c r="X1936" s="51" t="b">
        <v>0</v>
      </c>
      <c r="Y1936" s="51" t="b">
        <v>0</v>
      </c>
      <c r="Z1936" s="51" t="b">
        <v>0</v>
      </c>
      <c r="AA1936" s="68"/>
      <c r="AB1936" s="52"/>
      <c r="AC1936" s="52"/>
      <c r="AD1936" s="52"/>
      <c r="AE1936" s="56"/>
      <c r="AF1936" s="56"/>
    </row>
    <row r="1937">
      <c r="A1937" s="52" t="s">
        <v>5231</v>
      </c>
      <c r="B1937" s="52"/>
      <c r="C1937" s="52"/>
      <c r="D1937" s="65"/>
      <c r="E1937" s="65"/>
      <c r="F1937" s="65"/>
      <c r="G1937" s="65"/>
      <c r="H1937" s="52"/>
      <c r="I1937" s="52"/>
      <c r="J1937" s="52"/>
      <c r="K1937" s="52"/>
      <c r="L1937" s="52"/>
      <c r="M1937" s="52"/>
      <c r="N1937" s="52" t="s">
        <v>70</v>
      </c>
      <c r="O1937" s="52"/>
      <c r="P1937" s="52"/>
      <c r="Q1937" s="52"/>
      <c r="R1937" s="51" t="b">
        <v>0</v>
      </c>
      <c r="S1937" s="51"/>
      <c r="T1937" s="52"/>
      <c r="U1937" s="51" t="b">
        <v>0</v>
      </c>
      <c r="V1937" s="51" t="b">
        <v>0</v>
      </c>
      <c r="W1937" s="51" t="b">
        <v>0</v>
      </c>
      <c r="X1937" s="51" t="b">
        <v>0</v>
      </c>
      <c r="Y1937" s="51" t="b">
        <v>0</v>
      </c>
      <c r="Z1937" s="51" t="b">
        <v>0</v>
      </c>
      <c r="AA1937" s="68"/>
      <c r="AB1937" s="52"/>
      <c r="AC1937" s="52"/>
      <c r="AD1937" s="52"/>
      <c r="AE1937" s="56"/>
      <c r="AF1937" s="56"/>
    </row>
    <row r="1938">
      <c r="A1938" s="52" t="s">
        <v>5232</v>
      </c>
      <c r="B1938" s="52"/>
      <c r="C1938" s="52"/>
      <c r="D1938" s="65"/>
      <c r="E1938" s="65"/>
      <c r="F1938" s="65"/>
      <c r="G1938" s="65"/>
      <c r="H1938" s="52"/>
      <c r="I1938" s="52"/>
      <c r="J1938" s="52"/>
      <c r="K1938" s="52"/>
      <c r="L1938" s="52"/>
      <c r="M1938" s="52"/>
      <c r="N1938" s="52" t="s">
        <v>70</v>
      </c>
      <c r="O1938" s="52"/>
      <c r="P1938" s="52"/>
      <c r="Q1938" s="52"/>
      <c r="R1938" s="51" t="b">
        <v>0</v>
      </c>
      <c r="S1938" s="51"/>
      <c r="T1938" s="52"/>
      <c r="U1938" s="51" t="b">
        <v>0</v>
      </c>
      <c r="V1938" s="51" t="b">
        <v>0</v>
      </c>
      <c r="W1938" s="51" t="b">
        <v>0</v>
      </c>
      <c r="X1938" s="51" t="b">
        <v>0</v>
      </c>
      <c r="Y1938" s="51" t="b">
        <v>0</v>
      </c>
      <c r="Z1938" s="51" t="b">
        <v>0</v>
      </c>
      <c r="AA1938" s="68"/>
      <c r="AB1938" s="52"/>
      <c r="AC1938" s="52"/>
      <c r="AD1938" s="52"/>
      <c r="AE1938" s="56"/>
      <c r="AF1938" s="56"/>
    </row>
    <row r="1939">
      <c r="A1939" s="52" t="s">
        <v>5233</v>
      </c>
      <c r="B1939" s="52"/>
      <c r="C1939" s="52"/>
      <c r="D1939" s="65"/>
      <c r="E1939" s="65"/>
      <c r="F1939" s="65"/>
      <c r="G1939" s="65"/>
      <c r="H1939" s="52"/>
      <c r="I1939" s="52"/>
      <c r="J1939" s="52"/>
      <c r="K1939" s="52"/>
      <c r="L1939" s="52"/>
      <c r="M1939" s="52"/>
      <c r="N1939" s="52" t="s">
        <v>70</v>
      </c>
      <c r="O1939" s="52"/>
      <c r="P1939" s="52"/>
      <c r="Q1939" s="52"/>
      <c r="R1939" s="51" t="b">
        <v>0</v>
      </c>
      <c r="S1939" s="51"/>
      <c r="T1939" s="52"/>
      <c r="U1939" s="51" t="b">
        <v>0</v>
      </c>
      <c r="V1939" s="51" t="b">
        <v>0</v>
      </c>
      <c r="W1939" s="51" t="b">
        <v>0</v>
      </c>
      <c r="X1939" s="51" t="b">
        <v>0</v>
      </c>
      <c r="Y1939" s="51" t="b">
        <v>0</v>
      </c>
      <c r="Z1939" s="51" t="b">
        <v>0</v>
      </c>
      <c r="AA1939" s="68"/>
      <c r="AB1939" s="52"/>
      <c r="AC1939" s="52"/>
      <c r="AD1939" s="52"/>
      <c r="AE1939" s="56"/>
      <c r="AF1939" s="56"/>
    </row>
    <row r="1940">
      <c r="A1940" s="52" t="s">
        <v>5234</v>
      </c>
      <c r="B1940" s="52"/>
      <c r="C1940" s="52"/>
      <c r="D1940" s="65"/>
      <c r="E1940" s="65"/>
      <c r="F1940" s="65"/>
      <c r="G1940" s="65"/>
      <c r="H1940" s="52"/>
      <c r="I1940" s="52"/>
      <c r="J1940" s="52"/>
      <c r="K1940" s="52"/>
      <c r="L1940" s="52"/>
      <c r="M1940" s="52"/>
      <c r="N1940" s="52" t="s">
        <v>70</v>
      </c>
      <c r="O1940" s="52"/>
      <c r="P1940" s="52"/>
      <c r="Q1940" s="52"/>
      <c r="R1940" s="51" t="b">
        <v>0</v>
      </c>
      <c r="S1940" s="51"/>
      <c r="T1940" s="52"/>
      <c r="U1940" s="51" t="b">
        <v>0</v>
      </c>
      <c r="V1940" s="51" t="b">
        <v>0</v>
      </c>
      <c r="W1940" s="51" t="b">
        <v>0</v>
      </c>
      <c r="X1940" s="51" t="b">
        <v>0</v>
      </c>
      <c r="Y1940" s="51" t="b">
        <v>0</v>
      </c>
      <c r="Z1940" s="51" t="b">
        <v>0</v>
      </c>
      <c r="AA1940" s="68"/>
      <c r="AB1940" s="52"/>
      <c r="AC1940" s="52"/>
      <c r="AD1940" s="52"/>
      <c r="AE1940" s="56"/>
      <c r="AF1940" s="56"/>
    </row>
    <row r="1941">
      <c r="A1941" s="52" t="s">
        <v>5235</v>
      </c>
      <c r="B1941" s="52"/>
      <c r="C1941" s="52"/>
      <c r="D1941" s="65"/>
      <c r="E1941" s="65"/>
      <c r="F1941" s="65"/>
      <c r="G1941" s="65"/>
      <c r="H1941" s="52"/>
      <c r="I1941" s="52"/>
      <c r="J1941" s="52"/>
      <c r="K1941" s="52"/>
      <c r="L1941" s="52"/>
      <c r="M1941" s="52"/>
      <c r="N1941" s="52" t="s">
        <v>70</v>
      </c>
      <c r="O1941" s="52"/>
      <c r="P1941" s="52"/>
      <c r="Q1941" s="52"/>
      <c r="R1941" s="51" t="b">
        <v>0</v>
      </c>
      <c r="S1941" s="51"/>
      <c r="T1941" s="52"/>
      <c r="U1941" s="51" t="b">
        <v>0</v>
      </c>
      <c r="V1941" s="51" t="b">
        <v>0</v>
      </c>
      <c r="W1941" s="51" t="b">
        <v>0</v>
      </c>
      <c r="X1941" s="51" t="b">
        <v>0</v>
      </c>
      <c r="Y1941" s="51" t="b">
        <v>0</v>
      </c>
      <c r="Z1941" s="51" t="b">
        <v>0</v>
      </c>
      <c r="AA1941" s="68"/>
      <c r="AB1941" s="52"/>
      <c r="AC1941" s="52"/>
      <c r="AD1941" s="52"/>
      <c r="AE1941" s="56"/>
      <c r="AF1941" s="56"/>
    </row>
    <row r="1942">
      <c r="A1942" s="52" t="s">
        <v>5236</v>
      </c>
      <c r="B1942" s="52"/>
      <c r="C1942" s="52"/>
      <c r="D1942" s="65"/>
      <c r="E1942" s="65"/>
      <c r="F1942" s="65"/>
      <c r="G1942" s="65"/>
      <c r="H1942" s="52"/>
      <c r="I1942" s="52"/>
      <c r="J1942" s="52"/>
      <c r="K1942" s="52"/>
      <c r="L1942" s="52"/>
      <c r="M1942" s="52"/>
      <c r="N1942" s="52" t="s">
        <v>70</v>
      </c>
      <c r="O1942" s="52"/>
      <c r="P1942" s="52"/>
      <c r="Q1942" s="52"/>
      <c r="R1942" s="51" t="b">
        <v>0</v>
      </c>
      <c r="S1942" s="51"/>
      <c r="T1942" s="52"/>
      <c r="U1942" s="51" t="b">
        <v>0</v>
      </c>
      <c r="V1942" s="51" t="b">
        <v>0</v>
      </c>
      <c r="W1942" s="51" t="b">
        <v>0</v>
      </c>
      <c r="X1942" s="51" t="b">
        <v>0</v>
      </c>
      <c r="Y1942" s="51" t="b">
        <v>0</v>
      </c>
      <c r="Z1942" s="51" t="b">
        <v>0</v>
      </c>
      <c r="AA1942" s="68"/>
      <c r="AB1942" s="52"/>
      <c r="AC1942" s="52"/>
      <c r="AD1942" s="52"/>
      <c r="AE1942" s="56"/>
      <c r="AF1942" s="56"/>
    </row>
    <row r="1943">
      <c r="A1943" s="52" t="s">
        <v>5237</v>
      </c>
      <c r="B1943" s="52"/>
      <c r="C1943" s="52"/>
      <c r="D1943" s="65"/>
      <c r="E1943" s="65"/>
      <c r="F1943" s="65"/>
      <c r="G1943" s="65"/>
      <c r="H1943" s="52"/>
      <c r="I1943" s="52"/>
      <c r="J1943" s="52"/>
      <c r="K1943" s="52"/>
      <c r="L1943" s="52"/>
      <c r="M1943" s="52"/>
      <c r="N1943" s="52" t="s">
        <v>70</v>
      </c>
      <c r="O1943" s="52"/>
      <c r="P1943" s="52"/>
      <c r="Q1943" s="52"/>
      <c r="R1943" s="51" t="b">
        <v>0</v>
      </c>
      <c r="S1943" s="51"/>
      <c r="T1943" s="52"/>
      <c r="U1943" s="51" t="b">
        <v>0</v>
      </c>
      <c r="V1943" s="51" t="b">
        <v>0</v>
      </c>
      <c r="W1943" s="51" t="b">
        <v>0</v>
      </c>
      <c r="X1943" s="51" t="b">
        <v>0</v>
      </c>
      <c r="Y1943" s="51" t="b">
        <v>0</v>
      </c>
      <c r="Z1943" s="51" t="b">
        <v>0</v>
      </c>
      <c r="AA1943" s="68"/>
      <c r="AB1943" s="52"/>
      <c r="AC1943" s="52"/>
      <c r="AD1943" s="52"/>
      <c r="AE1943" s="56"/>
      <c r="AF1943" s="56"/>
    </row>
    <row r="1944">
      <c r="A1944" s="52" t="s">
        <v>5238</v>
      </c>
      <c r="B1944" s="52"/>
      <c r="C1944" s="52"/>
      <c r="D1944" s="65"/>
      <c r="E1944" s="65"/>
      <c r="F1944" s="65"/>
      <c r="G1944" s="65"/>
      <c r="H1944" s="52"/>
      <c r="I1944" s="52"/>
      <c r="J1944" s="52"/>
      <c r="K1944" s="52"/>
      <c r="L1944" s="52"/>
      <c r="M1944" s="52"/>
      <c r="N1944" s="52" t="s">
        <v>70</v>
      </c>
      <c r="O1944" s="52"/>
      <c r="P1944" s="52"/>
      <c r="Q1944" s="52"/>
      <c r="R1944" s="51" t="b">
        <v>0</v>
      </c>
      <c r="S1944" s="51"/>
      <c r="T1944" s="52"/>
      <c r="U1944" s="51" t="b">
        <v>0</v>
      </c>
      <c r="V1944" s="51" t="b">
        <v>0</v>
      </c>
      <c r="W1944" s="51" t="b">
        <v>0</v>
      </c>
      <c r="X1944" s="51" t="b">
        <v>0</v>
      </c>
      <c r="Y1944" s="51" t="b">
        <v>0</v>
      </c>
      <c r="Z1944" s="51" t="b">
        <v>0</v>
      </c>
      <c r="AA1944" s="68"/>
      <c r="AB1944" s="52"/>
      <c r="AC1944" s="52"/>
      <c r="AD1944" s="52"/>
      <c r="AE1944" s="56"/>
      <c r="AF1944" s="56"/>
    </row>
    <row r="1945">
      <c r="A1945" s="52" t="s">
        <v>5239</v>
      </c>
      <c r="B1945" s="52"/>
      <c r="C1945" s="52"/>
      <c r="D1945" s="65"/>
      <c r="E1945" s="65"/>
      <c r="F1945" s="65"/>
      <c r="G1945" s="65"/>
      <c r="H1945" s="52"/>
      <c r="I1945" s="52"/>
      <c r="J1945" s="52"/>
      <c r="K1945" s="52"/>
      <c r="L1945" s="52"/>
      <c r="M1945" s="52"/>
      <c r="N1945" s="52" t="s">
        <v>70</v>
      </c>
      <c r="O1945" s="52"/>
      <c r="P1945" s="52"/>
      <c r="Q1945" s="52"/>
      <c r="R1945" s="51" t="b">
        <v>0</v>
      </c>
      <c r="S1945" s="51"/>
      <c r="T1945" s="52"/>
      <c r="U1945" s="51" t="b">
        <v>0</v>
      </c>
      <c r="V1945" s="51" t="b">
        <v>0</v>
      </c>
      <c r="W1945" s="51" t="b">
        <v>0</v>
      </c>
      <c r="X1945" s="51" t="b">
        <v>0</v>
      </c>
      <c r="Y1945" s="51" t="b">
        <v>0</v>
      </c>
      <c r="Z1945" s="51" t="b">
        <v>0</v>
      </c>
      <c r="AA1945" s="68"/>
      <c r="AB1945" s="52"/>
      <c r="AC1945" s="52"/>
      <c r="AD1945" s="52"/>
      <c r="AE1945" s="56"/>
      <c r="AF1945" s="56"/>
    </row>
    <row r="1946">
      <c r="A1946" s="52" t="s">
        <v>5240</v>
      </c>
      <c r="B1946" s="52"/>
      <c r="C1946" s="52"/>
      <c r="D1946" s="65"/>
      <c r="E1946" s="65"/>
      <c r="F1946" s="65"/>
      <c r="G1946" s="65"/>
      <c r="H1946" s="52"/>
      <c r="I1946" s="52"/>
      <c r="J1946" s="52"/>
      <c r="K1946" s="52"/>
      <c r="L1946" s="52"/>
      <c r="M1946" s="52"/>
      <c r="N1946" s="52" t="s">
        <v>70</v>
      </c>
      <c r="O1946" s="52"/>
      <c r="P1946" s="52"/>
      <c r="Q1946" s="52"/>
      <c r="R1946" s="51" t="b">
        <v>0</v>
      </c>
      <c r="S1946" s="51"/>
      <c r="T1946" s="52"/>
      <c r="U1946" s="51" t="b">
        <v>0</v>
      </c>
      <c r="V1946" s="51" t="b">
        <v>0</v>
      </c>
      <c r="W1946" s="51" t="b">
        <v>0</v>
      </c>
      <c r="X1946" s="51" t="b">
        <v>0</v>
      </c>
      <c r="Y1946" s="51" t="b">
        <v>0</v>
      </c>
      <c r="Z1946" s="51" t="b">
        <v>0</v>
      </c>
      <c r="AA1946" s="68"/>
      <c r="AB1946" s="52"/>
      <c r="AC1946" s="52"/>
      <c r="AD1946" s="52"/>
      <c r="AE1946" s="56"/>
      <c r="AF1946" s="56"/>
    </row>
    <row r="1947">
      <c r="A1947" s="52" t="s">
        <v>5241</v>
      </c>
      <c r="B1947" s="52"/>
      <c r="C1947" s="52"/>
      <c r="D1947" s="65"/>
      <c r="E1947" s="65"/>
      <c r="F1947" s="65"/>
      <c r="G1947" s="65"/>
      <c r="H1947" s="52"/>
      <c r="I1947" s="52"/>
      <c r="J1947" s="52"/>
      <c r="K1947" s="52"/>
      <c r="L1947" s="52"/>
      <c r="M1947" s="52"/>
      <c r="N1947" s="52" t="s">
        <v>70</v>
      </c>
      <c r="O1947" s="52"/>
      <c r="P1947" s="52"/>
      <c r="Q1947" s="52"/>
      <c r="R1947" s="51" t="b">
        <v>0</v>
      </c>
      <c r="S1947" s="51"/>
      <c r="T1947" s="52"/>
      <c r="U1947" s="51" t="b">
        <v>0</v>
      </c>
      <c r="V1947" s="51" t="b">
        <v>0</v>
      </c>
      <c r="W1947" s="51" t="b">
        <v>0</v>
      </c>
      <c r="X1947" s="51" t="b">
        <v>0</v>
      </c>
      <c r="Y1947" s="51" t="b">
        <v>0</v>
      </c>
      <c r="Z1947" s="51" t="b">
        <v>0</v>
      </c>
      <c r="AA1947" s="68"/>
      <c r="AB1947" s="52"/>
      <c r="AC1947" s="52"/>
      <c r="AD1947" s="52"/>
      <c r="AE1947" s="56"/>
      <c r="AF1947" s="56"/>
    </row>
    <row r="1948">
      <c r="A1948" s="52" t="s">
        <v>5242</v>
      </c>
      <c r="B1948" s="52"/>
      <c r="C1948" s="52"/>
      <c r="D1948" s="65"/>
      <c r="E1948" s="65"/>
      <c r="F1948" s="65"/>
      <c r="G1948" s="65"/>
      <c r="H1948" s="52"/>
      <c r="I1948" s="52"/>
      <c r="J1948" s="52"/>
      <c r="K1948" s="52"/>
      <c r="L1948" s="52"/>
      <c r="M1948" s="52"/>
      <c r="N1948" s="52" t="s">
        <v>70</v>
      </c>
      <c r="O1948" s="52"/>
      <c r="P1948" s="52"/>
      <c r="Q1948" s="52"/>
      <c r="R1948" s="51" t="b">
        <v>0</v>
      </c>
      <c r="S1948" s="51"/>
      <c r="T1948" s="52"/>
      <c r="U1948" s="51" t="b">
        <v>0</v>
      </c>
      <c r="V1948" s="51" t="b">
        <v>0</v>
      </c>
      <c r="W1948" s="51" t="b">
        <v>0</v>
      </c>
      <c r="X1948" s="51" t="b">
        <v>0</v>
      </c>
      <c r="Y1948" s="51" t="b">
        <v>0</v>
      </c>
      <c r="Z1948" s="51" t="b">
        <v>0</v>
      </c>
      <c r="AA1948" s="68"/>
      <c r="AB1948" s="52"/>
      <c r="AC1948" s="52"/>
      <c r="AD1948" s="52"/>
      <c r="AE1948" s="56"/>
      <c r="AF1948" s="56"/>
    </row>
    <row r="1949">
      <c r="A1949" s="52" t="s">
        <v>5243</v>
      </c>
      <c r="B1949" s="52"/>
      <c r="C1949" s="52"/>
      <c r="D1949" s="65"/>
      <c r="E1949" s="65"/>
      <c r="F1949" s="65"/>
      <c r="G1949" s="65"/>
      <c r="H1949" s="52"/>
      <c r="I1949" s="52"/>
      <c r="J1949" s="52"/>
      <c r="K1949" s="52"/>
      <c r="L1949" s="52"/>
      <c r="M1949" s="52"/>
      <c r="N1949" s="52" t="s">
        <v>70</v>
      </c>
      <c r="O1949" s="52"/>
      <c r="P1949" s="52"/>
      <c r="Q1949" s="52"/>
      <c r="R1949" s="51" t="b">
        <v>0</v>
      </c>
      <c r="S1949" s="51"/>
      <c r="T1949" s="52"/>
      <c r="U1949" s="51" t="b">
        <v>0</v>
      </c>
      <c r="V1949" s="51" t="b">
        <v>0</v>
      </c>
      <c r="W1949" s="51" t="b">
        <v>0</v>
      </c>
      <c r="X1949" s="51" t="b">
        <v>0</v>
      </c>
      <c r="Y1949" s="51" t="b">
        <v>0</v>
      </c>
      <c r="Z1949" s="51" t="b">
        <v>0</v>
      </c>
      <c r="AA1949" s="68"/>
      <c r="AB1949" s="52"/>
      <c r="AC1949" s="52"/>
      <c r="AD1949" s="52"/>
      <c r="AE1949" s="56"/>
      <c r="AF1949" s="56"/>
    </row>
    <row r="1950">
      <c r="A1950" s="52" t="s">
        <v>5244</v>
      </c>
      <c r="B1950" s="52"/>
      <c r="C1950" s="52"/>
      <c r="D1950" s="65"/>
      <c r="E1950" s="65"/>
      <c r="F1950" s="65"/>
      <c r="G1950" s="65"/>
      <c r="H1950" s="52"/>
      <c r="I1950" s="52"/>
      <c r="J1950" s="52"/>
      <c r="K1950" s="52"/>
      <c r="L1950" s="52"/>
      <c r="M1950" s="52"/>
      <c r="N1950" s="52" t="s">
        <v>70</v>
      </c>
      <c r="O1950" s="52"/>
      <c r="P1950" s="52"/>
      <c r="Q1950" s="52"/>
      <c r="R1950" s="51" t="b">
        <v>0</v>
      </c>
      <c r="S1950" s="51"/>
      <c r="T1950" s="52"/>
      <c r="U1950" s="51" t="b">
        <v>0</v>
      </c>
      <c r="V1950" s="51" t="b">
        <v>0</v>
      </c>
      <c r="W1950" s="51" t="b">
        <v>0</v>
      </c>
      <c r="X1950" s="51" t="b">
        <v>0</v>
      </c>
      <c r="Y1950" s="51" t="b">
        <v>0</v>
      </c>
      <c r="Z1950" s="51" t="b">
        <v>0</v>
      </c>
      <c r="AA1950" s="68"/>
      <c r="AB1950" s="52"/>
      <c r="AC1950" s="52"/>
      <c r="AD1950" s="52"/>
      <c r="AE1950" s="56"/>
      <c r="AF1950" s="56"/>
    </row>
    <row r="1951">
      <c r="A1951" s="52" t="s">
        <v>5245</v>
      </c>
      <c r="B1951" s="52"/>
      <c r="C1951" s="52"/>
      <c r="D1951" s="65"/>
      <c r="E1951" s="65"/>
      <c r="F1951" s="65"/>
      <c r="G1951" s="65"/>
      <c r="H1951" s="52"/>
      <c r="I1951" s="52"/>
      <c r="J1951" s="52"/>
      <c r="K1951" s="52"/>
      <c r="L1951" s="52"/>
      <c r="M1951" s="52"/>
      <c r="N1951" s="52" t="s">
        <v>70</v>
      </c>
      <c r="O1951" s="52"/>
      <c r="P1951" s="52"/>
      <c r="Q1951" s="52"/>
      <c r="R1951" s="51" t="b">
        <v>0</v>
      </c>
      <c r="S1951" s="51"/>
      <c r="T1951" s="52"/>
      <c r="U1951" s="51" t="b">
        <v>0</v>
      </c>
      <c r="V1951" s="51" t="b">
        <v>0</v>
      </c>
      <c r="W1951" s="51" t="b">
        <v>0</v>
      </c>
      <c r="X1951" s="51" t="b">
        <v>0</v>
      </c>
      <c r="Y1951" s="51" t="b">
        <v>0</v>
      </c>
      <c r="Z1951" s="51" t="b">
        <v>0</v>
      </c>
      <c r="AA1951" s="68"/>
      <c r="AB1951" s="52"/>
      <c r="AC1951" s="52"/>
      <c r="AD1951" s="52"/>
      <c r="AE1951" s="56"/>
      <c r="AF1951" s="56"/>
    </row>
    <row r="1952">
      <c r="A1952" s="52" t="s">
        <v>5246</v>
      </c>
      <c r="B1952" s="52"/>
      <c r="C1952" s="52"/>
      <c r="D1952" s="65"/>
      <c r="E1952" s="65"/>
      <c r="F1952" s="65"/>
      <c r="G1952" s="65"/>
      <c r="H1952" s="52"/>
      <c r="I1952" s="52"/>
      <c r="J1952" s="52"/>
      <c r="K1952" s="52"/>
      <c r="L1952" s="52"/>
      <c r="M1952" s="52"/>
      <c r="N1952" s="52" t="s">
        <v>70</v>
      </c>
      <c r="O1952" s="52"/>
      <c r="P1952" s="52"/>
      <c r="Q1952" s="52"/>
      <c r="R1952" s="51" t="b">
        <v>0</v>
      </c>
      <c r="S1952" s="51"/>
      <c r="T1952" s="52"/>
      <c r="U1952" s="51" t="b">
        <v>0</v>
      </c>
      <c r="V1952" s="51" t="b">
        <v>0</v>
      </c>
      <c r="W1952" s="51" t="b">
        <v>0</v>
      </c>
      <c r="X1952" s="51" t="b">
        <v>0</v>
      </c>
      <c r="Y1952" s="51" t="b">
        <v>0</v>
      </c>
      <c r="Z1952" s="51" t="b">
        <v>0</v>
      </c>
      <c r="AA1952" s="68"/>
      <c r="AB1952" s="52"/>
      <c r="AC1952" s="52"/>
      <c r="AD1952" s="52"/>
      <c r="AE1952" s="56"/>
      <c r="AF1952" s="56"/>
    </row>
    <row r="1953">
      <c r="A1953" s="52" t="s">
        <v>5247</v>
      </c>
      <c r="B1953" s="52" t="s">
        <v>607</v>
      </c>
      <c r="C1953" s="52" t="s">
        <v>607</v>
      </c>
      <c r="D1953" s="65" t="s">
        <v>607</v>
      </c>
      <c r="E1953" s="65" t="s">
        <v>607</v>
      </c>
      <c r="F1953" s="65" t="s">
        <v>607</v>
      </c>
      <c r="G1953" s="65" t="s">
        <v>607</v>
      </c>
      <c r="H1953" s="52" t="s">
        <v>607</v>
      </c>
      <c r="I1953" s="52" t="s">
        <v>607</v>
      </c>
      <c r="J1953" s="52" t="s">
        <v>607</v>
      </c>
      <c r="K1953" s="52" t="s">
        <v>607</v>
      </c>
      <c r="L1953" s="52" t="s">
        <v>607</v>
      </c>
      <c r="M1953" s="52" t="s">
        <v>607</v>
      </c>
      <c r="N1953" s="52" t="s">
        <v>607</v>
      </c>
      <c r="O1953" s="52"/>
      <c r="P1953" s="52"/>
      <c r="Q1953" s="52"/>
      <c r="R1953" s="51" t="b">
        <v>0</v>
      </c>
      <c r="S1953" s="51"/>
      <c r="T1953" s="52"/>
      <c r="U1953" s="51" t="b">
        <v>0</v>
      </c>
      <c r="V1953" s="51" t="b">
        <v>0</v>
      </c>
      <c r="W1953" s="51" t="b">
        <v>0</v>
      </c>
      <c r="X1953" s="51" t="b">
        <v>0</v>
      </c>
      <c r="Y1953" s="51" t="b">
        <v>0</v>
      </c>
      <c r="Z1953" s="51" t="b">
        <v>0</v>
      </c>
      <c r="AA1953" s="68"/>
      <c r="AB1953" s="52"/>
      <c r="AC1953" s="52"/>
      <c r="AD1953" s="52"/>
      <c r="AE1953" s="56" t="s">
        <v>607</v>
      </c>
      <c r="AF1953" s="56" t="s">
        <v>607</v>
      </c>
    </row>
    <row r="1954">
      <c r="A1954" s="52" t="s">
        <v>5248</v>
      </c>
      <c r="B1954" s="52"/>
      <c r="C1954" s="52"/>
      <c r="D1954" s="65"/>
      <c r="E1954" s="65"/>
      <c r="F1954" s="65"/>
      <c r="G1954" s="65"/>
      <c r="H1954" s="52"/>
      <c r="I1954" s="52"/>
      <c r="J1954" s="52"/>
      <c r="K1954" s="52"/>
      <c r="L1954" s="52"/>
      <c r="M1954" s="52"/>
      <c r="N1954" s="52" t="s">
        <v>70</v>
      </c>
      <c r="O1954" s="52"/>
      <c r="P1954" s="52"/>
      <c r="Q1954" s="52"/>
      <c r="R1954" s="51" t="b">
        <v>0</v>
      </c>
      <c r="S1954" s="51"/>
      <c r="T1954" s="52"/>
      <c r="U1954" s="51" t="b">
        <v>0</v>
      </c>
      <c r="V1954" s="51" t="b">
        <v>0</v>
      </c>
      <c r="W1954" s="51" t="b">
        <v>0</v>
      </c>
      <c r="X1954" s="51" t="b">
        <v>0</v>
      </c>
      <c r="Y1954" s="51" t="b">
        <v>0</v>
      </c>
      <c r="Z1954" s="51" t="b">
        <v>0</v>
      </c>
      <c r="AA1954" s="68"/>
      <c r="AB1954" s="52"/>
      <c r="AC1954" s="52"/>
      <c r="AD1954" s="52"/>
      <c r="AE1954" s="56"/>
      <c r="AF1954" s="56"/>
    </row>
    <row r="1955">
      <c r="A1955" s="52" t="s">
        <v>5249</v>
      </c>
      <c r="B1955" s="52" t="s">
        <v>14</v>
      </c>
      <c r="C1955" s="52" t="s">
        <v>66</v>
      </c>
      <c r="D1955" s="65">
        <v>0.6535532407407405</v>
      </c>
      <c r="E1955" s="65">
        <v>5.208333333333333E-4</v>
      </c>
      <c r="F1955" s="65">
        <v>0.6540740740740738</v>
      </c>
      <c r="G1955" s="65"/>
      <c r="H1955" s="52" t="s">
        <v>89</v>
      </c>
      <c r="I1955" s="52" t="s">
        <v>80</v>
      </c>
      <c r="J1955" s="52" t="s">
        <v>69</v>
      </c>
      <c r="K1955" s="52"/>
      <c r="L1955" s="52"/>
      <c r="M1955" s="52"/>
      <c r="N1955" s="52"/>
      <c r="O1955" s="52"/>
      <c r="P1955" s="52"/>
      <c r="Q1955" s="52"/>
      <c r="R1955" s="51" t="b">
        <v>0</v>
      </c>
      <c r="S1955" s="51"/>
      <c r="T1955" s="52"/>
      <c r="U1955" s="51" t="b">
        <v>0</v>
      </c>
      <c r="V1955" s="51" t="b">
        <v>0</v>
      </c>
      <c r="W1955" s="51" t="b">
        <v>0</v>
      </c>
      <c r="X1955" s="51" t="b">
        <v>0</v>
      </c>
      <c r="Y1955" s="51" t="b">
        <v>0</v>
      </c>
      <c r="Z1955" s="51" t="b">
        <v>0</v>
      </c>
      <c r="AA1955" s="68"/>
      <c r="AB1955" s="52"/>
      <c r="AC1955" s="52"/>
      <c r="AD1955" s="52"/>
      <c r="AE1955" s="56"/>
      <c r="AF1955" s="56"/>
    </row>
    <row r="1956">
      <c r="A1956" s="52" t="s">
        <v>5250</v>
      </c>
      <c r="B1956" s="52" t="s">
        <v>14</v>
      </c>
      <c r="C1956" s="52" t="s">
        <v>221</v>
      </c>
      <c r="D1956" s="65">
        <v>0.4478009259259261</v>
      </c>
      <c r="E1956" s="65">
        <v>3.4722222222222224E-4</v>
      </c>
      <c r="F1956" s="65">
        <v>0.4481481481481483</v>
      </c>
      <c r="G1956" s="65"/>
      <c r="H1956" s="52" t="s">
        <v>89</v>
      </c>
      <c r="I1956" s="52" t="s">
        <v>80</v>
      </c>
      <c r="J1956" s="52" t="s">
        <v>69</v>
      </c>
      <c r="K1956" s="52"/>
      <c r="L1956" s="52"/>
      <c r="M1956" s="52"/>
      <c r="N1956" s="52"/>
      <c r="O1956" s="52"/>
      <c r="P1956" s="52"/>
      <c r="Q1956" s="52"/>
      <c r="R1956" s="51" t="b">
        <v>0</v>
      </c>
      <c r="S1956" s="51"/>
      <c r="T1956" s="52"/>
      <c r="U1956" s="51" t="b">
        <v>0</v>
      </c>
      <c r="V1956" s="51" t="b">
        <v>0</v>
      </c>
      <c r="W1956" s="51" t="b">
        <v>0</v>
      </c>
      <c r="X1956" s="51" t="b">
        <v>0</v>
      </c>
      <c r="Y1956" s="51" t="b">
        <v>0</v>
      </c>
      <c r="Z1956" s="51" t="b">
        <v>0</v>
      </c>
      <c r="AA1956" s="68"/>
      <c r="AB1956" s="52"/>
      <c r="AC1956" s="52"/>
      <c r="AD1956" s="52"/>
      <c r="AE1956" s="56"/>
      <c r="AF1956" s="56"/>
    </row>
    <row r="1957">
      <c r="A1957" s="52" t="s">
        <v>5251</v>
      </c>
      <c r="B1957" s="52" t="s">
        <v>14</v>
      </c>
      <c r="C1957" s="52" t="s">
        <v>221</v>
      </c>
      <c r="D1957" s="65">
        <v>0.4594907407407409</v>
      </c>
      <c r="E1957" s="65">
        <v>3.4722222222222224E-4</v>
      </c>
      <c r="F1957" s="65">
        <v>0.45983796296296314</v>
      </c>
      <c r="G1957" s="65"/>
      <c r="H1957" s="52" t="s">
        <v>79</v>
      </c>
      <c r="I1957" s="52" t="s">
        <v>80</v>
      </c>
      <c r="J1957" s="52" t="s">
        <v>69</v>
      </c>
      <c r="K1957" s="52"/>
      <c r="L1957" s="52"/>
      <c r="M1957" s="52"/>
      <c r="N1957" s="52"/>
      <c r="O1957" s="52"/>
      <c r="P1957" s="52"/>
      <c r="Q1957" s="52"/>
      <c r="R1957" s="51" t="b">
        <v>0</v>
      </c>
      <c r="S1957" s="51"/>
      <c r="T1957" s="52"/>
      <c r="U1957" s="51" t="b">
        <v>0</v>
      </c>
      <c r="V1957" s="51" t="b">
        <v>0</v>
      </c>
      <c r="W1957" s="51" t="b">
        <v>0</v>
      </c>
      <c r="X1957" s="51" t="b">
        <v>0</v>
      </c>
      <c r="Y1957" s="51" t="b">
        <v>0</v>
      </c>
      <c r="Z1957" s="51" t="b">
        <v>0</v>
      </c>
      <c r="AA1957" s="68"/>
      <c r="AB1957" s="52"/>
      <c r="AC1957" s="52"/>
      <c r="AD1957" s="52"/>
      <c r="AE1957" s="56"/>
      <c r="AF1957" s="56"/>
    </row>
    <row r="1958">
      <c r="A1958" s="52" t="s">
        <v>5252</v>
      </c>
      <c r="B1958" s="52" t="s">
        <v>14</v>
      </c>
      <c r="C1958" s="52" t="s">
        <v>66</v>
      </c>
      <c r="D1958" s="65">
        <v>0.6699305555555553</v>
      </c>
      <c r="E1958" s="65">
        <v>3.4722222222222224E-4</v>
      </c>
      <c r="F1958" s="65">
        <v>0.6702777777777775</v>
      </c>
      <c r="G1958" s="65"/>
      <c r="H1958" s="52" t="s">
        <v>79</v>
      </c>
      <c r="I1958" s="52" t="s">
        <v>80</v>
      </c>
      <c r="J1958" s="52" t="s">
        <v>69</v>
      </c>
      <c r="K1958" s="52"/>
      <c r="L1958" s="52"/>
      <c r="M1958" s="52"/>
      <c r="N1958" s="52"/>
      <c r="O1958" s="52"/>
      <c r="P1958" s="52"/>
      <c r="Q1958" s="52"/>
      <c r="R1958" s="51" t="b">
        <v>0</v>
      </c>
      <c r="S1958" s="51"/>
      <c r="T1958" s="52"/>
      <c r="U1958" s="51" t="b">
        <v>0</v>
      </c>
      <c r="V1958" s="51" t="b">
        <v>0</v>
      </c>
      <c r="W1958" s="51" t="b">
        <v>0</v>
      </c>
      <c r="X1958" s="51" t="b">
        <v>0</v>
      </c>
      <c r="Y1958" s="51" t="b">
        <v>0</v>
      </c>
      <c r="Z1958" s="51" t="b">
        <v>0</v>
      </c>
      <c r="AA1958" s="68"/>
      <c r="AB1958" s="52"/>
      <c r="AC1958" s="52"/>
      <c r="AD1958" s="52"/>
      <c r="AE1958" s="56"/>
      <c r="AF1958" s="56"/>
    </row>
    <row r="1959">
      <c r="A1959" s="52" t="s">
        <v>5253</v>
      </c>
      <c r="B1959" s="52" t="s">
        <v>607</v>
      </c>
      <c r="C1959" s="52" t="s">
        <v>607</v>
      </c>
      <c r="D1959" s="65" t="s">
        <v>607</v>
      </c>
      <c r="E1959" s="65" t="s">
        <v>607</v>
      </c>
      <c r="F1959" s="65" t="s">
        <v>607</v>
      </c>
      <c r="G1959" s="65" t="s">
        <v>607</v>
      </c>
      <c r="H1959" s="52" t="s">
        <v>607</v>
      </c>
      <c r="I1959" s="52" t="s">
        <v>607</v>
      </c>
      <c r="J1959" s="52" t="s">
        <v>607</v>
      </c>
      <c r="K1959" s="52" t="s">
        <v>607</v>
      </c>
      <c r="L1959" s="52" t="s">
        <v>607</v>
      </c>
      <c r="M1959" s="52" t="s">
        <v>607</v>
      </c>
      <c r="N1959" s="52" t="s">
        <v>607</v>
      </c>
      <c r="O1959" s="52"/>
      <c r="P1959" s="52"/>
      <c r="Q1959" s="52"/>
      <c r="R1959" s="51" t="b">
        <v>0</v>
      </c>
      <c r="S1959" s="51"/>
      <c r="T1959" s="52"/>
      <c r="U1959" s="51" t="b">
        <v>0</v>
      </c>
      <c r="V1959" s="51" t="b">
        <v>0</v>
      </c>
      <c r="W1959" s="51" t="b">
        <v>0</v>
      </c>
      <c r="X1959" s="51" t="b">
        <v>0</v>
      </c>
      <c r="Y1959" s="51" t="b">
        <v>0</v>
      </c>
      <c r="Z1959" s="51" t="b">
        <v>0</v>
      </c>
      <c r="AA1959" s="68"/>
      <c r="AB1959" s="52"/>
      <c r="AC1959" s="52"/>
      <c r="AD1959" s="52"/>
      <c r="AE1959" s="56" t="s">
        <v>607</v>
      </c>
      <c r="AF1959" s="56" t="s">
        <v>607</v>
      </c>
    </row>
    <row r="1960">
      <c r="A1960" s="52" t="s">
        <v>5254</v>
      </c>
      <c r="B1960" s="52" t="s">
        <v>607</v>
      </c>
      <c r="C1960" s="52" t="s">
        <v>607</v>
      </c>
      <c r="D1960" s="65" t="s">
        <v>607</v>
      </c>
      <c r="E1960" s="65" t="s">
        <v>607</v>
      </c>
      <c r="F1960" s="65" t="s">
        <v>607</v>
      </c>
      <c r="G1960" s="65" t="s">
        <v>607</v>
      </c>
      <c r="H1960" s="52" t="s">
        <v>607</v>
      </c>
      <c r="I1960" s="52" t="s">
        <v>607</v>
      </c>
      <c r="J1960" s="52" t="s">
        <v>607</v>
      </c>
      <c r="K1960" s="52" t="s">
        <v>607</v>
      </c>
      <c r="L1960" s="52" t="s">
        <v>607</v>
      </c>
      <c r="M1960" s="52" t="s">
        <v>607</v>
      </c>
      <c r="N1960" s="52" t="s">
        <v>607</v>
      </c>
      <c r="O1960" s="52"/>
      <c r="P1960" s="52"/>
      <c r="Q1960" s="52"/>
      <c r="R1960" s="51" t="b">
        <v>0</v>
      </c>
      <c r="S1960" s="51"/>
      <c r="T1960" s="52"/>
      <c r="U1960" s="51" t="b">
        <v>0</v>
      </c>
      <c r="V1960" s="51" t="b">
        <v>0</v>
      </c>
      <c r="W1960" s="51" t="b">
        <v>0</v>
      </c>
      <c r="X1960" s="51" t="b">
        <v>0</v>
      </c>
      <c r="Y1960" s="51" t="b">
        <v>0</v>
      </c>
      <c r="Z1960" s="51" t="b">
        <v>0</v>
      </c>
      <c r="AA1960" s="68"/>
      <c r="AB1960" s="52"/>
      <c r="AC1960" s="52"/>
      <c r="AD1960" s="52"/>
      <c r="AE1960" s="56" t="s">
        <v>607</v>
      </c>
      <c r="AF1960" s="56" t="s">
        <v>607</v>
      </c>
    </row>
    <row r="1961">
      <c r="A1961" s="52" t="s">
        <v>5255</v>
      </c>
      <c r="B1961" s="52" t="s">
        <v>607</v>
      </c>
      <c r="C1961" s="52" t="s">
        <v>607</v>
      </c>
      <c r="D1961" s="65" t="s">
        <v>607</v>
      </c>
      <c r="E1961" s="65" t="s">
        <v>607</v>
      </c>
      <c r="F1961" s="65" t="s">
        <v>607</v>
      </c>
      <c r="G1961" s="65" t="s">
        <v>607</v>
      </c>
      <c r="H1961" s="52" t="s">
        <v>607</v>
      </c>
      <c r="I1961" s="52" t="s">
        <v>607</v>
      </c>
      <c r="J1961" s="52" t="s">
        <v>607</v>
      </c>
      <c r="K1961" s="52" t="s">
        <v>607</v>
      </c>
      <c r="L1961" s="52" t="s">
        <v>607</v>
      </c>
      <c r="M1961" s="52" t="s">
        <v>607</v>
      </c>
      <c r="N1961" s="52" t="s">
        <v>607</v>
      </c>
      <c r="O1961" s="52"/>
      <c r="P1961" s="52"/>
      <c r="Q1961" s="52"/>
      <c r="R1961" s="51" t="b">
        <v>0</v>
      </c>
      <c r="S1961" s="51"/>
      <c r="T1961" s="52"/>
      <c r="U1961" s="51" t="b">
        <v>0</v>
      </c>
      <c r="V1961" s="51" t="b">
        <v>0</v>
      </c>
      <c r="W1961" s="51" t="b">
        <v>0</v>
      </c>
      <c r="X1961" s="51" t="b">
        <v>0</v>
      </c>
      <c r="Y1961" s="51" t="b">
        <v>0</v>
      </c>
      <c r="Z1961" s="51" t="b">
        <v>0</v>
      </c>
      <c r="AA1961" s="68"/>
      <c r="AB1961" s="52"/>
      <c r="AC1961" s="52"/>
      <c r="AD1961" s="52"/>
      <c r="AE1961" s="56" t="s">
        <v>607</v>
      </c>
      <c r="AF1961" s="56" t="s">
        <v>607</v>
      </c>
    </row>
    <row r="1962">
      <c r="A1962" s="52" t="s">
        <v>5256</v>
      </c>
      <c r="B1962" s="52" t="s">
        <v>14</v>
      </c>
      <c r="C1962" s="52" t="s">
        <v>66</v>
      </c>
      <c r="D1962" s="65">
        <v>0.6293634259259258</v>
      </c>
      <c r="E1962" s="65">
        <v>6.944444444444445E-4</v>
      </c>
      <c r="F1962" s="65">
        <v>0.6300578703703702</v>
      </c>
      <c r="G1962" s="65"/>
      <c r="H1962" s="52" t="s">
        <v>103</v>
      </c>
      <c r="I1962" s="52" t="s">
        <v>188</v>
      </c>
      <c r="J1962" s="52" t="s">
        <v>128</v>
      </c>
      <c r="K1962" s="52"/>
      <c r="L1962" s="52"/>
      <c r="M1962" s="52"/>
      <c r="N1962" s="52"/>
      <c r="O1962" s="52"/>
      <c r="P1962" s="52"/>
      <c r="Q1962" s="52"/>
      <c r="R1962" s="51" t="b">
        <v>0</v>
      </c>
      <c r="S1962" s="51"/>
      <c r="T1962" s="52"/>
      <c r="U1962" s="51" t="b">
        <v>0</v>
      </c>
      <c r="V1962" s="51" t="b">
        <v>0</v>
      </c>
      <c r="W1962" s="51" t="b">
        <v>0</v>
      </c>
      <c r="X1962" s="51" t="b">
        <v>0</v>
      </c>
      <c r="Y1962" s="51" t="b">
        <v>0</v>
      </c>
      <c r="Z1962" s="51" t="b">
        <v>0</v>
      </c>
      <c r="AA1962" s="68"/>
      <c r="AB1962" s="52"/>
      <c r="AC1962" s="52"/>
      <c r="AD1962" s="52"/>
      <c r="AE1962" s="56"/>
      <c r="AF1962" s="56"/>
    </row>
    <row r="1963">
      <c r="A1963" s="52" t="s">
        <v>5257</v>
      </c>
      <c r="B1963" s="52" t="s">
        <v>14</v>
      </c>
      <c r="C1963" s="52" t="s">
        <v>66</v>
      </c>
      <c r="D1963" s="65">
        <v>0.7020601851851849</v>
      </c>
      <c r="E1963" s="65">
        <v>2.314814814814815E-4</v>
      </c>
      <c r="F1963" s="65">
        <v>0.7022916666666663</v>
      </c>
      <c r="G1963" s="65"/>
      <c r="H1963" s="52" t="s">
        <v>81</v>
      </c>
      <c r="I1963" s="52" t="s">
        <v>215</v>
      </c>
      <c r="J1963" s="52" t="s">
        <v>92</v>
      </c>
      <c r="K1963" s="52"/>
      <c r="L1963" s="52"/>
      <c r="M1963" s="52"/>
      <c r="N1963" s="52"/>
      <c r="O1963" s="52"/>
      <c r="P1963" s="52"/>
      <c r="Q1963" s="52"/>
      <c r="R1963" s="51" t="b">
        <v>0</v>
      </c>
      <c r="S1963" s="51"/>
      <c r="T1963" s="52"/>
      <c r="U1963" s="51" t="b">
        <v>0</v>
      </c>
      <c r="V1963" s="51" t="b">
        <v>0</v>
      </c>
      <c r="W1963" s="51" t="b">
        <v>0</v>
      </c>
      <c r="X1963" s="51" t="b">
        <v>0</v>
      </c>
      <c r="Y1963" s="51" t="b">
        <v>0</v>
      </c>
      <c r="Z1963" s="51" t="b">
        <v>0</v>
      </c>
      <c r="AA1963" s="68"/>
      <c r="AB1963" s="52"/>
      <c r="AC1963" s="52"/>
      <c r="AD1963" s="52"/>
      <c r="AE1963" s="56"/>
      <c r="AF1963" s="56"/>
    </row>
    <row r="1964">
      <c r="A1964" s="52" t="s">
        <v>5258</v>
      </c>
      <c r="B1964" s="52" t="s">
        <v>14</v>
      </c>
      <c r="C1964" s="52" t="s">
        <v>66</v>
      </c>
      <c r="D1964" s="65">
        <v>0.7022916666666663</v>
      </c>
      <c r="E1964" s="65">
        <v>0.0020833333333333333</v>
      </c>
      <c r="F1964" s="65">
        <v>0.7043749999999996</v>
      </c>
      <c r="G1964" s="65"/>
      <c r="H1964" s="52" t="s">
        <v>83</v>
      </c>
      <c r="I1964" s="52" t="s">
        <v>216</v>
      </c>
      <c r="J1964" s="52" t="s">
        <v>90</v>
      </c>
      <c r="K1964" s="52"/>
      <c r="L1964" s="52"/>
      <c r="M1964" s="52"/>
      <c r="N1964" s="52"/>
      <c r="O1964" s="69" t="s">
        <v>618</v>
      </c>
      <c r="P1964" s="69" t="s">
        <v>32</v>
      </c>
      <c r="Q1964" s="70" t="s">
        <v>2195</v>
      </c>
      <c r="R1964" s="51" t="b">
        <v>1</v>
      </c>
      <c r="S1964" s="84" t="s">
        <v>216</v>
      </c>
      <c r="T1964" s="52"/>
      <c r="U1964" s="51" t="b">
        <v>0</v>
      </c>
      <c r="V1964" s="51" t="b">
        <v>1</v>
      </c>
      <c r="W1964" s="51" t="b">
        <v>1</v>
      </c>
      <c r="X1964" s="51" t="b">
        <v>0</v>
      </c>
      <c r="Y1964" s="51" t="b">
        <v>1</v>
      </c>
      <c r="Z1964" s="51" t="b">
        <v>0</v>
      </c>
      <c r="AA1964" s="71">
        <v>0.0020833333333333333</v>
      </c>
      <c r="AB1964" s="69" t="s">
        <v>5777</v>
      </c>
      <c r="AC1964" s="52"/>
      <c r="AD1964" s="73" t="s">
        <v>4437</v>
      </c>
      <c r="AE1964" s="56"/>
      <c r="AF1964" s="56"/>
    </row>
    <row r="1965">
      <c r="A1965" s="52" t="s">
        <v>5259</v>
      </c>
      <c r="B1965" s="52" t="s">
        <v>607</v>
      </c>
      <c r="C1965" s="52" t="s">
        <v>607</v>
      </c>
      <c r="D1965" s="65" t="s">
        <v>607</v>
      </c>
      <c r="E1965" s="65" t="s">
        <v>607</v>
      </c>
      <c r="F1965" s="65" t="s">
        <v>607</v>
      </c>
      <c r="G1965" s="65" t="s">
        <v>607</v>
      </c>
      <c r="H1965" s="52" t="s">
        <v>607</v>
      </c>
      <c r="I1965" s="52" t="s">
        <v>607</v>
      </c>
      <c r="J1965" s="52" t="s">
        <v>607</v>
      </c>
      <c r="K1965" s="52" t="s">
        <v>607</v>
      </c>
      <c r="L1965" s="52" t="s">
        <v>607</v>
      </c>
      <c r="M1965" s="52" t="s">
        <v>607</v>
      </c>
      <c r="N1965" s="52" t="s">
        <v>607</v>
      </c>
      <c r="O1965" s="52"/>
      <c r="P1965" s="52"/>
      <c r="Q1965" s="52"/>
      <c r="R1965" s="51" t="b">
        <v>0</v>
      </c>
      <c r="S1965" s="51"/>
      <c r="T1965" s="52"/>
      <c r="U1965" s="51" t="b">
        <v>0</v>
      </c>
      <c r="V1965" s="51" t="b">
        <v>0</v>
      </c>
      <c r="W1965" s="51" t="b">
        <v>0</v>
      </c>
      <c r="X1965" s="51" t="b">
        <v>0</v>
      </c>
      <c r="Y1965" s="51" t="b">
        <v>0</v>
      </c>
      <c r="Z1965" s="51" t="b">
        <v>0</v>
      </c>
      <c r="AA1965" s="68"/>
      <c r="AB1965" s="52"/>
      <c r="AC1965" s="52"/>
      <c r="AD1965" s="52"/>
      <c r="AE1965" s="56" t="s">
        <v>607</v>
      </c>
      <c r="AF1965" s="56" t="s">
        <v>607</v>
      </c>
    </row>
    <row r="1966">
      <c r="A1966" s="52" t="s">
        <v>5260</v>
      </c>
      <c r="B1966" s="52" t="s">
        <v>607</v>
      </c>
      <c r="C1966" s="52" t="s">
        <v>607</v>
      </c>
      <c r="D1966" s="65" t="s">
        <v>607</v>
      </c>
      <c r="E1966" s="65" t="s">
        <v>607</v>
      </c>
      <c r="F1966" s="65" t="s">
        <v>607</v>
      </c>
      <c r="G1966" s="65" t="s">
        <v>607</v>
      </c>
      <c r="H1966" s="52" t="s">
        <v>607</v>
      </c>
      <c r="I1966" s="52" t="s">
        <v>607</v>
      </c>
      <c r="J1966" s="52" t="s">
        <v>607</v>
      </c>
      <c r="K1966" s="52" t="s">
        <v>607</v>
      </c>
      <c r="L1966" s="52" t="s">
        <v>607</v>
      </c>
      <c r="M1966" s="52" t="s">
        <v>607</v>
      </c>
      <c r="N1966" s="52" t="s">
        <v>607</v>
      </c>
      <c r="O1966" s="52"/>
      <c r="P1966" s="52"/>
      <c r="Q1966" s="52"/>
      <c r="R1966" s="51" t="b">
        <v>0</v>
      </c>
      <c r="S1966" s="51"/>
      <c r="T1966" s="52"/>
      <c r="U1966" s="51" t="b">
        <v>0</v>
      </c>
      <c r="V1966" s="51" t="b">
        <v>0</v>
      </c>
      <c r="W1966" s="51" t="b">
        <v>0</v>
      </c>
      <c r="X1966" s="51" t="b">
        <v>0</v>
      </c>
      <c r="Y1966" s="51" t="b">
        <v>0</v>
      </c>
      <c r="Z1966" s="51" t="b">
        <v>0</v>
      </c>
      <c r="AA1966" s="68"/>
      <c r="AB1966" s="52"/>
      <c r="AC1966" s="52"/>
      <c r="AD1966" s="52"/>
      <c r="AE1966" s="56" t="s">
        <v>607</v>
      </c>
      <c r="AF1966" s="56" t="s">
        <v>607</v>
      </c>
    </row>
    <row r="1967">
      <c r="A1967" s="52" t="s">
        <v>5261</v>
      </c>
      <c r="B1967" s="52" t="s">
        <v>14</v>
      </c>
      <c r="C1967" s="52" t="s">
        <v>289</v>
      </c>
      <c r="D1967" s="65">
        <v>0.6288773148148142</v>
      </c>
      <c r="E1967" s="65">
        <v>2.314814814814815E-4</v>
      </c>
      <c r="F1967" s="65">
        <v>0.6291087962962957</v>
      </c>
      <c r="G1967" s="65"/>
      <c r="H1967" s="52" t="s">
        <v>81</v>
      </c>
      <c r="I1967" s="52" t="s">
        <v>81</v>
      </c>
      <c r="J1967" s="52" t="s">
        <v>92</v>
      </c>
      <c r="K1967" s="52"/>
      <c r="L1967" s="52"/>
      <c r="M1967" s="52"/>
      <c r="N1967" s="52"/>
      <c r="O1967" s="52"/>
      <c r="P1967" s="52"/>
      <c r="Q1967" s="52"/>
      <c r="R1967" s="51" t="b">
        <v>0</v>
      </c>
      <c r="S1967" s="51"/>
      <c r="T1967" s="52"/>
      <c r="U1967" s="51" t="b">
        <v>0</v>
      </c>
      <c r="V1967" s="51" t="b">
        <v>0</v>
      </c>
      <c r="W1967" s="51" t="b">
        <v>0</v>
      </c>
      <c r="X1967" s="51" t="b">
        <v>0</v>
      </c>
      <c r="Y1967" s="51" t="b">
        <v>0</v>
      </c>
      <c r="Z1967" s="51" t="b">
        <v>0</v>
      </c>
      <c r="AA1967" s="68"/>
      <c r="AB1967" s="52"/>
      <c r="AC1967" s="52"/>
      <c r="AD1967" s="52"/>
      <c r="AE1967" s="56"/>
      <c r="AF1967" s="56"/>
    </row>
    <row r="1968">
      <c r="A1968" s="52" t="s">
        <v>5262</v>
      </c>
      <c r="B1968" s="52" t="s">
        <v>607</v>
      </c>
      <c r="C1968" s="52" t="s">
        <v>607</v>
      </c>
      <c r="D1968" s="65" t="s">
        <v>607</v>
      </c>
      <c r="E1968" s="65" t="s">
        <v>607</v>
      </c>
      <c r="F1968" s="65" t="s">
        <v>607</v>
      </c>
      <c r="G1968" s="65" t="s">
        <v>607</v>
      </c>
      <c r="H1968" s="52" t="s">
        <v>607</v>
      </c>
      <c r="I1968" s="52" t="s">
        <v>607</v>
      </c>
      <c r="J1968" s="52" t="s">
        <v>607</v>
      </c>
      <c r="K1968" s="52" t="s">
        <v>607</v>
      </c>
      <c r="L1968" s="52" t="s">
        <v>607</v>
      </c>
      <c r="M1968" s="52" t="s">
        <v>607</v>
      </c>
      <c r="N1968" s="52" t="s">
        <v>607</v>
      </c>
      <c r="O1968" s="52"/>
      <c r="P1968" s="52"/>
      <c r="Q1968" s="52"/>
      <c r="R1968" s="51" t="b">
        <v>0</v>
      </c>
      <c r="S1968" s="51"/>
      <c r="T1968" s="52"/>
      <c r="U1968" s="51" t="b">
        <v>0</v>
      </c>
      <c r="V1968" s="51" t="b">
        <v>0</v>
      </c>
      <c r="W1968" s="51" t="b">
        <v>0</v>
      </c>
      <c r="X1968" s="51" t="b">
        <v>0</v>
      </c>
      <c r="Y1968" s="51" t="b">
        <v>0</v>
      </c>
      <c r="Z1968" s="51" t="b">
        <v>0</v>
      </c>
      <c r="AA1968" s="68"/>
      <c r="AB1968" s="52"/>
      <c r="AC1968" s="52"/>
      <c r="AD1968" s="52"/>
      <c r="AE1968" s="56" t="s">
        <v>607</v>
      </c>
      <c r="AF1968" s="56" t="s">
        <v>607</v>
      </c>
    </row>
    <row r="1969">
      <c r="A1969" s="52" t="s">
        <v>5263</v>
      </c>
      <c r="B1969" s="52" t="s">
        <v>607</v>
      </c>
      <c r="C1969" s="52" t="s">
        <v>607</v>
      </c>
      <c r="D1969" s="65" t="s">
        <v>607</v>
      </c>
      <c r="E1969" s="65" t="s">
        <v>607</v>
      </c>
      <c r="F1969" s="65" t="s">
        <v>607</v>
      </c>
      <c r="G1969" s="65" t="s">
        <v>607</v>
      </c>
      <c r="H1969" s="52" t="s">
        <v>607</v>
      </c>
      <c r="I1969" s="52" t="s">
        <v>607</v>
      </c>
      <c r="J1969" s="52" t="s">
        <v>607</v>
      </c>
      <c r="K1969" s="52" t="s">
        <v>607</v>
      </c>
      <c r="L1969" s="52" t="s">
        <v>607</v>
      </c>
      <c r="M1969" s="52" t="s">
        <v>607</v>
      </c>
      <c r="N1969" s="52" t="s">
        <v>607</v>
      </c>
      <c r="O1969" s="52"/>
      <c r="P1969" s="52"/>
      <c r="Q1969" s="52"/>
      <c r="R1969" s="51" t="b">
        <v>0</v>
      </c>
      <c r="S1969" s="51"/>
      <c r="T1969" s="52"/>
      <c r="U1969" s="51" t="b">
        <v>0</v>
      </c>
      <c r="V1969" s="51" t="b">
        <v>0</v>
      </c>
      <c r="W1969" s="51" t="b">
        <v>0</v>
      </c>
      <c r="X1969" s="51" t="b">
        <v>0</v>
      </c>
      <c r="Y1969" s="51" t="b">
        <v>0</v>
      </c>
      <c r="Z1969" s="51" t="b">
        <v>0</v>
      </c>
      <c r="AA1969" s="68"/>
      <c r="AB1969" s="52"/>
      <c r="AC1969" s="52"/>
      <c r="AD1969" s="52"/>
      <c r="AE1969" s="56" t="s">
        <v>607</v>
      </c>
      <c r="AF1969" s="56" t="s">
        <v>607</v>
      </c>
    </row>
    <row r="1970">
      <c r="A1970" s="52" t="s">
        <v>5264</v>
      </c>
      <c r="B1970" s="52" t="s">
        <v>607</v>
      </c>
      <c r="C1970" s="52" t="s">
        <v>607</v>
      </c>
      <c r="D1970" s="65" t="s">
        <v>607</v>
      </c>
      <c r="E1970" s="65" t="s">
        <v>607</v>
      </c>
      <c r="F1970" s="65" t="s">
        <v>607</v>
      </c>
      <c r="G1970" s="65" t="s">
        <v>607</v>
      </c>
      <c r="H1970" s="52" t="s">
        <v>607</v>
      </c>
      <c r="I1970" s="52" t="s">
        <v>607</v>
      </c>
      <c r="J1970" s="52" t="s">
        <v>607</v>
      </c>
      <c r="K1970" s="52" t="s">
        <v>607</v>
      </c>
      <c r="L1970" s="52" t="s">
        <v>607</v>
      </c>
      <c r="M1970" s="52" t="s">
        <v>607</v>
      </c>
      <c r="N1970" s="52" t="s">
        <v>607</v>
      </c>
      <c r="O1970" s="52"/>
      <c r="P1970" s="52"/>
      <c r="Q1970" s="52"/>
      <c r="R1970" s="51" t="b">
        <v>0</v>
      </c>
      <c r="S1970" s="51"/>
      <c r="T1970" s="52"/>
      <c r="U1970" s="51" t="b">
        <v>0</v>
      </c>
      <c r="V1970" s="51" t="b">
        <v>0</v>
      </c>
      <c r="W1970" s="51" t="b">
        <v>0</v>
      </c>
      <c r="X1970" s="51" t="b">
        <v>0</v>
      </c>
      <c r="Y1970" s="51" t="b">
        <v>0</v>
      </c>
      <c r="Z1970" s="51" t="b">
        <v>0</v>
      </c>
      <c r="AA1970" s="68"/>
      <c r="AB1970" s="52"/>
      <c r="AC1970" s="52"/>
      <c r="AD1970" s="52"/>
      <c r="AE1970" s="56" t="s">
        <v>607</v>
      </c>
      <c r="AF1970" s="56" t="s">
        <v>607</v>
      </c>
    </row>
    <row r="1971">
      <c r="A1971" s="52" t="s">
        <v>5265</v>
      </c>
      <c r="B1971" s="52"/>
      <c r="C1971" s="52"/>
      <c r="D1971" s="65"/>
      <c r="E1971" s="65"/>
      <c r="F1971" s="65"/>
      <c r="G1971" s="65"/>
      <c r="H1971" s="52"/>
      <c r="I1971" s="52"/>
      <c r="J1971" s="52"/>
      <c r="K1971" s="52"/>
      <c r="L1971" s="52"/>
      <c r="M1971" s="52"/>
      <c r="N1971" s="52" t="s">
        <v>70</v>
      </c>
      <c r="O1971" s="52"/>
      <c r="P1971" s="52"/>
      <c r="Q1971" s="52"/>
      <c r="R1971" s="51" t="b">
        <v>0</v>
      </c>
      <c r="S1971" s="51"/>
      <c r="T1971" s="52"/>
      <c r="U1971" s="51" t="b">
        <v>0</v>
      </c>
      <c r="V1971" s="51" t="b">
        <v>0</v>
      </c>
      <c r="W1971" s="51" t="b">
        <v>0</v>
      </c>
      <c r="X1971" s="51" t="b">
        <v>0</v>
      </c>
      <c r="Y1971" s="51" t="b">
        <v>0</v>
      </c>
      <c r="Z1971" s="51" t="b">
        <v>0</v>
      </c>
      <c r="AA1971" s="68"/>
      <c r="AB1971" s="52"/>
      <c r="AC1971" s="52"/>
      <c r="AD1971" s="52"/>
      <c r="AE1971" s="56"/>
      <c r="AF1971" s="56"/>
    </row>
    <row r="1972">
      <c r="A1972" s="52" t="s">
        <v>5266</v>
      </c>
      <c r="B1972" s="52"/>
      <c r="C1972" s="52"/>
      <c r="D1972" s="65"/>
      <c r="E1972" s="65"/>
      <c r="F1972" s="65"/>
      <c r="G1972" s="65"/>
      <c r="H1972" s="52"/>
      <c r="I1972" s="52"/>
      <c r="J1972" s="52"/>
      <c r="K1972" s="52"/>
      <c r="L1972" s="52"/>
      <c r="M1972" s="52"/>
      <c r="N1972" s="52" t="s">
        <v>70</v>
      </c>
      <c r="O1972" s="52"/>
      <c r="P1972" s="52"/>
      <c r="Q1972" s="52"/>
      <c r="R1972" s="51" t="b">
        <v>0</v>
      </c>
      <c r="S1972" s="51"/>
      <c r="T1972" s="52"/>
      <c r="U1972" s="51" t="b">
        <v>0</v>
      </c>
      <c r="V1972" s="51" t="b">
        <v>0</v>
      </c>
      <c r="W1972" s="51" t="b">
        <v>0</v>
      </c>
      <c r="X1972" s="51" t="b">
        <v>0</v>
      </c>
      <c r="Y1972" s="51" t="b">
        <v>0</v>
      </c>
      <c r="Z1972" s="51" t="b">
        <v>0</v>
      </c>
      <c r="AA1972" s="68"/>
      <c r="AB1972" s="52"/>
      <c r="AC1972" s="52"/>
      <c r="AD1972" s="52"/>
      <c r="AE1972" s="56"/>
      <c r="AF1972" s="56"/>
    </row>
    <row r="1973">
      <c r="A1973" s="52" t="s">
        <v>5267</v>
      </c>
      <c r="B1973" s="52"/>
      <c r="C1973" s="52"/>
      <c r="D1973" s="65"/>
      <c r="E1973" s="65"/>
      <c r="F1973" s="65"/>
      <c r="G1973" s="65"/>
      <c r="H1973" s="52"/>
      <c r="I1973" s="52"/>
      <c r="J1973" s="52"/>
      <c r="K1973" s="52"/>
      <c r="L1973" s="52"/>
      <c r="M1973" s="52"/>
      <c r="N1973" s="52" t="s">
        <v>70</v>
      </c>
      <c r="O1973" s="52"/>
      <c r="P1973" s="52"/>
      <c r="Q1973" s="52"/>
      <c r="R1973" s="51" t="b">
        <v>0</v>
      </c>
      <c r="S1973" s="51"/>
      <c r="T1973" s="52"/>
      <c r="U1973" s="51" t="b">
        <v>0</v>
      </c>
      <c r="V1973" s="51" t="b">
        <v>0</v>
      </c>
      <c r="W1973" s="51" t="b">
        <v>0</v>
      </c>
      <c r="X1973" s="51" t="b">
        <v>0</v>
      </c>
      <c r="Y1973" s="51" t="b">
        <v>0</v>
      </c>
      <c r="Z1973" s="51" t="b">
        <v>0</v>
      </c>
      <c r="AA1973" s="68"/>
      <c r="AB1973" s="52"/>
      <c r="AC1973" s="52"/>
      <c r="AD1973" s="52"/>
      <c r="AE1973" s="56"/>
      <c r="AF1973" s="56"/>
    </row>
    <row r="1974">
      <c r="A1974" s="52" t="s">
        <v>5268</v>
      </c>
      <c r="B1974" s="52"/>
      <c r="C1974" s="52"/>
      <c r="D1974" s="65"/>
      <c r="E1974" s="65"/>
      <c r="F1974" s="65"/>
      <c r="G1974" s="65"/>
      <c r="H1974" s="52"/>
      <c r="I1974" s="52"/>
      <c r="J1974" s="52"/>
      <c r="K1974" s="52"/>
      <c r="L1974" s="52"/>
      <c r="M1974" s="52"/>
      <c r="N1974" s="52" t="s">
        <v>70</v>
      </c>
      <c r="O1974" s="52"/>
      <c r="P1974" s="52"/>
      <c r="Q1974" s="52"/>
      <c r="R1974" s="51" t="b">
        <v>0</v>
      </c>
      <c r="S1974" s="51"/>
      <c r="T1974" s="52"/>
      <c r="U1974" s="51" t="b">
        <v>0</v>
      </c>
      <c r="V1974" s="51" t="b">
        <v>0</v>
      </c>
      <c r="W1974" s="51" t="b">
        <v>0</v>
      </c>
      <c r="X1974" s="51" t="b">
        <v>0</v>
      </c>
      <c r="Y1974" s="51" t="b">
        <v>0</v>
      </c>
      <c r="Z1974" s="51" t="b">
        <v>0</v>
      </c>
      <c r="AA1974" s="68"/>
      <c r="AB1974" s="52"/>
      <c r="AC1974" s="52"/>
      <c r="AD1974" s="52"/>
      <c r="AE1974" s="56"/>
      <c r="AF1974" s="56"/>
    </row>
    <row r="1975">
      <c r="A1975" s="52" t="s">
        <v>5269</v>
      </c>
      <c r="B1975" s="52"/>
      <c r="C1975" s="52"/>
      <c r="D1975" s="65"/>
      <c r="E1975" s="65"/>
      <c r="F1975" s="65"/>
      <c r="G1975" s="65"/>
      <c r="H1975" s="52"/>
      <c r="I1975" s="52"/>
      <c r="J1975" s="52"/>
      <c r="K1975" s="52"/>
      <c r="L1975" s="52"/>
      <c r="M1975" s="52"/>
      <c r="N1975" s="52" t="s">
        <v>70</v>
      </c>
      <c r="O1975" s="52"/>
      <c r="P1975" s="52"/>
      <c r="Q1975" s="52"/>
      <c r="R1975" s="51" t="b">
        <v>0</v>
      </c>
      <c r="S1975" s="51"/>
      <c r="T1975" s="52"/>
      <c r="U1975" s="51" t="b">
        <v>0</v>
      </c>
      <c r="V1975" s="51" t="b">
        <v>0</v>
      </c>
      <c r="W1975" s="51" t="b">
        <v>0</v>
      </c>
      <c r="X1975" s="51" t="b">
        <v>0</v>
      </c>
      <c r="Y1975" s="51" t="b">
        <v>0</v>
      </c>
      <c r="Z1975" s="51" t="b">
        <v>0</v>
      </c>
      <c r="AA1975" s="68"/>
      <c r="AB1975" s="52"/>
      <c r="AC1975" s="52"/>
      <c r="AD1975" s="52"/>
      <c r="AE1975" s="56"/>
      <c r="AF1975" s="56"/>
    </row>
    <row r="1976">
      <c r="A1976" s="52" t="s">
        <v>5270</v>
      </c>
      <c r="B1976" s="52"/>
      <c r="C1976" s="52"/>
      <c r="D1976" s="65"/>
      <c r="E1976" s="65"/>
      <c r="F1976" s="65"/>
      <c r="G1976" s="65"/>
      <c r="H1976" s="52"/>
      <c r="I1976" s="52"/>
      <c r="J1976" s="52"/>
      <c r="K1976" s="52"/>
      <c r="L1976" s="52"/>
      <c r="M1976" s="52"/>
      <c r="N1976" s="52" t="s">
        <v>70</v>
      </c>
      <c r="O1976" s="52"/>
      <c r="P1976" s="52"/>
      <c r="Q1976" s="52"/>
      <c r="R1976" s="51" t="b">
        <v>0</v>
      </c>
      <c r="S1976" s="51"/>
      <c r="T1976" s="52"/>
      <c r="U1976" s="51" t="b">
        <v>0</v>
      </c>
      <c r="V1976" s="51" t="b">
        <v>0</v>
      </c>
      <c r="W1976" s="51" t="b">
        <v>0</v>
      </c>
      <c r="X1976" s="51" t="b">
        <v>0</v>
      </c>
      <c r="Y1976" s="51" t="b">
        <v>0</v>
      </c>
      <c r="Z1976" s="51" t="b">
        <v>0</v>
      </c>
      <c r="AA1976" s="68"/>
      <c r="AB1976" s="52"/>
      <c r="AC1976" s="52"/>
      <c r="AD1976" s="52"/>
      <c r="AE1976" s="56"/>
      <c r="AF1976" s="56"/>
    </row>
    <row r="1977">
      <c r="A1977" s="52" t="s">
        <v>5271</v>
      </c>
      <c r="B1977" s="52"/>
      <c r="C1977" s="52"/>
      <c r="D1977" s="65"/>
      <c r="E1977" s="65"/>
      <c r="F1977" s="65"/>
      <c r="G1977" s="65"/>
      <c r="H1977" s="52"/>
      <c r="I1977" s="52"/>
      <c r="J1977" s="52"/>
      <c r="K1977" s="52"/>
      <c r="L1977" s="52"/>
      <c r="M1977" s="52"/>
      <c r="N1977" s="52" t="s">
        <v>70</v>
      </c>
      <c r="O1977" s="52"/>
      <c r="P1977" s="52"/>
      <c r="Q1977" s="52"/>
      <c r="R1977" s="51" t="b">
        <v>0</v>
      </c>
      <c r="S1977" s="51"/>
      <c r="T1977" s="52"/>
      <c r="U1977" s="51" t="b">
        <v>0</v>
      </c>
      <c r="V1977" s="51" t="b">
        <v>0</v>
      </c>
      <c r="W1977" s="51" t="b">
        <v>0</v>
      </c>
      <c r="X1977" s="51" t="b">
        <v>0</v>
      </c>
      <c r="Y1977" s="51" t="b">
        <v>0</v>
      </c>
      <c r="Z1977" s="51" t="b">
        <v>0</v>
      </c>
      <c r="AA1977" s="68"/>
      <c r="AB1977" s="52"/>
      <c r="AC1977" s="52"/>
      <c r="AD1977" s="52"/>
      <c r="AE1977" s="56"/>
      <c r="AF1977" s="56"/>
    </row>
    <row r="1978">
      <c r="A1978" s="52" t="s">
        <v>5272</v>
      </c>
      <c r="B1978" s="52"/>
      <c r="C1978" s="52"/>
      <c r="D1978" s="65"/>
      <c r="E1978" s="65"/>
      <c r="F1978" s="65"/>
      <c r="G1978" s="65"/>
      <c r="H1978" s="52"/>
      <c r="I1978" s="52"/>
      <c r="J1978" s="52"/>
      <c r="K1978" s="52"/>
      <c r="L1978" s="52"/>
      <c r="M1978" s="52"/>
      <c r="N1978" s="52" t="s">
        <v>70</v>
      </c>
      <c r="O1978" s="52"/>
      <c r="P1978" s="52"/>
      <c r="Q1978" s="52"/>
      <c r="R1978" s="51" t="b">
        <v>0</v>
      </c>
      <c r="S1978" s="51"/>
      <c r="T1978" s="52"/>
      <c r="U1978" s="51" t="b">
        <v>0</v>
      </c>
      <c r="V1978" s="51" t="b">
        <v>0</v>
      </c>
      <c r="W1978" s="51" t="b">
        <v>0</v>
      </c>
      <c r="X1978" s="51" t="b">
        <v>0</v>
      </c>
      <c r="Y1978" s="51" t="b">
        <v>0</v>
      </c>
      <c r="Z1978" s="51" t="b">
        <v>0</v>
      </c>
      <c r="AA1978" s="68"/>
      <c r="AB1978" s="52"/>
      <c r="AC1978" s="52"/>
      <c r="AD1978" s="52"/>
      <c r="AE1978" s="56"/>
      <c r="AF1978" s="56"/>
    </row>
    <row r="1979">
      <c r="A1979" s="52" t="s">
        <v>5273</v>
      </c>
      <c r="B1979" s="52"/>
      <c r="C1979" s="52"/>
      <c r="D1979" s="65"/>
      <c r="E1979" s="65"/>
      <c r="F1979" s="65"/>
      <c r="G1979" s="65"/>
      <c r="H1979" s="52"/>
      <c r="I1979" s="52"/>
      <c r="J1979" s="52"/>
      <c r="K1979" s="52"/>
      <c r="L1979" s="52"/>
      <c r="M1979" s="52"/>
      <c r="N1979" s="52" t="s">
        <v>70</v>
      </c>
      <c r="O1979" s="52"/>
      <c r="P1979" s="52"/>
      <c r="Q1979" s="52"/>
      <c r="R1979" s="51" t="b">
        <v>0</v>
      </c>
      <c r="S1979" s="51"/>
      <c r="T1979" s="52"/>
      <c r="U1979" s="51" t="b">
        <v>0</v>
      </c>
      <c r="V1979" s="51" t="b">
        <v>0</v>
      </c>
      <c r="W1979" s="51" t="b">
        <v>0</v>
      </c>
      <c r="X1979" s="51" t="b">
        <v>0</v>
      </c>
      <c r="Y1979" s="51" t="b">
        <v>0</v>
      </c>
      <c r="Z1979" s="51" t="b">
        <v>0</v>
      </c>
      <c r="AA1979" s="68"/>
      <c r="AB1979" s="52"/>
      <c r="AC1979" s="52"/>
      <c r="AD1979" s="52"/>
      <c r="AE1979" s="56"/>
      <c r="AF1979" s="56"/>
    </row>
    <row r="1980">
      <c r="A1980" s="52" t="s">
        <v>5274</v>
      </c>
      <c r="B1980" s="52"/>
      <c r="C1980" s="52"/>
      <c r="D1980" s="65"/>
      <c r="E1980" s="65"/>
      <c r="F1980" s="65"/>
      <c r="G1980" s="65"/>
      <c r="H1980" s="52"/>
      <c r="I1980" s="52"/>
      <c r="J1980" s="52"/>
      <c r="K1980" s="52"/>
      <c r="L1980" s="52"/>
      <c r="M1980" s="52"/>
      <c r="N1980" s="52" t="s">
        <v>70</v>
      </c>
      <c r="O1980" s="52"/>
      <c r="P1980" s="52"/>
      <c r="Q1980" s="52"/>
      <c r="R1980" s="51" t="b">
        <v>0</v>
      </c>
      <c r="S1980" s="51"/>
      <c r="T1980" s="52"/>
      <c r="U1980" s="51" t="b">
        <v>0</v>
      </c>
      <c r="V1980" s="51" t="b">
        <v>0</v>
      </c>
      <c r="W1980" s="51" t="b">
        <v>0</v>
      </c>
      <c r="X1980" s="51" t="b">
        <v>0</v>
      </c>
      <c r="Y1980" s="51" t="b">
        <v>0</v>
      </c>
      <c r="Z1980" s="51" t="b">
        <v>0</v>
      </c>
      <c r="AA1980" s="68"/>
      <c r="AB1980" s="52"/>
      <c r="AC1980" s="52"/>
      <c r="AD1980" s="52"/>
      <c r="AE1980" s="56"/>
      <c r="AF1980" s="56"/>
    </row>
    <row r="1981">
      <c r="A1981" s="52" t="s">
        <v>5275</v>
      </c>
      <c r="B1981" s="52"/>
      <c r="C1981" s="52"/>
      <c r="D1981" s="65"/>
      <c r="E1981" s="65"/>
      <c r="F1981" s="65"/>
      <c r="G1981" s="65"/>
      <c r="H1981" s="52"/>
      <c r="I1981" s="52"/>
      <c r="J1981" s="52"/>
      <c r="K1981" s="52"/>
      <c r="L1981" s="52"/>
      <c r="M1981" s="52"/>
      <c r="N1981" s="52" t="s">
        <v>70</v>
      </c>
      <c r="O1981" s="52"/>
      <c r="P1981" s="52"/>
      <c r="Q1981" s="52"/>
      <c r="R1981" s="51" t="b">
        <v>0</v>
      </c>
      <c r="S1981" s="51"/>
      <c r="T1981" s="52"/>
      <c r="U1981" s="51" t="b">
        <v>0</v>
      </c>
      <c r="V1981" s="51" t="b">
        <v>0</v>
      </c>
      <c r="W1981" s="51" t="b">
        <v>0</v>
      </c>
      <c r="X1981" s="51" t="b">
        <v>0</v>
      </c>
      <c r="Y1981" s="51" t="b">
        <v>0</v>
      </c>
      <c r="Z1981" s="51" t="b">
        <v>0</v>
      </c>
      <c r="AA1981" s="68"/>
      <c r="AB1981" s="52"/>
      <c r="AC1981" s="52"/>
      <c r="AD1981" s="52"/>
      <c r="AE1981" s="56"/>
      <c r="AF1981" s="56"/>
    </row>
    <row r="1982">
      <c r="A1982" s="52" t="s">
        <v>5276</v>
      </c>
      <c r="B1982" s="52"/>
      <c r="C1982" s="52"/>
      <c r="D1982" s="65"/>
      <c r="E1982" s="65"/>
      <c r="F1982" s="65"/>
      <c r="G1982" s="65"/>
      <c r="H1982" s="52"/>
      <c r="I1982" s="52"/>
      <c r="J1982" s="52"/>
      <c r="K1982" s="52"/>
      <c r="L1982" s="52"/>
      <c r="M1982" s="52"/>
      <c r="N1982" s="52" t="s">
        <v>70</v>
      </c>
      <c r="O1982" s="52"/>
      <c r="P1982" s="52"/>
      <c r="Q1982" s="52"/>
      <c r="R1982" s="51" t="b">
        <v>0</v>
      </c>
      <c r="S1982" s="51"/>
      <c r="T1982" s="52"/>
      <c r="U1982" s="51" t="b">
        <v>0</v>
      </c>
      <c r="V1982" s="51" t="b">
        <v>0</v>
      </c>
      <c r="W1982" s="51" t="b">
        <v>0</v>
      </c>
      <c r="X1982" s="51" t="b">
        <v>0</v>
      </c>
      <c r="Y1982" s="51" t="b">
        <v>0</v>
      </c>
      <c r="Z1982" s="51" t="b">
        <v>0</v>
      </c>
      <c r="AA1982" s="68"/>
      <c r="AB1982" s="52"/>
      <c r="AC1982" s="52"/>
      <c r="AD1982" s="52"/>
      <c r="AE1982" s="56"/>
      <c r="AF1982" s="56"/>
    </row>
    <row r="1983">
      <c r="A1983" s="52" t="s">
        <v>5277</v>
      </c>
      <c r="B1983" s="52"/>
      <c r="C1983" s="52"/>
      <c r="D1983" s="65"/>
      <c r="E1983" s="65"/>
      <c r="F1983" s="65"/>
      <c r="G1983" s="65"/>
      <c r="H1983" s="52"/>
      <c r="I1983" s="52"/>
      <c r="J1983" s="52"/>
      <c r="K1983" s="52"/>
      <c r="L1983" s="52"/>
      <c r="M1983" s="52"/>
      <c r="N1983" s="52" t="s">
        <v>70</v>
      </c>
      <c r="O1983" s="52"/>
      <c r="P1983" s="52"/>
      <c r="Q1983" s="52"/>
      <c r="R1983" s="51" t="b">
        <v>0</v>
      </c>
      <c r="S1983" s="51"/>
      <c r="T1983" s="52"/>
      <c r="U1983" s="51" t="b">
        <v>0</v>
      </c>
      <c r="V1983" s="51" t="b">
        <v>0</v>
      </c>
      <c r="W1983" s="51" t="b">
        <v>0</v>
      </c>
      <c r="X1983" s="51" t="b">
        <v>0</v>
      </c>
      <c r="Y1983" s="51" t="b">
        <v>0</v>
      </c>
      <c r="Z1983" s="51" t="b">
        <v>0</v>
      </c>
      <c r="AA1983" s="68"/>
      <c r="AB1983" s="52"/>
      <c r="AC1983" s="52"/>
      <c r="AD1983" s="52"/>
      <c r="AE1983" s="56"/>
      <c r="AF1983" s="56"/>
    </row>
    <row r="1984">
      <c r="A1984" s="52" t="s">
        <v>5278</v>
      </c>
      <c r="B1984" s="52"/>
      <c r="C1984" s="52"/>
      <c r="D1984" s="65"/>
      <c r="E1984" s="65"/>
      <c r="F1984" s="65"/>
      <c r="G1984" s="65"/>
      <c r="H1984" s="52"/>
      <c r="I1984" s="52"/>
      <c r="J1984" s="52"/>
      <c r="K1984" s="52"/>
      <c r="L1984" s="52"/>
      <c r="M1984" s="52"/>
      <c r="N1984" s="52" t="s">
        <v>70</v>
      </c>
      <c r="O1984" s="52"/>
      <c r="P1984" s="52"/>
      <c r="Q1984" s="52"/>
      <c r="R1984" s="51" t="b">
        <v>0</v>
      </c>
      <c r="S1984" s="51"/>
      <c r="T1984" s="52"/>
      <c r="U1984" s="51" t="b">
        <v>0</v>
      </c>
      <c r="V1984" s="51" t="b">
        <v>0</v>
      </c>
      <c r="W1984" s="51" t="b">
        <v>0</v>
      </c>
      <c r="X1984" s="51" t="b">
        <v>0</v>
      </c>
      <c r="Y1984" s="51" t="b">
        <v>0</v>
      </c>
      <c r="Z1984" s="51" t="b">
        <v>0</v>
      </c>
      <c r="AA1984" s="68"/>
      <c r="AB1984" s="52"/>
      <c r="AC1984" s="52"/>
      <c r="AD1984" s="52"/>
      <c r="AE1984" s="56"/>
      <c r="AF1984" s="56"/>
    </row>
    <row r="1985">
      <c r="A1985" s="52" t="s">
        <v>5279</v>
      </c>
      <c r="B1985" s="52"/>
      <c r="C1985" s="52"/>
      <c r="D1985" s="65"/>
      <c r="E1985" s="65"/>
      <c r="F1985" s="65"/>
      <c r="G1985" s="65"/>
      <c r="H1985" s="52"/>
      <c r="I1985" s="52"/>
      <c r="J1985" s="52"/>
      <c r="K1985" s="52"/>
      <c r="L1985" s="52"/>
      <c r="M1985" s="52"/>
      <c r="N1985" s="52" t="s">
        <v>70</v>
      </c>
      <c r="O1985" s="52"/>
      <c r="P1985" s="52"/>
      <c r="Q1985" s="52"/>
      <c r="R1985" s="51" t="b">
        <v>0</v>
      </c>
      <c r="S1985" s="51"/>
      <c r="T1985" s="52"/>
      <c r="U1985" s="51" t="b">
        <v>0</v>
      </c>
      <c r="V1985" s="51" t="b">
        <v>0</v>
      </c>
      <c r="W1985" s="51" t="b">
        <v>0</v>
      </c>
      <c r="X1985" s="51" t="b">
        <v>0</v>
      </c>
      <c r="Y1985" s="51" t="b">
        <v>0</v>
      </c>
      <c r="Z1985" s="51" t="b">
        <v>0</v>
      </c>
      <c r="AA1985" s="68"/>
      <c r="AB1985" s="52"/>
      <c r="AC1985" s="52"/>
      <c r="AD1985" s="52"/>
      <c r="AE1985" s="56"/>
      <c r="AF1985" s="56"/>
    </row>
    <row r="1986">
      <c r="A1986" s="52" t="s">
        <v>5280</v>
      </c>
      <c r="B1986" s="52"/>
      <c r="C1986" s="52"/>
      <c r="D1986" s="65"/>
      <c r="E1986" s="65"/>
      <c r="F1986" s="65"/>
      <c r="G1986" s="65"/>
      <c r="H1986" s="52"/>
      <c r="I1986" s="52"/>
      <c r="J1986" s="52"/>
      <c r="K1986" s="52"/>
      <c r="L1986" s="52"/>
      <c r="M1986" s="52"/>
      <c r="N1986" s="52" t="s">
        <v>70</v>
      </c>
      <c r="O1986" s="52"/>
      <c r="P1986" s="52"/>
      <c r="Q1986" s="52"/>
      <c r="R1986" s="51" t="b">
        <v>0</v>
      </c>
      <c r="S1986" s="51"/>
      <c r="T1986" s="52"/>
      <c r="U1986" s="51" t="b">
        <v>0</v>
      </c>
      <c r="V1986" s="51" t="b">
        <v>0</v>
      </c>
      <c r="W1986" s="51" t="b">
        <v>0</v>
      </c>
      <c r="X1986" s="51" t="b">
        <v>0</v>
      </c>
      <c r="Y1986" s="51" t="b">
        <v>0</v>
      </c>
      <c r="Z1986" s="51" t="b">
        <v>0</v>
      </c>
      <c r="AA1986" s="68"/>
      <c r="AB1986" s="52"/>
      <c r="AC1986" s="52"/>
      <c r="AD1986" s="52"/>
      <c r="AE1986" s="56"/>
      <c r="AF1986" s="56"/>
    </row>
    <row r="1987">
      <c r="A1987" s="52" t="s">
        <v>5281</v>
      </c>
      <c r="B1987" s="52"/>
      <c r="C1987" s="52"/>
      <c r="D1987" s="65"/>
      <c r="E1987" s="65"/>
      <c r="F1987" s="65"/>
      <c r="G1987" s="65"/>
      <c r="H1987" s="52"/>
      <c r="I1987" s="52"/>
      <c r="J1987" s="52"/>
      <c r="K1987" s="52"/>
      <c r="L1987" s="52"/>
      <c r="M1987" s="52"/>
      <c r="N1987" s="52" t="s">
        <v>70</v>
      </c>
      <c r="O1987" s="52"/>
      <c r="P1987" s="52"/>
      <c r="Q1987" s="52"/>
      <c r="R1987" s="51" t="b">
        <v>0</v>
      </c>
      <c r="S1987" s="51"/>
      <c r="T1987" s="52"/>
      <c r="U1987" s="51" t="b">
        <v>0</v>
      </c>
      <c r="V1987" s="51" t="b">
        <v>0</v>
      </c>
      <c r="W1987" s="51" t="b">
        <v>0</v>
      </c>
      <c r="X1987" s="51" t="b">
        <v>0</v>
      </c>
      <c r="Y1987" s="51" t="b">
        <v>0</v>
      </c>
      <c r="Z1987" s="51" t="b">
        <v>0</v>
      </c>
      <c r="AA1987" s="68"/>
      <c r="AB1987" s="52"/>
      <c r="AC1987" s="52"/>
      <c r="AD1987" s="52"/>
      <c r="AE1987" s="56"/>
      <c r="AF1987" s="56"/>
    </row>
    <row r="1988">
      <c r="A1988" s="52" t="s">
        <v>5282</v>
      </c>
      <c r="B1988" s="52"/>
      <c r="C1988" s="52"/>
      <c r="D1988" s="65"/>
      <c r="E1988" s="65"/>
      <c r="F1988" s="65"/>
      <c r="G1988" s="65"/>
      <c r="H1988" s="52"/>
      <c r="I1988" s="52"/>
      <c r="J1988" s="52"/>
      <c r="K1988" s="52"/>
      <c r="L1988" s="52"/>
      <c r="M1988" s="52"/>
      <c r="N1988" s="52" t="s">
        <v>70</v>
      </c>
      <c r="O1988" s="52"/>
      <c r="P1988" s="52"/>
      <c r="Q1988" s="52"/>
      <c r="R1988" s="51" t="b">
        <v>0</v>
      </c>
      <c r="S1988" s="51"/>
      <c r="T1988" s="52"/>
      <c r="U1988" s="51" t="b">
        <v>0</v>
      </c>
      <c r="V1988" s="51" t="b">
        <v>0</v>
      </c>
      <c r="W1988" s="51" t="b">
        <v>0</v>
      </c>
      <c r="X1988" s="51" t="b">
        <v>0</v>
      </c>
      <c r="Y1988" s="51" t="b">
        <v>0</v>
      </c>
      <c r="Z1988" s="51" t="b">
        <v>0</v>
      </c>
      <c r="AA1988" s="68"/>
      <c r="AB1988" s="52"/>
      <c r="AC1988" s="52"/>
      <c r="AD1988" s="52"/>
      <c r="AE1988" s="56"/>
      <c r="AF1988" s="56"/>
    </row>
    <row r="1989">
      <c r="A1989" s="52" t="s">
        <v>5283</v>
      </c>
      <c r="B1989" s="52"/>
      <c r="C1989" s="52"/>
      <c r="D1989" s="65"/>
      <c r="E1989" s="65"/>
      <c r="F1989" s="65"/>
      <c r="G1989" s="65"/>
      <c r="H1989" s="52"/>
      <c r="I1989" s="52"/>
      <c r="J1989" s="52"/>
      <c r="K1989" s="52"/>
      <c r="L1989" s="52"/>
      <c r="M1989" s="52"/>
      <c r="N1989" s="52" t="s">
        <v>70</v>
      </c>
      <c r="O1989" s="52"/>
      <c r="P1989" s="52"/>
      <c r="Q1989" s="52"/>
      <c r="R1989" s="51" t="b">
        <v>0</v>
      </c>
      <c r="S1989" s="51"/>
      <c r="T1989" s="52"/>
      <c r="U1989" s="51" t="b">
        <v>0</v>
      </c>
      <c r="V1989" s="51" t="b">
        <v>0</v>
      </c>
      <c r="W1989" s="51" t="b">
        <v>0</v>
      </c>
      <c r="X1989" s="51" t="b">
        <v>0</v>
      </c>
      <c r="Y1989" s="51" t="b">
        <v>0</v>
      </c>
      <c r="Z1989" s="51" t="b">
        <v>0</v>
      </c>
      <c r="AA1989" s="68"/>
      <c r="AB1989" s="52"/>
      <c r="AC1989" s="52"/>
      <c r="AD1989" s="52"/>
      <c r="AE1989" s="56"/>
      <c r="AF1989" s="56"/>
    </row>
    <row r="1990">
      <c r="A1990" s="52" t="s">
        <v>5284</v>
      </c>
      <c r="B1990" s="52"/>
      <c r="C1990" s="52"/>
      <c r="D1990" s="65"/>
      <c r="E1990" s="65"/>
      <c r="F1990" s="65"/>
      <c r="G1990" s="65"/>
      <c r="H1990" s="52"/>
      <c r="I1990" s="52"/>
      <c r="J1990" s="52"/>
      <c r="K1990" s="52"/>
      <c r="L1990" s="52"/>
      <c r="M1990" s="52"/>
      <c r="N1990" s="52" t="s">
        <v>70</v>
      </c>
      <c r="O1990" s="52"/>
      <c r="P1990" s="52"/>
      <c r="Q1990" s="52"/>
      <c r="R1990" s="51" t="b">
        <v>0</v>
      </c>
      <c r="S1990" s="51"/>
      <c r="T1990" s="52"/>
      <c r="U1990" s="51" t="b">
        <v>0</v>
      </c>
      <c r="V1990" s="51" t="b">
        <v>0</v>
      </c>
      <c r="W1990" s="51" t="b">
        <v>0</v>
      </c>
      <c r="X1990" s="51" t="b">
        <v>0</v>
      </c>
      <c r="Y1990" s="51" t="b">
        <v>0</v>
      </c>
      <c r="Z1990" s="51" t="b">
        <v>0</v>
      </c>
      <c r="AA1990" s="68"/>
      <c r="AB1990" s="52"/>
      <c r="AC1990" s="52"/>
      <c r="AD1990" s="52"/>
      <c r="AE1990" s="56"/>
      <c r="AF1990" s="56"/>
    </row>
    <row r="1991">
      <c r="A1991" s="52" t="s">
        <v>5285</v>
      </c>
      <c r="B1991" s="52"/>
      <c r="C1991" s="52"/>
      <c r="D1991" s="65"/>
      <c r="E1991" s="65"/>
      <c r="F1991" s="65"/>
      <c r="G1991" s="65"/>
      <c r="H1991" s="52"/>
      <c r="I1991" s="52"/>
      <c r="J1991" s="52"/>
      <c r="K1991" s="52"/>
      <c r="L1991" s="52"/>
      <c r="M1991" s="52"/>
      <c r="N1991" s="52" t="s">
        <v>70</v>
      </c>
      <c r="O1991" s="52"/>
      <c r="P1991" s="52"/>
      <c r="Q1991" s="52"/>
      <c r="R1991" s="51" t="b">
        <v>0</v>
      </c>
      <c r="S1991" s="51"/>
      <c r="T1991" s="52"/>
      <c r="U1991" s="51" t="b">
        <v>0</v>
      </c>
      <c r="V1991" s="51" t="b">
        <v>0</v>
      </c>
      <c r="W1991" s="51" t="b">
        <v>0</v>
      </c>
      <c r="X1991" s="51" t="b">
        <v>0</v>
      </c>
      <c r="Y1991" s="51" t="b">
        <v>0</v>
      </c>
      <c r="Z1991" s="51" t="b">
        <v>0</v>
      </c>
      <c r="AA1991" s="68"/>
      <c r="AB1991" s="52"/>
      <c r="AC1991" s="52"/>
      <c r="AD1991" s="52"/>
      <c r="AE1991" s="56"/>
      <c r="AF1991" s="56"/>
    </row>
    <row r="1992">
      <c r="A1992" s="52" t="s">
        <v>5286</v>
      </c>
      <c r="B1992" s="52"/>
      <c r="C1992" s="52"/>
      <c r="D1992" s="65"/>
      <c r="E1992" s="65"/>
      <c r="F1992" s="65"/>
      <c r="G1992" s="65"/>
      <c r="H1992" s="52"/>
      <c r="I1992" s="52"/>
      <c r="J1992" s="52"/>
      <c r="K1992" s="52"/>
      <c r="L1992" s="52"/>
      <c r="M1992" s="52"/>
      <c r="N1992" s="52" t="s">
        <v>70</v>
      </c>
      <c r="O1992" s="52"/>
      <c r="P1992" s="52"/>
      <c r="Q1992" s="52"/>
      <c r="R1992" s="51" t="b">
        <v>0</v>
      </c>
      <c r="S1992" s="51"/>
      <c r="T1992" s="52"/>
      <c r="U1992" s="51" t="b">
        <v>0</v>
      </c>
      <c r="V1992" s="51" t="b">
        <v>0</v>
      </c>
      <c r="W1992" s="51" t="b">
        <v>0</v>
      </c>
      <c r="X1992" s="51" t="b">
        <v>0</v>
      </c>
      <c r="Y1992" s="51" t="b">
        <v>0</v>
      </c>
      <c r="Z1992" s="51" t="b">
        <v>0</v>
      </c>
      <c r="AA1992" s="68"/>
      <c r="AB1992" s="52"/>
      <c r="AC1992" s="52"/>
      <c r="AD1992" s="52"/>
      <c r="AE1992" s="56"/>
      <c r="AF1992" s="56"/>
    </row>
    <row r="1993">
      <c r="A1993" s="52" t="s">
        <v>5287</v>
      </c>
      <c r="B1993" s="52"/>
      <c r="C1993" s="52"/>
      <c r="D1993" s="65"/>
      <c r="E1993" s="65"/>
      <c r="F1993" s="65"/>
      <c r="G1993" s="65"/>
      <c r="H1993" s="52"/>
      <c r="I1993" s="52"/>
      <c r="J1993" s="52"/>
      <c r="K1993" s="52"/>
      <c r="L1993" s="52"/>
      <c r="M1993" s="52"/>
      <c r="N1993" s="52" t="s">
        <v>70</v>
      </c>
      <c r="O1993" s="52"/>
      <c r="P1993" s="52"/>
      <c r="Q1993" s="52"/>
      <c r="R1993" s="51" t="b">
        <v>0</v>
      </c>
      <c r="S1993" s="51"/>
      <c r="T1993" s="52"/>
      <c r="U1993" s="51" t="b">
        <v>0</v>
      </c>
      <c r="V1993" s="51" t="b">
        <v>0</v>
      </c>
      <c r="W1993" s="51" t="b">
        <v>0</v>
      </c>
      <c r="X1993" s="51" t="b">
        <v>0</v>
      </c>
      <c r="Y1993" s="51" t="b">
        <v>0</v>
      </c>
      <c r="Z1993" s="51" t="b">
        <v>0</v>
      </c>
      <c r="AA1993" s="68"/>
      <c r="AB1993" s="52"/>
      <c r="AC1993" s="52"/>
      <c r="AD1993" s="52"/>
      <c r="AE1993" s="56"/>
      <c r="AF1993" s="56"/>
    </row>
    <row r="1994">
      <c r="A1994" s="52" t="s">
        <v>5288</v>
      </c>
      <c r="B1994" s="52"/>
      <c r="C1994" s="52"/>
      <c r="D1994" s="65"/>
      <c r="E1994" s="65"/>
      <c r="F1994" s="65"/>
      <c r="G1994" s="65"/>
      <c r="H1994" s="52"/>
      <c r="I1994" s="52"/>
      <c r="J1994" s="52"/>
      <c r="K1994" s="52"/>
      <c r="L1994" s="52"/>
      <c r="M1994" s="52"/>
      <c r="N1994" s="52" t="s">
        <v>70</v>
      </c>
      <c r="O1994" s="52"/>
      <c r="P1994" s="52"/>
      <c r="Q1994" s="52"/>
      <c r="R1994" s="51" t="b">
        <v>0</v>
      </c>
      <c r="S1994" s="51"/>
      <c r="T1994" s="52"/>
      <c r="U1994" s="51" t="b">
        <v>0</v>
      </c>
      <c r="V1994" s="51" t="b">
        <v>0</v>
      </c>
      <c r="W1994" s="51" t="b">
        <v>0</v>
      </c>
      <c r="X1994" s="51" t="b">
        <v>0</v>
      </c>
      <c r="Y1994" s="51" t="b">
        <v>0</v>
      </c>
      <c r="Z1994" s="51" t="b">
        <v>0</v>
      </c>
      <c r="AA1994" s="68"/>
      <c r="AB1994" s="52"/>
      <c r="AC1994" s="52"/>
      <c r="AD1994" s="52"/>
      <c r="AE1994" s="56"/>
      <c r="AF1994" s="56"/>
    </row>
    <row r="1995">
      <c r="A1995" s="52" t="s">
        <v>5289</v>
      </c>
      <c r="B1995" s="52"/>
      <c r="C1995" s="52"/>
      <c r="D1995" s="65"/>
      <c r="E1995" s="65"/>
      <c r="F1995" s="65"/>
      <c r="G1995" s="65"/>
      <c r="H1995" s="52"/>
      <c r="I1995" s="52"/>
      <c r="J1995" s="52"/>
      <c r="K1995" s="52"/>
      <c r="L1995" s="52"/>
      <c r="M1995" s="52"/>
      <c r="N1995" s="52" t="s">
        <v>70</v>
      </c>
      <c r="O1995" s="52"/>
      <c r="P1995" s="52"/>
      <c r="Q1995" s="52"/>
      <c r="R1995" s="51" t="b">
        <v>0</v>
      </c>
      <c r="S1995" s="51"/>
      <c r="T1995" s="52"/>
      <c r="U1995" s="51" t="b">
        <v>0</v>
      </c>
      <c r="V1995" s="51" t="b">
        <v>0</v>
      </c>
      <c r="W1995" s="51" t="b">
        <v>0</v>
      </c>
      <c r="X1995" s="51" t="b">
        <v>0</v>
      </c>
      <c r="Y1995" s="51" t="b">
        <v>0</v>
      </c>
      <c r="Z1995" s="51" t="b">
        <v>0</v>
      </c>
      <c r="AA1995" s="68"/>
      <c r="AB1995" s="52"/>
      <c r="AC1995" s="52"/>
      <c r="AD1995" s="52"/>
      <c r="AE1995" s="56"/>
      <c r="AF1995" s="56"/>
    </row>
    <row r="1996">
      <c r="A1996" s="52" t="s">
        <v>5290</v>
      </c>
      <c r="B1996" s="52"/>
      <c r="C1996" s="52"/>
      <c r="D1996" s="65"/>
      <c r="E1996" s="65"/>
      <c r="F1996" s="65"/>
      <c r="G1996" s="65"/>
      <c r="H1996" s="52"/>
      <c r="I1996" s="52"/>
      <c r="J1996" s="52"/>
      <c r="K1996" s="52"/>
      <c r="L1996" s="52"/>
      <c r="M1996" s="52"/>
      <c r="N1996" s="52" t="s">
        <v>70</v>
      </c>
      <c r="O1996" s="52"/>
      <c r="P1996" s="52"/>
      <c r="Q1996" s="52"/>
      <c r="R1996" s="51" t="b">
        <v>0</v>
      </c>
      <c r="S1996" s="51"/>
      <c r="T1996" s="52"/>
      <c r="U1996" s="51" t="b">
        <v>0</v>
      </c>
      <c r="V1996" s="51" t="b">
        <v>0</v>
      </c>
      <c r="W1996" s="51" t="b">
        <v>0</v>
      </c>
      <c r="X1996" s="51" t="b">
        <v>0</v>
      </c>
      <c r="Y1996" s="51" t="b">
        <v>0</v>
      </c>
      <c r="Z1996" s="51" t="b">
        <v>0</v>
      </c>
      <c r="AA1996" s="68"/>
      <c r="AB1996" s="52"/>
      <c r="AC1996" s="52"/>
      <c r="AD1996" s="52"/>
      <c r="AE1996" s="56"/>
      <c r="AF1996" s="56"/>
    </row>
    <row r="1997">
      <c r="A1997" s="52" t="s">
        <v>5291</v>
      </c>
      <c r="B1997" s="52"/>
      <c r="C1997" s="52"/>
      <c r="D1997" s="65"/>
      <c r="E1997" s="65"/>
      <c r="F1997" s="65"/>
      <c r="G1997" s="65"/>
      <c r="H1997" s="52"/>
      <c r="I1997" s="52"/>
      <c r="J1997" s="52"/>
      <c r="K1997" s="52"/>
      <c r="L1997" s="52"/>
      <c r="M1997" s="52"/>
      <c r="N1997" s="52" t="s">
        <v>70</v>
      </c>
      <c r="O1997" s="52"/>
      <c r="P1997" s="52"/>
      <c r="Q1997" s="52"/>
      <c r="R1997" s="51" t="b">
        <v>0</v>
      </c>
      <c r="S1997" s="51"/>
      <c r="T1997" s="52"/>
      <c r="U1997" s="51" t="b">
        <v>0</v>
      </c>
      <c r="V1997" s="51" t="b">
        <v>0</v>
      </c>
      <c r="W1997" s="51" t="b">
        <v>0</v>
      </c>
      <c r="X1997" s="51" t="b">
        <v>0</v>
      </c>
      <c r="Y1997" s="51" t="b">
        <v>0</v>
      </c>
      <c r="Z1997" s="51" t="b">
        <v>0</v>
      </c>
      <c r="AA1997" s="68"/>
      <c r="AB1997" s="52"/>
      <c r="AC1997" s="52"/>
      <c r="AD1997" s="52"/>
      <c r="AE1997" s="56"/>
      <c r="AF1997" s="56"/>
    </row>
    <row r="1998">
      <c r="A1998" s="52" t="s">
        <v>5292</v>
      </c>
      <c r="B1998" s="52"/>
      <c r="C1998" s="52"/>
      <c r="D1998" s="65"/>
      <c r="E1998" s="65"/>
      <c r="F1998" s="65"/>
      <c r="G1998" s="65"/>
      <c r="H1998" s="52"/>
      <c r="I1998" s="52"/>
      <c r="J1998" s="52"/>
      <c r="K1998" s="52"/>
      <c r="L1998" s="52"/>
      <c r="M1998" s="52"/>
      <c r="N1998" s="52" t="s">
        <v>70</v>
      </c>
      <c r="O1998" s="52"/>
      <c r="P1998" s="52"/>
      <c r="Q1998" s="52"/>
      <c r="R1998" s="51" t="b">
        <v>0</v>
      </c>
      <c r="S1998" s="51"/>
      <c r="T1998" s="52"/>
      <c r="U1998" s="51" t="b">
        <v>0</v>
      </c>
      <c r="V1998" s="51" t="b">
        <v>0</v>
      </c>
      <c r="W1998" s="51" t="b">
        <v>0</v>
      </c>
      <c r="X1998" s="51" t="b">
        <v>0</v>
      </c>
      <c r="Y1998" s="51" t="b">
        <v>0</v>
      </c>
      <c r="Z1998" s="51" t="b">
        <v>0</v>
      </c>
      <c r="AA1998" s="68"/>
      <c r="AB1998" s="52"/>
      <c r="AC1998" s="52"/>
      <c r="AD1998" s="52"/>
      <c r="AE1998" s="56"/>
      <c r="AF1998" s="56"/>
    </row>
    <row r="1999">
      <c r="A1999" s="52" t="s">
        <v>5293</v>
      </c>
      <c r="B1999" s="52"/>
      <c r="C1999" s="52"/>
      <c r="D1999" s="65"/>
      <c r="E1999" s="65"/>
      <c r="F1999" s="65"/>
      <c r="G1999" s="65"/>
      <c r="H1999" s="52"/>
      <c r="I1999" s="52"/>
      <c r="J1999" s="52"/>
      <c r="K1999" s="52"/>
      <c r="L1999" s="52"/>
      <c r="M1999" s="52"/>
      <c r="N1999" s="52" t="s">
        <v>70</v>
      </c>
      <c r="O1999" s="52"/>
      <c r="P1999" s="52"/>
      <c r="Q1999" s="52"/>
      <c r="R1999" s="51" t="b">
        <v>0</v>
      </c>
      <c r="S1999" s="51"/>
      <c r="T1999" s="52"/>
      <c r="U1999" s="51" t="b">
        <v>0</v>
      </c>
      <c r="V1999" s="51" t="b">
        <v>0</v>
      </c>
      <c r="W1999" s="51" t="b">
        <v>0</v>
      </c>
      <c r="X1999" s="51" t="b">
        <v>0</v>
      </c>
      <c r="Y1999" s="51" t="b">
        <v>0</v>
      </c>
      <c r="Z1999" s="51" t="b">
        <v>0</v>
      </c>
      <c r="AA1999" s="68"/>
      <c r="AB1999" s="52"/>
      <c r="AC1999" s="52"/>
      <c r="AD1999" s="52"/>
      <c r="AE1999" s="56"/>
      <c r="AF1999" s="56"/>
    </row>
    <row r="2000">
      <c r="A2000" s="52" t="s">
        <v>5294</v>
      </c>
      <c r="B2000" s="52"/>
      <c r="C2000" s="52"/>
      <c r="D2000" s="65"/>
      <c r="E2000" s="65"/>
      <c r="F2000" s="65"/>
      <c r="G2000" s="65"/>
      <c r="H2000" s="52"/>
      <c r="I2000" s="52"/>
      <c r="J2000" s="52"/>
      <c r="K2000" s="52"/>
      <c r="L2000" s="52"/>
      <c r="M2000" s="52"/>
      <c r="N2000" s="52" t="s">
        <v>70</v>
      </c>
      <c r="O2000" s="52"/>
      <c r="P2000" s="52"/>
      <c r="Q2000" s="52"/>
      <c r="R2000" s="51" t="b">
        <v>0</v>
      </c>
      <c r="S2000" s="51"/>
      <c r="T2000" s="52"/>
      <c r="U2000" s="51" t="b">
        <v>0</v>
      </c>
      <c r="V2000" s="51" t="b">
        <v>0</v>
      </c>
      <c r="W2000" s="51" t="b">
        <v>0</v>
      </c>
      <c r="X2000" s="51" t="b">
        <v>0</v>
      </c>
      <c r="Y2000" s="51" t="b">
        <v>0</v>
      </c>
      <c r="Z2000" s="51" t="b">
        <v>0</v>
      </c>
      <c r="AA2000" s="68"/>
      <c r="AB2000" s="52"/>
      <c r="AC2000" s="52"/>
      <c r="AD2000" s="52"/>
      <c r="AE2000" s="56"/>
      <c r="AF2000" s="56"/>
    </row>
    <row r="2001">
      <c r="A2001" s="52" t="s">
        <v>5295</v>
      </c>
      <c r="B2001" s="52"/>
      <c r="C2001" s="52"/>
      <c r="D2001" s="65"/>
      <c r="E2001" s="65"/>
      <c r="F2001" s="65"/>
      <c r="G2001" s="65"/>
      <c r="H2001" s="52"/>
      <c r="I2001" s="52"/>
      <c r="J2001" s="52"/>
      <c r="K2001" s="52"/>
      <c r="L2001" s="52"/>
      <c r="M2001" s="52"/>
      <c r="N2001" s="52" t="s">
        <v>70</v>
      </c>
      <c r="O2001" s="52"/>
      <c r="P2001" s="52"/>
      <c r="Q2001" s="52"/>
      <c r="R2001" s="51" t="b">
        <v>0</v>
      </c>
      <c r="S2001" s="51"/>
      <c r="T2001" s="52"/>
      <c r="U2001" s="51" t="b">
        <v>0</v>
      </c>
      <c r="V2001" s="51" t="b">
        <v>0</v>
      </c>
      <c r="W2001" s="51" t="b">
        <v>0</v>
      </c>
      <c r="X2001" s="51" t="b">
        <v>0</v>
      </c>
      <c r="Y2001" s="51" t="b">
        <v>0</v>
      </c>
      <c r="Z2001" s="51" t="b">
        <v>0</v>
      </c>
      <c r="AA2001" s="68"/>
      <c r="AB2001" s="52"/>
      <c r="AC2001" s="52"/>
      <c r="AD2001" s="52"/>
      <c r="AE2001" s="56"/>
      <c r="AF2001" s="56"/>
    </row>
    <row r="2002">
      <c r="A2002" s="52" t="s">
        <v>5296</v>
      </c>
      <c r="B2002" s="52"/>
      <c r="C2002" s="52"/>
      <c r="D2002" s="65"/>
      <c r="E2002" s="65"/>
      <c r="F2002" s="65"/>
      <c r="G2002" s="65"/>
      <c r="H2002" s="52"/>
      <c r="I2002" s="52"/>
      <c r="J2002" s="52"/>
      <c r="K2002" s="52"/>
      <c r="L2002" s="52"/>
      <c r="M2002" s="52"/>
      <c r="N2002" s="52" t="s">
        <v>70</v>
      </c>
      <c r="O2002" s="52"/>
      <c r="P2002" s="52"/>
      <c r="Q2002" s="52"/>
      <c r="R2002" s="51" t="b">
        <v>0</v>
      </c>
      <c r="S2002" s="51"/>
      <c r="T2002" s="52"/>
      <c r="U2002" s="51" t="b">
        <v>0</v>
      </c>
      <c r="V2002" s="51" t="b">
        <v>0</v>
      </c>
      <c r="W2002" s="51" t="b">
        <v>0</v>
      </c>
      <c r="X2002" s="51" t="b">
        <v>0</v>
      </c>
      <c r="Y2002" s="51" t="b">
        <v>0</v>
      </c>
      <c r="Z2002" s="51" t="b">
        <v>0</v>
      </c>
      <c r="AA2002" s="68"/>
      <c r="AB2002" s="52"/>
      <c r="AC2002" s="52"/>
      <c r="AD2002" s="52"/>
      <c r="AE2002" s="56"/>
      <c r="AF2002" s="56"/>
    </row>
    <row r="2003">
      <c r="A2003" s="52" t="s">
        <v>5297</v>
      </c>
      <c r="B2003" s="52"/>
      <c r="C2003" s="52"/>
      <c r="D2003" s="65"/>
      <c r="E2003" s="65"/>
      <c r="F2003" s="65"/>
      <c r="G2003" s="65"/>
      <c r="H2003" s="52"/>
      <c r="I2003" s="52"/>
      <c r="J2003" s="52"/>
      <c r="K2003" s="52"/>
      <c r="L2003" s="52"/>
      <c r="M2003" s="52"/>
      <c r="N2003" s="52" t="s">
        <v>70</v>
      </c>
      <c r="O2003" s="52"/>
      <c r="P2003" s="52"/>
      <c r="Q2003" s="52"/>
      <c r="R2003" s="51" t="b">
        <v>0</v>
      </c>
      <c r="S2003" s="51"/>
      <c r="T2003" s="52"/>
      <c r="U2003" s="51" t="b">
        <v>0</v>
      </c>
      <c r="V2003" s="51" t="b">
        <v>0</v>
      </c>
      <c r="W2003" s="51" t="b">
        <v>0</v>
      </c>
      <c r="X2003" s="51" t="b">
        <v>0</v>
      </c>
      <c r="Y2003" s="51" t="b">
        <v>0</v>
      </c>
      <c r="Z2003" s="51" t="b">
        <v>0</v>
      </c>
      <c r="AA2003" s="68"/>
      <c r="AB2003" s="52"/>
      <c r="AC2003" s="52"/>
      <c r="AD2003" s="52"/>
      <c r="AE2003" s="56"/>
      <c r="AF2003" s="56"/>
    </row>
    <row r="2004">
      <c r="A2004" s="52" t="s">
        <v>5298</v>
      </c>
      <c r="B2004" s="52"/>
      <c r="C2004" s="52"/>
      <c r="D2004" s="65"/>
      <c r="E2004" s="65"/>
      <c r="F2004" s="65"/>
      <c r="G2004" s="65"/>
      <c r="H2004" s="52"/>
      <c r="I2004" s="52"/>
      <c r="J2004" s="52"/>
      <c r="K2004" s="52"/>
      <c r="L2004" s="52"/>
      <c r="M2004" s="52"/>
      <c r="N2004" s="52" t="s">
        <v>70</v>
      </c>
      <c r="O2004" s="52"/>
      <c r="P2004" s="52"/>
      <c r="Q2004" s="52"/>
      <c r="R2004" s="51" t="b">
        <v>0</v>
      </c>
      <c r="S2004" s="51"/>
      <c r="T2004" s="52"/>
      <c r="U2004" s="51" t="b">
        <v>0</v>
      </c>
      <c r="V2004" s="51" t="b">
        <v>0</v>
      </c>
      <c r="W2004" s="51" t="b">
        <v>0</v>
      </c>
      <c r="X2004" s="51" t="b">
        <v>0</v>
      </c>
      <c r="Y2004" s="51" t="b">
        <v>0</v>
      </c>
      <c r="Z2004" s="51" t="b">
        <v>0</v>
      </c>
      <c r="AA2004" s="68"/>
      <c r="AB2004" s="52"/>
      <c r="AC2004" s="52"/>
      <c r="AD2004" s="52"/>
      <c r="AE2004" s="56"/>
      <c r="AF2004" s="56"/>
    </row>
    <row r="2005">
      <c r="A2005" s="52" t="s">
        <v>5299</v>
      </c>
      <c r="B2005" s="52"/>
      <c r="C2005" s="52"/>
      <c r="D2005" s="65"/>
      <c r="E2005" s="65"/>
      <c r="F2005" s="65"/>
      <c r="G2005" s="65"/>
      <c r="H2005" s="52"/>
      <c r="I2005" s="52"/>
      <c r="J2005" s="52"/>
      <c r="K2005" s="52"/>
      <c r="L2005" s="52"/>
      <c r="M2005" s="52"/>
      <c r="N2005" s="52" t="s">
        <v>70</v>
      </c>
      <c r="O2005" s="52"/>
      <c r="P2005" s="52"/>
      <c r="Q2005" s="52"/>
      <c r="R2005" s="51" t="b">
        <v>0</v>
      </c>
      <c r="S2005" s="51"/>
      <c r="T2005" s="52"/>
      <c r="U2005" s="51" t="b">
        <v>0</v>
      </c>
      <c r="V2005" s="51" t="b">
        <v>0</v>
      </c>
      <c r="W2005" s="51" t="b">
        <v>0</v>
      </c>
      <c r="X2005" s="51" t="b">
        <v>0</v>
      </c>
      <c r="Y2005" s="51" t="b">
        <v>0</v>
      </c>
      <c r="Z2005" s="51" t="b">
        <v>0</v>
      </c>
      <c r="AA2005" s="68"/>
      <c r="AB2005" s="52"/>
      <c r="AC2005" s="52"/>
      <c r="AD2005" s="52"/>
      <c r="AE2005" s="56"/>
      <c r="AF2005" s="56"/>
    </row>
    <row r="2006">
      <c r="A2006" s="52" t="s">
        <v>5300</v>
      </c>
      <c r="B2006" s="52"/>
      <c r="C2006" s="52"/>
      <c r="D2006" s="65"/>
      <c r="E2006" s="65"/>
      <c r="F2006" s="65"/>
      <c r="G2006" s="65"/>
      <c r="H2006" s="52"/>
      <c r="I2006" s="52"/>
      <c r="J2006" s="52"/>
      <c r="K2006" s="52"/>
      <c r="L2006" s="52"/>
      <c r="M2006" s="52"/>
      <c r="N2006" s="52" t="s">
        <v>70</v>
      </c>
      <c r="O2006" s="52"/>
      <c r="P2006" s="52"/>
      <c r="Q2006" s="52"/>
      <c r="R2006" s="51" t="b">
        <v>0</v>
      </c>
      <c r="S2006" s="51"/>
      <c r="T2006" s="52"/>
      <c r="U2006" s="51" t="b">
        <v>0</v>
      </c>
      <c r="V2006" s="51" t="b">
        <v>0</v>
      </c>
      <c r="W2006" s="51" t="b">
        <v>0</v>
      </c>
      <c r="X2006" s="51" t="b">
        <v>0</v>
      </c>
      <c r="Y2006" s="51" t="b">
        <v>0</v>
      </c>
      <c r="Z2006" s="51" t="b">
        <v>0</v>
      </c>
      <c r="AA2006" s="68"/>
      <c r="AB2006" s="52"/>
      <c r="AC2006" s="52"/>
      <c r="AD2006" s="52"/>
      <c r="AE2006" s="56"/>
      <c r="AF2006" s="56"/>
    </row>
    <row r="2007">
      <c r="A2007" s="52" t="s">
        <v>5301</v>
      </c>
      <c r="B2007" s="52"/>
      <c r="C2007" s="52"/>
      <c r="D2007" s="65"/>
      <c r="E2007" s="65"/>
      <c r="F2007" s="65"/>
      <c r="G2007" s="65"/>
      <c r="H2007" s="52"/>
      <c r="I2007" s="52"/>
      <c r="J2007" s="52"/>
      <c r="K2007" s="52"/>
      <c r="L2007" s="52"/>
      <c r="M2007" s="52"/>
      <c r="N2007" s="52" t="s">
        <v>70</v>
      </c>
      <c r="O2007" s="52"/>
      <c r="P2007" s="52"/>
      <c r="Q2007" s="52"/>
      <c r="R2007" s="51" t="b">
        <v>0</v>
      </c>
      <c r="S2007" s="51"/>
      <c r="T2007" s="52"/>
      <c r="U2007" s="51" t="b">
        <v>0</v>
      </c>
      <c r="V2007" s="51" t="b">
        <v>0</v>
      </c>
      <c r="W2007" s="51" t="b">
        <v>0</v>
      </c>
      <c r="X2007" s="51" t="b">
        <v>0</v>
      </c>
      <c r="Y2007" s="51" t="b">
        <v>0</v>
      </c>
      <c r="Z2007" s="51" t="b">
        <v>0</v>
      </c>
      <c r="AA2007" s="68"/>
      <c r="AB2007" s="52"/>
      <c r="AC2007" s="52"/>
      <c r="AD2007" s="52"/>
      <c r="AE2007" s="56"/>
      <c r="AF2007" s="56"/>
    </row>
    <row r="2008">
      <c r="A2008" s="52" t="s">
        <v>5302</v>
      </c>
      <c r="B2008" s="52"/>
      <c r="C2008" s="52"/>
      <c r="D2008" s="65"/>
      <c r="E2008" s="65"/>
      <c r="F2008" s="65"/>
      <c r="G2008" s="65"/>
      <c r="H2008" s="52"/>
      <c r="I2008" s="52"/>
      <c r="J2008" s="52"/>
      <c r="K2008" s="52"/>
      <c r="L2008" s="52"/>
      <c r="M2008" s="52"/>
      <c r="N2008" s="52" t="s">
        <v>70</v>
      </c>
      <c r="O2008" s="52"/>
      <c r="P2008" s="52"/>
      <c r="Q2008" s="52"/>
      <c r="R2008" s="51" t="b">
        <v>0</v>
      </c>
      <c r="S2008" s="51"/>
      <c r="T2008" s="52"/>
      <c r="U2008" s="51" t="b">
        <v>0</v>
      </c>
      <c r="V2008" s="51" t="b">
        <v>0</v>
      </c>
      <c r="W2008" s="51" t="b">
        <v>0</v>
      </c>
      <c r="X2008" s="51" t="b">
        <v>0</v>
      </c>
      <c r="Y2008" s="51" t="b">
        <v>0</v>
      </c>
      <c r="Z2008" s="51" t="b">
        <v>0</v>
      </c>
      <c r="AA2008" s="68"/>
      <c r="AB2008" s="52"/>
      <c r="AC2008" s="52"/>
      <c r="AD2008" s="52"/>
      <c r="AE2008" s="56"/>
      <c r="AF2008" s="56"/>
    </row>
    <row r="2009">
      <c r="A2009" s="52" t="s">
        <v>5303</v>
      </c>
      <c r="B2009" s="52"/>
      <c r="C2009" s="52"/>
      <c r="D2009" s="65"/>
      <c r="E2009" s="65"/>
      <c r="F2009" s="65"/>
      <c r="G2009" s="65"/>
      <c r="H2009" s="52"/>
      <c r="I2009" s="52"/>
      <c r="J2009" s="52"/>
      <c r="K2009" s="52"/>
      <c r="L2009" s="52"/>
      <c r="M2009" s="52"/>
      <c r="N2009" s="52" t="s">
        <v>70</v>
      </c>
      <c r="O2009" s="52"/>
      <c r="P2009" s="52"/>
      <c r="Q2009" s="52"/>
      <c r="R2009" s="51" t="b">
        <v>0</v>
      </c>
      <c r="S2009" s="51"/>
      <c r="T2009" s="52"/>
      <c r="U2009" s="51" t="b">
        <v>0</v>
      </c>
      <c r="V2009" s="51" t="b">
        <v>0</v>
      </c>
      <c r="W2009" s="51" t="b">
        <v>0</v>
      </c>
      <c r="X2009" s="51" t="b">
        <v>0</v>
      </c>
      <c r="Y2009" s="51" t="b">
        <v>0</v>
      </c>
      <c r="Z2009" s="51" t="b">
        <v>0</v>
      </c>
      <c r="AA2009" s="68"/>
      <c r="AB2009" s="52"/>
      <c r="AC2009" s="52"/>
      <c r="AD2009" s="52"/>
      <c r="AE2009" s="56"/>
      <c r="AF2009" s="56"/>
    </row>
    <row r="2010">
      <c r="A2010" s="52" t="s">
        <v>5304</v>
      </c>
      <c r="B2010" s="52"/>
      <c r="C2010" s="52"/>
      <c r="D2010" s="65"/>
      <c r="E2010" s="65"/>
      <c r="F2010" s="65"/>
      <c r="G2010" s="65"/>
      <c r="H2010" s="52"/>
      <c r="I2010" s="52"/>
      <c r="J2010" s="52"/>
      <c r="K2010" s="52"/>
      <c r="L2010" s="52"/>
      <c r="M2010" s="52"/>
      <c r="N2010" s="52" t="s">
        <v>70</v>
      </c>
      <c r="O2010" s="52"/>
      <c r="P2010" s="52"/>
      <c r="Q2010" s="52"/>
      <c r="R2010" s="51" t="b">
        <v>0</v>
      </c>
      <c r="S2010" s="51"/>
      <c r="T2010" s="52"/>
      <c r="U2010" s="51" t="b">
        <v>0</v>
      </c>
      <c r="V2010" s="51" t="b">
        <v>0</v>
      </c>
      <c r="W2010" s="51" t="b">
        <v>0</v>
      </c>
      <c r="X2010" s="51" t="b">
        <v>0</v>
      </c>
      <c r="Y2010" s="51" t="b">
        <v>0</v>
      </c>
      <c r="Z2010" s="51" t="b">
        <v>0</v>
      </c>
      <c r="AA2010" s="68"/>
      <c r="AB2010" s="52"/>
      <c r="AC2010" s="52"/>
      <c r="AD2010" s="52"/>
      <c r="AE2010" s="56"/>
      <c r="AF2010" s="56"/>
    </row>
    <row r="2011">
      <c r="A2011" s="52" t="s">
        <v>5305</v>
      </c>
      <c r="B2011" s="52"/>
      <c r="C2011" s="52"/>
      <c r="D2011" s="65"/>
      <c r="E2011" s="65"/>
      <c r="F2011" s="65"/>
      <c r="G2011" s="65"/>
      <c r="H2011" s="52"/>
      <c r="I2011" s="52"/>
      <c r="J2011" s="52"/>
      <c r="K2011" s="52"/>
      <c r="L2011" s="52"/>
      <c r="M2011" s="52"/>
      <c r="N2011" s="52" t="s">
        <v>70</v>
      </c>
      <c r="O2011" s="52"/>
      <c r="P2011" s="52"/>
      <c r="Q2011" s="52"/>
      <c r="R2011" s="51" t="b">
        <v>0</v>
      </c>
      <c r="S2011" s="51"/>
      <c r="T2011" s="52"/>
      <c r="U2011" s="51" t="b">
        <v>0</v>
      </c>
      <c r="V2011" s="51" t="b">
        <v>0</v>
      </c>
      <c r="W2011" s="51" t="b">
        <v>0</v>
      </c>
      <c r="X2011" s="51" t="b">
        <v>0</v>
      </c>
      <c r="Y2011" s="51" t="b">
        <v>0</v>
      </c>
      <c r="Z2011" s="51" t="b">
        <v>0</v>
      </c>
      <c r="AA2011" s="68"/>
      <c r="AB2011" s="52"/>
      <c r="AC2011" s="52"/>
      <c r="AD2011" s="52"/>
      <c r="AE2011" s="56"/>
      <c r="AF2011" s="56"/>
    </row>
    <row r="2012">
      <c r="A2012" s="52" t="s">
        <v>5306</v>
      </c>
      <c r="B2012" s="52"/>
      <c r="C2012" s="52"/>
      <c r="D2012" s="65"/>
      <c r="E2012" s="65"/>
      <c r="F2012" s="65"/>
      <c r="G2012" s="65"/>
      <c r="H2012" s="52"/>
      <c r="I2012" s="52"/>
      <c r="J2012" s="52"/>
      <c r="K2012" s="52"/>
      <c r="L2012" s="52"/>
      <c r="M2012" s="52"/>
      <c r="N2012" s="52" t="s">
        <v>70</v>
      </c>
      <c r="O2012" s="52"/>
      <c r="P2012" s="52"/>
      <c r="Q2012" s="52"/>
      <c r="R2012" s="51" t="b">
        <v>0</v>
      </c>
      <c r="S2012" s="51"/>
      <c r="T2012" s="52"/>
      <c r="U2012" s="51" t="b">
        <v>0</v>
      </c>
      <c r="V2012" s="51" t="b">
        <v>0</v>
      </c>
      <c r="W2012" s="51" t="b">
        <v>0</v>
      </c>
      <c r="X2012" s="51" t="b">
        <v>0</v>
      </c>
      <c r="Y2012" s="51" t="b">
        <v>0</v>
      </c>
      <c r="Z2012" s="51" t="b">
        <v>0</v>
      </c>
      <c r="AA2012" s="68"/>
      <c r="AB2012" s="52"/>
      <c r="AC2012" s="52"/>
      <c r="AD2012" s="52"/>
      <c r="AE2012" s="56"/>
      <c r="AF2012" s="56"/>
    </row>
    <row r="2013">
      <c r="A2013" s="52" t="s">
        <v>5307</v>
      </c>
      <c r="B2013" s="52"/>
      <c r="C2013" s="52"/>
      <c r="D2013" s="65"/>
      <c r="E2013" s="65"/>
      <c r="F2013" s="65"/>
      <c r="G2013" s="65"/>
      <c r="H2013" s="52"/>
      <c r="I2013" s="52"/>
      <c r="J2013" s="52"/>
      <c r="K2013" s="52"/>
      <c r="L2013" s="52"/>
      <c r="M2013" s="52"/>
      <c r="N2013" s="52" t="s">
        <v>70</v>
      </c>
      <c r="O2013" s="52"/>
      <c r="P2013" s="52"/>
      <c r="Q2013" s="52"/>
      <c r="R2013" s="51" t="b">
        <v>0</v>
      </c>
      <c r="S2013" s="51"/>
      <c r="T2013" s="52"/>
      <c r="U2013" s="51" t="b">
        <v>0</v>
      </c>
      <c r="V2013" s="51" t="b">
        <v>0</v>
      </c>
      <c r="W2013" s="51" t="b">
        <v>0</v>
      </c>
      <c r="X2013" s="51" t="b">
        <v>0</v>
      </c>
      <c r="Y2013" s="51" t="b">
        <v>0</v>
      </c>
      <c r="Z2013" s="51" t="b">
        <v>0</v>
      </c>
      <c r="AA2013" s="68"/>
      <c r="AB2013" s="52"/>
      <c r="AC2013" s="52"/>
      <c r="AD2013" s="52"/>
      <c r="AE2013" s="56"/>
      <c r="AF2013" s="56"/>
    </row>
    <row r="2014">
      <c r="A2014" s="52" t="s">
        <v>5308</v>
      </c>
      <c r="B2014" s="52"/>
      <c r="C2014" s="52"/>
      <c r="D2014" s="65"/>
      <c r="E2014" s="65"/>
      <c r="F2014" s="65"/>
      <c r="G2014" s="65"/>
      <c r="H2014" s="52"/>
      <c r="I2014" s="52"/>
      <c r="J2014" s="52"/>
      <c r="K2014" s="52"/>
      <c r="L2014" s="52"/>
      <c r="M2014" s="52"/>
      <c r="N2014" s="52" t="s">
        <v>70</v>
      </c>
      <c r="O2014" s="52"/>
      <c r="P2014" s="52"/>
      <c r="Q2014" s="52"/>
      <c r="R2014" s="51" t="b">
        <v>0</v>
      </c>
      <c r="S2014" s="51"/>
      <c r="T2014" s="52"/>
      <c r="U2014" s="51" t="b">
        <v>0</v>
      </c>
      <c r="V2014" s="51" t="b">
        <v>0</v>
      </c>
      <c r="W2014" s="51" t="b">
        <v>0</v>
      </c>
      <c r="X2014" s="51" t="b">
        <v>0</v>
      </c>
      <c r="Y2014" s="51" t="b">
        <v>0</v>
      </c>
      <c r="Z2014" s="51" t="b">
        <v>0</v>
      </c>
      <c r="AA2014" s="68"/>
      <c r="AB2014" s="52"/>
      <c r="AC2014" s="52"/>
      <c r="AD2014" s="52"/>
      <c r="AE2014" s="56"/>
      <c r="AF2014" s="56"/>
    </row>
    <row r="2015">
      <c r="A2015" s="52" t="s">
        <v>5309</v>
      </c>
      <c r="B2015" s="52"/>
      <c r="C2015" s="52"/>
      <c r="D2015" s="65"/>
      <c r="E2015" s="65"/>
      <c r="F2015" s="65"/>
      <c r="G2015" s="65"/>
      <c r="H2015" s="52"/>
      <c r="I2015" s="52"/>
      <c r="J2015" s="52"/>
      <c r="K2015" s="52"/>
      <c r="L2015" s="52"/>
      <c r="M2015" s="52"/>
      <c r="N2015" s="52" t="s">
        <v>70</v>
      </c>
      <c r="O2015" s="52"/>
      <c r="P2015" s="52"/>
      <c r="Q2015" s="52"/>
      <c r="R2015" s="51" t="b">
        <v>0</v>
      </c>
      <c r="S2015" s="51"/>
      <c r="T2015" s="52"/>
      <c r="U2015" s="51" t="b">
        <v>0</v>
      </c>
      <c r="V2015" s="51" t="b">
        <v>0</v>
      </c>
      <c r="W2015" s="51" t="b">
        <v>0</v>
      </c>
      <c r="X2015" s="51" t="b">
        <v>0</v>
      </c>
      <c r="Y2015" s="51" t="b">
        <v>0</v>
      </c>
      <c r="Z2015" s="51" t="b">
        <v>0</v>
      </c>
      <c r="AA2015" s="68"/>
      <c r="AB2015" s="52"/>
      <c r="AC2015" s="52"/>
      <c r="AD2015" s="52"/>
      <c r="AE2015" s="56"/>
      <c r="AF2015" s="56"/>
    </row>
    <row r="2016">
      <c r="A2016" s="52" t="s">
        <v>5310</v>
      </c>
      <c r="B2016" s="52"/>
      <c r="C2016" s="52"/>
      <c r="D2016" s="65"/>
      <c r="E2016" s="65"/>
      <c r="F2016" s="65"/>
      <c r="G2016" s="65"/>
      <c r="H2016" s="52"/>
      <c r="I2016" s="52"/>
      <c r="J2016" s="52"/>
      <c r="K2016" s="52"/>
      <c r="L2016" s="52"/>
      <c r="M2016" s="52"/>
      <c r="N2016" s="52" t="s">
        <v>70</v>
      </c>
      <c r="O2016" s="52"/>
      <c r="P2016" s="52"/>
      <c r="Q2016" s="52"/>
      <c r="R2016" s="51" t="b">
        <v>0</v>
      </c>
      <c r="S2016" s="51"/>
      <c r="T2016" s="52"/>
      <c r="U2016" s="51" t="b">
        <v>0</v>
      </c>
      <c r="V2016" s="51" t="b">
        <v>0</v>
      </c>
      <c r="W2016" s="51" t="b">
        <v>0</v>
      </c>
      <c r="X2016" s="51" t="b">
        <v>0</v>
      </c>
      <c r="Y2016" s="51" t="b">
        <v>0</v>
      </c>
      <c r="Z2016" s="51" t="b">
        <v>0</v>
      </c>
      <c r="AA2016" s="68"/>
      <c r="AB2016" s="52"/>
      <c r="AC2016" s="52"/>
      <c r="AD2016" s="52"/>
      <c r="AE2016" s="56"/>
      <c r="AF2016" s="56"/>
    </row>
    <row r="2017">
      <c r="A2017" s="52" t="s">
        <v>5311</v>
      </c>
      <c r="B2017" s="52"/>
      <c r="C2017" s="52"/>
      <c r="D2017" s="65"/>
      <c r="E2017" s="65"/>
      <c r="F2017" s="65"/>
      <c r="G2017" s="65"/>
      <c r="H2017" s="52"/>
      <c r="I2017" s="52"/>
      <c r="J2017" s="52"/>
      <c r="K2017" s="52"/>
      <c r="L2017" s="52"/>
      <c r="M2017" s="52"/>
      <c r="N2017" s="52" t="s">
        <v>70</v>
      </c>
      <c r="O2017" s="52"/>
      <c r="P2017" s="52"/>
      <c r="Q2017" s="52"/>
      <c r="R2017" s="51" t="b">
        <v>0</v>
      </c>
      <c r="S2017" s="51"/>
      <c r="T2017" s="52"/>
      <c r="U2017" s="51" t="b">
        <v>0</v>
      </c>
      <c r="V2017" s="51" t="b">
        <v>0</v>
      </c>
      <c r="W2017" s="51" t="b">
        <v>0</v>
      </c>
      <c r="X2017" s="51" t="b">
        <v>0</v>
      </c>
      <c r="Y2017" s="51" t="b">
        <v>0</v>
      </c>
      <c r="Z2017" s="51" t="b">
        <v>0</v>
      </c>
      <c r="AA2017" s="68"/>
      <c r="AB2017" s="52"/>
      <c r="AC2017" s="52"/>
      <c r="AD2017" s="52"/>
      <c r="AE2017" s="56"/>
      <c r="AF2017" s="56"/>
    </row>
    <row r="2018">
      <c r="A2018" s="52" t="s">
        <v>5312</v>
      </c>
      <c r="B2018" s="52"/>
      <c r="C2018" s="52"/>
      <c r="D2018" s="65"/>
      <c r="E2018" s="65"/>
      <c r="F2018" s="65"/>
      <c r="G2018" s="65"/>
      <c r="H2018" s="52"/>
      <c r="I2018" s="52"/>
      <c r="J2018" s="52"/>
      <c r="K2018" s="52"/>
      <c r="L2018" s="52"/>
      <c r="M2018" s="52"/>
      <c r="N2018" s="52" t="s">
        <v>70</v>
      </c>
      <c r="O2018" s="52"/>
      <c r="P2018" s="52"/>
      <c r="Q2018" s="52"/>
      <c r="R2018" s="51" t="b">
        <v>0</v>
      </c>
      <c r="S2018" s="51"/>
      <c r="T2018" s="52"/>
      <c r="U2018" s="51" t="b">
        <v>0</v>
      </c>
      <c r="V2018" s="51" t="b">
        <v>0</v>
      </c>
      <c r="W2018" s="51" t="b">
        <v>0</v>
      </c>
      <c r="X2018" s="51" t="b">
        <v>0</v>
      </c>
      <c r="Y2018" s="51" t="b">
        <v>0</v>
      </c>
      <c r="Z2018" s="51" t="b">
        <v>0</v>
      </c>
      <c r="AA2018" s="68"/>
      <c r="AB2018" s="52"/>
      <c r="AC2018" s="52"/>
      <c r="AD2018" s="52"/>
      <c r="AE2018" s="56"/>
      <c r="AF2018" s="56"/>
    </row>
    <row r="2019">
      <c r="A2019" s="52" t="s">
        <v>5313</v>
      </c>
      <c r="B2019" s="52"/>
      <c r="C2019" s="52"/>
      <c r="D2019" s="65"/>
      <c r="E2019" s="65"/>
      <c r="F2019" s="65"/>
      <c r="G2019" s="65"/>
      <c r="H2019" s="52"/>
      <c r="I2019" s="52"/>
      <c r="J2019" s="52"/>
      <c r="K2019" s="52"/>
      <c r="L2019" s="52"/>
      <c r="M2019" s="52"/>
      <c r="N2019" s="52" t="s">
        <v>70</v>
      </c>
      <c r="O2019" s="52"/>
      <c r="P2019" s="52"/>
      <c r="Q2019" s="52"/>
      <c r="R2019" s="51" t="b">
        <v>0</v>
      </c>
      <c r="S2019" s="51"/>
      <c r="T2019" s="52"/>
      <c r="U2019" s="51" t="b">
        <v>0</v>
      </c>
      <c r="V2019" s="51" t="b">
        <v>0</v>
      </c>
      <c r="W2019" s="51" t="b">
        <v>0</v>
      </c>
      <c r="X2019" s="51" t="b">
        <v>0</v>
      </c>
      <c r="Y2019" s="51" t="b">
        <v>0</v>
      </c>
      <c r="Z2019" s="51" t="b">
        <v>0</v>
      </c>
      <c r="AA2019" s="68"/>
      <c r="AB2019" s="52"/>
      <c r="AC2019" s="52"/>
      <c r="AD2019" s="52"/>
      <c r="AE2019" s="56"/>
      <c r="AF2019" s="56"/>
    </row>
    <row r="2020">
      <c r="A2020" s="52" t="s">
        <v>5314</v>
      </c>
      <c r="B2020" s="52"/>
      <c r="C2020" s="52"/>
      <c r="D2020" s="65"/>
      <c r="E2020" s="65"/>
      <c r="F2020" s="65"/>
      <c r="G2020" s="65"/>
      <c r="H2020" s="52"/>
      <c r="I2020" s="52"/>
      <c r="J2020" s="52"/>
      <c r="K2020" s="52"/>
      <c r="L2020" s="52"/>
      <c r="M2020" s="52"/>
      <c r="N2020" s="52" t="s">
        <v>70</v>
      </c>
      <c r="O2020" s="52"/>
      <c r="P2020" s="52"/>
      <c r="Q2020" s="52"/>
      <c r="R2020" s="51" t="b">
        <v>0</v>
      </c>
      <c r="S2020" s="51"/>
      <c r="T2020" s="52"/>
      <c r="U2020" s="51" t="b">
        <v>0</v>
      </c>
      <c r="V2020" s="51" t="b">
        <v>0</v>
      </c>
      <c r="W2020" s="51" t="b">
        <v>0</v>
      </c>
      <c r="X2020" s="51" t="b">
        <v>0</v>
      </c>
      <c r="Y2020" s="51" t="b">
        <v>0</v>
      </c>
      <c r="Z2020" s="51" t="b">
        <v>0</v>
      </c>
      <c r="AA2020" s="68"/>
      <c r="AB2020" s="52"/>
      <c r="AC2020" s="52"/>
      <c r="AD2020" s="52"/>
      <c r="AE2020" s="56"/>
      <c r="AF2020" s="56"/>
    </row>
    <row r="2021">
      <c r="A2021" s="52" t="s">
        <v>5315</v>
      </c>
      <c r="B2021" s="52"/>
      <c r="C2021" s="52"/>
      <c r="D2021" s="65"/>
      <c r="E2021" s="65"/>
      <c r="F2021" s="65"/>
      <c r="G2021" s="65"/>
      <c r="H2021" s="52"/>
      <c r="I2021" s="52"/>
      <c r="J2021" s="52"/>
      <c r="K2021" s="52"/>
      <c r="L2021" s="52"/>
      <c r="M2021" s="52"/>
      <c r="N2021" s="52" t="s">
        <v>70</v>
      </c>
      <c r="O2021" s="52"/>
      <c r="P2021" s="52"/>
      <c r="Q2021" s="52"/>
      <c r="R2021" s="51" t="b">
        <v>0</v>
      </c>
      <c r="S2021" s="51"/>
      <c r="T2021" s="52"/>
      <c r="U2021" s="51" t="b">
        <v>0</v>
      </c>
      <c r="V2021" s="51" t="b">
        <v>0</v>
      </c>
      <c r="W2021" s="51" t="b">
        <v>0</v>
      </c>
      <c r="X2021" s="51" t="b">
        <v>0</v>
      </c>
      <c r="Y2021" s="51" t="b">
        <v>0</v>
      </c>
      <c r="Z2021" s="51" t="b">
        <v>0</v>
      </c>
      <c r="AA2021" s="68"/>
      <c r="AB2021" s="52"/>
      <c r="AC2021" s="52"/>
      <c r="AD2021" s="52"/>
      <c r="AE2021" s="56"/>
      <c r="AF2021" s="56"/>
    </row>
    <row r="2022">
      <c r="A2022" s="52" t="s">
        <v>5316</v>
      </c>
      <c r="B2022" s="52"/>
      <c r="C2022" s="52"/>
      <c r="D2022" s="65"/>
      <c r="E2022" s="65"/>
      <c r="F2022" s="65"/>
      <c r="G2022" s="65"/>
      <c r="H2022" s="52"/>
      <c r="I2022" s="52"/>
      <c r="J2022" s="52"/>
      <c r="K2022" s="52"/>
      <c r="L2022" s="52"/>
      <c r="M2022" s="52"/>
      <c r="N2022" s="52" t="s">
        <v>70</v>
      </c>
      <c r="O2022" s="52"/>
      <c r="P2022" s="52"/>
      <c r="Q2022" s="52"/>
      <c r="R2022" s="51" t="b">
        <v>0</v>
      </c>
      <c r="S2022" s="51"/>
      <c r="T2022" s="52"/>
      <c r="U2022" s="51" t="b">
        <v>0</v>
      </c>
      <c r="V2022" s="51" t="b">
        <v>0</v>
      </c>
      <c r="W2022" s="51" t="b">
        <v>0</v>
      </c>
      <c r="X2022" s="51" t="b">
        <v>0</v>
      </c>
      <c r="Y2022" s="51" t="b">
        <v>0</v>
      </c>
      <c r="Z2022" s="51" t="b">
        <v>0</v>
      </c>
      <c r="AA2022" s="68"/>
      <c r="AB2022" s="52"/>
      <c r="AC2022" s="52"/>
      <c r="AD2022" s="52"/>
      <c r="AE2022" s="56"/>
      <c r="AF2022" s="56"/>
    </row>
    <row r="2023">
      <c r="A2023" s="52" t="s">
        <v>5317</v>
      </c>
      <c r="B2023" s="52"/>
      <c r="C2023" s="52"/>
      <c r="D2023" s="65"/>
      <c r="E2023" s="65"/>
      <c r="F2023" s="65"/>
      <c r="G2023" s="65"/>
      <c r="H2023" s="52"/>
      <c r="I2023" s="52"/>
      <c r="J2023" s="52"/>
      <c r="K2023" s="52"/>
      <c r="L2023" s="52"/>
      <c r="M2023" s="52"/>
      <c r="N2023" s="52" t="s">
        <v>70</v>
      </c>
      <c r="O2023" s="52"/>
      <c r="P2023" s="52"/>
      <c r="Q2023" s="52"/>
      <c r="R2023" s="51" t="b">
        <v>0</v>
      </c>
      <c r="S2023" s="51"/>
      <c r="T2023" s="52"/>
      <c r="U2023" s="51" t="b">
        <v>0</v>
      </c>
      <c r="V2023" s="51" t="b">
        <v>0</v>
      </c>
      <c r="W2023" s="51" t="b">
        <v>0</v>
      </c>
      <c r="X2023" s="51" t="b">
        <v>0</v>
      </c>
      <c r="Y2023" s="51" t="b">
        <v>0</v>
      </c>
      <c r="Z2023" s="51" t="b">
        <v>0</v>
      </c>
      <c r="AA2023" s="68"/>
      <c r="AB2023" s="52"/>
      <c r="AC2023" s="52"/>
      <c r="AD2023" s="52"/>
      <c r="AE2023" s="56"/>
      <c r="AF2023" s="56"/>
    </row>
    <row r="2024">
      <c r="A2024" s="52" t="s">
        <v>5318</v>
      </c>
      <c r="B2024" s="52"/>
      <c r="C2024" s="52"/>
      <c r="D2024" s="65"/>
      <c r="E2024" s="65"/>
      <c r="F2024" s="65"/>
      <c r="G2024" s="65"/>
      <c r="H2024" s="52"/>
      <c r="I2024" s="52"/>
      <c r="J2024" s="52"/>
      <c r="K2024" s="52"/>
      <c r="L2024" s="52"/>
      <c r="M2024" s="52"/>
      <c r="N2024" s="52" t="s">
        <v>70</v>
      </c>
      <c r="O2024" s="52"/>
      <c r="P2024" s="52"/>
      <c r="Q2024" s="52"/>
      <c r="R2024" s="51" t="b">
        <v>0</v>
      </c>
      <c r="S2024" s="51"/>
      <c r="T2024" s="52"/>
      <c r="U2024" s="51" t="b">
        <v>0</v>
      </c>
      <c r="V2024" s="51" t="b">
        <v>0</v>
      </c>
      <c r="W2024" s="51" t="b">
        <v>0</v>
      </c>
      <c r="X2024" s="51" t="b">
        <v>0</v>
      </c>
      <c r="Y2024" s="51" t="b">
        <v>0</v>
      </c>
      <c r="Z2024" s="51" t="b">
        <v>0</v>
      </c>
      <c r="AA2024" s="68"/>
      <c r="AB2024" s="52"/>
      <c r="AC2024" s="52"/>
      <c r="AD2024" s="52"/>
      <c r="AE2024" s="56"/>
      <c r="AF2024" s="56"/>
    </row>
    <row r="2025">
      <c r="A2025" s="52" t="s">
        <v>5319</v>
      </c>
      <c r="B2025" s="52"/>
      <c r="C2025" s="52"/>
      <c r="D2025" s="65"/>
      <c r="E2025" s="65"/>
      <c r="F2025" s="65"/>
      <c r="G2025" s="65"/>
      <c r="H2025" s="52"/>
      <c r="I2025" s="52"/>
      <c r="J2025" s="52"/>
      <c r="K2025" s="52"/>
      <c r="L2025" s="52"/>
      <c r="M2025" s="52"/>
      <c r="N2025" s="52" t="s">
        <v>70</v>
      </c>
      <c r="O2025" s="52"/>
      <c r="P2025" s="52"/>
      <c r="Q2025" s="52"/>
      <c r="R2025" s="51" t="b">
        <v>0</v>
      </c>
      <c r="S2025" s="51"/>
      <c r="T2025" s="52"/>
      <c r="U2025" s="51" t="b">
        <v>0</v>
      </c>
      <c r="V2025" s="51" t="b">
        <v>0</v>
      </c>
      <c r="W2025" s="51" t="b">
        <v>0</v>
      </c>
      <c r="X2025" s="51" t="b">
        <v>0</v>
      </c>
      <c r="Y2025" s="51" t="b">
        <v>0</v>
      </c>
      <c r="Z2025" s="51" t="b">
        <v>0</v>
      </c>
      <c r="AA2025" s="68"/>
      <c r="AB2025" s="52"/>
      <c r="AC2025" s="52"/>
      <c r="AD2025" s="52"/>
      <c r="AE2025" s="56"/>
      <c r="AF2025" s="56"/>
    </row>
    <row r="2026">
      <c r="A2026" s="52" t="s">
        <v>5320</v>
      </c>
      <c r="B2026" s="52"/>
      <c r="C2026" s="52"/>
      <c r="D2026" s="65"/>
      <c r="E2026" s="65"/>
      <c r="F2026" s="65"/>
      <c r="G2026" s="65"/>
      <c r="H2026" s="52"/>
      <c r="I2026" s="52"/>
      <c r="J2026" s="52"/>
      <c r="K2026" s="52"/>
      <c r="L2026" s="52"/>
      <c r="M2026" s="52"/>
      <c r="N2026" s="52" t="s">
        <v>70</v>
      </c>
      <c r="O2026" s="52"/>
      <c r="P2026" s="52"/>
      <c r="Q2026" s="52"/>
      <c r="R2026" s="51" t="b">
        <v>0</v>
      </c>
      <c r="S2026" s="51"/>
      <c r="T2026" s="52"/>
      <c r="U2026" s="51" t="b">
        <v>0</v>
      </c>
      <c r="V2026" s="51" t="b">
        <v>0</v>
      </c>
      <c r="W2026" s="51" t="b">
        <v>0</v>
      </c>
      <c r="X2026" s="51" t="b">
        <v>0</v>
      </c>
      <c r="Y2026" s="51" t="b">
        <v>0</v>
      </c>
      <c r="Z2026" s="51" t="b">
        <v>0</v>
      </c>
      <c r="AA2026" s="68"/>
      <c r="AB2026" s="52"/>
      <c r="AC2026" s="52"/>
      <c r="AD2026" s="52"/>
      <c r="AE2026" s="56"/>
      <c r="AF2026" s="56"/>
    </row>
    <row r="2027">
      <c r="A2027" s="52" t="s">
        <v>5321</v>
      </c>
      <c r="B2027" s="52"/>
      <c r="C2027" s="52"/>
      <c r="D2027" s="65"/>
      <c r="E2027" s="65"/>
      <c r="F2027" s="65"/>
      <c r="G2027" s="65"/>
      <c r="H2027" s="52"/>
      <c r="I2027" s="52"/>
      <c r="J2027" s="52"/>
      <c r="K2027" s="52"/>
      <c r="L2027" s="52"/>
      <c r="M2027" s="52"/>
      <c r="N2027" s="52" t="s">
        <v>70</v>
      </c>
      <c r="O2027" s="52"/>
      <c r="P2027" s="52"/>
      <c r="Q2027" s="52"/>
      <c r="R2027" s="51" t="b">
        <v>0</v>
      </c>
      <c r="S2027" s="51"/>
      <c r="T2027" s="52"/>
      <c r="U2027" s="51" t="b">
        <v>0</v>
      </c>
      <c r="V2027" s="51" t="b">
        <v>0</v>
      </c>
      <c r="W2027" s="51" t="b">
        <v>0</v>
      </c>
      <c r="X2027" s="51" t="b">
        <v>0</v>
      </c>
      <c r="Y2027" s="51" t="b">
        <v>0</v>
      </c>
      <c r="Z2027" s="51" t="b">
        <v>0</v>
      </c>
      <c r="AA2027" s="68"/>
      <c r="AB2027" s="52"/>
      <c r="AC2027" s="52"/>
      <c r="AD2027" s="52"/>
      <c r="AE2027" s="56"/>
      <c r="AF2027" s="56"/>
    </row>
    <row r="2028">
      <c r="A2028" s="52" t="s">
        <v>5322</v>
      </c>
      <c r="B2028" s="52"/>
      <c r="C2028" s="52"/>
      <c r="D2028" s="65"/>
      <c r="E2028" s="65"/>
      <c r="F2028" s="65"/>
      <c r="G2028" s="65"/>
      <c r="H2028" s="52"/>
      <c r="I2028" s="52"/>
      <c r="J2028" s="52"/>
      <c r="K2028" s="52"/>
      <c r="L2028" s="52"/>
      <c r="M2028" s="52"/>
      <c r="N2028" s="52" t="s">
        <v>70</v>
      </c>
      <c r="O2028" s="52"/>
      <c r="P2028" s="52"/>
      <c r="Q2028" s="52"/>
      <c r="R2028" s="51" t="b">
        <v>0</v>
      </c>
      <c r="S2028" s="51"/>
      <c r="T2028" s="52"/>
      <c r="U2028" s="51" t="b">
        <v>0</v>
      </c>
      <c r="V2028" s="51" t="b">
        <v>0</v>
      </c>
      <c r="W2028" s="51" t="b">
        <v>0</v>
      </c>
      <c r="X2028" s="51" t="b">
        <v>0</v>
      </c>
      <c r="Y2028" s="51" t="b">
        <v>0</v>
      </c>
      <c r="Z2028" s="51" t="b">
        <v>0</v>
      </c>
      <c r="AA2028" s="68"/>
      <c r="AB2028" s="52"/>
      <c r="AC2028" s="52"/>
      <c r="AD2028" s="52"/>
      <c r="AE2028" s="56"/>
      <c r="AF2028" s="56"/>
    </row>
    <row r="2029">
      <c r="A2029" s="52" t="s">
        <v>5323</v>
      </c>
      <c r="B2029" s="52"/>
      <c r="C2029" s="52"/>
      <c r="D2029" s="65"/>
      <c r="E2029" s="65"/>
      <c r="F2029" s="65"/>
      <c r="G2029" s="65"/>
      <c r="H2029" s="52"/>
      <c r="I2029" s="52"/>
      <c r="J2029" s="52"/>
      <c r="K2029" s="52"/>
      <c r="L2029" s="52"/>
      <c r="M2029" s="52"/>
      <c r="N2029" s="52" t="s">
        <v>70</v>
      </c>
      <c r="O2029" s="52"/>
      <c r="P2029" s="52"/>
      <c r="Q2029" s="52"/>
      <c r="R2029" s="51" t="b">
        <v>0</v>
      </c>
      <c r="S2029" s="51"/>
      <c r="T2029" s="52"/>
      <c r="U2029" s="51" t="b">
        <v>0</v>
      </c>
      <c r="V2029" s="51" t="b">
        <v>0</v>
      </c>
      <c r="W2029" s="51" t="b">
        <v>0</v>
      </c>
      <c r="X2029" s="51" t="b">
        <v>0</v>
      </c>
      <c r="Y2029" s="51" t="b">
        <v>0</v>
      </c>
      <c r="Z2029" s="51" t="b">
        <v>0</v>
      </c>
      <c r="AA2029" s="68"/>
      <c r="AB2029" s="52"/>
      <c r="AC2029" s="52"/>
      <c r="AD2029" s="52"/>
      <c r="AE2029" s="56"/>
      <c r="AF2029" s="56"/>
    </row>
    <row r="2030">
      <c r="A2030" s="52" t="s">
        <v>5324</v>
      </c>
      <c r="B2030" s="52"/>
      <c r="C2030" s="52"/>
      <c r="D2030" s="65"/>
      <c r="E2030" s="65"/>
      <c r="F2030" s="65"/>
      <c r="G2030" s="65"/>
      <c r="H2030" s="52"/>
      <c r="I2030" s="52"/>
      <c r="J2030" s="52"/>
      <c r="K2030" s="52"/>
      <c r="L2030" s="52"/>
      <c r="M2030" s="52"/>
      <c r="N2030" s="52" t="s">
        <v>70</v>
      </c>
      <c r="O2030" s="52"/>
      <c r="P2030" s="52"/>
      <c r="Q2030" s="52"/>
      <c r="R2030" s="51" t="b">
        <v>0</v>
      </c>
      <c r="S2030" s="51"/>
      <c r="T2030" s="52"/>
      <c r="U2030" s="51" t="b">
        <v>0</v>
      </c>
      <c r="V2030" s="51" t="b">
        <v>0</v>
      </c>
      <c r="W2030" s="51" t="b">
        <v>0</v>
      </c>
      <c r="X2030" s="51" t="b">
        <v>0</v>
      </c>
      <c r="Y2030" s="51" t="b">
        <v>0</v>
      </c>
      <c r="Z2030" s="51" t="b">
        <v>0</v>
      </c>
      <c r="AA2030" s="68"/>
      <c r="AB2030" s="52"/>
      <c r="AC2030" s="52"/>
      <c r="AD2030" s="52"/>
      <c r="AE2030" s="56"/>
      <c r="AF2030" s="56"/>
    </row>
    <row r="2031">
      <c r="A2031" s="52" t="s">
        <v>5325</v>
      </c>
      <c r="B2031" s="52"/>
      <c r="C2031" s="52"/>
      <c r="D2031" s="65"/>
      <c r="E2031" s="65"/>
      <c r="F2031" s="65"/>
      <c r="G2031" s="65"/>
      <c r="H2031" s="52"/>
      <c r="I2031" s="52"/>
      <c r="J2031" s="52"/>
      <c r="K2031" s="52"/>
      <c r="L2031" s="52"/>
      <c r="M2031" s="52"/>
      <c r="N2031" s="52" t="s">
        <v>70</v>
      </c>
      <c r="O2031" s="52"/>
      <c r="P2031" s="52"/>
      <c r="Q2031" s="52"/>
      <c r="R2031" s="51" t="b">
        <v>0</v>
      </c>
      <c r="S2031" s="51"/>
      <c r="T2031" s="52"/>
      <c r="U2031" s="51" t="b">
        <v>0</v>
      </c>
      <c r="V2031" s="51" t="b">
        <v>0</v>
      </c>
      <c r="W2031" s="51" t="b">
        <v>0</v>
      </c>
      <c r="X2031" s="51" t="b">
        <v>0</v>
      </c>
      <c r="Y2031" s="51" t="b">
        <v>0</v>
      </c>
      <c r="Z2031" s="51" t="b">
        <v>0</v>
      </c>
      <c r="AA2031" s="68"/>
      <c r="AB2031" s="52"/>
      <c r="AC2031" s="52"/>
      <c r="AD2031" s="52"/>
      <c r="AE2031" s="56"/>
      <c r="AF2031" s="56"/>
    </row>
    <row r="2032">
      <c r="A2032" s="52" t="s">
        <v>5326</v>
      </c>
      <c r="B2032" s="52"/>
      <c r="C2032" s="52"/>
      <c r="D2032" s="65"/>
      <c r="E2032" s="65"/>
      <c r="F2032" s="65"/>
      <c r="G2032" s="65"/>
      <c r="H2032" s="52"/>
      <c r="I2032" s="52"/>
      <c r="J2032" s="52"/>
      <c r="K2032" s="52"/>
      <c r="L2032" s="52"/>
      <c r="M2032" s="52"/>
      <c r="N2032" s="52" t="s">
        <v>70</v>
      </c>
      <c r="O2032" s="52"/>
      <c r="P2032" s="52"/>
      <c r="Q2032" s="52"/>
      <c r="R2032" s="51" t="b">
        <v>0</v>
      </c>
      <c r="S2032" s="51"/>
      <c r="T2032" s="52"/>
      <c r="U2032" s="51" t="b">
        <v>0</v>
      </c>
      <c r="V2032" s="51" t="b">
        <v>0</v>
      </c>
      <c r="W2032" s="51" t="b">
        <v>0</v>
      </c>
      <c r="X2032" s="51" t="b">
        <v>0</v>
      </c>
      <c r="Y2032" s="51" t="b">
        <v>0</v>
      </c>
      <c r="Z2032" s="51" t="b">
        <v>0</v>
      </c>
      <c r="AA2032" s="68"/>
      <c r="AB2032" s="52"/>
      <c r="AC2032" s="52"/>
      <c r="AD2032" s="52"/>
      <c r="AE2032" s="56"/>
      <c r="AF2032" s="56"/>
    </row>
    <row r="2033">
      <c r="A2033" s="52" t="s">
        <v>5327</v>
      </c>
      <c r="B2033" s="52"/>
      <c r="C2033" s="52"/>
      <c r="D2033" s="65"/>
      <c r="E2033" s="65"/>
      <c r="F2033" s="65"/>
      <c r="G2033" s="65"/>
      <c r="H2033" s="52"/>
      <c r="I2033" s="52"/>
      <c r="J2033" s="52"/>
      <c r="K2033" s="52"/>
      <c r="L2033" s="52"/>
      <c r="M2033" s="52"/>
      <c r="N2033" s="52" t="s">
        <v>70</v>
      </c>
      <c r="O2033" s="52"/>
      <c r="P2033" s="52"/>
      <c r="Q2033" s="52"/>
      <c r="R2033" s="51" t="b">
        <v>0</v>
      </c>
      <c r="S2033" s="51"/>
      <c r="T2033" s="52"/>
      <c r="U2033" s="51" t="b">
        <v>0</v>
      </c>
      <c r="V2033" s="51" t="b">
        <v>0</v>
      </c>
      <c r="W2033" s="51" t="b">
        <v>0</v>
      </c>
      <c r="X2033" s="51" t="b">
        <v>0</v>
      </c>
      <c r="Y2033" s="51" t="b">
        <v>0</v>
      </c>
      <c r="Z2033" s="51" t="b">
        <v>0</v>
      </c>
      <c r="AA2033" s="68"/>
      <c r="AB2033" s="52"/>
      <c r="AC2033" s="52"/>
      <c r="AD2033" s="52"/>
      <c r="AE2033" s="56"/>
      <c r="AF2033" s="56"/>
    </row>
    <row r="2034">
      <c r="A2034" s="52" t="s">
        <v>5328</v>
      </c>
      <c r="B2034" s="52"/>
      <c r="C2034" s="52"/>
      <c r="D2034" s="65"/>
      <c r="E2034" s="65"/>
      <c r="F2034" s="65"/>
      <c r="G2034" s="65"/>
      <c r="H2034" s="52"/>
      <c r="I2034" s="52"/>
      <c r="J2034" s="52"/>
      <c r="K2034" s="52"/>
      <c r="L2034" s="52"/>
      <c r="M2034" s="52"/>
      <c r="N2034" s="52" t="s">
        <v>70</v>
      </c>
      <c r="O2034" s="52"/>
      <c r="P2034" s="52"/>
      <c r="Q2034" s="52"/>
      <c r="R2034" s="51" t="b">
        <v>0</v>
      </c>
      <c r="S2034" s="51"/>
      <c r="T2034" s="52"/>
      <c r="U2034" s="51" t="b">
        <v>0</v>
      </c>
      <c r="V2034" s="51" t="b">
        <v>0</v>
      </c>
      <c r="W2034" s="51" t="b">
        <v>0</v>
      </c>
      <c r="X2034" s="51" t="b">
        <v>0</v>
      </c>
      <c r="Y2034" s="51" t="b">
        <v>0</v>
      </c>
      <c r="Z2034" s="51" t="b">
        <v>0</v>
      </c>
      <c r="AA2034" s="68"/>
      <c r="AB2034" s="52"/>
      <c r="AC2034" s="52"/>
      <c r="AD2034" s="52"/>
      <c r="AE2034" s="56"/>
      <c r="AF2034" s="56"/>
    </row>
    <row r="2035">
      <c r="A2035" s="52" t="s">
        <v>5329</v>
      </c>
      <c r="B2035" s="52"/>
      <c r="C2035" s="52"/>
      <c r="D2035" s="65"/>
      <c r="E2035" s="65"/>
      <c r="F2035" s="65"/>
      <c r="G2035" s="65"/>
      <c r="H2035" s="52"/>
      <c r="I2035" s="52"/>
      <c r="J2035" s="52"/>
      <c r="K2035" s="52"/>
      <c r="L2035" s="52"/>
      <c r="M2035" s="52"/>
      <c r="N2035" s="52" t="s">
        <v>70</v>
      </c>
      <c r="O2035" s="52"/>
      <c r="P2035" s="52"/>
      <c r="Q2035" s="52"/>
      <c r="R2035" s="51" t="b">
        <v>0</v>
      </c>
      <c r="S2035" s="51"/>
      <c r="T2035" s="52"/>
      <c r="U2035" s="51" t="b">
        <v>0</v>
      </c>
      <c r="V2035" s="51" t="b">
        <v>0</v>
      </c>
      <c r="W2035" s="51" t="b">
        <v>0</v>
      </c>
      <c r="X2035" s="51" t="b">
        <v>0</v>
      </c>
      <c r="Y2035" s="51" t="b">
        <v>0</v>
      </c>
      <c r="Z2035" s="51" t="b">
        <v>0</v>
      </c>
      <c r="AA2035" s="68"/>
      <c r="AB2035" s="52"/>
      <c r="AC2035" s="52"/>
      <c r="AD2035" s="52"/>
      <c r="AE2035" s="56"/>
      <c r="AF2035" s="56"/>
    </row>
    <row r="2036">
      <c r="A2036" s="52" t="s">
        <v>5330</v>
      </c>
      <c r="B2036" s="52"/>
      <c r="C2036" s="52"/>
      <c r="D2036" s="65"/>
      <c r="E2036" s="65"/>
      <c r="F2036" s="65"/>
      <c r="G2036" s="65"/>
      <c r="H2036" s="52"/>
      <c r="I2036" s="52"/>
      <c r="J2036" s="52"/>
      <c r="K2036" s="52"/>
      <c r="L2036" s="52"/>
      <c r="M2036" s="52"/>
      <c r="N2036" s="52" t="s">
        <v>70</v>
      </c>
      <c r="O2036" s="52"/>
      <c r="P2036" s="52"/>
      <c r="Q2036" s="52"/>
      <c r="R2036" s="51" t="b">
        <v>0</v>
      </c>
      <c r="S2036" s="51"/>
      <c r="T2036" s="52"/>
      <c r="U2036" s="51" t="b">
        <v>0</v>
      </c>
      <c r="V2036" s="51" t="b">
        <v>0</v>
      </c>
      <c r="W2036" s="51" t="b">
        <v>0</v>
      </c>
      <c r="X2036" s="51" t="b">
        <v>0</v>
      </c>
      <c r="Y2036" s="51" t="b">
        <v>0</v>
      </c>
      <c r="Z2036" s="51" t="b">
        <v>0</v>
      </c>
      <c r="AA2036" s="68"/>
      <c r="AB2036" s="52"/>
      <c r="AC2036" s="52"/>
      <c r="AD2036" s="52"/>
      <c r="AE2036" s="56"/>
      <c r="AF2036" s="56"/>
    </row>
    <row r="2037">
      <c r="A2037" s="52" t="s">
        <v>5331</v>
      </c>
      <c r="B2037" s="52"/>
      <c r="C2037" s="52"/>
      <c r="D2037" s="65"/>
      <c r="E2037" s="65"/>
      <c r="F2037" s="65"/>
      <c r="G2037" s="65"/>
      <c r="H2037" s="52"/>
      <c r="I2037" s="52"/>
      <c r="J2037" s="52"/>
      <c r="K2037" s="52"/>
      <c r="L2037" s="52"/>
      <c r="M2037" s="52"/>
      <c r="N2037" s="52" t="s">
        <v>70</v>
      </c>
      <c r="O2037" s="52"/>
      <c r="P2037" s="52"/>
      <c r="Q2037" s="52"/>
      <c r="R2037" s="51" t="b">
        <v>0</v>
      </c>
      <c r="S2037" s="51"/>
      <c r="T2037" s="52"/>
      <c r="U2037" s="51" t="b">
        <v>0</v>
      </c>
      <c r="V2037" s="51" t="b">
        <v>0</v>
      </c>
      <c r="W2037" s="51" t="b">
        <v>0</v>
      </c>
      <c r="X2037" s="51" t="b">
        <v>0</v>
      </c>
      <c r="Y2037" s="51" t="b">
        <v>0</v>
      </c>
      <c r="Z2037" s="51" t="b">
        <v>0</v>
      </c>
      <c r="AA2037" s="68"/>
      <c r="AB2037" s="52"/>
      <c r="AC2037" s="52"/>
      <c r="AD2037" s="52"/>
      <c r="AE2037" s="56"/>
      <c r="AF2037" s="56"/>
    </row>
    <row r="2038">
      <c r="A2038" s="52" t="s">
        <v>5332</v>
      </c>
      <c r="B2038" s="52"/>
      <c r="C2038" s="52"/>
      <c r="D2038" s="65"/>
      <c r="E2038" s="65"/>
      <c r="F2038" s="65"/>
      <c r="G2038" s="65"/>
      <c r="H2038" s="52"/>
      <c r="I2038" s="52"/>
      <c r="J2038" s="52"/>
      <c r="K2038" s="52"/>
      <c r="L2038" s="52"/>
      <c r="M2038" s="52"/>
      <c r="N2038" s="52" t="s">
        <v>70</v>
      </c>
      <c r="O2038" s="52"/>
      <c r="P2038" s="52"/>
      <c r="Q2038" s="52"/>
      <c r="R2038" s="51" t="b">
        <v>0</v>
      </c>
      <c r="S2038" s="51"/>
      <c r="T2038" s="52"/>
      <c r="U2038" s="51" t="b">
        <v>0</v>
      </c>
      <c r="V2038" s="51" t="b">
        <v>0</v>
      </c>
      <c r="W2038" s="51" t="b">
        <v>0</v>
      </c>
      <c r="X2038" s="51" t="b">
        <v>0</v>
      </c>
      <c r="Y2038" s="51" t="b">
        <v>0</v>
      </c>
      <c r="Z2038" s="51" t="b">
        <v>0</v>
      </c>
      <c r="AA2038" s="68"/>
      <c r="AB2038" s="52"/>
      <c r="AC2038" s="52"/>
      <c r="AD2038" s="52"/>
      <c r="AE2038" s="56"/>
      <c r="AF2038" s="56"/>
    </row>
    <row r="2039">
      <c r="A2039" s="52" t="s">
        <v>5333</v>
      </c>
      <c r="B2039" s="52"/>
      <c r="C2039" s="52"/>
      <c r="D2039" s="65"/>
      <c r="E2039" s="65"/>
      <c r="F2039" s="65"/>
      <c r="G2039" s="65"/>
      <c r="H2039" s="52"/>
      <c r="I2039" s="52"/>
      <c r="J2039" s="52"/>
      <c r="K2039" s="52"/>
      <c r="L2039" s="52"/>
      <c r="M2039" s="52"/>
      <c r="N2039" s="52" t="s">
        <v>70</v>
      </c>
      <c r="O2039" s="52"/>
      <c r="P2039" s="52"/>
      <c r="Q2039" s="52"/>
      <c r="R2039" s="51" t="b">
        <v>0</v>
      </c>
      <c r="S2039" s="51"/>
      <c r="T2039" s="52"/>
      <c r="U2039" s="51" t="b">
        <v>0</v>
      </c>
      <c r="V2039" s="51" t="b">
        <v>0</v>
      </c>
      <c r="W2039" s="51" t="b">
        <v>0</v>
      </c>
      <c r="X2039" s="51" t="b">
        <v>0</v>
      </c>
      <c r="Y2039" s="51" t="b">
        <v>0</v>
      </c>
      <c r="Z2039" s="51" t="b">
        <v>0</v>
      </c>
      <c r="AA2039" s="68"/>
      <c r="AB2039" s="52"/>
      <c r="AC2039" s="52"/>
      <c r="AD2039" s="52"/>
      <c r="AE2039" s="56"/>
      <c r="AF2039" s="56"/>
    </row>
    <row r="2040">
      <c r="A2040" s="52" t="s">
        <v>5334</v>
      </c>
      <c r="B2040" s="52"/>
      <c r="C2040" s="52"/>
      <c r="D2040" s="65"/>
      <c r="E2040" s="65"/>
      <c r="F2040" s="65"/>
      <c r="G2040" s="65"/>
      <c r="H2040" s="52"/>
      <c r="I2040" s="52"/>
      <c r="J2040" s="52"/>
      <c r="K2040" s="52"/>
      <c r="L2040" s="52"/>
      <c r="M2040" s="52"/>
      <c r="N2040" s="52" t="s">
        <v>70</v>
      </c>
      <c r="O2040" s="52"/>
      <c r="P2040" s="52"/>
      <c r="Q2040" s="52"/>
      <c r="R2040" s="51" t="b">
        <v>0</v>
      </c>
      <c r="S2040" s="51"/>
      <c r="T2040" s="52"/>
      <c r="U2040" s="51" t="b">
        <v>0</v>
      </c>
      <c r="V2040" s="51" t="b">
        <v>0</v>
      </c>
      <c r="W2040" s="51" t="b">
        <v>0</v>
      </c>
      <c r="X2040" s="51" t="b">
        <v>0</v>
      </c>
      <c r="Y2040" s="51" t="b">
        <v>0</v>
      </c>
      <c r="Z2040" s="51" t="b">
        <v>0</v>
      </c>
      <c r="AA2040" s="68"/>
      <c r="AB2040" s="52"/>
      <c r="AC2040" s="52"/>
      <c r="AD2040" s="52"/>
      <c r="AE2040" s="56"/>
      <c r="AF2040" s="56"/>
    </row>
    <row r="2041">
      <c r="A2041" s="52" t="s">
        <v>5335</v>
      </c>
      <c r="B2041" s="52"/>
      <c r="C2041" s="52"/>
      <c r="D2041" s="65"/>
      <c r="E2041" s="65"/>
      <c r="F2041" s="65"/>
      <c r="G2041" s="65"/>
      <c r="H2041" s="52"/>
      <c r="I2041" s="52"/>
      <c r="J2041" s="52"/>
      <c r="K2041" s="52"/>
      <c r="L2041" s="52"/>
      <c r="M2041" s="52"/>
      <c r="N2041" s="52" t="s">
        <v>70</v>
      </c>
      <c r="O2041" s="52"/>
      <c r="P2041" s="52"/>
      <c r="Q2041" s="52"/>
      <c r="R2041" s="51" t="b">
        <v>0</v>
      </c>
      <c r="S2041" s="51"/>
      <c r="T2041" s="52"/>
      <c r="U2041" s="51" t="b">
        <v>0</v>
      </c>
      <c r="V2041" s="51" t="b">
        <v>0</v>
      </c>
      <c r="W2041" s="51" t="b">
        <v>0</v>
      </c>
      <c r="X2041" s="51" t="b">
        <v>0</v>
      </c>
      <c r="Y2041" s="51" t="b">
        <v>0</v>
      </c>
      <c r="Z2041" s="51" t="b">
        <v>0</v>
      </c>
      <c r="AA2041" s="68"/>
      <c r="AB2041" s="52"/>
      <c r="AC2041" s="52"/>
      <c r="AD2041" s="52"/>
      <c r="AE2041" s="56"/>
      <c r="AF2041" s="56"/>
    </row>
    <row r="2042">
      <c r="A2042" s="52" t="s">
        <v>5336</v>
      </c>
      <c r="B2042" s="52"/>
      <c r="C2042" s="52"/>
      <c r="D2042" s="65"/>
      <c r="E2042" s="65"/>
      <c r="F2042" s="65"/>
      <c r="G2042" s="65"/>
      <c r="H2042" s="52"/>
      <c r="I2042" s="52"/>
      <c r="J2042" s="52"/>
      <c r="K2042" s="52"/>
      <c r="L2042" s="52"/>
      <c r="M2042" s="52"/>
      <c r="N2042" s="52" t="s">
        <v>70</v>
      </c>
      <c r="O2042" s="52"/>
      <c r="P2042" s="52"/>
      <c r="Q2042" s="52"/>
      <c r="R2042" s="51" t="b">
        <v>0</v>
      </c>
      <c r="S2042" s="51"/>
      <c r="T2042" s="52"/>
      <c r="U2042" s="51" t="b">
        <v>0</v>
      </c>
      <c r="V2042" s="51" t="b">
        <v>0</v>
      </c>
      <c r="W2042" s="51" t="b">
        <v>0</v>
      </c>
      <c r="X2042" s="51" t="b">
        <v>0</v>
      </c>
      <c r="Y2042" s="51" t="b">
        <v>0</v>
      </c>
      <c r="Z2042" s="51" t="b">
        <v>0</v>
      </c>
      <c r="AA2042" s="68"/>
      <c r="AB2042" s="52"/>
      <c r="AC2042" s="52"/>
      <c r="AD2042" s="52"/>
      <c r="AE2042" s="56"/>
      <c r="AF2042" s="56"/>
    </row>
    <row r="2043">
      <c r="A2043" s="52" t="s">
        <v>5337</v>
      </c>
      <c r="B2043" s="52"/>
      <c r="C2043" s="52"/>
      <c r="D2043" s="65"/>
      <c r="E2043" s="65"/>
      <c r="F2043" s="65"/>
      <c r="G2043" s="65"/>
      <c r="H2043" s="52"/>
      <c r="I2043" s="52"/>
      <c r="J2043" s="52"/>
      <c r="K2043" s="52"/>
      <c r="L2043" s="52"/>
      <c r="M2043" s="52"/>
      <c r="N2043" s="52" t="s">
        <v>70</v>
      </c>
      <c r="O2043" s="52"/>
      <c r="P2043" s="52"/>
      <c r="Q2043" s="52"/>
      <c r="R2043" s="51" t="b">
        <v>0</v>
      </c>
      <c r="S2043" s="51"/>
      <c r="T2043" s="52"/>
      <c r="U2043" s="51" t="b">
        <v>0</v>
      </c>
      <c r="V2043" s="51" t="b">
        <v>0</v>
      </c>
      <c r="W2043" s="51" t="b">
        <v>0</v>
      </c>
      <c r="X2043" s="51" t="b">
        <v>0</v>
      </c>
      <c r="Y2043" s="51" t="b">
        <v>0</v>
      </c>
      <c r="Z2043" s="51" t="b">
        <v>0</v>
      </c>
      <c r="AA2043" s="68"/>
      <c r="AB2043" s="52"/>
      <c r="AC2043" s="52"/>
      <c r="AD2043" s="52"/>
      <c r="AE2043" s="56"/>
      <c r="AF2043" s="56"/>
    </row>
    <row r="2044">
      <c r="A2044" s="52" t="s">
        <v>5338</v>
      </c>
      <c r="B2044" s="52"/>
      <c r="C2044" s="52"/>
      <c r="D2044" s="65"/>
      <c r="E2044" s="65"/>
      <c r="F2044" s="65"/>
      <c r="G2044" s="65"/>
      <c r="H2044" s="52"/>
      <c r="I2044" s="52"/>
      <c r="J2044" s="52"/>
      <c r="K2044" s="52"/>
      <c r="L2044" s="52"/>
      <c r="M2044" s="52"/>
      <c r="N2044" s="52" t="s">
        <v>70</v>
      </c>
      <c r="O2044" s="52"/>
      <c r="P2044" s="52"/>
      <c r="Q2044" s="52"/>
      <c r="R2044" s="51" t="b">
        <v>0</v>
      </c>
      <c r="S2044" s="51"/>
      <c r="T2044" s="52"/>
      <c r="U2044" s="51" t="b">
        <v>0</v>
      </c>
      <c r="V2044" s="51" t="b">
        <v>0</v>
      </c>
      <c r="W2044" s="51" t="b">
        <v>0</v>
      </c>
      <c r="X2044" s="51" t="b">
        <v>0</v>
      </c>
      <c r="Y2044" s="51" t="b">
        <v>0</v>
      </c>
      <c r="Z2044" s="51" t="b">
        <v>0</v>
      </c>
      <c r="AA2044" s="68"/>
      <c r="AB2044" s="52"/>
      <c r="AC2044" s="52"/>
      <c r="AD2044" s="52"/>
      <c r="AE2044" s="56"/>
      <c r="AF2044" s="56"/>
    </row>
    <row r="2045">
      <c r="A2045" s="52" t="s">
        <v>5339</v>
      </c>
      <c r="B2045" s="52"/>
      <c r="C2045" s="52"/>
      <c r="D2045" s="65"/>
      <c r="E2045" s="65"/>
      <c r="F2045" s="65"/>
      <c r="G2045" s="65"/>
      <c r="H2045" s="52"/>
      <c r="I2045" s="52"/>
      <c r="J2045" s="52"/>
      <c r="K2045" s="52"/>
      <c r="L2045" s="52"/>
      <c r="M2045" s="52"/>
      <c r="N2045" s="52" t="s">
        <v>70</v>
      </c>
      <c r="O2045" s="52"/>
      <c r="P2045" s="52"/>
      <c r="Q2045" s="52"/>
      <c r="R2045" s="51" t="b">
        <v>0</v>
      </c>
      <c r="S2045" s="51"/>
      <c r="T2045" s="52"/>
      <c r="U2045" s="51" t="b">
        <v>0</v>
      </c>
      <c r="V2045" s="51" t="b">
        <v>0</v>
      </c>
      <c r="W2045" s="51" t="b">
        <v>0</v>
      </c>
      <c r="X2045" s="51" t="b">
        <v>0</v>
      </c>
      <c r="Y2045" s="51" t="b">
        <v>0</v>
      </c>
      <c r="Z2045" s="51" t="b">
        <v>0</v>
      </c>
      <c r="AA2045" s="68"/>
      <c r="AB2045" s="52"/>
      <c r="AC2045" s="52"/>
      <c r="AD2045" s="52"/>
      <c r="AE2045" s="56"/>
      <c r="AF2045" s="56"/>
    </row>
    <row r="2046">
      <c r="A2046" s="52" t="s">
        <v>5340</v>
      </c>
      <c r="B2046" s="52"/>
      <c r="C2046" s="52"/>
      <c r="D2046" s="65"/>
      <c r="E2046" s="65"/>
      <c r="F2046" s="65"/>
      <c r="G2046" s="65"/>
      <c r="H2046" s="52"/>
      <c r="I2046" s="52"/>
      <c r="J2046" s="52"/>
      <c r="K2046" s="52"/>
      <c r="L2046" s="52"/>
      <c r="M2046" s="52"/>
      <c r="N2046" s="52" t="s">
        <v>70</v>
      </c>
      <c r="O2046" s="52"/>
      <c r="P2046" s="52"/>
      <c r="Q2046" s="52"/>
      <c r="R2046" s="51" t="b">
        <v>0</v>
      </c>
      <c r="S2046" s="51"/>
      <c r="T2046" s="52"/>
      <c r="U2046" s="51" t="b">
        <v>0</v>
      </c>
      <c r="V2046" s="51" t="b">
        <v>0</v>
      </c>
      <c r="W2046" s="51" t="b">
        <v>0</v>
      </c>
      <c r="X2046" s="51" t="b">
        <v>0</v>
      </c>
      <c r="Y2046" s="51" t="b">
        <v>0</v>
      </c>
      <c r="Z2046" s="51" t="b">
        <v>0</v>
      </c>
      <c r="AA2046" s="68"/>
      <c r="AB2046" s="52"/>
      <c r="AC2046" s="52"/>
      <c r="AD2046" s="52"/>
      <c r="AE2046" s="56"/>
      <c r="AF2046" s="56"/>
    </row>
    <row r="2047">
      <c r="A2047" s="52" t="s">
        <v>5341</v>
      </c>
      <c r="B2047" s="52"/>
      <c r="C2047" s="52"/>
      <c r="D2047" s="65"/>
      <c r="E2047" s="65"/>
      <c r="F2047" s="65"/>
      <c r="G2047" s="65"/>
      <c r="H2047" s="52"/>
      <c r="I2047" s="52"/>
      <c r="J2047" s="52"/>
      <c r="K2047" s="52"/>
      <c r="L2047" s="52"/>
      <c r="M2047" s="52"/>
      <c r="N2047" s="52" t="s">
        <v>70</v>
      </c>
      <c r="O2047" s="52"/>
      <c r="P2047" s="52"/>
      <c r="Q2047" s="52"/>
      <c r="R2047" s="51" t="b">
        <v>0</v>
      </c>
      <c r="S2047" s="51"/>
      <c r="T2047" s="52"/>
      <c r="U2047" s="51" t="b">
        <v>0</v>
      </c>
      <c r="V2047" s="51" t="b">
        <v>0</v>
      </c>
      <c r="W2047" s="51" t="b">
        <v>0</v>
      </c>
      <c r="X2047" s="51" t="b">
        <v>0</v>
      </c>
      <c r="Y2047" s="51" t="b">
        <v>0</v>
      </c>
      <c r="Z2047" s="51" t="b">
        <v>0</v>
      </c>
      <c r="AA2047" s="68"/>
      <c r="AB2047" s="52"/>
      <c r="AC2047" s="52"/>
      <c r="AD2047" s="52"/>
      <c r="AE2047" s="56"/>
      <c r="AF2047" s="56"/>
    </row>
    <row r="2048">
      <c r="A2048" s="52" t="s">
        <v>5342</v>
      </c>
      <c r="B2048" s="52"/>
      <c r="C2048" s="52"/>
      <c r="D2048" s="65"/>
      <c r="E2048" s="65"/>
      <c r="F2048" s="65"/>
      <c r="G2048" s="65"/>
      <c r="H2048" s="52"/>
      <c r="I2048" s="52"/>
      <c r="J2048" s="52"/>
      <c r="K2048" s="52"/>
      <c r="L2048" s="52"/>
      <c r="M2048" s="52"/>
      <c r="N2048" s="52" t="s">
        <v>70</v>
      </c>
      <c r="O2048" s="52"/>
      <c r="P2048" s="52"/>
      <c r="Q2048" s="52"/>
      <c r="R2048" s="51" t="b">
        <v>0</v>
      </c>
      <c r="S2048" s="51"/>
      <c r="T2048" s="52"/>
      <c r="U2048" s="51" t="b">
        <v>0</v>
      </c>
      <c r="V2048" s="51" t="b">
        <v>0</v>
      </c>
      <c r="W2048" s="51" t="b">
        <v>0</v>
      </c>
      <c r="X2048" s="51" t="b">
        <v>0</v>
      </c>
      <c r="Y2048" s="51" t="b">
        <v>0</v>
      </c>
      <c r="Z2048" s="51" t="b">
        <v>0</v>
      </c>
      <c r="AA2048" s="68"/>
      <c r="AB2048" s="52"/>
      <c r="AC2048" s="52"/>
      <c r="AD2048" s="52"/>
      <c r="AE2048" s="56"/>
      <c r="AF2048" s="56"/>
    </row>
    <row r="2049">
      <c r="A2049" s="52" t="s">
        <v>5343</v>
      </c>
      <c r="B2049" s="52"/>
      <c r="C2049" s="52"/>
      <c r="D2049" s="65"/>
      <c r="E2049" s="65"/>
      <c r="F2049" s="65"/>
      <c r="G2049" s="65"/>
      <c r="H2049" s="52"/>
      <c r="I2049" s="52"/>
      <c r="J2049" s="52"/>
      <c r="K2049" s="52"/>
      <c r="L2049" s="52"/>
      <c r="M2049" s="52"/>
      <c r="N2049" s="52" t="s">
        <v>70</v>
      </c>
      <c r="O2049" s="52"/>
      <c r="P2049" s="52"/>
      <c r="Q2049" s="52"/>
      <c r="R2049" s="51" t="b">
        <v>0</v>
      </c>
      <c r="S2049" s="51"/>
      <c r="T2049" s="52"/>
      <c r="U2049" s="51" t="b">
        <v>0</v>
      </c>
      <c r="V2049" s="51" t="b">
        <v>0</v>
      </c>
      <c r="W2049" s="51" t="b">
        <v>0</v>
      </c>
      <c r="X2049" s="51" t="b">
        <v>0</v>
      </c>
      <c r="Y2049" s="51" t="b">
        <v>0</v>
      </c>
      <c r="Z2049" s="51" t="b">
        <v>0</v>
      </c>
      <c r="AA2049" s="68"/>
      <c r="AB2049" s="52"/>
      <c r="AC2049" s="52"/>
      <c r="AD2049" s="52"/>
      <c r="AE2049" s="56"/>
      <c r="AF2049" s="56"/>
    </row>
    <row r="2050">
      <c r="A2050" s="52" t="s">
        <v>5344</v>
      </c>
      <c r="B2050" s="52"/>
      <c r="C2050" s="52"/>
      <c r="D2050" s="65"/>
      <c r="E2050" s="65"/>
      <c r="F2050" s="65"/>
      <c r="G2050" s="65"/>
      <c r="H2050" s="52"/>
      <c r="I2050" s="52"/>
      <c r="J2050" s="52"/>
      <c r="K2050" s="52"/>
      <c r="L2050" s="52"/>
      <c r="M2050" s="52"/>
      <c r="N2050" s="52" t="s">
        <v>70</v>
      </c>
      <c r="O2050" s="52"/>
      <c r="P2050" s="52"/>
      <c r="Q2050" s="52"/>
      <c r="R2050" s="51" t="b">
        <v>0</v>
      </c>
      <c r="S2050" s="51"/>
      <c r="T2050" s="52"/>
      <c r="U2050" s="51" t="b">
        <v>0</v>
      </c>
      <c r="V2050" s="51" t="b">
        <v>0</v>
      </c>
      <c r="W2050" s="51" t="b">
        <v>0</v>
      </c>
      <c r="X2050" s="51" t="b">
        <v>0</v>
      </c>
      <c r="Y2050" s="51" t="b">
        <v>0</v>
      </c>
      <c r="Z2050" s="51" t="b">
        <v>0</v>
      </c>
      <c r="AA2050" s="68"/>
      <c r="AB2050" s="52"/>
      <c r="AC2050" s="52"/>
      <c r="AD2050" s="52"/>
      <c r="AE2050" s="56"/>
      <c r="AF2050" s="56"/>
    </row>
    <row r="2051">
      <c r="A2051" s="52" t="s">
        <v>5345</v>
      </c>
      <c r="B2051" s="52"/>
      <c r="C2051" s="52"/>
      <c r="D2051" s="65"/>
      <c r="E2051" s="65"/>
      <c r="F2051" s="65"/>
      <c r="G2051" s="65"/>
      <c r="H2051" s="52"/>
      <c r="I2051" s="52"/>
      <c r="J2051" s="52"/>
      <c r="K2051" s="52"/>
      <c r="L2051" s="52"/>
      <c r="M2051" s="52"/>
      <c r="N2051" s="52" t="s">
        <v>70</v>
      </c>
      <c r="O2051" s="52"/>
      <c r="P2051" s="52"/>
      <c r="Q2051" s="52"/>
      <c r="R2051" s="51" t="b">
        <v>0</v>
      </c>
      <c r="S2051" s="51"/>
      <c r="T2051" s="52"/>
      <c r="U2051" s="51" t="b">
        <v>0</v>
      </c>
      <c r="V2051" s="51" t="b">
        <v>0</v>
      </c>
      <c r="W2051" s="51" t="b">
        <v>0</v>
      </c>
      <c r="X2051" s="51" t="b">
        <v>0</v>
      </c>
      <c r="Y2051" s="51" t="b">
        <v>0</v>
      </c>
      <c r="Z2051" s="51" t="b">
        <v>0</v>
      </c>
      <c r="AA2051" s="68"/>
      <c r="AB2051" s="52"/>
      <c r="AC2051" s="52"/>
      <c r="AD2051" s="52"/>
      <c r="AE2051" s="56"/>
      <c r="AF2051" s="56"/>
    </row>
    <row r="2052">
      <c r="A2052" s="52" t="s">
        <v>5346</v>
      </c>
      <c r="B2052" s="52"/>
      <c r="C2052" s="52"/>
      <c r="D2052" s="65"/>
      <c r="E2052" s="65"/>
      <c r="F2052" s="65"/>
      <c r="G2052" s="65"/>
      <c r="H2052" s="52"/>
      <c r="I2052" s="52"/>
      <c r="J2052" s="52"/>
      <c r="K2052" s="52"/>
      <c r="L2052" s="52"/>
      <c r="M2052" s="52"/>
      <c r="N2052" s="52" t="s">
        <v>70</v>
      </c>
      <c r="O2052" s="52"/>
      <c r="P2052" s="52"/>
      <c r="Q2052" s="52"/>
      <c r="R2052" s="51" t="b">
        <v>0</v>
      </c>
      <c r="S2052" s="51"/>
      <c r="T2052" s="52"/>
      <c r="U2052" s="51" t="b">
        <v>0</v>
      </c>
      <c r="V2052" s="51" t="b">
        <v>0</v>
      </c>
      <c r="W2052" s="51" t="b">
        <v>0</v>
      </c>
      <c r="X2052" s="51" t="b">
        <v>0</v>
      </c>
      <c r="Y2052" s="51" t="b">
        <v>0</v>
      </c>
      <c r="Z2052" s="51" t="b">
        <v>0</v>
      </c>
      <c r="AA2052" s="68"/>
      <c r="AB2052" s="52"/>
      <c r="AC2052" s="52"/>
      <c r="AD2052" s="52"/>
      <c r="AE2052" s="56"/>
      <c r="AF2052" s="56"/>
    </row>
    <row r="2053">
      <c r="A2053" s="52" t="s">
        <v>5347</v>
      </c>
      <c r="B2053" s="52"/>
      <c r="C2053" s="52"/>
      <c r="D2053" s="65"/>
      <c r="E2053" s="65"/>
      <c r="F2053" s="65"/>
      <c r="G2053" s="65"/>
      <c r="H2053" s="52"/>
      <c r="I2053" s="52"/>
      <c r="J2053" s="52"/>
      <c r="K2053" s="52"/>
      <c r="L2053" s="52"/>
      <c r="M2053" s="52"/>
      <c r="N2053" s="52" t="s">
        <v>70</v>
      </c>
      <c r="O2053" s="52"/>
      <c r="P2053" s="52"/>
      <c r="Q2053" s="52"/>
      <c r="R2053" s="51" t="b">
        <v>0</v>
      </c>
      <c r="S2053" s="51"/>
      <c r="T2053" s="52"/>
      <c r="U2053" s="51" t="b">
        <v>0</v>
      </c>
      <c r="V2053" s="51" t="b">
        <v>0</v>
      </c>
      <c r="W2053" s="51" t="b">
        <v>0</v>
      </c>
      <c r="X2053" s="51" t="b">
        <v>0</v>
      </c>
      <c r="Y2053" s="51" t="b">
        <v>0</v>
      </c>
      <c r="Z2053" s="51" t="b">
        <v>0</v>
      </c>
      <c r="AA2053" s="68"/>
      <c r="AB2053" s="52"/>
      <c r="AC2053" s="52"/>
      <c r="AD2053" s="52"/>
      <c r="AE2053" s="56"/>
      <c r="AF2053" s="56"/>
    </row>
    <row r="2054">
      <c r="A2054" s="52" t="s">
        <v>5348</v>
      </c>
      <c r="B2054" s="52"/>
      <c r="C2054" s="52"/>
      <c r="D2054" s="65"/>
      <c r="E2054" s="65"/>
      <c r="F2054" s="65"/>
      <c r="G2054" s="65"/>
      <c r="H2054" s="52"/>
      <c r="I2054" s="52"/>
      <c r="J2054" s="52"/>
      <c r="K2054" s="52"/>
      <c r="L2054" s="52"/>
      <c r="M2054" s="52"/>
      <c r="N2054" s="52" t="s">
        <v>70</v>
      </c>
      <c r="O2054" s="52"/>
      <c r="P2054" s="52"/>
      <c r="Q2054" s="52"/>
      <c r="R2054" s="51" t="b">
        <v>0</v>
      </c>
      <c r="S2054" s="51"/>
      <c r="T2054" s="52"/>
      <c r="U2054" s="51" t="b">
        <v>0</v>
      </c>
      <c r="V2054" s="51" t="b">
        <v>0</v>
      </c>
      <c r="W2054" s="51" t="b">
        <v>0</v>
      </c>
      <c r="X2054" s="51" t="b">
        <v>0</v>
      </c>
      <c r="Y2054" s="51" t="b">
        <v>0</v>
      </c>
      <c r="Z2054" s="51" t="b">
        <v>0</v>
      </c>
      <c r="AA2054" s="68"/>
      <c r="AB2054" s="52"/>
      <c r="AC2054" s="52"/>
      <c r="AD2054" s="52"/>
      <c r="AE2054" s="56"/>
      <c r="AF2054" s="56"/>
    </row>
    <row r="2055">
      <c r="A2055" s="52" t="s">
        <v>5349</v>
      </c>
      <c r="B2055" s="52"/>
      <c r="C2055" s="52"/>
      <c r="D2055" s="65"/>
      <c r="E2055" s="65"/>
      <c r="F2055" s="65"/>
      <c r="G2055" s="65"/>
      <c r="H2055" s="52"/>
      <c r="I2055" s="52"/>
      <c r="J2055" s="52"/>
      <c r="K2055" s="52"/>
      <c r="L2055" s="52"/>
      <c r="M2055" s="52"/>
      <c r="N2055" s="52" t="s">
        <v>70</v>
      </c>
      <c r="O2055" s="52"/>
      <c r="P2055" s="52"/>
      <c r="Q2055" s="52"/>
      <c r="R2055" s="51" t="b">
        <v>0</v>
      </c>
      <c r="S2055" s="51"/>
      <c r="T2055" s="52"/>
      <c r="U2055" s="51" t="b">
        <v>0</v>
      </c>
      <c r="V2055" s="51" t="b">
        <v>0</v>
      </c>
      <c r="W2055" s="51" t="b">
        <v>0</v>
      </c>
      <c r="X2055" s="51" t="b">
        <v>0</v>
      </c>
      <c r="Y2055" s="51" t="b">
        <v>0</v>
      </c>
      <c r="Z2055" s="51" t="b">
        <v>0</v>
      </c>
      <c r="AA2055" s="68"/>
      <c r="AB2055" s="52"/>
      <c r="AC2055" s="52"/>
      <c r="AD2055" s="52"/>
      <c r="AE2055" s="56"/>
      <c r="AF2055" s="56"/>
    </row>
    <row r="2056">
      <c r="A2056" s="52" t="s">
        <v>5350</v>
      </c>
      <c r="B2056" s="52"/>
      <c r="C2056" s="52"/>
      <c r="D2056" s="65"/>
      <c r="E2056" s="65"/>
      <c r="F2056" s="65"/>
      <c r="G2056" s="65"/>
      <c r="H2056" s="52"/>
      <c r="I2056" s="52"/>
      <c r="J2056" s="52"/>
      <c r="K2056" s="52"/>
      <c r="L2056" s="52"/>
      <c r="M2056" s="52"/>
      <c r="N2056" s="52" t="s">
        <v>70</v>
      </c>
      <c r="O2056" s="52"/>
      <c r="P2056" s="52"/>
      <c r="Q2056" s="52"/>
      <c r="R2056" s="51" t="b">
        <v>0</v>
      </c>
      <c r="S2056" s="51"/>
      <c r="T2056" s="52"/>
      <c r="U2056" s="51" t="b">
        <v>0</v>
      </c>
      <c r="V2056" s="51" t="b">
        <v>0</v>
      </c>
      <c r="W2056" s="51" t="b">
        <v>0</v>
      </c>
      <c r="X2056" s="51" t="b">
        <v>0</v>
      </c>
      <c r="Y2056" s="51" t="b">
        <v>0</v>
      </c>
      <c r="Z2056" s="51" t="b">
        <v>0</v>
      </c>
      <c r="AA2056" s="68"/>
      <c r="AB2056" s="52"/>
      <c r="AC2056" s="52"/>
      <c r="AD2056" s="52"/>
      <c r="AE2056" s="56"/>
      <c r="AF2056" s="56"/>
    </row>
    <row r="2057">
      <c r="A2057" s="52" t="s">
        <v>5351</v>
      </c>
      <c r="B2057" s="52"/>
      <c r="C2057" s="52"/>
      <c r="D2057" s="65"/>
      <c r="E2057" s="65"/>
      <c r="F2057" s="65"/>
      <c r="G2057" s="65"/>
      <c r="H2057" s="52"/>
      <c r="I2057" s="52"/>
      <c r="J2057" s="52"/>
      <c r="K2057" s="52"/>
      <c r="L2057" s="52"/>
      <c r="M2057" s="52"/>
      <c r="N2057" s="52" t="s">
        <v>70</v>
      </c>
      <c r="O2057" s="52"/>
      <c r="P2057" s="52"/>
      <c r="Q2057" s="52"/>
      <c r="R2057" s="51" t="b">
        <v>0</v>
      </c>
      <c r="S2057" s="51"/>
      <c r="T2057" s="52"/>
      <c r="U2057" s="51" t="b">
        <v>0</v>
      </c>
      <c r="V2057" s="51" t="b">
        <v>0</v>
      </c>
      <c r="W2057" s="51" t="b">
        <v>0</v>
      </c>
      <c r="X2057" s="51" t="b">
        <v>0</v>
      </c>
      <c r="Y2057" s="51" t="b">
        <v>0</v>
      </c>
      <c r="Z2057" s="51" t="b">
        <v>0</v>
      </c>
      <c r="AA2057" s="68"/>
      <c r="AB2057" s="52"/>
      <c r="AC2057" s="52"/>
      <c r="AD2057" s="52"/>
      <c r="AE2057" s="56"/>
      <c r="AF2057" s="56"/>
    </row>
    <row r="2058">
      <c r="A2058" s="52" t="s">
        <v>5352</v>
      </c>
      <c r="B2058" s="52"/>
      <c r="C2058" s="52"/>
      <c r="D2058" s="65"/>
      <c r="E2058" s="65"/>
      <c r="F2058" s="65"/>
      <c r="G2058" s="65"/>
      <c r="H2058" s="52"/>
      <c r="I2058" s="52"/>
      <c r="J2058" s="52"/>
      <c r="K2058" s="52"/>
      <c r="L2058" s="52"/>
      <c r="M2058" s="52"/>
      <c r="N2058" s="52" t="s">
        <v>70</v>
      </c>
      <c r="O2058" s="52"/>
      <c r="P2058" s="52"/>
      <c r="Q2058" s="52"/>
      <c r="R2058" s="51" t="b">
        <v>0</v>
      </c>
      <c r="S2058" s="51"/>
      <c r="T2058" s="52"/>
      <c r="U2058" s="51" t="b">
        <v>0</v>
      </c>
      <c r="V2058" s="51" t="b">
        <v>0</v>
      </c>
      <c r="W2058" s="51" t="b">
        <v>0</v>
      </c>
      <c r="X2058" s="51" t="b">
        <v>0</v>
      </c>
      <c r="Y2058" s="51" t="b">
        <v>0</v>
      </c>
      <c r="Z2058" s="51" t="b">
        <v>0</v>
      </c>
      <c r="AA2058" s="68"/>
      <c r="AB2058" s="52"/>
      <c r="AC2058" s="52"/>
      <c r="AD2058" s="52"/>
      <c r="AE2058" s="56"/>
      <c r="AF2058" s="56"/>
    </row>
    <row r="2059">
      <c r="A2059" s="52" t="s">
        <v>5353</v>
      </c>
      <c r="B2059" s="52"/>
      <c r="C2059" s="52"/>
      <c r="D2059" s="65"/>
      <c r="E2059" s="65"/>
      <c r="F2059" s="65"/>
      <c r="G2059" s="65"/>
      <c r="H2059" s="52"/>
      <c r="I2059" s="52"/>
      <c r="J2059" s="52"/>
      <c r="K2059" s="52"/>
      <c r="L2059" s="52"/>
      <c r="M2059" s="52"/>
      <c r="N2059" s="52" t="s">
        <v>70</v>
      </c>
      <c r="O2059" s="52"/>
      <c r="P2059" s="52"/>
      <c r="Q2059" s="52"/>
      <c r="R2059" s="51" t="b">
        <v>0</v>
      </c>
      <c r="S2059" s="51"/>
      <c r="T2059" s="52"/>
      <c r="U2059" s="51" t="b">
        <v>0</v>
      </c>
      <c r="V2059" s="51" t="b">
        <v>0</v>
      </c>
      <c r="W2059" s="51" t="b">
        <v>0</v>
      </c>
      <c r="X2059" s="51" t="b">
        <v>0</v>
      </c>
      <c r="Y2059" s="51" t="b">
        <v>0</v>
      </c>
      <c r="Z2059" s="51" t="b">
        <v>0</v>
      </c>
      <c r="AA2059" s="68"/>
      <c r="AB2059" s="52"/>
      <c r="AC2059" s="52"/>
      <c r="AD2059" s="52"/>
      <c r="AE2059" s="56"/>
      <c r="AF2059" s="56"/>
    </row>
    <row r="2060">
      <c r="A2060" s="52" t="s">
        <v>5354</v>
      </c>
      <c r="B2060" s="52"/>
      <c r="C2060" s="52"/>
      <c r="D2060" s="65"/>
      <c r="E2060" s="65"/>
      <c r="F2060" s="65"/>
      <c r="G2060" s="65"/>
      <c r="H2060" s="52"/>
      <c r="I2060" s="52"/>
      <c r="J2060" s="52"/>
      <c r="K2060" s="52"/>
      <c r="L2060" s="52"/>
      <c r="M2060" s="52"/>
      <c r="N2060" s="52" t="s">
        <v>70</v>
      </c>
      <c r="O2060" s="52"/>
      <c r="P2060" s="52"/>
      <c r="Q2060" s="52"/>
      <c r="R2060" s="51" t="b">
        <v>0</v>
      </c>
      <c r="S2060" s="51"/>
      <c r="T2060" s="52"/>
      <c r="U2060" s="51" t="b">
        <v>0</v>
      </c>
      <c r="V2060" s="51" t="b">
        <v>0</v>
      </c>
      <c r="W2060" s="51" t="b">
        <v>0</v>
      </c>
      <c r="X2060" s="51" t="b">
        <v>0</v>
      </c>
      <c r="Y2060" s="51" t="b">
        <v>0</v>
      </c>
      <c r="Z2060" s="51" t="b">
        <v>0</v>
      </c>
      <c r="AA2060" s="68"/>
      <c r="AB2060" s="52"/>
      <c r="AC2060" s="52"/>
      <c r="AD2060" s="52"/>
      <c r="AE2060" s="56"/>
      <c r="AF2060" s="56"/>
    </row>
    <row r="2061">
      <c r="A2061" s="52" t="s">
        <v>5355</v>
      </c>
      <c r="B2061" s="52"/>
      <c r="C2061" s="52"/>
      <c r="D2061" s="65"/>
      <c r="E2061" s="65"/>
      <c r="F2061" s="65"/>
      <c r="G2061" s="65"/>
      <c r="H2061" s="52"/>
      <c r="I2061" s="52"/>
      <c r="J2061" s="52"/>
      <c r="K2061" s="52"/>
      <c r="L2061" s="52"/>
      <c r="M2061" s="52"/>
      <c r="N2061" s="52" t="s">
        <v>70</v>
      </c>
      <c r="O2061" s="52"/>
      <c r="P2061" s="52"/>
      <c r="Q2061" s="52"/>
      <c r="R2061" s="51" t="b">
        <v>0</v>
      </c>
      <c r="S2061" s="51"/>
      <c r="T2061" s="52"/>
      <c r="U2061" s="51" t="b">
        <v>0</v>
      </c>
      <c r="V2061" s="51" t="b">
        <v>0</v>
      </c>
      <c r="W2061" s="51" t="b">
        <v>0</v>
      </c>
      <c r="X2061" s="51" t="b">
        <v>0</v>
      </c>
      <c r="Y2061" s="51" t="b">
        <v>0</v>
      </c>
      <c r="Z2061" s="51" t="b">
        <v>0</v>
      </c>
      <c r="AA2061" s="68"/>
      <c r="AB2061" s="52"/>
      <c r="AC2061" s="52"/>
      <c r="AD2061" s="52"/>
      <c r="AE2061" s="56"/>
      <c r="AF2061" s="56"/>
    </row>
    <row r="2062">
      <c r="A2062" s="52" t="s">
        <v>5356</v>
      </c>
      <c r="B2062" s="52"/>
      <c r="C2062" s="52"/>
      <c r="D2062" s="65"/>
      <c r="E2062" s="65"/>
      <c r="F2062" s="65"/>
      <c r="G2062" s="65"/>
      <c r="H2062" s="52"/>
      <c r="I2062" s="52"/>
      <c r="J2062" s="52"/>
      <c r="K2062" s="52"/>
      <c r="L2062" s="52"/>
      <c r="M2062" s="52"/>
      <c r="N2062" s="52" t="s">
        <v>70</v>
      </c>
      <c r="O2062" s="52"/>
      <c r="P2062" s="52"/>
      <c r="Q2062" s="52"/>
      <c r="R2062" s="51" t="b">
        <v>0</v>
      </c>
      <c r="S2062" s="51"/>
      <c r="T2062" s="52"/>
      <c r="U2062" s="51" t="b">
        <v>0</v>
      </c>
      <c r="V2062" s="51" t="b">
        <v>0</v>
      </c>
      <c r="W2062" s="51" t="b">
        <v>0</v>
      </c>
      <c r="X2062" s="51" t="b">
        <v>0</v>
      </c>
      <c r="Y2062" s="51" t="b">
        <v>0</v>
      </c>
      <c r="Z2062" s="51" t="b">
        <v>0</v>
      </c>
      <c r="AA2062" s="68"/>
      <c r="AB2062" s="52"/>
      <c r="AC2062" s="52"/>
      <c r="AD2062" s="52"/>
      <c r="AE2062" s="56"/>
      <c r="AF2062" s="56"/>
    </row>
    <row r="2063">
      <c r="A2063" s="52" t="s">
        <v>5357</v>
      </c>
      <c r="B2063" s="52"/>
      <c r="C2063" s="52"/>
      <c r="D2063" s="65"/>
      <c r="E2063" s="65"/>
      <c r="F2063" s="65"/>
      <c r="G2063" s="65"/>
      <c r="H2063" s="52"/>
      <c r="I2063" s="52"/>
      <c r="J2063" s="52"/>
      <c r="K2063" s="52"/>
      <c r="L2063" s="52"/>
      <c r="M2063" s="52"/>
      <c r="N2063" s="52" t="s">
        <v>70</v>
      </c>
      <c r="O2063" s="52"/>
      <c r="P2063" s="52"/>
      <c r="Q2063" s="52"/>
      <c r="R2063" s="51" t="b">
        <v>0</v>
      </c>
      <c r="S2063" s="51"/>
      <c r="T2063" s="52"/>
      <c r="U2063" s="51" t="b">
        <v>0</v>
      </c>
      <c r="V2063" s="51" t="b">
        <v>0</v>
      </c>
      <c r="W2063" s="51" t="b">
        <v>0</v>
      </c>
      <c r="X2063" s="51" t="b">
        <v>0</v>
      </c>
      <c r="Y2063" s="51" t="b">
        <v>0</v>
      </c>
      <c r="Z2063" s="51" t="b">
        <v>0</v>
      </c>
      <c r="AA2063" s="68"/>
      <c r="AB2063" s="52"/>
      <c r="AC2063" s="52"/>
      <c r="AD2063" s="52"/>
      <c r="AE2063" s="56"/>
      <c r="AF2063" s="56"/>
    </row>
    <row r="2064">
      <c r="A2064" s="52" t="s">
        <v>5358</v>
      </c>
      <c r="B2064" s="52"/>
      <c r="C2064" s="52"/>
      <c r="D2064" s="65"/>
      <c r="E2064" s="65"/>
      <c r="F2064" s="65"/>
      <c r="G2064" s="65"/>
      <c r="H2064" s="52"/>
      <c r="I2064" s="52"/>
      <c r="J2064" s="52"/>
      <c r="K2064" s="52"/>
      <c r="L2064" s="52"/>
      <c r="M2064" s="52"/>
      <c r="N2064" s="52" t="s">
        <v>70</v>
      </c>
      <c r="O2064" s="52"/>
      <c r="P2064" s="52"/>
      <c r="Q2064" s="52"/>
      <c r="R2064" s="51" t="b">
        <v>0</v>
      </c>
      <c r="S2064" s="51"/>
      <c r="T2064" s="52"/>
      <c r="U2064" s="51" t="b">
        <v>0</v>
      </c>
      <c r="V2064" s="51" t="b">
        <v>0</v>
      </c>
      <c r="W2064" s="51" t="b">
        <v>0</v>
      </c>
      <c r="X2064" s="51" t="b">
        <v>0</v>
      </c>
      <c r="Y2064" s="51" t="b">
        <v>0</v>
      </c>
      <c r="Z2064" s="51" t="b">
        <v>0</v>
      </c>
      <c r="AA2064" s="68"/>
      <c r="AB2064" s="52"/>
      <c r="AC2064" s="52"/>
      <c r="AD2064" s="52"/>
      <c r="AE2064" s="56"/>
      <c r="AF2064" s="56"/>
    </row>
    <row r="2065">
      <c r="A2065" s="52" t="s">
        <v>5359</v>
      </c>
      <c r="B2065" s="52"/>
      <c r="C2065" s="52"/>
      <c r="D2065" s="65"/>
      <c r="E2065" s="65"/>
      <c r="F2065" s="65"/>
      <c r="G2065" s="65"/>
      <c r="H2065" s="52"/>
      <c r="I2065" s="52"/>
      <c r="J2065" s="52"/>
      <c r="K2065" s="52"/>
      <c r="L2065" s="52"/>
      <c r="M2065" s="52"/>
      <c r="N2065" s="52" t="s">
        <v>70</v>
      </c>
      <c r="O2065" s="52"/>
      <c r="P2065" s="52"/>
      <c r="Q2065" s="52"/>
      <c r="R2065" s="51" t="b">
        <v>0</v>
      </c>
      <c r="S2065" s="51"/>
      <c r="T2065" s="52"/>
      <c r="U2065" s="51" t="b">
        <v>0</v>
      </c>
      <c r="V2065" s="51" t="b">
        <v>0</v>
      </c>
      <c r="W2065" s="51" t="b">
        <v>0</v>
      </c>
      <c r="X2065" s="51" t="b">
        <v>0</v>
      </c>
      <c r="Y2065" s="51" t="b">
        <v>0</v>
      </c>
      <c r="Z2065" s="51" t="b">
        <v>0</v>
      </c>
      <c r="AA2065" s="68"/>
      <c r="AB2065" s="52"/>
      <c r="AC2065" s="52"/>
      <c r="AD2065" s="52"/>
      <c r="AE2065" s="56"/>
      <c r="AF2065" s="56"/>
    </row>
    <row r="2066">
      <c r="A2066" s="52" t="s">
        <v>5360</v>
      </c>
      <c r="B2066" s="52"/>
      <c r="C2066" s="52"/>
      <c r="D2066" s="65"/>
      <c r="E2066" s="65"/>
      <c r="F2066" s="65"/>
      <c r="G2066" s="65"/>
      <c r="H2066" s="52"/>
      <c r="I2066" s="52"/>
      <c r="J2066" s="52"/>
      <c r="K2066" s="52"/>
      <c r="L2066" s="52"/>
      <c r="M2066" s="52"/>
      <c r="N2066" s="52" t="s">
        <v>70</v>
      </c>
      <c r="O2066" s="52"/>
      <c r="P2066" s="52"/>
      <c r="Q2066" s="52"/>
      <c r="R2066" s="51" t="b">
        <v>0</v>
      </c>
      <c r="S2066" s="51"/>
      <c r="T2066" s="52"/>
      <c r="U2066" s="51" t="b">
        <v>0</v>
      </c>
      <c r="V2066" s="51" t="b">
        <v>0</v>
      </c>
      <c r="W2066" s="51" t="b">
        <v>0</v>
      </c>
      <c r="X2066" s="51" t="b">
        <v>0</v>
      </c>
      <c r="Y2066" s="51" t="b">
        <v>0</v>
      </c>
      <c r="Z2066" s="51" t="b">
        <v>0</v>
      </c>
      <c r="AA2066" s="68"/>
      <c r="AB2066" s="52"/>
      <c r="AC2066" s="52"/>
      <c r="AD2066" s="52"/>
      <c r="AE2066" s="56"/>
      <c r="AF2066" s="56"/>
    </row>
    <row r="2067">
      <c r="A2067" s="52" t="s">
        <v>5361</v>
      </c>
      <c r="B2067" s="52"/>
      <c r="C2067" s="52"/>
      <c r="D2067" s="65"/>
      <c r="E2067" s="65"/>
      <c r="F2067" s="65"/>
      <c r="G2067" s="65"/>
      <c r="H2067" s="52"/>
      <c r="I2067" s="52"/>
      <c r="J2067" s="52"/>
      <c r="K2067" s="52"/>
      <c r="L2067" s="52"/>
      <c r="M2067" s="52"/>
      <c r="N2067" s="52" t="s">
        <v>70</v>
      </c>
      <c r="O2067" s="52"/>
      <c r="P2067" s="52"/>
      <c r="Q2067" s="52"/>
      <c r="R2067" s="51" t="b">
        <v>0</v>
      </c>
      <c r="S2067" s="51"/>
      <c r="T2067" s="52"/>
      <c r="U2067" s="51" t="b">
        <v>0</v>
      </c>
      <c r="V2067" s="51" t="b">
        <v>0</v>
      </c>
      <c r="W2067" s="51" t="b">
        <v>0</v>
      </c>
      <c r="X2067" s="51" t="b">
        <v>0</v>
      </c>
      <c r="Y2067" s="51" t="b">
        <v>0</v>
      </c>
      <c r="Z2067" s="51" t="b">
        <v>0</v>
      </c>
      <c r="AA2067" s="68"/>
      <c r="AB2067" s="52"/>
      <c r="AC2067" s="52"/>
      <c r="AD2067" s="52"/>
      <c r="AE2067" s="56"/>
      <c r="AF2067" s="56"/>
    </row>
    <row r="2068">
      <c r="A2068" s="52" t="s">
        <v>5362</v>
      </c>
      <c r="B2068" s="52"/>
      <c r="C2068" s="52"/>
      <c r="D2068" s="65"/>
      <c r="E2068" s="65"/>
      <c r="F2068" s="65"/>
      <c r="G2068" s="65"/>
      <c r="H2068" s="52"/>
      <c r="I2068" s="52"/>
      <c r="J2068" s="52"/>
      <c r="K2068" s="52"/>
      <c r="L2068" s="52"/>
      <c r="M2068" s="52"/>
      <c r="N2068" s="52" t="s">
        <v>70</v>
      </c>
      <c r="O2068" s="52"/>
      <c r="P2068" s="52"/>
      <c r="Q2068" s="52"/>
      <c r="R2068" s="51" t="b">
        <v>0</v>
      </c>
      <c r="S2068" s="51"/>
      <c r="T2068" s="52"/>
      <c r="U2068" s="51" t="b">
        <v>0</v>
      </c>
      <c r="V2068" s="51" t="b">
        <v>0</v>
      </c>
      <c r="W2068" s="51" t="b">
        <v>0</v>
      </c>
      <c r="X2068" s="51" t="b">
        <v>0</v>
      </c>
      <c r="Y2068" s="51" t="b">
        <v>0</v>
      </c>
      <c r="Z2068" s="51" t="b">
        <v>0</v>
      </c>
      <c r="AA2068" s="68"/>
      <c r="AB2068" s="52"/>
      <c r="AC2068" s="52"/>
      <c r="AD2068" s="52"/>
      <c r="AE2068" s="56"/>
      <c r="AF2068" s="56"/>
    </row>
    <row r="2069">
      <c r="A2069" s="52" t="s">
        <v>5363</v>
      </c>
      <c r="B2069" s="52"/>
      <c r="C2069" s="52"/>
      <c r="D2069" s="65"/>
      <c r="E2069" s="65"/>
      <c r="F2069" s="65"/>
      <c r="G2069" s="65"/>
      <c r="H2069" s="52"/>
      <c r="I2069" s="52"/>
      <c r="J2069" s="52"/>
      <c r="K2069" s="52"/>
      <c r="L2069" s="52"/>
      <c r="M2069" s="52"/>
      <c r="N2069" s="52" t="s">
        <v>70</v>
      </c>
      <c r="O2069" s="52"/>
      <c r="P2069" s="52"/>
      <c r="Q2069" s="52"/>
      <c r="R2069" s="51" t="b">
        <v>0</v>
      </c>
      <c r="S2069" s="51"/>
      <c r="T2069" s="52"/>
      <c r="U2069" s="51" t="b">
        <v>0</v>
      </c>
      <c r="V2069" s="51" t="b">
        <v>0</v>
      </c>
      <c r="W2069" s="51" t="b">
        <v>0</v>
      </c>
      <c r="X2069" s="51" t="b">
        <v>0</v>
      </c>
      <c r="Y2069" s="51" t="b">
        <v>0</v>
      </c>
      <c r="Z2069" s="51" t="b">
        <v>0</v>
      </c>
      <c r="AA2069" s="68"/>
      <c r="AB2069" s="52"/>
      <c r="AC2069" s="52"/>
      <c r="AD2069" s="52"/>
      <c r="AE2069" s="56"/>
      <c r="AF2069" s="56"/>
    </row>
    <row r="2070">
      <c r="A2070" s="52" t="s">
        <v>5364</v>
      </c>
      <c r="B2070" s="52"/>
      <c r="C2070" s="52"/>
      <c r="D2070" s="65"/>
      <c r="E2070" s="65"/>
      <c r="F2070" s="65"/>
      <c r="G2070" s="65"/>
      <c r="H2070" s="52"/>
      <c r="I2070" s="52"/>
      <c r="J2070" s="52"/>
      <c r="K2070" s="52"/>
      <c r="L2070" s="52"/>
      <c r="M2070" s="52"/>
      <c r="N2070" s="52" t="s">
        <v>70</v>
      </c>
      <c r="O2070" s="52"/>
      <c r="P2070" s="52"/>
      <c r="Q2070" s="52"/>
      <c r="R2070" s="51" t="b">
        <v>0</v>
      </c>
      <c r="S2070" s="51"/>
      <c r="T2070" s="52"/>
      <c r="U2070" s="51" t="b">
        <v>0</v>
      </c>
      <c r="V2070" s="51" t="b">
        <v>0</v>
      </c>
      <c r="W2070" s="51" t="b">
        <v>0</v>
      </c>
      <c r="X2070" s="51" t="b">
        <v>0</v>
      </c>
      <c r="Y2070" s="51" t="b">
        <v>0</v>
      </c>
      <c r="Z2070" s="51" t="b">
        <v>0</v>
      </c>
      <c r="AA2070" s="68"/>
      <c r="AB2070" s="52"/>
      <c r="AC2070" s="52"/>
      <c r="AD2070" s="52"/>
      <c r="AE2070" s="56"/>
      <c r="AF2070" s="56"/>
    </row>
    <row r="2071">
      <c r="A2071" s="52" t="s">
        <v>5365</v>
      </c>
      <c r="B2071" s="52"/>
      <c r="C2071" s="52"/>
      <c r="D2071" s="65"/>
      <c r="E2071" s="65"/>
      <c r="F2071" s="65"/>
      <c r="G2071" s="65"/>
      <c r="H2071" s="52"/>
      <c r="I2071" s="52"/>
      <c r="J2071" s="52"/>
      <c r="K2071" s="52"/>
      <c r="L2071" s="52"/>
      <c r="M2071" s="52"/>
      <c r="N2071" s="52" t="s">
        <v>70</v>
      </c>
      <c r="O2071" s="52"/>
      <c r="P2071" s="52"/>
      <c r="Q2071" s="52"/>
      <c r="R2071" s="51" t="b">
        <v>0</v>
      </c>
      <c r="S2071" s="51"/>
      <c r="T2071" s="52"/>
      <c r="U2071" s="51" t="b">
        <v>0</v>
      </c>
      <c r="V2071" s="51" t="b">
        <v>0</v>
      </c>
      <c r="W2071" s="51" t="b">
        <v>0</v>
      </c>
      <c r="X2071" s="51" t="b">
        <v>0</v>
      </c>
      <c r="Y2071" s="51" t="b">
        <v>0</v>
      </c>
      <c r="Z2071" s="51" t="b">
        <v>0</v>
      </c>
      <c r="AA2071" s="68"/>
      <c r="AB2071" s="52"/>
      <c r="AC2071" s="52"/>
      <c r="AD2071" s="52"/>
      <c r="AE2071" s="56"/>
      <c r="AF2071" s="56"/>
    </row>
    <row r="2072">
      <c r="A2072" s="52" t="s">
        <v>5366</v>
      </c>
      <c r="B2072" s="52"/>
      <c r="C2072" s="52"/>
      <c r="D2072" s="65"/>
      <c r="E2072" s="65"/>
      <c r="F2072" s="65"/>
      <c r="G2072" s="65"/>
      <c r="H2072" s="52"/>
      <c r="I2072" s="52"/>
      <c r="J2072" s="52"/>
      <c r="K2072" s="52"/>
      <c r="L2072" s="52"/>
      <c r="M2072" s="52"/>
      <c r="N2072" s="52" t="s">
        <v>70</v>
      </c>
      <c r="O2072" s="52"/>
      <c r="P2072" s="52"/>
      <c r="Q2072" s="52"/>
      <c r="R2072" s="51" t="b">
        <v>0</v>
      </c>
      <c r="S2072" s="51"/>
      <c r="T2072" s="52"/>
      <c r="U2072" s="51" t="b">
        <v>0</v>
      </c>
      <c r="V2072" s="51" t="b">
        <v>0</v>
      </c>
      <c r="W2072" s="51" t="b">
        <v>0</v>
      </c>
      <c r="X2072" s="51" t="b">
        <v>0</v>
      </c>
      <c r="Y2072" s="51" t="b">
        <v>0</v>
      </c>
      <c r="Z2072" s="51" t="b">
        <v>0</v>
      </c>
      <c r="AA2072" s="68"/>
      <c r="AB2072" s="52"/>
      <c r="AC2072" s="52"/>
      <c r="AD2072" s="52"/>
      <c r="AE2072" s="56"/>
      <c r="AF2072" s="56"/>
    </row>
    <row r="2073">
      <c r="A2073" s="52" t="s">
        <v>5367</v>
      </c>
      <c r="B2073" s="52"/>
      <c r="C2073" s="52"/>
      <c r="D2073" s="65"/>
      <c r="E2073" s="65"/>
      <c r="F2073" s="65"/>
      <c r="G2073" s="65"/>
      <c r="H2073" s="52"/>
      <c r="I2073" s="52"/>
      <c r="J2073" s="52"/>
      <c r="K2073" s="52"/>
      <c r="L2073" s="52"/>
      <c r="M2073" s="52"/>
      <c r="N2073" s="52" t="s">
        <v>70</v>
      </c>
      <c r="O2073" s="52"/>
      <c r="P2073" s="52"/>
      <c r="Q2073" s="52"/>
      <c r="R2073" s="51" t="b">
        <v>0</v>
      </c>
      <c r="S2073" s="51"/>
      <c r="T2073" s="52"/>
      <c r="U2073" s="51" t="b">
        <v>0</v>
      </c>
      <c r="V2073" s="51" t="b">
        <v>0</v>
      </c>
      <c r="W2073" s="51" t="b">
        <v>0</v>
      </c>
      <c r="X2073" s="51" t="b">
        <v>0</v>
      </c>
      <c r="Y2073" s="51" t="b">
        <v>0</v>
      </c>
      <c r="Z2073" s="51" t="b">
        <v>0</v>
      </c>
      <c r="AA2073" s="68"/>
      <c r="AB2073" s="52"/>
      <c r="AC2073" s="52"/>
      <c r="AD2073" s="52"/>
      <c r="AE2073" s="56"/>
      <c r="AF2073" s="56"/>
    </row>
    <row r="2074">
      <c r="A2074" s="52" t="s">
        <v>5368</v>
      </c>
      <c r="B2074" s="52"/>
      <c r="C2074" s="52"/>
      <c r="D2074" s="65"/>
      <c r="E2074" s="65"/>
      <c r="F2074" s="65"/>
      <c r="G2074" s="65"/>
      <c r="H2074" s="52"/>
      <c r="I2074" s="52"/>
      <c r="J2074" s="52"/>
      <c r="K2074" s="52"/>
      <c r="L2074" s="52"/>
      <c r="M2074" s="52"/>
      <c r="N2074" s="52" t="s">
        <v>70</v>
      </c>
      <c r="O2074" s="52"/>
      <c r="P2074" s="52"/>
      <c r="Q2074" s="52"/>
      <c r="R2074" s="51" t="b">
        <v>0</v>
      </c>
      <c r="S2074" s="51"/>
      <c r="T2074" s="52"/>
      <c r="U2074" s="51" t="b">
        <v>0</v>
      </c>
      <c r="V2074" s="51" t="b">
        <v>0</v>
      </c>
      <c r="W2074" s="51" t="b">
        <v>0</v>
      </c>
      <c r="X2074" s="51" t="b">
        <v>0</v>
      </c>
      <c r="Y2074" s="51" t="b">
        <v>0</v>
      </c>
      <c r="Z2074" s="51" t="b">
        <v>0</v>
      </c>
      <c r="AA2074" s="68"/>
      <c r="AB2074" s="52"/>
      <c r="AC2074" s="52"/>
      <c r="AD2074" s="52"/>
      <c r="AE2074" s="56"/>
      <c r="AF2074" s="56"/>
    </row>
    <row r="2075">
      <c r="A2075" s="52" t="s">
        <v>5369</v>
      </c>
      <c r="B2075" s="52"/>
      <c r="C2075" s="52"/>
      <c r="D2075" s="65"/>
      <c r="E2075" s="65"/>
      <c r="F2075" s="65"/>
      <c r="G2075" s="65"/>
      <c r="H2075" s="52"/>
      <c r="I2075" s="52"/>
      <c r="J2075" s="52"/>
      <c r="K2075" s="52"/>
      <c r="L2075" s="52"/>
      <c r="M2075" s="52"/>
      <c r="N2075" s="52" t="s">
        <v>70</v>
      </c>
      <c r="O2075" s="52"/>
      <c r="P2075" s="52"/>
      <c r="Q2075" s="52"/>
      <c r="R2075" s="51" t="b">
        <v>0</v>
      </c>
      <c r="S2075" s="51"/>
      <c r="T2075" s="52"/>
      <c r="U2075" s="51" t="b">
        <v>0</v>
      </c>
      <c r="V2075" s="51" t="b">
        <v>0</v>
      </c>
      <c r="W2075" s="51" t="b">
        <v>0</v>
      </c>
      <c r="X2075" s="51" t="b">
        <v>0</v>
      </c>
      <c r="Y2075" s="51" t="b">
        <v>0</v>
      </c>
      <c r="Z2075" s="51" t="b">
        <v>0</v>
      </c>
      <c r="AA2075" s="68"/>
      <c r="AB2075" s="52"/>
      <c r="AC2075" s="52"/>
      <c r="AD2075" s="52"/>
      <c r="AE2075" s="56"/>
      <c r="AF2075" s="56"/>
    </row>
    <row r="2076">
      <c r="A2076" s="52" t="s">
        <v>5370</v>
      </c>
      <c r="B2076" s="52"/>
      <c r="C2076" s="52"/>
      <c r="D2076" s="65"/>
      <c r="E2076" s="65"/>
      <c r="F2076" s="65"/>
      <c r="G2076" s="65"/>
      <c r="H2076" s="52"/>
      <c r="I2076" s="52"/>
      <c r="J2076" s="52"/>
      <c r="K2076" s="52"/>
      <c r="L2076" s="52"/>
      <c r="M2076" s="52"/>
      <c r="N2076" s="52" t="s">
        <v>70</v>
      </c>
      <c r="O2076" s="52"/>
      <c r="P2076" s="52"/>
      <c r="Q2076" s="52"/>
      <c r="R2076" s="51" t="b">
        <v>0</v>
      </c>
      <c r="S2076" s="51"/>
      <c r="T2076" s="52"/>
      <c r="U2076" s="51" t="b">
        <v>0</v>
      </c>
      <c r="V2076" s="51" t="b">
        <v>0</v>
      </c>
      <c r="W2076" s="51" t="b">
        <v>0</v>
      </c>
      <c r="X2076" s="51" t="b">
        <v>0</v>
      </c>
      <c r="Y2076" s="51" t="b">
        <v>0</v>
      </c>
      <c r="Z2076" s="51" t="b">
        <v>0</v>
      </c>
      <c r="AA2076" s="68"/>
      <c r="AB2076" s="52"/>
      <c r="AC2076" s="52"/>
      <c r="AD2076" s="52"/>
      <c r="AE2076" s="56"/>
      <c r="AF2076" s="56"/>
    </row>
    <row r="2077">
      <c r="A2077" s="52" t="s">
        <v>5371</v>
      </c>
      <c r="B2077" s="52"/>
      <c r="C2077" s="52"/>
      <c r="D2077" s="65"/>
      <c r="E2077" s="65"/>
      <c r="F2077" s="65"/>
      <c r="G2077" s="65"/>
      <c r="H2077" s="52"/>
      <c r="I2077" s="52"/>
      <c r="J2077" s="52"/>
      <c r="K2077" s="52"/>
      <c r="L2077" s="52"/>
      <c r="M2077" s="52"/>
      <c r="N2077" s="52" t="s">
        <v>70</v>
      </c>
      <c r="O2077" s="52"/>
      <c r="P2077" s="52"/>
      <c r="Q2077" s="52"/>
      <c r="R2077" s="51" t="b">
        <v>0</v>
      </c>
      <c r="S2077" s="51"/>
      <c r="T2077" s="52"/>
      <c r="U2077" s="51" t="b">
        <v>0</v>
      </c>
      <c r="V2077" s="51" t="b">
        <v>0</v>
      </c>
      <c r="W2077" s="51" t="b">
        <v>0</v>
      </c>
      <c r="X2077" s="51" t="b">
        <v>0</v>
      </c>
      <c r="Y2077" s="51" t="b">
        <v>0</v>
      </c>
      <c r="Z2077" s="51" t="b">
        <v>0</v>
      </c>
      <c r="AA2077" s="68"/>
      <c r="AB2077" s="52"/>
      <c r="AC2077" s="52"/>
      <c r="AD2077" s="52"/>
      <c r="AE2077" s="56"/>
      <c r="AF2077" s="56"/>
    </row>
    <row r="2078">
      <c r="A2078" s="52" t="s">
        <v>5372</v>
      </c>
      <c r="B2078" s="52"/>
      <c r="C2078" s="52"/>
      <c r="D2078" s="65"/>
      <c r="E2078" s="65"/>
      <c r="F2078" s="65"/>
      <c r="G2078" s="65"/>
      <c r="H2078" s="52"/>
      <c r="I2078" s="52"/>
      <c r="J2078" s="52"/>
      <c r="K2078" s="52"/>
      <c r="L2078" s="52"/>
      <c r="M2078" s="52"/>
      <c r="N2078" s="52" t="s">
        <v>70</v>
      </c>
      <c r="O2078" s="52"/>
      <c r="P2078" s="52"/>
      <c r="Q2078" s="52"/>
      <c r="R2078" s="51" t="b">
        <v>0</v>
      </c>
      <c r="S2078" s="51"/>
      <c r="T2078" s="52"/>
      <c r="U2078" s="51" t="b">
        <v>0</v>
      </c>
      <c r="V2078" s="51" t="b">
        <v>0</v>
      </c>
      <c r="W2078" s="51" t="b">
        <v>0</v>
      </c>
      <c r="X2078" s="51" t="b">
        <v>0</v>
      </c>
      <c r="Y2078" s="51" t="b">
        <v>0</v>
      </c>
      <c r="Z2078" s="51" t="b">
        <v>0</v>
      </c>
      <c r="AA2078" s="68"/>
      <c r="AB2078" s="52"/>
      <c r="AC2078" s="52"/>
      <c r="AD2078" s="52"/>
      <c r="AE2078" s="56"/>
      <c r="AF2078" s="56"/>
    </row>
    <row r="2079">
      <c r="A2079" s="52" t="s">
        <v>5373</v>
      </c>
      <c r="B2079" s="52"/>
      <c r="C2079" s="52"/>
      <c r="D2079" s="65"/>
      <c r="E2079" s="65"/>
      <c r="F2079" s="65"/>
      <c r="G2079" s="65"/>
      <c r="H2079" s="52"/>
      <c r="I2079" s="52"/>
      <c r="J2079" s="52"/>
      <c r="K2079" s="52"/>
      <c r="L2079" s="52"/>
      <c r="M2079" s="52"/>
      <c r="N2079" s="52" t="s">
        <v>70</v>
      </c>
      <c r="O2079" s="52"/>
      <c r="P2079" s="52"/>
      <c r="Q2079" s="52"/>
      <c r="R2079" s="51" t="b">
        <v>0</v>
      </c>
      <c r="S2079" s="51"/>
      <c r="T2079" s="52"/>
      <c r="U2079" s="51" t="b">
        <v>0</v>
      </c>
      <c r="V2079" s="51" t="b">
        <v>0</v>
      </c>
      <c r="W2079" s="51" t="b">
        <v>0</v>
      </c>
      <c r="X2079" s="51" t="b">
        <v>0</v>
      </c>
      <c r="Y2079" s="51" t="b">
        <v>0</v>
      </c>
      <c r="Z2079" s="51" t="b">
        <v>0</v>
      </c>
      <c r="AA2079" s="68"/>
      <c r="AB2079" s="52"/>
      <c r="AC2079" s="52"/>
      <c r="AD2079" s="52"/>
      <c r="AE2079" s="56"/>
      <c r="AF2079" s="56"/>
    </row>
    <row r="2080">
      <c r="A2080" s="52" t="s">
        <v>5374</v>
      </c>
      <c r="B2080" s="52"/>
      <c r="C2080" s="52"/>
      <c r="D2080" s="65"/>
      <c r="E2080" s="65"/>
      <c r="F2080" s="65"/>
      <c r="G2080" s="65"/>
      <c r="H2080" s="52"/>
      <c r="I2080" s="52"/>
      <c r="J2080" s="52"/>
      <c r="K2080" s="52"/>
      <c r="L2080" s="52"/>
      <c r="M2080" s="52"/>
      <c r="N2080" s="52" t="s">
        <v>70</v>
      </c>
      <c r="O2080" s="52"/>
      <c r="P2080" s="52"/>
      <c r="Q2080" s="52"/>
      <c r="R2080" s="51" t="b">
        <v>0</v>
      </c>
      <c r="S2080" s="51"/>
      <c r="T2080" s="52"/>
      <c r="U2080" s="51" t="b">
        <v>0</v>
      </c>
      <c r="V2080" s="51" t="b">
        <v>0</v>
      </c>
      <c r="W2080" s="51" t="b">
        <v>0</v>
      </c>
      <c r="X2080" s="51" t="b">
        <v>0</v>
      </c>
      <c r="Y2080" s="51" t="b">
        <v>0</v>
      </c>
      <c r="Z2080" s="51" t="b">
        <v>0</v>
      </c>
      <c r="AA2080" s="68"/>
      <c r="AB2080" s="52"/>
      <c r="AC2080" s="52"/>
      <c r="AD2080" s="52"/>
      <c r="AE2080" s="56"/>
      <c r="AF2080" s="56"/>
    </row>
    <row r="2081">
      <c r="A2081" s="52" t="s">
        <v>5375</v>
      </c>
      <c r="B2081" s="52"/>
      <c r="C2081" s="52"/>
      <c r="D2081" s="65"/>
      <c r="E2081" s="65"/>
      <c r="F2081" s="65"/>
      <c r="G2081" s="65"/>
      <c r="H2081" s="52"/>
      <c r="I2081" s="52"/>
      <c r="J2081" s="52"/>
      <c r="K2081" s="52"/>
      <c r="L2081" s="52"/>
      <c r="M2081" s="52"/>
      <c r="N2081" s="52" t="s">
        <v>70</v>
      </c>
      <c r="O2081" s="52"/>
      <c r="P2081" s="52"/>
      <c r="Q2081" s="52"/>
      <c r="R2081" s="51" t="b">
        <v>0</v>
      </c>
      <c r="S2081" s="51"/>
      <c r="T2081" s="52"/>
      <c r="U2081" s="51" t="b">
        <v>0</v>
      </c>
      <c r="V2081" s="51" t="b">
        <v>0</v>
      </c>
      <c r="W2081" s="51" t="b">
        <v>0</v>
      </c>
      <c r="X2081" s="51" t="b">
        <v>0</v>
      </c>
      <c r="Y2081" s="51" t="b">
        <v>0</v>
      </c>
      <c r="Z2081" s="51" t="b">
        <v>0</v>
      </c>
      <c r="AA2081" s="68"/>
      <c r="AB2081" s="52"/>
      <c r="AC2081" s="52"/>
      <c r="AD2081" s="52"/>
      <c r="AE2081" s="56"/>
      <c r="AF2081" s="56"/>
    </row>
    <row r="2082">
      <c r="A2082" s="52" t="s">
        <v>5376</v>
      </c>
      <c r="B2082" s="52"/>
      <c r="C2082" s="52"/>
      <c r="D2082" s="65"/>
      <c r="E2082" s="65"/>
      <c r="F2082" s="65"/>
      <c r="G2082" s="65"/>
      <c r="H2082" s="52"/>
      <c r="I2082" s="52"/>
      <c r="J2082" s="52"/>
      <c r="K2082" s="52"/>
      <c r="L2082" s="52"/>
      <c r="M2082" s="52"/>
      <c r="N2082" s="52" t="s">
        <v>70</v>
      </c>
      <c r="O2082" s="52"/>
      <c r="P2082" s="52"/>
      <c r="Q2082" s="52"/>
      <c r="R2082" s="51" t="b">
        <v>0</v>
      </c>
      <c r="S2082" s="51"/>
      <c r="T2082" s="52"/>
      <c r="U2082" s="51" t="b">
        <v>0</v>
      </c>
      <c r="V2082" s="51" t="b">
        <v>0</v>
      </c>
      <c r="W2082" s="51" t="b">
        <v>0</v>
      </c>
      <c r="X2082" s="51" t="b">
        <v>0</v>
      </c>
      <c r="Y2082" s="51" t="b">
        <v>0</v>
      </c>
      <c r="Z2082" s="51" t="b">
        <v>0</v>
      </c>
      <c r="AA2082" s="68"/>
      <c r="AB2082" s="52"/>
      <c r="AC2082" s="52"/>
      <c r="AD2082" s="52"/>
      <c r="AE2082" s="56"/>
      <c r="AF2082" s="56"/>
    </row>
    <row r="2083">
      <c r="A2083" s="52" t="s">
        <v>5377</v>
      </c>
      <c r="B2083" s="52"/>
      <c r="C2083" s="52"/>
      <c r="D2083" s="65"/>
      <c r="E2083" s="65"/>
      <c r="F2083" s="65"/>
      <c r="G2083" s="65"/>
      <c r="H2083" s="52"/>
      <c r="I2083" s="52"/>
      <c r="J2083" s="52"/>
      <c r="K2083" s="52"/>
      <c r="L2083" s="52"/>
      <c r="M2083" s="52"/>
      <c r="N2083" s="52" t="s">
        <v>70</v>
      </c>
      <c r="O2083" s="52"/>
      <c r="P2083" s="52"/>
      <c r="Q2083" s="52"/>
      <c r="R2083" s="51" t="b">
        <v>0</v>
      </c>
      <c r="S2083" s="51"/>
      <c r="T2083" s="52"/>
      <c r="U2083" s="51" t="b">
        <v>0</v>
      </c>
      <c r="V2083" s="51" t="b">
        <v>0</v>
      </c>
      <c r="W2083" s="51" t="b">
        <v>0</v>
      </c>
      <c r="X2083" s="51" t="b">
        <v>0</v>
      </c>
      <c r="Y2083" s="51" t="b">
        <v>0</v>
      </c>
      <c r="Z2083" s="51" t="b">
        <v>0</v>
      </c>
      <c r="AA2083" s="68"/>
      <c r="AB2083" s="52"/>
      <c r="AC2083" s="52"/>
      <c r="AD2083" s="52"/>
      <c r="AE2083" s="56"/>
      <c r="AF2083" s="56"/>
    </row>
    <row r="2084">
      <c r="A2084" s="52" t="s">
        <v>5378</v>
      </c>
      <c r="B2084" s="52"/>
      <c r="C2084" s="52"/>
      <c r="D2084" s="65"/>
      <c r="E2084" s="65"/>
      <c r="F2084" s="65"/>
      <c r="G2084" s="65"/>
      <c r="H2084" s="52"/>
      <c r="I2084" s="52"/>
      <c r="J2084" s="52"/>
      <c r="K2084" s="52"/>
      <c r="L2084" s="52"/>
      <c r="M2084" s="52"/>
      <c r="N2084" s="52" t="s">
        <v>70</v>
      </c>
      <c r="O2084" s="52"/>
      <c r="P2084" s="52"/>
      <c r="Q2084" s="52"/>
      <c r="R2084" s="51" t="b">
        <v>0</v>
      </c>
      <c r="S2084" s="51"/>
      <c r="T2084" s="52"/>
      <c r="U2084" s="51" t="b">
        <v>0</v>
      </c>
      <c r="V2084" s="51" t="b">
        <v>0</v>
      </c>
      <c r="W2084" s="51" t="b">
        <v>0</v>
      </c>
      <c r="X2084" s="51" t="b">
        <v>0</v>
      </c>
      <c r="Y2084" s="51" t="b">
        <v>0</v>
      </c>
      <c r="Z2084" s="51" t="b">
        <v>0</v>
      </c>
      <c r="AA2084" s="68"/>
      <c r="AB2084" s="52"/>
      <c r="AC2084" s="52"/>
      <c r="AD2084" s="52"/>
      <c r="AE2084" s="56"/>
      <c r="AF2084" s="56"/>
    </row>
    <row r="2085">
      <c r="A2085" s="52" t="s">
        <v>5379</v>
      </c>
      <c r="B2085" s="52"/>
      <c r="C2085" s="52"/>
      <c r="D2085" s="65"/>
      <c r="E2085" s="65"/>
      <c r="F2085" s="65"/>
      <c r="G2085" s="65"/>
      <c r="H2085" s="52"/>
      <c r="I2085" s="52"/>
      <c r="J2085" s="52"/>
      <c r="K2085" s="52"/>
      <c r="L2085" s="52"/>
      <c r="M2085" s="52"/>
      <c r="N2085" s="52" t="s">
        <v>70</v>
      </c>
      <c r="O2085" s="52"/>
      <c r="P2085" s="52"/>
      <c r="Q2085" s="52"/>
      <c r="R2085" s="51" t="b">
        <v>0</v>
      </c>
      <c r="S2085" s="51"/>
      <c r="T2085" s="52"/>
      <c r="U2085" s="51" t="b">
        <v>0</v>
      </c>
      <c r="V2085" s="51" t="b">
        <v>0</v>
      </c>
      <c r="W2085" s="51" t="b">
        <v>0</v>
      </c>
      <c r="X2085" s="51" t="b">
        <v>0</v>
      </c>
      <c r="Y2085" s="51" t="b">
        <v>0</v>
      </c>
      <c r="Z2085" s="51" t="b">
        <v>0</v>
      </c>
      <c r="AA2085" s="68"/>
      <c r="AB2085" s="52"/>
      <c r="AC2085" s="52"/>
      <c r="AD2085" s="52"/>
      <c r="AE2085" s="56"/>
      <c r="AF2085" s="56"/>
    </row>
    <row r="2086">
      <c r="A2086" s="52" t="s">
        <v>5380</v>
      </c>
      <c r="B2086" s="52"/>
      <c r="C2086" s="52"/>
      <c r="D2086" s="65"/>
      <c r="E2086" s="65"/>
      <c r="F2086" s="65"/>
      <c r="G2086" s="65"/>
      <c r="H2086" s="52"/>
      <c r="I2086" s="52"/>
      <c r="J2086" s="52"/>
      <c r="K2086" s="52"/>
      <c r="L2086" s="52"/>
      <c r="M2086" s="52"/>
      <c r="N2086" s="52" t="s">
        <v>70</v>
      </c>
      <c r="O2086" s="52"/>
      <c r="P2086" s="52"/>
      <c r="Q2086" s="52"/>
      <c r="R2086" s="51" t="b">
        <v>0</v>
      </c>
      <c r="S2086" s="51"/>
      <c r="T2086" s="52"/>
      <c r="U2086" s="51" t="b">
        <v>0</v>
      </c>
      <c r="V2086" s="51" t="b">
        <v>0</v>
      </c>
      <c r="W2086" s="51" t="b">
        <v>0</v>
      </c>
      <c r="X2086" s="51" t="b">
        <v>0</v>
      </c>
      <c r="Y2086" s="51" t="b">
        <v>0</v>
      </c>
      <c r="Z2086" s="51" t="b">
        <v>0</v>
      </c>
      <c r="AA2086" s="68"/>
      <c r="AB2086" s="52"/>
      <c r="AC2086" s="52"/>
      <c r="AD2086" s="52"/>
      <c r="AE2086" s="56"/>
      <c r="AF2086" s="56"/>
    </row>
    <row r="2087">
      <c r="A2087" s="52" t="s">
        <v>5381</v>
      </c>
      <c r="B2087" s="52"/>
      <c r="C2087" s="52"/>
      <c r="D2087" s="65"/>
      <c r="E2087" s="65"/>
      <c r="F2087" s="65"/>
      <c r="G2087" s="65"/>
      <c r="H2087" s="52"/>
      <c r="I2087" s="52"/>
      <c r="J2087" s="52"/>
      <c r="K2087" s="52"/>
      <c r="L2087" s="52"/>
      <c r="M2087" s="52"/>
      <c r="N2087" s="52" t="s">
        <v>70</v>
      </c>
      <c r="O2087" s="52"/>
      <c r="P2087" s="52"/>
      <c r="Q2087" s="52"/>
      <c r="R2087" s="51" t="b">
        <v>0</v>
      </c>
      <c r="S2087" s="51"/>
      <c r="T2087" s="52"/>
      <c r="U2087" s="51" t="b">
        <v>0</v>
      </c>
      <c r="V2087" s="51" t="b">
        <v>0</v>
      </c>
      <c r="W2087" s="51" t="b">
        <v>0</v>
      </c>
      <c r="X2087" s="51" t="b">
        <v>0</v>
      </c>
      <c r="Y2087" s="51" t="b">
        <v>0</v>
      </c>
      <c r="Z2087" s="51" t="b">
        <v>0</v>
      </c>
      <c r="AA2087" s="68"/>
      <c r="AB2087" s="52"/>
      <c r="AC2087" s="52"/>
      <c r="AD2087" s="52"/>
      <c r="AE2087" s="56"/>
      <c r="AF2087" s="56"/>
    </row>
    <row r="2088">
      <c r="A2088" s="52" t="s">
        <v>5382</v>
      </c>
      <c r="B2088" s="52"/>
      <c r="C2088" s="52"/>
      <c r="D2088" s="65"/>
      <c r="E2088" s="65"/>
      <c r="F2088" s="65"/>
      <c r="G2088" s="65"/>
      <c r="H2088" s="52"/>
      <c r="I2088" s="52"/>
      <c r="J2088" s="52"/>
      <c r="K2088" s="52"/>
      <c r="L2088" s="52"/>
      <c r="M2088" s="52"/>
      <c r="N2088" s="52" t="s">
        <v>70</v>
      </c>
      <c r="O2088" s="52"/>
      <c r="P2088" s="52"/>
      <c r="Q2088" s="52"/>
      <c r="R2088" s="51" t="b">
        <v>0</v>
      </c>
      <c r="S2088" s="51"/>
      <c r="T2088" s="52"/>
      <c r="U2088" s="51" t="b">
        <v>0</v>
      </c>
      <c r="V2088" s="51" t="b">
        <v>0</v>
      </c>
      <c r="W2088" s="51" t="b">
        <v>0</v>
      </c>
      <c r="X2088" s="51" t="b">
        <v>0</v>
      </c>
      <c r="Y2088" s="51" t="b">
        <v>0</v>
      </c>
      <c r="Z2088" s="51" t="b">
        <v>0</v>
      </c>
      <c r="AA2088" s="68"/>
      <c r="AB2088" s="52"/>
      <c r="AC2088" s="52"/>
      <c r="AD2088" s="52"/>
      <c r="AE2088" s="56"/>
      <c r="AF2088" s="56"/>
    </row>
    <row r="2089">
      <c r="A2089" s="52" t="s">
        <v>5383</v>
      </c>
      <c r="B2089" s="52"/>
      <c r="C2089" s="52"/>
      <c r="D2089" s="65"/>
      <c r="E2089" s="65"/>
      <c r="F2089" s="65"/>
      <c r="G2089" s="65"/>
      <c r="H2089" s="52"/>
      <c r="I2089" s="52"/>
      <c r="J2089" s="52"/>
      <c r="K2089" s="52"/>
      <c r="L2089" s="52"/>
      <c r="M2089" s="52"/>
      <c r="N2089" s="52" t="s">
        <v>70</v>
      </c>
      <c r="O2089" s="52"/>
      <c r="P2089" s="52"/>
      <c r="Q2089" s="52"/>
      <c r="R2089" s="51" t="b">
        <v>0</v>
      </c>
      <c r="S2089" s="51"/>
      <c r="T2089" s="52"/>
      <c r="U2089" s="51" t="b">
        <v>0</v>
      </c>
      <c r="V2089" s="51" t="b">
        <v>0</v>
      </c>
      <c r="W2089" s="51" t="b">
        <v>0</v>
      </c>
      <c r="X2089" s="51" t="b">
        <v>0</v>
      </c>
      <c r="Y2089" s="51" t="b">
        <v>0</v>
      </c>
      <c r="Z2089" s="51" t="b">
        <v>0</v>
      </c>
      <c r="AA2089" s="68"/>
      <c r="AB2089" s="52"/>
      <c r="AC2089" s="52"/>
      <c r="AD2089" s="52"/>
      <c r="AE2089" s="56"/>
      <c r="AF2089" s="56"/>
    </row>
    <row r="2090">
      <c r="A2090" s="52" t="s">
        <v>5384</v>
      </c>
      <c r="B2090" s="52"/>
      <c r="C2090" s="52"/>
      <c r="D2090" s="65"/>
      <c r="E2090" s="65"/>
      <c r="F2090" s="65"/>
      <c r="G2090" s="65"/>
      <c r="H2090" s="52"/>
      <c r="I2090" s="52"/>
      <c r="J2090" s="52"/>
      <c r="K2090" s="52"/>
      <c r="L2090" s="52"/>
      <c r="M2090" s="52"/>
      <c r="N2090" s="52" t="s">
        <v>70</v>
      </c>
      <c r="O2090" s="52"/>
      <c r="P2090" s="52"/>
      <c r="Q2090" s="52"/>
      <c r="R2090" s="51" t="b">
        <v>0</v>
      </c>
      <c r="S2090" s="51"/>
      <c r="T2090" s="52"/>
      <c r="U2090" s="51" t="b">
        <v>0</v>
      </c>
      <c r="V2090" s="51" t="b">
        <v>0</v>
      </c>
      <c r="W2090" s="51" t="b">
        <v>0</v>
      </c>
      <c r="X2090" s="51" t="b">
        <v>0</v>
      </c>
      <c r="Y2090" s="51" t="b">
        <v>0</v>
      </c>
      <c r="Z2090" s="51" t="b">
        <v>0</v>
      </c>
      <c r="AA2090" s="68"/>
      <c r="AB2090" s="52"/>
      <c r="AC2090" s="52"/>
      <c r="AD2090" s="52"/>
      <c r="AE2090" s="56"/>
      <c r="AF2090" s="56"/>
    </row>
    <row r="2091">
      <c r="A2091" s="52" t="s">
        <v>5385</v>
      </c>
      <c r="B2091" s="52"/>
      <c r="C2091" s="52"/>
      <c r="D2091" s="65"/>
      <c r="E2091" s="65"/>
      <c r="F2091" s="65"/>
      <c r="G2091" s="65"/>
      <c r="H2091" s="52"/>
      <c r="I2091" s="52"/>
      <c r="J2091" s="52"/>
      <c r="K2091" s="52"/>
      <c r="L2091" s="52"/>
      <c r="M2091" s="52"/>
      <c r="N2091" s="52" t="s">
        <v>70</v>
      </c>
      <c r="O2091" s="52"/>
      <c r="P2091" s="52"/>
      <c r="Q2091" s="52"/>
      <c r="R2091" s="51" t="b">
        <v>0</v>
      </c>
      <c r="S2091" s="51"/>
      <c r="T2091" s="52"/>
      <c r="U2091" s="51" t="b">
        <v>0</v>
      </c>
      <c r="V2091" s="51" t="b">
        <v>0</v>
      </c>
      <c r="W2091" s="51" t="b">
        <v>0</v>
      </c>
      <c r="X2091" s="51" t="b">
        <v>0</v>
      </c>
      <c r="Y2091" s="51" t="b">
        <v>0</v>
      </c>
      <c r="Z2091" s="51" t="b">
        <v>0</v>
      </c>
      <c r="AA2091" s="68"/>
      <c r="AB2091" s="52"/>
      <c r="AC2091" s="52"/>
      <c r="AD2091" s="52"/>
      <c r="AE2091" s="56"/>
      <c r="AF2091" s="56"/>
    </row>
    <row r="2092">
      <c r="A2092" s="52" t="s">
        <v>5386</v>
      </c>
      <c r="B2092" s="52"/>
      <c r="C2092" s="52"/>
      <c r="D2092" s="65"/>
      <c r="E2092" s="65"/>
      <c r="F2092" s="65"/>
      <c r="G2092" s="65"/>
      <c r="H2092" s="52"/>
      <c r="I2092" s="52"/>
      <c r="J2092" s="52"/>
      <c r="K2092" s="52"/>
      <c r="L2092" s="52"/>
      <c r="M2092" s="52"/>
      <c r="N2092" s="52" t="s">
        <v>70</v>
      </c>
      <c r="O2092" s="52"/>
      <c r="P2092" s="52"/>
      <c r="Q2092" s="52"/>
      <c r="R2092" s="51" t="b">
        <v>0</v>
      </c>
      <c r="S2092" s="51"/>
      <c r="T2092" s="52"/>
      <c r="U2092" s="51" t="b">
        <v>0</v>
      </c>
      <c r="V2092" s="51" t="b">
        <v>0</v>
      </c>
      <c r="W2092" s="51" t="b">
        <v>0</v>
      </c>
      <c r="X2092" s="51" t="b">
        <v>0</v>
      </c>
      <c r="Y2092" s="51" t="b">
        <v>0</v>
      </c>
      <c r="Z2092" s="51" t="b">
        <v>0</v>
      </c>
      <c r="AA2092" s="68"/>
      <c r="AB2092" s="52"/>
      <c r="AC2092" s="52"/>
      <c r="AD2092" s="52"/>
      <c r="AE2092" s="56"/>
      <c r="AF2092" s="56"/>
    </row>
    <row r="2093">
      <c r="A2093" s="52" t="s">
        <v>5387</v>
      </c>
      <c r="B2093" s="52" t="s">
        <v>607</v>
      </c>
      <c r="C2093" s="52" t="s">
        <v>607</v>
      </c>
      <c r="D2093" s="65" t="s">
        <v>607</v>
      </c>
      <c r="E2093" s="65" t="s">
        <v>607</v>
      </c>
      <c r="F2093" s="65" t="s">
        <v>607</v>
      </c>
      <c r="G2093" s="65" t="s">
        <v>607</v>
      </c>
      <c r="H2093" s="52" t="s">
        <v>607</v>
      </c>
      <c r="I2093" s="52" t="s">
        <v>607</v>
      </c>
      <c r="J2093" s="52" t="s">
        <v>607</v>
      </c>
      <c r="K2093" s="52" t="s">
        <v>607</v>
      </c>
      <c r="L2093" s="52" t="s">
        <v>607</v>
      </c>
      <c r="M2093" s="52" t="s">
        <v>607</v>
      </c>
      <c r="N2093" s="52" t="s">
        <v>607</v>
      </c>
      <c r="O2093" s="52"/>
      <c r="P2093" s="52"/>
      <c r="Q2093" s="52"/>
      <c r="R2093" s="51" t="b">
        <v>0</v>
      </c>
      <c r="S2093" s="51"/>
      <c r="T2093" s="52"/>
      <c r="U2093" s="51" t="b">
        <v>0</v>
      </c>
      <c r="V2093" s="51" t="b">
        <v>0</v>
      </c>
      <c r="W2093" s="51" t="b">
        <v>0</v>
      </c>
      <c r="X2093" s="51" t="b">
        <v>0</v>
      </c>
      <c r="Y2093" s="51" t="b">
        <v>0</v>
      </c>
      <c r="Z2093" s="51" t="b">
        <v>0</v>
      </c>
      <c r="AA2093" s="68"/>
      <c r="AB2093" s="52"/>
      <c r="AC2093" s="52"/>
      <c r="AD2093" s="52"/>
      <c r="AE2093" s="56" t="s">
        <v>607</v>
      </c>
      <c r="AF2093" s="56" t="s">
        <v>607</v>
      </c>
    </row>
    <row r="2094">
      <c r="A2094" s="52" t="s">
        <v>5388</v>
      </c>
      <c r="B2094" s="52" t="s">
        <v>607</v>
      </c>
      <c r="C2094" s="52" t="s">
        <v>607</v>
      </c>
      <c r="D2094" s="65" t="s">
        <v>607</v>
      </c>
      <c r="E2094" s="65" t="s">
        <v>607</v>
      </c>
      <c r="F2094" s="65" t="s">
        <v>607</v>
      </c>
      <c r="G2094" s="65" t="s">
        <v>607</v>
      </c>
      <c r="H2094" s="52" t="s">
        <v>607</v>
      </c>
      <c r="I2094" s="52" t="s">
        <v>607</v>
      </c>
      <c r="J2094" s="52" t="s">
        <v>607</v>
      </c>
      <c r="K2094" s="52" t="s">
        <v>607</v>
      </c>
      <c r="L2094" s="52" t="s">
        <v>607</v>
      </c>
      <c r="M2094" s="52" t="s">
        <v>607</v>
      </c>
      <c r="N2094" s="52" t="s">
        <v>607</v>
      </c>
      <c r="O2094" s="52"/>
      <c r="P2094" s="52"/>
      <c r="Q2094" s="52"/>
      <c r="R2094" s="51" t="b">
        <v>0</v>
      </c>
      <c r="S2094" s="51"/>
      <c r="T2094" s="52"/>
      <c r="U2094" s="51" t="b">
        <v>0</v>
      </c>
      <c r="V2094" s="51" t="b">
        <v>0</v>
      </c>
      <c r="W2094" s="51" t="b">
        <v>0</v>
      </c>
      <c r="X2094" s="51" t="b">
        <v>0</v>
      </c>
      <c r="Y2094" s="51" t="b">
        <v>0</v>
      </c>
      <c r="Z2094" s="51" t="b">
        <v>0</v>
      </c>
      <c r="AA2094" s="68"/>
      <c r="AB2094" s="52"/>
      <c r="AC2094" s="52"/>
      <c r="AD2094" s="52"/>
      <c r="AE2094" s="56" t="s">
        <v>607</v>
      </c>
      <c r="AF2094" s="56" t="s">
        <v>607</v>
      </c>
    </row>
    <row r="2095">
      <c r="A2095" s="52" t="s">
        <v>5389</v>
      </c>
      <c r="B2095" s="52" t="s">
        <v>607</v>
      </c>
      <c r="C2095" s="52" t="s">
        <v>607</v>
      </c>
      <c r="D2095" s="65" t="s">
        <v>607</v>
      </c>
      <c r="E2095" s="65" t="s">
        <v>607</v>
      </c>
      <c r="F2095" s="65" t="s">
        <v>607</v>
      </c>
      <c r="G2095" s="65" t="s">
        <v>607</v>
      </c>
      <c r="H2095" s="52" t="s">
        <v>607</v>
      </c>
      <c r="I2095" s="52" t="s">
        <v>607</v>
      </c>
      <c r="J2095" s="52" t="s">
        <v>607</v>
      </c>
      <c r="K2095" s="52" t="s">
        <v>607</v>
      </c>
      <c r="L2095" s="52" t="s">
        <v>607</v>
      </c>
      <c r="M2095" s="52" t="s">
        <v>607</v>
      </c>
      <c r="N2095" s="52" t="s">
        <v>607</v>
      </c>
      <c r="O2095" s="52"/>
      <c r="P2095" s="52"/>
      <c r="Q2095" s="52"/>
      <c r="R2095" s="51" t="b">
        <v>0</v>
      </c>
      <c r="S2095" s="51"/>
      <c r="T2095" s="52"/>
      <c r="U2095" s="51" t="b">
        <v>0</v>
      </c>
      <c r="V2095" s="51" t="b">
        <v>0</v>
      </c>
      <c r="W2095" s="51" t="b">
        <v>0</v>
      </c>
      <c r="X2095" s="51" t="b">
        <v>0</v>
      </c>
      <c r="Y2095" s="51" t="b">
        <v>0</v>
      </c>
      <c r="Z2095" s="51" t="b">
        <v>0</v>
      </c>
      <c r="AA2095" s="68"/>
      <c r="AB2095" s="52"/>
      <c r="AC2095" s="52"/>
      <c r="AD2095" s="52"/>
      <c r="AE2095" s="56" t="s">
        <v>607</v>
      </c>
      <c r="AF2095" s="56" t="s">
        <v>607</v>
      </c>
    </row>
    <row r="2096">
      <c r="A2096" s="52" t="s">
        <v>5390</v>
      </c>
      <c r="B2096" s="52"/>
      <c r="C2096" s="52"/>
      <c r="D2096" s="65"/>
      <c r="E2096" s="65"/>
      <c r="F2096" s="65"/>
      <c r="G2096" s="65"/>
      <c r="H2096" s="52"/>
      <c r="I2096" s="52"/>
      <c r="J2096" s="52"/>
      <c r="K2096" s="52"/>
      <c r="L2096" s="52"/>
      <c r="M2096" s="52"/>
      <c r="N2096" s="52" t="s">
        <v>70</v>
      </c>
      <c r="O2096" s="52"/>
      <c r="P2096" s="52"/>
      <c r="Q2096" s="52"/>
      <c r="R2096" s="51" t="b">
        <v>0</v>
      </c>
      <c r="S2096" s="51"/>
      <c r="T2096" s="52"/>
      <c r="U2096" s="51" t="b">
        <v>0</v>
      </c>
      <c r="V2096" s="51" t="b">
        <v>0</v>
      </c>
      <c r="W2096" s="51" t="b">
        <v>0</v>
      </c>
      <c r="X2096" s="51" t="b">
        <v>0</v>
      </c>
      <c r="Y2096" s="51" t="b">
        <v>0</v>
      </c>
      <c r="Z2096" s="51" t="b">
        <v>0</v>
      </c>
      <c r="AA2096" s="68"/>
      <c r="AB2096" s="52"/>
      <c r="AC2096" s="52"/>
      <c r="AD2096" s="52"/>
      <c r="AE2096" s="56"/>
      <c r="AF2096" s="56"/>
    </row>
    <row r="2097">
      <c r="A2097" s="52" t="s">
        <v>5391</v>
      </c>
      <c r="B2097" s="52"/>
      <c r="C2097" s="52"/>
      <c r="D2097" s="65"/>
      <c r="E2097" s="65"/>
      <c r="F2097" s="65"/>
      <c r="G2097" s="65"/>
      <c r="H2097" s="52"/>
      <c r="I2097" s="52"/>
      <c r="J2097" s="52"/>
      <c r="K2097" s="52"/>
      <c r="L2097" s="52"/>
      <c r="M2097" s="52"/>
      <c r="N2097" s="52" t="s">
        <v>70</v>
      </c>
      <c r="O2097" s="52"/>
      <c r="P2097" s="52"/>
      <c r="Q2097" s="52"/>
      <c r="R2097" s="51" t="b">
        <v>0</v>
      </c>
      <c r="S2097" s="51"/>
      <c r="T2097" s="52"/>
      <c r="U2097" s="51" t="b">
        <v>0</v>
      </c>
      <c r="V2097" s="51" t="b">
        <v>0</v>
      </c>
      <c r="W2097" s="51" t="b">
        <v>0</v>
      </c>
      <c r="X2097" s="51" t="b">
        <v>0</v>
      </c>
      <c r="Y2097" s="51" t="b">
        <v>0</v>
      </c>
      <c r="Z2097" s="51" t="b">
        <v>0</v>
      </c>
      <c r="AA2097" s="68"/>
      <c r="AB2097" s="52"/>
      <c r="AC2097" s="52"/>
      <c r="AD2097" s="52"/>
      <c r="AE2097" s="56"/>
      <c r="AF2097" s="56"/>
    </row>
    <row r="2098">
      <c r="A2098" s="52" t="s">
        <v>5392</v>
      </c>
      <c r="B2098" s="52"/>
      <c r="C2098" s="52"/>
      <c r="D2098" s="65"/>
      <c r="E2098" s="65"/>
      <c r="F2098" s="65"/>
      <c r="G2098" s="65"/>
      <c r="H2098" s="52"/>
      <c r="I2098" s="52"/>
      <c r="J2098" s="52"/>
      <c r="K2098" s="52"/>
      <c r="L2098" s="52"/>
      <c r="M2098" s="52"/>
      <c r="N2098" s="52" t="s">
        <v>70</v>
      </c>
      <c r="O2098" s="52"/>
      <c r="P2098" s="52"/>
      <c r="Q2098" s="52"/>
      <c r="R2098" s="51" t="b">
        <v>0</v>
      </c>
      <c r="S2098" s="51"/>
      <c r="T2098" s="52"/>
      <c r="U2098" s="51" t="b">
        <v>0</v>
      </c>
      <c r="V2098" s="51" t="b">
        <v>0</v>
      </c>
      <c r="W2098" s="51" t="b">
        <v>0</v>
      </c>
      <c r="X2098" s="51" t="b">
        <v>0</v>
      </c>
      <c r="Y2098" s="51" t="b">
        <v>0</v>
      </c>
      <c r="Z2098" s="51" t="b">
        <v>0</v>
      </c>
      <c r="AA2098" s="68"/>
      <c r="AB2098" s="52"/>
      <c r="AC2098" s="52"/>
      <c r="AD2098" s="52"/>
      <c r="AE2098" s="56"/>
      <c r="AF2098" s="56"/>
    </row>
    <row r="2099">
      <c r="A2099" s="52" t="s">
        <v>5393</v>
      </c>
      <c r="B2099" s="52"/>
      <c r="C2099" s="52"/>
      <c r="D2099" s="65"/>
      <c r="E2099" s="65"/>
      <c r="F2099" s="65"/>
      <c r="G2099" s="65"/>
      <c r="H2099" s="52"/>
      <c r="I2099" s="52"/>
      <c r="J2099" s="52"/>
      <c r="K2099" s="52"/>
      <c r="L2099" s="52"/>
      <c r="M2099" s="52"/>
      <c r="N2099" s="52" t="s">
        <v>70</v>
      </c>
      <c r="O2099" s="52"/>
      <c r="P2099" s="52"/>
      <c r="Q2099" s="52"/>
      <c r="R2099" s="51" t="b">
        <v>0</v>
      </c>
      <c r="S2099" s="51"/>
      <c r="T2099" s="52"/>
      <c r="U2099" s="51" t="b">
        <v>0</v>
      </c>
      <c r="V2099" s="51" t="b">
        <v>0</v>
      </c>
      <c r="W2099" s="51" t="b">
        <v>0</v>
      </c>
      <c r="X2099" s="51" t="b">
        <v>0</v>
      </c>
      <c r="Y2099" s="51" t="b">
        <v>0</v>
      </c>
      <c r="Z2099" s="51" t="b">
        <v>0</v>
      </c>
      <c r="AA2099" s="68"/>
      <c r="AB2099" s="52"/>
      <c r="AC2099" s="52"/>
      <c r="AD2099" s="52"/>
      <c r="AE2099" s="56"/>
      <c r="AF2099" s="56"/>
    </row>
    <row r="2100">
      <c r="A2100" s="52" t="s">
        <v>5394</v>
      </c>
      <c r="B2100" s="52"/>
      <c r="C2100" s="52"/>
      <c r="D2100" s="65"/>
      <c r="E2100" s="65"/>
      <c r="F2100" s="65"/>
      <c r="G2100" s="65"/>
      <c r="H2100" s="52"/>
      <c r="I2100" s="52"/>
      <c r="J2100" s="52"/>
      <c r="K2100" s="52"/>
      <c r="L2100" s="52"/>
      <c r="M2100" s="52"/>
      <c r="N2100" s="52" t="s">
        <v>70</v>
      </c>
      <c r="O2100" s="52"/>
      <c r="P2100" s="52"/>
      <c r="Q2100" s="52"/>
      <c r="R2100" s="51" t="b">
        <v>0</v>
      </c>
      <c r="S2100" s="51"/>
      <c r="T2100" s="52"/>
      <c r="U2100" s="51" t="b">
        <v>0</v>
      </c>
      <c r="V2100" s="51" t="b">
        <v>0</v>
      </c>
      <c r="W2100" s="51" t="b">
        <v>0</v>
      </c>
      <c r="X2100" s="51" t="b">
        <v>0</v>
      </c>
      <c r="Y2100" s="51" t="b">
        <v>0</v>
      </c>
      <c r="Z2100" s="51" t="b">
        <v>0</v>
      </c>
      <c r="AA2100" s="68"/>
      <c r="AB2100" s="52"/>
      <c r="AC2100" s="52"/>
      <c r="AD2100" s="52"/>
      <c r="AE2100" s="56"/>
      <c r="AF2100" s="56"/>
    </row>
    <row r="2101">
      <c r="A2101" s="52" t="s">
        <v>5395</v>
      </c>
      <c r="B2101" s="52"/>
      <c r="C2101" s="52"/>
      <c r="D2101" s="65"/>
      <c r="E2101" s="65"/>
      <c r="F2101" s="65"/>
      <c r="G2101" s="65"/>
      <c r="H2101" s="52"/>
      <c r="I2101" s="52"/>
      <c r="J2101" s="52"/>
      <c r="K2101" s="52"/>
      <c r="L2101" s="52"/>
      <c r="M2101" s="52"/>
      <c r="N2101" s="52" t="s">
        <v>70</v>
      </c>
      <c r="O2101" s="52"/>
      <c r="P2101" s="52"/>
      <c r="Q2101" s="52"/>
      <c r="R2101" s="51" t="b">
        <v>0</v>
      </c>
      <c r="S2101" s="51"/>
      <c r="T2101" s="52"/>
      <c r="U2101" s="51" t="b">
        <v>0</v>
      </c>
      <c r="V2101" s="51" t="b">
        <v>0</v>
      </c>
      <c r="W2101" s="51" t="b">
        <v>0</v>
      </c>
      <c r="X2101" s="51" t="b">
        <v>0</v>
      </c>
      <c r="Y2101" s="51" t="b">
        <v>0</v>
      </c>
      <c r="Z2101" s="51" t="b">
        <v>0</v>
      </c>
      <c r="AA2101" s="68"/>
      <c r="AB2101" s="52"/>
      <c r="AC2101" s="52"/>
      <c r="AD2101" s="52"/>
      <c r="AE2101" s="56"/>
      <c r="AF2101" s="56"/>
    </row>
    <row r="2102">
      <c r="A2102" s="52" t="s">
        <v>5396</v>
      </c>
      <c r="B2102" s="52"/>
      <c r="C2102" s="52"/>
      <c r="D2102" s="65"/>
      <c r="E2102" s="65"/>
      <c r="F2102" s="65"/>
      <c r="G2102" s="65"/>
      <c r="H2102" s="52"/>
      <c r="I2102" s="52"/>
      <c r="J2102" s="52"/>
      <c r="K2102" s="52"/>
      <c r="L2102" s="52"/>
      <c r="M2102" s="52"/>
      <c r="N2102" s="52" t="s">
        <v>70</v>
      </c>
      <c r="O2102" s="52"/>
      <c r="P2102" s="52"/>
      <c r="Q2102" s="52"/>
      <c r="R2102" s="51" t="b">
        <v>0</v>
      </c>
      <c r="S2102" s="51"/>
      <c r="T2102" s="52"/>
      <c r="U2102" s="51" t="b">
        <v>0</v>
      </c>
      <c r="V2102" s="51" t="b">
        <v>0</v>
      </c>
      <c r="W2102" s="51" t="b">
        <v>0</v>
      </c>
      <c r="X2102" s="51" t="b">
        <v>0</v>
      </c>
      <c r="Y2102" s="51" t="b">
        <v>0</v>
      </c>
      <c r="Z2102" s="51" t="b">
        <v>0</v>
      </c>
      <c r="AA2102" s="68"/>
      <c r="AB2102" s="52"/>
      <c r="AC2102" s="52"/>
      <c r="AD2102" s="52"/>
      <c r="AE2102" s="56"/>
      <c r="AF2102" s="56"/>
    </row>
    <row r="2103">
      <c r="A2103" s="52" t="s">
        <v>5397</v>
      </c>
      <c r="B2103" s="52"/>
      <c r="C2103" s="52"/>
      <c r="D2103" s="65"/>
      <c r="E2103" s="65"/>
      <c r="F2103" s="65"/>
      <c r="G2103" s="65"/>
      <c r="H2103" s="52"/>
      <c r="I2103" s="52"/>
      <c r="J2103" s="52"/>
      <c r="K2103" s="52"/>
      <c r="L2103" s="52"/>
      <c r="M2103" s="52"/>
      <c r="N2103" s="52" t="s">
        <v>70</v>
      </c>
      <c r="O2103" s="52"/>
      <c r="P2103" s="52"/>
      <c r="Q2103" s="52"/>
      <c r="R2103" s="51" t="b">
        <v>0</v>
      </c>
      <c r="S2103" s="51"/>
      <c r="T2103" s="52"/>
      <c r="U2103" s="51" t="b">
        <v>0</v>
      </c>
      <c r="V2103" s="51" t="b">
        <v>0</v>
      </c>
      <c r="W2103" s="51" t="b">
        <v>0</v>
      </c>
      <c r="X2103" s="51" t="b">
        <v>0</v>
      </c>
      <c r="Y2103" s="51" t="b">
        <v>0</v>
      </c>
      <c r="Z2103" s="51" t="b">
        <v>0</v>
      </c>
      <c r="AA2103" s="68"/>
      <c r="AB2103" s="52"/>
      <c r="AC2103" s="52"/>
      <c r="AD2103" s="52"/>
      <c r="AE2103" s="56"/>
      <c r="AF2103" s="56"/>
    </row>
    <row r="2104">
      <c r="A2104" s="52" t="s">
        <v>5398</v>
      </c>
      <c r="B2104" s="52"/>
      <c r="C2104" s="52"/>
      <c r="D2104" s="65"/>
      <c r="E2104" s="65"/>
      <c r="F2104" s="65"/>
      <c r="G2104" s="65"/>
      <c r="H2104" s="52"/>
      <c r="I2104" s="52"/>
      <c r="J2104" s="52"/>
      <c r="K2104" s="52"/>
      <c r="L2104" s="52"/>
      <c r="M2104" s="52"/>
      <c r="N2104" s="52" t="s">
        <v>70</v>
      </c>
      <c r="O2104" s="52"/>
      <c r="P2104" s="52"/>
      <c r="Q2104" s="52"/>
      <c r="R2104" s="51" t="b">
        <v>0</v>
      </c>
      <c r="S2104" s="51"/>
      <c r="T2104" s="52"/>
      <c r="U2104" s="51" t="b">
        <v>0</v>
      </c>
      <c r="V2104" s="51" t="b">
        <v>0</v>
      </c>
      <c r="W2104" s="51" t="b">
        <v>0</v>
      </c>
      <c r="X2104" s="51" t="b">
        <v>0</v>
      </c>
      <c r="Y2104" s="51" t="b">
        <v>0</v>
      </c>
      <c r="Z2104" s="51" t="b">
        <v>0</v>
      </c>
      <c r="AA2104" s="68"/>
      <c r="AB2104" s="52"/>
      <c r="AC2104" s="52"/>
      <c r="AD2104" s="52"/>
      <c r="AE2104" s="56"/>
      <c r="AF2104" s="56"/>
    </row>
    <row r="2105">
      <c r="A2105" s="52" t="s">
        <v>5399</v>
      </c>
      <c r="B2105" s="52"/>
      <c r="C2105" s="52"/>
      <c r="D2105" s="65"/>
      <c r="E2105" s="65"/>
      <c r="F2105" s="65"/>
      <c r="G2105" s="65"/>
      <c r="H2105" s="52"/>
      <c r="I2105" s="52"/>
      <c r="J2105" s="52"/>
      <c r="K2105" s="52"/>
      <c r="L2105" s="52"/>
      <c r="M2105" s="52"/>
      <c r="N2105" s="52" t="s">
        <v>70</v>
      </c>
      <c r="O2105" s="52"/>
      <c r="P2105" s="52"/>
      <c r="Q2105" s="52"/>
      <c r="R2105" s="51" t="b">
        <v>0</v>
      </c>
      <c r="S2105" s="51"/>
      <c r="T2105" s="52"/>
      <c r="U2105" s="51" t="b">
        <v>0</v>
      </c>
      <c r="V2105" s="51" t="b">
        <v>0</v>
      </c>
      <c r="W2105" s="51" t="b">
        <v>0</v>
      </c>
      <c r="X2105" s="51" t="b">
        <v>0</v>
      </c>
      <c r="Y2105" s="51" t="b">
        <v>0</v>
      </c>
      <c r="Z2105" s="51" t="b">
        <v>0</v>
      </c>
      <c r="AA2105" s="68"/>
      <c r="AB2105" s="52"/>
      <c r="AC2105" s="52"/>
      <c r="AD2105" s="52"/>
      <c r="AE2105" s="56"/>
      <c r="AF2105" s="56"/>
    </row>
    <row r="2106">
      <c r="A2106" s="52" t="s">
        <v>5400</v>
      </c>
      <c r="B2106" s="52"/>
      <c r="C2106" s="52"/>
      <c r="D2106" s="65"/>
      <c r="E2106" s="65"/>
      <c r="F2106" s="65"/>
      <c r="G2106" s="65"/>
      <c r="H2106" s="52"/>
      <c r="I2106" s="52"/>
      <c r="J2106" s="52"/>
      <c r="K2106" s="52"/>
      <c r="L2106" s="52"/>
      <c r="M2106" s="52"/>
      <c r="N2106" s="52" t="s">
        <v>70</v>
      </c>
      <c r="O2106" s="52"/>
      <c r="P2106" s="52"/>
      <c r="Q2106" s="52"/>
      <c r="R2106" s="51" t="b">
        <v>0</v>
      </c>
      <c r="S2106" s="51"/>
      <c r="T2106" s="52"/>
      <c r="U2106" s="51" t="b">
        <v>0</v>
      </c>
      <c r="V2106" s="51" t="b">
        <v>0</v>
      </c>
      <c r="W2106" s="51" t="b">
        <v>0</v>
      </c>
      <c r="X2106" s="51" t="b">
        <v>0</v>
      </c>
      <c r="Y2106" s="51" t="b">
        <v>0</v>
      </c>
      <c r="Z2106" s="51" t="b">
        <v>0</v>
      </c>
      <c r="AA2106" s="68"/>
      <c r="AB2106" s="52"/>
      <c r="AC2106" s="52"/>
      <c r="AD2106" s="52"/>
      <c r="AE2106" s="56"/>
      <c r="AF2106" s="56"/>
    </row>
    <row r="2107">
      <c r="A2107" s="52" t="s">
        <v>5401</v>
      </c>
      <c r="B2107" s="52"/>
      <c r="C2107" s="52"/>
      <c r="D2107" s="65"/>
      <c r="E2107" s="65"/>
      <c r="F2107" s="65"/>
      <c r="G2107" s="65"/>
      <c r="H2107" s="52"/>
      <c r="I2107" s="52"/>
      <c r="J2107" s="52"/>
      <c r="K2107" s="52"/>
      <c r="L2107" s="52"/>
      <c r="M2107" s="52"/>
      <c r="N2107" s="52" t="s">
        <v>70</v>
      </c>
      <c r="O2107" s="52"/>
      <c r="P2107" s="52"/>
      <c r="Q2107" s="52"/>
      <c r="R2107" s="51" t="b">
        <v>0</v>
      </c>
      <c r="S2107" s="51"/>
      <c r="T2107" s="52"/>
      <c r="U2107" s="51" t="b">
        <v>0</v>
      </c>
      <c r="V2107" s="51" t="b">
        <v>0</v>
      </c>
      <c r="W2107" s="51" t="b">
        <v>0</v>
      </c>
      <c r="X2107" s="51" t="b">
        <v>0</v>
      </c>
      <c r="Y2107" s="51" t="b">
        <v>0</v>
      </c>
      <c r="Z2107" s="51" t="b">
        <v>0</v>
      </c>
      <c r="AA2107" s="68"/>
      <c r="AB2107" s="52"/>
      <c r="AC2107" s="52"/>
      <c r="AD2107" s="52"/>
      <c r="AE2107" s="56"/>
      <c r="AF2107" s="56"/>
    </row>
    <row r="2108">
      <c r="A2108" s="52" t="s">
        <v>5402</v>
      </c>
      <c r="B2108" s="52"/>
      <c r="C2108" s="52"/>
      <c r="D2108" s="65"/>
      <c r="E2108" s="65"/>
      <c r="F2108" s="65"/>
      <c r="G2108" s="65"/>
      <c r="H2108" s="52"/>
      <c r="I2108" s="52"/>
      <c r="J2108" s="52"/>
      <c r="K2108" s="52"/>
      <c r="L2108" s="52"/>
      <c r="M2108" s="52"/>
      <c r="N2108" s="52" t="s">
        <v>70</v>
      </c>
      <c r="O2108" s="52"/>
      <c r="P2108" s="52"/>
      <c r="Q2108" s="52"/>
      <c r="R2108" s="51" t="b">
        <v>0</v>
      </c>
      <c r="S2108" s="51"/>
      <c r="T2108" s="52"/>
      <c r="U2108" s="51" t="b">
        <v>0</v>
      </c>
      <c r="V2108" s="51" t="b">
        <v>0</v>
      </c>
      <c r="W2108" s="51" t="b">
        <v>0</v>
      </c>
      <c r="X2108" s="51" t="b">
        <v>0</v>
      </c>
      <c r="Y2108" s="51" t="b">
        <v>0</v>
      </c>
      <c r="Z2108" s="51" t="b">
        <v>0</v>
      </c>
      <c r="AA2108" s="68"/>
      <c r="AB2108" s="52"/>
      <c r="AC2108" s="52"/>
      <c r="AD2108" s="52"/>
      <c r="AE2108" s="56"/>
      <c r="AF2108" s="56"/>
    </row>
    <row r="2109">
      <c r="A2109" s="52" t="s">
        <v>5403</v>
      </c>
      <c r="B2109" s="52"/>
      <c r="C2109" s="52"/>
      <c r="D2109" s="65"/>
      <c r="E2109" s="65"/>
      <c r="F2109" s="65"/>
      <c r="G2109" s="65"/>
      <c r="H2109" s="52"/>
      <c r="I2109" s="52"/>
      <c r="J2109" s="52"/>
      <c r="K2109" s="52"/>
      <c r="L2109" s="52"/>
      <c r="M2109" s="52"/>
      <c r="N2109" s="52" t="s">
        <v>70</v>
      </c>
      <c r="O2109" s="52"/>
      <c r="P2109" s="52"/>
      <c r="Q2109" s="52"/>
      <c r="R2109" s="51" t="b">
        <v>0</v>
      </c>
      <c r="S2109" s="51"/>
      <c r="T2109" s="52"/>
      <c r="U2109" s="51" t="b">
        <v>0</v>
      </c>
      <c r="V2109" s="51" t="b">
        <v>0</v>
      </c>
      <c r="W2109" s="51" t="b">
        <v>0</v>
      </c>
      <c r="X2109" s="51" t="b">
        <v>0</v>
      </c>
      <c r="Y2109" s="51" t="b">
        <v>0</v>
      </c>
      <c r="Z2109" s="51" t="b">
        <v>0</v>
      </c>
      <c r="AA2109" s="68"/>
      <c r="AB2109" s="52"/>
      <c r="AC2109" s="52"/>
      <c r="AD2109" s="52"/>
      <c r="AE2109" s="56"/>
      <c r="AF2109" s="56"/>
    </row>
    <row r="2110">
      <c r="A2110" s="52" t="s">
        <v>5404</v>
      </c>
      <c r="B2110" s="52"/>
      <c r="C2110" s="52"/>
      <c r="D2110" s="65"/>
      <c r="E2110" s="65"/>
      <c r="F2110" s="65"/>
      <c r="G2110" s="65"/>
      <c r="H2110" s="52"/>
      <c r="I2110" s="52"/>
      <c r="J2110" s="52"/>
      <c r="K2110" s="52"/>
      <c r="L2110" s="52"/>
      <c r="M2110" s="52"/>
      <c r="N2110" s="52" t="s">
        <v>70</v>
      </c>
      <c r="O2110" s="52"/>
      <c r="P2110" s="52"/>
      <c r="Q2110" s="52"/>
      <c r="R2110" s="51" t="b">
        <v>0</v>
      </c>
      <c r="S2110" s="51"/>
      <c r="T2110" s="52"/>
      <c r="U2110" s="51" t="b">
        <v>0</v>
      </c>
      <c r="V2110" s="51" t="b">
        <v>0</v>
      </c>
      <c r="W2110" s="51" t="b">
        <v>0</v>
      </c>
      <c r="X2110" s="51" t="b">
        <v>0</v>
      </c>
      <c r="Y2110" s="51" t="b">
        <v>0</v>
      </c>
      <c r="Z2110" s="51" t="b">
        <v>0</v>
      </c>
      <c r="AA2110" s="68"/>
      <c r="AB2110" s="52"/>
      <c r="AC2110" s="52"/>
      <c r="AD2110" s="52"/>
      <c r="AE2110" s="56"/>
      <c r="AF2110" s="56"/>
    </row>
    <row r="2111">
      <c r="A2111" s="52" t="s">
        <v>5405</v>
      </c>
      <c r="B2111" s="52"/>
      <c r="C2111" s="52"/>
      <c r="D2111" s="65"/>
      <c r="E2111" s="65"/>
      <c r="F2111" s="65"/>
      <c r="G2111" s="65"/>
      <c r="H2111" s="52"/>
      <c r="I2111" s="52"/>
      <c r="J2111" s="52"/>
      <c r="K2111" s="52"/>
      <c r="L2111" s="52"/>
      <c r="M2111" s="52"/>
      <c r="N2111" s="52" t="s">
        <v>70</v>
      </c>
      <c r="O2111" s="52"/>
      <c r="P2111" s="52"/>
      <c r="Q2111" s="52"/>
      <c r="R2111" s="51" t="b">
        <v>0</v>
      </c>
      <c r="S2111" s="51"/>
      <c r="T2111" s="52"/>
      <c r="U2111" s="51" t="b">
        <v>0</v>
      </c>
      <c r="V2111" s="51" t="b">
        <v>0</v>
      </c>
      <c r="W2111" s="51" t="b">
        <v>0</v>
      </c>
      <c r="X2111" s="51" t="b">
        <v>0</v>
      </c>
      <c r="Y2111" s="51" t="b">
        <v>0</v>
      </c>
      <c r="Z2111" s="51" t="b">
        <v>0</v>
      </c>
      <c r="AA2111" s="68"/>
      <c r="AB2111" s="52"/>
      <c r="AC2111" s="52"/>
      <c r="AD2111" s="52"/>
      <c r="AE2111" s="56"/>
      <c r="AF2111" s="56"/>
    </row>
    <row r="2112">
      <c r="A2112" s="52" t="s">
        <v>5406</v>
      </c>
      <c r="B2112" s="52"/>
      <c r="C2112" s="52"/>
      <c r="D2112" s="65"/>
      <c r="E2112" s="65"/>
      <c r="F2112" s="65"/>
      <c r="G2112" s="65"/>
      <c r="H2112" s="52"/>
      <c r="I2112" s="52"/>
      <c r="J2112" s="52"/>
      <c r="K2112" s="52"/>
      <c r="L2112" s="52"/>
      <c r="M2112" s="52"/>
      <c r="N2112" s="52" t="s">
        <v>70</v>
      </c>
      <c r="O2112" s="52"/>
      <c r="P2112" s="52"/>
      <c r="Q2112" s="52"/>
      <c r="R2112" s="51" t="b">
        <v>0</v>
      </c>
      <c r="S2112" s="51"/>
      <c r="T2112" s="52"/>
      <c r="U2112" s="51" t="b">
        <v>0</v>
      </c>
      <c r="V2112" s="51" t="b">
        <v>0</v>
      </c>
      <c r="W2112" s="51" t="b">
        <v>0</v>
      </c>
      <c r="X2112" s="51" t="b">
        <v>0</v>
      </c>
      <c r="Y2112" s="51" t="b">
        <v>0</v>
      </c>
      <c r="Z2112" s="51" t="b">
        <v>0</v>
      </c>
      <c r="AA2112" s="68"/>
      <c r="AB2112" s="52"/>
      <c r="AC2112" s="52"/>
      <c r="AD2112" s="52"/>
      <c r="AE2112" s="56"/>
      <c r="AF2112" s="56"/>
    </row>
    <row r="2113">
      <c r="A2113" s="52" t="s">
        <v>5407</v>
      </c>
      <c r="B2113" s="52"/>
      <c r="C2113" s="52"/>
      <c r="D2113" s="65"/>
      <c r="E2113" s="65"/>
      <c r="F2113" s="65"/>
      <c r="G2113" s="65"/>
      <c r="H2113" s="52"/>
      <c r="I2113" s="52"/>
      <c r="J2113" s="52"/>
      <c r="K2113" s="52"/>
      <c r="L2113" s="52"/>
      <c r="M2113" s="52"/>
      <c r="N2113" s="52" t="s">
        <v>70</v>
      </c>
      <c r="O2113" s="52"/>
      <c r="P2113" s="52"/>
      <c r="Q2113" s="52"/>
      <c r="R2113" s="51" t="b">
        <v>0</v>
      </c>
      <c r="S2113" s="51"/>
      <c r="T2113" s="52"/>
      <c r="U2113" s="51" t="b">
        <v>0</v>
      </c>
      <c r="V2113" s="51" t="b">
        <v>0</v>
      </c>
      <c r="W2113" s="51" t="b">
        <v>0</v>
      </c>
      <c r="X2113" s="51" t="b">
        <v>0</v>
      </c>
      <c r="Y2113" s="51" t="b">
        <v>0</v>
      </c>
      <c r="Z2113" s="51" t="b">
        <v>0</v>
      </c>
      <c r="AA2113" s="68"/>
      <c r="AB2113" s="52"/>
      <c r="AC2113" s="52"/>
      <c r="AD2113" s="52"/>
      <c r="AE2113" s="56"/>
      <c r="AF2113" s="56"/>
    </row>
    <row r="2114">
      <c r="A2114" s="52" t="s">
        <v>5408</v>
      </c>
      <c r="B2114" s="52"/>
      <c r="C2114" s="52"/>
      <c r="D2114" s="65"/>
      <c r="E2114" s="65"/>
      <c r="F2114" s="65"/>
      <c r="G2114" s="65"/>
      <c r="H2114" s="52"/>
      <c r="I2114" s="52"/>
      <c r="J2114" s="52"/>
      <c r="K2114" s="52"/>
      <c r="L2114" s="52"/>
      <c r="M2114" s="52"/>
      <c r="N2114" s="52" t="s">
        <v>70</v>
      </c>
      <c r="O2114" s="52"/>
      <c r="P2114" s="52"/>
      <c r="Q2114" s="52"/>
      <c r="R2114" s="51" t="b">
        <v>0</v>
      </c>
      <c r="S2114" s="51"/>
      <c r="T2114" s="52"/>
      <c r="U2114" s="51" t="b">
        <v>0</v>
      </c>
      <c r="V2114" s="51" t="b">
        <v>0</v>
      </c>
      <c r="W2114" s="51" t="b">
        <v>0</v>
      </c>
      <c r="X2114" s="51" t="b">
        <v>0</v>
      </c>
      <c r="Y2114" s="51" t="b">
        <v>0</v>
      </c>
      <c r="Z2114" s="51" t="b">
        <v>0</v>
      </c>
      <c r="AA2114" s="68"/>
      <c r="AB2114" s="52"/>
      <c r="AC2114" s="52"/>
      <c r="AD2114" s="52"/>
      <c r="AE2114" s="56"/>
      <c r="AF2114" s="56"/>
    </row>
    <row r="2115">
      <c r="A2115" s="52" t="s">
        <v>5409</v>
      </c>
      <c r="B2115" s="52"/>
      <c r="C2115" s="52"/>
      <c r="D2115" s="65"/>
      <c r="E2115" s="65"/>
      <c r="F2115" s="65"/>
      <c r="G2115" s="65"/>
      <c r="H2115" s="52"/>
      <c r="I2115" s="52"/>
      <c r="J2115" s="52"/>
      <c r="K2115" s="52"/>
      <c r="L2115" s="52"/>
      <c r="M2115" s="52"/>
      <c r="N2115" s="52" t="s">
        <v>70</v>
      </c>
      <c r="O2115" s="52"/>
      <c r="P2115" s="52"/>
      <c r="Q2115" s="52"/>
      <c r="R2115" s="51" t="b">
        <v>0</v>
      </c>
      <c r="S2115" s="51"/>
      <c r="T2115" s="52"/>
      <c r="U2115" s="51" t="b">
        <v>0</v>
      </c>
      <c r="V2115" s="51" t="b">
        <v>0</v>
      </c>
      <c r="W2115" s="51" t="b">
        <v>0</v>
      </c>
      <c r="X2115" s="51" t="b">
        <v>0</v>
      </c>
      <c r="Y2115" s="51" t="b">
        <v>0</v>
      </c>
      <c r="Z2115" s="51" t="b">
        <v>0</v>
      </c>
      <c r="AA2115" s="68"/>
      <c r="AB2115" s="52"/>
      <c r="AC2115" s="52"/>
      <c r="AD2115" s="52"/>
      <c r="AE2115" s="56"/>
      <c r="AF2115" s="56"/>
    </row>
    <row r="2116">
      <c r="A2116" s="52" t="s">
        <v>5410</v>
      </c>
      <c r="B2116" s="52"/>
      <c r="C2116" s="52"/>
      <c r="D2116" s="65"/>
      <c r="E2116" s="65"/>
      <c r="F2116" s="65"/>
      <c r="G2116" s="65"/>
      <c r="H2116" s="52"/>
      <c r="I2116" s="52"/>
      <c r="J2116" s="52"/>
      <c r="K2116" s="52"/>
      <c r="L2116" s="52"/>
      <c r="M2116" s="52"/>
      <c r="N2116" s="52" t="s">
        <v>70</v>
      </c>
      <c r="O2116" s="52"/>
      <c r="P2116" s="52"/>
      <c r="Q2116" s="52"/>
      <c r="R2116" s="51" t="b">
        <v>0</v>
      </c>
      <c r="S2116" s="51"/>
      <c r="T2116" s="52"/>
      <c r="U2116" s="51" t="b">
        <v>0</v>
      </c>
      <c r="V2116" s="51" t="b">
        <v>0</v>
      </c>
      <c r="W2116" s="51" t="b">
        <v>0</v>
      </c>
      <c r="X2116" s="51" t="b">
        <v>0</v>
      </c>
      <c r="Y2116" s="51" t="b">
        <v>0</v>
      </c>
      <c r="Z2116" s="51" t="b">
        <v>0</v>
      </c>
      <c r="AA2116" s="68"/>
      <c r="AB2116" s="52"/>
      <c r="AC2116" s="52"/>
      <c r="AD2116" s="52"/>
      <c r="AE2116" s="56"/>
      <c r="AF2116" s="56"/>
    </row>
    <row r="2117">
      <c r="A2117" s="52" t="s">
        <v>5411</v>
      </c>
      <c r="B2117" s="52"/>
      <c r="C2117" s="52"/>
      <c r="D2117" s="65"/>
      <c r="E2117" s="65"/>
      <c r="F2117" s="65"/>
      <c r="G2117" s="65"/>
      <c r="H2117" s="52"/>
      <c r="I2117" s="52"/>
      <c r="J2117" s="52"/>
      <c r="K2117" s="52"/>
      <c r="L2117" s="52"/>
      <c r="M2117" s="52"/>
      <c r="N2117" s="52" t="s">
        <v>70</v>
      </c>
      <c r="O2117" s="52"/>
      <c r="P2117" s="52"/>
      <c r="Q2117" s="52"/>
      <c r="R2117" s="51" t="b">
        <v>0</v>
      </c>
      <c r="S2117" s="51"/>
      <c r="T2117" s="52"/>
      <c r="U2117" s="51" t="b">
        <v>0</v>
      </c>
      <c r="V2117" s="51" t="b">
        <v>0</v>
      </c>
      <c r="W2117" s="51" t="b">
        <v>0</v>
      </c>
      <c r="X2117" s="51" t="b">
        <v>0</v>
      </c>
      <c r="Y2117" s="51" t="b">
        <v>0</v>
      </c>
      <c r="Z2117" s="51" t="b">
        <v>0</v>
      </c>
      <c r="AA2117" s="68"/>
      <c r="AB2117" s="52"/>
      <c r="AC2117" s="52"/>
      <c r="AD2117" s="52"/>
      <c r="AE2117" s="56"/>
      <c r="AF2117" s="56"/>
    </row>
    <row r="2118">
      <c r="A2118" s="52" t="s">
        <v>5412</v>
      </c>
      <c r="B2118" s="52"/>
      <c r="C2118" s="52"/>
      <c r="D2118" s="65"/>
      <c r="E2118" s="65"/>
      <c r="F2118" s="65"/>
      <c r="G2118" s="65"/>
      <c r="H2118" s="52"/>
      <c r="I2118" s="52"/>
      <c r="J2118" s="52"/>
      <c r="K2118" s="52"/>
      <c r="L2118" s="52"/>
      <c r="M2118" s="52"/>
      <c r="N2118" s="52" t="s">
        <v>70</v>
      </c>
      <c r="O2118" s="52"/>
      <c r="P2118" s="52"/>
      <c r="Q2118" s="52"/>
      <c r="R2118" s="51" t="b">
        <v>0</v>
      </c>
      <c r="S2118" s="51"/>
      <c r="T2118" s="52"/>
      <c r="U2118" s="51" t="b">
        <v>0</v>
      </c>
      <c r="V2118" s="51" t="b">
        <v>0</v>
      </c>
      <c r="W2118" s="51" t="b">
        <v>0</v>
      </c>
      <c r="X2118" s="51" t="b">
        <v>0</v>
      </c>
      <c r="Y2118" s="51" t="b">
        <v>0</v>
      </c>
      <c r="Z2118" s="51" t="b">
        <v>0</v>
      </c>
      <c r="AA2118" s="68"/>
      <c r="AB2118" s="52"/>
      <c r="AC2118" s="52"/>
      <c r="AD2118" s="52"/>
      <c r="AE2118" s="56"/>
      <c r="AF2118" s="56"/>
    </row>
    <row r="2119">
      <c r="A2119" s="52" t="s">
        <v>5413</v>
      </c>
      <c r="B2119" s="52"/>
      <c r="C2119" s="52"/>
      <c r="D2119" s="65"/>
      <c r="E2119" s="65"/>
      <c r="F2119" s="65"/>
      <c r="G2119" s="65"/>
      <c r="H2119" s="52"/>
      <c r="I2119" s="52"/>
      <c r="J2119" s="52"/>
      <c r="K2119" s="52"/>
      <c r="L2119" s="52"/>
      <c r="M2119" s="52"/>
      <c r="N2119" s="52" t="s">
        <v>70</v>
      </c>
      <c r="O2119" s="52"/>
      <c r="P2119" s="52"/>
      <c r="Q2119" s="52"/>
      <c r="R2119" s="51" t="b">
        <v>0</v>
      </c>
      <c r="S2119" s="51"/>
      <c r="T2119" s="52"/>
      <c r="U2119" s="51" t="b">
        <v>0</v>
      </c>
      <c r="V2119" s="51" t="b">
        <v>0</v>
      </c>
      <c r="W2119" s="51" t="b">
        <v>0</v>
      </c>
      <c r="X2119" s="51" t="b">
        <v>0</v>
      </c>
      <c r="Y2119" s="51" t="b">
        <v>0</v>
      </c>
      <c r="Z2119" s="51" t="b">
        <v>0</v>
      </c>
      <c r="AA2119" s="68"/>
      <c r="AB2119" s="52"/>
      <c r="AC2119" s="52"/>
      <c r="AD2119" s="52"/>
      <c r="AE2119" s="56"/>
      <c r="AF2119" s="56"/>
    </row>
    <row r="2120">
      <c r="A2120" s="52" t="s">
        <v>5414</v>
      </c>
      <c r="B2120" s="52"/>
      <c r="C2120" s="52"/>
      <c r="D2120" s="65"/>
      <c r="E2120" s="65"/>
      <c r="F2120" s="65"/>
      <c r="G2120" s="65"/>
      <c r="H2120" s="52"/>
      <c r="I2120" s="52"/>
      <c r="J2120" s="52"/>
      <c r="K2120" s="52"/>
      <c r="L2120" s="52"/>
      <c r="M2120" s="52"/>
      <c r="N2120" s="52" t="s">
        <v>70</v>
      </c>
      <c r="O2120" s="52"/>
      <c r="P2120" s="52"/>
      <c r="Q2120" s="52"/>
      <c r="R2120" s="51" t="b">
        <v>0</v>
      </c>
      <c r="S2120" s="51"/>
      <c r="T2120" s="52"/>
      <c r="U2120" s="51" t="b">
        <v>0</v>
      </c>
      <c r="V2120" s="51" t="b">
        <v>0</v>
      </c>
      <c r="W2120" s="51" t="b">
        <v>0</v>
      </c>
      <c r="X2120" s="51" t="b">
        <v>0</v>
      </c>
      <c r="Y2120" s="51" t="b">
        <v>0</v>
      </c>
      <c r="Z2120" s="51" t="b">
        <v>0</v>
      </c>
      <c r="AA2120" s="68"/>
      <c r="AB2120" s="52"/>
      <c r="AC2120" s="52"/>
      <c r="AD2120" s="52"/>
      <c r="AE2120" s="56"/>
      <c r="AF2120" s="56"/>
    </row>
    <row r="2121">
      <c r="A2121" s="52" t="s">
        <v>5415</v>
      </c>
      <c r="B2121" s="52"/>
      <c r="C2121" s="52"/>
      <c r="D2121" s="65"/>
      <c r="E2121" s="65"/>
      <c r="F2121" s="65"/>
      <c r="G2121" s="65"/>
      <c r="H2121" s="52"/>
      <c r="I2121" s="52"/>
      <c r="J2121" s="52"/>
      <c r="K2121" s="52"/>
      <c r="L2121" s="52"/>
      <c r="M2121" s="52"/>
      <c r="N2121" s="52" t="s">
        <v>70</v>
      </c>
      <c r="O2121" s="52"/>
      <c r="P2121" s="52"/>
      <c r="Q2121" s="52"/>
      <c r="R2121" s="51" t="b">
        <v>0</v>
      </c>
      <c r="S2121" s="51"/>
      <c r="T2121" s="52"/>
      <c r="U2121" s="51" t="b">
        <v>0</v>
      </c>
      <c r="V2121" s="51" t="b">
        <v>0</v>
      </c>
      <c r="W2121" s="51" t="b">
        <v>0</v>
      </c>
      <c r="X2121" s="51" t="b">
        <v>0</v>
      </c>
      <c r="Y2121" s="51" t="b">
        <v>0</v>
      </c>
      <c r="Z2121" s="51" t="b">
        <v>0</v>
      </c>
      <c r="AA2121" s="68"/>
      <c r="AB2121" s="52"/>
      <c r="AC2121" s="52"/>
      <c r="AD2121" s="52"/>
      <c r="AE2121" s="56"/>
      <c r="AF2121" s="56"/>
    </row>
    <row r="2122">
      <c r="A2122" s="52" t="s">
        <v>5416</v>
      </c>
      <c r="B2122" s="52"/>
      <c r="C2122" s="52"/>
      <c r="D2122" s="65"/>
      <c r="E2122" s="65"/>
      <c r="F2122" s="65"/>
      <c r="G2122" s="65"/>
      <c r="H2122" s="52"/>
      <c r="I2122" s="52"/>
      <c r="J2122" s="52"/>
      <c r="K2122" s="52"/>
      <c r="L2122" s="52"/>
      <c r="M2122" s="52"/>
      <c r="N2122" s="52" t="s">
        <v>70</v>
      </c>
      <c r="O2122" s="52"/>
      <c r="P2122" s="52"/>
      <c r="Q2122" s="52"/>
      <c r="R2122" s="51" t="b">
        <v>0</v>
      </c>
      <c r="S2122" s="51"/>
      <c r="T2122" s="52"/>
      <c r="U2122" s="51" t="b">
        <v>0</v>
      </c>
      <c r="V2122" s="51" t="b">
        <v>0</v>
      </c>
      <c r="W2122" s="51" t="b">
        <v>0</v>
      </c>
      <c r="X2122" s="51" t="b">
        <v>0</v>
      </c>
      <c r="Y2122" s="51" t="b">
        <v>0</v>
      </c>
      <c r="Z2122" s="51" t="b">
        <v>0</v>
      </c>
      <c r="AA2122" s="68"/>
      <c r="AB2122" s="52"/>
      <c r="AC2122" s="52"/>
      <c r="AD2122" s="52"/>
      <c r="AE2122" s="56"/>
      <c r="AF2122" s="56"/>
    </row>
    <row r="2123">
      <c r="A2123" s="52" t="s">
        <v>5417</v>
      </c>
      <c r="B2123" s="52"/>
      <c r="C2123" s="52"/>
      <c r="D2123" s="65"/>
      <c r="E2123" s="65"/>
      <c r="F2123" s="65"/>
      <c r="G2123" s="65"/>
      <c r="H2123" s="52"/>
      <c r="I2123" s="52"/>
      <c r="J2123" s="52"/>
      <c r="K2123" s="52"/>
      <c r="L2123" s="52"/>
      <c r="M2123" s="52"/>
      <c r="N2123" s="52" t="s">
        <v>70</v>
      </c>
      <c r="O2123" s="52"/>
      <c r="P2123" s="52"/>
      <c r="Q2123" s="52"/>
      <c r="R2123" s="51" t="b">
        <v>0</v>
      </c>
      <c r="S2123" s="51"/>
      <c r="T2123" s="52"/>
      <c r="U2123" s="51" t="b">
        <v>0</v>
      </c>
      <c r="V2123" s="51" t="b">
        <v>0</v>
      </c>
      <c r="W2123" s="51" t="b">
        <v>0</v>
      </c>
      <c r="X2123" s="51" t="b">
        <v>0</v>
      </c>
      <c r="Y2123" s="51" t="b">
        <v>0</v>
      </c>
      <c r="Z2123" s="51" t="b">
        <v>0</v>
      </c>
      <c r="AA2123" s="68"/>
      <c r="AB2123" s="52"/>
      <c r="AC2123" s="52"/>
      <c r="AD2123" s="52"/>
      <c r="AE2123" s="56"/>
      <c r="AF2123" s="56"/>
    </row>
    <row r="2124">
      <c r="A2124" s="52" t="s">
        <v>5418</v>
      </c>
      <c r="B2124" s="52"/>
      <c r="C2124" s="52"/>
      <c r="D2124" s="65"/>
      <c r="E2124" s="65"/>
      <c r="F2124" s="65"/>
      <c r="G2124" s="65"/>
      <c r="H2124" s="52"/>
      <c r="I2124" s="52"/>
      <c r="J2124" s="52"/>
      <c r="K2124" s="52"/>
      <c r="L2124" s="52"/>
      <c r="M2124" s="52"/>
      <c r="N2124" s="52" t="s">
        <v>70</v>
      </c>
      <c r="O2124" s="52"/>
      <c r="P2124" s="52"/>
      <c r="Q2124" s="52"/>
      <c r="R2124" s="51" t="b">
        <v>0</v>
      </c>
      <c r="S2124" s="51"/>
      <c r="T2124" s="52"/>
      <c r="U2124" s="51" t="b">
        <v>0</v>
      </c>
      <c r="V2124" s="51" t="b">
        <v>0</v>
      </c>
      <c r="W2124" s="51" t="b">
        <v>0</v>
      </c>
      <c r="X2124" s="51" t="b">
        <v>0</v>
      </c>
      <c r="Y2124" s="51" t="b">
        <v>0</v>
      </c>
      <c r="Z2124" s="51" t="b">
        <v>0</v>
      </c>
      <c r="AA2124" s="68"/>
      <c r="AB2124" s="52"/>
      <c r="AC2124" s="52"/>
      <c r="AD2124" s="52"/>
      <c r="AE2124" s="56"/>
      <c r="AF2124" s="56"/>
    </row>
    <row r="2125">
      <c r="A2125" s="52" t="s">
        <v>5419</v>
      </c>
      <c r="B2125" s="52"/>
      <c r="C2125" s="52"/>
      <c r="D2125" s="65"/>
      <c r="E2125" s="65"/>
      <c r="F2125" s="65"/>
      <c r="G2125" s="65"/>
      <c r="H2125" s="52"/>
      <c r="I2125" s="52"/>
      <c r="J2125" s="52"/>
      <c r="K2125" s="52"/>
      <c r="L2125" s="52"/>
      <c r="M2125" s="52"/>
      <c r="N2125" s="52" t="s">
        <v>70</v>
      </c>
      <c r="O2125" s="52"/>
      <c r="P2125" s="52"/>
      <c r="Q2125" s="52"/>
      <c r="R2125" s="51" t="b">
        <v>0</v>
      </c>
      <c r="S2125" s="51"/>
      <c r="T2125" s="52"/>
      <c r="U2125" s="51" t="b">
        <v>0</v>
      </c>
      <c r="V2125" s="51" t="b">
        <v>0</v>
      </c>
      <c r="W2125" s="51" t="b">
        <v>0</v>
      </c>
      <c r="X2125" s="51" t="b">
        <v>0</v>
      </c>
      <c r="Y2125" s="51" t="b">
        <v>0</v>
      </c>
      <c r="Z2125" s="51" t="b">
        <v>0</v>
      </c>
      <c r="AA2125" s="68"/>
      <c r="AB2125" s="52"/>
      <c r="AC2125" s="52"/>
      <c r="AD2125" s="52"/>
      <c r="AE2125" s="56"/>
      <c r="AF2125" s="56"/>
    </row>
    <row r="2126">
      <c r="A2126" s="52" t="s">
        <v>5420</v>
      </c>
      <c r="B2126" s="52"/>
      <c r="C2126" s="52"/>
      <c r="D2126" s="65"/>
      <c r="E2126" s="65"/>
      <c r="F2126" s="65"/>
      <c r="G2126" s="65"/>
      <c r="H2126" s="52"/>
      <c r="I2126" s="52"/>
      <c r="J2126" s="52"/>
      <c r="K2126" s="52"/>
      <c r="L2126" s="52"/>
      <c r="M2126" s="52"/>
      <c r="N2126" s="52" t="s">
        <v>70</v>
      </c>
      <c r="O2126" s="52"/>
      <c r="P2126" s="52"/>
      <c r="Q2126" s="52"/>
      <c r="R2126" s="51" t="b">
        <v>0</v>
      </c>
      <c r="S2126" s="51"/>
      <c r="T2126" s="52"/>
      <c r="U2126" s="51" t="b">
        <v>0</v>
      </c>
      <c r="V2126" s="51" t="b">
        <v>0</v>
      </c>
      <c r="W2126" s="51" t="b">
        <v>0</v>
      </c>
      <c r="X2126" s="51" t="b">
        <v>0</v>
      </c>
      <c r="Y2126" s="51" t="b">
        <v>0</v>
      </c>
      <c r="Z2126" s="51" t="b">
        <v>0</v>
      </c>
      <c r="AA2126" s="68"/>
      <c r="AB2126" s="52"/>
      <c r="AC2126" s="52"/>
      <c r="AD2126" s="52"/>
      <c r="AE2126" s="56"/>
      <c r="AF2126" s="56"/>
    </row>
    <row r="2127">
      <c r="A2127" s="52" t="s">
        <v>5421</v>
      </c>
      <c r="B2127" s="52"/>
      <c r="C2127" s="52"/>
      <c r="D2127" s="65"/>
      <c r="E2127" s="65"/>
      <c r="F2127" s="65"/>
      <c r="G2127" s="65"/>
      <c r="H2127" s="52"/>
      <c r="I2127" s="52"/>
      <c r="J2127" s="52"/>
      <c r="K2127" s="52"/>
      <c r="L2127" s="52"/>
      <c r="M2127" s="52"/>
      <c r="N2127" s="52" t="s">
        <v>70</v>
      </c>
      <c r="O2127" s="52"/>
      <c r="P2127" s="52"/>
      <c r="Q2127" s="52"/>
      <c r="R2127" s="51" t="b">
        <v>0</v>
      </c>
      <c r="S2127" s="51"/>
      <c r="T2127" s="52"/>
      <c r="U2127" s="51" t="b">
        <v>0</v>
      </c>
      <c r="V2127" s="51" t="b">
        <v>0</v>
      </c>
      <c r="W2127" s="51" t="b">
        <v>0</v>
      </c>
      <c r="X2127" s="51" t="b">
        <v>0</v>
      </c>
      <c r="Y2127" s="51" t="b">
        <v>0</v>
      </c>
      <c r="Z2127" s="51" t="b">
        <v>0</v>
      </c>
      <c r="AA2127" s="68"/>
      <c r="AB2127" s="52"/>
      <c r="AC2127" s="52"/>
      <c r="AD2127" s="52"/>
      <c r="AE2127" s="56"/>
      <c r="AF2127" s="56"/>
    </row>
    <row r="2128">
      <c r="A2128" s="52" t="s">
        <v>5422</v>
      </c>
      <c r="B2128" s="52"/>
      <c r="C2128" s="52"/>
      <c r="D2128" s="65"/>
      <c r="E2128" s="65"/>
      <c r="F2128" s="65"/>
      <c r="G2128" s="65"/>
      <c r="H2128" s="52"/>
      <c r="I2128" s="52"/>
      <c r="J2128" s="52"/>
      <c r="K2128" s="52"/>
      <c r="L2128" s="52"/>
      <c r="M2128" s="52"/>
      <c r="N2128" s="52" t="s">
        <v>70</v>
      </c>
      <c r="O2128" s="52"/>
      <c r="P2128" s="52"/>
      <c r="Q2128" s="52"/>
      <c r="R2128" s="51" t="b">
        <v>0</v>
      </c>
      <c r="S2128" s="51"/>
      <c r="T2128" s="52"/>
      <c r="U2128" s="51" t="b">
        <v>0</v>
      </c>
      <c r="V2128" s="51" t="b">
        <v>0</v>
      </c>
      <c r="W2128" s="51" t="b">
        <v>0</v>
      </c>
      <c r="X2128" s="51" t="b">
        <v>0</v>
      </c>
      <c r="Y2128" s="51" t="b">
        <v>0</v>
      </c>
      <c r="Z2128" s="51" t="b">
        <v>0</v>
      </c>
      <c r="AA2128" s="68"/>
      <c r="AB2128" s="52"/>
      <c r="AC2128" s="52"/>
      <c r="AD2128" s="52"/>
      <c r="AE2128" s="56"/>
      <c r="AF2128" s="56"/>
    </row>
    <row r="2129">
      <c r="A2129" s="52" t="s">
        <v>5423</v>
      </c>
      <c r="B2129" s="52"/>
      <c r="C2129" s="52"/>
      <c r="D2129" s="65"/>
      <c r="E2129" s="65"/>
      <c r="F2129" s="65"/>
      <c r="G2129" s="65"/>
      <c r="H2129" s="52"/>
      <c r="I2129" s="52"/>
      <c r="J2129" s="52"/>
      <c r="K2129" s="52"/>
      <c r="L2129" s="52"/>
      <c r="M2129" s="52"/>
      <c r="N2129" s="52" t="s">
        <v>70</v>
      </c>
      <c r="O2129" s="52"/>
      <c r="P2129" s="52"/>
      <c r="Q2129" s="52"/>
      <c r="R2129" s="51" t="b">
        <v>0</v>
      </c>
      <c r="S2129" s="51"/>
      <c r="T2129" s="52"/>
      <c r="U2129" s="51" t="b">
        <v>0</v>
      </c>
      <c r="V2129" s="51" t="b">
        <v>0</v>
      </c>
      <c r="W2129" s="51" t="b">
        <v>0</v>
      </c>
      <c r="X2129" s="51" t="b">
        <v>0</v>
      </c>
      <c r="Y2129" s="51" t="b">
        <v>0</v>
      </c>
      <c r="Z2129" s="51" t="b">
        <v>0</v>
      </c>
      <c r="AA2129" s="68"/>
      <c r="AB2129" s="52"/>
      <c r="AC2129" s="52"/>
      <c r="AD2129" s="52"/>
      <c r="AE2129" s="56"/>
      <c r="AF2129" s="56"/>
    </row>
    <row r="2130">
      <c r="A2130" s="52" t="s">
        <v>5424</v>
      </c>
      <c r="B2130" s="52"/>
      <c r="C2130" s="52"/>
      <c r="D2130" s="65"/>
      <c r="E2130" s="65"/>
      <c r="F2130" s="65"/>
      <c r="G2130" s="65"/>
      <c r="H2130" s="52"/>
      <c r="I2130" s="52"/>
      <c r="J2130" s="52"/>
      <c r="K2130" s="52"/>
      <c r="L2130" s="52"/>
      <c r="M2130" s="52"/>
      <c r="N2130" s="52" t="s">
        <v>70</v>
      </c>
      <c r="O2130" s="52"/>
      <c r="P2130" s="52"/>
      <c r="Q2130" s="52"/>
      <c r="R2130" s="51" t="b">
        <v>0</v>
      </c>
      <c r="S2130" s="51"/>
      <c r="T2130" s="52"/>
      <c r="U2130" s="51" t="b">
        <v>0</v>
      </c>
      <c r="V2130" s="51" t="b">
        <v>0</v>
      </c>
      <c r="W2130" s="51" t="b">
        <v>0</v>
      </c>
      <c r="X2130" s="51" t="b">
        <v>0</v>
      </c>
      <c r="Y2130" s="51" t="b">
        <v>0</v>
      </c>
      <c r="Z2130" s="51" t="b">
        <v>0</v>
      </c>
      <c r="AA2130" s="68"/>
      <c r="AB2130" s="52"/>
      <c r="AC2130" s="52"/>
      <c r="AD2130" s="52"/>
      <c r="AE2130" s="56"/>
      <c r="AF2130" s="56"/>
    </row>
    <row r="2131">
      <c r="A2131" s="52" t="s">
        <v>5425</v>
      </c>
      <c r="B2131" s="52"/>
      <c r="C2131" s="52"/>
      <c r="D2131" s="65"/>
      <c r="E2131" s="65"/>
      <c r="F2131" s="65"/>
      <c r="G2131" s="65"/>
      <c r="H2131" s="52"/>
      <c r="I2131" s="52"/>
      <c r="J2131" s="52"/>
      <c r="K2131" s="52"/>
      <c r="L2131" s="52"/>
      <c r="M2131" s="52"/>
      <c r="N2131" s="52" t="s">
        <v>70</v>
      </c>
      <c r="O2131" s="52"/>
      <c r="P2131" s="52"/>
      <c r="Q2131" s="52"/>
      <c r="R2131" s="51" t="b">
        <v>0</v>
      </c>
      <c r="S2131" s="51"/>
      <c r="T2131" s="52"/>
      <c r="U2131" s="51" t="b">
        <v>0</v>
      </c>
      <c r="V2131" s="51" t="b">
        <v>0</v>
      </c>
      <c r="W2131" s="51" t="b">
        <v>0</v>
      </c>
      <c r="X2131" s="51" t="b">
        <v>0</v>
      </c>
      <c r="Y2131" s="51" t="b">
        <v>0</v>
      </c>
      <c r="Z2131" s="51" t="b">
        <v>0</v>
      </c>
      <c r="AA2131" s="68"/>
      <c r="AB2131" s="52"/>
      <c r="AC2131" s="52"/>
      <c r="AD2131" s="52"/>
      <c r="AE2131" s="56"/>
      <c r="AF2131" s="56"/>
    </row>
    <row r="2132">
      <c r="A2132" s="52" t="s">
        <v>5426</v>
      </c>
      <c r="B2132" s="52"/>
      <c r="C2132" s="52"/>
      <c r="D2132" s="65"/>
      <c r="E2132" s="65"/>
      <c r="F2132" s="65"/>
      <c r="G2132" s="65"/>
      <c r="H2132" s="52"/>
      <c r="I2132" s="52"/>
      <c r="J2132" s="52"/>
      <c r="K2132" s="52"/>
      <c r="L2132" s="52"/>
      <c r="M2132" s="52"/>
      <c r="N2132" s="52" t="s">
        <v>70</v>
      </c>
      <c r="O2132" s="52"/>
      <c r="P2132" s="52"/>
      <c r="Q2132" s="52"/>
      <c r="R2132" s="51" t="b">
        <v>0</v>
      </c>
      <c r="S2132" s="51"/>
      <c r="T2132" s="52"/>
      <c r="U2132" s="51" t="b">
        <v>0</v>
      </c>
      <c r="V2132" s="51" t="b">
        <v>0</v>
      </c>
      <c r="W2132" s="51" t="b">
        <v>0</v>
      </c>
      <c r="X2132" s="51" t="b">
        <v>0</v>
      </c>
      <c r="Y2132" s="51" t="b">
        <v>0</v>
      </c>
      <c r="Z2132" s="51" t="b">
        <v>0</v>
      </c>
      <c r="AA2132" s="68"/>
      <c r="AB2132" s="52"/>
      <c r="AC2132" s="52"/>
      <c r="AD2132" s="52"/>
      <c r="AE2132" s="56"/>
      <c r="AF2132" s="56"/>
    </row>
    <row r="2133">
      <c r="A2133" s="52" t="s">
        <v>5427</v>
      </c>
      <c r="B2133" s="52"/>
      <c r="C2133" s="52"/>
      <c r="D2133" s="65"/>
      <c r="E2133" s="65"/>
      <c r="F2133" s="65"/>
      <c r="G2133" s="65"/>
      <c r="H2133" s="52"/>
      <c r="I2133" s="52"/>
      <c r="J2133" s="52"/>
      <c r="K2133" s="52"/>
      <c r="L2133" s="52"/>
      <c r="M2133" s="52"/>
      <c r="N2133" s="52" t="s">
        <v>70</v>
      </c>
      <c r="O2133" s="52"/>
      <c r="P2133" s="52"/>
      <c r="Q2133" s="52"/>
      <c r="R2133" s="51" t="b">
        <v>0</v>
      </c>
      <c r="S2133" s="51"/>
      <c r="T2133" s="52"/>
      <c r="U2133" s="51" t="b">
        <v>0</v>
      </c>
      <c r="V2133" s="51" t="b">
        <v>0</v>
      </c>
      <c r="W2133" s="51" t="b">
        <v>0</v>
      </c>
      <c r="X2133" s="51" t="b">
        <v>0</v>
      </c>
      <c r="Y2133" s="51" t="b">
        <v>0</v>
      </c>
      <c r="Z2133" s="51" t="b">
        <v>0</v>
      </c>
      <c r="AA2133" s="68"/>
      <c r="AB2133" s="52"/>
      <c r="AC2133" s="52"/>
      <c r="AD2133" s="52"/>
      <c r="AE2133" s="56"/>
      <c r="AF2133" s="56"/>
    </row>
    <row r="2134">
      <c r="A2134" s="52" t="s">
        <v>5428</v>
      </c>
      <c r="B2134" s="52"/>
      <c r="C2134" s="52"/>
      <c r="D2134" s="65"/>
      <c r="E2134" s="65"/>
      <c r="F2134" s="65"/>
      <c r="G2134" s="65"/>
      <c r="H2134" s="52"/>
      <c r="I2134" s="52"/>
      <c r="J2134" s="52"/>
      <c r="K2134" s="52"/>
      <c r="L2134" s="52"/>
      <c r="M2134" s="52"/>
      <c r="N2134" s="52" t="s">
        <v>70</v>
      </c>
      <c r="O2134" s="52"/>
      <c r="P2134" s="52"/>
      <c r="Q2134" s="52"/>
      <c r="R2134" s="51" t="b">
        <v>0</v>
      </c>
      <c r="S2134" s="51"/>
      <c r="T2134" s="52"/>
      <c r="U2134" s="51" t="b">
        <v>0</v>
      </c>
      <c r="V2134" s="51" t="b">
        <v>0</v>
      </c>
      <c r="W2134" s="51" t="b">
        <v>0</v>
      </c>
      <c r="X2134" s="51" t="b">
        <v>0</v>
      </c>
      <c r="Y2134" s="51" t="b">
        <v>0</v>
      </c>
      <c r="Z2134" s="51" t="b">
        <v>0</v>
      </c>
      <c r="AA2134" s="68"/>
      <c r="AB2134" s="52"/>
      <c r="AC2134" s="52"/>
      <c r="AD2134" s="52"/>
      <c r="AE2134" s="56"/>
      <c r="AF2134" s="56"/>
    </row>
    <row r="2135">
      <c r="A2135" s="52" t="s">
        <v>5429</v>
      </c>
      <c r="B2135" s="52"/>
      <c r="C2135" s="52"/>
      <c r="D2135" s="65"/>
      <c r="E2135" s="65"/>
      <c r="F2135" s="65"/>
      <c r="G2135" s="65"/>
      <c r="H2135" s="52"/>
      <c r="I2135" s="52"/>
      <c r="J2135" s="52"/>
      <c r="K2135" s="52"/>
      <c r="L2135" s="52"/>
      <c r="M2135" s="52"/>
      <c r="N2135" s="52" t="s">
        <v>70</v>
      </c>
      <c r="O2135" s="52"/>
      <c r="P2135" s="52"/>
      <c r="Q2135" s="52"/>
      <c r="R2135" s="51" t="b">
        <v>0</v>
      </c>
      <c r="S2135" s="51"/>
      <c r="T2135" s="52"/>
      <c r="U2135" s="51" t="b">
        <v>0</v>
      </c>
      <c r="V2135" s="51" t="b">
        <v>0</v>
      </c>
      <c r="W2135" s="51" t="b">
        <v>0</v>
      </c>
      <c r="X2135" s="51" t="b">
        <v>0</v>
      </c>
      <c r="Y2135" s="51" t="b">
        <v>0</v>
      </c>
      <c r="Z2135" s="51" t="b">
        <v>0</v>
      </c>
      <c r="AA2135" s="68"/>
      <c r="AB2135" s="52"/>
      <c r="AC2135" s="52"/>
      <c r="AD2135" s="52"/>
      <c r="AE2135" s="56"/>
      <c r="AF2135" s="56"/>
    </row>
    <row r="2136">
      <c r="A2136" s="52" t="s">
        <v>5430</v>
      </c>
      <c r="B2136" s="52"/>
      <c r="C2136" s="52"/>
      <c r="D2136" s="65"/>
      <c r="E2136" s="65"/>
      <c r="F2136" s="65"/>
      <c r="G2136" s="65"/>
      <c r="H2136" s="52"/>
      <c r="I2136" s="52"/>
      <c r="J2136" s="52"/>
      <c r="K2136" s="52"/>
      <c r="L2136" s="52"/>
      <c r="M2136" s="52"/>
      <c r="N2136" s="52" t="s">
        <v>70</v>
      </c>
      <c r="O2136" s="52"/>
      <c r="P2136" s="52"/>
      <c r="Q2136" s="52"/>
      <c r="R2136" s="51" t="b">
        <v>0</v>
      </c>
      <c r="S2136" s="51"/>
      <c r="T2136" s="52"/>
      <c r="U2136" s="51" t="b">
        <v>0</v>
      </c>
      <c r="V2136" s="51" t="b">
        <v>0</v>
      </c>
      <c r="W2136" s="51" t="b">
        <v>0</v>
      </c>
      <c r="X2136" s="51" t="b">
        <v>0</v>
      </c>
      <c r="Y2136" s="51" t="b">
        <v>0</v>
      </c>
      <c r="Z2136" s="51" t="b">
        <v>0</v>
      </c>
      <c r="AA2136" s="68"/>
      <c r="AB2136" s="52"/>
      <c r="AC2136" s="52"/>
      <c r="AD2136" s="52"/>
      <c r="AE2136" s="56"/>
      <c r="AF2136" s="56"/>
    </row>
    <row r="2137">
      <c r="A2137" s="52" t="s">
        <v>5431</v>
      </c>
      <c r="B2137" s="52"/>
      <c r="C2137" s="52"/>
      <c r="D2137" s="65"/>
      <c r="E2137" s="65"/>
      <c r="F2137" s="65"/>
      <c r="G2137" s="65"/>
      <c r="H2137" s="52"/>
      <c r="I2137" s="52"/>
      <c r="J2137" s="52"/>
      <c r="K2137" s="52"/>
      <c r="L2137" s="52"/>
      <c r="M2137" s="52"/>
      <c r="N2137" s="52" t="s">
        <v>70</v>
      </c>
      <c r="O2137" s="52"/>
      <c r="P2137" s="52"/>
      <c r="Q2137" s="52"/>
      <c r="R2137" s="51" t="b">
        <v>0</v>
      </c>
      <c r="S2137" s="51"/>
      <c r="T2137" s="52"/>
      <c r="U2137" s="51" t="b">
        <v>0</v>
      </c>
      <c r="V2137" s="51" t="b">
        <v>0</v>
      </c>
      <c r="W2137" s="51" t="b">
        <v>0</v>
      </c>
      <c r="X2137" s="51" t="b">
        <v>0</v>
      </c>
      <c r="Y2137" s="51" t="b">
        <v>0</v>
      </c>
      <c r="Z2137" s="51" t="b">
        <v>0</v>
      </c>
      <c r="AA2137" s="68"/>
      <c r="AB2137" s="52"/>
      <c r="AC2137" s="52"/>
      <c r="AD2137" s="52"/>
      <c r="AE2137" s="56"/>
      <c r="AF2137" s="56"/>
    </row>
    <row r="2138">
      <c r="A2138" s="52" t="s">
        <v>5432</v>
      </c>
      <c r="B2138" s="52"/>
      <c r="C2138" s="52"/>
      <c r="D2138" s="65"/>
      <c r="E2138" s="65"/>
      <c r="F2138" s="65"/>
      <c r="G2138" s="65"/>
      <c r="H2138" s="52"/>
      <c r="I2138" s="52"/>
      <c r="J2138" s="52"/>
      <c r="K2138" s="52"/>
      <c r="L2138" s="52"/>
      <c r="M2138" s="52"/>
      <c r="N2138" s="52" t="s">
        <v>70</v>
      </c>
      <c r="O2138" s="52"/>
      <c r="P2138" s="52"/>
      <c r="Q2138" s="52"/>
      <c r="R2138" s="51" t="b">
        <v>0</v>
      </c>
      <c r="S2138" s="51"/>
      <c r="T2138" s="52"/>
      <c r="U2138" s="51" t="b">
        <v>0</v>
      </c>
      <c r="V2138" s="51" t="b">
        <v>0</v>
      </c>
      <c r="W2138" s="51" t="b">
        <v>0</v>
      </c>
      <c r="X2138" s="51" t="b">
        <v>0</v>
      </c>
      <c r="Y2138" s="51" t="b">
        <v>0</v>
      </c>
      <c r="Z2138" s="51" t="b">
        <v>0</v>
      </c>
      <c r="AA2138" s="68"/>
      <c r="AB2138" s="52"/>
      <c r="AC2138" s="52"/>
      <c r="AD2138" s="52"/>
      <c r="AE2138" s="56"/>
      <c r="AF2138" s="56"/>
    </row>
    <row r="2139">
      <c r="A2139" s="52" t="s">
        <v>5433</v>
      </c>
      <c r="B2139" s="52"/>
      <c r="C2139" s="52"/>
      <c r="D2139" s="65"/>
      <c r="E2139" s="65"/>
      <c r="F2139" s="65"/>
      <c r="G2139" s="65"/>
      <c r="H2139" s="52"/>
      <c r="I2139" s="52"/>
      <c r="J2139" s="52"/>
      <c r="K2139" s="52"/>
      <c r="L2139" s="52"/>
      <c r="M2139" s="52"/>
      <c r="N2139" s="52" t="s">
        <v>70</v>
      </c>
      <c r="O2139" s="52"/>
      <c r="P2139" s="52"/>
      <c r="Q2139" s="52"/>
      <c r="R2139" s="51" t="b">
        <v>0</v>
      </c>
      <c r="S2139" s="51"/>
      <c r="T2139" s="52"/>
      <c r="U2139" s="51" t="b">
        <v>0</v>
      </c>
      <c r="V2139" s="51" t="b">
        <v>0</v>
      </c>
      <c r="W2139" s="51" t="b">
        <v>0</v>
      </c>
      <c r="X2139" s="51" t="b">
        <v>0</v>
      </c>
      <c r="Y2139" s="51" t="b">
        <v>0</v>
      </c>
      <c r="Z2139" s="51" t="b">
        <v>0</v>
      </c>
      <c r="AA2139" s="68"/>
      <c r="AB2139" s="52"/>
      <c r="AC2139" s="52"/>
      <c r="AD2139" s="52"/>
      <c r="AE2139" s="56"/>
      <c r="AF2139" s="56"/>
    </row>
    <row r="2140">
      <c r="A2140" s="52" t="s">
        <v>5434</v>
      </c>
      <c r="B2140" s="52"/>
      <c r="C2140" s="52"/>
      <c r="D2140" s="65"/>
      <c r="E2140" s="65"/>
      <c r="F2140" s="65"/>
      <c r="G2140" s="65"/>
      <c r="H2140" s="52"/>
      <c r="I2140" s="52"/>
      <c r="J2140" s="52"/>
      <c r="K2140" s="52"/>
      <c r="L2140" s="52"/>
      <c r="M2140" s="52"/>
      <c r="N2140" s="52" t="s">
        <v>70</v>
      </c>
      <c r="O2140" s="52"/>
      <c r="P2140" s="52"/>
      <c r="Q2140" s="52"/>
      <c r="R2140" s="51" t="b">
        <v>0</v>
      </c>
      <c r="S2140" s="51"/>
      <c r="T2140" s="52"/>
      <c r="U2140" s="51" t="b">
        <v>0</v>
      </c>
      <c r="V2140" s="51" t="b">
        <v>0</v>
      </c>
      <c r="W2140" s="51" t="b">
        <v>0</v>
      </c>
      <c r="X2140" s="51" t="b">
        <v>0</v>
      </c>
      <c r="Y2140" s="51" t="b">
        <v>0</v>
      </c>
      <c r="Z2140" s="51" t="b">
        <v>0</v>
      </c>
      <c r="AA2140" s="68"/>
      <c r="AB2140" s="52"/>
      <c r="AC2140" s="52"/>
      <c r="AD2140" s="52"/>
      <c r="AE2140" s="56"/>
      <c r="AF2140" s="56"/>
    </row>
    <row r="2141">
      <c r="A2141" s="52" t="s">
        <v>5435</v>
      </c>
      <c r="B2141" s="52"/>
      <c r="C2141" s="52"/>
      <c r="D2141" s="65"/>
      <c r="E2141" s="65"/>
      <c r="F2141" s="65"/>
      <c r="G2141" s="65"/>
      <c r="H2141" s="52"/>
      <c r="I2141" s="52"/>
      <c r="J2141" s="52"/>
      <c r="K2141" s="52"/>
      <c r="L2141" s="52"/>
      <c r="M2141" s="52"/>
      <c r="N2141" s="52" t="s">
        <v>70</v>
      </c>
      <c r="O2141" s="52"/>
      <c r="P2141" s="52"/>
      <c r="Q2141" s="52"/>
      <c r="R2141" s="51" t="b">
        <v>0</v>
      </c>
      <c r="S2141" s="51"/>
      <c r="T2141" s="52"/>
      <c r="U2141" s="51" t="b">
        <v>0</v>
      </c>
      <c r="V2141" s="51" t="b">
        <v>0</v>
      </c>
      <c r="W2141" s="51" t="b">
        <v>0</v>
      </c>
      <c r="X2141" s="51" t="b">
        <v>0</v>
      </c>
      <c r="Y2141" s="51" t="b">
        <v>0</v>
      </c>
      <c r="Z2141" s="51" t="b">
        <v>0</v>
      </c>
      <c r="AA2141" s="68"/>
      <c r="AB2141" s="52"/>
      <c r="AC2141" s="52"/>
      <c r="AD2141" s="52"/>
      <c r="AE2141" s="56"/>
      <c r="AF2141" s="56"/>
    </row>
    <row r="2142">
      <c r="A2142" s="52" t="s">
        <v>5436</v>
      </c>
      <c r="B2142" s="52"/>
      <c r="C2142" s="52"/>
      <c r="D2142" s="65"/>
      <c r="E2142" s="65"/>
      <c r="F2142" s="65"/>
      <c r="G2142" s="65"/>
      <c r="H2142" s="52"/>
      <c r="I2142" s="52"/>
      <c r="J2142" s="52"/>
      <c r="K2142" s="52"/>
      <c r="L2142" s="52"/>
      <c r="M2142" s="52"/>
      <c r="N2142" s="52" t="s">
        <v>70</v>
      </c>
      <c r="O2142" s="52"/>
      <c r="P2142" s="52"/>
      <c r="Q2142" s="52"/>
      <c r="R2142" s="51" t="b">
        <v>0</v>
      </c>
      <c r="S2142" s="51"/>
      <c r="T2142" s="52"/>
      <c r="U2142" s="51" t="b">
        <v>0</v>
      </c>
      <c r="V2142" s="51" t="b">
        <v>0</v>
      </c>
      <c r="W2142" s="51" t="b">
        <v>0</v>
      </c>
      <c r="X2142" s="51" t="b">
        <v>0</v>
      </c>
      <c r="Y2142" s="51" t="b">
        <v>0</v>
      </c>
      <c r="Z2142" s="51" t="b">
        <v>0</v>
      </c>
      <c r="AA2142" s="68"/>
      <c r="AB2142" s="52"/>
      <c r="AC2142" s="52"/>
      <c r="AD2142" s="52"/>
      <c r="AE2142" s="56"/>
      <c r="AF2142" s="56"/>
    </row>
    <row r="2143">
      <c r="A2143" s="52" t="s">
        <v>5437</v>
      </c>
      <c r="B2143" s="52"/>
      <c r="C2143" s="52"/>
      <c r="D2143" s="65"/>
      <c r="E2143" s="65"/>
      <c r="F2143" s="65"/>
      <c r="G2143" s="65"/>
      <c r="H2143" s="52"/>
      <c r="I2143" s="52"/>
      <c r="J2143" s="52"/>
      <c r="K2143" s="52"/>
      <c r="L2143" s="52"/>
      <c r="M2143" s="52"/>
      <c r="N2143" s="52" t="s">
        <v>70</v>
      </c>
      <c r="O2143" s="52"/>
      <c r="P2143" s="52"/>
      <c r="Q2143" s="52"/>
      <c r="R2143" s="51" t="b">
        <v>0</v>
      </c>
      <c r="S2143" s="51"/>
      <c r="T2143" s="52"/>
      <c r="U2143" s="51" t="b">
        <v>0</v>
      </c>
      <c r="V2143" s="51" t="b">
        <v>0</v>
      </c>
      <c r="W2143" s="51" t="b">
        <v>0</v>
      </c>
      <c r="X2143" s="51" t="b">
        <v>0</v>
      </c>
      <c r="Y2143" s="51" t="b">
        <v>0</v>
      </c>
      <c r="Z2143" s="51" t="b">
        <v>0</v>
      </c>
      <c r="AA2143" s="68"/>
      <c r="AB2143" s="52"/>
      <c r="AC2143" s="52"/>
      <c r="AD2143" s="52"/>
      <c r="AE2143" s="56"/>
      <c r="AF2143" s="56"/>
    </row>
    <row r="2144">
      <c r="A2144" s="52" t="s">
        <v>5438</v>
      </c>
      <c r="B2144" s="52"/>
      <c r="C2144" s="52"/>
      <c r="D2144" s="65"/>
      <c r="E2144" s="65"/>
      <c r="F2144" s="65"/>
      <c r="G2144" s="65"/>
      <c r="H2144" s="52"/>
      <c r="I2144" s="52"/>
      <c r="J2144" s="52"/>
      <c r="K2144" s="52"/>
      <c r="L2144" s="52"/>
      <c r="M2144" s="52"/>
      <c r="N2144" s="52" t="s">
        <v>70</v>
      </c>
      <c r="O2144" s="52"/>
      <c r="P2144" s="52"/>
      <c r="Q2144" s="52"/>
      <c r="R2144" s="51" t="b">
        <v>0</v>
      </c>
      <c r="S2144" s="51"/>
      <c r="T2144" s="52"/>
      <c r="U2144" s="51" t="b">
        <v>0</v>
      </c>
      <c r="V2144" s="51" t="b">
        <v>0</v>
      </c>
      <c r="W2144" s="51" t="b">
        <v>0</v>
      </c>
      <c r="X2144" s="51" t="b">
        <v>0</v>
      </c>
      <c r="Y2144" s="51" t="b">
        <v>0</v>
      </c>
      <c r="Z2144" s="51" t="b">
        <v>0</v>
      </c>
      <c r="AA2144" s="68"/>
      <c r="AB2144" s="52"/>
      <c r="AC2144" s="52"/>
      <c r="AD2144" s="52"/>
      <c r="AE2144" s="56"/>
      <c r="AF2144" s="56"/>
    </row>
    <row r="2145">
      <c r="A2145" s="52" t="s">
        <v>5439</v>
      </c>
      <c r="B2145" s="52"/>
      <c r="C2145" s="52"/>
      <c r="D2145" s="65"/>
      <c r="E2145" s="65"/>
      <c r="F2145" s="65"/>
      <c r="G2145" s="65"/>
      <c r="H2145" s="52"/>
      <c r="I2145" s="52"/>
      <c r="J2145" s="52"/>
      <c r="K2145" s="52"/>
      <c r="L2145" s="52"/>
      <c r="M2145" s="52"/>
      <c r="N2145" s="52" t="s">
        <v>70</v>
      </c>
      <c r="O2145" s="52"/>
      <c r="P2145" s="52"/>
      <c r="Q2145" s="52"/>
      <c r="R2145" s="51" t="b">
        <v>0</v>
      </c>
      <c r="S2145" s="51"/>
      <c r="T2145" s="52"/>
      <c r="U2145" s="51" t="b">
        <v>0</v>
      </c>
      <c r="V2145" s="51" t="b">
        <v>0</v>
      </c>
      <c r="W2145" s="51" t="b">
        <v>0</v>
      </c>
      <c r="X2145" s="51" t="b">
        <v>0</v>
      </c>
      <c r="Y2145" s="51" t="b">
        <v>0</v>
      </c>
      <c r="Z2145" s="51" t="b">
        <v>0</v>
      </c>
      <c r="AA2145" s="68"/>
      <c r="AB2145" s="52"/>
      <c r="AC2145" s="52"/>
      <c r="AD2145" s="52"/>
      <c r="AE2145" s="56"/>
      <c r="AF2145" s="56"/>
    </row>
    <row r="2146">
      <c r="A2146" s="52" t="s">
        <v>5440</v>
      </c>
      <c r="B2146" s="52"/>
      <c r="C2146" s="52"/>
      <c r="D2146" s="65"/>
      <c r="E2146" s="65"/>
      <c r="F2146" s="65"/>
      <c r="G2146" s="65"/>
      <c r="H2146" s="52"/>
      <c r="I2146" s="52"/>
      <c r="J2146" s="52"/>
      <c r="K2146" s="52"/>
      <c r="L2146" s="52"/>
      <c r="M2146" s="52"/>
      <c r="N2146" s="52" t="s">
        <v>70</v>
      </c>
      <c r="O2146" s="52"/>
      <c r="P2146" s="52"/>
      <c r="Q2146" s="52"/>
      <c r="R2146" s="51" t="b">
        <v>0</v>
      </c>
      <c r="S2146" s="51"/>
      <c r="T2146" s="52"/>
      <c r="U2146" s="51" t="b">
        <v>0</v>
      </c>
      <c r="V2146" s="51" t="b">
        <v>0</v>
      </c>
      <c r="W2146" s="51" t="b">
        <v>0</v>
      </c>
      <c r="X2146" s="51" t="b">
        <v>0</v>
      </c>
      <c r="Y2146" s="51" t="b">
        <v>0</v>
      </c>
      <c r="Z2146" s="51" t="b">
        <v>0</v>
      </c>
      <c r="AA2146" s="68"/>
      <c r="AB2146" s="52"/>
      <c r="AC2146" s="52"/>
      <c r="AD2146" s="52"/>
      <c r="AE2146" s="56"/>
      <c r="AF2146" s="56"/>
    </row>
    <row r="2147">
      <c r="A2147" s="52" t="s">
        <v>5441</v>
      </c>
      <c r="B2147" s="52"/>
      <c r="C2147" s="52"/>
      <c r="D2147" s="65"/>
      <c r="E2147" s="65"/>
      <c r="F2147" s="65"/>
      <c r="G2147" s="65"/>
      <c r="H2147" s="52"/>
      <c r="I2147" s="52"/>
      <c r="J2147" s="52"/>
      <c r="K2147" s="52"/>
      <c r="L2147" s="52"/>
      <c r="M2147" s="52"/>
      <c r="N2147" s="52" t="s">
        <v>70</v>
      </c>
      <c r="O2147" s="52"/>
      <c r="P2147" s="52"/>
      <c r="Q2147" s="52"/>
      <c r="R2147" s="51" t="b">
        <v>0</v>
      </c>
      <c r="S2147" s="51"/>
      <c r="T2147" s="52"/>
      <c r="U2147" s="51" t="b">
        <v>0</v>
      </c>
      <c r="V2147" s="51" t="b">
        <v>0</v>
      </c>
      <c r="W2147" s="51" t="b">
        <v>0</v>
      </c>
      <c r="X2147" s="51" t="b">
        <v>0</v>
      </c>
      <c r="Y2147" s="51" t="b">
        <v>0</v>
      </c>
      <c r="Z2147" s="51" t="b">
        <v>0</v>
      </c>
      <c r="AA2147" s="68"/>
      <c r="AB2147" s="52"/>
      <c r="AC2147" s="52"/>
      <c r="AD2147" s="52"/>
      <c r="AE2147" s="56"/>
      <c r="AF2147" s="56"/>
    </row>
    <row r="2148">
      <c r="A2148" s="52" t="s">
        <v>5442</v>
      </c>
      <c r="B2148" s="52"/>
      <c r="C2148" s="52"/>
      <c r="D2148" s="65"/>
      <c r="E2148" s="65"/>
      <c r="F2148" s="65"/>
      <c r="G2148" s="65"/>
      <c r="H2148" s="52"/>
      <c r="I2148" s="52"/>
      <c r="J2148" s="52"/>
      <c r="K2148" s="52"/>
      <c r="L2148" s="52"/>
      <c r="M2148" s="52"/>
      <c r="N2148" s="52" t="s">
        <v>70</v>
      </c>
      <c r="O2148" s="52"/>
      <c r="P2148" s="52"/>
      <c r="Q2148" s="52"/>
      <c r="R2148" s="51" t="b">
        <v>0</v>
      </c>
      <c r="S2148" s="51"/>
      <c r="T2148" s="52"/>
      <c r="U2148" s="51" t="b">
        <v>0</v>
      </c>
      <c r="V2148" s="51" t="b">
        <v>0</v>
      </c>
      <c r="W2148" s="51" t="b">
        <v>0</v>
      </c>
      <c r="X2148" s="51" t="b">
        <v>0</v>
      </c>
      <c r="Y2148" s="51" t="b">
        <v>0</v>
      </c>
      <c r="Z2148" s="51" t="b">
        <v>0</v>
      </c>
      <c r="AA2148" s="68"/>
      <c r="AB2148" s="52"/>
      <c r="AC2148" s="52"/>
      <c r="AD2148" s="52"/>
      <c r="AE2148" s="56"/>
      <c r="AF2148" s="56"/>
    </row>
    <row r="2149">
      <c r="A2149" s="52" t="s">
        <v>5443</v>
      </c>
      <c r="B2149" s="52"/>
      <c r="C2149" s="52"/>
      <c r="D2149" s="65"/>
      <c r="E2149" s="65"/>
      <c r="F2149" s="65"/>
      <c r="G2149" s="65"/>
      <c r="H2149" s="52"/>
      <c r="I2149" s="52"/>
      <c r="J2149" s="52"/>
      <c r="K2149" s="52"/>
      <c r="L2149" s="52"/>
      <c r="M2149" s="52"/>
      <c r="N2149" s="52" t="s">
        <v>70</v>
      </c>
      <c r="O2149" s="52"/>
      <c r="P2149" s="52"/>
      <c r="Q2149" s="52"/>
      <c r="R2149" s="51" t="b">
        <v>0</v>
      </c>
      <c r="S2149" s="51"/>
      <c r="T2149" s="52"/>
      <c r="U2149" s="51" t="b">
        <v>0</v>
      </c>
      <c r="V2149" s="51" t="b">
        <v>0</v>
      </c>
      <c r="W2149" s="51" t="b">
        <v>0</v>
      </c>
      <c r="X2149" s="51" t="b">
        <v>0</v>
      </c>
      <c r="Y2149" s="51" t="b">
        <v>0</v>
      </c>
      <c r="Z2149" s="51" t="b">
        <v>0</v>
      </c>
      <c r="AA2149" s="68"/>
      <c r="AB2149" s="52"/>
      <c r="AC2149" s="52"/>
      <c r="AD2149" s="52"/>
      <c r="AE2149" s="56"/>
      <c r="AF2149" s="56"/>
    </row>
    <row r="2150">
      <c r="A2150" s="52" t="s">
        <v>5444</v>
      </c>
      <c r="B2150" s="52"/>
      <c r="C2150" s="52"/>
      <c r="D2150" s="65"/>
      <c r="E2150" s="65"/>
      <c r="F2150" s="65"/>
      <c r="G2150" s="65"/>
      <c r="H2150" s="52"/>
      <c r="I2150" s="52"/>
      <c r="J2150" s="52"/>
      <c r="K2150" s="52"/>
      <c r="L2150" s="52"/>
      <c r="M2150" s="52"/>
      <c r="N2150" s="52" t="s">
        <v>70</v>
      </c>
      <c r="O2150" s="52"/>
      <c r="P2150" s="52"/>
      <c r="Q2150" s="52"/>
      <c r="R2150" s="51" t="b">
        <v>0</v>
      </c>
      <c r="S2150" s="51"/>
      <c r="T2150" s="52"/>
      <c r="U2150" s="51" t="b">
        <v>0</v>
      </c>
      <c r="V2150" s="51" t="b">
        <v>0</v>
      </c>
      <c r="W2150" s="51" t="b">
        <v>0</v>
      </c>
      <c r="X2150" s="51" t="b">
        <v>0</v>
      </c>
      <c r="Y2150" s="51" t="b">
        <v>0</v>
      </c>
      <c r="Z2150" s="51" t="b">
        <v>0</v>
      </c>
      <c r="AA2150" s="68"/>
      <c r="AB2150" s="52"/>
      <c r="AC2150" s="52"/>
      <c r="AD2150" s="52"/>
      <c r="AE2150" s="56"/>
      <c r="AF2150" s="56"/>
    </row>
    <row r="2151">
      <c r="A2151" s="52" t="s">
        <v>5445</v>
      </c>
      <c r="B2151" s="52"/>
      <c r="C2151" s="52"/>
      <c r="D2151" s="65"/>
      <c r="E2151" s="65"/>
      <c r="F2151" s="65"/>
      <c r="G2151" s="65"/>
      <c r="H2151" s="52"/>
      <c r="I2151" s="52"/>
      <c r="J2151" s="52"/>
      <c r="K2151" s="52"/>
      <c r="L2151" s="52"/>
      <c r="M2151" s="52"/>
      <c r="N2151" s="52" t="s">
        <v>70</v>
      </c>
      <c r="O2151" s="52"/>
      <c r="P2151" s="52"/>
      <c r="Q2151" s="52"/>
      <c r="R2151" s="51" t="b">
        <v>0</v>
      </c>
      <c r="S2151" s="51"/>
      <c r="T2151" s="52"/>
      <c r="U2151" s="51" t="b">
        <v>0</v>
      </c>
      <c r="V2151" s="51" t="b">
        <v>0</v>
      </c>
      <c r="W2151" s="51" t="b">
        <v>0</v>
      </c>
      <c r="X2151" s="51" t="b">
        <v>0</v>
      </c>
      <c r="Y2151" s="51" t="b">
        <v>0</v>
      </c>
      <c r="Z2151" s="51" t="b">
        <v>0</v>
      </c>
      <c r="AA2151" s="68"/>
      <c r="AB2151" s="52"/>
      <c r="AC2151" s="52"/>
      <c r="AD2151" s="52"/>
      <c r="AE2151" s="56"/>
      <c r="AF2151" s="56"/>
    </row>
    <row r="2152">
      <c r="A2152" s="52" t="s">
        <v>5446</v>
      </c>
      <c r="B2152" s="52"/>
      <c r="C2152" s="52"/>
      <c r="D2152" s="65"/>
      <c r="E2152" s="65"/>
      <c r="F2152" s="65"/>
      <c r="G2152" s="65"/>
      <c r="H2152" s="52"/>
      <c r="I2152" s="52"/>
      <c r="J2152" s="52"/>
      <c r="K2152" s="52"/>
      <c r="L2152" s="52"/>
      <c r="M2152" s="52"/>
      <c r="N2152" s="52" t="s">
        <v>70</v>
      </c>
      <c r="O2152" s="52"/>
      <c r="P2152" s="52"/>
      <c r="Q2152" s="52"/>
      <c r="R2152" s="51" t="b">
        <v>0</v>
      </c>
      <c r="S2152" s="51"/>
      <c r="T2152" s="52"/>
      <c r="U2152" s="51" t="b">
        <v>0</v>
      </c>
      <c r="V2152" s="51" t="b">
        <v>0</v>
      </c>
      <c r="W2152" s="51" t="b">
        <v>0</v>
      </c>
      <c r="X2152" s="51" t="b">
        <v>0</v>
      </c>
      <c r="Y2152" s="51" t="b">
        <v>0</v>
      </c>
      <c r="Z2152" s="51" t="b">
        <v>0</v>
      </c>
      <c r="AA2152" s="68"/>
      <c r="AB2152" s="52"/>
      <c r="AC2152" s="52"/>
      <c r="AD2152" s="52"/>
      <c r="AE2152" s="56"/>
      <c r="AF2152" s="56"/>
    </row>
    <row r="2153">
      <c r="A2153" s="52" t="s">
        <v>5447</v>
      </c>
      <c r="B2153" s="52"/>
      <c r="C2153" s="52"/>
      <c r="D2153" s="65"/>
      <c r="E2153" s="65"/>
      <c r="F2153" s="65"/>
      <c r="G2153" s="65"/>
      <c r="H2153" s="52"/>
      <c r="I2153" s="52"/>
      <c r="J2153" s="52"/>
      <c r="K2153" s="52"/>
      <c r="L2153" s="52"/>
      <c r="M2153" s="52"/>
      <c r="N2153" s="52" t="s">
        <v>70</v>
      </c>
      <c r="O2153" s="52"/>
      <c r="P2153" s="52"/>
      <c r="Q2153" s="52"/>
      <c r="R2153" s="51" t="b">
        <v>0</v>
      </c>
      <c r="S2153" s="51"/>
      <c r="T2153" s="52"/>
      <c r="U2153" s="51" t="b">
        <v>0</v>
      </c>
      <c r="V2153" s="51" t="b">
        <v>0</v>
      </c>
      <c r="W2153" s="51" t="b">
        <v>0</v>
      </c>
      <c r="X2153" s="51" t="b">
        <v>0</v>
      </c>
      <c r="Y2153" s="51" t="b">
        <v>0</v>
      </c>
      <c r="Z2153" s="51" t="b">
        <v>0</v>
      </c>
      <c r="AA2153" s="68"/>
      <c r="AB2153" s="52"/>
      <c r="AC2153" s="52"/>
      <c r="AD2153" s="52"/>
      <c r="AE2153" s="56"/>
      <c r="AF2153" s="56"/>
    </row>
    <row r="2154">
      <c r="A2154" s="52" t="s">
        <v>5448</v>
      </c>
      <c r="B2154" s="52"/>
      <c r="C2154" s="52"/>
      <c r="D2154" s="65"/>
      <c r="E2154" s="65"/>
      <c r="F2154" s="65"/>
      <c r="G2154" s="65"/>
      <c r="H2154" s="52"/>
      <c r="I2154" s="52"/>
      <c r="J2154" s="52"/>
      <c r="K2154" s="52"/>
      <c r="L2154" s="52"/>
      <c r="M2154" s="52"/>
      <c r="N2154" s="52" t="s">
        <v>70</v>
      </c>
      <c r="O2154" s="52"/>
      <c r="P2154" s="52"/>
      <c r="Q2154" s="52"/>
      <c r="R2154" s="51" t="b">
        <v>0</v>
      </c>
      <c r="S2154" s="51"/>
      <c r="T2154" s="52"/>
      <c r="U2154" s="51" t="b">
        <v>0</v>
      </c>
      <c r="V2154" s="51" t="b">
        <v>0</v>
      </c>
      <c r="W2154" s="51" t="b">
        <v>0</v>
      </c>
      <c r="X2154" s="51" t="b">
        <v>0</v>
      </c>
      <c r="Y2154" s="51" t="b">
        <v>0</v>
      </c>
      <c r="Z2154" s="51" t="b">
        <v>0</v>
      </c>
      <c r="AA2154" s="68"/>
      <c r="AB2154" s="52"/>
      <c r="AC2154" s="52"/>
      <c r="AD2154" s="52"/>
      <c r="AE2154" s="56"/>
      <c r="AF2154" s="56"/>
    </row>
    <row r="2155">
      <c r="A2155" s="52" t="s">
        <v>5449</v>
      </c>
      <c r="B2155" s="52"/>
      <c r="C2155" s="52"/>
      <c r="D2155" s="65"/>
      <c r="E2155" s="65"/>
      <c r="F2155" s="65"/>
      <c r="G2155" s="65"/>
      <c r="H2155" s="52"/>
      <c r="I2155" s="52"/>
      <c r="J2155" s="52"/>
      <c r="K2155" s="52"/>
      <c r="L2155" s="52"/>
      <c r="M2155" s="52"/>
      <c r="N2155" s="52" t="s">
        <v>70</v>
      </c>
      <c r="O2155" s="52"/>
      <c r="P2155" s="52"/>
      <c r="Q2155" s="52"/>
      <c r="R2155" s="51" t="b">
        <v>0</v>
      </c>
      <c r="S2155" s="51"/>
      <c r="T2155" s="52"/>
      <c r="U2155" s="51" t="b">
        <v>0</v>
      </c>
      <c r="V2155" s="51" t="b">
        <v>0</v>
      </c>
      <c r="W2155" s="51" t="b">
        <v>0</v>
      </c>
      <c r="X2155" s="51" t="b">
        <v>0</v>
      </c>
      <c r="Y2155" s="51" t="b">
        <v>0</v>
      </c>
      <c r="Z2155" s="51" t="b">
        <v>0</v>
      </c>
      <c r="AA2155" s="68"/>
      <c r="AB2155" s="52"/>
      <c r="AC2155" s="52"/>
      <c r="AD2155" s="52"/>
      <c r="AE2155" s="56"/>
      <c r="AF2155" s="56"/>
    </row>
    <row r="2156">
      <c r="A2156" s="52" t="s">
        <v>5450</v>
      </c>
      <c r="B2156" s="52"/>
      <c r="C2156" s="52"/>
      <c r="D2156" s="65"/>
      <c r="E2156" s="65"/>
      <c r="F2156" s="65"/>
      <c r="G2156" s="65"/>
      <c r="H2156" s="52"/>
      <c r="I2156" s="52"/>
      <c r="J2156" s="52"/>
      <c r="K2156" s="52"/>
      <c r="L2156" s="52"/>
      <c r="M2156" s="52"/>
      <c r="N2156" s="52" t="s">
        <v>70</v>
      </c>
      <c r="O2156" s="52"/>
      <c r="P2156" s="52"/>
      <c r="Q2156" s="52"/>
      <c r="R2156" s="51" t="b">
        <v>0</v>
      </c>
      <c r="S2156" s="51"/>
      <c r="T2156" s="52"/>
      <c r="U2156" s="51" t="b">
        <v>0</v>
      </c>
      <c r="V2156" s="51" t="b">
        <v>0</v>
      </c>
      <c r="W2156" s="51" t="b">
        <v>0</v>
      </c>
      <c r="X2156" s="51" t="b">
        <v>0</v>
      </c>
      <c r="Y2156" s="51" t="b">
        <v>0</v>
      </c>
      <c r="Z2156" s="51" t="b">
        <v>0</v>
      </c>
      <c r="AA2156" s="68"/>
      <c r="AB2156" s="52"/>
      <c r="AC2156" s="52"/>
      <c r="AD2156" s="52"/>
      <c r="AE2156" s="56"/>
      <c r="AF2156" s="56"/>
    </row>
    <row r="2157">
      <c r="A2157" s="52" t="s">
        <v>5451</v>
      </c>
      <c r="B2157" s="52"/>
      <c r="C2157" s="52"/>
      <c r="D2157" s="65"/>
      <c r="E2157" s="65"/>
      <c r="F2157" s="65"/>
      <c r="G2157" s="65"/>
      <c r="H2157" s="52"/>
      <c r="I2157" s="52"/>
      <c r="J2157" s="52"/>
      <c r="K2157" s="52"/>
      <c r="L2157" s="52"/>
      <c r="M2157" s="52"/>
      <c r="N2157" s="52" t="s">
        <v>70</v>
      </c>
      <c r="O2157" s="52"/>
      <c r="P2157" s="52"/>
      <c r="Q2157" s="52"/>
      <c r="R2157" s="51" t="b">
        <v>0</v>
      </c>
      <c r="S2157" s="51"/>
      <c r="T2157" s="52"/>
      <c r="U2157" s="51" t="b">
        <v>0</v>
      </c>
      <c r="V2157" s="51" t="b">
        <v>0</v>
      </c>
      <c r="W2157" s="51" t="b">
        <v>0</v>
      </c>
      <c r="X2157" s="51" t="b">
        <v>0</v>
      </c>
      <c r="Y2157" s="51" t="b">
        <v>0</v>
      </c>
      <c r="Z2157" s="51" t="b">
        <v>0</v>
      </c>
      <c r="AA2157" s="68"/>
      <c r="AB2157" s="52"/>
      <c r="AC2157" s="52"/>
      <c r="AD2157" s="52"/>
      <c r="AE2157" s="56"/>
      <c r="AF2157" s="56"/>
    </row>
    <row r="2158">
      <c r="A2158" s="52" t="s">
        <v>5452</v>
      </c>
      <c r="B2158" s="52"/>
      <c r="C2158" s="52"/>
      <c r="D2158" s="65"/>
      <c r="E2158" s="65"/>
      <c r="F2158" s="65"/>
      <c r="G2158" s="65"/>
      <c r="H2158" s="52"/>
      <c r="I2158" s="52"/>
      <c r="J2158" s="52"/>
      <c r="K2158" s="52"/>
      <c r="L2158" s="52"/>
      <c r="M2158" s="52"/>
      <c r="N2158" s="52" t="s">
        <v>70</v>
      </c>
      <c r="O2158" s="52"/>
      <c r="P2158" s="52"/>
      <c r="Q2158" s="52"/>
      <c r="R2158" s="51" t="b">
        <v>0</v>
      </c>
      <c r="S2158" s="51"/>
      <c r="T2158" s="52"/>
      <c r="U2158" s="51" t="b">
        <v>0</v>
      </c>
      <c r="V2158" s="51" t="b">
        <v>0</v>
      </c>
      <c r="W2158" s="51" t="b">
        <v>0</v>
      </c>
      <c r="X2158" s="51" t="b">
        <v>0</v>
      </c>
      <c r="Y2158" s="51" t="b">
        <v>0</v>
      </c>
      <c r="Z2158" s="51" t="b">
        <v>0</v>
      </c>
      <c r="AA2158" s="68"/>
      <c r="AB2158" s="52"/>
      <c r="AC2158" s="52"/>
      <c r="AD2158" s="52"/>
      <c r="AE2158" s="56"/>
      <c r="AF2158" s="56"/>
    </row>
    <row r="2159">
      <c r="A2159" s="52" t="s">
        <v>5453</v>
      </c>
      <c r="B2159" s="52"/>
      <c r="C2159" s="52"/>
      <c r="D2159" s="65"/>
      <c r="E2159" s="65"/>
      <c r="F2159" s="65"/>
      <c r="G2159" s="65"/>
      <c r="H2159" s="52"/>
      <c r="I2159" s="52"/>
      <c r="J2159" s="52"/>
      <c r="K2159" s="52"/>
      <c r="L2159" s="52"/>
      <c r="M2159" s="52"/>
      <c r="N2159" s="52" t="s">
        <v>70</v>
      </c>
      <c r="O2159" s="52"/>
      <c r="P2159" s="52"/>
      <c r="Q2159" s="52"/>
      <c r="R2159" s="51" t="b">
        <v>0</v>
      </c>
      <c r="S2159" s="51"/>
      <c r="T2159" s="52"/>
      <c r="U2159" s="51" t="b">
        <v>0</v>
      </c>
      <c r="V2159" s="51" t="b">
        <v>0</v>
      </c>
      <c r="W2159" s="51" t="b">
        <v>0</v>
      </c>
      <c r="X2159" s="51" t="b">
        <v>0</v>
      </c>
      <c r="Y2159" s="51" t="b">
        <v>0</v>
      </c>
      <c r="Z2159" s="51" t="b">
        <v>0</v>
      </c>
      <c r="AA2159" s="68"/>
      <c r="AB2159" s="52"/>
      <c r="AC2159" s="52"/>
      <c r="AD2159" s="52"/>
      <c r="AE2159" s="56"/>
      <c r="AF2159" s="56"/>
    </row>
    <row r="2160">
      <c r="A2160" s="52" t="s">
        <v>5454</v>
      </c>
      <c r="B2160" s="52"/>
      <c r="C2160" s="52"/>
      <c r="D2160" s="65"/>
      <c r="E2160" s="65"/>
      <c r="F2160" s="65"/>
      <c r="G2160" s="65"/>
      <c r="H2160" s="52"/>
      <c r="I2160" s="52"/>
      <c r="J2160" s="52"/>
      <c r="K2160" s="52"/>
      <c r="L2160" s="52"/>
      <c r="M2160" s="52"/>
      <c r="N2160" s="52" t="s">
        <v>70</v>
      </c>
      <c r="O2160" s="52"/>
      <c r="P2160" s="52"/>
      <c r="Q2160" s="52"/>
      <c r="R2160" s="51" t="b">
        <v>0</v>
      </c>
      <c r="S2160" s="51"/>
      <c r="T2160" s="52"/>
      <c r="U2160" s="51" t="b">
        <v>0</v>
      </c>
      <c r="V2160" s="51" t="b">
        <v>0</v>
      </c>
      <c r="W2160" s="51" t="b">
        <v>0</v>
      </c>
      <c r="X2160" s="51" t="b">
        <v>0</v>
      </c>
      <c r="Y2160" s="51" t="b">
        <v>0</v>
      </c>
      <c r="Z2160" s="51" t="b">
        <v>0</v>
      </c>
      <c r="AA2160" s="68"/>
      <c r="AB2160" s="52"/>
      <c r="AC2160" s="52"/>
      <c r="AD2160" s="52"/>
      <c r="AE2160" s="56"/>
      <c r="AF2160" s="56"/>
    </row>
    <row r="2161">
      <c r="A2161" s="52" t="s">
        <v>5455</v>
      </c>
      <c r="B2161" s="52"/>
      <c r="C2161" s="52"/>
      <c r="D2161" s="65"/>
      <c r="E2161" s="65"/>
      <c r="F2161" s="65"/>
      <c r="G2161" s="65"/>
      <c r="H2161" s="52"/>
      <c r="I2161" s="52"/>
      <c r="J2161" s="52"/>
      <c r="K2161" s="52"/>
      <c r="L2161" s="52"/>
      <c r="M2161" s="52"/>
      <c r="N2161" s="52" t="s">
        <v>70</v>
      </c>
      <c r="O2161" s="52"/>
      <c r="P2161" s="52"/>
      <c r="Q2161" s="52"/>
      <c r="R2161" s="51" t="b">
        <v>0</v>
      </c>
      <c r="S2161" s="51"/>
      <c r="T2161" s="52"/>
      <c r="U2161" s="51" t="b">
        <v>0</v>
      </c>
      <c r="V2161" s="51" t="b">
        <v>0</v>
      </c>
      <c r="W2161" s="51" t="b">
        <v>0</v>
      </c>
      <c r="X2161" s="51" t="b">
        <v>0</v>
      </c>
      <c r="Y2161" s="51" t="b">
        <v>0</v>
      </c>
      <c r="Z2161" s="51" t="b">
        <v>0</v>
      </c>
      <c r="AA2161" s="68"/>
      <c r="AB2161" s="52"/>
      <c r="AC2161" s="52"/>
      <c r="AD2161" s="52"/>
      <c r="AE2161" s="56"/>
      <c r="AF2161" s="56"/>
    </row>
    <row r="2162">
      <c r="A2162" s="52" t="s">
        <v>5456</v>
      </c>
      <c r="B2162" s="52"/>
      <c r="C2162" s="52"/>
      <c r="D2162" s="65"/>
      <c r="E2162" s="65"/>
      <c r="F2162" s="65"/>
      <c r="G2162" s="65"/>
      <c r="H2162" s="52"/>
      <c r="I2162" s="52"/>
      <c r="J2162" s="52"/>
      <c r="K2162" s="52"/>
      <c r="L2162" s="52"/>
      <c r="M2162" s="52"/>
      <c r="N2162" s="52" t="s">
        <v>70</v>
      </c>
      <c r="O2162" s="52"/>
      <c r="P2162" s="52"/>
      <c r="Q2162" s="52"/>
      <c r="R2162" s="51" t="b">
        <v>0</v>
      </c>
      <c r="S2162" s="51"/>
      <c r="T2162" s="52"/>
      <c r="U2162" s="51" t="b">
        <v>0</v>
      </c>
      <c r="V2162" s="51" t="b">
        <v>0</v>
      </c>
      <c r="W2162" s="51" t="b">
        <v>0</v>
      </c>
      <c r="X2162" s="51" t="b">
        <v>0</v>
      </c>
      <c r="Y2162" s="51" t="b">
        <v>0</v>
      </c>
      <c r="Z2162" s="51" t="b">
        <v>0</v>
      </c>
      <c r="AA2162" s="68"/>
      <c r="AB2162" s="52"/>
      <c r="AC2162" s="52"/>
      <c r="AD2162" s="52"/>
      <c r="AE2162" s="56"/>
      <c r="AF2162" s="56"/>
    </row>
    <row r="2163">
      <c r="A2163" s="52" t="s">
        <v>5457</v>
      </c>
      <c r="B2163" s="52"/>
      <c r="C2163" s="52"/>
      <c r="D2163" s="65"/>
      <c r="E2163" s="65"/>
      <c r="F2163" s="65"/>
      <c r="G2163" s="65"/>
      <c r="H2163" s="52"/>
      <c r="I2163" s="52"/>
      <c r="J2163" s="52"/>
      <c r="K2163" s="52"/>
      <c r="L2163" s="52"/>
      <c r="M2163" s="52"/>
      <c r="N2163" s="52" t="s">
        <v>70</v>
      </c>
      <c r="O2163" s="52"/>
      <c r="P2163" s="52"/>
      <c r="Q2163" s="52"/>
      <c r="R2163" s="51" t="b">
        <v>0</v>
      </c>
      <c r="S2163" s="51"/>
      <c r="T2163" s="52"/>
      <c r="U2163" s="51" t="b">
        <v>0</v>
      </c>
      <c r="V2163" s="51" t="b">
        <v>0</v>
      </c>
      <c r="W2163" s="51" t="b">
        <v>0</v>
      </c>
      <c r="X2163" s="51" t="b">
        <v>0</v>
      </c>
      <c r="Y2163" s="51" t="b">
        <v>0</v>
      </c>
      <c r="Z2163" s="51" t="b">
        <v>0</v>
      </c>
      <c r="AA2163" s="68"/>
      <c r="AB2163" s="52"/>
      <c r="AC2163" s="52"/>
      <c r="AD2163" s="52"/>
      <c r="AE2163" s="56"/>
      <c r="AF2163" s="56"/>
    </row>
    <row r="2164">
      <c r="A2164" s="52" t="s">
        <v>5458</v>
      </c>
      <c r="B2164" s="52"/>
      <c r="C2164" s="52"/>
      <c r="D2164" s="65"/>
      <c r="E2164" s="65"/>
      <c r="F2164" s="65"/>
      <c r="G2164" s="65"/>
      <c r="H2164" s="52"/>
      <c r="I2164" s="52"/>
      <c r="J2164" s="52"/>
      <c r="K2164" s="52"/>
      <c r="L2164" s="52"/>
      <c r="M2164" s="52"/>
      <c r="N2164" s="52" t="s">
        <v>70</v>
      </c>
      <c r="O2164" s="52"/>
      <c r="P2164" s="52"/>
      <c r="Q2164" s="52"/>
      <c r="R2164" s="51" t="b">
        <v>0</v>
      </c>
      <c r="S2164" s="51"/>
      <c r="T2164" s="52"/>
      <c r="U2164" s="51" t="b">
        <v>0</v>
      </c>
      <c r="V2164" s="51" t="b">
        <v>0</v>
      </c>
      <c r="W2164" s="51" t="b">
        <v>0</v>
      </c>
      <c r="X2164" s="51" t="b">
        <v>0</v>
      </c>
      <c r="Y2164" s="51" t="b">
        <v>0</v>
      </c>
      <c r="Z2164" s="51" t="b">
        <v>0</v>
      </c>
      <c r="AA2164" s="68"/>
      <c r="AB2164" s="52"/>
      <c r="AC2164" s="52"/>
      <c r="AD2164" s="52"/>
      <c r="AE2164" s="56"/>
      <c r="AF2164" s="56"/>
    </row>
    <row r="2165">
      <c r="A2165" s="52" t="s">
        <v>5459</v>
      </c>
      <c r="B2165" s="52"/>
      <c r="C2165" s="52"/>
      <c r="D2165" s="65"/>
      <c r="E2165" s="65"/>
      <c r="F2165" s="65"/>
      <c r="G2165" s="65"/>
      <c r="H2165" s="52"/>
      <c r="I2165" s="52"/>
      <c r="J2165" s="52"/>
      <c r="K2165" s="52"/>
      <c r="L2165" s="52"/>
      <c r="M2165" s="52"/>
      <c r="N2165" s="52" t="s">
        <v>70</v>
      </c>
      <c r="O2165" s="52"/>
      <c r="P2165" s="52"/>
      <c r="Q2165" s="52"/>
      <c r="R2165" s="51" t="b">
        <v>0</v>
      </c>
      <c r="S2165" s="51"/>
      <c r="T2165" s="52"/>
      <c r="U2165" s="51" t="b">
        <v>0</v>
      </c>
      <c r="V2165" s="51" t="b">
        <v>0</v>
      </c>
      <c r="W2165" s="51" t="b">
        <v>0</v>
      </c>
      <c r="X2165" s="51" t="b">
        <v>0</v>
      </c>
      <c r="Y2165" s="51" t="b">
        <v>0</v>
      </c>
      <c r="Z2165" s="51" t="b">
        <v>0</v>
      </c>
      <c r="AA2165" s="68"/>
      <c r="AB2165" s="52"/>
      <c r="AC2165" s="52"/>
      <c r="AD2165" s="52"/>
      <c r="AE2165" s="56"/>
      <c r="AF2165" s="56"/>
    </row>
    <row r="2166">
      <c r="A2166" s="52" t="s">
        <v>5460</v>
      </c>
      <c r="B2166" s="52"/>
      <c r="C2166" s="52"/>
      <c r="D2166" s="65"/>
      <c r="E2166" s="65"/>
      <c r="F2166" s="65"/>
      <c r="G2166" s="65"/>
      <c r="H2166" s="52"/>
      <c r="I2166" s="52"/>
      <c r="J2166" s="52"/>
      <c r="K2166" s="52"/>
      <c r="L2166" s="52"/>
      <c r="M2166" s="52"/>
      <c r="N2166" s="52" t="s">
        <v>70</v>
      </c>
      <c r="O2166" s="52"/>
      <c r="P2166" s="52"/>
      <c r="Q2166" s="52"/>
      <c r="R2166" s="51" t="b">
        <v>0</v>
      </c>
      <c r="S2166" s="51"/>
      <c r="T2166" s="52"/>
      <c r="U2166" s="51" t="b">
        <v>0</v>
      </c>
      <c r="V2166" s="51" t="b">
        <v>0</v>
      </c>
      <c r="W2166" s="51" t="b">
        <v>0</v>
      </c>
      <c r="X2166" s="51" t="b">
        <v>0</v>
      </c>
      <c r="Y2166" s="51" t="b">
        <v>0</v>
      </c>
      <c r="Z2166" s="51" t="b">
        <v>0</v>
      </c>
      <c r="AA2166" s="68"/>
      <c r="AB2166" s="52"/>
      <c r="AC2166" s="52"/>
      <c r="AD2166" s="52"/>
      <c r="AE2166" s="56"/>
      <c r="AF2166" s="56"/>
    </row>
    <row r="2167">
      <c r="A2167" s="52" t="s">
        <v>5461</v>
      </c>
      <c r="B2167" s="52"/>
      <c r="C2167" s="52"/>
      <c r="D2167" s="65"/>
      <c r="E2167" s="65"/>
      <c r="F2167" s="65"/>
      <c r="G2167" s="65"/>
      <c r="H2167" s="52"/>
      <c r="I2167" s="52"/>
      <c r="J2167" s="52"/>
      <c r="K2167" s="52"/>
      <c r="L2167" s="52"/>
      <c r="M2167" s="52"/>
      <c r="N2167" s="52" t="s">
        <v>70</v>
      </c>
      <c r="O2167" s="52"/>
      <c r="P2167" s="52"/>
      <c r="Q2167" s="52"/>
      <c r="R2167" s="51" t="b">
        <v>0</v>
      </c>
      <c r="S2167" s="51"/>
      <c r="T2167" s="52"/>
      <c r="U2167" s="51" t="b">
        <v>0</v>
      </c>
      <c r="V2167" s="51" t="b">
        <v>0</v>
      </c>
      <c r="W2167" s="51" t="b">
        <v>0</v>
      </c>
      <c r="X2167" s="51" t="b">
        <v>0</v>
      </c>
      <c r="Y2167" s="51" t="b">
        <v>0</v>
      </c>
      <c r="Z2167" s="51" t="b">
        <v>0</v>
      </c>
      <c r="AA2167" s="68"/>
      <c r="AB2167" s="52"/>
      <c r="AC2167" s="52"/>
      <c r="AD2167" s="52"/>
      <c r="AE2167" s="56"/>
      <c r="AF2167" s="56"/>
    </row>
    <row r="2168">
      <c r="A2168" s="52" t="s">
        <v>5462</v>
      </c>
      <c r="B2168" s="52"/>
      <c r="C2168" s="52"/>
      <c r="D2168" s="65"/>
      <c r="E2168" s="65"/>
      <c r="F2168" s="65"/>
      <c r="G2168" s="65"/>
      <c r="H2168" s="52"/>
      <c r="I2168" s="52"/>
      <c r="J2168" s="52"/>
      <c r="K2168" s="52"/>
      <c r="L2168" s="52"/>
      <c r="M2168" s="52"/>
      <c r="N2168" s="52" t="s">
        <v>70</v>
      </c>
      <c r="O2168" s="52"/>
      <c r="P2168" s="52"/>
      <c r="Q2168" s="52"/>
      <c r="R2168" s="51" t="b">
        <v>0</v>
      </c>
      <c r="S2168" s="51"/>
      <c r="T2168" s="52"/>
      <c r="U2168" s="51" t="b">
        <v>0</v>
      </c>
      <c r="V2168" s="51" t="b">
        <v>0</v>
      </c>
      <c r="W2168" s="51" t="b">
        <v>0</v>
      </c>
      <c r="X2168" s="51" t="b">
        <v>0</v>
      </c>
      <c r="Y2168" s="51" t="b">
        <v>0</v>
      </c>
      <c r="Z2168" s="51" t="b">
        <v>0</v>
      </c>
      <c r="AA2168" s="68"/>
      <c r="AB2168" s="52"/>
      <c r="AC2168" s="52"/>
      <c r="AD2168" s="52"/>
      <c r="AE2168" s="56"/>
      <c r="AF2168" s="56"/>
    </row>
    <row r="2169">
      <c r="A2169" s="52" t="s">
        <v>5463</v>
      </c>
      <c r="B2169" s="52"/>
      <c r="C2169" s="52"/>
      <c r="D2169" s="65"/>
      <c r="E2169" s="65"/>
      <c r="F2169" s="65"/>
      <c r="G2169" s="65"/>
      <c r="H2169" s="52"/>
      <c r="I2169" s="52"/>
      <c r="J2169" s="52"/>
      <c r="K2169" s="52"/>
      <c r="L2169" s="52"/>
      <c r="M2169" s="52"/>
      <c r="N2169" s="52" t="s">
        <v>70</v>
      </c>
      <c r="O2169" s="52"/>
      <c r="P2169" s="52"/>
      <c r="Q2169" s="52"/>
      <c r="R2169" s="51" t="b">
        <v>0</v>
      </c>
      <c r="S2169" s="51"/>
      <c r="T2169" s="52"/>
      <c r="U2169" s="51" t="b">
        <v>0</v>
      </c>
      <c r="V2169" s="51" t="b">
        <v>0</v>
      </c>
      <c r="W2169" s="51" t="b">
        <v>0</v>
      </c>
      <c r="X2169" s="51" t="b">
        <v>0</v>
      </c>
      <c r="Y2169" s="51" t="b">
        <v>0</v>
      </c>
      <c r="Z2169" s="51" t="b">
        <v>0</v>
      </c>
      <c r="AA2169" s="68"/>
      <c r="AB2169" s="52"/>
      <c r="AC2169" s="52"/>
      <c r="AD2169" s="52"/>
      <c r="AE2169" s="56"/>
      <c r="AF2169" s="56"/>
    </row>
    <row r="2170">
      <c r="A2170" s="52" t="s">
        <v>5464</v>
      </c>
      <c r="B2170" s="52"/>
      <c r="C2170" s="52"/>
      <c r="D2170" s="65"/>
      <c r="E2170" s="65"/>
      <c r="F2170" s="65"/>
      <c r="G2170" s="65"/>
      <c r="H2170" s="52"/>
      <c r="I2170" s="52"/>
      <c r="J2170" s="52"/>
      <c r="K2170" s="52"/>
      <c r="L2170" s="52"/>
      <c r="M2170" s="52"/>
      <c r="N2170" s="52" t="s">
        <v>70</v>
      </c>
      <c r="O2170" s="52"/>
      <c r="P2170" s="52"/>
      <c r="Q2170" s="52"/>
      <c r="R2170" s="51" t="b">
        <v>0</v>
      </c>
      <c r="S2170" s="51"/>
      <c r="T2170" s="52"/>
      <c r="U2170" s="51" t="b">
        <v>0</v>
      </c>
      <c r="V2170" s="51" t="b">
        <v>0</v>
      </c>
      <c r="W2170" s="51" t="b">
        <v>0</v>
      </c>
      <c r="X2170" s="51" t="b">
        <v>0</v>
      </c>
      <c r="Y2170" s="51" t="b">
        <v>0</v>
      </c>
      <c r="Z2170" s="51" t="b">
        <v>0</v>
      </c>
      <c r="AA2170" s="68"/>
      <c r="AB2170" s="52"/>
      <c r="AC2170" s="52"/>
      <c r="AD2170" s="52"/>
      <c r="AE2170" s="56"/>
      <c r="AF2170" s="56"/>
    </row>
    <row r="2171">
      <c r="A2171" s="52" t="s">
        <v>5465</v>
      </c>
      <c r="B2171" s="52"/>
      <c r="C2171" s="52"/>
      <c r="D2171" s="65"/>
      <c r="E2171" s="65"/>
      <c r="F2171" s="65"/>
      <c r="G2171" s="65"/>
      <c r="H2171" s="52"/>
      <c r="I2171" s="52"/>
      <c r="J2171" s="52"/>
      <c r="K2171" s="52"/>
      <c r="L2171" s="52"/>
      <c r="M2171" s="52"/>
      <c r="N2171" s="52" t="s">
        <v>70</v>
      </c>
      <c r="O2171" s="52"/>
      <c r="P2171" s="52"/>
      <c r="Q2171" s="52"/>
      <c r="R2171" s="51" t="b">
        <v>0</v>
      </c>
      <c r="S2171" s="51"/>
      <c r="T2171" s="52"/>
      <c r="U2171" s="51" t="b">
        <v>0</v>
      </c>
      <c r="V2171" s="51" t="b">
        <v>0</v>
      </c>
      <c r="W2171" s="51" t="b">
        <v>0</v>
      </c>
      <c r="X2171" s="51" t="b">
        <v>0</v>
      </c>
      <c r="Y2171" s="51" t="b">
        <v>0</v>
      </c>
      <c r="Z2171" s="51" t="b">
        <v>0</v>
      </c>
      <c r="AA2171" s="68"/>
      <c r="AB2171" s="52"/>
      <c r="AC2171" s="52"/>
      <c r="AD2171" s="52"/>
      <c r="AE2171" s="56"/>
      <c r="AF2171" s="56"/>
    </row>
    <row r="2172">
      <c r="A2172" s="52" t="s">
        <v>5466</v>
      </c>
      <c r="B2172" s="52"/>
      <c r="C2172" s="52"/>
      <c r="D2172" s="65"/>
      <c r="E2172" s="65"/>
      <c r="F2172" s="65"/>
      <c r="G2172" s="65"/>
      <c r="H2172" s="52"/>
      <c r="I2172" s="52"/>
      <c r="J2172" s="52"/>
      <c r="K2172" s="52"/>
      <c r="L2172" s="52"/>
      <c r="M2172" s="52"/>
      <c r="N2172" s="52" t="s">
        <v>70</v>
      </c>
      <c r="O2172" s="52"/>
      <c r="P2172" s="52"/>
      <c r="Q2172" s="52"/>
      <c r="R2172" s="51" t="b">
        <v>0</v>
      </c>
      <c r="S2172" s="51"/>
      <c r="T2172" s="52"/>
      <c r="U2172" s="51" t="b">
        <v>0</v>
      </c>
      <c r="V2172" s="51" t="b">
        <v>0</v>
      </c>
      <c r="W2172" s="51" t="b">
        <v>0</v>
      </c>
      <c r="X2172" s="51" t="b">
        <v>0</v>
      </c>
      <c r="Y2172" s="51" t="b">
        <v>0</v>
      </c>
      <c r="Z2172" s="51" t="b">
        <v>0</v>
      </c>
      <c r="AA2172" s="68"/>
      <c r="AB2172" s="52"/>
      <c r="AC2172" s="52"/>
      <c r="AD2172" s="52"/>
      <c r="AE2172" s="56"/>
      <c r="AF2172" s="56"/>
    </row>
    <row r="2173">
      <c r="A2173" s="52" t="s">
        <v>5467</v>
      </c>
      <c r="B2173" s="52"/>
      <c r="C2173" s="52"/>
      <c r="D2173" s="65"/>
      <c r="E2173" s="65"/>
      <c r="F2173" s="65"/>
      <c r="G2173" s="65"/>
      <c r="H2173" s="52"/>
      <c r="I2173" s="52"/>
      <c r="J2173" s="52"/>
      <c r="K2173" s="52"/>
      <c r="L2173" s="52"/>
      <c r="M2173" s="52"/>
      <c r="N2173" s="52" t="s">
        <v>70</v>
      </c>
      <c r="O2173" s="52"/>
      <c r="P2173" s="52"/>
      <c r="Q2173" s="52"/>
      <c r="R2173" s="51" t="b">
        <v>0</v>
      </c>
      <c r="S2173" s="51"/>
      <c r="T2173" s="52"/>
      <c r="U2173" s="51" t="b">
        <v>0</v>
      </c>
      <c r="V2173" s="51" t="b">
        <v>0</v>
      </c>
      <c r="W2173" s="51" t="b">
        <v>0</v>
      </c>
      <c r="X2173" s="51" t="b">
        <v>0</v>
      </c>
      <c r="Y2173" s="51" t="b">
        <v>0</v>
      </c>
      <c r="Z2173" s="51" t="b">
        <v>0</v>
      </c>
      <c r="AA2173" s="68"/>
      <c r="AB2173" s="52"/>
      <c r="AC2173" s="52"/>
      <c r="AD2173" s="52"/>
      <c r="AE2173" s="56"/>
      <c r="AF2173" s="56"/>
    </row>
    <row r="2174">
      <c r="A2174" s="52" t="s">
        <v>5468</v>
      </c>
      <c r="B2174" s="52"/>
      <c r="C2174" s="52"/>
      <c r="D2174" s="65"/>
      <c r="E2174" s="65"/>
      <c r="F2174" s="65"/>
      <c r="G2174" s="65"/>
      <c r="H2174" s="52"/>
      <c r="I2174" s="52"/>
      <c r="J2174" s="52"/>
      <c r="K2174" s="52"/>
      <c r="L2174" s="52"/>
      <c r="M2174" s="52"/>
      <c r="N2174" s="52" t="s">
        <v>70</v>
      </c>
      <c r="O2174" s="52"/>
      <c r="P2174" s="52"/>
      <c r="Q2174" s="52"/>
      <c r="R2174" s="51" t="b">
        <v>0</v>
      </c>
      <c r="S2174" s="51"/>
      <c r="T2174" s="52"/>
      <c r="U2174" s="51" t="b">
        <v>0</v>
      </c>
      <c r="V2174" s="51" t="b">
        <v>0</v>
      </c>
      <c r="W2174" s="51" t="b">
        <v>0</v>
      </c>
      <c r="X2174" s="51" t="b">
        <v>0</v>
      </c>
      <c r="Y2174" s="51" t="b">
        <v>0</v>
      </c>
      <c r="Z2174" s="51" t="b">
        <v>0</v>
      </c>
      <c r="AA2174" s="68"/>
      <c r="AB2174" s="52"/>
      <c r="AC2174" s="52"/>
      <c r="AD2174" s="52"/>
      <c r="AE2174" s="56"/>
      <c r="AF2174" s="56"/>
    </row>
    <row r="2175">
      <c r="A2175" s="52" t="s">
        <v>5469</v>
      </c>
      <c r="B2175" s="52"/>
      <c r="C2175" s="52"/>
      <c r="D2175" s="65"/>
      <c r="E2175" s="65"/>
      <c r="F2175" s="65"/>
      <c r="G2175" s="65"/>
      <c r="H2175" s="52"/>
      <c r="I2175" s="52"/>
      <c r="J2175" s="52"/>
      <c r="K2175" s="52"/>
      <c r="L2175" s="52"/>
      <c r="M2175" s="52"/>
      <c r="N2175" s="52" t="s">
        <v>70</v>
      </c>
      <c r="O2175" s="52"/>
      <c r="P2175" s="52"/>
      <c r="Q2175" s="52"/>
      <c r="R2175" s="51" t="b">
        <v>0</v>
      </c>
      <c r="S2175" s="51"/>
      <c r="T2175" s="52"/>
      <c r="U2175" s="51" t="b">
        <v>0</v>
      </c>
      <c r="V2175" s="51" t="b">
        <v>0</v>
      </c>
      <c r="W2175" s="51" t="b">
        <v>0</v>
      </c>
      <c r="X2175" s="51" t="b">
        <v>0</v>
      </c>
      <c r="Y2175" s="51" t="b">
        <v>0</v>
      </c>
      <c r="Z2175" s="51" t="b">
        <v>0</v>
      </c>
      <c r="AA2175" s="68"/>
      <c r="AB2175" s="52"/>
      <c r="AC2175" s="52"/>
      <c r="AD2175" s="52"/>
      <c r="AE2175" s="56"/>
      <c r="AF2175" s="56"/>
    </row>
    <row r="2176">
      <c r="A2176" s="52" t="s">
        <v>5470</v>
      </c>
      <c r="B2176" s="52"/>
      <c r="C2176" s="52"/>
      <c r="D2176" s="65"/>
      <c r="E2176" s="65"/>
      <c r="F2176" s="65"/>
      <c r="G2176" s="65"/>
      <c r="H2176" s="52"/>
      <c r="I2176" s="52"/>
      <c r="J2176" s="52"/>
      <c r="K2176" s="52"/>
      <c r="L2176" s="52"/>
      <c r="M2176" s="52"/>
      <c r="N2176" s="52" t="s">
        <v>70</v>
      </c>
      <c r="O2176" s="52"/>
      <c r="P2176" s="52"/>
      <c r="Q2176" s="52"/>
      <c r="R2176" s="51" t="b">
        <v>0</v>
      </c>
      <c r="S2176" s="51"/>
      <c r="T2176" s="52"/>
      <c r="U2176" s="51" t="b">
        <v>0</v>
      </c>
      <c r="V2176" s="51" t="b">
        <v>0</v>
      </c>
      <c r="W2176" s="51" t="b">
        <v>0</v>
      </c>
      <c r="X2176" s="51" t="b">
        <v>0</v>
      </c>
      <c r="Y2176" s="51" t="b">
        <v>0</v>
      </c>
      <c r="Z2176" s="51" t="b">
        <v>0</v>
      </c>
      <c r="AA2176" s="68"/>
      <c r="AB2176" s="52"/>
      <c r="AC2176" s="52"/>
      <c r="AD2176" s="52"/>
      <c r="AE2176" s="56"/>
      <c r="AF2176" s="56"/>
    </row>
    <row r="2177">
      <c r="A2177" s="52" t="s">
        <v>5471</v>
      </c>
      <c r="B2177" s="52"/>
      <c r="C2177" s="52"/>
      <c r="D2177" s="65"/>
      <c r="E2177" s="65"/>
      <c r="F2177" s="65"/>
      <c r="G2177" s="65"/>
      <c r="H2177" s="52"/>
      <c r="I2177" s="52"/>
      <c r="J2177" s="52"/>
      <c r="K2177" s="52"/>
      <c r="L2177" s="52"/>
      <c r="M2177" s="52"/>
      <c r="N2177" s="52" t="s">
        <v>70</v>
      </c>
      <c r="O2177" s="52"/>
      <c r="P2177" s="52"/>
      <c r="Q2177" s="52"/>
      <c r="R2177" s="51" t="b">
        <v>0</v>
      </c>
      <c r="S2177" s="51"/>
      <c r="T2177" s="52"/>
      <c r="U2177" s="51" t="b">
        <v>0</v>
      </c>
      <c r="V2177" s="51" t="b">
        <v>0</v>
      </c>
      <c r="W2177" s="51" t="b">
        <v>0</v>
      </c>
      <c r="X2177" s="51" t="b">
        <v>0</v>
      </c>
      <c r="Y2177" s="51" t="b">
        <v>0</v>
      </c>
      <c r="Z2177" s="51" t="b">
        <v>0</v>
      </c>
      <c r="AA2177" s="68"/>
      <c r="AB2177" s="52"/>
      <c r="AC2177" s="52"/>
      <c r="AD2177" s="52"/>
      <c r="AE2177" s="56"/>
      <c r="AF2177" s="56"/>
    </row>
    <row r="2178">
      <c r="A2178" s="52" t="s">
        <v>5472</v>
      </c>
      <c r="B2178" s="52"/>
      <c r="C2178" s="52"/>
      <c r="D2178" s="65"/>
      <c r="E2178" s="65"/>
      <c r="F2178" s="65"/>
      <c r="G2178" s="65"/>
      <c r="H2178" s="52"/>
      <c r="I2178" s="52"/>
      <c r="J2178" s="52"/>
      <c r="K2178" s="52"/>
      <c r="L2178" s="52"/>
      <c r="M2178" s="52"/>
      <c r="N2178" s="52" t="s">
        <v>70</v>
      </c>
      <c r="O2178" s="52"/>
      <c r="P2178" s="52"/>
      <c r="Q2178" s="52"/>
      <c r="R2178" s="51" t="b">
        <v>0</v>
      </c>
      <c r="S2178" s="51"/>
      <c r="T2178" s="52"/>
      <c r="U2178" s="51" t="b">
        <v>0</v>
      </c>
      <c r="V2178" s="51" t="b">
        <v>0</v>
      </c>
      <c r="W2178" s="51" t="b">
        <v>0</v>
      </c>
      <c r="X2178" s="51" t="b">
        <v>0</v>
      </c>
      <c r="Y2178" s="51" t="b">
        <v>0</v>
      </c>
      <c r="Z2178" s="51" t="b">
        <v>0</v>
      </c>
      <c r="AA2178" s="68"/>
      <c r="AB2178" s="52"/>
      <c r="AC2178" s="52"/>
      <c r="AD2178" s="52"/>
      <c r="AE2178" s="56"/>
      <c r="AF2178" s="56"/>
    </row>
    <row r="2179">
      <c r="A2179" s="52" t="s">
        <v>5473</v>
      </c>
      <c r="B2179" s="52"/>
      <c r="C2179" s="52"/>
      <c r="D2179" s="65"/>
      <c r="E2179" s="65"/>
      <c r="F2179" s="65"/>
      <c r="G2179" s="65"/>
      <c r="H2179" s="52"/>
      <c r="I2179" s="52"/>
      <c r="J2179" s="52"/>
      <c r="K2179" s="52"/>
      <c r="L2179" s="52"/>
      <c r="M2179" s="52"/>
      <c r="N2179" s="52" t="s">
        <v>70</v>
      </c>
      <c r="O2179" s="52"/>
      <c r="P2179" s="52"/>
      <c r="Q2179" s="52"/>
      <c r="R2179" s="51" t="b">
        <v>0</v>
      </c>
      <c r="S2179" s="51"/>
      <c r="T2179" s="52"/>
      <c r="U2179" s="51" t="b">
        <v>0</v>
      </c>
      <c r="V2179" s="51" t="b">
        <v>0</v>
      </c>
      <c r="W2179" s="51" t="b">
        <v>0</v>
      </c>
      <c r="X2179" s="51" t="b">
        <v>0</v>
      </c>
      <c r="Y2179" s="51" t="b">
        <v>0</v>
      </c>
      <c r="Z2179" s="51" t="b">
        <v>0</v>
      </c>
      <c r="AA2179" s="68"/>
      <c r="AB2179" s="52"/>
      <c r="AC2179" s="52"/>
      <c r="AD2179" s="52"/>
      <c r="AE2179" s="56"/>
      <c r="AF2179" s="56"/>
    </row>
    <row r="2180">
      <c r="A2180" s="52" t="s">
        <v>5474</v>
      </c>
      <c r="B2180" s="52"/>
      <c r="C2180" s="52"/>
      <c r="D2180" s="65"/>
      <c r="E2180" s="65"/>
      <c r="F2180" s="65"/>
      <c r="G2180" s="65"/>
      <c r="H2180" s="52"/>
      <c r="I2180" s="52"/>
      <c r="J2180" s="52"/>
      <c r="K2180" s="52"/>
      <c r="L2180" s="52"/>
      <c r="M2180" s="52"/>
      <c r="N2180" s="52" t="s">
        <v>70</v>
      </c>
      <c r="O2180" s="52"/>
      <c r="P2180" s="52"/>
      <c r="Q2180" s="52"/>
      <c r="R2180" s="51" t="b">
        <v>0</v>
      </c>
      <c r="S2180" s="51"/>
      <c r="T2180" s="52"/>
      <c r="U2180" s="51" t="b">
        <v>0</v>
      </c>
      <c r="V2180" s="51" t="b">
        <v>0</v>
      </c>
      <c r="W2180" s="51" t="b">
        <v>0</v>
      </c>
      <c r="X2180" s="51" t="b">
        <v>0</v>
      </c>
      <c r="Y2180" s="51" t="b">
        <v>0</v>
      </c>
      <c r="Z2180" s="51" t="b">
        <v>0</v>
      </c>
      <c r="AA2180" s="68"/>
      <c r="AB2180" s="52"/>
      <c r="AC2180" s="52"/>
      <c r="AD2180" s="52"/>
      <c r="AE2180" s="56"/>
      <c r="AF2180" s="56"/>
    </row>
    <row r="2181">
      <c r="A2181" s="52" t="s">
        <v>5475</v>
      </c>
      <c r="B2181" s="52"/>
      <c r="C2181" s="52"/>
      <c r="D2181" s="65"/>
      <c r="E2181" s="65"/>
      <c r="F2181" s="65"/>
      <c r="G2181" s="65"/>
      <c r="H2181" s="52"/>
      <c r="I2181" s="52"/>
      <c r="J2181" s="52"/>
      <c r="K2181" s="52"/>
      <c r="L2181" s="52"/>
      <c r="M2181" s="52"/>
      <c r="N2181" s="52" t="s">
        <v>70</v>
      </c>
      <c r="O2181" s="52"/>
      <c r="P2181" s="52"/>
      <c r="Q2181" s="52"/>
      <c r="R2181" s="51" t="b">
        <v>0</v>
      </c>
      <c r="S2181" s="51"/>
      <c r="T2181" s="52"/>
      <c r="U2181" s="51" t="b">
        <v>0</v>
      </c>
      <c r="V2181" s="51" t="b">
        <v>0</v>
      </c>
      <c r="W2181" s="51" t="b">
        <v>0</v>
      </c>
      <c r="X2181" s="51" t="b">
        <v>0</v>
      </c>
      <c r="Y2181" s="51" t="b">
        <v>0</v>
      </c>
      <c r="Z2181" s="51" t="b">
        <v>0</v>
      </c>
      <c r="AA2181" s="68"/>
      <c r="AB2181" s="52"/>
      <c r="AC2181" s="52"/>
      <c r="AD2181" s="52"/>
      <c r="AE2181" s="56"/>
      <c r="AF2181" s="56"/>
    </row>
    <row r="2182">
      <c r="A2182" s="52" t="s">
        <v>5476</v>
      </c>
      <c r="B2182" s="52"/>
      <c r="C2182" s="52"/>
      <c r="D2182" s="65"/>
      <c r="E2182" s="65"/>
      <c r="F2182" s="65"/>
      <c r="G2182" s="65"/>
      <c r="H2182" s="52"/>
      <c r="I2182" s="52"/>
      <c r="J2182" s="52"/>
      <c r="K2182" s="52"/>
      <c r="L2182" s="52"/>
      <c r="M2182" s="52"/>
      <c r="N2182" s="52" t="s">
        <v>70</v>
      </c>
      <c r="O2182" s="52"/>
      <c r="P2182" s="52"/>
      <c r="Q2182" s="52"/>
      <c r="R2182" s="51" t="b">
        <v>0</v>
      </c>
      <c r="S2182" s="51"/>
      <c r="T2182" s="52"/>
      <c r="U2182" s="51" t="b">
        <v>0</v>
      </c>
      <c r="V2182" s="51" t="b">
        <v>0</v>
      </c>
      <c r="W2182" s="51" t="b">
        <v>0</v>
      </c>
      <c r="X2182" s="51" t="b">
        <v>0</v>
      </c>
      <c r="Y2182" s="51" t="b">
        <v>0</v>
      </c>
      <c r="Z2182" s="51" t="b">
        <v>0</v>
      </c>
      <c r="AA2182" s="68"/>
      <c r="AB2182" s="52"/>
      <c r="AC2182" s="52"/>
      <c r="AD2182" s="52"/>
      <c r="AE2182" s="56"/>
      <c r="AF2182" s="56"/>
    </row>
    <row r="2183">
      <c r="A2183" s="52" t="s">
        <v>5477</v>
      </c>
      <c r="B2183" s="52"/>
      <c r="C2183" s="52"/>
      <c r="D2183" s="65"/>
      <c r="E2183" s="65"/>
      <c r="F2183" s="65"/>
      <c r="G2183" s="65"/>
      <c r="H2183" s="52"/>
      <c r="I2183" s="52"/>
      <c r="J2183" s="52"/>
      <c r="K2183" s="52"/>
      <c r="L2183" s="52"/>
      <c r="M2183" s="52"/>
      <c r="N2183" s="52" t="s">
        <v>70</v>
      </c>
      <c r="O2183" s="52"/>
      <c r="P2183" s="52"/>
      <c r="Q2183" s="52"/>
      <c r="R2183" s="51" t="b">
        <v>0</v>
      </c>
      <c r="S2183" s="51"/>
      <c r="T2183" s="52"/>
      <c r="U2183" s="51" t="b">
        <v>0</v>
      </c>
      <c r="V2183" s="51" t="b">
        <v>0</v>
      </c>
      <c r="W2183" s="51" t="b">
        <v>0</v>
      </c>
      <c r="X2183" s="51" t="b">
        <v>0</v>
      </c>
      <c r="Y2183" s="51" t="b">
        <v>0</v>
      </c>
      <c r="Z2183" s="51" t="b">
        <v>0</v>
      </c>
      <c r="AA2183" s="68"/>
      <c r="AB2183" s="52"/>
      <c r="AC2183" s="52"/>
      <c r="AD2183" s="52"/>
      <c r="AE2183" s="56"/>
      <c r="AF2183" s="56"/>
    </row>
    <row r="2184">
      <c r="A2184" s="52" t="s">
        <v>5478</v>
      </c>
      <c r="B2184" s="52"/>
      <c r="C2184" s="52"/>
      <c r="D2184" s="65"/>
      <c r="E2184" s="65"/>
      <c r="F2184" s="65"/>
      <c r="G2184" s="65"/>
      <c r="H2184" s="52"/>
      <c r="I2184" s="52"/>
      <c r="J2184" s="52"/>
      <c r="K2184" s="52"/>
      <c r="L2184" s="52"/>
      <c r="M2184" s="52"/>
      <c r="N2184" s="52" t="s">
        <v>70</v>
      </c>
      <c r="O2184" s="52"/>
      <c r="P2184" s="52"/>
      <c r="Q2184" s="52"/>
      <c r="R2184" s="51" t="b">
        <v>0</v>
      </c>
      <c r="S2184" s="51"/>
      <c r="T2184" s="52"/>
      <c r="U2184" s="51" t="b">
        <v>0</v>
      </c>
      <c r="V2184" s="51" t="b">
        <v>0</v>
      </c>
      <c r="W2184" s="51" t="b">
        <v>0</v>
      </c>
      <c r="X2184" s="51" t="b">
        <v>0</v>
      </c>
      <c r="Y2184" s="51" t="b">
        <v>0</v>
      </c>
      <c r="Z2184" s="51" t="b">
        <v>0</v>
      </c>
      <c r="AA2184" s="68"/>
      <c r="AB2184" s="52"/>
      <c r="AC2184" s="52"/>
      <c r="AD2184" s="52"/>
      <c r="AE2184" s="56"/>
      <c r="AF2184" s="56"/>
    </row>
    <row r="2185">
      <c r="A2185" s="52" t="s">
        <v>5479</v>
      </c>
      <c r="B2185" s="52"/>
      <c r="C2185" s="52"/>
      <c r="D2185" s="65"/>
      <c r="E2185" s="65"/>
      <c r="F2185" s="65"/>
      <c r="G2185" s="65"/>
      <c r="H2185" s="52"/>
      <c r="I2185" s="52"/>
      <c r="J2185" s="52"/>
      <c r="K2185" s="52"/>
      <c r="L2185" s="52"/>
      <c r="M2185" s="52"/>
      <c r="N2185" s="52" t="s">
        <v>70</v>
      </c>
      <c r="O2185" s="52"/>
      <c r="P2185" s="52"/>
      <c r="Q2185" s="52"/>
      <c r="R2185" s="51" t="b">
        <v>0</v>
      </c>
      <c r="S2185" s="51"/>
      <c r="T2185" s="52"/>
      <c r="U2185" s="51" t="b">
        <v>0</v>
      </c>
      <c r="V2185" s="51" t="b">
        <v>0</v>
      </c>
      <c r="W2185" s="51" t="b">
        <v>0</v>
      </c>
      <c r="X2185" s="51" t="b">
        <v>0</v>
      </c>
      <c r="Y2185" s="51" t="b">
        <v>0</v>
      </c>
      <c r="Z2185" s="51" t="b">
        <v>0</v>
      </c>
      <c r="AA2185" s="68"/>
      <c r="AB2185" s="52"/>
      <c r="AC2185" s="52"/>
      <c r="AD2185" s="52"/>
      <c r="AE2185" s="56"/>
      <c r="AF2185" s="56"/>
    </row>
    <row r="2186">
      <c r="A2186" s="52" t="s">
        <v>5480</v>
      </c>
      <c r="B2186" s="52"/>
      <c r="C2186" s="52"/>
      <c r="D2186" s="65"/>
      <c r="E2186" s="65"/>
      <c r="F2186" s="65"/>
      <c r="G2186" s="65"/>
      <c r="H2186" s="52"/>
      <c r="I2186" s="52"/>
      <c r="J2186" s="52"/>
      <c r="K2186" s="52"/>
      <c r="L2186" s="52"/>
      <c r="M2186" s="52"/>
      <c r="N2186" s="52" t="s">
        <v>70</v>
      </c>
      <c r="O2186" s="52"/>
      <c r="P2186" s="52"/>
      <c r="Q2186" s="52"/>
      <c r="R2186" s="51" t="b">
        <v>0</v>
      </c>
      <c r="S2186" s="51"/>
      <c r="T2186" s="52"/>
      <c r="U2186" s="51" t="b">
        <v>0</v>
      </c>
      <c r="V2186" s="51" t="b">
        <v>0</v>
      </c>
      <c r="W2186" s="51" t="b">
        <v>0</v>
      </c>
      <c r="X2186" s="51" t="b">
        <v>0</v>
      </c>
      <c r="Y2186" s="51" t="b">
        <v>0</v>
      </c>
      <c r="Z2186" s="51" t="b">
        <v>0</v>
      </c>
      <c r="AA2186" s="68"/>
      <c r="AB2186" s="52"/>
      <c r="AC2186" s="52"/>
      <c r="AD2186" s="52"/>
      <c r="AE2186" s="56"/>
      <c r="AF2186" s="56"/>
    </row>
    <row r="2187">
      <c r="A2187" s="52" t="s">
        <v>5481</v>
      </c>
      <c r="B2187" s="52"/>
      <c r="C2187" s="52"/>
      <c r="D2187" s="65"/>
      <c r="E2187" s="65"/>
      <c r="F2187" s="65"/>
      <c r="G2187" s="65"/>
      <c r="H2187" s="52"/>
      <c r="I2187" s="52"/>
      <c r="J2187" s="52"/>
      <c r="K2187" s="52"/>
      <c r="L2187" s="52"/>
      <c r="M2187" s="52"/>
      <c r="N2187" s="52" t="s">
        <v>70</v>
      </c>
      <c r="O2187" s="52"/>
      <c r="P2187" s="52"/>
      <c r="Q2187" s="52"/>
      <c r="R2187" s="51" t="b">
        <v>0</v>
      </c>
      <c r="S2187" s="51"/>
      <c r="T2187" s="52"/>
      <c r="U2187" s="51" t="b">
        <v>0</v>
      </c>
      <c r="V2187" s="51" t="b">
        <v>0</v>
      </c>
      <c r="W2187" s="51" t="b">
        <v>0</v>
      </c>
      <c r="X2187" s="51" t="b">
        <v>0</v>
      </c>
      <c r="Y2187" s="51" t="b">
        <v>0</v>
      </c>
      <c r="Z2187" s="51" t="b">
        <v>0</v>
      </c>
      <c r="AA2187" s="68"/>
      <c r="AB2187" s="52"/>
      <c r="AC2187" s="52"/>
      <c r="AD2187" s="52"/>
      <c r="AE2187" s="56"/>
      <c r="AF2187" s="56"/>
    </row>
    <row r="2188">
      <c r="A2188" s="52" t="s">
        <v>5482</v>
      </c>
      <c r="B2188" s="52"/>
      <c r="C2188" s="52"/>
      <c r="D2188" s="65"/>
      <c r="E2188" s="65"/>
      <c r="F2188" s="65"/>
      <c r="G2188" s="65"/>
      <c r="H2188" s="52"/>
      <c r="I2188" s="52"/>
      <c r="J2188" s="52"/>
      <c r="K2188" s="52"/>
      <c r="L2188" s="52"/>
      <c r="M2188" s="52"/>
      <c r="N2188" s="52" t="s">
        <v>70</v>
      </c>
      <c r="O2188" s="52"/>
      <c r="P2188" s="52"/>
      <c r="Q2188" s="52"/>
      <c r="R2188" s="51" t="b">
        <v>0</v>
      </c>
      <c r="S2188" s="51"/>
      <c r="T2188" s="52"/>
      <c r="U2188" s="51" t="b">
        <v>0</v>
      </c>
      <c r="V2188" s="51" t="b">
        <v>0</v>
      </c>
      <c r="W2188" s="51" t="b">
        <v>0</v>
      </c>
      <c r="X2188" s="51" t="b">
        <v>0</v>
      </c>
      <c r="Y2188" s="51" t="b">
        <v>0</v>
      </c>
      <c r="Z2188" s="51" t="b">
        <v>0</v>
      </c>
      <c r="AA2188" s="68"/>
      <c r="AB2188" s="52"/>
      <c r="AC2188" s="52"/>
      <c r="AD2188" s="52"/>
      <c r="AE2188" s="56"/>
      <c r="AF2188" s="56"/>
    </row>
    <row r="2189">
      <c r="A2189" s="52" t="s">
        <v>5483</v>
      </c>
      <c r="B2189" s="52"/>
      <c r="C2189" s="52"/>
      <c r="D2189" s="65"/>
      <c r="E2189" s="65"/>
      <c r="F2189" s="65"/>
      <c r="G2189" s="65"/>
      <c r="H2189" s="52"/>
      <c r="I2189" s="52"/>
      <c r="J2189" s="52"/>
      <c r="K2189" s="52"/>
      <c r="L2189" s="52"/>
      <c r="M2189" s="52"/>
      <c r="N2189" s="52" t="s">
        <v>70</v>
      </c>
      <c r="O2189" s="52"/>
      <c r="P2189" s="52"/>
      <c r="Q2189" s="52"/>
      <c r="R2189" s="51" t="b">
        <v>0</v>
      </c>
      <c r="S2189" s="51"/>
      <c r="T2189" s="52"/>
      <c r="U2189" s="51" t="b">
        <v>0</v>
      </c>
      <c r="V2189" s="51" t="b">
        <v>0</v>
      </c>
      <c r="W2189" s="51" t="b">
        <v>0</v>
      </c>
      <c r="X2189" s="51" t="b">
        <v>0</v>
      </c>
      <c r="Y2189" s="51" t="b">
        <v>0</v>
      </c>
      <c r="Z2189" s="51" t="b">
        <v>0</v>
      </c>
      <c r="AA2189" s="68"/>
      <c r="AB2189" s="52"/>
      <c r="AC2189" s="52"/>
      <c r="AD2189" s="52"/>
      <c r="AE2189" s="56"/>
      <c r="AF2189" s="56"/>
    </row>
    <row r="2190">
      <c r="A2190" s="52" t="s">
        <v>5484</v>
      </c>
      <c r="B2190" s="52"/>
      <c r="C2190" s="52"/>
      <c r="D2190" s="65"/>
      <c r="E2190" s="65"/>
      <c r="F2190" s="65"/>
      <c r="G2190" s="65"/>
      <c r="H2190" s="52"/>
      <c r="I2190" s="52"/>
      <c r="J2190" s="52"/>
      <c r="K2190" s="52"/>
      <c r="L2190" s="52"/>
      <c r="M2190" s="52"/>
      <c r="N2190" s="52" t="s">
        <v>70</v>
      </c>
      <c r="O2190" s="52"/>
      <c r="P2190" s="52"/>
      <c r="Q2190" s="52"/>
      <c r="R2190" s="51" t="b">
        <v>0</v>
      </c>
      <c r="S2190" s="51"/>
      <c r="T2190" s="52"/>
      <c r="U2190" s="51" t="b">
        <v>0</v>
      </c>
      <c r="V2190" s="51" t="b">
        <v>0</v>
      </c>
      <c r="W2190" s="51" t="b">
        <v>0</v>
      </c>
      <c r="X2190" s="51" t="b">
        <v>0</v>
      </c>
      <c r="Y2190" s="51" t="b">
        <v>0</v>
      </c>
      <c r="Z2190" s="51" t="b">
        <v>0</v>
      </c>
      <c r="AA2190" s="68"/>
      <c r="AB2190" s="52"/>
      <c r="AC2190" s="52"/>
      <c r="AD2190" s="52"/>
      <c r="AE2190" s="56"/>
      <c r="AF2190" s="56"/>
    </row>
    <row r="2191">
      <c r="A2191" s="52" t="s">
        <v>5485</v>
      </c>
      <c r="B2191" s="52"/>
      <c r="C2191" s="52"/>
      <c r="D2191" s="65"/>
      <c r="E2191" s="65"/>
      <c r="F2191" s="65"/>
      <c r="G2191" s="65"/>
      <c r="H2191" s="52"/>
      <c r="I2191" s="52"/>
      <c r="J2191" s="52"/>
      <c r="K2191" s="52"/>
      <c r="L2191" s="52"/>
      <c r="M2191" s="52"/>
      <c r="N2191" s="52" t="s">
        <v>70</v>
      </c>
      <c r="O2191" s="52"/>
      <c r="P2191" s="52"/>
      <c r="Q2191" s="52"/>
      <c r="R2191" s="51" t="b">
        <v>0</v>
      </c>
      <c r="S2191" s="51"/>
      <c r="T2191" s="52"/>
      <c r="U2191" s="51" t="b">
        <v>0</v>
      </c>
      <c r="V2191" s="51" t="b">
        <v>0</v>
      </c>
      <c r="W2191" s="51" t="b">
        <v>0</v>
      </c>
      <c r="X2191" s="51" t="b">
        <v>0</v>
      </c>
      <c r="Y2191" s="51" t="b">
        <v>0</v>
      </c>
      <c r="Z2191" s="51" t="b">
        <v>0</v>
      </c>
      <c r="AA2191" s="68"/>
      <c r="AB2191" s="52"/>
      <c r="AC2191" s="52"/>
      <c r="AD2191" s="52"/>
      <c r="AE2191" s="56"/>
      <c r="AF2191" s="56"/>
    </row>
    <row r="2192">
      <c r="A2192" s="52" t="s">
        <v>5486</v>
      </c>
      <c r="B2192" s="52"/>
      <c r="C2192" s="52"/>
      <c r="D2192" s="65"/>
      <c r="E2192" s="65"/>
      <c r="F2192" s="65"/>
      <c r="G2192" s="65"/>
      <c r="H2192" s="52"/>
      <c r="I2192" s="52"/>
      <c r="J2192" s="52"/>
      <c r="K2192" s="52"/>
      <c r="L2192" s="52"/>
      <c r="M2192" s="52"/>
      <c r="N2192" s="52" t="s">
        <v>70</v>
      </c>
      <c r="O2192" s="52"/>
      <c r="P2192" s="52"/>
      <c r="Q2192" s="52"/>
      <c r="R2192" s="51" t="b">
        <v>0</v>
      </c>
      <c r="S2192" s="51"/>
      <c r="T2192" s="52"/>
      <c r="U2192" s="51" t="b">
        <v>0</v>
      </c>
      <c r="V2192" s="51" t="b">
        <v>0</v>
      </c>
      <c r="W2192" s="51" t="b">
        <v>0</v>
      </c>
      <c r="X2192" s="51" t="b">
        <v>0</v>
      </c>
      <c r="Y2192" s="51" t="b">
        <v>0</v>
      </c>
      <c r="Z2192" s="51" t="b">
        <v>0</v>
      </c>
      <c r="AA2192" s="68"/>
      <c r="AB2192" s="52"/>
      <c r="AC2192" s="52"/>
      <c r="AD2192" s="52"/>
      <c r="AE2192" s="56"/>
      <c r="AF2192" s="56"/>
    </row>
    <row r="2193">
      <c r="A2193" s="52" t="s">
        <v>5487</v>
      </c>
      <c r="B2193" s="52"/>
      <c r="C2193" s="52"/>
      <c r="D2193" s="65"/>
      <c r="E2193" s="65"/>
      <c r="F2193" s="65"/>
      <c r="G2193" s="65"/>
      <c r="H2193" s="52"/>
      <c r="I2193" s="52"/>
      <c r="J2193" s="52"/>
      <c r="K2193" s="52"/>
      <c r="L2193" s="52"/>
      <c r="M2193" s="52"/>
      <c r="N2193" s="52" t="s">
        <v>70</v>
      </c>
      <c r="O2193" s="52"/>
      <c r="P2193" s="52"/>
      <c r="Q2193" s="52"/>
      <c r="R2193" s="51" t="b">
        <v>0</v>
      </c>
      <c r="S2193" s="51"/>
      <c r="T2193" s="52"/>
      <c r="U2193" s="51" t="b">
        <v>0</v>
      </c>
      <c r="V2193" s="51" t="b">
        <v>0</v>
      </c>
      <c r="W2193" s="51" t="b">
        <v>0</v>
      </c>
      <c r="X2193" s="51" t="b">
        <v>0</v>
      </c>
      <c r="Y2193" s="51" t="b">
        <v>0</v>
      </c>
      <c r="Z2193" s="51" t="b">
        <v>0</v>
      </c>
      <c r="AA2193" s="68"/>
      <c r="AB2193" s="52"/>
      <c r="AC2193" s="52"/>
      <c r="AD2193" s="52"/>
      <c r="AE2193" s="56"/>
      <c r="AF2193" s="56"/>
    </row>
    <row r="2194">
      <c r="A2194" s="52" t="s">
        <v>5488</v>
      </c>
      <c r="B2194" s="52"/>
      <c r="C2194" s="52"/>
      <c r="D2194" s="65"/>
      <c r="E2194" s="65"/>
      <c r="F2194" s="65"/>
      <c r="G2194" s="65"/>
      <c r="H2194" s="52"/>
      <c r="I2194" s="52"/>
      <c r="J2194" s="52"/>
      <c r="K2194" s="52"/>
      <c r="L2194" s="52"/>
      <c r="M2194" s="52"/>
      <c r="N2194" s="52" t="s">
        <v>70</v>
      </c>
      <c r="O2194" s="52"/>
      <c r="P2194" s="52"/>
      <c r="Q2194" s="52"/>
      <c r="R2194" s="51" t="b">
        <v>0</v>
      </c>
      <c r="S2194" s="51"/>
      <c r="T2194" s="52"/>
      <c r="U2194" s="51" t="b">
        <v>0</v>
      </c>
      <c r="V2194" s="51" t="b">
        <v>0</v>
      </c>
      <c r="W2194" s="51" t="b">
        <v>0</v>
      </c>
      <c r="X2194" s="51" t="b">
        <v>0</v>
      </c>
      <c r="Y2194" s="51" t="b">
        <v>0</v>
      </c>
      <c r="Z2194" s="51" t="b">
        <v>0</v>
      </c>
      <c r="AA2194" s="68"/>
      <c r="AB2194" s="52"/>
      <c r="AC2194" s="52"/>
      <c r="AD2194" s="52"/>
      <c r="AE2194" s="56"/>
      <c r="AF2194" s="56"/>
    </row>
    <row r="2195">
      <c r="A2195" s="52" t="s">
        <v>5489</v>
      </c>
      <c r="B2195" s="52"/>
      <c r="C2195" s="52"/>
      <c r="D2195" s="65"/>
      <c r="E2195" s="65"/>
      <c r="F2195" s="65"/>
      <c r="G2195" s="65"/>
      <c r="H2195" s="52"/>
      <c r="I2195" s="52"/>
      <c r="J2195" s="52"/>
      <c r="K2195" s="52"/>
      <c r="L2195" s="52"/>
      <c r="M2195" s="52"/>
      <c r="N2195" s="52" t="s">
        <v>70</v>
      </c>
      <c r="O2195" s="52"/>
      <c r="P2195" s="52"/>
      <c r="Q2195" s="52"/>
      <c r="R2195" s="51" t="b">
        <v>0</v>
      </c>
      <c r="S2195" s="51"/>
      <c r="T2195" s="52"/>
      <c r="U2195" s="51" t="b">
        <v>0</v>
      </c>
      <c r="V2195" s="51" t="b">
        <v>0</v>
      </c>
      <c r="W2195" s="51" t="b">
        <v>0</v>
      </c>
      <c r="X2195" s="51" t="b">
        <v>0</v>
      </c>
      <c r="Y2195" s="51" t="b">
        <v>0</v>
      </c>
      <c r="Z2195" s="51" t="b">
        <v>0</v>
      </c>
      <c r="AA2195" s="68"/>
      <c r="AB2195" s="52"/>
      <c r="AC2195" s="52"/>
      <c r="AD2195" s="52"/>
      <c r="AE2195" s="56"/>
      <c r="AF2195" s="56"/>
    </row>
    <row r="2196">
      <c r="A2196" s="52" t="s">
        <v>5490</v>
      </c>
      <c r="B2196" s="52"/>
      <c r="C2196" s="52"/>
      <c r="D2196" s="65"/>
      <c r="E2196" s="65"/>
      <c r="F2196" s="65"/>
      <c r="G2196" s="65"/>
      <c r="H2196" s="52"/>
      <c r="I2196" s="52"/>
      <c r="J2196" s="52"/>
      <c r="K2196" s="52"/>
      <c r="L2196" s="52"/>
      <c r="M2196" s="52"/>
      <c r="N2196" s="52" t="s">
        <v>70</v>
      </c>
      <c r="O2196" s="52"/>
      <c r="P2196" s="52"/>
      <c r="Q2196" s="52"/>
      <c r="R2196" s="51" t="b">
        <v>0</v>
      </c>
      <c r="S2196" s="51"/>
      <c r="T2196" s="52"/>
      <c r="U2196" s="51" t="b">
        <v>0</v>
      </c>
      <c r="V2196" s="51" t="b">
        <v>0</v>
      </c>
      <c r="W2196" s="51" t="b">
        <v>0</v>
      </c>
      <c r="X2196" s="51" t="b">
        <v>0</v>
      </c>
      <c r="Y2196" s="51" t="b">
        <v>0</v>
      </c>
      <c r="Z2196" s="51" t="b">
        <v>0</v>
      </c>
      <c r="AA2196" s="68"/>
      <c r="AB2196" s="52"/>
      <c r="AC2196" s="52"/>
      <c r="AD2196" s="52"/>
      <c r="AE2196" s="56"/>
      <c r="AF2196" s="56"/>
    </row>
    <row r="2197">
      <c r="A2197" s="52" t="s">
        <v>5491</v>
      </c>
      <c r="B2197" s="52"/>
      <c r="C2197" s="52"/>
      <c r="D2197" s="65"/>
      <c r="E2197" s="65"/>
      <c r="F2197" s="65"/>
      <c r="G2197" s="65"/>
      <c r="H2197" s="52"/>
      <c r="I2197" s="52"/>
      <c r="J2197" s="52"/>
      <c r="K2197" s="52"/>
      <c r="L2197" s="52"/>
      <c r="M2197" s="52"/>
      <c r="N2197" s="52" t="s">
        <v>70</v>
      </c>
      <c r="O2197" s="52"/>
      <c r="P2197" s="52"/>
      <c r="Q2197" s="52"/>
      <c r="R2197" s="51" t="b">
        <v>0</v>
      </c>
      <c r="S2197" s="51"/>
      <c r="T2197" s="52"/>
      <c r="U2197" s="51" t="b">
        <v>0</v>
      </c>
      <c r="V2197" s="51" t="b">
        <v>0</v>
      </c>
      <c r="W2197" s="51" t="b">
        <v>0</v>
      </c>
      <c r="X2197" s="51" t="b">
        <v>0</v>
      </c>
      <c r="Y2197" s="51" t="b">
        <v>0</v>
      </c>
      <c r="Z2197" s="51" t="b">
        <v>0</v>
      </c>
      <c r="AA2197" s="68"/>
      <c r="AB2197" s="52"/>
      <c r="AC2197" s="52"/>
      <c r="AD2197" s="52"/>
      <c r="AE2197" s="56"/>
      <c r="AF2197" s="56"/>
    </row>
    <row r="2198">
      <c r="A2198" s="52" t="s">
        <v>5492</v>
      </c>
      <c r="B2198" s="52"/>
      <c r="C2198" s="52"/>
      <c r="D2198" s="65"/>
      <c r="E2198" s="65"/>
      <c r="F2198" s="65"/>
      <c r="G2198" s="65"/>
      <c r="H2198" s="52"/>
      <c r="I2198" s="52"/>
      <c r="J2198" s="52"/>
      <c r="K2198" s="52"/>
      <c r="L2198" s="52"/>
      <c r="M2198" s="52"/>
      <c r="N2198" s="52" t="s">
        <v>70</v>
      </c>
      <c r="O2198" s="52"/>
      <c r="P2198" s="52"/>
      <c r="Q2198" s="52"/>
      <c r="R2198" s="51" t="b">
        <v>0</v>
      </c>
      <c r="S2198" s="51"/>
      <c r="T2198" s="52"/>
      <c r="U2198" s="51" t="b">
        <v>0</v>
      </c>
      <c r="V2198" s="51" t="b">
        <v>0</v>
      </c>
      <c r="W2198" s="51" t="b">
        <v>0</v>
      </c>
      <c r="X2198" s="51" t="b">
        <v>0</v>
      </c>
      <c r="Y2198" s="51" t="b">
        <v>0</v>
      </c>
      <c r="Z2198" s="51" t="b">
        <v>0</v>
      </c>
      <c r="AA2198" s="68"/>
      <c r="AB2198" s="52"/>
      <c r="AC2198" s="52"/>
      <c r="AD2198" s="52"/>
      <c r="AE2198" s="56"/>
      <c r="AF2198" s="56"/>
    </row>
    <row r="2199">
      <c r="A2199" s="52" t="s">
        <v>5493</v>
      </c>
      <c r="B2199" s="52"/>
      <c r="C2199" s="52"/>
      <c r="D2199" s="65"/>
      <c r="E2199" s="65"/>
      <c r="F2199" s="65"/>
      <c r="G2199" s="65"/>
      <c r="H2199" s="52"/>
      <c r="I2199" s="52"/>
      <c r="J2199" s="52"/>
      <c r="K2199" s="52"/>
      <c r="L2199" s="52"/>
      <c r="M2199" s="52"/>
      <c r="N2199" s="52" t="s">
        <v>70</v>
      </c>
      <c r="O2199" s="52"/>
      <c r="P2199" s="52"/>
      <c r="Q2199" s="52"/>
      <c r="R2199" s="51" t="b">
        <v>0</v>
      </c>
      <c r="S2199" s="51"/>
      <c r="T2199" s="52"/>
      <c r="U2199" s="51" t="b">
        <v>0</v>
      </c>
      <c r="V2199" s="51" t="b">
        <v>0</v>
      </c>
      <c r="W2199" s="51" t="b">
        <v>0</v>
      </c>
      <c r="X2199" s="51" t="b">
        <v>0</v>
      </c>
      <c r="Y2199" s="51" t="b">
        <v>0</v>
      </c>
      <c r="Z2199" s="51" t="b">
        <v>0</v>
      </c>
      <c r="AA2199" s="68"/>
      <c r="AB2199" s="52"/>
      <c r="AC2199" s="52"/>
      <c r="AD2199" s="52"/>
      <c r="AE2199" s="56"/>
      <c r="AF2199" s="56"/>
    </row>
    <row r="2200">
      <c r="A2200" s="52" t="s">
        <v>5494</v>
      </c>
      <c r="B2200" s="52"/>
      <c r="C2200" s="52"/>
      <c r="D2200" s="65"/>
      <c r="E2200" s="65"/>
      <c r="F2200" s="65"/>
      <c r="G2200" s="65"/>
      <c r="H2200" s="52"/>
      <c r="I2200" s="52"/>
      <c r="J2200" s="52"/>
      <c r="K2200" s="52"/>
      <c r="L2200" s="52"/>
      <c r="M2200" s="52"/>
      <c r="N2200" s="52" t="s">
        <v>70</v>
      </c>
      <c r="O2200" s="52"/>
      <c r="P2200" s="52"/>
      <c r="Q2200" s="52"/>
      <c r="R2200" s="51" t="b">
        <v>0</v>
      </c>
      <c r="S2200" s="51"/>
      <c r="T2200" s="52"/>
      <c r="U2200" s="51" t="b">
        <v>0</v>
      </c>
      <c r="V2200" s="51" t="b">
        <v>0</v>
      </c>
      <c r="W2200" s="51" t="b">
        <v>0</v>
      </c>
      <c r="X2200" s="51" t="b">
        <v>0</v>
      </c>
      <c r="Y2200" s="51" t="b">
        <v>0</v>
      </c>
      <c r="Z2200" s="51" t="b">
        <v>0</v>
      </c>
      <c r="AA2200" s="68"/>
      <c r="AB2200" s="52"/>
      <c r="AC2200" s="52"/>
      <c r="AD2200" s="52"/>
      <c r="AE2200" s="56"/>
      <c r="AF2200" s="56"/>
    </row>
    <row r="2201">
      <c r="A2201" s="52" t="s">
        <v>5495</v>
      </c>
      <c r="B2201" s="52"/>
      <c r="C2201" s="52"/>
      <c r="D2201" s="65"/>
      <c r="E2201" s="65"/>
      <c r="F2201" s="65"/>
      <c r="G2201" s="65"/>
      <c r="H2201" s="52"/>
      <c r="I2201" s="52"/>
      <c r="J2201" s="52"/>
      <c r="K2201" s="52"/>
      <c r="L2201" s="52"/>
      <c r="M2201" s="52"/>
      <c r="N2201" s="52" t="s">
        <v>70</v>
      </c>
      <c r="O2201" s="52"/>
      <c r="P2201" s="52"/>
      <c r="Q2201" s="52"/>
      <c r="R2201" s="51" t="b">
        <v>0</v>
      </c>
      <c r="S2201" s="51"/>
      <c r="T2201" s="52"/>
      <c r="U2201" s="51" t="b">
        <v>0</v>
      </c>
      <c r="V2201" s="51" t="b">
        <v>0</v>
      </c>
      <c r="W2201" s="51" t="b">
        <v>0</v>
      </c>
      <c r="X2201" s="51" t="b">
        <v>0</v>
      </c>
      <c r="Y2201" s="51" t="b">
        <v>0</v>
      </c>
      <c r="Z2201" s="51" t="b">
        <v>0</v>
      </c>
      <c r="AA2201" s="68"/>
      <c r="AB2201" s="52"/>
      <c r="AC2201" s="52"/>
      <c r="AD2201" s="52"/>
      <c r="AE2201" s="56"/>
      <c r="AF2201" s="56"/>
    </row>
    <row r="2202">
      <c r="A2202" s="52" t="s">
        <v>5496</v>
      </c>
      <c r="B2202" s="52"/>
      <c r="C2202" s="52"/>
      <c r="D2202" s="65"/>
      <c r="E2202" s="65"/>
      <c r="F2202" s="65"/>
      <c r="G2202" s="65"/>
      <c r="H2202" s="52"/>
      <c r="I2202" s="52"/>
      <c r="J2202" s="52"/>
      <c r="K2202" s="52"/>
      <c r="L2202" s="52"/>
      <c r="M2202" s="52"/>
      <c r="N2202" s="52" t="s">
        <v>70</v>
      </c>
      <c r="O2202" s="52"/>
      <c r="P2202" s="52"/>
      <c r="Q2202" s="52"/>
      <c r="R2202" s="51" t="b">
        <v>0</v>
      </c>
      <c r="S2202" s="51"/>
      <c r="T2202" s="52"/>
      <c r="U2202" s="51" t="b">
        <v>0</v>
      </c>
      <c r="V2202" s="51" t="b">
        <v>0</v>
      </c>
      <c r="W2202" s="51" t="b">
        <v>0</v>
      </c>
      <c r="X2202" s="51" t="b">
        <v>0</v>
      </c>
      <c r="Y2202" s="51" t="b">
        <v>0</v>
      </c>
      <c r="Z2202" s="51" t="b">
        <v>0</v>
      </c>
      <c r="AA2202" s="68"/>
      <c r="AB2202" s="52"/>
      <c r="AC2202" s="52"/>
      <c r="AD2202" s="52"/>
      <c r="AE2202" s="56"/>
      <c r="AF2202" s="56"/>
    </row>
    <row r="2203">
      <c r="A2203" s="52" t="s">
        <v>5497</v>
      </c>
      <c r="B2203" s="52"/>
      <c r="C2203" s="52"/>
      <c r="D2203" s="65"/>
      <c r="E2203" s="65"/>
      <c r="F2203" s="65"/>
      <c r="G2203" s="65"/>
      <c r="H2203" s="52"/>
      <c r="I2203" s="52"/>
      <c r="J2203" s="52"/>
      <c r="K2203" s="52"/>
      <c r="L2203" s="52"/>
      <c r="M2203" s="52"/>
      <c r="N2203" s="52" t="s">
        <v>70</v>
      </c>
      <c r="O2203" s="52"/>
      <c r="P2203" s="52"/>
      <c r="Q2203" s="52"/>
      <c r="R2203" s="51" t="b">
        <v>0</v>
      </c>
      <c r="S2203" s="51"/>
      <c r="T2203" s="52"/>
      <c r="U2203" s="51" t="b">
        <v>0</v>
      </c>
      <c r="V2203" s="51" t="b">
        <v>0</v>
      </c>
      <c r="W2203" s="51" t="b">
        <v>0</v>
      </c>
      <c r="X2203" s="51" t="b">
        <v>0</v>
      </c>
      <c r="Y2203" s="51" t="b">
        <v>0</v>
      </c>
      <c r="Z2203" s="51" t="b">
        <v>0</v>
      </c>
      <c r="AA2203" s="68"/>
      <c r="AB2203" s="52"/>
      <c r="AC2203" s="52"/>
      <c r="AD2203" s="52"/>
      <c r="AE2203" s="56"/>
      <c r="AF2203" s="56"/>
    </row>
    <row r="2204">
      <c r="A2204" s="52" t="s">
        <v>5498</v>
      </c>
      <c r="B2204" s="52"/>
      <c r="C2204" s="52"/>
      <c r="D2204" s="65"/>
      <c r="E2204" s="65"/>
      <c r="F2204" s="65"/>
      <c r="G2204" s="65"/>
      <c r="H2204" s="52"/>
      <c r="I2204" s="52"/>
      <c r="J2204" s="52"/>
      <c r="K2204" s="52"/>
      <c r="L2204" s="52"/>
      <c r="M2204" s="52"/>
      <c r="N2204" s="52" t="s">
        <v>70</v>
      </c>
      <c r="O2204" s="52"/>
      <c r="P2204" s="52"/>
      <c r="Q2204" s="52"/>
      <c r="R2204" s="51" t="b">
        <v>0</v>
      </c>
      <c r="S2204" s="51"/>
      <c r="T2204" s="52"/>
      <c r="U2204" s="51" t="b">
        <v>0</v>
      </c>
      <c r="V2204" s="51" t="b">
        <v>0</v>
      </c>
      <c r="W2204" s="51" t="b">
        <v>0</v>
      </c>
      <c r="X2204" s="51" t="b">
        <v>0</v>
      </c>
      <c r="Y2204" s="51" t="b">
        <v>0</v>
      </c>
      <c r="Z2204" s="51" t="b">
        <v>0</v>
      </c>
      <c r="AA2204" s="68"/>
      <c r="AB2204" s="52"/>
      <c r="AC2204" s="52"/>
      <c r="AD2204" s="52"/>
      <c r="AE2204" s="56"/>
      <c r="AF2204" s="56"/>
    </row>
    <row r="2205">
      <c r="A2205" s="52" t="s">
        <v>5499</v>
      </c>
      <c r="B2205" s="52"/>
      <c r="C2205" s="52"/>
      <c r="D2205" s="65"/>
      <c r="E2205" s="65"/>
      <c r="F2205" s="65"/>
      <c r="G2205" s="65"/>
      <c r="H2205" s="52"/>
      <c r="I2205" s="52"/>
      <c r="J2205" s="52"/>
      <c r="K2205" s="52"/>
      <c r="L2205" s="52"/>
      <c r="M2205" s="52"/>
      <c r="N2205" s="52" t="s">
        <v>70</v>
      </c>
      <c r="O2205" s="52"/>
      <c r="P2205" s="52"/>
      <c r="Q2205" s="52"/>
      <c r="R2205" s="51" t="b">
        <v>0</v>
      </c>
      <c r="S2205" s="51"/>
      <c r="T2205" s="52"/>
      <c r="U2205" s="51" t="b">
        <v>0</v>
      </c>
      <c r="V2205" s="51" t="b">
        <v>0</v>
      </c>
      <c r="W2205" s="51" t="b">
        <v>0</v>
      </c>
      <c r="X2205" s="51" t="b">
        <v>0</v>
      </c>
      <c r="Y2205" s="51" t="b">
        <v>0</v>
      </c>
      <c r="Z2205" s="51" t="b">
        <v>0</v>
      </c>
      <c r="AA2205" s="68"/>
      <c r="AB2205" s="52"/>
      <c r="AC2205" s="52"/>
      <c r="AD2205" s="52"/>
      <c r="AE2205" s="56"/>
      <c r="AF2205" s="56"/>
    </row>
    <row r="2206">
      <c r="A2206" s="52" t="s">
        <v>5500</v>
      </c>
      <c r="B2206" s="52"/>
      <c r="C2206" s="52"/>
      <c r="D2206" s="65"/>
      <c r="E2206" s="65"/>
      <c r="F2206" s="65"/>
      <c r="G2206" s="65"/>
      <c r="H2206" s="52"/>
      <c r="I2206" s="52"/>
      <c r="J2206" s="52"/>
      <c r="K2206" s="52"/>
      <c r="L2206" s="52"/>
      <c r="M2206" s="52"/>
      <c r="N2206" s="52" t="s">
        <v>70</v>
      </c>
      <c r="O2206" s="52"/>
      <c r="P2206" s="52"/>
      <c r="Q2206" s="52"/>
      <c r="R2206" s="51" t="b">
        <v>0</v>
      </c>
      <c r="S2206" s="51"/>
      <c r="T2206" s="52"/>
      <c r="U2206" s="51" t="b">
        <v>0</v>
      </c>
      <c r="V2206" s="51" t="b">
        <v>0</v>
      </c>
      <c r="W2206" s="51" t="b">
        <v>0</v>
      </c>
      <c r="X2206" s="51" t="b">
        <v>0</v>
      </c>
      <c r="Y2206" s="51" t="b">
        <v>0</v>
      </c>
      <c r="Z2206" s="51" t="b">
        <v>0</v>
      </c>
      <c r="AA2206" s="68"/>
      <c r="AB2206" s="52"/>
      <c r="AC2206" s="52"/>
      <c r="AD2206" s="52"/>
      <c r="AE2206" s="56"/>
      <c r="AF2206" s="56"/>
    </row>
    <row r="2207">
      <c r="A2207" s="52" t="s">
        <v>5501</v>
      </c>
      <c r="B2207" s="52"/>
      <c r="C2207" s="52"/>
      <c r="D2207" s="65"/>
      <c r="E2207" s="65"/>
      <c r="F2207" s="65"/>
      <c r="G2207" s="65"/>
      <c r="H2207" s="52"/>
      <c r="I2207" s="52"/>
      <c r="J2207" s="52"/>
      <c r="K2207" s="52"/>
      <c r="L2207" s="52"/>
      <c r="M2207" s="52"/>
      <c r="N2207" s="52" t="s">
        <v>70</v>
      </c>
      <c r="O2207" s="52"/>
      <c r="P2207" s="52"/>
      <c r="Q2207" s="52"/>
      <c r="R2207" s="51" t="b">
        <v>0</v>
      </c>
      <c r="S2207" s="51"/>
      <c r="T2207" s="52"/>
      <c r="U2207" s="51" t="b">
        <v>0</v>
      </c>
      <c r="V2207" s="51" t="b">
        <v>0</v>
      </c>
      <c r="W2207" s="51" t="b">
        <v>0</v>
      </c>
      <c r="X2207" s="51" t="b">
        <v>0</v>
      </c>
      <c r="Y2207" s="51" t="b">
        <v>0</v>
      </c>
      <c r="Z2207" s="51" t="b">
        <v>0</v>
      </c>
      <c r="AA2207" s="68"/>
      <c r="AB2207" s="52"/>
      <c r="AC2207" s="52"/>
      <c r="AD2207" s="52"/>
      <c r="AE2207" s="56"/>
      <c r="AF2207" s="56"/>
    </row>
    <row r="2208">
      <c r="A2208" s="52" t="s">
        <v>5502</v>
      </c>
      <c r="B2208" s="52"/>
      <c r="C2208" s="52"/>
      <c r="D2208" s="65"/>
      <c r="E2208" s="65"/>
      <c r="F2208" s="65"/>
      <c r="G2208" s="65"/>
      <c r="H2208" s="52"/>
      <c r="I2208" s="52"/>
      <c r="J2208" s="52"/>
      <c r="K2208" s="52"/>
      <c r="L2208" s="52"/>
      <c r="M2208" s="52"/>
      <c r="N2208" s="52" t="s">
        <v>70</v>
      </c>
      <c r="O2208" s="52"/>
      <c r="P2208" s="52"/>
      <c r="Q2208" s="52"/>
      <c r="R2208" s="51" t="b">
        <v>0</v>
      </c>
      <c r="S2208" s="51"/>
      <c r="T2208" s="52"/>
      <c r="U2208" s="51" t="b">
        <v>0</v>
      </c>
      <c r="V2208" s="51" t="b">
        <v>0</v>
      </c>
      <c r="W2208" s="51" t="b">
        <v>0</v>
      </c>
      <c r="X2208" s="51" t="b">
        <v>0</v>
      </c>
      <c r="Y2208" s="51" t="b">
        <v>0</v>
      </c>
      <c r="Z2208" s="51" t="b">
        <v>0</v>
      </c>
      <c r="AA2208" s="68"/>
      <c r="AB2208" s="52"/>
      <c r="AC2208" s="52"/>
      <c r="AD2208" s="52"/>
      <c r="AE2208" s="56"/>
      <c r="AF2208" s="56"/>
    </row>
    <row r="2209">
      <c r="A2209" s="52" t="s">
        <v>5503</v>
      </c>
      <c r="B2209" s="52"/>
      <c r="C2209" s="52"/>
      <c r="D2209" s="65"/>
      <c r="E2209" s="65"/>
      <c r="F2209" s="65"/>
      <c r="G2209" s="65"/>
      <c r="H2209" s="52"/>
      <c r="I2209" s="52"/>
      <c r="J2209" s="52"/>
      <c r="K2209" s="52"/>
      <c r="L2209" s="52"/>
      <c r="M2209" s="52"/>
      <c r="N2209" s="52" t="s">
        <v>70</v>
      </c>
      <c r="O2209" s="52"/>
      <c r="P2209" s="52"/>
      <c r="Q2209" s="52"/>
      <c r="R2209" s="51" t="b">
        <v>0</v>
      </c>
      <c r="S2209" s="51"/>
      <c r="T2209" s="52"/>
      <c r="U2209" s="51" t="b">
        <v>0</v>
      </c>
      <c r="V2209" s="51" t="b">
        <v>0</v>
      </c>
      <c r="W2209" s="51" t="b">
        <v>0</v>
      </c>
      <c r="X2209" s="51" t="b">
        <v>0</v>
      </c>
      <c r="Y2209" s="51" t="b">
        <v>0</v>
      </c>
      <c r="Z2209" s="51" t="b">
        <v>0</v>
      </c>
      <c r="AA2209" s="68"/>
      <c r="AB2209" s="52"/>
      <c r="AC2209" s="52"/>
      <c r="AD2209" s="52"/>
      <c r="AE2209" s="56"/>
      <c r="AF2209" s="56"/>
    </row>
    <row r="2210">
      <c r="A2210" s="52" t="s">
        <v>5504</v>
      </c>
      <c r="B2210" s="52"/>
      <c r="C2210" s="52"/>
      <c r="D2210" s="65"/>
      <c r="E2210" s="65"/>
      <c r="F2210" s="65"/>
      <c r="G2210" s="65"/>
      <c r="H2210" s="52"/>
      <c r="I2210" s="52"/>
      <c r="J2210" s="52"/>
      <c r="K2210" s="52"/>
      <c r="L2210" s="52"/>
      <c r="M2210" s="52"/>
      <c r="N2210" s="52" t="s">
        <v>70</v>
      </c>
      <c r="O2210" s="52"/>
      <c r="P2210" s="52"/>
      <c r="Q2210" s="52"/>
      <c r="R2210" s="51" t="b">
        <v>0</v>
      </c>
      <c r="S2210" s="51"/>
      <c r="T2210" s="52"/>
      <c r="U2210" s="51" t="b">
        <v>0</v>
      </c>
      <c r="V2210" s="51" t="b">
        <v>0</v>
      </c>
      <c r="W2210" s="51" t="b">
        <v>0</v>
      </c>
      <c r="X2210" s="51" t="b">
        <v>0</v>
      </c>
      <c r="Y2210" s="51" t="b">
        <v>0</v>
      </c>
      <c r="Z2210" s="51" t="b">
        <v>0</v>
      </c>
      <c r="AA2210" s="68"/>
      <c r="AB2210" s="52"/>
      <c r="AC2210" s="52"/>
      <c r="AD2210" s="52"/>
      <c r="AE2210" s="56"/>
      <c r="AF2210" s="56"/>
    </row>
    <row r="2211">
      <c r="A2211" s="52" t="s">
        <v>5505</v>
      </c>
      <c r="B2211" s="52"/>
      <c r="C2211" s="52"/>
      <c r="D2211" s="65"/>
      <c r="E2211" s="65"/>
      <c r="F2211" s="65"/>
      <c r="G2211" s="65"/>
      <c r="H2211" s="52"/>
      <c r="I2211" s="52"/>
      <c r="J2211" s="52"/>
      <c r="K2211" s="52"/>
      <c r="L2211" s="52"/>
      <c r="M2211" s="52"/>
      <c r="N2211" s="52" t="s">
        <v>70</v>
      </c>
      <c r="O2211" s="52"/>
      <c r="P2211" s="52"/>
      <c r="Q2211" s="52"/>
      <c r="R2211" s="51" t="b">
        <v>0</v>
      </c>
      <c r="S2211" s="51"/>
      <c r="T2211" s="52"/>
      <c r="U2211" s="51" t="b">
        <v>0</v>
      </c>
      <c r="V2211" s="51" t="b">
        <v>0</v>
      </c>
      <c r="W2211" s="51" t="b">
        <v>0</v>
      </c>
      <c r="X2211" s="51" t="b">
        <v>0</v>
      </c>
      <c r="Y2211" s="51" t="b">
        <v>0</v>
      </c>
      <c r="Z2211" s="51" t="b">
        <v>0</v>
      </c>
      <c r="AA2211" s="68"/>
      <c r="AB2211" s="52"/>
      <c r="AC2211" s="52"/>
      <c r="AD2211" s="52"/>
      <c r="AE2211" s="56"/>
      <c r="AF2211" s="56"/>
    </row>
    <row r="2212">
      <c r="A2212" s="52" t="s">
        <v>5506</v>
      </c>
      <c r="B2212" s="52"/>
      <c r="C2212" s="52"/>
      <c r="D2212" s="65"/>
      <c r="E2212" s="65"/>
      <c r="F2212" s="65"/>
      <c r="G2212" s="65"/>
      <c r="H2212" s="52"/>
      <c r="I2212" s="52"/>
      <c r="J2212" s="52"/>
      <c r="K2212" s="52"/>
      <c r="L2212" s="52"/>
      <c r="M2212" s="52"/>
      <c r="N2212" s="52" t="s">
        <v>70</v>
      </c>
      <c r="O2212" s="52"/>
      <c r="P2212" s="52"/>
      <c r="Q2212" s="52"/>
      <c r="R2212" s="51" t="b">
        <v>0</v>
      </c>
      <c r="S2212" s="51"/>
      <c r="T2212" s="52"/>
      <c r="U2212" s="51" t="b">
        <v>0</v>
      </c>
      <c r="V2212" s="51" t="b">
        <v>0</v>
      </c>
      <c r="W2212" s="51" t="b">
        <v>0</v>
      </c>
      <c r="X2212" s="51" t="b">
        <v>0</v>
      </c>
      <c r="Y2212" s="51" t="b">
        <v>0</v>
      </c>
      <c r="Z2212" s="51" t="b">
        <v>0</v>
      </c>
      <c r="AA2212" s="68"/>
      <c r="AB2212" s="52"/>
      <c r="AC2212" s="52"/>
      <c r="AD2212" s="52"/>
      <c r="AE2212" s="56"/>
      <c r="AF2212" s="56"/>
    </row>
    <row r="2213">
      <c r="A2213" s="52" t="s">
        <v>5507</v>
      </c>
      <c r="B2213" s="52"/>
      <c r="C2213" s="52"/>
      <c r="D2213" s="65"/>
      <c r="E2213" s="65"/>
      <c r="F2213" s="65"/>
      <c r="G2213" s="65"/>
      <c r="H2213" s="52"/>
      <c r="I2213" s="52"/>
      <c r="J2213" s="52"/>
      <c r="K2213" s="52"/>
      <c r="L2213" s="52"/>
      <c r="M2213" s="52"/>
      <c r="N2213" s="52" t="s">
        <v>70</v>
      </c>
      <c r="O2213" s="52"/>
      <c r="P2213" s="52"/>
      <c r="Q2213" s="52"/>
      <c r="R2213" s="51" t="b">
        <v>0</v>
      </c>
      <c r="S2213" s="51"/>
      <c r="T2213" s="52"/>
      <c r="U2213" s="51" t="b">
        <v>0</v>
      </c>
      <c r="V2213" s="51" t="b">
        <v>0</v>
      </c>
      <c r="W2213" s="51" t="b">
        <v>0</v>
      </c>
      <c r="X2213" s="51" t="b">
        <v>0</v>
      </c>
      <c r="Y2213" s="51" t="b">
        <v>0</v>
      </c>
      <c r="Z2213" s="51" t="b">
        <v>0</v>
      </c>
      <c r="AA2213" s="68"/>
      <c r="AB2213" s="52"/>
      <c r="AC2213" s="52"/>
      <c r="AD2213" s="52"/>
      <c r="AE2213" s="56"/>
      <c r="AF2213" s="56"/>
    </row>
    <row r="2214">
      <c r="A2214" s="52" t="s">
        <v>5508</v>
      </c>
      <c r="B2214" s="52"/>
      <c r="C2214" s="52"/>
      <c r="D2214" s="65"/>
      <c r="E2214" s="65"/>
      <c r="F2214" s="65"/>
      <c r="G2214" s="65"/>
      <c r="H2214" s="52"/>
      <c r="I2214" s="52"/>
      <c r="J2214" s="52"/>
      <c r="K2214" s="52"/>
      <c r="L2214" s="52"/>
      <c r="M2214" s="52"/>
      <c r="N2214" s="52" t="s">
        <v>70</v>
      </c>
      <c r="O2214" s="52"/>
      <c r="P2214" s="52"/>
      <c r="Q2214" s="52"/>
      <c r="R2214" s="51" t="b">
        <v>0</v>
      </c>
      <c r="S2214" s="51"/>
      <c r="T2214" s="52"/>
      <c r="U2214" s="51" t="b">
        <v>0</v>
      </c>
      <c r="V2214" s="51" t="b">
        <v>0</v>
      </c>
      <c r="W2214" s="51" t="b">
        <v>0</v>
      </c>
      <c r="X2214" s="51" t="b">
        <v>0</v>
      </c>
      <c r="Y2214" s="51" t="b">
        <v>0</v>
      </c>
      <c r="Z2214" s="51" t="b">
        <v>0</v>
      </c>
      <c r="AA2214" s="68"/>
      <c r="AB2214" s="52"/>
      <c r="AC2214" s="52"/>
      <c r="AD2214" s="52"/>
      <c r="AE2214" s="56"/>
      <c r="AF2214" s="56"/>
    </row>
    <row r="2215">
      <c r="A2215" s="52" t="s">
        <v>5509</v>
      </c>
      <c r="B2215" s="52"/>
      <c r="C2215" s="52"/>
      <c r="D2215" s="65"/>
      <c r="E2215" s="65"/>
      <c r="F2215" s="65"/>
      <c r="G2215" s="65"/>
      <c r="H2215" s="52"/>
      <c r="I2215" s="52"/>
      <c r="J2215" s="52"/>
      <c r="K2215" s="52"/>
      <c r="L2215" s="52"/>
      <c r="M2215" s="52"/>
      <c r="N2215" s="52" t="s">
        <v>70</v>
      </c>
      <c r="O2215" s="52"/>
      <c r="P2215" s="52"/>
      <c r="Q2215" s="52"/>
      <c r="R2215" s="51" t="b">
        <v>0</v>
      </c>
      <c r="S2215" s="51"/>
      <c r="T2215" s="52"/>
      <c r="U2215" s="51" t="b">
        <v>0</v>
      </c>
      <c r="V2215" s="51" t="b">
        <v>0</v>
      </c>
      <c r="W2215" s="51" t="b">
        <v>0</v>
      </c>
      <c r="X2215" s="51" t="b">
        <v>0</v>
      </c>
      <c r="Y2215" s="51" t="b">
        <v>0</v>
      </c>
      <c r="Z2215" s="51" t="b">
        <v>0</v>
      </c>
      <c r="AA2215" s="68"/>
      <c r="AB2215" s="52"/>
      <c r="AC2215" s="52"/>
      <c r="AD2215" s="52"/>
      <c r="AE2215" s="56"/>
      <c r="AF2215" s="56"/>
    </row>
    <row r="2216">
      <c r="A2216" s="52" t="s">
        <v>5510</v>
      </c>
      <c r="B2216" s="52"/>
      <c r="C2216" s="52"/>
      <c r="D2216" s="65"/>
      <c r="E2216" s="65"/>
      <c r="F2216" s="65"/>
      <c r="G2216" s="65"/>
      <c r="H2216" s="52"/>
      <c r="I2216" s="52"/>
      <c r="J2216" s="52"/>
      <c r="K2216" s="52"/>
      <c r="L2216" s="52"/>
      <c r="M2216" s="52"/>
      <c r="N2216" s="52" t="s">
        <v>70</v>
      </c>
      <c r="O2216" s="52"/>
      <c r="P2216" s="52"/>
      <c r="Q2216" s="52"/>
      <c r="R2216" s="51" t="b">
        <v>0</v>
      </c>
      <c r="S2216" s="51"/>
      <c r="T2216" s="52"/>
      <c r="U2216" s="51" t="b">
        <v>0</v>
      </c>
      <c r="V2216" s="51" t="b">
        <v>0</v>
      </c>
      <c r="W2216" s="51" t="b">
        <v>0</v>
      </c>
      <c r="X2216" s="51" t="b">
        <v>0</v>
      </c>
      <c r="Y2216" s="51" t="b">
        <v>0</v>
      </c>
      <c r="Z2216" s="51" t="b">
        <v>0</v>
      </c>
      <c r="AA2216" s="68"/>
      <c r="AB2216" s="52"/>
      <c r="AC2216" s="52"/>
      <c r="AD2216" s="52"/>
      <c r="AE2216" s="56"/>
      <c r="AF2216" s="56"/>
    </row>
    <row r="2217">
      <c r="A2217" s="52" t="s">
        <v>5511</v>
      </c>
      <c r="B2217" s="52"/>
      <c r="C2217" s="52"/>
      <c r="D2217" s="65"/>
      <c r="E2217" s="65"/>
      <c r="F2217" s="65"/>
      <c r="G2217" s="65"/>
      <c r="H2217" s="52"/>
      <c r="I2217" s="52"/>
      <c r="J2217" s="52"/>
      <c r="K2217" s="52"/>
      <c r="L2217" s="52"/>
      <c r="M2217" s="52"/>
      <c r="N2217" s="52" t="s">
        <v>70</v>
      </c>
      <c r="O2217" s="52"/>
      <c r="P2217" s="52"/>
      <c r="Q2217" s="52"/>
      <c r="R2217" s="51" t="b">
        <v>0</v>
      </c>
      <c r="S2217" s="51"/>
      <c r="T2217" s="52"/>
      <c r="U2217" s="51" t="b">
        <v>0</v>
      </c>
      <c r="V2217" s="51" t="b">
        <v>0</v>
      </c>
      <c r="W2217" s="51" t="b">
        <v>0</v>
      </c>
      <c r="X2217" s="51" t="b">
        <v>0</v>
      </c>
      <c r="Y2217" s="51" t="b">
        <v>0</v>
      </c>
      <c r="Z2217" s="51" t="b">
        <v>0</v>
      </c>
      <c r="AA2217" s="68"/>
      <c r="AB2217" s="52"/>
      <c r="AC2217" s="52"/>
      <c r="AD2217" s="52"/>
      <c r="AE2217" s="56"/>
      <c r="AF2217" s="56"/>
    </row>
    <row r="2218">
      <c r="A2218" s="52" t="s">
        <v>5512</v>
      </c>
      <c r="B2218" s="52"/>
      <c r="C2218" s="52"/>
      <c r="D2218" s="65"/>
      <c r="E2218" s="65"/>
      <c r="F2218" s="65"/>
      <c r="G2218" s="65"/>
      <c r="H2218" s="52"/>
      <c r="I2218" s="52"/>
      <c r="J2218" s="52"/>
      <c r="K2218" s="52"/>
      <c r="L2218" s="52"/>
      <c r="M2218" s="52"/>
      <c r="N2218" s="52" t="s">
        <v>70</v>
      </c>
      <c r="O2218" s="52"/>
      <c r="P2218" s="52"/>
      <c r="Q2218" s="52"/>
      <c r="R2218" s="51" t="b">
        <v>0</v>
      </c>
      <c r="S2218" s="51"/>
      <c r="T2218" s="52"/>
      <c r="U2218" s="51" t="b">
        <v>0</v>
      </c>
      <c r="V2218" s="51" t="b">
        <v>0</v>
      </c>
      <c r="W2218" s="51" t="b">
        <v>0</v>
      </c>
      <c r="X2218" s="51" t="b">
        <v>0</v>
      </c>
      <c r="Y2218" s="51" t="b">
        <v>0</v>
      </c>
      <c r="Z2218" s="51" t="b">
        <v>0</v>
      </c>
      <c r="AA2218" s="68"/>
      <c r="AB2218" s="52"/>
      <c r="AC2218" s="52"/>
      <c r="AD2218" s="52"/>
      <c r="AE2218" s="56"/>
      <c r="AF2218" s="56"/>
    </row>
    <row r="2219">
      <c r="A2219" s="52" t="s">
        <v>5513</v>
      </c>
      <c r="B2219" s="52"/>
      <c r="C2219" s="52"/>
      <c r="D2219" s="65"/>
      <c r="E2219" s="65"/>
      <c r="F2219" s="65"/>
      <c r="G2219" s="65"/>
      <c r="H2219" s="52"/>
      <c r="I2219" s="52"/>
      <c r="J2219" s="52"/>
      <c r="K2219" s="52"/>
      <c r="L2219" s="52"/>
      <c r="M2219" s="52"/>
      <c r="N2219" s="52" t="s">
        <v>70</v>
      </c>
      <c r="O2219" s="52"/>
      <c r="P2219" s="52"/>
      <c r="Q2219" s="52"/>
      <c r="R2219" s="51" t="b">
        <v>0</v>
      </c>
      <c r="S2219" s="51"/>
      <c r="T2219" s="52"/>
      <c r="U2219" s="51" t="b">
        <v>0</v>
      </c>
      <c r="V2219" s="51" t="b">
        <v>0</v>
      </c>
      <c r="W2219" s="51" t="b">
        <v>0</v>
      </c>
      <c r="X2219" s="51" t="b">
        <v>0</v>
      </c>
      <c r="Y2219" s="51" t="b">
        <v>0</v>
      </c>
      <c r="Z2219" s="51" t="b">
        <v>0</v>
      </c>
      <c r="AA2219" s="68"/>
      <c r="AB2219" s="52"/>
      <c r="AC2219" s="52"/>
      <c r="AD2219" s="52"/>
      <c r="AE2219" s="56"/>
      <c r="AF2219" s="56"/>
    </row>
    <row r="2220">
      <c r="A2220" s="52" t="s">
        <v>5514</v>
      </c>
      <c r="B2220" s="52"/>
      <c r="C2220" s="52"/>
      <c r="D2220" s="65"/>
      <c r="E2220" s="65"/>
      <c r="F2220" s="65"/>
      <c r="G2220" s="65"/>
      <c r="H2220" s="52"/>
      <c r="I2220" s="52"/>
      <c r="J2220" s="52"/>
      <c r="K2220" s="52"/>
      <c r="L2220" s="52"/>
      <c r="M2220" s="52"/>
      <c r="N2220" s="52" t="s">
        <v>70</v>
      </c>
      <c r="O2220" s="52"/>
      <c r="P2220" s="52"/>
      <c r="Q2220" s="52"/>
      <c r="R2220" s="51" t="b">
        <v>0</v>
      </c>
      <c r="S2220" s="51"/>
      <c r="T2220" s="52"/>
      <c r="U2220" s="51" t="b">
        <v>0</v>
      </c>
      <c r="V2220" s="51" t="b">
        <v>0</v>
      </c>
      <c r="W2220" s="51" t="b">
        <v>0</v>
      </c>
      <c r="X2220" s="51" t="b">
        <v>0</v>
      </c>
      <c r="Y2220" s="51" t="b">
        <v>0</v>
      </c>
      <c r="Z2220" s="51" t="b">
        <v>0</v>
      </c>
      <c r="AA2220" s="68"/>
      <c r="AB2220" s="52"/>
      <c r="AC2220" s="52"/>
      <c r="AD2220" s="52"/>
      <c r="AE2220" s="56"/>
      <c r="AF2220" s="56"/>
    </row>
    <row r="2221">
      <c r="A2221" s="52" t="s">
        <v>5515</v>
      </c>
      <c r="B2221" s="52"/>
      <c r="C2221" s="52"/>
      <c r="D2221" s="65"/>
      <c r="E2221" s="65"/>
      <c r="F2221" s="65"/>
      <c r="G2221" s="65"/>
      <c r="H2221" s="52"/>
      <c r="I2221" s="52"/>
      <c r="J2221" s="52"/>
      <c r="K2221" s="52"/>
      <c r="L2221" s="52"/>
      <c r="M2221" s="52"/>
      <c r="N2221" s="52" t="s">
        <v>70</v>
      </c>
      <c r="O2221" s="52"/>
      <c r="P2221" s="52"/>
      <c r="Q2221" s="52"/>
      <c r="R2221" s="51" t="b">
        <v>0</v>
      </c>
      <c r="S2221" s="51"/>
      <c r="T2221" s="52"/>
      <c r="U2221" s="51" t="b">
        <v>0</v>
      </c>
      <c r="V2221" s="51" t="b">
        <v>0</v>
      </c>
      <c r="W2221" s="51" t="b">
        <v>0</v>
      </c>
      <c r="X2221" s="51" t="b">
        <v>0</v>
      </c>
      <c r="Y2221" s="51" t="b">
        <v>0</v>
      </c>
      <c r="Z2221" s="51" t="b">
        <v>0</v>
      </c>
      <c r="AA2221" s="68"/>
      <c r="AB2221" s="52"/>
      <c r="AC2221" s="52"/>
      <c r="AD2221" s="52"/>
      <c r="AE2221" s="56"/>
      <c r="AF2221" s="56"/>
    </row>
    <row r="2222">
      <c r="A2222" s="52" t="s">
        <v>5516</v>
      </c>
      <c r="B2222" s="52"/>
      <c r="C2222" s="52"/>
      <c r="D2222" s="65"/>
      <c r="E2222" s="65"/>
      <c r="F2222" s="65"/>
      <c r="G2222" s="65"/>
      <c r="H2222" s="52"/>
      <c r="I2222" s="52"/>
      <c r="J2222" s="52"/>
      <c r="K2222" s="52"/>
      <c r="L2222" s="52"/>
      <c r="M2222" s="52"/>
      <c r="N2222" s="52" t="s">
        <v>70</v>
      </c>
      <c r="O2222" s="52"/>
      <c r="P2222" s="52"/>
      <c r="Q2222" s="52"/>
      <c r="R2222" s="51" t="b">
        <v>0</v>
      </c>
      <c r="S2222" s="51"/>
      <c r="T2222" s="52"/>
      <c r="U2222" s="51" t="b">
        <v>0</v>
      </c>
      <c r="V2222" s="51" t="b">
        <v>0</v>
      </c>
      <c r="W2222" s="51" t="b">
        <v>0</v>
      </c>
      <c r="X2222" s="51" t="b">
        <v>0</v>
      </c>
      <c r="Y2222" s="51" t="b">
        <v>0</v>
      </c>
      <c r="Z2222" s="51" t="b">
        <v>0</v>
      </c>
      <c r="AA2222" s="68"/>
      <c r="AB2222" s="52"/>
      <c r="AC2222" s="52"/>
      <c r="AD2222" s="52"/>
      <c r="AE2222" s="56"/>
      <c r="AF2222" s="56"/>
    </row>
    <row r="2223">
      <c r="A2223" s="52" t="s">
        <v>5517</v>
      </c>
      <c r="B2223" s="52"/>
      <c r="C2223" s="52"/>
      <c r="D2223" s="65"/>
      <c r="E2223" s="65"/>
      <c r="F2223" s="65"/>
      <c r="G2223" s="65"/>
      <c r="H2223" s="52"/>
      <c r="I2223" s="52"/>
      <c r="J2223" s="52"/>
      <c r="K2223" s="52"/>
      <c r="L2223" s="52"/>
      <c r="M2223" s="52"/>
      <c r="N2223" s="52" t="s">
        <v>70</v>
      </c>
      <c r="O2223" s="52"/>
      <c r="P2223" s="52"/>
      <c r="Q2223" s="52"/>
      <c r="R2223" s="51" t="b">
        <v>0</v>
      </c>
      <c r="S2223" s="51"/>
      <c r="T2223" s="52"/>
      <c r="U2223" s="51" t="b">
        <v>0</v>
      </c>
      <c r="V2223" s="51" t="b">
        <v>0</v>
      </c>
      <c r="W2223" s="51" t="b">
        <v>0</v>
      </c>
      <c r="X2223" s="51" t="b">
        <v>0</v>
      </c>
      <c r="Y2223" s="51" t="b">
        <v>0</v>
      </c>
      <c r="Z2223" s="51" t="b">
        <v>0</v>
      </c>
      <c r="AA2223" s="68"/>
      <c r="AB2223" s="52"/>
      <c r="AC2223" s="52"/>
      <c r="AD2223" s="52"/>
      <c r="AE2223" s="56"/>
      <c r="AF2223" s="56"/>
    </row>
    <row r="2224">
      <c r="A2224" s="52" t="s">
        <v>5518</v>
      </c>
      <c r="B2224" s="52"/>
      <c r="C2224" s="52"/>
      <c r="D2224" s="65"/>
      <c r="E2224" s="65"/>
      <c r="F2224" s="65"/>
      <c r="G2224" s="65"/>
      <c r="H2224" s="52"/>
      <c r="I2224" s="52"/>
      <c r="J2224" s="52"/>
      <c r="K2224" s="52"/>
      <c r="L2224" s="52"/>
      <c r="M2224" s="52"/>
      <c r="N2224" s="52" t="s">
        <v>70</v>
      </c>
      <c r="O2224" s="52"/>
      <c r="P2224" s="52"/>
      <c r="Q2224" s="52"/>
      <c r="R2224" s="51" t="b">
        <v>0</v>
      </c>
      <c r="S2224" s="51"/>
      <c r="T2224" s="52"/>
      <c r="U2224" s="51" t="b">
        <v>0</v>
      </c>
      <c r="V2224" s="51" t="b">
        <v>0</v>
      </c>
      <c r="W2224" s="51" t="b">
        <v>0</v>
      </c>
      <c r="X2224" s="51" t="b">
        <v>0</v>
      </c>
      <c r="Y2224" s="51" t="b">
        <v>0</v>
      </c>
      <c r="Z2224" s="51" t="b">
        <v>0</v>
      </c>
      <c r="AA2224" s="68"/>
      <c r="AB2224" s="52"/>
      <c r="AC2224" s="52"/>
      <c r="AD2224" s="52"/>
      <c r="AE2224" s="56"/>
      <c r="AF2224" s="56"/>
    </row>
    <row r="2225">
      <c r="A2225" s="52" t="s">
        <v>5519</v>
      </c>
      <c r="B2225" s="52"/>
      <c r="C2225" s="52"/>
      <c r="D2225" s="65"/>
      <c r="E2225" s="65"/>
      <c r="F2225" s="65"/>
      <c r="G2225" s="65"/>
      <c r="H2225" s="52"/>
      <c r="I2225" s="52"/>
      <c r="J2225" s="52"/>
      <c r="K2225" s="52"/>
      <c r="L2225" s="52"/>
      <c r="M2225" s="52"/>
      <c r="N2225" s="52" t="s">
        <v>70</v>
      </c>
      <c r="O2225" s="52"/>
      <c r="P2225" s="52"/>
      <c r="Q2225" s="52"/>
      <c r="R2225" s="51" t="b">
        <v>0</v>
      </c>
      <c r="S2225" s="51"/>
      <c r="T2225" s="52"/>
      <c r="U2225" s="51" t="b">
        <v>0</v>
      </c>
      <c r="V2225" s="51" t="b">
        <v>0</v>
      </c>
      <c r="W2225" s="51" t="b">
        <v>0</v>
      </c>
      <c r="X2225" s="51" t="b">
        <v>0</v>
      </c>
      <c r="Y2225" s="51" t="b">
        <v>0</v>
      </c>
      <c r="Z2225" s="51" t="b">
        <v>0</v>
      </c>
      <c r="AA2225" s="68"/>
      <c r="AB2225" s="52"/>
      <c r="AC2225" s="52"/>
      <c r="AD2225" s="52"/>
      <c r="AE2225" s="56"/>
      <c r="AF2225" s="56"/>
    </row>
    <row r="2226">
      <c r="A2226" s="52" t="s">
        <v>5520</v>
      </c>
      <c r="B2226" s="52"/>
      <c r="C2226" s="52"/>
      <c r="D2226" s="65"/>
      <c r="E2226" s="65"/>
      <c r="F2226" s="65"/>
      <c r="G2226" s="65"/>
      <c r="H2226" s="52"/>
      <c r="I2226" s="52"/>
      <c r="J2226" s="52"/>
      <c r="K2226" s="52"/>
      <c r="L2226" s="52"/>
      <c r="M2226" s="52"/>
      <c r="N2226" s="52" t="s">
        <v>70</v>
      </c>
      <c r="O2226" s="52"/>
      <c r="P2226" s="52"/>
      <c r="Q2226" s="52"/>
      <c r="R2226" s="51" t="b">
        <v>0</v>
      </c>
      <c r="S2226" s="51"/>
      <c r="T2226" s="52"/>
      <c r="U2226" s="51" t="b">
        <v>0</v>
      </c>
      <c r="V2226" s="51" t="b">
        <v>0</v>
      </c>
      <c r="W2226" s="51" t="b">
        <v>0</v>
      </c>
      <c r="X2226" s="51" t="b">
        <v>0</v>
      </c>
      <c r="Y2226" s="51" t="b">
        <v>0</v>
      </c>
      <c r="Z2226" s="51" t="b">
        <v>0</v>
      </c>
      <c r="AA2226" s="68"/>
      <c r="AB2226" s="52"/>
      <c r="AC2226" s="52"/>
      <c r="AD2226" s="52"/>
      <c r="AE2226" s="56"/>
      <c r="AF2226" s="56"/>
    </row>
    <row r="2227">
      <c r="A2227" s="52" t="s">
        <v>5521</v>
      </c>
      <c r="B2227" s="52"/>
      <c r="C2227" s="52"/>
      <c r="D2227" s="65"/>
      <c r="E2227" s="65"/>
      <c r="F2227" s="65"/>
      <c r="G2227" s="65"/>
      <c r="H2227" s="52"/>
      <c r="I2227" s="52"/>
      <c r="J2227" s="52"/>
      <c r="K2227" s="52"/>
      <c r="L2227" s="52"/>
      <c r="M2227" s="52"/>
      <c r="N2227" s="52" t="s">
        <v>70</v>
      </c>
      <c r="O2227" s="52"/>
      <c r="P2227" s="52"/>
      <c r="Q2227" s="52"/>
      <c r="R2227" s="51" t="b">
        <v>0</v>
      </c>
      <c r="S2227" s="51"/>
      <c r="T2227" s="52"/>
      <c r="U2227" s="51" t="b">
        <v>0</v>
      </c>
      <c r="V2227" s="51" t="b">
        <v>0</v>
      </c>
      <c r="W2227" s="51" t="b">
        <v>0</v>
      </c>
      <c r="X2227" s="51" t="b">
        <v>0</v>
      </c>
      <c r="Y2227" s="51" t="b">
        <v>0</v>
      </c>
      <c r="Z2227" s="51" t="b">
        <v>0</v>
      </c>
      <c r="AA2227" s="68"/>
      <c r="AB2227" s="52"/>
      <c r="AC2227" s="52"/>
      <c r="AD2227" s="52"/>
      <c r="AE2227" s="56"/>
      <c r="AF2227" s="56"/>
    </row>
    <row r="2228">
      <c r="A2228" s="52" t="s">
        <v>5522</v>
      </c>
      <c r="B2228" s="52"/>
      <c r="C2228" s="52"/>
      <c r="D2228" s="65"/>
      <c r="E2228" s="65"/>
      <c r="F2228" s="65"/>
      <c r="G2228" s="65"/>
      <c r="H2228" s="52"/>
      <c r="I2228" s="52"/>
      <c r="J2228" s="52"/>
      <c r="K2228" s="52"/>
      <c r="L2228" s="52"/>
      <c r="M2228" s="52"/>
      <c r="N2228" s="52" t="s">
        <v>70</v>
      </c>
      <c r="O2228" s="52"/>
      <c r="P2228" s="52"/>
      <c r="Q2228" s="52"/>
      <c r="R2228" s="51" t="b">
        <v>0</v>
      </c>
      <c r="S2228" s="51"/>
      <c r="T2228" s="52"/>
      <c r="U2228" s="51" t="b">
        <v>0</v>
      </c>
      <c r="V2228" s="51" t="b">
        <v>0</v>
      </c>
      <c r="W2228" s="51" t="b">
        <v>0</v>
      </c>
      <c r="X2228" s="51" t="b">
        <v>0</v>
      </c>
      <c r="Y2228" s="51" t="b">
        <v>0</v>
      </c>
      <c r="Z2228" s="51" t="b">
        <v>0</v>
      </c>
      <c r="AA2228" s="68"/>
      <c r="AB2228" s="52"/>
      <c r="AC2228" s="52"/>
      <c r="AD2228" s="52"/>
      <c r="AE2228" s="56"/>
      <c r="AF2228" s="56"/>
    </row>
    <row r="2229">
      <c r="A2229" s="52" t="s">
        <v>5523</v>
      </c>
      <c r="B2229" s="52"/>
      <c r="C2229" s="52"/>
      <c r="D2229" s="65"/>
      <c r="E2229" s="65"/>
      <c r="F2229" s="65"/>
      <c r="G2229" s="65"/>
      <c r="H2229" s="52"/>
      <c r="I2229" s="52"/>
      <c r="J2229" s="52"/>
      <c r="K2229" s="52"/>
      <c r="L2229" s="52"/>
      <c r="M2229" s="52"/>
      <c r="N2229" s="52" t="s">
        <v>70</v>
      </c>
      <c r="O2229" s="52"/>
      <c r="P2229" s="52"/>
      <c r="Q2229" s="52"/>
      <c r="R2229" s="51" t="b">
        <v>0</v>
      </c>
      <c r="S2229" s="51"/>
      <c r="T2229" s="52"/>
      <c r="U2229" s="51" t="b">
        <v>0</v>
      </c>
      <c r="V2229" s="51" t="b">
        <v>0</v>
      </c>
      <c r="W2229" s="51" t="b">
        <v>0</v>
      </c>
      <c r="X2229" s="51" t="b">
        <v>0</v>
      </c>
      <c r="Y2229" s="51" t="b">
        <v>0</v>
      </c>
      <c r="Z2229" s="51" t="b">
        <v>0</v>
      </c>
      <c r="AA2229" s="68"/>
      <c r="AB2229" s="52"/>
      <c r="AC2229" s="52"/>
      <c r="AD2229" s="52"/>
      <c r="AE2229" s="56"/>
      <c r="AF2229" s="56"/>
    </row>
    <row r="2230">
      <c r="A2230" s="52" t="s">
        <v>5524</v>
      </c>
      <c r="B2230" s="52"/>
      <c r="C2230" s="52"/>
      <c r="D2230" s="65"/>
      <c r="E2230" s="65"/>
      <c r="F2230" s="65"/>
      <c r="G2230" s="65"/>
      <c r="H2230" s="52"/>
      <c r="I2230" s="52"/>
      <c r="J2230" s="52"/>
      <c r="K2230" s="52"/>
      <c r="L2230" s="52"/>
      <c r="M2230" s="52"/>
      <c r="N2230" s="52" t="s">
        <v>70</v>
      </c>
      <c r="O2230" s="52"/>
      <c r="P2230" s="52"/>
      <c r="Q2230" s="52"/>
      <c r="R2230" s="51" t="b">
        <v>0</v>
      </c>
      <c r="S2230" s="51"/>
      <c r="T2230" s="52"/>
      <c r="U2230" s="51" t="b">
        <v>0</v>
      </c>
      <c r="V2230" s="51" t="b">
        <v>0</v>
      </c>
      <c r="W2230" s="51" t="b">
        <v>0</v>
      </c>
      <c r="X2230" s="51" t="b">
        <v>0</v>
      </c>
      <c r="Y2230" s="51" t="b">
        <v>0</v>
      </c>
      <c r="Z2230" s="51" t="b">
        <v>0</v>
      </c>
      <c r="AA2230" s="68"/>
      <c r="AB2230" s="52"/>
      <c r="AC2230" s="52"/>
      <c r="AD2230" s="52"/>
      <c r="AE2230" s="56"/>
      <c r="AF2230" s="56"/>
    </row>
    <row r="2231">
      <c r="A2231" s="52" t="s">
        <v>5525</v>
      </c>
      <c r="B2231" s="52"/>
      <c r="C2231" s="52"/>
      <c r="D2231" s="65"/>
      <c r="E2231" s="65"/>
      <c r="F2231" s="65"/>
      <c r="G2231" s="65"/>
      <c r="H2231" s="52"/>
      <c r="I2231" s="52"/>
      <c r="J2231" s="52"/>
      <c r="K2231" s="52"/>
      <c r="L2231" s="52"/>
      <c r="M2231" s="52"/>
      <c r="N2231" s="52" t="s">
        <v>70</v>
      </c>
      <c r="O2231" s="52"/>
      <c r="P2231" s="52"/>
      <c r="Q2231" s="52"/>
      <c r="R2231" s="51" t="b">
        <v>0</v>
      </c>
      <c r="S2231" s="51"/>
      <c r="T2231" s="52"/>
      <c r="U2231" s="51" t="b">
        <v>0</v>
      </c>
      <c r="V2231" s="51" t="b">
        <v>0</v>
      </c>
      <c r="W2231" s="51" t="b">
        <v>0</v>
      </c>
      <c r="X2231" s="51" t="b">
        <v>0</v>
      </c>
      <c r="Y2231" s="51" t="b">
        <v>0</v>
      </c>
      <c r="Z2231" s="51" t="b">
        <v>0</v>
      </c>
      <c r="AA2231" s="68"/>
      <c r="AB2231" s="52"/>
      <c r="AC2231" s="52"/>
      <c r="AD2231" s="52"/>
      <c r="AE2231" s="56"/>
      <c r="AF2231" s="56"/>
    </row>
    <row r="2232">
      <c r="A2232" s="52" t="s">
        <v>5526</v>
      </c>
      <c r="B2232" s="52"/>
      <c r="C2232" s="52"/>
      <c r="D2232" s="65"/>
      <c r="E2232" s="65"/>
      <c r="F2232" s="65"/>
      <c r="G2232" s="65"/>
      <c r="H2232" s="52"/>
      <c r="I2232" s="52"/>
      <c r="J2232" s="52"/>
      <c r="K2232" s="52"/>
      <c r="L2232" s="52"/>
      <c r="M2232" s="52"/>
      <c r="N2232" s="52" t="s">
        <v>70</v>
      </c>
      <c r="O2232" s="52"/>
      <c r="P2232" s="52"/>
      <c r="Q2232" s="52"/>
      <c r="R2232" s="51" t="b">
        <v>0</v>
      </c>
      <c r="S2232" s="51"/>
      <c r="T2232" s="52"/>
      <c r="U2232" s="51" t="b">
        <v>0</v>
      </c>
      <c r="V2232" s="51" t="b">
        <v>0</v>
      </c>
      <c r="W2232" s="51" t="b">
        <v>0</v>
      </c>
      <c r="X2232" s="51" t="b">
        <v>0</v>
      </c>
      <c r="Y2232" s="51" t="b">
        <v>0</v>
      </c>
      <c r="Z2232" s="51" t="b">
        <v>0</v>
      </c>
      <c r="AA2232" s="68"/>
      <c r="AB2232" s="52"/>
      <c r="AC2232" s="52"/>
      <c r="AD2232" s="52"/>
      <c r="AE2232" s="56"/>
      <c r="AF2232" s="56"/>
    </row>
    <row r="2233">
      <c r="A2233" s="52" t="s">
        <v>5527</v>
      </c>
      <c r="B2233" s="52"/>
      <c r="C2233" s="52"/>
      <c r="D2233" s="65"/>
      <c r="E2233" s="65"/>
      <c r="F2233" s="65"/>
      <c r="G2233" s="65"/>
      <c r="H2233" s="52"/>
      <c r="I2233" s="52"/>
      <c r="J2233" s="52"/>
      <c r="K2233" s="52"/>
      <c r="L2233" s="52"/>
      <c r="M2233" s="52"/>
      <c r="N2233" s="52" t="s">
        <v>70</v>
      </c>
      <c r="O2233" s="52"/>
      <c r="P2233" s="52"/>
      <c r="Q2233" s="52"/>
      <c r="R2233" s="51" t="b">
        <v>0</v>
      </c>
      <c r="S2233" s="51"/>
      <c r="T2233" s="52"/>
      <c r="U2233" s="51" t="b">
        <v>0</v>
      </c>
      <c r="V2233" s="51" t="b">
        <v>0</v>
      </c>
      <c r="W2233" s="51" t="b">
        <v>0</v>
      </c>
      <c r="X2233" s="51" t="b">
        <v>0</v>
      </c>
      <c r="Y2233" s="51" t="b">
        <v>0</v>
      </c>
      <c r="Z2233" s="51" t="b">
        <v>0</v>
      </c>
      <c r="AA2233" s="68"/>
      <c r="AB2233" s="52"/>
      <c r="AC2233" s="52"/>
      <c r="AD2233" s="52"/>
      <c r="AE2233" s="56"/>
      <c r="AF2233" s="56"/>
    </row>
    <row r="2234">
      <c r="A2234" s="52" t="s">
        <v>5528</v>
      </c>
      <c r="B2234" s="52"/>
      <c r="C2234" s="52"/>
      <c r="D2234" s="65"/>
      <c r="E2234" s="65"/>
      <c r="F2234" s="65"/>
      <c r="G2234" s="65"/>
      <c r="H2234" s="52"/>
      <c r="I2234" s="52"/>
      <c r="J2234" s="52"/>
      <c r="K2234" s="52"/>
      <c r="L2234" s="52"/>
      <c r="M2234" s="52"/>
      <c r="N2234" s="52" t="s">
        <v>70</v>
      </c>
      <c r="O2234" s="52"/>
      <c r="P2234" s="52"/>
      <c r="Q2234" s="52"/>
      <c r="R2234" s="51" t="b">
        <v>0</v>
      </c>
      <c r="S2234" s="51"/>
      <c r="T2234" s="52"/>
      <c r="U2234" s="51" t="b">
        <v>0</v>
      </c>
      <c r="V2234" s="51" t="b">
        <v>0</v>
      </c>
      <c r="W2234" s="51" t="b">
        <v>0</v>
      </c>
      <c r="X2234" s="51" t="b">
        <v>0</v>
      </c>
      <c r="Y2234" s="51" t="b">
        <v>0</v>
      </c>
      <c r="Z2234" s="51" t="b">
        <v>0</v>
      </c>
      <c r="AA2234" s="68"/>
      <c r="AB2234" s="52"/>
      <c r="AC2234" s="52"/>
      <c r="AD2234" s="52"/>
      <c r="AE2234" s="56"/>
      <c r="AF2234" s="56"/>
    </row>
    <row r="2235">
      <c r="A2235" s="52" t="s">
        <v>5529</v>
      </c>
      <c r="B2235" s="52"/>
      <c r="C2235" s="52"/>
      <c r="D2235" s="65"/>
      <c r="E2235" s="65"/>
      <c r="F2235" s="65"/>
      <c r="G2235" s="65"/>
      <c r="H2235" s="52"/>
      <c r="I2235" s="52"/>
      <c r="J2235" s="52"/>
      <c r="K2235" s="52"/>
      <c r="L2235" s="52"/>
      <c r="M2235" s="52"/>
      <c r="N2235" s="52" t="s">
        <v>70</v>
      </c>
      <c r="O2235" s="52"/>
      <c r="P2235" s="52"/>
      <c r="Q2235" s="52"/>
      <c r="R2235" s="51" t="b">
        <v>0</v>
      </c>
      <c r="S2235" s="51"/>
      <c r="T2235" s="52"/>
      <c r="U2235" s="51" t="b">
        <v>0</v>
      </c>
      <c r="V2235" s="51" t="b">
        <v>0</v>
      </c>
      <c r="W2235" s="51" t="b">
        <v>0</v>
      </c>
      <c r="X2235" s="51" t="b">
        <v>0</v>
      </c>
      <c r="Y2235" s="51" t="b">
        <v>0</v>
      </c>
      <c r="Z2235" s="51" t="b">
        <v>0</v>
      </c>
      <c r="AA2235" s="68"/>
      <c r="AB2235" s="52"/>
      <c r="AC2235" s="52"/>
      <c r="AD2235" s="52"/>
      <c r="AE2235" s="56"/>
      <c r="AF2235" s="56"/>
    </row>
    <row r="2236">
      <c r="A2236" s="52" t="s">
        <v>5530</v>
      </c>
      <c r="B2236" s="52" t="s">
        <v>14</v>
      </c>
      <c r="C2236" s="52" t="s">
        <v>66</v>
      </c>
      <c r="D2236" s="65">
        <v>0.44236111111111126</v>
      </c>
      <c r="E2236" s="65">
        <v>2.314814814814815E-4</v>
      </c>
      <c r="F2236" s="65">
        <v>0.44259259259259276</v>
      </c>
      <c r="G2236" s="65"/>
      <c r="H2236" s="52" t="s">
        <v>85</v>
      </c>
      <c r="I2236" s="52" t="s">
        <v>86</v>
      </c>
      <c r="J2236" s="52" t="s">
        <v>92</v>
      </c>
      <c r="K2236" s="52"/>
      <c r="L2236" s="52"/>
      <c r="M2236" s="52"/>
      <c r="N2236" s="52"/>
      <c r="O2236" s="52"/>
      <c r="P2236" s="52"/>
      <c r="Q2236" s="52"/>
      <c r="R2236" s="51" t="b">
        <v>0</v>
      </c>
      <c r="S2236" s="51"/>
      <c r="T2236" s="52"/>
      <c r="U2236" s="51" t="b">
        <v>0</v>
      </c>
      <c r="V2236" s="51" t="b">
        <v>0</v>
      </c>
      <c r="W2236" s="51" t="b">
        <v>0</v>
      </c>
      <c r="X2236" s="51" t="b">
        <v>0</v>
      </c>
      <c r="Y2236" s="51" t="b">
        <v>0</v>
      </c>
      <c r="Z2236" s="51" t="b">
        <v>0</v>
      </c>
      <c r="AA2236" s="68"/>
      <c r="AB2236" s="52"/>
      <c r="AC2236" s="52"/>
      <c r="AD2236" s="52"/>
      <c r="AE2236" s="56"/>
      <c r="AF2236" s="56"/>
    </row>
    <row r="2237">
      <c r="A2237" s="52" t="s">
        <v>5531</v>
      </c>
      <c r="B2237" s="52" t="s">
        <v>14</v>
      </c>
      <c r="C2237" s="52" t="s">
        <v>66</v>
      </c>
      <c r="D2237" s="65">
        <v>0.4710879629629632</v>
      </c>
      <c r="E2237" s="65">
        <v>2.314814814814815E-4</v>
      </c>
      <c r="F2237" s="65">
        <v>0.4713194444444447</v>
      </c>
      <c r="G2237" s="65"/>
      <c r="H2237" s="52" t="s">
        <v>85</v>
      </c>
      <c r="I2237" s="52" t="s">
        <v>86</v>
      </c>
      <c r="J2237" s="52" t="s">
        <v>105</v>
      </c>
      <c r="K2237" s="52"/>
      <c r="L2237" s="52"/>
      <c r="M2237" s="52"/>
      <c r="N2237" s="52"/>
      <c r="O2237" s="52"/>
      <c r="P2237" s="52"/>
      <c r="Q2237" s="52"/>
      <c r="R2237" s="51" t="b">
        <v>0</v>
      </c>
      <c r="S2237" s="51"/>
      <c r="T2237" s="52"/>
      <c r="U2237" s="51" t="b">
        <v>0</v>
      </c>
      <c r="V2237" s="51" t="b">
        <v>0</v>
      </c>
      <c r="W2237" s="51" t="b">
        <v>0</v>
      </c>
      <c r="X2237" s="51" t="b">
        <v>0</v>
      </c>
      <c r="Y2237" s="51" t="b">
        <v>0</v>
      </c>
      <c r="Z2237" s="51" t="b">
        <v>0</v>
      </c>
      <c r="AA2237" s="68"/>
      <c r="AB2237" s="52"/>
      <c r="AC2237" s="52"/>
      <c r="AD2237" s="52"/>
      <c r="AE2237" s="56"/>
      <c r="AF2237" s="56"/>
    </row>
    <row r="2238">
      <c r="A2238" s="52" t="s">
        <v>5532</v>
      </c>
      <c r="B2238" s="52" t="s">
        <v>14</v>
      </c>
      <c r="C2238" s="52" t="s">
        <v>66</v>
      </c>
      <c r="D2238" s="65">
        <v>0.4827777777777781</v>
      </c>
      <c r="E2238" s="65">
        <v>2.314814814814815E-4</v>
      </c>
      <c r="F2238" s="65">
        <v>0.4830092592592596</v>
      </c>
      <c r="G2238" s="65"/>
      <c r="H2238" s="52" t="s">
        <v>85</v>
      </c>
      <c r="I2238" s="52" t="s">
        <v>86</v>
      </c>
      <c r="J2238" s="52" t="s">
        <v>105</v>
      </c>
      <c r="K2238" s="52"/>
      <c r="L2238" s="52"/>
      <c r="M2238" s="52"/>
      <c r="N2238" s="52"/>
      <c r="O2238" s="52"/>
      <c r="P2238" s="52"/>
      <c r="Q2238" s="52"/>
      <c r="R2238" s="51" t="b">
        <v>0</v>
      </c>
      <c r="S2238" s="51"/>
      <c r="T2238" s="52"/>
      <c r="U2238" s="51" t="b">
        <v>0</v>
      </c>
      <c r="V2238" s="51" t="b">
        <v>0</v>
      </c>
      <c r="W2238" s="51" t="b">
        <v>0</v>
      </c>
      <c r="X2238" s="51" t="b">
        <v>0</v>
      </c>
      <c r="Y2238" s="51" t="b">
        <v>0</v>
      </c>
      <c r="Z2238" s="51" t="b">
        <v>0</v>
      </c>
      <c r="AA2238" s="68"/>
      <c r="AB2238" s="52"/>
      <c r="AC2238" s="52"/>
      <c r="AD2238" s="52"/>
      <c r="AE2238" s="56"/>
      <c r="AF2238" s="56"/>
    </row>
    <row r="2239">
      <c r="A2239" s="52" t="s">
        <v>5533</v>
      </c>
      <c r="B2239" s="52" t="s">
        <v>607</v>
      </c>
      <c r="C2239" s="52" t="s">
        <v>607</v>
      </c>
      <c r="D2239" s="65" t="s">
        <v>607</v>
      </c>
      <c r="E2239" s="65" t="s">
        <v>607</v>
      </c>
      <c r="F2239" s="65" t="s">
        <v>607</v>
      </c>
      <c r="G2239" s="65" t="s">
        <v>607</v>
      </c>
      <c r="H2239" s="52" t="s">
        <v>607</v>
      </c>
      <c r="I2239" s="52" t="s">
        <v>607</v>
      </c>
      <c r="J2239" s="52" t="s">
        <v>607</v>
      </c>
      <c r="K2239" s="52" t="s">
        <v>607</v>
      </c>
      <c r="L2239" s="52" t="s">
        <v>607</v>
      </c>
      <c r="M2239" s="52" t="s">
        <v>607</v>
      </c>
      <c r="N2239" s="52" t="s">
        <v>607</v>
      </c>
      <c r="O2239" s="52"/>
      <c r="P2239" s="52"/>
      <c r="Q2239" s="52"/>
      <c r="R2239" s="51" t="b">
        <v>0</v>
      </c>
      <c r="S2239" s="51"/>
      <c r="T2239" s="52"/>
      <c r="U2239" s="51" t="b">
        <v>0</v>
      </c>
      <c r="V2239" s="51" t="b">
        <v>0</v>
      </c>
      <c r="W2239" s="51" t="b">
        <v>0</v>
      </c>
      <c r="X2239" s="51" t="b">
        <v>0</v>
      </c>
      <c r="Y2239" s="51" t="b">
        <v>0</v>
      </c>
      <c r="Z2239" s="51" t="b">
        <v>0</v>
      </c>
      <c r="AA2239" s="68"/>
      <c r="AB2239" s="52"/>
      <c r="AC2239" s="52"/>
      <c r="AD2239" s="52"/>
      <c r="AE2239" s="56" t="s">
        <v>607</v>
      </c>
      <c r="AF2239" s="56" t="s">
        <v>607</v>
      </c>
    </row>
    <row r="2240">
      <c r="A2240" s="52" t="s">
        <v>5534</v>
      </c>
      <c r="B2240" s="52" t="s">
        <v>14</v>
      </c>
      <c r="C2240" s="52" t="s">
        <v>66</v>
      </c>
      <c r="D2240" s="65">
        <v>0.5147800925925928</v>
      </c>
      <c r="E2240" s="65">
        <v>2.314814814814815E-4</v>
      </c>
      <c r="F2240" s="65">
        <v>0.5150115740740743</v>
      </c>
      <c r="G2240" s="65"/>
      <c r="H2240" s="52" t="s">
        <v>85</v>
      </c>
      <c r="I2240" s="52" t="s">
        <v>86</v>
      </c>
      <c r="J2240" s="52" t="s">
        <v>128</v>
      </c>
      <c r="K2240" s="52"/>
      <c r="L2240" s="52"/>
      <c r="M2240" s="52"/>
      <c r="N2240" s="52"/>
      <c r="O2240" s="52"/>
      <c r="P2240" s="52"/>
      <c r="Q2240" s="52"/>
      <c r="R2240" s="51" t="b">
        <v>0</v>
      </c>
      <c r="S2240" s="51"/>
      <c r="T2240" s="52"/>
      <c r="U2240" s="51" t="b">
        <v>0</v>
      </c>
      <c r="V2240" s="51" t="b">
        <v>0</v>
      </c>
      <c r="W2240" s="51" t="b">
        <v>0</v>
      </c>
      <c r="X2240" s="51" t="b">
        <v>0</v>
      </c>
      <c r="Y2240" s="51" t="b">
        <v>0</v>
      </c>
      <c r="Z2240" s="51" t="b">
        <v>0</v>
      </c>
      <c r="AA2240" s="68"/>
      <c r="AB2240" s="52"/>
      <c r="AC2240" s="52"/>
      <c r="AD2240" s="52"/>
      <c r="AE2240" s="56"/>
      <c r="AF2240" s="56"/>
    </row>
    <row r="2241">
      <c r="A2241" s="52" t="s">
        <v>5535</v>
      </c>
      <c r="B2241" s="52" t="s">
        <v>14</v>
      </c>
      <c r="C2241" s="52" t="s">
        <v>66</v>
      </c>
      <c r="D2241" s="65">
        <v>0.5320833333333335</v>
      </c>
      <c r="E2241" s="65">
        <v>2.314814814814815E-4</v>
      </c>
      <c r="F2241" s="65">
        <v>0.5323148148148149</v>
      </c>
      <c r="G2241" s="65"/>
      <c r="H2241" s="52" t="s">
        <v>85</v>
      </c>
      <c r="I2241" s="52" t="s">
        <v>86</v>
      </c>
      <c r="J2241" s="52" t="s">
        <v>128</v>
      </c>
      <c r="K2241" s="52"/>
      <c r="L2241" s="52"/>
      <c r="M2241" s="52"/>
      <c r="N2241" s="52"/>
      <c r="O2241" s="52"/>
      <c r="P2241" s="52"/>
      <c r="Q2241" s="52"/>
      <c r="R2241" s="51" t="b">
        <v>0</v>
      </c>
      <c r="S2241" s="51"/>
      <c r="T2241" s="52"/>
      <c r="U2241" s="51" t="b">
        <v>0</v>
      </c>
      <c r="V2241" s="51" t="b">
        <v>0</v>
      </c>
      <c r="W2241" s="51" t="b">
        <v>0</v>
      </c>
      <c r="X2241" s="51" t="b">
        <v>0</v>
      </c>
      <c r="Y2241" s="51" t="b">
        <v>0</v>
      </c>
      <c r="Z2241" s="51" t="b">
        <v>0</v>
      </c>
      <c r="AA2241" s="68"/>
      <c r="AB2241" s="52"/>
      <c r="AC2241" s="52"/>
      <c r="AD2241" s="52"/>
      <c r="AE2241" s="56"/>
      <c r="AF2241" s="56"/>
    </row>
    <row r="2242">
      <c r="A2242" s="52" t="s">
        <v>5536</v>
      </c>
      <c r="B2242" s="52" t="s">
        <v>14</v>
      </c>
      <c r="C2242" s="52" t="s">
        <v>66</v>
      </c>
      <c r="D2242" s="65">
        <v>0.5576620370370371</v>
      </c>
      <c r="E2242" s="65">
        <v>2.314814814814815E-4</v>
      </c>
      <c r="F2242" s="65">
        <v>0.5578935185185185</v>
      </c>
      <c r="G2242" s="65"/>
      <c r="H2242" s="52" t="s">
        <v>85</v>
      </c>
      <c r="I2242" s="52" t="s">
        <v>86</v>
      </c>
      <c r="J2242" s="52" t="s">
        <v>92</v>
      </c>
      <c r="K2242" s="52"/>
      <c r="L2242" s="52"/>
      <c r="M2242" s="52"/>
      <c r="N2242" s="52"/>
      <c r="O2242" s="52"/>
      <c r="P2242" s="52"/>
      <c r="Q2242" s="52"/>
      <c r="R2242" s="51" t="b">
        <v>0</v>
      </c>
      <c r="S2242" s="51"/>
      <c r="T2242" s="52"/>
      <c r="U2242" s="51" t="b">
        <v>0</v>
      </c>
      <c r="V2242" s="51" t="b">
        <v>0</v>
      </c>
      <c r="W2242" s="51" t="b">
        <v>0</v>
      </c>
      <c r="X2242" s="51" t="b">
        <v>0</v>
      </c>
      <c r="Y2242" s="51" t="b">
        <v>0</v>
      </c>
      <c r="Z2242" s="51" t="b">
        <v>0</v>
      </c>
      <c r="AA2242" s="68"/>
      <c r="AB2242" s="52"/>
      <c r="AC2242" s="52"/>
      <c r="AD2242" s="52"/>
      <c r="AE2242" s="56"/>
      <c r="AF2242" s="56"/>
    </row>
    <row r="2243">
      <c r="A2243" s="52" t="s">
        <v>5537</v>
      </c>
      <c r="B2243" s="52" t="s">
        <v>14</v>
      </c>
      <c r="C2243" s="52" t="s">
        <v>66</v>
      </c>
      <c r="D2243" s="65">
        <v>0.5689699074074074</v>
      </c>
      <c r="E2243" s="65">
        <v>2.314814814814815E-4</v>
      </c>
      <c r="F2243" s="65">
        <v>0.5692013888888888</v>
      </c>
      <c r="G2243" s="65"/>
      <c r="H2243" s="52" t="s">
        <v>85</v>
      </c>
      <c r="I2243" s="52" t="s">
        <v>86</v>
      </c>
      <c r="J2243" s="52" t="s">
        <v>92</v>
      </c>
      <c r="K2243" s="52"/>
      <c r="L2243" s="52"/>
      <c r="M2243" s="52"/>
      <c r="N2243" s="52"/>
      <c r="O2243" s="52"/>
      <c r="P2243" s="52"/>
      <c r="Q2243" s="52"/>
      <c r="R2243" s="51" t="b">
        <v>0</v>
      </c>
      <c r="S2243" s="51"/>
      <c r="T2243" s="52"/>
      <c r="U2243" s="51" t="b">
        <v>0</v>
      </c>
      <c r="V2243" s="51" t="b">
        <v>0</v>
      </c>
      <c r="W2243" s="51" t="b">
        <v>0</v>
      </c>
      <c r="X2243" s="51" t="b">
        <v>0</v>
      </c>
      <c r="Y2243" s="51" t="b">
        <v>0</v>
      </c>
      <c r="Z2243" s="51" t="b">
        <v>0</v>
      </c>
      <c r="AA2243" s="68"/>
      <c r="AB2243" s="52"/>
      <c r="AC2243" s="52"/>
      <c r="AD2243" s="52"/>
      <c r="AE2243" s="56"/>
      <c r="AF2243" s="56"/>
    </row>
    <row r="2244">
      <c r="A2244" s="52" t="s">
        <v>5538</v>
      </c>
      <c r="B2244" s="52" t="s">
        <v>14</v>
      </c>
      <c r="C2244" s="52" t="s">
        <v>66</v>
      </c>
      <c r="D2244" s="65">
        <v>0.5995486111111109</v>
      </c>
      <c r="E2244" s="65">
        <v>2.314814814814815E-4</v>
      </c>
      <c r="F2244" s="65">
        <v>0.5997800925925924</v>
      </c>
      <c r="G2244" s="65"/>
      <c r="H2244" s="52" t="s">
        <v>85</v>
      </c>
      <c r="I2244" s="52" t="s">
        <v>86</v>
      </c>
      <c r="J2244" s="52" t="s">
        <v>128</v>
      </c>
      <c r="K2244" s="52"/>
      <c r="L2244" s="52"/>
      <c r="M2244" s="52"/>
      <c r="N2244" s="52"/>
      <c r="O2244" s="52"/>
      <c r="P2244" s="52"/>
      <c r="Q2244" s="52"/>
      <c r="R2244" s="51" t="b">
        <v>0</v>
      </c>
      <c r="S2244" s="51"/>
      <c r="T2244" s="52"/>
      <c r="U2244" s="51" t="b">
        <v>0</v>
      </c>
      <c r="V2244" s="51" t="b">
        <v>0</v>
      </c>
      <c r="W2244" s="51" t="b">
        <v>0</v>
      </c>
      <c r="X2244" s="51" t="b">
        <v>0</v>
      </c>
      <c r="Y2244" s="51" t="b">
        <v>0</v>
      </c>
      <c r="Z2244" s="51" t="b">
        <v>0</v>
      </c>
      <c r="AA2244" s="68"/>
      <c r="AB2244" s="52"/>
      <c r="AC2244" s="52"/>
      <c r="AD2244" s="52"/>
      <c r="AE2244" s="56"/>
      <c r="AF2244" s="56"/>
    </row>
    <row r="2245">
      <c r="A2245" s="52" t="s">
        <v>5539</v>
      </c>
      <c r="B2245" s="52" t="s">
        <v>14</v>
      </c>
      <c r="C2245" s="52" t="s">
        <v>66</v>
      </c>
      <c r="D2245" s="65">
        <v>0.6115509259259257</v>
      </c>
      <c r="E2245" s="65">
        <v>2.314814814814815E-4</v>
      </c>
      <c r="F2245" s="65">
        <v>0.6117824074074072</v>
      </c>
      <c r="G2245" s="65"/>
      <c r="H2245" s="52" t="s">
        <v>85</v>
      </c>
      <c r="I2245" s="52" t="s">
        <v>86</v>
      </c>
      <c r="J2245" s="52" t="s">
        <v>128</v>
      </c>
      <c r="K2245" s="52"/>
      <c r="L2245" s="52"/>
      <c r="M2245" s="52"/>
      <c r="N2245" s="52"/>
      <c r="O2245" s="52"/>
      <c r="P2245" s="52"/>
      <c r="Q2245" s="52"/>
      <c r="R2245" s="51" t="b">
        <v>0</v>
      </c>
      <c r="S2245" s="51"/>
      <c r="T2245" s="52"/>
      <c r="U2245" s="51" t="b">
        <v>0</v>
      </c>
      <c r="V2245" s="51" t="b">
        <v>0</v>
      </c>
      <c r="W2245" s="51" t="b">
        <v>0</v>
      </c>
      <c r="X2245" s="51" t="b">
        <v>0</v>
      </c>
      <c r="Y2245" s="51" t="b">
        <v>0</v>
      </c>
      <c r="Z2245" s="51" t="b">
        <v>0</v>
      </c>
      <c r="AA2245" s="68"/>
      <c r="AB2245" s="52"/>
      <c r="AC2245" s="52"/>
      <c r="AD2245" s="52"/>
      <c r="AE2245" s="56"/>
      <c r="AF2245" s="56"/>
    </row>
    <row r="2246">
      <c r="A2246" s="52" t="s">
        <v>5540</v>
      </c>
      <c r="B2246" s="52" t="s">
        <v>14</v>
      </c>
      <c r="C2246" s="52" t="s">
        <v>66</v>
      </c>
      <c r="D2246" s="65">
        <v>0.641284722222222</v>
      </c>
      <c r="E2246" s="65">
        <v>2.314814814814815E-4</v>
      </c>
      <c r="F2246" s="65">
        <v>0.6415162037037034</v>
      </c>
      <c r="G2246" s="65"/>
      <c r="H2246" s="52" t="s">
        <v>85</v>
      </c>
      <c r="I2246" s="52" t="s">
        <v>86</v>
      </c>
      <c r="J2246" s="52" t="s">
        <v>128</v>
      </c>
      <c r="K2246" s="52"/>
      <c r="L2246" s="52"/>
      <c r="M2246" s="52"/>
      <c r="N2246" s="52"/>
      <c r="O2246" s="52"/>
      <c r="P2246" s="52"/>
      <c r="Q2246" s="52"/>
      <c r="R2246" s="51" t="b">
        <v>0</v>
      </c>
      <c r="S2246" s="51"/>
      <c r="T2246" s="52"/>
      <c r="U2246" s="51" t="b">
        <v>0</v>
      </c>
      <c r="V2246" s="51" t="b">
        <v>0</v>
      </c>
      <c r="W2246" s="51" t="b">
        <v>0</v>
      </c>
      <c r="X2246" s="51" t="b">
        <v>0</v>
      </c>
      <c r="Y2246" s="51" t="b">
        <v>0</v>
      </c>
      <c r="Z2246" s="51" t="b">
        <v>0</v>
      </c>
      <c r="AA2246" s="68"/>
      <c r="AB2246" s="52"/>
      <c r="AC2246" s="52"/>
      <c r="AD2246" s="52"/>
      <c r="AE2246" s="56"/>
      <c r="AF2246" s="56"/>
    </row>
    <row r="2247">
      <c r="A2247" s="52" t="s">
        <v>5541</v>
      </c>
      <c r="B2247" s="52" t="s">
        <v>14</v>
      </c>
      <c r="C2247" s="52" t="s">
        <v>66</v>
      </c>
      <c r="D2247" s="65">
        <v>0.68724537037037</v>
      </c>
      <c r="E2247" s="65">
        <v>2.314814814814815E-4</v>
      </c>
      <c r="F2247" s="65">
        <v>0.6874768518518515</v>
      </c>
      <c r="G2247" s="65"/>
      <c r="H2247" s="52" t="s">
        <v>85</v>
      </c>
      <c r="I2247" s="52" t="s">
        <v>86</v>
      </c>
      <c r="J2247" s="52" t="s">
        <v>92</v>
      </c>
      <c r="K2247" s="52"/>
      <c r="L2247" s="52"/>
      <c r="M2247" s="52"/>
      <c r="N2247" s="52"/>
      <c r="O2247" s="52"/>
      <c r="P2247" s="52"/>
      <c r="Q2247" s="52"/>
      <c r="R2247" s="51" t="b">
        <v>0</v>
      </c>
      <c r="S2247" s="51"/>
      <c r="T2247" s="52"/>
      <c r="U2247" s="51" t="b">
        <v>0</v>
      </c>
      <c r="V2247" s="51" t="b">
        <v>0</v>
      </c>
      <c r="W2247" s="51" t="b">
        <v>0</v>
      </c>
      <c r="X2247" s="51" t="b">
        <v>0</v>
      </c>
      <c r="Y2247" s="51" t="b">
        <v>0</v>
      </c>
      <c r="Z2247" s="51" t="b">
        <v>0</v>
      </c>
      <c r="AA2247" s="68"/>
      <c r="AB2247" s="52"/>
      <c r="AC2247" s="52"/>
      <c r="AD2247" s="52"/>
      <c r="AE2247" s="56"/>
      <c r="AF2247" s="56"/>
    </row>
    <row r="2248">
      <c r="A2248" s="52" t="s">
        <v>5542</v>
      </c>
      <c r="B2248" s="52" t="s">
        <v>14</v>
      </c>
      <c r="C2248" s="52" t="s">
        <v>66</v>
      </c>
      <c r="D2248" s="65">
        <v>0.7043749999999996</v>
      </c>
      <c r="E2248" s="65">
        <v>2.314814814814815E-4</v>
      </c>
      <c r="F2248" s="65">
        <v>0.7046064814814811</v>
      </c>
      <c r="G2248" s="65"/>
      <c r="H2248" s="52" t="s">
        <v>85</v>
      </c>
      <c r="I2248" s="52" t="s">
        <v>86</v>
      </c>
      <c r="J2248" s="52" t="s">
        <v>92</v>
      </c>
      <c r="K2248" s="52"/>
      <c r="L2248" s="52"/>
      <c r="M2248" s="52"/>
      <c r="N2248" s="52"/>
      <c r="O2248" s="52"/>
      <c r="P2248" s="52"/>
      <c r="Q2248" s="52"/>
      <c r="R2248" s="51" t="b">
        <v>0</v>
      </c>
      <c r="S2248" s="51"/>
      <c r="T2248" s="52"/>
      <c r="U2248" s="51" t="b">
        <v>0</v>
      </c>
      <c r="V2248" s="51" t="b">
        <v>0</v>
      </c>
      <c r="W2248" s="51" t="b">
        <v>0</v>
      </c>
      <c r="X2248" s="51" t="b">
        <v>0</v>
      </c>
      <c r="Y2248" s="51" t="b">
        <v>0</v>
      </c>
      <c r="Z2248" s="51" t="b">
        <v>0</v>
      </c>
      <c r="AA2248" s="68"/>
      <c r="AB2248" s="52"/>
      <c r="AC2248" s="52"/>
      <c r="AD2248" s="52"/>
      <c r="AE2248" s="56"/>
      <c r="AF2248" s="56"/>
    </row>
    <row r="2249">
      <c r="A2249" s="52" t="s">
        <v>5543</v>
      </c>
      <c r="B2249" s="52" t="s">
        <v>14</v>
      </c>
      <c r="C2249" s="52" t="s">
        <v>221</v>
      </c>
      <c r="D2249" s="65">
        <v>0.43240740740740746</v>
      </c>
      <c r="E2249" s="65">
        <v>2.314814814814815E-4</v>
      </c>
      <c r="F2249" s="65">
        <v>0.43263888888888896</v>
      </c>
      <c r="G2249" s="65"/>
      <c r="H2249" s="52" t="s">
        <v>85</v>
      </c>
      <c r="I2249" s="52" t="s">
        <v>86</v>
      </c>
      <c r="J2249" s="52" t="s">
        <v>128</v>
      </c>
      <c r="K2249" s="52"/>
      <c r="L2249" s="52"/>
      <c r="M2249" s="52"/>
      <c r="N2249" s="52"/>
      <c r="O2249" s="52"/>
      <c r="P2249" s="52"/>
      <c r="Q2249" s="52"/>
      <c r="R2249" s="51" t="b">
        <v>0</v>
      </c>
      <c r="S2249" s="51"/>
      <c r="T2249" s="52"/>
      <c r="U2249" s="51" t="b">
        <v>0</v>
      </c>
      <c r="V2249" s="51" t="b">
        <v>0</v>
      </c>
      <c r="W2249" s="51" t="b">
        <v>0</v>
      </c>
      <c r="X2249" s="51" t="b">
        <v>0</v>
      </c>
      <c r="Y2249" s="51" t="b">
        <v>0</v>
      </c>
      <c r="Z2249" s="51" t="b">
        <v>0</v>
      </c>
      <c r="AA2249" s="68"/>
      <c r="AB2249" s="52"/>
      <c r="AC2249" s="52"/>
      <c r="AD2249" s="52"/>
      <c r="AE2249" s="56"/>
      <c r="AF2249" s="56"/>
    </row>
    <row r="2250">
      <c r="A2250" s="52" t="s">
        <v>5544</v>
      </c>
      <c r="B2250" s="52" t="s">
        <v>14</v>
      </c>
      <c r="C2250" s="52" t="s">
        <v>221</v>
      </c>
      <c r="D2250" s="65">
        <v>0.4475694444444446</v>
      </c>
      <c r="E2250" s="65">
        <v>2.314814814814815E-4</v>
      </c>
      <c r="F2250" s="65">
        <v>0.4478009259259261</v>
      </c>
      <c r="G2250" s="65"/>
      <c r="H2250" s="52" t="s">
        <v>85</v>
      </c>
      <c r="I2250" s="52" t="s">
        <v>86</v>
      </c>
      <c r="J2250" s="52" t="s">
        <v>128</v>
      </c>
      <c r="K2250" s="52"/>
      <c r="L2250" s="52"/>
      <c r="M2250" s="52"/>
      <c r="N2250" s="52"/>
      <c r="O2250" s="52"/>
      <c r="P2250" s="52"/>
      <c r="Q2250" s="52"/>
      <c r="R2250" s="51" t="b">
        <v>0</v>
      </c>
      <c r="S2250" s="51"/>
      <c r="T2250" s="52"/>
      <c r="U2250" s="51" t="b">
        <v>0</v>
      </c>
      <c r="V2250" s="51" t="b">
        <v>0</v>
      </c>
      <c r="W2250" s="51" t="b">
        <v>0</v>
      </c>
      <c r="X2250" s="51" t="b">
        <v>0</v>
      </c>
      <c r="Y2250" s="51" t="b">
        <v>0</v>
      </c>
      <c r="Z2250" s="51" t="b">
        <v>0</v>
      </c>
      <c r="AA2250" s="68"/>
      <c r="AB2250" s="52"/>
      <c r="AC2250" s="52"/>
      <c r="AD2250" s="52"/>
      <c r="AE2250" s="56"/>
      <c r="AF2250" s="56"/>
    </row>
    <row r="2251">
      <c r="A2251" s="52" t="s">
        <v>5545</v>
      </c>
      <c r="B2251" s="52" t="s">
        <v>14</v>
      </c>
      <c r="C2251" s="52" t="s">
        <v>221</v>
      </c>
      <c r="D2251" s="65">
        <v>0.47245370370370393</v>
      </c>
      <c r="E2251" s="65">
        <v>2.314814814814815E-4</v>
      </c>
      <c r="F2251" s="65">
        <v>0.47268518518518543</v>
      </c>
      <c r="G2251" s="65"/>
      <c r="H2251" s="52" t="s">
        <v>85</v>
      </c>
      <c r="I2251" s="52" t="s">
        <v>86</v>
      </c>
      <c r="J2251" s="52" t="s">
        <v>128</v>
      </c>
      <c r="K2251" s="52"/>
      <c r="L2251" s="52"/>
      <c r="M2251" s="52"/>
      <c r="N2251" s="52"/>
      <c r="O2251" s="52"/>
      <c r="P2251" s="52"/>
      <c r="Q2251" s="52"/>
      <c r="R2251" s="51" t="b">
        <v>0</v>
      </c>
      <c r="S2251" s="51"/>
      <c r="T2251" s="52"/>
      <c r="U2251" s="51" t="b">
        <v>0</v>
      </c>
      <c r="V2251" s="51" t="b">
        <v>0</v>
      </c>
      <c r="W2251" s="51" t="b">
        <v>0</v>
      </c>
      <c r="X2251" s="51" t="b">
        <v>0</v>
      </c>
      <c r="Y2251" s="51" t="b">
        <v>0</v>
      </c>
      <c r="Z2251" s="51" t="b">
        <v>0</v>
      </c>
      <c r="AA2251" s="68"/>
      <c r="AB2251" s="52"/>
      <c r="AC2251" s="52"/>
      <c r="AD2251" s="52"/>
      <c r="AE2251" s="56"/>
      <c r="AF2251" s="56"/>
    </row>
    <row r="2252">
      <c r="A2252" s="52" t="s">
        <v>5546</v>
      </c>
      <c r="B2252" s="52" t="s">
        <v>14</v>
      </c>
      <c r="C2252" s="52" t="s">
        <v>221</v>
      </c>
      <c r="D2252" s="65">
        <v>0.5141203703703707</v>
      </c>
      <c r="E2252" s="65">
        <v>2.314814814814815E-4</v>
      </c>
      <c r="F2252" s="65">
        <v>0.5143518518518522</v>
      </c>
      <c r="G2252" s="65"/>
      <c r="H2252" s="52" t="s">
        <v>85</v>
      </c>
      <c r="I2252" s="52" t="s">
        <v>86</v>
      </c>
      <c r="J2252" s="52" t="s">
        <v>128</v>
      </c>
      <c r="K2252" s="52"/>
      <c r="L2252" s="52"/>
      <c r="M2252" s="52"/>
      <c r="N2252" s="52"/>
      <c r="O2252" s="52"/>
      <c r="P2252" s="52"/>
      <c r="Q2252" s="52"/>
      <c r="R2252" s="51" t="b">
        <v>0</v>
      </c>
      <c r="S2252" s="51"/>
      <c r="T2252" s="52"/>
      <c r="U2252" s="51" t="b">
        <v>0</v>
      </c>
      <c r="V2252" s="51" t="b">
        <v>0</v>
      </c>
      <c r="W2252" s="51" t="b">
        <v>0</v>
      </c>
      <c r="X2252" s="51" t="b">
        <v>0</v>
      </c>
      <c r="Y2252" s="51" t="b">
        <v>0</v>
      </c>
      <c r="Z2252" s="51" t="b">
        <v>0</v>
      </c>
      <c r="AA2252" s="68"/>
      <c r="AB2252" s="52"/>
      <c r="AC2252" s="52"/>
      <c r="AD2252" s="52"/>
      <c r="AE2252" s="56"/>
      <c r="AF2252" s="56"/>
    </row>
    <row r="2253">
      <c r="A2253" s="52" t="s">
        <v>5547</v>
      </c>
      <c r="B2253" s="52" t="s">
        <v>14</v>
      </c>
      <c r="C2253" s="52" t="s">
        <v>221</v>
      </c>
      <c r="D2253" s="65">
        <v>0.5536226851851855</v>
      </c>
      <c r="E2253" s="65">
        <v>2.314814814814815E-4</v>
      </c>
      <c r="F2253" s="65">
        <v>0.553854166666667</v>
      </c>
      <c r="G2253" s="65"/>
      <c r="H2253" s="52" t="s">
        <v>85</v>
      </c>
      <c r="I2253" s="52" t="s">
        <v>86</v>
      </c>
      <c r="J2253" s="52" t="s">
        <v>128</v>
      </c>
      <c r="K2253" s="52"/>
      <c r="L2253" s="52"/>
      <c r="M2253" s="52"/>
      <c r="N2253" s="52"/>
      <c r="O2253" s="52"/>
      <c r="P2253" s="52"/>
      <c r="Q2253" s="52"/>
      <c r="R2253" s="51" t="b">
        <v>0</v>
      </c>
      <c r="S2253" s="51"/>
      <c r="T2253" s="52"/>
      <c r="U2253" s="51" t="b">
        <v>0</v>
      </c>
      <c r="V2253" s="51" t="b">
        <v>0</v>
      </c>
      <c r="W2253" s="51" t="b">
        <v>0</v>
      </c>
      <c r="X2253" s="51" t="b">
        <v>0</v>
      </c>
      <c r="Y2253" s="51" t="b">
        <v>0</v>
      </c>
      <c r="Z2253" s="51" t="b">
        <v>0</v>
      </c>
      <c r="AA2253" s="68"/>
      <c r="AB2253" s="52"/>
      <c r="AC2253" s="52"/>
      <c r="AD2253" s="52"/>
      <c r="AE2253" s="56"/>
      <c r="AF2253" s="56"/>
    </row>
    <row r="2254">
      <c r="A2254" s="52" t="s">
        <v>5548</v>
      </c>
      <c r="B2254" s="52" t="s">
        <v>14</v>
      </c>
      <c r="C2254" s="52" t="s">
        <v>221</v>
      </c>
      <c r="D2254" s="65">
        <v>0.5759027777777779</v>
      </c>
      <c r="E2254" s="65">
        <v>2.314814814814815E-4</v>
      </c>
      <c r="F2254" s="65">
        <v>0.5761342592592593</v>
      </c>
      <c r="G2254" s="65"/>
      <c r="H2254" s="52" t="s">
        <v>85</v>
      </c>
      <c r="I2254" s="52" t="s">
        <v>86</v>
      </c>
      <c r="J2254" s="52" t="s">
        <v>128</v>
      </c>
      <c r="K2254" s="52"/>
      <c r="L2254" s="52"/>
      <c r="M2254" s="52"/>
      <c r="N2254" s="52"/>
      <c r="O2254" s="52"/>
      <c r="P2254" s="52"/>
      <c r="Q2254" s="52"/>
      <c r="R2254" s="51" t="b">
        <v>0</v>
      </c>
      <c r="S2254" s="51"/>
      <c r="T2254" s="52"/>
      <c r="U2254" s="51" t="b">
        <v>0</v>
      </c>
      <c r="V2254" s="51" t="b">
        <v>0</v>
      </c>
      <c r="W2254" s="51" t="b">
        <v>0</v>
      </c>
      <c r="X2254" s="51" t="b">
        <v>0</v>
      </c>
      <c r="Y2254" s="51" t="b">
        <v>0</v>
      </c>
      <c r="Z2254" s="51" t="b">
        <v>0</v>
      </c>
      <c r="AA2254" s="68"/>
      <c r="AB2254" s="52"/>
      <c r="AC2254" s="52"/>
      <c r="AD2254" s="52"/>
      <c r="AE2254" s="56"/>
      <c r="AF2254" s="56"/>
    </row>
    <row r="2255">
      <c r="A2255" s="52" t="s">
        <v>5549</v>
      </c>
      <c r="B2255" s="52" t="s">
        <v>14</v>
      </c>
      <c r="C2255" s="52" t="s">
        <v>221</v>
      </c>
      <c r="D2255" s="65">
        <v>0.6064583333333332</v>
      </c>
      <c r="E2255" s="65">
        <v>2.314814814814815E-4</v>
      </c>
      <c r="F2255" s="65">
        <v>0.6066898148148147</v>
      </c>
      <c r="G2255" s="65"/>
      <c r="H2255" s="52" t="s">
        <v>85</v>
      </c>
      <c r="I2255" s="52" t="s">
        <v>86</v>
      </c>
      <c r="J2255" s="52" t="s">
        <v>128</v>
      </c>
      <c r="K2255" s="52"/>
      <c r="L2255" s="52"/>
      <c r="M2255" s="52"/>
      <c r="N2255" s="52"/>
      <c r="O2255" s="52"/>
      <c r="P2255" s="52"/>
      <c r="Q2255" s="52"/>
      <c r="R2255" s="51" t="b">
        <v>0</v>
      </c>
      <c r="S2255" s="51"/>
      <c r="T2255" s="52"/>
      <c r="U2255" s="51" t="b">
        <v>0</v>
      </c>
      <c r="V2255" s="51" t="b">
        <v>0</v>
      </c>
      <c r="W2255" s="51" t="b">
        <v>0</v>
      </c>
      <c r="X2255" s="51" t="b">
        <v>0</v>
      </c>
      <c r="Y2255" s="51" t="b">
        <v>0</v>
      </c>
      <c r="Z2255" s="51" t="b">
        <v>0</v>
      </c>
      <c r="AA2255" s="68"/>
      <c r="AB2255" s="52"/>
      <c r="AC2255" s="52"/>
      <c r="AD2255" s="52"/>
      <c r="AE2255" s="56"/>
      <c r="AF2255" s="56"/>
    </row>
    <row r="2256">
      <c r="A2256" s="52" t="s">
        <v>5550</v>
      </c>
      <c r="B2256" s="52" t="s">
        <v>14</v>
      </c>
      <c r="C2256" s="52" t="s">
        <v>221</v>
      </c>
      <c r="D2256" s="65">
        <v>0.6486921296296293</v>
      </c>
      <c r="E2256" s="65">
        <v>2.314814814814815E-4</v>
      </c>
      <c r="F2256" s="65">
        <v>0.6489236111111107</v>
      </c>
      <c r="G2256" s="65"/>
      <c r="H2256" s="52" t="s">
        <v>85</v>
      </c>
      <c r="I2256" s="52" t="s">
        <v>86</v>
      </c>
      <c r="J2256" s="52" t="s">
        <v>92</v>
      </c>
      <c r="K2256" s="52"/>
      <c r="L2256" s="52"/>
      <c r="M2256" s="52"/>
      <c r="N2256" s="52"/>
      <c r="O2256" s="52"/>
      <c r="P2256" s="52"/>
      <c r="Q2256" s="52"/>
      <c r="R2256" s="51" t="b">
        <v>0</v>
      </c>
      <c r="S2256" s="51"/>
      <c r="T2256" s="52"/>
      <c r="U2256" s="51" t="b">
        <v>0</v>
      </c>
      <c r="V2256" s="51" t="b">
        <v>0</v>
      </c>
      <c r="W2256" s="51" t="b">
        <v>0</v>
      </c>
      <c r="X2256" s="51" t="b">
        <v>0</v>
      </c>
      <c r="Y2256" s="51" t="b">
        <v>0</v>
      </c>
      <c r="Z2256" s="51" t="b">
        <v>0</v>
      </c>
      <c r="AA2256" s="68"/>
      <c r="AB2256" s="52"/>
      <c r="AC2256" s="52"/>
      <c r="AD2256" s="52"/>
      <c r="AE2256" s="56"/>
      <c r="AF2256" s="56"/>
    </row>
    <row r="2257">
      <c r="A2257" s="52" t="s">
        <v>5551</v>
      </c>
      <c r="B2257" s="52" t="s">
        <v>14</v>
      </c>
      <c r="C2257" s="52" t="s">
        <v>221</v>
      </c>
      <c r="D2257" s="65">
        <v>0.6667708333333329</v>
      </c>
      <c r="E2257" s="65">
        <v>2.314814814814815E-4</v>
      </c>
      <c r="F2257" s="65">
        <v>0.6670023148148143</v>
      </c>
      <c r="G2257" s="65"/>
      <c r="H2257" s="52" t="s">
        <v>85</v>
      </c>
      <c r="I2257" s="52" t="s">
        <v>86</v>
      </c>
      <c r="J2257" s="52" t="s">
        <v>92</v>
      </c>
      <c r="K2257" s="52"/>
      <c r="L2257" s="52"/>
      <c r="M2257" s="52"/>
      <c r="N2257" s="52"/>
      <c r="O2257" s="52"/>
      <c r="P2257" s="52"/>
      <c r="Q2257" s="52"/>
      <c r="R2257" s="51" t="b">
        <v>0</v>
      </c>
      <c r="S2257" s="51"/>
      <c r="T2257" s="52"/>
      <c r="U2257" s="51" t="b">
        <v>0</v>
      </c>
      <c r="V2257" s="51" t="b">
        <v>0</v>
      </c>
      <c r="W2257" s="51" t="b">
        <v>0</v>
      </c>
      <c r="X2257" s="51" t="b">
        <v>0</v>
      </c>
      <c r="Y2257" s="51" t="b">
        <v>0</v>
      </c>
      <c r="Z2257" s="51" t="b">
        <v>0</v>
      </c>
      <c r="AA2257" s="68"/>
      <c r="AB2257" s="52"/>
      <c r="AC2257" s="52"/>
      <c r="AD2257" s="52"/>
      <c r="AE2257" s="56"/>
      <c r="AF2257" s="56"/>
    </row>
    <row r="2258">
      <c r="A2258" s="52" t="s">
        <v>5552</v>
      </c>
      <c r="B2258" s="52" t="s">
        <v>14</v>
      </c>
      <c r="C2258" s="52" t="s">
        <v>221</v>
      </c>
      <c r="D2258" s="65">
        <v>0.6911226851851845</v>
      </c>
      <c r="E2258" s="65">
        <v>2.314814814814815E-4</v>
      </c>
      <c r="F2258" s="65">
        <v>0.6913541666666659</v>
      </c>
      <c r="G2258" s="65"/>
      <c r="H2258" s="52" t="s">
        <v>85</v>
      </c>
      <c r="I2258" s="52" t="s">
        <v>86</v>
      </c>
      <c r="J2258" s="52" t="s">
        <v>128</v>
      </c>
      <c r="K2258" s="52"/>
      <c r="L2258" s="52"/>
      <c r="M2258" s="52"/>
      <c r="N2258" s="52"/>
      <c r="O2258" s="52"/>
      <c r="P2258" s="52"/>
      <c r="Q2258" s="52"/>
      <c r="R2258" s="51" t="b">
        <v>0</v>
      </c>
      <c r="S2258" s="51"/>
      <c r="T2258" s="52"/>
      <c r="U2258" s="51" t="b">
        <v>0</v>
      </c>
      <c r="V2258" s="51" t="b">
        <v>0</v>
      </c>
      <c r="W2258" s="51" t="b">
        <v>0</v>
      </c>
      <c r="X2258" s="51" t="b">
        <v>0</v>
      </c>
      <c r="Y2258" s="51" t="b">
        <v>0</v>
      </c>
      <c r="Z2258" s="51" t="b">
        <v>0</v>
      </c>
      <c r="AA2258" s="68"/>
      <c r="AB2258" s="52"/>
      <c r="AC2258" s="52"/>
      <c r="AD2258" s="52"/>
      <c r="AE2258" s="56"/>
      <c r="AF2258" s="56"/>
    </row>
    <row r="2259">
      <c r="A2259" s="52" t="s">
        <v>5553</v>
      </c>
      <c r="B2259" s="52" t="s">
        <v>14</v>
      </c>
      <c r="C2259" s="52" t="s">
        <v>289</v>
      </c>
      <c r="D2259" s="65">
        <v>0.4305555555555556</v>
      </c>
      <c r="E2259" s="65">
        <v>2.314814814814815E-4</v>
      </c>
      <c r="F2259" s="65">
        <v>0.4307870370370371</v>
      </c>
      <c r="G2259" s="65"/>
      <c r="H2259" s="52" t="s">
        <v>85</v>
      </c>
      <c r="I2259" s="52" t="s">
        <v>86</v>
      </c>
      <c r="J2259" s="52" t="s">
        <v>73</v>
      </c>
      <c r="K2259" s="52"/>
      <c r="L2259" s="52"/>
      <c r="M2259" s="52"/>
      <c r="N2259" s="52"/>
      <c r="O2259" s="52"/>
      <c r="P2259" s="52"/>
      <c r="Q2259" s="52"/>
      <c r="R2259" s="51" t="b">
        <v>0</v>
      </c>
      <c r="S2259" s="51"/>
      <c r="T2259" s="52"/>
      <c r="U2259" s="51" t="b">
        <v>0</v>
      </c>
      <c r="V2259" s="51" t="b">
        <v>0</v>
      </c>
      <c r="W2259" s="51" t="b">
        <v>0</v>
      </c>
      <c r="X2259" s="51" t="b">
        <v>0</v>
      </c>
      <c r="Y2259" s="51" t="b">
        <v>0</v>
      </c>
      <c r="Z2259" s="51" t="b">
        <v>0</v>
      </c>
      <c r="AA2259" s="68"/>
      <c r="AB2259" s="52"/>
      <c r="AC2259" s="52"/>
      <c r="AD2259" s="52"/>
      <c r="AE2259" s="56"/>
      <c r="AF2259" s="56"/>
    </row>
    <row r="2260">
      <c r="A2260" s="52" t="s">
        <v>5554</v>
      </c>
      <c r="B2260" s="52" t="s">
        <v>14</v>
      </c>
      <c r="C2260" s="52" t="s">
        <v>289</v>
      </c>
      <c r="D2260" s="65">
        <v>0.470752314814815</v>
      </c>
      <c r="E2260" s="65">
        <v>2.314814814814815E-4</v>
      </c>
      <c r="F2260" s="65">
        <v>0.4709837962962965</v>
      </c>
      <c r="G2260" s="65"/>
      <c r="H2260" s="52" t="s">
        <v>85</v>
      </c>
      <c r="I2260" s="52" t="s">
        <v>86</v>
      </c>
      <c r="J2260" s="52" t="s">
        <v>128</v>
      </c>
      <c r="K2260" s="52"/>
      <c r="L2260" s="52"/>
      <c r="M2260" s="52"/>
      <c r="N2260" s="52"/>
      <c r="O2260" s="52"/>
      <c r="P2260" s="52"/>
      <c r="Q2260" s="52"/>
      <c r="R2260" s="51" t="b">
        <v>0</v>
      </c>
      <c r="S2260" s="51"/>
      <c r="T2260" s="52"/>
      <c r="U2260" s="51" t="b">
        <v>0</v>
      </c>
      <c r="V2260" s="51" t="b">
        <v>0</v>
      </c>
      <c r="W2260" s="51" t="b">
        <v>0</v>
      </c>
      <c r="X2260" s="51" t="b">
        <v>0</v>
      </c>
      <c r="Y2260" s="51" t="b">
        <v>0</v>
      </c>
      <c r="Z2260" s="51" t="b">
        <v>0</v>
      </c>
      <c r="AA2260" s="68"/>
      <c r="AB2260" s="52"/>
      <c r="AC2260" s="52"/>
      <c r="AD2260" s="52"/>
      <c r="AE2260" s="56"/>
      <c r="AF2260" s="56"/>
    </row>
    <row r="2261">
      <c r="A2261" s="52" t="s">
        <v>5555</v>
      </c>
      <c r="B2261" s="52" t="s">
        <v>14</v>
      </c>
      <c r="C2261" s="52" t="s">
        <v>289</v>
      </c>
      <c r="D2261" s="65">
        <v>0.5124421296296299</v>
      </c>
      <c r="E2261" s="65">
        <v>2.314814814814815E-4</v>
      </c>
      <c r="F2261" s="65">
        <v>0.5126736111111113</v>
      </c>
      <c r="G2261" s="65"/>
      <c r="H2261" s="52" t="s">
        <v>85</v>
      </c>
      <c r="I2261" s="52" t="s">
        <v>86</v>
      </c>
      <c r="J2261" s="52" t="s">
        <v>92</v>
      </c>
      <c r="K2261" s="52"/>
      <c r="L2261" s="52"/>
      <c r="M2261" s="52"/>
      <c r="N2261" s="52"/>
      <c r="O2261" s="52"/>
      <c r="P2261" s="52"/>
      <c r="Q2261" s="52"/>
      <c r="R2261" s="51" t="b">
        <v>0</v>
      </c>
      <c r="S2261" s="51"/>
      <c r="T2261" s="52"/>
      <c r="U2261" s="51" t="b">
        <v>0</v>
      </c>
      <c r="V2261" s="51" t="b">
        <v>0</v>
      </c>
      <c r="W2261" s="51" t="b">
        <v>0</v>
      </c>
      <c r="X2261" s="51" t="b">
        <v>0</v>
      </c>
      <c r="Y2261" s="51" t="b">
        <v>0</v>
      </c>
      <c r="Z2261" s="51" t="b">
        <v>0</v>
      </c>
      <c r="AA2261" s="68"/>
      <c r="AB2261" s="52"/>
      <c r="AC2261" s="52"/>
      <c r="AD2261" s="52"/>
      <c r="AE2261" s="56"/>
      <c r="AF2261" s="56"/>
    </row>
    <row r="2262">
      <c r="A2262" s="52" t="s">
        <v>5556</v>
      </c>
      <c r="B2262" s="52" t="s">
        <v>14</v>
      </c>
      <c r="C2262" s="52" t="s">
        <v>289</v>
      </c>
      <c r="D2262" s="65">
        <v>0.5583912037037037</v>
      </c>
      <c r="E2262" s="65">
        <v>2.314814814814815E-4</v>
      </c>
      <c r="F2262" s="65">
        <v>0.5586226851851851</v>
      </c>
      <c r="G2262" s="65"/>
      <c r="H2262" s="52" t="s">
        <v>85</v>
      </c>
      <c r="I2262" s="52" t="s">
        <v>86</v>
      </c>
      <c r="J2262" s="52" t="s">
        <v>105</v>
      </c>
      <c r="K2262" s="52"/>
      <c r="L2262" s="52"/>
      <c r="M2262" s="52"/>
      <c r="N2262" s="52"/>
      <c r="O2262" s="52"/>
      <c r="P2262" s="52"/>
      <c r="Q2262" s="52"/>
      <c r="R2262" s="51" t="b">
        <v>0</v>
      </c>
      <c r="S2262" s="51"/>
      <c r="T2262" s="52"/>
      <c r="U2262" s="51" t="b">
        <v>0</v>
      </c>
      <c r="V2262" s="51" t="b">
        <v>0</v>
      </c>
      <c r="W2262" s="51" t="b">
        <v>0</v>
      </c>
      <c r="X2262" s="51" t="b">
        <v>0</v>
      </c>
      <c r="Y2262" s="51" t="b">
        <v>0</v>
      </c>
      <c r="Z2262" s="51" t="b">
        <v>0</v>
      </c>
      <c r="AA2262" s="68"/>
      <c r="AB2262" s="52"/>
      <c r="AC2262" s="52"/>
      <c r="AD2262" s="52"/>
      <c r="AE2262" s="56"/>
      <c r="AF2262" s="56"/>
    </row>
    <row r="2263">
      <c r="A2263" s="52" t="s">
        <v>5557</v>
      </c>
      <c r="B2263" s="52" t="s">
        <v>14</v>
      </c>
      <c r="C2263" s="52" t="s">
        <v>289</v>
      </c>
      <c r="D2263" s="65">
        <v>0.5719444444444443</v>
      </c>
      <c r="E2263" s="65">
        <v>2.314814814814815E-4</v>
      </c>
      <c r="F2263" s="65">
        <v>0.5721759259259257</v>
      </c>
      <c r="G2263" s="65"/>
      <c r="H2263" s="52" t="s">
        <v>85</v>
      </c>
      <c r="I2263" s="52" t="s">
        <v>86</v>
      </c>
      <c r="J2263" s="52" t="s">
        <v>73</v>
      </c>
      <c r="K2263" s="52"/>
      <c r="L2263" s="52"/>
      <c r="M2263" s="52"/>
      <c r="N2263" s="52"/>
      <c r="O2263" s="52"/>
      <c r="P2263" s="52"/>
      <c r="Q2263" s="52"/>
      <c r="R2263" s="51" t="b">
        <v>0</v>
      </c>
      <c r="S2263" s="51"/>
      <c r="T2263" s="52"/>
      <c r="U2263" s="51" t="b">
        <v>0</v>
      </c>
      <c r="V2263" s="51" t="b">
        <v>0</v>
      </c>
      <c r="W2263" s="51" t="b">
        <v>0</v>
      </c>
      <c r="X2263" s="51" t="b">
        <v>0</v>
      </c>
      <c r="Y2263" s="51" t="b">
        <v>0</v>
      </c>
      <c r="Z2263" s="51" t="b">
        <v>0</v>
      </c>
      <c r="AA2263" s="68"/>
      <c r="AB2263" s="52"/>
      <c r="AC2263" s="52"/>
      <c r="AD2263" s="52"/>
      <c r="AE2263" s="56"/>
      <c r="AF2263" s="56"/>
    </row>
    <row r="2264">
      <c r="A2264" s="52" t="s">
        <v>5558</v>
      </c>
      <c r="B2264" s="52" t="s">
        <v>14</v>
      </c>
      <c r="C2264" s="52" t="s">
        <v>289</v>
      </c>
      <c r="D2264" s="65">
        <v>0.6015046296296293</v>
      </c>
      <c r="E2264" s="65">
        <v>2.314814814814815E-4</v>
      </c>
      <c r="F2264" s="65">
        <v>0.6017361111111107</v>
      </c>
      <c r="G2264" s="65"/>
      <c r="H2264" s="52" t="s">
        <v>85</v>
      </c>
      <c r="I2264" s="52" t="s">
        <v>86</v>
      </c>
      <c r="J2264" s="52" t="s">
        <v>128</v>
      </c>
      <c r="K2264" s="52"/>
      <c r="L2264" s="52"/>
      <c r="M2264" s="52"/>
      <c r="N2264" s="52"/>
      <c r="O2264" s="52"/>
      <c r="P2264" s="52"/>
      <c r="Q2264" s="52"/>
      <c r="R2264" s="51" t="b">
        <v>0</v>
      </c>
      <c r="S2264" s="51"/>
      <c r="T2264" s="52"/>
      <c r="U2264" s="51" t="b">
        <v>0</v>
      </c>
      <c r="V2264" s="51" t="b">
        <v>0</v>
      </c>
      <c r="W2264" s="51" t="b">
        <v>0</v>
      </c>
      <c r="X2264" s="51" t="b">
        <v>0</v>
      </c>
      <c r="Y2264" s="51" t="b">
        <v>0</v>
      </c>
      <c r="Z2264" s="51" t="b">
        <v>0</v>
      </c>
      <c r="AA2264" s="68"/>
      <c r="AB2264" s="52"/>
      <c r="AC2264" s="52"/>
      <c r="AD2264" s="52"/>
      <c r="AE2264" s="56"/>
      <c r="AF2264" s="56"/>
    </row>
    <row r="2265">
      <c r="A2265" s="52" t="s">
        <v>5559</v>
      </c>
      <c r="B2265" s="52" t="s">
        <v>14</v>
      </c>
      <c r="C2265" s="52" t="s">
        <v>289</v>
      </c>
      <c r="D2265" s="65">
        <v>0.6159143518518513</v>
      </c>
      <c r="E2265" s="65">
        <v>2.314814814814815E-4</v>
      </c>
      <c r="F2265" s="65">
        <v>0.6161458333333327</v>
      </c>
      <c r="G2265" s="65"/>
      <c r="H2265" s="52" t="s">
        <v>85</v>
      </c>
      <c r="I2265" s="52" t="s">
        <v>86</v>
      </c>
      <c r="J2265" s="52" t="s">
        <v>128</v>
      </c>
      <c r="K2265" s="52"/>
      <c r="L2265" s="52"/>
      <c r="M2265" s="52"/>
      <c r="N2265" s="52"/>
      <c r="O2265" s="52"/>
      <c r="P2265" s="52"/>
      <c r="Q2265" s="52"/>
      <c r="R2265" s="51" t="b">
        <v>0</v>
      </c>
      <c r="S2265" s="51"/>
      <c r="T2265" s="52"/>
      <c r="U2265" s="51" t="b">
        <v>0</v>
      </c>
      <c r="V2265" s="51" t="b">
        <v>0</v>
      </c>
      <c r="W2265" s="51" t="b">
        <v>0</v>
      </c>
      <c r="X2265" s="51" t="b">
        <v>0</v>
      </c>
      <c r="Y2265" s="51" t="b">
        <v>0</v>
      </c>
      <c r="Z2265" s="51" t="b">
        <v>0</v>
      </c>
      <c r="AA2265" s="68"/>
      <c r="AB2265" s="52"/>
      <c r="AC2265" s="52"/>
      <c r="AD2265" s="52"/>
      <c r="AE2265" s="56"/>
      <c r="AF2265" s="56"/>
    </row>
    <row r="2266">
      <c r="A2266" s="52" t="s">
        <v>5560</v>
      </c>
      <c r="B2266" s="52" t="s">
        <v>14</v>
      </c>
      <c r="C2266" s="52" t="s">
        <v>289</v>
      </c>
      <c r="D2266" s="65">
        <v>0.6420254629629623</v>
      </c>
      <c r="E2266" s="65">
        <v>2.314814814814815E-4</v>
      </c>
      <c r="F2266" s="65">
        <v>0.6422569444444437</v>
      </c>
      <c r="G2266" s="65"/>
      <c r="H2266" s="52" t="s">
        <v>85</v>
      </c>
      <c r="I2266" s="52" t="s">
        <v>86</v>
      </c>
      <c r="J2266" s="52" t="s">
        <v>73</v>
      </c>
      <c r="K2266" s="52"/>
      <c r="L2266" s="52"/>
      <c r="M2266" s="52"/>
      <c r="N2266" s="52"/>
      <c r="O2266" s="52"/>
      <c r="P2266" s="52"/>
      <c r="Q2266" s="52"/>
      <c r="R2266" s="51" t="b">
        <v>0</v>
      </c>
      <c r="S2266" s="51"/>
      <c r="T2266" s="52"/>
      <c r="U2266" s="51" t="b">
        <v>0</v>
      </c>
      <c r="V2266" s="51" t="b">
        <v>0</v>
      </c>
      <c r="W2266" s="51" t="b">
        <v>0</v>
      </c>
      <c r="X2266" s="51" t="b">
        <v>0</v>
      </c>
      <c r="Y2266" s="51" t="b">
        <v>0</v>
      </c>
      <c r="Z2266" s="51" t="b">
        <v>0</v>
      </c>
      <c r="AA2266" s="68"/>
      <c r="AB2266" s="52"/>
      <c r="AC2266" s="52"/>
      <c r="AD2266" s="52"/>
      <c r="AE2266" s="56"/>
      <c r="AF2266" s="56"/>
    </row>
    <row r="2267">
      <c r="A2267" s="52" t="s">
        <v>5561</v>
      </c>
      <c r="B2267" s="52" t="s">
        <v>14</v>
      </c>
      <c r="C2267" s="52" t="s">
        <v>289</v>
      </c>
      <c r="D2267" s="65">
        <v>0.5719444444444443</v>
      </c>
      <c r="E2267" s="65">
        <v>2.314814814814815E-4</v>
      </c>
      <c r="F2267" s="65">
        <v>0.5721759259259257</v>
      </c>
      <c r="G2267" s="65"/>
      <c r="H2267" s="52" t="s">
        <v>81</v>
      </c>
      <c r="I2267" s="52" t="s">
        <v>81</v>
      </c>
      <c r="J2267" s="52" t="s">
        <v>105</v>
      </c>
      <c r="K2267" s="52"/>
      <c r="L2267" s="52"/>
      <c r="M2267" s="52"/>
      <c r="N2267" s="52"/>
      <c r="O2267" s="52"/>
      <c r="P2267" s="52"/>
      <c r="Q2267" s="52"/>
      <c r="R2267" s="51" t="b">
        <v>0</v>
      </c>
      <c r="S2267" s="51"/>
      <c r="T2267" s="52"/>
      <c r="U2267" s="51" t="b">
        <v>0</v>
      </c>
      <c r="V2267" s="51" t="b">
        <v>0</v>
      </c>
      <c r="W2267" s="51" t="b">
        <v>0</v>
      </c>
      <c r="X2267" s="51" t="b">
        <v>0</v>
      </c>
      <c r="Y2267" s="51" t="b">
        <v>0</v>
      </c>
      <c r="Z2267" s="51" t="b">
        <v>0</v>
      </c>
      <c r="AA2267" s="68"/>
      <c r="AB2267" s="52"/>
      <c r="AC2267" s="52"/>
      <c r="AD2267" s="52"/>
      <c r="AE2267" s="56"/>
      <c r="AF2267" s="56"/>
    </row>
    <row r="2268">
      <c r="A2268" s="52" t="s">
        <v>5562</v>
      </c>
      <c r="B2268" s="52" t="s">
        <v>14</v>
      </c>
      <c r="C2268" s="52" t="s">
        <v>289</v>
      </c>
      <c r="D2268" s="65">
        <v>0.5721759259259257</v>
      </c>
      <c r="E2268" s="65">
        <v>0.008333333333333333</v>
      </c>
      <c r="F2268" s="65">
        <v>0.580509259259259</v>
      </c>
      <c r="G2268" s="65"/>
      <c r="H2268" s="52" t="s">
        <v>94</v>
      </c>
      <c r="I2268" s="52" t="s">
        <v>418</v>
      </c>
      <c r="J2268" s="52" t="s">
        <v>419</v>
      </c>
      <c r="K2268" s="52"/>
      <c r="L2268" s="52"/>
      <c r="M2268" s="52"/>
      <c r="N2268" s="52" t="s">
        <v>270</v>
      </c>
      <c r="O2268" s="52"/>
      <c r="P2268" s="52"/>
      <c r="Q2268" s="52"/>
      <c r="R2268" s="51" t="b">
        <v>0</v>
      </c>
      <c r="S2268" s="51"/>
      <c r="T2268" s="52"/>
      <c r="U2268" s="51" t="b">
        <v>0</v>
      </c>
      <c r="V2268" s="51" t="b">
        <v>0</v>
      </c>
      <c r="W2268" s="51" t="b">
        <v>0</v>
      </c>
      <c r="X2268" s="51" t="b">
        <v>0</v>
      </c>
      <c r="Y2268" s="51" t="b">
        <v>0</v>
      </c>
      <c r="Z2268" s="51" t="b">
        <v>0</v>
      </c>
      <c r="AA2268" s="68"/>
      <c r="AB2268" s="52"/>
      <c r="AC2268" s="52"/>
      <c r="AD2268" s="52"/>
      <c r="AE2268" s="56" t="s">
        <v>1499</v>
      </c>
      <c r="AF2268" s="56" t="s">
        <v>653</v>
      </c>
    </row>
    <row r="2269">
      <c r="A2269" s="52" t="s">
        <v>5563</v>
      </c>
      <c r="B2269" s="52" t="s">
        <v>607</v>
      </c>
      <c r="C2269" s="52" t="s">
        <v>607</v>
      </c>
      <c r="D2269" s="65" t="s">
        <v>607</v>
      </c>
      <c r="E2269" s="65" t="s">
        <v>607</v>
      </c>
      <c r="F2269" s="65" t="s">
        <v>607</v>
      </c>
      <c r="G2269" s="65" t="s">
        <v>607</v>
      </c>
      <c r="H2269" s="52" t="s">
        <v>607</v>
      </c>
      <c r="I2269" s="52" t="s">
        <v>607</v>
      </c>
      <c r="J2269" s="52" t="s">
        <v>607</v>
      </c>
      <c r="K2269" s="52" t="s">
        <v>607</v>
      </c>
      <c r="L2269" s="52" t="s">
        <v>607</v>
      </c>
      <c r="M2269" s="52" t="s">
        <v>607</v>
      </c>
      <c r="N2269" s="52" t="s">
        <v>607</v>
      </c>
      <c r="O2269" s="52"/>
      <c r="P2269" s="52"/>
      <c r="Q2269" s="52"/>
      <c r="R2269" s="51" t="b">
        <v>0</v>
      </c>
      <c r="S2269" s="51"/>
      <c r="T2269" s="52"/>
      <c r="U2269" s="51" t="b">
        <v>0</v>
      </c>
      <c r="V2269" s="51" t="b">
        <v>0</v>
      </c>
      <c r="W2269" s="51" t="b">
        <v>0</v>
      </c>
      <c r="X2269" s="51" t="b">
        <v>0</v>
      </c>
      <c r="Y2269" s="51" t="b">
        <v>0</v>
      </c>
      <c r="Z2269" s="51" t="b">
        <v>0</v>
      </c>
      <c r="AA2269" s="68"/>
      <c r="AB2269" s="52"/>
      <c r="AC2269" s="52"/>
      <c r="AD2269" s="52"/>
      <c r="AE2269" s="56" t="s">
        <v>607</v>
      </c>
      <c r="AF2269" s="56" t="s">
        <v>607</v>
      </c>
    </row>
    <row r="2270">
      <c r="A2270" s="52" t="s">
        <v>5564</v>
      </c>
      <c r="B2270" s="52" t="s">
        <v>14</v>
      </c>
      <c r="C2270" s="52" t="s">
        <v>289</v>
      </c>
      <c r="D2270" s="65">
        <v>0.5454282407407408</v>
      </c>
      <c r="E2270" s="65">
        <v>2.314814814814815E-4</v>
      </c>
      <c r="F2270" s="65">
        <v>0.5456597222222223</v>
      </c>
      <c r="G2270" s="65"/>
      <c r="H2270" s="52" t="s">
        <v>81</v>
      </c>
      <c r="I2270" s="52" t="s">
        <v>81</v>
      </c>
      <c r="J2270" s="52" t="s">
        <v>73</v>
      </c>
      <c r="K2270" s="52" t="s">
        <v>105</v>
      </c>
      <c r="L2270" s="52"/>
      <c r="M2270" s="52"/>
      <c r="N2270" s="52"/>
      <c r="O2270" s="52"/>
      <c r="P2270" s="52"/>
      <c r="Q2270" s="52"/>
      <c r="R2270" s="51" t="b">
        <v>0</v>
      </c>
      <c r="S2270" s="51"/>
      <c r="T2270" s="52"/>
      <c r="U2270" s="51" t="b">
        <v>0</v>
      </c>
      <c r="V2270" s="51" t="b">
        <v>0</v>
      </c>
      <c r="W2270" s="51" t="b">
        <v>0</v>
      </c>
      <c r="X2270" s="51" t="b">
        <v>0</v>
      </c>
      <c r="Y2270" s="51" t="b">
        <v>0</v>
      </c>
      <c r="Z2270" s="51" t="b">
        <v>0</v>
      </c>
      <c r="AA2270" s="68"/>
      <c r="AB2270" s="52"/>
      <c r="AC2270" s="52"/>
      <c r="AD2270" s="52"/>
      <c r="AE2270" s="56"/>
      <c r="AF2270" s="56"/>
    </row>
    <row r="2271">
      <c r="A2271" s="52" t="s">
        <v>5565</v>
      </c>
      <c r="B2271" s="52" t="s">
        <v>14</v>
      </c>
      <c r="C2271" s="52" t="s">
        <v>289</v>
      </c>
      <c r="D2271" s="65">
        <v>0.5456597222222223</v>
      </c>
      <c r="E2271" s="65">
        <v>0.010416666666666666</v>
      </c>
      <c r="F2271" s="65">
        <v>0.5560763888888889</v>
      </c>
      <c r="G2271" s="65"/>
      <c r="H2271" s="52" t="s">
        <v>107</v>
      </c>
      <c r="I2271" s="52" t="s">
        <v>404</v>
      </c>
      <c r="J2271" s="52" t="s">
        <v>405</v>
      </c>
      <c r="K2271" s="52" t="s">
        <v>406</v>
      </c>
      <c r="L2271" s="52"/>
      <c r="M2271" s="52"/>
      <c r="N2271" s="52" t="s">
        <v>407</v>
      </c>
      <c r="O2271" s="69" t="s">
        <v>734</v>
      </c>
      <c r="P2271" s="69" t="s">
        <v>15</v>
      </c>
      <c r="Q2271" s="80" t="s">
        <v>6819</v>
      </c>
      <c r="R2271" s="51" t="b">
        <v>1</v>
      </c>
      <c r="S2271" s="52" t="s">
        <v>404</v>
      </c>
      <c r="T2271" s="52"/>
      <c r="U2271" s="51" t="b">
        <v>0</v>
      </c>
      <c r="V2271" s="51" t="b">
        <v>1</v>
      </c>
      <c r="W2271" s="51" t="b">
        <v>1</v>
      </c>
      <c r="X2271" s="51" t="b">
        <v>0</v>
      </c>
      <c r="Y2271" s="51" t="b">
        <v>0</v>
      </c>
      <c r="Z2271" s="51" t="b">
        <v>0</v>
      </c>
      <c r="AA2271" s="71">
        <v>0.01050925925925926</v>
      </c>
      <c r="AB2271" s="52"/>
      <c r="AC2271" s="52"/>
      <c r="AD2271" s="73" t="s">
        <v>4544</v>
      </c>
      <c r="AE2271" s="56" t="s">
        <v>629</v>
      </c>
      <c r="AF2271" s="56" t="s">
        <v>653</v>
      </c>
    </row>
    <row r="2272">
      <c r="A2272" s="52" t="s">
        <v>5566</v>
      </c>
      <c r="B2272" s="52" t="s">
        <v>607</v>
      </c>
      <c r="C2272" s="52" t="s">
        <v>607</v>
      </c>
      <c r="D2272" s="65" t="s">
        <v>607</v>
      </c>
      <c r="E2272" s="65" t="s">
        <v>607</v>
      </c>
      <c r="F2272" s="65" t="s">
        <v>607</v>
      </c>
      <c r="G2272" s="65" t="s">
        <v>607</v>
      </c>
      <c r="H2272" s="52" t="s">
        <v>607</v>
      </c>
      <c r="I2272" s="52" t="s">
        <v>607</v>
      </c>
      <c r="J2272" s="52" t="s">
        <v>607</v>
      </c>
      <c r="K2272" s="52" t="s">
        <v>607</v>
      </c>
      <c r="L2272" s="52" t="s">
        <v>607</v>
      </c>
      <c r="M2272" s="52" t="s">
        <v>607</v>
      </c>
      <c r="N2272" s="52" t="s">
        <v>607</v>
      </c>
      <c r="O2272" s="52"/>
      <c r="P2272" s="52"/>
      <c r="Q2272" s="52"/>
      <c r="R2272" s="51" t="b">
        <v>0</v>
      </c>
      <c r="S2272" s="51"/>
      <c r="T2272" s="52"/>
      <c r="U2272" s="51" t="b">
        <v>0</v>
      </c>
      <c r="V2272" s="51" t="b">
        <v>0</v>
      </c>
      <c r="W2272" s="51" t="b">
        <v>0</v>
      </c>
      <c r="X2272" s="51" t="b">
        <v>0</v>
      </c>
      <c r="Y2272" s="51" t="b">
        <v>0</v>
      </c>
      <c r="Z2272" s="51" t="b">
        <v>0</v>
      </c>
      <c r="AA2272" s="68"/>
      <c r="AB2272" s="52"/>
      <c r="AC2272" s="52"/>
      <c r="AD2272" s="52"/>
      <c r="AE2272" s="56" t="s">
        <v>607</v>
      </c>
      <c r="AF2272" s="56" t="s">
        <v>607</v>
      </c>
    </row>
    <row r="2273">
      <c r="A2273" s="52" t="s">
        <v>5567</v>
      </c>
      <c r="B2273" s="52" t="s">
        <v>607</v>
      </c>
      <c r="C2273" s="52" t="s">
        <v>607</v>
      </c>
      <c r="D2273" s="65" t="s">
        <v>607</v>
      </c>
      <c r="E2273" s="65" t="s">
        <v>607</v>
      </c>
      <c r="F2273" s="65" t="s">
        <v>607</v>
      </c>
      <c r="G2273" s="65" t="s">
        <v>607</v>
      </c>
      <c r="H2273" s="52" t="s">
        <v>607</v>
      </c>
      <c r="I2273" s="52" t="s">
        <v>607</v>
      </c>
      <c r="J2273" s="52" t="s">
        <v>607</v>
      </c>
      <c r="K2273" s="52" t="s">
        <v>607</v>
      </c>
      <c r="L2273" s="52" t="s">
        <v>607</v>
      </c>
      <c r="M2273" s="52" t="s">
        <v>607</v>
      </c>
      <c r="N2273" s="52" t="s">
        <v>607</v>
      </c>
      <c r="O2273" s="52"/>
      <c r="P2273" s="52"/>
      <c r="Q2273" s="52"/>
      <c r="R2273" s="51" t="b">
        <v>0</v>
      </c>
      <c r="S2273" s="51"/>
      <c r="T2273" s="52"/>
      <c r="U2273" s="51" t="b">
        <v>0</v>
      </c>
      <c r="V2273" s="51" t="b">
        <v>0</v>
      </c>
      <c r="W2273" s="51" t="b">
        <v>0</v>
      </c>
      <c r="X2273" s="51" t="b">
        <v>0</v>
      </c>
      <c r="Y2273" s="51" t="b">
        <v>0</v>
      </c>
      <c r="Z2273" s="51" t="b">
        <v>0</v>
      </c>
      <c r="AA2273" s="68"/>
      <c r="AB2273" s="52"/>
      <c r="AC2273" s="52"/>
      <c r="AD2273" s="52"/>
      <c r="AE2273" s="56" t="s">
        <v>607</v>
      </c>
      <c r="AF2273" s="56" t="s">
        <v>607</v>
      </c>
    </row>
    <row r="2274">
      <c r="A2274" s="52" t="s">
        <v>5568</v>
      </c>
      <c r="B2274" s="52" t="s">
        <v>607</v>
      </c>
      <c r="C2274" s="52" t="s">
        <v>607</v>
      </c>
      <c r="D2274" s="65" t="s">
        <v>607</v>
      </c>
      <c r="E2274" s="65" t="s">
        <v>607</v>
      </c>
      <c r="F2274" s="65" t="s">
        <v>607</v>
      </c>
      <c r="G2274" s="65" t="s">
        <v>607</v>
      </c>
      <c r="H2274" s="52" t="s">
        <v>607</v>
      </c>
      <c r="I2274" s="52" t="s">
        <v>607</v>
      </c>
      <c r="J2274" s="52" t="s">
        <v>607</v>
      </c>
      <c r="K2274" s="52" t="s">
        <v>607</v>
      </c>
      <c r="L2274" s="52" t="s">
        <v>607</v>
      </c>
      <c r="M2274" s="52" t="s">
        <v>607</v>
      </c>
      <c r="N2274" s="52" t="s">
        <v>607</v>
      </c>
      <c r="O2274" s="52"/>
      <c r="P2274" s="52"/>
      <c r="Q2274" s="52"/>
      <c r="R2274" s="51" t="b">
        <v>0</v>
      </c>
      <c r="S2274" s="51"/>
      <c r="T2274" s="52"/>
      <c r="U2274" s="51" t="b">
        <v>0</v>
      </c>
      <c r="V2274" s="51" t="b">
        <v>0</v>
      </c>
      <c r="W2274" s="51" t="b">
        <v>0</v>
      </c>
      <c r="X2274" s="51" t="b">
        <v>0</v>
      </c>
      <c r="Y2274" s="51" t="b">
        <v>0</v>
      </c>
      <c r="Z2274" s="51" t="b">
        <v>0</v>
      </c>
      <c r="AA2274" s="68"/>
      <c r="AB2274" s="52"/>
      <c r="AC2274" s="52"/>
      <c r="AD2274" s="52"/>
      <c r="AE2274" s="56" t="s">
        <v>607</v>
      </c>
      <c r="AF2274" s="56" t="s">
        <v>607</v>
      </c>
    </row>
    <row r="2275">
      <c r="A2275" s="52" t="s">
        <v>5569</v>
      </c>
      <c r="B2275" s="52" t="s">
        <v>607</v>
      </c>
      <c r="C2275" s="52" t="s">
        <v>607</v>
      </c>
      <c r="D2275" s="65" t="s">
        <v>607</v>
      </c>
      <c r="E2275" s="65" t="s">
        <v>607</v>
      </c>
      <c r="F2275" s="65" t="s">
        <v>607</v>
      </c>
      <c r="G2275" s="65" t="s">
        <v>607</v>
      </c>
      <c r="H2275" s="52" t="s">
        <v>607</v>
      </c>
      <c r="I2275" s="52" t="s">
        <v>607</v>
      </c>
      <c r="J2275" s="52" t="s">
        <v>607</v>
      </c>
      <c r="K2275" s="52" t="s">
        <v>607</v>
      </c>
      <c r="L2275" s="52" t="s">
        <v>607</v>
      </c>
      <c r="M2275" s="52" t="s">
        <v>607</v>
      </c>
      <c r="N2275" s="52" t="s">
        <v>607</v>
      </c>
      <c r="O2275" s="52"/>
      <c r="P2275" s="52"/>
      <c r="Q2275" s="52"/>
      <c r="R2275" s="51" t="b">
        <v>0</v>
      </c>
      <c r="S2275" s="51"/>
      <c r="T2275" s="52"/>
      <c r="U2275" s="51" t="b">
        <v>0</v>
      </c>
      <c r="V2275" s="51" t="b">
        <v>0</v>
      </c>
      <c r="W2275" s="51" t="b">
        <v>0</v>
      </c>
      <c r="X2275" s="51" t="b">
        <v>0</v>
      </c>
      <c r="Y2275" s="51" t="b">
        <v>0</v>
      </c>
      <c r="Z2275" s="51" t="b">
        <v>0</v>
      </c>
      <c r="AA2275" s="68"/>
      <c r="AB2275" s="52"/>
      <c r="AC2275" s="52"/>
      <c r="AD2275" s="52"/>
      <c r="AE2275" s="56" t="s">
        <v>607</v>
      </c>
      <c r="AF2275" s="56" t="s">
        <v>607</v>
      </c>
    </row>
    <row r="2276">
      <c r="A2276" s="52" t="s">
        <v>5570</v>
      </c>
      <c r="B2276" s="52" t="s">
        <v>607</v>
      </c>
      <c r="C2276" s="52" t="s">
        <v>607</v>
      </c>
      <c r="D2276" s="65" t="s">
        <v>607</v>
      </c>
      <c r="E2276" s="65" t="s">
        <v>607</v>
      </c>
      <c r="F2276" s="65" t="s">
        <v>607</v>
      </c>
      <c r="G2276" s="65" t="s">
        <v>607</v>
      </c>
      <c r="H2276" s="52" t="s">
        <v>607</v>
      </c>
      <c r="I2276" s="52" t="s">
        <v>607</v>
      </c>
      <c r="J2276" s="52" t="s">
        <v>607</v>
      </c>
      <c r="K2276" s="52" t="s">
        <v>607</v>
      </c>
      <c r="L2276" s="52" t="s">
        <v>607</v>
      </c>
      <c r="M2276" s="52" t="s">
        <v>607</v>
      </c>
      <c r="N2276" s="52" t="s">
        <v>607</v>
      </c>
      <c r="O2276" s="52"/>
      <c r="P2276" s="52"/>
      <c r="Q2276" s="52"/>
      <c r="R2276" s="51" t="b">
        <v>0</v>
      </c>
      <c r="S2276" s="51"/>
      <c r="T2276" s="52"/>
      <c r="U2276" s="51" t="b">
        <v>0</v>
      </c>
      <c r="V2276" s="51" t="b">
        <v>0</v>
      </c>
      <c r="W2276" s="51" t="b">
        <v>0</v>
      </c>
      <c r="X2276" s="51" t="b">
        <v>0</v>
      </c>
      <c r="Y2276" s="51" t="b">
        <v>0</v>
      </c>
      <c r="Z2276" s="51" t="b">
        <v>0</v>
      </c>
      <c r="AA2276" s="68"/>
      <c r="AB2276" s="52"/>
      <c r="AC2276" s="52"/>
      <c r="AD2276" s="52"/>
      <c r="AE2276" s="56" t="s">
        <v>607</v>
      </c>
      <c r="AF2276" s="56" t="s">
        <v>607</v>
      </c>
    </row>
    <row r="2277">
      <c r="A2277" s="52" t="s">
        <v>5571</v>
      </c>
      <c r="B2277" s="52" t="s">
        <v>607</v>
      </c>
      <c r="C2277" s="52" t="s">
        <v>607</v>
      </c>
      <c r="D2277" s="65" t="s">
        <v>607</v>
      </c>
      <c r="E2277" s="65" t="s">
        <v>607</v>
      </c>
      <c r="F2277" s="65" t="s">
        <v>607</v>
      </c>
      <c r="G2277" s="65" t="s">
        <v>607</v>
      </c>
      <c r="H2277" s="52" t="s">
        <v>607</v>
      </c>
      <c r="I2277" s="52" t="s">
        <v>607</v>
      </c>
      <c r="J2277" s="52" t="s">
        <v>607</v>
      </c>
      <c r="K2277" s="52" t="s">
        <v>607</v>
      </c>
      <c r="L2277" s="52" t="s">
        <v>607</v>
      </c>
      <c r="M2277" s="52" t="s">
        <v>607</v>
      </c>
      <c r="N2277" s="52" t="s">
        <v>607</v>
      </c>
      <c r="O2277" s="52"/>
      <c r="P2277" s="52"/>
      <c r="Q2277" s="52"/>
      <c r="R2277" s="51" t="b">
        <v>0</v>
      </c>
      <c r="S2277" s="51"/>
      <c r="T2277" s="52"/>
      <c r="U2277" s="51" t="b">
        <v>0</v>
      </c>
      <c r="V2277" s="51" t="b">
        <v>0</v>
      </c>
      <c r="W2277" s="51" t="b">
        <v>0</v>
      </c>
      <c r="X2277" s="51" t="b">
        <v>0</v>
      </c>
      <c r="Y2277" s="51" t="b">
        <v>0</v>
      </c>
      <c r="Z2277" s="51" t="b">
        <v>0</v>
      </c>
      <c r="AA2277" s="68"/>
      <c r="AB2277" s="52"/>
      <c r="AC2277" s="52"/>
      <c r="AD2277" s="52"/>
      <c r="AE2277" s="56" t="s">
        <v>607</v>
      </c>
      <c r="AF2277" s="56" t="s">
        <v>607</v>
      </c>
    </row>
    <row r="2278">
      <c r="A2278" s="52" t="s">
        <v>5572</v>
      </c>
      <c r="B2278" s="52" t="s">
        <v>607</v>
      </c>
      <c r="C2278" s="52" t="s">
        <v>607</v>
      </c>
      <c r="D2278" s="65" t="s">
        <v>607</v>
      </c>
      <c r="E2278" s="65" t="s">
        <v>607</v>
      </c>
      <c r="F2278" s="65" t="s">
        <v>607</v>
      </c>
      <c r="G2278" s="65" t="s">
        <v>607</v>
      </c>
      <c r="H2278" s="52" t="s">
        <v>607</v>
      </c>
      <c r="I2278" s="52" t="s">
        <v>607</v>
      </c>
      <c r="J2278" s="52" t="s">
        <v>607</v>
      </c>
      <c r="K2278" s="52" t="s">
        <v>607</v>
      </c>
      <c r="L2278" s="52" t="s">
        <v>607</v>
      </c>
      <c r="M2278" s="52" t="s">
        <v>607</v>
      </c>
      <c r="N2278" s="52" t="s">
        <v>607</v>
      </c>
      <c r="O2278" s="52"/>
      <c r="P2278" s="52"/>
      <c r="Q2278" s="52"/>
      <c r="R2278" s="51" t="b">
        <v>0</v>
      </c>
      <c r="S2278" s="51"/>
      <c r="T2278" s="52"/>
      <c r="U2278" s="51" t="b">
        <v>0</v>
      </c>
      <c r="V2278" s="51" t="b">
        <v>0</v>
      </c>
      <c r="W2278" s="51" t="b">
        <v>0</v>
      </c>
      <c r="X2278" s="51" t="b">
        <v>0</v>
      </c>
      <c r="Y2278" s="51" t="b">
        <v>0</v>
      </c>
      <c r="Z2278" s="51" t="b">
        <v>0</v>
      </c>
      <c r="AA2278" s="68"/>
      <c r="AB2278" s="52"/>
      <c r="AC2278" s="52"/>
      <c r="AD2278" s="52"/>
      <c r="AE2278" s="56" t="s">
        <v>607</v>
      </c>
      <c r="AF2278" s="56" t="s">
        <v>607</v>
      </c>
    </row>
    <row r="2279">
      <c r="A2279" s="52" t="s">
        <v>5573</v>
      </c>
      <c r="B2279" s="52" t="s">
        <v>607</v>
      </c>
      <c r="C2279" s="52" t="s">
        <v>607</v>
      </c>
      <c r="D2279" s="65" t="s">
        <v>607</v>
      </c>
      <c r="E2279" s="65" t="s">
        <v>607</v>
      </c>
      <c r="F2279" s="65" t="s">
        <v>607</v>
      </c>
      <c r="G2279" s="65" t="s">
        <v>607</v>
      </c>
      <c r="H2279" s="52" t="s">
        <v>607</v>
      </c>
      <c r="I2279" s="52" t="s">
        <v>607</v>
      </c>
      <c r="J2279" s="52" t="s">
        <v>607</v>
      </c>
      <c r="K2279" s="52" t="s">
        <v>607</v>
      </c>
      <c r="L2279" s="52" t="s">
        <v>607</v>
      </c>
      <c r="M2279" s="52" t="s">
        <v>607</v>
      </c>
      <c r="N2279" s="52" t="s">
        <v>607</v>
      </c>
      <c r="O2279" s="52"/>
      <c r="P2279" s="52"/>
      <c r="Q2279" s="52"/>
      <c r="R2279" s="51" t="b">
        <v>0</v>
      </c>
      <c r="S2279" s="51"/>
      <c r="T2279" s="52"/>
      <c r="U2279" s="51" t="b">
        <v>0</v>
      </c>
      <c r="V2279" s="51" t="b">
        <v>0</v>
      </c>
      <c r="W2279" s="51" t="b">
        <v>0</v>
      </c>
      <c r="X2279" s="51" t="b">
        <v>0</v>
      </c>
      <c r="Y2279" s="51" t="b">
        <v>0</v>
      </c>
      <c r="Z2279" s="51" t="b">
        <v>0</v>
      </c>
      <c r="AA2279" s="68"/>
      <c r="AB2279" s="52"/>
      <c r="AC2279" s="52"/>
      <c r="AD2279" s="52"/>
      <c r="AE2279" s="56" t="s">
        <v>607</v>
      </c>
      <c r="AF2279" s="56" t="s">
        <v>607</v>
      </c>
    </row>
    <row r="2280">
      <c r="A2280" s="52" t="s">
        <v>5574</v>
      </c>
      <c r="B2280" s="52" t="s">
        <v>14</v>
      </c>
      <c r="C2280" s="52" t="s">
        <v>66</v>
      </c>
      <c r="D2280" s="65">
        <v>0.670509259259259</v>
      </c>
      <c r="E2280" s="65">
        <v>0.014421296296296297</v>
      </c>
      <c r="F2280" s="65">
        <v>0.6849305555555553</v>
      </c>
      <c r="G2280" s="65"/>
      <c r="H2280" s="52" t="s">
        <v>74</v>
      </c>
      <c r="I2280" s="52" t="s">
        <v>206</v>
      </c>
      <c r="J2280" s="52" t="s">
        <v>207</v>
      </c>
      <c r="K2280" s="52" t="s">
        <v>208</v>
      </c>
      <c r="L2280" s="52"/>
      <c r="M2280" s="52"/>
      <c r="N2280" s="52" t="s">
        <v>96</v>
      </c>
      <c r="O2280" s="69" t="s">
        <v>734</v>
      </c>
      <c r="P2280" s="69" t="s">
        <v>32</v>
      </c>
      <c r="Q2280" s="80" t="s">
        <v>6820</v>
      </c>
      <c r="R2280" s="51" t="b">
        <v>1</v>
      </c>
      <c r="S2280" s="52" t="s">
        <v>206</v>
      </c>
      <c r="T2280" s="52"/>
      <c r="U2280" s="51" t="b">
        <v>0</v>
      </c>
      <c r="V2280" s="51" t="b">
        <v>1</v>
      </c>
      <c r="W2280" s="51" t="b">
        <v>1</v>
      </c>
      <c r="X2280" s="51" t="b">
        <v>0</v>
      </c>
      <c r="Y2280" s="51" t="b">
        <v>0</v>
      </c>
      <c r="Z2280" s="51" t="b">
        <v>0</v>
      </c>
      <c r="AA2280" s="71">
        <v>0.014421296296296297</v>
      </c>
      <c r="AB2280" s="69" t="s">
        <v>6821</v>
      </c>
      <c r="AC2280" s="52"/>
      <c r="AD2280" s="73" t="s">
        <v>4433</v>
      </c>
      <c r="AE2280" s="56" t="s">
        <v>629</v>
      </c>
      <c r="AF2280" s="56" t="s">
        <v>653</v>
      </c>
    </row>
    <row r="2281">
      <c r="A2281" s="52" t="s">
        <v>5575</v>
      </c>
      <c r="B2281" s="52" t="s">
        <v>14</v>
      </c>
      <c r="C2281" s="52" t="s">
        <v>289</v>
      </c>
      <c r="D2281" s="65">
        <v>0.648564814814814</v>
      </c>
      <c r="E2281" s="65">
        <v>2.314814814814815E-4</v>
      </c>
      <c r="F2281" s="65">
        <v>0.6487962962962954</v>
      </c>
      <c r="G2281" s="65"/>
      <c r="H2281" s="52" t="s">
        <v>81</v>
      </c>
      <c r="I2281" s="52" t="s">
        <v>81</v>
      </c>
      <c r="J2281" s="52" t="s">
        <v>105</v>
      </c>
      <c r="K2281" s="52"/>
      <c r="L2281" s="52"/>
      <c r="M2281" s="52"/>
      <c r="N2281" s="52"/>
      <c r="O2281" s="52"/>
      <c r="P2281" s="52"/>
      <c r="Q2281" s="52"/>
      <c r="R2281" s="51" t="b">
        <v>0</v>
      </c>
      <c r="S2281" s="51"/>
      <c r="T2281" s="52"/>
      <c r="U2281" s="51" t="b">
        <v>0</v>
      </c>
      <c r="V2281" s="51" t="b">
        <v>0</v>
      </c>
      <c r="W2281" s="51" t="b">
        <v>0</v>
      </c>
      <c r="X2281" s="51" t="b">
        <v>0</v>
      </c>
      <c r="Y2281" s="51" t="b">
        <v>0</v>
      </c>
      <c r="Z2281" s="51" t="b">
        <v>0</v>
      </c>
      <c r="AA2281" s="68"/>
      <c r="AB2281" s="52"/>
      <c r="AC2281" s="52"/>
      <c r="AD2281" s="52"/>
      <c r="AE2281" s="56"/>
      <c r="AF2281" s="56"/>
    </row>
    <row r="2282">
      <c r="A2282" s="52" t="s">
        <v>5576</v>
      </c>
      <c r="B2282" s="52" t="s">
        <v>14</v>
      </c>
      <c r="C2282" s="52" t="s">
        <v>66</v>
      </c>
      <c r="D2282" s="65">
        <v>0.6702777777777775</v>
      </c>
      <c r="E2282" s="65">
        <v>2.314814814814815E-4</v>
      </c>
      <c r="F2282" s="65">
        <v>0.670509259259259</v>
      </c>
      <c r="G2282" s="65"/>
      <c r="H2282" s="52" t="s">
        <v>81</v>
      </c>
      <c r="I2282" s="52" t="s">
        <v>91</v>
      </c>
      <c r="J2282" s="52" t="s">
        <v>92</v>
      </c>
      <c r="K2282" s="52"/>
      <c r="L2282" s="52"/>
      <c r="M2282" s="52"/>
      <c r="N2282" s="52"/>
      <c r="O2282" s="52"/>
      <c r="P2282" s="52"/>
      <c r="Q2282" s="52"/>
      <c r="R2282" s="51" t="b">
        <v>0</v>
      </c>
      <c r="S2282" s="51"/>
      <c r="T2282" s="52"/>
      <c r="U2282" s="51" t="b">
        <v>0</v>
      </c>
      <c r="V2282" s="51" t="b">
        <v>0</v>
      </c>
      <c r="W2282" s="51" t="b">
        <v>0</v>
      </c>
      <c r="X2282" s="51" t="b">
        <v>0</v>
      </c>
      <c r="Y2282" s="51" t="b">
        <v>0</v>
      </c>
      <c r="Z2282" s="51" t="b">
        <v>0</v>
      </c>
      <c r="AA2282" s="68"/>
      <c r="AB2282" s="52"/>
      <c r="AC2282" s="52"/>
      <c r="AD2282" s="52"/>
      <c r="AE2282" s="56"/>
      <c r="AF2282" s="56"/>
    </row>
    <row r="2283">
      <c r="A2283" s="52" t="s">
        <v>5577</v>
      </c>
      <c r="B2283" s="52" t="s">
        <v>607</v>
      </c>
      <c r="C2283" s="52" t="s">
        <v>607</v>
      </c>
      <c r="D2283" s="65" t="s">
        <v>607</v>
      </c>
      <c r="E2283" s="65" t="s">
        <v>607</v>
      </c>
      <c r="F2283" s="65" t="s">
        <v>607</v>
      </c>
      <c r="G2283" s="65" t="s">
        <v>607</v>
      </c>
      <c r="H2283" s="52" t="s">
        <v>607</v>
      </c>
      <c r="I2283" s="52" t="s">
        <v>607</v>
      </c>
      <c r="J2283" s="52" t="s">
        <v>607</v>
      </c>
      <c r="K2283" s="52" t="s">
        <v>607</v>
      </c>
      <c r="L2283" s="52" t="s">
        <v>607</v>
      </c>
      <c r="M2283" s="52" t="s">
        <v>607</v>
      </c>
      <c r="N2283" s="52" t="s">
        <v>607</v>
      </c>
      <c r="O2283" s="52"/>
      <c r="P2283" s="52"/>
      <c r="Q2283" s="52"/>
      <c r="R2283" s="51" t="b">
        <v>0</v>
      </c>
      <c r="S2283" s="51"/>
      <c r="T2283" s="52"/>
      <c r="U2283" s="51" t="b">
        <v>0</v>
      </c>
      <c r="V2283" s="51" t="b">
        <v>0</v>
      </c>
      <c r="W2283" s="51" t="b">
        <v>0</v>
      </c>
      <c r="X2283" s="51" t="b">
        <v>0</v>
      </c>
      <c r="Y2283" s="51" t="b">
        <v>0</v>
      </c>
      <c r="Z2283" s="51" t="b">
        <v>0</v>
      </c>
      <c r="AA2283" s="68"/>
      <c r="AB2283" s="52"/>
      <c r="AC2283" s="52"/>
      <c r="AD2283" s="52"/>
      <c r="AE2283" s="56" t="s">
        <v>607</v>
      </c>
      <c r="AF2283" s="56" t="s">
        <v>607</v>
      </c>
    </row>
    <row r="2284">
      <c r="A2284" s="52" t="s">
        <v>5578</v>
      </c>
      <c r="B2284" s="52" t="s">
        <v>14</v>
      </c>
      <c r="C2284" s="52" t="s">
        <v>221</v>
      </c>
      <c r="D2284" s="65">
        <v>0.4189814814814815</v>
      </c>
      <c r="E2284" s="65">
        <v>0.011111111111111112</v>
      </c>
      <c r="F2284" s="65">
        <v>0.43009259259259264</v>
      </c>
      <c r="G2284" s="65"/>
      <c r="H2284" s="52" t="s">
        <v>94</v>
      </c>
      <c r="I2284" s="52" t="s">
        <v>223</v>
      </c>
      <c r="J2284" s="52" t="s">
        <v>224</v>
      </c>
      <c r="K2284" s="52"/>
      <c r="L2284" s="52"/>
      <c r="M2284" s="52"/>
      <c r="N2284" s="52" t="s">
        <v>149</v>
      </c>
      <c r="O2284" s="52"/>
      <c r="P2284" s="52"/>
      <c r="Q2284" s="52"/>
      <c r="R2284" s="51" t="b">
        <v>0</v>
      </c>
      <c r="S2284" s="51"/>
      <c r="T2284" s="52"/>
      <c r="U2284" s="51" t="b">
        <v>0</v>
      </c>
      <c r="V2284" s="51" t="b">
        <v>0</v>
      </c>
      <c r="W2284" s="51" t="b">
        <v>0</v>
      </c>
      <c r="X2284" s="51" t="b">
        <v>0</v>
      </c>
      <c r="Y2284" s="51" t="b">
        <v>0</v>
      </c>
      <c r="Z2284" s="51" t="b">
        <v>0</v>
      </c>
      <c r="AA2284" s="68"/>
      <c r="AB2284" s="52"/>
      <c r="AC2284" s="52"/>
      <c r="AD2284" s="52"/>
      <c r="AE2284" s="56" t="s">
        <v>1499</v>
      </c>
      <c r="AF2284" s="56" t="s">
        <v>1125</v>
      </c>
    </row>
    <row r="2285">
      <c r="A2285" s="52" t="s">
        <v>5579</v>
      </c>
      <c r="B2285" s="52" t="s">
        <v>607</v>
      </c>
      <c r="C2285" s="52" t="s">
        <v>607</v>
      </c>
      <c r="D2285" s="65" t="s">
        <v>607</v>
      </c>
      <c r="E2285" s="65" t="s">
        <v>607</v>
      </c>
      <c r="F2285" s="65" t="s">
        <v>607</v>
      </c>
      <c r="G2285" s="65" t="s">
        <v>607</v>
      </c>
      <c r="H2285" s="52" t="s">
        <v>607</v>
      </c>
      <c r="I2285" s="52" t="s">
        <v>607</v>
      </c>
      <c r="J2285" s="52" t="s">
        <v>607</v>
      </c>
      <c r="K2285" s="52" t="s">
        <v>607</v>
      </c>
      <c r="L2285" s="52" t="s">
        <v>607</v>
      </c>
      <c r="M2285" s="52" t="s">
        <v>607</v>
      </c>
      <c r="N2285" s="52" t="s">
        <v>607</v>
      </c>
      <c r="O2285" s="52"/>
      <c r="P2285" s="52"/>
      <c r="Q2285" s="52"/>
      <c r="R2285" s="51" t="b">
        <v>0</v>
      </c>
      <c r="S2285" s="51"/>
      <c r="T2285" s="52"/>
      <c r="U2285" s="51" t="b">
        <v>0</v>
      </c>
      <c r="V2285" s="51" t="b">
        <v>0</v>
      </c>
      <c r="W2285" s="51" t="b">
        <v>0</v>
      </c>
      <c r="X2285" s="51" t="b">
        <v>0</v>
      </c>
      <c r="Y2285" s="51" t="b">
        <v>0</v>
      </c>
      <c r="Z2285" s="51" t="b">
        <v>0</v>
      </c>
      <c r="AA2285" s="68"/>
      <c r="AB2285" s="52"/>
      <c r="AC2285" s="52"/>
      <c r="AD2285" s="52"/>
      <c r="AE2285" s="56" t="s">
        <v>607</v>
      </c>
      <c r="AF2285" s="56" t="s">
        <v>607</v>
      </c>
    </row>
    <row r="2286">
      <c r="A2286" s="52" t="s">
        <v>5580</v>
      </c>
      <c r="B2286" s="52" t="s">
        <v>607</v>
      </c>
      <c r="C2286" s="52" t="s">
        <v>607</v>
      </c>
      <c r="D2286" s="65" t="s">
        <v>607</v>
      </c>
      <c r="E2286" s="65" t="s">
        <v>607</v>
      </c>
      <c r="F2286" s="65" t="s">
        <v>607</v>
      </c>
      <c r="G2286" s="65" t="s">
        <v>607</v>
      </c>
      <c r="H2286" s="52" t="s">
        <v>607</v>
      </c>
      <c r="I2286" s="52" t="s">
        <v>607</v>
      </c>
      <c r="J2286" s="52" t="s">
        <v>607</v>
      </c>
      <c r="K2286" s="52" t="s">
        <v>607</v>
      </c>
      <c r="L2286" s="52" t="s">
        <v>607</v>
      </c>
      <c r="M2286" s="52" t="s">
        <v>607</v>
      </c>
      <c r="N2286" s="52" t="s">
        <v>607</v>
      </c>
      <c r="O2286" s="52"/>
      <c r="P2286" s="52"/>
      <c r="Q2286" s="52"/>
      <c r="R2286" s="51" t="b">
        <v>0</v>
      </c>
      <c r="S2286" s="51"/>
      <c r="T2286" s="52"/>
      <c r="U2286" s="51" t="b">
        <v>0</v>
      </c>
      <c r="V2286" s="51" t="b">
        <v>0</v>
      </c>
      <c r="W2286" s="51" t="b">
        <v>0</v>
      </c>
      <c r="X2286" s="51" t="b">
        <v>0</v>
      </c>
      <c r="Y2286" s="51" t="b">
        <v>0</v>
      </c>
      <c r="Z2286" s="51" t="b">
        <v>0</v>
      </c>
      <c r="AA2286" s="68"/>
      <c r="AB2286" s="52"/>
      <c r="AC2286" s="52"/>
      <c r="AD2286" s="52"/>
      <c r="AE2286" s="56" t="s">
        <v>607</v>
      </c>
      <c r="AF2286" s="56" t="s">
        <v>607</v>
      </c>
    </row>
    <row r="2287">
      <c r="A2287" s="52" t="s">
        <v>5581</v>
      </c>
      <c r="B2287" s="52" t="s">
        <v>607</v>
      </c>
      <c r="C2287" s="52" t="s">
        <v>607</v>
      </c>
      <c r="D2287" s="65" t="s">
        <v>607</v>
      </c>
      <c r="E2287" s="65" t="s">
        <v>607</v>
      </c>
      <c r="F2287" s="65" t="s">
        <v>607</v>
      </c>
      <c r="G2287" s="65" t="s">
        <v>607</v>
      </c>
      <c r="H2287" s="52" t="s">
        <v>607</v>
      </c>
      <c r="I2287" s="52" t="s">
        <v>607</v>
      </c>
      <c r="J2287" s="52" t="s">
        <v>607</v>
      </c>
      <c r="K2287" s="52" t="s">
        <v>607</v>
      </c>
      <c r="L2287" s="52" t="s">
        <v>607</v>
      </c>
      <c r="M2287" s="52" t="s">
        <v>607</v>
      </c>
      <c r="N2287" s="52" t="s">
        <v>607</v>
      </c>
      <c r="O2287" s="52"/>
      <c r="P2287" s="52"/>
      <c r="Q2287" s="52"/>
      <c r="R2287" s="51" t="b">
        <v>0</v>
      </c>
      <c r="S2287" s="51"/>
      <c r="T2287" s="52"/>
      <c r="U2287" s="51" t="b">
        <v>0</v>
      </c>
      <c r="V2287" s="51" t="b">
        <v>0</v>
      </c>
      <c r="W2287" s="51" t="b">
        <v>0</v>
      </c>
      <c r="X2287" s="51" t="b">
        <v>0</v>
      </c>
      <c r="Y2287" s="51" t="b">
        <v>0</v>
      </c>
      <c r="Z2287" s="51" t="b">
        <v>0</v>
      </c>
      <c r="AA2287" s="68"/>
      <c r="AB2287" s="52"/>
      <c r="AC2287" s="52"/>
      <c r="AD2287" s="52"/>
      <c r="AE2287" s="56" t="s">
        <v>607</v>
      </c>
      <c r="AF2287" s="56" t="s">
        <v>607</v>
      </c>
    </row>
    <row r="2288">
      <c r="A2288" s="52" t="s">
        <v>5582</v>
      </c>
      <c r="B2288" s="52" t="s">
        <v>607</v>
      </c>
      <c r="C2288" s="52" t="s">
        <v>607</v>
      </c>
      <c r="D2288" s="65" t="s">
        <v>607</v>
      </c>
      <c r="E2288" s="65" t="s">
        <v>607</v>
      </c>
      <c r="F2288" s="65" t="s">
        <v>607</v>
      </c>
      <c r="G2288" s="65" t="s">
        <v>607</v>
      </c>
      <c r="H2288" s="52" t="s">
        <v>607</v>
      </c>
      <c r="I2288" s="52" t="s">
        <v>607</v>
      </c>
      <c r="J2288" s="52" t="s">
        <v>607</v>
      </c>
      <c r="K2288" s="52" t="s">
        <v>607</v>
      </c>
      <c r="L2288" s="52" t="s">
        <v>607</v>
      </c>
      <c r="M2288" s="52" t="s">
        <v>607</v>
      </c>
      <c r="N2288" s="52" t="s">
        <v>607</v>
      </c>
      <c r="O2288" s="52"/>
      <c r="P2288" s="52"/>
      <c r="Q2288" s="52"/>
      <c r="R2288" s="51" t="b">
        <v>0</v>
      </c>
      <c r="S2288" s="51"/>
      <c r="T2288" s="52"/>
      <c r="U2288" s="51" t="b">
        <v>0</v>
      </c>
      <c r="V2288" s="51" t="b">
        <v>0</v>
      </c>
      <c r="W2288" s="51" t="b">
        <v>0</v>
      </c>
      <c r="X2288" s="51" t="b">
        <v>0</v>
      </c>
      <c r="Y2288" s="51" t="b">
        <v>0</v>
      </c>
      <c r="Z2288" s="51" t="b">
        <v>0</v>
      </c>
      <c r="AA2288" s="68"/>
      <c r="AB2288" s="52"/>
      <c r="AC2288" s="52"/>
      <c r="AD2288" s="52"/>
      <c r="AE2288" s="56" t="s">
        <v>607</v>
      </c>
      <c r="AF2288" s="56" t="s">
        <v>607</v>
      </c>
    </row>
    <row r="2289">
      <c r="A2289" s="52" t="s">
        <v>5583</v>
      </c>
      <c r="B2289" s="52" t="s">
        <v>607</v>
      </c>
      <c r="C2289" s="52" t="s">
        <v>607</v>
      </c>
      <c r="D2289" s="65" t="s">
        <v>607</v>
      </c>
      <c r="E2289" s="65" t="s">
        <v>607</v>
      </c>
      <c r="F2289" s="65" t="s">
        <v>607</v>
      </c>
      <c r="G2289" s="65" t="s">
        <v>607</v>
      </c>
      <c r="H2289" s="52" t="s">
        <v>607</v>
      </c>
      <c r="I2289" s="52" t="s">
        <v>607</v>
      </c>
      <c r="J2289" s="52" t="s">
        <v>607</v>
      </c>
      <c r="K2289" s="52" t="s">
        <v>607</v>
      </c>
      <c r="L2289" s="52" t="s">
        <v>607</v>
      </c>
      <c r="M2289" s="52" t="s">
        <v>607</v>
      </c>
      <c r="N2289" s="52" t="s">
        <v>607</v>
      </c>
      <c r="O2289" s="52"/>
      <c r="P2289" s="52"/>
      <c r="Q2289" s="52"/>
      <c r="R2289" s="51" t="b">
        <v>0</v>
      </c>
      <c r="S2289" s="51"/>
      <c r="T2289" s="52"/>
      <c r="U2289" s="51" t="b">
        <v>0</v>
      </c>
      <c r="V2289" s="51" t="b">
        <v>0</v>
      </c>
      <c r="W2289" s="51" t="b">
        <v>0</v>
      </c>
      <c r="X2289" s="51" t="b">
        <v>0</v>
      </c>
      <c r="Y2289" s="51" t="b">
        <v>0</v>
      </c>
      <c r="Z2289" s="51" t="b">
        <v>0</v>
      </c>
      <c r="AA2289" s="68"/>
      <c r="AB2289" s="52"/>
      <c r="AC2289" s="52"/>
      <c r="AD2289" s="52"/>
      <c r="AE2289" s="56" t="s">
        <v>607</v>
      </c>
      <c r="AF2289" s="56" t="s">
        <v>607</v>
      </c>
    </row>
    <row r="2290">
      <c r="A2290" s="52" t="s">
        <v>5584</v>
      </c>
      <c r="B2290" s="52" t="s">
        <v>607</v>
      </c>
      <c r="C2290" s="52" t="s">
        <v>607</v>
      </c>
      <c r="D2290" s="65" t="s">
        <v>607</v>
      </c>
      <c r="E2290" s="65" t="s">
        <v>607</v>
      </c>
      <c r="F2290" s="65" t="s">
        <v>607</v>
      </c>
      <c r="G2290" s="65" t="s">
        <v>607</v>
      </c>
      <c r="H2290" s="52" t="s">
        <v>607</v>
      </c>
      <c r="I2290" s="52" t="s">
        <v>607</v>
      </c>
      <c r="J2290" s="52" t="s">
        <v>607</v>
      </c>
      <c r="K2290" s="52" t="s">
        <v>607</v>
      </c>
      <c r="L2290" s="52" t="s">
        <v>607</v>
      </c>
      <c r="M2290" s="52" t="s">
        <v>607</v>
      </c>
      <c r="N2290" s="52" t="s">
        <v>607</v>
      </c>
      <c r="O2290" s="52"/>
      <c r="P2290" s="52"/>
      <c r="Q2290" s="52"/>
      <c r="R2290" s="51" t="b">
        <v>0</v>
      </c>
      <c r="S2290" s="51"/>
      <c r="T2290" s="52"/>
      <c r="U2290" s="51" t="b">
        <v>0</v>
      </c>
      <c r="V2290" s="51" t="b">
        <v>0</v>
      </c>
      <c r="W2290" s="51" t="b">
        <v>0</v>
      </c>
      <c r="X2290" s="51" t="b">
        <v>0</v>
      </c>
      <c r="Y2290" s="51" t="b">
        <v>0</v>
      </c>
      <c r="Z2290" s="51" t="b">
        <v>0</v>
      </c>
      <c r="AA2290" s="68"/>
      <c r="AB2290" s="52"/>
      <c r="AC2290" s="52"/>
      <c r="AD2290" s="52"/>
      <c r="AE2290" s="56" t="s">
        <v>607</v>
      </c>
      <c r="AF2290" s="56" t="s">
        <v>607</v>
      </c>
    </row>
    <row r="2291">
      <c r="A2291" s="52" t="s">
        <v>5585</v>
      </c>
      <c r="B2291" s="52" t="s">
        <v>607</v>
      </c>
      <c r="C2291" s="52" t="s">
        <v>607</v>
      </c>
      <c r="D2291" s="65" t="s">
        <v>607</v>
      </c>
      <c r="E2291" s="65" t="s">
        <v>607</v>
      </c>
      <c r="F2291" s="65" t="s">
        <v>607</v>
      </c>
      <c r="G2291" s="65" t="s">
        <v>607</v>
      </c>
      <c r="H2291" s="52" t="s">
        <v>607</v>
      </c>
      <c r="I2291" s="52" t="s">
        <v>607</v>
      </c>
      <c r="J2291" s="52" t="s">
        <v>607</v>
      </c>
      <c r="K2291" s="52" t="s">
        <v>607</v>
      </c>
      <c r="L2291" s="52" t="s">
        <v>607</v>
      </c>
      <c r="M2291" s="52" t="s">
        <v>607</v>
      </c>
      <c r="N2291" s="52" t="s">
        <v>607</v>
      </c>
      <c r="O2291" s="52"/>
      <c r="P2291" s="52"/>
      <c r="Q2291" s="52"/>
      <c r="R2291" s="51" t="b">
        <v>0</v>
      </c>
      <c r="S2291" s="51"/>
      <c r="T2291" s="52"/>
      <c r="U2291" s="51" t="b">
        <v>0</v>
      </c>
      <c r="V2291" s="51" t="b">
        <v>0</v>
      </c>
      <c r="W2291" s="51" t="b">
        <v>0</v>
      </c>
      <c r="X2291" s="51" t="b">
        <v>0</v>
      </c>
      <c r="Y2291" s="51" t="b">
        <v>0</v>
      </c>
      <c r="Z2291" s="51" t="b">
        <v>0</v>
      </c>
      <c r="AA2291" s="68"/>
      <c r="AB2291" s="52"/>
      <c r="AC2291" s="52"/>
      <c r="AD2291" s="52"/>
      <c r="AE2291" s="56" t="s">
        <v>607</v>
      </c>
      <c r="AF2291" s="56" t="s">
        <v>607</v>
      </c>
    </row>
    <row r="2292">
      <c r="A2292" s="52" t="s">
        <v>5586</v>
      </c>
      <c r="B2292" s="52" t="s">
        <v>607</v>
      </c>
      <c r="C2292" s="52" t="s">
        <v>607</v>
      </c>
      <c r="D2292" s="65" t="s">
        <v>607</v>
      </c>
      <c r="E2292" s="65" t="s">
        <v>607</v>
      </c>
      <c r="F2292" s="65" t="s">
        <v>607</v>
      </c>
      <c r="G2292" s="65" t="s">
        <v>607</v>
      </c>
      <c r="H2292" s="52" t="s">
        <v>607</v>
      </c>
      <c r="I2292" s="52" t="s">
        <v>607</v>
      </c>
      <c r="J2292" s="52" t="s">
        <v>607</v>
      </c>
      <c r="K2292" s="52" t="s">
        <v>607</v>
      </c>
      <c r="L2292" s="52" t="s">
        <v>607</v>
      </c>
      <c r="M2292" s="52" t="s">
        <v>607</v>
      </c>
      <c r="N2292" s="52" t="s">
        <v>607</v>
      </c>
      <c r="O2292" s="52"/>
      <c r="P2292" s="52"/>
      <c r="Q2292" s="52"/>
      <c r="R2292" s="51" t="b">
        <v>0</v>
      </c>
      <c r="S2292" s="51"/>
      <c r="T2292" s="52"/>
      <c r="U2292" s="51" t="b">
        <v>0</v>
      </c>
      <c r="V2292" s="51" t="b">
        <v>0</v>
      </c>
      <c r="W2292" s="51" t="b">
        <v>0</v>
      </c>
      <c r="X2292" s="51" t="b">
        <v>0</v>
      </c>
      <c r="Y2292" s="51" t="b">
        <v>0</v>
      </c>
      <c r="Z2292" s="51" t="b">
        <v>0</v>
      </c>
      <c r="AA2292" s="68"/>
      <c r="AB2292" s="52"/>
      <c r="AC2292" s="52"/>
      <c r="AD2292" s="52"/>
      <c r="AE2292" s="56" t="s">
        <v>607</v>
      </c>
      <c r="AF2292" s="56" t="s">
        <v>607</v>
      </c>
    </row>
    <row r="2293">
      <c r="A2293" s="52" t="s">
        <v>5587</v>
      </c>
      <c r="B2293" s="52" t="s">
        <v>607</v>
      </c>
      <c r="C2293" s="52" t="s">
        <v>607</v>
      </c>
      <c r="D2293" s="65" t="s">
        <v>607</v>
      </c>
      <c r="E2293" s="65" t="s">
        <v>607</v>
      </c>
      <c r="F2293" s="65" t="s">
        <v>607</v>
      </c>
      <c r="G2293" s="65" t="s">
        <v>607</v>
      </c>
      <c r="H2293" s="52" t="s">
        <v>607</v>
      </c>
      <c r="I2293" s="52" t="s">
        <v>607</v>
      </c>
      <c r="J2293" s="52" t="s">
        <v>607</v>
      </c>
      <c r="K2293" s="52" t="s">
        <v>607</v>
      </c>
      <c r="L2293" s="52" t="s">
        <v>607</v>
      </c>
      <c r="M2293" s="52" t="s">
        <v>607</v>
      </c>
      <c r="N2293" s="52" t="s">
        <v>607</v>
      </c>
      <c r="O2293" s="52"/>
      <c r="P2293" s="52"/>
      <c r="Q2293" s="52"/>
      <c r="R2293" s="51" t="b">
        <v>0</v>
      </c>
      <c r="S2293" s="51"/>
      <c r="T2293" s="52"/>
      <c r="U2293" s="51" t="b">
        <v>0</v>
      </c>
      <c r="V2293" s="51" t="b">
        <v>0</v>
      </c>
      <c r="W2293" s="51" t="b">
        <v>0</v>
      </c>
      <c r="X2293" s="51" t="b">
        <v>0</v>
      </c>
      <c r="Y2293" s="51" t="b">
        <v>0</v>
      </c>
      <c r="Z2293" s="51" t="b">
        <v>0</v>
      </c>
      <c r="AA2293" s="68"/>
      <c r="AB2293" s="52"/>
      <c r="AC2293" s="52"/>
      <c r="AD2293" s="52"/>
      <c r="AE2293" s="56" t="s">
        <v>607</v>
      </c>
      <c r="AF2293" s="56" t="s">
        <v>607</v>
      </c>
    </row>
    <row r="2294">
      <c r="A2294" s="52" t="s">
        <v>5588</v>
      </c>
      <c r="B2294" s="52" t="s">
        <v>14</v>
      </c>
      <c r="C2294" s="52" t="s">
        <v>66</v>
      </c>
      <c r="D2294" s="65">
        <v>0.4396990740740742</v>
      </c>
      <c r="E2294" s="65">
        <v>3.4722222222222224E-4</v>
      </c>
      <c r="F2294" s="65">
        <v>0.44004629629629644</v>
      </c>
      <c r="G2294" s="65"/>
      <c r="H2294" s="52" t="s">
        <v>87</v>
      </c>
      <c r="I2294" s="52"/>
      <c r="J2294" s="52" t="s">
        <v>69</v>
      </c>
      <c r="K2294" s="52"/>
      <c r="L2294" s="52"/>
      <c r="M2294" s="52"/>
      <c r="N2294" s="52"/>
      <c r="O2294" s="52"/>
      <c r="P2294" s="52"/>
      <c r="Q2294" s="52"/>
      <c r="R2294" s="51" t="b">
        <v>0</v>
      </c>
      <c r="S2294" s="51"/>
      <c r="T2294" s="52"/>
      <c r="U2294" s="51" t="b">
        <v>0</v>
      </c>
      <c r="V2294" s="51" t="b">
        <v>0</v>
      </c>
      <c r="W2294" s="51" t="b">
        <v>0</v>
      </c>
      <c r="X2294" s="51" t="b">
        <v>0</v>
      </c>
      <c r="Y2294" s="51" t="b">
        <v>0</v>
      </c>
      <c r="Z2294" s="51" t="b">
        <v>0</v>
      </c>
      <c r="AA2294" s="68"/>
      <c r="AB2294" s="52"/>
      <c r="AC2294" s="52"/>
      <c r="AD2294" s="52"/>
      <c r="AE2294" s="56"/>
      <c r="AF2294" s="56" t="s">
        <v>600</v>
      </c>
    </row>
    <row r="2295">
      <c r="A2295" s="52" t="s">
        <v>5589</v>
      </c>
      <c r="B2295" s="52" t="s">
        <v>14</v>
      </c>
      <c r="C2295" s="52" t="s">
        <v>66</v>
      </c>
      <c r="D2295" s="65">
        <v>0.43917824074074086</v>
      </c>
      <c r="E2295" s="65">
        <v>5.208333333333333E-4</v>
      </c>
      <c r="F2295" s="65">
        <v>0.4396990740740742</v>
      </c>
      <c r="G2295" s="65"/>
      <c r="H2295" s="52" t="s">
        <v>89</v>
      </c>
      <c r="I2295" s="52"/>
      <c r="J2295" s="52" t="s">
        <v>69</v>
      </c>
      <c r="K2295" s="52"/>
      <c r="L2295" s="52"/>
      <c r="M2295" s="52"/>
      <c r="N2295" s="52"/>
      <c r="O2295" s="52"/>
      <c r="P2295" s="52"/>
      <c r="Q2295" s="52"/>
      <c r="R2295" s="51" t="b">
        <v>0</v>
      </c>
      <c r="S2295" s="51"/>
      <c r="T2295" s="52"/>
      <c r="U2295" s="51" t="b">
        <v>0</v>
      </c>
      <c r="V2295" s="51" t="b">
        <v>0</v>
      </c>
      <c r="W2295" s="51" t="b">
        <v>0</v>
      </c>
      <c r="X2295" s="51" t="b">
        <v>0</v>
      </c>
      <c r="Y2295" s="51" t="b">
        <v>0</v>
      </c>
      <c r="Z2295" s="51" t="b">
        <v>0</v>
      </c>
      <c r="AA2295" s="68"/>
      <c r="AB2295" s="52"/>
      <c r="AC2295" s="52"/>
      <c r="AD2295" s="52"/>
      <c r="AE2295" s="56"/>
      <c r="AF2295" s="56"/>
    </row>
    <row r="2296">
      <c r="A2296" s="52" t="s">
        <v>5590</v>
      </c>
      <c r="B2296" s="52" t="s">
        <v>14</v>
      </c>
      <c r="C2296" s="52" t="s">
        <v>221</v>
      </c>
      <c r="D2296" s="65">
        <v>0.41875</v>
      </c>
      <c r="E2296" s="65">
        <v>2.314814814814815E-4</v>
      </c>
      <c r="F2296" s="65">
        <v>0.4189814814814815</v>
      </c>
      <c r="G2296" s="65"/>
      <c r="H2296" s="52" t="s">
        <v>81</v>
      </c>
      <c r="I2296" s="52" t="s">
        <v>91</v>
      </c>
      <c r="J2296" s="52" t="s">
        <v>73</v>
      </c>
      <c r="K2296" s="52" t="s">
        <v>128</v>
      </c>
      <c r="L2296" s="52"/>
      <c r="M2296" s="52"/>
      <c r="N2296" s="52" t="s">
        <v>70</v>
      </c>
      <c r="O2296" s="52"/>
      <c r="P2296" s="52"/>
      <c r="Q2296" s="52"/>
      <c r="R2296" s="51" t="b">
        <v>0</v>
      </c>
      <c r="S2296" s="51"/>
      <c r="T2296" s="52"/>
      <c r="U2296" s="51" t="b">
        <v>0</v>
      </c>
      <c r="V2296" s="51" t="b">
        <v>0</v>
      </c>
      <c r="W2296" s="51" t="b">
        <v>0</v>
      </c>
      <c r="X2296" s="51" t="b">
        <v>0</v>
      </c>
      <c r="Y2296" s="51" t="b">
        <v>0</v>
      </c>
      <c r="Z2296" s="51" t="b">
        <v>0</v>
      </c>
      <c r="AA2296" s="68"/>
      <c r="AB2296" s="52"/>
      <c r="AC2296" s="52"/>
      <c r="AD2296" s="52"/>
      <c r="AE2296" s="56"/>
      <c r="AF2296" s="56"/>
    </row>
    <row r="2297">
      <c r="A2297" s="52" t="s">
        <v>5591</v>
      </c>
      <c r="B2297" s="52" t="s">
        <v>607</v>
      </c>
      <c r="C2297" s="52" t="s">
        <v>607</v>
      </c>
      <c r="D2297" s="65" t="s">
        <v>607</v>
      </c>
      <c r="E2297" s="65" t="s">
        <v>607</v>
      </c>
      <c r="F2297" s="65" t="s">
        <v>607</v>
      </c>
      <c r="G2297" s="65" t="s">
        <v>607</v>
      </c>
      <c r="H2297" s="52" t="s">
        <v>607</v>
      </c>
      <c r="I2297" s="52" t="s">
        <v>607</v>
      </c>
      <c r="J2297" s="52" t="s">
        <v>607</v>
      </c>
      <c r="K2297" s="52" t="s">
        <v>607</v>
      </c>
      <c r="L2297" s="52" t="s">
        <v>607</v>
      </c>
      <c r="M2297" s="52" t="s">
        <v>607</v>
      </c>
      <c r="N2297" s="52" t="s">
        <v>607</v>
      </c>
      <c r="O2297" s="52"/>
      <c r="P2297" s="52"/>
      <c r="Q2297" s="52"/>
      <c r="R2297" s="51" t="b">
        <v>0</v>
      </c>
      <c r="S2297" s="51"/>
      <c r="T2297" s="52"/>
      <c r="U2297" s="51" t="b">
        <v>0</v>
      </c>
      <c r="V2297" s="51" t="b">
        <v>0</v>
      </c>
      <c r="W2297" s="51" t="b">
        <v>0</v>
      </c>
      <c r="X2297" s="51" t="b">
        <v>0</v>
      </c>
      <c r="Y2297" s="51" t="b">
        <v>0</v>
      </c>
      <c r="Z2297" s="51" t="b">
        <v>0</v>
      </c>
      <c r="AA2297" s="68"/>
      <c r="AB2297" s="52"/>
      <c r="AC2297" s="52"/>
      <c r="AD2297" s="52"/>
      <c r="AE2297" s="56" t="s">
        <v>607</v>
      </c>
      <c r="AF2297" s="56" t="s">
        <v>607</v>
      </c>
    </row>
    <row r="2298">
      <c r="A2298" s="52" t="s">
        <v>5592</v>
      </c>
      <c r="B2298" s="52" t="s">
        <v>607</v>
      </c>
      <c r="C2298" s="52" t="s">
        <v>607</v>
      </c>
      <c r="D2298" s="65" t="s">
        <v>607</v>
      </c>
      <c r="E2298" s="65" t="s">
        <v>607</v>
      </c>
      <c r="F2298" s="65" t="s">
        <v>607</v>
      </c>
      <c r="G2298" s="65" t="s">
        <v>607</v>
      </c>
      <c r="H2298" s="52" t="s">
        <v>607</v>
      </c>
      <c r="I2298" s="52" t="s">
        <v>607</v>
      </c>
      <c r="J2298" s="52" t="s">
        <v>607</v>
      </c>
      <c r="K2298" s="52" t="s">
        <v>607</v>
      </c>
      <c r="L2298" s="52" t="s">
        <v>607</v>
      </c>
      <c r="M2298" s="52" t="s">
        <v>607</v>
      </c>
      <c r="N2298" s="52" t="s">
        <v>607</v>
      </c>
      <c r="O2298" s="52"/>
      <c r="P2298" s="52"/>
      <c r="Q2298" s="52"/>
      <c r="R2298" s="51" t="b">
        <v>0</v>
      </c>
      <c r="S2298" s="51"/>
      <c r="T2298" s="52"/>
      <c r="U2298" s="51" t="b">
        <v>0</v>
      </c>
      <c r="V2298" s="51" t="b">
        <v>0</v>
      </c>
      <c r="W2298" s="51" t="b">
        <v>0</v>
      </c>
      <c r="X2298" s="51" t="b">
        <v>0</v>
      </c>
      <c r="Y2298" s="51" t="b">
        <v>0</v>
      </c>
      <c r="Z2298" s="51" t="b">
        <v>0</v>
      </c>
      <c r="AA2298" s="68"/>
      <c r="AB2298" s="52"/>
      <c r="AC2298" s="52"/>
      <c r="AD2298" s="52"/>
      <c r="AE2298" s="56" t="s">
        <v>607</v>
      </c>
      <c r="AF2298" s="56" t="s">
        <v>607</v>
      </c>
    </row>
    <row r="2299">
      <c r="A2299" s="52" t="s">
        <v>5593</v>
      </c>
      <c r="B2299" s="52" t="s">
        <v>607</v>
      </c>
      <c r="C2299" s="52" t="s">
        <v>607</v>
      </c>
      <c r="D2299" s="65" t="s">
        <v>607</v>
      </c>
      <c r="E2299" s="65" t="s">
        <v>607</v>
      </c>
      <c r="F2299" s="65" t="s">
        <v>607</v>
      </c>
      <c r="G2299" s="65" t="s">
        <v>607</v>
      </c>
      <c r="H2299" s="52" t="s">
        <v>607</v>
      </c>
      <c r="I2299" s="52" t="s">
        <v>607</v>
      </c>
      <c r="J2299" s="52" t="s">
        <v>607</v>
      </c>
      <c r="K2299" s="52" t="s">
        <v>607</v>
      </c>
      <c r="L2299" s="52" t="s">
        <v>607</v>
      </c>
      <c r="M2299" s="52" t="s">
        <v>607</v>
      </c>
      <c r="N2299" s="52" t="s">
        <v>607</v>
      </c>
      <c r="O2299" s="52"/>
      <c r="P2299" s="52"/>
      <c r="Q2299" s="52"/>
      <c r="R2299" s="51" t="b">
        <v>0</v>
      </c>
      <c r="S2299" s="51"/>
      <c r="T2299" s="52"/>
      <c r="U2299" s="51" t="b">
        <v>0</v>
      </c>
      <c r="V2299" s="51" t="b">
        <v>0</v>
      </c>
      <c r="W2299" s="51" t="b">
        <v>0</v>
      </c>
      <c r="X2299" s="51" t="b">
        <v>0</v>
      </c>
      <c r="Y2299" s="51" t="b">
        <v>0</v>
      </c>
      <c r="Z2299" s="51" t="b">
        <v>0</v>
      </c>
      <c r="AA2299" s="68"/>
      <c r="AB2299" s="52"/>
      <c r="AC2299" s="52"/>
      <c r="AD2299" s="52"/>
      <c r="AE2299" s="56" t="s">
        <v>607</v>
      </c>
      <c r="AF2299" s="56" t="s">
        <v>607</v>
      </c>
    </row>
    <row r="2300">
      <c r="A2300" s="52" t="s">
        <v>5594</v>
      </c>
      <c r="B2300" s="52" t="s">
        <v>607</v>
      </c>
      <c r="C2300" s="52" t="s">
        <v>607</v>
      </c>
      <c r="D2300" s="65" t="s">
        <v>607</v>
      </c>
      <c r="E2300" s="65" t="s">
        <v>607</v>
      </c>
      <c r="F2300" s="65" t="s">
        <v>607</v>
      </c>
      <c r="G2300" s="65" t="s">
        <v>607</v>
      </c>
      <c r="H2300" s="52" t="s">
        <v>607</v>
      </c>
      <c r="I2300" s="52" t="s">
        <v>607</v>
      </c>
      <c r="J2300" s="52" t="s">
        <v>607</v>
      </c>
      <c r="K2300" s="52" t="s">
        <v>607</v>
      </c>
      <c r="L2300" s="52" t="s">
        <v>607</v>
      </c>
      <c r="M2300" s="52" t="s">
        <v>607</v>
      </c>
      <c r="N2300" s="52" t="s">
        <v>607</v>
      </c>
      <c r="O2300" s="52"/>
      <c r="P2300" s="52"/>
      <c r="Q2300" s="52"/>
      <c r="R2300" s="51" t="b">
        <v>0</v>
      </c>
      <c r="S2300" s="51"/>
      <c r="T2300" s="52"/>
      <c r="U2300" s="51" t="b">
        <v>0</v>
      </c>
      <c r="V2300" s="51" t="b">
        <v>0</v>
      </c>
      <c r="W2300" s="51" t="b">
        <v>0</v>
      </c>
      <c r="X2300" s="51" t="b">
        <v>0</v>
      </c>
      <c r="Y2300" s="51" t="b">
        <v>0</v>
      </c>
      <c r="Z2300" s="51" t="b">
        <v>0</v>
      </c>
      <c r="AA2300" s="68"/>
      <c r="AB2300" s="52"/>
      <c r="AC2300" s="52"/>
      <c r="AD2300" s="52"/>
      <c r="AE2300" s="56" t="s">
        <v>607</v>
      </c>
      <c r="AF2300" s="56" t="s">
        <v>607</v>
      </c>
    </row>
    <row r="2301">
      <c r="A2301" s="52" t="s">
        <v>5595</v>
      </c>
      <c r="B2301" s="52" t="s">
        <v>607</v>
      </c>
      <c r="C2301" s="52" t="s">
        <v>607</v>
      </c>
      <c r="D2301" s="65" t="s">
        <v>607</v>
      </c>
      <c r="E2301" s="65" t="s">
        <v>607</v>
      </c>
      <c r="F2301" s="65" t="s">
        <v>607</v>
      </c>
      <c r="G2301" s="65" t="s">
        <v>607</v>
      </c>
      <c r="H2301" s="52" t="s">
        <v>607</v>
      </c>
      <c r="I2301" s="52" t="s">
        <v>607</v>
      </c>
      <c r="J2301" s="52" t="s">
        <v>607</v>
      </c>
      <c r="K2301" s="52" t="s">
        <v>607</v>
      </c>
      <c r="L2301" s="52" t="s">
        <v>607</v>
      </c>
      <c r="M2301" s="52" t="s">
        <v>607</v>
      </c>
      <c r="N2301" s="52" t="s">
        <v>607</v>
      </c>
      <c r="O2301" s="52"/>
      <c r="P2301" s="52"/>
      <c r="Q2301" s="52"/>
      <c r="R2301" s="51" t="b">
        <v>0</v>
      </c>
      <c r="S2301" s="51"/>
      <c r="T2301" s="52"/>
      <c r="U2301" s="51" t="b">
        <v>0</v>
      </c>
      <c r="V2301" s="51" t="b">
        <v>0</v>
      </c>
      <c r="W2301" s="51" t="b">
        <v>0</v>
      </c>
      <c r="X2301" s="51" t="b">
        <v>0</v>
      </c>
      <c r="Y2301" s="51" t="b">
        <v>0</v>
      </c>
      <c r="Z2301" s="51" t="b">
        <v>0</v>
      </c>
      <c r="AA2301" s="68"/>
      <c r="AB2301" s="52"/>
      <c r="AC2301" s="52"/>
      <c r="AD2301" s="52"/>
      <c r="AE2301" s="56" t="s">
        <v>607</v>
      </c>
      <c r="AF2301" s="56" t="s">
        <v>607</v>
      </c>
    </row>
    <row r="2302">
      <c r="A2302" s="52" t="s">
        <v>5596</v>
      </c>
      <c r="B2302" s="52" t="s">
        <v>607</v>
      </c>
      <c r="C2302" s="52" t="s">
        <v>607</v>
      </c>
      <c r="D2302" s="65" t="s">
        <v>607</v>
      </c>
      <c r="E2302" s="65" t="s">
        <v>607</v>
      </c>
      <c r="F2302" s="65" t="s">
        <v>607</v>
      </c>
      <c r="G2302" s="65" t="s">
        <v>607</v>
      </c>
      <c r="H2302" s="52" t="s">
        <v>607</v>
      </c>
      <c r="I2302" s="52" t="s">
        <v>607</v>
      </c>
      <c r="J2302" s="52" t="s">
        <v>607</v>
      </c>
      <c r="K2302" s="52" t="s">
        <v>607</v>
      </c>
      <c r="L2302" s="52" t="s">
        <v>607</v>
      </c>
      <c r="M2302" s="52" t="s">
        <v>607</v>
      </c>
      <c r="N2302" s="52" t="s">
        <v>607</v>
      </c>
      <c r="O2302" s="52"/>
      <c r="P2302" s="52"/>
      <c r="Q2302" s="52"/>
      <c r="R2302" s="51" t="b">
        <v>0</v>
      </c>
      <c r="S2302" s="51"/>
      <c r="T2302" s="52"/>
      <c r="U2302" s="51" t="b">
        <v>0</v>
      </c>
      <c r="V2302" s="51" t="b">
        <v>0</v>
      </c>
      <c r="W2302" s="51" t="b">
        <v>0</v>
      </c>
      <c r="X2302" s="51" t="b">
        <v>0</v>
      </c>
      <c r="Y2302" s="51" t="b">
        <v>0</v>
      </c>
      <c r="Z2302" s="51" t="b">
        <v>0</v>
      </c>
      <c r="AA2302" s="68"/>
      <c r="AB2302" s="52"/>
      <c r="AC2302" s="52"/>
      <c r="AD2302" s="52"/>
      <c r="AE2302" s="56" t="s">
        <v>607</v>
      </c>
      <c r="AF2302" s="56" t="s">
        <v>607</v>
      </c>
    </row>
    <row r="2303">
      <c r="A2303" s="52" t="s">
        <v>5597</v>
      </c>
      <c r="B2303" s="52" t="s">
        <v>607</v>
      </c>
      <c r="C2303" s="52" t="s">
        <v>607</v>
      </c>
      <c r="D2303" s="65" t="s">
        <v>607</v>
      </c>
      <c r="E2303" s="65" t="s">
        <v>607</v>
      </c>
      <c r="F2303" s="65" t="s">
        <v>607</v>
      </c>
      <c r="G2303" s="65" t="s">
        <v>607</v>
      </c>
      <c r="H2303" s="52" t="s">
        <v>607</v>
      </c>
      <c r="I2303" s="52" t="s">
        <v>607</v>
      </c>
      <c r="J2303" s="52" t="s">
        <v>607</v>
      </c>
      <c r="K2303" s="52" t="s">
        <v>607</v>
      </c>
      <c r="L2303" s="52" t="s">
        <v>607</v>
      </c>
      <c r="M2303" s="52" t="s">
        <v>607</v>
      </c>
      <c r="N2303" s="52" t="s">
        <v>607</v>
      </c>
      <c r="O2303" s="52"/>
      <c r="P2303" s="52"/>
      <c r="Q2303" s="52"/>
      <c r="R2303" s="51" t="b">
        <v>0</v>
      </c>
      <c r="S2303" s="51"/>
      <c r="T2303" s="52"/>
      <c r="U2303" s="51" t="b">
        <v>0</v>
      </c>
      <c r="V2303" s="51" t="b">
        <v>0</v>
      </c>
      <c r="W2303" s="51" t="b">
        <v>0</v>
      </c>
      <c r="X2303" s="51" t="b">
        <v>0</v>
      </c>
      <c r="Y2303" s="51" t="b">
        <v>0</v>
      </c>
      <c r="Z2303" s="51" t="b">
        <v>0</v>
      </c>
      <c r="AA2303" s="68"/>
      <c r="AB2303" s="52"/>
      <c r="AC2303" s="52"/>
      <c r="AD2303" s="52"/>
      <c r="AE2303" s="56" t="s">
        <v>607</v>
      </c>
      <c r="AF2303" s="56" t="s">
        <v>607</v>
      </c>
    </row>
    <row r="2304">
      <c r="A2304" s="52" t="s">
        <v>5598</v>
      </c>
      <c r="B2304" s="52" t="s">
        <v>607</v>
      </c>
      <c r="C2304" s="52" t="s">
        <v>607</v>
      </c>
      <c r="D2304" s="65" t="s">
        <v>607</v>
      </c>
      <c r="E2304" s="65" t="s">
        <v>607</v>
      </c>
      <c r="F2304" s="65" t="s">
        <v>607</v>
      </c>
      <c r="G2304" s="65" t="s">
        <v>607</v>
      </c>
      <c r="H2304" s="52" t="s">
        <v>607</v>
      </c>
      <c r="I2304" s="52" t="s">
        <v>607</v>
      </c>
      <c r="J2304" s="52" t="s">
        <v>607</v>
      </c>
      <c r="K2304" s="52" t="s">
        <v>607</v>
      </c>
      <c r="L2304" s="52" t="s">
        <v>607</v>
      </c>
      <c r="M2304" s="52" t="s">
        <v>607</v>
      </c>
      <c r="N2304" s="52" t="s">
        <v>607</v>
      </c>
      <c r="O2304" s="52"/>
      <c r="P2304" s="52"/>
      <c r="Q2304" s="52"/>
      <c r="R2304" s="51" t="b">
        <v>0</v>
      </c>
      <c r="S2304" s="51"/>
      <c r="T2304" s="52"/>
      <c r="U2304" s="51" t="b">
        <v>0</v>
      </c>
      <c r="V2304" s="51" t="b">
        <v>0</v>
      </c>
      <c r="W2304" s="51" t="b">
        <v>0</v>
      </c>
      <c r="X2304" s="51" t="b">
        <v>0</v>
      </c>
      <c r="Y2304" s="51" t="b">
        <v>0</v>
      </c>
      <c r="Z2304" s="51" t="b">
        <v>0</v>
      </c>
      <c r="AA2304" s="68"/>
      <c r="AB2304" s="52"/>
      <c r="AC2304" s="52"/>
      <c r="AD2304" s="52"/>
      <c r="AE2304" s="56" t="s">
        <v>607</v>
      </c>
      <c r="AF2304" s="56" t="s">
        <v>607</v>
      </c>
    </row>
    <row r="2305">
      <c r="A2305" s="52" t="s">
        <v>5599</v>
      </c>
      <c r="B2305" s="52" t="s">
        <v>607</v>
      </c>
      <c r="C2305" s="52" t="s">
        <v>607</v>
      </c>
      <c r="D2305" s="65" t="s">
        <v>607</v>
      </c>
      <c r="E2305" s="65" t="s">
        <v>607</v>
      </c>
      <c r="F2305" s="65" t="s">
        <v>607</v>
      </c>
      <c r="G2305" s="65" t="s">
        <v>607</v>
      </c>
      <c r="H2305" s="52" t="s">
        <v>607</v>
      </c>
      <c r="I2305" s="52" t="s">
        <v>607</v>
      </c>
      <c r="J2305" s="52" t="s">
        <v>607</v>
      </c>
      <c r="K2305" s="52" t="s">
        <v>607</v>
      </c>
      <c r="L2305" s="52" t="s">
        <v>607</v>
      </c>
      <c r="M2305" s="52" t="s">
        <v>607</v>
      </c>
      <c r="N2305" s="52" t="s">
        <v>607</v>
      </c>
      <c r="O2305" s="52"/>
      <c r="P2305" s="52"/>
      <c r="Q2305" s="52"/>
      <c r="R2305" s="51" t="b">
        <v>0</v>
      </c>
      <c r="S2305" s="51"/>
      <c r="T2305" s="52"/>
      <c r="U2305" s="51" t="b">
        <v>0</v>
      </c>
      <c r="V2305" s="51" t="b">
        <v>0</v>
      </c>
      <c r="W2305" s="51" t="b">
        <v>0</v>
      </c>
      <c r="X2305" s="51" t="b">
        <v>0</v>
      </c>
      <c r="Y2305" s="51" t="b">
        <v>0</v>
      </c>
      <c r="Z2305" s="51" t="b">
        <v>0</v>
      </c>
      <c r="AA2305" s="68"/>
      <c r="AB2305" s="52"/>
      <c r="AC2305" s="52"/>
      <c r="AD2305" s="52"/>
      <c r="AE2305" s="56" t="s">
        <v>607</v>
      </c>
      <c r="AF2305" s="56" t="s">
        <v>607</v>
      </c>
    </row>
    <row r="2306">
      <c r="A2306" s="52" t="s">
        <v>5600</v>
      </c>
      <c r="B2306" s="52" t="s">
        <v>607</v>
      </c>
      <c r="C2306" s="52" t="s">
        <v>607</v>
      </c>
      <c r="D2306" s="65" t="s">
        <v>607</v>
      </c>
      <c r="E2306" s="65" t="s">
        <v>607</v>
      </c>
      <c r="F2306" s="65" t="s">
        <v>607</v>
      </c>
      <c r="G2306" s="65" t="s">
        <v>607</v>
      </c>
      <c r="H2306" s="52" t="s">
        <v>607</v>
      </c>
      <c r="I2306" s="52" t="s">
        <v>607</v>
      </c>
      <c r="J2306" s="52" t="s">
        <v>607</v>
      </c>
      <c r="K2306" s="52" t="s">
        <v>607</v>
      </c>
      <c r="L2306" s="52" t="s">
        <v>607</v>
      </c>
      <c r="M2306" s="52" t="s">
        <v>607</v>
      </c>
      <c r="N2306" s="52" t="s">
        <v>607</v>
      </c>
      <c r="O2306" s="52"/>
      <c r="P2306" s="52"/>
      <c r="Q2306" s="52"/>
      <c r="R2306" s="51" t="b">
        <v>0</v>
      </c>
      <c r="S2306" s="51"/>
      <c r="T2306" s="52"/>
      <c r="U2306" s="51" t="b">
        <v>0</v>
      </c>
      <c r="V2306" s="51" t="b">
        <v>0</v>
      </c>
      <c r="W2306" s="51" t="b">
        <v>0</v>
      </c>
      <c r="X2306" s="51" t="b">
        <v>0</v>
      </c>
      <c r="Y2306" s="51" t="b">
        <v>0</v>
      </c>
      <c r="Z2306" s="51" t="b">
        <v>0</v>
      </c>
      <c r="AA2306" s="68"/>
      <c r="AB2306" s="52"/>
      <c r="AC2306" s="52"/>
      <c r="AD2306" s="52"/>
      <c r="AE2306" s="56" t="s">
        <v>607</v>
      </c>
      <c r="AF2306" s="56" t="s">
        <v>607</v>
      </c>
    </row>
    <row r="2307">
      <c r="A2307" s="52" t="s">
        <v>5601</v>
      </c>
      <c r="B2307" s="52" t="s">
        <v>607</v>
      </c>
      <c r="C2307" s="52" t="s">
        <v>607</v>
      </c>
      <c r="D2307" s="65" t="s">
        <v>607</v>
      </c>
      <c r="E2307" s="65" t="s">
        <v>607</v>
      </c>
      <c r="F2307" s="65" t="s">
        <v>607</v>
      </c>
      <c r="G2307" s="65" t="s">
        <v>607</v>
      </c>
      <c r="H2307" s="52" t="s">
        <v>607</v>
      </c>
      <c r="I2307" s="52" t="s">
        <v>607</v>
      </c>
      <c r="J2307" s="52" t="s">
        <v>607</v>
      </c>
      <c r="K2307" s="52" t="s">
        <v>607</v>
      </c>
      <c r="L2307" s="52" t="s">
        <v>607</v>
      </c>
      <c r="M2307" s="52" t="s">
        <v>607</v>
      </c>
      <c r="N2307" s="52" t="s">
        <v>607</v>
      </c>
      <c r="O2307" s="52"/>
      <c r="P2307" s="52"/>
      <c r="Q2307" s="52"/>
      <c r="R2307" s="51" t="b">
        <v>0</v>
      </c>
      <c r="S2307" s="51"/>
      <c r="T2307" s="52"/>
      <c r="U2307" s="51" t="b">
        <v>0</v>
      </c>
      <c r="V2307" s="51" t="b">
        <v>0</v>
      </c>
      <c r="W2307" s="51" t="b">
        <v>0</v>
      </c>
      <c r="X2307" s="51" t="b">
        <v>0</v>
      </c>
      <c r="Y2307" s="51" t="b">
        <v>0</v>
      </c>
      <c r="Z2307" s="51" t="b">
        <v>0</v>
      </c>
      <c r="AA2307" s="68"/>
      <c r="AB2307" s="52"/>
      <c r="AC2307" s="52"/>
      <c r="AD2307" s="52"/>
      <c r="AE2307" s="56" t="s">
        <v>607</v>
      </c>
      <c r="AF2307" s="56" t="s">
        <v>607</v>
      </c>
    </row>
    <row r="2308">
      <c r="A2308" s="52" t="s">
        <v>5602</v>
      </c>
      <c r="B2308" s="52" t="s">
        <v>607</v>
      </c>
      <c r="C2308" s="52" t="s">
        <v>607</v>
      </c>
      <c r="D2308" s="65" t="s">
        <v>607</v>
      </c>
      <c r="E2308" s="65" t="s">
        <v>607</v>
      </c>
      <c r="F2308" s="65" t="s">
        <v>607</v>
      </c>
      <c r="G2308" s="65" t="s">
        <v>607</v>
      </c>
      <c r="H2308" s="52" t="s">
        <v>607</v>
      </c>
      <c r="I2308" s="52" t="s">
        <v>607</v>
      </c>
      <c r="J2308" s="52" t="s">
        <v>607</v>
      </c>
      <c r="K2308" s="52" t="s">
        <v>607</v>
      </c>
      <c r="L2308" s="52" t="s">
        <v>607</v>
      </c>
      <c r="M2308" s="52" t="s">
        <v>607</v>
      </c>
      <c r="N2308" s="52" t="s">
        <v>607</v>
      </c>
      <c r="O2308" s="52"/>
      <c r="P2308" s="52"/>
      <c r="Q2308" s="52"/>
      <c r="R2308" s="51" t="b">
        <v>0</v>
      </c>
      <c r="S2308" s="51"/>
      <c r="T2308" s="52"/>
      <c r="U2308" s="51" t="b">
        <v>0</v>
      </c>
      <c r="V2308" s="51" t="b">
        <v>0</v>
      </c>
      <c r="W2308" s="51" t="b">
        <v>0</v>
      </c>
      <c r="X2308" s="51" t="b">
        <v>0</v>
      </c>
      <c r="Y2308" s="51" t="b">
        <v>0</v>
      </c>
      <c r="Z2308" s="51" t="b">
        <v>0</v>
      </c>
      <c r="AA2308" s="68"/>
      <c r="AB2308" s="52"/>
      <c r="AC2308" s="52"/>
      <c r="AD2308" s="52"/>
      <c r="AE2308" s="56" t="s">
        <v>607</v>
      </c>
      <c r="AF2308" s="56" t="s">
        <v>607</v>
      </c>
    </row>
    <row r="2309">
      <c r="A2309" s="52" t="s">
        <v>5603</v>
      </c>
      <c r="B2309" s="52" t="s">
        <v>607</v>
      </c>
      <c r="C2309" s="52" t="s">
        <v>607</v>
      </c>
      <c r="D2309" s="65" t="s">
        <v>607</v>
      </c>
      <c r="E2309" s="65" t="s">
        <v>607</v>
      </c>
      <c r="F2309" s="65" t="s">
        <v>607</v>
      </c>
      <c r="G2309" s="65" t="s">
        <v>607</v>
      </c>
      <c r="H2309" s="52" t="s">
        <v>607</v>
      </c>
      <c r="I2309" s="52" t="s">
        <v>607</v>
      </c>
      <c r="J2309" s="52" t="s">
        <v>607</v>
      </c>
      <c r="K2309" s="52" t="s">
        <v>607</v>
      </c>
      <c r="L2309" s="52" t="s">
        <v>607</v>
      </c>
      <c r="M2309" s="52" t="s">
        <v>607</v>
      </c>
      <c r="N2309" s="52" t="s">
        <v>607</v>
      </c>
      <c r="O2309" s="52"/>
      <c r="P2309" s="52"/>
      <c r="Q2309" s="52"/>
      <c r="R2309" s="51" t="b">
        <v>0</v>
      </c>
      <c r="S2309" s="51"/>
      <c r="T2309" s="52"/>
      <c r="U2309" s="51" t="b">
        <v>0</v>
      </c>
      <c r="V2309" s="51" t="b">
        <v>0</v>
      </c>
      <c r="W2309" s="51" t="b">
        <v>0</v>
      </c>
      <c r="X2309" s="51" t="b">
        <v>0</v>
      </c>
      <c r="Y2309" s="51" t="b">
        <v>0</v>
      </c>
      <c r="Z2309" s="51" t="b">
        <v>0</v>
      </c>
      <c r="AA2309" s="68"/>
      <c r="AB2309" s="52"/>
      <c r="AC2309" s="52"/>
      <c r="AD2309" s="52"/>
      <c r="AE2309" s="56" t="s">
        <v>607</v>
      </c>
      <c r="AF2309" s="56" t="s">
        <v>607</v>
      </c>
    </row>
    <row r="2310">
      <c r="A2310" s="52" t="s">
        <v>5604</v>
      </c>
      <c r="B2310" s="52" t="s">
        <v>607</v>
      </c>
      <c r="C2310" s="52" t="s">
        <v>607</v>
      </c>
      <c r="D2310" s="65" t="s">
        <v>607</v>
      </c>
      <c r="E2310" s="65" t="s">
        <v>607</v>
      </c>
      <c r="F2310" s="65" t="s">
        <v>607</v>
      </c>
      <c r="G2310" s="65" t="s">
        <v>607</v>
      </c>
      <c r="H2310" s="52" t="s">
        <v>607</v>
      </c>
      <c r="I2310" s="52" t="s">
        <v>607</v>
      </c>
      <c r="J2310" s="52" t="s">
        <v>607</v>
      </c>
      <c r="K2310" s="52" t="s">
        <v>607</v>
      </c>
      <c r="L2310" s="52" t="s">
        <v>607</v>
      </c>
      <c r="M2310" s="52" t="s">
        <v>607</v>
      </c>
      <c r="N2310" s="52" t="s">
        <v>607</v>
      </c>
      <c r="O2310" s="52"/>
      <c r="P2310" s="52"/>
      <c r="Q2310" s="52"/>
      <c r="R2310" s="51" t="b">
        <v>0</v>
      </c>
      <c r="S2310" s="51"/>
      <c r="T2310" s="52"/>
      <c r="U2310" s="51" t="b">
        <v>0</v>
      </c>
      <c r="V2310" s="51" t="b">
        <v>0</v>
      </c>
      <c r="W2310" s="51" t="b">
        <v>0</v>
      </c>
      <c r="X2310" s="51" t="b">
        <v>0</v>
      </c>
      <c r="Y2310" s="51" t="b">
        <v>0</v>
      </c>
      <c r="Z2310" s="51" t="b">
        <v>0</v>
      </c>
      <c r="AA2310" s="68"/>
      <c r="AB2310" s="52"/>
      <c r="AC2310" s="52"/>
      <c r="AD2310" s="52"/>
      <c r="AE2310" s="56" t="s">
        <v>607</v>
      </c>
      <c r="AF2310" s="56" t="s">
        <v>607</v>
      </c>
    </row>
    <row r="2311">
      <c r="A2311" s="52" t="s">
        <v>5605</v>
      </c>
      <c r="B2311" s="52" t="s">
        <v>607</v>
      </c>
      <c r="C2311" s="52" t="s">
        <v>607</v>
      </c>
      <c r="D2311" s="65" t="s">
        <v>607</v>
      </c>
      <c r="E2311" s="65" t="s">
        <v>607</v>
      </c>
      <c r="F2311" s="65" t="s">
        <v>607</v>
      </c>
      <c r="G2311" s="65" t="s">
        <v>607</v>
      </c>
      <c r="H2311" s="52" t="s">
        <v>607</v>
      </c>
      <c r="I2311" s="52" t="s">
        <v>607</v>
      </c>
      <c r="J2311" s="52" t="s">
        <v>607</v>
      </c>
      <c r="K2311" s="52" t="s">
        <v>607</v>
      </c>
      <c r="L2311" s="52" t="s">
        <v>607</v>
      </c>
      <c r="M2311" s="52" t="s">
        <v>607</v>
      </c>
      <c r="N2311" s="52" t="s">
        <v>607</v>
      </c>
      <c r="O2311" s="52"/>
      <c r="P2311" s="52"/>
      <c r="Q2311" s="52"/>
      <c r="R2311" s="51" t="b">
        <v>0</v>
      </c>
      <c r="S2311" s="51"/>
      <c r="T2311" s="52"/>
      <c r="U2311" s="51" t="b">
        <v>0</v>
      </c>
      <c r="V2311" s="51" t="b">
        <v>0</v>
      </c>
      <c r="W2311" s="51" t="b">
        <v>0</v>
      </c>
      <c r="X2311" s="51" t="b">
        <v>0</v>
      </c>
      <c r="Y2311" s="51" t="b">
        <v>0</v>
      </c>
      <c r="Z2311" s="51" t="b">
        <v>0</v>
      </c>
      <c r="AA2311" s="68"/>
      <c r="AB2311" s="52"/>
      <c r="AC2311" s="52"/>
      <c r="AD2311" s="52"/>
      <c r="AE2311" s="56" t="s">
        <v>607</v>
      </c>
      <c r="AF2311" s="56" t="s">
        <v>607</v>
      </c>
    </row>
    <row r="2312">
      <c r="A2312" s="52" t="s">
        <v>5606</v>
      </c>
      <c r="B2312" s="52" t="s">
        <v>607</v>
      </c>
      <c r="C2312" s="52" t="s">
        <v>607</v>
      </c>
      <c r="D2312" s="65" t="s">
        <v>607</v>
      </c>
      <c r="E2312" s="65" t="s">
        <v>607</v>
      </c>
      <c r="F2312" s="65" t="s">
        <v>607</v>
      </c>
      <c r="G2312" s="65" t="s">
        <v>607</v>
      </c>
      <c r="H2312" s="52" t="s">
        <v>607</v>
      </c>
      <c r="I2312" s="52" t="s">
        <v>607</v>
      </c>
      <c r="J2312" s="52" t="s">
        <v>607</v>
      </c>
      <c r="K2312" s="52" t="s">
        <v>607</v>
      </c>
      <c r="L2312" s="52" t="s">
        <v>607</v>
      </c>
      <c r="M2312" s="52" t="s">
        <v>607</v>
      </c>
      <c r="N2312" s="52" t="s">
        <v>607</v>
      </c>
      <c r="O2312" s="52"/>
      <c r="P2312" s="52"/>
      <c r="Q2312" s="52"/>
      <c r="R2312" s="51" t="b">
        <v>0</v>
      </c>
      <c r="S2312" s="51"/>
      <c r="T2312" s="52"/>
      <c r="U2312" s="51" t="b">
        <v>0</v>
      </c>
      <c r="V2312" s="51" t="b">
        <v>0</v>
      </c>
      <c r="W2312" s="51" t="b">
        <v>0</v>
      </c>
      <c r="X2312" s="51" t="b">
        <v>0</v>
      </c>
      <c r="Y2312" s="51" t="b">
        <v>0</v>
      </c>
      <c r="Z2312" s="51" t="b">
        <v>0</v>
      </c>
      <c r="AA2312" s="68"/>
      <c r="AB2312" s="52"/>
      <c r="AC2312" s="52"/>
      <c r="AD2312" s="52"/>
      <c r="AE2312" s="56" t="s">
        <v>607</v>
      </c>
      <c r="AF2312" s="56" t="s">
        <v>607</v>
      </c>
    </row>
    <row r="2313">
      <c r="A2313" s="52" t="s">
        <v>5607</v>
      </c>
      <c r="B2313" s="52" t="s">
        <v>607</v>
      </c>
      <c r="C2313" s="52" t="s">
        <v>607</v>
      </c>
      <c r="D2313" s="65" t="s">
        <v>607</v>
      </c>
      <c r="E2313" s="65" t="s">
        <v>607</v>
      </c>
      <c r="F2313" s="65" t="s">
        <v>607</v>
      </c>
      <c r="G2313" s="65" t="s">
        <v>607</v>
      </c>
      <c r="H2313" s="52" t="s">
        <v>607</v>
      </c>
      <c r="I2313" s="52" t="s">
        <v>607</v>
      </c>
      <c r="J2313" s="52" t="s">
        <v>607</v>
      </c>
      <c r="K2313" s="52" t="s">
        <v>607</v>
      </c>
      <c r="L2313" s="52" t="s">
        <v>607</v>
      </c>
      <c r="M2313" s="52" t="s">
        <v>607</v>
      </c>
      <c r="N2313" s="52" t="s">
        <v>607</v>
      </c>
      <c r="O2313" s="52"/>
      <c r="P2313" s="52"/>
      <c r="Q2313" s="52"/>
      <c r="R2313" s="51" t="b">
        <v>0</v>
      </c>
      <c r="S2313" s="51"/>
      <c r="T2313" s="52"/>
      <c r="U2313" s="51" t="b">
        <v>0</v>
      </c>
      <c r="V2313" s="51" t="b">
        <v>0</v>
      </c>
      <c r="W2313" s="51" t="b">
        <v>0</v>
      </c>
      <c r="X2313" s="51" t="b">
        <v>0</v>
      </c>
      <c r="Y2313" s="51" t="b">
        <v>0</v>
      </c>
      <c r="Z2313" s="51" t="b">
        <v>0</v>
      </c>
      <c r="AA2313" s="68"/>
      <c r="AB2313" s="52"/>
      <c r="AC2313" s="52"/>
      <c r="AD2313" s="52"/>
      <c r="AE2313" s="56" t="s">
        <v>607</v>
      </c>
      <c r="AF2313" s="56" t="s">
        <v>607</v>
      </c>
    </row>
    <row r="2314">
      <c r="A2314" s="52" t="s">
        <v>5608</v>
      </c>
      <c r="B2314" s="52" t="s">
        <v>607</v>
      </c>
      <c r="C2314" s="52" t="s">
        <v>607</v>
      </c>
      <c r="D2314" s="65" t="s">
        <v>607</v>
      </c>
      <c r="E2314" s="65" t="s">
        <v>607</v>
      </c>
      <c r="F2314" s="65" t="s">
        <v>607</v>
      </c>
      <c r="G2314" s="65" t="s">
        <v>607</v>
      </c>
      <c r="H2314" s="52" t="s">
        <v>607</v>
      </c>
      <c r="I2314" s="52" t="s">
        <v>607</v>
      </c>
      <c r="J2314" s="52" t="s">
        <v>607</v>
      </c>
      <c r="K2314" s="52" t="s">
        <v>607</v>
      </c>
      <c r="L2314" s="52" t="s">
        <v>607</v>
      </c>
      <c r="M2314" s="52" t="s">
        <v>607</v>
      </c>
      <c r="N2314" s="52" t="s">
        <v>607</v>
      </c>
      <c r="O2314" s="52"/>
      <c r="P2314" s="52"/>
      <c r="Q2314" s="52"/>
      <c r="R2314" s="51" t="b">
        <v>0</v>
      </c>
      <c r="S2314" s="51"/>
      <c r="T2314" s="52"/>
      <c r="U2314" s="51" t="b">
        <v>0</v>
      </c>
      <c r="V2314" s="51" t="b">
        <v>0</v>
      </c>
      <c r="W2314" s="51" t="b">
        <v>0</v>
      </c>
      <c r="X2314" s="51" t="b">
        <v>0</v>
      </c>
      <c r="Y2314" s="51" t="b">
        <v>0</v>
      </c>
      <c r="Z2314" s="51" t="b">
        <v>0</v>
      </c>
      <c r="AA2314" s="68"/>
      <c r="AB2314" s="52"/>
      <c r="AC2314" s="52"/>
      <c r="AD2314" s="52"/>
      <c r="AE2314" s="56" t="s">
        <v>607</v>
      </c>
      <c r="AF2314" s="56" t="s">
        <v>607</v>
      </c>
    </row>
    <row r="2315">
      <c r="A2315" s="52" t="s">
        <v>5609</v>
      </c>
      <c r="B2315" s="52" t="s">
        <v>607</v>
      </c>
      <c r="C2315" s="52" t="s">
        <v>607</v>
      </c>
      <c r="D2315" s="65" t="s">
        <v>607</v>
      </c>
      <c r="E2315" s="65" t="s">
        <v>607</v>
      </c>
      <c r="F2315" s="65" t="s">
        <v>607</v>
      </c>
      <c r="G2315" s="65" t="s">
        <v>607</v>
      </c>
      <c r="H2315" s="52" t="s">
        <v>607</v>
      </c>
      <c r="I2315" s="52" t="s">
        <v>607</v>
      </c>
      <c r="J2315" s="52" t="s">
        <v>607</v>
      </c>
      <c r="K2315" s="52" t="s">
        <v>607</v>
      </c>
      <c r="L2315" s="52" t="s">
        <v>607</v>
      </c>
      <c r="M2315" s="52" t="s">
        <v>607</v>
      </c>
      <c r="N2315" s="52" t="s">
        <v>607</v>
      </c>
      <c r="O2315" s="52"/>
      <c r="P2315" s="52"/>
      <c r="Q2315" s="52"/>
      <c r="R2315" s="51" t="b">
        <v>0</v>
      </c>
      <c r="S2315" s="51"/>
      <c r="T2315" s="52"/>
      <c r="U2315" s="51" t="b">
        <v>0</v>
      </c>
      <c r="V2315" s="51" t="b">
        <v>0</v>
      </c>
      <c r="W2315" s="51" t="b">
        <v>0</v>
      </c>
      <c r="X2315" s="51" t="b">
        <v>0</v>
      </c>
      <c r="Y2315" s="51" t="b">
        <v>0</v>
      </c>
      <c r="Z2315" s="51" t="b">
        <v>0</v>
      </c>
      <c r="AA2315" s="68"/>
      <c r="AB2315" s="52"/>
      <c r="AC2315" s="52"/>
      <c r="AD2315" s="52"/>
      <c r="AE2315" s="56" t="s">
        <v>607</v>
      </c>
      <c r="AF2315" s="56" t="s">
        <v>607</v>
      </c>
    </row>
    <row r="2316">
      <c r="A2316" s="52" t="s">
        <v>5610</v>
      </c>
      <c r="B2316" s="52" t="s">
        <v>607</v>
      </c>
      <c r="C2316" s="52" t="s">
        <v>607</v>
      </c>
      <c r="D2316" s="65" t="s">
        <v>607</v>
      </c>
      <c r="E2316" s="65" t="s">
        <v>607</v>
      </c>
      <c r="F2316" s="65" t="s">
        <v>607</v>
      </c>
      <c r="G2316" s="65" t="s">
        <v>607</v>
      </c>
      <c r="H2316" s="52" t="s">
        <v>607</v>
      </c>
      <c r="I2316" s="52" t="s">
        <v>607</v>
      </c>
      <c r="J2316" s="52" t="s">
        <v>607</v>
      </c>
      <c r="K2316" s="52" t="s">
        <v>607</v>
      </c>
      <c r="L2316" s="52" t="s">
        <v>607</v>
      </c>
      <c r="M2316" s="52" t="s">
        <v>607</v>
      </c>
      <c r="N2316" s="52" t="s">
        <v>607</v>
      </c>
      <c r="O2316" s="52"/>
      <c r="P2316" s="52"/>
      <c r="Q2316" s="52"/>
      <c r="R2316" s="51" t="b">
        <v>0</v>
      </c>
      <c r="S2316" s="51"/>
      <c r="T2316" s="52"/>
      <c r="U2316" s="51" t="b">
        <v>0</v>
      </c>
      <c r="V2316" s="51" t="b">
        <v>0</v>
      </c>
      <c r="W2316" s="51" t="b">
        <v>0</v>
      </c>
      <c r="X2316" s="51" t="b">
        <v>0</v>
      </c>
      <c r="Y2316" s="51" t="b">
        <v>0</v>
      </c>
      <c r="Z2316" s="51" t="b">
        <v>0</v>
      </c>
      <c r="AA2316" s="68"/>
      <c r="AB2316" s="52"/>
      <c r="AC2316" s="52"/>
      <c r="AD2316" s="52"/>
      <c r="AE2316" s="56" t="s">
        <v>607</v>
      </c>
      <c r="AF2316" s="56" t="s">
        <v>607</v>
      </c>
    </row>
    <row r="2317">
      <c r="A2317" s="52" t="s">
        <v>5611</v>
      </c>
      <c r="B2317" s="52" t="s">
        <v>607</v>
      </c>
      <c r="C2317" s="52" t="s">
        <v>607</v>
      </c>
      <c r="D2317" s="65" t="s">
        <v>607</v>
      </c>
      <c r="E2317" s="65" t="s">
        <v>607</v>
      </c>
      <c r="F2317" s="65" t="s">
        <v>607</v>
      </c>
      <c r="G2317" s="65" t="s">
        <v>607</v>
      </c>
      <c r="H2317" s="52" t="s">
        <v>607</v>
      </c>
      <c r="I2317" s="52" t="s">
        <v>607</v>
      </c>
      <c r="J2317" s="52" t="s">
        <v>607</v>
      </c>
      <c r="K2317" s="52" t="s">
        <v>607</v>
      </c>
      <c r="L2317" s="52" t="s">
        <v>607</v>
      </c>
      <c r="M2317" s="52" t="s">
        <v>607</v>
      </c>
      <c r="N2317" s="52" t="s">
        <v>607</v>
      </c>
      <c r="O2317" s="52"/>
      <c r="P2317" s="52"/>
      <c r="Q2317" s="52"/>
      <c r="R2317" s="51" t="b">
        <v>0</v>
      </c>
      <c r="S2317" s="51"/>
      <c r="T2317" s="52"/>
      <c r="U2317" s="51" t="b">
        <v>0</v>
      </c>
      <c r="V2317" s="51" t="b">
        <v>0</v>
      </c>
      <c r="W2317" s="51" t="b">
        <v>0</v>
      </c>
      <c r="X2317" s="51" t="b">
        <v>0</v>
      </c>
      <c r="Y2317" s="51" t="b">
        <v>0</v>
      </c>
      <c r="Z2317" s="51" t="b">
        <v>0</v>
      </c>
      <c r="AA2317" s="68"/>
      <c r="AB2317" s="52"/>
      <c r="AC2317" s="52"/>
      <c r="AD2317" s="52"/>
      <c r="AE2317" s="56" t="s">
        <v>607</v>
      </c>
      <c r="AF2317" s="56" t="s">
        <v>607</v>
      </c>
    </row>
    <row r="2318">
      <c r="A2318" s="52" t="s">
        <v>5612</v>
      </c>
      <c r="B2318" s="52" t="s">
        <v>607</v>
      </c>
      <c r="C2318" s="52" t="s">
        <v>607</v>
      </c>
      <c r="D2318" s="65" t="s">
        <v>607</v>
      </c>
      <c r="E2318" s="65" t="s">
        <v>607</v>
      </c>
      <c r="F2318" s="65" t="s">
        <v>607</v>
      </c>
      <c r="G2318" s="65" t="s">
        <v>607</v>
      </c>
      <c r="H2318" s="52" t="s">
        <v>607</v>
      </c>
      <c r="I2318" s="52" t="s">
        <v>607</v>
      </c>
      <c r="J2318" s="52" t="s">
        <v>607</v>
      </c>
      <c r="K2318" s="52" t="s">
        <v>607</v>
      </c>
      <c r="L2318" s="52" t="s">
        <v>607</v>
      </c>
      <c r="M2318" s="52" t="s">
        <v>607</v>
      </c>
      <c r="N2318" s="52" t="s">
        <v>607</v>
      </c>
      <c r="O2318" s="52"/>
      <c r="P2318" s="52"/>
      <c r="Q2318" s="52"/>
      <c r="R2318" s="51" t="b">
        <v>0</v>
      </c>
      <c r="S2318" s="51"/>
      <c r="T2318" s="52"/>
      <c r="U2318" s="51" t="b">
        <v>0</v>
      </c>
      <c r="V2318" s="51" t="b">
        <v>0</v>
      </c>
      <c r="W2318" s="51" t="b">
        <v>0</v>
      </c>
      <c r="X2318" s="51" t="b">
        <v>0</v>
      </c>
      <c r="Y2318" s="51" t="b">
        <v>0</v>
      </c>
      <c r="Z2318" s="51" t="b">
        <v>0</v>
      </c>
      <c r="AA2318" s="68"/>
      <c r="AB2318" s="52"/>
      <c r="AC2318" s="52"/>
      <c r="AD2318" s="52"/>
      <c r="AE2318" s="56" t="s">
        <v>607</v>
      </c>
      <c r="AF2318" s="56" t="s">
        <v>607</v>
      </c>
    </row>
    <row r="2319">
      <c r="A2319" s="52" t="s">
        <v>5613</v>
      </c>
      <c r="B2319" s="52" t="s">
        <v>607</v>
      </c>
      <c r="C2319" s="52" t="s">
        <v>607</v>
      </c>
      <c r="D2319" s="65" t="s">
        <v>607</v>
      </c>
      <c r="E2319" s="65" t="s">
        <v>607</v>
      </c>
      <c r="F2319" s="65" t="s">
        <v>607</v>
      </c>
      <c r="G2319" s="65" t="s">
        <v>607</v>
      </c>
      <c r="H2319" s="52" t="s">
        <v>607</v>
      </c>
      <c r="I2319" s="52" t="s">
        <v>607</v>
      </c>
      <c r="J2319" s="52" t="s">
        <v>607</v>
      </c>
      <c r="K2319" s="52" t="s">
        <v>607</v>
      </c>
      <c r="L2319" s="52" t="s">
        <v>607</v>
      </c>
      <c r="M2319" s="52" t="s">
        <v>607</v>
      </c>
      <c r="N2319" s="52" t="s">
        <v>607</v>
      </c>
      <c r="O2319" s="52"/>
      <c r="P2319" s="52"/>
      <c r="Q2319" s="52"/>
      <c r="R2319" s="51" t="b">
        <v>0</v>
      </c>
      <c r="S2319" s="51"/>
      <c r="T2319" s="52"/>
      <c r="U2319" s="51" t="b">
        <v>0</v>
      </c>
      <c r="V2319" s="51" t="b">
        <v>0</v>
      </c>
      <c r="W2319" s="51" t="b">
        <v>0</v>
      </c>
      <c r="X2319" s="51" t="b">
        <v>0</v>
      </c>
      <c r="Y2319" s="51" t="b">
        <v>0</v>
      </c>
      <c r="Z2319" s="51" t="b">
        <v>0</v>
      </c>
      <c r="AA2319" s="68"/>
      <c r="AB2319" s="52"/>
      <c r="AC2319" s="52"/>
      <c r="AD2319" s="52"/>
      <c r="AE2319" s="56" t="s">
        <v>607</v>
      </c>
      <c r="AF2319" s="56" t="s">
        <v>607</v>
      </c>
    </row>
    <row r="2320">
      <c r="A2320" s="52" t="s">
        <v>5614</v>
      </c>
      <c r="B2320" s="52" t="s">
        <v>607</v>
      </c>
      <c r="C2320" s="52" t="s">
        <v>607</v>
      </c>
      <c r="D2320" s="65" t="s">
        <v>607</v>
      </c>
      <c r="E2320" s="65" t="s">
        <v>607</v>
      </c>
      <c r="F2320" s="65" t="s">
        <v>607</v>
      </c>
      <c r="G2320" s="65" t="s">
        <v>607</v>
      </c>
      <c r="H2320" s="52" t="s">
        <v>607</v>
      </c>
      <c r="I2320" s="52" t="s">
        <v>607</v>
      </c>
      <c r="J2320" s="52" t="s">
        <v>607</v>
      </c>
      <c r="K2320" s="52" t="s">
        <v>607</v>
      </c>
      <c r="L2320" s="52" t="s">
        <v>607</v>
      </c>
      <c r="M2320" s="52" t="s">
        <v>607</v>
      </c>
      <c r="N2320" s="52" t="s">
        <v>607</v>
      </c>
      <c r="O2320" s="52"/>
      <c r="P2320" s="52"/>
      <c r="Q2320" s="52"/>
      <c r="R2320" s="51" t="b">
        <v>0</v>
      </c>
      <c r="S2320" s="51"/>
      <c r="T2320" s="52"/>
      <c r="U2320" s="51" t="b">
        <v>0</v>
      </c>
      <c r="V2320" s="51" t="b">
        <v>0</v>
      </c>
      <c r="W2320" s="51" t="b">
        <v>0</v>
      </c>
      <c r="X2320" s="51" t="b">
        <v>0</v>
      </c>
      <c r="Y2320" s="51" t="b">
        <v>0</v>
      </c>
      <c r="Z2320" s="51" t="b">
        <v>0</v>
      </c>
      <c r="AA2320" s="68"/>
      <c r="AB2320" s="52"/>
      <c r="AC2320" s="52"/>
      <c r="AD2320" s="52"/>
      <c r="AE2320" s="56" t="s">
        <v>607</v>
      </c>
      <c r="AF2320" s="56" t="s">
        <v>607</v>
      </c>
    </row>
    <row r="2321">
      <c r="A2321" s="52" t="s">
        <v>5615</v>
      </c>
      <c r="B2321" s="52" t="s">
        <v>607</v>
      </c>
      <c r="C2321" s="52" t="s">
        <v>607</v>
      </c>
      <c r="D2321" s="65" t="s">
        <v>607</v>
      </c>
      <c r="E2321" s="65" t="s">
        <v>607</v>
      </c>
      <c r="F2321" s="65" t="s">
        <v>607</v>
      </c>
      <c r="G2321" s="65" t="s">
        <v>607</v>
      </c>
      <c r="H2321" s="52" t="s">
        <v>607</v>
      </c>
      <c r="I2321" s="52" t="s">
        <v>607</v>
      </c>
      <c r="J2321" s="52" t="s">
        <v>607</v>
      </c>
      <c r="K2321" s="52" t="s">
        <v>607</v>
      </c>
      <c r="L2321" s="52" t="s">
        <v>607</v>
      </c>
      <c r="M2321" s="52" t="s">
        <v>607</v>
      </c>
      <c r="N2321" s="52" t="s">
        <v>607</v>
      </c>
      <c r="O2321" s="52"/>
      <c r="P2321" s="52"/>
      <c r="Q2321" s="52"/>
      <c r="R2321" s="51" t="b">
        <v>0</v>
      </c>
      <c r="S2321" s="51"/>
      <c r="T2321" s="52"/>
      <c r="U2321" s="51" t="b">
        <v>0</v>
      </c>
      <c r="V2321" s="51" t="b">
        <v>0</v>
      </c>
      <c r="W2321" s="51" t="b">
        <v>0</v>
      </c>
      <c r="X2321" s="51" t="b">
        <v>0</v>
      </c>
      <c r="Y2321" s="51" t="b">
        <v>0</v>
      </c>
      <c r="Z2321" s="51" t="b">
        <v>0</v>
      </c>
      <c r="AA2321" s="68"/>
      <c r="AB2321" s="52"/>
      <c r="AC2321" s="52"/>
      <c r="AD2321" s="52"/>
      <c r="AE2321" s="56" t="s">
        <v>607</v>
      </c>
      <c r="AF2321" s="56" t="s">
        <v>607</v>
      </c>
    </row>
    <row r="2322">
      <c r="A2322" s="52" t="s">
        <v>5616</v>
      </c>
      <c r="B2322" s="52" t="s">
        <v>607</v>
      </c>
      <c r="C2322" s="52" t="s">
        <v>607</v>
      </c>
      <c r="D2322" s="65" t="s">
        <v>607</v>
      </c>
      <c r="E2322" s="65" t="s">
        <v>607</v>
      </c>
      <c r="F2322" s="65" t="s">
        <v>607</v>
      </c>
      <c r="G2322" s="65" t="s">
        <v>607</v>
      </c>
      <c r="H2322" s="52" t="s">
        <v>607</v>
      </c>
      <c r="I2322" s="52" t="s">
        <v>607</v>
      </c>
      <c r="J2322" s="52" t="s">
        <v>607</v>
      </c>
      <c r="K2322" s="52" t="s">
        <v>607</v>
      </c>
      <c r="L2322" s="52" t="s">
        <v>607</v>
      </c>
      <c r="M2322" s="52" t="s">
        <v>607</v>
      </c>
      <c r="N2322" s="52" t="s">
        <v>607</v>
      </c>
      <c r="O2322" s="52"/>
      <c r="P2322" s="52"/>
      <c r="Q2322" s="52"/>
      <c r="R2322" s="51" t="b">
        <v>0</v>
      </c>
      <c r="S2322" s="51"/>
      <c r="T2322" s="52"/>
      <c r="U2322" s="51" t="b">
        <v>0</v>
      </c>
      <c r="V2322" s="51" t="b">
        <v>0</v>
      </c>
      <c r="W2322" s="51" t="b">
        <v>0</v>
      </c>
      <c r="X2322" s="51" t="b">
        <v>0</v>
      </c>
      <c r="Y2322" s="51" t="b">
        <v>0</v>
      </c>
      <c r="Z2322" s="51" t="b">
        <v>0</v>
      </c>
      <c r="AA2322" s="68"/>
      <c r="AB2322" s="52"/>
      <c r="AC2322" s="52"/>
      <c r="AD2322" s="52"/>
      <c r="AE2322" s="56" t="s">
        <v>607</v>
      </c>
      <c r="AF2322" s="56" t="s">
        <v>607</v>
      </c>
    </row>
    <row r="2323">
      <c r="A2323" s="52" t="s">
        <v>5617</v>
      </c>
      <c r="B2323" s="52" t="s">
        <v>607</v>
      </c>
      <c r="C2323" s="52" t="s">
        <v>607</v>
      </c>
      <c r="D2323" s="65" t="s">
        <v>607</v>
      </c>
      <c r="E2323" s="65" t="s">
        <v>607</v>
      </c>
      <c r="F2323" s="65" t="s">
        <v>607</v>
      </c>
      <c r="G2323" s="65" t="s">
        <v>607</v>
      </c>
      <c r="H2323" s="52" t="s">
        <v>607</v>
      </c>
      <c r="I2323" s="52" t="s">
        <v>607</v>
      </c>
      <c r="J2323" s="52" t="s">
        <v>607</v>
      </c>
      <c r="K2323" s="52" t="s">
        <v>607</v>
      </c>
      <c r="L2323" s="52" t="s">
        <v>607</v>
      </c>
      <c r="M2323" s="52" t="s">
        <v>607</v>
      </c>
      <c r="N2323" s="52" t="s">
        <v>607</v>
      </c>
      <c r="O2323" s="52"/>
      <c r="P2323" s="52"/>
      <c r="Q2323" s="52"/>
      <c r="R2323" s="51" t="b">
        <v>0</v>
      </c>
      <c r="S2323" s="51"/>
      <c r="T2323" s="52"/>
      <c r="U2323" s="51" t="b">
        <v>0</v>
      </c>
      <c r="V2323" s="51" t="b">
        <v>0</v>
      </c>
      <c r="W2323" s="51" t="b">
        <v>0</v>
      </c>
      <c r="X2323" s="51" t="b">
        <v>0</v>
      </c>
      <c r="Y2323" s="51" t="b">
        <v>0</v>
      </c>
      <c r="Z2323" s="51" t="b">
        <v>0</v>
      </c>
      <c r="AA2323" s="68"/>
      <c r="AB2323" s="52"/>
      <c r="AC2323" s="52"/>
      <c r="AD2323" s="52"/>
      <c r="AE2323" s="56" t="s">
        <v>607</v>
      </c>
      <c r="AF2323" s="56" t="s">
        <v>607</v>
      </c>
    </row>
    <row r="2324">
      <c r="A2324" s="52" t="s">
        <v>5618</v>
      </c>
      <c r="B2324" s="52" t="s">
        <v>607</v>
      </c>
      <c r="C2324" s="52" t="s">
        <v>607</v>
      </c>
      <c r="D2324" s="65" t="s">
        <v>607</v>
      </c>
      <c r="E2324" s="65" t="s">
        <v>607</v>
      </c>
      <c r="F2324" s="65" t="s">
        <v>607</v>
      </c>
      <c r="G2324" s="65" t="s">
        <v>607</v>
      </c>
      <c r="H2324" s="52" t="s">
        <v>607</v>
      </c>
      <c r="I2324" s="52" t="s">
        <v>607</v>
      </c>
      <c r="J2324" s="52" t="s">
        <v>607</v>
      </c>
      <c r="K2324" s="52" t="s">
        <v>607</v>
      </c>
      <c r="L2324" s="52" t="s">
        <v>607</v>
      </c>
      <c r="M2324" s="52" t="s">
        <v>607</v>
      </c>
      <c r="N2324" s="52" t="s">
        <v>607</v>
      </c>
      <c r="O2324" s="52"/>
      <c r="P2324" s="52"/>
      <c r="Q2324" s="52"/>
      <c r="R2324" s="51" t="b">
        <v>0</v>
      </c>
      <c r="S2324" s="51"/>
      <c r="T2324" s="52"/>
      <c r="U2324" s="51" t="b">
        <v>0</v>
      </c>
      <c r="V2324" s="51" t="b">
        <v>0</v>
      </c>
      <c r="W2324" s="51" t="b">
        <v>0</v>
      </c>
      <c r="X2324" s="51" t="b">
        <v>0</v>
      </c>
      <c r="Y2324" s="51" t="b">
        <v>0</v>
      </c>
      <c r="Z2324" s="51" t="b">
        <v>0</v>
      </c>
      <c r="AA2324" s="68"/>
      <c r="AB2324" s="52"/>
      <c r="AC2324" s="52"/>
      <c r="AD2324" s="52"/>
      <c r="AE2324" s="56" t="s">
        <v>607</v>
      </c>
      <c r="AF2324" s="56" t="s">
        <v>607</v>
      </c>
    </row>
    <row r="2325">
      <c r="A2325" s="52" t="s">
        <v>5619</v>
      </c>
      <c r="B2325" s="52" t="s">
        <v>607</v>
      </c>
      <c r="C2325" s="52" t="s">
        <v>607</v>
      </c>
      <c r="D2325" s="65" t="s">
        <v>607</v>
      </c>
      <c r="E2325" s="65" t="s">
        <v>607</v>
      </c>
      <c r="F2325" s="65" t="s">
        <v>607</v>
      </c>
      <c r="G2325" s="65" t="s">
        <v>607</v>
      </c>
      <c r="H2325" s="52" t="s">
        <v>607</v>
      </c>
      <c r="I2325" s="52" t="s">
        <v>607</v>
      </c>
      <c r="J2325" s="52" t="s">
        <v>607</v>
      </c>
      <c r="K2325" s="52" t="s">
        <v>607</v>
      </c>
      <c r="L2325" s="52" t="s">
        <v>607</v>
      </c>
      <c r="M2325" s="52" t="s">
        <v>607</v>
      </c>
      <c r="N2325" s="52" t="s">
        <v>607</v>
      </c>
      <c r="O2325" s="52"/>
      <c r="P2325" s="52"/>
      <c r="Q2325" s="52"/>
      <c r="R2325" s="51" t="b">
        <v>0</v>
      </c>
      <c r="S2325" s="51"/>
      <c r="T2325" s="52"/>
      <c r="U2325" s="51" t="b">
        <v>0</v>
      </c>
      <c r="V2325" s="51" t="b">
        <v>0</v>
      </c>
      <c r="W2325" s="51" t="b">
        <v>0</v>
      </c>
      <c r="X2325" s="51" t="b">
        <v>0</v>
      </c>
      <c r="Y2325" s="51" t="b">
        <v>0</v>
      </c>
      <c r="Z2325" s="51" t="b">
        <v>0</v>
      </c>
      <c r="AA2325" s="68"/>
      <c r="AB2325" s="52"/>
      <c r="AC2325" s="52"/>
      <c r="AD2325" s="52"/>
      <c r="AE2325" s="56" t="s">
        <v>607</v>
      </c>
      <c r="AF2325" s="56" t="s">
        <v>607</v>
      </c>
    </row>
    <row r="2326">
      <c r="A2326" s="52" t="s">
        <v>5620</v>
      </c>
      <c r="B2326" s="52" t="s">
        <v>607</v>
      </c>
      <c r="C2326" s="52" t="s">
        <v>607</v>
      </c>
      <c r="D2326" s="65" t="s">
        <v>607</v>
      </c>
      <c r="E2326" s="65" t="s">
        <v>607</v>
      </c>
      <c r="F2326" s="65" t="s">
        <v>607</v>
      </c>
      <c r="G2326" s="65" t="s">
        <v>607</v>
      </c>
      <c r="H2326" s="52" t="s">
        <v>607</v>
      </c>
      <c r="I2326" s="52" t="s">
        <v>607</v>
      </c>
      <c r="J2326" s="52" t="s">
        <v>607</v>
      </c>
      <c r="K2326" s="52" t="s">
        <v>607</v>
      </c>
      <c r="L2326" s="52" t="s">
        <v>607</v>
      </c>
      <c r="M2326" s="52" t="s">
        <v>607</v>
      </c>
      <c r="N2326" s="52" t="s">
        <v>607</v>
      </c>
      <c r="O2326" s="52"/>
      <c r="P2326" s="52"/>
      <c r="Q2326" s="52"/>
      <c r="R2326" s="51" t="b">
        <v>0</v>
      </c>
      <c r="S2326" s="51"/>
      <c r="T2326" s="52"/>
      <c r="U2326" s="51" t="b">
        <v>0</v>
      </c>
      <c r="V2326" s="51" t="b">
        <v>0</v>
      </c>
      <c r="W2326" s="51" t="b">
        <v>0</v>
      </c>
      <c r="X2326" s="51" t="b">
        <v>0</v>
      </c>
      <c r="Y2326" s="51" t="b">
        <v>0</v>
      </c>
      <c r="Z2326" s="51" t="b">
        <v>0</v>
      </c>
      <c r="AA2326" s="68"/>
      <c r="AB2326" s="52"/>
      <c r="AC2326" s="52"/>
      <c r="AD2326" s="52"/>
      <c r="AE2326" s="56" t="s">
        <v>607</v>
      </c>
      <c r="AF2326" s="56" t="s">
        <v>607</v>
      </c>
    </row>
    <row r="2327">
      <c r="A2327" s="52" t="s">
        <v>5621</v>
      </c>
      <c r="B2327" s="52" t="s">
        <v>607</v>
      </c>
      <c r="C2327" s="52" t="s">
        <v>607</v>
      </c>
      <c r="D2327" s="65" t="s">
        <v>607</v>
      </c>
      <c r="E2327" s="65" t="s">
        <v>607</v>
      </c>
      <c r="F2327" s="65" t="s">
        <v>607</v>
      </c>
      <c r="G2327" s="65" t="s">
        <v>607</v>
      </c>
      <c r="H2327" s="52" t="s">
        <v>607</v>
      </c>
      <c r="I2327" s="52" t="s">
        <v>607</v>
      </c>
      <c r="J2327" s="52" t="s">
        <v>607</v>
      </c>
      <c r="K2327" s="52" t="s">
        <v>607</v>
      </c>
      <c r="L2327" s="52" t="s">
        <v>607</v>
      </c>
      <c r="M2327" s="52" t="s">
        <v>607</v>
      </c>
      <c r="N2327" s="52" t="s">
        <v>607</v>
      </c>
      <c r="O2327" s="52"/>
      <c r="P2327" s="52"/>
      <c r="Q2327" s="52"/>
      <c r="R2327" s="51" t="b">
        <v>0</v>
      </c>
      <c r="S2327" s="51"/>
      <c r="T2327" s="52"/>
      <c r="U2327" s="51" t="b">
        <v>0</v>
      </c>
      <c r="V2327" s="51" t="b">
        <v>0</v>
      </c>
      <c r="W2327" s="51" t="b">
        <v>0</v>
      </c>
      <c r="X2327" s="51" t="b">
        <v>0</v>
      </c>
      <c r="Y2327" s="51" t="b">
        <v>0</v>
      </c>
      <c r="Z2327" s="51" t="b">
        <v>0</v>
      </c>
      <c r="AA2327" s="68"/>
      <c r="AB2327" s="52"/>
      <c r="AC2327" s="52"/>
      <c r="AD2327" s="52"/>
      <c r="AE2327" s="56" t="s">
        <v>607</v>
      </c>
      <c r="AF2327" s="56" t="s">
        <v>607</v>
      </c>
    </row>
    <row r="2328">
      <c r="A2328" s="52" t="s">
        <v>5622</v>
      </c>
      <c r="B2328" s="52" t="s">
        <v>607</v>
      </c>
      <c r="C2328" s="52" t="s">
        <v>607</v>
      </c>
      <c r="D2328" s="65" t="s">
        <v>607</v>
      </c>
      <c r="E2328" s="65" t="s">
        <v>607</v>
      </c>
      <c r="F2328" s="65" t="s">
        <v>607</v>
      </c>
      <c r="G2328" s="65" t="s">
        <v>607</v>
      </c>
      <c r="H2328" s="52" t="s">
        <v>607</v>
      </c>
      <c r="I2328" s="52" t="s">
        <v>607</v>
      </c>
      <c r="J2328" s="52" t="s">
        <v>607</v>
      </c>
      <c r="K2328" s="52" t="s">
        <v>607</v>
      </c>
      <c r="L2328" s="52" t="s">
        <v>607</v>
      </c>
      <c r="M2328" s="52" t="s">
        <v>607</v>
      </c>
      <c r="N2328" s="52" t="s">
        <v>607</v>
      </c>
      <c r="O2328" s="52"/>
      <c r="P2328" s="52"/>
      <c r="Q2328" s="52"/>
      <c r="R2328" s="51" t="b">
        <v>0</v>
      </c>
      <c r="S2328" s="51"/>
      <c r="T2328" s="52"/>
      <c r="U2328" s="51" t="b">
        <v>0</v>
      </c>
      <c r="V2328" s="51" t="b">
        <v>0</v>
      </c>
      <c r="W2328" s="51" t="b">
        <v>0</v>
      </c>
      <c r="X2328" s="51" t="b">
        <v>0</v>
      </c>
      <c r="Y2328" s="51" t="b">
        <v>0</v>
      </c>
      <c r="Z2328" s="51" t="b">
        <v>0</v>
      </c>
      <c r="AA2328" s="68"/>
      <c r="AB2328" s="52"/>
      <c r="AC2328" s="52"/>
      <c r="AD2328" s="52"/>
      <c r="AE2328" s="56" t="s">
        <v>607</v>
      </c>
      <c r="AF2328" s="56" t="s">
        <v>607</v>
      </c>
    </row>
    <row r="2329">
      <c r="A2329" s="52" t="s">
        <v>5623</v>
      </c>
      <c r="B2329" s="52" t="s">
        <v>607</v>
      </c>
      <c r="C2329" s="52" t="s">
        <v>607</v>
      </c>
      <c r="D2329" s="65" t="s">
        <v>607</v>
      </c>
      <c r="E2329" s="65" t="s">
        <v>607</v>
      </c>
      <c r="F2329" s="65" t="s">
        <v>607</v>
      </c>
      <c r="G2329" s="65" t="s">
        <v>607</v>
      </c>
      <c r="H2329" s="52" t="s">
        <v>607</v>
      </c>
      <c r="I2329" s="52" t="s">
        <v>607</v>
      </c>
      <c r="J2329" s="52" t="s">
        <v>607</v>
      </c>
      <c r="K2329" s="52" t="s">
        <v>607</v>
      </c>
      <c r="L2329" s="52" t="s">
        <v>607</v>
      </c>
      <c r="M2329" s="52" t="s">
        <v>607</v>
      </c>
      <c r="N2329" s="52" t="s">
        <v>607</v>
      </c>
      <c r="O2329" s="52"/>
      <c r="P2329" s="52"/>
      <c r="Q2329" s="52"/>
      <c r="R2329" s="51" t="b">
        <v>0</v>
      </c>
      <c r="S2329" s="51"/>
      <c r="T2329" s="52"/>
      <c r="U2329" s="51" t="b">
        <v>0</v>
      </c>
      <c r="V2329" s="51" t="b">
        <v>0</v>
      </c>
      <c r="W2329" s="51" t="b">
        <v>0</v>
      </c>
      <c r="X2329" s="51" t="b">
        <v>0</v>
      </c>
      <c r="Y2329" s="51" t="b">
        <v>0</v>
      </c>
      <c r="Z2329" s="51" t="b">
        <v>0</v>
      </c>
      <c r="AA2329" s="68"/>
      <c r="AB2329" s="52"/>
      <c r="AC2329" s="52"/>
      <c r="AD2329" s="52"/>
      <c r="AE2329" s="56" t="s">
        <v>607</v>
      </c>
      <c r="AF2329" s="56" t="s">
        <v>607</v>
      </c>
    </row>
    <row r="2330">
      <c r="A2330" s="52" t="s">
        <v>5624</v>
      </c>
      <c r="B2330" s="52" t="s">
        <v>607</v>
      </c>
      <c r="C2330" s="52" t="s">
        <v>607</v>
      </c>
      <c r="D2330" s="65" t="s">
        <v>607</v>
      </c>
      <c r="E2330" s="65" t="s">
        <v>607</v>
      </c>
      <c r="F2330" s="65" t="s">
        <v>607</v>
      </c>
      <c r="G2330" s="65" t="s">
        <v>607</v>
      </c>
      <c r="H2330" s="52" t="s">
        <v>607</v>
      </c>
      <c r="I2330" s="52" t="s">
        <v>607</v>
      </c>
      <c r="J2330" s="52" t="s">
        <v>607</v>
      </c>
      <c r="K2330" s="52" t="s">
        <v>607</v>
      </c>
      <c r="L2330" s="52" t="s">
        <v>607</v>
      </c>
      <c r="M2330" s="52" t="s">
        <v>607</v>
      </c>
      <c r="N2330" s="52" t="s">
        <v>607</v>
      </c>
      <c r="O2330" s="52"/>
      <c r="P2330" s="52"/>
      <c r="Q2330" s="52"/>
      <c r="R2330" s="51" t="b">
        <v>0</v>
      </c>
      <c r="S2330" s="51"/>
      <c r="T2330" s="52"/>
      <c r="U2330" s="51" t="b">
        <v>0</v>
      </c>
      <c r="V2330" s="51" t="b">
        <v>0</v>
      </c>
      <c r="W2330" s="51" t="b">
        <v>0</v>
      </c>
      <c r="X2330" s="51" t="b">
        <v>0</v>
      </c>
      <c r="Y2330" s="51" t="b">
        <v>0</v>
      </c>
      <c r="Z2330" s="51" t="b">
        <v>0</v>
      </c>
      <c r="AA2330" s="68"/>
      <c r="AB2330" s="52"/>
      <c r="AC2330" s="52"/>
      <c r="AD2330" s="52"/>
      <c r="AE2330" s="56" t="s">
        <v>607</v>
      </c>
      <c r="AF2330" s="56" t="s">
        <v>607</v>
      </c>
    </row>
    <row r="2331">
      <c r="A2331" s="52" t="s">
        <v>5625</v>
      </c>
      <c r="B2331" s="52" t="s">
        <v>607</v>
      </c>
      <c r="C2331" s="52" t="s">
        <v>607</v>
      </c>
      <c r="D2331" s="65" t="s">
        <v>607</v>
      </c>
      <c r="E2331" s="65" t="s">
        <v>607</v>
      </c>
      <c r="F2331" s="65" t="s">
        <v>607</v>
      </c>
      <c r="G2331" s="65" t="s">
        <v>607</v>
      </c>
      <c r="H2331" s="52" t="s">
        <v>607</v>
      </c>
      <c r="I2331" s="52" t="s">
        <v>607</v>
      </c>
      <c r="J2331" s="52" t="s">
        <v>607</v>
      </c>
      <c r="K2331" s="52" t="s">
        <v>607</v>
      </c>
      <c r="L2331" s="52" t="s">
        <v>607</v>
      </c>
      <c r="M2331" s="52" t="s">
        <v>607</v>
      </c>
      <c r="N2331" s="52" t="s">
        <v>607</v>
      </c>
      <c r="O2331" s="52"/>
      <c r="P2331" s="52"/>
      <c r="Q2331" s="52"/>
      <c r="R2331" s="51" t="b">
        <v>0</v>
      </c>
      <c r="S2331" s="51"/>
      <c r="T2331" s="52"/>
      <c r="U2331" s="51" t="b">
        <v>0</v>
      </c>
      <c r="V2331" s="51" t="b">
        <v>0</v>
      </c>
      <c r="W2331" s="51" t="b">
        <v>0</v>
      </c>
      <c r="X2331" s="51" t="b">
        <v>0</v>
      </c>
      <c r="Y2331" s="51" t="b">
        <v>0</v>
      </c>
      <c r="Z2331" s="51" t="b">
        <v>0</v>
      </c>
      <c r="AA2331" s="68"/>
      <c r="AB2331" s="52"/>
      <c r="AC2331" s="52"/>
      <c r="AD2331" s="52"/>
      <c r="AE2331" s="56" t="s">
        <v>607</v>
      </c>
      <c r="AF2331" s="56" t="s">
        <v>607</v>
      </c>
    </row>
    <row r="2332">
      <c r="A2332" s="52" t="s">
        <v>5626</v>
      </c>
      <c r="B2332" s="52" t="s">
        <v>607</v>
      </c>
      <c r="C2332" s="52" t="s">
        <v>607</v>
      </c>
      <c r="D2332" s="65" t="s">
        <v>607</v>
      </c>
      <c r="E2332" s="65" t="s">
        <v>607</v>
      </c>
      <c r="F2332" s="65" t="s">
        <v>607</v>
      </c>
      <c r="G2332" s="65" t="s">
        <v>607</v>
      </c>
      <c r="H2332" s="52" t="s">
        <v>607</v>
      </c>
      <c r="I2332" s="52" t="s">
        <v>607</v>
      </c>
      <c r="J2332" s="52" t="s">
        <v>607</v>
      </c>
      <c r="K2332" s="52" t="s">
        <v>607</v>
      </c>
      <c r="L2332" s="52" t="s">
        <v>607</v>
      </c>
      <c r="M2332" s="52" t="s">
        <v>607</v>
      </c>
      <c r="N2332" s="52" t="s">
        <v>607</v>
      </c>
      <c r="O2332" s="52"/>
      <c r="P2332" s="52"/>
      <c r="Q2332" s="52"/>
      <c r="R2332" s="51" t="b">
        <v>0</v>
      </c>
      <c r="S2332" s="51"/>
      <c r="T2332" s="52"/>
      <c r="U2332" s="51" t="b">
        <v>0</v>
      </c>
      <c r="V2332" s="51" t="b">
        <v>0</v>
      </c>
      <c r="W2332" s="51" t="b">
        <v>0</v>
      </c>
      <c r="X2332" s="51" t="b">
        <v>0</v>
      </c>
      <c r="Y2332" s="51" t="b">
        <v>0</v>
      </c>
      <c r="Z2332" s="51" t="b">
        <v>0</v>
      </c>
      <c r="AA2332" s="68"/>
      <c r="AB2332" s="52"/>
      <c r="AC2332" s="52"/>
      <c r="AD2332" s="52"/>
      <c r="AE2332" s="56" t="s">
        <v>607</v>
      </c>
      <c r="AF2332" s="56" t="s">
        <v>607</v>
      </c>
    </row>
    <row r="2333">
      <c r="A2333" s="52" t="s">
        <v>5627</v>
      </c>
      <c r="B2333" s="52" t="s">
        <v>607</v>
      </c>
      <c r="C2333" s="52" t="s">
        <v>607</v>
      </c>
      <c r="D2333" s="65" t="s">
        <v>607</v>
      </c>
      <c r="E2333" s="65" t="s">
        <v>607</v>
      </c>
      <c r="F2333" s="65" t="s">
        <v>607</v>
      </c>
      <c r="G2333" s="65" t="s">
        <v>607</v>
      </c>
      <c r="H2333" s="52" t="s">
        <v>607</v>
      </c>
      <c r="I2333" s="52" t="s">
        <v>607</v>
      </c>
      <c r="J2333" s="52" t="s">
        <v>607</v>
      </c>
      <c r="K2333" s="52" t="s">
        <v>607</v>
      </c>
      <c r="L2333" s="52" t="s">
        <v>607</v>
      </c>
      <c r="M2333" s="52" t="s">
        <v>607</v>
      </c>
      <c r="N2333" s="52" t="s">
        <v>607</v>
      </c>
      <c r="O2333" s="52"/>
      <c r="P2333" s="52"/>
      <c r="Q2333" s="52"/>
      <c r="R2333" s="51" t="b">
        <v>0</v>
      </c>
      <c r="S2333" s="51"/>
      <c r="T2333" s="52"/>
      <c r="U2333" s="51" t="b">
        <v>0</v>
      </c>
      <c r="V2333" s="51" t="b">
        <v>0</v>
      </c>
      <c r="W2333" s="51" t="b">
        <v>0</v>
      </c>
      <c r="X2333" s="51" t="b">
        <v>0</v>
      </c>
      <c r="Y2333" s="51" t="b">
        <v>0</v>
      </c>
      <c r="Z2333" s="51" t="b">
        <v>0</v>
      </c>
      <c r="AA2333" s="68"/>
      <c r="AB2333" s="52"/>
      <c r="AC2333" s="52"/>
      <c r="AD2333" s="52"/>
      <c r="AE2333" s="56" t="s">
        <v>607</v>
      </c>
      <c r="AF2333" s="56" t="s">
        <v>607</v>
      </c>
    </row>
    <row r="2334">
      <c r="A2334" s="52" t="s">
        <v>5628</v>
      </c>
      <c r="B2334" s="52" t="s">
        <v>607</v>
      </c>
      <c r="C2334" s="52" t="s">
        <v>607</v>
      </c>
      <c r="D2334" s="65" t="s">
        <v>607</v>
      </c>
      <c r="E2334" s="65" t="s">
        <v>607</v>
      </c>
      <c r="F2334" s="65" t="s">
        <v>607</v>
      </c>
      <c r="G2334" s="65" t="s">
        <v>607</v>
      </c>
      <c r="H2334" s="52" t="s">
        <v>607</v>
      </c>
      <c r="I2334" s="52" t="s">
        <v>607</v>
      </c>
      <c r="J2334" s="52" t="s">
        <v>607</v>
      </c>
      <c r="K2334" s="52" t="s">
        <v>607</v>
      </c>
      <c r="L2334" s="52" t="s">
        <v>607</v>
      </c>
      <c r="M2334" s="52" t="s">
        <v>607</v>
      </c>
      <c r="N2334" s="52" t="s">
        <v>607</v>
      </c>
      <c r="O2334" s="52"/>
      <c r="P2334" s="52"/>
      <c r="Q2334" s="52"/>
      <c r="R2334" s="51" t="b">
        <v>0</v>
      </c>
      <c r="S2334" s="51"/>
      <c r="T2334" s="52"/>
      <c r="U2334" s="51" t="b">
        <v>0</v>
      </c>
      <c r="V2334" s="51" t="b">
        <v>0</v>
      </c>
      <c r="W2334" s="51" t="b">
        <v>0</v>
      </c>
      <c r="X2334" s="51" t="b">
        <v>0</v>
      </c>
      <c r="Y2334" s="51" t="b">
        <v>0</v>
      </c>
      <c r="Z2334" s="51" t="b">
        <v>0</v>
      </c>
      <c r="AA2334" s="68"/>
      <c r="AB2334" s="52"/>
      <c r="AC2334" s="52"/>
      <c r="AD2334" s="52"/>
      <c r="AE2334" s="56" t="s">
        <v>607</v>
      </c>
      <c r="AF2334" s="56" t="s">
        <v>607</v>
      </c>
    </row>
    <row r="2335">
      <c r="A2335" s="52" t="s">
        <v>5629</v>
      </c>
      <c r="B2335" s="52" t="s">
        <v>607</v>
      </c>
      <c r="C2335" s="52" t="s">
        <v>607</v>
      </c>
      <c r="D2335" s="65" t="s">
        <v>607</v>
      </c>
      <c r="E2335" s="65" t="s">
        <v>607</v>
      </c>
      <c r="F2335" s="65" t="s">
        <v>607</v>
      </c>
      <c r="G2335" s="65" t="s">
        <v>607</v>
      </c>
      <c r="H2335" s="52" t="s">
        <v>607</v>
      </c>
      <c r="I2335" s="52" t="s">
        <v>607</v>
      </c>
      <c r="J2335" s="52" t="s">
        <v>607</v>
      </c>
      <c r="K2335" s="52" t="s">
        <v>607</v>
      </c>
      <c r="L2335" s="52" t="s">
        <v>607</v>
      </c>
      <c r="M2335" s="52" t="s">
        <v>607</v>
      </c>
      <c r="N2335" s="52" t="s">
        <v>607</v>
      </c>
      <c r="O2335" s="52"/>
      <c r="P2335" s="52"/>
      <c r="Q2335" s="52"/>
      <c r="R2335" s="51" t="b">
        <v>0</v>
      </c>
      <c r="S2335" s="51"/>
      <c r="T2335" s="52"/>
      <c r="U2335" s="51" t="b">
        <v>0</v>
      </c>
      <c r="V2335" s="51" t="b">
        <v>0</v>
      </c>
      <c r="W2335" s="51" t="b">
        <v>0</v>
      </c>
      <c r="X2335" s="51" t="b">
        <v>0</v>
      </c>
      <c r="Y2335" s="51" t="b">
        <v>0</v>
      </c>
      <c r="Z2335" s="51" t="b">
        <v>0</v>
      </c>
      <c r="AA2335" s="68"/>
      <c r="AB2335" s="52"/>
      <c r="AC2335" s="52"/>
      <c r="AD2335" s="52"/>
      <c r="AE2335" s="56" t="s">
        <v>607</v>
      </c>
      <c r="AF2335" s="56" t="s">
        <v>607</v>
      </c>
    </row>
    <row r="2336">
      <c r="A2336" s="52" t="s">
        <v>5630</v>
      </c>
      <c r="B2336" s="52" t="s">
        <v>607</v>
      </c>
      <c r="C2336" s="52" t="s">
        <v>607</v>
      </c>
      <c r="D2336" s="65" t="s">
        <v>607</v>
      </c>
      <c r="E2336" s="65" t="s">
        <v>607</v>
      </c>
      <c r="F2336" s="65" t="s">
        <v>607</v>
      </c>
      <c r="G2336" s="65" t="s">
        <v>607</v>
      </c>
      <c r="H2336" s="52" t="s">
        <v>607</v>
      </c>
      <c r="I2336" s="52" t="s">
        <v>607</v>
      </c>
      <c r="J2336" s="52" t="s">
        <v>607</v>
      </c>
      <c r="K2336" s="52" t="s">
        <v>607</v>
      </c>
      <c r="L2336" s="52" t="s">
        <v>607</v>
      </c>
      <c r="M2336" s="52" t="s">
        <v>607</v>
      </c>
      <c r="N2336" s="52" t="s">
        <v>607</v>
      </c>
      <c r="O2336" s="52"/>
      <c r="P2336" s="52"/>
      <c r="Q2336" s="52"/>
      <c r="R2336" s="51" t="b">
        <v>0</v>
      </c>
      <c r="S2336" s="51"/>
      <c r="T2336" s="52"/>
      <c r="U2336" s="51" t="b">
        <v>0</v>
      </c>
      <c r="V2336" s="51" t="b">
        <v>0</v>
      </c>
      <c r="W2336" s="51" t="b">
        <v>0</v>
      </c>
      <c r="X2336" s="51" t="b">
        <v>0</v>
      </c>
      <c r="Y2336" s="51" t="b">
        <v>0</v>
      </c>
      <c r="Z2336" s="51" t="b">
        <v>0</v>
      </c>
      <c r="AA2336" s="68"/>
      <c r="AB2336" s="52"/>
      <c r="AC2336" s="52"/>
      <c r="AD2336" s="52"/>
      <c r="AE2336" s="56" t="s">
        <v>607</v>
      </c>
      <c r="AF2336" s="56" t="s">
        <v>607</v>
      </c>
    </row>
    <row r="2337">
      <c r="A2337" s="52" t="s">
        <v>5631</v>
      </c>
      <c r="B2337" s="52" t="s">
        <v>607</v>
      </c>
      <c r="C2337" s="52" t="s">
        <v>607</v>
      </c>
      <c r="D2337" s="65" t="s">
        <v>607</v>
      </c>
      <c r="E2337" s="65" t="s">
        <v>607</v>
      </c>
      <c r="F2337" s="65" t="s">
        <v>607</v>
      </c>
      <c r="G2337" s="65" t="s">
        <v>607</v>
      </c>
      <c r="H2337" s="52" t="s">
        <v>607</v>
      </c>
      <c r="I2337" s="52" t="s">
        <v>607</v>
      </c>
      <c r="J2337" s="52" t="s">
        <v>607</v>
      </c>
      <c r="K2337" s="52" t="s">
        <v>607</v>
      </c>
      <c r="L2337" s="52" t="s">
        <v>607</v>
      </c>
      <c r="M2337" s="52" t="s">
        <v>607</v>
      </c>
      <c r="N2337" s="52" t="s">
        <v>607</v>
      </c>
      <c r="O2337" s="52"/>
      <c r="P2337" s="52"/>
      <c r="Q2337" s="52"/>
      <c r="R2337" s="51" t="b">
        <v>0</v>
      </c>
      <c r="S2337" s="51"/>
      <c r="T2337" s="52"/>
      <c r="U2337" s="51" t="b">
        <v>0</v>
      </c>
      <c r="V2337" s="51" t="b">
        <v>0</v>
      </c>
      <c r="W2337" s="51" t="b">
        <v>0</v>
      </c>
      <c r="X2337" s="51" t="b">
        <v>0</v>
      </c>
      <c r="Y2337" s="51" t="b">
        <v>0</v>
      </c>
      <c r="Z2337" s="51" t="b">
        <v>0</v>
      </c>
      <c r="AA2337" s="68"/>
      <c r="AB2337" s="52"/>
      <c r="AC2337" s="52"/>
      <c r="AD2337" s="52"/>
      <c r="AE2337" s="56" t="s">
        <v>607</v>
      </c>
      <c r="AF2337" s="56" t="s">
        <v>607</v>
      </c>
    </row>
    <row r="2338">
      <c r="A2338" s="52" t="s">
        <v>5632</v>
      </c>
      <c r="B2338" s="52" t="s">
        <v>607</v>
      </c>
      <c r="C2338" s="52" t="s">
        <v>607</v>
      </c>
      <c r="D2338" s="65" t="s">
        <v>607</v>
      </c>
      <c r="E2338" s="65" t="s">
        <v>607</v>
      </c>
      <c r="F2338" s="65" t="s">
        <v>607</v>
      </c>
      <c r="G2338" s="65" t="s">
        <v>607</v>
      </c>
      <c r="H2338" s="52" t="s">
        <v>607</v>
      </c>
      <c r="I2338" s="52" t="s">
        <v>607</v>
      </c>
      <c r="J2338" s="52" t="s">
        <v>607</v>
      </c>
      <c r="K2338" s="52" t="s">
        <v>607</v>
      </c>
      <c r="L2338" s="52" t="s">
        <v>607</v>
      </c>
      <c r="M2338" s="52" t="s">
        <v>607</v>
      </c>
      <c r="N2338" s="52" t="s">
        <v>607</v>
      </c>
      <c r="O2338" s="52"/>
      <c r="P2338" s="52"/>
      <c r="Q2338" s="52"/>
      <c r="R2338" s="51" t="b">
        <v>0</v>
      </c>
      <c r="S2338" s="51"/>
      <c r="T2338" s="52"/>
      <c r="U2338" s="51" t="b">
        <v>0</v>
      </c>
      <c r="V2338" s="51" t="b">
        <v>0</v>
      </c>
      <c r="W2338" s="51" t="b">
        <v>0</v>
      </c>
      <c r="X2338" s="51" t="b">
        <v>0</v>
      </c>
      <c r="Y2338" s="51" t="b">
        <v>0</v>
      </c>
      <c r="Z2338" s="51" t="b">
        <v>0</v>
      </c>
      <c r="AA2338" s="68"/>
      <c r="AB2338" s="52"/>
      <c r="AC2338" s="52"/>
      <c r="AD2338" s="52"/>
      <c r="AE2338" s="56" t="s">
        <v>607</v>
      </c>
      <c r="AF2338" s="56" t="s">
        <v>607</v>
      </c>
    </row>
    <row r="2339">
      <c r="A2339" s="52" t="s">
        <v>5633</v>
      </c>
      <c r="B2339" s="52" t="s">
        <v>607</v>
      </c>
      <c r="C2339" s="52" t="s">
        <v>607</v>
      </c>
      <c r="D2339" s="65" t="s">
        <v>607</v>
      </c>
      <c r="E2339" s="65" t="s">
        <v>607</v>
      </c>
      <c r="F2339" s="65" t="s">
        <v>607</v>
      </c>
      <c r="G2339" s="65" t="s">
        <v>607</v>
      </c>
      <c r="H2339" s="52" t="s">
        <v>607</v>
      </c>
      <c r="I2339" s="52" t="s">
        <v>607</v>
      </c>
      <c r="J2339" s="52" t="s">
        <v>607</v>
      </c>
      <c r="K2339" s="52" t="s">
        <v>607</v>
      </c>
      <c r="L2339" s="52" t="s">
        <v>607</v>
      </c>
      <c r="M2339" s="52" t="s">
        <v>607</v>
      </c>
      <c r="N2339" s="52" t="s">
        <v>607</v>
      </c>
      <c r="O2339" s="52"/>
      <c r="P2339" s="52"/>
      <c r="Q2339" s="52"/>
      <c r="R2339" s="51" t="b">
        <v>0</v>
      </c>
      <c r="S2339" s="51"/>
      <c r="T2339" s="52"/>
      <c r="U2339" s="51" t="b">
        <v>0</v>
      </c>
      <c r="V2339" s="51" t="b">
        <v>0</v>
      </c>
      <c r="W2339" s="51" t="b">
        <v>0</v>
      </c>
      <c r="X2339" s="51" t="b">
        <v>0</v>
      </c>
      <c r="Y2339" s="51" t="b">
        <v>0</v>
      </c>
      <c r="Z2339" s="51" t="b">
        <v>0</v>
      </c>
      <c r="AA2339" s="68"/>
      <c r="AB2339" s="52"/>
      <c r="AC2339" s="52"/>
      <c r="AD2339" s="52"/>
      <c r="AE2339" s="56" t="s">
        <v>607</v>
      </c>
      <c r="AF2339" s="56" t="s">
        <v>607</v>
      </c>
    </row>
    <row r="2340">
      <c r="A2340" s="52" t="s">
        <v>5634</v>
      </c>
      <c r="B2340" s="52" t="s">
        <v>607</v>
      </c>
      <c r="C2340" s="52" t="s">
        <v>607</v>
      </c>
      <c r="D2340" s="65" t="s">
        <v>607</v>
      </c>
      <c r="E2340" s="65" t="s">
        <v>607</v>
      </c>
      <c r="F2340" s="65" t="s">
        <v>607</v>
      </c>
      <c r="G2340" s="65" t="s">
        <v>607</v>
      </c>
      <c r="H2340" s="52" t="s">
        <v>607</v>
      </c>
      <c r="I2340" s="52" t="s">
        <v>607</v>
      </c>
      <c r="J2340" s="52" t="s">
        <v>607</v>
      </c>
      <c r="K2340" s="52" t="s">
        <v>607</v>
      </c>
      <c r="L2340" s="52" t="s">
        <v>607</v>
      </c>
      <c r="M2340" s="52" t="s">
        <v>607</v>
      </c>
      <c r="N2340" s="52" t="s">
        <v>607</v>
      </c>
      <c r="O2340" s="52"/>
      <c r="P2340" s="52"/>
      <c r="Q2340" s="52"/>
      <c r="R2340" s="51" t="b">
        <v>0</v>
      </c>
      <c r="S2340" s="51"/>
      <c r="T2340" s="52"/>
      <c r="U2340" s="51" t="b">
        <v>0</v>
      </c>
      <c r="V2340" s="51" t="b">
        <v>0</v>
      </c>
      <c r="W2340" s="51" t="b">
        <v>0</v>
      </c>
      <c r="X2340" s="51" t="b">
        <v>0</v>
      </c>
      <c r="Y2340" s="51" t="b">
        <v>0</v>
      </c>
      <c r="Z2340" s="51" t="b">
        <v>0</v>
      </c>
      <c r="AA2340" s="68"/>
      <c r="AB2340" s="52"/>
      <c r="AC2340" s="52"/>
      <c r="AD2340" s="52"/>
      <c r="AE2340" s="56" t="s">
        <v>607</v>
      </c>
      <c r="AF2340" s="56" t="s">
        <v>607</v>
      </c>
    </row>
    <row r="2341">
      <c r="A2341" s="52" t="s">
        <v>5635</v>
      </c>
      <c r="B2341" s="52" t="s">
        <v>607</v>
      </c>
      <c r="C2341" s="52" t="s">
        <v>607</v>
      </c>
      <c r="D2341" s="65" t="s">
        <v>607</v>
      </c>
      <c r="E2341" s="65" t="s">
        <v>607</v>
      </c>
      <c r="F2341" s="65" t="s">
        <v>607</v>
      </c>
      <c r="G2341" s="65" t="s">
        <v>607</v>
      </c>
      <c r="H2341" s="52" t="s">
        <v>607</v>
      </c>
      <c r="I2341" s="52" t="s">
        <v>607</v>
      </c>
      <c r="J2341" s="52" t="s">
        <v>607</v>
      </c>
      <c r="K2341" s="52" t="s">
        <v>607</v>
      </c>
      <c r="L2341" s="52" t="s">
        <v>607</v>
      </c>
      <c r="M2341" s="52" t="s">
        <v>607</v>
      </c>
      <c r="N2341" s="52" t="s">
        <v>607</v>
      </c>
      <c r="O2341" s="52"/>
      <c r="P2341" s="52"/>
      <c r="Q2341" s="52"/>
      <c r="R2341" s="51" t="b">
        <v>0</v>
      </c>
      <c r="S2341" s="51"/>
      <c r="T2341" s="52"/>
      <c r="U2341" s="51" t="b">
        <v>0</v>
      </c>
      <c r="V2341" s="51" t="b">
        <v>0</v>
      </c>
      <c r="W2341" s="51" t="b">
        <v>0</v>
      </c>
      <c r="X2341" s="51" t="b">
        <v>0</v>
      </c>
      <c r="Y2341" s="51" t="b">
        <v>0</v>
      </c>
      <c r="Z2341" s="51" t="b">
        <v>0</v>
      </c>
      <c r="AA2341" s="68"/>
      <c r="AB2341" s="52"/>
      <c r="AC2341" s="52"/>
      <c r="AD2341" s="52"/>
      <c r="AE2341" s="56" t="s">
        <v>607</v>
      </c>
      <c r="AF2341" s="56" t="s">
        <v>607</v>
      </c>
    </row>
    <row r="2342">
      <c r="A2342" s="52" t="s">
        <v>5636</v>
      </c>
      <c r="B2342" s="52" t="s">
        <v>607</v>
      </c>
      <c r="C2342" s="52" t="s">
        <v>607</v>
      </c>
      <c r="D2342" s="65" t="s">
        <v>607</v>
      </c>
      <c r="E2342" s="65" t="s">
        <v>607</v>
      </c>
      <c r="F2342" s="65" t="s">
        <v>607</v>
      </c>
      <c r="G2342" s="65" t="s">
        <v>607</v>
      </c>
      <c r="H2342" s="52" t="s">
        <v>607</v>
      </c>
      <c r="I2342" s="52" t="s">
        <v>607</v>
      </c>
      <c r="J2342" s="52" t="s">
        <v>607</v>
      </c>
      <c r="K2342" s="52" t="s">
        <v>607</v>
      </c>
      <c r="L2342" s="52" t="s">
        <v>607</v>
      </c>
      <c r="M2342" s="52" t="s">
        <v>607</v>
      </c>
      <c r="N2342" s="52" t="s">
        <v>607</v>
      </c>
      <c r="O2342" s="52"/>
      <c r="P2342" s="52"/>
      <c r="Q2342" s="52"/>
      <c r="R2342" s="51" t="b">
        <v>0</v>
      </c>
      <c r="S2342" s="51"/>
      <c r="T2342" s="52"/>
      <c r="U2342" s="51" t="b">
        <v>0</v>
      </c>
      <c r="V2342" s="51" t="b">
        <v>0</v>
      </c>
      <c r="W2342" s="51" t="b">
        <v>0</v>
      </c>
      <c r="X2342" s="51" t="b">
        <v>0</v>
      </c>
      <c r="Y2342" s="51" t="b">
        <v>0</v>
      </c>
      <c r="Z2342" s="51" t="b">
        <v>0</v>
      </c>
      <c r="AA2342" s="68"/>
      <c r="AB2342" s="52"/>
      <c r="AC2342" s="52"/>
      <c r="AD2342" s="52"/>
      <c r="AE2342" s="56" t="s">
        <v>607</v>
      </c>
      <c r="AF2342" s="56" t="s">
        <v>607</v>
      </c>
    </row>
    <row r="2343">
      <c r="A2343" s="52" t="s">
        <v>5637</v>
      </c>
      <c r="B2343" s="52" t="s">
        <v>607</v>
      </c>
      <c r="C2343" s="52" t="s">
        <v>607</v>
      </c>
      <c r="D2343" s="65" t="s">
        <v>607</v>
      </c>
      <c r="E2343" s="65" t="s">
        <v>607</v>
      </c>
      <c r="F2343" s="65" t="s">
        <v>607</v>
      </c>
      <c r="G2343" s="65" t="s">
        <v>607</v>
      </c>
      <c r="H2343" s="52" t="s">
        <v>607</v>
      </c>
      <c r="I2343" s="52" t="s">
        <v>607</v>
      </c>
      <c r="J2343" s="52" t="s">
        <v>607</v>
      </c>
      <c r="K2343" s="52" t="s">
        <v>607</v>
      </c>
      <c r="L2343" s="52" t="s">
        <v>607</v>
      </c>
      <c r="M2343" s="52" t="s">
        <v>607</v>
      </c>
      <c r="N2343" s="52" t="s">
        <v>607</v>
      </c>
      <c r="O2343" s="52"/>
      <c r="P2343" s="52"/>
      <c r="Q2343" s="52"/>
      <c r="R2343" s="51" t="b">
        <v>0</v>
      </c>
      <c r="S2343" s="51"/>
      <c r="T2343" s="52"/>
      <c r="U2343" s="51" t="b">
        <v>0</v>
      </c>
      <c r="V2343" s="51" t="b">
        <v>0</v>
      </c>
      <c r="W2343" s="51" t="b">
        <v>0</v>
      </c>
      <c r="X2343" s="51" t="b">
        <v>0</v>
      </c>
      <c r="Y2343" s="51" t="b">
        <v>0</v>
      </c>
      <c r="Z2343" s="51" t="b">
        <v>0</v>
      </c>
      <c r="AA2343" s="68"/>
      <c r="AB2343" s="52"/>
      <c r="AC2343" s="52"/>
      <c r="AD2343" s="52"/>
      <c r="AE2343" s="56" t="s">
        <v>607</v>
      </c>
      <c r="AF2343" s="56" t="s">
        <v>607</v>
      </c>
    </row>
    <row r="2344">
      <c r="A2344" s="52" t="s">
        <v>5638</v>
      </c>
      <c r="B2344" s="52" t="s">
        <v>607</v>
      </c>
      <c r="C2344" s="52" t="s">
        <v>607</v>
      </c>
      <c r="D2344" s="65" t="s">
        <v>607</v>
      </c>
      <c r="E2344" s="65" t="s">
        <v>607</v>
      </c>
      <c r="F2344" s="65" t="s">
        <v>607</v>
      </c>
      <c r="G2344" s="65" t="s">
        <v>607</v>
      </c>
      <c r="H2344" s="52" t="s">
        <v>607</v>
      </c>
      <c r="I2344" s="52" t="s">
        <v>607</v>
      </c>
      <c r="J2344" s="52" t="s">
        <v>607</v>
      </c>
      <c r="K2344" s="52" t="s">
        <v>607</v>
      </c>
      <c r="L2344" s="52" t="s">
        <v>607</v>
      </c>
      <c r="M2344" s="52" t="s">
        <v>607</v>
      </c>
      <c r="N2344" s="52" t="s">
        <v>607</v>
      </c>
      <c r="O2344" s="52"/>
      <c r="P2344" s="52"/>
      <c r="Q2344" s="52"/>
      <c r="R2344" s="51" t="b">
        <v>0</v>
      </c>
      <c r="S2344" s="51"/>
      <c r="T2344" s="52"/>
      <c r="U2344" s="51" t="b">
        <v>0</v>
      </c>
      <c r="V2344" s="51" t="b">
        <v>0</v>
      </c>
      <c r="W2344" s="51" t="b">
        <v>0</v>
      </c>
      <c r="X2344" s="51" t="b">
        <v>0</v>
      </c>
      <c r="Y2344" s="51" t="b">
        <v>0</v>
      </c>
      <c r="Z2344" s="51" t="b">
        <v>0</v>
      </c>
      <c r="AA2344" s="68"/>
      <c r="AB2344" s="52"/>
      <c r="AC2344" s="52"/>
      <c r="AD2344" s="52"/>
      <c r="AE2344" s="56" t="s">
        <v>607</v>
      </c>
      <c r="AF2344" s="56" t="s">
        <v>607</v>
      </c>
    </row>
    <row r="2345">
      <c r="A2345" s="52" t="s">
        <v>5639</v>
      </c>
      <c r="B2345" s="52" t="s">
        <v>607</v>
      </c>
      <c r="C2345" s="52" t="s">
        <v>607</v>
      </c>
      <c r="D2345" s="65" t="s">
        <v>607</v>
      </c>
      <c r="E2345" s="65" t="s">
        <v>607</v>
      </c>
      <c r="F2345" s="65" t="s">
        <v>607</v>
      </c>
      <c r="G2345" s="65" t="s">
        <v>607</v>
      </c>
      <c r="H2345" s="52" t="s">
        <v>607</v>
      </c>
      <c r="I2345" s="52" t="s">
        <v>607</v>
      </c>
      <c r="J2345" s="52" t="s">
        <v>607</v>
      </c>
      <c r="K2345" s="52" t="s">
        <v>607</v>
      </c>
      <c r="L2345" s="52" t="s">
        <v>607</v>
      </c>
      <c r="M2345" s="52" t="s">
        <v>607</v>
      </c>
      <c r="N2345" s="52" t="s">
        <v>607</v>
      </c>
      <c r="O2345" s="52"/>
      <c r="P2345" s="52"/>
      <c r="Q2345" s="52"/>
      <c r="R2345" s="51" t="b">
        <v>0</v>
      </c>
      <c r="S2345" s="51"/>
      <c r="T2345" s="52"/>
      <c r="U2345" s="51" t="b">
        <v>0</v>
      </c>
      <c r="V2345" s="51" t="b">
        <v>0</v>
      </c>
      <c r="W2345" s="51" t="b">
        <v>0</v>
      </c>
      <c r="X2345" s="51" t="b">
        <v>0</v>
      </c>
      <c r="Y2345" s="51" t="b">
        <v>0</v>
      </c>
      <c r="Z2345" s="51" t="b">
        <v>0</v>
      </c>
      <c r="AA2345" s="68"/>
      <c r="AB2345" s="52"/>
      <c r="AC2345" s="52"/>
      <c r="AD2345" s="52"/>
      <c r="AE2345" s="56" t="s">
        <v>607</v>
      </c>
      <c r="AF2345" s="56" t="s">
        <v>607</v>
      </c>
    </row>
    <row r="2346">
      <c r="A2346" s="52" t="s">
        <v>5640</v>
      </c>
      <c r="B2346" s="52" t="s">
        <v>607</v>
      </c>
      <c r="C2346" s="52" t="s">
        <v>607</v>
      </c>
      <c r="D2346" s="65" t="s">
        <v>607</v>
      </c>
      <c r="E2346" s="65" t="s">
        <v>607</v>
      </c>
      <c r="F2346" s="65" t="s">
        <v>607</v>
      </c>
      <c r="G2346" s="65" t="s">
        <v>607</v>
      </c>
      <c r="H2346" s="52" t="s">
        <v>607</v>
      </c>
      <c r="I2346" s="52" t="s">
        <v>607</v>
      </c>
      <c r="J2346" s="52" t="s">
        <v>607</v>
      </c>
      <c r="K2346" s="52" t="s">
        <v>607</v>
      </c>
      <c r="L2346" s="52" t="s">
        <v>607</v>
      </c>
      <c r="M2346" s="52" t="s">
        <v>607</v>
      </c>
      <c r="N2346" s="52" t="s">
        <v>607</v>
      </c>
      <c r="O2346" s="52"/>
      <c r="P2346" s="52"/>
      <c r="Q2346" s="52"/>
      <c r="R2346" s="51" t="b">
        <v>0</v>
      </c>
      <c r="S2346" s="51"/>
      <c r="T2346" s="52"/>
      <c r="U2346" s="51" t="b">
        <v>0</v>
      </c>
      <c r="V2346" s="51" t="b">
        <v>0</v>
      </c>
      <c r="W2346" s="51" t="b">
        <v>0</v>
      </c>
      <c r="X2346" s="51" t="b">
        <v>0</v>
      </c>
      <c r="Y2346" s="51" t="b">
        <v>0</v>
      </c>
      <c r="Z2346" s="51" t="b">
        <v>0</v>
      </c>
      <c r="AA2346" s="68"/>
      <c r="AB2346" s="52"/>
      <c r="AC2346" s="52"/>
      <c r="AD2346" s="52"/>
      <c r="AE2346" s="56" t="s">
        <v>607</v>
      </c>
      <c r="AF2346" s="56" t="s">
        <v>607</v>
      </c>
    </row>
    <row r="2347">
      <c r="A2347" s="52" t="s">
        <v>5641</v>
      </c>
      <c r="B2347" s="52" t="s">
        <v>607</v>
      </c>
      <c r="C2347" s="52" t="s">
        <v>607</v>
      </c>
      <c r="D2347" s="65" t="s">
        <v>607</v>
      </c>
      <c r="E2347" s="65" t="s">
        <v>607</v>
      </c>
      <c r="F2347" s="65" t="s">
        <v>607</v>
      </c>
      <c r="G2347" s="65" t="s">
        <v>607</v>
      </c>
      <c r="H2347" s="52" t="s">
        <v>607</v>
      </c>
      <c r="I2347" s="52" t="s">
        <v>607</v>
      </c>
      <c r="J2347" s="52" t="s">
        <v>607</v>
      </c>
      <c r="K2347" s="52" t="s">
        <v>607</v>
      </c>
      <c r="L2347" s="52" t="s">
        <v>607</v>
      </c>
      <c r="M2347" s="52" t="s">
        <v>607</v>
      </c>
      <c r="N2347" s="52" t="s">
        <v>607</v>
      </c>
      <c r="O2347" s="52"/>
      <c r="P2347" s="52"/>
      <c r="Q2347" s="52"/>
      <c r="R2347" s="51" t="b">
        <v>0</v>
      </c>
      <c r="S2347" s="51"/>
      <c r="T2347" s="52"/>
      <c r="U2347" s="51" t="b">
        <v>0</v>
      </c>
      <c r="V2347" s="51" t="b">
        <v>0</v>
      </c>
      <c r="W2347" s="51" t="b">
        <v>0</v>
      </c>
      <c r="X2347" s="51" t="b">
        <v>0</v>
      </c>
      <c r="Y2347" s="51" t="b">
        <v>0</v>
      </c>
      <c r="Z2347" s="51" t="b">
        <v>0</v>
      </c>
      <c r="AA2347" s="68"/>
      <c r="AB2347" s="52"/>
      <c r="AC2347" s="52"/>
      <c r="AD2347" s="52"/>
      <c r="AE2347" s="56" t="s">
        <v>607</v>
      </c>
      <c r="AF2347" s="56" t="s">
        <v>607</v>
      </c>
    </row>
    <row r="2348">
      <c r="A2348" s="52" t="s">
        <v>5642</v>
      </c>
      <c r="B2348" s="52" t="s">
        <v>607</v>
      </c>
      <c r="C2348" s="52" t="s">
        <v>607</v>
      </c>
      <c r="D2348" s="65" t="s">
        <v>607</v>
      </c>
      <c r="E2348" s="65" t="s">
        <v>607</v>
      </c>
      <c r="F2348" s="65" t="s">
        <v>607</v>
      </c>
      <c r="G2348" s="65" t="s">
        <v>607</v>
      </c>
      <c r="H2348" s="52" t="s">
        <v>607</v>
      </c>
      <c r="I2348" s="52" t="s">
        <v>607</v>
      </c>
      <c r="J2348" s="52" t="s">
        <v>607</v>
      </c>
      <c r="K2348" s="52" t="s">
        <v>607</v>
      </c>
      <c r="L2348" s="52" t="s">
        <v>607</v>
      </c>
      <c r="M2348" s="52" t="s">
        <v>607</v>
      </c>
      <c r="N2348" s="52" t="s">
        <v>607</v>
      </c>
      <c r="O2348" s="52"/>
      <c r="P2348" s="52"/>
      <c r="Q2348" s="52"/>
      <c r="R2348" s="51" t="b">
        <v>0</v>
      </c>
      <c r="S2348" s="51"/>
      <c r="T2348" s="52"/>
      <c r="U2348" s="51" t="b">
        <v>0</v>
      </c>
      <c r="V2348" s="51" t="b">
        <v>0</v>
      </c>
      <c r="W2348" s="51" t="b">
        <v>0</v>
      </c>
      <c r="X2348" s="51" t="b">
        <v>0</v>
      </c>
      <c r="Y2348" s="51" t="b">
        <v>0</v>
      </c>
      <c r="Z2348" s="51" t="b">
        <v>0</v>
      </c>
      <c r="AA2348" s="68"/>
      <c r="AB2348" s="52"/>
      <c r="AC2348" s="52"/>
      <c r="AD2348" s="52"/>
      <c r="AE2348" s="56" t="s">
        <v>607</v>
      </c>
      <c r="AF2348" s="56" t="s">
        <v>607</v>
      </c>
    </row>
    <row r="2349">
      <c r="A2349" s="52" t="s">
        <v>5643</v>
      </c>
      <c r="B2349" s="52" t="s">
        <v>607</v>
      </c>
      <c r="C2349" s="52" t="s">
        <v>607</v>
      </c>
      <c r="D2349" s="65" t="s">
        <v>607</v>
      </c>
      <c r="E2349" s="65" t="s">
        <v>607</v>
      </c>
      <c r="F2349" s="65" t="s">
        <v>607</v>
      </c>
      <c r="G2349" s="65" t="s">
        <v>607</v>
      </c>
      <c r="H2349" s="52" t="s">
        <v>607</v>
      </c>
      <c r="I2349" s="52" t="s">
        <v>607</v>
      </c>
      <c r="J2349" s="52" t="s">
        <v>607</v>
      </c>
      <c r="K2349" s="52" t="s">
        <v>607</v>
      </c>
      <c r="L2349" s="52" t="s">
        <v>607</v>
      </c>
      <c r="M2349" s="52" t="s">
        <v>607</v>
      </c>
      <c r="N2349" s="52" t="s">
        <v>607</v>
      </c>
      <c r="O2349" s="52"/>
      <c r="P2349" s="52"/>
      <c r="Q2349" s="52"/>
      <c r="R2349" s="51" t="b">
        <v>0</v>
      </c>
      <c r="S2349" s="51"/>
      <c r="T2349" s="52"/>
      <c r="U2349" s="51" t="b">
        <v>0</v>
      </c>
      <c r="V2349" s="51" t="b">
        <v>0</v>
      </c>
      <c r="W2349" s="51" t="b">
        <v>0</v>
      </c>
      <c r="X2349" s="51" t="b">
        <v>0</v>
      </c>
      <c r="Y2349" s="51" t="b">
        <v>0</v>
      </c>
      <c r="Z2349" s="51" t="b">
        <v>0</v>
      </c>
      <c r="AA2349" s="68"/>
      <c r="AB2349" s="52"/>
      <c r="AC2349" s="52"/>
      <c r="AD2349" s="52"/>
      <c r="AE2349" s="56" t="s">
        <v>607</v>
      </c>
      <c r="AF2349" s="56" t="s">
        <v>607</v>
      </c>
    </row>
    <row r="2350">
      <c r="A2350" s="52" t="s">
        <v>5644</v>
      </c>
      <c r="B2350" s="52" t="s">
        <v>607</v>
      </c>
      <c r="C2350" s="52" t="s">
        <v>607</v>
      </c>
      <c r="D2350" s="65" t="s">
        <v>607</v>
      </c>
      <c r="E2350" s="65" t="s">
        <v>607</v>
      </c>
      <c r="F2350" s="65" t="s">
        <v>607</v>
      </c>
      <c r="G2350" s="65" t="s">
        <v>607</v>
      </c>
      <c r="H2350" s="52" t="s">
        <v>607</v>
      </c>
      <c r="I2350" s="52" t="s">
        <v>607</v>
      </c>
      <c r="J2350" s="52" t="s">
        <v>607</v>
      </c>
      <c r="K2350" s="52" t="s">
        <v>607</v>
      </c>
      <c r="L2350" s="52" t="s">
        <v>607</v>
      </c>
      <c r="M2350" s="52" t="s">
        <v>607</v>
      </c>
      <c r="N2350" s="52" t="s">
        <v>607</v>
      </c>
      <c r="O2350" s="52"/>
      <c r="P2350" s="52"/>
      <c r="Q2350" s="52"/>
      <c r="R2350" s="51" t="b">
        <v>0</v>
      </c>
      <c r="S2350" s="51"/>
      <c r="T2350" s="52"/>
      <c r="U2350" s="51" t="b">
        <v>0</v>
      </c>
      <c r="V2350" s="51" t="b">
        <v>0</v>
      </c>
      <c r="W2350" s="51" t="b">
        <v>0</v>
      </c>
      <c r="X2350" s="51" t="b">
        <v>0</v>
      </c>
      <c r="Y2350" s="51" t="b">
        <v>0</v>
      </c>
      <c r="Z2350" s="51" t="b">
        <v>0</v>
      </c>
      <c r="AA2350" s="68"/>
      <c r="AB2350" s="52"/>
      <c r="AC2350" s="52"/>
      <c r="AD2350" s="52"/>
      <c r="AE2350" s="56" t="s">
        <v>607</v>
      </c>
      <c r="AF2350" s="56" t="s">
        <v>607</v>
      </c>
    </row>
    <row r="2351">
      <c r="A2351" s="52" t="s">
        <v>5645</v>
      </c>
      <c r="B2351" s="52" t="s">
        <v>607</v>
      </c>
      <c r="C2351" s="52" t="s">
        <v>607</v>
      </c>
      <c r="D2351" s="65" t="s">
        <v>607</v>
      </c>
      <c r="E2351" s="65" t="s">
        <v>607</v>
      </c>
      <c r="F2351" s="65" t="s">
        <v>607</v>
      </c>
      <c r="G2351" s="65" t="s">
        <v>607</v>
      </c>
      <c r="H2351" s="52" t="s">
        <v>607</v>
      </c>
      <c r="I2351" s="52" t="s">
        <v>607</v>
      </c>
      <c r="J2351" s="52" t="s">
        <v>607</v>
      </c>
      <c r="K2351" s="52" t="s">
        <v>607</v>
      </c>
      <c r="L2351" s="52" t="s">
        <v>607</v>
      </c>
      <c r="M2351" s="52" t="s">
        <v>607</v>
      </c>
      <c r="N2351" s="52" t="s">
        <v>607</v>
      </c>
      <c r="O2351" s="52"/>
      <c r="P2351" s="52"/>
      <c r="Q2351" s="52"/>
      <c r="R2351" s="51" t="b">
        <v>0</v>
      </c>
      <c r="S2351" s="51"/>
      <c r="T2351" s="52"/>
      <c r="U2351" s="51" t="b">
        <v>0</v>
      </c>
      <c r="V2351" s="51" t="b">
        <v>0</v>
      </c>
      <c r="W2351" s="51" t="b">
        <v>0</v>
      </c>
      <c r="X2351" s="51" t="b">
        <v>0</v>
      </c>
      <c r="Y2351" s="51" t="b">
        <v>0</v>
      </c>
      <c r="Z2351" s="51" t="b">
        <v>0</v>
      </c>
      <c r="AA2351" s="68"/>
      <c r="AB2351" s="52"/>
      <c r="AC2351" s="52"/>
      <c r="AD2351" s="52"/>
      <c r="AE2351" s="56" t="s">
        <v>607</v>
      </c>
      <c r="AF2351" s="56" t="s">
        <v>607</v>
      </c>
    </row>
    <row r="2352">
      <c r="A2352" s="52" t="s">
        <v>5646</v>
      </c>
      <c r="B2352" s="52" t="s">
        <v>607</v>
      </c>
      <c r="C2352" s="52" t="s">
        <v>607</v>
      </c>
      <c r="D2352" s="65" t="s">
        <v>607</v>
      </c>
      <c r="E2352" s="65" t="s">
        <v>607</v>
      </c>
      <c r="F2352" s="65" t="s">
        <v>607</v>
      </c>
      <c r="G2352" s="65" t="s">
        <v>607</v>
      </c>
      <c r="H2352" s="52" t="s">
        <v>607</v>
      </c>
      <c r="I2352" s="52" t="s">
        <v>607</v>
      </c>
      <c r="J2352" s="52" t="s">
        <v>607</v>
      </c>
      <c r="K2352" s="52" t="s">
        <v>607</v>
      </c>
      <c r="L2352" s="52" t="s">
        <v>607</v>
      </c>
      <c r="M2352" s="52" t="s">
        <v>607</v>
      </c>
      <c r="N2352" s="52" t="s">
        <v>607</v>
      </c>
      <c r="O2352" s="52"/>
      <c r="P2352" s="52"/>
      <c r="Q2352" s="52"/>
      <c r="R2352" s="51" t="b">
        <v>0</v>
      </c>
      <c r="S2352" s="51"/>
      <c r="T2352" s="52"/>
      <c r="U2352" s="51" t="b">
        <v>0</v>
      </c>
      <c r="V2352" s="51" t="b">
        <v>0</v>
      </c>
      <c r="W2352" s="51" t="b">
        <v>0</v>
      </c>
      <c r="X2352" s="51" t="b">
        <v>0</v>
      </c>
      <c r="Y2352" s="51" t="b">
        <v>0</v>
      </c>
      <c r="Z2352" s="51" t="b">
        <v>0</v>
      </c>
      <c r="AA2352" s="68"/>
      <c r="AB2352" s="52"/>
      <c r="AC2352" s="52"/>
      <c r="AD2352" s="52"/>
      <c r="AE2352" s="56" t="s">
        <v>607</v>
      </c>
      <c r="AF2352" s="56" t="s">
        <v>607</v>
      </c>
    </row>
    <row r="2353">
      <c r="A2353" s="52" t="s">
        <v>5647</v>
      </c>
      <c r="B2353" s="52" t="s">
        <v>607</v>
      </c>
      <c r="C2353" s="52" t="s">
        <v>607</v>
      </c>
      <c r="D2353" s="65" t="s">
        <v>607</v>
      </c>
      <c r="E2353" s="65" t="s">
        <v>607</v>
      </c>
      <c r="F2353" s="65" t="s">
        <v>607</v>
      </c>
      <c r="G2353" s="65" t="s">
        <v>607</v>
      </c>
      <c r="H2353" s="52" t="s">
        <v>607</v>
      </c>
      <c r="I2353" s="52" t="s">
        <v>607</v>
      </c>
      <c r="J2353" s="52" t="s">
        <v>607</v>
      </c>
      <c r="K2353" s="52" t="s">
        <v>607</v>
      </c>
      <c r="L2353" s="52" t="s">
        <v>607</v>
      </c>
      <c r="M2353" s="52" t="s">
        <v>607</v>
      </c>
      <c r="N2353" s="52" t="s">
        <v>607</v>
      </c>
      <c r="O2353" s="52"/>
      <c r="P2353" s="52"/>
      <c r="Q2353" s="52"/>
      <c r="R2353" s="51" t="b">
        <v>0</v>
      </c>
      <c r="S2353" s="51"/>
      <c r="T2353" s="52"/>
      <c r="U2353" s="51" t="b">
        <v>0</v>
      </c>
      <c r="V2353" s="51" t="b">
        <v>0</v>
      </c>
      <c r="W2353" s="51" t="b">
        <v>0</v>
      </c>
      <c r="X2353" s="51" t="b">
        <v>0</v>
      </c>
      <c r="Y2353" s="51" t="b">
        <v>0</v>
      </c>
      <c r="Z2353" s="51" t="b">
        <v>0</v>
      </c>
      <c r="AA2353" s="68"/>
      <c r="AB2353" s="52"/>
      <c r="AC2353" s="52"/>
      <c r="AD2353" s="52"/>
      <c r="AE2353" s="56" t="s">
        <v>607</v>
      </c>
      <c r="AF2353" s="56" t="s">
        <v>607</v>
      </c>
    </row>
    <row r="2354">
      <c r="A2354" s="52" t="s">
        <v>5648</v>
      </c>
      <c r="B2354" s="52" t="s">
        <v>607</v>
      </c>
      <c r="C2354" s="52" t="s">
        <v>607</v>
      </c>
      <c r="D2354" s="65" t="s">
        <v>607</v>
      </c>
      <c r="E2354" s="65" t="s">
        <v>607</v>
      </c>
      <c r="F2354" s="65" t="s">
        <v>607</v>
      </c>
      <c r="G2354" s="65" t="s">
        <v>607</v>
      </c>
      <c r="H2354" s="52" t="s">
        <v>607</v>
      </c>
      <c r="I2354" s="52" t="s">
        <v>607</v>
      </c>
      <c r="J2354" s="52" t="s">
        <v>607</v>
      </c>
      <c r="K2354" s="52" t="s">
        <v>607</v>
      </c>
      <c r="L2354" s="52" t="s">
        <v>607</v>
      </c>
      <c r="M2354" s="52" t="s">
        <v>607</v>
      </c>
      <c r="N2354" s="52" t="s">
        <v>607</v>
      </c>
      <c r="O2354" s="52"/>
      <c r="P2354" s="52"/>
      <c r="Q2354" s="52"/>
      <c r="R2354" s="51" t="b">
        <v>0</v>
      </c>
      <c r="S2354" s="51"/>
      <c r="T2354" s="52"/>
      <c r="U2354" s="51" t="b">
        <v>0</v>
      </c>
      <c r="V2354" s="51" t="b">
        <v>0</v>
      </c>
      <c r="W2354" s="51" t="b">
        <v>0</v>
      </c>
      <c r="X2354" s="51" t="b">
        <v>0</v>
      </c>
      <c r="Y2354" s="51" t="b">
        <v>0</v>
      </c>
      <c r="Z2354" s="51" t="b">
        <v>0</v>
      </c>
      <c r="AA2354" s="68"/>
      <c r="AB2354" s="52"/>
      <c r="AC2354" s="52"/>
      <c r="AD2354" s="52"/>
      <c r="AE2354" s="56" t="s">
        <v>607</v>
      </c>
      <c r="AF2354" s="56" t="s">
        <v>607</v>
      </c>
    </row>
    <row r="2355">
      <c r="A2355" s="52" t="s">
        <v>5649</v>
      </c>
      <c r="B2355" s="52" t="s">
        <v>607</v>
      </c>
      <c r="C2355" s="52" t="s">
        <v>607</v>
      </c>
      <c r="D2355" s="65" t="s">
        <v>607</v>
      </c>
      <c r="E2355" s="65" t="s">
        <v>607</v>
      </c>
      <c r="F2355" s="65" t="s">
        <v>607</v>
      </c>
      <c r="G2355" s="65" t="s">
        <v>607</v>
      </c>
      <c r="H2355" s="52" t="s">
        <v>607</v>
      </c>
      <c r="I2355" s="52" t="s">
        <v>607</v>
      </c>
      <c r="J2355" s="52" t="s">
        <v>607</v>
      </c>
      <c r="K2355" s="52" t="s">
        <v>607</v>
      </c>
      <c r="L2355" s="52" t="s">
        <v>607</v>
      </c>
      <c r="M2355" s="52" t="s">
        <v>607</v>
      </c>
      <c r="N2355" s="52" t="s">
        <v>607</v>
      </c>
      <c r="O2355" s="52"/>
      <c r="P2355" s="52"/>
      <c r="Q2355" s="52"/>
      <c r="R2355" s="51" t="b">
        <v>0</v>
      </c>
      <c r="S2355" s="51"/>
      <c r="T2355" s="52"/>
      <c r="U2355" s="51" t="b">
        <v>0</v>
      </c>
      <c r="V2355" s="51" t="b">
        <v>0</v>
      </c>
      <c r="W2355" s="51" t="b">
        <v>0</v>
      </c>
      <c r="X2355" s="51" t="b">
        <v>0</v>
      </c>
      <c r="Y2355" s="51" t="b">
        <v>0</v>
      </c>
      <c r="Z2355" s="51" t="b">
        <v>0</v>
      </c>
      <c r="AA2355" s="68"/>
      <c r="AB2355" s="52"/>
      <c r="AC2355" s="52"/>
      <c r="AD2355" s="52"/>
      <c r="AE2355" s="56" t="s">
        <v>607</v>
      </c>
      <c r="AF2355" s="56" t="s">
        <v>607</v>
      </c>
    </row>
    <row r="2356">
      <c r="A2356" s="52" t="s">
        <v>5650</v>
      </c>
      <c r="B2356" s="52" t="s">
        <v>607</v>
      </c>
      <c r="C2356" s="52" t="s">
        <v>607</v>
      </c>
      <c r="D2356" s="65" t="s">
        <v>607</v>
      </c>
      <c r="E2356" s="65" t="s">
        <v>607</v>
      </c>
      <c r="F2356" s="65" t="s">
        <v>607</v>
      </c>
      <c r="G2356" s="65" t="s">
        <v>607</v>
      </c>
      <c r="H2356" s="52" t="s">
        <v>607</v>
      </c>
      <c r="I2356" s="52" t="s">
        <v>607</v>
      </c>
      <c r="J2356" s="52" t="s">
        <v>607</v>
      </c>
      <c r="K2356" s="52" t="s">
        <v>607</v>
      </c>
      <c r="L2356" s="52" t="s">
        <v>607</v>
      </c>
      <c r="M2356" s="52" t="s">
        <v>607</v>
      </c>
      <c r="N2356" s="52" t="s">
        <v>607</v>
      </c>
      <c r="O2356" s="52"/>
      <c r="P2356" s="52"/>
      <c r="Q2356" s="52"/>
      <c r="R2356" s="51" t="b">
        <v>0</v>
      </c>
      <c r="S2356" s="51"/>
      <c r="T2356" s="52"/>
      <c r="U2356" s="51" t="b">
        <v>0</v>
      </c>
      <c r="V2356" s="51" t="b">
        <v>0</v>
      </c>
      <c r="W2356" s="51" t="b">
        <v>0</v>
      </c>
      <c r="X2356" s="51" t="b">
        <v>0</v>
      </c>
      <c r="Y2356" s="51" t="b">
        <v>0</v>
      </c>
      <c r="Z2356" s="51" t="b">
        <v>0</v>
      </c>
      <c r="AA2356" s="68"/>
      <c r="AB2356" s="52"/>
      <c r="AC2356" s="52"/>
      <c r="AD2356" s="52"/>
      <c r="AE2356" s="56" t="s">
        <v>607</v>
      </c>
      <c r="AF2356" s="56" t="s">
        <v>607</v>
      </c>
    </row>
    <row r="2357">
      <c r="A2357" s="52" t="s">
        <v>5651</v>
      </c>
      <c r="B2357" s="52" t="s">
        <v>607</v>
      </c>
      <c r="C2357" s="52" t="s">
        <v>607</v>
      </c>
      <c r="D2357" s="65" t="s">
        <v>607</v>
      </c>
      <c r="E2357" s="65" t="s">
        <v>607</v>
      </c>
      <c r="F2357" s="65" t="s">
        <v>607</v>
      </c>
      <c r="G2357" s="65" t="s">
        <v>607</v>
      </c>
      <c r="H2357" s="52" t="s">
        <v>607</v>
      </c>
      <c r="I2357" s="52" t="s">
        <v>607</v>
      </c>
      <c r="J2357" s="52" t="s">
        <v>607</v>
      </c>
      <c r="K2357" s="52" t="s">
        <v>607</v>
      </c>
      <c r="L2357" s="52" t="s">
        <v>607</v>
      </c>
      <c r="M2357" s="52" t="s">
        <v>607</v>
      </c>
      <c r="N2357" s="52" t="s">
        <v>607</v>
      </c>
      <c r="O2357" s="52"/>
      <c r="P2357" s="52"/>
      <c r="Q2357" s="52"/>
      <c r="R2357" s="51" t="b">
        <v>0</v>
      </c>
      <c r="S2357" s="51"/>
      <c r="T2357" s="52"/>
      <c r="U2357" s="51" t="b">
        <v>0</v>
      </c>
      <c r="V2357" s="51" t="b">
        <v>0</v>
      </c>
      <c r="W2357" s="51" t="b">
        <v>0</v>
      </c>
      <c r="X2357" s="51" t="b">
        <v>0</v>
      </c>
      <c r="Y2357" s="51" t="b">
        <v>0</v>
      </c>
      <c r="Z2357" s="51" t="b">
        <v>0</v>
      </c>
      <c r="AA2357" s="68"/>
      <c r="AB2357" s="52"/>
      <c r="AC2357" s="52"/>
      <c r="AD2357" s="52"/>
      <c r="AE2357" s="56" t="s">
        <v>607</v>
      </c>
      <c r="AF2357" s="56" t="s">
        <v>607</v>
      </c>
    </row>
    <row r="2358">
      <c r="A2358" s="52" t="s">
        <v>5652</v>
      </c>
      <c r="B2358" s="52" t="s">
        <v>607</v>
      </c>
      <c r="C2358" s="52" t="s">
        <v>607</v>
      </c>
      <c r="D2358" s="65" t="s">
        <v>607</v>
      </c>
      <c r="E2358" s="65" t="s">
        <v>607</v>
      </c>
      <c r="F2358" s="65" t="s">
        <v>607</v>
      </c>
      <c r="G2358" s="65" t="s">
        <v>607</v>
      </c>
      <c r="H2358" s="52" t="s">
        <v>607</v>
      </c>
      <c r="I2358" s="52" t="s">
        <v>607</v>
      </c>
      <c r="J2358" s="52" t="s">
        <v>607</v>
      </c>
      <c r="K2358" s="52" t="s">
        <v>607</v>
      </c>
      <c r="L2358" s="52" t="s">
        <v>607</v>
      </c>
      <c r="M2358" s="52" t="s">
        <v>607</v>
      </c>
      <c r="N2358" s="52" t="s">
        <v>607</v>
      </c>
      <c r="O2358" s="52"/>
      <c r="P2358" s="52"/>
      <c r="Q2358" s="52"/>
      <c r="R2358" s="51" t="b">
        <v>0</v>
      </c>
      <c r="S2358" s="51"/>
      <c r="T2358" s="52"/>
      <c r="U2358" s="51" t="b">
        <v>0</v>
      </c>
      <c r="V2358" s="51" t="b">
        <v>0</v>
      </c>
      <c r="W2358" s="51" t="b">
        <v>0</v>
      </c>
      <c r="X2358" s="51" t="b">
        <v>0</v>
      </c>
      <c r="Y2358" s="51" t="b">
        <v>0</v>
      </c>
      <c r="Z2358" s="51" t="b">
        <v>0</v>
      </c>
      <c r="AA2358" s="68"/>
      <c r="AB2358" s="52"/>
      <c r="AC2358" s="52"/>
      <c r="AD2358" s="52"/>
      <c r="AE2358" s="56" t="s">
        <v>607</v>
      </c>
      <c r="AF2358" s="56" t="s">
        <v>607</v>
      </c>
    </row>
    <row r="2359">
      <c r="A2359" s="52" t="s">
        <v>5653</v>
      </c>
      <c r="B2359" s="52" t="s">
        <v>607</v>
      </c>
      <c r="C2359" s="52" t="s">
        <v>607</v>
      </c>
      <c r="D2359" s="65" t="s">
        <v>607</v>
      </c>
      <c r="E2359" s="65" t="s">
        <v>607</v>
      </c>
      <c r="F2359" s="65" t="s">
        <v>607</v>
      </c>
      <c r="G2359" s="65" t="s">
        <v>607</v>
      </c>
      <c r="H2359" s="52" t="s">
        <v>607</v>
      </c>
      <c r="I2359" s="52" t="s">
        <v>607</v>
      </c>
      <c r="J2359" s="52" t="s">
        <v>607</v>
      </c>
      <c r="K2359" s="52" t="s">
        <v>607</v>
      </c>
      <c r="L2359" s="52" t="s">
        <v>607</v>
      </c>
      <c r="M2359" s="52" t="s">
        <v>607</v>
      </c>
      <c r="N2359" s="52" t="s">
        <v>607</v>
      </c>
      <c r="O2359" s="52"/>
      <c r="P2359" s="52"/>
      <c r="Q2359" s="52"/>
      <c r="R2359" s="51" t="b">
        <v>0</v>
      </c>
      <c r="S2359" s="51"/>
      <c r="T2359" s="52"/>
      <c r="U2359" s="51" t="b">
        <v>0</v>
      </c>
      <c r="V2359" s="51" t="b">
        <v>0</v>
      </c>
      <c r="W2359" s="51" t="b">
        <v>0</v>
      </c>
      <c r="X2359" s="51" t="b">
        <v>0</v>
      </c>
      <c r="Y2359" s="51" t="b">
        <v>0</v>
      </c>
      <c r="Z2359" s="51" t="b">
        <v>0</v>
      </c>
      <c r="AA2359" s="68"/>
      <c r="AB2359" s="52"/>
      <c r="AC2359" s="52"/>
      <c r="AD2359" s="52"/>
      <c r="AE2359" s="56" t="s">
        <v>607</v>
      </c>
      <c r="AF2359" s="56" t="s">
        <v>607</v>
      </c>
    </row>
    <row r="2360">
      <c r="A2360" s="52" t="s">
        <v>5654</v>
      </c>
      <c r="B2360" s="52" t="s">
        <v>607</v>
      </c>
      <c r="C2360" s="52" t="s">
        <v>607</v>
      </c>
      <c r="D2360" s="65" t="s">
        <v>607</v>
      </c>
      <c r="E2360" s="65" t="s">
        <v>607</v>
      </c>
      <c r="F2360" s="65" t="s">
        <v>607</v>
      </c>
      <c r="G2360" s="65" t="s">
        <v>607</v>
      </c>
      <c r="H2360" s="52" t="s">
        <v>607</v>
      </c>
      <c r="I2360" s="52" t="s">
        <v>607</v>
      </c>
      <c r="J2360" s="52" t="s">
        <v>607</v>
      </c>
      <c r="K2360" s="52" t="s">
        <v>607</v>
      </c>
      <c r="L2360" s="52" t="s">
        <v>607</v>
      </c>
      <c r="M2360" s="52" t="s">
        <v>607</v>
      </c>
      <c r="N2360" s="52" t="s">
        <v>607</v>
      </c>
      <c r="O2360" s="52"/>
      <c r="P2360" s="52"/>
      <c r="Q2360" s="52"/>
      <c r="R2360" s="51" t="b">
        <v>0</v>
      </c>
      <c r="S2360" s="51"/>
      <c r="T2360" s="52"/>
      <c r="U2360" s="51" t="b">
        <v>0</v>
      </c>
      <c r="V2360" s="51" t="b">
        <v>0</v>
      </c>
      <c r="W2360" s="51" t="b">
        <v>0</v>
      </c>
      <c r="X2360" s="51" t="b">
        <v>0</v>
      </c>
      <c r="Y2360" s="51" t="b">
        <v>0</v>
      </c>
      <c r="Z2360" s="51" t="b">
        <v>0</v>
      </c>
      <c r="AA2360" s="68"/>
      <c r="AB2360" s="52"/>
      <c r="AC2360" s="52"/>
      <c r="AD2360" s="52"/>
      <c r="AE2360" s="56" t="s">
        <v>607</v>
      </c>
      <c r="AF2360" s="56" t="s">
        <v>607</v>
      </c>
    </row>
    <row r="2361">
      <c r="A2361" s="52" t="s">
        <v>5655</v>
      </c>
      <c r="B2361" s="52" t="s">
        <v>607</v>
      </c>
      <c r="C2361" s="52" t="s">
        <v>607</v>
      </c>
      <c r="D2361" s="65" t="s">
        <v>607</v>
      </c>
      <c r="E2361" s="65" t="s">
        <v>607</v>
      </c>
      <c r="F2361" s="65" t="s">
        <v>607</v>
      </c>
      <c r="G2361" s="65" t="s">
        <v>607</v>
      </c>
      <c r="H2361" s="52" t="s">
        <v>607</v>
      </c>
      <c r="I2361" s="52" t="s">
        <v>607</v>
      </c>
      <c r="J2361" s="52" t="s">
        <v>607</v>
      </c>
      <c r="K2361" s="52" t="s">
        <v>607</v>
      </c>
      <c r="L2361" s="52" t="s">
        <v>607</v>
      </c>
      <c r="M2361" s="52" t="s">
        <v>607</v>
      </c>
      <c r="N2361" s="52" t="s">
        <v>607</v>
      </c>
      <c r="O2361" s="52"/>
      <c r="P2361" s="52"/>
      <c r="Q2361" s="52"/>
      <c r="R2361" s="51" t="b">
        <v>0</v>
      </c>
      <c r="S2361" s="51"/>
      <c r="T2361" s="52"/>
      <c r="U2361" s="51" t="b">
        <v>0</v>
      </c>
      <c r="V2361" s="51" t="b">
        <v>0</v>
      </c>
      <c r="W2361" s="51" t="b">
        <v>0</v>
      </c>
      <c r="X2361" s="51" t="b">
        <v>0</v>
      </c>
      <c r="Y2361" s="51" t="b">
        <v>0</v>
      </c>
      <c r="Z2361" s="51" t="b">
        <v>0</v>
      </c>
      <c r="AA2361" s="68"/>
      <c r="AB2361" s="52"/>
      <c r="AC2361" s="52"/>
      <c r="AD2361" s="52"/>
      <c r="AE2361" s="56" t="s">
        <v>607</v>
      </c>
      <c r="AF2361" s="56" t="s">
        <v>607</v>
      </c>
    </row>
    <row r="2362">
      <c r="A2362" s="52" t="s">
        <v>5656</v>
      </c>
      <c r="B2362" s="52" t="s">
        <v>607</v>
      </c>
      <c r="C2362" s="52" t="s">
        <v>607</v>
      </c>
      <c r="D2362" s="65" t="s">
        <v>607</v>
      </c>
      <c r="E2362" s="65" t="s">
        <v>607</v>
      </c>
      <c r="F2362" s="65" t="s">
        <v>607</v>
      </c>
      <c r="G2362" s="65" t="s">
        <v>607</v>
      </c>
      <c r="H2362" s="52" t="s">
        <v>607</v>
      </c>
      <c r="I2362" s="52" t="s">
        <v>607</v>
      </c>
      <c r="J2362" s="52" t="s">
        <v>607</v>
      </c>
      <c r="K2362" s="52" t="s">
        <v>607</v>
      </c>
      <c r="L2362" s="52" t="s">
        <v>607</v>
      </c>
      <c r="M2362" s="52" t="s">
        <v>607</v>
      </c>
      <c r="N2362" s="52" t="s">
        <v>607</v>
      </c>
      <c r="O2362" s="52"/>
      <c r="P2362" s="52"/>
      <c r="Q2362" s="52"/>
      <c r="R2362" s="51" t="b">
        <v>0</v>
      </c>
      <c r="S2362" s="51"/>
      <c r="T2362" s="52"/>
      <c r="U2362" s="51" t="b">
        <v>0</v>
      </c>
      <c r="V2362" s="51" t="b">
        <v>0</v>
      </c>
      <c r="W2362" s="51" t="b">
        <v>0</v>
      </c>
      <c r="X2362" s="51" t="b">
        <v>0</v>
      </c>
      <c r="Y2362" s="51" t="b">
        <v>0</v>
      </c>
      <c r="Z2362" s="51" t="b">
        <v>0</v>
      </c>
      <c r="AA2362" s="68"/>
      <c r="AB2362" s="52"/>
      <c r="AC2362" s="52"/>
      <c r="AD2362" s="52"/>
      <c r="AE2362" s="56" t="s">
        <v>607</v>
      </c>
      <c r="AF2362" s="56" t="s">
        <v>607</v>
      </c>
    </row>
    <row r="2363">
      <c r="A2363" s="52" t="s">
        <v>5657</v>
      </c>
      <c r="B2363" s="52" t="s">
        <v>607</v>
      </c>
      <c r="C2363" s="52" t="s">
        <v>607</v>
      </c>
      <c r="D2363" s="65" t="s">
        <v>607</v>
      </c>
      <c r="E2363" s="65" t="s">
        <v>607</v>
      </c>
      <c r="F2363" s="65" t="s">
        <v>607</v>
      </c>
      <c r="G2363" s="65" t="s">
        <v>607</v>
      </c>
      <c r="H2363" s="52" t="s">
        <v>607</v>
      </c>
      <c r="I2363" s="52" t="s">
        <v>607</v>
      </c>
      <c r="J2363" s="52" t="s">
        <v>607</v>
      </c>
      <c r="K2363" s="52" t="s">
        <v>607</v>
      </c>
      <c r="L2363" s="52" t="s">
        <v>607</v>
      </c>
      <c r="M2363" s="52" t="s">
        <v>607</v>
      </c>
      <c r="N2363" s="52" t="s">
        <v>607</v>
      </c>
      <c r="O2363" s="52"/>
      <c r="P2363" s="52"/>
      <c r="Q2363" s="52"/>
      <c r="R2363" s="51" t="b">
        <v>0</v>
      </c>
      <c r="S2363" s="51"/>
      <c r="T2363" s="52"/>
      <c r="U2363" s="51" t="b">
        <v>0</v>
      </c>
      <c r="V2363" s="51" t="b">
        <v>0</v>
      </c>
      <c r="W2363" s="51" t="b">
        <v>0</v>
      </c>
      <c r="X2363" s="51" t="b">
        <v>0</v>
      </c>
      <c r="Y2363" s="51" t="b">
        <v>0</v>
      </c>
      <c r="Z2363" s="51" t="b">
        <v>0</v>
      </c>
      <c r="AA2363" s="68"/>
      <c r="AB2363" s="52"/>
      <c r="AC2363" s="52"/>
      <c r="AD2363" s="52"/>
      <c r="AE2363" s="56" t="s">
        <v>607</v>
      </c>
      <c r="AF2363" s="56" t="s">
        <v>607</v>
      </c>
    </row>
    <row r="2364">
      <c r="A2364" s="52" t="s">
        <v>5658</v>
      </c>
      <c r="B2364" s="52" t="s">
        <v>607</v>
      </c>
      <c r="C2364" s="52" t="s">
        <v>607</v>
      </c>
      <c r="D2364" s="65" t="s">
        <v>607</v>
      </c>
      <c r="E2364" s="65" t="s">
        <v>607</v>
      </c>
      <c r="F2364" s="65" t="s">
        <v>607</v>
      </c>
      <c r="G2364" s="65" t="s">
        <v>607</v>
      </c>
      <c r="H2364" s="52" t="s">
        <v>607</v>
      </c>
      <c r="I2364" s="52" t="s">
        <v>607</v>
      </c>
      <c r="J2364" s="52" t="s">
        <v>607</v>
      </c>
      <c r="K2364" s="52" t="s">
        <v>607</v>
      </c>
      <c r="L2364" s="52" t="s">
        <v>607</v>
      </c>
      <c r="M2364" s="52" t="s">
        <v>607</v>
      </c>
      <c r="N2364" s="52" t="s">
        <v>607</v>
      </c>
      <c r="O2364" s="52"/>
      <c r="P2364" s="52"/>
      <c r="Q2364" s="52"/>
      <c r="R2364" s="51" t="b">
        <v>0</v>
      </c>
      <c r="S2364" s="51"/>
      <c r="T2364" s="52"/>
      <c r="U2364" s="51" t="b">
        <v>0</v>
      </c>
      <c r="V2364" s="51" t="b">
        <v>0</v>
      </c>
      <c r="W2364" s="51" t="b">
        <v>0</v>
      </c>
      <c r="X2364" s="51" t="b">
        <v>0</v>
      </c>
      <c r="Y2364" s="51" t="b">
        <v>0</v>
      </c>
      <c r="Z2364" s="51" t="b">
        <v>0</v>
      </c>
      <c r="AA2364" s="68"/>
      <c r="AB2364" s="52"/>
      <c r="AC2364" s="52"/>
      <c r="AD2364" s="52"/>
      <c r="AE2364" s="56" t="s">
        <v>607</v>
      </c>
      <c r="AF2364" s="56" t="s">
        <v>607</v>
      </c>
    </row>
    <row r="2365">
      <c r="A2365" s="52" t="s">
        <v>5659</v>
      </c>
      <c r="B2365" s="52" t="s">
        <v>607</v>
      </c>
      <c r="C2365" s="52" t="s">
        <v>607</v>
      </c>
      <c r="D2365" s="65" t="s">
        <v>607</v>
      </c>
      <c r="E2365" s="65" t="s">
        <v>607</v>
      </c>
      <c r="F2365" s="65" t="s">
        <v>607</v>
      </c>
      <c r="G2365" s="65" t="s">
        <v>607</v>
      </c>
      <c r="H2365" s="52" t="s">
        <v>607</v>
      </c>
      <c r="I2365" s="52" t="s">
        <v>607</v>
      </c>
      <c r="J2365" s="52" t="s">
        <v>607</v>
      </c>
      <c r="K2365" s="52" t="s">
        <v>607</v>
      </c>
      <c r="L2365" s="52" t="s">
        <v>607</v>
      </c>
      <c r="M2365" s="52" t="s">
        <v>607</v>
      </c>
      <c r="N2365" s="52" t="s">
        <v>607</v>
      </c>
      <c r="O2365" s="52"/>
      <c r="P2365" s="52"/>
      <c r="Q2365" s="52"/>
      <c r="R2365" s="51" t="b">
        <v>0</v>
      </c>
      <c r="S2365" s="51"/>
      <c r="T2365" s="52"/>
      <c r="U2365" s="51" t="b">
        <v>0</v>
      </c>
      <c r="V2365" s="51" t="b">
        <v>0</v>
      </c>
      <c r="W2365" s="51" t="b">
        <v>0</v>
      </c>
      <c r="X2365" s="51" t="b">
        <v>0</v>
      </c>
      <c r="Y2365" s="51" t="b">
        <v>0</v>
      </c>
      <c r="Z2365" s="51" t="b">
        <v>0</v>
      </c>
      <c r="AA2365" s="68"/>
      <c r="AB2365" s="52"/>
      <c r="AC2365" s="52"/>
      <c r="AD2365" s="52"/>
      <c r="AE2365" s="56" t="s">
        <v>607</v>
      </c>
      <c r="AF2365" s="56" t="s">
        <v>607</v>
      </c>
    </row>
    <row r="2366">
      <c r="A2366" s="52" t="s">
        <v>5660</v>
      </c>
      <c r="B2366" s="52" t="s">
        <v>607</v>
      </c>
      <c r="C2366" s="52" t="s">
        <v>607</v>
      </c>
      <c r="D2366" s="65" t="s">
        <v>607</v>
      </c>
      <c r="E2366" s="65" t="s">
        <v>607</v>
      </c>
      <c r="F2366" s="65" t="s">
        <v>607</v>
      </c>
      <c r="G2366" s="65" t="s">
        <v>607</v>
      </c>
      <c r="H2366" s="52" t="s">
        <v>607</v>
      </c>
      <c r="I2366" s="52" t="s">
        <v>607</v>
      </c>
      <c r="J2366" s="52" t="s">
        <v>607</v>
      </c>
      <c r="K2366" s="52" t="s">
        <v>607</v>
      </c>
      <c r="L2366" s="52" t="s">
        <v>607</v>
      </c>
      <c r="M2366" s="52" t="s">
        <v>607</v>
      </c>
      <c r="N2366" s="52" t="s">
        <v>607</v>
      </c>
      <c r="O2366" s="52"/>
      <c r="P2366" s="52"/>
      <c r="Q2366" s="52"/>
      <c r="R2366" s="51" t="b">
        <v>0</v>
      </c>
      <c r="S2366" s="51"/>
      <c r="T2366" s="52"/>
      <c r="U2366" s="51" t="b">
        <v>0</v>
      </c>
      <c r="V2366" s="51" t="b">
        <v>0</v>
      </c>
      <c r="W2366" s="51" t="b">
        <v>0</v>
      </c>
      <c r="X2366" s="51" t="b">
        <v>0</v>
      </c>
      <c r="Y2366" s="51" t="b">
        <v>0</v>
      </c>
      <c r="Z2366" s="51" t="b">
        <v>0</v>
      </c>
      <c r="AA2366" s="68"/>
      <c r="AB2366" s="52"/>
      <c r="AC2366" s="52"/>
      <c r="AD2366" s="52"/>
      <c r="AE2366" s="56" t="s">
        <v>607</v>
      </c>
      <c r="AF2366" s="56" t="s">
        <v>607</v>
      </c>
    </row>
    <row r="2367">
      <c r="A2367" s="52" t="s">
        <v>5661</v>
      </c>
      <c r="B2367" s="52" t="s">
        <v>607</v>
      </c>
      <c r="C2367" s="52" t="s">
        <v>607</v>
      </c>
      <c r="D2367" s="65" t="s">
        <v>607</v>
      </c>
      <c r="E2367" s="65" t="s">
        <v>607</v>
      </c>
      <c r="F2367" s="65" t="s">
        <v>607</v>
      </c>
      <c r="G2367" s="65" t="s">
        <v>607</v>
      </c>
      <c r="H2367" s="52" t="s">
        <v>607</v>
      </c>
      <c r="I2367" s="52" t="s">
        <v>607</v>
      </c>
      <c r="J2367" s="52" t="s">
        <v>607</v>
      </c>
      <c r="K2367" s="52" t="s">
        <v>607</v>
      </c>
      <c r="L2367" s="52" t="s">
        <v>607</v>
      </c>
      <c r="M2367" s="52" t="s">
        <v>607</v>
      </c>
      <c r="N2367" s="52" t="s">
        <v>607</v>
      </c>
      <c r="O2367" s="52"/>
      <c r="P2367" s="52"/>
      <c r="Q2367" s="52"/>
      <c r="R2367" s="51" t="b">
        <v>0</v>
      </c>
      <c r="S2367" s="51"/>
      <c r="T2367" s="52"/>
      <c r="U2367" s="51" t="b">
        <v>0</v>
      </c>
      <c r="V2367" s="51" t="b">
        <v>0</v>
      </c>
      <c r="W2367" s="51" t="b">
        <v>0</v>
      </c>
      <c r="X2367" s="51" t="b">
        <v>0</v>
      </c>
      <c r="Y2367" s="51" t="b">
        <v>0</v>
      </c>
      <c r="Z2367" s="51" t="b">
        <v>0</v>
      </c>
      <c r="AA2367" s="68"/>
      <c r="AB2367" s="52"/>
      <c r="AC2367" s="52"/>
      <c r="AD2367" s="52"/>
      <c r="AE2367" s="56" t="s">
        <v>607</v>
      </c>
      <c r="AF2367" s="56" t="s">
        <v>607</v>
      </c>
    </row>
    <row r="2368">
      <c r="A2368" s="52" t="s">
        <v>5662</v>
      </c>
      <c r="B2368" s="52" t="s">
        <v>607</v>
      </c>
      <c r="C2368" s="52" t="s">
        <v>607</v>
      </c>
      <c r="D2368" s="65" t="s">
        <v>607</v>
      </c>
      <c r="E2368" s="65" t="s">
        <v>607</v>
      </c>
      <c r="F2368" s="65" t="s">
        <v>607</v>
      </c>
      <c r="G2368" s="65" t="s">
        <v>607</v>
      </c>
      <c r="H2368" s="52" t="s">
        <v>607</v>
      </c>
      <c r="I2368" s="52" t="s">
        <v>607</v>
      </c>
      <c r="J2368" s="52" t="s">
        <v>607</v>
      </c>
      <c r="K2368" s="52" t="s">
        <v>607</v>
      </c>
      <c r="L2368" s="52" t="s">
        <v>607</v>
      </c>
      <c r="M2368" s="52" t="s">
        <v>607</v>
      </c>
      <c r="N2368" s="52" t="s">
        <v>607</v>
      </c>
      <c r="O2368" s="52"/>
      <c r="P2368" s="52"/>
      <c r="Q2368" s="52"/>
      <c r="R2368" s="51" t="b">
        <v>0</v>
      </c>
      <c r="S2368" s="51"/>
      <c r="T2368" s="52"/>
      <c r="U2368" s="51" t="b">
        <v>0</v>
      </c>
      <c r="V2368" s="51" t="b">
        <v>0</v>
      </c>
      <c r="W2368" s="51" t="b">
        <v>0</v>
      </c>
      <c r="X2368" s="51" t="b">
        <v>0</v>
      </c>
      <c r="Y2368" s="51" t="b">
        <v>0</v>
      </c>
      <c r="Z2368" s="51" t="b">
        <v>0</v>
      </c>
      <c r="AA2368" s="68"/>
      <c r="AB2368" s="52"/>
      <c r="AC2368" s="52"/>
      <c r="AD2368" s="52"/>
      <c r="AE2368" s="56" t="s">
        <v>607</v>
      </c>
      <c r="AF2368" s="56" t="s">
        <v>607</v>
      </c>
    </row>
    <row r="2369">
      <c r="A2369" s="52" t="s">
        <v>5663</v>
      </c>
      <c r="B2369" s="52" t="s">
        <v>607</v>
      </c>
      <c r="C2369" s="52" t="s">
        <v>607</v>
      </c>
      <c r="D2369" s="65" t="s">
        <v>607</v>
      </c>
      <c r="E2369" s="65" t="s">
        <v>607</v>
      </c>
      <c r="F2369" s="65" t="s">
        <v>607</v>
      </c>
      <c r="G2369" s="65" t="s">
        <v>607</v>
      </c>
      <c r="H2369" s="52" t="s">
        <v>607</v>
      </c>
      <c r="I2369" s="52" t="s">
        <v>607</v>
      </c>
      <c r="J2369" s="52" t="s">
        <v>607</v>
      </c>
      <c r="K2369" s="52" t="s">
        <v>607</v>
      </c>
      <c r="L2369" s="52" t="s">
        <v>607</v>
      </c>
      <c r="M2369" s="52" t="s">
        <v>607</v>
      </c>
      <c r="N2369" s="52" t="s">
        <v>607</v>
      </c>
      <c r="O2369" s="52"/>
      <c r="P2369" s="52"/>
      <c r="Q2369" s="52"/>
      <c r="R2369" s="51" t="b">
        <v>0</v>
      </c>
      <c r="S2369" s="51"/>
      <c r="T2369" s="52"/>
      <c r="U2369" s="51" t="b">
        <v>0</v>
      </c>
      <c r="V2369" s="51" t="b">
        <v>0</v>
      </c>
      <c r="W2369" s="51" t="b">
        <v>0</v>
      </c>
      <c r="X2369" s="51" t="b">
        <v>0</v>
      </c>
      <c r="Y2369" s="51" t="b">
        <v>0</v>
      </c>
      <c r="Z2369" s="51" t="b">
        <v>0</v>
      </c>
      <c r="AA2369" s="68"/>
      <c r="AB2369" s="52"/>
      <c r="AC2369" s="52"/>
      <c r="AD2369" s="52"/>
      <c r="AE2369" s="56" t="s">
        <v>607</v>
      </c>
      <c r="AF2369" s="56" t="s">
        <v>607</v>
      </c>
    </row>
    <row r="2370">
      <c r="A2370" s="52" t="s">
        <v>5664</v>
      </c>
      <c r="B2370" s="52" t="s">
        <v>607</v>
      </c>
      <c r="C2370" s="52" t="s">
        <v>607</v>
      </c>
      <c r="D2370" s="65" t="s">
        <v>607</v>
      </c>
      <c r="E2370" s="65" t="s">
        <v>607</v>
      </c>
      <c r="F2370" s="65" t="s">
        <v>607</v>
      </c>
      <c r="G2370" s="65" t="s">
        <v>607</v>
      </c>
      <c r="H2370" s="52" t="s">
        <v>607</v>
      </c>
      <c r="I2370" s="52" t="s">
        <v>607</v>
      </c>
      <c r="J2370" s="52" t="s">
        <v>607</v>
      </c>
      <c r="K2370" s="52" t="s">
        <v>607</v>
      </c>
      <c r="L2370" s="52" t="s">
        <v>607</v>
      </c>
      <c r="M2370" s="52" t="s">
        <v>607</v>
      </c>
      <c r="N2370" s="52" t="s">
        <v>607</v>
      </c>
      <c r="O2370" s="52"/>
      <c r="P2370" s="52"/>
      <c r="Q2370" s="52"/>
      <c r="R2370" s="51" t="b">
        <v>0</v>
      </c>
      <c r="S2370" s="51"/>
      <c r="T2370" s="52"/>
      <c r="U2370" s="51" t="b">
        <v>0</v>
      </c>
      <c r="V2370" s="51" t="b">
        <v>0</v>
      </c>
      <c r="W2370" s="51" t="b">
        <v>0</v>
      </c>
      <c r="X2370" s="51" t="b">
        <v>0</v>
      </c>
      <c r="Y2370" s="51" t="b">
        <v>0</v>
      </c>
      <c r="Z2370" s="51" t="b">
        <v>0</v>
      </c>
      <c r="AA2370" s="68"/>
      <c r="AB2370" s="52"/>
      <c r="AC2370" s="52"/>
      <c r="AD2370" s="52"/>
      <c r="AE2370" s="56" t="s">
        <v>607</v>
      </c>
      <c r="AF2370" s="56" t="s">
        <v>607</v>
      </c>
    </row>
    <row r="2371">
      <c r="A2371" s="52" t="s">
        <v>5665</v>
      </c>
      <c r="B2371" s="52" t="s">
        <v>607</v>
      </c>
      <c r="C2371" s="52" t="s">
        <v>607</v>
      </c>
      <c r="D2371" s="65" t="s">
        <v>607</v>
      </c>
      <c r="E2371" s="65" t="s">
        <v>607</v>
      </c>
      <c r="F2371" s="65" t="s">
        <v>607</v>
      </c>
      <c r="G2371" s="65" t="s">
        <v>607</v>
      </c>
      <c r="H2371" s="52" t="s">
        <v>607</v>
      </c>
      <c r="I2371" s="52" t="s">
        <v>607</v>
      </c>
      <c r="J2371" s="52" t="s">
        <v>607</v>
      </c>
      <c r="K2371" s="52" t="s">
        <v>607</v>
      </c>
      <c r="L2371" s="52" t="s">
        <v>607</v>
      </c>
      <c r="M2371" s="52" t="s">
        <v>607</v>
      </c>
      <c r="N2371" s="52" t="s">
        <v>607</v>
      </c>
      <c r="O2371" s="52"/>
      <c r="P2371" s="52"/>
      <c r="Q2371" s="52"/>
      <c r="R2371" s="51" t="b">
        <v>0</v>
      </c>
      <c r="S2371" s="51"/>
      <c r="T2371" s="52"/>
      <c r="U2371" s="51" t="b">
        <v>0</v>
      </c>
      <c r="V2371" s="51" t="b">
        <v>0</v>
      </c>
      <c r="W2371" s="51" t="b">
        <v>0</v>
      </c>
      <c r="X2371" s="51" t="b">
        <v>0</v>
      </c>
      <c r="Y2371" s="51" t="b">
        <v>0</v>
      </c>
      <c r="Z2371" s="51" t="b">
        <v>0</v>
      </c>
      <c r="AA2371" s="68"/>
      <c r="AB2371" s="52"/>
      <c r="AC2371" s="52"/>
      <c r="AD2371" s="52"/>
      <c r="AE2371" s="56" t="s">
        <v>607</v>
      </c>
      <c r="AF2371" s="56" t="s">
        <v>607</v>
      </c>
    </row>
    <row r="2372">
      <c r="A2372" s="52" t="s">
        <v>5666</v>
      </c>
      <c r="B2372" s="52" t="s">
        <v>607</v>
      </c>
      <c r="C2372" s="52" t="s">
        <v>607</v>
      </c>
      <c r="D2372" s="65" t="s">
        <v>607</v>
      </c>
      <c r="E2372" s="65" t="s">
        <v>607</v>
      </c>
      <c r="F2372" s="65" t="s">
        <v>607</v>
      </c>
      <c r="G2372" s="65" t="s">
        <v>607</v>
      </c>
      <c r="H2372" s="52" t="s">
        <v>607</v>
      </c>
      <c r="I2372" s="52" t="s">
        <v>607</v>
      </c>
      <c r="J2372" s="52" t="s">
        <v>607</v>
      </c>
      <c r="K2372" s="52" t="s">
        <v>607</v>
      </c>
      <c r="L2372" s="52" t="s">
        <v>607</v>
      </c>
      <c r="M2372" s="52" t="s">
        <v>607</v>
      </c>
      <c r="N2372" s="52" t="s">
        <v>607</v>
      </c>
      <c r="O2372" s="52"/>
      <c r="P2372" s="52"/>
      <c r="Q2372" s="52"/>
      <c r="R2372" s="51" t="b">
        <v>0</v>
      </c>
      <c r="S2372" s="51"/>
      <c r="T2372" s="52"/>
      <c r="U2372" s="51" t="b">
        <v>0</v>
      </c>
      <c r="V2372" s="51" t="b">
        <v>0</v>
      </c>
      <c r="W2372" s="51" t="b">
        <v>0</v>
      </c>
      <c r="X2372" s="51" t="b">
        <v>0</v>
      </c>
      <c r="Y2372" s="51" t="b">
        <v>0</v>
      </c>
      <c r="Z2372" s="51" t="b">
        <v>0</v>
      </c>
      <c r="AA2372" s="68"/>
      <c r="AB2372" s="52"/>
      <c r="AC2372" s="52"/>
      <c r="AD2372" s="52"/>
      <c r="AE2372" s="56" t="s">
        <v>607</v>
      </c>
      <c r="AF2372" s="56" t="s">
        <v>607</v>
      </c>
    </row>
    <row r="2373">
      <c r="A2373" s="52" t="s">
        <v>5667</v>
      </c>
      <c r="B2373" s="52" t="s">
        <v>607</v>
      </c>
      <c r="C2373" s="52" t="s">
        <v>607</v>
      </c>
      <c r="D2373" s="65" t="s">
        <v>607</v>
      </c>
      <c r="E2373" s="65" t="s">
        <v>607</v>
      </c>
      <c r="F2373" s="65" t="s">
        <v>607</v>
      </c>
      <c r="G2373" s="65" t="s">
        <v>607</v>
      </c>
      <c r="H2373" s="52" t="s">
        <v>607</v>
      </c>
      <c r="I2373" s="52" t="s">
        <v>607</v>
      </c>
      <c r="J2373" s="52" t="s">
        <v>607</v>
      </c>
      <c r="K2373" s="52" t="s">
        <v>607</v>
      </c>
      <c r="L2373" s="52" t="s">
        <v>607</v>
      </c>
      <c r="M2373" s="52" t="s">
        <v>607</v>
      </c>
      <c r="N2373" s="52" t="s">
        <v>607</v>
      </c>
      <c r="O2373" s="52"/>
      <c r="P2373" s="52"/>
      <c r="Q2373" s="52"/>
      <c r="R2373" s="51" t="b">
        <v>0</v>
      </c>
      <c r="S2373" s="51"/>
      <c r="T2373" s="52"/>
      <c r="U2373" s="51" t="b">
        <v>0</v>
      </c>
      <c r="V2373" s="51" t="b">
        <v>0</v>
      </c>
      <c r="W2373" s="51" t="b">
        <v>0</v>
      </c>
      <c r="X2373" s="51" t="b">
        <v>0</v>
      </c>
      <c r="Y2373" s="51" t="b">
        <v>0</v>
      </c>
      <c r="Z2373" s="51" t="b">
        <v>0</v>
      </c>
      <c r="AA2373" s="68"/>
      <c r="AB2373" s="52"/>
      <c r="AC2373" s="52"/>
      <c r="AD2373" s="52"/>
      <c r="AE2373" s="56" t="s">
        <v>607</v>
      </c>
      <c r="AF2373" s="56" t="s">
        <v>607</v>
      </c>
    </row>
    <row r="2374">
      <c r="A2374" s="52" t="s">
        <v>5668</v>
      </c>
      <c r="B2374" s="52" t="s">
        <v>607</v>
      </c>
      <c r="C2374" s="52" t="s">
        <v>607</v>
      </c>
      <c r="D2374" s="65" t="s">
        <v>607</v>
      </c>
      <c r="E2374" s="65" t="s">
        <v>607</v>
      </c>
      <c r="F2374" s="65" t="s">
        <v>607</v>
      </c>
      <c r="G2374" s="65" t="s">
        <v>607</v>
      </c>
      <c r="H2374" s="52" t="s">
        <v>607</v>
      </c>
      <c r="I2374" s="52" t="s">
        <v>607</v>
      </c>
      <c r="J2374" s="52" t="s">
        <v>607</v>
      </c>
      <c r="K2374" s="52" t="s">
        <v>607</v>
      </c>
      <c r="L2374" s="52" t="s">
        <v>607</v>
      </c>
      <c r="M2374" s="52" t="s">
        <v>607</v>
      </c>
      <c r="N2374" s="52" t="s">
        <v>607</v>
      </c>
      <c r="O2374" s="52"/>
      <c r="P2374" s="52"/>
      <c r="Q2374" s="52"/>
      <c r="R2374" s="51" t="b">
        <v>0</v>
      </c>
      <c r="S2374" s="51"/>
      <c r="T2374" s="52"/>
      <c r="U2374" s="51" t="b">
        <v>0</v>
      </c>
      <c r="V2374" s="51" t="b">
        <v>0</v>
      </c>
      <c r="W2374" s="51" t="b">
        <v>0</v>
      </c>
      <c r="X2374" s="51" t="b">
        <v>0</v>
      </c>
      <c r="Y2374" s="51" t="b">
        <v>0</v>
      </c>
      <c r="Z2374" s="51" t="b">
        <v>0</v>
      </c>
      <c r="AA2374" s="68"/>
      <c r="AB2374" s="52"/>
      <c r="AC2374" s="52"/>
      <c r="AD2374" s="52"/>
      <c r="AE2374" s="56" t="s">
        <v>607</v>
      </c>
      <c r="AF2374" s="56" t="s">
        <v>607</v>
      </c>
    </row>
    <row r="2375">
      <c r="A2375" s="52" t="s">
        <v>5669</v>
      </c>
      <c r="B2375" s="52" t="s">
        <v>607</v>
      </c>
      <c r="C2375" s="52" t="s">
        <v>607</v>
      </c>
      <c r="D2375" s="65" t="s">
        <v>607</v>
      </c>
      <c r="E2375" s="65" t="s">
        <v>607</v>
      </c>
      <c r="F2375" s="65" t="s">
        <v>607</v>
      </c>
      <c r="G2375" s="65" t="s">
        <v>607</v>
      </c>
      <c r="H2375" s="52" t="s">
        <v>607</v>
      </c>
      <c r="I2375" s="52" t="s">
        <v>607</v>
      </c>
      <c r="J2375" s="52" t="s">
        <v>607</v>
      </c>
      <c r="K2375" s="52" t="s">
        <v>607</v>
      </c>
      <c r="L2375" s="52" t="s">
        <v>607</v>
      </c>
      <c r="M2375" s="52" t="s">
        <v>607</v>
      </c>
      <c r="N2375" s="52" t="s">
        <v>607</v>
      </c>
      <c r="O2375" s="52"/>
      <c r="P2375" s="52"/>
      <c r="Q2375" s="52"/>
      <c r="R2375" s="51" t="b">
        <v>0</v>
      </c>
      <c r="S2375" s="51"/>
      <c r="T2375" s="52"/>
      <c r="U2375" s="51" t="b">
        <v>0</v>
      </c>
      <c r="V2375" s="51" t="b">
        <v>0</v>
      </c>
      <c r="W2375" s="51" t="b">
        <v>0</v>
      </c>
      <c r="X2375" s="51" t="b">
        <v>0</v>
      </c>
      <c r="Y2375" s="51" t="b">
        <v>0</v>
      </c>
      <c r="Z2375" s="51" t="b">
        <v>0</v>
      </c>
      <c r="AA2375" s="68"/>
      <c r="AB2375" s="52"/>
      <c r="AC2375" s="52"/>
      <c r="AD2375" s="52"/>
      <c r="AE2375" s="56" t="s">
        <v>607</v>
      </c>
      <c r="AF2375" s="56" t="s">
        <v>607</v>
      </c>
    </row>
    <row r="2376">
      <c r="A2376" s="52" t="s">
        <v>5670</v>
      </c>
      <c r="B2376" s="52" t="s">
        <v>607</v>
      </c>
      <c r="C2376" s="52" t="s">
        <v>607</v>
      </c>
      <c r="D2376" s="65" t="s">
        <v>607</v>
      </c>
      <c r="E2376" s="65" t="s">
        <v>607</v>
      </c>
      <c r="F2376" s="65" t="s">
        <v>607</v>
      </c>
      <c r="G2376" s="65" t="s">
        <v>607</v>
      </c>
      <c r="H2376" s="52" t="s">
        <v>607</v>
      </c>
      <c r="I2376" s="52" t="s">
        <v>607</v>
      </c>
      <c r="J2376" s="52" t="s">
        <v>607</v>
      </c>
      <c r="K2376" s="52" t="s">
        <v>607</v>
      </c>
      <c r="L2376" s="52" t="s">
        <v>607</v>
      </c>
      <c r="M2376" s="52" t="s">
        <v>607</v>
      </c>
      <c r="N2376" s="52" t="s">
        <v>607</v>
      </c>
      <c r="O2376" s="52"/>
      <c r="P2376" s="52"/>
      <c r="Q2376" s="52"/>
      <c r="R2376" s="51" t="b">
        <v>0</v>
      </c>
      <c r="S2376" s="51"/>
      <c r="T2376" s="52"/>
      <c r="U2376" s="51" t="b">
        <v>0</v>
      </c>
      <c r="V2376" s="51" t="b">
        <v>0</v>
      </c>
      <c r="W2376" s="51" t="b">
        <v>0</v>
      </c>
      <c r="X2376" s="51" t="b">
        <v>0</v>
      </c>
      <c r="Y2376" s="51" t="b">
        <v>0</v>
      </c>
      <c r="Z2376" s="51" t="b">
        <v>0</v>
      </c>
      <c r="AA2376" s="68"/>
      <c r="AB2376" s="52"/>
      <c r="AC2376" s="52"/>
      <c r="AD2376" s="52"/>
      <c r="AE2376" s="56" t="s">
        <v>607</v>
      </c>
      <c r="AF2376" s="56" t="s">
        <v>607</v>
      </c>
    </row>
    <row r="2377">
      <c r="A2377" s="52" t="s">
        <v>5671</v>
      </c>
      <c r="B2377" s="52" t="s">
        <v>607</v>
      </c>
      <c r="C2377" s="52" t="s">
        <v>607</v>
      </c>
      <c r="D2377" s="65" t="s">
        <v>607</v>
      </c>
      <c r="E2377" s="65" t="s">
        <v>607</v>
      </c>
      <c r="F2377" s="65" t="s">
        <v>607</v>
      </c>
      <c r="G2377" s="65" t="s">
        <v>607</v>
      </c>
      <c r="H2377" s="52" t="s">
        <v>607</v>
      </c>
      <c r="I2377" s="52" t="s">
        <v>607</v>
      </c>
      <c r="J2377" s="52" t="s">
        <v>607</v>
      </c>
      <c r="K2377" s="52" t="s">
        <v>607</v>
      </c>
      <c r="L2377" s="52" t="s">
        <v>607</v>
      </c>
      <c r="M2377" s="52" t="s">
        <v>607</v>
      </c>
      <c r="N2377" s="52" t="s">
        <v>607</v>
      </c>
      <c r="O2377" s="52"/>
      <c r="P2377" s="52"/>
      <c r="Q2377" s="52"/>
      <c r="R2377" s="51" t="b">
        <v>0</v>
      </c>
      <c r="S2377" s="51"/>
      <c r="T2377" s="52"/>
      <c r="U2377" s="51" t="b">
        <v>0</v>
      </c>
      <c r="V2377" s="51" t="b">
        <v>0</v>
      </c>
      <c r="W2377" s="51" t="b">
        <v>0</v>
      </c>
      <c r="X2377" s="51" t="b">
        <v>0</v>
      </c>
      <c r="Y2377" s="51" t="b">
        <v>0</v>
      </c>
      <c r="Z2377" s="51" t="b">
        <v>0</v>
      </c>
      <c r="AA2377" s="68"/>
      <c r="AB2377" s="52"/>
      <c r="AC2377" s="52"/>
      <c r="AD2377" s="52"/>
      <c r="AE2377" s="56" t="s">
        <v>607</v>
      </c>
      <c r="AF2377" s="56" t="s">
        <v>607</v>
      </c>
    </row>
    <row r="2378">
      <c r="A2378" s="52" t="s">
        <v>5672</v>
      </c>
      <c r="B2378" s="52" t="s">
        <v>607</v>
      </c>
      <c r="C2378" s="52" t="s">
        <v>607</v>
      </c>
      <c r="D2378" s="65" t="s">
        <v>607</v>
      </c>
      <c r="E2378" s="65" t="s">
        <v>607</v>
      </c>
      <c r="F2378" s="65" t="s">
        <v>607</v>
      </c>
      <c r="G2378" s="65" t="s">
        <v>607</v>
      </c>
      <c r="H2378" s="52" t="s">
        <v>607</v>
      </c>
      <c r="I2378" s="52" t="s">
        <v>607</v>
      </c>
      <c r="J2378" s="52" t="s">
        <v>607</v>
      </c>
      <c r="K2378" s="52" t="s">
        <v>607</v>
      </c>
      <c r="L2378" s="52" t="s">
        <v>607</v>
      </c>
      <c r="M2378" s="52" t="s">
        <v>607</v>
      </c>
      <c r="N2378" s="52" t="s">
        <v>607</v>
      </c>
      <c r="O2378" s="52"/>
      <c r="P2378" s="52"/>
      <c r="Q2378" s="52"/>
      <c r="R2378" s="51" t="b">
        <v>0</v>
      </c>
      <c r="S2378" s="51"/>
      <c r="T2378" s="52"/>
      <c r="U2378" s="51" t="b">
        <v>0</v>
      </c>
      <c r="V2378" s="51" t="b">
        <v>0</v>
      </c>
      <c r="W2378" s="51" t="b">
        <v>0</v>
      </c>
      <c r="X2378" s="51" t="b">
        <v>0</v>
      </c>
      <c r="Y2378" s="51" t="b">
        <v>0</v>
      </c>
      <c r="Z2378" s="51" t="b">
        <v>0</v>
      </c>
      <c r="AA2378" s="68"/>
      <c r="AB2378" s="52"/>
      <c r="AC2378" s="52"/>
      <c r="AD2378" s="52"/>
      <c r="AE2378" s="56" t="s">
        <v>607</v>
      </c>
      <c r="AF2378" s="56" t="s">
        <v>607</v>
      </c>
    </row>
    <row r="2379">
      <c r="A2379" s="52" t="s">
        <v>5673</v>
      </c>
      <c r="B2379" s="52" t="s">
        <v>607</v>
      </c>
      <c r="C2379" s="52" t="s">
        <v>607</v>
      </c>
      <c r="D2379" s="65" t="s">
        <v>607</v>
      </c>
      <c r="E2379" s="65" t="s">
        <v>607</v>
      </c>
      <c r="F2379" s="65" t="s">
        <v>607</v>
      </c>
      <c r="G2379" s="65" t="s">
        <v>607</v>
      </c>
      <c r="H2379" s="52" t="s">
        <v>607</v>
      </c>
      <c r="I2379" s="52" t="s">
        <v>607</v>
      </c>
      <c r="J2379" s="52" t="s">
        <v>607</v>
      </c>
      <c r="K2379" s="52" t="s">
        <v>607</v>
      </c>
      <c r="L2379" s="52" t="s">
        <v>607</v>
      </c>
      <c r="M2379" s="52" t="s">
        <v>607</v>
      </c>
      <c r="N2379" s="52" t="s">
        <v>607</v>
      </c>
      <c r="O2379" s="52"/>
      <c r="P2379" s="52"/>
      <c r="Q2379" s="52"/>
      <c r="R2379" s="51" t="b">
        <v>0</v>
      </c>
      <c r="S2379" s="51"/>
      <c r="T2379" s="52"/>
      <c r="U2379" s="51" t="b">
        <v>0</v>
      </c>
      <c r="V2379" s="51" t="b">
        <v>0</v>
      </c>
      <c r="W2379" s="51" t="b">
        <v>0</v>
      </c>
      <c r="X2379" s="51" t="b">
        <v>0</v>
      </c>
      <c r="Y2379" s="51" t="b">
        <v>0</v>
      </c>
      <c r="Z2379" s="51" t="b">
        <v>0</v>
      </c>
      <c r="AA2379" s="68"/>
      <c r="AB2379" s="52"/>
      <c r="AC2379" s="52"/>
      <c r="AD2379" s="52"/>
      <c r="AE2379" s="56" t="s">
        <v>607</v>
      </c>
      <c r="AF2379" s="56" t="s">
        <v>607</v>
      </c>
    </row>
    <row r="2380">
      <c r="A2380" s="52" t="s">
        <v>5674</v>
      </c>
      <c r="B2380" s="52" t="s">
        <v>607</v>
      </c>
      <c r="C2380" s="52" t="s">
        <v>607</v>
      </c>
      <c r="D2380" s="65" t="s">
        <v>607</v>
      </c>
      <c r="E2380" s="65" t="s">
        <v>607</v>
      </c>
      <c r="F2380" s="65" t="s">
        <v>607</v>
      </c>
      <c r="G2380" s="65" t="s">
        <v>607</v>
      </c>
      <c r="H2380" s="52" t="s">
        <v>607</v>
      </c>
      <c r="I2380" s="52" t="s">
        <v>607</v>
      </c>
      <c r="J2380" s="52" t="s">
        <v>607</v>
      </c>
      <c r="K2380" s="52" t="s">
        <v>607</v>
      </c>
      <c r="L2380" s="52" t="s">
        <v>607</v>
      </c>
      <c r="M2380" s="52" t="s">
        <v>607</v>
      </c>
      <c r="N2380" s="52" t="s">
        <v>607</v>
      </c>
      <c r="O2380" s="52"/>
      <c r="P2380" s="52"/>
      <c r="Q2380" s="52"/>
      <c r="R2380" s="51" t="b">
        <v>0</v>
      </c>
      <c r="S2380" s="51"/>
      <c r="T2380" s="52"/>
      <c r="U2380" s="51" t="b">
        <v>0</v>
      </c>
      <c r="V2380" s="51" t="b">
        <v>0</v>
      </c>
      <c r="W2380" s="51" t="b">
        <v>0</v>
      </c>
      <c r="X2380" s="51" t="b">
        <v>0</v>
      </c>
      <c r="Y2380" s="51" t="b">
        <v>0</v>
      </c>
      <c r="Z2380" s="51" t="b">
        <v>0</v>
      </c>
      <c r="AA2380" s="68"/>
      <c r="AB2380" s="52"/>
      <c r="AC2380" s="52"/>
      <c r="AD2380" s="52"/>
      <c r="AE2380" s="56" t="s">
        <v>607</v>
      </c>
      <c r="AF2380" s="56" t="s">
        <v>607</v>
      </c>
    </row>
    <row r="2381">
      <c r="A2381" s="52" t="s">
        <v>5675</v>
      </c>
      <c r="B2381" s="52" t="s">
        <v>607</v>
      </c>
      <c r="C2381" s="52" t="s">
        <v>607</v>
      </c>
      <c r="D2381" s="65" t="s">
        <v>607</v>
      </c>
      <c r="E2381" s="65" t="s">
        <v>607</v>
      </c>
      <c r="F2381" s="65" t="s">
        <v>607</v>
      </c>
      <c r="G2381" s="65" t="s">
        <v>607</v>
      </c>
      <c r="H2381" s="52" t="s">
        <v>607</v>
      </c>
      <c r="I2381" s="52" t="s">
        <v>607</v>
      </c>
      <c r="J2381" s="52" t="s">
        <v>607</v>
      </c>
      <c r="K2381" s="52" t="s">
        <v>607</v>
      </c>
      <c r="L2381" s="52" t="s">
        <v>607</v>
      </c>
      <c r="M2381" s="52" t="s">
        <v>607</v>
      </c>
      <c r="N2381" s="52" t="s">
        <v>607</v>
      </c>
      <c r="O2381" s="52"/>
      <c r="P2381" s="52"/>
      <c r="Q2381" s="52"/>
      <c r="R2381" s="51" t="b">
        <v>0</v>
      </c>
      <c r="S2381" s="51"/>
      <c r="T2381" s="52"/>
      <c r="U2381" s="51" t="b">
        <v>0</v>
      </c>
      <c r="V2381" s="51" t="b">
        <v>0</v>
      </c>
      <c r="W2381" s="51" t="b">
        <v>0</v>
      </c>
      <c r="X2381" s="51" t="b">
        <v>0</v>
      </c>
      <c r="Y2381" s="51" t="b">
        <v>0</v>
      </c>
      <c r="Z2381" s="51" t="b">
        <v>0</v>
      </c>
      <c r="AA2381" s="68"/>
      <c r="AB2381" s="52"/>
      <c r="AC2381" s="52"/>
      <c r="AD2381" s="52"/>
      <c r="AE2381" s="56" t="s">
        <v>607</v>
      </c>
      <c r="AF2381" s="56" t="s">
        <v>607</v>
      </c>
    </row>
    <row r="2382">
      <c r="A2382" s="52" t="s">
        <v>5676</v>
      </c>
      <c r="B2382" s="52" t="s">
        <v>607</v>
      </c>
      <c r="C2382" s="52" t="s">
        <v>607</v>
      </c>
      <c r="D2382" s="65" t="s">
        <v>607</v>
      </c>
      <c r="E2382" s="65" t="s">
        <v>607</v>
      </c>
      <c r="F2382" s="65" t="s">
        <v>607</v>
      </c>
      <c r="G2382" s="65" t="s">
        <v>607</v>
      </c>
      <c r="H2382" s="52" t="s">
        <v>607</v>
      </c>
      <c r="I2382" s="52" t="s">
        <v>607</v>
      </c>
      <c r="J2382" s="52" t="s">
        <v>607</v>
      </c>
      <c r="K2382" s="52" t="s">
        <v>607</v>
      </c>
      <c r="L2382" s="52" t="s">
        <v>607</v>
      </c>
      <c r="M2382" s="52" t="s">
        <v>607</v>
      </c>
      <c r="N2382" s="52" t="s">
        <v>607</v>
      </c>
      <c r="O2382" s="52"/>
      <c r="P2382" s="52"/>
      <c r="Q2382" s="52"/>
      <c r="R2382" s="51" t="b">
        <v>0</v>
      </c>
      <c r="S2382" s="51"/>
      <c r="T2382" s="52"/>
      <c r="U2382" s="51" t="b">
        <v>0</v>
      </c>
      <c r="V2382" s="51" t="b">
        <v>0</v>
      </c>
      <c r="W2382" s="51" t="b">
        <v>0</v>
      </c>
      <c r="X2382" s="51" t="b">
        <v>0</v>
      </c>
      <c r="Y2382" s="51" t="b">
        <v>0</v>
      </c>
      <c r="Z2382" s="51" t="b">
        <v>0</v>
      </c>
      <c r="AA2382" s="68"/>
      <c r="AB2382" s="52"/>
      <c r="AC2382" s="52"/>
      <c r="AD2382" s="52"/>
      <c r="AE2382" s="56" t="s">
        <v>607</v>
      </c>
      <c r="AF2382" s="56" t="s">
        <v>607</v>
      </c>
    </row>
    <row r="2383">
      <c r="A2383" s="52" t="s">
        <v>5677</v>
      </c>
      <c r="B2383" s="52" t="s">
        <v>607</v>
      </c>
      <c r="C2383" s="52" t="s">
        <v>607</v>
      </c>
      <c r="D2383" s="65" t="s">
        <v>607</v>
      </c>
      <c r="E2383" s="65" t="s">
        <v>607</v>
      </c>
      <c r="F2383" s="65" t="s">
        <v>607</v>
      </c>
      <c r="G2383" s="65" t="s">
        <v>607</v>
      </c>
      <c r="H2383" s="52" t="s">
        <v>607</v>
      </c>
      <c r="I2383" s="52" t="s">
        <v>607</v>
      </c>
      <c r="J2383" s="52" t="s">
        <v>607</v>
      </c>
      <c r="K2383" s="52" t="s">
        <v>607</v>
      </c>
      <c r="L2383" s="52" t="s">
        <v>607</v>
      </c>
      <c r="M2383" s="52" t="s">
        <v>607</v>
      </c>
      <c r="N2383" s="52" t="s">
        <v>607</v>
      </c>
      <c r="O2383" s="52"/>
      <c r="P2383" s="52"/>
      <c r="Q2383" s="52"/>
      <c r="R2383" s="51" t="b">
        <v>0</v>
      </c>
      <c r="S2383" s="51"/>
      <c r="T2383" s="52"/>
      <c r="U2383" s="51" t="b">
        <v>0</v>
      </c>
      <c r="V2383" s="51" t="b">
        <v>0</v>
      </c>
      <c r="W2383" s="51" t="b">
        <v>0</v>
      </c>
      <c r="X2383" s="51" t="b">
        <v>0</v>
      </c>
      <c r="Y2383" s="51" t="b">
        <v>0</v>
      </c>
      <c r="Z2383" s="51" t="b">
        <v>0</v>
      </c>
      <c r="AA2383" s="68"/>
      <c r="AB2383" s="52"/>
      <c r="AC2383" s="52"/>
      <c r="AD2383" s="52"/>
      <c r="AE2383" s="56" t="s">
        <v>607</v>
      </c>
      <c r="AF2383" s="56" t="s">
        <v>607</v>
      </c>
    </row>
    <row r="2384">
      <c r="A2384" s="52" t="s">
        <v>5678</v>
      </c>
      <c r="B2384" s="52" t="s">
        <v>607</v>
      </c>
      <c r="C2384" s="52" t="s">
        <v>607</v>
      </c>
      <c r="D2384" s="65" t="s">
        <v>607</v>
      </c>
      <c r="E2384" s="65" t="s">
        <v>607</v>
      </c>
      <c r="F2384" s="65" t="s">
        <v>607</v>
      </c>
      <c r="G2384" s="65" t="s">
        <v>607</v>
      </c>
      <c r="H2384" s="52" t="s">
        <v>607</v>
      </c>
      <c r="I2384" s="52" t="s">
        <v>607</v>
      </c>
      <c r="J2384" s="52" t="s">
        <v>607</v>
      </c>
      <c r="K2384" s="52" t="s">
        <v>607</v>
      </c>
      <c r="L2384" s="52" t="s">
        <v>607</v>
      </c>
      <c r="M2384" s="52" t="s">
        <v>607</v>
      </c>
      <c r="N2384" s="52" t="s">
        <v>607</v>
      </c>
      <c r="O2384" s="52"/>
      <c r="P2384" s="52"/>
      <c r="Q2384" s="52"/>
      <c r="R2384" s="51" t="b">
        <v>0</v>
      </c>
      <c r="S2384" s="51"/>
      <c r="T2384" s="52"/>
      <c r="U2384" s="51" t="b">
        <v>0</v>
      </c>
      <c r="V2384" s="51" t="b">
        <v>0</v>
      </c>
      <c r="W2384" s="51" t="b">
        <v>0</v>
      </c>
      <c r="X2384" s="51" t="b">
        <v>0</v>
      </c>
      <c r="Y2384" s="51" t="b">
        <v>0</v>
      </c>
      <c r="Z2384" s="51" t="b">
        <v>0</v>
      </c>
      <c r="AA2384" s="68"/>
      <c r="AB2384" s="52"/>
      <c r="AC2384" s="52"/>
      <c r="AD2384" s="52"/>
      <c r="AE2384" s="56" t="s">
        <v>607</v>
      </c>
      <c r="AF2384" s="56" t="s">
        <v>607</v>
      </c>
    </row>
    <row r="2385">
      <c r="A2385" s="52" t="s">
        <v>5679</v>
      </c>
      <c r="B2385" s="52" t="s">
        <v>607</v>
      </c>
      <c r="C2385" s="52" t="s">
        <v>607</v>
      </c>
      <c r="D2385" s="65" t="s">
        <v>607</v>
      </c>
      <c r="E2385" s="65" t="s">
        <v>607</v>
      </c>
      <c r="F2385" s="65" t="s">
        <v>607</v>
      </c>
      <c r="G2385" s="65" t="s">
        <v>607</v>
      </c>
      <c r="H2385" s="52" t="s">
        <v>607</v>
      </c>
      <c r="I2385" s="52" t="s">
        <v>607</v>
      </c>
      <c r="J2385" s="52" t="s">
        <v>607</v>
      </c>
      <c r="K2385" s="52" t="s">
        <v>607</v>
      </c>
      <c r="L2385" s="52" t="s">
        <v>607</v>
      </c>
      <c r="M2385" s="52" t="s">
        <v>607</v>
      </c>
      <c r="N2385" s="52" t="s">
        <v>607</v>
      </c>
      <c r="O2385" s="52"/>
      <c r="P2385" s="52"/>
      <c r="Q2385" s="52"/>
      <c r="R2385" s="51" t="b">
        <v>0</v>
      </c>
      <c r="S2385" s="51"/>
      <c r="T2385" s="52"/>
      <c r="U2385" s="51" t="b">
        <v>0</v>
      </c>
      <c r="V2385" s="51" t="b">
        <v>0</v>
      </c>
      <c r="W2385" s="51" t="b">
        <v>0</v>
      </c>
      <c r="X2385" s="51" t="b">
        <v>0</v>
      </c>
      <c r="Y2385" s="51" t="b">
        <v>0</v>
      </c>
      <c r="Z2385" s="51" t="b">
        <v>0</v>
      </c>
      <c r="AA2385" s="68"/>
      <c r="AB2385" s="52"/>
      <c r="AC2385" s="52"/>
      <c r="AD2385" s="52"/>
      <c r="AE2385" s="56" t="s">
        <v>607</v>
      </c>
      <c r="AF2385" s="56" t="s">
        <v>607</v>
      </c>
    </row>
    <row r="2386">
      <c r="A2386" s="52" t="s">
        <v>5680</v>
      </c>
      <c r="B2386" s="52" t="s">
        <v>607</v>
      </c>
      <c r="C2386" s="52" t="s">
        <v>607</v>
      </c>
      <c r="D2386" s="65" t="s">
        <v>607</v>
      </c>
      <c r="E2386" s="65" t="s">
        <v>607</v>
      </c>
      <c r="F2386" s="65" t="s">
        <v>607</v>
      </c>
      <c r="G2386" s="65" t="s">
        <v>607</v>
      </c>
      <c r="H2386" s="52" t="s">
        <v>607</v>
      </c>
      <c r="I2386" s="52" t="s">
        <v>607</v>
      </c>
      <c r="J2386" s="52" t="s">
        <v>607</v>
      </c>
      <c r="K2386" s="52" t="s">
        <v>607</v>
      </c>
      <c r="L2386" s="52" t="s">
        <v>607</v>
      </c>
      <c r="M2386" s="52" t="s">
        <v>607</v>
      </c>
      <c r="N2386" s="52" t="s">
        <v>607</v>
      </c>
      <c r="O2386" s="52"/>
      <c r="P2386" s="52"/>
      <c r="Q2386" s="52"/>
      <c r="R2386" s="51" t="b">
        <v>0</v>
      </c>
      <c r="S2386" s="51"/>
      <c r="T2386" s="52"/>
      <c r="U2386" s="51" t="b">
        <v>0</v>
      </c>
      <c r="V2386" s="51" t="b">
        <v>0</v>
      </c>
      <c r="W2386" s="51" t="b">
        <v>0</v>
      </c>
      <c r="X2386" s="51" t="b">
        <v>0</v>
      </c>
      <c r="Y2386" s="51" t="b">
        <v>0</v>
      </c>
      <c r="Z2386" s="51" t="b">
        <v>0</v>
      </c>
      <c r="AA2386" s="68"/>
      <c r="AB2386" s="52"/>
      <c r="AC2386" s="52"/>
      <c r="AD2386" s="52"/>
      <c r="AE2386" s="56" t="s">
        <v>607</v>
      </c>
      <c r="AF2386" s="56" t="s">
        <v>607</v>
      </c>
    </row>
    <row r="2387">
      <c r="A2387" s="52" t="s">
        <v>5681</v>
      </c>
      <c r="B2387" s="52" t="s">
        <v>607</v>
      </c>
      <c r="C2387" s="52" t="s">
        <v>607</v>
      </c>
      <c r="D2387" s="65" t="s">
        <v>607</v>
      </c>
      <c r="E2387" s="65" t="s">
        <v>607</v>
      </c>
      <c r="F2387" s="65" t="s">
        <v>607</v>
      </c>
      <c r="G2387" s="65" t="s">
        <v>607</v>
      </c>
      <c r="H2387" s="52" t="s">
        <v>607</v>
      </c>
      <c r="I2387" s="52" t="s">
        <v>607</v>
      </c>
      <c r="J2387" s="52" t="s">
        <v>607</v>
      </c>
      <c r="K2387" s="52" t="s">
        <v>607</v>
      </c>
      <c r="L2387" s="52" t="s">
        <v>607</v>
      </c>
      <c r="M2387" s="52" t="s">
        <v>607</v>
      </c>
      <c r="N2387" s="52" t="s">
        <v>607</v>
      </c>
      <c r="O2387" s="52"/>
      <c r="P2387" s="52"/>
      <c r="Q2387" s="52"/>
      <c r="R2387" s="51" t="b">
        <v>0</v>
      </c>
      <c r="S2387" s="51"/>
      <c r="T2387" s="52"/>
      <c r="U2387" s="51" t="b">
        <v>0</v>
      </c>
      <c r="V2387" s="51" t="b">
        <v>0</v>
      </c>
      <c r="W2387" s="51" t="b">
        <v>0</v>
      </c>
      <c r="X2387" s="51" t="b">
        <v>0</v>
      </c>
      <c r="Y2387" s="51" t="b">
        <v>0</v>
      </c>
      <c r="Z2387" s="51" t="b">
        <v>0</v>
      </c>
      <c r="AA2387" s="68"/>
      <c r="AB2387" s="52"/>
      <c r="AC2387" s="52"/>
      <c r="AD2387" s="52"/>
      <c r="AE2387" s="56" t="s">
        <v>607</v>
      </c>
      <c r="AF2387" s="56" t="s">
        <v>607</v>
      </c>
    </row>
    <row r="2388">
      <c r="A2388" s="52" t="s">
        <v>5682</v>
      </c>
      <c r="B2388" s="52" t="s">
        <v>607</v>
      </c>
      <c r="C2388" s="52" t="s">
        <v>607</v>
      </c>
      <c r="D2388" s="65" t="s">
        <v>607</v>
      </c>
      <c r="E2388" s="65" t="s">
        <v>607</v>
      </c>
      <c r="F2388" s="65" t="s">
        <v>607</v>
      </c>
      <c r="G2388" s="65" t="s">
        <v>607</v>
      </c>
      <c r="H2388" s="52" t="s">
        <v>607</v>
      </c>
      <c r="I2388" s="52" t="s">
        <v>607</v>
      </c>
      <c r="J2388" s="52" t="s">
        <v>607</v>
      </c>
      <c r="K2388" s="52" t="s">
        <v>607</v>
      </c>
      <c r="L2388" s="52" t="s">
        <v>607</v>
      </c>
      <c r="M2388" s="52" t="s">
        <v>607</v>
      </c>
      <c r="N2388" s="52" t="s">
        <v>607</v>
      </c>
      <c r="O2388" s="52"/>
      <c r="P2388" s="52"/>
      <c r="Q2388" s="52"/>
      <c r="R2388" s="51" t="b">
        <v>0</v>
      </c>
      <c r="S2388" s="51"/>
      <c r="T2388" s="52"/>
      <c r="U2388" s="51" t="b">
        <v>0</v>
      </c>
      <c r="V2388" s="51" t="b">
        <v>0</v>
      </c>
      <c r="W2388" s="51" t="b">
        <v>0</v>
      </c>
      <c r="X2388" s="51" t="b">
        <v>0</v>
      </c>
      <c r="Y2388" s="51" t="b">
        <v>0</v>
      </c>
      <c r="Z2388" s="51" t="b">
        <v>0</v>
      </c>
      <c r="AA2388" s="68"/>
      <c r="AB2388" s="52"/>
      <c r="AC2388" s="52"/>
      <c r="AD2388" s="52"/>
      <c r="AE2388" s="56" t="s">
        <v>607</v>
      </c>
      <c r="AF2388" s="56" t="s">
        <v>607</v>
      </c>
    </row>
    <row r="2389">
      <c r="A2389" s="52" t="s">
        <v>5683</v>
      </c>
      <c r="B2389" s="52" t="s">
        <v>607</v>
      </c>
      <c r="C2389" s="52" t="s">
        <v>607</v>
      </c>
      <c r="D2389" s="65" t="s">
        <v>607</v>
      </c>
      <c r="E2389" s="65" t="s">
        <v>607</v>
      </c>
      <c r="F2389" s="65" t="s">
        <v>607</v>
      </c>
      <c r="G2389" s="65" t="s">
        <v>607</v>
      </c>
      <c r="H2389" s="52" t="s">
        <v>607</v>
      </c>
      <c r="I2389" s="52" t="s">
        <v>607</v>
      </c>
      <c r="J2389" s="52" t="s">
        <v>607</v>
      </c>
      <c r="K2389" s="52" t="s">
        <v>607</v>
      </c>
      <c r="L2389" s="52" t="s">
        <v>607</v>
      </c>
      <c r="M2389" s="52" t="s">
        <v>607</v>
      </c>
      <c r="N2389" s="52" t="s">
        <v>607</v>
      </c>
      <c r="O2389" s="52"/>
      <c r="P2389" s="52"/>
      <c r="Q2389" s="52"/>
      <c r="R2389" s="51" t="b">
        <v>0</v>
      </c>
      <c r="S2389" s="51"/>
      <c r="T2389" s="52"/>
      <c r="U2389" s="51" t="b">
        <v>0</v>
      </c>
      <c r="V2389" s="51" t="b">
        <v>0</v>
      </c>
      <c r="W2389" s="51" t="b">
        <v>0</v>
      </c>
      <c r="X2389" s="51" t="b">
        <v>0</v>
      </c>
      <c r="Y2389" s="51" t="b">
        <v>0</v>
      </c>
      <c r="Z2389" s="51" t="b">
        <v>0</v>
      </c>
      <c r="AA2389" s="68"/>
      <c r="AB2389" s="52"/>
      <c r="AC2389" s="52"/>
      <c r="AD2389" s="52"/>
      <c r="AE2389" s="56" t="s">
        <v>607</v>
      </c>
      <c r="AF2389" s="56" t="s">
        <v>607</v>
      </c>
    </row>
    <row r="2390">
      <c r="A2390" s="52" t="s">
        <v>5684</v>
      </c>
      <c r="B2390" s="52" t="s">
        <v>607</v>
      </c>
      <c r="C2390" s="52" t="s">
        <v>607</v>
      </c>
      <c r="D2390" s="65" t="s">
        <v>607</v>
      </c>
      <c r="E2390" s="65" t="s">
        <v>607</v>
      </c>
      <c r="F2390" s="65" t="s">
        <v>607</v>
      </c>
      <c r="G2390" s="65" t="s">
        <v>607</v>
      </c>
      <c r="H2390" s="52" t="s">
        <v>607</v>
      </c>
      <c r="I2390" s="52" t="s">
        <v>607</v>
      </c>
      <c r="J2390" s="52" t="s">
        <v>607</v>
      </c>
      <c r="K2390" s="52" t="s">
        <v>607</v>
      </c>
      <c r="L2390" s="52" t="s">
        <v>607</v>
      </c>
      <c r="M2390" s="52" t="s">
        <v>607</v>
      </c>
      <c r="N2390" s="52" t="s">
        <v>607</v>
      </c>
      <c r="O2390" s="52"/>
      <c r="P2390" s="52"/>
      <c r="Q2390" s="52"/>
      <c r="R2390" s="51" t="b">
        <v>0</v>
      </c>
      <c r="S2390" s="51"/>
      <c r="T2390" s="52"/>
      <c r="U2390" s="51" t="b">
        <v>0</v>
      </c>
      <c r="V2390" s="51" t="b">
        <v>0</v>
      </c>
      <c r="W2390" s="51" t="b">
        <v>0</v>
      </c>
      <c r="X2390" s="51" t="b">
        <v>0</v>
      </c>
      <c r="Y2390" s="51" t="b">
        <v>0</v>
      </c>
      <c r="Z2390" s="51" t="b">
        <v>0</v>
      </c>
      <c r="AA2390" s="68"/>
      <c r="AB2390" s="52"/>
      <c r="AC2390" s="52"/>
      <c r="AD2390" s="52"/>
      <c r="AE2390" s="56" t="s">
        <v>607</v>
      </c>
      <c r="AF2390" s="56" t="s">
        <v>607</v>
      </c>
    </row>
    <row r="2391">
      <c r="A2391" s="52" t="s">
        <v>5686</v>
      </c>
      <c r="B2391" s="52" t="s">
        <v>607</v>
      </c>
      <c r="C2391" s="52" t="s">
        <v>607</v>
      </c>
      <c r="D2391" s="65" t="s">
        <v>607</v>
      </c>
      <c r="E2391" s="65" t="s">
        <v>607</v>
      </c>
      <c r="F2391" s="65" t="s">
        <v>607</v>
      </c>
      <c r="G2391" s="65" t="s">
        <v>607</v>
      </c>
      <c r="H2391" s="52" t="s">
        <v>607</v>
      </c>
      <c r="I2391" s="52" t="s">
        <v>607</v>
      </c>
      <c r="J2391" s="52" t="s">
        <v>607</v>
      </c>
      <c r="K2391" s="52" t="s">
        <v>607</v>
      </c>
      <c r="L2391" s="52" t="s">
        <v>607</v>
      </c>
      <c r="M2391" s="52" t="s">
        <v>607</v>
      </c>
      <c r="N2391" s="52" t="s">
        <v>607</v>
      </c>
      <c r="O2391" s="52"/>
      <c r="P2391" s="52"/>
      <c r="Q2391" s="52"/>
      <c r="R2391" s="51" t="b">
        <v>0</v>
      </c>
      <c r="S2391" s="51"/>
      <c r="T2391" s="52"/>
      <c r="U2391" s="51" t="b">
        <v>0</v>
      </c>
      <c r="V2391" s="51" t="b">
        <v>0</v>
      </c>
      <c r="W2391" s="51" t="b">
        <v>0</v>
      </c>
      <c r="X2391" s="51" t="b">
        <v>0</v>
      </c>
      <c r="Y2391" s="51" t="b">
        <v>0</v>
      </c>
      <c r="Z2391" s="51" t="b">
        <v>0</v>
      </c>
      <c r="AA2391" s="68"/>
      <c r="AB2391" s="52"/>
      <c r="AC2391" s="52"/>
      <c r="AD2391" s="52"/>
      <c r="AE2391" s="56" t="s">
        <v>607</v>
      </c>
      <c r="AF2391" s="56" t="s">
        <v>607</v>
      </c>
    </row>
    <row r="2392">
      <c r="A2392" s="52" t="s">
        <v>5687</v>
      </c>
      <c r="B2392" s="52" t="s">
        <v>607</v>
      </c>
      <c r="C2392" s="52" t="s">
        <v>607</v>
      </c>
      <c r="D2392" s="65" t="s">
        <v>607</v>
      </c>
      <c r="E2392" s="65" t="s">
        <v>607</v>
      </c>
      <c r="F2392" s="65" t="s">
        <v>607</v>
      </c>
      <c r="G2392" s="65" t="s">
        <v>607</v>
      </c>
      <c r="H2392" s="52" t="s">
        <v>607</v>
      </c>
      <c r="I2392" s="52" t="s">
        <v>607</v>
      </c>
      <c r="J2392" s="52" t="s">
        <v>607</v>
      </c>
      <c r="K2392" s="52" t="s">
        <v>607</v>
      </c>
      <c r="L2392" s="52" t="s">
        <v>607</v>
      </c>
      <c r="M2392" s="52" t="s">
        <v>607</v>
      </c>
      <c r="N2392" s="52" t="s">
        <v>607</v>
      </c>
      <c r="O2392" s="52"/>
      <c r="P2392" s="52"/>
      <c r="Q2392" s="52"/>
      <c r="R2392" s="51" t="b">
        <v>0</v>
      </c>
      <c r="S2392" s="51"/>
      <c r="T2392" s="52"/>
      <c r="U2392" s="51" t="b">
        <v>0</v>
      </c>
      <c r="V2392" s="51" t="b">
        <v>0</v>
      </c>
      <c r="W2392" s="51" t="b">
        <v>0</v>
      </c>
      <c r="X2392" s="51" t="b">
        <v>0</v>
      </c>
      <c r="Y2392" s="51" t="b">
        <v>0</v>
      </c>
      <c r="Z2392" s="51" t="b">
        <v>0</v>
      </c>
      <c r="AA2392" s="68"/>
      <c r="AB2392" s="52"/>
      <c r="AC2392" s="52"/>
      <c r="AD2392" s="52"/>
      <c r="AE2392" s="56" t="s">
        <v>607</v>
      </c>
      <c r="AF2392" s="56" t="s">
        <v>607</v>
      </c>
    </row>
    <row r="2393">
      <c r="A2393" s="52" t="s">
        <v>5688</v>
      </c>
      <c r="B2393" s="52" t="s">
        <v>607</v>
      </c>
      <c r="C2393" s="52" t="s">
        <v>607</v>
      </c>
      <c r="D2393" s="65" t="s">
        <v>607</v>
      </c>
      <c r="E2393" s="65" t="s">
        <v>607</v>
      </c>
      <c r="F2393" s="65" t="s">
        <v>607</v>
      </c>
      <c r="G2393" s="65" t="s">
        <v>607</v>
      </c>
      <c r="H2393" s="52" t="s">
        <v>607</v>
      </c>
      <c r="I2393" s="52" t="s">
        <v>607</v>
      </c>
      <c r="J2393" s="52" t="s">
        <v>607</v>
      </c>
      <c r="K2393" s="52" t="s">
        <v>607</v>
      </c>
      <c r="L2393" s="52" t="s">
        <v>607</v>
      </c>
      <c r="M2393" s="52" t="s">
        <v>607</v>
      </c>
      <c r="N2393" s="52" t="s">
        <v>607</v>
      </c>
      <c r="O2393" s="52"/>
      <c r="P2393" s="52"/>
      <c r="Q2393" s="52"/>
      <c r="R2393" s="51" t="b">
        <v>0</v>
      </c>
      <c r="S2393" s="51"/>
      <c r="T2393" s="52"/>
      <c r="U2393" s="51" t="b">
        <v>0</v>
      </c>
      <c r="V2393" s="51" t="b">
        <v>0</v>
      </c>
      <c r="W2393" s="51" t="b">
        <v>0</v>
      </c>
      <c r="X2393" s="51" t="b">
        <v>0</v>
      </c>
      <c r="Y2393" s="51" t="b">
        <v>0</v>
      </c>
      <c r="Z2393" s="51" t="b">
        <v>0</v>
      </c>
      <c r="AA2393" s="68"/>
      <c r="AB2393" s="52"/>
      <c r="AC2393" s="52"/>
      <c r="AD2393" s="52"/>
      <c r="AE2393" s="56" t="s">
        <v>607</v>
      </c>
      <c r="AF2393" s="56" t="s">
        <v>607</v>
      </c>
    </row>
    <row r="2394">
      <c r="A2394" s="52" t="s">
        <v>5690</v>
      </c>
      <c r="B2394" s="52" t="s">
        <v>607</v>
      </c>
      <c r="C2394" s="52" t="s">
        <v>607</v>
      </c>
      <c r="D2394" s="65" t="s">
        <v>607</v>
      </c>
      <c r="E2394" s="65" t="s">
        <v>607</v>
      </c>
      <c r="F2394" s="65" t="s">
        <v>607</v>
      </c>
      <c r="G2394" s="65" t="s">
        <v>607</v>
      </c>
      <c r="H2394" s="52" t="s">
        <v>607</v>
      </c>
      <c r="I2394" s="52" t="s">
        <v>607</v>
      </c>
      <c r="J2394" s="52" t="s">
        <v>607</v>
      </c>
      <c r="K2394" s="52" t="s">
        <v>607</v>
      </c>
      <c r="L2394" s="52" t="s">
        <v>607</v>
      </c>
      <c r="M2394" s="52" t="s">
        <v>607</v>
      </c>
      <c r="N2394" s="52" t="s">
        <v>607</v>
      </c>
      <c r="O2394" s="52"/>
      <c r="P2394" s="52"/>
      <c r="Q2394" s="52"/>
      <c r="R2394" s="51" t="b">
        <v>0</v>
      </c>
      <c r="S2394" s="51"/>
      <c r="T2394" s="52"/>
      <c r="U2394" s="51" t="b">
        <v>0</v>
      </c>
      <c r="V2394" s="51" t="b">
        <v>0</v>
      </c>
      <c r="W2394" s="51" t="b">
        <v>0</v>
      </c>
      <c r="X2394" s="51" t="b">
        <v>0</v>
      </c>
      <c r="Y2394" s="51" t="b">
        <v>0</v>
      </c>
      <c r="Z2394" s="51" t="b">
        <v>0</v>
      </c>
      <c r="AA2394" s="68"/>
      <c r="AB2394" s="52"/>
      <c r="AC2394" s="52"/>
      <c r="AD2394" s="52"/>
      <c r="AE2394" s="56" t="s">
        <v>607</v>
      </c>
      <c r="AF2394" s="56" t="s">
        <v>607</v>
      </c>
    </row>
    <row r="2395">
      <c r="A2395" s="52" t="s">
        <v>5692</v>
      </c>
      <c r="B2395" s="52" t="s">
        <v>607</v>
      </c>
      <c r="C2395" s="52" t="s">
        <v>607</v>
      </c>
      <c r="D2395" s="65" t="s">
        <v>607</v>
      </c>
      <c r="E2395" s="65" t="s">
        <v>607</v>
      </c>
      <c r="F2395" s="65" t="s">
        <v>607</v>
      </c>
      <c r="G2395" s="65" t="s">
        <v>607</v>
      </c>
      <c r="H2395" s="52" t="s">
        <v>607</v>
      </c>
      <c r="I2395" s="52" t="s">
        <v>607</v>
      </c>
      <c r="J2395" s="52" t="s">
        <v>607</v>
      </c>
      <c r="K2395" s="52" t="s">
        <v>607</v>
      </c>
      <c r="L2395" s="52" t="s">
        <v>607</v>
      </c>
      <c r="M2395" s="52" t="s">
        <v>607</v>
      </c>
      <c r="N2395" s="52" t="s">
        <v>607</v>
      </c>
      <c r="O2395" s="52"/>
      <c r="P2395" s="52"/>
      <c r="Q2395" s="52"/>
      <c r="R2395" s="51" t="b">
        <v>0</v>
      </c>
      <c r="S2395" s="51"/>
      <c r="T2395" s="52"/>
      <c r="U2395" s="51" t="b">
        <v>0</v>
      </c>
      <c r="V2395" s="51" t="b">
        <v>0</v>
      </c>
      <c r="W2395" s="51" t="b">
        <v>0</v>
      </c>
      <c r="X2395" s="51" t="b">
        <v>0</v>
      </c>
      <c r="Y2395" s="51" t="b">
        <v>0</v>
      </c>
      <c r="Z2395" s="51" t="b">
        <v>0</v>
      </c>
      <c r="AA2395" s="68"/>
      <c r="AB2395" s="52"/>
      <c r="AC2395" s="52"/>
      <c r="AD2395" s="52"/>
      <c r="AE2395" s="56" t="s">
        <v>607</v>
      </c>
      <c r="AF2395" s="56" t="s">
        <v>607</v>
      </c>
    </row>
    <row r="2396">
      <c r="A2396" s="52" t="s">
        <v>5694</v>
      </c>
      <c r="B2396" s="52" t="s">
        <v>607</v>
      </c>
      <c r="C2396" s="52" t="s">
        <v>607</v>
      </c>
      <c r="D2396" s="65" t="s">
        <v>607</v>
      </c>
      <c r="E2396" s="65" t="s">
        <v>607</v>
      </c>
      <c r="F2396" s="65" t="s">
        <v>607</v>
      </c>
      <c r="G2396" s="65" t="s">
        <v>607</v>
      </c>
      <c r="H2396" s="52" t="s">
        <v>607</v>
      </c>
      <c r="I2396" s="52" t="s">
        <v>607</v>
      </c>
      <c r="J2396" s="52" t="s">
        <v>607</v>
      </c>
      <c r="K2396" s="52" t="s">
        <v>607</v>
      </c>
      <c r="L2396" s="52" t="s">
        <v>607</v>
      </c>
      <c r="M2396" s="52" t="s">
        <v>607</v>
      </c>
      <c r="N2396" s="52" t="s">
        <v>607</v>
      </c>
      <c r="O2396" s="52"/>
      <c r="P2396" s="52"/>
      <c r="Q2396" s="52"/>
      <c r="R2396" s="51" t="b">
        <v>0</v>
      </c>
      <c r="S2396" s="51"/>
      <c r="T2396" s="52"/>
      <c r="U2396" s="51" t="b">
        <v>0</v>
      </c>
      <c r="V2396" s="51" t="b">
        <v>0</v>
      </c>
      <c r="W2396" s="51" t="b">
        <v>0</v>
      </c>
      <c r="X2396" s="51" t="b">
        <v>0</v>
      </c>
      <c r="Y2396" s="51" t="b">
        <v>0</v>
      </c>
      <c r="Z2396" s="51" t="b">
        <v>0</v>
      </c>
      <c r="AA2396" s="68"/>
      <c r="AB2396" s="52"/>
      <c r="AC2396" s="52"/>
      <c r="AD2396" s="52"/>
      <c r="AE2396" s="56" t="s">
        <v>607</v>
      </c>
      <c r="AF2396" s="56" t="s">
        <v>607</v>
      </c>
    </row>
    <row r="2397">
      <c r="A2397" s="52" t="s">
        <v>5698</v>
      </c>
      <c r="B2397" s="52" t="s">
        <v>607</v>
      </c>
      <c r="C2397" s="52" t="s">
        <v>607</v>
      </c>
      <c r="D2397" s="65" t="s">
        <v>607</v>
      </c>
      <c r="E2397" s="65" t="s">
        <v>607</v>
      </c>
      <c r="F2397" s="65" t="s">
        <v>607</v>
      </c>
      <c r="G2397" s="65" t="s">
        <v>607</v>
      </c>
      <c r="H2397" s="52" t="s">
        <v>607</v>
      </c>
      <c r="I2397" s="52" t="s">
        <v>607</v>
      </c>
      <c r="J2397" s="52" t="s">
        <v>607</v>
      </c>
      <c r="K2397" s="52" t="s">
        <v>607</v>
      </c>
      <c r="L2397" s="52" t="s">
        <v>607</v>
      </c>
      <c r="M2397" s="52" t="s">
        <v>607</v>
      </c>
      <c r="N2397" s="52" t="s">
        <v>607</v>
      </c>
      <c r="O2397" s="52"/>
      <c r="P2397" s="52"/>
      <c r="Q2397" s="52"/>
      <c r="R2397" s="51" t="b">
        <v>0</v>
      </c>
      <c r="S2397" s="51"/>
      <c r="T2397" s="52"/>
      <c r="U2397" s="51" t="b">
        <v>0</v>
      </c>
      <c r="V2397" s="51" t="b">
        <v>0</v>
      </c>
      <c r="W2397" s="51" t="b">
        <v>0</v>
      </c>
      <c r="X2397" s="51" t="b">
        <v>0</v>
      </c>
      <c r="Y2397" s="51" t="b">
        <v>0</v>
      </c>
      <c r="Z2397" s="51" t="b">
        <v>0</v>
      </c>
      <c r="AA2397" s="68"/>
      <c r="AB2397" s="52"/>
      <c r="AC2397" s="52"/>
      <c r="AD2397" s="52"/>
      <c r="AE2397" s="56" t="s">
        <v>607</v>
      </c>
      <c r="AF2397" s="56" t="s">
        <v>607</v>
      </c>
    </row>
    <row r="2398">
      <c r="A2398" s="52" t="s">
        <v>5701</v>
      </c>
      <c r="B2398" s="52" t="s">
        <v>607</v>
      </c>
      <c r="C2398" s="52" t="s">
        <v>607</v>
      </c>
      <c r="D2398" s="65" t="s">
        <v>607</v>
      </c>
      <c r="E2398" s="65" t="s">
        <v>607</v>
      </c>
      <c r="F2398" s="65" t="s">
        <v>607</v>
      </c>
      <c r="G2398" s="65" t="s">
        <v>607</v>
      </c>
      <c r="H2398" s="52" t="s">
        <v>607</v>
      </c>
      <c r="I2398" s="52" t="s">
        <v>607</v>
      </c>
      <c r="J2398" s="52" t="s">
        <v>607</v>
      </c>
      <c r="K2398" s="52" t="s">
        <v>607</v>
      </c>
      <c r="L2398" s="52" t="s">
        <v>607</v>
      </c>
      <c r="M2398" s="52" t="s">
        <v>607</v>
      </c>
      <c r="N2398" s="52" t="s">
        <v>607</v>
      </c>
      <c r="O2398" s="52"/>
      <c r="P2398" s="52"/>
      <c r="Q2398" s="52"/>
      <c r="R2398" s="51" t="b">
        <v>0</v>
      </c>
      <c r="S2398" s="51"/>
      <c r="T2398" s="52"/>
      <c r="U2398" s="51" t="b">
        <v>0</v>
      </c>
      <c r="V2398" s="51" t="b">
        <v>0</v>
      </c>
      <c r="W2398" s="51" t="b">
        <v>0</v>
      </c>
      <c r="X2398" s="51" t="b">
        <v>0</v>
      </c>
      <c r="Y2398" s="51" t="b">
        <v>0</v>
      </c>
      <c r="Z2398" s="51" t="b">
        <v>0</v>
      </c>
      <c r="AA2398" s="68"/>
      <c r="AB2398" s="52"/>
      <c r="AC2398" s="52"/>
      <c r="AD2398" s="52"/>
      <c r="AE2398" s="56" t="s">
        <v>607</v>
      </c>
      <c r="AF2398" s="56" t="s">
        <v>607</v>
      </c>
    </row>
    <row r="2399">
      <c r="A2399" s="52" t="s">
        <v>5705</v>
      </c>
      <c r="B2399" s="52" t="s">
        <v>607</v>
      </c>
      <c r="C2399" s="52" t="s">
        <v>607</v>
      </c>
      <c r="D2399" s="65" t="s">
        <v>607</v>
      </c>
      <c r="E2399" s="65" t="s">
        <v>607</v>
      </c>
      <c r="F2399" s="65" t="s">
        <v>607</v>
      </c>
      <c r="G2399" s="65" t="s">
        <v>607</v>
      </c>
      <c r="H2399" s="52" t="s">
        <v>607</v>
      </c>
      <c r="I2399" s="52" t="s">
        <v>607</v>
      </c>
      <c r="J2399" s="52" t="s">
        <v>607</v>
      </c>
      <c r="K2399" s="52" t="s">
        <v>607</v>
      </c>
      <c r="L2399" s="52" t="s">
        <v>607</v>
      </c>
      <c r="M2399" s="52" t="s">
        <v>607</v>
      </c>
      <c r="N2399" s="52" t="s">
        <v>607</v>
      </c>
      <c r="O2399" s="52"/>
      <c r="P2399" s="52"/>
      <c r="Q2399" s="52"/>
      <c r="R2399" s="51" t="b">
        <v>0</v>
      </c>
      <c r="S2399" s="51"/>
      <c r="T2399" s="52"/>
      <c r="U2399" s="51" t="b">
        <v>0</v>
      </c>
      <c r="V2399" s="51" t="b">
        <v>0</v>
      </c>
      <c r="W2399" s="51" t="b">
        <v>0</v>
      </c>
      <c r="X2399" s="51" t="b">
        <v>0</v>
      </c>
      <c r="Y2399" s="51" t="b">
        <v>0</v>
      </c>
      <c r="Z2399" s="51" t="b">
        <v>0</v>
      </c>
      <c r="AA2399" s="68"/>
      <c r="AB2399" s="52"/>
      <c r="AC2399" s="52"/>
      <c r="AD2399" s="52"/>
      <c r="AE2399" s="56" t="s">
        <v>607</v>
      </c>
      <c r="AF2399" s="56" t="s">
        <v>607</v>
      </c>
    </row>
    <row r="2400">
      <c r="A2400" s="52" t="s">
        <v>5707</v>
      </c>
      <c r="B2400" s="52" t="s">
        <v>607</v>
      </c>
      <c r="C2400" s="52" t="s">
        <v>607</v>
      </c>
      <c r="D2400" s="65" t="s">
        <v>607</v>
      </c>
      <c r="E2400" s="65" t="s">
        <v>607</v>
      </c>
      <c r="F2400" s="65" t="s">
        <v>607</v>
      </c>
      <c r="G2400" s="65" t="s">
        <v>607</v>
      </c>
      <c r="H2400" s="52" t="s">
        <v>607</v>
      </c>
      <c r="I2400" s="52" t="s">
        <v>607</v>
      </c>
      <c r="J2400" s="52" t="s">
        <v>607</v>
      </c>
      <c r="K2400" s="52" t="s">
        <v>607</v>
      </c>
      <c r="L2400" s="52" t="s">
        <v>607</v>
      </c>
      <c r="M2400" s="52" t="s">
        <v>607</v>
      </c>
      <c r="N2400" s="52" t="s">
        <v>607</v>
      </c>
      <c r="O2400" s="52"/>
      <c r="P2400" s="52"/>
      <c r="Q2400" s="52"/>
      <c r="R2400" s="51" t="b">
        <v>0</v>
      </c>
      <c r="S2400" s="51"/>
      <c r="T2400" s="52"/>
      <c r="U2400" s="51" t="b">
        <v>0</v>
      </c>
      <c r="V2400" s="51" t="b">
        <v>0</v>
      </c>
      <c r="W2400" s="51" t="b">
        <v>0</v>
      </c>
      <c r="X2400" s="51" t="b">
        <v>0</v>
      </c>
      <c r="Y2400" s="51" t="b">
        <v>0</v>
      </c>
      <c r="Z2400" s="51" t="b">
        <v>0</v>
      </c>
      <c r="AA2400" s="68"/>
      <c r="AB2400" s="52"/>
      <c r="AC2400" s="52"/>
      <c r="AD2400" s="52"/>
      <c r="AE2400" s="56" t="s">
        <v>607</v>
      </c>
      <c r="AF2400" s="56" t="s">
        <v>607</v>
      </c>
    </row>
    <row r="2401">
      <c r="A2401" s="52" t="s">
        <v>5708</v>
      </c>
      <c r="B2401" s="52" t="s">
        <v>607</v>
      </c>
      <c r="C2401" s="52" t="s">
        <v>607</v>
      </c>
      <c r="D2401" s="65" t="s">
        <v>607</v>
      </c>
      <c r="E2401" s="65" t="s">
        <v>607</v>
      </c>
      <c r="F2401" s="65" t="s">
        <v>607</v>
      </c>
      <c r="G2401" s="65" t="s">
        <v>607</v>
      </c>
      <c r="H2401" s="52" t="s">
        <v>607</v>
      </c>
      <c r="I2401" s="52" t="s">
        <v>607</v>
      </c>
      <c r="J2401" s="52" t="s">
        <v>607</v>
      </c>
      <c r="K2401" s="52" t="s">
        <v>607</v>
      </c>
      <c r="L2401" s="52" t="s">
        <v>607</v>
      </c>
      <c r="M2401" s="52" t="s">
        <v>607</v>
      </c>
      <c r="N2401" s="52" t="s">
        <v>607</v>
      </c>
      <c r="O2401" s="52"/>
      <c r="P2401" s="52"/>
      <c r="Q2401" s="52"/>
      <c r="R2401" s="51" t="b">
        <v>0</v>
      </c>
      <c r="S2401" s="51"/>
      <c r="T2401" s="52"/>
      <c r="U2401" s="51" t="b">
        <v>0</v>
      </c>
      <c r="V2401" s="51" t="b">
        <v>0</v>
      </c>
      <c r="W2401" s="51" t="b">
        <v>0</v>
      </c>
      <c r="X2401" s="51" t="b">
        <v>0</v>
      </c>
      <c r="Y2401" s="51" t="b">
        <v>0</v>
      </c>
      <c r="Z2401" s="51" t="b">
        <v>0</v>
      </c>
      <c r="AA2401" s="68"/>
      <c r="AB2401" s="52"/>
      <c r="AC2401" s="52"/>
      <c r="AD2401" s="52"/>
      <c r="AE2401" s="56" t="s">
        <v>607</v>
      </c>
      <c r="AF2401" s="56" t="s">
        <v>607</v>
      </c>
    </row>
    <row r="2402">
      <c r="A2402" s="52" t="s">
        <v>5709</v>
      </c>
      <c r="B2402" s="52" t="s">
        <v>607</v>
      </c>
      <c r="C2402" s="52" t="s">
        <v>607</v>
      </c>
      <c r="D2402" s="65" t="s">
        <v>607</v>
      </c>
      <c r="E2402" s="65" t="s">
        <v>607</v>
      </c>
      <c r="F2402" s="65" t="s">
        <v>607</v>
      </c>
      <c r="G2402" s="65" t="s">
        <v>607</v>
      </c>
      <c r="H2402" s="52" t="s">
        <v>607</v>
      </c>
      <c r="I2402" s="52" t="s">
        <v>607</v>
      </c>
      <c r="J2402" s="52" t="s">
        <v>607</v>
      </c>
      <c r="K2402" s="52" t="s">
        <v>607</v>
      </c>
      <c r="L2402" s="52" t="s">
        <v>607</v>
      </c>
      <c r="M2402" s="52" t="s">
        <v>607</v>
      </c>
      <c r="N2402" s="52" t="s">
        <v>607</v>
      </c>
      <c r="O2402" s="52"/>
      <c r="P2402" s="52"/>
      <c r="Q2402" s="52"/>
      <c r="R2402" s="51" t="b">
        <v>0</v>
      </c>
      <c r="S2402" s="51"/>
      <c r="T2402" s="52"/>
      <c r="U2402" s="51" t="b">
        <v>0</v>
      </c>
      <c r="V2402" s="51" t="b">
        <v>0</v>
      </c>
      <c r="W2402" s="51" t="b">
        <v>0</v>
      </c>
      <c r="X2402" s="51" t="b">
        <v>0</v>
      </c>
      <c r="Y2402" s="51" t="b">
        <v>0</v>
      </c>
      <c r="Z2402" s="51" t="b">
        <v>0</v>
      </c>
      <c r="AA2402" s="68"/>
      <c r="AB2402" s="52"/>
      <c r="AC2402" s="52"/>
      <c r="AD2402" s="52"/>
      <c r="AE2402" s="56" t="s">
        <v>607</v>
      </c>
      <c r="AF2402" s="56" t="s">
        <v>607</v>
      </c>
    </row>
    <row r="2403">
      <c r="A2403" s="52" t="s">
        <v>5710</v>
      </c>
      <c r="B2403" s="52" t="s">
        <v>607</v>
      </c>
      <c r="C2403" s="52" t="s">
        <v>607</v>
      </c>
      <c r="D2403" s="65" t="s">
        <v>607</v>
      </c>
      <c r="E2403" s="65" t="s">
        <v>607</v>
      </c>
      <c r="F2403" s="65" t="s">
        <v>607</v>
      </c>
      <c r="G2403" s="65" t="s">
        <v>607</v>
      </c>
      <c r="H2403" s="52" t="s">
        <v>607</v>
      </c>
      <c r="I2403" s="52" t="s">
        <v>607</v>
      </c>
      <c r="J2403" s="52" t="s">
        <v>607</v>
      </c>
      <c r="K2403" s="52" t="s">
        <v>607</v>
      </c>
      <c r="L2403" s="52" t="s">
        <v>607</v>
      </c>
      <c r="M2403" s="52" t="s">
        <v>607</v>
      </c>
      <c r="N2403" s="52" t="s">
        <v>607</v>
      </c>
      <c r="O2403" s="52"/>
      <c r="P2403" s="52"/>
      <c r="Q2403" s="52"/>
      <c r="R2403" s="51" t="b">
        <v>0</v>
      </c>
      <c r="S2403" s="51"/>
      <c r="T2403" s="52"/>
      <c r="U2403" s="51" t="b">
        <v>0</v>
      </c>
      <c r="V2403" s="51" t="b">
        <v>0</v>
      </c>
      <c r="W2403" s="51" t="b">
        <v>0</v>
      </c>
      <c r="X2403" s="51" t="b">
        <v>0</v>
      </c>
      <c r="Y2403" s="51" t="b">
        <v>0</v>
      </c>
      <c r="Z2403" s="51" t="b">
        <v>0</v>
      </c>
      <c r="AA2403" s="68"/>
      <c r="AB2403" s="52"/>
      <c r="AC2403" s="52"/>
      <c r="AD2403" s="52"/>
      <c r="AE2403" s="56" t="s">
        <v>607</v>
      </c>
      <c r="AF2403" s="56" t="s">
        <v>607</v>
      </c>
    </row>
    <row r="2404">
      <c r="A2404" s="52" t="s">
        <v>5711</v>
      </c>
      <c r="B2404" s="52" t="s">
        <v>607</v>
      </c>
      <c r="C2404" s="52" t="s">
        <v>607</v>
      </c>
      <c r="D2404" s="65" t="s">
        <v>607</v>
      </c>
      <c r="E2404" s="65" t="s">
        <v>607</v>
      </c>
      <c r="F2404" s="65" t="s">
        <v>607</v>
      </c>
      <c r="G2404" s="65" t="s">
        <v>607</v>
      </c>
      <c r="H2404" s="52" t="s">
        <v>607</v>
      </c>
      <c r="I2404" s="52" t="s">
        <v>607</v>
      </c>
      <c r="J2404" s="52" t="s">
        <v>607</v>
      </c>
      <c r="K2404" s="52" t="s">
        <v>607</v>
      </c>
      <c r="L2404" s="52" t="s">
        <v>607</v>
      </c>
      <c r="M2404" s="52" t="s">
        <v>607</v>
      </c>
      <c r="N2404" s="52" t="s">
        <v>607</v>
      </c>
      <c r="O2404" s="52"/>
      <c r="P2404" s="52"/>
      <c r="Q2404" s="52"/>
      <c r="R2404" s="51" t="b">
        <v>0</v>
      </c>
      <c r="S2404" s="51"/>
      <c r="T2404" s="52"/>
      <c r="U2404" s="51" t="b">
        <v>0</v>
      </c>
      <c r="V2404" s="51" t="b">
        <v>0</v>
      </c>
      <c r="W2404" s="51" t="b">
        <v>0</v>
      </c>
      <c r="X2404" s="51" t="b">
        <v>0</v>
      </c>
      <c r="Y2404" s="51" t="b">
        <v>0</v>
      </c>
      <c r="Z2404" s="51" t="b">
        <v>0</v>
      </c>
      <c r="AA2404" s="68"/>
      <c r="AB2404" s="52"/>
      <c r="AC2404" s="52"/>
      <c r="AD2404" s="52"/>
      <c r="AE2404" s="56" t="s">
        <v>607</v>
      </c>
      <c r="AF2404" s="56" t="s">
        <v>607</v>
      </c>
    </row>
    <row r="2405">
      <c r="A2405" s="52" t="s">
        <v>5713</v>
      </c>
      <c r="B2405" s="52" t="s">
        <v>607</v>
      </c>
      <c r="C2405" s="52" t="s">
        <v>607</v>
      </c>
      <c r="D2405" s="65" t="s">
        <v>607</v>
      </c>
      <c r="E2405" s="65" t="s">
        <v>607</v>
      </c>
      <c r="F2405" s="65" t="s">
        <v>607</v>
      </c>
      <c r="G2405" s="65" t="s">
        <v>607</v>
      </c>
      <c r="H2405" s="52" t="s">
        <v>607</v>
      </c>
      <c r="I2405" s="52" t="s">
        <v>607</v>
      </c>
      <c r="J2405" s="52" t="s">
        <v>607</v>
      </c>
      <c r="K2405" s="52" t="s">
        <v>607</v>
      </c>
      <c r="L2405" s="52" t="s">
        <v>607</v>
      </c>
      <c r="M2405" s="52" t="s">
        <v>607</v>
      </c>
      <c r="N2405" s="52" t="s">
        <v>607</v>
      </c>
      <c r="O2405" s="52"/>
      <c r="P2405" s="52"/>
      <c r="Q2405" s="52"/>
      <c r="R2405" s="51" t="b">
        <v>0</v>
      </c>
      <c r="S2405" s="51"/>
      <c r="T2405" s="52"/>
      <c r="U2405" s="51" t="b">
        <v>0</v>
      </c>
      <c r="V2405" s="51" t="b">
        <v>0</v>
      </c>
      <c r="W2405" s="51" t="b">
        <v>0</v>
      </c>
      <c r="X2405" s="51" t="b">
        <v>0</v>
      </c>
      <c r="Y2405" s="51" t="b">
        <v>0</v>
      </c>
      <c r="Z2405" s="51" t="b">
        <v>0</v>
      </c>
      <c r="AA2405" s="68"/>
      <c r="AB2405" s="52"/>
      <c r="AC2405" s="52"/>
      <c r="AD2405" s="52"/>
      <c r="AE2405" s="56" t="s">
        <v>607</v>
      </c>
      <c r="AF2405" s="56" t="s">
        <v>607</v>
      </c>
    </row>
    <row r="2406">
      <c r="A2406" s="52" t="s">
        <v>5714</v>
      </c>
      <c r="B2406" s="52" t="s">
        <v>607</v>
      </c>
      <c r="C2406" s="52" t="s">
        <v>607</v>
      </c>
      <c r="D2406" s="65" t="s">
        <v>607</v>
      </c>
      <c r="E2406" s="65" t="s">
        <v>607</v>
      </c>
      <c r="F2406" s="65" t="s">
        <v>607</v>
      </c>
      <c r="G2406" s="65" t="s">
        <v>607</v>
      </c>
      <c r="H2406" s="52" t="s">
        <v>607</v>
      </c>
      <c r="I2406" s="52" t="s">
        <v>607</v>
      </c>
      <c r="J2406" s="52" t="s">
        <v>607</v>
      </c>
      <c r="K2406" s="52" t="s">
        <v>607</v>
      </c>
      <c r="L2406" s="52" t="s">
        <v>607</v>
      </c>
      <c r="M2406" s="52" t="s">
        <v>607</v>
      </c>
      <c r="N2406" s="52" t="s">
        <v>607</v>
      </c>
      <c r="O2406" s="52"/>
      <c r="P2406" s="52"/>
      <c r="Q2406" s="52"/>
      <c r="R2406" s="51" t="b">
        <v>0</v>
      </c>
      <c r="S2406" s="51"/>
      <c r="T2406" s="52"/>
      <c r="U2406" s="51" t="b">
        <v>0</v>
      </c>
      <c r="V2406" s="51" t="b">
        <v>0</v>
      </c>
      <c r="W2406" s="51" t="b">
        <v>0</v>
      </c>
      <c r="X2406" s="51" t="b">
        <v>0</v>
      </c>
      <c r="Y2406" s="51" t="b">
        <v>0</v>
      </c>
      <c r="Z2406" s="51" t="b">
        <v>0</v>
      </c>
      <c r="AA2406" s="68"/>
      <c r="AB2406" s="52"/>
      <c r="AC2406" s="52"/>
      <c r="AD2406" s="52"/>
      <c r="AE2406" s="56" t="s">
        <v>607</v>
      </c>
      <c r="AF2406" s="56" t="s">
        <v>607</v>
      </c>
    </row>
    <row r="2407">
      <c r="A2407" s="52" t="s">
        <v>5715</v>
      </c>
      <c r="B2407" s="52" t="s">
        <v>607</v>
      </c>
      <c r="C2407" s="52" t="s">
        <v>607</v>
      </c>
      <c r="D2407" s="65" t="s">
        <v>607</v>
      </c>
      <c r="E2407" s="65" t="s">
        <v>607</v>
      </c>
      <c r="F2407" s="65" t="s">
        <v>607</v>
      </c>
      <c r="G2407" s="65" t="s">
        <v>607</v>
      </c>
      <c r="H2407" s="52" t="s">
        <v>607</v>
      </c>
      <c r="I2407" s="52" t="s">
        <v>607</v>
      </c>
      <c r="J2407" s="52" t="s">
        <v>607</v>
      </c>
      <c r="K2407" s="52" t="s">
        <v>607</v>
      </c>
      <c r="L2407" s="52" t="s">
        <v>607</v>
      </c>
      <c r="M2407" s="52" t="s">
        <v>607</v>
      </c>
      <c r="N2407" s="52" t="s">
        <v>607</v>
      </c>
      <c r="O2407" s="52"/>
      <c r="P2407" s="52"/>
      <c r="Q2407" s="52"/>
      <c r="R2407" s="51" t="b">
        <v>0</v>
      </c>
      <c r="S2407" s="51"/>
      <c r="T2407" s="52"/>
      <c r="U2407" s="51" t="b">
        <v>0</v>
      </c>
      <c r="V2407" s="51" t="b">
        <v>0</v>
      </c>
      <c r="W2407" s="51" t="b">
        <v>0</v>
      </c>
      <c r="X2407" s="51" t="b">
        <v>0</v>
      </c>
      <c r="Y2407" s="51" t="b">
        <v>0</v>
      </c>
      <c r="Z2407" s="51" t="b">
        <v>0</v>
      </c>
      <c r="AA2407" s="68"/>
      <c r="AB2407" s="52"/>
      <c r="AC2407" s="52"/>
      <c r="AD2407" s="52"/>
      <c r="AE2407" s="56" t="s">
        <v>607</v>
      </c>
      <c r="AF2407" s="56" t="s">
        <v>607</v>
      </c>
    </row>
    <row r="2408">
      <c r="A2408" s="52" t="s">
        <v>5716</v>
      </c>
      <c r="B2408" s="52" t="s">
        <v>607</v>
      </c>
      <c r="C2408" s="52" t="s">
        <v>607</v>
      </c>
      <c r="D2408" s="65" t="s">
        <v>607</v>
      </c>
      <c r="E2408" s="65" t="s">
        <v>607</v>
      </c>
      <c r="F2408" s="65" t="s">
        <v>607</v>
      </c>
      <c r="G2408" s="65" t="s">
        <v>607</v>
      </c>
      <c r="H2408" s="52" t="s">
        <v>607</v>
      </c>
      <c r="I2408" s="52" t="s">
        <v>607</v>
      </c>
      <c r="J2408" s="52" t="s">
        <v>607</v>
      </c>
      <c r="K2408" s="52" t="s">
        <v>607</v>
      </c>
      <c r="L2408" s="52" t="s">
        <v>607</v>
      </c>
      <c r="M2408" s="52" t="s">
        <v>607</v>
      </c>
      <c r="N2408" s="52" t="s">
        <v>607</v>
      </c>
      <c r="O2408" s="52"/>
      <c r="P2408" s="52"/>
      <c r="Q2408" s="52"/>
      <c r="R2408" s="51" t="b">
        <v>0</v>
      </c>
      <c r="S2408" s="51"/>
      <c r="T2408" s="52"/>
      <c r="U2408" s="51" t="b">
        <v>0</v>
      </c>
      <c r="V2408" s="51" t="b">
        <v>0</v>
      </c>
      <c r="W2408" s="51" t="b">
        <v>0</v>
      </c>
      <c r="X2408" s="51" t="b">
        <v>0</v>
      </c>
      <c r="Y2408" s="51" t="b">
        <v>0</v>
      </c>
      <c r="Z2408" s="51" t="b">
        <v>0</v>
      </c>
      <c r="AA2408" s="68"/>
      <c r="AB2408" s="52"/>
      <c r="AC2408" s="52"/>
      <c r="AD2408" s="52"/>
      <c r="AE2408" s="56" t="s">
        <v>607</v>
      </c>
      <c r="AF2408" s="56" t="s">
        <v>607</v>
      </c>
    </row>
    <row r="2409">
      <c r="A2409" s="52" t="s">
        <v>5718</v>
      </c>
      <c r="B2409" s="52" t="s">
        <v>607</v>
      </c>
      <c r="C2409" s="52" t="s">
        <v>607</v>
      </c>
      <c r="D2409" s="65" t="s">
        <v>607</v>
      </c>
      <c r="E2409" s="65" t="s">
        <v>607</v>
      </c>
      <c r="F2409" s="65" t="s">
        <v>607</v>
      </c>
      <c r="G2409" s="65" t="s">
        <v>607</v>
      </c>
      <c r="H2409" s="52" t="s">
        <v>607</v>
      </c>
      <c r="I2409" s="52" t="s">
        <v>607</v>
      </c>
      <c r="J2409" s="52" t="s">
        <v>607</v>
      </c>
      <c r="K2409" s="52" t="s">
        <v>607</v>
      </c>
      <c r="L2409" s="52" t="s">
        <v>607</v>
      </c>
      <c r="M2409" s="52" t="s">
        <v>607</v>
      </c>
      <c r="N2409" s="52" t="s">
        <v>607</v>
      </c>
      <c r="O2409" s="52"/>
      <c r="P2409" s="52"/>
      <c r="Q2409" s="52"/>
      <c r="R2409" s="51" t="b">
        <v>0</v>
      </c>
      <c r="S2409" s="51"/>
      <c r="T2409" s="52"/>
      <c r="U2409" s="51" t="b">
        <v>0</v>
      </c>
      <c r="V2409" s="51" t="b">
        <v>0</v>
      </c>
      <c r="W2409" s="51" t="b">
        <v>0</v>
      </c>
      <c r="X2409" s="51" t="b">
        <v>0</v>
      </c>
      <c r="Y2409" s="51" t="b">
        <v>0</v>
      </c>
      <c r="Z2409" s="51" t="b">
        <v>0</v>
      </c>
      <c r="AA2409" s="68"/>
      <c r="AB2409" s="52"/>
      <c r="AC2409" s="52"/>
      <c r="AD2409" s="52"/>
      <c r="AE2409" s="56" t="s">
        <v>607</v>
      </c>
      <c r="AF2409" s="56" t="s">
        <v>607</v>
      </c>
    </row>
    <row r="2410">
      <c r="A2410" s="52" t="s">
        <v>5720</v>
      </c>
      <c r="B2410" s="52" t="s">
        <v>607</v>
      </c>
      <c r="C2410" s="52" t="s">
        <v>607</v>
      </c>
      <c r="D2410" s="65" t="s">
        <v>607</v>
      </c>
      <c r="E2410" s="65" t="s">
        <v>607</v>
      </c>
      <c r="F2410" s="65" t="s">
        <v>607</v>
      </c>
      <c r="G2410" s="65" t="s">
        <v>607</v>
      </c>
      <c r="H2410" s="52" t="s">
        <v>607</v>
      </c>
      <c r="I2410" s="52" t="s">
        <v>607</v>
      </c>
      <c r="J2410" s="52" t="s">
        <v>607</v>
      </c>
      <c r="K2410" s="52" t="s">
        <v>607</v>
      </c>
      <c r="L2410" s="52" t="s">
        <v>607</v>
      </c>
      <c r="M2410" s="52" t="s">
        <v>607</v>
      </c>
      <c r="N2410" s="52" t="s">
        <v>607</v>
      </c>
      <c r="O2410" s="52"/>
      <c r="P2410" s="52"/>
      <c r="Q2410" s="52"/>
      <c r="R2410" s="51" t="b">
        <v>0</v>
      </c>
      <c r="S2410" s="51"/>
      <c r="T2410" s="52"/>
      <c r="U2410" s="51" t="b">
        <v>0</v>
      </c>
      <c r="V2410" s="51" t="b">
        <v>0</v>
      </c>
      <c r="W2410" s="51" t="b">
        <v>0</v>
      </c>
      <c r="X2410" s="51" t="b">
        <v>0</v>
      </c>
      <c r="Y2410" s="51" t="b">
        <v>0</v>
      </c>
      <c r="Z2410" s="51" t="b">
        <v>0</v>
      </c>
      <c r="AA2410" s="68"/>
      <c r="AB2410" s="52"/>
      <c r="AC2410" s="52"/>
      <c r="AD2410" s="52"/>
      <c r="AE2410" s="56" t="s">
        <v>607</v>
      </c>
      <c r="AF2410" s="56" t="s">
        <v>607</v>
      </c>
    </row>
    <row r="2411">
      <c r="A2411" s="52" t="s">
        <v>5721</v>
      </c>
      <c r="B2411" s="52" t="s">
        <v>607</v>
      </c>
      <c r="C2411" s="52" t="s">
        <v>607</v>
      </c>
      <c r="D2411" s="65" t="s">
        <v>607</v>
      </c>
      <c r="E2411" s="65" t="s">
        <v>607</v>
      </c>
      <c r="F2411" s="65" t="s">
        <v>607</v>
      </c>
      <c r="G2411" s="65" t="s">
        <v>607</v>
      </c>
      <c r="H2411" s="52" t="s">
        <v>607</v>
      </c>
      <c r="I2411" s="52" t="s">
        <v>607</v>
      </c>
      <c r="J2411" s="52" t="s">
        <v>607</v>
      </c>
      <c r="K2411" s="52" t="s">
        <v>607</v>
      </c>
      <c r="L2411" s="52" t="s">
        <v>607</v>
      </c>
      <c r="M2411" s="52" t="s">
        <v>607</v>
      </c>
      <c r="N2411" s="52" t="s">
        <v>607</v>
      </c>
      <c r="O2411" s="52"/>
      <c r="P2411" s="52"/>
      <c r="Q2411" s="52"/>
      <c r="R2411" s="51" t="b">
        <v>0</v>
      </c>
      <c r="S2411" s="51"/>
      <c r="T2411" s="52"/>
      <c r="U2411" s="51" t="b">
        <v>0</v>
      </c>
      <c r="V2411" s="51" t="b">
        <v>0</v>
      </c>
      <c r="W2411" s="51" t="b">
        <v>0</v>
      </c>
      <c r="X2411" s="51" t="b">
        <v>0</v>
      </c>
      <c r="Y2411" s="51" t="b">
        <v>0</v>
      </c>
      <c r="Z2411" s="51" t="b">
        <v>0</v>
      </c>
      <c r="AA2411" s="68"/>
      <c r="AB2411" s="52"/>
      <c r="AC2411" s="52"/>
      <c r="AD2411" s="52"/>
      <c r="AE2411" s="56" t="s">
        <v>607</v>
      </c>
      <c r="AF2411" s="56" t="s">
        <v>607</v>
      </c>
    </row>
    <row r="2412">
      <c r="A2412" s="52" t="s">
        <v>5723</v>
      </c>
      <c r="B2412" s="52" t="s">
        <v>607</v>
      </c>
      <c r="C2412" s="52" t="s">
        <v>607</v>
      </c>
      <c r="D2412" s="65" t="s">
        <v>607</v>
      </c>
      <c r="E2412" s="65" t="s">
        <v>607</v>
      </c>
      <c r="F2412" s="65" t="s">
        <v>607</v>
      </c>
      <c r="G2412" s="65" t="s">
        <v>607</v>
      </c>
      <c r="H2412" s="52" t="s">
        <v>607</v>
      </c>
      <c r="I2412" s="52" t="s">
        <v>607</v>
      </c>
      <c r="J2412" s="52" t="s">
        <v>607</v>
      </c>
      <c r="K2412" s="52" t="s">
        <v>607</v>
      </c>
      <c r="L2412" s="52" t="s">
        <v>607</v>
      </c>
      <c r="M2412" s="52" t="s">
        <v>607</v>
      </c>
      <c r="N2412" s="52" t="s">
        <v>607</v>
      </c>
      <c r="O2412" s="52"/>
      <c r="P2412" s="52"/>
      <c r="Q2412" s="52"/>
      <c r="R2412" s="51" t="b">
        <v>0</v>
      </c>
      <c r="S2412" s="51"/>
      <c r="T2412" s="52"/>
      <c r="U2412" s="51" t="b">
        <v>0</v>
      </c>
      <c r="V2412" s="51" t="b">
        <v>0</v>
      </c>
      <c r="W2412" s="51" t="b">
        <v>0</v>
      </c>
      <c r="X2412" s="51" t="b">
        <v>0</v>
      </c>
      <c r="Y2412" s="51" t="b">
        <v>0</v>
      </c>
      <c r="Z2412" s="51" t="b">
        <v>0</v>
      </c>
      <c r="AA2412" s="68"/>
      <c r="AB2412" s="52"/>
      <c r="AC2412" s="52"/>
      <c r="AD2412" s="52"/>
      <c r="AE2412" s="56" t="s">
        <v>607</v>
      </c>
      <c r="AF2412" s="56" t="s">
        <v>607</v>
      </c>
    </row>
    <row r="2413">
      <c r="A2413" s="52" t="s">
        <v>5726</v>
      </c>
      <c r="B2413" s="52" t="s">
        <v>607</v>
      </c>
      <c r="C2413" s="52" t="s">
        <v>607</v>
      </c>
      <c r="D2413" s="65" t="s">
        <v>607</v>
      </c>
      <c r="E2413" s="65" t="s">
        <v>607</v>
      </c>
      <c r="F2413" s="65" t="s">
        <v>607</v>
      </c>
      <c r="G2413" s="65" t="s">
        <v>607</v>
      </c>
      <c r="H2413" s="52" t="s">
        <v>607</v>
      </c>
      <c r="I2413" s="52" t="s">
        <v>607</v>
      </c>
      <c r="J2413" s="52" t="s">
        <v>607</v>
      </c>
      <c r="K2413" s="52" t="s">
        <v>607</v>
      </c>
      <c r="L2413" s="52" t="s">
        <v>607</v>
      </c>
      <c r="M2413" s="52" t="s">
        <v>607</v>
      </c>
      <c r="N2413" s="52" t="s">
        <v>607</v>
      </c>
      <c r="O2413" s="52"/>
      <c r="P2413" s="52"/>
      <c r="Q2413" s="52"/>
      <c r="R2413" s="51" t="b">
        <v>0</v>
      </c>
      <c r="S2413" s="51"/>
      <c r="T2413" s="52"/>
      <c r="U2413" s="51" t="b">
        <v>0</v>
      </c>
      <c r="V2413" s="51" t="b">
        <v>0</v>
      </c>
      <c r="W2413" s="51" t="b">
        <v>0</v>
      </c>
      <c r="X2413" s="51" t="b">
        <v>0</v>
      </c>
      <c r="Y2413" s="51" t="b">
        <v>0</v>
      </c>
      <c r="Z2413" s="51" t="b">
        <v>0</v>
      </c>
      <c r="AA2413" s="68"/>
      <c r="AB2413" s="52"/>
      <c r="AC2413" s="52"/>
      <c r="AD2413" s="52"/>
      <c r="AE2413" s="56" t="s">
        <v>607</v>
      </c>
      <c r="AF2413" s="56" t="s">
        <v>607</v>
      </c>
    </row>
    <row r="2414">
      <c r="A2414" s="52" t="s">
        <v>5727</v>
      </c>
      <c r="B2414" s="52" t="s">
        <v>607</v>
      </c>
      <c r="C2414" s="52" t="s">
        <v>607</v>
      </c>
      <c r="D2414" s="65" t="s">
        <v>607</v>
      </c>
      <c r="E2414" s="65" t="s">
        <v>607</v>
      </c>
      <c r="F2414" s="65" t="s">
        <v>607</v>
      </c>
      <c r="G2414" s="65" t="s">
        <v>607</v>
      </c>
      <c r="H2414" s="52" t="s">
        <v>607</v>
      </c>
      <c r="I2414" s="52" t="s">
        <v>607</v>
      </c>
      <c r="J2414" s="52" t="s">
        <v>607</v>
      </c>
      <c r="K2414" s="52" t="s">
        <v>607</v>
      </c>
      <c r="L2414" s="52" t="s">
        <v>607</v>
      </c>
      <c r="M2414" s="52" t="s">
        <v>607</v>
      </c>
      <c r="N2414" s="52" t="s">
        <v>607</v>
      </c>
      <c r="O2414" s="52"/>
      <c r="P2414" s="52"/>
      <c r="Q2414" s="52"/>
      <c r="R2414" s="51" t="b">
        <v>0</v>
      </c>
      <c r="S2414" s="51"/>
      <c r="T2414" s="52"/>
      <c r="U2414" s="51" t="b">
        <v>0</v>
      </c>
      <c r="V2414" s="51" t="b">
        <v>0</v>
      </c>
      <c r="W2414" s="51" t="b">
        <v>0</v>
      </c>
      <c r="X2414" s="51" t="b">
        <v>0</v>
      </c>
      <c r="Y2414" s="51" t="b">
        <v>0</v>
      </c>
      <c r="Z2414" s="51" t="b">
        <v>0</v>
      </c>
      <c r="AA2414" s="68"/>
      <c r="AB2414" s="52"/>
      <c r="AC2414" s="52"/>
      <c r="AD2414" s="52"/>
      <c r="AE2414" s="56" t="s">
        <v>607</v>
      </c>
      <c r="AF2414" s="56" t="s">
        <v>607</v>
      </c>
    </row>
    <row r="2415">
      <c r="A2415" s="52" t="s">
        <v>5728</v>
      </c>
      <c r="B2415" s="52" t="s">
        <v>607</v>
      </c>
      <c r="C2415" s="52" t="s">
        <v>607</v>
      </c>
      <c r="D2415" s="65" t="s">
        <v>607</v>
      </c>
      <c r="E2415" s="65" t="s">
        <v>607</v>
      </c>
      <c r="F2415" s="65" t="s">
        <v>607</v>
      </c>
      <c r="G2415" s="65" t="s">
        <v>607</v>
      </c>
      <c r="H2415" s="52" t="s">
        <v>607</v>
      </c>
      <c r="I2415" s="52" t="s">
        <v>607</v>
      </c>
      <c r="J2415" s="52" t="s">
        <v>607</v>
      </c>
      <c r="K2415" s="52" t="s">
        <v>607</v>
      </c>
      <c r="L2415" s="52" t="s">
        <v>607</v>
      </c>
      <c r="M2415" s="52" t="s">
        <v>607</v>
      </c>
      <c r="N2415" s="52" t="s">
        <v>607</v>
      </c>
      <c r="O2415" s="52"/>
      <c r="P2415" s="52"/>
      <c r="Q2415" s="52"/>
      <c r="R2415" s="51" t="b">
        <v>0</v>
      </c>
      <c r="S2415" s="51"/>
      <c r="T2415" s="52"/>
      <c r="U2415" s="51" t="b">
        <v>0</v>
      </c>
      <c r="V2415" s="51" t="b">
        <v>0</v>
      </c>
      <c r="W2415" s="51" t="b">
        <v>0</v>
      </c>
      <c r="X2415" s="51" t="b">
        <v>0</v>
      </c>
      <c r="Y2415" s="51" t="b">
        <v>0</v>
      </c>
      <c r="Z2415" s="51" t="b">
        <v>0</v>
      </c>
      <c r="AA2415" s="68"/>
      <c r="AB2415" s="52"/>
      <c r="AC2415" s="52"/>
      <c r="AD2415" s="52"/>
      <c r="AE2415" s="56" t="s">
        <v>607</v>
      </c>
      <c r="AF2415" s="56" t="s">
        <v>607</v>
      </c>
    </row>
    <row r="2416">
      <c r="A2416" s="52" t="s">
        <v>5729</v>
      </c>
      <c r="B2416" s="52" t="s">
        <v>607</v>
      </c>
      <c r="C2416" s="52" t="s">
        <v>607</v>
      </c>
      <c r="D2416" s="65" t="s">
        <v>607</v>
      </c>
      <c r="E2416" s="65" t="s">
        <v>607</v>
      </c>
      <c r="F2416" s="65" t="s">
        <v>607</v>
      </c>
      <c r="G2416" s="65" t="s">
        <v>607</v>
      </c>
      <c r="H2416" s="52" t="s">
        <v>607</v>
      </c>
      <c r="I2416" s="52" t="s">
        <v>607</v>
      </c>
      <c r="J2416" s="52" t="s">
        <v>607</v>
      </c>
      <c r="K2416" s="52" t="s">
        <v>607</v>
      </c>
      <c r="L2416" s="52" t="s">
        <v>607</v>
      </c>
      <c r="M2416" s="52" t="s">
        <v>607</v>
      </c>
      <c r="N2416" s="52" t="s">
        <v>607</v>
      </c>
      <c r="O2416" s="52"/>
      <c r="P2416" s="52"/>
      <c r="Q2416" s="52"/>
      <c r="R2416" s="51" t="b">
        <v>0</v>
      </c>
      <c r="S2416" s="51"/>
      <c r="T2416" s="52"/>
      <c r="U2416" s="51" t="b">
        <v>0</v>
      </c>
      <c r="V2416" s="51" t="b">
        <v>0</v>
      </c>
      <c r="W2416" s="51" t="b">
        <v>0</v>
      </c>
      <c r="X2416" s="51" t="b">
        <v>0</v>
      </c>
      <c r="Y2416" s="51" t="b">
        <v>0</v>
      </c>
      <c r="Z2416" s="51" t="b">
        <v>0</v>
      </c>
      <c r="AA2416" s="68"/>
      <c r="AB2416" s="52"/>
      <c r="AC2416" s="52"/>
      <c r="AD2416" s="52"/>
      <c r="AE2416" s="56" t="s">
        <v>607</v>
      </c>
      <c r="AF2416" s="56" t="s">
        <v>607</v>
      </c>
    </row>
    <row r="2417">
      <c r="A2417" s="52" t="s">
        <v>5730</v>
      </c>
      <c r="B2417" s="52" t="s">
        <v>607</v>
      </c>
      <c r="C2417" s="52" t="s">
        <v>607</v>
      </c>
      <c r="D2417" s="65" t="s">
        <v>607</v>
      </c>
      <c r="E2417" s="65" t="s">
        <v>607</v>
      </c>
      <c r="F2417" s="65" t="s">
        <v>607</v>
      </c>
      <c r="G2417" s="65" t="s">
        <v>607</v>
      </c>
      <c r="H2417" s="52" t="s">
        <v>607</v>
      </c>
      <c r="I2417" s="52" t="s">
        <v>607</v>
      </c>
      <c r="J2417" s="52" t="s">
        <v>607</v>
      </c>
      <c r="K2417" s="52" t="s">
        <v>607</v>
      </c>
      <c r="L2417" s="52" t="s">
        <v>607</v>
      </c>
      <c r="M2417" s="52" t="s">
        <v>607</v>
      </c>
      <c r="N2417" s="52" t="s">
        <v>607</v>
      </c>
      <c r="O2417" s="52"/>
      <c r="P2417" s="52"/>
      <c r="Q2417" s="52"/>
      <c r="R2417" s="51" t="b">
        <v>0</v>
      </c>
      <c r="S2417" s="51"/>
      <c r="T2417" s="52"/>
      <c r="U2417" s="51" t="b">
        <v>0</v>
      </c>
      <c r="V2417" s="51" t="b">
        <v>0</v>
      </c>
      <c r="W2417" s="51" t="b">
        <v>0</v>
      </c>
      <c r="X2417" s="51" t="b">
        <v>0</v>
      </c>
      <c r="Y2417" s="51" t="b">
        <v>0</v>
      </c>
      <c r="Z2417" s="51" t="b">
        <v>0</v>
      </c>
      <c r="AA2417" s="68"/>
      <c r="AB2417" s="52"/>
      <c r="AC2417" s="52"/>
      <c r="AD2417" s="52"/>
      <c r="AE2417" s="56" t="s">
        <v>607</v>
      </c>
      <c r="AF2417" s="56" t="s">
        <v>607</v>
      </c>
    </row>
    <row r="2418">
      <c r="A2418" s="52" t="s">
        <v>5734</v>
      </c>
      <c r="B2418" s="52" t="s">
        <v>607</v>
      </c>
      <c r="C2418" s="52" t="s">
        <v>607</v>
      </c>
      <c r="D2418" s="65" t="s">
        <v>607</v>
      </c>
      <c r="E2418" s="65" t="s">
        <v>607</v>
      </c>
      <c r="F2418" s="65" t="s">
        <v>607</v>
      </c>
      <c r="G2418" s="65" t="s">
        <v>607</v>
      </c>
      <c r="H2418" s="52" t="s">
        <v>607</v>
      </c>
      <c r="I2418" s="52" t="s">
        <v>607</v>
      </c>
      <c r="J2418" s="52" t="s">
        <v>607</v>
      </c>
      <c r="K2418" s="52" t="s">
        <v>607</v>
      </c>
      <c r="L2418" s="52" t="s">
        <v>607</v>
      </c>
      <c r="M2418" s="52" t="s">
        <v>607</v>
      </c>
      <c r="N2418" s="52" t="s">
        <v>607</v>
      </c>
      <c r="O2418" s="52"/>
      <c r="P2418" s="52"/>
      <c r="Q2418" s="52"/>
      <c r="R2418" s="51" t="b">
        <v>0</v>
      </c>
      <c r="S2418" s="51"/>
      <c r="T2418" s="52"/>
      <c r="U2418" s="51" t="b">
        <v>0</v>
      </c>
      <c r="V2418" s="51" t="b">
        <v>0</v>
      </c>
      <c r="W2418" s="51" t="b">
        <v>0</v>
      </c>
      <c r="X2418" s="51" t="b">
        <v>0</v>
      </c>
      <c r="Y2418" s="51" t="b">
        <v>0</v>
      </c>
      <c r="Z2418" s="51" t="b">
        <v>0</v>
      </c>
      <c r="AA2418" s="68"/>
      <c r="AB2418" s="52"/>
      <c r="AC2418" s="52"/>
      <c r="AD2418" s="52"/>
      <c r="AE2418" s="56" t="s">
        <v>607</v>
      </c>
      <c r="AF2418" s="56" t="s">
        <v>607</v>
      </c>
    </row>
    <row r="2419">
      <c r="A2419" s="52" t="s">
        <v>5735</v>
      </c>
      <c r="B2419" s="52" t="s">
        <v>607</v>
      </c>
      <c r="C2419" s="52" t="s">
        <v>607</v>
      </c>
      <c r="D2419" s="65" t="s">
        <v>607</v>
      </c>
      <c r="E2419" s="65" t="s">
        <v>607</v>
      </c>
      <c r="F2419" s="65" t="s">
        <v>607</v>
      </c>
      <c r="G2419" s="65" t="s">
        <v>607</v>
      </c>
      <c r="H2419" s="52" t="s">
        <v>607</v>
      </c>
      <c r="I2419" s="52" t="s">
        <v>607</v>
      </c>
      <c r="J2419" s="52" t="s">
        <v>607</v>
      </c>
      <c r="K2419" s="52" t="s">
        <v>607</v>
      </c>
      <c r="L2419" s="52" t="s">
        <v>607</v>
      </c>
      <c r="M2419" s="52" t="s">
        <v>607</v>
      </c>
      <c r="N2419" s="52" t="s">
        <v>607</v>
      </c>
      <c r="O2419" s="52"/>
      <c r="P2419" s="52"/>
      <c r="Q2419" s="52"/>
      <c r="R2419" s="51" t="b">
        <v>0</v>
      </c>
      <c r="S2419" s="51"/>
      <c r="T2419" s="52"/>
      <c r="U2419" s="51" t="b">
        <v>0</v>
      </c>
      <c r="V2419" s="51" t="b">
        <v>0</v>
      </c>
      <c r="W2419" s="51" t="b">
        <v>0</v>
      </c>
      <c r="X2419" s="51" t="b">
        <v>0</v>
      </c>
      <c r="Y2419" s="51" t="b">
        <v>0</v>
      </c>
      <c r="Z2419" s="51" t="b">
        <v>0</v>
      </c>
      <c r="AA2419" s="68"/>
      <c r="AB2419" s="52"/>
      <c r="AC2419" s="52"/>
      <c r="AD2419" s="52"/>
      <c r="AE2419" s="56" t="s">
        <v>607</v>
      </c>
      <c r="AF2419" s="56" t="s">
        <v>607</v>
      </c>
    </row>
    <row r="2420">
      <c r="A2420" s="52" t="s">
        <v>5739</v>
      </c>
      <c r="B2420" s="52" t="s">
        <v>607</v>
      </c>
      <c r="C2420" s="52" t="s">
        <v>607</v>
      </c>
      <c r="D2420" s="65" t="s">
        <v>607</v>
      </c>
      <c r="E2420" s="65" t="s">
        <v>607</v>
      </c>
      <c r="F2420" s="65" t="s">
        <v>607</v>
      </c>
      <c r="G2420" s="65" t="s">
        <v>607</v>
      </c>
      <c r="H2420" s="52" t="s">
        <v>607</v>
      </c>
      <c r="I2420" s="52" t="s">
        <v>607</v>
      </c>
      <c r="J2420" s="52" t="s">
        <v>607</v>
      </c>
      <c r="K2420" s="52" t="s">
        <v>607</v>
      </c>
      <c r="L2420" s="52" t="s">
        <v>607</v>
      </c>
      <c r="M2420" s="52" t="s">
        <v>607</v>
      </c>
      <c r="N2420" s="52" t="s">
        <v>607</v>
      </c>
      <c r="O2420" s="52"/>
      <c r="P2420" s="52"/>
      <c r="Q2420" s="52"/>
      <c r="R2420" s="51" t="b">
        <v>0</v>
      </c>
      <c r="S2420" s="51"/>
      <c r="T2420" s="52"/>
      <c r="U2420" s="51" t="b">
        <v>0</v>
      </c>
      <c r="V2420" s="51" t="b">
        <v>0</v>
      </c>
      <c r="W2420" s="51" t="b">
        <v>0</v>
      </c>
      <c r="X2420" s="51" t="b">
        <v>0</v>
      </c>
      <c r="Y2420" s="51" t="b">
        <v>0</v>
      </c>
      <c r="Z2420" s="51" t="b">
        <v>0</v>
      </c>
      <c r="AA2420" s="68"/>
      <c r="AB2420" s="52"/>
      <c r="AC2420" s="52"/>
      <c r="AD2420" s="52"/>
      <c r="AE2420" s="56" t="s">
        <v>607</v>
      </c>
      <c r="AF2420" s="56" t="s">
        <v>607</v>
      </c>
    </row>
    <row r="2421">
      <c r="A2421" s="52" t="s">
        <v>5740</v>
      </c>
      <c r="B2421" s="52" t="s">
        <v>607</v>
      </c>
      <c r="C2421" s="52" t="s">
        <v>607</v>
      </c>
      <c r="D2421" s="65" t="s">
        <v>607</v>
      </c>
      <c r="E2421" s="65" t="s">
        <v>607</v>
      </c>
      <c r="F2421" s="65" t="s">
        <v>607</v>
      </c>
      <c r="G2421" s="65" t="s">
        <v>607</v>
      </c>
      <c r="H2421" s="52" t="s">
        <v>607</v>
      </c>
      <c r="I2421" s="52" t="s">
        <v>607</v>
      </c>
      <c r="J2421" s="52" t="s">
        <v>607</v>
      </c>
      <c r="K2421" s="52" t="s">
        <v>607</v>
      </c>
      <c r="L2421" s="52" t="s">
        <v>607</v>
      </c>
      <c r="M2421" s="52" t="s">
        <v>607</v>
      </c>
      <c r="N2421" s="52" t="s">
        <v>607</v>
      </c>
      <c r="O2421" s="52"/>
      <c r="P2421" s="52"/>
      <c r="Q2421" s="52"/>
      <c r="R2421" s="51" t="b">
        <v>0</v>
      </c>
      <c r="S2421" s="51"/>
      <c r="T2421" s="52"/>
      <c r="U2421" s="51" t="b">
        <v>0</v>
      </c>
      <c r="V2421" s="51" t="b">
        <v>0</v>
      </c>
      <c r="W2421" s="51" t="b">
        <v>0</v>
      </c>
      <c r="X2421" s="51" t="b">
        <v>0</v>
      </c>
      <c r="Y2421" s="51" t="b">
        <v>0</v>
      </c>
      <c r="Z2421" s="51" t="b">
        <v>0</v>
      </c>
      <c r="AA2421" s="68"/>
      <c r="AB2421" s="52"/>
      <c r="AC2421" s="52"/>
      <c r="AD2421" s="52"/>
      <c r="AE2421" s="56" t="s">
        <v>607</v>
      </c>
      <c r="AF2421" s="56" t="s">
        <v>607</v>
      </c>
    </row>
    <row r="2422">
      <c r="A2422" s="52" t="s">
        <v>5744</v>
      </c>
      <c r="B2422" s="52" t="s">
        <v>607</v>
      </c>
      <c r="C2422" s="52" t="s">
        <v>607</v>
      </c>
      <c r="D2422" s="65" t="s">
        <v>607</v>
      </c>
      <c r="E2422" s="65" t="s">
        <v>607</v>
      </c>
      <c r="F2422" s="65" t="s">
        <v>607</v>
      </c>
      <c r="G2422" s="65" t="s">
        <v>607</v>
      </c>
      <c r="H2422" s="52" t="s">
        <v>607</v>
      </c>
      <c r="I2422" s="52" t="s">
        <v>607</v>
      </c>
      <c r="J2422" s="52" t="s">
        <v>607</v>
      </c>
      <c r="K2422" s="52" t="s">
        <v>607</v>
      </c>
      <c r="L2422" s="52" t="s">
        <v>607</v>
      </c>
      <c r="M2422" s="52" t="s">
        <v>607</v>
      </c>
      <c r="N2422" s="52" t="s">
        <v>607</v>
      </c>
      <c r="O2422" s="52"/>
      <c r="P2422" s="52"/>
      <c r="Q2422" s="52"/>
      <c r="R2422" s="51" t="b">
        <v>0</v>
      </c>
      <c r="S2422" s="51"/>
      <c r="T2422" s="52"/>
      <c r="U2422" s="51" t="b">
        <v>0</v>
      </c>
      <c r="V2422" s="51" t="b">
        <v>0</v>
      </c>
      <c r="W2422" s="51" t="b">
        <v>0</v>
      </c>
      <c r="X2422" s="51" t="b">
        <v>0</v>
      </c>
      <c r="Y2422" s="51" t="b">
        <v>0</v>
      </c>
      <c r="Z2422" s="51" t="b">
        <v>0</v>
      </c>
      <c r="AA2422" s="68"/>
      <c r="AB2422" s="52"/>
      <c r="AC2422" s="52"/>
      <c r="AD2422" s="52"/>
      <c r="AE2422" s="56" t="s">
        <v>607</v>
      </c>
      <c r="AF2422" s="56" t="s">
        <v>607</v>
      </c>
    </row>
    <row r="2423">
      <c r="A2423" s="52" t="s">
        <v>5746</v>
      </c>
      <c r="B2423" s="52" t="s">
        <v>607</v>
      </c>
      <c r="C2423" s="52" t="s">
        <v>607</v>
      </c>
      <c r="D2423" s="65" t="s">
        <v>607</v>
      </c>
      <c r="E2423" s="65" t="s">
        <v>607</v>
      </c>
      <c r="F2423" s="65" t="s">
        <v>607</v>
      </c>
      <c r="G2423" s="65" t="s">
        <v>607</v>
      </c>
      <c r="H2423" s="52" t="s">
        <v>607</v>
      </c>
      <c r="I2423" s="52" t="s">
        <v>607</v>
      </c>
      <c r="J2423" s="52" t="s">
        <v>607</v>
      </c>
      <c r="K2423" s="52" t="s">
        <v>607</v>
      </c>
      <c r="L2423" s="52" t="s">
        <v>607</v>
      </c>
      <c r="M2423" s="52" t="s">
        <v>607</v>
      </c>
      <c r="N2423" s="52" t="s">
        <v>607</v>
      </c>
      <c r="O2423" s="52"/>
      <c r="P2423" s="52"/>
      <c r="Q2423" s="52"/>
      <c r="R2423" s="51" t="b">
        <v>0</v>
      </c>
      <c r="S2423" s="51"/>
      <c r="T2423" s="52"/>
      <c r="U2423" s="51" t="b">
        <v>0</v>
      </c>
      <c r="V2423" s="51" t="b">
        <v>0</v>
      </c>
      <c r="W2423" s="51" t="b">
        <v>0</v>
      </c>
      <c r="X2423" s="51" t="b">
        <v>0</v>
      </c>
      <c r="Y2423" s="51" t="b">
        <v>0</v>
      </c>
      <c r="Z2423" s="51" t="b">
        <v>0</v>
      </c>
      <c r="AA2423" s="68"/>
      <c r="AB2423" s="52"/>
      <c r="AC2423" s="52"/>
      <c r="AD2423" s="52"/>
      <c r="AE2423" s="56" t="s">
        <v>607</v>
      </c>
      <c r="AF2423" s="56" t="s">
        <v>607</v>
      </c>
    </row>
    <row r="2424">
      <c r="A2424" s="52" t="s">
        <v>5747</v>
      </c>
      <c r="B2424" s="52" t="s">
        <v>607</v>
      </c>
      <c r="C2424" s="52" t="s">
        <v>607</v>
      </c>
      <c r="D2424" s="65" t="s">
        <v>607</v>
      </c>
      <c r="E2424" s="65" t="s">
        <v>607</v>
      </c>
      <c r="F2424" s="65" t="s">
        <v>607</v>
      </c>
      <c r="G2424" s="65" t="s">
        <v>607</v>
      </c>
      <c r="H2424" s="52" t="s">
        <v>607</v>
      </c>
      <c r="I2424" s="52" t="s">
        <v>607</v>
      </c>
      <c r="J2424" s="52" t="s">
        <v>607</v>
      </c>
      <c r="K2424" s="52" t="s">
        <v>607</v>
      </c>
      <c r="L2424" s="52" t="s">
        <v>607</v>
      </c>
      <c r="M2424" s="52" t="s">
        <v>607</v>
      </c>
      <c r="N2424" s="52" t="s">
        <v>607</v>
      </c>
      <c r="O2424" s="52"/>
      <c r="P2424" s="52"/>
      <c r="Q2424" s="52"/>
      <c r="R2424" s="51" t="b">
        <v>0</v>
      </c>
      <c r="S2424" s="51"/>
      <c r="T2424" s="52"/>
      <c r="U2424" s="51" t="b">
        <v>0</v>
      </c>
      <c r="V2424" s="51" t="b">
        <v>0</v>
      </c>
      <c r="W2424" s="51" t="b">
        <v>0</v>
      </c>
      <c r="X2424" s="51" t="b">
        <v>0</v>
      </c>
      <c r="Y2424" s="51" t="b">
        <v>0</v>
      </c>
      <c r="Z2424" s="51" t="b">
        <v>0</v>
      </c>
      <c r="AA2424" s="68"/>
      <c r="AB2424" s="52"/>
      <c r="AC2424" s="52"/>
      <c r="AD2424" s="52"/>
      <c r="AE2424" s="56" t="s">
        <v>607</v>
      </c>
      <c r="AF2424" s="56" t="s">
        <v>607</v>
      </c>
    </row>
    <row r="2425">
      <c r="A2425" s="52" t="s">
        <v>5749</v>
      </c>
      <c r="B2425" s="52" t="s">
        <v>607</v>
      </c>
      <c r="C2425" s="52" t="s">
        <v>607</v>
      </c>
      <c r="D2425" s="65" t="s">
        <v>607</v>
      </c>
      <c r="E2425" s="65" t="s">
        <v>607</v>
      </c>
      <c r="F2425" s="65" t="s">
        <v>607</v>
      </c>
      <c r="G2425" s="65" t="s">
        <v>607</v>
      </c>
      <c r="H2425" s="52" t="s">
        <v>607</v>
      </c>
      <c r="I2425" s="52" t="s">
        <v>607</v>
      </c>
      <c r="J2425" s="52" t="s">
        <v>607</v>
      </c>
      <c r="K2425" s="52" t="s">
        <v>607</v>
      </c>
      <c r="L2425" s="52" t="s">
        <v>607</v>
      </c>
      <c r="M2425" s="52" t="s">
        <v>607</v>
      </c>
      <c r="N2425" s="52" t="s">
        <v>607</v>
      </c>
      <c r="O2425" s="52"/>
      <c r="P2425" s="52"/>
      <c r="Q2425" s="52"/>
      <c r="R2425" s="51" t="b">
        <v>0</v>
      </c>
      <c r="S2425" s="51"/>
      <c r="T2425" s="52"/>
      <c r="U2425" s="51" t="b">
        <v>0</v>
      </c>
      <c r="V2425" s="51" t="b">
        <v>0</v>
      </c>
      <c r="W2425" s="51" t="b">
        <v>0</v>
      </c>
      <c r="X2425" s="51" t="b">
        <v>0</v>
      </c>
      <c r="Y2425" s="51" t="b">
        <v>0</v>
      </c>
      <c r="Z2425" s="51" t="b">
        <v>0</v>
      </c>
      <c r="AA2425" s="68"/>
      <c r="AB2425" s="52"/>
      <c r="AC2425" s="52"/>
      <c r="AD2425" s="52"/>
      <c r="AE2425" s="56" t="s">
        <v>607</v>
      </c>
      <c r="AF2425" s="56" t="s">
        <v>607</v>
      </c>
    </row>
    <row r="2426">
      <c r="A2426" s="52" t="s">
        <v>5750</v>
      </c>
      <c r="B2426" s="52" t="s">
        <v>607</v>
      </c>
      <c r="C2426" s="52" t="s">
        <v>607</v>
      </c>
      <c r="D2426" s="65" t="s">
        <v>607</v>
      </c>
      <c r="E2426" s="65" t="s">
        <v>607</v>
      </c>
      <c r="F2426" s="65" t="s">
        <v>607</v>
      </c>
      <c r="G2426" s="65" t="s">
        <v>607</v>
      </c>
      <c r="H2426" s="52" t="s">
        <v>607</v>
      </c>
      <c r="I2426" s="52" t="s">
        <v>607</v>
      </c>
      <c r="J2426" s="52" t="s">
        <v>607</v>
      </c>
      <c r="K2426" s="52" t="s">
        <v>607</v>
      </c>
      <c r="L2426" s="52" t="s">
        <v>607</v>
      </c>
      <c r="M2426" s="52" t="s">
        <v>607</v>
      </c>
      <c r="N2426" s="52" t="s">
        <v>607</v>
      </c>
      <c r="O2426" s="52"/>
      <c r="P2426" s="52"/>
      <c r="Q2426" s="52"/>
      <c r="R2426" s="51" t="b">
        <v>0</v>
      </c>
      <c r="S2426" s="51"/>
      <c r="T2426" s="52"/>
      <c r="U2426" s="51" t="b">
        <v>0</v>
      </c>
      <c r="V2426" s="51" t="b">
        <v>0</v>
      </c>
      <c r="W2426" s="51" t="b">
        <v>0</v>
      </c>
      <c r="X2426" s="51" t="b">
        <v>0</v>
      </c>
      <c r="Y2426" s="51" t="b">
        <v>0</v>
      </c>
      <c r="Z2426" s="51" t="b">
        <v>0</v>
      </c>
      <c r="AA2426" s="68"/>
      <c r="AB2426" s="52"/>
      <c r="AC2426" s="52"/>
      <c r="AD2426" s="52"/>
      <c r="AE2426" s="56" t="s">
        <v>607</v>
      </c>
      <c r="AF2426" s="56" t="s">
        <v>607</v>
      </c>
    </row>
    <row r="2427">
      <c r="A2427" s="52" t="s">
        <v>5754</v>
      </c>
      <c r="B2427" s="52" t="s">
        <v>607</v>
      </c>
      <c r="C2427" s="52" t="s">
        <v>607</v>
      </c>
      <c r="D2427" s="65" t="s">
        <v>607</v>
      </c>
      <c r="E2427" s="65" t="s">
        <v>607</v>
      </c>
      <c r="F2427" s="65" t="s">
        <v>607</v>
      </c>
      <c r="G2427" s="65" t="s">
        <v>607</v>
      </c>
      <c r="H2427" s="52" t="s">
        <v>607</v>
      </c>
      <c r="I2427" s="52" t="s">
        <v>607</v>
      </c>
      <c r="J2427" s="52" t="s">
        <v>607</v>
      </c>
      <c r="K2427" s="52" t="s">
        <v>607</v>
      </c>
      <c r="L2427" s="52" t="s">
        <v>607</v>
      </c>
      <c r="M2427" s="52" t="s">
        <v>607</v>
      </c>
      <c r="N2427" s="52" t="s">
        <v>607</v>
      </c>
      <c r="O2427" s="52"/>
      <c r="P2427" s="52"/>
      <c r="Q2427" s="52"/>
      <c r="R2427" s="51" t="b">
        <v>0</v>
      </c>
      <c r="S2427" s="51"/>
      <c r="T2427" s="52"/>
      <c r="U2427" s="51" t="b">
        <v>0</v>
      </c>
      <c r="V2427" s="51" t="b">
        <v>0</v>
      </c>
      <c r="W2427" s="51" t="b">
        <v>0</v>
      </c>
      <c r="X2427" s="51" t="b">
        <v>0</v>
      </c>
      <c r="Y2427" s="51" t="b">
        <v>0</v>
      </c>
      <c r="Z2427" s="51" t="b">
        <v>0</v>
      </c>
      <c r="AA2427" s="68"/>
      <c r="AB2427" s="52"/>
      <c r="AC2427" s="52"/>
      <c r="AD2427" s="52"/>
      <c r="AE2427" s="56" t="s">
        <v>607</v>
      </c>
      <c r="AF2427" s="56" t="s">
        <v>607</v>
      </c>
    </row>
    <row r="2428">
      <c r="A2428" s="52" t="s">
        <v>5755</v>
      </c>
      <c r="B2428" s="52" t="s">
        <v>607</v>
      </c>
      <c r="C2428" s="52" t="s">
        <v>607</v>
      </c>
      <c r="D2428" s="65" t="s">
        <v>607</v>
      </c>
      <c r="E2428" s="65" t="s">
        <v>607</v>
      </c>
      <c r="F2428" s="65" t="s">
        <v>607</v>
      </c>
      <c r="G2428" s="65" t="s">
        <v>607</v>
      </c>
      <c r="H2428" s="52" t="s">
        <v>607</v>
      </c>
      <c r="I2428" s="52" t="s">
        <v>607</v>
      </c>
      <c r="J2428" s="52" t="s">
        <v>607</v>
      </c>
      <c r="K2428" s="52" t="s">
        <v>607</v>
      </c>
      <c r="L2428" s="52" t="s">
        <v>607</v>
      </c>
      <c r="M2428" s="52" t="s">
        <v>607</v>
      </c>
      <c r="N2428" s="52" t="s">
        <v>607</v>
      </c>
      <c r="O2428" s="52"/>
      <c r="P2428" s="52"/>
      <c r="Q2428" s="52"/>
      <c r="R2428" s="51" t="b">
        <v>0</v>
      </c>
      <c r="S2428" s="51"/>
      <c r="T2428" s="52"/>
      <c r="U2428" s="51" t="b">
        <v>0</v>
      </c>
      <c r="V2428" s="51" t="b">
        <v>0</v>
      </c>
      <c r="W2428" s="51" t="b">
        <v>0</v>
      </c>
      <c r="X2428" s="51" t="b">
        <v>0</v>
      </c>
      <c r="Y2428" s="51" t="b">
        <v>0</v>
      </c>
      <c r="Z2428" s="51" t="b">
        <v>0</v>
      </c>
      <c r="AA2428" s="68"/>
      <c r="AB2428" s="52"/>
      <c r="AC2428" s="52"/>
      <c r="AD2428" s="52"/>
      <c r="AE2428" s="56" t="s">
        <v>607</v>
      </c>
      <c r="AF2428" s="56" t="s">
        <v>607</v>
      </c>
    </row>
    <row r="2429">
      <c r="A2429" s="52" t="s">
        <v>5757</v>
      </c>
      <c r="B2429" s="52" t="s">
        <v>607</v>
      </c>
      <c r="C2429" s="52" t="s">
        <v>607</v>
      </c>
      <c r="D2429" s="65" t="s">
        <v>607</v>
      </c>
      <c r="E2429" s="65" t="s">
        <v>607</v>
      </c>
      <c r="F2429" s="65" t="s">
        <v>607</v>
      </c>
      <c r="G2429" s="65" t="s">
        <v>607</v>
      </c>
      <c r="H2429" s="52" t="s">
        <v>607</v>
      </c>
      <c r="I2429" s="52" t="s">
        <v>607</v>
      </c>
      <c r="J2429" s="52" t="s">
        <v>607</v>
      </c>
      <c r="K2429" s="52" t="s">
        <v>607</v>
      </c>
      <c r="L2429" s="52" t="s">
        <v>607</v>
      </c>
      <c r="M2429" s="52" t="s">
        <v>607</v>
      </c>
      <c r="N2429" s="52" t="s">
        <v>607</v>
      </c>
      <c r="O2429" s="52"/>
      <c r="P2429" s="52"/>
      <c r="Q2429" s="52"/>
      <c r="R2429" s="51" t="b">
        <v>0</v>
      </c>
      <c r="S2429" s="51"/>
      <c r="T2429" s="52"/>
      <c r="U2429" s="51" t="b">
        <v>0</v>
      </c>
      <c r="V2429" s="51" t="b">
        <v>0</v>
      </c>
      <c r="W2429" s="51" t="b">
        <v>0</v>
      </c>
      <c r="X2429" s="51" t="b">
        <v>0</v>
      </c>
      <c r="Y2429" s="51" t="b">
        <v>0</v>
      </c>
      <c r="Z2429" s="51" t="b">
        <v>0</v>
      </c>
      <c r="AA2429" s="68"/>
      <c r="AB2429" s="52"/>
      <c r="AC2429" s="52"/>
      <c r="AD2429" s="52"/>
      <c r="AE2429" s="56" t="s">
        <v>607</v>
      </c>
      <c r="AF2429" s="56" t="s">
        <v>607</v>
      </c>
    </row>
    <row r="2430">
      <c r="A2430" s="52" t="s">
        <v>5758</v>
      </c>
      <c r="B2430" s="52" t="s">
        <v>607</v>
      </c>
      <c r="C2430" s="52" t="s">
        <v>607</v>
      </c>
      <c r="D2430" s="65" t="s">
        <v>607</v>
      </c>
      <c r="E2430" s="65" t="s">
        <v>607</v>
      </c>
      <c r="F2430" s="65" t="s">
        <v>607</v>
      </c>
      <c r="G2430" s="65" t="s">
        <v>607</v>
      </c>
      <c r="H2430" s="52" t="s">
        <v>607</v>
      </c>
      <c r="I2430" s="52" t="s">
        <v>607</v>
      </c>
      <c r="J2430" s="52" t="s">
        <v>607</v>
      </c>
      <c r="K2430" s="52" t="s">
        <v>607</v>
      </c>
      <c r="L2430" s="52" t="s">
        <v>607</v>
      </c>
      <c r="M2430" s="52" t="s">
        <v>607</v>
      </c>
      <c r="N2430" s="52" t="s">
        <v>607</v>
      </c>
      <c r="O2430" s="52"/>
      <c r="P2430" s="52"/>
      <c r="Q2430" s="52"/>
      <c r="R2430" s="51" t="b">
        <v>0</v>
      </c>
      <c r="S2430" s="51"/>
      <c r="T2430" s="52"/>
      <c r="U2430" s="51" t="b">
        <v>0</v>
      </c>
      <c r="V2430" s="51" t="b">
        <v>0</v>
      </c>
      <c r="W2430" s="51" t="b">
        <v>0</v>
      </c>
      <c r="X2430" s="51" t="b">
        <v>0</v>
      </c>
      <c r="Y2430" s="51" t="b">
        <v>0</v>
      </c>
      <c r="Z2430" s="51" t="b">
        <v>0</v>
      </c>
      <c r="AA2430" s="68"/>
      <c r="AB2430" s="52"/>
      <c r="AC2430" s="52"/>
      <c r="AD2430" s="52"/>
      <c r="AE2430" s="56" t="s">
        <v>607</v>
      </c>
      <c r="AF2430" s="56" t="s">
        <v>607</v>
      </c>
    </row>
    <row r="2431">
      <c r="A2431" s="52" t="s">
        <v>5762</v>
      </c>
      <c r="B2431" s="52" t="s">
        <v>607</v>
      </c>
      <c r="C2431" s="52" t="s">
        <v>607</v>
      </c>
      <c r="D2431" s="65" t="s">
        <v>607</v>
      </c>
      <c r="E2431" s="65" t="s">
        <v>607</v>
      </c>
      <c r="F2431" s="65" t="s">
        <v>607</v>
      </c>
      <c r="G2431" s="65" t="s">
        <v>607</v>
      </c>
      <c r="H2431" s="52" t="s">
        <v>607</v>
      </c>
      <c r="I2431" s="52" t="s">
        <v>607</v>
      </c>
      <c r="J2431" s="52" t="s">
        <v>607</v>
      </c>
      <c r="K2431" s="52" t="s">
        <v>607</v>
      </c>
      <c r="L2431" s="52" t="s">
        <v>607</v>
      </c>
      <c r="M2431" s="52" t="s">
        <v>607</v>
      </c>
      <c r="N2431" s="52" t="s">
        <v>607</v>
      </c>
      <c r="O2431" s="52"/>
      <c r="P2431" s="52"/>
      <c r="Q2431" s="52"/>
      <c r="R2431" s="51" t="b">
        <v>0</v>
      </c>
      <c r="S2431" s="51"/>
      <c r="T2431" s="52"/>
      <c r="U2431" s="51" t="b">
        <v>0</v>
      </c>
      <c r="V2431" s="51" t="b">
        <v>0</v>
      </c>
      <c r="W2431" s="51" t="b">
        <v>0</v>
      </c>
      <c r="X2431" s="51" t="b">
        <v>0</v>
      </c>
      <c r="Y2431" s="51" t="b">
        <v>0</v>
      </c>
      <c r="Z2431" s="51" t="b">
        <v>0</v>
      </c>
      <c r="AA2431" s="68"/>
      <c r="AB2431" s="52"/>
      <c r="AC2431" s="52"/>
      <c r="AD2431" s="52"/>
      <c r="AE2431" s="56" t="s">
        <v>607</v>
      </c>
      <c r="AF2431" s="56" t="s">
        <v>607</v>
      </c>
    </row>
    <row r="2432">
      <c r="A2432" s="52" t="s">
        <v>5763</v>
      </c>
      <c r="B2432" s="52" t="s">
        <v>607</v>
      </c>
      <c r="C2432" s="52" t="s">
        <v>607</v>
      </c>
      <c r="D2432" s="65" t="s">
        <v>607</v>
      </c>
      <c r="E2432" s="65" t="s">
        <v>607</v>
      </c>
      <c r="F2432" s="65" t="s">
        <v>607</v>
      </c>
      <c r="G2432" s="65" t="s">
        <v>607</v>
      </c>
      <c r="H2432" s="52" t="s">
        <v>607</v>
      </c>
      <c r="I2432" s="52" t="s">
        <v>607</v>
      </c>
      <c r="J2432" s="52" t="s">
        <v>607</v>
      </c>
      <c r="K2432" s="52" t="s">
        <v>607</v>
      </c>
      <c r="L2432" s="52" t="s">
        <v>607</v>
      </c>
      <c r="M2432" s="52" t="s">
        <v>607</v>
      </c>
      <c r="N2432" s="52" t="s">
        <v>607</v>
      </c>
      <c r="O2432" s="52"/>
      <c r="P2432" s="52"/>
      <c r="Q2432" s="52"/>
      <c r="R2432" s="51" t="b">
        <v>0</v>
      </c>
      <c r="S2432" s="51"/>
      <c r="T2432" s="52"/>
      <c r="U2432" s="51" t="b">
        <v>0</v>
      </c>
      <c r="V2432" s="51" t="b">
        <v>0</v>
      </c>
      <c r="W2432" s="51" t="b">
        <v>0</v>
      </c>
      <c r="X2432" s="51" t="b">
        <v>0</v>
      </c>
      <c r="Y2432" s="51" t="b">
        <v>0</v>
      </c>
      <c r="Z2432" s="51" t="b">
        <v>0</v>
      </c>
      <c r="AA2432" s="68"/>
      <c r="AB2432" s="52"/>
      <c r="AC2432" s="52"/>
      <c r="AD2432" s="52"/>
      <c r="AE2432" s="56" t="s">
        <v>607</v>
      </c>
      <c r="AF2432" s="56" t="s">
        <v>607</v>
      </c>
    </row>
    <row r="2433">
      <c r="A2433" s="52" t="s">
        <v>5765</v>
      </c>
      <c r="B2433" s="52" t="s">
        <v>607</v>
      </c>
      <c r="C2433" s="52" t="s">
        <v>607</v>
      </c>
      <c r="D2433" s="65" t="s">
        <v>607</v>
      </c>
      <c r="E2433" s="65" t="s">
        <v>607</v>
      </c>
      <c r="F2433" s="65" t="s">
        <v>607</v>
      </c>
      <c r="G2433" s="65" t="s">
        <v>607</v>
      </c>
      <c r="H2433" s="52" t="s">
        <v>607</v>
      </c>
      <c r="I2433" s="52" t="s">
        <v>607</v>
      </c>
      <c r="J2433" s="52" t="s">
        <v>607</v>
      </c>
      <c r="K2433" s="52" t="s">
        <v>607</v>
      </c>
      <c r="L2433" s="52" t="s">
        <v>607</v>
      </c>
      <c r="M2433" s="52" t="s">
        <v>607</v>
      </c>
      <c r="N2433" s="52" t="s">
        <v>607</v>
      </c>
      <c r="O2433" s="52"/>
      <c r="P2433" s="52"/>
      <c r="Q2433" s="52"/>
      <c r="R2433" s="51" t="b">
        <v>0</v>
      </c>
      <c r="S2433" s="51"/>
      <c r="T2433" s="52"/>
      <c r="U2433" s="51" t="b">
        <v>0</v>
      </c>
      <c r="V2433" s="51" t="b">
        <v>0</v>
      </c>
      <c r="W2433" s="51" t="b">
        <v>0</v>
      </c>
      <c r="X2433" s="51" t="b">
        <v>0</v>
      </c>
      <c r="Y2433" s="51" t="b">
        <v>0</v>
      </c>
      <c r="Z2433" s="51" t="b">
        <v>0</v>
      </c>
      <c r="AA2433" s="68"/>
      <c r="AB2433" s="52"/>
      <c r="AC2433" s="52"/>
      <c r="AD2433" s="52"/>
      <c r="AE2433" s="56" t="s">
        <v>607</v>
      </c>
      <c r="AF2433" s="56" t="s">
        <v>607</v>
      </c>
    </row>
    <row r="2434">
      <c r="A2434" s="52" t="s">
        <v>5766</v>
      </c>
      <c r="B2434" s="52" t="s">
        <v>607</v>
      </c>
      <c r="C2434" s="52" t="s">
        <v>607</v>
      </c>
      <c r="D2434" s="65" t="s">
        <v>607</v>
      </c>
      <c r="E2434" s="65" t="s">
        <v>607</v>
      </c>
      <c r="F2434" s="65" t="s">
        <v>607</v>
      </c>
      <c r="G2434" s="65" t="s">
        <v>607</v>
      </c>
      <c r="H2434" s="52" t="s">
        <v>607</v>
      </c>
      <c r="I2434" s="52" t="s">
        <v>607</v>
      </c>
      <c r="J2434" s="52" t="s">
        <v>607</v>
      </c>
      <c r="K2434" s="52" t="s">
        <v>607</v>
      </c>
      <c r="L2434" s="52" t="s">
        <v>607</v>
      </c>
      <c r="M2434" s="52" t="s">
        <v>607</v>
      </c>
      <c r="N2434" s="52" t="s">
        <v>607</v>
      </c>
      <c r="O2434" s="52"/>
      <c r="P2434" s="52"/>
      <c r="Q2434" s="52"/>
      <c r="R2434" s="51" t="b">
        <v>0</v>
      </c>
      <c r="S2434" s="51"/>
      <c r="T2434" s="52"/>
      <c r="U2434" s="51" t="b">
        <v>0</v>
      </c>
      <c r="V2434" s="51" t="b">
        <v>0</v>
      </c>
      <c r="W2434" s="51" t="b">
        <v>0</v>
      </c>
      <c r="X2434" s="51" t="b">
        <v>0</v>
      </c>
      <c r="Y2434" s="51" t="b">
        <v>0</v>
      </c>
      <c r="Z2434" s="51" t="b">
        <v>0</v>
      </c>
      <c r="AA2434" s="68"/>
      <c r="AB2434" s="52"/>
      <c r="AC2434" s="52"/>
      <c r="AD2434" s="52"/>
      <c r="AE2434" s="56" t="s">
        <v>607</v>
      </c>
      <c r="AF2434" s="56" t="s">
        <v>607</v>
      </c>
    </row>
    <row r="2435">
      <c r="A2435" s="52" t="s">
        <v>5772</v>
      </c>
      <c r="B2435" s="52" t="s">
        <v>607</v>
      </c>
      <c r="C2435" s="52" t="s">
        <v>607</v>
      </c>
      <c r="D2435" s="65" t="s">
        <v>607</v>
      </c>
      <c r="E2435" s="65" t="s">
        <v>607</v>
      </c>
      <c r="F2435" s="65" t="s">
        <v>607</v>
      </c>
      <c r="G2435" s="65" t="s">
        <v>607</v>
      </c>
      <c r="H2435" s="52" t="s">
        <v>607</v>
      </c>
      <c r="I2435" s="52" t="s">
        <v>607</v>
      </c>
      <c r="J2435" s="52" t="s">
        <v>607</v>
      </c>
      <c r="K2435" s="52" t="s">
        <v>607</v>
      </c>
      <c r="L2435" s="52" t="s">
        <v>607</v>
      </c>
      <c r="M2435" s="52" t="s">
        <v>607</v>
      </c>
      <c r="N2435" s="52" t="s">
        <v>607</v>
      </c>
      <c r="O2435" s="52"/>
      <c r="P2435" s="52"/>
      <c r="Q2435" s="52"/>
      <c r="R2435" s="51" t="b">
        <v>0</v>
      </c>
      <c r="S2435" s="51"/>
      <c r="T2435" s="52"/>
      <c r="U2435" s="51" t="b">
        <v>0</v>
      </c>
      <c r="V2435" s="51" t="b">
        <v>0</v>
      </c>
      <c r="W2435" s="51" t="b">
        <v>0</v>
      </c>
      <c r="X2435" s="51" t="b">
        <v>0</v>
      </c>
      <c r="Y2435" s="51" t="b">
        <v>0</v>
      </c>
      <c r="Z2435" s="51" t="b">
        <v>0</v>
      </c>
      <c r="AA2435" s="68"/>
      <c r="AB2435" s="52"/>
      <c r="AC2435" s="52"/>
      <c r="AD2435" s="52"/>
      <c r="AE2435" s="56" t="s">
        <v>607</v>
      </c>
      <c r="AF2435" s="56" t="s">
        <v>607</v>
      </c>
    </row>
    <row r="2436">
      <c r="A2436" s="52" t="s">
        <v>5773</v>
      </c>
      <c r="B2436" s="52" t="s">
        <v>607</v>
      </c>
      <c r="C2436" s="52" t="s">
        <v>607</v>
      </c>
      <c r="D2436" s="65" t="s">
        <v>607</v>
      </c>
      <c r="E2436" s="65" t="s">
        <v>607</v>
      </c>
      <c r="F2436" s="65" t="s">
        <v>607</v>
      </c>
      <c r="G2436" s="65" t="s">
        <v>607</v>
      </c>
      <c r="H2436" s="52" t="s">
        <v>607</v>
      </c>
      <c r="I2436" s="52" t="s">
        <v>607</v>
      </c>
      <c r="J2436" s="52" t="s">
        <v>607</v>
      </c>
      <c r="K2436" s="52" t="s">
        <v>607</v>
      </c>
      <c r="L2436" s="52" t="s">
        <v>607</v>
      </c>
      <c r="M2436" s="52" t="s">
        <v>607</v>
      </c>
      <c r="N2436" s="52" t="s">
        <v>607</v>
      </c>
      <c r="O2436" s="52"/>
      <c r="P2436" s="52"/>
      <c r="Q2436" s="52"/>
      <c r="R2436" s="51" t="b">
        <v>0</v>
      </c>
      <c r="S2436" s="51"/>
      <c r="T2436" s="52"/>
      <c r="U2436" s="51" t="b">
        <v>0</v>
      </c>
      <c r="V2436" s="51" t="b">
        <v>0</v>
      </c>
      <c r="W2436" s="51" t="b">
        <v>0</v>
      </c>
      <c r="X2436" s="51" t="b">
        <v>0</v>
      </c>
      <c r="Y2436" s="51" t="b">
        <v>0</v>
      </c>
      <c r="Z2436" s="51" t="b">
        <v>0</v>
      </c>
      <c r="AA2436" s="68"/>
      <c r="AB2436" s="52"/>
      <c r="AC2436" s="52"/>
      <c r="AD2436" s="52"/>
      <c r="AE2436" s="56" t="s">
        <v>607</v>
      </c>
      <c r="AF2436" s="56" t="s">
        <v>607</v>
      </c>
    </row>
    <row r="2437">
      <c r="A2437" s="52" t="s">
        <v>5775</v>
      </c>
      <c r="B2437" s="52" t="s">
        <v>607</v>
      </c>
      <c r="C2437" s="52" t="s">
        <v>607</v>
      </c>
      <c r="D2437" s="65" t="s">
        <v>607</v>
      </c>
      <c r="E2437" s="65" t="s">
        <v>607</v>
      </c>
      <c r="F2437" s="65" t="s">
        <v>607</v>
      </c>
      <c r="G2437" s="65" t="s">
        <v>607</v>
      </c>
      <c r="H2437" s="52" t="s">
        <v>607</v>
      </c>
      <c r="I2437" s="52" t="s">
        <v>607</v>
      </c>
      <c r="J2437" s="52" t="s">
        <v>607</v>
      </c>
      <c r="K2437" s="52" t="s">
        <v>607</v>
      </c>
      <c r="L2437" s="52" t="s">
        <v>607</v>
      </c>
      <c r="M2437" s="52" t="s">
        <v>607</v>
      </c>
      <c r="N2437" s="52" t="s">
        <v>607</v>
      </c>
      <c r="O2437" s="52"/>
      <c r="P2437" s="52"/>
      <c r="Q2437" s="52"/>
      <c r="R2437" s="51" t="b">
        <v>0</v>
      </c>
      <c r="S2437" s="51"/>
      <c r="T2437" s="52"/>
      <c r="U2437" s="51" t="b">
        <v>0</v>
      </c>
      <c r="V2437" s="51" t="b">
        <v>0</v>
      </c>
      <c r="W2437" s="51" t="b">
        <v>0</v>
      </c>
      <c r="X2437" s="51" t="b">
        <v>0</v>
      </c>
      <c r="Y2437" s="51" t="b">
        <v>0</v>
      </c>
      <c r="Z2437" s="51" t="b">
        <v>0</v>
      </c>
      <c r="AA2437" s="68"/>
      <c r="AB2437" s="52"/>
      <c r="AC2437" s="52"/>
      <c r="AD2437" s="52"/>
      <c r="AE2437" s="56" t="s">
        <v>607</v>
      </c>
      <c r="AF2437" s="56" t="s">
        <v>607</v>
      </c>
    </row>
    <row r="2438">
      <c r="A2438" s="52" t="s">
        <v>5776</v>
      </c>
      <c r="B2438" s="52" t="s">
        <v>607</v>
      </c>
      <c r="C2438" s="52" t="s">
        <v>607</v>
      </c>
      <c r="D2438" s="65" t="s">
        <v>607</v>
      </c>
      <c r="E2438" s="65" t="s">
        <v>607</v>
      </c>
      <c r="F2438" s="65" t="s">
        <v>607</v>
      </c>
      <c r="G2438" s="65" t="s">
        <v>607</v>
      </c>
      <c r="H2438" s="52" t="s">
        <v>607</v>
      </c>
      <c r="I2438" s="52" t="s">
        <v>607</v>
      </c>
      <c r="J2438" s="52" t="s">
        <v>607</v>
      </c>
      <c r="K2438" s="52" t="s">
        <v>607</v>
      </c>
      <c r="L2438" s="52" t="s">
        <v>607</v>
      </c>
      <c r="M2438" s="52" t="s">
        <v>607</v>
      </c>
      <c r="N2438" s="52" t="s">
        <v>607</v>
      </c>
      <c r="O2438" s="52"/>
      <c r="P2438" s="52"/>
      <c r="Q2438" s="52"/>
      <c r="R2438" s="51" t="b">
        <v>0</v>
      </c>
      <c r="S2438" s="51"/>
      <c r="T2438" s="52"/>
      <c r="U2438" s="51" t="b">
        <v>0</v>
      </c>
      <c r="V2438" s="51" t="b">
        <v>0</v>
      </c>
      <c r="W2438" s="51" t="b">
        <v>0</v>
      </c>
      <c r="X2438" s="51" t="b">
        <v>0</v>
      </c>
      <c r="Y2438" s="51" t="b">
        <v>0</v>
      </c>
      <c r="Z2438" s="51" t="b">
        <v>0</v>
      </c>
      <c r="AA2438" s="68"/>
      <c r="AB2438" s="52"/>
      <c r="AC2438" s="52"/>
      <c r="AD2438" s="52"/>
      <c r="AE2438" s="56" t="s">
        <v>607</v>
      </c>
      <c r="AF2438" s="56" t="s">
        <v>607</v>
      </c>
    </row>
    <row r="2439">
      <c r="A2439" s="52" t="s">
        <v>5778</v>
      </c>
      <c r="B2439" s="52" t="s">
        <v>607</v>
      </c>
      <c r="C2439" s="52" t="s">
        <v>607</v>
      </c>
      <c r="D2439" s="65" t="s">
        <v>607</v>
      </c>
      <c r="E2439" s="65" t="s">
        <v>607</v>
      </c>
      <c r="F2439" s="65" t="s">
        <v>607</v>
      </c>
      <c r="G2439" s="65" t="s">
        <v>607</v>
      </c>
      <c r="H2439" s="52" t="s">
        <v>607</v>
      </c>
      <c r="I2439" s="52" t="s">
        <v>607</v>
      </c>
      <c r="J2439" s="52" t="s">
        <v>607</v>
      </c>
      <c r="K2439" s="52" t="s">
        <v>607</v>
      </c>
      <c r="L2439" s="52" t="s">
        <v>607</v>
      </c>
      <c r="M2439" s="52" t="s">
        <v>607</v>
      </c>
      <c r="N2439" s="52" t="s">
        <v>607</v>
      </c>
      <c r="O2439" s="52"/>
      <c r="P2439" s="52"/>
      <c r="Q2439" s="52"/>
      <c r="R2439" s="51" t="b">
        <v>0</v>
      </c>
      <c r="S2439" s="51"/>
      <c r="T2439" s="52"/>
      <c r="U2439" s="51" t="b">
        <v>0</v>
      </c>
      <c r="V2439" s="51" t="b">
        <v>0</v>
      </c>
      <c r="W2439" s="51" t="b">
        <v>0</v>
      </c>
      <c r="X2439" s="51" t="b">
        <v>0</v>
      </c>
      <c r="Y2439" s="51" t="b">
        <v>0</v>
      </c>
      <c r="Z2439" s="51" t="b">
        <v>0</v>
      </c>
      <c r="AA2439" s="68"/>
      <c r="AB2439" s="52"/>
      <c r="AC2439" s="52"/>
      <c r="AD2439" s="52"/>
      <c r="AE2439" s="56" t="s">
        <v>607</v>
      </c>
      <c r="AF2439" s="56" t="s">
        <v>607</v>
      </c>
    </row>
    <row r="2440">
      <c r="A2440" s="52" t="s">
        <v>5781</v>
      </c>
      <c r="B2440" s="52" t="s">
        <v>607</v>
      </c>
      <c r="C2440" s="52" t="s">
        <v>607</v>
      </c>
      <c r="D2440" s="65" t="s">
        <v>607</v>
      </c>
      <c r="E2440" s="65" t="s">
        <v>607</v>
      </c>
      <c r="F2440" s="65" t="s">
        <v>607</v>
      </c>
      <c r="G2440" s="65" t="s">
        <v>607</v>
      </c>
      <c r="H2440" s="52" t="s">
        <v>607</v>
      </c>
      <c r="I2440" s="52" t="s">
        <v>607</v>
      </c>
      <c r="J2440" s="52" t="s">
        <v>607</v>
      </c>
      <c r="K2440" s="52" t="s">
        <v>607</v>
      </c>
      <c r="L2440" s="52" t="s">
        <v>607</v>
      </c>
      <c r="M2440" s="52" t="s">
        <v>607</v>
      </c>
      <c r="N2440" s="52" t="s">
        <v>607</v>
      </c>
      <c r="O2440" s="52"/>
      <c r="P2440" s="52"/>
      <c r="Q2440" s="52"/>
      <c r="R2440" s="51" t="b">
        <v>0</v>
      </c>
      <c r="S2440" s="51"/>
      <c r="T2440" s="52"/>
      <c r="U2440" s="51" t="b">
        <v>0</v>
      </c>
      <c r="V2440" s="51" t="b">
        <v>0</v>
      </c>
      <c r="W2440" s="51" t="b">
        <v>0</v>
      </c>
      <c r="X2440" s="51" t="b">
        <v>0</v>
      </c>
      <c r="Y2440" s="51" t="b">
        <v>0</v>
      </c>
      <c r="Z2440" s="51" t="b">
        <v>0</v>
      </c>
      <c r="AA2440" s="68"/>
      <c r="AB2440" s="52"/>
      <c r="AC2440" s="52"/>
      <c r="AD2440" s="52"/>
      <c r="AE2440" s="56" t="s">
        <v>607</v>
      </c>
      <c r="AF2440" s="56" t="s">
        <v>607</v>
      </c>
    </row>
    <row r="2441">
      <c r="A2441" s="52" t="s">
        <v>5782</v>
      </c>
      <c r="B2441" s="52" t="s">
        <v>607</v>
      </c>
      <c r="C2441" s="52" t="s">
        <v>607</v>
      </c>
      <c r="D2441" s="65" t="s">
        <v>607</v>
      </c>
      <c r="E2441" s="65" t="s">
        <v>607</v>
      </c>
      <c r="F2441" s="65" t="s">
        <v>607</v>
      </c>
      <c r="G2441" s="65" t="s">
        <v>607</v>
      </c>
      <c r="H2441" s="52" t="s">
        <v>607</v>
      </c>
      <c r="I2441" s="52" t="s">
        <v>607</v>
      </c>
      <c r="J2441" s="52" t="s">
        <v>607</v>
      </c>
      <c r="K2441" s="52" t="s">
        <v>607</v>
      </c>
      <c r="L2441" s="52" t="s">
        <v>607</v>
      </c>
      <c r="M2441" s="52" t="s">
        <v>607</v>
      </c>
      <c r="N2441" s="52" t="s">
        <v>607</v>
      </c>
      <c r="O2441" s="52"/>
      <c r="P2441" s="52"/>
      <c r="Q2441" s="52"/>
      <c r="R2441" s="51" t="b">
        <v>0</v>
      </c>
      <c r="S2441" s="51"/>
      <c r="T2441" s="52"/>
      <c r="U2441" s="51" t="b">
        <v>0</v>
      </c>
      <c r="V2441" s="51" t="b">
        <v>0</v>
      </c>
      <c r="W2441" s="51" t="b">
        <v>0</v>
      </c>
      <c r="X2441" s="51" t="b">
        <v>0</v>
      </c>
      <c r="Y2441" s="51" t="b">
        <v>0</v>
      </c>
      <c r="Z2441" s="51" t="b">
        <v>0</v>
      </c>
      <c r="AA2441" s="68"/>
      <c r="AB2441" s="52"/>
      <c r="AC2441" s="52"/>
      <c r="AD2441" s="52"/>
      <c r="AE2441" s="56" t="s">
        <v>607</v>
      </c>
      <c r="AF2441" s="56" t="s">
        <v>607</v>
      </c>
    </row>
    <row r="2442">
      <c r="A2442" s="52" t="s">
        <v>5783</v>
      </c>
      <c r="B2442" s="52" t="s">
        <v>607</v>
      </c>
      <c r="C2442" s="52" t="s">
        <v>607</v>
      </c>
      <c r="D2442" s="65" t="s">
        <v>607</v>
      </c>
      <c r="E2442" s="65" t="s">
        <v>607</v>
      </c>
      <c r="F2442" s="65" t="s">
        <v>607</v>
      </c>
      <c r="G2442" s="65" t="s">
        <v>607</v>
      </c>
      <c r="H2442" s="52" t="s">
        <v>607</v>
      </c>
      <c r="I2442" s="52" t="s">
        <v>607</v>
      </c>
      <c r="J2442" s="52" t="s">
        <v>607</v>
      </c>
      <c r="K2442" s="52" t="s">
        <v>607</v>
      </c>
      <c r="L2442" s="52" t="s">
        <v>607</v>
      </c>
      <c r="M2442" s="52" t="s">
        <v>607</v>
      </c>
      <c r="N2442" s="52" t="s">
        <v>607</v>
      </c>
      <c r="O2442" s="52"/>
      <c r="P2442" s="52"/>
      <c r="Q2442" s="52"/>
      <c r="R2442" s="51" t="b">
        <v>0</v>
      </c>
      <c r="S2442" s="51"/>
      <c r="T2442" s="52"/>
      <c r="U2442" s="51" t="b">
        <v>0</v>
      </c>
      <c r="V2442" s="51" t="b">
        <v>0</v>
      </c>
      <c r="W2442" s="51" t="b">
        <v>0</v>
      </c>
      <c r="X2442" s="51" t="b">
        <v>0</v>
      </c>
      <c r="Y2442" s="51" t="b">
        <v>0</v>
      </c>
      <c r="Z2442" s="51" t="b">
        <v>0</v>
      </c>
      <c r="AA2442" s="68"/>
      <c r="AB2442" s="52"/>
      <c r="AC2442" s="52"/>
      <c r="AD2442" s="52"/>
      <c r="AE2442" s="56" t="s">
        <v>607</v>
      </c>
      <c r="AF2442" s="56" t="s">
        <v>607</v>
      </c>
    </row>
    <row r="2443">
      <c r="A2443" s="52" t="s">
        <v>5784</v>
      </c>
      <c r="B2443" s="52" t="s">
        <v>607</v>
      </c>
      <c r="C2443" s="52" t="s">
        <v>607</v>
      </c>
      <c r="D2443" s="65" t="s">
        <v>607</v>
      </c>
      <c r="E2443" s="65" t="s">
        <v>607</v>
      </c>
      <c r="F2443" s="65" t="s">
        <v>607</v>
      </c>
      <c r="G2443" s="65" t="s">
        <v>607</v>
      </c>
      <c r="H2443" s="52" t="s">
        <v>607</v>
      </c>
      <c r="I2443" s="52" t="s">
        <v>607</v>
      </c>
      <c r="J2443" s="52" t="s">
        <v>607</v>
      </c>
      <c r="K2443" s="52" t="s">
        <v>607</v>
      </c>
      <c r="L2443" s="52" t="s">
        <v>607</v>
      </c>
      <c r="M2443" s="52" t="s">
        <v>607</v>
      </c>
      <c r="N2443" s="52" t="s">
        <v>607</v>
      </c>
      <c r="O2443" s="52"/>
      <c r="P2443" s="52"/>
      <c r="Q2443" s="52"/>
      <c r="R2443" s="51" t="b">
        <v>0</v>
      </c>
      <c r="S2443" s="51"/>
      <c r="T2443" s="52"/>
      <c r="U2443" s="51" t="b">
        <v>0</v>
      </c>
      <c r="V2443" s="51" t="b">
        <v>0</v>
      </c>
      <c r="W2443" s="51" t="b">
        <v>0</v>
      </c>
      <c r="X2443" s="51" t="b">
        <v>0</v>
      </c>
      <c r="Y2443" s="51" t="b">
        <v>0</v>
      </c>
      <c r="Z2443" s="51" t="b">
        <v>0</v>
      </c>
      <c r="AA2443" s="68"/>
      <c r="AB2443" s="52"/>
      <c r="AC2443" s="52"/>
      <c r="AD2443" s="52"/>
      <c r="AE2443" s="56" t="s">
        <v>607</v>
      </c>
      <c r="AF2443" s="56" t="s">
        <v>607</v>
      </c>
    </row>
    <row r="2444">
      <c r="A2444" s="52" t="s">
        <v>5786</v>
      </c>
      <c r="B2444" s="52" t="s">
        <v>607</v>
      </c>
      <c r="C2444" s="52" t="s">
        <v>607</v>
      </c>
      <c r="D2444" s="65" t="s">
        <v>607</v>
      </c>
      <c r="E2444" s="65" t="s">
        <v>607</v>
      </c>
      <c r="F2444" s="65" t="s">
        <v>607</v>
      </c>
      <c r="G2444" s="65" t="s">
        <v>607</v>
      </c>
      <c r="H2444" s="52" t="s">
        <v>607</v>
      </c>
      <c r="I2444" s="52" t="s">
        <v>607</v>
      </c>
      <c r="J2444" s="52" t="s">
        <v>607</v>
      </c>
      <c r="K2444" s="52" t="s">
        <v>607</v>
      </c>
      <c r="L2444" s="52" t="s">
        <v>607</v>
      </c>
      <c r="M2444" s="52" t="s">
        <v>607</v>
      </c>
      <c r="N2444" s="52" t="s">
        <v>607</v>
      </c>
      <c r="O2444" s="52"/>
      <c r="P2444" s="52"/>
      <c r="Q2444" s="52"/>
      <c r="R2444" s="51" t="b">
        <v>0</v>
      </c>
      <c r="S2444" s="51"/>
      <c r="T2444" s="52"/>
      <c r="U2444" s="51" t="b">
        <v>0</v>
      </c>
      <c r="V2444" s="51" t="b">
        <v>0</v>
      </c>
      <c r="W2444" s="51" t="b">
        <v>0</v>
      </c>
      <c r="X2444" s="51" t="b">
        <v>0</v>
      </c>
      <c r="Y2444" s="51" t="b">
        <v>0</v>
      </c>
      <c r="Z2444" s="51" t="b">
        <v>0</v>
      </c>
      <c r="AA2444" s="68"/>
      <c r="AB2444" s="52"/>
      <c r="AC2444" s="52"/>
      <c r="AD2444" s="52"/>
      <c r="AE2444" s="56" t="s">
        <v>607</v>
      </c>
      <c r="AF2444" s="56" t="s">
        <v>607</v>
      </c>
    </row>
    <row r="2445">
      <c r="A2445" s="52" t="s">
        <v>5789</v>
      </c>
      <c r="B2445" s="52" t="s">
        <v>607</v>
      </c>
      <c r="C2445" s="52" t="s">
        <v>607</v>
      </c>
      <c r="D2445" s="65" t="s">
        <v>607</v>
      </c>
      <c r="E2445" s="65" t="s">
        <v>607</v>
      </c>
      <c r="F2445" s="65" t="s">
        <v>607</v>
      </c>
      <c r="G2445" s="65" t="s">
        <v>607</v>
      </c>
      <c r="H2445" s="52" t="s">
        <v>607</v>
      </c>
      <c r="I2445" s="52" t="s">
        <v>607</v>
      </c>
      <c r="J2445" s="52" t="s">
        <v>607</v>
      </c>
      <c r="K2445" s="52" t="s">
        <v>607</v>
      </c>
      <c r="L2445" s="52" t="s">
        <v>607</v>
      </c>
      <c r="M2445" s="52" t="s">
        <v>607</v>
      </c>
      <c r="N2445" s="52" t="s">
        <v>607</v>
      </c>
      <c r="O2445" s="52"/>
      <c r="P2445" s="52"/>
      <c r="Q2445" s="52"/>
      <c r="R2445" s="51" t="b">
        <v>0</v>
      </c>
      <c r="S2445" s="51"/>
      <c r="T2445" s="52"/>
      <c r="U2445" s="51" t="b">
        <v>0</v>
      </c>
      <c r="V2445" s="51" t="b">
        <v>0</v>
      </c>
      <c r="W2445" s="51" t="b">
        <v>0</v>
      </c>
      <c r="X2445" s="51" t="b">
        <v>0</v>
      </c>
      <c r="Y2445" s="51" t="b">
        <v>0</v>
      </c>
      <c r="Z2445" s="51" t="b">
        <v>0</v>
      </c>
      <c r="AA2445" s="68"/>
      <c r="AB2445" s="52"/>
      <c r="AC2445" s="52"/>
      <c r="AD2445" s="52"/>
      <c r="AE2445" s="56" t="s">
        <v>607</v>
      </c>
      <c r="AF2445" s="56" t="s">
        <v>607</v>
      </c>
    </row>
    <row r="2446">
      <c r="A2446" s="52" t="s">
        <v>5790</v>
      </c>
      <c r="B2446" s="52" t="s">
        <v>607</v>
      </c>
      <c r="C2446" s="52" t="s">
        <v>607</v>
      </c>
      <c r="D2446" s="65" t="s">
        <v>607</v>
      </c>
      <c r="E2446" s="65" t="s">
        <v>607</v>
      </c>
      <c r="F2446" s="65" t="s">
        <v>607</v>
      </c>
      <c r="G2446" s="65" t="s">
        <v>607</v>
      </c>
      <c r="H2446" s="52" t="s">
        <v>607</v>
      </c>
      <c r="I2446" s="52" t="s">
        <v>607</v>
      </c>
      <c r="J2446" s="52" t="s">
        <v>607</v>
      </c>
      <c r="K2446" s="52" t="s">
        <v>607</v>
      </c>
      <c r="L2446" s="52" t="s">
        <v>607</v>
      </c>
      <c r="M2446" s="52" t="s">
        <v>607</v>
      </c>
      <c r="N2446" s="52" t="s">
        <v>607</v>
      </c>
      <c r="O2446" s="52"/>
      <c r="P2446" s="52"/>
      <c r="Q2446" s="52"/>
      <c r="R2446" s="51" t="b">
        <v>0</v>
      </c>
      <c r="S2446" s="51"/>
      <c r="T2446" s="52"/>
      <c r="U2446" s="51" t="b">
        <v>0</v>
      </c>
      <c r="V2446" s="51" t="b">
        <v>0</v>
      </c>
      <c r="W2446" s="51" t="b">
        <v>0</v>
      </c>
      <c r="X2446" s="51" t="b">
        <v>0</v>
      </c>
      <c r="Y2446" s="51" t="b">
        <v>0</v>
      </c>
      <c r="Z2446" s="51" t="b">
        <v>0</v>
      </c>
      <c r="AA2446" s="68"/>
      <c r="AB2446" s="52"/>
      <c r="AC2446" s="52"/>
      <c r="AD2446" s="52"/>
      <c r="AE2446" s="56" t="s">
        <v>607</v>
      </c>
      <c r="AF2446" s="56" t="s">
        <v>607</v>
      </c>
    </row>
    <row r="2447">
      <c r="A2447" s="52" t="s">
        <v>5791</v>
      </c>
      <c r="B2447" s="52" t="s">
        <v>607</v>
      </c>
      <c r="C2447" s="52" t="s">
        <v>607</v>
      </c>
      <c r="D2447" s="65" t="s">
        <v>607</v>
      </c>
      <c r="E2447" s="65" t="s">
        <v>607</v>
      </c>
      <c r="F2447" s="65" t="s">
        <v>607</v>
      </c>
      <c r="G2447" s="65" t="s">
        <v>607</v>
      </c>
      <c r="H2447" s="52" t="s">
        <v>607</v>
      </c>
      <c r="I2447" s="52" t="s">
        <v>607</v>
      </c>
      <c r="J2447" s="52" t="s">
        <v>607</v>
      </c>
      <c r="K2447" s="52" t="s">
        <v>607</v>
      </c>
      <c r="L2447" s="52" t="s">
        <v>607</v>
      </c>
      <c r="M2447" s="52" t="s">
        <v>607</v>
      </c>
      <c r="N2447" s="52" t="s">
        <v>607</v>
      </c>
      <c r="O2447" s="52"/>
      <c r="P2447" s="52"/>
      <c r="Q2447" s="52"/>
      <c r="R2447" s="51" t="b">
        <v>0</v>
      </c>
      <c r="S2447" s="51"/>
      <c r="T2447" s="52"/>
      <c r="U2447" s="51" t="b">
        <v>0</v>
      </c>
      <c r="V2447" s="51" t="b">
        <v>0</v>
      </c>
      <c r="W2447" s="51" t="b">
        <v>0</v>
      </c>
      <c r="X2447" s="51" t="b">
        <v>0</v>
      </c>
      <c r="Y2447" s="51" t="b">
        <v>0</v>
      </c>
      <c r="Z2447" s="51" t="b">
        <v>0</v>
      </c>
      <c r="AA2447" s="68"/>
      <c r="AB2447" s="52"/>
      <c r="AC2447" s="52"/>
      <c r="AD2447" s="52"/>
      <c r="AE2447" s="56" t="s">
        <v>607</v>
      </c>
      <c r="AF2447" s="56" t="s">
        <v>607</v>
      </c>
    </row>
    <row r="2448">
      <c r="A2448" s="52" t="s">
        <v>5793</v>
      </c>
      <c r="B2448" s="52" t="s">
        <v>607</v>
      </c>
      <c r="C2448" s="52" t="s">
        <v>607</v>
      </c>
      <c r="D2448" s="65" t="s">
        <v>607</v>
      </c>
      <c r="E2448" s="65" t="s">
        <v>607</v>
      </c>
      <c r="F2448" s="65" t="s">
        <v>607</v>
      </c>
      <c r="G2448" s="65" t="s">
        <v>607</v>
      </c>
      <c r="H2448" s="52" t="s">
        <v>607</v>
      </c>
      <c r="I2448" s="52" t="s">
        <v>607</v>
      </c>
      <c r="J2448" s="52" t="s">
        <v>607</v>
      </c>
      <c r="K2448" s="52" t="s">
        <v>607</v>
      </c>
      <c r="L2448" s="52" t="s">
        <v>607</v>
      </c>
      <c r="M2448" s="52" t="s">
        <v>607</v>
      </c>
      <c r="N2448" s="52" t="s">
        <v>607</v>
      </c>
      <c r="O2448" s="52"/>
      <c r="P2448" s="52"/>
      <c r="Q2448" s="52"/>
      <c r="R2448" s="51" t="b">
        <v>0</v>
      </c>
      <c r="S2448" s="51"/>
      <c r="T2448" s="52"/>
      <c r="U2448" s="51" t="b">
        <v>0</v>
      </c>
      <c r="V2448" s="51" t="b">
        <v>0</v>
      </c>
      <c r="W2448" s="51" t="b">
        <v>0</v>
      </c>
      <c r="X2448" s="51" t="b">
        <v>0</v>
      </c>
      <c r="Y2448" s="51" t="b">
        <v>0</v>
      </c>
      <c r="Z2448" s="51" t="b">
        <v>0</v>
      </c>
      <c r="AA2448" s="68"/>
      <c r="AB2448" s="52"/>
      <c r="AC2448" s="52"/>
      <c r="AD2448" s="52"/>
      <c r="AE2448" s="56" t="s">
        <v>607</v>
      </c>
      <c r="AF2448" s="56" t="s">
        <v>607</v>
      </c>
    </row>
    <row r="2449">
      <c r="A2449" s="52" t="s">
        <v>5794</v>
      </c>
      <c r="B2449" s="52" t="s">
        <v>607</v>
      </c>
      <c r="C2449" s="52" t="s">
        <v>607</v>
      </c>
      <c r="D2449" s="65" t="s">
        <v>607</v>
      </c>
      <c r="E2449" s="65" t="s">
        <v>607</v>
      </c>
      <c r="F2449" s="65" t="s">
        <v>607</v>
      </c>
      <c r="G2449" s="65" t="s">
        <v>607</v>
      </c>
      <c r="H2449" s="52" t="s">
        <v>607</v>
      </c>
      <c r="I2449" s="52" t="s">
        <v>607</v>
      </c>
      <c r="J2449" s="52" t="s">
        <v>607</v>
      </c>
      <c r="K2449" s="52" t="s">
        <v>607</v>
      </c>
      <c r="L2449" s="52" t="s">
        <v>607</v>
      </c>
      <c r="M2449" s="52" t="s">
        <v>607</v>
      </c>
      <c r="N2449" s="52" t="s">
        <v>607</v>
      </c>
      <c r="O2449" s="52"/>
      <c r="P2449" s="52"/>
      <c r="Q2449" s="52"/>
      <c r="R2449" s="51" t="b">
        <v>0</v>
      </c>
      <c r="S2449" s="51"/>
      <c r="T2449" s="52"/>
      <c r="U2449" s="51" t="b">
        <v>0</v>
      </c>
      <c r="V2449" s="51" t="b">
        <v>0</v>
      </c>
      <c r="W2449" s="51" t="b">
        <v>0</v>
      </c>
      <c r="X2449" s="51" t="b">
        <v>0</v>
      </c>
      <c r="Y2449" s="51" t="b">
        <v>0</v>
      </c>
      <c r="Z2449" s="51" t="b">
        <v>0</v>
      </c>
      <c r="AA2449" s="68"/>
      <c r="AB2449" s="52"/>
      <c r="AC2449" s="52"/>
      <c r="AD2449" s="52"/>
      <c r="AE2449" s="56" t="s">
        <v>607</v>
      </c>
      <c r="AF2449" s="56" t="s">
        <v>607</v>
      </c>
    </row>
    <row r="2450">
      <c r="A2450" s="52" t="s">
        <v>5796</v>
      </c>
      <c r="B2450" s="52" t="s">
        <v>607</v>
      </c>
      <c r="C2450" s="52" t="s">
        <v>607</v>
      </c>
      <c r="D2450" s="65" t="s">
        <v>607</v>
      </c>
      <c r="E2450" s="65" t="s">
        <v>607</v>
      </c>
      <c r="F2450" s="65" t="s">
        <v>607</v>
      </c>
      <c r="G2450" s="65" t="s">
        <v>607</v>
      </c>
      <c r="H2450" s="52" t="s">
        <v>607</v>
      </c>
      <c r="I2450" s="52" t="s">
        <v>607</v>
      </c>
      <c r="J2450" s="52" t="s">
        <v>607</v>
      </c>
      <c r="K2450" s="52" t="s">
        <v>607</v>
      </c>
      <c r="L2450" s="52" t="s">
        <v>607</v>
      </c>
      <c r="M2450" s="52" t="s">
        <v>607</v>
      </c>
      <c r="N2450" s="52" t="s">
        <v>607</v>
      </c>
      <c r="O2450" s="52"/>
      <c r="P2450" s="52"/>
      <c r="Q2450" s="52"/>
      <c r="R2450" s="51" t="b">
        <v>0</v>
      </c>
      <c r="S2450" s="51"/>
      <c r="T2450" s="52"/>
      <c r="U2450" s="51" t="b">
        <v>0</v>
      </c>
      <c r="V2450" s="51" t="b">
        <v>0</v>
      </c>
      <c r="W2450" s="51" t="b">
        <v>0</v>
      </c>
      <c r="X2450" s="51" t="b">
        <v>0</v>
      </c>
      <c r="Y2450" s="51" t="b">
        <v>0</v>
      </c>
      <c r="Z2450" s="51" t="b">
        <v>0</v>
      </c>
      <c r="AA2450" s="68"/>
      <c r="AB2450" s="52"/>
      <c r="AC2450" s="52"/>
      <c r="AD2450" s="52"/>
      <c r="AE2450" s="56" t="s">
        <v>607</v>
      </c>
      <c r="AF2450" s="56" t="s">
        <v>607</v>
      </c>
    </row>
    <row r="2451">
      <c r="A2451" s="52" t="s">
        <v>5799</v>
      </c>
      <c r="B2451" s="52" t="s">
        <v>607</v>
      </c>
      <c r="C2451" s="52" t="s">
        <v>607</v>
      </c>
      <c r="D2451" s="65" t="s">
        <v>607</v>
      </c>
      <c r="E2451" s="65" t="s">
        <v>607</v>
      </c>
      <c r="F2451" s="65" t="s">
        <v>607</v>
      </c>
      <c r="G2451" s="65" t="s">
        <v>607</v>
      </c>
      <c r="H2451" s="52" t="s">
        <v>607</v>
      </c>
      <c r="I2451" s="52" t="s">
        <v>607</v>
      </c>
      <c r="J2451" s="52" t="s">
        <v>607</v>
      </c>
      <c r="K2451" s="52" t="s">
        <v>607</v>
      </c>
      <c r="L2451" s="52" t="s">
        <v>607</v>
      </c>
      <c r="M2451" s="52" t="s">
        <v>607</v>
      </c>
      <c r="N2451" s="52" t="s">
        <v>607</v>
      </c>
      <c r="O2451" s="52"/>
      <c r="P2451" s="52"/>
      <c r="Q2451" s="52"/>
      <c r="R2451" s="51" t="b">
        <v>0</v>
      </c>
      <c r="S2451" s="51"/>
      <c r="T2451" s="52"/>
      <c r="U2451" s="51" t="b">
        <v>0</v>
      </c>
      <c r="V2451" s="51" t="b">
        <v>0</v>
      </c>
      <c r="W2451" s="51" t="b">
        <v>0</v>
      </c>
      <c r="X2451" s="51" t="b">
        <v>0</v>
      </c>
      <c r="Y2451" s="51" t="b">
        <v>0</v>
      </c>
      <c r="Z2451" s="51" t="b">
        <v>0</v>
      </c>
      <c r="AA2451" s="68"/>
      <c r="AB2451" s="52"/>
      <c r="AC2451" s="52"/>
      <c r="AD2451" s="52"/>
      <c r="AE2451" s="56" t="s">
        <v>607</v>
      </c>
      <c r="AF2451" s="56" t="s">
        <v>607</v>
      </c>
    </row>
    <row r="2452">
      <c r="A2452" s="52" t="s">
        <v>5802</v>
      </c>
      <c r="B2452" s="52" t="s">
        <v>607</v>
      </c>
      <c r="C2452" s="52" t="s">
        <v>607</v>
      </c>
      <c r="D2452" s="65" t="s">
        <v>607</v>
      </c>
      <c r="E2452" s="65" t="s">
        <v>607</v>
      </c>
      <c r="F2452" s="65" t="s">
        <v>607</v>
      </c>
      <c r="G2452" s="65" t="s">
        <v>607</v>
      </c>
      <c r="H2452" s="52" t="s">
        <v>607</v>
      </c>
      <c r="I2452" s="52" t="s">
        <v>607</v>
      </c>
      <c r="J2452" s="52" t="s">
        <v>607</v>
      </c>
      <c r="K2452" s="52" t="s">
        <v>607</v>
      </c>
      <c r="L2452" s="52" t="s">
        <v>607</v>
      </c>
      <c r="M2452" s="52" t="s">
        <v>607</v>
      </c>
      <c r="N2452" s="52" t="s">
        <v>607</v>
      </c>
      <c r="O2452" s="52"/>
      <c r="P2452" s="52"/>
      <c r="Q2452" s="52"/>
      <c r="R2452" s="51" t="b">
        <v>0</v>
      </c>
      <c r="S2452" s="51"/>
      <c r="T2452" s="52"/>
      <c r="U2452" s="51" t="b">
        <v>0</v>
      </c>
      <c r="V2452" s="51" t="b">
        <v>0</v>
      </c>
      <c r="W2452" s="51" t="b">
        <v>0</v>
      </c>
      <c r="X2452" s="51" t="b">
        <v>0</v>
      </c>
      <c r="Y2452" s="51" t="b">
        <v>0</v>
      </c>
      <c r="Z2452" s="51" t="b">
        <v>0</v>
      </c>
      <c r="AA2452" s="68"/>
      <c r="AB2452" s="52"/>
      <c r="AC2452" s="52"/>
      <c r="AD2452" s="52"/>
      <c r="AE2452" s="56" t="s">
        <v>607</v>
      </c>
      <c r="AF2452" s="56" t="s">
        <v>607</v>
      </c>
    </row>
    <row r="2453">
      <c r="A2453" s="52" t="s">
        <v>5803</v>
      </c>
      <c r="B2453" s="52" t="s">
        <v>607</v>
      </c>
      <c r="C2453" s="52" t="s">
        <v>607</v>
      </c>
      <c r="D2453" s="65" t="s">
        <v>607</v>
      </c>
      <c r="E2453" s="65" t="s">
        <v>607</v>
      </c>
      <c r="F2453" s="65" t="s">
        <v>607</v>
      </c>
      <c r="G2453" s="65" t="s">
        <v>607</v>
      </c>
      <c r="H2453" s="52" t="s">
        <v>607</v>
      </c>
      <c r="I2453" s="52" t="s">
        <v>607</v>
      </c>
      <c r="J2453" s="52" t="s">
        <v>607</v>
      </c>
      <c r="K2453" s="52" t="s">
        <v>607</v>
      </c>
      <c r="L2453" s="52" t="s">
        <v>607</v>
      </c>
      <c r="M2453" s="52" t="s">
        <v>607</v>
      </c>
      <c r="N2453" s="52" t="s">
        <v>607</v>
      </c>
      <c r="O2453" s="52"/>
      <c r="P2453" s="52"/>
      <c r="Q2453" s="52"/>
      <c r="R2453" s="51" t="b">
        <v>0</v>
      </c>
      <c r="S2453" s="51"/>
      <c r="T2453" s="52"/>
      <c r="U2453" s="51" t="b">
        <v>0</v>
      </c>
      <c r="V2453" s="51" t="b">
        <v>0</v>
      </c>
      <c r="W2453" s="51" t="b">
        <v>0</v>
      </c>
      <c r="X2453" s="51" t="b">
        <v>0</v>
      </c>
      <c r="Y2453" s="51" t="b">
        <v>0</v>
      </c>
      <c r="Z2453" s="51" t="b">
        <v>0</v>
      </c>
      <c r="AA2453" s="68"/>
      <c r="AB2453" s="52"/>
      <c r="AC2453" s="52"/>
      <c r="AD2453" s="52"/>
      <c r="AE2453" s="56" t="s">
        <v>607</v>
      </c>
      <c r="AF2453" s="56" t="s">
        <v>607</v>
      </c>
    </row>
    <row r="2454">
      <c r="A2454" s="52" t="s">
        <v>5807</v>
      </c>
      <c r="B2454" s="52" t="s">
        <v>607</v>
      </c>
      <c r="C2454" s="52" t="s">
        <v>607</v>
      </c>
      <c r="D2454" s="65" t="s">
        <v>607</v>
      </c>
      <c r="E2454" s="65" t="s">
        <v>607</v>
      </c>
      <c r="F2454" s="65" t="s">
        <v>607</v>
      </c>
      <c r="G2454" s="65" t="s">
        <v>607</v>
      </c>
      <c r="H2454" s="52" t="s">
        <v>607</v>
      </c>
      <c r="I2454" s="52" t="s">
        <v>607</v>
      </c>
      <c r="J2454" s="52" t="s">
        <v>607</v>
      </c>
      <c r="K2454" s="52" t="s">
        <v>607</v>
      </c>
      <c r="L2454" s="52" t="s">
        <v>607</v>
      </c>
      <c r="M2454" s="52" t="s">
        <v>607</v>
      </c>
      <c r="N2454" s="52" t="s">
        <v>607</v>
      </c>
      <c r="O2454" s="52"/>
      <c r="P2454" s="52"/>
      <c r="Q2454" s="52"/>
      <c r="R2454" s="51" t="b">
        <v>0</v>
      </c>
      <c r="S2454" s="51"/>
      <c r="T2454" s="52"/>
      <c r="U2454" s="51" t="b">
        <v>0</v>
      </c>
      <c r="V2454" s="51" t="b">
        <v>0</v>
      </c>
      <c r="W2454" s="51" t="b">
        <v>0</v>
      </c>
      <c r="X2454" s="51" t="b">
        <v>0</v>
      </c>
      <c r="Y2454" s="51" t="b">
        <v>0</v>
      </c>
      <c r="Z2454" s="51" t="b">
        <v>0</v>
      </c>
      <c r="AA2454" s="68"/>
      <c r="AB2454" s="52"/>
      <c r="AC2454" s="52"/>
      <c r="AD2454" s="52"/>
      <c r="AE2454" s="56" t="s">
        <v>607</v>
      </c>
      <c r="AF2454" s="56" t="s">
        <v>607</v>
      </c>
    </row>
    <row r="2455">
      <c r="A2455" s="52" t="s">
        <v>5808</v>
      </c>
      <c r="B2455" s="52" t="s">
        <v>607</v>
      </c>
      <c r="C2455" s="52" t="s">
        <v>607</v>
      </c>
      <c r="D2455" s="65" t="s">
        <v>607</v>
      </c>
      <c r="E2455" s="65" t="s">
        <v>607</v>
      </c>
      <c r="F2455" s="65" t="s">
        <v>607</v>
      </c>
      <c r="G2455" s="65" t="s">
        <v>607</v>
      </c>
      <c r="H2455" s="52" t="s">
        <v>607</v>
      </c>
      <c r="I2455" s="52" t="s">
        <v>607</v>
      </c>
      <c r="J2455" s="52" t="s">
        <v>607</v>
      </c>
      <c r="K2455" s="52" t="s">
        <v>607</v>
      </c>
      <c r="L2455" s="52" t="s">
        <v>607</v>
      </c>
      <c r="M2455" s="52" t="s">
        <v>607</v>
      </c>
      <c r="N2455" s="52" t="s">
        <v>607</v>
      </c>
      <c r="O2455" s="52"/>
      <c r="P2455" s="52"/>
      <c r="Q2455" s="52"/>
      <c r="R2455" s="51" t="b">
        <v>0</v>
      </c>
      <c r="S2455" s="51"/>
      <c r="T2455" s="52"/>
      <c r="U2455" s="51" t="b">
        <v>0</v>
      </c>
      <c r="V2455" s="51" t="b">
        <v>0</v>
      </c>
      <c r="W2455" s="51" t="b">
        <v>0</v>
      </c>
      <c r="X2455" s="51" t="b">
        <v>0</v>
      </c>
      <c r="Y2455" s="51" t="b">
        <v>0</v>
      </c>
      <c r="Z2455" s="51" t="b">
        <v>0</v>
      </c>
      <c r="AA2455" s="68"/>
      <c r="AB2455" s="52"/>
      <c r="AC2455" s="52"/>
      <c r="AD2455" s="52"/>
      <c r="AE2455" s="56" t="s">
        <v>607</v>
      </c>
      <c r="AF2455" s="56" t="s">
        <v>607</v>
      </c>
    </row>
    <row r="2456">
      <c r="A2456" s="52" t="s">
        <v>5810</v>
      </c>
      <c r="B2456" s="52" t="s">
        <v>607</v>
      </c>
      <c r="C2456" s="52" t="s">
        <v>607</v>
      </c>
      <c r="D2456" s="65" t="s">
        <v>607</v>
      </c>
      <c r="E2456" s="65" t="s">
        <v>607</v>
      </c>
      <c r="F2456" s="65" t="s">
        <v>607</v>
      </c>
      <c r="G2456" s="65" t="s">
        <v>607</v>
      </c>
      <c r="H2456" s="52" t="s">
        <v>607</v>
      </c>
      <c r="I2456" s="52" t="s">
        <v>607</v>
      </c>
      <c r="J2456" s="52" t="s">
        <v>607</v>
      </c>
      <c r="K2456" s="52" t="s">
        <v>607</v>
      </c>
      <c r="L2456" s="52" t="s">
        <v>607</v>
      </c>
      <c r="M2456" s="52" t="s">
        <v>607</v>
      </c>
      <c r="N2456" s="52" t="s">
        <v>607</v>
      </c>
      <c r="O2456" s="52"/>
      <c r="P2456" s="52"/>
      <c r="Q2456" s="52"/>
      <c r="R2456" s="51" t="b">
        <v>0</v>
      </c>
      <c r="S2456" s="51"/>
      <c r="T2456" s="52"/>
      <c r="U2456" s="51" t="b">
        <v>0</v>
      </c>
      <c r="V2456" s="51" t="b">
        <v>0</v>
      </c>
      <c r="W2456" s="51" t="b">
        <v>0</v>
      </c>
      <c r="X2456" s="51" t="b">
        <v>0</v>
      </c>
      <c r="Y2456" s="51" t="b">
        <v>0</v>
      </c>
      <c r="Z2456" s="51" t="b">
        <v>0</v>
      </c>
      <c r="AA2456" s="68"/>
      <c r="AB2456" s="52"/>
      <c r="AC2456" s="52"/>
      <c r="AD2456" s="52"/>
      <c r="AE2456" s="56" t="s">
        <v>607</v>
      </c>
      <c r="AF2456" s="56" t="s">
        <v>607</v>
      </c>
    </row>
    <row r="2457">
      <c r="A2457" s="52" t="s">
        <v>5814</v>
      </c>
      <c r="B2457" s="52" t="s">
        <v>607</v>
      </c>
      <c r="C2457" s="52" t="s">
        <v>607</v>
      </c>
      <c r="D2457" s="65" t="s">
        <v>607</v>
      </c>
      <c r="E2457" s="65" t="s">
        <v>607</v>
      </c>
      <c r="F2457" s="65" t="s">
        <v>607</v>
      </c>
      <c r="G2457" s="65" t="s">
        <v>607</v>
      </c>
      <c r="H2457" s="52" t="s">
        <v>607</v>
      </c>
      <c r="I2457" s="52" t="s">
        <v>607</v>
      </c>
      <c r="J2457" s="52" t="s">
        <v>607</v>
      </c>
      <c r="K2457" s="52" t="s">
        <v>607</v>
      </c>
      <c r="L2457" s="52" t="s">
        <v>607</v>
      </c>
      <c r="M2457" s="52" t="s">
        <v>607</v>
      </c>
      <c r="N2457" s="52" t="s">
        <v>607</v>
      </c>
      <c r="O2457" s="52"/>
      <c r="P2457" s="52"/>
      <c r="Q2457" s="52"/>
      <c r="R2457" s="51" t="b">
        <v>0</v>
      </c>
      <c r="S2457" s="51"/>
      <c r="T2457" s="52"/>
      <c r="U2457" s="51" t="b">
        <v>0</v>
      </c>
      <c r="V2457" s="51" t="b">
        <v>0</v>
      </c>
      <c r="W2457" s="51" t="b">
        <v>0</v>
      </c>
      <c r="X2457" s="51" t="b">
        <v>0</v>
      </c>
      <c r="Y2457" s="51" t="b">
        <v>0</v>
      </c>
      <c r="Z2457" s="51" t="b">
        <v>0</v>
      </c>
      <c r="AA2457" s="68"/>
      <c r="AB2457" s="52"/>
      <c r="AC2457" s="52"/>
      <c r="AD2457" s="52"/>
      <c r="AE2457" s="56" t="s">
        <v>607</v>
      </c>
      <c r="AF2457" s="56" t="s">
        <v>607</v>
      </c>
    </row>
    <row r="2458">
      <c r="A2458" s="52" t="s">
        <v>5815</v>
      </c>
      <c r="B2458" s="52" t="s">
        <v>607</v>
      </c>
      <c r="C2458" s="52" t="s">
        <v>607</v>
      </c>
      <c r="D2458" s="65" t="s">
        <v>607</v>
      </c>
      <c r="E2458" s="65" t="s">
        <v>607</v>
      </c>
      <c r="F2458" s="65" t="s">
        <v>607</v>
      </c>
      <c r="G2458" s="65" t="s">
        <v>607</v>
      </c>
      <c r="H2458" s="52" t="s">
        <v>607</v>
      </c>
      <c r="I2458" s="52" t="s">
        <v>607</v>
      </c>
      <c r="J2458" s="52" t="s">
        <v>607</v>
      </c>
      <c r="K2458" s="52" t="s">
        <v>607</v>
      </c>
      <c r="L2458" s="52" t="s">
        <v>607</v>
      </c>
      <c r="M2458" s="52" t="s">
        <v>607</v>
      </c>
      <c r="N2458" s="52" t="s">
        <v>607</v>
      </c>
      <c r="O2458" s="52"/>
      <c r="P2458" s="52"/>
      <c r="Q2458" s="52"/>
      <c r="R2458" s="51" t="b">
        <v>0</v>
      </c>
      <c r="S2458" s="51"/>
      <c r="T2458" s="52"/>
      <c r="U2458" s="51" t="b">
        <v>0</v>
      </c>
      <c r="V2458" s="51" t="b">
        <v>0</v>
      </c>
      <c r="W2458" s="51" t="b">
        <v>0</v>
      </c>
      <c r="X2458" s="51" t="b">
        <v>0</v>
      </c>
      <c r="Y2458" s="51" t="b">
        <v>0</v>
      </c>
      <c r="Z2458" s="51" t="b">
        <v>0</v>
      </c>
      <c r="AA2458" s="68"/>
      <c r="AB2458" s="52"/>
      <c r="AC2458" s="52"/>
      <c r="AD2458" s="52"/>
      <c r="AE2458" s="56" t="s">
        <v>607</v>
      </c>
      <c r="AF2458" s="56" t="s">
        <v>607</v>
      </c>
    </row>
    <row r="2459">
      <c r="A2459" s="52" t="s">
        <v>5816</v>
      </c>
      <c r="B2459" s="52" t="s">
        <v>607</v>
      </c>
      <c r="C2459" s="52" t="s">
        <v>607</v>
      </c>
      <c r="D2459" s="65" t="s">
        <v>607</v>
      </c>
      <c r="E2459" s="65" t="s">
        <v>607</v>
      </c>
      <c r="F2459" s="65" t="s">
        <v>607</v>
      </c>
      <c r="G2459" s="65" t="s">
        <v>607</v>
      </c>
      <c r="H2459" s="52" t="s">
        <v>607</v>
      </c>
      <c r="I2459" s="52" t="s">
        <v>607</v>
      </c>
      <c r="J2459" s="52" t="s">
        <v>607</v>
      </c>
      <c r="K2459" s="52" t="s">
        <v>607</v>
      </c>
      <c r="L2459" s="52" t="s">
        <v>607</v>
      </c>
      <c r="M2459" s="52" t="s">
        <v>607</v>
      </c>
      <c r="N2459" s="52" t="s">
        <v>607</v>
      </c>
      <c r="O2459" s="52"/>
      <c r="P2459" s="52"/>
      <c r="Q2459" s="52"/>
      <c r="R2459" s="51" t="b">
        <v>0</v>
      </c>
      <c r="S2459" s="51"/>
      <c r="T2459" s="52"/>
      <c r="U2459" s="51" t="b">
        <v>0</v>
      </c>
      <c r="V2459" s="51" t="b">
        <v>0</v>
      </c>
      <c r="W2459" s="51" t="b">
        <v>0</v>
      </c>
      <c r="X2459" s="51" t="b">
        <v>0</v>
      </c>
      <c r="Y2459" s="51" t="b">
        <v>0</v>
      </c>
      <c r="Z2459" s="51" t="b">
        <v>0</v>
      </c>
      <c r="AA2459" s="68"/>
      <c r="AB2459" s="52"/>
      <c r="AC2459" s="52"/>
      <c r="AD2459" s="52"/>
      <c r="AE2459" s="56" t="s">
        <v>607</v>
      </c>
      <c r="AF2459" s="56" t="s">
        <v>607</v>
      </c>
    </row>
    <row r="2460">
      <c r="A2460" s="52" t="s">
        <v>5817</v>
      </c>
      <c r="B2460" s="52" t="s">
        <v>607</v>
      </c>
      <c r="C2460" s="52" t="s">
        <v>607</v>
      </c>
      <c r="D2460" s="65" t="s">
        <v>607</v>
      </c>
      <c r="E2460" s="65" t="s">
        <v>607</v>
      </c>
      <c r="F2460" s="65" t="s">
        <v>607</v>
      </c>
      <c r="G2460" s="65" t="s">
        <v>607</v>
      </c>
      <c r="H2460" s="52" t="s">
        <v>607</v>
      </c>
      <c r="I2460" s="52" t="s">
        <v>607</v>
      </c>
      <c r="J2460" s="52" t="s">
        <v>607</v>
      </c>
      <c r="K2460" s="52" t="s">
        <v>607</v>
      </c>
      <c r="L2460" s="52" t="s">
        <v>607</v>
      </c>
      <c r="M2460" s="52" t="s">
        <v>607</v>
      </c>
      <c r="N2460" s="52" t="s">
        <v>607</v>
      </c>
      <c r="O2460" s="52"/>
      <c r="P2460" s="52"/>
      <c r="Q2460" s="52"/>
      <c r="R2460" s="51" t="b">
        <v>0</v>
      </c>
      <c r="S2460" s="51"/>
      <c r="T2460" s="52"/>
      <c r="U2460" s="51" t="b">
        <v>0</v>
      </c>
      <c r="V2460" s="51" t="b">
        <v>0</v>
      </c>
      <c r="W2460" s="51" t="b">
        <v>0</v>
      </c>
      <c r="X2460" s="51" t="b">
        <v>0</v>
      </c>
      <c r="Y2460" s="51" t="b">
        <v>0</v>
      </c>
      <c r="Z2460" s="51" t="b">
        <v>0</v>
      </c>
      <c r="AA2460" s="68"/>
      <c r="AB2460" s="52"/>
      <c r="AC2460" s="52"/>
      <c r="AD2460" s="52"/>
      <c r="AE2460" s="56" t="s">
        <v>607</v>
      </c>
      <c r="AF2460" s="56" t="s">
        <v>607</v>
      </c>
    </row>
    <row r="2461">
      <c r="A2461" s="52" t="s">
        <v>5820</v>
      </c>
      <c r="B2461" s="52" t="s">
        <v>607</v>
      </c>
      <c r="C2461" s="52" t="s">
        <v>607</v>
      </c>
      <c r="D2461" s="65" t="s">
        <v>607</v>
      </c>
      <c r="E2461" s="65" t="s">
        <v>607</v>
      </c>
      <c r="F2461" s="65" t="s">
        <v>607</v>
      </c>
      <c r="G2461" s="65" t="s">
        <v>607</v>
      </c>
      <c r="H2461" s="52" t="s">
        <v>607</v>
      </c>
      <c r="I2461" s="52" t="s">
        <v>607</v>
      </c>
      <c r="J2461" s="52" t="s">
        <v>607</v>
      </c>
      <c r="K2461" s="52" t="s">
        <v>607</v>
      </c>
      <c r="L2461" s="52" t="s">
        <v>607</v>
      </c>
      <c r="M2461" s="52" t="s">
        <v>607</v>
      </c>
      <c r="N2461" s="52" t="s">
        <v>607</v>
      </c>
      <c r="O2461" s="52"/>
      <c r="P2461" s="52"/>
      <c r="Q2461" s="52"/>
      <c r="R2461" s="51" t="b">
        <v>0</v>
      </c>
      <c r="S2461" s="51"/>
      <c r="T2461" s="52"/>
      <c r="U2461" s="51" t="b">
        <v>0</v>
      </c>
      <c r="V2461" s="51" t="b">
        <v>0</v>
      </c>
      <c r="W2461" s="51" t="b">
        <v>0</v>
      </c>
      <c r="X2461" s="51" t="b">
        <v>0</v>
      </c>
      <c r="Y2461" s="51" t="b">
        <v>0</v>
      </c>
      <c r="Z2461" s="51" t="b">
        <v>0</v>
      </c>
      <c r="AA2461" s="68"/>
      <c r="AB2461" s="52"/>
      <c r="AC2461" s="52"/>
      <c r="AD2461" s="52"/>
      <c r="AE2461" s="56" t="s">
        <v>607</v>
      </c>
      <c r="AF2461" s="56" t="s">
        <v>607</v>
      </c>
    </row>
    <row r="2462">
      <c r="A2462" s="52" t="s">
        <v>5821</v>
      </c>
      <c r="B2462" s="52" t="s">
        <v>607</v>
      </c>
      <c r="C2462" s="52" t="s">
        <v>607</v>
      </c>
      <c r="D2462" s="65" t="s">
        <v>607</v>
      </c>
      <c r="E2462" s="65" t="s">
        <v>607</v>
      </c>
      <c r="F2462" s="65" t="s">
        <v>607</v>
      </c>
      <c r="G2462" s="65" t="s">
        <v>607</v>
      </c>
      <c r="H2462" s="52" t="s">
        <v>607</v>
      </c>
      <c r="I2462" s="52" t="s">
        <v>607</v>
      </c>
      <c r="J2462" s="52" t="s">
        <v>607</v>
      </c>
      <c r="K2462" s="52" t="s">
        <v>607</v>
      </c>
      <c r="L2462" s="52" t="s">
        <v>607</v>
      </c>
      <c r="M2462" s="52" t="s">
        <v>607</v>
      </c>
      <c r="N2462" s="52" t="s">
        <v>607</v>
      </c>
      <c r="O2462" s="52"/>
      <c r="P2462" s="52"/>
      <c r="Q2462" s="52"/>
      <c r="R2462" s="51" t="b">
        <v>0</v>
      </c>
      <c r="S2462" s="51"/>
      <c r="T2462" s="52"/>
      <c r="U2462" s="51" t="b">
        <v>0</v>
      </c>
      <c r="V2462" s="51" t="b">
        <v>0</v>
      </c>
      <c r="W2462" s="51" t="b">
        <v>0</v>
      </c>
      <c r="X2462" s="51" t="b">
        <v>0</v>
      </c>
      <c r="Y2462" s="51" t="b">
        <v>0</v>
      </c>
      <c r="Z2462" s="51" t="b">
        <v>0</v>
      </c>
      <c r="AA2462" s="68"/>
      <c r="AB2462" s="52"/>
      <c r="AC2462" s="52"/>
      <c r="AD2462" s="52"/>
      <c r="AE2462" s="56" t="s">
        <v>607</v>
      </c>
      <c r="AF2462" s="56" t="s">
        <v>607</v>
      </c>
    </row>
    <row r="2463">
      <c r="A2463" s="52" t="s">
        <v>5822</v>
      </c>
      <c r="B2463" s="52" t="s">
        <v>607</v>
      </c>
      <c r="C2463" s="52" t="s">
        <v>607</v>
      </c>
      <c r="D2463" s="65" t="s">
        <v>607</v>
      </c>
      <c r="E2463" s="65" t="s">
        <v>607</v>
      </c>
      <c r="F2463" s="65" t="s">
        <v>607</v>
      </c>
      <c r="G2463" s="65" t="s">
        <v>607</v>
      </c>
      <c r="H2463" s="52" t="s">
        <v>607</v>
      </c>
      <c r="I2463" s="52" t="s">
        <v>607</v>
      </c>
      <c r="J2463" s="52" t="s">
        <v>607</v>
      </c>
      <c r="K2463" s="52" t="s">
        <v>607</v>
      </c>
      <c r="L2463" s="52" t="s">
        <v>607</v>
      </c>
      <c r="M2463" s="52" t="s">
        <v>607</v>
      </c>
      <c r="N2463" s="52" t="s">
        <v>607</v>
      </c>
      <c r="O2463" s="52"/>
      <c r="P2463" s="52"/>
      <c r="Q2463" s="52"/>
      <c r="R2463" s="51" t="b">
        <v>0</v>
      </c>
      <c r="S2463" s="51"/>
      <c r="T2463" s="52"/>
      <c r="U2463" s="51" t="b">
        <v>0</v>
      </c>
      <c r="V2463" s="51" t="b">
        <v>0</v>
      </c>
      <c r="W2463" s="51" t="b">
        <v>0</v>
      </c>
      <c r="X2463" s="51" t="b">
        <v>0</v>
      </c>
      <c r="Y2463" s="51" t="b">
        <v>0</v>
      </c>
      <c r="Z2463" s="51" t="b">
        <v>0</v>
      </c>
      <c r="AA2463" s="68"/>
      <c r="AB2463" s="52"/>
      <c r="AC2463" s="52"/>
      <c r="AD2463" s="52"/>
      <c r="AE2463" s="56" t="s">
        <v>607</v>
      </c>
      <c r="AF2463" s="56" t="s">
        <v>607</v>
      </c>
    </row>
    <row r="2464">
      <c r="A2464" s="52" t="s">
        <v>5823</v>
      </c>
      <c r="B2464" s="52" t="s">
        <v>607</v>
      </c>
      <c r="C2464" s="52" t="s">
        <v>607</v>
      </c>
      <c r="D2464" s="65" t="s">
        <v>607</v>
      </c>
      <c r="E2464" s="65" t="s">
        <v>607</v>
      </c>
      <c r="F2464" s="65" t="s">
        <v>607</v>
      </c>
      <c r="G2464" s="65" t="s">
        <v>607</v>
      </c>
      <c r="H2464" s="52" t="s">
        <v>607</v>
      </c>
      <c r="I2464" s="52" t="s">
        <v>607</v>
      </c>
      <c r="J2464" s="52" t="s">
        <v>607</v>
      </c>
      <c r="K2464" s="52" t="s">
        <v>607</v>
      </c>
      <c r="L2464" s="52" t="s">
        <v>607</v>
      </c>
      <c r="M2464" s="52" t="s">
        <v>607</v>
      </c>
      <c r="N2464" s="52" t="s">
        <v>607</v>
      </c>
      <c r="O2464" s="52"/>
      <c r="P2464" s="52"/>
      <c r="Q2464" s="52"/>
      <c r="R2464" s="51" t="b">
        <v>0</v>
      </c>
      <c r="S2464" s="51"/>
      <c r="T2464" s="52"/>
      <c r="U2464" s="51" t="b">
        <v>0</v>
      </c>
      <c r="V2464" s="51" t="b">
        <v>0</v>
      </c>
      <c r="W2464" s="51" t="b">
        <v>0</v>
      </c>
      <c r="X2464" s="51" t="b">
        <v>0</v>
      </c>
      <c r="Y2464" s="51" t="b">
        <v>0</v>
      </c>
      <c r="Z2464" s="51" t="b">
        <v>0</v>
      </c>
      <c r="AA2464" s="68"/>
      <c r="AB2464" s="52"/>
      <c r="AC2464" s="52"/>
      <c r="AD2464" s="52"/>
      <c r="AE2464" s="56" t="s">
        <v>607</v>
      </c>
      <c r="AF2464" s="56" t="s">
        <v>607</v>
      </c>
    </row>
    <row r="2465">
      <c r="A2465" s="52" t="s">
        <v>5824</v>
      </c>
      <c r="B2465" s="52" t="s">
        <v>607</v>
      </c>
      <c r="C2465" s="52" t="s">
        <v>607</v>
      </c>
      <c r="D2465" s="65" t="s">
        <v>607</v>
      </c>
      <c r="E2465" s="65" t="s">
        <v>607</v>
      </c>
      <c r="F2465" s="65" t="s">
        <v>607</v>
      </c>
      <c r="G2465" s="65" t="s">
        <v>607</v>
      </c>
      <c r="H2465" s="52" t="s">
        <v>607</v>
      </c>
      <c r="I2465" s="52" t="s">
        <v>607</v>
      </c>
      <c r="J2465" s="52" t="s">
        <v>607</v>
      </c>
      <c r="K2465" s="52" t="s">
        <v>607</v>
      </c>
      <c r="L2465" s="52" t="s">
        <v>607</v>
      </c>
      <c r="M2465" s="52" t="s">
        <v>607</v>
      </c>
      <c r="N2465" s="52" t="s">
        <v>607</v>
      </c>
      <c r="O2465" s="52"/>
      <c r="P2465" s="52"/>
      <c r="Q2465" s="52"/>
      <c r="R2465" s="51" t="b">
        <v>0</v>
      </c>
      <c r="S2465" s="51"/>
      <c r="T2465" s="52"/>
      <c r="U2465" s="51" t="b">
        <v>0</v>
      </c>
      <c r="V2465" s="51" t="b">
        <v>0</v>
      </c>
      <c r="W2465" s="51" t="b">
        <v>0</v>
      </c>
      <c r="X2465" s="51" t="b">
        <v>0</v>
      </c>
      <c r="Y2465" s="51" t="b">
        <v>0</v>
      </c>
      <c r="Z2465" s="51" t="b">
        <v>0</v>
      </c>
      <c r="AA2465" s="68"/>
      <c r="AB2465" s="52"/>
      <c r="AC2465" s="52"/>
      <c r="AD2465" s="52"/>
      <c r="AE2465" s="56" t="s">
        <v>607</v>
      </c>
      <c r="AF2465" s="56" t="s">
        <v>607</v>
      </c>
    </row>
    <row r="2466">
      <c r="A2466" s="52" t="s">
        <v>5825</v>
      </c>
      <c r="B2466" s="52" t="s">
        <v>607</v>
      </c>
      <c r="C2466" s="52" t="s">
        <v>607</v>
      </c>
      <c r="D2466" s="65" t="s">
        <v>607</v>
      </c>
      <c r="E2466" s="65" t="s">
        <v>607</v>
      </c>
      <c r="F2466" s="65" t="s">
        <v>607</v>
      </c>
      <c r="G2466" s="65" t="s">
        <v>607</v>
      </c>
      <c r="H2466" s="52" t="s">
        <v>607</v>
      </c>
      <c r="I2466" s="52" t="s">
        <v>607</v>
      </c>
      <c r="J2466" s="52" t="s">
        <v>607</v>
      </c>
      <c r="K2466" s="52" t="s">
        <v>607</v>
      </c>
      <c r="L2466" s="52" t="s">
        <v>607</v>
      </c>
      <c r="M2466" s="52" t="s">
        <v>607</v>
      </c>
      <c r="N2466" s="52" t="s">
        <v>607</v>
      </c>
      <c r="O2466" s="52"/>
      <c r="P2466" s="52"/>
      <c r="Q2466" s="52"/>
      <c r="R2466" s="51" t="b">
        <v>0</v>
      </c>
      <c r="S2466" s="51"/>
      <c r="T2466" s="52"/>
      <c r="U2466" s="51" t="b">
        <v>0</v>
      </c>
      <c r="V2466" s="51" t="b">
        <v>0</v>
      </c>
      <c r="W2466" s="51" t="b">
        <v>0</v>
      </c>
      <c r="X2466" s="51" t="b">
        <v>0</v>
      </c>
      <c r="Y2466" s="51" t="b">
        <v>0</v>
      </c>
      <c r="Z2466" s="51" t="b">
        <v>0</v>
      </c>
      <c r="AA2466" s="68"/>
      <c r="AB2466" s="52"/>
      <c r="AC2466" s="52"/>
      <c r="AD2466" s="52"/>
      <c r="AE2466" s="56" t="s">
        <v>607</v>
      </c>
      <c r="AF2466" s="56" t="s">
        <v>607</v>
      </c>
    </row>
    <row r="2467">
      <c r="A2467" s="52" t="s">
        <v>5826</v>
      </c>
      <c r="B2467" s="52" t="s">
        <v>607</v>
      </c>
      <c r="C2467" s="52" t="s">
        <v>607</v>
      </c>
      <c r="D2467" s="65" t="s">
        <v>607</v>
      </c>
      <c r="E2467" s="65" t="s">
        <v>607</v>
      </c>
      <c r="F2467" s="65" t="s">
        <v>607</v>
      </c>
      <c r="G2467" s="65" t="s">
        <v>607</v>
      </c>
      <c r="H2467" s="52" t="s">
        <v>607</v>
      </c>
      <c r="I2467" s="52" t="s">
        <v>607</v>
      </c>
      <c r="J2467" s="52" t="s">
        <v>607</v>
      </c>
      <c r="K2467" s="52" t="s">
        <v>607</v>
      </c>
      <c r="L2467" s="52" t="s">
        <v>607</v>
      </c>
      <c r="M2467" s="52" t="s">
        <v>607</v>
      </c>
      <c r="N2467" s="52" t="s">
        <v>607</v>
      </c>
      <c r="O2467" s="52"/>
      <c r="P2467" s="52"/>
      <c r="Q2467" s="52"/>
      <c r="R2467" s="51" t="b">
        <v>0</v>
      </c>
      <c r="S2467" s="51"/>
      <c r="T2467" s="52"/>
      <c r="U2467" s="51" t="b">
        <v>0</v>
      </c>
      <c r="V2467" s="51" t="b">
        <v>0</v>
      </c>
      <c r="W2467" s="51" t="b">
        <v>0</v>
      </c>
      <c r="X2467" s="51" t="b">
        <v>0</v>
      </c>
      <c r="Y2467" s="51" t="b">
        <v>0</v>
      </c>
      <c r="Z2467" s="51" t="b">
        <v>0</v>
      </c>
      <c r="AA2467" s="68"/>
      <c r="AB2467" s="52"/>
      <c r="AC2467" s="52"/>
      <c r="AD2467" s="52"/>
      <c r="AE2467" s="56" t="s">
        <v>607</v>
      </c>
      <c r="AF2467" s="56" t="s">
        <v>607</v>
      </c>
    </row>
    <row r="2468">
      <c r="A2468" s="52" t="s">
        <v>5829</v>
      </c>
      <c r="B2468" s="52" t="s">
        <v>607</v>
      </c>
      <c r="C2468" s="52" t="s">
        <v>607</v>
      </c>
      <c r="D2468" s="65" t="s">
        <v>607</v>
      </c>
      <c r="E2468" s="65" t="s">
        <v>607</v>
      </c>
      <c r="F2468" s="65" t="s">
        <v>607</v>
      </c>
      <c r="G2468" s="65" t="s">
        <v>607</v>
      </c>
      <c r="H2468" s="52" t="s">
        <v>607</v>
      </c>
      <c r="I2468" s="52" t="s">
        <v>607</v>
      </c>
      <c r="J2468" s="52" t="s">
        <v>607</v>
      </c>
      <c r="K2468" s="52" t="s">
        <v>607</v>
      </c>
      <c r="L2468" s="52" t="s">
        <v>607</v>
      </c>
      <c r="M2468" s="52" t="s">
        <v>607</v>
      </c>
      <c r="N2468" s="52" t="s">
        <v>607</v>
      </c>
      <c r="O2468" s="52"/>
      <c r="P2468" s="52"/>
      <c r="Q2468" s="52"/>
      <c r="R2468" s="51" t="b">
        <v>0</v>
      </c>
      <c r="S2468" s="51"/>
      <c r="T2468" s="52"/>
      <c r="U2468" s="51" t="b">
        <v>0</v>
      </c>
      <c r="V2468" s="51" t="b">
        <v>0</v>
      </c>
      <c r="W2468" s="51" t="b">
        <v>0</v>
      </c>
      <c r="X2468" s="51" t="b">
        <v>0</v>
      </c>
      <c r="Y2468" s="51" t="b">
        <v>0</v>
      </c>
      <c r="Z2468" s="51" t="b">
        <v>0</v>
      </c>
      <c r="AA2468" s="68"/>
      <c r="AB2468" s="52"/>
      <c r="AC2468" s="52"/>
      <c r="AD2468" s="52"/>
      <c r="AE2468" s="56" t="s">
        <v>607</v>
      </c>
      <c r="AF2468" s="56" t="s">
        <v>607</v>
      </c>
    </row>
    <row r="2469">
      <c r="A2469" s="52" t="s">
        <v>5830</v>
      </c>
      <c r="B2469" s="52" t="s">
        <v>607</v>
      </c>
      <c r="C2469" s="52" t="s">
        <v>607</v>
      </c>
      <c r="D2469" s="65" t="s">
        <v>607</v>
      </c>
      <c r="E2469" s="65" t="s">
        <v>607</v>
      </c>
      <c r="F2469" s="65" t="s">
        <v>607</v>
      </c>
      <c r="G2469" s="65" t="s">
        <v>607</v>
      </c>
      <c r="H2469" s="52" t="s">
        <v>607</v>
      </c>
      <c r="I2469" s="52" t="s">
        <v>607</v>
      </c>
      <c r="J2469" s="52" t="s">
        <v>607</v>
      </c>
      <c r="K2469" s="52" t="s">
        <v>607</v>
      </c>
      <c r="L2469" s="52" t="s">
        <v>607</v>
      </c>
      <c r="M2469" s="52" t="s">
        <v>607</v>
      </c>
      <c r="N2469" s="52" t="s">
        <v>607</v>
      </c>
      <c r="O2469" s="52"/>
      <c r="P2469" s="52"/>
      <c r="Q2469" s="52"/>
      <c r="R2469" s="51" t="b">
        <v>0</v>
      </c>
      <c r="S2469" s="51"/>
      <c r="T2469" s="52"/>
      <c r="U2469" s="51" t="b">
        <v>0</v>
      </c>
      <c r="V2469" s="51" t="b">
        <v>0</v>
      </c>
      <c r="W2469" s="51" t="b">
        <v>0</v>
      </c>
      <c r="X2469" s="51" t="b">
        <v>0</v>
      </c>
      <c r="Y2469" s="51" t="b">
        <v>0</v>
      </c>
      <c r="Z2469" s="51" t="b">
        <v>0</v>
      </c>
      <c r="AA2469" s="68"/>
      <c r="AB2469" s="52"/>
      <c r="AC2469" s="52"/>
      <c r="AD2469" s="52"/>
      <c r="AE2469" s="56" t="s">
        <v>607</v>
      </c>
      <c r="AF2469" s="56" t="s">
        <v>607</v>
      </c>
    </row>
    <row r="2470">
      <c r="A2470" s="52" t="s">
        <v>5831</v>
      </c>
      <c r="B2470" s="52" t="s">
        <v>607</v>
      </c>
      <c r="C2470" s="52" t="s">
        <v>607</v>
      </c>
      <c r="D2470" s="65" t="s">
        <v>607</v>
      </c>
      <c r="E2470" s="65" t="s">
        <v>607</v>
      </c>
      <c r="F2470" s="65" t="s">
        <v>607</v>
      </c>
      <c r="G2470" s="65" t="s">
        <v>607</v>
      </c>
      <c r="H2470" s="52" t="s">
        <v>607</v>
      </c>
      <c r="I2470" s="52" t="s">
        <v>607</v>
      </c>
      <c r="J2470" s="52" t="s">
        <v>607</v>
      </c>
      <c r="K2470" s="52" t="s">
        <v>607</v>
      </c>
      <c r="L2470" s="52" t="s">
        <v>607</v>
      </c>
      <c r="M2470" s="52" t="s">
        <v>607</v>
      </c>
      <c r="N2470" s="52" t="s">
        <v>607</v>
      </c>
      <c r="O2470" s="52"/>
      <c r="P2470" s="52"/>
      <c r="Q2470" s="52"/>
      <c r="R2470" s="51" t="b">
        <v>0</v>
      </c>
      <c r="S2470" s="51"/>
      <c r="T2470" s="52"/>
      <c r="U2470" s="51" t="b">
        <v>0</v>
      </c>
      <c r="V2470" s="51" t="b">
        <v>0</v>
      </c>
      <c r="W2470" s="51" t="b">
        <v>0</v>
      </c>
      <c r="X2470" s="51" t="b">
        <v>0</v>
      </c>
      <c r="Y2470" s="51" t="b">
        <v>0</v>
      </c>
      <c r="Z2470" s="51" t="b">
        <v>0</v>
      </c>
      <c r="AA2470" s="68"/>
      <c r="AB2470" s="52"/>
      <c r="AC2470" s="52"/>
      <c r="AD2470" s="52"/>
      <c r="AE2470" s="56" t="s">
        <v>607</v>
      </c>
      <c r="AF2470" s="56" t="s">
        <v>607</v>
      </c>
    </row>
    <row r="2471">
      <c r="A2471" s="52" t="s">
        <v>5833</v>
      </c>
      <c r="B2471" s="52" t="s">
        <v>607</v>
      </c>
      <c r="C2471" s="52" t="s">
        <v>607</v>
      </c>
      <c r="D2471" s="65" t="s">
        <v>607</v>
      </c>
      <c r="E2471" s="65" t="s">
        <v>607</v>
      </c>
      <c r="F2471" s="65" t="s">
        <v>607</v>
      </c>
      <c r="G2471" s="65" t="s">
        <v>607</v>
      </c>
      <c r="H2471" s="52" t="s">
        <v>607</v>
      </c>
      <c r="I2471" s="52" t="s">
        <v>607</v>
      </c>
      <c r="J2471" s="52" t="s">
        <v>607</v>
      </c>
      <c r="K2471" s="52" t="s">
        <v>607</v>
      </c>
      <c r="L2471" s="52" t="s">
        <v>607</v>
      </c>
      <c r="M2471" s="52" t="s">
        <v>607</v>
      </c>
      <c r="N2471" s="52" t="s">
        <v>607</v>
      </c>
      <c r="O2471" s="52"/>
      <c r="P2471" s="52"/>
      <c r="Q2471" s="52"/>
      <c r="R2471" s="51" t="b">
        <v>0</v>
      </c>
      <c r="S2471" s="51"/>
      <c r="T2471" s="52"/>
      <c r="U2471" s="51" t="b">
        <v>0</v>
      </c>
      <c r="V2471" s="51" t="b">
        <v>0</v>
      </c>
      <c r="W2471" s="51" t="b">
        <v>0</v>
      </c>
      <c r="X2471" s="51" t="b">
        <v>0</v>
      </c>
      <c r="Y2471" s="51" t="b">
        <v>0</v>
      </c>
      <c r="Z2471" s="51" t="b">
        <v>0</v>
      </c>
      <c r="AA2471" s="68"/>
      <c r="AB2471" s="52"/>
      <c r="AC2471" s="52"/>
      <c r="AD2471" s="52"/>
      <c r="AE2471" s="56" t="s">
        <v>607</v>
      </c>
      <c r="AF2471" s="56" t="s">
        <v>607</v>
      </c>
    </row>
    <row r="2472">
      <c r="A2472" s="52" t="s">
        <v>5835</v>
      </c>
      <c r="B2472" s="52" t="s">
        <v>607</v>
      </c>
      <c r="C2472" s="52" t="s">
        <v>607</v>
      </c>
      <c r="D2472" s="65" t="s">
        <v>607</v>
      </c>
      <c r="E2472" s="65" t="s">
        <v>607</v>
      </c>
      <c r="F2472" s="65" t="s">
        <v>607</v>
      </c>
      <c r="G2472" s="65" t="s">
        <v>607</v>
      </c>
      <c r="H2472" s="52" t="s">
        <v>607</v>
      </c>
      <c r="I2472" s="52" t="s">
        <v>607</v>
      </c>
      <c r="J2472" s="52" t="s">
        <v>607</v>
      </c>
      <c r="K2472" s="52" t="s">
        <v>607</v>
      </c>
      <c r="L2472" s="52" t="s">
        <v>607</v>
      </c>
      <c r="M2472" s="52" t="s">
        <v>607</v>
      </c>
      <c r="N2472" s="52" t="s">
        <v>607</v>
      </c>
      <c r="O2472" s="52"/>
      <c r="P2472" s="52"/>
      <c r="Q2472" s="52"/>
      <c r="R2472" s="51" t="b">
        <v>0</v>
      </c>
      <c r="S2472" s="51"/>
      <c r="T2472" s="52"/>
      <c r="U2472" s="51" t="b">
        <v>0</v>
      </c>
      <c r="V2472" s="51" t="b">
        <v>0</v>
      </c>
      <c r="W2472" s="51" t="b">
        <v>0</v>
      </c>
      <c r="X2472" s="51" t="b">
        <v>0</v>
      </c>
      <c r="Y2472" s="51" t="b">
        <v>0</v>
      </c>
      <c r="Z2472" s="51" t="b">
        <v>0</v>
      </c>
      <c r="AA2472" s="68"/>
      <c r="AB2472" s="52"/>
      <c r="AC2472" s="52"/>
      <c r="AD2472" s="52"/>
      <c r="AE2472" s="56" t="s">
        <v>607</v>
      </c>
      <c r="AF2472" s="56" t="s">
        <v>607</v>
      </c>
    </row>
    <row r="2473">
      <c r="A2473" s="52" t="s">
        <v>5836</v>
      </c>
      <c r="B2473" s="52" t="s">
        <v>607</v>
      </c>
      <c r="C2473" s="52" t="s">
        <v>607</v>
      </c>
      <c r="D2473" s="65" t="s">
        <v>607</v>
      </c>
      <c r="E2473" s="65" t="s">
        <v>607</v>
      </c>
      <c r="F2473" s="65" t="s">
        <v>607</v>
      </c>
      <c r="G2473" s="65" t="s">
        <v>607</v>
      </c>
      <c r="H2473" s="52" t="s">
        <v>607</v>
      </c>
      <c r="I2473" s="52" t="s">
        <v>607</v>
      </c>
      <c r="J2473" s="52" t="s">
        <v>607</v>
      </c>
      <c r="K2473" s="52" t="s">
        <v>607</v>
      </c>
      <c r="L2473" s="52" t="s">
        <v>607</v>
      </c>
      <c r="M2473" s="52" t="s">
        <v>607</v>
      </c>
      <c r="N2473" s="52" t="s">
        <v>607</v>
      </c>
      <c r="O2473" s="52"/>
      <c r="P2473" s="52"/>
      <c r="Q2473" s="52"/>
      <c r="R2473" s="51" t="b">
        <v>0</v>
      </c>
      <c r="S2473" s="51"/>
      <c r="T2473" s="52"/>
      <c r="U2473" s="51" t="b">
        <v>0</v>
      </c>
      <c r="V2473" s="51" t="b">
        <v>0</v>
      </c>
      <c r="W2473" s="51" t="b">
        <v>0</v>
      </c>
      <c r="X2473" s="51" t="b">
        <v>0</v>
      </c>
      <c r="Y2473" s="51" t="b">
        <v>0</v>
      </c>
      <c r="Z2473" s="51" t="b">
        <v>0</v>
      </c>
      <c r="AA2473" s="68"/>
      <c r="AB2473" s="52"/>
      <c r="AC2473" s="52"/>
      <c r="AD2473" s="52"/>
      <c r="AE2473" s="56" t="s">
        <v>607</v>
      </c>
      <c r="AF2473" s="56" t="s">
        <v>607</v>
      </c>
    </row>
    <row r="2474">
      <c r="A2474" s="52" t="s">
        <v>5838</v>
      </c>
      <c r="B2474" s="52" t="s">
        <v>607</v>
      </c>
      <c r="C2474" s="52" t="s">
        <v>607</v>
      </c>
      <c r="D2474" s="65" t="s">
        <v>607</v>
      </c>
      <c r="E2474" s="65" t="s">
        <v>607</v>
      </c>
      <c r="F2474" s="65" t="s">
        <v>607</v>
      </c>
      <c r="G2474" s="65" t="s">
        <v>607</v>
      </c>
      <c r="H2474" s="52" t="s">
        <v>607</v>
      </c>
      <c r="I2474" s="52" t="s">
        <v>607</v>
      </c>
      <c r="J2474" s="52" t="s">
        <v>607</v>
      </c>
      <c r="K2474" s="52" t="s">
        <v>607</v>
      </c>
      <c r="L2474" s="52" t="s">
        <v>607</v>
      </c>
      <c r="M2474" s="52" t="s">
        <v>607</v>
      </c>
      <c r="N2474" s="52" t="s">
        <v>607</v>
      </c>
      <c r="O2474" s="52"/>
      <c r="P2474" s="52"/>
      <c r="Q2474" s="52"/>
      <c r="R2474" s="51" t="b">
        <v>0</v>
      </c>
      <c r="S2474" s="51"/>
      <c r="T2474" s="52"/>
      <c r="U2474" s="51" t="b">
        <v>0</v>
      </c>
      <c r="V2474" s="51" t="b">
        <v>0</v>
      </c>
      <c r="W2474" s="51" t="b">
        <v>0</v>
      </c>
      <c r="X2474" s="51" t="b">
        <v>0</v>
      </c>
      <c r="Y2474" s="51" t="b">
        <v>0</v>
      </c>
      <c r="Z2474" s="51" t="b">
        <v>0</v>
      </c>
      <c r="AA2474" s="68"/>
      <c r="AB2474" s="52"/>
      <c r="AC2474" s="52"/>
      <c r="AD2474" s="52"/>
      <c r="AE2474" s="56" t="s">
        <v>607</v>
      </c>
      <c r="AF2474" s="56" t="s">
        <v>607</v>
      </c>
    </row>
    <row r="2475">
      <c r="A2475" s="52" t="s">
        <v>5839</v>
      </c>
      <c r="B2475" s="52" t="s">
        <v>607</v>
      </c>
      <c r="C2475" s="52" t="s">
        <v>607</v>
      </c>
      <c r="D2475" s="65" t="s">
        <v>607</v>
      </c>
      <c r="E2475" s="65" t="s">
        <v>607</v>
      </c>
      <c r="F2475" s="65" t="s">
        <v>607</v>
      </c>
      <c r="G2475" s="65" t="s">
        <v>607</v>
      </c>
      <c r="H2475" s="52" t="s">
        <v>607</v>
      </c>
      <c r="I2475" s="52" t="s">
        <v>607</v>
      </c>
      <c r="J2475" s="52" t="s">
        <v>607</v>
      </c>
      <c r="K2475" s="52" t="s">
        <v>607</v>
      </c>
      <c r="L2475" s="52" t="s">
        <v>607</v>
      </c>
      <c r="M2475" s="52" t="s">
        <v>607</v>
      </c>
      <c r="N2475" s="52" t="s">
        <v>607</v>
      </c>
      <c r="O2475" s="52"/>
      <c r="P2475" s="52"/>
      <c r="Q2475" s="52"/>
      <c r="R2475" s="51" t="b">
        <v>0</v>
      </c>
      <c r="S2475" s="51"/>
      <c r="T2475" s="52"/>
      <c r="U2475" s="51" t="b">
        <v>0</v>
      </c>
      <c r="V2475" s="51" t="b">
        <v>0</v>
      </c>
      <c r="W2475" s="51" t="b">
        <v>0</v>
      </c>
      <c r="X2475" s="51" t="b">
        <v>0</v>
      </c>
      <c r="Y2475" s="51" t="b">
        <v>0</v>
      </c>
      <c r="Z2475" s="51" t="b">
        <v>0</v>
      </c>
      <c r="AA2475" s="68"/>
      <c r="AB2475" s="52"/>
      <c r="AC2475" s="52"/>
      <c r="AD2475" s="52"/>
      <c r="AE2475" s="56" t="s">
        <v>607</v>
      </c>
      <c r="AF2475" s="56" t="s">
        <v>607</v>
      </c>
    </row>
    <row r="2476">
      <c r="A2476" s="52" t="s">
        <v>5842</v>
      </c>
      <c r="B2476" s="52" t="s">
        <v>607</v>
      </c>
      <c r="C2476" s="52" t="s">
        <v>607</v>
      </c>
      <c r="D2476" s="65" t="s">
        <v>607</v>
      </c>
      <c r="E2476" s="65" t="s">
        <v>607</v>
      </c>
      <c r="F2476" s="65" t="s">
        <v>607</v>
      </c>
      <c r="G2476" s="65" t="s">
        <v>607</v>
      </c>
      <c r="H2476" s="52" t="s">
        <v>607</v>
      </c>
      <c r="I2476" s="52" t="s">
        <v>607</v>
      </c>
      <c r="J2476" s="52" t="s">
        <v>607</v>
      </c>
      <c r="K2476" s="52" t="s">
        <v>607</v>
      </c>
      <c r="L2476" s="52" t="s">
        <v>607</v>
      </c>
      <c r="M2476" s="52" t="s">
        <v>607</v>
      </c>
      <c r="N2476" s="52" t="s">
        <v>607</v>
      </c>
      <c r="O2476" s="52"/>
      <c r="P2476" s="52"/>
      <c r="Q2476" s="52"/>
      <c r="R2476" s="51" t="b">
        <v>0</v>
      </c>
      <c r="S2476" s="51"/>
      <c r="T2476" s="52"/>
      <c r="U2476" s="51" t="b">
        <v>0</v>
      </c>
      <c r="V2476" s="51" t="b">
        <v>0</v>
      </c>
      <c r="W2476" s="51" t="b">
        <v>0</v>
      </c>
      <c r="X2476" s="51" t="b">
        <v>0</v>
      </c>
      <c r="Y2476" s="51" t="b">
        <v>0</v>
      </c>
      <c r="Z2476" s="51" t="b">
        <v>0</v>
      </c>
      <c r="AA2476" s="68"/>
      <c r="AB2476" s="52"/>
      <c r="AC2476" s="52"/>
      <c r="AD2476" s="52"/>
      <c r="AE2476" s="56" t="s">
        <v>607</v>
      </c>
      <c r="AF2476" s="56" t="s">
        <v>607</v>
      </c>
    </row>
    <row r="2477">
      <c r="A2477" s="52" t="s">
        <v>5843</v>
      </c>
      <c r="B2477" s="52" t="s">
        <v>607</v>
      </c>
      <c r="C2477" s="52" t="s">
        <v>607</v>
      </c>
      <c r="D2477" s="65" t="s">
        <v>607</v>
      </c>
      <c r="E2477" s="65" t="s">
        <v>607</v>
      </c>
      <c r="F2477" s="65" t="s">
        <v>607</v>
      </c>
      <c r="G2477" s="65" t="s">
        <v>607</v>
      </c>
      <c r="H2477" s="52" t="s">
        <v>607</v>
      </c>
      <c r="I2477" s="52" t="s">
        <v>607</v>
      </c>
      <c r="J2477" s="52" t="s">
        <v>607</v>
      </c>
      <c r="K2477" s="52" t="s">
        <v>607</v>
      </c>
      <c r="L2477" s="52" t="s">
        <v>607</v>
      </c>
      <c r="M2477" s="52" t="s">
        <v>607</v>
      </c>
      <c r="N2477" s="52" t="s">
        <v>607</v>
      </c>
      <c r="O2477" s="52"/>
      <c r="P2477" s="52"/>
      <c r="Q2477" s="52"/>
      <c r="R2477" s="51" t="b">
        <v>0</v>
      </c>
      <c r="S2477" s="51"/>
      <c r="T2477" s="52"/>
      <c r="U2477" s="51" t="b">
        <v>0</v>
      </c>
      <c r="V2477" s="51" t="b">
        <v>0</v>
      </c>
      <c r="W2477" s="51" t="b">
        <v>0</v>
      </c>
      <c r="X2477" s="51" t="b">
        <v>0</v>
      </c>
      <c r="Y2477" s="51" t="b">
        <v>0</v>
      </c>
      <c r="Z2477" s="51" t="b">
        <v>0</v>
      </c>
      <c r="AA2477" s="68"/>
      <c r="AB2477" s="52"/>
      <c r="AC2477" s="52"/>
      <c r="AD2477" s="52"/>
      <c r="AE2477" s="56" t="s">
        <v>607</v>
      </c>
      <c r="AF2477" s="56" t="s">
        <v>607</v>
      </c>
    </row>
    <row r="2478">
      <c r="A2478" s="52" t="s">
        <v>5846</v>
      </c>
      <c r="B2478" s="52" t="s">
        <v>607</v>
      </c>
      <c r="C2478" s="52" t="s">
        <v>607</v>
      </c>
      <c r="D2478" s="65" t="s">
        <v>607</v>
      </c>
      <c r="E2478" s="65" t="s">
        <v>607</v>
      </c>
      <c r="F2478" s="65" t="s">
        <v>607</v>
      </c>
      <c r="G2478" s="65" t="s">
        <v>607</v>
      </c>
      <c r="H2478" s="52" t="s">
        <v>607</v>
      </c>
      <c r="I2478" s="52" t="s">
        <v>607</v>
      </c>
      <c r="J2478" s="52" t="s">
        <v>607</v>
      </c>
      <c r="K2478" s="52" t="s">
        <v>607</v>
      </c>
      <c r="L2478" s="52" t="s">
        <v>607</v>
      </c>
      <c r="M2478" s="52" t="s">
        <v>607</v>
      </c>
      <c r="N2478" s="52" t="s">
        <v>607</v>
      </c>
      <c r="O2478" s="52"/>
      <c r="P2478" s="52"/>
      <c r="Q2478" s="52"/>
      <c r="R2478" s="51" t="b">
        <v>0</v>
      </c>
      <c r="S2478" s="51"/>
      <c r="T2478" s="52"/>
      <c r="U2478" s="51" t="b">
        <v>0</v>
      </c>
      <c r="V2478" s="51" t="b">
        <v>0</v>
      </c>
      <c r="W2478" s="51" t="b">
        <v>0</v>
      </c>
      <c r="X2478" s="51" t="b">
        <v>0</v>
      </c>
      <c r="Y2478" s="51" t="b">
        <v>0</v>
      </c>
      <c r="Z2478" s="51" t="b">
        <v>0</v>
      </c>
      <c r="AA2478" s="68"/>
      <c r="AB2478" s="52"/>
      <c r="AC2478" s="52"/>
      <c r="AD2478" s="52"/>
      <c r="AE2478" s="56" t="s">
        <v>607</v>
      </c>
      <c r="AF2478" s="56" t="s">
        <v>607</v>
      </c>
    </row>
    <row r="2479">
      <c r="A2479" s="52" t="s">
        <v>5848</v>
      </c>
      <c r="B2479" s="52" t="s">
        <v>607</v>
      </c>
      <c r="C2479" s="52" t="s">
        <v>607</v>
      </c>
      <c r="D2479" s="65" t="s">
        <v>607</v>
      </c>
      <c r="E2479" s="65" t="s">
        <v>607</v>
      </c>
      <c r="F2479" s="65" t="s">
        <v>607</v>
      </c>
      <c r="G2479" s="65" t="s">
        <v>607</v>
      </c>
      <c r="H2479" s="52" t="s">
        <v>607</v>
      </c>
      <c r="I2479" s="52" t="s">
        <v>607</v>
      </c>
      <c r="J2479" s="52" t="s">
        <v>607</v>
      </c>
      <c r="K2479" s="52" t="s">
        <v>607</v>
      </c>
      <c r="L2479" s="52" t="s">
        <v>607</v>
      </c>
      <c r="M2479" s="52" t="s">
        <v>607</v>
      </c>
      <c r="N2479" s="52" t="s">
        <v>607</v>
      </c>
      <c r="O2479" s="52"/>
      <c r="P2479" s="52"/>
      <c r="Q2479" s="52"/>
      <c r="R2479" s="51" t="b">
        <v>0</v>
      </c>
      <c r="S2479" s="51"/>
      <c r="T2479" s="52"/>
      <c r="U2479" s="51" t="b">
        <v>0</v>
      </c>
      <c r="V2479" s="51" t="b">
        <v>0</v>
      </c>
      <c r="W2479" s="51" t="b">
        <v>0</v>
      </c>
      <c r="X2479" s="51" t="b">
        <v>0</v>
      </c>
      <c r="Y2479" s="51" t="b">
        <v>0</v>
      </c>
      <c r="Z2479" s="51" t="b">
        <v>0</v>
      </c>
      <c r="AA2479" s="68"/>
      <c r="AB2479" s="52"/>
      <c r="AC2479" s="52"/>
      <c r="AD2479" s="52"/>
      <c r="AE2479" s="56" t="s">
        <v>607</v>
      </c>
      <c r="AF2479" s="56" t="s">
        <v>607</v>
      </c>
    </row>
    <row r="2480">
      <c r="A2480" s="52" t="s">
        <v>5851</v>
      </c>
      <c r="B2480" s="52" t="s">
        <v>607</v>
      </c>
      <c r="C2480" s="52" t="s">
        <v>607</v>
      </c>
      <c r="D2480" s="65" t="s">
        <v>607</v>
      </c>
      <c r="E2480" s="65" t="s">
        <v>607</v>
      </c>
      <c r="F2480" s="65" t="s">
        <v>607</v>
      </c>
      <c r="G2480" s="65" t="s">
        <v>607</v>
      </c>
      <c r="H2480" s="52" t="s">
        <v>607</v>
      </c>
      <c r="I2480" s="52" t="s">
        <v>607</v>
      </c>
      <c r="J2480" s="52" t="s">
        <v>607</v>
      </c>
      <c r="K2480" s="52" t="s">
        <v>607</v>
      </c>
      <c r="L2480" s="52" t="s">
        <v>607</v>
      </c>
      <c r="M2480" s="52" t="s">
        <v>607</v>
      </c>
      <c r="N2480" s="52" t="s">
        <v>607</v>
      </c>
      <c r="O2480" s="52"/>
      <c r="P2480" s="52"/>
      <c r="Q2480" s="52"/>
      <c r="R2480" s="51" t="b">
        <v>0</v>
      </c>
      <c r="S2480" s="51"/>
      <c r="T2480" s="52"/>
      <c r="U2480" s="51" t="b">
        <v>0</v>
      </c>
      <c r="V2480" s="51" t="b">
        <v>0</v>
      </c>
      <c r="W2480" s="51" t="b">
        <v>0</v>
      </c>
      <c r="X2480" s="51" t="b">
        <v>0</v>
      </c>
      <c r="Y2480" s="51" t="b">
        <v>0</v>
      </c>
      <c r="Z2480" s="51" t="b">
        <v>0</v>
      </c>
      <c r="AA2480" s="68"/>
      <c r="AB2480" s="52"/>
      <c r="AC2480" s="52"/>
      <c r="AD2480" s="52"/>
      <c r="AE2480" s="56" t="s">
        <v>607</v>
      </c>
      <c r="AF2480" s="56" t="s">
        <v>607</v>
      </c>
    </row>
    <row r="2481">
      <c r="A2481" s="52" t="s">
        <v>5852</v>
      </c>
      <c r="B2481" s="52" t="s">
        <v>607</v>
      </c>
      <c r="C2481" s="52" t="s">
        <v>607</v>
      </c>
      <c r="D2481" s="65" t="s">
        <v>607</v>
      </c>
      <c r="E2481" s="65" t="s">
        <v>607</v>
      </c>
      <c r="F2481" s="65" t="s">
        <v>607</v>
      </c>
      <c r="G2481" s="65" t="s">
        <v>607</v>
      </c>
      <c r="H2481" s="52" t="s">
        <v>607</v>
      </c>
      <c r="I2481" s="52" t="s">
        <v>607</v>
      </c>
      <c r="J2481" s="52" t="s">
        <v>607</v>
      </c>
      <c r="K2481" s="52" t="s">
        <v>607</v>
      </c>
      <c r="L2481" s="52" t="s">
        <v>607</v>
      </c>
      <c r="M2481" s="52" t="s">
        <v>607</v>
      </c>
      <c r="N2481" s="52" t="s">
        <v>607</v>
      </c>
      <c r="O2481" s="52"/>
      <c r="P2481" s="52"/>
      <c r="Q2481" s="52"/>
      <c r="R2481" s="51" t="b">
        <v>0</v>
      </c>
      <c r="S2481" s="51"/>
      <c r="T2481" s="52"/>
      <c r="U2481" s="51" t="b">
        <v>0</v>
      </c>
      <c r="V2481" s="51" t="b">
        <v>0</v>
      </c>
      <c r="W2481" s="51" t="b">
        <v>0</v>
      </c>
      <c r="X2481" s="51" t="b">
        <v>0</v>
      </c>
      <c r="Y2481" s="51" t="b">
        <v>0</v>
      </c>
      <c r="Z2481" s="51" t="b">
        <v>0</v>
      </c>
      <c r="AA2481" s="68"/>
      <c r="AB2481" s="52"/>
      <c r="AC2481" s="52"/>
      <c r="AD2481" s="52"/>
      <c r="AE2481" s="56" t="s">
        <v>607</v>
      </c>
      <c r="AF2481" s="56" t="s">
        <v>607</v>
      </c>
    </row>
    <row r="2482">
      <c r="A2482" s="52" t="s">
        <v>5853</v>
      </c>
      <c r="B2482" s="52" t="s">
        <v>607</v>
      </c>
      <c r="C2482" s="52" t="s">
        <v>607</v>
      </c>
      <c r="D2482" s="65" t="s">
        <v>607</v>
      </c>
      <c r="E2482" s="65" t="s">
        <v>607</v>
      </c>
      <c r="F2482" s="65" t="s">
        <v>607</v>
      </c>
      <c r="G2482" s="65" t="s">
        <v>607</v>
      </c>
      <c r="H2482" s="52" t="s">
        <v>607</v>
      </c>
      <c r="I2482" s="52" t="s">
        <v>607</v>
      </c>
      <c r="J2482" s="52" t="s">
        <v>607</v>
      </c>
      <c r="K2482" s="52" t="s">
        <v>607</v>
      </c>
      <c r="L2482" s="52" t="s">
        <v>607</v>
      </c>
      <c r="M2482" s="52" t="s">
        <v>607</v>
      </c>
      <c r="N2482" s="52" t="s">
        <v>607</v>
      </c>
      <c r="O2482" s="52"/>
      <c r="P2482" s="52"/>
      <c r="Q2482" s="52"/>
      <c r="R2482" s="51" t="b">
        <v>0</v>
      </c>
      <c r="S2482" s="51"/>
      <c r="T2482" s="52"/>
      <c r="U2482" s="51" t="b">
        <v>0</v>
      </c>
      <c r="V2482" s="51" t="b">
        <v>0</v>
      </c>
      <c r="W2482" s="51" t="b">
        <v>0</v>
      </c>
      <c r="X2482" s="51" t="b">
        <v>0</v>
      </c>
      <c r="Y2482" s="51" t="b">
        <v>0</v>
      </c>
      <c r="Z2482" s="51" t="b">
        <v>0</v>
      </c>
      <c r="AA2482" s="68"/>
      <c r="AB2482" s="52"/>
      <c r="AC2482" s="52"/>
      <c r="AD2482" s="52"/>
      <c r="AE2482" s="56" t="s">
        <v>607</v>
      </c>
      <c r="AF2482" s="56" t="s">
        <v>607</v>
      </c>
    </row>
    <row r="2483">
      <c r="A2483" s="52" t="s">
        <v>5854</v>
      </c>
      <c r="B2483" s="52" t="s">
        <v>607</v>
      </c>
      <c r="C2483" s="52" t="s">
        <v>607</v>
      </c>
      <c r="D2483" s="65" t="s">
        <v>607</v>
      </c>
      <c r="E2483" s="65" t="s">
        <v>607</v>
      </c>
      <c r="F2483" s="65" t="s">
        <v>607</v>
      </c>
      <c r="G2483" s="65" t="s">
        <v>607</v>
      </c>
      <c r="H2483" s="52" t="s">
        <v>607</v>
      </c>
      <c r="I2483" s="52" t="s">
        <v>607</v>
      </c>
      <c r="J2483" s="52" t="s">
        <v>607</v>
      </c>
      <c r="K2483" s="52" t="s">
        <v>607</v>
      </c>
      <c r="L2483" s="52" t="s">
        <v>607</v>
      </c>
      <c r="M2483" s="52" t="s">
        <v>607</v>
      </c>
      <c r="N2483" s="52" t="s">
        <v>607</v>
      </c>
      <c r="O2483" s="52"/>
      <c r="P2483" s="52"/>
      <c r="Q2483" s="52"/>
      <c r="R2483" s="51" t="b">
        <v>0</v>
      </c>
      <c r="S2483" s="51"/>
      <c r="T2483" s="52"/>
      <c r="U2483" s="51" t="b">
        <v>0</v>
      </c>
      <c r="V2483" s="51" t="b">
        <v>0</v>
      </c>
      <c r="W2483" s="51" t="b">
        <v>0</v>
      </c>
      <c r="X2483" s="51" t="b">
        <v>0</v>
      </c>
      <c r="Y2483" s="51" t="b">
        <v>0</v>
      </c>
      <c r="Z2483" s="51" t="b">
        <v>0</v>
      </c>
      <c r="AA2483" s="68"/>
      <c r="AB2483" s="52"/>
      <c r="AC2483" s="52"/>
      <c r="AD2483" s="52"/>
      <c r="AE2483" s="56" t="s">
        <v>607</v>
      </c>
      <c r="AF2483" s="56" t="s">
        <v>607</v>
      </c>
    </row>
    <row r="2484">
      <c r="A2484" s="52" t="s">
        <v>5859</v>
      </c>
      <c r="B2484" s="52" t="s">
        <v>607</v>
      </c>
      <c r="C2484" s="52" t="s">
        <v>607</v>
      </c>
      <c r="D2484" s="65" t="s">
        <v>607</v>
      </c>
      <c r="E2484" s="65" t="s">
        <v>607</v>
      </c>
      <c r="F2484" s="65" t="s">
        <v>607</v>
      </c>
      <c r="G2484" s="65" t="s">
        <v>607</v>
      </c>
      <c r="H2484" s="52" t="s">
        <v>607</v>
      </c>
      <c r="I2484" s="52" t="s">
        <v>607</v>
      </c>
      <c r="J2484" s="52" t="s">
        <v>607</v>
      </c>
      <c r="K2484" s="52" t="s">
        <v>607</v>
      </c>
      <c r="L2484" s="52" t="s">
        <v>607</v>
      </c>
      <c r="M2484" s="52" t="s">
        <v>607</v>
      </c>
      <c r="N2484" s="52" t="s">
        <v>607</v>
      </c>
      <c r="O2484" s="52"/>
      <c r="P2484" s="52"/>
      <c r="Q2484" s="52"/>
      <c r="R2484" s="51" t="b">
        <v>0</v>
      </c>
      <c r="S2484" s="51"/>
      <c r="T2484" s="52"/>
      <c r="U2484" s="51" t="b">
        <v>0</v>
      </c>
      <c r="V2484" s="51" t="b">
        <v>0</v>
      </c>
      <c r="W2484" s="51" t="b">
        <v>0</v>
      </c>
      <c r="X2484" s="51" t="b">
        <v>0</v>
      </c>
      <c r="Y2484" s="51" t="b">
        <v>0</v>
      </c>
      <c r="Z2484" s="51" t="b">
        <v>0</v>
      </c>
      <c r="AA2484" s="68"/>
      <c r="AB2484" s="52"/>
      <c r="AC2484" s="52"/>
      <c r="AD2484" s="52"/>
      <c r="AE2484" s="56" t="s">
        <v>607</v>
      </c>
      <c r="AF2484" s="56" t="s">
        <v>607</v>
      </c>
    </row>
    <row r="2485">
      <c r="A2485" s="52" t="s">
        <v>5860</v>
      </c>
      <c r="B2485" s="52" t="s">
        <v>607</v>
      </c>
      <c r="C2485" s="52" t="s">
        <v>607</v>
      </c>
      <c r="D2485" s="65" t="s">
        <v>607</v>
      </c>
      <c r="E2485" s="65" t="s">
        <v>607</v>
      </c>
      <c r="F2485" s="65" t="s">
        <v>607</v>
      </c>
      <c r="G2485" s="65" t="s">
        <v>607</v>
      </c>
      <c r="H2485" s="52" t="s">
        <v>607</v>
      </c>
      <c r="I2485" s="52" t="s">
        <v>607</v>
      </c>
      <c r="J2485" s="52" t="s">
        <v>607</v>
      </c>
      <c r="K2485" s="52" t="s">
        <v>607</v>
      </c>
      <c r="L2485" s="52" t="s">
        <v>607</v>
      </c>
      <c r="M2485" s="52" t="s">
        <v>607</v>
      </c>
      <c r="N2485" s="52" t="s">
        <v>607</v>
      </c>
      <c r="O2485" s="52"/>
      <c r="P2485" s="52"/>
      <c r="Q2485" s="52"/>
      <c r="R2485" s="51" t="b">
        <v>0</v>
      </c>
      <c r="S2485" s="51"/>
      <c r="T2485" s="52"/>
      <c r="U2485" s="51" t="b">
        <v>0</v>
      </c>
      <c r="V2485" s="51" t="b">
        <v>0</v>
      </c>
      <c r="W2485" s="51" t="b">
        <v>0</v>
      </c>
      <c r="X2485" s="51" t="b">
        <v>0</v>
      </c>
      <c r="Y2485" s="51" t="b">
        <v>0</v>
      </c>
      <c r="Z2485" s="51" t="b">
        <v>0</v>
      </c>
      <c r="AA2485" s="68"/>
      <c r="AB2485" s="52"/>
      <c r="AC2485" s="52"/>
      <c r="AD2485" s="52"/>
      <c r="AE2485" s="56" t="s">
        <v>607</v>
      </c>
      <c r="AF2485" s="56" t="s">
        <v>607</v>
      </c>
    </row>
    <row r="2486">
      <c r="A2486" s="52" t="s">
        <v>5865</v>
      </c>
      <c r="B2486" s="52" t="s">
        <v>607</v>
      </c>
      <c r="C2486" s="52" t="s">
        <v>607</v>
      </c>
      <c r="D2486" s="65" t="s">
        <v>607</v>
      </c>
      <c r="E2486" s="65" t="s">
        <v>607</v>
      </c>
      <c r="F2486" s="65" t="s">
        <v>607</v>
      </c>
      <c r="G2486" s="65" t="s">
        <v>607</v>
      </c>
      <c r="H2486" s="52" t="s">
        <v>607</v>
      </c>
      <c r="I2486" s="52" t="s">
        <v>607</v>
      </c>
      <c r="J2486" s="52" t="s">
        <v>607</v>
      </c>
      <c r="K2486" s="52" t="s">
        <v>607</v>
      </c>
      <c r="L2486" s="52" t="s">
        <v>607</v>
      </c>
      <c r="M2486" s="52" t="s">
        <v>607</v>
      </c>
      <c r="N2486" s="52" t="s">
        <v>607</v>
      </c>
      <c r="O2486" s="52"/>
      <c r="P2486" s="52"/>
      <c r="Q2486" s="52"/>
      <c r="R2486" s="51" t="b">
        <v>0</v>
      </c>
      <c r="S2486" s="51"/>
      <c r="T2486" s="52"/>
      <c r="U2486" s="51" t="b">
        <v>0</v>
      </c>
      <c r="V2486" s="51" t="b">
        <v>0</v>
      </c>
      <c r="W2486" s="51" t="b">
        <v>0</v>
      </c>
      <c r="X2486" s="51" t="b">
        <v>0</v>
      </c>
      <c r="Y2486" s="51" t="b">
        <v>0</v>
      </c>
      <c r="Z2486" s="51" t="b">
        <v>0</v>
      </c>
      <c r="AA2486" s="68"/>
      <c r="AB2486" s="52"/>
      <c r="AC2486" s="52"/>
      <c r="AD2486" s="52"/>
      <c r="AE2486" s="56" t="s">
        <v>607</v>
      </c>
      <c r="AF2486" s="56" t="s">
        <v>607</v>
      </c>
    </row>
    <row r="2487">
      <c r="A2487" s="52" t="s">
        <v>5866</v>
      </c>
      <c r="B2487" s="52" t="s">
        <v>607</v>
      </c>
      <c r="C2487" s="52" t="s">
        <v>607</v>
      </c>
      <c r="D2487" s="65" t="s">
        <v>607</v>
      </c>
      <c r="E2487" s="65" t="s">
        <v>607</v>
      </c>
      <c r="F2487" s="65" t="s">
        <v>607</v>
      </c>
      <c r="G2487" s="65" t="s">
        <v>607</v>
      </c>
      <c r="H2487" s="52" t="s">
        <v>607</v>
      </c>
      <c r="I2487" s="52" t="s">
        <v>607</v>
      </c>
      <c r="J2487" s="52" t="s">
        <v>607</v>
      </c>
      <c r="K2487" s="52" t="s">
        <v>607</v>
      </c>
      <c r="L2487" s="52" t="s">
        <v>607</v>
      </c>
      <c r="M2487" s="52" t="s">
        <v>607</v>
      </c>
      <c r="N2487" s="52" t="s">
        <v>607</v>
      </c>
      <c r="O2487" s="52"/>
      <c r="P2487" s="52"/>
      <c r="Q2487" s="52"/>
      <c r="R2487" s="51" t="b">
        <v>0</v>
      </c>
      <c r="S2487" s="51"/>
      <c r="T2487" s="52"/>
      <c r="U2487" s="51" t="b">
        <v>0</v>
      </c>
      <c r="V2487" s="51" t="b">
        <v>0</v>
      </c>
      <c r="W2487" s="51" t="b">
        <v>0</v>
      </c>
      <c r="X2487" s="51" t="b">
        <v>0</v>
      </c>
      <c r="Y2487" s="51" t="b">
        <v>0</v>
      </c>
      <c r="Z2487" s="51" t="b">
        <v>0</v>
      </c>
      <c r="AA2487" s="68"/>
      <c r="AB2487" s="52"/>
      <c r="AC2487" s="52"/>
      <c r="AD2487" s="52"/>
      <c r="AE2487" s="56" t="s">
        <v>607</v>
      </c>
      <c r="AF2487" s="56" t="s">
        <v>607</v>
      </c>
    </row>
    <row r="2488">
      <c r="A2488" s="52" t="s">
        <v>5867</v>
      </c>
      <c r="B2488" s="52" t="s">
        <v>607</v>
      </c>
      <c r="C2488" s="52" t="s">
        <v>607</v>
      </c>
      <c r="D2488" s="65" t="s">
        <v>607</v>
      </c>
      <c r="E2488" s="65" t="s">
        <v>607</v>
      </c>
      <c r="F2488" s="65" t="s">
        <v>607</v>
      </c>
      <c r="G2488" s="65" t="s">
        <v>607</v>
      </c>
      <c r="H2488" s="52" t="s">
        <v>607</v>
      </c>
      <c r="I2488" s="52" t="s">
        <v>607</v>
      </c>
      <c r="J2488" s="52" t="s">
        <v>607</v>
      </c>
      <c r="K2488" s="52" t="s">
        <v>607</v>
      </c>
      <c r="L2488" s="52" t="s">
        <v>607</v>
      </c>
      <c r="M2488" s="52" t="s">
        <v>607</v>
      </c>
      <c r="N2488" s="52" t="s">
        <v>607</v>
      </c>
      <c r="O2488" s="52"/>
      <c r="P2488" s="52"/>
      <c r="Q2488" s="52"/>
      <c r="R2488" s="51" t="b">
        <v>0</v>
      </c>
      <c r="S2488" s="51"/>
      <c r="T2488" s="52"/>
      <c r="U2488" s="51" t="b">
        <v>0</v>
      </c>
      <c r="V2488" s="51" t="b">
        <v>0</v>
      </c>
      <c r="W2488" s="51" t="b">
        <v>0</v>
      </c>
      <c r="X2488" s="51" t="b">
        <v>0</v>
      </c>
      <c r="Y2488" s="51" t="b">
        <v>0</v>
      </c>
      <c r="Z2488" s="51" t="b">
        <v>0</v>
      </c>
      <c r="AA2488" s="68"/>
      <c r="AB2488" s="52"/>
      <c r="AC2488" s="52"/>
      <c r="AD2488" s="52"/>
      <c r="AE2488" s="56" t="s">
        <v>607</v>
      </c>
      <c r="AF2488" s="56" t="s">
        <v>607</v>
      </c>
    </row>
    <row r="2489">
      <c r="A2489" s="52" t="s">
        <v>5870</v>
      </c>
      <c r="B2489" s="52" t="s">
        <v>607</v>
      </c>
      <c r="C2489" s="52" t="s">
        <v>607</v>
      </c>
      <c r="D2489" s="65" t="s">
        <v>607</v>
      </c>
      <c r="E2489" s="65" t="s">
        <v>607</v>
      </c>
      <c r="F2489" s="65" t="s">
        <v>607</v>
      </c>
      <c r="G2489" s="65" t="s">
        <v>607</v>
      </c>
      <c r="H2489" s="52" t="s">
        <v>607</v>
      </c>
      <c r="I2489" s="52" t="s">
        <v>607</v>
      </c>
      <c r="J2489" s="52" t="s">
        <v>607</v>
      </c>
      <c r="K2489" s="52" t="s">
        <v>607</v>
      </c>
      <c r="L2489" s="52" t="s">
        <v>607</v>
      </c>
      <c r="M2489" s="52" t="s">
        <v>607</v>
      </c>
      <c r="N2489" s="52" t="s">
        <v>607</v>
      </c>
      <c r="O2489" s="52"/>
      <c r="P2489" s="52"/>
      <c r="Q2489" s="52"/>
      <c r="R2489" s="51" t="b">
        <v>0</v>
      </c>
      <c r="S2489" s="51"/>
      <c r="T2489" s="52"/>
      <c r="U2489" s="51" t="b">
        <v>0</v>
      </c>
      <c r="V2489" s="51" t="b">
        <v>0</v>
      </c>
      <c r="W2489" s="51" t="b">
        <v>0</v>
      </c>
      <c r="X2489" s="51" t="b">
        <v>0</v>
      </c>
      <c r="Y2489" s="51" t="b">
        <v>0</v>
      </c>
      <c r="Z2489" s="51" t="b">
        <v>0</v>
      </c>
      <c r="AA2489" s="68"/>
      <c r="AB2489" s="52"/>
      <c r="AC2489" s="52"/>
      <c r="AD2489" s="52"/>
      <c r="AE2489" s="56" t="s">
        <v>607</v>
      </c>
      <c r="AF2489" s="56" t="s">
        <v>607</v>
      </c>
    </row>
    <row r="2490">
      <c r="A2490" s="52" t="s">
        <v>5872</v>
      </c>
      <c r="B2490" s="52" t="s">
        <v>607</v>
      </c>
      <c r="C2490" s="52" t="s">
        <v>607</v>
      </c>
      <c r="D2490" s="65" t="s">
        <v>607</v>
      </c>
      <c r="E2490" s="65" t="s">
        <v>607</v>
      </c>
      <c r="F2490" s="65" t="s">
        <v>607</v>
      </c>
      <c r="G2490" s="65" t="s">
        <v>607</v>
      </c>
      <c r="H2490" s="52" t="s">
        <v>607</v>
      </c>
      <c r="I2490" s="52" t="s">
        <v>607</v>
      </c>
      <c r="J2490" s="52" t="s">
        <v>607</v>
      </c>
      <c r="K2490" s="52" t="s">
        <v>607</v>
      </c>
      <c r="L2490" s="52" t="s">
        <v>607</v>
      </c>
      <c r="M2490" s="52" t="s">
        <v>607</v>
      </c>
      <c r="N2490" s="52" t="s">
        <v>607</v>
      </c>
      <c r="O2490" s="52"/>
      <c r="P2490" s="52"/>
      <c r="Q2490" s="52"/>
      <c r="R2490" s="51" t="b">
        <v>0</v>
      </c>
      <c r="S2490" s="51"/>
      <c r="T2490" s="52"/>
      <c r="U2490" s="51" t="b">
        <v>0</v>
      </c>
      <c r="V2490" s="51" t="b">
        <v>0</v>
      </c>
      <c r="W2490" s="51" t="b">
        <v>0</v>
      </c>
      <c r="X2490" s="51" t="b">
        <v>0</v>
      </c>
      <c r="Y2490" s="51" t="b">
        <v>0</v>
      </c>
      <c r="Z2490" s="51" t="b">
        <v>0</v>
      </c>
      <c r="AA2490" s="68"/>
      <c r="AB2490" s="52"/>
      <c r="AC2490" s="52"/>
      <c r="AD2490" s="52"/>
      <c r="AE2490" s="56" t="s">
        <v>607</v>
      </c>
      <c r="AF2490" s="56" t="s">
        <v>607</v>
      </c>
    </row>
    <row r="2491">
      <c r="A2491" s="52" t="s">
        <v>5873</v>
      </c>
      <c r="B2491" s="52" t="s">
        <v>607</v>
      </c>
      <c r="C2491" s="52" t="s">
        <v>607</v>
      </c>
      <c r="D2491" s="65" t="s">
        <v>607</v>
      </c>
      <c r="E2491" s="65" t="s">
        <v>607</v>
      </c>
      <c r="F2491" s="65" t="s">
        <v>607</v>
      </c>
      <c r="G2491" s="65" t="s">
        <v>607</v>
      </c>
      <c r="H2491" s="52" t="s">
        <v>607</v>
      </c>
      <c r="I2491" s="52" t="s">
        <v>607</v>
      </c>
      <c r="J2491" s="52" t="s">
        <v>607</v>
      </c>
      <c r="K2491" s="52" t="s">
        <v>607</v>
      </c>
      <c r="L2491" s="52" t="s">
        <v>607</v>
      </c>
      <c r="M2491" s="52" t="s">
        <v>607</v>
      </c>
      <c r="N2491" s="52" t="s">
        <v>607</v>
      </c>
      <c r="O2491" s="52"/>
      <c r="P2491" s="52"/>
      <c r="Q2491" s="52"/>
      <c r="R2491" s="51" t="b">
        <v>0</v>
      </c>
      <c r="S2491" s="51"/>
      <c r="T2491" s="52"/>
      <c r="U2491" s="51" t="b">
        <v>0</v>
      </c>
      <c r="V2491" s="51" t="b">
        <v>0</v>
      </c>
      <c r="W2491" s="51" t="b">
        <v>0</v>
      </c>
      <c r="X2491" s="51" t="b">
        <v>0</v>
      </c>
      <c r="Y2491" s="51" t="b">
        <v>0</v>
      </c>
      <c r="Z2491" s="51" t="b">
        <v>0</v>
      </c>
      <c r="AA2491" s="68"/>
      <c r="AB2491" s="52"/>
      <c r="AC2491" s="52"/>
      <c r="AD2491" s="52"/>
      <c r="AE2491" s="56" t="s">
        <v>607</v>
      </c>
      <c r="AF2491" s="56" t="s">
        <v>607</v>
      </c>
    </row>
    <row r="2492">
      <c r="A2492" s="52" t="s">
        <v>5877</v>
      </c>
      <c r="B2492" s="52" t="s">
        <v>607</v>
      </c>
      <c r="C2492" s="52" t="s">
        <v>607</v>
      </c>
      <c r="D2492" s="65" t="s">
        <v>607</v>
      </c>
      <c r="E2492" s="65" t="s">
        <v>607</v>
      </c>
      <c r="F2492" s="65" t="s">
        <v>607</v>
      </c>
      <c r="G2492" s="65" t="s">
        <v>607</v>
      </c>
      <c r="H2492" s="52" t="s">
        <v>607</v>
      </c>
      <c r="I2492" s="52" t="s">
        <v>607</v>
      </c>
      <c r="J2492" s="52" t="s">
        <v>607</v>
      </c>
      <c r="K2492" s="52" t="s">
        <v>607</v>
      </c>
      <c r="L2492" s="52" t="s">
        <v>607</v>
      </c>
      <c r="M2492" s="52" t="s">
        <v>607</v>
      </c>
      <c r="N2492" s="52" t="s">
        <v>607</v>
      </c>
      <c r="O2492" s="52"/>
      <c r="P2492" s="52"/>
      <c r="Q2492" s="52"/>
      <c r="R2492" s="51" t="b">
        <v>0</v>
      </c>
      <c r="S2492" s="51"/>
      <c r="T2492" s="52"/>
      <c r="U2492" s="51" t="b">
        <v>0</v>
      </c>
      <c r="V2492" s="51" t="b">
        <v>0</v>
      </c>
      <c r="W2492" s="51" t="b">
        <v>0</v>
      </c>
      <c r="X2492" s="51" t="b">
        <v>0</v>
      </c>
      <c r="Y2492" s="51" t="b">
        <v>0</v>
      </c>
      <c r="Z2492" s="51" t="b">
        <v>0</v>
      </c>
      <c r="AA2492" s="68"/>
      <c r="AB2492" s="52"/>
      <c r="AC2492" s="52"/>
      <c r="AD2492" s="52"/>
      <c r="AE2492" s="56" t="s">
        <v>607</v>
      </c>
      <c r="AF2492" s="56" t="s">
        <v>607</v>
      </c>
    </row>
    <row r="2493">
      <c r="A2493" s="52" t="s">
        <v>5878</v>
      </c>
      <c r="B2493" s="52" t="s">
        <v>607</v>
      </c>
      <c r="C2493" s="52" t="s">
        <v>607</v>
      </c>
      <c r="D2493" s="65" t="s">
        <v>607</v>
      </c>
      <c r="E2493" s="65" t="s">
        <v>607</v>
      </c>
      <c r="F2493" s="65" t="s">
        <v>607</v>
      </c>
      <c r="G2493" s="65" t="s">
        <v>607</v>
      </c>
      <c r="H2493" s="52" t="s">
        <v>607</v>
      </c>
      <c r="I2493" s="52" t="s">
        <v>607</v>
      </c>
      <c r="J2493" s="52" t="s">
        <v>607</v>
      </c>
      <c r="K2493" s="52" t="s">
        <v>607</v>
      </c>
      <c r="L2493" s="52" t="s">
        <v>607</v>
      </c>
      <c r="M2493" s="52" t="s">
        <v>607</v>
      </c>
      <c r="N2493" s="52" t="s">
        <v>607</v>
      </c>
      <c r="O2493" s="52"/>
      <c r="P2493" s="52"/>
      <c r="Q2493" s="52"/>
      <c r="R2493" s="51" t="b">
        <v>0</v>
      </c>
      <c r="S2493" s="51"/>
      <c r="T2493" s="52"/>
      <c r="U2493" s="51" t="b">
        <v>0</v>
      </c>
      <c r="V2493" s="51" t="b">
        <v>0</v>
      </c>
      <c r="W2493" s="51" t="b">
        <v>0</v>
      </c>
      <c r="X2493" s="51" t="b">
        <v>0</v>
      </c>
      <c r="Y2493" s="51" t="b">
        <v>0</v>
      </c>
      <c r="Z2493" s="51" t="b">
        <v>0</v>
      </c>
      <c r="AA2493" s="68"/>
      <c r="AB2493" s="52"/>
      <c r="AC2493" s="52"/>
      <c r="AD2493" s="52"/>
      <c r="AE2493" s="56" t="s">
        <v>607</v>
      </c>
      <c r="AF2493" s="56" t="s">
        <v>607</v>
      </c>
    </row>
    <row r="2494">
      <c r="A2494" s="52" t="s">
        <v>5880</v>
      </c>
      <c r="B2494" s="52" t="s">
        <v>607</v>
      </c>
      <c r="C2494" s="52" t="s">
        <v>607</v>
      </c>
      <c r="D2494" s="65" t="s">
        <v>607</v>
      </c>
      <c r="E2494" s="65" t="s">
        <v>607</v>
      </c>
      <c r="F2494" s="65" t="s">
        <v>607</v>
      </c>
      <c r="G2494" s="65" t="s">
        <v>607</v>
      </c>
      <c r="H2494" s="52" t="s">
        <v>607</v>
      </c>
      <c r="I2494" s="52" t="s">
        <v>607</v>
      </c>
      <c r="J2494" s="52" t="s">
        <v>607</v>
      </c>
      <c r="K2494" s="52" t="s">
        <v>607</v>
      </c>
      <c r="L2494" s="52" t="s">
        <v>607</v>
      </c>
      <c r="M2494" s="52" t="s">
        <v>607</v>
      </c>
      <c r="N2494" s="52" t="s">
        <v>607</v>
      </c>
      <c r="O2494" s="52"/>
      <c r="P2494" s="52"/>
      <c r="Q2494" s="52"/>
      <c r="R2494" s="51" t="b">
        <v>0</v>
      </c>
      <c r="S2494" s="51"/>
      <c r="T2494" s="52"/>
      <c r="U2494" s="51" t="b">
        <v>0</v>
      </c>
      <c r="V2494" s="51" t="b">
        <v>0</v>
      </c>
      <c r="W2494" s="51" t="b">
        <v>0</v>
      </c>
      <c r="X2494" s="51" t="b">
        <v>0</v>
      </c>
      <c r="Y2494" s="51" t="b">
        <v>0</v>
      </c>
      <c r="Z2494" s="51" t="b">
        <v>0</v>
      </c>
      <c r="AA2494" s="68"/>
      <c r="AB2494" s="52"/>
      <c r="AC2494" s="52"/>
      <c r="AD2494" s="52"/>
      <c r="AE2494" s="56" t="s">
        <v>607</v>
      </c>
      <c r="AF2494" s="56" t="s">
        <v>607</v>
      </c>
    </row>
    <row r="2495">
      <c r="A2495" s="52" t="s">
        <v>5883</v>
      </c>
      <c r="B2495" s="52" t="s">
        <v>607</v>
      </c>
      <c r="C2495" s="52" t="s">
        <v>607</v>
      </c>
      <c r="D2495" s="65" t="s">
        <v>607</v>
      </c>
      <c r="E2495" s="65" t="s">
        <v>607</v>
      </c>
      <c r="F2495" s="65" t="s">
        <v>607</v>
      </c>
      <c r="G2495" s="65" t="s">
        <v>607</v>
      </c>
      <c r="H2495" s="52" t="s">
        <v>607</v>
      </c>
      <c r="I2495" s="52" t="s">
        <v>607</v>
      </c>
      <c r="J2495" s="52" t="s">
        <v>607</v>
      </c>
      <c r="K2495" s="52" t="s">
        <v>607</v>
      </c>
      <c r="L2495" s="52" t="s">
        <v>607</v>
      </c>
      <c r="M2495" s="52" t="s">
        <v>607</v>
      </c>
      <c r="N2495" s="52" t="s">
        <v>607</v>
      </c>
      <c r="O2495" s="52"/>
      <c r="P2495" s="52"/>
      <c r="Q2495" s="52"/>
      <c r="R2495" s="51" t="b">
        <v>0</v>
      </c>
      <c r="S2495" s="51"/>
      <c r="T2495" s="52"/>
      <c r="U2495" s="51" t="b">
        <v>0</v>
      </c>
      <c r="V2495" s="51" t="b">
        <v>0</v>
      </c>
      <c r="W2495" s="51" t="b">
        <v>0</v>
      </c>
      <c r="X2495" s="51" t="b">
        <v>0</v>
      </c>
      <c r="Y2495" s="51" t="b">
        <v>0</v>
      </c>
      <c r="Z2495" s="51" t="b">
        <v>0</v>
      </c>
      <c r="AA2495" s="68"/>
      <c r="AB2495" s="52"/>
      <c r="AC2495" s="52"/>
      <c r="AD2495" s="52"/>
      <c r="AE2495" s="56" t="s">
        <v>607</v>
      </c>
      <c r="AF2495" s="56" t="s">
        <v>607</v>
      </c>
    </row>
    <row r="2496">
      <c r="A2496" s="52" t="s">
        <v>5884</v>
      </c>
      <c r="B2496" s="52" t="s">
        <v>607</v>
      </c>
      <c r="C2496" s="52" t="s">
        <v>607</v>
      </c>
      <c r="D2496" s="65" t="s">
        <v>607</v>
      </c>
      <c r="E2496" s="65" t="s">
        <v>607</v>
      </c>
      <c r="F2496" s="65" t="s">
        <v>607</v>
      </c>
      <c r="G2496" s="65" t="s">
        <v>607</v>
      </c>
      <c r="H2496" s="52" t="s">
        <v>607</v>
      </c>
      <c r="I2496" s="52" t="s">
        <v>607</v>
      </c>
      <c r="J2496" s="52" t="s">
        <v>607</v>
      </c>
      <c r="K2496" s="52" t="s">
        <v>607</v>
      </c>
      <c r="L2496" s="52" t="s">
        <v>607</v>
      </c>
      <c r="M2496" s="52" t="s">
        <v>607</v>
      </c>
      <c r="N2496" s="52" t="s">
        <v>607</v>
      </c>
      <c r="O2496" s="52"/>
      <c r="P2496" s="52"/>
      <c r="Q2496" s="52"/>
      <c r="R2496" s="51" t="b">
        <v>0</v>
      </c>
      <c r="S2496" s="51"/>
      <c r="T2496" s="52"/>
      <c r="U2496" s="51" t="b">
        <v>0</v>
      </c>
      <c r="V2496" s="51" t="b">
        <v>0</v>
      </c>
      <c r="W2496" s="51" t="b">
        <v>0</v>
      </c>
      <c r="X2496" s="51" t="b">
        <v>0</v>
      </c>
      <c r="Y2496" s="51" t="b">
        <v>0</v>
      </c>
      <c r="Z2496" s="51" t="b">
        <v>0</v>
      </c>
      <c r="AA2496" s="68"/>
      <c r="AB2496" s="52"/>
      <c r="AC2496" s="52"/>
      <c r="AD2496" s="52"/>
      <c r="AE2496" s="56" t="s">
        <v>607</v>
      </c>
      <c r="AF2496" s="56" t="s">
        <v>607</v>
      </c>
    </row>
    <row r="2497">
      <c r="A2497" s="52" t="s">
        <v>5888</v>
      </c>
      <c r="B2497" s="52" t="s">
        <v>607</v>
      </c>
      <c r="C2497" s="52" t="s">
        <v>607</v>
      </c>
      <c r="D2497" s="65" t="s">
        <v>607</v>
      </c>
      <c r="E2497" s="65" t="s">
        <v>607</v>
      </c>
      <c r="F2497" s="65" t="s">
        <v>607</v>
      </c>
      <c r="G2497" s="65" t="s">
        <v>607</v>
      </c>
      <c r="H2497" s="52" t="s">
        <v>607</v>
      </c>
      <c r="I2497" s="52" t="s">
        <v>607</v>
      </c>
      <c r="J2497" s="52" t="s">
        <v>607</v>
      </c>
      <c r="K2497" s="52" t="s">
        <v>607</v>
      </c>
      <c r="L2497" s="52" t="s">
        <v>607</v>
      </c>
      <c r="M2497" s="52" t="s">
        <v>607</v>
      </c>
      <c r="N2497" s="52" t="s">
        <v>607</v>
      </c>
      <c r="O2497" s="52"/>
      <c r="P2497" s="52"/>
      <c r="Q2497" s="52"/>
      <c r="R2497" s="51" t="b">
        <v>0</v>
      </c>
      <c r="S2497" s="51"/>
      <c r="T2497" s="52"/>
      <c r="U2497" s="51" t="b">
        <v>0</v>
      </c>
      <c r="V2497" s="51" t="b">
        <v>0</v>
      </c>
      <c r="W2497" s="51" t="b">
        <v>0</v>
      </c>
      <c r="X2497" s="51" t="b">
        <v>0</v>
      </c>
      <c r="Y2497" s="51" t="b">
        <v>0</v>
      </c>
      <c r="Z2497" s="51" t="b">
        <v>0</v>
      </c>
      <c r="AA2497" s="68"/>
      <c r="AB2497" s="52"/>
      <c r="AC2497" s="52"/>
      <c r="AD2497" s="52"/>
      <c r="AE2497" s="56" t="s">
        <v>607</v>
      </c>
      <c r="AF2497" s="56" t="s">
        <v>607</v>
      </c>
    </row>
    <row r="2498">
      <c r="A2498" s="52" t="s">
        <v>5889</v>
      </c>
      <c r="B2498" s="52" t="s">
        <v>607</v>
      </c>
      <c r="C2498" s="52" t="s">
        <v>607</v>
      </c>
      <c r="D2498" s="65" t="s">
        <v>607</v>
      </c>
      <c r="E2498" s="65" t="s">
        <v>607</v>
      </c>
      <c r="F2498" s="65" t="s">
        <v>607</v>
      </c>
      <c r="G2498" s="65" t="s">
        <v>607</v>
      </c>
      <c r="H2498" s="52" t="s">
        <v>607</v>
      </c>
      <c r="I2498" s="52" t="s">
        <v>607</v>
      </c>
      <c r="J2498" s="52" t="s">
        <v>607</v>
      </c>
      <c r="K2498" s="52" t="s">
        <v>607</v>
      </c>
      <c r="L2498" s="52" t="s">
        <v>607</v>
      </c>
      <c r="M2498" s="52" t="s">
        <v>607</v>
      </c>
      <c r="N2498" s="52" t="s">
        <v>607</v>
      </c>
      <c r="O2498" s="52"/>
      <c r="P2498" s="52"/>
      <c r="Q2498" s="52"/>
      <c r="R2498" s="51" t="b">
        <v>0</v>
      </c>
      <c r="S2498" s="51"/>
      <c r="T2498" s="52"/>
      <c r="U2498" s="51" t="b">
        <v>0</v>
      </c>
      <c r="V2498" s="51" t="b">
        <v>0</v>
      </c>
      <c r="W2498" s="51" t="b">
        <v>0</v>
      </c>
      <c r="X2498" s="51" t="b">
        <v>0</v>
      </c>
      <c r="Y2498" s="51" t="b">
        <v>0</v>
      </c>
      <c r="Z2498" s="51" t="b">
        <v>0</v>
      </c>
      <c r="AA2498" s="68"/>
      <c r="AB2498" s="52"/>
      <c r="AC2498" s="52"/>
      <c r="AD2498" s="52"/>
      <c r="AE2498" s="56" t="s">
        <v>607</v>
      </c>
      <c r="AF2498" s="56" t="s">
        <v>607</v>
      </c>
    </row>
    <row r="2499">
      <c r="A2499" s="52" t="s">
        <v>5892</v>
      </c>
      <c r="B2499" s="52" t="s">
        <v>607</v>
      </c>
      <c r="C2499" s="52" t="s">
        <v>607</v>
      </c>
      <c r="D2499" s="65" t="s">
        <v>607</v>
      </c>
      <c r="E2499" s="65" t="s">
        <v>607</v>
      </c>
      <c r="F2499" s="65" t="s">
        <v>607</v>
      </c>
      <c r="G2499" s="65" t="s">
        <v>607</v>
      </c>
      <c r="H2499" s="52" t="s">
        <v>607</v>
      </c>
      <c r="I2499" s="52" t="s">
        <v>607</v>
      </c>
      <c r="J2499" s="52" t="s">
        <v>607</v>
      </c>
      <c r="K2499" s="52" t="s">
        <v>607</v>
      </c>
      <c r="L2499" s="52" t="s">
        <v>607</v>
      </c>
      <c r="M2499" s="52" t="s">
        <v>607</v>
      </c>
      <c r="N2499" s="52" t="s">
        <v>607</v>
      </c>
      <c r="O2499" s="52"/>
      <c r="P2499" s="52"/>
      <c r="Q2499" s="52"/>
      <c r="R2499" s="51" t="b">
        <v>0</v>
      </c>
      <c r="S2499" s="51"/>
      <c r="T2499" s="52"/>
      <c r="U2499" s="51" t="b">
        <v>0</v>
      </c>
      <c r="V2499" s="51" t="b">
        <v>0</v>
      </c>
      <c r="W2499" s="51" t="b">
        <v>0</v>
      </c>
      <c r="X2499" s="51" t="b">
        <v>0</v>
      </c>
      <c r="Y2499" s="51" t="b">
        <v>0</v>
      </c>
      <c r="Z2499" s="51" t="b">
        <v>0</v>
      </c>
      <c r="AA2499" s="68"/>
      <c r="AB2499" s="52"/>
      <c r="AC2499" s="52"/>
      <c r="AD2499" s="52"/>
      <c r="AE2499" s="56" t="s">
        <v>607</v>
      </c>
      <c r="AF2499" s="56" t="s">
        <v>607</v>
      </c>
    </row>
    <row r="2500">
      <c r="A2500" s="52" t="s">
        <v>5894</v>
      </c>
      <c r="B2500" s="52" t="s">
        <v>607</v>
      </c>
      <c r="C2500" s="52" t="s">
        <v>607</v>
      </c>
      <c r="D2500" s="65" t="s">
        <v>607</v>
      </c>
      <c r="E2500" s="65" t="s">
        <v>607</v>
      </c>
      <c r="F2500" s="65" t="s">
        <v>607</v>
      </c>
      <c r="G2500" s="65" t="s">
        <v>607</v>
      </c>
      <c r="H2500" s="52" t="s">
        <v>607</v>
      </c>
      <c r="I2500" s="52" t="s">
        <v>607</v>
      </c>
      <c r="J2500" s="52" t="s">
        <v>607</v>
      </c>
      <c r="K2500" s="52" t="s">
        <v>607</v>
      </c>
      <c r="L2500" s="52" t="s">
        <v>607</v>
      </c>
      <c r="M2500" s="52" t="s">
        <v>607</v>
      </c>
      <c r="N2500" s="52" t="s">
        <v>607</v>
      </c>
      <c r="O2500" s="52"/>
      <c r="P2500" s="52"/>
      <c r="Q2500" s="52"/>
      <c r="R2500" s="51" t="b">
        <v>0</v>
      </c>
      <c r="S2500" s="51"/>
      <c r="T2500" s="52"/>
      <c r="U2500" s="51" t="b">
        <v>0</v>
      </c>
      <c r="V2500" s="51" t="b">
        <v>0</v>
      </c>
      <c r="W2500" s="51" t="b">
        <v>0</v>
      </c>
      <c r="X2500" s="51" t="b">
        <v>0</v>
      </c>
      <c r="Y2500" s="51" t="b">
        <v>0</v>
      </c>
      <c r="Z2500" s="51" t="b">
        <v>0</v>
      </c>
      <c r="AA2500" s="68"/>
      <c r="AB2500" s="52"/>
      <c r="AC2500" s="52"/>
      <c r="AD2500" s="52"/>
      <c r="AE2500" s="56" t="s">
        <v>607</v>
      </c>
      <c r="AF2500" s="56" t="s">
        <v>607</v>
      </c>
    </row>
    <row r="2501">
      <c r="A2501" s="52" t="s">
        <v>5897</v>
      </c>
      <c r="B2501" s="52" t="s">
        <v>607</v>
      </c>
      <c r="C2501" s="52" t="s">
        <v>607</v>
      </c>
      <c r="D2501" s="65" t="s">
        <v>607</v>
      </c>
      <c r="E2501" s="65" t="s">
        <v>607</v>
      </c>
      <c r="F2501" s="65" t="s">
        <v>607</v>
      </c>
      <c r="G2501" s="65" t="s">
        <v>607</v>
      </c>
      <c r="H2501" s="52" t="s">
        <v>607</v>
      </c>
      <c r="I2501" s="52" t="s">
        <v>607</v>
      </c>
      <c r="J2501" s="52" t="s">
        <v>607</v>
      </c>
      <c r="K2501" s="52" t="s">
        <v>607</v>
      </c>
      <c r="L2501" s="52" t="s">
        <v>607</v>
      </c>
      <c r="M2501" s="52" t="s">
        <v>607</v>
      </c>
      <c r="N2501" s="52" t="s">
        <v>607</v>
      </c>
      <c r="O2501" s="52"/>
      <c r="P2501" s="52"/>
      <c r="Q2501" s="52"/>
      <c r="R2501" s="51" t="b">
        <v>0</v>
      </c>
      <c r="S2501" s="51"/>
      <c r="T2501" s="52"/>
      <c r="U2501" s="51" t="b">
        <v>0</v>
      </c>
      <c r="V2501" s="51" t="b">
        <v>0</v>
      </c>
      <c r="W2501" s="51" t="b">
        <v>0</v>
      </c>
      <c r="X2501" s="51" t="b">
        <v>0</v>
      </c>
      <c r="Y2501" s="51" t="b">
        <v>0</v>
      </c>
      <c r="Z2501" s="51" t="b">
        <v>0</v>
      </c>
      <c r="AA2501" s="68"/>
      <c r="AB2501" s="52"/>
      <c r="AC2501" s="52"/>
      <c r="AD2501" s="52"/>
      <c r="AE2501" s="56" t="s">
        <v>607</v>
      </c>
      <c r="AF2501" s="56" t="s">
        <v>607</v>
      </c>
    </row>
    <row r="2502">
      <c r="A2502" s="52" t="s">
        <v>5898</v>
      </c>
      <c r="B2502" s="52" t="s">
        <v>607</v>
      </c>
      <c r="C2502" s="52" t="s">
        <v>607</v>
      </c>
      <c r="D2502" s="65" t="s">
        <v>607</v>
      </c>
      <c r="E2502" s="65" t="s">
        <v>607</v>
      </c>
      <c r="F2502" s="65" t="s">
        <v>607</v>
      </c>
      <c r="G2502" s="65" t="s">
        <v>607</v>
      </c>
      <c r="H2502" s="52" t="s">
        <v>607</v>
      </c>
      <c r="I2502" s="52" t="s">
        <v>607</v>
      </c>
      <c r="J2502" s="52" t="s">
        <v>607</v>
      </c>
      <c r="K2502" s="52" t="s">
        <v>607</v>
      </c>
      <c r="L2502" s="52" t="s">
        <v>607</v>
      </c>
      <c r="M2502" s="52" t="s">
        <v>607</v>
      </c>
      <c r="N2502" s="52" t="s">
        <v>607</v>
      </c>
      <c r="O2502" s="52"/>
      <c r="P2502" s="52"/>
      <c r="Q2502" s="52"/>
      <c r="R2502" s="51" t="b">
        <v>0</v>
      </c>
      <c r="S2502" s="51"/>
      <c r="T2502" s="52"/>
      <c r="U2502" s="51" t="b">
        <v>0</v>
      </c>
      <c r="V2502" s="51" t="b">
        <v>0</v>
      </c>
      <c r="W2502" s="51" t="b">
        <v>0</v>
      </c>
      <c r="X2502" s="51" t="b">
        <v>0</v>
      </c>
      <c r="Y2502" s="51" t="b">
        <v>0</v>
      </c>
      <c r="Z2502" s="51" t="b">
        <v>0</v>
      </c>
      <c r="AA2502" s="68"/>
      <c r="AB2502" s="52"/>
      <c r="AC2502" s="52"/>
      <c r="AD2502" s="52"/>
      <c r="AE2502" s="56" t="s">
        <v>607</v>
      </c>
      <c r="AF2502" s="56" t="s">
        <v>607</v>
      </c>
    </row>
    <row r="2503">
      <c r="A2503" s="52" t="s">
        <v>5899</v>
      </c>
      <c r="B2503" s="52" t="s">
        <v>607</v>
      </c>
      <c r="C2503" s="52" t="s">
        <v>607</v>
      </c>
      <c r="D2503" s="65" t="s">
        <v>607</v>
      </c>
      <c r="E2503" s="65" t="s">
        <v>607</v>
      </c>
      <c r="F2503" s="65" t="s">
        <v>607</v>
      </c>
      <c r="G2503" s="65" t="s">
        <v>607</v>
      </c>
      <c r="H2503" s="52" t="s">
        <v>607</v>
      </c>
      <c r="I2503" s="52" t="s">
        <v>607</v>
      </c>
      <c r="J2503" s="52" t="s">
        <v>607</v>
      </c>
      <c r="K2503" s="52" t="s">
        <v>607</v>
      </c>
      <c r="L2503" s="52" t="s">
        <v>607</v>
      </c>
      <c r="M2503" s="52" t="s">
        <v>607</v>
      </c>
      <c r="N2503" s="52" t="s">
        <v>607</v>
      </c>
      <c r="O2503" s="52"/>
      <c r="P2503" s="52"/>
      <c r="Q2503" s="52"/>
      <c r="R2503" s="51" t="b">
        <v>0</v>
      </c>
      <c r="S2503" s="51"/>
      <c r="T2503" s="52"/>
      <c r="U2503" s="51" t="b">
        <v>0</v>
      </c>
      <c r="V2503" s="51" t="b">
        <v>0</v>
      </c>
      <c r="W2503" s="51" t="b">
        <v>0</v>
      </c>
      <c r="X2503" s="51" t="b">
        <v>0</v>
      </c>
      <c r="Y2503" s="51" t="b">
        <v>0</v>
      </c>
      <c r="Z2503" s="51" t="b">
        <v>0</v>
      </c>
      <c r="AA2503" s="68"/>
      <c r="AB2503" s="52"/>
      <c r="AC2503" s="52"/>
      <c r="AD2503" s="52"/>
      <c r="AE2503" s="56" t="s">
        <v>607</v>
      </c>
      <c r="AF2503" s="56" t="s">
        <v>607</v>
      </c>
    </row>
    <row r="2504">
      <c r="A2504" s="52" t="s">
        <v>5900</v>
      </c>
      <c r="B2504" s="52" t="s">
        <v>607</v>
      </c>
      <c r="C2504" s="52" t="s">
        <v>607</v>
      </c>
      <c r="D2504" s="65" t="s">
        <v>607</v>
      </c>
      <c r="E2504" s="65" t="s">
        <v>607</v>
      </c>
      <c r="F2504" s="65" t="s">
        <v>607</v>
      </c>
      <c r="G2504" s="65" t="s">
        <v>607</v>
      </c>
      <c r="H2504" s="52" t="s">
        <v>607</v>
      </c>
      <c r="I2504" s="52" t="s">
        <v>607</v>
      </c>
      <c r="J2504" s="52" t="s">
        <v>607</v>
      </c>
      <c r="K2504" s="52" t="s">
        <v>607</v>
      </c>
      <c r="L2504" s="52" t="s">
        <v>607</v>
      </c>
      <c r="M2504" s="52" t="s">
        <v>607</v>
      </c>
      <c r="N2504" s="52" t="s">
        <v>607</v>
      </c>
      <c r="O2504" s="52"/>
      <c r="P2504" s="52"/>
      <c r="Q2504" s="52"/>
      <c r="R2504" s="51" t="b">
        <v>0</v>
      </c>
      <c r="S2504" s="51"/>
      <c r="T2504" s="52"/>
      <c r="U2504" s="51" t="b">
        <v>0</v>
      </c>
      <c r="V2504" s="51" t="b">
        <v>0</v>
      </c>
      <c r="W2504" s="51" t="b">
        <v>0</v>
      </c>
      <c r="X2504" s="51" t="b">
        <v>0</v>
      </c>
      <c r="Y2504" s="51" t="b">
        <v>0</v>
      </c>
      <c r="Z2504" s="51" t="b">
        <v>0</v>
      </c>
      <c r="AA2504" s="68"/>
      <c r="AB2504" s="52"/>
      <c r="AC2504" s="52"/>
      <c r="AD2504" s="52"/>
      <c r="AE2504" s="56" t="s">
        <v>607</v>
      </c>
      <c r="AF2504" s="56" t="s">
        <v>607</v>
      </c>
    </row>
    <row r="2505">
      <c r="A2505" s="52" t="s">
        <v>5906</v>
      </c>
      <c r="B2505" s="52" t="s">
        <v>607</v>
      </c>
      <c r="C2505" s="52" t="s">
        <v>607</v>
      </c>
      <c r="D2505" s="65" t="s">
        <v>607</v>
      </c>
      <c r="E2505" s="65" t="s">
        <v>607</v>
      </c>
      <c r="F2505" s="65" t="s">
        <v>607</v>
      </c>
      <c r="G2505" s="65" t="s">
        <v>607</v>
      </c>
      <c r="H2505" s="52" t="s">
        <v>607</v>
      </c>
      <c r="I2505" s="52" t="s">
        <v>607</v>
      </c>
      <c r="J2505" s="52" t="s">
        <v>607</v>
      </c>
      <c r="K2505" s="52" t="s">
        <v>607</v>
      </c>
      <c r="L2505" s="52" t="s">
        <v>607</v>
      </c>
      <c r="M2505" s="52" t="s">
        <v>607</v>
      </c>
      <c r="N2505" s="52" t="s">
        <v>607</v>
      </c>
      <c r="O2505" s="52"/>
      <c r="P2505" s="52"/>
      <c r="Q2505" s="52"/>
      <c r="R2505" s="51" t="b">
        <v>0</v>
      </c>
      <c r="S2505" s="51"/>
      <c r="T2505" s="52"/>
      <c r="U2505" s="51" t="b">
        <v>0</v>
      </c>
      <c r="V2505" s="51" t="b">
        <v>0</v>
      </c>
      <c r="W2505" s="51" t="b">
        <v>0</v>
      </c>
      <c r="X2505" s="51" t="b">
        <v>0</v>
      </c>
      <c r="Y2505" s="51" t="b">
        <v>0</v>
      </c>
      <c r="Z2505" s="51" t="b">
        <v>0</v>
      </c>
      <c r="AA2505" s="68"/>
      <c r="AB2505" s="52"/>
      <c r="AC2505" s="52"/>
      <c r="AD2505" s="52"/>
      <c r="AE2505" s="56" t="s">
        <v>607</v>
      </c>
      <c r="AF2505" s="56" t="s">
        <v>607</v>
      </c>
    </row>
    <row r="2506">
      <c r="A2506" s="52" t="s">
        <v>5907</v>
      </c>
      <c r="B2506" s="52" t="s">
        <v>607</v>
      </c>
      <c r="C2506" s="52" t="s">
        <v>607</v>
      </c>
      <c r="D2506" s="65" t="s">
        <v>607</v>
      </c>
      <c r="E2506" s="65" t="s">
        <v>607</v>
      </c>
      <c r="F2506" s="65" t="s">
        <v>607</v>
      </c>
      <c r="G2506" s="65" t="s">
        <v>607</v>
      </c>
      <c r="H2506" s="52" t="s">
        <v>607</v>
      </c>
      <c r="I2506" s="52" t="s">
        <v>607</v>
      </c>
      <c r="J2506" s="52" t="s">
        <v>607</v>
      </c>
      <c r="K2506" s="52" t="s">
        <v>607</v>
      </c>
      <c r="L2506" s="52" t="s">
        <v>607</v>
      </c>
      <c r="M2506" s="52" t="s">
        <v>607</v>
      </c>
      <c r="N2506" s="52" t="s">
        <v>607</v>
      </c>
      <c r="O2506" s="52"/>
      <c r="P2506" s="52"/>
      <c r="Q2506" s="52"/>
      <c r="R2506" s="51" t="b">
        <v>0</v>
      </c>
      <c r="S2506" s="51"/>
      <c r="T2506" s="52"/>
      <c r="U2506" s="51" t="b">
        <v>0</v>
      </c>
      <c r="V2506" s="51" t="b">
        <v>0</v>
      </c>
      <c r="W2506" s="51" t="b">
        <v>0</v>
      </c>
      <c r="X2506" s="51" t="b">
        <v>0</v>
      </c>
      <c r="Y2506" s="51" t="b">
        <v>0</v>
      </c>
      <c r="Z2506" s="51" t="b">
        <v>0</v>
      </c>
      <c r="AA2506" s="68"/>
      <c r="AB2506" s="52"/>
      <c r="AC2506" s="52"/>
      <c r="AD2506" s="52"/>
      <c r="AE2506" s="56" t="s">
        <v>607</v>
      </c>
      <c r="AF2506" s="56" t="s">
        <v>607</v>
      </c>
    </row>
    <row r="2507">
      <c r="A2507" s="52" t="s">
        <v>5911</v>
      </c>
      <c r="B2507" s="52" t="s">
        <v>607</v>
      </c>
      <c r="C2507" s="52" t="s">
        <v>607</v>
      </c>
      <c r="D2507" s="65" t="s">
        <v>607</v>
      </c>
      <c r="E2507" s="65" t="s">
        <v>607</v>
      </c>
      <c r="F2507" s="65" t="s">
        <v>607</v>
      </c>
      <c r="G2507" s="65" t="s">
        <v>607</v>
      </c>
      <c r="H2507" s="52" t="s">
        <v>607</v>
      </c>
      <c r="I2507" s="52" t="s">
        <v>607</v>
      </c>
      <c r="J2507" s="52" t="s">
        <v>607</v>
      </c>
      <c r="K2507" s="52" t="s">
        <v>607</v>
      </c>
      <c r="L2507" s="52" t="s">
        <v>607</v>
      </c>
      <c r="M2507" s="52" t="s">
        <v>607</v>
      </c>
      <c r="N2507" s="52" t="s">
        <v>607</v>
      </c>
      <c r="O2507" s="52"/>
      <c r="P2507" s="52"/>
      <c r="Q2507" s="52"/>
      <c r="R2507" s="51" t="b">
        <v>0</v>
      </c>
      <c r="S2507" s="51"/>
      <c r="T2507" s="52"/>
      <c r="U2507" s="51" t="b">
        <v>0</v>
      </c>
      <c r="V2507" s="51" t="b">
        <v>0</v>
      </c>
      <c r="W2507" s="51" t="b">
        <v>0</v>
      </c>
      <c r="X2507" s="51" t="b">
        <v>0</v>
      </c>
      <c r="Y2507" s="51" t="b">
        <v>0</v>
      </c>
      <c r="Z2507" s="51" t="b">
        <v>0</v>
      </c>
      <c r="AA2507" s="68"/>
      <c r="AB2507" s="52"/>
      <c r="AC2507" s="52"/>
      <c r="AD2507" s="52"/>
      <c r="AE2507" s="56" t="s">
        <v>607</v>
      </c>
      <c r="AF2507" s="56" t="s">
        <v>607</v>
      </c>
    </row>
    <row r="2508">
      <c r="A2508" s="52" t="s">
        <v>5912</v>
      </c>
      <c r="B2508" s="52" t="s">
        <v>607</v>
      </c>
      <c r="C2508" s="52" t="s">
        <v>607</v>
      </c>
      <c r="D2508" s="65" t="s">
        <v>607</v>
      </c>
      <c r="E2508" s="65" t="s">
        <v>607</v>
      </c>
      <c r="F2508" s="65" t="s">
        <v>607</v>
      </c>
      <c r="G2508" s="65" t="s">
        <v>607</v>
      </c>
      <c r="H2508" s="52" t="s">
        <v>607</v>
      </c>
      <c r="I2508" s="52" t="s">
        <v>607</v>
      </c>
      <c r="J2508" s="52" t="s">
        <v>607</v>
      </c>
      <c r="K2508" s="52" t="s">
        <v>607</v>
      </c>
      <c r="L2508" s="52" t="s">
        <v>607</v>
      </c>
      <c r="M2508" s="52" t="s">
        <v>607</v>
      </c>
      <c r="N2508" s="52" t="s">
        <v>607</v>
      </c>
      <c r="O2508" s="52"/>
      <c r="P2508" s="52"/>
      <c r="Q2508" s="52"/>
      <c r="R2508" s="51" t="b">
        <v>0</v>
      </c>
      <c r="S2508" s="51"/>
      <c r="T2508" s="52"/>
      <c r="U2508" s="51" t="b">
        <v>0</v>
      </c>
      <c r="V2508" s="51" t="b">
        <v>0</v>
      </c>
      <c r="W2508" s="51" t="b">
        <v>0</v>
      </c>
      <c r="X2508" s="51" t="b">
        <v>0</v>
      </c>
      <c r="Y2508" s="51" t="b">
        <v>0</v>
      </c>
      <c r="Z2508" s="51" t="b">
        <v>0</v>
      </c>
      <c r="AA2508" s="68"/>
      <c r="AB2508" s="52"/>
      <c r="AC2508" s="52"/>
      <c r="AD2508" s="52"/>
      <c r="AE2508" s="56" t="s">
        <v>607</v>
      </c>
      <c r="AF2508" s="56" t="s">
        <v>607</v>
      </c>
    </row>
    <row r="2509">
      <c r="A2509" s="52" t="s">
        <v>5916</v>
      </c>
      <c r="B2509" s="52" t="s">
        <v>607</v>
      </c>
      <c r="C2509" s="52" t="s">
        <v>607</v>
      </c>
      <c r="D2509" s="65" t="s">
        <v>607</v>
      </c>
      <c r="E2509" s="65" t="s">
        <v>607</v>
      </c>
      <c r="F2509" s="65" t="s">
        <v>607</v>
      </c>
      <c r="G2509" s="65" t="s">
        <v>607</v>
      </c>
      <c r="H2509" s="52" t="s">
        <v>607</v>
      </c>
      <c r="I2509" s="52" t="s">
        <v>607</v>
      </c>
      <c r="J2509" s="52" t="s">
        <v>607</v>
      </c>
      <c r="K2509" s="52" t="s">
        <v>607</v>
      </c>
      <c r="L2509" s="52" t="s">
        <v>607</v>
      </c>
      <c r="M2509" s="52" t="s">
        <v>607</v>
      </c>
      <c r="N2509" s="52" t="s">
        <v>607</v>
      </c>
      <c r="O2509" s="52"/>
      <c r="P2509" s="52"/>
      <c r="Q2509" s="52"/>
      <c r="R2509" s="51" t="b">
        <v>0</v>
      </c>
      <c r="S2509" s="51"/>
      <c r="T2509" s="52"/>
      <c r="U2509" s="51" t="b">
        <v>0</v>
      </c>
      <c r="V2509" s="51" t="b">
        <v>0</v>
      </c>
      <c r="W2509" s="51" t="b">
        <v>0</v>
      </c>
      <c r="X2509" s="51" t="b">
        <v>0</v>
      </c>
      <c r="Y2509" s="51" t="b">
        <v>0</v>
      </c>
      <c r="Z2509" s="51" t="b">
        <v>0</v>
      </c>
      <c r="AA2509" s="68"/>
      <c r="AB2509" s="52"/>
      <c r="AC2509" s="52"/>
      <c r="AD2509" s="52"/>
      <c r="AE2509" s="56" t="s">
        <v>607</v>
      </c>
      <c r="AF2509" s="56" t="s">
        <v>607</v>
      </c>
    </row>
    <row r="2510">
      <c r="A2510" s="52" t="s">
        <v>5919</v>
      </c>
      <c r="B2510" s="52" t="s">
        <v>607</v>
      </c>
      <c r="C2510" s="52" t="s">
        <v>607</v>
      </c>
      <c r="D2510" s="65" t="s">
        <v>607</v>
      </c>
      <c r="E2510" s="65" t="s">
        <v>607</v>
      </c>
      <c r="F2510" s="65" t="s">
        <v>607</v>
      </c>
      <c r="G2510" s="65" t="s">
        <v>607</v>
      </c>
      <c r="H2510" s="52" t="s">
        <v>607</v>
      </c>
      <c r="I2510" s="52" t="s">
        <v>607</v>
      </c>
      <c r="J2510" s="52" t="s">
        <v>607</v>
      </c>
      <c r="K2510" s="52" t="s">
        <v>607</v>
      </c>
      <c r="L2510" s="52" t="s">
        <v>607</v>
      </c>
      <c r="M2510" s="52" t="s">
        <v>607</v>
      </c>
      <c r="N2510" s="52" t="s">
        <v>607</v>
      </c>
      <c r="O2510" s="52"/>
      <c r="P2510" s="52"/>
      <c r="Q2510" s="52"/>
      <c r="R2510" s="51" t="b">
        <v>0</v>
      </c>
      <c r="S2510" s="51"/>
      <c r="T2510" s="52"/>
      <c r="U2510" s="51" t="b">
        <v>0</v>
      </c>
      <c r="V2510" s="51" t="b">
        <v>0</v>
      </c>
      <c r="W2510" s="51" t="b">
        <v>0</v>
      </c>
      <c r="X2510" s="51" t="b">
        <v>0</v>
      </c>
      <c r="Y2510" s="51" t="b">
        <v>0</v>
      </c>
      <c r="Z2510" s="51" t="b">
        <v>0</v>
      </c>
      <c r="AA2510" s="68"/>
      <c r="AB2510" s="52"/>
      <c r="AC2510" s="52"/>
      <c r="AD2510" s="52"/>
      <c r="AE2510" s="56" t="s">
        <v>607</v>
      </c>
      <c r="AF2510" s="56" t="s">
        <v>607</v>
      </c>
    </row>
    <row r="2511">
      <c r="A2511" s="52" t="s">
        <v>5920</v>
      </c>
      <c r="B2511" s="52" t="s">
        <v>607</v>
      </c>
      <c r="C2511" s="52" t="s">
        <v>607</v>
      </c>
      <c r="D2511" s="65" t="s">
        <v>607</v>
      </c>
      <c r="E2511" s="65" t="s">
        <v>607</v>
      </c>
      <c r="F2511" s="65" t="s">
        <v>607</v>
      </c>
      <c r="G2511" s="65" t="s">
        <v>607</v>
      </c>
      <c r="H2511" s="52" t="s">
        <v>607</v>
      </c>
      <c r="I2511" s="52" t="s">
        <v>607</v>
      </c>
      <c r="J2511" s="52" t="s">
        <v>607</v>
      </c>
      <c r="K2511" s="52" t="s">
        <v>607</v>
      </c>
      <c r="L2511" s="52" t="s">
        <v>607</v>
      </c>
      <c r="M2511" s="52" t="s">
        <v>607</v>
      </c>
      <c r="N2511" s="52" t="s">
        <v>607</v>
      </c>
      <c r="O2511" s="52"/>
      <c r="P2511" s="52"/>
      <c r="Q2511" s="52"/>
      <c r="R2511" s="51" t="b">
        <v>0</v>
      </c>
      <c r="S2511" s="51"/>
      <c r="T2511" s="52"/>
      <c r="U2511" s="51" t="b">
        <v>0</v>
      </c>
      <c r="V2511" s="51" t="b">
        <v>0</v>
      </c>
      <c r="W2511" s="51" t="b">
        <v>0</v>
      </c>
      <c r="X2511" s="51" t="b">
        <v>0</v>
      </c>
      <c r="Y2511" s="51" t="b">
        <v>0</v>
      </c>
      <c r="Z2511" s="51" t="b">
        <v>0</v>
      </c>
      <c r="AA2511" s="68"/>
      <c r="AB2511" s="52"/>
      <c r="AC2511" s="52"/>
      <c r="AD2511" s="52"/>
      <c r="AE2511" s="56" t="s">
        <v>607</v>
      </c>
      <c r="AF2511" s="56" t="s">
        <v>607</v>
      </c>
    </row>
    <row r="2512">
      <c r="A2512" s="52" t="s">
        <v>5924</v>
      </c>
      <c r="B2512" s="52" t="s">
        <v>607</v>
      </c>
      <c r="C2512" s="52" t="s">
        <v>607</v>
      </c>
      <c r="D2512" s="65" t="s">
        <v>607</v>
      </c>
      <c r="E2512" s="65" t="s">
        <v>607</v>
      </c>
      <c r="F2512" s="65" t="s">
        <v>607</v>
      </c>
      <c r="G2512" s="65" t="s">
        <v>607</v>
      </c>
      <c r="H2512" s="52" t="s">
        <v>607</v>
      </c>
      <c r="I2512" s="52" t="s">
        <v>607</v>
      </c>
      <c r="J2512" s="52" t="s">
        <v>607</v>
      </c>
      <c r="K2512" s="52" t="s">
        <v>607</v>
      </c>
      <c r="L2512" s="52" t="s">
        <v>607</v>
      </c>
      <c r="M2512" s="52" t="s">
        <v>607</v>
      </c>
      <c r="N2512" s="52" t="s">
        <v>607</v>
      </c>
      <c r="O2512" s="52"/>
      <c r="P2512" s="52"/>
      <c r="Q2512" s="52"/>
      <c r="R2512" s="51" t="b">
        <v>0</v>
      </c>
      <c r="S2512" s="51"/>
      <c r="T2512" s="52"/>
      <c r="U2512" s="51" t="b">
        <v>0</v>
      </c>
      <c r="V2512" s="51" t="b">
        <v>0</v>
      </c>
      <c r="W2512" s="51" t="b">
        <v>0</v>
      </c>
      <c r="X2512" s="51" t="b">
        <v>0</v>
      </c>
      <c r="Y2512" s="51" t="b">
        <v>0</v>
      </c>
      <c r="Z2512" s="51" t="b">
        <v>0</v>
      </c>
      <c r="AA2512" s="68"/>
      <c r="AB2512" s="52"/>
      <c r="AC2512" s="52"/>
      <c r="AD2512" s="52"/>
      <c r="AE2512" s="56" t="s">
        <v>607</v>
      </c>
      <c r="AF2512" s="56" t="s">
        <v>607</v>
      </c>
    </row>
    <row r="2513">
      <c r="A2513" s="52" t="s">
        <v>5925</v>
      </c>
      <c r="B2513" s="52" t="s">
        <v>607</v>
      </c>
      <c r="C2513" s="52" t="s">
        <v>607</v>
      </c>
      <c r="D2513" s="65" t="s">
        <v>607</v>
      </c>
      <c r="E2513" s="65" t="s">
        <v>607</v>
      </c>
      <c r="F2513" s="65" t="s">
        <v>607</v>
      </c>
      <c r="G2513" s="65" t="s">
        <v>607</v>
      </c>
      <c r="H2513" s="52" t="s">
        <v>607</v>
      </c>
      <c r="I2513" s="52" t="s">
        <v>607</v>
      </c>
      <c r="J2513" s="52" t="s">
        <v>607</v>
      </c>
      <c r="K2513" s="52" t="s">
        <v>607</v>
      </c>
      <c r="L2513" s="52" t="s">
        <v>607</v>
      </c>
      <c r="M2513" s="52" t="s">
        <v>607</v>
      </c>
      <c r="N2513" s="52" t="s">
        <v>607</v>
      </c>
      <c r="O2513" s="52"/>
      <c r="P2513" s="52"/>
      <c r="Q2513" s="52"/>
      <c r="R2513" s="51" t="b">
        <v>0</v>
      </c>
      <c r="S2513" s="51"/>
      <c r="T2513" s="52"/>
      <c r="U2513" s="51" t="b">
        <v>0</v>
      </c>
      <c r="V2513" s="51" t="b">
        <v>0</v>
      </c>
      <c r="W2513" s="51" t="b">
        <v>0</v>
      </c>
      <c r="X2513" s="51" t="b">
        <v>0</v>
      </c>
      <c r="Y2513" s="51" t="b">
        <v>0</v>
      </c>
      <c r="Z2513" s="51" t="b">
        <v>0</v>
      </c>
      <c r="AA2513" s="68"/>
      <c r="AB2513" s="52"/>
      <c r="AC2513" s="52"/>
      <c r="AD2513" s="52"/>
      <c r="AE2513" s="56" t="s">
        <v>607</v>
      </c>
      <c r="AF2513" s="56" t="s">
        <v>607</v>
      </c>
    </row>
    <row r="2514">
      <c r="A2514" s="52" t="s">
        <v>5926</v>
      </c>
      <c r="B2514" s="52" t="s">
        <v>607</v>
      </c>
      <c r="C2514" s="52" t="s">
        <v>607</v>
      </c>
      <c r="D2514" s="65" t="s">
        <v>607</v>
      </c>
      <c r="E2514" s="65" t="s">
        <v>607</v>
      </c>
      <c r="F2514" s="65" t="s">
        <v>607</v>
      </c>
      <c r="G2514" s="65" t="s">
        <v>607</v>
      </c>
      <c r="H2514" s="52" t="s">
        <v>607</v>
      </c>
      <c r="I2514" s="52" t="s">
        <v>607</v>
      </c>
      <c r="J2514" s="52" t="s">
        <v>607</v>
      </c>
      <c r="K2514" s="52" t="s">
        <v>607</v>
      </c>
      <c r="L2514" s="52" t="s">
        <v>607</v>
      </c>
      <c r="M2514" s="52" t="s">
        <v>607</v>
      </c>
      <c r="N2514" s="52" t="s">
        <v>607</v>
      </c>
      <c r="O2514" s="52"/>
      <c r="P2514" s="52"/>
      <c r="Q2514" s="52"/>
      <c r="R2514" s="51" t="b">
        <v>0</v>
      </c>
      <c r="S2514" s="51"/>
      <c r="T2514" s="52"/>
      <c r="U2514" s="51" t="b">
        <v>0</v>
      </c>
      <c r="V2514" s="51" t="b">
        <v>0</v>
      </c>
      <c r="W2514" s="51" t="b">
        <v>0</v>
      </c>
      <c r="X2514" s="51" t="b">
        <v>0</v>
      </c>
      <c r="Y2514" s="51" t="b">
        <v>0</v>
      </c>
      <c r="Z2514" s="51" t="b">
        <v>0</v>
      </c>
      <c r="AA2514" s="68"/>
      <c r="AB2514" s="52"/>
      <c r="AC2514" s="52"/>
      <c r="AD2514" s="52"/>
      <c r="AE2514" s="56" t="s">
        <v>607</v>
      </c>
      <c r="AF2514" s="56" t="s">
        <v>607</v>
      </c>
    </row>
    <row r="2515">
      <c r="A2515" s="52" t="s">
        <v>5930</v>
      </c>
      <c r="B2515" s="52" t="s">
        <v>607</v>
      </c>
      <c r="C2515" s="52" t="s">
        <v>607</v>
      </c>
      <c r="D2515" s="65" t="s">
        <v>607</v>
      </c>
      <c r="E2515" s="65" t="s">
        <v>607</v>
      </c>
      <c r="F2515" s="65" t="s">
        <v>607</v>
      </c>
      <c r="G2515" s="65" t="s">
        <v>607</v>
      </c>
      <c r="H2515" s="52" t="s">
        <v>607</v>
      </c>
      <c r="I2515" s="52" t="s">
        <v>607</v>
      </c>
      <c r="J2515" s="52" t="s">
        <v>607</v>
      </c>
      <c r="K2515" s="52" t="s">
        <v>607</v>
      </c>
      <c r="L2515" s="52" t="s">
        <v>607</v>
      </c>
      <c r="M2515" s="52" t="s">
        <v>607</v>
      </c>
      <c r="N2515" s="52" t="s">
        <v>607</v>
      </c>
      <c r="O2515" s="52"/>
      <c r="P2515" s="52"/>
      <c r="Q2515" s="52"/>
      <c r="R2515" s="51" t="b">
        <v>0</v>
      </c>
      <c r="S2515" s="51"/>
      <c r="T2515" s="52"/>
      <c r="U2515" s="51" t="b">
        <v>0</v>
      </c>
      <c r="V2515" s="51" t="b">
        <v>0</v>
      </c>
      <c r="W2515" s="51" t="b">
        <v>0</v>
      </c>
      <c r="X2515" s="51" t="b">
        <v>0</v>
      </c>
      <c r="Y2515" s="51" t="b">
        <v>0</v>
      </c>
      <c r="Z2515" s="51" t="b">
        <v>0</v>
      </c>
      <c r="AA2515" s="68"/>
      <c r="AB2515" s="52"/>
      <c r="AC2515" s="52"/>
      <c r="AD2515" s="52"/>
      <c r="AE2515" s="56" t="s">
        <v>607</v>
      </c>
      <c r="AF2515" s="56" t="s">
        <v>607</v>
      </c>
    </row>
    <row r="2516">
      <c r="A2516" s="52" t="s">
        <v>5931</v>
      </c>
      <c r="B2516" s="52" t="s">
        <v>607</v>
      </c>
      <c r="C2516" s="52" t="s">
        <v>607</v>
      </c>
      <c r="D2516" s="65" t="s">
        <v>607</v>
      </c>
      <c r="E2516" s="65" t="s">
        <v>607</v>
      </c>
      <c r="F2516" s="65" t="s">
        <v>607</v>
      </c>
      <c r="G2516" s="65" t="s">
        <v>607</v>
      </c>
      <c r="H2516" s="52" t="s">
        <v>607</v>
      </c>
      <c r="I2516" s="52" t="s">
        <v>607</v>
      </c>
      <c r="J2516" s="52" t="s">
        <v>607</v>
      </c>
      <c r="K2516" s="52" t="s">
        <v>607</v>
      </c>
      <c r="L2516" s="52" t="s">
        <v>607</v>
      </c>
      <c r="M2516" s="52" t="s">
        <v>607</v>
      </c>
      <c r="N2516" s="52" t="s">
        <v>607</v>
      </c>
      <c r="O2516" s="52"/>
      <c r="P2516" s="52"/>
      <c r="Q2516" s="52"/>
      <c r="R2516" s="51" t="b">
        <v>0</v>
      </c>
      <c r="S2516" s="51"/>
      <c r="T2516" s="52"/>
      <c r="U2516" s="51" t="b">
        <v>0</v>
      </c>
      <c r="V2516" s="51" t="b">
        <v>0</v>
      </c>
      <c r="W2516" s="51" t="b">
        <v>0</v>
      </c>
      <c r="X2516" s="51" t="b">
        <v>0</v>
      </c>
      <c r="Y2516" s="51" t="b">
        <v>0</v>
      </c>
      <c r="Z2516" s="51" t="b">
        <v>0</v>
      </c>
      <c r="AA2516" s="68"/>
      <c r="AB2516" s="52"/>
      <c r="AC2516" s="52"/>
      <c r="AD2516" s="52"/>
      <c r="AE2516" s="56" t="s">
        <v>607</v>
      </c>
      <c r="AF2516" s="56" t="s">
        <v>607</v>
      </c>
    </row>
    <row r="2517">
      <c r="A2517" s="52" t="s">
        <v>5932</v>
      </c>
      <c r="B2517" s="52" t="s">
        <v>607</v>
      </c>
      <c r="C2517" s="52" t="s">
        <v>607</v>
      </c>
      <c r="D2517" s="65" t="s">
        <v>607</v>
      </c>
      <c r="E2517" s="65" t="s">
        <v>607</v>
      </c>
      <c r="F2517" s="65" t="s">
        <v>607</v>
      </c>
      <c r="G2517" s="65" t="s">
        <v>607</v>
      </c>
      <c r="H2517" s="52" t="s">
        <v>607</v>
      </c>
      <c r="I2517" s="52" t="s">
        <v>607</v>
      </c>
      <c r="J2517" s="52" t="s">
        <v>607</v>
      </c>
      <c r="K2517" s="52" t="s">
        <v>607</v>
      </c>
      <c r="L2517" s="52" t="s">
        <v>607</v>
      </c>
      <c r="M2517" s="52" t="s">
        <v>607</v>
      </c>
      <c r="N2517" s="52" t="s">
        <v>607</v>
      </c>
      <c r="O2517" s="52"/>
      <c r="P2517" s="52"/>
      <c r="Q2517" s="52"/>
      <c r="R2517" s="51" t="b">
        <v>0</v>
      </c>
      <c r="S2517" s="51"/>
      <c r="T2517" s="52"/>
      <c r="U2517" s="51" t="b">
        <v>0</v>
      </c>
      <c r="V2517" s="51" t="b">
        <v>0</v>
      </c>
      <c r="W2517" s="51" t="b">
        <v>0</v>
      </c>
      <c r="X2517" s="51" t="b">
        <v>0</v>
      </c>
      <c r="Y2517" s="51" t="b">
        <v>0</v>
      </c>
      <c r="Z2517" s="51" t="b">
        <v>0</v>
      </c>
      <c r="AA2517" s="68"/>
      <c r="AB2517" s="52"/>
      <c r="AC2517" s="52"/>
      <c r="AD2517" s="52"/>
      <c r="AE2517" s="56" t="s">
        <v>607</v>
      </c>
      <c r="AF2517" s="56" t="s">
        <v>607</v>
      </c>
    </row>
    <row r="2518">
      <c r="A2518" s="52" t="s">
        <v>5933</v>
      </c>
      <c r="B2518" s="52" t="s">
        <v>607</v>
      </c>
      <c r="C2518" s="52" t="s">
        <v>607</v>
      </c>
      <c r="D2518" s="65" t="s">
        <v>607</v>
      </c>
      <c r="E2518" s="65" t="s">
        <v>607</v>
      </c>
      <c r="F2518" s="65" t="s">
        <v>607</v>
      </c>
      <c r="G2518" s="65" t="s">
        <v>607</v>
      </c>
      <c r="H2518" s="52" t="s">
        <v>607</v>
      </c>
      <c r="I2518" s="52" t="s">
        <v>607</v>
      </c>
      <c r="J2518" s="52" t="s">
        <v>607</v>
      </c>
      <c r="K2518" s="52" t="s">
        <v>607</v>
      </c>
      <c r="L2518" s="52" t="s">
        <v>607</v>
      </c>
      <c r="M2518" s="52" t="s">
        <v>607</v>
      </c>
      <c r="N2518" s="52" t="s">
        <v>607</v>
      </c>
      <c r="O2518" s="52"/>
      <c r="P2518" s="52"/>
      <c r="Q2518" s="52"/>
      <c r="R2518" s="51" t="b">
        <v>0</v>
      </c>
      <c r="S2518" s="51"/>
      <c r="T2518" s="52"/>
      <c r="U2518" s="51" t="b">
        <v>0</v>
      </c>
      <c r="V2518" s="51" t="b">
        <v>0</v>
      </c>
      <c r="W2518" s="51" t="b">
        <v>0</v>
      </c>
      <c r="X2518" s="51" t="b">
        <v>0</v>
      </c>
      <c r="Y2518" s="51" t="b">
        <v>0</v>
      </c>
      <c r="Z2518" s="51" t="b">
        <v>0</v>
      </c>
      <c r="AA2518" s="68"/>
      <c r="AB2518" s="52"/>
      <c r="AC2518" s="52"/>
      <c r="AD2518" s="52"/>
      <c r="AE2518" s="56" t="s">
        <v>607</v>
      </c>
      <c r="AF2518" s="56" t="s">
        <v>607</v>
      </c>
    </row>
    <row r="2519">
      <c r="A2519" s="52" t="s">
        <v>5934</v>
      </c>
      <c r="B2519" s="52" t="s">
        <v>607</v>
      </c>
      <c r="C2519" s="52" t="s">
        <v>607</v>
      </c>
      <c r="D2519" s="65" t="s">
        <v>607</v>
      </c>
      <c r="E2519" s="65" t="s">
        <v>607</v>
      </c>
      <c r="F2519" s="65" t="s">
        <v>607</v>
      </c>
      <c r="G2519" s="65" t="s">
        <v>607</v>
      </c>
      <c r="H2519" s="52" t="s">
        <v>607</v>
      </c>
      <c r="I2519" s="52" t="s">
        <v>607</v>
      </c>
      <c r="J2519" s="52" t="s">
        <v>607</v>
      </c>
      <c r="K2519" s="52" t="s">
        <v>607</v>
      </c>
      <c r="L2519" s="52" t="s">
        <v>607</v>
      </c>
      <c r="M2519" s="52" t="s">
        <v>607</v>
      </c>
      <c r="N2519" s="52" t="s">
        <v>607</v>
      </c>
      <c r="O2519" s="52"/>
      <c r="P2519" s="52"/>
      <c r="Q2519" s="52"/>
      <c r="R2519" s="51" t="b">
        <v>0</v>
      </c>
      <c r="S2519" s="51"/>
      <c r="T2519" s="52"/>
      <c r="U2519" s="51" t="b">
        <v>0</v>
      </c>
      <c r="V2519" s="51" t="b">
        <v>0</v>
      </c>
      <c r="W2519" s="51" t="b">
        <v>0</v>
      </c>
      <c r="X2519" s="51" t="b">
        <v>0</v>
      </c>
      <c r="Y2519" s="51" t="b">
        <v>0</v>
      </c>
      <c r="Z2519" s="51" t="b">
        <v>0</v>
      </c>
      <c r="AA2519" s="68"/>
      <c r="AB2519" s="52"/>
      <c r="AC2519" s="52"/>
      <c r="AD2519" s="52"/>
      <c r="AE2519" s="56" t="s">
        <v>607</v>
      </c>
      <c r="AF2519" s="56" t="s">
        <v>607</v>
      </c>
    </row>
    <row r="2520">
      <c r="A2520" s="52" t="s">
        <v>5935</v>
      </c>
      <c r="B2520" s="52" t="s">
        <v>607</v>
      </c>
      <c r="C2520" s="52" t="s">
        <v>607</v>
      </c>
      <c r="D2520" s="65" t="s">
        <v>607</v>
      </c>
      <c r="E2520" s="65" t="s">
        <v>607</v>
      </c>
      <c r="F2520" s="65" t="s">
        <v>607</v>
      </c>
      <c r="G2520" s="65" t="s">
        <v>607</v>
      </c>
      <c r="H2520" s="52" t="s">
        <v>607</v>
      </c>
      <c r="I2520" s="52" t="s">
        <v>607</v>
      </c>
      <c r="J2520" s="52" t="s">
        <v>607</v>
      </c>
      <c r="K2520" s="52" t="s">
        <v>607</v>
      </c>
      <c r="L2520" s="52" t="s">
        <v>607</v>
      </c>
      <c r="M2520" s="52" t="s">
        <v>607</v>
      </c>
      <c r="N2520" s="52" t="s">
        <v>607</v>
      </c>
      <c r="O2520" s="52"/>
      <c r="P2520" s="52"/>
      <c r="Q2520" s="52"/>
      <c r="R2520" s="51" t="b">
        <v>0</v>
      </c>
      <c r="S2520" s="51"/>
      <c r="T2520" s="52"/>
      <c r="U2520" s="51" t="b">
        <v>0</v>
      </c>
      <c r="V2520" s="51" t="b">
        <v>0</v>
      </c>
      <c r="W2520" s="51" t="b">
        <v>0</v>
      </c>
      <c r="X2520" s="51" t="b">
        <v>0</v>
      </c>
      <c r="Y2520" s="51" t="b">
        <v>0</v>
      </c>
      <c r="Z2520" s="51" t="b">
        <v>0</v>
      </c>
      <c r="AA2520" s="68"/>
      <c r="AB2520" s="52"/>
      <c r="AC2520" s="52"/>
      <c r="AD2520" s="52"/>
      <c r="AE2520" s="56" t="s">
        <v>607</v>
      </c>
      <c r="AF2520" s="56" t="s">
        <v>607</v>
      </c>
    </row>
    <row r="2521">
      <c r="A2521" s="52" t="s">
        <v>5936</v>
      </c>
      <c r="B2521" s="52" t="s">
        <v>607</v>
      </c>
      <c r="C2521" s="52" t="s">
        <v>607</v>
      </c>
      <c r="D2521" s="65" t="s">
        <v>607</v>
      </c>
      <c r="E2521" s="65" t="s">
        <v>607</v>
      </c>
      <c r="F2521" s="65" t="s">
        <v>607</v>
      </c>
      <c r="G2521" s="65" t="s">
        <v>607</v>
      </c>
      <c r="H2521" s="52" t="s">
        <v>607</v>
      </c>
      <c r="I2521" s="52" t="s">
        <v>607</v>
      </c>
      <c r="J2521" s="52" t="s">
        <v>607</v>
      </c>
      <c r="K2521" s="52" t="s">
        <v>607</v>
      </c>
      <c r="L2521" s="52" t="s">
        <v>607</v>
      </c>
      <c r="M2521" s="52" t="s">
        <v>607</v>
      </c>
      <c r="N2521" s="52" t="s">
        <v>607</v>
      </c>
      <c r="O2521" s="52"/>
      <c r="P2521" s="52"/>
      <c r="Q2521" s="52"/>
      <c r="R2521" s="51" t="b">
        <v>0</v>
      </c>
      <c r="S2521" s="51"/>
      <c r="T2521" s="52"/>
      <c r="U2521" s="51" t="b">
        <v>0</v>
      </c>
      <c r="V2521" s="51" t="b">
        <v>0</v>
      </c>
      <c r="W2521" s="51" t="b">
        <v>0</v>
      </c>
      <c r="X2521" s="51" t="b">
        <v>0</v>
      </c>
      <c r="Y2521" s="51" t="b">
        <v>0</v>
      </c>
      <c r="Z2521" s="51" t="b">
        <v>0</v>
      </c>
      <c r="AA2521" s="68"/>
      <c r="AB2521" s="52"/>
      <c r="AC2521" s="52"/>
      <c r="AD2521" s="52"/>
      <c r="AE2521" s="56" t="s">
        <v>607</v>
      </c>
      <c r="AF2521" s="56" t="s">
        <v>607</v>
      </c>
    </row>
    <row r="2522">
      <c r="A2522" s="52" t="s">
        <v>5937</v>
      </c>
      <c r="B2522" s="52" t="s">
        <v>607</v>
      </c>
      <c r="C2522" s="52" t="s">
        <v>607</v>
      </c>
      <c r="D2522" s="65" t="s">
        <v>607</v>
      </c>
      <c r="E2522" s="65" t="s">
        <v>607</v>
      </c>
      <c r="F2522" s="65" t="s">
        <v>607</v>
      </c>
      <c r="G2522" s="65" t="s">
        <v>607</v>
      </c>
      <c r="H2522" s="52" t="s">
        <v>607</v>
      </c>
      <c r="I2522" s="52" t="s">
        <v>607</v>
      </c>
      <c r="J2522" s="52" t="s">
        <v>607</v>
      </c>
      <c r="K2522" s="52" t="s">
        <v>607</v>
      </c>
      <c r="L2522" s="52" t="s">
        <v>607</v>
      </c>
      <c r="M2522" s="52" t="s">
        <v>607</v>
      </c>
      <c r="N2522" s="52" t="s">
        <v>607</v>
      </c>
      <c r="O2522" s="52"/>
      <c r="P2522" s="52"/>
      <c r="Q2522" s="52"/>
      <c r="R2522" s="51" t="b">
        <v>0</v>
      </c>
      <c r="S2522" s="51"/>
      <c r="T2522" s="52"/>
      <c r="U2522" s="51" t="b">
        <v>0</v>
      </c>
      <c r="V2522" s="51" t="b">
        <v>0</v>
      </c>
      <c r="W2522" s="51" t="b">
        <v>0</v>
      </c>
      <c r="X2522" s="51" t="b">
        <v>0</v>
      </c>
      <c r="Y2522" s="51" t="b">
        <v>0</v>
      </c>
      <c r="Z2522" s="51" t="b">
        <v>0</v>
      </c>
      <c r="AA2522" s="68"/>
      <c r="AB2522" s="52"/>
      <c r="AC2522" s="52"/>
      <c r="AD2522" s="52"/>
      <c r="AE2522" s="56" t="s">
        <v>607</v>
      </c>
      <c r="AF2522" s="56" t="s">
        <v>607</v>
      </c>
    </row>
    <row r="2523">
      <c r="A2523" s="52" t="s">
        <v>5941</v>
      </c>
      <c r="B2523" s="52" t="s">
        <v>607</v>
      </c>
      <c r="C2523" s="52" t="s">
        <v>607</v>
      </c>
      <c r="D2523" s="65" t="s">
        <v>607</v>
      </c>
      <c r="E2523" s="65" t="s">
        <v>607</v>
      </c>
      <c r="F2523" s="65" t="s">
        <v>607</v>
      </c>
      <c r="G2523" s="65" t="s">
        <v>607</v>
      </c>
      <c r="H2523" s="52" t="s">
        <v>607</v>
      </c>
      <c r="I2523" s="52" t="s">
        <v>607</v>
      </c>
      <c r="J2523" s="52" t="s">
        <v>607</v>
      </c>
      <c r="K2523" s="52" t="s">
        <v>607</v>
      </c>
      <c r="L2523" s="52" t="s">
        <v>607</v>
      </c>
      <c r="M2523" s="52" t="s">
        <v>607</v>
      </c>
      <c r="N2523" s="52" t="s">
        <v>607</v>
      </c>
      <c r="O2523" s="52"/>
      <c r="P2523" s="52"/>
      <c r="Q2523" s="52"/>
      <c r="R2523" s="51" t="b">
        <v>0</v>
      </c>
      <c r="S2523" s="51"/>
      <c r="T2523" s="52"/>
      <c r="U2523" s="51" t="b">
        <v>0</v>
      </c>
      <c r="V2523" s="51" t="b">
        <v>0</v>
      </c>
      <c r="W2523" s="51" t="b">
        <v>0</v>
      </c>
      <c r="X2523" s="51" t="b">
        <v>0</v>
      </c>
      <c r="Y2523" s="51" t="b">
        <v>0</v>
      </c>
      <c r="Z2523" s="51" t="b">
        <v>0</v>
      </c>
      <c r="AA2523" s="68"/>
      <c r="AB2523" s="52"/>
      <c r="AC2523" s="52"/>
      <c r="AD2523" s="52"/>
      <c r="AE2523" s="56" t="s">
        <v>607</v>
      </c>
      <c r="AF2523" s="56" t="s">
        <v>607</v>
      </c>
    </row>
    <row r="2524">
      <c r="A2524" s="52" t="s">
        <v>5942</v>
      </c>
      <c r="B2524" s="52" t="s">
        <v>607</v>
      </c>
      <c r="C2524" s="52" t="s">
        <v>607</v>
      </c>
      <c r="D2524" s="65" t="s">
        <v>607</v>
      </c>
      <c r="E2524" s="65" t="s">
        <v>607</v>
      </c>
      <c r="F2524" s="65" t="s">
        <v>607</v>
      </c>
      <c r="G2524" s="65" t="s">
        <v>607</v>
      </c>
      <c r="H2524" s="52" t="s">
        <v>607</v>
      </c>
      <c r="I2524" s="52" t="s">
        <v>607</v>
      </c>
      <c r="J2524" s="52" t="s">
        <v>607</v>
      </c>
      <c r="K2524" s="52" t="s">
        <v>607</v>
      </c>
      <c r="L2524" s="52" t="s">
        <v>607</v>
      </c>
      <c r="M2524" s="52" t="s">
        <v>607</v>
      </c>
      <c r="N2524" s="52" t="s">
        <v>607</v>
      </c>
      <c r="O2524" s="52"/>
      <c r="P2524" s="52"/>
      <c r="Q2524" s="52"/>
      <c r="R2524" s="51" t="b">
        <v>0</v>
      </c>
      <c r="S2524" s="51"/>
      <c r="T2524" s="52"/>
      <c r="U2524" s="51" t="b">
        <v>0</v>
      </c>
      <c r="V2524" s="51" t="b">
        <v>0</v>
      </c>
      <c r="W2524" s="51" t="b">
        <v>0</v>
      </c>
      <c r="X2524" s="51" t="b">
        <v>0</v>
      </c>
      <c r="Y2524" s="51" t="b">
        <v>0</v>
      </c>
      <c r="Z2524" s="51" t="b">
        <v>0</v>
      </c>
      <c r="AA2524" s="68"/>
      <c r="AB2524" s="52"/>
      <c r="AC2524" s="52"/>
      <c r="AD2524" s="52"/>
      <c r="AE2524" s="56" t="s">
        <v>607</v>
      </c>
      <c r="AF2524" s="56" t="s">
        <v>607</v>
      </c>
    </row>
    <row r="2525">
      <c r="A2525" s="52" t="s">
        <v>5943</v>
      </c>
      <c r="B2525" s="52" t="s">
        <v>607</v>
      </c>
      <c r="C2525" s="52" t="s">
        <v>607</v>
      </c>
      <c r="D2525" s="65" t="s">
        <v>607</v>
      </c>
      <c r="E2525" s="65" t="s">
        <v>607</v>
      </c>
      <c r="F2525" s="65" t="s">
        <v>607</v>
      </c>
      <c r="G2525" s="65" t="s">
        <v>607</v>
      </c>
      <c r="H2525" s="52" t="s">
        <v>607</v>
      </c>
      <c r="I2525" s="52" t="s">
        <v>607</v>
      </c>
      <c r="J2525" s="52" t="s">
        <v>607</v>
      </c>
      <c r="K2525" s="52" t="s">
        <v>607</v>
      </c>
      <c r="L2525" s="52" t="s">
        <v>607</v>
      </c>
      <c r="M2525" s="52" t="s">
        <v>607</v>
      </c>
      <c r="N2525" s="52" t="s">
        <v>607</v>
      </c>
      <c r="O2525" s="52"/>
      <c r="P2525" s="52"/>
      <c r="Q2525" s="52"/>
      <c r="R2525" s="51" t="b">
        <v>0</v>
      </c>
      <c r="S2525" s="51"/>
      <c r="T2525" s="52"/>
      <c r="U2525" s="51" t="b">
        <v>0</v>
      </c>
      <c r="V2525" s="51" t="b">
        <v>0</v>
      </c>
      <c r="W2525" s="51" t="b">
        <v>0</v>
      </c>
      <c r="X2525" s="51" t="b">
        <v>0</v>
      </c>
      <c r="Y2525" s="51" t="b">
        <v>0</v>
      </c>
      <c r="Z2525" s="51" t="b">
        <v>0</v>
      </c>
      <c r="AA2525" s="68"/>
      <c r="AB2525" s="52"/>
      <c r="AC2525" s="52"/>
      <c r="AD2525" s="52"/>
      <c r="AE2525" s="56" t="s">
        <v>607</v>
      </c>
      <c r="AF2525" s="56" t="s">
        <v>607</v>
      </c>
    </row>
    <row r="2526">
      <c r="A2526" s="52" t="s">
        <v>5944</v>
      </c>
      <c r="B2526" s="52" t="s">
        <v>607</v>
      </c>
      <c r="C2526" s="52" t="s">
        <v>607</v>
      </c>
      <c r="D2526" s="65" t="s">
        <v>607</v>
      </c>
      <c r="E2526" s="65" t="s">
        <v>607</v>
      </c>
      <c r="F2526" s="65" t="s">
        <v>607</v>
      </c>
      <c r="G2526" s="65" t="s">
        <v>607</v>
      </c>
      <c r="H2526" s="52" t="s">
        <v>607</v>
      </c>
      <c r="I2526" s="52" t="s">
        <v>607</v>
      </c>
      <c r="J2526" s="52" t="s">
        <v>607</v>
      </c>
      <c r="K2526" s="52" t="s">
        <v>607</v>
      </c>
      <c r="L2526" s="52" t="s">
        <v>607</v>
      </c>
      <c r="M2526" s="52" t="s">
        <v>607</v>
      </c>
      <c r="N2526" s="52" t="s">
        <v>607</v>
      </c>
      <c r="O2526" s="52"/>
      <c r="P2526" s="52"/>
      <c r="Q2526" s="52"/>
      <c r="R2526" s="51" t="b">
        <v>0</v>
      </c>
      <c r="S2526" s="51"/>
      <c r="T2526" s="52"/>
      <c r="U2526" s="51" t="b">
        <v>0</v>
      </c>
      <c r="V2526" s="51" t="b">
        <v>0</v>
      </c>
      <c r="W2526" s="51" t="b">
        <v>0</v>
      </c>
      <c r="X2526" s="51" t="b">
        <v>0</v>
      </c>
      <c r="Y2526" s="51" t="b">
        <v>0</v>
      </c>
      <c r="Z2526" s="51" t="b">
        <v>0</v>
      </c>
      <c r="AA2526" s="68"/>
      <c r="AB2526" s="52"/>
      <c r="AC2526" s="52"/>
      <c r="AD2526" s="52"/>
      <c r="AE2526" s="56" t="s">
        <v>607</v>
      </c>
      <c r="AF2526" s="56" t="s">
        <v>607</v>
      </c>
    </row>
    <row r="2527">
      <c r="A2527" s="52" t="s">
        <v>5945</v>
      </c>
      <c r="B2527" s="52" t="s">
        <v>607</v>
      </c>
      <c r="C2527" s="52" t="s">
        <v>607</v>
      </c>
      <c r="D2527" s="65" t="s">
        <v>607</v>
      </c>
      <c r="E2527" s="65" t="s">
        <v>607</v>
      </c>
      <c r="F2527" s="65" t="s">
        <v>607</v>
      </c>
      <c r="G2527" s="65" t="s">
        <v>607</v>
      </c>
      <c r="H2527" s="52" t="s">
        <v>607</v>
      </c>
      <c r="I2527" s="52" t="s">
        <v>607</v>
      </c>
      <c r="J2527" s="52" t="s">
        <v>607</v>
      </c>
      <c r="K2527" s="52" t="s">
        <v>607</v>
      </c>
      <c r="L2527" s="52" t="s">
        <v>607</v>
      </c>
      <c r="M2527" s="52" t="s">
        <v>607</v>
      </c>
      <c r="N2527" s="52" t="s">
        <v>607</v>
      </c>
      <c r="O2527" s="52"/>
      <c r="P2527" s="52"/>
      <c r="Q2527" s="52"/>
      <c r="R2527" s="51" t="b">
        <v>0</v>
      </c>
      <c r="S2527" s="51"/>
      <c r="T2527" s="52"/>
      <c r="U2527" s="51" t="b">
        <v>0</v>
      </c>
      <c r="V2527" s="51" t="b">
        <v>0</v>
      </c>
      <c r="W2527" s="51" t="b">
        <v>0</v>
      </c>
      <c r="X2527" s="51" t="b">
        <v>0</v>
      </c>
      <c r="Y2527" s="51" t="b">
        <v>0</v>
      </c>
      <c r="Z2527" s="51" t="b">
        <v>0</v>
      </c>
      <c r="AA2527" s="68"/>
      <c r="AB2527" s="52"/>
      <c r="AC2527" s="52"/>
      <c r="AD2527" s="52"/>
      <c r="AE2527" s="56" t="s">
        <v>607</v>
      </c>
      <c r="AF2527" s="56" t="s">
        <v>607</v>
      </c>
    </row>
    <row r="2528">
      <c r="A2528" s="52" t="s">
        <v>5946</v>
      </c>
      <c r="B2528" s="52" t="s">
        <v>607</v>
      </c>
      <c r="C2528" s="52" t="s">
        <v>607</v>
      </c>
      <c r="D2528" s="65" t="s">
        <v>607</v>
      </c>
      <c r="E2528" s="65" t="s">
        <v>607</v>
      </c>
      <c r="F2528" s="65" t="s">
        <v>607</v>
      </c>
      <c r="G2528" s="65" t="s">
        <v>607</v>
      </c>
      <c r="H2528" s="52" t="s">
        <v>607</v>
      </c>
      <c r="I2528" s="52" t="s">
        <v>607</v>
      </c>
      <c r="J2528" s="52" t="s">
        <v>607</v>
      </c>
      <c r="K2528" s="52" t="s">
        <v>607</v>
      </c>
      <c r="L2528" s="52" t="s">
        <v>607</v>
      </c>
      <c r="M2528" s="52" t="s">
        <v>607</v>
      </c>
      <c r="N2528" s="52" t="s">
        <v>607</v>
      </c>
      <c r="O2528" s="52"/>
      <c r="P2528" s="52"/>
      <c r="Q2528" s="52"/>
      <c r="R2528" s="51" t="b">
        <v>0</v>
      </c>
      <c r="S2528" s="51"/>
      <c r="T2528" s="52"/>
      <c r="U2528" s="51" t="b">
        <v>0</v>
      </c>
      <c r="V2528" s="51" t="b">
        <v>0</v>
      </c>
      <c r="W2528" s="51" t="b">
        <v>0</v>
      </c>
      <c r="X2528" s="51" t="b">
        <v>0</v>
      </c>
      <c r="Y2528" s="51" t="b">
        <v>0</v>
      </c>
      <c r="Z2528" s="51" t="b">
        <v>0</v>
      </c>
      <c r="AA2528" s="68"/>
      <c r="AB2528" s="52"/>
      <c r="AC2528" s="52"/>
      <c r="AD2528" s="52"/>
      <c r="AE2528" s="56" t="s">
        <v>607</v>
      </c>
      <c r="AF2528" s="56" t="s">
        <v>607</v>
      </c>
    </row>
    <row r="2529">
      <c r="A2529" s="52" t="s">
        <v>5947</v>
      </c>
      <c r="B2529" s="52" t="s">
        <v>607</v>
      </c>
      <c r="C2529" s="52" t="s">
        <v>607</v>
      </c>
      <c r="D2529" s="65" t="s">
        <v>607</v>
      </c>
      <c r="E2529" s="65" t="s">
        <v>607</v>
      </c>
      <c r="F2529" s="65" t="s">
        <v>607</v>
      </c>
      <c r="G2529" s="65" t="s">
        <v>607</v>
      </c>
      <c r="H2529" s="52" t="s">
        <v>607</v>
      </c>
      <c r="I2529" s="52" t="s">
        <v>607</v>
      </c>
      <c r="J2529" s="52" t="s">
        <v>607</v>
      </c>
      <c r="K2529" s="52" t="s">
        <v>607</v>
      </c>
      <c r="L2529" s="52" t="s">
        <v>607</v>
      </c>
      <c r="M2529" s="52" t="s">
        <v>607</v>
      </c>
      <c r="N2529" s="52" t="s">
        <v>607</v>
      </c>
      <c r="O2529" s="52"/>
      <c r="P2529" s="52"/>
      <c r="Q2529" s="52"/>
      <c r="R2529" s="51" t="b">
        <v>0</v>
      </c>
      <c r="S2529" s="51"/>
      <c r="T2529" s="52"/>
      <c r="U2529" s="51" t="b">
        <v>0</v>
      </c>
      <c r="V2529" s="51" t="b">
        <v>0</v>
      </c>
      <c r="W2529" s="51" t="b">
        <v>0</v>
      </c>
      <c r="X2529" s="51" t="b">
        <v>0</v>
      </c>
      <c r="Y2529" s="51" t="b">
        <v>0</v>
      </c>
      <c r="Z2529" s="51" t="b">
        <v>0</v>
      </c>
      <c r="AA2529" s="68"/>
      <c r="AB2529" s="52"/>
      <c r="AC2529" s="52"/>
      <c r="AD2529" s="52"/>
      <c r="AE2529" s="56" t="s">
        <v>607</v>
      </c>
      <c r="AF2529" s="56" t="s">
        <v>607</v>
      </c>
    </row>
    <row r="2530">
      <c r="A2530" s="52" t="s">
        <v>5948</v>
      </c>
      <c r="B2530" s="52" t="s">
        <v>607</v>
      </c>
      <c r="C2530" s="52" t="s">
        <v>607</v>
      </c>
      <c r="D2530" s="65" t="s">
        <v>607</v>
      </c>
      <c r="E2530" s="65" t="s">
        <v>607</v>
      </c>
      <c r="F2530" s="65" t="s">
        <v>607</v>
      </c>
      <c r="G2530" s="65" t="s">
        <v>607</v>
      </c>
      <c r="H2530" s="52" t="s">
        <v>607</v>
      </c>
      <c r="I2530" s="52" t="s">
        <v>607</v>
      </c>
      <c r="J2530" s="52" t="s">
        <v>607</v>
      </c>
      <c r="K2530" s="52" t="s">
        <v>607</v>
      </c>
      <c r="L2530" s="52" t="s">
        <v>607</v>
      </c>
      <c r="M2530" s="52" t="s">
        <v>607</v>
      </c>
      <c r="N2530" s="52" t="s">
        <v>607</v>
      </c>
      <c r="O2530" s="52"/>
      <c r="P2530" s="52"/>
      <c r="Q2530" s="52"/>
      <c r="R2530" s="51" t="b">
        <v>0</v>
      </c>
      <c r="S2530" s="51"/>
      <c r="T2530" s="52"/>
      <c r="U2530" s="51" t="b">
        <v>0</v>
      </c>
      <c r="V2530" s="51" t="b">
        <v>0</v>
      </c>
      <c r="W2530" s="51" t="b">
        <v>0</v>
      </c>
      <c r="X2530" s="51" t="b">
        <v>0</v>
      </c>
      <c r="Y2530" s="51" t="b">
        <v>0</v>
      </c>
      <c r="Z2530" s="51" t="b">
        <v>0</v>
      </c>
      <c r="AA2530" s="68"/>
      <c r="AB2530" s="52"/>
      <c r="AC2530" s="52"/>
      <c r="AD2530" s="52"/>
      <c r="AE2530" s="56" t="s">
        <v>607</v>
      </c>
      <c r="AF2530" s="56" t="s">
        <v>607</v>
      </c>
    </row>
    <row r="2531">
      <c r="A2531" s="52" t="s">
        <v>5949</v>
      </c>
      <c r="B2531" s="52" t="s">
        <v>607</v>
      </c>
      <c r="C2531" s="52" t="s">
        <v>607</v>
      </c>
      <c r="D2531" s="65" t="s">
        <v>607</v>
      </c>
      <c r="E2531" s="65" t="s">
        <v>607</v>
      </c>
      <c r="F2531" s="65" t="s">
        <v>607</v>
      </c>
      <c r="G2531" s="65" t="s">
        <v>607</v>
      </c>
      <c r="H2531" s="52" t="s">
        <v>607</v>
      </c>
      <c r="I2531" s="52" t="s">
        <v>607</v>
      </c>
      <c r="J2531" s="52" t="s">
        <v>607</v>
      </c>
      <c r="K2531" s="52" t="s">
        <v>607</v>
      </c>
      <c r="L2531" s="52" t="s">
        <v>607</v>
      </c>
      <c r="M2531" s="52" t="s">
        <v>607</v>
      </c>
      <c r="N2531" s="52" t="s">
        <v>607</v>
      </c>
      <c r="O2531" s="52"/>
      <c r="P2531" s="52"/>
      <c r="Q2531" s="52"/>
      <c r="R2531" s="51" t="b">
        <v>0</v>
      </c>
      <c r="S2531" s="51"/>
      <c r="T2531" s="52"/>
      <c r="U2531" s="51" t="b">
        <v>0</v>
      </c>
      <c r="V2531" s="51" t="b">
        <v>0</v>
      </c>
      <c r="W2531" s="51" t="b">
        <v>0</v>
      </c>
      <c r="X2531" s="51" t="b">
        <v>0</v>
      </c>
      <c r="Y2531" s="51" t="b">
        <v>0</v>
      </c>
      <c r="Z2531" s="51" t="b">
        <v>0</v>
      </c>
      <c r="AA2531" s="68"/>
      <c r="AB2531" s="52"/>
      <c r="AC2531" s="52"/>
      <c r="AD2531" s="52"/>
      <c r="AE2531" s="56" t="s">
        <v>607</v>
      </c>
      <c r="AF2531" s="56" t="s">
        <v>607</v>
      </c>
    </row>
    <row r="2532">
      <c r="A2532" s="52" t="s">
        <v>5950</v>
      </c>
      <c r="B2532" s="52" t="s">
        <v>607</v>
      </c>
      <c r="C2532" s="52" t="s">
        <v>607</v>
      </c>
      <c r="D2532" s="65" t="s">
        <v>607</v>
      </c>
      <c r="E2532" s="65" t="s">
        <v>607</v>
      </c>
      <c r="F2532" s="65" t="s">
        <v>607</v>
      </c>
      <c r="G2532" s="65" t="s">
        <v>607</v>
      </c>
      <c r="H2532" s="52" t="s">
        <v>607</v>
      </c>
      <c r="I2532" s="52" t="s">
        <v>607</v>
      </c>
      <c r="J2532" s="52" t="s">
        <v>607</v>
      </c>
      <c r="K2532" s="52" t="s">
        <v>607</v>
      </c>
      <c r="L2532" s="52" t="s">
        <v>607</v>
      </c>
      <c r="M2532" s="52" t="s">
        <v>607</v>
      </c>
      <c r="N2532" s="52" t="s">
        <v>607</v>
      </c>
      <c r="O2532" s="52"/>
      <c r="P2532" s="52"/>
      <c r="Q2532" s="52"/>
      <c r="R2532" s="51" t="b">
        <v>0</v>
      </c>
      <c r="S2532" s="51"/>
      <c r="T2532" s="52"/>
      <c r="U2532" s="51" t="b">
        <v>0</v>
      </c>
      <c r="V2532" s="51" t="b">
        <v>0</v>
      </c>
      <c r="W2532" s="51" t="b">
        <v>0</v>
      </c>
      <c r="X2532" s="51" t="b">
        <v>0</v>
      </c>
      <c r="Y2532" s="51" t="b">
        <v>0</v>
      </c>
      <c r="Z2532" s="51" t="b">
        <v>0</v>
      </c>
      <c r="AA2532" s="68"/>
      <c r="AB2532" s="52"/>
      <c r="AC2532" s="52"/>
      <c r="AD2532" s="52"/>
      <c r="AE2532" s="56" t="s">
        <v>607</v>
      </c>
      <c r="AF2532" s="56" t="s">
        <v>607</v>
      </c>
    </row>
    <row r="2533">
      <c r="A2533" s="52" t="s">
        <v>5951</v>
      </c>
      <c r="B2533" s="52" t="s">
        <v>607</v>
      </c>
      <c r="C2533" s="52" t="s">
        <v>607</v>
      </c>
      <c r="D2533" s="65" t="s">
        <v>607</v>
      </c>
      <c r="E2533" s="65" t="s">
        <v>607</v>
      </c>
      <c r="F2533" s="65" t="s">
        <v>607</v>
      </c>
      <c r="G2533" s="65" t="s">
        <v>607</v>
      </c>
      <c r="H2533" s="52" t="s">
        <v>607</v>
      </c>
      <c r="I2533" s="52" t="s">
        <v>607</v>
      </c>
      <c r="J2533" s="52" t="s">
        <v>607</v>
      </c>
      <c r="K2533" s="52" t="s">
        <v>607</v>
      </c>
      <c r="L2533" s="52" t="s">
        <v>607</v>
      </c>
      <c r="M2533" s="52" t="s">
        <v>607</v>
      </c>
      <c r="N2533" s="52" t="s">
        <v>607</v>
      </c>
      <c r="O2533" s="52"/>
      <c r="P2533" s="52"/>
      <c r="Q2533" s="52"/>
      <c r="R2533" s="51" t="b">
        <v>0</v>
      </c>
      <c r="S2533" s="51"/>
      <c r="T2533" s="52"/>
      <c r="U2533" s="51" t="b">
        <v>0</v>
      </c>
      <c r="V2533" s="51" t="b">
        <v>0</v>
      </c>
      <c r="W2533" s="51" t="b">
        <v>0</v>
      </c>
      <c r="X2533" s="51" t="b">
        <v>0</v>
      </c>
      <c r="Y2533" s="51" t="b">
        <v>0</v>
      </c>
      <c r="Z2533" s="51" t="b">
        <v>0</v>
      </c>
      <c r="AA2533" s="68"/>
      <c r="AB2533" s="52"/>
      <c r="AC2533" s="52"/>
      <c r="AD2533" s="52"/>
      <c r="AE2533" s="56" t="s">
        <v>607</v>
      </c>
      <c r="AF2533" s="56" t="s">
        <v>607</v>
      </c>
    </row>
    <row r="2534">
      <c r="A2534" s="52" t="s">
        <v>5952</v>
      </c>
      <c r="B2534" s="52" t="s">
        <v>607</v>
      </c>
      <c r="C2534" s="52" t="s">
        <v>607</v>
      </c>
      <c r="D2534" s="65" t="s">
        <v>607</v>
      </c>
      <c r="E2534" s="65" t="s">
        <v>607</v>
      </c>
      <c r="F2534" s="65" t="s">
        <v>607</v>
      </c>
      <c r="G2534" s="65" t="s">
        <v>607</v>
      </c>
      <c r="H2534" s="52" t="s">
        <v>607</v>
      </c>
      <c r="I2534" s="52" t="s">
        <v>607</v>
      </c>
      <c r="J2534" s="52" t="s">
        <v>607</v>
      </c>
      <c r="K2534" s="52" t="s">
        <v>607</v>
      </c>
      <c r="L2534" s="52" t="s">
        <v>607</v>
      </c>
      <c r="M2534" s="52" t="s">
        <v>607</v>
      </c>
      <c r="N2534" s="52" t="s">
        <v>607</v>
      </c>
      <c r="O2534" s="52"/>
      <c r="P2534" s="52"/>
      <c r="Q2534" s="52"/>
      <c r="R2534" s="51" t="b">
        <v>0</v>
      </c>
      <c r="S2534" s="51"/>
      <c r="T2534" s="52"/>
      <c r="U2534" s="51" t="b">
        <v>0</v>
      </c>
      <c r="V2534" s="51" t="b">
        <v>0</v>
      </c>
      <c r="W2534" s="51" t="b">
        <v>0</v>
      </c>
      <c r="X2534" s="51" t="b">
        <v>0</v>
      </c>
      <c r="Y2534" s="51" t="b">
        <v>0</v>
      </c>
      <c r="Z2534" s="51" t="b">
        <v>0</v>
      </c>
      <c r="AA2534" s="68"/>
      <c r="AB2534" s="52"/>
      <c r="AC2534" s="52"/>
      <c r="AD2534" s="52"/>
      <c r="AE2534" s="56" t="s">
        <v>607</v>
      </c>
      <c r="AF2534" s="56" t="s">
        <v>607</v>
      </c>
    </row>
    <row r="2535">
      <c r="A2535" s="52" t="s">
        <v>5953</v>
      </c>
      <c r="B2535" s="52" t="s">
        <v>607</v>
      </c>
      <c r="C2535" s="52" t="s">
        <v>607</v>
      </c>
      <c r="D2535" s="65" t="s">
        <v>607</v>
      </c>
      <c r="E2535" s="65" t="s">
        <v>607</v>
      </c>
      <c r="F2535" s="65" t="s">
        <v>607</v>
      </c>
      <c r="G2535" s="65" t="s">
        <v>607</v>
      </c>
      <c r="H2535" s="52" t="s">
        <v>607</v>
      </c>
      <c r="I2535" s="52" t="s">
        <v>607</v>
      </c>
      <c r="J2535" s="52" t="s">
        <v>607</v>
      </c>
      <c r="K2535" s="52" t="s">
        <v>607</v>
      </c>
      <c r="L2535" s="52" t="s">
        <v>607</v>
      </c>
      <c r="M2535" s="52" t="s">
        <v>607</v>
      </c>
      <c r="N2535" s="52" t="s">
        <v>607</v>
      </c>
      <c r="O2535" s="52"/>
      <c r="P2535" s="52"/>
      <c r="Q2535" s="52"/>
      <c r="R2535" s="51" t="b">
        <v>0</v>
      </c>
      <c r="S2535" s="51"/>
      <c r="T2535" s="52"/>
      <c r="U2535" s="51" t="b">
        <v>0</v>
      </c>
      <c r="V2535" s="51" t="b">
        <v>0</v>
      </c>
      <c r="W2535" s="51" t="b">
        <v>0</v>
      </c>
      <c r="X2535" s="51" t="b">
        <v>0</v>
      </c>
      <c r="Y2535" s="51" t="b">
        <v>0</v>
      </c>
      <c r="Z2535" s="51" t="b">
        <v>0</v>
      </c>
      <c r="AA2535" s="68"/>
      <c r="AB2535" s="52"/>
      <c r="AC2535" s="52"/>
      <c r="AD2535" s="52"/>
      <c r="AE2535" s="56" t="s">
        <v>607</v>
      </c>
      <c r="AF2535" s="56" t="s">
        <v>607</v>
      </c>
    </row>
    <row r="2536">
      <c r="A2536" s="52" t="s">
        <v>5955</v>
      </c>
      <c r="B2536" s="52" t="s">
        <v>607</v>
      </c>
      <c r="C2536" s="52" t="s">
        <v>607</v>
      </c>
      <c r="D2536" s="65" t="s">
        <v>607</v>
      </c>
      <c r="E2536" s="65" t="s">
        <v>607</v>
      </c>
      <c r="F2536" s="65" t="s">
        <v>607</v>
      </c>
      <c r="G2536" s="65" t="s">
        <v>607</v>
      </c>
      <c r="H2536" s="52" t="s">
        <v>607</v>
      </c>
      <c r="I2536" s="52" t="s">
        <v>607</v>
      </c>
      <c r="J2536" s="52" t="s">
        <v>607</v>
      </c>
      <c r="K2536" s="52" t="s">
        <v>607</v>
      </c>
      <c r="L2536" s="52" t="s">
        <v>607</v>
      </c>
      <c r="M2536" s="52" t="s">
        <v>607</v>
      </c>
      <c r="N2536" s="52" t="s">
        <v>607</v>
      </c>
      <c r="O2536" s="52"/>
      <c r="P2536" s="52"/>
      <c r="Q2536" s="52"/>
      <c r="R2536" s="51" t="b">
        <v>0</v>
      </c>
      <c r="S2536" s="51"/>
      <c r="T2536" s="52"/>
      <c r="U2536" s="51" t="b">
        <v>0</v>
      </c>
      <c r="V2536" s="51" t="b">
        <v>0</v>
      </c>
      <c r="W2536" s="51" t="b">
        <v>0</v>
      </c>
      <c r="X2536" s="51" t="b">
        <v>0</v>
      </c>
      <c r="Y2536" s="51" t="b">
        <v>0</v>
      </c>
      <c r="Z2536" s="51" t="b">
        <v>0</v>
      </c>
      <c r="AA2536" s="68"/>
      <c r="AB2536" s="52"/>
      <c r="AC2536" s="52"/>
      <c r="AD2536" s="52"/>
      <c r="AE2536" s="56" t="s">
        <v>607</v>
      </c>
      <c r="AF2536" s="56" t="s">
        <v>607</v>
      </c>
    </row>
    <row r="2537">
      <c r="A2537" s="52" t="s">
        <v>5956</v>
      </c>
      <c r="B2537" s="52" t="s">
        <v>607</v>
      </c>
      <c r="C2537" s="52" t="s">
        <v>607</v>
      </c>
      <c r="D2537" s="65" t="s">
        <v>607</v>
      </c>
      <c r="E2537" s="65" t="s">
        <v>607</v>
      </c>
      <c r="F2537" s="65" t="s">
        <v>607</v>
      </c>
      <c r="G2537" s="65" t="s">
        <v>607</v>
      </c>
      <c r="H2537" s="52" t="s">
        <v>607</v>
      </c>
      <c r="I2537" s="52" t="s">
        <v>607</v>
      </c>
      <c r="J2537" s="52" t="s">
        <v>607</v>
      </c>
      <c r="K2537" s="52" t="s">
        <v>607</v>
      </c>
      <c r="L2537" s="52" t="s">
        <v>607</v>
      </c>
      <c r="M2537" s="52" t="s">
        <v>607</v>
      </c>
      <c r="N2537" s="52" t="s">
        <v>607</v>
      </c>
      <c r="O2537" s="52"/>
      <c r="P2537" s="52"/>
      <c r="Q2537" s="52"/>
      <c r="R2537" s="51" t="b">
        <v>0</v>
      </c>
      <c r="S2537" s="51"/>
      <c r="T2537" s="52"/>
      <c r="U2537" s="51" t="b">
        <v>0</v>
      </c>
      <c r="V2537" s="51" t="b">
        <v>0</v>
      </c>
      <c r="W2537" s="51" t="b">
        <v>0</v>
      </c>
      <c r="X2537" s="51" t="b">
        <v>0</v>
      </c>
      <c r="Y2537" s="51" t="b">
        <v>0</v>
      </c>
      <c r="Z2537" s="51" t="b">
        <v>0</v>
      </c>
      <c r="AA2537" s="68"/>
      <c r="AB2537" s="52"/>
      <c r="AC2537" s="52"/>
      <c r="AD2537" s="52"/>
      <c r="AE2537" s="56" t="s">
        <v>607</v>
      </c>
      <c r="AF2537" s="56" t="s">
        <v>607</v>
      </c>
    </row>
    <row r="2538">
      <c r="A2538" s="52" t="s">
        <v>5957</v>
      </c>
      <c r="B2538" s="52" t="s">
        <v>607</v>
      </c>
      <c r="C2538" s="52" t="s">
        <v>607</v>
      </c>
      <c r="D2538" s="65" t="s">
        <v>607</v>
      </c>
      <c r="E2538" s="65" t="s">
        <v>607</v>
      </c>
      <c r="F2538" s="65" t="s">
        <v>607</v>
      </c>
      <c r="G2538" s="65" t="s">
        <v>607</v>
      </c>
      <c r="H2538" s="52" t="s">
        <v>607</v>
      </c>
      <c r="I2538" s="52" t="s">
        <v>607</v>
      </c>
      <c r="J2538" s="52" t="s">
        <v>607</v>
      </c>
      <c r="K2538" s="52" t="s">
        <v>607</v>
      </c>
      <c r="L2538" s="52" t="s">
        <v>607</v>
      </c>
      <c r="M2538" s="52" t="s">
        <v>607</v>
      </c>
      <c r="N2538" s="52" t="s">
        <v>607</v>
      </c>
      <c r="O2538" s="52"/>
      <c r="P2538" s="52"/>
      <c r="Q2538" s="52"/>
      <c r="R2538" s="51" t="b">
        <v>0</v>
      </c>
      <c r="S2538" s="51"/>
      <c r="T2538" s="52"/>
      <c r="U2538" s="51" t="b">
        <v>0</v>
      </c>
      <c r="V2538" s="51" t="b">
        <v>0</v>
      </c>
      <c r="W2538" s="51" t="b">
        <v>0</v>
      </c>
      <c r="X2538" s="51" t="b">
        <v>0</v>
      </c>
      <c r="Y2538" s="51" t="b">
        <v>0</v>
      </c>
      <c r="Z2538" s="51" t="b">
        <v>0</v>
      </c>
      <c r="AA2538" s="68"/>
      <c r="AB2538" s="52"/>
      <c r="AC2538" s="52"/>
      <c r="AD2538" s="52"/>
      <c r="AE2538" s="56" t="s">
        <v>607</v>
      </c>
      <c r="AF2538" s="56" t="s">
        <v>607</v>
      </c>
    </row>
    <row r="2539">
      <c r="A2539" s="52" t="s">
        <v>5958</v>
      </c>
      <c r="B2539" s="52" t="s">
        <v>607</v>
      </c>
      <c r="C2539" s="52" t="s">
        <v>607</v>
      </c>
      <c r="D2539" s="65" t="s">
        <v>607</v>
      </c>
      <c r="E2539" s="65" t="s">
        <v>607</v>
      </c>
      <c r="F2539" s="65" t="s">
        <v>607</v>
      </c>
      <c r="G2539" s="65" t="s">
        <v>607</v>
      </c>
      <c r="H2539" s="52" t="s">
        <v>607</v>
      </c>
      <c r="I2539" s="52" t="s">
        <v>607</v>
      </c>
      <c r="J2539" s="52" t="s">
        <v>607</v>
      </c>
      <c r="K2539" s="52" t="s">
        <v>607</v>
      </c>
      <c r="L2539" s="52" t="s">
        <v>607</v>
      </c>
      <c r="M2539" s="52" t="s">
        <v>607</v>
      </c>
      <c r="N2539" s="52" t="s">
        <v>607</v>
      </c>
      <c r="O2539" s="52"/>
      <c r="P2539" s="52"/>
      <c r="Q2539" s="52"/>
      <c r="R2539" s="51" t="b">
        <v>0</v>
      </c>
      <c r="S2539" s="51"/>
      <c r="T2539" s="52"/>
      <c r="U2539" s="51" t="b">
        <v>0</v>
      </c>
      <c r="V2539" s="51" t="b">
        <v>0</v>
      </c>
      <c r="W2539" s="51" t="b">
        <v>0</v>
      </c>
      <c r="X2539" s="51" t="b">
        <v>0</v>
      </c>
      <c r="Y2539" s="51" t="b">
        <v>0</v>
      </c>
      <c r="Z2539" s="51" t="b">
        <v>0</v>
      </c>
      <c r="AA2539" s="68"/>
      <c r="AB2539" s="52"/>
      <c r="AC2539" s="52"/>
      <c r="AD2539" s="52"/>
      <c r="AE2539" s="56" t="s">
        <v>607</v>
      </c>
      <c r="AF2539" s="56" t="s">
        <v>607</v>
      </c>
    </row>
    <row r="2540">
      <c r="A2540" s="52" t="s">
        <v>5961</v>
      </c>
      <c r="B2540" s="52" t="s">
        <v>607</v>
      </c>
      <c r="C2540" s="52" t="s">
        <v>607</v>
      </c>
      <c r="D2540" s="65" t="s">
        <v>607</v>
      </c>
      <c r="E2540" s="65" t="s">
        <v>607</v>
      </c>
      <c r="F2540" s="65" t="s">
        <v>607</v>
      </c>
      <c r="G2540" s="65" t="s">
        <v>607</v>
      </c>
      <c r="H2540" s="52" t="s">
        <v>607</v>
      </c>
      <c r="I2540" s="52" t="s">
        <v>607</v>
      </c>
      <c r="J2540" s="52" t="s">
        <v>607</v>
      </c>
      <c r="K2540" s="52" t="s">
        <v>607</v>
      </c>
      <c r="L2540" s="52" t="s">
        <v>607</v>
      </c>
      <c r="M2540" s="52" t="s">
        <v>607</v>
      </c>
      <c r="N2540" s="52" t="s">
        <v>607</v>
      </c>
      <c r="O2540" s="52"/>
      <c r="P2540" s="52"/>
      <c r="Q2540" s="52"/>
      <c r="R2540" s="51" t="b">
        <v>0</v>
      </c>
      <c r="S2540" s="51"/>
      <c r="T2540" s="52"/>
      <c r="U2540" s="51" t="b">
        <v>0</v>
      </c>
      <c r="V2540" s="51" t="b">
        <v>0</v>
      </c>
      <c r="W2540" s="51" t="b">
        <v>0</v>
      </c>
      <c r="X2540" s="51" t="b">
        <v>0</v>
      </c>
      <c r="Y2540" s="51" t="b">
        <v>0</v>
      </c>
      <c r="Z2540" s="51" t="b">
        <v>0</v>
      </c>
      <c r="AA2540" s="68"/>
      <c r="AB2540" s="52"/>
      <c r="AC2540" s="52"/>
      <c r="AD2540" s="52"/>
      <c r="AE2540" s="56" t="s">
        <v>607</v>
      </c>
      <c r="AF2540" s="56" t="s">
        <v>607</v>
      </c>
    </row>
    <row r="2541">
      <c r="A2541" s="52" t="s">
        <v>5962</v>
      </c>
      <c r="B2541" s="52" t="s">
        <v>607</v>
      </c>
      <c r="C2541" s="52" t="s">
        <v>607</v>
      </c>
      <c r="D2541" s="65" t="s">
        <v>607</v>
      </c>
      <c r="E2541" s="65" t="s">
        <v>607</v>
      </c>
      <c r="F2541" s="65" t="s">
        <v>607</v>
      </c>
      <c r="G2541" s="65" t="s">
        <v>607</v>
      </c>
      <c r="H2541" s="52" t="s">
        <v>607</v>
      </c>
      <c r="I2541" s="52" t="s">
        <v>607</v>
      </c>
      <c r="J2541" s="52" t="s">
        <v>607</v>
      </c>
      <c r="K2541" s="52" t="s">
        <v>607</v>
      </c>
      <c r="L2541" s="52" t="s">
        <v>607</v>
      </c>
      <c r="M2541" s="52" t="s">
        <v>607</v>
      </c>
      <c r="N2541" s="52" t="s">
        <v>607</v>
      </c>
      <c r="O2541" s="52"/>
      <c r="P2541" s="52"/>
      <c r="Q2541" s="52"/>
      <c r="R2541" s="51" t="b">
        <v>0</v>
      </c>
      <c r="S2541" s="51"/>
      <c r="T2541" s="52"/>
      <c r="U2541" s="51" t="b">
        <v>0</v>
      </c>
      <c r="V2541" s="51" t="b">
        <v>0</v>
      </c>
      <c r="W2541" s="51" t="b">
        <v>0</v>
      </c>
      <c r="X2541" s="51" t="b">
        <v>0</v>
      </c>
      <c r="Y2541" s="51" t="b">
        <v>0</v>
      </c>
      <c r="Z2541" s="51" t="b">
        <v>0</v>
      </c>
      <c r="AA2541" s="68"/>
      <c r="AB2541" s="52"/>
      <c r="AC2541" s="52"/>
      <c r="AD2541" s="52"/>
      <c r="AE2541" s="56" t="s">
        <v>607</v>
      </c>
      <c r="AF2541" s="56" t="s">
        <v>607</v>
      </c>
    </row>
    <row r="2542">
      <c r="A2542" s="52" t="s">
        <v>5964</v>
      </c>
      <c r="B2542" s="52" t="s">
        <v>607</v>
      </c>
      <c r="C2542" s="52" t="s">
        <v>607</v>
      </c>
      <c r="D2542" s="65" t="s">
        <v>607</v>
      </c>
      <c r="E2542" s="65" t="s">
        <v>607</v>
      </c>
      <c r="F2542" s="65" t="s">
        <v>607</v>
      </c>
      <c r="G2542" s="65" t="s">
        <v>607</v>
      </c>
      <c r="H2542" s="52" t="s">
        <v>607</v>
      </c>
      <c r="I2542" s="52" t="s">
        <v>607</v>
      </c>
      <c r="J2542" s="52" t="s">
        <v>607</v>
      </c>
      <c r="K2542" s="52" t="s">
        <v>607</v>
      </c>
      <c r="L2542" s="52" t="s">
        <v>607</v>
      </c>
      <c r="M2542" s="52" t="s">
        <v>607</v>
      </c>
      <c r="N2542" s="52" t="s">
        <v>607</v>
      </c>
      <c r="O2542" s="52"/>
      <c r="P2542" s="52"/>
      <c r="Q2542" s="52"/>
      <c r="R2542" s="51" t="b">
        <v>0</v>
      </c>
      <c r="S2542" s="51"/>
      <c r="T2542" s="52"/>
      <c r="U2542" s="51" t="b">
        <v>0</v>
      </c>
      <c r="V2542" s="51" t="b">
        <v>0</v>
      </c>
      <c r="W2542" s="51" t="b">
        <v>0</v>
      </c>
      <c r="X2542" s="51" t="b">
        <v>0</v>
      </c>
      <c r="Y2542" s="51" t="b">
        <v>0</v>
      </c>
      <c r="Z2542" s="51" t="b">
        <v>0</v>
      </c>
      <c r="AA2542" s="68"/>
      <c r="AB2542" s="52"/>
      <c r="AC2542" s="52"/>
      <c r="AD2542" s="52"/>
      <c r="AE2542" s="56" t="s">
        <v>607</v>
      </c>
      <c r="AF2542" s="56" t="s">
        <v>607</v>
      </c>
    </row>
    <row r="2543">
      <c r="A2543" s="52" t="s">
        <v>5965</v>
      </c>
      <c r="B2543" s="52" t="s">
        <v>607</v>
      </c>
      <c r="C2543" s="52" t="s">
        <v>607</v>
      </c>
      <c r="D2543" s="65" t="s">
        <v>607</v>
      </c>
      <c r="E2543" s="65" t="s">
        <v>607</v>
      </c>
      <c r="F2543" s="65" t="s">
        <v>607</v>
      </c>
      <c r="G2543" s="65" t="s">
        <v>607</v>
      </c>
      <c r="H2543" s="52" t="s">
        <v>607</v>
      </c>
      <c r="I2543" s="52" t="s">
        <v>607</v>
      </c>
      <c r="J2543" s="52" t="s">
        <v>607</v>
      </c>
      <c r="K2543" s="52" t="s">
        <v>607</v>
      </c>
      <c r="L2543" s="52" t="s">
        <v>607</v>
      </c>
      <c r="M2543" s="52" t="s">
        <v>607</v>
      </c>
      <c r="N2543" s="52" t="s">
        <v>607</v>
      </c>
      <c r="O2543" s="52"/>
      <c r="P2543" s="52"/>
      <c r="Q2543" s="52"/>
      <c r="R2543" s="51" t="b">
        <v>0</v>
      </c>
      <c r="S2543" s="51"/>
      <c r="T2543" s="52"/>
      <c r="U2543" s="51" t="b">
        <v>0</v>
      </c>
      <c r="V2543" s="51" t="b">
        <v>0</v>
      </c>
      <c r="W2543" s="51" t="b">
        <v>0</v>
      </c>
      <c r="X2543" s="51" t="b">
        <v>0</v>
      </c>
      <c r="Y2543" s="51" t="b">
        <v>0</v>
      </c>
      <c r="Z2543" s="51" t="b">
        <v>0</v>
      </c>
      <c r="AA2543" s="68"/>
      <c r="AB2543" s="52"/>
      <c r="AC2543" s="52"/>
      <c r="AD2543" s="52"/>
      <c r="AE2543" s="56" t="s">
        <v>607</v>
      </c>
      <c r="AF2543" s="56" t="s">
        <v>607</v>
      </c>
    </row>
    <row r="2544">
      <c r="A2544" s="52" t="s">
        <v>5967</v>
      </c>
      <c r="B2544" s="52" t="s">
        <v>607</v>
      </c>
      <c r="C2544" s="52" t="s">
        <v>607</v>
      </c>
      <c r="D2544" s="65" t="s">
        <v>607</v>
      </c>
      <c r="E2544" s="65" t="s">
        <v>607</v>
      </c>
      <c r="F2544" s="65" t="s">
        <v>607</v>
      </c>
      <c r="G2544" s="65" t="s">
        <v>607</v>
      </c>
      <c r="H2544" s="52" t="s">
        <v>607</v>
      </c>
      <c r="I2544" s="52" t="s">
        <v>607</v>
      </c>
      <c r="J2544" s="52" t="s">
        <v>607</v>
      </c>
      <c r="K2544" s="52" t="s">
        <v>607</v>
      </c>
      <c r="L2544" s="52" t="s">
        <v>607</v>
      </c>
      <c r="M2544" s="52" t="s">
        <v>607</v>
      </c>
      <c r="N2544" s="52" t="s">
        <v>607</v>
      </c>
      <c r="O2544" s="52"/>
      <c r="P2544" s="52"/>
      <c r="Q2544" s="52"/>
      <c r="R2544" s="51" t="b">
        <v>0</v>
      </c>
      <c r="S2544" s="51"/>
      <c r="T2544" s="52"/>
      <c r="U2544" s="51" t="b">
        <v>0</v>
      </c>
      <c r="V2544" s="51" t="b">
        <v>0</v>
      </c>
      <c r="W2544" s="51" t="b">
        <v>0</v>
      </c>
      <c r="X2544" s="51" t="b">
        <v>0</v>
      </c>
      <c r="Y2544" s="51" t="b">
        <v>0</v>
      </c>
      <c r="Z2544" s="51" t="b">
        <v>0</v>
      </c>
      <c r="AA2544" s="68"/>
      <c r="AB2544" s="52"/>
      <c r="AC2544" s="52"/>
      <c r="AD2544" s="52"/>
      <c r="AE2544" s="56" t="s">
        <v>607</v>
      </c>
      <c r="AF2544" s="56" t="s">
        <v>607</v>
      </c>
    </row>
    <row r="2545">
      <c r="A2545" s="52" t="s">
        <v>5970</v>
      </c>
      <c r="B2545" s="52" t="s">
        <v>607</v>
      </c>
      <c r="C2545" s="52" t="s">
        <v>607</v>
      </c>
      <c r="D2545" s="65" t="s">
        <v>607</v>
      </c>
      <c r="E2545" s="65" t="s">
        <v>607</v>
      </c>
      <c r="F2545" s="65" t="s">
        <v>607</v>
      </c>
      <c r="G2545" s="65" t="s">
        <v>607</v>
      </c>
      <c r="H2545" s="52" t="s">
        <v>607</v>
      </c>
      <c r="I2545" s="52" t="s">
        <v>607</v>
      </c>
      <c r="J2545" s="52" t="s">
        <v>607</v>
      </c>
      <c r="K2545" s="52" t="s">
        <v>607</v>
      </c>
      <c r="L2545" s="52" t="s">
        <v>607</v>
      </c>
      <c r="M2545" s="52" t="s">
        <v>607</v>
      </c>
      <c r="N2545" s="52" t="s">
        <v>607</v>
      </c>
      <c r="O2545" s="52"/>
      <c r="P2545" s="52"/>
      <c r="Q2545" s="52"/>
      <c r="R2545" s="51" t="b">
        <v>0</v>
      </c>
      <c r="S2545" s="51"/>
      <c r="T2545" s="52"/>
      <c r="U2545" s="51" t="b">
        <v>0</v>
      </c>
      <c r="V2545" s="51" t="b">
        <v>0</v>
      </c>
      <c r="W2545" s="51" t="b">
        <v>0</v>
      </c>
      <c r="X2545" s="51" t="b">
        <v>0</v>
      </c>
      <c r="Y2545" s="51" t="b">
        <v>0</v>
      </c>
      <c r="Z2545" s="51" t="b">
        <v>0</v>
      </c>
      <c r="AA2545" s="68"/>
      <c r="AB2545" s="52"/>
      <c r="AC2545" s="52"/>
      <c r="AD2545" s="52"/>
      <c r="AE2545" s="56" t="s">
        <v>607</v>
      </c>
      <c r="AF2545" s="56" t="s">
        <v>607</v>
      </c>
    </row>
    <row r="2546">
      <c r="A2546" s="52" t="s">
        <v>5971</v>
      </c>
      <c r="B2546" s="52" t="s">
        <v>607</v>
      </c>
      <c r="C2546" s="52" t="s">
        <v>607</v>
      </c>
      <c r="D2546" s="65" t="s">
        <v>607</v>
      </c>
      <c r="E2546" s="65" t="s">
        <v>607</v>
      </c>
      <c r="F2546" s="65" t="s">
        <v>607</v>
      </c>
      <c r="G2546" s="65" t="s">
        <v>607</v>
      </c>
      <c r="H2546" s="52" t="s">
        <v>607</v>
      </c>
      <c r="I2546" s="52" t="s">
        <v>607</v>
      </c>
      <c r="J2546" s="52" t="s">
        <v>607</v>
      </c>
      <c r="K2546" s="52" t="s">
        <v>607</v>
      </c>
      <c r="L2546" s="52" t="s">
        <v>607</v>
      </c>
      <c r="M2546" s="52" t="s">
        <v>607</v>
      </c>
      <c r="N2546" s="52" t="s">
        <v>607</v>
      </c>
      <c r="O2546" s="52"/>
      <c r="P2546" s="52"/>
      <c r="Q2546" s="52"/>
      <c r="R2546" s="51" t="b">
        <v>0</v>
      </c>
      <c r="S2546" s="51"/>
      <c r="T2546" s="52"/>
      <c r="U2546" s="51" t="b">
        <v>0</v>
      </c>
      <c r="V2546" s="51" t="b">
        <v>0</v>
      </c>
      <c r="W2546" s="51" t="b">
        <v>0</v>
      </c>
      <c r="X2546" s="51" t="b">
        <v>0</v>
      </c>
      <c r="Y2546" s="51" t="b">
        <v>0</v>
      </c>
      <c r="Z2546" s="51" t="b">
        <v>0</v>
      </c>
      <c r="AA2546" s="68"/>
      <c r="AB2546" s="52"/>
      <c r="AC2546" s="52"/>
      <c r="AD2546" s="52"/>
      <c r="AE2546" s="56" t="s">
        <v>607</v>
      </c>
      <c r="AF2546" s="56" t="s">
        <v>607</v>
      </c>
    </row>
    <row r="2547">
      <c r="A2547" s="52" t="s">
        <v>5974</v>
      </c>
      <c r="B2547" s="52" t="s">
        <v>607</v>
      </c>
      <c r="C2547" s="52" t="s">
        <v>607</v>
      </c>
      <c r="D2547" s="65" t="s">
        <v>607</v>
      </c>
      <c r="E2547" s="65" t="s">
        <v>607</v>
      </c>
      <c r="F2547" s="65" t="s">
        <v>607</v>
      </c>
      <c r="G2547" s="65" t="s">
        <v>607</v>
      </c>
      <c r="H2547" s="52" t="s">
        <v>607</v>
      </c>
      <c r="I2547" s="52" t="s">
        <v>607</v>
      </c>
      <c r="J2547" s="52" t="s">
        <v>607</v>
      </c>
      <c r="K2547" s="52" t="s">
        <v>607</v>
      </c>
      <c r="L2547" s="52" t="s">
        <v>607</v>
      </c>
      <c r="M2547" s="52" t="s">
        <v>607</v>
      </c>
      <c r="N2547" s="52" t="s">
        <v>607</v>
      </c>
      <c r="O2547" s="52"/>
      <c r="P2547" s="52"/>
      <c r="Q2547" s="52"/>
      <c r="R2547" s="51" t="b">
        <v>0</v>
      </c>
      <c r="S2547" s="51"/>
      <c r="T2547" s="52"/>
      <c r="U2547" s="51" t="b">
        <v>0</v>
      </c>
      <c r="V2547" s="51" t="b">
        <v>0</v>
      </c>
      <c r="W2547" s="51" t="b">
        <v>0</v>
      </c>
      <c r="X2547" s="51" t="b">
        <v>0</v>
      </c>
      <c r="Y2547" s="51" t="b">
        <v>0</v>
      </c>
      <c r="Z2547" s="51" t="b">
        <v>0</v>
      </c>
      <c r="AA2547" s="68"/>
      <c r="AB2547" s="52"/>
      <c r="AC2547" s="52"/>
      <c r="AD2547" s="52"/>
      <c r="AE2547" s="56" t="s">
        <v>607</v>
      </c>
      <c r="AF2547" s="56" t="s">
        <v>607</v>
      </c>
    </row>
    <row r="2548">
      <c r="A2548" s="52" t="s">
        <v>5975</v>
      </c>
      <c r="B2548" s="52" t="s">
        <v>607</v>
      </c>
      <c r="C2548" s="52" t="s">
        <v>607</v>
      </c>
      <c r="D2548" s="65" t="s">
        <v>607</v>
      </c>
      <c r="E2548" s="65" t="s">
        <v>607</v>
      </c>
      <c r="F2548" s="65" t="s">
        <v>607</v>
      </c>
      <c r="G2548" s="65" t="s">
        <v>607</v>
      </c>
      <c r="H2548" s="52" t="s">
        <v>607</v>
      </c>
      <c r="I2548" s="52" t="s">
        <v>607</v>
      </c>
      <c r="J2548" s="52" t="s">
        <v>607</v>
      </c>
      <c r="K2548" s="52" t="s">
        <v>607</v>
      </c>
      <c r="L2548" s="52" t="s">
        <v>607</v>
      </c>
      <c r="M2548" s="52" t="s">
        <v>607</v>
      </c>
      <c r="N2548" s="52" t="s">
        <v>607</v>
      </c>
      <c r="O2548" s="52"/>
      <c r="P2548" s="52"/>
      <c r="Q2548" s="52"/>
      <c r="R2548" s="51" t="b">
        <v>0</v>
      </c>
      <c r="S2548" s="51"/>
      <c r="T2548" s="52"/>
      <c r="U2548" s="51" t="b">
        <v>0</v>
      </c>
      <c r="V2548" s="51" t="b">
        <v>0</v>
      </c>
      <c r="W2548" s="51" t="b">
        <v>0</v>
      </c>
      <c r="X2548" s="51" t="b">
        <v>0</v>
      </c>
      <c r="Y2548" s="51" t="b">
        <v>0</v>
      </c>
      <c r="Z2548" s="51" t="b">
        <v>0</v>
      </c>
      <c r="AA2548" s="68"/>
      <c r="AB2548" s="52"/>
      <c r="AC2548" s="52"/>
      <c r="AD2548" s="52"/>
      <c r="AE2548" s="56" t="s">
        <v>607</v>
      </c>
      <c r="AF2548" s="56" t="s">
        <v>607</v>
      </c>
    </row>
    <row r="2549">
      <c r="A2549" s="52" t="s">
        <v>5979</v>
      </c>
      <c r="B2549" s="52" t="s">
        <v>607</v>
      </c>
      <c r="C2549" s="52" t="s">
        <v>607</v>
      </c>
      <c r="D2549" s="65" t="s">
        <v>607</v>
      </c>
      <c r="E2549" s="65" t="s">
        <v>607</v>
      </c>
      <c r="F2549" s="65" t="s">
        <v>607</v>
      </c>
      <c r="G2549" s="65" t="s">
        <v>607</v>
      </c>
      <c r="H2549" s="52" t="s">
        <v>607</v>
      </c>
      <c r="I2549" s="52" t="s">
        <v>607</v>
      </c>
      <c r="J2549" s="52" t="s">
        <v>607</v>
      </c>
      <c r="K2549" s="52" t="s">
        <v>607</v>
      </c>
      <c r="L2549" s="52" t="s">
        <v>607</v>
      </c>
      <c r="M2549" s="52" t="s">
        <v>607</v>
      </c>
      <c r="N2549" s="52" t="s">
        <v>607</v>
      </c>
      <c r="O2549" s="52"/>
      <c r="P2549" s="52"/>
      <c r="Q2549" s="52"/>
      <c r="R2549" s="51" t="b">
        <v>0</v>
      </c>
      <c r="S2549" s="51"/>
      <c r="T2549" s="52"/>
      <c r="U2549" s="51" t="b">
        <v>0</v>
      </c>
      <c r="V2549" s="51" t="b">
        <v>0</v>
      </c>
      <c r="W2549" s="51" t="b">
        <v>0</v>
      </c>
      <c r="X2549" s="51" t="b">
        <v>0</v>
      </c>
      <c r="Y2549" s="51" t="b">
        <v>0</v>
      </c>
      <c r="Z2549" s="51" t="b">
        <v>0</v>
      </c>
      <c r="AA2549" s="68"/>
      <c r="AB2549" s="52"/>
      <c r="AC2549" s="52"/>
      <c r="AD2549" s="52"/>
      <c r="AE2549" s="56" t="s">
        <v>607</v>
      </c>
      <c r="AF2549" s="56" t="s">
        <v>607</v>
      </c>
    </row>
    <row r="2550">
      <c r="A2550" s="52" t="s">
        <v>5980</v>
      </c>
      <c r="B2550" s="52" t="s">
        <v>607</v>
      </c>
      <c r="C2550" s="52" t="s">
        <v>607</v>
      </c>
      <c r="D2550" s="65" t="s">
        <v>607</v>
      </c>
      <c r="E2550" s="65" t="s">
        <v>607</v>
      </c>
      <c r="F2550" s="65" t="s">
        <v>607</v>
      </c>
      <c r="G2550" s="65" t="s">
        <v>607</v>
      </c>
      <c r="H2550" s="52" t="s">
        <v>607</v>
      </c>
      <c r="I2550" s="52" t="s">
        <v>607</v>
      </c>
      <c r="J2550" s="52" t="s">
        <v>607</v>
      </c>
      <c r="K2550" s="52" t="s">
        <v>607</v>
      </c>
      <c r="L2550" s="52" t="s">
        <v>607</v>
      </c>
      <c r="M2550" s="52" t="s">
        <v>607</v>
      </c>
      <c r="N2550" s="52" t="s">
        <v>607</v>
      </c>
      <c r="O2550" s="52"/>
      <c r="P2550" s="52"/>
      <c r="Q2550" s="52"/>
      <c r="R2550" s="51" t="b">
        <v>0</v>
      </c>
      <c r="S2550" s="51"/>
      <c r="T2550" s="52"/>
      <c r="U2550" s="51" t="b">
        <v>0</v>
      </c>
      <c r="V2550" s="51" t="b">
        <v>0</v>
      </c>
      <c r="W2550" s="51" t="b">
        <v>0</v>
      </c>
      <c r="X2550" s="51" t="b">
        <v>0</v>
      </c>
      <c r="Y2550" s="51" t="b">
        <v>0</v>
      </c>
      <c r="Z2550" s="51" t="b">
        <v>0</v>
      </c>
      <c r="AA2550" s="68"/>
      <c r="AB2550" s="52"/>
      <c r="AC2550" s="52"/>
      <c r="AD2550" s="52"/>
      <c r="AE2550" s="56" t="s">
        <v>607</v>
      </c>
      <c r="AF2550" s="56" t="s">
        <v>607</v>
      </c>
    </row>
    <row r="2551">
      <c r="A2551" s="52" t="s">
        <v>5981</v>
      </c>
      <c r="B2551" s="52" t="s">
        <v>607</v>
      </c>
      <c r="C2551" s="52" t="s">
        <v>607</v>
      </c>
      <c r="D2551" s="65" t="s">
        <v>607</v>
      </c>
      <c r="E2551" s="65" t="s">
        <v>607</v>
      </c>
      <c r="F2551" s="65" t="s">
        <v>607</v>
      </c>
      <c r="G2551" s="65" t="s">
        <v>607</v>
      </c>
      <c r="H2551" s="52" t="s">
        <v>607</v>
      </c>
      <c r="I2551" s="52" t="s">
        <v>607</v>
      </c>
      <c r="J2551" s="52" t="s">
        <v>607</v>
      </c>
      <c r="K2551" s="52" t="s">
        <v>607</v>
      </c>
      <c r="L2551" s="52" t="s">
        <v>607</v>
      </c>
      <c r="M2551" s="52" t="s">
        <v>607</v>
      </c>
      <c r="N2551" s="52" t="s">
        <v>607</v>
      </c>
      <c r="O2551" s="52"/>
      <c r="P2551" s="52"/>
      <c r="Q2551" s="52"/>
      <c r="R2551" s="51" t="b">
        <v>0</v>
      </c>
      <c r="S2551" s="51"/>
      <c r="T2551" s="52"/>
      <c r="U2551" s="51" t="b">
        <v>0</v>
      </c>
      <c r="V2551" s="51" t="b">
        <v>0</v>
      </c>
      <c r="W2551" s="51" t="b">
        <v>0</v>
      </c>
      <c r="X2551" s="51" t="b">
        <v>0</v>
      </c>
      <c r="Y2551" s="51" t="b">
        <v>0</v>
      </c>
      <c r="Z2551" s="51" t="b">
        <v>0</v>
      </c>
      <c r="AA2551" s="68"/>
      <c r="AB2551" s="52"/>
      <c r="AC2551" s="52"/>
      <c r="AD2551" s="52"/>
      <c r="AE2551" s="56" t="s">
        <v>607</v>
      </c>
      <c r="AF2551" s="56" t="s">
        <v>607</v>
      </c>
    </row>
    <row r="2552">
      <c r="A2552" s="52" t="s">
        <v>5982</v>
      </c>
      <c r="B2552" s="52" t="s">
        <v>607</v>
      </c>
      <c r="C2552" s="52" t="s">
        <v>607</v>
      </c>
      <c r="D2552" s="65" t="s">
        <v>607</v>
      </c>
      <c r="E2552" s="65" t="s">
        <v>607</v>
      </c>
      <c r="F2552" s="65" t="s">
        <v>607</v>
      </c>
      <c r="G2552" s="65" t="s">
        <v>607</v>
      </c>
      <c r="H2552" s="52" t="s">
        <v>607</v>
      </c>
      <c r="I2552" s="52" t="s">
        <v>607</v>
      </c>
      <c r="J2552" s="52" t="s">
        <v>607</v>
      </c>
      <c r="K2552" s="52" t="s">
        <v>607</v>
      </c>
      <c r="L2552" s="52" t="s">
        <v>607</v>
      </c>
      <c r="M2552" s="52" t="s">
        <v>607</v>
      </c>
      <c r="N2552" s="52" t="s">
        <v>607</v>
      </c>
      <c r="O2552" s="52"/>
      <c r="P2552" s="52"/>
      <c r="Q2552" s="52"/>
      <c r="R2552" s="51" t="b">
        <v>0</v>
      </c>
      <c r="S2552" s="51"/>
      <c r="T2552" s="52"/>
      <c r="U2552" s="51" t="b">
        <v>0</v>
      </c>
      <c r="V2552" s="51" t="b">
        <v>0</v>
      </c>
      <c r="W2552" s="51" t="b">
        <v>0</v>
      </c>
      <c r="X2552" s="51" t="b">
        <v>0</v>
      </c>
      <c r="Y2552" s="51" t="b">
        <v>0</v>
      </c>
      <c r="Z2552" s="51" t="b">
        <v>0</v>
      </c>
      <c r="AA2552" s="68"/>
      <c r="AB2552" s="52"/>
      <c r="AC2552" s="52"/>
      <c r="AD2552" s="52"/>
      <c r="AE2552" s="56" t="s">
        <v>607</v>
      </c>
      <c r="AF2552" s="56" t="s">
        <v>607</v>
      </c>
    </row>
    <row r="2553">
      <c r="A2553" s="52" t="s">
        <v>5984</v>
      </c>
      <c r="B2553" s="52" t="s">
        <v>607</v>
      </c>
      <c r="C2553" s="52" t="s">
        <v>607</v>
      </c>
      <c r="D2553" s="65" t="s">
        <v>607</v>
      </c>
      <c r="E2553" s="65" t="s">
        <v>607</v>
      </c>
      <c r="F2553" s="65" t="s">
        <v>607</v>
      </c>
      <c r="G2553" s="65" t="s">
        <v>607</v>
      </c>
      <c r="H2553" s="52" t="s">
        <v>607</v>
      </c>
      <c r="I2553" s="52" t="s">
        <v>607</v>
      </c>
      <c r="J2553" s="52" t="s">
        <v>607</v>
      </c>
      <c r="K2553" s="52" t="s">
        <v>607</v>
      </c>
      <c r="L2553" s="52" t="s">
        <v>607</v>
      </c>
      <c r="M2553" s="52" t="s">
        <v>607</v>
      </c>
      <c r="N2553" s="52" t="s">
        <v>607</v>
      </c>
      <c r="O2553" s="52"/>
      <c r="P2553" s="52"/>
      <c r="Q2553" s="52"/>
      <c r="R2553" s="51" t="b">
        <v>0</v>
      </c>
      <c r="S2553" s="51"/>
      <c r="T2553" s="52"/>
      <c r="U2553" s="51" t="b">
        <v>0</v>
      </c>
      <c r="V2553" s="51" t="b">
        <v>0</v>
      </c>
      <c r="W2553" s="51" t="b">
        <v>0</v>
      </c>
      <c r="X2553" s="51" t="b">
        <v>0</v>
      </c>
      <c r="Y2553" s="51" t="b">
        <v>0</v>
      </c>
      <c r="Z2553" s="51" t="b">
        <v>0</v>
      </c>
      <c r="AA2553" s="68"/>
      <c r="AB2553" s="52"/>
      <c r="AC2553" s="52"/>
      <c r="AD2553" s="52"/>
      <c r="AE2553" s="56" t="s">
        <v>607</v>
      </c>
      <c r="AF2553" s="56" t="s">
        <v>607</v>
      </c>
    </row>
    <row r="2554">
      <c r="A2554" s="52" t="s">
        <v>5985</v>
      </c>
      <c r="B2554" s="52" t="s">
        <v>607</v>
      </c>
      <c r="C2554" s="52" t="s">
        <v>607</v>
      </c>
      <c r="D2554" s="65" t="s">
        <v>607</v>
      </c>
      <c r="E2554" s="65" t="s">
        <v>607</v>
      </c>
      <c r="F2554" s="65" t="s">
        <v>607</v>
      </c>
      <c r="G2554" s="65" t="s">
        <v>607</v>
      </c>
      <c r="H2554" s="52" t="s">
        <v>607</v>
      </c>
      <c r="I2554" s="52" t="s">
        <v>607</v>
      </c>
      <c r="J2554" s="52" t="s">
        <v>607</v>
      </c>
      <c r="K2554" s="52" t="s">
        <v>607</v>
      </c>
      <c r="L2554" s="52" t="s">
        <v>607</v>
      </c>
      <c r="M2554" s="52" t="s">
        <v>607</v>
      </c>
      <c r="N2554" s="52" t="s">
        <v>607</v>
      </c>
      <c r="O2554" s="52"/>
      <c r="P2554" s="52"/>
      <c r="Q2554" s="52"/>
      <c r="R2554" s="51" t="b">
        <v>0</v>
      </c>
      <c r="S2554" s="51"/>
      <c r="T2554" s="52"/>
      <c r="U2554" s="51" t="b">
        <v>0</v>
      </c>
      <c r="V2554" s="51" t="b">
        <v>0</v>
      </c>
      <c r="W2554" s="51" t="b">
        <v>0</v>
      </c>
      <c r="X2554" s="51" t="b">
        <v>0</v>
      </c>
      <c r="Y2554" s="51" t="b">
        <v>0</v>
      </c>
      <c r="Z2554" s="51" t="b">
        <v>0</v>
      </c>
      <c r="AA2554" s="68"/>
      <c r="AB2554" s="52"/>
      <c r="AC2554" s="52"/>
      <c r="AD2554" s="52"/>
      <c r="AE2554" s="56" t="s">
        <v>607</v>
      </c>
      <c r="AF2554" s="56" t="s">
        <v>607</v>
      </c>
    </row>
    <row r="2555">
      <c r="A2555" s="52" t="s">
        <v>5986</v>
      </c>
      <c r="B2555" s="52" t="s">
        <v>607</v>
      </c>
      <c r="C2555" s="52" t="s">
        <v>607</v>
      </c>
      <c r="D2555" s="65" t="s">
        <v>607</v>
      </c>
      <c r="E2555" s="65" t="s">
        <v>607</v>
      </c>
      <c r="F2555" s="65" t="s">
        <v>607</v>
      </c>
      <c r="G2555" s="65" t="s">
        <v>607</v>
      </c>
      <c r="H2555" s="52" t="s">
        <v>607</v>
      </c>
      <c r="I2555" s="52" t="s">
        <v>607</v>
      </c>
      <c r="J2555" s="52" t="s">
        <v>607</v>
      </c>
      <c r="K2555" s="52" t="s">
        <v>607</v>
      </c>
      <c r="L2555" s="52" t="s">
        <v>607</v>
      </c>
      <c r="M2555" s="52" t="s">
        <v>607</v>
      </c>
      <c r="N2555" s="52" t="s">
        <v>607</v>
      </c>
      <c r="O2555" s="52"/>
      <c r="P2555" s="52"/>
      <c r="Q2555" s="52"/>
      <c r="R2555" s="51" t="b">
        <v>0</v>
      </c>
      <c r="S2555" s="51"/>
      <c r="T2555" s="52"/>
      <c r="U2555" s="51" t="b">
        <v>0</v>
      </c>
      <c r="V2555" s="51" t="b">
        <v>0</v>
      </c>
      <c r="W2555" s="51" t="b">
        <v>0</v>
      </c>
      <c r="X2555" s="51" t="b">
        <v>0</v>
      </c>
      <c r="Y2555" s="51" t="b">
        <v>0</v>
      </c>
      <c r="Z2555" s="51" t="b">
        <v>0</v>
      </c>
      <c r="AA2555" s="68"/>
      <c r="AB2555" s="52"/>
      <c r="AC2555" s="52"/>
      <c r="AD2555" s="52"/>
      <c r="AE2555" s="56" t="s">
        <v>607</v>
      </c>
      <c r="AF2555" s="56" t="s">
        <v>607</v>
      </c>
    </row>
    <row r="2556">
      <c r="A2556" s="52" t="s">
        <v>5989</v>
      </c>
      <c r="B2556" s="52" t="s">
        <v>607</v>
      </c>
      <c r="C2556" s="52" t="s">
        <v>607</v>
      </c>
      <c r="D2556" s="65" t="s">
        <v>607</v>
      </c>
      <c r="E2556" s="65" t="s">
        <v>607</v>
      </c>
      <c r="F2556" s="65" t="s">
        <v>607</v>
      </c>
      <c r="G2556" s="65" t="s">
        <v>607</v>
      </c>
      <c r="H2556" s="52" t="s">
        <v>607</v>
      </c>
      <c r="I2556" s="52" t="s">
        <v>607</v>
      </c>
      <c r="J2556" s="52" t="s">
        <v>607</v>
      </c>
      <c r="K2556" s="52" t="s">
        <v>607</v>
      </c>
      <c r="L2556" s="52" t="s">
        <v>607</v>
      </c>
      <c r="M2556" s="52" t="s">
        <v>607</v>
      </c>
      <c r="N2556" s="52" t="s">
        <v>607</v>
      </c>
      <c r="O2556" s="52"/>
      <c r="P2556" s="52"/>
      <c r="Q2556" s="52"/>
      <c r="R2556" s="51" t="b">
        <v>0</v>
      </c>
      <c r="S2556" s="51"/>
      <c r="T2556" s="52"/>
      <c r="U2556" s="51" t="b">
        <v>0</v>
      </c>
      <c r="V2556" s="51" t="b">
        <v>0</v>
      </c>
      <c r="W2556" s="51" t="b">
        <v>0</v>
      </c>
      <c r="X2556" s="51" t="b">
        <v>0</v>
      </c>
      <c r="Y2556" s="51" t="b">
        <v>0</v>
      </c>
      <c r="Z2556" s="51" t="b">
        <v>0</v>
      </c>
      <c r="AA2556" s="68"/>
      <c r="AB2556" s="52"/>
      <c r="AC2556" s="52"/>
      <c r="AD2556" s="52"/>
      <c r="AE2556" s="56" t="s">
        <v>607</v>
      </c>
      <c r="AF2556" s="56" t="s">
        <v>607</v>
      </c>
    </row>
    <row r="2557">
      <c r="A2557" s="52" t="s">
        <v>5990</v>
      </c>
      <c r="B2557" s="52" t="s">
        <v>607</v>
      </c>
      <c r="C2557" s="52" t="s">
        <v>607</v>
      </c>
      <c r="D2557" s="65" t="s">
        <v>607</v>
      </c>
      <c r="E2557" s="65" t="s">
        <v>607</v>
      </c>
      <c r="F2557" s="65" t="s">
        <v>607</v>
      </c>
      <c r="G2557" s="65" t="s">
        <v>607</v>
      </c>
      <c r="H2557" s="52" t="s">
        <v>607</v>
      </c>
      <c r="I2557" s="52" t="s">
        <v>607</v>
      </c>
      <c r="J2557" s="52" t="s">
        <v>607</v>
      </c>
      <c r="K2557" s="52" t="s">
        <v>607</v>
      </c>
      <c r="L2557" s="52" t="s">
        <v>607</v>
      </c>
      <c r="M2557" s="52" t="s">
        <v>607</v>
      </c>
      <c r="N2557" s="52" t="s">
        <v>607</v>
      </c>
      <c r="O2557" s="52"/>
      <c r="P2557" s="52"/>
      <c r="Q2557" s="52"/>
      <c r="R2557" s="51" t="b">
        <v>0</v>
      </c>
      <c r="S2557" s="51"/>
      <c r="T2557" s="52"/>
      <c r="U2557" s="51" t="b">
        <v>0</v>
      </c>
      <c r="V2557" s="51" t="b">
        <v>0</v>
      </c>
      <c r="W2557" s="51" t="b">
        <v>0</v>
      </c>
      <c r="X2557" s="51" t="b">
        <v>0</v>
      </c>
      <c r="Y2557" s="51" t="b">
        <v>0</v>
      </c>
      <c r="Z2557" s="51" t="b">
        <v>0</v>
      </c>
      <c r="AA2557" s="68"/>
      <c r="AB2557" s="52"/>
      <c r="AC2557" s="52"/>
      <c r="AD2557" s="52"/>
      <c r="AE2557" s="56" t="s">
        <v>607</v>
      </c>
      <c r="AF2557" s="56" t="s">
        <v>607</v>
      </c>
    </row>
    <row r="2558">
      <c r="A2558" s="52" t="s">
        <v>5991</v>
      </c>
      <c r="B2558" s="52" t="s">
        <v>607</v>
      </c>
      <c r="C2558" s="52" t="s">
        <v>607</v>
      </c>
      <c r="D2558" s="65" t="s">
        <v>607</v>
      </c>
      <c r="E2558" s="65" t="s">
        <v>607</v>
      </c>
      <c r="F2558" s="65" t="s">
        <v>607</v>
      </c>
      <c r="G2558" s="65" t="s">
        <v>607</v>
      </c>
      <c r="H2558" s="52" t="s">
        <v>607</v>
      </c>
      <c r="I2558" s="52" t="s">
        <v>607</v>
      </c>
      <c r="J2558" s="52" t="s">
        <v>607</v>
      </c>
      <c r="K2558" s="52" t="s">
        <v>607</v>
      </c>
      <c r="L2558" s="52" t="s">
        <v>607</v>
      </c>
      <c r="M2558" s="52" t="s">
        <v>607</v>
      </c>
      <c r="N2558" s="52" t="s">
        <v>607</v>
      </c>
      <c r="O2558" s="52"/>
      <c r="P2558" s="52"/>
      <c r="Q2558" s="52"/>
      <c r="R2558" s="51" t="b">
        <v>0</v>
      </c>
      <c r="S2558" s="51"/>
      <c r="T2558" s="52"/>
      <c r="U2558" s="51" t="b">
        <v>0</v>
      </c>
      <c r="V2558" s="51" t="b">
        <v>0</v>
      </c>
      <c r="W2558" s="51" t="b">
        <v>0</v>
      </c>
      <c r="X2558" s="51" t="b">
        <v>0</v>
      </c>
      <c r="Y2558" s="51" t="b">
        <v>0</v>
      </c>
      <c r="Z2558" s="51" t="b">
        <v>0</v>
      </c>
      <c r="AA2558" s="68"/>
      <c r="AB2558" s="52"/>
      <c r="AC2558" s="52"/>
      <c r="AD2558" s="52"/>
      <c r="AE2558" s="56" t="s">
        <v>607</v>
      </c>
      <c r="AF2558" s="56" t="s">
        <v>607</v>
      </c>
    </row>
    <row r="2559">
      <c r="A2559" s="52" t="s">
        <v>5992</v>
      </c>
      <c r="B2559" s="52" t="s">
        <v>607</v>
      </c>
      <c r="C2559" s="52" t="s">
        <v>607</v>
      </c>
      <c r="D2559" s="65" t="s">
        <v>607</v>
      </c>
      <c r="E2559" s="65" t="s">
        <v>607</v>
      </c>
      <c r="F2559" s="65" t="s">
        <v>607</v>
      </c>
      <c r="G2559" s="65" t="s">
        <v>607</v>
      </c>
      <c r="H2559" s="52" t="s">
        <v>607</v>
      </c>
      <c r="I2559" s="52" t="s">
        <v>607</v>
      </c>
      <c r="J2559" s="52" t="s">
        <v>607</v>
      </c>
      <c r="K2559" s="52" t="s">
        <v>607</v>
      </c>
      <c r="L2559" s="52" t="s">
        <v>607</v>
      </c>
      <c r="M2559" s="52" t="s">
        <v>607</v>
      </c>
      <c r="N2559" s="52" t="s">
        <v>607</v>
      </c>
      <c r="O2559" s="52"/>
      <c r="P2559" s="52"/>
      <c r="Q2559" s="52"/>
      <c r="R2559" s="51" t="b">
        <v>0</v>
      </c>
      <c r="S2559" s="51"/>
      <c r="T2559" s="52"/>
      <c r="U2559" s="51" t="b">
        <v>0</v>
      </c>
      <c r="V2559" s="51" t="b">
        <v>0</v>
      </c>
      <c r="W2559" s="51" t="b">
        <v>0</v>
      </c>
      <c r="X2559" s="51" t="b">
        <v>0</v>
      </c>
      <c r="Y2559" s="51" t="b">
        <v>0</v>
      </c>
      <c r="Z2559" s="51" t="b">
        <v>0</v>
      </c>
      <c r="AA2559" s="68"/>
      <c r="AB2559" s="52"/>
      <c r="AC2559" s="52"/>
      <c r="AD2559" s="52"/>
      <c r="AE2559" s="56" t="s">
        <v>607</v>
      </c>
      <c r="AF2559" s="56" t="s">
        <v>607</v>
      </c>
    </row>
    <row r="2560">
      <c r="A2560" s="52" t="s">
        <v>5993</v>
      </c>
      <c r="B2560" s="52" t="s">
        <v>607</v>
      </c>
      <c r="C2560" s="52" t="s">
        <v>607</v>
      </c>
      <c r="D2560" s="65" t="s">
        <v>607</v>
      </c>
      <c r="E2560" s="65" t="s">
        <v>607</v>
      </c>
      <c r="F2560" s="65" t="s">
        <v>607</v>
      </c>
      <c r="G2560" s="65" t="s">
        <v>607</v>
      </c>
      <c r="H2560" s="52" t="s">
        <v>607</v>
      </c>
      <c r="I2560" s="52" t="s">
        <v>607</v>
      </c>
      <c r="J2560" s="52" t="s">
        <v>607</v>
      </c>
      <c r="K2560" s="52" t="s">
        <v>607</v>
      </c>
      <c r="L2560" s="52" t="s">
        <v>607</v>
      </c>
      <c r="M2560" s="52" t="s">
        <v>607</v>
      </c>
      <c r="N2560" s="52" t="s">
        <v>607</v>
      </c>
      <c r="O2560" s="52"/>
      <c r="P2560" s="52"/>
      <c r="Q2560" s="52"/>
      <c r="R2560" s="51" t="b">
        <v>0</v>
      </c>
      <c r="S2560" s="51"/>
      <c r="T2560" s="52"/>
      <c r="U2560" s="51" t="b">
        <v>0</v>
      </c>
      <c r="V2560" s="51" t="b">
        <v>0</v>
      </c>
      <c r="W2560" s="51" t="b">
        <v>0</v>
      </c>
      <c r="X2560" s="51" t="b">
        <v>0</v>
      </c>
      <c r="Y2560" s="51" t="b">
        <v>0</v>
      </c>
      <c r="Z2560" s="51" t="b">
        <v>0</v>
      </c>
      <c r="AA2560" s="68"/>
      <c r="AB2560" s="52"/>
      <c r="AC2560" s="52"/>
      <c r="AD2560" s="52"/>
      <c r="AE2560" s="56" t="s">
        <v>607</v>
      </c>
      <c r="AF2560" s="56" t="s">
        <v>607</v>
      </c>
    </row>
    <row r="2561">
      <c r="A2561" s="52" t="s">
        <v>5994</v>
      </c>
      <c r="B2561" s="52" t="s">
        <v>607</v>
      </c>
      <c r="C2561" s="52" t="s">
        <v>607</v>
      </c>
      <c r="D2561" s="65" t="s">
        <v>607</v>
      </c>
      <c r="E2561" s="65" t="s">
        <v>607</v>
      </c>
      <c r="F2561" s="65" t="s">
        <v>607</v>
      </c>
      <c r="G2561" s="65" t="s">
        <v>607</v>
      </c>
      <c r="H2561" s="52" t="s">
        <v>607</v>
      </c>
      <c r="I2561" s="52" t="s">
        <v>607</v>
      </c>
      <c r="J2561" s="52" t="s">
        <v>607</v>
      </c>
      <c r="K2561" s="52" t="s">
        <v>607</v>
      </c>
      <c r="L2561" s="52" t="s">
        <v>607</v>
      </c>
      <c r="M2561" s="52" t="s">
        <v>607</v>
      </c>
      <c r="N2561" s="52" t="s">
        <v>607</v>
      </c>
      <c r="O2561" s="52"/>
      <c r="P2561" s="52"/>
      <c r="Q2561" s="52"/>
      <c r="R2561" s="51" t="b">
        <v>0</v>
      </c>
      <c r="S2561" s="51"/>
      <c r="T2561" s="52"/>
      <c r="U2561" s="51" t="b">
        <v>0</v>
      </c>
      <c r="V2561" s="51" t="b">
        <v>0</v>
      </c>
      <c r="W2561" s="51" t="b">
        <v>0</v>
      </c>
      <c r="X2561" s="51" t="b">
        <v>0</v>
      </c>
      <c r="Y2561" s="51" t="b">
        <v>0</v>
      </c>
      <c r="Z2561" s="51" t="b">
        <v>0</v>
      </c>
      <c r="AA2561" s="68"/>
      <c r="AB2561" s="52"/>
      <c r="AC2561" s="52"/>
      <c r="AD2561" s="52"/>
      <c r="AE2561" s="56" t="s">
        <v>607</v>
      </c>
      <c r="AF2561" s="56" t="s">
        <v>607</v>
      </c>
    </row>
    <row r="2562">
      <c r="A2562" s="52" t="s">
        <v>5995</v>
      </c>
      <c r="B2562" s="52" t="s">
        <v>607</v>
      </c>
      <c r="C2562" s="52" t="s">
        <v>607</v>
      </c>
      <c r="D2562" s="65" t="s">
        <v>607</v>
      </c>
      <c r="E2562" s="65" t="s">
        <v>607</v>
      </c>
      <c r="F2562" s="65" t="s">
        <v>607</v>
      </c>
      <c r="G2562" s="65" t="s">
        <v>607</v>
      </c>
      <c r="H2562" s="52" t="s">
        <v>607</v>
      </c>
      <c r="I2562" s="52" t="s">
        <v>607</v>
      </c>
      <c r="J2562" s="52" t="s">
        <v>607</v>
      </c>
      <c r="K2562" s="52" t="s">
        <v>607</v>
      </c>
      <c r="L2562" s="52" t="s">
        <v>607</v>
      </c>
      <c r="M2562" s="52" t="s">
        <v>607</v>
      </c>
      <c r="N2562" s="52" t="s">
        <v>607</v>
      </c>
      <c r="O2562" s="52"/>
      <c r="P2562" s="52"/>
      <c r="Q2562" s="52"/>
      <c r="R2562" s="51" t="b">
        <v>0</v>
      </c>
      <c r="S2562" s="51"/>
      <c r="T2562" s="52"/>
      <c r="U2562" s="51" t="b">
        <v>0</v>
      </c>
      <c r="V2562" s="51" t="b">
        <v>0</v>
      </c>
      <c r="W2562" s="51" t="b">
        <v>0</v>
      </c>
      <c r="X2562" s="51" t="b">
        <v>0</v>
      </c>
      <c r="Y2562" s="51" t="b">
        <v>0</v>
      </c>
      <c r="Z2562" s="51" t="b">
        <v>0</v>
      </c>
      <c r="AA2562" s="68"/>
      <c r="AB2562" s="52"/>
      <c r="AC2562" s="52"/>
      <c r="AD2562" s="52"/>
      <c r="AE2562" s="56" t="s">
        <v>607</v>
      </c>
      <c r="AF2562" s="56" t="s">
        <v>607</v>
      </c>
    </row>
    <row r="2563">
      <c r="A2563" s="52" t="s">
        <v>5997</v>
      </c>
      <c r="B2563" s="52" t="s">
        <v>607</v>
      </c>
      <c r="C2563" s="52" t="s">
        <v>607</v>
      </c>
      <c r="D2563" s="65" t="s">
        <v>607</v>
      </c>
      <c r="E2563" s="65" t="s">
        <v>607</v>
      </c>
      <c r="F2563" s="65" t="s">
        <v>607</v>
      </c>
      <c r="G2563" s="65" t="s">
        <v>607</v>
      </c>
      <c r="H2563" s="52" t="s">
        <v>607</v>
      </c>
      <c r="I2563" s="52" t="s">
        <v>607</v>
      </c>
      <c r="J2563" s="52" t="s">
        <v>607</v>
      </c>
      <c r="K2563" s="52" t="s">
        <v>607</v>
      </c>
      <c r="L2563" s="52" t="s">
        <v>607</v>
      </c>
      <c r="M2563" s="52" t="s">
        <v>607</v>
      </c>
      <c r="N2563" s="52" t="s">
        <v>607</v>
      </c>
      <c r="O2563" s="52"/>
      <c r="P2563" s="52"/>
      <c r="Q2563" s="52"/>
      <c r="R2563" s="51" t="b">
        <v>0</v>
      </c>
      <c r="S2563" s="51"/>
      <c r="T2563" s="52"/>
      <c r="U2563" s="51" t="b">
        <v>0</v>
      </c>
      <c r="V2563" s="51" t="b">
        <v>0</v>
      </c>
      <c r="W2563" s="51" t="b">
        <v>0</v>
      </c>
      <c r="X2563" s="51" t="b">
        <v>0</v>
      </c>
      <c r="Y2563" s="51" t="b">
        <v>0</v>
      </c>
      <c r="Z2563" s="51" t="b">
        <v>0</v>
      </c>
      <c r="AA2563" s="68"/>
      <c r="AB2563" s="52"/>
      <c r="AC2563" s="52"/>
      <c r="AD2563" s="52"/>
      <c r="AE2563" s="56" t="s">
        <v>607</v>
      </c>
      <c r="AF2563" s="56" t="s">
        <v>607</v>
      </c>
    </row>
    <row r="2564">
      <c r="A2564" s="52" t="s">
        <v>6000</v>
      </c>
      <c r="B2564" s="52" t="s">
        <v>607</v>
      </c>
      <c r="C2564" s="52" t="s">
        <v>607</v>
      </c>
      <c r="D2564" s="65" t="s">
        <v>607</v>
      </c>
      <c r="E2564" s="65" t="s">
        <v>607</v>
      </c>
      <c r="F2564" s="65" t="s">
        <v>607</v>
      </c>
      <c r="G2564" s="65" t="s">
        <v>607</v>
      </c>
      <c r="H2564" s="52" t="s">
        <v>607</v>
      </c>
      <c r="I2564" s="52" t="s">
        <v>607</v>
      </c>
      <c r="J2564" s="52" t="s">
        <v>607</v>
      </c>
      <c r="K2564" s="52" t="s">
        <v>607</v>
      </c>
      <c r="L2564" s="52" t="s">
        <v>607</v>
      </c>
      <c r="M2564" s="52" t="s">
        <v>607</v>
      </c>
      <c r="N2564" s="52" t="s">
        <v>607</v>
      </c>
      <c r="O2564" s="52"/>
      <c r="P2564" s="52"/>
      <c r="Q2564" s="52"/>
      <c r="R2564" s="51" t="b">
        <v>0</v>
      </c>
      <c r="S2564" s="51"/>
      <c r="T2564" s="52"/>
      <c r="U2564" s="51" t="b">
        <v>0</v>
      </c>
      <c r="V2564" s="51" t="b">
        <v>0</v>
      </c>
      <c r="W2564" s="51" t="b">
        <v>0</v>
      </c>
      <c r="X2564" s="51" t="b">
        <v>0</v>
      </c>
      <c r="Y2564" s="51" t="b">
        <v>0</v>
      </c>
      <c r="Z2564" s="51" t="b">
        <v>0</v>
      </c>
      <c r="AA2564" s="68"/>
      <c r="AB2564" s="52"/>
      <c r="AC2564" s="52"/>
      <c r="AD2564" s="52"/>
      <c r="AE2564" s="56" t="s">
        <v>607</v>
      </c>
      <c r="AF2564" s="56" t="s">
        <v>607</v>
      </c>
    </row>
    <row r="2565">
      <c r="A2565" s="52" t="s">
        <v>6001</v>
      </c>
      <c r="B2565" s="52" t="s">
        <v>607</v>
      </c>
      <c r="C2565" s="52" t="s">
        <v>607</v>
      </c>
      <c r="D2565" s="65" t="s">
        <v>607</v>
      </c>
      <c r="E2565" s="65" t="s">
        <v>607</v>
      </c>
      <c r="F2565" s="65" t="s">
        <v>607</v>
      </c>
      <c r="G2565" s="65" t="s">
        <v>607</v>
      </c>
      <c r="H2565" s="52" t="s">
        <v>607</v>
      </c>
      <c r="I2565" s="52" t="s">
        <v>607</v>
      </c>
      <c r="J2565" s="52" t="s">
        <v>607</v>
      </c>
      <c r="K2565" s="52" t="s">
        <v>607</v>
      </c>
      <c r="L2565" s="52" t="s">
        <v>607</v>
      </c>
      <c r="M2565" s="52" t="s">
        <v>607</v>
      </c>
      <c r="N2565" s="52" t="s">
        <v>607</v>
      </c>
      <c r="O2565" s="52"/>
      <c r="P2565" s="52"/>
      <c r="Q2565" s="52"/>
      <c r="R2565" s="51" t="b">
        <v>0</v>
      </c>
      <c r="S2565" s="51"/>
      <c r="T2565" s="52"/>
      <c r="U2565" s="51" t="b">
        <v>0</v>
      </c>
      <c r="V2565" s="51" t="b">
        <v>0</v>
      </c>
      <c r="W2565" s="51" t="b">
        <v>0</v>
      </c>
      <c r="X2565" s="51" t="b">
        <v>0</v>
      </c>
      <c r="Y2565" s="51" t="b">
        <v>0</v>
      </c>
      <c r="Z2565" s="51" t="b">
        <v>0</v>
      </c>
      <c r="AA2565" s="68"/>
      <c r="AB2565" s="52"/>
      <c r="AC2565" s="52"/>
      <c r="AD2565" s="52"/>
      <c r="AE2565" s="56" t="s">
        <v>607</v>
      </c>
      <c r="AF2565" s="56" t="s">
        <v>607</v>
      </c>
    </row>
    <row r="2566">
      <c r="A2566" s="52" t="s">
        <v>6002</v>
      </c>
      <c r="B2566" s="52" t="s">
        <v>607</v>
      </c>
      <c r="C2566" s="52" t="s">
        <v>607</v>
      </c>
      <c r="D2566" s="65" t="s">
        <v>607</v>
      </c>
      <c r="E2566" s="65" t="s">
        <v>607</v>
      </c>
      <c r="F2566" s="65" t="s">
        <v>607</v>
      </c>
      <c r="G2566" s="65" t="s">
        <v>607</v>
      </c>
      <c r="H2566" s="52" t="s">
        <v>607</v>
      </c>
      <c r="I2566" s="52" t="s">
        <v>607</v>
      </c>
      <c r="J2566" s="52" t="s">
        <v>607</v>
      </c>
      <c r="K2566" s="52" t="s">
        <v>607</v>
      </c>
      <c r="L2566" s="52" t="s">
        <v>607</v>
      </c>
      <c r="M2566" s="52" t="s">
        <v>607</v>
      </c>
      <c r="N2566" s="52" t="s">
        <v>607</v>
      </c>
      <c r="O2566" s="52"/>
      <c r="P2566" s="52"/>
      <c r="Q2566" s="52"/>
      <c r="R2566" s="51" t="b">
        <v>0</v>
      </c>
      <c r="S2566" s="51"/>
      <c r="T2566" s="52"/>
      <c r="U2566" s="51" t="b">
        <v>0</v>
      </c>
      <c r="V2566" s="51" t="b">
        <v>0</v>
      </c>
      <c r="W2566" s="51" t="b">
        <v>0</v>
      </c>
      <c r="X2566" s="51" t="b">
        <v>0</v>
      </c>
      <c r="Y2566" s="51" t="b">
        <v>0</v>
      </c>
      <c r="Z2566" s="51" t="b">
        <v>0</v>
      </c>
      <c r="AA2566" s="68"/>
      <c r="AB2566" s="52"/>
      <c r="AC2566" s="52"/>
      <c r="AD2566" s="52"/>
      <c r="AE2566" s="56" t="s">
        <v>607</v>
      </c>
      <c r="AF2566" s="56" t="s">
        <v>607</v>
      </c>
    </row>
    <row r="2567">
      <c r="A2567" s="52" t="s">
        <v>6003</v>
      </c>
      <c r="B2567" s="52" t="s">
        <v>607</v>
      </c>
      <c r="C2567" s="52" t="s">
        <v>607</v>
      </c>
      <c r="D2567" s="65" t="s">
        <v>607</v>
      </c>
      <c r="E2567" s="65" t="s">
        <v>607</v>
      </c>
      <c r="F2567" s="65" t="s">
        <v>607</v>
      </c>
      <c r="G2567" s="65" t="s">
        <v>607</v>
      </c>
      <c r="H2567" s="52" t="s">
        <v>607</v>
      </c>
      <c r="I2567" s="52" t="s">
        <v>607</v>
      </c>
      <c r="J2567" s="52" t="s">
        <v>607</v>
      </c>
      <c r="K2567" s="52" t="s">
        <v>607</v>
      </c>
      <c r="L2567" s="52" t="s">
        <v>607</v>
      </c>
      <c r="M2567" s="52" t="s">
        <v>607</v>
      </c>
      <c r="N2567" s="52" t="s">
        <v>607</v>
      </c>
      <c r="O2567" s="52"/>
      <c r="P2567" s="52"/>
      <c r="Q2567" s="52"/>
      <c r="R2567" s="51" t="b">
        <v>0</v>
      </c>
      <c r="S2567" s="51"/>
      <c r="T2567" s="52"/>
      <c r="U2567" s="51" t="b">
        <v>0</v>
      </c>
      <c r="V2567" s="51" t="b">
        <v>0</v>
      </c>
      <c r="W2567" s="51" t="b">
        <v>0</v>
      </c>
      <c r="X2567" s="51" t="b">
        <v>0</v>
      </c>
      <c r="Y2567" s="51" t="b">
        <v>0</v>
      </c>
      <c r="Z2567" s="51" t="b">
        <v>0</v>
      </c>
      <c r="AA2567" s="68"/>
      <c r="AB2567" s="52"/>
      <c r="AC2567" s="52"/>
      <c r="AD2567" s="52"/>
      <c r="AE2567" s="56" t="s">
        <v>607</v>
      </c>
      <c r="AF2567" s="56" t="s">
        <v>607</v>
      </c>
    </row>
    <row r="2568">
      <c r="A2568" s="52" t="s">
        <v>6004</v>
      </c>
      <c r="B2568" s="52" t="s">
        <v>607</v>
      </c>
      <c r="C2568" s="52" t="s">
        <v>607</v>
      </c>
      <c r="D2568" s="65" t="s">
        <v>607</v>
      </c>
      <c r="E2568" s="65" t="s">
        <v>607</v>
      </c>
      <c r="F2568" s="65" t="s">
        <v>607</v>
      </c>
      <c r="G2568" s="65" t="s">
        <v>607</v>
      </c>
      <c r="H2568" s="52" t="s">
        <v>607</v>
      </c>
      <c r="I2568" s="52" t="s">
        <v>607</v>
      </c>
      <c r="J2568" s="52" t="s">
        <v>607</v>
      </c>
      <c r="K2568" s="52" t="s">
        <v>607</v>
      </c>
      <c r="L2568" s="52" t="s">
        <v>607</v>
      </c>
      <c r="M2568" s="52" t="s">
        <v>607</v>
      </c>
      <c r="N2568" s="52" t="s">
        <v>607</v>
      </c>
      <c r="O2568" s="52"/>
      <c r="P2568" s="52"/>
      <c r="Q2568" s="52"/>
      <c r="R2568" s="51" t="b">
        <v>0</v>
      </c>
      <c r="S2568" s="51"/>
      <c r="T2568" s="52"/>
      <c r="U2568" s="51" t="b">
        <v>0</v>
      </c>
      <c r="V2568" s="51" t="b">
        <v>0</v>
      </c>
      <c r="W2568" s="51" t="b">
        <v>0</v>
      </c>
      <c r="X2568" s="51" t="b">
        <v>0</v>
      </c>
      <c r="Y2568" s="51" t="b">
        <v>0</v>
      </c>
      <c r="Z2568" s="51" t="b">
        <v>0</v>
      </c>
      <c r="AA2568" s="68"/>
      <c r="AB2568" s="52"/>
      <c r="AC2568" s="52"/>
      <c r="AD2568" s="52"/>
      <c r="AE2568" s="56" t="s">
        <v>607</v>
      </c>
      <c r="AF2568" s="56" t="s">
        <v>607</v>
      </c>
    </row>
    <row r="2569">
      <c r="A2569" s="52" t="s">
        <v>6006</v>
      </c>
      <c r="B2569" s="52" t="s">
        <v>607</v>
      </c>
      <c r="C2569" s="52" t="s">
        <v>607</v>
      </c>
      <c r="D2569" s="65" t="s">
        <v>607</v>
      </c>
      <c r="E2569" s="65" t="s">
        <v>607</v>
      </c>
      <c r="F2569" s="65" t="s">
        <v>607</v>
      </c>
      <c r="G2569" s="65" t="s">
        <v>607</v>
      </c>
      <c r="H2569" s="52" t="s">
        <v>607</v>
      </c>
      <c r="I2569" s="52" t="s">
        <v>607</v>
      </c>
      <c r="J2569" s="52" t="s">
        <v>607</v>
      </c>
      <c r="K2569" s="52" t="s">
        <v>607</v>
      </c>
      <c r="L2569" s="52" t="s">
        <v>607</v>
      </c>
      <c r="M2569" s="52" t="s">
        <v>607</v>
      </c>
      <c r="N2569" s="52" t="s">
        <v>607</v>
      </c>
      <c r="O2569" s="52"/>
      <c r="P2569" s="52"/>
      <c r="Q2569" s="52"/>
      <c r="R2569" s="51" t="b">
        <v>0</v>
      </c>
      <c r="S2569" s="51"/>
      <c r="T2569" s="52"/>
      <c r="U2569" s="51" t="b">
        <v>0</v>
      </c>
      <c r="V2569" s="51" t="b">
        <v>0</v>
      </c>
      <c r="W2569" s="51" t="b">
        <v>0</v>
      </c>
      <c r="X2569" s="51" t="b">
        <v>0</v>
      </c>
      <c r="Y2569" s="51" t="b">
        <v>0</v>
      </c>
      <c r="Z2569" s="51" t="b">
        <v>0</v>
      </c>
      <c r="AA2569" s="68"/>
      <c r="AB2569" s="52"/>
      <c r="AC2569" s="52"/>
      <c r="AD2569" s="52"/>
      <c r="AE2569" s="56" t="s">
        <v>607</v>
      </c>
      <c r="AF2569" s="56" t="s">
        <v>607</v>
      </c>
    </row>
    <row r="2570">
      <c r="A2570" s="52" t="s">
        <v>6007</v>
      </c>
      <c r="B2570" s="52" t="s">
        <v>607</v>
      </c>
      <c r="C2570" s="52" t="s">
        <v>607</v>
      </c>
      <c r="D2570" s="65" t="s">
        <v>607</v>
      </c>
      <c r="E2570" s="65" t="s">
        <v>607</v>
      </c>
      <c r="F2570" s="65" t="s">
        <v>607</v>
      </c>
      <c r="G2570" s="65" t="s">
        <v>607</v>
      </c>
      <c r="H2570" s="52" t="s">
        <v>607</v>
      </c>
      <c r="I2570" s="52" t="s">
        <v>607</v>
      </c>
      <c r="J2570" s="52" t="s">
        <v>607</v>
      </c>
      <c r="K2570" s="52" t="s">
        <v>607</v>
      </c>
      <c r="L2570" s="52" t="s">
        <v>607</v>
      </c>
      <c r="M2570" s="52" t="s">
        <v>607</v>
      </c>
      <c r="N2570" s="52" t="s">
        <v>607</v>
      </c>
      <c r="O2570" s="52"/>
      <c r="P2570" s="52"/>
      <c r="Q2570" s="52"/>
      <c r="R2570" s="51" t="b">
        <v>0</v>
      </c>
      <c r="S2570" s="51"/>
      <c r="T2570" s="52"/>
      <c r="U2570" s="51" t="b">
        <v>0</v>
      </c>
      <c r="V2570" s="51" t="b">
        <v>0</v>
      </c>
      <c r="W2570" s="51" t="b">
        <v>0</v>
      </c>
      <c r="X2570" s="51" t="b">
        <v>0</v>
      </c>
      <c r="Y2570" s="51" t="b">
        <v>0</v>
      </c>
      <c r="Z2570" s="51" t="b">
        <v>0</v>
      </c>
      <c r="AA2570" s="68"/>
      <c r="AB2570" s="52"/>
      <c r="AC2570" s="52"/>
      <c r="AD2570" s="52"/>
      <c r="AE2570" s="56" t="s">
        <v>607</v>
      </c>
      <c r="AF2570" s="56" t="s">
        <v>607</v>
      </c>
    </row>
    <row r="2571">
      <c r="A2571" s="52" t="s">
        <v>6008</v>
      </c>
      <c r="B2571" s="52" t="s">
        <v>607</v>
      </c>
      <c r="C2571" s="52" t="s">
        <v>607</v>
      </c>
      <c r="D2571" s="65" t="s">
        <v>607</v>
      </c>
      <c r="E2571" s="65" t="s">
        <v>607</v>
      </c>
      <c r="F2571" s="65" t="s">
        <v>607</v>
      </c>
      <c r="G2571" s="65" t="s">
        <v>607</v>
      </c>
      <c r="H2571" s="52" t="s">
        <v>607</v>
      </c>
      <c r="I2571" s="52" t="s">
        <v>607</v>
      </c>
      <c r="J2571" s="52" t="s">
        <v>607</v>
      </c>
      <c r="K2571" s="52" t="s">
        <v>607</v>
      </c>
      <c r="L2571" s="52" t="s">
        <v>607</v>
      </c>
      <c r="M2571" s="52" t="s">
        <v>607</v>
      </c>
      <c r="N2571" s="52" t="s">
        <v>607</v>
      </c>
      <c r="O2571" s="52"/>
      <c r="P2571" s="52"/>
      <c r="Q2571" s="52"/>
      <c r="R2571" s="51" t="b">
        <v>0</v>
      </c>
      <c r="S2571" s="51"/>
      <c r="T2571" s="52"/>
      <c r="U2571" s="51" t="b">
        <v>0</v>
      </c>
      <c r="V2571" s="51" t="b">
        <v>0</v>
      </c>
      <c r="W2571" s="51" t="b">
        <v>0</v>
      </c>
      <c r="X2571" s="51" t="b">
        <v>0</v>
      </c>
      <c r="Y2571" s="51" t="b">
        <v>0</v>
      </c>
      <c r="Z2571" s="51" t="b">
        <v>0</v>
      </c>
      <c r="AA2571" s="68"/>
      <c r="AB2571" s="52"/>
      <c r="AC2571" s="52"/>
      <c r="AD2571" s="52"/>
      <c r="AE2571" s="56" t="s">
        <v>607</v>
      </c>
      <c r="AF2571" s="56" t="s">
        <v>607</v>
      </c>
    </row>
    <row r="2572">
      <c r="A2572" s="52" t="s">
        <v>6009</v>
      </c>
      <c r="B2572" s="52" t="s">
        <v>607</v>
      </c>
      <c r="C2572" s="52" t="s">
        <v>607</v>
      </c>
      <c r="D2572" s="65" t="s">
        <v>607</v>
      </c>
      <c r="E2572" s="65" t="s">
        <v>607</v>
      </c>
      <c r="F2572" s="65" t="s">
        <v>607</v>
      </c>
      <c r="G2572" s="65" t="s">
        <v>607</v>
      </c>
      <c r="H2572" s="52" t="s">
        <v>607</v>
      </c>
      <c r="I2572" s="52" t="s">
        <v>607</v>
      </c>
      <c r="J2572" s="52" t="s">
        <v>607</v>
      </c>
      <c r="K2572" s="52" t="s">
        <v>607</v>
      </c>
      <c r="L2572" s="52" t="s">
        <v>607</v>
      </c>
      <c r="M2572" s="52" t="s">
        <v>607</v>
      </c>
      <c r="N2572" s="52" t="s">
        <v>607</v>
      </c>
      <c r="O2572" s="52"/>
      <c r="P2572" s="52"/>
      <c r="Q2572" s="52"/>
      <c r="R2572" s="51" t="b">
        <v>0</v>
      </c>
      <c r="S2572" s="51"/>
      <c r="T2572" s="52"/>
      <c r="U2572" s="51" t="b">
        <v>0</v>
      </c>
      <c r="V2572" s="51" t="b">
        <v>0</v>
      </c>
      <c r="W2572" s="51" t="b">
        <v>0</v>
      </c>
      <c r="X2572" s="51" t="b">
        <v>0</v>
      </c>
      <c r="Y2572" s="51" t="b">
        <v>0</v>
      </c>
      <c r="Z2572" s="51" t="b">
        <v>0</v>
      </c>
      <c r="AA2572" s="68"/>
      <c r="AB2572" s="52"/>
      <c r="AC2572" s="52"/>
      <c r="AD2572" s="52"/>
      <c r="AE2572" s="56" t="s">
        <v>607</v>
      </c>
      <c r="AF2572" s="56" t="s">
        <v>607</v>
      </c>
    </row>
    <row r="2573">
      <c r="A2573" s="52" t="s">
        <v>6013</v>
      </c>
      <c r="B2573" s="52" t="s">
        <v>607</v>
      </c>
      <c r="C2573" s="52" t="s">
        <v>607</v>
      </c>
      <c r="D2573" s="65" t="s">
        <v>607</v>
      </c>
      <c r="E2573" s="65" t="s">
        <v>607</v>
      </c>
      <c r="F2573" s="65" t="s">
        <v>607</v>
      </c>
      <c r="G2573" s="65" t="s">
        <v>607</v>
      </c>
      <c r="H2573" s="52" t="s">
        <v>607</v>
      </c>
      <c r="I2573" s="52" t="s">
        <v>607</v>
      </c>
      <c r="J2573" s="52" t="s">
        <v>607</v>
      </c>
      <c r="K2573" s="52" t="s">
        <v>607</v>
      </c>
      <c r="L2573" s="52" t="s">
        <v>607</v>
      </c>
      <c r="M2573" s="52" t="s">
        <v>607</v>
      </c>
      <c r="N2573" s="52" t="s">
        <v>607</v>
      </c>
      <c r="O2573" s="52"/>
      <c r="P2573" s="52"/>
      <c r="Q2573" s="52"/>
      <c r="R2573" s="51" t="b">
        <v>0</v>
      </c>
      <c r="S2573" s="51"/>
      <c r="T2573" s="52"/>
      <c r="U2573" s="51" t="b">
        <v>0</v>
      </c>
      <c r="V2573" s="51" t="b">
        <v>0</v>
      </c>
      <c r="W2573" s="51" t="b">
        <v>0</v>
      </c>
      <c r="X2573" s="51" t="b">
        <v>0</v>
      </c>
      <c r="Y2573" s="51" t="b">
        <v>0</v>
      </c>
      <c r="Z2573" s="51" t="b">
        <v>0</v>
      </c>
      <c r="AA2573" s="68"/>
      <c r="AB2573" s="52"/>
      <c r="AC2573" s="52"/>
      <c r="AD2573" s="52"/>
      <c r="AE2573" s="56" t="s">
        <v>607</v>
      </c>
      <c r="AF2573" s="56" t="s">
        <v>607</v>
      </c>
    </row>
    <row r="2574">
      <c r="A2574" s="52" t="s">
        <v>6014</v>
      </c>
      <c r="B2574" s="52" t="s">
        <v>607</v>
      </c>
      <c r="C2574" s="52" t="s">
        <v>607</v>
      </c>
      <c r="D2574" s="65" t="s">
        <v>607</v>
      </c>
      <c r="E2574" s="65" t="s">
        <v>607</v>
      </c>
      <c r="F2574" s="65" t="s">
        <v>607</v>
      </c>
      <c r="G2574" s="65" t="s">
        <v>607</v>
      </c>
      <c r="H2574" s="52" t="s">
        <v>607</v>
      </c>
      <c r="I2574" s="52" t="s">
        <v>607</v>
      </c>
      <c r="J2574" s="52" t="s">
        <v>607</v>
      </c>
      <c r="K2574" s="52" t="s">
        <v>607</v>
      </c>
      <c r="L2574" s="52" t="s">
        <v>607</v>
      </c>
      <c r="M2574" s="52" t="s">
        <v>607</v>
      </c>
      <c r="N2574" s="52" t="s">
        <v>607</v>
      </c>
      <c r="O2574" s="52"/>
      <c r="P2574" s="52"/>
      <c r="Q2574" s="52"/>
      <c r="R2574" s="51" t="b">
        <v>0</v>
      </c>
      <c r="S2574" s="51"/>
      <c r="T2574" s="52"/>
      <c r="U2574" s="51" t="b">
        <v>0</v>
      </c>
      <c r="V2574" s="51" t="b">
        <v>0</v>
      </c>
      <c r="W2574" s="51" t="b">
        <v>0</v>
      </c>
      <c r="X2574" s="51" t="b">
        <v>0</v>
      </c>
      <c r="Y2574" s="51" t="b">
        <v>0</v>
      </c>
      <c r="Z2574" s="51" t="b">
        <v>0</v>
      </c>
      <c r="AA2574" s="68"/>
      <c r="AB2574" s="52"/>
      <c r="AC2574" s="52"/>
      <c r="AD2574" s="52"/>
      <c r="AE2574" s="56" t="s">
        <v>607</v>
      </c>
      <c r="AF2574" s="56" t="s">
        <v>607</v>
      </c>
    </row>
    <row r="2575">
      <c r="A2575" s="52" t="s">
        <v>6015</v>
      </c>
      <c r="B2575" s="52" t="s">
        <v>607</v>
      </c>
      <c r="C2575" s="52" t="s">
        <v>607</v>
      </c>
      <c r="D2575" s="65" t="s">
        <v>607</v>
      </c>
      <c r="E2575" s="65" t="s">
        <v>607</v>
      </c>
      <c r="F2575" s="65" t="s">
        <v>607</v>
      </c>
      <c r="G2575" s="65" t="s">
        <v>607</v>
      </c>
      <c r="H2575" s="52" t="s">
        <v>607</v>
      </c>
      <c r="I2575" s="52" t="s">
        <v>607</v>
      </c>
      <c r="J2575" s="52" t="s">
        <v>607</v>
      </c>
      <c r="K2575" s="52" t="s">
        <v>607</v>
      </c>
      <c r="L2575" s="52" t="s">
        <v>607</v>
      </c>
      <c r="M2575" s="52" t="s">
        <v>607</v>
      </c>
      <c r="N2575" s="52" t="s">
        <v>607</v>
      </c>
      <c r="O2575" s="52"/>
      <c r="P2575" s="52"/>
      <c r="Q2575" s="52"/>
      <c r="R2575" s="51" t="b">
        <v>0</v>
      </c>
      <c r="S2575" s="51"/>
      <c r="T2575" s="52"/>
      <c r="U2575" s="51" t="b">
        <v>0</v>
      </c>
      <c r="V2575" s="51" t="b">
        <v>0</v>
      </c>
      <c r="W2575" s="51" t="b">
        <v>0</v>
      </c>
      <c r="X2575" s="51" t="b">
        <v>0</v>
      </c>
      <c r="Y2575" s="51" t="b">
        <v>0</v>
      </c>
      <c r="Z2575" s="51" t="b">
        <v>0</v>
      </c>
      <c r="AA2575" s="68"/>
      <c r="AB2575" s="52"/>
      <c r="AC2575" s="52"/>
      <c r="AD2575" s="52"/>
      <c r="AE2575" s="56" t="s">
        <v>607</v>
      </c>
      <c r="AF2575" s="56" t="s">
        <v>607</v>
      </c>
    </row>
    <row r="2576">
      <c r="A2576" s="52" t="s">
        <v>6016</v>
      </c>
      <c r="B2576" s="52" t="s">
        <v>607</v>
      </c>
      <c r="C2576" s="52" t="s">
        <v>607</v>
      </c>
      <c r="D2576" s="65" t="s">
        <v>607</v>
      </c>
      <c r="E2576" s="65" t="s">
        <v>607</v>
      </c>
      <c r="F2576" s="65" t="s">
        <v>607</v>
      </c>
      <c r="G2576" s="65" t="s">
        <v>607</v>
      </c>
      <c r="H2576" s="52" t="s">
        <v>607</v>
      </c>
      <c r="I2576" s="52" t="s">
        <v>607</v>
      </c>
      <c r="J2576" s="52" t="s">
        <v>607</v>
      </c>
      <c r="K2576" s="52" t="s">
        <v>607</v>
      </c>
      <c r="L2576" s="52" t="s">
        <v>607</v>
      </c>
      <c r="M2576" s="52" t="s">
        <v>607</v>
      </c>
      <c r="N2576" s="52" t="s">
        <v>607</v>
      </c>
      <c r="O2576" s="52"/>
      <c r="P2576" s="52"/>
      <c r="Q2576" s="52"/>
      <c r="R2576" s="51" t="b">
        <v>0</v>
      </c>
      <c r="S2576" s="51"/>
      <c r="T2576" s="52"/>
      <c r="U2576" s="51" t="b">
        <v>0</v>
      </c>
      <c r="V2576" s="51" t="b">
        <v>0</v>
      </c>
      <c r="W2576" s="51" t="b">
        <v>0</v>
      </c>
      <c r="X2576" s="51" t="b">
        <v>0</v>
      </c>
      <c r="Y2576" s="51" t="b">
        <v>0</v>
      </c>
      <c r="Z2576" s="51" t="b">
        <v>0</v>
      </c>
      <c r="AA2576" s="68"/>
      <c r="AB2576" s="52"/>
      <c r="AC2576" s="52"/>
      <c r="AD2576" s="52"/>
      <c r="AE2576" s="56" t="s">
        <v>607</v>
      </c>
      <c r="AF2576" s="56" t="s">
        <v>607</v>
      </c>
    </row>
    <row r="2577">
      <c r="A2577" s="52" t="s">
        <v>6017</v>
      </c>
      <c r="B2577" s="52" t="s">
        <v>607</v>
      </c>
      <c r="C2577" s="52" t="s">
        <v>607</v>
      </c>
      <c r="D2577" s="65" t="s">
        <v>607</v>
      </c>
      <c r="E2577" s="65" t="s">
        <v>607</v>
      </c>
      <c r="F2577" s="65" t="s">
        <v>607</v>
      </c>
      <c r="G2577" s="65" t="s">
        <v>607</v>
      </c>
      <c r="H2577" s="52" t="s">
        <v>607</v>
      </c>
      <c r="I2577" s="52" t="s">
        <v>607</v>
      </c>
      <c r="J2577" s="52" t="s">
        <v>607</v>
      </c>
      <c r="K2577" s="52" t="s">
        <v>607</v>
      </c>
      <c r="L2577" s="52" t="s">
        <v>607</v>
      </c>
      <c r="M2577" s="52" t="s">
        <v>607</v>
      </c>
      <c r="N2577" s="52" t="s">
        <v>607</v>
      </c>
      <c r="O2577" s="52"/>
      <c r="P2577" s="52"/>
      <c r="Q2577" s="52"/>
      <c r="R2577" s="51" t="b">
        <v>0</v>
      </c>
      <c r="S2577" s="51"/>
      <c r="T2577" s="52"/>
      <c r="U2577" s="51" t="b">
        <v>0</v>
      </c>
      <c r="V2577" s="51" t="b">
        <v>0</v>
      </c>
      <c r="W2577" s="51" t="b">
        <v>0</v>
      </c>
      <c r="X2577" s="51" t="b">
        <v>0</v>
      </c>
      <c r="Y2577" s="51" t="b">
        <v>0</v>
      </c>
      <c r="Z2577" s="51" t="b">
        <v>0</v>
      </c>
      <c r="AA2577" s="68"/>
      <c r="AB2577" s="52"/>
      <c r="AC2577" s="52"/>
      <c r="AD2577" s="52"/>
      <c r="AE2577" s="56" t="s">
        <v>607</v>
      </c>
      <c r="AF2577" s="56" t="s">
        <v>607</v>
      </c>
    </row>
    <row r="2578">
      <c r="A2578" s="52" t="s">
        <v>6018</v>
      </c>
      <c r="B2578" s="52" t="s">
        <v>607</v>
      </c>
      <c r="C2578" s="52" t="s">
        <v>607</v>
      </c>
      <c r="D2578" s="65" t="s">
        <v>607</v>
      </c>
      <c r="E2578" s="65" t="s">
        <v>607</v>
      </c>
      <c r="F2578" s="65" t="s">
        <v>607</v>
      </c>
      <c r="G2578" s="65" t="s">
        <v>607</v>
      </c>
      <c r="H2578" s="52" t="s">
        <v>607</v>
      </c>
      <c r="I2578" s="52" t="s">
        <v>607</v>
      </c>
      <c r="J2578" s="52" t="s">
        <v>607</v>
      </c>
      <c r="K2578" s="52" t="s">
        <v>607</v>
      </c>
      <c r="L2578" s="52" t="s">
        <v>607</v>
      </c>
      <c r="M2578" s="52" t="s">
        <v>607</v>
      </c>
      <c r="N2578" s="52" t="s">
        <v>607</v>
      </c>
      <c r="O2578" s="52"/>
      <c r="P2578" s="52"/>
      <c r="Q2578" s="52"/>
      <c r="R2578" s="51" t="b">
        <v>0</v>
      </c>
      <c r="S2578" s="51"/>
      <c r="T2578" s="52"/>
      <c r="U2578" s="51" t="b">
        <v>0</v>
      </c>
      <c r="V2578" s="51" t="b">
        <v>0</v>
      </c>
      <c r="W2578" s="51" t="b">
        <v>0</v>
      </c>
      <c r="X2578" s="51" t="b">
        <v>0</v>
      </c>
      <c r="Y2578" s="51" t="b">
        <v>0</v>
      </c>
      <c r="Z2578" s="51" t="b">
        <v>0</v>
      </c>
      <c r="AA2578" s="68"/>
      <c r="AB2578" s="52"/>
      <c r="AC2578" s="52"/>
      <c r="AD2578" s="52"/>
      <c r="AE2578" s="56" t="s">
        <v>607</v>
      </c>
      <c r="AF2578" s="56" t="s">
        <v>607</v>
      </c>
    </row>
    <row r="2579">
      <c r="A2579" s="52" t="s">
        <v>6023</v>
      </c>
      <c r="B2579" s="52" t="s">
        <v>607</v>
      </c>
      <c r="C2579" s="52" t="s">
        <v>607</v>
      </c>
      <c r="D2579" s="65" t="s">
        <v>607</v>
      </c>
      <c r="E2579" s="65" t="s">
        <v>607</v>
      </c>
      <c r="F2579" s="65" t="s">
        <v>607</v>
      </c>
      <c r="G2579" s="65" t="s">
        <v>607</v>
      </c>
      <c r="H2579" s="52" t="s">
        <v>607</v>
      </c>
      <c r="I2579" s="52" t="s">
        <v>607</v>
      </c>
      <c r="J2579" s="52" t="s">
        <v>607</v>
      </c>
      <c r="K2579" s="52" t="s">
        <v>607</v>
      </c>
      <c r="L2579" s="52" t="s">
        <v>607</v>
      </c>
      <c r="M2579" s="52" t="s">
        <v>607</v>
      </c>
      <c r="N2579" s="52" t="s">
        <v>607</v>
      </c>
      <c r="O2579" s="52"/>
      <c r="P2579" s="52"/>
      <c r="Q2579" s="52"/>
      <c r="R2579" s="51" t="b">
        <v>0</v>
      </c>
      <c r="S2579" s="51"/>
      <c r="T2579" s="52"/>
      <c r="U2579" s="51" t="b">
        <v>0</v>
      </c>
      <c r="V2579" s="51" t="b">
        <v>0</v>
      </c>
      <c r="W2579" s="51" t="b">
        <v>0</v>
      </c>
      <c r="X2579" s="51" t="b">
        <v>0</v>
      </c>
      <c r="Y2579" s="51" t="b">
        <v>0</v>
      </c>
      <c r="Z2579" s="51" t="b">
        <v>0</v>
      </c>
      <c r="AA2579" s="68"/>
      <c r="AB2579" s="52"/>
      <c r="AC2579" s="52"/>
      <c r="AD2579" s="52"/>
      <c r="AE2579" s="56" t="s">
        <v>607</v>
      </c>
      <c r="AF2579" s="56" t="s">
        <v>607</v>
      </c>
    </row>
    <row r="2580">
      <c r="A2580" s="52" t="s">
        <v>6024</v>
      </c>
      <c r="B2580" s="52" t="s">
        <v>607</v>
      </c>
      <c r="C2580" s="52" t="s">
        <v>607</v>
      </c>
      <c r="D2580" s="65" t="s">
        <v>607</v>
      </c>
      <c r="E2580" s="65" t="s">
        <v>607</v>
      </c>
      <c r="F2580" s="65" t="s">
        <v>607</v>
      </c>
      <c r="G2580" s="65" t="s">
        <v>607</v>
      </c>
      <c r="H2580" s="52" t="s">
        <v>607</v>
      </c>
      <c r="I2580" s="52" t="s">
        <v>607</v>
      </c>
      <c r="J2580" s="52" t="s">
        <v>607</v>
      </c>
      <c r="K2580" s="52" t="s">
        <v>607</v>
      </c>
      <c r="L2580" s="52" t="s">
        <v>607</v>
      </c>
      <c r="M2580" s="52" t="s">
        <v>607</v>
      </c>
      <c r="N2580" s="52" t="s">
        <v>607</v>
      </c>
      <c r="O2580" s="52"/>
      <c r="P2580" s="52"/>
      <c r="Q2580" s="52"/>
      <c r="R2580" s="51" t="b">
        <v>0</v>
      </c>
      <c r="S2580" s="51"/>
      <c r="T2580" s="52"/>
      <c r="U2580" s="51" t="b">
        <v>0</v>
      </c>
      <c r="V2580" s="51" t="b">
        <v>0</v>
      </c>
      <c r="W2580" s="51" t="b">
        <v>0</v>
      </c>
      <c r="X2580" s="51" t="b">
        <v>0</v>
      </c>
      <c r="Y2580" s="51" t="b">
        <v>0</v>
      </c>
      <c r="Z2580" s="51" t="b">
        <v>0</v>
      </c>
      <c r="AA2580" s="68"/>
      <c r="AB2580" s="52"/>
      <c r="AC2580" s="52"/>
      <c r="AD2580" s="52"/>
      <c r="AE2580" s="56" t="s">
        <v>607</v>
      </c>
      <c r="AF2580" s="56" t="s">
        <v>607</v>
      </c>
    </row>
    <row r="2581">
      <c r="A2581" s="52" t="s">
        <v>6025</v>
      </c>
      <c r="B2581" s="52" t="s">
        <v>607</v>
      </c>
      <c r="C2581" s="52" t="s">
        <v>607</v>
      </c>
      <c r="D2581" s="65" t="s">
        <v>607</v>
      </c>
      <c r="E2581" s="65" t="s">
        <v>607</v>
      </c>
      <c r="F2581" s="65" t="s">
        <v>607</v>
      </c>
      <c r="G2581" s="65" t="s">
        <v>607</v>
      </c>
      <c r="H2581" s="52" t="s">
        <v>607</v>
      </c>
      <c r="I2581" s="52" t="s">
        <v>607</v>
      </c>
      <c r="J2581" s="52" t="s">
        <v>607</v>
      </c>
      <c r="K2581" s="52" t="s">
        <v>607</v>
      </c>
      <c r="L2581" s="52" t="s">
        <v>607</v>
      </c>
      <c r="M2581" s="52" t="s">
        <v>607</v>
      </c>
      <c r="N2581" s="52" t="s">
        <v>607</v>
      </c>
      <c r="O2581" s="52"/>
      <c r="P2581" s="52"/>
      <c r="Q2581" s="52"/>
      <c r="R2581" s="51" t="b">
        <v>0</v>
      </c>
      <c r="S2581" s="51"/>
      <c r="T2581" s="52"/>
      <c r="U2581" s="51" t="b">
        <v>0</v>
      </c>
      <c r="V2581" s="51" t="b">
        <v>0</v>
      </c>
      <c r="W2581" s="51" t="b">
        <v>0</v>
      </c>
      <c r="X2581" s="51" t="b">
        <v>0</v>
      </c>
      <c r="Y2581" s="51" t="b">
        <v>0</v>
      </c>
      <c r="Z2581" s="51" t="b">
        <v>0</v>
      </c>
      <c r="AA2581" s="68"/>
      <c r="AB2581" s="52"/>
      <c r="AC2581" s="52"/>
      <c r="AD2581" s="52"/>
      <c r="AE2581" s="56" t="s">
        <v>607</v>
      </c>
      <c r="AF2581" s="56" t="s">
        <v>607</v>
      </c>
    </row>
    <row r="2582">
      <c r="A2582" s="52" t="s">
        <v>6026</v>
      </c>
      <c r="B2582" s="52" t="s">
        <v>607</v>
      </c>
      <c r="C2582" s="52" t="s">
        <v>607</v>
      </c>
      <c r="D2582" s="65" t="s">
        <v>607</v>
      </c>
      <c r="E2582" s="65" t="s">
        <v>607</v>
      </c>
      <c r="F2582" s="65" t="s">
        <v>607</v>
      </c>
      <c r="G2582" s="65" t="s">
        <v>607</v>
      </c>
      <c r="H2582" s="52" t="s">
        <v>607</v>
      </c>
      <c r="I2582" s="52" t="s">
        <v>607</v>
      </c>
      <c r="J2582" s="52" t="s">
        <v>607</v>
      </c>
      <c r="K2582" s="52" t="s">
        <v>607</v>
      </c>
      <c r="L2582" s="52" t="s">
        <v>607</v>
      </c>
      <c r="M2582" s="52" t="s">
        <v>607</v>
      </c>
      <c r="N2582" s="52" t="s">
        <v>607</v>
      </c>
      <c r="O2582" s="52"/>
      <c r="P2582" s="52"/>
      <c r="Q2582" s="52"/>
      <c r="R2582" s="51" t="b">
        <v>0</v>
      </c>
      <c r="S2582" s="51"/>
      <c r="T2582" s="52"/>
      <c r="U2582" s="51" t="b">
        <v>0</v>
      </c>
      <c r="V2582" s="51" t="b">
        <v>0</v>
      </c>
      <c r="W2582" s="51" t="b">
        <v>0</v>
      </c>
      <c r="X2582" s="51" t="b">
        <v>0</v>
      </c>
      <c r="Y2582" s="51" t="b">
        <v>0</v>
      </c>
      <c r="Z2582" s="51" t="b">
        <v>0</v>
      </c>
      <c r="AA2582" s="68"/>
      <c r="AB2582" s="52"/>
      <c r="AC2582" s="52"/>
      <c r="AD2582" s="52"/>
      <c r="AE2582" s="56" t="s">
        <v>607</v>
      </c>
      <c r="AF2582" s="56" t="s">
        <v>607</v>
      </c>
    </row>
    <row r="2583">
      <c r="A2583" s="52" t="s">
        <v>6027</v>
      </c>
      <c r="B2583" s="52" t="s">
        <v>607</v>
      </c>
      <c r="C2583" s="52" t="s">
        <v>607</v>
      </c>
      <c r="D2583" s="65" t="s">
        <v>607</v>
      </c>
      <c r="E2583" s="65" t="s">
        <v>607</v>
      </c>
      <c r="F2583" s="65" t="s">
        <v>607</v>
      </c>
      <c r="G2583" s="65" t="s">
        <v>607</v>
      </c>
      <c r="H2583" s="52" t="s">
        <v>607</v>
      </c>
      <c r="I2583" s="52" t="s">
        <v>607</v>
      </c>
      <c r="J2583" s="52" t="s">
        <v>607</v>
      </c>
      <c r="K2583" s="52" t="s">
        <v>607</v>
      </c>
      <c r="L2583" s="52" t="s">
        <v>607</v>
      </c>
      <c r="M2583" s="52" t="s">
        <v>607</v>
      </c>
      <c r="N2583" s="52" t="s">
        <v>607</v>
      </c>
      <c r="O2583" s="52"/>
      <c r="P2583" s="52"/>
      <c r="Q2583" s="52"/>
      <c r="R2583" s="51" t="b">
        <v>0</v>
      </c>
      <c r="S2583" s="51"/>
      <c r="T2583" s="52"/>
      <c r="U2583" s="51" t="b">
        <v>0</v>
      </c>
      <c r="V2583" s="51" t="b">
        <v>0</v>
      </c>
      <c r="W2583" s="51" t="b">
        <v>0</v>
      </c>
      <c r="X2583" s="51" t="b">
        <v>0</v>
      </c>
      <c r="Y2583" s="51" t="b">
        <v>0</v>
      </c>
      <c r="Z2583" s="51" t="b">
        <v>0</v>
      </c>
      <c r="AA2583" s="68"/>
      <c r="AB2583" s="52"/>
      <c r="AC2583" s="52"/>
      <c r="AD2583" s="52"/>
      <c r="AE2583" s="56" t="s">
        <v>607</v>
      </c>
      <c r="AF2583" s="56" t="s">
        <v>607</v>
      </c>
    </row>
    <row r="2584">
      <c r="A2584" s="52" t="s">
        <v>6031</v>
      </c>
      <c r="B2584" s="52" t="s">
        <v>607</v>
      </c>
      <c r="C2584" s="52" t="s">
        <v>607</v>
      </c>
      <c r="D2584" s="65" t="s">
        <v>607</v>
      </c>
      <c r="E2584" s="65" t="s">
        <v>607</v>
      </c>
      <c r="F2584" s="65" t="s">
        <v>607</v>
      </c>
      <c r="G2584" s="65" t="s">
        <v>607</v>
      </c>
      <c r="H2584" s="52" t="s">
        <v>607</v>
      </c>
      <c r="I2584" s="52" t="s">
        <v>607</v>
      </c>
      <c r="J2584" s="52" t="s">
        <v>607</v>
      </c>
      <c r="K2584" s="52" t="s">
        <v>607</v>
      </c>
      <c r="L2584" s="52" t="s">
        <v>607</v>
      </c>
      <c r="M2584" s="52" t="s">
        <v>607</v>
      </c>
      <c r="N2584" s="52" t="s">
        <v>607</v>
      </c>
      <c r="O2584" s="52"/>
      <c r="P2584" s="52"/>
      <c r="Q2584" s="52"/>
      <c r="R2584" s="51" t="b">
        <v>0</v>
      </c>
      <c r="S2584" s="51"/>
      <c r="T2584" s="52"/>
      <c r="U2584" s="51" t="b">
        <v>0</v>
      </c>
      <c r="V2584" s="51" t="b">
        <v>0</v>
      </c>
      <c r="W2584" s="51" t="b">
        <v>0</v>
      </c>
      <c r="X2584" s="51" t="b">
        <v>0</v>
      </c>
      <c r="Y2584" s="51" t="b">
        <v>0</v>
      </c>
      <c r="Z2584" s="51" t="b">
        <v>0</v>
      </c>
      <c r="AA2584" s="68"/>
      <c r="AB2584" s="52"/>
      <c r="AC2584" s="52"/>
      <c r="AD2584" s="52"/>
      <c r="AE2584" s="56" t="s">
        <v>607</v>
      </c>
      <c r="AF2584" s="56" t="s">
        <v>607</v>
      </c>
    </row>
    <row r="2585">
      <c r="A2585" s="52" t="s">
        <v>6032</v>
      </c>
      <c r="B2585" s="52" t="s">
        <v>607</v>
      </c>
      <c r="C2585" s="52" t="s">
        <v>607</v>
      </c>
      <c r="D2585" s="65" t="s">
        <v>607</v>
      </c>
      <c r="E2585" s="65" t="s">
        <v>607</v>
      </c>
      <c r="F2585" s="65" t="s">
        <v>607</v>
      </c>
      <c r="G2585" s="65" t="s">
        <v>607</v>
      </c>
      <c r="H2585" s="52" t="s">
        <v>607</v>
      </c>
      <c r="I2585" s="52" t="s">
        <v>607</v>
      </c>
      <c r="J2585" s="52" t="s">
        <v>607</v>
      </c>
      <c r="K2585" s="52" t="s">
        <v>607</v>
      </c>
      <c r="L2585" s="52" t="s">
        <v>607</v>
      </c>
      <c r="M2585" s="52" t="s">
        <v>607</v>
      </c>
      <c r="N2585" s="52" t="s">
        <v>607</v>
      </c>
      <c r="O2585" s="52"/>
      <c r="P2585" s="52"/>
      <c r="Q2585" s="52"/>
      <c r="R2585" s="51" t="b">
        <v>0</v>
      </c>
      <c r="S2585" s="51"/>
      <c r="T2585" s="52"/>
      <c r="U2585" s="51" t="b">
        <v>0</v>
      </c>
      <c r="V2585" s="51" t="b">
        <v>0</v>
      </c>
      <c r="W2585" s="51" t="b">
        <v>0</v>
      </c>
      <c r="X2585" s="51" t="b">
        <v>0</v>
      </c>
      <c r="Y2585" s="51" t="b">
        <v>0</v>
      </c>
      <c r="Z2585" s="51" t="b">
        <v>0</v>
      </c>
      <c r="AA2585" s="68"/>
      <c r="AB2585" s="52"/>
      <c r="AC2585" s="52"/>
      <c r="AD2585" s="52"/>
      <c r="AE2585" s="56" t="s">
        <v>607</v>
      </c>
      <c r="AF2585" s="56" t="s">
        <v>607</v>
      </c>
    </row>
    <row r="2586">
      <c r="A2586" s="52" t="s">
        <v>6033</v>
      </c>
      <c r="B2586" s="52" t="s">
        <v>607</v>
      </c>
      <c r="C2586" s="52" t="s">
        <v>607</v>
      </c>
      <c r="D2586" s="65" t="s">
        <v>607</v>
      </c>
      <c r="E2586" s="65" t="s">
        <v>607</v>
      </c>
      <c r="F2586" s="65" t="s">
        <v>607</v>
      </c>
      <c r="G2586" s="65" t="s">
        <v>607</v>
      </c>
      <c r="H2586" s="52" t="s">
        <v>607</v>
      </c>
      <c r="I2586" s="52" t="s">
        <v>607</v>
      </c>
      <c r="J2586" s="52" t="s">
        <v>607</v>
      </c>
      <c r="K2586" s="52" t="s">
        <v>607</v>
      </c>
      <c r="L2586" s="52" t="s">
        <v>607</v>
      </c>
      <c r="M2586" s="52" t="s">
        <v>607</v>
      </c>
      <c r="N2586" s="52" t="s">
        <v>607</v>
      </c>
      <c r="O2586" s="52"/>
      <c r="P2586" s="52"/>
      <c r="Q2586" s="52"/>
      <c r="R2586" s="51" t="b">
        <v>0</v>
      </c>
      <c r="S2586" s="51"/>
      <c r="T2586" s="52"/>
      <c r="U2586" s="51" t="b">
        <v>0</v>
      </c>
      <c r="V2586" s="51" t="b">
        <v>0</v>
      </c>
      <c r="W2586" s="51" t="b">
        <v>0</v>
      </c>
      <c r="X2586" s="51" t="b">
        <v>0</v>
      </c>
      <c r="Y2586" s="51" t="b">
        <v>0</v>
      </c>
      <c r="Z2586" s="51" t="b">
        <v>0</v>
      </c>
      <c r="AA2586" s="68"/>
      <c r="AB2586" s="52"/>
      <c r="AC2586" s="52"/>
      <c r="AD2586" s="52"/>
      <c r="AE2586" s="56" t="s">
        <v>607</v>
      </c>
      <c r="AF2586" s="56" t="s">
        <v>607</v>
      </c>
    </row>
    <row r="2587">
      <c r="A2587" s="52" t="s">
        <v>6034</v>
      </c>
      <c r="B2587" s="52" t="s">
        <v>607</v>
      </c>
      <c r="C2587" s="52" t="s">
        <v>607</v>
      </c>
      <c r="D2587" s="65" t="s">
        <v>607</v>
      </c>
      <c r="E2587" s="65" t="s">
        <v>607</v>
      </c>
      <c r="F2587" s="65" t="s">
        <v>607</v>
      </c>
      <c r="G2587" s="65" t="s">
        <v>607</v>
      </c>
      <c r="H2587" s="52" t="s">
        <v>607</v>
      </c>
      <c r="I2587" s="52" t="s">
        <v>607</v>
      </c>
      <c r="J2587" s="52" t="s">
        <v>607</v>
      </c>
      <c r="K2587" s="52" t="s">
        <v>607</v>
      </c>
      <c r="L2587" s="52" t="s">
        <v>607</v>
      </c>
      <c r="M2587" s="52" t="s">
        <v>607</v>
      </c>
      <c r="N2587" s="52" t="s">
        <v>607</v>
      </c>
      <c r="O2587" s="52"/>
      <c r="P2587" s="52"/>
      <c r="Q2587" s="52"/>
      <c r="R2587" s="51" t="b">
        <v>0</v>
      </c>
      <c r="S2587" s="51"/>
      <c r="T2587" s="52"/>
      <c r="U2587" s="51" t="b">
        <v>0</v>
      </c>
      <c r="V2587" s="51" t="b">
        <v>0</v>
      </c>
      <c r="W2587" s="51" t="b">
        <v>0</v>
      </c>
      <c r="X2587" s="51" t="b">
        <v>0</v>
      </c>
      <c r="Y2587" s="51" t="b">
        <v>0</v>
      </c>
      <c r="Z2587" s="51" t="b">
        <v>0</v>
      </c>
      <c r="AA2587" s="68"/>
      <c r="AB2587" s="52"/>
      <c r="AC2587" s="52"/>
      <c r="AD2587" s="52"/>
      <c r="AE2587" s="56" t="s">
        <v>607</v>
      </c>
      <c r="AF2587" s="56" t="s">
        <v>607</v>
      </c>
    </row>
    <row r="2588">
      <c r="A2588" s="52" t="s">
        <v>6035</v>
      </c>
      <c r="B2588" s="52" t="s">
        <v>607</v>
      </c>
      <c r="C2588" s="52" t="s">
        <v>607</v>
      </c>
      <c r="D2588" s="65" t="s">
        <v>607</v>
      </c>
      <c r="E2588" s="65" t="s">
        <v>607</v>
      </c>
      <c r="F2588" s="65" t="s">
        <v>607</v>
      </c>
      <c r="G2588" s="65" t="s">
        <v>607</v>
      </c>
      <c r="H2588" s="52" t="s">
        <v>607</v>
      </c>
      <c r="I2588" s="52" t="s">
        <v>607</v>
      </c>
      <c r="J2588" s="52" t="s">
        <v>607</v>
      </c>
      <c r="K2588" s="52" t="s">
        <v>607</v>
      </c>
      <c r="L2588" s="52" t="s">
        <v>607</v>
      </c>
      <c r="M2588" s="52" t="s">
        <v>607</v>
      </c>
      <c r="N2588" s="52" t="s">
        <v>607</v>
      </c>
      <c r="O2588" s="52"/>
      <c r="P2588" s="52"/>
      <c r="Q2588" s="52"/>
      <c r="R2588" s="51" t="b">
        <v>0</v>
      </c>
      <c r="S2588" s="51"/>
      <c r="T2588" s="52"/>
      <c r="U2588" s="51" t="b">
        <v>0</v>
      </c>
      <c r="V2588" s="51" t="b">
        <v>0</v>
      </c>
      <c r="W2588" s="51" t="b">
        <v>0</v>
      </c>
      <c r="X2588" s="51" t="b">
        <v>0</v>
      </c>
      <c r="Y2588" s="51" t="b">
        <v>0</v>
      </c>
      <c r="Z2588" s="51" t="b">
        <v>0</v>
      </c>
      <c r="AA2588" s="68"/>
      <c r="AB2588" s="52"/>
      <c r="AC2588" s="52"/>
      <c r="AD2588" s="52"/>
      <c r="AE2588" s="56" t="s">
        <v>607</v>
      </c>
      <c r="AF2588" s="56" t="s">
        <v>607</v>
      </c>
    </row>
    <row r="2589">
      <c r="A2589" s="52" t="s">
        <v>6039</v>
      </c>
      <c r="B2589" s="52" t="s">
        <v>607</v>
      </c>
      <c r="C2589" s="52" t="s">
        <v>607</v>
      </c>
      <c r="D2589" s="65" t="s">
        <v>607</v>
      </c>
      <c r="E2589" s="65" t="s">
        <v>607</v>
      </c>
      <c r="F2589" s="65" t="s">
        <v>607</v>
      </c>
      <c r="G2589" s="65" t="s">
        <v>607</v>
      </c>
      <c r="H2589" s="52" t="s">
        <v>607</v>
      </c>
      <c r="I2589" s="52" t="s">
        <v>607</v>
      </c>
      <c r="J2589" s="52" t="s">
        <v>607</v>
      </c>
      <c r="K2589" s="52" t="s">
        <v>607</v>
      </c>
      <c r="L2589" s="52" t="s">
        <v>607</v>
      </c>
      <c r="M2589" s="52" t="s">
        <v>607</v>
      </c>
      <c r="N2589" s="52" t="s">
        <v>607</v>
      </c>
      <c r="O2589" s="52"/>
      <c r="P2589" s="52"/>
      <c r="Q2589" s="52"/>
      <c r="R2589" s="51" t="b">
        <v>0</v>
      </c>
      <c r="S2589" s="51"/>
      <c r="T2589" s="52"/>
      <c r="U2589" s="51" t="b">
        <v>0</v>
      </c>
      <c r="V2589" s="51" t="b">
        <v>0</v>
      </c>
      <c r="W2589" s="51" t="b">
        <v>0</v>
      </c>
      <c r="X2589" s="51" t="b">
        <v>0</v>
      </c>
      <c r="Y2589" s="51" t="b">
        <v>0</v>
      </c>
      <c r="Z2589" s="51" t="b">
        <v>0</v>
      </c>
      <c r="AA2589" s="68"/>
      <c r="AB2589" s="52"/>
      <c r="AC2589" s="52"/>
      <c r="AD2589" s="52"/>
      <c r="AE2589" s="56" t="s">
        <v>607</v>
      </c>
      <c r="AF2589" s="56" t="s">
        <v>607</v>
      </c>
    </row>
    <row r="2590">
      <c r="A2590" s="52" t="s">
        <v>6040</v>
      </c>
      <c r="B2590" s="52" t="s">
        <v>607</v>
      </c>
      <c r="C2590" s="52" t="s">
        <v>607</v>
      </c>
      <c r="D2590" s="65" t="s">
        <v>607</v>
      </c>
      <c r="E2590" s="65" t="s">
        <v>607</v>
      </c>
      <c r="F2590" s="65" t="s">
        <v>607</v>
      </c>
      <c r="G2590" s="65" t="s">
        <v>607</v>
      </c>
      <c r="H2590" s="52" t="s">
        <v>607</v>
      </c>
      <c r="I2590" s="52" t="s">
        <v>607</v>
      </c>
      <c r="J2590" s="52" t="s">
        <v>607</v>
      </c>
      <c r="K2590" s="52" t="s">
        <v>607</v>
      </c>
      <c r="L2590" s="52" t="s">
        <v>607</v>
      </c>
      <c r="M2590" s="52" t="s">
        <v>607</v>
      </c>
      <c r="N2590" s="52" t="s">
        <v>607</v>
      </c>
      <c r="O2590" s="52"/>
      <c r="P2590" s="52"/>
      <c r="Q2590" s="52"/>
      <c r="R2590" s="51" t="b">
        <v>0</v>
      </c>
      <c r="S2590" s="51"/>
      <c r="T2590" s="52"/>
      <c r="U2590" s="51" t="b">
        <v>0</v>
      </c>
      <c r="V2590" s="51" t="b">
        <v>0</v>
      </c>
      <c r="W2590" s="51" t="b">
        <v>0</v>
      </c>
      <c r="X2590" s="51" t="b">
        <v>0</v>
      </c>
      <c r="Y2590" s="51" t="b">
        <v>0</v>
      </c>
      <c r="Z2590" s="51" t="b">
        <v>0</v>
      </c>
      <c r="AA2590" s="68"/>
      <c r="AB2590" s="52"/>
      <c r="AC2590" s="52"/>
      <c r="AD2590" s="52"/>
      <c r="AE2590" s="56" t="s">
        <v>607</v>
      </c>
      <c r="AF2590" s="56" t="s">
        <v>607</v>
      </c>
    </row>
    <row r="2591">
      <c r="A2591" s="52" t="s">
        <v>6041</v>
      </c>
      <c r="B2591" s="52" t="s">
        <v>607</v>
      </c>
      <c r="C2591" s="52" t="s">
        <v>607</v>
      </c>
      <c r="D2591" s="65" t="s">
        <v>607</v>
      </c>
      <c r="E2591" s="65" t="s">
        <v>607</v>
      </c>
      <c r="F2591" s="65" t="s">
        <v>607</v>
      </c>
      <c r="G2591" s="65" t="s">
        <v>607</v>
      </c>
      <c r="H2591" s="52" t="s">
        <v>607</v>
      </c>
      <c r="I2591" s="52" t="s">
        <v>607</v>
      </c>
      <c r="J2591" s="52" t="s">
        <v>607</v>
      </c>
      <c r="K2591" s="52" t="s">
        <v>607</v>
      </c>
      <c r="L2591" s="52" t="s">
        <v>607</v>
      </c>
      <c r="M2591" s="52" t="s">
        <v>607</v>
      </c>
      <c r="N2591" s="52" t="s">
        <v>607</v>
      </c>
      <c r="O2591" s="52"/>
      <c r="P2591" s="52"/>
      <c r="Q2591" s="52"/>
      <c r="R2591" s="51" t="b">
        <v>0</v>
      </c>
      <c r="S2591" s="51"/>
      <c r="T2591" s="52"/>
      <c r="U2591" s="51" t="b">
        <v>0</v>
      </c>
      <c r="V2591" s="51" t="b">
        <v>0</v>
      </c>
      <c r="W2591" s="51" t="b">
        <v>0</v>
      </c>
      <c r="X2591" s="51" t="b">
        <v>0</v>
      </c>
      <c r="Y2591" s="51" t="b">
        <v>0</v>
      </c>
      <c r="Z2591" s="51" t="b">
        <v>0</v>
      </c>
      <c r="AA2591" s="68"/>
      <c r="AB2591" s="52"/>
      <c r="AC2591" s="52"/>
      <c r="AD2591" s="52"/>
      <c r="AE2591" s="56" t="s">
        <v>607</v>
      </c>
      <c r="AF2591" s="56" t="s">
        <v>607</v>
      </c>
    </row>
    <row r="2592">
      <c r="A2592" s="52" t="s">
        <v>6042</v>
      </c>
      <c r="B2592" s="52" t="s">
        <v>607</v>
      </c>
      <c r="C2592" s="52" t="s">
        <v>607</v>
      </c>
      <c r="D2592" s="65" t="s">
        <v>607</v>
      </c>
      <c r="E2592" s="65" t="s">
        <v>607</v>
      </c>
      <c r="F2592" s="65" t="s">
        <v>607</v>
      </c>
      <c r="G2592" s="65" t="s">
        <v>607</v>
      </c>
      <c r="H2592" s="52" t="s">
        <v>607</v>
      </c>
      <c r="I2592" s="52" t="s">
        <v>607</v>
      </c>
      <c r="J2592" s="52" t="s">
        <v>607</v>
      </c>
      <c r="K2592" s="52" t="s">
        <v>607</v>
      </c>
      <c r="L2592" s="52" t="s">
        <v>607</v>
      </c>
      <c r="M2592" s="52" t="s">
        <v>607</v>
      </c>
      <c r="N2592" s="52" t="s">
        <v>607</v>
      </c>
      <c r="O2592" s="52"/>
      <c r="P2592" s="52"/>
      <c r="Q2592" s="52"/>
      <c r="R2592" s="51" t="b">
        <v>0</v>
      </c>
      <c r="S2592" s="51"/>
      <c r="T2592" s="52"/>
      <c r="U2592" s="51" t="b">
        <v>0</v>
      </c>
      <c r="V2592" s="51" t="b">
        <v>0</v>
      </c>
      <c r="W2592" s="51" t="b">
        <v>0</v>
      </c>
      <c r="X2592" s="51" t="b">
        <v>0</v>
      </c>
      <c r="Y2592" s="51" t="b">
        <v>0</v>
      </c>
      <c r="Z2592" s="51" t="b">
        <v>0</v>
      </c>
      <c r="AA2592" s="68"/>
      <c r="AB2592" s="52"/>
      <c r="AC2592" s="52"/>
      <c r="AD2592" s="52"/>
      <c r="AE2592" s="56" t="s">
        <v>607</v>
      </c>
      <c r="AF2592" s="56" t="s">
        <v>607</v>
      </c>
    </row>
    <row r="2593">
      <c r="A2593" s="52" t="s">
        <v>6043</v>
      </c>
      <c r="B2593" s="52" t="s">
        <v>607</v>
      </c>
      <c r="C2593" s="52" t="s">
        <v>607</v>
      </c>
      <c r="D2593" s="65" t="s">
        <v>607</v>
      </c>
      <c r="E2593" s="65" t="s">
        <v>607</v>
      </c>
      <c r="F2593" s="65" t="s">
        <v>607</v>
      </c>
      <c r="G2593" s="65" t="s">
        <v>607</v>
      </c>
      <c r="H2593" s="52" t="s">
        <v>607</v>
      </c>
      <c r="I2593" s="52" t="s">
        <v>607</v>
      </c>
      <c r="J2593" s="52" t="s">
        <v>607</v>
      </c>
      <c r="K2593" s="52" t="s">
        <v>607</v>
      </c>
      <c r="L2593" s="52" t="s">
        <v>607</v>
      </c>
      <c r="M2593" s="52" t="s">
        <v>607</v>
      </c>
      <c r="N2593" s="52" t="s">
        <v>607</v>
      </c>
      <c r="O2593" s="52"/>
      <c r="P2593" s="52"/>
      <c r="Q2593" s="52"/>
      <c r="R2593" s="51" t="b">
        <v>0</v>
      </c>
      <c r="S2593" s="51"/>
      <c r="T2593" s="52"/>
      <c r="U2593" s="51" t="b">
        <v>0</v>
      </c>
      <c r="V2593" s="51" t="b">
        <v>0</v>
      </c>
      <c r="W2593" s="51" t="b">
        <v>0</v>
      </c>
      <c r="X2593" s="51" t="b">
        <v>0</v>
      </c>
      <c r="Y2593" s="51" t="b">
        <v>0</v>
      </c>
      <c r="Z2593" s="51" t="b">
        <v>0</v>
      </c>
      <c r="AA2593" s="68"/>
      <c r="AB2593" s="52"/>
      <c r="AC2593" s="52"/>
      <c r="AD2593" s="52"/>
      <c r="AE2593" s="56" t="s">
        <v>607</v>
      </c>
      <c r="AF2593" s="56" t="s">
        <v>607</v>
      </c>
    </row>
    <row r="2594">
      <c r="A2594" s="52" t="s">
        <v>6044</v>
      </c>
      <c r="B2594" s="52" t="s">
        <v>607</v>
      </c>
      <c r="C2594" s="52" t="s">
        <v>607</v>
      </c>
      <c r="D2594" s="65" t="s">
        <v>607</v>
      </c>
      <c r="E2594" s="65" t="s">
        <v>607</v>
      </c>
      <c r="F2594" s="65" t="s">
        <v>607</v>
      </c>
      <c r="G2594" s="65" t="s">
        <v>607</v>
      </c>
      <c r="H2594" s="52" t="s">
        <v>607</v>
      </c>
      <c r="I2594" s="52" t="s">
        <v>607</v>
      </c>
      <c r="J2594" s="52" t="s">
        <v>607</v>
      </c>
      <c r="K2594" s="52" t="s">
        <v>607</v>
      </c>
      <c r="L2594" s="52" t="s">
        <v>607</v>
      </c>
      <c r="M2594" s="52" t="s">
        <v>607</v>
      </c>
      <c r="N2594" s="52" t="s">
        <v>607</v>
      </c>
      <c r="O2594" s="52"/>
      <c r="P2594" s="52"/>
      <c r="Q2594" s="52"/>
      <c r="R2594" s="51" t="b">
        <v>0</v>
      </c>
      <c r="S2594" s="51"/>
      <c r="T2594" s="52"/>
      <c r="U2594" s="51" t="b">
        <v>0</v>
      </c>
      <c r="V2594" s="51" t="b">
        <v>0</v>
      </c>
      <c r="W2594" s="51" t="b">
        <v>0</v>
      </c>
      <c r="X2594" s="51" t="b">
        <v>0</v>
      </c>
      <c r="Y2594" s="51" t="b">
        <v>0</v>
      </c>
      <c r="Z2594" s="51" t="b">
        <v>0</v>
      </c>
      <c r="AA2594" s="68"/>
      <c r="AB2594" s="52"/>
      <c r="AC2594" s="52"/>
      <c r="AD2594" s="52"/>
      <c r="AE2594" s="56" t="s">
        <v>607</v>
      </c>
      <c r="AF2594" s="56" t="s">
        <v>607</v>
      </c>
    </row>
    <row r="2595">
      <c r="A2595" s="52" t="s">
        <v>6048</v>
      </c>
      <c r="B2595" s="52" t="s">
        <v>607</v>
      </c>
      <c r="C2595" s="52" t="s">
        <v>607</v>
      </c>
      <c r="D2595" s="65" t="s">
        <v>607</v>
      </c>
      <c r="E2595" s="65" t="s">
        <v>607</v>
      </c>
      <c r="F2595" s="65" t="s">
        <v>607</v>
      </c>
      <c r="G2595" s="65" t="s">
        <v>607</v>
      </c>
      <c r="H2595" s="52" t="s">
        <v>607</v>
      </c>
      <c r="I2595" s="52" t="s">
        <v>607</v>
      </c>
      <c r="J2595" s="52" t="s">
        <v>607</v>
      </c>
      <c r="K2595" s="52" t="s">
        <v>607</v>
      </c>
      <c r="L2595" s="52" t="s">
        <v>607</v>
      </c>
      <c r="M2595" s="52" t="s">
        <v>607</v>
      </c>
      <c r="N2595" s="52" t="s">
        <v>607</v>
      </c>
      <c r="O2595" s="52"/>
      <c r="P2595" s="52"/>
      <c r="Q2595" s="52"/>
      <c r="R2595" s="51" t="b">
        <v>0</v>
      </c>
      <c r="S2595" s="51"/>
      <c r="T2595" s="52"/>
      <c r="U2595" s="51" t="b">
        <v>0</v>
      </c>
      <c r="V2595" s="51" t="b">
        <v>0</v>
      </c>
      <c r="W2595" s="51" t="b">
        <v>0</v>
      </c>
      <c r="X2595" s="51" t="b">
        <v>0</v>
      </c>
      <c r="Y2595" s="51" t="b">
        <v>0</v>
      </c>
      <c r="Z2595" s="51" t="b">
        <v>0</v>
      </c>
      <c r="AA2595" s="68"/>
      <c r="AB2595" s="52"/>
      <c r="AC2595" s="52"/>
      <c r="AD2595" s="52"/>
      <c r="AE2595" s="56" t="s">
        <v>607</v>
      </c>
      <c r="AF2595" s="56" t="s">
        <v>607</v>
      </c>
    </row>
    <row r="2596">
      <c r="A2596" s="52" t="s">
        <v>6050</v>
      </c>
      <c r="B2596" s="52" t="s">
        <v>607</v>
      </c>
      <c r="C2596" s="52" t="s">
        <v>607</v>
      </c>
      <c r="D2596" s="65" t="s">
        <v>607</v>
      </c>
      <c r="E2596" s="65" t="s">
        <v>607</v>
      </c>
      <c r="F2596" s="65" t="s">
        <v>607</v>
      </c>
      <c r="G2596" s="65" t="s">
        <v>607</v>
      </c>
      <c r="H2596" s="52" t="s">
        <v>607</v>
      </c>
      <c r="I2596" s="52" t="s">
        <v>607</v>
      </c>
      <c r="J2596" s="52" t="s">
        <v>607</v>
      </c>
      <c r="K2596" s="52" t="s">
        <v>607</v>
      </c>
      <c r="L2596" s="52" t="s">
        <v>607</v>
      </c>
      <c r="M2596" s="52" t="s">
        <v>607</v>
      </c>
      <c r="N2596" s="52" t="s">
        <v>607</v>
      </c>
      <c r="O2596" s="52"/>
      <c r="P2596" s="52"/>
      <c r="Q2596" s="52"/>
      <c r="R2596" s="51" t="b">
        <v>0</v>
      </c>
      <c r="S2596" s="51"/>
      <c r="T2596" s="52"/>
      <c r="U2596" s="51" t="b">
        <v>0</v>
      </c>
      <c r="V2596" s="51" t="b">
        <v>0</v>
      </c>
      <c r="W2596" s="51" t="b">
        <v>0</v>
      </c>
      <c r="X2596" s="51" t="b">
        <v>0</v>
      </c>
      <c r="Y2596" s="51" t="b">
        <v>0</v>
      </c>
      <c r="Z2596" s="51" t="b">
        <v>0</v>
      </c>
      <c r="AA2596" s="68"/>
      <c r="AB2596" s="52"/>
      <c r="AC2596" s="52"/>
      <c r="AD2596" s="52"/>
      <c r="AE2596" s="56" t="s">
        <v>607</v>
      </c>
      <c r="AF2596" s="56" t="s">
        <v>607</v>
      </c>
    </row>
    <row r="2597">
      <c r="A2597" s="52" t="s">
        <v>6051</v>
      </c>
      <c r="B2597" s="52" t="s">
        <v>607</v>
      </c>
      <c r="C2597" s="52" t="s">
        <v>607</v>
      </c>
      <c r="D2597" s="65" t="s">
        <v>607</v>
      </c>
      <c r="E2597" s="65" t="s">
        <v>607</v>
      </c>
      <c r="F2597" s="65" t="s">
        <v>607</v>
      </c>
      <c r="G2597" s="65" t="s">
        <v>607</v>
      </c>
      <c r="H2597" s="52" t="s">
        <v>607</v>
      </c>
      <c r="I2597" s="52" t="s">
        <v>607</v>
      </c>
      <c r="J2597" s="52" t="s">
        <v>607</v>
      </c>
      <c r="K2597" s="52" t="s">
        <v>607</v>
      </c>
      <c r="L2597" s="52" t="s">
        <v>607</v>
      </c>
      <c r="M2597" s="52" t="s">
        <v>607</v>
      </c>
      <c r="N2597" s="52" t="s">
        <v>607</v>
      </c>
      <c r="O2597" s="52"/>
      <c r="P2597" s="52"/>
      <c r="Q2597" s="52"/>
      <c r="R2597" s="51" t="b">
        <v>0</v>
      </c>
      <c r="S2597" s="51"/>
      <c r="T2597" s="52"/>
      <c r="U2597" s="51" t="b">
        <v>0</v>
      </c>
      <c r="V2597" s="51" t="b">
        <v>0</v>
      </c>
      <c r="W2597" s="51" t="b">
        <v>0</v>
      </c>
      <c r="X2597" s="51" t="b">
        <v>0</v>
      </c>
      <c r="Y2597" s="51" t="b">
        <v>0</v>
      </c>
      <c r="Z2597" s="51" t="b">
        <v>0</v>
      </c>
      <c r="AA2597" s="68"/>
      <c r="AB2597" s="52"/>
      <c r="AC2597" s="52"/>
      <c r="AD2597" s="52"/>
      <c r="AE2597" s="56" t="s">
        <v>607</v>
      </c>
      <c r="AF2597" s="56" t="s">
        <v>607</v>
      </c>
    </row>
    <row r="2598">
      <c r="A2598" s="52" t="s">
        <v>6052</v>
      </c>
      <c r="B2598" s="52" t="s">
        <v>607</v>
      </c>
      <c r="C2598" s="52" t="s">
        <v>607</v>
      </c>
      <c r="D2598" s="65" t="s">
        <v>607</v>
      </c>
      <c r="E2598" s="65" t="s">
        <v>607</v>
      </c>
      <c r="F2598" s="65" t="s">
        <v>607</v>
      </c>
      <c r="G2598" s="65" t="s">
        <v>607</v>
      </c>
      <c r="H2598" s="52" t="s">
        <v>607</v>
      </c>
      <c r="I2598" s="52" t="s">
        <v>607</v>
      </c>
      <c r="J2598" s="52" t="s">
        <v>607</v>
      </c>
      <c r="K2598" s="52" t="s">
        <v>607</v>
      </c>
      <c r="L2598" s="52" t="s">
        <v>607</v>
      </c>
      <c r="M2598" s="52" t="s">
        <v>607</v>
      </c>
      <c r="N2598" s="52" t="s">
        <v>607</v>
      </c>
      <c r="O2598" s="52"/>
      <c r="P2598" s="52"/>
      <c r="Q2598" s="52"/>
      <c r="R2598" s="51" t="b">
        <v>0</v>
      </c>
      <c r="S2598" s="51"/>
      <c r="T2598" s="52"/>
      <c r="U2598" s="51" t="b">
        <v>0</v>
      </c>
      <c r="V2598" s="51" t="b">
        <v>0</v>
      </c>
      <c r="W2598" s="51" t="b">
        <v>0</v>
      </c>
      <c r="X2598" s="51" t="b">
        <v>0</v>
      </c>
      <c r="Y2598" s="51" t="b">
        <v>0</v>
      </c>
      <c r="Z2598" s="51" t="b">
        <v>0</v>
      </c>
      <c r="AA2598" s="68"/>
      <c r="AB2598" s="52"/>
      <c r="AC2598" s="52"/>
      <c r="AD2598" s="52"/>
      <c r="AE2598" s="56" t="s">
        <v>607</v>
      </c>
      <c r="AF2598" s="56" t="s">
        <v>607</v>
      </c>
    </row>
    <row r="2599">
      <c r="A2599" s="52" t="s">
        <v>6053</v>
      </c>
      <c r="B2599" s="52" t="s">
        <v>607</v>
      </c>
      <c r="C2599" s="52" t="s">
        <v>607</v>
      </c>
      <c r="D2599" s="65" t="s">
        <v>607</v>
      </c>
      <c r="E2599" s="65" t="s">
        <v>607</v>
      </c>
      <c r="F2599" s="65" t="s">
        <v>607</v>
      </c>
      <c r="G2599" s="65" t="s">
        <v>607</v>
      </c>
      <c r="H2599" s="52" t="s">
        <v>607</v>
      </c>
      <c r="I2599" s="52" t="s">
        <v>607</v>
      </c>
      <c r="J2599" s="52" t="s">
        <v>607</v>
      </c>
      <c r="K2599" s="52" t="s">
        <v>607</v>
      </c>
      <c r="L2599" s="52" t="s">
        <v>607</v>
      </c>
      <c r="M2599" s="52" t="s">
        <v>607</v>
      </c>
      <c r="N2599" s="52" t="s">
        <v>607</v>
      </c>
      <c r="O2599" s="52"/>
      <c r="P2599" s="52"/>
      <c r="Q2599" s="52"/>
      <c r="R2599" s="51" t="b">
        <v>0</v>
      </c>
      <c r="S2599" s="51"/>
      <c r="T2599" s="52"/>
      <c r="U2599" s="51" t="b">
        <v>0</v>
      </c>
      <c r="V2599" s="51" t="b">
        <v>0</v>
      </c>
      <c r="W2599" s="51" t="b">
        <v>0</v>
      </c>
      <c r="X2599" s="51" t="b">
        <v>0</v>
      </c>
      <c r="Y2599" s="51" t="b">
        <v>0</v>
      </c>
      <c r="Z2599" s="51" t="b">
        <v>0</v>
      </c>
      <c r="AA2599" s="68"/>
      <c r="AB2599" s="52"/>
      <c r="AC2599" s="52"/>
      <c r="AD2599" s="52"/>
      <c r="AE2599" s="56" t="s">
        <v>607</v>
      </c>
      <c r="AF2599" s="56" t="s">
        <v>607</v>
      </c>
    </row>
    <row r="2600">
      <c r="A2600" s="52" t="s">
        <v>6054</v>
      </c>
      <c r="B2600" s="52" t="s">
        <v>607</v>
      </c>
      <c r="C2600" s="52" t="s">
        <v>607</v>
      </c>
      <c r="D2600" s="65" t="s">
        <v>607</v>
      </c>
      <c r="E2600" s="65" t="s">
        <v>607</v>
      </c>
      <c r="F2600" s="65" t="s">
        <v>607</v>
      </c>
      <c r="G2600" s="65" t="s">
        <v>607</v>
      </c>
      <c r="H2600" s="52" t="s">
        <v>607</v>
      </c>
      <c r="I2600" s="52" t="s">
        <v>607</v>
      </c>
      <c r="J2600" s="52" t="s">
        <v>607</v>
      </c>
      <c r="K2600" s="52" t="s">
        <v>607</v>
      </c>
      <c r="L2600" s="52" t="s">
        <v>607</v>
      </c>
      <c r="M2600" s="52" t="s">
        <v>607</v>
      </c>
      <c r="N2600" s="52" t="s">
        <v>607</v>
      </c>
      <c r="O2600" s="52"/>
      <c r="P2600" s="52"/>
      <c r="Q2600" s="52"/>
      <c r="R2600" s="51" t="b">
        <v>0</v>
      </c>
      <c r="S2600" s="51"/>
      <c r="T2600" s="52"/>
      <c r="U2600" s="51" t="b">
        <v>0</v>
      </c>
      <c r="V2600" s="51" t="b">
        <v>0</v>
      </c>
      <c r="W2600" s="51" t="b">
        <v>0</v>
      </c>
      <c r="X2600" s="51" t="b">
        <v>0</v>
      </c>
      <c r="Y2600" s="51" t="b">
        <v>0</v>
      </c>
      <c r="Z2600" s="51" t="b">
        <v>0</v>
      </c>
      <c r="AA2600" s="68"/>
      <c r="AB2600" s="52"/>
      <c r="AC2600" s="52"/>
      <c r="AD2600" s="52"/>
      <c r="AE2600" s="56" t="s">
        <v>607</v>
      </c>
      <c r="AF2600" s="56" t="s">
        <v>607</v>
      </c>
    </row>
    <row r="2601">
      <c r="A2601" s="52" t="s">
        <v>6055</v>
      </c>
      <c r="B2601" s="52" t="s">
        <v>607</v>
      </c>
      <c r="C2601" s="52" t="s">
        <v>607</v>
      </c>
      <c r="D2601" s="65" t="s">
        <v>607</v>
      </c>
      <c r="E2601" s="65" t="s">
        <v>607</v>
      </c>
      <c r="F2601" s="65" t="s">
        <v>607</v>
      </c>
      <c r="G2601" s="65" t="s">
        <v>607</v>
      </c>
      <c r="H2601" s="52" t="s">
        <v>607</v>
      </c>
      <c r="I2601" s="52" t="s">
        <v>607</v>
      </c>
      <c r="J2601" s="52" t="s">
        <v>607</v>
      </c>
      <c r="K2601" s="52" t="s">
        <v>607</v>
      </c>
      <c r="L2601" s="52" t="s">
        <v>607</v>
      </c>
      <c r="M2601" s="52" t="s">
        <v>607</v>
      </c>
      <c r="N2601" s="52" t="s">
        <v>607</v>
      </c>
      <c r="O2601" s="52"/>
      <c r="P2601" s="52"/>
      <c r="Q2601" s="52"/>
      <c r="R2601" s="51" t="b">
        <v>0</v>
      </c>
      <c r="S2601" s="51"/>
      <c r="T2601" s="52"/>
      <c r="U2601" s="51" t="b">
        <v>0</v>
      </c>
      <c r="V2601" s="51" t="b">
        <v>0</v>
      </c>
      <c r="W2601" s="51" t="b">
        <v>0</v>
      </c>
      <c r="X2601" s="51" t="b">
        <v>0</v>
      </c>
      <c r="Y2601" s="51" t="b">
        <v>0</v>
      </c>
      <c r="Z2601" s="51" t="b">
        <v>0</v>
      </c>
      <c r="AA2601" s="68"/>
      <c r="AB2601" s="52"/>
      <c r="AC2601" s="52"/>
      <c r="AD2601" s="52"/>
      <c r="AE2601" s="56" t="s">
        <v>607</v>
      </c>
      <c r="AF2601" s="56" t="s">
        <v>607</v>
      </c>
    </row>
    <row r="2602">
      <c r="A2602" s="52" t="s">
        <v>6056</v>
      </c>
      <c r="B2602" s="52" t="s">
        <v>607</v>
      </c>
      <c r="C2602" s="52" t="s">
        <v>607</v>
      </c>
      <c r="D2602" s="65" t="s">
        <v>607</v>
      </c>
      <c r="E2602" s="65" t="s">
        <v>607</v>
      </c>
      <c r="F2602" s="65" t="s">
        <v>607</v>
      </c>
      <c r="G2602" s="65" t="s">
        <v>607</v>
      </c>
      <c r="H2602" s="52" t="s">
        <v>607</v>
      </c>
      <c r="I2602" s="52" t="s">
        <v>607</v>
      </c>
      <c r="J2602" s="52" t="s">
        <v>607</v>
      </c>
      <c r="K2602" s="52" t="s">
        <v>607</v>
      </c>
      <c r="L2602" s="52" t="s">
        <v>607</v>
      </c>
      <c r="M2602" s="52" t="s">
        <v>607</v>
      </c>
      <c r="N2602" s="52" t="s">
        <v>607</v>
      </c>
      <c r="O2602" s="52"/>
      <c r="P2602" s="52"/>
      <c r="Q2602" s="52"/>
      <c r="R2602" s="51" t="b">
        <v>0</v>
      </c>
      <c r="S2602" s="51"/>
      <c r="T2602" s="52"/>
      <c r="U2602" s="51" t="b">
        <v>0</v>
      </c>
      <c r="V2602" s="51" t="b">
        <v>0</v>
      </c>
      <c r="W2602" s="51" t="b">
        <v>0</v>
      </c>
      <c r="X2602" s="51" t="b">
        <v>0</v>
      </c>
      <c r="Y2602" s="51" t="b">
        <v>0</v>
      </c>
      <c r="Z2602" s="51" t="b">
        <v>0</v>
      </c>
      <c r="AA2602" s="68"/>
      <c r="AB2602" s="52"/>
      <c r="AC2602" s="52"/>
      <c r="AD2602" s="52"/>
      <c r="AE2602" s="56" t="s">
        <v>607</v>
      </c>
      <c r="AF2602" s="56" t="s">
        <v>607</v>
      </c>
    </row>
    <row r="2603">
      <c r="A2603" s="52" t="s">
        <v>6058</v>
      </c>
      <c r="B2603" s="52" t="s">
        <v>607</v>
      </c>
      <c r="C2603" s="52" t="s">
        <v>607</v>
      </c>
      <c r="D2603" s="65" t="s">
        <v>607</v>
      </c>
      <c r="E2603" s="65" t="s">
        <v>607</v>
      </c>
      <c r="F2603" s="65" t="s">
        <v>607</v>
      </c>
      <c r="G2603" s="65" t="s">
        <v>607</v>
      </c>
      <c r="H2603" s="52" t="s">
        <v>607</v>
      </c>
      <c r="I2603" s="52" t="s">
        <v>607</v>
      </c>
      <c r="J2603" s="52" t="s">
        <v>607</v>
      </c>
      <c r="K2603" s="52" t="s">
        <v>607</v>
      </c>
      <c r="L2603" s="52" t="s">
        <v>607</v>
      </c>
      <c r="M2603" s="52" t="s">
        <v>607</v>
      </c>
      <c r="N2603" s="52" t="s">
        <v>607</v>
      </c>
      <c r="O2603" s="52"/>
      <c r="P2603" s="52"/>
      <c r="Q2603" s="52"/>
      <c r="R2603" s="51" t="b">
        <v>0</v>
      </c>
      <c r="S2603" s="51"/>
      <c r="T2603" s="52"/>
      <c r="U2603" s="51" t="b">
        <v>0</v>
      </c>
      <c r="V2603" s="51" t="b">
        <v>0</v>
      </c>
      <c r="W2603" s="51" t="b">
        <v>0</v>
      </c>
      <c r="X2603" s="51" t="b">
        <v>0</v>
      </c>
      <c r="Y2603" s="51" t="b">
        <v>0</v>
      </c>
      <c r="Z2603" s="51" t="b">
        <v>0</v>
      </c>
      <c r="AA2603" s="68"/>
      <c r="AB2603" s="52"/>
      <c r="AC2603" s="52"/>
      <c r="AD2603" s="52"/>
      <c r="AE2603" s="56" t="s">
        <v>607</v>
      </c>
      <c r="AF2603" s="56" t="s">
        <v>607</v>
      </c>
    </row>
    <row r="2604">
      <c r="A2604" s="52" t="s">
        <v>6060</v>
      </c>
      <c r="B2604" s="52" t="s">
        <v>607</v>
      </c>
      <c r="C2604" s="52" t="s">
        <v>607</v>
      </c>
      <c r="D2604" s="65" t="s">
        <v>607</v>
      </c>
      <c r="E2604" s="65" t="s">
        <v>607</v>
      </c>
      <c r="F2604" s="65" t="s">
        <v>607</v>
      </c>
      <c r="G2604" s="65" t="s">
        <v>607</v>
      </c>
      <c r="H2604" s="52" t="s">
        <v>607</v>
      </c>
      <c r="I2604" s="52" t="s">
        <v>607</v>
      </c>
      <c r="J2604" s="52" t="s">
        <v>607</v>
      </c>
      <c r="K2604" s="52" t="s">
        <v>607</v>
      </c>
      <c r="L2604" s="52" t="s">
        <v>607</v>
      </c>
      <c r="M2604" s="52" t="s">
        <v>607</v>
      </c>
      <c r="N2604" s="52" t="s">
        <v>607</v>
      </c>
      <c r="O2604" s="52"/>
      <c r="P2604" s="52"/>
      <c r="Q2604" s="52"/>
      <c r="R2604" s="51" t="b">
        <v>0</v>
      </c>
      <c r="S2604" s="51"/>
      <c r="T2604" s="52"/>
      <c r="U2604" s="51" t="b">
        <v>0</v>
      </c>
      <c r="V2604" s="51" t="b">
        <v>0</v>
      </c>
      <c r="W2604" s="51" t="b">
        <v>0</v>
      </c>
      <c r="X2604" s="51" t="b">
        <v>0</v>
      </c>
      <c r="Y2604" s="51" t="b">
        <v>0</v>
      </c>
      <c r="Z2604" s="51" t="b">
        <v>0</v>
      </c>
      <c r="AA2604" s="68"/>
      <c r="AB2604" s="52"/>
      <c r="AC2604" s="52"/>
      <c r="AD2604" s="52"/>
      <c r="AE2604" s="56" t="s">
        <v>607</v>
      </c>
      <c r="AF2604" s="56" t="s">
        <v>607</v>
      </c>
    </row>
    <row r="2605">
      <c r="A2605" s="52" t="s">
        <v>6063</v>
      </c>
      <c r="B2605" s="52" t="s">
        <v>607</v>
      </c>
      <c r="C2605" s="52" t="s">
        <v>607</v>
      </c>
      <c r="D2605" s="65" t="s">
        <v>607</v>
      </c>
      <c r="E2605" s="65" t="s">
        <v>607</v>
      </c>
      <c r="F2605" s="65" t="s">
        <v>607</v>
      </c>
      <c r="G2605" s="65" t="s">
        <v>607</v>
      </c>
      <c r="H2605" s="52" t="s">
        <v>607</v>
      </c>
      <c r="I2605" s="52" t="s">
        <v>607</v>
      </c>
      <c r="J2605" s="52" t="s">
        <v>607</v>
      </c>
      <c r="K2605" s="52" t="s">
        <v>607</v>
      </c>
      <c r="L2605" s="52" t="s">
        <v>607</v>
      </c>
      <c r="M2605" s="52" t="s">
        <v>607</v>
      </c>
      <c r="N2605" s="52" t="s">
        <v>607</v>
      </c>
      <c r="O2605" s="52"/>
      <c r="P2605" s="52"/>
      <c r="Q2605" s="52"/>
      <c r="R2605" s="51" t="b">
        <v>0</v>
      </c>
      <c r="S2605" s="51"/>
      <c r="T2605" s="52"/>
      <c r="U2605" s="51" t="b">
        <v>0</v>
      </c>
      <c r="V2605" s="51" t="b">
        <v>0</v>
      </c>
      <c r="W2605" s="51" t="b">
        <v>0</v>
      </c>
      <c r="X2605" s="51" t="b">
        <v>0</v>
      </c>
      <c r="Y2605" s="51" t="b">
        <v>0</v>
      </c>
      <c r="Z2605" s="51" t="b">
        <v>0</v>
      </c>
      <c r="AA2605" s="68"/>
      <c r="AB2605" s="52"/>
      <c r="AC2605" s="52"/>
      <c r="AD2605" s="52"/>
      <c r="AE2605" s="56" t="s">
        <v>607</v>
      </c>
      <c r="AF2605" s="56" t="s">
        <v>607</v>
      </c>
    </row>
    <row r="2606">
      <c r="A2606" s="52" t="s">
        <v>6064</v>
      </c>
      <c r="B2606" s="52" t="s">
        <v>607</v>
      </c>
      <c r="C2606" s="52" t="s">
        <v>607</v>
      </c>
      <c r="D2606" s="65" t="s">
        <v>607</v>
      </c>
      <c r="E2606" s="65" t="s">
        <v>607</v>
      </c>
      <c r="F2606" s="65" t="s">
        <v>607</v>
      </c>
      <c r="G2606" s="65" t="s">
        <v>607</v>
      </c>
      <c r="H2606" s="52" t="s">
        <v>607</v>
      </c>
      <c r="I2606" s="52" t="s">
        <v>607</v>
      </c>
      <c r="J2606" s="52" t="s">
        <v>607</v>
      </c>
      <c r="K2606" s="52" t="s">
        <v>607</v>
      </c>
      <c r="L2606" s="52" t="s">
        <v>607</v>
      </c>
      <c r="M2606" s="52" t="s">
        <v>607</v>
      </c>
      <c r="N2606" s="52" t="s">
        <v>607</v>
      </c>
      <c r="O2606" s="52"/>
      <c r="P2606" s="52"/>
      <c r="Q2606" s="52"/>
      <c r="R2606" s="51" t="b">
        <v>0</v>
      </c>
      <c r="S2606" s="51"/>
      <c r="T2606" s="52"/>
      <c r="U2606" s="51" t="b">
        <v>0</v>
      </c>
      <c r="V2606" s="51" t="b">
        <v>0</v>
      </c>
      <c r="W2606" s="51" t="b">
        <v>0</v>
      </c>
      <c r="X2606" s="51" t="b">
        <v>0</v>
      </c>
      <c r="Y2606" s="51" t="b">
        <v>0</v>
      </c>
      <c r="Z2606" s="51" t="b">
        <v>0</v>
      </c>
      <c r="AA2606" s="68"/>
      <c r="AB2606" s="52"/>
      <c r="AC2606" s="52"/>
      <c r="AD2606" s="52"/>
      <c r="AE2606" s="56" t="s">
        <v>607</v>
      </c>
      <c r="AF2606" s="56" t="s">
        <v>607</v>
      </c>
    </row>
    <row r="2607">
      <c r="A2607" s="52" t="s">
        <v>6065</v>
      </c>
      <c r="B2607" s="52" t="s">
        <v>607</v>
      </c>
      <c r="C2607" s="52" t="s">
        <v>607</v>
      </c>
      <c r="D2607" s="65" t="s">
        <v>607</v>
      </c>
      <c r="E2607" s="65" t="s">
        <v>607</v>
      </c>
      <c r="F2607" s="65" t="s">
        <v>607</v>
      </c>
      <c r="G2607" s="65" t="s">
        <v>607</v>
      </c>
      <c r="H2607" s="52" t="s">
        <v>607</v>
      </c>
      <c r="I2607" s="52" t="s">
        <v>607</v>
      </c>
      <c r="J2607" s="52" t="s">
        <v>607</v>
      </c>
      <c r="K2607" s="52" t="s">
        <v>607</v>
      </c>
      <c r="L2607" s="52" t="s">
        <v>607</v>
      </c>
      <c r="M2607" s="52" t="s">
        <v>607</v>
      </c>
      <c r="N2607" s="52" t="s">
        <v>607</v>
      </c>
      <c r="O2607" s="52"/>
      <c r="P2607" s="52"/>
      <c r="Q2607" s="52"/>
      <c r="R2607" s="51" t="b">
        <v>0</v>
      </c>
      <c r="S2607" s="51"/>
      <c r="T2607" s="52"/>
      <c r="U2607" s="51" t="b">
        <v>0</v>
      </c>
      <c r="V2607" s="51" t="b">
        <v>0</v>
      </c>
      <c r="W2607" s="51" t="b">
        <v>0</v>
      </c>
      <c r="X2607" s="51" t="b">
        <v>0</v>
      </c>
      <c r="Y2607" s="51" t="b">
        <v>0</v>
      </c>
      <c r="Z2607" s="51" t="b">
        <v>0</v>
      </c>
      <c r="AA2607" s="68"/>
      <c r="AB2607" s="52"/>
      <c r="AC2607" s="52"/>
      <c r="AD2607" s="52"/>
      <c r="AE2607" s="56" t="s">
        <v>607</v>
      </c>
      <c r="AF2607" s="56" t="s">
        <v>607</v>
      </c>
    </row>
    <row r="2608">
      <c r="A2608" s="52" t="s">
        <v>6066</v>
      </c>
      <c r="B2608" s="52" t="s">
        <v>607</v>
      </c>
      <c r="C2608" s="52" t="s">
        <v>607</v>
      </c>
      <c r="D2608" s="65" t="s">
        <v>607</v>
      </c>
      <c r="E2608" s="65" t="s">
        <v>607</v>
      </c>
      <c r="F2608" s="65" t="s">
        <v>607</v>
      </c>
      <c r="G2608" s="65" t="s">
        <v>607</v>
      </c>
      <c r="H2608" s="52" t="s">
        <v>607</v>
      </c>
      <c r="I2608" s="52" t="s">
        <v>607</v>
      </c>
      <c r="J2608" s="52" t="s">
        <v>607</v>
      </c>
      <c r="K2608" s="52" t="s">
        <v>607</v>
      </c>
      <c r="L2608" s="52" t="s">
        <v>607</v>
      </c>
      <c r="M2608" s="52" t="s">
        <v>607</v>
      </c>
      <c r="N2608" s="52" t="s">
        <v>607</v>
      </c>
      <c r="O2608" s="52"/>
      <c r="P2608" s="52"/>
      <c r="Q2608" s="52"/>
      <c r="R2608" s="51" t="b">
        <v>0</v>
      </c>
      <c r="S2608" s="51"/>
      <c r="T2608" s="52"/>
      <c r="U2608" s="51" t="b">
        <v>0</v>
      </c>
      <c r="V2608" s="51" t="b">
        <v>0</v>
      </c>
      <c r="W2608" s="51" t="b">
        <v>0</v>
      </c>
      <c r="X2608" s="51" t="b">
        <v>0</v>
      </c>
      <c r="Y2608" s="51" t="b">
        <v>0</v>
      </c>
      <c r="Z2608" s="51" t="b">
        <v>0</v>
      </c>
      <c r="AA2608" s="68"/>
      <c r="AB2608" s="52"/>
      <c r="AC2608" s="52"/>
      <c r="AD2608" s="52"/>
      <c r="AE2608" s="56" t="s">
        <v>607</v>
      </c>
      <c r="AF2608" s="56" t="s">
        <v>607</v>
      </c>
    </row>
    <row r="2609">
      <c r="A2609" s="52" t="s">
        <v>6070</v>
      </c>
      <c r="B2609" s="52" t="s">
        <v>607</v>
      </c>
      <c r="C2609" s="52" t="s">
        <v>607</v>
      </c>
      <c r="D2609" s="65" t="s">
        <v>607</v>
      </c>
      <c r="E2609" s="65" t="s">
        <v>607</v>
      </c>
      <c r="F2609" s="65" t="s">
        <v>607</v>
      </c>
      <c r="G2609" s="65" t="s">
        <v>607</v>
      </c>
      <c r="H2609" s="52" t="s">
        <v>607</v>
      </c>
      <c r="I2609" s="52" t="s">
        <v>607</v>
      </c>
      <c r="J2609" s="52" t="s">
        <v>607</v>
      </c>
      <c r="K2609" s="52" t="s">
        <v>607</v>
      </c>
      <c r="L2609" s="52" t="s">
        <v>607</v>
      </c>
      <c r="M2609" s="52" t="s">
        <v>607</v>
      </c>
      <c r="N2609" s="52" t="s">
        <v>607</v>
      </c>
      <c r="O2609" s="52"/>
      <c r="P2609" s="52"/>
      <c r="Q2609" s="52"/>
      <c r="R2609" s="51" t="b">
        <v>0</v>
      </c>
      <c r="S2609" s="51"/>
      <c r="T2609" s="52"/>
      <c r="U2609" s="51" t="b">
        <v>0</v>
      </c>
      <c r="V2609" s="51" t="b">
        <v>0</v>
      </c>
      <c r="W2609" s="51" t="b">
        <v>0</v>
      </c>
      <c r="X2609" s="51" t="b">
        <v>0</v>
      </c>
      <c r="Y2609" s="51" t="b">
        <v>0</v>
      </c>
      <c r="Z2609" s="51" t="b">
        <v>0</v>
      </c>
      <c r="AA2609" s="68"/>
      <c r="AB2609" s="52"/>
      <c r="AC2609" s="52"/>
      <c r="AD2609" s="52"/>
      <c r="AE2609" s="56" t="s">
        <v>607</v>
      </c>
      <c r="AF2609" s="56" t="s">
        <v>607</v>
      </c>
    </row>
    <row r="2610">
      <c r="A2610" s="52" t="s">
        <v>6071</v>
      </c>
      <c r="B2610" s="52" t="s">
        <v>607</v>
      </c>
      <c r="C2610" s="52" t="s">
        <v>607</v>
      </c>
      <c r="D2610" s="65" t="s">
        <v>607</v>
      </c>
      <c r="E2610" s="65" t="s">
        <v>607</v>
      </c>
      <c r="F2610" s="65" t="s">
        <v>607</v>
      </c>
      <c r="G2610" s="65" t="s">
        <v>607</v>
      </c>
      <c r="H2610" s="52" t="s">
        <v>607</v>
      </c>
      <c r="I2610" s="52" t="s">
        <v>607</v>
      </c>
      <c r="J2610" s="52" t="s">
        <v>607</v>
      </c>
      <c r="K2610" s="52" t="s">
        <v>607</v>
      </c>
      <c r="L2610" s="52" t="s">
        <v>607</v>
      </c>
      <c r="M2610" s="52" t="s">
        <v>607</v>
      </c>
      <c r="N2610" s="52" t="s">
        <v>607</v>
      </c>
      <c r="O2610" s="52"/>
      <c r="P2610" s="52"/>
      <c r="Q2610" s="52"/>
      <c r="R2610" s="51" t="b">
        <v>0</v>
      </c>
      <c r="S2610" s="51"/>
      <c r="T2610" s="52"/>
      <c r="U2610" s="51" t="b">
        <v>0</v>
      </c>
      <c r="V2610" s="51" t="b">
        <v>0</v>
      </c>
      <c r="W2610" s="51" t="b">
        <v>0</v>
      </c>
      <c r="X2610" s="51" t="b">
        <v>0</v>
      </c>
      <c r="Y2610" s="51" t="b">
        <v>0</v>
      </c>
      <c r="Z2610" s="51" t="b">
        <v>0</v>
      </c>
      <c r="AA2610" s="68"/>
      <c r="AB2610" s="52"/>
      <c r="AC2610" s="52"/>
      <c r="AD2610" s="52"/>
      <c r="AE2610" s="56" t="s">
        <v>607</v>
      </c>
      <c r="AF2610" s="56" t="s">
        <v>607</v>
      </c>
    </row>
    <row r="2611">
      <c r="A2611" s="52" t="s">
        <v>6075</v>
      </c>
      <c r="B2611" s="52" t="s">
        <v>607</v>
      </c>
      <c r="C2611" s="52" t="s">
        <v>607</v>
      </c>
      <c r="D2611" s="65" t="s">
        <v>607</v>
      </c>
      <c r="E2611" s="65" t="s">
        <v>607</v>
      </c>
      <c r="F2611" s="65" t="s">
        <v>607</v>
      </c>
      <c r="G2611" s="65" t="s">
        <v>607</v>
      </c>
      <c r="H2611" s="52" t="s">
        <v>607</v>
      </c>
      <c r="I2611" s="52" t="s">
        <v>607</v>
      </c>
      <c r="J2611" s="52" t="s">
        <v>607</v>
      </c>
      <c r="K2611" s="52" t="s">
        <v>607</v>
      </c>
      <c r="L2611" s="52" t="s">
        <v>607</v>
      </c>
      <c r="M2611" s="52" t="s">
        <v>607</v>
      </c>
      <c r="N2611" s="52" t="s">
        <v>607</v>
      </c>
      <c r="O2611" s="52"/>
      <c r="P2611" s="52"/>
      <c r="Q2611" s="52"/>
      <c r="R2611" s="51" t="b">
        <v>0</v>
      </c>
      <c r="S2611" s="51"/>
      <c r="T2611" s="52"/>
      <c r="U2611" s="51" t="b">
        <v>0</v>
      </c>
      <c r="V2611" s="51" t="b">
        <v>0</v>
      </c>
      <c r="W2611" s="51" t="b">
        <v>0</v>
      </c>
      <c r="X2611" s="51" t="b">
        <v>0</v>
      </c>
      <c r="Y2611" s="51" t="b">
        <v>0</v>
      </c>
      <c r="Z2611" s="51" t="b">
        <v>0</v>
      </c>
      <c r="AA2611" s="68"/>
      <c r="AB2611" s="52"/>
      <c r="AC2611" s="52"/>
      <c r="AD2611" s="52"/>
      <c r="AE2611" s="56" t="s">
        <v>607</v>
      </c>
      <c r="AF2611" s="56" t="s">
        <v>607</v>
      </c>
    </row>
    <row r="2612">
      <c r="A2612" s="52" t="s">
        <v>6076</v>
      </c>
      <c r="B2612" s="52" t="s">
        <v>607</v>
      </c>
      <c r="C2612" s="52" t="s">
        <v>607</v>
      </c>
      <c r="D2612" s="65" t="s">
        <v>607</v>
      </c>
      <c r="E2612" s="65" t="s">
        <v>607</v>
      </c>
      <c r="F2612" s="65" t="s">
        <v>607</v>
      </c>
      <c r="G2612" s="65" t="s">
        <v>607</v>
      </c>
      <c r="H2612" s="52" t="s">
        <v>607</v>
      </c>
      <c r="I2612" s="52" t="s">
        <v>607</v>
      </c>
      <c r="J2612" s="52" t="s">
        <v>607</v>
      </c>
      <c r="K2612" s="52" t="s">
        <v>607</v>
      </c>
      <c r="L2612" s="52" t="s">
        <v>607</v>
      </c>
      <c r="M2612" s="52" t="s">
        <v>607</v>
      </c>
      <c r="N2612" s="52" t="s">
        <v>607</v>
      </c>
      <c r="O2612" s="52"/>
      <c r="P2612" s="52"/>
      <c r="Q2612" s="52"/>
      <c r="R2612" s="51" t="b">
        <v>0</v>
      </c>
      <c r="S2612" s="51"/>
      <c r="T2612" s="52"/>
      <c r="U2612" s="51" t="b">
        <v>0</v>
      </c>
      <c r="V2612" s="51" t="b">
        <v>0</v>
      </c>
      <c r="W2612" s="51" t="b">
        <v>0</v>
      </c>
      <c r="X2612" s="51" t="b">
        <v>0</v>
      </c>
      <c r="Y2612" s="51" t="b">
        <v>0</v>
      </c>
      <c r="Z2612" s="51" t="b">
        <v>0</v>
      </c>
      <c r="AA2612" s="68"/>
      <c r="AB2612" s="52"/>
      <c r="AC2612" s="52"/>
      <c r="AD2612" s="52"/>
      <c r="AE2612" s="56" t="s">
        <v>607</v>
      </c>
      <c r="AF2612" s="56" t="s">
        <v>607</v>
      </c>
    </row>
    <row r="2613">
      <c r="A2613" s="52" t="s">
        <v>6077</v>
      </c>
      <c r="B2613" s="52" t="s">
        <v>607</v>
      </c>
      <c r="C2613" s="52" t="s">
        <v>607</v>
      </c>
      <c r="D2613" s="65" t="s">
        <v>607</v>
      </c>
      <c r="E2613" s="65" t="s">
        <v>607</v>
      </c>
      <c r="F2613" s="65" t="s">
        <v>607</v>
      </c>
      <c r="G2613" s="65" t="s">
        <v>607</v>
      </c>
      <c r="H2613" s="52" t="s">
        <v>607</v>
      </c>
      <c r="I2613" s="52" t="s">
        <v>607</v>
      </c>
      <c r="J2613" s="52" t="s">
        <v>607</v>
      </c>
      <c r="K2613" s="52" t="s">
        <v>607</v>
      </c>
      <c r="L2613" s="52" t="s">
        <v>607</v>
      </c>
      <c r="M2613" s="52" t="s">
        <v>607</v>
      </c>
      <c r="N2613" s="52" t="s">
        <v>607</v>
      </c>
      <c r="O2613" s="52"/>
      <c r="P2613" s="52"/>
      <c r="Q2613" s="52"/>
      <c r="R2613" s="51" t="b">
        <v>0</v>
      </c>
      <c r="S2613" s="51"/>
      <c r="T2613" s="52"/>
      <c r="U2613" s="51" t="b">
        <v>0</v>
      </c>
      <c r="V2613" s="51" t="b">
        <v>0</v>
      </c>
      <c r="W2613" s="51" t="b">
        <v>0</v>
      </c>
      <c r="X2613" s="51" t="b">
        <v>0</v>
      </c>
      <c r="Y2613" s="51" t="b">
        <v>0</v>
      </c>
      <c r="Z2613" s="51" t="b">
        <v>0</v>
      </c>
      <c r="AA2613" s="68"/>
      <c r="AB2613" s="52"/>
      <c r="AC2613" s="52"/>
      <c r="AD2613" s="52"/>
      <c r="AE2613" s="56" t="s">
        <v>607</v>
      </c>
      <c r="AF2613" s="56" t="s">
        <v>607</v>
      </c>
    </row>
    <row r="2614">
      <c r="A2614" s="52" t="s">
        <v>6080</v>
      </c>
      <c r="B2614" s="52" t="s">
        <v>607</v>
      </c>
      <c r="C2614" s="52" t="s">
        <v>607</v>
      </c>
      <c r="D2614" s="65" t="s">
        <v>607</v>
      </c>
      <c r="E2614" s="65" t="s">
        <v>607</v>
      </c>
      <c r="F2614" s="65" t="s">
        <v>607</v>
      </c>
      <c r="G2614" s="65" t="s">
        <v>607</v>
      </c>
      <c r="H2614" s="52" t="s">
        <v>607</v>
      </c>
      <c r="I2614" s="52" t="s">
        <v>607</v>
      </c>
      <c r="J2614" s="52" t="s">
        <v>607</v>
      </c>
      <c r="K2614" s="52" t="s">
        <v>607</v>
      </c>
      <c r="L2614" s="52" t="s">
        <v>607</v>
      </c>
      <c r="M2614" s="52" t="s">
        <v>607</v>
      </c>
      <c r="N2614" s="52" t="s">
        <v>607</v>
      </c>
      <c r="O2614" s="52"/>
      <c r="P2614" s="52"/>
      <c r="Q2614" s="52"/>
      <c r="R2614" s="51" t="b">
        <v>0</v>
      </c>
      <c r="S2614" s="51"/>
      <c r="T2614" s="52"/>
      <c r="U2614" s="51" t="b">
        <v>0</v>
      </c>
      <c r="V2614" s="51" t="b">
        <v>0</v>
      </c>
      <c r="W2614" s="51" t="b">
        <v>0</v>
      </c>
      <c r="X2614" s="51" t="b">
        <v>0</v>
      </c>
      <c r="Y2614" s="51" t="b">
        <v>0</v>
      </c>
      <c r="Z2614" s="51" t="b">
        <v>0</v>
      </c>
      <c r="AA2614" s="68"/>
      <c r="AB2614" s="52"/>
      <c r="AC2614" s="52"/>
      <c r="AD2614" s="52"/>
      <c r="AE2614" s="56" t="s">
        <v>607</v>
      </c>
      <c r="AF2614" s="56" t="s">
        <v>607</v>
      </c>
    </row>
    <row r="2615">
      <c r="A2615" s="52" t="s">
        <v>6081</v>
      </c>
      <c r="B2615" s="52" t="s">
        <v>607</v>
      </c>
      <c r="C2615" s="52" t="s">
        <v>607</v>
      </c>
      <c r="D2615" s="65" t="s">
        <v>607</v>
      </c>
      <c r="E2615" s="65" t="s">
        <v>607</v>
      </c>
      <c r="F2615" s="65" t="s">
        <v>607</v>
      </c>
      <c r="G2615" s="65" t="s">
        <v>607</v>
      </c>
      <c r="H2615" s="52" t="s">
        <v>607</v>
      </c>
      <c r="I2615" s="52" t="s">
        <v>607</v>
      </c>
      <c r="J2615" s="52" t="s">
        <v>607</v>
      </c>
      <c r="K2615" s="52" t="s">
        <v>607</v>
      </c>
      <c r="L2615" s="52" t="s">
        <v>607</v>
      </c>
      <c r="M2615" s="52" t="s">
        <v>607</v>
      </c>
      <c r="N2615" s="52" t="s">
        <v>607</v>
      </c>
      <c r="O2615" s="52"/>
      <c r="P2615" s="52"/>
      <c r="Q2615" s="52"/>
      <c r="R2615" s="51" t="b">
        <v>0</v>
      </c>
      <c r="S2615" s="51"/>
      <c r="T2615" s="52"/>
      <c r="U2615" s="51" t="b">
        <v>0</v>
      </c>
      <c r="V2615" s="51" t="b">
        <v>0</v>
      </c>
      <c r="W2615" s="51" t="b">
        <v>0</v>
      </c>
      <c r="X2615" s="51" t="b">
        <v>0</v>
      </c>
      <c r="Y2615" s="51" t="b">
        <v>0</v>
      </c>
      <c r="Z2615" s="51" t="b">
        <v>0</v>
      </c>
      <c r="AA2615" s="68"/>
      <c r="AB2615" s="52"/>
      <c r="AC2615" s="52"/>
      <c r="AD2615" s="52"/>
      <c r="AE2615" s="56" t="s">
        <v>607</v>
      </c>
      <c r="AF2615" s="56" t="s">
        <v>607</v>
      </c>
    </row>
    <row r="2616">
      <c r="A2616" s="52" t="s">
        <v>6084</v>
      </c>
      <c r="B2616" s="52" t="s">
        <v>607</v>
      </c>
      <c r="C2616" s="52" t="s">
        <v>607</v>
      </c>
      <c r="D2616" s="65" t="s">
        <v>607</v>
      </c>
      <c r="E2616" s="65" t="s">
        <v>607</v>
      </c>
      <c r="F2616" s="65" t="s">
        <v>607</v>
      </c>
      <c r="G2616" s="65" t="s">
        <v>607</v>
      </c>
      <c r="H2616" s="52" t="s">
        <v>607</v>
      </c>
      <c r="I2616" s="52" t="s">
        <v>607</v>
      </c>
      <c r="J2616" s="52" t="s">
        <v>607</v>
      </c>
      <c r="K2616" s="52" t="s">
        <v>607</v>
      </c>
      <c r="L2616" s="52" t="s">
        <v>607</v>
      </c>
      <c r="M2616" s="52" t="s">
        <v>607</v>
      </c>
      <c r="N2616" s="52" t="s">
        <v>607</v>
      </c>
      <c r="O2616" s="52"/>
      <c r="P2616" s="52"/>
      <c r="Q2616" s="52"/>
      <c r="R2616" s="51" t="b">
        <v>0</v>
      </c>
      <c r="S2616" s="51"/>
      <c r="T2616" s="52"/>
      <c r="U2616" s="51" t="b">
        <v>0</v>
      </c>
      <c r="V2616" s="51" t="b">
        <v>0</v>
      </c>
      <c r="W2616" s="51" t="b">
        <v>0</v>
      </c>
      <c r="X2616" s="51" t="b">
        <v>0</v>
      </c>
      <c r="Y2616" s="51" t="b">
        <v>0</v>
      </c>
      <c r="Z2616" s="51" t="b">
        <v>0</v>
      </c>
      <c r="AA2616" s="68"/>
      <c r="AB2616" s="52"/>
      <c r="AC2616" s="52"/>
      <c r="AD2616" s="52"/>
      <c r="AE2616" s="56" t="s">
        <v>607</v>
      </c>
      <c r="AF2616" s="56" t="s">
        <v>607</v>
      </c>
    </row>
    <row r="2617">
      <c r="A2617" s="52" t="s">
        <v>6085</v>
      </c>
      <c r="B2617" s="52" t="s">
        <v>607</v>
      </c>
      <c r="C2617" s="52" t="s">
        <v>607</v>
      </c>
      <c r="D2617" s="65" t="s">
        <v>607</v>
      </c>
      <c r="E2617" s="65" t="s">
        <v>607</v>
      </c>
      <c r="F2617" s="65" t="s">
        <v>607</v>
      </c>
      <c r="G2617" s="65" t="s">
        <v>607</v>
      </c>
      <c r="H2617" s="52" t="s">
        <v>607</v>
      </c>
      <c r="I2617" s="52" t="s">
        <v>607</v>
      </c>
      <c r="J2617" s="52" t="s">
        <v>607</v>
      </c>
      <c r="K2617" s="52" t="s">
        <v>607</v>
      </c>
      <c r="L2617" s="52" t="s">
        <v>607</v>
      </c>
      <c r="M2617" s="52" t="s">
        <v>607</v>
      </c>
      <c r="N2617" s="52" t="s">
        <v>607</v>
      </c>
      <c r="O2617" s="52"/>
      <c r="P2617" s="52"/>
      <c r="Q2617" s="52"/>
      <c r="R2617" s="51" t="b">
        <v>0</v>
      </c>
      <c r="S2617" s="51"/>
      <c r="T2617" s="52"/>
      <c r="U2617" s="51" t="b">
        <v>0</v>
      </c>
      <c r="V2617" s="51" t="b">
        <v>0</v>
      </c>
      <c r="W2617" s="51" t="b">
        <v>0</v>
      </c>
      <c r="X2617" s="51" t="b">
        <v>0</v>
      </c>
      <c r="Y2617" s="51" t="b">
        <v>0</v>
      </c>
      <c r="Z2617" s="51" t="b">
        <v>0</v>
      </c>
      <c r="AA2617" s="68"/>
      <c r="AB2617" s="52"/>
      <c r="AC2617" s="52"/>
      <c r="AD2617" s="52"/>
      <c r="AE2617" s="56" t="s">
        <v>607</v>
      </c>
      <c r="AF2617" s="56" t="s">
        <v>607</v>
      </c>
    </row>
    <row r="2618">
      <c r="A2618" s="52" t="s">
        <v>6086</v>
      </c>
      <c r="B2618" s="52" t="s">
        <v>607</v>
      </c>
      <c r="C2618" s="52" t="s">
        <v>607</v>
      </c>
      <c r="D2618" s="65" t="s">
        <v>607</v>
      </c>
      <c r="E2618" s="65" t="s">
        <v>607</v>
      </c>
      <c r="F2618" s="65" t="s">
        <v>607</v>
      </c>
      <c r="G2618" s="65" t="s">
        <v>607</v>
      </c>
      <c r="H2618" s="52" t="s">
        <v>607</v>
      </c>
      <c r="I2618" s="52" t="s">
        <v>607</v>
      </c>
      <c r="J2618" s="52" t="s">
        <v>607</v>
      </c>
      <c r="K2618" s="52" t="s">
        <v>607</v>
      </c>
      <c r="L2618" s="52" t="s">
        <v>607</v>
      </c>
      <c r="M2618" s="52" t="s">
        <v>607</v>
      </c>
      <c r="N2618" s="52" t="s">
        <v>607</v>
      </c>
      <c r="O2618" s="52"/>
      <c r="P2618" s="52"/>
      <c r="Q2618" s="52"/>
      <c r="R2618" s="51" t="b">
        <v>0</v>
      </c>
      <c r="S2618" s="51"/>
      <c r="T2618" s="52"/>
      <c r="U2618" s="51" t="b">
        <v>0</v>
      </c>
      <c r="V2618" s="51" t="b">
        <v>0</v>
      </c>
      <c r="W2618" s="51" t="b">
        <v>0</v>
      </c>
      <c r="X2618" s="51" t="b">
        <v>0</v>
      </c>
      <c r="Y2618" s="51" t="b">
        <v>0</v>
      </c>
      <c r="Z2618" s="51" t="b">
        <v>0</v>
      </c>
      <c r="AA2618" s="68"/>
      <c r="AB2618" s="52"/>
      <c r="AC2618" s="52"/>
      <c r="AD2618" s="52"/>
      <c r="AE2618" s="56" t="s">
        <v>607</v>
      </c>
      <c r="AF2618" s="56" t="s">
        <v>607</v>
      </c>
    </row>
    <row r="2619">
      <c r="A2619" s="52" t="s">
        <v>6087</v>
      </c>
      <c r="B2619" s="52" t="s">
        <v>607</v>
      </c>
      <c r="C2619" s="52" t="s">
        <v>607</v>
      </c>
      <c r="D2619" s="65" t="s">
        <v>607</v>
      </c>
      <c r="E2619" s="65" t="s">
        <v>607</v>
      </c>
      <c r="F2619" s="65" t="s">
        <v>607</v>
      </c>
      <c r="G2619" s="65" t="s">
        <v>607</v>
      </c>
      <c r="H2619" s="52" t="s">
        <v>607</v>
      </c>
      <c r="I2619" s="52" t="s">
        <v>607</v>
      </c>
      <c r="J2619" s="52" t="s">
        <v>607</v>
      </c>
      <c r="K2619" s="52" t="s">
        <v>607</v>
      </c>
      <c r="L2619" s="52" t="s">
        <v>607</v>
      </c>
      <c r="M2619" s="52" t="s">
        <v>607</v>
      </c>
      <c r="N2619" s="52" t="s">
        <v>607</v>
      </c>
      <c r="O2619" s="52"/>
      <c r="P2619" s="52"/>
      <c r="Q2619" s="52"/>
      <c r="R2619" s="51" t="b">
        <v>0</v>
      </c>
      <c r="S2619" s="51"/>
      <c r="T2619" s="52"/>
      <c r="U2619" s="51" t="b">
        <v>0</v>
      </c>
      <c r="V2619" s="51" t="b">
        <v>0</v>
      </c>
      <c r="W2619" s="51" t="b">
        <v>0</v>
      </c>
      <c r="X2619" s="51" t="b">
        <v>0</v>
      </c>
      <c r="Y2619" s="51" t="b">
        <v>0</v>
      </c>
      <c r="Z2619" s="51" t="b">
        <v>0</v>
      </c>
      <c r="AA2619" s="68"/>
      <c r="AB2619" s="52"/>
      <c r="AC2619" s="52"/>
      <c r="AD2619" s="52"/>
      <c r="AE2619" s="56" t="s">
        <v>607</v>
      </c>
      <c r="AF2619" s="56" t="s">
        <v>607</v>
      </c>
    </row>
    <row r="2620">
      <c r="A2620" s="52" t="s">
        <v>6090</v>
      </c>
      <c r="B2620" s="52" t="s">
        <v>607</v>
      </c>
      <c r="C2620" s="52" t="s">
        <v>607</v>
      </c>
      <c r="D2620" s="65" t="s">
        <v>607</v>
      </c>
      <c r="E2620" s="65" t="s">
        <v>607</v>
      </c>
      <c r="F2620" s="65" t="s">
        <v>607</v>
      </c>
      <c r="G2620" s="65" t="s">
        <v>607</v>
      </c>
      <c r="H2620" s="52" t="s">
        <v>607</v>
      </c>
      <c r="I2620" s="52" t="s">
        <v>607</v>
      </c>
      <c r="J2620" s="52" t="s">
        <v>607</v>
      </c>
      <c r="K2620" s="52" t="s">
        <v>607</v>
      </c>
      <c r="L2620" s="52" t="s">
        <v>607</v>
      </c>
      <c r="M2620" s="52" t="s">
        <v>607</v>
      </c>
      <c r="N2620" s="52" t="s">
        <v>607</v>
      </c>
      <c r="O2620" s="52"/>
      <c r="P2620" s="52"/>
      <c r="Q2620" s="52"/>
      <c r="R2620" s="51" t="b">
        <v>0</v>
      </c>
      <c r="S2620" s="51"/>
      <c r="T2620" s="52"/>
      <c r="U2620" s="51" t="b">
        <v>0</v>
      </c>
      <c r="V2620" s="51" t="b">
        <v>0</v>
      </c>
      <c r="W2620" s="51" t="b">
        <v>0</v>
      </c>
      <c r="X2620" s="51" t="b">
        <v>0</v>
      </c>
      <c r="Y2620" s="51" t="b">
        <v>0</v>
      </c>
      <c r="Z2620" s="51" t="b">
        <v>0</v>
      </c>
      <c r="AA2620" s="68"/>
      <c r="AB2620" s="52"/>
      <c r="AC2620" s="52"/>
      <c r="AD2620" s="52"/>
      <c r="AE2620" s="56" t="s">
        <v>607</v>
      </c>
      <c r="AF2620" s="56" t="s">
        <v>607</v>
      </c>
    </row>
    <row r="2621">
      <c r="A2621" s="52" t="s">
        <v>6093</v>
      </c>
      <c r="B2621" s="52" t="s">
        <v>607</v>
      </c>
      <c r="C2621" s="52" t="s">
        <v>607</v>
      </c>
      <c r="D2621" s="65" t="s">
        <v>607</v>
      </c>
      <c r="E2621" s="65" t="s">
        <v>607</v>
      </c>
      <c r="F2621" s="65" t="s">
        <v>607</v>
      </c>
      <c r="G2621" s="65" t="s">
        <v>607</v>
      </c>
      <c r="H2621" s="52" t="s">
        <v>607</v>
      </c>
      <c r="I2621" s="52" t="s">
        <v>607</v>
      </c>
      <c r="J2621" s="52" t="s">
        <v>607</v>
      </c>
      <c r="K2621" s="52" t="s">
        <v>607</v>
      </c>
      <c r="L2621" s="52" t="s">
        <v>607</v>
      </c>
      <c r="M2621" s="52" t="s">
        <v>607</v>
      </c>
      <c r="N2621" s="52" t="s">
        <v>607</v>
      </c>
      <c r="O2621" s="52"/>
      <c r="P2621" s="52"/>
      <c r="Q2621" s="52"/>
      <c r="R2621" s="51" t="b">
        <v>0</v>
      </c>
      <c r="S2621" s="51"/>
      <c r="T2621" s="52"/>
      <c r="U2621" s="51" t="b">
        <v>0</v>
      </c>
      <c r="V2621" s="51" t="b">
        <v>0</v>
      </c>
      <c r="W2621" s="51" t="b">
        <v>0</v>
      </c>
      <c r="X2621" s="51" t="b">
        <v>0</v>
      </c>
      <c r="Y2621" s="51" t="b">
        <v>0</v>
      </c>
      <c r="Z2621" s="51" t="b">
        <v>0</v>
      </c>
      <c r="AA2621" s="68"/>
      <c r="AB2621" s="52"/>
      <c r="AC2621" s="52"/>
      <c r="AD2621" s="52"/>
      <c r="AE2621" s="56" t="s">
        <v>607</v>
      </c>
      <c r="AF2621" s="56" t="s">
        <v>607</v>
      </c>
    </row>
    <row r="2622">
      <c r="A2622" s="52" t="s">
        <v>6094</v>
      </c>
      <c r="B2622" s="52" t="s">
        <v>607</v>
      </c>
      <c r="C2622" s="52" t="s">
        <v>607</v>
      </c>
      <c r="D2622" s="65" t="s">
        <v>607</v>
      </c>
      <c r="E2622" s="65" t="s">
        <v>607</v>
      </c>
      <c r="F2622" s="65" t="s">
        <v>607</v>
      </c>
      <c r="G2622" s="65" t="s">
        <v>607</v>
      </c>
      <c r="H2622" s="52" t="s">
        <v>607</v>
      </c>
      <c r="I2622" s="52" t="s">
        <v>607</v>
      </c>
      <c r="J2622" s="52" t="s">
        <v>607</v>
      </c>
      <c r="K2622" s="52" t="s">
        <v>607</v>
      </c>
      <c r="L2622" s="52" t="s">
        <v>607</v>
      </c>
      <c r="M2622" s="52" t="s">
        <v>607</v>
      </c>
      <c r="N2622" s="52" t="s">
        <v>607</v>
      </c>
      <c r="O2622" s="52"/>
      <c r="P2622" s="52"/>
      <c r="Q2622" s="52"/>
      <c r="R2622" s="51" t="b">
        <v>0</v>
      </c>
      <c r="S2622" s="51"/>
      <c r="T2622" s="52"/>
      <c r="U2622" s="51" t="b">
        <v>0</v>
      </c>
      <c r="V2622" s="51" t="b">
        <v>0</v>
      </c>
      <c r="W2622" s="51" t="b">
        <v>0</v>
      </c>
      <c r="X2622" s="51" t="b">
        <v>0</v>
      </c>
      <c r="Y2622" s="51" t="b">
        <v>0</v>
      </c>
      <c r="Z2622" s="51" t="b">
        <v>0</v>
      </c>
      <c r="AA2622" s="68"/>
      <c r="AB2622" s="52"/>
      <c r="AC2622" s="52"/>
      <c r="AD2622" s="52"/>
      <c r="AE2622" s="56" t="s">
        <v>607</v>
      </c>
      <c r="AF2622" s="56" t="s">
        <v>607</v>
      </c>
    </row>
    <row r="2623">
      <c r="A2623" s="52" t="s">
        <v>6098</v>
      </c>
      <c r="B2623" s="52" t="s">
        <v>607</v>
      </c>
      <c r="C2623" s="52" t="s">
        <v>607</v>
      </c>
      <c r="D2623" s="65" t="s">
        <v>607</v>
      </c>
      <c r="E2623" s="65" t="s">
        <v>607</v>
      </c>
      <c r="F2623" s="65" t="s">
        <v>607</v>
      </c>
      <c r="G2623" s="65" t="s">
        <v>607</v>
      </c>
      <c r="H2623" s="52" t="s">
        <v>607</v>
      </c>
      <c r="I2623" s="52" t="s">
        <v>607</v>
      </c>
      <c r="J2623" s="52" t="s">
        <v>607</v>
      </c>
      <c r="K2623" s="52" t="s">
        <v>607</v>
      </c>
      <c r="L2623" s="52" t="s">
        <v>607</v>
      </c>
      <c r="M2623" s="52" t="s">
        <v>607</v>
      </c>
      <c r="N2623" s="52" t="s">
        <v>607</v>
      </c>
      <c r="O2623" s="52"/>
      <c r="P2623" s="52"/>
      <c r="Q2623" s="52"/>
      <c r="R2623" s="51" t="b">
        <v>0</v>
      </c>
      <c r="S2623" s="51"/>
      <c r="T2623" s="52"/>
      <c r="U2623" s="51" t="b">
        <v>0</v>
      </c>
      <c r="V2623" s="51" t="b">
        <v>0</v>
      </c>
      <c r="W2623" s="51" t="b">
        <v>0</v>
      </c>
      <c r="X2623" s="51" t="b">
        <v>0</v>
      </c>
      <c r="Y2623" s="51" t="b">
        <v>0</v>
      </c>
      <c r="Z2623" s="51" t="b">
        <v>0</v>
      </c>
      <c r="AA2623" s="68"/>
      <c r="AB2623" s="52"/>
      <c r="AC2623" s="52"/>
      <c r="AD2623" s="52"/>
      <c r="AE2623" s="56" t="s">
        <v>607</v>
      </c>
      <c r="AF2623" s="56" t="s">
        <v>607</v>
      </c>
    </row>
    <row r="2624">
      <c r="A2624" s="52" t="s">
        <v>6099</v>
      </c>
      <c r="B2624" s="52" t="s">
        <v>607</v>
      </c>
      <c r="C2624" s="52" t="s">
        <v>607</v>
      </c>
      <c r="D2624" s="65" t="s">
        <v>607</v>
      </c>
      <c r="E2624" s="65" t="s">
        <v>607</v>
      </c>
      <c r="F2624" s="65" t="s">
        <v>607</v>
      </c>
      <c r="G2624" s="65" t="s">
        <v>607</v>
      </c>
      <c r="H2624" s="52" t="s">
        <v>607</v>
      </c>
      <c r="I2624" s="52" t="s">
        <v>607</v>
      </c>
      <c r="J2624" s="52" t="s">
        <v>607</v>
      </c>
      <c r="K2624" s="52" t="s">
        <v>607</v>
      </c>
      <c r="L2624" s="52" t="s">
        <v>607</v>
      </c>
      <c r="M2624" s="52" t="s">
        <v>607</v>
      </c>
      <c r="N2624" s="52" t="s">
        <v>607</v>
      </c>
      <c r="O2624" s="52"/>
      <c r="P2624" s="52"/>
      <c r="Q2624" s="52"/>
      <c r="R2624" s="51" t="b">
        <v>0</v>
      </c>
      <c r="S2624" s="51"/>
      <c r="T2624" s="52"/>
      <c r="U2624" s="51" t="b">
        <v>0</v>
      </c>
      <c r="V2624" s="51" t="b">
        <v>0</v>
      </c>
      <c r="W2624" s="51" t="b">
        <v>0</v>
      </c>
      <c r="X2624" s="51" t="b">
        <v>0</v>
      </c>
      <c r="Y2624" s="51" t="b">
        <v>0</v>
      </c>
      <c r="Z2624" s="51" t="b">
        <v>0</v>
      </c>
      <c r="AA2624" s="68"/>
      <c r="AB2624" s="52"/>
      <c r="AC2624" s="52"/>
      <c r="AD2624" s="52"/>
      <c r="AE2624" s="56" t="s">
        <v>607</v>
      </c>
      <c r="AF2624" s="56" t="s">
        <v>607</v>
      </c>
    </row>
    <row r="2625">
      <c r="A2625" s="52" t="s">
        <v>6101</v>
      </c>
      <c r="B2625" s="52" t="s">
        <v>607</v>
      </c>
      <c r="C2625" s="52" t="s">
        <v>607</v>
      </c>
      <c r="D2625" s="65" t="s">
        <v>607</v>
      </c>
      <c r="E2625" s="65" t="s">
        <v>607</v>
      </c>
      <c r="F2625" s="65" t="s">
        <v>607</v>
      </c>
      <c r="G2625" s="65" t="s">
        <v>607</v>
      </c>
      <c r="H2625" s="52" t="s">
        <v>607</v>
      </c>
      <c r="I2625" s="52" t="s">
        <v>607</v>
      </c>
      <c r="J2625" s="52" t="s">
        <v>607</v>
      </c>
      <c r="K2625" s="52" t="s">
        <v>607</v>
      </c>
      <c r="L2625" s="52" t="s">
        <v>607</v>
      </c>
      <c r="M2625" s="52" t="s">
        <v>607</v>
      </c>
      <c r="N2625" s="52" t="s">
        <v>607</v>
      </c>
      <c r="O2625" s="52"/>
      <c r="P2625" s="52"/>
      <c r="Q2625" s="52"/>
      <c r="R2625" s="51" t="b">
        <v>0</v>
      </c>
      <c r="S2625" s="51"/>
      <c r="T2625" s="52"/>
      <c r="U2625" s="51" t="b">
        <v>0</v>
      </c>
      <c r="V2625" s="51" t="b">
        <v>0</v>
      </c>
      <c r="W2625" s="51" t="b">
        <v>0</v>
      </c>
      <c r="X2625" s="51" t="b">
        <v>0</v>
      </c>
      <c r="Y2625" s="51" t="b">
        <v>0</v>
      </c>
      <c r="Z2625" s="51" t="b">
        <v>0</v>
      </c>
      <c r="AA2625" s="68"/>
      <c r="AB2625" s="52"/>
      <c r="AC2625" s="52"/>
      <c r="AD2625" s="52"/>
      <c r="AE2625" s="56" t="s">
        <v>607</v>
      </c>
      <c r="AF2625" s="56" t="s">
        <v>607</v>
      </c>
    </row>
    <row r="2626">
      <c r="A2626" s="52" t="s">
        <v>6104</v>
      </c>
      <c r="B2626" s="52" t="s">
        <v>607</v>
      </c>
      <c r="C2626" s="52" t="s">
        <v>607</v>
      </c>
      <c r="D2626" s="65" t="s">
        <v>607</v>
      </c>
      <c r="E2626" s="65" t="s">
        <v>607</v>
      </c>
      <c r="F2626" s="65" t="s">
        <v>607</v>
      </c>
      <c r="G2626" s="65" t="s">
        <v>607</v>
      </c>
      <c r="H2626" s="52" t="s">
        <v>607</v>
      </c>
      <c r="I2626" s="52" t="s">
        <v>607</v>
      </c>
      <c r="J2626" s="52" t="s">
        <v>607</v>
      </c>
      <c r="K2626" s="52" t="s">
        <v>607</v>
      </c>
      <c r="L2626" s="52" t="s">
        <v>607</v>
      </c>
      <c r="M2626" s="52" t="s">
        <v>607</v>
      </c>
      <c r="N2626" s="52" t="s">
        <v>607</v>
      </c>
      <c r="O2626" s="52"/>
      <c r="P2626" s="52"/>
      <c r="Q2626" s="52"/>
      <c r="R2626" s="51" t="b">
        <v>0</v>
      </c>
      <c r="S2626" s="51"/>
      <c r="T2626" s="52"/>
      <c r="U2626" s="51" t="b">
        <v>0</v>
      </c>
      <c r="V2626" s="51" t="b">
        <v>0</v>
      </c>
      <c r="W2626" s="51" t="b">
        <v>0</v>
      </c>
      <c r="X2626" s="51" t="b">
        <v>0</v>
      </c>
      <c r="Y2626" s="51" t="b">
        <v>0</v>
      </c>
      <c r="Z2626" s="51" t="b">
        <v>0</v>
      </c>
      <c r="AA2626" s="68"/>
      <c r="AB2626" s="52"/>
      <c r="AC2626" s="52"/>
      <c r="AD2626" s="52"/>
      <c r="AE2626" s="56" t="s">
        <v>607</v>
      </c>
      <c r="AF2626" s="56" t="s">
        <v>607</v>
      </c>
    </row>
    <row r="2627">
      <c r="A2627" s="52" t="s">
        <v>6105</v>
      </c>
      <c r="B2627" s="52" t="s">
        <v>607</v>
      </c>
      <c r="C2627" s="52" t="s">
        <v>607</v>
      </c>
      <c r="D2627" s="65" t="s">
        <v>607</v>
      </c>
      <c r="E2627" s="65" t="s">
        <v>607</v>
      </c>
      <c r="F2627" s="65" t="s">
        <v>607</v>
      </c>
      <c r="G2627" s="65" t="s">
        <v>607</v>
      </c>
      <c r="H2627" s="52" t="s">
        <v>607</v>
      </c>
      <c r="I2627" s="52" t="s">
        <v>607</v>
      </c>
      <c r="J2627" s="52" t="s">
        <v>607</v>
      </c>
      <c r="K2627" s="52" t="s">
        <v>607</v>
      </c>
      <c r="L2627" s="52" t="s">
        <v>607</v>
      </c>
      <c r="M2627" s="52" t="s">
        <v>607</v>
      </c>
      <c r="N2627" s="52" t="s">
        <v>607</v>
      </c>
      <c r="O2627" s="52"/>
      <c r="P2627" s="52"/>
      <c r="Q2627" s="52"/>
      <c r="R2627" s="51" t="b">
        <v>0</v>
      </c>
      <c r="S2627" s="51"/>
      <c r="T2627" s="52"/>
      <c r="U2627" s="51" t="b">
        <v>0</v>
      </c>
      <c r="V2627" s="51" t="b">
        <v>0</v>
      </c>
      <c r="W2627" s="51" t="b">
        <v>0</v>
      </c>
      <c r="X2627" s="51" t="b">
        <v>0</v>
      </c>
      <c r="Y2627" s="51" t="b">
        <v>0</v>
      </c>
      <c r="Z2627" s="51" t="b">
        <v>0</v>
      </c>
      <c r="AA2627" s="68"/>
      <c r="AB2627" s="52"/>
      <c r="AC2627" s="52"/>
      <c r="AD2627" s="52"/>
      <c r="AE2627" s="56" t="s">
        <v>607</v>
      </c>
      <c r="AF2627" s="56" t="s">
        <v>607</v>
      </c>
    </row>
    <row r="2628">
      <c r="A2628" s="52" t="s">
        <v>6109</v>
      </c>
      <c r="B2628" s="52" t="s">
        <v>607</v>
      </c>
      <c r="C2628" s="52" t="s">
        <v>607</v>
      </c>
      <c r="D2628" s="65" t="s">
        <v>607</v>
      </c>
      <c r="E2628" s="65" t="s">
        <v>607</v>
      </c>
      <c r="F2628" s="65" t="s">
        <v>607</v>
      </c>
      <c r="G2628" s="65" t="s">
        <v>607</v>
      </c>
      <c r="H2628" s="52" t="s">
        <v>607</v>
      </c>
      <c r="I2628" s="52" t="s">
        <v>607</v>
      </c>
      <c r="J2628" s="52" t="s">
        <v>607</v>
      </c>
      <c r="K2628" s="52" t="s">
        <v>607</v>
      </c>
      <c r="L2628" s="52" t="s">
        <v>607</v>
      </c>
      <c r="M2628" s="52" t="s">
        <v>607</v>
      </c>
      <c r="N2628" s="52" t="s">
        <v>607</v>
      </c>
      <c r="O2628" s="52"/>
      <c r="P2628" s="52"/>
      <c r="Q2628" s="52"/>
      <c r="R2628" s="51" t="b">
        <v>0</v>
      </c>
      <c r="S2628" s="51"/>
      <c r="T2628" s="52"/>
      <c r="U2628" s="51" t="b">
        <v>0</v>
      </c>
      <c r="V2628" s="51" t="b">
        <v>0</v>
      </c>
      <c r="W2628" s="51" t="b">
        <v>0</v>
      </c>
      <c r="X2628" s="51" t="b">
        <v>0</v>
      </c>
      <c r="Y2628" s="51" t="b">
        <v>0</v>
      </c>
      <c r="Z2628" s="51" t="b">
        <v>0</v>
      </c>
      <c r="AA2628" s="68"/>
      <c r="AB2628" s="52"/>
      <c r="AC2628" s="52"/>
      <c r="AD2628" s="52"/>
      <c r="AE2628" s="56" t="s">
        <v>607</v>
      </c>
      <c r="AF2628" s="56" t="s">
        <v>607</v>
      </c>
    </row>
    <row r="2629">
      <c r="A2629" s="52" t="s">
        <v>6112</v>
      </c>
      <c r="B2629" s="52" t="s">
        <v>607</v>
      </c>
      <c r="C2629" s="52" t="s">
        <v>607</v>
      </c>
      <c r="D2629" s="65" t="s">
        <v>607</v>
      </c>
      <c r="E2629" s="65" t="s">
        <v>607</v>
      </c>
      <c r="F2629" s="65" t="s">
        <v>607</v>
      </c>
      <c r="G2629" s="65" t="s">
        <v>607</v>
      </c>
      <c r="H2629" s="52" t="s">
        <v>607</v>
      </c>
      <c r="I2629" s="52" t="s">
        <v>607</v>
      </c>
      <c r="J2629" s="52" t="s">
        <v>607</v>
      </c>
      <c r="K2629" s="52" t="s">
        <v>607</v>
      </c>
      <c r="L2629" s="52" t="s">
        <v>607</v>
      </c>
      <c r="M2629" s="52" t="s">
        <v>607</v>
      </c>
      <c r="N2629" s="52" t="s">
        <v>607</v>
      </c>
      <c r="O2629" s="52"/>
      <c r="P2629" s="52"/>
      <c r="Q2629" s="52"/>
      <c r="R2629" s="51" t="b">
        <v>0</v>
      </c>
      <c r="S2629" s="51"/>
      <c r="T2629" s="52"/>
      <c r="U2629" s="51" t="b">
        <v>0</v>
      </c>
      <c r="V2629" s="51" t="b">
        <v>0</v>
      </c>
      <c r="W2629" s="51" t="b">
        <v>0</v>
      </c>
      <c r="X2629" s="51" t="b">
        <v>0</v>
      </c>
      <c r="Y2629" s="51" t="b">
        <v>0</v>
      </c>
      <c r="Z2629" s="51" t="b">
        <v>0</v>
      </c>
      <c r="AA2629" s="68"/>
      <c r="AB2629" s="52"/>
      <c r="AC2629" s="52"/>
      <c r="AD2629" s="52"/>
      <c r="AE2629" s="56" t="s">
        <v>607</v>
      </c>
      <c r="AF2629" s="56" t="s">
        <v>607</v>
      </c>
    </row>
    <row r="2630">
      <c r="A2630" s="52" t="s">
        <v>6113</v>
      </c>
      <c r="B2630" s="52" t="s">
        <v>607</v>
      </c>
      <c r="C2630" s="52" t="s">
        <v>607</v>
      </c>
      <c r="D2630" s="65" t="s">
        <v>607</v>
      </c>
      <c r="E2630" s="65" t="s">
        <v>607</v>
      </c>
      <c r="F2630" s="65" t="s">
        <v>607</v>
      </c>
      <c r="G2630" s="65" t="s">
        <v>607</v>
      </c>
      <c r="H2630" s="52" t="s">
        <v>607</v>
      </c>
      <c r="I2630" s="52" t="s">
        <v>607</v>
      </c>
      <c r="J2630" s="52" t="s">
        <v>607</v>
      </c>
      <c r="K2630" s="52" t="s">
        <v>607</v>
      </c>
      <c r="L2630" s="52" t="s">
        <v>607</v>
      </c>
      <c r="M2630" s="52" t="s">
        <v>607</v>
      </c>
      <c r="N2630" s="52" t="s">
        <v>607</v>
      </c>
      <c r="O2630" s="52"/>
      <c r="P2630" s="52"/>
      <c r="Q2630" s="52"/>
      <c r="R2630" s="51" t="b">
        <v>0</v>
      </c>
      <c r="S2630" s="51"/>
      <c r="T2630" s="52"/>
      <c r="U2630" s="51" t="b">
        <v>0</v>
      </c>
      <c r="V2630" s="51" t="b">
        <v>0</v>
      </c>
      <c r="W2630" s="51" t="b">
        <v>0</v>
      </c>
      <c r="X2630" s="51" t="b">
        <v>0</v>
      </c>
      <c r="Y2630" s="51" t="b">
        <v>0</v>
      </c>
      <c r="Z2630" s="51" t="b">
        <v>0</v>
      </c>
      <c r="AA2630" s="68"/>
      <c r="AB2630" s="52"/>
      <c r="AC2630" s="52"/>
      <c r="AD2630" s="52"/>
      <c r="AE2630" s="56" t="s">
        <v>607</v>
      </c>
      <c r="AF2630" s="56" t="s">
        <v>607</v>
      </c>
    </row>
    <row r="2631">
      <c r="A2631" s="52" t="s">
        <v>6117</v>
      </c>
      <c r="B2631" s="52" t="s">
        <v>607</v>
      </c>
      <c r="C2631" s="52" t="s">
        <v>607</v>
      </c>
      <c r="D2631" s="65" t="s">
        <v>607</v>
      </c>
      <c r="E2631" s="65" t="s">
        <v>607</v>
      </c>
      <c r="F2631" s="65" t="s">
        <v>607</v>
      </c>
      <c r="G2631" s="65" t="s">
        <v>607</v>
      </c>
      <c r="H2631" s="52" t="s">
        <v>607</v>
      </c>
      <c r="I2631" s="52" t="s">
        <v>607</v>
      </c>
      <c r="J2631" s="52" t="s">
        <v>607</v>
      </c>
      <c r="K2631" s="52" t="s">
        <v>607</v>
      </c>
      <c r="L2631" s="52" t="s">
        <v>607</v>
      </c>
      <c r="M2631" s="52" t="s">
        <v>607</v>
      </c>
      <c r="N2631" s="52" t="s">
        <v>607</v>
      </c>
      <c r="O2631" s="52"/>
      <c r="P2631" s="52"/>
      <c r="Q2631" s="52"/>
      <c r="R2631" s="51" t="b">
        <v>0</v>
      </c>
      <c r="S2631" s="51"/>
      <c r="T2631" s="52"/>
      <c r="U2631" s="51" t="b">
        <v>0</v>
      </c>
      <c r="V2631" s="51" t="b">
        <v>0</v>
      </c>
      <c r="W2631" s="51" t="b">
        <v>0</v>
      </c>
      <c r="X2631" s="51" t="b">
        <v>0</v>
      </c>
      <c r="Y2631" s="51" t="b">
        <v>0</v>
      </c>
      <c r="Z2631" s="51" t="b">
        <v>0</v>
      </c>
      <c r="AA2631" s="68"/>
      <c r="AB2631" s="52"/>
      <c r="AC2631" s="52"/>
      <c r="AD2631" s="52"/>
      <c r="AE2631" s="56" t="s">
        <v>607</v>
      </c>
      <c r="AF2631" s="56" t="s">
        <v>607</v>
      </c>
    </row>
    <row r="2632">
      <c r="A2632" s="52" t="s">
        <v>6118</v>
      </c>
      <c r="B2632" s="52" t="s">
        <v>607</v>
      </c>
      <c r="C2632" s="52" t="s">
        <v>607</v>
      </c>
      <c r="D2632" s="65" t="s">
        <v>607</v>
      </c>
      <c r="E2632" s="65" t="s">
        <v>607</v>
      </c>
      <c r="F2632" s="65" t="s">
        <v>607</v>
      </c>
      <c r="G2632" s="65" t="s">
        <v>607</v>
      </c>
      <c r="H2632" s="52" t="s">
        <v>607</v>
      </c>
      <c r="I2632" s="52" t="s">
        <v>607</v>
      </c>
      <c r="J2632" s="52" t="s">
        <v>607</v>
      </c>
      <c r="K2632" s="52" t="s">
        <v>607</v>
      </c>
      <c r="L2632" s="52" t="s">
        <v>607</v>
      </c>
      <c r="M2632" s="52" t="s">
        <v>607</v>
      </c>
      <c r="N2632" s="52" t="s">
        <v>607</v>
      </c>
      <c r="O2632" s="52"/>
      <c r="P2632" s="52"/>
      <c r="Q2632" s="52"/>
      <c r="R2632" s="51" t="b">
        <v>0</v>
      </c>
      <c r="S2632" s="51"/>
      <c r="T2632" s="52"/>
      <c r="U2632" s="51" t="b">
        <v>0</v>
      </c>
      <c r="V2632" s="51" t="b">
        <v>0</v>
      </c>
      <c r="W2632" s="51" t="b">
        <v>0</v>
      </c>
      <c r="X2632" s="51" t="b">
        <v>0</v>
      </c>
      <c r="Y2632" s="51" t="b">
        <v>0</v>
      </c>
      <c r="Z2632" s="51" t="b">
        <v>0</v>
      </c>
      <c r="AA2632" s="68"/>
      <c r="AB2632" s="52"/>
      <c r="AC2632" s="52"/>
      <c r="AD2632" s="52"/>
      <c r="AE2632" s="56" t="s">
        <v>607</v>
      </c>
      <c r="AF2632" s="56" t="s">
        <v>607</v>
      </c>
    </row>
    <row r="2633">
      <c r="A2633" s="52" t="s">
        <v>6119</v>
      </c>
      <c r="B2633" s="52" t="s">
        <v>607</v>
      </c>
      <c r="C2633" s="52" t="s">
        <v>607</v>
      </c>
      <c r="D2633" s="65" t="s">
        <v>607</v>
      </c>
      <c r="E2633" s="65" t="s">
        <v>607</v>
      </c>
      <c r="F2633" s="65" t="s">
        <v>607</v>
      </c>
      <c r="G2633" s="65" t="s">
        <v>607</v>
      </c>
      <c r="H2633" s="52" t="s">
        <v>607</v>
      </c>
      <c r="I2633" s="52" t="s">
        <v>607</v>
      </c>
      <c r="J2633" s="52" t="s">
        <v>607</v>
      </c>
      <c r="K2633" s="52" t="s">
        <v>607</v>
      </c>
      <c r="L2633" s="52" t="s">
        <v>607</v>
      </c>
      <c r="M2633" s="52" t="s">
        <v>607</v>
      </c>
      <c r="N2633" s="52" t="s">
        <v>607</v>
      </c>
      <c r="O2633" s="52"/>
      <c r="P2633" s="52"/>
      <c r="Q2633" s="52"/>
      <c r="R2633" s="51" t="b">
        <v>0</v>
      </c>
      <c r="S2633" s="51"/>
      <c r="T2633" s="52"/>
      <c r="U2633" s="51" t="b">
        <v>0</v>
      </c>
      <c r="V2633" s="51" t="b">
        <v>0</v>
      </c>
      <c r="W2633" s="51" t="b">
        <v>0</v>
      </c>
      <c r="X2633" s="51" t="b">
        <v>0</v>
      </c>
      <c r="Y2633" s="51" t="b">
        <v>0</v>
      </c>
      <c r="Z2633" s="51" t="b">
        <v>0</v>
      </c>
      <c r="AA2633" s="68"/>
      <c r="AB2633" s="52"/>
      <c r="AC2633" s="52"/>
      <c r="AD2633" s="52"/>
      <c r="AE2633" s="56" t="s">
        <v>607</v>
      </c>
      <c r="AF2633" s="56" t="s">
        <v>607</v>
      </c>
    </row>
    <row r="2634">
      <c r="A2634" s="52" t="s">
        <v>6123</v>
      </c>
      <c r="B2634" s="52" t="s">
        <v>607</v>
      </c>
      <c r="C2634" s="52" t="s">
        <v>607</v>
      </c>
      <c r="D2634" s="65" t="s">
        <v>607</v>
      </c>
      <c r="E2634" s="65" t="s">
        <v>607</v>
      </c>
      <c r="F2634" s="65" t="s">
        <v>607</v>
      </c>
      <c r="G2634" s="65" t="s">
        <v>607</v>
      </c>
      <c r="H2634" s="52" t="s">
        <v>607</v>
      </c>
      <c r="I2634" s="52" t="s">
        <v>607</v>
      </c>
      <c r="J2634" s="52" t="s">
        <v>607</v>
      </c>
      <c r="K2634" s="52" t="s">
        <v>607</v>
      </c>
      <c r="L2634" s="52" t="s">
        <v>607</v>
      </c>
      <c r="M2634" s="52" t="s">
        <v>607</v>
      </c>
      <c r="N2634" s="52" t="s">
        <v>607</v>
      </c>
      <c r="O2634" s="52"/>
      <c r="P2634" s="52"/>
      <c r="Q2634" s="52"/>
      <c r="R2634" s="51" t="b">
        <v>0</v>
      </c>
      <c r="S2634" s="51"/>
      <c r="T2634" s="52"/>
      <c r="U2634" s="51" t="b">
        <v>0</v>
      </c>
      <c r="V2634" s="51" t="b">
        <v>0</v>
      </c>
      <c r="W2634" s="51" t="b">
        <v>0</v>
      </c>
      <c r="X2634" s="51" t="b">
        <v>0</v>
      </c>
      <c r="Y2634" s="51" t="b">
        <v>0</v>
      </c>
      <c r="Z2634" s="51" t="b">
        <v>0</v>
      </c>
      <c r="AA2634" s="68"/>
      <c r="AB2634" s="52"/>
      <c r="AC2634" s="52"/>
      <c r="AD2634" s="52"/>
      <c r="AE2634" s="56" t="s">
        <v>607</v>
      </c>
      <c r="AF2634" s="56" t="s">
        <v>607</v>
      </c>
    </row>
    <row r="2635">
      <c r="A2635" s="52" t="s">
        <v>6124</v>
      </c>
      <c r="B2635" s="52" t="s">
        <v>607</v>
      </c>
      <c r="C2635" s="52" t="s">
        <v>607</v>
      </c>
      <c r="D2635" s="65" t="s">
        <v>607</v>
      </c>
      <c r="E2635" s="65" t="s">
        <v>607</v>
      </c>
      <c r="F2635" s="65" t="s">
        <v>607</v>
      </c>
      <c r="G2635" s="65" t="s">
        <v>607</v>
      </c>
      <c r="H2635" s="52" t="s">
        <v>607</v>
      </c>
      <c r="I2635" s="52" t="s">
        <v>607</v>
      </c>
      <c r="J2635" s="52" t="s">
        <v>607</v>
      </c>
      <c r="K2635" s="52" t="s">
        <v>607</v>
      </c>
      <c r="L2635" s="52" t="s">
        <v>607</v>
      </c>
      <c r="M2635" s="52" t="s">
        <v>607</v>
      </c>
      <c r="N2635" s="52" t="s">
        <v>607</v>
      </c>
      <c r="O2635" s="52"/>
      <c r="P2635" s="52"/>
      <c r="Q2635" s="52"/>
      <c r="R2635" s="51" t="b">
        <v>0</v>
      </c>
      <c r="S2635" s="51"/>
      <c r="T2635" s="52"/>
      <c r="U2635" s="51" t="b">
        <v>0</v>
      </c>
      <c r="V2635" s="51" t="b">
        <v>0</v>
      </c>
      <c r="W2635" s="51" t="b">
        <v>0</v>
      </c>
      <c r="X2635" s="51" t="b">
        <v>0</v>
      </c>
      <c r="Y2635" s="51" t="b">
        <v>0</v>
      </c>
      <c r="Z2635" s="51" t="b">
        <v>0</v>
      </c>
      <c r="AA2635" s="68"/>
      <c r="AB2635" s="52"/>
      <c r="AC2635" s="52"/>
      <c r="AD2635" s="52"/>
      <c r="AE2635" s="56" t="s">
        <v>607</v>
      </c>
      <c r="AF2635" s="56" t="s">
        <v>607</v>
      </c>
    </row>
    <row r="2636">
      <c r="A2636" s="52" t="s">
        <v>6128</v>
      </c>
      <c r="B2636" s="52" t="s">
        <v>607</v>
      </c>
      <c r="C2636" s="52" t="s">
        <v>607</v>
      </c>
      <c r="D2636" s="65" t="s">
        <v>607</v>
      </c>
      <c r="E2636" s="65" t="s">
        <v>607</v>
      </c>
      <c r="F2636" s="65" t="s">
        <v>607</v>
      </c>
      <c r="G2636" s="65" t="s">
        <v>607</v>
      </c>
      <c r="H2636" s="52" t="s">
        <v>607</v>
      </c>
      <c r="I2636" s="52" t="s">
        <v>607</v>
      </c>
      <c r="J2636" s="52" t="s">
        <v>607</v>
      </c>
      <c r="K2636" s="52" t="s">
        <v>607</v>
      </c>
      <c r="L2636" s="52" t="s">
        <v>607</v>
      </c>
      <c r="M2636" s="52" t="s">
        <v>607</v>
      </c>
      <c r="N2636" s="52" t="s">
        <v>607</v>
      </c>
      <c r="O2636" s="52"/>
      <c r="P2636" s="52"/>
      <c r="Q2636" s="52"/>
      <c r="R2636" s="51" t="b">
        <v>0</v>
      </c>
      <c r="S2636" s="51"/>
      <c r="T2636" s="52"/>
      <c r="U2636" s="51" t="b">
        <v>0</v>
      </c>
      <c r="V2636" s="51" t="b">
        <v>0</v>
      </c>
      <c r="W2636" s="51" t="b">
        <v>0</v>
      </c>
      <c r="X2636" s="51" t="b">
        <v>0</v>
      </c>
      <c r="Y2636" s="51" t="b">
        <v>0</v>
      </c>
      <c r="Z2636" s="51" t="b">
        <v>0</v>
      </c>
      <c r="AA2636" s="68"/>
      <c r="AB2636" s="52"/>
      <c r="AC2636" s="52"/>
      <c r="AD2636" s="52"/>
      <c r="AE2636" s="56" t="s">
        <v>607</v>
      </c>
      <c r="AF2636" s="56" t="s">
        <v>607</v>
      </c>
    </row>
    <row r="2637">
      <c r="A2637" s="52" t="s">
        <v>6129</v>
      </c>
      <c r="B2637" s="52" t="s">
        <v>607</v>
      </c>
      <c r="C2637" s="52" t="s">
        <v>607</v>
      </c>
      <c r="D2637" s="65" t="s">
        <v>607</v>
      </c>
      <c r="E2637" s="65" t="s">
        <v>607</v>
      </c>
      <c r="F2637" s="65" t="s">
        <v>607</v>
      </c>
      <c r="G2637" s="65" t="s">
        <v>607</v>
      </c>
      <c r="H2637" s="52" t="s">
        <v>607</v>
      </c>
      <c r="I2637" s="52" t="s">
        <v>607</v>
      </c>
      <c r="J2637" s="52" t="s">
        <v>607</v>
      </c>
      <c r="K2637" s="52" t="s">
        <v>607</v>
      </c>
      <c r="L2637" s="52" t="s">
        <v>607</v>
      </c>
      <c r="M2637" s="52" t="s">
        <v>607</v>
      </c>
      <c r="N2637" s="52" t="s">
        <v>607</v>
      </c>
      <c r="O2637" s="52"/>
      <c r="P2637" s="52"/>
      <c r="Q2637" s="52"/>
      <c r="R2637" s="51" t="b">
        <v>0</v>
      </c>
      <c r="S2637" s="51"/>
      <c r="T2637" s="52"/>
      <c r="U2637" s="51" t="b">
        <v>0</v>
      </c>
      <c r="V2637" s="51" t="b">
        <v>0</v>
      </c>
      <c r="W2637" s="51" t="b">
        <v>0</v>
      </c>
      <c r="X2637" s="51" t="b">
        <v>0</v>
      </c>
      <c r="Y2637" s="51" t="b">
        <v>0</v>
      </c>
      <c r="Z2637" s="51" t="b">
        <v>0</v>
      </c>
      <c r="AA2637" s="68"/>
      <c r="AB2637" s="52"/>
      <c r="AC2637" s="52"/>
      <c r="AD2637" s="52"/>
      <c r="AE2637" s="56" t="s">
        <v>607</v>
      </c>
      <c r="AF2637" s="56" t="s">
        <v>607</v>
      </c>
    </row>
    <row r="2638">
      <c r="A2638" s="52" t="s">
        <v>6130</v>
      </c>
      <c r="B2638" s="52" t="s">
        <v>607</v>
      </c>
      <c r="C2638" s="52" t="s">
        <v>607</v>
      </c>
      <c r="D2638" s="65" t="s">
        <v>607</v>
      </c>
      <c r="E2638" s="65" t="s">
        <v>607</v>
      </c>
      <c r="F2638" s="65" t="s">
        <v>607</v>
      </c>
      <c r="G2638" s="65" t="s">
        <v>607</v>
      </c>
      <c r="H2638" s="52" t="s">
        <v>607</v>
      </c>
      <c r="I2638" s="52" t="s">
        <v>607</v>
      </c>
      <c r="J2638" s="52" t="s">
        <v>607</v>
      </c>
      <c r="K2638" s="52" t="s">
        <v>607</v>
      </c>
      <c r="L2638" s="52" t="s">
        <v>607</v>
      </c>
      <c r="M2638" s="52" t="s">
        <v>607</v>
      </c>
      <c r="N2638" s="52" t="s">
        <v>607</v>
      </c>
      <c r="O2638" s="52"/>
      <c r="P2638" s="52"/>
      <c r="Q2638" s="52"/>
      <c r="R2638" s="51" t="b">
        <v>0</v>
      </c>
      <c r="S2638" s="51"/>
      <c r="T2638" s="52"/>
      <c r="U2638" s="51" t="b">
        <v>0</v>
      </c>
      <c r="V2638" s="51" t="b">
        <v>0</v>
      </c>
      <c r="W2638" s="51" t="b">
        <v>0</v>
      </c>
      <c r="X2638" s="51" t="b">
        <v>0</v>
      </c>
      <c r="Y2638" s="51" t="b">
        <v>0</v>
      </c>
      <c r="Z2638" s="51" t="b">
        <v>0</v>
      </c>
      <c r="AA2638" s="68"/>
      <c r="AB2638" s="52"/>
      <c r="AC2638" s="52"/>
      <c r="AD2638" s="52"/>
      <c r="AE2638" s="56" t="s">
        <v>607</v>
      </c>
      <c r="AF2638" s="56" t="s">
        <v>607</v>
      </c>
    </row>
    <row r="2639">
      <c r="A2639" s="52" t="s">
        <v>6132</v>
      </c>
      <c r="B2639" s="52" t="s">
        <v>607</v>
      </c>
      <c r="C2639" s="52" t="s">
        <v>607</v>
      </c>
      <c r="D2639" s="65" t="s">
        <v>607</v>
      </c>
      <c r="E2639" s="65" t="s">
        <v>607</v>
      </c>
      <c r="F2639" s="65" t="s">
        <v>607</v>
      </c>
      <c r="G2639" s="65" t="s">
        <v>607</v>
      </c>
      <c r="H2639" s="52" t="s">
        <v>607</v>
      </c>
      <c r="I2639" s="52" t="s">
        <v>607</v>
      </c>
      <c r="J2639" s="52" t="s">
        <v>607</v>
      </c>
      <c r="K2639" s="52" t="s">
        <v>607</v>
      </c>
      <c r="L2639" s="52" t="s">
        <v>607</v>
      </c>
      <c r="M2639" s="52" t="s">
        <v>607</v>
      </c>
      <c r="N2639" s="52" t="s">
        <v>607</v>
      </c>
      <c r="O2639" s="52"/>
      <c r="P2639" s="52"/>
      <c r="Q2639" s="52"/>
      <c r="R2639" s="51" t="b">
        <v>0</v>
      </c>
      <c r="S2639" s="51"/>
      <c r="T2639" s="52"/>
      <c r="U2639" s="51" t="b">
        <v>0</v>
      </c>
      <c r="V2639" s="51" t="b">
        <v>0</v>
      </c>
      <c r="W2639" s="51" t="b">
        <v>0</v>
      </c>
      <c r="X2639" s="51" t="b">
        <v>0</v>
      </c>
      <c r="Y2639" s="51" t="b">
        <v>0</v>
      </c>
      <c r="Z2639" s="51" t="b">
        <v>0</v>
      </c>
      <c r="AA2639" s="68"/>
      <c r="AB2639" s="52"/>
      <c r="AC2639" s="52"/>
      <c r="AD2639" s="52"/>
      <c r="AE2639" s="56" t="s">
        <v>607</v>
      </c>
      <c r="AF2639" s="56" t="s">
        <v>607</v>
      </c>
    </row>
    <row r="2640">
      <c r="A2640" s="52" t="s">
        <v>6135</v>
      </c>
      <c r="B2640" s="52" t="s">
        <v>607</v>
      </c>
      <c r="C2640" s="52" t="s">
        <v>607</v>
      </c>
      <c r="D2640" s="65" t="s">
        <v>607</v>
      </c>
      <c r="E2640" s="65" t="s">
        <v>607</v>
      </c>
      <c r="F2640" s="65" t="s">
        <v>607</v>
      </c>
      <c r="G2640" s="65" t="s">
        <v>607</v>
      </c>
      <c r="H2640" s="52" t="s">
        <v>607</v>
      </c>
      <c r="I2640" s="52" t="s">
        <v>607</v>
      </c>
      <c r="J2640" s="52" t="s">
        <v>607</v>
      </c>
      <c r="K2640" s="52" t="s">
        <v>607</v>
      </c>
      <c r="L2640" s="52" t="s">
        <v>607</v>
      </c>
      <c r="M2640" s="52" t="s">
        <v>607</v>
      </c>
      <c r="N2640" s="52" t="s">
        <v>607</v>
      </c>
      <c r="O2640" s="52"/>
      <c r="P2640" s="52"/>
      <c r="Q2640" s="52"/>
      <c r="R2640" s="51" t="b">
        <v>0</v>
      </c>
      <c r="S2640" s="51"/>
      <c r="T2640" s="52"/>
      <c r="U2640" s="51" t="b">
        <v>0</v>
      </c>
      <c r="V2640" s="51" t="b">
        <v>0</v>
      </c>
      <c r="W2640" s="51" t="b">
        <v>0</v>
      </c>
      <c r="X2640" s="51" t="b">
        <v>0</v>
      </c>
      <c r="Y2640" s="51" t="b">
        <v>0</v>
      </c>
      <c r="Z2640" s="51" t="b">
        <v>0</v>
      </c>
      <c r="AA2640" s="68"/>
      <c r="AB2640" s="52"/>
      <c r="AC2640" s="52"/>
      <c r="AD2640" s="52"/>
      <c r="AE2640" s="56" t="s">
        <v>607</v>
      </c>
      <c r="AF2640" s="56" t="s">
        <v>607</v>
      </c>
    </row>
    <row r="2641">
      <c r="A2641" s="52" t="s">
        <v>6136</v>
      </c>
      <c r="B2641" s="52" t="s">
        <v>607</v>
      </c>
      <c r="C2641" s="52" t="s">
        <v>607</v>
      </c>
      <c r="D2641" s="65" t="s">
        <v>607</v>
      </c>
      <c r="E2641" s="65" t="s">
        <v>607</v>
      </c>
      <c r="F2641" s="65" t="s">
        <v>607</v>
      </c>
      <c r="G2641" s="65" t="s">
        <v>607</v>
      </c>
      <c r="H2641" s="52" t="s">
        <v>607</v>
      </c>
      <c r="I2641" s="52" t="s">
        <v>607</v>
      </c>
      <c r="J2641" s="52" t="s">
        <v>607</v>
      </c>
      <c r="K2641" s="52" t="s">
        <v>607</v>
      </c>
      <c r="L2641" s="52" t="s">
        <v>607</v>
      </c>
      <c r="M2641" s="52" t="s">
        <v>607</v>
      </c>
      <c r="N2641" s="52" t="s">
        <v>607</v>
      </c>
      <c r="O2641" s="52"/>
      <c r="P2641" s="52"/>
      <c r="Q2641" s="52"/>
      <c r="R2641" s="51" t="b">
        <v>0</v>
      </c>
      <c r="S2641" s="51"/>
      <c r="T2641" s="52"/>
      <c r="U2641" s="51" t="b">
        <v>0</v>
      </c>
      <c r="V2641" s="51" t="b">
        <v>0</v>
      </c>
      <c r="W2641" s="51" t="b">
        <v>0</v>
      </c>
      <c r="X2641" s="51" t="b">
        <v>0</v>
      </c>
      <c r="Y2641" s="51" t="b">
        <v>0</v>
      </c>
      <c r="Z2641" s="51" t="b">
        <v>0</v>
      </c>
      <c r="AA2641" s="68"/>
      <c r="AB2641" s="52"/>
      <c r="AC2641" s="52"/>
      <c r="AD2641" s="52"/>
      <c r="AE2641" s="56" t="s">
        <v>607</v>
      </c>
      <c r="AF2641" s="56" t="s">
        <v>607</v>
      </c>
    </row>
    <row r="2642">
      <c r="A2642" s="52" t="s">
        <v>6137</v>
      </c>
      <c r="B2642" s="52" t="s">
        <v>607</v>
      </c>
      <c r="C2642" s="52" t="s">
        <v>607</v>
      </c>
      <c r="D2642" s="65" t="s">
        <v>607</v>
      </c>
      <c r="E2642" s="65" t="s">
        <v>607</v>
      </c>
      <c r="F2642" s="65" t="s">
        <v>607</v>
      </c>
      <c r="G2642" s="65" t="s">
        <v>607</v>
      </c>
      <c r="H2642" s="52" t="s">
        <v>607</v>
      </c>
      <c r="I2642" s="52" t="s">
        <v>607</v>
      </c>
      <c r="J2642" s="52" t="s">
        <v>607</v>
      </c>
      <c r="K2642" s="52" t="s">
        <v>607</v>
      </c>
      <c r="L2642" s="52" t="s">
        <v>607</v>
      </c>
      <c r="M2642" s="52" t="s">
        <v>607</v>
      </c>
      <c r="N2642" s="52" t="s">
        <v>607</v>
      </c>
      <c r="O2642" s="52"/>
      <c r="P2642" s="52"/>
      <c r="Q2642" s="52"/>
      <c r="R2642" s="51" t="b">
        <v>0</v>
      </c>
      <c r="S2642" s="51"/>
      <c r="T2642" s="52"/>
      <c r="U2642" s="51" t="b">
        <v>0</v>
      </c>
      <c r="V2642" s="51" t="b">
        <v>0</v>
      </c>
      <c r="W2642" s="51" t="b">
        <v>0</v>
      </c>
      <c r="X2642" s="51" t="b">
        <v>0</v>
      </c>
      <c r="Y2642" s="51" t="b">
        <v>0</v>
      </c>
      <c r="Z2642" s="51" t="b">
        <v>0</v>
      </c>
      <c r="AA2642" s="68"/>
      <c r="AB2642" s="52"/>
      <c r="AC2642" s="52"/>
      <c r="AD2642" s="52"/>
      <c r="AE2642" s="56" t="s">
        <v>607</v>
      </c>
      <c r="AF2642" s="56" t="s">
        <v>607</v>
      </c>
    </row>
    <row r="2643">
      <c r="A2643" s="52" t="s">
        <v>6139</v>
      </c>
      <c r="B2643" s="52" t="s">
        <v>607</v>
      </c>
      <c r="C2643" s="52" t="s">
        <v>607</v>
      </c>
      <c r="D2643" s="65" t="s">
        <v>607</v>
      </c>
      <c r="E2643" s="65" t="s">
        <v>607</v>
      </c>
      <c r="F2643" s="65" t="s">
        <v>607</v>
      </c>
      <c r="G2643" s="65" t="s">
        <v>607</v>
      </c>
      <c r="H2643" s="52" t="s">
        <v>607</v>
      </c>
      <c r="I2643" s="52" t="s">
        <v>607</v>
      </c>
      <c r="J2643" s="52" t="s">
        <v>607</v>
      </c>
      <c r="K2643" s="52" t="s">
        <v>607</v>
      </c>
      <c r="L2643" s="52" t="s">
        <v>607</v>
      </c>
      <c r="M2643" s="52" t="s">
        <v>607</v>
      </c>
      <c r="N2643" s="52" t="s">
        <v>607</v>
      </c>
      <c r="O2643" s="52"/>
      <c r="P2643" s="52"/>
      <c r="Q2643" s="52"/>
      <c r="R2643" s="51" t="b">
        <v>0</v>
      </c>
      <c r="S2643" s="51"/>
      <c r="T2643" s="52"/>
      <c r="U2643" s="51" t="b">
        <v>0</v>
      </c>
      <c r="V2643" s="51" t="b">
        <v>0</v>
      </c>
      <c r="W2643" s="51" t="b">
        <v>0</v>
      </c>
      <c r="X2643" s="51" t="b">
        <v>0</v>
      </c>
      <c r="Y2643" s="51" t="b">
        <v>0</v>
      </c>
      <c r="Z2643" s="51" t="b">
        <v>0</v>
      </c>
      <c r="AA2643" s="68"/>
      <c r="AB2643" s="52"/>
      <c r="AC2643" s="52"/>
      <c r="AD2643" s="52"/>
      <c r="AE2643" s="56" t="s">
        <v>607</v>
      </c>
      <c r="AF2643" s="56" t="s">
        <v>607</v>
      </c>
    </row>
    <row r="2644">
      <c r="A2644" s="52" t="s">
        <v>6142</v>
      </c>
      <c r="B2644" s="52" t="s">
        <v>607</v>
      </c>
      <c r="C2644" s="52" t="s">
        <v>607</v>
      </c>
      <c r="D2644" s="65" t="s">
        <v>607</v>
      </c>
      <c r="E2644" s="65" t="s">
        <v>607</v>
      </c>
      <c r="F2644" s="65" t="s">
        <v>607</v>
      </c>
      <c r="G2644" s="65" t="s">
        <v>607</v>
      </c>
      <c r="H2644" s="52" t="s">
        <v>607</v>
      </c>
      <c r="I2644" s="52" t="s">
        <v>607</v>
      </c>
      <c r="J2644" s="52" t="s">
        <v>607</v>
      </c>
      <c r="K2644" s="52" t="s">
        <v>607</v>
      </c>
      <c r="L2644" s="52" t="s">
        <v>607</v>
      </c>
      <c r="M2644" s="52" t="s">
        <v>607</v>
      </c>
      <c r="N2644" s="52" t="s">
        <v>607</v>
      </c>
      <c r="O2644" s="52"/>
      <c r="P2644" s="52"/>
      <c r="Q2644" s="52"/>
      <c r="R2644" s="51" t="b">
        <v>0</v>
      </c>
      <c r="S2644" s="51"/>
      <c r="T2644" s="52"/>
      <c r="U2644" s="51" t="b">
        <v>0</v>
      </c>
      <c r="V2644" s="51" t="b">
        <v>0</v>
      </c>
      <c r="W2644" s="51" t="b">
        <v>0</v>
      </c>
      <c r="X2644" s="51" t="b">
        <v>0</v>
      </c>
      <c r="Y2644" s="51" t="b">
        <v>0</v>
      </c>
      <c r="Z2644" s="51" t="b">
        <v>0</v>
      </c>
      <c r="AA2644" s="68"/>
      <c r="AB2644" s="52"/>
      <c r="AC2644" s="52"/>
      <c r="AD2644" s="52"/>
      <c r="AE2644" s="56" t="s">
        <v>607</v>
      </c>
      <c r="AF2644" s="56" t="s">
        <v>607</v>
      </c>
    </row>
    <row r="2645">
      <c r="A2645" s="52" t="s">
        <v>6143</v>
      </c>
      <c r="B2645" s="52" t="s">
        <v>607</v>
      </c>
      <c r="C2645" s="52" t="s">
        <v>607</v>
      </c>
      <c r="D2645" s="65" t="s">
        <v>607</v>
      </c>
      <c r="E2645" s="65" t="s">
        <v>607</v>
      </c>
      <c r="F2645" s="65" t="s">
        <v>607</v>
      </c>
      <c r="G2645" s="65" t="s">
        <v>607</v>
      </c>
      <c r="H2645" s="52" t="s">
        <v>607</v>
      </c>
      <c r="I2645" s="52" t="s">
        <v>607</v>
      </c>
      <c r="J2645" s="52" t="s">
        <v>607</v>
      </c>
      <c r="K2645" s="52" t="s">
        <v>607</v>
      </c>
      <c r="L2645" s="52" t="s">
        <v>607</v>
      </c>
      <c r="M2645" s="52" t="s">
        <v>607</v>
      </c>
      <c r="N2645" s="52" t="s">
        <v>607</v>
      </c>
      <c r="O2645" s="52"/>
      <c r="P2645" s="52"/>
      <c r="Q2645" s="52"/>
      <c r="R2645" s="51" t="b">
        <v>0</v>
      </c>
      <c r="S2645" s="51"/>
      <c r="T2645" s="52"/>
      <c r="U2645" s="51" t="b">
        <v>0</v>
      </c>
      <c r="V2645" s="51" t="b">
        <v>0</v>
      </c>
      <c r="W2645" s="51" t="b">
        <v>0</v>
      </c>
      <c r="X2645" s="51" t="b">
        <v>0</v>
      </c>
      <c r="Y2645" s="51" t="b">
        <v>0</v>
      </c>
      <c r="Z2645" s="51" t="b">
        <v>0</v>
      </c>
      <c r="AA2645" s="68"/>
      <c r="AB2645" s="52"/>
      <c r="AC2645" s="52"/>
      <c r="AD2645" s="52"/>
      <c r="AE2645" s="56" t="s">
        <v>607</v>
      </c>
      <c r="AF2645" s="56" t="s">
        <v>607</v>
      </c>
    </row>
    <row r="2646">
      <c r="A2646" s="52" t="s">
        <v>6144</v>
      </c>
      <c r="B2646" s="52" t="s">
        <v>607</v>
      </c>
      <c r="C2646" s="52" t="s">
        <v>607</v>
      </c>
      <c r="D2646" s="65" t="s">
        <v>607</v>
      </c>
      <c r="E2646" s="65" t="s">
        <v>607</v>
      </c>
      <c r="F2646" s="65" t="s">
        <v>607</v>
      </c>
      <c r="G2646" s="65" t="s">
        <v>607</v>
      </c>
      <c r="H2646" s="52" t="s">
        <v>607</v>
      </c>
      <c r="I2646" s="52" t="s">
        <v>607</v>
      </c>
      <c r="J2646" s="52" t="s">
        <v>607</v>
      </c>
      <c r="K2646" s="52" t="s">
        <v>607</v>
      </c>
      <c r="L2646" s="52" t="s">
        <v>607</v>
      </c>
      <c r="M2646" s="52" t="s">
        <v>607</v>
      </c>
      <c r="N2646" s="52" t="s">
        <v>607</v>
      </c>
      <c r="O2646" s="52"/>
      <c r="P2646" s="52"/>
      <c r="Q2646" s="52"/>
      <c r="R2646" s="51" t="b">
        <v>0</v>
      </c>
      <c r="S2646" s="51"/>
      <c r="T2646" s="52"/>
      <c r="U2646" s="51" t="b">
        <v>0</v>
      </c>
      <c r="V2646" s="51" t="b">
        <v>0</v>
      </c>
      <c r="W2646" s="51" t="b">
        <v>0</v>
      </c>
      <c r="X2646" s="51" t="b">
        <v>0</v>
      </c>
      <c r="Y2646" s="51" t="b">
        <v>0</v>
      </c>
      <c r="Z2646" s="51" t="b">
        <v>0</v>
      </c>
      <c r="AA2646" s="68"/>
      <c r="AB2646" s="52"/>
      <c r="AC2646" s="52"/>
      <c r="AD2646" s="52"/>
      <c r="AE2646" s="56" t="s">
        <v>607</v>
      </c>
      <c r="AF2646" s="56" t="s">
        <v>607</v>
      </c>
    </row>
    <row r="2647">
      <c r="A2647" s="52" t="s">
        <v>6148</v>
      </c>
      <c r="B2647" s="52" t="s">
        <v>607</v>
      </c>
      <c r="C2647" s="52" t="s">
        <v>607</v>
      </c>
      <c r="D2647" s="65" t="s">
        <v>607</v>
      </c>
      <c r="E2647" s="65" t="s">
        <v>607</v>
      </c>
      <c r="F2647" s="65" t="s">
        <v>607</v>
      </c>
      <c r="G2647" s="65" t="s">
        <v>607</v>
      </c>
      <c r="H2647" s="52" t="s">
        <v>607</v>
      </c>
      <c r="I2647" s="52" t="s">
        <v>607</v>
      </c>
      <c r="J2647" s="52" t="s">
        <v>607</v>
      </c>
      <c r="K2647" s="52" t="s">
        <v>607</v>
      </c>
      <c r="L2647" s="52" t="s">
        <v>607</v>
      </c>
      <c r="M2647" s="52" t="s">
        <v>607</v>
      </c>
      <c r="N2647" s="52" t="s">
        <v>607</v>
      </c>
      <c r="O2647" s="52"/>
      <c r="P2647" s="52"/>
      <c r="Q2647" s="52"/>
      <c r="R2647" s="51" t="b">
        <v>0</v>
      </c>
      <c r="S2647" s="51"/>
      <c r="T2647" s="52"/>
      <c r="U2647" s="51" t="b">
        <v>0</v>
      </c>
      <c r="V2647" s="51" t="b">
        <v>0</v>
      </c>
      <c r="W2647" s="51" t="b">
        <v>0</v>
      </c>
      <c r="X2647" s="51" t="b">
        <v>0</v>
      </c>
      <c r="Y2647" s="51" t="b">
        <v>0</v>
      </c>
      <c r="Z2647" s="51" t="b">
        <v>0</v>
      </c>
      <c r="AA2647" s="68"/>
      <c r="AB2647" s="52"/>
      <c r="AC2647" s="52"/>
      <c r="AD2647" s="52"/>
      <c r="AE2647" s="56" t="s">
        <v>607</v>
      </c>
      <c r="AF2647" s="56" t="s">
        <v>607</v>
      </c>
    </row>
    <row r="2648">
      <c r="A2648" s="52" t="s">
        <v>6149</v>
      </c>
      <c r="B2648" s="52" t="s">
        <v>607</v>
      </c>
      <c r="C2648" s="52" t="s">
        <v>607</v>
      </c>
      <c r="D2648" s="65" t="s">
        <v>607</v>
      </c>
      <c r="E2648" s="65" t="s">
        <v>607</v>
      </c>
      <c r="F2648" s="65" t="s">
        <v>607</v>
      </c>
      <c r="G2648" s="65" t="s">
        <v>607</v>
      </c>
      <c r="H2648" s="52" t="s">
        <v>607</v>
      </c>
      <c r="I2648" s="52" t="s">
        <v>607</v>
      </c>
      <c r="J2648" s="52" t="s">
        <v>607</v>
      </c>
      <c r="K2648" s="52" t="s">
        <v>607</v>
      </c>
      <c r="L2648" s="52" t="s">
        <v>607</v>
      </c>
      <c r="M2648" s="52" t="s">
        <v>607</v>
      </c>
      <c r="N2648" s="52" t="s">
        <v>607</v>
      </c>
      <c r="O2648" s="52"/>
      <c r="P2648" s="52"/>
      <c r="Q2648" s="52"/>
      <c r="R2648" s="51" t="b">
        <v>0</v>
      </c>
      <c r="S2648" s="51"/>
      <c r="T2648" s="52"/>
      <c r="U2648" s="51" t="b">
        <v>0</v>
      </c>
      <c r="V2648" s="51" t="b">
        <v>0</v>
      </c>
      <c r="W2648" s="51" t="b">
        <v>0</v>
      </c>
      <c r="X2648" s="51" t="b">
        <v>0</v>
      </c>
      <c r="Y2648" s="51" t="b">
        <v>0</v>
      </c>
      <c r="Z2648" s="51" t="b">
        <v>0</v>
      </c>
      <c r="AA2648" s="68"/>
      <c r="AB2648" s="52"/>
      <c r="AC2648" s="52"/>
      <c r="AD2648" s="52"/>
      <c r="AE2648" s="56" t="s">
        <v>607</v>
      </c>
      <c r="AF2648" s="56" t="s">
        <v>607</v>
      </c>
    </row>
    <row r="2649">
      <c r="A2649" s="52" t="s">
        <v>6150</v>
      </c>
      <c r="B2649" s="52" t="s">
        <v>607</v>
      </c>
      <c r="C2649" s="52" t="s">
        <v>607</v>
      </c>
      <c r="D2649" s="65" t="s">
        <v>607</v>
      </c>
      <c r="E2649" s="65" t="s">
        <v>607</v>
      </c>
      <c r="F2649" s="65" t="s">
        <v>607</v>
      </c>
      <c r="G2649" s="65" t="s">
        <v>607</v>
      </c>
      <c r="H2649" s="52" t="s">
        <v>607</v>
      </c>
      <c r="I2649" s="52" t="s">
        <v>607</v>
      </c>
      <c r="J2649" s="52" t="s">
        <v>607</v>
      </c>
      <c r="K2649" s="52" t="s">
        <v>607</v>
      </c>
      <c r="L2649" s="52" t="s">
        <v>607</v>
      </c>
      <c r="M2649" s="52" t="s">
        <v>607</v>
      </c>
      <c r="N2649" s="52" t="s">
        <v>607</v>
      </c>
      <c r="O2649" s="52"/>
      <c r="P2649" s="52"/>
      <c r="Q2649" s="52"/>
      <c r="R2649" s="51" t="b">
        <v>0</v>
      </c>
      <c r="S2649" s="51"/>
      <c r="T2649" s="52"/>
      <c r="U2649" s="51" t="b">
        <v>0</v>
      </c>
      <c r="V2649" s="51" t="b">
        <v>0</v>
      </c>
      <c r="W2649" s="51" t="b">
        <v>0</v>
      </c>
      <c r="X2649" s="51" t="b">
        <v>0</v>
      </c>
      <c r="Y2649" s="51" t="b">
        <v>0</v>
      </c>
      <c r="Z2649" s="51" t="b">
        <v>0</v>
      </c>
      <c r="AA2649" s="68"/>
      <c r="AB2649" s="52"/>
      <c r="AC2649" s="52"/>
      <c r="AD2649" s="52"/>
      <c r="AE2649" s="56" t="s">
        <v>607</v>
      </c>
      <c r="AF2649" s="56" t="s">
        <v>607</v>
      </c>
    </row>
    <row r="2650">
      <c r="A2650" s="52" t="s">
        <v>6154</v>
      </c>
      <c r="B2650" s="52" t="s">
        <v>607</v>
      </c>
      <c r="C2650" s="52" t="s">
        <v>607</v>
      </c>
      <c r="D2650" s="65" t="s">
        <v>607</v>
      </c>
      <c r="E2650" s="65" t="s">
        <v>607</v>
      </c>
      <c r="F2650" s="65" t="s">
        <v>607</v>
      </c>
      <c r="G2650" s="65" t="s">
        <v>607</v>
      </c>
      <c r="H2650" s="52" t="s">
        <v>607</v>
      </c>
      <c r="I2650" s="52" t="s">
        <v>607</v>
      </c>
      <c r="J2650" s="52" t="s">
        <v>607</v>
      </c>
      <c r="K2650" s="52" t="s">
        <v>607</v>
      </c>
      <c r="L2650" s="52" t="s">
        <v>607</v>
      </c>
      <c r="M2650" s="52" t="s">
        <v>607</v>
      </c>
      <c r="N2650" s="52" t="s">
        <v>607</v>
      </c>
      <c r="O2650" s="52"/>
      <c r="P2650" s="52"/>
      <c r="Q2650" s="52"/>
      <c r="R2650" s="51" t="b">
        <v>0</v>
      </c>
      <c r="S2650" s="51"/>
      <c r="T2650" s="52"/>
      <c r="U2650" s="51" t="b">
        <v>0</v>
      </c>
      <c r="V2650" s="51" t="b">
        <v>0</v>
      </c>
      <c r="W2650" s="51" t="b">
        <v>0</v>
      </c>
      <c r="X2650" s="51" t="b">
        <v>0</v>
      </c>
      <c r="Y2650" s="51" t="b">
        <v>0</v>
      </c>
      <c r="Z2650" s="51" t="b">
        <v>0</v>
      </c>
      <c r="AA2650" s="68"/>
      <c r="AB2650" s="52"/>
      <c r="AC2650" s="52"/>
      <c r="AD2650" s="52"/>
      <c r="AE2650" s="56" t="s">
        <v>607</v>
      </c>
      <c r="AF2650" s="56" t="s">
        <v>607</v>
      </c>
    </row>
    <row r="2651">
      <c r="A2651" s="52" t="s">
        <v>6155</v>
      </c>
      <c r="B2651" s="52" t="s">
        <v>607</v>
      </c>
      <c r="C2651" s="52" t="s">
        <v>607</v>
      </c>
      <c r="D2651" s="65" t="s">
        <v>607</v>
      </c>
      <c r="E2651" s="65" t="s">
        <v>607</v>
      </c>
      <c r="F2651" s="65" t="s">
        <v>607</v>
      </c>
      <c r="G2651" s="65" t="s">
        <v>607</v>
      </c>
      <c r="H2651" s="52" t="s">
        <v>607</v>
      </c>
      <c r="I2651" s="52" t="s">
        <v>607</v>
      </c>
      <c r="J2651" s="52" t="s">
        <v>607</v>
      </c>
      <c r="K2651" s="52" t="s">
        <v>607</v>
      </c>
      <c r="L2651" s="52" t="s">
        <v>607</v>
      </c>
      <c r="M2651" s="52" t="s">
        <v>607</v>
      </c>
      <c r="N2651" s="52" t="s">
        <v>607</v>
      </c>
      <c r="O2651" s="52"/>
      <c r="P2651" s="52"/>
      <c r="Q2651" s="52"/>
      <c r="R2651" s="51" t="b">
        <v>0</v>
      </c>
      <c r="S2651" s="51"/>
      <c r="T2651" s="52"/>
      <c r="U2651" s="51" t="b">
        <v>0</v>
      </c>
      <c r="V2651" s="51" t="b">
        <v>0</v>
      </c>
      <c r="W2651" s="51" t="b">
        <v>0</v>
      </c>
      <c r="X2651" s="51" t="b">
        <v>0</v>
      </c>
      <c r="Y2651" s="51" t="b">
        <v>0</v>
      </c>
      <c r="Z2651" s="51" t="b">
        <v>0</v>
      </c>
      <c r="AA2651" s="68"/>
      <c r="AB2651" s="52"/>
      <c r="AC2651" s="52"/>
      <c r="AD2651" s="52"/>
      <c r="AE2651" s="56" t="s">
        <v>607</v>
      </c>
      <c r="AF2651" s="56" t="s">
        <v>607</v>
      </c>
    </row>
    <row r="2652">
      <c r="A2652" s="52" t="s">
        <v>6156</v>
      </c>
      <c r="B2652" s="52" t="s">
        <v>607</v>
      </c>
      <c r="C2652" s="52" t="s">
        <v>607</v>
      </c>
      <c r="D2652" s="65" t="s">
        <v>607</v>
      </c>
      <c r="E2652" s="65" t="s">
        <v>607</v>
      </c>
      <c r="F2652" s="65" t="s">
        <v>607</v>
      </c>
      <c r="G2652" s="65" t="s">
        <v>607</v>
      </c>
      <c r="H2652" s="52" t="s">
        <v>607</v>
      </c>
      <c r="I2652" s="52" t="s">
        <v>607</v>
      </c>
      <c r="J2652" s="52" t="s">
        <v>607</v>
      </c>
      <c r="K2652" s="52" t="s">
        <v>607</v>
      </c>
      <c r="L2652" s="52" t="s">
        <v>607</v>
      </c>
      <c r="M2652" s="52" t="s">
        <v>607</v>
      </c>
      <c r="N2652" s="52" t="s">
        <v>607</v>
      </c>
      <c r="O2652" s="52"/>
      <c r="P2652" s="52"/>
      <c r="Q2652" s="52"/>
      <c r="R2652" s="51" t="b">
        <v>0</v>
      </c>
      <c r="S2652" s="51"/>
      <c r="T2652" s="52"/>
      <c r="U2652" s="51" t="b">
        <v>0</v>
      </c>
      <c r="V2652" s="51" t="b">
        <v>0</v>
      </c>
      <c r="W2652" s="51" t="b">
        <v>0</v>
      </c>
      <c r="X2652" s="51" t="b">
        <v>0</v>
      </c>
      <c r="Y2652" s="51" t="b">
        <v>0</v>
      </c>
      <c r="Z2652" s="51" t="b">
        <v>0</v>
      </c>
      <c r="AA2652" s="68"/>
      <c r="AB2652" s="52"/>
      <c r="AC2652" s="52"/>
      <c r="AD2652" s="52"/>
      <c r="AE2652" s="56" t="s">
        <v>607</v>
      </c>
      <c r="AF2652" s="56" t="s">
        <v>607</v>
      </c>
    </row>
    <row r="2653">
      <c r="A2653" s="52" t="s">
        <v>6158</v>
      </c>
      <c r="B2653" s="52" t="s">
        <v>607</v>
      </c>
      <c r="C2653" s="52" t="s">
        <v>607</v>
      </c>
      <c r="D2653" s="65" t="s">
        <v>607</v>
      </c>
      <c r="E2653" s="65" t="s">
        <v>607</v>
      </c>
      <c r="F2653" s="65" t="s">
        <v>607</v>
      </c>
      <c r="G2653" s="65" t="s">
        <v>607</v>
      </c>
      <c r="H2653" s="52" t="s">
        <v>607</v>
      </c>
      <c r="I2653" s="52" t="s">
        <v>607</v>
      </c>
      <c r="J2653" s="52" t="s">
        <v>607</v>
      </c>
      <c r="K2653" s="52" t="s">
        <v>607</v>
      </c>
      <c r="L2653" s="52" t="s">
        <v>607</v>
      </c>
      <c r="M2653" s="52" t="s">
        <v>607</v>
      </c>
      <c r="N2653" s="52" t="s">
        <v>607</v>
      </c>
      <c r="O2653" s="52"/>
      <c r="P2653" s="52"/>
      <c r="Q2653" s="52"/>
      <c r="R2653" s="51" t="b">
        <v>0</v>
      </c>
      <c r="S2653" s="51"/>
      <c r="T2653" s="52"/>
      <c r="U2653" s="51" t="b">
        <v>0</v>
      </c>
      <c r="V2653" s="51" t="b">
        <v>0</v>
      </c>
      <c r="W2653" s="51" t="b">
        <v>0</v>
      </c>
      <c r="X2653" s="51" t="b">
        <v>0</v>
      </c>
      <c r="Y2653" s="51" t="b">
        <v>0</v>
      </c>
      <c r="Z2653" s="51" t="b">
        <v>0</v>
      </c>
      <c r="AA2653" s="68"/>
      <c r="AB2653" s="52"/>
      <c r="AC2653" s="52"/>
      <c r="AD2653" s="52"/>
      <c r="AE2653" s="56" t="s">
        <v>607</v>
      </c>
      <c r="AF2653" s="56" t="s">
        <v>607</v>
      </c>
    </row>
    <row r="2654">
      <c r="A2654" s="52" t="s">
        <v>6161</v>
      </c>
      <c r="B2654" s="52" t="s">
        <v>607</v>
      </c>
      <c r="C2654" s="52" t="s">
        <v>607</v>
      </c>
      <c r="D2654" s="65" t="s">
        <v>607</v>
      </c>
      <c r="E2654" s="65" t="s">
        <v>607</v>
      </c>
      <c r="F2654" s="65" t="s">
        <v>607</v>
      </c>
      <c r="G2654" s="65" t="s">
        <v>607</v>
      </c>
      <c r="H2654" s="52" t="s">
        <v>607</v>
      </c>
      <c r="I2654" s="52" t="s">
        <v>607</v>
      </c>
      <c r="J2654" s="52" t="s">
        <v>607</v>
      </c>
      <c r="K2654" s="52" t="s">
        <v>607</v>
      </c>
      <c r="L2654" s="52" t="s">
        <v>607</v>
      </c>
      <c r="M2654" s="52" t="s">
        <v>607</v>
      </c>
      <c r="N2654" s="52" t="s">
        <v>607</v>
      </c>
      <c r="O2654" s="52"/>
      <c r="P2654" s="52"/>
      <c r="Q2654" s="52"/>
      <c r="R2654" s="51" t="b">
        <v>0</v>
      </c>
      <c r="S2654" s="51"/>
      <c r="T2654" s="52"/>
      <c r="U2654" s="51" t="b">
        <v>0</v>
      </c>
      <c r="V2654" s="51" t="b">
        <v>0</v>
      </c>
      <c r="W2654" s="51" t="b">
        <v>0</v>
      </c>
      <c r="X2654" s="51" t="b">
        <v>0</v>
      </c>
      <c r="Y2654" s="51" t="b">
        <v>0</v>
      </c>
      <c r="Z2654" s="51" t="b">
        <v>0</v>
      </c>
      <c r="AA2654" s="68"/>
      <c r="AB2654" s="52"/>
      <c r="AC2654" s="52"/>
      <c r="AD2654" s="52"/>
      <c r="AE2654" s="56" t="s">
        <v>607</v>
      </c>
      <c r="AF2654" s="56" t="s">
        <v>607</v>
      </c>
    </row>
    <row r="2655">
      <c r="A2655" s="52" t="s">
        <v>6162</v>
      </c>
      <c r="B2655" s="52" t="s">
        <v>607</v>
      </c>
      <c r="C2655" s="52" t="s">
        <v>607</v>
      </c>
      <c r="D2655" s="65" t="s">
        <v>607</v>
      </c>
      <c r="E2655" s="65" t="s">
        <v>607</v>
      </c>
      <c r="F2655" s="65" t="s">
        <v>607</v>
      </c>
      <c r="G2655" s="65" t="s">
        <v>607</v>
      </c>
      <c r="H2655" s="52" t="s">
        <v>607</v>
      </c>
      <c r="I2655" s="52" t="s">
        <v>607</v>
      </c>
      <c r="J2655" s="52" t="s">
        <v>607</v>
      </c>
      <c r="K2655" s="52" t="s">
        <v>607</v>
      </c>
      <c r="L2655" s="52" t="s">
        <v>607</v>
      </c>
      <c r="M2655" s="52" t="s">
        <v>607</v>
      </c>
      <c r="N2655" s="52" t="s">
        <v>607</v>
      </c>
      <c r="O2655" s="52"/>
      <c r="P2655" s="52"/>
      <c r="Q2655" s="52"/>
      <c r="R2655" s="51" t="b">
        <v>0</v>
      </c>
      <c r="S2655" s="51"/>
      <c r="T2655" s="52"/>
      <c r="U2655" s="51" t="b">
        <v>0</v>
      </c>
      <c r="V2655" s="51" t="b">
        <v>0</v>
      </c>
      <c r="W2655" s="51" t="b">
        <v>0</v>
      </c>
      <c r="X2655" s="51" t="b">
        <v>0</v>
      </c>
      <c r="Y2655" s="51" t="b">
        <v>0</v>
      </c>
      <c r="Z2655" s="51" t="b">
        <v>0</v>
      </c>
      <c r="AA2655" s="68"/>
      <c r="AB2655" s="52"/>
      <c r="AC2655" s="52"/>
      <c r="AD2655" s="52"/>
      <c r="AE2655" s="56" t="s">
        <v>607</v>
      </c>
      <c r="AF2655" s="56" t="s">
        <v>607</v>
      </c>
    </row>
    <row r="2656">
      <c r="A2656" s="52" t="s">
        <v>6166</v>
      </c>
      <c r="B2656" s="52" t="s">
        <v>607</v>
      </c>
      <c r="C2656" s="52" t="s">
        <v>607</v>
      </c>
      <c r="D2656" s="65" t="s">
        <v>607</v>
      </c>
      <c r="E2656" s="65" t="s">
        <v>607</v>
      </c>
      <c r="F2656" s="65" t="s">
        <v>607</v>
      </c>
      <c r="G2656" s="65" t="s">
        <v>607</v>
      </c>
      <c r="H2656" s="52" t="s">
        <v>607</v>
      </c>
      <c r="I2656" s="52" t="s">
        <v>607</v>
      </c>
      <c r="J2656" s="52" t="s">
        <v>607</v>
      </c>
      <c r="K2656" s="52" t="s">
        <v>607</v>
      </c>
      <c r="L2656" s="52" t="s">
        <v>607</v>
      </c>
      <c r="M2656" s="52" t="s">
        <v>607</v>
      </c>
      <c r="N2656" s="52" t="s">
        <v>607</v>
      </c>
      <c r="O2656" s="52"/>
      <c r="P2656" s="52"/>
      <c r="Q2656" s="52"/>
      <c r="R2656" s="51" t="b">
        <v>0</v>
      </c>
      <c r="S2656" s="51"/>
      <c r="T2656" s="52"/>
      <c r="U2656" s="51" t="b">
        <v>0</v>
      </c>
      <c r="V2656" s="51" t="b">
        <v>0</v>
      </c>
      <c r="W2656" s="51" t="b">
        <v>0</v>
      </c>
      <c r="X2656" s="51" t="b">
        <v>0</v>
      </c>
      <c r="Y2656" s="51" t="b">
        <v>0</v>
      </c>
      <c r="Z2656" s="51" t="b">
        <v>0</v>
      </c>
      <c r="AA2656" s="68"/>
      <c r="AB2656" s="52"/>
      <c r="AC2656" s="52"/>
      <c r="AD2656" s="52"/>
      <c r="AE2656" s="56" t="s">
        <v>607</v>
      </c>
      <c r="AF2656" s="56" t="s">
        <v>607</v>
      </c>
    </row>
    <row r="2657">
      <c r="A2657" s="52" t="s">
        <v>6167</v>
      </c>
      <c r="B2657" s="52" t="s">
        <v>607</v>
      </c>
      <c r="C2657" s="52" t="s">
        <v>607</v>
      </c>
      <c r="D2657" s="65" t="s">
        <v>607</v>
      </c>
      <c r="E2657" s="65" t="s">
        <v>607</v>
      </c>
      <c r="F2657" s="65" t="s">
        <v>607</v>
      </c>
      <c r="G2657" s="65" t="s">
        <v>607</v>
      </c>
      <c r="H2657" s="52" t="s">
        <v>607</v>
      </c>
      <c r="I2657" s="52" t="s">
        <v>607</v>
      </c>
      <c r="J2657" s="52" t="s">
        <v>607</v>
      </c>
      <c r="K2657" s="52" t="s">
        <v>607</v>
      </c>
      <c r="L2657" s="52" t="s">
        <v>607</v>
      </c>
      <c r="M2657" s="52" t="s">
        <v>607</v>
      </c>
      <c r="N2657" s="52" t="s">
        <v>607</v>
      </c>
      <c r="O2657" s="52"/>
      <c r="P2657" s="52"/>
      <c r="Q2657" s="52"/>
      <c r="R2657" s="51" t="b">
        <v>0</v>
      </c>
      <c r="S2657" s="51"/>
      <c r="T2657" s="52"/>
      <c r="U2657" s="51" t="b">
        <v>0</v>
      </c>
      <c r="V2657" s="51" t="b">
        <v>0</v>
      </c>
      <c r="W2657" s="51" t="b">
        <v>0</v>
      </c>
      <c r="X2657" s="51" t="b">
        <v>0</v>
      </c>
      <c r="Y2657" s="51" t="b">
        <v>0</v>
      </c>
      <c r="Z2657" s="51" t="b">
        <v>0</v>
      </c>
      <c r="AA2657" s="68"/>
      <c r="AB2657" s="52"/>
      <c r="AC2657" s="52"/>
      <c r="AD2657" s="52"/>
      <c r="AE2657" s="56" t="s">
        <v>607</v>
      </c>
      <c r="AF2657" s="56" t="s">
        <v>607</v>
      </c>
    </row>
    <row r="2658">
      <c r="A2658" s="52" t="s">
        <v>6168</v>
      </c>
      <c r="B2658" s="52" t="s">
        <v>607</v>
      </c>
      <c r="C2658" s="52" t="s">
        <v>607</v>
      </c>
      <c r="D2658" s="65" t="s">
        <v>607</v>
      </c>
      <c r="E2658" s="65" t="s">
        <v>607</v>
      </c>
      <c r="F2658" s="65" t="s">
        <v>607</v>
      </c>
      <c r="G2658" s="65" t="s">
        <v>607</v>
      </c>
      <c r="H2658" s="52" t="s">
        <v>607</v>
      </c>
      <c r="I2658" s="52" t="s">
        <v>607</v>
      </c>
      <c r="J2658" s="52" t="s">
        <v>607</v>
      </c>
      <c r="K2658" s="52" t="s">
        <v>607</v>
      </c>
      <c r="L2658" s="52" t="s">
        <v>607</v>
      </c>
      <c r="M2658" s="52" t="s">
        <v>607</v>
      </c>
      <c r="N2658" s="52" t="s">
        <v>607</v>
      </c>
      <c r="O2658" s="52"/>
      <c r="P2658" s="52"/>
      <c r="Q2658" s="52"/>
      <c r="R2658" s="51" t="b">
        <v>0</v>
      </c>
      <c r="S2658" s="51"/>
      <c r="T2658" s="52"/>
      <c r="U2658" s="51" t="b">
        <v>0</v>
      </c>
      <c r="V2658" s="51" t="b">
        <v>0</v>
      </c>
      <c r="W2658" s="51" t="b">
        <v>0</v>
      </c>
      <c r="X2658" s="51" t="b">
        <v>0</v>
      </c>
      <c r="Y2658" s="51" t="b">
        <v>0</v>
      </c>
      <c r="Z2658" s="51" t="b">
        <v>0</v>
      </c>
      <c r="AA2658" s="68"/>
      <c r="AB2658" s="52"/>
      <c r="AC2658" s="52"/>
      <c r="AD2658" s="52"/>
      <c r="AE2658" s="56" t="s">
        <v>607</v>
      </c>
      <c r="AF2658" s="56" t="s">
        <v>607</v>
      </c>
    </row>
    <row r="2659">
      <c r="A2659" s="52" t="s">
        <v>6169</v>
      </c>
      <c r="B2659" s="52" t="s">
        <v>607</v>
      </c>
      <c r="C2659" s="52" t="s">
        <v>607</v>
      </c>
      <c r="D2659" s="65" t="s">
        <v>607</v>
      </c>
      <c r="E2659" s="65" t="s">
        <v>607</v>
      </c>
      <c r="F2659" s="65" t="s">
        <v>607</v>
      </c>
      <c r="G2659" s="65" t="s">
        <v>607</v>
      </c>
      <c r="H2659" s="52" t="s">
        <v>607</v>
      </c>
      <c r="I2659" s="52" t="s">
        <v>607</v>
      </c>
      <c r="J2659" s="52" t="s">
        <v>607</v>
      </c>
      <c r="K2659" s="52" t="s">
        <v>607</v>
      </c>
      <c r="L2659" s="52" t="s">
        <v>607</v>
      </c>
      <c r="M2659" s="52" t="s">
        <v>607</v>
      </c>
      <c r="N2659" s="52" t="s">
        <v>607</v>
      </c>
      <c r="O2659" s="52"/>
      <c r="P2659" s="52"/>
      <c r="Q2659" s="52"/>
      <c r="R2659" s="51" t="b">
        <v>0</v>
      </c>
      <c r="S2659" s="51"/>
      <c r="T2659" s="52"/>
      <c r="U2659" s="51" t="b">
        <v>0</v>
      </c>
      <c r="V2659" s="51" t="b">
        <v>0</v>
      </c>
      <c r="W2659" s="51" t="b">
        <v>0</v>
      </c>
      <c r="X2659" s="51" t="b">
        <v>0</v>
      </c>
      <c r="Y2659" s="51" t="b">
        <v>0</v>
      </c>
      <c r="Z2659" s="51" t="b">
        <v>0</v>
      </c>
      <c r="AA2659" s="68"/>
      <c r="AB2659" s="52"/>
      <c r="AC2659" s="52"/>
      <c r="AD2659" s="52"/>
      <c r="AE2659" s="56" t="s">
        <v>607</v>
      </c>
      <c r="AF2659" s="56" t="s">
        <v>607</v>
      </c>
    </row>
    <row r="2660">
      <c r="A2660" s="52" t="s">
        <v>6173</v>
      </c>
      <c r="B2660" s="52" t="s">
        <v>607</v>
      </c>
      <c r="C2660" s="52" t="s">
        <v>607</v>
      </c>
      <c r="D2660" s="65" t="s">
        <v>607</v>
      </c>
      <c r="E2660" s="65" t="s">
        <v>607</v>
      </c>
      <c r="F2660" s="65" t="s">
        <v>607</v>
      </c>
      <c r="G2660" s="65" t="s">
        <v>607</v>
      </c>
      <c r="H2660" s="52" t="s">
        <v>607</v>
      </c>
      <c r="I2660" s="52" t="s">
        <v>607</v>
      </c>
      <c r="J2660" s="52" t="s">
        <v>607</v>
      </c>
      <c r="K2660" s="52" t="s">
        <v>607</v>
      </c>
      <c r="L2660" s="52" t="s">
        <v>607</v>
      </c>
      <c r="M2660" s="52" t="s">
        <v>607</v>
      </c>
      <c r="N2660" s="52" t="s">
        <v>607</v>
      </c>
      <c r="O2660" s="52"/>
      <c r="P2660" s="52"/>
      <c r="Q2660" s="52"/>
      <c r="R2660" s="51" t="b">
        <v>0</v>
      </c>
      <c r="S2660" s="51"/>
      <c r="T2660" s="52"/>
      <c r="U2660" s="51" t="b">
        <v>0</v>
      </c>
      <c r="V2660" s="51" t="b">
        <v>0</v>
      </c>
      <c r="W2660" s="51" t="b">
        <v>0</v>
      </c>
      <c r="X2660" s="51" t="b">
        <v>0</v>
      </c>
      <c r="Y2660" s="51" t="b">
        <v>0</v>
      </c>
      <c r="Z2660" s="51" t="b">
        <v>0</v>
      </c>
      <c r="AA2660" s="68"/>
      <c r="AB2660" s="52"/>
      <c r="AC2660" s="52"/>
      <c r="AD2660" s="52"/>
      <c r="AE2660" s="56" t="s">
        <v>607</v>
      </c>
      <c r="AF2660" s="56" t="s">
        <v>607</v>
      </c>
    </row>
    <row r="2661">
      <c r="A2661" s="52" t="s">
        <v>6174</v>
      </c>
      <c r="B2661" s="52" t="s">
        <v>607</v>
      </c>
      <c r="C2661" s="52" t="s">
        <v>607</v>
      </c>
      <c r="D2661" s="65" t="s">
        <v>607</v>
      </c>
      <c r="E2661" s="65" t="s">
        <v>607</v>
      </c>
      <c r="F2661" s="65" t="s">
        <v>607</v>
      </c>
      <c r="G2661" s="65" t="s">
        <v>607</v>
      </c>
      <c r="H2661" s="52" t="s">
        <v>607</v>
      </c>
      <c r="I2661" s="52" t="s">
        <v>607</v>
      </c>
      <c r="J2661" s="52" t="s">
        <v>607</v>
      </c>
      <c r="K2661" s="52" t="s">
        <v>607</v>
      </c>
      <c r="L2661" s="52" t="s">
        <v>607</v>
      </c>
      <c r="M2661" s="52" t="s">
        <v>607</v>
      </c>
      <c r="N2661" s="52" t="s">
        <v>607</v>
      </c>
      <c r="O2661" s="52"/>
      <c r="P2661" s="52"/>
      <c r="Q2661" s="52"/>
      <c r="R2661" s="51" t="b">
        <v>0</v>
      </c>
      <c r="S2661" s="51"/>
      <c r="T2661" s="52"/>
      <c r="U2661" s="51" t="b">
        <v>0</v>
      </c>
      <c r="V2661" s="51" t="b">
        <v>0</v>
      </c>
      <c r="W2661" s="51" t="b">
        <v>0</v>
      </c>
      <c r="X2661" s="51" t="b">
        <v>0</v>
      </c>
      <c r="Y2661" s="51" t="b">
        <v>0</v>
      </c>
      <c r="Z2661" s="51" t="b">
        <v>0</v>
      </c>
      <c r="AA2661" s="68"/>
      <c r="AB2661" s="52"/>
      <c r="AC2661" s="52"/>
      <c r="AD2661" s="52"/>
      <c r="AE2661" s="56" t="s">
        <v>607</v>
      </c>
      <c r="AF2661" s="56" t="s">
        <v>607</v>
      </c>
    </row>
    <row r="2662">
      <c r="A2662" s="52" t="s">
        <v>6175</v>
      </c>
      <c r="B2662" s="52" t="s">
        <v>607</v>
      </c>
      <c r="C2662" s="52" t="s">
        <v>607</v>
      </c>
      <c r="D2662" s="65" t="s">
        <v>607</v>
      </c>
      <c r="E2662" s="65" t="s">
        <v>607</v>
      </c>
      <c r="F2662" s="65" t="s">
        <v>607</v>
      </c>
      <c r="G2662" s="65" t="s">
        <v>607</v>
      </c>
      <c r="H2662" s="52" t="s">
        <v>607</v>
      </c>
      <c r="I2662" s="52" t="s">
        <v>607</v>
      </c>
      <c r="J2662" s="52" t="s">
        <v>607</v>
      </c>
      <c r="K2662" s="52" t="s">
        <v>607</v>
      </c>
      <c r="L2662" s="52" t="s">
        <v>607</v>
      </c>
      <c r="M2662" s="52" t="s">
        <v>607</v>
      </c>
      <c r="N2662" s="52" t="s">
        <v>607</v>
      </c>
      <c r="O2662" s="52"/>
      <c r="P2662" s="52"/>
      <c r="Q2662" s="52"/>
      <c r="R2662" s="51" t="b">
        <v>0</v>
      </c>
      <c r="S2662" s="51"/>
      <c r="T2662" s="52"/>
      <c r="U2662" s="51" t="b">
        <v>0</v>
      </c>
      <c r="V2662" s="51" t="b">
        <v>0</v>
      </c>
      <c r="W2662" s="51" t="b">
        <v>0</v>
      </c>
      <c r="X2662" s="51" t="b">
        <v>0</v>
      </c>
      <c r="Y2662" s="51" t="b">
        <v>0</v>
      </c>
      <c r="Z2662" s="51" t="b">
        <v>0</v>
      </c>
      <c r="AA2662" s="68"/>
      <c r="AB2662" s="52"/>
      <c r="AC2662" s="52"/>
      <c r="AD2662" s="52"/>
      <c r="AE2662" s="56" t="s">
        <v>607</v>
      </c>
      <c r="AF2662" s="56" t="s">
        <v>607</v>
      </c>
    </row>
    <row r="2663">
      <c r="A2663" s="52" t="s">
        <v>6176</v>
      </c>
      <c r="B2663" s="52" t="s">
        <v>607</v>
      </c>
      <c r="C2663" s="52" t="s">
        <v>607</v>
      </c>
      <c r="D2663" s="65" t="s">
        <v>607</v>
      </c>
      <c r="E2663" s="65" t="s">
        <v>607</v>
      </c>
      <c r="F2663" s="65" t="s">
        <v>607</v>
      </c>
      <c r="G2663" s="65" t="s">
        <v>607</v>
      </c>
      <c r="H2663" s="52" t="s">
        <v>607</v>
      </c>
      <c r="I2663" s="52" t="s">
        <v>607</v>
      </c>
      <c r="J2663" s="52" t="s">
        <v>607</v>
      </c>
      <c r="K2663" s="52" t="s">
        <v>607</v>
      </c>
      <c r="L2663" s="52" t="s">
        <v>607</v>
      </c>
      <c r="M2663" s="52" t="s">
        <v>607</v>
      </c>
      <c r="N2663" s="52" t="s">
        <v>607</v>
      </c>
      <c r="O2663" s="52"/>
      <c r="P2663" s="52"/>
      <c r="Q2663" s="52"/>
      <c r="R2663" s="51" t="b">
        <v>0</v>
      </c>
      <c r="S2663" s="51"/>
      <c r="T2663" s="52"/>
      <c r="U2663" s="51" t="b">
        <v>0</v>
      </c>
      <c r="V2663" s="51" t="b">
        <v>0</v>
      </c>
      <c r="W2663" s="51" t="b">
        <v>0</v>
      </c>
      <c r="X2663" s="51" t="b">
        <v>0</v>
      </c>
      <c r="Y2663" s="51" t="b">
        <v>0</v>
      </c>
      <c r="Z2663" s="51" t="b">
        <v>0</v>
      </c>
      <c r="AA2663" s="68"/>
      <c r="AB2663" s="52"/>
      <c r="AC2663" s="52"/>
      <c r="AD2663" s="52"/>
      <c r="AE2663" s="56" t="s">
        <v>607</v>
      </c>
      <c r="AF2663" s="56" t="s">
        <v>607</v>
      </c>
    </row>
    <row r="2664">
      <c r="A2664" s="52" t="s">
        <v>6180</v>
      </c>
      <c r="B2664" s="52" t="s">
        <v>607</v>
      </c>
      <c r="C2664" s="52" t="s">
        <v>607</v>
      </c>
      <c r="D2664" s="65" t="s">
        <v>607</v>
      </c>
      <c r="E2664" s="65" t="s">
        <v>607</v>
      </c>
      <c r="F2664" s="65" t="s">
        <v>607</v>
      </c>
      <c r="G2664" s="65" t="s">
        <v>607</v>
      </c>
      <c r="H2664" s="52" t="s">
        <v>607</v>
      </c>
      <c r="I2664" s="52" t="s">
        <v>607</v>
      </c>
      <c r="J2664" s="52" t="s">
        <v>607</v>
      </c>
      <c r="K2664" s="52" t="s">
        <v>607</v>
      </c>
      <c r="L2664" s="52" t="s">
        <v>607</v>
      </c>
      <c r="M2664" s="52" t="s">
        <v>607</v>
      </c>
      <c r="N2664" s="52" t="s">
        <v>607</v>
      </c>
      <c r="O2664" s="52"/>
      <c r="P2664" s="52"/>
      <c r="Q2664" s="52"/>
      <c r="R2664" s="51" t="b">
        <v>0</v>
      </c>
      <c r="S2664" s="51"/>
      <c r="T2664" s="52"/>
      <c r="U2664" s="51" t="b">
        <v>0</v>
      </c>
      <c r="V2664" s="51" t="b">
        <v>0</v>
      </c>
      <c r="W2664" s="51" t="b">
        <v>0</v>
      </c>
      <c r="X2664" s="51" t="b">
        <v>0</v>
      </c>
      <c r="Y2664" s="51" t="b">
        <v>0</v>
      </c>
      <c r="Z2664" s="51" t="b">
        <v>0</v>
      </c>
      <c r="AA2664" s="68"/>
      <c r="AB2664" s="52"/>
      <c r="AC2664" s="52"/>
      <c r="AD2664" s="52"/>
      <c r="AE2664" s="56" t="s">
        <v>607</v>
      </c>
      <c r="AF2664" s="56" t="s">
        <v>607</v>
      </c>
    </row>
    <row r="2665">
      <c r="A2665" s="52" t="s">
        <v>6181</v>
      </c>
      <c r="B2665" s="52" t="s">
        <v>607</v>
      </c>
      <c r="C2665" s="52" t="s">
        <v>607</v>
      </c>
      <c r="D2665" s="65" t="s">
        <v>607</v>
      </c>
      <c r="E2665" s="65" t="s">
        <v>607</v>
      </c>
      <c r="F2665" s="65" t="s">
        <v>607</v>
      </c>
      <c r="G2665" s="65" t="s">
        <v>607</v>
      </c>
      <c r="H2665" s="52" t="s">
        <v>607</v>
      </c>
      <c r="I2665" s="52" t="s">
        <v>607</v>
      </c>
      <c r="J2665" s="52" t="s">
        <v>607</v>
      </c>
      <c r="K2665" s="52" t="s">
        <v>607</v>
      </c>
      <c r="L2665" s="52" t="s">
        <v>607</v>
      </c>
      <c r="M2665" s="52" t="s">
        <v>607</v>
      </c>
      <c r="N2665" s="52" t="s">
        <v>607</v>
      </c>
      <c r="O2665" s="52"/>
      <c r="P2665" s="52"/>
      <c r="Q2665" s="52"/>
      <c r="R2665" s="51" t="b">
        <v>0</v>
      </c>
      <c r="S2665" s="51"/>
      <c r="T2665" s="52"/>
      <c r="U2665" s="51" t="b">
        <v>0</v>
      </c>
      <c r="V2665" s="51" t="b">
        <v>0</v>
      </c>
      <c r="W2665" s="51" t="b">
        <v>0</v>
      </c>
      <c r="X2665" s="51" t="b">
        <v>0</v>
      </c>
      <c r="Y2665" s="51" t="b">
        <v>0</v>
      </c>
      <c r="Z2665" s="51" t="b">
        <v>0</v>
      </c>
      <c r="AA2665" s="68"/>
      <c r="AB2665" s="52"/>
      <c r="AC2665" s="52"/>
      <c r="AD2665" s="52"/>
      <c r="AE2665" s="56" t="s">
        <v>607</v>
      </c>
      <c r="AF2665" s="56" t="s">
        <v>607</v>
      </c>
    </row>
    <row r="2666">
      <c r="A2666" s="52" t="s">
        <v>6182</v>
      </c>
      <c r="B2666" s="52" t="s">
        <v>607</v>
      </c>
      <c r="C2666" s="52" t="s">
        <v>607</v>
      </c>
      <c r="D2666" s="65" t="s">
        <v>607</v>
      </c>
      <c r="E2666" s="65" t="s">
        <v>607</v>
      </c>
      <c r="F2666" s="65" t="s">
        <v>607</v>
      </c>
      <c r="G2666" s="65" t="s">
        <v>607</v>
      </c>
      <c r="H2666" s="52" t="s">
        <v>607</v>
      </c>
      <c r="I2666" s="52" t="s">
        <v>607</v>
      </c>
      <c r="J2666" s="52" t="s">
        <v>607</v>
      </c>
      <c r="K2666" s="52" t="s">
        <v>607</v>
      </c>
      <c r="L2666" s="52" t="s">
        <v>607</v>
      </c>
      <c r="M2666" s="52" t="s">
        <v>607</v>
      </c>
      <c r="N2666" s="52" t="s">
        <v>607</v>
      </c>
      <c r="O2666" s="52"/>
      <c r="P2666" s="52"/>
      <c r="Q2666" s="52"/>
      <c r="R2666" s="51" t="b">
        <v>0</v>
      </c>
      <c r="S2666" s="51"/>
      <c r="T2666" s="52"/>
      <c r="U2666" s="51" t="b">
        <v>0</v>
      </c>
      <c r="V2666" s="51" t="b">
        <v>0</v>
      </c>
      <c r="W2666" s="51" t="b">
        <v>0</v>
      </c>
      <c r="X2666" s="51" t="b">
        <v>0</v>
      </c>
      <c r="Y2666" s="51" t="b">
        <v>0</v>
      </c>
      <c r="Z2666" s="51" t="b">
        <v>0</v>
      </c>
      <c r="AA2666" s="68"/>
      <c r="AB2666" s="52"/>
      <c r="AC2666" s="52"/>
      <c r="AD2666" s="52"/>
      <c r="AE2666" s="56" t="s">
        <v>607</v>
      </c>
      <c r="AF2666" s="56" t="s">
        <v>607</v>
      </c>
    </row>
    <row r="2667">
      <c r="A2667" s="52" t="s">
        <v>6185</v>
      </c>
      <c r="B2667" s="52" t="s">
        <v>607</v>
      </c>
      <c r="C2667" s="52" t="s">
        <v>607</v>
      </c>
      <c r="D2667" s="65" t="s">
        <v>607</v>
      </c>
      <c r="E2667" s="65" t="s">
        <v>607</v>
      </c>
      <c r="F2667" s="65" t="s">
        <v>607</v>
      </c>
      <c r="G2667" s="65" t="s">
        <v>607</v>
      </c>
      <c r="H2667" s="52" t="s">
        <v>607</v>
      </c>
      <c r="I2667" s="52" t="s">
        <v>607</v>
      </c>
      <c r="J2667" s="52" t="s">
        <v>607</v>
      </c>
      <c r="K2667" s="52" t="s">
        <v>607</v>
      </c>
      <c r="L2667" s="52" t="s">
        <v>607</v>
      </c>
      <c r="M2667" s="52" t="s">
        <v>607</v>
      </c>
      <c r="N2667" s="52" t="s">
        <v>607</v>
      </c>
      <c r="O2667" s="52"/>
      <c r="P2667" s="52"/>
      <c r="Q2667" s="52"/>
      <c r="R2667" s="51" t="b">
        <v>0</v>
      </c>
      <c r="S2667" s="51"/>
      <c r="T2667" s="52"/>
      <c r="U2667" s="51" t="b">
        <v>0</v>
      </c>
      <c r="V2667" s="51" t="b">
        <v>0</v>
      </c>
      <c r="W2667" s="51" t="b">
        <v>0</v>
      </c>
      <c r="X2667" s="51" t="b">
        <v>0</v>
      </c>
      <c r="Y2667" s="51" t="b">
        <v>0</v>
      </c>
      <c r="Z2667" s="51" t="b">
        <v>0</v>
      </c>
      <c r="AA2667" s="68"/>
      <c r="AB2667" s="52"/>
      <c r="AC2667" s="52"/>
      <c r="AD2667" s="52"/>
      <c r="AE2667" s="56" t="s">
        <v>607</v>
      </c>
      <c r="AF2667" s="56" t="s">
        <v>607</v>
      </c>
    </row>
    <row r="2668">
      <c r="A2668" s="52" t="s">
        <v>6186</v>
      </c>
      <c r="B2668" s="52" t="s">
        <v>607</v>
      </c>
      <c r="C2668" s="52" t="s">
        <v>607</v>
      </c>
      <c r="D2668" s="65" t="s">
        <v>607</v>
      </c>
      <c r="E2668" s="65" t="s">
        <v>607</v>
      </c>
      <c r="F2668" s="65" t="s">
        <v>607</v>
      </c>
      <c r="G2668" s="65" t="s">
        <v>607</v>
      </c>
      <c r="H2668" s="52" t="s">
        <v>607</v>
      </c>
      <c r="I2668" s="52" t="s">
        <v>607</v>
      </c>
      <c r="J2668" s="52" t="s">
        <v>607</v>
      </c>
      <c r="K2668" s="52" t="s">
        <v>607</v>
      </c>
      <c r="L2668" s="52" t="s">
        <v>607</v>
      </c>
      <c r="M2668" s="52" t="s">
        <v>607</v>
      </c>
      <c r="N2668" s="52" t="s">
        <v>607</v>
      </c>
      <c r="O2668" s="52"/>
      <c r="P2668" s="52"/>
      <c r="Q2668" s="52"/>
      <c r="R2668" s="51" t="b">
        <v>0</v>
      </c>
      <c r="S2668" s="51"/>
      <c r="T2668" s="52"/>
      <c r="U2668" s="51" t="b">
        <v>0</v>
      </c>
      <c r="V2668" s="51" t="b">
        <v>0</v>
      </c>
      <c r="W2668" s="51" t="b">
        <v>0</v>
      </c>
      <c r="X2668" s="51" t="b">
        <v>0</v>
      </c>
      <c r="Y2668" s="51" t="b">
        <v>0</v>
      </c>
      <c r="Z2668" s="51" t="b">
        <v>0</v>
      </c>
      <c r="AA2668" s="68"/>
      <c r="AB2668" s="52"/>
      <c r="AC2668" s="52"/>
      <c r="AD2668" s="52"/>
      <c r="AE2668" s="56" t="s">
        <v>607</v>
      </c>
      <c r="AF2668" s="56" t="s">
        <v>607</v>
      </c>
    </row>
    <row r="2669">
      <c r="A2669" s="52" t="s">
        <v>6187</v>
      </c>
      <c r="B2669" s="52" t="s">
        <v>607</v>
      </c>
      <c r="C2669" s="52" t="s">
        <v>607</v>
      </c>
      <c r="D2669" s="65" t="s">
        <v>607</v>
      </c>
      <c r="E2669" s="65" t="s">
        <v>607</v>
      </c>
      <c r="F2669" s="65" t="s">
        <v>607</v>
      </c>
      <c r="G2669" s="65" t="s">
        <v>607</v>
      </c>
      <c r="H2669" s="52" t="s">
        <v>607</v>
      </c>
      <c r="I2669" s="52" t="s">
        <v>607</v>
      </c>
      <c r="J2669" s="52" t="s">
        <v>607</v>
      </c>
      <c r="K2669" s="52" t="s">
        <v>607</v>
      </c>
      <c r="L2669" s="52" t="s">
        <v>607</v>
      </c>
      <c r="M2669" s="52" t="s">
        <v>607</v>
      </c>
      <c r="N2669" s="52" t="s">
        <v>607</v>
      </c>
      <c r="O2669" s="52"/>
      <c r="P2669" s="52"/>
      <c r="Q2669" s="52"/>
      <c r="R2669" s="51" t="b">
        <v>0</v>
      </c>
      <c r="S2669" s="51"/>
      <c r="T2669" s="52"/>
      <c r="U2669" s="51" t="b">
        <v>0</v>
      </c>
      <c r="V2669" s="51" t="b">
        <v>0</v>
      </c>
      <c r="W2669" s="51" t="b">
        <v>0</v>
      </c>
      <c r="X2669" s="51" t="b">
        <v>0</v>
      </c>
      <c r="Y2669" s="51" t="b">
        <v>0</v>
      </c>
      <c r="Z2669" s="51" t="b">
        <v>0</v>
      </c>
      <c r="AA2669" s="68"/>
      <c r="AB2669" s="52"/>
      <c r="AC2669" s="52"/>
      <c r="AD2669" s="52"/>
      <c r="AE2669" s="56" t="s">
        <v>607</v>
      </c>
      <c r="AF2669" s="56" t="s">
        <v>607</v>
      </c>
    </row>
    <row r="2670">
      <c r="A2670" s="52" t="s">
        <v>6191</v>
      </c>
      <c r="B2670" s="52" t="s">
        <v>607</v>
      </c>
      <c r="C2670" s="52" t="s">
        <v>607</v>
      </c>
      <c r="D2670" s="65" t="s">
        <v>607</v>
      </c>
      <c r="E2670" s="65" t="s">
        <v>607</v>
      </c>
      <c r="F2670" s="65" t="s">
        <v>607</v>
      </c>
      <c r="G2670" s="65" t="s">
        <v>607</v>
      </c>
      <c r="H2670" s="52" t="s">
        <v>607</v>
      </c>
      <c r="I2670" s="52" t="s">
        <v>607</v>
      </c>
      <c r="J2670" s="52" t="s">
        <v>607</v>
      </c>
      <c r="K2670" s="52" t="s">
        <v>607</v>
      </c>
      <c r="L2670" s="52" t="s">
        <v>607</v>
      </c>
      <c r="M2670" s="52" t="s">
        <v>607</v>
      </c>
      <c r="N2670" s="52" t="s">
        <v>607</v>
      </c>
      <c r="O2670" s="52"/>
      <c r="P2670" s="52"/>
      <c r="Q2670" s="52"/>
      <c r="R2670" s="51" t="b">
        <v>0</v>
      </c>
      <c r="S2670" s="51"/>
      <c r="T2670" s="52"/>
      <c r="U2670" s="51" t="b">
        <v>0</v>
      </c>
      <c r="V2670" s="51" t="b">
        <v>0</v>
      </c>
      <c r="W2670" s="51" t="b">
        <v>0</v>
      </c>
      <c r="X2670" s="51" t="b">
        <v>0</v>
      </c>
      <c r="Y2670" s="51" t="b">
        <v>0</v>
      </c>
      <c r="Z2670" s="51" t="b">
        <v>0</v>
      </c>
      <c r="AA2670" s="68"/>
      <c r="AB2670" s="52"/>
      <c r="AC2670" s="52"/>
      <c r="AD2670" s="52"/>
      <c r="AE2670" s="56" t="s">
        <v>607</v>
      </c>
      <c r="AF2670" s="56" t="s">
        <v>607</v>
      </c>
    </row>
    <row r="2671">
      <c r="A2671" s="52" t="s">
        <v>6192</v>
      </c>
      <c r="B2671" s="52" t="s">
        <v>607</v>
      </c>
      <c r="C2671" s="52" t="s">
        <v>607</v>
      </c>
      <c r="D2671" s="65" t="s">
        <v>607</v>
      </c>
      <c r="E2671" s="65" t="s">
        <v>607</v>
      </c>
      <c r="F2671" s="65" t="s">
        <v>607</v>
      </c>
      <c r="G2671" s="65" t="s">
        <v>607</v>
      </c>
      <c r="H2671" s="52" t="s">
        <v>607</v>
      </c>
      <c r="I2671" s="52" t="s">
        <v>607</v>
      </c>
      <c r="J2671" s="52" t="s">
        <v>607</v>
      </c>
      <c r="K2671" s="52" t="s">
        <v>607</v>
      </c>
      <c r="L2671" s="52" t="s">
        <v>607</v>
      </c>
      <c r="M2671" s="52" t="s">
        <v>607</v>
      </c>
      <c r="N2671" s="52" t="s">
        <v>607</v>
      </c>
      <c r="O2671" s="52"/>
      <c r="P2671" s="52"/>
      <c r="Q2671" s="52"/>
      <c r="R2671" s="51" t="b">
        <v>0</v>
      </c>
      <c r="S2671" s="51"/>
      <c r="T2671" s="52"/>
      <c r="U2671" s="51" t="b">
        <v>0</v>
      </c>
      <c r="V2671" s="51" t="b">
        <v>0</v>
      </c>
      <c r="W2671" s="51" t="b">
        <v>0</v>
      </c>
      <c r="X2671" s="51" t="b">
        <v>0</v>
      </c>
      <c r="Y2671" s="51" t="b">
        <v>0</v>
      </c>
      <c r="Z2671" s="51" t="b">
        <v>0</v>
      </c>
      <c r="AA2671" s="68"/>
      <c r="AB2671" s="52"/>
      <c r="AC2671" s="52"/>
      <c r="AD2671" s="52"/>
      <c r="AE2671" s="56" t="s">
        <v>607</v>
      </c>
      <c r="AF2671" s="56" t="s">
        <v>607</v>
      </c>
    </row>
    <row r="2672">
      <c r="A2672" s="52" t="s">
        <v>6193</v>
      </c>
      <c r="B2672" s="52" t="s">
        <v>607</v>
      </c>
      <c r="C2672" s="52" t="s">
        <v>607</v>
      </c>
      <c r="D2672" s="65" t="s">
        <v>607</v>
      </c>
      <c r="E2672" s="65" t="s">
        <v>607</v>
      </c>
      <c r="F2672" s="65" t="s">
        <v>607</v>
      </c>
      <c r="G2672" s="65" t="s">
        <v>607</v>
      </c>
      <c r="H2672" s="52" t="s">
        <v>607</v>
      </c>
      <c r="I2672" s="52" t="s">
        <v>607</v>
      </c>
      <c r="J2672" s="52" t="s">
        <v>607</v>
      </c>
      <c r="K2672" s="52" t="s">
        <v>607</v>
      </c>
      <c r="L2672" s="52" t="s">
        <v>607</v>
      </c>
      <c r="M2672" s="52" t="s">
        <v>607</v>
      </c>
      <c r="N2672" s="52" t="s">
        <v>607</v>
      </c>
      <c r="O2672" s="52"/>
      <c r="P2672" s="52"/>
      <c r="Q2672" s="52"/>
      <c r="R2672" s="51" t="b">
        <v>0</v>
      </c>
      <c r="S2672" s="51"/>
      <c r="T2672" s="52"/>
      <c r="U2672" s="51" t="b">
        <v>0</v>
      </c>
      <c r="V2672" s="51" t="b">
        <v>0</v>
      </c>
      <c r="W2672" s="51" t="b">
        <v>0</v>
      </c>
      <c r="X2672" s="51" t="b">
        <v>0</v>
      </c>
      <c r="Y2672" s="51" t="b">
        <v>0</v>
      </c>
      <c r="Z2672" s="51" t="b">
        <v>0</v>
      </c>
      <c r="AA2672" s="68"/>
      <c r="AB2672" s="52"/>
      <c r="AC2672" s="52"/>
      <c r="AD2672" s="52"/>
      <c r="AE2672" s="56" t="s">
        <v>607</v>
      </c>
      <c r="AF2672" s="56" t="s">
        <v>607</v>
      </c>
    </row>
    <row r="2673">
      <c r="A2673" s="52" t="s">
        <v>6194</v>
      </c>
      <c r="B2673" s="52" t="s">
        <v>607</v>
      </c>
      <c r="C2673" s="52" t="s">
        <v>607</v>
      </c>
      <c r="D2673" s="65" t="s">
        <v>607</v>
      </c>
      <c r="E2673" s="65" t="s">
        <v>607</v>
      </c>
      <c r="F2673" s="65" t="s">
        <v>607</v>
      </c>
      <c r="G2673" s="65" t="s">
        <v>607</v>
      </c>
      <c r="H2673" s="52" t="s">
        <v>607</v>
      </c>
      <c r="I2673" s="52" t="s">
        <v>607</v>
      </c>
      <c r="J2673" s="52" t="s">
        <v>607</v>
      </c>
      <c r="K2673" s="52" t="s">
        <v>607</v>
      </c>
      <c r="L2673" s="52" t="s">
        <v>607</v>
      </c>
      <c r="M2673" s="52" t="s">
        <v>607</v>
      </c>
      <c r="N2673" s="52" t="s">
        <v>607</v>
      </c>
      <c r="O2673" s="52"/>
      <c r="P2673" s="52"/>
      <c r="Q2673" s="52"/>
      <c r="R2673" s="51" t="b">
        <v>0</v>
      </c>
      <c r="S2673" s="51"/>
      <c r="T2673" s="52"/>
      <c r="U2673" s="51" t="b">
        <v>0</v>
      </c>
      <c r="V2673" s="51" t="b">
        <v>0</v>
      </c>
      <c r="W2673" s="51" t="b">
        <v>0</v>
      </c>
      <c r="X2673" s="51" t="b">
        <v>0</v>
      </c>
      <c r="Y2673" s="51" t="b">
        <v>0</v>
      </c>
      <c r="Z2673" s="51" t="b">
        <v>0</v>
      </c>
      <c r="AA2673" s="68"/>
      <c r="AB2673" s="52"/>
      <c r="AC2673" s="52"/>
      <c r="AD2673" s="52"/>
      <c r="AE2673" s="56" t="s">
        <v>607</v>
      </c>
      <c r="AF2673" s="56" t="s">
        <v>607</v>
      </c>
    </row>
    <row r="2674">
      <c r="A2674" s="52" t="s">
        <v>6198</v>
      </c>
      <c r="B2674" s="52" t="s">
        <v>607</v>
      </c>
      <c r="C2674" s="52" t="s">
        <v>607</v>
      </c>
      <c r="D2674" s="65" t="s">
        <v>607</v>
      </c>
      <c r="E2674" s="65" t="s">
        <v>607</v>
      </c>
      <c r="F2674" s="65" t="s">
        <v>607</v>
      </c>
      <c r="G2674" s="65" t="s">
        <v>607</v>
      </c>
      <c r="H2674" s="52" t="s">
        <v>607</v>
      </c>
      <c r="I2674" s="52" t="s">
        <v>607</v>
      </c>
      <c r="J2674" s="52" t="s">
        <v>607</v>
      </c>
      <c r="K2674" s="52" t="s">
        <v>607</v>
      </c>
      <c r="L2674" s="52" t="s">
        <v>607</v>
      </c>
      <c r="M2674" s="52" t="s">
        <v>607</v>
      </c>
      <c r="N2674" s="52" t="s">
        <v>607</v>
      </c>
      <c r="O2674" s="52"/>
      <c r="P2674" s="52"/>
      <c r="Q2674" s="52"/>
      <c r="R2674" s="51" t="b">
        <v>0</v>
      </c>
      <c r="S2674" s="51"/>
      <c r="T2674" s="52"/>
      <c r="U2674" s="51" t="b">
        <v>0</v>
      </c>
      <c r="V2674" s="51" t="b">
        <v>0</v>
      </c>
      <c r="W2674" s="51" t="b">
        <v>0</v>
      </c>
      <c r="X2674" s="51" t="b">
        <v>0</v>
      </c>
      <c r="Y2674" s="51" t="b">
        <v>0</v>
      </c>
      <c r="Z2674" s="51" t="b">
        <v>0</v>
      </c>
      <c r="AA2674" s="68"/>
      <c r="AB2674" s="52"/>
      <c r="AC2674" s="52"/>
      <c r="AD2674" s="52"/>
      <c r="AE2674" s="56" t="s">
        <v>607</v>
      </c>
      <c r="AF2674" s="56" t="s">
        <v>607</v>
      </c>
    </row>
    <row r="2675">
      <c r="A2675" s="52" t="s">
        <v>6199</v>
      </c>
      <c r="B2675" s="52" t="s">
        <v>607</v>
      </c>
      <c r="C2675" s="52" t="s">
        <v>607</v>
      </c>
      <c r="D2675" s="65" t="s">
        <v>607</v>
      </c>
      <c r="E2675" s="65" t="s">
        <v>607</v>
      </c>
      <c r="F2675" s="65" t="s">
        <v>607</v>
      </c>
      <c r="G2675" s="65" t="s">
        <v>607</v>
      </c>
      <c r="H2675" s="52" t="s">
        <v>607</v>
      </c>
      <c r="I2675" s="52" t="s">
        <v>607</v>
      </c>
      <c r="J2675" s="52" t="s">
        <v>607</v>
      </c>
      <c r="K2675" s="52" t="s">
        <v>607</v>
      </c>
      <c r="L2675" s="52" t="s">
        <v>607</v>
      </c>
      <c r="M2675" s="52" t="s">
        <v>607</v>
      </c>
      <c r="N2675" s="52" t="s">
        <v>607</v>
      </c>
      <c r="O2675" s="52"/>
      <c r="P2675" s="52"/>
      <c r="Q2675" s="52"/>
      <c r="R2675" s="51" t="b">
        <v>0</v>
      </c>
      <c r="S2675" s="51"/>
      <c r="T2675" s="52"/>
      <c r="U2675" s="51" t="b">
        <v>0</v>
      </c>
      <c r="V2675" s="51" t="b">
        <v>0</v>
      </c>
      <c r="W2675" s="51" t="b">
        <v>0</v>
      </c>
      <c r="X2675" s="51" t="b">
        <v>0</v>
      </c>
      <c r="Y2675" s="51" t="b">
        <v>0</v>
      </c>
      <c r="Z2675" s="51" t="b">
        <v>0</v>
      </c>
      <c r="AA2675" s="68"/>
      <c r="AB2675" s="52"/>
      <c r="AC2675" s="52"/>
      <c r="AD2675" s="52"/>
      <c r="AE2675" s="56" t="s">
        <v>607</v>
      </c>
      <c r="AF2675" s="56" t="s">
        <v>607</v>
      </c>
    </row>
    <row r="2676">
      <c r="A2676" s="52" t="s">
        <v>6200</v>
      </c>
      <c r="B2676" s="52" t="s">
        <v>607</v>
      </c>
      <c r="C2676" s="52" t="s">
        <v>607</v>
      </c>
      <c r="D2676" s="65" t="s">
        <v>607</v>
      </c>
      <c r="E2676" s="65" t="s">
        <v>607</v>
      </c>
      <c r="F2676" s="65" t="s">
        <v>607</v>
      </c>
      <c r="G2676" s="65" t="s">
        <v>607</v>
      </c>
      <c r="H2676" s="52" t="s">
        <v>607</v>
      </c>
      <c r="I2676" s="52" t="s">
        <v>607</v>
      </c>
      <c r="J2676" s="52" t="s">
        <v>607</v>
      </c>
      <c r="K2676" s="52" t="s">
        <v>607</v>
      </c>
      <c r="L2676" s="52" t="s">
        <v>607</v>
      </c>
      <c r="M2676" s="52" t="s">
        <v>607</v>
      </c>
      <c r="N2676" s="52" t="s">
        <v>607</v>
      </c>
      <c r="O2676" s="52"/>
      <c r="P2676" s="52"/>
      <c r="Q2676" s="52"/>
      <c r="R2676" s="51" t="b">
        <v>0</v>
      </c>
      <c r="S2676" s="51"/>
      <c r="T2676" s="52"/>
      <c r="U2676" s="51" t="b">
        <v>0</v>
      </c>
      <c r="V2676" s="51" t="b">
        <v>0</v>
      </c>
      <c r="W2676" s="51" t="b">
        <v>0</v>
      </c>
      <c r="X2676" s="51" t="b">
        <v>0</v>
      </c>
      <c r="Y2676" s="51" t="b">
        <v>0</v>
      </c>
      <c r="Z2676" s="51" t="b">
        <v>0</v>
      </c>
      <c r="AA2676" s="68"/>
      <c r="AB2676" s="52"/>
      <c r="AC2676" s="52"/>
      <c r="AD2676" s="52"/>
      <c r="AE2676" s="56" t="s">
        <v>607</v>
      </c>
      <c r="AF2676" s="56" t="s">
        <v>607</v>
      </c>
    </row>
    <row r="2677">
      <c r="A2677" s="52" t="s">
        <v>6203</v>
      </c>
      <c r="B2677" s="52" t="s">
        <v>607</v>
      </c>
      <c r="C2677" s="52" t="s">
        <v>607</v>
      </c>
      <c r="D2677" s="65" t="s">
        <v>607</v>
      </c>
      <c r="E2677" s="65" t="s">
        <v>607</v>
      </c>
      <c r="F2677" s="65" t="s">
        <v>607</v>
      </c>
      <c r="G2677" s="65" t="s">
        <v>607</v>
      </c>
      <c r="H2677" s="52" t="s">
        <v>607</v>
      </c>
      <c r="I2677" s="52" t="s">
        <v>607</v>
      </c>
      <c r="J2677" s="52" t="s">
        <v>607</v>
      </c>
      <c r="K2677" s="52" t="s">
        <v>607</v>
      </c>
      <c r="L2677" s="52" t="s">
        <v>607</v>
      </c>
      <c r="M2677" s="52" t="s">
        <v>607</v>
      </c>
      <c r="N2677" s="52" t="s">
        <v>607</v>
      </c>
      <c r="O2677" s="52"/>
      <c r="P2677" s="52"/>
      <c r="Q2677" s="52"/>
      <c r="R2677" s="51" t="b">
        <v>0</v>
      </c>
      <c r="S2677" s="51"/>
      <c r="T2677" s="52"/>
      <c r="U2677" s="51" t="b">
        <v>0</v>
      </c>
      <c r="V2677" s="51" t="b">
        <v>0</v>
      </c>
      <c r="W2677" s="51" t="b">
        <v>0</v>
      </c>
      <c r="X2677" s="51" t="b">
        <v>0</v>
      </c>
      <c r="Y2677" s="51" t="b">
        <v>0</v>
      </c>
      <c r="Z2677" s="51" t="b">
        <v>0</v>
      </c>
      <c r="AA2677" s="68"/>
      <c r="AB2677" s="52"/>
      <c r="AC2677" s="52"/>
      <c r="AD2677" s="52"/>
      <c r="AE2677" s="56" t="s">
        <v>607</v>
      </c>
      <c r="AF2677" s="56" t="s">
        <v>607</v>
      </c>
    </row>
    <row r="2678">
      <c r="A2678" s="52" t="s">
        <v>6204</v>
      </c>
      <c r="B2678" s="52" t="s">
        <v>607</v>
      </c>
      <c r="C2678" s="52" t="s">
        <v>607</v>
      </c>
      <c r="D2678" s="65" t="s">
        <v>607</v>
      </c>
      <c r="E2678" s="65" t="s">
        <v>607</v>
      </c>
      <c r="F2678" s="65" t="s">
        <v>607</v>
      </c>
      <c r="G2678" s="65" t="s">
        <v>607</v>
      </c>
      <c r="H2678" s="52" t="s">
        <v>607</v>
      </c>
      <c r="I2678" s="52" t="s">
        <v>607</v>
      </c>
      <c r="J2678" s="52" t="s">
        <v>607</v>
      </c>
      <c r="K2678" s="52" t="s">
        <v>607</v>
      </c>
      <c r="L2678" s="52" t="s">
        <v>607</v>
      </c>
      <c r="M2678" s="52" t="s">
        <v>607</v>
      </c>
      <c r="N2678" s="52" t="s">
        <v>607</v>
      </c>
      <c r="O2678" s="52"/>
      <c r="P2678" s="52"/>
      <c r="Q2678" s="52"/>
      <c r="R2678" s="51" t="b">
        <v>0</v>
      </c>
      <c r="S2678" s="51"/>
      <c r="T2678" s="52"/>
      <c r="U2678" s="51" t="b">
        <v>0</v>
      </c>
      <c r="V2678" s="51" t="b">
        <v>0</v>
      </c>
      <c r="W2678" s="51" t="b">
        <v>0</v>
      </c>
      <c r="X2678" s="51" t="b">
        <v>0</v>
      </c>
      <c r="Y2678" s="51" t="b">
        <v>0</v>
      </c>
      <c r="Z2678" s="51" t="b">
        <v>0</v>
      </c>
      <c r="AA2678" s="68"/>
      <c r="AB2678" s="52"/>
      <c r="AC2678" s="52"/>
      <c r="AD2678" s="52"/>
      <c r="AE2678" s="56" t="s">
        <v>607</v>
      </c>
      <c r="AF2678" s="56" t="s">
        <v>607</v>
      </c>
    </row>
    <row r="2679">
      <c r="A2679" s="52" t="s">
        <v>6205</v>
      </c>
      <c r="B2679" s="52" t="s">
        <v>607</v>
      </c>
      <c r="C2679" s="52" t="s">
        <v>607</v>
      </c>
      <c r="D2679" s="65" t="s">
        <v>607</v>
      </c>
      <c r="E2679" s="65" t="s">
        <v>607</v>
      </c>
      <c r="F2679" s="65" t="s">
        <v>607</v>
      </c>
      <c r="G2679" s="65" t="s">
        <v>607</v>
      </c>
      <c r="H2679" s="52" t="s">
        <v>607</v>
      </c>
      <c r="I2679" s="52" t="s">
        <v>607</v>
      </c>
      <c r="J2679" s="52" t="s">
        <v>607</v>
      </c>
      <c r="K2679" s="52" t="s">
        <v>607</v>
      </c>
      <c r="L2679" s="52" t="s">
        <v>607</v>
      </c>
      <c r="M2679" s="52" t="s">
        <v>607</v>
      </c>
      <c r="N2679" s="52" t="s">
        <v>607</v>
      </c>
      <c r="O2679" s="52"/>
      <c r="P2679" s="52"/>
      <c r="Q2679" s="52"/>
      <c r="R2679" s="51" t="b">
        <v>0</v>
      </c>
      <c r="S2679" s="51"/>
      <c r="T2679" s="52"/>
      <c r="U2679" s="51" t="b">
        <v>0</v>
      </c>
      <c r="V2679" s="51" t="b">
        <v>0</v>
      </c>
      <c r="W2679" s="51" t="b">
        <v>0</v>
      </c>
      <c r="X2679" s="51" t="b">
        <v>0</v>
      </c>
      <c r="Y2679" s="51" t="b">
        <v>0</v>
      </c>
      <c r="Z2679" s="51" t="b">
        <v>0</v>
      </c>
      <c r="AA2679" s="68"/>
      <c r="AB2679" s="52"/>
      <c r="AC2679" s="52"/>
      <c r="AD2679" s="52"/>
      <c r="AE2679" s="56" t="s">
        <v>607</v>
      </c>
      <c r="AF2679" s="56" t="s">
        <v>607</v>
      </c>
    </row>
    <row r="2680">
      <c r="A2680" s="52" t="s">
        <v>6206</v>
      </c>
      <c r="B2680" s="52" t="s">
        <v>607</v>
      </c>
      <c r="C2680" s="52" t="s">
        <v>607</v>
      </c>
      <c r="D2680" s="65" t="s">
        <v>607</v>
      </c>
      <c r="E2680" s="65" t="s">
        <v>607</v>
      </c>
      <c r="F2680" s="65" t="s">
        <v>607</v>
      </c>
      <c r="G2680" s="65" t="s">
        <v>607</v>
      </c>
      <c r="H2680" s="52" t="s">
        <v>607</v>
      </c>
      <c r="I2680" s="52" t="s">
        <v>607</v>
      </c>
      <c r="J2680" s="52" t="s">
        <v>607</v>
      </c>
      <c r="K2680" s="52" t="s">
        <v>607</v>
      </c>
      <c r="L2680" s="52" t="s">
        <v>607</v>
      </c>
      <c r="M2680" s="52" t="s">
        <v>607</v>
      </c>
      <c r="N2680" s="52" t="s">
        <v>607</v>
      </c>
      <c r="O2680" s="52"/>
      <c r="P2680" s="52"/>
      <c r="Q2680" s="52"/>
      <c r="R2680" s="51" t="b">
        <v>0</v>
      </c>
      <c r="S2680" s="51"/>
      <c r="T2680" s="52"/>
      <c r="U2680" s="51" t="b">
        <v>0</v>
      </c>
      <c r="V2680" s="51" t="b">
        <v>0</v>
      </c>
      <c r="W2680" s="51" t="b">
        <v>0</v>
      </c>
      <c r="X2680" s="51" t="b">
        <v>0</v>
      </c>
      <c r="Y2680" s="51" t="b">
        <v>0</v>
      </c>
      <c r="Z2680" s="51" t="b">
        <v>0</v>
      </c>
      <c r="AA2680" s="68"/>
      <c r="AB2680" s="52"/>
      <c r="AC2680" s="52"/>
      <c r="AD2680" s="52"/>
      <c r="AE2680" s="56" t="s">
        <v>607</v>
      </c>
      <c r="AF2680" s="56" t="s">
        <v>607</v>
      </c>
    </row>
    <row r="2681">
      <c r="A2681" s="52" t="s">
        <v>6209</v>
      </c>
      <c r="B2681" s="52" t="s">
        <v>607</v>
      </c>
      <c r="C2681" s="52" t="s">
        <v>607</v>
      </c>
      <c r="D2681" s="65" t="s">
        <v>607</v>
      </c>
      <c r="E2681" s="65" t="s">
        <v>607</v>
      </c>
      <c r="F2681" s="65" t="s">
        <v>607</v>
      </c>
      <c r="G2681" s="65" t="s">
        <v>607</v>
      </c>
      <c r="H2681" s="52" t="s">
        <v>607</v>
      </c>
      <c r="I2681" s="52" t="s">
        <v>607</v>
      </c>
      <c r="J2681" s="52" t="s">
        <v>607</v>
      </c>
      <c r="K2681" s="52" t="s">
        <v>607</v>
      </c>
      <c r="L2681" s="52" t="s">
        <v>607</v>
      </c>
      <c r="M2681" s="52" t="s">
        <v>607</v>
      </c>
      <c r="N2681" s="52" t="s">
        <v>607</v>
      </c>
      <c r="O2681" s="52"/>
      <c r="P2681" s="52"/>
      <c r="Q2681" s="52"/>
      <c r="R2681" s="51" t="b">
        <v>0</v>
      </c>
      <c r="S2681" s="51"/>
      <c r="T2681" s="52"/>
      <c r="U2681" s="51" t="b">
        <v>0</v>
      </c>
      <c r="V2681" s="51" t="b">
        <v>0</v>
      </c>
      <c r="W2681" s="51" t="b">
        <v>0</v>
      </c>
      <c r="X2681" s="51" t="b">
        <v>0</v>
      </c>
      <c r="Y2681" s="51" t="b">
        <v>0</v>
      </c>
      <c r="Z2681" s="51" t="b">
        <v>0</v>
      </c>
      <c r="AA2681" s="68"/>
      <c r="AB2681" s="52"/>
      <c r="AC2681" s="52"/>
      <c r="AD2681" s="52"/>
      <c r="AE2681" s="56" t="s">
        <v>607</v>
      </c>
      <c r="AF2681" s="56" t="s">
        <v>607</v>
      </c>
    </row>
    <row r="2682">
      <c r="A2682" s="52" t="s">
        <v>6210</v>
      </c>
      <c r="B2682" s="52" t="s">
        <v>607</v>
      </c>
      <c r="C2682" s="52" t="s">
        <v>607</v>
      </c>
      <c r="D2682" s="65" t="s">
        <v>607</v>
      </c>
      <c r="E2682" s="65" t="s">
        <v>607</v>
      </c>
      <c r="F2682" s="65" t="s">
        <v>607</v>
      </c>
      <c r="G2682" s="65" t="s">
        <v>607</v>
      </c>
      <c r="H2682" s="52" t="s">
        <v>607</v>
      </c>
      <c r="I2682" s="52" t="s">
        <v>607</v>
      </c>
      <c r="J2682" s="52" t="s">
        <v>607</v>
      </c>
      <c r="K2682" s="52" t="s">
        <v>607</v>
      </c>
      <c r="L2682" s="52" t="s">
        <v>607</v>
      </c>
      <c r="M2682" s="52" t="s">
        <v>607</v>
      </c>
      <c r="N2682" s="52" t="s">
        <v>607</v>
      </c>
      <c r="O2682" s="52"/>
      <c r="P2682" s="52"/>
      <c r="Q2682" s="52"/>
      <c r="R2682" s="51" t="b">
        <v>0</v>
      </c>
      <c r="S2682" s="51"/>
      <c r="T2682" s="52"/>
      <c r="U2682" s="51" t="b">
        <v>0</v>
      </c>
      <c r="V2682" s="51" t="b">
        <v>0</v>
      </c>
      <c r="W2682" s="51" t="b">
        <v>0</v>
      </c>
      <c r="X2682" s="51" t="b">
        <v>0</v>
      </c>
      <c r="Y2682" s="51" t="b">
        <v>0</v>
      </c>
      <c r="Z2682" s="51" t="b">
        <v>0</v>
      </c>
      <c r="AA2682" s="68"/>
      <c r="AB2682" s="52"/>
      <c r="AC2682" s="52"/>
      <c r="AD2682" s="52"/>
      <c r="AE2682" s="56" t="s">
        <v>607</v>
      </c>
      <c r="AF2682" s="56" t="s">
        <v>607</v>
      </c>
    </row>
    <row r="2683">
      <c r="A2683" s="52" t="s">
        <v>6211</v>
      </c>
      <c r="B2683" s="52" t="s">
        <v>607</v>
      </c>
      <c r="C2683" s="52" t="s">
        <v>607</v>
      </c>
      <c r="D2683" s="65" t="s">
        <v>607</v>
      </c>
      <c r="E2683" s="65" t="s">
        <v>607</v>
      </c>
      <c r="F2683" s="65" t="s">
        <v>607</v>
      </c>
      <c r="G2683" s="65" t="s">
        <v>607</v>
      </c>
      <c r="H2683" s="52" t="s">
        <v>607</v>
      </c>
      <c r="I2683" s="52" t="s">
        <v>607</v>
      </c>
      <c r="J2683" s="52" t="s">
        <v>607</v>
      </c>
      <c r="K2683" s="52" t="s">
        <v>607</v>
      </c>
      <c r="L2683" s="52" t="s">
        <v>607</v>
      </c>
      <c r="M2683" s="52" t="s">
        <v>607</v>
      </c>
      <c r="N2683" s="52" t="s">
        <v>607</v>
      </c>
      <c r="O2683" s="52"/>
      <c r="P2683" s="52"/>
      <c r="Q2683" s="52"/>
      <c r="R2683" s="51" t="b">
        <v>0</v>
      </c>
      <c r="S2683" s="51"/>
      <c r="T2683" s="52"/>
      <c r="U2683" s="51" t="b">
        <v>0</v>
      </c>
      <c r="V2683" s="51" t="b">
        <v>0</v>
      </c>
      <c r="W2683" s="51" t="b">
        <v>0</v>
      </c>
      <c r="X2683" s="51" t="b">
        <v>0</v>
      </c>
      <c r="Y2683" s="51" t="b">
        <v>0</v>
      </c>
      <c r="Z2683" s="51" t="b">
        <v>0</v>
      </c>
      <c r="AA2683" s="68"/>
      <c r="AB2683" s="52"/>
      <c r="AC2683" s="52"/>
      <c r="AD2683" s="52"/>
      <c r="AE2683" s="56" t="s">
        <v>607</v>
      </c>
      <c r="AF2683" s="56" t="s">
        <v>607</v>
      </c>
    </row>
    <row r="2684">
      <c r="A2684" s="52" t="s">
        <v>6212</v>
      </c>
      <c r="B2684" s="52" t="s">
        <v>607</v>
      </c>
      <c r="C2684" s="52" t="s">
        <v>607</v>
      </c>
      <c r="D2684" s="65" t="s">
        <v>607</v>
      </c>
      <c r="E2684" s="65" t="s">
        <v>607</v>
      </c>
      <c r="F2684" s="65" t="s">
        <v>607</v>
      </c>
      <c r="G2684" s="65" t="s">
        <v>607</v>
      </c>
      <c r="H2684" s="52" t="s">
        <v>607</v>
      </c>
      <c r="I2684" s="52" t="s">
        <v>607</v>
      </c>
      <c r="J2684" s="52" t="s">
        <v>607</v>
      </c>
      <c r="K2684" s="52" t="s">
        <v>607</v>
      </c>
      <c r="L2684" s="52" t="s">
        <v>607</v>
      </c>
      <c r="M2684" s="52" t="s">
        <v>607</v>
      </c>
      <c r="N2684" s="52" t="s">
        <v>607</v>
      </c>
      <c r="O2684" s="52"/>
      <c r="P2684" s="52"/>
      <c r="Q2684" s="52"/>
      <c r="R2684" s="51" t="b">
        <v>0</v>
      </c>
      <c r="S2684" s="51"/>
      <c r="T2684" s="52"/>
      <c r="U2684" s="51" t="b">
        <v>0</v>
      </c>
      <c r="V2684" s="51" t="b">
        <v>0</v>
      </c>
      <c r="W2684" s="51" t="b">
        <v>0</v>
      </c>
      <c r="X2684" s="51" t="b">
        <v>0</v>
      </c>
      <c r="Y2684" s="51" t="b">
        <v>0</v>
      </c>
      <c r="Z2684" s="51" t="b">
        <v>0</v>
      </c>
      <c r="AA2684" s="68"/>
      <c r="AB2684" s="52"/>
      <c r="AC2684" s="52"/>
      <c r="AD2684" s="52"/>
      <c r="AE2684" s="56" t="s">
        <v>607</v>
      </c>
      <c r="AF2684" s="56" t="s">
        <v>607</v>
      </c>
    </row>
    <row r="2685">
      <c r="A2685" s="52" t="s">
        <v>6215</v>
      </c>
      <c r="B2685" s="52" t="s">
        <v>607</v>
      </c>
      <c r="C2685" s="52" t="s">
        <v>607</v>
      </c>
      <c r="D2685" s="65" t="s">
        <v>607</v>
      </c>
      <c r="E2685" s="65" t="s">
        <v>607</v>
      </c>
      <c r="F2685" s="65" t="s">
        <v>607</v>
      </c>
      <c r="G2685" s="65" t="s">
        <v>607</v>
      </c>
      <c r="H2685" s="52" t="s">
        <v>607</v>
      </c>
      <c r="I2685" s="52" t="s">
        <v>607</v>
      </c>
      <c r="J2685" s="52" t="s">
        <v>607</v>
      </c>
      <c r="K2685" s="52" t="s">
        <v>607</v>
      </c>
      <c r="L2685" s="52" t="s">
        <v>607</v>
      </c>
      <c r="M2685" s="52" t="s">
        <v>607</v>
      </c>
      <c r="N2685" s="52" t="s">
        <v>607</v>
      </c>
      <c r="O2685" s="52"/>
      <c r="P2685" s="52"/>
      <c r="Q2685" s="52"/>
      <c r="R2685" s="51" t="b">
        <v>0</v>
      </c>
      <c r="S2685" s="51"/>
      <c r="T2685" s="52"/>
      <c r="U2685" s="51" t="b">
        <v>0</v>
      </c>
      <c r="V2685" s="51" t="b">
        <v>0</v>
      </c>
      <c r="W2685" s="51" t="b">
        <v>0</v>
      </c>
      <c r="X2685" s="51" t="b">
        <v>0</v>
      </c>
      <c r="Y2685" s="51" t="b">
        <v>0</v>
      </c>
      <c r="Z2685" s="51" t="b">
        <v>0</v>
      </c>
      <c r="AA2685" s="68"/>
      <c r="AB2685" s="52"/>
      <c r="AC2685" s="52"/>
      <c r="AD2685" s="52"/>
      <c r="AE2685" s="56" t="s">
        <v>607</v>
      </c>
      <c r="AF2685" s="56" t="s">
        <v>607</v>
      </c>
    </row>
    <row r="2686">
      <c r="A2686" s="52" t="s">
        <v>6216</v>
      </c>
      <c r="B2686" s="52" t="s">
        <v>607</v>
      </c>
      <c r="C2686" s="52" t="s">
        <v>607</v>
      </c>
      <c r="D2686" s="65" t="s">
        <v>607</v>
      </c>
      <c r="E2686" s="65" t="s">
        <v>607</v>
      </c>
      <c r="F2686" s="65" t="s">
        <v>607</v>
      </c>
      <c r="G2686" s="65" t="s">
        <v>607</v>
      </c>
      <c r="H2686" s="52" t="s">
        <v>607</v>
      </c>
      <c r="I2686" s="52" t="s">
        <v>607</v>
      </c>
      <c r="J2686" s="52" t="s">
        <v>607</v>
      </c>
      <c r="K2686" s="52" t="s">
        <v>607</v>
      </c>
      <c r="L2686" s="52" t="s">
        <v>607</v>
      </c>
      <c r="M2686" s="52" t="s">
        <v>607</v>
      </c>
      <c r="N2686" s="52" t="s">
        <v>607</v>
      </c>
      <c r="O2686" s="52"/>
      <c r="P2686" s="52"/>
      <c r="Q2686" s="52"/>
      <c r="R2686" s="51" t="b">
        <v>0</v>
      </c>
      <c r="S2686" s="51"/>
      <c r="T2686" s="52"/>
      <c r="U2686" s="51" t="b">
        <v>0</v>
      </c>
      <c r="V2686" s="51" t="b">
        <v>0</v>
      </c>
      <c r="W2686" s="51" t="b">
        <v>0</v>
      </c>
      <c r="X2686" s="51" t="b">
        <v>0</v>
      </c>
      <c r="Y2686" s="51" t="b">
        <v>0</v>
      </c>
      <c r="Z2686" s="51" t="b">
        <v>0</v>
      </c>
      <c r="AA2686" s="68"/>
      <c r="AB2686" s="52"/>
      <c r="AC2686" s="52"/>
      <c r="AD2686" s="52"/>
      <c r="AE2686" s="56" t="s">
        <v>607</v>
      </c>
      <c r="AF2686" s="56" t="s">
        <v>607</v>
      </c>
    </row>
    <row r="2687">
      <c r="A2687" s="52" t="s">
        <v>6218</v>
      </c>
      <c r="B2687" s="52" t="s">
        <v>607</v>
      </c>
      <c r="C2687" s="52" t="s">
        <v>607</v>
      </c>
      <c r="D2687" s="65" t="s">
        <v>607</v>
      </c>
      <c r="E2687" s="65" t="s">
        <v>607</v>
      </c>
      <c r="F2687" s="65" t="s">
        <v>607</v>
      </c>
      <c r="G2687" s="65" t="s">
        <v>607</v>
      </c>
      <c r="H2687" s="52" t="s">
        <v>607</v>
      </c>
      <c r="I2687" s="52" t="s">
        <v>607</v>
      </c>
      <c r="J2687" s="52" t="s">
        <v>607</v>
      </c>
      <c r="K2687" s="52" t="s">
        <v>607</v>
      </c>
      <c r="L2687" s="52" t="s">
        <v>607</v>
      </c>
      <c r="M2687" s="52" t="s">
        <v>607</v>
      </c>
      <c r="N2687" s="52" t="s">
        <v>607</v>
      </c>
      <c r="O2687" s="52"/>
      <c r="P2687" s="52"/>
      <c r="Q2687" s="52"/>
      <c r="R2687" s="51" t="b">
        <v>0</v>
      </c>
      <c r="S2687" s="51"/>
      <c r="T2687" s="52"/>
      <c r="U2687" s="51" t="b">
        <v>0</v>
      </c>
      <c r="V2687" s="51" t="b">
        <v>0</v>
      </c>
      <c r="W2687" s="51" t="b">
        <v>0</v>
      </c>
      <c r="X2687" s="51" t="b">
        <v>0</v>
      </c>
      <c r="Y2687" s="51" t="b">
        <v>0</v>
      </c>
      <c r="Z2687" s="51" t="b">
        <v>0</v>
      </c>
      <c r="AA2687" s="68"/>
      <c r="AB2687" s="52"/>
      <c r="AC2687" s="52"/>
      <c r="AD2687" s="52"/>
      <c r="AE2687" s="56" t="s">
        <v>607</v>
      </c>
      <c r="AF2687" s="56" t="s">
        <v>607</v>
      </c>
    </row>
    <row r="2688">
      <c r="A2688" s="52" t="s">
        <v>6219</v>
      </c>
      <c r="B2688" s="52" t="s">
        <v>607</v>
      </c>
      <c r="C2688" s="52" t="s">
        <v>607</v>
      </c>
      <c r="D2688" s="65" t="s">
        <v>607</v>
      </c>
      <c r="E2688" s="65" t="s">
        <v>607</v>
      </c>
      <c r="F2688" s="65" t="s">
        <v>607</v>
      </c>
      <c r="G2688" s="65" t="s">
        <v>607</v>
      </c>
      <c r="H2688" s="52" t="s">
        <v>607</v>
      </c>
      <c r="I2688" s="52" t="s">
        <v>607</v>
      </c>
      <c r="J2688" s="52" t="s">
        <v>607</v>
      </c>
      <c r="K2688" s="52" t="s">
        <v>607</v>
      </c>
      <c r="L2688" s="52" t="s">
        <v>607</v>
      </c>
      <c r="M2688" s="52" t="s">
        <v>607</v>
      </c>
      <c r="N2688" s="52" t="s">
        <v>607</v>
      </c>
      <c r="O2688" s="52"/>
      <c r="P2688" s="52"/>
      <c r="Q2688" s="52"/>
      <c r="R2688" s="51" t="b">
        <v>0</v>
      </c>
      <c r="S2688" s="51"/>
      <c r="T2688" s="52"/>
      <c r="U2688" s="51" t="b">
        <v>0</v>
      </c>
      <c r="V2688" s="51" t="b">
        <v>0</v>
      </c>
      <c r="W2688" s="51" t="b">
        <v>0</v>
      </c>
      <c r="X2688" s="51" t="b">
        <v>0</v>
      </c>
      <c r="Y2688" s="51" t="b">
        <v>0</v>
      </c>
      <c r="Z2688" s="51" t="b">
        <v>0</v>
      </c>
      <c r="AA2688" s="68"/>
      <c r="AB2688" s="52"/>
      <c r="AC2688" s="52"/>
      <c r="AD2688" s="52"/>
      <c r="AE2688" s="56" t="s">
        <v>607</v>
      </c>
      <c r="AF2688" s="56" t="s">
        <v>607</v>
      </c>
    </row>
    <row r="2689">
      <c r="A2689" s="52" t="s">
        <v>6220</v>
      </c>
      <c r="B2689" s="52" t="s">
        <v>607</v>
      </c>
      <c r="C2689" s="52" t="s">
        <v>607</v>
      </c>
      <c r="D2689" s="65" t="s">
        <v>607</v>
      </c>
      <c r="E2689" s="65" t="s">
        <v>607</v>
      </c>
      <c r="F2689" s="65" t="s">
        <v>607</v>
      </c>
      <c r="G2689" s="65" t="s">
        <v>607</v>
      </c>
      <c r="H2689" s="52" t="s">
        <v>607</v>
      </c>
      <c r="I2689" s="52" t="s">
        <v>607</v>
      </c>
      <c r="J2689" s="52" t="s">
        <v>607</v>
      </c>
      <c r="K2689" s="52" t="s">
        <v>607</v>
      </c>
      <c r="L2689" s="52" t="s">
        <v>607</v>
      </c>
      <c r="M2689" s="52" t="s">
        <v>607</v>
      </c>
      <c r="N2689" s="52" t="s">
        <v>607</v>
      </c>
      <c r="O2689" s="52"/>
      <c r="P2689" s="52"/>
      <c r="Q2689" s="52"/>
      <c r="R2689" s="51" t="b">
        <v>0</v>
      </c>
      <c r="S2689" s="51"/>
      <c r="T2689" s="52"/>
      <c r="U2689" s="51" t="b">
        <v>0</v>
      </c>
      <c r="V2689" s="51" t="b">
        <v>0</v>
      </c>
      <c r="W2689" s="51" t="b">
        <v>0</v>
      </c>
      <c r="X2689" s="51" t="b">
        <v>0</v>
      </c>
      <c r="Y2689" s="51" t="b">
        <v>0</v>
      </c>
      <c r="Z2689" s="51" t="b">
        <v>0</v>
      </c>
      <c r="AA2689" s="68"/>
      <c r="AB2689" s="52"/>
      <c r="AC2689" s="52"/>
      <c r="AD2689" s="52"/>
      <c r="AE2689" s="56" t="s">
        <v>607</v>
      </c>
      <c r="AF2689" s="56" t="s">
        <v>607</v>
      </c>
    </row>
    <row r="2690">
      <c r="A2690" s="52" t="s">
        <v>6224</v>
      </c>
      <c r="B2690" s="52" t="s">
        <v>607</v>
      </c>
      <c r="C2690" s="52" t="s">
        <v>607</v>
      </c>
      <c r="D2690" s="65" t="s">
        <v>607</v>
      </c>
      <c r="E2690" s="65" t="s">
        <v>607</v>
      </c>
      <c r="F2690" s="65" t="s">
        <v>607</v>
      </c>
      <c r="G2690" s="65" t="s">
        <v>607</v>
      </c>
      <c r="H2690" s="52" t="s">
        <v>607</v>
      </c>
      <c r="I2690" s="52" t="s">
        <v>607</v>
      </c>
      <c r="J2690" s="52" t="s">
        <v>607</v>
      </c>
      <c r="K2690" s="52" t="s">
        <v>607</v>
      </c>
      <c r="L2690" s="52" t="s">
        <v>607</v>
      </c>
      <c r="M2690" s="52" t="s">
        <v>607</v>
      </c>
      <c r="N2690" s="52" t="s">
        <v>607</v>
      </c>
      <c r="O2690" s="52"/>
      <c r="P2690" s="52"/>
      <c r="Q2690" s="52"/>
      <c r="R2690" s="51" t="b">
        <v>0</v>
      </c>
      <c r="S2690" s="51"/>
      <c r="T2690" s="52"/>
      <c r="U2690" s="51" t="b">
        <v>0</v>
      </c>
      <c r="V2690" s="51" t="b">
        <v>0</v>
      </c>
      <c r="W2690" s="51" t="b">
        <v>0</v>
      </c>
      <c r="X2690" s="51" t="b">
        <v>0</v>
      </c>
      <c r="Y2690" s="51" t="b">
        <v>0</v>
      </c>
      <c r="Z2690" s="51" t="b">
        <v>0</v>
      </c>
      <c r="AA2690" s="68"/>
      <c r="AB2690" s="52"/>
      <c r="AC2690" s="52"/>
      <c r="AD2690" s="52"/>
      <c r="AE2690" s="56" t="s">
        <v>607</v>
      </c>
      <c r="AF2690" s="56" t="s">
        <v>607</v>
      </c>
    </row>
    <row r="2691">
      <c r="A2691" s="52" t="s">
        <v>6225</v>
      </c>
      <c r="B2691" s="52" t="s">
        <v>607</v>
      </c>
      <c r="C2691" s="52" t="s">
        <v>607</v>
      </c>
      <c r="D2691" s="65" t="s">
        <v>607</v>
      </c>
      <c r="E2691" s="65" t="s">
        <v>607</v>
      </c>
      <c r="F2691" s="65" t="s">
        <v>607</v>
      </c>
      <c r="G2691" s="65" t="s">
        <v>607</v>
      </c>
      <c r="H2691" s="52" t="s">
        <v>607</v>
      </c>
      <c r="I2691" s="52" t="s">
        <v>607</v>
      </c>
      <c r="J2691" s="52" t="s">
        <v>607</v>
      </c>
      <c r="K2691" s="52" t="s">
        <v>607</v>
      </c>
      <c r="L2691" s="52" t="s">
        <v>607</v>
      </c>
      <c r="M2691" s="52" t="s">
        <v>607</v>
      </c>
      <c r="N2691" s="52" t="s">
        <v>607</v>
      </c>
      <c r="O2691" s="52"/>
      <c r="P2691" s="52"/>
      <c r="Q2691" s="52"/>
      <c r="R2691" s="51" t="b">
        <v>0</v>
      </c>
      <c r="S2691" s="51"/>
      <c r="T2691" s="52"/>
      <c r="U2691" s="51" t="b">
        <v>0</v>
      </c>
      <c r="V2691" s="51" t="b">
        <v>0</v>
      </c>
      <c r="W2691" s="51" t="b">
        <v>0</v>
      </c>
      <c r="X2691" s="51" t="b">
        <v>0</v>
      </c>
      <c r="Y2691" s="51" t="b">
        <v>0</v>
      </c>
      <c r="Z2691" s="51" t="b">
        <v>0</v>
      </c>
      <c r="AA2691" s="68"/>
      <c r="AB2691" s="52"/>
      <c r="AC2691" s="52"/>
      <c r="AD2691" s="52"/>
      <c r="AE2691" s="56" t="s">
        <v>607</v>
      </c>
      <c r="AF2691" s="56" t="s">
        <v>607</v>
      </c>
    </row>
    <row r="2692">
      <c r="A2692" s="52" t="s">
        <v>6226</v>
      </c>
      <c r="B2692" s="52" t="s">
        <v>607</v>
      </c>
      <c r="C2692" s="52" t="s">
        <v>607</v>
      </c>
      <c r="D2692" s="65" t="s">
        <v>607</v>
      </c>
      <c r="E2692" s="65" t="s">
        <v>607</v>
      </c>
      <c r="F2692" s="65" t="s">
        <v>607</v>
      </c>
      <c r="G2692" s="65" t="s">
        <v>607</v>
      </c>
      <c r="H2692" s="52" t="s">
        <v>607</v>
      </c>
      <c r="I2692" s="52" t="s">
        <v>607</v>
      </c>
      <c r="J2692" s="52" t="s">
        <v>607</v>
      </c>
      <c r="K2692" s="52" t="s">
        <v>607</v>
      </c>
      <c r="L2692" s="52" t="s">
        <v>607</v>
      </c>
      <c r="M2692" s="52" t="s">
        <v>607</v>
      </c>
      <c r="N2692" s="52" t="s">
        <v>607</v>
      </c>
      <c r="O2692" s="52"/>
      <c r="P2692" s="52"/>
      <c r="Q2692" s="52"/>
      <c r="R2692" s="51" t="b">
        <v>0</v>
      </c>
      <c r="S2692" s="51"/>
      <c r="T2692" s="52"/>
      <c r="U2692" s="51" t="b">
        <v>0</v>
      </c>
      <c r="V2692" s="51" t="b">
        <v>0</v>
      </c>
      <c r="W2692" s="51" t="b">
        <v>0</v>
      </c>
      <c r="X2692" s="51" t="b">
        <v>0</v>
      </c>
      <c r="Y2692" s="51" t="b">
        <v>0</v>
      </c>
      <c r="Z2692" s="51" t="b">
        <v>0</v>
      </c>
      <c r="AA2692" s="68"/>
      <c r="AB2692" s="52"/>
      <c r="AC2692" s="52"/>
      <c r="AD2692" s="52"/>
      <c r="AE2692" s="56" t="s">
        <v>607</v>
      </c>
      <c r="AF2692" s="56" t="s">
        <v>607</v>
      </c>
    </row>
    <row r="2693">
      <c r="A2693" s="52" t="s">
        <v>6230</v>
      </c>
      <c r="B2693" s="52" t="s">
        <v>607</v>
      </c>
      <c r="C2693" s="52" t="s">
        <v>607</v>
      </c>
      <c r="D2693" s="65" t="s">
        <v>607</v>
      </c>
      <c r="E2693" s="65" t="s">
        <v>607</v>
      </c>
      <c r="F2693" s="65" t="s">
        <v>607</v>
      </c>
      <c r="G2693" s="65" t="s">
        <v>607</v>
      </c>
      <c r="H2693" s="52" t="s">
        <v>607</v>
      </c>
      <c r="I2693" s="52" t="s">
        <v>607</v>
      </c>
      <c r="J2693" s="52" t="s">
        <v>607</v>
      </c>
      <c r="K2693" s="52" t="s">
        <v>607</v>
      </c>
      <c r="L2693" s="52" t="s">
        <v>607</v>
      </c>
      <c r="M2693" s="52" t="s">
        <v>607</v>
      </c>
      <c r="N2693" s="52" t="s">
        <v>607</v>
      </c>
      <c r="O2693" s="52"/>
      <c r="P2693" s="52"/>
      <c r="Q2693" s="52"/>
      <c r="R2693" s="51" t="b">
        <v>0</v>
      </c>
      <c r="S2693" s="51"/>
      <c r="T2693" s="52"/>
      <c r="U2693" s="51" t="b">
        <v>0</v>
      </c>
      <c r="V2693" s="51" t="b">
        <v>0</v>
      </c>
      <c r="W2693" s="51" t="b">
        <v>0</v>
      </c>
      <c r="X2693" s="51" t="b">
        <v>0</v>
      </c>
      <c r="Y2693" s="51" t="b">
        <v>0</v>
      </c>
      <c r="Z2693" s="51" t="b">
        <v>0</v>
      </c>
      <c r="AA2693" s="68"/>
      <c r="AB2693" s="52"/>
      <c r="AC2693" s="52"/>
      <c r="AD2693" s="52"/>
      <c r="AE2693" s="56" t="s">
        <v>607</v>
      </c>
      <c r="AF2693" s="56" t="s">
        <v>607</v>
      </c>
    </row>
    <row r="2694">
      <c r="A2694" s="52" t="s">
        <v>6231</v>
      </c>
      <c r="B2694" s="52" t="s">
        <v>607</v>
      </c>
      <c r="C2694" s="52" t="s">
        <v>607</v>
      </c>
      <c r="D2694" s="65" t="s">
        <v>607</v>
      </c>
      <c r="E2694" s="65" t="s">
        <v>607</v>
      </c>
      <c r="F2694" s="65" t="s">
        <v>607</v>
      </c>
      <c r="G2694" s="65" t="s">
        <v>607</v>
      </c>
      <c r="H2694" s="52" t="s">
        <v>607</v>
      </c>
      <c r="I2694" s="52" t="s">
        <v>607</v>
      </c>
      <c r="J2694" s="52" t="s">
        <v>607</v>
      </c>
      <c r="K2694" s="52" t="s">
        <v>607</v>
      </c>
      <c r="L2694" s="52" t="s">
        <v>607</v>
      </c>
      <c r="M2694" s="52" t="s">
        <v>607</v>
      </c>
      <c r="N2694" s="52" t="s">
        <v>607</v>
      </c>
      <c r="O2694" s="52"/>
      <c r="P2694" s="52"/>
      <c r="Q2694" s="52"/>
      <c r="R2694" s="51" t="b">
        <v>0</v>
      </c>
      <c r="S2694" s="51"/>
      <c r="T2694" s="52"/>
      <c r="U2694" s="51" t="b">
        <v>0</v>
      </c>
      <c r="V2694" s="51" t="b">
        <v>0</v>
      </c>
      <c r="W2694" s="51" t="b">
        <v>0</v>
      </c>
      <c r="X2694" s="51" t="b">
        <v>0</v>
      </c>
      <c r="Y2694" s="51" t="b">
        <v>0</v>
      </c>
      <c r="Z2694" s="51" t="b">
        <v>0</v>
      </c>
      <c r="AA2694" s="68"/>
      <c r="AB2694" s="52"/>
      <c r="AC2694" s="52"/>
      <c r="AD2694" s="52"/>
      <c r="AE2694" s="56" t="s">
        <v>607</v>
      </c>
      <c r="AF2694" s="56" t="s">
        <v>607</v>
      </c>
    </row>
    <row r="2695">
      <c r="A2695" s="52" t="s">
        <v>6232</v>
      </c>
      <c r="B2695" s="52" t="s">
        <v>607</v>
      </c>
      <c r="C2695" s="52" t="s">
        <v>607</v>
      </c>
      <c r="D2695" s="65" t="s">
        <v>607</v>
      </c>
      <c r="E2695" s="65" t="s">
        <v>607</v>
      </c>
      <c r="F2695" s="65" t="s">
        <v>607</v>
      </c>
      <c r="G2695" s="65" t="s">
        <v>607</v>
      </c>
      <c r="H2695" s="52" t="s">
        <v>607</v>
      </c>
      <c r="I2695" s="52" t="s">
        <v>607</v>
      </c>
      <c r="J2695" s="52" t="s">
        <v>607</v>
      </c>
      <c r="K2695" s="52" t="s">
        <v>607</v>
      </c>
      <c r="L2695" s="52" t="s">
        <v>607</v>
      </c>
      <c r="M2695" s="52" t="s">
        <v>607</v>
      </c>
      <c r="N2695" s="52" t="s">
        <v>607</v>
      </c>
      <c r="O2695" s="52"/>
      <c r="P2695" s="52"/>
      <c r="Q2695" s="52"/>
      <c r="R2695" s="51" t="b">
        <v>0</v>
      </c>
      <c r="S2695" s="51"/>
      <c r="T2695" s="52"/>
      <c r="U2695" s="51" t="b">
        <v>0</v>
      </c>
      <c r="V2695" s="51" t="b">
        <v>0</v>
      </c>
      <c r="W2695" s="51" t="b">
        <v>0</v>
      </c>
      <c r="X2695" s="51" t="b">
        <v>0</v>
      </c>
      <c r="Y2695" s="51" t="b">
        <v>0</v>
      </c>
      <c r="Z2695" s="51" t="b">
        <v>0</v>
      </c>
      <c r="AA2695" s="68"/>
      <c r="AB2695" s="52"/>
      <c r="AC2695" s="52"/>
      <c r="AD2695" s="52"/>
      <c r="AE2695" s="56" t="s">
        <v>607</v>
      </c>
      <c r="AF2695" s="56" t="s">
        <v>607</v>
      </c>
    </row>
    <row r="2696">
      <c r="A2696" s="52" t="s">
        <v>6233</v>
      </c>
      <c r="B2696" s="52" t="s">
        <v>607</v>
      </c>
      <c r="C2696" s="52" t="s">
        <v>607</v>
      </c>
      <c r="D2696" s="65" t="s">
        <v>607</v>
      </c>
      <c r="E2696" s="65" t="s">
        <v>607</v>
      </c>
      <c r="F2696" s="65" t="s">
        <v>607</v>
      </c>
      <c r="G2696" s="65" t="s">
        <v>607</v>
      </c>
      <c r="H2696" s="52" t="s">
        <v>607</v>
      </c>
      <c r="I2696" s="52" t="s">
        <v>607</v>
      </c>
      <c r="J2696" s="52" t="s">
        <v>607</v>
      </c>
      <c r="K2696" s="52" t="s">
        <v>607</v>
      </c>
      <c r="L2696" s="52" t="s">
        <v>607</v>
      </c>
      <c r="M2696" s="52" t="s">
        <v>607</v>
      </c>
      <c r="N2696" s="52" t="s">
        <v>607</v>
      </c>
      <c r="O2696" s="52"/>
      <c r="P2696" s="52"/>
      <c r="Q2696" s="52"/>
      <c r="R2696" s="51" t="b">
        <v>0</v>
      </c>
      <c r="S2696" s="51"/>
      <c r="T2696" s="52"/>
      <c r="U2696" s="51" t="b">
        <v>0</v>
      </c>
      <c r="V2696" s="51" t="b">
        <v>0</v>
      </c>
      <c r="W2696" s="51" t="b">
        <v>0</v>
      </c>
      <c r="X2696" s="51" t="b">
        <v>0</v>
      </c>
      <c r="Y2696" s="51" t="b">
        <v>0</v>
      </c>
      <c r="Z2696" s="51" t="b">
        <v>0</v>
      </c>
      <c r="AA2696" s="68"/>
      <c r="AB2696" s="52"/>
      <c r="AC2696" s="52"/>
      <c r="AD2696" s="52"/>
      <c r="AE2696" s="56" t="s">
        <v>607</v>
      </c>
      <c r="AF2696" s="56" t="s">
        <v>607</v>
      </c>
    </row>
    <row r="2697">
      <c r="A2697" s="52" t="s">
        <v>6237</v>
      </c>
      <c r="B2697" s="52" t="s">
        <v>607</v>
      </c>
      <c r="C2697" s="52" t="s">
        <v>607</v>
      </c>
      <c r="D2697" s="65" t="s">
        <v>607</v>
      </c>
      <c r="E2697" s="65" t="s">
        <v>607</v>
      </c>
      <c r="F2697" s="65" t="s">
        <v>607</v>
      </c>
      <c r="G2697" s="65" t="s">
        <v>607</v>
      </c>
      <c r="H2697" s="52" t="s">
        <v>607</v>
      </c>
      <c r="I2697" s="52" t="s">
        <v>607</v>
      </c>
      <c r="J2697" s="52" t="s">
        <v>607</v>
      </c>
      <c r="K2697" s="52" t="s">
        <v>607</v>
      </c>
      <c r="L2697" s="52" t="s">
        <v>607</v>
      </c>
      <c r="M2697" s="52" t="s">
        <v>607</v>
      </c>
      <c r="N2697" s="52" t="s">
        <v>607</v>
      </c>
      <c r="O2697" s="52"/>
      <c r="P2697" s="52"/>
      <c r="Q2697" s="52"/>
      <c r="R2697" s="51" t="b">
        <v>0</v>
      </c>
      <c r="S2697" s="51"/>
      <c r="T2697" s="52"/>
      <c r="U2697" s="51" t="b">
        <v>0</v>
      </c>
      <c r="V2697" s="51" t="b">
        <v>0</v>
      </c>
      <c r="W2697" s="51" t="b">
        <v>0</v>
      </c>
      <c r="X2697" s="51" t="b">
        <v>0</v>
      </c>
      <c r="Y2697" s="51" t="b">
        <v>0</v>
      </c>
      <c r="Z2697" s="51" t="b">
        <v>0</v>
      </c>
      <c r="AA2697" s="68"/>
      <c r="AB2697" s="52"/>
      <c r="AC2697" s="52"/>
      <c r="AD2697" s="52"/>
      <c r="AE2697" s="56" t="s">
        <v>607</v>
      </c>
      <c r="AF2697" s="56" t="s">
        <v>607</v>
      </c>
    </row>
    <row r="2698">
      <c r="A2698" s="52" t="s">
        <v>6238</v>
      </c>
      <c r="B2698" s="52" t="s">
        <v>607</v>
      </c>
      <c r="C2698" s="52" t="s">
        <v>607</v>
      </c>
      <c r="D2698" s="65" t="s">
        <v>607</v>
      </c>
      <c r="E2698" s="65" t="s">
        <v>607</v>
      </c>
      <c r="F2698" s="65" t="s">
        <v>607</v>
      </c>
      <c r="G2698" s="65" t="s">
        <v>607</v>
      </c>
      <c r="H2698" s="52" t="s">
        <v>607</v>
      </c>
      <c r="I2698" s="52" t="s">
        <v>607</v>
      </c>
      <c r="J2698" s="52" t="s">
        <v>607</v>
      </c>
      <c r="K2698" s="52" t="s">
        <v>607</v>
      </c>
      <c r="L2698" s="52" t="s">
        <v>607</v>
      </c>
      <c r="M2698" s="52" t="s">
        <v>607</v>
      </c>
      <c r="N2698" s="52" t="s">
        <v>607</v>
      </c>
      <c r="O2698" s="52"/>
      <c r="P2698" s="52"/>
      <c r="Q2698" s="52"/>
      <c r="R2698" s="51" t="b">
        <v>0</v>
      </c>
      <c r="S2698" s="51"/>
      <c r="T2698" s="52"/>
      <c r="U2698" s="51" t="b">
        <v>0</v>
      </c>
      <c r="V2698" s="51" t="b">
        <v>0</v>
      </c>
      <c r="W2698" s="51" t="b">
        <v>0</v>
      </c>
      <c r="X2698" s="51" t="b">
        <v>0</v>
      </c>
      <c r="Y2698" s="51" t="b">
        <v>0</v>
      </c>
      <c r="Z2698" s="51" t="b">
        <v>0</v>
      </c>
      <c r="AA2698" s="68"/>
      <c r="AB2698" s="52"/>
      <c r="AC2698" s="52"/>
      <c r="AD2698" s="52"/>
      <c r="AE2698" s="56" t="s">
        <v>607</v>
      </c>
      <c r="AF2698" s="56" t="s">
        <v>607</v>
      </c>
    </row>
    <row r="2699">
      <c r="A2699" s="52" t="s">
        <v>6239</v>
      </c>
      <c r="B2699" s="52" t="s">
        <v>607</v>
      </c>
      <c r="C2699" s="52" t="s">
        <v>607</v>
      </c>
      <c r="D2699" s="65" t="s">
        <v>607</v>
      </c>
      <c r="E2699" s="65" t="s">
        <v>607</v>
      </c>
      <c r="F2699" s="65" t="s">
        <v>607</v>
      </c>
      <c r="G2699" s="65" t="s">
        <v>607</v>
      </c>
      <c r="H2699" s="52" t="s">
        <v>607</v>
      </c>
      <c r="I2699" s="52" t="s">
        <v>607</v>
      </c>
      <c r="J2699" s="52" t="s">
        <v>607</v>
      </c>
      <c r="K2699" s="52" t="s">
        <v>607</v>
      </c>
      <c r="L2699" s="52" t="s">
        <v>607</v>
      </c>
      <c r="M2699" s="52" t="s">
        <v>607</v>
      </c>
      <c r="N2699" s="52" t="s">
        <v>607</v>
      </c>
      <c r="O2699" s="52"/>
      <c r="P2699" s="52"/>
      <c r="Q2699" s="52"/>
      <c r="R2699" s="51" t="b">
        <v>0</v>
      </c>
      <c r="S2699" s="51"/>
      <c r="T2699" s="52"/>
      <c r="U2699" s="51" t="b">
        <v>0</v>
      </c>
      <c r="V2699" s="51" t="b">
        <v>0</v>
      </c>
      <c r="W2699" s="51" t="b">
        <v>0</v>
      </c>
      <c r="X2699" s="51" t="b">
        <v>0</v>
      </c>
      <c r="Y2699" s="51" t="b">
        <v>0</v>
      </c>
      <c r="Z2699" s="51" t="b">
        <v>0</v>
      </c>
      <c r="AA2699" s="68"/>
      <c r="AB2699" s="52"/>
      <c r="AC2699" s="52"/>
      <c r="AD2699" s="52"/>
      <c r="AE2699" s="56" t="s">
        <v>607</v>
      </c>
      <c r="AF2699" s="56" t="s">
        <v>607</v>
      </c>
    </row>
    <row r="2700">
      <c r="A2700" s="52" t="s">
        <v>6240</v>
      </c>
      <c r="B2700" s="52" t="s">
        <v>607</v>
      </c>
      <c r="C2700" s="52" t="s">
        <v>607</v>
      </c>
      <c r="D2700" s="65" t="s">
        <v>607</v>
      </c>
      <c r="E2700" s="65" t="s">
        <v>607</v>
      </c>
      <c r="F2700" s="65" t="s">
        <v>607</v>
      </c>
      <c r="G2700" s="65" t="s">
        <v>607</v>
      </c>
      <c r="H2700" s="52" t="s">
        <v>607</v>
      </c>
      <c r="I2700" s="52" t="s">
        <v>607</v>
      </c>
      <c r="J2700" s="52" t="s">
        <v>607</v>
      </c>
      <c r="K2700" s="52" t="s">
        <v>607</v>
      </c>
      <c r="L2700" s="52" t="s">
        <v>607</v>
      </c>
      <c r="M2700" s="52" t="s">
        <v>607</v>
      </c>
      <c r="N2700" s="52" t="s">
        <v>607</v>
      </c>
      <c r="O2700" s="52"/>
      <c r="P2700" s="52"/>
      <c r="Q2700" s="52"/>
      <c r="R2700" s="51" t="b">
        <v>0</v>
      </c>
      <c r="S2700" s="51"/>
      <c r="T2700" s="52"/>
      <c r="U2700" s="51" t="b">
        <v>0</v>
      </c>
      <c r="V2700" s="51" t="b">
        <v>0</v>
      </c>
      <c r="W2700" s="51" t="b">
        <v>0</v>
      </c>
      <c r="X2700" s="51" t="b">
        <v>0</v>
      </c>
      <c r="Y2700" s="51" t="b">
        <v>0</v>
      </c>
      <c r="Z2700" s="51" t="b">
        <v>0</v>
      </c>
      <c r="AA2700" s="68"/>
      <c r="AB2700" s="52"/>
      <c r="AC2700" s="52"/>
      <c r="AD2700" s="52"/>
      <c r="AE2700" s="56" t="s">
        <v>607</v>
      </c>
      <c r="AF2700" s="56" t="s">
        <v>607</v>
      </c>
    </row>
    <row r="2701">
      <c r="A2701" s="52" t="s">
        <v>6241</v>
      </c>
      <c r="B2701" s="52" t="s">
        <v>607</v>
      </c>
      <c r="C2701" s="52" t="s">
        <v>607</v>
      </c>
      <c r="D2701" s="65" t="s">
        <v>607</v>
      </c>
      <c r="E2701" s="65" t="s">
        <v>607</v>
      </c>
      <c r="F2701" s="65" t="s">
        <v>607</v>
      </c>
      <c r="G2701" s="65" t="s">
        <v>607</v>
      </c>
      <c r="H2701" s="52" t="s">
        <v>607</v>
      </c>
      <c r="I2701" s="52" t="s">
        <v>607</v>
      </c>
      <c r="J2701" s="52" t="s">
        <v>607</v>
      </c>
      <c r="K2701" s="52" t="s">
        <v>607</v>
      </c>
      <c r="L2701" s="52" t="s">
        <v>607</v>
      </c>
      <c r="M2701" s="52" t="s">
        <v>607</v>
      </c>
      <c r="N2701" s="52" t="s">
        <v>607</v>
      </c>
      <c r="O2701" s="52"/>
      <c r="P2701" s="52"/>
      <c r="Q2701" s="52"/>
      <c r="R2701" s="51" t="b">
        <v>0</v>
      </c>
      <c r="S2701" s="51"/>
      <c r="T2701" s="52"/>
      <c r="U2701" s="51" t="b">
        <v>0</v>
      </c>
      <c r="V2701" s="51" t="b">
        <v>0</v>
      </c>
      <c r="W2701" s="51" t="b">
        <v>0</v>
      </c>
      <c r="X2701" s="51" t="b">
        <v>0</v>
      </c>
      <c r="Y2701" s="51" t="b">
        <v>0</v>
      </c>
      <c r="Z2701" s="51" t="b">
        <v>0</v>
      </c>
      <c r="AA2701" s="68"/>
      <c r="AB2701" s="52"/>
      <c r="AC2701" s="52"/>
      <c r="AD2701" s="52"/>
      <c r="AE2701" s="56" t="s">
        <v>607</v>
      </c>
      <c r="AF2701" s="56" t="s">
        <v>607</v>
      </c>
    </row>
    <row r="2702">
      <c r="A2702" s="52" t="s">
        <v>6242</v>
      </c>
      <c r="B2702" s="52" t="s">
        <v>607</v>
      </c>
      <c r="C2702" s="52" t="s">
        <v>607</v>
      </c>
      <c r="D2702" s="65" t="s">
        <v>607</v>
      </c>
      <c r="E2702" s="65" t="s">
        <v>607</v>
      </c>
      <c r="F2702" s="65" t="s">
        <v>607</v>
      </c>
      <c r="G2702" s="65" t="s">
        <v>607</v>
      </c>
      <c r="H2702" s="52" t="s">
        <v>607</v>
      </c>
      <c r="I2702" s="52" t="s">
        <v>607</v>
      </c>
      <c r="J2702" s="52" t="s">
        <v>607</v>
      </c>
      <c r="K2702" s="52" t="s">
        <v>607</v>
      </c>
      <c r="L2702" s="52" t="s">
        <v>607</v>
      </c>
      <c r="M2702" s="52" t="s">
        <v>607</v>
      </c>
      <c r="N2702" s="52" t="s">
        <v>607</v>
      </c>
      <c r="O2702" s="52"/>
      <c r="P2702" s="52"/>
      <c r="Q2702" s="52"/>
      <c r="R2702" s="51" t="b">
        <v>0</v>
      </c>
      <c r="S2702" s="51"/>
      <c r="T2702" s="52"/>
      <c r="U2702" s="51" t="b">
        <v>0</v>
      </c>
      <c r="V2702" s="51" t="b">
        <v>0</v>
      </c>
      <c r="W2702" s="51" t="b">
        <v>0</v>
      </c>
      <c r="X2702" s="51" t="b">
        <v>0</v>
      </c>
      <c r="Y2702" s="51" t="b">
        <v>0</v>
      </c>
      <c r="Z2702" s="51" t="b">
        <v>0</v>
      </c>
      <c r="AA2702" s="68"/>
      <c r="AB2702" s="52"/>
      <c r="AC2702" s="52"/>
      <c r="AD2702" s="52"/>
      <c r="AE2702" s="56" t="s">
        <v>607</v>
      </c>
      <c r="AF2702" s="56" t="s">
        <v>607</v>
      </c>
    </row>
    <row r="2703">
      <c r="A2703" s="52" t="s">
        <v>6243</v>
      </c>
      <c r="B2703" s="52" t="s">
        <v>607</v>
      </c>
      <c r="C2703" s="52" t="s">
        <v>607</v>
      </c>
      <c r="D2703" s="65" t="s">
        <v>607</v>
      </c>
      <c r="E2703" s="65" t="s">
        <v>607</v>
      </c>
      <c r="F2703" s="65" t="s">
        <v>607</v>
      </c>
      <c r="G2703" s="65" t="s">
        <v>607</v>
      </c>
      <c r="H2703" s="52" t="s">
        <v>607</v>
      </c>
      <c r="I2703" s="52" t="s">
        <v>607</v>
      </c>
      <c r="J2703" s="52" t="s">
        <v>607</v>
      </c>
      <c r="K2703" s="52" t="s">
        <v>607</v>
      </c>
      <c r="L2703" s="52" t="s">
        <v>607</v>
      </c>
      <c r="M2703" s="52" t="s">
        <v>607</v>
      </c>
      <c r="N2703" s="52" t="s">
        <v>607</v>
      </c>
      <c r="O2703" s="52"/>
      <c r="P2703" s="52"/>
      <c r="Q2703" s="52"/>
      <c r="R2703" s="51" t="b">
        <v>0</v>
      </c>
      <c r="S2703" s="51"/>
      <c r="T2703" s="52"/>
      <c r="U2703" s="51" t="b">
        <v>0</v>
      </c>
      <c r="V2703" s="51" t="b">
        <v>0</v>
      </c>
      <c r="W2703" s="51" t="b">
        <v>0</v>
      </c>
      <c r="X2703" s="51" t="b">
        <v>0</v>
      </c>
      <c r="Y2703" s="51" t="b">
        <v>0</v>
      </c>
      <c r="Z2703" s="51" t="b">
        <v>0</v>
      </c>
      <c r="AA2703" s="68"/>
      <c r="AB2703" s="52"/>
      <c r="AC2703" s="52"/>
      <c r="AD2703" s="52"/>
      <c r="AE2703" s="56" t="s">
        <v>607</v>
      </c>
      <c r="AF2703" s="56" t="s">
        <v>607</v>
      </c>
    </row>
    <row r="2704">
      <c r="A2704" s="52" t="s">
        <v>6244</v>
      </c>
      <c r="B2704" s="52" t="s">
        <v>607</v>
      </c>
      <c r="C2704" s="52" t="s">
        <v>607</v>
      </c>
      <c r="D2704" s="65" t="s">
        <v>607</v>
      </c>
      <c r="E2704" s="65" t="s">
        <v>607</v>
      </c>
      <c r="F2704" s="65" t="s">
        <v>607</v>
      </c>
      <c r="G2704" s="65" t="s">
        <v>607</v>
      </c>
      <c r="H2704" s="52" t="s">
        <v>607</v>
      </c>
      <c r="I2704" s="52" t="s">
        <v>607</v>
      </c>
      <c r="J2704" s="52" t="s">
        <v>607</v>
      </c>
      <c r="K2704" s="52" t="s">
        <v>607</v>
      </c>
      <c r="L2704" s="52" t="s">
        <v>607</v>
      </c>
      <c r="M2704" s="52" t="s">
        <v>607</v>
      </c>
      <c r="N2704" s="52" t="s">
        <v>607</v>
      </c>
      <c r="O2704" s="52"/>
      <c r="P2704" s="52"/>
      <c r="Q2704" s="52"/>
      <c r="R2704" s="51" t="b">
        <v>0</v>
      </c>
      <c r="S2704" s="51"/>
      <c r="T2704" s="52"/>
      <c r="U2704" s="51" t="b">
        <v>0</v>
      </c>
      <c r="V2704" s="51" t="b">
        <v>0</v>
      </c>
      <c r="W2704" s="51" t="b">
        <v>0</v>
      </c>
      <c r="X2704" s="51" t="b">
        <v>0</v>
      </c>
      <c r="Y2704" s="51" t="b">
        <v>0</v>
      </c>
      <c r="Z2704" s="51" t="b">
        <v>0</v>
      </c>
      <c r="AA2704" s="68"/>
      <c r="AB2704" s="52"/>
      <c r="AC2704" s="52"/>
      <c r="AD2704" s="52"/>
      <c r="AE2704" s="56" t="s">
        <v>607</v>
      </c>
      <c r="AF2704" s="56" t="s">
        <v>607</v>
      </c>
    </row>
    <row r="2705">
      <c r="A2705" s="52" t="s">
        <v>6245</v>
      </c>
      <c r="B2705" s="52" t="s">
        <v>607</v>
      </c>
      <c r="C2705" s="52" t="s">
        <v>607</v>
      </c>
      <c r="D2705" s="65" t="s">
        <v>607</v>
      </c>
      <c r="E2705" s="65" t="s">
        <v>607</v>
      </c>
      <c r="F2705" s="65" t="s">
        <v>607</v>
      </c>
      <c r="G2705" s="65" t="s">
        <v>607</v>
      </c>
      <c r="H2705" s="52" t="s">
        <v>607</v>
      </c>
      <c r="I2705" s="52" t="s">
        <v>607</v>
      </c>
      <c r="J2705" s="52" t="s">
        <v>607</v>
      </c>
      <c r="K2705" s="52" t="s">
        <v>607</v>
      </c>
      <c r="L2705" s="52" t="s">
        <v>607</v>
      </c>
      <c r="M2705" s="52" t="s">
        <v>607</v>
      </c>
      <c r="N2705" s="52" t="s">
        <v>607</v>
      </c>
      <c r="O2705" s="52"/>
      <c r="P2705" s="52"/>
      <c r="Q2705" s="52"/>
      <c r="R2705" s="51" t="b">
        <v>0</v>
      </c>
      <c r="S2705" s="51"/>
      <c r="T2705" s="52"/>
      <c r="U2705" s="51" t="b">
        <v>0</v>
      </c>
      <c r="V2705" s="51" t="b">
        <v>0</v>
      </c>
      <c r="W2705" s="51" t="b">
        <v>0</v>
      </c>
      <c r="X2705" s="51" t="b">
        <v>0</v>
      </c>
      <c r="Y2705" s="51" t="b">
        <v>0</v>
      </c>
      <c r="Z2705" s="51" t="b">
        <v>0</v>
      </c>
      <c r="AA2705" s="68"/>
      <c r="AB2705" s="52"/>
      <c r="AC2705" s="52"/>
      <c r="AD2705" s="52"/>
      <c r="AE2705" s="56" t="s">
        <v>607</v>
      </c>
      <c r="AF2705" s="56" t="s">
        <v>607</v>
      </c>
    </row>
    <row r="2706">
      <c r="A2706" s="52" t="s">
        <v>6247</v>
      </c>
      <c r="B2706" s="52" t="s">
        <v>607</v>
      </c>
      <c r="C2706" s="52" t="s">
        <v>607</v>
      </c>
      <c r="D2706" s="65" t="s">
        <v>607</v>
      </c>
      <c r="E2706" s="65" t="s">
        <v>607</v>
      </c>
      <c r="F2706" s="65" t="s">
        <v>607</v>
      </c>
      <c r="G2706" s="65" t="s">
        <v>607</v>
      </c>
      <c r="H2706" s="52" t="s">
        <v>607</v>
      </c>
      <c r="I2706" s="52" t="s">
        <v>607</v>
      </c>
      <c r="J2706" s="52" t="s">
        <v>607</v>
      </c>
      <c r="K2706" s="52" t="s">
        <v>607</v>
      </c>
      <c r="L2706" s="52" t="s">
        <v>607</v>
      </c>
      <c r="M2706" s="52" t="s">
        <v>607</v>
      </c>
      <c r="N2706" s="52" t="s">
        <v>607</v>
      </c>
      <c r="O2706" s="52"/>
      <c r="P2706" s="52"/>
      <c r="Q2706" s="52"/>
      <c r="R2706" s="51" t="b">
        <v>0</v>
      </c>
      <c r="S2706" s="51"/>
      <c r="T2706" s="52"/>
      <c r="U2706" s="51" t="b">
        <v>0</v>
      </c>
      <c r="V2706" s="51" t="b">
        <v>0</v>
      </c>
      <c r="W2706" s="51" t="b">
        <v>0</v>
      </c>
      <c r="X2706" s="51" t="b">
        <v>0</v>
      </c>
      <c r="Y2706" s="51" t="b">
        <v>0</v>
      </c>
      <c r="Z2706" s="51" t="b">
        <v>0</v>
      </c>
      <c r="AA2706" s="68"/>
      <c r="AB2706" s="52"/>
      <c r="AC2706" s="52"/>
      <c r="AD2706" s="52"/>
      <c r="AE2706" s="56" t="s">
        <v>607</v>
      </c>
      <c r="AF2706" s="56" t="s">
        <v>607</v>
      </c>
    </row>
    <row r="2707">
      <c r="A2707" s="52" t="s">
        <v>6248</v>
      </c>
      <c r="B2707" s="52" t="s">
        <v>607</v>
      </c>
      <c r="C2707" s="52" t="s">
        <v>607</v>
      </c>
      <c r="D2707" s="65" t="s">
        <v>607</v>
      </c>
      <c r="E2707" s="65" t="s">
        <v>607</v>
      </c>
      <c r="F2707" s="65" t="s">
        <v>607</v>
      </c>
      <c r="G2707" s="65" t="s">
        <v>607</v>
      </c>
      <c r="H2707" s="52" t="s">
        <v>607</v>
      </c>
      <c r="I2707" s="52" t="s">
        <v>607</v>
      </c>
      <c r="J2707" s="52" t="s">
        <v>607</v>
      </c>
      <c r="K2707" s="52" t="s">
        <v>607</v>
      </c>
      <c r="L2707" s="52" t="s">
        <v>607</v>
      </c>
      <c r="M2707" s="52" t="s">
        <v>607</v>
      </c>
      <c r="N2707" s="52" t="s">
        <v>607</v>
      </c>
      <c r="O2707" s="52"/>
      <c r="P2707" s="52"/>
      <c r="Q2707" s="52"/>
      <c r="R2707" s="51" t="b">
        <v>0</v>
      </c>
      <c r="S2707" s="51"/>
      <c r="T2707" s="52"/>
      <c r="U2707" s="51" t="b">
        <v>0</v>
      </c>
      <c r="V2707" s="51" t="b">
        <v>0</v>
      </c>
      <c r="W2707" s="51" t="b">
        <v>0</v>
      </c>
      <c r="X2707" s="51" t="b">
        <v>0</v>
      </c>
      <c r="Y2707" s="51" t="b">
        <v>0</v>
      </c>
      <c r="Z2707" s="51" t="b">
        <v>0</v>
      </c>
      <c r="AA2707" s="68"/>
      <c r="AB2707" s="52"/>
      <c r="AC2707" s="52"/>
      <c r="AD2707" s="52"/>
      <c r="AE2707" s="56" t="s">
        <v>607</v>
      </c>
      <c r="AF2707" s="56" t="s">
        <v>607</v>
      </c>
    </row>
    <row r="2708">
      <c r="A2708" s="52" t="s">
        <v>6250</v>
      </c>
      <c r="B2708" s="52" t="s">
        <v>607</v>
      </c>
      <c r="C2708" s="52" t="s">
        <v>607</v>
      </c>
      <c r="D2708" s="65" t="s">
        <v>607</v>
      </c>
      <c r="E2708" s="65" t="s">
        <v>607</v>
      </c>
      <c r="F2708" s="65" t="s">
        <v>607</v>
      </c>
      <c r="G2708" s="65" t="s">
        <v>607</v>
      </c>
      <c r="H2708" s="52" t="s">
        <v>607</v>
      </c>
      <c r="I2708" s="52" t="s">
        <v>607</v>
      </c>
      <c r="J2708" s="52" t="s">
        <v>607</v>
      </c>
      <c r="K2708" s="52" t="s">
        <v>607</v>
      </c>
      <c r="L2708" s="52" t="s">
        <v>607</v>
      </c>
      <c r="M2708" s="52" t="s">
        <v>607</v>
      </c>
      <c r="N2708" s="52" t="s">
        <v>607</v>
      </c>
      <c r="O2708" s="52"/>
      <c r="P2708" s="52"/>
      <c r="Q2708" s="52"/>
      <c r="R2708" s="51" t="b">
        <v>0</v>
      </c>
      <c r="S2708" s="51"/>
      <c r="T2708" s="52"/>
      <c r="U2708" s="51" t="b">
        <v>0</v>
      </c>
      <c r="V2708" s="51" t="b">
        <v>0</v>
      </c>
      <c r="W2708" s="51" t="b">
        <v>0</v>
      </c>
      <c r="X2708" s="51" t="b">
        <v>0</v>
      </c>
      <c r="Y2708" s="51" t="b">
        <v>0</v>
      </c>
      <c r="Z2708" s="51" t="b">
        <v>0</v>
      </c>
      <c r="AA2708" s="68"/>
      <c r="AB2708" s="52"/>
      <c r="AC2708" s="52"/>
      <c r="AD2708" s="52"/>
      <c r="AE2708" s="56" t="s">
        <v>607</v>
      </c>
      <c r="AF2708" s="56" t="s">
        <v>607</v>
      </c>
    </row>
    <row r="2709">
      <c r="A2709" s="52" t="s">
        <v>6251</v>
      </c>
      <c r="B2709" s="52" t="s">
        <v>607</v>
      </c>
      <c r="C2709" s="52" t="s">
        <v>607</v>
      </c>
      <c r="D2709" s="65" t="s">
        <v>607</v>
      </c>
      <c r="E2709" s="65" t="s">
        <v>607</v>
      </c>
      <c r="F2709" s="65" t="s">
        <v>607</v>
      </c>
      <c r="G2709" s="65" t="s">
        <v>607</v>
      </c>
      <c r="H2709" s="52" t="s">
        <v>607</v>
      </c>
      <c r="I2709" s="52" t="s">
        <v>607</v>
      </c>
      <c r="J2709" s="52" t="s">
        <v>607</v>
      </c>
      <c r="K2709" s="52" t="s">
        <v>607</v>
      </c>
      <c r="L2709" s="52" t="s">
        <v>607</v>
      </c>
      <c r="M2709" s="52" t="s">
        <v>607</v>
      </c>
      <c r="N2709" s="52" t="s">
        <v>607</v>
      </c>
      <c r="O2709" s="52"/>
      <c r="P2709" s="52"/>
      <c r="Q2709" s="52"/>
      <c r="R2709" s="51" t="b">
        <v>0</v>
      </c>
      <c r="S2709" s="51"/>
      <c r="T2709" s="52"/>
      <c r="U2709" s="51" t="b">
        <v>0</v>
      </c>
      <c r="V2709" s="51" t="b">
        <v>0</v>
      </c>
      <c r="W2709" s="51" t="b">
        <v>0</v>
      </c>
      <c r="X2709" s="51" t="b">
        <v>0</v>
      </c>
      <c r="Y2709" s="51" t="b">
        <v>0</v>
      </c>
      <c r="Z2709" s="51" t="b">
        <v>0</v>
      </c>
      <c r="AA2709" s="68"/>
      <c r="AB2709" s="52"/>
      <c r="AC2709" s="52"/>
      <c r="AD2709" s="52"/>
      <c r="AE2709" s="56" t="s">
        <v>607</v>
      </c>
      <c r="AF2709" s="56" t="s">
        <v>607</v>
      </c>
    </row>
    <row r="2710">
      <c r="A2710" s="52" t="s">
        <v>6253</v>
      </c>
      <c r="B2710" s="52" t="s">
        <v>607</v>
      </c>
      <c r="C2710" s="52" t="s">
        <v>607</v>
      </c>
      <c r="D2710" s="65" t="s">
        <v>607</v>
      </c>
      <c r="E2710" s="65" t="s">
        <v>607</v>
      </c>
      <c r="F2710" s="65" t="s">
        <v>607</v>
      </c>
      <c r="G2710" s="65" t="s">
        <v>607</v>
      </c>
      <c r="H2710" s="52" t="s">
        <v>607</v>
      </c>
      <c r="I2710" s="52" t="s">
        <v>607</v>
      </c>
      <c r="J2710" s="52" t="s">
        <v>607</v>
      </c>
      <c r="K2710" s="52" t="s">
        <v>607</v>
      </c>
      <c r="L2710" s="52" t="s">
        <v>607</v>
      </c>
      <c r="M2710" s="52" t="s">
        <v>607</v>
      </c>
      <c r="N2710" s="52" t="s">
        <v>607</v>
      </c>
      <c r="O2710" s="52"/>
      <c r="P2710" s="52"/>
      <c r="Q2710" s="52"/>
      <c r="R2710" s="51" t="b">
        <v>0</v>
      </c>
      <c r="S2710" s="51"/>
      <c r="T2710" s="52"/>
      <c r="U2710" s="51" t="b">
        <v>0</v>
      </c>
      <c r="V2710" s="51" t="b">
        <v>0</v>
      </c>
      <c r="W2710" s="51" t="b">
        <v>0</v>
      </c>
      <c r="X2710" s="51" t="b">
        <v>0</v>
      </c>
      <c r="Y2710" s="51" t="b">
        <v>0</v>
      </c>
      <c r="Z2710" s="51" t="b">
        <v>0</v>
      </c>
      <c r="AA2710" s="68"/>
      <c r="AB2710" s="52"/>
      <c r="AC2710" s="52"/>
      <c r="AD2710" s="52"/>
      <c r="AE2710" s="56" t="s">
        <v>607</v>
      </c>
      <c r="AF2710" s="56" t="s">
        <v>607</v>
      </c>
    </row>
    <row r="2711">
      <c r="A2711" s="52" t="s">
        <v>6254</v>
      </c>
      <c r="B2711" s="52" t="s">
        <v>607</v>
      </c>
      <c r="C2711" s="52" t="s">
        <v>607</v>
      </c>
      <c r="D2711" s="65" t="s">
        <v>607</v>
      </c>
      <c r="E2711" s="65" t="s">
        <v>607</v>
      </c>
      <c r="F2711" s="65" t="s">
        <v>607</v>
      </c>
      <c r="G2711" s="65" t="s">
        <v>607</v>
      </c>
      <c r="H2711" s="52" t="s">
        <v>607</v>
      </c>
      <c r="I2711" s="52" t="s">
        <v>607</v>
      </c>
      <c r="J2711" s="52" t="s">
        <v>607</v>
      </c>
      <c r="K2711" s="52" t="s">
        <v>607</v>
      </c>
      <c r="L2711" s="52" t="s">
        <v>607</v>
      </c>
      <c r="M2711" s="52" t="s">
        <v>607</v>
      </c>
      <c r="N2711" s="52" t="s">
        <v>607</v>
      </c>
      <c r="O2711" s="52"/>
      <c r="P2711" s="52"/>
      <c r="Q2711" s="52"/>
      <c r="R2711" s="51" t="b">
        <v>0</v>
      </c>
      <c r="S2711" s="51"/>
      <c r="T2711" s="52"/>
      <c r="U2711" s="51" t="b">
        <v>0</v>
      </c>
      <c r="V2711" s="51" t="b">
        <v>0</v>
      </c>
      <c r="W2711" s="51" t="b">
        <v>0</v>
      </c>
      <c r="X2711" s="51" t="b">
        <v>0</v>
      </c>
      <c r="Y2711" s="51" t="b">
        <v>0</v>
      </c>
      <c r="Z2711" s="51" t="b">
        <v>0</v>
      </c>
      <c r="AA2711" s="68"/>
      <c r="AB2711" s="52"/>
      <c r="AC2711" s="52"/>
      <c r="AD2711" s="52"/>
      <c r="AE2711" s="56" t="s">
        <v>607</v>
      </c>
      <c r="AF2711" s="56" t="s">
        <v>607</v>
      </c>
    </row>
    <row r="2712">
      <c r="A2712" s="52" t="s">
        <v>6255</v>
      </c>
      <c r="B2712" s="52" t="s">
        <v>607</v>
      </c>
      <c r="C2712" s="52" t="s">
        <v>607</v>
      </c>
      <c r="D2712" s="65" t="s">
        <v>607</v>
      </c>
      <c r="E2712" s="65" t="s">
        <v>607</v>
      </c>
      <c r="F2712" s="65" t="s">
        <v>607</v>
      </c>
      <c r="G2712" s="65" t="s">
        <v>607</v>
      </c>
      <c r="H2712" s="52" t="s">
        <v>607</v>
      </c>
      <c r="I2712" s="52" t="s">
        <v>607</v>
      </c>
      <c r="J2712" s="52" t="s">
        <v>607</v>
      </c>
      <c r="K2712" s="52" t="s">
        <v>607</v>
      </c>
      <c r="L2712" s="52" t="s">
        <v>607</v>
      </c>
      <c r="M2712" s="52" t="s">
        <v>607</v>
      </c>
      <c r="N2712" s="52" t="s">
        <v>607</v>
      </c>
      <c r="O2712" s="52"/>
      <c r="P2712" s="52"/>
      <c r="Q2712" s="52"/>
      <c r="R2712" s="51" t="b">
        <v>0</v>
      </c>
      <c r="S2712" s="51"/>
      <c r="T2712" s="52"/>
      <c r="U2712" s="51" t="b">
        <v>0</v>
      </c>
      <c r="V2712" s="51" t="b">
        <v>0</v>
      </c>
      <c r="W2712" s="51" t="b">
        <v>0</v>
      </c>
      <c r="X2712" s="51" t="b">
        <v>0</v>
      </c>
      <c r="Y2712" s="51" t="b">
        <v>0</v>
      </c>
      <c r="Z2712" s="51" t="b">
        <v>0</v>
      </c>
      <c r="AA2712" s="68"/>
      <c r="AB2712" s="52"/>
      <c r="AC2712" s="52"/>
      <c r="AD2712" s="52"/>
      <c r="AE2712" s="56" t="s">
        <v>607</v>
      </c>
      <c r="AF2712" s="56" t="s">
        <v>607</v>
      </c>
    </row>
    <row r="2713">
      <c r="A2713" s="52" t="s">
        <v>6256</v>
      </c>
      <c r="B2713" s="52" t="s">
        <v>607</v>
      </c>
      <c r="C2713" s="52" t="s">
        <v>607</v>
      </c>
      <c r="D2713" s="65" t="s">
        <v>607</v>
      </c>
      <c r="E2713" s="65" t="s">
        <v>607</v>
      </c>
      <c r="F2713" s="65" t="s">
        <v>607</v>
      </c>
      <c r="G2713" s="65" t="s">
        <v>607</v>
      </c>
      <c r="H2713" s="52" t="s">
        <v>607</v>
      </c>
      <c r="I2713" s="52" t="s">
        <v>607</v>
      </c>
      <c r="J2713" s="52" t="s">
        <v>607</v>
      </c>
      <c r="K2713" s="52" t="s">
        <v>607</v>
      </c>
      <c r="L2713" s="52" t="s">
        <v>607</v>
      </c>
      <c r="M2713" s="52" t="s">
        <v>607</v>
      </c>
      <c r="N2713" s="52" t="s">
        <v>607</v>
      </c>
      <c r="O2713" s="52"/>
      <c r="P2713" s="52"/>
      <c r="Q2713" s="52"/>
      <c r="R2713" s="51" t="b">
        <v>0</v>
      </c>
      <c r="S2713" s="51"/>
      <c r="T2713" s="52"/>
      <c r="U2713" s="51" t="b">
        <v>0</v>
      </c>
      <c r="V2713" s="51" t="b">
        <v>0</v>
      </c>
      <c r="W2713" s="51" t="b">
        <v>0</v>
      </c>
      <c r="X2713" s="51" t="b">
        <v>0</v>
      </c>
      <c r="Y2713" s="51" t="b">
        <v>0</v>
      </c>
      <c r="Z2713" s="51" t="b">
        <v>0</v>
      </c>
      <c r="AA2713" s="68"/>
      <c r="AB2713" s="52"/>
      <c r="AC2713" s="52"/>
      <c r="AD2713" s="52"/>
      <c r="AE2713" s="56" t="s">
        <v>607</v>
      </c>
      <c r="AF2713" s="56" t="s">
        <v>607</v>
      </c>
    </row>
    <row r="2714">
      <c r="A2714" s="52" t="s">
        <v>6257</v>
      </c>
      <c r="B2714" s="52" t="s">
        <v>607</v>
      </c>
      <c r="C2714" s="52" t="s">
        <v>607</v>
      </c>
      <c r="D2714" s="65" t="s">
        <v>607</v>
      </c>
      <c r="E2714" s="65" t="s">
        <v>607</v>
      </c>
      <c r="F2714" s="65" t="s">
        <v>607</v>
      </c>
      <c r="G2714" s="65" t="s">
        <v>607</v>
      </c>
      <c r="H2714" s="52" t="s">
        <v>607</v>
      </c>
      <c r="I2714" s="52" t="s">
        <v>607</v>
      </c>
      <c r="J2714" s="52" t="s">
        <v>607</v>
      </c>
      <c r="K2714" s="52" t="s">
        <v>607</v>
      </c>
      <c r="L2714" s="52" t="s">
        <v>607</v>
      </c>
      <c r="M2714" s="52" t="s">
        <v>607</v>
      </c>
      <c r="N2714" s="52" t="s">
        <v>607</v>
      </c>
      <c r="O2714" s="52"/>
      <c r="P2714" s="52"/>
      <c r="Q2714" s="52"/>
      <c r="R2714" s="51" t="b">
        <v>0</v>
      </c>
      <c r="S2714" s="51"/>
      <c r="T2714" s="52"/>
      <c r="U2714" s="51" t="b">
        <v>0</v>
      </c>
      <c r="V2714" s="51" t="b">
        <v>0</v>
      </c>
      <c r="W2714" s="51" t="b">
        <v>0</v>
      </c>
      <c r="X2714" s="51" t="b">
        <v>0</v>
      </c>
      <c r="Y2714" s="51" t="b">
        <v>0</v>
      </c>
      <c r="Z2714" s="51" t="b">
        <v>0</v>
      </c>
      <c r="AA2714" s="68"/>
      <c r="AB2714" s="52"/>
      <c r="AC2714" s="52"/>
      <c r="AD2714" s="52"/>
      <c r="AE2714" s="56" t="s">
        <v>607</v>
      </c>
      <c r="AF2714" s="56" t="s">
        <v>607</v>
      </c>
    </row>
    <row r="2715">
      <c r="A2715" s="52" t="s">
        <v>6258</v>
      </c>
      <c r="B2715" s="52" t="s">
        <v>607</v>
      </c>
      <c r="C2715" s="52" t="s">
        <v>607</v>
      </c>
      <c r="D2715" s="65" t="s">
        <v>607</v>
      </c>
      <c r="E2715" s="65" t="s">
        <v>607</v>
      </c>
      <c r="F2715" s="65" t="s">
        <v>607</v>
      </c>
      <c r="G2715" s="65" t="s">
        <v>607</v>
      </c>
      <c r="H2715" s="52" t="s">
        <v>607</v>
      </c>
      <c r="I2715" s="52" t="s">
        <v>607</v>
      </c>
      <c r="J2715" s="52" t="s">
        <v>607</v>
      </c>
      <c r="K2715" s="52" t="s">
        <v>607</v>
      </c>
      <c r="L2715" s="52" t="s">
        <v>607</v>
      </c>
      <c r="M2715" s="52" t="s">
        <v>607</v>
      </c>
      <c r="N2715" s="52" t="s">
        <v>607</v>
      </c>
      <c r="O2715" s="52"/>
      <c r="P2715" s="52"/>
      <c r="Q2715" s="52"/>
      <c r="R2715" s="51" t="b">
        <v>0</v>
      </c>
      <c r="S2715" s="51"/>
      <c r="T2715" s="52"/>
      <c r="U2715" s="51" t="b">
        <v>0</v>
      </c>
      <c r="V2715" s="51" t="b">
        <v>0</v>
      </c>
      <c r="W2715" s="51" t="b">
        <v>0</v>
      </c>
      <c r="X2715" s="51" t="b">
        <v>0</v>
      </c>
      <c r="Y2715" s="51" t="b">
        <v>0</v>
      </c>
      <c r="Z2715" s="51" t="b">
        <v>0</v>
      </c>
      <c r="AA2715" s="68"/>
      <c r="AB2715" s="52"/>
      <c r="AC2715" s="52"/>
      <c r="AD2715" s="52"/>
      <c r="AE2715" s="56" t="s">
        <v>607</v>
      </c>
      <c r="AF2715" s="56" t="s">
        <v>607</v>
      </c>
    </row>
    <row r="2716">
      <c r="A2716" s="52" t="s">
        <v>6259</v>
      </c>
      <c r="B2716" s="52" t="s">
        <v>607</v>
      </c>
      <c r="C2716" s="52" t="s">
        <v>607</v>
      </c>
      <c r="D2716" s="65" t="s">
        <v>607</v>
      </c>
      <c r="E2716" s="65" t="s">
        <v>607</v>
      </c>
      <c r="F2716" s="65" t="s">
        <v>607</v>
      </c>
      <c r="G2716" s="65" t="s">
        <v>607</v>
      </c>
      <c r="H2716" s="52" t="s">
        <v>607</v>
      </c>
      <c r="I2716" s="52" t="s">
        <v>607</v>
      </c>
      <c r="J2716" s="52" t="s">
        <v>607</v>
      </c>
      <c r="K2716" s="52" t="s">
        <v>607</v>
      </c>
      <c r="L2716" s="52" t="s">
        <v>607</v>
      </c>
      <c r="M2716" s="52" t="s">
        <v>607</v>
      </c>
      <c r="N2716" s="52" t="s">
        <v>607</v>
      </c>
      <c r="O2716" s="52"/>
      <c r="P2716" s="52"/>
      <c r="Q2716" s="52"/>
      <c r="R2716" s="51" t="b">
        <v>0</v>
      </c>
      <c r="S2716" s="51"/>
      <c r="T2716" s="52"/>
      <c r="U2716" s="51" t="b">
        <v>0</v>
      </c>
      <c r="V2716" s="51" t="b">
        <v>0</v>
      </c>
      <c r="W2716" s="51" t="b">
        <v>0</v>
      </c>
      <c r="X2716" s="51" t="b">
        <v>0</v>
      </c>
      <c r="Y2716" s="51" t="b">
        <v>0</v>
      </c>
      <c r="Z2716" s="51" t="b">
        <v>0</v>
      </c>
      <c r="AA2716" s="68"/>
      <c r="AB2716" s="52"/>
      <c r="AC2716" s="52"/>
      <c r="AD2716" s="52"/>
      <c r="AE2716" s="56" t="s">
        <v>607</v>
      </c>
      <c r="AF2716" s="56" t="s">
        <v>607</v>
      </c>
    </row>
    <row r="2717">
      <c r="A2717" s="52" t="s">
        <v>6263</v>
      </c>
      <c r="B2717" s="52" t="s">
        <v>607</v>
      </c>
      <c r="C2717" s="52" t="s">
        <v>607</v>
      </c>
      <c r="D2717" s="65" t="s">
        <v>607</v>
      </c>
      <c r="E2717" s="65" t="s">
        <v>607</v>
      </c>
      <c r="F2717" s="65" t="s">
        <v>607</v>
      </c>
      <c r="G2717" s="65" t="s">
        <v>607</v>
      </c>
      <c r="H2717" s="52" t="s">
        <v>607</v>
      </c>
      <c r="I2717" s="52" t="s">
        <v>607</v>
      </c>
      <c r="J2717" s="52" t="s">
        <v>607</v>
      </c>
      <c r="K2717" s="52" t="s">
        <v>607</v>
      </c>
      <c r="L2717" s="52" t="s">
        <v>607</v>
      </c>
      <c r="M2717" s="52" t="s">
        <v>607</v>
      </c>
      <c r="N2717" s="52" t="s">
        <v>607</v>
      </c>
      <c r="O2717" s="52"/>
      <c r="P2717" s="52"/>
      <c r="Q2717" s="52"/>
      <c r="R2717" s="51" t="b">
        <v>0</v>
      </c>
      <c r="S2717" s="51"/>
      <c r="T2717" s="52"/>
      <c r="U2717" s="51" t="b">
        <v>0</v>
      </c>
      <c r="V2717" s="51" t="b">
        <v>0</v>
      </c>
      <c r="W2717" s="51" t="b">
        <v>0</v>
      </c>
      <c r="X2717" s="51" t="b">
        <v>0</v>
      </c>
      <c r="Y2717" s="51" t="b">
        <v>0</v>
      </c>
      <c r="Z2717" s="51" t="b">
        <v>0</v>
      </c>
      <c r="AA2717" s="68"/>
      <c r="AB2717" s="52"/>
      <c r="AC2717" s="52"/>
      <c r="AD2717" s="52"/>
      <c r="AE2717" s="56" t="s">
        <v>607</v>
      </c>
      <c r="AF2717" s="56" t="s">
        <v>607</v>
      </c>
    </row>
    <row r="2718">
      <c r="A2718" s="52" t="s">
        <v>6264</v>
      </c>
      <c r="B2718" s="52" t="s">
        <v>607</v>
      </c>
      <c r="C2718" s="52" t="s">
        <v>607</v>
      </c>
      <c r="D2718" s="65" t="s">
        <v>607</v>
      </c>
      <c r="E2718" s="65" t="s">
        <v>607</v>
      </c>
      <c r="F2718" s="65" t="s">
        <v>607</v>
      </c>
      <c r="G2718" s="65" t="s">
        <v>607</v>
      </c>
      <c r="H2718" s="52" t="s">
        <v>607</v>
      </c>
      <c r="I2718" s="52" t="s">
        <v>607</v>
      </c>
      <c r="J2718" s="52" t="s">
        <v>607</v>
      </c>
      <c r="K2718" s="52" t="s">
        <v>607</v>
      </c>
      <c r="L2718" s="52" t="s">
        <v>607</v>
      </c>
      <c r="M2718" s="52" t="s">
        <v>607</v>
      </c>
      <c r="N2718" s="52" t="s">
        <v>607</v>
      </c>
      <c r="O2718" s="52"/>
      <c r="P2718" s="52"/>
      <c r="Q2718" s="52"/>
      <c r="R2718" s="51" t="b">
        <v>0</v>
      </c>
      <c r="S2718" s="51"/>
      <c r="T2718" s="52"/>
      <c r="U2718" s="51" t="b">
        <v>0</v>
      </c>
      <c r="V2718" s="51" t="b">
        <v>0</v>
      </c>
      <c r="W2718" s="51" t="b">
        <v>0</v>
      </c>
      <c r="X2718" s="51" t="b">
        <v>0</v>
      </c>
      <c r="Y2718" s="51" t="b">
        <v>0</v>
      </c>
      <c r="Z2718" s="51" t="b">
        <v>0</v>
      </c>
      <c r="AA2718" s="68"/>
      <c r="AB2718" s="52"/>
      <c r="AC2718" s="52"/>
      <c r="AD2718" s="52"/>
      <c r="AE2718" s="56" t="s">
        <v>607</v>
      </c>
      <c r="AF2718" s="56" t="s">
        <v>607</v>
      </c>
    </row>
    <row r="2719">
      <c r="A2719" s="52" t="s">
        <v>6265</v>
      </c>
      <c r="B2719" s="52" t="s">
        <v>607</v>
      </c>
      <c r="C2719" s="52" t="s">
        <v>607</v>
      </c>
      <c r="D2719" s="65" t="s">
        <v>607</v>
      </c>
      <c r="E2719" s="65" t="s">
        <v>607</v>
      </c>
      <c r="F2719" s="65" t="s">
        <v>607</v>
      </c>
      <c r="G2719" s="65" t="s">
        <v>607</v>
      </c>
      <c r="H2719" s="52" t="s">
        <v>607</v>
      </c>
      <c r="I2719" s="52" t="s">
        <v>607</v>
      </c>
      <c r="J2719" s="52" t="s">
        <v>607</v>
      </c>
      <c r="K2719" s="52" t="s">
        <v>607</v>
      </c>
      <c r="L2719" s="52" t="s">
        <v>607</v>
      </c>
      <c r="M2719" s="52" t="s">
        <v>607</v>
      </c>
      <c r="N2719" s="52" t="s">
        <v>607</v>
      </c>
      <c r="O2719" s="52"/>
      <c r="P2719" s="52"/>
      <c r="Q2719" s="52"/>
      <c r="R2719" s="51" t="b">
        <v>0</v>
      </c>
      <c r="S2719" s="51"/>
      <c r="T2719" s="52"/>
      <c r="U2719" s="51" t="b">
        <v>0</v>
      </c>
      <c r="V2719" s="51" t="b">
        <v>0</v>
      </c>
      <c r="W2719" s="51" t="b">
        <v>0</v>
      </c>
      <c r="X2719" s="51" t="b">
        <v>0</v>
      </c>
      <c r="Y2719" s="51" t="b">
        <v>0</v>
      </c>
      <c r="Z2719" s="51" t="b">
        <v>0</v>
      </c>
      <c r="AA2719" s="68"/>
      <c r="AB2719" s="52"/>
      <c r="AC2719" s="52"/>
      <c r="AD2719" s="52"/>
      <c r="AE2719" s="56" t="s">
        <v>607</v>
      </c>
      <c r="AF2719" s="56" t="s">
        <v>607</v>
      </c>
    </row>
    <row r="2720">
      <c r="A2720" s="52" t="s">
        <v>6266</v>
      </c>
      <c r="B2720" s="52" t="s">
        <v>607</v>
      </c>
      <c r="C2720" s="52" t="s">
        <v>607</v>
      </c>
      <c r="D2720" s="65" t="s">
        <v>607</v>
      </c>
      <c r="E2720" s="65" t="s">
        <v>607</v>
      </c>
      <c r="F2720" s="65" t="s">
        <v>607</v>
      </c>
      <c r="G2720" s="65" t="s">
        <v>607</v>
      </c>
      <c r="H2720" s="52" t="s">
        <v>607</v>
      </c>
      <c r="I2720" s="52" t="s">
        <v>607</v>
      </c>
      <c r="J2720" s="52" t="s">
        <v>607</v>
      </c>
      <c r="K2720" s="52" t="s">
        <v>607</v>
      </c>
      <c r="L2720" s="52" t="s">
        <v>607</v>
      </c>
      <c r="M2720" s="52" t="s">
        <v>607</v>
      </c>
      <c r="N2720" s="52" t="s">
        <v>607</v>
      </c>
      <c r="O2720" s="52"/>
      <c r="P2720" s="52"/>
      <c r="Q2720" s="52"/>
      <c r="R2720" s="51" t="b">
        <v>0</v>
      </c>
      <c r="S2720" s="51"/>
      <c r="T2720" s="52"/>
      <c r="U2720" s="51" t="b">
        <v>0</v>
      </c>
      <c r="V2720" s="51" t="b">
        <v>0</v>
      </c>
      <c r="W2720" s="51" t="b">
        <v>0</v>
      </c>
      <c r="X2720" s="51" t="b">
        <v>0</v>
      </c>
      <c r="Y2720" s="51" t="b">
        <v>0</v>
      </c>
      <c r="Z2720" s="51" t="b">
        <v>0</v>
      </c>
      <c r="AA2720" s="68"/>
      <c r="AB2720" s="52"/>
      <c r="AC2720" s="52"/>
      <c r="AD2720" s="52"/>
      <c r="AE2720" s="56" t="s">
        <v>607</v>
      </c>
      <c r="AF2720" s="56" t="s">
        <v>607</v>
      </c>
    </row>
    <row r="2721">
      <c r="A2721" s="52" t="s">
        <v>6267</v>
      </c>
      <c r="B2721" s="52" t="s">
        <v>607</v>
      </c>
      <c r="C2721" s="52" t="s">
        <v>607</v>
      </c>
      <c r="D2721" s="65" t="s">
        <v>607</v>
      </c>
      <c r="E2721" s="65" t="s">
        <v>607</v>
      </c>
      <c r="F2721" s="65" t="s">
        <v>607</v>
      </c>
      <c r="G2721" s="65" t="s">
        <v>607</v>
      </c>
      <c r="H2721" s="52" t="s">
        <v>607</v>
      </c>
      <c r="I2721" s="52" t="s">
        <v>607</v>
      </c>
      <c r="J2721" s="52" t="s">
        <v>607</v>
      </c>
      <c r="K2721" s="52" t="s">
        <v>607</v>
      </c>
      <c r="L2721" s="52" t="s">
        <v>607</v>
      </c>
      <c r="M2721" s="52" t="s">
        <v>607</v>
      </c>
      <c r="N2721" s="52" t="s">
        <v>607</v>
      </c>
      <c r="O2721" s="52"/>
      <c r="P2721" s="52"/>
      <c r="Q2721" s="52"/>
      <c r="R2721" s="51" t="b">
        <v>0</v>
      </c>
      <c r="S2721" s="51"/>
      <c r="T2721" s="52"/>
      <c r="U2721" s="51" t="b">
        <v>0</v>
      </c>
      <c r="V2721" s="51" t="b">
        <v>0</v>
      </c>
      <c r="W2721" s="51" t="b">
        <v>0</v>
      </c>
      <c r="X2721" s="51" t="b">
        <v>0</v>
      </c>
      <c r="Y2721" s="51" t="b">
        <v>0</v>
      </c>
      <c r="Z2721" s="51" t="b">
        <v>0</v>
      </c>
      <c r="AA2721" s="68"/>
      <c r="AB2721" s="52"/>
      <c r="AC2721" s="52"/>
      <c r="AD2721" s="52"/>
      <c r="AE2721" s="56" t="s">
        <v>607</v>
      </c>
      <c r="AF2721" s="56" t="s">
        <v>607</v>
      </c>
    </row>
    <row r="2722">
      <c r="A2722" s="52" t="s">
        <v>6268</v>
      </c>
      <c r="B2722" s="52" t="s">
        <v>607</v>
      </c>
      <c r="C2722" s="52" t="s">
        <v>607</v>
      </c>
      <c r="D2722" s="65" t="s">
        <v>607</v>
      </c>
      <c r="E2722" s="65" t="s">
        <v>607</v>
      </c>
      <c r="F2722" s="65" t="s">
        <v>607</v>
      </c>
      <c r="G2722" s="65" t="s">
        <v>607</v>
      </c>
      <c r="H2722" s="52" t="s">
        <v>607</v>
      </c>
      <c r="I2722" s="52" t="s">
        <v>607</v>
      </c>
      <c r="J2722" s="52" t="s">
        <v>607</v>
      </c>
      <c r="K2722" s="52" t="s">
        <v>607</v>
      </c>
      <c r="L2722" s="52" t="s">
        <v>607</v>
      </c>
      <c r="M2722" s="52" t="s">
        <v>607</v>
      </c>
      <c r="N2722" s="52" t="s">
        <v>607</v>
      </c>
      <c r="O2722" s="52"/>
      <c r="P2722" s="52"/>
      <c r="Q2722" s="52"/>
      <c r="R2722" s="51" t="b">
        <v>0</v>
      </c>
      <c r="S2722" s="51"/>
      <c r="T2722" s="52"/>
      <c r="U2722" s="51" t="b">
        <v>0</v>
      </c>
      <c r="V2722" s="51" t="b">
        <v>0</v>
      </c>
      <c r="W2722" s="51" t="b">
        <v>0</v>
      </c>
      <c r="X2722" s="51" t="b">
        <v>0</v>
      </c>
      <c r="Y2722" s="51" t="b">
        <v>0</v>
      </c>
      <c r="Z2722" s="51" t="b">
        <v>0</v>
      </c>
      <c r="AA2722" s="68"/>
      <c r="AB2722" s="52"/>
      <c r="AC2722" s="52"/>
      <c r="AD2722" s="52"/>
      <c r="AE2722" s="56" t="s">
        <v>607</v>
      </c>
      <c r="AF2722" s="56" t="s">
        <v>607</v>
      </c>
    </row>
    <row r="2723">
      <c r="A2723" s="52" t="s">
        <v>6271</v>
      </c>
      <c r="B2723" s="52" t="s">
        <v>607</v>
      </c>
      <c r="C2723" s="52" t="s">
        <v>607</v>
      </c>
      <c r="D2723" s="65" t="s">
        <v>607</v>
      </c>
      <c r="E2723" s="65" t="s">
        <v>607</v>
      </c>
      <c r="F2723" s="65" t="s">
        <v>607</v>
      </c>
      <c r="G2723" s="65" t="s">
        <v>607</v>
      </c>
      <c r="H2723" s="52" t="s">
        <v>607</v>
      </c>
      <c r="I2723" s="52" t="s">
        <v>607</v>
      </c>
      <c r="J2723" s="52" t="s">
        <v>607</v>
      </c>
      <c r="K2723" s="52" t="s">
        <v>607</v>
      </c>
      <c r="L2723" s="52" t="s">
        <v>607</v>
      </c>
      <c r="M2723" s="52" t="s">
        <v>607</v>
      </c>
      <c r="N2723" s="52" t="s">
        <v>607</v>
      </c>
      <c r="O2723" s="52"/>
      <c r="P2723" s="52"/>
      <c r="Q2723" s="52"/>
      <c r="R2723" s="51" t="b">
        <v>0</v>
      </c>
      <c r="S2723" s="51"/>
      <c r="T2723" s="52"/>
      <c r="U2723" s="51" t="b">
        <v>0</v>
      </c>
      <c r="V2723" s="51" t="b">
        <v>0</v>
      </c>
      <c r="W2723" s="51" t="b">
        <v>0</v>
      </c>
      <c r="X2723" s="51" t="b">
        <v>0</v>
      </c>
      <c r="Y2723" s="51" t="b">
        <v>0</v>
      </c>
      <c r="Z2723" s="51" t="b">
        <v>0</v>
      </c>
      <c r="AA2723" s="68"/>
      <c r="AB2723" s="52"/>
      <c r="AC2723" s="52"/>
      <c r="AD2723" s="52"/>
      <c r="AE2723" s="56" t="s">
        <v>607</v>
      </c>
      <c r="AF2723" s="56" t="s">
        <v>607</v>
      </c>
    </row>
    <row r="2724">
      <c r="A2724" s="52" t="s">
        <v>6273</v>
      </c>
      <c r="B2724" s="52" t="s">
        <v>607</v>
      </c>
      <c r="C2724" s="52" t="s">
        <v>607</v>
      </c>
      <c r="D2724" s="65" t="s">
        <v>607</v>
      </c>
      <c r="E2724" s="65" t="s">
        <v>607</v>
      </c>
      <c r="F2724" s="65" t="s">
        <v>607</v>
      </c>
      <c r="G2724" s="65" t="s">
        <v>607</v>
      </c>
      <c r="H2724" s="52" t="s">
        <v>607</v>
      </c>
      <c r="I2724" s="52" t="s">
        <v>607</v>
      </c>
      <c r="J2724" s="52" t="s">
        <v>607</v>
      </c>
      <c r="K2724" s="52" t="s">
        <v>607</v>
      </c>
      <c r="L2724" s="52" t="s">
        <v>607</v>
      </c>
      <c r="M2724" s="52" t="s">
        <v>607</v>
      </c>
      <c r="N2724" s="52" t="s">
        <v>607</v>
      </c>
      <c r="O2724" s="52"/>
      <c r="P2724" s="52"/>
      <c r="Q2724" s="52"/>
      <c r="R2724" s="51" t="b">
        <v>0</v>
      </c>
      <c r="S2724" s="51"/>
      <c r="T2724" s="52"/>
      <c r="U2724" s="51" t="b">
        <v>0</v>
      </c>
      <c r="V2724" s="51" t="b">
        <v>0</v>
      </c>
      <c r="W2724" s="51" t="b">
        <v>0</v>
      </c>
      <c r="X2724" s="51" t="b">
        <v>0</v>
      </c>
      <c r="Y2724" s="51" t="b">
        <v>0</v>
      </c>
      <c r="Z2724" s="51" t="b">
        <v>0</v>
      </c>
      <c r="AA2724" s="68"/>
      <c r="AB2724" s="52"/>
      <c r="AC2724" s="52"/>
      <c r="AD2724" s="52"/>
      <c r="AE2724" s="56" t="s">
        <v>607</v>
      </c>
      <c r="AF2724" s="56" t="s">
        <v>607</v>
      </c>
    </row>
    <row r="2725">
      <c r="A2725" s="52" t="s">
        <v>6274</v>
      </c>
      <c r="B2725" s="52" t="s">
        <v>607</v>
      </c>
      <c r="C2725" s="52" t="s">
        <v>607</v>
      </c>
      <c r="D2725" s="65" t="s">
        <v>607</v>
      </c>
      <c r="E2725" s="65" t="s">
        <v>607</v>
      </c>
      <c r="F2725" s="65" t="s">
        <v>607</v>
      </c>
      <c r="G2725" s="65" t="s">
        <v>607</v>
      </c>
      <c r="H2725" s="52" t="s">
        <v>607</v>
      </c>
      <c r="I2725" s="52" t="s">
        <v>607</v>
      </c>
      <c r="J2725" s="52" t="s">
        <v>607</v>
      </c>
      <c r="K2725" s="52" t="s">
        <v>607</v>
      </c>
      <c r="L2725" s="52" t="s">
        <v>607</v>
      </c>
      <c r="M2725" s="52" t="s">
        <v>607</v>
      </c>
      <c r="N2725" s="52" t="s">
        <v>607</v>
      </c>
      <c r="O2725" s="52"/>
      <c r="P2725" s="52"/>
      <c r="Q2725" s="52"/>
      <c r="R2725" s="51" t="b">
        <v>0</v>
      </c>
      <c r="S2725" s="51"/>
      <c r="T2725" s="52"/>
      <c r="U2725" s="51" t="b">
        <v>0</v>
      </c>
      <c r="V2725" s="51" t="b">
        <v>0</v>
      </c>
      <c r="W2725" s="51" t="b">
        <v>0</v>
      </c>
      <c r="X2725" s="51" t="b">
        <v>0</v>
      </c>
      <c r="Y2725" s="51" t="b">
        <v>0</v>
      </c>
      <c r="Z2725" s="51" t="b">
        <v>0</v>
      </c>
      <c r="AA2725" s="68"/>
      <c r="AB2725" s="52"/>
      <c r="AC2725" s="52"/>
      <c r="AD2725" s="52"/>
      <c r="AE2725" s="56" t="s">
        <v>607</v>
      </c>
      <c r="AF2725" s="56" t="s">
        <v>607</v>
      </c>
    </row>
    <row r="2726">
      <c r="A2726" s="52" t="s">
        <v>6275</v>
      </c>
      <c r="B2726" s="52" t="s">
        <v>607</v>
      </c>
      <c r="C2726" s="52" t="s">
        <v>607</v>
      </c>
      <c r="D2726" s="65" t="s">
        <v>607</v>
      </c>
      <c r="E2726" s="65" t="s">
        <v>607</v>
      </c>
      <c r="F2726" s="65" t="s">
        <v>607</v>
      </c>
      <c r="G2726" s="65" t="s">
        <v>607</v>
      </c>
      <c r="H2726" s="52" t="s">
        <v>607</v>
      </c>
      <c r="I2726" s="52" t="s">
        <v>607</v>
      </c>
      <c r="J2726" s="52" t="s">
        <v>607</v>
      </c>
      <c r="K2726" s="52" t="s">
        <v>607</v>
      </c>
      <c r="L2726" s="52" t="s">
        <v>607</v>
      </c>
      <c r="M2726" s="52" t="s">
        <v>607</v>
      </c>
      <c r="N2726" s="52" t="s">
        <v>607</v>
      </c>
      <c r="O2726" s="52"/>
      <c r="P2726" s="52"/>
      <c r="Q2726" s="52"/>
      <c r="R2726" s="51" t="b">
        <v>0</v>
      </c>
      <c r="S2726" s="51"/>
      <c r="T2726" s="52"/>
      <c r="U2726" s="51" t="b">
        <v>0</v>
      </c>
      <c r="V2726" s="51" t="b">
        <v>0</v>
      </c>
      <c r="W2726" s="51" t="b">
        <v>0</v>
      </c>
      <c r="X2726" s="51" t="b">
        <v>0</v>
      </c>
      <c r="Y2726" s="51" t="b">
        <v>0</v>
      </c>
      <c r="Z2726" s="51" t="b">
        <v>0</v>
      </c>
      <c r="AA2726" s="68"/>
      <c r="AB2726" s="52"/>
      <c r="AC2726" s="52"/>
      <c r="AD2726" s="52"/>
      <c r="AE2726" s="56" t="s">
        <v>607</v>
      </c>
      <c r="AF2726" s="56" t="s">
        <v>607</v>
      </c>
    </row>
    <row r="2727">
      <c r="A2727" s="52" t="s">
        <v>6276</v>
      </c>
      <c r="B2727" s="52" t="s">
        <v>607</v>
      </c>
      <c r="C2727" s="52" t="s">
        <v>607</v>
      </c>
      <c r="D2727" s="65" t="s">
        <v>607</v>
      </c>
      <c r="E2727" s="65" t="s">
        <v>607</v>
      </c>
      <c r="F2727" s="65" t="s">
        <v>607</v>
      </c>
      <c r="G2727" s="65" t="s">
        <v>607</v>
      </c>
      <c r="H2727" s="52" t="s">
        <v>607</v>
      </c>
      <c r="I2727" s="52" t="s">
        <v>607</v>
      </c>
      <c r="J2727" s="52" t="s">
        <v>607</v>
      </c>
      <c r="K2727" s="52" t="s">
        <v>607</v>
      </c>
      <c r="L2727" s="52" t="s">
        <v>607</v>
      </c>
      <c r="M2727" s="52" t="s">
        <v>607</v>
      </c>
      <c r="N2727" s="52" t="s">
        <v>607</v>
      </c>
      <c r="O2727" s="52"/>
      <c r="P2727" s="52"/>
      <c r="Q2727" s="52"/>
      <c r="R2727" s="51" t="b">
        <v>0</v>
      </c>
      <c r="S2727" s="51"/>
      <c r="T2727" s="52"/>
      <c r="U2727" s="51" t="b">
        <v>0</v>
      </c>
      <c r="V2727" s="51" t="b">
        <v>0</v>
      </c>
      <c r="W2727" s="51" t="b">
        <v>0</v>
      </c>
      <c r="X2727" s="51" t="b">
        <v>0</v>
      </c>
      <c r="Y2727" s="51" t="b">
        <v>0</v>
      </c>
      <c r="Z2727" s="51" t="b">
        <v>0</v>
      </c>
      <c r="AA2727" s="68"/>
      <c r="AB2727" s="52"/>
      <c r="AC2727" s="52"/>
      <c r="AD2727" s="52"/>
      <c r="AE2727" s="56" t="s">
        <v>607</v>
      </c>
      <c r="AF2727" s="56" t="s">
        <v>607</v>
      </c>
    </row>
    <row r="2728">
      <c r="A2728" s="52" t="s">
        <v>6277</v>
      </c>
      <c r="B2728" s="52" t="s">
        <v>607</v>
      </c>
      <c r="C2728" s="52" t="s">
        <v>607</v>
      </c>
      <c r="D2728" s="65" t="s">
        <v>607</v>
      </c>
      <c r="E2728" s="65" t="s">
        <v>607</v>
      </c>
      <c r="F2728" s="65" t="s">
        <v>607</v>
      </c>
      <c r="G2728" s="65" t="s">
        <v>607</v>
      </c>
      <c r="H2728" s="52" t="s">
        <v>607</v>
      </c>
      <c r="I2728" s="52" t="s">
        <v>607</v>
      </c>
      <c r="J2728" s="52" t="s">
        <v>607</v>
      </c>
      <c r="K2728" s="52" t="s">
        <v>607</v>
      </c>
      <c r="L2728" s="52" t="s">
        <v>607</v>
      </c>
      <c r="M2728" s="52" t="s">
        <v>607</v>
      </c>
      <c r="N2728" s="52" t="s">
        <v>607</v>
      </c>
      <c r="O2728" s="52"/>
      <c r="P2728" s="52"/>
      <c r="Q2728" s="52"/>
      <c r="R2728" s="51" t="b">
        <v>0</v>
      </c>
      <c r="S2728" s="51"/>
      <c r="T2728" s="52"/>
      <c r="U2728" s="51" t="b">
        <v>0</v>
      </c>
      <c r="V2728" s="51" t="b">
        <v>0</v>
      </c>
      <c r="W2728" s="51" t="b">
        <v>0</v>
      </c>
      <c r="X2728" s="51" t="b">
        <v>0</v>
      </c>
      <c r="Y2728" s="51" t="b">
        <v>0</v>
      </c>
      <c r="Z2728" s="51" t="b">
        <v>0</v>
      </c>
      <c r="AA2728" s="68"/>
      <c r="AB2728" s="52"/>
      <c r="AC2728" s="52"/>
      <c r="AD2728" s="52"/>
      <c r="AE2728" s="56" t="s">
        <v>607</v>
      </c>
      <c r="AF2728" s="56" t="s">
        <v>607</v>
      </c>
    </row>
    <row r="2729">
      <c r="A2729" s="52" t="s">
        <v>6278</v>
      </c>
      <c r="B2729" s="52" t="s">
        <v>607</v>
      </c>
      <c r="C2729" s="52" t="s">
        <v>607</v>
      </c>
      <c r="D2729" s="65" t="s">
        <v>607</v>
      </c>
      <c r="E2729" s="65" t="s">
        <v>607</v>
      </c>
      <c r="F2729" s="65" t="s">
        <v>607</v>
      </c>
      <c r="G2729" s="65" t="s">
        <v>607</v>
      </c>
      <c r="H2729" s="52" t="s">
        <v>607</v>
      </c>
      <c r="I2729" s="52" t="s">
        <v>607</v>
      </c>
      <c r="J2729" s="52" t="s">
        <v>607</v>
      </c>
      <c r="K2729" s="52" t="s">
        <v>607</v>
      </c>
      <c r="L2729" s="52" t="s">
        <v>607</v>
      </c>
      <c r="M2729" s="52" t="s">
        <v>607</v>
      </c>
      <c r="N2729" s="52" t="s">
        <v>607</v>
      </c>
      <c r="O2729" s="52"/>
      <c r="P2729" s="52"/>
      <c r="Q2729" s="52"/>
      <c r="R2729" s="51" t="b">
        <v>0</v>
      </c>
      <c r="S2729" s="51"/>
      <c r="T2729" s="52"/>
      <c r="U2729" s="51" t="b">
        <v>0</v>
      </c>
      <c r="V2729" s="51" t="b">
        <v>0</v>
      </c>
      <c r="W2729" s="51" t="b">
        <v>0</v>
      </c>
      <c r="X2729" s="51" t="b">
        <v>0</v>
      </c>
      <c r="Y2729" s="51" t="b">
        <v>0</v>
      </c>
      <c r="Z2729" s="51" t="b">
        <v>0</v>
      </c>
      <c r="AA2729" s="68"/>
      <c r="AB2729" s="52"/>
      <c r="AC2729" s="52"/>
      <c r="AD2729" s="52"/>
      <c r="AE2729" s="56" t="s">
        <v>607</v>
      </c>
      <c r="AF2729" s="56" t="s">
        <v>607</v>
      </c>
    </row>
    <row r="2730">
      <c r="A2730" s="52" t="s">
        <v>6282</v>
      </c>
      <c r="B2730" s="52" t="s">
        <v>607</v>
      </c>
      <c r="C2730" s="52" t="s">
        <v>607</v>
      </c>
      <c r="D2730" s="65" t="s">
        <v>607</v>
      </c>
      <c r="E2730" s="65" t="s">
        <v>607</v>
      </c>
      <c r="F2730" s="65" t="s">
        <v>607</v>
      </c>
      <c r="G2730" s="65" t="s">
        <v>607</v>
      </c>
      <c r="H2730" s="52" t="s">
        <v>607</v>
      </c>
      <c r="I2730" s="52" t="s">
        <v>607</v>
      </c>
      <c r="J2730" s="52" t="s">
        <v>607</v>
      </c>
      <c r="K2730" s="52" t="s">
        <v>607</v>
      </c>
      <c r="L2730" s="52" t="s">
        <v>607</v>
      </c>
      <c r="M2730" s="52" t="s">
        <v>607</v>
      </c>
      <c r="N2730" s="52" t="s">
        <v>607</v>
      </c>
      <c r="O2730" s="52"/>
      <c r="P2730" s="52"/>
      <c r="Q2730" s="52"/>
      <c r="R2730" s="51" t="b">
        <v>0</v>
      </c>
      <c r="S2730" s="51"/>
      <c r="T2730" s="52"/>
      <c r="U2730" s="51" t="b">
        <v>0</v>
      </c>
      <c r="V2730" s="51" t="b">
        <v>0</v>
      </c>
      <c r="W2730" s="51" t="b">
        <v>0</v>
      </c>
      <c r="X2730" s="51" t="b">
        <v>0</v>
      </c>
      <c r="Y2730" s="51" t="b">
        <v>0</v>
      </c>
      <c r="Z2730" s="51" t="b">
        <v>0</v>
      </c>
      <c r="AA2730" s="68"/>
      <c r="AB2730" s="52"/>
      <c r="AC2730" s="52"/>
      <c r="AD2730" s="52"/>
      <c r="AE2730" s="56" t="s">
        <v>607</v>
      </c>
      <c r="AF2730" s="56" t="s">
        <v>607</v>
      </c>
    </row>
    <row r="2731">
      <c r="A2731" s="52" t="s">
        <v>6284</v>
      </c>
      <c r="B2731" s="52" t="s">
        <v>607</v>
      </c>
      <c r="C2731" s="52" t="s">
        <v>607</v>
      </c>
      <c r="D2731" s="65" t="s">
        <v>607</v>
      </c>
      <c r="E2731" s="65" t="s">
        <v>607</v>
      </c>
      <c r="F2731" s="65" t="s">
        <v>607</v>
      </c>
      <c r="G2731" s="65" t="s">
        <v>607</v>
      </c>
      <c r="H2731" s="52" t="s">
        <v>607</v>
      </c>
      <c r="I2731" s="52" t="s">
        <v>607</v>
      </c>
      <c r="J2731" s="52" t="s">
        <v>607</v>
      </c>
      <c r="K2731" s="52" t="s">
        <v>607</v>
      </c>
      <c r="L2731" s="52" t="s">
        <v>607</v>
      </c>
      <c r="M2731" s="52" t="s">
        <v>607</v>
      </c>
      <c r="N2731" s="52" t="s">
        <v>607</v>
      </c>
      <c r="O2731" s="52"/>
      <c r="P2731" s="52"/>
      <c r="Q2731" s="52"/>
      <c r="R2731" s="51" t="b">
        <v>0</v>
      </c>
      <c r="S2731" s="51"/>
      <c r="T2731" s="52"/>
      <c r="U2731" s="51" t="b">
        <v>0</v>
      </c>
      <c r="V2731" s="51" t="b">
        <v>0</v>
      </c>
      <c r="W2731" s="51" t="b">
        <v>0</v>
      </c>
      <c r="X2731" s="51" t="b">
        <v>0</v>
      </c>
      <c r="Y2731" s="51" t="b">
        <v>0</v>
      </c>
      <c r="Z2731" s="51" t="b">
        <v>0</v>
      </c>
      <c r="AA2731" s="68"/>
      <c r="AB2731" s="52"/>
      <c r="AC2731" s="52"/>
      <c r="AD2731" s="52"/>
      <c r="AE2731" s="56" t="s">
        <v>607</v>
      </c>
      <c r="AF2731" s="56" t="s">
        <v>607</v>
      </c>
    </row>
    <row r="2732">
      <c r="A2732" s="52" t="s">
        <v>6285</v>
      </c>
      <c r="B2732" s="52" t="s">
        <v>607</v>
      </c>
      <c r="C2732" s="52" t="s">
        <v>607</v>
      </c>
      <c r="D2732" s="65" t="s">
        <v>607</v>
      </c>
      <c r="E2732" s="65" t="s">
        <v>607</v>
      </c>
      <c r="F2732" s="65" t="s">
        <v>607</v>
      </c>
      <c r="G2732" s="65" t="s">
        <v>607</v>
      </c>
      <c r="H2732" s="52" t="s">
        <v>607</v>
      </c>
      <c r="I2732" s="52" t="s">
        <v>607</v>
      </c>
      <c r="J2732" s="52" t="s">
        <v>607</v>
      </c>
      <c r="K2732" s="52" t="s">
        <v>607</v>
      </c>
      <c r="L2732" s="52" t="s">
        <v>607</v>
      </c>
      <c r="M2732" s="52" t="s">
        <v>607</v>
      </c>
      <c r="N2732" s="52" t="s">
        <v>607</v>
      </c>
      <c r="O2732" s="52"/>
      <c r="P2732" s="52"/>
      <c r="Q2732" s="52"/>
      <c r="R2732" s="51" t="b">
        <v>0</v>
      </c>
      <c r="S2732" s="51"/>
      <c r="T2732" s="52"/>
      <c r="U2732" s="51" t="b">
        <v>0</v>
      </c>
      <c r="V2732" s="51" t="b">
        <v>0</v>
      </c>
      <c r="W2732" s="51" t="b">
        <v>0</v>
      </c>
      <c r="X2732" s="51" t="b">
        <v>0</v>
      </c>
      <c r="Y2732" s="51" t="b">
        <v>0</v>
      </c>
      <c r="Z2732" s="51" t="b">
        <v>0</v>
      </c>
      <c r="AA2732" s="68"/>
      <c r="AB2732" s="52"/>
      <c r="AC2732" s="52"/>
      <c r="AD2732" s="52"/>
      <c r="AE2732" s="56" t="s">
        <v>607</v>
      </c>
      <c r="AF2732" s="56" t="s">
        <v>607</v>
      </c>
    </row>
    <row r="2733">
      <c r="A2733" s="52" t="s">
        <v>6286</v>
      </c>
      <c r="B2733" s="52" t="s">
        <v>607</v>
      </c>
      <c r="C2733" s="52" t="s">
        <v>607</v>
      </c>
      <c r="D2733" s="65" t="s">
        <v>607</v>
      </c>
      <c r="E2733" s="65" t="s">
        <v>607</v>
      </c>
      <c r="F2733" s="65" t="s">
        <v>607</v>
      </c>
      <c r="G2733" s="65" t="s">
        <v>607</v>
      </c>
      <c r="H2733" s="52" t="s">
        <v>607</v>
      </c>
      <c r="I2733" s="52" t="s">
        <v>607</v>
      </c>
      <c r="J2733" s="52" t="s">
        <v>607</v>
      </c>
      <c r="K2733" s="52" t="s">
        <v>607</v>
      </c>
      <c r="L2733" s="52" t="s">
        <v>607</v>
      </c>
      <c r="M2733" s="52" t="s">
        <v>607</v>
      </c>
      <c r="N2733" s="52" t="s">
        <v>607</v>
      </c>
      <c r="O2733" s="52"/>
      <c r="P2733" s="52"/>
      <c r="Q2733" s="52"/>
      <c r="R2733" s="51" t="b">
        <v>0</v>
      </c>
      <c r="S2733" s="51"/>
      <c r="T2733" s="52"/>
      <c r="U2733" s="51" t="b">
        <v>0</v>
      </c>
      <c r="V2733" s="51" t="b">
        <v>0</v>
      </c>
      <c r="W2733" s="51" t="b">
        <v>0</v>
      </c>
      <c r="X2733" s="51" t="b">
        <v>0</v>
      </c>
      <c r="Y2733" s="51" t="b">
        <v>0</v>
      </c>
      <c r="Z2733" s="51" t="b">
        <v>0</v>
      </c>
      <c r="AA2733" s="68"/>
      <c r="AB2733" s="52"/>
      <c r="AC2733" s="52"/>
      <c r="AD2733" s="52"/>
      <c r="AE2733" s="56" t="s">
        <v>607</v>
      </c>
      <c r="AF2733" s="56" t="s">
        <v>607</v>
      </c>
    </row>
    <row r="2734">
      <c r="A2734" s="52" t="s">
        <v>6287</v>
      </c>
      <c r="B2734" s="52" t="s">
        <v>607</v>
      </c>
      <c r="C2734" s="52" t="s">
        <v>607</v>
      </c>
      <c r="D2734" s="65" t="s">
        <v>607</v>
      </c>
      <c r="E2734" s="65" t="s">
        <v>607</v>
      </c>
      <c r="F2734" s="65" t="s">
        <v>607</v>
      </c>
      <c r="G2734" s="65" t="s">
        <v>607</v>
      </c>
      <c r="H2734" s="52" t="s">
        <v>607</v>
      </c>
      <c r="I2734" s="52" t="s">
        <v>607</v>
      </c>
      <c r="J2734" s="52" t="s">
        <v>607</v>
      </c>
      <c r="K2734" s="52" t="s">
        <v>607</v>
      </c>
      <c r="L2734" s="52" t="s">
        <v>607</v>
      </c>
      <c r="M2734" s="52" t="s">
        <v>607</v>
      </c>
      <c r="N2734" s="52" t="s">
        <v>607</v>
      </c>
      <c r="O2734" s="52"/>
      <c r="P2734" s="52"/>
      <c r="Q2734" s="52"/>
      <c r="R2734" s="51" t="b">
        <v>0</v>
      </c>
      <c r="S2734" s="51"/>
      <c r="T2734" s="52"/>
      <c r="U2734" s="51" t="b">
        <v>0</v>
      </c>
      <c r="V2734" s="51" t="b">
        <v>0</v>
      </c>
      <c r="W2734" s="51" t="b">
        <v>0</v>
      </c>
      <c r="X2734" s="51" t="b">
        <v>0</v>
      </c>
      <c r="Y2734" s="51" t="b">
        <v>0</v>
      </c>
      <c r="Z2734" s="51" t="b">
        <v>0</v>
      </c>
      <c r="AA2734" s="68"/>
      <c r="AB2734" s="52"/>
      <c r="AC2734" s="52"/>
      <c r="AD2734" s="52"/>
      <c r="AE2734" s="56" t="s">
        <v>607</v>
      </c>
      <c r="AF2734" s="56" t="s">
        <v>607</v>
      </c>
    </row>
    <row r="2735">
      <c r="A2735" s="52" t="s">
        <v>6290</v>
      </c>
      <c r="B2735" s="52" t="s">
        <v>607</v>
      </c>
      <c r="C2735" s="52" t="s">
        <v>607</v>
      </c>
      <c r="D2735" s="65" t="s">
        <v>607</v>
      </c>
      <c r="E2735" s="65" t="s">
        <v>607</v>
      </c>
      <c r="F2735" s="65" t="s">
        <v>607</v>
      </c>
      <c r="G2735" s="65" t="s">
        <v>607</v>
      </c>
      <c r="H2735" s="52" t="s">
        <v>607</v>
      </c>
      <c r="I2735" s="52" t="s">
        <v>607</v>
      </c>
      <c r="J2735" s="52" t="s">
        <v>607</v>
      </c>
      <c r="K2735" s="52" t="s">
        <v>607</v>
      </c>
      <c r="L2735" s="52" t="s">
        <v>607</v>
      </c>
      <c r="M2735" s="52" t="s">
        <v>607</v>
      </c>
      <c r="N2735" s="52" t="s">
        <v>607</v>
      </c>
      <c r="O2735" s="52"/>
      <c r="P2735" s="52"/>
      <c r="Q2735" s="52"/>
      <c r="R2735" s="51" t="b">
        <v>0</v>
      </c>
      <c r="S2735" s="51"/>
      <c r="T2735" s="52"/>
      <c r="U2735" s="51" t="b">
        <v>0</v>
      </c>
      <c r="V2735" s="51" t="b">
        <v>0</v>
      </c>
      <c r="W2735" s="51" t="b">
        <v>0</v>
      </c>
      <c r="X2735" s="51" t="b">
        <v>0</v>
      </c>
      <c r="Y2735" s="51" t="b">
        <v>0</v>
      </c>
      <c r="Z2735" s="51" t="b">
        <v>0</v>
      </c>
      <c r="AA2735" s="68"/>
      <c r="AB2735" s="52"/>
      <c r="AC2735" s="52"/>
      <c r="AD2735" s="52"/>
      <c r="AE2735" s="56" t="s">
        <v>607</v>
      </c>
      <c r="AF2735" s="56" t="s">
        <v>607</v>
      </c>
    </row>
    <row r="2736">
      <c r="A2736" s="52" t="s">
        <v>6291</v>
      </c>
      <c r="B2736" s="52" t="s">
        <v>607</v>
      </c>
      <c r="C2736" s="52" t="s">
        <v>607</v>
      </c>
      <c r="D2736" s="65" t="s">
        <v>607</v>
      </c>
      <c r="E2736" s="65" t="s">
        <v>607</v>
      </c>
      <c r="F2736" s="65" t="s">
        <v>607</v>
      </c>
      <c r="G2736" s="65" t="s">
        <v>607</v>
      </c>
      <c r="H2736" s="52" t="s">
        <v>607</v>
      </c>
      <c r="I2736" s="52" t="s">
        <v>607</v>
      </c>
      <c r="J2736" s="52" t="s">
        <v>607</v>
      </c>
      <c r="K2736" s="52" t="s">
        <v>607</v>
      </c>
      <c r="L2736" s="52" t="s">
        <v>607</v>
      </c>
      <c r="M2736" s="52" t="s">
        <v>607</v>
      </c>
      <c r="N2736" s="52" t="s">
        <v>607</v>
      </c>
      <c r="O2736" s="52"/>
      <c r="P2736" s="52"/>
      <c r="Q2736" s="52"/>
      <c r="R2736" s="51" t="b">
        <v>0</v>
      </c>
      <c r="S2736" s="51"/>
      <c r="T2736" s="52"/>
      <c r="U2736" s="51" t="b">
        <v>0</v>
      </c>
      <c r="V2736" s="51" t="b">
        <v>0</v>
      </c>
      <c r="W2736" s="51" t="b">
        <v>0</v>
      </c>
      <c r="X2736" s="51" t="b">
        <v>0</v>
      </c>
      <c r="Y2736" s="51" t="b">
        <v>0</v>
      </c>
      <c r="Z2736" s="51" t="b">
        <v>0</v>
      </c>
      <c r="AA2736" s="68"/>
      <c r="AB2736" s="52"/>
      <c r="AC2736" s="52"/>
      <c r="AD2736" s="52"/>
      <c r="AE2736" s="56" t="s">
        <v>607</v>
      </c>
      <c r="AF2736" s="56" t="s">
        <v>607</v>
      </c>
    </row>
    <row r="2737">
      <c r="A2737" s="52" t="s">
        <v>6292</v>
      </c>
      <c r="B2737" s="52" t="s">
        <v>607</v>
      </c>
      <c r="C2737" s="52" t="s">
        <v>607</v>
      </c>
      <c r="D2737" s="65" t="s">
        <v>607</v>
      </c>
      <c r="E2737" s="65" t="s">
        <v>607</v>
      </c>
      <c r="F2737" s="65" t="s">
        <v>607</v>
      </c>
      <c r="G2737" s="65" t="s">
        <v>607</v>
      </c>
      <c r="H2737" s="52" t="s">
        <v>607</v>
      </c>
      <c r="I2737" s="52" t="s">
        <v>607</v>
      </c>
      <c r="J2737" s="52" t="s">
        <v>607</v>
      </c>
      <c r="K2737" s="52" t="s">
        <v>607</v>
      </c>
      <c r="L2737" s="52" t="s">
        <v>607</v>
      </c>
      <c r="M2737" s="52" t="s">
        <v>607</v>
      </c>
      <c r="N2737" s="52" t="s">
        <v>607</v>
      </c>
      <c r="O2737" s="52"/>
      <c r="P2737" s="52"/>
      <c r="Q2737" s="52"/>
      <c r="R2737" s="51" t="b">
        <v>0</v>
      </c>
      <c r="S2737" s="51"/>
      <c r="T2737" s="52"/>
      <c r="U2737" s="51" t="b">
        <v>0</v>
      </c>
      <c r="V2737" s="51" t="b">
        <v>0</v>
      </c>
      <c r="W2737" s="51" t="b">
        <v>0</v>
      </c>
      <c r="X2737" s="51" t="b">
        <v>0</v>
      </c>
      <c r="Y2737" s="51" t="b">
        <v>0</v>
      </c>
      <c r="Z2737" s="51" t="b">
        <v>0</v>
      </c>
      <c r="AA2737" s="68"/>
      <c r="AB2737" s="52"/>
      <c r="AC2737" s="52"/>
      <c r="AD2737" s="52"/>
      <c r="AE2737" s="56" t="s">
        <v>607</v>
      </c>
      <c r="AF2737" s="56" t="s">
        <v>607</v>
      </c>
    </row>
    <row r="2738">
      <c r="A2738" s="52" t="s">
        <v>6296</v>
      </c>
      <c r="B2738" s="52" t="s">
        <v>607</v>
      </c>
      <c r="C2738" s="52" t="s">
        <v>607</v>
      </c>
      <c r="D2738" s="65" t="s">
        <v>607</v>
      </c>
      <c r="E2738" s="65" t="s">
        <v>607</v>
      </c>
      <c r="F2738" s="65" t="s">
        <v>607</v>
      </c>
      <c r="G2738" s="65" t="s">
        <v>607</v>
      </c>
      <c r="H2738" s="52" t="s">
        <v>607</v>
      </c>
      <c r="I2738" s="52" t="s">
        <v>607</v>
      </c>
      <c r="J2738" s="52" t="s">
        <v>607</v>
      </c>
      <c r="K2738" s="52" t="s">
        <v>607</v>
      </c>
      <c r="L2738" s="52" t="s">
        <v>607</v>
      </c>
      <c r="M2738" s="52" t="s">
        <v>607</v>
      </c>
      <c r="N2738" s="52" t="s">
        <v>607</v>
      </c>
      <c r="O2738" s="52"/>
      <c r="P2738" s="52"/>
      <c r="Q2738" s="52"/>
      <c r="R2738" s="51" t="b">
        <v>0</v>
      </c>
      <c r="S2738" s="51"/>
      <c r="T2738" s="52"/>
      <c r="U2738" s="51" t="b">
        <v>0</v>
      </c>
      <c r="V2738" s="51" t="b">
        <v>0</v>
      </c>
      <c r="W2738" s="51" t="b">
        <v>0</v>
      </c>
      <c r="X2738" s="51" t="b">
        <v>0</v>
      </c>
      <c r="Y2738" s="51" t="b">
        <v>0</v>
      </c>
      <c r="Z2738" s="51" t="b">
        <v>0</v>
      </c>
      <c r="AA2738" s="68"/>
      <c r="AB2738" s="52"/>
      <c r="AC2738" s="52"/>
      <c r="AD2738" s="52"/>
      <c r="AE2738" s="56" t="s">
        <v>607</v>
      </c>
      <c r="AF2738" s="56" t="s">
        <v>607</v>
      </c>
    </row>
    <row r="2739">
      <c r="A2739" s="52" t="s">
        <v>6297</v>
      </c>
      <c r="B2739" s="52" t="s">
        <v>607</v>
      </c>
      <c r="C2739" s="52" t="s">
        <v>607</v>
      </c>
      <c r="D2739" s="65" t="s">
        <v>607</v>
      </c>
      <c r="E2739" s="65" t="s">
        <v>607</v>
      </c>
      <c r="F2739" s="65" t="s">
        <v>607</v>
      </c>
      <c r="G2739" s="65" t="s">
        <v>607</v>
      </c>
      <c r="H2739" s="52" t="s">
        <v>607</v>
      </c>
      <c r="I2739" s="52" t="s">
        <v>607</v>
      </c>
      <c r="J2739" s="52" t="s">
        <v>607</v>
      </c>
      <c r="K2739" s="52" t="s">
        <v>607</v>
      </c>
      <c r="L2739" s="52" t="s">
        <v>607</v>
      </c>
      <c r="M2739" s="52" t="s">
        <v>607</v>
      </c>
      <c r="N2739" s="52" t="s">
        <v>607</v>
      </c>
      <c r="O2739" s="52"/>
      <c r="P2739" s="52"/>
      <c r="Q2739" s="52"/>
      <c r="R2739" s="51" t="b">
        <v>0</v>
      </c>
      <c r="S2739" s="51"/>
      <c r="T2739" s="52"/>
      <c r="U2739" s="51" t="b">
        <v>0</v>
      </c>
      <c r="V2739" s="51" t="b">
        <v>0</v>
      </c>
      <c r="W2739" s="51" t="b">
        <v>0</v>
      </c>
      <c r="X2739" s="51" t="b">
        <v>0</v>
      </c>
      <c r="Y2739" s="51" t="b">
        <v>0</v>
      </c>
      <c r="Z2739" s="51" t="b">
        <v>0</v>
      </c>
      <c r="AA2739" s="68"/>
      <c r="AB2739" s="52"/>
      <c r="AC2739" s="52"/>
      <c r="AD2739" s="52"/>
      <c r="AE2739" s="56" t="s">
        <v>607</v>
      </c>
      <c r="AF2739" s="56" t="s">
        <v>607</v>
      </c>
    </row>
    <row r="2740">
      <c r="A2740" s="52" t="s">
        <v>6298</v>
      </c>
      <c r="B2740" s="52" t="s">
        <v>607</v>
      </c>
      <c r="C2740" s="52" t="s">
        <v>607</v>
      </c>
      <c r="D2740" s="65" t="s">
        <v>607</v>
      </c>
      <c r="E2740" s="65" t="s">
        <v>607</v>
      </c>
      <c r="F2740" s="65" t="s">
        <v>607</v>
      </c>
      <c r="G2740" s="65" t="s">
        <v>607</v>
      </c>
      <c r="H2740" s="52" t="s">
        <v>607</v>
      </c>
      <c r="I2740" s="52" t="s">
        <v>607</v>
      </c>
      <c r="J2740" s="52" t="s">
        <v>607</v>
      </c>
      <c r="K2740" s="52" t="s">
        <v>607</v>
      </c>
      <c r="L2740" s="52" t="s">
        <v>607</v>
      </c>
      <c r="M2740" s="52" t="s">
        <v>607</v>
      </c>
      <c r="N2740" s="52" t="s">
        <v>607</v>
      </c>
      <c r="O2740" s="52"/>
      <c r="P2740" s="52"/>
      <c r="Q2740" s="52"/>
      <c r="R2740" s="51" t="b">
        <v>0</v>
      </c>
      <c r="S2740" s="51"/>
      <c r="T2740" s="52"/>
      <c r="U2740" s="51" t="b">
        <v>0</v>
      </c>
      <c r="V2740" s="51" t="b">
        <v>0</v>
      </c>
      <c r="W2740" s="51" t="b">
        <v>0</v>
      </c>
      <c r="X2740" s="51" t="b">
        <v>0</v>
      </c>
      <c r="Y2740" s="51" t="b">
        <v>0</v>
      </c>
      <c r="Z2740" s="51" t="b">
        <v>0</v>
      </c>
      <c r="AA2740" s="68"/>
      <c r="AB2740" s="52"/>
      <c r="AC2740" s="52"/>
      <c r="AD2740" s="52"/>
      <c r="AE2740" s="56" t="s">
        <v>607</v>
      </c>
      <c r="AF2740" s="56" t="s">
        <v>607</v>
      </c>
    </row>
    <row r="2741">
      <c r="A2741" s="52" t="s">
        <v>6301</v>
      </c>
      <c r="B2741" s="52" t="s">
        <v>607</v>
      </c>
      <c r="C2741" s="52" t="s">
        <v>607</v>
      </c>
      <c r="D2741" s="65" t="s">
        <v>607</v>
      </c>
      <c r="E2741" s="65" t="s">
        <v>607</v>
      </c>
      <c r="F2741" s="65" t="s">
        <v>607</v>
      </c>
      <c r="G2741" s="65" t="s">
        <v>607</v>
      </c>
      <c r="H2741" s="52" t="s">
        <v>607</v>
      </c>
      <c r="I2741" s="52" t="s">
        <v>607</v>
      </c>
      <c r="J2741" s="52" t="s">
        <v>607</v>
      </c>
      <c r="K2741" s="52" t="s">
        <v>607</v>
      </c>
      <c r="L2741" s="52" t="s">
        <v>607</v>
      </c>
      <c r="M2741" s="52" t="s">
        <v>607</v>
      </c>
      <c r="N2741" s="52" t="s">
        <v>607</v>
      </c>
      <c r="O2741" s="52"/>
      <c r="P2741" s="52"/>
      <c r="Q2741" s="52"/>
      <c r="R2741" s="51" t="b">
        <v>0</v>
      </c>
      <c r="S2741" s="51"/>
      <c r="T2741" s="52"/>
      <c r="U2741" s="51" t="b">
        <v>0</v>
      </c>
      <c r="V2741" s="51" t="b">
        <v>0</v>
      </c>
      <c r="W2741" s="51" t="b">
        <v>0</v>
      </c>
      <c r="X2741" s="51" t="b">
        <v>0</v>
      </c>
      <c r="Y2741" s="51" t="b">
        <v>0</v>
      </c>
      <c r="Z2741" s="51" t="b">
        <v>0</v>
      </c>
      <c r="AA2741" s="68"/>
      <c r="AB2741" s="52"/>
      <c r="AC2741" s="52"/>
      <c r="AD2741" s="52"/>
      <c r="AE2741" s="56" t="s">
        <v>607</v>
      </c>
      <c r="AF2741" s="56" t="s">
        <v>607</v>
      </c>
    </row>
    <row r="2742">
      <c r="A2742" s="52" t="s">
        <v>6303</v>
      </c>
      <c r="B2742" s="52" t="s">
        <v>607</v>
      </c>
      <c r="C2742" s="52" t="s">
        <v>607</v>
      </c>
      <c r="D2742" s="65" t="s">
        <v>607</v>
      </c>
      <c r="E2742" s="65" t="s">
        <v>607</v>
      </c>
      <c r="F2742" s="65" t="s">
        <v>607</v>
      </c>
      <c r="G2742" s="65" t="s">
        <v>607</v>
      </c>
      <c r="H2742" s="52" t="s">
        <v>607</v>
      </c>
      <c r="I2742" s="52" t="s">
        <v>607</v>
      </c>
      <c r="J2742" s="52" t="s">
        <v>607</v>
      </c>
      <c r="K2742" s="52" t="s">
        <v>607</v>
      </c>
      <c r="L2742" s="52" t="s">
        <v>607</v>
      </c>
      <c r="M2742" s="52" t="s">
        <v>607</v>
      </c>
      <c r="N2742" s="52" t="s">
        <v>607</v>
      </c>
      <c r="O2742" s="52"/>
      <c r="P2742" s="52"/>
      <c r="Q2742" s="52"/>
      <c r="R2742" s="51" t="b">
        <v>0</v>
      </c>
      <c r="S2742" s="51"/>
      <c r="T2742" s="52"/>
      <c r="U2742" s="51" t="b">
        <v>0</v>
      </c>
      <c r="V2742" s="51" t="b">
        <v>0</v>
      </c>
      <c r="W2742" s="51" t="b">
        <v>0</v>
      </c>
      <c r="X2742" s="51" t="b">
        <v>0</v>
      </c>
      <c r="Y2742" s="51" t="b">
        <v>0</v>
      </c>
      <c r="Z2742" s="51" t="b">
        <v>0</v>
      </c>
      <c r="AA2742" s="68"/>
      <c r="AB2742" s="52"/>
      <c r="AC2742" s="52"/>
      <c r="AD2742" s="52"/>
      <c r="AE2742" s="56" t="s">
        <v>607</v>
      </c>
      <c r="AF2742" s="56" t="s">
        <v>607</v>
      </c>
    </row>
    <row r="2743">
      <c r="A2743" s="52" t="s">
        <v>6304</v>
      </c>
      <c r="B2743" s="52" t="s">
        <v>607</v>
      </c>
      <c r="C2743" s="52" t="s">
        <v>607</v>
      </c>
      <c r="D2743" s="65" t="s">
        <v>607</v>
      </c>
      <c r="E2743" s="65" t="s">
        <v>607</v>
      </c>
      <c r="F2743" s="65" t="s">
        <v>607</v>
      </c>
      <c r="G2743" s="65" t="s">
        <v>607</v>
      </c>
      <c r="H2743" s="52" t="s">
        <v>607</v>
      </c>
      <c r="I2743" s="52" t="s">
        <v>607</v>
      </c>
      <c r="J2743" s="52" t="s">
        <v>607</v>
      </c>
      <c r="K2743" s="52" t="s">
        <v>607</v>
      </c>
      <c r="L2743" s="52" t="s">
        <v>607</v>
      </c>
      <c r="M2743" s="52" t="s">
        <v>607</v>
      </c>
      <c r="N2743" s="52" t="s">
        <v>607</v>
      </c>
      <c r="O2743" s="52"/>
      <c r="P2743" s="52"/>
      <c r="Q2743" s="52"/>
      <c r="R2743" s="51" t="b">
        <v>0</v>
      </c>
      <c r="S2743" s="51"/>
      <c r="T2743" s="52"/>
      <c r="U2743" s="51" t="b">
        <v>0</v>
      </c>
      <c r="V2743" s="51" t="b">
        <v>0</v>
      </c>
      <c r="W2743" s="51" t="b">
        <v>0</v>
      </c>
      <c r="X2743" s="51" t="b">
        <v>0</v>
      </c>
      <c r="Y2743" s="51" t="b">
        <v>0</v>
      </c>
      <c r="Z2743" s="51" t="b">
        <v>0</v>
      </c>
      <c r="AA2743" s="68"/>
      <c r="AB2743" s="52"/>
      <c r="AC2743" s="52"/>
      <c r="AD2743" s="52"/>
      <c r="AE2743" s="56" t="s">
        <v>607</v>
      </c>
      <c r="AF2743" s="56" t="s">
        <v>607</v>
      </c>
    </row>
    <row r="2744">
      <c r="A2744" s="52" t="s">
        <v>6305</v>
      </c>
      <c r="B2744" s="52" t="s">
        <v>607</v>
      </c>
      <c r="C2744" s="52" t="s">
        <v>607</v>
      </c>
      <c r="D2744" s="65" t="s">
        <v>607</v>
      </c>
      <c r="E2744" s="65" t="s">
        <v>607</v>
      </c>
      <c r="F2744" s="65" t="s">
        <v>607</v>
      </c>
      <c r="G2744" s="65" t="s">
        <v>607</v>
      </c>
      <c r="H2744" s="52" t="s">
        <v>607</v>
      </c>
      <c r="I2744" s="52" t="s">
        <v>607</v>
      </c>
      <c r="J2744" s="52" t="s">
        <v>607</v>
      </c>
      <c r="K2744" s="52" t="s">
        <v>607</v>
      </c>
      <c r="L2744" s="52" t="s">
        <v>607</v>
      </c>
      <c r="M2744" s="52" t="s">
        <v>607</v>
      </c>
      <c r="N2744" s="52" t="s">
        <v>607</v>
      </c>
      <c r="O2744" s="52"/>
      <c r="P2744" s="52"/>
      <c r="Q2744" s="52"/>
      <c r="R2744" s="51" t="b">
        <v>0</v>
      </c>
      <c r="S2744" s="51"/>
      <c r="T2744" s="52"/>
      <c r="U2744" s="51" t="b">
        <v>0</v>
      </c>
      <c r="V2744" s="51" t="b">
        <v>0</v>
      </c>
      <c r="W2744" s="51" t="b">
        <v>0</v>
      </c>
      <c r="X2744" s="51" t="b">
        <v>0</v>
      </c>
      <c r="Y2744" s="51" t="b">
        <v>0</v>
      </c>
      <c r="Z2744" s="51" t="b">
        <v>0</v>
      </c>
      <c r="AA2744" s="68"/>
      <c r="AB2744" s="52"/>
      <c r="AC2744" s="52"/>
      <c r="AD2744" s="52"/>
      <c r="AE2744" s="56" t="s">
        <v>607</v>
      </c>
      <c r="AF2744" s="56" t="s">
        <v>607</v>
      </c>
    </row>
    <row r="2745">
      <c r="A2745" s="52" t="s">
        <v>6307</v>
      </c>
      <c r="B2745" s="52" t="s">
        <v>607</v>
      </c>
      <c r="C2745" s="52" t="s">
        <v>607</v>
      </c>
      <c r="D2745" s="65" t="s">
        <v>607</v>
      </c>
      <c r="E2745" s="65" t="s">
        <v>607</v>
      </c>
      <c r="F2745" s="65" t="s">
        <v>607</v>
      </c>
      <c r="G2745" s="65" t="s">
        <v>607</v>
      </c>
      <c r="H2745" s="52" t="s">
        <v>607</v>
      </c>
      <c r="I2745" s="52" t="s">
        <v>607</v>
      </c>
      <c r="J2745" s="52" t="s">
        <v>607</v>
      </c>
      <c r="K2745" s="52" t="s">
        <v>607</v>
      </c>
      <c r="L2745" s="52" t="s">
        <v>607</v>
      </c>
      <c r="M2745" s="52" t="s">
        <v>607</v>
      </c>
      <c r="N2745" s="52" t="s">
        <v>607</v>
      </c>
      <c r="O2745" s="52"/>
      <c r="P2745" s="52"/>
      <c r="Q2745" s="52"/>
      <c r="R2745" s="51" t="b">
        <v>0</v>
      </c>
      <c r="S2745" s="51"/>
      <c r="T2745" s="52"/>
      <c r="U2745" s="51" t="b">
        <v>0</v>
      </c>
      <c r="V2745" s="51" t="b">
        <v>0</v>
      </c>
      <c r="W2745" s="51" t="b">
        <v>0</v>
      </c>
      <c r="X2745" s="51" t="b">
        <v>0</v>
      </c>
      <c r="Y2745" s="51" t="b">
        <v>0</v>
      </c>
      <c r="Z2745" s="51" t="b">
        <v>0</v>
      </c>
      <c r="AA2745" s="68"/>
      <c r="AB2745" s="52"/>
      <c r="AC2745" s="52"/>
      <c r="AD2745" s="52"/>
      <c r="AE2745" s="56" t="s">
        <v>607</v>
      </c>
      <c r="AF2745" s="56" t="s">
        <v>607</v>
      </c>
    </row>
    <row r="2746">
      <c r="A2746" s="52" t="s">
        <v>6310</v>
      </c>
      <c r="B2746" s="52" t="s">
        <v>607</v>
      </c>
      <c r="C2746" s="52" t="s">
        <v>607</v>
      </c>
      <c r="D2746" s="65" t="s">
        <v>607</v>
      </c>
      <c r="E2746" s="65" t="s">
        <v>607</v>
      </c>
      <c r="F2746" s="65" t="s">
        <v>607</v>
      </c>
      <c r="G2746" s="65" t="s">
        <v>607</v>
      </c>
      <c r="H2746" s="52" t="s">
        <v>607</v>
      </c>
      <c r="I2746" s="52" t="s">
        <v>607</v>
      </c>
      <c r="J2746" s="52" t="s">
        <v>607</v>
      </c>
      <c r="K2746" s="52" t="s">
        <v>607</v>
      </c>
      <c r="L2746" s="52" t="s">
        <v>607</v>
      </c>
      <c r="M2746" s="52" t="s">
        <v>607</v>
      </c>
      <c r="N2746" s="52" t="s">
        <v>607</v>
      </c>
      <c r="O2746" s="52"/>
      <c r="P2746" s="52"/>
      <c r="Q2746" s="52"/>
      <c r="R2746" s="51" t="b">
        <v>0</v>
      </c>
      <c r="S2746" s="51"/>
      <c r="T2746" s="52"/>
      <c r="U2746" s="51" t="b">
        <v>0</v>
      </c>
      <c r="V2746" s="51" t="b">
        <v>0</v>
      </c>
      <c r="W2746" s="51" t="b">
        <v>0</v>
      </c>
      <c r="X2746" s="51" t="b">
        <v>0</v>
      </c>
      <c r="Y2746" s="51" t="b">
        <v>0</v>
      </c>
      <c r="Z2746" s="51" t="b">
        <v>0</v>
      </c>
      <c r="AA2746" s="68"/>
      <c r="AB2746" s="52"/>
      <c r="AC2746" s="52"/>
      <c r="AD2746" s="52"/>
      <c r="AE2746" s="56" t="s">
        <v>607</v>
      </c>
      <c r="AF2746" s="56" t="s">
        <v>607</v>
      </c>
    </row>
    <row r="2747">
      <c r="A2747" s="52" t="s">
        <v>6311</v>
      </c>
      <c r="B2747" s="52" t="s">
        <v>607</v>
      </c>
      <c r="C2747" s="52" t="s">
        <v>607</v>
      </c>
      <c r="D2747" s="65" t="s">
        <v>607</v>
      </c>
      <c r="E2747" s="65" t="s">
        <v>607</v>
      </c>
      <c r="F2747" s="65" t="s">
        <v>607</v>
      </c>
      <c r="G2747" s="65" t="s">
        <v>607</v>
      </c>
      <c r="H2747" s="52" t="s">
        <v>607</v>
      </c>
      <c r="I2747" s="52" t="s">
        <v>607</v>
      </c>
      <c r="J2747" s="52" t="s">
        <v>607</v>
      </c>
      <c r="K2747" s="52" t="s">
        <v>607</v>
      </c>
      <c r="L2747" s="52" t="s">
        <v>607</v>
      </c>
      <c r="M2747" s="52" t="s">
        <v>607</v>
      </c>
      <c r="N2747" s="52" t="s">
        <v>607</v>
      </c>
      <c r="O2747" s="52"/>
      <c r="P2747" s="52"/>
      <c r="Q2747" s="52"/>
      <c r="R2747" s="51" t="b">
        <v>0</v>
      </c>
      <c r="S2747" s="51"/>
      <c r="T2747" s="52"/>
      <c r="U2747" s="51" t="b">
        <v>0</v>
      </c>
      <c r="V2747" s="51" t="b">
        <v>0</v>
      </c>
      <c r="W2747" s="51" t="b">
        <v>0</v>
      </c>
      <c r="X2747" s="51" t="b">
        <v>0</v>
      </c>
      <c r="Y2747" s="51" t="b">
        <v>0</v>
      </c>
      <c r="Z2747" s="51" t="b">
        <v>0</v>
      </c>
      <c r="AA2747" s="68"/>
      <c r="AB2747" s="52"/>
      <c r="AC2747" s="52"/>
      <c r="AD2747" s="52"/>
      <c r="AE2747" s="56" t="s">
        <v>607</v>
      </c>
      <c r="AF2747" s="56" t="s">
        <v>607</v>
      </c>
    </row>
    <row r="2748">
      <c r="A2748" s="52" t="s">
        <v>6312</v>
      </c>
      <c r="B2748" s="52" t="s">
        <v>607</v>
      </c>
      <c r="C2748" s="52" t="s">
        <v>607</v>
      </c>
      <c r="D2748" s="65" t="s">
        <v>607</v>
      </c>
      <c r="E2748" s="65" t="s">
        <v>607</v>
      </c>
      <c r="F2748" s="65" t="s">
        <v>607</v>
      </c>
      <c r="G2748" s="65" t="s">
        <v>607</v>
      </c>
      <c r="H2748" s="52" t="s">
        <v>607</v>
      </c>
      <c r="I2748" s="52" t="s">
        <v>607</v>
      </c>
      <c r="J2748" s="52" t="s">
        <v>607</v>
      </c>
      <c r="K2748" s="52" t="s">
        <v>607</v>
      </c>
      <c r="L2748" s="52" t="s">
        <v>607</v>
      </c>
      <c r="M2748" s="52" t="s">
        <v>607</v>
      </c>
      <c r="N2748" s="52" t="s">
        <v>607</v>
      </c>
      <c r="O2748" s="52"/>
      <c r="P2748" s="52"/>
      <c r="Q2748" s="52"/>
      <c r="R2748" s="51" t="b">
        <v>0</v>
      </c>
      <c r="S2748" s="51"/>
      <c r="T2748" s="52"/>
      <c r="U2748" s="51" t="b">
        <v>0</v>
      </c>
      <c r="V2748" s="51" t="b">
        <v>0</v>
      </c>
      <c r="W2748" s="51" t="b">
        <v>0</v>
      </c>
      <c r="X2748" s="51" t="b">
        <v>0</v>
      </c>
      <c r="Y2748" s="51" t="b">
        <v>0</v>
      </c>
      <c r="Z2748" s="51" t="b">
        <v>0</v>
      </c>
      <c r="AA2748" s="68"/>
      <c r="AB2748" s="52"/>
      <c r="AC2748" s="52"/>
      <c r="AD2748" s="52"/>
      <c r="AE2748" s="56" t="s">
        <v>607</v>
      </c>
      <c r="AF2748" s="56" t="s">
        <v>607</v>
      </c>
    </row>
    <row r="2749">
      <c r="A2749" s="52" t="s">
        <v>6316</v>
      </c>
      <c r="B2749" s="52" t="s">
        <v>607</v>
      </c>
      <c r="C2749" s="52" t="s">
        <v>607</v>
      </c>
      <c r="D2749" s="65" t="s">
        <v>607</v>
      </c>
      <c r="E2749" s="65" t="s">
        <v>607</v>
      </c>
      <c r="F2749" s="65" t="s">
        <v>607</v>
      </c>
      <c r="G2749" s="65" t="s">
        <v>607</v>
      </c>
      <c r="H2749" s="52" t="s">
        <v>607</v>
      </c>
      <c r="I2749" s="52" t="s">
        <v>607</v>
      </c>
      <c r="J2749" s="52" t="s">
        <v>607</v>
      </c>
      <c r="K2749" s="52" t="s">
        <v>607</v>
      </c>
      <c r="L2749" s="52" t="s">
        <v>607</v>
      </c>
      <c r="M2749" s="52" t="s">
        <v>607</v>
      </c>
      <c r="N2749" s="52" t="s">
        <v>607</v>
      </c>
      <c r="O2749" s="52"/>
      <c r="P2749" s="52"/>
      <c r="Q2749" s="52"/>
      <c r="R2749" s="51" t="b">
        <v>0</v>
      </c>
      <c r="S2749" s="51"/>
      <c r="T2749" s="52"/>
      <c r="U2749" s="51" t="b">
        <v>0</v>
      </c>
      <c r="V2749" s="51" t="b">
        <v>0</v>
      </c>
      <c r="W2749" s="51" t="b">
        <v>0</v>
      </c>
      <c r="X2749" s="51" t="b">
        <v>0</v>
      </c>
      <c r="Y2749" s="51" t="b">
        <v>0</v>
      </c>
      <c r="Z2749" s="51" t="b">
        <v>0</v>
      </c>
      <c r="AA2749" s="68"/>
      <c r="AB2749" s="52"/>
      <c r="AC2749" s="52"/>
      <c r="AD2749" s="52"/>
      <c r="AE2749" s="56" t="s">
        <v>607</v>
      </c>
      <c r="AF2749" s="56" t="s">
        <v>607</v>
      </c>
    </row>
    <row r="2750">
      <c r="A2750" s="52" t="s">
        <v>6317</v>
      </c>
      <c r="B2750" s="52" t="s">
        <v>607</v>
      </c>
      <c r="C2750" s="52" t="s">
        <v>607</v>
      </c>
      <c r="D2750" s="65" t="s">
        <v>607</v>
      </c>
      <c r="E2750" s="65" t="s">
        <v>607</v>
      </c>
      <c r="F2750" s="65" t="s">
        <v>607</v>
      </c>
      <c r="G2750" s="65" t="s">
        <v>607</v>
      </c>
      <c r="H2750" s="52" t="s">
        <v>607</v>
      </c>
      <c r="I2750" s="52" t="s">
        <v>607</v>
      </c>
      <c r="J2750" s="52" t="s">
        <v>607</v>
      </c>
      <c r="K2750" s="52" t="s">
        <v>607</v>
      </c>
      <c r="L2750" s="52" t="s">
        <v>607</v>
      </c>
      <c r="M2750" s="52" t="s">
        <v>607</v>
      </c>
      <c r="N2750" s="52" t="s">
        <v>607</v>
      </c>
      <c r="O2750" s="52"/>
      <c r="P2750" s="52"/>
      <c r="Q2750" s="52"/>
      <c r="R2750" s="51" t="b">
        <v>0</v>
      </c>
      <c r="S2750" s="51"/>
      <c r="T2750" s="52"/>
      <c r="U2750" s="51" t="b">
        <v>0</v>
      </c>
      <c r="V2750" s="51" t="b">
        <v>0</v>
      </c>
      <c r="W2750" s="51" t="b">
        <v>0</v>
      </c>
      <c r="X2750" s="51" t="b">
        <v>0</v>
      </c>
      <c r="Y2750" s="51" t="b">
        <v>0</v>
      </c>
      <c r="Z2750" s="51" t="b">
        <v>0</v>
      </c>
      <c r="AA2750" s="68"/>
      <c r="AB2750" s="52"/>
      <c r="AC2750" s="52"/>
      <c r="AD2750" s="52"/>
      <c r="AE2750" s="56" t="s">
        <v>607</v>
      </c>
      <c r="AF2750" s="56" t="s">
        <v>607</v>
      </c>
    </row>
    <row r="2751">
      <c r="A2751" s="52" t="s">
        <v>6321</v>
      </c>
      <c r="B2751" s="52" t="s">
        <v>607</v>
      </c>
      <c r="C2751" s="52" t="s">
        <v>607</v>
      </c>
      <c r="D2751" s="65" t="s">
        <v>607</v>
      </c>
      <c r="E2751" s="65" t="s">
        <v>607</v>
      </c>
      <c r="F2751" s="65" t="s">
        <v>607</v>
      </c>
      <c r="G2751" s="65" t="s">
        <v>607</v>
      </c>
      <c r="H2751" s="52" t="s">
        <v>607</v>
      </c>
      <c r="I2751" s="52" t="s">
        <v>607</v>
      </c>
      <c r="J2751" s="52" t="s">
        <v>607</v>
      </c>
      <c r="K2751" s="52" t="s">
        <v>607</v>
      </c>
      <c r="L2751" s="52" t="s">
        <v>607</v>
      </c>
      <c r="M2751" s="52" t="s">
        <v>607</v>
      </c>
      <c r="N2751" s="52" t="s">
        <v>607</v>
      </c>
      <c r="O2751" s="52"/>
      <c r="P2751" s="52"/>
      <c r="Q2751" s="52"/>
      <c r="R2751" s="51" t="b">
        <v>0</v>
      </c>
      <c r="S2751" s="51"/>
      <c r="T2751" s="52"/>
      <c r="U2751" s="51" t="b">
        <v>0</v>
      </c>
      <c r="V2751" s="51" t="b">
        <v>0</v>
      </c>
      <c r="W2751" s="51" t="b">
        <v>0</v>
      </c>
      <c r="X2751" s="51" t="b">
        <v>0</v>
      </c>
      <c r="Y2751" s="51" t="b">
        <v>0</v>
      </c>
      <c r="Z2751" s="51" t="b">
        <v>0</v>
      </c>
      <c r="AA2751" s="68"/>
      <c r="AB2751" s="52"/>
      <c r="AC2751" s="52"/>
      <c r="AD2751" s="52"/>
      <c r="AE2751" s="56" t="s">
        <v>607</v>
      </c>
      <c r="AF2751" s="56" t="s">
        <v>607</v>
      </c>
    </row>
    <row r="2752">
      <c r="A2752" s="52" t="s">
        <v>6324</v>
      </c>
      <c r="B2752" s="52" t="s">
        <v>607</v>
      </c>
      <c r="C2752" s="52" t="s">
        <v>607</v>
      </c>
      <c r="D2752" s="65" t="s">
        <v>607</v>
      </c>
      <c r="E2752" s="65" t="s">
        <v>607</v>
      </c>
      <c r="F2752" s="65" t="s">
        <v>607</v>
      </c>
      <c r="G2752" s="65" t="s">
        <v>607</v>
      </c>
      <c r="H2752" s="52" t="s">
        <v>607</v>
      </c>
      <c r="I2752" s="52" t="s">
        <v>607</v>
      </c>
      <c r="J2752" s="52" t="s">
        <v>607</v>
      </c>
      <c r="K2752" s="52" t="s">
        <v>607</v>
      </c>
      <c r="L2752" s="52" t="s">
        <v>607</v>
      </c>
      <c r="M2752" s="52" t="s">
        <v>607</v>
      </c>
      <c r="N2752" s="52" t="s">
        <v>607</v>
      </c>
      <c r="O2752" s="52"/>
      <c r="P2752" s="52"/>
      <c r="Q2752" s="52"/>
      <c r="R2752" s="51" t="b">
        <v>0</v>
      </c>
      <c r="S2752" s="51"/>
      <c r="T2752" s="52"/>
      <c r="U2752" s="51" t="b">
        <v>0</v>
      </c>
      <c r="V2752" s="51" t="b">
        <v>0</v>
      </c>
      <c r="W2752" s="51" t="b">
        <v>0</v>
      </c>
      <c r="X2752" s="51" t="b">
        <v>0</v>
      </c>
      <c r="Y2752" s="51" t="b">
        <v>0</v>
      </c>
      <c r="Z2752" s="51" t="b">
        <v>0</v>
      </c>
      <c r="AA2752" s="68"/>
      <c r="AB2752" s="52"/>
      <c r="AC2752" s="52"/>
      <c r="AD2752" s="52"/>
      <c r="AE2752" s="56" t="s">
        <v>607</v>
      </c>
      <c r="AF2752" s="56" t="s">
        <v>607</v>
      </c>
    </row>
    <row r="2753">
      <c r="A2753" s="52" t="s">
        <v>6325</v>
      </c>
      <c r="B2753" s="52" t="s">
        <v>607</v>
      </c>
      <c r="C2753" s="52" t="s">
        <v>607</v>
      </c>
      <c r="D2753" s="65" t="s">
        <v>607</v>
      </c>
      <c r="E2753" s="65" t="s">
        <v>607</v>
      </c>
      <c r="F2753" s="65" t="s">
        <v>607</v>
      </c>
      <c r="G2753" s="65" t="s">
        <v>607</v>
      </c>
      <c r="H2753" s="52" t="s">
        <v>607</v>
      </c>
      <c r="I2753" s="52" t="s">
        <v>607</v>
      </c>
      <c r="J2753" s="52" t="s">
        <v>607</v>
      </c>
      <c r="K2753" s="52" t="s">
        <v>607</v>
      </c>
      <c r="L2753" s="52" t="s">
        <v>607</v>
      </c>
      <c r="M2753" s="52" t="s">
        <v>607</v>
      </c>
      <c r="N2753" s="52" t="s">
        <v>607</v>
      </c>
      <c r="O2753" s="52"/>
      <c r="P2753" s="52"/>
      <c r="Q2753" s="52"/>
      <c r="R2753" s="51" t="b">
        <v>0</v>
      </c>
      <c r="S2753" s="51"/>
      <c r="T2753" s="52"/>
      <c r="U2753" s="51" t="b">
        <v>0</v>
      </c>
      <c r="V2753" s="51" t="b">
        <v>0</v>
      </c>
      <c r="W2753" s="51" t="b">
        <v>0</v>
      </c>
      <c r="X2753" s="51" t="b">
        <v>0</v>
      </c>
      <c r="Y2753" s="51" t="b">
        <v>0</v>
      </c>
      <c r="Z2753" s="51" t="b">
        <v>0</v>
      </c>
      <c r="AA2753" s="68"/>
      <c r="AB2753" s="52"/>
      <c r="AC2753" s="52"/>
      <c r="AD2753" s="52"/>
      <c r="AE2753" s="56" t="s">
        <v>607</v>
      </c>
      <c r="AF2753" s="56" t="s">
        <v>607</v>
      </c>
    </row>
    <row r="2754">
      <c r="A2754" s="52" t="s">
        <v>6326</v>
      </c>
      <c r="B2754" s="52" t="s">
        <v>607</v>
      </c>
      <c r="C2754" s="52" t="s">
        <v>607</v>
      </c>
      <c r="D2754" s="65" t="s">
        <v>607</v>
      </c>
      <c r="E2754" s="65" t="s">
        <v>607</v>
      </c>
      <c r="F2754" s="65" t="s">
        <v>607</v>
      </c>
      <c r="G2754" s="65" t="s">
        <v>607</v>
      </c>
      <c r="H2754" s="52" t="s">
        <v>607</v>
      </c>
      <c r="I2754" s="52" t="s">
        <v>607</v>
      </c>
      <c r="J2754" s="52" t="s">
        <v>607</v>
      </c>
      <c r="K2754" s="52" t="s">
        <v>607</v>
      </c>
      <c r="L2754" s="52" t="s">
        <v>607</v>
      </c>
      <c r="M2754" s="52" t="s">
        <v>607</v>
      </c>
      <c r="N2754" s="52" t="s">
        <v>607</v>
      </c>
      <c r="O2754" s="52"/>
      <c r="P2754" s="52"/>
      <c r="Q2754" s="52"/>
      <c r="R2754" s="51" t="b">
        <v>0</v>
      </c>
      <c r="S2754" s="51"/>
      <c r="T2754" s="52"/>
      <c r="U2754" s="51" t="b">
        <v>0</v>
      </c>
      <c r="V2754" s="51" t="b">
        <v>0</v>
      </c>
      <c r="W2754" s="51" t="b">
        <v>0</v>
      </c>
      <c r="X2754" s="51" t="b">
        <v>0</v>
      </c>
      <c r="Y2754" s="51" t="b">
        <v>0</v>
      </c>
      <c r="Z2754" s="51" t="b">
        <v>0</v>
      </c>
      <c r="AA2754" s="68"/>
      <c r="AB2754" s="52"/>
      <c r="AC2754" s="52"/>
      <c r="AD2754" s="52"/>
      <c r="AE2754" s="56" t="s">
        <v>607</v>
      </c>
      <c r="AF2754" s="56" t="s">
        <v>607</v>
      </c>
    </row>
    <row r="2755">
      <c r="A2755" s="52" t="s">
        <v>6327</v>
      </c>
      <c r="B2755" s="52" t="s">
        <v>607</v>
      </c>
      <c r="C2755" s="52" t="s">
        <v>607</v>
      </c>
      <c r="D2755" s="65" t="s">
        <v>607</v>
      </c>
      <c r="E2755" s="65" t="s">
        <v>607</v>
      </c>
      <c r="F2755" s="65" t="s">
        <v>607</v>
      </c>
      <c r="G2755" s="65" t="s">
        <v>607</v>
      </c>
      <c r="H2755" s="52" t="s">
        <v>607</v>
      </c>
      <c r="I2755" s="52" t="s">
        <v>607</v>
      </c>
      <c r="J2755" s="52" t="s">
        <v>607</v>
      </c>
      <c r="K2755" s="52" t="s">
        <v>607</v>
      </c>
      <c r="L2755" s="52" t="s">
        <v>607</v>
      </c>
      <c r="M2755" s="52" t="s">
        <v>607</v>
      </c>
      <c r="N2755" s="52" t="s">
        <v>607</v>
      </c>
      <c r="O2755" s="52"/>
      <c r="P2755" s="52"/>
      <c r="Q2755" s="52"/>
      <c r="R2755" s="51" t="b">
        <v>0</v>
      </c>
      <c r="S2755" s="51"/>
      <c r="T2755" s="52"/>
      <c r="U2755" s="51" t="b">
        <v>0</v>
      </c>
      <c r="V2755" s="51" t="b">
        <v>0</v>
      </c>
      <c r="W2755" s="51" t="b">
        <v>0</v>
      </c>
      <c r="X2755" s="51" t="b">
        <v>0</v>
      </c>
      <c r="Y2755" s="51" t="b">
        <v>0</v>
      </c>
      <c r="Z2755" s="51" t="b">
        <v>0</v>
      </c>
      <c r="AA2755" s="68"/>
      <c r="AB2755" s="52"/>
      <c r="AC2755" s="52"/>
      <c r="AD2755" s="52"/>
      <c r="AE2755" s="56" t="s">
        <v>607</v>
      </c>
      <c r="AF2755" s="56" t="s">
        <v>607</v>
      </c>
    </row>
    <row r="2756">
      <c r="A2756" s="52" t="s">
        <v>6328</v>
      </c>
      <c r="B2756" s="52" t="s">
        <v>607</v>
      </c>
      <c r="C2756" s="52" t="s">
        <v>607</v>
      </c>
      <c r="D2756" s="65" t="s">
        <v>607</v>
      </c>
      <c r="E2756" s="65" t="s">
        <v>607</v>
      </c>
      <c r="F2756" s="65" t="s">
        <v>607</v>
      </c>
      <c r="G2756" s="65" t="s">
        <v>607</v>
      </c>
      <c r="H2756" s="52" t="s">
        <v>607</v>
      </c>
      <c r="I2756" s="52" t="s">
        <v>607</v>
      </c>
      <c r="J2756" s="52" t="s">
        <v>607</v>
      </c>
      <c r="K2756" s="52" t="s">
        <v>607</v>
      </c>
      <c r="L2756" s="52" t="s">
        <v>607</v>
      </c>
      <c r="M2756" s="52" t="s">
        <v>607</v>
      </c>
      <c r="N2756" s="52" t="s">
        <v>607</v>
      </c>
      <c r="O2756" s="52"/>
      <c r="P2756" s="52"/>
      <c r="Q2756" s="52"/>
      <c r="R2756" s="51" t="b">
        <v>0</v>
      </c>
      <c r="S2756" s="51"/>
      <c r="T2756" s="52"/>
      <c r="U2756" s="51" t="b">
        <v>0</v>
      </c>
      <c r="V2756" s="51" t="b">
        <v>0</v>
      </c>
      <c r="W2756" s="51" t="b">
        <v>0</v>
      </c>
      <c r="X2756" s="51" t="b">
        <v>0</v>
      </c>
      <c r="Y2756" s="51" t="b">
        <v>0</v>
      </c>
      <c r="Z2756" s="51" t="b">
        <v>0</v>
      </c>
      <c r="AA2756" s="68"/>
      <c r="AB2756" s="52"/>
      <c r="AC2756" s="52"/>
      <c r="AD2756" s="52"/>
      <c r="AE2756" s="56" t="s">
        <v>607</v>
      </c>
      <c r="AF2756" s="56" t="s">
        <v>607</v>
      </c>
    </row>
    <row r="2757">
      <c r="A2757" s="52" t="s">
        <v>6329</v>
      </c>
      <c r="B2757" s="52" t="s">
        <v>607</v>
      </c>
      <c r="C2757" s="52" t="s">
        <v>607</v>
      </c>
      <c r="D2757" s="65" t="s">
        <v>607</v>
      </c>
      <c r="E2757" s="65" t="s">
        <v>607</v>
      </c>
      <c r="F2757" s="65" t="s">
        <v>607</v>
      </c>
      <c r="G2757" s="65" t="s">
        <v>607</v>
      </c>
      <c r="H2757" s="52" t="s">
        <v>607</v>
      </c>
      <c r="I2757" s="52" t="s">
        <v>607</v>
      </c>
      <c r="J2757" s="52" t="s">
        <v>607</v>
      </c>
      <c r="K2757" s="52" t="s">
        <v>607</v>
      </c>
      <c r="L2757" s="52" t="s">
        <v>607</v>
      </c>
      <c r="M2757" s="52" t="s">
        <v>607</v>
      </c>
      <c r="N2757" s="52" t="s">
        <v>607</v>
      </c>
      <c r="O2757" s="52"/>
      <c r="P2757" s="52"/>
      <c r="Q2757" s="52"/>
      <c r="R2757" s="51" t="b">
        <v>0</v>
      </c>
      <c r="S2757" s="51"/>
      <c r="T2757" s="52"/>
      <c r="U2757" s="51" t="b">
        <v>0</v>
      </c>
      <c r="V2757" s="51" t="b">
        <v>0</v>
      </c>
      <c r="W2757" s="51" t="b">
        <v>0</v>
      </c>
      <c r="X2757" s="51" t="b">
        <v>0</v>
      </c>
      <c r="Y2757" s="51" t="b">
        <v>0</v>
      </c>
      <c r="Z2757" s="51" t="b">
        <v>0</v>
      </c>
      <c r="AA2757" s="68"/>
      <c r="AB2757" s="52"/>
      <c r="AC2757" s="52"/>
      <c r="AD2757" s="52"/>
      <c r="AE2757" s="56" t="s">
        <v>607</v>
      </c>
      <c r="AF2757" s="56" t="s">
        <v>607</v>
      </c>
    </row>
    <row r="2758">
      <c r="A2758" s="52" t="s">
        <v>6331</v>
      </c>
      <c r="B2758" s="52" t="s">
        <v>607</v>
      </c>
      <c r="C2758" s="52" t="s">
        <v>607</v>
      </c>
      <c r="D2758" s="65" t="s">
        <v>607</v>
      </c>
      <c r="E2758" s="65" t="s">
        <v>607</v>
      </c>
      <c r="F2758" s="65" t="s">
        <v>607</v>
      </c>
      <c r="G2758" s="65" t="s">
        <v>607</v>
      </c>
      <c r="H2758" s="52" t="s">
        <v>607</v>
      </c>
      <c r="I2758" s="52" t="s">
        <v>607</v>
      </c>
      <c r="J2758" s="52" t="s">
        <v>607</v>
      </c>
      <c r="K2758" s="52" t="s">
        <v>607</v>
      </c>
      <c r="L2758" s="52" t="s">
        <v>607</v>
      </c>
      <c r="M2758" s="52" t="s">
        <v>607</v>
      </c>
      <c r="N2758" s="52" t="s">
        <v>607</v>
      </c>
      <c r="O2758" s="52"/>
      <c r="P2758" s="52"/>
      <c r="Q2758" s="52"/>
      <c r="R2758" s="51" t="b">
        <v>0</v>
      </c>
      <c r="S2758" s="51"/>
      <c r="T2758" s="52"/>
      <c r="U2758" s="51" t="b">
        <v>0</v>
      </c>
      <c r="V2758" s="51" t="b">
        <v>0</v>
      </c>
      <c r="W2758" s="51" t="b">
        <v>0</v>
      </c>
      <c r="X2758" s="51" t="b">
        <v>0</v>
      </c>
      <c r="Y2758" s="51" t="b">
        <v>0</v>
      </c>
      <c r="Z2758" s="51" t="b">
        <v>0</v>
      </c>
      <c r="AA2758" s="68"/>
      <c r="AB2758" s="52"/>
      <c r="AC2758" s="52"/>
      <c r="AD2758" s="52"/>
      <c r="AE2758" s="56" t="s">
        <v>607</v>
      </c>
      <c r="AF2758" s="56" t="s">
        <v>607</v>
      </c>
    </row>
    <row r="2759">
      <c r="A2759" s="52" t="s">
        <v>6334</v>
      </c>
      <c r="B2759" s="52" t="s">
        <v>607</v>
      </c>
      <c r="C2759" s="52" t="s">
        <v>607</v>
      </c>
      <c r="D2759" s="65" t="s">
        <v>607</v>
      </c>
      <c r="E2759" s="65" t="s">
        <v>607</v>
      </c>
      <c r="F2759" s="65" t="s">
        <v>607</v>
      </c>
      <c r="G2759" s="65" t="s">
        <v>607</v>
      </c>
      <c r="H2759" s="52" t="s">
        <v>607</v>
      </c>
      <c r="I2759" s="52" t="s">
        <v>607</v>
      </c>
      <c r="J2759" s="52" t="s">
        <v>607</v>
      </c>
      <c r="K2759" s="52" t="s">
        <v>607</v>
      </c>
      <c r="L2759" s="52" t="s">
        <v>607</v>
      </c>
      <c r="M2759" s="52" t="s">
        <v>607</v>
      </c>
      <c r="N2759" s="52" t="s">
        <v>607</v>
      </c>
      <c r="O2759" s="52"/>
      <c r="P2759" s="52"/>
      <c r="Q2759" s="52"/>
      <c r="R2759" s="51" t="b">
        <v>0</v>
      </c>
      <c r="S2759" s="51"/>
      <c r="T2759" s="52"/>
      <c r="U2759" s="51" t="b">
        <v>0</v>
      </c>
      <c r="V2759" s="51" t="b">
        <v>0</v>
      </c>
      <c r="W2759" s="51" t="b">
        <v>0</v>
      </c>
      <c r="X2759" s="51" t="b">
        <v>0</v>
      </c>
      <c r="Y2759" s="51" t="b">
        <v>0</v>
      </c>
      <c r="Z2759" s="51" t="b">
        <v>0</v>
      </c>
      <c r="AA2759" s="68"/>
      <c r="AB2759" s="52"/>
      <c r="AC2759" s="52"/>
      <c r="AD2759" s="52"/>
      <c r="AE2759" s="56" t="s">
        <v>607</v>
      </c>
      <c r="AF2759" s="56" t="s">
        <v>607</v>
      </c>
    </row>
    <row r="2760">
      <c r="A2760" s="52" t="s">
        <v>6335</v>
      </c>
      <c r="B2760" s="52" t="s">
        <v>607</v>
      </c>
      <c r="C2760" s="52" t="s">
        <v>607</v>
      </c>
      <c r="D2760" s="65" t="s">
        <v>607</v>
      </c>
      <c r="E2760" s="65" t="s">
        <v>607</v>
      </c>
      <c r="F2760" s="65" t="s">
        <v>607</v>
      </c>
      <c r="G2760" s="65" t="s">
        <v>607</v>
      </c>
      <c r="H2760" s="52" t="s">
        <v>607</v>
      </c>
      <c r="I2760" s="52" t="s">
        <v>607</v>
      </c>
      <c r="J2760" s="52" t="s">
        <v>607</v>
      </c>
      <c r="K2760" s="52" t="s">
        <v>607</v>
      </c>
      <c r="L2760" s="52" t="s">
        <v>607</v>
      </c>
      <c r="M2760" s="52" t="s">
        <v>607</v>
      </c>
      <c r="N2760" s="52" t="s">
        <v>607</v>
      </c>
      <c r="O2760" s="52"/>
      <c r="P2760" s="52"/>
      <c r="Q2760" s="52"/>
      <c r="R2760" s="51" t="b">
        <v>0</v>
      </c>
      <c r="S2760" s="51"/>
      <c r="T2760" s="52"/>
      <c r="U2760" s="51" t="b">
        <v>0</v>
      </c>
      <c r="V2760" s="51" t="b">
        <v>0</v>
      </c>
      <c r="W2760" s="51" t="b">
        <v>0</v>
      </c>
      <c r="X2760" s="51" t="b">
        <v>0</v>
      </c>
      <c r="Y2760" s="51" t="b">
        <v>0</v>
      </c>
      <c r="Z2760" s="51" t="b">
        <v>0</v>
      </c>
      <c r="AA2760" s="68"/>
      <c r="AB2760" s="52"/>
      <c r="AC2760" s="52"/>
      <c r="AD2760" s="52"/>
      <c r="AE2760" s="56" t="s">
        <v>607</v>
      </c>
      <c r="AF2760" s="56" t="s">
        <v>607</v>
      </c>
    </row>
    <row r="2761">
      <c r="A2761" s="52" t="s">
        <v>6336</v>
      </c>
      <c r="B2761" s="52" t="s">
        <v>607</v>
      </c>
      <c r="C2761" s="52" t="s">
        <v>607</v>
      </c>
      <c r="D2761" s="65" t="s">
        <v>607</v>
      </c>
      <c r="E2761" s="65" t="s">
        <v>607</v>
      </c>
      <c r="F2761" s="65" t="s">
        <v>607</v>
      </c>
      <c r="G2761" s="65" t="s">
        <v>607</v>
      </c>
      <c r="H2761" s="52" t="s">
        <v>607</v>
      </c>
      <c r="I2761" s="52" t="s">
        <v>607</v>
      </c>
      <c r="J2761" s="52" t="s">
        <v>607</v>
      </c>
      <c r="K2761" s="52" t="s">
        <v>607</v>
      </c>
      <c r="L2761" s="52" t="s">
        <v>607</v>
      </c>
      <c r="M2761" s="52" t="s">
        <v>607</v>
      </c>
      <c r="N2761" s="52" t="s">
        <v>607</v>
      </c>
      <c r="O2761" s="52"/>
      <c r="P2761" s="52"/>
      <c r="Q2761" s="52"/>
      <c r="R2761" s="51" t="b">
        <v>0</v>
      </c>
      <c r="S2761" s="51"/>
      <c r="T2761" s="52"/>
      <c r="U2761" s="51" t="b">
        <v>0</v>
      </c>
      <c r="V2761" s="51" t="b">
        <v>0</v>
      </c>
      <c r="W2761" s="51" t="b">
        <v>0</v>
      </c>
      <c r="X2761" s="51" t="b">
        <v>0</v>
      </c>
      <c r="Y2761" s="51" t="b">
        <v>0</v>
      </c>
      <c r="Z2761" s="51" t="b">
        <v>0</v>
      </c>
      <c r="AA2761" s="68"/>
      <c r="AB2761" s="52"/>
      <c r="AC2761" s="52"/>
      <c r="AD2761" s="52"/>
      <c r="AE2761" s="56" t="s">
        <v>607</v>
      </c>
      <c r="AF2761" s="56" t="s">
        <v>607</v>
      </c>
    </row>
    <row r="2762">
      <c r="A2762" s="52" t="s">
        <v>6337</v>
      </c>
      <c r="B2762" s="52" t="s">
        <v>607</v>
      </c>
      <c r="C2762" s="52" t="s">
        <v>607</v>
      </c>
      <c r="D2762" s="65" t="s">
        <v>607</v>
      </c>
      <c r="E2762" s="65" t="s">
        <v>607</v>
      </c>
      <c r="F2762" s="65" t="s">
        <v>607</v>
      </c>
      <c r="G2762" s="65" t="s">
        <v>607</v>
      </c>
      <c r="H2762" s="52" t="s">
        <v>607</v>
      </c>
      <c r="I2762" s="52" t="s">
        <v>607</v>
      </c>
      <c r="J2762" s="52" t="s">
        <v>607</v>
      </c>
      <c r="K2762" s="52" t="s">
        <v>607</v>
      </c>
      <c r="L2762" s="52" t="s">
        <v>607</v>
      </c>
      <c r="M2762" s="52" t="s">
        <v>607</v>
      </c>
      <c r="N2762" s="52" t="s">
        <v>607</v>
      </c>
      <c r="O2762" s="52"/>
      <c r="P2762" s="52"/>
      <c r="Q2762" s="52"/>
      <c r="R2762" s="51" t="b">
        <v>0</v>
      </c>
      <c r="S2762" s="51"/>
      <c r="T2762" s="52"/>
      <c r="U2762" s="51" t="b">
        <v>0</v>
      </c>
      <c r="V2762" s="51" t="b">
        <v>0</v>
      </c>
      <c r="W2762" s="51" t="b">
        <v>0</v>
      </c>
      <c r="X2762" s="51" t="b">
        <v>0</v>
      </c>
      <c r="Y2762" s="51" t="b">
        <v>0</v>
      </c>
      <c r="Z2762" s="51" t="b">
        <v>0</v>
      </c>
      <c r="AA2762" s="68"/>
      <c r="AB2762" s="52"/>
      <c r="AC2762" s="52"/>
      <c r="AD2762" s="52"/>
      <c r="AE2762" s="56" t="s">
        <v>607</v>
      </c>
      <c r="AF2762" s="56" t="s">
        <v>607</v>
      </c>
    </row>
    <row r="2763">
      <c r="A2763" s="52" t="s">
        <v>6338</v>
      </c>
      <c r="B2763" s="52" t="s">
        <v>607</v>
      </c>
      <c r="C2763" s="52" t="s">
        <v>607</v>
      </c>
      <c r="D2763" s="65" t="s">
        <v>607</v>
      </c>
      <c r="E2763" s="65" t="s">
        <v>607</v>
      </c>
      <c r="F2763" s="65" t="s">
        <v>607</v>
      </c>
      <c r="G2763" s="65" t="s">
        <v>607</v>
      </c>
      <c r="H2763" s="52" t="s">
        <v>607</v>
      </c>
      <c r="I2763" s="52" t="s">
        <v>607</v>
      </c>
      <c r="J2763" s="52" t="s">
        <v>607</v>
      </c>
      <c r="K2763" s="52" t="s">
        <v>607</v>
      </c>
      <c r="L2763" s="52" t="s">
        <v>607</v>
      </c>
      <c r="M2763" s="52" t="s">
        <v>607</v>
      </c>
      <c r="N2763" s="52" t="s">
        <v>607</v>
      </c>
      <c r="O2763" s="52"/>
      <c r="P2763" s="52"/>
      <c r="Q2763" s="52"/>
      <c r="R2763" s="51" t="b">
        <v>0</v>
      </c>
      <c r="S2763" s="51"/>
      <c r="T2763" s="52"/>
      <c r="U2763" s="51" t="b">
        <v>0</v>
      </c>
      <c r="V2763" s="51" t="b">
        <v>0</v>
      </c>
      <c r="W2763" s="51" t="b">
        <v>0</v>
      </c>
      <c r="X2763" s="51" t="b">
        <v>0</v>
      </c>
      <c r="Y2763" s="51" t="b">
        <v>0</v>
      </c>
      <c r="Z2763" s="51" t="b">
        <v>0</v>
      </c>
      <c r="AA2763" s="68"/>
      <c r="AB2763" s="52"/>
      <c r="AC2763" s="52"/>
      <c r="AD2763" s="52"/>
      <c r="AE2763" s="56" t="s">
        <v>607</v>
      </c>
      <c r="AF2763" s="56" t="s">
        <v>607</v>
      </c>
    </row>
    <row r="2764">
      <c r="A2764" s="52" t="s">
        <v>6339</v>
      </c>
      <c r="B2764" s="52" t="s">
        <v>607</v>
      </c>
      <c r="C2764" s="52" t="s">
        <v>607</v>
      </c>
      <c r="D2764" s="65" t="s">
        <v>607</v>
      </c>
      <c r="E2764" s="65" t="s">
        <v>607</v>
      </c>
      <c r="F2764" s="65" t="s">
        <v>607</v>
      </c>
      <c r="G2764" s="65" t="s">
        <v>607</v>
      </c>
      <c r="H2764" s="52" t="s">
        <v>607</v>
      </c>
      <c r="I2764" s="52" t="s">
        <v>607</v>
      </c>
      <c r="J2764" s="52" t="s">
        <v>607</v>
      </c>
      <c r="K2764" s="52" t="s">
        <v>607</v>
      </c>
      <c r="L2764" s="52" t="s">
        <v>607</v>
      </c>
      <c r="M2764" s="52" t="s">
        <v>607</v>
      </c>
      <c r="N2764" s="52" t="s">
        <v>607</v>
      </c>
      <c r="O2764" s="52"/>
      <c r="P2764" s="52"/>
      <c r="Q2764" s="52"/>
      <c r="R2764" s="51" t="b">
        <v>0</v>
      </c>
      <c r="S2764" s="51"/>
      <c r="T2764" s="52"/>
      <c r="U2764" s="51" t="b">
        <v>0</v>
      </c>
      <c r="V2764" s="51" t="b">
        <v>0</v>
      </c>
      <c r="W2764" s="51" t="b">
        <v>0</v>
      </c>
      <c r="X2764" s="51" t="b">
        <v>0</v>
      </c>
      <c r="Y2764" s="51" t="b">
        <v>0</v>
      </c>
      <c r="Z2764" s="51" t="b">
        <v>0</v>
      </c>
      <c r="AA2764" s="68"/>
      <c r="AB2764" s="52"/>
      <c r="AC2764" s="52"/>
      <c r="AD2764" s="52"/>
      <c r="AE2764" s="56" t="s">
        <v>607</v>
      </c>
      <c r="AF2764" s="56" t="s">
        <v>607</v>
      </c>
    </row>
    <row r="2765">
      <c r="A2765" s="52" t="s">
        <v>6343</v>
      </c>
      <c r="B2765" s="52" t="s">
        <v>607</v>
      </c>
      <c r="C2765" s="52" t="s">
        <v>607</v>
      </c>
      <c r="D2765" s="65" t="s">
        <v>607</v>
      </c>
      <c r="E2765" s="65" t="s">
        <v>607</v>
      </c>
      <c r="F2765" s="65" t="s">
        <v>607</v>
      </c>
      <c r="G2765" s="65" t="s">
        <v>607</v>
      </c>
      <c r="H2765" s="52" t="s">
        <v>607</v>
      </c>
      <c r="I2765" s="52" t="s">
        <v>607</v>
      </c>
      <c r="J2765" s="52" t="s">
        <v>607</v>
      </c>
      <c r="K2765" s="52" t="s">
        <v>607</v>
      </c>
      <c r="L2765" s="52" t="s">
        <v>607</v>
      </c>
      <c r="M2765" s="52" t="s">
        <v>607</v>
      </c>
      <c r="N2765" s="52" t="s">
        <v>607</v>
      </c>
      <c r="O2765" s="52"/>
      <c r="P2765" s="52"/>
      <c r="Q2765" s="52"/>
      <c r="R2765" s="51" t="b">
        <v>0</v>
      </c>
      <c r="S2765" s="51"/>
      <c r="T2765" s="52"/>
      <c r="U2765" s="51" t="b">
        <v>0</v>
      </c>
      <c r="V2765" s="51" t="b">
        <v>0</v>
      </c>
      <c r="W2765" s="51" t="b">
        <v>0</v>
      </c>
      <c r="X2765" s="51" t="b">
        <v>0</v>
      </c>
      <c r="Y2765" s="51" t="b">
        <v>0</v>
      </c>
      <c r="Z2765" s="51" t="b">
        <v>0</v>
      </c>
      <c r="AA2765" s="68"/>
      <c r="AB2765" s="52"/>
      <c r="AC2765" s="52"/>
      <c r="AD2765" s="52"/>
      <c r="AE2765" s="56" t="s">
        <v>607</v>
      </c>
      <c r="AF2765" s="56" t="s">
        <v>607</v>
      </c>
    </row>
    <row r="2766">
      <c r="A2766" s="52" t="s">
        <v>6344</v>
      </c>
      <c r="B2766" s="52" t="s">
        <v>607</v>
      </c>
      <c r="C2766" s="52" t="s">
        <v>607</v>
      </c>
      <c r="D2766" s="65" t="s">
        <v>607</v>
      </c>
      <c r="E2766" s="65" t="s">
        <v>607</v>
      </c>
      <c r="F2766" s="65" t="s">
        <v>607</v>
      </c>
      <c r="G2766" s="65" t="s">
        <v>607</v>
      </c>
      <c r="H2766" s="52" t="s">
        <v>607</v>
      </c>
      <c r="I2766" s="52" t="s">
        <v>607</v>
      </c>
      <c r="J2766" s="52" t="s">
        <v>607</v>
      </c>
      <c r="K2766" s="52" t="s">
        <v>607</v>
      </c>
      <c r="L2766" s="52" t="s">
        <v>607</v>
      </c>
      <c r="M2766" s="52" t="s">
        <v>607</v>
      </c>
      <c r="N2766" s="52" t="s">
        <v>607</v>
      </c>
      <c r="O2766" s="52"/>
      <c r="P2766" s="52"/>
      <c r="Q2766" s="52"/>
      <c r="R2766" s="51" t="b">
        <v>0</v>
      </c>
      <c r="S2766" s="51"/>
      <c r="T2766" s="52"/>
      <c r="U2766" s="51" t="b">
        <v>0</v>
      </c>
      <c r="V2766" s="51" t="b">
        <v>0</v>
      </c>
      <c r="W2766" s="51" t="b">
        <v>0</v>
      </c>
      <c r="X2766" s="51" t="b">
        <v>0</v>
      </c>
      <c r="Y2766" s="51" t="b">
        <v>0</v>
      </c>
      <c r="Z2766" s="51" t="b">
        <v>0</v>
      </c>
      <c r="AA2766" s="68"/>
      <c r="AB2766" s="52"/>
      <c r="AC2766" s="52"/>
      <c r="AD2766" s="52"/>
      <c r="AE2766" s="56" t="s">
        <v>607</v>
      </c>
      <c r="AF2766" s="56" t="s">
        <v>607</v>
      </c>
    </row>
    <row r="2767">
      <c r="A2767" s="52" t="s">
        <v>6345</v>
      </c>
      <c r="B2767" s="52" t="s">
        <v>607</v>
      </c>
      <c r="C2767" s="52" t="s">
        <v>607</v>
      </c>
      <c r="D2767" s="65" t="s">
        <v>607</v>
      </c>
      <c r="E2767" s="65" t="s">
        <v>607</v>
      </c>
      <c r="F2767" s="65" t="s">
        <v>607</v>
      </c>
      <c r="G2767" s="65" t="s">
        <v>607</v>
      </c>
      <c r="H2767" s="52" t="s">
        <v>607</v>
      </c>
      <c r="I2767" s="52" t="s">
        <v>607</v>
      </c>
      <c r="J2767" s="52" t="s">
        <v>607</v>
      </c>
      <c r="K2767" s="52" t="s">
        <v>607</v>
      </c>
      <c r="L2767" s="52" t="s">
        <v>607</v>
      </c>
      <c r="M2767" s="52" t="s">
        <v>607</v>
      </c>
      <c r="N2767" s="52" t="s">
        <v>607</v>
      </c>
      <c r="O2767" s="52"/>
      <c r="P2767" s="52"/>
      <c r="Q2767" s="52"/>
      <c r="R2767" s="51" t="b">
        <v>0</v>
      </c>
      <c r="S2767" s="51"/>
      <c r="T2767" s="52"/>
      <c r="U2767" s="51" t="b">
        <v>0</v>
      </c>
      <c r="V2767" s="51" t="b">
        <v>0</v>
      </c>
      <c r="W2767" s="51" t="b">
        <v>0</v>
      </c>
      <c r="X2767" s="51" t="b">
        <v>0</v>
      </c>
      <c r="Y2767" s="51" t="b">
        <v>0</v>
      </c>
      <c r="Z2767" s="51" t="b">
        <v>0</v>
      </c>
      <c r="AA2767" s="68"/>
      <c r="AB2767" s="52"/>
      <c r="AC2767" s="52"/>
      <c r="AD2767" s="52"/>
      <c r="AE2767" s="56" t="s">
        <v>607</v>
      </c>
      <c r="AF2767" s="56" t="s">
        <v>607</v>
      </c>
    </row>
    <row r="2768">
      <c r="A2768" s="52" t="s">
        <v>6346</v>
      </c>
      <c r="B2768" s="52" t="s">
        <v>607</v>
      </c>
      <c r="C2768" s="52" t="s">
        <v>607</v>
      </c>
      <c r="D2768" s="65" t="s">
        <v>607</v>
      </c>
      <c r="E2768" s="65" t="s">
        <v>607</v>
      </c>
      <c r="F2768" s="65" t="s">
        <v>607</v>
      </c>
      <c r="G2768" s="65" t="s">
        <v>607</v>
      </c>
      <c r="H2768" s="52" t="s">
        <v>607</v>
      </c>
      <c r="I2768" s="52" t="s">
        <v>607</v>
      </c>
      <c r="J2768" s="52" t="s">
        <v>607</v>
      </c>
      <c r="K2768" s="52" t="s">
        <v>607</v>
      </c>
      <c r="L2768" s="52" t="s">
        <v>607</v>
      </c>
      <c r="M2768" s="52" t="s">
        <v>607</v>
      </c>
      <c r="N2768" s="52" t="s">
        <v>607</v>
      </c>
      <c r="O2768" s="52"/>
      <c r="P2768" s="52"/>
      <c r="Q2768" s="52"/>
      <c r="R2768" s="51" t="b">
        <v>0</v>
      </c>
      <c r="S2768" s="51"/>
      <c r="T2768" s="52"/>
      <c r="U2768" s="51" t="b">
        <v>0</v>
      </c>
      <c r="V2768" s="51" t="b">
        <v>0</v>
      </c>
      <c r="W2768" s="51" t="b">
        <v>0</v>
      </c>
      <c r="X2768" s="51" t="b">
        <v>0</v>
      </c>
      <c r="Y2768" s="51" t="b">
        <v>0</v>
      </c>
      <c r="Z2768" s="51" t="b">
        <v>0</v>
      </c>
      <c r="AA2768" s="68"/>
      <c r="AB2768" s="52"/>
      <c r="AC2768" s="52"/>
      <c r="AD2768" s="52"/>
      <c r="AE2768" s="56" t="s">
        <v>607</v>
      </c>
      <c r="AF2768" s="56" t="s">
        <v>607</v>
      </c>
    </row>
    <row r="2769">
      <c r="A2769" s="52" t="s">
        <v>6348</v>
      </c>
      <c r="B2769" s="52" t="s">
        <v>607</v>
      </c>
      <c r="C2769" s="52" t="s">
        <v>607</v>
      </c>
      <c r="D2769" s="65" t="s">
        <v>607</v>
      </c>
      <c r="E2769" s="65" t="s">
        <v>607</v>
      </c>
      <c r="F2769" s="65" t="s">
        <v>607</v>
      </c>
      <c r="G2769" s="65" t="s">
        <v>607</v>
      </c>
      <c r="H2769" s="52" t="s">
        <v>607</v>
      </c>
      <c r="I2769" s="52" t="s">
        <v>607</v>
      </c>
      <c r="J2769" s="52" t="s">
        <v>607</v>
      </c>
      <c r="K2769" s="52" t="s">
        <v>607</v>
      </c>
      <c r="L2769" s="52" t="s">
        <v>607</v>
      </c>
      <c r="M2769" s="52" t="s">
        <v>607</v>
      </c>
      <c r="N2769" s="52" t="s">
        <v>607</v>
      </c>
      <c r="O2769" s="52"/>
      <c r="P2769" s="52"/>
      <c r="Q2769" s="52"/>
      <c r="R2769" s="51" t="b">
        <v>0</v>
      </c>
      <c r="S2769" s="51"/>
      <c r="T2769" s="52"/>
      <c r="U2769" s="51" t="b">
        <v>0</v>
      </c>
      <c r="V2769" s="51" t="b">
        <v>0</v>
      </c>
      <c r="W2769" s="51" t="b">
        <v>0</v>
      </c>
      <c r="X2769" s="51" t="b">
        <v>0</v>
      </c>
      <c r="Y2769" s="51" t="b">
        <v>0</v>
      </c>
      <c r="Z2769" s="51" t="b">
        <v>0</v>
      </c>
      <c r="AA2769" s="68"/>
      <c r="AB2769" s="52"/>
      <c r="AC2769" s="52"/>
      <c r="AD2769" s="52"/>
      <c r="AE2769" s="56" t="s">
        <v>607</v>
      </c>
      <c r="AF2769" s="56" t="s">
        <v>607</v>
      </c>
    </row>
    <row r="2770">
      <c r="A2770" s="52" t="s">
        <v>6353</v>
      </c>
      <c r="B2770" s="52" t="s">
        <v>607</v>
      </c>
      <c r="C2770" s="52" t="s">
        <v>607</v>
      </c>
      <c r="D2770" s="65" t="s">
        <v>607</v>
      </c>
      <c r="E2770" s="65" t="s">
        <v>607</v>
      </c>
      <c r="F2770" s="65" t="s">
        <v>607</v>
      </c>
      <c r="G2770" s="65" t="s">
        <v>607</v>
      </c>
      <c r="H2770" s="52" t="s">
        <v>607</v>
      </c>
      <c r="I2770" s="52" t="s">
        <v>607</v>
      </c>
      <c r="J2770" s="52" t="s">
        <v>607</v>
      </c>
      <c r="K2770" s="52" t="s">
        <v>607</v>
      </c>
      <c r="L2770" s="52" t="s">
        <v>607</v>
      </c>
      <c r="M2770" s="52" t="s">
        <v>607</v>
      </c>
      <c r="N2770" s="52" t="s">
        <v>607</v>
      </c>
      <c r="O2770" s="52"/>
      <c r="P2770" s="52"/>
      <c r="Q2770" s="52"/>
      <c r="R2770" s="51" t="b">
        <v>0</v>
      </c>
      <c r="S2770" s="51"/>
      <c r="T2770" s="52"/>
      <c r="U2770" s="51" t="b">
        <v>0</v>
      </c>
      <c r="V2770" s="51" t="b">
        <v>0</v>
      </c>
      <c r="W2770" s="51" t="b">
        <v>0</v>
      </c>
      <c r="X2770" s="51" t="b">
        <v>0</v>
      </c>
      <c r="Y2770" s="51" t="b">
        <v>0</v>
      </c>
      <c r="Z2770" s="51" t="b">
        <v>0</v>
      </c>
      <c r="AA2770" s="68"/>
      <c r="AB2770" s="52"/>
      <c r="AC2770" s="52"/>
      <c r="AD2770" s="52"/>
      <c r="AE2770" s="56" t="s">
        <v>607</v>
      </c>
      <c r="AF2770" s="56" t="s">
        <v>607</v>
      </c>
    </row>
    <row r="2771">
      <c r="A2771" s="52" t="s">
        <v>6354</v>
      </c>
      <c r="B2771" s="52" t="s">
        <v>607</v>
      </c>
      <c r="C2771" s="52" t="s">
        <v>607</v>
      </c>
      <c r="D2771" s="65" t="s">
        <v>607</v>
      </c>
      <c r="E2771" s="65" t="s">
        <v>607</v>
      </c>
      <c r="F2771" s="65" t="s">
        <v>607</v>
      </c>
      <c r="G2771" s="65" t="s">
        <v>607</v>
      </c>
      <c r="H2771" s="52" t="s">
        <v>607</v>
      </c>
      <c r="I2771" s="52" t="s">
        <v>607</v>
      </c>
      <c r="J2771" s="52" t="s">
        <v>607</v>
      </c>
      <c r="K2771" s="52" t="s">
        <v>607</v>
      </c>
      <c r="L2771" s="52" t="s">
        <v>607</v>
      </c>
      <c r="M2771" s="52" t="s">
        <v>607</v>
      </c>
      <c r="N2771" s="52" t="s">
        <v>607</v>
      </c>
      <c r="O2771" s="52"/>
      <c r="P2771" s="52"/>
      <c r="Q2771" s="52"/>
      <c r="R2771" s="51" t="b">
        <v>0</v>
      </c>
      <c r="S2771" s="51"/>
      <c r="T2771" s="52"/>
      <c r="U2771" s="51" t="b">
        <v>0</v>
      </c>
      <c r="V2771" s="51" t="b">
        <v>0</v>
      </c>
      <c r="W2771" s="51" t="b">
        <v>0</v>
      </c>
      <c r="X2771" s="51" t="b">
        <v>0</v>
      </c>
      <c r="Y2771" s="51" t="b">
        <v>0</v>
      </c>
      <c r="Z2771" s="51" t="b">
        <v>0</v>
      </c>
      <c r="AA2771" s="68"/>
      <c r="AB2771" s="52"/>
      <c r="AC2771" s="52"/>
      <c r="AD2771" s="52"/>
      <c r="AE2771" s="56" t="s">
        <v>607</v>
      </c>
      <c r="AF2771" s="56" t="s">
        <v>607</v>
      </c>
    </row>
    <row r="2772">
      <c r="A2772" s="52" t="s">
        <v>6355</v>
      </c>
      <c r="B2772" s="52" t="s">
        <v>607</v>
      </c>
      <c r="C2772" s="52" t="s">
        <v>607</v>
      </c>
      <c r="D2772" s="65" t="s">
        <v>607</v>
      </c>
      <c r="E2772" s="65" t="s">
        <v>607</v>
      </c>
      <c r="F2772" s="65" t="s">
        <v>607</v>
      </c>
      <c r="G2772" s="65" t="s">
        <v>607</v>
      </c>
      <c r="H2772" s="52" t="s">
        <v>607</v>
      </c>
      <c r="I2772" s="52" t="s">
        <v>607</v>
      </c>
      <c r="J2772" s="52" t="s">
        <v>607</v>
      </c>
      <c r="K2772" s="52" t="s">
        <v>607</v>
      </c>
      <c r="L2772" s="52" t="s">
        <v>607</v>
      </c>
      <c r="M2772" s="52" t="s">
        <v>607</v>
      </c>
      <c r="N2772" s="52" t="s">
        <v>607</v>
      </c>
      <c r="O2772" s="52"/>
      <c r="P2772" s="52"/>
      <c r="Q2772" s="52"/>
      <c r="R2772" s="51" t="b">
        <v>0</v>
      </c>
      <c r="S2772" s="51"/>
      <c r="T2772" s="52"/>
      <c r="U2772" s="51" t="b">
        <v>0</v>
      </c>
      <c r="V2772" s="51" t="b">
        <v>0</v>
      </c>
      <c r="W2772" s="51" t="b">
        <v>0</v>
      </c>
      <c r="X2772" s="51" t="b">
        <v>0</v>
      </c>
      <c r="Y2772" s="51" t="b">
        <v>0</v>
      </c>
      <c r="Z2772" s="51" t="b">
        <v>0</v>
      </c>
      <c r="AA2772" s="68"/>
      <c r="AB2772" s="52"/>
      <c r="AC2772" s="52"/>
      <c r="AD2772" s="52"/>
      <c r="AE2772" s="56" t="s">
        <v>607</v>
      </c>
      <c r="AF2772" s="56" t="s">
        <v>607</v>
      </c>
    </row>
    <row r="2773">
      <c r="A2773" s="52" t="s">
        <v>6356</v>
      </c>
      <c r="B2773" s="52" t="s">
        <v>607</v>
      </c>
      <c r="C2773" s="52" t="s">
        <v>607</v>
      </c>
      <c r="D2773" s="65" t="s">
        <v>607</v>
      </c>
      <c r="E2773" s="65" t="s">
        <v>607</v>
      </c>
      <c r="F2773" s="65" t="s">
        <v>607</v>
      </c>
      <c r="G2773" s="65" t="s">
        <v>607</v>
      </c>
      <c r="H2773" s="52" t="s">
        <v>607</v>
      </c>
      <c r="I2773" s="52" t="s">
        <v>607</v>
      </c>
      <c r="J2773" s="52" t="s">
        <v>607</v>
      </c>
      <c r="K2773" s="52" t="s">
        <v>607</v>
      </c>
      <c r="L2773" s="52" t="s">
        <v>607</v>
      </c>
      <c r="M2773" s="52" t="s">
        <v>607</v>
      </c>
      <c r="N2773" s="52" t="s">
        <v>607</v>
      </c>
      <c r="O2773" s="52"/>
      <c r="P2773" s="52"/>
      <c r="Q2773" s="52"/>
      <c r="R2773" s="51" t="b">
        <v>0</v>
      </c>
      <c r="S2773" s="51"/>
      <c r="T2773" s="52"/>
      <c r="U2773" s="51" t="b">
        <v>0</v>
      </c>
      <c r="V2773" s="51" t="b">
        <v>0</v>
      </c>
      <c r="W2773" s="51" t="b">
        <v>0</v>
      </c>
      <c r="X2773" s="51" t="b">
        <v>0</v>
      </c>
      <c r="Y2773" s="51" t="b">
        <v>0</v>
      </c>
      <c r="Z2773" s="51" t="b">
        <v>0</v>
      </c>
      <c r="AA2773" s="68"/>
      <c r="AB2773" s="52"/>
      <c r="AC2773" s="52"/>
      <c r="AD2773" s="52"/>
      <c r="AE2773" s="56" t="s">
        <v>607</v>
      </c>
      <c r="AF2773" s="56" t="s">
        <v>607</v>
      </c>
    </row>
    <row r="2774">
      <c r="A2774" s="52" t="s">
        <v>6357</v>
      </c>
      <c r="B2774" s="52" t="s">
        <v>607</v>
      </c>
      <c r="C2774" s="52" t="s">
        <v>607</v>
      </c>
      <c r="D2774" s="65" t="s">
        <v>607</v>
      </c>
      <c r="E2774" s="65" t="s">
        <v>607</v>
      </c>
      <c r="F2774" s="65" t="s">
        <v>607</v>
      </c>
      <c r="G2774" s="65" t="s">
        <v>607</v>
      </c>
      <c r="H2774" s="52" t="s">
        <v>607</v>
      </c>
      <c r="I2774" s="52" t="s">
        <v>607</v>
      </c>
      <c r="J2774" s="52" t="s">
        <v>607</v>
      </c>
      <c r="K2774" s="52" t="s">
        <v>607</v>
      </c>
      <c r="L2774" s="52" t="s">
        <v>607</v>
      </c>
      <c r="M2774" s="52" t="s">
        <v>607</v>
      </c>
      <c r="N2774" s="52" t="s">
        <v>607</v>
      </c>
      <c r="O2774" s="52"/>
      <c r="P2774" s="52"/>
      <c r="Q2774" s="52"/>
      <c r="R2774" s="51" t="b">
        <v>0</v>
      </c>
      <c r="S2774" s="51"/>
      <c r="T2774" s="52"/>
      <c r="U2774" s="51" t="b">
        <v>0</v>
      </c>
      <c r="V2774" s="51" t="b">
        <v>0</v>
      </c>
      <c r="W2774" s="51" t="b">
        <v>0</v>
      </c>
      <c r="X2774" s="51" t="b">
        <v>0</v>
      </c>
      <c r="Y2774" s="51" t="b">
        <v>0</v>
      </c>
      <c r="Z2774" s="51" t="b">
        <v>0</v>
      </c>
      <c r="AA2774" s="68"/>
      <c r="AB2774" s="52"/>
      <c r="AC2774" s="52"/>
      <c r="AD2774" s="52"/>
      <c r="AE2774" s="56" t="s">
        <v>607</v>
      </c>
      <c r="AF2774" s="56" t="s">
        <v>607</v>
      </c>
    </row>
    <row r="2775">
      <c r="A2775" s="52" t="s">
        <v>6358</v>
      </c>
      <c r="B2775" s="52" t="s">
        <v>607</v>
      </c>
      <c r="C2775" s="52" t="s">
        <v>607</v>
      </c>
      <c r="D2775" s="65" t="s">
        <v>607</v>
      </c>
      <c r="E2775" s="65" t="s">
        <v>607</v>
      </c>
      <c r="F2775" s="65" t="s">
        <v>607</v>
      </c>
      <c r="G2775" s="65" t="s">
        <v>607</v>
      </c>
      <c r="H2775" s="52" t="s">
        <v>607</v>
      </c>
      <c r="I2775" s="52" t="s">
        <v>607</v>
      </c>
      <c r="J2775" s="52" t="s">
        <v>607</v>
      </c>
      <c r="K2775" s="52" t="s">
        <v>607</v>
      </c>
      <c r="L2775" s="52" t="s">
        <v>607</v>
      </c>
      <c r="M2775" s="52" t="s">
        <v>607</v>
      </c>
      <c r="N2775" s="52" t="s">
        <v>607</v>
      </c>
      <c r="O2775" s="52"/>
      <c r="P2775" s="52"/>
      <c r="Q2775" s="52"/>
      <c r="R2775" s="51" t="b">
        <v>0</v>
      </c>
      <c r="S2775" s="51"/>
      <c r="T2775" s="52"/>
      <c r="U2775" s="51" t="b">
        <v>0</v>
      </c>
      <c r="V2775" s="51" t="b">
        <v>0</v>
      </c>
      <c r="W2775" s="51" t="b">
        <v>0</v>
      </c>
      <c r="X2775" s="51" t="b">
        <v>0</v>
      </c>
      <c r="Y2775" s="51" t="b">
        <v>0</v>
      </c>
      <c r="Z2775" s="51" t="b">
        <v>0</v>
      </c>
      <c r="AA2775" s="68"/>
      <c r="AB2775" s="52"/>
      <c r="AC2775" s="52"/>
      <c r="AD2775" s="52"/>
      <c r="AE2775" s="56" t="s">
        <v>607</v>
      </c>
      <c r="AF2775" s="56" t="s">
        <v>607</v>
      </c>
    </row>
    <row r="2776">
      <c r="A2776" s="52" t="s">
        <v>6362</v>
      </c>
      <c r="B2776" s="52" t="s">
        <v>607</v>
      </c>
      <c r="C2776" s="52" t="s">
        <v>607</v>
      </c>
      <c r="D2776" s="65" t="s">
        <v>607</v>
      </c>
      <c r="E2776" s="65" t="s">
        <v>607</v>
      </c>
      <c r="F2776" s="65" t="s">
        <v>607</v>
      </c>
      <c r="G2776" s="65" t="s">
        <v>607</v>
      </c>
      <c r="H2776" s="52" t="s">
        <v>607</v>
      </c>
      <c r="I2776" s="52" t="s">
        <v>607</v>
      </c>
      <c r="J2776" s="52" t="s">
        <v>607</v>
      </c>
      <c r="K2776" s="52" t="s">
        <v>607</v>
      </c>
      <c r="L2776" s="52" t="s">
        <v>607</v>
      </c>
      <c r="M2776" s="52" t="s">
        <v>607</v>
      </c>
      <c r="N2776" s="52" t="s">
        <v>607</v>
      </c>
      <c r="O2776" s="52"/>
      <c r="P2776" s="52"/>
      <c r="Q2776" s="52"/>
      <c r="R2776" s="51" t="b">
        <v>0</v>
      </c>
      <c r="S2776" s="51"/>
      <c r="T2776" s="52"/>
      <c r="U2776" s="51" t="b">
        <v>0</v>
      </c>
      <c r="V2776" s="51" t="b">
        <v>0</v>
      </c>
      <c r="W2776" s="51" t="b">
        <v>0</v>
      </c>
      <c r="X2776" s="51" t="b">
        <v>0</v>
      </c>
      <c r="Y2776" s="51" t="b">
        <v>0</v>
      </c>
      <c r="Z2776" s="51" t="b">
        <v>0</v>
      </c>
      <c r="AA2776" s="68"/>
      <c r="AB2776" s="52"/>
      <c r="AC2776" s="52"/>
      <c r="AD2776" s="52"/>
      <c r="AE2776" s="56" t="s">
        <v>607</v>
      </c>
      <c r="AF2776" s="56" t="s">
        <v>607</v>
      </c>
    </row>
    <row r="2777">
      <c r="A2777" s="52" t="s">
        <v>6363</v>
      </c>
      <c r="B2777" s="52" t="s">
        <v>607</v>
      </c>
      <c r="C2777" s="52" t="s">
        <v>607</v>
      </c>
      <c r="D2777" s="65" t="s">
        <v>607</v>
      </c>
      <c r="E2777" s="65" t="s">
        <v>607</v>
      </c>
      <c r="F2777" s="65" t="s">
        <v>607</v>
      </c>
      <c r="G2777" s="65" t="s">
        <v>607</v>
      </c>
      <c r="H2777" s="52" t="s">
        <v>607</v>
      </c>
      <c r="I2777" s="52" t="s">
        <v>607</v>
      </c>
      <c r="J2777" s="52" t="s">
        <v>607</v>
      </c>
      <c r="K2777" s="52" t="s">
        <v>607</v>
      </c>
      <c r="L2777" s="52" t="s">
        <v>607</v>
      </c>
      <c r="M2777" s="52" t="s">
        <v>607</v>
      </c>
      <c r="N2777" s="52" t="s">
        <v>607</v>
      </c>
      <c r="O2777" s="52"/>
      <c r="P2777" s="52"/>
      <c r="Q2777" s="52"/>
      <c r="R2777" s="51" t="b">
        <v>0</v>
      </c>
      <c r="S2777" s="51"/>
      <c r="T2777" s="52"/>
      <c r="U2777" s="51" t="b">
        <v>0</v>
      </c>
      <c r="V2777" s="51" t="b">
        <v>0</v>
      </c>
      <c r="W2777" s="51" t="b">
        <v>0</v>
      </c>
      <c r="X2777" s="51" t="b">
        <v>0</v>
      </c>
      <c r="Y2777" s="51" t="b">
        <v>0</v>
      </c>
      <c r="Z2777" s="51" t="b">
        <v>0</v>
      </c>
      <c r="AA2777" s="68"/>
      <c r="AB2777" s="52"/>
      <c r="AC2777" s="52"/>
      <c r="AD2777" s="52"/>
      <c r="AE2777" s="56" t="s">
        <v>607</v>
      </c>
      <c r="AF2777" s="56" t="s">
        <v>607</v>
      </c>
    </row>
    <row r="2778">
      <c r="A2778" s="52" t="s">
        <v>6364</v>
      </c>
      <c r="B2778" s="52" t="s">
        <v>607</v>
      </c>
      <c r="C2778" s="52" t="s">
        <v>607</v>
      </c>
      <c r="D2778" s="65" t="s">
        <v>607</v>
      </c>
      <c r="E2778" s="65" t="s">
        <v>607</v>
      </c>
      <c r="F2778" s="65" t="s">
        <v>607</v>
      </c>
      <c r="G2778" s="65" t="s">
        <v>607</v>
      </c>
      <c r="H2778" s="52" t="s">
        <v>607</v>
      </c>
      <c r="I2778" s="52" t="s">
        <v>607</v>
      </c>
      <c r="J2778" s="52" t="s">
        <v>607</v>
      </c>
      <c r="K2778" s="52" t="s">
        <v>607</v>
      </c>
      <c r="L2778" s="52" t="s">
        <v>607</v>
      </c>
      <c r="M2778" s="52" t="s">
        <v>607</v>
      </c>
      <c r="N2778" s="52" t="s">
        <v>607</v>
      </c>
      <c r="O2778" s="52"/>
      <c r="P2778" s="52"/>
      <c r="Q2778" s="52"/>
      <c r="R2778" s="51" t="b">
        <v>0</v>
      </c>
      <c r="S2778" s="51"/>
      <c r="T2778" s="52"/>
      <c r="U2778" s="51" t="b">
        <v>0</v>
      </c>
      <c r="V2778" s="51" t="b">
        <v>0</v>
      </c>
      <c r="W2778" s="51" t="b">
        <v>0</v>
      </c>
      <c r="X2778" s="51" t="b">
        <v>0</v>
      </c>
      <c r="Y2778" s="51" t="b">
        <v>0</v>
      </c>
      <c r="Z2778" s="51" t="b">
        <v>0</v>
      </c>
      <c r="AA2778" s="68"/>
      <c r="AB2778" s="52"/>
      <c r="AC2778" s="52"/>
      <c r="AD2778" s="52"/>
      <c r="AE2778" s="56" t="s">
        <v>607</v>
      </c>
      <c r="AF2778" s="56" t="s">
        <v>607</v>
      </c>
    </row>
    <row r="2779">
      <c r="A2779" s="52" t="s">
        <v>6365</v>
      </c>
      <c r="B2779" s="52" t="s">
        <v>607</v>
      </c>
      <c r="C2779" s="52" t="s">
        <v>607</v>
      </c>
      <c r="D2779" s="65" t="s">
        <v>607</v>
      </c>
      <c r="E2779" s="65" t="s">
        <v>607</v>
      </c>
      <c r="F2779" s="65" t="s">
        <v>607</v>
      </c>
      <c r="G2779" s="65" t="s">
        <v>607</v>
      </c>
      <c r="H2779" s="52" t="s">
        <v>607</v>
      </c>
      <c r="I2779" s="52" t="s">
        <v>607</v>
      </c>
      <c r="J2779" s="52" t="s">
        <v>607</v>
      </c>
      <c r="K2779" s="52" t="s">
        <v>607</v>
      </c>
      <c r="L2779" s="52" t="s">
        <v>607</v>
      </c>
      <c r="M2779" s="52" t="s">
        <v>607</v>
      </c>
      <c r="N2779" s="52" t="s">
        <v>607</v>
      </c>
      <c r="O2779" s="52"/>
      <c r="P2779" s="52"/>
      <c r="Q2779" s="52"/>
      <c r="R2779" s="51" t="b">
        <v>0</v>
      </c>
      <c r="S2779" s="51"/>
      <c r="T2779" s="52"/>
      <c r="U2779" s="51" t="b">
        <v>0</v>
      </c>
      <c r="V2779" s="51" t="b">
        <v>0</v>
      </c>
      <c r="W2779" s="51" t="b">
        <v>0</v>
      </c>
      <c r="X2779" s="51" t="b">
        <v>0</v>
      </c>
      <c r="Y2779" s="51" t="b">
        <v>0</v>
      </c>
      <c r="Z2779" s="51" t="b">
        <v>0</v>
      </c>
      <c r="AA2779" s="68"/>
      <c r="AB2779" s="52"/>
      <c r="AC2779" s="52"/>
      <c r="AD2779" s="52"/>
      <c r="AE2779" s="56" t="s">
        <v>607</v>
      </c>
      <c r="AF2779" s="56" t="s">
        <v>607</v>
      </c>
    </row>
    <row r="2780">
      <c r="A2780" s="52" t="s">
        <v>6366</v>
      </c>
      <c r="B2780" s="52" t="s">
        <v>607</v>
      </c>
      <c r="C2780" s="52" t="s">
        <v>607</v>
      </c>
      <c r="D2780" s="65" t="s">
        <v>607</v>
      </c>
      <c r="E2780" s="65" t="s">
        <v>607</v>
      </c>
      <c r="F2780" s="65" t="s">
        <v>607</v>
      </c>
      <c r="G2780" s="65" t="s">
        <v>607</v>
      </c>
      <c r="H2780" s="52" t="s">
        <v>607</v>
      </c>
      <c r="I2780" s="52" t="s">
        <v>607</v>
      </c>
      <c r="J2780" s="52" t="s">
        <v>607</v>
      </c>
      <c r="K2780" s="52" t="s">
        <v>607</v>
      </c>
      <c r="L2780" s="52" t="s">
        <v>607</v>
      </c>
      <c r="M2780" s="52" t="s">
        <v>607</v>
      </c>
      <c r="N2780" s="52" t="s">
        <v>607</v>
      </c>
      <c r="O2780" s="52"/>
      <c r="P2780" s="52"/>
      <c r="Q2780" s="52"/>
      <c r="R2780" s="51" t="b">
        <v>0</v>
      </c>
      <c r="S2780" s="51"/>
      <c r="T2780" s="52"/>
      <c r="U2780" s="51" t="b">
        <v>0</v>
      </c>
      <c r="V2780" s="51" t="b">
        <v>0</v>
      </c>
      <c r="W2780" s="51" t="b">
        <v>0</v>
      </c>
      <c r="X2780" s="51" t="b">
        <v>0</v>
      </c>
      <c r="Y2780" s="51" t="b">
        <v>0</v>
      </c>
      <c r="Z2780" s="51" t="b">
        <v>0</v>
      </c>
      <c r="AA2780" s="68"/>
      <c r="AB2780" s="52"/>
      <c r="AC2780" s="52"/>
      <c r="AD2780" s="52"/>
      <c r="AE2780" s="56" t="s">
        <v>607</v>
      </c>
      <c r="AF2780" s="56" t="s">
        <v>607</v>
      </c>
    </row>
    <row r="2781">
      <c r="A2781" s="52" t="s">
        <v>6369</v>
      </c>
      <c r="B2781" s="52" t="s">
        <v>607</v>
      </c>
      <c r="C2781" s="52" t="s">
        <v>607</v>
      </c>
      <c r="D2781" s="65" t="s">
        <v>607</v>
      </c>
      <c r="E2781" s="65" t="s">
        <v>607</v>
      </c>
      <c r="F2781" s="65" t="s">
        <v>607</v>
      </c>
      <c r="G2781" s="65" t="s">
        <v>607</v>
      </c>
      <c r="H2781" s="52" t="s">
        <v>607</v>
      </c>
      <c r="I2781" s="52" t="s">
        <v>607</v>
      </c>
      <c r="J2781" s="52" t="s">
        <v>607</v>
      </c>
      <c r="K2781" s="52" t="s">
        <v>607</v>
      </c>
      <c r="L2781" s="52" t="s">
        <v>607</v>
      </c>
      <c r="M2781" s="52" t="s">
        <v>607</v>
      </c>
      <c r="N2781" s="52" t="s">
        <v>607</v>
      </c>
      <c r="O2781" s="52"/>
      <c r="P2781" s="52"/>
      <c r="Q2781" s="52"/>
      <c r="R2781" s="51" t="b">
        <v>0</v>
      </c>
      <c r="S2781" s="51"/>
      <c r="T2781" s="52"/>
      <c r="U2781" s="51" t="b">
        <v>0</v>
      </c>
      <c r="V2781" s="51" t="b">
        <v>0</v>
      </c>
      <c r="W2781" s="51" t="b">
        <v>0</v>
      </c>
      <c r="X2781" s="51" t="b">
        <v>0</v>
      </c>
      <c r="Y2781" s="51" t="b">
        <v>0</v>
      </c>
      <c r="Z2781" s="51" t="b">
        <v>0</v>
      </c>
      <c r="AA2781" s="68"/>
      <c r="AB2781" s="52"/>
      <c r="AC2781" s="52"/>
      <c r="AD2781" s="52"/>
      <c r="AE2781" s="56" t="s">
        <v>607</v>
      </c>
      <c r="AF2781" s="56" t="s">
        <v>607</v>
      </c>
    </row>
    <row r="2782">
      <c r="A2782" s="52" t="s">
        <v>6370</v>
      </c>
      <c r="B2782" s="52" t="s">
        <v>607</v>
      </c>
      <c r="C2782" s="52" t="s">
        <v>607</v>
      </c>
      <c r="D2782" s="65" t="s">
        <v>607</v>
      </c>
      <c r="E2782" s="65" t="s">
        <v>607</v>
      </c>
      <c r="F2782" s="65" t="s">
        <v>607</v>
      </c>
      <c r="G2782" s="65" t="s">
        <v>607</v>
      </c>
      <c r="H2782" s="52" t="s">
        <v>607</v>
      </c>
      <c r="I2782" s="52" t="s">
        <v>607</v>
      </c>
      <c r="J2782" s="52" t="s">
        <v>607</v>
      </c>
      <c r="K2782" s="52" t="s">
        <v>607</v>
      </c>
      <c r="L2782" s="52" t="s">
        <v>607</v>
      </c>
      <c r="M2782" s="52" t="s">
        <v>607</v>
      </c>
      <c r="N2782" s="52" t="s">
        <v>607</v>
      </c>
      <c r="O2782" s="52"/>
      <c r="P2782" s="52"/>
      <c r="Q2782" s="52"/>
      <c r="R2782" s="51" t="b">
        <v>0</v>
      </c>
      <c r="S2782" s="51"/>
      <c r="T2782" s="52"/>
      <c r="U2782" s="51" t="b">
        <v>0</v>
      </c>
      <c r="V2782" s="51" t="b">
        <v>0</v>
      </c>
      <c r="W2782" s="51" t="b">
        <v>0</v>
      </c>
      <c r="X2782" s="51" t="b">
        <v>0</v>
      </c>
      <c r="Y2782" s="51" t="b">
        <v>0</v>
      </c>
      <c r="Z2782" s="51" t="b">
        <v>0</v>
      </c>
      <c r="AA2782" s="68"/>
      <c r="AB2782" s="52"/>
      <c r="AC2782" s="52"/>
      <c r="AD2782" s="52"/>
      <c r="AE2782" s="56" t="s">
        <v>607</v>
      </c>
      <c r="AF2782" s="56" t="s">
        <v>607</v>
      </c>
    </row>
    <row r="2783">
      <c r="A2783" s="52" t="s">
        <v>6371</v>
      </c>
      <c r="B2783" s="52" t="s">
        <v>607</v>
      </c>
      <c r="C2783" s="52" t="s">
        <v>607</v>
      </c>
      <c r="D2783" s="65" t="s">
        <v>607</v>
      </c>
      <c r="E2783" s="65" t="s">
        <v>607</v>
      </c>
      <c r="F2783" s="65" t="s">
        <v>607</v>
      </c>
      <c r="G2783" s="65" t="s">
        <v>607</v>
      </c>
      <c r="H2783" s="52" t="s">
        <v>607</v>
      </c>
      <c r="I2783" s="52" t="s">
        <v>607</v>
      </c>
      <c r="J2783" s="52" t="s">
        <v>607</v>
      </c>
      <c r="K2783" s="52" t="s">
        <v>607</v>
      </c>
      <c r="L2783" s="52" t="s">
        <v>607</v>
      </c>
      <c r="M2783" s="52" t="s">
        <v>607</v>
      </c>
      <c r="N2783" s="52" t="s">
        <v>607</v>
      </c>
      <c r="O2783" s="52"/>
      <c r="P2783" s="52"/>
      <c r="Q2783" s="52"/>
      <c r="R2783" s="51" t="b">
        <v>0</v>
      </c>
      <c r="S2783" s="51"/>
      <c r="T2783" s="52"/>
      <c r="U2783" s="51" t="b">
        <v>0</v>
      </c>
      <c r="V2783" s="51" t="b">
        <v>0</v>
      </c>
      <c r="W2783" s="51" t="b">
        <v>0</v>
      </c>
      <c r="X2783" s="51" t="b">
        <v>0</v>
      </c>
      <c r="Y2783" s="51" t="b">
        <v>0</v>
      </c>
      <c r="Z2783" s="51" t="b">
        <v>0</v>
      </c>
      <c r="AA2783" s="68"/>
      <c r="AB2783" s="52"/>
      <c r="AC2783" s="52"/>
      <c r="AD2783" s="52"/>
      <c r="AE2783" s="56" t="s">
        <v>607</v>
      </c>
      <c r="AF2783" s="56" t="s">
        <v>607</v>
      </c>
    </row>
    <row r="2784">
      <c r="A2784" s="52" t="s">
        <v>6373</v>
      </c>
      <c r="B2784" s="52" t="s">
        <v>607</v>
      </c>
      <c r="C2784" s="52" t="s">
        <v>607</v>
      </c>
      <c r="D2784" s="65" t="s">
        <v>607</v>
      </c>
      <c r="E2784" s="65" t="s">
        <v>607</v>
      </c>
      <c r="F2784" s="65" t="s">
        <v>607</v>
      </c>
      <c r="G2784" s="65" t="s">
        <v>607</v>
      </c>
      <c r="H2784" s="52" t="s">
        <v>607</v>
      </c>
      <c r="I2784" s="52" t="s">
        <v>607</v>
      </c>
      <c r="J2784" s="52" t="s">
        <v>607</v>
      </c>
      <c r="K2784" s="52" t="s">
        <v>607</v>
      </c>
      <c r="L2784" s="52" t="s">
        <v>607</v>
      </c>
      <c r="M2784" s="52" t="s">
        <v>607</v>
      </c>
      <c r="N2784" s="52" t="s">
        <v>607</v>
      </c>
      <c r="O2784" s="52"/>
      <c r="P2784" s="52"/>
      <c r="Q2784" s="52"/>
      <c r="R2784" s="51" t="b">
        <v>0</v>
      </c>
      <c r="S2784" s="51"/>
      <c r="T2784" s="52"/>
      <c r="U2784" s="51" t="b">
        <v>0</v>
      </c>
      <c r="V2784" s="51" t="b">
        <v>0</v>
      </c>
      <c r="W2784" s="51" t="b">
        <v>0</v>
      </c>
      <c r="X2784" s="51" t="b">
        <v>0</v>
      </c>
      <c r="Y2784" s="51" t="b">
        <v>0</v>
      </c>
      <c r="Z2784" s="51" t="b">
        <v>0</v>
      </c>
      <c r="AA2784" s="68"/>
      <c r="AB2784" s="52"/>
      <c r="AC2784" s="52"/>
      <c r="AD2784" s="52"/>
      <c r="AE2784" s="56" t="s">
        <v>607</v>
      </c>
      <c r="AF2784" s="56" t="s">
        <v>607</v>
      </c>
    </row>
    <row r="2785">
      <c r="A2785" s="52" t="s">
        <v>6374</v>
      </c>
      <c r="B2785" s="52" t="s">
        <v>607</v>
      </c>
      <c r="C2785" s="52" t="s">
        <v>607</v>
      </c>
      <c r="D2785" s="65" t="s">
        <v>607</v>
      </c>
      <c r="E2785" s="65" t="s">
        <v>607</v>
      </c>
      <c r="F2785" s="65" t="s">
        <v>607</v>
      </c>
      <c r="G2785" s="65" t="s">
        <v>607</v>
      </c>
      <c r="H2785" s="52" t="s">
        <v>607</v>
      </c>
      <c r="I2785" s="52" t="s">
        <v>607</v>
      </c>
      <c r="J2785" s="52" t="s">
        <v>607</v>
      </c>
      <c r="K2785" s="52" t="s">
        <v>607</v>
      </c>
      <c r="L2785" s="52" t="s">
        <v>607</v>
      </c>
      <c r="M2785" s="52" t="s">
        <v>607</v>
      </c>
      <c r="N2785" s="52" t="s">
        <v>607</v>
      </c>
      <c r="O2785" s="52"/>
      <c r="P2785" s="52"/>
      <c r="Q2785" s="52"/>
      <c r="R2785" s="51" t="b">
        <v>0</v>
      </c>
      <c r="S2785" s="51"/>
      <c r="T2785" s="52"/>
      <c r="U2785" s="51" t="b">
        <v>0</v>
      </c>
      <c r="V2785" s="51" t="b">
        <v>0</v>
      </c>
      <c r="W2785" s="51" t="b">
        <v>0</v>
      </c>
      <c r="X2785" s="51" t="b">
        <v>0</v>
      </c>
      <c r="Y2785" s="51" t="b">
        <v>0</v>
      </c>
      <c r="Z2785" s="51" t="b">
        <v>0</v>
      </c>
      <c r="AA2785" s="68"/>
      <c r="AB2785" s="52"/>
      <c r="AC2785" s="52"/>
      <c r="AD2785" s="52"/>
      <c r="AE2785" s="56" t="s">
        <v>607</v>
      </c>
      <c r="AF2785" s="56" t="s">
        <v>607</v>
      </c>
    </row>
    <row r="2786">
      <c r="A2786" s="52" t="s">
        <v>6375</v>
      </c>
      <c r="B2786" s="52" t="s">
        <v>607</v>
      </c>
      <c r="C2786" s="52" t="s">
        <v>607</v>
      </c>
      <c r="D2786" s="65" t="s">
        <v>607</v>
      </c>
      <c r="E2786" s="65" t="s">
        <v>607</v>
      </c>
      <c r="F2786" s="65" t="s">
        <v>607</v>
      </c>
      <c r="G2786" s="65" t="s">
        <v>607</v>
      </c>
      <c r="H2786" s="52" t="s">
        <v>607</v>
      </c>
      <c r="I2786" s="52" t="s">
        <v>607</v>
      </c>
      <c r="J2786" s="52" t="s">
        <v>607</v>
      </c>
      <c r="K2786" s="52" t="s">
        <v>607</v>
      </c>
      <c r="L2786" s="52" t="s">
        <v>607</v>
      </c>
      <c r="M2786" s="52" t="s">
        <v>607</v>
      </c>
      <c r="N2786" s="52" t="s">
        <v>607</v>
      </c>
      <c r="O2786" s="52"/>
      <c r="P2786" s="52"/>
      <c r="Q2786" s="52"/>
      <c r="R2786" s="51" t="b">
        <v>0</v>
      </c>
      <c r="S2786" s="51"/>
      <c r="T2786" s="52"/>
      <c r="U2786" s="51" t="b">
        <v>0</v>
      </c>
      <c r="V2786" s="51" t="b">
        <v>0</v>
      </c>
      <c r="W2786" s="51" t="b">
        <v>0</v>
      </c>
      <c r="X2786" s="51" t="b">
        <v>0</v>
      </c>
      <c r="Y2786" s="51" t="b">
        <v>0</v>
      </c>
      <c r="Z2786" s="51" t="b">
        <v>0</v>
      </c>
      <c r="AA2786" s="68"/>
      <c r="AB2786" s="52"/>
      <c r="AC2786" s="52"/>
      <c r="AD2786" s="52"/>
      <c r="AE2786" s="56" t="s">
        <v>607</v>
      </c>
      <c r="AF2786" s="56" t="s">
        <v>607</v>
      </c>
    </row>
    <row r="2787">
      <c r="A2787" s="52" t="s">
        <v>6379</v>
      </c>
      <c r="B2787" s="52" t="s">
        <v>607</v>
      </c>
      <c r="C2787" s="52" t="s">
        <v>607</v>
      </c>
      <c r="D2787" s="65" t="s">
        <v>607</v>
      </c>
      <c r="E2787" s="65" t="s">
        <v>607</v>
      </c>
      <c r="F2787" s="65" t="s">
        <v>607</v>
      </c>
      <c r="G2787" s="65" t="s">
        <v>607</v>
      </c>
      <c r="H2787" s="52" t="s">
        <v>607</v>
      </c>
      <c r="I2787" s="52" t="s">
        <v>607</v>
      </c>
      <c r="J2787" s="52" t="s">
        <v>607</v>
      </c>
      <c r="K2787" s="52" t="s">
        <v>607</v>
      </c>
      <c r="L2787" s="52" t="s">
        <v>607</v>
      </c>
      <c r="M2787" s="52" t="s">
        <v>607</v>
      </c>
      <c r="N2787" s="52" t="s">
        <v>607</v>
      </c>
      <c r="O2787" s="52"/>
      <c r="P2787" s="52"/>
      <c r="Q2787" s="52"/>
      <c r="R2787" s="51" t="b">
        <v>0</v>
      </c>
      <c r="S2787" s="51"/>
      <c r="T2787" s="52"/>
      <c r="U2787" s="51" t="b">
        <v>0</v>
      </c>
      <c r="V2787" s="51" t="b">
        <v>0</v>
      </c>
      <c r="W2787" s="51" t="b">
        <v>0</v>
      </c>
      <c r="X2787" s="51" t="b">
        <v>0</v>
      </c>
      <c r="Y2787" s="51" t="b">
        <v>0</v>
      </c>
      <c r="Z2787" s="51" t="b">
        <v>0</v>
      </c>
      <c r="AA2787" s="68"/>
      <c r="AB2787" s="52"/>
      <c r="AC2787" s="52"/>
      <c r="AD2787" s="52"/>
      <c r="AE2787" s="56" t="s">
        <v>607</v>
      </c>
      <c r="AF2787" s="56" t="s">
        <v>607</v>
      </c>
    </row>
    <row r="2788">
      <c r="A2788" s="52" t="s">
        <v>6380</v>
      </c>
      <c r="B2788" s="52" t="s">
        <v>607</v>
      </c>
      <c r="C2788" s="52" t="s">
        <v>607</v>
      </c>
      <c r="D2788" s="65" t="s">
        <v>607</v>
      </c>
      <c r="E2788" s="65" t="s">
        <v>607</v>
      </c>
      <c r="F2788" s="65" t="s">
        <v>607</v>
      </c>
      <c r="G2788" s="65" t="s">
        <v>607</v>
      </c>
      <c r="H2788" s="52" t="s">
        <v>607</v>
      </c>
      <c r="I2788" s="52" t="s">
        <v>607</v>
      </c>
      <c r="J2788" s="52" t="s">
        <v>607</v>
      </c>
      <c r="K2788" s="52" t="s">
        <v>607</v>
      </c>
      <c r="L2788" s="52" t="s">
        <v>607</v>
      </c>
      <c r="M2788" s="52" t="s">
        <v>607</v>
      </c>
      <c r="N2788" s="52" t="s">
        <v>607</v>
      </c>
      <c r="O2788" s="52"/>
      <c r="P2788" s="52"/>
      <c r="Q2788" s="52"/>
      <c r="R2788" s="51" t="b">
        <v>0</v>
      </c>
      <c r="S2788" s="51"/>
      <c r="T2788" s="52"/>
      <c r="U2788" s="51" t="b">
        <v>0</v>
      </c>
      <c r="V2788" s="51" t="b">
        <v>0</v>
      </c>
      <c r="W2788" s="51" t="b">
        <v>0</v>
      </c>
      <c r="X2788" s="51" t="b">
        <v>0</v>
      </c>
      <c r="Y2788" s="51" t="b">
        <v>0</v>
      </c>
      <c r="Z2788" s="51" t="b">
        <v>0</v>
      </c>
      <c r="AA2788" s="68"/>
      <c r="AB2788" s="52"/>
      <c r="AC2788" s="52"/>
      <c r="AD2788" s="52"/>
      <c r="AE2788" s="56" t="s">
        <v>607</v>
      </c>
      <c r="AF2788" s="56" t="s">
        <v>607</v>
      </c>
    </row>
    <row r="2789">
      <c r="A2789" s="52" t="s">
        <v>6381</v>
      </c>
      <c r="B2789" s="52" t="s">
        <v>607</v>
      </c>
      <c r="C2789" s="52" t="s">
        <v>607</v>
      </c>
      <c r="D2789" s="65" t="s">
        <v>607</v>
      </c>
      <c r="E2789" s="65" t="s">
        <v>607</v>
      </c>
      <c r="F2789" s="65" t="s">
        <v>607</v>
      </c>
      <c r="G2789" s="65" t="s">
        <v>607</v>
      </c>
      <c r="H2789" s="52" t="s">
        <v>607</v>
      </c>
      <c r="I2789" s="52" t="s">
        <v>607</v>
      </c>
      <c r="J2789" s="52" t="s">
        <v>607</v>
      </c>
      <c r="K2789" s="52" t="s">
        <v>607</v>
      </c>
      <c r="L2789" s="52" t="s">
        <v>607</v>
      </c>
      <c r="M2789" s="52" t="s">
        <v>607</v>
      </c>
      <c r="N2789" s="52" t="s">
        <v>607</v>
      </c>
      <c r="O2789" s="52"/>
      <c r="P2789" s="52"/>
      <c r="Q2789" s="52"/>
      <c r="R2789" s="51" t="b">
        <v>0</v>
      </c>
      <c r="S2789" s="51"/>
      <c r="T2789" s="52"/>
      <c r="U2789" s="51" t="b">
        <v>0</v>
      </c>
      <c r="V2789" s="51" t="b">
        <v>0</v>
      </c>
      <c r="W2789" s="51" t="b">
        <v>0</v>
      </c>
      <c r="X2789" s="51" t="b">
        <v>0</v>
      </c>
      <c r="Y2789" s="51" t="b">
        <v>0</v>
      </c>
      <c r="Z2789" s="51" t="b">
        <v>0</v>
      </c>
      <c r="AA2789" s="68"/>
      <c r="AB2789" s="52"/>
      <c r="AC2789" s="52"/>
      <c r="AD2789" s="52"/>
      <c r="AE2789" s="56" t="s">
        <v>607</v>
      </c>
      <c r="AF2789" s="56" t="s">
        <v>607</v>
      </c>
    </row>
    <row r="2790">
      <c r="A2790" s="52" t="s">
        <v>6382</v>
      </c>
      <c r="B2790" s="52" t="s">
        <v>607</v>
      </c>
      <c r="C2790" s="52" t="s">
        <v>607</v>
      </c>
      <c r="D2790" s="65" t="s">
        <v>607</v>
      </c>
      <c r="E2790" s="65" t="s">
        <v>607</v>
      </c>
      <c r="F2790" s="65" t="s">
        <v>607</v>
      </c>
      <c r="G2790" s="65" t="s">
        <v>607</v>
      </c>
      <c r="H2790" s="52" t="s">
        <v>607</v>
      </c>
      <c r="I2790" s="52" t="s">
        <v>607</v>
      </c>
      <c r="J2790" s="52" t="s">
        <v>607</v>
      </c>
      <c r="K2790" s="52" t="s">
        <v>607</v>
      </c>
      <c r="L2790" s="52" t="s">
        <v>607</v>
      </c>
      <c r="M2790" s="52" t="s">
        <v>607</v>
      </c>
      <c r="N2790" s="52" t="s">
        <v>607</v>
      </c>
      <c r="O2790" s="52"/>
      <c r="P2790" s="52"/>
      <c r="Q2790" s="52"/>
      <c r="R2790" s="51" t="b">
        <v>0</v>
      </c>
      <c r="S2790" s="51"/>
      <c r="T2790" s="52"/>
      <c r="U2790" s="51" t="b">
        <v>0</v>
      </c>
      <c r="V2790" s="51" t="b">
        <v>0</v>
      </c>
      <c r="W2790" s="51" t="b">
        <v>0</v>
      </c>
      <c r="X2790" s="51" t="b">
        <v>0</v>
      </c>
      <c r="Y2790" s="51" t="b">
        <v>0</v>
      </c>
      <c r="Z2790" s="51" t="b">
        <v>0</v>
      </c>
      <c r="AA2790" s="68"/>
      <c r="AB2790" s="52"/>
      <c r="AC2790" s="52"/>
      <c r="AD2790" s="52"/>
      <c r="AE2790" s="56" t="s">
        <v>607</v>
      </c>
      <c r="AF2790" s="56" t="s">
        <v>607</v>
      </c>
    </row>
    <row r="2791">
      <c r="A2791" s="52" t="s">
        <v>6383</v>
      </c>
      <c r="B2791" s="52" t="s">
        <v>607</v>
      </c>
      <c r="C2791" s="52" t="s">
        <v>607</v>
      </c>
      <c r="D2791" s="65" t="s">
        <v>607</v>
      </c>
      <c r="E2791" s="65" t="s">
        <v>607</v>
      </c>
      <c r="F2791" s="65" t="s">
        <v>607</v>
      </c>
      <c r="G2791" s="65" t="s">
        <v>607</v>
      </c>
      <c r="H2791" s="52" t="s">
        <v>607</v>
      </c>
      <c r="I2791" s="52" t="s">
        <v>607</v>
      </c>
      <c r="J2791" s="52" t="s">
        <v>607</v>
      </c>
      <c r="K2791" s="52" t="s">
        <v>607</v>
      </c>
      <c r="L2791" s="52" t="s">
        <v>607</v>
      </c>
      <c r="M2791" s="52" t="s">
        <v>607</v>
      </c>
      <c r="N2791" s="52" t="s">
        <v>607</v>
      </c>
      <c r="O2791" s="52"/>
      <c r="P2791" s="52"/>
      <c r="Q2791" s="52"/>
      <c r="R2791" s="51" t="b">
        <v>0</v>
      </c>
      <c r="S2791" s="51"/>
      <c r="T2791" s="52"/>
      <c r="U2791" s="51" t="b">
        <v>0</v>
      </c>
      <c r="V2791" s="51" t="b">
        <v>0</v>
      </c>
      <c r="W2791" s="51" t="b">
        <v>0</v>
      </c>
      <c r="X2791" s="51" t="b">
        <v>0</v>
      </c>
      <c r="Y2791" s="51" t="b">
        <v>0</v>
      </c>
      <c r="Z2791" s="51" t="b">
        <v>0</v>
      </c>
      <c r="AA2791" s="68"/>
      <c r="AB2791" s="52"/>
      <c r="AC2791" s="52"/>
      <c r="AD2791" s="52"/>
      <c r="AE2791" s="56" t="s">
        <v>607</v>
      </c>
      <c r="AF2791" s="56" t="s">
        <v>607</v>
      </c>
    </row>
    <row r="2792">
      <c r="A2792" s="52" t="s">
        <v>6384</v>
      </c>
      <c r="B2792" s="52" t="s">
        <v>607</v>
      </c>
      <c r="C2792" s="52" t="s">
        <v>607</v>
      </c>
      <c r="D2792" s="65" t="s">
        <v>607</v>
      </c>
      <c r="E2792" s="65" t="s">
        <v>607</v>
      </c>
      <c r="F2792" s="65" t="s">
        <v>607</v>
      </c>
      <c r="G2792" s="65" t="s">
        <v>607</v>
      </c>
      <c r="H2792" s="52" t="s">
        <v>607</v>
      </c>
      <c r="I2792" s="52" t="s">
        <v>607</v>
      </c>
      <c r="J2792" s="52" t="s">
        <v>607</v>
      </c>
      <c r="K2792" s="52" t="s">
        <v>607</v>
      </c>
      <c r="L2792" s="52" t="s">
        <v>607</v>
      </c>
      <c r="M2792" s="52" t="s">
        <v>607</v>
      </c>
      <c r="N2792" s="52" t="s">
        <v>607</v>
      </c>
      <c r="O2792" s="52"/>
      <c r="P2792" s="52"/>
      <c r="Q2792" s="52"/>
      <c r="R2792" s="51" t="b">
        <v>0</v>
      </c>
      <c r="S2792" s="51"/>
      <c r="T2792" s="52"/>
      <c r="U2792" s="51" t="b">
        <v>0</v>
      </c>
      <c r="V2792" s="51" t="b">
        <v>0</v>
      </c>
      <c r="W2792" s="51" t="b">
        <v>0</v>
      </c>
      <c r="X2792" s="51" t="b">
        <v>0</v>
      </c>
      <c r="Y2792" s="51" t="b">
        <v>0</v>
      </c>
      <c r="Z2792" s="51" t="b">
        <v>0</v>
      </c>
      <c r="AA2792" s="68"/>
      <c r="AB2792" s="52"/>
      <c r="AC2792" s="52"/>
      <c r="AD2792" s="52"/>
      <c r="AE2792" s="56" t="s">
        <v>607</v>
      </c>
      <c r="AF2792" s="56" t="s">
        <v>607</v>
      </c>
    </row>
    <row r="2793">
      <c r="A2793" s="52" t="s">
        <v>6388</v>
      </c>
      <c r="B2793" s="52" t="s">
        <v>607</v>
      </c>
      <c r="C2793" s="52" t="s">
        <v>607</v>
      </c>
      <c r="D2793" s="65" t="s">
        <v>607</v>
      </c>
      <c r="E2793" s="65" t="s">
        <v>607</v>
      </c>
      <c r="F2793" s="65" t="s">
        <v>607</v>
      </c>
      <c r="G2793" s="65" t="s">
        <v>607</v>
      </c>
      <c r="H2793" s="52" t="s">
        <v>607</v>
      </c>
      <c r="I2793" s="52" t="s">
        <v>607</v>
      </c>
      <c r="J2793" s="52" t="s">
        <v>607</v>
      </c>
      <c r="K2793" s="52" t="s">
        <v>607</v>
      </c>
      <c r="L2793" s="52" t="s">
        <v>607</v>
      </c>
      <c r="M2793" s="52" t="s">
        <v>607</v>
      </c>
      <c r="N2793" s="52" t="s">
        <v>607</v>
      </c>
      <c r="O2793" s="52"/>
      <c r="P2793" s="52"/>
      <c r="Q2793" s="52"/>
      <c r="R2793" s="51" t="b">
        <v>0</v>
      </c>
      <c r="S2793" s="51"/>
      <c r="T2793" s="52"/>
      <c r="U2793" s="51" t="b">
        <v>0</v>
      </c>
      <c r="V2793" s="51" t="b">
        <v>0</v>
      </c>
      <c r="W2793" s="51" t="b">
        <v>0</v>
      </c>
      <c r="X2793" s="51" t="b">
        <v>0</v>
      </c>
      <c r="Y2793" s="51" t="b">
        <v>0</v>
      </c>
      <c r="Z2793" s="51" t="b">
        <v>0</v>
      </c>
      <c r="AA2793" s="68"/>
      <c r="AB2793" s="52"/>
      <c r="AC2793" s="52"/>
      <c r="AD2793" s="52"/>
      <c r="AE2793" s="56" t="s">
        <v>607</v>
      </c>
      <c r="AF2793" s="56" t="s">
        <v>607</v>
      </c>
    </row>
    <row r="2794">
      <c r="A2794" s="52" t="s">
        <v>6389</v>
      </c>
      <c r="B2794" s="52" t="s">
        <v>607</v>
      </c>
      <c r="C2794" s="52" t="s">
        <v>607</v>
      </c>
      <c r="D2794" s="65" t="s">
        <v>607</v>
      </c>
      <c r="E2794" s="65" t="s">
        <v>607</v>
      </c>
      <c r="F2794" s="65" t="s">
        <v>607</v>
      </c>
      <c r="G2794" s="65" t="s">
        <v>607</v>
      </c>
      <c r="H2794" s="52" t="s">
        <v>607</v>
      </c>
      <c r="I2794" s="52" t="s">
        <v>607</v>
      </c>
      <c r="J2794" s="52" t="s">
        <v>607</v>
      </c>
      <c r="K2794" s="52" t="s">
        <v>607</v>
      </c>
      <c r="L2794" s="52" t="s">
        <v>607</v>
      </c>
      <c r="M2794" s="52" t="s">
        <v>607</v>
      </c>
      <c r="N2794" s="52" t="s">
        <v>607</v>
      </c>
      <c r="O2794" s="52"/>
      <c r="P2794" s="52"/>
      <c r="Q2794" s="52"/>
      <c r="R2794" s="51" t="b">
        <v>0</v>
      </c>
      <c r="S2794" s="51"/>
      <c r="T2794" s="52"/>
      <c r="U2794" s="51" t="b">
        <v>0</v>
      </c>
      <c r="V2794" s="51" t="b">
        <v>0</v>
      </c>
      <c r="W2794" s="51" t="b">
        <v>0</v>
      </c>
      <c r="X2794" s="51" t="b">
        <v>0</v>
      </c>
      <c r="Y2794" s="51" t="b">
        <v>0</v>
      </c>
      <c r="Z2794" s="51" t="b">
        <v>0</v>
      </c>
      <c r="AA2794" s="68"/>
      <c r="AB2794" s="52"/>
      <c r="AC2794" s="52"/>
      <c r="AD2794" s="52"/>
      <c r="AE2794" s="56" t="s">
        <v>607</v>
      </c>
      <c r="AF2794" s="56" t="s">
        <v>607</v>
      </c>
    </row>
    <row r="2795">
      <c r="A2795" s="52" t="s">
        <v>6390</v>
      </c>
      <c r="B2795" s="52" t="s">
        <v>607</v>
      </c>
      <c r="C2795" s="52" t="s">
        <v>607</v>
      </c>
      <c r="D2795" s="65" t="s">
        <v>607</v>
      </c>
      <c r="E2795" s="65" t="s">
        <v>607</v>
      </c>
      <c r="F2795" s="65" t="s">
        <v>607</v>
      </c>
      <c r="G2795" s="65" t="s">
        <v>607</v>
      </c>
      <c r="H2795" s="52" t="s">
        <v>607</v>
      </c>
      <c r="I2795" s="52" t="s">
        <v>607</v>
      </c>
      <c r="J2795" s="52" t="s">
        <v>607</v>
      </c>
      <c r="K2795" s="52" t="s">
        <v>607</v>
      </c>
      <c r="L2795" s="52" t="s">
        <v>607</v>
      </c>
      <c r="M2795" s="52" t="s">
        <v>607</v>
      </c>
      <c r="N2795" s="52" t="s">
        <v>607</v>
      </c>
      <c r="O2795" s="52"/>
      <c r="P2795" s="52"/>
      <c r="Q2795" s="52"/>
      <c r="R2795" s="51" t="b">
        <v>0</v>
      </c>
      <c r="S2795" s="51"/>
      <c r="T2795" s="52"/>
      <c r="U2795" s="51" t="b">
        <v>0</v>
      </c>
      <c r="V2795" s="51" t="b">
        <v>0</v>
      </c>
      <c r="W2795" s="51" t="b">
        <v>0</v>
      </c>
      <c r="X2795" s="51" t="b">
        <v>0</v>
      </c>
      <c r="Y2795" s="51" t="b">
        <v>0</v>
      </c>
      <c r="Z2795" s="51" t="b">
        <v>0</v>
      </c>
      <c r="AA2795" s="68"/>
      <c r="AB2795" s="52"/>
      <c r="AC2795" s="52"/>
      <c r="AD2795" s="52"/>
      <c r="AE2795" s="56" t="s">
        <v>607</v>
      </c>
      <c r="AF2795" s="56" t="s">
        <v>607</v>
      </c>
    </row>
    <row r="2796">
      <c r="A2796" s="52" t="s">
        <v>6391</v>
      </c>
      <c r="B2796" s="52" t="s">
        <v>607</v>
      </c>
      <c r="C2796" s="52" t="s">
        <v>607</v>
      </c>
      <c r="D2796" s="65" t="s">
        <v>607</v>
      </c>
      <c r="E2796" s="65" t="s">
        <v>607</v>
      </c>
      <c r="F2796" s="65" t="s">
        <v>607</v>
      </c>
      <c r="G2796" s="65" t="s">
        <v>607</v>
      </c>
      <c r="H2796" s="52" t="s">
        <v>607</v>
      </c>
      <c r="I2796" s="52" t="s">
        <v>607</v>
      </c>
      <c r="J2796" s="52" t="s">
        <v>607</v>
      </c>
      <c r="K2796" s="52" t="s">
        <v>607</v>
      </c>
      <c r="L2796" s="52" t="s">
        <v>607</v>
      </c>
      <c r="M2796" s="52" t="s">
        <v>607</v>
      </c>
      <c r="N2796" s="52" t="s">
        <v>607</v>
      </c>
      <c r="O2796" s="52"/>
      <c r="P2796" s="52"/>
      <c r="Q2796" s="52"/>
      <c r="R2796" s="51" t="b">
        <v>0</v>
      </c>
      <c r="S2796" s="51"/>
      <c r="T2796" s="52"/>
      <c r="U2796" s="51" t="b">
        <v>0</v>
      </c>
      <c r="V2796" s="51" t="b">
        <v>0</v>
      </c>
      <c r="W2796" s="51" t="b">
        <v>0</v>
      </c>
      <c r="X2796" s="51" t="b">
        <v>0</v>
      </c>
      <c r="Y2796" s="51" t="b">
        <v>0</v>
      </c>
      <c r="Z2796" s="51" t="b">
        <v>0</v>
      </c>
      <c r="AA2796" s="68"/>
      <c r="AB2796" s="52"/>
      <c r="AC2796" s="52"/>
      <c r="AD2796" s="52"/>
      <c r="AE2796" s="56" t="s">
        <v>607</v>
      </c>
      <c r="AF2796" s="56" t="s">
        <v>607</v>
      </c>
    </row>
    <row r="2797">
      <c r="A2797" s="52" t="s">
        <v>6392</v>
      </c>
      <c r="B2797" s="52" t="s">
        <v>607</v>
      </c>
      <c r="C2797" s="52" t="s">
        <v>607</v>
      </c>
      <c r="D2797" s="65" t="s">
        <v>607</v>
      </c>
      <c r="E2797" s="65" t="s">
        <v>607</v>
      </c>
      <c r="F2797" s="65" t="s">
        <v>607</v>
      </c>
      <c r="G2797" s="65" t="s">
        <v>607</v>
      </c>
      <c r="H2797" s="52" t="s">
        <v>607</v>
      </c>
      <c r="I2797" s="52" t="s">
        <v>607</v>
      </c>
      <c r="J2797" s="52" t="s">
        <v>607</v>
      </c>
      <c r="K2797" s="52" t="s">
        <v>607</v>
      </c>
      <c r="L2797" s="52" t="s">
        <v>607</v>
      </c>
      <c r="M2797" s="52" t="s">
        <v>607</v>
      </c>
      <c r="N2797" s="52" t="s">
        <v>607</v>
      </c>
      <c r="O2797" s="52"/>
      <c r="P2797" s="52"/>
      <c r="Q2797" s="52"/>
      <c r="R2797" s="51" t="b">
        <v>0</v>
      </c>
      <c r="S2797" s="51"/>
      <c r="T2797" s="52"/>
      <c r="U2797" s="51" t="b">
        <v>0</v>
      </c>
      <c r="V2797" s="51" t="b">
        <v>0</v>
      </c>
      <c r="W2797" s="51" t="b">
        <v>0</v>
      </c>
      <c r="X2797" s="51" t="b">
        <v>0</v>
      </c>
      <c r="Y2797" s="51" t="b">
        <v>0</v>
      </c>
      <c r="Z2797" s="51" t="b">
        <v>0</v>
      </c>
      <c r="AA2797" s="68"/>
      <c r="AB2797" s="52"/>
      <c r="AC2797" s="52"/>
      <c r="AD2797" s="52"/>
      <c r="AE2797" s="56" t="s">
        <v>607</v>
      </c>
      <c r="AF2797" s="56" t="s">
        <v>607</v>
      </c>
    </row>
    <row r="2798">
      <c r="A2798" s="52" t="s">
        <v>6393</v>
      </c>
      <c r="B2798" s="52" t="s">
        <v>607</v>
      </c>
      <c r="C2798" s="52" t="s">
        <v>607</v>
      </c>
      <c r="D2798" s="65" t="s">
        <v>607</v>
      </c>
      <c r="E2798" s="65" t="s">
        <v>607</v>
      </c>
      <c r="F2798" s="65" t="s">
        <v>607</v>
      </c>
      <c r="G2798" s="65" t="s">
        <v>607</v>
      </c>
      <c r="H2798" s="52" t="s">
        <v>607</v>
      </c>
      <c r="I2798" s="52" t="s">
        <v>607</v>
      </c>
      <c r="J2798" s="52" t="s">
        <v>607</v>
      </c>
      <c r="K2798" s="52" t="s">
        <v>607</v>
      </c>
      <c r="L2798" s="52" t="s">
        <v>607</v>
      </c>
      <c r="M2798" s="52" t="s">
        <v>607</v>
      </c>
      <c r="N2798" s="52" t="s">
        <v>607</v>
      </c>
      <c r="O2798" s="52"/>
      <c r="P2798" s="52"/>
      <c r="Q2798" s="52"/>
      <c r="R2798" s="51" t="b">
        <v>0</v>
      </c>
      <c r="S2798" s="51"/>
      <c r="T2798" s="52"/>
      <c r="U2798" s="51" t="b">
        <v>0</v>
      </c>
      <c r="V2798" s="51" t="b">
        <v>0</v>
      </c>
      <c r="W2798" s="51" t="b">
        <v>0</v>
      </c>
      <c r="X2798" s="51" t="b">
        <v>0</v>
      </c>
      <c r="Y2798" s="51" t="b">
        <v>0</v>
      </c>
      <c r="Z2798" s="51" t="b">
        <v>0</v>
      </c>
      <c r="AA2798" s="68"/>
      <c r="AB2798" s="52"/>
      <c r="AC2798" s="52"/>
      <c r="AD2798" s="52"/>
      <c r="AE2798" s="56" t="s">
        <v>607</v>
      </c>
      <c r="AF2798" s="56" t="s">
        <v>607</v>
      </c>
    </row>
    <row r="2799">
      <c r="A2799" s="52" t="s">
        <v>6394</v>
      </c>
      <c r="B2799" s="52" t="s">
        <v>607</v>
      </c>
      <c r="C2799" s="52" t="s">
        <v>607</v>
      </c>
      <c r="D2799" s="65" t="s">
        <v>607</v>
      </c>
      <c r="E2799" s="65" t="s">
        <v>607</v>
      </c>
      <c r="F2799" s="65" t="s">
        <v>607</v>
      </c>
      <c r="G2799" s="65" t="s">
        <v>607</v>
      </c>
      <c r="H2799" s="52" t="s">
        <v>607</v>
      </c>
      <c r="I2799" s="52" t="s">
        <v>607</v>
      </c>
      <c r="J2799" s="52" t="s">
        <v>607</v>
      </c>
      <c r="K2799" s="52" t="s">
        <v>607</v>
      </c>
      <c r="L2799" s="52" t="s">
        <v>607</v>
      </c>
      <c r="M2799" s="52" t="s">
        <v>607</v>
      </c>
      <c r="N2799" s="52" t="s">
        <v>607</v>
      </c>
      <c r="O2799" s="52"/>
      <c r="P2799" s="52"/>
      <c r="Q2799" s="52"/>
      <c r="R2799" s="51" t="b">
        <v>0</v>
      </c>
      <c r="S2799" s="51"/>
      <c r="T2799" s="52"/>
      <c r="U2799" s="51" t="b">
        <v>0</v>
      </c>
      <c r="V2799" s="51" t="b">
        <v>0</v>
      </c>
      <c r="W2799" s="51" t="b">
        <v>0</v>
      </c>
      <c r="X2799" s="51" t="b">
        <v>0</v>
      </c>
      <c r="Y2799" s="51" t="b">
        <v>0</v>
      </c>
      <c r="Z2799" s="51" t="b">
        <v>0</v>
      </c>
      <c r="AA2799" s="68"/>
      <c r="AB2799" s="52"/>
      <c r="AC2799" s="52"/>
      <c r="AD2799" s="52"/>
      <c r="AE2799" s="56" t="s">
        <v>607</v>
      </c>
      <c r="AF2799" s="56" t="s">
        <v>607</v>
      </c>
    </row>
    <row r="2800">
      <c r="A2800" s="52" t="s">
        <v>6395</v>
      </c>
      <c r="B2800" s="52" t="s">
        <v>607</v>
      </c>
      <c r="C2800" s="52" t="s">
        <v>607</v>
      </c>
      <c r="D2800" s="65" t="s">
        <v>607</v>
      </c>
      <c r="E2800" s="65" t="s">
        <v>607</v>
      </c>
      <c r="F2800" s="65" t="s">
        <v>607</v>
      </c>
      <c r="G2800" s="65" t="s">
        <v>607</v>
      </c>
      <c r="H2800" s="52" t="s">
        <v>607</v>
      </c>
      <c r="I2800" s="52" t="s">
        <v>607</v>
      </c>
      <c r="J2800" s="52" t="s">
        <v>607</v>
      </c>
      <c r="K2800" s="52" t="s">
        <v>607</v>
      </c>
      <c r="L2800" s="52" t="s">
        <v>607</v>
      </c>
      <c r="M2800" s="52" t="s">
        <v>607</v>
      </c>
      <c r="N2800" s="52" t="s">
        <v>607</v>
      </c>
      <c r="O2800" s="52"/>
      <c r="P2800" s="52"/>
      <c r="Q2800" s="52"/>
      <c r="R2800" s="51" t="b">
        <v>0</v>
      </c>
      <c r="S2800" s="51"/>
      <c r="T2800" s="52"/>
      <c r="U2800" s="51" t="b">
        <v>0</v>
      </c>
      <c r="V2800" s="51" t="b">
        <v>0</v>
      </c>
      <c r="W2800" s="51" t="b">
        <v>0</v>
      </c>
      <c r="X2800" s="51" t="b">
        <v>0</v>
      </c>
      <c r="Y2800" s="51" t="b">
        <v>0</v>
      </c>
      <c r="Z2800" s="51" t="b">
        <v>0</v>
      </c>
      <c r="AA2800" s="68"/>
      <c r="AB2800" s="52"/>
      <c r="AC2800" s="52"/>
      <c r="AD2800" s="52"/>
      <c r="AE2800" s="56" t="s">
        <v>607</v>
      </c>
      <c r="AF2800" s="56" t="s">
        <v>607</v>
      </c>
    </row>
    <row r="2801">
      <c r="A2801" s="52" t="s">
        <v>6396</v>
      </c>
      <c r="B2801" s="52" t="s">
        <v>607</v>
      </c>
      <c r="C2801" s="52" t="s">
        <v>607</v>
      </c>
      <c r="D2801" s="65" t="s">
        <v>607</v>
      </c>
      <c r="E2801" s="65" t="s">
        <v>607</v>
      </c>
      <c r="F2801" s="65" t="s">
        <v>607</v>
      </c>
      <c r="G2801" s="65" t="s">
        <v>607</v>
      </c>
      <c r="H2801" s="52" t="s">
        <v>607</v>
      </c>
      <c r="I2801" s="52" t="s">
        <v>607</v>
      </c>
      <c r="J2801" s="52" t="s">
        <v>607</v>
      </c>
      <c r="K2801" s="52" t="s">
        <v>607</v>
      </c>
      <c r="L2801" s="52" t="s">
        <v>607</v>
      </c>
      <c r="M2801" s="52" t="s">
        <v>607</v>
      </c>
      <c r="N2801" s="52" t="s">
        <v>607</v>
      </c>
      <c r="O2801" s="52"/>
      <c r="P2801" s="52"/>
      <c r="Q2801" s="52"/>
      <c r="R2801" s="51" t="b">
        <v>0</v>
      </c>
      <c r="S2801" s="51"/>
      <c r="T2801" s="52"/>
      <c r="U2801" s="51" t="b">
        <v>0</v>
      </c>
      <c r="V2801" s="51" t="b">
        <v>0</v>
      </c>
      <c r="W2801" s="51" t="b">
        <v>0</v>
      </c>
      <c r="X2801" s="51" t="b">
        <v>0</v>
      </c>
      <c r="Y2801" s="51" t="b">
        <v>0</v>
      </c>
      <c r="Z2801" s="51" t="b">
        <v>0</v>
      </c>
      <c r="AA2801" s="68"/>
      <c r="AB2801" s="52"/>
      <c r="AC2801" s="52"/>
      <c r="AD2801" s="52"/>
      <c r="AE2801" s="56" t="s">
        <v>607</v>
      </c>
      <c r="AF2801" s="56" t="s">
        <v>607</v>
      </c>
    </row>
    <row r="2802">
      <c r="A2802" s="52" t="s">
        <v>6400</v>
      </c>
      <c r="B2802" s="52" t="s">
        <v>607</v>
      </c>
      <c r="C2802" s="52" t="s">
        <v>607</v>
      </c>
      <c r="D2802" s="65" t="s">
        <v>607</v>
      </c>
      <c r="E2802" s="65" t="s">
        <v>607</v>
      </c>
      <c r="F2802" s="65" t="s">
        <v>607</v>
      </c>
      <c r="G2802" s="65" t="s">
        <v>607</v>
      </c>
      <c r="H2802" s="52" t="s">
        <v>607</v>
      </c>
      <c r="I2802" s="52" t="s">
        <v>607</v>
      </c>
      <c r="J2802" s="52" t="s">
        <v>607</v>
      </c>
      <c r="K2802" s="52" t="s">
        <v>607</v>
      </c>
      <c r="L2802" s="52" t="s">
        <v>607</v>
      </c>
      <c r="M2802" s="52" t="s">
        <v>607</v>
      </c>
      <c r="N2802" s="52" t="s">
        <v>607</v>
      </c>
      <c r="O2802" s="52"/>
      <c r="P2802" s="52"/>
      <c r="Q2802" s="52"/>
      <c r="R2802" s="51" t="b">
        <v>0</v>
      </c>
      <c r="S2802" s="51"/>
      <c r="T2802" s="52"/>
      <c r="U2802" s="51" t="b">
        <v>0</v>
      </c>
      <c r="V2802" s="51" t="b">
        <v>0</v>
      </c>
      <c r="W2802" s="51" t="b">
        <v>0</v>
      </c>
      <c r="X2802" s="51" t="b">
        <v>0</v>
      </c>
      <c r="Y2802" s="51" t="b">
        <v>0</v>
      </c>
      <c r="Z2802" s="51" t="b">
        <v>0</v>
      </c>
      <c r="AA2802" s="68"/>
      <c r="AB2802" s="52"/>
      <c r="AC2802" s="52"/>
      <c r="AD2802" s="52"/>
      <c r="AE2802" s="56" t="s">
        <v>607</v>
      </c>
      <c r="AF2802" s="56" t="s">
        <v>607</v>
      </c>
    </row>
    <row r="2803">
      <c r="A2803" s="52" t="s">
        <v>6401</v>
      </c>
      <c r="B2803" s="52" t="s">
        <v>607</v>
      </c>
      <c r="C2803" s="52" t="s">
        <v>607</v>
      </c>
      <c r="D2803" s="65" t="s">
        <v>607</v>
      </c>
      <c r="E2803" s="65" t="s">
        <v>607</v>
      </c>
      <c r="F2803" s="65" t="s">
        <v>607</v>
      </c>
      <c r="G2803" s="65" t="s">
        <v>607</v>
      </c>
      <c r="H2803" s="52" t="s">
        <v>607</v>
      </c>
      <c r="I2803" s="52" t="s">
        <v>607</v>
      </c>
      <c r="J2803" s="52" t="s">
        <v>607</v>
      </c>
      <c r="K2803" s="52" t="s">
        <v>607</v>
      </c>
      <c r="L2803" s="52" t="s">
        <v>607</v>
      </c>
      <c r="M2803" s="52" t="s">
        <v>607</v>
      </c>
      <c r="N2803" s="52" t="s">
        <v>607</v>
      </c>
      <c r="O2803" s="52"/>
      <c r="P2803" s="52"/>
      <c r="Q2803" s="52"/>
      <c r="R2803" s="51" t="b">
        <v>0</v>
      </c>
      <c r="S2803" s="51"/>
      <c r="T2803" s="52"/>
      <c r="U2803" s="51" t="b">
        <v>0</v>
      </c>
      <c r="V2803" s="51" t="b">
        <v>0</v>
      </c>
      <c r="W2803" s="51" t="b">
        <v>0</v>
      </c>
      <c r="X2803" s="51" t="b">
        <v>0</v>
      </c>
      <c r="Y2803" s="51" t="b">
        <v>0</v>
      </c>
      <c r="Z2803" s="51" t="b">
        <v>0</v>
      </c>
      <c r="AA2803" s="68"/>
      <c r="AB2803" s="52"/>
      <c r="AC2803" s="52"/>
      <c r="AD2803" s="52"/>
      <c r="AE2803" s="56" t="s">
        <v>607</v>
      </c>
      <c r="AF2803" s="56" t="s">
        <v>607</v>
      </c>
    </row>
    <row r="2804">
      <c r="A2804" s="52" t="s">
        <v>6402</v>
      </c>
      <c r="B2804" s="52" t="s">
        <v>607</v>
      </c>
      <c r="C2804" s="52" t="s">
        <v>607</v>
      </c>
      <c r="D2804" s="65" t="s">
        <v>607</v>
      </c>
      <c r="E2804" s="65" t="s">
        <v>607</v>
      </c>
      <c r="F2804" s="65" t="s">
        <v>607</v>
      </c>
      <c r="G2804" s="65" t="s">
        <v>607</v>
      </c>
      <c r="H2804" s="52" t="s">
        <v>607</v>
      </c>
      <c r="I2804" s="52" t="s">
        <v>607</v>
      </c>
      <c r="J2804" s="52" t="s">
        <v>607</v>
      </c>
      <c r="K2804" s="52" t="s">
        <v>607</v>
      </c>
      <c r="L2804" s="52" t="s">
        <v>607</v>
      </c>
      <c r="M2804" s="52" t="s">
        <v>607</v>
      </c>
      <c r="N2804" s="52" t="s">
        <v>607</v>
      </c>
      <c r="O2804" s="52"/>
      <c r="P2804" s="52"/>
      <c r="Q2804" s="52"/>
      <c r="R2804" s="51" t="b">
        <v>0</v>
      </c>
      <c r="S2804" s="51"/>
      <c r="T2804" s="52"/>
      <c r="U2804" s="51" t="b">
        <v>0</v>
      </c>
      <c r="V2804" s="51" t="b">
        <v>0</v>
      </c>
      <c r="W2804" s="51" t="b">
        <v>0</v>
      </c>
      <c r="X2804" s="51" t="b">
        <v>0</v>
      </c>
      <c r="Y2804" s="51" t="b">
        <v>0</v>
      </c>
      <c r="Z2804" s="51" t="b">
        <v>0</v>
      </c>
      <c r="AA2804" s="68"/>
      <c r="AB2804" s="52"/>
      <c r="AC2804" s="52"/>
      <c r="AD2804" s="52"/>
      <c r="AE2804" s="56" t="s">
        <v>607</v>
      </c>
      <c r="AF2804" s="56" t="s">
        <v>607</v>
      </c>
    </row>
    <row r="2805">
      <c r="A2805" s="52" t="s">
        <v>6407</v>
      </c>
      <c r="B2805" s="52" t="s">
        <v>607</v>
      </c>
      <c r="C2805" s="52" t="s">
        <v>607</v>
      </c>
      <c r="D2805" s="65" t="s">
        <v>607</v>
      </c>
      <c r="E2805" s="65" t="s">
        <v>607</v>
      </c>
      <c r="F2805" s="65" t="s">
        <v>607</v>
      </c>
      <c r="G2805" s="65" t="s">
        <v>607</v>
      </c>
      <c r="H2805" s="52" t="s">
        <v>607</v>
      </c>
      <c r="I2805" s="52" t="s">
        <v>607</v>
      </c>
      <c r="J2805" s="52" t="s">
        <v>607</v>
      </c>
      <c r="K2805" s="52" t="s">
        <v>607</v>
      </c>
      <c r="L2805" s="52" t="s">
        <v>607</v>
      </c>
      <c r="M2805" s="52" t="s">
        <v>607</v>
      </c>
      <c r="N2805" s="52" t="s">
        <v>607</v>
      </c>
      <c r="O2805" s="52"/>
      <c r="P2805" s="52"/>
      <c r="Q2805" s="52"/>
      <c r="R2805" s="51" t="b">
        <v>0</v>
      </c>
      <c r="S2805" s="51"/>
      <c r="T2805" s="52"/>
      <c r="U2805" s="51" t="b">
        <v>0</v>
      </c>
      <c r="V2805" s="51" t="b">
        <v>0</v>
      </c>
      <c r="W2805" s="51" t="b">
        <v>0</v>
      </c>
      <c r="X2805" s="51" t="b">
        <v>0</v>
      </c>
      <c r="Y2805" s="51" t="b">
        <v>0</v>
      </c>
      <c r="Z2805" s="51" t="b">
        <v>0</v>
      </c>
      <c r="AA2805" s="68"/>
      <c r="AB2805" s="52"/>
      <c r="AC2805" s="52"/>
      <c r="AD2805" s="52"/>
      <c r="AE2805" s="56" t="s">
        <v>607</v>
      </c>
      <c r="AF2805" s="56" t="s">
        <v>607</v>
      </c>
    </row>
    <row r="2806">
      <c r="A2806" s="52" t="s">
        <v>6408</v>
      </c>
      <c r="B2806" s="52" t="s">
        <v>607</v>
      </c>
      <c r="C2806" s="52" t="s">
        <v>607</v>
      </c>
      <c r="D2806" s="65" t="s">
        <v>607</v>
      </c>
      <c r="E2806" s="65" t="s">
        <v>607</v>
      </c>
      <c r="F2806" s="65" t="s">
        <v>607</v>
      </c>
      <c r="G2806" s="65" t="s">
        <v>607</v>
      </c>
      <c r="H2806" s="52" t="s">
        <v>607</v>
      </c>
      <c r="I2806" s="52" t="s">
        <v>607</v>
      </c>
      <c r="J2806" s="52" t="s">
        <v>607</v>
      </c>
      <c r="K2806" s="52" t="s">
        <v>607</v>
      </c>
      <c r="L2806" s="52" t="s">
        <v>607</v>
      </c>
      <c r="M2806" s="52" t="s">
        <v>607</v>
      </c>
      <c r="N2806" s="52" t="s">
        <v>607</v>
      </c>
      <c r="O2806" s="52"/>
      <c r="P2806" s="52"/>
      <c r="Q2806" s="52"/>
      <c r="R2806" s="51" t="b">
        <v>0</v>
      </c>
      <c r="S2806" s="51"/>
      <c r="T2806" s="52"/>
      <c r="U2806" s="51" t="b">
        <v>0</v>
      </c>
      <c r="V2806" s="51" t="b">
        <v>0</v>
      </c>
      <c r="W2806" s="51" t="b">
        <v>0</v>
      </c>
      <c r="X2806" s="51" t="b">
        <v>0</v>
      </c>
      <c r="Y2806" s="51" t="b">
        <v>0</v>
      </c>
      <c r="Z2806" s="51" t="b">
        <v>0</v>
      </c>
      <c r="AA2806" s="68"/>
      <c r="AB2806" s="52"/>
      <c r="AC2806" s="52"/>
      <c r="AD2806" s="52"/>
      <c r="AE2806" s="56" t="s">
        <v>607</v>
      </c>
      <c r="AF2806" s="56" t="s">
        <v>607</v>
      </c>
    </row>
    <row r="2807">
      <c r="A2807" s="52" t="s">
        <v>6409</v>
      </c>
      <c r="B2807" s="52" t="s">
        <v>607</v>
      </c>
      <c r="C2807" s="52" t="s">
        <v>607</v>
      </c>
      <c r="D2807" s="65" t="s">
        <v>607</v>
      </c>
      <c r="E2807" s="65" t="s">
        <v>607</v>
      </c>
      <c r="F2807" s="65" t="s">
        <v>607</v>
      </c>
      <c r="G2807" s="65" t="s">
        <v>607</v>
      </c>
      <c r="H2807" s="52" t="s">
        <v>607</v>
      </c>
      <c r="I2807" s="52" t="s">
        <v>607</v>
      </c>
      <c r="J2807" s="52" t="s">
        <v>607</v>
      </c>
      <c r="K2807" s="52" t="s">
        <v>607</v>
      </c>
      <c r="L2807" s="52" t="s">
        <v>607</v>
      </c>
      <c r="M2807" s="52" t="s">
        <v>607</v>
      </c>
      <c r="N2807" s="52" t="s">
        <v>607</v>
      </c>
      <c r="O2807" s="52"/>
      <c r="P2807" s="52"/>
      <c r="Q2807" s="52"/>
      <c r="R2807" s="51" t="b">
        <v>0</v>
      </c>
      <c r="S2807" s="51"/>
      <c r="T2807" s="52"/>
      <c r="U2807" s="51" t="b">
        <v>0</v>
      </c>
      <c r="V2807" s="51" t="b">
        <v>0</v>
      </c>
      <c r="W2807" s="51" t="b">
        <v>0</v>
      </c>
      <c r="X2807" s="51" t="b">
        <v>0</v>
      </c>
      <c r="Y2807" s="51" t="b">
        <v>0</v>
      </c>
      <c r="Z2807" s="51" t="b">
        <v>0</v>
      </c>
      <c r="AA2807" s="68"/>
      <c r="AB2807" s="52"/>
      <c r="AC2807" s="52"/>
      <c r="AD2807" s="52"/>
      <c r="AE2807" s="56" t="s">
        <v>607</v>
      </c>
      <c r="AF2807" s="56" t="s">
        <v>607</v>
      </c>
    </row>
    <row r="2808">
      <c r="A2808" s="52" t="s">
        <v>6411</v>
      </c>
      <c r="B2808" s="52" t="s">
        <v>607</v>
      </c>
      <c r="C2808" s="52" t="s">
        <v>607</v>
      </c>
      <c r="D2808" s="65" t="s">
        <v>607</v>
      </c>
      <c r="E2808" s="65" t="s">
        <v>607</v>
      </c>
      <c r="F2808" s="65" t="s">
        <v>607</v>
      </c>
      <c r="G2808" s="65" t="s">
        <v>607</v>
      </c>
      <c r="H2808" s="52" t="s">
        <v>607</v>
      </c>
      <c r="I2808" s="52" t="s">
        <v>607</v>
      </c>
      <c r="J2808" s="52" t="s">
        <v>607</v>
      </c>
      <c r="K2808" s="52" t="s">
        <v>607</v>
      </c>
      <c r="L2808" s="52" t="s">
        <v>607</v>
      </c>
      <c r="M2808" s="52" t="s">
        <v>607</v>
      </c>
      <c r="N2808" s="52" t="s">
        <v>607</v>
      </c>
      <c r="O2808" s="52"/>
      <c r="P2808" s="52"/>
      <c r="Q2808" s="52"/>
      <c r="R2808" s="51" t="b">
        <v>0</v>
      </c>
      <c r="S2808" s="51"/>
      <c r="T2808" s="52"/>
      <c r="U2808" s="51" t="b">
        <v>0</v>
      </c>
      <c r="V2808" s="51" t="b">
        <v>0</v>
      </c>
      <c r="W2808" s="51" t="b">
        <v>0</v>
      </c>
      <c r="X2808" s="51" t="b">
        <v>0</v>
      </c>
      <c r="Y2808" s="51" t="b">
        <v>0</v>
      </c>
      <c r="Z2808" s="51" t="b">
        <v>0</v>
      </c>
      <c r="AA2808" s="68"/>
      <c r="AB2808" s="52"/>
      <c r="AC2808" s="52"/>
      <c r="AD2808" s="52"/>
      <c r="AE2808" s="56" t="s">
        <v>607</v>
      </c>
      <c r="AF2808" s="56" t="s">
        <v>607</v>
      </c>
    </row>
    <row r="2809">
      <c r="A2809" s="52" t="s">
        <v>6415</v>
      </c>
      <c r="B2809" s="52" t="s">
        <v>607</v>
      </c>
      <c r="C2809" s="52" t="s">
        <v>607</v>
      </c>
      <c r="D2809" s="65" t="s">
        <v>607</v>
      </c>
      <c r="E2809" s="65" t="s">
        <v>607</v>
      </c>
      <c r="F2809" s="65" t="s">
        <v>607</v>
      </c>
      <c r="G2809" s="65" t="s">
        <v>607</v>
      </c>
      <c r="H2809" s="52" t="s">
        <v>607</v>
      </c>
      <c r="I2809" s="52" t="s">
        <v>607</v>
      </c>
      <c r="J2809" s="52" t="s">
        <v>607</v>
      </c>
      <c r="K2809" s="52" t="s">
        <v>607</v>
      </c>
      <c r="L2809" s="52" t="s">
        <v>607</v>
      </c>
      <c r="M2809" s="52" t="s">
        <v>607</v>
      </c>
      <c r="N2809" s="52" t="s">
        <v>607</v>
      </c>
      <c r="O2809" s="52"/>
      <c r="P2809" s="52"/>
      <c r="Q2809" s="52"/>
      <c r="R2809" s="51" t="b">
        <v>0</v>
      </c>
      <c r="S2809" s="51"/>
      <c r="T2809" s="52"/>
      <c r="U2809" s="51" t="b">
        <v>0</v>
      </c>
      <c r="V2809" s="51" t="b">
        <v>0</v>
      </c>
      <c r="W2809" s="51" t="b">
        <v>0</v>
      </c>
      <c r="X2809" s="51" t="b">
        <v>0</v>
      </c>
      <c r="Y2809" s="51" t="b">
        <v>0</v>
      </c>
      <c r="Z2809" s="51" t="b">
        <v>0</v>
      </c>
      <c r="AA2809" s="68"/>
      <c r="AB2809" s="52"/>
      <c r="AC2809" s="52"/>
      <c r="AD2809" s="52"/>
      <c r="AE2809" s="56" t="s">
        <v>607</v>
      </c>
      <c r="AF2809" s="56" t="s">
        <v>607</v>
      </c>
    </row>
    <row r="2810">
      <c r="A2810" s="52" t="s">
        <v>6416</v>
      </c>
      <c r="B2810" s="52" t="s">
        <v>607</v>
      </c>
      <c r="C2810" s="52" t="s">
        <v>607</v>
      </c>
      <c r="D2810" s="65" t="s">
        <v>607</v>
      </c>
      <c r="E2810" s="65" t="s">
        <v>607</v>
      </c>
      <c r="F2810" s="65" t="s">
        <v>607</v>
      </c>
      <c r="G2810" s="65" t="s">
        <v>607</v>
      </c>
      <c r="H2810" s="52" t="s">
        <v>607</v>
      </c>
      <c r="I2810" s="52" t="s">
        <v>607</v>
      </c>
      <c r="J2810" s="52" t="s">
        <v>607</v>
      </c>
      <c r="K2810" s="52" t="s">
        <v>607</v>
      </c>
      <c r="L2810" s="52" t="s">
        <v>607</v>
      </c>
      <c r="M2810" s="52" t="s">
        <v>607</v>
      </c>
      <c r="N2810" s="52" t="s">
        <v>607</v>
      </c>
      <c r="O2810" s="52"/>
      <c r="P2810" s="52"/>
      <c r="Q2810" s="52"/>
      <c r="R2810" s="51" t="b">
        <v>0</v>
      </c>
      <c r="S2810" s="51"/>
      <c r="T2810" s="52"/>
      <c r="U2810" s="51" t="b">
        <v>0</v>
      </c>
      <c r="V2810" s="51" t="b">
        <v>0</v>
      </c>
      <c r="W2810" s="51" t="b">
        <v>0</v>
      </c>
      <c r="X2810" s="51" t="b">
        <v>0</v>
      </c>
      <c r="Y2810" s="51" t="b">
        <v>0</v>
      </c>
      <c r="Z2810" s="51" t="b">
        <v>0</v>
      </c>
      <c r="AA2810" s="68"/>
      <c r="AB2810" s="52"/>
      <c r="AC2810" s="52"/>
      <c r="AD2810" s="52"/>
      <c r="AE2810" s="56" t="s">
        <v>607</v>
      </c>
      <c r="AF2810" s="56" t="s">
        <v>607</v>
      </c>
    </row>
    <row r="2811">
      <c r="A2811" s="52" t="s">
        <v>6417</v>
      </c>
      <c r="B2811" s="52" t="s">
        <v>607</v>
      </c>
      <c r="C2811" s="52" t="s">
        <v>607</v>
      </c>
      <c r="D2811" s="65" t="s">
        <v>607</v>
      </c>
      <c r="E2811" s="65" t="s">
        <v>607</v>
      </c>
      <c r="F2811" s="65" t="s">
        <v>607</v>
      </c>
      <c r="G2811" s="65" t="s">
        <v>607</v>
      </c>
      <c r="H2811" s="52" t="s">
        <v>607</v>
      </c>
      <c r="I2811" s="52" t="s">
        <v>607</v>
      </c>
      <c r="J2811" s="52" t="s">
        <v>607</v>
      </c>
      <c r="K2811" s="52" t="s">
        <v>607</v>
      </c>
      <c r="L2811" s="52" t="s">
        <v>607</v>
      </c>
      <c r="M2811" s="52" t="s">
        <v>607</v>
      </c>
      <c r="N2811" s="52" t="s">
        <v>607</v>
      </c>
      <c r="O2811" s="52"/>
      <c r="P2811" s="52"/>
      <c r="Q2811" s="52"/>
      <c r="R2811" s="51" t="b">
        <v>0</v>
      </c>
      <c r="S2811" s="51"/>
      <c r="T2811" s="52"/>
      <c r="U2811" s="51" t="b">
        <v>0</v>
      </c>
      <c r="V2811" s="51" t="b">
        <v>0</v>
      </c>
      <c r="W2811" s="51" t="b">
        <v>0</v>
      </c>
      <c r="X2811" s="51" t="b">
        <v>0</v>
      </c>
      <c r="Y2811" s="51" t="b">
        <v>0</v>
      </c>
      <c r="Z2811" s="51" t="b">
        <v>0</v>
      </c>
      <c r="AA2811" s="68"/>
      <c r="AB2811" s="52"/>
      <c r="AC2811" s="52"/>
      <c r="AD2811" s="52"/>
      <c r="AE2811" s="56" t="s">
        <v>607</v>
      </c>
      <c r="AF2811" s="56" t="s">
        <v>607</v>
      </c>
    </row>
    <row r="2812">
      <c r="A2812" s="52" t="s">
        <v>6419</v>
      </c>
      <c r="B2812" s="52" t="s">
        <v>607</v>
      </c>
      <c r="C2812" s="52" t="s">
        <v>607</v>
      </c>
      <c r="D2812" s="65" t="s">
        <v>607</v>
      </c>
      <c r="E2812" s="65" t="s">
        <v>607</v>
      </c>
      <c r="F2812" s="65" t="s">
        <v>607</v>
      </c>
      <c r="G2812" s="65" t="s">
        <v>607</v>
      </c>
      <c r="H2812" s="52" t="s">
        <v>607</v>
      </c>
      <c r="I2812" s="52" t="s">
        <v>607</v>
      </c>
      <c r="J2812" s="52" t="s">
        <v>607</v>
      </c>
      <c r="K2812" s="52" t="s">
        <v>607</v>
      </c>
      <c r="L2812" s="52" t="s">
        <v>607</v>
      </c>
      <c r="M2812" s="52" t="s">
        <v>607</v>
      </c>
      <c r="N2812" s="52" t="s">
        <v>607</v>
      </c>
      <c r="O2812" s="52"/>
      <c r="P2812" s="52"/>
      <c r="Q2812" s="52"/>
      <c r="R2812" s="51" t="b">
        <v>0</v>
      </c>
      <c r="S2812" s="51"/>
      <c r="T2812" s="52"/>
      <c r="U2812" s="51" t="b">
        <v>0</v>
      </c>
      <c r="V2812" s="51" t="b">
        <v>0</v>
      </c>
      <c r="W2812" s="51" t="b">
        <v>0</v>
      </c>
      <c r="X2812" s="51" t="b">
        <v>0</v>
      </c>
      <c r="Y2812" s="51" t="b">
        <v>0</v>
      </c>
      <c r="Z2812" s="51" t="b">
        <v>0</v>
      </c>
      <c r="AA2812" s="68"/>
      <c r="AB2812" s="52"/>
      <c r="AC2812" s="52"/>
      <c r="AD2812" s="52"/>
      <c r="AE2812" s="56" t="s">
        <v>607</v>
      </c>
      <c r="AF2812" s="56" t="s">
        <v>607</v>
      </c>
    </row>
    <row r="2813">
      <c r="A2813" s="52" t="s">
        <v>6422</v>
      </c>
      <c r="B2813" s="52" t="s">
        <v>607</v>
      </c>
      <c r="C2813" s="52" t="s">
        <v>607</v>
      </c>
      <c r="D2813" s="65" t="s">
        <v>607</v>
      </c>
      <c r="E2813" s="65" t="s">
        <v>607</v>
      </c>
      <c r="F2813" s="65" t="s">
        <v>607</v>
      </c>
      <c r="G2813" s="65" t="s">
        <v>607</v>
      </c>
      <c r="H2813" s="52" t="s">
        <v>607</v>
      </c>
      <c r="I2813" s="52" t="s">
        <v>607</v>
      </c>
      <c r="J2813" s="52" t="s">
        <v>607</v>
      </c>
      <c r="K2813" s="52" t="s">
        <v>607</v>
      </c>
      <c r="L2813" s="52" t="s">
        <v>607</v>
      </c>
      <c r="M2813" s="52" t="s">
        <v>607</v>
      </c>
      <c r="N2813" s="52" t="s">
        <v>607</v>
      </c>
      <c r="O2813" s="52"/>
      <c r="P2813" s="52"/>
      <c r="Q2813" s="52"/>
      <c r="R2813" s="51" t="b">
        <v>0</v>
      </c>
      <c r="S2813" s="51"/>
      <c r="T2813" s="52"/>
      <c r="U2813" s="51" t="b">
        <v>0</v>
      </c>
      <c r="V2813" s="51" t="b">
        <v>0</v>
      </c>
      <c r="W2813" s="51" t="b">
        <v>0</v>
      </c>
      <c r="X2813" s="51" t="b">
        <v>0</v>
      </c>
      <c r="Y2813" s="51" t="b">
        <v>0</v>
      </c>
      <c r="Z2813" s="51" t="b">
        <v>0</v>
      </c>
      <c r="AA2813" s="68"/>
      <c r="AB2813" s="52"/>
      <c r="AC2813" s="52"/>
      <c r="AD2813" s="52"/>
      <c r="AE2813" s="56" t="s">
        <v>607</v>
      </c>
      <c r="AF2813" s="56" t="s">
        <v>607</v>
      </c>
    </row>
    <row r="2814">
      <c r="A2814" s="52" t="s">
        <v>6423</v>
      </c>
      <c r="B2814" s="52" t="s">
        <v>607</v>
      </c>
      <c r="C2814" s="52" t="s">
        <v>607</v>
      </c>
      <c r="D2814" s="65" t="s">
        <v>607</v>
      </c>
      <c r="E2814" s="65" t="s">
        <v>607</v>
      </c>
      <c r="F2814" s="65" t="s">
        <v>607</v>
      </c>
      <c r="G2814" s="65" t="s">
        <v>607</v>
      </c>
      <c r="H2814" s="52" t="s">
        <v>607</v>
      </c>
      <c r="I2814" s="52" t="s">
        <v>607</v>
      </c>
      <c r="J2814" s="52" t="s">
        <v>607</v>
      </c>
      <c r="K2814" s="52" t="s">
        <v>607</v>
      </c>
      <c r="L2814" s="52" t="s">
        <v>607</v>
      </c>
      <c r="M2814" s="52" t="s">
        <v>607</v>
      </c>
      <c r="N2814" s="52" t="s">
        <v>607</v>
      </c>
      <c r="O2814" s="52"/>
      <c r="P2814" s="52"/>
      <c r="Q2814" s="52"/>
      <c r="R2814" s="51" t="b">
        <v>0</v>
      </c>
      <c r="S2814" s="51"/>
      <c r="T2814" s="52"/>
      <c r="U2814" s="51" t="b">
        <v>0</v>
      </c>
      <c r="V2814" s="51" t="b">
        <v>0</v>
      </c>
      <c r="W2814" s="51" t="b">
        <v>0</v>
      </c>
      <c r="X2814" s="51" t="b">
        <v>0</v>
      </c>
      <c r="Y2814" s="51" t="b">
        <v>0</v>
      </c>
      <c r="Z2814" s="51" t="b">
        <v>0</v>
      </c>
      <c r="AA2814" s="68"/>
      <c r="AB2814" s="52"/>
      <c r="AC2814" s="52"/>
      <c r="AD2814" s="52"/>
      <c r="AE2814" s="56" t="s">
        <v>607</v>
      </c>
      <c r="AF2814" s="56" t="s">
        <v>607</v>
      </c>
    </row>
    <row r="2815">
      <c r="A2815" s="52" t="s">
        <v>6424</v>
      </c>
      <c r="B2815" s="52" t="s">
        <v>607</v>
      </c>
      <c r="C2815" s="52" t="s">
        <v>607</v>
      </c>
      <c r="D2815" s="65" t="s">
        <v>607</v>
      </c>
      <c r="E2815" s="65" t="s">
        <v>607</v>
      </c>
      <c r="F2815" s="65" t="s">
        <v>607</v>
      </c>
      <c r="G2815" s="65" t="s">
        <v>607</v>
      </c>
      <c r="H2815" s="52" t="s">
        <v>607</v>
      </c>
      <c r="I2815" s="52" t="s">
        <v>607</v>
      </c>
      <c r="J2815" s="52" t="s">
        <v>607</v>
      </c>
      <c r="K2815" s="52" t="s">
        <v>607</v>
      </c>
      <c r="L2815" s="52" t="s">
        <v>607</v>
      </c>
      <c r="M2815" s="52" t="s">
        <v>607</v>
      </c>
      <c r="N2815" s="52" t="s">
        <v>607</v>
      </c>
      <c r="O2815" s="52"/>
      <c r="P2815" s="52"/>
      <c r="Q2815" s="52"/>
      <c r="R2815" s="51" t="b">
        <v>0</v>
      </c>
      <c r="S2815" s="51"/>
      <c r="T2815" s="52"/>
      <c r="U2815" s="51" t="b">
        <v>0</v>
      </c>
      <c r="V2815" s="51" t="b">
        <v>0</v>
      </c>
      <c r="W2815" s="51" t="b">
        <v>0</v>
      </c>
      <c r="X2815" s="51" t="b">
        <v>0</v>
      </c>
      <c r="Y2815" s="51" t="b">
        <v>0</v>
      </c>
      <c r="Z2815" s="51" t="b">
        <v>0</v>
      </c>
      <c r="AA2815" s="68"/>
      <c r="AB2815" s="52"/>
      <c r="AC2815" s="52"/>
      <c r="AD2815" s="52"/>
      <c r="AE2815" s="56" t="s">
        <v>607</v>
      </c>
      <c r="AF2815" s="56" t="s">
        <v>607</v>
      </c>
    </row>
    <row r="2816">
      <c r="A2816" s="52" t="s">
        <v>6426</v>
      </c>
      <c r="B2816" s="52" t="s">
        <v>607</v>
      </c>
      <c r="C2816" s="52" t="s">
        <v>607</v>
      </c>
      <c r="D2816" s="65" t="s">
        <v>607</v>
      </c>
      <c r="E2816" s="65" t="s">
        <v>607</v>
      </c>
      <c r="F2816" s="65" t="s">
        <v>607</v>
      </c>
      <c r="G2816" s="65" t="s">
        <v>607</v>
      </c>
      <c r="H2816" s="52" t="s">
        <v>607</v>
      </c>
      <c r="I2816" s="52" t="s">
        <v>607</v>
      </c>
      <c r="J2816" s="52" t="s">
        <v>607</v>
      </c>
      <c r="K2816" s="52" t="s">
        <v>607</v>
      </c>
      <c r="L2816" s="52" t="s">
        <v>607</v>
      </c>
      <c r="M2816" s="52" t="s">
        <v>607</v>
      </c>
      <c r="N2816" s="52" t="s">
        <v>607</v>
      </c>
      <c r="O2816" s="52"/>
      <c r="P2816" s="52"/>
      <c r="Q2816" s="52"/>
      <c r="R2816" s="51" t="b">
        <v>0</v>
      </c>
      <c r="S2816" s="51"/>
      <c r="T2816" s="52"/>
      <c r="U2816" s="51" t="b">
        <v>0</v>
      </c>
      <c r="V2816" s="51" t="b">
        <v>0</v>
      </c>
      <c r="W2816" s="51" t="b">
        <v>0</v>
      </c>
      <c r="X2816" s="51" t="b">
        <v>0</v>
      </c>
      <c r="Y2816" s="51" t="b">
        <v>0</v>
      </c>
      <c r="Z2816" s="51" t="b">
        <v>0</v>
      </c>
      <c r="AA2816" s="68"/>
      <c r="AB2816" s="52"/>
      <c r="AC2816" s="52"/>
      <c r="AD2816" s="52"/>
      <c r="AE2816" s="56" t="s">
        <v>607</v>
      </c>
      <c r="AF2816" s="56" t="s">
        <v>607</v>
      </c>
    </row>
    <row r="2817">
      <c r="A2817" s="52" t="s">
        <v>6428</v>
      </c>
      <c r="B2817" s="52" t="s">
        <v>607</v>
      </c>
      <c r="C2817" s="52" t="s">
        <v>607</v>
      </c>
      <c r="D2817" s="65" t="s">
        <v>607</v>
      </c>
      <c r="E2817" s="65" t="s">
        <v>607</v>
      </c>
      <c r="F2817" s="65" t="s">
        <v>607</v>
      </c>
      <c r="G2817" s="65" t="s">
        <v>607</v>
      </c>
      <c r="H2817" s="52" t="s">
        <v>607</v>
      </c>
      <c r="I2817" s="52" t="s">
        <v>607</v>
      </c>
      <c r="J2817" s="52" t="s">
        <v>607</v>
      </c>
      <c r="K2817" s="52" t="s">
        <v>607</v>
      </c>
      <c r="L2817" s="52" t="s">
        <v>607</v>
      </c>
      <c r="M2817" s="52" t="s">
        <v>607</v>
      </c>
      <c r="N2817" s="52" t="s">
        <v>607</v>
      </c>
      <c r="O2817" s="52"/>
      <c r="P2817" s="52"/>
      <c r="Q2817" s="52"/>
      <c r="R2817" s="51" t="b">
        <v>0</v>
      </c>
      <c r="S2817" s="51"/>
      <c r="T2817" s="52"/>
      <c r="U2817" s="51" t="b">
        <v>0</v>
      </c>
      <c r="V2817" s="51" t="b">
        <v>0</v>
      </c>
      <c r="W2817" s="51" t="b">
        <v>0</v>
      </c>
      <c r="X2817" s="51" t="b">
        <v>0</v>
      </c>
      <c r="Y2817" s="51" t="b">
        <v>0</v>
      </c>
      <c r="Z2817" s="51" t="b">
        <v>0</v>
      </c>
      <c r="AA2817" s="68"/>
      <c r="AB2817" s="52"/>
      <c r="AC2817" s="52"/>
      <c r="AD2817" s="52"/>
      <c r="AE2817" s="56" t="s">
        <v>607</v>
      </c>
      <c r="AF2817" s="56" t="s">
        <v>607</v>
      </c>
    </row>
    <row r="2818">
      <c r="A2818" s="52" t="s">
        <v>6429</v>
      </c>
      <c r="B2818" s="52" t="s">
        <v>607</v>
      </c>
      <c r="C2818" s="52" t="s">
        <v>607</v>
      </c>
      <c r="D2818" s="65" t="s">
        <v>607</v>
      </c>
      <c r="E2818" s="65" t="s">
        <v>607</v>
      </c>
      <c r="F2818" s="65" t="s">
        <v>607</v>
      </c>
      <c r="G2818" s="65" t="s">
        <v>607</v>
      </c>
      <c r="H2818" s="52" t="s">
        <v>607</v>
      </c>
      <c r="I2818" s="52" t="s">
        <v>607</v>
      </c>
      <c r="J2818" s="52" t="s">
        <v>607</v>
      </c>
      <c r="K2818" s="52" t="s">
        <v>607</v>
      </c>
      <c r="L2818" s="52" t="s">
        <v>607</v>
      </c>
      <c r="M2818" s="52" t="s">
        <v>607</v>
      </c>
      <c r="N2818" s="52" t="s">
        <v>607</v>
      </c>
      <c r="O2818" s="52"/>
      <c r="P2818" s="52"/>
      <c r="Q2818" s="52"/>
      <c r="R2818" s="51" t="b">
        <v>0</v>
      </c>
      <c r="S2818" s="51"/>
      <c r="T2818" s="52"/>
      <c r="U2818" s="51" t="b">
        <v>0</v>
      </c>
      <c r="V2818" s="51" t="b">
        <v>0</v>
      </c>
      <c r="W2818" s="51" t="b">
        <v>0</v>
      </c>
      <c r="X2818" s="51" t="b">
        <v>0</v>
      </c>
      <c r="Y2818" s="51" t="b">
        <v>0</v>
      </c>
      <c r="Z2818" s="51" t="b">
        <v>0</v>
      </c>
      <c r="AA2818" s="68"/>
      <c r="AB2818" s="52"/>
      <c r="AC2818" s="52"/>
      <c r="AD2818" s="52"/>
      <c r="AE2818" s="56" t="s">
        <v>607</v>
      </c>
      <c r="AF2818" s="56" t="s">
        <v>607</v>
      </c>
    </row>
    <row r="2819">
      <c r="A2819" s="52" t="s">
        <v>6430</v>
      </c>
      <c r="B2819" s="52" t="s">
        <v>607</v>
      </c>
      <c r="C2819" s="52" t="s">
        <v>607</v>
      </c>
      <c r="D2819" s="65" t="s">
        <v>607</v>
      </c>
      <c r="E2819" s="65" t="s">
        <v>607</v>
      </c>
      <c r="F2819" s="65" t="s">
        <v>607</v>
      </c>
      <c r="G2819" s="65" t="s">
        <v>607</v>
      </c>
      <c r="H2819" s="52" t="s">
        <v>607</v>
      </c>
      <c r="I2819" s="52" t="s">
        <v>607</v>
      </c>
      <c r="J2819" s="52" t="s">
        <v>607</v>
      </c>
      <c r="K2819" s="52" t="s">
        <v>607</v>
      </c>
      <c r="L2819" s="52" t="s">
        <v>607</v>
      </c>
      <c r="M2819" s="52" t="s">
        <v>607</v>
      </c>
      <c r="N2819" s="52" t="s">
        <v>607</v>
      </c>
      <c r="O2819" s="52"/>
      <c r="P2819" s="52"/>
      <c r="Q2819" s="52"/>
      <c r="R2819" s="51" t="b">
        <v>0</v>
      </c>
      <c r="S2819" s="51"/>
      <c r="T2819" s="52"/>
      <c r="U2819" s="51" t="b">
        <v>0</v>
      </c>
      <c r="V2819" s="51" t="b">
        <v>0</v>
      </c>
      <c r="W2819" s="51" t="b">
        <v>0</v>
      </c>
      <c r="X2819" s="51" t="b">
        <v>0</v>
      </c>
      <c r="Y2819" s="51" t="b">
        <v>0</v>
      </c>
      <c r="Z2819" s="51" t="b">
        <v>0</v>
      </c>
      <c r="AA2819" s="68"/>
      <c r="AB2819" s="52"/>
      <c r="AC2819" s="52"/>
      <c r="AD2819" s="52"/>
      <c r="AE2819" s="56" t="s">
        <v>607</v>
      </c>
      <c r="AF2819" s="56" t="s">
        <v>607</v>
      </c>
    </row>
    <row r="2820">
      <c r="A2820" s="52" t="s">
        <v>6433</v>
      </c>
      <c r="B2820" s="52" t="s">
        <v>607</v>
      </c>
      <c r="C2820" s="52" t="s">
        <v>607</v>
      </c>
      <c r="D2820" s="65" t="s">
        <v>607</v>
      </c>
      <c r="E2820" s="65" t="s">
        <v>607</v>
      </c>
      <c r="F2820" s="65" t="s">
        <v>607</v>
      </c>
      <c r="G2820" s="65" t="s">
        <v>607</v>
      </c>
      <c r="H2820" s="52" t="s">
        <v>607</v>
      </c>
      <c r="I2820" s="52" t="s">
        <v>607</v>
      </c>
      <c r="J2820" s="52" t="s">
        <v>607</v>
      </c>
      <c r="K2820" s="52" t="s">
        <v>607</v>
      </c>
      <c r="L2820" s="52" t="s">
        <v>607</v>
      </c>
      <c r="M2820" s="52" t="s">
        <v>607</v>
      </c>
      <c r="N2820" s="52" t="s">
        <v>607</v>
      </c>
      <c r="O2820" s="52"/>
      <c r="P2820" s="52"/>
      <c r="Q2820" s="52"/>
      <c r="R2820" s="51" t="b">
        <v>0</v>
      </c>
      <c r="S2820" s="51"/>
      <c r="T2820" s="52"/>
      <c r="U2820" s="51" t="b">
        <v>0</v>
      </c>
      <c r="V2820" s="51" t="b">
        <v>0</v>
      </c>
      <c r="W2820" s="51" t="b">
        <v>0</v>
      </c>
      <c r="X2820" s="51" t="b">
        <v>0</v>
      </c>
      <c r="Y2820" s="51" t="b">
        <v>0</v>
      </c>
      <c r="Z2820" s="51" t="b">
        <v>0</v>
      </c>
      <c r="AA2820" s="68"/>
      <c r="AB2820" s="52"/>
      <c r="AC2820" s="52"/>
      <c r="AD2820" s="52"/>
      <c r="AE2820" s="56" t="s">
        <v>607</v>
      </c>
      <c r="AF2820" s="56" t="s">
        <v>607</v>
      </c>
    </row>
    <row r="2821">
      <c r="A2821" s="52" t="s">
        <v>6434</v>
      </c>
      <c r="B2821" s="52" t="s">
        <v>607</v>
      </c>
      <c r="C2821" s="52" t="s">
        <v>607</v>
      </c>
      <c r="D2821" s="65" t="s">
        <v>607</v>
      </c>
      <c r="E2821" s="65" t="s">
        <v>607</v>
      </c>
      <c r="F2821" s="65" t="s">
        <v>607</v>
      </c>
      <c r="G2821" s="65" t="s">
        <v>607</v>
      </c>
      <c r="H2821" s="52" t="s">
        <v>607</v>
      </c>
      <c r="I2821" s="52" t="s">
        <v>607</v>
      </c>
      <c r="J2821" s="52" t="s">
        <v>607</v>
      </c>
      <c r="K2821" s="52" t="s">
        <v>607</v>
      </c>
      <c r="L2821" s="52" t="s">
        <v>607</v>
      </c>
      <c r="M2821" s="52" t="s">
        <v>607</v>
      </c>
      <c r="N2821" s="52" t="s">
        <v>607</v>
      </c>
      <c r="O2821" s="52"/>
      <c r="P2821" s="52"/>
      <c r="Q2821" s="52"/>
      <c r="R2821" s="51" t="b">
        <v>0</v>
      </c>
      <c r="S2821" s="51"/>
      <c r="T2821" s="52"/>
      <c r="U2821" s="51" t="b">
        <v>0</v>
      </c>
      <c r="V2821" s="51" t="b">
        <v>0</v>
      </c>
      <c r="W2821" s="51" t="b">
        <v>0</v>
      </c>
      <c r="X2821" s="51" t="b">
        <v>0</v>
      </c>
      <c r="Y2821" s="51" t="b">
        <v>0</v>
      </c>
      <c r="Z2821" s="51" t="b">
        <v>0</v>
      </c>
      <c r="AA2821" s="68"/>
      <c r="AB2821" s="52"/>
      <c r="AC2821" s="52"/>
      <c r="AD2821" s="52"/>
      <c r="AE2821" s="56" t="s">
        <v>607</v>
      </c>
      <c r="AF2821" s="56" t="s">
        <v>607</v>
      </c>
    </row>
    <row r="2822">
      <c r="A2822" s="52" t="s">
        <v>6438</v>
      </c>
      <c r="B2822" s="52" t="s">
        <v>607</v>
      </c>
      <c r="C2822" s="52" t="s">
        <v>607</v>
      </c>
      <c r="D2822" s="65" t="s">
        <v>607</v>
      </c>
      <c r="E2822" s="65" t="s">
        <v>607</v>
      </c>
      <c r="F2822" s="65" t="s">
        <v>607</v>
      </c>
      <c r="G2822" s="65" t="s">
        <v>607</v>
      </c>
      <c r="H2822" s="52" t="s">
        <v>607</v>
      </c>
      <c r="I2822" s="52" t="s">
        <v>607</v>
      </c>
      <c r="J2822" s="52" t="s">
        <v>607</v>
      </c>
      <c r="K2822" s="52" t="s">
        <v>607</v>
      </c>
      <c r="L2822" s="52" t="s">
        <v>607</v>
      </c>
      <c r="M2822" s="52" t="s">
        <v>607</v>
      </c>
      <c r="N2822" s="52" t="s">
        <v>607</v>
      </c>
      <c r="O2822" s="52"/>
      <c r="P2822" s="52"/>
      <c r="Q2822" s="52"/>
      <c r="R2822" s="51" t="b">
        <v>0</v>
      </c>
      <c r="S2822" s="51"/>
      <c r="T2822" s="52"/>
      <c r="U2822" s="51" t="b">
        <v>0</v>
      </c>
      <c r="V2822" s="51" t="b">
        <v>0</v>
      </c>
      <c r="W2822" s="51" t="b">
        <v>0</v>
      </c>
      <c r="X2822" s="51" t="b">
        <v>0</v>
      </c>
      <c r="Y2822" s="51" t="b">
        <v>0</v>
      </c>
      <c r="Z2822" s="51" t="b">
        <v>0</v>
      </c>
      <c r="AA2822" s="68"/>
      <c r="AB2822" s="52"/>
      <c r="AC2822" s="52"/>
      <c r="AD2822" s="52"/>
      <c r="AE2822" s="56" t="s">
        <v>607</v>
      </c>
      <c r="AF2822" s="56" t="s">
        <v>607</v>
      </c>
    </row>
    <row r="2823">
      <c r="A2823" s="52" t="s">
        <v>6440</v>
      </c>
      <c r="B2823" s="52" t="s">
        <v>607</v>
      </c>
      <c r="C2823" s="52" t="s">
        <v>607</v>
      </c>
      <c r="D2823" s="65" t="s">
        <v>607</v>
      </c>
      <c r="E2823" s="65" t="s">
        <v>607</v>
      </c>
      <c r="F2823" s="65" t="s">
        <v>607</v>
      </c>
      <c r="G2823" s="65" t="s">
        <v>607</v>
      </c>
      <c r="H2823" s="52" t="s">
        <v>607</v>
      </c>
      <c r="I2823" s="52" t="s">
        <v>607</v>
      </c>
      <c r="J2823" s="52" t="s">
        <v>607</v>
      </c>
      <c r="K2823" s="52" t="s">
        <v>607</v>
      </c>
      <c r="L2823" s="52" t="s">
        <v>607</v>
      </c>
      <c r="M2823" s="52" t="s">
        <v>607</v>
      </c>
      <c r="N2823" s="52" t="s">
        <v>607</v>
      </c>
      <c r="O2823" s="52"/>
      <c r="P2823" s="52"/>
      <c r="Q2823" s="52"/>
      <c r="R2823" s="51" t="b">
        <v>0</v>
      </c>
      <c r="S2823" s="51"/>
      <c r="T2823" s="52"/>
      <c r="U2823" s="51" t="b">
        <v>0</v>
      </c>
      <c r="V2823" s="51" t="b">
        <v>0</v>
      </c>
      <c r="W2823" s="51" t="b">
        <v>0</v>
      </c>
      <c r="X2823" s="51" t="b">
        <v>0</v>
      </c>
      <c r="Y2823" s="51" t="b">
        <v>0</v>
      </c>
      <c r="Z2823" s="51" t="b">
        <v>0</v>
      </c>
      <c r="AA2823" s="68"/>
      <c r="AB2823" s="52"/>
      <c r="AC2823" s="52"/>
      <c r="AD2823" s="52"/>
      <c r="AE2823" s="56" t="s">
        <v>607</v>
      </c>
      <c r="AF2823" s="56" t="s">
        <v>607</v>
      </c>
    </row>
    <row r="2824">
      <c r="A2824" s="52" t="s">
        <v>6441</v>
      </c>
      <c r="B2824" s="52" t="s">
        <v>607</v>
      </c>
      <c r="C2824" s="52" t="s">
        <v>607</v>
      </c>
      <c r="D2824" s="65" t="s">
        <v>607</v>
      </c>
      <c r="E2824" s="65" t="s">
        <v>607</v>
      </c>
      <c r="F2824" s="65" t="s">
        <v>607</v>
      </c>
      <c r="G2824" s="65" t="s">
        <v>607</v>
      </c>
      <c r="H2824" s="52" t="s">
        <v>607</v>
      </c>
      <c r="I2824" s="52" t="s">
        <v>607</v>
      </c>
      <c r="J2824" s="52" t="s">
        <v>607</v>
      </c>
      <c r="K2824" s="52" t="s">
        <v>607</v>
      </c>
      <c r="L2824" s="52" t="s">
        <v>607</v>
      </c>
      <c r="M2824" s="52" t="s">
        <v>607</v>
      </c>
      <c r="N2824" s="52" t="s">
        <v>607</v>
      </c>
      <c r="O2824" s="52"/>
      <c r="P2824" s="52"/>
      <c r="Q2824" s="52"/>
      <c r="R2824" s="51" t="b">
        <v>0</v>
      </c>
      <c r="S2824" s="51"/>
      <c r="T2824" s="52"/>
      <c r="U2824" s="51" t="b">
        <v>0</v>
      </c>
      <c r="V2824" s="51" t="b">
        <v>0</v>
      </c>
      <c r="W2824" s="51" t="b">
        <v>0</v>
      </c>
      <c r="X2824" s="51" t="b">
        <v>0</v>
      </c>
      <c r="Y2824" s="51" t="b">
        <v>0</v>
      </c>
      <c r="Z2824" s="51" t="b">
        <v>0</v>
      </c>
      <c r="AA2824" s="68"/>
      <c r="AB2824" s="52"/>
      <c r="AC2824" s="52"/>
      <c r="AD2824" s="52"/>
      <c r="AE2824" s="56" t="s">
        <v>607</v>
      </c>
      <c r="AF2824" s="56" t="s">
        <v>607</v>
      </c>
    </row>
    <row r="2825">
      <c r="A2825" s="52" t="s">
        <v>6442</v>
      </c>
      <c r="B2825" s="52" t="s">
        <v>607</v>
      </c>
      <c r="C2825" s="52" t="s">
        <v>607</v>
      </c>
      <c r="D2825" s="65" t="s">
        <v>607</v>
      </c>
      <c r="E2825" s="65" t="s">
        <v>607</v>
      </c>
      <c r="F2825" s="65" t="s">
        <v>607</v>
      </c>
      <c r="G2825" s="65" t="s">
        <v>607</v>
      </c>
      <c r="H2825" s="52" t="s">
        <v>607</v>
      </c>
      <c r="I2825" s="52" t="s">
        <v>607</v>
      </c>
      <c r="J2825" s="52" t="s">
        <v>607</v>
      </c>
      <c r="K2825" s="52" t="s">
        <v>607</v>
      </c>
      <c r="L2825" s="52" t="s">
        <v>607</v>
      </c>
      <c r="M2825" s="52" t="s">
        <v>607</v>
      </c>
      <c r="N2825" s="52" t="s">
        <v>607</v>
      </c>
      <c r="O2825" s="52"/>
      <c r="P2825" s="52"/>
      <c r="Q2825" s="52"/>
      <c r="R2825" s="51" t="b">
        <v>0</v>
      </c>
      <c r="S2825" s="51"/>
      <c r="T2825" s="52"/>
      <c r="U2825" s="51" t="b">
        <v>0</v>
      </c>
      <c r="V2825" s="51" t="b">
        <v>0</v>
      </c>
      <c r="W2825" s="51" t="b">
        <v>0</v>
      </c>
      <c r="X2825" s="51" t="b">
        <v>0</v>
      </c>
      <c r="Y2825" s="51" t="b">
        <v>0</v>
      </c>
      <c r="Z2825" s="51" t="b">
        <v>0</v>
      </c>
      <c r="AA2825" s="68"/>
      <c r="AB2825" s="52"/>
      <c r="AC2825" s="52"/>
      <c r="AD2825" s="52"/>
      <c r="AE2825" s="56" t="s">
        <v>607</v>
      </c>
      <c r="AF2825" s="56" t="s">
        <v>607</v>
      </c>
    </row>
    <row r="2826">
      <c r="A2826" s="52" t="s">
        <v>6449</v>
      </c>
      <c r="B2826" s="52" t="s">
        <v>607</v>
      </c>
      <c r="C2826" s="52" t="s">
        <v>607</v>
      </c>
      <c r="D2826" s="65" t="s">
        <v>607</v>
      </c>
      <c r="E2826" s="65" t="s">
        <v>607</v>
      </c>
      <c r="F2826" s="65" t="s">
        <v>607</v>
      </c>
      <c r="G2826" s="65" t="s">
        <v>607</v>
      </c>
      <c r="H2826" s="52" t="s">
        <v>607</v>
      </c>
      <c r="I2826" s="52" t="s">
        <v>607</v>
      </c>
      <c r="J2826" s="52" t="s">
        <v>607</v>
      </c>
      <c r="K2826" s="52" t="s">
        <v>607</v>
      </c>
      <c r="L2826" s="52" t="s">
        <v>607</v>
      </c>
      <c r="M2826" s="52" t="s">
        <v>607</v>
      </c>
      <c r="N2826" s="52" t="s">
        <v>607</v>
      </c>
      <c r="O2826" s="52"/>
      <c r="P2826" s="52"/>
      <c r="Q2826" s="52"/>
      <c r="R2826" s="51" t="b">
        <v>0</v>
      </c>
      <c r="S2826" s="51"/>
      <c r="T2826" s="52"/>
      <c r="U2826" s="51" t="b">
        <v>0</v>
      </c>
      <c r="V2826" s="51" t="b">
        <v>0</v>
      </c>
      <c r="W2826" s="51" t="b">
        <v>0</v>
      </c>
      <c r="X2826" s="51" t="b">
        <v>0</v>
      </c>
      <c r="Y2826" s="51" t="b">
        <v>0</v>
      </c>
      <c r="Z2826" s="51" t="b">
        <v>0</v>
      </c>
      <c r="AA2826" s="68"/>
      <c r="AB2826" s="52"/>
      <c r="AC2826" s="52"/>
      <c r="AD2826" s="52"/>
      <c r="AE2826" s="56" t="s">
        <v>607</v>
      </c>
      <c r="AF2826" s="56" t="s">
        <v>607</v>
      </c>
    </row>
    <row r="2827">
      <c r="A2827" s="52" t="s">
        <v>6452</v>
      </c>
      <c r="B2827" s="52" t="s">
        <v>607</v>
      </c>
      <c r="C2827" s="52" t="s">
        <v>607</v>
      </c>
      <c r="D2827" s="65" t="s">
        <v>607</v>
      </c>
      <c r="E2827" s="65" t="s">
        <v>607</v>
      </c>
      <c r="F2827" s="65" t="s">
        <v>607</v>
      </c>
      <c r="G2827" s="65" t="s">
        <v>607</v>
      </c>
      <c r="H2827" s="52" t="s">
        <v>607</v>
      </c>
      <c r="I2827" s="52" t="s">
        <v>607</v>
      </c>
      <c r="J2827" s="52" t="s">
        <v>607</v>
      </c>
      <c r="K2827" s="52" t="s">
        <v>607</v>
      </c>
      <c r="L2827" s="52" t="s">
        <v>607</v>
      </c>
      <c r="M2827" s="52" t="s">
        <v>607</v>
      </c>
      <c r="N2827" s="52" t="s">
        <v>607</v>
      </c>
      <c r="O2827" s="52"/>
      <c r="P2827" s="52"/>
      <c r="Q2827" s="52"/>
      <c r="R2827" s="51" t="b">
        <v>0</v>
      </c>
      <c r="S2827" s="51"/>
      <c r="T2827" s="52"/>
      <c r="U2827" s="51" t="b">
        <v>0</v>
      </c>
      <c r="V2827" s="51" t="b">
        <v>0</v>
      </c>
      <c r="W2827" s="51" t="b">
        <v>0</v>
      </c>
      <c r="X2827" s="51" t="b">
        <v>0</v>
      </c>
      <c r="Y2827" s="51" t="b">
        <v>0</v>
      </c>
      <c r="Z2827" s="51" t="b">
        <v>0</v>
      </c>
      <c r="AA2827" s="68"/>
      <c r="AB2827" s="52"/>
      <c r="AC2827" s="52"/>
      <c r="AD2827" s="52"/>
      <c r="AE2827" s="56" t="s">
        <v>607</v>
      </c>
      <c r="AF2827" s="56" t="s">
        <v>607</v>
      </c>
    </row>
    <row r="2828">
      <c r="A2828" s="52" t="s">
        <v>6455</v>
      </c>
      <c r="B2828" s="52" t="s">
        <v>607</v>
      </c>
      <c r="C2828" s="52" t="s">
        <v>607</v>
      </c>
      <c r="D2828" s="65" t="s">
        <v>607</v>
      </c>
      <c r="E2828" s="65" t="s">
        <v>607</v>
      </c>
      <c r="F2828" s="65" t="s">
        <v>607</v>
      </c>
      <c r="G2828" s="65" t="s">
        <v>607</v>
      </c>
      <c r="H2828" s="52" t="s">
        <v>607</v>
      </c>
      <c r="I2828" s="52" t="s">
        <v>607</v>
      </c>
      <c r="J2828" s="52" t="s">
        <v>607</v>
      </c>
      <c r="K2828" s="52" t="s">
        <v>607</v>
      </c>
      <c r="L2828" s="52" t="s">
        <v>607</v>
      </c>
      <c r="M2828" s="52" t="s">
        <v>607</v>
      </c>
      <c r="N2828" s="52" t="s">
        <v>607</v>
      </c>
      <c r="O2828" s="52"/>
      <c r="P2828" s="52"/>
      <c r="Q2828" s="52"/>
      <c r="R2828" s="51" t="b">
        <v>0</v>
      </c>
      <c r="S2828" s="51"/>
      <c r="T2828" s="52"/>
      <c r="U2828" s="51" t="b">
        <v>0</v>
      </c>
      <c r="V2828" s="51" t="b">
        <v>0</v>
      </c>
      <c r="W2828" s="51" t="b">
        <v>0</v>
      </c>
      <c r="X2828" s="51" t="b">
        <v>0</v>
      </c>
      <c r="Y2828" s="51" t="b">
        <v>0</v>
      </c>
      <c r="Z2828" s="51" t="b">
        <v>0</v>
      </c>
      <c r="AA2828" s="68"/>
      <c r="AB2828" s="52"/>
      <c r="AC2828" s="52"/>
      <c r="AD2828" s="52"/>
      <c r="AE2828" s="56" t="s">
        <v>607</v>
      </c>
      <c r="AF2828" s="56" t="s">
        <v>607</v>
      </c>
    </row>
    <row r="2829">
      <c r="A2829" s="52" t="s">
        <v>6456</v>
      </c>
      <c r="B2829" s="52" t="s">
        <v>607</v>
      </c>
      <c r="C2829" s="52" t="s">
        <v>607</v>
      </c>
      <c r="D2829" s="65" t="s">
        <v>607</v>
      </c>
      <c r="E2829" s="65" t="s">
        <v>607</v>
      </c>
      <c r="F2829" s="65" t="s">
        <v>607</v>
      </c>
      <c r="G2829" s="65" t="s">
        <v>607</v>
      </c>
      <c r="H2829" s="52" t="s">
        <v>607</v>
      </c>
      <c r="I2829" s="52" t="s">
        <v>607</v>
      </c>
      <c r="J2829" s="52" t="s">
        <v>607</v>
      </c>
      <c r="K2829" s="52" t="s">
        <v>607</v>
      </c>
      <c r="L2829" s="52" t="s">
        <v>607</v>
      </c>
      <c r="M2829" s="52" t="s">
        <v>607</v>
      </c>
      <c r="N2829" s="52" t="s">
        <v>607</v>
      </c>
      <c r="O2829" s="52"/>
      <c r="P2829" s="52"/>
      <c r="Q2829" s="52"/>
      <c r="R2829" s="51" t="b">
        <v>0</v>
      </c>
      <c r="S2829" s="51"/>
      <c r="T2829" s="52"/>
      <c r="U2829" s="51" t="b">
        <v>0</v>
      </c>
      <c r="V2829" s="51" t="b">
        <v>0</v>
      </c>
      <c r="W2829" s="51" t="b">
        <v>0</v>
      </c>
      <c r="X2829" s="51" t="b">
        <v>0</v>
      </c>
      <c r="Y2829" s="51" t="b">
        <v>0</v>
      </c>
      <c r="Z2829" s="51" t="b">
        <v>0</v>
      </c>
      <c r="AA2829" s="68"/>
      <c r="AB2829" s="52"/>
      <c r="AC2829" s="52"/>
      <c r="AD2829" s="52"/>
      <c r="AE2829" s="56" t="s">
        <v>607</v>
      </c>
      <c r="AF2829" s="56" t="s">
        <v>607</v>
      </c>
    </row>
    <row r="2830">
      <c r="A2830" s="52" t="s">
        <v>6460</v>
      </c>
      <c r="B2830" s="52" t="s">
        <v>607</v>
      </c>
      <c r="C2830" s="52" t="s">
        <v>607</v>
      </c>
      <c r="D2830" s="65" t="s">
        <v>607</v>
      </c>
      <c r="E2830" s="65" t="s">
        <v>607</v>
      </c>
      <c r="F2830" s="65" t="s">
        <v>607</v>
      </c>
      <c r="G2830" s="65" t="s">
        <v>607</v>
      </c>
      <c r="H2830" s="52" t="s">
        <v>607</v>
      </c>
      <c r="I2830" s="52" t="s">
        <v>607</v>
      </c>
      <c r="J2830" s="52" t="s">
        <v>607</v>
      </c>
      <c r="K2830" s="52" t="s">
        <v>607</v>
      </c>
      <c r="L2830" s="52" t="s">
        <v>607</v>
      </c>
      <c r="M2830" s="52" t="s">
        <v>607</v>
      </c>
      <c r="N2830" s="52" t="s">
        <v>607</v>
      </c>
      <c r="O2830" s="52"/>
      <c r="P2830" s="52"/>
      <c r="Q2830" s="52"/>
      <c r="R2830" s="51" t="b">
        <v>0</v>
      </c>
      <c r="S2830" s="51"/>
      <c r="T2830" s="52"/>
      <c r="U2830" s="51" t="b">
        <v>0</v>
      </c>
      <c r="V2830" s="51" t="b">
        <v>0</v>
      </c>
      <c r="W2830" s="51" t="b">
        <v>0</v>
      </c>
      <c r="X2830" s="51" t="b">
        <v>0</v>
      </c>
      <c r="Y2830" s="51" t="b">
        <v>0</v>
      </c>
      <c r="Z2830" s="51" t="b">
        <v>0</v>
      </c>
      <c r="AA2830" s="68"/>
      <c r="AB2830" s="52"/>
      <c r="AC2830" s="52"/>
      <c r="AD2830" s="52"/>
      <c r="AE2830" s="56" t="s">
        <v>607</v>
      </c>
      <c r="AF2830" s="56" t="s">
        <v>607</v>
      </c>
    </row>
    <row r="2831">
      <c r="A2831" s="52" t="s">
        <v>6461</v>
      </c>
      <c r="B2831" s="52" t="s">
        <v>607</v>
      </c>
      <c r="C2831" s="52" t="s">
        <v>607</v>
      </c>
      <c r="D2831" s="65" t="s">
        <v>607</v>
      </c>
      <c r="E2831" s="65" t="s">
        <v>607</v>
      </c>
      <c r="F2831" s="65" t="s">
        <v>607</v>
      </c>
      <c r="G2831" s="65" t="s">
        <v>607</v>
      </c>
      <c r="H2831" s="52" t="s">
        <v>607</v>
      </c>
      <c r="I2831" s="52" t="s">
        <v>607</v>
      </c>
      <c r="J2831" s="52" t="s">
        <v>607</v>
      </c>
      <c r="K2831" s="52" t="s">
        <v>607</v>
      </c>
      <c r="L2831" s="52" t="s">
        <v>607</v>
      </c>
      <c r="M2831" s="52" t="s">
        <v>607</v>
      </c>
      <c r="N2831" s="52" t="s">
        <v>607</v>
      </c>
      <c r="O2831" s="52"/>
      <c r="P2831" s="52"/>
      <c r="Q2831" s="52"/>
      <c r="R2831" s="51" t="b">
        <v>0</v>
      </c>
      <c r="S2831" s="51"/>
      <c r="T2831" s="52"/>
      <c r="U2831" s="51" t="b">
        <v>0</v>
      </c>
      <c r="V2831" s="51" t="b">
        <v>0</v>
      </c>
      <c r="W2831" s="51" t="b">
        <v>0</v>
      </c>
      <c r="X2831" s="51" t="b">
        <v>0</v>
      </c>
      <c r="Y2831" s="51" t="b">
        <v>0</v>
      </c>
      <c r="Z2831" s="51" t="b">
        <v>0</v>
      </c>
      <c r="AA2831" s="68"/>
      <c r="AB2831" s="52"/>
      <c r="AC2831" s="52"/>
      <c r="AD2831" s="52"/>
      <c r="AE2831" s="56" t="s">
        <v>607</v>
      </c>
      <c r="AF2831" s="56" t="s">
        <v>607</v>
      </c>
    </row>
    <row r="2832">
      <c r="A2832" s="52" t="s">
        <v>6465</v>
      </c>
      <c r="B2832" s="52" t="s">
        <v>607</v>
      </c>
      <c r="C2832" s="52" t="s">
        <v>607</v>
      </c>
      <c r="D2832" s="65" t="s">
        <v>607</v>
      </c>
      <c r="E2832" s="65" t="s">
        <v>607</v>
      </c>
      <c r="F2832" s="65" t="s">
        <v>607</v>
      </c>
      <c r="G2832" s="65" t="s">
        <v>607</v>
      </c>
      <c r="H2832" s="52" t="s">
        <v>607</v>
      </c>
      <c r="I2832" s="52" t="s">
        <v>607</v>
      </c>
      <c r="J2832" s="52" t="s">
        <v>607</v>
      </c>
      <c r="K2832" s="52" t="s">
        <v>607</v>
      </c>
      <c r="L2832" s="52" t="s">
        <v>607</v>
      </c>
      <c r="M2832" s="52" t="s">
        <v>607</v>
      </c>
      <c r="N2832" s="52" t="s">
        <v>607</v>
      </c>
      <c r="O2832" s="52"/>
      <c r="P2832" s="52"/>
      <c r="Q2832" s="52"/>
      <c r="R2832" s="51" t="b">
        <v>0</v>
      </c>
      <c r="S2832" s="51"/>
      <c r="T2832" s="52"/>
      <c r="U2832" s="51" t="b">
        <v>0</v>
      </c>
      <c r="V2832" s="51" t="b">
        <v>0</v>
      </c>
      <c r="W2832" s="51" t="b">
        <v>0</v>
      </c>
      <c r="X2832" s="51" t="b">
        <v>0</v>
      </c>
      <c r="Y2832" s="51" t="b">
        <v>0</v>
      </c>
      <c r="Z2832" s="51" t="b">
        <v>0</v>
      </c>
      <c r="AA2832" s="68"/>
      <c r="AB2832" s="52"/>
      <c r="AC2832" s="52"/>
      <c r="AD2832" s="52"/>
      <c r="AE2832" s="56" t="s">
        <v>607</v>
      </c>
      <c r="AF2832" s="56" t="s">
        <v>607</v>
      </c>
    </row>
    <row r="2833">
      <c r="A2833" s="52" t="s">
        <v>6469</v>
      </c>
      <c r="B2833" s="52" t="s">
        <v>607</v>
      </c>
      <c r="C2833" s="52" t="s">
        <v>607</v>
      </c>
      <c r="D2833" s="65" t="s">
        <v>607</v>
      </c>
      <c r="E2833" s="65" t="s">
        <v>607</v>
      </c>
      <c r="F2833" s="65" t="s">
        <v>607</v>
      </c>
      <c r="G2833" s="65" t="s">
        <v>607</v>
      </c>
      <c r="H2833" s="52" t="s">
        <v>607</v>
      </c>
      <c r="I2833" s="52" t="s">
        <v>607</v>
      </c>
      <c r="J2833" s="52" t="s">
        <v>607</v>
      </c>
      <c r="K2833" s="52" t="s">
        <v>607</v>
      </c>
      <c r="L2833" s="52" t="s">
        <v>607</v>
      </c>
      <c r="M2833" s="52" t="s">
        <v>607</v>
      </c>
      <c r="N2833" s="52" t="s">
        <v>607</v>
      </c>
      <c r="O2833" s="52"/>
      <c r="P2833" s="52"/>
      <c r="Q2833" s="52"/>
      <c r="R2833" s="51" t="b">
        <v>0</v>
      </c>
      <c r="S2833" s="51"/>
      <c r="T2833" s="52"/>
      <c r="U2833" s="51" t="b">
        <v>0</v>
      </c>
      <c r="V2833" s="51" t="b">
        <v>0</v>
      </c>
      <c r="W2833" s="51" t="b">
        <v>0</v>
      </c>
      <c r="X2833" s="51" t="b">
        <v>0</v>
      </c>
      <c r="Y2833" s="51" t="b">
        <v>0</v>
      </c>
      <c r="Z2833" s="51" t="b">
        <v>0</v>
      </c>
      <c r="AA2833" s="68"/>
      <c r="AB2833" s="52"/>
      <c r="AC2833" s="52"/>
      <c r="AD2833" s="52"/>
      <c r="AE2833" s="56" t="s">
        <v>607</v>
      </c>
      <c r="AF2833" s="56" t="s">
        <v>607</v>
      </c>
    </row>
    <row r="2834">
      <c r="A2834" s="52" t="s">
        <v>6470</v>
      </c>
      <c r="B2834" s="52" t="s">
        <v>607</v>
      </c>
      <c r="C2834" s="52" t="s">
        <v>607</v>
      </c>
      <c r="D2834" s="65" t="s">
        <v>607</v>
      </c>
      <c r="E2834" s="65" t="s">
        <v>607</v>
      </c>
      <c r="F2834" s="65" t="s">
        <v>607</v>
      </c>
      <c r="G2834" s="65" t="s">
        <v>607</v>
      </c>
      <c r="H2834" s="52" t="s">
        <v>607</v>
      </c>
      <c r="I2834" s="52" t="s">
        <v>607</v>
      </c>
      <c r="J2834" s="52" t="s">
        <v>607</v>
      </c>
      <c r="K2834" s="52" t="s">
        <v>607</v>
      </c>
      <c r="L2834" s="52" t="s">
        <v>607</v>
      </c>
      <c r="M2834" s="52" t="s">
        <v>607</v>
      </c>
      <c r="N2834" s="52" t="s">
        <v>607</v>
      </c>
      <c r="O2834" s="52"/>
      <c r="P2834" s="52"/>
      <c r="Q2834" s="52"/>
      <c r="R2834" s="51" t="b">
        <v>0</v>
      </c>
      <c r="S2834" s="51"/>
      <c r="T2834" s="52"/>
      <c r="U2834" s="51" t="b">
        <v>0</v>
      </c>
      <c r="V2834" s="51" t="b">
        <v>0</v>
      </c>
      <c r="W2834" s="51" t="b">
        <v>0</v>
      </c>
      <c r="X2834" s="51" t="b">
        <v>0</v>
      </c>
      <c r="Y2834" s="51" t="b">
        <v>0</v>
      </c>
      <c r="Z2834" s="51" t="b">
        <v>0</v>
      </c>
      <c r="AA2834" s="68"/>
      <c r="AB2834" s="52"/>
      <c r="AC2834" s="52"/>
      <c r="AD2834" s="52"/>
      <c r="AE2834" s="56" t="s">
        <v>607</v>
      </c>
      <c r="AF2834" s="56" t="s">
        <v>607</v>
      </c>
    </row>
    <row r="2835">
      <c r="A2835" s="52" t="s">
        <v>6474</v>
      </c>
      <c r="B2835" s="52" t="s">
        <v>607</v>
      </c>
      <c r="C2835" s="52" t="s">
        <v>607</v>
      </c>
      <c r="D2835" s="65" t="s">
        <v>607</v>
      </c>
      <c r="E2835" s="65" t="s">
        <v>607</v>
      </c>
      <c r="F2835" s="65" t="s">
        <v>607</v>
      </c>
      <c r="G2835" s="65" t="s">
        <v>607</v>
      </c>
      <c r="H2835" s="52" t="s">
        <v>607</v>
      </c>
      <c r="I2835" s="52" t="s">
        <v>607</v>
      </c>
      <c r="J2835" s="52" t="s">
        <v>607</v>
      </c>
      <c r="K2835" s="52" t="s">
        <v>607</v>
      </c>
      <c r="L2835" s="52" t="s">
        <v>607</v>
      </c>
      <c r="M2835" s="52" t="s">
        <v>607</v>
      </c>
      <c r="N2835" s="52" t="s">
        <v>607</v>
      </c>
      <c r="O2835" s="52"/>
      <c r="P2835" s="52"/>
      <c r="Q2835" s="52"/>
      <c r="R2835" s="51" t="b">
        <v>0</v>
      </c>
      <c r="S2835" s="51"/>
      <c r="T2835" s="52"/>
      <c r="U2835" s="51" t="b">
        <v>0</v>
      </c>
      <c r="V2835" s="51" t="b">
        <v>0</v>
      </c>
      <c r="W2835" s="51" t="b">
        <v>0</v>
      </c>
      <c r="X2835" s="51" t="b">
        <v>0</v>
      </c>
      <c r="Y2835" s="51" t="b">
        <v>0</v>
      </c>
      <c r="Z2835" s="51" t="b">
        <v>0</v>
      </c>
      <c r="AA2835" s="68"/>
      <c r="AB2835" s="52"/>
      <c r="AC2835" s="52"/>
      <c r="AD2835" s="52"/>
      <c r="AE2835" s="56" t="s">
        <v>607</v>
      </c>
      <c r="AF2835" s="56" t="s">
        <v>607</v>
      </c>
    </row>
    <row r="2836">
      <c r="A2836" s="52" t="s">
        <v>6475</v>
      </c>
      <c r="B2836" s="52" t="s">
        <v>607</v>
      </c>
      <c r="C2836" s="52" t="s">
        <v>607</v>
      </c>
      <c r="D2836" s="65" t="s">
        <v>607</v>
      </c>
      <c r="E2836" s="65" t="s">
        <v>607</v>
      </c>
      <c r="F2836" s="65" t="s">
        <v>607</v>
      </c>
      <c r="G2836" s="65" t="s">
        <v>607</v>
      </c>
      <c r="H2836" s="52" t="s">
        <v>607</v>
      </c>
      <c r="I2836" s="52" t="s">
        <v>607</v>
      </c>
      <c r="J2836" s="52" t="s">
        <v>607</v>
      </c>
      <c r="K2836" s="52" t="s">
        <v>607</v>
      </c>
      <c r="L2836" s="52" t="s">
        <v>607</v>
      </c>
      <c r="M2836" s="52" t="s">
        <v>607</v>
      </c>
      <c r="N2836" s="52" t="s">
        <v>607</v>
      </c>
      <c r="O2836" s="52"/>
      <c r="P2836" s="52"/>
      <c r="Q2836" s="52"/>
      <c r="R2836" s="51" t="b">
        <v>0</v>
      </c>
      <c r="S2836" s="51"/>
      <c r="T2836" s="52"/>
      <c r="U2836" s="51" t="b">
        <v>0</v>
      </c>
      <c r="V2836" s="51" t="b">
        <v>0</v>
      </c>
      <c r="W2836" s="51" t="b">
        <v>0</v>
      </c>
      <c r="X2836" s="51" t="b">
        <v>0</v>
      </c>
      <c r="Y2836" s="51" t="b">
        <v>0</v>
      </c>
      <c r="Z2836" s="51" t="b">
        <v>0</v>
      </c>
      <c r="AA2836" s="68"/>
      <c r="AB2836" s="52"/>
      <c r="AC2836" s="52"/>
      <c r="AD2836" s="52"/>
      <c r="AE2836" s="56" t="s">
        <v>607</v>
      </c>
      <c r="AF2836" s="56" t="s">
        <v>607</v>
      </c>
    </row>
    <row r="2837">
      <c r="A2837" s="52" t="s">
        <v>6479</v>
      </c>
      <c r="B2837" s="52" t="s">
        <v>607</v>
      </c>
      <c r="C2837" s="52" t="s">
        <v>607</v>
      </c>
      <c r="D2837" s="65" t="s">
        <v>607</v>
      </c>
      <c r="E2837" s="65" t="s">
        <v>607</v>
      </c>
      <c r="F2837" s="65" t="s">
        <v>607</v>
      </c>
      <c r="G2837" s="65" t="s">
        <v>607</v>
      </c>
      <c r="H2837" s="52" t="s">
        <v>607</v>
      </c>
      <c r="I2837" s="52" t="s">
        <v>607</v>
      </c>
      <c r="J2837" s="52" t="s">
        <v>607</v>
      </c>
      <c r="K2837" s="52" t="s">
        <v>607</v>
      </c>
      <c r="L2837" s="52" t="s">
        <v>607</v>
      </c>
      <c r="M2837" s="52" t="s">
        <v>607</v>
      </c>
      <c r="N2837" s="52" t="s">
        <v>607</v>
      </c>
      <c r="O2837" s="52"/>
      <c r="P2837" s="52"/>
      <c r="Q2837" s="52"/>
      <c r="R2837" s="51" t="b">
        <v>0</v>
      </c>
      <c r="S2837" s="51"/>
      <c r="T2837" s="52"/>
      <c r="U2837" s="51" t="b">
        <v>0</v>
      </c>
      <c r="V2837" s="51" t="b">
        <v>0</v>
      </c>
      <c r="W2837" s="51" t="b">
        <v>0</v>
      </c>
      <c r="X2837" s="51" t="b">
        <v>0</v>
      </c>
      <c r="Y2837" s="51" t="b">
        <v>0</v>
      </c>
      <c r="Z2837" s="51" t="b">
        <v>0</v>
      </c>
      <c r="AA2837" s="68"/>
      <c r="AB2837" s="52"/>
      <c r="AC2837" s="52"/>
      <c r="AD2837" s="52"/>
      <c r="AE2837" s="56" t="s">
        <v>607</v>
      </c>
      <c r="AF2837" s="56" t="s">
        <v>607</v>
      </c>
    </row>
    <row r="2838">
      <c r="A2838" s="52" t="s">
        <v>6482</v>
      </c>
      <c r="B2838" s="52" t="s">
        <v>607</v>
      </c>
      <c r="C2838" s="52" t="s">
        <v>607</v>
      </c>
      <c r="D2838" s="65" t="s">
        <v>607</v>
      </c>
      <c r="E2838" s="65" t="s">
        <v>607</v>
      </c>
      <c r="F2838" s="65" t="s">
        <v>607</v>
      </c>
      <c r="G2838" s="65" t="s">
        <v>607</v>
      </c>
      <c r="H2838" s="52" t="s">
        <v>607</v>
      </c>
      <c r="I2838" s="52" t="s">
        <v>607</v>
      </c>
      <c r="J2838" s="52" t="s">
        <v>607</v>
      </c>
      <c r="K2838" s="52" t="s">
        <v>607</v>
      </c>
      <c r="L2838" s="52" t="s">
        <v>607</v>
      </c>
      <c r="M2838" s="52" t="s">
        <v>607</v>
      </c>
      <c r="N2838" s="52" t="s">
        <v>607</v>
      </c>
      <c r="O2838" s="52"/>
      <c r="P2838" s="52"/>
      <c r="Q2838" s="52"/>
      <c r="R2838" s="51" t="b">
        <v>0</v>
      </c>
      <c r="S2838" s="51"/>
      <c r="T2838" s="52"/>
      <c r="U2838" s="51" t="b">
        <v>0</v>
      </c>
      <c r="V2838" s="51" t="b">
        <v>0</v>
      </c>
      <c r="W2838" s="51" t="b">
        <v>0</v>
      </c>
      <c r="X2838" s="51" t="b">
        <v>0</v>
      </c>
      <c r="Y2838" s="51" t="b">
        <v>0</v>
      </c>
      <c r="Z2838" s="51" t="b">
        <v>0</v>
      </c>
      <c r="AA2838" s="68"/>
      <c r="AB2838" s="52"/>
      <c r="AC2838" s="52"/>
      <c r="AD2838" s="52"/>
      <c r="AE2838" s="56" t="s">
        <v>607</v>
      </c>
      <c r="AF2838" s="56" t="s">
        <v>607</v>
      </c>
    </row>
    <row r="2839">
      <c r="A2839" s="52" t="s">
        <v>6484</v>
      </c>
      <c r="B2839" s="52" t="s">
        <v>607</v>
      </c>
      <c r="C2839" s="52" t="s">
        <v>607</v>
      </c>
      <c r="D2839" s="65" t="s">
        <v>607</v>
      </c>
      <c r="E2839" s="65" t="s">
        <v>607</v>
      </c>
      <c r="F2839" s="65" t="s">
        <v>607</v>
      </c>
      <c r="G2839" s="65" t="s">
        <v>607</v>
      </c>
      <c r="H2839" s="52" t="s">
        <v>607</v>
      </c>
      <c r="I2839" s="52" t="s">
        <v>607</v>
      </c>
      <c r="J2839" s="52" t="s">
        <v>607</v>
      </c>
      <c r="K2839" s="52" t="s">
        <v>607</v>
      </c>
      <c r="L2839" s="52" t="s">
        <v>607</v>
      </c>
      <c r="M2839" s="52" t="s">
        <v>607</v>
      </c>
      <c r="N2839" s="52" t="s">
        <v>607</v>
      </c>
      <c r="O2839" s="52"/>
      <c r="P2839" s="52"/>
      <c r="Q2839" s="52"/>
      <c r="R2839" s="51" t="b">
        <v>0</v>
      </c>
      <c r="S2839" s="51"/>
      <c r="T2839" s="52"/>
      <c r="U2839" s="51" t="b">
        <v>0</v>
      </c>
      <c r="V2839" s="51" t="b">
        <v>0</v>
      </c>
      <c r="W2839" s="51" t="b">
        <v>0</v>
      </c>
      <c r="X2839" s="51" t="b">
        <v>0</v>
      </c>
      <c r="Y2839" s="51" t="b">
        <v>0</v>
      </c>
      <c r="Z2839" s="51" t="b">
        <v>0</v>
      </c>
      <c r="AA2839" s="68"/>
      <c r="AB2839" s="52"/>
      <c r="AC2839" s="52"/>
      <c r="AD2839" s="52"/>
      <c r="AE2839" s="56" t="s">
        <v>607</v>
      </c>
      <c r="AF2839" s="56" t="s">
        <v>607</v>
      </c>
    </row>
    <row r="2840">
      <c r="A2840" s="52" t="s">
        <v>6488</v>
      </c>
      <c r="B2840" s="52" t="s">
        <v>607</v>
      </c>
      <c r="C2840" s="52" t="s">
        <v>607</v>
      </c>
      <c r="D2840" s="65" t="s">
        <v>607</v>
      </c>
      <c r="E2840" s="65" t="s">
        <v>607</v>
      </c>
      <c r="F2840" s="65" t="s">
        <v>607</v>
      </c>
      <c r="G2840" s="65" t="s">
        <v>607</v>
      </c>
      <c r="H2840" s="52" t="s">
        <v>607</v>
      </c>
      <c r="I2840" s="52" t="s">
        <v>607</v>
      </c>
      <c r="J2840" s="52" t="s">
        <v>607</v>
      </c>
      <c r="K2840" s="52" t="s">
        <v>607</v>
      </c>
      <c r="L2840" s="52" t="s">
        <v>607</v>
      </c>
      <c r="M2840" s="52" t="s">
        <v>607</v>
      </c>
      <c r="N2840" s="52" t="s">
        <v>607</v>
      </c>
      <c r="O2840" s="52"/>
      <c r="P2840" s="52"/>
      <c r="Q2840" s="52"/>
      <c r="R2840" s="51" t="b">
        <v>0</v>
      </c>
      <c r="S2840" s="51"/>
      <c r="T2840" s="52"/>
      <c r="U2840" s="51" t="b">
        <v>0</v>
      </c>
      <c r="V2840" s="51" t="b">
        <v>0</v>
      </c>
      <c r="W2840" s="51" t="b">
        <v>0</v>
      </c>
      <c r="X2840" s="51" t="b">
        <v>0</v>
      </c>
      <c r="Y2840" s="51" t="b">
        <v>0</v>
      </c>
      <c r="Z2840" s="51" t="b">
        <v>0</v>
      </c>
      <c r="AA2840" s="68"/>
      <c r="AB2840" s="52"/>
      <c r="AC2840" s="52"/>
      <c r="AD2840" s="52"/>
      <c r="AE2840" s="56" t="s">
        <v>607</v>
      </c>
      <c r="AF2840" s="56" t="s">
        <v>607</v>
      </c>
    </row>
    <row r="2841">
      <c r="A2841" s="52" t="s">
        <v>6493</v>
      </c>
      <c r="B2841" s="52" t="s">
        <v>607</v>
      </c>
      <c r="C2841" s="52" t="s">
        <v>607</v>
      </c>
      <c r="D2841" s="65" t="s">
        <v>607</v>
      </c>
      <c r="E2841" s="65" t="s">
        <v>607</v>
      </c>
      <c r="F2841" s="65" t="s">
        <v>607</v>
      </c>
      <c r="G2841" s="65" t="s">
        <v>607</v>
      </c>
      <c r="H2841" s="52" t="s">
        <v>607</v>
      </c>
      <c r="I2841" s="52" t="s">
        <v>607</v>
      </c>
      <c r="J2841" s="52" t="s">
        <v>607</v>
      </c>
      <c r="K2841" s="52" t="s">
        <v>607</v>
      </c>
      <c r="L2841" s="52" t="s">
        <v>607</v>
      </c>
      <c r="M2841" s="52" t="s">
        <v>607</v>
      </c>
      <c r="N2841" s="52" t="s">
        <v>607</v>
      </c>
      <c r="O2841" s="52"/>
      <c r="P2841" s="52"/>
      <c r="Q2841" s="52"/>
      <c r="R2841" s="51" t="b">
        <v>0</v>
      </c>
      <c r="S2841" s="51"/>
      <c r="T2841" s="52"/>
      <c r="U2841" s="51" t="b">
        <v>0</v>
      </c>
      <c r="V2841" s="51" t="b">
        <v>0</v>
      </c>
      <c r="W2841" s="51" t="b">
        <v>0</v>
      </c>
      <c r="X2841" s="51" t="b">
        <v>0</v>
      </c>
      <c r="Y2841" s="51" t="b">
        <v>0</v>
      </c>
      <c r="Z2841" s="51" t="b">
        <v>0</v>
      </c>
      <c r="AA2841" s="68"/>
      <c r="AB2841" s="52"/>
      <c r="AC2841" s="52"/>
      <c r="AD2841" s="52"/>
      <c r="AE2841" s="56" t="s">
        <v>607</v>
      </c>
      <c r="AF2841" s="56" t="s">
        <v>607</v>
      </c>
    </row>
    <row r="2842">
      <c r="A2842" s="52" t="s">
        <v>6495</v>
      </c>
      <c r="B2842" s="52" t="s">
        <v>607</v>
      </c>
      <c r="C2842" s="52" t="s">
        <v>607</v>
      </c>
      <c r="D2842" s="65" t="s">
        <v>607</v>
      </c>
      <c r="E2842" s="65" t="s">
        <v>607</v>
      </c>
      <c r="F2842" s="65" t="s">
        <v>607</v>
      </c>
      <c r="G2842" s="65" t="s">
        <v>607</v>
      </c>
      <c r="H2842" s="52" t="s">
        <v>607</v>
      </c>
      <c r="I2842" s="52" t="s">
        <v>607</v>
      </c>
      <c r="J2842" s="52" t="s">
        <v>607</v>
      </c>
      <c r="K2842" s="52" t="s">
        <v>607</v>
      </c>
      <c r="L2842" s="52" t="s">
        <v>607</v>
      </c>
      <c r="M2842" s="52" t="s">
        <v>607</v>
      </c>
      <c r="N2842" s="52" t="s">
        <v>607</v>
      </c>
      <c r="O2842" s="52"/>
      <c r="P2842" s="52"/>
      <c r="Q2842" s="52"/>
      <c r="R2842" s="51" t="b">
        <v>0</v>
      </c>
      <c r="S2842" s="51"/>
      <c r="T2842" s="52"/>
      <c r="U2842" s="51" t="b">
        <v>0</v>
      </c>
      <c r="V2842" s="51" t="b">
        <v>0</v>
      </c>
      <c r="W2842" s="51" t="b">
        <v>0</v>
      </c>
      <c r="X2842" s="51" t="b">
        <v>0</v>
      </c>
      <c r="Y2842" s="51" t="b">
        <v>0</v>
      </c>
      <c r="Z2842" s="51" t="b">
        <v>0</v>
      </c>
      <c r="AA2842" s="68"/>
      <c r="AB2842" s="52"/>
      <c r="AC2842" s="52"/>
      <c r="AD2842" s="52"/>
      <c r="AE2842" s="56" t="s">
        <v>607</v>
      </c>
      <c r="AF2842" s="56" t="s">
        <v>607</v>
      </c>
    </row>
    <row r="2843">
      <c r="A2843" s="52" t="s">
        <v>6503</v>
      </c>
      <c r="B2843" s="52" t="s">
        <v>607</v>
      </c>
      <c r="C2843" s="52" t="s">
        <v>607</v>
      </c>
      <c r="D2843" s="65" t="s">
        <v>607</v>
      </c>
      <c r="E2843" s="65" t="s">
        <v>607</v>
      </c>
      <c r="F2843" s="65" t="s">
        <v>607</v>
      </c>
      <c r="G2843" s="65" t="s">
        <v>607</v>
      </c>
      <c r="H2843" s="52" t="s">
        <v>607</v>
      </c>
      <c r="I2843" s="52" t="s">
        <v>607</v>
      </c>
      <c r="J2843" s="52" t="s">
        <v>607</v>
      </c>
      <c r="K2843" s="52" t="s">
        <v>607</v>
      </c>
      <c r="L2843" s="52" t="s">
        <v>607</v>
      </c>
      <c r="M2843" s="52" t="s">
        <v>607</v>
      </c>
      <c r="N2843" s="52" t="s">
        <v>607</v>
      </c>
      <c r="O2843" s="52"/>
      <c r="P2843" s="52"/>
      <c r="Q2843" s="52"/>
      <c r="R2843" s="51" t="b">
        <v>0</v>
      </c>
      <c r="S2843" s="51"/>
      <c r="T2843" s="52"/>
      <c r="U2843" s="51" t="b">
        <v>0</v>
      </c>
      <c r="V2843" s="51" t="b">
        <v>0</v>
      </c>
      <c r="W2843" s="51" t="b">
        <v>0</v>
      </c>
      <c r="X2843" s="51" t="b">
        <v>0</v>
      </c>
      <c r="Y2843" s="51" t="b">
        <v>0</v>
      </c>
      <c r="Z2843" s="51" t="b">
        <v>0</v>
      </c>
      <c r="AA2843" s="68"/>
      <c r="AB2843" s="52"/>
      <c r="AC2843" s="52"/>
      <c r="AD2843" s="52"/>
      <c r="AE2843" s="56" t="s">
        <v>607</v>
      </c>
      <c r="AF2843" s="56" t="s">
        <v>607</v>
      </c>
    </row>
    <row r="2844">
      <c r="A2844" s="52" t="s">
        <v>6504</v>
      </c>
      <c r="B2844" s="52" t="s">
        <v>607</v>
      </c>
      <c r="C2844" s="52" t="s">
        <v>607</v>
      </c>
      <c r="D2844" s="65" t="s">
        <v>607</v>
      </c>
      <c r="E2844" s="65" t="s">
        <v>607</v>
      </c>
      <c r="F2844" s="65" t="s">
        <v>607</v>
      </c>
      <c r="G2844" s="65" t="s">
        <v>607</v>
      </c>
      <c r="H2844" s="52" t="s">
        <v>607</v>
      </c>
      <c r="I2844" s="52" t="s">
        <v>607</v>
      </c>
      <c r="J2844" s="52" t="s">
        <v>607</v>
      </c>
      <c r="K2844" s="52" t="s">
        <v>607</v>
      </c>
      <c r="L2844" s="52" t="s">
        <v>607</v>
      </c>
      <c r="M2844" s="52" t="s">
        <v>607</v>
      </c>
      <c r="N2844" s="52" t="s">
        <v>607</v>
      </c>
      <c r="O2844" s="52"/>
      <c r="P2844" s="52"/>
      <c r="Q2844" s="52"/>
      <c r="R2844" s="51" t="b">
        <v>0</v>
      </c>
      <c r="S2844" s="51"/>
      <c r="T2844" s="52"/>
      <c r="U2844" s="51" t="b">
        <v>0</v>
      </c>
      <c r="V2844" s="51" t="b">
        <v>0</v>
      </c>
      <c r="W2844" s="51" t="b">
        <v>0</v>
      </c>
      <c r="X2844" s="51" t="b">
        <v>0</v>
      </c>
      <c r="Y2844" s="51" t="b">
        <v>0</v>
      </c>
      <c r="Z2844" s="51" t="b">
        <v>0</v>
      </c>
      <c r="AA2844" s="68"/>
      <c r="AB2844" s="52"/>
      <c r="AC2844" s="52"/>
      <c r="AD2844" s="52"/>
      <c r="AE2844" s="56" t="s">
        <v>607</v>
      </c>
      <c r="AF2844" s="56" t="s">
        <v>607</v>
      </c>
    </row>
    <row r="2845">
      <c r="A2845" s="52" t="s">
        <v>6508</v>
      </c>
      <c r="B2845" s="52" t="s">
        <v>607</v>
      </c>
      <c r="C2845" s="52" t="s">
        <v>607</v>
      </c>
      <c r="D2845" s="65" t="s">
        <v>607</v>
      </c>
      <c r="E2845" s="65" t="s">
        <v>607</v>
      </c>
      <c r="F2845" s="65" t="s">
        <v>607</v>
      </c>
      <c r="G2845" s="65" t="s">
        <v>607</v>
      </c>
      <c r="H2845" s="52" t="s">
        <v>607</v>
      </c>
      <c r="I2845" s="52" t="s">
        <v>607</v>
      </c>
      <c r="J2845" s="52" t="s">
        <v>607</v>
      </c>
      <c r="K2845" s="52" t="s">
        <v>607</v>
      </c>
      <c r="L2845" s="52" t="s">
        <v>607</v>
      </c>
      <c r="M2845" s="52" t="s">
        <v>607</v>
      </c>
      <c r="N2845" s="52" t="s">
        <v>607</v>
      </c>
      <c r="O2845" s="52"/>
      <c r="P2845" s="52"/>
      <c r="Q2845" s="52"/>
      <c r="R2845" s="51" t="b">
        <v>0</v>
      </c>
      <c r="S2845" s="51"/>
      <c r="T2845" s="52"/>
      <c r="U2845" s="51" t="b">
        <v>0</v>
      </c>
      <c r="V2845" s="51" t="b">
        <v>0</v>
      </c>
      <c r="W2845" s="51" t="b">
        <v>0</v>
      </c>
      <c r="X2845" s="51" t="b">
        <v>0</v>
      </c>
      <c r="Y2845" s="51" t="b">
        <v>0</v>
      </c>
      <c r="Z2845" s="51" t="b">
        <v>0</v>
      </c>
      <c r="AA2845" s="68"/>
      <c r="AB2845" s="52"/>
      <c r="AC2845" s="52"/>
      <c r="AD2845" s="52"/>
      <c r="AE2845" s="56" t="s">
        <v>607</v>
      </c>
      <c r="AF2845" s="56" t="s">
        <v>607</v>
      </c>
    </row>
    <row r="2846">
      <c r="A2846" s="52" t="s">
        <v>6509</v>
      </c>
      <c r="B2846" s="52" t="s">
        <v>607</v>
      </c>
      <c r="C2846" s="52" t="s">
        <v>607</v>
      </c>
      <c r="D2846" s="65" t="s">
        <v>607</v>
      </c>
      <c r="E2846" s="65" t="s">
        <v>607</v>
      </c>
      <c r="F2846" s="65" t="s">
        <v>607</v>
      </c>
      <c r="G2846" s="65" t="s">
        <v>607</v>
      </c>
      <c r="H2846" s="52" t="s">
        <v>607</v>
      </c>
      <c r="I2846" s="52" t="s">
        <v>607</v>
      </c>
      <c r="J2846" s="52" t="s">
        <v>607</v>
      </c>
      <c r="K2846" s="52" t="s">
        <v>607</v>
      </c>
      <c r="L2846" s="52" t="s">
        <v>607</v>
      </c>
      <c r="M2846" s="52" t="s">
        <v>607</v>
      </c>
      <c r="N2846" s="52" t="s">
        <v>607</v>
      </c>
      <c r="O2846" s="52"/>
      <c r="P2846" s="52"/>
      <c r="Q2846" s="52"/>
      <c r="R2846" s="51" t="b">
        <v>0</v>
      </c>
      <c r="S2846" s="51"/>
      <c r="T2846" s="52"/>
      <c r="U2846" s="51" t="b">
        <v>0</v>
      </c>
      <c r="V2846" s="51" t="b">
        <v>0</v>
      </c>
      <c r="W2846" s="51" t="b">
        <v>0</v>
      </c>
      <c r="X2846" s="51" t="b">
        <v>0</v>
      </c>
      <c r="Y2846" s="51" t="b">
        <v>0</v>
      </c>
      <c r="Z2846" s="51" t="b">
        <v>0</v>
      </c>
      <c r="AA2846" s="68"/>
      <c r="AB2846" s="52"/>
      <c r="AC2846" s="52"/>
      <c r="AD2846" s="52"/>
      <c r="AE2846" s="56" t="s">
        <v>607</v>
      </c>
      <c r="AF2846" s="56" t="s">
        <v>607</v>
      </c>
    </row>
    <row r="2847">
      <c r="A2847" s="52" t="s">
        <v>6510</v>
      </c>
      <c r="B2847" s="52" t="s">
        <v>607</v>
      </c>
      <c r="C2847" s="52" t="s">
        <v>607</v>
      </c>
      <c r="D2847" s="65" t="s">
        <v>607</v>
      </c>
      <c r="E2847" s="65" t="s">
        <v>607</v>
      </c>
      <c r="F2847" s="65" t="s">
        <v>607</v>
      </c>
      <c r="G2847" s="65" t="s">
        <v>607</v>
      </c>
      <c r="H2847" s="52" t="s">
        <v>607</v>
      </c>
      <c r="I2847" s="52" t="s">
        <v>607</v>
      </c>
      <c r="J2847" s="52" t="s">
        <v>607</v>
      </c>
      <c r="K2847" s="52" t="s">
        <v>607</v>
      </c>
      <c r="L2847" s="52" t="s">
        <v>607</v>
      </c>
      <c r="M2847" s="52" t="s">
        <v>607</v>
      </c>
      <c r="N2847" s="52" t="s">
        <v>607</v>
      </c>
      <c r="O2847" s="52"/>
      <c r="P2847" s="52"/>
      <c r="Q2847" s="52"/>
      <c r="R2847" s="51" t="b">
        <v>0</v>
      </c>
      <c r="S2847" s="51"/>
      <c r="T2847" s="52"/>
      <c r="U2847" s="51" t="b">
        <v>0</v>
      </c>
      <c r="V2847" s="51" t="b">
        <v>0</v>
      </c>
      <c r="W2847" s="51" t="b">
        <v>0</v>
      </c>
      <c r="X2847" s="51" t="b">
        <v>0</v>
      </c>
      <c r="Y2847" s="51" t="b">
        <v>0</v>
      </c>
      <c r="Z2847" s="51" t="b">
        <v>0</v>
      </c>
      <c r="AA2847" s="68"/>
      <c r="AB2847" s="52"/>
      <c r="AC2847" s="52"/>
      <c r="AD2847" s="52"/>
      <c r="AE2847" s="56" t="s">
        <v>607</v>
      </c>
      <c r="AF2847" s="56" t="s">
        <v>607</v>
      </c>
    </row>
    <row r="2848">
      <c r="A2848" s="52" t="s">
        <v>6514</v>
      </c>
      <c r="B2848" s="52" t="s">
        <v>607</v>
      </c>
      <c r="C2848" s="52" t="s">
        <v>607</v>
      </c>
      <c r="D2848" s="65" t="s">
        <v>607</v>
      </c>
      <c r="E2848" s="65" t="s">
        <v>607</v>
      </c>
      <c r="F2848" s="65" t="s">
        <v>607</v>
      </c>
      <c r="G2848" s="65" t="s">
        <v>607</v>
      </c>
      <c r="H2848" s="52" t="s">
        <v>607</v>
      </c>
      <c r="I2848" s="52" t="s">
        <v>607</v>
      </c>
      <c r="J2848" s="52" t="s">
        <v>607</v>
      </c>
      <c r="K2848" s="52" t="s">
        <v>607</v>
      </c>
      <c r="L2848" s="52" t="s">
        <v>607</v>
      </c>
      <c r="M2848" s="52" t="s">
        <v>607</v>
      </c>
      <c r="N2848" s="52" t="s">
        <v>607</v>
      </c>
      <c r="O2848" s="52"/>
      <c r="P2848" s="52"/>
      <c r="Q2848" s="52"/>
      <c r="R2848" s="51" t="b">
        <v>0</v>
      </c>
      <c r="S2848" s="51"/>
      <c r="T2848" s="52"/>
      <c r="U2848" s="51" t="b">
        <v>0</v>
      </c>
      <c r="V2848" s="51" t="b">
        <v>0</v>
      </c>
      <c r="W2848" s="51" t="b">
        <v>0</v>
      </c>
      <c r="X2848" s="51" t="b">
        <v>0</v>
      </c>
      <c r="Y2848" s="51" t="b">
        <v>0</v>
      </c>
      <c r="Z2848" s="51" t="b">
        <v>0</v>
      </c>
      <c r="AA2848" s="68"/>
      <c r="AB2848" s="52"/>
      <c r="AC2848" s="52"/>
      <c r="AD2848" s="52"/>
      <c r="AE2848" s="56" t="s">
        <v>607</v>
      </c>
      <c r="AF2848" s="56" t="s">
        <v>607</v>
      </c>
    </row>
    <row r="2849">
      <c r="A2849" s="52" t="s">
        <v>6515</v>
      </c>
      <c r="B2849" s="52" t="s">
        <v>607</v>
      </c>
      <c r="C2849" s="52" t="s">
        <v>607</v>
      </c>
      <c r="D2849" s="65" t="s">
        <v>607</v>
      </c>
      <c r="E2849" s="65" t="s">
        <v>607</v>
      </c>
      <c r="F2849" s="65" t="s">
        <v>607</v>
      </c>
      <c r="G2849" s="65" t="s">
        <v>607</v>
      </c>
      <c r="H2849" s="52" t="s">
        <v>607</v>
      </c>
      <c r="I2849" s="52" t="s">
        <v>607</v>
      </c>
      <c r="J2849" s="52" t="s">
        <v>607</v>
      </c>
      <c r="K2849" s="52" t="s">
        <v>607</v>
      </c>
      <c r="L2849" s="52" t="s">
        <v>607</v>
      </c>
      <c r="M2849" s="52" t="s">
        <v>607</v>
      </c>
      <c r="N2849" s="52" t="s">
        <v>607</v>
      </c>
      <c r="O2849" s="52"/>
      <c r="P2849" s="52"/>
      <c r="Q2849" s="52"/>
      <c r="R2849" s="51" t="b">
        <v>0</v>
      </c>
      <c r="S2849" s="51"/>
      <c r="T2849" s="52"/>
      <c r="U2849" s="51" t="b">
        <v>0</v>
      </c>
      <c r="V2849" s="51" t="b">
        <v>0</v>
      </c>
      <c r="W2849" s="51" t="b">
        <v>0</v>
      </c>
      <c r="X2849" s="51" t="b">
        <v>0</v>
      </c>
      <c r="Y2849" s="51" t="b">
        <v>0</v>
      </c>
      <c r="Z2849" s="51" t="b">
        <v>0</v>
      </c>
      <c r="AA2849" s="68"/>
      <c r="AB2849" s="52"/>
      <c r="AC2849" s="52"/>
      <c r="AD2849" s="52"/>
      <c r="AE2849" s="56" t="s">
        <v>607</v>
      </c>
      <c r="AF2849" s="56" t="s">
        <v>607</v>
      </c>
    </row>
    <row r="2850">
      <c r="A2850" s="52" t="s">
        <v>6518</v>
      </c>
      <c r="B2850" s="52" t="s">
        <v>607</v>
      </c>
      <c r="C2850" s="52" t="s">
        <v>607</v>
      </c>
      <c r="D2850" s="65" t="s">
        <v>607</v>
      </c>
      <c r="E2850" s="65" t="s">
        <v>607</v>
      </c>
      <c r="F2850" s="65" t="s">
        <v>607</v>
      </c>
      <c r="G2850" s="65" t="s">
        <v>607</v>
      </c>
      <c r="H2850" s="52" t="s">
        <v>607</v>
      </c>
      <c r="I2850" s="52" t="s">
        <v>607</v>
      </c>
      <c r="J2850" s="52" t="s">
        <v>607</v>
      </c>
      <c r="K2850" s="52" t="s">
        <v>607</v>
      </c>
      <c r="L2850" s="52" t="s">
        <v>607</v>
      </c>
      <c r="M2850" s="52" t="s">
        <v>607</v>
      </c>
      <c r="N2850" s="52" t="s">
        <v>607</v>
      </c>
      <c r="O2850" s="52"/>
      <c r="P2850" s="52"/>
      <c r="Q2850" s="52"/>
      <c r="R2850" s="51" t="b">
        <v>0</v>
      </c>
      <c r="S2850" s="51"/>
      <c r="T2850" s="52"/>
      <c r="U2850" s="51" t="b">
        <v>0</v>
      </c>
      <c r="V2850" s="51" t="b">
        <v>0</v>
      </c>
      <c r="W2850" s="51" t="b">
        <v>0</v>
      </c>
      <c r="X2850" s="51" t="b">
        <v>0</v>
      </c>
      <c r="Y2850" s="51" t="b">
        <v>0</v>
      </c>
      <c r="Z2850" s="51" t="b">
        <v>0</v>
      </c>
      <c r="AA2850" s="68"/>
      <c r="AB2850" s="52"/>
      <c r="AC2850" s="52"/>
      <c r="AD2850" s="52"/>
      <c r="AE2850" s="56" t="s">
        <v>607</v>
      </c>
      <c r="AF2850" s="56" t="s">
        <v>607</v>
      </c>
    </row>
    <row r="2851">
      <c r="A2851" s="52" t="s">
        <v>6519</v>
      </c>
      <c r="B2851" s="52" t="s">
        <v>607</v>
      </c>
      <c r="C2851" s="52" t="s">
        <v>607</v>
      </c>
      <c r="D2851" s="65" t="s">
        <v>607</v>
      </c>
      <c r="E2851" s="65" t="s">
        <v>607</v>
      </c>
      <c r="F2851" s="65" t="s">
        <v>607</v>
      </c>
      <c r="G2851" s="65" t="s">
        <v>607</v>
      </c>
      <c r="H2851" s="52" t="s">
        <v>607</v>
      </c>
      <c r="I2851" s="52" t="s">
        <v>607</v>
      </c>
      <c r="J2851" s="52" t="s">
        <v>607</v>
      </c>
      <c r="K2851" s="52" t="s">
        <v>607</v>
      </c>
      <c r="L2851" s="52" t="s">
        <v>607</v>
      </c>
      <c r="M2851" s="52" t="s">
        <v>607</v>
      </c>
      <c r="N2851" s="52" t="s">
        <v>607</v>
      </c>
      <c r="O2851" s="52"/>
      <c r="P2851" s="52"/>
      <c r="Q2851" s="52"/>
      <c r="R2851" s="51" t="b">
        <v>0</v>
      </c>
      <c r="S2851" s="51"/>
      <c r="T2851" s="52"/>
      <c r="U2851" s="51" t="b">
        <v>0</v>
      </c>
      <c r="V2851" s="51" t="b">
        <v>0</v>
      </c>
      <c r="W2851" s="51" t="b">
        <v>0</v>
      </c>
      <c r="X2851" s="51" t="b">
        <v>0</v>
      </c>
      <c r="Y2851" s="51" t="b">
        <v>0</v>
      </c>
      <c r="Z2851" s="51" t="b">
        <v>0</v>
      </c>
      <c r="AA2851" s="68"/>
      <c r="AB2851" s="52"/>
      <c r="AC2851" s="52"/>
      <c r="AD2851" s="52"/>
      <c r="AE2851" s="56" t="s">
        <v>607</v>
      </c>
      <c r="AF2851" s="56" t="s">
        <v>607</v>
      </c>
    </row>
    <row r="2852">
      <c r="A2852" s="52" t="s">
        <v>6522</v>
      </c>
      <c r="B2852" s="52" t="s">
        <v>607</v>
      </c>
      <c r="C2852" s="52" t="s">
        <v>607</v>
      </c>
      <c r="D2852" s="65" t="s">
        <v>607</v>
      </c>
      <c r="E2852" s="65" t="s">
        <v>607</v>
      </c>
      <c r="F2852" s="65" t="s">
        <v>607</v>
      </c>
      <c r="G2852" s="65" t="s">
        <v>607</v>
      </c>
      <c r="H2852" s="52" t="s">
        <v>607</v>
      </c>
      <c r="I2852" s="52" t="s">
        <v>607</v>
      </c>
      <c r="J2852" s="52" t="s">
        <v>607</v>
      </c>
      <c r="K2852" s="52" t="s">
        <v>607</v>
      </c>
      <c r="L2852" s="52" t="s">
        <v>607</v>
      </c>
      <c r="M2852" s="52" t="s">
        <v>607</v>
      </c>
      <c r="N2852" s="52" t="s">
        <v>607</v>
      </c>
      <c r="O2852" s="52"/>
      <c r="P2852" s="52"/>
      <c r="Q2852" s="52"/>
      <c r="R2852" s="51" t="b">
        <v>0</v>
      </c>
      <c r="S2852" s="51"/>
      <c r="T2852" s="52"/>
      <c r="U2852" s="51" t="b">
        <v>0</v>
      </c>
      <c r="V2852" s="51" t="b">
        <v>0</v>
      </c>
      <c r="W2852" s="51" t="b">
        <v>0</v>
      </c>
      <c r="X2852" s="51" t="b">
        <v>0</v>
      </c>
      <c r="Y2852" s="51" t="b">
        <v>0</v>
      </c>
      <c r="Z2852" s="51" t="b">
        <v>0</v>
      </c>
      <c r="AA2852" s="68"/>
      <c r="AB2852" s="52"/>
      <c r="AC2852" s="52"/>
      <c r="AD2852" s="52"/>
      <c r="AE2852" s="56" t="s">
        <v>607</v>
      </c>
      <c r="AF2852" s="56" t="s">
        <v>607</v>
      </c>
    </row>
    <row r="2853">
      <c r="A2853" s="52" t="s">
        <v>6523</v>
      </c>
      <c r="B2853" s="52" t="s">
        <v>607</v>
      </c>
      <c r="C2853" s="52" t="s">
        <v>607</v>
      </c>
      <c r="D2853" s="65" t="s">
        <v>607</v>
      </c>
      <c r="E2853" s="65" t="s">
        <v>607</v>
      </c>
      <c r="F2853" s="65" t="s">
        <v>607</v>
      </c>
      <c r="G2853" s="65" t="s">
        <v>607</v>
      </c>
      <c r="H2853" s="52" t="s">
        <v>607</v>
      </c>
      <c r="I2853" s="52" t="s">
        <v>607</v>
      </c>
      <c r="J2853" s="52" t="s">
        <v>607</v>
      </c>
      <c r="K2853" s="52" t="s">
        <v>607</v>
      </c>
      <c r="L2853" s="52" t="s">
        <v>607</v>
      </c>
      <c r="M2853" s="52" t="s">
        <v>607</v>
      </c>
      <c r="N2853" s="52" t="s">
        <v>607</v>
      </c>
      <c r="O2853" s="52"/>
      <c r="P2853" s="52"/>
      <c r="Q2853" s="52"/>
      <c r="R2853" s="51" t="b">
        <v>0</v>
      </c>
      <c r="S2853" s="51"/>
      <c r="T2853" s="52"/>
      <c r="U2853" s="51" t="b">
        <v>0</v>
      </c>
      <c r="V2853" s="51" t="b">
        <v>0</v>
      </c>
      <c r="W2853" s="51" t="b">
        <v>0</v>
      </c>
      <c r="X2853" s="51" t="b">
        <v>0</v>
      </c>
      <c r="Y2853" s="51" t="b">
        <v>0</v>
      </c>
      <c r="Z2853" s="51" t="b">
        <v>0</v>
      </c>
      <c r="AA2853" s="68"/>
      <c r="AB2853" s="52"/>
      <c r="AC2853" s="52"/>
      <c r="AD2853" s="52"/>
      <c r="AE2853" s="56" t="s">
        <v>607</v>
      </c>
      <c r="AF2853" s="56" t="s">
        <v>607</v>
      </c>
    </row>
    <row r="2854">
      <c r="A2854" s="52" t="s">
        <v>6527</v>
      </c>
      <c r="B2854" s="52" t="s">
        <v>607</v>
      </c>
      <c r="C2854" s="52" t="s">
        <v>607</v>
      </c>
      <c r="D2854" s="65" t="s">
        <v>607</v>
      </c>
      <c r="E2854" s="65" t="s">
        <v>607</v>
      </c>
      <c r="F2854" s="65" t="s">
        <v>607</v>
      </c>
      <c r="G2854" s="65" t="s">
        <v>607</v>
      </c>
      <c r="H2854" s="52" t="s">
        <v>607</v>
      </c>
      <c r="I2854" s="52" t="s">
        <v>607</v>
      </c>
      <c r="J2854" s="52" t="s">
        <v>607</v>
      </c>
      <c r="K2854" s="52" t="s">
        <v>607</v>
      </c>
      <c r="L2854" s="52" t="s">
        <v>607</v>
      </c>
      <c r="M2854" s="52" t="s">
        <v>607</v>
      </c>
      <c r="N2854" s="52" t="s">
        <v>607</v>
      </c>
      <c r="O2854" s="52"/>
      <c r="P2854" s="52"/>
      <c r="Q2854" s="52"/>
      <c r="R2854" s="51" t="b">
        <v>0</v>
      </c>
      <c r="S2854" s="51"/>
      <c r="T2854" s="52"/>
      <c r="U2854" s="51" t="b">
        <v>0</v>
      </c>
      <c r="V2854" s="51" t="b">
        <v>0</v>
      </c>
      <c r="W2854" s="51" t="b">
        <v>0</v>
      </c>
      <c r="X2854" s="51" t="b">
        <v>0</v>
      </c>
      <c r="Y2854" s="51" t="b">
        <v>0</v>
      </c>
      <c r="Z2854" s="51" t="b">
        <v>0</v>
      </c>
      <c r="AA2854" s="68"/>
      <c r="AB2854" s="52"/>
      <c r="AC2854" s="52"/>
      <c r="AD2854" s="52"/>
      <c r="AE2854" s="56" t="s">
        <v>607</v>
      </c>
      <c r="AF2854" s="56" t="s">
        <v>607</v>
      </c>
    </row>
    <row r="2855">
      <c r="A2855" s="52" t="s">
        <v>6531</v>
      </c>
      <c r="B2855" s="52" t="s">
        <v>607</v>
      </c>
      <c r="C2855" s="52" t="s">
        <v>607</v>
      </c>
      <c r="D2855" s="65" t="s">
        <v>607</v>
      </c>
      <c r="E2855" s="65" t="s">
        <v>607</v>
      </c>
      <c r="F2855" s="65" t="s">
        <v>607</v>
      </c>
      <c r="G2855" s="65" t="s">
        <v>607</v>
      </c>
      <c r="H2855" s="52" t="s">
        <v>607</v>
      </c>
      <c r="I2855" s="52" t="s">
        <v>607</v>
      </c>
      <c r="J2855" s="52" t="s">
        <v>607</v>
      </c>
      <c r="K2855" s="52" t="s">
        <v>607</v>
      </c>
      <c r="L2855" s="52" t="s">
        <v>607</v>
      </c>
      <c r="M2855" s="52" t="s">
        <v>607</v>
      </c>
      <c r="N2855" s="52" t="s">
        <v>607</v>
      </c>
      <c r="O2855" s="52"/>
      <c r="P2855" s="52"/>
      <c r="Q2855" s="52"/>
      <c r="R2855" s="51" t="b">
        <v>0</v>
      </c>
      <c r="S2855" s="51"/>
      <c r="T2855" s="52"/>
      <c r="U2855" s="51" t="b">
        <v>0</v>
      </c>
      <c r="V2855" s="51" t="b">
        <v>0</v>
      </c>
      <c r="W2855" s="51" t="b">
        <v>0</v>
      </c>
      <c r="X2855" s="51" t="b">
        <v>0</v>
      </c>
      <c r="Y2855" s="51" t="b">
        <v>0</v>
      </c>
      <c r="Z2855" s="51" t="b">
        <v>0</v>
      </c>
      <c r="AA2855" s="68"/>
      <c r="AB2855" s="52"/>
      <c r="AC2855" s="52"/>
      <c r="AD2855" s="52"/>
      <c r="AE2855" s="56" t="s">
        <v>607</v>
      </c>
      <c r="AF2855" s="56" t="s">
        <v>607</v>
      </c>
    </row>
    <row r="2856">
      <c r="A2856" s="52" t="s">
        <v>6533</v>
      </c>
      <c r="B2856" s="52" t="s">
        <v>607</v>
      </c>
      <c r="C2856" s="52" t="s">
        <v>607</v>
      </c>
      <c r="D2856" s="65" t="s">
        <v>607</v>
      </c>
      <c r="E2856" s="65" t="s">
        <v>607</v>
      </c>
      <c r="F2856" s="65" t="s">
        <v>607</v>
      </c>
      <c r="G2856" s="65" t="s">
        <v>607</v>
      </c>
      <c r="H2856" s="52" t="s">
        <v>607</v>
      </c>
      <c r="I2856" s="52" t="s">
        <v>607</v>
      </c>
      <c r="J2856" s="52" t="s">
        <v>607</v>
      </c>
      <c r="K2856" s="52" t="s">
        <v>607</v>
      </c>
      <c r="L2856" s="52" t="s">
        <v>607</v>
      </c>
      <c r="M2856" s="52" t="s">
        <v>607</v>
      </c>
      <c r="N2856" s="52" t="s">
        <v>607</v>
      </c>
      <c r="O2856" s="52"/>
      <c r="P2856" s="52"/>
      <c r="Q2856" s="52"/>
      <c r="R2856" s="51" t="b">
        <v>0</v>
      </c>
      <c r="S2856" s="51"/>
      <c r="T2856" s="52"/>
      <c r="U2856" s="51" t="b">
        <v>0</v>
      </c>
      <c r="V2856" s="51" t="b">
        <v>0</v>
      </c>
      <c r="W2856" s="51" t="b">
        <v>0</v>
      </c>
      <c r="X2856" s="51" t="b">
        <v>0</v>
      </c>
      <c r="Y2856" s="51" t="b">
        <v>0</v>
      </c>
      <c r="Z2856" s="51" t="b">
        <v>0</v>
      </c>
      <c r="AA2856" s="68"/>
      <c r="AB2856" s="52"/>
      <c r="AC2856" s="52"/>
      <c r="AD2856" s="52"/>
      <c r="AE2856" s="56" t="s">
        <v>607</v>
      </c>
      <c r="AF2856" s="56" t="s">
        <v>607</v>
      </c>
    </row>
    <row r="2857">
      <c r="A2857" s="52" t="s">
        <v>6535</v>
      </c>
      <c r="B2857" s="52" t="s">
        <v>607</v>
      </c>
      <c r="C2857" s="52" t="s">
        <v>607</v>
      </c>
      <c r="D2857" s="65" t="s">
        <v>607</v>
      </c>
      <c r="E2857" s="65" t="s">
        <v>607</v>
      </c>
      <c r="F2857" s="65" t="s">
        <v>607</v>
      </c>
      <c r="G2857" s="65" t="s">
        <v>607</v>
      </c>
      <c r="H2857" s="52" t="s">
        <v>607</v>
      </c>
      <c r="I2857" s="52" t="s">
        <v>607</v>
      </c>
      <c r="J2857" s="52" t="s">
        <v>607</v>
      </c>
      <c r="K2857" s="52" t="s">
        <v>607</v>
      </c>
      <c r="L2857" s="52" t="s">
        <v>607</v>
      </c>
      <c r="M2857" s="52" t="s">
        <v>607</v>
      </c>
      <c r="N2857" s="52" t="s">
        <v>607</v>
      </c>
      <c r="O2857" s="52"/>
      <c r="P2857" s="52"/>
      <c r="Q2857" s="52"/>
      <c r="R2857" s="51" t="b">
        <v>0</v>
      </c>
      <c r="S2857" s="51"/>
      <c r="T2857" s="52"/>
      <c r="U2857" s="51" t="b">
        <v>0</v>
      </c>
      <c r="V2857" s="51" t="b">
        <v>0</v>
      </c>
      <c r="W2857" s="51" t="b">
        <v>0</v>
      </c>
      <c r="X2857" s="51" t="b">
        <v>0</v>
      </c>
      <c r="Y2857" s="51" t="b">
        <v>0</v>
      </c>
      <c r="Z2857" s="51" t="b">
        <v>0</v>
      </c>
      <c r="AA2857" s="68"/>
      <c r="AB2857" s="52"/>
      <c r="AC2857" s="52"/>
      <c r="AD2857" s="52"/>
      <c r="AE2857" s="56" t="s">
        <v>607</v>
      </c>
      <c r="AF2857" s="56" t="s">
        <v>607</v>
      </c>
    </row>
    <row r="2858">
      <c r="A2858" s="52" t="s">
        <v>6536</v>
      </c>
      <c r="B2858" s="52" t="s">
        <v>607</v>
      </c>
      <c r="C2858" s="52" t="s">
        <v>607</v>
      </c>
      <c r="D2858" s="65" t="s">
        <v>607</v>
      </c>
      <c r="E2858" s="65" t="s">
        <v>607</v>
      </c>
      <c r="F2858" s="65" t="s">
        <v>607</v>
      </c>
      <c r="G2858" s="65" t="s">
        <v>607</v>
      </c>
      <c r="H2858" s="52" t="s">
        <v>607</v>
      </c>
      <c r="I2858" s="52" t="s">
        <v>607</v>
      </c>
      <c r="J2858" s="52" t="s">
        <v>607</v>
      </c>
      <c r="K2858" s="52" t="s">
        <v>607</v>
      </c>
      <c r="L2858" s="52" t="s">
        <v>607</v>
      </c>
      <c r="M2858" s="52" t="s">
        <v>607</v>
      </c>
      <c r="N2858" s="52" t="s">
        <v>607</v>
      </c>
      <c r="O2858" s="52"/>
      <c r="P2858" s="52"/>
      <c r="Q2858" s="52"/>
      <c r="R2858" s="51" t="b">
        <v>0</v>
      </c>
      <c r="S2858" s="51"/>
      <c r="T2858" s="52"/>
      <c r="U2858" s="51" t="b">
        <v>0</v>
      </c>
      <c r="V2858" s="51" t="b">
        <v>0</v>
      </c>
      <c r="W2858" s="51" t="b">
        <v>0</v>
      </c>
      <c r="X2858" s="51" t="b">
        <v>0</v>
      </c>
      <c r="Y2858" s="51" t="b">
        <v>0</v>
      </c>
      <c r="Z2858" s="51" t="b">
        <v>0</v>
      </c>
      <c r="AA2858" s="68"/>
      <c r="AB2858" s="52"/>
      <c r="AC2858" s="52"/>
      <c r="AD2858" s="52"/>
      <c r="AE2858" s="56" t="s">
        <v>607</v>
      </c>
      <c r="AF2858" s="56" t="s">
        <v>607</v>
      </c>
    </row>
    <row r="2859">
      <c r="A2859" s="52" t="s">
        <v>6537</v>
      </c>
      <c r="B2859" s="52" t="s">
        <v>607</v>
      </c>
      <c r="C2859" s="52" t="s">
        <v>607</v>
      </c>
      <c r="D2859" s="65" t="s">
        <v>607</v>
      </c>
      <c r="E2859" s="65" t="s">
        <v>607</v>
      </c>
      <c r="F2859" s="65" t="s">
        <v>607</v>
      </c>
      <c r="G2859" s="65" t="s">
        <v>607</v>
      </c>
      <c r="H2859" s="52" t="s">
        <v>607</v>
      </c>
      <c r="I2859" s="52" t="s">
        <v>607</v>
      </c>
      <c r="J2859" s="52" t="s">
        <v>607</v>
      </c>
      <c r="K2859" s="52" t="s">
        <v>607</v>
      </c>
      <c r="L2859" s="52" t="s">
        <v>607</v>
      </c>
      <c r="M2859" s="52" t="s">
        <v>607</v>
      </c>
      <c r="N2859" s="52" t="s">
        <v>607</v>
      </c>
      <c r="O2859" s="52"/>
      <c r="P2859" s="52"/>
      <c r="Q2859" s="52"/>
      <c r="R2859" s="51" t="b">
        <v>0</v>
      </c>
      <c r="S2859" s="51"/>
      <c r="T2859" s="52"/>
      <c r="U2859" s="51" t="b">
        <v>0</v>
      </c>
      <c r="V2859" s="51" t="b">
        <v>0</v>
      </c>
      <c r="W2859" s="51" t="b">
        <v>0</v>
      </c>
      <c r="X2859" s="51" t="b">
        <v>0</v>
      </c>
      <c r="Y2859" s="51" t="b">
        <v>0</v>
      </c>
      <c r="Z2859" s="51" t="b">
        <v>0</v>
      </c>
      <c r="AA2859" s="68"/>
      <c r="AB2859" s="52"/>
      <c r="AC2859" s="52"/>
      <c r="AD2859" s="52"/>
      <c r="AE2859" s="56" t="s">
        <v>607</v>
      </c>
      <c r="AF2859" s="56" t="s">
        <v>607</v>
      </c>
    </row>
    <row r="2860">
      <c r="A2860" s="52" t="s">
        <v>6538</v>
      </c>
      <c r="B2860" s="52" t="s">
        <v>607</v>
      </c>
      <c r="C2860" s="52" t="s">
        <v>607</v>
      </c>
      <c r="D2860" s="65" t="s">
        <v>607</v>
      </c>
      <c r="E2860" s="65" t="s">
        <v>607</v>
      </c>
      <c r="F2860" s="65" t="s">
        <v>607</v>
      </c>
      <c r="G2860" s="65" t="s">
        <v>607</v>
      </c>
      <c r="H2860" s="52" t="s">
        <v>607</v>
      </c>
      <c r="I2860" s="52" t="s">
        <v>607</v>
      </c>
      <c r="J2860" s="52" t="s">
        <v>607</v>
      </c>
      <c r="K2860" s="52" t="s">
        <v>607</v>
      </c>
      <c r="L2860" s="52" t="s">
        <v>607</v>
      </c>
      <c r="M2860" s="52" t="s">
        <v>607</v>
      </c>
      <c r="N2860" s="52" t="s">
        <v>607</v>
      </c>
      <c r="O2860" s="52"/>
      <c r="P2860" s="52"/>
      <c r="Q2860" s="52"/>
      <c r="R2860" s="51" t="b">
        <v>0</v>
      </c>
      <c r="S2860" s="51"/>
      <c r="T2860" s="52"/>
      <c r="U2860" s="51" t="b">
        <v>0</v>
      </c>
      <c r="V2860" s="51" t="b">
        <v>0</v>
      </c>
      <c r="W2860" s="51" t="b">
        <v>0</v>
      </c>
      <c r="X2860" s="51" t="b">
        <v>0</v>
      </c>
      <c r="Y2860" s="51" t="b">
        <v>0</v>
      </c>
      <c r="Z2860" s="51" t="b">
        <v>0</v>
      </c>
      <c r="AA2860" s="68"/>
      <c r="AB2860" s="52"/>
      <c r="AC2860" s="52"/>
      <c r="AD2860" s="52"/>
      <c r="AE2860" s="56" t="s">
        <v>607</v>
      </c>
      <c r="AF2860" s="56" t="s">
        <v>607</v>
      </c>
    </row>
    <row r="2861">
      <c r="A2861" s="52" t="s">
        <v>6541</v>
      </c>
      <c r="B2861" s="52" t="s">
        <v>607</v>
      </c>
      <c r="C2861" s="52" t="s">
        <v>607</v>
      </c>
      <c r="D2861" s="65" t="s">
        <v>607</v>
      </c>
      <c r="E2861" s="65" t="s">
        <v>607</v>
      </c>
      <c r="F2861" s="65" t="s">
        <v>607</v>
      </c>
      <c r="G2861" s="65" t="s">
        <v>607</v>
      </c>
      <c r="H2861" s="52" t="s">
        <v>607</v>
      </c>
      <c r="I2861" s="52" t="s">
        <v>607</v>
      </c>
      <c r="J2861" s="52" t="s">
        <v>607</v>
      </c>
      <c r="K2861" s="52" t="s">
        <v>607</v>
      </c>
      <c r="L2861" s="52" t="s">
        <v>607</v>
      </c>
      <c r="M2861" s="52" t="s">
        <v>607</v>
      </c>
      <c r="N2861" s="52" t="s">
        <v>607</v>
      </c>
      <c r="O2861" s="52"/>
      <c r="P2861" s="52"/>
      <c r="Q2861" s="52"/>
      <c r="R2861" s="51" t="b">
        <v>0</v>
      </c>
      <c r="S2861" s="51"/>
      <c r="T2861" s="52"/>
      <c r="U2861" s="51" t="b">
        <v>0</v>
      </c>
      <c r="V2861" s="51" t="b">
        <v>0</v>
      </c>
      <c r="W2861" s="51" t="b">
        <v>0</v>
      </c>
      <c r="X2861" s="51" t="b">
        <v>0</v>
      </c>
      <c r="Y2861" s="51" t="b">
        <v>0</v>
      </c>
      <c r="Z2861" s="51" t="b">
        <v>0</v>
      </c>
      <c r="AA2861" s="68"/>
      <c r="AB2861" s="52"/>
      <c r="AC2861" s="52"/>
      <c r="AD2861" s="52"/>
      <c r="AE2861" s="56" t="s">
        <v>607</v>
      </c>
      <c r="AF2861" s="56" t="s">
        <v>607</v>
      </c>
    </row>
    <row r="2862">
      <c r="A2862" s="52" t="s">
        <v>6542</v>
      </c>
      <c r="B2862" s="52" t="s">
        <v>607</v>
      </c>
      <c r="C2862" s="52" t="s">
        <v>607</v>
      </c>
      <c r="D2862" s="65" t="s">
        <v>607</v>
      </c>
      <c r="E2862" s="65" t="s">
        <v>607</v>
      </c>
      <c r="F2862" s="65" t="s">
        <v>607</v>
      </c>
      <c r="G2862" s="65" t="s">
        <v>607</v>
      </c>
      <c r="H2862" s="52" t="s">
        <v>607</v>
      </c>
      <c r="I2862" s="52" t="s">
        <v>607</v>
      </c>
      <c r="J2862" s="52" t="s">
        <v>607</v>
      </c>
      <c r="K2862" s="52" t="s">
        <v>607</v>
      </c>
      <c r="L2862" s="52" t="s">
        <v>607</v>
      </c>
      <c r="M2862" s="52" t="s">
        <v>607</v>
      </c>
      <c r="N2862" s="52" t="s">
        <v>607</v>
      </c>
      <c r="O2862" s="52"/>
      <c r="P2862" s="52"/>
      <c r="Q2862" s="52"/>
      <c r="R2862" s="51" t="b">
        <v>0</v>
      </c>
      <c r="S2862" s="51"/>
      <c r="T2862" s="52"/>
      <c r="U2862" s="51" t="b">
        <v>0</v>
      </c>
      <c r="V2862" s="51" t="b">
        <v>0</v>
      </c>
      <c r="W2862" s="51" t="b">
        <v>0</v>
      </c>
      <c r="X2862" s="51" t="b">
        <v>0</v>
      </c>
      <c r="Y2862" s="51" t="b">
        <v>0</v>
      </c>
      <c r="Z2862" s="51" t="b">
        <v>0</v>
      </c>
      <c r="AA2862" s="68"/>
      <c r="AB2862" s="52"/>
      <c r="AC2862" s="52"/>
      <c r="AD2862" s="52"/>
      <c r="AE2862" s="56" t="s">
        <v>607</v>
      </c>
      <c r="AF2862" s="56" t="s">
        <v>607</v>
      </c>
    </row>
    <row r="2863">
      <c r="A2863" s="52" t="s">
        <v>6545</v>
      </c>
      <c r="B2863" s="52" t="s">
        <v>607</v>
      </c>
      <c r="C2863" s="52" t="s">
        <v>607</v>
      </c>
      <c r="D2863" s="65" t="s">
        <v>607</v>
      </c>
      <c r="E2863" s="65" t="s">
        <v>607</v>
      </c>
      <c r="F2863" s="65" t="s">
        <v>607</v>
      </c>
      <c r="G2863" s="65" t="s">
        <v>607</v>
      </c>
      <c r="H2863" s="52" t="s">
        <v>607</v>
      </c>
      <c r="I2863" s="52" t="s">
        <v>607</v>
      </c>
      <c r="J2863" s="52" t="s">
        <v>607</v>
      </c>
      <c r="K2863" s="52" t="s">
        <v>607</v>
      </c>
      <c r="L2863" s="52" t="s">
        <v>607</v>
      </c>
      <c r="M2863" s="52" t="s">
        <v>607</v>
      </c>
      <c r="N2863" s="52" t="s">
        <v>607</v>
      </c>
      <c r="O2863" s="52"/>
      <c r="P2863" s="52"/>
      <c r="Q2863" s="52"/>
      <c r="R2863" s="51" t="b">
        <v>0</v>
      </c>
      <c r="S2863" s="51"/>
      <c r="T2863" s="52"/>
      <c r="U2863" s="51" t="b">
        <v>0</v>
      </c>
      <c r="V2863" s="51" t="b">
        <v>0</v>
      </c>
      <c r="W2863" s="51" t="b">
        <v>0</v>
      </c>
      <c r="X2863" s="51" t="b">
        <v>0</v>
      </c>
      <c r="Y2863" s="51" t="b">
        <v>0</v>
      </c>
      <c r="Z2863" s="51" t="b">
        <v>0</v>
      </c>
      <c r="AA2863" s="68"/>
      <c r="AB2863" s="52"/>
      <c r="AC2863" s="52"/>
      <c r="AD2863" s="52"/>
      <c r="AE2863" s="56" t="s">
        <v>607</v>
      </c>
      <c r="AF2863" s="56" t="s">
        <v>607</v>
      </c>
    </row>
    <row r="2864">
      <c r="A2864" s="52" t="s">
        <v>6546</v>
      </c>
      <c r="B2864" s="52" t="s">
        <v>607</v>
      </c>
      <c r="C2864" s="52" t="s">
        <v>607</v>
      </c>
      <c r="D2864" s="65" t="s">
        <v>607</v>
      </c>
      <c r="E2864" s="65" t="s">
        <v>607</v>
      </c>
      <c r="F2864" s="65" t="s">
        <v>607</v>
      </c>
      <c r="G2864" s="65" t="s">
        <v>607</v>
      </c>
      <c r="H2864" s="52" t="s">
        <v>607</v>
      </c>
      <c r="I2864" s="52" t="s">
        <v>607</v>
      </c>
      <c r="J2864" s="52" t="s">
        <v>607</v>
      </c>
      <c r="K2864" s="52" t="s">
        <v>607</v>
      </c>
      <c r="L2864" s="52" t="s">
        <v>607</v>
      </c>
      <c r="M2864" s="52" t="s">
        <v>607</v>
      </c>
      <c r="N2864" s="52" t="s">
        <v>607</v>
      </c>
      <c r="O2864" s="52"/>
      <c r="P2864" s="52"/>
      <c r="Q2864" s="52"/>
      <c r="R2864" s="51" t="b">
        <v>0</v>
      </c>
      <c r="S2864" s="51"/>
      <c r="T2864" s="52"/>
      <c r="U2864" s="51" t="b">
        <v>0</v>
      </c>
      <c r="V2864" s="51" t="b">
        <v>0</v>
      </c>
      <c r="W2864" s="51" t="b">
        <v>0</v>
      </c>
      <c r="X2864" s="51" t="b">
        <v>0</v>
      </c>
      <c r="Y2864" s="51" t="b">
        <v>0</v>
      </c>
      <c r="Z2864" s="51" t="b">
        <v>0</v>
      </c>
      <c r="AA2864" s="68"/>
      <c r="AB2864" s="52"/>
      <c r="AC2864" s="52"/>
      <c r="AD2864" s="52"/>
      <c r="AE2864" s="56" t="s">
        <v>607</v>
      </c>
      <c r="AF2864" s="56" t="s">
        <v>607</v>
      </c>
    </row>
    <row r="2865">
      <c r="A2865" s="52" t="s">
        <v>6547</v>
      </c>
      <c r="B2865" s="52" t="s">
        <v>607</v>
      </c>
      <c r="C2865" s="52" t="s">
        <v>607</v>
      </c>
      <c r="D2865" s="65" t="s">
        <v>607</v>
      </c>
      <c r="E2865" s="65" t="s">
        <v>607</v>
      </c>
      <c r="F2865" s="65" t="s">
        <v>607</v>
      </c>
      <c r="G2865" s="65" t="s">
        <v>607</v>
      </c>
      <c r="H2865" s="52" t="s">
        <v>607</v>
      </c>
      <c r="I2865" s="52" t="s">
        <v>607</v>
      </c>
      <c r="J2865" s="52" t="s">
        <v>607</v>
      </c>
      <c r="K2865" s="52" t="s">
        <v>607</v>
      </c>
      <c r="L2865" s="52" t="s">
        <v>607</v>
      </c>
      <c r="M2865" s="52" t="s">
        <v>607</v>
      </c>
      <c r="N2865" s="52" t="s">
        <v>607</v>
      </c>
      <c r="O2865" s="52"/>
      <c r="P2865" s="52"/>
      <c r="Q2865" s="52"/>
      <c r="R2865" s="51" t="b">
        <v>0</v>
      </c>
      <c r="S2865" s="51"/>
      <c r="T2865" s="52"/>
      <c r="U2865" s="51" t="b">
        <v>0</v>
      </c>
      <c r="V2865" s="51" t="b">
        <v>0</v>
      </c>
      <c r="W2865" s="51" t="b">
        <v>0</v>
      </c>
      <c r="X2865" s="51" t="b">
        <v>0</v>
      </c>
      <c r="Y2865" s="51" t="b">
        <v>0</v>
      </c>
      <c r="Z2865" s="51" t="b">
        <v>0</v>
      </c>
      <c r="AA2865" s="68"/>
      <c r="AB2865" s="52"/>
      <c r="AC2865" s="52"/>
      <c r="AD2865" s="52"/>
      <c r="AE2865" s="56" t="s">
        <v>607</v>
      </c>
      <c r="AF2865" s="56" t="s">
        <v>607</v>
      </c>
    </row>
    <row r="2866">
      <c r="A2866" s="52" t="s">
        <v>6549</v>
      </c>
      <c r="B2866" s="52" t="s">
        <v>607</v>
      </c>
      <c r="C2866" s="52" t="s">
        <v>607</v>
      </c>
      <c r="D2866" s="65" t="s">
        <v>607</v>
      </c>
      <c r="E2866" s="65" t="s">
        <v>607</v>
      </c>
      <c r="F2866" s="65" t="s">
        <v>607</v>
      </c>
      <c r="G2866" s="65" t="s">
        <v>607</v>
      </c>
      <c r="H2866" s="52" t="s">
        <v>607</v>
      </c>
      <c r="I2866" s="52" t="s">
        <v>607</v>
      </c>
      <c r="J2866" s="52" t="s">
        <v>607</v>
      </c>
      <c r="K2866" s="52" t="s">
        <v>607</v>
      </c>
      <c r="L2866" s="52" t="s">
        <v>607</v>
      </c>
      <c r="M2866" s="52" t="s">
        <v>607</v>
      </c>
      <c r="N2866" s="52" t="s">
        <v>607</v>
      </c>
      <c r="O2866" s="52"/>
      <c r="P2866" s="52"/>
      <c r="Q2866" s="52"/>
      <c r="R2866" s="51" t="b">
        <v>0</v>
      </c>
      <c r="S2866" s="51"/>
      <c r="T2866" s="52"/>
      <c r="U2866" s="51" t="b">
        <v>0</v>
      </c>
      <c r="V2866" s="51" t="b">
        <v>0</v>
      </c>
      <c r="W2866" s="51" t="b">
        <v>0</v>
      </c>
      <c r="X2866" s="51" t="b">
        <v>0</v>
      </c>
      <c r="Y2866" s="51" t="b">
        <v>0</v>
      </c>
      <c r="Z2866" s="51" t="b">
        <v>0</v>
      </c>
      <c r="AA2866" s="68"/>
      <c r="AB2866" s="52"/>
      <c r="AC2866" s="52"/>
      <c r="AD2866" s="52"/>
      <c r="AE2866" s="56" t="s">
        <v>607</v>
      </c>
      <c r="AF2866" s="56" t="s">
        <v>607</v>
      </c>
    </row>
    <row r="2867">
      <c r="A2867" s="52" t="s">
        <v>6550</v>
      </c>
      <c r="B2867" s="52" t="s">
        <v>607</v>
      </c>
      <c r="C2867" s="52" t="s">
        <v>607</v>
      </c>
      <c r="D2867" s="65" t="s">
        <v>607</v>
      </c>
      <c r="E2867" s="65" t="s">
        <v>607</v>
      </c>
      <c r="F2867" s="65" t="s">
        <v>607</v>
      </c>
      <c r="G2867" s="65" t="s">
        <v>607</v>
      </c>
      <c r="H2867" s="52" t="s">
        <v>607</v>
      </c>
      <c r="I2867" s="52" t="s">
        <v>607</v>
      </c>
      <c r="J2867" s="52" t="s">
        <v>607</v>
      </c>
      <c r="K2867" s="52" t="s">
        <v>607</v>
      </c>
      <c r="L2867" s="52" t="s">
        <v>607</v>
      </c>
      <c r="M2867" s="52" t="s">
        <v>607</v>
      </c>
      <c r="N2867" s="52" t="s">
        <v>607</v>
      </c>
      <c r="O2867" s="52"/>
      <c r="P2867" s="52"/>
      <c r="Q2867" s="52"/>
      <c r="R2867" s="51" t="b">
        <v>0</v>
      </c>
      <c r="S2867" s="51"/>
      <c r="T2867" s="52"/>
      <c r="U2867" s="51" t="b">
        <v>0</v>
      </c>
      <c r="V2867" s="51" t="b">
        <v>0</v>
      </c>
      <c r="W2867" s="51" t="b">
        <v>0</v>
      </c>
      <c r="X2867" s="51" t="b">
        <v>0</v>
      </c>
      <c r="Y2867" s="51" t="b">
        <v>0</v>
      </c>
      <c r="Z2867" s="51" t="b">
        <v>0</v>
      </c>
      <c r="AA2867" s="68"/>
      <c r="AB2867" s="52"/>
      <c r="AC2867" s="52"/>
      <c r="AD2867" s="52"/>
      <c r="AE2867" s="56" t="s">
        <v>607</v>
      </c>
      <c r="AF2867" s="56" t="s">
        <v>607</v>
      </c>
    </row>
    <row r="2868">
      <c r="A2868" s="52" t="s">
        <v>6552</v>
      </c>
      <c r="B2868" s="52" t="s">
        <v>607</v>
      </c>
      <c r="C2868" s="52" t="s">
        <v>607</v>
      </c>
      <c r="D2868" s="65" t="s">
        <v>607</v>
      </c>
      <c r="E2868" s="65" t="s">
        <v>607</v>
      </c>
      <c r="F2868" s="65" t="s">
        <v>607</v>
      </c>
      <c r="G2868" s="65" t="s">
        <v>607</v>
      </c>
      <c r="H2868" s="52" t="s">
        <v>607</v>
      </c>
      <c r="I2868" s="52" t="s">
        <v>607</v>
      </c>
      <c r="J2868" s="52" t="s">
        <v>607</v>
      </c>
      <c r="K2868" s="52" t="s">
        <v>607</v>
      </c>
      <c r="L2868" s="52" t="s">
        <v>607</v>
      </c>
      <c r="M2868" s="52" t="s">
        <v>607</v>
      </c>
      <c r="N2868" s="52" t="s">
        <v>607</v>
      </c>
      <c r="O2868" s="52"/>
      <c r="P2868" s="52"/>
      <c r="Q2868" s="52"/>
      <c r="R2868" s="51" t="b">
        <v>0</v>
      </c>
      <c r="S2868" s="51"/>
      <c r="T2868" s="52"/>
      <c r="U2868" s="51" t="b">
        <v>0</v>
      </c>
      <c r="V2868" s="51" t="b">
        <v>0</v>
      </c>
      <c r="W2868" s="51" t="b">
        <v>0</v>
      </c>
      <c r="X2868" s="51" t="b">
        <v>0</v>
      </c>
      <c r="Y2868" s="51" t="b">
        <v>0</v>
      </c>
      <c r="Z2868" s="51" t="b">
        <v>0</v>
      </c>
      <c r="AA2868" s="68"/>
      <c r="AB2868" s="52"/>
      <c r="AC2868" s="52"/>
      <c r="AD2868" s="52"/>
      <c r="AE2868" s="56" t="s">
        <v>607</v>
      </c>
      <c r="AF2868" s="56" t="s">
        <v>607</v>
      </c>
    </row>
    <row r="2869">
      <c r="A2869" s="52" t="s">
        <v>6553</v>
      </c>
      <c r="B2869" s="52" t="s">
        <v>607</v>
      </c>
      <c r="C2869" s="52" t="s">
        <v>607</v>
      </c>
      <c r="D2869" s="65" t="s">
        <v>607</v>
      </c>
      <c r="E2869" s="65" t="s">
        <v>607</v>
      </c>
      <c r="F2869" s="65" t="s">
        <v>607</v>
      </c>
      <c r="G2869" s="65" t="s">
        <v>607</v>
      </c>
      <c r="H2869" s="52" t="s">
        <v>607</v>
      </c>
      <c r="I2869" s="52" t="s">
        <v>607</v>
      </c>
      <c r="J2869" s="52" t="s">
        <v>607</v>
      </c>
      <c r="K2869" s="52" t="s">
        <v>607</v>
      </c>
      <c r="L2869" s="52" t="s">
        <v>607</v>
      </c>
      <c r="M2869" s="52" t="s">
        <v>607</v>
      </c>
      <c r="N2869" s="52" t="s">
        <v>607</v>
      </c>
      <c r="O2869" s="52"/>
      <c r="P2869" s="52"/>
      <c r="Q2869" s="52"/>
      <c r="R2869" s="51" t="b">
        <v>0</v>
      </c>
      <c r="S2869" s="51"/>
      <c r="T2869" s="52"/>
      <c r="U2869" s="51" t="b">
        <v>0</v>
      </c>
      <c r="V2869" s="51" t="b">
        <v>0</v>
      </c>
      <c r="W2869" s="51" t="b">
        <v>0</v>
      </c>
      <c r="X2869" s="51" t="b">
        <v>0</v>
      </c>
      <c r="Y2869" s="51" t="b">
        <v>0</v>
      </c>
      <c r="Z2869" s="51" t="b">
        <v>0</v>
      </c>
      <c r="AA2869" s="68"/>
      <c r="AB2869" s="52"/>
      <c r="AC2869" s="52"/>
      <c r="AD2869" s="52"/>
      <c r="AE2869" s="56" t="s">
        <v>607</v>
      </c>
      <c r="AF2869" s="56" t="s">
        <v>607</v>
      </c>
    </row>
    <row r="2870">
      <c r="A2870" s="52" t="s">
        <v>6554</v>
      </c>
      <c r="B2870" s="52" t="s">
        <v>607</v>
      </c>
      <c r="C2870" s="52" t="s">
        <v>607</v>
      </c>
      <c r="D2870" s="65" t="s">
        <v>607</v>
      </c>
      <c r="E2870" s="65" t="s">
        <v>607</v>
      </c>
      <c r="F2870" s="65" t="s">
        <v>607</v>
      </c>
      <c r="G2870" s="65" t="s">
        <v>607</v>
      </c>
      <c r="H2870" s="52" t="s">
        <v>607</v>
      </c>
      <c r="I2870" s="52" t="s">
        <v>607</v>
      </c>
      <c r="J2870" s="52" t="s">
        <v>607</v>
      </c>
      <c r="K2870" s="52" t="s">
        <v>607</v>
      </c>
      <c r="L2870" s="52" t="s">
        <v>607</v>
      </c>
      <c r="M2870" s="52" t="s">
        <v>607</v>
      </c>
      <c r="N2870" s="52" t="s">
        <v>607</v>
      </c>
      <c r="O2870" s="52"/>
      <c r="P2870" s="52"/>
      <c r="Q2870" s="52"/>
      <c r="R2870" s="51" t="b">
        <v>0</v>
      </c>
      <c r="S2870" s="51"/>
      <c r="T2870" s="52"/>
      <c r="U2870" s="51" t="b">
        <v>0</v>
      </c>
      <c r="V2870" s="51" t="b">
        <v>0</v>
      </c>
      <c r="W2870" s="51" t="b">
        <v>0</v>
      </c>
      <c r="X2870" s="51" t="b">
        <v>0</v>
      </c>
      <c r="Y2870" s="51" t="b">
        <v>0</v>
      </c>
      <c r="Z2870" s="51" t="b">
        <v>0</v>
      </c>
      <c r="AA2870" s="68"/>
      <c r="AB2870" s="52"/>
      <c r="AC2870" s="52"/>
      <c r="AD2870" s="52"/>
      <c r="AE2870" s="56" t="s">
        <v>607</v>
      </c>
      <c r="AF2870" s="56" t="s">
        <v>607</v>
      </c>
    </row>
    <row r="2871">
      <c r="A2871" s="52" t="s">
        <v>6555</v>
      </c>
      <c r="B2871" s="52" t="s">
        <v>607</v>
      </c>
      <c r="C2871" s="52" t="s">
        <v>607</v>
      </c>
      <c r="D2871" s="65" t="s">
        <v>607</v>
      </c>
      <c r="E2871" s="65" t="s">
        <v>607</v>
      </c>
      <c r="F2871" s="65" t="s">
        <v>607</v>
      </c>
      <c r="G2871" s="65" t="s">
        <v>607</v>
      </c>
      <c r="H2871" s="52" t="s">
        <v>607</v>
      </c>
      <c r="I2871" s="52" t="s">
        <v>607</v>
      </c>
      <c r="J2871" s="52" t="s">
        <v>607</v>
      </c>
      <c r="K2871" s="52" t="s">
        <v>607</v>
      </c>
      <c r="L2871" s="52" t="s">
        <v>607</v>
      </c>
      <c r="M2871" s="52" t="s">
        <v>607</v>
      </c>
      <c r="N2871" s="52" t="s">
        <v>607</v>
      </c>
      <c r="O2871" s="52"/>
      <c r="P2871" s="52"/>
      <c r="Q2871" s="52"/>
      <c r="R2871" s="51" t="b">
        <v>0</v>
      </c>
      <c r="S2871" s="51"/>
      <c r="T2871" s="52"/>
      <c r="U2871" s="51" t="b">
        <v>0</v>
      </c>
      <c r="V2871" s="51" t="b">
        <v>0</v>
      </c>
      <c r="W2871" s="51" t="b">
        <v>0</v>
      </c>
      <c r="X2871" s="51" t="b">
        <v>0</v>
      </c>
      <c r="Y2871" s="51" t="b">
        <v>0</v>
      </c>
      <c r="Z2871" s="51" t="b">
        <v>0</v>
      </c>
      <c r="AA2871" s="68"/>
      <c r="AB2871" s="52"/>
      <c r="AC2871" s="52"/>
      <c r="AD2871" s="52"/>
      <c r="AE2871" s="56" t="s">
        <v>607</v>
      </c>
      <c r="AF2871" s="56" t="s">
        <v>607</v>
      </c>
    </row>
    <row r="2872">
      <c r="A2872" s="52" t="s">
        <v>6556</v>
      </c>
      <c r="B2872" s="52" t="s">
        <v>607</v>
      </c>
      <c r="C2872" s="52" t="s">
        <v>607</v>
      </c>
      <c r="D2872" s="65" t="s">
        <v>607</v>
      </c>
      <c r="E2872" s="65" t="s">
        <v>607</v>
      </c>
      <c r="F2872" s="65" t="s">
        <v>607</v>
      </c>
      <c r="G2872" s="65" t="s">
        <v>607</v>
      </c>
      <c r="H2872" s="52" t="s">
        <v>607</v>
      </c>
      <c r="I2872" s="52" t="s">
        <v>607</v>
      </c>
      <c r="J2872" s="52" t="s">
        <v>607</v>
      </c>
      <c r="K2872" s="52" t="s">
        <v>607</v>
      </c>
      <c r="L2872" s="52" t="s">
        <v>607</v>
      </c>
      <c r="M2872" s="52" t="s">
        <v>607</v>
      </c>
      <c r="N2872" s="52" t="s">
        <v>607</v>
      </c>
      <c r="O2872" s="52"/>
      <c r="P2872" s="52"/>
      <c r="Q2872" s="52"/>
      <c r="R2872" s="51" t="b">
        <v>0</v>
      </c>
      <c r="S2872" s="51"/>
      <c r="T2872" s="52"/>
      <c r="U2872" s="51" t="b">
        <v>0</v>
      </c>
      <c r="V2872" s="51" t="b">
        <v>0</v>
      </c>
      <c r="W2872" s="51" t="b">
        <v>0</v>
      </c>
      <c r="X2872" s="51" t="b">
        <v>0</v>
      </c>
      <c r="Y2872" s="51" t="b">
        <v>0</v>
      </c>
      <c r="Z2872" s="51" t="b">
        <v>0</v>
      </c>
      <c r="AA2872" s="68"/>
      <c r="AB2872" s="52"/>
      <c r="AC2872" s="52"/>
      <c r="AD2872" s="52"/>
      <c r="AE2872" s="56" t="s">
        <v>607</v>
      </c>
      <c r="AF2872" s="56" t="s">
        <v>607</v>
      </c>
    </row>
    <row r="2873">
      <c r="A2873" s="52" t="s">
        <v>6557</v>
      </c>
      <c r="B2873" s="52" t="s">
        <v>607</v>
      </c>
      <c r="C2873" s="52" t="s">
        <v>607</v>
      </c>
      <c r="D2873" s="65" t="s">
        <v>607</v>
      </c>
      <c r="E2873" s="65" t="s">
        <v>607</v>
      </c>
      <c r="F2873" s="65" t="s">
        <v>607</v>
      </c>
      <c r="G2873" s="65" t="s">
        <v>607</v>
      </c>
      <c r="H2873" s="52" t="s">
        <v>607</v>
      </c>
      <c r="I2873" s="52" t="s">
        <v>607</v>
      </c>
      <c r="J2873" s="52" t="s">
        <v>607</v>
      </c>
      <c r="K2873" s="52" t="s">
        <v>607</v>
      </c>
      <c r="L2873" s="52" t="s">
        <v>607</v>
      </c>
      <c r="M2873" s="52" t="s">
        <v>607</v>
      </c>
      <c r="N2873" s="52" t="s">
        <v>607</v>
      </c>
      <c r="O2873" s="52"/>
      <c r="P2873" s="52"/>
      <c r="Q2873" s="52"/>
      <c r="R2873" s="51" t="b">
        <v>0</v>
      </c>
      <c r="S2873" s="51"/>
      <c r="T2873" s="52"/>
      <c r="U2873" s="51" t="b">
        <v>0</v>
      </c>
      <c r="V2873" s="51" t="b">
        <v>0</v>
      </c>
      <c r="W2873" s="51" t="b">
        <v>0</v>
      </c>
      <c r="X2873" s="51" t="b">
        <v>0</v>
      </c>
      <c r="Y2873" s="51" t="b">
        <v>0</v>
      </c>
      <c r="Z2873" s="51" t="b">
        <v>0</v>
      </c>
      <c r="AA2873" s="68"/>
      <c r="AB2873" s="52"/>
      <c r="AC2873" s="52"/>
      <c r="AD2873" s="52"/>
      <c r="AE2873" s="56" t="s">
        <v>607</v>
      </c>
      <c r="AF2873" s="56" t="s">
        <v>607</v>
      </c>
    </row>
    <row r="2874">
      <c r="A2874" s="52" t="s">
        <v>6559</v>
      </c>
      <c r="B2874" s="52" t="s">
        <v>607</v>
      </c>
      <c r="C2874" s="52" t="s">
        <v>607</v>
      </c>
      <c r="D2874" s="65" t="s">
        <v>607</v>
      </c>
      <c r="E2874" s="65" t="s">
        <v>607</v>
      </c>
      <c r="F2874" s="65" t="s">
        <v>607</v>
      </c>
      <c r="G2874" s="65" t="s">
        <v>607</v>
      </c>
      <c r="H2874" s="52" t="s">
        <v>607</v>
      </c>
      <c r="I2874" s="52" t="s">
        <v>607</v>
      </c>
      <c r="J2874" s="52" t="s">
        <v>607</v>
      </c>
      <c r="K2874" s="52" t="s">
        <v>607</v>
      </c>
      <c r="L2874" s="52" t="s">
        <v>607</v>
      </c>
      <c r="M2874" s="52" t="s">
        <v>607</v>
      </c>
      <c r="N2874" s="52" t="s">
        <v>607</v>
      </c>
      <c r="O2874" s="52"/>
      <c r="P2874" s="52"/>
      <c r="Q2874" s="52"/>
      <c r="R2874" s="51" t="b">
        <v>0</v>
      </c>
      <c r="S2874" s="51"/>
      <c r="T2874" s="52"/>
      <c r="U2874" s="51" t="b">
        <v>0</v>
      </c>
      <c r="V2874" s="51" t="b">
        <v>0</v>
      </c>
      <c r="W2874" s="51" t="b">
        <v>0</v>
      </c>
      <c r="X2874" s="51" t="b">
        <v>0</v>
      </c>
      <c r="Y2874" s="51" t="b">
        <v>0</v>
      </c>
      <c r="Z2874" s="51" t="b">
        <v>0</v>
      </c>
      <c r="AA2874" s="68"/>
      <c r="AB2874" s="52"/>
      <c r="AC2874" s="52"/>
      <c r="AD2874" s="52"/>
      <c r="AE2874" s="56" t="s">
        <v>607</v>
      </c>
      <c r="AF2874" s="56" t="s">
        <v>607</v>
      </c>
    </row>
    <row r="2875">
      <c r="A2875" s="52" t="s">
        <v>6560</v>
      </c>
      <c r="B2875" s="52" t="s">
        <v>607</v>
      </c>
      <c r="C2875" s="52" t="s">
        <v>607</v>
      </c>
      <c r="D2875" s="65" t="s">
        <v>607</v>
      </c>
      <c r="E2875" s="65" t="s">
        <v>607</v>
      </c>
      <c r="F2875" s="65" t="s">
        <v>607</v>
      </c>
      <c r="G2875" s="65" t="s">
        <v>607</v>
      </c>
      <c r="H2875" s="52" t="s">
        <v>607</v>
      </c>
      <c r="I2875" s="52" t="s">
        <v>607</v>
      </c>
      <c r="J2875" s="52" t="s">
        <v>607</v>
      </c>
      <c r="K2875" s="52" t="s">
        <v>607</v>
      </c>
      <c r="L2875" s="52" t="s">
        <v>607</v>
      </c>
      <c r="M2875" s="52" t="s">
        <v>607</v>
      </c>
      <c r="N2875" s="52" t="s">
        <v>607</v>
      </c>
      <c r="O2875" s="52"/>
      <c r="P2875" s="52"/>
      <c r="Q2875" s="52"/>
      <c r="R2875" s="51" t="b">
        <v>0</v>
      </c>
      <c r="S2875" s="51"/>
      <c r="T2875" s="52"/>
      <c r="U2875" s="51" t="b">
        <v>0</v>
      </c>
      <c r="V2875" s="51" t="b">
        <v>0</v>
      </c>
      <c r="W2875" s="51" t="b">
        <v>0</v>
      </c>
      <c r="X2875" s="51" t="b">
        <v>0</v>
      </c>
      <c r="Y2875" s="51" t="b">
        <v>0</v>
      </c>
      <c r="Z2875" s="51" t="b">
        <v>0</v>
      </c>
      <c r="AA2875" s="68"/>
      <c r="AB2875" s="52"/>
      <c r="AC2875" s="52"/>
      <c r="AD2875" s="52"/>
      <c r="AE2875" s="56" t="s">
        <v>607</v>
      </c>
      <c r="AF2875" s="56" t="s">
        <v>607</v>
      </c>
    </row>
    <row r="2876">
      <c r="A2876" s="52" t="s">
        <v>6564</v>
      </c>
      <c r="B2876" s="52" t="s">
        <v>607</v>
      </c>
      <c r="C2876" s="52" t="s">
        <v>607</v>
      </c>
      <c r="D2876" s="65" t="s">
        <v>607</v>
      </c>
      <c r="E2876" s="65" t="s">
        <v>607</v>
      </c>
      <c r="F2876" s="65" t="s">
        <v>607</v>
      </c>
      <c r="G2876" s="65" t="s">
        <v>607</v>
      </c>
      <c r="H2876" s="52" t="s">
        <v>607</v>
      </c>
      <c r="I2876" s="52" t="s">
        <v>607</v>
      </c>
      <c r="J2876" s="52" t="s">
        <v>607</v>
      </c>
      <c r="K2876" s="52" t="s">
        <v>607</v>
      </c>
      <c r="L2876" s="52" t="s">
        <v>607</v>
      </c>
      <c r="M2876" s="52" t="s">
        <v>607</v>
      </c>
      <c r="N2876" s="52" t="s">
        <v>607</v>
      </c>
      <c r="O2876" s="52"/>
      <c r="P2876" s="52"/>
      <c r="Q2876" s="52"/>
      <c r="R2876" s="51" t="b">
        <v>0</v>
      </c>
      <c r="S2876" s="51"/>
      <c r="T2876" s="52"/>
      <c r="U2876" s="51" t="b">
        <v>0</v>
      </c>
      <c r="V2876" s="51" t="b">
        <v>0</v>
      </c>
      <c r="W2876" s="51" t="b">
        <v>0</v>
      </c>
      <c r="X2876" s="51" t="b">
        <v>0</v>
      </c>
      <c r="Y2876" s="51" t="b">
        <v>0</v>
      </c>
      <c r="Z2876" s="51" t="b">
        <v>0</v>
      </c>
      <c r="AA2876" s="68"/>
      <c r="AB2876" s="52"/>
      <c r="AC2876" s="52"/>
      <c r="AD2876" s="52"/>
      <c r="AE2876" s="56" t="s">
        <v>607</v>
      </c>
      <c r="AF2876" s="56" t="s">
        <v>607</v>
      </c>
    </row>
    <row r="2877">
      <c r="A2877" s="52" t="s">
        <v>6565</v>
      </c>
      <c r="B2877" s="52" t="s">
        <v>607</v>
      </c>
      <c r="C2877" s="52" t="s">
        <v>607</v>
      </c>
      <c r="D2877" s="65" t="s">
        <v>607</v>
      </c>
      <c r="E2877" s="65" t="s">
        <v>607</v>
      </c>
      <c r="F2877" s="65" t="s">
        <v>607</v>
      </c>
      <c r="G2877" s="65" t="s">
        <v>607</v>
      </c>
      <c r="H2877" s="52" t="s">
        <v>607</v>
      </c>
      <c r="I2877" s="52" t="s">
        <v>607</v>
      </c>
      <c r="J2877" s="52" t="s">
        <v>607</v>
      </c>
      <c r="K2877" s="52" t="s">
        <v>607</v>
      </c>
      <c r="L2877" s="52" t="s">
        <v>607</v>
      </c>
      <c r="M2877" s="52" t="s">
        <v>607</v>
      </c>
      <c r="N2877" s="52" t="s">
        <v>607</v>
      </c>
      <c r="O2877" s="52"/>
      <c r="P2877" s="52"/>
      <c r="Q2877" s="52"/>
      <c r="R2877" s="51" t="b">
        <v>0</v>
      </c>
      <c r="S2877" s="51"/>
      <c r="T2877" s="52"/>
      <c r="U2877" s="51" t="b">
        <v>0</v>
      </c>
      <c r="V2877" s="51" t="b">
        <v>0</v>
      </c>
      <c r="W2877" s="51" t="b">
        <v>0</v>
      </c>
      <c r="X2877" s="51" t="b">
        <v>0</v>
      </c>
      <c r="Y2877" s="51" t="b">
        <v>0</v>
      </c>
      <c r="Z2877" s="51" t="b">
        <v>0</v>
      </c>
      <c r="AA2877" s="68"/>
      <c r="AB2877" s="52"/>
      <c r="AC2877" s="52"/>
      <c r="AD2877" s="52"/>
      <c r="AE2877" s="56" t="s">
        <v>607</v>
      </c>
      <c r="AF2877" s="56" t="s">
        <v>607</v>
      </c>
    </row>
    <row r="2878">
      <c r="A2878" s="52" t="s">
        <v>6566</v>
      </c>
      <c r="B2878" s="52" t="s">
        <v>607</v>
      </c>
      <c r="C2878" s="52" t="s">
        <v>607</v>
      </c>
      <c r="D2878" s="65" t="s">
        <v>607</v>
      </c>
      <c r="E2878" s="65" t="s">
        <v>607</v>
      </c>
      <c r="F2878" s="65" t="s">
        <v>607</v>
      </c>
      <c r="G2878" s="65" t="s">
        <v>607</v>
      </c>
      <c r="H2878" s="52" t="s">
        <v>607</v>
      </c>
      <c r="I2878" s="52" t="s">
        <v>607</v>
      </c>
      <c r="J2878" s="52" t="s">
        <v>607</v>
      </c>
      <c r="K2878" s="52" t="s">
        <v>607</v>
      </c>
      <c r="L2878" s="52" t="s">
        <v>607</v>
      </c>
      <c r="M2878" s="52" t="s">
        <v>607</v>
      </c>
      <c r="N2878" s="52" t="s">
        <v>607</v>
      </c>
      <c r="O2878" s="52"/>
      <c r="P2878" s="52"/>
      <c r="Q2878" s="52"/>
      <c r="R2878" s="51" t="b">
        <v>0</v>
      </c>
      <c r="S2878" s="51"/>
      <c r="T2878" s="52"/>
      <c r="U2878" s="51" t="b">
        <v>0</v>
      </c>
      <c r="V2878" s="51" t="b">
        <v>0</v>
      </c>
      <c r="W2878" s="51" t="b">
        <v>0</v>
      </c>
      <c r="X2878" s="51" t="b">
        <v>0</v>
      </c>
      <c r="Y2878" s="51" t="b">
        <v>0</v>
      </c>
      <c r="Z2878" s="51" t="b">
        <v>0</v>
      </c>
      <c r="AA2878" s="68"/>
      <c r="AB2878" s="52"/>
      <c r="AC2878" s="52"/>
      <c r="AD2878" s="52"/>
      <c r="AE2878" s="56" t="s">
        <v>607</v>
      </c>
      <c r="AF2878" s="56" t="s">
        <v>607</v>
      </c>
    </row>
    <row r="2879">
      <c r="A2879" s="52" t="s">
        <v>6570</v>
      </c>
      <c r="B2879" s="52" t="s">
        <v>607</v>
      </c>
      <c r="C2879" s="52" t="s">
        <v>607</v>
      </c>
      <c r="D2879" s="65" t="s">
        <v>607</v>
      </c>
      <c r="E2879" s="65" t="s">
        <v>607</v>
      </c>
      <c r="F2879" s="65" t="s">
        <v>607</v>
      </c>
      <c r="G2879" s="65" t="s">
        <v>607</v>
      </c>
      <c r="H2879" s="52" t="s">
        <v>607</v>
      </c>
      <c r="I2879" s="52" t="s">
        <v>607</v>
      </c>
      <c r="J2879" s="52" t="s">
        <v>607</v>
      </c>
      <c r="K2879" s="52" t="s">
        <v>607</v>
      </c>
      <c r="L2879" s="52" t="s">
        <v>607</v>
      </c>
      <c r="M2879" s="52" t="s">
        <v>607</v>
      </c>
      <c r="N2879" s="52" t="s">
        <v>607</v>
      </c>
      <c r="O2879" s="52"/>
      <c r="P2879" s="52"/>
      <c r="Q2879" s="52"/>
      <c r="R2879" s="51" t="b">
        <v>0</v>
      </c>
      <c r="S2879" s="51"/>
      <c r="T2879" s="52"/>
      <c r="U2879" s="51" t="b">
        <v>0</v>
      </c>
      <c r="V2879" s="51" t="b">
        <v>0</v>
      </c>
      <c r="W2879" s="51" t="b">
        <v>0</v>
      </c>
      <c r="X2879" s="51" t="b">
        <v>0</v>
      </c>
      <c r="Y2879" s="51" t="b">
        <v>0</v>
      </c>
      <c r="Z2879" s="51" t="b">
        <v>0</v>
      </c>
      <c r="AA2879" s="68"/>
      <c r="AB2879" s="52"/>
      <c r="AC2879" s="52"/>
      <c r="AD2879" s="52"/>
      <c r="AE2879" s="56" t="s">
        <v>607</v>
      </c>
      <c r="AF2879" s="56" t="s">
        <v>607</v>
      </c>
    </row>
    <row r="2880">
      <c r="A2880" s="52" t="s">
        <v>6572</v>
      </c>
      <c r="B2880" s="52" t="s">
        <v>607</v>
      </c>
      <c r="C2880" s="52" t="s">
        <v>607</v>
      </c>
      <c r="D2880" s="65" t="s">
        <v>607</v>
      </c>
      <c r="E2880" s="65" t="s">
        <v>607</v>
      </c>
      <c r="F2880" s="65" t="s">
        <v>607</v>
      </c>
      <c r="G2880" s="65" t="s">
        <v>607</v>
      </c>
      <c r="H2880" s="52" t="s">
        <v>607</v>
      </c>
      <c r="I2880" s="52" t="s">
        <v>607</v>
      </c>
      <c r="J2880" s="52" t="s">
        <v>607</v>
      </c>
      <c r="K2880" s="52" t="s">
        <v>607</v>
      </c>
      <c r="L2880" s="52" t="s">
        <v>607</v>
      </c>
      <c r="M2880" s="52" t="s">
        <v>607</v>
      </c>
      <c r="N2880" s="52" t="s">
        <v>607</v>
      </c>
      <c r="O2880" s="52"/>
      <c r="P2880" s="52"/>
      <c r="Q2880" s="52"/>
      <c r="R2880" s="51" t="b">
        <v>0</v>
      </c>
      <c r="S2880" s="51"/>
      <c r="T2880" s="52"/>
      <c r="U2880" s="51" t="b">
        <v>0</v>
      </c>
      <c r="V2880" s="51" t="b">
        <v>0</v>
      </c>
      <c r="W2880" s="51" t="b">
        <v>0</v>
      </c>
      <c r="X2880" s="51" t="b">
        <v>0</v>
      </c>
      <c r="Y2880" s="51" t="b">
        <v>0</v>
      </c>
      <c r="Z2880" s="51" t="b">
        <v>0</v>
      </c>
      <c r="AA2880" s="68"/>
      <c r="AB2880" s="52"/>
      <c r="AC2880" s="52"/>
      <c r="AD2880" s="52"/>
      <c r="AE2880" s="56" t="s">
        <v>607</v>
      </c>
      <c r="AF2880" s="56" t="s">
        <v>607</v>
      </c>
    </row>
    <row r="2881">
      <c r="A2881" s="52" t="s">
        <v>6573</v>
      </c>
      <c r="B2881" s="52" t="s">
        <v>607</v>
      </c>
      <c r="C2881" s="52" t="s">
        <v>607</v>
      </c>
      <c r="D2881" s="65" t="s">
        <v>607</v>
      </c>
      <c r="E2881" s="65" t="s">
        <v>607</v>
      </c>
      <c r="F2881" s="65" t="s">
        <v>607</v>
      </c>
      <c r="G2881" s="65" t="s">
        <v>607</v>
      </c>
      <c r="H2881" s="52" t="s">
        <v>607</v>
      </c>
      <c r="I2881" s="52" t="s">
        <v>607</v>
      </c>
      <c r="J2881" s="52" t="s">
        <v>607</v>
      </c>
      <c r="K2881" s="52" t="s">
        <v>607</v>
      </c>
      <c r="L2881" s="52" t="s">
        <v>607</v>
      </c>
      <c r="M2881" s="52" t="s">
        <v>607</v>
      </c>
      <c r="N2881" s="52" t="s">
        <v>607</v>
      </c>
      <c r="O2881" s="52"/>
      <c r="P2881" s="52"/>
      <c r="Q2881" s="52"/>
      <c r="R2881" s="51" t="b">
        <v>0</v>
      </c>
      <c r="S2881" s="51"/>
      <c r="T2881" s="52"/>
      <c r="U2881" s="51" t="b">
        <v>0</v>
      </c>
      <c r="V2881" s="51" t="b">
        <v>0</v>
      </c>
      <c r="W2881" s="51" t="b">
        <v>0</v>
      </c>
      <c r="X2881" s="51" t="b">
        <v>0</v>
      </c>
      <c r="Y2881" s="51" t="b">
        <v>0</v>
      </c>
      <c r="Z2881" s="51" t="b">
        <v>0</v>
      </c>
      <c r="AA2881" s="68"/>
      <c r="AB2881" s="52"/>
      <c r="AC2881" s="52"/>
      <c r="AD2881" s="52"/>
      <c r="AE2881" s="56" t="s">
        <v>607</v>
      </c>
      <c r="AF2881" s="56" t="s">
        <v>607</v>
      </c>
    </row>
    <row r="2882">
      <c r="A2882" s="52" t="s">
        <v>6575</v>
      </c>
      <c r="B2882" s="52" t="s">
        <v>607</v>
      </c>
      <c r="C2882" s="52" t="s">
        <v>607</v>
      </c>
      <c r="D2882" s="65" t="s">
        <v>607</v>
      </c>
      <c r="E2882" s="65" t="s">
        <v>607</v>
      </c>
      <c r="F2882" s="65" t="s">
        <v>607</v>
      </c>
      <c r="G2882" s="65" t="s">
        <v>607</v>
      </c>
      <c r="H2882" s="52" t="s">
        <v>607</v>
      </c>
      <c r="I2882" s="52" t="s">
        <v>607</v>
      </c>
      <c r="J2882" s="52" t="s">
        <v>607</v>
      </c>
      <c r="K2882" s="52" t="s">
        <v>607</v>
      </c>
      <c r="L2882" s="52" t="s">
        <v>607</v>
      </c>
      <c r="M2882" s="52" t="s">
        <v>607</v>
      </c>
      <c r="N2882" s="52" t="s">
        <v>607</v>
      </c>
      <c r="O2882" s="52"/>
      <c r="P2882" s="52"/>
      <c r="Q2882" s="52"/>
      <c r="R2882" s="51" t="b">
        <v>0</v>
      </c>
      <c r="S2882" s="51"/>
      <c r="T2882" s="52"/>
      <c r="U2882" s="51" t="b">
        <v>0</v>
      </c>
      <c r="V2882" s="51" t="b">
        <v>0</v>
      </c>
      <c r="W2882" s="51" t="b">
        <v>0</v>
      </c>
      <c r="X2882" s="51" t="b">
        <v>0</v>
      </c>
      <c r="Y2882" s="51" t="b">
        <v>0</v>
      </c>
      <c r="Z2882" s="51" t="b">
        <v>0</v>
      </c>
      <c r="AA2882" s="68"/>
      <c r="AB2882" s="52"/>
      <c r="AC2882" s="52"/>
      <c r="AD2882" s="52"/>
      <c r="AE2882" s="56" t="s">
        <v>607</v>
      </c>
      <c r="AF2882" s="56" t="s">
        <v>607</v>
      </c>
    </row>
    <row r="2883">
      <c r="A2883" s="52" t="s">
        <v>6579</v>
      </c>
      <c r="B2883" s="52" t="s">
        <v>607</v>
      </c>
      <c r="C2883" s="52" t="s">
        <v>607</v>
      </c>
      <c r="D2883" s="65" t="s">
        <v>607</v>
      </c>
      <c r="E2883" s="65" t="s">
        <v>607</v>
      </c>
      <c r="F2883" s="65" t="s">
        <v>607</v>
      </c>
      <c r="G2883" s="65" t="s">
        <v>607</v>
      </c>
      <c r="H2883" s="52" t="s">
        <v>607</v>
      </c>
      <c r="I2883" s="52" t="s">
        <v>607</v>
      </c>
      <c r="J2883" s="52" t="s">
        <v>607</v>
      </c>
      <c r="K2883" s="52" t="s">
        <v>607</v>
      </c>
      <c r="L2883" s="52" t="s">
        <v>607</v>
      </c>
      <c r="M2883" s="52" t="s">
        <v>607</v>
      </c>
      <c r="N2883" s="52" t="s">
        <v>607</v>
      </c>
      <c r="O2883" s="52"/>
      <c r="P2883" s="52"/>
      <c r="Q2883" s="52"/>
      <c r="R2883" s="51" t="b">
        <v>0</v>
      </c>
      <c r="S2883" s="51"/>
      <c r="T2883" s="52"/>
      <c r="U2883" s="51" t="b">
        <v>0</v>
      </c>
      <c r="V2883" s="51" t="b">
        <v>0</v>
      </c>
      <c r="W2883" s="51" t="b">
        <v>0</v>
      </c>
      <c r="X2883" s="51" t="b">
        <v>0</v>
      </c>
      <c r="Y2883" s="51" t="b">
        <v>0</v>
      </c>
      <c r="Z2883" s="51" t="b">
        <v>0</v>
      </c>
      <c r="AA2883" s="68"/>
      <c r="AB2883" s="52"/>
      <c r="AC2883" s="52"/>
      <c r="AD2883" s="52"/>
      <c r="AE2883" s="56" t="s">
        <v>607</v>
      </c>
      <c r="AF2883" s="56" t="s">
        <v>607</v>
      </c>
    </row>
    <row r="2884">
      <c r="A2884" s="52" t="s">
        <v>6580</v>
      </c>
      <c r="B2884" s="52" t="s">
        <v>607</v>
      </c>
      <c r="C2884" s="52" t="s">
        <v>607</v>
      </c>
      <c r="D2884" s="65" t="s">
        <v>607</v>
      </c>
      <c r="E2884" s="65" t="s">
        <v>607</v>
      </c>
      <c r="F2884" s="65" t="s">
        <v>607</v>
      </c>
      <c r="G2884" s="65" t="s">
        <v>607</v>
      </c>
      <c r="H2884" s="52" t="s">
        <v>607</v>
      </c>
      <c r="I2884" s="52" t="s">
        <v>607</v>
      </c>
      <c r="J2884" s="52" t="s">
        <v>607</v>
      </c>
      <c r="K2884" s="52" t="s">
        <v>607</v>
      </c>
      <c r="L2884" s="52" t="s">
        <v>607</v>
      </c>
      <c r="M2884" s="52" t="s">
        <v>607</v>
      </c>
      <c r="N2884" s="52" t="s">
        <v>607</v>
      </c>
      <c r="O2884" s="52"/>
      <c r="P2884" s="52"/>
      <c r="Q2884" s="52"/>
      <c r="R2884" s="51" t="b">
        <v>0</v>
      </c>
      <c r="S2884" s="51"/>
      <c r="T2884" s="52"/>
      <c r="U2884" s="51" t="b">
        <v>0</v>
      </c>
      <c r="V2884" s="51" t="b">
        <v>0</v>
      </c>
      <c r="W2884" s="51" t="b">
        <v>0</v>
      </c>
      <c r="X2884" s="51" t="b">
        <v>0</v>
      </c>
      <c r="Y2884" s="51" t="b">
        <v>0</v>
      </c>
      <c r="Z2884" s="51" t="b">
        <v>0</v>
      </c>
      <c r="AA2884" s="68"/>
      <c r="AB2884" s="52"/>
      <c r="AC2884" s="52"/>
      <c r="AD2884" s="52"/>
      <c r="AE2884" s="56" t="s">
        <v>607</v>
      </c>
      <c r="AF2884" s="56" t="s">
        <v>607</v>
      </c>
    </row>
    <row r="2885">
      <c r="A2885" s="52" t="s">
        <v>6584</v>
      </c>
      <c r="B2885" s="52" t="s">
        <v>607</v>
      </c>
      <c r="C2885" s="52" t="s">
        <v>607</v>
      </c>
      <c r="D2885" s="65" t="s">
        <v>607</v>
      </c>
      <c r="E2885" s="65" t="s">
        <v>607</v>
      </c>
      <c r="F2885" s="65" t="s">
        <v>607</v>
      </c>
      <c r="G2885" s="65" t="s">
        <v>607</v>
      </c>
      <c r="H2885" s="52" t="s">
        <v>607</v>
      </c>
      <c r="I2885" s="52" t="s">
        <v>607</v>
      </c>
      <c r="J2885" s="52" t="s">
        <v>607</v>
      </c>
      <c r="K2885" s="52" t="s">
        <v>607</v>
      </c>
      <c r="L2885" s="52" t="s">
        <v>607</v>
      </c>
      <c r="M2885" s="52" t="s">
        <v>607</v>
      </c>
      <c r="N2885" s="52" t="s">
        <v>607</v>
      </c>
      <c r="O2885" s="52"/>
      <c r="P2885" s="52"/>
      <c r="Q2885" s="52"/>
      <c r="R2885" s="51" t="b">
        <v>0</v>
      </c>
      <c r="S2885" s="51"/>
      <c r="T2885" s="52"/>
      <c r="U2885" s="51" t="b">
        <v>0</v>
      </c>
      <c r="V2885" s="51" t="b">
        <v>0</v>
      </c>
      <c r="W2885" s="51" t="b">
        <v>0</v>
      </c>
      <c r="X2885" s="51" t="b">
        <v>0</v>
      </c>
      <c r="Y2885" s="51" t="b">
        <v>0</v>
      </c>
      <c r="Z2885" s="51" t="b">
        <v>0</v>
      </c>
      <c r="AA2885" s="68"/>
      <c r="AB2885" s="52"/>
      <c r="AC2885" s="52"/>
      <c r="AD2885" s="52"/>
      <c r="AE2885" s="56" t="s">
        <v>607</v>
      </c>
      <c r="AF2885" s="56" t="s">
        <v>607</v>
      </c>
    </row>
    <row r="2886">
      <c r="A2886" s="52" t="s">
        <v>6587</v>
      </c>
      <c r="B2886" s="52" t="s">
        <v>607</v>
      </c>
      <c r="C2886" s="52" t="s">
        <v>607</v>
      </c>
      <c r="D2886" s="65" t="s">
        <v>607</v>
      </c>
      <c r="E2886" s="65" t="s">
        <v>607</v>
      </c>
      <c r="F2886" s="65" t="s">
        <v>607</v>
      </c>
      <c r="G2886" s="65" t="s">
        <v>607</v>
      </c>
      <c r="H2886" s="52" t="s">
        <v>607</v>
      </c>
      <c r="I2886" s="52" t="s">
        <v>607</v>
      </c>
      <c r="J2886" s="52" t="s">
        <v>607</v>
      </c>
      <c r="K2886" s="52" t="s">
        <v>607</v>
      </c>
      <c r="L2886" s="52" t="s">
        <v>607</v>
      </c>
      <c r="M2886" s="52" t="s">
        <v>607</v>
      </c>
      <c r="N2886" s="52" t="s">
        <v>607</v>
      </c>
      <c r="O2886" s="52"/>
      <c r="P2886" s="52"/>
      <c r="Q2886" s="52"/>
      <c r="R2886" s="51" t="b">
        <v>0</v>
      </c>
      <c r="S2886" s="51"/>
      <c r="T2886" s="52"/>
      <c r="U2886" s="51" t="b">
        <v>0</v>
      </c>
      <c r="V2886" s="51" t="b">
        <v>0</v>
      </c>
      <c r="W2886" s="51" t="b">
        <v>0</v>
      </c>
      <c r="X2886" s="51" t="b">
        <v>0</v>
      </c>
      <c r="Y2886" s="51" t="b">
        <v>0</v>
      </c>
      <c r="Z2886" s="51" t="b">
        <v>0</v>
      </c>
      <c r="AA2886" s="68"/>
      <c r="AB2886" s="52"/>
      <c r="AC2886" s="52"/>
      <c r="AD2886" s="52"/>
      <c r="AE2886" s="56" t="s">
        <v>607</v>
      </c>
      <c r="AF2886" s="56" t="s">
        <v>607</v>
      </c>
    </row>
    <row r="2887">
      <c r="A2887" s="52" t="s">
        <v>6588</v>
      </c>
      <c r="B2887" s="52" t="s">
        <v>607</v>
      </c>
      <c r="C2887" s="52" t="s">
        <v>607</v>
      </c>
      <c r="D2887" s="65" t="s">
        <v>607</v>
      </c>
      <c r="E2887" s="65" t="s">
        <v>607</v>
      </c>
      <c r="F2887" s="65" t="s">
        <v>607</v>
      </c>
      <c r="G2887" s="65" t="s">
        <v>607</v>
      </c>
      <c r="H2887" s="52" t="s">
        <v>607</v>
      </c>
      <c r="I2887" s="52" t="s">
        <v>607</v>
      </c>
      <c r="J2887" s="52" t="s">
        <v>607</v>
      </c>
      <c r="K2887" s="52" t="s">
        <v>607</v>
      </c>
      <c r="L2887" s="52" t="s">
        <v>607</v>
      </c>
      <c r="M2887" s="52" t="s">
        <v>607</v>
      </c>
      <c r="N2887" s="52" t="s">
        <v>607</v>
      </c>
      <c r="O2887" s="52"/>
      <c r="P2887" s="52"/>
      <c r="Q2887" s="52"/>
      <c r="R2887" s="51" t="b">
        <v>0</v>
      </c>
      <c r="S2887" s="51"/>
      <c r="T2887" s="52"/>
      <c r="U2887" s="51" t="b">
        <v>0</v>
      </c>
      <c r="V2887" s="51" t="b">
        <v>0</v>
      </c>
      <c r="W2887" s="51" t="b">
        <v>0</v>
      </c>
      <c r="X2887" s="51" t="b">
        <v>0</v>
      </c>
      <c r="Y2887" s="51" t="b">
        <v>0</v>
      </c>
      <c r="Z2887" s="51" t="b">
        <v>0</v>
      </c>
      <c r="AA2887" s="68"/>
      <c r="AB2887" s="52"/>
      <c r="AC2887" s="52"/>
      <c r="AD2887" s="52"/>
      <c r="AE2887" s="56" t="s">
        <v>607</v>
      </c>
      <c r="AF2887" s="56" t="s">
        <v>607</v>
      </c>
    </row>
    <row r="2888">
      <c r="A2888" s="52" t="s">
        <v>6594</v>
      </c>
      <c r="B2888" s="52" t="s">
        <v>607</v>
      </c>
      <c r="C2888" s="52" t="s">
        <v>607</v>
      </c>
      <c r="D2888" s="65" t="s">
        <v>607</v>
      </c>
      <c r="E2888" s="65" t="s">
        <v>607</v>
      </c>
      <c r="F2888" s="65" t="s">
        <v>607</v>
      </c>
      <c r="G2888" s="65" t="s">
        <v>607</v>
      </c>
      <c r="H2888" s="52" t="s">
        <v>607</v>
      </c>
      <c r="I2888" s="52" t="s">
        <v>607</v>
      </c>
      <c r="J2888" s="52" t="s">
        <v>607</v>
      </c>
      <c r="K2888" s="52" t="s">
        <v>607</v>
      </c>
      <c r="L2888" s="52" t="s">
        <v>607</v>
      </c>
      <c r="M2888" s="52" t="s">
        <v>607</v>
      </c>
      <c r="N2888" s="52" t="s">
        <v>607</v>
      </c>
      <c r="O2888" s="52"/>
      <c r="P2888" s="52"/>
      <c r="Q2888" s="52"/>
      <c r="R2888" s="51" t="b">
        <v>0</v>
      </c>
      <c r="S2888" s="51"/>
      <c r="T2888" s="52"/>
      <c r="U2888" s="51" t="b">
        <v>0</v>
      </c>
      <c r="V2888" s="51" t="b">
        <v>0</v>
      </c>
      <c r="W2888" s="51" t="b">
        <v>0</v>
      </c>
      <c r="X2888" s="51" t="b">
        <v>0</v>
      </c>
      <c r="Y2888" s="51" t="b">
        <v>0</v>
      </c>
      <c r="Z2888" s="51" t="b">
        <v>0</v>
      </c>
      <c r="AA2888" s="68"/>
      <c r="AB2888" s="52"/>
      <c r="AC2888" s="52"/>
      <c r="AD2888" s="52"/>
      <c r="AE2888" s="56" t="s">
        <v>607</v>
      </c>
      <c r="AF2888" s="56" t="s">
        <v>607</v>
      </c>
    </row>
    <row r="2889">
      <c r="A2889" s="52" t="s">
        <v>6595</v>
      </c>
      <c r="B2889" s="52" t="s">
        <v>607</v>
      </c>
      <c r="C2889" s="52" t="s">
        <v>607</v>
      </c>
      <c r="D2889" s="65" t="s">
        <v>607</v>
      </c>
      <c r="E2889" s="65" t="s">
        <v>607</v>
      </c>
      <c r="F2889" s="65" t="s">
        <v>607</v>
      </c>
      <c r="G2889" s="65" t="s">
        <v>607</v>
      </c>
      <c r="H2889" s="52" t="s">
        <v>607</v>
      </c>
      <c r="I2889" s="52" t="s">
        <v>607</v>
      </c>
      <c r="J2889" s="52" t="s">
        <v>607</v>
      </c>
      <c r="K2889" s="52" t="s">
        <v>607</v>
      </c>
      <c r="L2889" s="52" t="s">
        <v>607</v>
      </c>
      <c r="M2889" s="52" t="s">
        <v>607</v>
      </c>
      <c r="N2889" s="52" t="s">
        <v>607</v>
      </c>
      <c r="O2889" s="52"/>
      <c r="P2889" s="52"/>
      <c r="Q2889" s="52"/>
      <c r="R2889" s="51" t="b">
        <v>0</v>
      </c>
      <c r="S2889" s="51"/>
      <c r="T2889" s="52"/>
      <c r="U2889" s="51" t="b">
        <v>0</v>
      </c>
      <c r="V2889" s="51" t="b">
        <v>0</v>
      </c>
      <c r="W2889" s="51" t="b">
        <v>0</v>
      </c>
      <c r="X2889" s="51" t="b">
        <v>0</v>
      </c>
      <c r="Y2889" s="51" t="b">
        <v>0</v>
      </c>
      <c r="Z2889" s="51" t="b">
        <v>0</v>
      </c>
      <c r="AA2889" s="68"/>
      <c r="AB2889" s="52"/>
      <c r="AC2889" s="52"/>
      <c r="AD2889" s="52"/>
      <c r="AE2889" s="56" t="s">
        <v>607</v>
      </c>
      <c r="AF2889" s="56" t="s">
        <v>607</v>
      </c>
    </row>
    <row r="2890">
      <c r="A2890" s="52" t="s">
        <v>6598</v>
      </c>
      <c r="B2890" s="52" t="s">
        <v>607</v>
      </c>
      <c r="C2890" s="52" t="s">
        <v>607</v>
      </c>
      <c r="D2890" s="65" t="s">
        <v>607</v>
      </c>
      <c r="E2890" s="65" t="s">
        <v>607</v>
      </c>
      <c r="F2890" s="65" t="s">
        <v>607</v>
      </c>
      <c r="G2890" s="65" t="s">
        <v>607</v>
      </c>
      <c r="H2890" s="52" t="s">
        <v>607</v>
      </c>
      <c r="I2890" s="52" t="s">
        <v>607</v>
      </c>
      <c r="J2890" s="52" t="s">
        <v>607</v>
      </c>
      <c r="K2890" s="52" t="s">
        <v>607</v>
      </c>
      <c r="L2890" s="52" t="s">
        <v>607</v>
      </c>
      <c r="M2890" s="52" t="s">
        <v>607</v>
      </c>
      <c r="N2890" s="52" t="s">
        <v>607</v>
      </c>
      <c r="O2890" s="52"/>
      <c r="P2890" s="52"/>
      <c r="Q2890" s="52"/>
      <c r="R2890" s="51" t="b">
        <v>0</v>
      </c>
      <c r="S2890" s="51"/>
      <c r="T2890" s="52"/>
      <c r="U2890" s="51" t="b">
        <v>0</v>
      </c>
      <c r="V2890" s="51" t="b">
        <v>0</v>
      </c>
      <c r="W2890" s="51" t="b">
        <v>0</v>
      </c>
      <c r="X2890" s="51" t="b">
        <v>0</v>
      </c>
      <c r="Y2890" s="51" t="b">
        <v>0</v>
      </c>
      <c r="Z2890" s="51" t="b">
        <v>0</v>
      </c>
      <c r="AA2890" s="68"/>
      <c r="AB2890" s="52"/>
      <c r="AC2890" s="52"/>
      <c r="AD2890" s="52"/>
      <c r="AE2890" s="56" t="s">
        <v>607</v>
      </c>
      <c r="AF2890" s="56" t="s">
        <v>607</v>
      </c>
    </row>
    <row r="2891">
      <c r="A2891" s="52" t="s">
        <v>6599</v>
      </c>
      <c r="B2891" s="52" t="s">
        <v>607</v>
      </c>
      <c r="C2891" s="52" t="s">
        <v>607</v>
      </c>
      <c r="D2891" s="65" t="s">
        <v>607</v>
      </c>
      <c r="E2891" s="65" t="s">
        <v>607</v>
      </c>
      <c r="F2891" s="65" t="s">
        <v>607</v>
      </c>
      <c r="G2891" s="65" t="s">
        <v>607</v>
      </c>
      <c r="H2891" s="52" t="s">
        <v>607</v>
      </c>
      <c r="I2891" s="52" t="s">
        <v>607</v>
      </c>
      <c r="J2891" s="52" t="s">
        <v>607</v>
      </c>
      <c r="K2891" s="52" t="s">
        <v>607</v>
      </c>
      <c r="L2891" s="52" t="s">
        <v>607</v>
      </c>
      <c r="M2891" s="52" t="s">
        <v>607</v>
      </c>
      <c r="N2891" s="52" t="s">
        <v>607</v>
      </c>
      <c r="O2891" s="52"/>
      <c r="P2891" s="52"/>
      <c r="Q2891" s="52"/>
      <c r="R2891" s="51" t="b">
        <v>0</v>
      </c>
      <c r="S2891" s="51"/>
      <c r="T2891" s="52"/>
      <c r="U2891" s="51" t="b">
        <v>0</v>
      </c>
      <c r="V2891" s="51" t="b">
        <v>0</v>
      </c>
      <c r="W2891" s="51" t="b">
        <v>0</v>
      </c>
      <c r="X2891" s="51" t="b">
        <v>0</v>
      </c>
      <c r="Y2891" s="51" t="b">
        <v>0</v>
      </c>
      <c r="Z2891" s="51" t="b">
        <v>0</v>
      </c>
      <c r="AA2891" s="68"/>
      <c r="AB2891" s="52"/>
      <c r="AC2891" s="52"/>
      <c r="AD2891" s="52"/>
      <c r="AE2891" s="56" t="s">
        <v>607</v>
      </c>
      <c r="AF2891" s="56" t="s">
        <v>607</v>
      </c>
    </row>
    <row r="2892">
      <c r="A2892" s="52" t="s">
        <v>6603</v>
      </c>
      <c r="B2892" s="52" t="s">
        <v>607</v>
      </c>
      <c r="C2892" s="52" t="s">
        <v>607</v>
      </c>
      <c r="D2892" s="65" t="s">
        <v>607</v>
      </c>
      <c r="E2892" s="65" t="s">
        <v>607</v>
      </c>
      <c r="F2892" s="65" t="s">
        <v>607</v>
      </c>
      <c r="G2892" s="65" t="s">
        <v>607</v>
      </c>
      <c r="H2892" s="52" t="s">
        <v>607</v>
      </c>
      <c r="I2892" s="52" t="s">
        <v>607</v>
      </c>
      <c r="J2892" s="52" t="s">
        <v>607</v>
      </c>
      <c r="K2892" s="52" t="s">
        <v>607</v>
      </c>
      <c r="L2892" s="52" t="s">
        <v>607</v>
      </c>
      <c r="M2892" s="52" t="s">
        <v>607</v>
      </c>
      <c r="N2892" s="52" t="s">
        <v>607</v>
      </c>
      <c r="O2892" s="52"/>
      <c r="P2892" s="52"/>
      <c r="Q2892" s="52"/>
      <c r="R2892" s="51" t="b">
        <v>0</v>
      </c>
      <c r="S2892" s="51"/>
      <c r="T2892" s="52"/>
      <c r="U2892" s="51" t="b">
        <v>0</v>
      </c>
      <c r="V2892" s="51" t="b">
        <v>0</v>
      </c>
      <c r="W2892" s="51" t="b">
        <v>0</v>
      </c>
      <c r="X2892" s="51" t="b">
        <v>0</v>
      </c>
      <c r="Y2892" s="51" t="b">
        <v>0</v>
      </c>
      <c r="Z2892" s="51" t="b">
        <v>0</v>
      </c>
      <c r="AA2892" s="68"/>
      <c r="AB2892" s="52"/>
      <c r="AC2892" s="52"/>
      <c r="AD2892" s="52"/>
      <c r="AE2892" s="56" t="s">
        <v>607</v>
      </c>
      <c r="AF2892" s="56" t="s">
        <v>607</v>
      </c>
    </row>
    <row r="2893">
      <c r="A2893" s="52" t="s">
        <v>6604</v>
      </c>
      <c r="B2893" s="52" t="s">
        <v>607</v>
      </c>
      <c r="C2893" s="52" t="s">
        <v>607</v>
      </c>
      <c r="D2893" s="65" t="s">
        <v>607</v>
      </c>
      <c r="E2893" s="65" t="s">
        <v>607</v>
      </c>
      <c r="F2893" s="65" t="s">
        <v>607</v>
      </c>
      <c r="G2893" s="65" t="s">
        <v>607</v>
      </c>
      <c r="H2893" s="52" t="s">
        <v>607</v>
      </c>
      <c r="I2893" s="52" t="s">
        <v>607</v>
      </c>
      <c r="J2893" s="52" t="s">
        <v>607</v>
      </c>
      <c r="K2893" s="52" t="s">
        <v>607</v>
      </c>
      <c r="L2893" s="52" t="s">
        <v>607</v>
      </c>
      <c r="M2893" s="52" t="s">
        <v>607</v>
      </c>
      <c r="N2893" s="52" t="s">
        <v>607</v>
      </c>
      <c r="O2893" s="52"/>
      <c r="P2893" s="52"/>
      <c r="Q2893" s="52"/>
      <c r="R2893" s="51" t="b">
        <v>0</v>
      </c>
      <c r="S2893" s="51"/>
      <c r="T2893" s="52"/>
      <c r="U2893" s="51" t="b">
        <v>0</v>
      </c>
      <c r="V2893" s="51" t="b">
        <v>0</v>
      </c>
      <c r="W2893" s="51" t="b">
        <v>0</v>
      </c>
      <c r="X2893" s="51" t="b">
        <v>0</v>
      </c>
      <c r="Y2893" s="51" t="b">
        <v>0</v>
      </c>
      <c r="Z2893" s="51" t="b">
        <v>0</v>
      </c>
      <c r="AA2893" s="68"/>
      <c r="AB2893" s="52"/>
      <c r="AC2893" s="52"/>
      <c r="AD2893" s="52"/>
      <c r="AE2893" s="56" t="s">
        <v>607</v>
      </c>
      <c r="AF2893" s="56" t="s">
        <v>607</v>
      </c>
    </row>
    <row r="2894">
      <c r="A2894" s="52" t="s">
        <v>6609</v>
      </c>
      <c r="B2894" s="52" t="s">
        <v>607</v>
      </c>
      <c r="C2894" s="52" t="s">
        <v>607</v>
      </c>
      <c r="D2894" s="65" t="s">
        <v>607</v>
      </c>
      <c r="E2894" s="65" t="s">
        <v>607</v>
      </c>
      <c r="F2894" s="65" t="s">
        <v>607</v>
      </c>
      <c r="G2894" s="65" t="s">
        <v>607</v>
      </c>
      <c r="H2894" s="52" t="s">
        <v>607</v>
      </c>
      <c r="I2894" s="52" t="s">
        <v>607</v>
      </c>
      <c r="J2894" s="52" t="s">
        <v>607</v>
      </c>
      <c r="K2894" s="52" t="s">
        <v>607</v>
      </c>
      <c r="L2894" s="52" t="s">
        <v>607</v>
      </c>
      <c r="M2894" s="52" t="s">
        <v>607</v>
      </c>
      <c r="N2894" s="52" t="s">
        <v>607</v>
      </c>
      <c r="O2894" s="52"/>
      <c r="P2894" s="52"/>
      <c r="Q2894" s="52"/>
      <c r="R2894" s="51" t="b">
        <v>0</v>
      </c>
      <c r="S2894" s="51"/>
      <c r="T2894" s="52"/>
      <c r="U2894" s="51" t="b">
        <v>0</v>
      </c>
      <c r="V2894" s="51" t="b">
        <v>0</v>
      </c>
      <c r="W2894" s="51" t="b">
        <v>0</v>
      </c>
      <c r="X2894" s="51" t="b">
        <v>0</v>
      </c>
      <c r="Y2894" s="51" t="b">
        <v>0</v>
      </c>
      <c r="Z2894" s="51" t="b">
        <v>0</v>
      </c>
      <c r="AA2894" s="68"/>
      <c r="AB2894" s="52"/>
      <c r="AC2894" s="52"/>
      <c r="AD2894" s="52"/>
      <c r="AE2894" s="56" t="s">
        <v>607</v>
      </c>
      <c r="AF2894" s="56" t="s">
        <v>607</v>
      </c>
    </row>
    <row r="2895">
      <c r="A2895" s="52" t="s">
        <v>6611</v>
      </c>
      <c r="B2895" s="52" t="s">
        <v>607</v>
      </c>
      <c r="C2895" s="52" t="s">
        <v>607</v>
      </c>
      <c r="D2895" s="65" t="s">
        <v>607</v>
      </c>
      <c r="E2895" s="65" t="s">
        <v>607</v>
      </c>
      <c r="F2895" s="65" t="s">
        <v>607</v>
      </c>
      <c r="G2895" s="65" t="s">
        <v>607</v>
      </c>
      <c r="H2895" s="52" t="s">
        <v>607</v>
      </c>
      <c r="I2895" s="52" t="s">
        <v>607</v>
      </c>
      <c r="J2895" s="52" t="s">
        <v>607</v>
      </c>
      <c r="K2895" s="52" t="s">
        <v>607</v>
      </c>
      <c r="L2895" s="52" t="s">
        <v>607</v>
      </c>
      <c r="M2895" s="52" t="s">
        <v>607</v>
      </c>
      <c r="N2895" s="52" t="s">
        <v>607</v>
      </c>
      <c r="O2895" s="52"/>
      <c r="P2895" s="52"/>
      <c r="Q2895" s="52"/>
      <c r="R2895" s="51" t="b">
        <v>0</v>
      </c>
      <c r="S2895" s="51"/>
      <c r="T2895" s="52"/>
      <c r="U2895" s="51" t="b">
        <v>0</v>
      </c>
      <c r="V2895" s="51" t="b">
        <v>0</v>
      </c>
      <c r="W2895" s="51" t="b">
        <v>0</v>
      </c>
      <c r="X2895" s="51" t="b">
        <v>0</v>
      </c>
      <c r="Y2895" s="51" t="b">
        <v>0</v>
      </c>
      <c r="Z2895" s="51" t="b">
        <v>0</v>
      </c>
      <c r="AA2895" s="68"/>
      <c r="AB2895" s="52"/>
      <c r="AC2895" s="52"/>
      <c r="AD2895" s="52"/>
      <c r="AE2895" s="56" t="s">
        <v>607</v>
      </c>
      <c r="AF2895" s="56" t="s">
        <v>607</v>
      </c>
    </row>
    <row r="2896">
      <c r="A2896" s="52" t="s">
        <v>6612</v>
      </c>
      <c r="B2896" s="52" t="s">
        <v>607</v>
      </c>
      <c r="C2896" s="52" t="s">
        <v>607</v>
      </c>
      <c r="D2896" s="65" t="s">
        <v>607</v>
      </c>
      <c r="E2896" s="65" t="s">
        <v>607</v>
      </c>
      <c r="F2896" s="65" t="s">
        <v>607</v>
      </c>
      <c r="G2896" s="65" t="s">
        <v>607</v>
      </c>
      <c r="H2896" s="52" t="s">
        <v>607</v>
      </c>
      <c r="I2896" s="52" t="s">
        <v>607</v>
      </c>
      <c r="J2896" s="52" t="s">
        <v>607</v>
      </c>
      <c r="K2896" s="52" t="s">
        <v>607</v>
      </c>
      <c r="L2896" s="52" t="s">
        <v>607</v>
      </c>
      <c r="M2896" s="52" t="s">
        <v>607</v>
      </c>
      <c r="N2896" s="52" t="s">
        <v>607</v>
      </c>
      <c r="O2896" s="52"/>
      <c r="P2896" s="52"/>
      <c r="Q2896" s="52"/>
      <c r="R2896" s="51" t="b">
        <v>0</v>
      </c>
      <c r="S2896" s="51"/>
      <c r="T2896" s="52"/>
      <c r="U2896" s="51" t="b">
        <v>0</v>
      </c>
      <c r="V2896" s="51" t="b">
        <v>0</v>
      </c>
      <c r="W2896" s="51" t="b">
        <v>0</v>
      </c>
      <c r="X2896" s="51" t="b">
        <v>0</v>
      </c>
      <c r="Y2896" s="51" t="b">
        <v>0</v>
      </c>
      <c r="Z2896" s="51" t="b">
        <v>0</v>
      </c>
      <c r="AA2896" s="68"/>
      <c r="AB2896" s="52"/>
      <c r="AC2896" s="52"/>
      <c r="AD2896" s="52"/>
      <c r="AE2896" s="56" t="s">
        <v>607</v>
      </c>
      <c r="AF2896" s="56" t="s">
        <v>607</v>
      </c>
    </row>
    <row r="2897">
      <c r="A2897" s="52" t="s">
        <v>6614</v>
      </c>
      <c r="B2897" s="52" t="s">
        <v>607</v>
      </c>
      <c r="C2897" s="52" t="s">
        <v>607</v>
      </c>
      <c r="D2897" s="65" t="s">
        <v>607</v>
      </c>
      <c r="E2897" s="65" t="s">
        <v>607</v>
      </c>
      <c r="F2897" s="65" t="s">
        <v>607</v>
      </c>
      <c r="G2897" s="65" t="s">
        <v>607</v>
      </c>
      <c r="H2897" s="52" t="s">
        <v>607</v>
      </c>
      <c r="I2897" s="52" t="s">
        <v>607</v>
      </c>
      <c r="J2897" s="52" t="s">
        <v>607</v>
      </c>
      <c r="K2897" s="52" t="s">
        <v>607</v>
      </c>
      <c r="L2897" s="52" t="s">
        <v>607</v>
      </c>
      <c r="M2897" s="52" t="s">
        <v>607</v>
      </c>
      <c r="N2897" s="52" t="s">
        <v>607</v>
      </c>
      <c r="O2897" s="52"/>
      <c r="P2897" s="52"/>
      <c r="Q2897" s="52"/>
      <c r="R2897" s="51" t="b">
        <v>0</v>
      </c>
      <c r="S2897" s="51"/>
      <c r="T2897" s="52"/>
      <c r="U2897" s="51" t="b">
        <v>0</v>
      </c>
      <c r="V2897" s="51" t="b">
        <v>0</v>
      </c>
      <c r="W2897" s="51" t="b">
        <v>0</v>
      </c>
      <c r="X2897" s="51" t="b">
        <v>0</v>
      </c>
      <c r="Y2897" s="51" t="b">
        <v>0</v>
      </c>
      <c r="Z2897" s="51" t="b">
        <v>0</v>
      </c>
      <c r="AA2897" s="68"/>
      <c r="AB2897" s="52"/>
      <c r="AC2897" s="52"/>
      <c r="AD2897" s="52"/>
      <c r="AE2897" s="56" t="s">
        <v>607</v>
      </c>
      <c r="AF2897" s="56" t="s">
        <v>607</v>
      </c>
    </row>
    <row r="2898">
      <c r="A2898" s="52" t="s">
        <v>6617</v>
      </c>
      <c r="B2898" s="52" t="s">
        <v>607</v>
      </c>
      <c r="C2898" s="52" t="s">
        <v>607</v>
      </c>
      <c r="D2898" s="65" t="s">
        <v>607</v>
      </c>
      <c r="E2898" s="65" t="s">
        <v>607</v>
      </c>
      <c r="F2898" s="65" t="s">
        <v>607</v>
      </c>
      <c r="G2898" s="65" t="s">
        <v>607</v>
      </c>
      <c r="H2898" s="52" t="s">
        <v>607</v>
      </c>
      <c r="I2898" s="52" t="s">
        <v>607</v>
      </c>
      <c r="J2898" s="52" t="s">
        <v>607</v>
      </c>
      <c r="K2898" s="52" t="s">
        <v>607</v>
      </c>
      <c r="L2898" s="52" t="s">
        <v>607</v>
      </c>
      <c r="M2898" s="52" t="s">
        <v>607</v>
      </c>
      <c r="N2898" s="52" t="s">
        <v>607</v>
      </c>
      <c r="O2898" s="52"/>
      <c r="P2898" s="52"/>
      <c r="Q2898" s="52"/>
      <c r="R2898" s="51" t="b">
        <v>0</v>
      </c>
      <c r="S2898" s="51"/>
      <c r="T2898" s="52"/>
      <c r="U2898" s="51" t="b">
        <v>0</v>
      </c>
      <c r="V2898" s="51" t="b">
        <v>0</v>
      </c>
      <c r="W2898" s="51" t="b">
        <v>0</v>
      </c>
      <c r="X2898" s="51" t="b">
        <v>0</v>
      </c>
      <c r="Y2898" s="51" t="b">
        <v>0</v>
      </c>
      <c r="Z2898" s="51" t="b">
        <v>0</v>
      </c>
      <c r="AA2898" s="68"/>
      <c r="AB2898" s="52"/>
      <c r="AC2898" s="52"/>
      <c r="AD2898" s="52"/>
      <c r="AE2898" s="56" t="s">
        <v>607</v>
      </c>
      <c r="AF2898" s="56" t="s">
        <v>607</v>
      </c>
    </row>
    <row r="2899">
      <c r="A2899" s="52" t="s">
        <v>6618</v>
      </c>
      <c r="B2899" s="52" t="s">
        <v>607</v>
      </c>
      <c r="C2899" s="52" t="s">
        <v>607</v>
      </c>
      <c r="D2899" s="65" t="s">
        <v>607</v>
      </c>
      <c r="E2899" s="65" t="s">
        <v>607</v>
      </c>
      <c r="F2899" s="65" t="s">
        <v>607</v>
      </c>
      <c r="G2899" s="65" t="s">
        <v>607</v>
      </c>
      <c r="H2899" s="52" t="s">
        <v>607</v>
      </c>
      <c r="I2899" s="52" t="s">
        <v>607</v>
      </c>
      <c r="J2899" s="52" t="s">
        <v>607</v>
      </c>
      <c r="K2899" s="52" t="s">
        <v>607</v>
      </c>
      <c r="L2899" s="52" t="s">
        <v>607</v>
      </c>
      <c r="M2899" s="52" t="s">
        <v>607</v>
      </c>
      <c r="N2899" s="52" t="s">
        <v>607</v>
      </c>
      <c r="O2899" s="52"/>
      <c r="P2899" s="52"/>
      <c r="Q2899" s="52"/>
      <c r="R2899" s="51" t="b">
        <v>0</v>
      </c>
      <c r="S2899" s="51"/>
      <c r="T2899" s="52"/>
      <c r="U2899" s="51" t="b">
        <v>0</v>
      </c>
      <c r="V2899" s="51" t="b">
        <v>0</v>
      </c>
      <c r="W2899" s="51" t="b">
        <v>0</v>
      </c>
      <c r="X2899" s="51" t="b">
        <v>0</v>
      </c>
      <c r="Y2899" s="51" t="b">
        <v>0</v>
      </c>
      <c r="Z2899" s="51" t="b">
        <v>0</v>
      </c>
      <c r="AA2899" s="68"/>
      <c r="AB2899" s="52"/>
      <c r="AC2899" s="52"/>
      <c r="AD2899" s="52"/>
      <c r="AE2899" s="56" t="s">
        <v>607</v>
      </c>
      <c r="AF2899" s="56" t="s">
        <v>607</v>
      </c>
    </row>
    <row r="2900">
      <c r="A2900" s="52" t="s">
        <v>6619</v>
      </c>
      <c r="B2900" s="52" t="s">
        <v>607</v>
      </c>
      <c r="C2900" s="52" t="s">
        <v>607</v>
      </c>
      <c r="D2900" s="65" t="s">
        <v>607</v>
      </c>
      <c r="E2900" s="65" t="s">
        <v>607</v>
      </c>
      <c r="F2900" s="65" t="s">
        <v>607</v>
      </c>
      <c r="G2900" s="65" t="s">
        <v>607</v>
      </c>
      <c r="H2900" s="52" t="s">
        <v>607</v>
      </c>
      <c r="I2900" s="52" t="s">
        <v>607</v>
      </c>
      <c r="J2900" s="52" t="s">
        <v>607</v>
      </c>
      <c r="K2900" s="52" t="s">
        <v>607</v>
      </c>
      <c r="L2900" s="52" t="s">
        <v>607</v>
      </c>
      <c r="M2900" s="52" t="s">
        <v>607</v>
      </c>
      <c r="N2900" s="52" t="s">
        <v>607</v>
      </c>
      <c r="O2900" s="52"/>
      <c r="P2900" s="52"/>
      <c r="Q2900" s="52"/>
      <c r="R2900" s="51" t="b">
        <v>0</v>
      </c>
      <c r="S2900" s="51"/>
      <c r="T2900" s="52"/>
      <c r="U2900" s="51" t="b">
        <v>0</v>
      </c>
      <c r="V2900" s="51" t="b">
        <v>0</v>
      </c>
      <c r="W2900" s="51" t="b">
        <v>0</v>
      </c>
      <c r="X2900" s="51" t="b">
        <v>0</v>
      </c>
      <c r="Y2900" s="51" t="b">
        <v>0</v>
      </c>
      <c r="Z2900" s="51" t="b">
        <v>0</v>
      </c>
      <c r="AA2900" s="68"/>
      <c r="AB2900" s="52"/>
      <c r="AC2900" s="52"/>
      <c r="AD2900" s="52"/>
      <c r="AE2900" s="56" t="s">
        <v>607</v>
      </c>
      <c r="AF2900" s="56" t="s">
        <v>607</v>
      </c>
    </row>
    <row r="2901">
      <c r="A2901" s="52" t="s">
        <v>6620</v>
      </c>
      <c r="B2901" s="52" t="s">
        <v>607</v>
      </c>
      <c r="C2901" s="52" t="s">
        <v>607</v>
      </c>
      <c r="D2901" s="65" t="s">
        <v>607</v>
      </c>
      <c r="E2901" s="65" t="s">
        <v>607</v>
      </c>
      <c r="F2901" s="65" t="s">
        <v>607</v>
      </c>
      <c r="G2901" s="65" t="s">
        <v>607</v>
      </c>
      <c r="H2901" s="52" t="s">
        <v>607</v>
      </c>
      <c r="I2901" s="52" t="s">
        <v>607</v>
      </c>
      <c r="J2901" s="52" t="s">
        <v>607</v>
      </c>
      <c r="K2901" s="52" t="s">
        <v>607</v>
      </c>
      <c r="L2901" s="52" t="s">
        <v>607</v>
      </c>
      <c r="M2901" s="52" t="s">
        <v>607</v>
      </c>
      <c r="N2901" s="52" t="s">
        <v>607</v>
      </c>
      <c r="O2901" s="52"/>
      <c r="P2901" s="52"/>
      <c r="Q2901" s="52"/>
      <c r="R2901" s="51" t="b">
        <v>0</v>
      </c>
      <c r="S2901" s="51"/>
      <c r="T2901" s="52"/>
      <c r="U2901" s="51" t="b">
        <v>0</v>
      </c>
      <c r="V2901" s="51" t="b">
        <v>0</v>
      </c>
      <c r="W2901" s="51" t="b">
        <v>0</v>
      </c>
      <c r="X2901" s="51" t="b">
        <v>0</v>
      </c>
      <c r="Y2901" s="51" t="b">
        <v>0</v>
      </c>
      <c r="Z2901" s="51" t="b">
        <v>0</v>
      </c>
      <c r="AA2901" s="68"/>
      <c r="AB2901" s="52"/>
      <c r="AC2901" s="52"/>
      <c r="AD2901" s="52"/>
      <c r="AE2901" s="56" t="s">
        <v>607</v>
      </c>
      <c r="AF2901" s="56" t="s">
        <v>607</v>
      </c>
    </row>
    <row r="2902">
      <c r="A2902" s="52" t="s">
        <v>6621</v>
      </c>
      <c r="B2902" s="52" t="s">
        <v>607</v>
      </c>
      <c r="C2902" s="52" t="s">
        <v>607</v>
      </c>
      <c r="D2902" s="65" t="s">
        <v>607</v>
      </c>
      <c r="E2902" s="65" t="s">
        <v>607</v>
      </c>
      <c r="F2902" s="65" t="s">
        <v>607</v>
      </c>
      <c r="G2902" s="65" t="s">
        <v>607</v>
      </c>
      <c r="H2902" s="52" t="s">
        <v>607</v>
      </c>
      <c r="I2902" s="52" t="s">
        <v>607</v>
      </c>
      <c r="J2902" s="52" t="s">
        <v>607</v>
      </c>
      <c r="K2902" s="52" t="s">
        <v>607</v>
      </c>
      <c r="L2902" s="52" t="s">
        <v>607</v>
      </c>
      <c r="M2902" s="52" t="s">
        <v>607</v>
      </c>
      <c r="N2902" s="52" t="s">
        <v>607</v>
      </c>
      <c r="O2902" s="52"/>
      <c r="P2902" s="52"/>
      <c r="Q2902" s="52"/>
      <c r="R2902" s="51" t="b">
        <v>0</v>
      </c>
      <c r="S2902" s="51"/>
      <c r="T2902" s="52"/>
      <c r="U2902" s="51" t="b">
        <v>0</v>
      </c>
      <c r="V2902" s="51" t="b">
        <v>0</v>
      </c>
      <c r="W2902" s="51" t="b">
        <v>0</v>
      </c>
      <c r="X2902" s="51" t="b">
        <v>0</v>
      </c>
      <c r="Y2902" s="51" t="b">
        <v>0</v>
      </c>
      <c r="Z2902" s="51" t="b">
        <v>0</v>
      </c>
      <c r="AA2902" s="68"/>
      <c r="AB2902" s="52"/>
      <c r="AC2902" s="52"/>
      <c r="AD2902" s="52"/>
      <c r="AE2902" s="56" t="s">
        <v>607</v>
      </c>
      <c r="AF2902" s="56" t="s">
        <v>607</v>
      </c>
    </row>
    <row r="2903">
      <c r="A2903" s="52" t="s">
        <v>6622</v>
      </c>
      <c r="B2903" s="52" t="s">
        <v>607</v>
      </c>
      <c r="C2903" s="52" t="s">
        <v>607</v>
      </c>
      <c r="D2903" s="65" t="s">
        <v>607</v>
      </c>
      <c r="E2903" s="65" t="s">
        <v>607</v>
      </c>
      <c r="F2903" s="65" t="s">
        <v>607</v>
      </c>
      <c r="G2903" s="65" t="s">
        <v>607</v>
      </c>
      <c r="H2903" s="52" t="s">
        <v>607</v>
      </c>
      <c r="I2903" s="52" t="s">
        <v>607</v>
      </c>
      <c r="J2903" s="52" t="s">
        <v>607</v>
      </c>
      <c r="K2903" s="52" t="s">
        <v>607</v>
      </c>
      <c r="L2903" s="52" t="s">
        <v>607</v>
      </c>
      <c r="M2903" s="52" t="s">
        <v>607</v>
      </c>
      <c r="N2903" s="52" t="s">
        <v>607</v>
      </c>
      <c r="O2903" s="52"/>
      <c r="P2903" s="52"/>
      <c r="Q2903" s="52"/>
      <c r="R2903" s="51" t="b">
        <v>0</v>
      </c>
      <c r="S2903" s="51"/>
      <c r="T2903" s="52"/>
      <c r="U2903" s="51" t="b">
        <v>0</v>
      </c>
      <c r="V2903" s="51" t="b">
        <v>0</v>
      </c>
      <c r="W2903" s="51" t="b">
        <v>0</v>
      </c>
      <c r="X2903" s="51" t="b">
        <v>0</v>
      </c>
      <c r="Y2903" s="51" t="b">
        <v>0</v>
      </c>
      <c r="Z2903" s="51" t="b">
        <v>0</v>
      </c>
      <c r="AA2903" s="68"/>
      <c r="AB2903" s="52"/>
      <c r="AC2903" s="52"/>
      <c r="AD2903" s="52"/>
      <c r="AE2903" s="56" t="s">
        <v>607</v>
      </c>
      <c r="AF2903" s="56" t="s">
        <v>607</v>
      </c>
    </row>
    <row r="2904">
      <c r="A2904" s="52" t="s">
        <v>6624</v>
      </c>
      <c r="B2904" s="52" t="s">
        <v>607</v>
      </c>
      <c r="C2904" s="52" t="s">
        <v>607</v>
      </c>
      <c r="D2904" s="65" t="s">
        <v>607</v>
      </c>
      <c r="E2904" s="65" t="s">
        <v>607</v>
      </c>
      <c r="F2904" s="65" t="s">
        <v>607</v>
      </c>
      <c r="G2904" s="65" t="s">
        <v>607</v>
      </c>
      <c r="H2904" s="52" t="s">
        <v>607</v>
      </c>
      <c r="I2904" s="52" t="s">
        <v>607</v>
      </c>
      <c r="J2904" s="52" t="s">
        <v>607</v>
      </c>
      <c r="K2904" s="52" t="s">
        <v>607</v>
      </c>
      <c r="L2904" s="52" t="s">
        <v>607</v>
      </c>
      <c r="M2904" s="52" t="s">
        <v>607</v>
      </c>
      <c r="N2904" s="52" t="s">
        <v>607</v>
      </c>
      <c r="O2904" s="52"/>
      <c r="P2904" s="52"/>
      <c r="Q2904" s="52"/>
      <c r="R2904" s="51" t="b">
        <v>0</v>
      </c>
      <c r="S2904" s="51"/>
      <c r="T2904" s="52"/>
      <c r="U2904" s="51" t="b">
        <v>0</v>
      </c>
      <c r="V2904" s="51" t="b">
        <v>0</v>
      </c>
      <c r="W2904" s="51" t="b">
        <v>0</v>
      </c>
      <c r="X2904" s="51" t="b">
        <v>0</v>
      </c>
      <c r="Y2904" s="51" t="b">
        <v>0</v>
      </c>
      <c r="Z2904" s="51" t="b">
        <v>0</v>
      </c>
      <c r="AA2904" s="68"/>
      <c r="AB2904" s="52"/>
      <c r="AC2904" s="52"/>
      <c r="AD2904" s="52"/>
      <c r="AE2904" s="56" t="s">
        <v>607</v>
      </c>
      <c r="AF2904" s="56" t="s">
        <v>607</v>
      </c>
    </row>
    <row r="2905">
      <c r="A2905" s="52" t="s">
        <v>6625</v>
      </c>
      <c r="B2905" s="52" t="s">
        <v>607</v>
      </c>
      <c r="C2905" s="52" t="s">
        <v>607</v>
      </c>
      <c r="D2905" s="65" t="s">
        <v>607</v>
      </c>
      <c r="E2905" s="65" t="s">
        <v>607</v>
      </c>
      <c r="F2905" s="65" t="s">
        <v>607</v>
      </c>
      <c r="G2905" s="65" t="s">
        <v>607</v>
      </c>
      <c r="H2905" s="52" t="s">
        <v>607</v>
      </c>
      <c r="I2905" s="52" t="s">
        <v>607</v>
      </c>
      <c r="J2905" s="52" t="s">
        <v>607</v>
      </c>
      <c r="K2905" s="52" t="s">
        <v>607</v>
      </c>
      <c r="L2905" s="52" t="s">
        <v>607</v>
      </c>
      <c r="M2905" s="52" t="s">
        <v>607</v>
      </c>
      <c r="N2905" s="52" t="s">
        <v>607</v>
      </c>
      <c r="O2905" s="52"/>
      <c r="P2905" s="52"/>
      <c r="Q2905" s="52"/>
      <c r="R2905" s="51" t="b">
        <v>0</v>
      </c>
      <c r="S2905" s="51"/>
      <c r="T2905" s="52"/>
      <c r="U2905" s="51" t="b">
        <v>0</v>
      </c>
      <c r="V2905" s="51" t="b">
        <v>0</v>
      </c>
      <c r="W2905" s="51" t="b">
        <v>0</v>
      </c>
      <c r="X2905" s="51" t="b">
        <v>0</v>
      </c>
      <c r="Y2905" s="51" t="b">
        <v>0</v>
      </c>
      <c r="Z2905" s="51" t="b">
        <v>0</v>
      </c>
      <c r="AA2905" s="68"/>
      <c r="AB2905" s="52"/>
      <c r="AC2905" s="52"/>
      <c r="AD2905" s="52"/>
      <c r="AE2905" s="56" t="s">
        <v>607</v>
      </c>
      <c r="AF2905" s="56" t="s">
        <v>607</v>
      </c>
    </row>
    <row r="2906">
      <c r="A2906" s="52" t="s">
        <v>6628</v>
      </c>
      <c r="B2906" s="52" t="s">
        <v>607</v>
      </c>
      <c r="C2906" s="52" t="s">
        <v>607</v>
      </c>
      <c r="D2906" s="65" t="s">
        <v>607</v>
      </c>
      <c r="E2906" s="65" t="s">
        <v>607</v>
      </c>
      <c r="F2906" s="65" t="s">
        <v>607</v>
      </c>
      <c r="G2906" s="65" t="s">
        <v>607</v>
      </c>
      <c r="H2906" s="52" t="s">
        <v>607</v>
      </c>
      <c r="I2906" s="52" t="s">
        <v>607</v>
      </c>
      <c r="J2906" s="52" t="s">
        <v>607</v>
      </c>
      <c r="K2906" s="52" t="s">
        <v>607</v>
      </c>
      <c r="L2906" s="52" t="s">
        <v>607</v>
      </c>
      <c r="M2906" s="52" t="s">
        <v>607</v>
      </c>
      <c r="N2906" s="52" t="s">
        <v>607</v>
      </c>
      <c r="O2906" s="52"/>
      <c r="P2906" s="52"/>
      <c r="Q2906" s="52"/>
      <c r="R2906" s="51" t="b">
        <v>0</v>
      </c>
      <c r="S2906" s="51"/>
      <c r="T2906" s="52"/>
      <c r="U2906" s="51" t="b">
        <v>0</v>
      </c>
      <c r="V2906" s="51" t="b">
        <v>0</v>
      </c>
      <c r="W2906" s="51" t="b">
        <v>0</v>
      </c>
      <c r="X2906" s="51" t="b">
        <v>0</v>
      </c>
      <c r="Y2906" s="51" t="b">
        <v>0</v>
      </c>
      <c r="Z2906" s="51" t="b">
        <v>0</v>
      </c>
      <c r="AA2906" s="68"/>
      <c r="AB2906" s="52"/>
      <c r="AC2906" s="52"/>
      <c r="AD2906" s="52"/>
      <c r="AE2906" s="56" t="s">
        <v>607</v>
      </c>
      <c r="AF2906" s="56" t="s">
        <v>607</v>
      </c>
    </row>
    <row r="2907">
      <c r="A2907" s="52" t="s">
        <v>6629</v>
      </c>
      <c r="B2907" s="52" t="s">
        <v>607</v>
      </c>
      <c r="C2907" s="52" t="s">
        <v>607</v>
      </c>
      <c r="D2907" s="65" t="s">
        <v>607</v>
      </c>
      <c r="E2907" s="65" t="s">
        <v>607</v>
      </c>
      <c r="F2907" s="65" t="s">
        <v>607</v>
      </c>
      <c r="G2907" s="65" t="s">
        <v>607</v>
      </c>
      <c r="H2907" s="52" t="s">
        <v>607</v>
      </c>
      <c r="I2907" s="52" t="s">
        <v>607</v>
      </c>
      <c r="J2907" s="52" t="s">
        <v>607</v>
      </c>
      <c r="K2907" s="52" t="s">
        <v>607</v>
      </c>
      <c r="L2907" s="52" t="s">
        <v>607</v>
      </c>
      <c r="M2907" s="52" t="s">
        <v>607</v>
      </c>
      <c r="N2907" s="52" t="s">
        <v>607</v>
      </c>
      <c r="O2907" s="52"/>
      <c r="P2907" s="52"/>
      <c r="Q2907" s="52"/>
      <c r="R2907" s="51" t="b">
        <v>0</v>
      </c>
      <c r="S2907" s="51"/>
      <c r="T2907" s="52"/>
      <c r="U2907" s="51" t="b">
        <v>0</v>
      </c>
      <c r="V2907" s="51" t="b">
        <v>0</v>
      </c>
      <c r="W2907" s="51" t="b">
        <v>0</v>
      </c>
      <c r="X2907" s="51" t="b">
        <v>0</v>
      </c>
      <c r="Y2907" s="51" t="b">
        <v>0</v>
      </c>
      <c r="Z2907" s="51" t="b">
        <v>0</v>
      </c>
      <c r="AA2907" s="68"/>
      <c r="AB2907" s="52"/>
      <c r="AC2907" s="52"/>
      <c r="AD2907" s="52"/>
      <c r="AE2907" s="56" t="s">
        <v>607</v>
      </c>
      <c r="AF2907" s="56" t="s">
        <v>607</v>
      </c>
    </row>
    <row r="2908">
      <c r="A2908" s="52" t="s">
        <v>6631</v>
      </c>
      <c r="B2908" s="52" t="s">
        <v>607</v>
      </c>
      <c r="C2908" s="52" t="s">
        <v>607</v>
      </c>
      <c r="D2908" s="65" t="s">
        <v>607</v>
      </c>
      <c r="E2908" s="65" t="s">
        <v>607</v>
      </c>
      <c r="F2908" s="65" t="s">
        <v>607</v>
      </c>
      <c r="G2908" s="65" t="s">
        <v>607</v>
      </c>
      <c r="H2908" s="52" t="s">
        <v>607</v>
      </c>
      <c r="I2908" s="52" t="s">
        <v>607</v>
      </c>
      <c r="J2908" s="52" t="s">
        <v>607</v>
      </c>
      <c r="K2908" s="52" t="s">
        <v>607</v>
      </c>
      <c r="L2908" s="52" t="s">
        <v>607</v>
      </c>
      <c r="M2908" s="52" t="s">
        <v>607</v>
      </c>
      <c r="N2908" s="52" t="s">
        <v>607</v>
      </c>
      <c r="O2908" s="52"/>
      <c r="P2908" s="52"/>
      <c r="Q2908" s="52"/>
      <c r="R2908" s="51" t="b">
        <v>0</v>
      </c>
      <c r="S2908" s="51"/>
      <c r="T2908" s="52"/>
      <c r="U2908" s="51" t="b">
        <v>0</v>
      </c>
      <c r="V2908" s="51" t="b">
        <v>0</v>
      </c>
      <c r="W2908" s="51" t="b">
        <v>0</v>
      </c>
      <c r="X2908" s="51" t="b">
        <v>0</v>
      </c>
      <c r="Y2908" s="51" t="b">
        <v>0</v>
      </c>
      <c r="Z2908" s="51" t="b">
        <v>0</v>
      </c>
      <c r="AA2908" s="68"/>
      <c r="AB2908" s="52"/>
      <c r="AC2908" s="52"/>
      <c r="AD2908" s="52"/>
      <c r="AE2908" s="56" t="s">
        <v>607</v>
      </c>
      <c r="AF2908" s="56" t="s">
        <v>607</v>
      </c>
    </row>
    <row r="2909">
      <c r="A2909" s="52" t="s">
        <v>6632</v>
      </c>
      <c r="B2909" s="52" t="s">
        <v>607</v>
      </c>
      <c r="C2909" s="52" t="s">
        <v>607</v>
      </c>
      <c r="D2909" s="65" t="s">
        <v>607</v>
      </c>
      <c r="E2909" s="65" t="s">
        <v>607</v>
      </c>
      <c r="F2909" s="65" t="s">
        <v>607</v>
      </c>
      <c r="G2909" s="65" t="s">
        <v>607</v>
      </c>
      <c r="H2909" s="52" t="s">
        <v>607</v>
      </c>
      <c r="I2909" s="52" t="s">
        <v>607</v>
      </c>
      <c r="J2909" s="52" t="s">
        <v>607</v>
      </c>
      <c r="K2909" s="52" t="s">
        <v>607</v>
      </c>
      <c r="L2909" s="52" t="s">
        <v>607</v>
      </c>
      <c r="M2909" s="52" t="s">
        <v>607</v>
      </c>
      <c r="N2909" s="52" t="s">
        <v>607</v>
      </c>
      <c r="O2909" s="52"/>
      <c r="P2909" s="52"/>
      <c r="Q2909" s="52"/>
      <c r="R2909" s="51" t="b">
        <v>0</v>
      </c>
      <c r="S2909" s="51"/>
      <c r="T2909" s="52"/>
      <c r="U2909" s="51" t="b">
        <v>0</v>
      </c>
      <c r="V2909" s="51" t="b">
        <v>0</v>
      </c>
      <c r="W2909" s="51" t="b">
        <v>0</v>
      </c>
      <c r="X2909" s="51" t="b">
        <v>0</v>
      </c>
      <c r="Y2909" s="51" t="b">
        <v>0</v>
      </c>
      <c r="Z2909" s="51" t="b">
        <v>0</v>
      </c>
      <c r="AA2909" s="68"/>
      <c r="AB2909" s="52"/>
      <c r="AC2909" s="52"/>
      <c r="AD2909" s="52"/>
      <c r="AE2909" s="56" t="s">
        <v>607</v>
      </c>
      <c r="AF2909" s="56" t="s">
        <v>607</v>
      </c>
    </row>
    <row r="2910">
      <c r="A2910" s="52" t="s">
        <v>6633</v>
      </c>
      <c r="B2910" s="52" t="s">
        <v>607</v>
      </c>
      <c r="C2910" s="52" t="s">
        <v>607</v>
      </c>
      <c r="D2910" s="65" t="s">
        <v>607</v>
      </c>
      <c r="E2910" s="65" t="s">
        <v>607</v>
      </c>
      <c r="F2910" s="65" t="s">
        <v>607</v>
      </c>
      <c r="G2910" s="65" t="s">
        <v>607</v>
      </c>
      <c r="H2910" s="52" t="s">
        <v>607</v>
      </c>
      <c r="I2910" s="52" t="s">
        <v>607</v>
      </c>
      <c r="J2910" s="52" t="s">
        <v>607</v>
      </c>
      <c r="K2910" s="52" t="s">
        <v>607</v>
      </c>
      <c r="L2910" s="52" t="s">
        <v>607</v>
      </c>
      <c r="M2910" s="52" t="s">
        <v>607</v>
      </c>
      <c r="N2910" s="52" t="s">
        <v>607</v>
      </c>
      <c r="O2910" s="52"/>
      <c r="P2910" s="52"/>
      <c r="Q2910" s="52"/>
      <c r="R2910" s="51" t="b">
        <v>0</v>
      </c>
      <c r="S2910" s="51"/>
      <c r="T2910" s="52"/>
      <c r="U2910" s="51" t="b">
        <v>0</v>
      </c>
      <c r="V2910" s="51" t="b">
        <v>0</v>
      </c>
      <c r="W2910" s="51" t="b">
        <v>0</v>
      </c>
      <c r="X2910" s="51" t="b">
        <v>0</v>
      </c>
      <c r="Y2910" s="51" t="b">
        <v>0</v>
      </c>
      <c r="Z2910" s="51" t="b">
        <v>0</v>
      </c>
      <c r="AA2910" s="68"/>
      <c r="AB2910" s="52"/>
      <c r="AC2910" s="52"/>
      <c r="AD2910" s="52"/>
      <c r="AE2910" s="56" t="s">
        <v>607</v>
      </c>
      <c r="AF2910" s="56" t="s">
        <v>607</v>
      </c>
    </row>
    <row r="2911">
      <c r="A2911" s="52" t="s">
        <v>6634</v>
      </c>
      <c r="B2911" s="52" t="s">
        <v>607</v>
      </c>
      <c r="C2911" s="52" t="s">
        <v>607</v>
      </c>
      <c r="D2911" s="65" t="s">
        <v>607</v>
      </c>
      <c r="E2911" s="65" t="s">
        <v>607</v>
      </c>
      <c r="F2911" s="65" t="s">
        <v>607</v>
      </c>
      <c r="G2911" s="65" t="s">
        <v>607</v>
      </c>
      <c r="H2911" s="52" t="s">
        <v>607</v>
      </c>
      <c r="I2911" s="52" t="s">
        <v>607</v>
      </c>
      <c r="J2911" s="52" t="s">
        <v>607</v>
      </c>
      <c r="K2911" s="52" t="s">
        <v>607</v>
      </c>
      <c r="L2911" s="52" t="s">
        <v>607</v>
      </c>
      <c r="M2911" s="52" t="s">
        <v>607</v>
      </c>
      <c r="N2911" s="52" t="s">
        <v>607</v>
      </c>
      <c r="O2911" s="52"/>
      <c r="P2911" s="52"/>
      <c r="Q2911" s="52"/>
      <c r="R2911" s="51" t="b">
        <v>0</v>
      </c>
      <c r="S2911" s="51"/>
      <c r="T2911" s="52"/>
      <c r="U2911" s="51" t="b">
        <v>0</v>
      </c>
      <c r="V2911" s="51" t="b">
        <v>0</v>
      </c>
      <c r="W2911" s="51" t="b">
        <v>0</v>
      </c>
      <c r="X2911" s="51" t="b">
        <v>0</v>
      </c>
      <c r="Y2911" s="51" t="b">
        <v>0</v>
      </c>
      <c r="Z2911" s="51" t="b">
        <v>0</v>
      </c>
      <c r="AA2911" s="68"/>
      <c r="AB2911" s="52"/>
      <c r="AC2911" s="52"/>
      <c r="AD2911" s="52"/>
      <c r="AE2911" s="56" t="s">
        <v>607</v>
      </c>
      <c r="AF2911" s="56" t="s">
        <v>607</v>
      </c>
    </row>
    <row r="2912">
      <c r="A2912" s="52" t="s">
        <v>6635</v>
      </c>
      <c r="B2912" s="52" t="s">
        <v>607</v>
      </c>
      <c r="C2912" s="52" t="s">
        <v>607</v>
      </c>
      <c r="D2912" s="65" t="s">
        <v>607</v>
      </c>
      <c r="E2912" s="65" t="s">
        <v>607</v>
      </c>
      <c r="F2912" s="65" t="s">
        <v>607</v>
      </c>
      <c r="G2912" s="65" t="s">
        <v>607</v>
      </c>
      <c r="H2912" s="52" t="s">
        <v>607</v>
      </c>
      <c r="I2912" s="52" t="s">
        <v>607</v>
      </c>
      <c r="J2912" s="52" t="s">
        <v>607</v>
      </c>
      <c r="K2912" s="52" t="s">
        <v>607</v>
      </c>
      <c r="L2912" s="52" t="s">
        <v>607</v>
      </c>
      <c r="M2912" s="52" t="s">
        <v>607</v>
      </c>
      <c r="N2912" s="52" t="s">
        <v>607</v>
      </c>
      <c r="O2912" s="52"/>
      <c r="P2912" s="52"/>
      <c r="Q2912" s="52"/>
      <c r="R2912" s="51" t="b">
        <v>0</v>
      </c>
      <c r="S2912" s="51"/>
      <c r="T2912" s="52"/>
      <c r="U2912" s="51" t="b">
        <v>0</v>
      </c>
      <c r="V2912" s="51" t="b">
        <v>0</v>
      </c>
      <c r="W2912" s="51" t="b">
        <v>0</v>
      </c>
      <c r="X2912" s="51" t="b">
        <v>0</v>
      </c>
      <c r="Y2912" s="51" t="b">
        <v>0</v>
      </c>
      <c r="Z2912" s="51" t="b">
        <v>0</v>
      </c>
      <c r="AA2912" s="68"/>
      <c r="AB2912" s="52"/>
      <c r="AC2912" s="52"/>
      <c r="AD2912" s="52"/>
      <c r="AE2912" s="56" t="s">
        <v>607</v>
      </c>
      <c r="AF2912" s="56" t="s">
        <v>607</v>
      </c>
    </row>
    <row r="2913">
      <c r="A2913" s="52" t="s">
        <v>6637</v>
      </c>
      <c r="B2913" s="52" t="s">
        <v>607</v>
      </c>
      <c r="C2913" s="52" t="s">
        <v>607</v>
      </c>
      <c r="D2913" s="65" t="s">
        <v>607</v>
      </c>
      <c r="E2913" s="65" t="s">
        <v>607</v>
      </c>
      <c r="F2913" s="65" t="s">
        <v>607</v>
      </c>
      <c r="G2913" s="65" t="s">
        <v>607</v>
      </c>
      <c r="H2913" s="52" t="s">
        <v>607</v>
      </c>
      <c r="I2913" s="52" t="s">
        <v>607</v>
      </c>
      <c r="J2913" s="52" t="s">
        <v>607</v>
      </c>
      <c r="K2913" s="52" t="s">
        <v>607</v>
      </c>
      <c r="L2913" s="52" t="s">
        <v>607</v>
      </c>
      <c r="M2913" s="52" t="s">
        <v>607</v>
      </c>
      <c r="N2913" s="52" t="s">
        <v>607</v>
      </c>
      <c r="O2913" s="52"/>
      <c r="P2913" s="52"/>
      <c r="Q2913" s="52"/>
      <c r="R2913" s="51" t="b">
        <v>0</v>
      </c>
      <c r="S2913" s="51"/>
      <c r="T2913" s="52"/>
      <c r="U2913" s="51" t="b">
        <v>0</v>
      </c>
      <c r="V2913" s="51" t="b">
        <v>0</v>
      </c>
      <c r="W2913" s="51" t="b">
        <v>0</v>
      </c>
      <c r="X2913" s="51" t="b">
        <v>0</v>
      </c>
      <c r="Y2913" s="51" t="b">
        <v>0</v>
      </c>
      <c r="Z2913" s="51" t="b">
        <v>0</v>
      </c>
      <c r="AA2913" s="68"/>
      <c r="AB2913" s="52"/>
      <c r="AC2913" s="52"/>
      <c r="AD2913" s="52"/>
      <c r="AE2913" s="56" t="s">
        <v>607</v>
      </c>
      <c r="AF2913" s="56" t="s">
        <v>607</v>
      </c>
    </row>
    <row r="2914">
      <c r="A2914" s="52" t="s">
        <v>6638</v>
      </c>
      <c r="B2914" s="52" t="s">
        <v>607</v>
      </c>
      <c r="C2914" s="52" t="s">
        <v>607</v>
      </c>
      <c r="D2914" s="65" t="s">
        <v>607</v>
      </c>
      <c r="E2914" s="65" t="s">
        <v>607</v>
      </c>
      <c r="F2914" s="65" t="s">
        <v>607</v>
      </c>
      <c r="G2914" s="65" t="s">
        <v>607</v>
      </c>
      <c r="H2914" s="52" t="s">
        <v>607</v>
      </c>
      <c r="I2914" s="52" t="s">
        <v>607</v>
      </c>
      <c r="J2914" s="52" t="s">
        <v>607</v>
      </c>
      <c r="K2914" s="52" t="s">
        <v>607</v>
      </c>
      <c r="L2914" s="52" t="s">
        <v>607</v>
      </c>
      <c r="M2914" s="52" t="s">
        <v>607</v>
      </c>
      <c r="N2914" s="52" t="s">
        <v>607</v>
      </c>
      <c r="O2914" s="52"/>
      <c r="P2914" s="52"/>
      <c r="Q2914" s="52"/>
      <c r="R2914" s="51" t="b">
        <v>0</v>
      </c>
      <c r="S2914" s="51"/>
      <c r="T2914" s="52"/>
      <c r="U2914" s="51" t="b">
        <v>0</v>
      </c>
      <c r="V2914" s="51" t="b">
        <v>0</v>
      </c>
      <c r="W2914" s="51" t="b">
        <v>0</v>
      </c>
      <c r="X2914" s="51" t="b">
        <v>0</v>
      </c>
      <c r="Y2914" s="51" t="b">
        <v>0</v>
      </c>
      <c r="Z2914" s="51" t="b">
        <v>0</v>
      </c>
      <c r="AA2914" s="68"/>
      <c r="AB2914" s="52"/>
      <c r="AC2914" s="52"/>
      <c r="AD2914" s="52"/>
      <c r="AE2914" s="56" t="s">
        <v>607</v>
      </c>
      <c r="AF2914" s="56" t="s">
        <v>607</v>
      </c>
    </row>
    <row r="2915">
      <c r="A2915" s="52" t="s">
        <v>6640</v>
      </c>
      <c r="B2915" s="52" t="s">
        <v>607</v>
      </c>
      <c r="C2915" s="52" t="s">
        <v>607</v>
      </c>
      <c r="D2915" s="65" t="s">
        <v>607</v>
      </c>
      <c r="E2915" s="65" t="s">
        <v>607</v>
      </c>
      <c r="F2915" s="65" t="s">
        <v>607</v>
      </c>
      <c r="G2915" s="65" t="s">
        <v>607</v>
      </c>
      <c r="H2915" s="52" t="s">
        <v>607</v>
      </c>
      <c r="I2915" s="52" t="s">
        <v>607</v>
      </c>
      <c r="J2915" s="52" t="s">
        <v>607</v>
      </c>
      <c r="K2915" s="52" t="s">
        <v>607</v>
      </c>
      <c r="L2915" s="52" t="s">
        <v>607</v>
      </c>
      <c r="M2915" s="52" t="s">
        <v>607</v>
      </c>
      <c r="N2915" s="52" t="s">
        <v>607</v>
      </c>
      <c r="O2915" s="52"/>
      <c r="P2915" s="52"/>
      <c r="Q2915" s="52"/>
      <c r="R2915" s="51" t="b">
        <v>0</v>
      </c>
      <c r="S2915" s="51"/>
      <c r="T2915" s="52"/>
      <c r="U2915" s="51" t="b">
        <v>0</v>
      </c>
      <c r="V2915" s="51" t="b">
        <v>0</v>
      </c>
      <c r="W2915" s="51" t="b">
        <v>0</v>
      </c>
      <c r="X2915" s="51" t="b">
        <v>0</v>
      </c>
      <c r="Y2915" s="51" t="b">
        <v>0</v>
      </c>
      <c r="Z2915" s="51" t="b">
        <v>0</v>
      </c>
      <c r="AA2915" s="68"/>
      <c r="AB2915" s="52"/>
      <c r="AC2915" s="52"/>
      <c r="AD2915" s="52"/>
      <c r="AE2915" s="56" t="s">
        <v>607</v>
      </c>
      <c r="AF2915" s="56" t="s">
        <v>607</v>
      </c>
    </row>
    <row r="2916">
      <c r="A2916" s="52" t="s">
        <v>6641</v>
      </c>
      <c r="B2916" s="52" t="s">
        <v>607</v>
      </c>
      <c r="C2916" s="52" t="s">
        <v>607</v>
      </c>
      <c r="D2916" s="65" t="s">
        <v>607</v>
      </c>
      <c r="E2916" s="65" t="s">
        <v>607</v>
      </c>
      <c r="F2916" s="65" t="s">
        <v>607</v>
      </c>
      <c r="G2916" s="65" t="s">
        <v>607</v>
      </c>
      <c r="H2916" s="52" t="s">
        <v>607</v>
      </c>
      <c r="I2916" s="52" t="s">
        <v>607</v>
      </c>
      <c r="J2916" s="52" t="s">
        <v>607</v>
      </c>
      <c r="K2916" s="52" t="s">
        <v>607</v>
      </c>
      <c r="L2916" s="52" t="s">
        <v>607</v>
      </c>
      <c r="M2916" s="52" t="s">
        <v>607</v>
      </c>
      <c r="N2916" s="52" t="s">
        <v>607</v>
      </c>
      <c r="O2916" s="52"/>
      <c r="P2916" s="52"/>
      <c r="Q2916" s="52"/>
      <c r="R2916" s="51" t="b">
        <v>0</v>
      </c>
      <c r="S2916" s="51"/>
      <c r="T2916" s="52"/>
      <c r="U2916" s="51" t="b">
        <v>0</v>
      </c>
      <c r="V2916" s="51" t="b">
        <v>0</v>
      </c>
      <c r="W2916" s="51" t="b">
        <v>0</v>
      </c>
      <c r="X2916" s="51" t="b">
        <v>0</v>
      </c>
      <c r="Y2916" s="51" t="b">
        <v>0</v>
      </c>
      <c r="Z2916" s="51" t="b">
        <v>0</v>
      </c>
      <c r="AA2916" s="68"/>
      <c r="AB2916" s="52"/>
      <c r="AC2916" s="52"/>
      <c r="AD2916" s="52"/>
      <c r="AE2916" s="56" t="s">
        <v>607</v>
      </c>
      <c r="AF2916" s="56" t="s">
        <v>607</v>
      </c>
    </row>
    <row r="2917">
      <c r="A2917" s="52" t="s">
        <v>6645</v>
      </c>
      <c r="B2917" s="52" t="s">
        <v>607</v>
      </c>
      <c r="C2917" s="52" t="s">
        <v>607</v>
      </c>
      <c r="D2917" s="65" t="s">
        <v>607</v>
      </c>
      <c r="E2917" s="65" t="s">
        <v>607</v>
      </c>
      <c r="F2917" s="65" t="s">
        <v>607</v>
      </c>
      <c r="G2917" s="65" t="s">
        <v>607</v>
      </c>
      <c r="H2917" s="52" t="s">
        <v>607</v>
      </c>
      <c r="I2917" s="52" t="s">
        <v>607</v>
      </c>
      <c r="J2917" s="52" t="s">
        <v>607</v>
      </c>
      <c r="K2917" s="52" t="s">
        <v>607</v>
      </c>
      <c r="L2917" s="52" t="s">
        <v>607</v>
      </c>
      <c r="M2917" s="52" t="s">
        <v>607</v>
      </c>
      <c r="N2917" s="52" t="s">
        <v>607</v>
      </c>
      <c r="O2917" s="52"/>
      <c r="P2917" s="52"/>
      <c r="Q2917" s="52"/>
      <c r="R2917" s="51" t="b">
        <v>0</v>
      </c>
      <c r="S2917" s="51"/>
      <c r="T2917" s="52"/>
      <c r="U2917" s="51" t="b">
        <v>0</v>
      </c>
      <c r="V2917" s="51" t="b">
        <v>0</v>
      </c>
      <c r="W2917" s="51" t="b">
        <v>0</v>
      </c>
      <c r="X2917" s="51" t="b">
        <v>0</v>
      </c>
      <c r="Y2917" s="51" t="b">
        <v>0</v>
      </c>
      <c r="Z2917" s="51" t="b">
        <v>0</v>
      </c>
      <c r="AA2917" s="68"/>
      <c r="AB2917" s="52"/>
      <c r="AC2917" s="52"/>
      <c r="AD2917" s="52"/>
      <c r="AE2917" s="56" t="s">
        <v>607</v>
      </c>
      <c r="AF2917" s="56" t="s">
        <v>607</v>
      </c>
    </row>
    <row r="2918">
      <c r="A2918" s="52" t="s">
        <v>6646</v>
      </c>
      <c r="B2918" s="52" t="s">
        <v>607</v>
      </c>
      <c r="C2918" s="52" t="s">
        <v>607</v>
      </c>
      <c r="D2918" s="65" t="s">
        <v>607</v>
      </c>
      <c r="E2918" s="65" t="s">
        <v>607</v>
      </c>
      <c r="F2918" s="65" t="s">
        <v>607</v>
      </c>
      <c r="G2918" s="65" t="s">
        <v>607</v>
      </c>
      <c r="H2918" s="52" t="s">
        <v>607</v>
      </c>
      <c r="I2918" s="52" t="s">
        <v>607</v>
      </c>
      <c r="J2918" s="52" t="s">
        <v>607</v>
      </c>
      <c r="K2918" s="52" t="s">
        <v>607</v>
      </c>
      <c r="L2918" s="52" t="s">
        <v>607</v>
      </c>
      <c r="M2918" s="52" t="s">
        <v>607</v>
      </c>
      <c r="N2918" s="52" t="s">
        <v>607</v>
      </c>
      <c r="O2918" s="52"/>
      <c r="P2918" s="52"/>
      <c r="Q2918" s="52"/>
      <c r="R2918" s="51" t="b">
        <v>0</v>
      </c>
      <c r="S2918" s="51"/>
      <c r="T2918" s="52"/>
      <c r="U2918" s="51" t="b">
        <v>0</v>
      </c>
      <c r="V2918" s="51" t="b">
        <v>0</v>
      </c>
      <c r="W2918" s="51" t="b">
        <v>0</v>
      </c>
      <c r="X2918" s="51" t="b">
        <v>0</v>
      </c>
      <c r="Y2918" s="51" t="b">
        <v>0</v>
      </c>
      <c r="Z2918" s="51" t="b">
        <v>0</v>
      </c>
      <c r="AA2918" s="68"/>
      <c r="AB2918" s="52"/>
      <c r="AC2918" s="52"/>
      <c r="AD2918" s="52"/>
      <c r="AE2918" s="56" t="s">
        <v>607</v>
      </c>
      <c r="AF2918" s="56" t="s">
        <v>607</v>
      </c>
    </row>
    <row r="2919">
      <c r="A2919" s="52" t="s">
        <v>6647</v>
      </c>
      <c r="B2919" s="52" t="s">
        <v>607</v>
      </c>
      <c r="C2919" s="52" t="s">
        <v>607</v>
      </c>
      <c r="D2919" s="65" t="s">
        <v>607</v>
      </c>
      <c r="E2919" s="65" t="s">
        <v>607</v>
      </c>
      <c r="F2919" s="65" t="s">
        <v>607</v>
      </c>
      <c r="G2919" s="65" t="s">
        <v>607</v>
      </c>
      <c r="H2919" s="52" t="s">
        <v>607</v>
      </c>
      <c r="I2919" s="52" t="s">
        <v>607</v>
      </c>
      <c r="J2919" s="52" t="s">
        <v>607</v>
      </c>
      <c r="K2919" s="52" t="s">
        <v>607</v>
      </c>
      <c r="L2919" s="52" t="s">
        <v>607</v>
      </c>
      <c r="M2919" s="52" t="s">
        <v>607</v>
      </c>
      <c r="N2919" s="52" t="s">
        <v>607</v>
      </c>
      <c r="O2919" s="52"/>
      <c r="P2919" s="52"/>
      <c r="Q2919" s="52"/>
      <c r="R2919" s="51" t="b">
        <v>0</v>
      </c>
      <c r="S2919" s="51"/>
      <c r="T2919" s="52"/>
      <c r="U2919" s="51" t="b">
        <v>0</v>
      </c>
      <c r="V2919" s="51" t="b">
        <v>0</v>
      </c>
      <c r="W2919" s="51" t="b">
        <v>0</v>
      </c>
      <c r="X2919" s="51" t="b">
        <v>0</v>
      </c>
      <c r="Y2919" s="51" t="b">
        <v>0</v>
      </c>
      <c r="Z2919" s="51" t="b">
        <v>0</v>
      </c>
      <c r="AA2919" s="68"/>
      <c r="AB2919" s="52"/>
      <c r="AC2919" s="52"/>
      <c r="AD2919" s="52"/>
      <c r="AE2919" s="56" t="s">
        <v>607</v>
      </c>
      <c r="AF2919" s="56" t="s">
        <v>607</v>
      </c>
    </row>
    <row r="2920">
      <c r="A2920" s="52" t="s">
        <v>6648</v>
      </c>
      <c r="B2920" s="52" t="s">
        <v>607</v>
      </c>
      <c r="C2920" s="52" t="s">
        <v>607</v>
      </c>
      <c r="D2920" s="65" t="s">
        <v>607</v>
      </c>
      <c r="E2920" s="65" t="s">
        <v>607</v>
      </c>
      <c r="F2920" s="65" t="s">
        <v>607</v>
      </c>
      <c r="G2920" s="65" t="s">
        <v>607</v>
      </c>
      <c r="H2920" s="52" t="s">
        <v>607</v>
      </c>
      <c r="I2920" s="52" t="s">
        <v>607</v>
      </c>
      <c r="J2920" s="52" t="s">
        <v>607</v>
      </c>
      <c r="K2920" s="52" t="s">
        <v>607</v>
      </c>
      <c r="L2920" s="52" t="s">
        <v>607</v>
      </c>
      <c r="M2920" s="52" t="s">
        <v>607</v>
      </c>
      <c r="N2920" s="52" t="s">
        <v>607</v>
      </c>
      <c r="O2920" s="52"/>
      <c r="P2920" s="52"/>
      <c r="Q2920" s="52"/>
      <c r="R2920" s="51" t="b">
        <v>0</v>
      </c>
      <c r="S2920" s="51"/>
      <c r="T2920" s="52"/>
      <c r="U2920" s="51" t="b">
        <v>0</v>
      </c>
      <c r="V2920" s="51" t="b">
        <v>0</v>
      </c>
      <c r="W2920" s="51" t="b">
        <v>0</v>
      </c>
      <c r="X2920" s="51" t="b">
        <v>0</v>
      </c>
      <c r="Y2920" s="51" t="b">
        <v>0</v>
      </c>
      <c r="Z2920" s="51" t="b">
        <v>0</v>
      </c>
      <c r="AA2920" s="68"/>
      <c r="AB2920" s="52"/>
      <c r="AC2920" s="52"/>
      <c r="AD2920" s="52"/>
      <c r="AE2920" s="56" t="s">
        <v>607</v>
      </c>
      <c r="AF2920" s="56" t="s">
        <v>607</v>
      </c>
    </row>
    <row r="2921">
      <c r="A2921" s="52" t="s">
        <v>6649</v>
      </c>
      <c r="B2921" s="52" t="s">
        <v>607</v>
      </c>
      <c r="C2921" s="52" t="s">
        <v>607</v>
      </c>
      <c r="D2921" s="65" t="s">
        <v>607</v>
      </c>
      <c r="E2921" s="65" t="s">
        <v>607</v>
      </c>
      <c r="F2921" s="65" t="s">
        <v>607</v>
      </c>
      <c r="G2921" s="65" t="s">
        <v>607</v>
      </c>
      <c r="H2921" s="52" t="s">
        <v>607</v>
      </c>
      <c r="I2921" s="52" t="s">
        <v>607</v>
      </c>
      <c r="J2921" s="52" t="s">
        <v>607</v>
      </c>
      <c r="K2921" s="52" t="s">
        <v>607</v>
      </c>
      <c r="L2921" s="52" t="s">
        <v>607</v>
      </c>
      <c r="M2921" s="52" t="s">
        <v>607</v>
      </c>
      <c r="N2921" s="52" t="s">
        <v>607</v>
      </c>
      <c r="O2921" s="52"/>
      <c r="P2921" s="52"/>
      <c r="Q2921" s="52"/>
      <c r="R2921" s="51" t="b">
        <v>0</v>
      </c>
      <c r="S2921" s="51"/>
      <c r="T2921" s="52"/>
      <c r="U2921" s="51" t="b">
        <v>0</v>
      </c>
      <c r="V2921" s="51" t="b">
        <v>0</v>
      </c>
      <c r="W2921" s="51" t="b">
        <v>0</v>
      </c>
      <c r="X2921" s="51" t="b">
        <v>0</v>
      </c>
      <c r="Y2921" s="51" t="b">
        <v>0</v>
      </c>
      <c r="Z2921" s="51" t="b">
        <v>0</v>
      </c>
      <c r="AA2921" s="68"/>
      <c r="AB2921" s="52"/>
      <c r="AC2921" s="52"/>
      <c r="AD2921" s="52"/>
      <c r="AE2921" s="56" t="s">
        <v>607</v>
      </c>
      <c r="AF2921" s="56" t="s">
        <v>607</v>
      </c>
    </row>
    <row r="2922">
      <c r="A2922" s="52" t="s">
        <v>6650</v>
      </c>
      <c r="B2922" s="52" t="s">
        <v>607</v>
      </c>
      <c r="C2922" s="52" t="s">
        <v>607</v>
      </c>
      <c r="D2922" s="65" t="s">
        <v>607</v>
      </c>
      <c r="E2922" s="65" t="s">
        <v>607</v>
      </c>
      <c r="F2922" s="65" t="s">
        <v>607</v>
      </c>
      <c r="G2922" s="65" t="s">
        <v>607</v>
      </c>
      <c r="H2922" s="52" t="s">
        <v>607</v>
      </c>
      <c r="I2922" s="52" t="s">
        <v>607</v>
      </c>
      <c r="J2922" s="52" t="s">
        <v>607</v>
      </c>
      <c r="K2922" s="52" t="s">
        <v>607</v>
      </c>
      <c r="L2922" s="52" t="s">
        <v>607</v>
      </c>
      <c r="M2922" s="52" t="s">
        <v>607</v>
      </c>
      <c r="N2922" s="52" t="s">
        <v>607</v>
      </c>
      <c r="O2922" s="52"/>
      <c r="P2922" s="52"/>
      <c r="Q2922" s="52"/>
      <c r="R2922" s="51" t="b">
        <v>0</v>
      </c>
      <c r="S2922" s="51"/>
      <c r="T2922" s="52"/>
      <c r="U2922" s="51" t="b">
        <v>0</v>
      </c>
      <c r="V2922" s="51" t="b">
        <v>0</v>
      </c>
      <c r="W2922" s="51" t="b">
        <v>0</v>
      </c>
      <c r="X2922" s="51" t="b">
        <v>0</v>
      </c>
      <c r="Y2922" s="51" t="b">
        <v>0</v>
      </c>
      <c r="Z2922" s="51" t="b">
        <v>0</v>
      </c>
      <c r="AA2922" s="68"/>
      <c r="AB2922" s="52"/>
      <c r="AC2922" s="52"/>
      <c r="AD2922" s="52"/>
      <c r="AE2922" s="56" t="s">
        <v>607</v>
      </c>
      <c r="AF2922" s="56" t="s">
        <v>607</v>
      </c>
    </row>
    <row r="2923">
      <c r="A2923" s="52" t="s">
        <v>6651</v>
      </c>
      <c r="B2923" s="52" t="s">
        <v>607</v>
      </c>
      <c r="C2923" s="52" t="s">
        <v>607</v>
      </c>
      <c r="D2923" s="65" t="s">
        <v>607</v>
      </c>
      <c r="E2923" s="65" t="s">
        <v>607</v>
      </c>
      <c r="F2923" s="65" t="s">
        <v>607</v>
      </c>
      <c r="G2923" s="65" t="s">
        <v>607</v>
      </c>
      <c r="H2923" s="52" t="s">
        <v>607</v>
      </c>
      <c r="I2923" s="52" t="s">
        <v>607</v>
      </c>
      <c r="J2923" s="52" t="s">
        <v>607</v>
      </c>
      <c r="K2923" s="52" t="s">
        <v>607</v>
      </c>
      <c r="L2923" s="52" t="s">
        <v>607</v>
      </c>
      <c r="M2923" s="52" t="s">
        <v>607</v>
      </c>
      <c r="N2923" s="52" t="s">
        <v>607</v>
      </c>
      <c r="O2923" s="52"/>
      <c r="P2923" s="52"/>
      <c r="Q2923" s="52"/>
      <c r="R2923" s="51" t="b">
        <v>0</v>
      </c>
      <c r="S2923" s="51"/>
      <c r="T2923" s="52"/>
      <c r="U2923" s="51" t="b">
        <v>0</v>
      </c>
      <c r="V2923" s="51" t="b">
        <v>0</v>
      </c>
      <c r="W2923" s="51" t="b">
        <v>0</v>
      </c>
      <c r="X2923" s="51" t="b">
        <v>0</v>
      </c>
      <c r="Y2923" s="51" t="b">
        <v>0</v>
      </c>
      <c r="Z2923" s="51" t="b">
        <v>0</v>
      </c>
      <c r="AA2923" s="68"/>
      <c r="AB2923" s="52"/>
      <c r="AC2923" s="52"/>
      <c r="AD2923" s="52"/>
      <c r="AE2923" s="56" t="s">
        <v>607</v>
      </c>
      <c r="AF2923" s="56" t="s">
        <v>607</v>
      </c>
    </row>
    <row r="2924">
      <c r="A2924" s="52" t="s">
        <v>6652</v>
      </c>
      <c r="B2924" s="52" t="s">
        <v>607</v>
      </c>
      <c r="C2924" s="52" t="s">
        <v>607</v>
      </c>
      <c r="D2924" s="65" t="s">
        <v>607</v>
      </c>
      <c r="E2924" s="65" t="s">
        <v>607</v>
      </c>
      <c r="F2924" s="65" t="s">
        <v>607</v>
      </c>
      <c r="G2924" s="65" t="s">
        <v>607</v>
      </c>
      <c r="H2924" s="52" t="s">
        <v>607</v>
      </c>
      <c r="I2924" s="52" t="s">
        <v>607</v>
      </c>
      <c r="J2924" s="52" t="s">
        <v>607</v>
      </c>
      <c r="K2924" s="52" t="s">
        <v>607</v>
      </c>
      <c r="L2924" s="52" t="s">
        <v>607</v>
      </c>
      <c r="M2924" s="52" t="s">
        <v>607</v>
      </c>
      <c r="N2924" s="52" t="s">
        <v>607</v>
      </c>
      <c r="O2924" s="52"/>
      <c r="P2924" s="52"/>
      <c r="Q2924" s="52"/>
      <c r="R2924" s="51" t="b">
        <v>0</v>
      </c>
      <c r="S2924" s="51"/>
      <c r="T2924" s="52"/>
      <c r="U2924" s="51" t="b">
        <v>0</v>
      </c>
      <c r="V2924" s="51" t="b">
        <v>0</v>
      </c>
      <c r="W2924" s="51" t="b">
        <v>0</v>
      </c>
      <c r="X2924" s="51" t="b">
        <v>0</v>
      </c>
      <c r="Y2924" s="51" t="b">
        <v>0</v>
      </c>
      <c r="Z2924" s="51" t="b">
        <v>0</v>
      </c>
      <c r="AA2924" s="68"/>
      <c r="AB2924" s="52"/>
      <c r="AC2924" s="52"/>
      <c r="AD2924" s="52"/>
      <c r="AE2924" s="56" t="s">
        <v>607</v>
      </c>
      <c r="AF2924" s="56" t="s">
        <v>607</v>
      </c>
    </row>
    <row r="2925">
      <c r="A2925" s="52" t="s">
        <v>6653</v>
      </c>
      <c r="B2925" s="52" t="s">
        <v>607</v>
      </c>
      <c r="C2925" s="52" t="s">
        <v>607</v>
      </c>
      <c r="D2925" s="65" t="s">
        <v>607</v>
      </c>
      <c r="E2925" s="65" t="s">
        <v>607</v>
      </c>
      <c r="F2925" s="65" t="s">
        <v>607</v>
      </c>
      <c r="G2925" s="65" t="s">
        <v>607</v>
      </c>
      <c r="H2925" s="52" t="s">
        <v>607</v>
      </c>
      <c r="I2925" s="52" t="s">
        <v>607</v>
      </c>
      <c r="J2925" s="52" t="s">
        <v>607</v>
      </c>
      <c r="K2925" s="52" t="s">
        <v>607</v>
      </c>
      <c r="L2925" s="52" t="s">
        <v>607</v>
      </c>
      <c r="M2925" s="52" t="s">
        <v>607</v>
      </c>
      <c r="N2925" s="52" t="s">
        <v>607</v>
      </c>
      <c r="O2925" s="52"/>
      <c r="P2925" s="52"/>
      <c r="Q2925" s="52"/>
      <c r="R2925" s="51" t="b">
        <v>0</v>
      </c>
      <c r="S2925" s="51"/>
      <c r="T2925" s="52"/>
      <c r="U2925" s="51" t="b">
        <v>0</v>
      </c>
      <c r="V2925" s="51" t="b">
        <v>0</v>
      </c>
      <c r="W2925" s="51" t="b">
        <v>0</v>
      </c>
      <c r="X2925" s="51" t="b">
        <v>0</v>
      </c>
      <c r="Y2925" s="51" t="b">
        <v>0</v>
      </c>
      <c r="Z2925" s="51" t="b">
        <v>0</v>
      </c>
      <c r="AA2925" s="68"/>
      <c r="AB2925" s="52"/>
      <c r="AC2925" s="52"/>
      <c r="AD2925" s="52"/>
      <c r="AE2925" s="56" t="s">
        <v>607</v>
      </c>
      <c r="AF2925" s="56" t="s">
        <v>607</v>
      </c>
    </row>
    <row r="2926">
      <c r="A2926" s="52" t="s">
        <v>6654</v>
      </c>
      <c r="B2926" s="52" t="s">
        <v>607</v>
      </c>
      <c r="C2926" s="52" t="s">
        <v>607</v>
      </c>
      <c r="D2926" s="65" t="s">
        <v>607</v>
      </c>
      <c r="E2926" s="65" t="s">
        <v>607</v>
      </c>
      <c r="F2926" s="65" t="s">
        <v>607</v>
      </c>
      <c r="G2926" s="65" t="s">
        <v>607</v>
      </c>
      <c r="H2926" s="52" t="s">
        <v>607</v>
      </c>
      <c r="I2926" s="52" t="s">
        <v>607</v>
      </c>
      <c r="J2926" s="52" t="s">
        <v>607</v>
      </c>
      <c r="K2926" s="52" t="s">
        <v>607</v>
      </c>
      <c r="L2926" s="52" t="s">
        <v>607</v>
      </c>
      <c r="M2926" s="52" t="s">
        <v>607</v>
      </c>
      <c r="N2926" s="52" t="s">
        <v>607</v>
      </c>
      <c r="O2926" s="52"/>
      <c r="P2926" s="52"/>
      <c r="Q2926" s="52"/>
      <c r="R2926" s="51" t="b">
        <v>0</v>
      </c>
      <c r="S2926" s="51"/>
      <c r="T2926" s="52"/>
      <c r="U2926" s="51" t="b">
        <v>0</v>
      </c>
      <c r="V2926" s="51" t="b">
        <v>0</v>
      </c>
      <c r="W2926" s="51" t="b">
        <v>0</v>
      </c>
      <c r="X2926" s="51" t="b">
        <v>0</v>
      </c>
      <c r="Y2926" s="51" t="b">
        <v>0</v>
      </c>
      <c r="Z2926" s="51" t="b">
        <v>0</v>
      </c>
      <c r="AA2926" s="68"/>
      <c r="AB2926" s="52"/>
      <c r="AC2926" s="52"/>
      <c r="AD2926" s="52"/>
      <c r="AE2926" s="56" t="s">
        <v>607</v>
      </c>
      <c r="AF2926" s="56" t="s">
        <v>607</v>
      </c>
    </row>
    <row r="2927">
      <c r="A2927" s="52" t="s">
        <v>6655</v>
      </c>
      <c r="B2927" s="52" t="s">
        <v>607</v>
      </c>
      <c r="C2927" s="52" t="s">
        <v>607</v>
      </c>
      <c r="D2927" s="65" t="s">
        <v>607</v>
      </c>
      <c r="E2927" s="65" t="s">
        <v>607</v>
      </c>
      <c r="F2927" s="65" t="s">
        <v>607</v>
      </c>
      <c r="G2927" s="65" t="s">
        <v>607</v>
      </c>
      <c r="H2927" s="52" t="s">
        <v>607</v>
      </c>
      <c r="I2927" s="52" t="s">
        <v>607</v>
      </c>
      <c r="J2927" s="52" t="s">
        <v>607</v>
      </c>
      <c r="K2927" s="52" t="s">
        <v>607</v>
      </c>
      <c r="L2927" s="52" t="s">
        <v>607</v>
      </c>
      <c r="M2927" s="52" t="s">
        <v>607</v>
      </c>
      <c r="N2927" s="52" t="s">
        <v>607</v>
      </c>
      <c r="O2927" s="52"/>
      <c r="P2927" s="52"/>
      <c r="Q2927" s="52"/>
      <c r="R2927" s="51" t="b">
        <v>0</v>
      </c>
      <c r="S2927" s="51"/>
      <c r="T2927" s="52"/>
      <c r="U2927" s="51" t="b">
        <v>0</v>
      </c>
      <c r="V2927" s="51" t="b">
        <v>0</v>
      </c>
      <c r="W2927" s="51" t="b">
        <v>0</v>
      </c>
      <c r="X2927" s="51" t="b">
        <v>0</v>
      </c>
      <c r="Y2927" s="51" t="b">
        <v>0</v>
      </c>
      <c r="Z2927" s="51" t="b">
        <v>0</v>
      </c>
      <c r="AA2927" s="68"/>
      <c r="AB2927" s="52"/>
      <c r="AC2927" s="52"/>
      <c r="AD2927" s="52"/>
      <c r="AE2927" s="56" t="s">
        <v>607</v>
      </c>
      <c r="AF2927" s="56" t="s">
        <v>607</v>
      </c>
    </row>
    <row r="2928">
      <c r="A2928" s="52" t="s">
        <v>6656</v>
      </c>
      <c r="B2928" s="52" t="s">
        <v>607</v>
      </c>
      <c r="C2928" s="52" t="s">
        <v>607</v>
      </c>
      <c r="D2928" s="65" t="s">
        <v>607</v>
      </c>
      <c r="E2928" s="65" t="s">
        <v>607</v>
      </c>
      <c r="F2928" s="65" t="s">
        <v>607</v>
      </c>
      <c r="G2928" s="65" t="s">
        <v>607</v>
      </c>
      <c r="H2928" s="52" t="s">
        <v>607</v>
      </c>
      <c r="I2928" s="52" t="s">
        <v>607</v>
      </c>
      <c r="J2928" s="52" t="s">
        <v>607</v>
      </c>
      <c r="K2928" s="52" t="s">
        <v>607</v>
      </c>
      <c r="L2928" s="52" t="s">
        <v>607</v>
      </c>
      <c r="M2928" s="52" t="s">
        <v>607</v>
      </c>
      <c r="N2928" s="52" t="s">
        <v>607</v>
      </c>
      <c r="O2928" s="52"/>
      <c r="P2928" s="52"/>
      <c r="Q2928" s="52"/>
      <c r="R2928" s="51" t="b">
        <v>0</v>
      </c>
      <c r="S2928" s="51"/>
      <c r="T2928" s="52"/>
      <c r="U2928" s="51" t="b">
        <v>0</v>
      </c>
      <c r="V2928" s="51" t="b">
        <v>0</v>
      </c>
      <c r="W2928" s="51" t="b">
        <v>0</v>
      </c>
      <c r="X2928" s="51" t="b">
        <v>0</v>
      </c>
      <c r="Y2928" s="51" t="b">
        <v>0</v>
      </c>
      <c r="Z2928" s="51" t="b">
        <v>0</v>
      </c>
      <c r="AA2928" s="68"/>
      <c r="AB2928" s="52"/>
      <c r="AC2928" s="52"/>
      <c r="AD2928" s="52"/>
      <c r="AE2928" s="56" t="s">
        <v>607</v>
      </c>
      <c r="AF2928" s="56" t="s">
        <v>607</v>
      </c>
    </row>
    <row r="2929">
      <c r="A2929" s="52" t="s">
        <v>6657</v>
      </c>
      <c r="B2929" s="52" t="s">
        <v>607</v>
      </c>
      <c r="C2929" s="52" t="s">
        <v>607</v>
      </c>
      <c r="D2929" s="65" t="s">
        <v>607</v>
      </c>
      <c r="E2929" s="65" t="s">
        <v>607</v>
      </c>
      <c r="F2929" s="65" t="s">
        <v>607</v>
      </c>
      <c r="G2929" s="65" t="s">
        <v>607</v>
      </c>
      <c r="H2929" s="52" t="s">
        <v>607</v>
      </c>
      <c r="I2929" s="52" t="s">
        <v>607</v>
      </c>
      <c r="J2929" s="52" t="s">
        <v>607</v>
      </c>
      <c r="K2929" s="52" t="s">
        <v>607</v>
      </c>
      <c r="L2929" s="52" t="s">
        <v>607</v>
      </c>
      <c r="M2929" s="52" t="s">
        <v>607</v>
      </c>
      <c r="N2929" s="52" t="s">
        <v>607</v>
      </c>
      <c r="O2929" s="52"/>
      <c r="P2929" s="52"/>
      <c r="Q2929" s="52"/>
      <c r="R2929" s="51" t="b">
        <v>0</v>
      </c>
      <c r="S2929" s="51"/>
      <c r="T2929" s="52"/>
      <c r="U2929" s="51" t="b">
        <v>0</v>
      </c>
      <c r="V2929" s="51" t="b">
        <v>0</v>
      </c>
      <c r="W2929" s="51" t="b">
        <v>0</v>
      </c>
      <c r="X2929" s="51" t="b">
        <v>0</v>
      </c>
      <c r="Y2929" s="51" t="b">
        <v>0</v>
      </c>
      <c r="Z2929" s="51" t="b">
        <v>0</v>
      </c>
      <c r="AA2929" s="68"/>
      <c r="AB2929" s="52"/>
      <c r="AC2929" s="52"/>
      <c r="AD2929" s="52"/>
      <c r="AE2929" s="56" t="s">
        <v>607</v>
      </c>
      <c r="AF2929" s="56" t="s">
        <v>607</v>
      </c>
    </row>
    <row r="2930">
      <c r="A2930" s="52" t="s">
        <v>6658</v>
      </c>
      <c r="B2930" s="52" t="s">
        <v>607</v>
      </c>
      <c r="C2930" s="52" t="s">
        <v>607</v>
      </c>
      <c r="D2930" s="65" t="s">
        <v>607</v>
      </c>
      <c r="E2930" s="65" t="s">
        <v>607</v>
      </c>
      <c r="F2930" s="65" t="s">
        <v>607</v>
      </c>
      <c r="G2930" s="65" t="s">
        <v>607</v>
      </c>
      <c r="H2930" s="52" t="s">
        <v>607</v>
      </c>
      <c r="I2930" s="52" t="s">
        <v>607</v>
      </c>
      <c r="J2930" s="52" t="s">
        <v>607</v>
      </c>
      <c r="K2930" s="52" t="s">
        <v>607</v>
      </c>
      <c r="L2930" s="52" t="s">
        <v>607</v>
      </c>
      <c r="M2930" s="52" t="s">
        <v>607</v>
      </c>
      <c r="N2930" s="52" t="s">
        <v>607</v>
      </c>
      <c r="O2930" s="52"/>
      <c r="P2930" s="52"/>
      <c r="Q2930" s="52"/>
      <c r="R2930" s="51" t="b">
        <v>0</v>
      </c>
      <c r="S2930" s="51"/>
      <c r="T2930" s="52"/>
      <c r="U2930" s="51" t="b">
        <v>0</v>
      </c>
      <c r="V2930" s="51" t="b">
        <v>0</v>
      </c>
      <c r="W2930" s="51" t="b">
        <v>0</v>
      </c>
      <c r="X2930" s="51" t="b">
        <v>0</v>
      </c>
      <c r="Y2930" s="51" t="b">
        <v>0</v>
      </c>
      <c r="Z2930" s="51" t="b">
        <v>0</v>
      </c>
      <c r="AA2930" s="68"/>
      <c r="AB2930" s="52"/>
      <c r="AC2930" s="52"/>
      <c r="AD2930" s="52"/>
      <c r="AE2930" s="56" t="s">
        <v>607</v>
      </c>
      <c r="AF2930" s="56" t="s">
        <v>607</v>
      </c>
    </row>
    <row r="2931">
      <c r="A2931" s="52" t="s">
        <v>6659</v>
      </c>
      <c r="B2931" s="52" t="s">
        <v>607</v>
      </c>
      <c r="C2931" s="52" t="s">
        <v>607</v>
      </c>
      <c r="D2931" s="65" t="s">
        <v>607</v>
      </c>
      <c r="E2931" s="65" t="s">
        <v>607</v>
      </c>
      <c r="F2931" s="65" t="s">
        <v>607</v>
      </c>
      <c r="G2931" s="65" t="s">
        <v>607</v>
      </c>
      <c r="H2931" s="52" t="s">
        <v>607</v>
      </c>
      <c r="I2931" s="52" t="s">
        <v>607</v>
      </c>
      <c r="J2931" s="52" t="s">
        <v>607</v>
      </c>
      <c r="K2931" s="52" t="s">
        <v>607</v>
      </c>
      <c r="L2931" s="52" t="s">
        <v>607</v>
      </c>
      <c r="M2931" s="52" t="s">
        <v>607</v>
      </c>
      <c r="N2931" s="52" t="s">
        <v>607</v>
      </c>
      <c r="O2931" s="52"/>
      <c r="P2931" s="52"/>
      <c r="Q2931" s="52"/>
      <c r="R2931" s="51" t="b">
        <v>0</v>
      </c>
      <c r="S2931" s="51"/>
      <c r="T2931" s="52"/>
      <c r="U2931" s="51" t="b">
        <v>0</v>
      </c>
      <c r="V2931" s="51" t="b">
        <v>0</v>
      </c>
      <c r="W2931" s="51" t="b">
        <v>0</v>
      </c>
      <c r="X2931" s="51" t="b">
        <v>0</v>
      </c>
      <c r="Y2931" s="51" t="b">
        <v>0</v>
      </c>
      <c r="Z2931" s="51" t="b">
        <v>0</v>
      </c>
      <c r="AA2931" s="68"/>
      <c r="AB2931" s="52"/>
      <c r="AC2931" s="52"/>
      <c r="AD2931" s="52"/>
      <c r="AE2931" s="56" t="s">
        <v>607</v>
      </c>
      <c r="AF2931" s="56" t="s">
        <v>607</v>
      </c>
    </row>
    <row r="2932">
      <c r="A2932" s="52" t="s">
        <v>6660</v>
      </c>
      <c r="B2932" s="52" t="s">
        <v>607</v>
      </c>
      <c r="C2932" s="52" t="s">
        <v>607</v>
      </c>
      <c r="D2932" s="65" t="s">
        <v>607</v>
      </c>
      <c r="E2932" s="65" t="s">
        <v>607</v>
      </c>
      <c r="F2932" s="65" t="s">
        <v>607</v>
      </c>
      <c r="G2932" s="65" t="s">
        <v>607</v>
      </c>
      <c r="H2932" s="52" t="s">
        <v>607</v>
      </c>
      <c r="I2932" s="52" t="s">
        <v>607</v>
      </c>
      <c r="J2932" s="52" t="s">
        <v>607</v>
      </c>
      <c r="K2932" s="52" t="s">
        <v>607</v>
      </c>
      <c r="L2932" s="52" t="s">
        <v>607</v>
      </c>
      <c r="M2932" s="52" t="s">
        <v>607</v>
      </c>
      <c r="N2932" s="52" t="s">
        <v>607</v>
      </c>
      <c r="O2932" s="52"/>
      <c r="P2932" s="52"/>
      <c r="Q2932" s="52"/>
      <c r="R2932" s="51" t="b">
        <v>0</v>
      </c>
      <c r="S2932" s="51"/>
      <c r="T2932" s="52"/>
      <c r="U2932" s="51" t="b">
        <v>0</v>
      </c>
      <c r="V2932" s="51" t="b">
        <v>0</v>
      </c>
      <c r="W2932" s="51" t="b">
        <v>0</v>
      </c>
      <c r="X2932" s="51" t="b">
        <v>0</v>
      </c>
      <c r="Y2932" s="51" t="b">
        <v>0</v>
      </c>
      <c r="Z2932" s="51" t="b">
        <v>0</v>
      </c>
      <c r="AA2932" s="68"/>
      <c r="AB2932" s="52"/>
      <c r="AC2932" s="52"/>
      <c r="AD2932" s="52"/>
      <c r="AE2932" s="56" t="s">
        <v>607</v>
      </c>
      <c r="AF2932" s="56" t="s">
        <v>607</v>
      </c>
    </row>
    <row r="2933">
      <c r="A2933" s="52" t="s">
        <v>6661</v>
      </c>
      <c r="B2933" s="52" t="s">
        <v>607</v>
      </c>
      <c r="C2933" s="52" t="s">
        <v>607</v>
      </c>
      <c r="D2933" s="65" t="s">
        <v>607</v>
      </c>
      <c r="E2933" s="65" t="s">
        <v>607</v>
      </c>
      <c r="F2933" s="65" t="s">
        <v>607</v>
      </c>
      <c r="G2933" s="65" t="s">
        <v>607</v>
      </c>
      <c r="H2933" s="52" t="s">
        <v>607</v>
      </c>
      <c r="I2933" s="52" t="s">
        <v>607</v>
      </c>
      <c r="J2933" s="52" t="s">
        <v>607</v>
      </c>
      <c r="K2933" s="52" t="s">
        <v>607</v>
      </c>
      <c r="L2933" s="52" t="s">
        <v>607</v>
      </c>
      <c r="M2933" s="52" t="s">
        <v>607</v>
      </c>
      <c r="N2933" s="52" t="s">
        <v>607</v>
      </c>
      <c r="O2933" s="52"/>
      <c r="P2933" s="52"/>
      <c r="Q2933" s="52"/>
      <c r="R2933" s="51" t="b">
        <v>0</v>
      </c>
      <c r="S2933" s="51"/>
      <c r="T2933" s="52"/>
      <c r="U2933" s="51" t="b">
        <v>0</v>
      </c>
      <c r="V2933" s="51" t="b">
        <v>0</v>
      </c>
      <c r="W2933" s="51" t="b">
        <v>0</v>
      </c>
      <c r="X2933" s="51" t="b">
        <v>0</v>
      </c>
      <c r="Y2933" s="51" t="b">
        <v>0</v>
      </c>
      <c r="Z2933" s="51" t="b">
        <v>0</v>
      </c>
      <c r="AA2933" s="68"/>
      <c r="AB2933" s="52"/>
      <c r="AC2933" s="52"/>
      <c r="AD2933" s="52"/>
      <c r="AE2933" s="56" t="s">
        <v>607</v>
      </c>
      <c r="AF2933" s="56" t="s">
        <v>607</v>
      </c>
    </row>
    <row r="2934">
      <c r="A2934" s="52" t="s">
        <v>6662</v>
      </c>
      <c r="B2934" s="52" t="s">
        <v>607</v>
      </c>
      <c r="C2934" s="52" t="s">
        <v>607</v>
      </c>
      <c r="D2934" s="65" t="s">
        <v>607</v>
      </c>
      <c r="E2934" s="65" t="s">
        <v>607</v>
      </c>
      <c r="F2934" s="65" t="s">
        <v>607</v>
      </c>
      <c r="G2934" s="65" t="s">
        <v>607</v>
      </c>
      <c r="H2934" s="52" t="s">
        <v>607</v>
      </c>
      <c r="I2934" s="52" t="s">
        <v>607</v>
      </c>
      <c r="J2934" s="52" t="s">
        <v>607</v>
      </c>
      <c r="K2934" s="52" t="s">
        <v>607</v>
      </c>
      <c r="L2934" s="52" t="s">
        <v>607</v>
      </c>
      <c r="M2934" s="52" t="s">
        <v>607</v>
      </c>
      <c r="N2934" s="52" t="s">
        <v>607</v>
      </c>
      <c r="O2934" s="52"/>
      <c r="P2934" s="52"/>
      <c r="Q2934" s="52"/>
      <c r="R2934" s="51" t="b">
        <v>0</v>
      </c>
      <c r="S2934" s="51"/>
      <c r="T2934" s="52"/>
      <c r="U2934" s="51" t="b">
        <v>0</v>
      </c>
      <c r="V2934" s="51" t="b">
        <v>0</v>
      </c>
      <c r="W2934" s="51" t="b">
        <v>0</v>
      </c>
      <c r="X2934" s="51" t="b">
        <v>0</v>
      </c>
      <c r="Y2934" s="51" t="b">
        <v>0</v>
      </c>
      <c r="Z2934" s="51" t="b">
        <v>0</v>
      </c>
      <c r="AA2934" s="68"/>
      <c r="AB2934" s="52"/>
      <c r="AC2934" s="52"/>
      <c r="AD2934" s="52"/>
      <c r="AE2934" s="56" t="s">
        <v>607</v>
      </c>
      <c r="AF2934" s="56" t="s">
        <v>607</v>
      </c>
    </row>
    <row r="2935">
      <c r="A2935" s="52" t="s">
        <v>6663</v>
      </c>
      <c r="B2935" s="52" t="s">
        <v>607</v>
      </c>
      <c r="C2935" s="52" t="s">
        <v>607</v>
      </c>
      <c r="D2935" s="65" t="s">
        <v>607</v>
      </c>
      <c r="E2935" s="65" t="s">
        <v>607</v>
      </c>
      <c r="F2935" s="65" t="s">
        <v>607</v>
      </c>
      <c r="G2935" s="65" t="s">
        <v>607</v>
      </c>
      <c r="H2935" s="52" t="s">
        <v>607</v>
      </c>
      <c r="I2935" s="52" t="s">
        <v>607</v>
      </c>
      <c r="J2935" s="52" t="s">
        <v>607</v>
      </c>
      <c r="K2935" s="52" t="s">
        <v>607</v>
      </c>
      <c r="L2935" s="52" t="s">
        <v>607</v>
      </c>
      <c r="M2935" s="52" t="s">
        <v>607</v>
      </c>
      <c r="N2935" s="52" t="s">
        <v>607</v>
      </c>
      <c r="O2935" s="52"/>
      <c r="P2935" s="52"/>
      <c r="Q2935" s="52"/>
      <c r="R2935" s="51" t="b">
        <v>0</v>
      </c>
      <c r="S2935" s="51"/>
      <c r="T2935" s="52"/>
      <c r="U2935" s="51" t="b">
        <v>0</v>
      </c>
      <c r="V2935" s="51" t="b">
        <v>0</v>
      </c>
      <c r="W2935" s="51" t="b">
        <v>0</v>
      </c>
      <c r="X2935" s="51" t="b">
        <v>0</v>
      </c>
      <c r="Y2935" s="51" t="b">
        <v>0</v>
      </c>
      <c r="Z2935" s="51" t="b">
        <v>0</v>
      </c>
      <c r="AA2935" s="68"/>
      <c r="AB2935" s="52"/>
      <c r="AC2935" s="52"/>
      <c r="AD2935" s="52"/>
      <c r="AE2935" s="56" t="s">
        <v>607</v>
      </c>
      <c r="AF2935" s="56" t="s">
        <v>607</v>
      </c>
    </row>
    <row r="2936">
      <c r="A2936" s="52" t="s">
        <v>6664</v>
      </c>
      <c r="B2936" s="52" t="s">
        <v>607</v>
      </c>
      <c r="C2936" s="52" t="s">
        <v>607</v>
      </c>
      <c r="D2936" s="65" t="s">
        <v>607</v>
      </c>
      <c r="E2936" s="65" t="s">
        <v>607</v>
      </c>
      <c r="F2936" s="65" t="s">
        <v>607</v>
      </c>
      <c r="G2936" s="65" t="s">
        <v>607</v>
      </c>
      <c r="H2936" s="52" t="s">
        <v>607</v>
      </c>
      <c r="I2936" s="52" t="s">
        <v>607</v>
      </c>
      <c r="J2936" s="52" t="s">
        <v>607</v>
      </c>
      <c r="K2936" s="52" t="s">
        <v>607</v>
      </c>
      <c r="L2936" s="52" t="s">
        <v>607</v>
      </c>
      <c r="M2936" s="52" t="s">
        <v>607</v>
      </c>
      <c r="N2936" s="52" t="s">
        <v>607</v>
      </c>
      <c r="O2936" s="52"/>
      <c r="P2936" s="52"/>
      <c r="Q2936" s="52"/>
      <c r="R2936" s="51" t="b">
        <v>0</v>
      </c>
      <c r="S2936" s="51"/>
      <c r="T2936" s="52"/>
      <c r="U2936" s="51" t="b">
        <v>0</v>
      </c>
      <c r="V2936" s="51" t="b">
        <v>0</v>
      </c>
      <c r="W2936" s="51" t="b">
        <v>0</v>
      </c>
      <c r="X2936" s="51" t="b">
        <v>0</v>
      </c>
      <c r="Y2936" s="51" t="b">
        <v>0</v>
      </c>
      <c r="Z2936" s="51" t="b">
        <v>0</v>
      </c>
      <c r="AA2936" s="68"/>
      <c r="AB2936" s="52"/>
      <c r="AC2936" s="52"/>
      <c r="AD2936" s="52"/>
      <c r="AE2936" s="56" t="s">
        <v>607</v>
      </c>
      <c r="AF2936" s="56" t="s">
        <v>607</v>
      </c>
    </row>
    <row r="2937">
      <c r="A2937" s="52" t="s">
        <v>6665</v>
      </c>
      <c r="B2937" s="52" t="s">
        <v>607</v>
      </c>
      <c r="C2937" s="52" t="s">
        <v>607</v>
      </c>
      <c r="D2937" s="65" t="s">
        <v>607</v>
      </c>
      <c r="E2937" s="65" t="s">
        <v>607</v>
      </c>
      <c r="F2937" s="65" t="s">
        <v>607</v>
      </c>
      <c r="G2937" s="65" t="s">
        <v>607</v>
      </c>
      <c r="H2937" s="52" t="s">
        <v>607</v>
      </c>
      <c r="I2937" s="52" t="s">
        <v>607</v>
      </c>
      <c r="J2937" s="52" t="s">
        <v>607</v>
      </c>
      <c r="K2937" s="52" t="s">
        <v>607</v>
      </c>
      <c r="L2937" s="52" t="s">
        <v>607</v>
      </c>
      <c r="M2937" s="52" t="s">
        <v>607</v>
      </c>
      <c r="N2937" s="52" t="s">
        <v>607</v>
      </c>
      <c r="O2937" s="52"/>
      <c r="P2937" s="52"/>
      <c r="Q2937" s="52"/>
      <c r="R2937" s="51" t="b">
        <v>0</v>
      </c>
      <c r="S2937" s="51"/>
      <c r="T2937" s="52"/>
      <c r="U2937" s="51" t="b">
        <v>0</v>
      </c>
      <c r="V2937" s="51" t="b">
        <v>0</v>
      </c>
      <c r="W2937" s="51" t="b">
        <v>0</v>
      </c>
      <c r="X2937" s="51" t="b">
        <v>0</v>
      </c>
      <c r="Y2937" s="51" t="b">
        <v>0</v>
      </c>
      <c r="Z2937" s="51" t="b">
        <v>0</v>
      </c>
      <c r="AA2937" s="68"/>
      <c r="AB2937" s="52"/>
      <c r="AC2937" s="52"/>
      <c r="AD2937" s="52"/>
      <c r="AE2937" s="56" t="s">
        <v>607</v>
      </c>
      <c r="AF2937" s="56" t="s">
        <v>607</v>
      </c>
    </row>
    <row r="2938">
      <c r="A2938" s="52" t="s">
        <v>6666</v>
      </c>
      <c r="B2938" s="52" t="s">
        <v>607</v>
      </c>
      <c r="C2938" s="52" t="s">
        <v>607</v>
      </c>
      <c r="D2938" s="65" t="s">
        <v>607</v>
      </c>
      <c r="E2938" s="65" t="s">
        <v>607</v>
      </c>
      <c r="F2938" s="65" t="s">
        <v>607</v>
      </c>
      <c r="G2938" s="65" t="s">
        <v>607</v>
      </c>
      <c r="H2938" s="52" t="s">
        <v>607</v>
      </c>
      <c r="I2938" s="52" t="s">
        <v>607</v>
      </c>
      <c r="J2938" s="52" t="s">
        <v>607</v>
      </c>
      <c r="K2938" s="52" t="s">
        <v>607</v>
      </c>
      <c r="L2938" s="52" t="s">
        <v>607</v>
      </c>
      <c r="M2938" s="52" t="s">
        <v>607</v>
      </c>
      <c r="N2938" s="52" t="s">
        <v>607</v>
      </c>
      <c r="O2938" s="52"/>
      <c r="P2938" s="52"/>
      <c r="Q2938" s="52"/>
      <c r="R2938" s="51" t="b">
        <v>0</v>
      </c>
      <c r="S2938" s="51"/>
      <c r="T2938" s="52"/>
      <c r="U2938" s="51" t="b">
        <v>0</v>
      </c>
      <c r="V2938" s="51" t="b">
        <v>0</v>
      </c>
      <c r="W2938" s="51" t="b">
        <v>0</v>
      </c>
      <c r="X2938" s="51" t="b">
        <v>0</v>
      </c>
      <c r="Y2938" s="51" t="b">
        <v>0</v>
      </c>
      <c r="Z2938" s="51" t="b">
        <v>0</v>
      </c>
      <c r="AA2938" s="68"/>
      <c r="AB2938" s="52"/>
      <c r="AC2938" s="52"/>
      <c r="AD2938" s="52"/>
      <c r="AE2938" s="56" t="s">
        <v>607</v>
      </c>
      <c r="AF2938" s="56" t="s">
        <v>607</v>
      </c>
    </row>
    <row r="2939">
      <c r="A2939" s="52" t="s">
        <v>6667</v>
      </c>
      <c r="B2939" s="52" t="s">
        <v>607</v>
      </c>
      <c r="C2939" s="52" t="s">
        <v>607</v>
      </c>
      <c r="D2939" s="65" t="s">
        <v>607</v>
      </c>
      <c r="E2939" s="65" t="s">
        <v>607</v>
      </c>
      <c r="F2939" s="65" t="s">
        <v>607</v>
      </c>
      <c r="G2939" s="65" t="s">
        <v>607</v>
      </c>
      <c r="H2939" s="52" t="s">
        <v>607</v>
      </c>
      <c r="I2939" s="52" t="s">
        <v>607</v>
      </c>
      <c r="J2939" s="52" t="s">
        <v>607</v>
      </c>
      <c r="K2939" s="52" t="s">
        <v>607</v>
      </c>
      <c r="L2939" s="52" t="s">
        <v>607</v>
      </c>
      <c r="M2939" s="52" t="s">
        <v>607</v>
      </c>
      <c r="N2939" s="52" t="s">
        <v>607</v>
      </c>
      <c r="O2939" s="52"/>
      <c r="P2939" s="52"/>
      <c r="Q2939" s="52"/>
      <c r="R2939" s="51" t="b">
        <v>0</v>
      </c>
      <c r="S2939" s="51"/>
      <c r="T2939" s="52"/>
      <c r="U2939" s="51" t="b">
        <v>0</v>
      </c>
      <c r="V2939" s="51" t="b">
        <v>0</v>
      </c>
      <c r="W2939" s="51" t="b">
        <v>0</v>
      </c>
      <c r="X2939" s="51" t="b">
        <v>0</v>
      </c>
      <c r="Y2939" s="51" t="b">
        <v>0</v>
      </c>
      <c r="Z2939" s="51" t="b">
        <v>0</v>
      </c>
      <c r="AA2939" s="68"/>
      <c r="AB2939" s="52"/>
      <c r="AC2939" s="52"/>
      <c r="AD2939" s="52"/>
      <c r="AE2939" s="56" t="s">
        <v>607</v>
      </c>
      <c r="AF2939" s="56" t="s">
        <v>607</v>
      </c>
    </row>
    <row r="2940">
      <c r="A2940" s="52" t="s">
        <v>6668</v>
      </c>
      <c r="B2940" s="52" t="s">
        <v>607</v>
      </c>
      <c r="C2940" s="52" t="s">
        <v>607</v>
      </c>
      <c r="D2940" s="65" t="s">
        <v>607</v>
      </c>
      <c r="E2940" s="65" t="s">
        <v>607</v>
      </c>
      <c r="F2940" s="65" t="s">
        <v>607</v>
      </c>
      <c r="G2940" s="65" t="s">
        <v>607</v>
      </c>
      <c r="H2940" s="52" t="s">
        <v>607</v>
      </c>
      <c r="I2940" s="52" t="s">
        <v>607</v>
      </c>
      <c r="J2940" s="52" t="s">
        <v>607</v>
      </c>
      <c r="K2940" s="52" t="s">
        <v>607</v>
      </c>
      <c r="L2940" s="52" t="s">
        <v>607</v>
      </c>
      <c r="M2940" s="52" t="s">
        <v>607</v>
      </c>
      <c r="N2940" s="52" t="s">
        <v>607</v>
      </c>
      <c r="O2940" s="52"/>
      <c r="P2940" s="52"/>
      <c r="Q2940" s="52"/>
      <c r="R2940" s="51" t="b">
        <v>0</v>
      </c>
      <c r="S2940" s="51"/>
      <c r="T2940" s="52"/>
      <c r="U2940" s="51" t="b">
        <v>0</v>
      </c>
      <c r="V2940" s="51" t="b">
        <v>0</v>
      </c>
      <c r="W2940" s="51" t="b">
        <v>0</v>
      </c>
      <c r="X2940" s="51" t="b">
        <v>0</v>
      </c>
      <c r="Y2940" s="51" t="b">
        <v>0</v>
      </c>
      <c r="Z2940" s="51" t="b">
        <v>0</v>
      </c>
      <c r="AA2940" s="68"/>
      <c r="AB2940" s="52"/>
      <c r="AC2940" s="52"/>
      <c r="AD2940" s="52"/>
      <c r="AE2940" s="56" t="s">
        <v>607</v>
      </c>
      <c r="AF2940" s="56" t="s">
        <v>607</v>
      </c>
    </row>
    <row r="2941">
      <c r="A2941" s="52" t="s">
        <v>6669</v>
      </c>
      <c r="B2941" s="52" t="s">
        <v>607</v>
      </c>
      <c r="C2941" s="52" t="s">
        <v>607</v>
      </c>
      <c r="D2941" s="65" t="s">
        <v>607</v>
      </c>
      <c r="E2941" s="65" t="s">
        <v>607</v>
      </c>
      <c r="F2941" s="65" t="s">
        <v>607</v>
      </c>
      <c r="G2941" s="65" t="s">
        <v>607</v>
      </c>
      <c r="H2941" s="52" t="s">
        <v>607</v>
      </c>
      <c r="I2941" s="52" t="s">
        <v>607</v>
      </c>
      <c r="J2941" s="52" t="s">
        <v>607</v>
      </c>
      <c r="K2941" s="52" t="s">
        <v>607</v>
      </c>
      <c r="L2941" s="52" t="s">
        <v>607</v>
      </c>
      <c r="M2941" s="52" t="s">
        <v>607</v>
      </c>
      <c r="N2941" s="52" t="s">
        <v>607</v>
      </c>
      <c r="O2941" s="52"/>
      <c r="P2941" s="52"/>
      <c r="Q2941" s="52"/>
      <c r="R2941" s="51" t="b">
        <v>0</v>
      </c>
      <c r="S2941" s="51"/>
      <c r="T2941" s="52"/>
      <c r="U2941" s="51" t="b">
        <v>0</v>
      </c>
      <c r="V2941" s="51" t="b">
        <v>0</v>
      </c>
      <c r="W2941" s="51" t="b">
        <v>0</v>
      </c>
      <c r="X2941" s="51" t="b">
        <v>0</v>
      </c>
      <c r="Y2941" s="51" t="b">
        <v>0</v>
      </c>
      <c r="Z2941" s="51" t="b">
        <v>0</v>
      </c>
      <c r="AA2941" s="68"/>
      <c r="AB2941" s="52"/>
      <c r="AC2941" s="52"/>
      <c r="AD2941" s="52"/>
      <c r="AE2941" s="56" t="s">
        <v>607</v>
      </c>
      <c r="AF2941" s="56" t="s">
        <v>607</v>
      </c>
    </row>
    <row r="2942">
      <c r="A2942" s="52" t="s">
        <v>6670</v>
      </c>
      <c r="B2942" s="52" t="s">
        <v>607</v>
      </c>
      <c r="C2942" s="52" t="s">
        <v>607</v>
      </c>
      <c r="D2942" s="65" t="s">
        <v>607</v>
      </c>
      <c r="E2942" s="65" t="s">
        <v>607</v>
      </c>
      <c r="F2942" s="65" t="s">
        <v>607</v>
      </c>
      <c r="G2942" s="65" t="s">
        <v>607</v>
      </c>
      <c r="H2942" s="52" t="s">
        <v>607</v>
      </c>
      <c r="I2942" s="52" t="s">
        <v>607</v>
      </c>
      <c r="J2942" s="52" t="s">
        <v>607</v>
      </c>
      <c r="K2942" s="52" t="s">
        <v>607</v>
      </c>
      <c r="L2942" s="52" t="s">
        <v>607</v>
      </c>
      <c r="M2942" s="52" t="s">
        <v>607</v>
      </c>
      <c r="N2942" s="52" t="s">
        <v>607</v>
      </c>
      <c r="O2942" s="52"/>
      <c r="P2942" s="52"/>
      <c r="Q2942" s="52"/>
      <c r="R2942" s="51" t="b">
        <v>0</v>
      </c>
      <c r="S2942" s="51"/>
      <c r="T2942" s="52"/>
      <c r="U2942" s="51" t="b">
        <v>0</v>
      </c>
      <c r="V2942" s="51" t="b">
        <v>0</v>
      </c>
      <c r="W2942" s="51" t="b">
        <v>0</v>
      </c>
      <c r="X2942" s="51" t="b">
        <v>0</v>
      </c>
      <c r="Y2942" s="51" t="b">
        <v>0</v>
      </c>
      <c r="Z2942" s="51" t="b">
        <v>0</v>
      </c>
      <c r="AA2942" s="68"/>
      <c r="AB2942" s="52"/>
      <c r="AC2942" s="52"/>
      <c r="AD2942" s="52"/>
      <c r="AE2942" s="56" t="s">
        <v>607</v>
      </c>
      <c r="AF2942" s="56" t="s">
        <v>607</v>
      </c>
    </row>
    <row r="2943">
      <c r="A2943" s="52" t="s">
        <v>6671</v>
      </c>
      <c r="B2943" s="52" t="s">
        <v>607</v>
      </c>
      <c r="C2943" s="52" t="s">
        <v>607</v>
      </c>
      <c r="D2943" s="65" t="s">
        <v>607</v>
      </c>
      <c r="E2943" s="65" t="s">
        <v>607</v>
      </c>
      <c r="F2943" s="65" t="s">
        <v>607</v>
      </c>
      <c r="G2943" s="65" t="s">
        <v>607</v>
      </c>
      <c r="H2943" s="52" t="s">
        <v>607</v>
      </c>
      <c r="I2943" s="52" t="s">
        <v>607</v>
      </c>
      <c r="J2943" s="52" t="s">
        <v>607</v>
      </c>
      <c r="K2943" s="52" t="s">
        <v>607</v>
      </c>
      <c r="L2943" s="52" t="s">
        <v>607</v>
      </c>
      <c r="M2943" s="52" t="s">
        <v>607</v>
      </c>
      <c r="N2943" s="52" t="s">
        <v>607</v>
      </c>
      <c r="O2943" s="52"/>
      <c r="P2943" s="52"/>
      <c r="Q2943" s="52"/>
      <c r="R2943" s="51" t="b">
        <v>0</v>
      </c>
      <c r="S2943" s="51"/>
      <c r="T2943" s="52"/>
      <c r="U2943" s="51" t="b">
        <v>0</v>
      </c>
      <c r="V2943" s="51" t="b">
        <v>0</v>
      </c>
      <c r="W2943" s="51" t="b">
        <v>0</v>
      </c>
      <c r="X2943" s="51" t="b">
        <v>0</v>
      </c>
      <c r="Y2943" s="51" t="b">
        <v>0</v>
      </c>
      <c r="Z2943" s="51" t="b">
        <v>0</v>
      </c>
      <c r="AA2943" s="68"/>
      <c r="AB2943" s="52"/>
      <c r="AC2943" s="52"/>
      <c r="AD2943" s="52"/>
      <c r="AE2943" s="56" t="s">
        <v>607</v>
      </c>
      <c r="AF2943" s="56" t="s">
        <v>607</v>
      </c>
    </row>
    <row r="2944">
      <c r="A2944" s="52" t="s">
        <v>6673</v>
      </c>
      <c r="B2944" s="52" t="s">
        <v>607</v>
      </c>
      <c r="C2944" s="52" t="s">
        <v>607</v>
      </c>
      <c r="D2944" s="65" t="s">
        <v>607</v>
      </c>
      <c r="E2944" s="65" t="s">
        <v>607</v>
      </c>
      <c r="F2944" s="65" t="s">
        <v>607</v>
      </c>
      <c r="G2944" s="65" t="s">
        <v>607</v>
      </c>
      <c r="H2944" s="52" t="s">
        <v>607</v>
      </c>
      <c r="I2944" s="52" t="s">
        <v>607</v>
      </c>
      <c r="J2944" s="52" t="s">
        <v>607</v>
      </c>
      <c r="K2944" s="52" t="s">
        <v>607</v>
      </c>
      <c r="L2944" s="52" t="s">
        <v>607</v>
      </c>
      <c r="M2944" s="52" t="s">
        <v>607</v>
      </c>
      <c r="N2944" s="52" t="s">
        <v>607</v>
      </c>
      <c r="O2944" s="52"/>
      <c r="P2944" s="52"/>
      <c r="Q2944" s="52"/>
      <c r="R2944" s="51" t="b">
        <v>0</v>
      </c>
      <c r="S2944" s="51"/>
      <c r="T2944" s="52"/>
      <c r="U2944" s="51" t="b">
        <v>0</v>
      </c>
      <c r="V2944" s="51" t="b">
        <v>0</v>
      </c>
      <c r="W2944" s="51" t="b">
        <v>0</v>
      </c>
      <c r="X2944" s="51" t="b">
        <v>0</v>
      </c>
      <c r="Y2944" s="51" t="b">
        <v>0</v>
      </c>
      <c r="Z2944" s="51" t="b">
        <v>0</v>
      </c>
      <c r="AA2944" s="68"/>
      <c r="AB2944" s="52"/>
      <c r="AC2944" s="52"/>
      <c r="AD2944" s="52"/>
      <c r="AE2944" s="56" t="s">
        <v>607</v>
      </c>
      <c r="AF2944" s="56" t="s">
        <v>607</v>
      </c>
    </row>
    <row r="2945">
      <c r="A2945" s="52" t="s">
        <v>6674</v>
      </c>
      <c r="B2945" s="52" t="s">
        <v>607</v>
      </c>
      <c r="C2945" s="52" t="s">
        <v>607</v>
      </c>
      <c r="D2945" s="65" t="s">
        <v>607</v>
      </c>
      <c r="E2945" s="65" t="s">
        <v>607</v>
      </c>
      <c r="F2945" s="65" t="s">
        <v>607</v>
      </c>
      <c r="G2945" s="65" t="s">
        <v>607</v>
      </c>
      <c r="H2945" s="52" t="s">
        <v>607</v>
      </c>
      <c r="I2945" s="52" t="s">
        <v>607</v>
      </c>
      <c r="J2945" s="52" t="s">
        <v>607</v>
      </c>
      <c r="K2945" s="52" t="s">
        <v>607</v>
      </c>
      <c r="L2945" s="52" t="s">
        <v>607</v>
      </c>
      <c r="M2945" s="52" t="s">
        <v>607</v>
      </c>
      <c r="N2945" s="52" t="s">
        <v>607</v>
      </c>
      <c r="O2945" s="52"/>
      <c r="P2945" s="52"/>
      <c r="Q2945" s="52"/>
      <c r="R2945" s="51" t="b">
        <v>0</v>
      </c>
      <c r="S2945" s="51"/>
      <c r="T2945" s="52"/>
      <c r="U2945" s="51" t="b">
        <v>0</v>
      </c>
      <c r="V2945" s="51" t="b">
        <v>0</v>
      </c>
      <c r="W2945" s="51" t="b">
        <v>0</v>
      </c>
      <c r="X2945" s="51" t="b">
        <v>0</v>
      </c>
      <c r="Y2945" s="51" t="b">
        <v>0</v>
      </c>
      <c r="Z2945" s="51" t="b">
        <v>0</v>
      </c>
      <c r="AA2945" s="68"/>
      <c r="AB2945" s="52"/>
      <c r="AC2945" s="52"/>
      <c r="AD2945" s="52"/>
      <c r="AE2945" s="56" t="s">
        <v>607</v>
      </c>
      <c r="AF2945" s="56" t="s">
        <v>607</v>
      </c>
    </row>
    <row r="2946">
      <c r="A2946" s="52" t="s">
        <v>6676</v>
      </c>
      <c r="B2946" s="52" t="s">
        <v>607</v>
      </c>
      <c r="C2946" s="52" t="s">
        <v>607</v>
      </c>
      <c r="D2946" s="65" t="s">
        <v>607</v>
      </c>
      <c r="E2946" s="65" t="s">
        <v>607</v>
      </c>
      <c r="F2946" s="65" t="s">
        <v>607</v>
      </c>
      <c r="G2946" s="65" t="s">
        <v>607</v>
      </c>
      <c r="H2946" s="52" t="s">
        <v>607</v>
      </c>
      <c r="I2946" s="52" t="s">
        <v>607</v>
      </c>
      <c r="J2946" s="52" t="s">
        <v>607</v>
      </c>
      <c r="K2946" s="52" t="s">
        <v>607</v>
      </c>
      <c r="L2946" s="52" t="s">
        <v>607</v>
      </c>
      <c r="M2946" s="52" t="s">
        <v>607</v>
      </c>
      <c r="N2946" s="52" t="s">
        <v>607</v>
      </c>
      <c r="O2946" s="52"/>
      <c r="P2946" s="52"/>
      <c r="Q2946" s="52"/>
      <c r="R2946" s="51" t="b">
        <v>0</v>
      </c>
      <c r="S2946" s="51"/>
      <c r="T2946" s="52"/>
      <c r="U2946" s="51" t="b">
        <v>0</v>
      </c>
      <c r="V2946" s="51" t="b">
        <v>0</v>
      </c>
      <c r="W2946" s="51" t="b">
        <v>0</v>
      </c>
      <c r="X2946" s="51" t="b">
        <v>0</v>
      </c>
      <c r="Y2946" s="51" t="b">
        <v>0</v>
      </c>
      <c r="Z2946" s="51" t="b">
        <v>0</v>
      </c>
      <c r="AA2946" s="68"/>
      <c r="AB2946" s="52"/>
      <c r="AC2946" s="52"/>
      <c r="AD2946" s="52"/>
      <c r="AE2946" s="56" t="s">
        <v>607</v>
      </c>
      <c r="AF2946" s="56" t="s">
        <v>607</v>
      </c>
    </row>
    <row r="2947">
      <c r="A2947" s="52" t="s">
        <v>6682</v>
      </c>
      <c r="B2947" s="52" t="s">
        <v>607</v>
      </c>
      <c r="C2947" s="52" t="s">
        <v>607</v>
      </c>
      <c r="D2947" s="65" t="s">
        <v>607</v>
      </c>
      <c r="E2947" s="65" t="s">
        <v>607</v>
      </c>
      <c r="F2947" s="65" t="s">
        <v>607</v>
      </c>
      <c r="G2947" s="65" t="s">
        <v>607</v>
      </c>
      <c r="H2947" s="52" t="s">
        <v>607</v>
      </c>
      <c r="I2947" s="52" t="s">
        <v>607</v>
      </c>
      <c r="J2947" s="52" t="s">
        <v>607</v>
      </c>
      <c r="K2947" s="52" t="s">
        <v>607</v>
      </c>
      <c r="L2947" s="52" t="s">
        <v>607</v>
      </c>
      <c r="M2947" s="52" t="s">
        <v>607</v>
      </c>
      <c r="N2947" s="52" t="s">
        <v>607</v>
      </c>
      <c r="O2947" s="52"/>
      <c r="P2947" s="52"/>
      <c r="Q2947" s="52"/>
      <c r="R2947" s="51" t="b">
        <v>0</v>
      </c>
      <c r="S2947" s="51"/>
      <c r="T2947" s="52"/>
      <c r="U2947" s="51" t="b">
        <v>0</v>
      </c>
      <c r="V2947" s="51" t="b">
        <v>0</v>
      </c>
      <c r="W2947" s="51" t="b">
        <v>0</v>
      </c>
      <c r="X2947" s="51" t="b">
        <v>0</v>
      </c>
      <c r="Y2947" s="51" t="b">
        <v>0</v>
      </c>
      <c r="Z2947" s="51" t="b">
        <v>0</v>
      </c>
      <c r="AA2947" s="68"/>
      <c r="AB2947" s="52"/>
      <c r="AC2947" s="52"/>
      <c r="AD2947" s="52"/>
      <c r="AE2947" s="56" t="s">
        <v>607</v>
      </c>
      <c r="AF2947" s="56" t="s">
        <v>607</v>
      </c>
    </row>
    <row r="2948">
      <c r="A2948" s="52" t="s">
        <v>6684</v>
      </c>
      <c r="B2948" s="52" t="s">
        <v>607</v>
      </c>
      <c r="C2948" s="52" t="s">
        <v>607</v>
      </c>
      <c r="D2948" s="65" t="s">
        <v>607</v>
      </c>
      <c r="E2948" s="65" t="s">
        <v>607</v>
      </c>
      <c r="F2948" s="65" t="s">
        <v>607</v>
      </c>
      <c r="G2948" s="65" t="s">
        <v>607</v>
      </c>
      <c r="H2948" s="52" t="s">
        <v>607</v>
      </c>
      <c r="I2948" s="52" t="s">
        <v>607</v>
      </c>
      <c r="J2948" s="52" t="s">
        <v>607</v>
      </c>
      <c r="K2948" s="52" t="s">
        <v>607</v>
      </c>
      <c r="L2948" s="52" t="s">
        <v>607</v>
      </c>
      <c r="M2948" s="52" t="s">
        <v>607</v>
      </c>
      <c r="N2948" s="52" t="s">
        <v>607</v>
      </c>
      <c r="O2948" s="52"/>
      <c r="P2948" s="52"/>
      <c r="Q2948" s="52"/>
      <c r="R2948" s="51" t="b">
        <v>0</v>
      </c>
      <c r="S2948" s="51"/>
      <c r="T2948" s="52"/>
      <c r="U2948" s="51" t="b">
        <v>0</v>
      </c>
      <c r="V2948" s="51" t="b">
        <v>0</v>
      </c>
      <c r="W2948" s="51" t="b">
        <v>0</v>
      </c>
      <c r="X2948" s="51" t="b">
        <v>0</v>
      </c>
      <c r="Y2948" s="51" t="b">
        <v>0</v>
      </c>
      <c r="Z2948" s="51" t="b">
        <v>0</v>
      </c>
      <c r="AA2948" s="68"/>
      <c r="AB2948" s="52"/>
      <c r="AC2948" s="52"/>
      <c r="AD2948" s="52"/>
      <c r="AE2948" s="56" t="s">
        <v>607</v>
      </c>
      <c r="AF2948" s="56" t="s">
        <v>607</v>
      </c>
    </row>
    <row r="2949">
      <c r="A2949" s="52" t="s">
        <v>6686</v>
      </c>
      <c r="B2949" s="52" t="s">
        <v>607</v>
      </c>
      <c r="C2949" s="52" t="s">
        <v>607</v>
      </c>
      <c r="D2949" s="65" t="s">
        <v>607</v>
      </c>
      <c r="E2949" s="65" t="s">
        <v>607</v>
      </c>
      <c r="F2949" s="65" t="s">
        <v>607</v>
      </c>
      <c r="G2949" s="65" t="s">
        <v>607</v>
      </c>
      <c r="H2949" s="52" t="s">
        <v>607</v>
      </c>
      <c r="I2949" s="52" t="s">
        <v>607</v>
      </c>
      <c r="J2949" s="52" t="s">
        <v>607</v>
      </c>
      <c r="K2949" s="52" t="s">
        <v>607</v>
      </c>
      <c r="L2949" s="52" t="s">
        <v>607</v>
      </c>
      <c r="M2949" s="52" t="s">
        <v>607</v>
      </c>
      <c r="N2949" s="52" t="s">
        <v>607</v>
      </c>
      <c r="O2949" s="52"/>
      <c r="P2949" s="52"/>
      <c r="Q2949" s="52"/>
      <c r="R2949" s="51" t="b">
        <v>0</v>
      </c>
      <c r="S2949" s="51"/>
      <c r="T2949" s="52"/>
      <c r="U2949" s="51" t="b">
        <v>0</v>
      </c>
      <c r="V2949" s="51" t="b">
        <v>0</v>
      </c>
      <c r="W2949" s="51" t="b">
        <v>0</v>
      </c>
      <c r="X2949" s="51" t="b">
        <v>0</v>
      </c>
      <c r="Y2949" s="51" t="b">
        <v>0</v>
      </c>
      <c r="Z2949" s="51" t="b">
        <v>0</v>
      </c>
      <c r="AA2949" s="68"/>
      <c r="AB2949" s="52"/>
      <c r="AC2949" s="52"/>
      <c r="AD2949" s="52"/>
      <c r="AE2949" s="56" t="s">
        <v>607</v>
      </c>
      <c r="AF2949" s="56" t="s">
        <v>607</v>
      </c>
    </row>
    <row r="2950">
      <c r="A2950" s="52" t="s">
        <v>6687</v>
      </c>
      <c r="B2950" s="52" t="s">
        <v>607</v>
      </c>
      <c r="C2950" s="52" t="s">
        <v>607</v>
      </c>
      <c r="D2950" s="65" t="s">
        <v>607</v>
      </c>
      <c r="E2950" s="65" t="s">
        <v>607</v>
      </c>
      <c r="F2950" s="65" t="s">
        <v>607</v>
      </c>
      <c r="G2950" s="65" t="s">
        <v>607</v>
      </c>
      <c r="H2950" s="52" t="s">
        <v>607</v>
      </c>
      <c r="I2950" s="52" t="s">
        <v>607</v>
      </c>
      <c r="J2950" s="52" t="s">
        <v>607</v>
      </c>
      <c r="K2950" s="52" t="s">
        <v>607</v>
      </c>
      <c r="L2950" s="52" t="s">
        <v>607</v>
      </c>
      <c r="M2950" s="52" t="s">
        <v>607</v>
      </c>
      <c r="N2950" s="52" t="s">
        <v>607</v>
      </c>
      <c r="O2950" s="52"/>
      <c r="P2950" s="52"/>
      <c r="Q2950" s="52"/>
      <c r="R2950" s="51" t="b">
        <v>0</v>
      </c>
      <c r="S2950" s="51"/>
      <c r="T2950" s="52"/>
      <c r="U2950" s="51" t="b">
        <v>0</v>
      </c>
      <c r="V2950" s="51" t="b">
        <v>0</v>
      </c>
      <c r="W2950" s="51" t="b">
        <v>0</v>
      </c>
      <c r="X2950" s="51" t="b">
        <v>0</v>
      </c>
      <c r="Y2950" s="51" t="b">
        <v>0</v>
      </c>
      <c r="Z2950" s="51" t="b">
        <v>0</v>
      </c>
      <c r="AA2950" s="68"/>
      <c r="AB2950" s="52"/>
      <c r="AC2950" s="52"/>
      <c r="AD2950" s="52"/>
      <c r="AE2950" s="56" t="s">
        <v>607</v>
      </c>
      <c r="AF2950" s="56" t="s">
        <v>607</v>
      </c>
    </row>
    <row r="2951">
      <c r="A2951" s="52" t="s">
        <v>6688</v>
      </c>
      <c r="B2951" s="52" t="s">
        <v>607</v>
      </c>
      <c r="C2951" s="52" t="s">
        <v>607</v>
      </c>
      <c r="D2951" s="65" t="s">
        <v>607</v>
      </c>
      <c r="E2951" s="65" t="s">
        <v>607</v>
      </c>
      <c r="F2951" s="65" t="s">
        <v>607</v>
      </c>
      <c r="G2951" s="65" t="s">
        <v>607</v>
      </c>
      <c r="H2951" s="52" t="s">
        <v>607</v>
      </c>
      <c r="I2951" s="52" t="s">
        <v>607</v>
      </c>
      <c r="J2951" s="52" t="s">
        <v>607</v>
      </c>
      <c r="K2951" s="52" t="s">
        <v>607</v>
      </c>
      <c r="L2951" s="52" t="s">
        <v>607</v>
      </c>
      <c r="M2951" s="52" t="s">
        <v>607</v>
      </c>
      <c r="N2951" s="52" t="s">
        <v>607</v>
      </c>
      <c r="O2951" s="52"/>
      <c r="P2951" s="52"/>
      <c r="Q2951" s="52"/>
      <c r="R2951" s="51" t="b">
        <v>0</v>
      </c>
      <c r="S2951" s="51"/>
      <c r="T2951" s="52"/>
      <c r="U2951" s="51" t="b">
        <v>0</v>
      </c>
      <c r="V2951" s="51" t="b">
        <v>0</v>
      </c>
      <c r="W2951" s="51" t="b">
        <v>0</v>
      </c>
      <c r="X2951" s="51" t="b">
        <v>0</v>
      </c>
      <c r="Y2951" s="51" t="b">
        <v>0</v>
      </c>
      <c r="Z2951" s="51" t="b">
        <v>0</v>
      </c>
      <c r="AA2951" s="68"/>
      <c r="AB2951" s="52"/>
      <c r="AC2951" s="52"/>
      <c r="AD2951" s="52"/>
      <c r="AE2951" s="56" t="s">
        <v>607</v>
      </c>
      <c r="AF2951" s="56" t="s">
        <v>607</v>
      </c>
    </row>
    <row r="2952">
      <c r="A2952" s="52" t="s">
        <v>6690</v>
      </c>
      <c r="B2952" s="52" t="s">
        <v>607</v>
      </c>
      <c r="C2952" s="52" t="s">
        <v>607</v>
      </c>
      <c r="D2952" s="65" t="s">
        <v>607</v>
      </c>
      <c r="E2952" s="65" t="s">
        <v>607</v>
      </c>
      <c r="F2952" s="65" t="s">
        <v>607</v>
      </c>
      <c r="G2952" s="65" t="s">
        <v>607</v>
      </c>
      <c r="H2952" s="52" t="s">
        <v>607</v>
      </c>
      <c r="I2952" s="52" t="s">
        <v>607</v>
      </c>
      <c r="J2952" s="52" t="s">
        <v>607</v>
      </c>
      <c r="K2952" s="52" t="s">
        <v>607</v>
      </c>
      <c r="L2952" s="52" t="s">
        <v>607</v>
      </c>
      <c r="M2952" s="52" t="s">
        <v>607</v>
      </c>
      <c r="N2952" s="52" t="s">
        <v>607</v>
      </c>
      <c r="O2952" s="52"/>
      <c r="P2952" s="52"/>
      <c r="Q2952" s="52"/>
      <c r="R2952" s="51" t="b">
        <v>0</v>
      </c>
      <c r="S2952" s="51"/>
      <c r="T2952" s="52"/>
      <c r="U2952" s="51" t="b">
        <v>0</v>
      </c>
      <c r="V2952" s="51" t="b">
        <v>0</v>
      </c>
      <c r="W2952" s="51" t="b">
        <v>0</v>
      </c>
      <c r="X2952" s="51" t="b">
        <v>0</v>
      </c>
      <c r="Y2952" s="51" t="b">
        <v>0</v>
      </c>
      <c r="Z2952" s="51" t="b">
        <v>0</v>
      </c>
      <c r="AA2952" s="68"/>
      <c r="AB2952" s="52"/>
      <c r="AC2952" s="52"/>
      <c r="AD2952" s="52"/>
      <c r="AE2952" s="56" t="s">
        <v>607</v>
      </c>
      <c r="AF2952" s="56" t="s">
        <v>607</v>
      </c>
    </row>
    <row r="2953">
      <c r="A2953" s="52" t="s">
        <v>6691</v>
      </c>
      <c r="B2953" s="52" t="s">
        <v>607</v>
      </c>
      <c r="C2953" s="52" t="s">
        <v>607</v>
      </c>
      <c r="D2953" s="65" t="s">
        <v>607</v>
      </c>
      <c r="E2953" s="65" t="s">
        <v>607</v>
      </c>
      <c r="F2953" s="65" t="s">
        <v>607</v>
      </c>
      <c r="G2953" s="65" t="s">
        <v>607</v>
      </c>
      <c r="H2953" s="52" t="s">
        <v>607</v>
      </c>
      <c r="I2953" s="52" t="s">
        <v>607</v>
      </c>
      <c r="J2953" s="52" t="s">
        <v>607</v>
      </c>
      <c r="K2953" s="52" t="s">
        <v>607</v>
      </c>
      <c r="L2953" s="52" t="s">
        <v>607</v>
      </c>
      <c r="M2953" s="52" t="s">
        <v>607</v>
      </c>
      <c r="N2953" s="52" t="s">
        <v>607</v>
      </c>
      <c r="O2953" s="52"/>
      <c r="P2953" s="52"/>
      <c r="Q2953" s="52"/>
      <c r="R2953" s="51" t="b">
        <v>0</v>
      </c>
      <c r="S2953" s="51"/>
      <c r="T2953" s="52"/>
      <c r="U2953" s="51" t="b">
        <v>0</v>
      </c>
      <c r="V2953" s="51" t="b">
        <v>0</v>
      </c>
      <c r="W2953" s="51" t="b">
        <v>0</v>
      </c>
      <c r="X2953" s="51" t="b">
        <v>0</v>
      </c>
      <c r="Y2953" s="51" t="b">
        <v>0</v>
      </c>
      <c r="Z2953" s="51" t="b">
        <v>0</v>
      </c>
      <c r="AA2953" s="68"/>
      <c r="AB2953" s="52"/>
      <c r="AC2953" s="52"/>
      <c r="AD2953" s="52"/>
      <c r="AE2953" s="56" t="s">
        <v>607</v>
      </c>
      <c r="AF2953" s="56" t="s">
        <v>607</v>
      </c>
    </row>
    <row r="2954">
      <c r="A2954" s="52" t="s">
        <v>6692</v>
      </c>
      <c r="B2954" s="52" t="s">
        <v>607</v>
      </c>
      <c r="C2954" s="52" t="s">
        <v>607</v>
      </c>
      <c r="D2954" s="65" t="s">
        <v>607</v>
      </c>
      <c r="E2954" s="65" t="s">
        <v>607</v>
      </c>
      <c r="F2954" s="65" t="s">
        <v>607</v>
      </c>
      <c r="G2954" s="65" t="s">
        <v>607</v>
      </c>
      <c r="H2954" s="52" t="s">
        <v>607</v>
      </c>
      <c r="I2954" s="52" t="s">
        <v>607</v>
      </c>
      <c r="J2954" s="52" t="s">
        <v>607</v>
      </c>
      <c r="K2954" s="52" t="s">
        <v>607</v>
      </c>
      <c r="L2954" s="52" t="s">
        <v>607</v>
      </c>
      <c r="M2954" s="52" t="s">
        <v>607</v>
      </c>
      <c r="N2954" s="52" t="s">
        <v>607</v>
      </c>
      <c r="O2954" s="52"/>
      <c r="P2954" s="52"/>
      <c r="Q2954" s="52"/>
      <c r="R2954" s="51" t="b">
        <v>0</v>
      </c>
      <c r="S2954" s="51"/>
      <c r="T2954" s="52"/>
      <c r="U2954" s="51" t="b">
        <v>0</v>
      </c>
      <c r="V2954" s="51" t="b">
        <v>0</v>
      </c>
      <c r="W2954" s="51" t="b">
        <v>0</v>
      </c>
      <c r="X2954" s="51" t="b">
        <v>0</v>
      </c>
      <c r="Y2954" s="51" t="b">
        <v>0</v>
      </c>
      <c r="Z2954" s="51" t="b">
        <v>0</v>
      </c>
      <c r="AA2954" s="68"/>
      <c r="AB2954" s="52"/>
      <c r="AC2954" s="52"/>
      <c r="AD2954" s="52"/>
      <c r="AE2954" s="56" t="s">
        <v>607</v>
      </c>
      <c r="AF2954" s="56" t="s">
        <v>607</v>
      </c>
    </row>
    <row r="2955">
      <c r="A2955" s="52" t="s">
        <v>6693</v>
      </c>
      <c r="B2955" s="52" t="s">
        <v>607</v>
      </c>
      <c r="C2955" s="52" t="s">
        <v>607</v>
      </c>
      <c r="D2955" s="65" t="s">
        <v>607</v>
      </c>
      <c r="E2955" s="65" t="s">
        <v>607</v>
      </c>
      <c r="F2955" s="65" t="s">
        <v>607</v>
      </c>
      <c r="G2955" s="65" t="s">
        <v>607</v>
      </c>
      <c r="H2955" s="52" t="s">
        <v>607</v>
      </c>
      <c r="I2955" s="52" t="s">
        <v>607</v>
      </c>
      <c r="J2955" s="52" t="s">
        <v>607</v>
      </c>
      <c r="K2955" s="52" t="s">
        <v>607</v>
      </c>
      <c r="L2955" s="52" t="s">
        <v>607</v>
      </c>
      <c r="M2955" s="52" t="s">
        <v>607</v>
      </c>
      <c r="N2955" s="52" t="s">
        <v>607</v>
      </c>
      <c r="O2955" s="52"/>
      <c r="P2955" s="52"/>
      <c r="Q2955" s="52"/>
      <c r="R2955" s="51" t="b">
        <v>0</v>
      </c>
      <c r="S2955" s="51"/>
      <c r="T2955" s="52"/>
      <c r="U2955" s="51" t="b">
        <v>0</v>
      </c>
      <c r="V2955" s="51" t="b">
        <v>0</v>
      </c>
      <c r="W2955" s="51" t="b">
        <v>0</v>
      </c>
      <c r="X2955" s="51" t="b">
        <v>0</v>
      </c>
      <c r="Y2955" s="51" t="b">
        <v>0</v>
      </c>
      <c r="Z2955" s="51" t="b">
        <v>0</v>
      </c>
      <c r="AA2955" s="68"/>
      <c r="AB2955" s="52"/>
      <c r="AC2955" s="52"/>
      <c r="AD2955" s="52"/>
      <c r="AE2955" s="56" t="s">
        <v>607</v>
      </c>
      <c r="AF2955" s="56" t="s">
        <v>607</v>
      </c>
    </row>
    <row r="2956">
      <c r="A2956" s="52" t="s">
        <v>6694</v>
      </c>
      <c r="B2956" s="52" t="s">
        <v>607</v>
      </c>
      <c r="C2956" s="52" t="s">
        <v>607</v>
      </c>
      <c r="D2956" s="65" t="s">
        <v>607</v>
      </c>
      <c r="E2956" s="65" t="s">
        <v>607</v>
      </c>
      <c r="F2956" s="65" t="s">
        <v>607</v>
      </c>
      <c r="G2956" s="65" t="s">
        <v>607</v>
      </c>
      <c r="H2956" s="52" t="s">
        <v>607</v>
      </c>
      <c r="I2956" s="52" t="s">
        <v>607</v>
      </c>
      <c r="J2956" s="52" t="s">
        <v>607</v>
      </c>
      <c r="K2956" s="52" t="s">
        <v>607</v>
      </c>
      <c r="L2956" s="52" t="s">
        <v>607</v>
      </c>
      <c r="M2956" s="52" t="s">
        <v>607</v>
      </c>
      <c r="N2956" s="52" t="s">
        <v>607</v>
      </c>
      <c r="O2956" s="52"/>
      <c r="P2956" s="52"/>
      <c r="Q2956" s="52"/>
      <c r="R2956" s="51" t="b">
        <v>0</v>
      </c>
      <c r="S2956" s="51"/>
      <c r="T2956" s="52"/>
      <c r="U2956" s="51" t="b">
        <v>0</v>
      </c>
      <c r="V2956" s="51" t="b">
        <v>0</v>
      </c>
      <c r="W2956" s="51" t="b">
        <v>0</v>
      </c>
      <c r="X2956" s="51" t="b">
        <v>0</v>
      </c>
      <c r="Y2956" s="51" t="b">
        <v>0</v>
      </c>
      <c r="Z2956" s="51" t="b">
        <v>0</v>
      </c>
      <c r="AA2956" s="68"/>
      <c r="AB2956" s="52"/>
      <c r="AC2956" s="52"/>
      <c r="AD2956" s="52"/>
      <c r="AE2956" s="56" t="s">
        <v>607</v>
      </c>
      <c r="AF2956" s="56" t="s">
        <v>607</v>
      </c>
    </row>
    <row r="2957">
      <c r="A2957" s="52" t="s">
        <v>6695</v>
      </c>
      <c r="B2957" s="52" t="s">
        <v>607</v>
      </c>
      <c r="C2957" s="52" t="s">
        <v>607</v>
      </c>
      <c r="D2957" s="65" t="s">
        <v>607</v>
      </c>
      <c r="E2957" s="65" t="s">
        <v>607</v>
      </c>
      <c r="F2957" s="65" t="s">
        <v>607</v>
      </c>
      <c r="G2957" s="65" t="s">
        <v>607</v>
      </c>
      <c r="H2957" s="52" t="s">
        <v>607</v>
      </c>
      <c r="I2957" s="52" t="s">
        <v>607</v>
      </c>
      <c r="J2957" s="52" t="s">
        <v>607</v>
      </c>
      <c r="K2957" s="52" t="s">
        <v>607</v>
      </c>
      <c r="L2957" s="52" t="s">
        <v>607</v>
      </c>
      <c r="M2957" s="52" t="s">
        <v>607</v>
      </c>
      <c r="N2957" s="52" t="s">
        <v>607</v>
      </c>
      <c r="O2957" s="52"/>
      <c r="P2957" s="52"/>
      <c r="Q2957" s="52"/>
      <c r="R2957" s="51" t="b">
        <v>0</v>
      </c>
      <c r="S2957" s="51"/>
      <c r="T2957" s="52"/>
      <c r="U2957" s="51" t="b">
        <v>0</v>
      </c>
      <c r="V2957" s="51" t="b">
        <v>0</v>
      </c>
      <c r="W2957" s="51" t="b">
        <v>0</v>
      </c>
      <c r="X2957" s="51" t="b">
        <v>0</v>
      </c>
      <c r="Y2957" s="51" t="b">
        <v>0</v>
      </c>
      <c r="Z2957" s="51" t="b">
        <v>0</v>
      </c>
      <c r="AA2957" s="68"/>
      <c r="AB2957" s="52"/>
      <c r="AC2957" s="52"/>
      <c r="AD2957" s="52"/>
      <c r="AE2957" s="56" t="s">
        <v>607</v>
      </c>
      <c r="AF2957" s="56" t="s">
        <v>607</v>
      </c>
    </row>
    <row r="2958">
      <c r="A2958" s="52" t="s">
        <v>6696</v>
      </c>
      <c r="B2958" s="52" t="s">
        <v>607</v>
      </c>
      <c r="C2958" s="52" t="s">
        <v>607</v>
      </c>
      <c r="D2958" s="65" t="s">
        <v>607</v>
      </c>
      <c r="E2958" s="65" t="s">
        <v>607</v>
      </c>
      <c r="F2958" s="65" t="s">
        <v>607</v>
      </c>
      <c r="G2958" s="65" t="s">
        <v>607</v>
      </c>
      <c r="H2958" s="52" t="s">
        <v>607</v>
      </c>
      <c r="I2958" s="52" t="s">
        <v>607</v>
      </c>
      <c r="J2958" s="52" t="s">
        <v>607</v>
      </c>
      <c r="K2958" s="52" t="s">
        <v>607</v>
      </c>
      <c r="L2958" s="52" t="s">
        <v>607</v>
      </c>
      <c r="M2958" s="52" t="s">
        <v>607</v>
      </c>
      <c r="N2958" s="52" t="s">
        <v>607</v>
      </c>
      <c r="O2958" s="52"/>
      <c r="P2958" s="52"/>
      <c r="Q2958" s="52"/>
      <c r="R2958" s="51" t="b">
        <v>0</v>
      </c>
      <c r="S2958" s="51"/>
      <c r="T2958" s="52"/>
      <c r="U2958" s="51" t="b">
        <v>0</v>
      </c>
      <c r="V2958" s="51" t="b">
        <v>0</v>
      </c>
      <c r="W2958" s="51" t="b">
        <v>0</v>
      </c>
      <c r="X2958" s="51" t="b">
        <v>0</v>
      </c>
      <c r="Y2958" s="51" t="b">
        <v>0</v>
      </c>
      <c r="Z2958" s="51" t="b">
        <v>0</v>
      </c>
      <c r="AA2958" s="68"/>
      <c r="AB2958" s="52"/>
      <c r="AC2958" s="52"/>
      <c r="AD2958" s="52"/>
      <c r="AE2958" s="56" t="s">
        <v>607</v>
      </c>
      <c r="AF2958" s="56" t="s">
        <v>607</v>
      </c>
    </row>
    <row r="2959">
      <c r="A2959" s="52" t="s">
        <v>6697</v>
      </c>
      <c r="B2959" s="52" t="s">
        <v>607</v>
      </c>
      <c r="C2959" s="52" t="s">
        <v>607</v>
      </c>
      <c r="D2959" s="65" t="s">
        <v>607</v>
      </c>
      <c r="E2959" s="65" t="s">
        <v>607</v>
      </c>
      <c r="F2959" s="65" t="s">
        <v>607</v>
      </c>
      <c r="G2959" s="65" t="s">
        <v>607</v>
      </c>
      <c r="H2959" s="52" t="s">
        <v>607</v>
      </c>
      <c r="I2959" s="52" t="s">
        <v>607</v>
      </c>
      <c r="J2959" s="52" t="s">
        <v>607</v>
      </c>
      <c r="K2959" s="52" t="s">
        <v>607</v>
      </c>
      <c r="L2959" s="52" t="s">
        <v>607</v>
      </c>
      <c r="M2959" s="52" t="s">
        <v>607</v>
      </c>
      <c r="N2959" s="52" t="s">
        <v>607</v>
      </c>
      <c r="O2959" s="52"/>
      <c r="P2959" s="52"/>
      <c r="Q2959" s="52"/>
      <c r="R2959" s="51" t="b">
        <v>0</v>
      </c>
      <c r="S2959" s="51"/>
      <c r="T2959" s="52"/>
      <c r="U2959" s="51" t="b">
        <v>0</v>
      </c>
      <c r="V2959" s="51" t="b">
        <v>0</v>
      </c>
      <c r="W2959" s="51" t="b">
        <v>0</v>
      </c>
      <c r="X2959" s="51" t="b">
        <v>0</v>
      </c>
      <c r="Y2959" s="51" t="b">
        <v>0</v>
      </c>
      <c r="Z2959" s="51" t="b">
        <v>0</v>
      </c>
      <c r="AA2959" s="68"/>
      <c r="AB2959" s="52"/>
      <c r="AC2959" s="52"/>
      <c r="AD2959" s="52"/>
      <c r="AE2959" s="56" t="s">
        <v>607</v>
      </c>
      <c r="AF2959" s="56" t="s">
        <v>607</v>
      </c>
    </row>
    <row r="2960">
      <c r="A2960" s="52" t="s">
        <v>6698</v>
      </c>
      <c r="B2960" s="52" t="s">
        <v>607</v>
      </c>
      <c r="C2960" s="52" t="s">
        <v>607</v>
      </c>
      <c r="D2960" s="65" t="s">
        <v>607</v>
      </c>
      <c r="E2960" s="65" t="s">
        <v>607</v>
      </c>
      <c r="F2960" s="65" t="s">
        <v>607</v>
      </c>
      <c r="G2960" s="65" t="s">
        <v>607</v>
      </c>
      <c r="H2960" s="52" t="s">
        <v>607</v>
      </c>
      <c r="I2960" s="52" t="s">
        <v>607</v>
      </c>
      <c r="J2960" s="52" t="s">
        <v>607</v>
      </c>
      <c r="K2960" s="52" t="s">
        <v>607</v>
      </c>
      <c r="L2960" s="52" t="s">
        <v>607</v>
      </c>
      <c r="M2960" s="52" t="s">
        <v>607</v>
      </c>
      <c r="N2960" s="52" t="s">
        <v>607</v>
      </c>
      <c r="O2960" s="52"/>
      <c r="P2960" s="52"/>
      <c r="Q2960" s="52"/>
      <c r="R2960" s="51" t="b">
        <v>0</v>
      </c>
      <c r="S2960" s="51"/>
      <c r="T2960" s="52"/>
      <c r="U2960" s="51" t="b">
        <v>0</v>
      </c>
      <c r="V2960" s="51" t="b">
        <v>0</v>
      </c>
      <c r="W2960" s="51" t="b">
        <v>0</v>
      </c>
      <c r="X2960" s="51" t="b">
        <v>0</v>
      </c>
      <c r="Y2960" s="51" t="b">
        <v>0</v>
      </c>
      <c r="Z2960" s="51" t="b">
        <v>0</v>
      </c>
      <c r="AA2960" s="68"/>
      <c r="AB2960" s="52"/>
      <c r="AC2960" s="52"/>
      <c r="AD2960" s="52"/>
      <c r="AE2960" s="56" t="s">
        <v>607</v>
      </c>
      <c r="AF2960" s="56" t="s">
        <v>607</v>
      </c>
    </row>
    <row r="2961">
      <c r="A2961" s="52" t="s">
        <v>6699</v>
      </c>
      <c r="B2961" s="52" t="s">
        <v>607</v>
      </c>
      <c r="C2961" s="52" t="s">
        <v>607</v>
      </c>
      <c r="D2961" s="65" t="s">
        <v>607</v>
      </c>
      <c r="E2961" s="65" t="s">
        <v>607</v>
      </c>
      <c r="F2961" s="65" t="s">
        <v>607</v>
      </c>
      <c r="G2961" s="65" t="s">
        <v>607</v>
      </c>
      <c r="H2961" s="52" t="s">
        <v>607</v>
      </c>
      <c r="I2961" s="52" t="s">
        <v>607</v>
      </c>
      <c r="J2961" s="52" t="s">
        <v>607</v>
      </c>
      <c r="K2961" s="52" t="s">
        <v>607</v>
      </c>
      <c r="L2961" s="52" t="s">
        <v>607</v>
      </c>
      <c r="M2961" s="52" t="s">
        <v>607</v>
      </c>
      <c r="N2961" s="52" t="s">
        <v>607</v>
      </c>
      <c r="O2961" s="52"/>
      <c r="P2961" s="52"/>
      <c r="Q2961" s="52"/>
      <c r="R2961" s="51" t="b">
        <v>0</v>
      </c>
      <c r="S2961" s="51"/>
      <c r="T2961" s="52"/>
      <c r="U2961" s="51" t="b">
        <v>0</v>
      </c>
      <c r="V2961" s="51" t="b">
        <v>0</v>
      </c>
      <c r="W2961" s="51" t="b">
        <v>0</v>
      </c>
      <c r="X2961" s="51" t="b">
        <v>0</v>
      </c>
      <c r="Y2961" s="51" t="b">
        <v>0</v>
      </c>
      <c r="Z2961" s="51" t="b">
        <v>0</v>
      </c>
      <c r="AA2961" s="68"/>
      <c r="AB2961" s="52"/>
      <c r="AC2961" s="52"/>
      <c r="AD2961" s="52"/>
      <c r="AE2961" s="56" t="s">
        <v>607</v>
      </c>
      <c r="AF2961" s="56" t="s">
        <v>607</v>
      </c>
    </row>
    <row r="2962">
      <c r="A2962" s="52" t="s">
        <v>6700</v>
      </c>
      <c r="B2962" s="52" t="s">
        <v>607</v>
      </c>
      <c r="C2962" s="52" t="s">
        <v>607</v>
      </c>
      <c r="D2962" s="65" t="s">
        <v>607</v>
      </c>
      <c r="E2962" s="65" t="s">
        <v>607</v>
      </c>
      <c r="F2962" s="65" t="s">
        <v>607</v>
      </c>
      <c r="G2962" s="65" t="s">
        <v>607</v>
      </c>
      <c r="H2962" s="52" t="s">
        <v>607</v>
      </c>
      <c r="I2962" s="52" t="s">
        <v>607</v>
      </c>
      <c r="J2962" s="52" t="s">
        <v>607</v>
      </c>
      <c r="K2962" s="52" t="s">
        <v>607</v>
      </c>
      <c r="L2962" s="52" t="s">
        <v>607</v>
      </c>
      <c r="M2962" s="52" t="s">
        <v>607</v>
      </c>
      <c r="N2962" s="52" t="s">
        <v>607</v>
      </c>
      <c r="O2962" s="52"/>
      <c r="P2962" s="52"/>
      <c r="Q2962" s="52"/>
      <c r="R2962" s="51" t="b">
        <v>0</v>
      </c>
      <c r="S2962" s="51"/>
      <c r="T2962" s="52"/>
      <c r="U2962" s="51" t="b">
        <v>0</v>
      </c>
      <c r="V2962" s="51" t="b">
        <v>0</v>
      </c>
      <c r="W2962" s="51" t="b">
        <v>0</v>
      </c>
      <c r="X2962" s="51" t="b">
        <v>0</v>
      </c>
      <c r="Y2962" s="51" t="b">
        <v>0</v>
      </c>
      <c r="Z2962" s="51" t="b">
        <v>0</v>
      </c>
      <c r="AA2962" s="68"/>
      <c r="AB2962" s="52"/>
      <c r="AC2962" s="52"/>
      <c r="AD2962" s="52"/>
      <c r="AE2962" s="56" t="s">
        <v>607</v>
      </c>
      <c r="AF2962" s="56" t="s">
        <v>607</v>
      </c>
    </row>
    <row r="2963">
      <c r="A2963" s="52" t="s">
        <v>6701</v>
      </c>
      <c r="B2963" s="52" t="s">
        <v>607</v>
      </c>
      <c r="C2963" s="52" t="s">
        <v>607</v>
      </c>
      <c r="D2963" s="65" t="s">
        <v>607</v>
      </c>
      <c r="E2963" s="65" t="s">
        <v>607</v>
      </c>
      <c r="F2963" s="65" t="s">
        <v>607</v>
      </c>
      <c r="G2963" s="65" t="s">
        <v>607</v>
      </c>
      <c r="H2963" s="52" t="s">
        <v>607</v>
      </c>
      <c r="I2963" s="52" t="s">
        <v>607</v>
      </c>
      <c r="J2963" s="52" t="s">
        <v>607</v>
      </c>
      <c r="K2963" s="52" t="s">
        <v>607</v>
      </c>
      <c r="L2963" s="52" t="s">
        <v>607</v>
      </c>
      <c r="M2963" s="52" t="s">
        <v>607</v>
      </c>
      <c r="N2963" s="52" t="s">
        <v>607</v>
      </c>
      <c r="O2963" s="52"/>
      <c r="P2963" s="52"/>
      <c r="Q2963" s="52"/>
      <c r="R2963" s="51" t="b">
        <v>0</v>
      </c>
      <c r="S2963" s="51"/>
      <c r="T2963" s="52"/>
      <c r="U2963" s="51" t="b">
        <v>0</v>
      </c>
      <c r="V2963" s="51" t="b">
        <v>0</v>
      </c>
      <c r="W2963" s="51" t="b">
        <v>0</v>
      </c>
      <c r="X2963" s="51" t="b">
        <v>0</v>
      </c>
      <c r="Y2963" s="51" t="b">
        <v>0</v>
      </c>
      <c r="Z2963" s="51" t="b">
        <v>0</v>
      </c>
      <c r="AA2963" s="68"/>
      <c r="AB2963" s="52"/>
      <c r="AC2963" s="52"/>
      <c r="AD2963" s="52"/>
      <c r="AE2963" s="56" t="s">
        <v>607</v>
      </c>
      <c r="AF2963" s="56" t="s">
        <v>607</v>
      </c>
    </row>
    <row r="2964">
      <c r="A2964" s="52" t="s">
        <v>6703</v>
      </c>
      <c r="B2964" s="52" t="s">
        <v>607</v>
      </c>
      <c r="C2964" s="52" t="s">
        <v>607</v>
      </c>
      <c r="D2964" s="65" t="s">
        <v>607</v>
      </c>
      <c r="E2964" s="65" t="s">
        <v>607</v>
      </c>
      <c r="F2964" s="65" t="s">
        <v>607</v>
      </c>
      <c r="G2964" s="65" t="s">
        <v>607</v>
      </c>
      <c r="H2964" s="52" t="s">
        <v>607</v>
      </c>
      <c r="I2964" s="52" t="s">
        <v>607</v>
      </c>
      <c r="J2964" s="52" t="s">
        <v>607</v>
      </c>
      <c r="K2964" s="52" t="s">
        <v>607</v>
      </c>
      <c r="L2964" s="52" t="s">
        <v>607</v>
      </c>
      <c r="M2964" s="52" t="s">
        <v>607</v>
      </c>
      <c r="N2964" s="52" t="s">
        <v>607</v>
      </c>
      <c r="O2964" s="52"/>
      <c r="P2964" s="52"/>
      <c r="Q2964" s="52"/>
      <c r="R2964" s="51" t="b">
        <v>0</v>
      </c>
      <c r="S2964" s="51"/>
      <c r="T2964" s="52"/>
      <c r="U2964" s="51" t="b">
        <v>0</v>
      </c>
      <c r="V2964" s="51" t="b">
        <v>0</v>
      </c>
      <c r="W2964" s="51" t="b">
        <v>0</v>
      </c>
      <c r="X2964" s="51" t="b">
        <v>0</v>
      </c>
      <c r="Y2964" s="51" t="b">
        <v>0</v>
      </c>
      <c r="Z2964" s="51" t="b">
        <v>0</v>
      </c>
      <c r="AA2964" s="68"/>
      <c r="AB2964" s="52"/>
      <c r="AC2964" s="52"/>
      <c r="AD2964" s="52"/>
      <c r="AE2964" s="56" t="s">
        <v>607</v>
      </c>
      <c r="AF2964" s="56" t="s">
        <v>607</v>
      </c>
    </row>
    <row r="2965">
      <c r="A2965" s="52" t="s">
        <v>6704</v>
      </c>
      <c r="B2965" s="52" t="s">
        <v>607</v>
      </c>
      <c r="C2965" s="52" t="s">
        <v>607</v>
      </c>
      <c r="D2965" s="65" t="s">
        <v>607</v>
      </c>
      <c r="E2965" s="65" t="s">
        <v>607</v>
      </c>
      <c r="F2965" s="65" t="s">
        <v>607</v>
      </c>
      <c r="G2965" s="65" t="s">
        <v>607</v>
      </c>
      <c r="H2965" s="52" t="s">
        <v>607</v>
      </c>
      <c r="I2965" s="52" t="s">
        <v>607</v>
      </c>
      <c r="J2965" s="52" t="s">
        <v>607</v>
      </c>
      <c r="K2965" s="52" t="s">
        <v>607</v>
      </c>
      <c r="L2965" s="52" t="s">
        <v>607</v>
      </c>
      <c r="M2965" s="52" t="s">
        <v>607</v>
      </c>
      <c r="N2965" s="52" t="s">
        <v>607</v>
      </c>
      <c r="O2965" s="52"/>
      <c r="P2965" s="52"/>
      <c r="Q2965" s="52"/>
      <c r="R2965" s="51" t="b">
        <v>0</v>
      </c>
      <c r="S2965" s="51"/>
      <c r="T2965" s="52"/>
      <c r="U2965" s="51" t="b">
        <v>0</v>
      </c>
      <c r="V2965" s="51" t="b">
        <v>0</v>
      </c>
      <c r="W2965" s="51" t="b">
        <v>0</v>
      </c>
      <c r="X2965" s="51" t="b">
        <v>0</v>
      </c>
      <c r="Y2965" s="51" t="b">
        <v>0</v>
      </c>
      <c r="Z2965" s="51" t="b">
        <v>0</v>
      </c>
      <c r="AA2965" s="68"/>
      <c r="AB2965" s="52"/>
      <c r="AC2965" s="52"/>
      <c r="AD2965" s="52"/>
      <c r="AE2965" s="56" t="s">
        <v>607</v>
      </c>
      <c r="AF2965" s="56" t="s">
        <v>607</v>
      </c>
    </row>
    <row r="2966">
      <c r="A2966" s="52" t="s">
        <v>6705</v>
      </c>
      <c r="B2966" s="52" t="s">
        <v>607</v>
      </c>
      <c r="C2966" s="52" t="s">
        <v>607</v>
      </c>
      <c r="D2966" s="65" t="s">
        <v>607</v>
      </c>
      <c r="E2966" s="65" t="s">
        <v>607</v>
      </c>
      <c r="F2966" s="65" t="s">
        <v>607</v>
      </c>
      <c r="G2966" s="65" t="s">
        <v>607</v>
      </c>
      <c r="H2966" s="52" t="s">
        <v>607</v>
      </c>
      <c r="I2966" s="52" t="s">
        <v>607</v>
      </c>
      <c r="J2966" s="52" t="s">
        <v>607</v>
      </c>
      <c r="K2966" s="52" t="s">
        <v>607</v>
      </c>
      <c r="L2966" s="52" t="s">
        <v>607</v>
      </c>
      <c r="M2966" s="52" t="s">
        <v>607</v>
      </c>
      <c r="N2966" s="52" t="s">
        <v>607</v>
      </c>
      <c r="O2966" s="52"/>
      <c r="P2966" s="52"/>
      <c r="Q2966" s="52"/>
      <c r="R2966" s="51" t="b">
        <v>0</v>
      </c>
      <c r="S2966" s="51"/>
      <c r="T2966" s="52"/>
      <c r="U2966" s="51" t="b">
        <v>0</v>
      </c>
      <c r="V2966" s="51" t="b">
        <v>0</v>
      </c>
      <c r="W2966" s="51" t="b">
        <v>0</v>
      </c>
      <c r="X2966" s="51" t="b">
        <v>0</v>
      </c>
      <c r="Y2966" s="51" t="b">
        <v>0</v>
      </c>
      <c r="Z2966" s="51" t="b">
        <v>0</v>
      </c>
      <c r="AA2966" s="68"/>
      <c r="AB2966" s="52"/>
      <c r="AC2966" s="52"/>
      <c r="AD2966" s="52"/>
      <c r="AE2966" s="56" t="s">
        <v>607</v>
      </c>
      <c r="AF2966" s="56" t="s">
        <v>607</v>
      </c>
    </row>
    <row r="2967">
      <c r="A2967" s="52" t="s">
        <v>6706</v>
      </c>
      <c r="B2967" s="52" t="s">
        <v>607</v>
      </c>
      <c r="C2967" s="52" t="s">
        <v>607</v>
      </c>
      <c r="D2967" s="65" t="s">
        <v>607</v>
      </c>
      <c r="E2967" s="65" t="s">
        <v>607</v>
      </c>
      <c r="F2967" s="65" t="s">
        <v>607</v>
      </c>
      <c r="G2967" s="65" t="s">
        <v>607</v>
      </c>
      <c r="H2967" s="52" t="s">
        <v>607</v>
      </c>
      <c r="I2967" s="52" t="s">
        <v>607</v>
      </c>
      <c r="J2967" s="52" t="s">
        <v>607</v>
      </c>
      <c r="K2967" s="52" t="s">
        <v>607</v>
      </c>
      <c r="L2967" s="52" t="s">
        <v>607</v>
      </c>
      <c r="M2967" s="52" t="s">
        <v>607</v>
      </c>
      <c r="N2967" s="52" t="s">
        <v>607</v>
      </c>
      <c r="O2967" s="52"/>
      <c r="P2967" s="52"/>
      <c r="Q2967" s="52"/>
      <c r="R2967" s="51" t="b">
        <v>0</v>
      </c>
      <c r="S2967" s="51"/>
      <c r="T2967" s="52"/>
      <c r="U2967" s="51" t="b">
        <v>0</v>
      </c>
      <c r="V2967" s="51" t="b">
        <v>0</v>
      </c>
      <c r="W2967" s="51" t="b">
        <v>0</v>
      </c>
      <c r="X2967" s="51" t="b">
        <v>0</v>
      </c>
      <c r="Y2967" s="51" t="b">
        <v>0</v>
      </c>
      <c r="Z2967" s="51" t="b">
        <v>0</v>
      </c>
      <c r="AA2967" s="68"/>
      <c r="AB2967" s="52"/>
      <c r="AC2967" s="52"/>
      <c r="AD2967" s="52"/>
      <c r="AE2967" s="56" t="s">
        <v>607</v>
      </c>
      <c r="AF2967" s="56" t="s">
        <v>607</v>
      </c>
    </row>
    <row r="2968">
      <c r="A2968" s="52" t="s">
        <v>6707</v>
      </c>
      <c r="B2968" s="52" t="s">
        <v>607</v>
      </c>
      <c r="C2968" s="52" t="s">
        <v>607</v>
      </c>
      <c r="D2968" s="65" t="s">
        <v>607</v>
      </c>
      <c r="E2968" s="65" t="s">
        <v>607</v>
      </c>
      <c r="F2968" s="65" t="s">
        <v>607</v>
      </c>
      <c r="G2968" s="65" t="s">
        <v>607</v>
      </c>
      <c r="H2968" s="52" t="s">
        <v>607</v>
      </c>
      <c r="I2968" s="52" t="s">
        <v>607</v>
      </c>
      <c r="J2968" s="52" t="s">
        <v>607</v>
      </c>
      <c r="K2968" s="52" t="s">
        <v>607</v>
      </c>
      <c r="L2968" s="52" t="s">
        <v>607</v>
      </c>
      <c r="M2968" s="52" t="s">
        <v>607</v>
      </c>
      <c r="N2968" s="52" t="s">
        <v>607</v>
      </c>
      <c r="O2968" s="52"/>
      <c r="P2968" s="52"/>
      <c r="Q2968" s="52"/>
      <c r="R2968" s="51" t="b">
        <v>0</v>
      </c>
      <c r="S2968" s="51"/>
      <c r="T2968" s="52"/>
      <c r="U2968" s="51" t="b">
        <v>0</v>
      </c>
      <c r="V2968" s="51" t="b">
        <v>0</v>
      </c>
      <c r="W2968" s="51" t="b">
        <v>0</v>
      </c>
      <c r="X2968" s="51" t="b">
        <v>0</v>
      </c>
      <c r="Y2968" s="51" t="b">
        <v>0</v>
      </c>
      <c r="Z2968" s="51" t="b">
        <v>0</v>
      </c>
      <c r="AA2968" s="68"/>
      <c r="AB2968" s="52"/>
      <c r="AC2968" s="52"/>
      <c r="AD2968" s="52"/>
      <c r="AE2968" s="56" t="s">
        <v>607</v>
      </c>
      <c r="AF2968" s="56" t="s">
        <v>607</v>
      </c>
    </row>
    <row r="2969">
      <c r="A2969" s="52" t="s">
        <v>6708</v>
      </c>
      <c r="B2969" s="52" t="s">
        <v>607</v>
      </c>
      <c r="C2969" s="52" t="s">
        <v>607</v>
      </c>
      <c r="D2969" s="65" t="s">
        <v>607</v>
      </c>
      <c r="E2969" s="65" t="s">
        <v>607</v>
      </c>
      <c r="F2969" s="65" t="s">
        <v>607</v>
      </c>
      <c r="G2969" s="65" t="s">
        <v>607</v>
      </c>
      <c r="H2969" s="52" t="s">
        <v>607</v>
      </c>
      <c r="I2969" s="52" t="s">
        <v>607</v>
      </c>
      <c r="J2969" s="52" t="s">
        <v>607</v>
      </c>
      <c r="K2969" s="52" t="s">
        <v>607</v>
      </c>
      <c r="L2969" s="52" t="s">
        <v>607</v>
      </c>
      <c r="M2969" s="52" t="s">
        <v>607</v>
      </c>
      <c r="N2969" s="52" t="s">
        <v>607</v>
      </c>
      <c r="O2969" s="52"/>
      <c r="P2969" s="52"/>
      <c r="Q2969" s="52"/>
      <c r="R2969" s="51" t="b">
        <v>0</v>
      </c>
      <c r="S2969" s="51"/>
      <c r="T2969" s="52"/>
      <c r="U2969" s="51" t="b">
        <v>0</v>
      </c>
      <c r="V2969" s="51" t="b">
        <v>0</v>
      </c>
      <c r="W2969" s="51" t="b">
        <v>0</v>
      </c>
      <c r="X2969" s="51" t="b">
        <v>0</v>
      </c>
      <c r="Y2969" s="51" t="b">
        <v>0</v>
      </c>
      <c r="Z2969" s="51" t="b">
        <v>0</v>
      </c>
      <c r="AA2969" s="68"/>
      <c r="AB2969" s="52"/>
      <c r="AC2969" s="52"/>
      <c r="AD2969" s="52"/>
      <c r="AE2969" s="56" t="s">
        <v>607</v>
      </c>
      <c r="AF2969" s="56" t="s">
        <v>607</v>
      </c>
    </row>
    <row r="2970">
      <c r="A2970" s="52" t="s">
        <v>6709</v>
      </c>
      <c r="B2970" s="52" t="s">
        <v>607</v>
      </c>
      <c r="C2970" s="52" t="s">
        <v>607</v>
      </c>
      <c r="D2970" s="65" t="s">
        <v>607</v>
      </c>
      <c r="E2970" s="65" t="s">
        <v>607</v>
      </c>
      <c r="F2970" s="65" t="s">
        <v>607</v>
      </c>
      <c r="G2970" s="65" t="s">
        <v>607</v>
      </c>
      <c r="H2970" s="52" t="s">
        <v>607</v>
      </c>
      <c r="I2970" s="52" t="s">
        <v>607</v>
      </c>
      <c r="J2970" s="52" t="s">
        <v>607</v>
      </c>
      <c r="K2970" s="52" t="s">
        <v>607</v>
      </c>
      <c r="L2970" s="52" t="s">
        <v>607</v>
      </c>
      <c r="M2970" s="52" t="s">
        <v>607</v>
      </c>
      <c r="N2970" s="52" t="s">
        <v>607</v>
      </c>
      <c r="O2970" s="52"/>
      <c r="P2970" s="52"/>
      <c r="Q2970" s="52"/>
      <c r="R2970" s="51" t="b">
        <v>0</v>
      </c>
      <c r="S2970" s="51"/>
      <c r="T2970" s="52"/>
      <c r="U2970" s="51" t="b">
        <v>0</v>
      </c>
      <c r="V2970" s="51" t="b">
        <v>0</v>
      </c>
      <c r="W2970" s="51" t="b">
        <v>0</v>
      </c>
      <c r="X2970" s="51" t="b">
        <v>0</v>
      </c>
      <c r="Y2970" s="51" t="b">
        <v>0</v>
      </c>
      <c r="Z2970" s="51" t="b">
        <v>0</v>
      </c>
      <c r="AA2970" s="68"/>
      <c r="AB2970" s="52"/>
      <c r="AC2970" s="52"/>
      <c r="AD2970" s="52"/>
      <c r="AE2970" s="56" t="s">
        <v>607</v>
      </c>
      <c r="AF2970" s="56" t="s">
        <v>607</v>
      </c>
    </row>
    <row r="2971">
      <c r="A2971" s="52" t="s">
        <v>6712</v>
      </c>
      <c r="B2971" s="52" t="s">
        <v>607</v>
      </c>
      <c r="C2971" s="52" t="s">
        <v>607</v>
      </c>
      <c r="D2971" s="65" t="s">
        <v>607</v>
      </c>
      <c r="E2971" s="65" t="s">
        <v>607</v>
      </c>
      <c r="F2971" s="65" t="s">
        <v>607</v>
      </c>
      <c r="G2971" s="65" t="s">
        <v>607</v>
      </c>
      <c r="H2971" s="52" t="s">
        <v>607</v>
      </c>
      <c r="I2971" s="52" t="s">
        <v>607</v>
      </c>
      <c r="J2971" s="52" t="s">
        <v>607</v>
      </c>
      <c r="K2971" s="52" t="s">
        <v>607</v>
      </c>
      <c r="L2971" s="52" t="s">
        <v>607</v>
      </c>
      <c r="M2971" s="52" t="s">
        <v>607</v>
      </c>
      <c r="N2971" s="52" t="s">
        <v>607</v>
      </c>
      <c r="O2971" s="52"/>
      <c r="P2971" s="52"/>
      <c r="Q2971" s="52"/>
      <c r="R2971" s="51" t="b">
        <v>0</v>
      </c>
      <c r="S2971" s="51"/>
      <c r="T2971" s="52"/>
      <c r="U2971" s="51" t="b">
        <v>0</v>
      </c>
      <c r="V2971" s="51" t="b">
        <v>0</v>
      </c>
      <c r="W2971" s="51" t="b">
        <v>0</v>
      </c>
      <c r="X2971" s="51" t="b">
        <v>0</v>
      </c>
      <c r="Y2971" s="51" t="b">
        <v>0</v>
      </c>
      <c r="Z2971" s="51" t="b">
        <v>0</v>
      </c>
      <c r="AA2971" s="68"/>
      <c r="AB2971" s="52"/>
      <c r="AC2971" s="52"/>
      <c r="AD2971" s="52"/>
      <c r="AE2971" s="56" t="s">
        <v>607</v>
      </c>
      <c r="AF2971" s="56" t="s">
        <v>607</v>
      </c>
    </row>
    <row r="2972">
      <c r="A2972" s="52" t="s">
        <v>6713</v>
      </c>
      <c r="B2972" s="52" t="s">
        <v>607</v>
      </c>
      <c r="C2972" s="52" t="s">
        <v>607</v>
      </c>
      <c r="D2972" s="65" t="s">
        <v>607</v>
      </c>
      <c r="E2972" s="65" t="s">
        <v>607</v>
      </c>
      <c r="F2972" s="65" t="s">
        <v>607</v>
      </c>
      <c r="G2972" s="65" t="s">
        <v>607</v>
      </c>
      <c r="H2972" s="52" t="s">
        <v>607</v>
      </c>
      <c r="I2972" s="52" t="s">
        <v>607</v>
      </c>
      <c r="J2972" s="52" t="s">
        <v>607</v>
      </c>
      <c r="K2972" s="52" t="s">
        <v>607</v>
      </c>
      <c r="L2972" s="52" t="s">
        <v>607</v>
      </c>
      <c r="M2972" s="52" t="s">
        <v>607</v>
      </c>
      <c r="N2972" s="52" t="s">
        <v>607</v>
      </c>
      <c r="O2972" s="52"/>
      <c r="P2972" s="52"/>
      <c r="Q2972" s="52"/>
      <c r="R2972" s="51" t="b">
        <v>0</v>
      </c>
      <c r="S2972" s="51"/>
      <c r="T2972" s="52"/>
      <c r="U2972" s="51" t="b">
        <v>0</v>
      </c>
      <c r="V2972" s="51" t="b">
        <v>0</v>
      </c>
      <c r="W2972" s="51" t="b">
        <v>0</v>
      </c>
      <c r="X2972" s="51" t="b">
        <v>0</v>
      </c>
      <c r="Y2972" s="51" t="b">
        <v>0</v>
      </c>
      <c r="Z2972" s="51" t="b">
        <v>0</v>
      </c>
      <c r="AA2972" s="68"/>
      <c r="AB2972" s="52"/>
      <c r="AC2972" s="52"/>
      <c r="AD2972" s="52"/>
      <c r="AE2972" s="56" t="s">
        <v>607</v>
      </c>
      <c r="AF2972" s="56" t="s">
        <v>607</v>
      </c>
    </row>
    <row r="2973">
      <c r="A2973" s="52" t="s">
        <v>6714</v>
      </c>
      <c r="B2973" s="52" t="s">
        <v>607</v>
      </c>
      <c r="C2973" s="52" t="s">
        <v>607</v>
      </c>
      <c r="D2973" s="65" t="s">
        <v>607</v>
      </c>
      <c r="E2973" s="65" t="s">
        <v>607</v>
      </c>
      <c r="F2973" s="65" t="s">
        <v>607</v>
      </c>
      <c r="G2973" s="65" t="s">
        <v>607</v>
      </c>
      <c r="H2973" s="52" t="s">
        <v>607</v>
      </c>
      <c r="I2973" s="52" t="s">
        <v>607</v>
      </c>
      <c r="J2973" s="52" t="s">
        <v>607</v>
      </c>
      <c r="K2973" s="52" t="s">
        <v>607</v>
      </c>
      <c r="L2973" s="52" t="s">
        <v>607</v>
      </c>
      <c r="M2973" s="52" t="s">
        <v>607</v>
      </c>
      <c r="N2973" s="52" t="s">
        <v>607</v>
      </c>
      <c r="O2973" s="52"/>
      <c r="P2973" s="52"/>
      <c r="Q2973" s="52"/>
      <c r="R2973" s="51" t="b">
        <v>0</v>
      </c>
      <c r="S2973" s="51"/>
      <c r="T2973" s="52"/>
      <c r="U2973" s="51" t="b">
        <v>0</v>
      </c>
      <c r="V2973" s="51" t="b">
        <v>0</v>
      </c>
      <c r="W2973" s="51" t="b">
        <v>0</v>
      </c>
      <c r="X2973" s="51" t="b">
        <v>0</v>
      </c>
      <c r="Y2973" s="51" t="b">
        <v>0</v>
      </c>
      <c r="Z2973" s="51" t="b">
        <v>0</v>
      </c>
      <c r="AA2973" s="68"/>
      <c r="AB2973" s="52"/>
      <c r="AC2973" s="52"/>
      <c r="AD2973" s="52"/>
      <c r="AE2973" s="56" t="s">
        <v>607</v>
      </c>
      <c r="AF2973" s="56" t="s">
        <v>607</v>
      </c>
    </row>
    <row r="2974">
      <c r="A2974" s="52" t="s">
        <v>6715</v>
      </c>
      <c r="B2974" s="52" t="s">
        <v>607</v>
      </c>
      <c r="C2974" s="52" t="s">
        <v>607</v>
      </c>
      <c r="D2974" s="65" t="s">
        <v>607</v>
      </c>
      <c r="E2974" s="65" t="s">
        <v>607</v>
      </c>
      <c r="F2974" s="65" t="s">
        <v>607</v>
      </c>
      <c r="G2974" s="65" t="s">
        <v>607</v>
      </c>
      <c r="H2974" s="52" t="s">
        <v>607</v>
      </c>
      <c r="I2974" s="52" t="s">
        <v>607</v>
      </c>
      <c r="J2974" s="52" t="s">
        <v>607</v>
      </c>
      <c r="K2974" s="52" t="s">
        <v>607</v>
      </c>
      <c r="L2974" s="52" t="s">
        <v>607</v>
      </c>
      <c r="M2974" s="52" t="s">
        <v>607</v>
      </c>
      <c r="N2974" s="52" t="s">
        <v>607</v>
      </c>
      <c r="O2974" s="52"/>
      <c r="P2974" s="52"/>
      <c r="Q2974" s="52"/>
      <c r="R2974" s="51" t="b">
        <v>0</v>
      </c>
      <c r="S2974" s="51"/>
      <c r="T2974" s="52"/>
      <c r="U2974" s="51" t="b">
        <v>0</v>
      </c>
      <c r="V2974" s="51" t="b">
        <v>0</v>
      </c>
      <c r="W2974" s="51" t="b">
        <v>0</v>
      </c>
      <c r="X2974" s="51" t="b">
        <v>0</v>
      </c>
      <c r="Y2974" s="51" t="b">
        <v>0</v>
      </c>
      <c r="Z2974" s="51" t="b">
        <v>0</v>
      </c>
      <c r="AA2974" s="68"/>
      <c r="AB2974" s="52"/>
      <c r="AC2974" s="52"/>
      <c r="AD2974" s="52"/>
      <c r="AE2974" s="56" t="s">
        <v>607</v>
      </c>
      <c r="AF2974" s="56" t="s">
        <v>607</v>
      </c>
    </row>
    <row r="2975">
      <c r="A2975" s="52" t="s">
        <v>6717</v>
      </c>
      <c r="B2975" s="52" t="s">
        <v>607</v>
      </c>
      <c r="C2975" s="52" t="s">
        <v>607</v>
      </c>
      <c r="D2975" s="65" t="s">
        <v>607</v>
      </c>
      <c r="E2975" s="65" t="s">
        <v>607</v>
      </c>
      <c r="F2975" s="65" t="s">
        <v>607</v>
      </c>
      <c r="G2975" s="65" t="s">
        <v>607</v>
      </c>
      <c r="H2975" s="52" t="s">
        <v>607</v>
      </c>
      <c r="I2975" s="52" t="s">
        <v>607</v>
      </c>
      <c r="J2975" s="52" t="s">
        <v>607</v>
      </c>
      <c r="K2975" s="52" t="s">
        <v>607</v>
      </c>
      <c r="L2975" s="52" t="s">
        <v>607</v>
      </c>
      <c r="M2975" s="52" t="s">
        <v>607</v>
      </c>
      <c r="N2975" s="52" t="s">
        <v>607</v>
      </c>
      <c r="O2975" s="52"/>
      <c r="P2975" s="52"/>
      <c r="Q2975" s="52"/>
      <c r="R2975" s="51" t="b">
        <v>0</v>
      </c>
      <c r="S2975" s="51"/>
      <c r="T2975" s="52"/>
      <c r="U2975" s="51" t="b">
        <v>0</v>
      </c>
      <c r="V2975" s="51" t="b">
        <v>0</v>
      </c>
      <c r="W2975" s="51" t="b">
        <v>0</v>
      </c>
      <c r="X2975" s="51" t="b">
        <v>0</v>
      </c>
      <c r="Y2975" s="51" t="b">
        <v>0</v>
      </c>
      <c r="Z2975" s="51" t="b">
        <v>0</v>
      </c>
      <c r="AA2975" s="68"/>
      <c r="AB2975" s="52"/>
      <c r="AC2975" s="52"/>
      <c r="AD2975" s="52"/>
      <c r="AE2975" s="56" t="s">
        <v>607</v>
      </c>
      <c r="AF2975" s="56" t="s">
        <v>607</v>
      </c>
    </row>
    <row r="2976">
      <c r="A2976" s="52" t="s">
        <v>6718</v>
      </c>
      <c r="B2976" s="52" t="s">
        <v>607</v>
      </c>
      <c r="C2976" s="52" t="s">
        <v>607</v>
      </c>
      <c r="D2976" s="65" t="s">
        <v>607</v>
      </c>
      <c r="E2976" s="65" t="s">
        <v>607</v>
      </c>
      <c r="F2976" s="65" t="s">
        <v>607</v>
      </c>
      <c r="G2976" s="65" t="s">
        <v>607</v>
      </c>
      <c r="H2976" s="52" t="s">
        <v>607</v>
      </c>
      <c r="I2976" s="52" t="s">
        <v>607</v>
      </c>
      <c r="J2976" s="52" t="s">
        <v>607</v>
      </c>
      <c r="K2976" s="52" t="s">
        <v>607</v>
      </c>
      <c r="L2976" s="52" t="s">
        <v>607</v>
      </c>
      <c r="M2976" s="52" t="s">
        <v>607</v>
      </c>
      <c r="N2976" s="52" t="s">
        <v>607</v>
      </c>
      <c r="O2976" s="52"/>
      <c r="P2976" s="52"/>
      <c r="Q2976" s="52"/>
      <c r="R2976" s="51" t="b">
        <v>0</v>
      </c>
      <c r="S2976" s="51"/>
      <c r="T2976" s="52"/>
      <c r="U2976" s="51" t="b">
        <v>0</v>
      </c>
      <c r="V2976" s="51" t="b">
        <v>0</v>
      </c>
      <c r="W2976" s="51" t="b">
        <v>0</v>
      </c>
      <c r="X2976" s="51" t="b">
        <v>0</v>
      </c>
      <c r="Y2976" s="51" t="b">
        <v>0</v>
      </c>
      <c r="Z2976" s="51" t="b">
        <v>0</v>
      </c>
      <c r="AA2976" s="68"/>
      <c r="AB2976" s="52"/>
      <c r="AC2976" s="52"/>
      <c r="AD2976" s="52"/>
      <c r="AE2976" s="56" t="s">
        <v>607</v>
      </c>
      <c r="AF2976" s="56" t="s">
        <v>607</v>
      </c>
    </row>
    <row r="2977">
      <c r="A2977" s="52" t="s">
        <v>6719</v>
      </c>
      <c r="B2977" s="52" t="s">
        <v>607</v>
      </c>
      <c r="C2977" s="52" t="s">
        <v>607</v>
      </c>
      <c r="D2977" s="65" t="s">
        <v>607</v>
      </c>
      <c r="E2977" s="65" t="s">
        <v>607</v>
      </c>
      <c r="F2977" s="65" t="s">
        <v>607</v>
      </c>
      <c r="G2977" s="65" t="s">
        <v>607</v>
      </c>
      <c r="H2977" s="52" t="s">
        <v>607</v>
      </c>
      <c r="I2977" s="52" t="s">
        <v>607</v>
      </c>
      <c r="J2977" s="52" t="s">
        <v>607</v>
      </c>
      <c r="K2977" s="52" t="s">
        <v>607</v>
      </c>
      <c r="L2977" s="52" t="s">
        <v>607</v>
      </c>
      <c r="M2977" s="52" t="s">
        <v>607</v>
      </c>
      <c r="N2977" s="52" t="s">
        <v>607</v>
      </c>
      <c r="O2977" s="52"/>
      <c r="P2977" s="52"/>
      <c r="Q2977" s="52"/>
      <c r="R2977" s="51" t="b">
        <v>0</v>
      </c>
      <c r="S2977" s="51"/>
      <c r="T2977" s="52"/>
      <c r="U2977" s="51" t="b">
        <v>0</v>
      </c>
      <c r="V2977" s="51" t="b">
        <v>0</v>
      </c>
      <c r="W2977" s="51" t="b">
        <v>0</v>
      </c>
      <c r="X2977" s="51" t="b">
        <v>0</v>
      </c>
      <c r="Y2977" s="51" t="b">
        <v>0</v>
      </c>
      <c r="Z2977" s="51" t="b">
        <v>0</v>
      </c>
      <c r="AA2977" s="68"/>
      <c r="AB2977" s="52"/>
      <c r="AC2977" s="52"/>
      <c r="AD2977" s="52"/>
      <c r="AE2977" s="56" t="s">
        <v>607</v>
      </c>
      <c r="AF2977" s="56" t="s">
        <v>607</v>
      </c>
    </row>
    <row r="2978">
      <c r="A2978" s="52" t="s">
        <v>6721</v>
      </c>
      <c r="B2978" s="52" t="s">
        <v>607</v>
      </c>
      <c r="C2978" s="52" t="s">
        <v>607</v>
      </c>
      <c r="D2978" s="65" t="s">
        <v>607</v>
      </c>
      <c r="E2978" s="65" t="s">
        <v>607</v>
      </c>
      <c r="F2978" s="65" t="s">
        <v>607</v>
      </c>
      <c r="G2978" s="65" t="s">
        <v>607</v>
      </c>
      <c r="H2978" s="52" t="s">
        <v>607</v>
      </c>
      <c r="I2978" s="52" t="s">
        <v>607</v>
      </c>
      <c r="J2978" s="52" t="s">
        <v>607</v>
      </c>
      <c r="K2978" s="52" t="s">
        <v>607</v>
      </c>
      <c r="L2978" s="52" t="s">
        <v>607</v>
      </c>
      <c r="M2978" s="52" t="s">
        <v>607</v>
      </c>
      <c r="N2978" s="52" t="s">
        <v>607</v>
      </c>
      <c r="O2978" s="52"/>
      <c r="P2978" s="52"/>
      <c r="Q2978" s="52"/>
      <c r="R2978" s="51" t="b">
        <v>0</v>
      </c>
      <c r="S2978" s="51"/>
      <c r="T2978" s="52"/>
      <c r="U2978" s="51" t="b">
        <v>0</v>
      </c>
      <c r="V2978" s="51" t="b">
        <v>0</v>
      </c>
      <c r="W2978" s="51" t="b">
        <v>0</v>
      </c>
      <c r="X2978" s="51" t="b">
        <v>0</v>
      </c>
      <c r="Y2978" s="51" t="b">
        <v>0</v>
      </c>
      <c r="Z2978" s="51" t="b">
        <v>0</v>
      </c>
      <c r="AA2978" s="68"/>
      <c r="AB2978" s="52"/>
      <c r="AC2978" s="52"/>
      <c r="AD2978" s="52"/>
      <c r="AE2978" s="56" t="s">
        <v>607</v>
      </c>
      <c r="AF2978" s="56" t="s">
        <v>607</v>
      </c>
    </row>
    <row r="2979">
      <c r="A2979" s="52" t="s">
        <v>6722</v>
      </c>
      <c r="B2979" s="52" t="s">
        <v>607</v>
      </c>
      <c r="C2979" s="52" t="s">
        <v>607</v>
      </c>
      <c r="D2979" s="65" t="s">
        <v>607</v>
      </c>
      <c r="E2979" s="65" t="s">
        <v>607</v>
      </c>
      <c r="F2979" s="65" t="s">
        <v>607</v>
      </c>
      <c r="G2979" s="65" t="s">
        <v>607</v>
      </c>
      <c r="H2979" s="52" t="s">
        <v>607</v>
      </c>
      <c r="I2979" s="52" t="s">
        <v>607</v>
      </c>
      <c r="J2979" s="52" t="s">
        <v>607</v>
      </c>
      <c r="K2979" s="52" t="s">
        <v>607</v>
      </c>
      <c r="L2979" s="52" t="s">
        <v>607</v>
      </c>
      <c r="M2979" s="52" t="s">
        <v>607</v>
      </c>
      <c r="N2979" s="52" t="s">
        <v>607</v>
      </c>
      <c r="O2979" s="52"/>
      <c r="P2979" s="52"/>
      <c r="Q2979" s="52"/>
      <c r="R2979" s="51" t="b">
        <v>0</v>
      </c>
      <c r="S2979" s="51"/>
      <c r="T2979" s="52"/>
      <c r="U2979" s="51" t="b">
        <v>0</v>
      </c>
      <c r="V2979" s="51" t="b">
        <v>0</v>
      </c>
      <c r="W2979" s="51" t="b">
        <v>0</v>
      </c>
      <c r="X2979" s="51" t="b">
        <v>0</v>
      </c>
      <c r="Y2979" s="51" t="b">
        <v>0</v>
      </c>
      <c r="Z2979" s="51" t="b">
        <v>0</v>
      </c>
      <c r="AA2979" s="68"/>
      <c r="AB2979" s="52"/>
      <c r="AC2979" s="52"/>
      <c r="AD2979" s="52"/>
      <c r="AE2979" s="56" t="s">
        <v>607</v>
      </c>
      <c r="AF2979" s="56" t="s">
        <v>607</v>
      </c>
    </row>
    <row r="2980">
      <c r="A2980" s="52" t="s">
        <v>6724</v>
      </c>
      <c r="B2980" s="52" t="s">
        <v>607</v>
      </c>
      <c r="C2980" s="52" t="s">
        <v>607</v>
      </c>
      <c r="D2980" s="65" t="s">
        <v>607</v>
      </c>
      <c r="E2980" s="65" t="s">
        <v>607</v>
      </c>
      <c r="F2980" s="65" t="s">
        <v>607</v>
      </c>
      <c r="G2980" s="65" t="s">
        <v>607</v>
      </c>
      <c r="H2980" s="52" t="s">
        <v>607</v>
      </c>
      <c r="I2980" s="52" t="s">
        <v>607</v>
      </c>
      <c r="J2980" s="52" t="s">
        <v>607</v>
      </c>
      <c r="K2980" s="52" t="s">
        <v>607</v>
      </c>
      <c r="L2980" s="52" t="s">
        <v>607</v>
      </c>
      <c r="M2980" s="52" t="s">
        <v>607</v>
      </c>
      <c r="N2980" s="52" t="s">
        <v>607</v>
      </c>
      <c r="O2980" s="52"/>
      <c r="P2980" s="52"/>
      <c r="Q2980" s="52"/>
      <c r="R2980" s="51" t="b">
        <v>0</v>
      </c>
      <c r="S2980" s="51"/>
      <c r="T2980" s="52"/>
      <c r="U2980" s="51" t="b">
        <v>0</v>
      </c>
      <c r="V2980" s="51" t="b">
        <v>0</v>
      </c>
      <c r="W2980" s="51" t="b">
        <v>0</v>
      </c>
      <c r="X2980" s="51" t="b">
        <v>0</v>
      </c>
      <c r="Y2980" s="51" t="b">
        <v>0</v>
      </c>
      <c r="Z2980" s="51" t="b">
        <v>0</v>
      </c>
      <c r="AA2980" s="68"/>
      <c r="AB2980" s="52"/>
      <c r="AC2980" s="52"/>
      <c r="AD2980" s="52"/>
      <c r="AE2980" s="56" t="s">
        <v>607</v>
      </c>
      <c r="AF2980" s="56" t="s">
        <v>607</v>
      </c>
    </row>
    <row r="2981">
      <c r="A2981" s="52" t="s">
        <v>6725</v>
      </c>
      <c r="B2981" s="52" t="s">
        <v>607</v>
      </c>
      <c r="C2981" s="52" t="s">
        <v>607</v>
      </c>
      <c r="D2981" s="65" t="s">
        <v>607</v>
      </c>
      <c r="E2981" s="65" t="s">
        <v>607</v>
      </c>
      <c r="F2981" s="65" t="s">
        <v>607</v>
      </c>
      <c r="G2981" s="65" t="s">
        <v>607</v>
      </c>
      <c r="H2981" s="52" t="s">
        <v>607</v>
      </c>
      <c r="I2981" s="52" t="s">
        <v>607</v>
      </c>
      <c r="J2981" s="52" t="s">
        <v>607</v>
      </c>
      <c r="K2981" s="52" t="s">
        <v>607</v>
      </c>
      <c r="L2981" s="52" t="s">
        <v>607</v>
      </c>
      <c r="M2981" s="52" t="s">
        <v>607</v>
      </c>
      <c r="N2981" s="52" t="s">
        <v>607</v>
      </c>
      <c r="O2981" s="52"/>
      <c r="P2981" s="52"/>
      <c r="Q2981" s="52"/>
      <c r="R2981" s="51" t="b">
        <v>0</v>
      </c>
      <c r="S2981" s="51"/>
      <c r="T2981" s="52"/>
      <c r="U2981" s="51" t="b">
        <v>0</v>
      </c>
      <c r="V2981" s="51" t="b">
        <v>0</v>
      </c>
      <c r="W2981" s="51" t="b">
        <v>0</v>
      </c>
      <c r="X2981" s="51" t="b">
        <v>0</v>
      </c>
      <c r="Y2981" s="51" t="b">
        <v>0</v>
      </c>
      <c r="Z2981" s="51" t="b">
        <v>0</v>
      </c>
      <c r="AA2981" s="68"/>
      <c r="AB2981" s="52"/>
      <c r="AC2981" s="52"/>
      <c r="AD2981" s="52"/>
      <c r="AE2981" s="56" t="s">
        <v>607</v>
      </c>
      <c r="AF2981" s="56" t="s">
        <v>607</v>
      </c>
    </row>
    <row r="2982">
      <c r="A2982" s="52" t="s">
        <v>6726</v>
      </c>
      <c r="B2982" s="52" t="s">
        <v>607</v>
      </c>
      <c r="C2982" s="52" t="s">
        <v>607</v>
      </c>
      <c r="D2982" s="65" t="s">
        <v>607</v>
      </c>
      <c r="E2982" s="65" t="s">
        <v>607</v>
      </c>
      <c r="F2982" s="65" t="s">
        <v>607</v>
      </c>
      <c r="G2982" s="65" t="s">
        <v>607</v>
      </c>
      <c r="H2982" s="52" t="s">
        <v>607</v>
      </c>
      <c r="I2982" s="52" t="s">
        <v>607</v>
      </c>
      <c r="J2982" s="52" t="s">
        <v>607</v>
      </c>
      <c r="K2982" s="52" t="s">
        <v>607</v>
      </c>
      <c r="L2982" s="52" t="s">
        <v>607</v>
      </c>
      <c r="M2982" s="52" t="s">
        <v>607</v>
      </c>
      <c r="N2982" s="52" t="s">
        <v>607</v>
      </c>
      <c r="O2982" s="52"/>
      <c r="P2982" s="52"/>
      <c r="Q2982" s="52"/>
      <c r="R2982" s="51" t="b">
        <v>0</v>
      </c>
      <c r="S2982" s="51"/>
      <c r="T2982" s="52"/>
      <c r="U2982" s="51" t="b">
        <v>0</v>
      </c>
      <c r="V2982" s="51" t="b">
        <v>0</v>
      </c>
      <c r="W2982" s="51" t="b">
        <v>0</v>
      </c>
      <c r="X2982" s="51" t="b">
        <v>0</v>
      </c>
      <c r="Y2982" s="51" t="b">
        <v>0</v>
      </c>
      <c r="Z2982" s="51" t="b">
        <v>0</v>
      </c>
      <c r="AA2982" s="68"/>
      <c r="AB2982" s="52"/>
      <c r="AC2982" s="52"/>
      <c r="AD2982" s="52"/>
      <c r="AE2982" s="56" t="s">
        <v>607</v>
      </c>
      <c r="AF2982" s="56" t="s">
        <v>607</v>
      </c>
    </row>
    <row r="2983">
      <c r="A2983" s="52" t="s">
        <v>6727</v>
      </c>
      <c r="B2983" s="52" t="s">
        <v>607</v>
      </c>
      <c r="C2983" s="52" t="s">
        <v>607</v>
      </c>
      <c r="D2983" s="65" t="s">
        <v>607</v>
      </c>
      <c r="E2983" s="65" t="s">
        <v>607</v>
      </c>
      <c r="F2983" s="65" t="s">
        <v>607</v>
      </c>
      <c r="G2983" s="65" t="s">
        <v>607</v>
      </c>
      <c r="H2983" s="52" t="s">
        <v>607</v>
      </c>
      <c r="I2983" s="52" t="s">
        <v>607</v>
      </c>
      <c r="J2983" s="52" t="s">
        <v>607</v>
      </c>
      <c r="K2983" s="52" t="s">
        <v>607</v>
      </c>
      <c r="L2983" s="52" t="s">
        <v>607</v>
      </c>
      <c r="M2983" s="52" t="s">
        <v>607</v>
      </c>
      <c r="N2983" s="52" t="s">
        <v>607</v>
      </c>
      <c r="O2983" s="52"/>
      <c r="P2983" s="52"/>
      <c r="Q2983" s="52"/>
      <c r="R2983" s="51" t="b">
        <v>0</v>
      </c>
      <c r="S2983" s="51"/>
      <c r="T2983" s="52"/>
      <c r="U2983" s="51" t="b">
        <v>0</v>
      </c>
      <c r="V2983" s="51" t="b">
        <v>0</v>
      </c>
      <c r="W2983" s="51" t="b">
        <v>0</v>
      </c>
      <c r="X2983" s="51" t="b">
        <v>0</v>
      </c>
      <c r="Y2983" s="51" t="b">
        <v>0</v>
      </c>
      <c r="Z2983" s="51" t="b">
        <v>0</v>
      </c>
      <c r="AA2983" s="68"/>
      <c r="AB2983" s="52"/>
      <c r="AC2983" s="52"/>
      <c r="AD2983" s="52"/>
      <c r="AE2983" s="56" t="s">
        <v>607</v>
      </c>
      <c r="AF2983" s="56" t="s">
        <v>607</v>
      </c>
    </row>
    <row r="2984">
      <c r="A2984" s="52" t="s">
        <v>6728</v>
      </c>
      <c r="B2984" s="52" t="s">
        <v>607</v>
      </c>
      <c r="C2984" s="52" t="s">
        <v>607</v>
      </c>
      <c r="D2984" s="65" t="s">
        <v>607</v>
      </c>
      <c r="E2984" s="65" t="s">
        <v>607</v>
      </c>
      <c r="F2984" s="65" t="s">
        <v>607</v>
      </c>
      <c r="G2984" s="65" t="s">
        <v>607</v>
      </c>
      <c r="H2984" s="52" t="s">
        <v>607</v>
      </c>
      <c r="I2984" s="52" t="s">
        <v>607</v>
      </c>
      <c r="J2984" s="52" t="s">
        <v>607</v>
      </c>
      <c r="K2984" s="52" t="s">
        <v>607</v>
      </c>
      <c r="L2984" s="52" t="s">
        <v>607</v>
      </c>
      <c r="M2984" s="52" t="s">
        <v>607</v>
      </c>
      <c r="N2984" s="52" t="s">
        <v>607</v>
      </c>
      <c r="O2984" s="52"/>
      <c r="P2984" s="52"/>
      <c r="Q2984" s="52"/>
      <c r="R2984" s="51" t="b">
        <v>0</v>
      </c>
      <c r="S2984" s="51"/>
      <c r="T2984" s="52"/>
      <c r="U2984" s="51" t="b">
        <v>0</v>
      </c>
      <c r="V2984" s="51" t="b">
        <v>0</v>
      </c>
      <c r="W2984" s="51" t="b">
        <v>0</v>
      </c>
      <c r="X2984" s="51" t="b">
        <v>0</v>
      </c>
      <c r="Y2984" s="51" t="b">
        <v>0</v>
      </c>
      <c r="Z2984" s="51" t="b">
        <v>0</v>
      </c>
      <c r="AA2984" s="68"/>
      <c r="AB2984" s="52"/>
      <c r="AC2984" s="52"/>
      <c r="AD2984" s="52"/>
      <c r="AE2984" s="56" t="s">
        <v>607</v>
      </c>
      <c r="AF2984" s="56" t="s">
        <v>607</v>
      </c>
    </row>
    <row r="2985">
      <c r="A2985" s="52" t="s">
        <v>6729</v>
      </c>
      <c r="B2985" s="52" t="s">
        <v>607</v>
      </c>
      <c r="C2985" s="52" t="s">
        <v>607</v>
      </c>
      <c r="D2985" s="65" t="s">
        <v>607</v>
      </c>
      <c r="E2985" s="65" t="s">
        <v>607</v>
      </c>
      <c r="F2985" s="65" t="s">
        <v>607</v>
      </c>
      <c r="G2985" s="65" t="s">
        <v>607</v>
      </c>
      <c r="H2985" s="52" t="s">
        <v>607</v>
      </c>
      <c r="I2985" s="52" t="s">
        <v>607</v>
      </c>
      <c r="J2985" s="52" t="s">
        <v>607</v>
      </c>
      <c r="K2985" s="52" t="s">
        <v>607</v>
      </c>
      <c r="L2985" s="52" t="s">
        <v>607</v>
      </c>
      <c r="M2985" s="52" t="s">
        <v>607</v>
      </c>
      <c r="N2985" s="52" t="s">
        <v>607</v>
      </c>
      <c r="O2985" s="52"/>
      <c r="P2985" s="52"/>
      <c r="Q2985" s="52"/>
      <c r="R2985" s="51" t="b">
        <v>0</v>
      </c>
      <c r="S2985" s="51"/>
      <c r="T2985" s="52"/>
      <c r="U2985" s="51" t="b">
        <v>0</v>
      </c>
      <c r="V2985" s="51" t="b">
        <v>0</v>
      </c>
      <c r="W2985" s="51" t="b">
        <v>0</v>
      </c>
      <c r="X2985" s="51" t="b">
        <v>0</v>
      </c>
      <c r="Y2985" s="51" t="b">
        <v>0</v>
      </c>
      <c r="Z2985" s="51" t="b">
        <v>0</v>
      </c>
      <c r="AA2985" s="68"/>
      <c r="AB2985" s="52"/>
      <c r="AC2985" s="52"/>
      <c r="AD2985" s="52"/>
      <c r="AE2985" s="56" t="s">
        <v>607</v>
      </c>
      <c r="AF2985" s="56" t="s">
        <v>607</v>
      </c>
    </row>
    <row r="2986">
      <c r="A2986" s="52" t="s">
        <v>6730</v>
      </c>
      <c r="B2986" s="52" t="s">
        <v>607</v>
      </c>
      <c r="C2986" s="52" t="s">
        <v>607</v>
      </c>
      <c r="D2986" s="65" t="s">
        <v>607</v>
      </c>
      <c r="E2986" s="65" t="s">
        <v>607</v>
      </c>
      <c r="F2986" s="65" t="s">
        <v>607</v>
      </c>
      <c r="G2986" s="65" t="s">
        <v>607</v>
      </c>
      <c r="H2986" s="52" t="s">
        <v>607</v>
      </c>
      <c r="I2986" s="52" t="s">
        <v>607</v>
      </c>
      <c r="J2986" s="52" t="s">
        <v>607</v>
      </c>
      <c r="K2986" s="52" t="s">
        <v>607</v>
      </c>
      <c r="L2986" s="52" t="s">
        <v>607</v>
      </c>
      <c r="M2986" s="52" t="s">
        <v>607</v>
      </c>
      <c r="N2986" s="52" t="s">
        <v>607</v>
      </c>
      <c r="O2986" s="52"/>
      <c r="P2986" s="52"/>
      <c r="Q2986" s="52"/>
      <c r="R2986" s="51" t="b">
        <v>0</v>
      </c>
      <c r="S2986" s="51"/>
      <c r="T2986" s="52"/>
      <c r="U2986" s="51" t="b">
        <v>0</v>
      </c>
      <c r="V2986" s="51" t="b">
        <v>0</v>
      </c>
      <c r="W2986" s="51" t="b">
        <v>0</v>
      </c>
      <c r="X2986" s="51" t="b">
        <v>0</v>
      </c>
      <c r="Y2986" s="51" t="b">
        <v>0</v>
      </c>
      <c r="Z2986" s="51" t="b">
        <v>0</v>
      </c>
      <c r="AA2986" s="68"/>
      <c r="AB2986" s="52"/>
      <c r="AC2986" s="52"/>
      <c r="AD2986" s="52"/>
      <c r="AE2986" s="56" t="s">
        <v>607</v>
      </c>
      <c r="AF2986" s="56" t="s">
        <v>607</v>
      </c>
    </row>
    <row r="2987">
      <c r="A2987" s="52" t="s">
        <v>6732</v>
      </c>
      <c r="B2987" s="52" t="s">
        <v>607</v>
      </c>
      <c r="C2987" s="52" t="s">
        <v>607</v>
      </c>
      <c r="D2987" s="65" t="s">
        <v>607</v>
      </c>
      <c r="E2987" s="65" t="s">
        <v>607</v>
      </c>
      <c r="F2987" s="65" t="s">
        <v>607</v>
      </c>
      <c r="G2987" s="65" t="s">
        <v>607</v>
      </c>
      <c r="H2987" s="52" t="s">
        <v>607</v>
      </c>
      <c r="I2987" s="52" t="s">
        <v>607</v>
      </c>
      <c r="J2987" s="52" t="s">
        <v>607</v>
      </c>
      <c r="K2987" s="52" t="s">
        <v>607</v>
      </c>
      <c r="L2987" s="52" t="s">
        <v>607</v>
      </c>
      <c r="M2987" s="52" t="s">
        <v>607</v>
      </c>
      <c r="N2987" s="52" t="s">
        <v>607</v>
      </c>
      <c r="O2987" s="52"/>
      <c r="P2987" s="52"/>
      <c r="Q2987" s="52"/>
      <c r="R2987" s="51" t="b">
        <v>0</v>
      </c>
      <c r="S2987" s="51"/>
      <c r="T2987" s="52"/>
      <c r="U2987" s="51" t="b">
        <v>0</v>
      </c>
      <c r="V2987" s="51" t="b">
        <v>0</v>
      </c>
      <c r="W2987" s="51" t="b">
        <v>0</v>
      </c>
      <c r="X2987" s="51" t="b">
        <v>0</v>
      </c>
      <c r="Y2987" s="51" t="b">
        <v>0</v>
      </c>
      <c r="Z2987" s="51" t="b">
        <v>0</v>
      </c>
      <c r="AA2987" s="68"/>
      <c r="AB2987" s="52"/>
      <c r="AC2987" s="52"/>
      <c r="AD2987" s="52"/>
      <c r="AE2987" s="56" t="s">
        <v>607</v>
      </c>
      <c r="AF2987" s="56" t="s">
        <v>607</v>
      </c>
    </row>
    <row r="2988">
      <c r="A2988" s="52" t="s">
        <v>6734</v>
      </c>
      <c r="B2988" s="52" t="s">
        <v>607</v>
      </c>
      <c r="C2988" s="52" t="s">
        <v>607</v>
      </c>
      <c r="D2988" s="65" t="s">
        <v>607</v>
      </c>
      <c r="E2988" s="65" t="s">
        <v>607</v>
      </c>
      <c r="F2988" s="65" t="s">
        <v>607</v>
      </c>
      <c r="G2988" s="65" t="s">
        <v>607</v>
      </c>
      <c r="H2988" s="52" t="s">
        <v>607</v>
      </c>
      <c r="I2988" s="52" t="s">
        <v>607</v>
      </c>
      <c r="J2988" s="52" t="s">
        <v>607</v>
      </c>
      <c r="K2988" s="52" t="s">
        <v>607</v>
      </c>
      <c r="L2988" s="52" t="s">
        <v>607</v>
      </c>
      <c r="M2988" s="52" t="s">
        <v>607</v>
      </c>
      <c r="N2988" s="52" t="s">
        <v>607</v>
      </c>
      <c r="O2988" s="52"/>
      <c r="P2988" s="52"/>
      <c r="Q2988" s="52"/>
      <c r="R2988" s="51" t="b">
        <v>0</v>
      </c>
      <c r="S2988" s="51"/>
      <c r="T2988" s="52"/>
      <c r="U2988" s="51" t="b">
        <v>0</v>
      </c>
      <c r="V2988" s="51" t="b">
        <v>0</v>
      </c>
      <c r="W2988" s="51" t="b">
        <v>0</v>
      </c>
      <c r="X2988" s="51" t="b">
        <v>0</v>
      </c>
      <c r="Y2988" s="51" t="b">
        <v>0</v>
      </c>
      <c r="Z2988" s="51" t="b">
        <v>0</v>
      </c>
      <c r="AA2988" s="68"/>
      <c r="AB2988" s="52"/>
      <c r="AC2988" s="52"/>
      <c r="AD2988" s="52"/>
      <c r="AE2988" s="56" t="s">
        <v>607</v>
      </c>
      <c r="AF2988" s="56" t="s">
        <v>607</v>
      </c>
    </row>
    <row r="2989">
      <c r="A2989" s="52" t="s">
        <v>6735</v>
      </c>
      <c r="B2989" s="52" t="s">
        <v>607</v>
      </c>
      <c r="C2989" s="52" t="s">
        <v>607</v>
      </c>
      <c r="D2989" s="65" t="s">
        <v>607</v>
      </c>
      <c r="E2989" s="65" t="s">
        <v>607</v>
      </c>
      <c r="F2989" s="65" t="s">
        <v>607</v>
      </c>
      <c r="G2989" s="65" t="s">
        <v>607</v>
      </c>
      <c r="H2989" s="52" t="s">
        <v>607</v>
      </c>
      <c r="I2989" s="52" t="s">
        <v>607</v>
      </c>
      <c r="J2989" s="52" t="s">
        <v>607</v>
      </c>
      <c r="K2989" s="52" t="s">
        <v>607</v>
      </c>
      <c r="L2989" s="52" t="s">
        <v>607</v>
      </c>
      <c r="M2989" s="52" t="s">
        <v>607</v>
      </c>
      <c r="N2989" s="52" t="s">
        <v>607</v>
      </c>
      <c r="O2989" s="52"/>
      <c r="P2989" s="52"/>
      <c r="Q2989" s="52"/>
      <c r="R2989" s="51" t="b">
        <v>0</v>
      </c>
      <c r="S2989" s="51"/>
      <c r="T2989" s="52"/>
      <c r="U2989" s="51" t="b">
        <v>0</v>
      </c>
      <c r="V2989" s="51" t="b">
        <v>0</v>
      </c>
      <c r="W2989" s="51" t="b">
        <v>0</v>
      </c>
      <c r="X2989" s="51" t="b">
        <v>0</v>
      </c>
      <c r="Y2989" s="51" t="b">
        <v>0</v>
      </c>
      <c r="Z2989" s="51" t="b">
        <v>0</v>
      </c>
      <c r="AA2989" s="68"/>
      <c r="AB2989" s="52"/>
      <c r="AC2989" s="52"/>
      <c r="AD2989" s="52"/>
      <c r="AE2989" s="56" t="s">
        <v>607</v>
      </c>
      <c r="AF2989" s="56" t="s">
        <v>607</v>
      </c>
    </row>
    <row r="2990">
      <c r="A2990" s="52" t="s">
        <v>6736</v>
      </c>
      <c r="B2990" s="52" t="s">
        <v>607</v>
      </c>
      <c r="C2990" s="52" t="s">
        <v>607</v>
      </c>
      <c r="D2990" s="65" t="s">
        <v>607</v>
      </c>
      <c r="E2990" s="65" t="s">
        <v>607</v>
      </c>
      <c r="F2990" s="65" t="s">
        <v>607</v>
      </c>
      <c r="G2990" s="65" t="s">
        <v>607</v>
      </c>
      <c r="H2990" s="52" t="s">
        <v>607</v>
      </c>
      <c r="I2990" s="52" t="s">
        <v>607</v>
      </c>
      <c r="J2990" s="52" t="s">
        <v>607</v>
      </c>
      <c r="K2990" s="52" t="s">
        <v>607</v>
      </c>
      <c r="L2990" s="52" t="s">
        <v>607</v>
      </c>
      <c r="M2990" s="52" t="s">
        <v>607</v>
      </c>
      <c r="N2990" s="52" t="s">
        <v>607</v>
      </c>
      <c r="O2990" s="52"/>
      <c r="P2990" s="52"/>
      <c r="Q2990" s="52"/>
      <c r="R2990" s="51" t="b">
        <v>0</v>
      </c>
      <c r="S2990" s="51"/>
      <c r="T2990" s="52"/>
      <c r="U2990" s="51" t="b">
        <v>0</v>
      </c>
      <c r="V2990" s="51" t="b">
        <v>0</v>
      </c>
      <c r="W2990" s="51" t="b">
        <v>0</v>
      </c>
      <c r="X2990" s="51" t="b">
        <v>0</v>
      </c>
      <c r="Y2990" s="51" t="b">
        <v>0</v>
      </c>
      <c r="Z2990" s="51" t="b">
        <v>0</v>
      </c>
      <c r="AA2990" s="68"/>
      <c r="AB2990" s="52"/>
      <c r="AC2990" s="52"/>
      <c r="AD2990" s="52"/>
      <c r="AE2990" s="56" t="s">
        <v>607</v>
      </c>
      <c r="AF2990" s="56" t="s">
        <v>607</v>
      </c>
    </row>
    <row r="2991">
      <c r="A2991" s="52" t="s">
        <v>6737</v>
      </c>
      <c r="B2991" s="52" t="s">
        <v>607</v>
      </c>
      <c r="C2991" s="52" t="s">
        <v>607</v>
      </c>
      <c r="D2991" s="65" t="s">
        <v>607</v>
      </c>
      <c r="E2991" s="65" t="s">
        <v>607</v>
      </c>
      <c r="F2991" s="65" t="s">
        <v>607</v>
      </c>
      <c r="G2991" s="65" t="s">
        <v>607</v>
      </c>
      <c r="H2991" s="52" t="s">
        <v>607</v>
      </c>
      <c r="I2991" s="52" t="s">
        <v>607</v>
      </c>
      <c r="J2991" s="52" t="s">
        <v>607</v>
      </c>
      <c r="K2991" s="52" t="s">
        <v>607</v>
      </c>
      <c r="L2991" s="52" t="s">
        <v>607</v>
      </c>
      <c r="M2991" s="52" t="s">
        <v>607</v>
      </c>
      <c r="N2991" s="52" t="s">
        <v>607</v>
      </c>
      <c r="O2991" s="52"/>
      <c r="P2991" s="52"/>
      <c r="Q2991" s="52"/>
      <c r="R2991" s="51" t="b">
        <v>0</v>
      </c>
      <c r="S2991" s="51"/>
      <c r="T2991" s="52"/>
      <c r="U2991" s="51" t="b">
        <v>0</v>
      </c>
      <c r="V2991" s="51" t="b">
        <v>0</v>
      </c>
      <c r="W2991" s="51" t="b">
        <v>0</v>
      </c>
      <c r="X2991" s="51" t="b">
        <v>0</v>
      </c>
      <c r="Y2991" s="51" t="b">
        <v>0</v>
      </c>
      <c r="Z2991" s="51" t="b">
        <v>0</v>
      </c>
      <c r="AA2991" s="68"/>
      <c r="AB2991" s="52"/>
      <c r="AC2991" s="52"/>
      <c r="AD2991" s="52"/>
      <c r="AE2991" s="56" t="s">
        <v>607</v>
      </c>
      <c r="AF2991" s="56" t="s">
        <v>607</v>
      </c>
    </row>
    <row r="2992">
      <c r="A2992" s="52" t="s">
        <v>6738</v>
      </c>
      <c r="B2992" s="52" t="s">
        <v>607</v>
      </c>
      <c r="C2992" s="52" t="s">
        <v>607</v>
      </c>
      <c r="D2992" s="65" t="s">
        <v>607</v>
      </c>
      <c r="E2992" s="65" t="s">
        <v>607</v>
      </c>
      <c r="F2992" s="65" t="s">
        <v>607</v>
      </c>
      <c r="G2992" s="65" t="s">
        <v>607</v>
      </c>
      <c r="H2992" s="52" t="s">
        <v>607</v>
      </c>
      <c r="I2992" s="52" t="s">
        <v>607</v>
      </c>
      <c r="J2992" s="52" t="s">
        <v>607</v>
      </c>
      <c r="K2992" s="52" t="s">
        <v>607</v>
      </c>
      <c r="L2992" s="52" t="s">
        <v>607</v>
      </c>
      <c r="M2992" s="52" t="s">
        <v>607</v>
      </c>
      <c r="N2992" s="52" t="s">
        <v>607</v>
      </c>
      <c r="O2992" s="52"/>
      <c r="P2992" s="52"/>
      <c r="Q2992" s="52"/>
      <c r="R2992" s="51" t="b">
        <v>0</v>
      </c>
      <c r="S2992" s="51"/>
      <c r="T2992" s="52"/>
      <c r="U2992" s="51" t="b">
        <v>0</v>
      </c>
      <c r="V2992" s="51" t="b">
        <v>0</v>
      </c>
      <c r="W2992" s="51" t="b">
        <v>0</v>
      </c>
      <c r="X2992" s="51" t="b">
        <v>0</v>
      </c>
      <c r="Y2992" s="51" t="b">
        <v>0</v>
      </c>
      <c r="Z2992" s="51" t="b">
        <v>0</v>
      </c>
      <c r="AA2992" s="68"/>
      <c r="AB2992" s="52"/>
      <c r="AC2992" s="52"/>
      <c r="AD2992" s="52"/>
      <c r="AE2992" s="56" t="s">
        <v>607</v>
      </c>
      <c r="AF2992" s="56" t="s">
        <v>607</v>
      </c>
    </row>
    <row r="2993">
      <c r="A2993" s="52" t="s">
        <v>6739</v>
      </c>
      <c r="B2993" s="52" t="s">
        <v>607</v>
      </c>
      <c r="C2993" s="52" t="s">
        <v>607</v>
      </c>
      <c r="D2993" s="65" t="s">
        <v>607</v>
      </c>
      <c r="E2993" s="65" t="s">
        <v>607</v>
      </c>
      <c r="F2993" s="65" t="s">
        <v>607</v>
      </c>
      <c r="G2993" s="65" t="s">
        <v>607</v>
      </c>
      <c r="H2993" s="52" t="s">
        <v>607</v>
      </c>
      <c r="I2993" s="52" t="s">
        <v>607</v>
      </c>
      <c r="J2993" s="52" t="s">
        <v>607</v>
      </c>
      <c r="K2993" s="52" t="s">
        <v>607</v>
      </c>
      <c r="L2993" s="52" t="s">
        <v>607</v>
      </c>
      <c r="M2993" s="52" t="s">
        <v>607</v>
      </c>
      <c r="N2993" s="52" t="s">
        <v>607</v>
      </c>
      <c r="O2993" s="52"/>
      <c r="P2993" s="52"/>
      <c r="Q2993" s="52"/>
      <c r="R2993" s="51" t="b">
        <v>0</v>
      </c>
      <c r="S2993" s="51"/>
      <c r="T2993" s="52"/>
      <c r="U2993" s="51" t="b">
        <v>0</v>
      </c>
      <c r="V2993" s="51" t="b">
        <v>0</v>
      </c>
      <c r="W2993" s="51" t="b">
        <v>0</v>
      </c>
      <c r="X2993" s="51" t="b">
        <v>0</v>
      </c>
      <c r="Y2993" s="51" t="b">
        <v>0</v>
      </c>
      <c r="Z2993" s="51" t="b">
        <v>0</v>
      </c>
      <c r="AA2993" s="68"/>
      <c r="AB2993" s="52"/>
      <c r="AC2993" s="52"/>
      <c r="AD2993" s="52"/>
      <c r="AE2993" s="56" t="s">
        <v>607</v>
      </c>
      <c r="AF2993" s="56" t="s">
        <v>607</v>
      </c>
    </row>
    <row r="2994">
      <c r="A2994" s="52" t="s">
        <v>6740</v>
      </c>
      <c r="B2994" s="52" t="s">
        <v>607</v>
      </c>
      <c r="C2994" s="52" t="s">
        <v>607</v>
      </c>
      <c r="D2994" s="65" t="s">
        <v>607</v>
      </c>
      <c r="E2994" s="65" t="s">
        <v>607</v>
      </c>
      <c r="F2994" s="65" t="s">
        <v>607</v>
      </c>
      <c r="G2994" s="65" t="s">
        <v>607</v>
      </c>
      <c r="H2994" s="52" t="s">
        <v>607</v>
      </c>
      <c r="I2994" s="52" t="s">
        <v>607</v>
      </c>
      <c r="J2994" s="52" t="s">
        <v>607</v>
      </c>
      <c r="K2994" s="52" t="s">
        <v>607</v>
      </c>
      <c r="L2994" s="52" t="s">
        <v>607</v>
      </c>
      <c r="M2994" s="52" t="s">
        <v>607</v>
      </c>
      <c r="N2994" s="52" t="s">
        <v>607</v>
      </c>
      <c r="O2994" s="52"/>
      <c r="P2994" s="52"/>
      <c r="Q2994" s="52"/>
      <c r="R2994" s="51" t="b">
        <v>0</v>
      </c>
      <c r="S2994" s="51"/>
      <c r="T2994" s="52"/>
      <c r="U2994" s="51" t="b">
        <v>0</v>
      </c>
      <c r="V2994" s="51" t="b">
        <v>0</v>
      </c>
      <c r="W2994" s="51" t="b">
        <v>0</v>
      </c>
      <c r="X2994" s="51" t="b">
        <v>0</v>
      </c>
      <c r="Y2994" s="51" t="b">
        <v>0</v>
      </c>
      <c r="Z2994" s="51" t="b">
        <v>0</v>
      </c>
      <c r="AA2994" s="68"/>
      <c r="AB2994" s="52"/>
      <c r="AC2994" s="52"/>
      <c r="AD2994" s="52"/>
      <c r="AE2994" s="56" t="s">
        <v>607</v>
      </c>
      <c r="AF2994" s="56" t="s">
        <v>607</v>
      </c>
    </row>
    <row r="2995">
      <c r="A2995" s="52" t="s">
        <v>6741</v>
      </c>
      <c r="B2995" s="52" t="s">
        <v>607</v>
      </c>
      <c r="C2995" s="52" t="s">
        <v>607</v>
      </c>
      <c r="D2995" s="65" t="s">
        <v>607</v>
      </c>
      <c r="E2995" s="65" t="s">
        <v>607</v>
      </c>
      <c r="F2995" s="65" t="s">
        <v>607</v>
      </c>
      <c r="G2995" s="65" t="s">
        <v>607</v>
      </c>
      <c r="H2995" s="52" t="s">
        <v>607</v>
      </c>
      <c r="I2995" s="52" t="s">
        <v>607</v>
      </c>
      <c r="J2995" s="52" t="s">
        <v>607</v>
      </c>
      <c r="K2995" s="52" t="s">
        <v>607</v>
      </c>
      <c r="L2995" s="52" t="s">
        <v>607</v>
      </c>
      <c r="M2995" s="52" t="s">
        <v>607</v>
      </c>
      <c r="N2995" s="52" t="s">
        <v>607</v>
      </c>
      <c r="O2995" s="52"/>
      <c r="P2995" s="52"/>
      <c r="Q2995" s="52"/>
      <c r="R2995" s="51" t="b">
        <v>0</v>
      </c>
      <c r="S2995" s="51"/>
      <c r="T2995" s="52"/>
      <c r="U2995" s="51" t="b">
        <v>0</v>
      </c>
      <c r="V2995" s="51" t="b">
        <v>0</v>
      </c>
      <c r="W2995" s="51" t="b">
        <v>0</v>
      </c>
      <c r="X2995" s="51" t="b">
        <v>0</v>
      </c>
      <c r="Y2995" s="51" t="b">
        <v>0</v>
      </c>
      <c r="Z2995" s="51" t="b">
        <v>0</v>
      </c>
      <c r="AA2995" s="68"/>
      <c r="AB2995" s="52"/>
      <c r="AC2995" s="52"/>
      <c r="AD2995" s="52"/>
      <c r="AE2995" s="56" t="s">
        <v>607</v>
      </c>
      <c r="AF2995" s="56" t="s">
        <v>607</v>
      </c>
    </row>
    <row r="2996">
      <c r="A2996" s="52" t="s">
        <v>6742</v>
      </c>
      <c r="B2996" s="52" t="s">
        <v>607</v>
      </c>
      <c r="C2996" s="52" t="s">
        <v>607</v>
      </c>
      <c r="D2996" s="65" t="s">
        <v>607</v>
      </c>
      <c r="E2996" s="65" t="s">
        <v>607</v>
      </c>
      <c r="F2996" s="65" t="s">
        <v>607</v>
      </c>
      <c r="G2996" s="65" t="s">
        <v>607</v>
      </c>
      <c r="H2996" s="52" t="s">
        <v>607</v>
      </c>
      <c r="I2996" s="52" t="s">
        <v>607</v>
      </c>
      <c r="J2996" s="52" t="s">
        <v>607</v>
      </c>
      <c r="K2996" s="52" t="s">
        <v>607</v>
      </c>
      <c r="L2996" s="52" t="s">
        <v>607</v>
      </c>
      <c r="M2996" s="52" t="s">
        <v>607</v>
      </c>
      <c r="N2996" s="52" t="s">
        <v>607</v>
      </c>
      <c r="O2996" s="52"/>
      <c r="P2996" s="52"/>
      <c r="Q2996" s="52"/>
      <c r="R2996" s="51" t="b">
        <v>0</v>
      </c>
      <c r="S2996" s="51"/>
      <c r="T2996" s="52"/>
      <c r="U2996" s="51" t="b">
        <v>0</v>
      </c>
      <c r="V2996" s="51" t="b">
        <v>0</v>
      </c>
      <c r="W2996" s="51" t="b">
        <v>0</v>
      </c>
      <c r="X2996" s="51" t="b">
        <v>0</v>
      </c>
      <c r="Y2996" s="51" t="b">
        <v>0</v>
      </c>
      <c r="Z2996" s="51" t="b">
        <v>0</v>
      </c>
      <c r="AA2996" s="68"/>
      <c r="AB2996" s="52"/>
      <c r="AC2996" s="52"/>
      <c r="AD2996" s="52"/>
      <c r="AE2996" s="56" t="s">
        <v>607</v>
      </c>
      <c r="AF2996" s="56" t="s">
        <v>607</v>
      </c>
    </row>
    <row r="2997">
      <c r="A2997" s="52" t="s">
        <v>6743</v>
      </c>
      <c r="B2997" s="52" t="s">
        <v>607</v>
      </c>
      <c r="C2997" s="52" t="s">
        <v>607</v>
      </c>
      <c r="D2997" s="65" t="s">
        <v>607</v>
      </c>
      <c r="E2997" s="65" t="s">
        <v>607</v>
      </c>
      <c r="F2997" s="65" t="s">
        <v>607</v>
      </c>
      <c r="G2997" s="65" t="s">
        <v>607</v>
      </c>
      <c r="H2997" s="52" t="s">
        <v>607</v>
      </c>
      <c r="I2997" s="52" t="s">
        <v>607</v>
      </c>
      <c r="J2997" s="52" t="s">
        <v>607</v>
      </c>
      <c r="K2997" s="52" t="s">
        <v>607</v>
      </c>
      <c r="L2997" s="52" t="s">
        <v>607</v>
      </c>
      <c r="M2997" s="52" t="s">
        <v>607</v>
      </c>
      <c r="N2997" s="52" t="s">
        <v>607</v>
      </c>
      <c r="O2997" s="52"/>
      <c r="P2997" s="52"/>
      <c r="Q2997" s="52"/>
      <c r="R2997" s="51" t="b">
        <v>0</v>
      </c>
      <c r="S2997" s="51"/>
      <c r="T2997" s="52"/>
      <c r="U2997" s="51" t="b">
        <v>0</v>
      </c>
      <c r="V2997" s="51" t="b">
        <v>0</v>
      </c>
      <c r="W2997" s="51" t="b">
        <v>0</v>
      </c>
      <c r="X2997" s="51" t="b">
        <v>0</v>
      </c>
      <c r="Y2997" s="51" t="b">
        <v>0</v>
      </c>
      <c r="Z2997" s="51" t="b">
        <v>0</v>
      </c>
      <c r="AA2997" s="68"/>
      <c r="AB2997" s="52"/>
      <c r="AC2997" s="52"/>
      <c r="AD2997" s="52"/>
      <c r="AE2997" s="56" t="s">
        <v>607</v>
      </c>
      <c r="AF2997" s="56" t="s">
        <v>607</v>
      </c>
    </row>
    <row r="2998">
      <c r="A2998" s="52" t="s">
        <v>6745</v>
      </c>
      <c r="B2998" s="52" t="s">
        <v>607</v>
      </c>
      <c r="C2998" s="52" t="s">
        <v>607</v>
      </c>
      <c r="D2998" s="65" t="s">
        <v>607</v>
      </c>
      <c r="E2998" s="65" t="s">
        <v>607</v>
      </c>
      <c r="F2998" s="65" t="s">
        <v>607</v>
      </c>
      <c r="G2998" s="65" t="s">
        <v>607</v>
      </c>
      <c r="H2998" s="52" t="s">
        <v>607</v>
      </c>
      <c r="I2998" s="52" t="s">
        <v>607</v>
      </c>
      <c r="J2998" s="52" t="s">
        <v>607</v>
      </c>
      <c r="K2998" s="52" t="s">
        <v>607</v>
      </c>
      <c r="L2998" s="52" t="s">
        <v>607</v>
      </c>
      <c r="M2998" s="52" t="s">
        <v>607</v>
      </c>
      <c r="N2998" s="52" t="s">
        <v>607</v>
      </c>
      <c r="O2998" s="52"/>
      <c r="P2998" s="52"/>
      <c r="Q2998" s="52"/>
      <c r="R2998" s="51" t="b">
        <v>0</v>
      </c>
      <c r="S2998" s="51"/>
      <c r="T2998" s="52"/>
      <c r="U2998" s="51" t="b">
        <v>0</v>
      </c>
      <c r="V2998" s="51" t="b">
        <v>0</v>
      </c>
      <c r="W2998" s="51" t="b">
        <v>0</v>
      </c>
      <c r="X2998" s="51" t="b">
        <v>0</v>
      </c>
      <c r="Y2998" s="51" t="b">
        <v>0</v>
      </c>
      <c r="Z2998" s="51" t="b">
        <v>0</v>
      </c>
      <c r="AA2998" s="68"/>
      <c r="AB2998" s="52"/>
      <c r="AC2998" s="52"/>
      <c r="AD2998" s="52"/>
      <c r="AE2998" s="56" t="s">
        <v>607</v>
      </c>
      <c r="AF2998" s="56" t="s">
        <v>607</v>
      </c>
    </row>
    <row r="2999">
      <c r="A2999" s="52" t="s">
        <v>6746</v>
      </c>
      <c r="B2999" s="52" t="s">
        <v>607</v>
      </c>
      <c r="C2999" s="52" t="s">
        <v>607</v>
      </c>
      <c r="D2999" s="65" t="s">
        <v>607</v>
      </c>
      <c r="E2999" s="65" t="s">
        <v>607</v>
      </c>
      <c r="F2999" s="65" t="s">
        <v>607</v>
      </c>
      <c r="G2999" s="65" t="s">
        <v>607</v>
      </c>
      <c r="H2999" s="52" t="s">
        <v>607</v>
      </c>
      <c r="I2999" s="52" t="s">
        <v>607</v>
      </c>
      <c r="J2999" s="52" t="s">
        <v>607</v>
      </c>
      <c r="K2999" s="52" t="s">
        <v>607</v>
      </c>
      <c r="L2999" s="52" t="s">
        <v>607</v>
      </c>
      <c r="M2999" s="52" t="s">
        <v>607</v>
      </c>
      <c r="N2999" s="52" t="s">
        <v>607</v>
      </c>
      <c r="O2999" s="52"/>
      <c r="P2999" s="52"/>
      <c r="Q2999" s="52"/>
      <c r="R2999" s="51" t="b">
        <v>0</v>
      </c>
      <c r="S2999" s="51"/>
      <c r="T2999" s="52"/>
      <c r="U2999" s="51" t="b">
        <v>0</v>
      </c>
      <c r="V2999" s="51" t="b">
        <v>0</v>
      </c>
      <c r="W2999" s="51" t="b">
        <v>0</v>
      </c>
      <c r="X2999" s="51" t="b">
        <v>0</v>
      </c>
      <c r="Y2999" s="51" t="b">
        <v>0</v>
      </c>
      <c r="Z2999" s="51" t="b">
        <v>0</v>
      </c>
      <c r="AA2999" s="68"/>
      <c r="AB2999" s="52"/>
      <c r="AC2999" s="52"/>
      <c r="AD2999" s="52"/>
      <c r="AE2999" s="56" t="s">
        <v>607</v>
      </c>
      <c r="AF2999" s="56" t="s">
        <v>607</v>
      </c>
    </row>
    <row r="3000">
      <c r="A3000" s="52" t="s">
        <v>6747</v>
      </c>
      <c r="B3000" s="52" t="s">
        <v>607</v>
      </c>
      <c r="C3000" s="52" t="s">
        <v>607</v>
      </c>
      <c r="D3000" s="65" t="s">
        <v>607</v>
      </c>
      <c r="E3000" s="65" t="s">
        <v>607</v>
      </c>
      <c r="F3000" s="65" t="s">
        <v>607</v>
      </c>
      <c r="G3000" s="65" t="s">
        <v>607</v>
      </c>
      <c r="H3000" s="52" t="s">
        <v>607</v>
      </c>
      <c r="I3000" s="52" t="s">
        <v>607</v>
      </c>
      <c r="J3000" s="52" t="s">
        <v>607</v>
      </c>
      <c r="K3000" s="52" t="s">
        <v>607</v>
      </c>
      <c r="L3000" s="52" t="s">
        <v>607</v>
      </c>
      <c r="M3000" s="52" t="s">
        <v>607</v>
      </c>
      <c r="N3000" s="52" t="s">
        <v>607</v>
      </c>
      <c r="O3000" s="52"/>
      <c r="P3000" s="52"/>
      <c r="Q3000" s="52"/>
      <c r="R3000" s="51" t="b">
        <v>0</v>
      </c>
      <c r="S3000" s="51"/>
      <c r="T3000" s="52"/>
      <c r="U3000" s="51" t="b">
        <v>0</v>
      </c>
      <c r="V3000" s="51" t="b">
        <v>0</v>
      </c>
      <c r="W3000" s="51" t="b">
        <v>0</v>
      </c>
      <c r="X3000" s="51" t="b">
        <v>0</v>
      </c>
      <c r="Y3000" s="51" t="b">
        <v>0</v>
      </c>
      <c r="Z3000" s="51" t="b">
        <v>0</v>
      </c>
      <c r="AA3000" s="68"/>
      <c r="AB3000" s="52"/>
      <c r="AC3000" s="52"/>
      <c r="AD3000" s="52"/>
      <c r="AE3000" s="56" t="s">
        <v>607</v>
      </c>
      <c r="AF3000" s="56" t="s">
        <v>607</v>
      </c>
    </row>
  </sheetData>
  <customSheetViews>
    <customSheetView guid="{B612F50C-42B6-4F9E-A2E0-F46CF125DEBB}" filter="1" showAutoFilter="1">
      <autoFilter ref="$A$1:$AF$3000">
        <filterColumn colId="21">
          <filters>
            <filter val="TRUE"/>
          </filters>
        </filterColumn>
        <filterColumn colId="22">
          <filters>
            <filter val="FALSE"/>
          </filters>
        </filterColumn>
        <filterColumn colId="1">
          <filters blank="1">
            <filter val="Channel 3"/>
            <filter val="Channel 1"/>
            <filter val="Channel 2"/>
            <filter val="ID null"/>
            <filter val="CHANNEL 1"/>
            <filter val="CHANNEL 2"/>
            <filter val="CHANNEL 3"/>
            <filter val="SURPLUS TALKS"/>
            <filter val="DAY 2 - Wednesday, 24 June"/>
            <filter val="CHANNEL 4"/>
            <filter val="DAY 1 - Tuesday, 23 June"/>
            <filter val="Surplus ch."/>
            <filter val="DAY 3 - Thursday, 25 June"/>
          </filters>
        </filterColumn>
      </autoFilter>
    </customSheetView>
    <customSheetView guid="{ADD87C10-C7D9-472A-9B8B-B40B65C10346}" filter="1" showAutoFilter="1">
      <autoFilter ref="$A$1:$AF$3000">
        <filterColumn colId="1">
          <filters>
            <filter val="Channel 3"/>
            <filter val="Channel 4"/>
            <filter val="Channel 1"/>
            <filter val="Channel 2"/>
            <filter val="CHANNEL 4"/>
          </filters>
        </filterColumn>
      </autoFilter>
    </customSheetView>
    <customSheetView guid="{1D23006B-B210-4A0C-8CD2-6D9F5529FA79}" filter="1" showAutoFilter="1">
      <autoFilter ref="$A$1:$AF$3000">
        <filterColumn colId="7">
          <filters>
            <filter val="Holding graphic"/>
            <filter val="40 Words"/>
            <filter val="Teaser Outro"/>
          </filters>
        </filterColumn>
      </autoFilter>
    </customSheetView>
    <customSheetView guid="{940BF112-A5DE-4284-991A-7915B8375AFD}" filter="1" showAutoFilter="1">
      <autoFilter ref="$A$1:$AF$3000">
        <filterColumn colId="7">
          <filters>
            <filter val="Teaser Outro"/>
            <filter val="Talk Intro"/>
            <filter val="Talk Outro"/>
          </filters>
        </filterColumn>
        <filterColumn colId="1">
          <filters blank="1">
            <filter val="Channel 3"/>
            <filter val="Channel 4"/>
            <filter val="Channel 1"/>
            <filter val="Channel 2"/>
            <filter val="ID null"/>
            <filter val="CHANNEL 2"/>
            <filter val="CHANNEL 3"/>
            <filter val="SURPLUS TALKS"/>
            <filter val="DAY 2 - Wednesday, 24 June"/>
            <filter val="CHANNEL 4"/>
            <filter val="DAY 1 - Tuesday, 23 June"/>
            <filter val="Surplus ch."/>
            <filter val="DAY 3 - Thursday, 25 June"/>
          </filters>
        </filterColumn>
      </autoFilter>
    </customSheetView>
    <customSheetView guid="{8352F947-3DED-419B-B418-1071BCD2EE65}" filter="1" showAutoFilter="1">
      <autoFilter ref="$A$1:$AE$3000">
        <filterColumn colId="23">
          <filters>
            <filter val="TRUE"/>
          </filters>
        </filterColumn>
      </autoFilter>
    </customSheetView>
    <customSheetView guid="{A26F8A33-DAB5-4BA8-AD01-022017FE203A}" filter="1" showAutoFilter="1">
      <autoFilter ref="$A$1:$AE$3000">
        <filterColumn colId="25">
          <filters>
            <filter val="TRUE"/>
          </filters>
        </filterColumn>
      </autoFilter>
    </customSheetView>
    <customSheetView guid="{3F71C3D0-C41F-4924-B662-0840699C537C}" filter="1" showAutoFilter="1">
      <autoFilter ref="$A$1:$AD$3000">
        <filterColumn colId="18">
          <colorFilter dxfId="22"/>
        </filterColumn>
        <filterColumn colId="16">
          <filters>
            <filter val="https://drive.google.com/file/d/1wHGxNZiIcAtRQ3FAt0lG0RxKiUT9OQQc/view"/>
            <filter val="https://drive.google.com/drive/folders/1-lfMc-n2JjJXqplTohHkX_fstoxMPvxD"/>
            <filter val="https://drive.google.com/drive/folders/1-N_lTQVftC30zdLPeLsWw7-UVUfMFRJX"/>
            <filter val="https://drive.google.com/drive/folders/1fu_sqI6fCUZpcyVMsRE-Y2OUZ8nlL-MW"/>
            <filter val="https://drive.google.com/drive/folders/1w3bLaDbSrsK04MW1-b_KdTmU-F193r5a"/>
            <filter val="https://drive.google.com/drive/u/0/folders/1ZombyD7USVyjBzsiP_yX0iQ_LZwNpugS"/>
            <filter val="https://drive.google.com/drive/folders/18a6_MBMtivSMv4ez4dk1mhNsuxn0L3-h"/>
            <filter val="https://drive.google.com/drive/folders/1XfyYcteCLOCDYTctiBg3KOVNiM-mNTDT"/>
            <filter val="https://drive.google.com/drive/u/0/folders/1Wh32k7RrFdjGtmBQ71day3j31sJgEm6Q"/>
            <filter val="https://drive.google.com/drive/u/0/folders/1ohfUBOwV2NuhFQTvrH65NE2V01vTvPuk"/>
            <filter val="https://drive.google.com/drive/folders/1SV9wTtnf20gS0K13wInef3bKi3MyTHXn"/>
            <filter val="https://drive.google.com/open?id=1yoOTLw1PDuaz1o6KR3dvabz3nL286wVO"/>
            <filter val="https://drive.google.com/drive/folders/11Kp3GXQA_QgHKXrwDa2q7dFzm-Q1Kx7x"/>
            <filter val="https://drive.google.com/drive/folders/1xYZq-d4TF6LzoJw0r-3ycpoxSmi7AQ5r"/>
            <filter val="https://drive.google.com/drive/folders/1pKmmC0X1WmGSMqI1WVssy1sDmCNI93-E"/>
            <filter val="https://drive.google.com/drive/folders/13fzogQ0srlsloJJFfP1oS8ikUbaMAi26"/>
            <filter val="https://drive.google.com/drive/folders/1BZBQhsInUQyANy_rrUinXh-IxUdL266E"/>
            <filter val="https://drive.google.com/open?id=1_TNmXMbp7Z3E2ockr5bEOdCSIkzfZT6d"/>
            <filter val="https://drive.google.com/open?id=1eyffG8lNqD12lIREN2L7dsPHWx4ICLD3"/>
            <filter val="https://drive.google.com/drive/folders/1XDTByq6mSx9uk12sCi6hurjPrlYWSppq"/>
            <filter val="https://drive.google.com/drive/folders/12FuSibBT8CW-hkW5exaaOTrBLftRt5k2"/>
            <filter val="https://drive.google.com/drive/folders/15IUBXF2VOAoiAFSWHGsQu5SGJGaW5QzL"/>
            <filter val="https://drive.google.com/drive/folders/19WQkZCOHjmGKEZcp2KkGtwCofx_FL0vo"/>
            <filter val="https://drive.google.com/drive/folders/12UlNct7OyPsyp2uoRmFwBKthPWej14JJ"/>
            <filter val="https://drive.google.com/drive/folders/12WAK_k8fAXiOwhWC345N34xoKOIoksnf"/>
            <filter val="https://drive.google.com/drive/folders/1g-n_3rr4qs7WE7sVvkKWLPd1bVdvgaDM"/>
            <filter val="https://drive.google.com/drive/u/0/folders/1H9OMUzLjvyo7o3kZ_a56GwQTCMJlo9GS"/>
            <filter val="https://drive.google.com/drive/folders/1_N3R_gaA19fkjykwn81Hs6F1yibMKSYl"/>
            <filter val="https://drive.google.com/drive/folders/1SkmrOUDBpURhUY_0ivaw2iu4Tk97Crfo"/>
            <filter val="https://drive.google.com/drive/folders/1izARwTcODsR65GBSPO6cwWc-2ZFh4WHr"/>
            <filter val="https://drive.google.com/drive/folders/1FpkRI9UezWNSWQo_g0oxEXKHXx5AMH_T"/>
            <filter val="https://drive.google.com/drive/u/0/folders/1xbRV6fTfka_qCDDfGQVovKj1qBqMKhdY"/>
            <filter val="https://drive.google.com/drive/folders/1sibEOr7dkLqogsbU5WPtqvuhD4X7wzfg"/>
            <filter val="https://drive.google.com/drive/folders/19XWtf87BJgJAQHpDJVqEYwKlI4by-Cx1"/>
            <filter val="https://drive.google.com/drive/folders/1YKhFi13j48D7uijNO4j8F42z587tnYcm"/>
            <filter val="https://drive.google.com/open?id=1IlG2HEK-OWvDz7nofURGJrurdcdzG7Xq"/>
            <filter val="https://drive.google.com/drive/folders/14TkMotm1LHxXP8TheOwTJWzMyEQFL9_I"/>
            <filter val="https://drive.google.com/file/d/1QsNioJx290z1N0LlGa9WsnedRprj9cWD/view"/>
            <filter val="https://drive.google.com/drive/u/0/folders/1YTOWwFaBKz6hGTXKpSzAj7KixRwUwaKu"/>
            <filter val="https://drive.google.com/drive/u/3/folders/0APQYI2bgcQveUk9PVA"/>
            <filter val="https://drive.google.com/drive/folders/1_Fn8SJxDiNnJyknagUbNpGs35s-ZZUua"/>
            <filter val="https://drive.google.com/drive/folders/1jiGi5DPOjQ7NqthhOrwWhjKW3QCm6jCN"/>
            <filter val="https://drive.google.com/drive/u/0/folders/1puNGNF84WkV1lRc56eH2MgWFXlEMv5YJ"/>
            <filter val="https://drive.google.com/drive/folders/1rJdsxXJ0EuXb7DnbkJrj6C5o1xyKfZ74"/>
            <filter val="https://drive.google.com/drive/folders/1TN7DNvVjm9IodNd7zGxMgJv452hS5sgs"/>
            <filter val="https://drive.google.com/drive/u/0/folders/1v10fEWbvxqlOKUkHgs71dn_jGiZCa-XA"/>
            <filter val="https://drive.google.com/drive/u/0/folders/1ZYDSl_4yiiSkaaUG8JVkJx0xons--ucq"/>
            <filter val="https://drive.google.com/drive/folders/1tctYGsfOcff2KmoQ9nWw4pJx3pmsLIiu"/>
            <filter val="https://drive.google.com/drive/u/0/folders/1uGx78doQJQEjY6VYsSjqWaTZ2InlgATT"/>
            <filter val="https://drive.google.com/drive/u/0/folders/1SkmrOUDBpURhUY_0ivaw2iu4Tk97Crfo"/>
            <filter val="https://drive.google.com/drive/folders/1sCYZYkq1oc6Db41BuQtSWx_yTxvuVhWU"/>
            <filter val="https://drive.google.com/drive/folders/1SNfeIaMz3mPI_zhd_x-Do4rRbW4hIgaw"/>
            <filter val="https://drive.google.com/drive/folders/12VNymFvmYEX23TyoqlB0eihdxmB1poov"/>
            <filter val="https://drive.google.com/drive/folders/1aN8A3HpsnuRg9GnuEIdMj4_bf_uKC1Zl"/>
            <filter val="https://drive.google.com/drive/folders/12-nQP-T5WKYu2XFKGVk8vBdKUTh_CBgP"/>
            <filter val="https://drive.google.com/drive/u/0/folders/16duXqCh5RySYlRn5JBwSzbX8OfU6G3LE"/>
            <filter val="https://drive.google.com/drive/folders/12eEj_FQpdkrNRLfDc50lgkIOCyFKLnMg"/>
            <filter val="https://drive.google.com/file/d/1iuF48m3Mvjd3nGdAEU3eoTd6Vlf57ZD0/view"/>
            <filter val="https://drive.google.com/drive/folders/19zPdJf-KuC2dzhycjIzn1deyJTgBO_Yh"/>
            <filter val="https://drive.google.com/drive/folders/1zhGRYKRkrqB5K3_-4g5HNkxhdIOaS-9r"/>
            <filter val="https://drive.google.com/open?id=1j8HM91d_xtyw2F-4dK350qZ7Oc3AMLh2"/>
            <filter val="https://drive.google.com/drive/folders/1hOFUKOSvw3ETOIlRHZbHRwjeP-Hst0hH"/>
            <filter val="https://drive.google.com/drive/folders/1d6jpUxzOuCyc-_ED3zNbCLk1HJRkOujo"/>
            <filter val="https://drive.google.com/drive/folders/1os17jCor7gWeZWhOOoiNb5aOkReLi_F2"/>
            <filter val="https://drive.google.com/drive/folders/1Gba7xTorZfxAsZq9IXzvfqQLWVy_Wh1_"/>
            <filter val="https://drive.google.com/drive/folders/1yKTcm8NWgCug8OU7MqQXmeZwf7P5DAkL"/>
            <filter val="https://drive.google.com/drive/folders/1840la6RuMEJ_DN9htvDWRzUEts4bcJsV"/>
            <filter val="https://drive.google.com/drive/folders/1qeDlp5Rnd5p1RhUn4jARWZYjqBQR2wgI"/>
            <filter val="https://drive.google.com/drive/folders/1SYH6Jr4_A6LNcUlCSuCc_WS-m4HZkU4r"/>
            <filter val="https://drive.google.com/drive/folders/1aII2S8aT7rHUTANbq9xIV4s6f84pSTwz"/>
            <filter val="https://drive.google.com/drive/folders/1bI0osWic68D9m5LhrNKYzWuoAM_Eq5Lb"/>
            <filter val="https://drive.google.com/drive/folders/1Ls4jRV2IdIvt_3YWRzSENiQ63jlsHCto"/>
            <filter val="https://drive.google.com/drive/folders/1ifC7brU4keQIJVjdd7ghfKzbHF7GAgoF"/>
            <filter val="https://drive.google.com/drive/folders/1KJeZ3e6FcLAw3t75daP6cP7Igh1aSCAI"/>
            <filter val="https://drive.google.com/open?id=11L3shaG9SIT4IB7eJNCWtLeP90nsYtPx"/>
            <filter val="https://drive.google.com/drive/u/0/folders/1S23SSsNEkRtidcIWW-W2DYgW-yYWqErM"/>
            <filter val="https://drive.google.com/drive/folders/19Qp-ngGZ4HHemH21JyaVjGwXIqI0xUzL"/>
            <filter val="https://drive.google.com/drive/u/0/folders/12-Qr1-reGo9XBmY2VdtH7dT8W-0YvO2n"/>
            <filter val="https://drive.google.com/drive/folders/1g-tnLqeXoFOpYKe4RwnGMIdNySVlq8_G"/>
            <filter val="https://drive.google.com/drive/u/0/folders/16Lq7KremRblAU77SHMWTiH_kLAspFbcZ"/>
            <filter val="https://drive.google.com/drive/folders/1S23SSsNEkRtidcIWW-W2DYgW-yYWqErM"/>
            <filter val="https://drive.google.com/drive/folders/1WfQ-BAXMq7YsZVAuQQug3wDSfaLu1TYZ"/>
            <filter val="https://drive.google.com/drive/folders/1OKBEWjXFPhf42y1De4ELVd6k1iPHa3LY"/>
            <filter val="https://drive.google.com/drive/u/0/folders/1CUmGWCI6F8LQB7eQr9kiESArVblWuVXx"/>
            <filter val="https://drive.google.com/drive/folders/17X7-2-Gjv3DogH-CdCBpTz7iu1OkwXm-"/>
            <filter val="https://drive.google.com/drive/folders/1GV-tl4uBAun-_G5yDU6ZRq6uZjthAXIF"/>
            <filter val="https://drive.google.com/drive/folders/1MtfDXyooI0nVbWvqXrcdX3OFlN1WJAoe"/>
            <filter val="https://drive.google.com/drive/folders/1lGKq_UIddESclnNQtlEkR82BdLD5YUJi"/>
            <filter val="https://drive.google.com/drive/u/0/folders/1XTI9LVhuOSVk7yWdXV-Tqve87svXcxC2"/>
            <filter val="https://drive.google.com/drive/folders/1LObWhZld8rVNIHms7wlweaceTNVQAUuq"/>
            <filter val="https://drive.google.com/drive/folders/1kiv8Dp-WrB4wfrlPo960_DldbwE-72cA"/>
            <filter val="https://drive.google.com/drive/folders/1OYhYXIKzPH7DnNhIXc2ORuf61b26Fvw5"/>
            <filter val="https://drive.google.com/drive/folders/1SR_HOWC04psOsp3gNzCwBiiZ18XsDiKd"/>
            <filter val="https://drive.google.com/drive/folders/1gdooiPpuXRquyOW2WMKSJSCdJoiIqcVW"/>
            <filter val="https://drive.google.com/drive/u/0/folders/13IScvlEnUU-MUZq0WdNYWCQN-K8f-RB2"/>
            <filter val="https://drive.google.com/drive/folders/1O1GXP9s-bQUxOT16YzKQBuxwv115twtc"/>
            <filter val="https://drive.google.com/open?id=1M6ZqvAaf0Y3t58EPKRiHJH-xE7bajGwr"/>
            <filter val="https://drive.google.com/drive/folders/1cryKeXDnrGUz4V6VinunUZFGAbWohM4O"/>
            <filter val="https://drive.google.com/drive/folders/10ihU_nTm1vU8dd89A8EHLr2rhu_ZTU6D"/>
            <filter val="https://drive.google.com/drive/folders/1vUpZRl_cS7HO1gabF9uSL_v_CJf5cqKG"/>
            <filter val="https://drive.google.com/drive/folders/1eUL6SYq5fi_pAFtnx3vXrEbq6ipTt73E"/>
            <filter val="https://drive.google.com/drive/folders/1a6_xg2wsEBlVdXeiLrtD0C41LacrPU0C"/>
            <filter val="https://drive.google.com/drive/folders/1He_cNW-53C69clU5Zw3fbUrTPnjEaT1M"/>
            <filter val="https://drive.google.com/drive/folders/1xcukzNsSpK0ZmG74B7GcV8LqDvzhnVIE"/>
            <filter val="https://drive.google.com/drive/folders/1u6c0gL0-a2IggkwmvkVWN6Eoux6u_i3u"/>
            <filter val="https://drive.google.com/drive/u/0/folders/1bdxOeY0MQMyEDB4UoeupbEDu7Cl0VptI"/>
            <filter val="https://drive.google.com/drive/folders/1bdxOeY0MQMyEDB4UoeupbEDu7Cl0VptI"/>
            <filter val="https://drive.google.com/open?id=1Js5H3z59qQHO-W67jJd_57G_NnX-Mssn"/>
            <filter val="https://drive.google.com/drive/folders/1pRVPGoP4G9_mL-yRVuczKs23GPw-QfT8"/>
            <filter val="https://drive.google.com/drive/folders/1WqurW8vEqoA2Drg9rKh27W9meJrcxl_L"/>
            <filter val="https://drive.google.com/drive/folders/1iUUlR1mBzerqhr7nHmQrMKvqs4ky3wK8"/>
            <filter val="https://drive.google.com/drive/folders/1aQmSuNd0AK9kgaJWfMioYlMqRkdo1SWp"/>
            <filter val="https://drive.google.com/drive/folders/19sDJNX5Huus2mj8Rd8FGJxXs8sDMDcb8"/>
            <filter val="https://drive.google.com/drive/folders/1JEIwHRXP4jeZbqVDgN-5EgA95Ijnf5pu"/>
            <filter val="https://drive.google.com/drive/folders/1Ud_vcx2mXW_j4e47qllgnTlBNPt-wvgx"/>
            <filter val="https://drive.google.com/drive/folders/1RpMz22EJVhb1QWqG-jX3BafiT9K-Iemv"/>
            <filter val="https://drive.google.com/drive/u/0/folders/1n4NsXQ56eh6LChvHbdZB7hLdK1YWPyDC"/>
            <filter val="https://drive.google.com/drive/folders/1UX1Mbq8v-NOAL29khLK13tQkW0igM5BC"/>
            <filter val="https://drive.google.com/drive/folders/1PLMhaTY0t4rsgTkReO5F_FgiWnH_kiAL"/>
            <filter val="https://drive.google.com/drive/folders/18Xhxmykj_yBLA2JA4nARMKW71CIkJQL2"/>
            <filter val="https://drive.google.com/drive/u/0/folders/1ZG6KzRFinSwNifh25WRbwspu69sss3bJ"/>
            <filter val="https://drive.google.com/drive/folders/15s-LbOntXoML4i_In4RgAQTiAtL82fyA"/>
            <filter val="https://drive.google.com/drive/folders/1x_x-kVu3Ihf654vWUpHx9FFy7xb-Gci1"/>
            <filter val="https://drive.google.com/drive/folders/1eCEJ5GTd2CGYAbt5WSy2lTgEugNlp-jX"/>
            <filter val="https://drive.google.com/open?id=1U-O0j9pbpvJHQGFAuXa3PpMqxuxpuwt4"/>
            <filter val="https://drive.google.com/drive/folders/1akQv0RCpEZ1_6qWswVSY9eZrBVB7obcG"/>
            <filter val="https://drive.google.com/drive/folders/1k43WD7UiyZceJhy8a9TLr0jZDF99bJot"/>
            <filter val="https://drive.google.com/drive/folders/1EPt6aX1_McbwpFjgdMlaQKbNqUsvuR-C"/>
            <filter val="https://drive.google.com/drive/folders/1XyRorIqfSB74cOV6t4NRipx6CMPUnifS"/>
            <filter val="https://drive.google.com/drive/u/0/folders/1d6jpUxzOuCyc-_ED3zNbCLk1HJRkOujo"/>
            <filter val="https://drive.google.com/open?id=1fP3LVDlhGaM3-O0RR3bJHDYClMVtPWlo"/>
            <filter val="https://drive.google.com/drive/u/0/folders/1mC0-syD_7fDVM829Labe3H04iAHtJGcr"/>
            <filter val="https://drive.google.com/drive/folders/17FbhkqnUd9dITrrnI4hyatXw8KTDDtsD"/>
            <filter val="https://drive.google.com/drive/u/0/folders/1os17jCor7gWeZWhOOoiNb5aOkReLi_F2"/>
            <filter val="https://drive.google.com/drive/u/0/folders/1O2l07vCj7NrJR2fYr2bKdcfyr2I8GPIy"/>
            <filter val="https://drive.google.com/drive/u/0/folders/1N1h4a0p8cFNaa7gHRzMjlXwS5rNB7W98"/>
            <filter val="https://drive.google.com/drive/u/0/folders/1TpmFFiZY8TjyeNNQLZRXWshMt6bp_rjH"/>
            <filter val="https://drive.google.com/drive/folders/1tIR_uXFm09nimDEPyy4cKvNdpoxF2tGW"/>
            <filter val="https://drive.google.com/drive/u/0/folders/1WuCjbtd5Sd7QhKOoV97gvMgrCjyQ9rAS"/>
            <filter val="Cancelled"/>
            <filter val="https://drive.google.com/drive/folders/1G5cMaP8HG3XlYUHfr1Efdf7iSmWg5WNa"/>
            <filter val="https://drive.google.com/drive/u/0/folders/1CAKMErFHlfoS_gs733qaCagbJD5lltxW"/>
            <filter val="https://drive.google.com/drive/folders/15TfbQlDkDAdiZM5T8UXVKiIWNCCpCmuJ"/>
            <filter val="https://drive.google.com/open?id=1PTH71kW2NN9jJAx0cer7qFN1GJKdco9-"/>
            <filter val="https://drive.google.com/drive/folders/1efYhJoG8VOFxrIzE_7tH8jwHZPqglSs8"/>
            <filter val="https://drive.google.com/drive/folders/1D7f1rmt68F5qxypDFFkEXAtUvuMmOOUw"/>
            <filter val="https://drive.google.com/drive/folders/13xKMykNyi-0pClROpz_d_iYixDhhaM9D"/>
            <filter val="https://drive.google.com/drive/folders/11wDqUplE4W5-25xB_slq5hWtmaKEeMa_"/>
            <filter val="https://drive.google.com/drive/folders/16bc7lDa31A9of-Y92cNbF0i662kY4-Br"/>
            <filter val="https://drive.google.com/drive/folders/1qYbXi5vl24SvlxFVrg-ev5pOZYF8N4wT"/>
            <filter val="https://drive.google.com/open?id=1huL-GfeSJRY5Mo_am3dYlja1eTxr4gy3"/>
            <filter val="https://drive.google.com/drive/folders/1fz1Y5NGSSUL-qVMVDoP9kM2pwTJf1MNL"/>
            <filter val="https://drive.google.com/drive/u/0/folders/1RxTatyV5hRKtJaFsKu-1eydCNLSE00HJ"/>
            <filter val="https://drive.google.com/open?id=1CRgjkGu2gvd4_E7piq8MLBJgk2HvINOK"/>
            <filter val="https://drive.google.com/drive/folders/1tXvWBfsJ9Sd2XhhGodvEmKtMeJUb3Mm6"/>
            <filter val="https://drive.google.com/drive/folders/13AliuzNaRtT3nzvB8lWh00R3P2ucv9il"/>
            <filter val="https://drive.google.com/drive/folders/1W8lZGst7iOVc6Ujs6ksvfqPXNZ55L_Wg"/>
            <filter val="https://drive.google.com/drive/folders/1UsuAUek2x4HDJiVi5-oO52rX3GyGG5oD"/>
            <filter val="https://drive.google.com/open?id=1ZwvS-zbtKTOMM_voZRErd3Oo7t2hKvos"/>
            <filter val="https://drive.google.com/drive/folders/12c5_ndEKICu6R16p41NI2znvB9xm6A6K"/>
            <filter val="https://drive.google.com/drive/folders/1ZLJ6DK7UituGJC66eP-6SlF6nMfvTvpd"/>
            <filter val="https://drive.google.com/drive/folders/12VlrMobJhZ6CTTLaFSQh8bQKT_JdOBqO"/>
            <filter val="https://drive.google.com/drive/folders/1fMYnhsbGMY1NR4--__54ebfJ_XqcLk6H"/>
            <filter val="https://drive.google.com/drive/folders/1W6bCaXBPH2vXvKkLviVVPXXEtVEKWTXe"/>
            <filter val="https://drive.google.com/drive/folders/1GEBBPxPzwodnTFkCYTM0k6yshdeZFoxC"/>
            <filter val="https://drive.google.com/drive/folders/1hxSBEet3ljw08X_k9lSNixO-iyv_Wowp"/>
            <filter val="https://drive.google.com/drive/u/0/folders/1AZKjPI79gQ3avYG72zIdIWxeYCM3IbNZ"/>
            <filter val="https://drive.google.com/drive/folders/1XMsFdptYgSNH6Xyulmylf7pdG9VRdpyR"/>
            <filter val="https://drive.google.com/drive/folders/1_5C1G7tkT7GbmHQuEW63E2aNu7s5ux4C"/>
            <filter val="https://drive.google.com/drive/folders/1zR8iBc_Q7gZ5ndcuGrsXMmVuh2-Xx3SO"/>
            <filter val="https://drive.google.com/drive/u/0/folders/1dNicnbBrrwOhLanaxpEkGdEYv6w0UmZI"/>
            <filter val="https://drive.google.com/drive/folders/1kFhq4jmrz7sVMrwSJ0pvOsdKICO0BxOZ"/>
            <filter val="https://drive.google.com/drive/folders/1NPFtFwqbjJ0jihWqmPClLKWxgRT-uh_4"/>
            <filter val="https://drive.google.com/drive/u/0/folders/1iyKHTdkO816utNTe7jUBEgU5mEmJ7QYp"/>
            <filter val="https://drive.google.com/drive/folders/1WA_MQf2HU84CgsiX9zk1Cj-InYGwDjVI"/>
            <filter val="https://drive.google.com/drive/folders/1GBNRD0mm0McTIhcBFOXHxc9T95Kgsn89"/>
            <filter val="https://drive.google.com/drive/folders/1mdpZ70MVRJ3v8NU7WC2RnRhWUiF0vpaX"/>
            <filter val="https://drive.google.com/drive/folders/1sG3VS00YxfQa6lUI5tmVqd2rgBvUAiWV"/>
            <filter val="https://drive.google.com/drive/folders/1PlIZnlEyHzjk518gfmS__2WzgMjERS4r"/>
            <filter val="https://drive.google.com/drive/folders/1_fOeZVVWNtrZbJGfHX6yeZg_c1asABQA"/>
            <filter val="https://drive.google.com/drive/folders/1nJzaG9zj2B_ok6TMIjwfeem4pCyGBcTd"/>
            <filter val="https://drive.google.com/open?id=1El-0B5Tl-Kpf6baGoX3sNo49pKEvYqmH"/>
            <filter val="https://drive.google.com/drive/folders/1Cl8xWVAdbPfbXQ_nuLYm2jjuOgC0Gj6z"/>
            <filter val="https://drive.google.com/drive/folders/1YHAYXKxTocpVYfQ_wn8AZog-dBbMXTNI"/>
            <filter val="https://drive.google.com/drive/folders/1LtQbUDMFiZOLXIh2ZnbCsDqNqq0rrjdg"/>
            <filter val="https://drive.google.com/drive/folders/1P5FTARyi548foqTMC_neRe-EISJgWN6x"/>
            <filter val="https://drive.google.com/drive/folders/1zk8f-65Et3x2832zH9WE91rK-Ms1EFBY"/>
            <filter val="https://drive.google.com/drive/u/0/folders/1PYeUYByANYuOWEQmiSqbMH-fEbUg3hQV"/>
            <filter val="https://drive.google.com/drive/u/0/folders/1uW1AsP--W2bY2Sh014mW4OXD25LW31mY"/>
            <filter val="https://drive.google.com/drive/folders/1FJFSnaWJYbTZqoKzQFJAyejXRi1aD9DJ"/>
            <filter val="https://drive.google.com/drive/folders/1oSZ0y2NO0v8x0zBUBInQOXtXwNfn-Iqb"/>
            <filter val="https://drive.google.com/drive/folders/1Rba3un6w02r53Ov-73FxsM89xj6bR1AI"/>
            <filter val="https://drive.google.com/drive/folders/194jPRJtygqA0JDrJOqg_U91xXXF0cfnV"/>
            <filter val="https://drive.google.com/drive/folders/1WtSD-kt6DSyOyQaQ4ESWdRbbBszuc0CK"/>
            <filter val="https://drive.google.com/drive/folders/1WzIuKv8UHAhfwZKuewh5tMG3apuYySh1"/>
            <filter val="https://drive.google.com/drive/u/0/folders/1cbArxMenmlgdix4Q4Bl0OYlP4YEzmXhJ"/>
            <filter val="https://drive.google.com/drive/u/0/folders/19tCxe3_oEojQXg_EQUtW0r47vRjdS3h8"/>
            <filter val="https://drive.google.com/drive/u/0/folders/1O_PzFy_uNyFAc8L4eZyGZNqCKYpuEVjd"/>
            <filter val="https://drive.google.com/drive/folders/1Djh6MOQwOkMTHHSgCfzDbdfvbGdrT-iZ"/>
            <filter val="https://drive.google.com/open?id=1INRDbIVHzGy0bZoGVSgoZkYfczhAmdGt"/>
            <filter val="https://drive.google.com/drive/folders/1h-2GyZUn32YnNEmrXqJMTWg8-6FeutxW"/>
            <filter val="https://drive.google.com/drive/folders/1A2yyiqAnKw0B5VoGJ3vh-V8NF3ZFUuRj"/>
            <filter val="https://drive.google.com/drive/folders/1pQJeTjmg88ID5GV13D1CCs_oRpp8ZpUm"/>
            <filter val="https://drive.google.com/drive/folders/12GQUtEWRLu9vieEp-yYlq8fxi-2enGjY"/>
            <filter val="https://drive.google.com/drive/folders/1EqQQZk9iC1IXyBrTuWspd6UuaGd7joMv"/>
            <filter val="https://drive.google.com/drive/folders/1GUMQTka_XsFVV0ez2BoAyy5dptzTThWv"/>
            <filter val="https://drive.google.com/drive/folders/1aZMO2n9569MQjZ87oVRYgRbSYRCrIWtg"/>
            <filter val="https://drive.google.com/drive/folders/1S-esJ8uDgxV015C2rYpEb5ljvc2ej5Zz"/>
            <filter val="https://drive.google.com/drive/u/0/folders/1rSgySWSMKK5hAnC8iHZMFe_AXmCE_KqK"/>
            <filter val="https://drive.google.com/file/d/1-E2uvTen0Lb7nLueOau1lAsISMfZCH7y/view"/>
            <filter val="https://drive.google.com/drive/folders/1CKpXVyIZbeYdOVbZcV9xv0F5Wc50I5qP"/>
            <filter val="https://drive.google.com/drive/folders/1XsSTB2rBOOUgMfpCuJddf7f89lpvs2Xd"/>
            <filter val="https://drive.google.com/drive/folders/1chXxL63dH6olZ--wMXvvNLT7dR9wZ62H"/>
            <filter val="https://drive.google.com/drive/folders/1u7XVmy2HlVh2BtFIqf9C1lEBY_sb5x--"/>
            <filter val="https://drive.google.com/drive/folders/1TMZuxfn7YWI5wJGcQ_xdp1kDMCq8x2ii"/>
            <filter val="https://drive.google.com/drive/u/0/folders/1D1u9Pd_pk8erBxOnvDIGMs1Ka7kRwheR"/>
            <filter val="https://drive.google.com/drive/folders/19QIrwqQvEru45qhy7Zjdx5Gf8Tz32HCR"/>
            <filter val="https://drive.google.com/drive/folders/1NW4MoQtFR2q4nqSDkgtm82gYNDzXrN0M"/>
            <filter val="https://drive.google.com/drive/u/0/folders/19Ea31UxT2bPLaXMt9lqM-CeH48JX1jFo"/>
            <filter val="https://drive.google.com/drive/folders/1BqkVklha0kH9wIp8IfyEgiWHaK3juq5z"/>
            <filter val="https://drive.google.com/drive/folders/1vnII9hp2XGwEumpb-m_A3swkLAPQNOce"/>
            <filter val="https://drive.google.com/drive/folders/1lOgjXiCahXVZYynpmWc8KcIfEXCPwBks"/>
            <filter val="https://drive.google.com/drive/folders/1HxQflYQmkDxwzYyWzvwz7SwLgCQnHret"/>
            <filter val="https://drive.google.com/drive/folders/1GGOY8ZPEtV0S87EV3qJcPcvQTxEE_EPI"/>
            <filter val="https://drive.google.com/drive/u/1/folders/1GeCO3wRbFjHOR1NHW19jsG2VFVh-MOHX"/>
            <filter val="https://drive.google.com/drive/u/3/folders/1ZOcv6ailXwPhNkINfxWpTs-PtRksqZQC"/>
            <filter val="https://drive.google.com/drive/folders/1sKwJk3Rnv_Zt2K1_VEnBaYtNGCPeeWp6"/>
            <filter val="https://drive.google.com/drive/folders/1fnL5dSZANbr3Opxhu5gDoY4YpzgMnbGr"/>
            <filter val="https://drive.google.com/drive/u/0/folders/1SCXM4mY60kFXHD2jwZwlZE_b6InCLf-m"/>
            <filter val="https://drive.google.com/drive/folders/1xs1NJyMwXvMC4fjxhz0YbLSWQG60qxZc"/>
            <filter val="https://drive.google.com/drive/folders/1hCMRvw9XyYDzSzQb4W8w1-_WFF13gqeY"/>
            <filter val="https://drive.google.com/drive/folders/1pHj2EJYRtYSSzn4ucBt2apgEpxqpoD2x"/>
            <filter val="https://drive.google.com/drive/folders/14Y0D4OKS0h62kbUP4UIkD66SgAMzMrpP"/>
            <filter val="https://drive.google.com/drive/u/0/folders/1ti4RekkGHfxgT64FuCQAKz2VIgWBA1wy"/>
            <filter val="https://drive.google.com/drive/u/0/folders/1Gba7xTorZfxAsZq9IXzvfqQLWVy_Wh1_"/>
            <filter val="https://drive.google.com/drive/folders/10zs0MB4aXAsln3e3-CdZOeC-NNBJ68Cj"/>
            <filter val="https://drive.google.com/open?id=1vvDsLsRyKX8map4Lfy6RbW9fHlMoxk15"/>
            <filter val="https://drive.google.com/drive/folders/13djFIvDrS9chTKngfdxc41i1fdygA5Ka"/>
            <filter val="https://drive.google.com/drive/folders/1A-N_PlCuKz8gvw3Rj3BHCey2CIHchynF"/>
            <filter val="https://drive.google.com/drive/folders/13IScvlEnUU-MUZq0WdNYWCQN-K8f-RB2"/>
            <filter val="https://drive.google.com/drive/folders/1jdpu82KO4p7wLL4juSqHlAiO2EvaDcup"/>
            <filter val="https://drive.google.com/drive/folders/1bl9t334-vgpfP3KM5DyB-4eFy-s_Mk7L"/>
            <filter val="https://drive.google.com/drive/folders/1mluUWS2mgTB3s0kukVhnMN5UruB1lplh"/>
            <filter val="https://drive.google.com/drive/u/0/folders/1w_pS4aBT95yr0XFkhL9zSCkskkTMZVpX"/>
            <filter val="https://drive.google.com/drive/folders/1qvJvOXvSWA6TwzWg2tEglNiZBqaGUim5"/>
            <filter val="https://drive.google.com/open?id=1a-zJHq9YzB0fbSkvjo2sMFPDm_MF-P3v"/>
            <filter val="https://drive.google.com/drive/folders/1QAdu8yvOkaBKrmJS_0nS7UDrNT1-47bT"/>
            <filter val="https://drive.google.com/open?id=1lwXOlwbj3fjJ-rDG6z1Jf_5N5Z1KzFPW"/>
            <filter val="https://drive.google.com/drive/folders/1g6XLRxK1qC1LNdTQMix6mkK4WOIkVGKS"/>
            <filter val="https://drive.google.com/open?id=1LnHlNBmi1X9TzkgkbnWATpUo6ShFizDA"/>
            <filter val="https://drive.google.com/open?id=10gFU8Ix5tpUyDyEBngjfcgCZT2aoKIPU"/>
            <filter val="https://drive.google.com/drive/folders/1x5MlKV-KOK5tOSSaCrgoD35zvzD2a41M"/>
            <filter val="CANCELLED"/>
            <filter val="https://drive.google.com/open?id=1ho0d0wqoVl2ZfmUqm-5xL6GQ7HBU5_Bs"/>
            <filter val="https://drive.google.com/drive/folders/1dtGmiCaIjRwNwBwYHXSgD5W0JSmHYCMy"/>
            <filter val="https://drive.google.com/drive/folders/1ElcmahmvKsCGJ3pUMlG77iWXE_kX_31T"/>
            <filter val="https://drive.google.com/file/d/1LIkcL7cud_2sFj7LnftmeC3TTcfJPFJ3/view"/>
            <filter val="https://drive.google.com/drive/folders/1uDNm0N3FqUjblhtLWylMZMNMEZR4jL9P"/>
            <filter val="https://drive.google.com/open?id=1xM9EQWb-q7dGBtI_d_PwduDPVBdTpjPD"/>
            <filter val="https://drive.google.com/drive/folders/1vPhs8aKQG6qnQrG5jg0axGQG_qyXQph9"/>
            <filter val="https://drive.google.com/drive/folders/1wEDdSckf5cRMW94q4Tat_3cjVTQes0vY"/>
            <filter val="https://drive.google.com/drive/folders/1mNUvGN_KXaVYIE4mlzLQs0lRvArlqDKQ"/>
            <filter val="https://drive.google.com/drive/folders/1H3RQMawr4RDqgb97WfdG1m2aLXkZaZg4"/>
            <filter val="https://drive.google.com/drive/folders/1UWUrc62wst2Ccjrj6r0EPzKgrbuA9bom"/>
            <filter val="https://drive.google.com/open?id=1ugYNe_DHVgcslwlhS5IxTf7b7RXQ6-sY"/>
            <filter val="https://drive.google.com/drive/folders/1B8vmQkemclK8ZJssfBkre3lChe3ExRGi"/>
            <filter val="https://drive.google.com/drive/folders/1iavbDA1SrLg6yTkDwqRtE1U8sBflFyV4"/>
            <filter val="https://drive.google.com/drive/u/0/folders/1cTwVlyhfH3XyqFsa4CfFAYHYaUfHXBFB"/>
            <filter val="https://drive.google.com/drive/u/0/folders/11GJeAyZSrp1JnBc4vhom7mKZhF1V4fZi"/>
            <filter val="https://drive.google.com/drive/folders/1ABic8Df7oHp2FkyZxnvd1WWBN2-ZGSx-"/>
            <filter val="https://drive.google.com/drive/folders/1wmrOYdNyEvigaHNigHBIUWgp67x6dQkD"/>
            <filter val="https://drive.google.com/drive/folders/1WufHF1TF4Xq0UDn77YOHQA72DO-2HY3p"/>
            <filter val="https://drive.google.com/drive/u/0/folders/1XJZiWF2aKS4yo4J1xsQA6mTUQS-RYo9-"/>
            <filter val="https://drive.google.com/drive/folders/1VLXmw6nyPGMkVgVoSbefrsXMjiIQaGr2"/>
            <filter val="https://drive.google.com/drive/folders/1M2-LKY6fJbnKcjqIy_aXphRvd_fFz4Qy"/>
            <filter val="https://drive.google.com/drive/folders/1vf97UoZxQp_dBBc3iz-WwjPALD-JF2GA"/>
            <filter val="https://drive.google.com/drive/folders/1mOC32ljJfT0Ohxi-GplS-jK_U2LPble6"/>
            <filter val="https://drive.google.com/drive/folders/1hzaCAmg1Kb12agcywirpw_QEJA8dwtPF"/>
            <filter val="https://drive.google.com/drive/folders/12WYsgt5jSbHzvXqKptQ4RdW2TvkDSboB"/>
            <filter val="https://drive.google.com/drive/folders/1zYvUHikZ8dQb1o_iO9SWBvw6-3RVwzBz"/>
            <filter val="https://drive.google.com/drive/u/0/folders/10fHLG4UqPsBCm8b-WoOBLCePTN-FMrQW"/>
            <filter val="https://drive.google.com/drive/folders/1ImXRFXE-z4ngbaO3QOCIraaXgpAchNPp"/>
            <filter val="https://drive.google.com/drive/folders/10lSFtGfU_wqJOgTnLdOfGqP6YdR0U9S_"/>
            <filter val="https://drive.google.com/drive/folders/1H8yLdaNfMuBQz2uBIn4Yq1k6WSIsVHr3"/>
            <filter val="https://drive.google.com/drive/folders/1kZBG4GxIa3HlGdiFFQYf5T4WqliwxRRp"/>
            <filter val="https://drive.google.com/drive/folders/1cqQsBrrJKxX-sIvg6rOp9ZAg6YaW9mvN"/>
            <filter val="https://drive.google.com/drive/u/0/folders/1JeX0vqkcb9fMu1QCZqU2g2PLOQWetvkr"/>
            <filter val="https://drive.google.com/drive/u/0/folders/1GevhjU7M5DzWaatEaMUPlcPf_OZkksW3"/>
            <filter val="https://drive.google.com/drive/folders/1ws2K4nqShPkCa1bEzsJojpwbe8tHR9S5"/>
            <filter val="https://drive.google.com/drive/u/0/folders/1MDYK1pMWo6LMr2QKeioqejoar37q9O86"/>
            <filter val="https://drive.google.com/drive/folders/1Y8MEg5G9UfErc_AnTdBcPQkTmRwTirjO"/>
            <filter val="https://drive.google.com/drive/folders/1DWjY7qaPmvIHzAbGvHuUewFevugaM8mu"/>
            <filter val="https://drive.google.com/drive/u/0/folders/1tJC0oPgouiNXHifG_8mnpmfjQ27eh6S6"/>
            <filter val="https://drive.google.com/drive/u/0/folders/1V3ILONswDF9Y2fBEoeW_uXwETG6B5fov"/>
            <filter val="https://drive.google.com/drive/folders/1ik-_9-vQN-YoXTA19KNqXjzK70AyMJ8V"/>
            <filter val="https://drive.google.com/drive/u/0/folders/1yXwQ5yF33ijGhCzNm0WHzaUXEM3X-RRX"/>
            <filter val="https://drive.google.com/drive/u/0/folders/15g4g-KFnkLhQhi-0Ovc3BC8yc3tdH7A9"/>
            <filter val="https://drive.google.com/open?id=13K0NtCyP1lDpQzG1QMuSAuOxBAWDVONn"/>
            <filter val="https://drive.google.com/drive/folders/1l847Hm7rsJwcebEvPRjTrWv3JYrWiAcY"/>
            <filter val="https://drive.google.com/drive/folders/1Erp8WAmovG4p2v2E46Ph4pwufYvyCWlC"/>
            <filter val="https://drive.google.com/drive/u/0/folders/1TD4wvT9gYjovTq9lKwgUrPlF6SKuIwz6"/>
          </filters>
        </filterColumn>
      </autoFilter>
    </customSheetView>
    <customSheetView guid="{073C060A-6C36-4B6F-B52D-14C5B2FC2F76}" filter="1" showAutoFilter="1">
      <autoFilter ref="$A$1:$AD$3000">
        <filterColumn colId="8">
          <filters>
            <filter val="Laundry Day3_12PM"/>
            <filter val="50 shades of tech"/>
            <filter val="40 words #"/>
            <filter val="Nailing social media in the lockdown"/>
            <filter val="ch 1 - To pay or not to pay: What content should be free"/>
            <filter val="Welcome to Collision from Home"/>
            <filter val="Teaser: Margaret Atwood"/>
            <filter val="The death of disease?"/>
            <filter val="Hoop Dreams: Meet the NBA stars turned entrepreneurs"/>
            <filter val="How to win the US presidency"/>
            <filter val="Fundraising during a global pandemic"/>
            <filter val="Is education on the cusp of a revolution?"/>
            <filter val="Make car ownership cool again"/>
            <filter val="From around the world to home BÉIS"/>
            <filter val="Partner Adroll #5_AWS"/>
            <filter val="Tech and transparency in the branding era"/>
            <filter val="The ethics of sales during Covid-19"/>
            <filter val="Talk Intro (Decreased in order to allow for overrun in talk duration)"/>
            <filter val="Teaser: Alexa_Intro"/>
            <filter val="Why you should start a company in a recession"/>
            <filter val="Bouncing back: The new normal for sport"/>
            <filter val="PITCH semi-final round 3 of 3"/>
            <filter val="How Canada can restart its startup ecosystem"/>
            <filter val="Long live the kings of sports and media"/>
            <filter val="40 Words #8 _Orai"/>
            <filter val="New startup wisdom: Goodbye vitamins, hello cocktails"/>
            <filter val="Economic uncertainty or opportunity? The story of Shift"/>
            <filter val="RISE trailer"/>
            <filter val="In depth: Nikolaj Coster-Waldau"/>
            <filter val="Partner ad - TD Bank"/>
            <filter val="The future of tech in a post Covid-19 world"/>
            <filter val="MTS_10_Advice"/>
            <filter val="Teaser: YouTube_Intro"/>
            <filter val="Cross-border payments: Tackling a moving target"/>
            <filter val="Exploring the Covid-19 narrative in global news"/>
            <filter val="Partner ad - York Region"/>
            <filter val="How to Thrive in the next normal"/>
            <filter val="Nurturing a legend: 40 years of Pac-Man"/>
            <filter val="Ambient technology"/>
            <filter val="Meet a past PITCH winner: Chelsea Briganti"/>
            <filter val="Facetune: Is AI making us more creative?"/>
            <filter val="Teaser: LinkedIn_Intro"/>
            <filter val="Teaser: PepsiCo_Intro"/>
            <filter val="In depth: Emily Oberman"/>
            <filter val="Teaser: LinkedIn"/>
            <filter val="Partner logos"/>
            <filter val="Hack from Home"/>
            <filter val="CH 1- Does a recession breed innovation?"/>
            <filter val="Laundry Day2_10AM"/>
            <filter val="The importance of mindfulness in light of Covid-19"/>
            <filter val="Teaser: Arm"/>
            <filter val="Teaser: Samsung_Intro"/>
            <filter val="The role of the CMO in a crisis"/>
            <filter val="Tech transforming sports"/>
            <filter val="Partner Adroll #4 - ASSIGNED TO PITCHBOOK"/>
            <filter val="Will sports ever be the same?"/>
            <filter val="How to bust the post-Covid recession"/>
            <filter val="Teaser: Boston Dynamics"/>
            <filter val="Time to ditch the Silicon Valley way?"/>
            <filter val="CH2: Impact investing for resilient communities"/>
            <filter val="LL Cool J rocks the bells"/>
            <filter val="In depth: Gretchen Carlson"/>
            <filter val="Teaser: Samsung"/>
            <filter val="The power of entrepreneurship"/>
            <filter val="Teaser: Paris Hilton"/>
            <filter val="Betting on storytelling"/>
            <filter val="CH2: Investing in Europe post-pandemic"/>
            <filter val="Do we really need offices? A workplace story"/>
            <filter val="Teaser: Netflix_Intro"/>
            <filter val="Teaser: Tencent &amp;. Ailish Campbell_Intro"/>
            <filter val="Partner Adroll # 5 - CITY OF LISBON"/>
            <filter val="CH2: Plates and the planet: How to eco-feed the world"/>
            <filter val="Building a better internet in the shadow of a pandemic"/>
            <filter val="Talk Outro - KEEP"/>
            <filter val="What makes a good logo?"/>
            <filter val="RISE Trailer"/>
            <filter val="In depth: Editors' roundtable"/>
            <filter val="Laundry Day2_11AM"/>
            <filter val="Digital health privacy in a pandemic"/>
            <filter val="Teaser: Paris Hilton_Intro"/>
            <filter val="Partner Adroll #2_Ontario Government"/>
            <filter val="In depth: Nicola Kilner"/>
            <filter val="How to beat diabetes"/>
            <filter val="Finance will never be the same again"/>
            <filter val="Covid-19: Overcoming the CX Challenge"/>
            <filter val="CH 3 - The cost of health: Insurtech in a pandemic"/>
            <filter val="Tech, governance and the fate of society as we know it"/>
            <filter val="The role of tech in a post-Covid world"/>
            <filter val="Responsible messaging during a pandemic"/>
            <filter val="40 Words #"/>
            <filter val="Laundry Day1_11AM"/>
            <filter val="Collision From Home Day Intro Video"/>
            <filter val="Building the health brand of the future"/>
            <filter val="Teaser: PepsiCo"/>
            <filter val="Teaser: Shay Mitchell_Intro"/>
            <filter val="Answering the Call of Duty"/>
            <filter val="Will the money dry up post Covid-19?"/>
            <filter val="40 Words #6 _Query Layer"/>
            <filter val="City of Toronto"/>
            <filter val="CH 1 - Are circular cities safer?"/>
            <filter val="The health game changer: Democratizing lab testing"/>
            <filter val="In depth: John Chambers"/>
            <filter val="How to cover big tech"/>
            <filter val="From Olympic hopeful to high-stakes poker"/>
            <filter val="40 Words #4 _Northflank"/>
            <filter val="Consumer data post-Covid"/>
            <filter val="MC Outro"/>
            <filter val="Leading through Covid-19 and beyond"/>
            <filter val="Teaser: Facebook CRO _Intro"/>
            <filter val="Teaser: Paypal_Intro"/>
            <filter val="An investment model for the 'crisis climate'"/>
            <filter val="Zoom with a difference: Ben Goertzel and Philip K Dick"/>
            <filter val="MTS_9_Advice"/>
            <filter val="Teaser:Slack"/>
            <filter val="In depth: Anthony Scaramucci"/>
            <filter val="Tedros Adhanom Ghebreyesus on Radio Collision"/>
            <filter val="Margaret Atwood on Radio Collision"/>
            <filter val="Teaser:  Nikolaj Coster Waldau_Intro"/>
            <filter val="Get radically personal"/>
            <filter val="CH2 - Leading outside the box"/>
            <filter val="LaundryDay2_12pm"/>
            <filter val="Elections in a post-Covid world"/>
            <filter val="Ambient intelligence: The next frontier for AI"/>
            <filter val="RISE promo"/>
            <filter val="Teaser: Box"/>
            <filter val="MC intro"/>
            <filter val="In depth: Gilberto Silva"/>
            <filter val="Laundry Day3_4PM"/>
            <filter val="ch 3 Kubernetes: Seed to a universal control plane"/>
            <filter val="Revolutionizing employee healthcare"/>
            <filter val="Rise Trailer - short"/>
            <filter val="Progressive delivery"/>
            <filter val="CH 1-The state of cannabusiness"/>
            <filter val="Partner ad - Pitchbook"/>
            <filter val="Web summit promo"/>
            <filter val="Teaser: Laurent Duvernay-Tardif_Intro"/>
            <filter val="Uber Eats: What happens post-lockdown?"/>
            <filter val="Retail is dead. Long live retail!"/>
            <filter val="Making it real. (Fast.)"/>
            <filter val="The new rules of VC fundraising"/>
            <filter val="Partner Adroll #7 - Hyundai"/>
            <filter val="In depth: Brian Collins"/>
            <filter val="CH2 - It's all about the story"/>
            <filter val="Teaser: Huda Beauty"/>
            <filter val="In depth: Molly Bloom"/>
            <filter val="web Summit promo"/>
            <filter val="Emerging AI applications and innovations"/>
            <filter val="Building a new (design) culture"/>
            <filter val="The future of photography"/>
            <filter val="Speaker intro"/>
            <filter val="Teaser: Call of Duty"/>
            <filter val="Here to health: Fighting an infodemic"/>
            <filter val="CH 1 - Investing through the chaos"/>
            <filter val="Counting sleep"/>
            <filter val="Developing robotics from your room"/>
            <filter val="The Lion's Share: Protecting our endangered species"/>
            <filter val="Music tech that makes you move"/>
            <filter val="Speaking truth to power"/>
            <filter val="Do robots understand pandemics?"/>
            <filter val="The future of Lime"/>
            <filter val="CH 1- The fate of retail lies with the consumer"/>
            <filter val="Design as a multiplayer game"/>
            <filter val="Teaser:Slack_Intro"/>
            <filter val="Teaser: Call of Duty_Intro"/>
            <filter val="Talk Outro - Q&amp;A MENTION"/>
            <filter val="Web Summit Trailer - short - HAS TO STAY AS A WS TRAILER"/>
            <filter val="3 things that break during hyper-growth"/>
            <filter val="The Gronkowski's guide to building a business empire"/>
            <filter val="Get younger as you age"/>
            <filter val="Inside a news powerhouse"/>
            <filter val="In depth: Josh Luber"/>
            <filter val="40 words  #2_Webiny"/>
            <filter val="Dawn Ostroff on Radio Collision"/>
            <filter val="The world works from home"/>
            <filter val="Trends in the data: Cannabis"/>
            <filter val="The art of exploration"/>
            <filter val="Spending in 2020"/>
            <filter val="What makes TikTok different"/>
            <filter val="Teaser: Brad Smith"/>
            <filter val="One-size-fits-none: Why CRM is no longer enough"/>
            <filter val="Connecting the DoTs"/>
            <filter val="Government and business: Addressing global challenges"/>
            <filter val="This was tomorrow. What's next for your brand?"/>
            <filter val="The science of elite performance"/>
            <filter val="In conversation with Margaret Atwood"/>
            <filter val="Teaser: Arm_Intro"/>
            <filter val="How can we save lives with seaweed?"/>
            <filter val="Paris Hilton on Radio Collision"/>
            <filter val="Pragmatism beats privacy"/>
            <filter val="Inside the New York Times"/>
            <filter val="CH 1-What can data do in a crisis?"/>
            <filter val="CH 3 Sowing the seeds of recovery"/>
            <filter val="Leading BuzzFeed through Covid-19"/>
            <filter val="The democratisation of AI"/>
            <filter val="Teaser: Huda Beauty_Intro"/>
            <filter val="Business builders: Life off the court"/>
            <filter val="Teaser: Netflix"/>
            <filter val="In depth: Ali Rezai"/>
            <filter val="Teaser: Alexa"/>
            <filter val="ch -1 Grit city: How tough is New York's startup scene?"/>
            <filter val="The power of AI and voice post-pandemic"/>
            <filter val="How to win the digital news war"/>
            <filter val="Building human connection with emotion AI"/>
            <filter val="Teaser: Spotify_Intro"/>
            <filter val="Teaser:  Nikolaj Coster Waldau"/>
            <filter val="Talk Outro - Q&amp;A Mention"/>
            <filter val="Digitally transforming a brand empire"/>
            <filter val="Talk Outro - LENGTH INCREASED TO BALANCE OUT THE HOUR"/>
            <filter val="RISE trailer - short"/>
            <filter val="Can psychedelics rebuild your brain?"/>
            <filter val="Partner ad - Startup Portugal"/>
            <filter val="CFH Intro Video"/>
            <filter val="Startups everywhere navigating the future of work"/>
            <filter val="40 words #1 _Forecast"/>
            <filter val="Partner Logo Reel #2"/>
            <filter val="Do we need a new global economic system?"/>
            <filter val="Teaser: Shaq"/>
            <filter val="Investing through the chaos"/>
            <filter val="Technology’s subservience to culture"/>
            <filter val="40 Words #9_Cuckoo"/>
            <filter val="Partner Adroll #5_TD Bank"/>
            <filter val="Travel in a time of no travel"/>
            <filter val="Love and dating during lockdown"/>
            <filter val="Title tbc"/>
            <filter val="The big picture: What's next for Canada?"/>
            <filter val="From the frontlines of cybersecurity"/>
            <filter val="CH4: The marketing plays you need to know about"/>
            <filter val="It's all about the story"/>
            <filter val="Recession proofing your company with UI and UX"/>
            <filter val="Pitch Finalists announced"/>
            <filter val="The future we choose"/>
            <filter val="RISE Trailer - short"/>
            <filter val="Teaser: Facebook CRO"/>
            <filter val="In depth: Rick Ridgeway"/>
            <filter val="Optimism is a choice"/>
            <filter val="A smart energy grid in the lockdown era"/>
            <filter val="Hope Solo: Building a better America"/>
            <filter val="Modern toolkit for remote teams"/>
            <filter val="Announcing PITCH winner"/>
            <filter val="Are smart cities safer?"/>
            <filter val="5G and accelerating the fourth industrial revolution"/>
            <filter val="Guilt-free binge watching"/>
            <filter val="Reshaping healthcare delivery"/>
            <filter val="Surviving hibernation through innovation"/>
            <filter val="40 Words #10_Brightlobe"/>
            <filter val="Building a community-first business empire"/>
            <filter val="A message  from the World Health Organization"/>
            <filter val="Talk Intro"/>
            <filter val="Teaser: Brad Smith _Intro"/>
            <filter val="Humanizing mobility and innovation"/>
            <filter val="Is it possible to unite a remote team?"/>
            <filter val="Design your reinvention"/>
            <filter val="Does journalism need a tech rescue?"/>
            <filter val="40 Words #11_Recroot"/>
            <filter val="Keeping communities healthy and happy"/>
            <filter val="Teaser: AriannaHuff"/>
            <filter val="Separating hype from true change"/>
            <filter val="Talk Outro"/>
            <filter val="Health for all, hunger for none – how AI can help"/>
            <filter val="To scale or not to scale, and how?"/>
            <filter val="40 words #15_Pawlytics"/>
            <filter val="SaaS &amp; remote-centric culture"/>
            <filter val="How will gen Z shape the future of legacy businesses?"/>
            <filter val="Feature film in a post-Covid world"/>
            <filter val="What would you do? The ethics of fighting COVID"/>
            <filter val="In depth: The Future of Sport"/>
            <filter val="CLOSE"/>
            <filter val="meet the past pitch winner: Torch.io"/>
            <filter val="How to manage growth"/>
            <filter val="Talk outro -KEEP"/>
            <filter val="Innovative materials"/>
            <filter val="Privacy in a time of crisis"/>
            <filter val="In depth: Sid Sijbrandij"/>
            <filter val="Shaquille O'Neal: Changing the game for workers"/>
            <filter val="Decode empathy education"/>
            <filter val="Partner ad Invest in Canada"/>
            <filter val="Leadership amid uncertainty"/>
            <filter val="Growing an ecommerce giant"/>
            <filter val="CH2: Building a paradigm of trust"/>
            <filter val="Can designers save the world?"/>
            <filter val="Grit city: How tough is New York's startup scene?"/>
            <filter val="Advertising in 2021"/>
            <filter val="Laundry Day2_1PM"/>
            <filter val="Laundry Day1_3PM"/>
            <filter val="Look, listen – then lead"/>
            <filter val="CH 1 - Autonomy during a pandemic"/>
            <filter val="News and tech: The ultimate frenemies?"/>
            <filter val="The untapped potential of AI"/>
            <filter val="Teaser: Laurent Duvernay-Tardif"/>
            <filter val="40 words #14 _Cheapskate"/>
            <filter val="State of the VC nation"/>
            <filter val="Humans and AI: How to work well together"/>
            <filter val="CH. 3 Reducing your environmental impact"/>
            <filter val="Partner logoreel #3 TBC"/>
            <filter val="How can startups survive a pandemic?"/>
            <filter val="Leading a legacy brand"/>
            <filter val="Closing remarks_DAY 1"/>
            <filter val="Closing remarks_DAY 2"/>
            <filter val="Partner Adroll #6 - CITY OF LISBON"/>
            <filter val="Is your head A-oki?"/>
            <filter val="Teaser: Gronk"/>
            <filter val="Closing remarks_DAY 3"/>
            <filter val="The road to opening Toronto"/>
            <filter val="Documentaries for change"/>
            <filter val="Teaser: Sidewalk Labs_Intro"/>
            <filter val="The science of tomorrow"/>
            <filter val="Content from Home: TikTok's greatest challenge"/>
            <filter val="The societal impact of 5G"/>
            <filter val="Laundry Day1_12pm"/>
            <filter val="Past pitch winner 1:  Torch.io"/>
            <filter val="Teaser: Buzzfeed_Intro"/>
            <filter val="Spotify's battle to win hearts, minds and ears"/>
            <filter val="Laundry Day1_2PM"/>
            <filter val="An abnormal beauty industry"/>
            <filter val="Winning at remote working"/>
            <filter val="Teaser: Kate Brandt"/>
            <filter val="In depth: Rana el Kaliouby"/>
            <filter val="The future of consumer and brand loyalty"/>
            <filter val="How brands connect in a virtual world"/>
            <filter val="MTS_3_Lockdown"/>
            <filter val="Teaser: UA_Intro"/>
            <filter val="Teaser: Sony Pictures Animation"/>
            <filter val="CH3: Loyalty in our new reality"/>
            <filter val="Laundry Day3_11AM"/>
            <filter val="MTS_8_Lockdown"/>
            <filter val="CH3 - Has 2020 redefined leadership?"/>
            <filter val="Partner Adroll #4 TBC"/>
            <filter val="Covid-19 : Digital Healthcare’s time to shine"/>
            <filter val="MTS_4_Lockdown"/>
            <filter val="Small business in a pandemic economy"/>
            <filter val="Partner Logo reel - 30 seconds - #1"/>
            <filter val="Teaser: Boston Dynamics_Intro"/>
            <filter val="Teaser: Box_Intro"/>
            <filter val="Partner Adroll - #1 ASSIGNED TO YEXT"/>
            <filter val="40 Words #12_Demodesk"/>
            <filter val="Leadership in the time of Covid-19"/>
            <filter val="CH4: Rebuilding the retail sector"/>
            <filter val="Waste is a design flaw"/>
            <filter val="Who owns what, and what we're free to say"/>
            <filter val="MC Intro"/>
            <filter val="Unlocking the black box of machine learning"/>
            <filter val="CH 1-Edge AI will be key in the post-Covid world"/>
            <filter val="Smart mobility: Lessons from Covid-19"/>
            <filter val="Pitch Semi-Final group 1 of 3"/>
            <filter val="Can a crisis fuel creativity?"/>
            <filter val="No hype: Deploying real-world machine learning"/>
            <filter val="Paid-for content: Unavoidable or elitist?"/>
            <filter val="Autonomy during a pandemic"/>
            <filter val="cH. 1- China's edtech revolution: AI teachers in lockdown"/>
            <filter val="Teaser: Under Armour"/>
            <filter val="Laundry Day1_1PM"/>
            <filter val="Misinformation in the time of coronavirus"/>
            <filter val="Pitch Semi-Final group 2 of 3"/>
            <filter val="Into the clouds"/>
            <filter val="The privacy spectrum"/>
            <filter val="Life in the Paris lane"/>
            <filter val="Call to action"/>
            <filter val="CH2: Let ‘em run with AI"/>
            <filter val="Partner logo reel #2"/>
            <filter val="Partner Adroll #2"/>
            <filter val="Partner Adroll #1"/>
            <filter val="Partner Adroll #4"/>
            <filter val="Partner logo reel #1"/>
            <filter val="Partner Adroll #3"/>
            <filter val="How tech can help us think critically"/>
            <filter val="Tech's role during the crisis"/>
            <filter val="Teaser: Shay Mitchell"/>
            <filter val="Telling your story in challenging times"/>
            <filter val="Impact investing for resilient communities"/>
            <filter val="Can newsrooms survive a Covid-caused recession?"/>
            <filter val="Teaser: Sidewalk Labs"/>
            <filter val="40 Words #5_HourOne"/>
            <filter val="Accuracy in the new age of information"/>
            <filter val="Entrepreneurs can save our planet"/>
            <filter val="talk outro"/>
            <filter val="High-quality experiences in times of high demand"/>
            <filter val="Going viral: How far will Covid-19 go?"/>
            <filter val="CH2: Conservation, science and climate"/>
            <filter val="40 Words #3_Sym"/>
            <filter val="How not to be tone deaf"/>
            <filter val="Data protection post-Covid"/>
            <filter val="CH 1 - Streaming wars: The new world order"/>
            <filter val="AI-way or the highway"/>
            <filter val="High fashion in recession"/>
            <filter val="Microprocessing: The race is on"/>
            <filter val="Recruiting in a recession"/>
            <filter val="Covid-19: Accelerating the future of healthcare"/>
            <filter val="Inside SoftBank: Changing customer behaviour"/>
            <filter val="Data, digitisation and the death of the card"/>
            <filter val="Green cities: Driving sustainable environments"/>
            <filter val="Politics and papers: What do Americans want?"/>
            <filter val="Arianna Huffington on Radio Collision"/>
            <filter val="Teaser: Vinod Khosla_Intro"/>
            <filter val="How is tech taking Covid-19 to task?"/>
            <filter val="Who holds tech to account?"/>
            <filter val="Seeing opportunity in crisis"/>
            <filter val="By Taraji: A brand on your own terms"/>
            <filter val="Post-Panama: The future of data journalism"/>
            <filter val="The jam jar and the hamburger: Connecting east and west design"/>
            <filter val="Scaling a company 10-fold in four weeks"/>
            <filter val="Customer care will never be the same again"/>
            <filter val="Designing for the voice-enabled future"/>
            <filter val="Can data save the world?"/>
            <filter val="Teaser: Paypal"/>
            <filter val="talk intro"/>
            <filter val="Closing a sale when your customer is closed"/>
            <filter val="In depth: Gary Liu"/>
            <filter val="Brand new, brand you"/>
            <filter val="Working from home? Not for robots!"/>
            <filter val="Safeguard a healthier future with AI and robots"/>
            <filter val="Teaser: Gronk_Intro"/>
            <filter val="Partner ad - UK DIT"/>
            <filter val="In depth: Brittany Kaiser"/>
            <filter val="In depth: Alissa White-Gluz"/>
            <filter val="In depth: Vinod Khosla"/>
            <filter val="Keep calm and educate: Covid, kids and learning"/>
            <filter val="Talk Outro (Length increased to balance out the hour)"/>
            <filter val="Collision From Home Promo"/>
            <filter val="Seek the hidden dragon"/>
            <filter val="40 Words #17_Grandpal"/>
            <filter val="Post Covid-19: Can work ever be the same?"/>
            <filter val="How to navigate the world's largest WfH experiment"/>
            <filter val="MTS_1_InfluentialPerson"/>
            <filter val="How I turned my passion into a billion-dollar business"/>
            <filter val="Has Covid-19 revealed the limits of bricks and mortar?"/>
            <filter val="Partner ad - It is for the partner - Invest in Canada"/>
            <filter val="Can startups survive 2020?"/>
            <filter val="In depth: Jeremy Zimmer"/>
            <filter val="In depth: Lily Cole"/>
            <filter val="Sustainable business beyond greenwashing"/>
            <filter val="Laundry list/look around"/>
            <filter val="The internet of wild things"/>
            <filter val="Talk outro - KEEP"/>
            <filter val="The Super Bowl champion fighting COVID-19"/>
            <filter val="Combatting climate change post-Covid"/>
            <filter val="CH - 1Reinventing news: Reporting from home"/>
            <filter val="Laundry Day3_3PM"/>
            <filter val="The new age of urban mobility"/>
            <filter val="Partner ad - Yext"/>
            <filter val="Shaquille O'Neal on Radio Collision"/>
            <filter val="How to trump the Trump economy"/>
            <filter val="40 Words #13_London Trade Art"/>
            <filter val="Teaser: Sony Pictures Animation_Intro"/>
            <filter val="Where Facebook is putting its money"/>
            <filter val="Teaser: Shaq_Intro"/>
            <filter val="What will a return to normality look like?"/>
            <filter val="Brand responsibility"/>
            <filter val="Fighting Covid by hacking the human OS"/>
            <filter val="To pay or not to pay: What content should be free"/>
            <filter val="3 customer engagement strategies post-pandemic"/>
            <filter val="Shifting from growth times to endurance times"/>
            <filter val="CH 3 - Smart investments in a pandemic"/>
            <filter val="40 Words #7_Crux OCM"/>
            <filter val="Is big tech killing the economy?"/>
            <filter val="Accelerating digital transformation"/>
            <filter val="Blowing the whistle the right way"/>
            <filter val="Partner ad - City of Toronto"/>
            <filter val="Teaser: YouTube"/>
            <filter val="Teaser: Max Levchin"/>
            <filter val="Talk Intro - decreased to allow for the overun in talk duration"/>
            <filter val="Laundry Day2_4PM"/>
            <filter val="Why 'metalbashers' will become software giants"/>
            <filter val="ch. 1 Journalism in the age of pandemic"/>
            <filter val="Teaser: Buzzfeed"/>
            <filter val="Racial and climate justice in the post-Covid economy"/>
            <filter val="Safeguarding the 2020 elections"/>
            <filter val="Every cloud has a silver lining"/>
            <filter val="Web Summit promo"/>
            <filter val="A champion's guide to conquering the world"/>
            <filter val="Laundry Day3_2PM"/>
            <filter val="Teaser: Margaret Atwood_Intro"/>
            <filter val="CH 1- How to win the digital news war"/>
            <filter val="From surviving to thriving: Brands chart a new path forward"/>
            <filter val="PITCH final"/>
            <filter val="Hacking policy: Tech as a force for good"/>
            <filter val="GitLab: Building an all-remote enterprise"/>
            <filter val="Canada in 2021"/>
            <filter val="Teaser: Tencent &amp;. Ailish Campbell"/>
            <filter val="5G to usher in brighter future"/>
            <filter val="Teaser: AriannaHuff_Intro"/>
            <filter val="Anxiety in a time of isolation"/>
            <filter val="Self-care in a pandemic"/>
            <filter val="Beyond the bombshell"/>
            <filter val="Talk outro"/>
            <filter val="Educating designers for pandemic response"/>
            <filter val="Partner ad - The Corporation of the City of Brampton"/>
            <filter val="Overcoming operational challenges during a pandemic"/>
            <filter val="CH 2: Pushing the retail boundaries"/>
            <filter val="Collision From Home"/>
            <filter val="Laundry Day2_3PM"/>
            <filter val="The void of ethical leadership"/>
            <filter val="AI and the death of empathy in design"/>
            <filter val="The first million users"/>
            <filter val="Laundry Day3_10AM"/>
            <filter val="It's an app-eat-app world"/>
            <filter val="40 Words #16_Sizle"/>
            <filter val="Laundry Day3_1PM"/>
            <filter val="The future of urban mobility"/>
            <filter val="Future of work after crisis"/>
            <filter val="ch 2 - Sustaining a viral hit"/>
            <filter val="Talk intro"/>
            <filter val="Rethinking digital finance with Plaid"/>
            <filter val="UI and the customer experience post Covid-19"/>
            <filter val="CH 3- Reinventing the VC model"/>
            <filter val="Actually – not artificially – intelligent drones"/>
            <filter val="Talk Outro (Duration increased to balance out the hour)"/>
            <filter val="Teaser: Kate Brandt_Intro"/>
            <filter val="Data-centric culture"/>
            <filter val="An exit strategy for social media"/>
            <filter val="In depth: Mitchell Baker"/>
            <filter val="Channel 2 Day 1 Top of the day intro VO holding graphic"/>
            <filter val="Teaser: Spotify"/>
            <filter val="Teaser: Vinod Khosla"/>
            <filter val="Canada post-pandemic"/>
            <filter val="Partner ad roll #2_STARTUP PORTUGAL"/>
            <filter val="Laundry Day2_2PM"/>
            <filter val="Ch 3 Is inclusive finance in the US a pipe dream?"/>
            <filter val="Laundry Day1_4PM"/>
            <filter val="Partner Adroll #3 TBC"/>
            <filter val="Sowing the seeds of recovery"/>
            <filter val="What to do when you're in the spotlight"/>
            <filter val="Carbon, pollution and the current pandemic"/>
            <filter val="CH1 - Inside the hospitals of tomorrow"/>
            <filter val="Teaser: Max Levchin _Intro"/>
            <filter val="How COVID-19 will change healthcare forever"/>
            <filter val="CH 2 - Digital literacy for the community"/>
            <filter val="Time to spare in this track"/>
            <filter val="Partner ad #1- The Corporation of the City of Brampton"/>
          </filters>
        </filterColumn>
      </autoFilter>
    </customSheetView>
    <customSheetView guid="{F2E41F77-448B-4B89-B8CF-872AAEDBF0C3}" filter="1" showAutoFilter="1">
      <autoFilter ref="$A$1:$AD$3000">
        <filterColumn colId="1">
          <filters>
            <filter val="Channel 3"/>
            <filter val="Channel 4"/>
            <filter val="Channel 1"/>
            <filter val="Channel 2"/>
            <filter val="Surplus ch."/>
          </filters>
        </filterColumn>
        <filterColumn colId="8">
          <filters>
            <filter val="Laundry Day3_12PM"/>
            <filter val="50 shades of tech"/>
            <filter val="40 words #"/>
            <filter val="Nailing social media in the lockdown"/>
            <filter val="ch 1 - To pay or not to pay: What content should be free"/>
            <filter val="Welcome to Collision from Home"/>
            <filter val="Teaser: Margaret Atwood"/>
            <filter val="The death of disease?"/>
            <filter val="Hoop Dreams: Meet the NBA stars turned entrepreneurs"/>
            <filter val="How to win the US presidency"/>
            <filter val="Fundraising during a global pandemic"/>
            <filter val="Is education on the cusp of a revolution?"/>
            <filter val="Make car ownership cool again"/>
            <filter val="From around the world to home BÉIS"/>
            <filter val="Partner Adroll #5_AWS"/>
            <filter val="Tech and transparency in the branding era"/>
            <filter val="The ethics of sales during Covid-19"/>
            <filter val="Talk Intro (Decreased in order to allow for overrun in talk duration)"/>
            <filter val="Teaser: Alexa_Intro"/>
            <filter val="Why you should start a company in a recession"/>
            <filter val="Bouncing back: The new normal for sport"/>
            <filter val="PITCH semi-final round 3 of 3"/>
            <filter val="How Canada can restart its startup ecosystem"/>
            <filter val="Long live the kings of sports and media"/>
            <filter val="40 Words #8 _Orai"/>
            <filter val="New startup wisdom: Goodbye vitamins, hello cocktails"/>
            <filter val="Economic uncertainty or opportunity? The story of Shift"/>
            <filter val="RISE trailer"/>
            <filter val="In depth: Nikolaj Coster-Waldau"/>
            <filter val="Partner ad - TD Bank"/>
            <filter val="The future of tech in a post Covid-19 world"/>
            <filter val="MTS_10_Advice"/>
            <filter val="Teaser: YouTube_Intro"/>
            <filter val="Cross-border payments: Tackling a moving target"/>
            <filter val="Speaker Intro Video"/>
            <filter val="Exploring the Covid-19 narrative in global news"/>
            <filter val="Partner ad - York Region"/>
            <filter val="How to Thrive in the next normal"/>
            <filter val="Nurturing a legend: 40 years of Pac-Man"/>
            <filter val="Ambient technology"/>
            <filter val="Meet a past PITCH winner: Chelsea Briganti"/>
            <filter val="Facetune: Is AI making us more creative?"/>
            <filter val="Teaser: LinkedIn_Intro"/>
            <filter val="Teaser: PepsiCo_Intro"/>
            <filter val="In depth: Emily Oberman"/>
            <filter val="Teaser: LinkedIn"/>
            <filter val="Partner logos"/>
            <filter val="Hack from Home"/>
            <filter val="CH 1- Does a recession breed innovation?"/>
            <filter val="Laundry Day2_10AM"/>
            <filter val="The importance of mindfulness in light of Covid-19"/>
            <filter val="Teaser: Arm"/>
            <filter val="Teaser: Samsung_Intro"/>
            <filter val="The role of the CMO in a crisis"/>
            <filter val="Tech transforming sports"/>
            <filter val="Partner Adroll #4 - ASSIGNED TO PITCHBOOK"/>
            <filter val="Will sports ever be the same?"/>
            <filter val="How to bust the post-Covid recession"/>
            <filter val="Teaser: Boston Dynamics"/>
            <filter val="Time to ditch the Silicon Valley way?"/>
            <filter val="CH2: Impact investing for resilient communities"/>
            <filter val="LL Cool J rocks the bells"/>
            <filter val="In depth: Gretchen Carlson"/>
            <filter val="Teaser: Samsung"/>
            <filter val="The power of entrepreneurship"/>
            <filter val="Teaser: Paris Hilton"/>
            <filter val="Betting on storytelling"/>
            <filter val="CH2: Investing in Europe post-pandemic"/>
            <filter val="Do we really need offices? A workplace story"/>
            <filter val="Teaser: Netflix_Intro"/>
            <filter val="Teaser: Tencent &amp;. Ailish Campbell_Intro"/>
            <filter val="Partner Adroll # 5 - CITY OF LISBON"/>
            <filter val="CH2: Plates and the planet: How to eco-feed the world"/>
            <filter val="Building a better internet in the shadow of a pandemic"/>
            <filter val="Talk Outro - KEEP"/>
            <filter val="What makes a good logo?"/>
            <filter val="RISE Trailer"/>
            <filter val="In depth: Editors' roundtable"/>
            <filter val="Laundry Day2_11AM"/>
            <filter val="Digital health privacy in a pandemic"/>
            <filter val="Teaser: Paris Hilton_Intro"/>
            <filter val="Partner Adroll #2_Ontario Government"/>
            <filter val="In depth: Nicola Kilner"/>
            <filter val="How to beat diabetes"/>
            <filter val="Finance will never be the same again"/>
            <filter val="Covid-19: Overcoming the CX Challenge"/>
            <filter val="CH 3 - The cost of health: Insurtech in a pandemic"/>
            <filter val="Tech, governance and the fate of society as we know it"/>
            <filter val="The role of tech in a post-Covid world"/>
            <filter val="Responsible messaging during a pandemic"/>
            <filter val="40 Words #"/>
            <filter val="Laundry Day1_11AM"/>
            <filter val="Collision From Home Day Intro Video"/>
            <filter val="Building the health brand of the future"/>
            <filter val="Teaser: PepsiCo"/>
            <filter val="Teaser: Shay Mitchell_Intro"/>
            <filter val="Laundry List/Lookaround"/>
            <filter val="Answering the Call of Duty"/>
            <filter val="Will the money dry up post Covid-19?"/>
            <filter val="40 Words #6 _Query Layer"/>
            <filter val="City of Toronto"/>
            <filter val="CH 1 - Are circular cities safer?"/>
            <filter val="The health game changer: Democratizing lab testing"/>
            <filter val="In depth: John Chambers"/>
            <filter val="How to cover big tech"/>
            <filter val="From Olympic hopeful to high-stakes poker"/>
            <filter val="40 Words #4 _Northflank"/>
            <filter val="Consumer data post-Covid"/>
            <filter val="MC Outro"/>
            <filter val="Leading through Covid-19 and beyond"/>
            <filter val="Teaser: Facebook CRO _Intro"/>
            <filter val="Teaser: Paypal_Intro"/>
            <filter val="An investment model for the 'crisis climate'"/>
            <filter val="Zoom with a difference: Ben Goertzel and Philip K Dick"/>
            <filter val="MTS_9_Advice"/>
            <filter val="Teaser:Slack"/>
            <filter val="In depth: Anthony Scaramucci"/>
            <filter val="Tedros Adhanom Ghebreyesus on Radio Collision"/>
            <filter val="Margaret Atwood on Radio Collision"/>
            <filter val="Teaser:  Nikolaj Coster Waldau_Intro"/>
            <filter val="Get radically personal"/>
            <filter val="CH2 - Leading outside the box"/>
            <filter val="LaundryDay2_12pm"/>
            <filter val="Elections in a post-Covid world"/>
            <filter val="Ambient intelligence: The next frontier for AI"/>
            <filter val="RISE promo"/>
            <filter val="Teaser: Box"/>
            <filter val="MC intro"/>
            <filter val="In depth: Gilberto Silva"/>
            <filter val="Laundry Day3_4PM"/>
            <filter val="ch 3 Kubernetes: Seed to a universal control plane"/>
            <filter val="Revolutionizing employee healthcare"/>
            <filter val="Rise Trailer - short"/>
            <filter val="Progressive delivery"/>
            <filter val="CH 1-The state of cannabusiness"/>
            <filter val="Partner ad - Pitchbook"/>
            <filter val="Web summit promo"/>
            <filter val="Teaser: Laurent Duvernay-Tardif_Intro"/>
            <filter val="Uber Eats: What happens post-lockdown?"/>
            <filter val="Retail is dead. Long live retail!"/>
            <filter val="Making it real. (Fast.)"/>
            <filter val="The new rules of VC fundraising"/>
            <filter val="Partner Adroll #7 - Hyundai"/>
            <filter val="In depth: Brian Collins"/>
            <filter val="CH2 - It's all about the story"/>
            <filter val="Teaser: Huda Beauty"/>
            <filter val="In depth: Molly Bloom"/>
            <filter val="web Summit promo"/>
            <filter val="Emerging AI applications and innovations"/>
            <filter val="Building a new (design) culture"/>
            <filter val="The future of photography"/>
            <filter val="Speaker intro"/>
            <filter val="Teaser: Call of Duty"/>
            <filter val="Here to health: Fighting an infodemic"/>
            <filter val="CH 1 - Investing through the chaos"/>
            <filter val="Counting sleep"/>
            <filter val="Developing robotics from your room"/>
            <filter val="The Lion's Share: Protecting our endangered species"/>
            <filter val="Music tech that makes you move"/>
            <filter val="Speaking truth to power"/>
            <filter val="Do robots understand pandemics?"/>
            <filter val="The future of Lime"/>
            <filter val="CH 1- The fate of retail lies with the consumer"/>
            <filter val="Design as a multiplayer game"/>
            <filter val="Teaser:Slack_Intro"/>
            <filter val="Teaser: Call of Duty_Intro"/>
            <filter val="Talk Outro - Q&amp;A MENTION"/>
            <filter val="Web Summit Trailer - short"/>
            <filter val="Web Summit Trailer - short - HAS TO STAY AS A WS TRAILER"/>
            <filter val="3 things that break during hyper-growth"/>
            <filter val="The Gronkowski's guide to building a business empire"/>
            <filter val="Get younger as you age"/>
            <filter val="Inside a news powerhouse"/>
            <filter val="In depth: Josh Luber"/>
            <filter val="40 words  #2_Webiny"/>
            <filter val="Dawn Ostroff on Radio Collision"/>
            <filter val="The world works from home"/>
            <filter val="Trends in the data: Cannabis"/>
            <filter val="The art of exploration"/>
            <filter val="Spending in 2020"/>
            <filter val="What makes TikTok different"/>
            <filter val="Teaser: Brad Smith"/>
            <filter val="One-size-fits-none: Why CRM is no longer enough"/>
            <filter val="Connecting the DoTs"/>
            <filter val="Government and business: Addressing global challenges"/>
            <filter val="This was tomorrow. What's next for your brand?"/>
            <filter val="The science of elite performance"/>
            <filter val="In conversation with Margaret Atwood"/>
            <filter val="Teaser: Arm_Intro"/>
            <filter val="How can we save lives with seaweed?"/>
            <filter val="Paris Hilton on Radio Collision"/>
            <filter val="Pragmatism beats privacy"/>
            <filter val="Inside the New York Times"/>
            <filter val="CH 1-What can data do in a crisis?"/>
            <filter val="CH 3 Sowing the seeds of recovery"/>
            <filter val="Leading BuzzFeed through Covid-19"/>
            <filter val="The democratisation of AI"/>
            <filter val="Teaser: Huda Beauty_Intro"/>
            <filter val="Business builders: Life off the court"/>
            <filter val="Teaser: Netflix"/>
            <filter val="In depth: Ali Rezai"/>
            <filter val="Teaser: Alexa"/>
            <filter val="ch -1 Grit city: How tough is New York's startup scene?"/>
            <filter val="The power of AI and voice post-pandemic"/>
            <filter val="How to win the digital news war"/>
            <filter val="Building human connection with emotion AI"/>
            <filter val="Teaser: Spotify_Intro"/>
            <filter val="Teaser:  Nikolaj Coster Waldau"/>
            <filter val="Talk Outro - Q&amp;A Mention"/>
            <filter val="Digitally transforming a brand empire"/>
            <filter val="Talk Outro - LENGTH INCREASED TO BALANCE OUT THE HOUR"/>
            <filter val="RISE trailer - short"/>
            <filter val="Can psychedelics rebuild your brain?"/>
            <filter val="Partner ad - Startup Portugal"/>
            <filter val="CFH Intro Video"/>
            <filter val="Startups everywhere navigating the future of work"/>
            <filter val="40 words #1 _Forecast"/>
            <filter val="Partner Logo Reel #2"/>
            <filter val="Do we need a new global economic system?"/>
            <filter val="Teaser: Shaq"/>
            <filter val="Investing through the chaos"/>
            <filter val="Technology’s subservience to culture"/>
            <filter val="40 Words #9_Cuckoo"/>
            <filter val="Partner Adroll #5_TD Bank"/>
            <filter val="Travel in a time of no travel"/>
            <filter val="Love and dating during lockdown"/>
            <filter val="Title tbc"/>
            <filter val="The big picture: What's next for Canada?"/>
            <filter val="From the frontlines of cybersecurity"/>
            <filter val="CH4: The marketing plays you need to know about"/>
            <filter val="It's all about the story"/>
            <filter val="Recession proofing your company with UI and UX"/>
            <filter val="Pitch Finalists announced"/>
            <filter val="The future we choose"/>
            <filter val="RISE Trailer - short"/>
            <filter val="Teaser: Facebook CRO"/>
            <filter val="In depth: Rick Ridgeway"/>
            <filter val="Optimism is a choice"/>
            <filter val="A smart energy grid in the lockdown era"/>
            <filter val="Hope Solo: Building a better America"/>
            <filter val="Modern toolkit for remote teams"/>
            <filter val="Announcing PITCH winner"/>
            <filter val="Are smart cities safer?"/>
            <filter val="5G and accelerating the fourth industrial revolution"/>
            <filter val="Guilt-free binge watching"/>
            <filter val="Reshaping healthcare delivery"/>
            <filter val="Surviving hibernation through innovation"/>
            <filter val="40 Words #10_Brightlobe"/>
            <filter val="Building a community-first business empire"/>
            <filter val="A message  from the World Health Organization"/>
            <filter val="Teaser: Brad Smith _Intro"/>
            <filter val="Humanizing mobility and innovation"/>
            <filter val="Is it possible to unite a remote team?"/>
            <filter val="Design your reinvention"/>
            <filter val="Does journalism need a tech rescue?"/>
            <filter val="40 Words #11_Recroot"/>
            <filter val="Keeping communities healthy and happy"/>
            <filter val="Teaser: AriannaHuff"/>
            <filter val="Separating hype from true change"/>
            <filter val="Talk Outro"/>
            <filter val="Health for all, hunger for none – how AI can help"/>
            <filter val="To scale or not to scale, and how?"/>
            <filter val="40 words #15_Pawlytics"/>
            <filter val="SaaS &amp; remote-centric culture"/>
            <filter val="How will gen Z shape the future of legacy businesses?"/>
            <filter val="Feature film in a post-Covid world"/>
            <filter val="What would you do? The ethics of fighting COVID"/>
            <filter val="In depth: The Future of Sport"/>
            <filter val="CLOSE"/>
            <filter val="meet the past pitch winner: Torch.io"/>
            <filter val="How to manage growth"/>
            <filter val="Talk outro -KEEP"/>
            <filter val="Innovative materials"/>
            <filter val="Privacy in a time of crisis"/>
            <filter val="In depth: Sid Sijbrandij"/>
            <filter val="Shaquille O'Neal: Changing the game for workers"/>
            <filter val="Decode empathy education"/>
            <filter val="Partner ad Invest in Canada"/>
            <filter val="Leadership amid uncertainty"/>
            <filter val="Growing an ecommerce giant"/>
            <filter val="CH2: Building a paradigm of trust"/>
            <filter val="Can designers save the world?"/>
            <filter val="Grit city: How tough is New York's startup scene?"/>
            <filter val="Advertising in 2021"/>
            <filter val="Laundry Day2_1PM"/>
            <filter val="Laundry Day1_3PM"/>
            <filter val="Look, listen – then lead"/>
            <filter val="CH 1 - Autonomy during a pandemic"/>
            <filter val="News and tech: The ultimate frenemies?"/>
            <filter val="The untapped potential of AI"/>
            <filter val="Teaser: Laurent Duvernay-Tardif"/>
            <filter val="40 words #14 _Cheapskate"/>
            <filter val="State of the VC nation"/>
            <filter val="Humans and AI: How to work well together"/>
            <filter val="CH. 3 Reducing your environmental impact"/>
            <filter val="Partner logoreel #3 TBC"/>
            <filter val="How can startups survive a pandemic?"/>
            <filter val="Leading a legacy brand"/>
            <filter val="Closing remarks_DAY 1"/>
            <filter val="Closing remarks_DAY 2"/>
            <filter val="Partner Adroll #6 - CITY OF LISBON"/>
            <filter val="Is your head A-oki?"/>
            <filter val="Teaser: Gronk"/>
            <filter val="Closing remarks_DAY 3"/>
            <filter val="The road to opening Toronto"/>
            <filter val="Documentaries for change"/>
            <filter val="Teaser: Sidewalk Labs_Intro"/>
            <filter val="The science of tomorrow"/>
            <filter val="Content from Home: TikTok's greatest challenge"/>
            <filter val="The societal impact of 5G"/>
            <filter val="Laundry Day1_12pm"/>
            <filter val="Past pitch winner 1:  Torch.io"/>
            <filter val="Teaser: Buzzfeed_Intro"/>
            <filter val="Spotify's battle to win hearts, minds and ears"/>
            <filter val="Laundry Day1_2PM"/>
            <filter val="An abnormal beauty industry"/>
            <filter val="Partner ad"/>
            <filter val="Winning at remote working"/>
            <filter val="Teaser: Kate Brandt"/>
            <filter val="In depth: Rana el Kaliouby"/>
            <filter val="The future of consumer and brand loyalty"/>
            <filter val="How brands connect in a virtual world"/>
            <filter val="MTS_3_Lockdown"/>
            <filter val="Teaser: UA_Intro"/>
            <filter val="Teaser: Sony Pictures Animation"/>
            <filter val="CH3: Loyalty in our new reality"/>
            <filter val="Laundry Day3_11AM"/>
            <filter val="MTS_8_Lockdown"/>
            <filter val="CH3 - Has 2020 redefined leadership?"/>
            <filter val="Partner Adroll #4 TBC"/>
            <filter val="Covid-19 : Digital Healthcare’s time to shine"/>
            <filter val="MTS_4_Lockdown"/>
            <filter val="Small business in a pandemic economy"/>
            <filter val="Partner Logo reel - 30 seconds - #1"/>
            <filter val="Teaser: Boston Dynamics_Intro"/>
            <filter val="Teaser: Box_Intro"/>
            <filter val="Partner Adroll - #1 ASSIGNED TO YEXT"/>
            <filter val="40 Words #12_Demodesk"/>
            <filter val="Leadership in the time of Covid-19"/>
            <filter val="CH4: Rebuilding the retail sector"/>
            <filter val="Waste is a design flaw"/>
            <filter val="Who owns what, and what we're free to say"/>
            <filter val="MC Intro"/>
            <filter val="Unlocking the black box of machine learning"/>
            <filter val="CH 1-Edge AI will be key in the post-Covid world"/>
            <filter val="Smart mobility: Lessons from Covid-19"/>
            <filter val="Pitch Semi-Final group 1 of 3"/>
            <filter val="Can a crisis fuel creativity?"/>
            <filter val="No hype: Deploying real-world machine learning"/>
            <filter val="Paid-for content: Unavoidable or elitist?"/>
            <filter val="Autonomy during a pandemic"/>
            <filter val="cH. 1- China's edtech revolution: AI teachers in lockdown"/>
            <filter val="Teaser: Under Armour"/>
            <filter val="Laundry Day1_1PM"/>
            <filter val="Misinformation in the time of coronavirus"/>
            <filter val="Pitch Semi-Final group 2 of 3"/>
            <filter val="Into the clouds"/>
            <filter val="The privacy spectrum"/>
            <filter val="Life in the Paris lane"/>
            <filter val="Call to action"/>
            <filter val="CH2: Let ‘em run with AI"/>
            <filter val="Partner logo reel #2"/>
            <filter val="Partner Adroll #2"/>
            <filter val="Partner Adroll #1"/>
            <filter val="Partner Adroll #4"/>
            <filter val="Partner logo reel #1"/>
            <filter val="Partner Adroll #3"/>
            <filter val="How tech can help us think critically"/>
            <filter val="Tech's role during the crisis"/>
            <filter val="Teaser: Shay Mitchell"/>
            <filter val="Telling your story in challenging times"/>
            <filter val="Impact investing for resilient communities"/>
            <filter val="Can newsrooms survive a Covid-caused recession?"/>
            <filter val="Teaser: Sidewalk Labs"/>
            <filter val="40 Words #5_HourOne"/>
            <filter val="Accuracy in the new age of information"/>
            <filter val="Entrepreneurs can save our planet"/>
            <filter val="ID null"/>
            <filter val="High-quality experiences in times of high demand"/>
            <filter val="Going viral: How far will Covid-19 go?"/>
            <filter val="CH2: Conservation, science and climate"/>
            <filter val="40 Words #3_Sym"/>
            <filter val="How not to be tone deaf"/>
            <filter val="Data protection post-Covid"/>
            <filter val="CH 1 - Streaming wars: The new world order"/>
            <filter val="AI-way or the highway"/>
            <filter val="High fashion in recession"/>
            <filter val="Microprocessing: The race is on"/>
            <filter val="Recruiting in a recession"/>
            <filter val="Covid-19: Accelerating the future of healthcare"/>
            <filter val="Inside SoftBank: Changing customer behaviour"/>
            <filter val="Data, digitisation and the death of the card"/>
            <filter val="Green cities: Driving sustainable environments"/>
            <filter val="Politics and papers: What do Americans want?"/>
            <filter val="Arianna Huffington on Radio Collision"/>
            <filter val="Teaser: Vinod Khosla_Intro"/>
            <filter val="How is tech taking Covid-19 to task?"/>
            <filter val="Who holds tech to account?"/>
            <filter val="Seeing opportunity in crisis"/>
            <filter val="By Taraji: A brand on your own terms"/>
            <filter val="Post-Panama: The future of data journalism"/>
            <filter val="The jam jar and the hamburger: Connecting east and west design"/>
            <filter val="Scaling a company 10-fold in four weeks"/>
            <filter val="Customer care will never be the same again"/>
            <filter val="Designing for the voice-enabled future"/>
            <filter val="Can data save the world?"/>
            <filter val="Teaser: Paypal"/>
            <filter val="talk intro"/>
            <filter val="Closing a sale when your customer is closed"/>
            <filter val="In depth: Gary Liu"/>
            <filter val="Brand new, brand you"/>
            <filter val="Working from home? Not for robots!"/>
            <filter val="Safeguard a healthier future with AI and robots"/>
            <filter val="Teaser: Gronk_Intro"/>
            <filter val="Partner ad - UK DIT"/>
            <filter val="In depth: Brittany Kaiser"/>
            <filter val="In depth: Alissa White-Gluz"/>
            <filter val="In depth: Vinod Khosla"/>
            <filter val="Keep calm and educate: Covid, kids and learning"/>
            <filter val="Talk Outro (Length increased to balance out the hour)"/>
            <filter val="Collision From Home Promo"/>
            <filter val="Seek the hidden dragon"/>
            <filter val="40 Words #17_Grandpal"/>
            <filter val="Post Covid-19: Can work ever be the same?"/>
            <filter val="How to navigate the world's largest WfH experiment"/>
            <filter val="MTS_1_InfluentialPerson"/>
            <filter val="How I turned my passion into a billion-dollar business"/>
            <filter val="Has Covid-19 revealed the limits of bricks and mortar?"/>
            <filter val="Partner ad - It is for the partner - Invest in Canada"/>
            <filter val="Can startups survive 2020?"/>
            <filter val="In depth: Jeremy Zimmer"/>
            <filter val="In depth: Lily Cole"/>
            <filter val="Sustainable business beyond greenwashing"/>
            <filter val="Laundry list/look around"/>
            <filter val="The internet of wild things"/>
            <filter val="Talk outro - KEEP"/>
            <filter val="The Super Bowl champion fighting COVID-19"/>
            <filter val="Combatting climate change post-Covid"/>
            <filter val="CH - 1Reinventing news: Reporting from home"/>
            <filter val="Laundry Day3_3PM"/>
            <filter val="The new age of urban mobility"/>
            <filter val="Partner ad - Yext"/>
            <filter val="Shaquille O'Neal on Radio Collision"/>
            <filter val="How to trump the Trump economy"/>
            <filter val="40 Words #13_London Trade Art"/>
            <filter val="Teaser: Sony Pictures Animation_Intro"/>
            <filter val="Where Facebook is putting its money"/>
            <filter val="Teaser: Shaq_Intro"/>
            <filter val="What will a return to normality look like?"/>
            <filter val="Brand responsibility"/>
            <filter val="Fighting Covid by hacking the human OS"/>
            <filter val="To pay or not to pay: What content should be free"/>
            <filter val="3 customer engagement strategies post-pandemic"/>
            <filter val="Shifting from growth times to endurance times"/>
            <filter val="CH 3 - Smart investments in a pandemic"/>
            <filter val="40 Words #7_Crux OCM"/>
            <filter val="Is big tech killing the economy?"/>
            <filter val="Accelerating digital transformation"/>
            <filter val="Blowing the whistle the right way"/>
            <filter val="Partner ad - City of Toronto"/>
            <filter val="Teaser: YouTube"/>
            <filter val="Teaser: Max Levchin"/>
            <filter val="Talk Intro - decreased to allow for the overun in talk duration"/>
            <filter val="Laundry Day2_4PM"/>
            <filter val="Why 'metalbashers' will become software giants"/>
            <filter val="ch. 1 Journalism in the age of pandemic"/>
            <filter val="Teaser: Buzzfeed"/>
            <filter val="Racial and climate justice in the post-Covid economy"/>
            <filter val="Safeguarding the 2020 elections"/>
            <filter val="Every cloud has a silver lining"/>
            <filter val="Web Summit promo"/>
            <filter val="A champion's guide to conquering the world"/>
            <filter val="Laundry Day3_2PM"/>
            <filter val="Teaser: Margaret Atwood_Intro"/>
            <filter val="CH 1- How to win the digital news war"/>
            <filter val="From surviving to thriving: Brands chart a new path forward"/>
            <filter val="PITCH final"/>
            <filter val="Hacking policy: Tech as a force for good"/>
            <filter val="GitLab: Building an all-remote enterprise"/>
            <filter val="Canada in 2021"/>
            <filter val="Teaser: Tencent &amp;. Ailish Campbell"/>
            <filter val="5G to usher in brighter future"/>
            <filter val="Teaser: AriannaHuff_Intro"/>
            <filter val="Anxiety in a time of isolation"/>
            <filter val="Self-care in a pandemic"/>
            <filter val="Beyond the bombshell"/>
            <filter val="Talk outro"/>
            <filter val="Educating designers for pandemic response"/>
            <filter val="Collision From Home Day Intro"/>
            <filter val="Partner ad - The Corporation of the City of Brampton"/>
            <filter val="Overcoming operational challenges during a pandemic"/>
            <filter val="CH 2: Pushing the retail boundaries"/>
            <filter val="Collision From Home"/>
            <filter val="Laundry Day2_3PM"/>
            <filter val="The void of ethical leadership"/>
            <filter val="AI and the death of empathy in design"/>
            <filter val="The first million users"/>
            <filter val="Web Summit Trailer - full"/>
            <filter val="Laundry Day3_10AM"/>
            <filter val="It's an app-eat-app world"/>
            <filter val="40 Words #16_Sizle"/>
            <filter val="Laundry Day3_1PM"/>
            <filter val="Collision From Home Day Outro"/>
            <filter val="The future of urban mobility"/>
            <filter val="Future of work after crisis"/>
            <filter val="ch 2 - Sustaining a viral hit"/>
            <filter val="Talk intro"/>
            <filter val="Rethinking digital finance with Plaid"/>
            <filter val="UI and the customer experience post Covid-19"/>
            <filter val="CH 3- Reinventing the VC model"/>
            <filter val="Actually – not artificially – intelligent drones"/>
            <filter val="Talk Outro (Duration increased to balance out the hour)"/>
            <filter val="Teaser: Kate Brandt_Intro"/>
            <filter val="Data-centric culture"/>
            <filter val="An exit strategy for social media"/>
            <filter val="In depth: Mitchell Baker"/>
            <filter val="Channel 2 Day 1 Top of the day intro VO holding graphic"/>
            <filter val="Teaser: Spotify"/>
            <filter val="Teaser: Vinod Khosla"/>
            <filter val="Canada post-pandemic"/>
            <filter val="Partner ad roll #2_STARTUP PORTUGAL"/>
            <filter val="Laundry Day2_2PM"/>
            <filter val="Ch 3 Is inclusive finance in the US a pipe dream?"/>
            <filter val="Laundry Day1_4PM"/>
            <filter val="Partner Adroll #3 TBC"/>
            <filter val="Sowing the seeds of recovery"/>
            <filter val="What to do when you're in the spotlight"/>
            <filter val="Carbon, pollution and the current pandemic"/>
            <filter val="CH1 - Inside the hospitals of tomorrow"/>
            <filter val="Teaser: Max Levchin _Intro"/>
            <filter val="How COVID-19 will change healthcare forever"/>
            <filter val="CH 2 - Digital literacy for the community"/>
            <filter val="Time to spare in this track"/>
            <filter val="Partner ad #1- The Corporation of the City of Brampton"/>
          </filters>
        </filterColumn>
        <filterColumn colId="7">
          <filters blank="1">
            <filter val="Collision From Home Day Outro"/>
            <filter val="Holding graphic"/>
            <filter val="Speaker Intro Video"/>
            <filter val="Fireside"/>
            <filter val="Teaser"/>
            <filter val="40 Words"/>
            <filter val="Teaser Outro"/>
            <filter val="Voxpop"/>
            <filter val="Podcast"/>
            <filter val="Partner ad"/>
            <filter val="ID null"/>
            <filter val="Anchor piece"/>
            <filter val="Panel"/>
            <filter val="Laundry List/Lookaround"/>
            <filter val="Collision From Home Day Intro"/>
            <filter val="Keynote"/>
            <filter val="Pitch reel"/>
            <filter val="Web Summit Trailer - short"/>
            <filter val="RISE Trailer"/>
            <filter val="Super Fireside"/>
          </filters>
        </filterColumn>
      </autoFilter>
    </customSheetView>
    <customSheetView guid="{FAA69650-BFF8-4CC8-8C78-FAA496E9165C}" filter="1" showAutoFilter="1">
      <autoFilter ref="$A$1:$AD$3000">
        <filterColumn colId="8">
          <customFilters>
            <customFilter val="*Teaser*"/>
          </customFilters>
        </filterColumn>
      </autoFilter>
    </customSheetView>
    <customSheetView guid="{EFC0C68C-9B6E-4632-BCCE-146373730137}" filter="1" showAutoFilter="1">
      <autoFilter ref="$A$1:$AD$3000">
        <filterColumn colId="15">
          <filters blank="1">
            <filter val="Unassigned"/>
          </filters>
        </filterColumn>
        <filterColumn colId="17">
          <filters>
            <filter val="TRUE"/>
          </filters>
        </filterColumn>
      </autoFilter>
    </customSheetView>
    <customSheetView guid="{E30DB641-45A3-41F6-BF10-2DE7C30449B2}" filter="1" showAutoFilter="1">
      <autoFilter ref="$A$1:$AD$3000">
        <filterColumn colId="3">
          <filters blank="1">
            <filter val="16:35:06"/>
            <filter val="16:57:33"/>
            <filter val="13:19:42"/>
            <filter val="14:14:06"/>
            <filter val="12:39:00"/>
            <filter val="11:57:14"/>
            <filter val="11:57:15"/>
            <filter val="11:11:18"/>
            <filter val="15:18:16"/>
            <filter val="10:41:10"/>
            <filter val="15:53:18"/>
            <filter val="11:33:53"/>
            <filter val="13:09:00"/>
            <filter val="10:51:58"/>
            <filter val="11:21:56"/>
            <filter val="14:36:26"/>
            <filter val="13:54:49"/>
            <filter val="12:03:52"/>
            <filter val="13:20:45"/>
            <filter val="14:12:59"/>
            <filter val="14:48:28"/>
            <filter val="12:37:57"/>
            <filter val="16:57:27"/>
            <filter val="16:35:13"/>
            <filter val="10:18:13"/>
            <filter val="12:37:49"/>
            <filter val="16:23:06"/>
            <filter val="15:18:31"/>
            <filter val="15:41:25"/>
            <filter val="14:36:11"/>
            <filter val="15:06:17"/>
            <filter val="14:58:43"/>
            <filter val="14:14:28"/>
            <filter val="12:37:45"/>
            <filter val="14:46:55"/>
            <filter val="14:26:10"/>
            <filter val="12:37:39"/>
            <filter val="16:21:57"/>
            <filter val="10:18:28"/>
            <filter val="15:53:38"/>
            <filter val="15:41:52"/>
            <filter val="11:35:12"/>
            <filter val="11:57:44"/>
            <filter val="14:58:36"/>
            <filter val="16:21:51"/>
            <filter val="16:47:03"/>
            <filter val="10:18:20"/>
            <filter val="12:03:30"/>
            <filter val="16:47:05"/>
            <filter val="11:21:30"/>
            <filter val="16:35:33"/>
            <filter val="12:37:34"/>
            <filter val="10:41:30"/>
            <filter val="15:31:07"/>
            <filter val="15:18:51"/>
            <filter val="15:41:45"/>
            <filter val="14:36:33"/>
            <filter val="16:21:43"/>
            <filter val="14:12:20"/>
            <filter val="14:58:21"/>
            <filter val="11:35:29"/>
            <filter val="16:13:10"/>
            <filter val="15:28:19"/>
            <filter val="14:00:30"/>
            <filter val="13:29:53"/>
            <filter val="14:00:32"/>
            <filter val="11:35:32"/>
            <filter val="12:37:19"/>
            <filter val="12:13:48"/>
            <filter val="13:54:07"/>
            <filter val="12:25:40"/>
            <filter val="12:03:10"/>
            <filter val="11:21:10"/>
            <filter val="16:01:21"/>
            <filter val="16:23:57"/>
            <filter val="13:20:02"/>
            <filter val="13:17:53"/>
            <filter val="10:18:58"/>
            <filter val="14:46:52"/>
            <filter val="17:17:33"/>
            <filter val="12:13:57"/>
            <filter val="16:23:41"/>
            <filter val="14:34:37"/>
            <filter val="14:58:22"/>
            <filter val="17:05:28"/>
            <filter val="16:57:13"/>
            <filter val="13:19:23"/>
            <filter val="11:59:19"/>
            <filter val="12:13:27"/>
            <filter val="13:52:42"/>
            <filter val="14:00:52"/>
            <filter val="13:30:13"/>
            <filter val="15:51:59"/>
            <filter val="11:59:20"/>
            <filter val="15:41:10"/>
            <filter val="14:36:03"/>
            <filter val="11:47:29"/>
            <filter val="12:25:20"/>
            <filter val="13:40:52"/>
            <filter val="16:57:02"/>
            <filter val="16:57:00"/>
            <filter val="14:12:35"/>
            <filter val="13:40:55"/>
            <filter val="14:12:38"/>
            <filter val="11:47:44"/>
            <filter val="11:59:05"/>
            <filter val="14:46:21"/>
            <filter val="14:46:22"/>
            <filter val="14:24:11"/>
            <filter val="15:51:48"/>
            <filter val="16:23:27"/>
            <filter val="15:28:49"/>
            <filter val="14:58:07"/>
            <filter val="15:41:07"/>
            <filter val="15:14:57"/>
            <filter val="14:38:51"/>
            <filter val="12:59:08"/>
            <filter val="12:17:57"/>
            <filter val="11:18:58"/>
            <filter val="12:17:55"/>
            <filter val="11:37:07"/>
            <filter val="14:28:06"/>
            <filter val="16:49:09"/>
            <filter val="13:05:45"/>
            <filter val="15:16:00"/>
            <filter val="13:52:28"/>
            <filter val="15:38:32"/>
            <filter val="13:17:15"/>
            <filter val="10:38:10"/>
            <filter val="13:17:13"/>
            <filter val="14:16:18"/>
            <filter val="11:18:42"/>
            <filter val="11:59:27"/>
            <filter val="12:19:05"/>
            <filter val="13:40:36"/>
            <filter val="16:37:38"/>
            <filter val="15:16:06"/>
            <filter val="13:05:25"/>
            <filter val="16:59:49"/>
            <filter val="14:04:48"/>
            <filter val="14:26:57"/>
            <filter val="14:04:46"/>
            <filter val="16:13:51"/>
            <filter val="13:52:12"/>
            <filter val="10:38:04"/>
            <filter val="12:40:51"/>
            <filter val="10:14:50"/>
            <filter val="15:38:49"/>
            <filter val="15:38:47"/>
            <filter val="13:40:25"/>
            <filter val="13:40:29"/>
            <filter val="14:28:25"/>
            <filter val="11:37:34"/>
            <filter val="11:37:35"/>
            <filter val="12:59:32"/>
            <filter val="11:37:36"/>
            <filter val="16:50:28"/>
            <filter val="12:40:48"/>
            <filter val="15:16:20"/>
            <filter val="13:27:57"/>
            <filter val="10:38:36"/>
            <filter val="16:49:29"/>
            <filter val="10:38:34"/>
            <filter val="15:02:48"/>
            <filter val="15:02:49"/>
            <filter val="13:52:08"/>
            <filter val="13:17:33"/>
            <filter val="11:49:21"/>
            <filter val="11:49:20"/>
            <filter val="13:40:16"/>
            <filter val="11:18:22"/>
            <filter val="15:16:26"/>
            <filter val="16:50:11"/>
            <filter val="16:37:58"/>
            <filter val="11:59:51"/>
            <filter val="10:16:15"/>
            <filter val="14:06:06"/>
            <filter val="16:25:02"/>
            <filter val="15:02:34"/>
            <filter val="13:39:39"/>
            <filter val="15:02:35"/>
            <filter val="16:01:51"/>
            <filter val="11:28:59"/>
            <filter val="17:03:23"/>
            <filter val="14:14:48"/>
            <filter val="15:36:46"/>
            <filter val="13:27:27"/>
            <filter val="15:48:30"/>
            <filter val="16:59:11"/>
            <filter val="11:18:13"/>
            <filter val="13:40:09"/>
            <filter val="14:26:30"/>
            <filter val="12:59:47"/>
            <filter val="10:16:21"/>
            <filter val="11:37:54"/>
            <filter val="10:51:16"/>
            <filter val="11:49:29"/>
            <filter val="12:49:10"/>
            <filter val="16:03:45"/>
            <filter val="10:38:56"/>
            <filter val="16:03:42"/>
            <filter val="10:38:54"/>
            <filter val="15:14:28"/>
            <filter val="12:50:05"/>
            <filter val="14:14:36"/>
            <filter val="16:35:54"/>
            <filter val="16:15:25"/>
            <filter val="16:35:53"/>
            <filter val="12:17:20"/>
            <filter val="16:15:30"/>
            <filter val="13:03:52"/>
            <filter val="10:38:41"/>
            <filter val="13:03:55"/>
            <filter val="14:26:15"/>
            <filter val="12:17:18"/>
            <filter val="15:48:13"/>
            <filter val="11:39:00"/>
            <filter val="13:15:27"/>
            <filter val="15:04:35"/>
            <filter val="13:39:19"/>
            <filter val="10:16:30"/>
            <filter val="14:36:56"/>
            <filter val="16:37:08"/>
            <filter val="13:37:55"/>
            <filter val="13:49:38"/>
            <filter val="11:49:51"/>
            <filter val="16:15:13"/>
            <filter val="16:15:10"/>
            <filter val="16:37:03"/>
            <filter val="16:59:41"/>
            <filter val="14:04:16"/>
            <filter val="12:49:30"/>
            <filter val="10:51:36"/>
            <filter val="16:03:25"/>
            <filter val="11:49:49"/>
            <filter val="15:38:10"/>
            <filter val="10:16:41"/>
            <filter val="10:16:40"/>
            <filter val="14:14:58"/>
            <filter val="13:15:56"/>
            <filter val="13:49:26"/>
            <filter val="15:48:43"/>
            <filter val="16:59:24"/>
            <filter val="12:17:00"/>
            <filter val="14:48:48"/>
            <filter val="14:26:35"/>
            <filter val="14:26:37"/>
            <filter val="11:39:20"/>
            <filter val="14:04:28"/>
            <filter val="10:51:28"/>
            <filter val="11:40:09"/>
            <filter val="13:15:47"/>
            <filter val="15:14:50"/>
            <filter val="12:49:45"/>
            <filter val="10:16:50"/>
            <filter val="16:05:34"/>
            <filter val="12:22:02"/>
            <filter val="14:20:01"/>
            <filter val="11:52:07"/>
            <filter val="14:42:34"/>
            <filter val="10:46:34"/>
            <filter val="13:02:52"/>
            <filter val="15:46:43"/>
            <filter val="10:22:59"/>
            <filter val="12:44:28"/>
            <filter val="13:14:25"/>
            <filter val="10:12:20"/>
            <filter val="10:34:56"/>
            <filter val="15:00:43"/>
            <filter val="15:24:19"/>
            <filter val="16:27:55"/>
            <filter val="15:24:17"/>
            <filter val="13:14:27"/>
            <filter val="15:34:58"/>
            <filter val="15:12:46"/>
            <filter val="13:38:10"/>
            <filter val="12:10:30"/>
            <filter val="14:29:58"/>
            <filter val="12:56:22"/>
            <filter val="12:56:23"/>
            <filter val="11:16:26"/>
            <filter val="16:40:41"/>
            <filter val="16:40:40"/>
            <filter val="16:30:08"/>
            <filter val="15:00:30"/>
            <filter val="13:14:13"/>
            <filter val="13:14:16"/>
            <filter val="16:05:32"/>
            <filter val="15:36:26"/>
            <filter val="16:05:12"/>
            <filter val="11:26:56"/>
            <filter val="13:14:55"/>
            <filter val="10:12:35"/>
            <filter val="16:05:19"/>
            <filter val="13:24:56"/>
            <filter val="14:20:21"/>
            <filter val="12:56:38"/>
            <filter val="11:16:06"/>
            <filter val="15:24:37"/>
            <filter val="13:04:12"/>
            <filter val="15:48:00"/>
            <filter val="11:39:54"/>
            <filter val="15:24:31"/>
            <filter val="11:39:50"/>
            <filter val="16:40:59"/>
            <filter val="11:40:39"/>
            <filter val="16:40:55"/>
            <filter val="16:30:28"/>
            <filter val="10:00:00"/>
            <filter val="15:24:51"/>
            <filter val="15:58:29"/>
            <filter val="16:15:45"/>
            <filter val="10:24:30"/>
            <filter val="16:52:36"/>
            <filter val="15:24:49"/>
            <filter val="16:15:50"/>
            <filter val="11:16:00"/>
            <filter val="13:58:59"/>
            <filter val="15:36:20"/>
            <filter val="12:42:52"/>
            <filter val="12:20:40"/>
            <filter val="17:10:28"/>
            <filter val="14:40:58"/>
            <filter val="12:46:12"/>
            <filter val="12:20:20"/>
            <filter val="11:26:36"/>
            <filter val="15:56:55"/>
            <filter val="15:34:27"/>
            <filter val="12:56:57"/>
            <filter val="15:34:28"/>
            <filter val="12:58:01"/>
            <filter val="11:14:53"/>
            <filter val="14:05:46"/>
            <filter val="15:22:32"/>
            <filter val="16:29:38"/>
            <filter val="13:36:19"/>
            <filter val="12:42:40"/>
            <filter val="11:52:37"/>
            <filter val="10:09:36"/>
            <filter val="10:14:04"/>
            <filter val="12:58:08"/>
            <filter val="16:17:49"/>
            <filter val="15:34:16"/>
            <filter val="13:00:58"/>
            <filter val="16:17:55"/>
            <filter val="12:58:12"/>
            <filter val="12:42:35"/>
            <filter val="11:04:00"/>
            <filter val="12:46:32"/>
            <filter val="15:56:30"/>
            <filter val="15:34:47"/>
            <filter val="14:40:38"/>
            <filter val="13:24:12"/>
            <filter val="13:02:22"/>
            <filter val="10:14:19"/>
            <filter val="12:58:14"/>
            <filter val="15:12:16"/>
            <filter val="11:14:34"/>
            <filter val="12:58:22"/>
            <filter val="10:36:50"/>
            <filter val="11:14:32"/>
            <filter val="16:17:40"/>
            <filter val="13:58:23"/>
            <filter val="13:34:54"/>
            <filter val="10:36:56"/>
            <filter val="15:34:51"/>
            <filter val="10:36:53"/>
            <filter val="15:34:31"/>
            <filter val="13:02:15"/>
            <filter val="15:56:49"/>
            <filter val="16:50:58"/>
            <filter val="16:17:27"/>
            <filter val="16:50:53"/>
            <filter val="11:14:14"/>
            <filter val="15:24:04"/>
            <filter val="14:30:18"/>
            <filter val="11:14:23"/>
            <filter val="10:14:30"/>
            <filter val="12:58:32"/>
            <filter val="12:58:31"/>
            <filter val="10:14:34"/>
            <filter val="15:46:13"/>
            <filter val="13:36:04"/>
            <filter val="14:17:50"/>
            <filter val="12:42:10"/>
            <filter val="10:36:41"/>
            <filter val="13:36:05"/>
            <filter val="11:02:44"/>
            <filter val="15:56:50"/>
            <filter val="16:32:13"/>
            <filter val="10:02:50"/>
            <filter val="11:02:29"/>
            <filter val="15:56:15"/>
            <filter val="12:24:28"/>
            <filter val="12:00:56"/>
            <filter val="10:32:25"/>
            <filter val="13:34:42"/>
            <filter val="15:10:17"/>
            <filter val="13:12:07"/>
            <filter val="14:34:07"/>
            <filter val="13:00:30"/>
            <filter val="13:12:05"/>
            <filter val="10:56:00"/>
            <filter val="15:09:17"/>
            <filter val="11:02:33"/>
            <filter val="13:46:18"/>
            <filter val="14:46:07"/>
            <filter val="10:56:06"/>
            <filter val="11:24:40"/>
            <filter val="13:24:05"/>
            <filter val="11:12:59"/>
            <filter val="11:32:06"/>
            <filter val="16:54:38"/>
            <filter val="12:54:00"/>
            <filter val="14:00:00"/>
            <filter val="16:20:13"/>
            <filter val="16:44:06"/>
            <filter val="12:02:10"/>
            <filter val="12:24:21"/>
            <filter val="14:00:09"/>
            <filter val="14:10:41"/>
            <filter val="12:00:37"/>
            <filter val="13:46:06"/>
            <filter val="11:02:03"/>
            <filter val="15:09:02"/>
            <filter val="13:46:04"/>
            <filter val="15:10:32"/>
            <filter val="10:02:30"/>
            <filter val="10:54:38"/>
            <filter val="11:54:45"/>
            <filter val="10:10:11"/>
            <filter val="11:32:12"/>
            <filter val="10:44:33"/>
            <filter val="11:12:48"/>
            <filter val="15:34:07"/>
            <filter val="10:44:30"/>
            <filter val="14:22:50"/>
            <filter val="13:34:16"/>
            <filter val="12:12:12"/>
            <filter val="14:00:17"/>
            <filter val="11:54:51"/>
            <filter val="13:12:27"/>
            <filter val="15:22:17"/>
            <filter val="12:00:48"/>
            <filter val="16:54:55"/>
            <filter val="10:02:20"/>
            <filter val="12:00:44"/>
            <filter val="16:07:29"/>
            <filter val="12:54:28"/>
            <filter val="12:00:45"/>
            <filter val="13:34:31"/>
            <filter val="13:00:32"/>
            <filter val="13:00:38"/>
            <filter val="12:34:42"/>
            <filter val="12:12:27"/>
            <filter val="13:34:27"/>
            <filter val="10:44:13"/>
            <filter val="10:44:12"/>
            <filter val="13:56:32"/>
            <filter val="13:56:33"/>
            <filter val="10:02:15"/>
            <filter val="10:02:14"/>
            <filter val="10:32:42"/>
            <filter val="14:00:29"/>
            <filter val="11:02:00"/>
            <filter val="12:00:15"/>
            <filter val="11:00:40"/>
            <filter val="10:56:36"/>
            <filter val="15:54:34"/>
            <filter val="10:44:50"/>
            <filter val="10:44:53"/>
            <filter val="14:09:11"/>
            <filter val="16:22:06"/>
            <filter val="11:12:33"/>
            <filter val="12:34:25"/>
            <filter val="12:34:27"/>
            <filter val="15:42:47"/>
            <filter val="11:44:11"/>
            <filter val="16:09:43"/>
            <filter val="12:22:52"/>
            <filter val="15:00:00"/>
            <filter val="14:54:58"/>
            <filter val="11:00:35"/>
            <filter val="12:00:26"/>
            <filter val="16:52:51"/>
            <filter val="11:00:53"/>
            <filter val="12:22:32"/>
            <filter val="16:52:53"/>
            <filter val="10:02:00"/>
            <filter val="12:00:23"/>
            <filter val="15:54:46"/>
            <filter val="12:22:37"/>
            <filter val="11:44:31"/>
            <filter val="10:22:30"/>
            <filter val="15:54:49"/>
            <filter val="10:44:42"/>
            <filter val="11:12:13"/>
            <filter val="13:34:06"/>
            <filter val="13:56:16"/>
            <filter val="12:12:07"/>
            <filter val="10:22:24"/>
            <filter val="10:34:00"/>
            <filter val="12:00:30"/>
            <filter val="14:56:04"/>
            <filter val="15:20:27"/>
            <filter val="12:44:52"/>
            <filter val="14:09:30"/>
            <filter val="15:09:47"/>
            <filter val="10:34:26"/>
            <filter val="12:54:58"/>
            <filter val="13:00:00"/>
            <filter val="12:34:10"/>
            <filter val="10:22:40"/>
            <filter val="13:00:02"/>
            <filter val="10:22:39"/>
            <filter val="10:46:04"/>
            <filter val="12:34:05"/>
            <filter val="13:56:02"/>
            <filter val="11:00:15"/>
            <filter val="14:10:11"/>
            <filter val="11:00:31"/>
            <filter val="11:00:30"/>
            <filter val="12:00:06"/>
            <filter val="16:54:10"/>
            <filter val="12:00:00"/>
            <filter val="14:44:00"/>
            <filter val="11:56:15"/>
            <filter val="16:19:53"/>
            <filter val="16:54:18"/>
            <filter val="11:22:38"/>
            <filter val="13:09:51"/>
            <filter val="16:09:13"/>
            <filter val="16:09:14"/>
            <filter val="12:44:32"/>
            <filter val="13:21:05"/>
            <filter val="10:30:00"/>
            <filter val="13:21:07"/>
            <filter val="13:43:36"/>
            <filter val="11:46:00"/>
            <filter val="11:46:01"/>
            <filter val="14:13:38"/>
            <filter val="16:12:00"/>
            <filter val="11:34:13"/>
            <filter val="16:34:36"/>
            <filter val="14:47:51"/>
            <filter val="12:38:27"/>
            <filter val="10:40:44"/>
            <filter val="11:56:53"/>
            <filter val="16:00:15"/>
            <filter val="11:22:26"/>
            <filter val="14:35:51"/>
            <filter val="15:05:55"/>
            <filter val="17:04:43"/>
            <filter val="12:16:12"/>
            <filter val="14:47:58"/>
            <filter val="15:30:17"/>
            <filter val="16:00:29"/>
            <filter val="10:39:51"/>
            <filter val="17:16:28"/>
            <filter val="16:22:36"/>
            <filter val="12:38:19"/>
            <filter val="15:05:47"/>
            <filter val="11:22:18"/>
            <filter val="10:17:42"/>
            <filter val="11:00:01"/>
            <filter val="10:39:54"/>
            <filter val="11:00:00"/>
            <filter val="14:13:58"/>
            <filter val="15:30:47"/>
            <filter val="11:34:34"/>
            <filter val="14:47:22"/>
            <filter val="12:38:12"/>
            <filter val="12:38:05"/>
            <filter val="14:47:31"/>
            <filter val="11:34:44"/>
            <filter val="12:14:35"/>
            <filter val="14:59:06"/>
            <filter val="14:37:18"/>
            <filter val="14:37:17"/>
            <filter val="15:05:35"/>
            <filter val="16:46:35"/>
            <filter val="10:17:50"/>
            <filter val="16:36:09"/>
            <filter val="14:37:11"/>
            <filter val="16:58:18"/>
            <filter val="16:36:07"/>
            <filter val="12:14:55"/>
            <filter val="16:36:04"/>
            <filter val="14:47:35"/>
            <filter val="16:00:09"/>
            <filter val="13:53:47"/>
            <filter val="12:14:47"/>
            <filter val="10:19:05"/>
            <filter val="15:20:07"/>
            <filter val="12:04:12"/>
            <filter val="16:00:00"/>
            <filter val="16:46:43"/>
            <filter val="14:13:51"/>
            <filter val="16:12:45"/>
            <filter val="11:34:59"/>
            <filter val="12:36:52"/>
            <filter val="16:12:40"/>
            <filter val="13:53:32"/>
            <filter val="16:44:36"/>
            <filter val="15:27:49"/>
            <filter val="15:07:37"/>
            <filter val="16:00:51"/>
            <filter val="15:39:29"/>
            <filter val="11:20:40"/>
            <filter val="14:11:48"/>
            <filter val="11:19:56"/>
            <filter val="14:47:15"/>
            <filter val="16:56:17"/>
            <filter val="11:36:04"/>
            <filter val="14:23:21"/>
            <filter val="10:19:25"/>
            <filter val="10:20:00"/>
            <filter val="12:14:27"/>
            <filter val="11:58:23"/>
            <filter val="15:39:34"/>
            <filter val="14:35:06"/>
            <filter val="12:02:53"/>
            <filter val="10:19:20"/>
            <filter val="16:24:11"/>
            <filter val="17:04:58"/>
            <filter val="15:39:59"/>
            <filter val="14:13:19"/>
            <filter val="10:20:20"/>
            <filter val="11:19:47"/>
            <filter val="11:19:46"/>
            <filter val="16:12:20"/>
            <filter val="11:36:17"/>
            <filter val="15:52:29"/>
            <filter val="14:45:51"/>
            <filter val="11:36:24"/>
            <filter val="12:12:57"/>
            <filter val="11:58:57"/>
            <filter val="15:07:17"/>
            <filter val="12:24:51"/>
            <filter val="14:57:24"/>
            <filter val="12:02:22"/>
            <filter val="14:57:22"/>
            <filter val="14:57:21"/>
            <filter val="11:20:20"/>
            <filter val="16:00:30"/>
            <filter val="13:41:22"/>
            <filter val="10:03:30"/>
            <filter val="11:48:14"/>
            <filter val="16:56:32"/>
            <filter val="16:12:15"/>
            <filter val="12:02:23"/>
            <filter val="11:19:32"/>
            <filter val="14:13:05"/>
            <filter val="14:23:49"/>
            <filter val="14:23:51"/>
            <filter val="11:58:42"/>
            <filter val="12:14:08"/>
            <filter val="16:00:49"/>
            <filter val="12:14:05"/>
            <filter val="11:58:45"/>
            <filter val="10:19:40"/>
            <filter val="16:00:45"/>
            <filter val="14:35:21"/>
            <filter val="14:57:37"/>
            <filter val="14:15:58"/>
            <filter val="11:19:27"/>
            <filter val="16:36:57"/>
            <filter val="14:27:36"/>
            <filter val="10:37:40"/>
            <filter val="13:51:52"/>
            <filter val="16:14:30"/>
            <filter val="14:27:35"/>
            <filter val="12:18:17"/>
            <filter val="12:41:38"/>
            <filter val="15:03:37"/>
            <filter val="11:29:52"/>
            <filter val="11:36:47"/>
            <filter val="11:19:16"/>
            <filter val="14:27:34"/>
            <filter val="11:19:18"/>
            <filter val="16:14:10"/>
            <filter val="15:50:16"/>
            <filter val="13:28:52"/>
            <filter val="15:50:15"/>
            <filter val="12:58:52"/>
            <filter val="15:37:50"/>
            <filter val="15:39:17"/>
            <filter val="10:27:13"/>
            <filter val="11:29:44"/>
            <filter val="16:14:06"/>
            <filter val="11:19:01"/>
            <filter val="10:15:28"/>
            <filter val="15:15:45"/>
            <filter val="11:19:02"/>
            <filter val="10:49:44"/>
            <filter val="15:03:19"/>
            <filter val="14:50:34"/>
            <filter val="12:41:18"/>
            <filter val="13:51:34"/>
            <filter val="13:28:22"/>
            <filter val="10:39:06"/>
            <filter val="13:51:38"/>
            <filter val="10:59:53"/>
            <filter val="16:24:47"/>
            <filter val="16:48:54"/>
            <filter val="14:39:11"/>
            <filter val="15:39:04"/>
            <filter val="11:17:53"/>
            <filter val="12:18:15"/>
            <filter val="11:48:50"/>
            <filter val="11:38:05"/>
            <filter val="14:27:55"/>
            <filter val="10:37:50"/>
            <filter val="15:50:36"/>
            <filter val="15:49:47"/>
            <filter val="16:02:25"/>
            <filter val="15:03:05"/>
            <filter val="13:38:40"/>
            <filter val="15:13:43"/>
            <filter val="16:58:43"/>
            <filter val="13:04:25"/>
            <filter val="14:25:55"/>
            <filter val="15:25:21"/>
            <filter val="15:47:58"/>
            <filter val="10:27:28"/>
            <filter val="10:39:26"/>
            <filter val="14:37:38"/>
            <filter val="14:37:37"/>
            <filter val="10:39:21"/>
            <filter val="15:13:58"/>
            <filter val="14:37:31"/>
            <filter val="11:29:14"/>
            <filter val="15:13:57"/>
            <filter val="14:15:06"/>
            <filter val="11:17:35"/>
            <filter val="14:49:38"/>
            <filter val="16:36:24"/>
            <filter val="11:38:35"/>
            <filter val="15:25:36"/>
            <filter val="10:17:00"/>
            <filter val="12:16:48"/>
            <filter val="13:51:04"/>
            <filter val="10:39:17"/>
            <filter val="13:14:57"/>
            <filter val="16:26:38"/>
            <filter val="14:15:36"/>
            <filter val="16:36:39"/>
            <filter val="10:27:58"/>
            <filter val="11:17:20"/>
            <filter val="12:38:57"/>
            <filter val="16:36:37"/>
            <filter val="10:17:12"/>
            <filter val="11:17:18"/>
            <filter val="15:49:17"/>
            <filter val="14:27:15"/>
            <filter val="10:40:24"/>
            <filter val="15:15:10"/>
            <filter val="13:38:14"/>
            <filter val="15:03:57"/>
            <filter val="10:39:47"/>
            <filter val="10:39:46"/>
            <filter val="15:37:29"/>
            <filter val="16:36:43"/>
            <filter val="16:14:36"/>
            <filter val="14:49:18"/>
            <filter val="15:15:17"/>
            <filter val="12:16:30"/>
            <filter val="15:25:56"/>
            <filter val="16:26:18"/>
            <filter val="13:38:25"/>
            <filter val="12:28:00"/>
            <filter val="13:16:16"/>
            <filter val="16:06:04"/>
            <filter val="12:21:33"/>
            <filter val="12:21:35"/>
            <filter val="10:47:00"/>
            <filter val="11:17:00"/>
            <filter val="16:16:49"/>
            <filter val="13:49:18"/>
            <filter val="10:23:30"/>
            <filter val="11:17:05"/>
            <filter val="15:23:47"/>
            <filter val="15:47:15"/>
            <filter val="13:13:57"/>
            <filter val="15:23:49"/>
            <filter val="15:01:13"/>
            <filter val="16:28:21"/>
            <filter val="13:13:53"/>
            <filter val="15:59:19"/>
            <filter val="13:49:06"/>
            <filter val="13:59:52"/>
            <filter val="10:45:49"/>
            <filter val="15:47:00"/>
            <filter val="15:47:03"/>
            <filter val="13:13:46"/>
            <filter val="16:41:14"/>
            <filter val="12:21:30"/>
            <filter val="16:41:11"/>
            <filter val="16:28:10"/>
            <filter val="12:21:10"/>
            <filter val="11:27:26"/>
            <filter val="16:53:11"/>
            <filter val="10:13:04"/>
            <filter val="12:21:17"/>
            <filter val="16:53:13"/>
            <filter val="15:13:28"/>
            <filter val="10:23:50"/>
            <filter val="15:47:33"/>
            <filter val="12:31:58"/>
            <filter val="16:28:06"/>
            <filter val="16:41:25"/>
            <filter val="15:57:59"/>
            <filter val="10:25:00"/>
            <filter val="15:47:30"/>
            <filter val="12:57:12"/>
            <filter val="13:59:25"/>
            <filter val="10:57:40"/>
            <filter val="16:41:34"/>
            <filter val="16:04:42"/>
            <filter val="15:11:21"/>
            <filter val="15:33:56"/>
            <filter val="13:59:22"/>
            <filter val="15:57:29"/>
            <filter val="15:23:02"/>
            <filter val="10:13:30"/>
            <filter val="11:15:22"/>
            <filter val="16:51:18"/>
            <filter val="13:59:14"/>
            <filter val="14:18:10"/>
            <filter val="13:35:45"/>
            <filter val="13:13:12"/>
            <filter val="12:43:12"/>
            <filter val="13:35:49"/>
            <filter val="10:37:00"/>
            <filter val="12:43:10"/>
            <filter val="13:13:16"/>
            <filter val="10:59:38"/>
            <filter val="13:25:16"/>
            <filter val="15:45:21"/>
            <filter val="14:28:36"/>
            <filter val="12:57:42"/>
            <filter val="10:13:45"/>
            <filter val="10:47:29"/>
            <filter val="10:35:55"/>
            <filter val="12:43:05"/>
            <filter val="13:35:59"/>
            <filter val="12:47:02"/>
            <filter val="15:57:00"/>
            <filter val="13:13:42"/>
            <filter val="16:28:51"/>
            <filter val="10:37:16"/>
            <filter val="16:18:09"/>
            <filter val="15:57:09"/>
            <filter val="11:31:00"/>
            <filter val="12:18:45"/>
            <filter val="16:38:57"/>
            <filter val="12:57:46"/>
            <filter val="11:15:02"/>
            <filter val="13:23:52"/>
            <filter val="11:53:40"/>
            <filter val="12:41:55"/>
            <filter val="15:23:27"/>
            <filter val="10:37:20"/>
            <filter val="11:03:04"/>
            <filter val="15:57:14"/>
            <filter val="16:28:40"/>
            <filter val="13:13:31"/>
            <filter val="15:11:51"/>
            <filter val="11:53:20"/>
            <filter val="14:41:18"/>
            <filter val="15:57:15"/>
            <filter val="13:57:53"/>
            <filter val="12:57:59"/>
            <filter val="15:45:51"/>
            <filter val="16:16:57"/>
            <filter val="16:51:23"/>
            <filter val="10:15:00"/>
            <filter val="13:25:00"/>
            <filter val="10:15:04"/>
            <filter val="15:23:32"/>
            <filter val="13:35:34"/>
            <filter val="10:37:13"/>
            <filter val="12:47:22"/>
            <filter val="12:41:40"/>
            <filter val="10:55:24"/>
            <filter val="10:03:20"/>
            <filter val="12:23:58"/>
            <filter val="13:45:58"/>
            <filter val="11:01:50"/>
            <filter val="16:08:29"/>
            <filter val="12:01:22"/>
            <filter val="13:23:22"/>
            <filter val="11:31:22"/>
            <filter val="10:43:42"/>
            <filter val="10:21:05"/>
            <filter val="13:57:38"/>
            <filter val="11:13:44"/>
            <filter val="16:43:23"/>
            <filter val="14:33:38"/>
            <filter val="14:33:37"/>
            <filter val="13:11:32"/>
            <filter val="11:01:48"/>
            <filter val="13:35:04"/>
            <filter val="13:11:35"/>
            <filter val="10:31:44"/>
            <filter val="10:55:36"/>
            <filter val="14:11:01"/>
            <filter val="15:08:47"/>
            <filter val="13:45:46"/>
            <filter val="15:33:01"/>
            <filter val="13:45:44"/>
            <filter val="12:01:35"/>
            <filter val="16:55:08"/>
            <filter val="11:31:36"/>
            <filter val="16:31:53"/>
            <filter val="11:13:33"/>
            <filter val="15:43:42"/>
            <filter val="12:13:12"/>
            <filter val="15:21:31"/>
            <filter val="10:43:27"/>
            <filter val="12:01:40"/>
            <filter val="14:33:22"/>
            <filter val="11:25:00"/>
            <filter val="12:01:05"/>
            <filter val="10:55:04"/>
            <filter val="11:01:30"/>
            <filter val="10:33:19"/>
            <filter val="14:23:19"/>
            <filter val="12:01:00"/>
            <filter val="10:03:00"/>
            <filter val="13:23:02"/>
            <filter val="15:11:06"/>
            <filter val="10:45:00"/>
            <filter val="14:23:10"/>
            <filter val="11:13:14"/>
            <filter val="12:11:45"/>
            <filter val="11:13:23"/>
            <filter val="12:35:12"/>
            <filter val="13:33:46"/>
            <filter val="11:31:52"/>
            <filter val="11:55:21"/>
            <filter val="14:55:44"/>
            <filter val="14:33:58"/>
            <filter val="11:01:23"/>
            <filter val="10:01:50"/>
            <filter val="11:01:43"/>
            <filter val="12:01:18"/>
            <filter val="11:01:40"/>
            <filter val="13:11:52"/>
            <filter val="10:33:04"/>
            <filter val="12:13:00"/>
            <filter val="16:55:28"/>
            <filter val="16:55:25"/>
            <filter val="11:13:03"/>
            <filter val="16:43:51"/>
            <filter val="13:57:03"/>
            <filter val="10:21:35"/>
            <filter val="13:57:02"/>
            <filter val="13:45:31"/>
            <filter val="10:33:10"/>
            <filter val="14:55:58"/>
            <filter val="13:45:13"/>
            <filter val="10:01:45"/>
            <filter val="10:01:44"/>
            <filter val="10:45:20"/>
            <filter val="13:55:59"/>
            <filter val="14:55:28"/>
            <filter val="13:55:56"/>
            <filter val="11:01:03"/>
            <filter val="10:33:40"/>
            <filter val="11:01:01"/>
            <filter val="16:53:21"/>
            <filter val="10:33:28"/>
            <filter val="10:01:30"/>
            <filter val="14:21:06"/>
            <filter val="10:23:00"/>
            <filter val="15:55:19"/>
            <filter val="16:53:25"/>
            <filter val="12:33:50"/>
            <filter val="14:43:55"/>
            <filter val="13:55:47"/>
            <filter val="10:21:55"/>
            <filter val="12:33:48"/>
            <filter val="11:01:18"/>
            <filter val="11:43:56"/>
            <filter val="15:43:07"/>
            <filter val="14:55:37"/>
            <filter val="12:21:53"/>
            <filter val="13:43:56"/>
            <filter val="12:21:58"/>
            <filter val="10:33:58"/>
            <filter val="14:21:35"/>
            <filter val="10:45:40"/>
            <filter val="11:33:23"/>
            <filter val="14:33:18"/>
            <filter val="10:55:51"/>
            <filter val="16:43:03"/>
            <filter val="10:33:49"/>
            <filter val="11:01:00"/>
            <filter val="16:53:40"/>
            <filter val="14:43:30"/>
            <filter val="14:43:35"/>
            <filter val="13:21:37"/>
            <filter val="15:21:11"/>
            <filter val="15:43:22"/>
            <filter val="12:11:15"/>
            <filter val="12:33:28"/>
            <filter val="16:08:44"/>
            <filter val="13:55:29"/>
          </filters>
        </filterColumn>
        <filterColumn colId="17">
          <filters>
            <filter val="TRUE"/>
          </filters>
        </filterColumn>
      </autoFilter>
    </customSheetView>
    <customSheetView guid="{8FFC5C3A-E8BA-4920-B36D-7853DBE6AFA1}" filter="1" showAutoFilter="1">
      <autoFilter ref="$A$1:$AD$3000">
        <filterColumn colId="1">
          <filters>
            <filter val="Channel 3"/>
            <filter val="Channel 4"/>
            <filter val="Channel 1"/>
            <filter val="Channel 2"/>
            <filter val="CHANNEL 3"/>
          </filters>
        </filterColumn>
      </autoFilter>
    </customSheetView>
    <customSheetView guid="{8BF00533-E28D-4DC3-8F95-BD5C6569268C}" filter="1" showAutoFilter="1">
      <autoFilter ref="$A$1:$AD$3000">
        <filterColumn colId="15">
          <filters>
            <filter val="Eoin"/>
          </filters>
        </filterColumn>
      </autoFilter>
    </customSheetView>
    <customSheetView guid="{46A218BA-3811-403F-88D6-9669160C39FF}" filter="1" showAutoFilter="1">
      <autoFilter ref="$A$1:$AD$3000">
        <filterColumn colId="16">
          <filters>
            <filter val="https://drive.google.com/file/d/1wHGxNZiIcAtRQ3FAt0lG0RxKiUT9OQQc/view"/>
            <filter val="https://drive.google.com/drive/folders/1-lfMc-n2JjJXqplTohHkX_fstoxMPvxD"/>
            <filter val="https://drive.google.com/drive/folders/1-N_lTQVftC30zdLPeLsWw7-UVUfMFRJX"/>
            <filter val="https://drive.google.com/drive/folders/1fu_sqI6fCUZpcyVMsRE-Y2OUZ8nlL-MW"/>
            <filter val="https://drive.google.com/drive/folders/1w3bLaDbSrsK04MW1-b_KdTmU-F193r5a"/>
            <filter val="https://drive.google.com/drive/u/0/folders/1ZombyD7USVyjBzsiP_yX0iQ_LZwNpugS"/>
            <filter val="https://drive.google.com/drive/folders/18a6_MBMtivSMv4ez4dk1mhNsuxn0L3-h"/>
            <filter val="https://drive.google.com/drive/folders/1XfyYcteCLOCDYTctiBg3KOVNiM-mNTDT"/>
            <filter val="https://drive.google.com/drive/u/0/folders/1Wh32k7RrFdjGtmBQ71day3j31sJgEm6Q"/>
            <filter val="https://drive.google.com/drive/u/0/folders/1ohfUBOwV2NuhFQTvrH65NE2V01vTvPuk"/>
            <filter val="https://drive.google.com/drive/folders/1SV9wTtnf20gS0K13wInef3bKi3MyTHXn"/>
            <filter val="https://drive.google.com/open?id=1yoOTLw1PDuaz1o6KR3dvabz3nL286wVO"/>
            <filter val="https://drive.google.com/drive/folders/11Kp3GXQA_QgHKXrwDa2q7dFzm-Q1Kx7x"/>
            <filter val="https://drive.google.com/drive/folders/1xYZq-d4TF6LzoJw0r-3ycpoxSmi7AQ5r"/>
            <filter val="https://drive.google.com/drive/folders/1pKmmC0X1WmGSMqI1WVssy1sDmCNI93-E"/>
            <filter val="https://drive.google.com/drive/folders/13fzogQ0srlsloJJFfP1oS8ikUbaMAi26"/>
            <filter val="https://drive.google.com/drive/folders/1BZBQhsInUQyANy_rrUinXh-IxUdL266E"/>
            <filter val="https://drive.google.com/open?id=1_TNmXMbp7Z3E2ockr5bEOdCSIkzfZT6d"/>
            <filter val="https://drive.google.com/open?id=1eyffG8lNqD12lIREN2L7dsPHWx4ICLD3"/>
            <filter val="https://drive.google.com/drive/folders/1XDTByq6mSx9uk12sCi6hurjPrlYWSppq"/>
            <filter val="https://drive.google.com/drive/folders/12FuSibBT8CW-hkW5exaaOTrBLftRt5k2"/>
            <filter val="https://drive.google.com/drive/folders/15IUBXF2VOAoiAFSWHGsQu5SGJGaW5QzL"/>
            <filter val="https://drive.google.com/drive/folders/19WQkZCOHjmGKEZcp2KkGtwCofx_FL0vo"/>
            <filter val="https://drive.google.com/drive/folders/12UlNct7OyPsyp2uoRmFwBKthPWej14JJ"/>
            <filter val="https://drive.google.com/drive/folders/12WAK_k8fAXiOwhWC345N34xoKOIoksnf"/>
            <filter val="https://drive.google.com/drive/folders/1g-n_3rr4qs7WE7sVvkKWLPd1bVdvgaDM"/>
            <filter val="https://drive.google.com/drive/u/0/folders/1H9OMUzLjvyo7o3kZ_a56GwQTCMJlo9GS"/>
            <filter val="https://drive.google.com/drive/folders/1_N3R_gaA19fkjykwn81Hs6F1yibMKSYl"/>
            <filter val="https://drive.google.com/drive/folders/1SkmrOUDBpURhUY_0ivaw2iu4Tk97Crfo"/>
            <filter val="https://drive.google.com/drive/folders/1izARwTcODsR65GBSPO6cwWc-2ZFh4WHr"/>
            <filter val="https://drive.google.com/drive/folders/1FpkRI9UezWNSWQo_g0oxEXKHXx5AMH_T"/>
            <filter val="https://drive.google.com/drive/u/0/folders/1xbRV6fTfka_qCDDfGQVovKj1qBqMKhdY"/>
            <filter val="https://drive.google.com/drive/folders/1sibEOr7dkLqogsbU5WPtqvuhD4X7wzfg"/>
            <filter val="https://drive.google.com/drive/folders/19XWtf87BJgJAQHpDJVqEYwKlI4by-Cx1"/>
            <filter val="https://drive.google.com/drive/folders/1YKhFi13j48D7uijNO4j8F42z587tnYcm"/>
            <filter val="https://drive.google.com/open?id=1IlG2HEK-OWvDz7nofURGJrurdcdzG7Xq"/>
            <filter val="https://drive.google.com/drive/folders/14TkMotm1LHxXP8TheOwTJWzMyEQFL9_I"/>
            <filter val="https://drive.google.com/file/d/1QsNioJx290z1N0LlGa9WsnedRprj9cWD/view"/>
            <filter val="https://drive.google.com/drive/u/0/folders/1YTOWwFaBKz6hGTXKpSzAj7KixRwUwaKu"/>
            <filter val="https://drive.google.com/drive/u/3/folders/0APQYI2bgcQveUk9PVA"/>
            <filter val="https://drive.google.com/drive/folders/1_Fn8SJxDiNnJyknagUbNpGs35s-ZZUua"/>
            <filter val="https://drive.google.com/drive/folders/1jiGi5DPOjQ7NqthhOrwWhjKW3QCm6jCN"/>
            <filter val="https://drive.google.com/drive/u/0/folders/1puNGNF84WkV1lRc56eH2MgWFXlEMv5YJ"/>
            <filter val="https://drive.google.com/drive/folders/1rJdsxXJ0EuXb7DnbkJrj6C5o1xyKfZ74"/>
            <filter val="https://drive.google.com/drive/folders/1TN7DNvVjm9IodNd7zGxMgJv452hS5sgs"/>
            <filter val="https://drive.google.com/drive/u/0/folders/1v10fEWbvxqlOKUkHgs71dn_jGiZCa-XA"/>
            <filter val="https://drive.google.com/drive/u/0/folders/1ZYDSl_4yiiSkaaUG8JVkJx0xons--ucq"/>
            <filter val="https://drive.google.com/drive/folders/1tctYGsfOcff2KmoQ9nWw4pJx3pmsLIiu"/>
            <filter val="https://drive.google.com/drive/u/0/folders/1uGx78doQJQEjY6VYsSjqWaTZ2InlgATT"/>
            <filter val="https://drive.google.com/drive/u/0/folders/1SkmrOUDBpURhUY_0ivaw2iu4Tk97Crfo"/>
            <filter val="https://drive.google.com/drive/folders/1sCYZYkq1oc6Db41BuQtSWx_yTxvuVhWU"/>
            <filter val="https://drive.google.com/drive/folders/1SNfeIaMz3mPI_zhd_x-Do4rRbW4hIgaw"/>
            <filter val="https://drive.google.com/drive/folders/12VNymFvmYEX23TyoqlB0eihdxmB1poov"/>
            <filter val="https://drive.google.com/drive/folders/1aN8A3HpsnuRg9GnuEIdMj4_bf_uKC1Zl"/>
            <filter val="https://drive.google.com/drive/folders/12-nQP-T5WKYu2XFKGVk8vBdKUTh_CBgP"/>
            <filter val="https://drive.google.com/drive/u/0/folders/16duXqCh5RySYlRn5JBwSzbX8OfU6G3LE"/>
            <filter val="https://drive.google.com/drive/folders/12eEj_FQpdkrNRLfDc50lgkIOCyFKLnMg"/>
            <filter val="https://drive.google.com/file/d/1iuF48m3Mvjd3nGdAEU3eoTd6Vlf57ZD0/view"/>
            <filter val="https://drive.google.com/drive/folders/19zPdJf-KuC2dzhycjIzn1deyJTgBO_Yh"/>
            <filter val="https://drive.google.com/drive/folders/1zhGRYKRkrqB5K3_-4g5HNkxhdIOaS-9r"/>
            <filter val="https://drive.google.com/open?id=1j8HM91d_xtyw2F-4dK350qZ7Oc3AMLh2"/>
            <filter val="https://drive.google.com/drive/folders/1hOFUKOSvw3ETOIlRHZbHRwjeP-Hst0hH"/>
            <filter val="https://drive.google.com/drive/folders/1d6jpUxzOuCyc-_ED3zNbCLk1HJRkOujo"/>
            <filter val="https://drive.google.com/drive/folders/1os17jCor7gWeZWhOOoiNb5aOkReLi_F2"/>
            <filter val="https://drive.google.com/drive/folders/1Gba7xTorZfxAsZq9IXzvfqQLWVy_Wh1_"/>
            <filter val="https://drive.google.com/drive/folders/1yKTcm8NWgCug8OU7MqQXmeZwf7P5DAkL"/>
            <filter val="https://drive.google.com/drive/folders/1840la6RuMEJ_DN9htvDWRzUEts4bcJsV"/>
            <filter val="https://drive.google.com/drive/folders/1qeDlp5Rnd5p1RhUn4jARWZYjqBQR2wgI"/>
            <filter val="https://drive.google.com/drive/folders/1SYH6Jr4_A6LNcUlCSuCc_WS-m4HZkU4r"/>
            <filter val="https://drive.google.com/drive/folders/1aII2S8aT7rHUTANbq9xIV4s6f84pSTwz"/>
            <filter val="https://drive.google.com/drive/folders/1bI0osWic68D9m5LhrNKYzWuoAM_Eq5Lb"/>
            <filter val="https://drive.google.com/drive/folders/1Ls4jRV2IdIvt_3YWRzSENiQ63jlsHCto"/>
            <filter val="https://drive.google.com/drive/folders/1ifC7brU4keQIJVjdd7ghfKzbHF7GAgoF"/>
            <filter val="https://drive.google.com/drive/folders/1KJeZ3e6FcLAw3t75daP6cP7Igh1aSCAI"/>
            <filter val="https://drive.google.com/open?id=11L3shaG9SIT4IB7eJNCWtLeP90nsYtPx"/>
            <filter val="https://drive.google.com/drive/u/0/folders/1S23SSsNEkRtidcIWW-W2DYgW-yYWqErM"/>
            <filter val="https://drive.google.com/drive/folders/19Qp-ngGZ4HHemH21JyaVjGwXIqI0xUzL"/>
            <filter val="https://drive.google.com/drive/u/0/folders/12-Qr1-reGo9XBmY2VdtH7dT8W-0YvO2n"/>
            <filter val="https://drive.google.com/drive/folders/1g-tnLqeXoFOpYKe4RwnGMIdNySVlq8_G"/>
            <filter val="https://drive.google.com/drive/u/0/folders/16Lq7KremRblAU77SHMWTiH_kLAspFbcZ"/>
            <filter val="https://drive.google.com/drive/folders/1S23SSsNEkRtidcIWW-W2DYgW-yYWqErM"/>
            <filter val="https://drive.google.com/drive/folders/1WfQ-BAXMq7YsZVAuQQug3wDSfaLu1TYZ"/>
            <filter val="https://drive.google.com/drive/folders/1OKBEWjXFPhf42y1De4ELVd6k1iPHa3LY"/>
            <filter val="https://drive.google.com/drive/u/0/folders/1CUmGWCI6F8LQB7eQr9kiESArVblWuVXx"/>
            <filter val="https://drive.google.com/drive/folders/17X7-2-Gjv3DogH-CdCBpTz7iu1OkwXm-"/>
            <filter val="https://drive.google.com/drive/folders/1GV-tl4uBAun-_G5yDU6ZRq6uZjthAXIF"/>
            <filter val="https://drive.google.com/drive/folders/1MtfDXyooI0nVbWvqXrcdX3OFlN1WJAoe"/>
            <filter val="https://drive.google.com/drive/folders/1lGKq_UIddESclnNQtlEkR82BdLD5YUJi"/>
            <filter val="https://drive.google.com/drive/u/0/folders/1XTI9LVhuOSVk7yWdXV-Tqve87svXcxC2"/>
            <filter val="https://drive.google.com/drive/folders/1LObWhZld8rVNIHms7wlweaceTNVQAUuq"/>
            <filter val="https://drive.google.com/drive/folders/1kiv8Dp-WrB4wfrlPo960_DldbwE-72cA"/>
            <filter val="https://drive.google.com/drive/folders/1OYhYXIKzPH7DnNhIXc2ORuf61b26Fvw5"/>
            <filter val="https://drive.google.com/drive/folders/1SR_HOWC04psOsp3gNzCwBiiZ18XsDiKd"/>
            <filter val="https://drive.google.com/drive/folders/1gdooiPpuXRquyOW2WMKSJSCdJoiIqcVW"/>
            <filter val="https://drive.google.com/drive/u/0/folders/13IScvlEnUU-MUZq0WdNYWCQN-K8f-RB2"/>
            <filter val="https://drive.google.com/drive/folders/1O1GXP9s-bQUxOT16YzKQBuxwv115twtc"/>
            <filter val="https://drive.google.com/open?id=1M6ZqvAaf0Y3t58EPKRiHJH-xE7bajGwr"/>
            <filter val="https://drive.google.com/drive/folders/1cryKeXDnrGUz4V6VinunUZFGAbWohM4O"/>
            <filter val="https://drive.google.com/drive/folders/10ihU_nTm1vU8dd89A8EHLr2rhu_ZTU6D"/>
            <filter val="https://drive.google.com/drive/folders/1vUpZRl_cS7HO1gabF9uSL_v_CJf5cqKG"/>
            <filter val="https://drive.google.com/drive/folders/1eUL6SYq5fi_pAFtnx3vXrEbq6ipTt73E"/>
            <filter val="https://drive.google.com/drive/folders/1a6_xg2wsEBlVdXeiLrtD0C41LacrPU0C"/>
            <filter val="https://drive.google.com/drive/folders/1He_cNW-53C69clU5Zw3fbUrTPnjEaT1M"/>
            <filter val="https://drive.google.com/drive/folders/1xcukzNsSpK0ZmG74B7GcV8LqDvzhnVIE"/>
            <filter val="https://drive.google.com/drive/folders/1u6c0gL0-a2IggkwmvkVWN6Eoux6u_i3u"/>
            <filter val="https://drive.google.com/drive/u/0/folders/1bdxOeY0MQMyEDB4UoeupbEDu7Cl0VptI"/>
            <filter val="https://drive.google.com/drive/folders/1bdxOeY0MQMyEDB4UoeupbEDu7Cl0VptI"/>
            <filter val="https://drive.google.com/open?id=1Js5H3z59qQHO-W67jJd_57G_NnX-Mssn"/>
            <filter val="https://drive.google.com/drive/folders/1pRVPGoP4G9_mL-yRVuczKs23GPw-QfT8"/>
            <filter val="https://drive.google.com/drive/folders/1WqurW8vEqoA2Drg9rKh27W9meJrcxl_L"/>
            <filter val="https://drive.google.com/drive/folders/1iUUlR1mBzerqhr7nHmQrMKvqs4ky3wK8"/>
            <filter val="https://drive.google.com/drive/folders/1aQmSuNd0AK9kgaJWfMioYlMqRkdo1SWp"/>
            <filter val="https://drive.google.com/drive/folders/19sDJNX5Huus2mj8Rd8FGJxXs8sDMDcb8"/>
            <filter val="https://drive.google.com/drive/folders/1JEIwHRXP4jeZbqVDgN-5EgA95Ijnf5pu"/>
            <filter val="https://drive.google.com/drive/folders/1Ud_vcx2mXW_j4e47qllgnTlBNPt-wvgx"/>
            <filter val="https://drive.google.com/drive/folders/1RpMz22EJVhb1QWqG-jX3BafiT9K-Iemv"/>
            <filter val="https://drive.google.com/drive/u/0/folders/1n4NsXQ56eh6LChvHbdZB7hLdK1YWPyDC"/>
            <filter val="https://drive.google.com/drive/folders/1UX1Mbq8v-NOAL29khLK13tQkW0igM5BC"/>
            <filter val="RE-RECORD"/>
            <filter val="https://drive.google.com/drive/folders/1PLMhaTY0t4rsgTkReO5F_FgiWnH_kiAL"/>
            <filter val="https://drive.google.com/drive/folders/18Xhxmykj_yBLA2JA4nARMKW71CIkJQL2"/>
            <filter val="https://drive.google.com/drive/u/0/folders/1ZG6KzRFinSwNifh25WRbwspu69sss3bJ"/>
            <filter val="https://drive.google.com/drive/folders/15s-LbOntXoML4i_In4RgAQTiAtL82fyA"/>
            <filter val="https://drive.google.com/drive/folders/1x_x-kVu3Ihf654vWUpHx9FFy7xb-Gci1"/>
            <filter val="https://drive.google.com/drive/folders/1eCEJ5GTd2CGYAbt5WSy2lTgEugNlp-jX"/>
            <filter val="https://drive.google.com/open?id=1U-O0j9pbpvJHQGFAuXa3PpMqxuxpuwt4"/>
            <filter val="https://drive.google.com/drive/folders/1akQv0RCpEZ1_6qWswVSY9eZrBVB7obcG"/>
            <filter val="https://drive.google.com/drive/folders/1k43WD7UiyZceJhy8a9TLr0jZDF99bJot"/>
            <filter val="https://drive.google.com/drive/folders/1EPt6aX1_McbwpFjgdMlaQKbNqUsvuR-C"/>
            <filter val="https://drive.google.com/drive/folders/1XyRorIqfSB74cOV6t4NRipx6CMPUnifS"/>
            <filter val="https://drive.google.com/drive/u/0/folders/1d6jpUxzOuCyc-_ED3zNbCLk1HJRkOujo"/>
            <filter val="https://drive.google.com/open?id=1fP3LVDlhGaM3-O0RR3bJHDYClMVtPWlo"/>
            <filter val="https://drive.google.com/drive/u/0/folders/1mC0-syD_7fDVM829Labe3H04iAHtJGcr"/>
            <filter val="https://drive.google.com/drive/folders/17FbhkqnUd9dITrrnI4hyatXw8KTDDtsD"/>
            <filter val="https://drive.google.com/drive/u/0/folders/1os17jCor7gWeZWhOOoiNb5aOkReLi_F2"/>
            <filter val="https://drive.google.com/drive/u/0/folders/1O2l07vCj7NrJR2fYr2bKdcfyr2I8GPIy"/>
            <filter val="https://drive.google.com/drive/u/0/folders/1N1h4a0p8cFNaa7gHRzMjlXwS5rNB7W98"/>
            <filter val="https://drive.google.com/drive/u/0/folders/1TpmFFiZY8TjyeNNQLZRXWshMt6bp_rjH"/>
            <filter val="https://drive.google.com/drive/folders/1tIR_uXFm09nimDEPyy4cKvNdpoxF2tGW"/>
            <filter val="https://drive.google.com/drive/u/0/folders/1WuCjbtd5Sd7QhKOoV97gvMgrCjyQ9rAS"/>
            <filter val="Cancelled"/>
            <filter val="https://drive.google.com/drive/folders/1G5cMaP8HG3XlYUHfr1Efdf7iSmWg5WNa"/>
            <filter val="https://drive.google.com/drive/u/0/folders/1CAKMErFHlfoS_gs733qaCagbJD5lltxW"/>
            <filter val="https://drive.google.com/drive/folders/15TfbQlDkDAdiZM5T8UXVKiIWNCCpCmuJ"/>
            <filter val="https://drive.google.com/open?id=1PTH71kW2NN9jJAx0cer7qFN1GJKdco9-"/>
            <filter val="https://drive.google.com/drive/folders/1efYhJoG8VOFxrIzE_7tH8jwHZPqglSs8"/>
            <filter val="https://drive.google.com/drive/folders/1D7f1rmt68F5qxypDFFkEXAtUvuMmOOUw"/>
            <filter val="https://drive.google.com/drive/folders/13xKMykNyi-0pClROpz_d_iYixDhhaM9D"/>
            <filter val="https://drive.google.com/drive/folders/11wDqUplE4W5-25xB_slq5hWtmaKEeMa_"/>
            <filter val="https://drive.google.com/drive/folders/16bc7lDa31A9of-Y92cNbF0i662kY4-Br"/>
            <filter val="https://drive.google.com/drive/folders/1qYbXi5vl24SvlxFVrg-ev5pOZYF8N4wT"/>
            <filter val="https://drive.google.com/open?id=1huL-GfeSJRY5Mo_am3dYlja1eTxr4gy3"/>
            <filter val="https://drive.google.com/drive/folders/1fz1Y5NGSSUL-qVMVDoP9kM2pwTJf1MNL"/>
            <filter val="https://drive.google.com/drive/u/0/folders/1RxTatyV5hRKtJaFsKu-1eydCNLSE00HJ"/>
            <filter val="https://drive.google.com/open?id=1CRgjkGu2gvd4_E7piq8MLBJgk2HvINOK"/>
            <filter val="https://drive.google.com/drive/folders/1tXvWBfsJ9Sd2XhhGodvEmKtMeJUb3Mm6"/>
            <filter val="https://drive.google.com/drive/folders/13AliuzNaRtT3nzvB8lWh00R3P2ucv9il"/>
            <filter val="https://drive.google.com/drive/folders/1W8lZGst7iOVc6Ujs6ksvfqPXNZ55L_Wg"/>
            <filter val="https://drive.google.com/drive/folders/1UsuAUek2x4HDJiVi5-oO52rX3GyGG5oD"/>
            <filter val="https://drive.google.com/open?id=1ZwvS-zbtKTOMM_voZRErd3Oo7t2hKvos"/>
            <filter val="https://drive.google.com/drive/folders/12c5_ndEKICu6R16p41NI2znvB9xm6A6K"/>
            <filter val="https://drive.google.com/drive/folders/1ZLJ6DK7UituGJC66eP-6SlF6nMfvTvpd"/>
            <filter val="https://drive.google.com/drive/folders/12VlrMobJhZ6CTTLaFSQh8bQKT_JdOBqO"/>
            <filter val="https://drive.google.com/drive/folders/1fMYnhsbGMY1NR4--__54ebfJ_XqcLk6H"/>
            <filter val="https://drive.google.com/drive/folders/1W6bCaXBPH2vXvKkLviVVPXXEtVEKWTXe"/>
            <filter val="https://drive.google.com/drive/folders/1GEBBPxPzwodnTFkCYTM0k6yshdeZFoxC"/>
            <filter val="https://drive.google.com/drive/folders/1hxSBEet3ljw08X_k9lSNixO-iyv_Wowp"/>
            <filter val="https://drive.google.com/drive/u/0/folders/1AZKjPI79gQ3avYG72zIdIWxeYCM3IbNZ"/>
            <filter val="https://drive.google.com/drive/folders/1XMsFdptYgSNH6Xyulmylf7pdG9VRdpyR"/>
            <filter val="https://drive.google.com/drive/folders/1_5C1G7tkT7GbmHQuEW63E2aNu7s5ux4C"/>
            <filter val="https://drive.google.com/drive/folders/1zR8iBc_Q7gZ5ndcuGrsXMmVuh2-Xx3SO"/>
            <filter val="https://drive.google.com/drive/u/0/folders/1dNicnbBrrwOhLanaxpEkGdEYv6w0UmZI"/>
            <filter val="https://drive.google.com/drive/folders/1kFhq4jmrz7sVMrwSJ0pvOsdKICO0BxOZ"/>
            <filter val="https://drive.google.com/drive/folders/1NPFtFwqbjJ0jihWqmPClLKWxgRT-uh_4"/>
            <filter val="https://drive.google.com/drive/u/0/folders/1iyKHTdkO816utNTe7jUBEgU5mEmJ7QYp"/>
            <filter val="https://drive.google.com/drive/folders/1WA_MQf2HU84CgsiX9zk1Cj-InYGwDjVI"/>
            <filter val="https://drive.google.com/drive/folders/1GBNRD0mm0McTIhcBFOXHxc9T95Kgsn89"/>
            <filter val="https://drive.google.com/drive/folders/1mdpZ70MVRJ3v8NU7WC2RnRhWUiF0vpaX"/>
            <filter val="https://drive.google.com/drive/folders/1sG3VS00YxfQa6lUI5tmVqd2rgBvUAiWV"/>
            <filter val="https://drive.google.com/drive/folders/1PlIZnlEyHzjk518gfmS__2WzgMjERS4r"/>
            <filter val="https://drive.google.com/drive/folders/1_fOeZVVWNtrZbJGfHX6yeZg_c1asABQA"/>
            <filter val="https://drive.google.com/drive/folders/1nJzaG9zj2B_ok6TMIjwfeem4pCyGBcTd"/>
            <filter val="https://drive.google.com/open?id=1El-0B5Tl-Kpf6baGoX3sNo49pKEvYqmH"/>
            <filter val="https://drive.google.com/drive/folders/1Cl8xWVAdbPfbXQ_nuLYm2jjuOgC0Gj6z"/>
            <filter val="https://drive.google.com/drive/folders/1YHAYXKxTocpVYfQ_wn8AZog-dBbMXTNI"/>
            <filter val="https://drive.google.com/drive/folders/1LtQbUDMFiZOLXIh2ZnbCsDqNqq0rrjdg"/>
            <filter val="https://drive.google.com/drive/folders/1P5FTARyi548foqTMC_neRe-EISJgWN6x"/>
            <filter val="https://drive.google.com/drive/folders/1zk8f-65Et3x2832zH9WE91rK-Ms1EFBY"/>
            <filter val="https://drive.google.com/drive/u/0/folders/1PYeUYByANYuOWEQmiSqbMH-fEbUg3hQV"/>
            <filter val="https://drive.google.com/drive/u/0/folders/1uW1AsP--W2bY2Sh014mW4OXD25LW31mY"/>
            <filter val="https://drive.google.com/drive/folders/1FJFSnaWJYbTZqoKzQFJAyejXRi1aD9DJ"/>
            <filter val="https://drive.google.com/drive/folders/1oSZ0y2NO0v8x0zBUBInQOXtXwNfn-Iqb"/>
            <filter val="https://drive.google.com/drive/folders/1Rba3un6w02r53Ov-73FxsM89xj6bR1AI"/>
            <filter val="https://drive.google.com/drive/folders/194jPRJtygqA0JDrJOqg_U91xXXF0cfnV"/>
            <filter val="https://drive.google.com/drive/folders/1WtSD-kt6DSyOyQaQ4ESWdRbbBszuc0CK"/>
            <filter val="https://drive.google.com/drive/folders/1WzIuKv8UHAhfwZKuewh5tMG3apuYySh1"/>
            <filter val="https://drive.google.com/drive/u/0/folders/1cbArxMenmlgdix4Q4Bl0OYlP4YEzmXhJ"/>
            <filter val="https://drive.google.com/drive/u/0/folders/19tCxe3_oEojQXg_EQUtW0r47vRjdS3h8"/>
            <filter val="https://drive.google.com/drive/u/0/folders/1O_PzFy_uNyFAc8L4eZyGZNqCKYpuEVjd"/>
            <filter val="https://drive.google.com/drive/folders/1Djh6MOQwOkMTHHSgCfzDbdfvbGdrT-iZ"/>
            <filter val="https://drive.google.com/open?id=1INRDbIVHzGy0bZoGVSgoZkYfczhAmdGt"/>
            <filter val="https://drive.google.com/drive/folders/1h-2GyZUn32YnNEmrXqJMTWg8-6FeutxW"/>
            <filter val="https://drive.google.com/drive/folders/1A2yyiqAnKw0B5VoGJ3vh-V8NF3ZFUuRj"/>
            <filter val="https://drive.google.com/drive/folders/1pQJeTjmg88ID5GV13D1CCs_oRpp8ZpUm"/>
            <filter val="https://drive.google.com/drive/folders/12GQUtEWRLu9vieEp-yYlq8fxi-2enGjY"/>
            <filter val="https://drive.google.com/drive/folders/1EqQQZk9iC1IXyBrTuWspd6UuaGd7joMv"/>
            <filter val="https://drive.google.com/drive/folders/1GUMQTka_XsFVV0ez2BoAyy5dptzTThWv"/>
            <filter val="https://drive.google.com/drive/folders/1aZMO2n9569MQjZ87oVRYgRbSYRCrIWtg"/>
            <filter val="https://drive.google.com/drive/folders/1S-esJ8uDgxV015C2rYpEb5ljvc2ej5Zz"/>
            <filter val="https://drive.google.com/drive/u/0/folders/1rSgySWSMKK5hAnC8iHZMFe_AXmCE_KqK"/>
            <filter val="https://drive.google.com/file/d/1-E2uvTen0Lb7nLueOau1lAsISMfZCH7y/view"/>
            <filter val="https://drive.google.com/drive/folders/1CKpXVyIZbeYdOVbZcV9xv0F5Wc50I5qP"/>
            <filter val="https://drive.google.com/drive/folders/1XsSTB2rBOOUgMfpCuJddf7f89lpvs2Xd"/>
            <filter val="https://drive.google.com/drive/folders/1chXxL63dH6olZ--wMXvvNLT7dR9wZ62H"/>
            <filter val="https://drive.google.com/drive/folders/1u7XVmy2HlVh2BtFIqf9C1lEBY_sb5x--"/>
            <filter val="https://drive.google.com/drive/folders/1TMZuxfn7YWI5wJGcQ_xdp1kDMCq8x2ii"/>
            <filter val="https://drive.google.com/drive/u/0/folders/1D1u9Pd_pk8erBxOnvDIGMs1Ka7kRwheR"/>
            <filter val="https://drive.google.com/drive/folders/19QIrwqQvEru45qhy7Zjdx5Gf8Tz32HCR"/>
            <filter val="https://drive.google.com/drive/folders/1NW4MoQtFR2q4nqSDkgtm82gYNDzXrN0M"/>
            <filter val="https://drive.google.com/drive/u/0/folders/19Ea31UxT2bPLaXMt9lqM-CeH48JX1jFo"/>
            <filter val="https://drive.google.com/drive/folders/1BqkVklha0kH9wIp8IfyEgiWHaK3juq5z"/>
            <filter val="https://drive.google.com/drive/folders/1vnII9hp2XGwEumpb-m_A3swkLAPQNOce"/>
            <filter val="https://drive.google.com/drive/folders/1lOgjXiCahXVZYynpmWc8KcIfEXCPwBks"/>
            <filter val="https://drive.google.com/drive/folders/1HxQflYQmkDxwzYyWzvwz7SwLgCQnHret"/>
            <filter val="https://drive.google.com/drive/folders/1GGOY8ZPEtV0S87EV3qJcPcvQTxEE_EPI"/>
            <filter val="https://drive.google.com/drive/u/1/folders/1GeCO3wRbFjHOR1NHW19jsG2VFVh-MOHX"/>
            <filter val="https://drive.google.com/drive/u/3/folders/1ZOcv6ailXwPhNkINfxWpTs-PtRksqZQC"/>
            <filter val="https://drive.google.com/drive/folders/1sKwJk3Rnv_Zt2K1_VEnBaYtNGCPeeWp6"/>
            <filter val="https://drive.google.com/drive/folders/1fnL5dSZANbr3Opxhu5gDoY4YpzgMnbGr"/>
            <filter val="https://drive.google.com/drive/u/0/folders/1SCXM4mY60kFXHD2jwZwlZE_b6InCLf-m"/>
            <filter val="https://drive.google.com/drive/folders/1xs1NJyMwXvMC4fjxhz0YbLSWQG60qxZc"/>
            <filter val="https://drive.google.com/drive/folders/1hCMRvw9XyYDzSzQb4W8w1-_WFF13gqeY"/>
            <filter val="https://drive.google.com/drive/folders/1pHj2EJYRtYSSzn4ucBt2apgEpxqpoD2x"/>
            <filter val="https://drive.google.com/drive/folders/14Y0D4OKS0h62kbUP4UIkD66SgAMzMrpP"/>
            <filter val="https://drive.google.com/drive/u/0/folders/1ti4RekkGHfxgT64FuCQAKz2VIgWBA1wy"/>
            <filter val="https://drive.google.com/drive/u/0/folders/1Gba7xTorZfxAsZq9IXzvfqQLWVy_Wh1_"/>
            <filter val="https://drive.google.com/drive/folders/10zs0MB4aXAsln3e3-CdZOeC-NNBJ68Cj"/>
            <filter val="https://drive.google.com/open?id=1vvDsLsRyKX8map4Lfy6RbW9fHlMoxk15"/>
            <filter val="https://drive.google.com/drive/folders/13djFIvDrS9chTKngfdxc41i1fdygA5Ka"/>
            <filter val="https://drive.google.com/drive/folders/1A-N_PlCuKz8gvw3Rj3BHCey2CIHchynF"/>
            <filter val="https://drive.google.com/drive/folders/13IScvlEnUU-MUZq0WdNYWCQN-K8f-RB2"/>
            <filter val="https://drive.google.com/drive/folders/1jdpu82KO4p7wLL4juSqHlAiO2EvaDcup"/>
            <filter val="https://drive.google.com/drive/folders/1bl9t334-vgpfP3KM5DyB-4eFy-s_Mk7L"/>
            <filter val="https://drive.google.com/drive/folders/1mluUWS2mgTB3s0kukVhnMN5UruB1lplh"/>
            <filter val="https://drive.google.com/drive/u/0/folders/1w_pS4aBT95yr0XFkhL9zSCkskkTMZVpX"/>
            <filter val="https://drive.google.com/drive/folders/1qvJvOXvSWA6TwzWg2tEglNiZBqaGUim5"/>
            <filter val="https://drive.google.com/open?id=1a-zJHq9YzB0fbSkvjo2sMFPDm_MF-P3v"/>
            <filter val="https://drive.google.com/drive/folders/1QAdu8yvOkaBKrmJS_0nS7UDrNT1-47bT"/>
            <filter val="https://drive.google.com/open?id=1lwXOlwbj3fjJ-rDG6z1Jf_5N5Z1KzFPW"/>
            <filter val="https://drive.google.com/drive/folders/1g6XLRxK1qC1LNdTQMix6mkK4WOIkVGKS"/>
            <filter val="https://drive.google.com/open?id=1LnHlNBmi1X9TzkgkbnWATpUo6ShFizDA"/>
            <filter val="https://drive.google.com/open?id=10gFU8Ix5tpUyDyEBngjfcgCZT2aoKIPU"/>
            <filter val="https://drive.google.com/drive/folders/1x5MlKV-KOK5tOSSaCrgoD35zvzD2a41M"/>
            <filter val="CANCELLED"/>
            <filter val="https://drive.google.com/open?id=1ho0d0wqoVl2ZfmUqm-5xL6GQ7HBU5_Bs"/>
            <filter val="https://drive.google.com/drive/folders/1dtGmiCaIjRwNwBwYHXSgD5W0JSmHYCMy"/>
            <filter val="https://drive.google.com/drive/folders/1ElcmahmvKsCGJ3pUMlG77iWXE_kX_31T"/>
            <filter val="https://drive.google.com/file/d/1LIkcL7cud_2sFj7LnftmeC3TTcfJPFJ3/view"/>
            <filter val="https://drive.google.com/drive/folders/1uDNm0N3FqUjblhtLWylMZMNMEZR4jL9P"/>
            <filter val="https://drive.google.com/open?id=1xM9EQWb-q7dGBtI_d_PwduDPVBdTpjPD"/>
            <filter val="https://drive.google.com/drive/folders/1vPhs8aKQG6qnQrG5jg0axGQG_qyXQph9"/>
            <filter val="https://drive.google.com/drive/folders/1wEDdSckf5cRMW94q4Tat_3cjVTQes0vY"/>
            <filter val="https://drive.google.com/drive/folders/1mNUvGN_KXaVYIE4mlzLQs0lRvArlqDKQ"/>
            <filter val="https://drive.google.com/drive/folders/1H3RQMawr4RDqgb97WfdG1m2aLXkZaZg4"/>
            <filter val="https://drive.google.com/drive/folders/1UWUrc62wst2Ccjrj6r0EPzKgrbuA9bom"/>
            <filter val="https://drive.google.com/open?id=1ugYNe_DHVgcslwlhS5IxTf7b7RXQ6-sY"/>
            <filter val="https://drive.google.com/drive/folders/1B8vmQkemclK8ZJssfBkre3lChe3ExRGi"/>
            <filter val="https://drive.google.com/drive/folders/1iavbDA1SrLg6yTkDwqRtE1U8sBflFyV4"/>
            <filter val="https://drive.google.com/drive/u/0/folders/1cTwVlyhfH3XyqFsa4CfFAYHYaUfHXBFB"/>
            <filter val="https://drive.google.com/drive/u/0/folders/11GJeAyZSrp1JnBc4vhom7mKZhF1V4fZi"/>
            <filter val="https://drive.google.com/drive/folders/1ABic8Df7oHp2FkyZxnvd1WWBN2-ZGSx-"/>
            <filter val="https://drive.google.com/drive/folders/1wmrOYdNyEvigaHNigHBIUWgp67x6dQkD"/>
            <filter val="https://drive.google.com/drive/folders/1WufHF1TF4Xq0UDn77YOHQA72DO-2HY3p"/>
            <filter val="https://drive.google.com/drive/u/0/folders/1XJZiWF2aKS4yo4J1xsQA6mTUQS-RYo9-"/>
            <filter val="https://drive.google.com/drive/folders/1VLXmw6nyPGMkVgVoSbefrsXMjiIQaGr2"/>
            <filter val="https://drive.google.com/drive/folders/1M2-LKY6fJbnKcjqIy_aXphRvd_fFz4Qy"/>
            <filter val="https://drive.google.com/drive/folders/1vf97UoZxQp_dBBc3iz-WwjPALD-JF2GA"/>
            <filter val="https://drive.google.com/drive/folders/1mOC32ljJfT0Ohxi-GplS-jK_U2LPble6"/>
            <filter val="https://drive.google.com/drive/folders/1hzaCAmg1Kb12agcywirpw_QEJA8dwtPF"/>
            <filter val="https://drive.google.com/drive/folders/12WYsgt5jSbHzvXqKptQ4RdW2TvkDSboB"/>
            <filter val="https://drive.google.com/drive/folders/1zYvUHikZ8dQb1o_iO9SWBvw6-3RVwzBz"/>
            <filter val="https://drive.google.com/drive/u/0/folders/10fHLG4UqPsBCm8b-WoOBLCePTN-FMrQW"/>
            <filter val="https://drive.google.com/drive/folders/1ImXRFXE-z4ngbaO3QOCIraaXgpAchNPp"/>
            <filter val="https://drive.google.com/drive/folders/10lSFtGfU_wqJOgTnLdOfGqP6YdR0U9S_"/>
            <filter val="https://drive.google.com/drive/folders/1H8yLdaNfMuBQz2uBIn4Yq1k6WSIsVHr3"/>
            <filter val="https://drive.google.com/drive/folders/1kZBG4GxIa3HlGdiFFQYf5T4WqliwxRRp"/>
            <filter val="https://drive.google.com/drive/folders/1cqQsBrrJKxX-sIvg6rOp9ZAg6YaW9mvN"/>
            <filter val="https://drive.google.com/drive/u/0/folders/1JeX0vqkcb9fMu1QCZqU2g2PLOQWetvkr"/>
            <filter val="https://drive.google.com/drive/u/0/folders/1GevhjU7M5DzWaatEaMUPlcPf_OZkksW3"/>
            <filter val="https://drive.google.com/drive/folders/1ws2K4nqShPkCa1bEzsJojpwbe8tHR9S5"/>
            <filter val="https://drive.google.com/drive/u/0/folders/1MDYK1pMWo6LMr2QKeioqejoar37q9O86"/>
            <filter val="https://drive.google.com/drive/folders/1Y8MEg5G9UfErc_AnTdBcPQkTmRwTirjO"/>
            <filter val="https://drive.google.com/drive/folders/1DWjY7qaPmvIHzAbGvHuUewFevugaM8mu"/>
            <filter val="https://drive.google.com/drive/u/0/folders/1tJC0oPgouiNXHifG_8mnpmfjQ27eh6S6"/>
            <filter val="https://drive.google.com/drive/u/0/folders/1V3ILONswDF9Y2fBEoeW_uXwETG6B5fov"/>
            <filter val="https://drive.google.com/drive/folders/1ik-_9-vQN-YoXTA19KNqXjzK70AyMJ8V"/>
            <filter val="https://drive.google.com/drive/u/0/folders/1yXwQ5yF33ijGhCzNm0WHzaUXEM3X-RRX"/>
            <filter val="https://drive.google.com/drive/u/0/folders/15g4g-KFnkLhQhi-0Ovc3BC8yc3tdH7A9"/>
            <filter val="https://drive.google.com/open?id=13K0NtCyP1lDpQzG1QMuSAuOxBAWDVONn"/>
            <filter val="RE- RECORD"/>
            <filter val="https://drive.google.com/drive/folders/1l847Hm7rsJwcebEvPRjTrWv3JYrWiAcY"/>
            <filter val="https://drive.google.com/drive/folders/1Erp8WAmovG4p2v2E46Ph4pwufYvyCWlC"/>
            <filter val="https://drive.google.com/drive/u/0/folders/1TD4wvT9gYjovTq9lKwgUrPlF6SKuIwz6"/>
          </filters>
        </filterColumn>
        <filterColumn colId="15">
          <filters>
            <filter val="Finn"/>
            <filter val="Grace"/>
            <filter val="Rebecca"/>
            <filter val="David"/>
            <filter val="Ronan"/>
            <filter val="Jack"/>
            <filter val="Jonas"/>
            <filter val="Wez"/>
            <filter val="Eoin"/>
            <filter val="Lisa"/>
          </filters>
        </filterColumn>
        <filterColumn colId="17">
          <filters>
            <filter val="TRUE"/>
          </filters>
        </filterColumn>
        <filterColumn colId="21">
          <filters>
            <filter val="FALSE"/>
          </filters>
        </filterColumn>
        <filterColumn colId="22">
          <filters>
            <filter val="FALSE"/>
          </filters>
        </filterColumn>
      </autoFilter>
    </customSheetView>
    <customSheetView guid="{1BF2B22A-B430-400C-834F-C2917535FD7C}" filter="1" showAutoFilter="1">
      <autoFilter ref="$A$1:$AD$3000">
        <filterColumn colId="15">
          <filters>
            <filter val="Jack"/>
          </filters>
        </filterColumn>
      </autoFilter>
    </customSheetView>
    <customSheetView guid="{DAFA1AF3-8A7A-4B98-B722-CF12A7475CAE}" filter="1" showAutoFilter="1">
      <autoFilter ref="$A$1:$AD$3000">
        <filterColumn colId="15">
          <filters>
            <filter val="Finn"/>
            <filter val="Ronan"/>
          </filters>
        </filterColumn>
      </autoFilter>
    </customSheetView>
    <customSheetView guid="{A2785417-6D25-4FC8-BB50-49F9EA8B7E2F}" filter="1" showAutoFilter="1">
      <autoFilter ref="$A$1:$AD$3000">
        <filterColumn colId="15">
          <filters>
            <filter val="Lisa"/>
          </filters>
        </filterColumn>
      </autoFilter>
    </customSheetView>
    <customSheetView guid="{7DA726F6-C9AA-4579-9297-E4B01A767CCA}" filter="1" showAutoFilter="1">
      <autoFilter ref="$A$1:$AD$3000">
        <filterColumn colId="15">
          <filters>
            <filter val="David"/>
          </filters>
        </filterColumn>
      </autoFilter>
    </customSheetView>
    <customSheetView guid="{C0E9B29E-B0DA-4E90-B7B6-17F06DAEED13}" filter="1" showAutoFilter="1">
      <autoFilter ref="$A$1:$AD$3000">
        <filterColumn colId="15">
          <filters>
            <filter val="Finn"/>
            <filter val="Grace"/>
            <filter val="Rebecca"/>
            <filter val="David"/>
            <filter val="Ronan"/>
            <filter val="Jack"/>
            <filter val="Jonas"/>
            <filter val="Wez"/>
            <filter val="Eoin"/>
            <filter val="Lisa"/>
          </filters>
        </filterColumn>
        <filterColumn colId="16">
          <filters blank="1">
            <filter val="https://drive.google.com/file/d/1wHGxNZiIcAtRQ3FAt0lG0RxKiUT9OQQc/view"/>
            <filter val="https://drive.google.com/drive/folders/1-lfMc-n2JjJXqplTohHkX_fstoxMPvxD"/>
            <filter val="https://drive.google.com/drive/folders/1-N_lTQVftC30zdLPeLsWw7-UVUfMFRJX"/>
            <filter val="https://drive.google.com/drive/folders/1fu_sqI6fCUZpcyVMsRE-Y2OUZ8nlL-MW"/>
            <filter val="https://drive.google.com/drive/folders/1w3bLaDbSrsK04MW1-b_KdTmU-F193r5a"/>
            <filter val="https://drive.google.com/drive/u/0/folders/1ZombyD7USVyjBzsiP_yX0iQ_LZwNpugS"/>
            <filter val="https://drive.google.com/drive/folders/18a6_MBMtivSMv4ez4dk1mhNsuxn0L3-h"/>
            <filter val="https://drive.google.com/drive/folders/1XfyYcteCLOCDYTctiBg3KOVNiM-mNTDT"/>
            <filter val="https://drive.google.com/drive/u/0/folders/1Wh32k7RrFdjGtmBQ71day3j31sJgEm6Q"/>
            <filter val="https://drive.google.com/drive/folders/1SV9wTtnf20gS0K13wInef3bKi3MyTHXn"/>
            <filter val="https://drive.google.com/open?id=1yoOTLw1PDuaz1o6KR3dvabz3nL286wVO"/>
            <filter val="https://drive.google.com/drive/folders/11Kp3GXQA_QgHKXrwDa2q7dFzm-Q1Kx7x"/>
            <filter val="https://drive.google.com/drive/folders/1xYZq-d4TF6LzoJw0r-3ycpoxSmi7AQ5r"/>
            <filter val="https://drive.google.com/drive/folders/13fzogQ0srlsloJJFfP1oS8ikUbaMAi26"/>
            <filter val="https://drive.google.com/open?id=1_TNmXMbp7Z3E2ockr5bEOdCSIkzfZT6d"/>
            <filter val="https://drive.google.com/open?id=1eyffG8lNqD12lIREN2L7dsPHWx4ICLD3"/>
            <filter val="https://drive.google.com/drive/folders/1XDTByq6mSx9uk12sCi6hurjPrlYWSppq"/>
            <filter val="https://drive.google.com/drive/folders/12FuSibBT8CW-hkW5exaaOTrBLftRt5k2"/>
            <filter val="https://drive.google.com/drive/folders/15IUBXF2VOAoiAFSWHGsQu5SGJGaW5QzL"/>
            <filter val="https://drive.google.com/drive/folders/19WQkZCOHjmGKEZcp2KkGtwCofx_FL0vo"/>
            <filter val="https://drive.google.com/drive/folders/12UlNct7OyPsyp2uoRmFwBKthPWej14JJ"/>
            <filter val="https://drive.google.com/drive/folders/1g-n_3rr4qs7WE7sVvkKWLPd1bVdvgaDM"/>
            <filter val="https://drive.google.com/drive/u/0/folders/1H9OMUzLjvyo7o3kZ_a56GwQTCMJlo9GS"/>
            <filter val="https://drive.google.com/drive/folders/1_N3R_gaA19fkjykwn81Hs6F1yibMKSYl"/>
            <filter val="https://drive.google.com/drive/folders/1SkmrOUDBpURhUY_0ivaw2iu4Tk97Crfo"/>
            <filter val="https://drive.google.com/drive/folders/1izARwTcODsR65GBSPO6cwWc-2ZFh4WHr"/>
            <filter val="https://drive.google.com/drive/folders/1FpkRI9UezWNSWQo_g0oxEXKHXx5AMH_T"/>
            <filter val="https://drive.google.com/drive/u/0/folders/1xbRV6fTfka_qCDDfGQVovKj1qBqMKhdY"/>
            <filter val="https://drive.google.com/drive/folders/19XWtf87BJgJAQHpDJVqEYwKlI4by-Cx1"/>
            <filter val="https://drive.google.com/open?id=1IlG2HEK-OWvDz7nofURGJrurdcdzG7Xq"/>
            <filter val="https://drive.google.com/drive/folders/14TkMotm1LHxXP8TheOwTJWzMyEQFL9_I"/>
            <filter val="https://drive.google.com/file/d/1QsNioJx290z1N0LlGa9WsnedRprj9cWD/view"/>
            <filter val="https://drive.google.com/drive/u/0/folders/1YTOWwFaBKz6hGTXKpSzAj7KixRwUwaKu"/>
            <filter val="https://drive.google.com/drive/folders/1_Fn8SJxDiNnJyknagUbNpGs35s-ZZUua"/>
            <filter val="https://drive.google.com/drive/folders/1jiGi5DPOjQ7NqthhOrwWhjKW3QCm6jCN"/>
            <filter val="https://drive.google.com/drive/u/0/folders/1puNGNF84WkV1lRc56eH2MgWFXlEMv5YJ"/>
            <filter val="https://drive.google.com/drive/folders/1rJdsxXJ0EuXb7DnbkJrj6C5o1xyKfZ74"/>
            <filter val="https://drive.google.com/drive/folders/1TN7DNvVjm9IodNd7zGxMgJv452hS5sgs"/>
            <filter val="https://drive.google.com/drive/u/0/folders/1v10fEWbvxqlOKUkHgs71dn_jGiZCa-XA"/>
            <filter val="https://drive.google.com/drive/folders/1tctYGsfOcff2KmoQ9nWw4pJx3pmsLIiu"/>
            <filter val="https://drive.google.com/drive/u/0/folders/1uGx78doQJQEjY6VYsSjqWaTZ2InlgATT"/>
            <filter val="https://drive.google.com/drive/u/0/folders/1SkmrOUDBpURhUY_0ivaw2iu4Tk97Crfo"/>
            <filter val="https://drive.google.com/drive/folders/1sCYZYkq1oc6Db41BuQtSWx_yTxvuVhWU"/>
            <filter val="https://drive.google.com/drive/folders/1SNfeIaMz3mPI_zhd_x-Do4rRbW4hIgaw"/>
            <filter val="https://drive.google.com/drive/folders/12VNymFvmYEX23TyoqlB0eihdxmB1poov"/>
            <filter val="https://drive.google.com/drive/folders/12-nQP-T5WKYu2XFKGVk8vBdKUTh_CBgP"/>
            <filter val="https://drive.google.com/drive/u/0/folders/16duXqCh5RySYlRn5JBwSzbX8OfU6G3LE"/>
            <filter val="https://drive.google.com/file/d/1iuF48m3Mvjd3nGdAEU3eoTd6Vlf57ZD0/view"/>
            <filter val="https://drive.google.com/drive/folders/19zPdJf-KuC2dzhycjIzn1deyJTgBO_Yh"/>
            <filter val="https://drive.google.com/open?id=1j8HM91d_xtyw2F-4dK350qZ7Oc3AMLh2"/>
            <filter val="https://drive.google.com/drive/folders/1hOFUKOSvw3ETOIlRHZbHRwjeP-Hst0hH"/>
            <filter val="https://drive.google.com/drive/folders/1d6jpUxzOuCyc-_ED3zNbCLk1HJRkOujo"/>
            <filter val="https://drive.google.com/drive/folders/1os17jCor7gWeZWhOOoiNb5aOkReLi_F2"/>
            <filter val="https://drive.google.com/drive/folders/1Gba7xTorZfxAsZq9IXzvfqQLWVy_Wh1_"/>
            <filter val="https://drive.google.com/drive/folders/1yKTcm8NWgCug8OU7MqQXmeZwf7P5DAkL"/>
            <filter val="https://drive.google.com/drive/folders/1840la6RuMEJ_DN9htvDWRzUEts4bcJsV"/>
            <filter val="https://drive.google.com/drive/folders/1qeDlp5Rnd5p1RhUn4jARWZYjqBQR2wgI"/>
            <filter val="https://drive.google.com/drive/folders/1SYH6Jr4_A6LNcUlCSuCc_WS-m4HZkU4r"/>
            <filter val="https://drive.google.com/drive/folders/1aII2S8aT7rHUTANbq9xIV4s6f84pSTwz"/>
            <filter val="https://drive.google.com/drive/folders/1bI0osWic68D9m5LhrNKYzWuoAM_Eq5Lb"/>
            <filter val="https://drive.google.com/drive/folders/1Ls4jRV2IdIvt_3YWRzSENiQ63jlsHCto"/>
            <filter val="https://drive.google.com/drive/folders/1KJeZ3e6FcLAw3t75daP6cP7Igh1aSCAI"/>
            <filter val="https://drive.google.com/open?id=11L3shaG9SIT4IB7eJNCWtLeP90nsYtPx"/>
            <filter val="https://drive.google.com/drive/u/0/folders/1S23SSsNEkRtidcIWW-W2DYgW-yYWqErM"/>
            <filter val="https://drive.google.com/drive/folders/19Qp-ngGZ4HHemH21JyaVjGwXIqI0xUzL"/>
            <filter val="https://drive.google.com/drive/u/0/folders/12-Qr1-reGo9XBmY2VdtH7dT8W-0YvO2n"/>
            <filter val="https://drive.google.com/drive/folders/1g-tnLqeXoFOpYKe4RwnGMIdNySVlq8_G"/>
            <filter val="https://drive.google.com/drive/u/0/folders/16Lq7KremRblAU77SHMWTiH_kLAspFbcZ"/>
            <filter val="https://drive.google.com/drive/folders/1S23SSsNEkRtidcIWW-W2DYgW-yYWqErM"/>
            <filter val="https://drive.google.com/drive/folders/1WfQ-BAXMq7YsZVAuQQug3wDSfaLu1TYZ"/>
            <filter val="https://drive.google.com/drive/folders/1OKBEWjXFPhf42y1De4ELVd6k1iPHa3LY"/>
            <filter val="https://drive.google.com/drive/u/0/folders/1CUmGWCI6F8LQB7eQr9kiESArVblWuVXx"/>
            <filter val="https://drive.google.com/drive/folders/17X7-2-Gjv3DogH-CdCBpTz7iu1OkwXm-"/>
            <filter val="https://drive.google.com/drive/folders/1GV-tl4uBAun-_G5yDU6ZRq6uZjthAXIF"/>
            <filter val="https://drive.google.com/drive/folders/1lGKq_UIddESclnNQtlEkR82BdLD5YUJi"/>
            <filter val="https://drive.google.com/drive/folders/1kiv8Dp-WrB4wfrlPo960_DldbwE-72cA"/>
            <filter val="https://drive.google.com/drive/folders/1OYhYXIKzPH7DnNhIXc2ORuf61b26Fvw5"/>
            <filter val="https://drive.google.com/drive/folders/1SR_HOWC04psOsp3gNzCwBiiZ18XsDiKd"/>
            <filter val="https://drive.google.com/drive/folders/1gdooiPpuXRquyOW2WMKSJSCdJoiIqcVW"/>
            <filter val="https://drive.google.com/drive/u/0/folders/13IScvlEnUU-MUZq0WdNYWCQN-K8f-RB2"/>
            <filter val="https://drive.google.com/drive/folders/1O1GXP9s-bQUxOT16YzKQBuxwv115twtc"/>
            <filter val="https://drive.google.com/open?id=1M6ZqvAaf0Y3t58EPKRiHJH-xE7bajGwr"/>
            <filter val="https://drive.google.com/drive/folders/1cryKeXDnrGUz4V6VinunUZFGAbWohM4O"/>
            <filter val="https://drive.google.com/drive/folders/10ihU_nTm1vU8dd89A8EHLr2rhu_ZTU6D"/>
            <filter val="https://drive.google.com/drive/folders/1vUpZRl_cS7HO1gabF9uSL_v_CJf5cqKG"/>
            <filter val="https://drive.google.com/drive/folders/1eUL6SYq5fi_pAFtnx3vXrEbq6ipTt73E"/>
            <filter val="https://drive.google.com/drive/folders/1He_cNW-53C69clU5Zw3fbUrTPnjEaT1M"/>
            <filter val="https://drive.google.com/drive/folders/1xcukzNsSpK0ZmG74B7GcV8LqDvzhnVIE"/>
            <filter val="https://drive.google.com/drive/u/0/folders/1bdxOeY0MQMyEDB4UoeupbEDu7Cl0VptI"/>
            <filter val="https://drive.google.com/drive/folders/1bdxOeY0MQMyEDB4UoeupbEDu7Cl0VptI"/>
            <filter val="https://drive.google.com/open?id=1Js5H3z59qQHO-W67jJd_57G_NnX-Mssn"/>
            <filter val="https://drive.google.com/drive/folders/1pRVPGoP4G9_mL-yRVuczKs23GPw-QfT8"/>
            <filter val="https://drive.google.com/drive/folders/19sDJNX5Huus2mj8Rd8FGJxXs8sDMDcb8"/>
            <filter val="https://drive.google.com/drive/folders/1JEIwHRXP4jeZbqVDgN-5EgA95Ijnf5pu"/>
            <filter val="https://drive.google.com/drive/folders/1Ud_vcx2mXW_j4e47qllgnTlBNPt-wvgx"/>
            <filter val="https://drive.google.com/drive/folders/1RpMz22EJVhb1QWqG-jX3BafiT9K-Iemv"/>
            <filter val="https://drive.google.com/drive/u/0/folders/1n4NsXQ56eh6LChvHbdZB7hLdK1YWPyDC"/>
            <filter val="https://drive.google.com/drive/folders/1UX1Mbq8v-NOAL29khLK13tQkW0igM5BC"/>
            <filter val="RE-RECORD"/>
            <filter val="https://drive.google.com/drive/folders/1PLMhaTY0t4rsgTkReO5F_FgiWnH_kiAL"/>
            <filter val="https://drive.google.com/drive/folders/18Xhxmykj_yBLA2JA4nARMKW71CIkJQL2"/>
            <filter val="https://drive.google.com/drive/u/0/folders/1ZG6KzRFinSwNifh25WRbwspu69sss3bJ"/>
            <filter val="https://drive.google.com/drive/folders/1eCEJ5GTd2CGYAbt5WSy2lTgEugNlp-jX"/>
            <filter val="https://drive.google.com/open?id=1U-O0j9pbpvJHQGFAuXa3PpMqxuxpuwt4"/>
            <filter val="https://drive.google.com/drive/folders/1akQv0RCpEZ1_6qWswVSY9eZrBVB7obcG"/>
            <filter val="https://drive.google.com/drive/folders/1k43WD7UiyZceJhy8a9TLr0jZDF99bJot"/>
            <filter val="https://drive.google.com/drive/folders/1XyRorIqfSB74cOV6t4NRipx6CMPUnifS"/>
            <filter val="https://drive.google.com/drive/u/0/folders/1d6jpUxzOuCyc-_ED3zNbCLk1HJRkOujo"/>
            <filter val="https://drive.google.com/open?id=1fP3LVDlhGaM3-O0RR3bJHDYClMVtPWlo"/>
            <filter val="https://drive.google.com/drive/u/0/folders/1mC0-syD_7fDVM829Labe3H04iAHtJGcr"/>
            <filter val="https://drive.google.com/drive/u/0/folders/1os17jCor7gWeZWhOOoiNb5aOkReLi_F2"/>
            <filter val="https://drive.google.com/drive/u/0/folders/1O2l07vCj7NrJR2fYr2bKdcfyr2I8GPIy"/>
            <filter val="https://drive.google.com/drive/u/0/folders/1N1h4a0p8cFNaa7gHRzMjlXwS5rNB7W98"/>
            <filter val="https://drive.google.com/drive/u/0/folders/1TpmFFiZY8TjyeNNQLZRXWshMt6bp_rjH"/>
            <filter val="https://drive.google.com/drive/folders/1tIR_uXFm09nimDEPyy4cKvNdpoxF2tGW"/>
            <filter val="https://drive.google.com/drive/u/0/folders/1WuCjbtd5Sd7QhKOoV97gvMgrCjyQ9rAS"/>
            <filter val="Cancelled"/>
            <filter val="https://drive.google.com/drive/u/0/folders/1CAKMErFHlfoS_gs733qaCagbJD5lltxW"/>
            <filter val="https://drive.google.com/drive/folders/15TfbQlDkDAdiZM5T8UXVKiIWNCCpCmuJ"/>
            <filter val="https://drive.google.com/open?id=1PTH71kW2NN9jJAx0cer7qFN1GJKdco9-"/>
            <filter val="https://drive.google.com/drive/folders/1efYhJoG8VOFxrIzE_7tH8jwHZPqglSs8"/>
            <filter val="https://drive.google.com/drive/folders/13xKMykNyi-0pClROpz_d_iYixDhhaM9D"/>
            <filter val="https://drive.google.com/drive/folders/11wDqUplE4W5-25xB_slq5hWtmaKEeMa_"/>
            <filter val="https://drive.google.com/drive/folders/16bc7lDa31A9of-Y92cNbF0i662kY4-Br"/>
            <filter val="https://drive.google.com/open?id=1huL-GfeSJRY5Mo_am3dYlja1eTxr4gy3"/>
            <filter val="https://drive.google.com/drive/folders/1fz1Y5NGSSUL-qVMVDoP9kM2pwTJf1MNL"/>
            <filter val="https://drive.google.com/drive/u/0/folders/1RxTatyV5hRKtJaFsKu-1eydCNLSE00HJ"/>
            <filter val="https://drive.google.com/open?id=1CRgjkGu2gvd4_E7piq8MLBJgk2HvINOK"/>
            <filter val="https://drive.google.com/drive/folders/1tXvWBfsJ9Sd2XhhGodvEmKtMeJUb3Mm6"/>
            <filter val="https://drive.google.com/drive/folders/1W8lZGst7iOVc6Ujs6ksvfqPXNZ55L_Wg"/>
            <filter val="https://drive.google.com/drive/folders/1UsuAUek2x4HDJiVi5-oO52rX3GyGG5oD"/>
            <filter val="https://drive.google.com/open?id=1ZwvS-zbtKTOMM_voZRErd3Oo7t2hKvos"/>
            <filter val="https://drive.google.com/drive/folders/12c5_ndEKICu6R16p41NI2znvB9xm6A6K"/>
            <filter val="https://drive.google.com/drive/folders/1ZLJ6DK7UituGJC66eP-6SlF6nMfvTvpd"/>
            <filter val="https://drive.google.com/drive/folders/12VlrMobJhZ6CTTLaFSQh8bQKT_JdOBqO"/>
            <filter val="https://drive.google.com/drive/folders/1fMYnhsbGMY1NR4--__54ebfJ_XqcLk6H"/>
            <filter val="https://drive.google.com/drive/folders/1W6bCaXBPH2vXvKkLviVVPXXEtVEKWTXe"/>
            <filter val="https://drive.google.com/drive/folders/1GEBBPxPzwodnTFkCYTM0k6yshdeZFoxC"/>
            <filter val="https://drive.google.com/drive/folders/1hxSBEet3ljw08X_k9lSNixO-iyv_Wowp"/>
            <filter val="https://drive.google.com/drive/u/0/folders/1AZKjPI79gQ3avYG72zIdIWxeYCM3IbNZ"/>
            <filter val="https://drive.google.com/drive/folders/1XMsFdptYgSNH6Xyulmylf7pdG9VRdpyR"/>
            <filter val="https://drive.google.com/drive/folders/1_5C1G7tkT7GbmHQuEW63E2aNu7s5ux4C"/>
            <filter val="https://drive.google.com/drive/folders/1zR8iBc_Q7gZ5ndcuGrsXMmVuh2-Xx3SO"/>
            <filter val="https://drive.google.com/drive/u/0/folders/1dNicnbBrrwOhLanaxpEkGdEYv6w0UmZI"/>
            <filter val="https://drive.google.com/drive/folders/1kFhq4jmrz7sVMrwSJ0pvOsdKICO0BxOZ"/>
            <filter val="https://drive.google.com/drive/folders/1NPFtFwqbjJ0jihWqmPClLKWxgRT-uh_4"/>
            <filter val="https://drive.google.com/drive/u/0/folders/1iyKHTdkO816utNTe7jUBEgU5mEmJ7QYp"/>
            <filter val="https://drive.google.com/drive/folders/1GBNRD0mm0McTIhcBFOXHxc9T95Kgsn89"/>
            <filter val="https://drive.google.com/drive/folders/1mdpZ70MVRJ3v8NU7WC2RnRhWUiF0vpaX"/>
            <filter val="https://drive.google.com/drive/folders/1sG3VS00YxfQa6lUI5tmVqd2rgBvUAiWV"/>
            <filter val="https://drive.google.com/drive/folders/1Cl8xWVAdbPfbXQ_nuLYm2jjuOgC0Gj6z"/>
            <filter val="https://drive.google.com/drive/folders/1YHAYXKxTocpVYfQ_wn8AZog-dBbMXTNI"/>
            <filter val="https://drive.google.com/drive/folders/1P5FTARyi548foqTMC_neRe-EISJgWN6x"/>
            <filter val="https://drive.google.com/drive/folders/1zk8f-65Et3x2832zH9WE91rK-Ms1EFBY"/>
            <filter val="https://drive.google.com/drive/u/0/folders/1PYeUYByANYuOWEQmiSqbMH-fEbUg3hQV"/>
            <filter val="https://drive.google.com/drive/u/0/folders/1uW1AsP--W2bY2Sh014mW4OXD25LW31mY"/>
            <filter val="https://drive.google.com/drive/folders/1FJFSnaWJYbTZqoKzQFJAyejXRi1aD9DJ"/>
            <filter val="https://drive.google.com/drive/folders/1Rba3un6w02r53Ov-73FxsM89xj6bR1AI"/>
            <filter val="https://drive.google.com/drive/folders/194jPRJtygqA0JDrJOqg_U91xXXF0cfnV"/>
            <filter val="https://drive.google.com/drive/folders/1WtSD-kt6DSyOyQaQ4ESWdRbbBszuc0CK"/>
            <filter val="https://drive.google.com/drive/u/0/folders/1cbArxMenmlgdix4Q4Bl0OYlP4YEzmXhJ"/>
            <filter val="https://drive.google.com/drive/u/0/folders/19tCxe3_oEojQXg_EQUtW0r47vRjdS3h8"/>
            <filter val="https://drive.google.com/drive/u/0/folders/1O_PzFy_uNyFAc8L4eZyGZNqCKYpuEVjd"/>
            <filter val="https://drive.google.com/drive/folders/1Djh6MOQwOkMTHHSgCfzDbdfvbGdrT-iZ"/>
            <filter val="https://drive.google.com/open?id=1INRDbIVHzGy0bZoGVSgoZkYfczhAmdGt"/>
            <filter val="https://drive.google.com/drive/folders/1h-2GyZUn32YnNEmrXqJMTWg8-6FeutxW"/>
            <filter val="https://drive.google.com/drive/folders/1A2yyiqAnKw0B5VoGJ3vh-V8NF3ZFUuRj"/>
            <filter val="https://drive.google.com/drive/folders/1pQJeTjmg88ID5GV13D1CCs_oRpp8ZpUm"/>
            <filter val="https://drive.google.com/drive/folders/12GQUtEWRLu9vieEp-yYlq8fxi-2enGjY"/>
            <filter val="https://drive.google.com/drive/folders/1EqQQZk9iC1IXyBrTuWspd6UuaGd7joMv"/>
            <filter val="https://drive.google.com/drive/folders/1GUMQTka_XsFVV0ez2BoAyy5dptzTThWv"/>
            <filter val="https://drive.google.com/drive/folders/1S-esJ8uDgxV015C2rYpEb5ljvc2ej5Zz"/>
            <filter val="https://drive.google.com/drive/u/0/folders/1rSgySWSMKK5hAnC8iHZMFe_AXmCE_KqK"/>
            <filter val="https://drive.google.com/file/d/1-E2uvTen0Lb7nLueOau1lAsISMfZCH7y/view"/>
            <filter val="https://drive.google.com/drive/folders/1CKpXVyIZbeYdOVbZcV9xv0F5Wc50I5qP"/>
            <filter val="https://drive.google.com/drive/folders/1XsSTB2rBOOUgMfpCuJddf7f89lpvs2Xd"/>
            <filter val="https://drive.google.com/drive/folders/1chXxL63dH6olZ--wMXvvNLT7dR9wZ62H"/>
            <filter val="https://drive.google.com/drive/folders/1u7XVmy2HlVh2BtFIqf9C1lEBY_sb5x--"/>
            <filter val="https://drive.google.com/drive/folders/1TMZuxfn7YWI5wJGcQ_xdp1kDMCq8x2ii"/>
            <filter val="https://drive.google.com/drive/u/0/folders/1D1u9Pd_pk8erBxOnvDIGMs1Ka7kRwheR"/>
            <filter val="https://drive.google.com/drive/folders/19QIrwqQvEru45qhy7Zjdx5Gf8Tz32HCR"/>
            <filter val="https://drive.google.com/drive/folders/1NW4MoQtFR2q4nqSDkgtm82gYNDzXrN0M"/>
            <filter val="https://drive.google.com/drive/u/0/folders/19Ea31UxT2bPLaXMt9lqM-CeH48JX1jFo"/>
            <filter val="https://drive.google.com/drive/folders/1BqkVklha0kH9wIp8IfyEgiWHaK3juq5z"/>
            <filter val="https://drive.google.com/drive/folders/1lOgjXiCahXVZYynpmWc8KcIfEXCPwBks"/>
            <filter val="https://drive.google.com/drive/folders/1HxQflYQmkDxwzYyWzvwz7SwLgCQnHret"/>
            <filter val="https://drive.google.com/drive/folders/1GGOY8ZPEtV0S87EV3qJcPcvQTxEE_EPI"/>
            <filter val="https://drive.google.com/drive/u/1/folders/1GeCO3wRbFjHOR1NHW19jsG2VFVh-MOHX"/>
            <filter val="https://drive.google.com/drive/folders/1fnL5dSZANbr3Opxhu5gDoY4YpzgMnbGr"/>
            <filter val="https://drive.google.com/drive/u/0/folders/1SCXM4mY60kFXHD2jwZwlZE_b6InCLf-m"/>
            <filter val="https://drive.google.com/drive/folders/1hCMRvw9XyYDzSzQb4W8w1-_WFF13gqeY"/>
            <filter val="https://drive.google.com/drive/folders/1pHj2EJYRtYSSzn4ucBt2apgEpxqpoD2x"/>
            <filter val="https://drive.google.com/drive/folders/14Y0D4OKS0h62kbUP4UIkD66SgAMzMrpP"/>
            <filter val="https://drive.google.com/drive/u/0/folders/1ti4RekkGHfxgT64FuCQAKz2VIgWBA1wy"/>
            <filter val="https://drive.google.com/drive/u/0/folders/1Gba7xTorZfxAsZq9IXzvfqQLWVy_Wh1_"/>
            <filter val="https://drive.google.com/drive/folders/10zs0MB4aXAsln3e3-CdZOeC-NNBJ68Cj"/>
            <filter val="https://drive.google.com/open?id=1vvDsLsRyKX8map4Lfy6RbW9fHlMoxk15"/>
            <filter val="https://drive.google.com/drive/folders/13djFIvDrS9chTKngfdxc41i1fdygA5Ka"/>
            <filter val="https://drive.google.com/drive/folders/13IScvlEnUU-MUZq0WdNYWCQN-K8f-RB2"/>
            <filter val="https://drive.google.com/drive/folders/1jdpu82KO4p7wLL4juSqHlAiO2EvaDcup"/>
            <filter val="https://drive.google.com/drive/folders/1bl9t334-vgpfP3KM5DyB-4eFy-s_Mk7L"/>
            <filter val="https://drive.google.com/drive/folders/1mluUWS2mgTB3s0kukVhnMN5UruB1lplh"/>
            <filter val="https://drive.google.com/drive/u/0/folders/1w_pS4aBT95yr0XFkhL9zSCkskkTMZVpX"/>
            <filter val="https://drive.google.com/drive/folders/1qvJvOXvSWA6TwzWg2tEglNiZBqaGUim5"/>
            <filter val="https://drive.google.com/open?id=1a-zJHq9YzB0fbSkvjo2sMFPDm_MF-P3v"/>
            <filter val="https://drive.google.com/drive/folders/1QAdu8yvOkaBKrmJS_0nS7UDrNT1-47bT"/>
            <filter val="https://drive.google.com/open?id=1lwXOlwbj3fjJ-rDG6z1Jf_5N5Z1KzFPW"/>
            <filter val="https://drive.google.com/open?id=1LnHlNBmi1X9TzkgkbnWATpUo6ShFizDA"/>
            <filter val="https://drive.google.com/open?id=10gFU8Ix5tpUyDyEBngjfcgCZT2aoKIPU"/>
            <filter val="https://drive.google.com/drive/folders/1x5MlKV-KOK5tOSSaCrgoD35zvzD2a41M"/>
            <filter val="CANCELLED"/>
            <filter val="https://drive.google.com/open?id=1ho0d0wqoVl2ZfmUqm-5xL6GQ7HBU5_Bs"/>
            <filter val="https://drive.google.com/drive/folders/1ElcmahmvKsCGJ3pUMlG77iWXE_kX_31T"/>
            <filter val="https://drive.google.com/file/d/1LIkcL7cud_2sFj7LnftmeC3TTcfJPFJ3/view"/>
            <filter val="https://drive.google.com/open?id=1xM9EQWb-q7dGBtI_d_PwduDPVBdTpjPD"/>
            <filter val="https://drive.google.com/drive/folders/1vPhs8aKQG6qnQrG5jg0axGQG_qyXQph9"/>
            <filter val="https://drive.google.com/drive/folders/1wEDdSckf5cRMW94q4Tat_3cjVTQes0vY"/>
            <filter val="https://drive.google.com/drive/folders/1mNUvGN_KXaVYIE4mlzLQs0lRvArlqDKQ"/>
            <filter val="https://drive.google.com/drive/folders/1H3RQMawr4RDqgb97WfdG1m2aLXkZaZg4"/>
            <filter val="https://drive.google.com/open?id=1ugYNe_DHVgcslwlhS5IxTf7b7RXQ6-sY"/>
            <filter val="https://drive.google.com/drive/folders/1B8vmQkemclK8ZJssfBkre3lChe3ExRGi"/>
            <filter val="https://drive.google.com/drive/u/0/folders/1cTwVlyhfH3XyqFsa4CfFAYHYaUfHXBFB"/>
            <filter val="https://drive.google.com/drive/u/0/folders/11GJeAyZSrp1JnBc4vhom7mKZhF1V4fZi"/>
            <filter val="https://drive.google.com/drive/folders/1ABic8Df7oHp2FkyZxnvd1WWBN2-ZGSx-"/>
            <filter val="https://drive.google.com/drive/folders/1wmrOYdNyEvigaHNigHBIUWgp67x6dQkD"/>
            <filter val="https://drive.google.com/drive/folders/1WufHF1TF4Xq0UDn77YOHQA72DO-2HY3p"/>
            <filter val="https://drive.google.com/drive/u/0/folders/1XJZiWF2aKS4yo4J1xsQA6mTUQS-RYo9-"/>
            <filter val="https://drive.google.com/drive/folders/1M2-LKY6fJbnKcjqIy_aXphRvd_fFz4Qy"/>
            <filter val="https://drive.google.com/drive/folders/1vf97UoZxQp_dBBc3iz-WwjPALD-JF2GA"/>
            <filter val="https://drive.google.com/drive/folders/1mOC32ljJfT0Ohxi-GplS-jK_U2LPble6"/>
            <filter val="https://drive.google.com/drive/folders/1hzaCAmg1Kb12agcywirpw_QEJA8dwtPF"/>
            <filter val="https://drive.google.com/drive/folders/1zYvUHikZ8dQb1o_iO9SWBvw6-3RVwzBz"/>
            <filter val="https://drive.google.com/drive/u/0/folders/10fHLG4UqPsBCm8b-WoOBLCePTN-FMrQW"/>
            <filter val="https://drive.google.com/drive/folders/1ImXRFXE-z4ngbaO3QOCIraaXgpAchNPp"/>
            <filter val="https://drive.google.com/drive/folders/10lSFtGfU_wqJOgTnLdOfGqP6YdR0U9S_"/>
            <filter val="https://drive.google.com/drive/folders/1kZBG4GxIa3HlGdiFFQYf5T4WqliwxRRp"/>
            <filter val="https://drive.google.com/drive/u/0/folders/1JeX0vqkcb9fMu1QCZqU2g2PLOQWetvkr"/>
            <filter val="https://drive.google.com/drive/folders/1ws2K4nqShPkCa1bEzsJojpwbe8tHR9S5"/>
            <filter val="https://drive.google.com/drive/u/0/folders/1MDYK1pMWo6LMr2QKeioqejoar37q9O86"/>
            <filter val="https://drive.google.com/drive/folders/1DWjY7qaPmvIHzAbGvHuUewFevugaM8mu"/>
            <filter val="https://drive.google.com/drive/u/0/folders/1tJC0oPgouiNXHifG_8mnpmfjQ27eh6S6"/>
            <filter val="https://drive.google.com/drive/u/0/folders/1V3ILONswDF9Y2fBEoeW_uXwETG6B5fov"/>
            <filter val="https://drive.google.com/drive/folders/1ik-_9-vQN-YoXTA19KNqXjzK70AyMJ8V"/>
            <filter val="https://drive.google.com/drive/u/0/folders/1yXwQ5yF33ijGhCzNm0WHzaUXEM3X-RRX"/>
            <filter val="https://drive.google.com/drive/u/0/folders/15g4g-KFnkLhQhi-0Ovc3BC8yc3tdH7A9"/>
            <filter val="https://drive.google.com/open?id=13K0NtCyP1lDpQzG1QMuSAuOxBAWDVONn"/>
            <filter val="RE- RECORD"/>
            <filter val="https://drive.google.com/drive/folders/1Erp8WAmovG4p2v2E46Ph4pwufYvyCWlC"/>
            <filter val="https://drive.google.com/drive/u/0/folders/1TD4wvT9gYjovTq9lKwgUrPlF6SKuIwz6"/>
          </filters>
        </filterColumn>
      </autoFilter>
    </customSheetView>
    <customSheetView guid="{05539ECA-90DA-48A9-BAF2-E901A2908131}" filter="1" showAutoFilter="1">
      <autoFilter ref="$A$1:$AD$3000">
        <filterColumn colId="15">
          <filters>
            <filter val="Jonas"/>
          </filters>
        </filterColumn>
      </autoFilter>
    </customSheetView>
    <customSheetView guid="{47D026A7-CC2F-40E3-A20D-DD1DEB1C326B}" filter="1" showAutoFilter="1">
      <autoFilter ref="$A$1:$AD$3000">
        <filterColumn colId="15">
          <filters/>
        </filterColumn>
      </autoFilter>
    </customSheetView>
    <customSheetView guid="{EA17C26E-7FC0-4EFB-9F72-6F232109B78B}" filter="1" showAutoFilter="1">
      <autoFilter ref="$A$1:$AD$3000">
        <filterColumn colId="15">
          <filters>
            <filter val="Rebecca"/>
          </filters>
        </filterColumn>
      </autoFilter>
    </customSheetView>
    <customSheetView guid="{074EF89A-4C7D-4E0D-84C5-35EDFC29F4D2}" filter="1" showAutoFilter="1">
      <autoFilter ref="$A$1:$AD$3000">
        <filterColumn colId="8">
          <filters>
            <filter val="Laundry Day3_12PM"/>
            <filter val="50 shades of tech"/>
            <filter val="40 words #"/>
            <filter val="Nailing social media in the lockdown"/>
            <filter val="ch 1 - To pay or not to pay: What content should be free"/>
            <filter val="Welcome to Collision from Home"/>
            <filter val="Teaser: Margaret Atwood"/>
            <filter val="The death of disease?"/>
            <filter val="Hoop Dreams: Meet the NBA stars turned entrepreneurs"/>
            <filter val="How to win the US presidency"/>
            <filter val="Fundraising during a global pandemic"/>
            <filter val="Is education on the cusp of a revolution?"/>
            <filter val="Make car ownership cool again"/>
            <filter val="From around the world to home BÉIS"/>
            <filter val="Partner Adroll #5_AWS"/>
            <filter val="Tech and transparency in the branding era"/>
            <filter val="The ethics of sales during Covid-19"/>
            <filter val="Talk Intro (Decreased in order to allow for overrun in talk duration)"/>
            <filter val="Teaser: Alexa_Intro"/>
            <filter val="Why you should start a company in a recession"/>
            <filter val="Bouncing back: The new normal for sport"/>
            <filter val="PITCH semi-final round 3 of 3"/>
            <filter val="How Canada can restart its startup ecosystem"/>
            <filter val="Long live the kings of sports and media"/>
            <filter val="40 Words #8 _Orai"/>
            <filter val="New startup wisdom: Goodbye vitamins, hello cocktails"/>
            <filter val="Economic uncertainty or opportunity? The story of Shift"/>
            <filter val="RISE trailer"/>
            <filter val="In depth: Nikolaj Coster-Waldau"/>
            <filter val="Partner ad - TD Bank"/>
            <filter val="The future of tech in a post Covid-19 world"/>
            <filter val="MTS_10_Advice"/>
            <filter val="Teaser: YouTube_Intro"/>
            <filter val="Cross-border payments: Tackling a moving target"/>
            <filter val="Exploring the Covid-19 narrative in global news"/>
            <filter val="Partner ad - York Region"/>
            <filter val="How to Thrive in the next normal"/>
            <filter val="Nurturing a legend: 40 years of Pac-Man"/>
            <filter val="Ambient technology"/>
            <filter val="Meet a past PITCH winner: Chelsea Briganti"/>
            <filter val="Facetune: Is AI making us more creative?"/>
            <filter val="Teaser: LinkedIn_Intro"/>
            <filter val="Teaser: PepsiCo_Intro"/>
            <filter val="In depth: Emily Oberman"/>
            <filter val="Teaser: LinkedIn"/>
            <filter val="Partner logos"/>
            <filter val="Hack from Home"/>
            <filter val="CH 1- Does a recession breed innovation?"/>
            <filter val="Laundry Day2_10AM"/>
            <filter val="The importance of mindfulness in light of Covid-19"/>
            <filter val="Teaser: Arm"/>
            <filter val="Teaser: Samsung_Intro"/>
            <filter val="The role of the CMO in a crisis"/>
            <filter val="Tech transforming sports"/>
            <filter val="Partner Adroll #4 - ASSIGNED TO PITCHBOOK"/>
            <filter val="Will sports ever be the same?"/>
            <filter val="How to bust the post-Covid recession"/>
            <filter val="Teaser: Boston Dynamics"/>
            <filter val="Time to ditch the Silicon Valley way?"/>
            <filter val="CH2: Impact investing for resilient communities"/>
            <filter val="LL Cool J rocks the bells"/>
            <filter val="In depth: Gretchen Carlson"/>
            <filter val="Teaser: Samsung"/>
            <filter val="The power of entrepreneurship"/>
            <filter val="Teaser: Paris Hilton"/>
            <filter val="Betting on storytelling"/>
            <filter val="CH2: Investing in Europe post-pandemic"/>
            <filter val="Do we really need offices? A workplace story"/>
            <filter val="Teaser: Netflix_Intro"/>
            <filter val="Teaser: Tencent &amp;. Ailish Campbell_Intro"/>
            <filter val="Partner Adroll # 5 - CITY OF LISBON"/>
            <filter val="CH2: Plates and the planet: How to eco-feed the world"/>
            <filter val="Building a better internet in the shadow of a pandemic"/>
            <filter val="Talk Outro - KEEP"/>
            <filter val="What makes a good logo?"/>
            <filter val="RISE Trailer"/>
            <filter val="In depth: Editors' roundtable"/>
            <filter val="Laundry Day2_11AM"/>
            <filter val="Digital health privacy in a pandemic"/>
            <filter val="Teaser: Paris Hilton_Intro"/>
            <filter val="Partner Adroll #2_Ontario Government"/>
            <filter val="In depth: Nicola Kilner"/>
            <filter val="How to beat diabetes"/>
            <filter val="Finance will never be the same again"/>
            <filter val="Covid-19: Overcoming the CX Challenge"/>
            <filter val="CH 3 - The cost of health: Insurtech in a pandemic"/>
            <filter val="Tech, governance and the fate of society as we know it"/>
            <filter val="The role of tech in a post-Covid world"/>
            <filter val="Responsible messaging during a pandemic"/>
            <filter val="40 Words #"/>
            <filter val="Laundry Day1_11AM"/>
            <filter val="Collision From Home Day Intro Video"/>
            <filter val="Building the health brand of the future"/>
            <filter val="Teaser: PepsiCo"/>
            <filter val="Teaser: Shay Mitchell_Intro"/>
            <filter val="Answering the Call of Duty"/>
            <filter val="Will the money dry up post Covid-19?"/>
            <filter val="40 Words #6 _Query Layer"/>
            <filter val="City of Toronto"/>
            <filter val="CH 1 - Are circular cities safer?"/>
            <filter val="The health game changer: Democratizing lab testing"/>
            <filter val="In depth: John Chambers"/>
            <filter val="How to cover big tech"/>
            <filter val="From Olympic hopeful to high-stakes poker"/>
            <filter val="40 Words #4 _Northflank"/>
            <filter val="Consumer data post-Covid"/>
            <filter val="MC Outro"/>
            <filter val="Leading through Covid-19 and beyond"/>
            <filter val="Teaser: Facebook CRO _Intro"/>
            <filter val="Teaser: Paypal_Intro"/>
            <filter val="An investment model for the 'crisis climate'"/>
            <filter val="Zoom with a difference: Ben Goertzel and Philip K Dick"/>
            <filter val="MTS_9_Advice"/>
            <filter val="Teaser:Slack"/>
            <filter val="In depth: Anthony Scaramucci"/>
            <filter val="Tedros Adhanom Ghebreyesus on Radio Collision"/>
            <filter val="Margaret Atwood on Radio Collision"/>
            <filter val="Teaser:  Nikolaj Coster Waldau_Intro"/>
            <filter val="Get radically personal"/>
            <filter val="CH2 - Leading outside the box"/>
            <filter val="LaundryDay2_12pm"/>
            <filter val="Elections in a post-Covid world"/>
            <filter val="Ambient intelligence: The next frontier for AI"/>
            <filter val="RISE promo"/>
            <filter val="Teaser: Box"/>
            <filter val="MC intro"/>
            <filter val="In depth: Gilberto Silva"/>
            <filter val="Laundry Day3_4PM"/>
            <filter val="ch 3 Kubernetes: Seed to a universal control plane"/>
            <filter val="Revolutionizing employee healthcare"/>
            <filter val="Rise Trailer - short"/>
            <filter val="Progressive delivery"/>
            <filter val="CH 1-The state of cannabusiness"/>
            <filter val="Partner ad - Pitchbook"/>
            <filter val="Web summit promo"/>
            <filter val="Teaser: Laurent Duvernay-Tardif_Intro"/>
            <filter val="Uber Eats: What happens post-lockdown?"/>
            <filter val="Retail is dead. Long live retail!"/>
            <filter val="Making it real. (Fast.)"/>
            <filter val="The new rules of VC fundraising"/>
            <filter val="Partner Adroll #7 - Hyundai"/>
            <filter val="In depth: Brian Collins"/>
            <filter val="CH2 - It's all about the story"/>
            <filter val="Teaser: Huda Beauty"/>
            <filter val="In depth: Molly Bloom"/>
            <filter val="web Summit promo"/>
            <filter val="Emerging AI applications and innovations"/>
            <filter val="Building a new (design) culture"/>
            <filter val="The future of photography"/>
            <filter val="Speaker intro"/>
            <filter val="Teaser: Call of Duty"/>
            <filter val="Here to health: Fighting an infodemic"/>
            <filter val="CH 1 - Investing through the chaos"/>
            <filter val="Counting sleep"/>
            <filter val="Developing robotics from your room"/>
            <filter val="The Lion's Share: Protecting our endangered species"/>
            <filter val="Music tech that makes you move"/>
            <filter val="Speaking truth to power"/>
            <filter val="Do robots understand pandemics?"/>
            <filter val="The future of Lime"/>
            <filter val="CH 1- The fate of retail lies with the consumer"/>
            <filter val="Design as a multiplayer game"/>
            <filter val="Teaser:Slack_Intro"/>
            <filter val="Teaser: Call of Duty_Intro"/>
            <filter val="Talk Outro - Q&amp;A MENTION"/>
            <filter val="Web Summit Trailer - short - HAS TO STAY AS A WS TRAILER"/>
            <filter val="3 things that break during hyper-growth"/>
            <filter val="The Gronkowski's guide to building a business empire"/>
            <filter val="Get younger as you age"/>
            <filter val="Inside a news powerhouse"/>
            <filter val="In depth: Josh Luber"/>
            <filter val="40 words  #2_Webiny"/>
            <filter val="Dawn Ostroff on Radio Collision"/>
            <filter val="The world works from home"/>
            <filter val="Trends in the data: Cannabis"/>
            <filter val="The art of exploration"/>
            <filter val="Spending in 2020"/>
            <filter val="What makes TikTok different"/>
            <filter val="Teaser: Brad Smith"/>
            <filter val="One-size-fits-none: Why CRM is no longer enough"/>
            <filter val="Connecting the DoTs"/>
            <filter val="Government and business: Addressing global challenges"/>
            <filter val="This was tomorrow. What's next for your brand?"/>
            <filter val="The science of elite performance"/>
            <filter val="In conversation with Margaret Atwood"/>
            <filter val="Teaser: Arm_Intro"/>
            <filter val="How can we save lives with seaweed?"/>
            <filter val="Paris Hilton on Radio Collision"/>
            <filter val="Pragmatism beats privacy"/>
            <filter val="Inside the New York Times"/>
            <filter val="CH 1-What can data do in a crisis?"/>
            <filter val="CH 3 Sowing the seeds of recovery"/>
            <filter val="Leading BuzzFeed through Covid-19"/>
            <filter val="The democratisation of AI"/>
            <filter val="Teaser: Huda Beauty_Intro"/>
            <filter val="Business builders: Life off the court"/>
            <filter val="Teaser: Netflix"/>
            <filter val="In depth: Ali Rezai"/>
            <filter val="Teaser: Alexa"/>
            <filter val="ch -1 Grit city: How tough is New York's startup scene?"/>
            <filter val="The power of AI and voice post-pandemic"/>
            <filter val="How to win the digital news war"/>
            <filter val="Building human connection with emotion AI"/>
            <filter val="Teaser: Spotify_Intro"/>
            <filter val="Teaser:  Nikolaj Coster Waldau"/>
            <filter val="Talk Outro - Q&amp;A Mention"/>
            <filter val="Digitally transforming a brand empire"/>
            <filter val="Talk Outro - LENGTH INCREASED TO BALANCE OUT THE HOUR"/>
            <filter val="RISE trailer - short"/>
            <filter val="Can psychedelics rebuild your brain?"/>
            <filter val="Partner ad - Startup Portugal"/>
            <filter val="CFH Intro Video"/>
            <filter val="Startups everywhere navigating the future of work"/>
            <filter val="40 words #1 _Forecast"/>
            <filter val="Partner Logo Reel #2"/>
            <filter val="Do we need a new global economic system?"/>
            <filter val="Teaser: Shaq"/>
            <filter val="Investing through the chaos"/>
            <filter val="Technology’s subservience to culture"/>
            <filter val="40 Words #9_Cuckoo"/>
            <filter val="Partner Adroll #5_TD Bank"/>
            <filter val="Travel in a time of no travel"/>
            <filter val="Love and dating during lockdown"/>
            <filter val="Title tbc"/>
            <filter val="The big picture: What's next for Canada?"/>
            <filter val="From the frontlines of cybersecurity"/>
            <filter val="CH4: The marketing plays you need to know about"/>
            <filter val="It's all about the story"/>
            <filter val="Recession proofing your company with UI and UX"/>
            <filter val="Pitch Finalists announced"/>
            <filter val="The future we choose"/>
            <filter val="RISE Trailer - short"/>
            <filter val="Teaser: Facebook CRO"/>
            <filter val="In depth: Rick Ridgeway"/>
            <filter val="Optimism is a choice"/>
            <filter val="A smart energy grid in the lockdown era"/>
            <filter val="Hope Solo: Building a better America"/>
            <filter val="Modern toolkit for remote teams"/>
            <filter val="Announcing PITCH winner"/>
            <filter val="Are smart cities safer?"/>
            <filter val="5G and accelerating the fourth industrial revolution"/>
            <filter val="Guilt-free binge watching"/>
            <filter val="Reshaping healthcare delivery"/>
            <filter val="Surviving hibernation through innovation"/>
            <filter val="40 Words #10_Brightlobe"/>
            <filter val="Building a community-first business empire"/>
            <filter val="A message  from the World Health Organization"/>
            <filter val="Teaser: Brad Smith _Intro"/>
            <filter val="Humanizing mobility and innovation"/>
            <filter val="Is it possible to unite a remote team?"/>
            <filter val="Design your reinvention"/>
            <filter val="Does journalism need a tech rescue?"/>
            <filter val="40 Words #11_Recroot"/>
            <filter val="Keeping communities healthy and happy"/>
            <filter val="Teaser: AriannaHuff"/>
            <filter val="Separating hype from true change"/>
            <filter val="Health for all, hunger for none – how AI can help"/>
            <filter val="To scale or not to scale, and how?"/>
            <filter val="40 words #15_Pawlytics"/>
            <filter val="SaaS &amp; remote-centric culture"/>
            <filter val="How will gen Z shape the future of legacy businesses?"/>
            <filter val="Feature film in a post-Covid world"/>
            <filter val="What would you do? The ethics of fighting COVID"/>
            <filter val="In depth: The Future of Sport"/>
            <filter val="CLOSE"/>
            <filter val="meet the past pitch winner: Torch.io"/>
            <filter val="How to manage growth"/>
            <filter val="Talk outro -KEEP"/>
            <filter val="Innovative materials"/>
            <filter val="Privacy in a time of crisis"/>
            <filter val="In depth: Sid Sijbrandij"/>
            <filter val="Shaquille O'Neal: Changing the game for workers"/>
            <filter val="Decode empathy education"/>
            <filter val="Partner ad Invest in Canada"/>
            <filter val="Leadership amid uncertainty"/>
            <filter val="Growing an ecommerce giant"/>
            <filter val="CH2: Building a paradigm of trust"/>
            <filter val="Can designers save the world?"/>
            <filter val="Grit city: How tough is New York's startup scene?"/>
            <filter val="Advertising in 2021"/>
            <filter val="Laundry Day2_1PM"/>
            <filter val="Laundry Day1_3PM"/>
            <filter val="Look, listen – then lead"/>
            <filter val="CH 1 - Autonomy during a pandemic"/>
            <filter val="News and tech: The ultimate frenemies?"/>
            <filter val="The untapped potential of AI"/>
            <filter val="Teaser: Laurent Duvernay-Tardif"/>
            <filter val="40 words #14 _Cheapskate"/>
            <filter val="State of the VC nation"/>
            <filter val="Humans and AI: How to work well together"/>
            <filter val="CH. 3 Reducing your environmental impact"/>
            <filter val="Partner logoreel #3 TBC"/>
            <filter val="How can startups survive a pandemic?"/>
            <filter val="Leading a legacy brand"/>
            <filter val="Closing remarks_DAY 1"/>
            <filter val="Closing remarks_DAY 2"/>
            <filter val="Partner Adroll #6 - CITY OF LISBON"/>
            <filter val="Is your head A-oki?"/>
            <filter val="Teaser: Gronk"/>
            <filter val="Closing remarks_DAY 3"/>
            <filter val="The road to opening Toronto"/>
            <filter val="Documentaries for change"/>
            <filter val="Teaser: Sidewalk Labs_Intro"/>
            <filter val="The science of tomorrow"/>
            <filter val="Content from Home: TikTok's greatest challenge"/>
            <filter val="The societal impact of 5G"/>
            <filter val="Laundry Day1_12pm"/>
            <filter val="Past pitch winner 1:  Torch.io"/>
            <filter val="Teaser: Buzzfeed_Intro"/>
            <filter val="Spotify's battle to win hearts, minds and ears"/>
            <filter val="Laundry Day1_2PM"/>
            <filter val="An abnormal beauty industry"/>
            <filter val="Winning at remote working"/>
            <filter val="Teaser: Kate Brandt"/>
            <filter val="In depth: Rana el Kaliouby"/>
            <filter val="The future of consumer and brand loyalty"/>
            <filter val="How brands connect in a virtual world"/>
            <filter val="MTS_3_Lockdown"/>
            <filter val="Teaser: UA_Intro"/>
            <filter val="Teaser: Sony Pictures Animation"/>
            <filter val="CH3: Loyalty in our new reality"/>
            <filter val="Laundry Day3_11AM"/>
            <filter val="MTS_8_Lockdown"/>
            <filter val="CH3 - Has 2020 redefined leadership?"/>
            <filter val="Partner Adroll #4 TBC"/>
            <filter val="Covid-19 : Digital Healthcare’s time to shine"/>
            <filter val="MTS_4_Lockdown"/>
            <filter val="Small business in a pandemic economy"/>
            <filter val="Partner Logo reel - 30 seconds - #1"/>
            <filter val="Teaser: Boston Dynamics_Intro"/>
            <filter val="Teaser: Box_Intro"/>
            <filter val="Partner Adroll - #1 ASSIGNED TO YEXT"/>
            <filter val="40 Words #12_Demodesk"/>
            <filter val="Leadership in the time of Covid-19"/>
            <filter val="CH4: Rebuilding the retail sector"/>
            <filter val="Waste is a design flaw"/>
            <filter val="Who owns what, and what we're free to say"/>
            <filter val="MC Intro"/>
            <filter val="Unlocking the black box of machine learning"/>
            <filter val="CH 1-Edge AI will be key in the post-Covid world"/>
            <filter val="Smart mobility: Lessons from Covid-19"/>
            <filter val="Pitch Semi-Final group 1 of 3"/>
            <filter val="Can a crisis fuel creativity?"/>
            <filter val="No hype: Deploying real-world machine learning"/>
            <filter val="Paid-for content: Unavoidable or elitist?"/>
            <filter val="Autonomy during a pandemic"/>
            <filter val="cH. 1- China's edtech revolution: AI teachers in lockdown"/>
            <filter val="Teaser: Under Armour"/>
            <filter val="Laundry Day1_1PM"/>
            <filter val="Misinformation in the time of coronavirus"/>
            <filter val="Pitch Semi-Final group 2 of 3"/>
            <filter val="Into the clouds"/>
            <filter val="The privacy spectrum"/>
            <filter val="Life in the Paris lane"/>
            <filter val="Call to action"/>
            <filter val="CH2: Let ‘em run with AI"/>
            <filter val="Partner logo reel #2"/>
            <filter val="Partner Adroll #2"/>
            <filter val="Partner Adroll #1"/>
            <filter val="Partner Adroll #4"/>
            <filter val="Partner logo reel #1"/>
            <filter val="Partner Adroll #3"/>
            <filter val="How tech can help us think critically"/>
            <filter val="Tech's role during the crisis"/>
            <filter val="Teaser: Shay Mitchell"/>
            <filter val="Telling your story in challenging times"/>
            <filter val="Impact investing for resilient communities"/>
            <filter val="Can newsrooms survive a Covid-caused recession?"/>
            <filter val="Teaser: Sidewalk Labs"/>
            <filter val="40 Words #5_HourOne"/>
            <filter val="Accuracy in the new age of information"/>
            <filter val="Entrepreneurs can save our planet"/>
            <filter val="talk outro"/>
            <filter val="High-quality experiences in times of high demand"/>
            <filter val="Going viral: How far will Covid-19 go?"/>
            <filter val="CH2: Conservation, science and climate"/>
            <filter val="40 Words #3_Sym"/>
            <filter val="How not to be tone deaf"/>
            <filter val="Data protection post-Covid"/>
            <filter val="CH 1 - Streaming wars: The new world order"/>
            <filter val="AI-way or the highway"/>
            <filter val="High fashion in recession"/>
            <filter val="Microprocessing: The race is on"/>
            <filter val="Recruiting in a recession"/>
            <filter val="Covid-19: Accelerating the future of healthcare"/>
            <filter val="Inside SoftBank: Changing customer behaviour"/>
            <filter val="Data, digitisation and the death of the card"/>
            <filter val="Green cities: Driving sustainable environments"/>
            <filter val="Politics and papers: What do Americans want?"/>
            <filter val="Arianna Huffington on Radio Collision"/>
            <filter val="Teaser: Vinod Khosla_Intro"/>
            <filter val="How is tech taking Covid-19 to task?"/>
            <filter val="Who holds tech to account?"/>
            <filter val="Seeing opportunity in crisis"/>
            <filter val="By Taraji: A brand on your own terms"/>
            <filter val="Post-Panama: The future of data journalism"/>
            <filter val="The jam jar and the hamburger: Connecting east and west design"/>
            <filter val="Scaling a company 10-fold in four weeks"/>
            <filter val="Customer care will never be the same again"/>
            <filter val="Designing for the voice-enabled future"/>
            <filter val="Can data save the world?"/>
            <filter val="Teaser: Paypal"/>
            <filter val="talk intro"/>
            <filter val="Closing a sale when your customer is closed"/>
            <filter val="In depth: Gary Liu"/>
            <filter val="Brand new, brand you"/>
            <filter val="Working from home? Not for robots!"/>
            <filter val="Safeguard a healthier future with AI and robots"/>
            <filter val="Teaser: Gronk_Intro"/>
            <filter val="Partner ad - UK DIT"/>
            <filter val="In depth: Brittany Kaiser"/>
            <filter val="In depth: Alissa White-Gluz"/>
            <filter val="In depth: Vinod Khosla"/>
            <filter val="Keep calm and educate: Covid, kids and learning"/>
            <filter val="Talk Outro (Length increased to balance out the hour)"/>
            <filter val="Collision From Home Promo"/>
            <filter val="Seek the hidden dragon"/>
            <filter val="40 Words #17_Grandpal"/>
            <filter val="Post Covid-19: Can work ever be the same?"/>
            <filter val="How to navigate the world's largest WfH experiment"/>
            <filter val="MTS_1_InfluentialPerson"/>
            <filter val="How I turned my passion into a billion-dollar business"/>
            <filter val="Has Covid-19 revealed the limits of bricks and mortar?"/>
            <filter val="Partner ad - It is for the partner - Invest in Canada"/>
            <filter val="Can startups survive 2020?"/>
            <filter val="In depth: Jeremy Zimmer"/>
            <filter val="In depth: Lily Cole"/>
            <filter val="Sustainable business beyond greenwashing"/>
            <filter val="Laundry list/look around"/>
            <filter val="The internet of wild things"/>
            <filter val="Talk outro - KEEP"/>
            <filter val="The Super Bowl champion fighting COVID-19"/>
            <filter val="Combatting climate change post-Covid"/>
            <filter val="CH - 1Reinventing news: Reporting from home"/>
            <filter val="Laundry Day3_3PM"/>
            <filter val="The new age of urban mobility"/>
            <filter val="Partner ad - Yext"/>
            <filter val="Shaquille O'Neal on Radio Collision"/>
            <filter val="How to trump the Trump economy"/>
            <filter val="40 Words #13_London Trade Art"/>
            <filter val="Teaser: Sony Pictures Animation_Intro"/>
            <filter val="Where Facebook is putting its money"/>
            <filter val="Teaser: Shaq_Intro"/>
            <filter val="What will a return to normality look like?"/>
            <filter val="Brand responsibility"/>
            <filter val="Fighting Covid by hacking the human OS"/>
            <filter val="To pay or not to pay: What content should be free"/>
            <filter val="3 customer engagement strategies post-pandemic"/>
            <filter val="Shifting from growth times to endurance times"/>
            <filter val="CH 3 - Smart investments in a pandemic"/>
            <filter val="40 Words #7_Crux OCM"/>
            <filter val="Is big tech killing the economy?"/>
            <filter val="Accelerating digital transformation"/>
            <filter val="Blowing the whistle the right way"/>
            <filter val="Partner ad - City of Toronto"/>
            <filter val="Teaser: YouTube"/>
            <filter val="Teaser: Max Levchin"/>
            <filter val="Talk Intro - decreased to allow for the overun in talk duration"/>
            <filter val="Laundry Day2_4PM"/>
            <filter val="Why 'metalbashers' will become software giants"/>
            <filter val="ch. 1 Journalism in the age of pandemic"/>
            <filter val="Teaser: Buzzfeed"/>
            <filter val="Racial and climate justice in the post-Covid economy"/>
            <filter val="Safeguarding the 2020 elections"/>
            <filter val="Every cloud has a silver lining"/>
            <filter val="Web Summit promo"/>
            <filter val="A champion's guide to conquering the world"/>
            <filter val="Laundry Day3_2PM"/>
            <filter val="Teaser: Margaret Atwood_Intro"/>
            <filter val="CH 1- How to win the digital news war"/>
            <filter val="From surviving to thriving: Brands chart a new path forward"/>
            <filter val="PITCH final"/>
            <filter val="Hacking policy: Tech as a force for good"/>
            <filter val="GitLab: Building an all-remote enterprise"/>
            <filter val="Canada in 2021"/>
            <filter val="Teaser: Tencent &amp;. Ailish Campbell"/>
            <filter val="5G to usher in brighter future"/>
            <filter val="Teaser: AriannaHuff_Intro"/>
            <filter val="Anxiety in a time of isolation"/>
            <filter val="Self-care in a pandemic"/>
            <filter val="Beyond the bombshell"/>
            <filter val="Talk outro"/>
            <filter val="Educating designers for pandemic response"/>
            <filter val="Partner ad - The Corporation of the City of Brampton"/>
            <filter val="Overcoming operational challenges during a pandemic"/>
            <filter val="CH 2: Pushing the retail boundaries"/>
            <filter val="Collision From Home"/>
            <filter val="Laundry Day2_3PM"/>
            <filter val="The void of ethical leadership"/>
            <filter val="AI and the death of empathy in design"/>
            <filter val="The first million users"/>
            <filter val="Laundry Day3_10AM"/>
            <filter val="It's an app-eat-app world"/>
            <filter val="40 Words #16_Sizle"/>
            <filter val="Laundry Day3_1PM"/>
            <filter val="The future of urban mobility"/>
            <filter val="Future of work after crisis"/>
            <filter val="ch 2 - Sustaining a viral hit"/>
            <filter val="Talk intro"/>
            <filter val="Rethinking digital finance with Plaid"/>
            <filter val="UI and the customer experience post Covid-19"/>
            <filter val="CH 3- Reinventing the VC model"/>
            <filter val="Actually – not artificially – intelligent drones"/>
            <filter val="Talk Outro (Duration increased to balance out the hour)"/>
            <filter val="Teaser: Kate Brandt_Intro"/>
            <filter val="Data-centric culture"/>
            <filter val="An exit strategy for social media"/>
            <filter val="In depth: Mitchell Baker"/>
            <filter val="Channel 2 Day 1 Top of the day intro VO holding graphic"/>
            <filter val="Teaser: Spotify"/>
            <filter val="Teaser: Vinod Khosla"/>
            <filter val="Canada post-pandemic"/>
            <filter val="Partner ad roll #2_STARTUP PORTUGAL"/>
            <filter val="Laundry Day2_2PM"/>
            <filter val="Ch 3 Is inclusive finance in the US a pipe dream?"/>
            <filter val="Laundry Day1_4PM"/>
            <filter val="Partner Adroll #3 TBC"/>
            <filter val="Sowing the seeds of recovery"/>
            <filter val="What to do when you're in the spotlight"/>
            <filter val="Carbon, pollution and the current pandemic"/>
            <filter val="CH1 - Inside the hospitals of tomorrow"/>
            <filter val="Teaser: Max Levchin _Intro"/>
            <filter val="How COVID-19 will change healthcare forever"/>
            <filter val="CH 2 - Digital literacy for the community"/>
            <filter val="Time to spare in this track"/>
            <filter val="Partner ad #1- The Corporation of the City of Brampton"/>
          </filters>
        </filterColumn>
        <filterColumn colId="7">
          <filters>
            <filter val="Holding graphic"/>
            <filter val="Fireside"/>
            <filter val="Teaser"/>
            <filter val="Teaser Outro"/>
            <filter val="ID null"/>
            <filter val="Panel"/>
            <filter val="Keynote"/>
            <filter val="Super Fireside"/>
          </filters>
        </filterColumn>
        <filterColumn colId="1">
          <filters blank="1">
            <filter val="Channel 3"/>
            <filter val="Channel 4"/>
            <filter val="Channel 1"/>
            <filter val="Channel 2"/>
            <filter val="ID null"/>
            <filter val="CHANNEL 1"/>
            <filter val="CHANNEL 2"/>
            <filter val="CHANNEL 3"/>
            <filter val="SURPLUS TALKS"/>
            <filter val="DAY 2 - Wednesday, 24 June"/>
            <filter val="DAY 1 - Tuesday, 23 June"/>
            <filter val="DAY 3 - Thursday, 25 June"/>
          </filters>
        </filterColumn>
      </autoFilter>
    </customSheetView>
    <customSheetView guid="{BC84EB14-58BC-4409-85B4-A4F0B0FF40CF}" filter="1" showAutoFilter="1">
      <autoFilter ref="$A$1:$AD$3000">
        <filterColumn colId="19">
          <filters>
            <filter val="Yes"/>
          </filters>
        </filterColumn>
      </autoFilter>
    </customSheetView>
    <customSheetView guid="{84BC6C31-419C-455F-890B-2FF179511301}" filter="1" showAutoFilter="1">
      <autoFilter ref="$A$1:$AD$3000">
        <filterColumn colId="1">
          <filters>
            <filter val="Channel 3"/>
            <filter val="Channel 4"/>
            <filter val="Channel 1"/>
            <filter val="Channel 2"/>
            <filter val="ID null"/>
            <filter val="CHANNEL 1"/>
          </filters>
        </filterColumn>
        <filterColumn colId="8">
          <filters blank="1">
            <filter val="Laundry Day3_12PM"/>
            <filter val="50 shades of tech"/>
            <filter val="40 words #"/>
            <filter val="Nailing social media in the lockdown"/>
            <filter val="ch 1 - To pay or not to pay: What content should be free"/>
            <filter val="Welcome to Collision from Home"/>
            <filter val="Teaser: Margaret Atwood"/>
            <filter val="The death of disease?"/>
            <filter val="Hoop Dreams: Meet the NBA stars turned entrepreneurs"/>
            <filter val="How to win the US presidency"/>
            <filter val="Fundraising during a global pandemic"/>
            <filter val="Is education on the cusp of a revolution?"/>
            <filter val="Make car ownership cool again"/>
            <filter val="From around the world to home BÉIS"/>
            <filter val="Partner Adroll #5_AWS"/>
            <filter val="Tech and transparency in the branding era"/>
            <filter val="The ethics of sales during Covid-19"/>
            <filter val="Talk Intro (Decreased in order to allow for overrun in talk duration)"/>
            <filter val="Teaser: Alexa_Intro"/>
            <filter val="Why you should start a company in a recession"/>
            <filter val="Bouncing back: The new normal for sport"/>
            <filter val="PITCH semi-final round 3 of 3"/>
            <filter val="How Canada can restart its startup ecosystem"/>
            <filter val="Long live the kings of sports and media"/>
            <filter val="40 Words #8 _Orai"/>
            <filter val="New startup wisdom: Goodbye vitamins, hello cocktails"/>
            <filter val="Economic uncertainty or opportunity? The story of Shift"/>
            <filter val="RISE trailer"/>
            <filter val="In depth: Nikolaj Coster-Waldau"/>
            <filter val="Partner ad - TD Bank"/>
            <filter val="The future of tech in a post Covid-19 world"/>
            <filter val="MTS_10_Advice"/>
            <filter val="Teaser: YouTube_Intro"/>
            <filter val="Cross-border payments: Tackling a moving target"/>
            <filter val="Speaker Intro Video"/>
            <filter val="Exploring the Covid-19 narrative in global news"/>
            <filter val="Partner ad - York Region"/>
            <filter val="How to Thrive in the next normal"/>
            <filter val="Nurturing a legend: 40 years of Pac-Man"/>
            <filter val="Ambient technology"/>
            <filter val="Meet a past PITCH winner: Chelsea Briganti"/>
            <filter val="Facetune: Is AI making us more creative?"/>
            <filter val="Teaser: LinkedIn_Intro"/>
            <filter val="Teaser: PepsiCo_Intro"/>
            <filter val="In depth: Emily Oberman"/>
            <filter val="Teaser: LinkedIn"/>
            <filter val="Partner logos"/>
            <filter val="Hack from Home"/>
            <filter val="CH 1- Does a recession breed innovation?"/>
            <filter val="Laundry Day2_10AM"/>
            <filter val="The importance of mindfulness in light of Covid-19"/>
            <filter val="Teaser: Arm"/>
            <filter val="Teaser: Samsung_Intro"/>
            <filter val="The role of the CMO in a crisis"/>
            <filter val="Tech transforming sports"/>
            <filter val="Partner Adroll #4 - ASSIGNED TO PITCHBOOK"/>
            <filter val="Will sports ever be the same?"/>
            <filter val="How to bust the post-Covid recession"/>
            <filter val="Teaser: Boston Dynamics"/>
            <filter val="Time to ditch the Silicon Valley way?"/>
            <filter val="CH2: Impact investing for resilient communities"/>
            <filter val="LL Cool J rocks the bells"/>
            <filter val="In depth: Gretchen Carlson"/>
            <filter val="Teaser: Samsung"/>
            <filter val="The power of entrepreneurship"/>
            <filter val="Teaser: Paris Hilton"/>
            <filter val="Betting on storytelling"/>
            <filter val="CH2: Investing in Europe post-pandemic"/>
            <filter val="Do we really need offices? A workplace story"/>
            <filter val="Teaser: Netflix_Intro"/>
            <filter val="Teaser: Tencent &amp;. Ailish Campbell_Intro"/>
            <filter val="Partner Adroll # 5 - CITY OF LISBON"/>
            <filter val="CH2: Plates and the planet: How to eco-feed the world"/>
            <filter val="Building a better internet in the shadow of a pandemic"/>
            <filter val="Talk Outro - KEEP"/>
            <filter val="What makes a good logo?"/>
            <filter val="RISE Trailer"/>
            <filter val="In depth: Editors' roundtable"/>
            <filter val="Laundry Day2_11AM"/>
            <filter val="Digital health privacy in a pandemic"/>
            <filter val="Teaser: Paris Hilton_Intro"/>
            <filter val="Partner Adroll #2_Ontario Government"/>
            <filter val="In depth: Nicola Kilner"/>
            <filter val="How to beat diabetes"/>
            <filter val="Finance will never be the same again"/>
            <filter val="Covid-19: Overcoming the CX Challenge"/>
            <filter val="CH 3 - The cost of health: Insurtech in a pandemic"/>
            <filter val="Tech, governance and the fate of society as we know it"/>
            <filter val="The role of tech in a post-Covid world"/>
            <filter val="Responsible messaging during a pandemic"/>
            <filter val="40 Words #"/>
            <filter val="Laundry Day1_11AM"/>
            <filter val="Collision From Home Day Intro Video"/>
            <filter val="Building the health brand of the future"/>
            <filter val="Teaser: PepsiCo"/>
            <filter val="Teaser: Shay Mitchell_Intro"/>
            <filter val="Laundry List/Lookaround"/>
            <filter val="Answering the Call of Duty"/>
            <filter val="Will the money dry up post Covid-19?"/>
            <filter val="40 Words #6 _Query Layer"/>
            <filter val="City of Toronto"/>
            <filter val="CH 1 - Are circular cities safer?"/>
            <filter val="The health game changer: Democratizing lab testing"/>
            <filter val="In depth: John Chambers"/>
            <filter val="How to cover big tech"/>
            <filter val="From Olympic hopeful to high-stakes poker"/>
            <filter val="40 Words #4 _Northflank"/>
            <filter val="Consumer data post-Covid"/>
            <filter val="MC Outro"/>
            <filter val="Leading through Covid-19 and beyond"/>
            <filter val="Teaser: Facebook CRO _Intro"/>
            <filter val="Teaser: Paypal_Intro"/>
            <filter val="An investment model for the 'crisis climate'"/>
            <filter val="Zoom with a difference: Ben Goertzel and Philip K Dick"/>
            <filter val="MTS_9_Advice"/>
            <filter val="Teaser:Slack"/>
            <filter val="In depth: Anthony Scaramucci"/>
            <filter val="Tedros Adhanom Ghebreyesus on Radio Collision"/>
            <filter val="Margaret Atwood on Radio Collision"/>
            <filter val="Teaser:  Nikolaj Coster Waldau_Intro"/>
            <filter val="Get radically personal"/>
            <filter val="CH2 - Leading outside the box"/>
            <filter val="LaundryDay2_12pm"/>
            <filter val="Elections in a post-Covid world"/>
            <filter val="Ambient intelligence: The next frontier for AI"/>
            <filter val="RISE promo"/>
            <filter val="Teaser: Box"/>
            <filter val="MC intro"/>
            <filter val="In depth: Gilberto Silva"/>
            <filter val="Laundry Day3_4PM"/>
            <filter val="ch 3 Kubernetes: Seed to a universal control plane"/>
            <filter val="Revolutionizing employee healthcare"/>
            <filter val="Rise Trailer - short"/>
            <filter val="Progressive delivery"/>
            <filter val="CH 1-The state of cannabusiness"/>
            <filter val="Partner ad - Pitchbook"/>
            <filter val="Web summit promo"/>
            <filter val="Teaser: Laurent Duvernay-Tardif_Intro"/>
            <filter val="Uber Eats: What happens post-lockdown?"/>
            <filter val="Retail is dead. Long live retail!"/>
            <filter val="Making it real. (Fast.)"/>
            <filter val="The new rules of VC fundraising"/>
            <filter val="Partner Adroll #7 - Hyundai"/>
            <filter val="In depth: Brian Collins"/>
            <filter val="CH2 - It's all about the story"/>
            <filter val="Teaser: Huda Beauty"/>
            <filter val="In depth: Molly Bloom"/>
            <filter val="web Summit promo"/>
            <filter val="Emerging AI applications and innovations"/>
            <filter val="Building a new (design) culture"/>
            <filter val="The future of photography"/>
            <filter val="Speaker intro"/>
            <filter val="Teaser: Call of Duty"/>
            <filter val="Here to health: Fighting an infodemic"/>
            <filter val="CH 1 - Investing through the chaos"/>
            <filter val="Counting sleep"/>
            <filter val="Developing robotics from your room"/>
            <filter val="The Lion's Share: Protecting our endangered species"/>
            <filter val="Music tech that makes you move"/>
            <filter val="Speaking truth to power"/>
            <filter val="Do robots understand pandemics?"/>
            <filter val="The future of Lime"/>
            <filter val="CH 1- The fate of retail lies with the consumer"/>
            <filter val="Design as a multiplayer game"/>
            <filter val="Teaser:Slack_Intro"/>
            <filter val="Teaser: Call of Duty_Intro"/>
            <filter val="Talk Outro - Q&amp;A MENTION"/>
            <filter val="Web Summit Trailer - short"/>
            <filter val="Web Summit Trailer - short - HAS TO STAY AS A WS TRAILER"/>
            <filter val="3 things that break during hyper-growth"/>
            <filter val="The Gronkowski's guide to building a business empire"/>
            <filter val="Get younger as you age"/>
            <filter val="Inside a news powerhouse"/>
            <filter val="In depth: Josh Luber"/>
            <filter val="40 words  #2_Webiny"/>
            <filter val="Dawn Ostroff on Radio Collision"/>
            <filter val="The world works from home"/>
            <filter val="Trends in the data: Cannabis"/>
            <filter val="The art of exploration"/>
            <filter val="Spending in 2020"/>
            <filter val="What makes TikTok different"/>
            <filter val="Teaser: Brad Smith"/>
            <filter val="One-size-fits-none: Why CRM is no longer enough"/>
            <filter val="Connecting the DoTs"/>
            <filter val="Government and business: Addressing global challenges"/>
            <filter val="This was tomorrow. What's next for your brand?"/>
            <filter val="The science of elite performance"/>
            <filter val="In conversation with Margaret Atwood"/>
            <filter val="Teaser: Arm_Intro"/>
            <filter val="How can we save lives with seaweed?"/>
            <filter val="Paris Hilton on Radio Collision"/>
            <filter val="Pragmatism beats privacy"/>
            <filter val="Inside the New York Times"/>
            <filter val="CH 1-What can data do in a crisis?"/>
            <filter val="CH 3 Sowing the seeds of recovery"/>
            <filter val="Leading BuzzFeed through Covid-19"/>
            <filter val="The democratisation of AI"/>
            <filter val="Teaser: Huda Beauty_Intro"/>
            <filter val="Business builders: Life off the court"/>
            <filter val="Teaser: Netflix"/>
            <filter val="In depth: Ali Rezai"/>
            <filter val="Teaser: Alexa"/>
            <filter val="ch -1 Grit city: How tough is New York's startup scene?"/>
            <filter val="The power of AI and voice post-pandemic"/>
            <filter val="How to win the digital news war"/>
            <filter val="Building human connection with emotion AI"/>
            <filter val="Teaser: Spotify_Intro"/>
            <filter val="Teaser:  Nikolaj Coster Waldau"/>
            <filter val="Talk Outro - Q&amp;A Mention"/>
            <filter val="Digitally transforming a brand empire"/>
            <filter val="Talk Outro - LENGTH INCREASED TO BALANCE OUT THE HOUR"/>
            <filter val="RISE trailer - short"/>
            <filter val="Can psychedelics rebuild your brain?"/>
            <filter val="Partner ad - Startup Portugal"/>
            <filter val="CFH Intro Video"/>
            <filter val="Startups everywhere navigating the future of work"/>
            <filter val="40 words #1 _Forecast"/>
            <filter val="Partner Logo Reel #2"/>
            <filter val="Do we need a new global economic system?"/>
            <filter val="Teaser: Shaq"/>
            <filter val="Investing through the chaos"/>
            <filter val="Technology’s subservience to culture"/>
            <filter val="40 Words #9_Cuckoo"/>
            <filter val="Partner Adroll #5_TD Bank"/>
            <filter val="Travel in a time of no travel"/>
            <filter val="Love and dating during lockdown"/>
            <filter val="Title tbc"/>
            <filter val="The big picture: What's next for Canada?"/>
            <filter val="From the frontlines of cybersecurity"/>
            <filter val="CH4: The marketing plays you need to know about"/>
            <filter val="It's all about the story"/>
            <filter val="Recession proofing your company with UI and UX"/>
            <filter val="Pitch Finalists announced"/>
            <filter val="The future we choose"/>
            <filter val="RISE Trailer - short"/>
            <filter val="Teaser: Facebook CRO"/>
            <filter val="In depth: Rick Ridgeway"/>
            <filter val="Optimism is a choice"/>
            <filter val="A smart energy grid in the lockdown era"/>
            <filter val="Hope Solo: Building a better America"/>
            <filter val="Modern toolkit for remote teams"/>
            <filter val="Announcing PITCH winner"/>
            <filter val="Are smart cities safer?"/>
            <filter val="5G and accelerating the fourth industrial revolution"/>
            <filter val="Guilt-free binge watching"/>
            <filter val="Reshaping healthcare delivery"/>
            <filter val="Surviving hibernation through innovation"/>
            <filter val="40 Words #10_Brightlobe"/>
            <filter val="Building a community-first business empire"/>
            <filter val="A message  from the World Health Organization"/>
            <filter val="Talk Intro"/>
            <filter val="Teaser: Brad Smith _Intro"/>
            <filter val="Humanizing mobility and innovation"/>
            <filter val="Is it possible to unite a remote team?"/>
            <filter val="Design your reinvention"/>
            <filter val="Does journalism need a tech rescue?"/>
            <filter val="40 Words #11_Recroot"/>
            <filter val="Keeping communities healthy and happy"/>
            <filter val="Teaser: AriannaHuff"/>
            <filter val="Separating hype from true change"/>
            <filter val="Talk Outro"/>
            <filter val="Health for all, hunger for none – how AI can help"/>
            <filter val="To scale or not to scale, and how?"/>
            <filter val="40 words #15_Pawlytics"/>
            <filter val="SaaS &amp; remote-centric culture"/>
            <filter val="How will gen Z shape the future of legacy businesses?"/>
            <filter val="Feature film in a post-Covid world"/>
            <filter val="What would you do? The ethics of fighting COVID"/>
            <filter val="In depth: The Future of Sport"/>
            <filter val="CLOSE"/>
            <filter val="meet the past pitch winner: Torch.io"/>
            <filter val="How to manage growth"/>
            <filter val="Talk outro -KEEP"/>
            <filter val="Innovative materials"/>
            <filter val="Privacy in a time of crisis"/>
            <filter val="In depth: Sid Sijbrandij"/>
            <filter val="Shaquille O'Neal: Changing the game for workers"/>
            <filter val="Decode empathy education"/>
            <filter val="Partner ad Invest in Canada"/>
            <filter val="Leadership amid uncertainty"/>
            <filter val="Growing an ecommerce giant"/>
            <filter val="CH2: Building a paradigm of trust"/>
            <filter val="Can designers save the world?"/>
            <filter val="Grit city: How tough is New York's startup scene?"/>
            <filter val="Advertising in 2021"/>
            <filter val="Laundry Day2_1PM"/>
            <filter val="Laundry Day1_3PM"/>
            <filter val="Look, listen – then lead"/>
            <filter val="CH 1 - Autonomy during a pandemic"/>
            <filter val="News and tech: The ultimate frenemies?"/>
            <filter val="The untapped potential of AI"/>
            <filter val="Teaser: Laurent Duvernay-Tardif"/>
            <filter val="40 words #14 _Cheapskate"/>
            <filter val="State of the VC nation"/>
            <filter val="Humans and AI: How to work well together"/>
            <filter val="CH. 3 Reducing your environmental impact"/>
            <filter val="Partner logoreel #3 TBC"/>
            <filter val="How can startups survive a pandemic?"/>
            <filter val="Leading a legacy brand"/>
            <filter val="Closing remarks_DAY 1"/>
            <filter val="Closing remarks_DAY 2"/>
            <filter val="Partner Adroll #6 - CITY OF LISBON"/>
            <filter val="Is your head A-oki?"/>
            <filter val="Teaser: Gronk"/>
            <filter val="Closing remarks_DAY 3"/>
            <filter val="The road to opening Toronto"/>
            <filter val="Documentaries for change"/>
            <filter val="Teaser: Sidewalk Labs_Intro"/>
            <filter val="The science of tomorrow"/>
            <filter val="Content from Home: TikTok's greatest challenge"/>
            <filter val="The societal impact of 5G"/>
            <filter val="Laundry Day1_12pm"/>
            <filter val="Past pitch winner 1:  Torch.io"/>
            <filter val="Teaser: Buzzfeed_Intro"/>
            <filter val="Spotify's battle to win hearts, minds and ears"/>
            <filter val="Laundry Day1_2PM"/>
            <filter val="An abnormal beauty industry"/>
            <filter val="Partner ad"/>
            <filter val="Winning at remote working"/>
            <filter val="Teaser: Kate Brandt"/>
            <filter val="In depth: Rana el Kaliouby"/>
            <filter val="The future of consumer and brand loyalty"/>
            <filter val="How brands connect in a virtual world"/>
            <filter val="MTS_3_Lockdown"/>
            <filter val="Teaser: UA_Intro"/>
            <filter val="Teaser: Sony Pictures Animation"/>
            <filter val="CH3: Loyalty in our new reality"/>
            <filter val="Laundry Day3_11AM"/>
            <filter val="MTS_8_Lockdown"/>
            <filter val="CH3 - Has 2020 redefined leadership?"/>
            <filter val="Partner Adroll #4 TBC"/>
            <filter val="Covid-19 : Digital Healthcare’s time to shine"/>
            <filter val="MTS_4_Lockdown"/>
            <filter val="Small business in a pandemic economy"/>
            <filter val="Partner Logo reel - 30 seconds - #1"/>
            <filter val="Teaser: Boston Dynamics_Intro"/>
            <filter val="Teaser: Box_Intro"/>
            <filter val="Partner Adroll - #1 ASSIGNED TO YEXT"/>
            <filter val="40 Words #12_Demodesk"/>
            <filter val="Leadership in the time of Covid-19"/>
            <filter val="CH4: Rebuilding the retail sector"/>
            <filter val="Waste is a design flaw"/>
            <filter val="Who owns what, and what we're free to say"/>
            <filter val="MC Intro"/>
            <filter val="Unlocking the black box of machine learning"/>
            <filter val="CH 1-Edge AI will be key in the post-Covid world"/>
            <filter val="Smart mobility: Lessons from Covid-19"/>
            <filter val="Pitch Semi-Final group 1 of 3"/>
            <filter val="Can a crisis fuel creativity?"/>
            <filter val="No hype: Deploying real-world machine learning"/>
            <filter val="Paid-for content: Unavoidable or elitist?"/>
            <filter val="Autonomy during a pandemic"/>
            <filter val="cH. 1- China's edtech revolution: AI teachers in lockdown"/>
            <filter val="Teaser: Under Armour"/>
            <filter val="Laundry Day1_1PM"/>
            <filter val="Misinformation in the time of coronavirus"/>
            <filter val="Pitch Semi-Final group 2 of 3"/>
            <filter val="Into the clouds"/>
            <filter val="The privacy spectrum"/>
            <filter val="Life in the Paris lane"/>
            <filter val="Call to action"/>
            <filter val="CH2: Let ‘em run with AI"/>
            <filter val="Partner logo reel #2"/>
            <filter val="Partner Adroll #2"/>
            <filter val="Partner Adroll #1"/>
            <filter val="Partner Adroll #4"/>
            <filter val="Partner logo reel #1"/>
            <filter val="Partner Adroll #3"/>
            <filter val="How tech can help us think critically"/>
            <filter val="Tech's role during the crisis"/>
            <filter val="Teaser: Shay Mitchell"/>
            <filter val="Telling your story in challenging times"/>
            <filter val="Impact investing for resilient communities"/>
            <filter val="Can newsrooms survive a Covid-caused recession?"/>
            <filter val="Teaser: Sidewalk Labs"/>
            <filter val="40 Words #5_HourOne"/>
            <filter val="Accuracy in the new age of information"/>
            <filter val="Entrepreneurs can save our planet"/>
            <filter val="talk outro"/>
            <filter val="High-quality experiences in times of high demand"/>
            <filter val="Going viral: How far will Covid-19 go?"/>
            <filter val="CH2: Conservation, science and climate"/>
            <filter val="40 Words #3_Sym"/>
            <filter val="How not to be tone deaf"/>
            <filter val="Data protection post-Covid"/>
            <filter val="CH 1 - Streaming wars: The new world order"/>
            <filter val="AI-way or the highway"/>
            <filter val="High fashion in recession"/>
            <filter val="Microprocessing: The race is on"/>
            <filter val="Recruiting in a recession"/>
            <filter val="Covid-19: Accelerating the future of healthcare"/>
            <filter val="Inside SoftBank: Changing customer behaviour"/>
            <filter val="Data, digitisation and the death of the card"/>
            <filter val="Green cities: Driving sustainable environments"/>
            <filter val="Politics and papers: What do Americans want?"/>
            <filter val="Arianna Huffington on Radio Collision"/>
            <filter val="Teaser: Vinod Khosla_Intro"/>
            <filter val="How is tech taking Covid-19 to task?"/>
            <filter val="Who holds tech to account?"/>
            <filter val="Seeing opportunity in crisis"/>
            <filter val="By Taraji: A brand on your own terms"/>
            <filter val="Post-Panama: The future of data journalism"/>
            <filter val="The jam jar and the hamburger: Connecting east and west design"/>
            <filter val="Scaling a company 10-fold in four weeks"/>
            <filter val="Customer care will never be the same again"/>
            <filter val="Designing for the voice-enabled future"/>
            <filter val="Can data save the world?"/>
            <filter val="Teaser: Paypal"/>
            <filter val="talk intro"/>
            <filter val="Closing a sale when your customer is closed"/>
            <filter val="In depth: Gary Liu"/>
            <filter val="Brand new, brand you"/>
            <filter val="Working from home? Not for robots!"/>
            <filter val="Safeguard a healthier future with AI and robots"/>
            <filter val="Teaser: Gronk_Intro"/>
            <filter val="Partner ad - UK DIT"/>
            <filter val="In depth: Brittany Kaiser"/>
            <filter val="In depth: Alissa White-Gluz"/>
            <filter val="In depth: Vinod Khosla"/>
            <filter val="Keep calm and educate: Covid, kids and learning"/>
            <filter val="Talk Outro (Length increased to balance out the hour)"/>
            <filter val="Collision From Home Promo"/>
            <filter val="Seek the hidden dragon"/>
            <filter val="40 Words #17_Grandpal"/>
            <filter val="Post Covid-19: Can work ever be the same?"/>
            <filter val="How to navigate the world's largest WfH experiment"/>
            <filter val="MTS_1_InfluentialPerson"/>
            <filter val="How I turned my passion into a billion-dollar business"/>
            <filter val="Has Covid-19 revealed the limits of bricks and mortar?"/>
            <filter val="Partner ad - It is for the partner - Invest in Canada"/>
            <filter val="Can startups survive 2020?"/>
            <filter val="In depth: Jeremy Zimmer"/>
            <filter val="In depth: Lily Cole"/>
            <filter val="Sustainable business beyond greenwashing"/>
            <filter val="Laundry list/look around"/>
            <filter val="The internet of wild things"/>
            <filter val="Talk outro - KEEP"/>
            <filter val="The Super Bowl champion fighting COVID-19"/>
            <filter val="Combatting climate change post-Covid"/>
            <filter val="CH - 1Reinventing news: Reporting from home"/>
            <filter val="Laundry Day3_3PM"/>
            <filter val="The new age of urban mobility"/>
            <filter val="Partner ad - Yext"/>
            <filter val="Shaquille O'Neal on Radio Collision"/>
            <filter val="How to trump the Trump economy"/>
            <filter val="40 Words #13_London Trade Art"/>
            <filter val="Teaser: Sony Pictures Animation_Intro"/>
            <filter val="Where Facebook is putting its money"/>
            <filter val="Teaser: Shaq_Intro"/>
            <filter val="What will a return to normality look like?"/>
            <filter val="Brand responsibility"/>
            <filter val="Fighting Covid by hacking the human OS"/>
            <filter val="To pay or not to pay: What content should be free"/>
            <filter val="3 customer engagement strategies post-pandemic"/>
            <filter val="Shifting from growth times to endurance times"/>
            <filter val="CH 3 - Smart investments in a pandemic"/>
            <filter val="40 Words #7_Crux OCM"/>
            <filter val="Is big tech killing the economy?"/>
            <filter val="Accelerating digital transformation"/>
            <filter val="Blowing the whistle the right way"/>
            <filter val="Partner ad - City of Toronto"/>
            <filter val="Teaser: YouTube"/>
            <filter val="Teaser: Max Levchin"/>
            <filter val="Talk Intro - decreased to allow for the overun in talk duration"/>
            <filter val="Laundry Day2_4PM"/>
            <filter val="Why 'metalbashers' will become software giants"/>
            <filter val="ch. 1 Journalism in the age of pandemic"/>
            <filter val="Teaser: Buzzfeed"/>
            <filter val="Racial and climate justice in the post-Covid economy"/>
            <filter val="Safeguarding the 2020 elections"/>
            <filter val="Every cloud has a silver lining"/>
            <filter val="Web Summit promo"/>
            <filter val="A champion's guide to conquering the world"/>
            <filter val="Laundry Day3_2PM"/>
            <filter val="Teaser: Margaret Atwood_Intro"/>
            <filter val="CH 1- How to win the digital news war"/>
            <filter val="From surviving to thriving: Brands chart a new path forward"/>
            <filter val="PITCH final"/>
            <filter val="Hacking policy: Tech as a force for good"/>
            <filter val="GitLab: Building an all-remote enterprise"/>
            <filter val="Canada in 2021"/>
            <filter val="Teaser: Tencent &amp;. Ailish Campbell"/>
            <filter val="5G to usher in brighter future"/>
            <filter val="Teaser: AriannaHuff_Intro"/>
            <filter val="Anxiety in a time of isolation"/>
            <filter val="Self-care in a pandemic"/>
            <filter val="Beyond the bombshell"/>
            <filter val="Talk outro"/>
            <filter val="Educating designers for pandemic response"/>
            <filter val="Collision From Home Day Intro"/>
            <filter val="Partner ad - The Corporation of the City of Brampton"/>
            <filter val="Overcoming operational challenges during a pandemic"/>
            <filter val="CH 2: Pushing the retail boundaries"/>
            <filter val="Collision From Home"/>
            <filter val="Laundry Day2_3PM"/>
            <filter val="The void of ethical leadership"/>
            <filter val="AI and the death of empathy in design"/>
            <filter val="The first million users"/>
            <filter val="Web Summit Trailer - full"/>
            <filter val="Laundry Day3_10AM"/>
            <filter val="It's an app-eat-app world"/>
            <filter val="40 Words #16_Sizle"/>
            <filter val="Laundry Day3_1PM"/>
            <filter val="Collision From Home Day Outro"/>
            <filter val="The future of urban mobility"/>
            <filter val="Future of work after crisis"/>
            <filter val="ch 2 - Sustaining a viral hit"/>
            <filter val="Talk intro"/>
            <filter val="Rethinking digital finance with Plaid"/>
            <filter val="UI and the customer experience post Covid-19"/>
            <filter val="CH 3- Reinventing the VC model"/>
            <filter val="Actually – not artificially – intelligent drones"/>
            <filter val="Talk Outro (Duration increased to balance out the hour)"/>
            <filter val="Teaser: Kate Brandt_Intro"/>
            <filter val="Data-centric culture"/>
            <filter val="An exit strategy for social media"/>
            <filter val="In depth: Mitchell Baker"/>
            <filter val="Channel 2 Day 1 Top of the day intro VO holding graphic"/>
            <filter val="Teaser: Spotify"/>
            <filter val="Teaser: Vinod Khosla"/>
            <filter val="Canada post-pandemic"/>
            <filter val="Partner ad roll #2_STARTUP PORTUGAL"/>
            <filter val="Laundry Day2_2PM"/>
            <filter val="Ch 3 Is inclusive finance in the US a pipe dream?"/>
            <filter val="Laundry Day1_4PM"/>
            <filter val="Partner Adroll #3 TBC"/>
            <filter val="Sowing the seeds of recovery"/>
            <filter val="What to do when you're in the spotlight"/>
            <filter val="Carbon, pollution and the current pandemic"/>
            <filter val="CH1 - Inside the hospitals of tomorrow"/>
            <filter val="Teaser: Max Levchin _Intro"/>
            <filter val="How COVID-19 will change healthcare forever"/>
            <filter val="CH 2 - Digital literacy for the community"/>
            <filter val="Time to spare in this track"/>
            <filter val="Partner ad #1- The Corporation of the City of Brampton"/>
          </filters>
        </filterColumn>
      </autoFilter>
    </customSheetView>
    <customSheetView guid="{9A1421EC-7CB2-47C5-99B2-FD3ED4ED0EB7}" filter="1" showAutoFilter="1">
      <autoFilter ref="$A$1:$AD$3000">
        <filterColumn colId="22">
          <filters>
            <filter val="TRUE"/>
          </filters>
        </filterColumn>
      </autoFilter>
    </customSheetView>
    <customSheetView guid="{EA2AB65D-9BC5-4500-9A57-314323CD4A17}" filter="1" showAutoFilter="1">
      <autoFilter ref="$A$1:$AD$3000">
        <filterColumn colId="8">
          <customFilters>
            <customFilter val="*Radio*"/>
          </customFilters>
        </filterColumn>
        <filterColumn colId="7">
          <customFilters>
            <customFilter val="*Teaser*"/>
          </customFilters>
        </filterColumn>
      </autoFilter>
    </customSheetView>
    <customSheetView guid="{A445D47B-8F7D-4EA9-8A0A-AB62BB991408}" filter="1" showAutoFilter="1">
      <autoFilter ref="$A$1:$AD$3000">
        <filterColumn colId="15">
          <filters>
            <filter val="Ronan"/>
          </filters>
        </filterColumn>
      </autoFilter>
    </customSheetView>
    <customSheetView guid="{747D3991-BD5F-496D-A42D-DF9974B8F070}" filter="1" showAutoFilter="1">
      <autoFilter ref="$A$1:$AD$3000">
        <filterColumn colId="15">
          <filters>
            <filter val="Grace"/>
          </filters>
        </filterColumn>
      </autoFilter>
    </customSheetView>
    <customSheetView guid="{D667A3AA-9C65-4CEE-8E54-474DA2A876CC}" filter="1" showAutoFilter="1">
      <autoFilter ref="$A$1:$AD$3000">
        <filterColumn colId="15">
          <filters>
            <filter val="Wez"/>
          </filters>
        </filterColumn>
      </autoFilter>
    </customSheetView>
    <customSheetView guid="{E1575F8B-C55B-4DB4-A102-91F324DCFFA9}" filter="1" showAutoFilter="1">
      <autoFilter ref="$A$1:$AD$3000">
        <filterColumn colId="1">
          <filters>
            <filter val="Channel 3"/>
            <filter val="Channel 4"/>
            <filter val="Channel 1"/>
            <filter val="Channel 2"/>
            <filter val="ID null"/>
            <filter val="CHANNEL 2"/>
          </filters>
        </filterColumn>
      </autoFilter>
    </customSheetView>
  </customSheetViews>
  <conditionalFormatting sqref="R1:R3000 U1:W3000 X1:X926 Y1:Z3000 S2:S161 S163:S399 S401:S432 S434:S457 S459:S690 S692:S704 S706:S723 S725:S741 S743:S748 S751:S830 S832:S1271 X928:X3000 S1273:S1283 S1285:S3000">
    <cfRule type="cellIs" dxfId="1" priority="1" operator="equal">
      <formula>"FALSE"</formula>
    </cfRule>
  </conditionalFormatting>
  <conditionalFormatting sqref="R1:R3000 U1:W3000 X1:X926 Y1:Z3000 S2:S161 S163:S399 S401:S432 S434:S457 S459:S690 S692:S704 S706:S723 S725:S741 S743:S748 S751:S830 S832:S1271 X928:X3000 S1273:S1283 S1285:S3000">
    <cfRule type="containsText" dxfId="2" priority="2" operator="containsText" text="TRUE">
      <formula>NOT(ISERROR(SEARCH(("TRUE"),(R1))))</formula>
    </cfRule>
  </conditionalFormatting>
  <conditionalFormatting sqref="A1:P3000 Q1:Q120 R1:W3000 X1:X926 Y1:Z3000 AA1:AA19 AB1:AB875 AC1:AC3000 AD1:AD269 AE1:AF3000 AA21:AA172 Q122:Q176 AA174:AA244 Q178:Q247 AA246:AA3000 Q249:Q1399 AD271:AD274 AD276:AD1009 AB877:AB3000 X928:X3000 AD1011:AD1712 Q1401:Q3000 AD1714:AD3000">
    <cfRule type="cellIs" dxfId="0" priority="3" operator="equal">
      <formula>"ID null"</formula>
    </cfRule>
  </conditionalFormatting>
  <conditionalFormatting sqref="S2:S3000">
    <cfRule type="expression" dxfId="20" priority="4">
      <formula>countif($I:$I, $S2)</formula>
    </cfRule>
  </conditionalFormatting>
  <conditionalFormatting sqref="AD2:AD269 AD271:AD274 AD276:AD1009 Q1010 AD1011:AD1712 AD1714:AD3000">
    <cfRule type="expression" dxfId="3" priority="5">
      <formula>$B:$B = "Surplus ch."</formula>
    </cfRule>
  </conditionalFormatting>
  <conditionalFormatting sqref="AE2:AF3000">
    <cfRule type="containsText" dxfId="14" priority="6" operator="containsText" text="RERECORDED">
      <formula>NOT(ISERROR(SEARCH(("RERECORDED"),(AE2))))</formula>
    </cfRule>
  </conditionalFormatting>
  <dataValidations>
    <dataValidation type="list" allowBlank="1" sqref="P2:P690 P692:P704 P706:P3000">
      <formula1>Lists!$B$2:$B$1000</formula1>
    </dataValidation>
    <dataValidation type="list" allowBlank="1" sqref="T2:T3000">
      <formula1>"Yes,"</formula1>
    </dataValidation>
    <dataValidation type="list" allowBlank="1" sqref="O2:O3000">
      <formula1>Lists!$A$2:$A$1000</formula1>
    </dataValidation>
  </dataValidations>
  <hyperlinks>
    <hyperlink r:id="rId2" ref="Q9"/>
    <hyperlink r:id="rId3" ref="AD9"/>
    <hyperlink r:id="rId4" ref="Q14"/>
    <hyperlink r:id="rId5" ref="AD14"/>
    <hyperlink r:id="rId6" ref="Q20"/>
    <hyperlink r:id="rId7" ref="AD20"/>
    <hyperlink r:id="rId8" ref="Q25"/>
    <hyperlink r:id="rId9" ref="AD25"/>
    <hyperlink r:id="rId10" ref="Q32"/>
    <hyperlink r:id="rId11" ref="AD32"/>
    <hyperlink r:id="rId12" ref="Q36"/>
    <hyperlink r:id="rId13" ref="AD36"/>
    <hyperlink r:id="rId14" ref="Q41"/>
    <hyperlink r:id="rId15" ref="AD41"/>
    <hyperlink r:id="rId16" ref="Q49"/>
    <hyperlink r:id="rId17" ref="AD49"/>
    <hyperlink r:id="rId18" ref="Q60"/>
    <hyperlink r:id="rId19" ref="AD60"/>
    <hyperlink r:id="rId20" ref="Q63"/>
    <hyperlink r:id="rId21" ref="Q67"/>
    <hyperlink r:id="rId22" ref="AD67"/>
    <hyperlink r:id="rId23" ref="Q71"/>
    <hyperlink r:id="rId24" ref="AD71"/>
    <hyperlink r:id="rId25" ref="Q73"/>
    <hyperlink r:id="rId26" ref="Q80"/>
    <hyperlink r:id="rId27" ref="AD80"/>
    <hyperlink r:id="rId28" ref="Q83"/>
    <hyperlink r:id="rId29" ref="Q87"/>
    <hyperlink r:id="rId30" ref="AD87"/>
    <hyperlink r:id="rId31" ref="Q91"/>
    <hyperlink r:id="rId32" ref="AD91"/>
    <hyperlink r:id="rId33" ref="Q94"/>
    <hyperlink r:id="rId34" ref="AD94"/>
    <hyperlink r:id="rId35" ref="Q99"/>
    <hyperlink r:id="rId36" ref="AD99"/>
    <hyperlink r:id="rId37" ref="Q102"/>
    <hyperlink r:id="rId38" ref="AD102"/>
    <hyperlink r:id="rId39" ref="Q117"/>
    <hyperlink r:id="rId40" ref="AD117"/>
    <hyperlink r:id="rId41" ref="Q121"/>
    <hyperlink r:id="rId42" ref="AD121"/>
    <hyperlink r:id="rId43" ref="Q125"/>
    <hyperlink r:id="rId44" ref="AD125"/>
    <hyperlink r:id="rId45" ref="Q128"/>
    <hyperlink r:id="rId46" ref="AD128"/>
    <hyperlink r:id="rId47" ref="Q130"/>
    <hyperlink r:id="rId48" ref="AD130"/>
    <hyperlink r:id="rId49" ref="Q138"/>
    <hyperlink r:id="rId50" ref="AD138"/>
    <hyperlink r:id="rId51" ref="Q144"/>
    <hyperlink r:id="rId52" ref="AD144"/>
    <hyperlink r:id="rId53" ref="Q146"/>
    <hyperlink r:id="rId54" ref="AD146"/>
    <hyperlink r:id="rId55" ref="Q149"/>
    <hyperlink r:id="rId56" ref="AD149"/>
    <hyperlink r:id="rId57" ref="Q162"/>
    <hyperlink r:id="rId58" ref="AD162"/>
    <hyperlink r:id="rId59" ref="AD165"/>
    <hyperlink r:id="rId60" ref="Q168"/>
    <hyperlink r:id="rId61" ref="AD168"/>
    <hyperlink r:id="rId62" ref="Q173"/>
    <hyperlink r:id="rId63" ref="AD173"/>
    <hyperlink r:id="rId64" ref="Q177"/>
    <hyperlink r:id="rId65" ref="AD177"/>
    <hyperlink r:id="rId66" ref="Q181"/>
    <hyperlink r:id="rId67" ref="AD181"/>
    <hyperlink r:id="rId68" ref="Q191"/>
    <hyperlink r:id="rId69" ref="AD191"/>
    <hyperlink r:id="rId70" ref="Q195"/>
    <hyperlink r:id="rId71" ref="Q199"/>
    <hyperlink r:id="rId72" ref="AD199"/>
    <hyperlink r:id="rId73" ref="Q202"/>
    <hyperlink r:id="rId74" ref="AD202"/>
    <hyperlink r:id="rId75" ref="Q205"/>
    <hyperlink r:id="rId76" ref="AD205"/>
    <hyperlink r:id="rId77" ref="Q210"/>
    <hyperlink r:id="rId78" ref="AD210"/>
    <hyperlink r:id="rId79" ref="Q216"/>
    <hyperlink r:id="rId80" ref="AD216"/>
    <hyperlink r:id="rId81" ref="Q222"/>
    <hyperlink r:id="rId82" ref="AD222"/>
    <hyperlink r:id="rId83" ref="Q234"/>
    <hyperlink r:id="rId84" ref="AD234"/>
    <hyperlink r:id="rId85" ref="Q245"/>
    <hyperlink r:id="rId86" ref="AD245"/>
    <hyperlink r:id="rId87" ref="Q248"/>
    <hyperlink r:id="rId88" ref="AD248"/>
    <hyperlink r:id="rId89" ref="Q251"/>
    <hyperlink r:id="rId90" ref="AD251"/>
    <hyperlink r:id="rId91" ref="Q255"/>
    <hyperlink r:id="rId92" ref="Q257"/>
    <hyperlink r:id="rId93" ref="AD257"/>
    <hyperlink r:id="rId94" ref="Q265"/>
    <hyperlink r:id="rId95" ref="AD265"/>
    <hyperlink r:id="rId96" ref="Q268"/>
    <hyperlink r:id="rId97" ref="Q270"/>
    <hyperlink r:id="rId98" ref="AD270"/>
    <hyperlink r:id="rId99" ref="Q273"/>
    <hyperlink r:id="rId100" ref="AD273"/>
    <hyperlink r:id="rId101" ref="Q275"/>
    <hyperlink r:id="rId102" ref="AD275"/>
    <hyperlink r:id="rId103" ref="Q277"/>
    <hyperlink r:id="rId104" ref="AD277"/>
    <hyperlink r:id="rId105" ref="Q282"/>
    <hyperlink r:id="rId106" ref="AD282"/>
    <hyperlink r:id="rId107" ref="Q289"/>
    <hyperlink r:id="rId108" ref="AD289"/>
    <hyperlink r:id="rId109" ref="Q297"/>
    <hyperlink r:id="rId110" ref="AD297"/>
    <hyperlink r:id="rId111" ref="Q302"/>
    <hyperlink r:id="rId112" ref="AD302"/>
    <hyperlink r:id="rId113" ref="Q305"/>
    <hyperlink r:id="rId114" ref="AD305"/>
    <hyperlink r:id="rId115" ref="Q313"/>
    <hyperlink r:id="rId116" ref="AD313"/>
    <hyperlink r:id="rId117" ref="Q318"/>
    <hyperlink r:id="rId118" ref="AD318"/>
    <hyperlink r:id="rId119" ref="Q323"/>
    <hyperlink r:id="rId120" ref="AD323"/>
    <hyperlink r:id="rId121" ref="Q329"/>
    <hyperlink r:id="rId122" ref="AD329"/>
    <hyperlink r:id="rId123" ref="Q338"/>
    <hyperlink r:id="rId124" ref="AD338"/>
    <hyperlink r:id="rId125" ref="Q341"/>
    <hyperlink r:id="rId126" ref="Q344"/>
    <hyperlink r:id="rId127" ref="AD344"/>
    <hyperlink r:id="rId128" ref="Q349"/>
    <hyperlink r:id="rId129" ref="AD349"/>
    <hyperlink r:id="rId130" ref="Q355"/>
    <hyperlink r:id="rId131" ref="AD355"/>
    <hyperlink r:id="rId132" ref="Q358"/>
    <hyperlink r:id="rId133" ref="AD358"/>
    <hyperlink r:id="rId134" ref="Q361"/>
    <hyperlink r:id="rId135" ref="AD361"/>
    <hyperlink r:id="rId136" ref="Q364"/>
    <hyperlink r:id="rId137" ref="AD364"/>
    <hyperlink r:id="rId138" ref="Q368"/>
    <hyperlink r:id="rId139" ref="AD368"/>
    <hyperlink r:id="rId140" ref="Q379"/>
    <hyperlink r:id="rId141" ref="AD379"/>
    <hyperlink r:id="rId142" ref="Q383"/>
    <hyperlink r:id="rId143" ref="AD383"/>
    <hyperlink r:id="rId144" ref="Q386"/>
    <hyperlink r:id="rId145" ref="AD386"/>
    <hyperlink r:id="rId146" ref="Q397"/>
    <hyperlink r:id="rId147" ref="AD397"/>
    <hyperlink r:id="rId148" ref="Q401"/>
    <hyperlink r:id="rId149" ref="AD401"/>
    <hyperlink r:id="rId150" ref="Q409"/>
    <hyperlink r:id="rId151" ref="AD409"/>
    <hyperlink r:id="rId152" ref="Q413"/>
    <hyperlink r:id="rId153" ref="Q418"/>
    <hyperlink r:id="rId154" ref="AD418"/>
    <hyperlink r:id="rId155" ref="Q421"/>
    <hyperlink r:id="rId156" ref="AD421"/>
    <hyperlink r:id="rId157" ref="Q427"/>
    <hyperlink r:id="rId158" ref="AD427"/>
    <hyperlink r:id="rId159" ref="Q429"/>
    <hyperlink r:id="rId160" ref="AD429"/>
    <hyperlink r:id="rId161" ref="Q438"/>
    <hyperlink r:id="rId162" ref="AD438"/>
    <hyperlink r:id="rId163" ref="Q442"/>
    <hyperlink r:id="rId164" ref="Q447"/>
    <hyperlink r:id="rId165" ref="AD447"/>
    <hyperlink r:id="rId166" ref="Q451"/>
    <hyperlink r:id="rId167" ref="AD451"/>
    <hyperlink r:id="rId168" ref="Q453"/>
    <hyperlink r:id="rId169" ref="AD453"/>
    <hyperlink r:id="rId170" ref="Q457"/>
    <hyperlink r:id="rId171" ref="AD457"/>
    <hyperlink r:id="rId172" ref="Q460"/>
    <hyperlink r:id="rId173" ref="AD460"/>
    <hyperlink r:id="rId174" ref="Q463"/>
    <hyperlink r:id="rId175" ref="AD463"/>
    <hyperlink r:id="rId176" ref="Q470"/>
    <hyperlink r:id="rId177" ref="AD470"/>
    <hyperlink r:id="rId178" ref="Q475"/>
    <hyperlink r:id="rId179" ref="AD475"/>
    <hyperlink r:id="rId180" ref="Q479"/>
    <hyperlink r:id="rId181" ref="AD479"/>
    <hyperlink r:id="rId182" ref="Q482"/>
    <hyperlink r:id="rId183" ref="AD482"/>
    <hyperlink r:id="rId184" ref="Q487"/>
    <hyperlink r:id="rId185" ref="AD487"/>
    <hyperlink r:id="rId186" ref="Q491"/>
    <hyperlink r:id="rId187" ref="AD491"/>
    <hyperlink r:id="rId188" ref="Q495"/>
    <hyperlink r:id="rId189" ref="AD495"/>
    <hyperlink r:id="rId190" ref="Q498"/>
    <hyperlink r:id="rId191" ref="Q506"/>
    <hyperlink r:id="rId192" ref="AD506"/>
    <hyperlink r:id="rId193" ref="Q509"/>
    <hyperlink r:id="rId194" ref="AD509"/>
    <hyperlink r:id="rId195" ref="Q512"/>
    <hyperlink r:id="rId196" ref="AD512"/>
    <hyperlink r:id="rId197" ref="Q519"/>
    <hyperlink r:id="rId198" ref="AD519"/>
    <hyperlink r:id="rId199" ref="Q522"/>
    <hyperlink r:id="rId200" ref="AD522"/>
    <hyperlink r:id="rId201" ref="Q525"/>
    <hyperlink r:id="rId202" ref="AD525"/>
    <hyperlink r:id="rId203" ref="K528"/>
    <hyperlink r:id="rId204" ref="Q534"/>
    <hyperlink r:id="rId205" ref="AD534"/>
    <hyperlink r:id="rId206" ref="Q536"/>
    <hyperlink r:id="rId207" ref="AD536"/>
    <hyperlink r:id="rId208" ref="Q539"/>
    <hyperlink r:id="rId209" ref="AD539"/>
    <hyperlink r:id="rId210" ref="Q543"/>
    <hyperlink r:id="rId211" ref="AD543"/>
    <hyperlink r:id="rId212" ref="Q547"/>
    <hyperlink r:id="rId213" ref="AD547"/>
    <hyperlink r:id="rId214" ref="Q549"/>
    <hyperlink r:id="rId215" ref="AD549"/>
    <hyperlink r:id="rId216" ref="Q551"/>
    <hyperlink r:id="rId217" ref="AD551"/>
    <hyperlink r:id="rId218" ref="Q556"/>
    <hyperlink r:id="rId219" ref="AD556"/>
    <hyperlink r:id="rId220" ref="Q560"/>
    <hyperlink r:id="rId221" ref="AD560"/>
    <hyperlink r:id="rId222" ref="Q562"/>
    <hyperlink r:id="rId223" ref="AD562"/>
    <hyperlink r:id="rId224" ref="Q564"/>
    <hyperlink r:id="rId225" ref="AD564"/>
    <hyperlink r:id="rId226" ref="Q568"/>
    <hyperlink r:id="rId227" ref="AD568"/>
    <hyperlink r:id="rId228" ref="Q570"/>
    <hyperlink r:id="rId229" ref="AD570"/>
    <hyperlink r:id="rId230" ref="Q576"/>
    <hyperlink r:id="rId231" ref="AD576"/>
    <hyperlink r:id="rId232" ref="Q579"/>
    <hyperlink r:id="rId233" ref="AD579"/>
    <hyperlink r:id="rId234" ref="Q583"/>
    <hyperlink r:id="rId235" ref="AD583"/>
    <hyperlink r:id="rId236" ref="Q586"/>
    <hyperlink r:id="rId237" ref="Q590"/>
    <hyperlink r:id="rId238" ref="AD590"/>
    <hyperlink r:id="rId239" ref="Q598"/>
    <hyperlink r:id="rId240" ref="AD598"/>
    <hyperlink r:id="rId241" ref="Q605"/>
    <hyperlink r:id="rId242" ref="AD605"/>
    <hyperlink r:id="rId243" ref="Q608"/>
    <hyperlink r:id="rId244" ref="AD608"/>
    <hyperlink r:id="rId245" ref="Q611"/>
    <hyperlink r:id="rId246" ref="AD611"/>
    <hyperlink r:id="rId247" ref="Q614"/>
    <hyperlink r:id="rId248" ref="AD614"/>
    <hyperlink r:id="rId249" ref="Q619"/>
    <hyperlink r:id="rId250" ref="Q626"/>
    <hyperlink r:id="rId251" ref="AD626"/>
    <hyperlink r:id="rId252" ref="Q629"/>
    <hyperlink r:id="rId253" ref="AD629"/>
    <hyperlink r:id="rId254" ref="Q638"/>
    <hyperlink r:id="rId255" ref="AD638"/>
    <hyperlink r:id="rId256" ref="Q641"/>
    <hyperlink r:id="rId257" ref="AD641"/>
    <hyperlink r:id="rId258" ref="Q646"/>
    <hyperlink r:id="rId259" ref="AD646"/>
    <hyperlink r:id="rId260" ref="Q650"/>
    <hyperlink r:id="rId261" ref="AD650"/>
    <hyperlink r:id="rId262" ref="Q655"/>
    <hyperlink r:id="rId263" ref="AD655"/>
    <hyperlink r:id="rId264" ref="Q661"/>
    <hyperlink r:id="rId265" ref="AD661"/>
    <hyperlink r:id="rId266" ref="Q664"/>
    <hyperlink r:id="rId267" ref="AD664"/>
    <hyperlink r:id="rId268" ref="Q667"/>
    <hyperlink r:id="rId269" ref="AD667"/>
    <hyperlink r:id="rId270" ref="Q670"/>
    <hyperlink r:id="rId271" ref="AD670"/>
    <hyperlink r:id="rId272" ref="Q674"/>
    <hyperlink r:id="rId273" ref="AD674"/>
    <hyperlink r:id="rId274" ref="Q678"/>
    <hyperlink r:id="rId275" ref="AD678"/>
    <hyperlink r:id="rId276" ref="Q683"/>
    <hyperlink r:id="rId277" ref="AD683"/>
    <hyperlink r:id="rId278" ref="Q688"/>
    <hyperlink r:id="rId279" ref="Q694"/>
    <hyperlink r:id="rId280" ref="AD694"/>
    <hyperlink r:id="rId281" ref="Q702"/>
    <hyperlink r:id="rId282" ref="AD702"/>
    <hyperlink r:id="rId283" ref="Q705"/>
    <hyperlink r:id="rId284" ref="AD705"/>
    <hyperlink r:id="rId285" ref="Q709"/>
    <hyperlink r:id="rId286" ref="AD709"/>
    <hyperlink r:id="rId287" ref="Q714"/>
    <hyperlink r:id="rId288" ref="AD714"/>
    <hyperlink r:id="rId289" ref="Q717"/>
    <hyperlink r:id="rId290" ref="AD717"/>
    <hyperlink r:id="rId291" ref="Q721"/>
    <hyperlink r:id="rId292" ref="Q735"/>
    <hyperlink r:id="rId293" ref="AD735"/>
    <hyperlink r:id="rId294" ref="Q743"/>
    <hyperlink r:id="rId295" ref="Q747"/>
    <hyperlink r:id="rId296" ref="AD747"/>
    <hyperlink r:id="rId297" ref="Q751"/>
    <hyperlink r:id="rId298" ref="AD751"/>
    <hyperlink r:id="rId299" ref="Q756"/>
    <hyperlink r:id="rId300" ref="AD756"/>
    <hyperlink r:id="rId301" ref="Q765"/>
    <hyperlink r:id="rId302" ref="AD765"/>
    <hyperlink r:id="rId303" ref="Q769"/>
    <hyperlink r:id="rId304" ref="AD769"/>
    <hyperlink r:id="rId305" ref="Q771"/>
    <hyperlink r:id="rId306" ref="AD771"/>
    <hyperlink r:id="rId307" ref="Q781"/>
    <hyperlink r:id="rId308" ref="AD781"/>
    <hyperlink r:id="rId309" ref="Q784"/>
    <hyperlink r:id="rId310" ref="Q787"/>
    <hyperlink r:id="rId311" ref="AD787"/>
    <hyperlink r:id="rId312" ref="Q791"/>
    <hyperlink r:id="rId313" ref="AD791"/>
    <hyperlink r:id="rId314" ref="Q797"/>
    <hyperlink r:id="rId315" ref="AD797"/>
    <hyperlink r:id="rId316" ref="Q800"/>
    <hyperlink r:id="rId317" ref="AD800"/>
    <hyperlink r:id="rId318" ref="Q806"/>
    <hyperlink r:id="rId319" ref="AD806"/>
    <hyperlink r:id="rId320" ref="Q810"/>
    <hyperlink r:id="rId321" ref="AD810"/>
    <hyperlink r:id="rId322" ref="Q813"/>
    <hyperlink r:id="rId323" ref="AD813"/>
    <hyperlink r:id="rId324" ref="Q817"/>
    <hyperlink r:id="rId325" ref="AD817"/>
    <hyperlink r:id="rId326" ref="Q820"/>
    <hyperlink r:id="rId327" ref="AD820"/>
    <hyperlink r:id="rId328" ref="Q824"/>
    <hyperlink r:id="rId329" ref="AD824"/>
    <hyperlink r:id="rId330" ref="Q827"/>
    <hyperlink r:id="rId331" ref="AD827"/>
    <hyperlink r:id="rId332" ref="Q829"/>
    <hyperlink r:id="rId333" ref="AD829"/>
    <hyperlink r:id="rId334" ref="Q831"/>
    <hyperlink r:id="rId335" ref="AD831"/>
    <hyperlink r:id="rId336" ref="Q838"/>
    <hyperlink r:id="rId337" ref="AD838"/>
    <hyperlink r:id="rId338" ref="Q841"/>
    <hyperlink r:id="rId339" ref="AD841"/>
    <hyperlink r:id="rId340" ref="Q844"/>
    <hyperlink r:id="rId341" ref="AD844"/>
    <hyperlink r:id="rId342" ref="Q846"/>
    <hyperlink r:id="rId343" ref="AD846"/>
    <hyperlink r:id="rId344" ref="Q850"/>
    <hyperlink r:id="rId345" ref="AD850"/>
    <hyperlink r:id="rId346" ref="Q854"/>
    <hyperlink r:id="rId347" ref="AD854"/>
    <hyperlink r:id="rId348" ref="Q857"/>
    <hyperlink r:id="rId349" ref="AD857"/>
    <hyperlink r:id="rId350" ref="Q860"/>
    <hyperlink r:id="rId351" ref="AD860"/>
    <hyperlink r:id="rId352" ref="Q863"/>
    <hyperlink r:id="rId353" ref="AD863"/>
    <hyperlink r:id="rId354" ref="Q865"/>
    <hyperlink r:id="rId355" ref="AD865"/>
    <hyperlink r:id="rId356" ref="Q867"/>
    <hyperlink r:id="rId357" ref="AD867"/>
    <hyperlink r:id="rId358" ref="Q870"/>
    <hyperlink r:id="rId359" ref="AD870"/>
    <hyperlink r:id="rId360" ref="Q873"/>
    <hyperlink r:id="rId361" ref="AD873"/>
    <hyperlink r:id="rId362" ref="Q876"/>
    <hyperlink r:id="rId363" ref="AD876"/>
    <hyperlink r:id="rId364" ref="Q879"/>
    <hyperlink r:id="rId365" ref="AD879"/>
    <hyperlink r:id="rId366" ref="Q881"/>
    <hyperlink r:id="rId367" ref="AD881"/>
    <hyperlink r:id="rId368" ref="Q883"/>
    <hyperlink r:id="rId369" ref="AD883"/>
    <hyperlink r:id="rId370" ref="Q887"/>
    <hyperlink r:id="rId371" ref="AD887"/>
    <hyperlink r:id="rId372" ref="Q905"/>
    <hyperlink r:id="rId373" ref="AD905"/>
    <hyperlink r:id="rId374" ref="Q918"/>
    <hyperlink r:id="rId375" ref="AD918"/>
    <hyperlink r:id="rId376" ref="Q922"/>
    <hyperlink r:id="rId377" ref="AD922"/>
    <hyperlink r:id="rId378" ref="Q927"/>
    <hyperlink r:id="rId379" ref="AD927"/>
    <hyperlink r:id="rId380" ref="Q930"/>
    <hyperlink r:id="rId381" ref="AD930"/>
    <hyperlink r:id="rId382" ref="Q933"/>
    <hyperlink r:id="rId383" ref="AD933"/>
    <hyperlink r:id="rId384" ref="Q937"/>
    <hyperlink r:id="rId385" ref="AD937"/>
    <hyperlink r:id="rId386" ref="Q944"/>
    <hyperlink r:id="rId387" ref="AD944"/>
    <hyperlink r:id="rId388" ref="Q951"/>
    <hyperlink r:id="rId389" ref="AD951"/>
    <hyperlink r:id="rId390" ref="Q955"/>
    <hyperlink r:id="rId391" ref="AD955"/>
    <hyperlink r:id="rId392" ref="Q958"/>
    <hyperlink r:id="rId393" ref="AD958"/>
    <hyperlink r:id="rId394" ref="Q961"/>
    <hyperlink r:id="rId395" ref="AD961"/>
    <hyperlink r:id="rId396" ref="Q965"/>
    <hyperlink r:id="rId397" ref="AD965"/>
    <hyperlink r:id="rId398" ref="Q968"/>
    <hyperlink r:id="rId399" ref="AD968"/>
    <hyperlink r:id="rId400" ref="Q980"/>
    <hyperlink r:id="rId401" ref="AD980"/>
    <hyperlink r:id="rId402" ref="Q983"/>
    <hyperlink r:id="rId403" ref="AD983"/>
    <hyperlink r:id="rId404" ref="Q985"/>
    <hyperlink r:id="rId405" ref="AD985"/>
    <hyperlink r:id="rId406" ref="Q988"/>
    <hyperlink r:id="rId407" ref="AD988"/>
    <hyperlink r:id="rId408" ref="Q992"/>
    <hyperlink r:id="rId409" ref="AD992"/>
    <hyperlink r:id="rId410" ref="Q996"/>
    <hyperlink r:id="rId411" ref="AD996"/>
    <hyperlink r:id="rId412" ref="Q999"/>
    <hyperlink r:id="rId413" ref="AD999"/>
    <hyperlink r:id="rId414" ref="Q1002"/>
    <hyperlink r:id="rId415" ref="AD1002"/>
    <hyperlink r:id="rId416" ref="Q1007"/>
    <hyperlink r:id="rId417" ref="AD1007"/>
    <hyperlink r:id="rId418" ref="Q1010"/>
    <hyperlink r:id="rId419" ref="Q1014"/>
    <hyperlink r:id="rId420" ref="AD1014"/>
    <hyperlink r:id="rId421" ref="Q1019"/>
    <hyperlink r:id="rId422" ref="AD1019"/>
    <hyperlink r:id="rId423" ref="Q1021"/>
    <hyperlink r:id="rId424" ref="AD1021"/>
    <hyperlink r:id="rId425" ref="Q1023"/>
    <hyperlink r:id="rId426" ref="AD1023"/>
    <hyperlink r:id="rId427" ref="Q1031"/>
    <hyperlink r:id="rId428" ref="AD1031"/>
    <hyperlink r:id="rId429" ref="Q1035"/>
    <hyperlink r:id="rId430" ref="AD1035"/>
    <hyperlink r:id="rId431" ref="Q1038"/>
    <hyperlink r:id="rId432" ref="AD1038"/>
    <hyperlink r:id="rId433" ref="Q1041"/>
    <hyperlink r:id="rId434" ref="AD1041"/>
    <hyperlink r:id="rId435" ref="Q1047"/>
    <hyperlink r:id="rId436" ref="AD1047"/>
    <hyperlink r:id="rId437" ref="Q1050"/>
    <hyperlink r:id="rId438" ref="AD1050"/>
    <hyperlink r:id="rId439" ref="Q1053"/>
    <hyperlink r:id="rId440" ref="AD1053"/>
    <hyperlink r:id="rId441" ref="Q1057"/>
    <hyperlink r:id="rId442" ref="AD1057"/>
    <hyperlink r:id="rId443" ref="Q1063"/>
    <hyperlink r:id="rId444" ref="AD1063"/>
    <hyperlink r:id="rId445" ref="Q1066"/>
    <hyperlink r:id="rId446" ref="AD1066"/>
    <hyperlink r:id="rId447" ref="Q1069"/>
    <hyperlink r:id="rId448" ref="AD1069"/>
    <hyperlink r:id="rId449" ref="Q1073"/>
    <hyperlink r:id="rId450" ref="AD1073"/>
    <hyperlink r:id="rId451" ref="Q1076"/>
    <hyperlink r:id="rId452" ref="AD1076"/>
    <hyperlink r:id="rId453" ref="Q1082"/>
    <hyperlink r:id="rId454" ref="AD1082"/>
    <hyperlink r:id="rId455" ref="Q1085"/>
    <hyperlink r:id="rId456" ref="AD1085"/>
    <hyperlink r:id="rId457" ref="Q1088"/>
    <hyperlink r:id="rId458" ref="Q1091"/>
    <hyperlink r:id="rId459" ref="AD1091"/>
    <hyperlink r:id="rId460" ref="Q1094"/>
    <hyperlink r:id="rId461" ref="AD1094"/>
    <hyperlink r:id="rId462" ref="Q1100"/>
    <hyperlink r:id="rId463" ref="AD1100"/>
    <hyperlink r:id="rId464" ref="Q1102"/>
    <hyperlink r:id="rId465" ref="AD1102"/>
    <hyperlink r:id="rId466" ref="Q1104"/>
    <hyperlink r:id="rId467" ref="AD1104"/>
    <hyperlink r:id="rId468" ref="Q1116"/>
    <hyperlink r:id="rId469" ref="Q1126"/>
    <hyperlink r:id="rId470" ref="Q1129"/>
    <hyperlink r:id="rId471" ref="Q1132"/>
    <hyperlink r:id="rId472" ref="AD1132"/>
    <hyperlink r:id="rId473" ref="Q1138"/>
    <hyperlink r:id="rId474" ref="AD1138"/>
    <hyperlink r:id="rId475" ref="Q1141"/>
    <hyperlink r:id="rId476" ref="Q1144"/>
    <hyperlink r:id="rId477" ref="Q1147"/>
    <hyperlink r:id="rId478" ref="Q1177"/>
    <hyperlink r:id="rId479" ref="AD1177"/>
    <hyperlink r:id="rId480" ref="Q1180"/>
    <hyperlink r:id="rId481" ref="Q1183"/>
    <hyperlink r:id="rId482" ref="AD1183"/>
    <hyperlink r:id="rId483" ref="Q1186"/>
    <hyperlink r:id="rId484" ref="AD1186"/>
    <hyperlink r:id="rId485" ref="Q1192"/>
    <hyperlink r:id="rId486" ref="Q1195"/>
    <hyperlink r:id="rId487" ref="AD1195"/>
    <hyperlink r:id="rId488" ref="Q1198"/>
    <hyperlink r:id="rId489" ref="AD1198"/>
    <hyperlink r:id="rId490" ref="Q1201"/>
    <hyperlink r:id="rId491" ref="Q1212"/>
    <hyperlink r:id="rId492" ref="AD1212"/>
    <hyperlink r:id="rId493" ref="Q1215"/>
    <hyperlink r:id="rId494" ref="AD1215"/>
    <hyperlink r:id="rId495" ref="Q1221"/>
    <hyperlink r:id="rId496" ref="AD1221"/>
    <hyperlink r:id="rId497" ref="Q1224"/>
    <hyperlink r:id="rId498" ref="AD1224"/>
    <hyperlink r:id="rId499" ref="Q1227"/>
    <hyperlink r:id="rId500" ref="AD1227"/>
    <hyperlink r:id="rId501" ref="Q1233"/>
    <hyperlink r:id="rId502" ref="Q1236"/>
    <hyperlink r:id="rId503" ref="AD1236"/>
    <hyperlink r:id="rId504" ref="Q1257"/>
    <hyperlink r:id="rId505" ref="AD1257"/>
    <hyperlink r:id="rId506" ref="Q1259"/>
    <hyperlink r:id="rId507" ref="AD1259"/>
    <hyperlink r:id="rId508" ref="Q1261"/>
    <hyperlink r:id="rId509" ref="AD1261"/>
    <hyperlink r:id="rId510" ref="Q1262"/>
    <hyperlink r:id="rId511" ref="AD1262"/>
    <hyperlink r:id="rId512" ref="Q1263"/>
    <hyperlink r:id="rId513" ref="AD1263"/>
    <hyperlink r:id="rId514" ref="Q1264"/>
    <hyperlink r:id="rId515" ref="AD1264"/>
    <hyperlink r:id="rId516" ref="Q1265"/>
    <hyperlink r:id="rId517" ref="AD1265"/>
    <hyperlink r:id="rId518" ref="AD1267"/>
    <hyperlink r:id="rId519" ref="Q1268"/>
    <hyperlink r:id="rId520" ref="N1269"/>
    <hyperlink r:id="rId521" ref="Q1269"/>
    <hyperlink r:id="rId522" ref="AD1269"/>
    <hyperlink r:id="rId523" ref="Q1270"/>
    <hyperlink r:id="rId524" ref="AD1270"/>
    <hyperlink r:id="rId525" ref="Q1271"/>
    <hyperlink r:id="rId526" ref="AD1271"/>
    <hyperlink r:id="rId527" ref="Q1272"/>
    <hyperlink r:id="rId528" ref="AD1272"/>
    <hyperlink r:id="rId529" ref="Q1274"/>
    <hyperlink r:id="rId530" ref="AD1274"/>
    <hyperlink r:id="rId531" ref="Q1275"/>
    <hyperlink r:id="rId532" ref="AD1275"/>
    <hyperlink r:id="rId533" ref="Q1279"/>
    <hyperlink r:id="rId534" ref="AD1279"/>
    <hyperlink r:id="rId535" ref="Q1280"/>
    <hyperlink r:id="rId536" ref="AD1280"/>
    <hyperlink r:id="rId537" ref="Q1282"/>
    <hyperlink r:id="rId538" ref="AD1282"/>
    <hyperlink r:id="rId539" ref="Q1283"/>
    <hyperlink r:id="rId540" ref="Q1284"/>
    <hyperlink r:id="rId541" ref="AD1284"/>
    <hyperlink r:id="rId542" ref="Q1287"/>
    <hyperlink r:id="rId543" ref="AD1287"/>
    <hyperlink r:id="rId544" ref="Q1289"/>
    <hyperlink r:id="rId545" ref="Q1291"/>
    <hyperlink r:id="rId546" ref="AD1291"/>
    <hyperlink r:id="rId547" ref="Q1292"/>
    <hyperlink r:id="rId548" ref="AD1292"/>
    <hyperlink r:id="rId549" ref="Q1294"/>
    <hyperlink r:id="rId550" ref="AD1294"/>
    <hyperlink r:id="rId551" ref="Q1295"/>
    <hyperlink r:id="rId552" ref="AD1295"/>
    <hyperlink r:id="rId553" ref="Q1298"/>
    <hyperlink r:id="rId554" ref="AD1298"/>
    <hyperlink r:id="rId555" ref="Q1299"/>
    <hyperlink r:id="rId556" ref="AD1299"/>
    <hyperlink r:id="rId557" ref="Q1338"/>
    <hyperlink r:id="rId558" ref="AD1338"/>
    <hyperlink r:id="rId559" ref="Q1362"/>
    <hyperlink r:id="rId560" ref="AD1362"/>
    <hyperlink r:id="rId561" ref="Q1364"/>
    <hyperlink r:id="rId562" ref="AD1364"/>
    <hyperlink r:id="rId563" ref="Q1366"/>
    <hyperlink r:id="rId564" ref="AD1366"/>
    <hyperlink r:id="rId565" ref="Q1371"/>
    <hyperlink r:id="rId566" ref="AD1371"/>
    <hyperlink r:id="rId567" ref="Q1377"/>
    <hyperlink r:id="rId568" ref="AD1377"/>
    <hyperlink r:id="rId569" ref="Q1384"/>
    <hyperlink r:id="rId570" ref="AD1384"/>
    <hyperlink r:id="rId571" ref="Q1400"/>
    <hyperlink r:id="rId572" ref="AD1400"/>
    <hyperlink r:id="rId573" ref="I1408"/>
    <hyperlink r:id="rId574" ref="Q1422"/>
    <hyperlink r:id="rId575" ref="AD1422"/>
    <hyperlink r:id="rId576" ref="Q1437"/>
    <hyperlink r:id="rId577" ref="AD1437"/>
    <hyperlink r:id="rId578" ref="Q1447"/>
    <hyperlink r:id="rId579" ref="AD1447"/>
    <hyperlink r:id="rId580" ref="Q1458"/>
    <hyperlink r:id="rId581" ref="AD1458"/>
    <hyperlink r:id="rId582" ref="Q1486"/>
    <hyperlink r:id="rId583" ref="AD1486"/>
    <hyperlink r:id="rId584" ref="Q1541"/>
    <hyperlink r:id="rId585" ref="AD1541"/>
    <hyperlink r:id="rId586" ref="Q1603"/>
    <hyperlink r:id="rId587" ref="AD1603"/>
    <hyperlink r:id="rId588" ref="Q1640"/>
    <hyperlink r:id="rId589" ref="AD1640"/>
    <hyperlink r:id="rId590" ref="Q1713"/>
    <hyperlink r:id="rId591" ref="AD1713"/>
    <hyperlink r:id="rId592" ref="Q1964"/>
    <hyperlink r:id="rId593" ref="AD1964"/>
    <hyperlink r:id="rId594" ref="Q2271"/>
    <hyperlink r:id="rId595" ref="AD2271"/>
    <hyperlink r:id="rId596" ref="Q2280"/>
    <hyperlink r:id="rId597" ref="AD2280"/>
  </hyperlinks>
  <drawing r:id="rId598"/>
  <legacyDrawing r:id="rId59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ht="27.75" customHeight="1">
      <c r="A1" s="162" t="s">
        <v>45</v>
      </c>
      <c r="B1" s="163" t="str">
        <f t="array" ref="B1:N3000">IF(ISNA(VLOOKUP(A1:A3000, master5!A1:AA3000, {2, 3, 4, 5, 6, 7,11, 12,13, 14, 15, 16, 17},FALSE)),"ID null",VLOOKUP(A1:A3000, master5!A1:AA3000, {2, 3, 4, 5, 6, 7, 11,12,13, 14, 15, 16, 17},FALSE))</f>
        <v>Day</v>
      </c>
      <c r="C1" s="10" t="s">
        <v>47</v>
      </c>
      <c r="D1" s="10" t="s">
        <v>48</v>
      </c>
      <c r="E1" s="10" t="s">
        <v>49</v>
      </c>
      <c r="F1" s="10" t="s">
        <v>50</v>
      </c>
      <c r="G1" s="10" t="s">
        <v>3067</v>
      </c>
      <c r="H1" s="3" t="s">
        <v>52</v>
      </c>
      <c r="I1" s="3" t="s">
        <v>53</v>
      </c>
      <c r="J1" s="3" t="s">
        <v>54</v>
      </c>
      <c r="K1" s="3" t="s">
        <v>55</v>
      </c>
      <c r="L1" s="3" t="s">
        <v>56</v>
      </c>
      <c r="M1" s="3" t="s">
        <v>57</v>
      </c>
      <c r="N1" s="3" t="s">
        <v>3069</v>
      </c>
      <c r="O1" s="3" t="s">
        <v>536</v>
      </c>
      <c r="P1" s="3" t="s">
        <v>11</v>
      </c>
      <c r="Q1" s="164" t="s">
        <v>537</v>
      </c>
      <c r="R1" s="164" t="s">
        <v>58</v>
      </c>
      <c r="S1" s="165" t="s">
        <v>538</v>
      </c>
      <c r="T1" s="162" t="s">
        <v>539</v>
      </c>
      <c r="U1" s="162" t="s">
        <v>540</v>
      </c>
      <c r="V1" s="162" t="s">
        <v>38</v>
      </c>
      <c r="W1" s="162" t="s">
        <v>541</v>
      </c>
      <c r="X1" s="162" t="s">
        <v>9</v>
      </c>
      <c r="Y1" s="3" t="s">
        <v>3071</v>
      </c>
      <c r="Z1" s="162" t="s">
        <v>547</v>
      </c>
    </row>
    <row r="2">
      <c r="A2" s="4" t="s">
        <v>3072</v>
      </c>
      <c r="B2" s="4" t="s">
        <v>65</v>
      </c>
      <c r="C2" s="6"/>
      <c r="D2" s="6"/>
      <c r="E2" s="6"/>
      <c r="F2" s="6"/>
      <c r="G2" s="4"/>
      <c r="H2" s="4"/>
      <c r="I2" s="4"/>
      <c r="J2" s="4"/>
      <c r="K2" s="4"/>
      <c r="L2" s="4"/>
      <c r="M2" s="4"/>
      <c r="N2" s="4"/>
      <c r="O2" s="4"/>
      <c r="P2" s="4"/>
      <c r="R2" s="166" t="b">
        <v>0</v>
      </c>
      <c r="S2" s="166"/>
      <c r="T2" s="4"/>
      <c r="U2" s="166" t="b">
        <v>0</v>
      </c>
      <c r="V2" s="166" t="b">
        <v>0</v>
      </c>
      <c r="W2" s="166" t="b">
        <v>0</v>
      </c>
      <c r="X2" s="166" t="b">
        <v>0</v>
      </c>
    </row>
    <row r="3">
      <c r="A3" s="4" t="s">
        <v>3075</v>
      </c>
      <c r="B3" s="4" t="s">
        <v>66</v>
      </c>
      <c r="C3" s="6">
        <v>0.4166666666666667</v>
      </c>
      <c r="D3" s="6">
        <v>6.944444444444445E-4</v>
      </c>
      <c r="E3" s="6">
        <v>0.4173611111111111</v>
      </c>
      <c r="F3" s="6"/>
      <c r="G3" s="4"/>
      <c r="H3" s="4" t="s">
        <v>2079</v>
      </c>
      <c r="I3" s="4"/>
      <c r="J3" s="4"/>
      <c r="K3" s="4"/>
      <c r="L3" s="4"/>
      <c r="M3" s="4"/>
      <c r="N3" s="4"/>
      <c r="O3" s="4"/>
      <c r="P3" s="4"/>
      <c r="R3" s="166" t="b">
        <v>0</v>
      </c>
      <c r="T3" s="4"/>
      <c r="U3" s="166" t="b">
        <v>0</v>
      </c>
      <c r="V3" s="166" t="b">
        <v>0</v>
      </c>
      <c r="W3" s="166" t="b">
        <v>0</v>
      </c>
      <c r="X3" s="166" t="b">
        <v>0</v>
      </c>
    </row>
    <row r="4">
      <c r="A4" s="4" t="s">
        <v>3077</v>
      </c>
      <c r="B4" s="4" t="s">
        <v>66</v>
      </c>
      <c r="C4" s="6">
        <v>0.4173611111111111</v>
      </c>
      <c r="D4" s="6">
        <v>3.4722222222222224E-4</v>
      </c>
      <c r="E4" s="6">
        <v>0.41770833333333335</v>
      </c>
      <c r="F4" s="6"/>
      <c r="G4" s="4"/>
      <c r="H4" s="4" t="s">
        <v>81</v>
      </c>
      <c r="I4" s="4"/>
      <c r="J4" s="4"/>
      <c r="K4" s="4"/>
      <c r="L4" s="4"/>
      <c r="M4" s="4"/>
      <c r="N4" s="4"/>
      <c r="O4" s="4"/>
      <c r="P4" s="4"/>
      <c r="R4" s="166" t="b">
        <v>0</v>
      </c>
      <c r="T4" s="4"/>
      <c r="U4" s="166" t="b">
        <v>0</v>
      </c>
      <c r="V4" s="166" t="b">
        <v>0</v>
      </c>
      <c r="W4" s="166" t="b">
        <v>0</v>
      </c>
      <c r="X4" s="166" t="b">
        <v>0</v>
      </c>
    </row>
    <row r="5">
      <c r="A5" s="4" t="s">
        <v>3079</v>
      </c>
      <c r="B5" s="4" t="s">
        <v>66</v>
      </c>
      <c r="C5" s="6">
        <v>0.41770833333333335</v>
      </c>
      <c r="D5" s="6">
        <v>0.016863425925925928</v>
      </c>
      <c r="E5" s="6">
        <v>0.4345717592592593</v>
      </c>
      <c r="F5" s="6" t="s">
        <v>189</v>
      </c>
      <c r="G5" s="4" t="s">
        <v>3080</v>
      </c>
      <c r="H5" s="4" t="s">
        <v>2083</v>
      </c>
      <c r="I5" s="4" t="s">
        <v>3081</v>
      </c>
      <c r="J5" s="4"/>
      <c r="K5" s="4"/>
      <c r="L5" s="4"/>
      <c r="M5" s="4"/>
      <c r="N5" s="4" t="s">
        <v>2084</v>
      </c>
      <c r="O5" s="4"/>
      <c r="P5" s="4"/>
      <c r="R5" s="166" t="b">
        <v>1</v>
      </c>
      <c r="T5" s="4"/>
      <c r="U5" s="166" t="b">
        <v>0</v>
      </c>
      <c r="V5" s="166" t="b">
        <v>1</v>
      </c>
      <c r="W5" s="166" t="b">
        <v>1</v>
      </c>
      <c r="X5" s="166" t="b">
        <v>0</v>
      </c>
      <c r="Z5" s="80" t="s">
        <v>3083</v>
      </c>
    </row>
    <row r="6">
      <c r="A6" s="4" t="s">
        <v>3085</v>
      </c>
      <c r="B6" s="4" t="s">
        <v>66</v>
      </c>
      <c r="C6" s="6">
        <v>0.4345717592592593</v>
      </c>
      <c r="D6" s="6">
        <v>1.7361111111111112E-4</v>
      </c>
      <c r="E6" s="6">
        <v>0.4347453703703704</v>
      </c>
      <c r="F6" s="6"/>
      <c r="G6" s="4"/>
      <c r="H6" s="4" t="s">
        <v>85</v>
      </c>
      <c r="I6" s="4"/>
      <c r="J6" s="4"/>
      <c r="K6" s="4"/>
      <c r="L6" s="4"/>
      <c r="M6" s="4"/>
      <c r="N6" s="4"/>
      <c r="O6" s="4"/>
      <c r="P6" s="4"/>
      <c r="R6" s="166" t="b">
        <v>0</v>
      </c>
      <c r="T6" s="4"/>
      <c r="U6" s="166" t="b">
        <v>0</v>
      </c>
      <c r="V6" s="166" t="b">
        <v>0</v>
      </c>
      <c r="W6" s="166" t="b">
        <v>0</v>
      </c>
      <c r="X6" s="166" t="b">
        <v>0</v>
      </c>
    </row>
    <row r="7">
      <c r="A7" s="4" t="s">
        <v>3087</v>
      </c>
      <c r="B7" s="4" t="s">
        <v>66</v>
      </c>
      <c r="C7" s="6">
        <v>0.4347453703703704</v>
      </c>
      <c r="D7" s="6">
        <v>3.4722222222222224E-4</v>
      </c>
      <c r="E7" s="6">
        <v>0.43509259259259264</v>
      </c>
      <c r="F7" s="6"/>
      <c r="G7" s="4"/>
      <c r="H7" s="4" t="s">
        <v>81</v>
      </c>
      <c r="I7" s="4"/>
      <c r="J7" s="4"/>
      <c r="K7" s="4"/>
      <c r="L7" s="4"/>
      <c r="M7" s="4"/>
      <c r="N7" s="4"/>
      <c r="O7" s="4"/>
      <c r="P7" s="4"/>
      <c r="R7" s="166" t="b">
        <v>0</v>
      </c>
      <c r="T7" s="4"/>
      <c r="U7" s="166" t="b">
        <v>0</v>
      </c>
      <c r="V7" s="166" t="b">
        <v>0</v>
      </c>
      <c r="W7" s="166" t="b">
        <v>0</v>
      </c>
      <c r="X7" s="166" t="b">
        <v>0</v>
      </c>
    </row>
    <row r="8">
      <c r="A8" s="4" t="s">
        <v>3089</v>
      </c>
      <c r="B8" s="4" t="s">
        <v>66</v>
      </c>
      <c r="C8" s="6">
        <v>0.43509259259259264</v>
      </c>
      <c r="D8" s="6">
        <v>0.01646990740740741</v>
      </c>
      <c r="E8" s="6">
        <v>0.45156250000000003</v>
      </c>
      <c r="F8" s="6" t="s">
        <v>140</v>
      </c>
      <c r="G8" s="4" t="s">
        <v>3090</v>
      </c>
      <c r="H8" s="4" t="s">
        <v>2088</v>
      </c>
      <c r="I8" s="4" t="s">
        <v>3091</v>
      </c>
      <c r="J8" s="4" t="s">
        <v>2089</v>
      </c>
      <c r="K8" s="4"/>
      <c r="L8" s="4"/>
      <c r="M8" s="4"/>
      <c r="N8" s="4" t="s">
        <v>2090</v>
      </c>
      <c r="O8" s="4"/>
      <c r="P8" s="4"/>
      <c r="R8" s="166" t="b">
        <v>1</v>
      </c>
      <c r="T8" s="4"/>
      <c r="U8" s="166" t="b">
        <v>0</v>
      </c>
      <c r="V8" s="166" t="b">
        <v>1</v>
      </c>
      <c r="W8" s="166" t="b">
        <v>1</v>
      </c>
      <c r="X8" s="166" t="b">
        <v>0</v>
      </c>
      <c r="Z8" s="80" t="s">
        <v>3094</v>
      </c>
    </row>
    <row r="9">
      <c r="A9" s="4" t="s">
        <v>3096</v>
      </c>
      <c r="B9" s="4" t="s">
        <v>66</v>
      </c>
      <c r="C9" s="6">
        <v>0.45156250000000003</v>
      </c>
      <c r="D9" s="6">
        <v>1.7361111111111112E-4</v>
      </c>
      <c r="E9" s="6">
        <v>0.45173611111111117</v>
      </c>
      <c r="F9" s="6"/>
      <c r="G9" s="4"/>
      <c r="H9" s="4" t="s">
        <v>85</v>
      </c>
      <c r="I9" s="4"/>
      <c r="J9" s="4"/>
      <c r="K9" s="4"/>
      <c r="L9" s="4"/>
      <c r="M9" s="4"/>
      <c r="N9" s="4"/>
      <c r="O9" s="4"/>
      <c r="P9" s="4"/>
      <c r="R9" s="166" t="b">
        <v>0</v>
      </c>
      <c r="T9" s="4"/>
      <c r="U9" s="166" t="b">
        <v>0</v>
      </c>
      <c r="V9" s="166" t="b">
        <v>0</v>
      </c>
      <c r="W9" s="166" t="b">
        <v>0</v>
      </c>
      <c r="X9" s="166" t="b">
        <v>0</v>
      </c>
    </row>
    <row r="10">
      <c r="A10" s="4" t="s">
        <v>3098</v>
      </c>
      <c r="B10" s="4" t="s">
        <v>66</v>
      </c>
      <c r="C10" s="6">
        <v>0.45173611111111117</v>
      </c>
      <c r="D10" s="6">
        <v>3.4722222222222224E-4</v>
      </c>
      <c r="E10" s="6">
        <v>0.4520833333333334</v>
      </c>
      <c r="F10" s="6"/>
      <c r="G10" s="4"/>
      <c r="H10" s="4" t="s">
        <v>81</v>
      </c>
      <c r="I10" s="4"/>
      <c r="J10" s="4"/>
      <c r="K10" s="4"/>
      <c r="L10" s="4"/>
      <c r="M10" s="4"/>
      <c r="N10" s="4"/>
      <c r="O10" s="4"/>
      <c r="P10" s="4"/>
      <c r="R10" s="166" t="b">
        <v>0</v>
      </c>
      <c r="T10" s="4"/>
      <c r="U10" s="166" t="b">
        <v>0</v>
      </c>
      <c r="V10" s="166" t="b">
        <v>0</v>
      </c>
      <c r="W10" s="166" t="b">
        <v>0</v>
      </c>
      <c r="X10" s="166" t="b">
        <v>0</v>
      </c>
    </row>
    <row r="11">
      <c r="A11" s="4" t="s">
        <v>3100</v>
      </c>
      <c r="B11" s="4" t="s">
        <v>66</v>
      </c>
      <c r="C11" s="6">
        <v>0.4520833333333334</v>
      </c>
      <c r="D11" s="6">
        <v>0.006944444444444444</v>
      </c>
      <c r="E11" s="6">
        <v>0.4590277777777778</v>
      </c>
      <c r="F11" s="6" t="s">
        <v>358</v>
      </c>
      <c r="G11" s="4"/>
      <c r="H11" s="4" t="s">
        <v>2093</v>
      </c>
      <c r="I11" s="4" t="s">
        <v>3101</v>
      </c>
      <c r="J11" s="4" t="s">
        <v>534</v>
      </c>
      <c r="K11" s="4" t="s">
        <v>2094</v>
      </c>
      <c r="L11" s="4" t="s">
        <v>255</v>
      </c>
      <c r="M11" s="4" t="s">
        <v>2095</v>
      </c>
      <c r="N11" s="4" t="s">
        <v>2096</v>
      </c>
      <c r="O11" s="4"/>
      <c r="P11" s="4"/>
      <c r="R11" s="166" t="b">
        <v>1</v>
      </c>
      <c r="T11" s="4"/>
      <c r="U11" s="166" t="b">
        <v>0</v>
      </c>
      <c r="V11" s="166" t="b">
        <v>1</v>
      </c>
      <c r="W11" s="166" t="b">
        <v>1</v>
      </c>
      <c r="X11" s="166" t="b">
        <v>0</v>
      </c>
      <c r="Z11" s="80" t="s">
        <v>3103</v>
      </c>
    </row>
    <row r="12">
      <c r="A12" s="4" t="s">
        <v>3105</v>
      </c>
      <c r="B12" s="4" t="s">
        <v>66</v>
      </c>
      <c r="C12" s="6">
        <v>0.4590277777777778</v>
      </c>
      <c r="D12" s="6">
        <v>1.7361111111111112E-4</v>
      </c>
      <c r="E12" s="6">
        <v>0.45920138888888895</v>
      </c>
      <c r="F12" s="6"/>
      <c r="G12" s="4"/>
      <c r="H12" s="4" t="s">
        <v>85</v>
      </c>
      <c r="I12" s="4"/>
      <c r="J12" s="4"/>
      <c r="K12" s="4"/>
      <c r="L12" s="4"/>
      <c r="M12" s="4"/>
      <c r="N12" s="4"/>
      <c r="O12" s="4"/>
      <c r="P12" s="4"/>
      <c r="R12" s="166" t="b">
        <v>0</v>
      </c>
      <c r="T12" s="4"/>
      <c r="U12" s="166" t="b">
        <v>0</v>
      </c>
      <c r="V12" s="166" t="b">
        <v>0</v>
      </c>
      <c r="W12" s="166" t="b">
        <v>0</v>
      </c>
      <c r="X12" s="166" t="b">
        <v>0</v>
      </c>
    </row>
    <row r="13">
      <c r="A13" s="4" t="s">
        <v>3107</v>
      </c>
      <c r="B13" s="4" t="s">
        <v>607</v>
      </c>
      <c r="C13" s="6" t="s">
        <v>607</v>
      </c>
      <c r="D13" s="6" t="s">
        <v>607</v>
      </c>
      <c r="E13" s="6" t="s">
        <v>607</v>
      </c>
      <c r="F13" s="6" t="s">
        <v>607</v>
      </c>
      <c r="G13" s="4" t="s">
        <v>607</v>
      </c>
      <c r="H13" s="4" t="s">
        <v>607</v>
      </c>
      <c r="I13" s="4" t="s">
        <v>607</v>
      </c>
      <c r="J13" s="4" t="s">
        <v>607</v>
      </c>
      <c r="K13" s="4" t="s">
        <v>607</v>
      </c>
      <c r="L13" s="4" t="s">
        <v>607</v>
      </c>
      <c r="M13" s="4" t="s">
        <v>607</v>
      </c>
      <c r="N13" s="4" t="s">
        <v>607</v>
      </c>
      <c r="O13" s="4"/>
      <c r="P13" s="4"/>
      <c r="R13" s="166" t="b">
        <v>0</v>
      </c>
      <c r="T13" s="4"/>
      <c r="U13" s="166" t="b">
        <v>0</v>
      </c>
      <c r="V13" s="166" t="b">
        <v>0</v>
      </c>
      <c r="W13" s="166" t="b">
        <v>0</v>
      </c>
      <c r="X13" s="166" t="b">
        <v>0</v>
      </c>
    </row>
    <row r="14">
      <c r="A14" s="4" t="s">
        <v>3109</v>
      </c>
      <c r="B14" s="4" t="s">
        <v>66</v>
      </c>
      <c r="C14" s="6">
        <v>0.45954861111111117</v>
      </c>
      <c r="D14" s="6">
        <v>3.4722222222222224E-4</v>
      </c>
      <c r="E14" s="6">
        <v>0.4598958333333334</v>
      </c>
      <c r="F14" s="6"/>
      <c r="G14" s="4"/>
      <c r="H14" s="4" t="s">
        <v>81</v>
      </c>
      <c r="I14" s="4"/>
      <c r="J14" s="4"/>
      <c r="K14" s="4"/>
      <c r="L14" s="4"/>
      <c r="M14" s="4"/>
      <c r="N14" s="4"/>
      <c r="O14" s="4"/>
      <c r="P14" s="4"/>
      <c r="R14" s="166" t="b">
        <v>0</v>
      </c>
      <c r="T14" s="4"/>
      <c r="U14" s="166" t="b">
        <v>0</v>
      </c>
      <c r="V14" s="166" t="b">
        <v>0</v>
      </c>
      <c r="W14" s="166" t="b">
        <v>0</v>
      </c>
      <c r="X14" s="166" t="b">
        <v>0</v>
      </c>
    </row>
    <row r="15">
      <c r="A15" s="4" t="s">
        <v>3110</v>
      </c>
      <c r="B15" s="4" t="s">
        <v>66</v>
      </c>
      <c r="C15" s="6">
        <v>0.4598958333333334</v>
      </c>
      <c r="D15" s="6">
        <v>0.02148148148148148</v>
      </c>
      <c r="E15" s="6">
        <v>0.4813773148148149</v>
      </c>
      <c r="F15" s="6" t="s">
        <v>245</v>
      </c>
      <c r="G15" s="4" t="s">
        <v>3112</v>
      </c>
      <c r="H15" s="4" t="s">
        <v>2099</v>
      </c>
      <c r="I15" s="4" t="s">
        <v>3113</v>
      </c>
      <c r="J15" s="4"/>
      <c r="K15" s="4"/>
      <c r="L15" s="4"/>
      <c r="M15" s="4"/>
      <c r="N15" s="4" t="s">
        <v>2100</v>
      </c>
      <c r="O15" s="4"/>
      <c r="P15" s="4"/>
      <c r="R15" s="166" t="b">
        <v>1</v>
      </c>
      <c r="T15" s="4"/>
      <c r="U15" s="166" t="b">
        <v>0</v>
      </c>
      <c r="V15" s="166" t="b">
        <v>1</v>
      </c>
      <c r="W15" s="166" t="b">
        <v>1</v>
      </c>
      <c r="X15" s="166" t="b">
        <v>0</v>
      </c>
      <c r="Z15" s="80" t="s">
        <v>3114</v>
      </c>
    </row>
    <row r="16">
      <c r="A16" s="4" t="s">
        <v>3116</v>
      </c>
      <c r="B16" s="4" t="s">
        <v>66</v>
      </c>
      <c r="C16" s="6">
        <v>0.4813773148148149</v>
      </c>
      <c r="D16" s="6">
        <v>1.7361111111111112E-4</v>
      </c>
      <c r="E16" s="6">
        <v>0.481550925925926</v>
      </c>
      <c r="F16" s="6"/>
      <c r="G16" s="4"/>
      <c r="H16" s="4" t="s">
        <v>85</v>
      </c>
      <c r="I16" s="4"/>
      <c r="J16" s="4"/>
      <c r="K16" s="4"/>
      <c r="L16" s="4"/>
      <c r="M16" s="4"/>
      <c r="N16" s="4"/>
      <c r="O16" s="4"/>
      <c r="P16" s="4"/>
      <c r="R16" s="166" t="b">
        <v>0</v>
      </c>
      <c r="T16" s="4"/>
      <c r="U16" s="166" t="b">
        <v>0</v>
      </c>
      <c r="V16" s="166" t="b">
        <v>0</v>
      </c>
      <c r="W16" s="166" t="b">
        <v>0</v>
      </c>
      <c r="X16" s="166" t="b">
        <v>0</v>
      </c>
    </row>
    <row r="17">
      <c r="A17" s="4" t="s">
        <v>3117</v>
      </c>
      <c r="B17" s="4" t="s">
        <v>66</v>
      </c>
      <c r="C17" s="6">
        <v>0.481550925925926</v>
      </c>
      <c r="D17" s="6">
        <v>6.944444444444444E-5</v>
      </c>
      <c r="E17" s="6">
        <v>0.4816203703703705</v>
      </c>
      <c r="F17" s="6"/>
      <c r="G17" s="4"/>
      <c r="H17" s="4" t="s">
        <v>2102</v>
      </c>
      <c r="I17" s="4"/>
      <c r="J17" s="4"/>
      <c r="K17" s="4"/>
      <c r="L17" s="4"/>
      <c r="M17" s="4"/>
      <c r="N17" s="4"/>
      <c r="O17" s="4"/>
      <c r="P17" s="4"/>
      <c r="R17" s="166" t="b">
        <v>0</v>
      </c>
      <c r="T17" s="4"/>
      <c r="U17" s="166" t="b">
        <v>0</v>
      </c>
      <c r="V17" s="166" t="b">
        <v>0</v>
      </c>
      <c r="W17" s="166" t="b">
        <v>0</v>
      </c>
      <c r="X17" s="166" t="b">
        <v>0</v>
      </c>
    </row>
    <row r="18">
      <c r="A18" s="4" t="s">
        <v>3119</v>
      </c>
      <c r="B18" s="4" t="s">
        <v>66</v>
      </c>
      <c r="C18" s="6">
        <v>0.4816203703703705</v>
      </c>
      <c r="D18" s="6">
        <v>3.4722222222222224E-4</v>
      </c>
      <c r="E18" s="6">
        <v>0.4819675925925927</v>
      </c>
      <c r="F18" s="6"/>
      <c r="G18" s="4"/>
      <c r="H18" s="4" t="s">
        <v>81</v>
      </c>
      <c r="I18" s="4"/>
      <c r="J18" s="4"/>
      <c r="K18" s="4"/>
      <c r="L18" s="4"/>
      <c r="M18" s="4"/>
      <c r="N18" s="4"/>
      <c r="O18" s="4"/>
      <c r="P18" s="4"/>
      <c r="R18" s="166" t="b">
        <v>0</v>
      </c>
      <c r="T18" s="4"/>
      <c r="U18" s="166" t="b">
        <v>0</v>
      </c>
      <c r="V18" s="166" t="b">
        <v>0</v>
      </c>
      <c r="W18" s="166" t="b">
        <v>0</v>
      </c>
      <c r="X18" s="166" t="b">
        <v>0</v>
      </c>
    </row>
    <row r="19">
      <c r="A19" s="4" t="s">
        <v>3121</v>
      </c>
      <c r="B19" s="4" t="s">
        <v>66</v>
      </c>
      <c r="C19" s="6">
        <v>0.4819675925925927</v>
      </c>
      <c r="D19" s="6">
        <v>0.009340277777777777</v>
      </c>
      <c r="E19" s="6">
        <v>0.4913078703703705</v>
      </c>
      <c r="F19" s="6" t="s">
        <v>245</v>
      </c>
      <c r="G19" s="4" t="s">
        <v>3122</v>
      </c>
      <c r="H19" s="4" t="s">
        <v>2104</v>
      </c>
      <c r="I19" s="4" t="s">
        <v>3123</v>
      </c>
      <c r="J19" s="4"/>
      <c r="K19" s="4"/>
      <c r="L19" s="4"/>
      <c r="M19" s="4"/>
      <c r="N19" s="4" t="s">
        <v>2105</v>
      </c>
      <c r="O19" s="4"/>
      <c r="P19" s="4"/>
      <c r="R19" s="166" t="b">
        <v>1</v>
      </c>
      <c r="T19" s="4"/>
      <c r="U19" s="166" t="b">
        <v>0</v>
      </c>
      <c r="V19" s="166" t="b">
        <v>1</v>
      </c>
      <c r="W19" s="166" t="b">
        <v>1</v>
      </c>
      <c r="X19" s="166" t="b">
        <v>0</v>
      </c>
      <c r="Z19" s="80" t="s">
        <v>3124</v>
      </c>
    </row>
    <row r="20">
      <c r="A20" s="4" t="s">
        <v>3126</v>
      </c>
      <c r="B20" s="4" t="s">
        <v>66</v>
      </c>
      <c r="C20" s="6">
        <v>0.4913078703703705</v>
      </c>
      <c r="D20" s="6">
        <v>1.7361111111111112E-4</v>
      </c>
      <c r="E20" s="6">
        <v>0.49148148148148163</v>
      </c>
      <c r="F20" s="6"/>
      <c r="G20" s="4"/>
      <c r="H20" s="4" t="s">
        <v>85</v>
      </c>
      <c r="I20" s="4"/>
      <c r="J20" s="4"/>
      <c r="K20" s="4"/>
      <c r="L20" s="4"/>
      <c r="M20" s="4"/>
      <c r="N20" s="4"/>
      <c r="O20" s="4"/>
      <c r="P20" s="4"/>
      <c r="R20" s="166" t="b">
        <v>0</v>
      </c>
      <c r="T20" s="4"/>
      <c r="U20" s="166" t="b">
        <v>0</v>
      </c>
      <c r="V20" s="166" t="b">
        <v>0</v>
      </c>
      <c r="W20" s="166" t="b">
        <v>0</v>
      </c>
      <c r="X20" s="166" t="b">
        <v>0</v>
      </c>
    </row>
    <row r="21">
      <c r="A21" s="4" t="s">
        <v>3128</v>
      </c>
      <c r="B21" s="4" t="s">
        <v>66</v>
      </c>
      <c r="C21" s="6">
        <v>0.49217592592592607</v>
      </c>
      <c r="D21" s="6">
        <v>5.208333333333333E-4</v>
      </c>
      <c r="E21" s="6">
        <v>0.49269675925925943</v>
      </c>
      <c r="F21" s="6"/>
      <c r="G21" s="4"/>
      <c r="H21" s="4" t="s">
        <v>79</v>
      </c>
      <c r="I21" s="4"/>
      <c r="J21" s="4"/>
      <c r="K21" s="4"/>
      <c r="L21" s="4"/>
      <c r="M21" s="4"/>
      <c r="N21" s="4"/>
      <c r="O21" s="4"/>
      <c r="P21" s="4"/>
      <c r="R21" s="166" t="b">
        <v>0</v>
      </c>
      <c r="T21" s="4"/>
      <c r="U21" s="166" t="b">
        <v>0</v>
      </c>
      <c r="V21" s="166" t="b">
        <v>0</v>
      </c>
      <c r="W21" s="166" t="b">
        <v>0</v>
      </c>
      <c r="X21" s="166" t="b">
        <v>0</v>
      </c>
    </row>
    <row r="22">
      <c r="A22" s="4" t="s">
        <v>3129</v>
      </c>
      <c r="B22" s="4" t="s">
        <v>66</v>
      </c>
      <c r="C22" s="6">
        <v>0.49269675925925943</v>
      </c>
      <c r="D22" s="6">
        <v>3.4722222222222224E-4</v>
      </c>
      <c r="E22" s="6">
        <v>0.49304398148148165</v>
      </c>
      <c r="F22" s="6"/>
      <c r="G22" s="4"/>
      <c r="H22" s="4" t="s">
        <v>81</v>
      </c>
      <c r="I22" s="4"/>
      <c r="J22" s="4"/>
      <c r="K22" s="4"/>
      <c r="L22" s="4"/>
      <c r="M22" s="4"/>
      <c r="N22" s="4"/>
      <c r="O22" s="4"/>
      <c r="P22" s="4"/>
      <c r="R22" s="166" t="b">
        <v>0</v>
      </c>
      <c r="T22" s="4"/>
      <c r="U22" s="166" t="b">
        <v>0</v>
      </c>
      <c r="V22" s="166" t="b">
        <v>0</v>
      </c>
      <c r="W22" s="166" t="b">
        <v>0</v>
      </c>
      <c r="X22" s="166" t="b">
        <v>0</v>
      </c>
    </row>
    <row r="23">
      <c r="A23" s="4" t="s">
        <v>3132</v>
      </c>
      <c r="B23" s="4" t="s">
        <v>66</v>
      </c>
      <c r="C23" s="6">
        <v>0.49304398148148165</v>
      </c>
      <c r="D23" s="6">
        <v>0.006944444444444444</v>
      </c>
      <c r="E23" s="6">
        <v>0.49998842592592607</v>
      </c>
      <c r="F23" s="6" t="s">
        <v>210</v>
      </c>
      <c r="G23" s="4"/>
      <c r="H23" s="4" t="s">
        <v>2110</v>
      </c>
      <c r="I23" s="4" t="s">
        <v>3133</v>
      </c>
      <c r="J23" s="4" t="s">
        <v>2111</v>
      </c>
      <c r="K23" s="4" t="s">
        <v>2112</v>
      </c>
      <c r="L23" s="4" t="s">
        <v>2113</v>
      </c>
      <c r="M23" s="4" t="s">
        <v>2114</v>
      </c>
      <c r="N23" s="4" t="s">
        <v>2115</v>
      </c>
      <c r="O23" s="4"/>
      <c r="P23" s="4"/>
      <c r="R23" s="166" t="b">
        <v>1</v>
      </c>
      <c r="T23" s="4"/>
      <c r="U23" s="166" t="b">
        <v>0</v>
      </c>
      <c r="V23" s="166" t="b">
        <v>1</v>
      </c>
      <c r="W23" s="166" t="b">
        <v>1</v>
      </c>
      <c r="X23" s="166" t="b">
        <v>0</v>
      </c>
      <c r="Z23" s="80" t="s">
        <v>3135</v>
      </c>
    </row>
    <row r="24">
      <c r="A24" s="4" t="s">
        <v>3137</v>
      </c>
      <c r="B24" s="4" t="s">
        <v>66</v>
      </c>
      <c r="C24" s="6">
        <v>0.49998842592592607</v>
      </c>
      <c r="D24" s="6">
        <v>1.7361111111111112E-4</v>
      </c>
      <c r="E24" s="6">
        <v>0.5001620370370372</v>
      </c>
      <c r="F24" s="6"/>
      <c r="G24" s="4"/>
      <c r="H24" s="4" t="s">
        <v>85</v>
      </c>
      <c r="I24" s="4"/>
      <c r="J24" s="4"/>
      <c r="K24" s="4"/>
      <c r="L24" s="4"/>
      <c r="M24" s="4"/>
      <c r="N24" s="4"/>
      <c r="O24" s="4"/>
      <c r="P24" s="4"/>
      <c r="R24" s="166" t="b">
        <v>0</v>
      </c>
      <c r="T24" s="4"/>
      <c r="U24" s="166" t="b">
        <v>0</v>
      </c>
      <c r="V24" s="166" t="b">
        <v>0</v>
      </c>
      <c r="W24" s="166" t="b">
        <v>0</v>
      </c>
      <c r="X24" s="166" t="b">
        <v>0</v>
      </c>
    </row>
    <row r="25">
      <c r="A25" s="4" t="s">
        <v>3138</v>
      </c>
      <c r="B25" s="4" t="s">
        <v>607</v>
      </c>
      <c r="C25" s="6" t="s">
        <v>607</v>
      </c>
      <c r="D25" s="6" t="s">
        <v>607</v>
      </c>
      <c r="E25" s="6" t="s">
        <v>607</v>
      </c>
      <c r="F25" s="6" t="s">
        <v>607</v>
      </c>
      <c r="G25" s="4" t="s">
        <v>607</v>
      </c>
      <c r="H25" s="4" t="s">
        <v>607</v>
      </c>
      <c r="I25" s="4" t="s">
        <v>607</v>
      </c>
      <c r="J25" s="4" t="s">
        <v>607</v>
      </c>
      <c r="K25" s="4" t="s">
        <v>607</v>
      </c>
      <c r="L25" s="4" t="s">
        <v>607</v>
      </c>
      <c r="M25" s="4" t="s">
        <v>607</v>
      </c>
      <c r="N25" s="4" t="s">
        <v>607</v>
      </c>
      <c r="O25" s="4"/>
      <c r="P25" s="4"/>
      <c r="R25" s="166" t="b">
        <v>0</v>
      </c>
      <c r="T25" s="4"/>
      <c r="U25" s="166" t="b">
        <v>0</v>
      </c>
      <c r="V25" s="166" t="b">
        <v>0</v>
      </c>
      <c r="W25" s="166" t="b">
        <v>0</v>
      </c>
      <c r="X25" s="166" t="b">
        <v>0</v>
      </c>
    </row>
    <row r="26">
      <c r="A26" s="4" t="s">
        <v>3140</v>
      </c>
      <c r="B26" s="4" t="s">
        <v>66</v>
      </c>
      <c r="C26" s="6">
        <v>0.5001620370370372</v>
      </c>
      <c r="D26" s="6">
        <v>3.4722222222222224E-4</v>
      </c>
      <c r="E26" s="6">
        <v>0.5005092592592595</v>
      </c>
      <c r="F26" s="6"/>
      <c r="G26" s="4"/>
      <c r="H26" s="4" t="s">
        <v>81</v>
      </c>
      <c r="I26" s="4"/>
      <c r="J26" s="4"/>
      <c r="K26" s="4"/>
      <c r="L26" s="4"/>
      <c r="M26" s="4"/>
      <c r="N26" s="4"/>
      <c r="O26" s="4"/>
      <c r="P26" s="4"/>
      <c r="R26" s="166" t="b">
        <v>0</v>
      </c>
      <c r="T26" s="4"/>
      <c r="U26" s="166" t="b">
        <v>0</v>
      </c>
      <c r="V26" s="166" t="b">
        <v>0</v>
      </c>
      <c r="W26" s="166" t="b">
        <v>0</v>
      </c>
      <c r="X26" s="166" t="b">
        <v>0</v>
      </c>
    </row>
    <row r="27">
      <c r="A27" s="4" t="s">
        <v>3142</v>
      </c>
      <c r="B27" s="4" t="s">
        <v>66</v>
      </c>
      <c r="C27" s="6">
        <v>0.5005092592592595</v>
      </c>
      <c r="D27" s="6">
        <v>0.015509259259259259</v>
      </c>
      <c r="E27" s="6">
        <v>0.5160185185185188</v>
      </c>
      <c r="F27" s="6" t="s">
        <v>210</v>
      </c>
      <c r="G27" s="4" t="s">
        <v>3143</v>
      </c>
      <c r="H27" s="4" t="s">
        <v>2118</v>
      </c>
      <c r="I27" s="4" t="s">
        <v>3144</v>
      </c>
      <c r="J27" s="4"/>
      <c r="K27" s="4"/>
      <c r="L27" s="4"/>
      <c r="M27" s="4"/>
      <c r="N27" s="4" t="s">
        <v>2119</v>
      </c>
      <c r="O27" s="4"/>
      <c r="P27" s="4"/>
      <c r="R27" s="166" t="b">
        <v>1</v>
      </c>
      <c r="T27" s="4"/>
      <c r="U27" s="166" t="b">
        <v>0</v>
      </c>
      <c r="V27" s="166" t="b">
        <v>1</v>
      </c>
      <c r="W27" s="166" t="b">
        <v>1</v>
      </c>
      <c r="X27" s="166" t="b">
        <v>0</v>
      </c>
      <c r="Z27" s="80" t="s">
        <v>3145</v>
      </c>
    </row>
    <row r="28">
      <c r="A28" s="4" t="s">
        <v>3151</v>
      </c>
      <c r="B28" s="4" t="s">
        <v>66</v>
      </c>
      <c r="C28" s="6">
        <v>0.5160185185185188</v>
      </c>
      <c r="D28" s="6">
        <v>1.7361111111111112E-4</v>
      </c>
      <c r="E28" s="6">
        <v>0.5161921296296299</v>
      </c>
      <c r="F28" s="6"/>
      <c r="G28" s="4"/>
      <c r="H28" s="4" t="s">
        <v>85</v>
      </c>
      <c r="I28" s="4"/>
      <c r="J28" s="4"/>
      <c r="K28" s="4"/>
      <c r="L28" s="4"/>
      <c r="M28" s="4"/>
      <c r="N28" s="4"/>
      <c r="O28" s="4"/>
      <c r="P28" s="4"/>
      <c r="R28" s="166" t="b">
        <v>0</v>
      </c>
      <c r="T28" s="4"/>
      <c r="U28" s="166" t="b">
        <v>0</v>
      </c>
      <c r="V28" s="166" t="b">
        <v>0</v>
      </c>
      <c r="W28" s="166" t="b">
        <v>0</v>
      </c>
      <c r="X28" s="166" t="b">
        <v>0</v>
      </c>
    </row>
    <row r="29">
      <c r="A29" s="4" t="s">
        <v>3153</v>
      </c>
      <c r="B29" s="4" t="s">
        <v>607</v>
      </c>
      <c r="C29" s="6" t="s">
        <v>607</v>
      </c>
      <c r="D29" s="6" t="s">
        <v>607</v>
      </c>
      <c r="E29" s="6" t="s">
        <v>607</v>
      </c>
      <c r="F29" s="6" t="s">
        <v>607</v>
      </c>
      <c r="G29" s="4" t="s">
        <v>607</v>
      </c>
      <c r="H29" s="4" t="s">
        <v>607</v>
      </c>
      <c r="I29" s="4" t="s">
        <v>607</v>
      </c>
      <c r="J29" s="4" t="s">
        <v>607</v>
      </c>
      <c r="K29" s="4" t="s">
        <v>607</v>
      </c>
      <c r="L29" s="4" t="s">
        <v>607</v>
      </c>
      <c r="M29" s="4" t="s">
        <v>607</v>
      </c>
      <c r="N29" s="4" t="s">
        <v>607</v>
      </c>
      <c r="O29" s="4"/>
      <c r="P29" s="4"/>
      <c r="R29" s="166" t="b">
        <v>0</v>
      </c>
      <c r="T29" s="4"/>
      <c r="U29" s="166" t="b">
        <v>0</v>
      </c>
      <c r="V29" s="166" t="b">
        <v>0</v>
      </c>
      <c r="W29" s="166" t="b">
        <v>0</v>
      </c>
      <c r="X29" s="166" t="b">
        <v>0</v>
      </c>
    </row>
    <row r="30">
      <c r="A30" s="4" t="s">
        <v>3156</v>
      </c>
      <c r="B30" s="4" t="s">
        <v>66</v>
      </c>
      <c r="C30" s="6">
        <v>0.5165393518518522</v>
      </c>
      <c r="D30" s="6">
        <v>3.4722222222222224E-4</v>
      </c>
      <c r="E30" s="6">
        <v>0.5168865740740745</v>
      </c>
      <c r="F30" s="6"/>
      <c r="G30" s="4"/>
      <c r="H30" s="4" t="s">
        <v>81</v>
      </c>
      <c r="I30" s="4"/>
      <c r="J30" s="4"/>
      <c r="K30" s="4"/>
      <c r="L30" s="4"/>
      <c r="M30" s="4"/>
      <c r="N30" s="4"/>
      <c r="O30" s="4"/>
      <c r="P30" s="4"/>
      <c r="R30" s="166" t="b">
        <v>0</v>
      </c>
      <c r="T30" s="4"/>
      <c r="U30" s="166" t="b">
        <v>0</v>
      </c>
      <c r="V30" s="166" t="b">
        <v>0</v>
      </c>
      <c r="W30" s="166" t="b">
        <v>0</v>
      </c>
      <c r="X30" s="166" t="b">
        <v>0</v>
      </c>
    </row>
    <row r="31">
      <c r="A31" s="4" t="s">
        <v>3160</v>
      </c>
      <c r="B31" s="4" t="s">
        <v>66</v>
      </c>
      <c r="C31" s="6">
        <v>0.5168865740740745</v>
      </c>
      <c r="D31" s="6">
        <v>0.015439814814814814</v>
      </c>
      <c r="E31" s="6">
        <v>0.5323263888888893</v>
      </c>
      <c r="F31" s="6" t="s">
        <v>164</v>
      </c>
      <c r="G31" s="4" t="s">
        <v>3161</v>
      </c>
      <c r="H31" s="4" t="s">
        <v>2120</v>
      </c>
      <c r="I31" s="4" t="s">
        <v>3163</v>
      </c>
      <c r="J31" s="4"/>
      <c r="K31" s="4"/>
      <c r="L31" s="4"/>
      <c r="M31" s="4"/>
      <c r="N31" s="4" t="s">
        <v>2121</v>
      </c>
      <c r="O31" s="4"/>
      <c r="P31" s="4"/>
      <c r="R31" s="166" t="b">
        <v>1</v>
      </c>
      <c r="T31" s="4"/>
      <c r="U31" s="166" t="b">
        <v>0</v>
      </c>
      <c r="V31" s="166" t="b">
        <v>1</v>
      </c>
      <c r="W31" s="166" t="b">
        <v>1</v>
      </c>
      <c r="X31" s="166" t="b">
        <v>0</v>
      </c>
      <c r="Z31" s="80" t="s">
        <v>3164</v>
      </c>
    </row>
    <row r="32">
      <c r="A32" s="4" t="s">
        <v>3169</v>
      </c>
      <c r="B32" s="4" t="s">
        <v>66</v>
      </c>
      <c r="C32" s="6">
        <v>0.5323263888888893</v>
      </c>
      <c r="D32" s="6">
        <v>1.7361111111111112E-4</v>
      </c>
      <c r="E32" s="6">
        <v>0.5325000000000004</v>
      </c>
      <c r="F32" s="6"/>
      <c r="G32" s="4"/>
      <c r="H32" s="4" t="s">
        <v>85</v>
      </c>
      <c r="I32" s="4"/>
      <c r="J32" s="4"/>
      <c r="K32" s="4"/>
      <c r="L32" s="4"/>
      <c r="M32" s="4"/>
      <c r="N32" s="4"/>
      <c r="O32" s="4"/>
      <c r="P32" s="4"/>
      <c r="R32" s="166" t="b">
        <v>0</v>
      </c>
      <c r="T32" s="4"/>
      <c r="U32" s="166" t="b">
        <v>0</v>
      </c>
      <c r="V32" s="166" t="b">
        <v>0</v>
      </c>
      <c r="W32" s="166" t="b">
        <v>0</v>
      </c>
      <c r="X32" s="166" t="b">
        <v>0</v>
      </c>
    </row>
    <row r="33">
      <c r="A33" s="4" t="s">
        <v>3171</v>
      </c>
      <c r="B33" s="4" t="s">
        <v>66</v>
      </c>
      <c r="C33" s="6">
        <v>0.5325000000000004</v>
      </c>
      <c r="D33" s="6">
        <v>3.4722222222222224E-4</v>
      </c>
      <c r="E33" s="6">
        <v>0.5328472222222227</v>
      </c>
      <c r="F33" s="6"/>
      <c r="G33" s="4"/>
      <c r="H33" s="4" t="s">
        <v>2102</v>
      </c>
      <c r="I33" s="4"/>
      <c r="J33" s="4"/>
      <c r="K33" s="4"/>
      <c r="L33" s="4"/>
      <c r="M33" s="4"/>
      <c r="N33" s="4"/>
      <c r="O33" s="4"/>
      <c r="P33" s="4"/>
      <c r="R33" s="166" t="b">
        <v>0</v>
      </c>
      <c r="T33" s="4"/>
      <c r="U33" s="166" t="b">
        <v>0</v>
      </c>
      <c r="V33" s="166" t="b">
        <v>0</v>
      </c>
      <c r="W33" s="166" t="b">
        <v>0</v>
      </c>
      <c r="X33" s="166" t="b">
        <v>0</v>
      </c>
    </row>
    <row r="34">
      <c r="A34" s="4" t="s">
        <v>3174</v>
      </c>
      <c r="B34" s="4" t="s">
        <v>66</v>
      </c>
      <c r="C34" s="6">
        <v>0.5328472222222227</v>
      </c>
      <c r="D34" s="6">
        <v>3.4722222222222224E-4</v>
      </c>
      <c r="E34" s="6">
        <v>0.533194444444445</v>
      </c>
      <c r="F34" s="6"/>
      <c r="G34" s="4"/>
      <c r="H34" s="4" t="s">
        <v>89</v>
      </c>
      <c r="I34" s="4"/>
      <c r="J34" s="4"/>
      <c r="K34" s="4"/>
      <c r="L34" s="4"/>
      <c r="M34" s="4"/>
      <c r="N34" s="4"/>
      <c r="O34" s="4"/>
      <c r="P34" s="4"/>
      <c r="R34" s="166" t="b">
        <v>0</v>
      </c>
      <c r="T34" s="4"/>
      <c r="U34" s="166" t="b">
        <v>0</v>
      </c>
      <c r="V34" s="166" t="b">
        <v>0</v>
      </c>
      <c r="W34" s="166" t="b">
        <v>0</v>
      </c>
      <c r="X34" s="166" t="b">
        <v>0</v>
      </c>
    </row>
    <row r="35">
      <c r="A35" s="4" t="s">
        <v>3177</v>
      </c>
      <c r="B35" s="4" t="s">
        <v>66</v>
      </c>
      <c r="C35" s="6">
        <v>0.533194444444445</v>
      </c>
      <c r="D35" s="6">
        <v>3.4722222222222224E-4</v>
      </c>
      <c r="E35" s="6">
        <v>0.5335416666666672</v>
      </c>
      <c r="F35" s="6"/>
      <c r="G35" s="4"/>
      <c r="H35" s="4" t="s">
        <v>81</v>
      </c>
      <c r="I35" s="4"/>
      <c r="J35" s="4"/>
      <c r="K35" s="4"/>
      <c r="L35" s="4"/>
      <c r="M35" s="4"/>
      <c r="N35" s="4"/>
      <c r="O35" s="4"/>
      <c r="P35" s="4"/>
      <c r="R35" s="166" t="b">
        <v>0</v>
      </c>
      <c r="T35" s="4"/>
      <c r="U35" s="166" t="b">
        <v>0</v>
      </c>
      <c r="V35" s="166" t="b">
        <v>0</v>
      </c>
      <c r="W35" s="166" t="b">
        <v>0</v>
      </c>
      <c r="X35" s="166" t="b">
        <v>0</v>
      </c>
    </row>
    <row r="36">
      <c r="A36" s="4" t="s">
        <v>3181</v>
      </c>
      <c r="B36" s="4" t="s">
        <v>66</v>
      </c>
      <c r="C36" s="6">
        <v>0.5335416666666672</v>
      </c>
      <c r="D36" s="6">
        <v>0.006944444444444444</v>
      </c>
      <c r="E36" s="6">
        <v>0.5404861111111117</v>
      </c>
      <c r="F36" s="6" t="s">
        <v>398</v>
      </c>
      <c r="G36" s="4"/>
      <c r="H36" s="4" t="s">
        <v>2125</v>
      </c>
      <c r="I36" s="4" t="s">
        <v>3183</v>
      </c>
      <c r="J36" s="4" t="s">
        <v>2126</v>
      </c>
      <c r="K36" s="4" t="s">
        <v>2127</v>
      </c>
      <c r="L36" s="4" t="s">
        <v>579</v>
      </c>
      <c r="M36" s="4" t="s">
        <v>2128</v>
      </c>
      <c r="N36" s="4" t="s">
        <v>2129</v>
      </c>
      <c r="O36" s="4"/>
      <c r="P36" s="4"/>
      <c r="R36" s="166" t="b">
        <v>1</v>
      </c>
      <c r="T36" s="4"/>
      <c r="U36" s="166" t="b">
        <v>0</v>
      </c>
      <c r="V36" s="166" t="b">
        <v>1</v>
      </c>
      <c r="W36" s="166" t="b">
        <v>1</v>
      </c>
      <c r="X36" s="166" t="b">
        <v>0</v>
      </c>
      <c r="Z36" s="80" t="s">
        <v>3185</v>
      </c>
    </row>
    <row r="37">
      <c r="A37" s="4" t="s">
        <v>3188</v>
      </c>
      <c r="B37" s="4" t="s">
        <v>66</v>
      </c>
      <c r="C37" s="6">
        <v>0.5404861111111117</v>
      </c>
      <c r="D37" s="6">
        <v>1.7361111111111112E-4</v>
      </c>
      <c r="E37" s="6">
        <v>0.5406597222222228</v>
      </c>
      <c r="F37" s="6"/>
      <c r="G37" s="4"/>
      <c r="H37" s="4" t="s">
        <v>85</v>
      </c>
      <c r="I37" s="4"/>
      <c r="J37" s="4"/>
      <c r="K37" s="4"/>
      <c r="L37" s="4"/>
      <c r="M37" s="4"/>
      <c r="N37" s="4"/>
      <c r="O37" s="4"/>
      <c r="P37" s="4"/>
      <c r="R37" s="166" t="b">
        <v>0</v>
      </c>
      <c r="T37" s="4"/>
      <c r="U37" s="166" t="b">
        <v>0</v>
      </c>
      <c r="V37" s="166" t="b">
        <v>0</v>
      </c>
      <c r="W37" s="166" t="b">
        <v>0</v>
      </c>
      <c r="X37" s="166" t="b">
        <v>0</v>
      </c>
    </row>
    <row r="38">
      <c r="A38" s="4" t="s">
        <v>3193</v>
      </c>
      <c r="B38" s="4" t="s">
        <v>607</v>
      </c>
      <c r="C38" s="6" t="s">
        <v>607</v>
      </c>
      <c r="D38" s="6" t="s">
        <v>607</v>
      </c>
      <c r="E38" s="6" t="s">
        <v>607</v>
      </c>
      <c r="F38" s="6" t="s">
        <v>607</v>
      </c>
      <c r="G38" s="4" t="s">
        <v>607</v>
      </c>
      <c r="H38" s="4" t="s">
        <v>607</v>
      </c>
      <c r="I38" s="4" t="s">
        <v>607</v>
      </c>
      <c r="J38" s="4" t="s">
        <v>607</v>
      </c>
      <c r="K38" s="4" t="s">
        <v>607</v>
      </c>
      <c r="L38" s="4" t="s">
        <v>607</v>
      </c>
      <c r="M38" s="4" t="s">
        <v>607</v>
      </c>
      <c r="N38" s="4" t="s">
        <v>607</v>
      </c>
      <c r="O38" s="4"/>
      <c r="P38" s="4"/>
      <c r="R38" s="166" t="b">
        <v>0</v>
      </c>
      <c r="T38" s="4"/>
      <c r="U38" s="166" t="b">
        <v>0</v>
      </c>
      <c r="V38" s="166" t="b">
        <v>0</v>
      </c>
      <c r="W38" s="166" t="b">
        <v>0</v>
      </c>
      <c r="X38" s="166" t="b">
        <v>0</v>
      </c>
    </row>
    <row r="39">
      <c r="A39" s="4" t="s">
        <v>3197</v>
      </c>
      <c r="B39" s="4" t="s">
        <v>66</v>
      </c>
      <c r="C39" s="6">
        <v>0.5410069444444451</v>
      </c>
      <c r="D39" s="6">
        <v>3.4722222222222224E-4</v>
      </c>
      <c r="E39" s="6">
        <v>0.5413541666666674</v>
      </c>
      <c r="F39" s="6"/>
      <c r="G39" s="4"/>
      <c r="H39" s="4" t="s">
        <v>81</v>
      </c>
      <c r="I39" s="4"/>
      <c r="J39" s="4"/>
      <c r="K39" s="4"/>
      <c r="L39" s="4"/>
      <c r="M39" s="4"/>
      <c r="N39" s="4"/>
      <c r="O39" s="4"/>
      <c r="P39" s="4"/>
      <c r="R39" s="166" t="b">
        <v>0</v>
      </c>
      <c r="T39" s="4"/>
      <c r="U39" s="166" t="b">
        <v>0</v>
      </c>
      <c r="V39" s="166" t="b">
        <v>0</v>
      </c>
      <c r="W39" s="166" t="b">
        <v>0</v>
      </c>
      <c r="X39" s="166" t="b">
        <v>0</v>
      </c>
    </row>
    <row r="40">
      <c r="A40" s="4" t="s">
        <v>3200</v>
      </c>
      <c r="B40" s="4" t="s">
        <v>66</v>
      </c>
      <c r="C40" s="6">
        <v>0.5413541666666674</v>
      </c>
      <c r="D40" s="6">
        <v>0.02457175925925926</v>
      </c>
      <c r="E40" s="6">
        <v>0.5659259259259266</v>
      </c>
      <c r="F40" s="6" t="s">
        <v>358</v>
      </c>
      <c r="G40" s="4" t="s">
        <v>3122</v>
      </c>
      <c r="H40" s="4" t="s">
        <v>2132</v>
      </c>
      <c r="I40" s="4" t="s">
        <v>3201</v>
      </c>
      <c r="J40" s="4"/>
      <c r="K40" s="4"/>
      <c r="L40" s="4"/>
      <c r="M40" s="4"/>
      <c r="N40" s="4" t="s">
        <v>2134</v>
      </c>
      <c r="O40" s="4"/>
      <c r="P40" s="4"/>
      <c r="R40" s="166" t="b">
        <v>1</v>
      </c>
      <c r="T40" s="4"/>
      <c r="U40" s="166" t="b">
        <v>0</v>
      </c>
      <c r="V40" s="166" t="b">
        <v>1</v>
      </c>
      <c r="W40" s="166" t="b">
        <v>1</v>
      </c>
      <c r="X40" s="166" t="b">
        <v>0</v>
      </c>
      <c r="Z40" s="80" t="s">
        <v>3205</v>
      </c>
    </row>
    <row r="41">
      <c r="A41" s="4" t="s">
        <v>3208</v>
      </c>
      <c r="B41" s="4" t="s">
        <v>66</v>
      </c>
      <c r="C41" s="6">
        <v>0.5659259259259266</v>
      </c>
      <c r="D41" s="6">
        <v>1.7361111111111112E-4</v>
      </c>
      <c r="E41" s="6">
        <v>0.5660995370370377</v>
      </c>
      <c r="F41" s="6"/>
      <c r="G41" s="4"/>
      <c r="H41" s="4" t="s">
        <v>85</v>
      </c>
      <c r="I41" s="4"/>
      <c r="J41" s="4"/>
      <c r="K41" s="4"/>
      <c r="L41" s="4"/>
      <c r="M41" s="4"/>
      <c r="N41" s="4"/>
      <c r="O41" s="4"/>
      <c r="P41" s="4"/>
      <c r="R41" s="166" t="b">
        <v>0</v>
      </c>
      <c r="T41" s="4"/>
      <c r="U41" s="166" t="b">
        <v>0</v>
      </c>
      <c r="V41" s="166" t="b">
        <v>0</v>
      </c>
      <c r="W41" s="166" t="b">
        <v>0</v>
      </c>
      <c r="X41" s="166" t="b">
        <v>0</v>
      </c>
    </row>
    <row r="42">
      <c r="A42" s="4" t="s">
        <v>3212</v>
      </c>
      <c r="B42" s="4" t="s">
        <v>607</v>
      </c>
      <c r="C42" s="6" t="s">
        <v>607</v>
      </c>
      <c r="D42" s="6" t="s">
        <v>607</v>
      </c>
      <c r="E42" s="6" t="s">
        <v>607</v>
      </c>
      <c r="F42" s="6" t="s">
        <v>607</v>
      </c>
      <c r="G42" s="4" t="s">
        <v>607</v>
      </c>
      <c r="H42" s="4" t="s">
        <v>607</v>
      </c>
      <c r="I42" s="4" t="s">
        <v>607</v>
      </c>
      <c r="J42" s="4" t="s">
        <v>607</v>
      </c>
      <c r="K42" s="4" t="s">
        <v>607</v>
      </c>
      <c r="L42" s="4" t="s">
        <v>607</v>
      </c>
      <c r="M42" s="4" t="s">
        <v>607</v>
      </c>
      <c r="N42" s="4" t="s">
        <v>607</v>
      </c>
      <c r="O42" s="4"/>
      <c r="P42" s="4"/>
      <c r="R42" s="166" t="b">
        <v>0</v>
      </c>
      <c r="T42" s="4"/>
      <c r="U42" s="166" t="b">
        <v>0</v>
      </c>
      <c r="V42" s="166" t="b">
        <v>0</v>
      </c>
      <c r="W42" s="166" t="b">
        <v>0</v>
      </c>
      <c r="X42" s="166" t="b">
        <v>0</v>
      </c>
    </row>
    <row r="43">
      <c r="A43" s="4" t="s">
        <v>3218</v>
      </c>
      <c r="B43" s="4" t="s">
        <v>66</v>
      </c>
      <c r="C43" s="6">
        <v>0.5660995370370377</v>
      </c>
      <c r="D43" s="6">
        <v>3.4722222222222224E-4</v>
      </c>
      <c r="E43" s="6">
        <v>0.56644675925926</v>
      </c>
      <c r="F43" s="6"/>
      <c r="G43" s="4"/>
      <c r="H43" s="4" t="s">
        <v>81</v>
      </c>
      <c r="I43" s="4"/>
      <c r="J43" s="4"/>
      <c r="K43" s="4"/>
      <c r="L43" s="4"/>
      <c r="M43" s="4"/>
      <c r="N43" s="4"/>
      <c r="O43" s="4"/>
      <c r="P43" s="4"/>
      <c r="R43" s="166" t="b">
        <v>0</v>
      </c>
      <c r="T43" s="4"/>
      <c r="U43" s="166" t="b">
        <v>0</v>
      </c>
      <c r="V43" s="166" t="b">
        <v>0</v>
      </c>
      <c r="W43" s="166" t="b">
        <v>0</v>
      </c>
      <c r="X43" s="166" t="b">
        <v>0</v>
      </c>
    </row>
    <row r="44">
      <c r="A44" s="4" t="s">
        <v>3221</v>
      </c>
      <c r="B44" s="4" t="s">
        <v>66</v>
      </c>
      <c r="C44" s="6">
        <v>0.56644675925926</v>
      </c>
      <c r="D44" s="6">
        <v>0.015532407407407408</v>
      </c>
      <c r="E44" s="6">
        <v>0.5819791666666674</v>
      </c>
      <c r="F44" s="6" t="s">
        <v>358</v>
      </c>
      <c r="G44" s="4" t="s">
        <v>3112</v>
      </c>
      <c r="H44" s="4" t="s">
        <v>2137</v>
      </c>
      <c r="I44" s="4" t="s">
        <v>3223</v>
      </c>
      <c r="J44" s="4"/>
      <c r="K44" s="4"/>
      <c r="L44" s="4"/>
      <c r="M44" s="4"/>
      <c r="N44" s="4" t="s">
        <v>2138</v>
      </c>
      <c r="O44" s="4"/>
      <c r="P44" s="4"/>
      <c r="R44" s="166" t="b">
        <v>1</v>
      </c>
      <c r="T44" s="4"/>
      <c r="U44" s="166" t="b">
        <v>0</v>
      </c>
      <c r="V44" s="166" t="b">
        <v>1</v>
      </c>
      <c r="W44" s="166" t="b">
        <v>1</v>
      </c>
      <c r="X44" s="166" t="b">
        <v>0</v>
      </c>
      <c r="Z44" s="80" t="s">
        <v>3229</v>
      </c>
    </row>
    <row r="45">
      <c r="A45" s="4" t="s">
        <v>3233</v>
      </c>
      <c r="B45" s="4" t="s">
        <v>66</v>
      </c>
      <c r="C45" s="6">
        <v>0.5819791666666674</v>
      </c>
      <c r="D45" s="6">
        <v>1.7361111111111112E-4</v>
      </c>
      <c r="E45" s="6">
        <v>0.5821527777777785</v>
      </c>
      <c r="F45" s="6"/>
      <c r="G45" s="4"/>
      <c r="H45" s="4" t="s">
        <v>85</v>
      </c>
      <c r="I45" s="4"/>
      <c r="J45" s="4"/>
      <c r="K45" s="4"/>
      <c r="L45" s="4"/>
      <c r="M45" s="4"/>
      <c r="N45" s="4"/>
      <c r="O45" s="4"/>
      <c r="P45" s="4"/>
      <c r="R45" s="166" t="b">
        <v>0</v>
      </c>
      <c r="T45" s="4"/>
      <c r="U45" s="166" t="b">
        <v>0</v>
      </c>
      <c r="V45" s="166" t="b">
        <v>0</v>
      </c>
      <c r="W45" s="166" t="b">
        <v>0</v>
      </c>
      <c r="X45" s="166" t="b">
        <v>0</v>
      </c>
    </row>
    <row r="46">
      <c r="A46" s="4" t="s">
        <v>3238</v>
      </c>
      <c r="B46" s="4" t="s">
        <v>66</v>
      </c>
      <c r="C46" s="6">
        <v>0.582847222222223</v>
      </c>
      <c r="D46" s="6">
        <v>5.208333333333333E-4</v>
      </c>
      <c r="E46" s="6">
        <v>0.5833680555555563</v>
      </c>
      <c r="F46" s="6"/>
      <c r="G46" s="4"/>
      <c r="H46" s="4" t="s">
        <v>2140</v>
      </c>
      <c r="I46" s="4"/>
      <c r="J46" s="4"/>
      <c r="K46" s="4"/>
      <c r="L46" s="4"/>
      <c r="M46" s="4"/>
      <c r="N46" s="4"/>
      <c r="O46" s="4"/>
      <c r="P46" s="4"/>
      <c r="R46" s="166" t="b">
        <v>0</v>
      </c>
      <c r="T46" s="4"/>
      <c r="U46" s="166" t="b">
        <v>0</v>
      </c>
      <c r="V46" s="166" t="b">
        <v>0</v>
      </c>
      <c r="W46" s="166" t="b">
        <v>0</v>
      </c>
      <c r="X46" s="166" t="b">
        <v>0</v>
      </c>
    </row>
    <row r="47">
      <c r="A47" s="4" t="s">
        <v>3240</v>
      </c>
      <c r="B47" s="4" t="s">
        <v>66</v>
      </c>
      <c r="C47" s="6">
        <v>0.5833680555555563</v>
      </c>
      <c r="D47" s="6">
        <v>3.4722222222222224E-4</v>
      </c>
      <c r="E47" s="6">
        <v>0.5837152777777785</v>
      </c>
      <c r="F47" s="6"/>
      <c r="G47" s="4"/>
      <c r="H47" s="4" t="s">
        <v>81</v>
      </c>
      <c r="I47" s="4"/>
      <c r="J47" s="4"/>
      <c r="K47" s="4"/>
      <c r="L47" s="4"/>
      <c r="M47" s="4"/>
      <c r="N47" s="4"/>
      <c r="O47" s="4"/>
      <c r="P47" s="4"/>
      <c r="R47" s="166" t="b">
        <v>0</v>
      </c>
      <c r="T47" s="4"/>
      <c r="U47" s="166" t="b">
        <v>0</v>
      </c>
      <c r="V47" s="166" t="b">
        <v>0</v>
      </c>
      <c r="W47" s="166" t="b">
        <v>0</v>
      </c>
      <c r="X47" s="166" t="b">
        <v>0</v>
      </c>
    </row>
    <row r="48">
      <c r="A48" s="4" t="s">
        <v>3244</v>
      </c>
      <c r="B48" s="4" t="s">
        <v>66</v>
      </c>
      <c r="C48" s="6">
        <v>0.5837152777777785</v>
      </c>
      <c r="D48" s="6">
        <v>0.006944444444444444</v>
      </c>
      <c r="E48" s="6">
        <v>0.590659722222223</v>
      </c>
      <c r="F48" s="6" t="s">
        <v>737</v>
      </c>
      <c r="G48" s="4"/>
      <c r="H48" s="4" t="s">
        <v>2142</v>
      </c>
      <c r="I48" s="4" t="s">
        <v>247</v>
      </c>
      <c r="J48" s="4" t="s">
        <v>2143</v>
      </c>
      <c r="K48" s="4" t="s">
        <v>2144</v>
      </c>
      <c r="L48" s="4" t="s">
        <v>2145</v>
      </c>
      <c r="M48" s="4" t="s">
        <v>2146</v>
      </c>
      <c r="N48" s="4" t="s">
        <v>2147</v>
      </c>
      <c r="O48" s="4"/>
      <c r="P48" s="4"/>
      <c r="R48" s="166" t="b">
        <v>1</v>
      </c>
      <c r="T48" s="4"/>
      <c r="U48" s="166" t="b">
        <v>0</v>
      </c>
      <c r="V48" s="166" t="b">
        <v>1</v>
      </c>
      <c r="W48" s="166" t="b">
        <v>1</v>
      </c>
      <c r="X48" s="166" t="b">
        <v>0</v>
      </c>
      <c r="Z48" s="80" t="s">
        <v>3248</v>
      </c>
    </row>
    <row r="49">
      <c r="A49" s="4" t="s">
        <v>3252</v>
      </c>
      <c r="B49" s="4" t="s">
        <v>66</v>
      </c>
      <c r="C49" s="6">
        <v>0.590659722222223</v>
      </c>
      <c r="D49" s="6">
        <v>1.7361111111111112E-4</v>
      </c>
      <c r="E49" s="6">
        <v>0.5908333333333341</v>
      </c>
      <c r="F49" s="6"/>
      <c r="G49" s="4"/>
      <c r="H49" s="4" t="s">
        <v>85</v>
      </c>
      <c r="I49" s="4"/>
      <c r="J49" s="4"/>
      <c r="K49" s="4"/>
      <c r="L49" s="4"/>
      <c r="M49" s="4"/>
      <c r="N49" s="4"/>
      <c r="O49" s="4"/>
      <c r="P49" s="4"/>
      <c r="R49" s="166" t="b">
        <v>0</v>
      </c>
      <c r="T49" s="4"/>
      <c r="U49" s="166" t="b">
        <v>0</v>
      </c>
      <c r="V49" s="166" t="b">
        <v>0</v>
      </c>
      <c r="W49" s="166" t="b">
        <v>0</v>
      </c>
      <c r="X49" s="166" t="b">
        <v>0</v>
      </c>
    </row>
    <row r="50">
      <c r="A50" s="4" t="s">
        <v>3254</v>
      </c>
      <c r="B50" s="4" t="s">
        <v>66</v>
      </c>
      <c r="C50" s="6">
        <v>0.5908333333333341</v>
      </c>
      <c r="D50" s="6">
        <v>3.4722222222222224E-4</v>
      </c>
      <c r="E50" s="6">
        <v>0.5911805555555564</v>
      </c>
      <c r="F50" s="6"/>
      <c r="G50" s="4"/>
      <c r="H50" s="4" t="s">
        <v>81</v>
      </c>
      <c r="I50" s="4"/>
      <c r="J50" s="4"/>
      <c r="K50" s="4"/>
      <c r="L50" s="4"/>
      <c r="M50" s="4"/>
      <c r="N50" s="4"/>
      <c r="O50" s="4"/>
      <c r="P50" s="4"/>
      <c r="R50" s="166" t="b">
        <v>0</v>
      </c>
      <c r="T50" s="4"/>
      <c r="U50" s="166" t="b">
        <v>0</v>
      </c>
      <c r="V50" s="166" t="b">
        <v>0</v>
      </c>
      <c r="W50" s="166" t="b">
        <v>0</v>
      </c>
      <c r="X50" s="166" t="b">
        <v>0</v>
      </c>
    </row>
    <row r="51">
      <c r="A51" s="4" t="s">
        <v>3257</v>
      </c>
      <c r="B51" s="4" t="s">
        <v>66</v>
      </c>
      <c r="C51" s="6">
        <v>0.5911805555555564</v>
      </c>
      <c r="D51" s="6">
        <v>0.010972222222222222</v>
      </c>
      <c r="E51" s="6">
        <v>0.6021527777777786</v>
      </c>
      <c r="F51" s="6" t="s">
        <v>151</v>
      </c>
      <c r="G51" s="4" t="s">
        <v>3143</v>
      </c>
      <c r="H51" s="4" t="s">
        <v>2151</v>
      </c>
      <c r="I51" s="4" t="s">
        <v>3259</v>
      </c>
      <c r="J51" s="4"/>
      <c r="K51" s="4"/>
      <c r="L51" s="4"/>
      <c r="M51" s="4"/>
      <c r="N51" s="4" t="s">
        <v>2152</v>
      </c>
      <c r="O51" s="4"/>
      <c r="P51" s="4"/>
      <c r="R51" s="166" t="b">
        <v>1</v>
      </c>
      <c r="T51" s="4"/>
      <c r="U51" s="166" t="b">
        <v>0</v>
      </c>
      <c r="V51" s="166" t="b">
        <v>1</v>
      </c>
      <c r="W51" s="166" t="b">
        <v>1</v>
      </c>
      <c r="X51" s="166" t="b">
        <v>0</v>
      </c>
      <c r="Z51" s="80" t="s">
        <v>3261</v>
      </c>
    </row>
    <row r="52">
      <c r="A52" s="4" t="s">
        <v>3266</v>
      </c>
      <c r="B52" s="4" t="s">
        <v>66</v>
      </c>
      <c r="C52" s="6">
        <v>0.6021527777777786</v>
      </c>
      <c r="D52" s="6">
        <v>1.7361111111111112E-4</v>
      </c>
      <c r="E52" s="6">
        <v>0.6023263888888898</v>
      </c>
      <c r="F52" s="6"/>
      <c r="G52" s="4"/>
      <c r="H52" s="4" t="s">
        <v>85</v>
      </c>
      <c r="I52" s="4"/>
      <c r="J52" s="4"/>
      <c r="K52" s="4"/>
      <c r="L52" s="4"/>
      <c r="M52" s="4"/>
      <c r="N52" s="4"/>
      <c r="O52" s="4"/>
      <c r="P52" s="4"/>
      <c r="R52" s="166" t="b">
        <v>0</v>
      </c>
      <c r="T52" s="4"/>
      <c r="U52" s="166" t="b">
        <v>0</v>
      </c>
      <c r="V52" s="166" t="b">
        <v>0</v>
      </c>
      <c r="W52" s="166" t="b">
        <v>0</v>
      </c>
      <c r="X52" s="166" t="b">
        <v>0</v>
      </c>
    </row>
    <row r="53">
      <c r="A53" s="4" t="s">
        <v>3270</v>
      </c>
      <c r="B53" s="4" t="s">
        <v>66</v>
      </c>
      <c r="C53" s="6">
        <v>0.6023263888888898</v>
      </c>
      <c r="D53" s="6">
        <v>4.7453703703703704E-4</v>
      </c>
      <c r="E53" s="6">
        <v>0.6028009259259268</v>
      </c>
      <c r="F53" s="6"/>
      <c r="G53" s="4"/>
      <c r="H53" s="4" t="s">
        <v>2102</v>
      </c>
      <c r="I53" s="4"/>
      <c r="J53" s="4"/>
      <c r="K53" s="4"/>
      <c r="L53" s="4"/>
      <c r="M53" s="4"/>
      <c r="N53" s="4"/>
      <c r="O53" s="4"/>
      <c r="P53" s="4"/>
      <c r="R53" s="166" t="b">
        <v>0</v>
      </c>
      <c r="T53" s="4"/>
      <c r="U53" s="166" t="b">
        <v>0</v>
      </c>
      <c r="V53" s="166" t="b">
        <v>0</v>
      </c>
      <c r="W53" s="166" t="b">
        <v>0</v>
      </c>
      <c r="X53" s="166" t="b">
        <v>0</v>
      </c>
    </row>
    <row r="54">
      <c r="A54" s="4" t="s">
        <v>3272</v>
      </c>
      <c r="B54" s="4" t="s">
        <v>66</v>
      </c>
      <c r="C54" s="6">
        <v>0.6028009259259268</v>
      </c>
      <c r="D54" s="6">
        <v>3.4722222222222224E-4</v>
      </c>
      <c r="E54" s="6">
        <v>0.6031481481481491</v>
      </c>
      <c r="F54" s="6"/>
      <c r="G54" s="4"/>
      <c r="H54" s="4" t="s">
        <v>89</v>
      </c>
      <c r="I54" s="4"/>
      <c r="J54" s="4"/>
      <c r="K54" s="4"/>
      <c r="L54" s="4"/>
      <c r="M54" s="4"/>
      <c r="N54" s="4"/>
      <c r="O54" s="4"/>
      <c r="P54" s="4"/>
      <c r="R54" s="166" t="b">
        <v>0</v>
      </c>
      <c r="T54" s="4"/>
      <c r="U54" s="166" t="b">
        <v>0</v>
      </c>
      <c r="V54" s="166" t="b">
        <v>0</v>
      </c>
      <c r="W54" s="166" t="b">
        <v>0</v>
      </c>
      <c r="X54" s="166" t="b">
        <v>0</v>
      </c>
    </row>
    <row r="55">
      <c r="A55" s="4" t="s">
        <v>3278</v>
      </c>
      <c r="B55" s="4" t="s">
        <v>607</v>
      </c>
      <c r="C55" s="6" t="s">
        <v>607</v>
      </c>
      <c r="D55" s="6" t="s">
        <v>607</v>
      </c>
      <c r="E55" s="6" t="s">
        <v>607</v>
      </c>
      <c r="F55" s="6" t="s">
        <v>607</v>
      </c>
      <c r="G55" s="4" t="s">
        <v>607</v>
      </c>
      <c r="H55" s="4" t="s">
        <v>607</v>
      </c>
      <c r="I55" s="4" t="s">
        <v>607</v>
      </c>
      <c r="J55" s="4" t="s">
        <v>607</v>
      </c>
      <c r="K55" s="4" t="s">
        <v>607</v>
      </c>
      <c r="L55" s="4" t="s">
        <v>607</v>
      </c>
      <c r="M55" s="4" t="s">
        <v>607</v>
      </c>
      <c r="N55" s="4" t="s">
        <v>607</v>
      </c>
      <c r="O55" s="4"/>
      <c r="P55" s="4"/>
      <c r="R55" s="166" t="b">
        <v>0</v>
      </c>
      <c r="T55" s="4"/>
      <c r="U55" s="166" t="b">
        <v>0</v>
      </c>
      <c r="V55" s="166" t="b">
        <v>0</v>
      </c>
      <c r="W55" s="166" t="b">
        <v>0</v>
      </c>
      <c r="X55" s="166" t="b">
        <v>0</v>
      </c>
    </row>
    <row r="56">
      <c r="A56" s="4" t="s">
        <v>3280</v>
      </c>
      <c r="B56" s="4" t="s">
        <v>66</v>
      </c>
      <c r="C56" s="6">
        <v>0.6031481481481491</v>
      </c>
      <c r="D56" s="6">
        <v>3.4722222222222224E-4</v>
      </c>
      <c r="E56" s="6">
        <v>0.6034953703703714</v>
      </c>
      <c r="F56" s="6"/>
      <c r="G56" s="4"/>
      <c r="H56" s="4" t="s">
        <v>81</v>
      </c>
      <c r="I56" s="4"/>
      <c r="J56" s="4"/>
      <c r="K56" s="4"/>
      <c r="L56" s="4"/>
      <c r="M56" s="4"/>
      <c r="N56" s="4"/>
      <c r="O56" s="4"/>
      <c r="P56" s="4"/>
      <c r="R56" s="166" t="b">
        <v>0</v>
      </c>
      <c r="T56" s="4"/>
      <c r="U56" s="166" t="b">
        <v>0</v>
      </c>
      <c r="V56" s="166" t="b">
        <v>0</v>
      </c>
      <c r="W56" s="166" t="b">
        <v>0</v>
      </c>
      <c r="X56" s="166" t="b">
        <v>0</v>
      </c>
    </row>
    <row r="57">
      <c r="A57" s="4" t="s">
        <v>3285</v>
      </c>
      <c r="B57" s="4" t="s">
        <v>66</v>
      </c>
      <c r="C57" s="6">
        <v>0.6034953703703714</v>
      </c>
      <c r="D57" s="6">
        <v>0.012881944444444444</v>
      </c>
      <c r="E57" s="6">
        <v>0.6163773148148158</v>
      </c>
      <c r="F57" s="6" t="s">
        <v>280</v>
      </c>
      <c r="G57" s="4" t="s">
        <v>3122</v>
      </c>
      <c r="H57" s="4" t="s">
        <v>2155</v>
      </c>
      <c r="I57" s="4" t="s">
        <v>3286</v>
      </c>
      <c r="J57" s="4"/>
      <c r="K57" s="4"/>
      <c r="L57" s="4"/>
      <c r="M57" s="4"/>
      <c r="N57" s="4" t="s">
        <v>2156</v>
      </c>
      <c r="O57" s="4"/>
      <c r="P57" s="4"/>
      <c r="R57" s="166" t="b">
        <v>1</v>
      </c>
      <c r="T57" s="4"/>
      <c r="U57" s="166" t="b">
        <v>0</v>
      </c>
      <c r="V57" s="166" t="b">
        <v>1</v>
      </c>
      <c r="W57" s="166" t="b">
        <v>1</v>
      </c>
      <c r="X57" s="166" t="b">
        <v>0</v>
      </c>
      <c r="Z57" s="80" t="s">
        <v>3289</v>
      </c>
    </row>
    <row r="58">
      <c r="A58" s="4" t="s">
        <v>3293</v>
      </c>
      <c r="B58" s="4" t="s">
        <v>66</v>
      </c>
      <c r="C58" s="6">
        <v>0.6163773148148158</v>
      </c>
      <c r="D58" s="6">
        <v>1.7361111111111112E-4</v>
      </c>
      <c r="E58" s="6">
        <v>0.616550925925927</v>
      </c>
      <c r="F58" s="6"/>
      <c r="G58" s="4"/>
      <c r="H58" s="4" t="s">
        <v>85</v>
      </c>
      <c r="I58" s="4"/>
      <c r="J58" s="4"/>
      <c r="K58" s="4"/>
      <c r="L58" s="4"/>
      <c r="M58" s="4"/>
      <c r="N58" s="4"/>
      <c r="O58" s="4"/>
      <c r="P58" s="4"/>
      <c r="R58" s="166" t="b">
        <v>0</v>
      </c>
      <c r="T58" s="4"/>
      <c r="U58" s="166" t="b">
        <v>0</v>
      </c>
      <c r="V58" s="166" t="b">
        <v>0</v>
      </c>
      <c r="W58" s="166" t="b">
        <v>0</v>
      </c>
      <c r="X58" s="166" t="b">
        <v>0</v>
      </c>
    </row>
    <row r="59">
      <c r="A59" s="4" t="s">
        <v>3297</v>
      </c>
      <c r="B59" s="4" t="s">
        <v>66</v>
      </c>
      <c r="C59" s="6">
        <v>0.616550925925927</v>
      </c>
      <c r="D59" s="6">
        <v>3.125E-4</v>
      </c>
      <c r="E59" s="6">
        <v>0.616863425925927</v>
      </c>
      <c r="F59" s="6"/>
      <c r="G59" s="4"/>
      <c r="H59" s="4" t="s">
        <v>2102</v>
      </c>
      <c r="I59" s="4"/>
      <c r="J59" s="4"/>
      <c r="K59" s="4"/>
      <c r="L59" s="4"/>
      <c r="M59" s="4"/>
      <c r="N59" s="4"/>
      <c r="O59" s="4"/>
      <c r="P59" s="4"/>
      <c r="R59" s="166" t="b">
        <v>0</v>
      </c>
      <c r="T59" s="4"/>
      <c r="U59" s="166" t="b">
        <v>0</v>
      </c>
      <c r="V59" s="166" t="b">
        <v>0</v>
      </c>
      <c r="W59" s="166" t="b">
        <v>0</v>
      </c>
      <c r="X59" s="166" t="b">
        <v>0</v>
      </c>
    </row>
    <row r="60">
      <c r="A60" s="4" t="s">
        <v>3300</v>
      </c>
      <c r="B60" s="4" t="s">
        <v>66</v>
      </c>
      <c r="C60" s="6">
        <v>0.616863425925927</v>
      </c>
      <c r="D60" s="6">
        <v>3.4722222222222224E-4</v>
      </c>
      <c r="E60" s="6">
        <v>0.6172106481481493</v>
      </c>
      <c r="F60" s="6"/>
      <c r="G60" s="4"/>
      <c r="H60" s="4" t="s">
        <v>81</v>
      </c>
      <c r="I60" s="4"/>
      <c r="J60" s="4"/>
      <c r="K60" s="4"/>
      <c r="L60" s="4"/>
      <c r="M60" s="4"/>
      <c r="N60" s="4"/>
      <c r="O60" s="4"/>
      <c r="P60" s="4"/>
      <c r="R60" s="166" t="b">
        <v>0</v>
      </c>
      <c r="T60" s="4"/>
      <c r="U60" s="166" t="b">
        <v>0</v>
      </c>
      <c r="V60" s="166" t="b">
        <v>0</v>
      </c>
      <c r="W60" s="166" t="b">
        <v>0</v>
      </c>
      <c r="X60" s="166" t="b">
        <v>0</v>
      </c>
    </row>
    <row r="61">
      <c r="A61" s="4" t="s">
        <v>3305</v>
      </c>
      <c r="B61" s="4" t="s">
        <v>66</v>
      </c>
      <c r="C61" s="6">
        <v>0.6172106481481493</v>
      </c>
      <c r="D61" s="6">
        <v>0.006944444444444444</v>
      </c>
      <c r="E61" s="6">
        <v>0.6241550925925937</v>
      </c>
      <c r="F61" s="6" t="s">
        <v>280</v>
      </c>
      <c r="G61" s="4"/>
      <c r="H61" s="4" t="s">
        <v>2159</v>
      </c>
      <c r="I61" s="4" t="s">
        <v>3306</v>
      </c>
      <c r="J61" s="4" t="s">
        <v>2160</v>
      </c>
      <c r="K61" s="4" t="s">
        <v>437</v>
      </c>
      <c r="L61" s="4" t="s">
        <v>2161</v>
      </c>
      <c r="M61" s="4" t="s">
        <v>2162</v>
      </c>
      <c r="N61" s="4" t="s">
        <v>2163</v>
      </c>
      <c r="O61" s="4"/>
      <c r="P61" s="4"/>
      <c r="R61" s="166" t="b">
        <v>1</v>
      </c>
      <c r="T61" s="4"/>
      <c r="U61" s="166" t="b">
        <v>0</v>
      </c>
      <c r="V61" s="166" t="b">
        <v>1</v>
      </c>
      <c r="W61" s="166" t="b">
        <v>1</v>
      </c>
      <c r="X61" s="166" t="b">
        <v>0</v>
      </c>
      <c r="Z61" s="80" t="s">
        <v>3310</v>
      </c>
    </row>
    <row r="62">
      <c r="A62" s="4" t="s">
        <v>3314</v>
      </c>
      <c r="B62" s="4" t="s">
        <v>66</v>
      </c>
      <c r="C62" s="6">
        <v>0.6241550925925937</v>
      </c>
      <c r="D62" s="6">
        <v>1.7361111111111112E-4</v>
      </c>
      <c r="E62" s="6">
        <v>0.6243287037037049</v>
      </c>
      <c r="F62" s="6"/>
      <c r="G62" s="4"/>
      <c r="H62" s="4" t="s">
        <v>85</v>
      </c>
      <c r="I62" s="4"/>
      <c r="J62" s="4"/>
      <c r="K62" s="4"/>
      <c r="L62" s="4"/>
      <c r="M62" s="4"/>
      <c r="N62" s="4"/>
      <c r="O62" s="4"/>
      <c r="P62" s="4"/>
      <c r="R62" s="166" t="b">
        <v>0</v>
      </c>
      <c r="T62" s="4"/>
      <c r="U62" s="166" t="b">
        <v>0</v>
      </c>
      <c r="V62" s="166" t="b">
        <v>0</v>
      </c>
      <c r="W62" s="166" t="b">
        <v>0</v>
      </c>
      <c r="X62" s="166" t="b">
        <v>0</v>
      </c>
    </row>
    <row r="63">
      <c r="A63" s="4" t="s">
        <v>3318</v>
      </c>
      <c r="B63" s="4" t="s">
        <v>607</v>
      </c>
      <c r="C63" s="6" t="s">
        <v>607</v>
      </c>
      <c r="D63" s="6" t="s">
        <v>607</v>
      </c>
      <c r="E63" s="6" t="s">
        <v>607</v>
      </c>
      <c r="F63" s="6" t="s">
        <v>607</v>
      </c>
      <c r="G63" s="4" t="s">
        <v>607</v>
      </c>
      <c r="H63" s="4" t="s">
        <v>607</v>
      </c>
      <c r="I63" s="4" t="s">
        <v>607</v>
      </c>
      <c r="J63" s="4" t="s">
        <v>607</v>
      </c>
      <c r="K63" s="4" t="s">
        <v>607</v>
      </c>
      <c r="L63" s="4" t="s">
        <v>607</v>
      </c>
      <c r="M63" s="4" t="s">
        <v>607</v>
      </c>
      <c r="N63" s="4" t="s">
        <v>607</v>
      </c>
      <c r="O63" s="4"/>
      <c r="P63" s="4"/>
      <c r="R63" s="166" t="b">
        <v>0</v>
      </c>
      <c r="T63" s="4"/>
      <c r="U63" s="166" t="b">
        <v>0</v>
      </c>
      <c r="V63" s="166" t="b">
        <v>0</v>
      </c>
      <c r="W63" s="166" t="b">
        <v>0</v>
      </c>
      <c r="X63" s="166" t="b">
        <v>0</v>
      </c>
    </row>
    <row r="64">
      <c r="A64" s="4" t="s">
        <v>3323</v>
      </c>
      <c r="B64" s="4" t="s">
        <v>66</v>
      </c>
      <c r="C64" s="6">
        <v>0.6246759259259271</v>
      </c>
      <c r="D64" s="6">
        <v>3.4722222222222224E-4</v>
      </c>
      <c r="E64" s="6">
        <v>0.6250231481481494</v>
      </c>
      <c r="F64" s="6"/>
      <c r="G64" s="4"/>
      <c r="H64" s="4" t="s">
        <v>81</v>
      </c>
      <c r="I64" s="4"/>
      <c r="J64" s="4"/>
      <c r="K64" s="4"/>
      <c r="L64" s="4"/>
      <c r="M64" s="4"/>
      <c r="N64" s="4"/>
      <c r="O64" s="4"/>
      <c r="P64" s="4"/>
      <c r="R64" s="166" t="b">
        <v>0</v>
      </c>
      <c r="T64" s="4"/>
      <c r="U64" s="166" t="b">
        <v>0</v>
      </c>
      <c r="V64" s="166" t="b">
        <v>0</v>
      </c>
      <c r="W64" s="166" t="b">
        <v>0</v>
      </c>
      <c r="X64" s="166" t="b">
        <v>0</v>
      </c>
    </row>
    <row r="65">
      <c r="A65" s="4" t="s">
        <v>3327</v>
      </c>
      <c r="B65" s="4" t="s">
        <v>66</v>
      </c>
      <c r="C65" s="6">
        <v>0.6250231481481494</v>
      </c>
      <c r="D65" s="6">
        <v>0.016400462962962964</v>
      </c>
      <c r="E65" s="6">
        <v>0.6414236111111123</v>
      </c>
      <c r="F65" s="6" t="s">
        <v>299</v>
      </c>
      <c r="G65" s="4" t="s">
        <v>3122</v>
      </c>
      <c r="H65" s="4" t="s">
        <v>2166</v>
      </c>
      <c r="I65" s="4" t="s">
        <v>3331</v>
      </c>
      <c r="J65" s="4"/>
      <c r="K65" s="4"/>
      <c r="L65" s="4"/>
      <c r="M65" s="4"/>
      <c r="N65" s="4" t="s">
        <v>2167</v>
      </c>
      <c r="O65" s="4"/>
      <c r="P65" s="4"/>
      <c r="R65" s="166" t="b">
        <v>1</v>
      </c>
      <c r="T65" s="4"/>
      <c r="U65" s="166" t="b">
        <v>0</v>
      </c>
      <c r="V65" s="166" t="b">
        <v>1</v>
      </c>
      <c r="W65" s="166" t="b">
        <v>1</v>
      </c>
      <c r="X65" s="166" t="b">
        <v>0</v>
      </c>
      <c r="Z65" s="80" t="s">
        <v>3335</v>
      </c>
    </row>
    <row r="66">
      <c r="A66" s="4" t="s">
        <v>3340</v>
      </c>
      <c r="B66" s="4" t="s">
        <v>66</v>
      </c>
      <c r="C66" s="6">
        <v>0.6414236111111123</v>
      </c>
      <c r="D66" s="6">
        <v>1.7361111111111112E-4</v>
      </c>
      <c r="E66" s="6">
        <v>0.6415972222222235</v>
      </c>
      <c r="F66" s="6"/>
      <c r="G66" s="4"/>
      <c r="H66" s="4" t="s">
        <v>85</v>
      </c>
      <c r="I66" s="4"/>
      <c r="J66" s="4"/>
      <c r="K66" s="4"/>
      <c r="L66" s="4"/>
      <c r="M66" s="4"/>
      <c r="N66" s="4"/>
      <c r="O66" s="4"/>
      <c r="P66" s="4"/>
      <c r="R66" s="166" t="b">
        <v>0</v>
      </c>
      <c r="T66" s="4"/>
      <c r="U66" s="166" t="b">
        <v>0</v>
      </c>
      <c r="V66" s="166" t="b">
        <v>0</v>
      </c>
      <c r="W66" s="166" t="b">
        <v>0</v>
      </c>
      <c r="X66" s="166" t="b">
        <v>0</v>
      </c>
    </row>
    <row r="67">
      <c r="A67" s="4" t="s">
        <v>3343</v>
      </c>
      <c r="B67" s="4" t="s">
        <v>66</v>
      </c>
      <c r="C67" s="6">
        <v>0.6415972222222235</v>
      </c>
      <c r="D67" s="6">
        <v>3.4722222222222224E-4</v>
      </c>
      <c r="E67" s="6">
        <v>0.6419444444444458</v>
      </c>
      <c r="F67" s="6"/>
      <c r="G67" s="4"/>
      <c r="H67" s="4" t="s">
        <v>81</v>
      </c>
      <c r="I67" s="4"/>
      <c r="J67" s="4"/>
      <c r="K67" s="4"/>
      <c r="L67" s="4"/>
      <c r="M67" s="4"/>
      <c r="N67" s="4"/>
      <c r="O67" s="4"/>
      <c r="P67" s="4"/>
      <c r="R67" s="166" t="b">
        <v>0</v>
      </c>
      <c r="T67" s="4"/>
      <c r="U67" s="166" t="b">
        <v>0</v>
      </c>
      <c r="V67" s="166" t="b">
        <v>0</v>
      </c>
      <c r="W67" s="166" t="b">
        <v>0</v>
      </c>
      <c r="X67" s="166" t="b">
        <v>0</v>
      </c>
    </row>
    <row r="68">
      <c r="A68" s="4" t="s">
        <v>3347</v>
      </c>
      <c r="B68" s="4" t="s">
        <v>66</v>
      </c>
      <c r="C68" s="6">
        <v>0.6419444444444458</v>
      </c>
      <c r="D68" s="6">
        <v>8.564814814814815E-4</v>
      </c>
      <c r="E68" s="6">
        <v>0.6428009259259272</v>
      </c>
      <c r="F68" s="6" t="s">
        <v>299</v>
      </c>
      <c r="G68" s="4" t="s">
        <v>3112</v>
      </c>
      <c r="H68" s="4" t="s">
        <v>2170</v>
      </c>
      <c r="I68" s="4" t="s">
        <v>3348</v>
      </c>
      <c r="J68" s="4"/>
      <c r="K68" s="4"/>
      <c r="L68" s="4"/>
      <c r="M68" s="4"/>
      <c r="N68" s="4" t="s">
        <v>2171</v>
      </c>
      <c r="O68" s="4"/>
      <c r="P68" s="4"/>
      <c r="R68" s="166" t="b">
        <v>1</v>
      </c>
      <c r="T68" s="4"/>
      <c r="U68" s="166" t="b">
        <v>0</v>
      </c>
      <c r="V68" s="166" t="b">
        <v>1</v>
      </c>
      <c r="W68" s="166" t="b">
        <v>1</v>
      </c>
      <c r="X68" s="166" t="b">
        <v>0</v>
      </c>
      <c r="Z68" s="80" t="s">
        <v>3350</v>
      </c>
    </row>
    <row r="69">
      <c r="A69" s="4" t="s">
        <v>3356</v>
      </c>
      <c r="B69" s="4" t="s">
        <v>66</v>
      </c>
      <c r="C69" s="6">
        <v>0.6428009259259272</v>
      </c>
      <c r="D69" s="6">
        <v>1.7361111111111112E-4</v>
      </c>
      <c r="E69" s="6">
        <v>0.6429745370370383</v>
      </c>
      <c r="F69" s="6"/>
      <c r="G69" s="4"/>
      <c r="H69" s="4" t="s">
        <v>85</v>
      </c>
      <c r="I69" s="4"/>
      <c r="J69" s="4"/>
      <c r="K69" s="4"/>
      <c r="L69" s="4"/>
      <c r="M69" s="4"/>
      <c r="N69" s="4"/>
      <c r="O69" s="4"/>
      <c r="P69" s="4"/>
      <c r="R69" s="166" t="b">
        <v>0</v>
      </c>
      <c r="T69" s="4"/>
      <c r="U69" s="166" t="b">
        <v>0</v>
      </c>
      <c r="V69" s="166" t="b">
        <v>0</v>
      </c>
      <c r="W69" s="166" t="b">
        <v>0</v>
      </c>
      <c r="X69" s="166" t="b">
        <v>0</v>
      </c>
    </row>
    <row r="70">
      <c r="A70" s="4" t="s">
        <v>3360</v>
      </c>
      <c r="B70" s="4" t="s">
        <v>66</v>
      </c>
      <c r="C70" s="6">
        <v>0.6436689814814828</v>
      </c>
      <c r="D70" s="6">
        <v>5.208333333333333E-4</v>
      </c>
      <c r="E70" s="6">
        <v>0.6441898148148161</v>
      </c>
      <c r="F70" s="6"/>
      <c r="G70" s="4"/>
      <c r="H70" s="4" t="s">
        <v>2140</v>
      </c>
      <c r="I70" s="4"/>
      <c r="J70" s="4"/>
      <c r="K70" s="4"/>
      <c r="L70" s="4"/>
      <c r="M70" s="4"/>
      <c r="N70" s="4"/>
      <c r="O70" s="4"/>
      <c r="P70" s="4"/>
      <c r="R70" s="166" t="b">
        <v>0</v>
      </c>
      <c r="T70" s="4"/>
      <c r="U70" s="166" t="b">
        <v>0</v>
      </c>
      <c r="V70" s="166" t="b">
        <v>0</v>
      </c>
      <c r="W70" s="166" t="b">
        <v>0</v>
      </c>
      <c r="X70" s="166" t="b">
        <v>0</v>
      </c>
    </row>
    <row r="71">
      <c r="A71" s="4" t="s">
        <v>3363</v>
      </c>
      <c r="B71" s="4" t="s">
        <v>66</v>
      </c>
      <c r="C71" s="6">
        <v>0.6441898148148161</v>
      </c>
      <c r="D71" s="6">
        <v>3.4722222222222224E-4</v>
      </c>
      <c r="E71" s="6">
        <v>0.6445370370370384</v>
      </c>
      <c r="F71" s="6"/>
      <c r="G71" s="4"/>
      <c r="H71" s="4" t="s">
        <v>81</v>
      </c>
      <c r="I71" s="4"/>
      <c r="J71" s="4"/>
      <c r="K71" s="4"/>
      <c r="L71" s="4"/>
      <c r="M71" s="4"/>
      <c r="N71" s="4"/>
      <c r="O71" s="4"/>
      <c r="P71" s="4"/>
      <c r="R71" s="166" t="b">
        <v>0</v>
      </c>
      <c r="T71" s="4"/>
      <c r="U71" s="166" t="b">
        <v>0</v>
      </c>
      <c r="V71" s="166" t="b">
        <v>0</v>
      </c>
      <c r="W71" s="166" t="b">
        <v>0</v>
      </c>
      <c r="X71" s="166" t="b">
        <v>0</v>
      </c>
    </row>
    <row r="72">
      <c r="A72" s="4" t="s">
        <v>3366</v>
      </c>
      <c r="B72" s="4" t="s">
        <v>66</v>
      </c>
      <c r="C72" s="6">
        <v>0.6445370370370384</v>
      </c>
      <c r="D72" s="6">
        <v>0.006944444444444444</v>
      </c>
      <c r="E72" s="6">
        <v>0.6514814814814828</v>
      </c>
      <c r="F72" s="6" t="s">
        <v>195</v>
      </c>
      <c r="G72" s="4"/>
      <c r="H72" s="4" t="s">
        <v>2174</v>
      </c>
      <c r="I72" s="4" t="s">
        <v>3369</v>
      </c>
      <c r="J72" s="4" t="s">
        <v>2175</v>
      </c>
      <c r="K72" s="4" t="s">
        <v>2176</v>
      </c>
      <c r="L72" s="4" t="s">
        <v>2177</v>
      </c>
      <c r="M72" s="4" t="s">
        <v>2178</v>
      </c>
      <c r="N72" s="4" t="s">
        <v>2179</v>
      </c>
      <c r="O72" s="4"/>
      <c r="P72" s="4"/>
      <c r="R72" s="166" t="b">
        <v>1</v>
      </c>
      <c r="T72" s="4"/>
      <c r="U72" s="166" t="b">
        <v>0</v>
      </c>
      <c r="V72" s="166" t="b">
        <v>1</v>
      </c>
      <c r="W72" s="166" t="b">
        <v>1</v>
      </c>
      <c r="X72" s="166" t="b">
        <v>0</v>
      </c>
      <c r="Z72" s="80" t="s">
        <v>3372</v>
      </c>
    </row>
    <row r="73">
      <c r="A73" s="4" t="s">
        <v>3375</v>
      </c>
      <c r="B73" s="4" t="s">
        <v>66</v>
      </c>
      <c r="C73" s="6">
        <v>0.6514814814814828</v>
      </c>
      <c r="D73" s="6">
        <v>1.7361111111111112E-4</v>
      </c>
      <c r="E73" s="6">
        <v>0.6516550925925939</v>
      </c>
      <c r="F73" s="6"/>
      <c r="G73" s="4"/>
      <c r="H73" s="4" t="s">
        <v>85</v>
      </c>
      <c r="I73" s="4"/>
      <c r="J73" s="4"/>
      <c r="K73" s="4"/>
      <c r="L73" s="4"/>
      <c r="M73" s="4"/>
      <c r="N73" s="4"/>
      <c r="O73" s="4"/>
      <c r="P73" s="4"/>
      <c r="R73" s="166" t="b">
        <v>0</v>
      </c>
      <c r="T73" s="4"/>
      <c r="U73" s="166" t="b">
        <v>0</v>
      </c>
      <c r="V73" s="166" t="b">
        <v>0</v>
      </c>
      <c r="W73" s="166" t="b">
        <v>0</v>
      </c>
      <c r="X73" s="166" t="b">
        <v>0</v>
      </c>
    </row>
    <row r="74">
      <c r="A74" s="4" t="s">
        <v>3378</v>
      </c>
      <c r="B74" s="4" t="s">
        <v>607</v>
      </c>
      <c r="C74" s="6" t="s">
        <v>607</v>
      </c>
      <c r="D74" s="6" t="s">
        <v>607</v>
      </c>
      <c r="E74" s="6" t="s">
        <v>607</v>
      </c>
      <c r="F74" s="6" t="s">
        <v>607</v>
      </c>
      <c r="G74" s="4" t="s">
        <v>607</v>
      </c>
      <c r="H74" s="4" t="s">
        <v>607</v>
      </c>
      <c r="I74" s="4" t="s">
        <v>607</v>
      </c>
      <c r="J74" s="4" t="s">
        <v>607</v>
      </c>
      <c r="K74" s="4" t="s">
        <v>607</v>
      </c>
      <c r="L74" s="4" t="s">
        <v>607</v>
      </c>
      <c r="M74" s="4" t="s">
        <v>607</v>
      </c>
      <c r="N74" s="4" t="s">
        <v>607</v>
      </c>
      <c r="O74" s="4"/>
      <c r="P74" s="4"/>
      <c r="R74" s="166" t="b">
        <v>0</v>
      </c>
      <c r="T74" s="4"/>
      <c r="U74" s="166" t="b">
        <v>0</v>
      </c>
      <c r="V74" s="166" t="b">
        <v>0</v>
      </c>
      <c r="W74" s="166" t="b">
        <v>0</v>
      </c>
      <c r="X74" s="166" t="b">
        <v>0</v>
      </c>
    </row>
    <row r="75">
      <c r="A75" s="4" t="s">
        <v>3381</v>
      </c>
      <c r="B75" s="4" t="s">
        <v>66</v>
      </c>
      <c r="C75" s="6">
        <v>0.6516550925925939</v>
      </c>
      <c r="D75" s="6">
        <v>3.4722222222222224E-4</v>
      </c>
      <c r="E75" s="6">
        <v>0.6520023148148162</v>
      </c>
      <c r="F75" s="6"/>
      <c r="G75" s="4"/>
      <c r="H75" s="4" t="s">
        <v>81</v>
      </c>
      <c r="I75" s="4"/>
      <c r="J75" s="4"/>
      <c r="K75" s="4"/>
      <c r="L75" s="4"/>
      <c r="M75" s="4"/>
      <c r="N75" s="4"/>
      <c r="O75" s="4"/>
      <c r="P75" s="4"/>
      <c r="R75" s="166" t="b">
        <v>0</v>
      </c>
      <c r="T75" s="4"/>
      <c r="U75" s="166" t="b">
        <v>0</v>
      </c>
      <c r="V75" s="166" t="b">
        <v>0</v>
      </c>
      <c r="W75" s="166" t="b">
        <v>0</v>
      </c>
      <c r="X75" s="166" t="b">
        <v>0</v>
      </c>
    </row>
    <row r="76">
      <c r="A76" s="4" t="s">
        <v>3386</v>
      </c>
      <c r="B76" s="4" t="s">
        <v>66</v>
      </c>
      <c r="C76" s="6">
        <v>0.6520023148148162</v>
      </c>
      <c r="D76" s="6">
        <v>0.017314814814814814</v>
      </c>
      <c r="E76" s="6">
        <v>0.669317129629631</v>
      </c>
      <c r="F76" s="6" t="s">
        <v>1193</v>
      </c>
      <c r="G76" s="4" t="s">
        <v>3387</v>
      </c>
      <c r="H76" s="4" t="s">
        <v>2182</v>
      </c>
      <c r="I76" s="4" t="s">
        <v>3388</v>
      </c>
      <c r="J76" s="4"/>
      <c r="K76" s="4"/>
      <c r="L76" s="4"/>
      <c r="M76" s="4"/>
      <c r="N76" s="4" t="s">
        <v>2183</v>
      </c>
      <c r="O76" s="4"/>
      <c r="P76" s="4"/>
      <c r="R76" s="166" t="b">
        <v>1</v>
      </c>
      <c r="T76" s="4"/>
      <c r="U76" s="166" t="b">
        <v>0</v>
      </c>
      <c r="V76" s="166" t="b">
        <v>1</v>
      </c>
      <c r="W76" s="166" t="b">
        <v>1</v>
      </c>
      <c r="X76" s="166" t="b">
        <v>0</v>
      </c>
      <c r="Z76" s="80" t="s">
        <v>3392</v>
      </c>
    </row>
    <row r="77">
      <c r="A77" s="4" t="s">
        <v>3395</v>
      </c>
      <c r="B77" s="4" t="s">
        <v>66</v>
      </c>
      <c r="C77" s="6">
        <v>0.669317129629631</v>
      </c>
      <c r="D77" s="6">
        <v>1.7361111111111112E-4</v>
      </c>
      <c r="E77" s="6">
        <v>0.6694907407407421</v>
      </c>
      <c r="F77" s="6"/>
      <c r="G77" s="4"/>
      <c r="H77" s="4" t="s">
        <v>85</v>
      </c>
      <c r="I77" s="4"/>
      <c r="J77" s="4"/>
      <c r="K77" s="4"/>
      <c r="L77" s="4"/>
      <c r="M77" s="4"/>
      <c r="N77" s="4"/>
      <c r="O77" s="4"/>
      <c r="P77" s="4"/>
      <c r="R77" s="166" t="b">
        <v>0</v>
      </c>
      <c r="T77" s="4"/>
      <c r="U77" s="166" t="b">
        <v>0</v>
      </c>
      <c r="V77" s="166" t="b">
        <v>0</v>
      </c>
      <c r="W77" s="166" t="b">
        <v>0</v>
      </c>
      <c r="X77" s="166" t="b">
        <v>0</v>
      </c>
    </row>
    <row r="78">
      <c r="A78" s="4" t="s">
        <v>3400</v>
      </c>
      <c r="B78" s="4" t="s">
        <v>66</v>
      </c>
      <c r="C78" s="6">
        <v>0.6694907407407421</v>
      </c>
      <c r="D78" s="6">
        <v>1.273148148148148E-4</v>
      </c>
      <c r="E78" s="6">
        <v>0.6696180555555569</v>
      </c>
      <c r="F78" s="6"/>
      <c r="G78" s="4"/>
      <c r="H78" s="4" t="s">
        <v>2102</v>
      </c>
      <c r="I78" s="4"/>
      <c r="J78" s="4"/>
      <c r="K78" s="4"/>
      <c r="L78" s="4"/>
      <c r="M78" s="4"/>
      <c r="N78" s="4"/>
      <c r="O78" s="4"/>
      <c r="P78" s="4"/>
      <c r="R78" s="166" t="b">
        <v>0</v>
      </c>
      <c r="T78" s="4"/>
      <c r="U78" s="166" t="b">
        <v>0</v>
      </c>
      <c r="V78" s="166" t="b">
        <v>0</v>
      </c>
      <c r="W78" s="166" t="b">
        <v>0</v>
      </c>
      <c r="X78" s="166" t="b">
        <v>0</v>
      </c>
    </row>
    <row r="79">
      <c r="A79" s="4" t="s">
        <v>3404</v>
      </c>
      <c r="B79" s="4" t="s">
        <v>66</v>
      </c>
      <c r="C79" s="6">
        <v>0.6696180555555569</v>
      </c>
      <c r="D79" s="6">
        <v>3.4722222222222224E-4</v>
      </c>
      <c r="E79" s="6">
        <v>0.6699652777777791</v>
      </c>
      <c r="F79" s="6"/>
      <c r="G79" s="4"/>
      <c r="H79" s="4" t="s">
        <v>81</v>
      </c>
      <c r="I79" s="4"/>
      <c r="J79" s="4"/>
      <c r="K79" s="4"/>
      <c r="L79" s="4"/>
      <c r="M79" s="4"/>
      <c r="N79" s="4"/>
      <c r="O79" s="4"/>
      <c r="P79" s="4"/>
      <c r="R79" s="166" t="b">
        <v>0</v>
      </c>
      <c r="T79" s="4"/>
      <c r="U79" s="166" t="b">
        <v>0</v>
      </c>
      <c r="V79" s="166" t="b">
        <v>0</v>
      </c>
      <c r="W79" s="166" t="b">
        <v>0</v>
      </c>
      <c r="X79" s="166" t="b">
        <v>0</v>
      </c>
    </row>
    <row r="80">
      <c r="A80" s="4" t="s">
        <v>3406</v>
      </c>
      <c r="B80" s="4" t="s">
        <v>66</v>
      </c>
      <c r="C80" s="6">
        <v>0.6699652777777791</v>
      </c>
      <c r="D80" s="6">
        <v>0.01642361111111111</v>
      </c>
      <c r="E80" s="6">
        <v>0.6863888888888903</v>
      </c>
      <c r="F80" s="6" t="s">
        <v>151</v>
      </c>
      <c r="G80" s="4" t="s">
        <v>3161</v>
      </c>
      <c r="H80" s="4" t="s">
        <v>2186</v>
      </c>
      <c r="I80" s="4" t="s">
        <v>3410</v>
      </c>
      <c r="J80" s="4"/>
      <c r="K80" s="4"/>
      <c r="L80" s="4"/>
      <c r="M80" s="4"/>
      <c r="N80" s="4" t="s">
        <v>2187</v>
      </c>
      <c r="O80" s="4"/>
      <c r="P80" s="4"/>
      <c r="R80" s="166" t="b">
        <v>1</v>
      </c>
      <c r="T80" s="4"/>
      <c r="U80" s="166" t="b">
        <v>0</v>
      </c>
      <c r="V80" s="166" t="b">
        <v>1</v>
      </c>
      <c r="W80" s="166" t="b">
        <v>1</v>
      </c>
      <c r="X80" s="166" t="b">
        <v>0</v>
      </c>
      <c r="Z80" s="80" t="s">
        <v>3412</v>
      </c>
    </row>
    <row r="81">
      <c r="A81" s="4" t="s">
        <v>3417</v>
      </c>
      <c r="B81" s="4" t="s">
        <v>66</v>
      </c>
      <c r="C81" s="6">
        <v>0.6863888888888903</v>
      </c>
      <c r="D81" s="6">
        <v>1.7361111111111112E-4</v>
      </c>
      <c r="E81" s="6">
        <v>0.6865625000000014</v>
      </c>
      <c r="F81" s="6"/>
      <c r="G81" s="4"/>
      <c r="H81" s="4" t="s">
        <v>85</v>
      </c>
      <c r="I81" s="4"/>
      <c r="J81" s="4"/>
      <c r="K81" s="4"/>
      <c r="L81" s="4"/>
      <c r="M81" s="4"/>
      <c r="N81" s="4"/>
      <c r="O81" s="4"/>
      <c r="P81" s="4"/>
      <c r="R81" s="166" t="b">
        <v>0</v>
      </c>
      <c r="T81" s="4"/>
      <c r="U81" s="166" t="b">
        <v>0</v>
      </c>
      <c r="V81" s="166" t="b">
        <v>0</v>
      </c>
      <c r="W81" s="166" t="b">
        <v>0</v>
      </c>
      <c r="X81" s="166" t="b">
        <v>0</v>
      </c>
    </row>
    <row r="82">
      <c r="A82" s="4" t="s">
        <v>3420</v>
      </c>
      <c r="B82" s="4" t="s">
        <v>607</v>
      </c>
      <c r="C82" s="6" t="s">
        <v>607</v>
      </c>
      <c r="D82" s="6" t="s">
        <v>607</v>
      </c>
      <c r="E82" s="6" t="s">
        <v>607</v>
      </c>
      <c r="F82" s="6" t="s">
        <v>607</v>
      </c>
      <c r="G82" s="4" t="s">
        <v>607</v>
      </c>
      <c r="H82" s="4" t="s">
        <v>607</v>
      </c>
      <c r="I82" s="4" t="s">
        <v>607</v>
      </c>
      <c r="J82" s="4" t="s">
        <v>607</v>
      </c>
      <c r="K82" s="4" t="s">
        <v>607</v>
      </c>
      <c r="L82" s="4" t="s">
        <v>607</v>
      </c>
      <c r="M82" s="4" t="s">
        <v>607</v>
      </c>
      <c r="N82" s="4" t="s">
        <v>607</v>
      </c>
      <c r="O82" s="4"/>
      <c r="P82" s="4"/>
      <c r="R82" s="166" t="b">
        <v>0</v>
      </c>
      <c r="T82" s="4"/>
      <c r="U82" s="166" t="b">
        <v>0</v>
      </c>
      <c r="V82" s="166" t="b">
        <v>0</v>
      </c>
      <c r="W82" s="166" t="b">
        <v>0</v>
      </c>
      <c r="X82" s="166" t="b">
        <v>0</v>
      </c>
    </row>
    <row r="83">
      <c r="A83" s="4" t="s">
        <v>3424</v>
      </c>
      <c r="B83" s="4" t="s">
        <v>66</v>
      </c>
      <c r="C83" s="6">
        <v>0.6869097222222237</v>
      </c>
      <c r="D83" s="6">
        <v>3.4722222222222224E-4</v>
      </c>
      <c r="E83" s="6">
        <v>0.687256944444446</v>
      </c>
      <c r="F83" s="6"/>
      <c r="G83" s="4"/>
      <c r="H83" s="4" t="s">
        <v>81</v>
      </c>
      <c r="I83" s="4"/>
      <c r="J83" s="4"/>
      <c r="K83" s="4"/>
      <c r="L83" s="4"/>
      <c r="M83" s="4"/>
      <c r="N83" s="4"/>
      <c r="O83" s="4"/>
      <c r="P83" s="4"/>
      <c r="R83" s="166" t="b">
        <v>0</v>
      </c>
      <c r="T83" s="4"/>
      <c r="U83" s="166" t="b">
        <v>0</v>
      </c>
      <c r="V83" s="166" t="b">
        <v>0</v>
      </c>
      <c r="W83" s="166" t="b">
        <v>0</v>
      </c>
      <c r="X83" s="166" t="b">
        <v>0</v>
      </c>
    </row>
    <row r="84">
      <c r="A84" s="4" t="s">
        <v>3430</v>
      </c>
      <c r="B84" s="4" t="s">
        <v>66</v>
      </c>
      <c r="C84" s="6">
        <v>0.687256944444446</v>
      </c>
      <c r="D84" s="6">
        <v>0.012881944444444444</v>
      </c>
      <c r="E84" s="6">
        <v>0.7001388888888904</v>
      </c>
      <c r="F84" s="6" t="s">
        <v>106</v>
      </c>
      <c r="G84" s="4" t="s">
        <v>3112</v>
      </c>
      <c r="H84" s="4" t="s">
        <v>2191</v>
      </c>
      <c r="I84" s="4" t="s">
        <v>2351</v>
      </c>
      <c r="J84" s="4" t="s">
        <v>2095</v>
      </c>
      <c r="K84" s="4"/>
      <c r="L84" s="4"/>
      <c r="M84" s="4"/>
      <c r="N84" s="4" t="s">
        <v>2192</v>
      </c>
      <c r="O84" s="4"/>
      <c r="P84" s="4"/>
      <c r="R84" s="166" t="b">
        <v>1</v>
      </c>
      <c r="T84" s="4"/>
      <c r="U84" s="166" t="b">
        <v>0</v>
      </c>
      <c r="V84" s="166" t="b">
        <v>1</v>
      </c>
      <c r="W84" s="166" t="b">
        <v>1</v>
      </c>
      <c r="X84" s="166" t="b">
        <v>0</v>
      </c>
      <c r="Z84" s="80" t="s">
        <v>3433</v>
      </c>
    </row>
    <row r="85">
      <c r="A85" s="4" t="s">
        <v>3437</v>
      </c>
      <c r="B85" s="4" t="s">
        <v>66</v>
      </c>
      <c r="C85" s="6">
        <v>0.7001388888888904</v>
      </c>
      <c r="D85" s="6">
        <v>1.7361111111111112E-4</v>
      </c>
      <c r="E85" s="6">
        <v>0.7003125000000016</v>
      </c>
      <c r="F85" s="6"/>
      <c r="G85" s="4"/>
      <c r="H85" s="4" t="s">
        <v>85</v>
      </c>
      <c r="I85" s="4"/>
      <c r="J85" s="4"/>
      <c r="K85" s="4"/>
      <c r="L85" s="4"/>
      <c r="M85" s="4"/>
      <c r="N85" s="4"/>
      <c r="O85" s="4"/>
      <c r="P85" s="4"/>
      <c r="R85" s="166" t="b">
        <v>0</v>
      </c>
      <c r="T85" s="4"/>
      <c r="U85" s="166" t="b">
        <v>0</v>
      </c>
      <c r="V85" s="166" t="b">
        <v>0</v>
      </c>
      <c r="W85" s="166" t="b">
        <v>0</v>
      </c>
      <c r="X85" s="166" t="b">
        <v>0</v>
      </c>
    </row>
    <row r="86">
      <c r="A86" s="4" t="s">
        <v>3442</v>
      </c>
      <c r="B86" s="4" t="s">
        <v>66</v>
      </c>
      <c r="C86" s="6">
        <v>0.7003125000000016</v>
      </c>
      <c r="D86" s="6">
        <v>2.0833333333333335E-4</v>
      </c>
      <c r="E86" s="6">
        <v>0.7005208333333349</v>
      </c>
      <c r="F86" s="6"/>
      <c r="G86" s="4"/>
      <c r="H86" s="4" t="s">
        <v>2102</v>
      </c>
      <c r="I86" s="4"/>
      <c r="J86" s="4"/>
      <c r="K86" s="4"/>
      <c r="L86" s="4"/>
      <c r="M86" s="4"/>
      <c r="N86" s="4"/>
      <c r="O86" s="4"/>
      <c r="P86" s="4"/>
      <c r="R86" s="166" t="b">
        <v>0</v>
      </c>
      <c r="T86" s="4"/>
      <c r="U86" s="166" t="b">
        <v>0</v>
      </c>
      <c r="V86" s="166" t="b">
        <v>0</v>
      </c>
      <c r="W86" s="166" t="b">
        <v>0</v>
      </c>
      <c r="X86" s="166" t="b">
        <v>0</v>
      </c>
    </row>
    <row r="87">
      <c r="A87" s="4" t="s">
        <v>3446</v>
      </c>
      <c r="B87" s="4" t="s">
        <v>66</v>
      </c>
      <c r="C87" s="6">
        <v>0.7005208333333349</v>
      </c>
      <c r="D87" s="6">
        <v>3.4722222222222224E-4</v>
      </c>
      <c r="E87" s="6">
        <v>0.7008680555555572</v>
      </c>
      <c r="F87" s="6"/>
      <c r="G87" s="4"/>
      <c r="H87" s="4" t="s">
        <v>89</v>
      </c>
      <c r="I87" s="4"/>
      <c r="J87" s="4"/>
      <c r="K87" s="4"/>
      <c r="L87" s="4"/>
      <c r="M87" s="4"/>
      <c r="N87" s="4"/>
      <c r="O87" s="4"/>
      <c r="P87" s="4"/>
      <c r="R87" s="166" t="b">
        <v>0</v>
      </c>
      <c r="T87" s="4"/>
      <c r="U87" s="166" t="b">
        <v>0</v>
      </c>
      <c r="V87" s="166" t="b">
        <v>0</v>
      </c>
      <c r="W87" s="166" t="b">
        <v>0</v>
      </c>
      <c r="X87" s="166" t="b">
        <v>0</v>
      </c>
    </row>
    <row r="88">
      <c r="A88" s="4" t="s">
        <v>3448</v>
      </c>
      <c r="B88" s="4" t="s">
        <v>66</v>
      </c>
      <c r="C88" s="6">
        <v>0.7008680555555572</v>
      </c>
      <c r="D88" s="6">
        <v>3.4722222222222224E-4</v>
      </c>
      <c r="E88" s="6">
        <v>0.7012152777777795</v>
      </c>
      <c r="F88" s="6"/>
      <c r="G88" s="4"/>
      <c r="H88" s="4" t="s">
        <v>81</v>
      </c>
      <c r="I88" s="4"/>
      <c r="J88" s="4"/>
      <c r="K88" s="4"/>
      <c r="L88" s="4"/>
      <c r="M88" s="4"/>
      <c r="N88" s="4"/>
      <c r="O88" s="4"/>
      <c r="P88" s="4"/>
      <c r="R88" s="166" t="b">
        <v>0</v>
      </c>
      <c r="T88" s="4"/>
      <c r="U88" s="166" t="b">
        <v>0</v>
      </c>
      <c r="V88" s="166" t="b">
        <v>0</v>
      </c>
      <c r="W88" s="166" t="b">
        <v>0</v>
      </c>
      <c r="X88" s="166" t="b">
        <v>0</v>
      </c>
    </row>
    <row r="89">
      <c r="A89" s="4" t="s">
        <v>3453</v>
      </c>
      <c r="B89" s="4" t="s">
        <v>66</v>
      </c>
      <c r="C89" s="6">
        <v>0.7012152777777795</v>
      </c>
      <c r="D89" s="6">
        <v>0.006944444444444444</v>
      </c>
      <c r="E89" s="6">
        <v>0.7081597222222239</v>
      </c>
      <c r="F89" s="6" t="s">
        <v>299</v>
      </c>
      <c r="G89" s="4"/>
      <c r="H89" s="4" t="s">
        <v>2196</v>
      </c>
      <c r="I89" s="4" t="s">
        <v>3454</v>
      </c>
      <c r="J89" s="4" t="s">
        <v>1323</v>
      </c>
      <c r="K89" s="4" t="s">
        <v>2197</v>
      </c>
      <c r="L89" s="4" t="s">
        <v>2198</v>
      </c>
      <c r="M89" s="4" t="s">
        <v>2199</v>
      </c>
      <c r="N89" s="4" t="s">
        <v>2200</v>
      </c>
      <c r="O89" s="4"/>
      <c r="P89" s="45" t="s">
        <v>28</v>
      </c>
      <c r="R89" s="166" t="b">
        <v>1</v>
      </c>
      <c r="T89" s="4"/>
      <c r="U89" s="166" t="b">
        <v>0</v>
      </c>
      <c r="V89" s="166" t="b">
        <v>1</v>
      </c>
      <c r="W89" s="166" t="b">
        <v>1</v>
      </c>
      <c r="X89" s="166" t="b">
        <v>0</v>
      </c>
      <c r="Z89" s="111" t="s">
        <v>3458</v>
      </c>
    </row>
    <row r="90">
      <c r="A90" s="4" t="s">
        <v>3462</v>
      </c>
      <c r="B90" s="4" t="s">
        <v>66</v>
      </c>
      <c r="C90" s="6">
        <v>0.7081597222222239</v>
      </c>
      <c r="D90" s="6">
        <v>1.7361111111111112E-4</v>
      </c>
      <c r="E90" s="6">
        <v>0.708333333333335</v>
      </c>
      <c r="F90" s="6"/>
      <c r="G90" s="4"/>
      <c r="H90" s="4" t="s">
        <v>85</v>
      </c>
      <c r="I90" s="4"/>
      <c r="J90" s="4"/>
      <c r="K90" s="4"/>
      <c r="L90" s="4"/>
      <c r="M90" s="4"/>
      <c r="N90" s="4"/>
      <c r="O90" s="4"/>
      <c r="P90" s="4"/>
      <c r="R90" s="166" t="b">
        <v>0</v>
      </c>
      <c r="T90" s="4"/>
      <c r="U90" s="166" t="b">
        <v>0</v>
      </c>
      <c r="V90" s="166" t="b">
        <v>0</v>
      </c>
      <c r="W90" s="166" t="b">
        <v>0</v>
      </c>
      <c r="X90" s="166" t="b">
        <v>0</v>
      </c>
    </row>
    <row r="91">
      <c r="A91" s="4" t="s">
        <v>3467</v>
      </c>
      <c r="B91" s="4" t="s">
        <v>220</v>
      </c>
      <c r="C91" s="6"/>
      <c r="D91" s="6"/>
      <c r="E91" s="6"/>
      <c r="F91" s="6"/>
      <c r="G91" s="4"/>
      <c r="H91" s="4"/>
      <c r="I91" s="4"/>
      <c r="J91" s="4"/>
      <c r="K91" s="4"/>
      <c r="L91" s="4"/>
      <c r="M91" s="4"/>
      <c r="N91" s="4"/>
      <c r="O91" s="4"/>
      <c r="P91" s="4"/>
      <c r="R91" s="166" t="b">
        <v>0</v>
      </c>
      <c r="T91" s="4"/>
      <c r="U91" s="166" t="b">
        <v>0</v>
      </c>
      <c r="V91" s="166" t="b">
        <v>0</v>
      </c>
      <c r="W91" s="166" t="b">
        <v>0</v>
      </c>
      <c r="X91" s="166" t="b">
        <v>0</v>
      </c>
    </row>
    <row r="92">
      <c r="A92" s="4" t="s">
        <v>3469</v>
      </c>
      <c r="B92" s="4" t="s">
        <v>221</v>
      </c>
      <c r="C92" s="6">
        <v>0.4166666666666667</v>
      </c>
      <c r="D92" s="6">
        <v>6.944444444444445E-4</v>
      </c>
      <c r="E92" s="6">
        <v>0.4173611111111111</v>
      </c>
      <c r="F92" s="6"/>
      <c r="G92" s="4"/>
      <c r="H92" s="4" t="s">
        <v>2079</v>
      </c>
      <c r="I92" s="4"/>
      <c r="J92" s="4"/>
      <c r="K92" s="4"/>
      <c r="L92" s="4"/>
      <c r="M92" s="4"/>
      <c r="N92" s="4"/>
      <c r="O92" s="4"/>
      <c r="P92" s="4"/>
      <c r="R92" s="166" t="b">
        <v>1</v>
      </c>
      <c r="T92" s="4"/>
      <c r="U92" s="166" t="b">
        <v>0</v>
      </c>
      <c r="V92" s="166" t="b">
        <v>0</v>
      </c>
      <c r="W92" s="166" t="b">
        <v>0</v>
      </c>
      <c r="X92" s="166" t="b">
        <v>0</v>
      </c>
    </row>
    <row r="93">
      <c r="A93" s="4" t="s">
        <v>3474</v>
      </c>
      <c r="B93" s="4" t="s">
        <v>221</v>
      </c>
      <c r="C93" s="6">
        <v>0.4173611111111111</v>
      </c>
      <c r="D93" s="6">
        <v>3.4722222222222224E-4</v>
      </c>
      <c r="E93" s="6">
        <v>0.41770833333333335</v>
      </c>
      <c r="F93" s="6"/>
      <c r="G93" s="4"/>
      <c r="H93" s="4" t="s">
        <v>81</v>
      </c>
      <c r="I93" s="4"/>
      <c r="J93" s="4"/>
      <c r="K93" s="4"/>
      <c r="L93" s="4"/>
      <c r="M93" s="4"/>
      <c r="N93" s="4"/>
      <c r="O93" s="4"/>
      <c r="P93" s="4"/>
      <c r="R93" s="166" t="b">
        <v>0</v>
      </c>
      <c r="T93" s="4"/>
      <c r="U93" s="166" t="b">
        <v>0</v>
      </c>
      <c r="V93" s="166" t="b">
        <v>0</v>
      </c>
      <c r="W93" s="166" t="b">
        <v>0</v>
      </c>
      <c r="X93" s="166" t="b">
        <v>0</v>
      </c>
    </row>
    <row r="94">
      <c r="A94" s="4" t="s">
        <v>3478</v>
      </c>
      <c r="B94" s="4" t="s">
        <v>221</v>
      </c>
      <c r="C94" s="6">
        <v>0.41770833333333335</v>
      </c>
      <c r="D94" s="6">
        <v>0.01769675925925926</v>
      </c>
      <c r="E94" s="6">
        <v>0.43540509259259264</v>
      </c>
      <c r="F94" s="6" t="s">
        <v>1017</v>
      </c>
      <c r="G94" s="4" t="s">
        <v>3143</v>
      </c>
      <c r="H94" s="4" t="s">
        <v>2204</v>
      </c>
      <c r="I94" s="4" t="s">
        <v>3481</v>
      </c>
      <c r="J94" s="4"/>
      <c r="K94" s="4"/>
      <c r="L94" s="4"/>
      <c r="M94" s="4"/>
      <c r="N94" s="4" t="s">
        <v>2206</v>
      </c>
      <c r="O94" s="4"/>
      <c r="P94" s="4"/>
      <c r="R94" s="166" t="b">
        <v>1</v>
      </c>
      <c r="T94" s="4"/>
      <c r="U94" s="166" t="b">
        <v>0</v>
      </c>
      <c r="V94" s="166" t="b">
        <v>1</v>
      </c>
      <c r="W94" s="166" t="b">
        <v>1</v>
      </c>
      <c r="X94" s="166" t="b">
        <v>0</v>
      </c>
      <c r="Z94" s="80" t="s">
        <v>3483</v>
      </c>
    </row>
    <row r="95">
      <c r="A95" s="4" t="s">
        <v>3485</v>
      </c>
      <c r="B95" s="4" t="s">
        <v>221</v>
      </c>
      <c r="C95" s="6">
        <v>0.43540509259259264</v>
      </c>
      <c r="D95" s="6">
        <v>1.7361111111111112E-4</v>
      </c>
      <c r="E95" s="6">
        <v>0.4355787037037038</v>
      </c>
      <c r="F95" s="6"/>
      <c r="G95" s="4"/>
      <c r="H95" s="4" t="s">
        <v>85</v>
      </c>
      <c r="I95" s="4"/>
      <c r="J95" s="4"/>
      <c r="K95" s="4"/>
      <c r="L95" s="4"/>
      <c r="M95" s="4"/>
      <c r="N95" s="4"/>
      <c r="O95" s="4"/>
      <c r="P95" s="4"/>
      <c r="R95" s="166" t="b">
        <v>0</v>
      </c>
      <c r="T95" s="4"/>
      <c r="U95" s="166" t="b">
        <v>0</v>
      </c>
      <c r="V95" s="166" t="b">
        <v>0</v>
      </c>
      <c r="W95" s="166" t="b">
        <v>0</v>
      </c>
      <c r="X95" s="166" t="b">
        <v>0</v>
      </c>
    </row>
    <row r="96">
      <c r="A96" s="4" t="s">
        <v>3487</v>
      </c>
      <c r="B96" s="4" t="s">
        <v>221</v>
      </c>
      <c r="C96" s="6">
        <v>0.4355787037037038</v>
      </c>
      <c r="D96" s="6">
        <v>3.4722222222222224E-4</v>
      </c>
      <c r="E96" s="6">
        <v>0.435925925925926</v>
      </c>
      <c r="F96" s="6"/>
      <c r="G96" s="4"/>
      <c r="H96" s="4" t="s">
        <v>2207</v>
      </c>
      <c r="I96" s="4"/>
      <c r="J96" s="4"/>
      <c r="K96" s="4"/>
      <c r="L96" s="4"/>
      <c r="M96" s="4"/>
      <c r="N96" s="4"/>
      <c r="O96" s="4"/>
      <c r="P96" s="4"/>
      <c r="R96" s="166" t="b">
        <v>0</v>
      </c>
      <c r="T96" s="4"/>
      <c r="U96" s="166" t="b">
        <v>0</v>
      </c>
      <c r="V96" s="166" t="b">
        <v>0</v>
      </c>
      <c r="W96" s="166" t="b">
        <v>0</v>
      </c>
      <c r="X96" s="166" t="b">
        <v>0</v>
      </c>
    </row>
    <row r="97">
      <c r="A97" s="4" t="s">
        <v>3488</v>
      </c>
      <c r="B97" s="4" t="s">
        <v>607</v>
      </c>
      <c r="C97" s="6" t="s">
        <v>607</v>
      </c>
      <c r="D97" s="6" t="s">
        <v>607</v>
      </c>
      <c r="E97" s="6" t="s">
        <v>607</v>
      </c>
      <c r="F97" s="6" t="s">
        <v>607</v>
      </c>
      <c r="G97" s="4" t="s">
        <v>607</v>
      </c>
      <c r="H97" s="4" t="s">
        <v>607</v>
      </c>
      <c r="I97" s="4" t="s">
        <v>607</v>
      </c>
      <c r="J97" s="4" t="s">
        <v>607</v>
      </c>
      <c r="K97" s="4" t="s">
        <v>607</v>
      </c>
      <c r="L97" s="4" t="s">
        <v>607</v>
      </c>
      <c r="M97" s="4" t="s">
        <v>607</v>
      </c>
      <c r="N97" s="4" t="s">
        <v>607</v>
      </c>
      <c r="O97" s="4"/>
      <c r="P97" s="4"/>
      <c r="R97" s="166" t="b">
        <v>0</v>
      </c>
      <c r="T97" s="4"/>
      <c r="U97" s="166" t="b">
        <v>0</v>
      </c>
      <c r="V97" s="166" t="b">
        <v>0</v>
      </c>
      <c r="W97" s="166" t="b">
        <v>0</v>
      </c>
      <c r="X97" s="166" t="b">
        <v>0</v>
      </c>
    </row>
    <row r="98">
      <c r="A98" s="4" t="s">
        <v>3491</v>
      </c>
      <c r="B98" s="4" t="s">
        <v>221</v>
      </c>
      <c r="C98" s="6">
        <v>0.435925925925926</v>
      </c>
      <c r="D98" s="6">
        <v>3.4722222222222224E-4</v>
      </c>
      <c r="E98" s="6">
        <v>0.4362731481481482</v>
      </c>
      <c r="F98" s="6"/>
      <c r="G98" s="4"/>
      <c r="H98" s="4" t="s">
        <v>81</v>
      </c>
      <c r="I98" s="4"/>
      <c r="J98" s="4"/>
      <c r="K98" s="4"/>
      <c r="L98" s="4"/>
      <c r="M98" s="4"/>
      <c r="N98" s="4"/>
      <c r="O98" s="4"/>
      <c r="P98" s="4"/>
      <c r="R98" s="166" t="b">
        <v>0</v>
      </c>
      <c r="T98" s="4"/>
      <c r="U98" s="166" t="b">
        <v>0</v>
      </c>
      <c r="V98" s="166" t="b">
        <v>0</v>
      </c>
      <c r="W98" s="166" t="b">
        <v>0</v>
      </c>
      <c r="X98" s="166" t="b">
        <v>0</v>
      </c>
    </row>
    <row r="99">
      <c r="A99" s="4" t="s">
        <v>3492</v>
      </c>
      <c r="B99" s="4" t="s">
        <v>221</v>
      </c>
      <c r="C99" s="6">
        <v>0.4362731481481482</v>
      </c>
      <c r="D99" s="6">
        <v>0.014965277777777777</v>
      </c>
      <c r="E99" s="6">
        <v>0.451238425925926</v>
      </c>
      <c r="F99" s="6" t="s">
        <v>358</v>
      </c>
      <c r="G99" s="4" t="s">
        <v>3494</v>
      </c>
      <c r="H99" s="4" t="s">
        <v>2210</v>
      </c>
      <c r="I99" s="4" t="s">
        <v>3495</v>
      </c>
      <c r="J99" s="4"/>
      <c r="K99" s="4"/>
      <c r="L99" s="4"/>
      <c r="M99" s="4"/>
      <c r="N99" s="4" t="s">
        <v>2211</v>
      </c>
      <c r="O99" s="4"/>
      <c r="P99" s="4"/>
      <c r="R99" s="166" t="b">
        <v>1</v>
      </c>
      <c r="T99" s="4"/>
      <c r="U99" s="166" t="b">
        <v>0</v>
      </c>
      <c r="V99" s="166" t="b">
        <v>1</v>
      </c>
      <c r="W99" s="166" t="b">
        <v>1</v>
      </c>
      <c r="X99" s="166" t="b">
        <v>0</v>
      </c>
      <c r="Z99" s="80" t="s">
        <v>3497</v>
      </c>
    </row>
    <row r="100">
      <c r="A100" s="4" t="s">
        <v>3499</v>
      </c>
      <c r="B100" s="4" t="s">
        <v>221</v>
      </c>
      <c r="C100" s="6">
        <v>0.451238425925926</v>
      </c>
      <c r="D100" s="6">
        <v>1.7361111111111112E-4</v>
      </c>
      <c r="E100" s="6">
        <v>0.45141203703703714</v>
      </c>
      <c r="F100" s="6"/>
      <c r="G100" s="4"/>
      <c r="H100" s="4" t="s">
        <v>85</v>
      </c>
      <c r="I100" s="4"/>
      <c r="J100" s="4"/>
      <c r="K100" s="4"/>
      <c r="L100" s="4"/>
      <c r="M100" s="4"/>
      <c r="N100" s="4"/>
      <c r="O100" s="4"/>
      <c r="P100" s="4"/>
      <c r="R100" s="166" t="b">
        <v>0</v>
      </c>
      <c r="T100" s="4"/>
      <c r="U100" s="166" t="b">
        <v>0</v>
      </c>
      <c r="V100" s="166" t="b">
        <v>0</v>
      </c>
      <c r="W100" s="166" t="b">
        <v>0</v>
      </c>
      <c r="X100" s="166" t="b">
        <v>0</v>
      </c>
    </row>
    <row r="101">
      <c r="A101" s="4" t="s">
        <v>3501</v>
      </c>
      <c r="B101" s="4" t="s">
        <v>221</v>
      </c>
      <c r="C101" s="6">
        <v>0.45141203703703714</v>
      </c>
      <c r="D101" s="6">
        <v>3.4722222222222224E-4</v>
      </c>
      <c r="E101" s="6">
        <v>0.45175925925925936</v>
      </c>
      <c r="F101" s="6"/>
      <c r="G101" s="4"/>
      <c r="H101" s="4" t="s">
        <v>81</v>
      </c>
      <c r="I101" s="4"/>
      <c r="J101" s="4"/>
      <c r="K101" s="4"/>
      <c r="L101" s="4"/>
      <c r="M101" s="4"/>
      <c r="N101" s="4"/>
      <c r="O101" s="4"/>
      <c r="P101" s="4"/>
      <c r="R101" s="166" t="b">
        <v>0</v>
      </c>
      <c r="T101" s="4"/>
      <c r="U101" s="166" t="b">
        <v>0</v>
      </c>
      <c r="V101" s="166" t="b">
        <v>0</v>
      </c>
      <c r="W101" s="166" t="b">
        <v>0</v>
      </c>
      <c r="X101" s="166" t="b">
        <v>0</v>
      </c>
    </row>
    <row r="102">
      <c r="A102" s="4" t="s">
        <v>3503</v>
      </c>
      <c r="B102" s="4" t="s">
        <v>221</v>
      </c>
      <c r="C102" s="6">
        <v>0.45175925925925936</v>
      </c>
      <c r="D102" s="6">
        <v>0.006944444444444444</v>
      </c>
      <c r="E102" s="6">
        <v>0.4587037037037038</v>
      </c>
      <c r="F102" s="6" t="s">
        <v>394</v>
      </c>
      <c r="G102" s="4"/>
      <c r="H102" s="4" t="s">
        <v>2213</v>
      </c>
      <c r="I102" s="4" t="s">
        <v>3504</v>
      </c>
      <c r="J102" s="4" t="s">
        <v>2214</v>
      </c>
      <c r="K102" s="4" t="s">
        <v>2215</v>
      </c>
      <c r="L102" s="4" t="s">
        <v>2216</v>
      </c>
      <c r="M102" s="4" t="s">
        <v>2217</v>
      </c>
      <c r="N102" s="4" t="s">
        <v>2218</v>
      </c>
      <c r="O102" s="4"/>
      <c r="P102" s="45" t="s">
        <v>28</v>
      </c>
      <c r="R102" s="166" t="b">
        <v>1</v>
      </c>
      <c r="T102" s="4"/>
      <c r="U102" s="166" t="b">
        <v>0</v>
      </c>
      <c r="V102" s="166" t="b">
        <v>1</v>
      </c>
      <c r="W102" s="166" t="b">
        <v>1</v>
      </c>
      <c r="X102" s="166" t="b">
        <v>0</v>
      </c>
      <c r="Z102" s="80" t="s">
        <v>3507</v>
      </c>
    </row>
    <row r="103">
      <c r="A103" s="4" t="s">
        <v>3509</v>
      </c>
      <c r="B103" s="4" t="s">
        <v>221</v>
      </c>
      <c r="C103" s="6">
        <v>0.4587037037037038</v>
      </c>
      <c r="D103" s="6">
        <v>1.7361111111111112E-4</v>
      </c>
      <c r="E103" s="6">
        <v>0.4588773148148149</v>
      </c>
      <c r="F103" s="6"/>
      <c r="G103" s="4"/>
      <c r="H103" s="4" t="s">
        <v>85</v>
      </c>
      <c r="I103" s="4"/>
      <c r="J103" s="4"/>
      <c r="K103" s="4"/>
      <c r="L103" s="4"/>
      <c r="M103" s="4"/>
      <c r="N103" s="4"/>
      <c r="O103" s="4"/>
      <c r="P103" s="4"/>
      <c r="R103" s="166" t="b">
        <v>0</v>
      </c>
      <c r="T103" s="4"/>
      <c r="U103" s="166" t="b">
        <v>0</v>
      </c>
      <c r="V103" s="166" t="b">
        <v>0</v>
      </c>
      <c r="W103" s="166" t="b">
        <v>0</v>
      </c>
      <c r="X103" s="166" t="b">
        <v>0</v>
      </c>
    </row>
    <row r="104">
      <c r="A104" s="4" t="s">
        <v>3512</v>
      </c>
      <c r="B104" s="4" t="s">
        <v>607</v>
      </c>
      <c r="C104" s="6" t="s">
        <v>607</v>
      </c>
      <c r="D104" s="6" t="s">
        <v>607</v>
      </c>
      <c r="E104" s="6" t="s">
        <v>607</v>
      </c>
      <c r="F104" s="6" t="s">
        <v>607</v>
      </c>
      <c r="G104" s="4" t="s">
        <v>607</v>
      </c>
      <c r="H104" s="4" t="s">
        <v>607</v>
      </c>
      <c r="I104" s="4" t="s">
        <v>607</v>
      </c>
      <c r="J104" s="4" t="s">
        <v>607</v>
      </c>
      <c r="K104" s="4" t="s">
        <v>607</v>
      </c>
      <c r="L104" s="4" t="s">
        <v>607</v>
      </c>
      <c r="M104" s="4" t="s">
        <v>607</v>
      </c>
      <c r="N104" s="4" t="s">
        <v>607</v>
      </c>
      <c r="O104" s="4"/>
      <c r="P104" s="4"/>
      <c r="R104" s="166" t="b">
        <v>0</v>
      </c>
      <c r="T104" s="4"/>
      <c r="U104" s="166" t="b">
        <v>0</v>
      </c>
      <c r="V104" s="166" t="b">
        <v>0</v>
      </c>
      <c r="W104" s="166" t="b">
        <v>0</v>
      </c>
      <c r="X104" s="166" t="b">
        <v>0</v>
      </c>
    </row>
    <row r="105">
      <c r="A105" s="4" t="s">
        <v>3515</v>
      </c>
      <c r="B105" s="4" t="s">
        <v>221</v>
      </c>
      <c r="C105" s="6">
        <v>0.45922453703703714</v>
      </c>
      <c r="D105" s="6">
        <v>3.4722222222222224E-4</v>
      </c>
      <c r="E105" s="6">
        <v>0.45957175925925936</v>
      </c>
      <c r="F105" s="6"/>
      <c r="G105" s="4"/>
      <c r="H105" s="4" t="s">
        <v>81</v>
      </c>
      <c r="I105" s="4"/>
      <c r="J105" s="4"/>
      <c r="K105" s="4"/>
      <c r="L105" s="4"/>
      <c r="M105" s="4"/>
      <c r="N105" s="4"/>
      <c r="O105" s="4"/>
      <c r="P105" s="4"/>
      <c r="R105" s="166" t="b">
        <v>0</v>
      </c>
      <c r="T105" s="4"/>
      <c r="U105" s="166" t="b">
        <v>0</v>
      </c>
      <c r="V105" s="166" t="b">
        <v>0</v>
      </c>
      <c r="W105" s="166" t="b">
        <v>0</v>
      </c>
      <c r="X105" s="166" t="b">
        <v>0</v>
      </c>
    </row>
    <row r="106">
      <c r="A106" s="4" t="s">
        <v>3516</v>
      </c>
      <c r="B106" s="4" t="s">
        <v>221</v>
      </c>
      <c r="C106" s="6">
        <v>0.45957175925925936</v>
      </c>
      <c r="D106" s="6">
        <v>0.018935185185185187</v>
      </c>
      <c r="E106" s="6">
        <v>0.4785069444444445</v>
      </c>
      <c r="F106" s="6" t="s">
        <v>106</v>
      </c>
      <c r="G106" s="4" t="s">
        <v>3519</v>
      </c>
      <c r="H106" s="4" t="s">
        <v>2222</v>
      </c>
      <c r="I106" s="4" t="s">
        <v>3520</v>
      </c>
      <c r="J106" s="4"/>
      <c r="K106" s="4"/>
      <c r="L106" s="4"/>
      <c r="M106" s="4"/>
      <c r="N106" s="4" t="s">
        <v>2224</v>
      </c>
      <c r="O106" s="4"/>
      <c r="P106" s="4"/>
      <c r="R106" s="166" t="b">
        <v>1</v>
      </c>
      <c r="T106" s="4"/>
      <c r="U106" s="166" t="b">
        <v>0</v>
      </c>
      <c r="V106" s="166" t="b">
        <v>1</v>
      </c>
      <c r="W106" s="166" t="b">
        <v>1</v>
      </c>
      <c r="X106" s="166" t="b">
        <v>0</v>
      </c>
      <c r="Z106" s="111" t="s">
        <v>3521</v>
      </c>
    </row>
    <row r="107">
      <c r="A107" s="4" t="s">
        <v>3523</v>
      </c>
      <c r="B107" s="4" t="s">
        <v>221</v>
      </c>
      <c r="C107" s="6">
        <v>0.4785069444444445</v>
      </c>
      <c r="D107" s="6">
        <v>1.7361111111111112E-4</v>
      </c>
      <c r="E107" s="6">
        <v>0.47868055555555566</v>
      </c>
      <c r="F107" s="6"/>
      <c r="G107" s="4"/>
      <c r="H107" s="4" t="s">
        <v>85</v>
      </c>
      <c r="I107" s="4"/>
      <c r="J107" s="4"/>
      <c r="K107" s="4"/>
      <c r="L107" s="4"/>
      <c r="M107" s="4"/>
      <c r="N107" s="4"/>
      <c r="O107" s="4"/>
      <c r="P107" s="4"/>
      <c r="R107" s="166" t="b">
        <v>0</v>
      </c>
      <c r="T107" s="4"/>
      <c r="U107" s="166" t="b">
        <v>0</v>
      </c>
      <c r="V107" s="166" t="b">
        <v>0</v>
      </c>
      <c r="W107" s="166" t="b">
        <v>0</v>
      </c>
      <c r="X107" s="166" t="b">
        <v>0</v>
      </c>
    </row>
    <row r="108">
      <c r="A108" s="4" t="s">
        <v>3525</v>
      </c>
      <c r="B108" s="4" t="s">
        <v>607</v>
      </c>
      <c r="C108" s="6" t="s">
        <v>607</v>
      </c>
      <c r="D108" s="6" t="s">
        <v>607</v>
      </c>
      <c r="E108" s="6" t="s">
        <v>607</v>
      </c>
      <c r="F108" s="6" t="s">
        <v>607</v>
      </c>
      <c r="G108" s="4" t="s">
        <v>607</v>
      </c>
      <c r="H108" s="4" t="s">
        <v>607</v>
      </c>
      <c r="I108" s="4" t="s">
        <v>607</v>
      </c>
      <c r="J108" s="4" t="s">
        <v>607</v>
      </c>
      <c r="K108" s="4" t="s">
        <v>607</v>
      </c>
      <c r="L108" s="4" t="s">
        <v>607</v>
      </c>
      <c r="M108" s="4" t="s">
        <v>607</v>
      </c>
      <c r="N108" s="4" t="s">
        <v>607</v>
      </c>
      <c r="O108" s="4"/>
      <c r="P108" s="4"/>
      <c r="R108" s="166" t="b">
        <v>0</v>
      </c>
      <c r="T108" s="4"/>
      <c r="U108" s="166" t="b">
        <v>0</v>
      </c>
      <c r="V108" s="166" t="b">
        <v>0</v>
      </c>
      <c r="W108" s="166" t="b">
        <v>0</v>
      </c>
      <c r="X108" s="166" t="b">
        <v>0</v>
      </c>
    </row>
    <row r="109">
      <c r="A109" s="4" t="s">
        <v>3529</v>
      </c>
      <c r="B109" s="4" t="s">
        <v>221</v>
      </c>
      <c r="C109" s="6">
        <v>0.47868055555555566</v>
      </c>
      <c r="D109" s="6">
        <v>3.4722222222222224E-4</v>
      </c>
      <c r="E109" s="6">
        <v>0.4790277777777779</v>
      </c>
      <c r="F109" s="6"/>
      <c r="G109" s="4"/>
      <c r="H109" s="4" t="s">
        <v>81</v>
      </c>
      <c r="I109" s="4"/>
      <c r="J109" s="4"/>
      <c r="K109" s="4"/>
      <c r="L109" s="4"/>
      <c r="M109" s="4"/>
      <c r="N109" s="4"/>
      <c r="O109" s="4"/>
      <c r="P109" s="4"/>
      <c r="R109" s="166" t="b">
        <v>0</v>
      </c>
      <c r="T109" s="4"/>
      <c r="U109" s="166" t="b">
        <v>0</v>
      </c>
      <c r="V109" s="166" t="b">
        <v>0</v>
      </c>
      <c r="W109" s="166" t="b">
        <v>0</v>
      </c>
      <c r="X109" s="166" t="b">
        <v>0</v>
      </c>
    </row>
    <row r="110">
      <c r="A110" s="4" t="s">
        <v>3531</v>
      </c>
      <c r="B110" s="4" t="s">
        <v>221</v>
      </c>
      <c r="C110" s="6">
        <v>0.4790277777777779</v>
      </c>
      <c r="D110" s="6">
        <v>0.019965277777777776</v>
      </c>
      <c r="E110" s="6">
        <v>0.4989930555555557</v>
      </c>
      <c r="F110" s="6" t="s">
        <v>394</v>
      </c>
      <c r="G110" s="4" t="s">
        <v>3090</v>
      </c>
      <c r="H110" s="4" t="s">
        <v>2227</v>
      </c>
      <c r="I110" s="4" t="s">
        <v>2216</v>
      </c>
      <c r="J110" s="4"/>
      <c r="K110" s="4"/>
      <c r="L110" s="4"/>
      <c r="M110" s="4"/>
      <c r="N110" s="4" t="s">
        <v>2228</v>
      </c>
      <c r="O110" s="4"/>
      <c r="P110" s="4"/>
      <c r="R110" s="166" t="b">
        <v>1</v>
      </c>
      <c r="T110" s="4"/>
      <c r="U110" s="166" t="b">
        <v>0</v>
      </c>
      <c r="V110" s="166" t="b">
        <v>1</v>
      </c>
      <c r="W110" s="166" t="b">
        <v>1</v>
      </c>
      <c r="X110" s="166" t="b">
        <v>0</v>
      </c>
      <c r="Z110" s="80" t="s">
        <v>3533</v>
      </c>
    </row>
    <row r="111">
      <c r="A111" s="4" t="s">
        <v>3537</v>
      </c>
      <c r="B111" s="4" t="s">
        <v>221</v>
      </c>
      <c r="C111" s="6">
        <v>0.4989930555555557</v>
      </c>
      <c r="D111" s="6">
        <v>1.7361111111111112E-4</v>
      </c>
      <c r="E111" s="6">
        <v>0.4991666666666668</v>
      </c>
      <c r="F111" s="6"/>
      <c r="G111" s="4"/>
      <c r="H111" s="4" t="s">
        <v>85</v>
      </c>
      <c r="I111" s="4"/>
      <c r="J111" s="4"/>
      <c r="K111" s="4"/>
      <c r="L111" s="4"/>
      <c r="M111" s="4"/>
      <c r="N111" s="4"/>
      <c r="O111" s="4"/>
      <c r="P111" s="4"/>
      <c r="R111" s="166" t="b">
        <v>0</v>
      </c>
      <c r="T111" s="4"/>
      <c r="U111" s="166" t="b">
        <v>0</v>
      </c>
      <c r="V111" s="166" t="b">
        <v>0</v>
      </c>
      <c r="W111" s="166" t="b">
        <v>0</v>
      </c>
      <c r="X111" s="166" t="b">
        <v>0</v>
      </c>
    </row>
    <row r="112">
      <c r="A112" s="4" t="s">
        <v>3541</v>
      </c>
      <c r="B112" s="4" t="s">
        <v>221</v>
      </c>
      <c r="C112" s="6">
        <v>0.4991666666666668</v>
      </c>
      <c r="D112" s="6">
        <v>3.4722222222222224E-4</v>
      </c>
      <c r="E112" s="6">
        <v>0.49951388888888903</v>
      </c>
      <c r="F112" s="6"/>
      <c r="G112" s="4"/>
      <c r="H112" s="4" t="s">
        <v>2207</v>
      </c>
      <c r="I112" s="4"/>
      <c r="J112" s="4"/>
      <c r="K112" s="4"/>
      <c r="L112" s="4"/>
      <c r="M112" s="4"/>
      <c r="N112" s="4"/>
      <c r="O112" s="4"/>
      <c r="P112" s="4"/>
      <c r="R112" s="166" t="b">
        <v>0</v>
      </c>
      <c r="T112" s="4"/>
      <c r="U112" s="166" t="b">
        <v>0</v>
      </c>
      <c r="V112" s="166" t="b">
        <v>0</v>
      </c>
      <c r="W112" s="166" t="b">
        <v>0</v>
      </c>
      <c r="X112" s="166" t="b">
        <v>0</v>
      </c>
    </row>
    <row r="113">
      <c r="A113" s="4" t="s">
        <v>3543</v>
      </c>
      <c r="B113" s="4" t="s">
        <v>221</v>
      </c>
      <c r="C113" s="6">
        <v>0.49951388888888903</v>
      </c>
      <c r="D113" s="6">
        <v>3.4722222222222224E-4</v>
      </c>
      <c r="E113" s="6">
        <v>0.49986111111111126</v>
      </c>
      <c r="F113" s="6"/>
      <c r="G113" s="4"/>
      <c r="H113" s="4" t="s">
        <v>81</v>
      </c>
      <c r="I113" s="4"/>
      <c r="J113" s="4"/>
      <c r="K113" s="4"/>
      <c r="L113" s="4"/>
      <c r="M113" s="4"/>
      <c r="N113" s="4"/>
      <c r="O113" s="4"/>
      <c r="P113" s="4"/>
      <c r="R113" s="166" t="b">
        <v>0</v>
      </c>
      <c r="T113" s="4"/>
      <c r="U113" s="166" t="b">
        <v>0</v>
      </c>
      <c r="V113" s="166" t="b">
        <v>0</v>
      </c>
      <c r="W113" s="166" t="b">
        <v>0</v>
      </c>
      <c r="X113" s="166" t="b">
        <v>0</v>
      </c>
    </row>
    <row r="114">
      <c r="A114" s="4" t="s">
        <v>3545</v>
      </c>
      <c r="B114" s="4" t="s">
        <v>221</v>
      </c>
      <c r="C114" s="6">
        <v>0.49986111111111126</v>
      </c>
      <c r="D114" s="6">
        <v>0.006944444444444444</v>
      </c>
      <c r="E114" s="6">
        <v>0.5068055555555557</v>
      </c>
      <c r="F114" s="6" t="s">
        <v>441</v>
      </c>
      <c r="G114" s="4"/>
      <c r="H114" s="4" t="s">
        <v>2234</v>
      </c>
      <c r="I114" s="4" t="s">
        <v>3546</v>
      </c>
      <c r="J114" s="4" t="s">
        <v>2235</v>
      </c>
      <c r="K114" s="4" t="s">
        <v>2236</v>
      </c>
      <c r="L114" s="4" t="s">
        <v>1258</v>
      </c>
      <c r="M114" s="4" t="s">
        <v>2237</v>
      </c>
      <c r="N114" s="4" t="s">
        <v>2238</v>
      </c>
      <c r="O114" s="4"/>
      <c r="P114" s="4"/>
      <c r="R114" s="166" t="b">
        <v>1</v>
      </c>
      <c r="T114" s="4"/>
      <c r="U114" s="166" t="b">
        <v>0</v>
      </c>
      <c r="V114" s="166" t="b">
        <v>1</v>
      </c>
      <c r="W114" s="166" t="b">
        <v>1</v>
      </c>
      <c r="X114" s="166" t="b">
        <v>0</v>
      </c>
      <c r="Z114" s="80" t="s">
        <v>3549</v>
      </c>
    </row>
    <row r="115">
      <c r="A115" s="4" t="s">
        <v>3551</v>
      </c>
      <c r="B115" s="4" t="s">
        <v>221</v>
      </c>
      <c r="C115" s="6">
        <v>0.5068055555555557</v>
      </c>
      <c r="D115" s="6">
        <v>1.7361111111111112E-4</v>
      </c>
      <c r="E115" s="6">
        <v>0.5069791666666669</v>
      </c>
      <c r="F115" s="6"/>
      <c r="G115" s="4"/>
      <c r="H115" s="4" t="s">
        <v>85</v>
      </c>
      <c r="I115" s="4"/>
      <c r="J115" s="4"/>
      <c r="K115" s="4"/>
      <c r="L115" s="4"/>
      <c r="M115" s="4"/>
      <c r="N115" s="4"/>
      <c r="O115" s="4"/>
      <c r="P115" s="4"/>
      <c r="R115" s="166" t="b">
        <v>0</v>
      </c>
      <c r="T115" s="4"/>
      <c r="U115" s="166" t="b">
        <v>0</v>
      </c>
      <c r="V115" s="166" t="b">
        <v>0</v>
      </c>
      <c r="W115" s="166" t="b">
        <v>0</v>
      </c>
      <c r="X115" s="166" t="b">
        <v>0</v>
      </c>
    </row>
    <row r="116">
      <c r="A116" s="4" t="s">
        <v>3553</v>
      </c>
      <c r="B116" s="4" t="s">
        <v>607</v>
      </c>
      <c r="C116" s="6" t="s">
        <v>607</v>
      </c>
      <c r="D116" s="6" t="s">
        <v>607</v>
      </c>
      <c r="E116" s="6" t="s">
        <v>607</v>
      </c>
      <c r="F116" s="6" t="s">
        <v>607</v>
      </c>
      <c r="G116" s="4" t="s">
        <v>607</v>
      </c>
      <c r="H116" s="4" t="s">
        <v>607</v>
      </c>
      <c r="I116" s="4" t="s">
        <v>607</v>
      </c>
      <c r="J116" s="4" t="s">
        <v>607</v>
      </c>
      <c r="K116" s="4" t="s">
        <v>607</v>
      </c>
      <c r="L116" s="4" t="s">
        <v>607</v>
      </c>
      <c r="M116" s="4" t="s">
        <v>607</v>
      </c>
      <c r="N116" s="4" t="s">
        <v>607</v>
      </c>
      <c r="O116" s="4"/>
      <c r="P116" s="4"/>
      <c r="R116" s="166" t="b">
        <v>0</v>
      </c>
      <c r="T116" s="4"/>
      <c r="U116" s="166" t="b">
        <v>0</v>
      </c>
      <c r="V116" s="166" t="b">
        <v>0</v>
      </c>
      <c r="W116" s="166" t="b">
        <v>0</v>
      </c>
      <c r="X116" s="166" t="b">
        <v>0</v>
      </c>
    </row>
    <row r="117">
      <c r="A117" s="4" t="s">
        <v>3556</v>
      </c>
      <c r="B117" s="4" t="s">
        <v>221</v>
      </c>
      <c r="C117" s="6">
        <v>0.5073263888888891</v>
      </c>
      <c r="D117" s="6">
        <v>3.4722222222222224E-4</v>
      </c>
      <c r="E117" s="6">
        <v>0.5076736111111114</v>
      </c>
      <c r="F117" s="6"/>
      <c r="G117" s="4"/>
      <c r="H117" s="4" t="s">
        <v>81</v>
      </c>
      <c r="I117" s="4"/>
      <c r="J117" s="4"/>
      <c r="K117" s="4"/>
      <c r="L117" s="4"/>
      <c r="M117" s="4"/>
      <c r="N117" s="4"/>
      <c r="O117" s="4"/>
      <c r="P117" s="4"/>
      <c r="R117" s="166" t="b">
        <v>0</v>
      </c>
      <c r="T117" s="4"/>
      <c r="U117" s="166" t="b">
        <v>0</v>
      </c>
      <c r="V117" s="166" t="b">
        <v>0</v>
      </c>
      <c r="W117" s="166" t="b">
        <v>0</v>
      </c>
      <c r="X117" s="166" t="b">
        <v>0</v>
      </c>
    </row>
    <row r="118">
      <c r="A118" s="4" t="s">
        <v>3558</v>
      </c>
      <c r="B118" s="4" t="s">
        <v>221</v>
      </c>
      <c r="C118" s="6">
        <v>0.5076736111111114</v>
      </c>
      <c r="D118" s="6">
        <v>0.012060185185185186</v>
      </c>
      <c r="E118" s="6">
        <v>0.5197337962962966</v>
      </c>
      <c r="F118" s="6" t="s">
        <v>299</v>
      </c>
      <c r="G118" s="4" t="s">
        <v>3161</v>
      </c>
      <c r="H118" s="4" t="s">
        <v>2241</v>
      </c>
      <c r="I118" s="4" t="s">
        <v>3561</v>
      </c>
      <c r="J118" s="4"/>
      <c r="K118" s="4"/>
      <c r="L118" s="4"/>
      <c r="M118" s="4"/>
      <c r="N118" s="4" t="s">
        <v>2243</v>
      </c>
      <c r="O118" s="4"/>
      <c r="P118" s="4"/>
      <c r="R118" s="166" t="b">
        <v>1</v>
      </c>
      <c r="T118" s="4"/>
      <c r="U118" s="166" t="b">
        <v>0</v>
      </c>
      <c r="V118" s="166" t="b">
        <v>1</v>
      </c>
      <c r="W118" s="166" t="b">
        <v>1</v>
      </c>
      <c r="X118" s="166" t="b">
        <v>0</v>
      </c>
      <c r="Z118" s="80" t="s">
        <v>3562</v>
      </c>
    </row>
    <row r="119">
      <c r="A119" s="4" t="s">
        <v>3565</v>
      </c>
      <c r="B119" s="4" t="s">
        <v>221</v>
      </c>
      <c r="C119" s="6">
        <v>0.5197337962962966</v>
      </c>
      <c r="D119" s="6">
        <v>1.7361111111111112E-4</v>
      </c>
      <c r="E119" s="6">
        <v>0.5199074074074077</v>
      </c>
      <c r="F119" s="6"/>
      <c r="G119" s="4"/>
      <c r="H119" s="4" t="s">
        <v>85</v>
      </c>
      <c r="I119" s="4"/>
      <c r="J119" s="4"/>
      <c r="K119" s="4"/>
      <c r="L119" s="4"/>
      <c r="M119" s="4"/>
      <c r="N119" s="4"/>
      <c r="O119" s="4"/>
      <c r="P119" s="4"/>
      <c r="R119" s="166" t="b">
        <v>0</v>
      </c>
      <c r="T119" s="4"/>
      <c r="U119" s="166" t="b">
        <v>0</v>
      </c>
      <c r="V119" s="166" t="b">
        <v>0</v>
      </c>
      <c r="W119" s="166" t="b">
        <v>0</v>
      </c>
      <c r="X119" s="166" t="b">
        <v>0</v>
      </c>
    </row>
    <row r="120">
      <c r="A120" s="4" t="s">
        <v>3568</v>
      </c>
      <c r="B120" s="4" t="s">
        <v>221</v>
      </c>
      <c r="C120" s="6">
        <v>0.5199074074074077</v>
      </c>
      <c r="D120" s="6">
        <v>5.208333333333333E-4</v>
      </c>
      <c r="E120" s="6">
        <v>0.520428240740741</v>
      </c>
      <c r="F120" s="6"/>
      <c r="G120" s="4"/>
      <c r="H120" s="4" t="s">
        <v>2140</v>
      </c>
      <c r="I120" s="4"/>
      <c r="J120" s="4"/>
      <c r="K120" s="4"/>
      <c r="L120" s="4"/>
      <c r="M120" s="4"/>
      <c r="N120" s="4"/>
      <c r="O120" s="4"/>
      <c r="P120" s="4"/>
      <c r="R120" s="166" t="b">
        <v>0</v>
      </c>
      <c r="T120" s="4"/>
      <c r="U120" s="166" t="b">
        <v>0</v>
      </c>
      <c r="V120" s="166" t="b">
        <v>0</v>
      </c>
      <c r="W120" s="166" t="b">
        <v>0</v>
      </c>
      <c r="X120" s="166" t="b">
        <v>0</v>
      </c>
    </row>
    <row r="121">
      <c r="A121" s="4" t="s">
        <v>3569</v>
      </c>
      <c r="B121" s="4" t="s">
        <v>607</v>
      </c>
      <c r="C121" s="6" t="s">
        <v>607</v>
      </c>
      <c r="D121" s="6" t="s">
        <v>607</v>
      </c>
      <c r="E121" s="6" t="s">
        <v>607</v>
      </c>
      <c r="F121" s="6" t="s">
        <v>607</v>
      </c>
      <c r="G121" s="4" t="s">
        <v>607</v>
      </c>
      <c r="H121" s="4" t="s">
        <v>607</v>
      </c>
      <c r="I121" s="4" t="s">
        <v>607</v>
      </c>
      <c r="J121" s="4" t="s">
        <v>607</v>
      </c>
      <c r="K121" s="4" t="s">
        <v>607</v>
      </c>
      <c r="L121" s="4" t="s">
        <v>607</v>
      </c>
      <c r="M121" s="4" t="s">
        <v>607</v>
      </c>
      <c r="N121" s="4" t="s">
        <v>607</v>
      </c>
      <c r="O121" s="4"/>
      <c r="P121" s="4"/>
      <c r="R121" s="166" t="b">
        <v>0</v>
      </c>
      <c r="T121" s="4"/>
      <c r="U121" s="166" t="b">
        <v>0</v>
      </c>
      <c r="V121" s="166" t="b">
        <v>0</v>
      </c>
      <c r="W121" s="166" t="b">
        <v>0</v>
      </c>
      <c r="X121" s="166" t="b">
        <v>0</v>
      </c>
    </row>
    <row r="122">
      <c r="A122" s="4" t="s">
        <v>3571</v>
      </c>
      <c r="B122" s="4" t="s">
        <v>221</v>
      </c>
      <c r="C122" s="6">
        <v>0.5211226851851855</v>
      </c>
      <c r="D122" s="6">
        <v>3.4722222222222224E-4</v>
      </c>
      <c r="E122" s="6">
        <v>0.5214699074074077</v>
      </c>
      <c r="F122" s="6"/>
      <c r="G122" s="4"/>
      <c r="H122" s="4" t="s">
        <v>81</v>
      </c>
      <c r="I122" s="4"/>
      <c r="J122" s="4"/>
      <c r="K122" s="4"/>
      <c r="L122" s="4"/>
      <c r="M122" s="4"/>
      <c r="N122" s="4"/>
      <c r="O122" s="4"/>
      <c r="P122" s="4"/>
      <c r="R122" s="166" t="b">
        <v>0</v>
      </c>
      <c r="T122" s="4"/>
      <c r="U122" s="166" t="b">
        <v>0</v>
      </c>
      <c r="V122" s="166" t="b">
        <v>0</v>
      </c>
      <c r="W122" s="166" t="b">
        <v>0</v>
      </c>
      <c r="X122" s="166" t="b">
        <v>0</v>
      </c>
    </row>
    <row r="123">
      <c r="A123" s="4" t="s">
        <v>3573</v>
      </c>
      <c r="B123" s="4" t="s">
        <v>221</v>
      </c>
      <c r="C123" s="6">
        <v>0.5214699074074077</v>
      </c>
      <c r="D123" s="6">
        <v>0.015625</v>
      </c>
      <c r="E123" s="6">
        <v>0.5370949074074077</v>
      </c>
      <c r="F123" s="6" t="s">
        <v>299</v>
      </c>
      <c r="G123" s="4" t="s">
        <v>3122</v>
      </c>
      <c r="H123" s="4" t="s">
        <v>2246</v>
      </c>
      <c r="I123" s="4" t="s">
        <v>3574</v>
      </c>
      <c r="J123" s="4"/>
      <c r="K123" s="4"/>
      <c r="L123" s="4"/>
      <c r="M123" s="4"/>
      <c r="N123" s="4" t="s">
        <v>2247</v>
      </c>
      <c r="O123" s="4"/>
      <c r="P123" s="4"/>
      <c r="R123" s="166" t="b">
        <v>1</v>
      </c>
      <c r="T123" s="4"/>
      <c r="U123" s="166" t="b">
        <v>0</v>
      </c>
      <c r="V123" s="166" t="b">
        <v>1</v>
      </c>
      <c r="W123" s="166" t="b">
        <v>1</v>
      </c>
      <c r="X123" s="166" t="b">
        <v>0</v>
      </c>
      <c r="Z123" s="80" t="s">
        <v>3577</v>
      </c>
    </row>
    <row r="124">
      <c r="A124" s="4" t="s">
        <v>3579</v>
      </c>
      <c r="B124" s="4" t="s">
        <v>221</v>
      </c>
      <c r="C124" s="6">
        <v>0.5370949074074077</v>
      </c>
      <c r="D124" s="6">
        <v>1.7361111111111112E-4</v>
      </c>
      <c r="E124" s="6">
        <v>0.5372685185185189</v>
      </c>
      <c r="F124" s="6"/>
      <c r="G124" s="4"/>
      <c r="H124" s="4" t="s">
        <v>85</v>
      </c>
      <c r="I124" s="4"/>
      <c r="J124" s="4"/>
      <c r="K124" s="4"/>
      <c r="L124" s="4"/>
      <c r="M124" s="4"/>
      <c r="N124" s="4"/>
      <c r="O124" s="4"/>
      <c r="P124" s="4"/>
      <c r="R124" s="166" t="b">
        <v>0</v>
      </c>
      <c r="T124" s="4"/>
      <c r="U124" s="166" t="b">
        <v>0</v>
      </c>
      <c r="V124" s="166" t="b">
        <v>0</v>
      </c>
      <c r="W124" s="166" t="b">
        <v>0</v>
      </c>
      <c r="X124" s="166" t="b">
        <v>0</v>
      </c>
    </row>
    <row r="125">
      <c r="A125" s="4" t="s">
        <v>3582</v>
      </c>
      <c r="B125" s="4" t="s">
        <v>221</v>
      </c>
      <c r="C125" s="6">
        <v>0.5372685185185189</v>
      </c>
      <c r="D125" s="6">
        <v>3.4722222222222224E-4</v>
      </c>
      <c r="E125" s="6">
        <v>0.5376157407407411</v>
      </c>
      <c r="F125" s="6"/>
      <c r="G125" s="4"/>
      <c r="H125" s="4" t="s">
        <v>81</v>
      </c>
      <c r="I125" s="4"/>
      <c r="J125" s="4"/>
      <c r="K125" s="4"/>
      <c r="L125" s="4"/>
      <c r="M125" s="4"/>
      <c r="N125" s="4"/>
      <c r="O125" s="4"/>
      <c r="P125" s="4"/>
      <c r="R125" s="166" t="b">
        <v>0</v>
      </c>
      <c r="T125" s="4"/>
      <c r="U125" s="166" t="b">
        <v>0</v>
      </c>
      <c r="V125" s="166" t="b">
        <v>0</v>
      </c>
      <c r="W125" s="166" t="b">
        <v>0</v>
      </c>
      <c r="X125" s="166" t="b">
        <v>0</v>
      </c>
    </row>
    <row r="126">
      <c r="A126" s="4" t="s">
        <v>3584</v>
      </c>
      <c r="B126" s="4" t="s">
        <v>221</v>
      </c>
      <c r="C126" s="6">
        <v>0.5376157407407411</v>
      </c>
      <c r="D126" s="6">
        <v>0.006944444444444444</v>
      </c>
      <c r="E126" s="6">
        <v>0.5445601851851856</v>
      </c>
      <c r="F126" s="6" t="s">
        <v>106</v>
      </c>
      <c r="G126" s="4"/>
      <c r="H126" s="4" t="s">
        <v>2250</v>
      </c>
      <c r="I126" s="4" t="s">
        <v>3585</v>
      </c>
      <c r="J126" s="4" t="s">
        <v>2251</v>
      </c>
      <c r="K126" s="4" t="s">
        <v>2252</v>
      </c>
      <c r="L126" s="4" t="s">
        <v>2253</v>
      </c>
      <c r="M126" s="4" t="s">
        <v>2254</v>
      </c>
      <c r="N126" s="4" t="s">
        <v>2255</v>
      </c>
      <c r="O126" s="4"/>
      <c r="P126" s="4"/>
      <c r="R126" s="166" t="b">
        <v>1</v>
      </c>
      <c r="T126" s="4"/>
      <c r="U126" s="166" t="b">
        <v>0</v>
      </c>
      <c r="V126" s="166" t="b">
        <v>1</v>
      </c>
      <c r="W126" s="166" t="b">
        <v>1</v>
      </c>
      <c r="X126" s="166" t="b">
        <v>0</v>
      </c>
      <c r="Z126" s="204" t="s">
        <v>3588</v>
      </c>
    </row>
    <row r="127">
      <c r="A127" s="4" t="s">
        <v>3594</v>
      </c>
      <c r="B127" s="4" t="s">
        <v>221</v>
      </c>
      <c r="C127" s="6">
        <v>0.5445601851851856</v>
      </c>
      <c r="D127" s="6">
        <v>1.7361111111111112E-4</v>
      </c>
      <c r="E127" s="6">
        <v>0.5447337962962967</v>
      </c>
      <c r="F127" s="6"/>
      <c r="G127" s="4"/>
      <c r="H127" s="4" t="s">
        <v>85</v>
      </c>
      <c r="I127" s="4"/>
      <c r="J127" s="4"/>
      <c r="K127" s="4"/>
      <c r="L127" s="4"/>
      <c r="M127" s="4"/>
      <c r="N127" s="4"/>
      <c r="O127" s="4"/>
      <c r="P127" s="4"/>
      <c r="R127" s="166" t="b">
        <v>0</v>
      </c>
      <c r="T127" s="4"/>
      <c r="U127" s="166" t="b">
        <v>0</v>
      </c>
      <c r="V127" s="166" t="b">
        <v>0</v>
      </c>
      <c r="W127" s="166" t="b">
        <v>0</v>
      </c>
      <c r="X127" s="166" t="b">
        <v>0</v>
      </c>
    </row>
    <row r="128">
      <c r="A128" s="4" t="s">
        <v>3595</v>
      </c>
      <c r="B128" s="4" t="s">
        <v>607</v>
      </c>
      <c r="C128" s="6" t="s">
        <v>607</v>
      </c>
      <c r="D128" s="6" t="s">
        <v>607</v>
      </c>
      <c r="E128" s="6" t="s">
        <v>607</v>
      </c>
      <c r="F128" s="6" t="s">
        <v>607</v>
      </c>
      <c r="G128" s="4" t="s">
        <v>607</v>
      </c>
      <c r="H128" s="4" t="s">
        <v>607</v>
      </c>
      <c r="I128" s="4" t="s">
        <v>607</v>
      </c>
      <c r="J128" s="4" t="s">
        <v>607</v>
      </c>
      <c r="K128" s="4" t="s">
        <v>607</v>
      </c>
      <c r="L128" s="4" t="s">
        <v>607</v>
      </c>
      <c r="M128" s="4" t="s">
        <v>607</v>
      </c>
      <c r="N128" s="4" t="s">
        <v>607</v>
      </c>
      <c r="O128" s="4"/>
      <c r="P128" s="4"/>
      <c r="R128" s="166" t="b">
        <v>0</v>
      </c>
      <c r="T128" s="4"/>
      <c r="U128" s="166" t="b">
        <v>0</v>
      </c>
      <c r="V128" s="166" t="b">
        <v>0</v>
      </c>
      <c r="W128" s="166" t="b">
        <v>0</v>
      </c>
      <c r="X128" s="166" t="b">
        <v>0</v>
      </c>
      <c r="Y128" s="205"/>
      <c r="Z128" s="205"/>
    </row>
    <row r="129">
      <c r="A129" s="4" t="s">
        <v>3600</v>
      </c>
      <c r="B129" s="4" t="s">
        <v>221</v>
      </c>
      <c r="C129" s="6">
        <v>0.545081018518519</v>
      </c>
      <c r="D129" s="6">
        <v>3.4722222222222224E-4</v>
      </c>
      <c r="E129" s="6">
        <v>0.5454282407407413</v>
      </c>
      <c r="F129" s="6"/>
      <c r="G129" s="4"/>
      <c r="H129" s="4" t="s">
        <v>81</v>
      </c>
      <c r="I129" s="4"/>
      <c r="J129" s="4"/>
      <c r="K129" s="4"/>
      <c r="L129" s="4"/>
      <c r="M129" s="4"/>
      <c r="N129" s="4"/>
      <c r="O129" s="4"/>
      <c r="P129" s="4"/>
      <c r="R129" s="166" t="b">
        <v>0</v>
      </c>
      <c r="T129" s="4"/>
      <c r="U129" s="166" t="b">
        <v>0</v>
      </c>
      <c r="V129" s="166" t="b">
        <v>0</v>
      </c>
      <c r="W129" s="166" t="b">
        <v>0</v>
      </c>
      <c r="X129" s="166" t="b">
        <v>0</v>
      </c>
      <c r="Y129" s="205"/>
      <c r="Z129" s="205"/>
    </row>
    <row r="130">
      <c r="A130" s="4" t="s">
        <v>3603</v>
      </c>
      <c r="B130" s="4" t="s">
        <v>221</v>
      </c>
      <c r="C130" s="6">
        <v>0.5454282407407413</v>
      </c>
      <c r="D130" s="6">
        <v>0.013287037037037036</v>
      </c>
      <c r="E130" s="6">
        <v>0.5587152777777783</v>
      </c>
      <c r="F130" s="6" t="s">
        <v>151</v>
      </c>
      <c r="G130" s="4" t="s">
        <v>3090</v>
      </c>
      <c r="H130" s="4" t="s">
        <v>2257</v>
      </c>
      <c r="I130" s="4" t="s">
        <v>3604</v>
      </c>
      <c r="J130" s="4" t="s">
        <v>2252</v>
      </c>
      <c r="K130" s="4"/>
      <c r="L130" s="4"/>
      <c r="M130" s="4"/>
      <c r="N130" s="4" t="s">
        <v>2258</v>
      </c>
      <c r="O130" s="4"/>
      <c r="P130" s="4"/>
      <c r="R130" s="166" t="b">
        <v>1</v>
      </c>
      <c r="T130" s="4"/>
      <c r="U130" s="166" t="b">
        <v>0</v>
      </c>
      <c r="V130" s="166" t="b">
        <v>1</v>
      </c>
      <c r="W130" s="166" t="b">
        <v>0</v>
      </c>
      <c r="X130" s="166" t="b">
        <v>0</v>
      </c>
      <c r="Y130" s="206"/>
      <c r="Z130" s="207" t="s">
        <v>3607</v>
      </c>
    </row>
    <row r="131">
      <c r="A131" s="4" t="s">
        <v>3611</v>
      </c>
      <c r="B131" s="4" t="s">
        <v>221</v>
      </c>
      <c r="C131" s="6">
        <v>0.5587152777777783</v>
      </c>
      <c r="D131" s="6">
        <v>1.7361111111111112E-4</v>
      </c>
      <c r="E131" s="6">
        <v>0.5588888888888894</v>
      </c>
      <c r="F131" s="6"/>
      <c r="G131" s="4"/>
      <c r="H131" s="4" t="s">
        <v>85</v>
      </c>
      <c r="I131" s="4"/>
      <c r="J131" s="4"/>
      <c r="K131" s="4"/>
      <c r="L131" s="4"/>
      <c r="M131" s="4"/>
      <c r="N131" s="4"/>
      <c r="O131" s="4"/>
      <c r="P131" s="4"/>
      <c r="R131" s="166" t="b">
        <v>0</v>
      </c>
      <c r="T131" s="4"/>
      <c r="U131" s="166" t="b">
        <v>0</v>
      </c>
      <c r="V131" s="166" t="b">
        <v>0</v>
      </c>
      <c r="W131" s="166" t="b">
        <v>0</v>
      </c>
      <c r="X131" s="166" t="b">
        <v>0</v>
      </c>
      <c r="Y131" s="205"/>
      <c r="Z131" s="205"/>
    </row>
    <row r="132">
      <c r="A132" s="4" t="s">
        <v>3614</v>
      </c>
      <c r="B132" s="4" t="s">
        <v>607</v>
      </c>
      <c r="C132" s="6" t="s">
        <v>607</v>
      </c>
      <c r="D132" s="6" t="s">
        <v>607</v>
      </c>
      <c r="E132" s="6" t="s">
        <v>607</v>
      </c>
      <c r="F132" s="6" t="s">
        <v>607</v>
      </c>
      <c r="G132" s="4" t="s">
        <v>607</v>
      </c>
      <c r="H132" s="4" t="s">
        <v>607</v>
      </c>
      <c r="I132" s="4" t="s">
        <v>607</v>
      </c>
      <c r="J132" s="4" t="s">
        <v>607</v>
      </c>
      <c r="K132" s="4" t="s">
        <v>607</v>
      </c>
      <c r="L132" s="4" t="s">
        <v>607</v>
      </c>
      <c r="M132" s="4" t="s">
        <v>607</v>
      </c>
      <c r="N132" s="4" t="s">
        <v>607</v>
      </c>
      <c r="O132" s="4"/>
      <c r="P132" s="4"/>
      <c r="R132" s="166" t="b">
        <v>0</v>
      </c>
      <c r="T132" s="4"/>
      <c r="U132" s="166" t="b">
        <v>0</v>
      </c>
      <c r="V132" s="166" t="b">
        <v>0</v>
      </c>
      <c r="W132" s="166" t="b">
        <v>0</v>
      </c>
      <c r="X132" s="166" t="b">
        <v>0</v>
      </c>
      <c r="Y132" s="205"/>
      <c r="Z132" s="205"/>
    </row>
    <row r="133">
      <c r="A133" s="4" t="s">
        <v>3617</v>
      </c>
      <c r="B133" s="4" t="s">
        <v>221</v>
      </c>
      <c r="C133" s="6">
        <v>0.5592361111111117</v>
      </c>
      <c r="D133" s="6">
        <v>3.4722222222222224E-4</v>
      </c>
      <c r="E133" s="6">
        <v>0.559583333333334</v>
      </c>
      <c r="F133" s="6"/>
      <c r="G133" s="4"/>
      <c r="H133" s="4" t="s">
        <v>81</v>
      </c>
      <c r="I133" s="4"/>
      <c r="J133" s="4"/>
      <c r="K133" s="4"/>
      <c r="L133" s="4"/>
      <c r="M133" s="4"/>
      <c r="N133" s="4"/>
      <c r="O133" s="4"/>
      <c r="P133" s="4"/>
      <c r="R133" s="166" t="b">
        <v>0</v>
      </c>
      <c r="T133" s="4"/>
      <c r="U133" s="166" t="b">
        <v>0</v>
      </c>
      <c r="V133" s="166" t="b">
        <v>0</v>
      </c>
      <c r="W133" s="166" t="b">
        <v>0</v>
      </c>
      <c r="X133" s="166" t="b">
        <v>0</v>
      </c>
      <c r="Y133" s="205"/>
      <c r="Z133" s="205"/>
    </row>
    <row r="134">
      <c r="A134" s="4" t="s">
        <v>3620</v>
      </c>
      <c r="B134" s="4" t="s">
        <v>221</v>
      </c>
      <c r="C134" s="6">
        <v>0.559583333333334</v>
      </c>
      <c r="D134" s="6">
        <v>0.011666666666666667</v>
      </c>
      <c r="E134" s="6">
        <v>0.5712500000000007</v>
      </c>
      <c r="F134" s="6" t="s">
        <v>299</v>
      </c>
      <c r="G134" s="4" t="s">
        <v>3622</v>
      </c>
      <c r="H134" s="4" t="s">
        <v>2261</v>
      </c>
      <c r="I134" s="4" t="s">
        <v>3623</v>
      </c>
      <c r="J134" s="4"/>
      <c r="K134" s="4"/>
      <c r="L134" s="4"/>
      <c r="M134" s="4"/>
      <c r="N134" s="4" t="s">
        <v>2262</v>
      </c>
      <c r="O134" s="4"/>
      <c r="P134" s="4"/>
      <c r="R134" s="166" t="b">
        <v>1</v>
      </c>
      <c r="T134" s="4"/>
      <c r="U134" s="166" t="b">
        <v>0</v>
      </c>
      <c r="V134" s="166" t="b">
        <v>1</v>
      </c>
      <c r="W134" s="166" t="b">
        <v>1</v>
      </c>
      <c r="X134" s="166" t="b">
        <v>0</v>
      </c>
      <c r="Y134" s="206"/>
      <c r="Z134" s="207" t="s">
        <v>3624</v>
      </c>
    </row>
    <row r="135">
      <c r="A135" s="4" t="s">
        <v>3628</v>
      </c>
      <c r="B135" s="4" t="s">
        <v>221</v>
      </c>
      <c r="C135" s="6">
        <v>0.5712500000000007</v>
      </c>
      <c r="D135" s="6">
        <v>1.7361111111111112E-4</v>
      </c>
      <c r="E135" s="6">
        <v>0.5714236111111118</v>
      </c>
      <c r="F135" s="6"/>
      <c r="G135" s="4"/>
      <c r="H135" s="4" t="s">
        <v>85</v>
      </c>
      <c r="I135" s="4"/>
      <c r="J135" s="4"/>
      <c r="K135" s="4"/>
      <c r="L135" s="4"/>
      <c r="M135" s="4"/>
      <c r="N135" s="4"/>
      <c r="O135" s="4"/>
      <c r="P135" s="4"/>
      <c r="R135" s="166" t="b">
        <v>0</v>
      </c>
      <c r="T135" s="4"/>
      <c r="U135" s="166" t="b">
        <v>0</v>
      </c>
      <c r="V135" s="166" t="b">
        <v>0</v>
      </c>
      <c r="W135" s="166" t="b">
        <v>0</v>
      </c>
      <c r="X135" s="166" t="b">
        <v>0</v>
      </c>
    </row>
    <row r="136">
      <c r="A136" s="4" t="s">
        <v>3632</v>
      </c>
      <c r="B136" s="4" t="s">
        <v>221</v>
      </c>
      <c r="C136" s="6">
        <v>0.5717708333333341</v>
      </c>
      <c r="D136" s="6">
        <v>8.680555555555555E-4</v>
      </c>
      <c r="E136" s="6">
        <v>0.5726388888888897</v>
      </c>
      <c r="F136" s="6"/>
      <c r="G136" s="4"/>
      <c r="H136" s="4" t="s">
        <v>2102</v>
      </c>
      <c r="I136" s="4"/>
      <c r="J136" s="4"/>
      <c r="K136" s="4"/>
      <c r="L136" s="4"/>
      <c r="M136" s="4"/>
      <c r="N136" s="4"/>
      <c r="O136" s="4"/>
      <c r="P136" s="4"/>
      <c r="R136" s="166" t="b">
        <v>0</v>
      </c>
      <c r="T136" s="4"/>
      <c r="U136" s="166" t="b">
        <v>0</v>
      </c>
      <c r="V136" s="166" t="b">
        <v>0</v>
      </c>
      <c r="W136" s="166" t="b">
        <v>0</v>
      </c>
      <c r="X136" s="166" t="b">
        <v>0</v>
      </c>
    </row>
    <row r="137">
      <c r="A137" s="4" t="s">
        <v>3634</v>
      </c>
      <c r="B137" s="4" t="s">
        <v>221</v>
      </c>
      <c r="C137" s="6">
        <v>0.5726388888888897</v>
      </c>
      <c r="D137" s="6">
        <v>5.208333333333333E-4</v>
      </c>
      <c r="E137" s="6">
        <v>0.573159722222223</v>
      </c>
      <c r="F137" s="6"/>
      <c r="G137" s="4"/>
      <c r="H137" s="4" t="s">
        <v>2140</v>
      </c>
      <c r="I137" s="4"/>
      <c r="J137" s="4"/>
      <c r="K137" s="4"/>
      <c r="L137" s="4"/>
      <c r="M137" s="4"/>
      <c r="N137" s="4"/>
      <c r="O137" s="4"/>
      <c r="P137" s="4"/>
      <c r="R137" s="166" t="b">
        <v>0</v>
      </c>
      <c r="T137" s="4"/>
      <c r="U137" s="166" t="b">
        <v>0</v>
      </c>
      <c r="V137" s="166" t="b">
        <v>0</v>
      </c>
      <c r="W137" s="166" t="b">
        <v>0</v>
      </c>
      <c r="X137" s="166" t="b">
        <v>0</v>
      </c>
    </row>
    <row r="138">
      <c r="A138" s="4" t="s">
        <v>3636</v>
      </c>
      <c r="B138" s="4" t="s">
        <v>221</v>
      </c>
      <c r="C138" s="6">
        <v>0.573159722222223</v>
      </c>
      <c r="D138" s="6">
        <v>3.4722222222222224E-4</v>
      </c>
      <c r="E138" s="6">
        <v>0.5735069444444453</v>
      </c>
      <c r="F138" s="6"/>
      <c r="G138" s="4"/>
      <c r="H138" s="4" t="s">
        <v>81</v>
      </c>
      <c r="I138" s="4"/>
      <c r="J138" s="4"/>
      <c r="K138" s="4"/>
      <c r="L138" s="4"/>
      <c r="M138" s="4"/>
      <c r="N138" s="4"/>
      <c r="O138" s="4"/>
      <c r="P138" s="4"/>
      <c r="R138" s="166" t="b">
        <v>0</v>
      </c>
      <c r="T138" s="4"/>
      <c r="U138" s="166" t="b">
        <v>0</v>
      </c>
      <c r="V138" s="166" t="b">
        <v>0</v>
      </c>
      <c r="W138" s="166" t="b">
        <v>0</v>
      </c>
      <c r="X138" s="166" t="b">
        <v>0</v>
      </c>
    </row>
    <row r="139">
      <c r="A139" s="4" t="s">
        <v>3640</v>
      </c>
      <c r="B139" s="4" t="s">
        <v>221</v>
      </c>
      <c r="C139" s="6">
        <v>0.5735069444444453</v>
      </c>
      <c r="D139" s="6">
        <v>0.006944444444444444</v>
      </c>
      <c r="E139" s="6">
        <v>0.5804513888888897</v>
      </c>
      <c r="F139" s="6" t="s">
        <v>164</v>
      </c>
      <c r="G139" s="4"/>
      <c r="H139" s="4" t="s">
        <v>2266</v>
      </c>
      <c r="I139" s="4" t="s">
        <v>3641</v>
      </c>
      <c r="J139" s="4" t="s">
        <v>2267</v>
      </c>
      <c r="K139" s="4" t="s">
        <v>2268</v>
      </c>
      <c r="L139" s="4" t="s">
        <v>2269</v>
      </c>
      <c r="M139" s="4" t="s">
        <v>710</v>
      </c>
      <c r="N139" s="4" t="s">
        <v>2270</v>
      </c>
      <c r="O139" s="4"/>
      <c r="P139" s="4"/>
      <c r="R139" s="166" t="b">
        <v>1</v>
      </c>
      <c r="T139" s="4"/>
      <c r="U139" s="166" t="b">
        <v>0</v>
      </c>
      <c r="V139" s="166" t="b">
        <v>1</v>
      </c>
      <c r="W139" s="166" t="b">
        <v>1</v>
      </c>
      <c r="X139" s="166" t="b">
        <v>0</v>
      </c>
      <c r="Z139" s="80" t="s">
        <v>3643</v>
      </c>
    </row>
    <row r="140">
      <c r="A140" s="4" t="s">
        <v>3646</v>
      </c>
      <c r="B140" s="4" t="s">
        <v>221</v>
      </c>
      <c r="C140" s="6">
        <v>0.5804513888888897</v>
      </c>
      <c r="D140" s="6">
        <v>1.7361111111111112E-4</v>
      </c>
      <c r="E140" s="6">
        <v>0.5806250000000008</v>
      </c>
      <c r="F140" s="6"/>
      <c r="G140" s="4"/>
      <c r="H140" s="4" t="s">
        <v>85</v>
      </c>
      <c r="I140" s="4"/>
      <c r="J140" s="4"/>
      <c r="K140" s="4"/>
      <c r="L140" s="4"/>
      <c r="M140" s="4"/>
      <c r="N140" s="4"/>
      <c r="O140" s="4"/>
      <c r="P140" s="4"/>
      <c r="R140" s="166" t="b">
        <v>0</v>
      </c>
      <c r="T140" s="4"/>
      <c r="U140" s="166" t="b">
        <v>0</v>
      </c>
      <c r="V140" s="166" t="b">
        <v>0</v>
      </c>
      <c r="W140" s="166" t="b">
        <v>0</v>
      </c>
      <c r="X140" s="166" t="b">
        <v>0</v>
      </c>
    </row>
    <row r="141">
      <c r="A141" s="4" t="s">
        <v>3649</v>
      </c>
      <c r="B141" s="4" t="s">
        <v>607</v>
      </c>
      <c r="C141" s="6" t="s">
        <v>607</v>
      </c>
      <c r="D141" s="6" t="s">
        <v>607</v>
      </c>
      <c r="E141" s="6" t="s">
        <v>607</v>
      </c>
      <c r="F141" s="6" t="s">
        <v>607</v>
      </c>
      <c r="G141" s="4" t="s">
        <v>607</v>
      </c>
      <c r="H141" s="4" t="s">
        <v>607</v>
      </c>
      <c r="I141" s="4" t="s">
        <v>607</v>
      </c>
      <c r="J141" s="4" t="s">
        <v>607</v>
      </c>
      <c r="K141" s="4" t="s">
        <v>607</v>
      </c>
      <c r="L141" s="4" t="s">
        <v>607</v>
      </c>
      <c r="M141" s="4" t="s">
        <v>607</v>
      </c>
      <c r="N141" s="4" t="s">
        <v>607</v>
      </c>
      <c r="O141" s="4"/>
      <c r="P141" s="4"/>
      <c r="R141" s="166" t="b">
        <v>0</v>
      </c>
      <c r="T141" s="4"/>
      <c r="U141" s="166" t="b">
        <v>0</v>
      </c>
      <c r="V141" s="166" t="b">
        <v>0</v>
      </c>
      <c r="W141" s="166" t="b">
        <v>0</v>
      </c>
      <c r="X141" s="166" t="b">
        <v>0</v>
      </c>
    </row>
    <row r="142">
      <c r="A142" s="4" t="s">
        <v>3651</v>
      </c>
      <c r="B142" s="4" t="s">
        <v>221</v>
      </c>
      <c r="C142" s="6">
        <v>0.5806250000000008</v>
      </c>
      <c r="D142" s="6">
        <v>3.4722222222222224E-4</v>
      </c>
      <c r="E142" s="6">
        <v>0.5809722222222231</v>
      </c>
      <c r="F142" s="6"/>
      <c r="G142" s="4"/>
      <c r="H142" s="4" t="s">
        <v>81</v>
      </c>
      <c r="I142" s="4"/>
      <c r="J142" s="4"/>
      <c r="K142" s="4"/>
      <c r="L142" s="4"/>
      <c r="M142" s="4"/>
      <c r="N142" s="4"/>
      <c r="O142" s="4"/>
      <c r="P142" s="4"/>
      <c r="R142" s="166" t="b">
        <v>0</v>
      </c>
      <c r="T142" s="4"/>
      <c r="U142" s="166" t="b">
        <v>0</v>
      </c>
      <c r="V142" s="166" t="b">
        <v>0</v>
      </c>
      <c r="W142" s="166" t="b">
        <v>0</v>
      </c>
      <c r="X142" s="166" t="b">
        <v>0</v>
      </c>
    </row>
    <row r="143">
      <c r="A143" s="4" t="s">
        <v>3655</v>
      </c>
      <c r="B143" s="4" t="s">
        <v>221</v>
      </c>
      <c r="C143" s="6">
        <v>0.5809722222222231</v>
      </c>
      <c r="D143" s="6">
        <v>0.012881944444444444</v>
      </c>
      <c r="E143" s="6">
        <v>0.5938541666666676</v>
      </c>
      <c r="F143" s="6" t="s">
        <v>394</v>
      </c>
      <c r="G143" s="4" t="s">
        <v>3122</v>
      </c>
      <c r="H143" s="4" t="s">
        <v>2272</v>
      </c>
      <c r="I143" s="4" t="s">
        <v>3656</v>
      </c>
      <c r="J143" s="4"/>
      <c r="K143" s="4"/>
      <c r="L143" s="4"/>
      <c r="M143" s="4"/>
      <c r="N143" s="4" t="s">
        <v>2274</v>
      </c>
      <c r="O143" s="4"/>
      <c r="P143" s="4"/>
      <c r="R143" s="166" t="b">
        <v>1</v>
      </c>
      <c r="T143" s="4"/>
      <c r="U143" s="166" t="b">
        <v>0</v>
      </c>
      <c r="V143" s="166" t="b">
        <v>1</v>
      </c>
      <c r="W143" s="166" t="b">
        <v>1</v>
      </c>
      <c r="X143" s="166" t="b">
        <v>0</v>
      </c>
      <c r="Z143" s="80" t="s">
        <v>3658</v>
      </c>
    </row>
    <row r="144">
      <c r="A144" s="4" t="s">
        <v>3662</v>
      </c>
      <c r="B144" s="4" t="s">
        <v>221</v>
      </c>
      <c r="C144" s="6">
        <v>0.5938541666666676</v>
      </c>
      <c r="D144" s="6">
        <v>1.7361111111111112E-4</v>
      </c>
      <c r="E144" s="6">
        <v>0.5940277777777787</v>
      </c>
      <c r="F144" s="6"/>
      <c r="G144" s="4"/>
      <c r="H144" s="4" t="s">
        <v>85</v>
      </c>
      <c r="I144" s="4"/>
      <c r="J144" s="4"/>
      <c r="K144" s="4"/>
      <c r="L144" s="4"/>
      <c r="M144" s="4"/>
      <c r="N144" s="4"/>
      <c r="O144" s="4"/>
      <c r="P144" s="4"/>
      <c r="R144" s="166" t="b">
        <v>0</v>
      </c>
      <c r="T144" s="4"/>
      <c r="U144" s="166" t="b">
        <v>0</v>
      </c>
      <c r="V144" s="166" t="b">
        <v>0</v>
      </c>
      <c r="W144" s="166" t="b">
        <v>0</v>
      </c>
      <c r="X144" s="166" t="b">
        <v>0</v>
      </c>
    </row>
    <row r="145">
      <c r="A145" s="4" t="s">
        <v>3665</v>
      </c>
      <c r="B145" s="4" t="s">
        <v>607</v>
      </c>
      <c r="C145" s="6" t="s">
        <v>607</v>
      </c>
      <c r="D145" s="6" t="s">
        <v>607</v>
      </c>
      <c r="E145" s="6" t="s">
        <v>607</v>
      </c>
      <c r="F145" s="6" t="s">
        <v>607</v>
      </c>
      <c r="G145" s="4" t="s">
        <v>607</v>
      </c>
      <c r="H145" s="4" t="s">
        <v>607</v>
      </c>
      <c r="I145" s="4" t="s">
        <v>607</v>
      </c>
      <c r="J145" s="4" t="s">
        <v>607</v>
      </c>
      <c r="K145" s="4" t="s">
        <v>607</v>
      </c>
      <c r="L145" s="4" t="s">
        <v>607</v>
      </c>
      <c r="M145" s="4" t="s">
        <v>607</v>
      </c>
      <c r="N145" s="4" t="s">
        <v>607</v>
      </c>
      <c r="O145" s="4"/>
      <c r="P145" s="4"/>
      <c r="R145" s="166" t="b">
        <v>0</v>
      </c>
      <c r="T145" s="4"/>
      <c r="U145" s="166" t="b">
        <v>0</v>
      </c>
      <c r="V145" s="166" t="b">
        <v>0</v>
      </c>
      <c r="W145" s="166" t="b">
        <v>0</v>
      </c>
      <c r="X145" s="166" t="b">
        <v>0</v>
      </c>
    </row>
    <row r="146">
      <c r="A146" s="4" t="s">
        <v>3668</v>
      </c>
      <c r="B146" s="4" t="s">
        <v>221</v>
      </c>
      <c r="C146" s="6">
        <v>0.594375000000001</v>
      </c>
      <c r="D146" s="6">
        <v>3.4722222222222224E-4</v>
      </c>
      <c r="E146" s="6">
        <v>0.5947222222222233</v>
      </c>
      <c r="F146" s="6"/>
      <c r="G146" s="4"/>
      <c r="H146" s="4" t="s">
        <v>81</v>
      </c>
      <c r="I146" s="4"/>
      <c r="J146" s="4"/>
      <c r="K146" s="4"/>
      <c r="L146" s="4"/>
      <c r="M146" s="4"/>
      <c r="N146" s="4"/>
      <c r="O146" s="4"/>
      <c r="P146" s="4"/>
      <c r="R146" s="166" t="b">
        <v>0</v>
      </c>
      <c r="T146" s="4"/>
      <c r="U146" s="166" t="b">
        <v>0</v>
      </c>
      <c r="V146" s="166" t="b">
        <v>0</v>
      </c>
      <c r="W146" s="166" t="b">
        <v>0</v>
      </c>
      <c r="X146" s="166" t="b">
        <v>0</v>
      </c>
    </row>
    <row r="147">
      <c r="A147" s="4" t="s">
        <v>3669</v>
      </c>
      <c r="B147" s="4" t="s">
        <v>221</v>
      </c>
      <c r="C147" s="6">
        <v>0.5947222222222233</v>
      </c>
      <c r="D147" s="6">
        <v>0.010960648148148148</v>
      </c>
      <c r="E147" s="6">
        <v>0.6056828703703714</v>
      </c>
      <c r="F147" s="6" t="s">
        <v>394</v>
      </c>
      <c r="G147" s="4" t="s">
        <v>3387</v>
      </c>
      <c r="H147" s="4" t="s">
        <v>2277</v>
      </c>
      <c r="I147" s="4" t="s">
        <v>3671</v>
      </c>
      <c r="J147" s="4"/>
      <c r="K147" s="4"/>
      <c r="L147" s="4"/>
      <c r="M147" s="4"/>
      <c r="N147" s="4" t="s">
        <v>2278</v>
      </c>
      <c r="O147" s="4"/>
      <c r="P147" s="4"/>
      <c r="R147" s="166" t="b">
        <v>1</v>
      </c>
      <c r="T147" s="4"/>
      <c r="U147" s="166" t="b">
        <v>0</v>
      </c>
      <c r="V147" s="166" t="b">
        <v>0</v>
      </c>
      <c r="W147" s="166" t="b">
        <v>0</v>
      </c>
      <c r="X147" s="166" t="b">
        <v>0</v>
      </c>
    </row>
    <row r="148">
      <c r="A148" s="4" t="s">
        <v>3673</v>
      </c>
      <c r="B148" s="4" t="s">
        <v>221</v>
      </c>
      <c r="C148" s="6">
        <v>0.6056828703703714</v>
      </c>
      <c r="D148" s="6">
        <v>1.7361111111111112E-4</v>
      </c>
      <c r="E148" s="6">
        <v>0.6058564814814825</v>
      </c>
      <c r="F148" s="6"/>
      <c r="G148" s="4"/>
      <c r="H148" s="4" t="s">
        <v>85</v>
      </c>
      <c r="I148" s="4"/>
      <c r="J148" s="4"/>
      <c r="K148" s="4"/>
      <c r="L148" s="4"/>
      <c r="M148" s="4"/>
      <c r="N148" s="4"/>
      <c r="O148" s="4"/>
      <c r="P148" s="4"/>
      <c r="R148" s="166" t="b">
        <v>0</v>
      </c>
      <c r="T148" s="4"/>
      <c r="U148" s="166" t="b">
        <v>0</v>
      </c>
      <c r="V148" s="166" t="b">
        <v>0</v>
      </c>
      <c r="W148" s="166" t="b">
        <v>0</v>
      </c>
      <c r="X148" s="166" t="b">
        <v>0</v>
      </c>
    </row>
    <row r="149">
      <c r="A149" s="4" t="s">
        <v>3676</v>
      </c>
      <c r="B149" s="4" t="s">
        <v>221</v>
      </c>
      <c r="C149" s="6">
        <v>0.6058564814814825</v>
      </c>
      <c r="D149" s="6">
        <v>3.4722222222222224E-4</v>
      </c>
      <c r="E149" s="6">
        <v>0.6062037037037048</v>
      </c>
      <c r="F149" s="6"/>
      <c r="G149" s="4"/>
      <c r="H149" s="4" t="s">
        <v>81</v>
      </c>
      <c r="I149" s="4"/>
      <c r="J149" s="4"/>
      <c r="K149" s="4"/>
      <c r="L149" s="4"/>
      <c r="M149" s="4"/>
      <c r="N149" s="4"/>
      <c r="O149" s="4"/>
      <c r="P149" s="4"/>
      <c r="R149" s="166" t="b">
        <v>0</v>
      </c>
      <c r="T149" s="4"/>
      <c r="U149" s="166" t="b">
        <v>0</v>
      </c>
      <c r="V149" s="166" t="b">
        <v>0</v>
      </c>
      <c r="W149" s="166" t="b">
        <v>0</v>
      </c>
      <c r="X149" s="166" t="b">
        <v>0</v>
      </c>
    </row>
    <row r="150">
      <c r="A150" s="4" t="s">
        <v>3679</v>
      </c>
      <c r="B150" s="4" t="s">
        <v>221</v>
      </c>
      <c r="C150" s="6">
        <v>0.6062037037037048</v>
      </c>
      <c r="D150" s="6">
        <v>0.006944444444444444</v>
      </c>
      <c r="E150" s="6">
        <v>0.6131481481481492</v>
      </c>
      <c r="F150" s="6" t="s">
        <v>245</v>
      </c>
      <c r="G150" s="4"/>
      <c r="H150" s="4" t="s">
        <v>2280</v>
      </c>
      <c r="I150" s="4" t="s">
        <v>3113</v>
      </c>
      <c r="J150" s="4" t="s">
        <v>1476</v>
      </c>
      <c r="K150" s="4" t="s">
        <v>916</v>
      </c>
      <c r="L150" s="4" t="s">
        <v>1106</v>
      </c>
      <c r="M150" s="4" t="s">
        <v>2281</v>
      </c>
      <c r="N150" s="4" t="s">
        <v>2282</v>
      </c>
      <c r="O150" s="4"/>
      <c r="P150" s="45" t="s">
        <v>28</v>
      </c>
      <c r="R150" s="166" t="b">
        <v>1</v>
      </c>
      <c r="T150" s="4"/>
      <c r="U150" s="166" t="b">
        <v>0</v>
      </c>
      <c r="V150" s="166" t="b">
        <v>1</v>
      </c>
      <c r="W150" s="166" t="b">
        <v>1</v>
      </c>
      <c r="X150" s="166" t="b">
        <v>0</v>
      </c>
      <c r="Z150" s="111" t="s">
        <v>3681</v>
      </c>
    </row>
    <row r="151">
      <c r="A151" s="4" t="s">
        <v>3684</v>
      </c>
      <c r="B151" s="4" t="s">
        <v>221</v>
      </c>
      <c r="C151" s="6">
        <v>0.6131481481481492</v>
      </c>
      <c r="D151" s="6">
        <v>1.7361111111111112E-4</v>
      </c>
      <c r="E151" s="6">
        <v>0.6133217592592604</v>
      </c>
      <c r="F151" s="6"/>
      <c r="G151" s="4"/>
      <c r="H151" s="4" t="s">
        <v>85</v>
      </c>
      <c r="I151" s="4"/>
      <c r="J151" s="4"/>
      <c r="K151" s="4"/>
      <c r="L151" s="4"/>
      <c r="M151" s="4"/>
      <c r="N151" s="4"/>
      <c r="O151" s="4"/>
      <c r="P151" s="4"/>
      <c r="R151" s="166" t="b">
        <v>0</v>
      </c>
      <c r="T151" s="4"/>
      <c r="U151" s="166" t="b">
        <v>0</v>
      </c>
      <c r="V151" s="166" t="b">
        <v>0</v>
      </c>
      <c r="W151" s="166" t="b">
        <v>0</v>
      </c>
      <c r="X151" s="166" t="b">
        <v>0</v>
      </c>
    </row>
    <row r="152">
      <c r="A152" s="4" t="s">
        <v>3688</v>
      </c>
      <c r="B152" s="4" t="s">
        <v>221</v>
      </c>
      <c r="C152" s="6">
        <v>0.6140162037037048</v>
      </c>
      <c r="D152" s="6">
        <v>5.208333333333333E-4</v>
      </c>
      <c r="E152" s="6">
        <v>0.6145370370370381</v>
      </c>
      <c r="F152" s="6"/>
      <c r="G152" s="4"/>
      <c r="H152" s="4" t="s">
        <v>2140</v>
      </c>
      <c r="I152" s="4"/>
      <c r="J152" s="4"/>
      <c r="K152" s="4"/>
      <c r="L152" s="4"/>
      <c r="M152" s="4"/>
      <c r="N152" s="4"/>
      <c r="O152" s="4"/>
      <c r="P152" s="4"/>
      <c r="R152" s="166" t="b">
        <v>0</v>
      </c>
      <c r="T152" s="4"/>
      <c r="U152" s="166" t="b">
        <v>0</v>
      </c>
      <c r="V152" s="166" t="b">
        <v>0</v>
      </c>
      <c r="W152" s="166" t="b">
        <v>0</v>
      </c>
      <c r="X152" s="166" t="b">
        <v>0</v>
      </c>
    </row>
    <row r="153">
      <c r="A153" s="4" t="s">
        <v>3691</v>
      </c>
      <c r="B153" s="4" t="s">
        <v>607</v>
      </c>
      <c r="C153" s="6" t="s">
        <v>607</v>
      </c>
      <c r="D153" s="6" t="s">
        <v>607</v>
      </c>
      <c r="E153" s="6" t="s">
        <v>607</v>
      </c>
      <c r="F153" s="6" t="s">
        <v>607</v>
      </c>
      <c r="G153" s="4" t="s">
        <v>607</v>
      </c>
      <c r="H153" s="4" t="s">
        <v>607</v>
      </c>
      <c r="I153" s="4" t="s">
        <v>607</v>
      </c>
      <c r="J153" s="4" t="s">
        <v>607</v>
      </c>
      <c r="K153" s="4" t="s">
        <v>607</v>
      </c>
      <c r="L153" s="4" t="s">
        <v>607</v>
      </c>
      <c r="M153" s="4" t="s">
        <v>607</v>
      </c>
      <c r="N153" s="4" t="s">
        <v>607</v>
      </c>
      <c r="O153" s="4"/>
      <c r="P153" s="4"/>
      <c r="R153" s="166" t="b">
        <v>0</v>
      </c>
      <c r="T153" s="4"/>
      <c r="U153" s="166" t="b">
        <v>0</v>
      </c>
      <c r="V153" s="166" t="b">
        <v>0</v>
      </c>
      <c r="W153" s="166" t="b">
        <v>0</v>
      </c>
      <c r="X153" s="166" t="b">
        <v>0</v>
      </c>
    </row>
    <row r="154">
      <c r="A154" s="4" t="s">
        <v>3694</v>
      </c>
      <c r="B154" s="4" t="s">
        <v>221</v>
      </c>
      <c r="C154" s="6">
        <v>0.6145370370370381</v>
      </c>
      <c r="D154" s="6">
        <v>3.4722222222222224E-4</v>
      </c>
      <c r="E154" s="6">
        <v>0.6148842592592604</v>
      </c>
      <c r="F154" s="6"/>
      <c r="G154" s="4"/>
      <c r="H154" s="4" t="s">
        <v>81</v>
      </c>
      <c r="I154" s="4"/>
      <c r="J154" s="4"/>
      <c r="K154" s="4"/>
      <c r="L154" s="4"/>
      <c r="M154" s="4"/>
      <c r="N154" s="4"/>
      <c r="O154" s="4"/>
      <c r="P154" s="4"/>
      <c r="R154" s="166" t="b">
        <v>0</v>
      </c>
      <c r="T154" s="4"/>
      <c r="U154" s="166" t="b">
        <v>0</v>
      </c>
      <c r="V154" s="166" t="b">
        <v>0</v>
      </c>
      <c r="W154" s="166" t="b">
        <v>0</v>
      </c>
      <c r="X154" s="166" t="b">
        <v>0</v>
      </c>
    </row>
    <row r="155">
      <c r="A155" s="4" t="s">
        <v>3696</v>
      </c>
      <c r="B155" s="4" t="s">
        <v>221</v>
      </c>
      <c r="C155" s="6">
        <v>0.6148842592592604</v>
      </c>
      <c r="D155" s="6">
        <v>0.009733796296296296</v>
      </c>
      <c r="E155" s="6">
        <v>0.6246180555555567</v>
      </c>
      <c r="F155" s="6" t="s">
        <v>358</v>
      </c>
      <c r="G155" s="4" t="s">
        <v>3122</v>
      </c>
      <c r="H155" s="4" t="s">
        <v>2286</v>
      </c>
      <c r="I155" s="4" t="s">
        <v>2217</v>
      </c>
      <c r="J155" s="4"/>
      <c r="K155" s="4"/>
      <c r="L155" s="4"/>
      <c r="M155" s="4"/>
      <c r="N155" s="4" t="s">
        <v>2287</v>
      </c>
      <c r="O155" s="4"/>
      <c r="P155" s="4"/>
      <c r="R155" s="166" t="b">
        <v>1</v>
      </c>
      <c r="T155" s="4"/>
      <c r="U155" s="166" t="b">
        <v>0</v>
      </c>
      <c r="V155" s="166" t="b">
        <v>1</v>
      </c>
      <c r="W155" s="166" t="b">
        <v>1</v>
      </c>
      <c r="X155" s="166" t="b">
        <v>0</v>
      </c>
      <c r="Z155" s="80" t="s">
        <v>3700</v>
      </c>
    </row>
    <row r="156">
      <c r="A156" s="4" t="s">
        <v>3702</v>
      </c>
      <c r="B156" s="4" t="s">
        <v>221</v>
      </c>
      <c r="C156" s="6">
        <v>0.6246180555555567</v>
      </c>
      <c r="D156" s="6">
        <v>1.7361111111111112E-4</v>
      </c>
      <c r="E156" s="6">
        <v>0.6247916666666679</v>
      </c>
      <c r="F156" s="6"/>
      <c r="G156" s="4"/>
      <c r="H156" s="4" t="s">
        <v>85</v>
      </c>
      <c r="I156" s="4"/>
      <c r="J156" s="4"/>
      <c r="K156" s="4"/>
      <c r="L156" s="4"/>
      <c r="M156" s="4"/>
      <c r="N156" s="4"/>
      <c r="O156" s="4"/>
      <c r="P156" s="4"/>
      <c r="R156" s="166" t="b">
        <v>0</v>
      </c>
      <c r="T156" s="4"/>
      <c r="U156" s="166" t="b">
        <v>0</v>
      </c>
      <c r="V156" s="166" t="b">
        <v>0</v>
      </c>
      <c r="W156" s="166" t="b">
        <v>0</v>
      </c>
      <c r="X156" s="166" t="b">
        <v>0</v>
      </c>
    </row>
    <row r="157">
      <c r="A157" s="4" t="s">
        <v>3706</v>
      </c>
      <c r="B157" s="4" t="s">
        <v>607</v>
      </c>
      <c r="C157" s="6" t="s">
        <v>607</v>
      </c>
      <c r="D157" s="6" t="s">
        <v>607</v>
      </c>
      <c r="E157" s="6" t="s">
        <v>607</v>
      </c>
      <c r="F157" s="6" t="s">
        <v>607</v>
      </c>
      <c r="G157" s="4" t="s">
        <v>607</v>
      </c>
      <c r="H157" s="4" t="s">
        <v>607</v>
      </c>
      <c r="I157" s="4" t="s">
        <v>607</v>
      </c>
      <c r="J157" s="4" t="s">
        <v>607</v>
      </c>
      <c r="K157" s="4" t="s">
        <v>607</v>
      </c>
      <c r="L157" s="4" t="s">
        <v>607</v>
      </c>
      <c r="M157" s="4" t="s">
        <v>607</v>
      </c>
      <c r="N157" s="4" t="s">
        <v>607</v>
      </c>
      <c r="O157" s="4"/>
      <c r="P157" s="4"/>
      <c r="R157" s="166" t="b">
        <v>0</v>
      </c>
      <c r="T157" s="4"/>
      <c r="U157" s="166" t="b">
        <v>0</v>
      </c>
      <c r="V157" s="166" t="b">
        <v>0</v>
      </c>
      <c r="W157" s="166" t="b">
        <v>0</v>
      </c>
      <c r="X157" s="166" t="b">
        <v>0</v>
      </c>
    </row>
    <row r="158">
      <c r="A158" s="4" t="s">
        <v>3708</v>
      </c>
      <c r="B158" s="4" t="s">
        <v>221</v>
      </c>
      <c r="C158" s="6">
        <v>0.6251388888888901</v>
      </c>
      <c r="D158" s="6">
        <v>3.4722222222222224E-4</v>
      </c>
      <c r="E158" s="6">
        <v>0.6254861111111124</v>
      </c>
      <c r="F158" s="6"/>
      <c r="G158" s="4"/>
      <c r="H158" s="4" t="s">
        <v>81</v>
      </c>
      <c r="I158" s="4"/>
      <c r="J158" s="4"/>
      <c r="K158" s="4"/>
      <c r="L158" s="4"/>
      <c r="M158" s="4"/>
      <c r="N158" s="4"/>
      <c r="O158" s="4"/>
      <c r="P158" s="4"/>
      <c r="R158" s="166" t="b">
        <v>0</v>
      </c>
      <c r="T158" s="4"/>
      <c r="U158" s="166" t="b">
        <v>0</v>
      </c>
      <c r="V158" s="166" t="b">
        <v>0</v>
      </c>
      <c r="W158" s="166" t="b">
        <v>0</v>
      </c>
      <c r="X158" s="166" t="b">
        <v>0</v>
      </c>
    </row>
    <row r="159">
      <c r="A159" s="4" t="s">
        <v>3710</v>
      </c>
      <c r="B159" s="4" t="s">
        <v>221</v>
      </c>
      <c r="C159" s="6">
        <v>0.6254861111111124</v>
      </c>
      <c r="D159" s="6">
        <v>0.015092592592592593</v>
      </c>
      <c r="E159" s="6">
        <v>0.640578703703705</v>
      </c>
      <c r="F159" s="6" t="s">
        <v>1345</v>
      </c>
      <c r="G159" s="4" t="s">
        <v>3080</v>
      </c>
      <c r="H159" s="4" t="s">
        <v>2290</v>
      </c>
      <c r="I159" s="4" t="s">
        <v>3711</v>
      </c>
      <c r="J159" s="4"/>
      <c r="K159" s="4"/>
      <c r="L159" s="4"/>
      <c r="M159" s="4"/>
      <c r="N159" s="4" t="s">
        <v>2291</v>
      </c>
      <c r="O159" s="4"/>
      <c r="P159" s="4"/>
      <c r="R159" s="166" t="b">
        <v>1</v>
      </c>
      <c r="T159" s="4"/>
      <c r="U159" s="166" t="b">
        <v>0</v>
      </c>
      <c r="V159" s="166" t="b">
        <v>0</v>
      </c>
      <c r="W159" s="166" t="b">
        <v>0</v>
      </c>
      <c r="X159" s="166" t="b">
        <v>0</v>
      </c>
    </row>
    <row r="160">
      <c r="A160" s="4" t="s">
        <v>3715</v>
      </c>
      <c r="B160" s="4" t="s">
        <v>221</v>
      </c>
      <c r="C160" s="6">
        <v>0.640578703703705</v>
      </c>
      <c r="D160" s="6">
        <v>1.7361111111111112E-4</v>
      </c>
      <c r="E160" s="6">
        <v>0.6407523148148161</v>
      </c>
      <c r="F160" s="6"/>
      <c r="G160" s="4"/>
      <c r="H160" s="4" t="s">
        <v>85</v>
      </c>
      <c r="I160" s="4"/>
      <c r="J160" s="4"/>
      <c r="K160" s="4"/>
      <c r="L160" s="4"/>
      <c r="M160" s="4"/>
      <c r="N160" s="4"/>
      <c r="O160" s="4"/>
      <c r="P160" s="4"/>
      <c r="R160" s="166" t="b">
        <v>0</v>
      </c>
      <c r="T160" s="4"/>
      <c r="U160" s="166" t="b">
        <v>0</v>
      </c>
      <c r="V160" s="166" t="b">
        <v>0</v>
      </c>
      <c r="W160" s="166" t="b">
        <v>0</v>
      </c>
      <c r="X160" s="166" t="b">
        <v>0</v>
      </c>
    </row>
    <row r="161">
      <c r="A161" s="4" t="s">
        <v>3716</v>
      </c>
      <c r="B161" s="4" t="s">
        <v>221</v>
      </c>
      <c r="C161" s="6">
        <v>0.6407523148148161</v>
      </c>
      <c r="D161" s="6">
        <v>3.4722222222222224E-4</v>
      </c>
      <c r="E161" s="6">
        <v>0.6410995370370384</v>
      </c>
      <c r="F161" s="6"/>
      <c r="G161" s="4"/>
      <c r="H161" s="4" t="s">
        <v>81</v>
      </c>
      <c r="I161" s="4"/>
      <c r="J161" s="4"/>
      <c r="K161" s="4"/>
      <c r="L161" s="4"/>
      <c r="M161" s="4"/>
      <c r="N161" s="4"/>
      <c r="O161" s="4"/>
      <c r="P161" s="4"/>
      <c r="R161" s="166" t="b">
        <v>0</v>
      </c>
      <c r="T161" s="4"/>
      <c r="U161" s="166" t="b">
        <v>0</v>
      </c>
      <c r="V161" s="166" t="b">
        <v>0</v>
      </c>
      <c r="W161" s="166" t="b">
        <v>0</v>
      </c>
      <c r="X161" s="166" t="b">
        <v>0</v>
      </c>
    </row>
    <row r="162">
      <c r="A162" s="4" t="s">
        <v>3718</v>
      </c>
      <c r="B162" s="4" t="s">
        <v>221</v>
      </c>
      <c r="C162" s="6">
        <v>0.6410995370370384</v>
      </c>
      <c r="D162" s="6">
        <v>0.006944444444444444</v>
      </c>
      <c r="E162" s="6">
        <v>0.6480439814814828</v>
      </c>
      <c r="F162" s="6" t="s">
        <v>1345</v>
      </c>
      <c r="G162" s="4"/>
      <c r="H162" s="4" t="s">
        <v>2294</v>
      </c>
      <c r="I162" s="4" t="s">
        <v>3711</v>
      </c>
      <c r="J162" s="4" t="s">
        <v>2295</v>
      </c>
      <c r="K162" s="4" t="s">
        <v>2296</v>
      </c>
      <c r="L162" s="4" t="s">
        <v>1418</v>
      </c>
      <c r="M162" s="4" t="s">
        <v>1115</v>
      </c>
      <c r="N162" s="4" t="s">
        <v>2297</v>
      </c>
      <c r="O162" s="4"/>
      <c r="P162" s="45" t="s">
        <v>28</v>
      </c>
      <c r="R162" s="166" t="b">
        <v>1</v>
      </c>
      <c r="T162" s="4"/>
      <c r="U162" s="166" t="b">
        <v>0</v>
      </c>
      <c r="V162" s="166" t="b">
        <v>1</v>
      </c>
      <c r="W162" s="166" t="b">
        <v>1</v>
      </c>
      <c r="X162" s="166" t="b">
        <v>0</v>
      </c>
      <c r="Z162" s="111" t="s">
        <v>3720</v>
      </c>
    </row>
    <row r="163">
      <c r="A163" s="4" t="s">
        <v>3724</v>
      </c>
      <c r="B163" s="4" t="s">
        <v>221</v>
      </c>
      <c r="C163" s="6">
        <v>0.6480439814814828</v>
      </c>
      <c r="D163" s="6">
        <v>1.7361111111111112E-4</v>
      </c>
      <c r="E163" s="6">
        <v>0.6482175925925939</v>
      </c>
      <c r="F163" s="6"/>
      <c r="G163" s="4"/>
      <c r="H163" s="4" t="s">
        <v>85</v>
      </c>
      <c r="I163" s="4"/>
      <c r="J163" s="4"/>
      <c r="K163" s="4"/>
      <c r="L163" s="4"/>
      <c r="M163" s="4"/>
      <c r="N163" s="4"/>
      <c r="O163" s="4"/>
      <c r="P163" s="4"/>
      <c r="R163" s="166" t="b">
        <v>0</v>
      </c>
      <c r="T163" s="4"/>
      <c r="U163" s="166" t="b">
        <v>0</v>
      </c>
      <c r="V163" s="166" t="b">
        <v>0</v>
      </c>
      <c r="W163" s="166" t="b">
        <v>0</v>
      </c>
      <c r="X163" s="166" t="b">
        <v>0</v>
      </c>
    </row>
    <row r="164">
      <c r="A164" s="4" t="s">
        <v>3726</v>
      </c>
      <c r="B164" s="4" t="s">
        <v>221</v>
      </c>
      <c r="C164" s="6">
        <v>0.6482175925925939</v>
      </c>
      <c r="D164" s="6">
        <v>3.4722222222222224E-4</v>
      </c>
      <c r="E164" s="6">
        <v>0.6485648148148162</v>
      </c>
      <c r="F164" s="6"/>
      <c r="G164" s="4"/>
      <c r="H164" s="4" t="s">
        <v>2207</v>
      </c>
      <c r="I164" s="4"/>
      <c r="J164" s="4"/>
      <c r="K164" s="4"/>
      <c r="L164" s="4"/>
      <c r="M164" s="4"/>
      <c r="N164" s="4"/>
      <c r="O164" s="4"/>
      <c r="P164" s="4"/>
      <c r="R164" s="166" t="b">
        <v>0</v>
      </c>
      <c r="T164" s="4"/>
      <c r="U164" s="166" t="b">
        <v>0</v>
      </c>
      <c r="V164" s="166" t="b">
        <v>0</v>
      </c>
      <c r="W164" s="166" t="b">
        <v>0</v>
      </c>
      <c r="X164" s="166" t="b">
        <v>0</v>
      </c>
    </row>
    <row r="165">
      <c r="A165" s="4" t="s">
        <v>3729</v>
      </c>
      <c r="B165" s="4" t="s">
        <v>607</v>
      </c>
      <c r="C165" s="6" t="s">
        <v>607</v>
      </c>
      <c r="D165" s="6" t="s">
        <v>607</v>
      </c>
      <c r="E165" s="6" t="s">
        <v>607</v>
      </c>
      <c r="F165" s="6" t="s">
        <v>607</v>
      </c>
      <c r="G165" s="4" t="s">
        <v>607</v>
      </c>
      <c r="H165" s="4" t="s">
        <v>607</v>
      </c>
      <c r="I165" s="4" t="s">
        <v>607</v>
      </c>
      <c r="J165" s="4" t="s">
        <v>607</v>
      </c>
      <c r="K165" s="4" t="s">
        <v>607</v>
      </c>
      <c r="L165" s="4" t="s">
        <v>607</v>
      </c>
      <c r="M165" s="4" t="s">
        <v>607</v>
      </c>
      <c r="N165" s="4" t="s">
        <v>607</v>
      </c>
      <c r="O165" s="4"/>
      <c r="P165" s="4"/>
      <c r="R165" s="166" t="b">
        <v>0</v>
      </c>
      <c r="T165" s="4"/>
      <c r="U165" s="166" t="b">
        <v>0</v>
      </c>
      <c r="V165" s="166" t="b">
        <v>0</v>
      </c>
      <c r="W165" s="166" t="b">
        <v>0</v>
      </c>
      <c r="X165" s="166" t="b">
        <v>0</v>
      </c>
    </row>
    <row r="166">
      <c r="A166" s="4" t="s">
        <v>3731</v>
      </c>
      <c r="B166" s="4" t="s">
        <v>221</v>
      </c>
      <c r="C166" s="6">
        <v>0.6485648148148162</v>
      </c>
      <c r="D166" s="6">
        <v>3.4722222222222224E-4</v>
      </c>
      <c r="E166" s="6">
        <v>0.6489120370370385</v>
      </c>
      <c r="F166" s="6"/>
      <c r="G166" s="4"/>
      <c r="H166" s="4" t="s">
        <v>81</v>
      </c>
      <c r="I166" s="4"/>
      <c r="J166" s="4"/>
      <c r="K166" s="4"/>
      <c r="L166" s="4"/>
      <c r="M166" s="4"/>
      <c r="N166" s="4"/>
      <c r="O166" s="4"/>
      <c r="P166" s="4"/>
      <c r="R166" s="166" t="b">
        <v>0</v>
      </c>
      <c r="T166" s="4"/>
      <c r="U166" s="166" t="b">
        <v>0</v>
      </c>
      <c r="V166" s="166" t="b">
        <v>0</v>
      </c>
      <c r="W166" s="166" t="b">
        <v>0</v>
      </c>
      <c r="X166" s="166" t="b">
        <v>0</v>
      </c>
    </row>
    <row r="167">
      <c r="A167" s="4" t="s">
        <v>3735</v>
      </c>
      <c r="B167" s="4" t="s">
        <v>221</v>
      </c>
      <c r="C167" s="6">
        <v>0.6489120370370385</v>
      </c>
      <c r="D167" s="6">
        <v>0.01224537037037037</v>
      </c>
      <c r="E167" s="6">
        <v>0.6611574074074088</v>
      </c>
      <c r="F167" s="6" t="s">
        <v>1345</v>
      </c>
      <c r="G167" s="4" t="s">
        <v>3112</v>
      </c>
      <c r="H167" s="4" t="s">
        <v>2301</v>
      </c>
      <c r="I167" s="4" t="s">
        <v>2296</v>
      </c>
      <c r="J167" s="4"/>
      <c r="K167" s="4"/>
      <c r="L167" s="4"/>
      <c r="M167" s="4"/>
      <c r="N167" s="4" t="s">
        <v>2302</v>
      </c>
      <c r="O167" s="4"/>
      <c r="P167" s="4"/>
      <c r="R167" s="166" t="b">
        <v>1</v>
      </c>
      <c r="T167" s="4"/>
      <c r="U167" s="166" t="b">
        <v>0</v>
      </c>
      <c r="V167" s="166" t="b">
        <v>1</v>
      </c>
      <c r="W167" s="166" t="b">
        <v>1</v>
      </c>
      <c r="X167" s="166" t="b">
        <v>0</v>
      </c>
      <c r="Z167" s="80" t="s">
        <v>3737</v>
      </c>
    </row>
    <row r="168">
      <c r="A168" s="4" t="s">
        <v>3739</v>
      </c>
      <c r="B168" s="4" t="s">
        <v>221</v>
      </c>
      <c r="C168" s="6">
        <v>0.6611574074074088</v>
      </c>
      <c r="D168" s="6">
        <v>1.7361111111111112E-4</v>
      </c>
      <c r="E168" s="6">
        <v>0.6613310185185199</v>
      </c>
      <c r="F168" s="6"/>
      <c r="G168" s="4"/>
      <c r="H168" s="4" t="s">
        <v>85</v>
      </c>
      <c r="I168" s="4"/>
      <c r="J168" s="4"/>
      <c r="K168" s="4"/>
      <c r="L168" s="4"/>
      <c r="M168" s="4"/>
      <c r="N168" s="4"/>
      <c r="O168" s="4"/>
      <c r="P168" s="4"/>
      <c r="R168" s="166" t="b">
        <v>0</v>
      </c>
      <c r="T168" s="4"/>
      <c r="U168" s="166" t="b">
        <v>0</v>
      </c>
      <c r="V168" s="166" t="b">
        <v>0</v>
      </c>
      <c r="W168" s="166" t="b">
        <v>0</v>
      </c>
      <c r="X168" s="166" t="b">
        <v>0</v>
      </c>
    </row>
    <row r="169">
      <c r="A169" s="4" t="s">
        <v>3744</v>
      </c>
      <c r="B169" s="4" t="s">
        <v>221</v>
      </c>
      <c r="C169" s="6">
        <v>0.6613310185185199</v>
      </c>
      <c r="D169" s="6">
        <v>3.4722222222222224E-4</v>
      </c>
      <c r="E169" s="6">
        <v>0.6616782407407422</v>
      </c>
      <c r="F169" s="6"/>
      <c r="G169" s="4"/>
      <c r="H169" s="4" t="s">
        <v>2207</v>
      </c>
      <c r="I169" s="4"/>
      <c r="J169" s="4"/>
      <c r="K169" s="4"/>
      <c r="L169" s="4"/>
      <c r="M169" s="4"/>
      <c r="N169" s="4"/>
      <c r="O169" s="4"/>
      <c r="P169" s="4"/>
      <c r="R169" s="166" t="b">
        <v>0</v>
      </c>
      <c r="T169" s="4"/>
      <c r="U169" s="166" t="b">
        <v>0</v>
      </c>
      <c r="V169" s="166" t="b">
        <v>0</v>
      </c>
      <c r="W169" s="166" t="b">
        <v>0</v>
      </c>
      <c r="X169" s="166" t="b">
        <v>0</v>
      </c>
    </row>
    <row r="170">
      <c r="A170" s="4" t="s">
        <v>3748</v>
      </c>
      <c r="B170" s="4" t="s">
        <v>607</v>
      </c>
      <c r="C170" s="6" t="s">
        <v>607</v>
      </c>
      <c r="D170" s="6" t="s">
        <v>607</v>
      </c>
      <c r="E170" s="6" t="s">
        <v>607</v>
      </c>
      <c r="F170" s="6" t="s">
        <v>607</v>
      </c>
      <c r="G170" s="4" t="s">
        <v>607</v>
      </c>
      <c r="H170" s="4" t="s">
        <v>607</v>
      </c>
      <c r="I170" s="4" t="s">
        <v>607</v>
      </c>
      <c r="J170" s="4" t="s">
        <v>607</v>
      </c>
      <c r="K170" s="4" t="s">
        <v>607</v>
      </c>
      <c r="L170" s="4" t="s">
        <v>607</v>
      </c>
      <c r="M170" s="4" t="s">
        <v>607</v>
      </c>
      <c r="N170" s="4" t="s">
        <v>607</v>
      </c>
      <c r="O170" s="4"/>
      <c r="P170" s="4"/>
      <c r="R170" s="166" t="b">
        <v>0</v>
      </c>
      <c r="T170" s="4"/>
      <c r="U170" s="166" t="b">
        <v>0</v>
      </c>
      <c r="V170" s="166" t="b">
        <v>0</v>
      </c>
      <c r="W170" s="166" t="b">
        <v>0</v>
      </c>
      <c r="X170" s="166" t="b">
        <v>0</v>
      </c>
    </row>
    <row r="171">
      <c r="A171" s="4" t="s">
        <v>3752</v>
      </c>
      <c r="B171" s="4" t="s">
        <v>221</v>
      </c>
      <c r="C171" s="6">
        <v>0.6616782407407422</v>
      </c>
      <c r="D171" s="6">
        <v>3.4722222222222224E-4</v>
      </c>
      <c r="E171" s="6">
        <v>0.6620254629629645</v>
      </c>
      <c r="F171" s="6"/>
      <c r="G171" s="4"/>
      <c r="H171" s="4" t="s">
        <v>81</v>
      </c>
      <c r="I171" s="4"/>
      <c r="J171" s="4"/>
      <c r="K171" s="4"/>
      <c r="L171" s="4"/>
      <c r="M171" s="4"/>
      <c r="N171" s="4"/>
      <c r="O171" s="4"/>
      <c r="P171" s="4"/>
      <c r="R171" s="166" t="b">
        <v>0</v>
      </c>
      <c r="T171" s="4"/>
      <c r="U171" s="166" t="b">
        <v>0</v>
      </c>
      <c r="V171" s="166" t="b">
        <v>0</v>
      </c>
      <c r="W171" s="166" t="b">
        <v>0</v>
      </c>
      <c r="X171" s="166" t="b">
        <v>0</v>
      </c>
    </row>
    <row r="172">
      <c r="A172" s="4" t="s">
        <v>3755</v>
      </c>
      <c r="B172" s="4" t="s">
        <v>221</v>
      </c>
      <c r="C172" s="6">
        <v>0.6620254629629645</v>
      </c>
      <c r="D172" s="6">
        <v>0.012372685185185184</v>
      </c>
      <c r="E172" s="6">
        <v>0.6743981481481497</v>
      </c>
      <c r="F172" s="6" t="s">
        <v>164</v>
      </c>
      <c r="G172" s="4" t="s">
        <v>3757</v>
      </c>
      <c r="H172" s="4" t="s">
        <v>2306</v>
      </c>
      <c r="I172" s="4" t="s">
        <v>3758</v>
      </c>
      <c r="J172" s="4"/>
      <c r="K172" s="4"/>
      <c r="L172" s="4"/>
      <c r="M172" s="4"/>
      <c r="N172" s="4" t="s">
        <v>2307</v>
      </c>
      <c r="O172" s="4"/>
      <c r="P172" s="4"/>
      <c r="R172" s="166" t="b">
        <v>1</v>
      </c>
      <c r="T172" s="4"/>
      <c r="U172" s="166" t="b">
        <v>0</v>
      </c>
      <c r="V172" s="166" t="b">
        <v>1</v>
      </c>
      <c r="W172" s="166" t="b">
        <v>1</v>
      </c>
      <c r="X172" s="166" t="b">
        <v>0</v>
      </c>
      <c r="Y172" s="206"/>
      <c r="Z172" s="80" t="s">
        <v>3760</v>
      </c>
    </row>
    <row r="173">
      <c r="A173" s="4" t="s">
        <v>3765</v>
      </c>
      <c r="B173" s="4" t="s">
        <v>221</v>
      </c>
      <c r="C173" s="6">
        <v>0.6743981481481497</v>
      </c>
      <c r="D173" s="6">
        <v>1.7361111111111112E-4</v>
      </c>
      <c r="E173" s="6">
        <v>0.6745717592592608</v>
      </c>
      <c r="F173" s="6"/>
      <c r="G173" s="4"/>
      <c r="H173" s="4" t="s">
        <v>85</v>
      </c>
      <c r="I173" s="4"/>
      <c r="J173" s="4"/>
      <c r="K173" s="4"/>
      <c r="L173" s="4"/>
      <c r="M173" s="4"/>
      <c r="N173" s="4"/>
      <c r="O173" s="4"/>
      <c r="P173" s="4"/>
      <c r="R173" s="166" t="b">
        <v>0</v>
      </c>
      <c r="T173" s="4"/>
      <c r="U173" s="166" t="b">
        <v>0</v>
      </c>
      <c r="V173" s="166" t="b">
        <v>0</v>
      </c>
      <c r="W173" s="166" t="b">
        <v>0</v>
      </c>
      <c r="X173" s="166" t="b">
        <v>0</v>
      </c>
    </row>
    <row r="174">
      <c r="A174" s="4" t="s">
        <v>3768</v>
      </c>
      <c r="B174" s="4" t="s">
        <v>221</v>
      </c>
      <c r="C174" s="6">
        <v>0.6745717592592608</v>
      </c>
      <c r="D174" s="6">
        <v>1.1574074074074075E-4</v>
      </c>
      <c r="E174" s="6">
        <v>0.6746875000000015</v>
      </c>
      <c r="F174" s="6"/>
      <c r="G174" s="4"/>
      <c r="H174" s="4" t="s">
        <v>2102</v>
      </c>
      <c r="I174" s="4"/>
      <c r="J174" s="4"/>
      <c r="K174" s="4"/>
      <c r="L174" s="4"/>
      <c r="M174" s="4"/>
      <c r="N174" s="4"/>
      <c r="O174" s="4"/>
      <c r="P174" s="4"/>
      <c r="R174" s="166" t="b">
        <v>0</v>
      </c>
      <c r="T174" s="4"/>
      <c r="U174" s="166" t="b">
        <v>0</v>
      </c>
      <c r="V174" s="166" t="b">
        <v>0</v>
      </c>
      <c r="W174" s="166" t="b">
        <v>0</v>
      </c>
      <c r="X174" s="166" t="b">
        <v>0</v>
      </c>
    </row>
    <row r="175">
      <c r="A175" s="4" t="s">
        <v>3770</v>
      </c>
      <c r="B175" s="4" t="s">
        <v>607</v>
      </c>
      <c r="C175" s="6" t="s">
        <v>607</v>
      </c>
      <c r="D175" s="6" t="s">
        <v>607</v>
      </c>
      <c r="E175" s="6" t="s">
        <v>607</v>
      </c>
      <c r="F175" s="6" t="s">
        <v>607</v>
      </c>
      <c r="G175" s="4" t="s">
        <v>607</v>
      </c>
      <c r="H175" s="4" t="s">
        <v>607</v>
      </c>
      <c r="I175" s="4" t="s">
        <v>607</v>
      </c>
      <c r="J175" s="4" t="s">
        <v>607</v>
      </c>
      <c r="K175" s="4" t="s">
        <v>607</v>
      </c>
      <c r="L175" s="4" t="s">
        <v>607</v>
      </c>
      <c r="M175" s="4" t="s">
        <v>607</v>
      </c>
      <c r="N175" s="4" t="s">
        <v>607</v>
      </c>
      <c r="O175" s="4"/>
      <c r="P175" s="4"/>
      <c r="R175" s="166" t="b">
        <v>0</v>
      </c>
      <c r="T175" s="4"/>
      <c r="U175" s="166" t="b">
        <v>0</v>
      </c>
      <c r="V175" s="166" t="b">
        <v>0</v>
      </c>
      <c r="W175" s="166" t="b">
        <v>0</v>
      </c>
      <c r="X175" s="166" t="b">
        <v>0</v>
      </c>
    </row>
    <row r="176">
      <c r="A176" s="4" t="s">
        <v>3772</v>
      </c>
      <c r="B176" s="4" t="s">
        <v>221</v>
      </c>
      <c r="C176" s="6">
        <v>0.6750347222222238</v>
      </c>
      <c r="D176" s="6">
        <v>3.4722222222222224E-4</v>
      </c>
      <c r="E176" s="6">
        <v>0.6753819444444461</v>
      </c>
      <c r="F176" s="6"/>
      <c r="G176" s="4"/>
      <c r="H176" s="4" t="s">
        <v>81</v>
      </c>
      <c r="I176" s="4"/>
      <c r="J176" s="4"/>
      <c r="K176" s="4"/>
      <c r="L176" s="4"/>
      <c r="M176" s="4"/>
      <c r="N176" s="4"/>
      <c r="O176" s="4"/>
      <c r="P176" s="4"/>
      <c r="R176" s="166" t="b">
        <v>0</v>
      </c>
      <c r="T176" s="4"/>
      <c r="U176" s="166" t="b">
        <v>0</v>
      </c>
      <c r="V176" s="166" t="b">
        <v>0</v>
      </c>
      <c r="W176" s="166" t="b">
        <v>0</v>
      </c>
      <c r="X176" s="166" t="b">
        <v>0</v>
      </c>
    </row>
    <row r="177">
      <c r="A177" s="4" t="s">
        <v>3774</v>
      </c>
      <c r="B177" s="4" t="s">
        <v>221</v>
      </c>
      <c r="C177" s="6">
        <v>0.6753819444444461</v>
      </c>
      <c r="D177" s="6">
        <v>0.013391203703703704</v>
      </c>
      <c r="E177" s="6">
        <v>0.6887731481481498</v>
      </c>
      <c r="F177" s="6" t="s">
        <v>151</v>
      </c>
      <c r="G177" s="4" t="s">
        <v>3494</v>
      </c>
      <c r="H177" s="4" t="s">
        <v>2310</v>
      </c>
      <c r="I177" s="4" t="s">
        <v>3777</v>
      </c>
      <c r="J177" s="4"/>
      <c r="K177" s="4"/>
      <c r="L177" s="4"/>
      <c r="M177" s="4"/>
      <c r="N177" s="4" t="s">
        <v>2311</v>
      </c>
      <c r="O177" s="4"/>
      <c r="P177" s="4"/>
      <c r="R177" s="166" t="b">
        <v>1</v>
      </c>
      <c r="T177" s="4"/>
      <c r="U177" s="166" t="b">
        <v>0</v>
      </c>
      <c r="V177" s="166" t="b">
        <v>1</v>
      </c>
      <c r="W177" s="166" t="b">
        <v>1</v>
      </c>
      <c r="X177" s="166" t="b">
        <v>0</v>
      </c>
      <c r="Z177" s="80" t="s">
        <v>3778</v>
      </c>
    </row>
    <row r="178">
      <c r="A178" s="4" t="s">
        <v>3781</v>
      </c>
      <c r="B178" s="4" t="s">
        <v>221</v>
      </c>
      <c r="C178" s="6">
        <v>0.6887731481481498</v>
      </c>
      <c r="D178" s="6">
        <v>1.7361111111111112E-4</v>
      </c>
      <c r="E178" s="6">
        <v>0.688946759259261</v>
      </c>
      <c r="F178" s="6"/>
      <c r="G178" s="4"/>
      <c r="H178" s="4" t="s">
        <v>85</v>
      </c>
      <c r="I178" s="4"/>
      <c r="J178" s="4"/>
      <c r="K178" s="4"/>
      <c r="L178" s="4"/>
      <c r="M178" s="4"/>
      <c r="N178" s="4"/>
      <c r="O178" s="4"/>
      <c r="P178" s="4"/>
      <c r="R178" s="166" t="b">
        <v>0</v>
      </c>
      <c r="T178" s="4"/>
      <c r="U178" s="166" t="b">
        <v>0</v>
      </c>
      <c r="V178" s="166" t="b">
        <v>0</v>
      </c>
      <c r="W178" s="166" t="b">
        <v>0</v>
      </c>
      <c r="X178" s="166" t="b">
        <v>0</v>
      </c>
    </row>
    <row r="179">
      <c r="A179" s="4" t="s">
        <v>3784</v>
      </c>
      <c r="B179" s="4" t="s">
        <v>221</v>
      </c>
      <c r="C179" s="6">
        <v>0.688946759259261</v>
      </c>
      <c r="D179" s="6">
        <v>3.4722222222222224E-4</v>
      </c>
      <c r="E179" s="6">
        <v>0.6892939814814832</v>
      </c>
      <c r="F179" s="6"/>
      <c r="G179" s="4"/>
      <c r="H179" s="4" t="s">
        <v>81</v>
      </c>
      <c r="I179" s="4"/>
      <c r="J179" s="4"/>
      <c r="K179" s="4"/>
      <c r="L179" s="4"/>
      <c r="M179" s="4"/>
      <c r="N179" s="4"/>
      <c r="O179" s="4"/>
      <c r="P179" s="4"/>
      <c r="R179" s="166" t="b">
        <v>0</v>
      </c>
      <c r="T179" s="4"/>
      <c r="U179" s="166" t="b">
        <v>0</v>
      </c>
      <c r="V179" s="166" t="b">
        <v>0</v>
      </c>
      <c r="W179" s="166" t="b">
        <v>0</v>
      </c>
      <c r="X179" s="166" t="b">
        <v>0</v>
      </c>
    </row>
    <row r="180">
      <c r="A180" s="4" t="s">
        <v>3787</v>
      </c>
      <c r="B180" s="4" t="s">
        <v>221</v>
      </c>
      <c r="C180" s="6">
        <v>0.6892939814814832</v>
      </c>
      <c r="D180" s="6">
        <v>0.006944444444444444</v>
      </c>
      <c r="E180" s="6">
        <v>0.6962384259259277</v>
      </c>
      <c r="F180" s="6" t="s">
        <v>299</v>
      </c>
      <c r="G180" s="4"/>
      <c r="H180" s="4" t="s">
        <v>2313</v>
      </c>
      <c r="I180" s="4" t="s">
        <v>3758</v>
      </c>
      <c r="J180" s="4" t="s">
        <v>2314</v>
      </c>
      <c r="K180" s="4" t="s">
        <v>2315</v>
      </c>
      <c r="L180" s="4" t="s">
        <v>2316</v>
      </c>
      <c r="M180" s="4" t="s">
        <v>2317</v>
      </c>
      <c r="N180" s="4" t="s">
        <v>2318</v>
      </c>
      <c r="O180" s="4"/>
      <c r="P180" s="4"/>
      <c r="R180" s="166" t="b">
        <v>1</v>
      </c>
      <c r="T180" s="4"/>
      <c r="U180" s="166" t="b">
        <v>0</v>
      </c>
      <c r="V180" s="166" t="b">
        <v>1</v>
      </c>
      <c r="W180" s="166" t="b">
        <v>1</v>
      </c>
      <c r="X180" s="166" t="b">
        <v>0</v>
      </c>
      <c r="Z180" s="111" t="s">
        <v>3790</v>
      </c>
    </row>
    <row r="181">
      <c r="A181" s="4" t="s">
        <v>3793</v>
      </c>
      <c r="B181" s="4" t="s">
        <v>221</v>
      </c>
      <c r="C181" s="6">
        <v>0.6962384259259277</v>
      </c>
      <c r="D181" s="6">
        <v>1.7361111111111112E-4</v>
      </c>
      <c r="E181" s="6">
        <v>0.6964120370370388</v>
      </c>
      <c r="F181" s="6"/>
      <c r="G181" s="4"/>
      <c r="H181" s="4" t="s">
        <v>85</v>
      </c>
      <c r="I181" s="4"/>
      <c r="J181" s="4"/>
      <c r="K181" s="4"/>
      <c r="L181" s="4"/>
      <c r="M181" s="4"/>
      <c r="N181" s="4"/>
      <c r="O181" s="4"/>
      <c r="P181" s="4"/>
      <c r="R181" s="166" t="b">
        <v>0</v>
      </c>
      <c r="T181" s="4"/>
      <c r="U181" s="166" t="b">
        <v>0</v>
      </c>
      <c r="V181" s="166" t="b">
        <v>0</v>
      </c>
      <c r="W181" s="166" t="b">
        <v>0</v>
      </c>
      <c r="X181" s="166" t="b">
        <v>0</v>
      </c>
    </row>
    <row r="182">
      <c r="A182" s="4" t="s">
        <v>3797</v>
      </c>
      <c r="B182" s="4" t="s">
        <v>221</v>
      </c>
      <c r="C182" s="6">
        <v>0.6964120370370388</v>
      </c>
      <c r="D182" s="6">
        <v>3.4722222222222224E-4</v>
      </c>
      <c r="E182" s="6">
        <v>0.6967592592592611</v>
      </c>
      <c r="F182" s="6"/>
      <c r="G182" s="4"/>
      <c r="H182" s="4" t="s">
        <v>2207</v>
      </c>
      <c r="I182" s="4"/>
      <c r="J182" s="4"/>
      <c r="K182" s="4"/>
      <c r="L182" s="4"/>
      <c r="M182" s="4"/>
      <c r="N182" s="4"/>
      <c r="O182" s="4"/>
      <c r="P182" s="4"/>
      <c r="R182" s="166" t="b">
        <v>0</v>
      </c>
      <c r="T182" s="4"/>
      <c r="U182" s="166" t="b">
        <v>0</v>
      </c>
      <c r="V182" s="166" t="b">
        <v>0</v>
      </c>
      <c r="W182" s="166" t="b">
        <v>0</v>
      </c>
      <c r="X182" s="166" t="b">
        <v>0</v>
      </c>
    </row>
    <row r="183">
      <c r="A183" s="4" t="s">
        <v>3801</v>
      </c>
      <c r="B183" s="4" t="s">
        <v>221</v>
      </c>
      <c r="C183" s="6">
        <v>0.6967592592592611</v>
      </c>
      <c r="D183" s="6">
        <v>3.4722222222222224E-4</v>
      </c>
      <c r="E183" s="6">
        <v>0.6971064814814834</v>
      </c>
      <c r="F183" s="6"/>
      <c r="G183" s="4"/>
      <c r="H183" s="4" t="s">
        <v>81</v>
      </c>
      <c r="I183" s="4"/>
      <c r="J183" s="4"/>
      <c r="K183" s="4"/>
      <c r="L183" s="4"/>
      <c r="M183" s="4"/>
      <c r="N183" s="4"/>
      <c r="O183" s="4"/>
      <c r="P183" s="4"/>
      <c r="R183" s="166" t="b">
        <v>0</v>
      </c>
      <c r="T183" s="4"/>
      <c r="U183" s="166" t="b">
        <v>0</v>
      </c>
      <c r="V183" s="166" t="b">
        <v>0</v>
      </c>
      <c r="W183" s="166" t="b">
        <v>0</v>
      </c>
      <c r="X183" s="166" t="b">
        <v>0</v>
      </c>
    </row>
    <row r="184">
      <c r="A184" s="4" t="s">
        <v>3804</v>
      </c>
      <c r="B184" s="4" t="s">
        <v>221</v>
      </c>
      <c r="C184" s="6">
        <v>0.6971064814814834</v>
      </c>
      <c r="D184" s="6">
        <v>0.01105324074074074</v>
      </c>
      <c r="E184" s="6">
        <v>0.7081597222222241</v>
      </c>
      <c r="F184" s="6" t="s">
        <v>409</v>
      </c>
      <c r="G184" s="4" t="s">
        <v>3143</v>
      </c>
      <c r="H184" s="4" t="s">
        <v>2321</v>
      </c>
      <c r="I184" s="4" t="s">
        <v>3806</v>
      </c>
      <c r="J184" s="4"/>
      <c r="K184" s="4"/>
      <c r="L184" s="4"/>
      <c r="M184" s="4" t="s">
        <v>591</v>
      </c>
      <c r="N184" s="4" t="s">
        <v>2322</v>
      </c>
      <c r="O184" s="4"/>
      <c r="P184" s="4"/>
      <c r="R184" s="166" t="b">
        <v>1</v>
      </c>
      <c r="T184" s="4"/>
      <c r="U184" s="166" t="b">
        <v>0</v>
      </c>
      <c r="V184" s="166" t="b">
        <v>1</v>
      </c>
      <c r="W184" s="166" t="b">
        <v>1</v>
      </c>
      <c r="X184" s="166" t="b">
        <v>0</v>
      </c>
      <c r="Z184" s="111" t="s">
        <v>3808</v>
      </c>
    </row>
    <row r="185">
      <c r="A185" s="4" t="s">
        <v>3810</v>
      </c>
      <c r="B185" s="4" t="s">
        <v>221</v>
      </c>
      <c r="C185" s="6">
        <v>0.7081597222222241</v>
      </c>
      <c r="D185" s="6">
        <v>1.7361111111111112E-4</v>
      </c>
      <c r="E185" s="6">
        <v>0.7083333333333353</v>
      </c>
      <c r="F185" s="6"/>
      <c r="G185" s="4"/>
      <c r="H185" s="4" t="s">
        <v>85</v>
      </c>
      <c r="I185" s="4"/>
      <c r="J185" s="4"/>
      <c r="K185" s="4"/>
      <c r="L185" s="4"/>
      <c r="M185" s="4"/>
      <c r="N185" s="4"/>
      <c r="O185" s="4"/>
      <c r="P185" s="4"/>
      <c r="R185" s="166" t="b">
        <v>0</v>
      </c>
      <c r="T185" s="4"/>
      <c r="U185" s="166" t="b">
        <v>0</v>
      </c>
      <c r="V185" s="166" t="b">
        <v>0</v>
      </c>
      <c r="W185" s="166" t="b">
        <v>0</v>
      </c>
      <c r="X185" s="166" t="b">
        <v>0</v>
      </c>
    </row>
    <row r="186">
      <c r="A186" s="4" t="s">
        <v>3812</v>
      </c>
      <c r="B186" s="4"/>
      <c r="C186" s="6"/>
      <c r="D186" s="6"/>
      <c r="E186" s="6"/>
      <c r="F186" s="6"/>
      <c r="G186" s="4"/>
      <c r="H186" s="4"/>
      <c r="I186" s="4"/>
      <c r="J186" s="4"/>
      <c r="K186" s="4"/>
      <c r="L186" s="4"/>
      <c r="M186" s="4"/>
      <c r="N186" s="4"/>
      <c r="O186" s="4"/>
      <c r="P186" s="4"/>
      <c r="R186" s="166" t="b">
        <v>0</v>
      </c>
      <c r="T186" s="4"/>
      <c r="U186" s="166" t="b">
        <v>0</v>
      </c>
      <c r="V186" s="166" t="b">
        <v>0</v>
      </c>
      <c r="W186" s="166" t="b">
        <v>0</v>
      </c>
      <c r="X186" s="166" t="b">
        <v>0</v>
      </c>
    </row>
    <row r="187">
      <c r="A187" s="4" t="s">
        <v>3815</v>
      </c>
      <c r="B187" s="4"/>
      <c r="C187" s="6"/>
      <c r="D187" s="6"/>
      <c r="E187" s="6"/>
      <c r="F187" s="6"/>
      <c r="G187" s="4"/>
      <c r="H187" s="4"/>
      <c r="I187" s="4"/>
      <c r="J187" s="4"/>
      <c r="K187" s="4"/>
      <c r="L187" s="4"/>
      <c r="M187" s="4"/>
      <c r="N187" s="4"/>
      <c r="O187" s="4"/>
      <c r="P187" s="4"/>
      <c r="R187" s="166" t="b">
        <v>0</v>
      </c>
      <c r="T187" s="4"/>
      <c r="U187" s="166" t="b">
        <v>0</v>
      </c>
      <c r="V187" s="166" t="b">
        <v>0</v>
      </c>
      <c r="W187" s="166" t="b">
        <v>0</v>
      </c>
      <c r="X187" s="166" t="b">
        <v>0</v>
      </c>
    </row>
    <row r="188">
      <c r="A188" s="4" t="s">
        <v>3818</v>
      </c>
      <c r="B188" s="4"/>
      <c r="C188" s="6"/>
      <c r="D188" s="6"/>
      <c r="E188" s="6"/>
      <c r="F188" s="6"/>
      <c r="G188" s="4"/>
      <c r="H188" s="4"/>
      <c r="I188" s="4"/>
      <c r="J188" s="4"/>
      <c r="K188" s="4"/>
      <c r="L188" s="4"/>
      <c r="M188" s="4"/>
      <c r="N188" s="4"/>
      <c r="O188" s="4"/>
      <c r="P188" s="4"/>
      <c r="R188" s="166" t="b">
        <v>0</v>
      </c>
      <c r="T188" s="4"/>
      <c r="U188" s="166" t="b">
        <v>0</v>
      </c>
      <c r="V188" s="166" t="b">
        <v>0</v>
      </c>
      <c r="W188" s="166" t="b">
        <v>0</v>
      </c>
      <c r="X188" s="166" t="b">
        <v>0</v>
      </c>
    </row>
    <row r="189">
      <c r="A189" s="4" t="s">
        <v>3821</v>
      </c>
      <c r="B189" s="4"/>
      <c r="C189" s="6"/>
      <c r="D189" s="6"/>
      <c r="E189" s="6"/>
      <c r="F189" s="6"/>
      <c r="G189" s="4"/>
      <c r="H189" s="4"/>
      <c r="I189" s="4"/>
      <c r="J189" s="4"/>
      <c r="K189" s="4"/>
      <c r="L189" s="4"/>
      <c r="M189" s="4"/>
      <c r="N189" s="4"/>
      <c r="O189" s="4"/>
      <c r="P189" s="4"/>
      <c r="R189" s="166" t="b">
        <v>0</v>
      </c>
      <c r="T189" s="4"/>
      <c r="U189" s="166" t="b">
        <v>0</v>
      </c>
      <c r="V189" s="166" t="b">
        <v>0</v>
      </c>
      <c r="W189" s="166" t="b">
        <v>0</v>
      </c>
      <c r="X189" s="166" t="b">
        <v>0</v>
      </c>
    </row>
    <row r="190">
      <c r="A190" s="4" t="s">
        <v>3824</v>
      </c>
      <c r="B190" s="4"/>
      <c r="C190" s="6"/>
      <c r="D190" s="6"/>
      <c r="E190" s="6"/>
      <c r="F190" s="6"/>
      <c r="G190" s="4"/>
      <c r="H190" s="4"/>
      <c r="I190" s="4"/>
      <c r="J190" s="4"/>
      <c r="K190" s="4"/>
      <c r="L190" s="4"/>
      <c r="M190" s="4"/>
      <c r="N190" s="4"/>
      <c r="O190" s="4"/>
      <c r="P190" s="4"/>
      <c r="R190" s="166" t="b">
        <v>0</v>
      </c>
      <c r="T190" s="4"/>
      <c r="U190" s="166" t="b">
        <v>0</v>
      </c>
      <c r="V190" s="166" t="b">
        <v>0</v>
      </c>
      <c r="W190" s="166" t="b">
        <v>0</v>
      </c>
      <c r="X190" s="166" t="b">
        <v>0</v>
      </c>
    </row>
    <row r="191">
      <c r="A191" s="4" t="s">
        <v>3826</v>
      </c>
      <c r="B191" s="4"/>
      <c r="C191" s="6"/>
      <c r="D191" s="6"/>
      <c r="E191" s="6"/>
      <c r="F191" s="6"/>
      <c r="G191" s="4"/>
      <c r="H191" s="4"/>
      <c r="I191" s="4"/>
      <c r="J191" s="4"/>
      <c r="K191" s="4"/>
      <c r="L191" s="4"/>
      <c r="M191" s="4"/>
      <c r="N191" s="4"/>
      <c r="O191" s="4"/>
      <c r="P191" s="4"/>
      <c r="R191" s="166" t="b">
        <v>0</v>
      </c>
      <c r="T191" s="4"/>
      <c r="U191" s="166" t="b">
        <v>0</v>
      </c>
      <c r="V191" s="166" t="b">
        <v>0</v>
      </c>
      <c r="W191" s="166" t="b">
        <v>0</v>
      </c>
      <c r="X191" s="166" t="b">
        <v>0</v>
      </c>
    </row>
    <row r="192">
      <c r="A192" s="4" t="s">
        <v>3828</v>
      </c>
      <c r="B192" s="4"/>
      <c r="C192" s="6"/>
      <c r="D192" s="6"/>
      <c r="E192" s="6"/>
      <c r="F192" s="6"/>
      <c r="G192" s="4"/>
      <c r="H192" s="4"/>
      <c r="I192" s="4"/>
      <c r="J192" s="4"/>
      <c r="K192" s="4"/>
      <c r="L192" s="4"/>
      <c r="M192" s="4"/>
      <c r="N192" s="4"/>
      <c r="O192" s="4"/>
      <c r="P192" s="4"/>
      <c r="R192" s="166" t="b">
        <v>0</v>
      </c>
      <c r="T192" s="4"/>
      <c r="U192" s="166" t="b">
        <v>0</v>
      </c>
      <c r="V192" s="166" t="b">
        <v>0</v>
      </c>
      <c r="W192" s="166" t="b">
        <v>0</v>
      </c>
      <c r="X192" s="166" t="b">
        <v>0</v>
      </c>
    </row>
    <row r="193">
      <c r="A193" s="4" t="s">
        <v>3831</v>
      </c>
      <c r="B193" s="4"/>
      <c r="C193" s="6"/>
      <c r="D193" s="6"/>
      <c r="E193" s="6"/>
      <c r="F193" s="6"/>
      <c r="G193" s="4"/>
      <c r="H193" s="4"/>
      <c r="I193" s="4"/>
      <c r="J193" s="4"/>
      <c r="K193" s="4"/>
      <c r="L193" s="4"/>
      <c r="M193" s="4"/>
      <c r="N193" s="4"/>
      <c r="O193" s="4"/>
      <c r="P193" s="4"/>
      <c r="R193" s="166" t="b">
        <v>0</v>
      </c>
      <c r="T193" s="4"/>
      <c r="U193" s="166" t="b">
        <v>0</v>
      </c>
      <c r="V193" s="166" t="b">
        <v>0</v>
      </c>
      <c r="W193" s="166" t="b">
        <v>0</v>
      </c>
      <c r="X193" s="166" t="b">
        <v>0</v>
      </c>
    </row>
    <row r="194">
      <c r="A194" s="4" t="s">
        <v>3833</v>
      </c>
      <c r="B194" s="4"/>
      <c r="C194" s="6"/>
      <c r="D194" s="6"/>
      <c r="E194" s="6"/>
      <c r="F194" s="6"/>
      <c r="G194" s="4"/>
      <c r="H194" s="4"/>
      <c r="I194" s="4"/>
      <c r="J194" s="4"/>
      <c r="K194" s="4"/>
      <c r="L194" s="4"/>
      <c r="M194" s="4"/>
      <c r="N194" s="4"/>
      <c r="O194" s="4"/>
      <c r="P194" s="4"/>
      <c r="R194" s="166" t="b">
        <v>0</v>
      </c>
      <c r="T194" s="4"/>
      <c r="U194" s="166" t="b">
        <v>0</v>
      </c>
      <c r="V194" s="166" t="b">
        <v>0</v>
      </c>
      <c r="W194" s="166" t="b">
        <v>0</v>
      </c>
      <c r="X194" s="166" t="b">
        <v>0</v>
      </c>
    </row>
    <row r="195">
      <c r="A195" s="4" t="s">
        <v>3836</v>
      </c>
      <c r="B195" s="4"/>
      <c r="C195" s="6"/>
      <c r="D195" s="6"/>
      <c r="E195" s="6"/>
      <c r="F195" s="6"/>
      <c r="G195" s="4"/>
      <c r="H195" s="4"/>
      <c r="I195" s="4"/>
      <c r="J195" s="4"/>
      <c r="K195" s="4"/>
      <c r="L195" s="4"/>
      <c r="M195" s="4"/>
      <c r="N195" s="4"/>
      <c r="O195" s="4"/>
      <c r="P195" s="4"/>
      <c r="R195" s="166" t="b">
        <v>0</v>
      </c>
      <c r="T195" s="4"/>
      <c r="U195" s="166" t="b">
        <v>0</v>
      </c>
      <c r="V195" s="166" t="b">
        <v>0</v>
      </c>
      <c r="W195" s="166" t="b">
        <v>0</v>
      </c>
      <c r="X195" s="166" t="b">
        <v>0</v>
      </c>
    </row>
    <row r="196">
      <c r="A196" s="4" t="s">
        <v>3840</v>
      </c>
      <c r="B196" s="4"/>
      <c r="C196" s="6"/>
      <c r="D196" s="6"/>
      <c r="E196" s="6"/>
      <c r="F196" s="6"/>
      <c r="G196" s="4"/>
      <c r="H196" s="4"/>
      <c r="I196" s="4"/>
      <c r="J196" s="4"/>
      <c r="K196" s="4"/>
      <c r="L196" s="4"/>
      <c r="M196" s="4"/>
      <c r="N196" s="4"/>
      <c r="O196" s="4"/>
      <c r="P196" s="4"/>
      <c r="R196" s="166" t="b">
        <v>0</v>
      </c>
      <c r="T196" s="4"/>
      <c r="U196" s="166" t="b">
        <v>0</v>
      </c>
      <c r="V196" s="166" t="b">
        <v>0</v>
      </c>
      <c r="W196" s="166" t="b">
        <v>0</v>
      </c>
      <c r="X196" s="166" t="b">
        <v>0</v>
      </c>
    </row>
    <row r="197">
      <c r="A197" s="4" t="s">
        <v>3843</v>
      </c>
      <c r="B197" s="4"/>
      <c r="C197" s="6"/>
      <c r="D197" s="6"/>
      <c r="E197" s="6"/>
      <c r="F197" s="6"/>
      <c r="G197" s="4"/>
      <c r="H197" s="4"/>
      <c r="I197" s="4"/>
      <c r="J197" s="4"/>
      <c r="K197" s="4"/>
      <c r="L197" s="4"/>
      <c r="M197" s="4"/>
      <c r="N197" s="4"/>
      <c r="O197" s="4"/>
      <c r="P197" s="4"/>
      <c r="R197" s="166" t="b">
        <v>0</v>
      </c>
      <c r="T197" s="4"/>
      <c r="U197" s="166" t="b">
        <v>0</v>
      </c>
      <c r="V197" s="166" t="b">
        <v>0</v>
      </c>
      <c r="W197" s="166" t="b">
        <v>0</v>
      </c>
      <c r="X197" s="166" t="b">
        <v>0</v>
      </c>
    </row>
    <row r="198">
      <c r="A198" s="4" t="s">
        <v>3844</v>
      </c>
      <c r="B198" s="4"/>
      <c r="C198" s="6"/>
      <c r="D198" s="6"/>
      <c r="E198" s="6"/>
      <c r="F198" s="6"/>
      <c r="G198" s="4"/>
      <c r="H198" s="4"/>
      <c r="I198" s="4"/>
      <c r="J198" s="4"/>
      <c r="K198" s="4"/>
      <c r="L198" s="4"/>
      <c r="M198" s="4"/>
      <c r="N198" s="4"/>
      <c r="O198" s="4"/>
      <c r="P198" s="4"/>
      <c r="R198" s="166" t="b">
        <v>0</v>
      </c>
      <c r="T198" s="4"/>
      <c r="U198" s="166" t="b">
        <v>0</v>
      </c>
      <c r="V198" s="166" t="b">
        <v>0</v>
      </c>
      <c r="W198" s="166" t="b">
        <v>0</v>
      </c>
      <c r="X198" s="166" t="b">
        <v>0</v>
      </c>
    </row>
    <row r="199">
      <c r="A199" s="4" t="s">
        <v>3847</v>
      </c>
      <c r="B199" s="4" t="s">
        <v>344</v>
      </c>
      <c r="C199" s="6"/>
      <c r="D199" s="6"/>
      <c r="E199" s="6"/>
      <c r="F199" s="6"/>
      <c r="G199" s="4"/>
      <c r="H199" s="4"/>
      <c r="I199" s="4"/>
      <c r="J199" s="4"/>
      <c r="K199" s="4"/>
      <c r="L199" s="4"/>
      <c r="M199" s="4"/>
      <c r="N199" s="4"/>
      <c r="O199" s="4"/>
      <c r="P199" s="4"/>
      <c r="R199" s="166" t="b">
        <v>0</v>
      </c>
      <c r="T199" s="4"/>
      <c r="U199" s="166" t="b">
        <v>0</v>
      </c>
      <c r="V199" s="166" t="b">
        <v>0</v>
      </c>
      <c r="W199" s="166" t="b">
        <v>0</v>
      </c>
      <c r="X199" s="166" t="b">
        <v>0</v>
      </c>
    </row>
    <row r="200">
      <c r="A200" s="4" t="s">
        <v>3850</v>
      </c>
      <c r="B200" s="4" t="s">
        <v>289</v>
      </c>
      <c r="C200" s="6">
        <v>0.4166666666666667</v>
      </c>
      <c r="D200" s="6">
        <v>6.944444444444445E-4</v>
      </c>
      <c r="E200" s="6">
        <v>0.4173611111111111</v>
      </c>
      <c r="F200" s="6"/>
      <c r="G200" s="4"/>
      <c r="H200" s="4" t="s">
        <v>2079</v>
      </c>
      <c r="I200" s="4"/>
      <c r="J200" s="4"/>
      <c r="K200" s="4"/>
      <c r="L200" s="4"/>
      <c r="M200" s="4"/>
      <c r="N200" s="4"/>
      <c r="O200" s="4"/>
      <c r="P200" s="4"/>
      <c r="R200" s="166" t="b">
        <v>0</v>
      </c>
      <c r="T200" s="4"/>
      <c r="U200" s="166" t="b">
        <v>0</v>
      </c>
      <c r="V200" s="166" t="b">
        <v>0</v>
      </c>
      <c r="W200" s="166" t="b">
        <v>0</v>
      </c>
      <c r="X200" s="166" t="b">
        <v>0</v>
      </c>
    </row>
    <row r="201">
      <c r="A201" s="4" t="s">
        <v>3853</v>
      </c>
      <c r="B201" s="4" t="s">
        <v>289</v>
      </c>
      <c r="C201" s="6">
        <v>0.4173611111111111</v>
      </c>
      <c r="D201" s="6">
        <v>3.4722222222222224E-4</v>
      </c>
      <c r="E201" s="6">
        <v>0.41770833333333335</v>
      </c>
      <c r="F201" s="6"/>
      <c r="G201" s="4"/>
      <c r="H201" s="4" t="s">
        <v>81</v>
      </c>
      <c r="I201" s="4"/>
      <c r="J201" s="4"/>
      <c r="K201" s="4"/>
      <c r="L201" s="4"/>
      <c r="M201" s="4"/>
      <c r="N201" s="4"/>
      <c r="O201" s="4"/>
      <c r="P201" s="4"/>
      <c r="R201" s="166" t="b">
        <v>0</v>
      </c>
      <c r="T201" s="4"/>
      <c r="U201" s="166" t="b">
        <v>0</v>
      </c>
      <c r="V201" s="166" t="b">
        <v>0</v>
      </c>
      <c r="W201" s="166" t="b">
        <v>0</v>
      </c>
      <c r="X201" s="166" t="b">
        <v>0</v>
      </c>
    </row>
    <row r="202">
      <c r="A202" s="4" t="s">
        <v>3856</v>
      </c>
      <c r="B202" s="4" t="s">
        <v>289</v>
      </c>
      <c r="C202" s="6">
        <v>0.41770833333333335</v>
      </c>
      <c r="D202" s="6">
        <v>0.005729166666666666</v>
      </c>
      <c r="E202" s="6">
        <v>0.4234375</v>
      </c>
      <c r="F202" s="6" t="s">
        <v>195</v>
      </c>
      <c r="G202" s="4" t="s">
        <v>3112</v>
      </c>
      <c r="H202" s="4" t="s">
        <v>2327</v>
      </c>
      <c r="I202" s="4" t="s">
        <v>3857</v>
      </c>
      <c r="J202" s="4"/>
      <c r="K202" s="4"/>
      <c r="L202" s="4"/>
      <c r="M202" s="4"/>
      <c r="N202" s="4" t="s">
        <v>2328</v>
      </c>
      <c r="O202" s="4"/>
      <c r="P202" s="4"/>
      <c r="R202" s="166" t="b">
        <v>1</v>
      </c>
      <c r="T202" s="4"/>
      <c r="U202" s="166" t="b">
        <v>0</v>
      </c>
      <c r="V202" s="166" t="b">
        <v>1</v>
      </c>
      <c r="W202" s="166" t="b">
        <v>1</v>
      </c>
      <c r="X202" s="166" t="b">
        <v>0</v>
      </c>
      <c r="Z202" s="80" t="s">
        <v>3859</v>
      </c>
    </row>
    <row r="203">
      <c r="A203" s="4" t="s">
        <v>3863</v>
      </c>
      <c r="B203" s="4" t="s">
        <v>289</v>
      </c>
      <c r="C203" s="6">
        <v>0.4234375</v>
      </c>
      <c r="D203" s="6">
        <v>1.7361111111111112E-4</v>
      </c>
      <c r="E203" s="6">
        <v>0.42361111111111116</v>
      </c>
      <c r="F203" s="6"/>
      <c r="G203" s="4"/>
      <c r="H203" s="4" t="s">
        <v>85</v>
      </c>
      <c r="I203" s="4"/>
      <c r="J203" s="4"/>
      <c r="K203" s="4"/>
      <c r="L203" s="4"/>
      <c r="M203" s="4"/>
      <c r="N203" s="4"/>
      <c r="O203" s="4"/>
      <c r="P203" s="4"/>
      <c r="R203" s="166" t="b">
        <v>0</v>
      </c>
      <c r="T203" s="4"/>
      <c r="U203" s="166" t="b">
        <v>0</v>
      </c>
      <c r="V203" s="166" t="b">
        <v>0</v>
      </c>
      <c r="W203" s="166" t="b">
        <v>0</v>
      </c>
      <c r="X203" s="166" t="b">
        <v>0</v>
      </c>
    </row>
    <row r="204">
      <c r="A204" s="4" t="s">
        <v>3864</v>
      </c>
      <c r="B204" s="4" t="s">
        <v>607</v>
      </c>
      <c r="C204" s="6" t="s">
        <v>607</v>
      </c>
      <c r="D204" s="6" t="s">
        <v>607</v>
      </c>
      <c r="E204" s="6" t="s">
        <v>607</v>
      </c>
      <c r="F204" s="6" t="s">
        <v>607</v>
      </c>
      <c r="G204" s="4" t="s">
        <v>607</v>
      </c>
      <c r="H204" s="4" t="s">
        <v>607</v>
      </c>
      <c r="I204" s="4" t="s">
        <v>607</v>
      </c>
      <c r="J204" s="4" t="s">
        <v>607</v>
      </c>
      <c r="K204" s="4" t="s">
        <v>607</v>
      </c>
      <c r="L204" s="4" t="s">
        <v>607</v>
      </c>
      <c r="M204" s="4" t="s">
        <v>607</v>
      </c>
      <c r="N204" s="4" t="s">
        <v>607</v>
      </c>
      <c r="O204" s="4"/>
      <c r="P204" s="4"/>
      <c r="R204" s="166" t="b">
        <v>0</v>
      </c>
      <c r="T204" s="4"/>
      <c r="U204" s="166" t="b">
        <v>0</v>
      </c>
      <c r="V204" s="166" t="b">
        <v>0</v>
      </c>
      <c r="W204" s="166" t="b">
        <v>0</v>
      </c>
      <c r="X204" s="166" t="b">
        <v>0</v>
      </c>
    </row>
    <row r="205">
      <c r="A205" s="4" t="s">
        <v>3867</v>
      </c>
      <c r="B205" s="4" t="s">
        <v>289</v>
      </c>
      <c r="C205" s="6">
        <v>0.4239583333333334</v>
      </c>
      <c r="D205" s="6">
        <v>3.4722222222222224E-4</v>
      </c>
      <c r="E205" s="6">
        <v>0.4243055555555556</v>
      </c>
      <c r="F205" s="6"/>
      <c r="G205" s="4"/>
      <c r="H205" s="4" t="s">
        <v>81</v>
      </c>
      <c r="I205" s="4"/>
      <c r="J205" s="4"/>
      <c r="K205" s="4"/>
      <c r="L205" s="4"/>
      <c r="M205" s="4"/>
      <c r="N205" s="4"/>
      <c r="O205" s="4"/>
      <c r="P205" s="4"/>
      <c r="R205" s="166" t="b">
        <v>0</v>
      </c>
      <c r="T205" s="4"/>
      <c r="U205" s="166" t="b">
        <v>0</v>
      </c>
      <c r="V205" s="166" t="b">
        <v>0</v>
      </c>
      <c r="W205" s="166" t="b">
        <v>0</v>
      </c>
      <c r="X205" s="166" t="b">
        <v>0</v>
      </c>
    </row>
    <row r="206">
      <c r="A206" s="4" t="s">
        <v>3873</v>
      </c>
      <c r="B206" s="4" t="s">
        <v>289</v>
      </c>
      <c r="C206" s="6">
        <v>0.4243055555555556</v>
      </c>
      <c r="D206" s="6">
        <v>0.014328703703703703</v>
      </c>
      <c r="E206" s="6">
        <v>0.4386342592592593</v>
      </c>
      <c r="F206" s="6" t="s">
        <v>151</v>
      </c>
      <c r="G206" s="4" t="s">
        <v>3090</v>
      </c>
      <c r="H206" s="4" t="s">
        <v>2330</v>
      </c>
      <c r="I206" s="4" t="s">
        <v>3874</v>
      </c>
      <c r="J206" s="4"/>
      <c r="K206" s="4"/>
      <c r="L206" s="4"/>
      <c r="M206" s="4"/>
      <c r="N206" s="4" t="s">
        <v>2331</v>
      </c>
      <c r="O206" s="4"/>
      <c r="P206" s="4"/>
      <c r="R206" s="166" t="b">
        <v>1</v>
      </c>
      <c r="T206" s="4"/>
      <c r="U206" s="166" t="b">
        <v>0</v>
      </c>
      <c r="V206" s="166" t="b">
        <v>1</v>
      </c>
      <c r="W206" s="166" t="b">
        <v>1</v>
      </c>
      <c r="X206" s="166" t="b">
        <v>0</v>
      </c>
      <c r="Z206" s="80" t="s">
        <v>3875</v>
      </c>
    </row>
    <row r="207">
      <c r="A207" s="4" t="s">
        <v>3879</v>
      </c>
      <c r="B207" s="4" t="s">
        <v>289</v>
      </c>
      <c r="C207" s="6">
        <v>0.4386342592592593</v>
      </c>
      <c r="D207" s="6">
        <v>1.7361111111111112E-4</v>
      </c>
      <c r="E207" s="6">
        <v>0.43880787037037045</v>
      </c>
      <c r="F207" s="6"/>
      <c r="G207" s="4"/>
      <c r="H207" s="4" t="s">
        <v>85</v>
      </c>
      <c r="I207" s="4"/>
      <c r="J207" s="4"/>
      <c r="K207" s="4"/>
      <c r="L207" s="4"/>
      <c r="M207" s="4"/>
      <c r="N207" s="4"/>
      <c r="O207" s="4"/>
      <c r="P207" s="4"/>
      <c r="R207" s="166" t="b">
        <v>0</v>
      </c>
      <c r="T207" s="4"/>
      <c r="U207" s="166" t="b">
        <v>0</v>
      </c>
      <c r="V207" s="166" t="b">
        <v>0</v>
      </c>
      <c r="W207" s="166" t="b">
        <v>0</v>
      </c>
      <c r="X207" s="166" t="b">
        <v>0</v>
      </c>
    </row>
    <row r="208">
      <c r="A208" s="4" t="s">
        <v>3882</v>
      </c>
      <c r="B208" s="4" t="s">
        <v>289</v>
      </c>
      <c r="C208" s="6">
        <v>0.43880787037037045</v>
      </c>
      <c r="D208" s="6">
        <v>3.4722222222222224E-4</v>
      </c>
      <c r="E208" s="6">
        <v>0.43915509259259267</v>
      </c>
      <c r="F208" s="6"/>
      <c r="G208" s="4"/>
      <c r="H208" s="4" t="s">
        <v>81</v>
      </c>
      <c r="I208" s="4"/>
      <c r="J208" s="4"/>
      <c r="K208" s="4"/>
      <c r="L208" s="4"/>
      <c r="M208" s="4"/>
      <c r="N208" s="4"/>
      <c r="O208" s="4"/>
      <c r="P208" s="4"/>
      <c r="R208" s="166" t="b">
        <v>0</v>
      </c>
      <c r="T208" s="4"/>
      <c r="U208" s="166" t="b">
        <v>0</v>
      </c>
      <c r="V208" s="166" t="b">
        <v>0</v>
      </c>
      <c r="W208" s="166" t="b">
        <v>0</v>
      </c>
      <c r="X208" s="166" t="b">
        <v>0</v>
      </c>
    </row>
    <row r="209">
      <c r="A209" s="4" t="s">
        <v>3884</v>
      </c>
      <c r="B209" s="4" t="s">
        <v>289</v>
      </c>
      <c r="C209" s="6">
        <v>0.43915509259259267</v>
      </c>
      <c r="D209" s="6">
        <v>0.006944444444444444</v>
      </c>
      <c r="E209" s="6">
        <v>0.4460995370370371</v>
      </c>
      <c r="F209" s="6" t="s">
        <v>275</v>
      </c>
      <c r="G209" s="4"/>
      <c r="H209" s="4" t="s">
        <v>2334</v>
      </c>
      <c r="I209" s="4" t="s">
        <v>3886</v>
      </c>
      <c r="J209" s="4" t="s">
        <v>2335</v>
      </c>
      <c r="K209" s="4" t="s">
        <v>2336</v>
      </c>
      <c r="L209" s="4" t="s">
        <v>2337</v>
      </c>
      <c r="M209" s="4" t="s">
        <v>2338</v>
      </c>
      <c r="N209" s="4" t="s">
        <v>2339</v>
      </c>
      <c r="O209" s="4"/>
      <c r="P209" s="4"/>
      <c r="R209" s="166" t="b">
        <v>1</v>
      </c>
      <c r="T209" s="4"/>
      <c r="U209" s="166" t="b">
        <v>0</v>
      </c>
      <c r="V209" s="166" t="b">
        <v>1</v>
      </c>
      <c r="W209" s="166" t="b">
        <v>1</v>
      </c>
      <c r="X209" s="166" t="b">
        <v>0</v>
      </c>
      <c r="Z209" s="80" t="s">
        <v>3888</v>
      </c>
    </row>
    <row r="210">
      <c r="A210" s="4" t="s">
        <v>3891</v>
      </c>
      <c r="B210" s="4" t="s">
        <v>289</v>
      </c>
      <c r="C210" s="6">
        <v>0.4460995370370371</v>
      </c>
      <c r="D210" s="6">
        <v>1.7361111111111112E-4</v>
      </c>
      <c r="E210" s="6">
        <v>0.4462731481481482</v>
      </c>
      <c r="F210" s="6"/>
      <c r="G210" s="4"/>
      <c r="H210" s="4" t="s">
        <v>85</v>
      </c>
      <c r="I210" s="4"/>
      <c r="J210" s="4"/>
      <c r="K210" s="4"/>
      <c r="L210" s="4"/>
      <c r="M210" s="4"/>
      <c r="N210" s="4"/>
      <c r="O210" s="4"/>
      <c r="P210" s="4"/>
      <c r="R210" s="166" t="b">
        <v>0</v>
      </c>
      <c r="T210" s="4"/>
      <c r="U210" s="166" t="b">
        <v>0</v>
      </c>
      <c r="V210" s="166" t="b">
        <v>0</v>
      </c>
      <c r="W210" s="166" t="b">
        <v>0</v>
      </c>
      <c r="X210" s="166" t="b">
        <v>0</v>
      </c>
    </row>
    <row r="211">
      <c r="A211" s="4" t="s">
        <v>3893</v>
      </c>
      <c r="B211" s="4" t="s">
        <v>289</v>
      </c>
      <c r="C211" s="6">
        <v>0.4462731481481482</v>
      </c>
      <c r="D211" s="6">
        <v>5.208333333333333E-4</v>
      </c>
      <c r="E211" s="6">
        <v>0.4467939814814816</v>
      </c>
      <c r="F211" s="6"/>
      <c r="G211" s="4"/>
      <c r="H211" s="4" t="s">
        <v>2140</v>
      </c>
      <c r="I211" s="4"/>
      <c r="J211" s="4"/>
      <c r="K211" s="4"/>
      <c r="L211" s="4"/>
      <c r="M211" s="4"/>
      <c r="N211" s="4"/>
      <c r="O211" s="4"/>
      <c r="P211" s="4"/>
      <c r="R211" s="166" t="b">
        <v>0</v>
      </c>
      <c r="T211" s="4"/>
      <c r="U211" s="166" t="b">
        <v>0</v>
      </c>
      <c r="V211" s="166" t="b">
        <v>0</v>
      </c>
      <c r="W211" s="166" t="b">
        <v>0</v>
      </c>
      <c r="X211" s="166" t="b">
        <v>0</v>
      </c>
    </row>
    <row r="212">
      <c r="A212" s="4" t="s">
        <v>3896</v>
      </c>
      <c r="B212" s="4" t="s">
        <v>289</v>
      </c>
      <c r="C212" s="6">
        <v>0.4467939814814816</v>
      </c>
      <c r="D212" s="6">
        <v>7.291666666666667E-4</v>
      </c>
      <c r="E212" s="6">
        <v>0.44752314814814825</v>
      </c>
      <c r="F212" s="6"/>
      <c r="G212" s="4"/>
      <c r="H212" s="4" t="s">
        <v>2102</v>
      </c>
      <c r="I212" s="4"/>
      <c r="J212" s="4"/>
      <c r="K212" s="4"/>
      <c r="L212" s="4"/>
      <c r="M212" s="4"/>
      <c r="N212" s="4"/>
      <c r="O212" s="4"/>
      <c r="P212" s="4"/>
      <c r="R212" s="166" t="b">
        <v>0</v>
      </c>
      <c r="T212" s="4"/>
      <c r="U212" s="166" t="b">
        <v>0</v>
      </c>
      <c r="V212" s="166" t="b">
        <v>0</v>
      </c>
      <c r="W212" s="166" t="b">
        <v>0</v>
      </c>
      <c r="X212" s="166" t="b">
        <v>0</v>
      </c>
    </row>
    <row r="213">
      <c r="A213" s="4" t="s">
        <v>3898</v>
      </c>
      <c r="B213" s="4" t="s">
        <v>607</v>
      </c>
      <c r="C213" s="6" t="s">
        <v>607</v>
      </c>
      <c r="D213" s="6" t="s">
        <v>607</v>
      </c>
      <c r="E213" s="6" t="s">
        <v>607</v>
      </c>
      <c r="F213" s="6" t="s">
        <v>607</v>
      </c>
      <c r="G213" s="4" t="s">
        <v>607</v>
      </c>
      <c r="H213" s="4" t="s">
        <v>607</v>
      </c>
      <c r="I213" s="4" t="s">
        <v>607</v>
      </c>
      <c r="J213" s="4" t="s">
        <v>607</v>
      </c>
      <c r="K213" s="4" t="s">
        <v>607</v>
      </c>
      <c r="L213" s="4" t="s">
        <v>607</v>
      </c>
      <c r="M213" s="4" t="s">
        <v>607</v>
      </c>
      <c r="N213" s="4" t="s">
        <v>607</v>
      </c>
      <c r="O213" s="4"/>
      <c r="P213" s="4"/>
      <c r="R213" s="166" t="b">
        <v>0</v>
      </c>
      <c r="T213" s="4"/>
      <c r="U213" s="166" t="b">
        <v>0</v>
      </c>
      <c r="V213" s="166" t="b">
        <v>0</v>
      </c>
      <c r="W213" s="166" t="b">
        <v>0</v>
      </c>
      <c r="X213" s="166" t="b">
        <v>0</v>
      </c>
    </row>
    <row r="214">
      <c r="A214" s="4" t="s">
        <v>3902</v>
      </c>
      <c r="B214" s="4" t="s">
        <v>289</v>
      </c>
      <c r="C214" s="6">
        <v>0.44752314814814825</v>
      </c>
      <c r="D214" s="6">
        <v>3.4722222222222224E-4</v>
      </c>
      <c r="E214" s="6">
        <v>0.4478703703703705</v>
      </c>
      <c r="F214" s="6"/>
      <c r="G214" s="4"/>
      <c r="H214" s="4" t="s">
        <v>81</v>
      </c>
      <c r="I214" s="4"/>
      <c r="J214" s="4"/>
      <c r="K214" s="4"/>
      <c r="L214" s="4"/>
      <c r="M214" s="4"/>
      <c r="N214" s="4"/>
      <c r="O214" s="4"/>
      <c r="P214" s="4"/>
      <c r="R214" s="166" t="b">
        <v>0</v>
      </c>
      <c r="T214" s="4"/>
      <c r="U214" s="166" t="b">
        <v>0</v>
      </c>
      <c r="V214" s="166" t="b">
        <v>0</v>
      </c>
      <c r="W214" s="166" t="b">
        <v>0</v>
      </c>
      <c r="X214" s="166" t="b">
        <v>0</v>
      </c>
    </row>
    <row r="215">
      <c r="A215" s="4" t="s">
        <v>3904</v>
      </c>
      <c r="B215" s="4" t="s">
        <v>289</v>
      </c>
      <c r="C215" s="6">
        <v>0.4478703703703705</v>
      </c>
      <c r="D215" s="6">
        <v>0.019363425925925926</v>
      </c>
      <c r="E215" s="6">
        <v>0.4672337962962964</v>
      </c>
      <c r="F215" s="6" t="s">
        <v>394</v>
      </c>
      <c r="G215" s="4" t="s">
        <v>3494</v>
      </c>
      <c r="H215" s="4" t="s">
        <v>2341</v>
      </c>
      <c r="I215" s="4" t="s">
        <v>3504</v>
      </c>
      <c r="J215" s="4" t="s">
        <v>614</v>
      </c>
      <c r="K215" s="4"/>
      <c r="L215" s="4"/>
      <c r="M215" s="4"/>
      <c r="N215" s="4" t="s">
        <v>2342</v>
      </c>
      <c r="O215" s="4"/>
      <c r="P215" s="4"/>
      <c r="R215" s="166" t="b">
        <v>1</v>
      </c>
      <c r="T215" s="4"/>
      <c r="U215" s="166" t="b">
        <v>0</v>
      </c>
      <c r="V215" s="166" t="b">
        <v>1</v>
      </c>
      <c r="W215" s="166" t="b">
        <v>1</v>
      </c>
      <c r="X215" s="166" t="b">
        <v>0</v>
      </c>
      <c r="Z215" s="80" t="s">
        <v>3907</v>
      </c>
    </row>
    <row r="216">
      <c r="A216" s="4" t="s">
        <v>3908</v>
      </c>
      <c r="B216" s="4" t="s">
        <v>289</v>
      </c>
      <c r="C216" s="6">
        <v>0.4672337962962964</v>
      </c>
      <c r="D216" s="6">
        <v>1.7361111111111112E-4</v>
      </c>
      <c r="E216" s="6">
        <v>0.46740740740740755</v>
      </c>
      <c r="F216" s="6"/>
      <c r="G216" s="4"/>
      <c r="H216" s="4" t="s">
        <v>85</v>
      </c>
      <c r="I216" s="4"/>
      <c r="J216" s="4"/>
      <c r="K216" s="4"/>
      <c r="L216" s="4"/>
      <c r="M216" s="4"/>
      <c r="N216" s="4"/>
      <c r="O216" s="4"/>
      <c r="P216" s="4"/>
      <c r="R216" s="166" t="b">
        <v>0</v>
      </c>
      <c r="T216" s="4"/>
      <c r="U216" s="166" t="b">
        <v>0</v>
      </c>
      <c r="V216" s="166" t="b">
        <v>0</v>
      </c>
      <c r="W216" s="166" t="b">
        <v>0</v>
      </c>
      <c r="X216" s="166" t="b">
        <v>0</v>
      </c>
    </row>
    <row r="217">
      <c r="A217" s="4" t="s">
        <v>3911</v>
      </c>
      <c r="B217" s="4" t="s">
        <v>607</v>
      </c>
      <c r="C217" s="6" t="s">
        <v>607</v>
      </c>
      <c r="D217" s="6" t="s">
        <v>607</v>
      </c>
      <c r="E217" s="6" t="s">
        <v>607</v>
      </c>
      <c r="F217" s="6" t="s">
        <v>607</v>
      </c>
      <c r="G217" s="4" t="s">
        <v>607</v>
      </c>
      <c r="H217" s="4" t="s">
        <v>607</v>
      </c>
      <c r="I217" s="4" t="s">
        <v>607</v>
      </c>
      <c r="J217" s="4" t="s">
        <v>607</v>
      </c>
      <c r="K217" s="4" t="s">
        <v>607</v>
      </c>
      <c r="L217" s="4" t="s">
        <v>607</v>
      </c>
      <c r="M217" s="4" t="s">
        <v>607</v>
      </c>
      <c r="N217" s="4" t="s">
        <v>607</v>
      </c>
      <c r="O217" s="4"/>
      <c r="P217" s="4"/>
      <c r="R217" s="166" t="b">
        <v>0</v>
      </c>
      <c r="T217" s="4"/>
      <c r="U217" s="166" t="b">
        <v>0</v>
      </c>
      <c r="V217" s="166" t="b">
        <v>0</v>
      </c>
      <c r="W217" s="166" t="b">
        <v>0</v>
      </c>
      <c r="X217" s="166" t="b">
        <v>0</v>
      </c>
    </row>
    <row r="218">
      <c r="A218" s="4" t="s">
        <v>3914</v>
      </c>
      <c r="B218" s="4" t="s">
        <v>289</v>
      </c>
      <c r="C218" s="6">
        <v>0.46740740740740755</v>
      </c>
      <c r="D218" s="6">
        <v>3.4722222222222224E-4</v>
      </c>
      <c r="E218" s="6">
        <v>0.46775462962962977</v>
      </c>
      <c r="F218" s="6"/>
      <c r="G218" s="4"/>
      <c r="H218" s="4" t="s">
        <v>81</v>
      </c>
      <c r="I218" s="4"/>
      <c r="J218" s="4"/>
      <c r="K218" s="4"/>
      <c r="L218" s="4"/>
      <c r="M218" s="4"/>
      <c r="N218" s="4"/>
      <c r="O218" s="4"/>
      <c r="P218" s="4"/>
      <c r="R218" s="166" t="b">
        <v>0</v>
      </c>
      <c r="T218" s="4"/>
      <c r="U218" s="166" t="b">
        <v>0</v>
      </c>
      <c r="V218" s="166" t="b">
        <v>0</v>
      </c>
      <c r="W218" s="166" t="b">
        <v>0</v>
      </c>
      <c r="X218" s="166" t="b">
        <v>0</v>
      </c>
    </row>
    <row r="219">
      <c r="A219" s="4" t="s">
        <v>3915</v>
      </c>
      <c r="B219" s="4" t="s">
        <v>289</v>
      </c>
      <c r="C219" s="6">
        <v>0.46775462962962977</v>
      </c>
      <c r="D219" s="6">
        <v>0.00912037037037037</v>
      </c>
      <c r="E219" s="6">
        <v>0.47687500000000016</v>
      </c>
      <c r="F219" s="6" t="s">
        <v>358</v>
      </c>
      <c r="G219" s="4" t="s">
        <v>3143</v>
      </c>
      <c r="H219" s="4" t="s">
        <v>2344</v>
      </c>
      <c r="I219" s="4" t="s">
        <v>2349</v>
      </c>
      <c r="J219" s="4"/>
      <c r="K219" s="4"/>
      <c r="L219" s="4"/>
      <c r="M219" s="4"/>
      <c r="N219" s="4" t="s">
        <v>2345</v>
      </c>
      <c r="O219" s="4"/>
      <c r="P219" s="4"/>
      <c r="R219" s="166" t="b">
        <v>1</v>
      </c>
      <c r="T219" s="4"/>
      <c r="U219" s="166" t="b">
        <v>0</v>
      </c>
      <c r="V219" s="166" t="b">
        <v>1</v>
      </c>
      <c r="W219" s="166" t="b">
        <v>1</v>
      </c>
      <c r="X219" s="166" t="b">
        <v>0</v>
      </c>
      <c r="Z219" s="80" t="s">
        <v>3918</v>
      </c>
    </row>
    <row r="220">
      <c r="A220" s="4" t="s">
        <v>3921</v>
      </c>
      <c r="B220" s="4" t="s">
        <v>289</v>
      </c>
      <c r="C220" s="6">
        <v>0.47687500000000016</v>
      </c>
      <c r="D220" s="6">
        <v>1.7361111111111112E-4</v>
      </c>
      <c r="E220" s="6">
        <v>0.4770486111111113</v>
      </c>
      <c r="F220" s="6"/>
      <c r="G220" s="4"/>
      <c r="H220" s="4" t="s">
        <v>85</v>
      </c>
      <c r="I220" s="4"/>
      <c r="J220" s="4"/>
      <c r="K220" s="4"/>
      <c r="L220" s="4"/>
      <c r="M220" s="4"/>
      <c r="N220" s="4"/>
      <c r="O220" s="4"/>
      <c r="P220" s="4"/>
      <c r="R220" s="166" t="b">
        <v>0</v>
      </c>
      <c r="T220" s="4"/>
      <c r="U220" s="166" t="b">
        <v>0</v>
      </c>
      <c r="V220" s="166" t="b">
        <v>0</v>
      </c>
      <c r="W220" s="166" t="b">
        <v>0</v>
      </c>
      <c r="X220" s="166" t="b">
        <v>0</v>
      </c>
    </row>
    <row r="221">
      <c r="A221" s="4" t="s">
        <v>3923</v>
      </c>
      <c r="B221" s="4" t="s">
        <v>289</v>
      </c>
      <c r="C221" s="6">
        <v>0.4770486111111113</v>
      </c>
      <c r="D221" s="6">
        <v>3.4722222222222224E-4</v>
      </c>
      <c r="E221" s="6">
        <v>0.4773958333333335</v>
      </c>
      <c r="F221" s="6"/>
      <c r="G221" s="4"/>
      <c r="H221" s="4" t="s">
        <v>2207</v>
      </c>
      <c r="I221" s="4"/>
      <c r="J221" s="4"/>
      <c r="K221" s="4"/>
      <c r="L221" s="4"/>
      <c r="M221" s="4"/>
      <c r="N221" s="4"/>
      <c r="O221" s="4"/>
      <c r="P221" s="4"/>
      <c r="R221" s="166" t="b">
        <v>0</v>
      </c>
      <c r="T221" s="4"/>
      <c r="U221" s="166" t="b">
        <v>0</v>
      </c>
      <c r="V221" s="166" t="b">
        <v>0</v>
      </c>
      <c r="W221" s="166" t="b">
        <v>0</v>
      </c>
      <c r="X221" s="166" t="b">
        <v>0</v>
      </c>
    </row>
    <row r="222">
      <c r="A222" s="4" t="s">
        <v>3925</v>
      </c>
      <c r="B222" s="4" t="s">
        <v>289</v>
      </c>
      <c r="C222" s="6">
        <v>0.4773958333333335</v>
      </c>
      <c r="D222" s="6">
        <v>3.4722222222222224E-4</v>
      </c>
      <c r="E222" s="6">
        <v>0.47774305555555574</v>
      </c>
      <c r="F222" s="6"/>
      <c r="G222" s="4"/>
      <c r="H222" s="4" t="s">
        <v>81</v>
      </c>
      <c r="I222" s="4"/>
      <c r="J222" s="4"/>
      <c r="K222" s="4"/>
      <c r="L222" s="4"/>
      <c r="M222" s="4"/>
      <c r="N222" s="4"/>
      <c r="O222" s="4"/>
      <c r="P222" s="4"/>
      <c r="R222" s="166" t="b">
        <v>0</v>
      </c>
      <c r="T222" s="4"/>
      <c r="U222" s="166" t="b">
        <v>0</v>
      </c>
      <c r="V222" s="166" t="b">
        <v>0</v>
      </c>
      <c r="W222" s="166" t="b">
        <v>0</v>
      </c>
      <c r="X222" s="166" t="b">
        <v>0</v>
      </c>
    </row>
    <row r="223">
      <c r="A223" s="4" t="s">
        <v>3927</v>
      </c>
      <c r="B223" s="4" t="s">
        <v>289</v>
      </c>
      <c r="C223" s="6">
        <v>0.47774305555555574</v>
      </c>
      <c r="D223" s="6">
        <v>0.006944444444444444</v>
      </c>
      <c r="E223" s="6">
        <v>0.48468750000000016</v>
      </c>
      <c r="F223" s="6" t="s">
        <v>106</v>
      </c>
      <c r="G223" s="4"/>
      <c r="H223" s="4" t="s">
        <v>2348</v>
      </c>
      <c r="I223" s="4" t="s">
        <v>3091</v>
      </c>
      <c r="J223" s="4" t="s">
        <v>2349</v>
      </c>
      <c r="K223" s="4" t="s">
        <v>2350</v>
      </c>
      <c r="L223" s="4" t="s">
        <v>2351</v>
      </c>
      <c r="M223" s="4" t="s">
        <v>2352</v>
      </c>
      <c r="N223" s="4" t="s">
        <v>2354</v>
      </c>
      <c r="O223" s="4"/>
      <c r="P223" s="4"/>
      <c r="R223" s="166" t="b">
        <v>1</v>
      </c>
      <c r="T223" s="4"/>
      <c r="U223" s="166" t="b">
        <v>0</v>
      </c>
      <c r="V223" s="166" t="b">
        <v>1</v>
      </c>
      <c r="W223" s="166" t="b">
        <v>1</v>
      </c>
      <c r="X223" s="166" t="b">
        <v>0</v>
      </c>
      <c r="Z223" s="111" t="s">
        <v>3931</v>
      </c>
    </row>
    <row r="224">
      <c r="A224" s="4" t="s">
        <v>3933</v>
      </c>
      <c r="B224" s="4" t="s">
        <v>289</v>
      </c>
      <c r="C224" s="6">
        <v>0.48468750000000016</v>
      </c>
      <c r="D224" s="6">
        <v>1.7361111111111112E-4</v>
      </c>
      <c r="E224" s="6">
        <v>0.4848611111111113</v>
      </c>
      <c r="F224" s="6"/>
      <c r="G224" s="4"/>
      <c r="H224" s="4" t="s">
        <v>85</v>
      </c>
      <c r="I224" s="4"/>
      <c r="J224" s="4"/>
      <c r="K224" s="4"/>
      <c r="L224" s="4"/>
      <c r="M224" s="4"/>
      <c r="N224" s="4"/>
      <c r="O224" s="4"/>
      <c r="P224" s="4"/>
      <c r="R224" s="166" t="b">
        <v>0</v>
      </c>
      <c r="T224" s="4"/>
      <c r="U224" s="166" t="b">
        <v>0</v>
      </c>
      <c r="V224" s="166" t="b">
        <v>0</v>
      </c>
      <c r="W224" s="166" t="b">
        <v>0</v>
      </c>
      <c r="X224" s="166" t="b">
        <v>0</v>
      </c>
    </row>
    <row r="225">
      <c r="A225" s="4" t="s">
        <v>3936</v>
      </c>
      <c r="B225" s="4" t="s">
        <v>289</v>
      </c>
      <c r="C225" s="6">
        <v>0.4848611111111113</v>
      </c>
      <c r="D225" s="6">
        <v>5.208333333333333E-4</v>
      </c>
      <c r="E225" s="6">
        <v>0.48538194444444466</v>
      </c>
      <c r="F225" s="6"/>
      <c r="G225" s="4"/>
      <c r="H225" s="4" t="s">
        <v>2140</v>
      </c>
      <c r="I225" s="4"/>
      <c r="J225" s="4"/>
      <c r="K225" s="4"/>
      <c r="L225" s="4"/>
      <c r="M225" s="4"/>
      <c r="N225" s="4"/>
      <c r="O225" s="4"/>
      <c r="P225" s="4"/>
      <c r="R225" s="166" t="b">
        <v>0</v>
      </c>
      <c r="T225" s="4"/>
      <c r="U225" s="166" t="b">
        <v>0</v>
      </c>
      <c r="V225" s="166" t="b">
        <v>0</v>
      </c>
      <c r="W225" s="166" t="b">
        <v>0</v>
      </c>
      <c r="X225" s="166" t="b">
        <v>0</v>
      </c>
    </row>
    <row r="226">
      <c r="A226" s="4" t="s">
        <v>3938</v>
      </c>
      <c r="B226" s="4" t="s">
        <v>607</v>
      </c>
      <c r="C226" s="6" t="s">
        <v>607</v>
      </c>
      <c r="D226" s="6" t="s">
        <v>607</v>
      </c>
      <c r="E226" s="6" t="s">
        <v>607</v>
      </c>
      <c r="F226" s="6" t="s">
        <v>607</v>
      </c>
      <c r="G226" s="4" t="s">
        <v>607</v>
      </c>
      <c r="H226" s="4" t="s">
        <v>607</v>
      </c>
      <c r="I226" s="4" t="s">
        <v>607</v>
      </c>
      <c r="J226" s="4" t="s">
        <v>607</v>
      </c>
      <c r="K226" s="4" t="s">
        <v>607</v>
      </c>
      <c r="L226" s="4" t="s">
        <v>607</v>
      </c>
      <c r="M226" s="4" t="s">
        <v>607</v>
      </c>
      <c r="N226" s="4" t="s">
        <v>607</v>
      </c>
      <c r="O226" s="4"/>
      <c r="P226" s="4"/>
      <c r="R226" s="166" t="b">
        <v>0</v>
      </c>
      <c r="T226" s="4"/>
      <c r="U226" s="166" t="b">
        <v>0</v>
      </c>
      <c r="V226" s="166" t="b">
        <v>0</v>
      </c>
      <c r="W226" s="166" t="b">
        <v>0</v>
      </c>
      <c r="X226" s="166" t="b">
        <v>0</v>
      </c>
    </row>
    <row r="227">
      <c r="A227" s="4" t="s">
        <v>3941</v>
      </c>
      <c r="B227" s="4" t="s">
        <v>289</v>
      </c>
      <c r="C227" s="6">
        <v>0.4860763888888891</v>
      </c>
      <c r="D227" s="6">
        <v>3.4722222222222224E-4</v>
      </c>
      <c r="E227" s="6">
        <v>0.4864236111111113</v>
      </c>
      <c r="F227" s="6"/>
      <c r="G227" s="4"/>
      <c r="H227" s="4" t="s">
        <v>81</v>
      </c>
      <c r="I227" s="4"/>
      <c r="J227" s="4"/>
      <c r="K227" s="4"/>
      <c r="L227" s="4"/>
      <c r="M227" s="4"/>
      <c r="N227" s="4"/>
      <c r="O227" s="4"/>
      <c r="P227" s="4"/>
      <c r="R227" s="166" t="b">
        <v>0</v>
      </c>
      <c r="T227" s="4"/>
      <c r="U227" s="166" t="b">
        <v>0</v>
      </c>
      <c r="V227" s="166" t="b">
        <v>0</v>
      </c>
      <c r="W227" s="166" t="b">
        <v>0</v>
      </c>
      <c r="X227" s="166" t="b">
        <v>0</v>
      </c>
    </row>
    <row r="228">
      <c r="A228" s="4" t="s">
        <v>3943</v>
      </c>
      <c r="B228" s="4" t="s">
        <v>289</v>
      </c>
      <c r="C228" s="6">
        <v>0.4864236111111113</v>
      </c>
      <c r="D228" s="6">
        <v>0.015405092592592592</v>
      </c>
      <c r="E228" s="6">
        <v>0.5018287037037039</v>
      </c>
      <c r="F228" s="6" t="s">
        <v>299</v>
      </c>
      <c r="G228" s="4" t="s">
        <v>3112</v>
      </c>
      <c r="H228" s="4" t="s">
        <v>2358</v>
      </c>
      <c r="I228" s="4" t="s">
        <v>3945</v>
      </c>
      <c r="J228" s="4"/>
      <c r="K228" s="4"/>
      <c r="L228" s="4"/>
      <c r="M228" s="4"/>
      <c r="N228" s="4" t="s">
        <v>2359</v>
      </c>
      <c r="O228" s="4"/>
      <c r="P228" s="4"/>
      <c r="R228" s="166" t="b">
        <v>1</v>
      </c>
      <c r="T228" s="4"/>
      <c r="U228" s="166" t="b">
        <v>0</v>
      </c>
      <c r="V228" s="166" t="b">
        <v>1</v>
      </c>
      <c r="W228" s="166" t="b">
        <v>1</v>
      </c>
      <c r="X228" s="166" t="b">
        <v>0</v>
      </c>
      <c r="Z228" s="80" t="s">
        <v>3948</v>
      </c>
    </row>
    <row r="229">
      <c r="A229" s="4" t="s">
        <v>3952</v>
      </c>
      <c r="B229" s="4" t="s">
        <v>289</v>
      </c>
      <c r="C229" s="6">
        <v>0.5018287037037039</v>
      </c>
      <c r="D229" s="6">
        <v>1.7361111111111112E-4</v>
      </c>
      <c r="E229" s="6">
        <v>0.502002314814815</v>
      </c>
      <c r="F229" s="6"/>
      <c r="G229" s="4"/>
      <c r="H229" s="4" t="s">
        <v>85</v>
      </c>
      <c r="I229" s="4"/>
      <c r="J229" s="4"/>
      <c r="K229" s="4"/>
      <c r="L229" s="4"/>
      <c r="M229" s="4"/>
      <c r="N229" s="4"/>
      <c r="O229" s="4"/>
      <c r="P229" s="4"/>
      <c r="R229" s="166" t="b">
        <v>0</v>
      </c>
      <c r="T229" s="4"/>
      <c r="U229" s="166" t="b">
        <v>0</v>
      </c>
      <c r="V229" s="166" t="b">
        <v>0</v>
      </c>
      <c r="W229" s="166" t="b">
        <v>0</v>
      </c>
      <c r="X229" s="166" t="b">
        <v>0</v>
      </c>
    </row>
    <row r="230">
      <c r="A230" s="4" t="s">
        <v>3954</v>
      </c>
      <c r="B230" s="4" t="s">
        <v>289</v>
      </c>
      <c r="C230" s="6">
        <v>0.502002314814815</v>
      </c>
      <c r="D230" s="6">
        <v>3.4722222222222224E-4</v>
      </c>
      <c r="E230" s="6">
        <v>0.5023495370370373</v>
      </c>
      <c r="F230" s="6"/>
      <c r="G230" s="4"/>
      <c r="H230" s="4" t="s">
        <v>81</v>
      </c>
      <c r="I230" s="4"/>
      <c r="J230" s="4"/>
      <c r="K230" s="4"/>
      <c r="L230" s="4"/>
      <c r="M230" s="4"/>
      <c r="N230" s="4"/>
      <c r="O230" s="4"/>
      <c r="P230" s="4"/>
      <c r="R230" s="166" t="b">
        <v>0</v>
      </c>
      <c r="T230" s="4"/>
      <c r="U230" s="166" t="b">
        <v>0</v>
      </c>
      <c r="V230" s="166" t="b">
        <v>0</v>
      </c>
      <c r="W230" s="166" t="b">
        <v>0</v>
      </c>
      <c r="X230" s="166" t="b">
        <v>0</v>
      </c>
    </row>
    <row r="231">
      <c r="A231" s="4" t="s">
        <v>3956</v>
      </c>
      <c r="B231" s="4" t="s">
        <v>289</v>
      </c>
      <c r="C231" s="6">
        <v>0.5023495370370373</v>
      </c>
      <c r="D231" s="6">
        <v>0.011944444444444445</v>
      </c>
      <c r="E231" s="6">
        <v>0.5142939814814818</v>
      </c>
      <c r="F231" s="6" t="s">
        <v>146</v>
      </c>
      <c r="G231" s="4" t="s">
        <v>3494</v>
      </c>
      <c r="H231" s="4" t="s">
        <v>2361</v>
      </c>
      <c r="I231" s="4" t="s">
        <v>3958</v>
      </c>
      <c r="J231" s="4"/>
      <c r="K231" s="4"/>
      <c r="L231" s="4"/>
      <c r="M231" s="4"/>
      <c r="N231" s="4" t="s">
        <v>2362</v>
      </c>
      <c r="O231" s="4"/>
      <c r="P231" s="4"/>
      <c r="R231" s="166" t="b">
        <v>1</v>
      </c>
      <c r="T231" s="4"/>
      <c r="U231" s="166" t="b">
        <v>0</v>
      </c>
      <c r="V231" s="166" t="b">
        <v>1</v>
      </c>
      <c r="W231" s="166" t="b">
        <v>1</v>
      </c>
      <c r="X231" s="166" t="b">
        <v>0</v>
      </c>
      <c r="Z231" s="80" t="s">
        <v>3960</v>
      </c>
    </row>
    <row r="232">
      <c r="A232" s="4" t="s">
        <v>3963</v>
      </c>
      <c r="B232" s="4" t="s">
        <v>289</v>
      </c>
      <c r="C232" s="6">
        <v>0.5142939814814818</v>
      </c>
      <c r="D232" s="6">
        <v>1.7361111111111112E-4</v>
      </c>
      <c r="E232" s="6">
        <v>0.5144675925925929</v>
      </c>
      <c r="F232" s="6"/>
      <c r="G232" s="4"/>
      <c r="H232" s="4" t="s">
        <v>85</v>
      </c>
      <c r="I232" s="4"/>
      <c r="J232" s="4"/>
      <c r="K232" s="4"/>
      <c r="L232" s="4"/>
      <c r="M232" s="4"/>
      <c r="N232" s="4"/>
      <c r="O232" s="4"/>
      <c r="P232" s="4"/>
      <c r="R232" s="166" t="b">
        <v>0</v>
      </c>
      <c r="T232" s="4"/>
      <c r="U232" s="166" t="b">
        <v>0</v>
      </c>
      <c r="V232" s="166" t="b">
        <v>0</v>
      </c>
      <c r="W232" s="166" t="b">
        <v>0</v>
      </c>
      <c r="X232" s="166" t="b">
        <v>0</v>
      </c>
    </row>
    <row r="233">
      <c r="A233" s="4" t="s">
        <v>3966</v>
      </c>
      <c r="B233" s="4" t="s">
        <v>289</v>
      </c>
      <c r="C233" s="6">
        <v>0.5144675925925929</v>
      </c>
      <c r="D233" s="6">
        <v>3.4722222222222224E-4</v>
      </c>
      <c r="E233" s="6">
        <v>0.5148148148148152</v>
      </c>
      <c r="F233" s="6"/>
      <c r="G233" s="4"/>
      <c r="H233" s="4" t="s">
        <v>81</v>
      </c>
      <c r="I233" s="4"/>
      <c r="J233" s="4"/>
      <c r="K233" s="4"/>
      <c r="L233" s="4"/>
      <c r="M233" s="4"/>
      <c r="N233" s="4"/>
      <c r="O233" s="4"/>
      <c r="P233" s="4"/>
      <c r="R233" s="166" t="b">
        <v>0</v>
      </c>
      <c r="T233" s="4"/>
      <c r="U233" s="166" t="b">
        <v>0</v>
      </c>
      <c r="V233" s="166" t="b">
        <v>0</v>
      </c>
      <c r="W233" s="166" t="b">
        <v>0</v>
      </c>
      <c r="X233" s="166" t="b">
        <v>0</v>
      </c>
    </row>
    <row r="234">
      <c r="A234" s="4" t="s">
        <v>3969</v>
      </c>
      <c r="B234" s="4" t="s">
        <v>289</v>
      </c>
      <c r="C234" s="6">
        <v>0.5148148148148152</v>
      </c>
      <c r="D234" s="6">
        <v>0.006944444444444444</v>
      </c>
      <c r="E234" s="6">
        <v>0.5217592592592596</v>
      </c>
      <c r="F234" s="6" t="s">
        <v>368</v>
      </c>
      <c r="G234" s="4"/>
      <c r="H234" s="4" t="s">
        <v>2364</v>
      </c>
      <c r="I234" s="4" t="s">
        <v>3971</v>
      </c>
      <c r="J234" s="4" t="s">
        <v>2365</v>
      </c>
      <c r="K234" s="4" t="s">
        <v>2366</v>
      </c>
      <c r="L234" s="4" t="s">
        <v>2367</v>
      </c>
      <c r="M234" s="4" t="s">
        <v>2368</v>
      </c>
      <c r="N234" s="4" t="s">
        <v>2369</v>
      </c>
      <c r="O234" s="4"/>
      <c r="P234" s="4"/>
      <c r="R234" s="166" t="b">
        <v>1</v>
      </c>
      <c r="T234" s="4"/>
      <c r="U234" s="166" t="b">
        <v>0</v>
      </c>
      <c r="V234" s="166" t="b">
        <v>1</v>
      </c>
      <c r="W234" s="166" t="b">
        <v>1</v>
      </c>
      <c r="X234" s="166" t="b">
        <v>0</v>
      </c>
      <c r="Z234" s="217" t="s">
        <v>3974</v>
      </c>
    </row>
    <row r="235">
      <c r="A235" s="4" t="s">
        <v>3978</v>
      </c>
      <c r="B235" s="4" t="s">
        <v>289</v>
      </c>
      <c r="C235" s="6">
        <v>0.5217592592592596</v>
      </c>
      <c r="D235" s="6">
        <v>1.7361111111111112E-4</v>
      </c>
      <c r="E235" s="6">
        <v>0.5219328703703707</v>
      </c>
      <c r="F235" s="6"/>
      <c r="G235" s="4"/>
      <c r="H235" s="4" t="s">
        <v>85</v>
      </c>
      <c r="I235" s="4"/>
      <c r="J235" s="4"/>
      <c r="K235" s="4"/>
      <c r="L235" s="4"/>
      <c r="M235" s="4"/>
      <c r="N235" s="4"/>
      <c r="O235" s="4"/>
      <c r="P235" s="4"/>
      <c r="R235" s="166" t="b">
        <v>0</v>
      </c>
      <c r="T235" s="4"/>
      <c r="U235" s="166" t="b">
        <v>0</v>
      </c>
      <c r="V235" s="166" t="b">
        <v>0</v>
      </c>
      <c r="W235" s="166" t="b">
        <v>0</v>
      </c>
      <c r="X235" s="166" t="b">
        <v>0</v>
      </c>
    </row>
    <row r="236">
      <c r="A236" s="4" t="s">
        <v>3982</v>
      </c>
      <c r="B236" s="4" t="s">
        <v>289</v>
      </c>
      <c r="C236" s="6">
        <v>0.5219328703703707</v>
      </c>
      <c r="D236" s="6">
        <v>3.4722222222222224E-4</v>
      </c>
      <c r="E236" s="6">
        <v>0.522280092592593</v>
      </c>
      <c r="F236" s="6"/>
      <c r="G236" s="4"/>
      <c r="H236" s="4" t="s">
        <v>81</v>
      </c>
      <c r="I236" s="4"/>
      <c r="J236" s="4"/>
      <c r="K236" s="4"/>
      <c r="L236" s="4"/>
      <c r="M236" s="4"/>
      <c r="N236" s="4"/>
      <c r="O236" s="4"/>
      <c r="P236" s="4"/>
      <c r="R236" s="166" t="b">
        <v>0</v>
      </c>
      <c r="T236" s="4"/>
      <c r="U236" s="166" t="b">
        <v>0</v>
      </c>
      <c r="V236" s="166" t="b">
        <v>0</v>
      </c>
      <c r="W236" s="166" t="b">
        <v>0</v>
      </c>
      <c r="X236" s="166" t="b">
        <v>0</v>
      </c>
    </row>
    <row r="237">
      <c r="A237" s="4" t="s">
        <v>3985</v>
      </c>
      <c r="B237" s="4" t="s">
        <v>289</v>
      </c>
      <c r="C237" s="6">
        <v>0.522280092592593</v>
      </c>
      <c r="D237" s="6">
        <v>0.015694444444444445</v>
      </c>
      <c r="E237" s="6">
        <v>0.5379745370370375</v>
      </c>
      <c r="F237" s="6" t="s">
        <v>368</v>
      </c>
      <c r="G237" s="4" t="s">
        <v>3494</v>
      </c>
      <c r="H237" s="4" t="s">
        <v>2371</v>
      </c>
      <c r="I237" s="4" t="s">
        <v>1349</v>
      </c>
      <c r="J237" s="4"/>
      <c r="K237" s="4"/>
      <c r="L237" s="4"/>
      <c r="M237" s="4"/>
      <c r="N237" s="4" t="s">
        <v>2372</v>
      </c>
      <c r="O237" s="4"/>
      <c r="P237" s="4"/>
      <c r="R237" s="166" t="b">
        <v>1</v>
      </c>
      <c r="T237" s="4"/>
      <c r="U237" s="166" t="b">
        <v>0</v>
      </c>
      <c r="V237" s="166" t="b">
        <v>1</v>
      </c>
      <c r="W237" s="166" t="b">
        <v>1</v>
      </c>
      <c r="X237" s="166" t="b">
        <v>0</v>
      </c>
      <c r="Z237" s="80" t="s">
        <v>3987</v>
      </c>
    </row>
    <row r="238">
      <c r="A238" s="4" t="s">
        <v>3988</v>
      </c>
      <c r="B238" s="4" t="s">
        <v>289</v>
      </c>
      <c r="C238" s="6">
        <v>0.5379745370370375</v>
      </c>
      <c r="D238" s="6">
        <v>1.7361111111111112E-4</v>
      </c>
      <c r="E238" s="6">
        <v>0.5381481481481486</v>
      </c>
      <c r="F238" s="6"/>
      <c r="G238" s="4"/>
      <c r="H238" s="4" t="s">
        <v>85</v>
      </c>
      <c r="I238" s="4"/>
      <c r="J238" s="4"/>
      <c r="K238" s="4"/>
      <c r="L238" s="4"/>
      <c r="M238" s="4"/>
      <c r="N238" s="4"/>
      <c r="O238" s="4"/>
      <c r="P238" s="4"/>
      <c r="R238" s="166" t="b">
        <v>0</v>
      </c>
      <c r="T238" s="4"/>
      <c r="U238" s="166" t="b">
        <v>0</v>
      </c>
      <c r="V238" s="166" t="b">
        <v>0</v>
      </c>
      <c r="W238" s="166" t="b">
        <v>0</v>
      </c>
      <c r="X238" s="166" t="b">
        <v>0</v>
      </c>
    </row>
    <row r="239">
      <c r="A239" s="4" t="s">
        <v>3990</v>
      </c>
      <c r="B239" s="4" t="s">
        <v>607</v>
      </c>
      <c r="C239" s="6" t="s">
        <v>607</v>
      </c>
      <c r="D239" s="6" t="s">
        <v>607</v>
      </c>
      <c r="E239" s="6" t="s">
        <v>607</v>
      </c>
      <c r="F239" s="6" t="s">
        <v>607</v>
      </c>
      <c r="G239" s="4" t="s">
        <v>607</v>
      </c>
      <c r="H239" s="4" t="s">
        <v>607</v>
      </c>
      <c r="I239" s="4" t="s">
        <v>607</v>
      </c>
      <c r="J239" s="4" t="s">
        <v>607</v>
      </c>
      <c r="K239" s="4" t="s">
        <v>607</v>
      </c>
      <c r="L239" s="4" t="s">
        <v>607</v>
      </c>
      <c r="M239" s="4" t="s">
        <v>607</v>
      </c>
      <c r="N239" s="4" t="s">
        <v>607</v>
      </c>
      <c r="O239" s="4"/>
      <c r="P239" s="4"/>
      <c r="R239" s="166" t="b">
        <v>0</v>
      </c>
      <c r="T239" s="4"/>
      <c r="U239" s="166" t="b">
        <v>0</v>
      </c>
      <c r="V239" s="166" t="b">
        <v>0</v>
      </c>
      <c r="W239" s="166" t="b">
        <v>0</v>
      </c>
      <c r="X239" s="166" t="b">
        <v>0</v>
      </c>
    </row>
    <row r="240">
      <c r="A240" s="4" t="s">
        <v>3992</v>
      </c>
      <c r="B240" s="4" t="s">
        <v>289</v>
      </c>
      <c r="C240" s="6">
        <v>0.5384953703703709</v>
      </c>
      <c r="D240" s="6">
        <v>3.4722222222222224E-4</v>
      </c>
      <c r="E240" s="6">
        <v>0.5388425925925932</v>
      </c>
      <c r="F240" s="6"/>
      <c r="G240" s="4"/>
      <c r="H240" s="4" t="s">
        <v>81</v>
      </c>
      <c r="I240" s="4"/>
      <c r="J240" s="4"/>
      <c r="K240" s="4"/>
      <c r="L240" s="4"/>
      <c r="M240" s="4"/>
      <c r="N240" s="4"/>
      <c r="O240" s="4"/>
      <c r="P240" s="4"/>
      <c r="R240" s="166" t="b">
        <v>0</v>
      </c>
      <c r="T240" s="4"/>
      <c r="U240" s="166" t="b">
        <v>0</v>
      </c>
      <c r="V240" s="166" t="b">
        <v>0</v>
      </c>
      <c r="W240" s="166" t="b">
        <v>0</v>
      </c>
      <c r="X240" s="166" t="b">
        <v>0</v>
      </c>
    </row>
    <row r="241">
      <c r="A241" s="4" t="s">
        <v>3994</v>
      </c>
      <c r="B241" s="4" t="s">
        <v>289</v>
      </c>
      <c r="C241" s="6">
        <v>0.5388425925925932</v>
      </c>
      <c r="D241" s="6">
        <v>0.015347222222222222</v>
      </c>
      <c r="E241" s="6">
        <v>0.5541898148148153</v>
      </c>
      <c r="F241" s="6" t="s">
        <v>210</v>
      </c>
      <c r="G241" s="4" t="s">
        <v>3995</v>
      </c>
      <c r="H241" s="4" t="s">
        <v>2375</v>
      </c>
      <c r="I241" s="4" t="s">
        <v>2112</v>
      </c>
      <c r="J241" s="4"/>
      <c r="K241" s="4"/>
      <c r="L241" s="4"/>
      <c r="M241" s="4"/>
      <c r="N241" s="4" t="s">
        <v>2376</v>
      </c>
      <c r="O241" s="4"/>
      <c r="P241" s="4"/>
      <c r="R241" s="166" t="b">
        <v>1</v>
      </c>
      <c r="T241" s="4"/>
      <c r="U241" s="166" t="b">
        <v>0</v>
      </c>
      <c r="V241" s="166" t="b">
        <v>1</v>
      </c>
      <c r="W241" s="166" t="b">
        <v>1</v>
      </c>
      <c r="X241" s="166" t="b">
        <v>0</v>
      </c>
      <c r="Z241" s="80" t="s">
        <v>3997</v>
      </c>
    </row>
    <row r="242">
      <c r="A242" s="4" t="s">
        <v>3999</v>
      </c>
      <c r="B242" s="4" t="s">
        <v>289</v>
      </c>
      <c r="C242" s="6">
        <v>0.5541898148148153</v>
      </c>
      <c r="D242" s="6">
        <v>1.7361111111111112E-4</v>
      </c>
      <c r="E242" s="6">
        <v>0.5543634259259265</v>
      </c>
      <c r="F242" s="6"/>
      <c r="G242" s="4"/>
      <c r="H242" s="4" t="s">
        <v>85</v>
      </c>
      <c r="I242" s="4"/>
      <c r="J242" s="4"/>
      <c r="K242" s="4"/>
      <c r="L242" s="4"/>
      <c r="M242" s="4"/>
      <c r="N242" s="4"/>
      <c r="O242" s="4"/>
      <c r="P242" s="4"/>
      <c r="R242" s="166" t="b">
        <v>0</v>
      </c>
      <c r="T242" s="4"/>
      <c r="U242" s="166" t="b">
        <v>0</v>
      </c>
      <c r="V242" s="166" t="b">
        <v>0</v>
      </c>
      <c r="W242" s="166" t="b">
        <v>0</v>
      </c>
      <c r="X242" s="166" t="b">
        <v>0</v>
      </c>
    </row>
    <row r="243">
      <c r="A243" s="4" t="s">
        <v>4001</v>
      </c>
      <c r="B243" s="4" t="s">
        <v>289</v>
      </c>
      <c r="C243" s="6">
        <v>0.5550578703703709</v>
      </c>
      <c r="D243" s="6">
        <v>5.208333333333333E-4</v>
      </c>
      <c r="E243" s="6">
        <v>0.5555787037037042</v>
      </c>
      <c r="F243" s="6"/>
      <c r="G243" s="4"/>
      <c r="H243" s="4" t="s">
        <v>2140</v>
      </c>
      <c r="I243" s="4"/>
      <c r="J243" s="4"/>
      <c r="K243" s="4"/>
      <c r="L243" s="4"/>
      <c r="M243" s="4"/>
      <c r="N243" s="4"/>
      <c r="O243" s="4"/>
      <c r="P243" s="4"/>
      <c r="R243" s="166" t="b">
        <v>0</v>
      </c>
      <c r="T243" s="4"/>
      <c r="U243" s="166" t="b">
        <v>0</v>
      </c>
      <c r="V243" s="166" t="b">
        <v>0</v>
      </c>
      <c r="W243" s="166" t="b">
        <v>0</v>
      </c>
      <c r="X243" s="166" t="b">
        <v>0</v>
      </c>
    </row>
    <row r="244">
      <c r="A244" s="4" t="s">
        <v>4004</v>
      </c>
      <c r="B244" s="4" t="s">
        <v>289</v>
      </c>
      <c r="C244" s="6">
        <v>0.5555787037037042</v>
      </c>
      <c r="D244" s="6">
        <v>3.4722222222222224E-4</v>
      </c>
      <c r="E244" s="6">
        <v>0.5559259259259265</v>
      </c>
      <c r="F244" s="6"/>
      <c r="G244" s="4"/>
      <c r="H244" s="4" t="s">
        <v>81</v>
      </c>
      <c r="I244" s="4"/>
      <c r="J244" s="4"/>
      <c r="K244" s="4"/>
      <c r="L244" s="4"/>
      <c r="M244" s="4"/>
      <c r="N244" s="4"/>
      <c r="O244" s="4"/>
      <c r="P244" s="4"/>
      <c r="R244" s="166" t="b">
        <v>0</v>
      </c>
      <c r="T244" s="4"/>
      <c r="U244" s="166" t="b">
        <v>0</v>
      </c>
      <c r="V244" s="166" t="b">
        <v>0</v>
      </c>
      <c r="W244" s="166" t="b">
        <v>0</v>
      </c>
      <c r="X244" s="166" t="b">
        <v>0</v>
      </c>
    </row>
    <row r="245">
      <c r="A245" s="4" t="s">
        <v>4006</v>
      </c>
      <c r="B245" s="4" t="s">
        <v>289</v>
      </c>
      <c r="C245" s="6">
        <v>0.5559259259259265</v>
      </c>
      <c r="D245" s="6">
        <v>0.006944444444444444</v>
      </c>
      <c r="E245" s="6">
        <v>0.5628703703703709</v>
      </c>
      <c r="F245" s="6" t="s">
        <v>441</v>
      </c>
      <c r="G245" s="4"/>
      <c r="H245" s="4" t="s">
        <v>2379</v>
      </c>
      <c r="I245" s="4" t="s">
        <v>4007</v>
      </c>
      <c r="J245" s="4" t="s">
        <v>2380</v>
      </c>
      <c r="K245" s="4" t="s">
        <v>1284</v>
      </c>
      <c r="L245" s="4" t="s">
        <v>2381</v>
      </c>
      <c r="M245" s="4" t="s">
        <v>2382</v>
      </c>
      <c r="N245" s="4" t="s">
        <v>2383</v>
      </c>
      <c r="O245" s="4"/>
      <c r="P245" s="4"/>
      <c r="R245" s="166" t="b">
        <v>1</v>
      </c>
      <c r="T245" s="4"/>
      <c r="U245" s="166" t="b">
        <v>0</v>
      </c>
      <c r="V245" s="166" t="b">
        <v>1</v>
      </c>
      <c r="W245" s="166" t="b">
        <v>1</v>
      </c>
      <c r="X245" s="166" t="b">
        <v>0</v>
      </c>
      <c r="Z245" s="80" t="s">
        <v>4008</v>
      </c>
    </row>
    <row r="246">
      <c r="A246" s="4" t="s">
        <v>4010</v>
      </c>
      <c r="B246" s="4" t="s">
        <v>289</v>
      </c>
      <c r="C246" s="6">
        <v>0.5628703703703709</v>
      </c>
      <c r="D246" s="6">
        <v>1.7361111111111112E-4</v>
      </c>
      <c r="E246" s="6">
        <v>0.563043981481482</v>
      </c>
      <c r="F246" s="6"/>
      <c r="G246" s="4"/>
      <c r="H246" s="4" t="s">
        <v>85</v>
      </c>
      <c r="I246" s="4"/>
      <c r="J246" s="4"/>
      <c r="K246" s="4"/>
      <c r="L246" s="4"/>
      <c r="M246" s="4"/>
      <c r="N246" s="4"/>
      <c r="O246" s="4"/>
      <c r="P246" s="4"/>
      <c r="R246" s="166" t="b">
        <v>0</v>
      </c>
      <c r="T246" s="4"/>
      <c r="U246" s="166" t="b">
        <v>0</v>
      </c>
      <c r="V246" s="166" t="b">
        <v>0</v>
      </c>
      <c r="W246" s="166" t="b">
        <v>0</v>
      </c>
      <c r="X246" s="166" t="b">
        <v>0</v>
      </c>
    </row>
    <row r="247">
      <c r="A247" s="4" t="s">
        <v>4012</v>
      </c>
      <c r="B247" s="4" t="s">
        <v>607</v>
      </c>
      <c r="C247" s="6" t="s">
        <v>607</v>
      </c>
      <c r="D247" s="6" t="s">
        <v>607</v>
      </c>
      <c r="E247" s="6" t="s">
        <v>607</v>
      </c>
      <c r="F247" s="6" t="s">
        <v>607</v>
      </c>
      <c r="G247" s="4" t="s">
        <v>607</v>
      </c>
      <c r="H247" s="4" t="s">
        <v>607</v>
      </c>
      <c r="I247" s="4" t="s">
        <v>607</v>
      </c>
      <c r="J247" s="4" t="s">
        <v>607</v>
      </c>
      <c r="K247" s="4" t="s">
        <v>607</v>
      </c>
      <c r="L247" s="4" t="s">
        <v>607</v>
      </c>
      <c r="M247" s="4" t="s">
        <v>607</v>
      </c>
      <c r="N247" s="4" t="s">
        <v>607</v>
      </c>
      <c r="O247" s="4"/>
      <c r="P247" s="4"/>
      <c r="R247" s="166" t="b">
        <v>0</v>
      </c>
      <c r="T247" s="4"/>
      <c r="U247" s="166" t="b">
        <v>0</v>
      </c>
      <c r="V247" s="166" t="b">
        <v>0</v>
      </c>
      <c r="W247" s="166" t="b">
        <v>0</v>
      </c>
      <c r="X247" s="166" t="b">
        <v>0</v>
      </c>
    </row>
    <row r="248">
      <c r="A248" s="4" t="s">
        <v>4014</v>
      </c>
      <c r="B248" s="4" t="s">
        <v>289</v>
      </c>
      <c r="C248" s="6">
        <v>0.5632175925925932</v>
      </c>
      <c r="D248" s="6">
        <v>3.4722222222222224E-4</v>
      </c>
      <c r="E248" s="6">
        <v>0.5635648148148155</v>
      </c>
      <c r="F248" s="6"/>
      <c r="G248" s="4"/>
      <c r="H248" s="4" t="s">
        <v>81</v>
      </c>
      <c r="I248" s="4"/>
      <c r="J248" s="4"/>
      <c r="K248" s="4"/>
      <c r="L248" s="4"/>
      <c r="M248" s="4"/>
      <c r="N248" s="4"/>
      <c r="O248" s="4"/>
      <c r="P248" s="4"/>
      <c r="R248" s="166" t="b">
        <v>0</v>
      </c>
      <c r="T248" s="4"/>
      <c r="U248" s="166" t="b">
        <v>0</v>
      </c>
      <c r="V248" s="166" t="b">
        <v>0</v>
      </c>
      <c r="W248" s="166" t="b">
        <v>0</v>
      </c>
      <c r="X248" s="166" t="b">
        <v>0</v>
      </c>
    </row>
    <row r="249">
      <c r="A249" s="4" t="s">
        <v>4016</v>
      </c>
      <c r="B249" s="4" t="s">
        <v>289</v>
      </c>
      <c r="C249" s="6">
        <v>0.5635648148148155</v>
      </c>
      <c r="D249" s="6">
        <v>0.030439814814814815</v>
      </c>
      <c r="E249" s="6">
        <v>0.5940046296296303</v>
      </c>
      <c r="F249" s="6" t="s">
        <v>299</v>
      </c>
      <c r="G249" s="4" t="s">
        <v>4017</v>
      </c>
      <c r="H249" s="4" t="s">
        <v>2385</v>
      </c>
      <c r="I249" s="4" t="s">
        <v>4018</v>
      </c>
      <c r="J249" s="4"/>
      <c r="K249" s="4"/>
      <c r="L249" s="4"/>
      <c r="M249" s="4"/>
      <c r="N249" s="4" t="s">
        <v>2386</v>
      </c>
      <c r="O249" s="4"/>
      <c r="P249" s="4"/>
      <c r="R249" s="166" t="b">
        <v>1</v>
      </c>
      <c r="T249" s="4"/>
      <c r="U249" s="166" t="b">
        <v>0</v>
      </c>
      <c r="V249" s="166" t="b">
        <v>0</v>
      </c>
      <c r="W249" s="166" t="b">
        <v>0</v>
      </c>
      <c r="X249" s="166" t="b">
        <v>0</v>
      </c>
    </row>
    <row r="250">
      <c r="A250" s="4" t="s">
        <v>4020</v>
      </c>
      <c r="B250" s="4" t="s">
        <v>289</v>
      </c>
      <c r="C250" s="6">
        <v>0.5940046296296303</v>
      </c>
      <c r="D250" s="6">
        <v>1.7361111111111112E-4</v>
      </c>
      <c r="E250" s="6">
        <v>0.5941782407407414</v>
      </c>
      <c r="F250" s="6"/>
      <c r="G250" s="4"/>
      <c r="H250" s="4" t="s">
        <v>85</v>
      </c>
      <c r="I250" s="4"/>
      <c r="J250" s="4"/>
      <c r="K250" s="4"/>
      <c r="L250" s="4"/>
      <c r="M250" s="4"/>
      <c r="N250" s="4"/>
      <c r="O250" s="4"/>
      <c r="P250" s="4"/>
      <c r="R250" s="166" t="b">
        <v>0</v>
      </c>
      <c r="T250" s="4"/>
      <c r="U250" s="166" t="b">
        <v>0</v>
      </c>
      <c r="V250" s="166" t="b">
        <v>0</v>
      </c>
      <c r="W250" s="166" t="b">
        <v>0</v>
      </c>
      <c r="X250" s="166" t="b">
        <v>0</v>
      </c>
    </row>
    <row r="251">
      <c r="A251" s="4" t="s">
        <v>4022</v>
      </c>
      <c r="B251" s="4" t="s">
        <v>289</v>
      </c>
      <c r="C251" s="6">
        <v>0.5941782407407414</v>
      </c>
      <c r="D251" s="6">
        <v>3.4722222222222224E-4</v>
      </c>
      <c r="E251" s="6">
        <v>0.5945254629629637</v>
      </c>
      <c r="F251" s="6"/>
      <c r="G251" s="4"/>
      <c r="H251" s="4" t="s">
        <v>81</v>
      </c>
      <c r="I251" s="4"/>
      <c r="J251" s="4"/>
      <c r="K251" s="4"/>
      <c r="L251" s="4"/>
      <c r="M251" s="4"/>
      <c r="N251" s="4"/>
      <c r="O251" s="4"/>
      <c r="P251" s="4"/>
      <c r="R251" s="166" t="b">
        <v>0</v>
      </c>
      <c r="T251" s="4"/>
      <c r="U251" s="166" t="b">
        <v>0</v>
      </c>
      <c r="V251" s="166" t="b">
        <v>0</v>
      </c>
      <c r="W251" s="166" t="b">
        <v>0</v>
      </c>
      <c r="X251" s="166" t="b">
        <v>0</v>
      </c>
    </row>
    <row r="252">
      <c r="A252" s="4" t="s">
        <v>4024</v>
      </c>
      <c r="B252" s="4" t="s">
        <v>289</v>
      </c>
      <c r="C252" s="6">
        <v>0.5945254629629637</v>
      </c>
      <c r="D252" s="6">
        <v>0.01875</v>
      </c>
      <c r="E252" s="6">
        <v>0.6132754629629638</v>
      </c>
      <c r="F252" s="6" t="s">
        <v>151</v>
      </c>
      <c r="G252" s="4" t="s">
        <v>3112</v>
      </c>
      <c r="H252" s="4" t="s">
        <v>2388</v>
      </c>
      <c r="I252" s="4" t="s">
        <v>4025</v>
      </c>
      <c r="J252" s="4" t="s">
        <v>2389</v>
      </c>
      <c r="K252" s="4"/>
      <c r="L252" s="4"/>
      <c r="M252" s="4"/>
      <c r="N252" s="4" t="s">
        <v>2390</v>
      </c>
      <c r="O252" s="4"/>
      <c r="P252" s="4"/>
      <c r="R252" s="166" t="b">
        <v>1</v>
      </c>
      <c r="T252" s="4"/>
      <c r="U252" s="166" t="b">
        <v>0</v>
      </c>
      <c r="V252" s="166" t="b">
        <v>1</v>
      </c>
      <c r="W252" s="166" t="b">
        <v>1</v>
      </c>
      <c r="X252" s="166" t="b">
        <v>0</v>
      </c>
      <c r="Z252" s="80" t="s">
        <v>4027</v>
      </c>
    </row>
    <row r="253">
      <c r="A253" s="4" t="s">
        <v>4029</v>
      </c>
      <c r="B253" s="4" t="s">
        <v>289</v>
      </c>
      <c r="C253" s="6">
        <v>0.6132754629629638</v>
      </c>
      <c r="D253" s="6">
        <v>1.7361111111111112E-4</v>
      </c>
      <c r="E253" s="6">
        <v>0.6134490740740749</v>
      </c>
      <c r="F253" s="6"/>
      <c r="G253" s="4"/>
      <c r="H253" s="4" t="s">
        <v>85</v>
      </c>
      <c r="I253" s="4"/>
      <c r="J253" s="4"/>
      <c r="K253" s="4"/>
      <c r="L253" s="4"/>
      <c r="M253" s="4"/>
      <c r="N253" s="4"/>
      <c r="O253" s="4"/>
      <c r="P253" s="4"/>
      <c r="R253" s="166" t="b">
        <v>0</v>
      </c>
      <c r="T253" s="4"/>
      <c r="U253" s="166" t="b">
        <v>0</v>
      </c>
      <c r="V253" s="166" t="b">
        <v>0</v>
      </c>
      <c r="W253" s="166" t="b">
        <v>0</v>
      </c>
      <c r="X253" s="166" t="b">
        <v>0</v>
      </c>
    </row>
    <row r="254">
      <c r="A254" s="4" t="s">
        <v>4033</v>
      </c>
      <c r="B254" s="4" t="s">
        <v>289</v>
      </c>
      <c r="C254" s="6">
        <v>0.6134490740740749</v>
      </c>
      <c r="D254" s="6">
        <v>5.787037037037037E-5</v>
      </c>
      <c r="E254" s="6">
        <v>0.6135069444444453</v>
      </c>
      <c r="F254" s="6"/>
      <c r="G254" s="4"/>
      <c r="H254" s="4" t="s">
        <v>2102</v>
      </c>
      <c r="I254" s="4"/>
      <c r="J254" s="4"/>
      <c r="K254" s="4"/>
      <c r="L254" s="4"/>
      <c r="M254" s="4"/>
      <c r="N254" s="4"/>
      <c r="O254" s="4"/>
      <c r="P254" s="4"/>
      <c r="R254" s="166" t="b">
        <v>0</v>
      </c>
      <c r="T254" s="4"/>
      <c r="U254" s="166" t="b">
        <v>0</v>
      </c>
      <c r="V254" s="166" t="b">
        <v>0</v>
      </c>
      <c r="W254" s="166" t="b">
        <v>0</v>
      </c>
      <c r="X254" s="166" t="b">
        <v>0</v>
      </c>
    </row>
    <row r="255">
      <c r="A255" s="4" t="s">
        <v>4042</v>
      </c>
      <c r="B255" s="4" t="s">
        <v>289</v>
      </c>
      <c r="C255" s="6">
        <v>0.6135069444444453</v>
      </c>
      <c r="D255" s="6">
        <v>3.4722222222222224E-4</v>
      </c>
      <c r="E255" s="6">
        <v>0.6138541666666676</v>
      </c>
      <c r="F255" s="6"/>
      <c r="G255" s="4"/>
      <c r="H255" s="4" t="s">
        <v>2207</v>
      </c>
      <c r="I255" s="4"/>
      <c r="J255" s="4"/>
      <c r="K255" s="4"/>
      <c r="L255" s="4"/>
      <c r="M255" s="4"/>
      <c r="N255" s="4"/>
      <c r="O255" s="4"/>
      <c r="P255" s="4"/>
      <c r="R255" s="166" t="b">
        <v>0</v>
      </c>
      <c r="T255" s="4"/>
      <c r="U255" s="166" t="b">
        <v>0</v>
      </c>
      <c r="V255" s="166" t="b">
        <v>0</v>
      </c>
      <c r="W255" s="166" t="b">
        <v>0</v>
      </c>
      <c r="X255" s="166" t="b">
        <v>0</v>
      </c>
    </row>
    <row r="256">
      <c r="A256" s="4" t="s">
        <v>4044</v>
      </c>
      <c r="B256" s="4" t="s">
        <v>289</v>
      </c>
      <c r="C256" s="6">
        <v>0.6138541666666676</v>
      </c>
      <c r="D256" s="6">
        <v>3.4722222222222224E-4</v>
      </c>
      <c r="E256" s="6">
        <v>0.6142013888888899</v>
      </c>
      <c r="F256" s="6"/>
      <c r="G256" s="4"/>
      <c r="H256" s="4" t="s">
        <v>81</v>
      </c>
      <c r="I256" s="4"/>
      <c r="J256" s="4"/>
      <c r="K256" s="4"/>
      <c r="L256" s="4"/>
      <c r="M256" s="4"/>
      <c r="N256" s="4"/>
      <c r="O256" s="4"/>
      <c r="P256" s="4"/>
      <c r="R256" s="166" t="b">
        <v>0</v>
      </c>
      <c r="T256" s="4"/>
      <c r="U256" s="166" t="b">
        <v>0</v>
      </c>
      <c r="V256" s="166" t="b">
        <v>0</v>
      </c>
      <c r="W256" s="166" t="b">
        <v>0</v>
      </c>
      <c r="X256" s="166" t="b">
        <v>0</v>
      </c>
    </row>
    <row r="257">
      <c r="A257" s="4" t="s">
        <v>4046</v>
      </c>
      <c r="B257" s="4" t="s">
        <v>289</v>
      </c>
      <c r="C257" s="6">
        <v>0.6142013888888899</v>
      </c>
      <c r="D257" s="6">
        <v>0.006944444444444444</v>
      </c>
      <c r="E257" s="6">
        <v>0.6211458333333343</v>
      </c>
      <c r="F257" s="6" t="s">
        <v>275</v>
      </c>
      <c r="G257" s="4"/>
      <c r="H257" s="4" t="s">
        <v>2392</v>
      </c>
      <c r="I257" s="4" t="s">
        <v>2420</v>
      </c>
      <c r="J257" s="4" t="s">
        <v>2393</v>
      </c>
      <c r="K257" s="4" t="s">
        <v>2394</v>
      </c>
      <c r="L257" s="4" t="s">
        <v>2395</v>
      </c>
      <c r="M257" s="4" t="s">
        <v>2396</v>
      </c>
      <c r="N257" s="4" t="s">
        <v>2397</v>
      </c>
      <c r="O257" s="4"/>
      <c r="P257" s="4"/>
      <c r="R257" s="166" t="b">
        <v>1</v>
      </c>
      <c r="T257" s="4"/>
      <c r="U257" s="166" t="b">
        <v>0</v>
      </c>
      <c r="V257" s="166" t="b">
        <v>1</v>
      </c>
      <c r="W257" s="166" t="b">
        <v>1</v>
      </c>
      <c r="X257" s="166" t="b">
        <v>0</v>
      </c>
      <c r="Z257" s="111" t="s">
        <v>4049</v>
      </c>
    </row>
    <row r="258">
      <c r="A258" s="4" t="s">
        <v>4054</v>
      </c>
      <c r="B258" s="4" t="s">
        <v>289</v>
      </c>
      <c r="C258" s="6">
        <v>0.6211458333333343</v>
      </c>
      <c r="D258" s="6">
        <v>1.7361111111111112E-4</v>
      </c>
      <c r="E258" s="6">
        <v>0.6213194444444454</v>
      </c>
      <c r="F258" s="6"/>
      <c r="G258" s="4"/>
      <c r="H258" s="4" t="s">
        <v>85</v>
      </c>
      <c r="I258" s="4"/>
      <c r="J258" s="4"/>
      <c r="K258" s="4"/>
      <c r="L258" s="4"/>
      <c r="M258" s="4"/>
      <c r="N258" s="4"/>
      <c r="O258" s="4"/>
      <c r="P258" s="4"/>
      <c r="R258" s="166" t="b">
        <v>0</v>
      </c>
      <c r="T258" s="4"/>
      <c r="U258" s="166" t="b">
        <v>0</v>
      </c>
      <c r="V258" s="166" t="b">
        <v>0</v>
      </c>
      <c r="W258" s="166" t="b">
        <v>0</v>
      </c>
      <c r="X258" s="166" t="b">
        <v>0</v>
      </c>
    </row>
    <row r="259">
      <c r="A259" s="4" t="s">
        <v>4057</v>
      </c>
      <c r="B259" s="4" t="s">
        <v>607</v>
      </c>
      <c r="C259" s="6" t="s">
        <v>607</v>
      </c>
      <c r="D259" s="6" t="s">
        <v>607</v>
      </c>
      <c r="E259" s="6" t="s">
        <v>607</v>
      </c>
      <c r="F259" s="6" t="s">
        <v>607</v>
      </c>
      <c r="G259" s="4" t="s">
        <v>607</v>
      </c>
      <c r="H259" s="4" t="s">
        <v>607</v>
      </c>
      <c r="I259" s="4" t="s">
        <v>607</v>
      </c>
      <c r="J259" s="4" t="s">
        <v>607</v>
      </c>
      <c r="K259" s="4" t="s">
        <v>607</v>
      </c>
      <c r="L259" s="4" t="s">
        <v>607</v>
      </c>
      <c r="M259" s="4" t="s">
        <v>607</v>
      </c>
      <c r="N259" s="4" t="s">
        <v>607</v>
      </c>
      <c r="O259" s="4"/>
      <c r="P259" s="4"/>
      <c r="R259" s="166" t="b">
        <v>0</v>
      </c>
      <c r="T259" s="4"/>
      <c r="U259" s="166" t="b">
        <v>0</v>
      </c>
      <c r="V259" s="166" t="b">
        <v>0</v>
      </c>
      <c r="W259" s="166" t="b">
        <v>0</v>
      </c>
      <c r="X259" s="166" t="b">
        <v>0</v>
      </c>
    </row>
    <row r="260">
      <c r="A260" s="4" t="s">
        <v>4061</v>
      </c>
      <c r="B260" s="4" t="s">
        <v>289</v>
      </c>
      <c r="C260" s="6">
        <v>0.6216666666666677</v>
      </c>
      <c r="D260" s="6">
        <v>3.4722222222222224E-4</v>
      </c>
      <c r="E260" s="6">
        <v>0.62201388888889</v>
      </c>
      <c r="F260" s="6"/>
      <c r="G260" s="4"/>
      <c r="H260" s="4" t="s">
        <v>81</v>
      </c>
      <c r="I260" s="4"/>
      <c r="J260" s="4"/>
      <c r="K260" s="4"/>
      <c r="L260" s="4"/>
      <c r="M260" s="4"/>
      <c r="N260" s="4"/>
      <c r="O260" s="4"/>
      <c r="P260" s="4"/>
      <c r="R260" s="166" t="b">
        <v>0</v>
      </c>
      <c r="T260" s="4"/>
      <c r="U260" s="166" t="b">
        <v>0</v>
      </c>
      <c r="V260" s="166" t="b">
        <v>0</v>
      </c>
      <c r="W260" s="166" t="b">
        <v>0</v>
      </c>
      <c r="X260" s="166" t="b">
        <v>0</v>
      </c>
    </row>
    <row r="261">
      <c r="A261" s="4" t="s">
        <v>4064</v>
      </c>
      <c r="B261" s="4" t="s">
        <v>289</v>
      </c>
      <c r="C261" s="6">
        <v>0.62201388888889</v>
      </c>
      <c r="D261" s="6">
        <v>0.023055555555555555</v>
      </c>
      <c r="E261" s="6">
        <v>0.6450694444444456</v>
      </c>
      <c r="F261" s="6" t="s">
        <v>358</v>
      </c>
      <c r="G261" s="4" t="s">
        <v>3143</v>
      </c>
      <c r="H261" s="4" t="s">
        <v>2400</v>
      </c>
      <c r="I261" s="4" t="s">
        <v>2253</v>
      </c>
      <c r="J261" s="4"/>
      <c r="K261" s="4"/>
      <c r="L261" s="4"/>
      <c r="M261" s="4"/>
      <c r="N261" s="4" t="s">
        <v>2401</v>
      </c>
      <c r="O261" s="4"/>
      <c r="P261" s="4"/>
      <c r="R261" s="166" t="b">
        <v>1</v>
      </c>
      <c r="T261" s="4"/>
      <c r="U261" s="166" t="b">
        <v>0</v>
      </c>
      <c r="V261" s="166" t="b">
        <v>1</v>
      </c>
      <c r="W261" s="166" t="b">
        <v>1</v>
      </c>
      <c r="X261" s="166" t="b">
        <v>0</v>
      </c>
      <c r="Z261" s="80" t="s">
        <v>4068</v>
      </c>
    </row>
    <row r="262">
      <c r="A262" s="4" t="s">
        <v>4072</v>
      </c>
      <c r="B262" s="4" t="s">
        <v>289</v>
      </c>
      <c r="C262" s="6">
        <v>0.6450694444444456</v>
      </c>
      <c r="D262" s="6">
        <v>1.7361111111111112E-4</v>
      </c>
      <c r="E262" s="6">
        <v>0.6452430555555567</v>
      </c>
      <c r="F262" s="6"/>
      <c r="G262" s="4"/>
      <c r="H262" s="4" t="s">
        <v>85</v>
      </c>
      <c r="I262" s="4"/>
      <c r="J262" s="4"/>
      <c r="K262" s="4"/>
      <c r="L262" s="4"/>
      <c r="M262" s="4"/>
      <c r="N262" s="4"/>
      <c r="O262" s="4"/>
      <c r="P262" s="4"/>
      <c r="R262" s="166" t="b">
        <v>0</v>
      </c>
      <c r="T262" s="4"/>
      <c r="U262" s="166" t="b">
        <v>0</v>
      </c>
      <c r="V262" s="166" t="b">
        <v>0</v>
      </c>
      <c r="W262" s="166" t="b">
        <v>0</v>
      </c>
      <c r="X262" s="166" t="b">
        <v>0</v>
      </c>
    </row>
    <row r="263">
      <c r="A263" s="4" t="s">
        <v>4074</v>
      </c>
      <c r="B263" s="4" t="s">
        <v>289</v>
      </c>
      <c r="C263" s="6">
        <v>0.6452430555555567</v>
      </c>
      <c r="D263" s="6">
        <v>3.4722222222222224E-4</v>
      </c>
      <c r="E263" s="6">
        <v>0.645590277777779</v>
      </c>
      <c r="F263" s="6"/>
      <c r="G263" s="4"/>
      <c r="H263" s="4" t="s">
        <v>81</v>
      </c>
      <c r="I263" s="4"/>
      <c r="J263" s="4"/>
      <c r="K263" s="4"/>
      <c r="L263" s="4"/>
      <c r="M263" s="4"/>
      <c r="N263" s="4"/>
      <c r="O263" s="4"/>
      <c r="P263" s="4"/>
      <c r="R263" s="166" t="b">
        <v>0</v>
      </c>
      <c r="T263" s="4"/>
      <c r="U263" s="166" t="b">
        <v>0</v>
      </c>
      <c r="V263" s="166" t="b">
        <v>0</v>
      </c>
      <c r="W263" s="166" t="b">
        <v>0</v>
      </c>
      <c r="X263" s="166" t="b">
        <v>0</v>
      </c>
    </row>
    <row r="264">
      <c r="A264" s="4" t="s">
        <v>4077</v>
      </c>
      <c r="B264" s="4" t="s">
        <v>289</v>
      </c>
      <c r="C264" s="6">
        <v>0.645590277777779</v>
      </c>
      <c r="D264" s="6">
        <v>0.012997685185185185</v>
      </c>
      <c r="E264" s="6">
        <v>0.6585879629629642</v>
      </c>
      <c r="F264" s="6" t="s">
        <v>924</v>
      </c>
      <c r="G264" s="4" t="s">
        <v>3161</v>
      </c>
      <c r="H264" s="4" t="s">
        <v>2403</v>
      </c>
      <c r="I264" s="4" t="s">
        <v>4078</v>
      </c>
      <c r="J264" s="4"/>
      <c r="K264" s="4"/>
      <c r="L264" s="4"/>
      <c r="M264" s="4"/>
      <c r="N264" s="4" t="s">
        <v>2405</v>
      </c>
      <c r="O264" s="4"/>
      <c r="P264" s="4"/>
      <c r="R264" s="166" t="b">
        <v>1</v>
      </c>
      <c r="T264" s="4"/>
      <c r="U264" s="166" t="b">
        <v>0</v>
      </c>
      <c r="V264" s="166" t="b">
        <v>1</v>
      </c>
      <c r="W264" s="166" t="b">
        <v>1</v>
      </c>
      <c r="X264" s="166" t="b">
        <v>0</v>
      </c>
      <c r="Z264" s="80" t="s">
        <v>4082</v>
      </c>
    </row>
    <row r="265">
      <c r="A265" s="4" t="s">
        <v>4085</v>
      </c>
      <c r="B265" s="4" t="s">
        <v>289</v>
      </c>
      <c r="C265" s="6">
        <v>0.6585879629629642</v>
      </c>
      <c r="D265" s="6">
        <v>1.7361111111111112E-4</v>
      </c>
      <c r="E265" s="6">
        <v>0.6587615740740753</v>
      </c>
      <c r="F265" s="6"/>
      <c r="G265" s="4"/>
      <c r="H265" s="4" t="s">
        <v>85</v>
      </c>
      <c r="I265" s="4"/>
      <c r="J265" s="4"/>
      <c r="K265" s="4"/>
      <c r="L265" s="4"/>
      <c r="M265" s="4"/>
      <c r="N265" s="4"/>
      <c r="O265" s="4"/>
      <c r="P265" s="4"/>
      <c r="R265" s="166" t="b">
        <v>0</v>
      </c>
      <c r="T265" s="4"/>
      <c r="U265" s="166" t="b">
        <v>0</v>
      </c>
      <c r="V265" s="166" t="b">
        <v>0</v>
      </c>
      <c r="W265" s="166" t="b">
        <v>0</v>
      </c>
      <c r="X265" s="166" t="b">
        <v>0</v>
      </c>
    </row>
    <row r="266">
      <c r="A266" s="4" t="s">
        <v>4089</v>
      </c>
      <c r="B266" s="4" t="s">
        <v>289</v>
      </c>
      <c r="C266" s="6">
        <v>0.6587615740740753</v>
      </c>
      <c r="D266" s="6">
        <v>3.4722222222222224E-4</v>
      </c>
      <c r="E266" s="6">
        <v>0.6591087962962976</v>
      </c>
      <c r="F266" s="6"/>
      <c r="G266" s="4"/>
      <c r="H266" s="4" t="s">
        <v>81</v>
      </c>
      <c r="I266" s="4"/>
      <c r="J266" s="4"/>
      <c r="K266" s="4"/>
      <c r="L266" s="4"/>
      <c r="M266" s="4"/>
      <c r="N266" s="4"/>
      <c r="O266" s="4"/>
      <c r="P266" s="4"/>
      <c r="R266" s="166" t="b">
        <v>0</v>
      </c>
      <c r="T266" s="4"/>
      <c r="U266" s="166" t="b">
        <v>0</v>
      </c>
      <c r="V266" s="166" t="b">
        <v>0</v>
      </c>
      <c r="W266" s="166" t="b">
        <v>0</v>
      </c>
      <c r="X266" s="166" t="b">
        <v>0</v>
      </c>
    </row>
    <row r="267">
      <c r="A267" s="4" t="s">
        <v>4092</v>
      </c>
      <c r="B267" s="4" t="s">
        <v>289</v>
      </c>
      <c r="C267" s="6">
        <v>0.6591087962962976</v>
      </c>
      <c r="D267" s="6">
        <v>0.006944444444444444</v>
      </c>
      <c r="E267" s="6">
        <v>0.666053240740742</v>
      </c>
      <c r="F267" s="6" t="s">
        <v>924</v>
      </c>
      <c r="G267" s="4"/>
      <c r="H267" s="4" t="s">
        <v>2407</v>
      </c>
      <c r="I267" s="4" t="s">
        <v>4093</v>
      </c>
      <c r="J267" s="4" t="s">
        <v>2408</v>
      </c>
      <c r="K267" s="4" t="s">
        <v>2409</v>
      </c>
      <c r="L267" s="4" t="s">
        <v>2410</v>
      </c>
      <c r="M267" s="4" t="s">
        <v>2411</v>
      </c>
      <c r="N267" s="4" t="s">
        <v>2412</v>
      </c>
      <c r="O267" s="4"/>
      <c r="P267" s="45" t="s">
        <v>25</v>
      </c>
      <c r="R267" s="166" t="b">
        <v>1</v>
      </c>
      <c r="T267" s="4"/>
      <c r="U267" s="166" t="b">
        <v>0</v>
      </c>
      <c r="V267" s="166" t="b">
        <v>1</v>
      </c>
      <c r="W267" s="166" t="b">
        <v>1</v>
      </c>
      <c r="X267" s="166" t="b">
        <v>0</v>
      </c>
      <c r="Z267" s="80" t="s">
        <v>4097</v>
      </c>
    </row>
    <row r="268">
      <c r="A268" s="4" t="s">
        <v>4099</v>
      </c>
      <c r="B268" s="4" t="s">
        <v>289</v>
      </c>
      <c r="C268" s="6">
        <v>0.666053240740742</v>
      </c>
      <c r="D268" s="6">
        <v>1.7361111111111112E-4</v>
      </c>
      <c r="E268" s="6">
        <v>0.6662268518518532</v>
      </c>
      <c r="F268" s="6"/>
      <c r="G268" s="4"/>
      <c r="H268" s="4" t="s">
        <v>85</v>
      </c>
      <c r="I268" s="4"/>
      <c r="J268" s="4"/>
      <c r="K268" s="4"/>
      <c r="L268" s="4"/>
      <c r="M268" s="4"/>
      <c r="N268" s="4"/>
      <c r="O268" s="4"/>
      <c r="P268" s="4"/>
      <c r="R268" s="166" t="b">
        <v>0</v>
      </c>
      <c r="T268" s="4"/>
      <c r="U268" s="166" t="b">
        <v>0</v>
      </c>
      <c r="V268" s="166" t="b">
        <v>0</v>
      </c>
      <c r="W268" s="166" t="b">
        <v>0</v>
      </c>
      <c r="X268" s="166" t="b">
        <v>0</v>
      </c>
    </row>
    <row r="269">
      <c r="A269" s="4" t="s">
        <v>4103</v>
      </c>
      <c r="B269" s="4" t="s">
        <v>607</v>
      </c>
      <c r="C269" s="6" t="s">
        <v>607</v>
      </c>
      <c r="D269" s="6" t="s">
        <v>607</v>
      </c>
      <c r="E269" s="6" t="s">
        <v>607</v>
      </c>
      <c r="F269" s="6" t="s">
        <v>607</v>
      </c>
      <c r="G269" s="4" t="s">
        <v>607</v>
      </c>
      <c r="H269" s="4" t="s">
        <v>607</v>
      </c>
      <c r="I269" s="4" t="s">
        <v>607</v>
      </c>
      <c r="J269" s="4" t="s">
        <v>607</v>
      </c>
      <c r="K269" s="4" t="s">
        <v>607</v>
      </c>
      <c r="L269" s="4" t="s">
        <v>607</v>
      </c>
      <c r="M269" s="4" t="s">
        <v>607</v>
      </c>
      <c r="N269" s="4" t="s">
        <v>607</v>
      </c>
      <c r="O269" s="4"/>
      <c r="P269" s="4"/>
      <c r="R269" s="166" t="b">
        <v>0</v>
      </c>
      <c r="T269" s="4"/>
      <c r="U269" s="166" t="b">
        <v>0</v>
      </c>
      <c r="V269" s="166" t="b">
        <v>0</v>
      </c>
      <c r="W269" s="166" t="b">
        <v>0</v>
      </c>
      <c r="X269" s="166" t="b">
        <v>0</v>
      </c>
    </row>
    <row r="270">
      <c r="A270" s="4" t="s">
        <v>4106</v>
      </c>
      <c r="B270" s="4" t="s">
        <v>289</v>
      </c>
      <c r="C270" s="6">
        <v>0.6665740740740754</v>
      </c>
      <c r="D270" s="6">
        <v>3.4722222222222224E-4</v>
      </c>
      <c r="E270" s="6">
        <v>0.6669212962962977</v>
      </c>
      <c r="F270" s="6"/>
      <c r="G270" s="4"/>
      <c r="H270" s="4" t="s">
        <v>81</v>
      </c>
      <c r="I270" s="4"/>
      <c r="J270" s="4"/>
      <c r="K270" s="4"/>
      <c r="L270" s="4"/>
      <c r="M270" s="4"/>
      <c r="N270" s="4"/>
      <c r="O270" s="4"/>
      <c r="P270" s="4"/>
      <c r="R270" s="166" t="b">
        <v>0</v>
      </c>
      <c r="T270" s="4"/>
      <c r="U270" s="166" t="b">
        <v>0</v>
      </c>
      <c r="V270" s="166" t="b">
        <v>0</v>
      </c>
      <c r="W270" s="166" t="b">
        <v>0</v>
      </c>
      <c r="X270" s="166" t="b">
        <v>0</v>
      </c>
    </row>
    <row r="271">
      <c r="A271" s="4" t="s">
        <v>4110</v>
      </c>
      <c r="B271" s="4" t="s">
        <v>289</v>
      </c>
      <c r="C271" s="6">
        <v>0.6669212962962977</v>
      </c>
      <c r="D271" s="6">
        <v>0.013344907407407408</v>
      </c>
      <c r="E271" s="6">
        <v>0.6802662037037052</v>
      </c>
      <c r="F271" s="6" t="s">
        <v>1193</v>
      </c>
      <c r="G271" s="4" t="s">
        <v>3995</v>
      </c>
      <c r="H271" s="4" t="s">
        <v>2414</v>
      </c>
      <c r="I271" s="4" t="s">
        <v>4112</v>
      </c>
      <c r="J271" s="4"/>
      <c r="K271" s="4"/>
      <c r="L271" s="4"/>
      <c r="M271" s="4"/>
      <c r="N271" s="4" t="s">
        <v>2415</v>
      </c>
      <c r="O271" s="4"/>
      <c r="P271" s="4"/>
      <c r="R271" s="166" t="b">
        <v>1</v>
      </c>
      <c r="T271" s="4"/>
      <c r="U271" s="166" t="b">
        <v>0</v>
      </c>
      <c r="V271" s="166" t="b">
        <v>1</v>
      </c>
      <c r="W271" s="166" t="b">
        <v>1</v>
      </c>
      <c r="X271" s="166" t="b">
        <v>0</v>
      </c>
      <c r="Z271" s="80" t="s">
        <v>4116</v>
      </c>
    </row>
    <row r="272">
      <c r="A272" s="4" t="s">
        <v>4118</v>
      </c>
      <c r="B272" s="4" t="s">
        <v>289</v>
      </c>
      <c r="C272" s="6">
        <v>0.6802662037037052</v>
      </c>
      <c r="D272" s="6">
        <v>1.7361111111111112E-4</v>
      </c>
      <c r="E272" s="6">
        <v>0.6804398148148163</v>
      </c>
      <c r="F272" s="6"/>
      <c r="G272" s="4"/>
      <c r="H272" s="4" t="s">
        <v>85</v>
      </c>
      <c r="I272" s="4"/>
      <c r="J272" s="4"/>
      <c r="K272" s="4"/>
      <c r="L272" s="4"/>
      <c r="M272" s="4"/>
      <c r="N272" s="4"/>
      <c r="O272" s="4"/>
      <c r="P272" s="4"/>
      <c r="R272" s="166" t="b">
        <v>0</v>
      </c>
      <c r="T272" s="4"/>
      <c r="U272" s="166" t="b">
        <v>0</v>
      </c>
      <c r="V272" s="166" t="b">
        <v>0</v>
      </c>
      <c r="W272" s="166" t="b">
        <v>0</v>
      </c>
      <c r="X272" s="166" t="b">
        <v>0</v>
      </c>
    </row>
    <row r="273">
      <c r="A273" s="4" t="s">
        <v>4120</v>
      </c>
      <c r="B273" s="4" t="s">
        <v>289</v>
      </c>
      <c r="C273" s="6">
        <v>0.6804398148148163</v>
      </c>
      <c r="D273" s="6">
        <v>3.4722222222222224E-4</v>
      </c>
      <c r="E273" s="6">
        <v>0.6807870370370386</v>
      </c>
      <c r="F273" s="6"/>
      <c r="G273" s="4"/>
      <c r="H273" s="4" t="s">
        <v>81</v>
      </c>
      <c r="I273" s="4"/>
      <c r="J273" s="4"/>
      <c r="K273" s="4"/>
      <c r="L273" s="4"/>
      <c r="M273" s="4"/>
      <c r="N273" s="4"/>
      <c r="O273" s="4"/>
      <c r="P273" s="4"/>
      <c r="R273" s="166" t="b">
        <v>0</v>
      </c>
      <c r="T273" s="4"/>
      <c r="U273" s="166" t="b">
        <v>0</v>
      </c>
      <c r="V273" s="166" t="b">
        <v>0</v>
      </c>
      <c r="W273" s="166" t="b">
        <v>0</v>
      </c>
      <c r="X273" s="166" t="b">
        <v>0</v>
      </c>
    </row>
    <row r="274">
      <c r="A274" s="4" t="s">
        <v>4124</v>
      </c>
      <c r="B274" s="4" t="s">
        <v>289</v>
      </c>
      <c r="C274" s="6">
        <v>0.6807870370370386</v>
      </c>
      <c r="D274" s="6">
        <v>0.012349537037037037</v>
      </c>
      <c r="E274" s="6">
        <v>0.6931365740740756</v>
      </c>
      <c r="F274" s="6" t="s">
        <v>299</v>
      </c>
      <c r="G274" s="4" t="s">
        <v>3122</v>
      </c>
      <c r="H274" s="4" t="s">
        <v>2419</v>
      </c>
      <c r="I274" s="4" t="s">
        <v>4125</v>
      </c>
      <c r="J274" s="4" t="s">
        <v>2420</v>
      </c>
      <c r="K274" s="4"/>
      <c r="L274" s="4"/>
      <c r="M274" s="4"/>
      <c r="N274" s="4" t="s">
        <v>2421</v>
      </c>
      <c r="O274" s="4"/>
      <c r="P274" s="4"/>
      <c r="R274" s="166" t="b">
        <v>1</v>
      </c>
      <c r="T274" s="4"/>
      <c r="U274" s="166" t="b">
        <v>0</v>
      </c>
      <c r="V274" s="166" t="b">
        <v>1</v>
      </c>
      <c r="W274" s="166" t="b">
        <v>1</v>
      </c>
      <c r="X274" s="166" t="b">
        <v>0</v>
      </c>
      <c r="Z274" s="80" t="s">
        <v>4128</v>
      </c>
    </row>
    <row r="275">
      <c r="A275" s="4" t="s">
        <v>4129</v>
      </c>
      <c r="B275" s="4" t="s">
        <v>289</v>
      </c>
      <c r="C275" s="6">
        <v>0.6931365740740756</v>
      </c>
      <c r="D275" s="6">
        <v>1.7361111111111112E-4</v>
      </c>
      <c r="E275" s="6">
        <v>0.6933101851851867</v>
      </c>
      <c r="F275" s="6"/>
      <c r="G275" s="4"/>
      <c r="H275" s="4" t="s">
        <v>85</v>
      </c>
      <c r="I275" s="4"/>
      <c r="J275" s="4"/>
      <c r="K275" s="4"/>
      <c r="L275" s="4"/>
      <c r="M275" s="4"/>
      <c r="N275" s="4"/>
      <c r="O275" s="4"/>
      <c r="P275" s="4"/>
      <c r="R275" s="166" t="b">
        <v>0</v>
      </c>
      <c r="T275" s="4"/>
      <c r="U275" s="166" t="b">
        <v>0</v>
      </c>
      <c r="V275" s="166" t="b">
        <v>0</v>
      </c>
      <c r="W275" s="166" t="b">
        <v>0</v>
      </c>
      <c r="X275" s="166" t="b">
        <v>0</v>
      </c>
    </row>
    <row r="276">
      <c r="A276" s="4" t="s">
        <v>4133</v>
      </c>
      <c r="B276" s="4" t="s">
        <v>289</v>
      </c>
      <c r="C276" s="6">
        <v>0.6940046296296312</v>
      </c>
      <c r="D276" s="6">
        <v>5.208333333333333E-4</v>
      </c>
      <c r="E276" s="6">
        <v>0.6945254629629645</v>
      </c>
      <c r="F276" s="6"/>
      <c r="G276" s="4"/>
      <c r="H276" s="4" t="s">
        <v>2140</v>
      </c>
      <c r="I276" s="4"/>
      <c r="J276" s="4"/>
      <c r="K276" s="4"/>
      <c r="L276" s="4"/>
      <c r="M276" s="4"/>
      <c r="N276" s="4"/>
      <c r="O276" s="4"/>
      <c r="P276" s="4"/>
      <c r="R276" s="166" t="b">
        <v>0</v>
      </c>
      <c r="T276" s="4"/>
      <c r="U276" s="166" t="b">
        <v>0</v>
      </c>
      <c r="V276" s="166" t="b">
        <v>0</v>
      </c>
      <c r="W276" s="166" t="b">
        <v>0</v>
      </c>
      <c r="X276" s="166" t="b">
        <v>0</v>
      </c>
    </row>
    <row r="277">
      <c r="A277" s="4" t="s">
        <v>4135</v>
      </c>
      <c r="B277" s="4" t="s">
        <v>607</v>
      </c>
      <c r="C277" s="6" t="s">
        <v>607</v>
      </c>
      <c r="D277" s="6" t="s">
        <v>607</v>
      </c>
      <c r="E277" s="6" t="s">
        <v>607</v>
      </c>
      <c r="F277" s="6" t="s">
        <v>607</v>
      </c>
      <c r="G277" s="4" t="s">
        <v>607</v>
      </c>
      <c r="H277" s="4" t="s">
        <v>607</v>
      </c>
      <c r="I277" s="4" t="s">
        <v>607</v>
      </c>
      <c r="J277" s="4" t="s">
        <v>607</v>
      </c>
      <c r="K277" s="4" t="s">
        <v>607</v>
      </c>
      <c r="L277" s="4" t="s">
        <v>607</v>
      </c>
      <c r="M277" s="4" t="s">
        <v>607</v>
      </c>
      <c r="N277" s="4" t="s">
        <v>607</v>
      </c>
      <c r="O277" s="4"/>
      <c r="P277" s="4"/>
      <c r="R277" s="166" t="b">
        <v>0</v>
      </c>
      <c r="T277" s="4"/>
      <c r="U277" s="166" t="b">
        <v>0</v>
      </c>
      <c r="V277" s="166" t="b">
        <v>0</v>
      </c>
      <c r="W277" s="166" t="b">
        <v>0</v>
      </c>
      <c r="X277" s="166" t="b">
        <v>0</v>
      </c>
    </row>
    <row r="278">
      <c r="A278" s="4" t="s">
        <v>4138</v>
      </c>
      <c r="B278" s="4" t="s">
        <v>289</v>
      </c>
      <c r="C278" s="6">
        <v>0.6945254629629645</v>
      </c>
      <c r="D278" s="6">
        <v>3.4722222222222224E-4</v>
      </c>
      <c r="E278" s="6">
        <v>0.6948726851851867</v>
      </c>
      <c r="F278" s="6"/>
      <c r="G278" s="4"/>
      <c r="H278" s="4" t="s">
        <v>81</v>
      </c>
      <c r="I278" s="4"/>
      <c r="J278" s="4"/>
      <c r="K278" s="4"/>
      <c r="L278" s="4"/>
      <c r="M278" s="4"/>
      <c r="N278" s="4"/>
      <c r="O278" s="4"/>
      <c r="P278" s="4"/>
      <c r="R278" s="166" t="b">
        <v>0</v>
      </c>
      <c r="T278" s="4"/>
      <c r="U278" s="166" t="b">
        <v>0</v>
      </c>
      <c r="V278" s="166" t="b">
        <v>0</v>
      </c>
      <c r="W278" s="166" t="b">
        <v>0</v>
      </c>
      <c r="X278" s="166" t="b">
        <v>0</v>
      </c>
    </row>
    <row r="279">
      <c r="A279" s="4" t="s">
        <v>4139</v>
      </c>
      <c r="B279" s="4" t="s">
        <v>289</v>
      </c>
      <c r="C279" s="6">
        <v>0.6948726851851867</v>
      </c>
      <c r="D279" s="6">
        <v>0.013287037037037036</v>
      </c>
      <c r="E279" s="6">
        <v>0.7081597222222238</v>
      </c>
      <c r="F279" s="6" t="s">
        <v>245</v>
      </c>
      <c r="G279" s="4" t="s">
        <v>3112</v>
      </c>
      <c r="H279" s="4" t="s">
        <v>2425</v>
      </c>
      <c r="I279" s="4" t="s">
        <v>136</v>
      </c>
      <c r="J279" s="4" t="s">
        <v>2426</v>
      </c>
      <c r="K279" s="4" t="s">
        <v>1476</v>
      </c>
      <c r="L279" s="4"/>
      <c r="M279" s="4" t="s">
        <v>2427</v>
      </c>
      <c r="N279" s="4" t="s">
        <v>2428</v>
      </c>
      <c r="O279" s="4"/>
      <c r="P279" s="4"/>
      <c r="R279" s="166" t="b">
        <v>1</v>
      </c>
      <c r="T279" s="4"/>
      <c r="U279" s="166" t="b">
        <v>0</v>
      </c>
      <c r="V279" s="166" t="b">
        <v>0</v>
      </c>
      <c r="W279" s="166" t="b">
        <v>0</v>
      </c>
      <c r="X279" s="166" t="b">
        <v>0</v>
      </c>
    </row>
    <row r="280">
      <c r="A280" s="4" t="s">
        <v>4144</v>
      </c>
      <c r="B280" s="4" t="s">
        <v>289</v>
      </c>
      <c r="C280" s="6">
        <v>0.7081597222222238</v>
      </c>
      <c r="D280" s="6">
        <v>1.7361111111111112E-4</v>
      </c>
      <c r="E280" s="6">
        <v>0.7083333333333349</v>
      </c>
      <c r="F280" s="6"/>
      <c r="G280" s="4"/>
      <c r="H280" s="4" t="s">
        <v>85</v>
      </c>
      <c r="I280" s="4"/>
      <c r="J280" s="4"/>
      <c r="K280" s="4"/>
      <c r="L280" s="4"/>
      <c r="M280" s="4"/>
      <c r="N280" s="4"/>
      <c r="O280" s="4"/>
      <c r="P280" s="4"/>
      <c r="R280" s="166" t="b">
        <v>0</v>
      </c>
      <c r="T280" s="4"/>
      <c r="U280" s="166" t="b">
        <v>0</v>
      </c>
      <c r="V280" s="166" t="b">
        <v>0</v>
      </c>
      <c r="W280" s="166" t="b">
        <v>0</v>
      </c>
      <c r="X280" s="166" t="b">
        <v>0</v>
      </c>
    </row>
    <row r="281">
      <c r="A281" s="4" t="s">
        <v>4145</v>
      </c>
      <c r="B281" s="4" t="s">
        <v>289</v>
      </c>
      <c r="C281" s="6" t="e">
        <v>#REF!</v>
      </c>
      <c r="D281" s="6">
        <v>0.006944444444444444</v>
      </c>
      <c r="E281" s="6" t="e">
        <v>#REF!</v>
      </c>
      <c r="F281" s="6" t="s">
        <v>280</v>
      </c>
      <c r="G281" s="4"/>
      <c r="H281" s="4" t="s">
        <v>2430</v>
      </c>
      <c r="I281" s="4" t="s">
        <v>4147</v>
      </c>
      <c r="J281" s="4" t="s">
        <v>2431</v>
      </c>
      <c r="K281" s="4" t="s">
        <v>424</v>
      </c>
      <c r="L281" s="4" t="s">
        <v>2432</v>
      </c>
      <c r="M281" s="4" t="s">
        <v>2433</v>
      </c>
      <c r="N281" s="4" t="s">
        <v>2435</v>
      </c>
      <c r="O281" s="4"/>
      <c r="P281" s="45" t="s">
        <v>32</v>
      </c>
      <c r="R281" s="166" t="b">
        <v>1</v>
      </c>
      <c r="T281" s="4"/>
      <c r="U281" s="166" t="b">
        <v>0</v>
      </c>
      <c r="V281" s="166" t="b">
        <v>1</v>
      </c>
      <c r="W281" s="166" t="b">
        <v>1</v>
      </c>
      <c r="X281" s="166" t="b">
        <v>0</v>
      </c>
      <c r="Z281" s="80" t="s">
        <v>4149</v>
      </c>
    </row>
    <row r="282">
      <c r="A282" s="4" t="s">
        <v>4151</v>
      </c>
      <c r="B282" s="4" t="s">
        <v>66</v>
      </c>
      <c r="C282" s="6">
        <v>0.45920138888888895</v>
      </c>
      <c r="D282" s="6">
        <v>3.4722222222222224E-4</v>
      </c>
      <c r="E282" s="6">
        <v>0.45954861111111117</v>
      </c>
      <c r="F282" s="6"/>
      <c r="G282" s="4"/>
      <c r="H282" s="4" t="s">
        <v>89</v>
      </c>
      <c r="I282" s="4"/>
      <c r="J282" s="4"/>
      <c r="K282" s="4"/>
      <c r="L282" s="4"/>
      <c r="M282" s="4"/>
      <c r="N282" s="4"/>
      <c r="O282" s="4"/>
      <c r="P282" s="4"/>
      <c r="R282" s="166" t="b">
        <v>0</v>
      </c>
      <c r="T282" s="4"/>
      <c r="U282" s="166" t="b">
        <v>0</v>
      </c>
      <c r="V282" s="166" t="b">
        <v>0</v>
      </c>
      <c r="W282" s="166" t="b">
        <v>0</v>
      </c>
      <c r="X282" s="166" t="b">
        <v>0</v>
      </c>
    </row>
    <row r="283">
      <c r="A283" s="4" t="s">
        <v>4153</v>
      </c>
      <c r="B283" s="4" t="s">
        <v>66</v>
      </c>
      <c r="C283" s="6">
        <v>0.5406597222222228</v>
      </c>
      <c r="D283" s="6">
        <v>3.4722222222222224E-4</v>
      </c>
      <c r="E283" s="6">
        <v>0.5410069444444451</v>
      </c>
      <c r="F283" s="6"/>
      <c r="G283" s="4"/>
      <c r="H283" s="4" t="s">
        <v>89</v>
      </c>
      <c r="I283" s="4"/>
      <c r="J283" s="4"/>
      <c r="K283" s="4"/>
      <c r="L283" s="4"/>
      <c r="M283" s="4"/>
      <c r="N283" s="4"/>
      <c r="O283" s="4"/>
      <c r="P283" s="4"/>
      <c r="R283" s="166" t="b">
        <v>0</v>
      </c>
      <c r="T283" s="4"/>
      <c r="U283" s="166" t="b">
        <v>0</v>
      </c>
      <c r="V283" s="166" t="b">
        <v>0</v>
      </c>
      <c r="W283" s="166" t="b">
        <v>0</v>
      </c>
      <c r="X283" s="166" t="b">
        <v>0</v>
      </c>
    </row>
    <row r="284">
      <c r="A284" s="4" t="s">
        <v>4157</v>
      </c>
      <c r="B284" s="4" t="s">
        <v>66</v>
      </c>
      <c r="C284" s="6">
        <v>0.6243287037037049</v>
      </c>
      <c r="D284" s="6">
        <v>3.4722222222222224E-4</v>
      </c>
      <c r="E284" s="6">
        <v>0.6246759259259271</v>
      </c>
      <c r="F284" s="6"/>
      <c r="G284" s="4"/>
      <c r="H284" s="4" t="s">
        <v>89</v>
      </c>
      <c r="I284" s="4"/>
      <c r="J284" s="4"/>
      <c r="K284" s="4"/>
      <c r="L284" s="4"/>
      <c r="M284" s="4"/>
      <c r="N284" s="4"/>
      <c r="O284" s="4"/>
      <c r="P284" s="4"/>
      <c r="R284" s="166" t="b">
        <v>0</v>
      </c>
      <c r="T284" s="4"/>
      <c r="U284" s="166" t="b">
        <v>0</v>
      </c>
      <c r="V284" s="166" t="b">
        <v>0</v>
      </c>
      <c r="W284" s="166" t="b">
        <v>0</v>
      </c>
      <c r="X284" s="166" t="b">
        <v>0</v>
      </c>
    </row>
    <row r="285">
      <c r="A285" s="4" t="s">
        <v>4159</v>
      </c>
      <c r="B285" s="4" t="s">
        <v>66</v>
      </c>
      <c r="C285" s="6">
        <v>0.6865625000000014</v>
      </c>
      <c r="D285" s="6">
        <v>3.4722222222222224E-4</v>
      </c>
      <c r="E285" s="6">
        <v>0.6869097222222237</v>
      </c>
      <c r="F285" s="6"/>
      <c r="G285" s="4"/>
      <c r="H285" s="4" t="s">
        <v>89</v>
      </c>
      <c r="I285" s="4"/>
      <c r="J285" s="4"/>
      <c r="K285" s="4"/>
      <c r="L285" s="4"/>
      <c r="M285" s="4"/>
      <c r="N285" s="4"/>
      <c r="O285" s="4"/>
      <c r="P285" s="4"/>
      <c r="R285" s="166" t="b">
        <v>0</v>
      </c>
      <c r="T285" s="4"/>
      <c r="U285" s="166" t="b">
        <v>0</v>
      </c>
      <c r="V285" s="166" t="b">
        <v>0</v>
      </c>
      <c r="W285" s="166" t="b">
        <v>0</v>
      </c>
      <c r="X285" s="166" t="b">
        <v>0</v>
      </c>
    </row>
    <row r="286">
      <c r="A286" s="4" t="s">
        <v>4160</v>
      </c>
      <c r="B286" s="4" t="s">
        <v>66</v>
      </c>
      <c r="C286" s="6">
        <v>0.5161921296296299</v>
      </c>
      <c r="D286" s="6">
        <v>3.4722222222222224E-4</v>
      </c>
      <c r="E286" s="6">
        <v>0.5165393518518522</v>
      </c>
      <c r="F286" s="6"/>
      <c r="G286" s="4"/>
      <c r="H286" s="4" t="s">
        <v>89</v>
      </c>
      <c r="I286" s="4"/>
      <c r="J286" s="4"/>
      <c r="K286" s="4"/>
      <c r="L286" s="4"/>
      <c r="M286" s="4"/>
      <c r="N286" s="4"/>
      <c r="O286" s="4"/>
      <c r="P286" s="4"/>
      <c r="R286" s="166" t="b">
        <v>0</v>
      </c>
      <c r="T286" s="4"/>
      <c r="U286" s="166" t="b">
        <v>0</v>
      </c>
      <c r="V286" s="166" t="b">
        <v>0</v>
      </c>
      <c r="W286" s="166" t="b">
        <v>0</v>
      </c>
      <c r="X286" s="166" t="b">
        <v>0</v>
      </c>
    </row>
    <row r="287">
      <c r="A287" s="4" t="s">
        <v>4162</v>
      </c>
      <c r="B287" s="4" t="s">
        <v>221</v>
      </c>
      <c r="C287" s="6">
        <v>0.6746875000000015</v>
      </c>
      <c r="D287" s="6">
        <v>3.4722222222222224E-4</v>
      </c>
      <c r="E287" s="6">
        <v>0.6750347222222238</v>
      </c>
      <c r="F287" s="6"/>
      <c r="G287" s="4"/>
      <c r="H287" s="4" t="s">
        <v>2207</v>
      </c>
      <c r="I287" s="4"/>
      <c r="J287" s="4"/>
      <c r="K287" s="4"/>
      <c r="L287" s="4"/>
      <c r="M287" s="4"/>
      <c r="N287" s="4"/>
      <c r="O287" s="4"/>
      <c r="P287" s="4"/>
      <c r="R287" s="166" t="b">
        <v>0</v>
      </c>
      <c r="T287" s="4"/>
      <c r="U287" s="166" t="b">
        <v>0</v>
      </c>
      <c r="V287" s="166" t="b">
        <v>0</v>
      </c>
      <c r="W287" s="166" t="b">
        <v>0</v>
      </c>
      <c r="X287" s="166" t="b">
        <v>0</v>
      </c>
    </row>
    <row r="288">
      <c r="A288" s="4" t="s">
        <v>4164</v>
      </c>
      <c r="B288" s="4" t="s">
        <v>221</v>
      </c>
      <c r="C288" s="6">
        <v>0.6247916666666679</v>
      </c>
      <c r="D288" s="6">
        <v>3.4722222222222224E-4</v>
      </c>
      <c r="E288" s="6">
        <v>0.6251388888888901</v>
      </c>
      <c r="F288" s="6"/>
      <c r="G288" s="4"/>
      <c r="H288" s="4" t="s">
        <v>2207</v>
      </c>
      <c r="I288" s="4"/>
      <c r="J288" s="4"/>
      <c r="K288" s="4"/>
      <c r="L288" s="4"/>
      <c r="M288" s="4"/>
      <c r="N288" s="4"/>
      <c r="O288" s="4"/>
      <c r="P288" s="4"/>
      <c r="R288" s="166" t="b">
        <v>0</v>
      </c>
      <c r="T288" s="4"/>
      <c r="U288" s="166" t="b">
        <v>0</v>
      </c>
      <c r="V288" s="166" t="b">
        <v>0</v>
      </c>
      <c r="W288" s="166" t="b">
        <v>0</v>
      </c>
      <c r="X288" s="166" t="b">
        <v>0</v>
      </c>
    </row>
    <row r="289">
      <c r="A289" s="4" t="s">
        <v>4166</v>
      </c>
      <c r="B289" s="4" t="s">
        <v>221</v>
      </c>
      <c r="C289" s="6">
        <v>0.5940277777777787</v>
      </c>
      <c r="D289" s="6">
        <v>3.4722222222222224E-4</v>
      </c>
      <c r="E289" s="6">
        <v>0.594375000000001</v>
      </c>
      <c r="F289" s="6"/>
      <c r="G289" s="4"/>
      <c r="H289" s="4" t="s">
        <v>2207</v>
      </c>
      <c r="I289" s="4"/>
      <c r="J289" s="4"/>
      <c r="K289" s="4"/>
      <c r="L289" s="4"/>
      <c r="M289" s="4"/>
      <c r="N289" s="4"/>
      <c r="O289" s="4"/>
      <c r="P289" s="4"/>
      <c r="R289" s="166" t="b">
        <v>0</v>
      </c>
      <c r="T289" s="4"/>
      <c r="U289" s="166" t="b">
        <v>0</v>
      </c>
      <c r="V289" s="166" t="b">
        <v>0</v>
      </c>
      <c r="W289" s="166" t="b">
        <v>0</v>
      </c>
      <c r="X289" s="166" t="b">
        <v>0</v>
      </c>
    </row>
    <row r="290">
      <c r="A290" s="4" t="s">
        <v>4170</v>
      </c>
      <c r="B290" s="4" t="s">
        <v>221</v>
      </c>
      <c r="C290" s="6">
        <v>0.5447337962962967</v>
      </c>
      <c r="D290" s="6">
        <v>3.4722222222222224E-4</v>
      </c>
      <c r="E290" s="6">
        <v>0.545081018518519</v>
      </c>
      <c r="F290" s="6"/>
      <c r="G290" s="4"/>
      <c r="H290" s="4" t="s">
        <v>2207</v>
      </c>
      <c r="I290" s="4"/>
      <c r="J290" s="4"/>
      <c r="K290" s="4"/>
      <c r="L290" s="4"/>
      <c r="M290" s="4"/>
      <c r="N290" s="4"/>
      <c r="O290" s="4"/>
      <c r="P290" s="4"/>
      <c r="R290" s="166" t="b">
        <v>0</v>
      </c>
      <c r="T290" s="4"/>
      <c r="U290" s="166" t="b">
        <v>0</v>
      </c>
      <c r="V290" s="166" t="b">
        <v>0</v>
      </c>
      <c r="W290" s="166" t="b">
        <v>0</v>
      </c>
      <c r="X290" s="166" t="b">
        <v>0</v>
      </c>
    </row>
    <row r="291">
      <c r="A291" s="4" t="s">
        <v>4172</v>
      </c>
      <c r="B291" s="4" t="s">
        <v>221</v>
      </c>
      <c r="C291" s="6">
        <v>0.5588888888888894</v>
      </c>
      <c r="D291" s="6">
        <v>3.4722222222222224E-4</v>
      </c>
      <c r="E291" s="6">
        <v>0.5592361111111117</v>
      </c>
      <c r="F291" s="6"/>
      <c r="G291" s="4"/>
      <c r="H291" s="4" t="s">
        <v>2207</v>
      </c>
      <c r="I291" s="4"/>
      <c r="J291" s="4"/>
      <c r="K291" s="4"/>
      <c r="L291" s="4"/>
      <c r="M291" s="4"/>
      <c r="N291" s="4"/>
      <c r="O291" s="4"/>
      <c r="P291" s="4"/>
      <c r="R291" s="166" t="b">
        <v>0</v>
      </c>
      <c r="T291" s="4"/>
      <c r="U291" s="166" t="b">
        <v>0</v>
      </c>
      <c r="V291" s="166" t="b">
        <v>0</v>
      </c>
      <c r="W291" s="166" t="b">
        <v>0</v>
      </c>
      <c r="X291" s="166" t="b">
        <v>0</v>
      </c>
    </row>
    <row r="292">
      <c r="A292" s="4" t="s">
        <v>4175</v>
      </c>
      <c r="B292" s="4" t="s">
        <v>221</v>
      </c>
      <c r="C292" s="6">
        <v>0.5069791666666669</v>
      </c>
      <c r="D292" s="6">
        <v>3.4722222222222224E-4</v>
      </c>
      <c r="E292" s="6">
        <v>0.5073263888888891</v>
      </c>
      <c r="F292" s="6"/>
      <c r="G292" s="4"/>
      <c r="H292" s="4" t="s">
        <v>2207</v>
      </c>
      <c r="I292" s="4"/>
      <c r="J292" s="4"/>
      <c r="K292" s="4"/>
      <c r="L292" s="4"/>
      <c r="M292" s="4"/>
      <c r="N292" s="4"/>
      <c r="O292" s="4"/>
      <c r="P292" s="4"/>
      <c r="R292" s="166" t="b">
        <v>0</v>
      </c>
      <c r="T292" s="4"/>
      <c r="U292" s="166" t="b">
        <v>0</v>
      </c>
      <c r="V292" s="166" t="b">
        <v>0</v>
      </c>
      <c r="W292" s="166" t="b">
        <v>0</v>
      </c>
      <c r="X292" s="166" t="b">
        <v>0</v>
      </c>
    </row>
    <row r="293">
      <c r="A293" s="4" t="s">
        <v>4177</v>
      </c>
      <c r="B293" s="4" t="s">
        <v>66</v>
      </c>
      <c r="C293" s="6">
        <v>0.6429745370370383</v>
      </c>
      <c r="D293" s="6">
        <v>6.944444444444445E-4</v>
      </c>
      <c r="E293" s="6">
        <v>0.6436689814814828</v>
      </c>
      <c r="F293" s="6"/>
      <c r="G293" s="4"/>
      <c r="H293" s="4" t="s">
        <v>2102</v>
      </c>
      <c r="I293" s="4"/>
      <c r="J293" s="4"/>
      <c r="K293" s="4"/>
      <c r="L293" s="4"/>
      <c r="M293" s="4"/>
      <c r="N293" s="4"/>
      <c r="O293" s="4"/>
      <c r="P293" s="4"/>
      <c r="R293" s="166" t="b">
        <v>0</v>
      </c>
      <c r="T293" s="4"/>
      <c r="U293" s="166" t="b">
        <v>0</v>
      </c>
      <c r="V293" s="166" t="b">
        <v>0</v>
      </c>
      <c r="W293" s="166" t="b">
        <v>0</v>
      </c>
      <c r="X293" s="166" t="b">
        <v>0</v>
      </c>
    </row>
    <row r="294">
      <c r="A294" s="4" t="s">
        <v>4179</v>
      </c>
      <c r="B294" s="4" t="s">
        <v>221</v>
      </c>
      <c r="C294" s="6">
        <v>0.520428240740741</v>
      </c>
      <c r="D294" s="6">
        <v>6.944444444444445E-4</v>
      </c>
      <c r="E294" s="6">
        <v>0.5211226851851855</v>
      </c>
      <c r="F294" s="6"/>
      <c r="G294" s="4"/>
      <c r="H294" s="4" t="s">
        <v>2102</v>
      </c>
      <c r="I294" s="4"/>
      <c r="J294" s="4"/>
      <c r="K294" s="4"/>
      <c r="L294" s="4"/>
      <c r="M294" s="4"/>
      <c r="N294" s="4"/>
      <c r="O294" s="4"/>
      <c r="P294" s="4"/>
      <c r="R294" s="166" t="b">
        <v>0</v>
      </c>
      <c r="T294" s="4"/>
      <c r="U294" s="166" t="b">
        <v>0</v>
      </c>
      <c r="V294" s="166" t="b">
        <v>0</v>
      </c>
      <c r="W294" s="166" t="b">
        <v>0</v>
      </c>
      <c r="X294" s="166" t="b">
        <v>0</v>
      </c>
    </row>
    <row r="295">
      <c r="A295" s="4" t="s">
        <v>4181</v>
      </c>
      <c r="B295" s="4"/>
      <c r="C295" s="6"/>
      <c r="D295" s="6"/>
      <c r="E295" s="6"/>
      <c r="F295" s="6"/>
      <c r="G295" s="4"/>
      <c r="H295" s="4"/>
      <c r="I295" s="4"/>
      <c r="J295" s="4"/>
      <c r="K295" s="4"/>
      <c r="L295" s="4"/>
      <c r="M295" s="4"/>
      <c r="N295" s="4"/>
      <c r="O295" s="4"/>
      <c r="P295" s="4"/>
      <c r="R295" s="166" t="b">
        <v>0</v>
      </c>
      <c r="T295" s="4"/>
      <c r="U295" s="166" t="b">
        <v>0</v>
      </c>
      <c r="V295" s="166" t="b">
        <v>0</v>
      </c>
      <c r="W295" s="166" t="b">
        <v>0</v>
      </c>
      <c r="X295" s="166" t="b">
        <v>0</v>
      </c>
    </row>
    <row r="296">
      <c r="A296" s="4" t="s">
        <v>4187</v>
      </c>
      <c r="B296" s="4"/>
      <c r="C296" s="6"/>
      <c r="D296" s="6"/>
      <c r="E296" s="6"/>
      <c r="F296" s="6"/>
      <c r="G296" s="4"/>
      <c r="H296" s="4"/>
      <c r="I296" s="4"/>
      <c r="J296" s="4"/>
      <c r="K296" s="4"/>
      <c r="L296" s="4"/>
      <c r="M296" s="4"/>
      <c r="N296" s="4"/>
      <c r="O296" s="4"/>
      <c r="P296" s="4"/>
      <c r="R296" s="166" t="b">
        <v>0</v>
      </c>
      <c r="T296" s="4"/>
      <c r="U296" s="166" t="b">
        <v>0</v>
      </c>
      <c r="V296" s="166" t="b">
        <v>0</v>
      </c>
      <c r="W296" s="166" t="b">
        <v>0</v>
      </c>
      <c r="X296" s="166" t="b">
        <v>0</v>
      </c>
    </row>
    <row r="297">
      <c r="A297" s="4" t="s">
        <v>4188</v>
      </c>
      <c r="B297" s="4"/>
      <c r="C297" s="6"/>
      <c r="D297" s="6"/>
      <c r="E297" s="6"/>
      <c r="F297" s="6"/>
      <c r="G297" s="4"/>
      <c r="H297" s="4"/>
      <c r="I297" s="4"/>
      <c r="J297" s="4"/>
      <c r="K297" s="4"/>
      <c r="L297" s="4"/>
      <c r="M297" s="4"/>
      <c r="N297" s="4"/>
      <c r="O297" s="4"/>
      <c r="P297" s="4"/>
      <c r="R297" s="166" t="b">
        <v>0</v>
      </c>
      <c r="T297" s="4"/>
      <c r="U297" s="166" t="b">
        <v>0</v>
      </c>
      <c r="V297" s="166" t="b">
        <v>0</v>
      </c>
      <c r="W297" s="166" t="b">
        <v>0</v>
      </c>
      <c r="X297" s="166" t="b">
        <v>0</v>
      </c>
    </row>
    <row r="298">
      <c r="A298" s="4" t="s">
        <v>4191</v>
      </c>
      <c r="B298" s="4"/>
      <c r="C298" s="6"/>
      <c r="D298" s="6"/>
      <c r="E298" s="6"/>
      <c r="F298" s="6"/>
      <c r="G298" s="4"/>
      <c r="H298" s="4"/>
      <c r="I298" s="4"/>
      <c r="J298" s="4"/>
      <c r="K298" s="4"/>
      <c r="L298" s="4"/>
      <c r="M298" s="4"/>
      <c r="N298" s="4"/>
      <c r="O298" s="4"/>
      <c r="P298" s="4"/>
      <c r="R298" s="166" t="b">
        <v>0</v>
      </c>
      <c r="T298" s="4"/>
      <c r="U298" s="166" t="b">
        <v>0</v>
      </c>
      <c r="V298" s="166" t="b">
        <v>0</v>
      </c>
      <c r="W298" s="166" t="b">
        <v>0</v>
      </c>
      <c r="X298" s="166" t="b">
        <v>0</v>
      </c>
    </row>
    <row r="299">
      <c r="A299" s="4" t="s">
        <v>4194</v>
      </c>
      <c r="B299" s="4"/>
      <c r="C299" s="6"/>
      <c r="D299" s="6"/>
      <c r="E299" s="6"/>
      <c r="F299" s="6"/>
      <c r="G299" s="4"/>
      <c r="H299" s="4"/>
      <c r="I299" s="4"/>
      <c r="J299" s="4"/>
      <c r="K299" s="4"/>
      <c r="L299" s="4"/>
      <c r="M299" s="4"/>
      <c r="N299" s="4"/>
      <c r="O299" s="4"/>
      <c r="P299" s="4"/>
      <c r="R299" s="166" t="b">
        <v>0</v>
      </c>
      <c r="T299" s="4"/>
      <c r="U299" s="166" t="b">
        <v>0</v>
      </c>
      <c r="V299" s="166" t="b">
        <v>0</v>
      </c>
      <c r="W299" s="166" t="b">
        <v>0</v>
      </c>
      <c r="X299" s="166" t="b">
        <v>0</v>
      </c>
    </row>
    <row r="300">
      <c r="A300" s="4" t="s">
        <v>4196</v>
      </c>
      <c r="B300" s="4"/>
      <c r="C300" s="6"/>
      <c r="D300" s="6"/>
      <c r="E300" s="6"/>
      <c r="F300" s="6"/>
      <c r="G300" s="4"/>
      <c r="H300" s="4"/>
      <c r="I300" s="4"/>
      <c r="J300" s="4"/>
      <c r="K300" s="4"/>
      <c r="L300" s="4"/>
      <c r="M300" s="4"/>
      <c r="N300" s="4"/>
      <c r="O300" s="4"/>
      <c r="P300" s="4"/>
      <c r="R300" s="166" t="b">
        <v>0</v>
      </c>
      <c r="T300" s="4"/>
      <c r="U300" s="166" t="b">
        <v>0</v>
      </c>
      <c r="V300" s="166" t="b">
        <v>0</v>
      </c>
      <c r="W300" s="166" t="b">
        <v>0</v>
      </c>
      <c r="X300" s="166" t="b">
        <v>0</v>
      </c>
    </row>
    <row r="301">
      <c r="A301" s="4" t="s">
        <v>4197</v>
      </c>
      <c r="B301" s="4"/>
      <c r="C301" s="6"/>
      <c r="D301" s="6"/>
      <c r="E301" s="6"/>
      <c r="F301" s="6"/>
      <c r="G301" s="4"/>
      <c r="H301" s="4"/>
      <c r="I301" s="4"/>
      <c r="J301" s="4"/>
      <c r="K301" s="4"/>
      <c r="L301" s="4"/>
      <c r="M301" s="4"/>
      <c r="N301" s="4"/>
      <c r="O301" s="4"/>
      <c r="P301" s="4"/>
      <c r="R301" s="166" t="b">
        <v>0</v>
      </c>
      <c r="T301" s="4"/>
      <c r="U301" s="166" t="b">
        <v>0</v>
      </c>
      <c r="V301" s="166" t="b">
        <v>0</v>
      </c>
      <c r="W301" s="166" t="b">
        <v>0</v>
      </c>
      <c r="X301" s="166" t="b">
        <v>0</v>
      </c>
    </row>
    <row r="302">
      <c r="A302" s="4" t="s">
        <v>4200</v>
      </c>
      <c r="B302" s="4"/>
      <c r="C302" s="6"/>
      <c r="D302" s="6"/>
      <c r="E302" s="6"/>
      <c r="F302" s="6"/>
      <c r="G302" s="4"/>
      <c r="H302" s="4"/>
      <c r="I302" s="4"/>
      <c r="J302" s="4"/>
      <c r="K302" s="4"/>
      <c r="L302" s="4"/>
      <c r="M302" s="4"/>
      <c r="N302" s="4" t="s">
        <v>2441</v>
      </c>
      <c r="O302" s="4"/>
      <c r="P302" s="4"/>
      <c r="R302" s="166" t="b">
        <v>0</v>
      </c>
      <c r="T302" s="4"/>
      <c r="U302" s="166" t="b">
        <v>0</v>
      </c>
      <c r="V302" s="166" t="b">
        <v>0</v>
      </c>
      <c r="W302" s="166" t="b">
        <v>0</v>
      </c>
      <c r="X302" s="166" t="b">
        <v>0</v>
      </c>
    </row>
    <row r="303">
      <c r="A303" s="4" t="s">
        <v>4203</v>
      </c>
      <c r="B303" s="4"/>
      <c r="C303" s="6"/>
      <c r="D303" s="6"/>
      <c r="E303" s="6"/>
      <c r="F303" s="6"/>
      <c r="G303" s="4"/>
      <c r="H303" s="4"/>
      <c r="I303" s="4"/>
      <c r="J303" s="4"/>
      <c r="K303" s="4"/>
      <c r="L303" s="4"/>
      <c r="M303" s="4"/>
      <c r="N303" s="4" t="s">
        <v>2443</v>
      </c>
      <c r="O303" s="4"/>
      <c r="P303" s="4"/>
      <c r="R303" s="166" t="b">
        <v>0</v>
      </c>
      <c r="T303" s="4"/>
      <c r="U303" s="166" t="b">
        <v>0</v>
      </c>
      <c r="V303" s="166" t="b">
        <v>0</v>
      </c>
      <c r="W303" s="166" t="b">
        <v>0</v>
      </c>
      <c r="X303" s="166" t="b">
        <v>0</v>
      </c>
    </row>
    <row r="304">
      <c r="A304" s="4" t="s">
        <v>4205</v>
      </c>
      <c r="B304" s="4"/>
      <c r="C304" s="6"/>
      <c r="D304" s="6"/>
      <c r="E304" s="6"/>
      <c r="F304" s="6"/>
      <c r="G304" s="4"/>
      <c r="H304" s="4"/>
      <c r="I304" s="4"/>
      <c r="J304" s="4"/>
      <c r="K304" s="4"/>
      <c r="L304" s="4"/>
      <c r="M304" s="4"/>
      <c r="N304" s="4" t="s">
        <v>2445</v>
      </c>
      <c r="O304" s="4"/>
      <c r="P304" s="4"/>
      <c r="R304" s="166" t="b">
        <v>0</v>
      </c>
      <c r="T304" s="4"/>
      <c r="U304" s="166" t="b">
        <v>0</v>
      </c>
      <c r="V304" s="166" t="b">
        <v>0</v>
      </c>
      <c r="W304" s="166" t="b">
        <v>0</v>
      </c>
      <c r="X304" s="166" t="b">
        <v>0</v>
      </c>
    </row>
    <row r="305">
      <c r="A305" s="4" t="s">
        <v>4207</v>
      </c>
      <c r="B305" s="4"/>
      <c r="C305" s="6"/>
      <c r="D305" s="6"/>
      <c r="E305" s="6"/>
      <c r="F305" s="6"/>
      <c r="G305" s="4"/>
      <c r="H305" s="4"/>
      <c r="I305" s="4"/>
      <c r="J305" s="4"/>
      <c r="K305" s="4"/>
      <c r="L305" s="4"/>
      <c r="M305" s="4"/>
      <c r="N305" s="4" t="s">
        <v>2446</v>
      </c>
      <c r="O305" s="4"/>
      <c r="P305" s="4"/>
      <c r="R305" s="166" t="b">
        <v>0</v>
      </c>
      <c r="T305" s="4"/>
      <c r="U305" s="166" t="b">
        <v>0</v>
      </c>
      <c r="V305" s="166" t="b">
        <v>0</v>
      </c>
      <c r="W305" s="166" t="b">
        <v>0</v>
      </c>
      <c r="X305" s="166" t="b">
        <v>0</v>
      </c>
    </row>
    <row r="306">
      <c r="A306" s="4" t="s">
        <v>4208</v>
      </c>
      <c r="B306" s="4"/>
      <c r="C306" s="6"/>
      <c r="D306" s="6"/>
      <c r="E306" s="6"/>
      <c r="F306" s="6"/>
      <c r="G306" s="4"/>
      <c r="H306" s="4"/>
      <c r="I306" s="4"/>
      <c r="J306" s="4"/>
      <c r="K306" s="4"/>
      <c r="L306" s="4"/>
      <c r="M306" s="4"/>
      <c r="N306" s="4" t="s">
        <v>2110</v>
      </c>
      <c r="O306" s="4"/>
      <c r="P306" s="4"/>
      <c r="R306" s="166" t="b">
        <v>0</v>
      </c>
      <c r="T306" s="4"/>
      <c r="U306" s="166" t="b">
        <v>0</v>
      </c>
      <c r="V306" s="166" t="b">
        <v>0</v>
      </c>
      <c r="W306" s="166" t="b">
        <v>0</v>
      </c>
      <c r="X306" s="166" t="b">
        <v>0</v>
      </c>
    </row>
    <row r="307">
      <c r="A307" s="4" t="s">
        <v>4211</v>
      </c>
      <c r="B307" s="4"/>
      <c r="C307" s="6"/>
      <c r="D307" s="6"/>
      <c r="E307" s="6"/>
      <c r="F307" s="6"/>
      <c r="G307" s="4"/>
      <c r="H307" s="4"/>
      <c r="I307" s="4"/>
      <c r="J307" s="4"/>
      <c r="K307" s="4"/>
      <c r="L307" s="4"/>
      <c r="M307" s="4"/>
      <c r="N307" s="4" t="s">
        <v>2093</v>
      </c>
      <c r="O307" s="4"/>
      <c r="P307" s="4"/>
      <c r="R307" s="166" t="b">
        <v>0</v>
      </c>
      <c r="T307" s="4"/>
      <c r="U307" s="166" t="b">
        <v>0</v>
      </c>
      <c r="V307" s="166" t="b">
        <v>0</v>
      </c>
      <c r="W307" s="166" t="b">
        <v>0</v>
      </c>
      <c r="X307" s="166" t="b">
        <v>0</v>
      </c>
    </row>
    <row r="308">
      <c r="A308" s="4" t="s">
        <v>4213</v>
      </c>
      <c r="B308" s="4"/>
      <c r="C308" s="6"/>
      <c r="D308" s="6"/>
      <c r="E308" s="6"/>
      <c r="F308" s="6"/>
      <c r="G308" s="4"/>
      <c r="H308" s="4"/>
      <c r="I308" s="4"/>
      <c r="J308" s="4"/>
      <c r="K308" s="4"/>
      <c r="L308" s="4"/>
      <c r="M308" s="4"/>
      <c r="N308" s="4" t="s">
        <v>2449</v>
      </c>
      <c r="O308" s="4"/>
      <c r="P308" s="4"/>
      <c r="R308" s="166" t="b">
        <v>0</v>
      </c>
      <c r="T308" s="4"/>
      <c r="U308" s="166" t="b">
        <v>0</v>
      </c>
      <c r="V308" s="166" t="b">
        <v>0</v>
      </c>
      <c r="W308" s="166" t="b">
        <v>0</v>
      </c>
      <c r="X308" s="166" t="b">
        <v>0</v>
      </c>
    </row>
    <row r="309">
      <c r="A309" s="4" t="s">
        <v>4214</v>
      </c>
      <c r="B309" s="4"/>
      <c r="C309" s="6"/>
      <c r="D309" s="6"/>
      <c r="E309" s="6"/>
      <c r="F309" s="6"/>
      <c r="G309" s="4"/>
      <c r="H309" s="4"/>
      <c r="I309" s="4"/>
      <c r="J309" s="4"/>
      <c r="K309" s="4"/>
      <c r="L309" s="4"/>
      <c r="M309" s="4"/>
      <c r="N309" s="4" t="s">
        <v>2451</v>
      </c>
      <c r="O309" s="4"/>
      <c r="P309" s="4"/>
      <c r="R309" s="166" t="b">
        <v>0</v>
      </c>
      <c r="T309" s="4"/>
      <c r="U309" s="166" t="b">
        <v>0</v>
      </c>
      <c r="V309" s="166" t="b">
        <v>0</v>
      </c>
      <c r="W309" s="166" t="b">
        <v>0</v>
      </c>
      <c r="X309" s="166" t="b">
        <v>0</v>
      </c>
    </row>
    <row r="310">
      <c r="A310" s="4" t="s">
        <v>4216</v>
      </c>
      <c r="B310" s="4"/>
      <c r="C310" s="6"/>
      <c r="D310" s="6"/>
      <c r="E310" s="6"/>
      <c r="F310" s="6"/>
      <c r="G310" s="4"/>
      <c r="H310" s="4"/>
      <c r="I310" s="4"/>
      <c r="J310" s="4"/>
      <c r="K310" s="4"/>
      <c r="L310" s="4"/>
      <c r="M310" s="4"/>
      <c r="N310" s="4" t="s">
        <v>2452</v>
      </c>
      <c r="O310" s="4"/>
      <c r="P310" s="4"/>
      <c r="R310" s="166" t="b">
        <v>0</v>
      </c>
      <c r="T310" s="4"/>
      <c r="U310" s="166" t="b">
        <v>0</v>
      </c>
      <c r="V310" s="166" t="b">
        <v>0</v>
      </c>
      <c r="W310" s="166" t="b">
        <v>0</v>
      </c>
      <c r="X310" s="166" t="b">
        <v>0</v>
      </c>
    </row>
    <row r="311">
      <c r="A311" s="4" t="s">
        <v>4217</v>
      </c>
      <c r="B311" s="4"/>
      <c r="C311" s="6"/>
      <c r="D311" s="6"/>
      <c r="E311" s="6"/>
      <c r="F311" s="6"/>
      <c r="G311" s="4"/>
      <c r="H311" s="4"/>
      <c r="I311" s="4"/>
      <c r="J311" s="4"/>
      <c r="K311" s="4"/>
      <c r="L311" s="4"/>
      <c r="M311" s="4"/>
      <c r="N311" s="4" t="s">
        <v>2454</v>
      </c>
      <c r="O311" s="4"/>
      <c r="P311" s="4"/>
      <c r="R311" s="166" t="b">
        <v>0</v>
      </c>
      <c r="T311" s="4"/>
      <c r="U311" s="166" t="b">
        <v>0</v>
      </c>
      <c r="V311" s="166" t="b">
        <v>0</v>
      </c>
      <c r="W311" s="166" t="b">
        <v>0</v>
      </c>
      <c r="X311" s="166" t="b">
        <v>0</v>
      </c>
    </row>
    <row r="312">
      <c r="A312" s="4" t="s">
        <v>4219</v>
      </c>
      <c r="B312" s="4"/>
      <c r="C312" s="6"/>
      <c r="D312" s="6"/>
      <c r="E312" s="6"/>
      <c r="F312" s="6"/>
      <c r="G312" s="4"/>
      <c r="H312" s="4"/>
      <c r="I312" s="4"/>
      <c r="J312" s="4"/>
      <c r="K312" s="4"/>
      <c r="L312" s="4"/>
      <c r="M312" s="4"/>
      <c r="N312" s="4" t="s">
        <v>2348</v>
      </c>
      <c r="O312" s="4"/>
      <c r="P312" s="4"/>
      <c r="R312" s="166" t="b">
        <v>0</v>
      </c>
      <c r="T312" s="4"/>
      <c r="U312" s="166" t="b">
        <v>0</v>
      </c>
      <c r="V312" s="166" t="b">
        <v>0</v>
      </c>
      <c r="W312" s="166" t="b">
        <v>0</v>
      </c>
      <c r="X312" s="166" t="b">
        <v>0</v>
      </c>
    </row>
    <row r="313">
      <c r="A313" s="4" t="s">
        <v>4220</v>
      </c>
      <c r="B313" s="4"/>
      <c r="C313" s="6"/>
      <c r="D313" s="6"/>
      <c r="E313" s="6"/>
      <c r="F313" s="6"/>
      <c r="G313" s="4"/>
      <c r="H313" s="4"/>
      <c r="I313" s="4"/>
      <c r="J313" s="4"/>
      <c r="K313" s="4"/>
      <c r="L313" s="4"/>
      <c r="M313" s="4"/>
      <c r="N313" s="4" t="s">
        <v>2456</v>
      </c>
      <c r="O313" s="4"/>
      <c r="P313" s="4"/>
      <c r="R313" s="166" t="b">
        <v>0</v>
      </c>
      <c r="T313" s="4"/>
      <c r="U313" s="166" t="b">
        <v>0</v>
      </c>
      <c r="V313" s="166" t="b">
        <v>0</v>
      </c>
      <c r="W313" s="166" t="b">
        <v>0</v>
      </c>
      <c r="X313" s="166" t="b">
        <v>0</v>
      </c>
    </row>
    <row r="314">
      <c r="A314" s="4" t="s">
        <v>4222</v>
      </c>
      <c r="B314" s="4"/>
      <c r="C314" s="6"/>
      <c r="D314" s="6"/>
      <c r="E314" s="6"/>
      <c r="F314" s="6"/>
      <c r="G314" s="4"/>
      <c r="H314" s="4"/>
      <c r="I314" s="4"/>
      <c r="J314" s="4"/>
      <c r="K314" s="4"/>
      <c r="L314" s="4"/>
      <c r="M314" s="4"/>
      <c r="N314" s="4" t="s">
        <v>2458</v>
      </c>
      <c r="O314" s="4"/>
      <c r="P314" s="4"/>
      <c r="R314" s="166" t="b">
        <v>0</v>
      </c>
      <c r="T314" s="4"/>
      <c r="U314" s="166" t="b">
        <v>0</v>
      </c>
      <c r="V314" s="166" t="b">
        <v>0</v>
      </c>
      <c r="W314" s="166" t="b">
        <v>0</v>
      </c>
      <c r="X314" s="166" t="b">
        <v>0</v>
      </c>
    </row>
    <row r="315">
      <c r="A315" s="4" t="s">
        <v>4223</v>
      </c>
      <c r="B315" s="4"/>
      <c r="C315" s="6"/>
      <c r="D315" s="6"/>
      <c r="E315" s="6"/>
      <c r="F315" s="6"/>
      <c r="G315" s="4"/>
      <c r="H315" s="4"/>
      <c r="I315" s="4"/>
      <c r="J315" s="4"/>
      <c r="K315" s="4"/>
      <c r="L315" s="4"/>
      <c r="M315" s="4"/>
      <c r="N315" s="4"/>
      <c r="O315" s="4"/>
      <c r="P315" s="4"/>
      <c r="R315" s="166" t="b">
        <v>0</v>
      </c>
      <c r="T315" s="4"/>
      <c r="U315" s="166" t="b">
        <v>0</v>
      </c>
      <c r="V315" s="166" t="b">
        <v>0</v>
      </c>
      <c r="W315" s="166" t="b">
        <v>0</v>
      </c>
      <c r="X315" s="166" t="b">
        <v>0</v>
      </c>
    </row>
    <row r="316">
      <c r="A316" s="4" t="s">
        <v>4225</v>
      </c>
      <c r="B316" s="4"/>
      <c r="C316" s="6"/>
      <c r="D316" s="6"/>
      <c r="E316" s="6"/>
      <c r="F316" s="6"/>
      <c r="G316" s="4"/>
      <c r="H316" s="4"/>
      <c r="I316" s="4"/>
      <c r="J316" s="4"/>
      <c r="K316" s="4"/>
      <c r="L316" s="4"/>
      <c r="M316" s="4"/>
      <c r="N316" s="4"/>
      <c r="O316" s="4"/>
      <c r="P316" s="4"/>
      <c r="R316" s="166" t="b">
        <v>0</v>
      </c>
      <c r="T316" s="4"/>
      <c r="U316" s="166" t="b">
        <v>0</v>
      </c>
      <c r="V316" s="166" t="b">
        <v>0</v>
      </c>
      <c r="W316" s="166" t="b">
        <v>0</v>
      </c>
      <c r="X316" s="166" t="b">
        <v>0</v>
      </c>
    </row>
    <row r="317">
      <c r="A317" s="4" t="s">
        <v>4227</v>
      </c>
      <c r="B317" s="4"/>
      <c r="C317" s="6"/>
      <c r="D317" s="6"/>
      <c r="E317" s="6"/>
      <c r="F317" s="6"/>
      <c r="G317" s="4"/>
      <c r="H317" s="4"/>
      <c r="I317" s="4"/>
      <c r="J317" s="4"/>
      <c r="K317" s="4"/>
      <c r="L317" s="4"/>
      <c r="M317" s="4"/>
      <c r="N317" s="4"/>
      <c r="O317" s="4"/>
      <c r="P317" s="4"/>
      <c r="R317" s="166" t="b">
        <v>0</v>
      </c>
      <c r="T317" s="4"/>
      <c r="U317" s="166" t="b">
        <v>0</v>
      </c>
      <c r="V317" s="166" t="b">
        <v>0</v>
      </c>
      <c r="W317" s="166" t="b">
        <v>0</v>
      </c>
      <c r="X317" s="166" t="b">
        <v>0</v>
      </c>
    </row>
    <row r="318">
      <c r="A318" s="4" t="s">
        <v>4228</v>
      </c>
      <c r="B318" s="4"/>
      <c r="C318" s="6"/>
      <c r="D318" s="6"/>
      <c r="E318" s="6"/>
      <c r="F318" s="6"/>
      <c r="G318" s="4"/>
      <c r="H318" s="4"/>
      <c r="I318" s="4"/>
      <c r="J318" s="4"/>
      <c r="K318" s="4"/>
      <c r="L318" s="4"/>
      <c r="M318" s="4"/>
      <c r="N318" s="4"/>
      <c r="O318" s="4"/>
      <c r="P318" s="4"/>
      <c r="R318" s="166" t="b">
        <v>0</v>
      </c>
      <c r="T318" s="4"/>
      <c r="U318" s="166" t="b">
        <v>0</v>
      </c>
      <c r="V318" s="166" t="b">
        <v>0</v>
      </c>
      <c r="W318" s="166" t="b">
        <v>0</v>
      </c>
      <c r="X318" s="166" t="b">
        <v>0</v>
      </c>
    </row>
    <row r="319">
      <c r="A319" s="4" t="s">
        <v>4230</v>
      </c>
      <c r="B319" s="4"/>
      <c r="C319" s="6"/>
      <c r="D319" s="6"/>
      <c r="E319" s="6"/>
      <c r="F319" s="6"/>
      <c r="G319" s="4"/>
      <c r="H319" s="4"/>
      <c r="I319" s="4"/>
      <c r="J319" s="4"/>
      <c r="K319" s="4"/>
      <c r="L319" s="4"/>
      <c r="M319" s="4"/>
      <c r="N319" s="4"/>
      <c r="O319" s="4"/>
      <c r="P319" s="4"/>
      <c r="R319" s="166" t="b">
        <v>0</v>
      </c>
      <c r="T319" s="4"/>
      <c r="U319" s="166" t="b">
        <v>0</v>
      </c>
      <c r="V319" s="166" t="b">
        <v>0</v>
      </c>
      <c r="W319" s="166" t="b">
        <v>0</v>
      </c>
      <c r="X319" s="166" t="b">
        <v>0</v>
      </c>
    </row>
    <row r="320">
      <c r="A320" s="4" t="s">
        <v>4231</v>
      </c>
      <c r="B320" s="4"/>
      <c r="C320" s="6"/>
      <c r="D320" s="6"/>
      <c r="E320" s="6"/>
      <c r="F320" s="6"/>
      <c r="G320" s="4"/>
      <c r="H320" s="4"/>
      <c r="I320" s="4"/>
      <c r="J320" s="4"/>
      <c r="K320" s="4"/>
      <c r="L320" s="4"/>
      <c r="M320" s="4"/>
      <c r="N320" s="4"/>
      <c r="O320" s="4"/>
      <c r="P320" s="4"/>
      <c r="R320" s="166" t="b">
        <v>0</v>
      </c>
      <c r="T320" s="4"/>
      <c r="U320" s="166" t="b">
        <v>0</v>
      </c>
      <c r="V320" s="166" t="b">
        <v>0</v>
      </c>
      <c r="W320" s="166" t="b">
        <v>0</v>
      </c>
      <c r="X320" s="166" t="b">
        <v>0</v>
      </c>
    </row>
    <row r="321">
      <c r="A321" s="4" t="s">
        <v>4233</v>
      </c>
      <c r="B321" s="4"/>
      <c r="C321" s="6"/>
      <c r="D321" s="6"/>
      <c r="E321" s="6"/>
      <c r="F321" s="6"/>
      <c r="G321" s="4"/>
      <c r="H321" s="4"/>
      <c r="I321" s="4"/>
      <c r="J321" s="4"/>
      <c r="K321" s="4"/>
      <c r="L321" s="4"/>
      <c r="M321" s="4"/>
      <c r="N321" s="4"/>
      <c r="O321" s="4"/>
      <c r="P321" s="4"/>
      <c r="R321" s="166" t="b">
        <v>0</v>
      </c>
      <c r="T321" s="4"/>
      <c r="U321" s="166" t="b">
        <v>0</v>
      </c>
      <c r="V321" s="166" t="b">
        <v>0</v>
      </c>
      <c r="W321" s="166" t="b">
        <v>0</v>
      </c>
      <c r="X321" s="166" t="b">
        <v>0</v>
      </c>
    </row>
    <row r="322">
      <c r="A322" s="4" t="s">
        <v>4234</v>
      </c>
      <c r="B322" s="4"/>
      <c r="C322" s="6"/>
      <c r="D322" s="6"/>
      <c r="E322" s="6"/>
      <c r="F322" s="6"/>
      <c r="G322" s="4"/>
      <c r="H322" s="4"/>
      <c r="I322" s="4"/>
      <c r="J322" s="4"/>
      <c r="K322" s="4"/>
      <c r="L322" s="4"/>
      <c r="M322" s="4"/>
      <c r="N322" s="4"/>
      <c r="O322" s="4"/>
      <c r="P322" s="4"/>
      <c r="R322" s="166" t="b">
        <v>0</v>
      </c>
      <c r="T322" s="4"/>
      <c r="U322" s="166" t="b">
        <v>0</v>
      </c>
      <c r="V322" s="166" t="b">
        <v>0</v>
      </c>
      <c r="W322" s="166" t="b">
        <v>0</v>
      </c>
      <c r="X322" s="166" t="b">
        <v>0</v>
      </c>
    </row>
    <row r="323">
      <c r="A323" s="4" t="s">
        <v>4236</v>
      </c>
      <c r="B323" s="4"/>
      <c r="C323" s="6"/>
      <c r="D323" s="6"/>
      <c r="E323" s="6"/>
      <c r="F323" s="6"/>
      <c r="G323" s="4"/>
      <c r="H323" s="4"/>
      <c r="I323" s="4"/>
      <c r="J323" s="4"/>
      <c r="K323" s="4"/>
      <c r="L323" s="4"/>
      <c r="M323" s="4"/>
      <c r="N323" s="4"/>
      <c r="O323" s="4"/>
      <c r="P323" s="4"/>
      <c r="R323" s="166" t="b">
        <v>0</v>
      </c>
      <c r="T323" s="4"/>
      <c r="U323" s="166" t="b">
        <v>0</v>
      </c>
      <c r="V323" s="166" t="b">
        <v>0</v>
      </c>
      <c r="W323" s="166" t="b">
        <v>0</v>
      </c>
      <c r="X323" s="166" t="b">
        <v>0</v>
      </c>
    </row>
    <row r="324">
      <c r="A324" s="4" t="s">
        <v>4238</v>
      </c>
      <c r="B324" s="4"/>
      <c r="C324" s="6"/>
      <c r="D324" s="6"/>
      <c r="E324" s="6"/>
      <c r="F324" s="6"/>
      <c r="G324" s="4"/>
      <c r="H324" s="4"/>
      <c r="I324" s="4"/>
      <c r="J324" s="4"/>
      <c r="K324" s="4"/>
      <c r="L324" s="4"/>
      <c r="M324" s="4"/>
      <c r="N324" s="4"/>
      <c r="O324" s="4"/>
      <c r="P324" s="4"/>
      <c r="R324" s="166" t="b">
        <v>0</v>
      </c>
      <c r="T324" s="4"/>
      <c r="U324" s="166" t="b">
        <v>0</v>
      </c>
      <c r="V324" s="166" t="b">
        <v>0</v>
      </c>
      <c r="W324" s="166" t="b">
        <v>0</v>
      </c>
      <c r="X324" s="166" t="b">
        <v>0</v>
      </c>
    </row>
    <row r="325">
      <c r="A325" s="4" t="s">
        <v>4240</v>
      </c>
      <c r="B325" s="4"/>
      <c r="C325" s="6"/>
      <c r="D325" s="6"/>
      <c r="E325" s="6"/>
      <c r="F325" s="6"/>
      <c r="G325" s="4"/>
      <c r="H325" s="4"/>
      <c r="I325" s="4"/>
      <c r="J325" s="4"/>
      <c r="K325" s="4"/>
      <c r="L325" s="4"/>
      <c r="M325" s="4"/>
      <c r="N325" s="4"/>
      <c r="O325" s="4"/>
      <c r="P325" s="4"/>
      <c r="R325" s="166" t="b">
        <v>0</v>
      </c>
      <c r="T325" s="4"/>
      <c r="U325" s="166" t="b">
        <v>0</v>
      </c>
      <c r="V325" s="166" t="b">
        <v>0</v>
      </c>
      <c r="W325" s="166" t="b">
        <v>0</v>
      </c>
      <c r="X325" s="166" t="b">
        <v>0</v>
      </c>
    </row>
    <row r="326">
      <c r="A326" s="4" t="s">
        <v>4241</v>
      </c>
      <c r="B326" s="4"/>
      <c r="C326" s="6"/>
      <c r="D326" s="6"/>
      <c r="E326" s="6"/>
      <c r="F326" s="6"/>
      <c r="G326" s="4"/>
      <c r="H326" s="4"/>
      <c r="I326" s="4"/>
      <c r="J326" s="4"/>
      <c r="K326" s="4"/>
      <c r="L326" s="4"/>
      <c r="M326" s="4"/>
      <c r="N326" s="4"/>
      <c r="O326" s="4"/>
      <c r="P326" s="4"/>
      <c r="R326" s="166" t="b">
        <v>0</v>
      </c>
      <c r="T326" s="4"/>
      <c r="U326" s="166" t="b">
        <v>0</v>
      </c>
      <c r="V326" s="166" t="b">
        <v>0</v>
      </c>
      <c r="W326" s="166" t="b">
        <v>0</v>
      </c>
      <c r="X326" s="166" t="b">
        <v>0</v>
      </c>
    </row>
    <row r="327">
      <c r="A327" s="4" t="s">
        <v>4244</v>
      </c>
      <c r="B327" s="4"/>
      <c r="C327" s="6"/>
      <c r="D327" s="6"/>
      <c r="E327" s="6"/>
      <c r="F327" s="6"/>
      <c r="G327" s="4"/>
      <c r="H327" s="4"/>
      <c r="I327" s="4"/>
      <c r="J327" s="4"/>
      <c r="K327" s="4"/>
      <c r="L327" s="4"/>
      <c r="M327" s="4"/>
      <c r="N327" s="4"/>
      <c r="O327" s="4"/>
      <c r="P327" s="4"/>
      <c r="R327" s="166" t="b">
        <v>0</v>
      </c>
      <c r="T327" s="4"/>
      <c r="U327" s="166" t="b">
        <v>0</v>
      </c>
      <c r="V327" s="166" t="b">
        <v>0</v>
      </c>
      <c r="W327" s="166" t="b">
        <v>0</v>
      </c>
      <c r="X327" s="166" t="b">
        <v>0</v>
      </c>
    </row>
    <row r="328">
      <c r="A328" s="4" t="s">
        <v>4246</v>
      </c>
      <c r="B328" s="4"/>
      <c r="C328" s="6"/>
      <c r="D328" s="6"/>
      <c r="E328" s="6"/>
      <c r="F328" s="6"/>
      <c r="G328" s="4"/>
      <c r="H328" s="4"/>
      <c r="I328" s="4"/>
      <c r="J328" s="4"/>
      <c r="K328" s="4"/>
      <c r="L328" s="4"/>
      <c r="M328" s="4"/>
      <c r="N328" s="4"/>
      <c r="O328" s="4"/>
      <c r="P328" s="4"/>
      <c r="R328" s="166" t="b">
        <v>0</v>
      </c>
      <c r="T328" s="4"/>
      <c r="U328" s="166" t="b">
        <v>0</v>
      </c>
      <c r="V328" s="166" t="b">
        <v>0</v>
      </c>
      <c r="W328" s="166" t="b">
        <v>0</v>
      </c>
      <c r="X328" s="166" t="b">
        <v>0</v>
      </c>
    </row>
    <row r="329">
      <c r="A329" s="4" t="s">
        <v>4247</v>
      </c>
      <c r="B329" s="4"/>
      <c r="C329" s="6"/>
      <c r="D329" s="6"/>
      <c r="E329" s="6"/>
      <c r="F329" s="6"/>
      <c r="G329" s="4"/>
      <c r="H329" s="4"/>
      <c r="I329" s="4"/>
      <c r="J329" s="4"/>
      <c r="K329" s="4"/>
      <c r="L329" s="4"/>
      <c r="M329" s="4"/>
      <c r="N329" s="4"/>
      <c r="O329" s="4"/>
      <c r="P329" s="4"/>
      <c r="R329" s="166" t="b">
        <v>0</v>
      </c>
      <c r="T329" s="4"/>
      <c r="U329" s="166" t="b">
        <v>0</v>
      </c>
      <c r="V329" s="166" t="b">
        <v>0</v>
      </c>
      <c r="W329" s="166" t="b">
        <v>0</v>
      </c>
      <c r="X329" s="166" t="b">
        <v>0</v>
      </c>
    </row>
    <row r="330">
      <c r="A330" s="4" t="s">
        <v>4249</v>
      </c>
      <c r="B330" s="4"/>
      <c r="C330" s="6"/>
      <c r="D330" s="6"/>
      <c r="E330" s="6"/>
      <c r="F330" s="6"/>
      <c r="G330" s="4"/>
      <c r="H330" s="4"/>
      <c r="I330" s="4"/>
      <c r="J330" s="4"/>
      <c r="K330" s="4"/>
      <c r="L330" s="4"/>
      <c r="M330" s="4"/>
      <c r="N330" s="4"/>
      <c r="O330" s="4"/>
      <c r="P330" s="4"/>
      <c r="R330" s="166" t="b">
        <v>0</v>
      </c>
      <c r="T330" s="4"/>
      <c r="U330" s="166" t="b">
        <v>0</v>
      </c>
      <c r="V330" s="166" t="b">
        <v>0</v>
      </c>
      <c r="W330" s="166" t="b">
        <v>0</v>
      </c>
      <c r="X330" s="166" t="b">
        <v>0</v>
      </c>
    </row>
    <row r="331">
      <c r="A331" s="4" t="s">
        <v>4250</v>
      </c>
      <c r="B331" s="4"/>
      <c r="C331" s="6"/>
      <c r="D331" s="6"/>
      <c r="E331" s="6"/>
      <c r="F331" s="6"/>
      <c r="G331" s="4"/>
      <c r="H331" s="4"/>
      <c r="I331" s="4"/>
      <c r="J331" s="4"/>
      <c r="K331" s="4"/>
      <c r="L331" s="4"/>
      <c r="M331" s="4"/>
      <c r="N331" s="4"/>
      <c r="O331" s="4"/>
      <c r="P331" s="4"/>
      <c r="R331" s="166" t="b">
        <v>0</v>
      </c>
      <c r="T331" s="4"/>
      <c r="U331" s="166" t="b">
        <v>0</v>
      </c>
      <c r="V331" s="166" t="b">
        <v>0</v>
      </c>
      <c r="W331" s="166" t="b">
        <v>0</v>
      </c>
      <c r="X331" s="166" t="b">
        <v>0</v>
      </c>
    </row>
    <row r="332">
      <c r="A332" s="4" t="s">
        <v>4252</v>
      </c>
      <c r="B332" s="4"/>
      <c r="C332" s="6"/>
      <c r="D332" s="6"/>
      <c r="E332" s="6"/>
      <c r="F332" s="6"/>
      <c r="G332" s="4"/>
      <c r="H332" s="4"/>
      <c r="I332" s="4"/>
      <c r="J332" s="4"/>
      <c r="K332" s="4"/>
      <c r="L332" s="4"/>
      <c r="M332" s="4"/>
      <c r="N332" s="4"/>
      <c r="O332" s="4"/>
      <c r="P332" s="4"/>
      <c r="R332" s="166" t="b">
        <v>0</v>
      </c>
      <c r="T332" s="4"/>
      <c r="U332" s="166" t="b">
        <v>0</v>
      </c>
      <c r="V332" s="166" t="b">
        <v>0</v>
      </c>
      <c r="W332" s="166" t="b">
        <v>0</v>
      </c>
      <c r="X332" s="166" t="b">
        <v>0</v>
      </c>
    </row>
    <row r="333">
      <c r="A333" s="4" t="s">
        <v>4254</v>
      </c>
      <c r="B333" s="4"/>
      <c r="C333" s="6"/>
      <c r="D333" s="6"/>
      <c r="E333" s="6"/>
      <c r="F333" s="6"/>
      <c r="G333" s="4"/>
      <c r="H333" s="4"/>
      <c r="I333" s="4"/>
      <c r="J333" s="4"/>
      <c r="K333" s="4"/>
      <c r="L333" s="4"/>
      <c r="M333" s="4"/>
      <c r="N333" s="4"/>
      <c r="O333" s="4"/>
      <c r="P333" s="4"/>
      <c r="R333" s="166" t="b">
        <v>0</v>
      </c>
      <c r="T333" s="4"/>
      <c r="U333" s="166" t="b">
        <v>0</v>
      </c>
      <c r="V333" s="166" t="b">
        <v>0</v>
      </c>
      <c r="W333" s="166" t="b">
        <v>0</v>
      </c>
      <c r="X333" s="166" t="b">
        <v>0</v>
      </c>
    </row>
    <row r="334">
      <c r="A334" s="4" t="s">
        <v>4255</v>
      </c>
      <c r="B334" s="4"/>
      <c r="C334" s="6"/>
      <c r="D334" s="6"/>
      <c r="E334" s="6"/>
      <c r="F334" s="6"/>
      <c r="G334" s="4"/>
      <c r="H334" s="4"/>
      <c r="I334" s="4"/>
      <c r="J334" s="4"/>
      <c r="K334" s="4"/>
      <c r="L334" s="4"/>
      <c r="M334" s="4"/>
      <c r="N334" s="4"/>
      <c r="O334" s="4"/>
      <c r="P334" s="4"/>
      <c r="R334" s="166" t="b">
        <v>0</v>
      </c>
      <c r="T334" s="4"/>
      <c r="U334" s="166" t="b">
        <v>0</v>
      </c>
      <c r="V334" s="166" t="b">
        <v>0</v>
      </c>
      <c r="W334" s="166" t="b">
        <v>0</v>
      </c>
      <c r="X334" s="166" t="b">
        <v>0</v>
      </c>
    </row>
    <row r="335">
      <c r="A335" s="4" t="s">
        <v>4257</v>
      </c>
      <c r="B335" s="4"/>
      <c r="C335" s="6"/>
      <c r="D335" s="6"/>
      <c r="E335" s="6"/>
      <c r="F335" s="6"/>
      <c r="G335" s="4"/>
      <c r="H335" s="4"/>
      <c r="I335" s="4"/>
      <c r="J335" s="4"/>
      <c r="K335" s="4"/>
      <c r="L335" s="4"/>
      <c r="M335" s="4"/>
      <c r="N335" s="4"/>
      <c r="O335" s="4"/>
      <c r="P335" s="4"/>
      <c r="R335" s="166" t="b">
        <v>0</v>
      </c>
      <c r="T335" s="4"/>
      <c r="U335" s="166" t="b">
        <v>0</v>
      </c>
      <c r="V335" s="166" t="b">
        <v>0</v>
      </c>
      <c r="W335" s="166" t="b">
        <v>0</v>
      </c>
      <c r="X335" s="166" t="b">
        <v>0</v>
      </c>
    </row>
    <row r="336">
      <c r="A336" s="4" t="s">
        <v>4259</v>
      </c>
      <c r="B336" s="4"/>
      <c r="C336" s="6"/>
      <c r="D336" s="6"/>
      <c r="E336" s="6"/>
      <c r="F336" s="6"/>
      <c r="G336" s="4"/>
      <c r="H336" s="4"/>
      <c r="I336" s="4"/>
      <c r="J336" s="4"/>
      <c r="K336" s="4"/>
      <c r="L336" s="4"/>
      <c r="M336" s="4"/>
      <c r="N336" s="4"/>
      <c r="O336" s="4"/>
      <c r="P336" s="4"/>
      <c r="R336" s="166" t="b">
        <v>0</v>
      </c>
      <c r="T336" s="4"/>
      <c r="U336" s="166" t="b">
        <v>0</v>
      </c>
      <c r="V336" s="166" t="b">
        <v>0</v>
      </c>
      <c r="W336" s="166" t="b">
        <v>0</v>
      </c>
      <c r="X336" s="166" t="b">
        <v>0</v>
      </c>
    </row>
    <row r="337">
      <c r="A337" s="4" t="s">
        <v>4260</v>
      </c>
      <c r="B337" s="4"/>
      <c r="C337" s="6"/>
      <c r="D337" s="6"/>
      <c r="E337" s="6"/>
      <c r="F337" s="6"/>
      <c r="G337" s="4"/>
      <c r="H337" s="4"/>
      <c r="I337" s="4"/>
      <c r="J337" s="4"/>
      <c r="K337" s="4"/>
      <c r="L337" s="4"/>
      <c r="M337" s="4"/>
      <c r="N337" s="4"/>
      <c r="O337" s="4"/>
      <c r="P337" s="4"/>
      <c r="R337" s="166" t="b">
        <v>0</v>
      </c>
      <c r="T337" s="4"/>
      <c r="U337" s="166" t="b">
        <v>0</v>
      </c>
      <c r="V337" s="166" t="b">
        <v>0</v>
      </c>
      <c r="W337" s="166" t="b">
        <v>0</v>
      </c>
      <c r="X337" s="166" t="b">
        <v>0</v>
      </c>
    </row>
    <row r="338">
      <c r="A338" s="4" t="s">
        <v>4262</v>
      </c>
      <c r="B338" s="4" t="s">
        <v>221</v>
      </c>
      <c r="C338" s="6">
        <v>0.4588773148148149</v>
      </c>
      <c r="D338" s="6">
        <v>3.4722222222222224E-4</v>
      </c>
      <c r="E338" s="6">
        <v>0.45922453703703714</v>
      </c>
      <c r="F338" s="6"/>
      <c r="G338" s="4"/>
      <c r="H338" s="4" t="s">
        <v>2207</v>
      </c>
      <c r="I338" s="4"/>
      <c r="J338" s="4"/>
      <c r="K338" s="4"/>
      <c r="L338" s="4"/>
      <c r="M338" s="4"/>
      <c r="N338" s="4"/>
      <c r="O338" s="4"/>
      <c r="P338" s="4"/>
      <c r="R338" s="166" t="b">
        <v>0</v>
      </c>
      <c r="T338" s="4"/>
      <c r="U338" s="166" t="b">
        <v>0</v>
      </c>
      <c r="V338" s="166" t="b">
        <v>0</v>
      </c>
      <c r="W338" s="166" t="b">
        <v>0</v>
      </c>
      <c r="X338" s="166" t="b">
        <v>0</v>
      </c>
    </row>
    <row r="339">
      <c r="A339" s="4" t="s">
        <v>4264</v>
      </c>
      <c r="B339" s="4" t="s">
        <v>289</v>
      </c>
      <c r="C339" s="6">
        <v>0.42361111111111116</v>
      </c>
      <c r="D339" s="6">
        <v>3.4722222222222224E-4</v>
      </c>
      <c r="E339" s="6">
        <v>0.4239583333333334</v>
      </c>
      <c r="F339" s="6"/>
      <c r="G339" s="4"/>
      <c r="H339" s="4" t="s">
        <v>2207</v>
      </c>
      <c r="I339" s="4"/>
      <c r="J339" s="4"/>
      <c r="K339" s="4"/>
      <c r="L339" s="4"/>
      <c r="M339" s="4"/>
      <c r="N339" s="4"/>
      <c r="O339" s="4"/>
      <c r="P339" s="4"/>
      <c r="R339" s="166" t="b">
        <v>0</v>
      </c>
      <c r="T339" s="4"/>
      <c r="U339" s="166" t="b">
        <v>0</v>
      </c>
      <c r="V339" s="166" t="b">
        <v>0</v>
      </c>
      <c r="W339" s="166" t="b">
        <v>0</v>
      </c>
      <c r="X339" s="166" t="b">
        <v>0</v>
      </c>
    </row>
    <row r="340">
      <c r="A340" s="4" t="s">
        <v>4265</v>
      </c>
      <c r="B340" s="4" t="s">
        <v>289</v>
      </c>
      <c r="C340" s="6">
        <v>0.5381481481481486</v>
      </c>
      <c r="D340" s="6">
        <v>3.4722222222222224E-4</v>
      </c>
      <c r="E340" s="6">
        <v>0.5384953703703709</v>
      </c>
      <c r="F340" s="6"/>
      <c r="G340" s="4"/>
      <c r="H340" s="4" t="s">
        <v>2207</v>
      </c>
      <c r="I340" s="4"/>
      <c r="J340" s="4"/>
      <c r="K340" s="4"/>
      <c r="L340" s="4"/>
      <c r="M340" s="4"/>
      <c r="N340" s="4"/>
      <c r="O340" s="4"/>
      <c r="P340" s="4"/>
      <c r="R340" s="166" t="b">
        <v>0</v>
      </c>
      <c r="T340" s="4"/>
      <c r="U340" s="166" t="b">
        <v>0</v>
      </c>
      <c r="V340" s="166" t="b">
        <v>0</v>
      </c>
      <c r="W340" s="166" t="b">
        <v>0</v>
      </c>
      <c r="X340" s="166" t="b">
        <v>0</v>
      </c>
    </row>
    <row r="341">
      <c r="A341" s="4" t="s">
        <v>4267</v>
      </c>
      <c r="B341" s="4" t="s">
        <v>289</v>
      </c>
      <c r="C341" s="6">
        <v>0.563043981481482</v>
      </c>
      <c r="D341" s="6">
        <v>1.7361111111111112E-4</v>
      </c>
      <c r="E341" s="6">
        <v>0.5632175925925932</v>
      </c>
      <c r="F341" s="6"/>
      <c r="G341" s="4"/>
      <c r="H341" s="4" t="s">
        <v>2102</v>
      </c>
      <c r="I341" s="4"/>
      <c r="J341" s="4"/>
      <c r="K341" s="4"/>
      <c r="L341" s="4"/>
      <c r="M341" s="4"/>
      <c r="N341" s="4"/>
      <c r="O341" s="4"/>
      <c r="P341" s="4"/>
      <c r="R341" s="166" t="b">
        <v>0</v>
      </c>
      <c r="T341" s="4"/>
      <c r="U341" s="166" t="b">
        <v>0</v>
      </c>
      <c r="V341" s="166" t="b">
        <v>0</v>
      </c>
      <c r="W341" s="166" t="b">
        <v>0</v>
      </c>
      <c r="X341" s="166" t="b">
        <v>0</v>
      </c>
    </row>
    <row r="342">
      <c r="A342" s="4" t="s">
        <v>4268</v>
      </c>
      <c r="B342" s="4" t="s">
        <v>289</v>
      </c>
      <c r="C342" s="6">
        <v>0.6213194444444454</v>
      </c>
      <c r="D342" s="6">
        <v>3.4722222222222224E-4</v>
      </c>
      <c r="E342" s="6">
        <v>0.6216666666666677</v>
      </c>
      <c r="F342" s="6"/>
      <c r="G342" s="4"/>
      <c r="H342" s="4" t="s">
        <v>2207</v>
      </c>
      <c r="I342" s="4"/>
      <c r="J342" s="4"/>
      <c r="K342" s="4"/>
      <c r="L342" s="4"/>
      <c r="M342" s="4"/>
      <c r="N342" s="4"/>
      <c r="O342" s="4"/>
      <c r="P342" s="4"/>
      <c r="R342" s="166" t="b">
        <v>0</v>
      </c>
      <c r="T342" s="4"/>
      <c r="U342" s="166" t="b">
        <v>0</v>
      </c>
      <c r="V342" s="166" t="b">
        <v>0</v>
      </c>
      <c r="W342" s="166" t="b">
        <v>0</v>
      </c>
      <c r="X342" s="166" t="b">
        <v>0</v>
      </c>
    </row>
    <row r="343">
      <c r="A343" s="4" t="s">
        <v>4270</v>
      </c>
      <c r="B343" s="4" t="s">
        <v>289</v>
      </c>
      <c r="C343" s="6">
        <v>0.6662268518518532</v>
      </c>
      <c r="D343" s="6">
        <v>3.4722222222222224E-4</v>
      </c>
      <c r="E343" s="6">
        <v>0.6665740740740754</v>
      </c>
      <c r="F343" s="6"/>
      <c r="G343" s="4"/>
      <c r="H343" s="4" t="s">
        <v>2207</v>
      </c>
      <c r="I343" s="4"/>
      <c r="J343" s="4"/>
      <c r="K343" s="4"/>
      <c r="L343" s="4"/>
      <c r="M343" s="4"/>
      <c r="N343" s="4"/>
      <c r="O343" s="4"/>
      <c r="P343" s="4"/>
      <c r="R343" s="166" t="b">
        <v>0</v>
      </c>
      <c r="T343" s="4"/>
      <c r="U343" s="166" t="b">
        <v>0</v>
      </c>
      <c r="V343" s="166" t="b">
        <v>0</v>
      </c>
      <c r="W343" s="166" t="b">
        <v>0</v>
      </c>
      <c r="X343" s="166" t="b">
        <v>0</v>
      </c>
    </row>
    <row r="344">
      <c r="A344" s="4" t="s">
        <v>4272</v>
      </c>
      <c r="B344" s="4" t="s">
        <v>66</v>
      </c>
      <c r="C344" s="6">
        <v>0.49148148148148163</v>
      </c>
      <c r="D344" s="6">
        <v>6.944444444444445E-4</v>
      </c>
      <c r="E344" s="6">
        <v>0.49217592592592607</v>
      </c>
      <c r="F344" s="6"/>
      <c r="G344" s="4"/>
      <c r="H344" s="4" t="s">
        <v>2102</v>
      </c>
      <c r="I344" s="4"/>
      <c r="J344" s="4"/>
      <c r="K344" s="4"/>
      <c r="L344" s="4"/>
      <c r="M344" s="4"/>
      <c r="N344" s="4"/>
      <c r="O344" s="4"/>
      <c r="P344" s="4"/>
      <c r="R344" s="166" t="b">
        <v>0</v>
      </c>
      <c r="T344" s="4"/>
      <c r="U344" s="166" t="b">
        <v>0</v>
      </c>
      <c r="V344" s="166" t="b">
        <v>0</v>
      </c>
      <c r="W344" s="166" t="b">
        <v>0</v>
      </c>
      <c r="X344" s="166" t="b">
        <v>0</v>
      </c>
    </row>
    <row r="345">
      <c r="A345" s="4" t="s">
        <v>4274</v>
      </c>
      <c r="B345" s="4" t="s">
        <v>66</v>
      </c>
      <c r="C345" s="6">
        <v>0.5821527777777785</v>
      </c>
      <c r="D345" s="6">
        <v>6.944444444444445E-4</v>
      </c>
      <c r="E345" s="6">
        <v>0.582847222222223</v>
      </c>
      <c r="F345" s="6"/>
      <c r="G345" s="4"/>
      <c r="H345" s="4" t="s">
        <v>2102</v>
      </c>
      <c r="I345" s="4"/>
      <c r="J345" s="4"/>
      <c r="K345" s="4"/>
      <c r="L345" s="4"/>
      <c r="M345" s="4"/>
      <c r="N345" s="4"/>
      <c r="O345" s="4"/>
      <c r="P345" s="4"/>
      <c r="R345" s="166" t="b">
        <v>0</v>
      </c>
      <c r="T345" s="4"/>
      <c r="U345" s="166" t="b">
        <v>0</v>
      </c>
      <c r="V345" s="166" t="b">
        <v>0</v>
      </c>
      <c r="W345" s="166" t="b">
        <v>0</v>
      </c>
      <c r="X345" s="166" t="b">
        <v>0</v>
      </c>
    </row>
    <row r="346">
      <c r="A346" s="4" t="s">
        <v>4275</v>
      </c>
      <c r="B346" s="4" t="s">
        <v>221</v>
      </c>
      <c r="C346" s="6">
        <v>0.5714236111111118</v>
      </c>
      <c r="D346" s="6">
        <v>3.4722222222222224E-4</v>
      </c>
      <c r="E346" s="6">
        <v>0.5717708333333341</v>
      </c>
      <c r="F346" s="6"/>
      <c r="G346" s="4"/>
      <c r="H346" s="4" t="s">
        <v>2207</v>
      </c>
      <c r="I346" s="4"/>
      <c r="J346" s="4"/>
      <c r="K346" s="4"/>
      <c r="L346" s="4"/>
      <c r="M346" s="4"/>
      <c r="N346" s="4"/>
      <c r="O346" s="4"/>
      <c r="P346" s="4"/>
      <c r="R346" s="166" t="b">
        <v>0</v>
      </c>
      <c r="T346" s="4"/>
      <c r="U346" s="166" t="b">
        <v>0</v>
      </c>
      <c r="V346" s="166" t="b">
        <v>0</v>
      </c>
      <c r="W346" s="166" t="b">
        <v>0</v>
      </c>
      <c r="X346" s="166" t="b">
        <v>0</v>
      </c>
    </row>
    <row r="347">
      <c r="A347" s="4" t="s">
        <v>4277</v>
      </c>
      <c r="B347" s="4" t="s">
        <v>221</v>
      </c>
      <c r="C347" s="6">
        <v>0.6133217592592604</v>
      </c>
      <c r="D347" s="6">
        <v>6.944444444444445E-4</v>
      </c>
      <c r="E347" s="6">
        <v>0.6140162037037048</v>
      </c>
      <c r="F347" s="6"/>
      <c r="G347" s="4"/>
      <c r="H347" s="4" t="s">
        <v>2102</v>
      </c>
      <c r="I347" s="4"/>
      <c r="J347" s="4"/>
      <c r="K347" s="4"/>
      <c r="L347" s="4"/>
      <c r="M347" s="4"/>
      <c r="N347" s="4"/>
      <c r="O347" s="4"/>
      <c r="P347" s="4"/>
      <c r="R347" s="166" t="b">
        <v>0</v>
      </c>
      <c r="T347" s="4"/>
      <c r="U347" s="166" t="b">
        <v>0</v>
      </c>
      <c r="V347" s="166" t="b">
        <v>0</v>
      </c>
      <c r="W347" s="166" t="b">
        <v>0</v>
      </c>
      <c r="X347" s="166" t="b">
        <v>0</v>
      </c>
    </row>
    <row r="348">
      <c r="A348" s="4" t="s">
        <v>4279</v>
      </c>
      <c r="B348" s="4" t="s">
        <v>289</v>
      </c>
      <c r="C348" s="6">
        <v>0.48538194444444466</v>
      </c>
      <c r="D348" s="6">
        <v>6.944444444444445E-4</v>
      </c>
      <c r="E348" s="6">
        <v>0.4860763888888891</v>
      </c>
      <c r="F348" s="6"/>
      <c r="G348" s="4"/>
      <c r="H348" s="4" t="s">
        <v>2102</v>
      </c>
      <c r="I348" s="4"/>
      <c r="J348" s="4"/>
      <c r="K348" s="4"/>
      <c r="L348" s="4"/>
      <c r="M348" s="4"/>
      <c r="N348" s="4"/>
      <c r="O348" s="4"/>
      <c r="P348" s="4"/>
      <c r="R348" s="166" t="b">
        <v>0</v>
      </c>
      <c r="T348" s="4"/>
      <c r="U348" s="166" t="b">
        <v>0</v>
      </c>
      <c r="V348" s="166" t="b">
        <v>0</v>
      </c>
      <c r="W348" s="166" t="b">
        <v>0</v>
      </c>
      <c r="X348" s="166" t="b">
        <v>0</v>
      </c>
    </row>
    <row r="349">
      <c r="A349" s="4" t="s">
        <v>4280</v>
      </c>
      <c r="B349" s="4" t="s">
        <v>289</v>
      </c>
      <c r="C349" s="6">
        <v>0.5543634259259265</v>
      </c>
      <c r="D349" s="6">
        <v>6.944444444444445E-4</v>
      </c>
      <c r="E349" s="6">
        <v>0.5550578703703709</v>
      </c>
      <c r="F349" s="6"/>
      <c r="G349" s="4"/>
      <c r="H349" s="4" t="s">
        <v>2102</v>
      </c>
      <c r="I349" s="4"/>
      <c r="J349" s="4"/>
      <c r="K349" s="4"/>
      <c r="L349" s="4"/>
      <c r="M349" s="4"/>
      <c r="N349" s="4"/>
      <c r="O349" s="4"/>
      <c r="P349" s="4"/>
      <c r="R349" s="166" t="b">
        <v>0</v>
      </c>
      <c r="T349" s="4"/>
      <c r="U349" s="166" t="b">
        <v>0</v>
      </c>
      <c r="V349" s="166" t="b">
        <v>0</v>
      </c>
      <c r="W349" s="166" t="b">
        <v>0</v>
      </c>
      <c r="X349" s="166" t="b">
        <v>0</v>
      </c>
    </row>
    <row r="350">
      <c r="A350" s="4" t="s">
        <v>4282</v>
      </c>
      <c r="B350" s="4" t="s">
        <v>289</v>
      </c>
      <c r="C350" s="6">
        <v>0.6933101851851867</v>
      </c>
      <c r="D350" s="6">
        <v>6.944444444444445E-4</v>
      </c>
      <c r="E350" s="6">
        <v>0.6940046296296312</v>
      </c>
      <c r="F350" s="6"/>
      <c r="G350" s="4"/>
      <c r="H350" s="4" t="s">
        <v>2102</v>
      </c>
      <c r="I350" s="4"/>
      <c r="J350" s="4"/>
      <c r="K350" s="4"/>
      <c r="L350" s="4"/>
      <c r="M350" s="4"/>
      <c r="N350" s="4"/>
      <c r="O350" s="4"/>
      <c r="P350" s="4"/>
      <c r="R350" s="166" t="b">
        <v>0</v>
      </c>
      <c r="T350" s="4"/>
      <c r="U350" s="166" t="b">
        <v>0</v>
      </c>
      <c r="V350" s="166" t="b">
        <v>0</v>
      </c>
      <c r="W350" s="166" t="b">
        <v>0</v>
      </c>
      <c r="X350" s="166" t="b">
        <v>0</v>
      </c>
    </row>
    <row r="351">
      <c r="A351" s="4" t="s">
        <v>4284</v>
      </c>
      <c r="B351" s="4"/>
      <c r="C351" s="6"/>
      <c r="D351" s="6"/>
      <c r="E351" s="6"/>
      <c r="F351" s="6"/>
      <c r="G351" s="4"/>
      <c r="H351" s="4"/>
      <c r="I351" s="4"/>
      <c r="J351" s="4"/>
      <c r="K351" s="4"/>
      <c r="L351" s="4"/>
      <c r="M351" s="4"/>
      <c r="N351" s="4"/>
      <c r="O351" s="4"/>
      <c r="P351" s="4"/>
      <c r="R351" s="166" t="b">
        <v>0</v>
      </c>
      <c r="T351" s="4"/>
      <c r="U351" s="166" t="b">
        <v>0</v>
      </c>
      <c r="V351" s="166" t="b">
        <v>0</v>
      </c>
      <c r="W351" s="166" t="b">
        <v>0</v>
      </c>
      <c r="X351" s="166" t="b">
        <v>0</v>
      </c>
    </row>
    <row r="352">
      <c r="A352" s="4" t="s">
        <v>4286</v>
      </c>
      <c r="B352" s="4"/>
      <c r="C352" s="6"/>
      <c r="D352" s="6"/>
      <c r="E352" s="6"/>
      <c r="F352" s="6"/>
      <c r="G352" s="4"/>
      <c r="H352" s="4"/>
      <c r="I352" s="4"/>
      <c r="J352" s="4"/>
      <c r="K352" s="4"/>
      <c r="L352" s="4"/>
      <c r="M352" s="4"/>
      <c r="N352" s="4"/>
      <c r="O352" s="4"/>
      <c r="P352" s="4"/>
      <c r="R352" s="166" t="b">
        <v>0</v>
      </c>
      <c r="T352" s="4"/>
      <c r="U352" s="166" t="b">
        <v>0</v>
      </c>
      <c r="V352" s="166" t="b">
        <v>0</v>
      </c>
      <c r="W352" s="166" t="b">
        <v>0</v>
      </c>
      <c r="X352" s="166" t="b">
        <v>0</v>
      </c>
    </row>
    <row r="353">
      <c r="A353" s="4" t="s">
        <v>4287</v>
      </c>
      <c r="B353" s="4"/>
      <c r="C353" s="6"/>
      <c r="D353" s="6"/>
      <c r="E353" s="6"/>
      <c r="F353" s="6"/>
      <c r="G353" s="4"/>
      <c r="H353" s="4"/>
      <c r="I353" s="4"/>
      <c r="J353" s="4"/>
      <c r="K353" s="4"/>
      <c r="L353" s="4"/>
      <c r="M353" s="4"/>
      <c r="N353" s="4"/>
      <c r="O353" s="4"/>
      <c r="P353" s="4"/>
      <c r="R353" s="166" t="b">
        <v>0</v>
      </c>
      <c r="T353" s="4"/>
      <c r="U353" s="166" t="b">
        <v>0</v>
      </c>
      <c r="V353" s="166" t="b">
        <v>0</v>
      </c>
      <c r="W353" s="166" t="b">
        <v>0</v>
      </c>
      <c r="X353" s="166" t="b">
        <v>0</v>
      </c>
    </row>
    <row r="354">
      <c r="A354" s="4" t="s">
        <v>4289</v>
      </c>
      <c r="B354" s="4"/>
      <c r="C354" s="6"/>
      <c r="D354" s="6"/>
      <c r="E354" s="6"/>
      <c r="F354" s="6"/>
      <c r="G354" s="4"/>
      <c r="H354" s="4"/>
      <c r="I354" s="4"/>
      <c r="J354" s="4"/>
      <c r="K354" s="4"/>
      <c r="L354" s="4"/>
      <c r="M354" s="4"/>
      <c r="N354" s="4"/>
      <c r="O354" s="4"/>
      <c r="P354" s="4"/>
      <c r="R354" s="166" t="b">
        <v>0</v>
      </c>
      <c r="T354" s="4"/>
      <c r="U354" s="166" t="b">
        <v>0</v>
      </c>
      <c r="V354" s="166" t="b">
        <v>0</v>
      </c>
      <c r="W354" s="166" t="b">
        <v>0</v>
      </c>
      <c r="X354" s="166" t="b">
        <v>0</v>
      </c>
    </row>
    <row r="355">
      <c r="A355" s="4" t="s">
        <v>4291</v>
      </c>
      <c r="B355" s="4"/>
      <c r="C355" s="6"/>
      <c r="D355" s="6"/>
      <c r="E355" s="6"/>
      <c r="F355" s="6"/>
      <c r="G355" s="4"/>
      <c r="H355" s="4"/>
      <c r="I355" s="4"/>
      <c r="J355" s="4"/>
      <c r="K355" s="4"/>
      <c r="L355" s="4"/>
      <c r="M355" s="4"/>
      <c r="N355" s="4"/>
      <c r="O355" s="4"/>
      <c r="P355" s="4"/>
      <c r="R355" s="166" t="b">
        <v>0</v>
      </c>
      <c r="T355" s="4"/>
      <c r="U355" s="166" t="b">
        <v>0</v>
      </c>
      <c r="V355" s="166" t="b">
        <v>0</v>
      </c>
      <c r="W355" s="166" t="b">
        <v>0</v>
      </c>
      <c r="X355" s="166" t="b">
        <v>0</v>
      </c>
    </row>
    <row r="356">
      <c r="A356" s="4" t="s">
        <v>4293</v>
      </c>
      <c r="B356" s="4"/>
      <c r="C356" s="6"/>
      <c r="D356" s="6"/>
      <c r="E356" s="6"/>
      <c r="F356" s="6"/>
      <c r="G356" s="4"/>
      <c r="H356" s="4"/>
      <c r="I356" s="4"/>
      <c r="J356" s="4"/>
      <c r="K356" s="4"/>
      <c r="L356" s="4"/>
      <c r="M356" s="4"/>
      <c r="N356" s="4"/>
      <c r="O356" s="4"/>
      <c r="P356" s="4"/>
      <c r="R356" s="166" t="b">
        <v>0</v>
      </c>
      <c r="T356" s="4"/>
      <c r="U356" s="166" t="b">
        <v>0</v>
      </c>
      <c r="V356" s="166" t="b">
        <v>0</v>
      </c>
      <c r="W356" s="166" t="b">
        <v>0</v>
      </c>
      <c r="X356" s="166" t="b">
        <v>0</v>
      </c>
    </row>
    <row r="357">
      <c r="A357" s="4" t="s">
        <v>4294</v>
      </c>
      <c r="B357" s="4"/>
      <c r="C357" s="6"/>
      <c r="D357" s="6"/>
      <c r="E357" s="6"/>
      <c r="F357" s="6"/>
      <c r="G357" s="4"/>
      <c r="H357" s="4"/>
      <c r="I357" s="4"/>
      <c r="J357" s="4"/>
      <c r="K357" s="4"/>
      <c r="L357" s="4"/>
      <c r="M357" s="4"/>
      <c r="N357" s="4"/>
      <c r="O357" s="4"/>
      <c r="P357" s="4"/>
      <c r="R357" s="166" t="b">
        <v>0</v>
      </c>
      <c r="T357" s="4"/>
      <c r="U357" s="166" t="b">
        <v>0</v>
      </c>
      <c r="V357" s="166" t="b">
        <v>0</v>
      </c>
      <c r="W357" s="166" t="b">
        <v>0</v>
      </c>
      <c r="X357" s="166" t="b">
        <v>0</v>
      </c>
    </row>
    <row r="358">
      <c r="A358" s="4" t="s">
        <v>4296</v>
      </c>
      <c r="B358" s="4"/>
      <c r="C358" s="6"/>
      <c r="D358" s="6"/>
      <c r="E358" s="6"/>
      <c r="F358" s="6"/>
      <c r="G358" s="4"/>
      <c r="H358" s="4"/>
      <c r="I358" s="4"/>
      <c r="J358" s="4"/>
      <c r="K358" s="4"/>
      <c r="L358" s="4"/>
      <c r="M358" s="4"/>
      <c r="N358" s="4"/>
      <c r="O358" s="4"/>
      <c r="P358" s="4"/>
      <c r="R358" s="166" t="b">
        <v>0</v>
      </c>
      <c r="T358" s="4"/>
      <c r="U358" s="166" t="b">
        <v>0</v>
      </c>
      <c r="V358" s="166" t="b">
        <v>0</v>
      </c>
      <c r="W358" s="166" t="b">
        <v>0</v>
      </c>
      <c r="X358" s="166" t="b">
        <v>0</v>
      </c>
    </row>
    <row r="359">
      <c r="A359" s="4" t="s">
        <v>4298</v>
      </c>
      <c r="B359" s="4"/>
      <c r="C359" s="6"/>
      <c r="D359" s="6"/>
      <c r="E359" s="6"/>
      <c r="F359" s="6"/>
      <c r="G359" s="4"/>
      <c r="H359" s="4"/>
      <c r="I359" s="4"/>
      <c r="J359" s="4"/>
      <c r="K359" s="4"/>
      <c r="L359" s="4"/>
      <c r="M359" s="4"/>
      <c r="N359" s="4"/>
      <c r="O359" s="4"/>
      <c r="P359" s="4"/>
      <c r="T359" s="4"/>
    </row>
    <row r="360">
      <c r="A360" s="4" t="s">
        <v>4299</v>
      </c>
      <c r="B360" s="4"/>
      <c r="C360" s="6"/>
      <c r="D360" s="6"/>
      <c r="E360" s="6"/>
      <c r="F360" s="6"/>
      <c r="G360" s="4"/>
      <c r="H360" s="4"/>
      <c r="I360" s="4"/>
      <c r="J360" s="4"/>
      <c r="K360" s="4"/>
      <c r="L360" s="4"/>
      <c r="M360" s="4"/>
      <c r="N360" s="4"/>
      <c r="O360" s="4"/>
      <c r="P360" s="4"/>
      <c r="T360" s="4"/>
    </row>
    <row r="361">
      <c r="A361" s="4" t="s">
        <v>4301</v>
      </c>
      <c r="B361" s="4"/>
      <c r="C361" s="6"/>
      <c r="D361" s="6"/>
      <c r="E361" s="6"/>
      <c r="F361" s="6"/>
      <c r="G361" s="4"/>
      <c r="H361" s="4"/>
      <c r="I361" s="4"/>
      <c r="J361" s="4"/>
      <c r="K361" s="4"/>
      <c r="L361" s="4"/>
      <c r="M361" s="4"/>
      <c r="N361" s="4"/>
      <c r="O361" s="4"/>
      <c r="P361" s="4"/>
      <c r="T361" s="4"/>
    </row>
    <row r="362">
      <c r="A362" s="4" t="s">
        <v>4302</v>
      </c>
      <c r="B362" s="4"/>
      <c r="C362" s="6"/>
      <c r="D362" s="6"/>
      <c r="E362" s="6"/>
      <c r="F362" s="6"/>
      <c r="G362" s="4"/>
      <c r="H362" s="4"/>
      <c r="I362" s="4"/>
      <c r="J362" s="4"/>
      <c r="K362" s="4"/>
      <c r="L362" s="4"/>
      <c r="M362" s="4"/>
      <c r="N362" s="4"/>
      <c r="O362" s="4"/>
      <c r="P362" s="4"/>
      <c r="T362" s="4"/>
    </row>
    <row r="363">
      <c r="A363" s="4" t="s">
        <v>4304</v>
      </c>
      <c r="B363" s="4"/>
      <c r="C363" s="6"/>
      <c r="D363" s="6"/>
      <c r="E363" s="6"/>
      <c r="F363" s="6"/>
      <c r="G363" s="4"/>
      <c r="H363" s="4"/>
      <c r="I363" s="4"/>
      <c r="J363" s="4"/>
      <c r="K363" s="4"/>
      <c r="L363" s="4"/>
      <c r="M363" s="4"/>
      <c r="N363" s="4"/>
      <c r="O363" s="4"/>
      <c r="P363" s="4"/>
      <c r="T363" s="4"/>
    </row>
    <row r="364">
      <c r="A364" s="4" t="s">
        <v>4305</v>
      </c>
      <c r="B364" s="4"/>
      <c r="C364" s="6"/>
      <c r="D364" s="6"/>
      <c r="E364" s="6"/>
      <c r="F364" s="6"/>
      <c r="G364" s="4"/>
      <c r="H364" s="4"/>
      <c r="I364" s="4"/>
      <c r="J364" s="4"/>
      <c r="K364" s="4"/>
      <c r="L364" s="4"/>
      <c r="M364" s="4"/>
      <c r="N364" s="4"/>
      <c r="O364" s="4"/>
      <c r="P364" s="4"/>
      <c r="T364" s="4"/>
    </row>
    <row r="365">
      <c r="A365" s="4" t="s">
        <v>4306</v>
      </c>
      <c r="B365" s="4"/>
      <c r="C365" s="6"/>
      <c r="D365" s="6"/>
      <c r="E365" s="6"/>
      <c r="F365" s="6"/>
      <c r="G365" s="4"/>
      <c r="H365" s="4"/>
      <c r="I365" s="4"/>
      <c r="J365" s="4"/>
      <c r="K365" s="4"/>
      <c r="L365" s="4"/>
      <c r="M365" s="4"/>
      <c r="N365" s="4"/>
      <c r="O365" s="4"/>
      <c r="P365" s="4"/>
      <c r="T365" s="4"/>
    </row>
    <row r="366">
      <c r="A366" s="4" t="s">
        <v>4308</v>
      </c>
      <c r="B366" s="4"/>
      <c r="C366" s="6"/>
      <c r="D366" s="6"/>
      <c r="E366" s="6"/>
      <c r="F366" s="6"/>
      <c r="G366" s="4"/>
      <c r="H366" s="4"/>
      <c r="I366" s="4"/>
      <c r="J366" s="4"/>
      <c r="K366" s="4"/>
      <c r="L366" s="4"/>
      <c r="M366" s="4"/>
      <c r="N366" s="4"/>
      <c r="O366" s="4"/>
      <c r="P366" s="4"/>
      <c r="T366" s="4"/>
    </row>
    <row r="367">
      <c r="A367" s="4" t="s">
        <v>4309</v>
      </c>
      <c r="B367" s="4"/>
      <c r="C367" s="6"/>
      <c r="D367" s="6"/>
      <c r="E367" s="6"/>
      <c r="F367" s="6"/>
      <c r="G367" s="4"/>
      <c r="H367" s="4"/>
      <c r="I367" s="4"/>
      <c r="J367" s="4"/>
      <c r="K367" s="4"/>
      <c r="L367" s="4"/>
      <c r="M367" s="4"/>
      <c r="N367" s="4"/>
      <c r="O367" s="4"/>
      <c r="P367" s="4"/>
      <c r="T367" s="4"/>
    </row>
    <row r="368">
      <c r="A368" s="4" t="s">
        <v>4311</v>
      </c>
      <c r="B368" s="4"/>
      <c r="C368" s="6"/>
      <c r="D368" s="6"/>
      <c r="E368" s="6"/>
      <c r="F368" s="6"/>
      <c r="G368" s="4"/>
      <c r="H368" s="4"/>
      <c r="I368" s="4"/>
      <c r="J368" s="4"/>
      <c r="K368" s="4"/>
      <c r="L368" s="4"/>
      <c r="M368" s="4"/>
      <c r="N368" s="4"/>
      <c r="O368" s="4"/>
      <c r="P368" s="4"/>
      <c r="T368" s="4"/>
    </row>
    <row r="369">
      <c r="A369" s="4" t="s">
        <v>4312</v>
      </c>
      <c r="B369" s="4"/>
      <c r="C369" s="6"/>
      <c r="D369" s="6"/>
      <c r="E369" s="6"/>
      <c r="F369" s="6"/>
      <c r="G369" s="4"/>
      <c r="H369" s="4"/>
      <c r="I369" s="4"/>
      <c r="J369" s="4"/>
      <c r="K369" s="4"/>
      <c r="L369" s="4"/>
      <c r="M369" s="4"/>
      <c r="N369" s="4"/>
      <c r="O369" s="4"/>
      <c r="P369" s="4"/>
      <c r="T369" s="4"/>
    </row>
    <row r="370">
      <c r="A370" s="4" t="s">
        <v>4313</v>
      </c>
      <c r="B370" s="4"/>
      <c r="C370" s="6"/>
      <c r="D370" s="6"/>
      <c r="E370" s="6"/>
      <c r="F370" s="6"/>
      <c r="G370" s="4"/>
      <c r="H370" s="4"/>
      <c r="I370" s="4"/>
      <c r="J370" s="4"/>
      <c r="K370" s="4"/>
      <c r="L370" s="4"/>
      <c r="M370" s="4"/>
      <c r="N370" s="4"/>
      <c r="O370" s="4"/>
      <c r="P370" s="4"/>
      <c r="T370" s="4"/>
    </row>
    <row r="371">
      <c r="A371" s="4" t="s">
        <v>4315</v>
      </c>
      <c r="B371" s="4"/>
      <c r="C371" s="6"/>
      <c r="D371" s="6"/>
      <c r="E371" s="6"/>
      <c r="F371" s="6"/>
      <c r="G371" s="4"/>
      <c r="H371" s="4"/>
      <c r="I371" s="4"/>
      <c r="J371" s="4"/>
      <c r="K371" s="4"/>
      <c r="L371" s="4"/>
      <c r="M371" s="4"/>
      <c r="N371" s="4"/>
      <c r="O371" s="4"/>
      <c r="P371" s="4"/>
      <c r="T371" s="4"/>
    </row>
    <row r="372">
      <c r="A372" s="4" t="s">
        <v>4316</v>
      </c>
      <c r="B372" s="4"/>
      <c r="C372" s="6"/>
      <c r="D372" s="6"/>
      <c r="E372" s="6"/>
      <c r="F372" s="6"/>
      <c r="G372" s="4"/>
      <c r="H372" s="4"/>
      <c r="I372" s="4"/>
      <c r="J372" s="4"/>
      <c r="K372" s="4"/>
      <c r="L372" s="4"/>
      <c r="M372" s="4"/>
      <c r="N372" s="4"/>
      <c r="O372" s="4"/>
      <c r="P372" s="4"/>
      <c r="T372" s="4"/>
    </row>
    <row r="373">
      <c r="A373" s="4" t="s">
        <v>4319</v>
      </c>
      <c r="B373" s="4"/>
      <c r="C373" s="6"/>
      <c r="D373" s="6"/>
      <c r="E373" s="6"/>
      <c r="F373" s="6"/>
      <c r="G373" s="4"/>
      <c r="H373" s="4"/>
      <c r="I373" s="4"/>
      <c r="J373" s="4"/>
      <c r="K373" s="4"/>
      <c r="L373" s="4"/>
      <c r="M373" s="4"/>
      <c r="N373" s="4"/>
      <c r="O373" s="4"/>
      <c r="P373" s="4"/>
      <c r="T373" s="4"/>
    </row>
    <row r="374">
      <c r="A374" s="4" t="s">
        <v>4320</v>
      </c>
      <c r="B374" s="4"/>
      <c r="C374" s="6"/>
      <c r="D374" s="6"/>
      <c r="E374" s="6"/>
      <c r="F374" s="6"/>
      <c r="G374" s="4"/>
      <c r="H374" s="4"/>
      <c r="I374" s="4"/>
      <c r="J374" s="4"/>
      <c r="K374" s="4"/>
      <c r="L374" s="4"/>
      <c r="M374" s="4"/>
      <c r="N374" s="4"/>
      <c r="O374" s="4"/>
      <c r="P374" s="4"/>
      <c r="T374" s="4"/>
    </row>
    <row r="375">
      <c r="A375" s="4" t="s">
        <v>4321</v>
      </c>
      <c r="B375" s="4"/>
      <c r="C375" s="6"/>
      <c r="D375" s="6"/>
      <c r="E375" s="6"/>
      <c r="F375" s="6"/>
      <c r="G375" s="4"/>
      <c r="H375" s="4"/>
      <c r="I375" s="4"/>
      <c r="J375" s="4"/>
      <c r="K375" s="4"/>
      <c r="L375" s="4"/>
      <c r="M375" s="4"/>
      <c r="N375" s="4"/>
      <c r="O375" s="4"/>
      <c r="P375" s="4"/>
      <c r="T375" s="4"/>
    </row>
    <row r="376">
      <c r="A376" s="4" t="s">
        <v>4323</v>
      </c>
      <c r="B376" s="4"/>
      <c r="C376" s="6"/>
      <c r="D376" s="6"/>
      <c r="E376" s="6"/>
      <c r="F376" s="6"/>
      <c r="G376" s="4"/>
      <c r="H376" s="4"/>
      <c r="I376" s="4"/>
      <c r="J376" s="4"/>
      <c r="K376" s="4"/>
      <c r="L376" s="4"/>
      <c r="M376" s="4"/>
      <c r="N376" s="4"/>
      <c r="O376" s="4"/>
      <c r="P376" s="4"/>
      <c r="T376" s="4"/>
    </row>
    <row r="377">
      <c r="A377" s="4" t="s">
        <v>4325</v>
      </c>
      <c r="B377" s="4"/>
      <c r="C377" s="6"/>
      <c r="D377" s="6"/>
      <c r="E377" s="6"/>
      <c r="F377" s="6"/>
      <c r="G377" s="4"/>
      <c r="H377" s="4"/>
      <c r="I377" s="4"/>
      <c r="J377" s="4"/>
      <c r="K377" s="4"/>
      <c r="L377" s="4"/>
      <c r="M377" s="4"/>
      <c r="N377" s="4"/>
      <c r="O377" s="4"/>
      <c r="P377" s="4"/>
      <c r="T377" s="4"/>
    </row>
    <row r="378">
      <c r="A378" s="4" t="s">
        <v>4326</v>
      </c>
      <c r="B378" s="4"/>
      <c r="C378" s="6"/>
      <c r="D378" s="6"/>
      <c r="E378" s="6"/>
      <c r="F378" s="6"/>
      <c r="G378" s="4"/>
      <c r="H378" s="4"/>
      <c r="I378" s="4"/>
      <c r="J378" s="4"/>
      <c r="K378" s="4"/>
      <c r="L378" s="4"/>
      <c r="M378" s="4"/>
      <c r="N378" s="4"/>
      <c r="O378" s="4"/>
      <c r="P378" s="4"/>
      <c r="T378" s="4"/>
    </row>
    <row r="379">
      <c r="A379" s="4" t="s">
        <v>4327</v>
      </c>
      <c r="B379" s="4"/>
      <c r="C379" s="6"/>
      <c r="D379" s="6"/>
      <c r="E379" s="6"/>
      <c r="F379" s="6"/>
      <c r="G379" s="4"/>
      <c r="H379" s="4"/>
      <c r="I379" s="4"/>
      <c r="J379" s="4"/>
      <c r="K379" s="4"/>
      <c r="L379" s="4"/>
      <c r="M379" s="4"/>
      <c r="N379" s="4"/>
      <c r="O379" s="4"/>
      <c r="P379" s="4"/>
      <c r="T379" s="4"/>
    </row>
    <row r="380">
      <c r="A380" s="4" t="s">
        <v>4328</v>
      </c>
      <c r="B380" s="4"/>
      <c r="C380" s="6"/>
      <c r="D380" s="6"/>
      <c r="E380" s="6"/>
      <c r="F380" s="6"/>
      <c r="G380" s="4"/>
      <c r="H380" s="4"/>
      <c r="I380" s="4"/>
      <c r="J380" s="4"/>
      <c r="K380" s="4"/>
      <c r="L380" s="4"/>
      <c r="M380" s="4"/>
      <c r="N380" s="4"/>
      <c r="O380" s="4"/>
      <c r="P380" s="4"/>
      <c r="T380" s="4"/>
    </row>
    <row r="381">
      <c r="A381" s="4" t="s">
        <v>4330</v>
      </c>
      <c r="B381" s="4"/>
      <c r="C381" s="6"/>
      <c r="D381" s="6"/>
      <c r="E381" s="6"/>
      <c r="F381" s="6"/>
      <c r="G381" s="4"/>
      <c r="H381" s="4"/>
      <c r="I381" s="4"/>
      <c r="J381" s="4"/>
      <c r="K381" s="4"/>
      <c r="L381" s="4"/>
      <c r="M381" s="4"/>
      <c r="N381" s="4"/>
      <c r="O381" s="4"/>
      <c r="P381" s="4"/>
      <c r="T381" s="4"/>
    </row>
    <row r="382">
      <c r="A382" s="4" t="s">
        <v>4331</v>
      </c>
      <c r="B382" s="4"/>
      <c r="C382" s="6"/>
      <c r="D382" s="6"/>
      <c r="E382" s="6"/>
      <c r="F382" s="6"/>
      <c r="G382" s="4"/>
      <c r="H382" s="4"/>
      <c r="I382" s="4"/>
      <c r="J382" s="4"/>
      <c r="K382" s="4"/>
      <c r="L382" s="4"/>
      <c r="M382" s="4"/>
      <c r="N382" s="4"/>
      <c r="O382" s="4"/>
      <c r="P382" s="4"/>
      <c r="T382" s="4"/>
    </row>
    <row r="383">
      <c r="A383" s="4" t="s">
        <v>4332</v>
      </c>
      <c r="B383" s="4"/>
      <c r="C383" s="6"/>
      <c r="D383" s="6"/>
      <c r="E383" s="6"/>
      <c r="F383" s="6"/>
      <c r="G383" s="4"/>
      <c r="H383" s="4"/>
      <c r="I383" s="4"/>
      <c r="J383" s="4"/>
      <c r="K383" s="4"/>
      <c r="L383" s="4"/>
      <c r="M383" s="4"/>
      <c r="N383" s="4"/>
      <c r="O383" s="4"/>
      <c r="P383" s="4"/>
      <c r="T383" s="4"/>
    </row>
    <row r="384">
      <c r="A384" s="4" t="s">
        <v>4334</v>
      </c>
      <c r="B384" s="4"/>
      <c r="C384" s="6"/>
      <c r="D384" s="6"/>
      <c r="E384" s="6"/>
      <c r="F384" s="6"/>
      <c r="G384" s="4"/>
      <c r="H384" s="4"/>
      <c r="I384" s="4"/>
      <c r="J384" s="4"/>
      <c r="K384" s="4"/>
      <c r="L384" s="4"/>
      <c r="M384" s="4"/>
      <c r="N384" s="4"/>
      <c r="O384" s="4"/>
      <c r="P384" s="4"/>
      <c r="T384" s="4"/>
    </row>
    <row r="385">
      <c r="A385" s="4" t="s">
        <v>4335</v>
      </c>
      <c r="B385" s="4"/>
      <c r="C385" s="6"/>
      <c r="D385" s="6"/>
      <c r="E385" s="6"/>
      <c r="F385" s="6"/>
      <c r="G385" s="4"/>
      <c r="H385" s="4"/>
      <c r="I385" s="4"/>
      <c r="J385" s="4"/>
      <c r="K385" s="4"/>
      <c r="L385" s="4"/>
      <c r="M385" s="4"/>
      <c r="N385" s="4"/>
      <c r="O385" s="4"/>
      <c r="P385" s="4"/>
      <c r="T385" s="4"/>
    </row>
    <row r="386">
      <c r="A386" s="4" t="s">
        <v>4336</v>
      </c>
      <c r="B386" s="4"/>
      <c r="C386" s="6"/>
      <c r="D386" s="6"/>
      <c r="E386" s="6"/>
      <c r="F386" s="6"/>
      <c r="G386" s="4"/>
      <c r="H386" s="4"/>
      <c r="I386" s="4"/>
      <c r="J386" s="4"/>
      <c r="K386" s="4"/>
      <c r="L386" s="4"/>
      <c r="M386" s="4"/>
      <c r="N386" s="4"/>
      <c r="O386" s="4"/>
      <c r="P386" s="4"/>
      <c r="T386" s="4"/>
    </row>
    <row r="387">
      <c r="A387" s="4" t="s">
        <v>4338</v>
      </c>
      <c r="B387" s="4"/>
      <c r="C387" s="6"/>
      <c r="D387" s="6"/>
      <c r="E387" s="6"/>
      <c r="F387" s="6"/>
      <c r="G387" s="4"/>
      <c r="H387" s="4"/>
      <c r="I387" s="4"/>
      <c r="J387" s="4"/>
      <c r="K387" s="4"/>
      <c r="L387" s="4"/>
      <c r="M387" s="4"/>
      <c r="N387" s="4"/>
      <c r="O387" s="4"/>
      <c r="P387" s="4"/>
      <c r="T387" s="4"/>
    </row>
    <row r="388">
      <c r="A388" s="4" t="s">
        <v>4340</v>
      </c>
      <c r="B388" s="4"/>
      <c r="C388" s="6"/>
      <c r="D388" s="6"/>
      <c r="E388" s="6"/>
      <c r="F388" s="6"/>
      <c r="G388" s="4"/>
      <c r="H388" s="4"/>
      <c r="I388" s="4"/>
      <c r="J388" s="4"/>
      <c r="K388" s="4"/>
      <c r="L388" s="4"/>
      <c r="M388" s="4"/>
      <c r="N388" s="4"/>
      <c r="O388" s="4"/>
      <c r="P388" s="4"/>
      <c r="T388" s="4"/>
    </row>
    <row r="389">
      <c r="A389" s="4" t="s">
        <v>4341</v>
      </c>
      <c r="B389" s="4"/>
      <c r="C389" s="6"/>
      <c r="D389" s="6"/>
      <c r="E389" s="6"/>
      <c r="F389" s="6"/>
      <c r="G389" s="4"/>
      <c r="H389" s="4"/>
      <c r="I389" s="4"/>
      <c r="J389" s="4"/>
      <c r="K389" s="4"/>
      <c r="L389" s="4"/>
      <c r="M389" s="4"/>
      <c r="N389" s="4"/>
      <c r="O389" s="4"/>
      <c r="P389" s="4"/>
      <c r="T389" s="4"/>
    </row>
    <row r="390">
      <c r="A390" s="4" t="s">
        <v>4342</v>
      </c>
      <c r="B390" s="4"/>
      <c r="C390" s="6"/>
      <c r="D390" s="6"/>
      <c r="E390" s="6"/>
      <c r="F390" s="6"/>
      <c r="G390" s="4"/>
      <c r="H390" s="4"/>
      <c r="I390" s="4"/>
      <c r="J390" s="4"/>
      <c r="K390" s="4"/>
      <c r="L390" s="4"/>
      <c r="M390" s="4"/>
      <c r="N390" s="4"/>
      <c r="O390" s="4"/>
      <c r="P390" s="4"/>
      <c r="T390" s="4"/>
    </row>
    <row r="391">
      <c r="A391" s="4" t="s">
        <v>4343</v>
      </c>
      <c r="B391" s="4"/>
      <c r="C391" s="6"/>
      <c r="D391" s="6"/>
      <c r="E391" s="6"/>
      <c r="F391" s="6"/>
      <c r="G391" s="4"/>
      <c r="H391" s="4"/>
      <c r="I391" s="4"/>
      <c r="J391" s="4"/>
      <c r="K391" s="4"/>
      <c r="L391" s="4"/>
      <c r="M391" s="4"/>
      <c r="N391" s="4"/>
      <c r="O391" s="4"/>
      <c r="P391" s="4"/>
      <c r="T391" s="4"/>
    </row>
    <row r="392">
      <c r="A392" s="4" t="s">
        <v>4344</v>
      </c>
      <c r="B392" s="4"/>
      <c r="C392" s="6"/>
      <c r="D392" s="6"/>
      <c r="E392" s="6"/>
      <c r="F392" s="6"/>
      <c r="G392" s="4"/>
      <c r="H392" s="4"/>
      <c r="I392" s="4"/>
      <c r="J392" s="4"/>
      <c r="K392" s="4"/>
      <c r="L392" s="4"/>
      <c r="M392" s="4"/>
      <c r="N392" s="4"/>
      <c r="O392" s="4"/>
      <c r="P392" s="4"/>
      <c r="T392" s="4"/>
    </row>
    <row r="393">
      <c r="A393" s="4" t="s">
        <v>4347</v>
      </c>
      <c r="B393" s="4"/>
      <c r="C393" s="6"/>
      <c r="D393" s="6"/>
      <c r="E393" s="6"/>
      <c r="F393" s="6"/>
      <c r="G393" s="4"/>
      <c r="H393" s="4"/>
      <c r="I393" s="4"/>
      <c r="J393" s="4"/>
      <c r="K393" s="4"/>
      <c r="L393" s="4"/>
      <c r="M393" s="4"/>
      <c r="N393" s="4"/>
      <c r="O393" s="4"/>
      <c r="P393" s="4"/>
      <c r="T393" s="4"/>
    </row>
    <row r="394">
      <c r="A394" s="4" t="s">
        <v>4348</v>
      </c>
      <c r="B394" s="4"/>
      <c r="C394" s="6"/>
      <c r="D394" s="6"/>
      <c r="E394" s="6"/>
      <c r="F394" s="6"/>
      <c r="G394" s="4"/>
      <c r="H394" s="4"/>
      <c r="I394" s="4"/>
      <c r="J394" s="4"/>
      <c r="K394" s="4"/>
      <c r="L394" s="4"/>
      <c r="M394" s="4"/>
      <c r="N394" s="4"/>
      <c r="O394" s="4"/>
      <c r="P394" s="4"/>
      <c r="T394" s="4"/>
    </row>
    <row r="395">
      <c r="A395" s="4" t="s">
        <v>4349</v>
      </c>
      <c r="B395" s="4"/>
      <c r="C395" s="6"/>
      <c r="D395" s="6"/>
      <c r="E395" s="6"/>
      <c r="F395" s="6"/>
      <c r="G395" s="4"/>
      <c r="H395" s="4"/>
      <c r="I395" s="4"/>
      <c r="J395" s="4"/>
      <c r="K395" s="4"/>
      <c r="L395" s="4"/>
      <c r="M395" s="4"/>
      <c r="N395" s="4"/>
      <c r="O395" s="4"/>
      <c r="P395" s="4"/>
      <c r="T395" s="4"/>
    </row>
    <row r="396">
      <c r="A396" s="4" t="s">
        <v>4351</v>
      </c>
      <c r="B396" s="4"/>
      <c r="C396" s="6"/>
      <c r="D396" s="6"/>
      <c r="E396" s="6"/>
      <c r="F396" s="6"/>
      <c r="G396" s="4"/>
      <c r="H396" s="4"/>
      <c r="I396" s="4"/>
      <c r="J396" s="4"/>
      <c r="K396" s="4"/>
      <c r="L396" s="4"/>
      <c r="M396" s="4"/>
      <c r="N396" s="4"/>
      <c r="O396" s="4"/>
      <c r="P396" s="4"/>
      <c r="T396" s="4"/>
    </row>
    <row r="397">
      <c r="A397" s="4" t="s">
        <v>4352</v>
      </c>
      <c r="B397" s="4"/>
      <c r="C397" s="6"/>
      <c r="D397" s="6"/>
      <c r="E397" s="6"/>
      <c r="F397" s="6"/>
      <c r="G397" s="4"/>
      <c r="H397" s="4"/>
      <c r="I397" s="4"/>
      <c r="J397" s="4"/>
      <c r="K397" s="4"/>
      <c r="L397" s="4"/>
      <c r="M397" s="4"/>
      <c r="N397" s="4"/>
      <c r="O397" s="4"/>
      <c r="P397" s="4"/>
      <c r="T397" s="4"/>
    </row>
    <row r="398">
      <c r="A398" s="4" t="s">
        <v>4354</v>
      </c>
      <c r="B398" s="4"/>
      <c r="C398" s="6"/>
      <c r="D398" s="6"/>
      <c r="E398" s="6"/>
      <c r="F398" s="6"/>
      <c r="G398" s="4"/>
      <c r="H398" s="4"/>
      <c r="I398" s="4"/>
      <c r="J398" s="4"/>
      <c r="K398" s="4"/>
      <c r="L398" s="4"/>
      <c r="M398" s="4"/>
      <c r="N398" s="4"/>
      <c r="O398" s="4"/>
      <c r="P398" s="4"/>
      <c r="T398" s="4"/>
    </row>
    <row r="399">
      <c r="A399" s="4" t="s">
        <v>4355</v>
      </c>
      <c r="B399" s="4"/>
      <c r="C399" s="6"/>
      <c r="D399" s="6"/>
      <c r="E399" s="6"/>
      <c r="F399" s="6"/>
      <c r="G399" s="4"/>
      <c r="H399" s="4"/>
      <c r="I399" s="4"/>
      <c r="J399" s="4"/>
      <c r="K399" s="4"/>
      <c r="L399" s="4"/>
      <c r="M399" s="4"/>
      <c r="N399" s="4"/>
      <c r="O399" s="4"/>
      <c r="P399" s="4"/>
      <c r="T399" s="4"/>
    </row>
    <row r="400">
      <c r="A400" s="4" t="s">
        <v>4356</v>
      </c>
      <c r="B400" s="4"/>
      <c r="C400" s="6"/>
      <c r="D400" s="6"/>
      <c r="E400" s="6"/>
      <c r="F400" s="6"/>
      <c r="G400" s="4"/>
      <c r="H400" s="4"/>
      <c r="I400" s="4"/>
      <c r="J400" s="4"/>
      <c r="K400" s="4"/>
      <c r="L400" s="4"/>
      <c r="M400" s="4"/>
      <c r="N400" s="4"/>
      <c r="O400" s="4"/>
      <c r="P400" s="4"/>
      <c r="T400" s="4"/>
    </row>
    <row r="401">
      <c r="A401" s="4" t="s">
        <v>4358</v>
      </c>
      <c r="B401" s="4"/>
      <c r="C401" s="6"/>
      <c r="D401" s="6"/>
      <c r="E401" s="6"/>
      <c r="F401" s="6"/>
      <c r="G401" s="4"/>
      <c r="H401" s="4"/>
      <c r="I401" s="4"/>
      <c r="J401" s="4"/>
      <c r="K401" s="4"/>
      <c r="L401" s="4"/>
      <c r="M401" s="4"/>
      <c r="N401" s="4"/>
      <c r="O401" s="4"/>
      <c r="P401" s="4"/>
      <c r="T401" s="4"/>
    </row>
    <row r="402">
      <c r="A402" s="4" t="s">
        <v>4359</v>
      </c>
      <c r="B402" s="4"/>
      <c r="C402" s="6"/>
      <c r="D402" s="6"/>
      <c r="E402" s="6"/>
      <c r="F402" s="6"/>
      <c r="G402" s="4"/>
      <c r="H402" s="4"/>
      <c r="I402" s="4"/>
      <c r="J402" s="4"/>
      <c r="K402" s="4"/>
      <c r="L402" s="4"/>
      <c r="M402" s="4"/>
      <c r="N402" s="4"/>
      <c r="O402" s="4"/>
      <c r="P402" s="4"/>
      <c r="T402" s="4"/>
    </row>
    <row r="403">
      <c r="A403" s="4" t="s">
        <v>4360</v>
      </c>
      <c r="B403" s="4"/>
      <c r="C403" s="6"/>
      <c r="D403" s="6"/>
      <c r="E403" s="6"/>
      <c r="F403" s="6"/>
      <c r="G403" s="4"/>
      <c r="H403" s="4"/>
      <c r="I403" s="4"/>
      <c r="J403" s="4"/>
      <c r="K403" s="4"/>
      <c r="L403" s="4"/>
      <c r="M403" s="4"/>
      <c r="N403" s="4"/>
      <c r="O403" s="4"/>
      <c r="P403" s="4"/>
      <c r="T403" s="4"/>
    </row>
    <row r="404">
      <c r="A404" s="4" t="s">
        <v>4362</v>
      </c>
      <c r="B404" s="4"/>
      <c r="C404" s="6"/>
      <c r="D404" s="6"/>
      <c r="E404" s="6"/>
      <c r="F404" s="6"/>
      <c r="G404" s="4"/>
      <c r="H404" s="4"/>
      <c r="I404" s="4"/>
      <c r="J404" s="4"/>
      <c r="K404" s="4"/>
      <c r="L404" s="4"/>
      <c r="M404" s="4"/>
      <c r="N404" s="4"/>
      <c r="O404" s="4"/>
      <c r="P404" s="4"/>
      <c r="T404" s="4"/>
    </row>
    <row r="405">
      <c r="A405" s="4" t="s">
        <v>4363</v>
      </c>
      <c r="B405" s="4"/>
      <c r="C405" s="6"/>
      <c r="D405" s="6"/>
      <c r="E405" s="6"/>
      <c r="F405" s="6"/>
      <c r="G405" s="4"/>
      <c r="H405" s="4"/>
      <c r="I405" s="4"/>
      <c r="J405" s="4"/>
      <c r="K405" s="4"/>
      <c r="L405" s="4"/>
      <c r="M405" s="4"/>
      <c r="N405" s="4"/>
      <c r="O405" s="4"/>
      <c r="P405" s="4"/>
      <c r="T405" s="4"/>
    </row>
    <row r="406">
      <c r="A406" s="4" t="s">
        <v>4365</v>
      </c>
      <c r="B406" s="4"/>
      <c r="C406" s="6"/>
      <c r="D406" s="6"/>
      <c r="E406" s="6"/>
      <c r="F406" s="6"/>
      <c r="G406" s="4"/>
      <c r="H406" s="4"/>
      <c r="I406" s="4"/>
      <c r="J406" s="4"/>
      <c r="K406" s="4"/>
      <c r="L406" s="4"/>
      <c r="M406" s="4"/>
      <c r="N406" s="4"/>
      <c r="O406" s="4"/>
      <c r="P406" s="4"/>
      <c r="T406" s="4"/>
    </row>
    <row r="407">
      <c r="A407" s="4" t="s">
        <v>4366</v>
      </c>
      <c r="B407" s="4"/>
      <c r="C407" s="6"/>
      <c r="D407" s="6"/>
      <c r="E407" s="6"/>
      <c r="F407" s="6"/>
      <c r="G407" s="4"/>
      <c r="H407" s="4"/>
      <c r="I407" s="4"/>
      <c r="J407" s="4"/>
      <c r="K407" s="4"/>
      <c r="L407" s="4"/>
      <c r="M407" s="4"/>
      <c r="N407" s="4"/>
      <c r="O407" s="4"/>
      <c r="P407" s="4"/>
      <c r="T407" s="4"/>
    </row>
    <row r="408">
      <c r="A408" s="4" t="s">
        <v>4367</v>
      </c>
      <c r="B408" s="4"/>
      <c r="C408" s="6"/>
      <c r="D408" s="6"/>
      <c r="E408" s="6"/>
      <c r="F408" s="6"/>
      <c r="G408" s="4"/>
      <c r="H408" s="4"/>
      <c r="I408" s="4"/>
      <c r="J408" s="4"/>
      <c r="K408" s="4"/>
      <c r="L408" s="4"/>
      <c r="M408" s="4"/>
      <c r="N408" s="4"/>
      <c r="O408" s="4"/>
      <c r="P408" s="4"/>
      <c r="T408" s="4"/>
    </row>
    <row r="409">
      <c r="A409" s="4" t="s">
        <v>4369</v>
      </c>
      <c r="B409" s="4"/>
      <c r="C409" s="6"/>
      <c r="D409" s="6"/>
      <c r="E409" s="6"/>
      <c r="F409" s="6"/>
      <c r="G409" s="4"/>
      <c r="H409" s="4"/>
      <c r="I409" s="4"/>
      <c r="J409" s="4"/>
      <c r="K409" s="4"/>
      <c r="L409" s="4"/>
      <c r="M409" s="4"/>
      <c r="N409" s="4"/>
      <c r="O409" s="4"/>
      <c r="P409" s="4"/>
      <c r="T409" s="4"/>
    </row>
    <row r="410">
      <c r="A410" s="4" t="s">
        <v>4370</v>
      </c>
      <c r="B410" s="4"/>
      <c r="C410" s="6"/>
      <c r="D410" s="6"/>
      <c r="E410" s="6"/>
      <c r="F410" s="6"/>
      <c r="G410" s="4"/>
      <c r="H410" s="4"/>
      <c r="I410" s="4"/>
      <c r="J410" s="4"/>
      <c r="K410" s="4"/>
      <c r="L410" s="4"/>
      <c r="M410" s="4"/>
      <c r="N410" s="4"/>
      <c r="O410" s="4"/>
      <c r="P410" s="4"/>
      <c r="T410" s="4"/>
    </row>
    <row r="411">
      <c r="A411" s="4" t="s">
        <v>4371</v>
      </c>
      <c r="B411" s="4"/>
      <c r="C411" s="6"/>
      <c r="D411" s="6"/>
      <c r="E411" s="6"/>
      <c r="F411" s="6"/>
      <c r="G411" s="4"/>
      <c r="H411" s="4"/>
      <c r="I411" s="4"/>
      <c r="J411" s="4"/>
      <c r="K411" s="4"/>
      <c r="L411" s="4"/>
      <c r="M411" s="4"/>
      <c r="N411" s="4"/>
      <c r="O411" s="4"/>
      <c r="P411" s="4"/>
      <c r="T411" s="4"/>
      <c r="Y411" s="6"/>
    </row>
    <row r="412">
      <c r="A412" s="4" t="s">
        <v>4374</v>
      </c>
      <c r="B412" s="4"/>
      <c r="C412" s="6"/>
      <c r="D412" s="6"/>
      <c r="E412" s="6"/>
      <c r="F412" s="6"/>
      <c r="G412" s="4"/>
      <c r="H412" s="4"/>
      <c r="I412" s="4"/>
      <c r="J412" s="4"/>
      <c r="K412" s="4"/>
      <c r="L412" s="4"/>
      <c r="M412" s="4"/>
      <c r="N412" s="4"/>
      <c r="O412" s="4"/>
      <c r="P412" s="4"/>
      <c r="T412" s="4"/>
    </row>
    <row r="413">
      <c r="A413" s="4" t="s">
        <v>4375</v>
      </c>
      <c r="B413" s="4"/>
      <c r="C413" s="6"/>
      <c r="D413" s="6"/>
      <c r="E413" s="6"/>
      <c r="F413" s="6"/>
      <c r="G413" s="4"/>
      <c r="H413" s="4"/>
      <c r="I413" s="4"/>
      <c r="J413" s="4"/>
      <c r="K413" s="4"/>
      <c r="L413" s="4"/>
      <c r="M413" s="4"/>
      <c r="N413" s="4"/>
      <c r="O413" s="4"/>
      <c r="P413" s="4"/>
      <c r="T413" s="4"/>
    </row>
    <row r="414">
      <c r="A414" s="4" t="s">
        <v>4377</v>
      </c>
      <c r="B414" s="4"/>
      <c r="C414" s="6"/>
      <c r="D414" s="6"/>
      <c r="E414" s="6"/>
      <c r="F414" s="6"/>
      <c r="G414" s="4"/>
      <c r="H414" s="4"/>
      <c r="I414" s="4"/>
      <c r="J414" s="4"/>
      <c r="K414" s="4"/>
      <c r="L414" s="4"/>
      <c r="M414" s="4"/>
      <c r="N414" s="4"/>
      <c r="O414" s="4"/>
      <c r="P414" s="4"/>
      <c r="T414" s="4"/>
    </row>
    <row r="415">
      <c r="A415" s="4" t="s">
        <v>4378</v>
      </c>
      <c r="B415" s="4"/>
      <c r="C415" s="6"/>
      <c r="D415" s="6"/>
      <c r="E415" s="6"/>
      <c r="F415" s="6"/>
      <c r="G415" s="4"/>
      <c r="H415" s="4"/>
      <c r="I415" s="4"/>
      <c r="J415" s="4"/>
      <c r="K415" s="4"/>
      <c r="L415" s="4"/>
      <c r="M415" s="4"/>
      <c r="N415" s="4"/>
      <c r="O415" s="4"/>
      <c r="P415" s="4"/>
      <c r="T415" s="4"/>
    </row>
    <row r="416">
      <c r="A416" s="4" t="s">
        <v>4380</v>
      </c>
      <c r="B416" s="4"/>
      <c r="C416" s="6"/>
      <c r="D416" s="6"/>
      <c r="E416" s="6"/>
      <c r="F416" s="6"/>
      <c r="G416" s="4"/>
      <c r="H416" s="4"/>
      <c r="I416" s="4"/>
      <c r="J416" s="4"/>
      <c r="K416" s="4"/>
      <c r="L416" s="4"/>
      <c r="M416" s="4"/>
      <c r="N416" s="4"/>
      <c r="O416" s="4"/>
      <c r="P416" s="4"/>
      <c r="T416" s="4"/>
    </row>
    <row r="417">
      <c r="A417" s="4" t="s">
        <v>4381</v>
      </c>
      <c r="B417" s="4"/>
      <c r="C417" s="6"/>
      <c r="D417" s="6"/>
      <c r="E417" s="6"/>
      <c r="F417" s="6"/>
      <c r="G417" s="4"/>
      <c r="H417" s="4"/>
      <c r="I417" s="4"/>
      <c r="J417" s="4"/>
      <c r="K417" s="4"/>
      <c r="L417" s="4"/>
      <c r="M417" s="4"/>
      <c r="N417" s="4"/>
      <c r="O417" s="4"/>
      <c r="P417" s="4"/>
      <c r="T417" s="4"/>
    </row>
    <row r="418">
      <c r="A418" s="4" t="s">
        <v>4383</v>
      </c>
      <c r="B418" s="4"/>
      <c r="C418" s="6"/>
      <c r="D418" s="6"/>
      <c r="E418" s="6"/>
      <c r="F418" s="6"/>
      <c r="G418" s="4"/>
      <c r="H418" s="4"/>
      <c r="I418" s="4"/>
      <c r="J418" s="4"/>
      <c r="K418" s="4"/>
      <c r="L418" s="4"/>
      <c r="M418" s="4"/>
      <c r="N418" s="4"/>
      <c r="O418" s="4"/>
      <c r="P418" s="4"/>
      <c r="T418" s="4"/>
    </row>
    <row r="419">
      <c r="A419" s="4" t="s">
        <v>4384</v>
      </c>
      <c r="B419" s="4"/>
      <c r="C419" s="6"/>
      <c r="D419" s="6"/>
      <c r="E419" s="6"/>
      <c r="F419" s="6"/>
      <c r="G419" s="4"/>
      <c r="H419" s="4"/>
      <c r="I419" s="4"/>
      <c r="J419" s="4"/>
      <c r="K419" s="4"/>
      <c r="L419" s="4"/>
      <c r="M419" s="4"/>
      <c r="N419" s="4"/>
      <c r="O419" s="4"/>
      <c r="P419" s="4"/>
      <c r="T419" s="4"/>
    </row>
    <row r="420">
      <c r="A420" s="4" t="s">
        <v>4385</v>
      </c>
      <c r="B420" s="4"/>
      <c r="C420" s="6"/>
      <c r="D420" s="6"/>
      <c r="E420" s="6"/>
      <c r="F420" s="6"/>
      <c r="G420" s="4"/>
      <c r="H420" s="4"/>
      <c r="I420" s="4"/>
      <c r="J420" s="4"/>
      <c r="K420" s="4"/>
      <c r="L420" s="4"/>
      <c r="M420" s="4"/>
      <c r="N420" s="4"/>
      <c r="O420" s="4"/>
      <c r="P420" s="4"/>
      <c r="T420" s="4"/>
    </row>
    <row r="421">
      <c r="A421" s="4" t="s">
        <v>4387</v>
      </c>
      <c r="B421" s="4"/>
      <c r="C421" s="6"/>
      <c r="D421" s="6"/>
      <c r="E421" s="6"/>
      <c r="F421" s="6"/>
      <c r="G421" s="4"/>
      <c r="H421" s="4"/>
      <c r="I421" s="4"/>
      <c r="J421" s="4"/>
      <c r="K421" s="4"/>
      <c r="L421" s="4"/>
      <c r="M421" s="4"/>
      <c r="N421" s="4"/>
      <c r="O421" s="4"/>
      <c r="P421" s="4"/>
      <c r="T421" s="4"/>
    </row>
    <row r="422">
      <c r="A422" s="4" t="s">
        <v>4388</v>
      </c>
      <c r="B422" s="4"/>
      <c r="C422" s="6"/>
      <c r="D422" s="6"/>
      <c r="E422" s="6"/>
      <c r="F422" s="6"/>
      <c r="G422" s="4"/>
      <c r="H422" s="4"/>
      <c r="I422" s="4"/>
      <c r="J422" s="4"/>
      <c r="K422" s="4"/>
      <c r="L422" s="4"/>
      <c r="M422" s="4"/>
      <c r="N422" s="4"/>
      <c r="O422" s="4"/>
      <c r="P422" s="4"/>
      <c r="T422" s="4"/>
    </row>
    <row r="423">
      <c r="A423" s="4" t="s">
        <v>4390</v>
      </c>
      <c r="B423" s="4"/>
      <c r="C423" s="6"/>
      <c r="D423" s="6"/>
      <c r="E423" s="6"/>
      <c r="F423" s="6"/>
      <c r="G423" s="4"/>
      <c r="H423" s="4"/>
      <c r="I423" s="4"/>
      <c r="J423" s="4"/>
      <c r="K423" s="4"/>
      <c r="L423" s="4"/>
      <c r="M423" s="4"/>
      <c r="N423" s="4"/>
      <c r="O423" s="4"/>
      <c r="P423" s="4"/>
      <c r="T423" s="4"/>
    </row>
    <row r="424">
      <c r="A424" s="4" t="s">
        <v>4391</v>
      </c>
      <c r="B424" s="4"/>
      <c r="C424" s="6"/>
      <c r="D424" s="6"/>
      <c r="E424" s="6"/>
      <c r="F424" s="6"/>
      <c r="G424" s="4"/>
      <c r="H424" s="4"/>
      <c r="I424" s="4"/>
      <c r="J424" s="4"/>
      <c r="K424" s="4"/>
      <c r="L424" s="4"/>
      <c r="M424" s="4"/>
      <c r="N424" s="4"/>
      <c r="O424" s="4"/>
      <c r="P424" s="4"/>
      <c r="T424" s="4"/>
    </row>
    <row r="425">
      <c r="A425" s="4" t="s">
        <v>4392</v>
      </c>
      <c r="B425" s="4"/>
      <c r="C425" s="6"/>
      <c r="D425" s="6"/>
      <c r="E425" s="6"/>
      <c r="F425" s="6"/>
      <c r="G425" s="4"/>
      <c r="H425" s="4"/>
      <c r="I425" s="4"/>
      <c r="J425" s="4"/>
      <c r="K425" s="4"/>
      <c r="L425" s="4"/>
      <c r="M425" s="4"/>
      <c r="N425" s="4"/>
      <c r="O425" s="4"/>
      <c r="P425" s="4"/>
      <c r="T425" s="4"/>
    </row>
    <row r="426">
      <c r="A426" s="4" t="s">
        <v>4394</v>
      </c>
      <c r="B426" s="4"/>
      <c r="C426" s="6"/>
      <c r="D426" s="6"/>
      <c r="E426" s="6"/>
      <c r="F426" s="6"/>
      <c r="G426" s="4"/>
      <c r="H426" s="4"/>
      <c r="I426" s="4"/>
      <c r="J426" s="4"/>
      <c r="K426" s="4"/>
      <c r="L426" s="4"/>
      <c r="M426" s="4"/>
      <c r="N426" s="4"/>
      <c r="O426" s="4"/>
      <c r="P426" s="4"/>
      <c r="T426" s="4"/>
    </row>
    <row r="427">
      <c r="A427" s="4" t="s">
        <v>4395</v>
      </c>
      <c r="B427" s="4"/>
      <c r="C427" s="6"/>
      <c r="D427" s="6"/>
      <c r="E427" s="6"/>
      <c r="F427" s="6"/>
      <c r="G427" s="4"/>
      <c r="H427" s="4"/>
      <c r="I427" s="4"/>
      <c r="J427" s="4"/>
      <c r="K427" s="4"/>
      <c r="L427" s="4"/>
      <c r="M427" s="4"/>
      <c r="N427" s="4"/>
      <c r="O427" s="4"/>
      <c r="P427" s="4"/>
      <c r="T427" s="4"/>
    </row>
    <row r="428">
      <c r="A428" s="4" t="s">
        <v>4396</v>
      </c>
      <c r="B428" s="4"/>
      <c r="C428" s="6"/>
      <c r="D428" s="6"/>
      <c r="E428" s="6"/>
      <c r="F428" s="6"/>
      <c r="G428" s="4"/>
      <c r="H428" s="4"/>
      <c r="I428" s="4"/>
      <c r="J428" s="4"/>
      <c r="K428" s="4"/>
      <c r="L428" s="4"/>
      <c r="M428" s="4"/>
      <c r="N428" s="4"/>
      <c r="O428" s="4"/>
      <c r="P428" s="4"/>
      <c r="T428" s="4"/>
    </row>
    <row r="429">
      <c r="A429" s="4" t="s">
        <v>4398</v>
      </c>
      <c r="B429" s="4"/>
      <c r="C429" s="6"/>
      <c r="D429" s="6"/>
      <c r="E429" s="6"/>
      <c r="F429" s="6"/>
      <c r="G429" s="4"/>
      <c r="H429" s="4"/>
      <c r="I429" s="4"/>
      <c r="J429" s="4"/>
      <c r="K429" s="4"/>
      <c r="L429" s="4"/>
      <c r="M429" s="4"/>
      <c r="N429" s="4"/>
      <c r="O429" s="4"/>
      <c r="P429" s="4"/>
      <c r="T429" s="4"/>
    </row>
    <row r="430">
      <c r="A430" s="4" t="s">
        <v>4399</v>
      </c>
      <c r="B430" s="4"/>
      <c r="C430" s="6"/>
      <c r="D430" s="6"/>
      <c r="E430" s="6"/>
      <c r="F430" s="6"/>
      <c r="G430" s="4"/>
      <c r="H430" s="4"/>
      <c r="I430" s="4"/>
      <c r="J430" s="4"/>
      <c r="K430" s="4"/>
      <c r="L430" s="4"/>
      <c r="M430" s="4"/>
      <c r="N430" s="4"/>
      <c r="O430" s="4"/>
      <c r="P430" s="4"/>
      <c r="T430" s="4"/>
    </row>
    <row r="431">
      <c r="A431" s="4" t="s">
        <v>4401</v>
      </c>
      <c r="B431" s="4"/>
      <c r="C431" s="6"/>
      <c r="D431" s="6"/>
      <c r="E431" s="6"/>
      <c r="F431" s="6"/>
      <c r="G431" s="4"/>
      <c r="H431" s="4"/>
      <c r="I431" s="4"/>
      <c r="J431" s="4"/>
      <c r="K431" s="4"/>
      <c r="L431" s="4"/>
      <c r="M431" s="4"/>
      <c r="N431" s="4"/>
      <c r="O431" s="4"/>
      <c r="P431" s="4"/>
      <c r="T431" s="4"/>
    </row>
    <row r="432">
      <c r="A432" s="4" t="s">
        <v>4402</v>
      </c>
      <c r="B432" s="4"/>
      <c r="C432" s="6"/>
      <c r="D432" s="6"/>
      <c r="E432" s="6"/>
      <c r="F432" s="6"/>
      <c r="G432" s="4"/>
      <c r="H432" s="4"/>
      <c r="I432" s="4"/>
      <c r="J432" s="4"/>
      <c r="K432" s="4"/>
      <c r="L432" s="4"/>
      <c r="M432" s="4"/>
      <c r="N432" s="4"/>
      <c r="O432" s="4"/>
      <c r="P432" s="4"/>
      <c r="T432" s="4"/>
    </row>
    <row r="433">
      <c r="A433" s="4" t="s">
        <v>4403</v>
      </c>
      <c r="B433" s="4"/>
      <c r="C433" s="6"/>
      <c r="D433" s="6"/>
      <c r="E433" s="6"/>
      <c r="F433" s="6"/>
      <c r="G433" s="4"/>
      <c r="H433" s="4"/>
      <c r="I433" s="4"/>
      <c r="J433" s="4"/>
      <c r="K433" s="4"/>
      <c r="L433" s="4"/>
      <c r="M433" s="4"/>
      <c r="N433" s="4"/>
      <c r="O433" s="4"/>
      <c r="P433" s="4"/>
      <c r="T433" s="4"/>
    </row>
    <row r="434">
      <c r="A434" s="4" t="s">
        <v>4405</v>
      </c>
      <c r="B434" s="4"/>
      <c r="C434" s="6"/>
      <c r="D434" s="6"/>
      <c r="E434" s="6"/>
      <c r="F434" s="6"/>
      <c r="G434" s="4"/>
      <c r="H434" s="4"/>
      <c r="I434" s="4"/>
      <c r="J434" s="4"/>
      <c r="K434" s="4"/>
      <c r="L434" s="4"/>
      <c r="M434" s="4"/>
      <c r="N434" s="4"/>
      <c r="O434" s="4"/>
      <c r="P434" s="4"/>
      <c r="T434" s="4"/>
    </row>
    <row r="435">
      <c r="A435" s="4" t="s">
        <v>4406</v>
      </c>
      <c r="B435" s="4"/>
      <c r="C435" s="6"/>
      <c r="D435" s="6"/>
      <c r="E435" s="6"/>
      <c r="F435" s="6"/>
      <c r="G435" s="4"/>
      <c r="H435" s="4"/>
      <c r="I435" s="4"/>
      <c r="J435" s="4"/>
      <c r="K435" s="4"/>
      <c r="L435" s="4"/>
      <c r="M435" s="4"/>
      <c r="N435" s="4"/>
      <c r="O435" s="4"/>
      <c r="P435" s="4"/>
      <c r="T435" s="4"/>
    </row>
    <row r="436">
      <c r="A436" s="4" t="s">
        <v>4408</v>
      </c>
      <c r="B436" s="4"/>
      <c r="C436" s="6"/>
      <c r="D436" s="6"/>
      <c r="E436" s="6"/>
      <c r="F436" s="6"/>
      <c r="G436" s="4"/>
      <c r="H436" s="4"/>
      <c r="I436" s="4"/>
      <c r="J436" s="4"/>
      <c r="K436" s="4"/>
      <c r="L436" s="4"/>
      <c r="M436" s="4"/>
      <c r="N436" s="4"/>
      <c r="O436" s="4"/>
      <c r="P436" s="4"/>
      <c r="T436" s="4"/>
    </row>
    <row r="437">
      <c r="A437" s="4" t="s">
        <v>4409</v>
      </c>
      <c r="B437" s="4"/>
      <c r="C437" s="6"/>
      <c r="D437" s="6"/>
      <c r="E437" s="6"/>
      <c r="F437" s="6"/>
      <c r="G437" s="4"/>
      <c r="H437" s="4"/>
      <c r="I437" s="4"/>
      <c r="J437" s="4"/>
      <c r="K437" s="4"/>
      <c r="L437" s="4"/>
      <c r="M437" s="4"/>
      <c r="N437" s="4"/>
      <c r="O437" s="4"/>
      <c r="P437" s="4"/>
      <c r="T437" s="4"/>
    </row>
    <row r="438">
      <c r="A438" s="4" t="s">
        <v>4411</v>
      </c>
      <c r="B438" s="4"/>
      <c r="C438" s="6"/>
      <c r="D438" s="6"/>
      <c r="E438" s="6"/>
      <c r="F438" s="6"/>
      <c r="G438" s="4"/>
      <c r="H438" s="4"/>
      <c r="I438" s="4"/>
      <c r="J438" s="4"/>
      <c r="K438" s="4"/>
      <c r="L438" s="4"/>
      <c r="M438" s="4"/>
      <c r="N438" s="4"/>
      <c r="O438" s="4"/>
      <c r="P438" s="4"/>
      <c r="T438" s="4"/>
    </row>
    <row r="439">
      <c r="A439" s="4" t="s">
        <v>4412</v>
      </c>
      <c r="B439" s="4"/>
      <c r="C439" s="6"/>
      <c r="D439" s="6"/>
      <c r="E439" s="6"/>
      <c r="F439" s="6"/>
      <c r="G439" s="4"/>
      <c r="H439" s="4"/>
      <c r="I439" s="4"/>
      <c r="J439" s="4"/>
      <c r="K439" s="4"/>
      <c r="L439" s="4"/>
      <c r="M439" s="4"/>
      <c r="N439" s="4"/>
      <c r="O439" s="4"/>
      <c r="P439" s="4"/>
      <c r="T439" s="4"/>
    </row>
    <row r="440">
      <c r="A440" s="4" t="s">
        <v>4413</v>
      </c>
      <c r="B440" s="4"/>
      <c r="C440" s="6"/>
      <c r="D440" s="6"/>
      <c r="E440" s="6"/>
      <c r="F440" s="6"/>
      <c r="G440" s="4"/>
      <c r="H440" s="4"/>
      <c r="I440" s="4"/>
      <c r="J440" s="4"/>
      <c r="K440" s="4"/>
      <c r="L440" s="4"/>
      <c r="M440" s="4"/>
      <c r="N440" s="4"/>
      <c r="O440" s="4"/>
      <c r="P440" s="4"/>
      <c r="T440" s="4"/>
    </row>
    <row r="441">
      <c r="A441" s="4" t="s">
        <v>4415</v>
      </c>
      <c r="B441" s="4"/>
      <c r="C441" s="6"/>
      <c r="D441" s="6"/>
      <c r="E441" s="6"/>
      <c r="F441" s="6"/>
      <c r="G441" s="4"/>
      <c r="H441" s="4"/>
      <c r="I441" s="4"/>
      <c r="J441" s="4"/>
      <c r="K441" s="4"/>
      <c r="L441" s="4"/>
      <c r="M441" s="4"/>
      <c r="N441" s="4"/>
      <c r="O441" s="4"/>
      <c r="P441" s="4"/>
      <c r="T441" s="4"/>
    </row>
    <row r="442">
      <c r="A442" s="4" t="s">
        <v>4416</v>
      </c>
      <c r="B442" s="4"/>
      <c r="C442" s="6"/>
      <c r="D442" s="6"/>
      <c r="E442" s="6"/>
      <c r="F442" s="6"/>
      <c r="G442" s="4"/>
      <c r="H442" s="4"/>
      <c r="I442" s="4"/>
      <c r="J442" s="4"/>
      <c r="K442" s="4"/>
      <c r="L442" s="4"/>
      <c r="M442" s="4"/>
      <c r="N442" s="4"/>
      <c r="O442" s="4"/>
      <c r="P442" s="4"/>
      <c r="T442" s="4"/>
    </row>
    <row r="443">
      <c r="A443" s="4" t="s">
        <v>4418</v>
      </c>
      <c r="B443" s="4"/>
      <c r="C443" s="6"/>
      <c r="D443" s="6"/>
      <c r="E443" s="6"/>
      <c r="F443" s="6"/>
      <c r="G443" s="4"/>
      <c r="H443" s="4"/>
      <c r="I443" s="4"/>
      <c r="J443" s="4"/>
      <c r="K443" s="4"/>
      <c r="L443" s="4"/>
      <c r="M443" s="4"/>
      <c r="N443" s="4"/>
      <c r="O443" s="4"/>
      <c r="P443" s="4"/>
      <c r="T443" s="4"/>
    </row>
    <row r="444">
      <c r="A444" s="4" t="s">
        <v>4419</v>
      </c>
      <c r="B444" s="4"/>
      <c r="C444" s="6"/>
      <c r="D444" s="6"/>
      <c r="E444" s="6"/>
      <c r="F444" s="6"/>
      <c r="G444" s="4"/>
      <c r="H444" s="4"/>
      <c r="I444" s="4"/>
      <c r="J444" s="4"/>
      <c r="K444" s="4"/>
      <c r="L444" s="4"/>
      <c r="M444" s="4"/>
      <c r="N444" s="4"/>
      <c r="O444" s="4"/>
      <c r="P444" s="4"/>
      <c r="T444" s="4"/>
    </row>
    <row r="445">
      <c r="A445" s="4" t="s">
        <v>4421</v>
      </c>
      <c r="B445" s="4"/>
      <c r="C445" s="6"/>
      <c r="D445" s="6"/>
      <c r="E445" s="6"/>
      <c r="F445" s="6"/>
      <c r="G445" s="4"/>
      <c r="H445" s="4"/>
      <c r="I445" s="4"/>
      <c r="J445" s="4"/>
      <c r="K445" s="4"/>
      <c r="L445" s="4"/>
      <c r="M445" s="4"/>
      <c r="N445" s="4"/>
      <c r="O445" s="4"/>
      <c r="P445" s="4"/>
      <c r="T445" s="4"/>
    </row>
    <row r="446">
      <c r="A446" s="4" t="s">
        <v>4422</v>
      </c>
      <c r="B446" s="4"/>
      <c r="C446" s="6"/>
      <c r="D446" s="6"/>
      <c r="E446" s="6"/>
      <c r="F446" s="6"/>
      <c r="G446" s="4"/>
      <c r="H446" s="4"/>
      <c r="I446" s="4"/>
      <c r="J446" s="4"/>
      <c r="K446" s="4"/>
      <c r="L446" s="4"/>
      <c r="M446" s="4"/>
      <c r="N446" s="4"/>
      <c r="O446" s="4"/>
      <c r="P446" s="4"/>
      <c r="T446" s="4"/>
    </row>
    <row r="447">
      <c r="A447" s="4" t="s">
        <v>4424</v>
      </c>
      <c r="B447" s="4"/>
      <c r="C447" s="6"/>
      <c r="D447" s="6"/>
      <c r="E447" s="6"/>
      <c r="F447" s="6"/>
      <c r="G447" s="4"/>
      <c r="H447" s="4"/>
      <c r="I447" s="4"/>
      <c r="J447" s="4"/>
      <c r="K447" s="4"/>
      <c r="L447" s="4"/>
      <c r="M447" s="4"/>
      <c r="N447" s="4"/>
      <c r="O447" s="4"/>
      <c r="P447" s="4"/>
      <c r="T447" s="4"/>
    </row>
    <row r="448">
      <c r="A448" s="4" t="s">
        <v>4426</v>
      </c>
      <c r="B448" s="4"/>
      <c r="C448" s="6"/>
      <c r="D448" s="6"/>
      <c r="E448" s="6"/>
      <c r="F448" s="6"/>
      <c r="G448" s="4"/>
      <c r="H448" s="4"/>
      <c r="I448" s="4"/>
      <c r="J448" s="4"/>
      <c r="K448" s="4"/>
      <c r="L448" s="4"/>
      <c r="M448" s="4"/>
      <c r="N448" s="4"/>
      <c r="O448" s="4"/>
      <c r="P448" s="4"/>
      <c r="T448" s="4"/>
    </row>
    <row r="449">
      <c r="A449" s="4" t="s">
        <v>4427</v>
      </c>
      <c r="B449" s="4"/>
      <c r="C449" s="6"/>
      <c r="D449" s="6"/>
      <c r="E449" s="6"/>
      <c r="F449" s="6"/>
      <c r="G449" s="4"/>
      <c r="H449" s="4"/>
      <c r="I449" s="4"/>
      <c r="J449" s="4"/>
      <c r="K449" s="4"/>
      <c r="L449" s="4"/>
      <c r="M449" s="4"/>
      <c r="N449" s="4"/>
      <c r="O449" s="4"/>
      <c r="P449" s="4"/>
      <c r="T449" s="4"/>
    </row>
    <row r="450">
      <c r="A450" s="4" t="s">
        <v>4429</v>
      </c>
      <c r="B450" s="4"/>
      <c r="C450" s="6"/>
      <c r="D450" s="6"/>
      <c r="E450" s="6"/>
      <c r="F450" s="6"/>
      <c r="G450" s="4"/>
      <c r="H450" s="4"/>
      <c r="I450" s="4"/>
      <c r="J450" s="4"/>
      <c r="K450" s="4"/>
      <c r="L450" s="4"/>
      <c r="M450" s="4"/>
      <c r="N450" s="4"/>
      <c r="O450" s="4"/>
      <c r="P450" s="4"/>
      <c r="T450" s="4"/>
    </row>
    <row r="451">
      <c r="A451" s="4" t="s">
        <v>4430</v>
      </c>
      <c r="B451" s="4"/>
      <c r="C451" s="6"/>
      <c r="D451" s="6"/>
      <c r="E451" s="6"/>
      <c r="F451" s="6"/>
      <c r="G451" s="4"/>
      <c r="H451" s="4"/>
      <c r="I451" s="4"/>
      <c r="J451" s="4"/>
      <c r="K451" s="4"/>
      <c r="L451" s="4"/>
      <c r="M451" s="4"/>
      <c r="N451" s="4"/>
      <c r="O451" s="4"/>
      <c r="P451" s="4"/>
      <c r="T451" s="4"/>
    </row>
    <row r="452">
      <c r="A452" s="4" t="s">
        <v>2034</v>
      </c>
      <c r="B452" s="4" t="s">
        <v>607</v>
      </c>
      <c r="C452" s="6" t="s">
        <v>607</v>
      </c>
      <c r="D452" s="6" t="s">
        <v>607</v>
      </c>
      <c r="E452" s="6" t="s">
        <v>607</v>
      </c>
      <c r="F452" s="6" t="s">
        <v>607</v>
      </c>
      <c r="G452" s="4" t="s">
        <v>607</v>
      </c>
      <c r="H452" s="4" t="s">
        <v>607</v>
      </c>
      <c r="I452" s="4" t="s">
        <v>607</v>
      </c>
      <c r="J452" s="4" t="s">
        <v>607</v>
      </c>
      <c r="K452" s="4" t="s">
        <v>607</v>
      </c>
      <c r="L452" s="4" t="s">
        <v>607</v>
      </c>
      <c r="M452" s="4" t="s">
        <v>607</v>
      </c>
      <c r="N452" s="4" t="s">
        <v>607</v>
      </c>
      <c r="O452" s="4"/>
      <c r="P452" s="4"/>
      <c r="T452" s="4"/>
    </row>
    <row r="453">
      <c r="A453" s="4" t="s">
        <v>2035</v>
      </c>
      <c r="B453" s="4" t="s">
        <v>607</v>
      </c>
      <c r="C453" s="6" t="s">
        <v>607</v>
      </c>
      <c r="D453" s="6" t="s">
        <v>607</v>
      </c>
      <c r="E453" s="6" t="s">
        <v>607</v>
      </c>
      <c r="F453" s="6" t="s">
        <v>607</v>
      </c>
      <c r="G453" s="4" t="s">
        <v>607</v>
      </c>
      <c r="H453" s="4" t="s">
        <v>607</v>
      </c>
      <c r="I453" s="4" t="s">
        <v>607</v>
      </c>
      <c r="J453" s="4" t="s">
        <v>607</v>
      </c>
      <c r="K453" s="4" t="s">
        <v>607</v>
      </c>
      <c r="L453" s="4" t="s">
        <v>607</v>
      </c>
      <c r="M453" s="4" t="s">
        <v>607</v>
      </c>
      <c r="N453" s="4" t="s">
        <v>607</v>
      </c>
      <c r="O453" s="4"/>
      <c r="P453" s="4"/>
      <c r="T453" s="4"/>
    </row>
    <row r="454">
      <c r="A454" s="4" t="s">
        <v>2038</v>
      </c>
      <c r="B454" s="4" t="s">
        <v>607</v>
      </c>
      <c r="C454" s="6" t="s">
        <v>607</v>
      </c>
      <c r="D454" s="6" t="s">
        <v>607</v>
      </c>
      <c r="E454" s="6" t="s">
        <v>607</v>
      </c>
      <c r="F454" s="6" t="s">
        <v>607</v>
      </c>
      <c r="G454" s="4" t="s">
        <v>607</v>
      </c>
      <c r="H454" s="4" t="s">
        <v>607</v>
      </c>
      <c r="I454" s="4" t="s">
        <v>607</v>
      </c>
      <c r="J454" s="4" t="s">
        <v>607</v>
      </c>
      <c r="K454" s="4" t="s">
        <v>607</v>
      </c>
      <c r="L454" s="4" t="s">
        <v>607</v>
      </c>
      <c r="M454" s="4" t="s">
        <v>607</v>
      </c>
      <c r="N454" s="4" t="s">
        <v>607</v>
      </c>
      <c r="O454" s="4"/>
      <c r="P454" s="4"/>
      <c r="T454" s="4"/>
    </row>
    <row r="455">
      <c r="A455" s="4" t="s">
        <v>2039</v>
      </c>
      <c r="B455" s="4" t="s">
        <v>607</v>
      </c>
      <c r="C455" s="6" t="s">
        <v>607</v>
      </c>
      <c r="D455" s="6" t="s">
        <v>607</v>
      </c>
      <c r="E455" s="6" t="s">
        <v>607</v>
      </c>
      <c r="F455" s="6" t="s">
        <v>607</v>
      </c>
      <c r="G455" s="4" t="s">
        <v>607</v>
      </c>
      <c r="H455" s="4" t="s">
        <v>607</v>
      </c>
      <c r="I455" s="4" t="s">
        <v>607</v>
      </c>
      <c r="J455" s="4" t="s">
        <v>607</v>
      </c>
      <c r="K455" s="4" t="s">
        <v>607</v>
      </c>
      <c r="L455" s="4" t="s">
        <v>607</v>
      </c>
      <c r="M455" s="4" t="s">
        <v>607</v>
      </c>
      <c r="N455" s="4" t="s">
        <v>607</v>
      </c>
      <c r="O455" s="4"/>
      <c r="P455" s="4"/>
      <c r="T455" s="4"/>
    </row>
    <row r="456">
      <c r="A456" s="4" t="s">
        <v>2040</v>
      </c>
      <c r="B456" s="4" t="s">
        <v>607</v>
      </c>
      <c r="C456" s="6" t="s">
        <v>607</v>
      </c>
      <c r="D456" s="6" t="s">
        <v>607</v>
      </c>
      <c r="E456" s="6" t="s">
        <v>607</v>
      </c>
      <c r="F456" s="6" t="s">
        <v>607</v>
      </c>
      <c r="G456" s="4" t="s">
        <v>607</v>
      </c>
      <c r="H456" s="4" t="s">
        <v>607</v>
      </c>
      <c r="I456" s="4" t="s">
        <v>607</v>
      </c>
      <c r="J456" s="4" t="s">
        <v>607</v>
      </c>
      <c r="K456" s="4" t="s">
        <v>607</v>
      </c>
      <c r="L456" s="4" t="s">
        <v>607</v>
      </c>
      <c r="M456" s="4" t="s">
        <v>607</v>
      </c>
      <c r="N456" s="4" t="s">
        <v>607</v>
      </c>
      <c r="O456" s="4"/>
      <c r="P456" s="4"/>
      <c r="T456" s="4"/>
    </row>
    <row r="457">
      <c r="A457" s="4" t="s">
        <v>2041</v>
      </c>
      <c r="B457" s="4" t="s">
        <v>607</v>
      </c>
      <c r="C457" s="6" t="s">
        <v>607</v>
      </c>
      <c r="D457" s="6" t="s">
        <v>607</v>
      </c>
      <c r="E457" s="6" t="s">
        <v>607</v>
      </c>
      <c r="F457" s="6" t="s">
        <v>607</v>
      </c>
      <c r="G457" s="4" t="s">
        <v>607</v>
      </c>
      <c r="H457" s="4" t="s">
        <v>607</v>
      </c>
      <c r="I457" s="4" t="s">
        <v>607</v>
      </c>
      <c r="J457" s="4" t="s">
        <v>607</v>
      </c>
      <c r="K457" s="4" t="s">
        <v>607</v>
      </c>
      <c r="L457" s="4" t="s">
        <v>607</v>
      </c>
      <c r="M457" s="4" t="s">
        <v>607</v>
      </c>
      <c r="N457" s="4" t="s">
        <v>607</v>
      </c>
      <c r="O457" s="4"/>
      <c r="P457" s="4"/>
      <c r="T457" s="4"/>
    </row>
    <row r="458">
      <c r="A458" s="4" t="s">
        <v>2044</v>
      </c>
      <c r="B458" s="4" t="s">
        <v>607</v>
      </c>
      <c r="C458" s="6" t="s">
        <v>607</v>
      </c>
      <c r="D458" s="6" t="s">
        <v>607</v>
      </c>
      <c r="E458" s="6" t="s">
        <v>607</v>
      </c>
      <c r="F458" s="6" t="s">
        <v>607</v>
      </c>
      <c r="G458" s="4" t="s">
        <v>607</v>
      </c>
      <c r="H458" s="4" t="s">
        <v>607</v>
      </c>
      <c r="I458" s="4" t="s">
        <v>607</v>
      </c>
      <c r="J458" s="4" t="s">
        <v>607</v>
      </c>
      <c r="K458" s="4" t="s">
        <v>607</v>
      </c>
      <c r="L458" s="4" t="s">
        <v>607</v>
      </c>
      <c r="M458" s="4" t="s">
        <v>607</v>
      </c>
      <c r="N458" s="4" t="s">
        <v>607</v>
      </c>
      <c r="O458" s="4"/>
      <c r="P458" s="4"/>
      <c r="T458" s="4"/>
    </row>
    <row r="459">
      <c r="A459" s="4" t="s">
        <v>2045</v>
      </c>
      <c r="B459" s="4" t="s">
        <v>607</v>
      </c>
      <c r="C459" s="6" t="s">
        <v>607</v>
      </c>
      <c r="D459" s="6" t="s">
        <v>607</v>
      </c>
      <c r="E459" s="6" t="s">
        <v>607</v>
      </c>
      <c r="F459" s="6" t="s">
        <v>607</v>
      </c>
      <c r="G459" s="4" t="s">
        <v>607</v>
      </c>
      <c r="H459" s="4" t="s">
        <v>607</v>
      </c>
      <c r="I459" s="4" t="s">
        <v>607</v>
      </c>
      <c r="J459" s="4" t="s">
        <v>607</v>
      </c>
      <c r="K459" s="4" t="s">
        <v>607</v>
      </c>
      <c r="L459" s="4" t="s">
        <v>607</v>
      </c>
      <c r="M459" s="4" t="s">
        <v>607</v>
      </c>
      <c r="N459" s="4" t="s">
        <v>607</v>
      </c>
      <c r="O459" s="4"/>
      <c r="P459" s="4"/>
      <c r="T459" s="4"/>
    </row>
    <row r="460">
      <c r="A460" s="4" t="s">
        <v>2046</v>
      </c>
      <c r="B460" s="4" t="s">
        <v>607</v>
      </c>
      <c r="C460" s="6" t="s">
        <v>607</v>
      </c>
      <c r="D460" s="6" t="s">
        <v>607</v>
      </c>
      <c r="E460" s="6" t="s">
        <v>607</v>
      </c>
      <c r="F460" s="6" t="s">
        <v>607</v>
      </c>
      <c r="G460" s="4" t="s">
        <v>607</v>
      </c>
      <c r="H460" s="4" t="s">
        <v>607</v>
      </c>
      <c r="I460" s="4" t="s">
        <v>607</v>
      </c>
      <c r="J460" s="4" t="s">
        <v>607</v>
      </c>
      <c r="K460" s="4" t="s">
        <v>607</v>
      </c>
      <c r="L460" s="4" t="s">
        <v>607</v>
      </c>
      <c r="M460" s="4" t="s">
        <v>607</v>
      </c>
      <c r="N460" s="4" t="s">
        <v>607</v>
      </c>
      <c r="O460" s="4"/>
      <c r="P460" s="4"/>
      <c r="T460" s="4"/>
    </row>
    <row r="461">
      <c r="A461" s="4" t="s">
        <v>2049</v>
      </c>
      <c r="B461" s="4" t="s">
        <v>607</v>
      </c>
      <c r="C461" s="6" t="s">
        <v>607</v>
      </c>
      <c r="D461" s="6" t="s">
        <v>607</v>
      </c>
      <c r="E461" s="6" t="s">
        <v>607</v>
      </c>
      <c r="F461" s="6" t="s">
        <v>607</v>
      </c>
      <c r="G461" s="4" t="s">
        <v>607</v>
      </c>
      <c r="H461" s="4" t="s">
        <v>607</v>
      </c>
      <c r="I461" s="4" t="s">
        <v>607</v>
      </c>
      <c r="J461" s="4" t="s">
        <v>607</v>
      </c>
      <c r="K461" s="4" t="s">
        <v>607</v>
      </c>
      <c r="L461" s="4" t="s">
        <v>607</v>
      </c>
      <c r="M461" s="4" t="s">
        <v>607</v>
      </c>
      <c r="N461" s="4" t="s">
        <v>607</v>
      </c>
      <c r="O461" s="4"/>
      <c r="P461" s="4"/>
      <c r="T461" s="4"/>
    </row>
    <row r="462">
      <c r="A462" s="4" t="s">
        <v>2050</v>
      </c>
      <c r="B462" s="4" t="s">
        <v>607</v>
      </c>
      <c r="C462" s="6" t="s">
        <v>607</v>
      </c>
      <c r="D462" s="6" t="s">
        <v>607</v>
      </c>
      <c r="E462" s="6" t="s">
        <v>607</v>
      </c>
      <c r="F462" s="6" t="s">
        <v>607</v>
      </c>
      <c r="G462" s="4" t="s">
        <v>607</v>
      </c>
      <c r="H462" s="4" t="s">
        <v>607</v>
      </c>
      <c r="I462" s="4" t="s">
        <v>607</v>
      </c>
      <c r="J462" s="4" t="s">
        <v>607</v>
      </c>
      <c r="K462" s="4" t="s">
        <v>607</v>
      </c>
      <c r="L462" s="4" t="s">
        <v>607</v>
      </c>
      <c r="M462" s="4" t="s">
        <v>607</v>
      </c>
      <c r="N462" s="4" t="s">
        <v>607</v>
      </c>
      <c r="O462" s="4"/>
      <c r="P462" s="4"/>
      <c r="T462" s="4"/>
    </row>
    <row r="463">
      <c r="A463" s="4" t="s">
        <v>2051</v>
      </c>
      <c r="B463" s="4" t="s">
        <v>607</v>
      </c>
      <c r="C463" s="6" t="s">
        <v>607</v>
      </c>
      <c r="D463" s="6" t="s">
        <v>607</v>
      </c>
      <c r="E463" s="6" t="s">
        <v>607</v>
      </c>
      <c r="F463" s="6" t="s">
        <v>607</v>
      </c>
      <c r="G463" s="4" t="s">
        <v>607</v>
      </c>
      <c r="H463" s="4" t="s">
        <v>607</v>
      </c>
      <c r="I463" s="4" t="s">
        <v>607</v>
      </c>
      <c r="J463" s="4" t="s">
        <v>607</v>
      </c>
      <c r="K463" s="4" t="s">
        <v>607</v>
      </c>
      <c r="L463" s="4" t="s">
        <v>607</v>
      </c>
      <c r="M463" s="4" t="s">
        <v>607</v>
      </c>
      <c r="N463" s="4" t="s">
        <v>607</v>
      </c>
      <c r="O463" s="4"/>
      <c r="P463" s="4"/>
      <c r="T463" s="4"/>
    </row>
    <row r="464">
      <c r="A464" s="4" t="s">
        <v>2055</v>
      </c>
      <c r="B464" s="4" t="s">
        <v>607</v>
      </c>
      <c r="C464" s="6" t="s">
        <v>607</v>
      </c>
      <c r="D464" s="6" t="s">
        <v>607</v>
      </c>
      <c r="E464" s="6" t="s">
        <v>607</v>
      </c>
      <c r="F464" s="6" t="s">
        <v>607</v>
      </c>
      <c r="G464" s="4" t="s">
        <v>607</v>
      </c>
      <c r="H464" s="4" t="s">
        <v>607</v>
      </c>
      <c r="I464" s="4" t="s">
        <v>607</v>
      </c>
      <c r="J464" s="4" t="s">
        <v>607</v>
      </c>
      <c r="K464" s="4" t="s">
        <v>607</v>
      </c>
      <c r="L464" s="4" t="s">
        <v>607</v>
      </c>
      <c r="M464" s="4" t="s">
        <v>607</v>
      </c>
      <c r="N464" s="4" t="s">
        <v>607</v>
      </c>
      <c r="O464" s="4"/>
      <c r="P464" s="4"/>
      <c r="T464" s="4"/>
    </row>
    <row r="465">
      <c r="A465" s="4" t="s">
        <v>2056</v>
      </c>
      <c r="B465" s="4" t="s">
        <v>607</v>
      </c>
      <c r="C465" s="6" t="s">
        <v>607</v>
      </c>
      <c r="D465" s="6" t="s">
        <v>607</v>
      </c>
      <c r="E465" s="6" t="s">
        <v>607</v>
      </c>
      <c r="F465" s="6" t="s">
        <v>607</v>
      </c>
      <c r="G465" s="4" t="s">
        <v>607</v>
      </c>
      <c r="H465" s="4" t="s">
        <v>607</v>
      </c>
      <c r="I465" s="4" t="s">
        <v>607</v>
      </c>
      <c r="J465" s="4" t="s">
        <v>607</v>
      </c>
      <c r="K465" s="4" t="s">
        <v>607</v>
      </c>
      <c r="L465" s="4" t="s">
        <v>607</v>
      </c>
      <c r="M465" s="4" t="s">
        <v>607</v>
      </c>
      <c r="N465" s="4" t="s">
        <v>607</v>
      </c>
      <c r="O465" s="4"/>
      <c r="P465" s="4"/>
      <c r="T465" s="4"/>
    </row>
    <row r="466">
      <c r="A466" s="4" t="s">
        <v>2057</v>
      </c>
      <c r="B466" s="4" t="s">
        <v>607</v>
      </c>
      <c r="C466" s="6" t="s">
        <v>607</v>
      </c>
      <c r="D466" s="6" t="s">
        <v>607</v>
      </c>
      <c r="E466" s="6" t="s">
        <v>607</v>
      </c>
      <c r="F466" s="6" t="s">
        <v>607</v>
      </c>
      <c r="G466" s="4" t="s">
        <v>607</v>
      </c>
      <c r="H466" s="4" t="s">
        <v>607</v>
      </c>
      <c r="I466" s="4" t="s">
        <v>607</v>
      </c>
      <c r="J466" s="4" t="s">
        <v>607</v>
      </c>
      <c r="K466" s="4" t="s">
        <v>607</v>
      </c>
      <c r="L466" s="4" t="s">
        <v>607</v>
      </c>
      <c r="M466" s="4" t="s">
        <v>607</v>
      </c>
      <c r="N466" s="4" t="s">
        <v>607</v>
      </c>
      <c r="O466" s="4"/>
      <c r="P466" s="4"/>
      <c r="T466" s="4"/>
    </row>
    <row r="467">
      <c r="A467" s="4" t="s">
        <v>2058</v>
      </c>
      <c r="B467" s="4" t="s">
        <v>607</v>
      </c>
      <c r="C467" s="6" t="s">
        <v>607</v>
      </c>
      <c r="D467" s="6" t="s">
        <v>607</v>
      </c>
      <c r="E467" s="6" t="s">
        <v>607</v>
      </c>
      <c r="F467" s="6" t="s">
        <v>607</v>
      </c>
      <c r="G467" s="4" t="s">
        <v>607</v>
      </c>
      <c r="H467" s="4" t="s">
        <v>607</v>
      </c>
      <c r="I467" s="4" t="s">
        <v>607</v>
      </c>
      <c r="J467" s="4" t="s">
        <v>607</v>
      </c>
      <c r="K467" s="4" t="s">
        <v>607</v>
      </c>
      <c r="L467" s="4" t="s">
        <v>607</v>
      </c>
      <c r="M467" s="4" t="s">
        <v>607</v>
      </c>
      <c r="N467" s="4" t="s">
        <v>607</v>
      </c>
      <c r="O467" s="4"/>
      <c r="P467" s="4"/>
      <c r="T467" s="4"/>
    </row>
    <row r="468">
      <c r="A468" s="4" t="s">
        <v>2059</v>
      </c>
      <c r="B468" s="4" t="s">
        <v>607</v>
      </c>
      <c r="C468" s="6" t="s">
        <v>607</v>
      </c>
      <c r="D468" s="6" t="s">
        <v>607</v>
      </c>
      <c r="E468" s="6" t="s">
        <v>607</v>
      </c>
      <c r="F468" s="6" t="s">
        <v>607</v>
      </c>
      <c r="G468" s="4" t="s">
        <v>607</v>
      </c>
      <c r="H468" s="4" t="s">
        <v>607</v>
      </c>
      <c r="I468" s="4" t="s">
        <v>607</v>
      </c>
      <c r="J468" s="4" t="s">
        <v>607</v>
      </c>
      <c r="K468" s="4" t="s">
        <v>607</v>
      </c>
      <c r="L468" s="4" t="s">
        <v>607</v>
      </c>
      <c r="M468" s="4" t="s">
        <v>607</v>
      </c>
      <c r="N468" s="4" t="s">
        <v>607</v>
      </c>
      <c r="O468" s="4"/>
      <c r="P468" s="4"/>
      <c r="T468" s="4"/>
    </row>
    <row r="469">
      <c r="A469" s="4" t="s">
        <v>2060</v>
      </c>
      <c r="B469" s="4" t="s">
        <v>607</v>
      </c>
      <c r="C469" s="6" t="s">
        <v>607</v>
      </c>
      <c r="D469" s="6" t="s">
        <v>607</v>
      </c>
      <c r="E469" s="6" t="s">
        <v>607</v>
      </c>
      <c r="F469" s="6" t="s">
        <v>607</v>
      </c>
      <c r="G469" s="4" t="s">
        <v>607</v>
      </c>
      <c r="H469" s="4" t="s">
        <v>607</v>
      </c>
      <c r="I469" s="4" t="s">
        <v>607</v>
      </c>
      <c r="J469" s="4" t="s">
        <v>607</v>
      </c>
      <c r="K469" s="4" t="s">
        <v>607</v>
      </c>
      <c r="L469" s="4" t="s">
        <v>607</v>
      </c>
      <c r="M469" s="4" t="s">
        <v>607</v>
      </c>
      <c r="N469" s="4" t="s">
        <v>607</v>
      </c>
      <c r="O469" s="4"/>
      <c r="P469" s="4"/>
      <c r="T469" s="4"/>
    </row>
    <row r="470">
      <c r="A470" s="4" t="s">
        <v>2061</v>
      </c>
      <c r="B470" s="4" t="s">
        <v>607</v>
      </c>
      <c r="C470" s="6" t="s">
        <v>607</v>
      </c>
      <c r="D470" s="6" t="s">
        <v>607</v>
      </c>
      <c r="E470" s="6" t="s">
        <v>607</v>
      </c>
      <c r="F470" s="6" t="s">
        <v>607</v>
      </c>
      <c r="G470" s="4" t="s">
        <v>607</v>
      </c>
      <c r="H470" s="4" t="s">
        <v>607</v>
      </c>
      <c r="I470" s="4" t="s">
        <v>607</v>
      </c>
      <c r="J470" s="4" t="s">
        <v>607</v>
      </c>
      <c r="K470" s="4" t="s">
        <v>607</v>
      </c>
      <c r="L470" s="4" t="s">
        <v>607</v>
      </c>
      <c r="M470" s="4" t="s">
        <v>607</v>
      </c>
      <c r="N470" s="4" t="s">
        <v>607</v>
      </c>
      <c r="O470" s="4"/>
      <c r="P470" s="4"/>
      <c r="T470" s="4"/>
    </row>
    <row r="471">
      <c r="A471" s="4" t="s">
        <v>2065</v>
      </c>
      <c r="B471" s="4" t="s">
        <v>607</v>
      </c>
      <c r="C471" s="6" t="s">
        <v>607</v>
      </c>
      <c r="D471" s="6" t="s">
        <v>607</v>
      </c>
      <c r="E471" s="6" t="s">
        <v>607</v>
      </c>
      <c r="F471" s="6" t="s">
        <v>607</v>
      </c>
      <c r="G471" s="4" t="s">
        <v>607</v>
      </c>
      <c r="H471" s="4" t="s">
        <v>607</v>
      </c>
      <c r="I471" s="4" t="s">
        <v>607</v>
      </c>
      <c r="J471" s="4" t="s">
        <v>607</v>
      </c>
      <c r="K471" s="4" t="s">
        <v>607</v>
      </c>
      <c r="L471" s="4" t="s">
        <v>607</v>
      </c>
      <c r="M471" s="4" t="s">
        <v>607</v>
      </c>
      <c r="N471" s="4" t="s">
        <v>607</v>
      </c>
      <c r="O471" s="4"/>
      <c r="P471" s="4"/>
      <c r="T471" s="4"/>
    </row>
    <row r="472">
      <c r="A472" s="4" t="s">
        <v>2066</v>
      </c>
      <c r="B472" s="4" t="s">
        <v>607</v>
      </c>
      <c r="C472" s="6" t="s">
        <v>607</v>
      </c>
      <c r="D472" s="6" t="s">
        <v>607</v>
      </c>
      <c r="E472" s="6" t="s">
        <v>607</v>
      </c>
      <c r="F472" s="6" t="s">
        <v>607</v>
      </c>
      <c r="G472" s="4" t="s">
        <v>607</v>
      </c>
      <c r="H472" s="4" t="s">
        <v>607</v>
      </c>
      <c r="I472" s="4" t="s">
        <v>607</v>
      </c>
      <c r="J472" s="4" t="s">
        <v>607</v>
      </c>
      <c r="K472" s="4" t="s">
        <v>607</v>
      </c>
      <c r="L472" s="4" t="s">
        <v>607</v>
      </c>
      <c r="M472" s="4" t="s">
        <v>607</v>
      </c>
      <c r="N472" s="4" t="s">
        <v>607</v>
      </c>
      <c r="O472" s="4"/>
      <c r="P472" s="4"/>
      <c r="T472" s="4"/>
    </row>
    <row r="473">
      <c r="A473" s="4" t="s">
        <v>2067</v>
      </c>
      <c r="B473" s="4" t="s">
        <v>607</v>
      </c>
      <c r="C473" s="6" t="s">
        <v>607</v>
      </c>
      <c r="D473" s="6" t="s">
        <v>607</v>
      </c>
      <c r="E473" s="6" t="s">
        <v>607</v>
      </c>
      <c r="F473" s="6" t="s">
        <v>607</v>
      </c>
      <c r="G473" s="4" t="s">
        <v>607</v>
      </c>
      <c r="H473" s="4" t="s">
        <v>607</v>
      </c>
      <c r="I473" s="4" t="s">
        <v>607</v>
      </c>
      <c r="J473" s="4" t="s">
        <v>607</v>
      </c>
      <c r="K473" s="4" t="s">
        <v>607</v>
      </c>
      <c r="L473" s="4" t="s">
        <v>607</v>
      </c>
      <c r="M473" s="4" t="s">
        <v>607</v>
      </c>
      <c r="N473" s="4" t="s">
        <v>607</v>
      </c>
      <c r="O473" s="4"/>
      <c r="P473" s="4"/>
      <c r="T473" s="4"/>
    </row>
    <row r="474">
      <c r="A474" s="4" t="s">
        <v>2068</v>
      </c>
      <c r="B474" s="4" t="s">
        <v>607</v>
      </c>
      <c r="C474" s="6" t="s">
        <v>607</v>
      </c>
      <c r="D474" s="6" t="s">
        <v>607</v>
      </c>
      <c r="E474" s="6" t="s">
        <v>607</v>
      </c>
      <c r="F474" s="6" t="s">
        <v>607</v>
      </c>
      <c r="G474" s="4" t="s">
        <v>607</v>
      </c>
      <c r="H474" s="4" t="s">
        <v>607</v>
      </c>
      <c r="I474" s="4" t="s">
        <v>607</v>
      </c>
      <c r="J474" s="4" t="s">
        <v>607</v>
      </c>
      <c r="K474" s="4" t="s">
        <v>607</v>
      </c>
      <c r="L474" s="4" t="s">
        <v>607</v>
      </c>
      <c r="M474" s="4" t="s">
        <v>607</v>
      </c>
      <c r="N474" s="4" t="s">
        <v>607</v>
      </c>
      <c r="O474" s="4"/>
      <c r="P474" s="4"/>
      <c r="T474" s="4"/>
    </row>
    <row r="475">
      <c r="A475" s="4" t="s">
        <v>2069</v>
      </c>
      <c r="B475" s="4" t="s">
        <v>607</v>
      </c>
      <c r="C475" s="6" t="s">
        <v>607</v>
      </c>
      <c r="D475" s="6" t="s">
        <v>607</v>
      </c>
      <c r="E475" s="6" t="s">
        <v>607</v>
      </c>
      <c r="F475" s="6" t="s">
        <v>607</v>
      </c>
      <c r="G475" s="4" t="s">
        <v>607</v>
      </c>
      <c r="H475" s="4" t="s">
        <v>607</v>
      </c>
      <c r="I475" s="4" t="s">
        <v>607</v>
      </c>
      <c r="J475" s="4" t="s">
        <v>607</v>
      </c>
      <c r="K475" s="4" t="s">
        <v>607</v>
      </c>
      <c r="L475" s="4" t="s">
        <v>607</v>
      </c>
      <c r="M475" s="4" t="s">
        <v>607</v>
      </c>
      <c r="N475" s="4" t="s">
        <v>607</v>
      </c>
      <c r="O475" s="4"/>
      <c r="P475" s="4"/>
      <c r="T475" s="4"/>
    </row>
    <row r="476">
      <c r="A476" s="4" t="s">
        <v>2072</v>
      </c>
      <c r="B476" s="4" t="s">
        <v>607</v>
      </c>
      <c r="C476" s="6" t="s">
        <v>607</v>
      </c>
      <c r="D476" s="6" t="s">
        <v>607</v>
      </c>
      <c r="E476" s="6" t="s">
        <v>607</v>
      </c>
      <c r="F476" s="6" t="s">
        <v>607</v>
      </c>
      <c r="G476" s="4" t="s">
        <v>607</v>
      </c>
      <c r="H476" s="4" t="s">
        <v>607</v>
      </c>
      <c r="I476" s="4" t="s">
        <v>607</v>
      </c>
      <c r="J476" s="4" t="s">
        <v>607</v>
      </c>
      <c r="K476" s="4" t="s">
        <v>607</v>
      </c>
      <c r="L476" s="4" t="s">
        <v>607</v>
      </c>
      <c r="M476" s="4" t="s">
        <v>607</v>
      </c>
      <c r="N476" s="4" t="s">
        <v>607</v>
      </c>
      <c r="O476" s="4"/>
      <c r="P476" s="4"/>
      <c r="T476" s="4"/>
    </row>
    <row r="477">
      <c r="A477" s="4" t="s">
        <v>2073</v>
      </c>
      <c r="B477" s="4" t="s">
        <v>607</v>
      </c>
      <c r="C477" s="6" t="s">
        <v>607</v>
      </c>
      <c r="D477" s="6" t="s">
        <v>607</v>
      </c>
      <c r="E477" s="6" t="s">
        <v>607</v>
      </c>
      <c r="F477" s="6" t="s">
        <v>607</v>
      </c>
      <c r="G477" s="4" t="s">
        <v>607</v>
      </c>
      <c r="H477" s="4" t="s">
        <v>607</v>
      </c>
      <c r="I477" s="4" t="s">
        <v>607</v>
      </c>
      <c r="J477" s="4" t="s">
        <v>607</v>
      </c>
      <c r="K477" s="4" t="s">
        <v>607</v>
      </c>
      <c r="L477" s="4" t="s">
        <v>607</v>
      </c>
      <c r="M477" s="4" t="s">
        <v>607</v>
      </c>
      <c r="N477" s="4" t="s">
        <v>607</v>
      </c>
      <c r="O477" s="4"/>
      <c r="P477" s="4"/>
      <c r="T477" s="4"/>
    </row>
    <row r="478">
      <c r="A478" s="4" t="s">
        <v>2074</v>
      </c>
      <c r="B478" s="4" t="s">
        <v>607</v>
      </c>
      <c r="C478" s="6" t="s">
        <v>607</v>
      </c>
      <c r="D478" s="6" t="s">
        <v>607</v>
      </c>
      <c r="E478" s="6" t="s">
        <v>607</v>
      </c>
      <c r="F478" s="6" t="s">
        <v>607</v>
      </c>
      <c r="G478" s="4" t="s">
        <v>607</v>
      </c>
      <c r="H478" s="4" t="s">
        <v>607</v>
      </c>
      <c r="I478" s="4" t="s">
        <v>607</v>
      </c>
      <c r="J478" s="4" t="s">
        <v>607</v>
      </c>
      <c r="K478" s="4" t="s">
        <v>607</v>
      </c>
      <c r="L478" s="4" t="s">
        <v>607</v>
      </c>
      <c r="M478" s="4" t="s">
        <v>607</v>
      </c>
      <c r="N478" s="4" t="s">
        <v>607</v>
      </c>
      <c r="O478" s="4"/>
      <c r="P478" s="4"/>
      <c r="T478" s="4"/>
    </row>
    <row r="479">
      <c r="A479" s="4" t="s">
        <v>2075</v>
      </c>
      <c r="B479" s="4" t="s">
        <v>607</v>
      </c>
      <c r="C479" s="6" t="s">
        <v>607</v>
      </c>
      <c r="D479" s="6" t="s">
        <v>607</v>
      </c>
      <c r="E479" s="6" t="s">
        <v>607</v>
      </c>
      <c r="F479" s="6" t="s">
        <v>607</v>
      </c>
      <c r="G479" s="4" t="s">
        <v>607</v>
      </c>
      <c r="H479" s="4" t="s">
        <v>607</v>
      </c>
      <c r="I479" s="4" t="s">
        <v>607</v>
      </c>
      <c r="J479" s="4" t="s">
        <v>607</v>
      </c>
      <c r="K479" s="4" t="s">
        <v>607</v>
      </c>
      <c r="L479" s="4" t="s">
        <v>607</v>
      </c>
      <c r="M479" s="4" t="s">
        <v>607</v>
      </c>
      <c r="N479" s="4" t="s">
        <v>607</v>
      </c>
      <c r="O479" s="4"/>
      <c r="P479" s="4"/>
      <c r="T479" s="4"/>
    </row>
    <row r="480">
      <c r="A480" s="4" t="s">
        <v>2078</v>
      </c>
      <c r="B480" s="4" t="s">
        <v>607</v>
      </c>
      <c r="C480" s="6" t="s">
        <v>607</v>
      </c>
      <c r="D480" s="6" t="s">
        <v>607</v>
      </c>
      <c r="E480" s="6" t="s">
        <v>607</v>
      </c>
      <c r="F480" s="6" t="s">
        <v>607</v>
      </c>
      <c r="G480" s="4" t="s">
        <v>607</v>
      </c>
      <c r="H480" s="4" t="s">
        <v>607</v>
      </c>
      <c r="I480" s="4" t="s">
        <v>607</v>
      </c>
      <c r="J480" s="4" t="s">
        <v>607</v>
      </c>
      <c r="K480" s="4" t="s">
        <v>607</v>
      </c>
      <c r="L480" s="4" t="s">
        <v>607</v>
      </c>
      <c r="M480" s="4" t="s">
        <v>607</v>
      </c>
      <c r="N480" s="4" t="s">
        <v>607</v>
      </c>
      <c r="O480" s="4"/>
      <c r="P480" s="4"/>
      <c r="T480" s="4"/>
    </row>
    <row r="481">
      <c r="A481" s="4" t="s">
        <v>2080</v>
      </c>
      <c r="B481" s="4" t="s">
        <v>607</v>
      </c>
      <c r="C481" s="6" t="s">
        <v>607</v>
      </c>
      <c r="D481" s="6" t="s">
        <v>607</v>
      </c>
      <c r="E481" s="6" t="s">
        <v>607</v>
      </c>
      <c r="F481" s="6" t="s">
        <v>607</v>
      </c>
      <c r="G481" s="4" t="s">
        <v>607</v>
      </c>
      <c r="H481" s="4" t="s">
        <v>607</v>
      </c>
      <c r="I481" s="4" t="s">
        <v>607</v>
      </c>
      <c r="J481" s="4" t="s">
        <v>607</v>
      </c>
      <c r="K481" s="4" t="s">
        <v>607</v>
      </c>
      <c r="L481" s="4" t="s">
        <v>607</v>
      </c>
      <c r="M481" s="4" t="s">
        <v>607</v>
      </c>
      <c r="N481" s="4" t="s">
        <v>607</v>
      </c>
      <c r="O481" s="4"/>
      <c r="P481" s="4"/>
      <c r="T481" s="4"/>
    </row>
    <row r="482">
      <c r="A482" s="4" t="s">
        <v>2081</v>
      </c>
      <c r="B482" s="4" t="s">
        <v>607</v>
      </c>
      <c r="C482" s="6" t="s">
        <v>607</v>
      </c>
      <c r="D482" s="6" t="s">
        <v>607</v>
      </c>
      <c r="E482" s="6" t="s">
        <v>607</v>
      </c>
      <c r="F482" s="6" t="s">
        <v>607</v>
      </c>
      <c r="G482" s="4" t="s">
        <v>607</v>
      </c>
      <c r="H482" s="4" t="s">
        <v>607</v>
      </c>
      <c r="I482" s="4" t="s">
        <v>607</v>
      </c>
      <c r="J482" s="4" t="s">
        <v>607</v>
      </c>
      <c r="K482" s="4" t="s">
        <v>607</v>
      </c>
      <c r="L482" s="4" t="s">
        <v>607</v>
      </c>
      <c r="M482" s="4" t="s">
        <v>607</v>
      </c>
      <c r="N482" s="4" t="s">
        <v>607</v>
      </c>
      <c r="O482" s="4"/>
      <c r="P482" s="4"/>
      <c r="T482" s="4"/>
    </row>
    <row r="483">
      <c r="A483" s="4" t="s">
        <v>2091</v>
      </c>
      <c r="B483" s="4" t="s">
        <v>607</v>
      </c>
      <c r="C483" s="6" t="s">
        <v>607</v>
      </c>
      <c r="D483" s="6" t="s">
        <v>607</v>
      </c>
      <c r="E483" s="6" t="s">
        <v>607</v>
      </c>
      <c r="F483" s="6" t="s">
        <v>607</v>
      </c>
      <c r="G483" s="4" t="s">
        <v>607</v>
      </c>
      <c r="H483" s="4" t="s">
        <v>607</v>
      </c>
      <c r="I483" s="4" t="s">
        <v>607</v>
      </c>
      <c r="J483" s="4" t="s">
        <v>607</v>
      </c>
      <c r="K483" s="4" t="s">
        <v>607</v>
      </c>
      <c r="L483" s="4" t="s">
        <v>607</v>
      </c>
      <c r="M483" s="4" t="s">
        <v>607</v>
      </c>
      <c r="N483" s="4" t="s">
        <v>607</v>
      </c>
      <c r="O483" s="4"/>
      <c r="P483" s="4"/>
      <c r="T483" s="4"/>
    </row>
    <row r="484">
      <c r="A484" s="4" t="s">
        <v>2092</v>
      </c>
      <c r="B484" s="4" t="s">
        <v>607</v>
      </c>
      <c r="C484" s="6" t="s">
        <v>607</v>
      </c>
      <c r="D484" s="6" t="s">
        <v>607</v>
      </c>
      <c r="E484" s="6" t="s">
        <v>607</v>
      </c>
      <c r="F484" s="6" t="s">
        <v>607</v>
      </c>
      <c r="G484" s="4" t="s">
        <v>607</v>
      </c>
      <c r="H484" s="4" t="s">
        <v>607</v>
      </c>
      <c r="I484" s="4" t="s">
        <v>607</v>
      </c>
      <c r="J484" s="4" t="s">
        <v>607</v>
      </c>
      <c r="K484" s="4" t="s">
        <v>607</v>
      </c>
      <c r="L484" s="4" t="s">
        <v>607</v>
      </c>
      <c r="M484" s="4" t="s">
        <v>607</v>
      </c>
      <c r="N484" s="4" t="s">
        <v>607</v>
      </c>
      <c r="O484" s="4"/>
      <c r="P484" s="4"/>
      <c r="T484" s="4"/>
    </row>
    <row r="485">
      <c r="A485" s="4" t="s">
        <v>2097</v>
      </c>
      <c r="B485" s="4" t="s">
        <v>607</v>
      </c>
      <c r="C485" s="6" t="s">
        <v>607</v>
      </c>
      <c r="D485" s="6" t="s">
        <v>607</v>
      </c>
      <c r="E485" s="6" t="s">
        <v>607</v>
      </c>
      <c r="F485" s="6" t="s">
        <v>607</v>
      </c>
      <c r="G485" s="4" t="s">
        <v>607</v>
      </c>
      <c r="H485" s="4" t="s">
        <v>607</v>
      </c>
      <c r="I485" s="4" t="s">
        <v>607</v>
      </c>
      <c r="J485" s="4" t="s">
        <v>607</v>
      </c>
      <c r="K485" s="4" t="s">
        <v>607</v>
      </c>
      <c r="L485" s="4" t="s">
        <v>607</v>
      </c>
      <c r="M485" s="4" t="s">
        <v>607</v>
      </c>
      <c r="N485" s="4" t="s">
        <v>607</v>
      </c>
      <c r="O485" s="4"/>
      <c r="P485" s="4"/>
      <c r="T485" s="4"/>
    </row>
    <row r="486">
      <c r="A486" s="4" t="s">
        <v>2098</v>
      </c>
      <c r="B486" s="4" t="s">
        <v>607</v>
      </c>
      <c r="C486" s="6" t="s">
        <v>607</v>
      </c>
      <c r="D486" s="6" t="s">
        <v>607</v>
      </c>
      <c r="E486" s="6" t="s">
        <v>607</v>
      </c>
      <c r="F486" s="6" t="s">
        <v>607</v>
      </c>
      <c r="G486" s="4" t="s">
        <v>607</v>
      </c>
      <c r="H486" s="4" t="s">
        <v>607</v>
      </c>
      <c r="I486" s="4" t="s">
        <v>607</v>
      </c>
      <c r="J486" s="4" t="s">
        <v>607</v>
      </c>
      <c r="K486" s="4" t="s">
        <v>607</v>
      </c>
      <c r="L486" s="4" t="s">
        <v>607</v>
      </c>
      <c r="M486" s="4" t="s">
        <v>607</v>
      </c>
      <c r="N486" s="4" t="s">
        <v>607</v>
      </c>
      <c r="O486" s="4"/>
      <c r="P486" s="4"/>
      <c r="T486" s="4"/>
    </row>
    <row r="487">
      <c r="A487" s="4" t="s">
        <v>2101</v>
      </c>
      <c r="B487" s="4" t="s">
        <v>607</v>
      </c>
      <c r="C487" s="6" t="s">
        <v>607</v>
      </c>
      <c r="D487" s="6" t="s">
        <v>607</v>
      </c>
      <c r="E487" s="6" t="s">
        <v>607</v>
      </c>
      <c r="F487" s="6" t="s">
        <v>607</v>
      </c>
      <c r="G487" s="4" t="s">
        <v>607</v>
      </c>
      <c r="H487" s="4" t="s">
        <v>607</v>
      </c>
      <c r="I487" s="4" t="s">
        <v>607</v>
      </c>
      <c r="J487" s="4" t="s">
        <v>607</v>
      </c>
      <c r="K487" s="4" t="s">
        <v>607</v>
      </c>
      <c r="L487" s="4" t="s">
        <v>607</v>
      </c>
      <c r="M487" s="4" t="s">
        <v>607</v>
      </c>
      <c r="N487" s="4" t="s">
        <v>607</v>
      </c>
      <c r="O487" s="4"/>
      <c r="P487" s="4"/>
      <c r="T487" s="4"/>
    </row>
    <row r="488">
      <c r="A488" s="4" t="s">
        <v>2108</v>
      </c>
      <c r="B488" s="4" t="s">
        <v>607</v>
      </c>
      <c r="C488" s="6" t="s">
        <v>607</v>
      </c>
      <c r="D488" s="6" t="s">
        <v>607</v>
      </c>
      <c r="E488" s="6" t="s">
        <v>607</v>
      </c>
      <c r="F488" s="6" t="s">
        <v>607</v>
      </c>
      <c r="G488" s="4" t="s">
        <v>607</v>
      </c>
      <c r="H488" s="4" t="s">
        <v>607</v>
      </c>
      <c r="I488" s="4" t="s">
        <v>607</v>
      </c>
      <c r="J488" s="4" t="s">
        <v>607</v>
      </c>
      <c r="K488" s="4" t="s">
        <v>607</v>
      </c>
      <c r="L488" s="4" t="s">
        <v>607</v>
      </c>
      <c r="M488" s="4" t="s">
        <v>607</v>
      </c>
      <c r="N488" s="4" t="s">
        <v>607</v>
      </c>
      <c r="O488" s="4"/>
      <c r="P488" s="4"/>
      <c r="T488" s="4"/>
    </row>
    <row r="489">
      <c r="A489" s="4" t="s">
        <v>2109</v>
      </c>
      <c r="B489" s="4" t="s">
        <v>607</v>
      </c>
      <c r="C489" s="6" t="s">
        <v>607</v>
      </c>
      <c r="D489" s="6" t="s">
        <v>607</v>
      </c>
      <c r="E489" s="6" t="s">
        <v>607</v>
      </c>
      <c r="F489" s="6" t="s">
        <v>607</v>
      </c>
      <c r="G489" s="4" t="s">
        <v>607</v>
      </c>
      <c r="H489" s="4" t="s">
        <v>607</v>
      </c>
      <c r="I489" s="4" t="s">
        <v>607</v>
      </c>
      <c r="J489" s="4" t="s">
        <v>607</v>
      </c>
      <c r="K489" s="4" t="s">
        <v>607</v>
      </c>
      <c r="L489" s="4" t="s">
        <v>607</v>
      </c>
      <c r="M489" s="4" t="s">
        <v>607</v>
      </c>
      <c r="N489" s="4" t="s">
        <v>607</v>
      </c>
      <c r="O489" s="4"/>
      <c r="P489" s="4"/>
      <c r="T489" s="4"/>
    </row>
    <row r="490">
      <c r="A490" s="4" t="s">
        <v>2116</v>
      </c>
      <c r="B490" s="4" t="s">
        <v>607</v>
      </c>
      <c r="C490" s="6" t="s">
        <v>607</v>
      </c>
      <c r="D490" s="6" t="s">
        <v>607</v>
      </c>
      <c r="E490" s="6" t="s">
        <v>607</v>
      </c>
      <c r="F490" s="6" t="s">
        <v>607</v>
      </c>
      <c r="G490" s="4" t="s">
        <v>607</v>
      </c>
      <c r="H490" s="4" t="s">
        <v>607</v>
      </c>
      <c r="I490" s="4" t="s">
        <v>607</v>
      </c>
      <c r="J490" s="4" t="s">
        <v>607</v>
      </c>
      <c r="K490" s="4" t="s">
        <v>607</v>
      </c>
      <c r="L490" s="4" t="s">
        <v>607</v>
      </c>
      <c r="M490" s="4" t="s">
        <v>607</v>
      </c>
      <c r="N490" s="4" t="s">
        <v>607</v>
      </c>
      <c r="O490" s="4"/>
      <c r="P490" s="4"/>
      <c r="T490" s="4"/>
    </row>
    <row r="491">
      <c r="A491" s="4" t="s">
        <v>2117</v>
      </c>
      <c r="B491" s="4" t="s">
        <v>607</v>
      </c>
      <c r="C491" s="6" t="s">
        <v>607</v>
      </c>
      <c r="D491" s="6" t="s">
        <v>607</v>
      </c>
      <c r="E491" s="6" t="s">
        <v>607</v>
      </c>
      <c r="F491" s="6" t="s">
        <v>607</v>
      </c>
      <c r="G491" s="4" t="s">
        <v>607</v>
      </c>
      <c r="H491" s="4" t="s">
        <v>607</v>
      </c>
      <c r="I491" s="4" t="s">
        <v>607</v>
      </c>
      <c r="J491" s="4" t="s">
        <v>607</v>
      </c>
      <c r="K491" s="4" t="s">
        <v>607</v>
      </c>
      <c r="L491" s="4" t="s">
        <v>607</v>
      </c>
      <c r="M491" s="4" t="s">
        <v>607</v>
      </c>
      <c r="N491" s="4" t="s">
        <v>607</v>
      </c>
      <c r="O491" s="4"/>
      <c r="P491" s="4"/>
      <c r="T491" s="4"/>
    </row>
    <row r="492">
      <c r="A492" s="4" t="s">
        <v>2123</v>
      </c>
      <c r="B492" s="4" t="s">
        <v>607</v>
      </c>
      <c r="C492" s="6" t="s">
        <v>607</v>
      </c>
      <c r="D492" s="6" t="s">
        <v>607</v>
      </c>
      <c r="E492" s="6" t="s">
        <v>607</v>
      </c>
      <c r="F492" s="6" t="s">
        <v>607</v>
      </c>
      <c r="G492" s="4" t="s">
        <v>607</v>
      </c>
      <c r="H492" s="4" t="s">
        <v>607</v>
      </c>
      <c r="I492" s="4" t="s">
        <v>607</v>
      </c>
      <c r="J492" s="4" t="s">
        <v>607</v>
      </c>
      <c r="K492" s="4" t="s">
        <v>607</v>
      </c>
      <c r="L492" s="4" t="s">
        <v>607</v>
      </c>
      <c r="M492" s="4" t="s">
        <v>607</v>
      </c>
      <c r="N492" s="4" t="s">
        <v>607</v>
      </c>
      <c r="O492" s="4"/>
      <c r="P492" s="4"/>
      <c r="T492" s="4"/>
    </row>
    <row r="493">
      <c r="A493" s="4" t="s">
        <v>2124</v>
      </c>
      <c r="B493" s="4" t="s">
        <v>607</v>
      </c>
      <c r="C493" s="6" t="s">
        <v>607</v>
      </c>
      <c r="D493" s="6" t="s">
        <v>607</v>
      </c>
      <c r="E493" s="6" t="s">
        <v>607</v>
      </c>
      <c r="F493" s="6" t="s">
        <v>607</v>
      </c>
      <c r="G493" s="4" t="s">
        <v>607</v>
      </c>
      <c r="H493" s="4" t="s">
        <v>607</v>
      </c>
      <c r="I493" s="4" t="s">
        <v>607</v>
      </c>
      <c r="J493" s="4" t="s">
        <v>607</v>
      </c>
      <c r="K493" s="4" t="s">
        <v>607</v>
      </c>
      <c r="L493" s="4" t="s">
        <v>607</v>
      </c>
      <c r="M493" s="4" t="s">
        <v>607</v>
      </c>
      <c r="N493" s="4" t="s">
        <v>607</v>
      </c>
      <c r="O493" s="4"/>
      <c r="P493" s="4"/>
      <c r="T493" s="4"/>
    </row>
    <row r="494">
      <c r="A494" s="4" t="s">
        <v>2130</v>
      </c>
      <c r="B494" s="4" t="s">
        <v>607</v>
      </c>
      <c r="C494" s="6" t="s">
        <v>607</v>
      </c>
      <c r="D494" s="6" t="s">
        <v>607</v>
      </c>
      <c r="E494" s="6" t="s">
        <v>607</v>
      </c>
      <c r="F494" s="6" t="s">
        <v>607</v>
      </c>
      <c r="G494" s="4" t="s">
        <v>607</v>
      </c>
      <c r="H494" s="4" t="s">
        <v>607</v>
      </c>
      <c r="I494" s="4" t="s">
        <v>607</v>
      </c>
      <c r="J494" s="4" t="s">
        <v>607</v>
      </c>
      <c r="K494" s="4" t="s">
        <v>607</v>
      </c>
      <c r="L494" s="4" t="s">
        <v>607</v>
      </c>
      <c r="M494" s="4" t="s">
        <v>607</v>
      </c>
      <c r="N494" s="4" t="s">
        <v>607</v>
      </c>
      <c r="O494" s="4"/>
      <c r="P494" s="4"/>
      <c r="T494" s="4"/>
    </row>
    <row r="495">
      <c r="A495" s="4" t="s">
        <v>2131</v>
      </c>
      <c r="B495" s="4" t="s">
        <v>607</v>
      </c>
      <c r="C495" s="6" t="s">
        <v>607</v>
      </c>
      <c r="D495" s="6" t="s">
        <v>607</v>
      </c>
      <c r="E495" s="6" t="s">
        <v>607</v>
      </c>
      <c r="F495" s="6" t="s">
        <v>607</v>
      </c>
      <c r="G495" s="4" t="s">
        <v>607</v>
      </c>
      <c r="H495" s="4" t="s">
        <v>607</v>
      </c>
      <c r="I495" s="4" t="s">
        <v>607</v>
      </c>
      <c r="J495" s="4" t="s">
        <v>607</v>
      </c>
      <c r="K495" s="4" t="s">
        <v>607</v>
      </c>
      <c r="L495" s="4" t="s">
        <v>607</v>
      </c>
      <c r="M495" s="4" t="s">
        <v>607</v>
      </c>
      <c r="N495" s="4" t="s">
        <v>607</v>
      </c>
      <c r="O495" s="4"/>
      <c r="P495" s="4"/>
      <c r="T495" s="4"/>
    </row>
    <row r="496">
      <c r="A496" s="4" t="s">
        <v>2139</v>
      </c>
      <c r="B496" s="4" t="s">
        <v>607</v>
      </c>
      <c r="C496" s="6" t="s">
        <v>607</v>
      </c>
      <c r="D496" s="6" t="s">
        <v>607</v>
      </c>
      <c r="E496" s="6" t="s">
        <v>607</v>
      </c>
      <c r="F496" s="6" t="s">
        <v>607</v>
      </c>
      <c r="G496" s="4" t="s">
        <v>607</v>
      </c>
      <c r="H496" s="4" t="s">
        <v>607</v>
      </c>
      <c r="I496" s="4" t="s">
        <v>607</v>
      </c>
      <c r="J496" s="4" t="s">
        <v>607</v>
      </c>
      <c r="K496" s="4" t="s">
        <v>607</v>
      </c>
      <c r="L496" s="4" t="s">
        <v>607</v>
      </c>
      <c r="M496" s="4" t="s">
        <v>607</v>
      </c>
      <c r="N496" s="4" t="s">
        <v>607</v>
      </c>
      <c r="O496" s="4"/>
      <c r="P496" s="4"/>
      <c r="T496" s="4"/>
    </row>
    <row r="497">
      <c r="A497" s="4" t="s">
        <v>2141</v>
      </c>
      <c r="B497" s="4" t="s">
        <v>607</v>
      </c>
      <c r="C497" s="6" t="s">
        <v>607</v>
      </c>
      <c r="D497" s="6" t="s">
        <v>607</v>
      </c>
      <c r="E497" s="6" t="s">
        <v>607</v>
      </c>
      <c r="F497" s="6" t="s">
        <v>607</v>
      </c>
      <c r="G497" s="4" t="s">
        <v>607</v>
      </c>
      <c r="H497" s="4" t="s">
        <v>607</v>
      </c>
      <c r="I497" s="4" t="s">
        <v>607</v>
      </c>
      <c r="J497" s="4" t="s">
        <v>607</v>
      </c>
      <c r="K497" s="4" t="s">
        <v>607</v>
      </c>
      <c r="L497" s="4" t="s">
        <v>607</v>
      </c>
      <c r="M497" s="4" t="s">
        <v>607</v>
      </c>
      <c r="N497" s="4" t="s">
        <v>607</v>
      </c>
      <c r="O497" s="4"/>
      <c r="P497" s="4"/>
      <c r="T497" s="4"/>
    </row>
    <row r="498">
      <c r="A498" s="4" t="s">
        <v>2148</v>
      </c>
      <c r="B498" s="4" t="s">
        <v>607</v>
      </c>
      <c r="C498" s="6" t="s">
        <v>607</v>
      </c>
      <c r="D498" s="6" t="s">
        <v>607</v>
      </c>
      <c r="E498" s="6" t="s">
        <v>607</v>
      </c>
      <c r="F498" s="6" t="s">
        <v>607</v>
      </c>
      <c r="G498" s="4" t="s">
        <v>607</v>
      </c>
      <c r="H498" s="4" t="s">
        <v>607</v>
      </c>
      <c r="I498" s="4" t="s">
        <v>607</v>
      </c>
      <c r="J498" s="4" t="s">
        <v>607</v>
      </c>
      <c r="K498" s="4" t="s">
        <v>607</v>
      </c>
      <c r="L498" s="4" t="s">
        <v>607</v>
      </c>
      <c r="M498" s="4" t="s">
        <v>607</v>
      </c>
      <c r="N498" s="4" t="s">
        <v>607</v>
      </c>
      <c r="O498" s="4"/>
      <c r="P498" s="4"/>
      <c r="T498" s="4"/>
    </row>
    <row r="499">
      <c r="A499" s="4" t="s">
        <v>2153</v>
      </c>
      <c r="B499" s="4" t="s">
        <v>607</v>
      </c>
      <c r="C499" s="6" t="s">
        <v>607</v>
      </c>
      <c r="D499" s="6" t="s">
        <v>607</v>
      </c>
      <c r="E499" s="6" t="s">
        <v>607</v>
      </c>
      <c r="F499" s="6" t="s">
        <v>607</v>
      </c>
      <c r="G499" s="4" t="s">
        <v>607</v>
      </c>
      <c r="H499" s="4" t="s">
        <v>607</v>
      </c>
      <c r="I499" s="4" t="s">
        <v>607</v>
      </c>
      <c r="J499" s="4" t="s">
        <v>607</v>
      </c>
      <c r="K499" s="4" t="s">
        <v>607</v>
      </c>
      <c r="L499" s="4" t="s">
        <v>607</v>
      </c>
      <c r="M499" s="4" t="s">
        <v>607</v>
      </c>
      <c r="N499" s="4" t="s">
        <v>607</v>
      </c>
      <c r="O499" s="4"/>
      <c r="P499" s="4"/>
      <c r="T499" s="4"/>
    </row>
    <row r="500">
      <c r="A500" s="4" t="s">
        <v>2154</v>
      </c>
      <c r="B500" s="4" t="s">
        <v>607</v>
      </c>
      <c r="C500" s="6" t="s">
        <v>607</v>
      </c>
      <c r="D500" s="6" t="s">
        <v>607</v>
      </c>
      <c r="E500" s="6" t="s">
        <v>607</v>
      </c>
      <c r="F500" s="6" t="s">
        <v>607</v>
      </c>
      <c r="G500" s="4" t="s">
        <v>607</v>
      </c>
      <c r="H500" s="4" t="s">
        <v>607</v>
      </c>
      <c r="I500" s="4" t="s">
        <v>607</v>
      </c>
      <c r="J500" s="4" t="s">
        <v>607</v>
      </c>
      <c r="K500" s="4" t="s">
        <v>607</v>
      </c>
      <c r="L500" s="4" t="s">
        <v>607</v>
      </c>
      <c r="M500" s="4" t="s">
        <v>607</v>
      </c>
      <c r="N500" s="4" t="s">
        <v>607</v>
      </c>
      <c r="O500" s="4"/>
      <c r="P500" s="4"/>
      <c r="T500" s="4"/>
    </row>
    <row r="501">
      <c r="A501" s="4" t="s">
        <v>2157</v>
      </c>
      <c r="B501" s="4" t="s">
        <v>607</v>
      </c>
      <c r="C501" s="6" t="s">
        <v>607</v>
      </c>
      <c r="D501" s="6" t="s">
        <v>607</v>
      </c>
      <c r="E501" s="6" t="s">
        <v>607</v>
      </c>
      <c r="F501" s="6" t="s">
        <v>607</v>
      </c>
      <c r="G501" s="4" t="s">
        <v>607</v>
      </c>
      <c r="H501" s="4" t="s">
        <v>607</v>
      </c>
      <c r="I501" s="4" t="s">
        <v>607</v>
      </c>
      <c r="J501" s="4" t="s">
        <v>607</v>
      </c>
      <c r="K501" s="4" t="s">
        <v>607</v>
      </c>
      <c r="L501" s="4" t="s">
        <v>607</v>
      </c>
      <c r="M501" s="4" t="s">
        <v>607</v>
      </c>
      <c r="N501" s="4" t="s">
        <v>607</v>
      </c>
      <c r="O501" s="4"/>
      <c r="P501" s="4"/>
      <c r="T501" s="4"/>
    </row>
    <row r="502">
      <c r="A502" s="4" t="s">
        <v>2158</v>
      </c>
      <c r="B502" s="4" t="s">
        <v>607</v>
      </c>
      <c r="C502" s="6" t="s">
        <v>607</v>
      </c>
      <c r="D502" s="6" t="s">
        <v>607</v>
      </c>
      <c r="E502" s="6" t="s">
        <v>607</v>
      </c>
      <c r="F502" s="6" t="s">
        <v>607</v>
      </c>
      <c r="G502" s="4" t="s">
        <v>607</v>
      </c>
      <c r="H502" s="4" t="s">
        <v>607</v>
      </c>
      <c r="I502" s="4" t="s">
        <v>607</v>
      </c>
      <c r="J502" s="4" t="s">
        <v>607</v>
      </c>
      <c r="K502" s="4" t="s">
        <v>607</v>
      </c>
      <c r="L502" s="4" t="s">
        <v>607</v>
      </c>
      <c r="M502" s="4" t="s">
        <v>607</v>
      </c>
      <c r="N502" s="4" t="s">
        <v>607</v>
      </c>
      <c r="O502" s="4"/>
      <c r="P502" s="4"/>
      <c r="T502" s="4"/>
    </row>
    <row r="503">
      <c r="A503" s="4" t="s">
        <v>2164</v>
      </c>
      <c r="B503" s="4" t="s">
        <v>607</v>
      </c>
      <c r="C503" s="6" t="s">
        <v>607</v>
      </c>
      <c r="D503" s="6" t="s">
        <v>607</v>
      </c>
      <c r="E503" s="6" t="s">
        <v>607</v>
      </c>
      <c r="F503" s="6" t="s">
        <v>607</v>
      </c>
      <c r="G503" s="4" t="s">
        <v>607</v>
      </c>
      <c r="H503" s="4" t="s">
        <v>607</v>
      </c>
      <c r="I503" s="4" t="s">
        <v>607</v>
      </c>
      <c r="J503" s="4" t="s">
        <v>607</v>
      </c>
      <c r="K503" s="4" t="s">
        <v>607</v>
      </c>
      <c r="L503" s="4" t="s">
        <v>607</v>
      </c>
      <c r="M503" s="4" t="s">
        <v>607</v>
      </c>
      <c r="N503" s="4" t="s">
        <v>607</v>
      </c>
      <c r="O503" s="4"/>
      <c r="P503" s="4"/>
      <c r="T503" s="4"/>
    </row>
    <row r="504">
      <c r="A504" s="4" t="s">
        <v>2165</v>
      </c>
      <c r="B504" s="4" t="s">
        <v>607</v>
      </c>
      <c r="C504" s="6" t="s">
        <v>607</v>
      </c>
      <c r="D504" s="6" t="s">
        <v>607</v>
      </c>
      <c r="E504" s="6" t="s">
        <v>607</v>
      </c>
      <c r="F504" s="6" t="s">
        <v>607</v>
      </c>
      <c r="G504" s="4" t="s">
        <v>607</v>
      </c>
      <c r="H504" s="4" t="s">
        <v>607</v>
      </c>
      <c r="I504" s="4" t="s">
        <v>607</v>
      </c>
      <c r="J504" s="4" t="s">
        <v>607</v>
      </c>
      <c r="K504" s="4" t="s">
        <v>607</v>
      </c>
      <c r="L504" s="4" t="s">
        <v>607</v>
      </c>
      <c r="M504" s="4" t="s">
        <v>607</v>
      </c>
      <c r="N504" s="4" t="s">
        <v>607</v>
      </c>
      <c r="O504" s="4"/>
      <c r="P504" s="4"/>
      <c r="T504" s="4"/>
    </row>
    <row r="505">
      <c r="A505" s="4" t="s">
        <v>2168</v>
      </c>
      <c r="B505" s="4" t="s">
        <v>607</v>
      </c>
      <c r="C505" s="6" t="s">
        <v>607</v>
      </c>
      <c r="D505" s="6" t="s">
        <v>607</v>
      </c>
      <c r="E505" s="6" t="s">
        <v>607</v>
      </c>
      <c r="F505" s="6" t="s">
        <v>607</v>
      </c>
      <c r="G505" s="4" t="s">
        <v>607</v>
      </c>
      <c r="H505" s="4" t="s">
        <v>607</v>
      </c>
      <c r="I505" s="4" t="s">
        <v>607</v>
      </c>
      <c r="J505" s="4" t="s">
        <v>607</v>
      </c>
      <c r="K505" s="4" t="s">
        <v>607</v>
      </c>
      <c r="L505" s="4" t="s">
        <v>607</v>
      </c>
      <c r="M505" s="4" t="s">
        <v>607</v>
      </c>
      <c r="N505" s="4" t="s">
        <v>607</v>
      </c>
      <c r="O505" s="4"/>
      <c r="P505" s="4"/>
      <c r="T505" s="4"/>
    </row>
    <row r="506">
      <c r="A506" s="4" t="s">
        <v>2169</v>
      </c>
      <c r="B506" s="4" t="s">
        <v>607</v>
      </c>
      <c r="C506" s="6" t="s">
        <v>607</v>
      </c>
      <c r="D506" s="6" t="s">
        <v>607</v>
      </c>
      <c r="E506" s="6" t="s">
        <v>607</v>
      </c>
      <c r="F506" s="6" t="s">
        <v>607</v>
      </c>
      <c r="G506" s="4" t="s">
        <v>607</v>
      </c>
      <c r="H506" s="4" t="s">
        <v>607</v>
      </c>
      <c r="I506" s="4" t="s">
        <v>607</v>
      </c>
      <c r="J506" s="4" t="s">
        <v>607</v>
      </c>
      <c r="K506" s="4" t="s">
        <v>607</v>
      </c>
      <c r="L506" s="4" t="s">
        <v>607</v>
      </c>
      <c r="M506" s="4" t="s">
        <v>607</v>
      </c>
      <c r="N506" s="4" t="s">
        <v>607</v>
      </c>
      <c r="O506" s="4"/>
      <c r="P506" s="4"/>
      <c r="T506" s="4"/>
    </row>
    <row r="507">
      <c r="A507" s="4" t="s">
        <v>2180</v>
      </c>
      <c r="B507" s="4" t="s">
        <v>607</v>
      </c>
      <c r="C507" s="6" t="s">
        <v>607</v>
      </c>
      <c r="D507" s="6" t="s">
        <v>607</v>
      </c>
      <c r="E507" s="6" t="s">
        <v>607</v>
      </c>
      <c r="F507" s="6" t="s">
        <v>607</v>
      </c>
      <c r="G507" s="4" t="s">
        <v>607</v>
      </c>
      <c r="H507" s="4" t="s">
        <v>607</v>
      </c>
      <c r="I507" s="4" t="s">
        <v>607</v>
      </c>
      <c r="J507" s="4" t="s">
        <v>607</v>
      </c>
      <c r="K507" s="4" t="s">
        <v>607</v>
      </c>
      <c r="L507" s="4" t="s">
        <v>607</v>
      </c>
      <c r="M507" s="4" t="s">
        <v>607</v>
      </c>
      <c r="N507" s="4" t="s">
        <v>607</v>
      </c>
      <c r="O507" s="4"/>
      <c r="P507" s="4"/>
      <c r="T507" s="4"/>
    </row>
    <row r="508">
      <c r="A508" s="4" t="s">
        <v>2181</v>
      </c>
      <c r="B508" s="4" t="s">
        <v>607</v>
      </c>
      <c r="C508" s="6" t="s">
        <v>607</v>
      </c>
      <c r="D508" s="6" t="s">
        <v>607</v>
      </c>
      <c r="E508" s="6" t="s">
        <v>607</v>
      </c>
      <c r="F508" s="6" t="s">
        <v>607</v>
      </c>
      <c r="G508" s="4" t="s">
        <v>607</v>
      </c>
      <c r="H508" s="4" t="s">
        <v>607</v>
      </c>
      <c r="I508" s="4" t="s">
        <v>607</v>
      </c>
      <c r="J508" s="4" t="s">
        <v>607</v>
      </c>
      <c r="K508" s="4" t="s">
        <v>607</v>
      </c>
      <c r="L508" s="4" t="s">
        <v>607</v>
      </c>
      <c r="M508" s="4" t="s">
        <v>607</v>
      </c>
      <c r="N508" s="4" t="s">
        <v>607</v>
      </c>
      <c r="O508" s="4"/>
      <c r="P508" s="4"/>
      <c r="T508" s="4"/>
    </row>
    <row r="509">
      <c r="A509" s="4" t="s">
        <v>2184</v>
      </c>
      <c r="B509" s="4" t="s">
        <v>607</v>
      </c>
      <c r="C509" s="6" t="s">
        <v>607</v>
      </c>
      <c r="D509" s="6" t="s">
        <v>607</v>
      </c>
      <c r="E509" s="6" t="s">
        <v>607</v>
      </c>
      <c r="F509" s="6" t="s">
        <v>607</v>
      </c>
      <c r="G509" s="4" t="s">
        <v>607</v>
      </c>
      <c r="H509" s="4" t="s">
        <v>607</v>
      </c>
      <c r="I509" s="4" t="s">
        <v>607</v>
      </c>
      <c r="J509" s="4" t="s">
        <v>607</v>
      </c>
      <c r="K509" s="4" t="s">
        <v>607</v>
      </c>
      <c r="L509" s="4" t="s">
        <v>607</v>
      </c>
      <c r="M509" s="4" t="s">
        <v>607</v>
      </c>
      <c r="N509" s="4" t="s">
        <v>607</v>
      </c>
      <c r="O509" s="4"/>
      <c r="P509" s="4"/>
      <c r="T509" s="4"/>
    </row>
    <row r="510">
      <c r="A510" s="4" t="s">
        <v>2190</v>
      </c>
      <c r="B510" s="4" t="s">
        <v>607</v>
      </c>
      <c r="C510" s="6" t="s">
        <v>607</v>
      </c>
      <c r="D510" s="6" t="s">
        <v>607</v>
      </c>
      <c r="E510" s="6" t="s">
        <v>607</v>
      </c>
      <c r="F510" s="6" t="s">
        <v>607</v>
      </c>
      <c r="G510" s="4" t="s">
        <v>607</v>
      </c>
      <c r="H510" s="4" t="s">
        <v>607</v>
      </c>
      <c r="I510" s="4" t="s">
        <v>607</v>
      </c>
      <c r="J510" s="4" t="s">
        <v>607</v>
      </c>
      <c r="K510" s="4" t="s">
        <v>607</v>
      </c>
      <c r="L510" s="4" t="s">
        <v>607</v>
      </c>
      <c r="M510" s="4" t="s">
        <v>607</v>
      </c>
      <c r="N510" s="4" t="s">
        <v>607</v>
      </c>
      <c r="O510" s="4"/>
      <c r="P510" s="4"/>
      <c r="T510" s="4"/>
    </row>
    <row r="511">
      <c r="A511" s="4" t="s">
        <v>2193</v>
      </c>
      <c r="B511" s="4" t="s">
        <v>607</v>
      </c>
      <c r="C511" s="6" t="s">
        <v>607</v>
      </c>
      <c r="D511" s="6" t="s">
        <v>607</v>
      </c>
      <c r="E511" s="6" t="s">
        <v>607</v>
      </c>
      <c r="F511" s="6" t="s">
        <v>607</v>
      </c>
      <c r="G511" s="4" t="s">
        <v>607</v>
      </c>
      <c r="H511" s="4" t="s">
        <v>607</v>
      </c>
      <c r="I511" s="4" t="s">
        <v>607</v>
      </c>
      <c r="J511" s="4" t="s">
        <v>607</v>
      </c>
      <c r="K511" s="4" t="s">
        <v>607</v>
      </c>
      <c r="L511" s="4" t="s">
        <v>607</v>
      </c>
      <c r="M511" s="4" t="s">
        <v>607</v>
      </c>
      <c r="N511" s="4" t="s">
        <v>607</v>
      </c>
      <c r="O511" s="4"/>
      <c r="P511" s="4"/>
      <c r="T511" s="4"/>
    </row>
    <row r="512">
      <c r="A512" s="4" t="s">
        <v>2194</v>
      </c>
      <c r="B512" s="4" t="s">
        <v>607</v>
      </c>
      <c r="C512" s="6" t="s">
        <v>607</v>
      </c>
      <c r="D512" s="6" t="s">
        <v>607</v>
      </c>
      <c r="E512" s="6" t="s">
        <v>607</v>
      </c>
      <c r="F512" s="6" t="s">
        <v>607</v>
      </c>
      <c r="G512" s="4" t="s">
        <v>607</v>
      </c>
      <c r="H512" s="4" t="s">
        <v>607</v>
      </c>
      <c r="I512" s="4" t="s">
        <v>607</v>
      </c>
      <c r="J512" s="4" t="s">
        <v>607</v>
      </c>
      <c r="K512" s="4" t="s">
        <v>607</v>
      </c>
      <c r="L512" s="4" t="s">
        <v>607</v>
      </c>
      <c r="M512" s="4" t="s">
        <v>607</v>
      </c>
      <c r="N512" s="4" t="s">
        <v>607</v>
      </c>
      <c r="O512" s="4"/>
      <c r="P512" s="4"/>
      <c r="T512" s="4"/>
    </row>
    <row r="513">
      <c r="A513" s="4" t="s">
        <v>2203</v>
      </c>
      <c r="B513" s="4" t="s">
        <v>607</v>
      </c>
      <c r="C513" s="6" t="s">
        <v>607</v>
      </c>
      <c r="D513" s="6" t="s">
        <v>607</v>
      </c>
      <c r="E513" s="6" t="s">
        <v>607</v>
      </c>
      <c r="F513" s="6" t="s">
        <v>607</v>
      </c>
      <c r="G513" s="4" t="s">
        <v>607</v>
      </c>
      <c r="H513" s="4" t="s">
        <v>607</v>
      </c>
      <c r="I513" s="4" t="s">
        <v>607</v>
      </c>
      <c r="J513" s="4" t="s">
        <v>607</v>
      </c>
      <c r="K513" s="4" t="s">
        <v>607</v>
      </c>
      <c r="L513" s="4" t="s">
        <v>607</v>
      </c>
      <c r="M513" s="4" t="s">
        <v>607</v>
      </c>
      <c r="N513" s="4" t="s">
        <v>607</v>
      </c>
      <c r="O513" s="4"/>
      <c r="P513" s="4"/>
      <c r="T513" s="4"/>
    </row>
    <row r="514">
      <c r="A514" s="4" t="s">
        <v>2205</v>
      </c>
      <c r="B514" s="4" t="s">
        <v>607</v>
      </c>
      <c r="C514" s="6" t="s">
        <v>607</v>
      </c>
      <c r="D514" s="6" t="s">
        <v>607</v>
      </c>
      <c r="E514" s="6" t="s">
        <v>607</v>
      </c>
      <c r="F514" s="6" t="s">
        <v>607</v>
      </c>
      <c r="G514" s="4" t="s">
        <v>607</v>
      </c>
      <c r="H514" s="4" t="s">
        <v>607</v>
      </c>
      <c r="I514" s="4" t="s">
        <v>607</v>
      </c>
      <c r="J514" s="4" t="s">
        <v>607</v>
      </c>
      <c r="K514" s="4" t="s">
        <v>607</v>
      </c>
      <c r="L514" s="4" t="s">
        <v>607</v>
      </c>
      <c r="M514" s="4" t="s">
        <v>607</v>
      </c>
      <c r="N514" s="4" t="s">
        <v>607</v>
      </c>
      <c r="O514" s="4"/>
      <c r="P514" s="4"/>
      <c r="T514" s="4"/>
    </row>
    <row r="515">
      <c r="A515" s="4" t="s">
        <v>2208</v>
      </c>
      <c r="B515" s="4" t="s">
        <v>607</v>
      </c>
      <c r="C515" s="6" t="s">
        <v>607</v>
      </c>
      <c r="D515" s="6" t="s">
        <v>607</v>
      </c>
      <c r="E515" s="6" t="s">
        <v>607</v>
      </c>
      <c r="F515" s="6" t="s">
        <v>607</v>
      </c>
      <c r="G515" s="4" t="s">
        <v>607</v>
      </c>
      <c r="H515" s="4" t="s">
        <v>607</v>
      </c>
      <c r="I515" s="4" t="s">
        <v>607</v>
      </c>
      <c r="J515" s="4" t="s">
        <v>607</v>
      </c>
      <c r="K515" s="4" t="s">
        <v>607</v>
      </c>
      <c r="L515" s="4" t="s">
        <v>607</v>
      </c>
      <c r="M515" s="4" t="s">
        <v>607</v>
      </c>
      <c r="N515" s="4" t="s">
        <v>607</v>
      </c>
      <c r="O515" s="4"/>
      <c r="P515" s="4"/>
      <c r="T515" s="4"/>
    </row>
    <row r="516">
      <c r="A516" s="4" t="s">
        <v>2209</v>
      </c>
      <c r="B516" s="4" t="s">
        <v>607</v>
      </c>
      <c r="C516" s="6" t="s">
        <v>607</v>
      </c>
      <c r="D516" s="6" t="s">
        <v>607</v>
      </c>
      <c r="E516" s="6" t="s">
        <v>607</v>
      </c>
      <c r="F516" s="6" t="s">
        <v>607</v>
      </c>
      <c r="G516" s="4" t="s">
        <v>607</v>
      </c>
      <c r="H516" s="4" t="s">
        <v>607</v>
      </c>
      <c r="I516" s="4" t="s">
        <v>607</v>
      </c>
      <c r="J516" s="4" t="s">
        <v>607</v>
      </c>
      <c r="K516" s="4" t="s">
        <v>607</v>
      </c>
      <c r="L516" s="4" t="s">
        <v>607</v>
      </c>
      <c r="M516" s="4" t="s">
        <v>607</v>
      </c>
      <c r="N516" s="4" t="s">
        <v>607</v>
      </c>
      <c r="O516" s="4"/>
      <c r="P516" s="4"/>
      <c r="T516" s="4"/>
    </row>
    <row r="517">
      <c r="A517" s="4" t="s">
        <v>2212</v>
      </c>
      <c r="B517" s="4" t="s">
        <v>607</v>
      </c>
      <c r="C517" s="6" t="s">
        <v>607</v>
      </c>
      <c r="D517" s="6" t="s">
        <v>607</v>
      </c>
      <c r="E517" s="6" t="s">
        <v>607</v>
      </c>
      <c r="F517" s="6" t="s">
        <v>607</v>
      </c>
      <c r="G517" s="4" t="s">
        <v>607</v>
      </c>
      <c r="H517" s="4" t="s">
        <v>607</v>
      </c>
      <c r="I517" s="4" t="s">
        <v>607</v>
      </c>
      <c r="J517" s="4" t="s">
        <v>607</v>
      </c>
      <c r="K517" s="4" t="s">
        <v>607</v>
      </c>
      <c r="L517" s="4" t="s">
        <v>607</v>
      </c>
      <c r="M517" s="4" t="s">
        <v>607</v>
      </c>
      <c r="N517" s="4" t="s">
        <v>607</v>
      </c>
      <c r="O517" s="4"/>
      <c r="P517" s="4"/>
      <c r="T517" s="4"/>
    </row>
    <row r="518">
      <c r="A518" s="4" t="s">
        <v>2219</v>
      </c>
      <c r="B518" s="4" t="s">
        <v>607</v>
      </c>
      <c r="C518" s="6" t="s">
        <v>607</v>
      </c>
      <c r="D518" s="6" t="s">
        <v>607</v>
      </c>
      <c r="E518" s="6" t="s">
        <v>607</v>
      </c>
      <c r="F518" s="6" t="s">
        <v>607</v>
      </c>
      <c r="G518" s="4" t="s">
        <v>607</v>
      </c>
      <c r="H518" s="4" t="s">
        <v>607</v>
      </c>
      <c r="I518" s="4" t="s">
        <v>607</v>
      </c>
      <c r="J518" s="4" t="s">
        <v>607</v>
      </c>
      <c r="K518" s="4" t="s">
        <v>607</v>
      </c>
      <c r="L518" s="4" t="s">
        <v>607</v>
      </c>
      <c r="M518" s="4" t="s">
        <v>607</v>
      </c>
      <c r="N518" s="4" t="s">
        <v>607</v>
      </c>
      <c r="O518" s="4"/>
      <c r="P518" s="4"/>
      <c r="T518" s="4"/>
    </row>
    <row r="519">
      <c r="A519" s="4" t="s">
        <v>2220</v>
      </c>
      <c r="B519" s="4" t="s">
        <v>607</v>
      </c>
      <c r="C519" s="6" t="s">
        <v>607</v>
      </c>
      <c r="D519" s="6" t="s">
        <v>607</v>
      </c>
      <c r="E519" s="6" t="s">
        <v>607</v>
      </c>
      <c r="F519" s="6" t="s">
        <v>607</v>
      </c>
      <c r="G519" s="4" t="s">
        <v>607</v>
      </c>
      <c r="H519" s="4" t="s">
        <v>607</v>
      </c>
      <c r="I519" s="4" t="s">
        <v>607</v>
      </c>
      <c r="J519" s="4" t="s">
        <v>607</v>
      </c>
      <c r="K519" s="4" t="s">
        <v>607</v>
      </c>
      <c r="L519" s="4" t="s">
        <v>607</v>
      </c>
      <c r="M519" s="4" t="s">
        <v>607</v>
      </c>
      <c r="N519" s="4" t="s">
        <v>607</v>
      </c>
      <c r="O519" s="4"/>
      <c r="P519" s="4"/>
      <c r="T519" s="4"/>
    </row>
    <row r="520">
      <c r="A520" s="4" t="s">
        <v>2225</v>
      </c>
      <c r="B520" s="4" t="s">
        <v>607</v>
      </c>
      <c r="C520" s="6" t="s">
        <v>607</v>
      </c>
      <c r="D520" s="6" t="s">
        <v>607</v>
      </c>
      <c r="E520" s="6" t="s">
        <v>607</v>
      </c>
      <c r="F520" s="6" t="s">
        <v>607</v>
      </c>
      <c r="G520" s="4" t="s">
        <v>607</v>
      </c>
      <c r="H520" s="4" t="s">
        <v>607</v>
      </c>
      <c r="I520" s="4" t="s">
        <v>607</v>
      </c>
      <c r="J520" s="4" t="s">
        <v>607</v>
      </c>
      <c r="K520" s="4" t="s">
        <v>607</v>
      </c>
      <c r="L520" s="4" t="s">
        <v>607</v>
      </c>
      <c r="M520" s="4" t="s">
        <v>607</v>
      </c>
      <c r="N520" s="4" t="s">
        <v>607</v>
      </c>
      <c r="O520" s="4"/>
      <c r="P520" s="4"/>
      <c r="T520" s="4"/>
    </row>
    <row r="521">
      <c r="A521" s="4" t="s">
        <v>2226</v>
      </c>
      <c r="B521" s="4" t="s">
        <v>607</v>
      </c>
      <c r="C521" s="6" t="s">
        <v>607</v>
      </c>
      <c r="D521" s="6" t="s">
        <v>607</v>
      </c>
      <c r="E521" s="6" t="s">
        <v>607</v>
      </c>
      <c r="F521" s="6" t="s">
        <v>607</v>
      </c>
      <c r="G521" s="4" t="s">
        <v>607</v>
      </c>
      <c r="H521" s="4" t="s">
        <v>607</v>
      </c>
      <c r="I521" s="4" t="s">
        <v>607</v>
      </c>
      <c r="J521" s="4" t="s">
        <v>607</v>
      </c>
      <c r="K521" s="4" t="s">
        <v>607</v>
      </c>
      <c r="L521" s="4" t="s">
        <v>607</v>
      </c>
      <c r="M521" s="4" t="s">
        <v>607</v>
      </c>
      <c r="N521" s="4" t="s">
        <v>607</v>
      </c>
      <c r="O521" s="4"/>
      <c r="P521" s="4"/>
      <c r="T521" s="4"/>
    </row>
    <row r="522">
      <c r="A522" s="4" t="s">
        <v>2229</v>
      </c>
      <c r="B522" s="4" t="s">
        <v>607</v>
      </c>
      <c r="C522" s="6" t="s">
        <v>607</v>
      </c>
      <c r="D522" s="6" t="s">
        <v>607</v>
      </c>
      <c r="E522" s="6" t="s">
        <v>607</v>
      </c>
      <c r="F522" s="6" t="s">
        <v>607</v>
      </c>
      <c r="G522" s="4" t="s">
        <v>607</v>
      </c>
      <c r="H522" s="4" t="s">
        <v>607</v>
      </c>
      <c r="I522" s="4" t="s">
        <v>607</v>
      </c>
      <c r="J522" s="4" t="s">
        <v>607</v>
      </c>
      <c r="K522" s="4" t="s">
        <v>607</v>
      </c>
      <c r="L522" s="4" t="s">
        <v>607</v>
      </c>
      <c r="M522" s="4" t="s">
        <v>607</v>
      </c>
      <c r="N522" s="4" t="s">
        <v>607</v>
      </c>
      <c r="O522" s="4"/>
      <c r="P522" s="4"/>
      <c r="T522" s="4"/>
    </row>
    <row r="523">
      <c r="A523" s="4" t="s">
        <v>2233</v>
      </c>
      <c r="B523" s="4" t="s">
        <v>607</v>
      </c>
      <c r="C523" s="6" t="s">
        <v>607</v>
      </c>
      <c r="D523" s="6" t="s">
        <v>607</v>
      </c>
      <c r="E523" s="6" t="s">
        <v>607</v>
      </c>
      <c r="F523" s="6" t="s">
        <v>607</v>
      </c>
      <c r="G523" s="4" t="s">
        <v>607</v>
      </c>
      <c r="H523" s="4" t="s">
        <v>607</v>
      </c>
      <c r="I523" s="4" t="s">
        <v>607</v>
      </c>
      <c r="J523" s="4" t="s">
        <v>607</v>
      </c>
      <c r="K523" s="4" t="s">
        <v>607</v>
      </c>
      <c r="L523" s="4" t="s">
        <v>607</v>
      </c>
      <c r="M523" s="4" t="s">
        <v>607</v>
      </c>
      <c r="N523" s="4" t="s">
        <v>607</v>
      </c>
      <c r="O523" s="4"/>
      <c r="P523" s="4"/>
      <c r="T523" s="4"/>
    </row>
    <row r="524">
      <c r="A524" s="4" t="s">
        <v>2239</v>
      </c>
      <c r="B524" s="4" t="s">
        <v>607</v>
      </c>
      <c r="C524" s="6" t="s">
        <v>607</v>
      </c>
      <c r="D524" s="6" t="s">
        <v>607</v>
      </c>
      <c r="E524" s="6" t="s">
        <v>607</v>
      </c>
      <c r="F524" s="6" t="s">
        <v>607</v>
      </c>
      <c r="G524" s="4" t="s">
        <v>607</v>
      </c>
      <c r="H524" s="4" t="s">
        <v>607</v>
      </c>
      <c r="I524" s="4" t="s">
        <v>607</v>
      </c>
      <c r="J524" s="4" t="s">
        <v>607</v>
      </c>
      <c r="K524" s="4" t="s">
        <v>607</v>
      </c>
      <c r="L524" s="4" t="s">
        <v>607</v>
      </c>
      <c r="M524" s="4" t="s">
        <v>607</v>
      </c>
      <c r="N524" s="4" t="s">
        <v>607</v>
      </c>
      <c r="O524" s="4"/>
      <c r="P524" s="4"/>
      <c r="T524" s="4"/>
    </row>
    <row r="525">
      <c r="A525" s="4" t="s">
        <v>2240</v>
      </c>
      <c r="B525" s="4" t="s">
        <v>607</v>
      </c>
      <c r="C525" s="6" t="s">
        <v>607</v>
      </c>
      <c r="D525" s="6" t="s">
        <v>607</v>
      </c>
      <c r="E525" s="6" t="s">
        <v>607</v>
      </c>
      <c r="F525" s="6" t="s">
        <v>607</v>
      </c>
      <c r="G525" s="4" t="s">
        <v>607</v>
      </c>
      <c r="H525" s="4" t="s">
        <v>607</v>
      </c>
      <c r="I525" s="4" t="s">
        <v>607</v>
      </c>
      <c r="J525" s="4" t="s">
        <v>607</v>
      </c>
      <c r="K525" s="4" t="s">
        <v>607</v>
      </c>
      <c r="L525" s="4" t="s">
        <v>607</v>
      </c>
      <c r="M525" s="4" t="s">
        <v>607</v>
      </c>
      <c r="N525" s="4" t="s">
        <v>607</v>
      </c>
      <c r="O525" s="4"/>
      <c r="P525" s="4"/>
      <c r="T525" s="4"/>
    </row>
    <row r="526">
      <c r="A526" s="4" t="s">
        <v>2248</v>
      </c>
      <c r="B526" s="4" t="s">
        <v>607</v>
      </c>
      <c r="C526" s="6" t="s">
        <v>607</v>
      </c>
      <c r="D526" s="6" t="s">
        <v>607</v>
      </c>
      <c r="E526" s="6" t="s">
        <v>607</v>
      </c>
      <c r="F526" s="6" t="s">
        <v>607</v>
      </c>
      <c r="G526" s="4" t="s">
        <v>607</v>
      </c>
      <c r="H526" s="4" t="s">
        <v>607</v>
      </c>
      <c r="I526" s="4" t="s">
        <v>607</v>
      </c>
      <c r="J526" s="4" t="s">
        <v>607</v>
      </c>
      <c r="K526" s="4" t="s">
        <v>607</v>
      </c>
      <c r="L526" s="4" t="s">
        <v>607</v>
      </c>
      <c r="M526" s="4" t="s">
        <v>607</v>
      </c>
      <c r="N526" s="4" t="s">
        <v>607</v>
      </c>
      <c r="O526" s="4"/>
      <c r="P526" s="4"/>
      <c r="T526" s="4"/>
    </row>
    <row r="527">
      <c r="A527" s="4" t="s">
        <v>2249</v>
      </c>
      <c r="B527" s="4" t="s">
        <v>607</v>
      </c>
      <c r="C527" s="6" t="s">
        <v>607</v>
      </c>
      <c r="D527" s="6" t="s">
        <v>607</v>
      </c>
      <c r="E527" s="6" t="s">
        <v>607</v>
      </c>
      <c r="F527" s="6" t="s">
        <v>607</v>
      </c>
      <c r="G527" s="4" t="s">
        <v>607</v>
      </c>
      <c r="H527" s="4" t="s">
        <v>607</v>
      </c>
      <c r="I527" s="4" t="s">
        <v>607</v>
      </c>
      <c r="J527" s="4" t="s">
        <v>607</v>
      </c>
      <c r="K527" s="4" t="s">
        <v>607</v>
      </c>
      <c r="L527" s="4" t="s">
        <v>607</v>
      </c>
      <c r="M527" s="4" t="s">
        <v>607</v>
      </c>
      <c r="N527" s="4" t="s">
        <v>607</v>
      </c>
      <c r="O527" s="4"/>
      <c r="P527" s="4"/>
      <c r="T527" s="4"/>
    </row>
    <row r="528">
      <c r="A528" s="4" t="s">
        <v>2256</v>
      </c>
      <c r="B528" s="4" t="s">
        <v>607</v>
      </c>
      <c r="C528" s="6" t="s">
        <v>607</v>
      </c>
      <c r="D528" s="6" t="s">
        <v>607</v>
      </c>
      <c r="E528" s="6" t="s">
        <v>607</v>
      </c>
      <c r="F528" s="6" t="s">
        <v>607</v>
      </c>
      <c r="G528" s="4" t="s">
        <v>607</v>
      </c>
      <c r="H528" s="4" t="s">
        <v>607</v>
      </c>
      <c r="I528" s="4" t="s">
        <v>607</v>
      </c>
      <c r="J528" s="4" t="s">
        <v>607</v>
      </c>
      <c r="K528" s="4" t="s">
        <v>607</v>
      </c>
      <c r="L528" s="4" t="s">
        <v>607</v>
      </c>
      <c r="M528" s="4" t="s">
        <v>607</v>
      </c>
      <c r="N528" s="4" t="s">
        <v>607</v>
      </c>
      <c r="O528" s="4"/>
      <c r="P528" s="4"/>
      <c r="T528" s="4"/>
    </row>
    <row r="529">
      <c r="A529" s="4" t="s">
        <v>2259</v>
      </c>
      <c r="B529" s="4" t="s">
        <v>607</v>
      </c>
      <c r="C529" s="6" t="s">
        <v>607</v>
      </c>
      <c r="D529" s="6" t="s">
        <v>607</v>
      </c>
      <c r="E529" s="6" t="s">
        <v>607</v>
      </c>
      <c r="F529" s="6" t="s">
        <v>607</v>
      </c>
      <c r="G529" s="4" t="s">
        <v>607</v>
      </c>
      <c r="H529" s="4" t="s">
        <v>607</v>
      </c>
      <c r="I529" s="4" t="s">
        <v>607</v>
      </c>
      <c r="J529" s="4" t="s">
        <v>607</v>
      </c>
      <c r="K529" s="4" t="s">
        <v>607</v>
      </c>
      <c r="L529" s="4" t="s">
        <v>607</v>
      </c>
      <c r="M529" s="4" t="s">
        <v>607</v>
      </c>
      <c r="N529" s="4" t="s">
        <v>607</v>
      </c>
      <c r="O529" s="4"/>
      <c r="P529" s="4"/>
      <c r="T529" s="4"/>
    </row>
    <row r="530">
      <c r="A530" s="4" t="s">
        <v>2260</v>
      </c>
      <c r="B530" s="4" t="s">
        <v>607</v>
      </c>
      <c r="C530" s="6" t="s">
        <v>607</v>
      </c>
      <c r="D530" s="6" t="s">
        <v>607</v>
      </c>
      <c r="E530" s="6" t="s">
        <v>607</v>
      </c>
      <c r="F530" s="6" t="s">
        <v>607</v>
      </c>
      <c r="G530" s="4" t="s">
        <v>607</v>
      </c>
      <c r="H530" s="4" t="s">
        <v>607</v>
      </c>
      <c r="I530" s="4" t="s">
        <v>607</v>
      </c>
      <c r="J530" s="4" t="s">
        <v>607</v>
      </c>
      <c r="K530" s="4" t="s">
        <v>607</v>
      </c>
      <c r="L530" s="4" t="s">
        <v>607</v>
      </c>
      <c r="M530" s="4" t="s">
        <v>607</v>
      </c>
      <c r="N530" s="4" t="s">
        <v>607</v>
      </c>
      <c r="O530" s="4"/>
      <c r="P530" s="4"/>
      <c r="T530" s="4"/>
    </row>
    <row r="531">
      <c r="A531" s="4" t="s">
        <v>2263</v>
      </c>
      <c r="B531" s="4" t="s">
        <v>607</v>
      </c>
      <c r="C531" s="6" t="s">
        <v>607</v>
      </c>
      <c r="D531" s="6" t="s">
        <v>607</v>
      </c>
      <c r="E531" s="6" t="s">
        <v>607</v>
      </c>
      <c r="F531" s="6" t="s">
        <v>607</v>
      </c>
      <c r="G531" s="4" t="s">
        <v>607</v>
      </c>
      <c r="H531" s="4" t="s">
        <v>607</v>
      </c>
      <c r="I531" s="4" t="s">
        <v>607</v>
      </c>
      <c r="J531" s="4" t="s">
        <v>607</v>
      </c>
      <c r="K531" s="4" t="s">
        <v>607</v>
      </c>
      <c r="L531" s="4" t="s">
        <v>607</v>
      </c>
      <c r="M531" s="4" t="s">
        <v>607</v>
      </c>
      <c r="N531" s="4" t="s">
        <v>607</v>
      </c>
      <c r="O531" s="4"/>
      <c r="P531" s="4"/>
      <c r="T531" s="4"/>
    </row>
    <row r="532">
      <c r="A532" s="4" t="s">
        <v>2264</v>
      </c>
      <c r="B532" s="4" t="s">
        <v>607</v>
      </c>
      <c r="C532" s="6" t="s">
        <v>607</v>
      </c>
      <c r="D532" s="6" t="s">
        <v>607</v>
      </c>
      <c r="E532" s="6" t="s">
        <v>607</v>
      </c>
      <c r="F532" s="6" t="s">
        <v>607</v>
      </c>
      <c r="G532" s="4" t="s">
        <v>607</v>
      </c>
      <c r="H532" s="4" t="s">
        <v>607</v>
      </c>
      <c r="I532" s="4" t="s">
        <v>607</v>
      </c>
      <c r="J532" s="4" t="s">
        <v>607</v>
      </c>
      <c r="K532" s="4" t="s">
        <v>607</v>
      </c>
      <c r="L532" s="4" t="s">
        <v>607</v>
      </c>
      <c r="M532" s="4" t="s">
        <v>607</v>
      </c>
      <c r="N532" s="4" t="s">
        <v>607</v>
      </c>
      <c r="O532" s="4"/>
      <c r="P532" s="4"/>
      <c r="T532" s="4"/>
    </row>
    <row r="533">
      <c r="A533" s="4" t="s">
        <v>2265</v>
      </c>
      <c r="B533" s="4" t="s">
        <v>607</v>
      </c>
      <c r="C533" s="6" t="s">
        <v>607</v>
      </c>
      <c r="D533" s="6" t="s">
        <v>607</v>
      </c>
      <c r="E533" s="6" t="s">
        <v>607</v>
      </c>
      <c r="F533" s="6" t="s">
        <v>607</v>
      </c>
      <c r="G533" s="4" t="s">
        <v>607</v>
      </c>
      <c r="H533" s="4" t="s">
        <v>607</v>
      </c>
      <c r="I533" s="4" t="s">
        <v>607</v>
      </c>
      <c r="J533" s="4" t="s">
        <v>607</v>
      </c>
      <c r="K533" s="4" t="s">
        <v>607</v>
      </c>
      <c r="L533" s="4" t="s">
        <v>607</v>
      </c>
      <c r="M533" s="4" t="s">
        <v>607</v>
      </c>
      <c r="N533" s="4" t="s">
        <v>607</v>
      </c>
      <c r="O533" s="4"/>
      <c r="P533" s="4"/>
      <c r="T533" s="4"/>
    </row>
    <row r="534">
      <c r="A534" s="4" t="s">
        <v>2271</v>
      </c>
      <c r="B534" s="4" t="s">
        <v>607</v>
      </c>
      <c r="C534" s="6" t="s">
        <v>607</v>
      </c>
      <c r="D534" s="6" t="s">
        <v>607</v>
      </c>
      <c r="E534" s="6" t="s">
        <v>607</v>
      </c>
      <c r="F534" s="6" t="s">
        <v>607</v>
      </c>
      <c r="G534" s="4" t="s">
        <v>607</v>
      </c>
      <c r="H534" s="4" t="s">
        <v>607</v>
      </c>
      <c r="I534" s="4" t="s">
        <v>607</v>
      </c>
      <c r="J534" s="4" t="s">
        <v>607</v>
      </c>
      <c r="K534" s="4" t="s">
        <v>607</v>
      </c>
      <c r="L534" s="4" t="s">
        <v>607</v>
      </c>
      <c r="M534" s="4" t="s">
        <v>607</v>
      </c>
      <c r="N534" s="4" t="s">
        <v>607</v>
      </c>
      <c r="O534" s="4"/>
      <c r="P534" s="4"/>
      <c r="T534" s="4"/>
    </row>
    <row r="535">
      <c r="A535" s="4" t="s">
        <v>2279</v>
      </c>
      <c r="B535" s="4" t="s">
        <v>607</v>
      </c>
      <c r="C535" s="6" t="s">
        <v>607</v>
      </c>
      <c r="D535" s="6" t="s">
        <v>607</v>
      </c>
      <c r="E535" s="6" t="s">
        <v>607</v>
      </c>
      <c r="F535" s="6" t="s">
        <v>607</v>
      </c>
      <c r="G535" s="4" t="s">
        <v>607</v>
      </c>
      <c r="H535" s="4" t="s">
        <v>607</v>
      </c>
      <c r="I535" s="4" t="s">
        <v>607</v>
      </c>
      <c r="J535" s="4" t="s">
        <v>607</v>
      </c>
      <c r="K535" s="4" t="s">
        <v>607</v>
      </c>
      <c r="L535" s="4" t="s">
        <v>607</v>
      </c>
      <c r="M535" s="4" t="s">
        <v>607</v>
      </c>
      <c r="N535" s="4" t="s">
        <v>607</v>
      </c>
      <c r="O535" s="4"/>
      <c r="P535" s="4"/>
      <c r="T535" s="4"/>
    </row>
    <row r="536">
      <c r="A536" s="4" t="s">
        <v>2283</v>
      </c>
      <c r="B536" s="4" t="s">
        <v>607</v>
      </c>
      <c r="C536" s="6" t="s">
        <v>607</v>
      </c>
      <c r="D536" s="6" t="s">
        <v>607</v>
      </c>
      <c r="E536" s="6" t="s">
        <v>607</v>
      </c>
      <c r="F536" s="6" t="s">
        <v>607</v>
      </c>
      <c r="G536" s="4" t="s">
        <v>607</v>
      </c>
      <c r="H536" s="4" t="s">
        <v>607</v>
      </c>
      <c r="I536" s="4" t="s">
        <v>607</v>
      </c>
      <c r="J536" s="4" t="s">
        <v>607</v>
      </c>
      <c r="K536" s="4" t="s">
        <v>607</v>
      </c>
      <c r="L536" s="4" t="s">
        <v>607</v>
      </c>
      <c r="M536" s="4" t="s">
        <v>607</v>
      </c>
      <c r="N536" s="4" t="s">
        <v>607</v>
      </c>
      <c r="O536" s="4"/>
      <c r="P536" s="4"/>
      <c r="T536" s="4"/>
    </row>
    <row r="537">
      <c r="A537" s="4" t="s">
        <v>2288</v>
      </c>
      <c r="B537" s="4" t="s">
        <v>607</v>
      </c>
      <c r="C537" s="6" t="s">
        <v>607</v>
      </c>
      <c r="D537" s="6" t="s">
        <v>607</v>
      </c>
      <c r="E537" s="6" t="s">
        <v>607</v>
      </c>
      <c r="F537" s="6" t="s">
        <v>607</v>
      </c>
      <c r="G537" s="4" t="s">
        <v>607</v>
      </c>
      <c r="H537" s="4" t="s">
        <v>607</v>
      </c>
      <c r="I537" s="4" t="s">
        <v>607</v>
      </c>
      <c r="J537" s="4" t="s">
        <v>607</v>
      </c>
      <c r="K537" s="4" t="s">
        <v>607</v>
      </c>
      <c r="L537" s="4" t="s">
        <v>607</v>
      </c>
      <c r="M537" s="4" t="s">
        <v>607</v>
      </c>
      <c r="N537" s="4" t="s">
        <v>607</v>
      </c>
      <c r="O537" s="4"/>
      <c r="P537" s="4"/>
      <c r="T537" s="4"/>
    </row>
    <row r="538">
      <c r="A538" s="4" t="s">
        <v>2289</v>
      </c>
      <c r="B538" s="4" t="s">
        <v>607</v>
      </c>
      <c r="C538" s="6" t="s">
        <v>607</v>
      </c>
      <c r="D538" s="6" t="s">
        <v>607</v>
      </c>
      <c r="E538" s="6" t="s">
        <v>607</v>
      </c>
      <c r="F538" s="6" t="s">
        <v>607</v>
      </c>
      <c r="G538" s="4" t="s">
        <v>607</v>
      </c>
      <c r="H538" s="4" t="s">
        <v>607</v>
      </c>
      <c r="I538" s="4" t="s">
        <v>607</v>
      </c>
      <c r="J538" s="4" t="s">
        <v>607</v>
      </c>
      <c r="K538" s="4" t="s">
        <v>607</v>
      </c>
      <c r="L538" s="4" t="s">
        <v>607</v>
      </c>
      <c r="M538" s="4" t="s">
        <v>607</v>
      </c>
      <c r="N538" s="4" t="s">
        <v>607</v>
      </c>
      <c r="O538" s="4"/>
      <c r="P538" s="4"/>
      <c r="T538" s="4"/>
    </row>
    <row r="539">
      <c r="A539" s="4" t="s">
        <v>2292</v>
      </c>
      <c r="B539" s="4" t="s">
        <v>607</v>
      </c>
      <c r="C539" s="6" t="s">
        <v>607</v>
      </c>
      <c r="D539" s="6" t="s">
        <v>607</v>
      </c>
      <c r="E539" s="6" t="s">
        <v>607</v>
      </c>
      <c r="F539" s="6" t="s">
        <v>607</v>
      </c>
      <c r="G539" s="4" t="s">
        <v>607</v>
      </c>
      <c r="H539" s="4" t="s">
        <v>607</v>
      </c>
      <c r="I539" s="4" t="s">
        <v>607</v>
      </c>
      <c r="J539" s="4" t="s">
        <v>607</v>
      </c>
      <c r="K539" s="4" t="s">
        <v>607</v>
      </c>
      <c r="L539" s="4" t="s">
        <v>607</v>
      </c>
      <c r="M539" s="4" t="s">
        <v>607</v>
      </c>
      <c r="N539" s="4" t="s">
        <v>607</v>
      </c>
      <c r="O539" s="4"/>
      <c r="P539" s="4"/>
      <c r="T539" s="4"/>
    </row>
    <row r="540">
      <c r="A540" s="4" t="s">
        <v>2300</v>
      </c>
      <c r="B540" s="4" t="s">
        <v>607</v>
      </c>
      <c r="C540" s="6" t="s">
        <v>607</v>
      </c>
      <c r="D540" s="6" t="s">
        <v>607</v>
      </c>
      <c r="E540" s="6" t="s">
        <v>607</v>
      </c>
      <c r="F540" s="6" t="s">
        <v>607</v>
      </c>
      <c r="G540" s="4" t="s">
        <v>607</v>
      </c>
      <c r="H540" s="4" t="s">
        <v>607</v>
      </c>
      <c r="I540" s="4" t="s">
        <v>607</v>
      </c>
      <c r="J540" s="4" t="s">
        <v>607</v>
      </c>
      <c r="K540" s="4" t="s">
        <v>607</v>
      </c>
      <c r="L540" s="4" t="s">
        <v>607</v>
      </c>
      <c r="M540" s="4" t="s">
        <v>607</v>
      </c>
      <c r="N540" s="4" t="s">
        <v>607</v>
      </c>
      <c r="O540" s="4"/>
      <c r="P540" s="4"/>
      <c r="T540" s="4"/>
    </row>
    <row r="541">
      <c r="A541" s="4" t="s">
        <v>2303</v>
      </c>
      <c r="B541" s="4" t="s">
        <v>607</v>
      </c>
      <c r="C541" s="6" t="s">
        <v>607</v>
      </c>
      <c r="D541" s="6" t="s">
        <v>607</v>
      </c>
      <c r="E541" s="6" t="s">
        <v>607</v>
      </c>
      <c r="F541" s="6" t="s">
        <v>607</v>
      </c>
      <c r="G541" s="4" t="s">
        <v>607</v>
      </c>
      <c r="H541" s="4" t="s">
        <v>607</v>
      </c>
      <c r="I541" s="4" t="s">
        <v>607</v>
      </c>
      <c r="J541" s="4" t="s">
        <v>607</v>
      </c>
      <c r="K541" s="4" t="s">
        <v>607</v>
      </c>
      <c r="L541" s="4" t="s">
        <v>607</v>
      </c>
      <c r="M541" s="4" t="s">
        <v>607</v>
      </c>
      <c r="N541" s="4" t="s">
        <v>607</v>
      </c>
      <c r="O541" s="4"/>
      <c r="P541" s="4"/>
      <c r="T541" s="4"/>
    </row>
    <row r="542">
      <c r="A542" s="4" t="s">
        <v>2304</v>
      </c>
      <c r="B542" s="4" t="s">
        <v>607</v>
      </c>
      <c r="C542" s="6" t="s">
        <v>607</v>
      </c>
      <c r="D542" s="6" t="s">
        <v>607</v>
      </c>
      <c r="E542" s="6" t="s">
        <v>607</v>
      </c>
      <c r="F542" s="6" t="s">
        <v>607</v>
      </c>
      <c r="G542" s="4" t="s">
        <v>607</v>
      </c>
      <c r="H542" s="4" t="s">
        <v>607</v>
      </c>
      <c r="I542" s="4" t="s">
        <v>607</v>
      </c>
      <c r="J542" s="4" t="s">
        <v>607</v>
      </c>
      <c r="K542" s="4" t="s">
        <v>607</v>
      </c>
      <c r="L542" s="4" t="s">
        <v>607</v>
      </c>
      <c r="M542" s="4" t="s">
        <v>607</v>
      </c>
      <c r="N542" s="4" t="s">
        <v>607</v>
      </c>
      <c r="O542" s="4"/>
      <c r="P542" s="4"/>
      <c r="T542" s="4"/>
    </row>
    <row r="543">
      <c r="A543" s="4" t="s">
        <v>2305</v>
      </c>
      <c r="B543" s="4" t="s">
        <v>607</v>
      </c>
      <c r="C543" s="6" t="s">
        <v>607</v>
      </c>
      <c r="D543" s="6" t="s">
        <v>607</v>
      </c>
      <c r="E543" s="6" t="s">
        <v>607</v>
      </c>
      <c r="F543" s="6" t="s">
        <v>607</v>
      </c>
      <c r="G543" s="4" t="s">
        <v>607</v>
      </c>
      <c r="H543" s="4" t="s">
        <v>607</v>
      </c>
      <c r="I543" s="4" t="s">
        <v>607</v>
      </c>
      <c r="J543" s="4" t="s">
        <v>607</v>
      </c>
      <c r="K543" s="4" t="s">
        <v>607</v>
      </c>
      <c r="L543" s="4" t="s">
        <v>607</v>
      </c>
      <c r="M543" s="4" t="s">
        <v>607</v>
      </c>
      <c r="N543" s="4" t="s">
        <v>607</v>
      </c>
      <c r="O543" s="4"/>
      <c r="P543" s="4"/>
      <c r="T543" s="4"/>
    </row>
    <row r="544">
      <c r="A544" s="4" t="s">
        <v>2312</v>
      </c>
      <c r="B544" s="4" t="s">
        <v>607</v>
      </c>
      <c r="C544" s="6" t="s">
        <v>607</v>
      </c>
      <c r="D544" s="6" t="s">
        <v>607</v>
      </c>
      <c r="E544" s="6" t="s">
        <v>607</v>
      </c>
      <c r="F544" s="6" t="s">
        <v>607</v>
      </c>
      <c r="G544" s="4" t="s">
        <v>607</v>
      </c>
      <c r="H544" s="4" t="s">
        <v>607</v>
      </c>
      <c r="I544" s="4" t="s">
        <v>607</v>
      </c>
      <c r="J544" s="4" t="s">
        <v>607</v>
      </c>
      <c r="K544" s="4" t="s">
        <v>607</v>
      </c>
      <c r="L544" s="4" t="s">
        <v>607</v>
      </c>
      <c r="M544" s="4" t="s">
        <v>607</v>
      </c>
      <c r="N544" s="4" t="s">
        <v>607</v>
      </c>
      <c r="O544" s="4"/>
      <c r="P544" s="4"/>
      <c r="T544" s="4"/>
    </row>
    <row r="545">
      <c r="A545" s="4" t="s">
        <v>2319</v>
      </c>
      <c r="B545" s="4" t="s">
        <v>607</v>
      </c>
      <c r="C545" s="6" t="s">
        <v>607</v>
      </c>
      <c r="D545" s="6" t="s">
        <v>607</v>
      </c>
      <c r="E545" s="6" t="s">
        <v>607</v>
      </c>
      <c r="F545" s="6" t="s">
        <v>607</v>
      </c>
      <c r="G545" s="4" t="s">
        <v>607</v>
      </c>
      <c r="H545" s="4" t="s">
        <v>607</v>
      </c>
      <c r="I545" s="4" t="s">
        <v>607</v>
      </c>
      <c r="J545" s="4" t="s">
        <v>607</v>
      </c>
      <c r="K545" s="4" t="s">
        <v>607</v>
      </c>
      <c r="L545" s="4" t="s">
        <v>607</v>
      </c>
      <c r="M545" s="4" t="s">
        <v>607</v>
      </c>
      <c r="N545" s="4" t="s">
        <v>607</v>
      </c>
      <c r="O545" s="4"/>
      <c r="P545" s="4"/>
      <c r="T545" s="4"/>
    </row>
    <row r="546">
      <c r="A546" s="4" t="s">
        <v>2320</v>
      </c>
      <c r="B546" s="4" t="s">
        <v>607</v>
      </c>
      <c r="C546" s="6" t="s">
        <v>607</v>
      </c>
      <c r="D546" s="6" t="s">
        <v>607</v>
      </c>
      <c r="E546" s="6" t="s">
        <v>607</v>
      </c>
      <c r="F546" s="6" t="s">
        <v>607</v>
      </c>
      <c r="G546" s="4" t="s">
        <v>607</v>
      </c>
      <c r="H546" s="4" t="s">
        <v>607</v>
      </c>
      <c r="I546" s="4" t="s">
        <v>607</v>
      </c>
      <c r="J546" s="4" t="s">
        <v>607</v>
      </c>
      <c r="K546" s="4" t="s">
        <v>607</v>
      </c>
      <c r="L546" s="4" t="s">
        <v>607</v>
      </c>
      <c r="M546" s="4" t="s">
        <v>607</v>
      </c>
      <c r="N546" s="4" t="s">
        <v>607</v>
      </c>
      <c r="O546" s="4"/>
      <c r="P546" s="4"/>
      <c r="T546" s="4"/>
    </row>
    <row r="547">
      <c r="A547" s="4" t="s">
        <v>2323</v>
      </c>
      <c r="B547" s="4" t="s">
        <v>607</v>
      </c>
      <c r="C547" s="6" t="s">
        <v>607</v>
      </c>
      <c r="D547" s="6" t="s">
        <v>607</v>
      </c>
      <c r="E547" s="6" t="s">
        <v>607</v>
      </c>
      <c r="F547" s="6" t="s">
        <v>607</v>
      </c>
      <c r="G547" s="4" t="s">
        <v>607</v>
      </c>
      <c r="H547" s="4" t="s">
        <v>607</v>
      </c>
      <c r="I547" s="4" t="s">
        <v>607</v>
      </c>
      <c r="J547" s="4" t="s">
        <v>607</v>
      </c>
      <c r="K547" s="4" t="s">
        <v>607</v>
      </c>
      <c r="L547" s="4" t="s">
        <v>607</v>
      </c>
      <c r="M547" s="4" t="s">
        <v>607</v>
      </c>
      <c r="N547" s="4" t="s">
        <v>607</v>
      </c>
      <c r="O547" s="4"/>
      <c r="P547" s="4"/>
      <c r="T547" s="4"/>
    </row>
    <row r="548">
      <c r="A548" s="4" t="s">
        <v>2329</v>
      </c>
      <c r="B548" s="4" t="s">
        <v>607</v>
      </c>
      <c r="C548" s="6" t="s">
        <v>607</v>
      </c>
      <c r="D548" s="6" t="s">
        <v>607</v>
      </c>
      <c r="E548" s="6" t="s">
        <v>607</v>
      </c>
      <c r="F548" s="6" t="s">
        <v>607</v>
      </c>
      <c r="G548" s="4" t="s">
        <v>607</v>
      </c>
      <c r="H548" s="4" t="s">
        <v>607</v>
      </c>
      <c r="I548" s="4" t="s">
        <v>607</v>
      </c>
      <c r="J548" s="4" t="s">
        <v>607</v>
      </c>
      <c r="K548" s="4" t="s">
        <v>607</v>
      </c>
      <c r="L548" s="4" t="s">
        <v>607</v>
      </c>
      <c r="M548" s="4" t="s">
        <v>607</v>
      </c>
      <c r="N548" s="4" t="s">
        <v>607</v>
      </c>
      <c r="O548" s="4"/>
      <c r="P548" s="4"/>
      <c r="T548" s="4"/>
    </row>
    <row r="549">
      <c r="A549" s="4" t="s">
        <v>2332</v>
      </c>
      <c r="B549" s="4" t="s">
        <v>607</v>
      </c>
      <c r="C549" s="6" t="s">
        <v>607</v>
      </c>
      <c r="D549" s="6" t="s">
        <v>607</v>
      </c>
      <c r="E549" s="6" t="s">
        <v>607</v>
      </c>
      <c r="F549" s="6" t="s">
        <v>607</v>
      </c>
      <c r="G549" s="4" t="s">
        <v>607</v>
      </c>
      <c r="H549" s="4" t="s">
        <v>607</v>
      </c>
      <c r="I549" s="4" t="s">
        <v>607</v>
      </c>
      <c r="J549" s="4" t="s">
        <v>607</v>
      </c>
      <c r="K549" s="4" t="s">
        <v>607</v>
      </c>
      <c r="L549" s="4" t="s">
        <v>607</v>
      </c>
      <c r="M549" s="4" t="s">
        <v>607</v>
      </c>
      <c r="N549" s="4" t="s">
        <v>607</v>
      </c>
      <c r="O549" s="4"/>
      <c r="P549" s="4"/>
      <c r="T549" s="4"/>
    </row>
    <row r="550">
      <c r="A550" s="4" t="s">
        <v>2343</v>
      </c>
      <c r="B550" s="4" t="s">
        <v>607</v>
      </c>
      <c r="C550" s="6" t="s">
        <v>607</v>
      </c>
      <c r="D550" s="6" t="s">
        <v>607</v>
      </c>
      <c r="E550" s="6" t="s">
        <v>607</v>
      </c>
      <c r="F550" s="6" t="s">
        <v>607</v>
      </c>
      <c r="G550" s="4" t="s">
        <v>607</v>
      </c>
      <c r="H550" s="4" t="s">
        <v>607</v>
      </c>
      <c r="I550" s="4" t="s">
        <v>607</v>
      </c>
      <c r="J550" s="4" t="s">
        <v>607</v>
      </c>
      <c r="K550" s="4" t="s">
        <v>607</v>
      </c>
      <c r="L550" s="4" t="s">
        <v>607</v>
      </c>
      <c r="M550" s="4" t="s">
        <v>607</v>
      </c>
      <c r="N550" s="4" t="s">
        <v>607</v>
      </c>
      <c r="O550" s="4"/>
      <c r="P550" s="4"/>
      <c r="T550" s="4"/>
    </row>
    <row r="551">
      <c r="A551" s="4" t="s">
        <v>2346</v>
      </c>
      <c r="B551" s="4" t="s">
        <v>607</v>
      </c>
      <c r="C551" s="6" t="s">
        <v>607</v>
      </c>
      <c r="D551" s="6" t="s">
        <v>607</v>
      </c>
      <c r="E551" s="6" t="s">
        <v>607</v>
      </c>
      <c r="F551" s="6" t="s">
        <v>607</v>
      </c>
      <c r="G551" s="4" t="s">
        <v>607</v>
      </c>
      <c r="H551" s="4" t="s">
        <v>607</v>
      </c>
      <c r="I551" s="4" t="s">
        <v>607</v>
      </c>
      <c r="J551" s="4" t="s">
        <v>607</v>
      </c>
      <c r="K551" s="4" t="s">
        <v>607</v>
      </c>
      <c r="L551" s="4" t="s">
        <v>607</v>
      </c>
      <c r="M551" s="4" t="s">
        <v>607</v>
      </c>
      <c r="N551" s="4" t="s">
        <v>607</v>
      </c>
      <c r="O551" s="4"/>
      <c r="P551" s="4"/>
      <c r="T551" s="4"/>
    </row>
    <row r="552">
      <c r="A552" s="4" t="s">
        <v>2357</v>
      </c>
      <c r="B552" s="4" t="s">
        <v>607</v>
      </c>
      <c r="C552" s="6" t="s">
        <v>607</v>
      </c>
      <c r="D552" s="6" t="s">
        <v>607</v>
      </c>
      <c r="E552" s="6" t="s">
        <v>607</v>
      </c>
      <c r="F552" s="6" t="s">
        <v>607</v>
      </c>
      <c r="G552" s="4" t="s">
        <v>607</v>
      </c>
      <c r="H552" s="4" t="s">
        <v>607</v>
      </c>
      <c r="I552" s="4" t="s">
        <v>607</v>
      </c>
      <c r="J552" s="4" t="s">
        <v>607</v>
      </c>
      <c r="K552" s="4" t="s">
        <v>607</v>
      </c>
      <c r="L552" s="4" t="s">
        <v>607</v>
      </c>
      <c r="M552" s="4" t="s">
        <v>607</v>
      </c>
      <c r="N552" s="4" t="s">
        <v>607</v>
      </c>
      <c r="O552" s="4"/>
      <c r="P552" s="4"/>
      <c r="T552" s="4"/>
    </row>
    <row r="553">
      <c r="A553" s="4" t="s">
        <v>2360</v>
      </c>
      <c r="B553" s="4" t="s">
        <v>607</v>
      </c>
      <c r="C553" s="6" t="s">
        <v>607</v>
      </c>
      <c r="D553" s="6" t="s">
        <v>607</v>
      </c>
      <c r="E553" s="6" t="s">
        <v>607</v>
      </c>
      <c r="F553" s="6" t="s">
        <v>607</v>
      </c>
      <c r="G553" s="4" t="s">
        <v>607</v>
      </c>
      <c r="H553" s="4" t="s">
        <v>607</v>
      </c>
      <c r="I553" s="4" t="s">
        <v>607</v>
      </c>
      <c r="J553" s="4" t="s">
        <v>607</v>
      </c>
      <c r="K553" s="4" t="s">
        <v>607</v>
      </c>
      <c r="L553" s="4" t="s">
        <v>607</v>
      </c>
      <c r="M553" s="4" t="s">
        <v>607</v>
      </c>
      <c r="N553" s="4" t="s">
        <v>607</v>
      </c>
      <c r="O553" s="4"/>
      <c r="P553" s="4"/>
      <c r="T553" s="4"/>
    </row>
    <row r="554">
      <c r="A554" s="4" t="s">
        <v>2363</v>
      </c>
      <c r="B554" s="4" t="s">
        <v>607</v>
      </c>
      <c r="C554" s="6" t="s">
        <v>607</v>
      </c>
      <c r="D554" s="6" t="s">
        <v>607</v>
      </c>
      <c r="E554" s="6" t="s">
        <v>607</v>
      </c>
      <c r="F554" s="6" t="s">
        <v>607</v>
      </c>
      <c r="G554" s="4" t="s">
        <v>607</v>
      </c>
      <c r="H554" s="4" t="s">
        <v>607</v>
      </c>
      <c r="I554" s="4" t="s">
        <v>607</v>
      </c>
      <c r="J554" s="4" t="s">
        <v>607</v>
      </c>
      <c r="K554" s="4" t="s">
        <v>607</v>
      </c>
      <c r="L554" s="4" t="s">
        <v>607</v>
      </c>
      <c r="M554" s="4" t="s">
        <v>607</v>
      </c>
      <c r="N554" s="4" t="s">
        <v>607</v>
      </c>
      <c r="O554" s="4"/>
      <c r="P554" s="4"/>
      <c r="T554" s="4"/>
    </row>
    <row r="555">
      <c r="A555" s="4" t="s">
        <v>2370</v>
      </c>
      <c r="B555" s="4" t="s">
        <v>607</v>
      </c>
      <c r="C555" s="6" t="s">
        <v>607</v>
      </c>
      <c r="D555" s="6" t="s">
        <v>607</v>
      </c>
      <c r="E555" s="6" t="s">
        <v>607</v>
      </c>
      <c r="F555" s="6" t="s">
        <v>607</v>
      </c>
      <c r="G555" s="4" t="s">
        <v>607</v>
      </c>
      <c r="H555" s="4" t="s">
        <v>607</v>
      </c>
      <c r="I555" s="4" t="s">
        <v>607</v>
      </c>
      <c r="J555" s="4" t="s">
        <v>607</v>
      </c>
      <c r="K555" s="4" t="s">
        <v>607</v>
      </c>
      <c r="L555" s="4" t="s">
        <v>607</v>
      </c>
      <c r="M555" s="4" t="s">
        <v>607</v>
      </c>
      <c r="N555" s="4" t="s">
        <v>607</v>
      </c>
      <c r="O555" s="4"/>
      <c r="P555" s="4"/>
      <c r="T555" s="4"/>
    </row>
    <row r="556">
      <c r="A556" s="4" t="s">
        <v>2373</v>
      </c>
      <c r="B556" s="4" t="s">
        <v>607</v>
      </c>
      <c r="C556" s="6" t="s">
        <v>607</v>
      </c>
      <c r="D556" s="6" t="s">
        <v>607</v>
      </c>
      <c r="E556" s="6" t="s">
        <v>607</v>
      </c>
      <c r="F556" s="6" t="s">
        <v>607</v>
      </c>
      <c r="G556" s="4" t="s">
        <v>607</v>
      </c>
      <c r="H556" s="4" t="s">
        <v>607</v>
      </c>
      <c r="I556" s="4" t="s">
        <v>607</v>
      </c>
      <c r="J556" s="4" t="s">
        <v>607</v>
      </c>
      <c r="K556" s="4" t="s">
        <v>607</v>
      </c>
      <c r="L556" s="4" t="s">
        <v>607</v>
      </c>
      <c r="M556" s="4" t="s">
        <v>607</v>
      </c>
      <c r="N556" s="4" t="s">
        <v>607</v>
      </c>
      <c r="O556" s="4"/>
      <c r="P556" s="4"/>
      <c r="T556" s="4"/>
    </row>
    <row r="557">
      <c r="A557" s="4" t="s">
        <v>2378</v>
      </c>
      <c r="B557" s="4" t="s">
        <v>607</v>
      </c>
      <c r="C557" s="6" t="s">
        <v>607</v>
      </c>
      <c r="D557" s="6" t="s">
        <v>607</v>
      </c>
      <c r="E557" s="6" t="s">
        <v>607</v>
      </c>
      <c r="F557" s="6" t="s">
        <v>607</v>
      </c>
      <c r="G557" s="4" t="s">
        <v>607</v>
      </c>
      <c r="H557" s="4" t="s">
        <v>607</v>
      </c>
      <c r="I557" s="4" t="s">
        <v>607</v>
      </c>
      <c r="J557" s="4" t="s">
        <v>607</v>
      </c>
      <c r="K557" s="4" t="s">
        <v>607</v>
      </c>
      <c r="L557" s="4" t="s">
        <v>607</v>
      </c>
      <c r="M557" s="4" t="s">
        <v>607</v>
      </c>
      <c r="N557" s="4" t="s">
        <v>607</v>
      </c>
      <c r="O557" s="4"/>
      <c r="P557" s="4"/>
      <c r="T557" s="4"/>
    </row>
    <row r="558">
      <c r="A558" s="4" t="s">
        <v>2384</v>
      </c>
      <c r="B558" s="4" t="s">
        <v>607</v>
      </c>
      <c r="C558" s="6" t="s">
        <v>607</v>
      </c>
      <c r="D558" s="6" t="s">
        <v>607</v>
      </c>
      <c r="E558" s="6" t="s">
        <v>607</v>
      </c>
      <c r="F558" s="6" t="s">
        <v>607</v>
      </c>
      <c r="G558" s="4" t="s">
        <v>607</v>
      </c>
      <c r="H558" s="4" t="s">
        <v>607</v>
      </c>
      <c r="I558" s="4" t="s">
        <v>607</v>
      </c>
      <c r="J558" s="4" t="s">
        <v>607</v>
      </c>
      <c r="K558" s="4" t="s">
        <v>607</v>
      </c>
      <c r="L558" s="4" t="s">
        <v>607</v>
      </c>
      <c r="M558" s="4" t="s">
        <v>607</v>
      </c>
      <c r="N558" s="4" t="s">
        <v>607</v>
      </c>
      <c r="O558" s="4"/>
      <c r="P558" s="4"/>
      <c r="T558" s="4"/>
    </row>
    <row r="559">
      <c r="A559" s="4" t="s">
        <v>2387</v>
      </c>
      <c r="B559" s="4" t="s">
        <v>607</v>
      </c>
      <c r="C559" s="6" t="s">
        <v>607</v>
      </c>
      <c r="D559" s="6" t="s">
        <v>607</v>
      </c>
      <c r="E559" s="6" t="s">
        <v>607</v>
      </c>
      <c r="F559" s="6" t="s">
        <v>607</v>
      </c>
      <c r="G559" s="4" t="s">
        <v>607</v>
      </c>
      <c r="H559" s="4" t="s">
        <v>607</v>
      </c>
      <c r="I559" s="4" t="s">
        <v>607</v>
      </c>
      <c r="J559" s="4" t="s">
        <v>607</v>
      </c>
      <c r="K559" s="4" t="s">
        <v>607</v>
      </c>
      <c r="L559" s="4" t="s">
        <v>607</v>
      </c>
      <c r="M559" s="4" t="s">
        <v>607</v>
      </c>
      <c r="N559" s="4" t="s">
        <v>607</v>
      </c>
      <c r="O559" s="4"/>
      <c r="P559" s="4"/>
      <c r="T559" s="4"/>
    </row>
    <row r="560">
      <c r="A560" s="4" t="s">
        <v>2391</v>
      </c>
      <c r="B560" s="4" t="s">
        <v>607</v>
      </c>
      <c r="C560" s="6" t="s">
        <v>607</v>
      </c>
      <c r="D560" s="6" t="s">
        <v>607</v>
      </c>
      <c r="E560" s="6" t="s">
        <v>607</v>
      </c>
      <c r="F560" s="6" t="s">
        <v>607</v>
      </c>
      <c r="G560" s="4" t="s">
        <v>607</v>
      </c>
      <c r="H560" s="4" t="s">
        <v>607</v>
      </c>
      <c r="I560" s="4" t="s">
        <v>607</v>
      </c>
      <c r="J560" s="4" t="s">
        <v>607</v>
      </c>
      <c r="K560" s="4" t="s">
        <v>607</v>
      </c>
      <c r="L560" s="4" t="s">
        <v>607</v>
      </c>
      <c r="M560" s="4" t="s">
        <v>607</v>
      </c>
      <c r="N560" s="4" t="s">
        <v>607</v>
      </c>
      <c r="O560" s="4"/>
      <c r="P560" s="4"/>
      <c r="T560" s="4"/>
    </row>
    <row r="561">
      <c r="A561" s="4" t="s">
        <v>2399</v>
      </c>
      <c r="B561" s="4" t="s">
        <v>607</v>
      </c>
      <c r="C561" s="6" t="s">
        <v>607</v>
      </c>
      <c r="D561" s="6" t="s">
        <v>607</v>
      </c>
      <c r="E561" s="6" t="s">
        <v>607</v>
      </c>
      <c r="F561" s="6" t="s">
        <v>607</v>
      </c>
      <c r="G561" s="4" t="s">
        <v>607</v>
      </c>
      <c r="H561" s="4" t="s">
        <v>607</v>
      </c>
      <c r="I561" s="4" t="s">
        <v>607</v>
      </c>
      <c r="J561" s="4" t="s">
        <v>607</v>
      </c>
      <c r="K561" s="4" t="s">
        <v>607</v>
      </c>
      <c r="L561" s="4" t="s">
        <v>607</v>
      </c>
      <c r="M561" s="4" t="s">
        <v>607</v>
      </c>
      <c r="N561" s="4" t="s">
        <v>607</v>
      </c>
      <c r="O561" s="4"/>
      <c r="P561" s="4"/>
      <c r="T561" s="4"/>
    </row>
    <row r="562">
      <c r="A562" s="4" t="s">
        <v>2402</v>
      </c>
      <c r="B562" s="4" t="s">
        <v>607</v>
      </c>
      <c r="C562" s="6" t="s">
        <v>607</v>
      </c>
      <c r="D562" s="6" t="s">
        <v>607</v>
      </c>
      <c r="E562" s="6" t="s">
        <v>607</v>
      </c>
      <c r="F562" s="6" t="s">
        <v>607</v>
      </c>
      <c r="G562" s="4" t="s">
        <v>607</v>
      </c>
      <c r="H562" s="4" t="s">
        <v>607</v>
      </c>
      <c r="I562" s="4" t="s">
        <v>607</v>
      </c>
      <c r="J562" s="4" t="s">
        <v>607</v>
      </c>
      <c r="K562" s="4" t="s">
        <v>607</v>
      </c>
      <c r="L562" s="4" t="s">
        <v>607</v>
      </c>
      <c r="M562" s="4" t="s">
        <v>607</v>
      </c>
      <c r="N562" s="4" t="s">
        <v>607</v>
      </c>
      <c r="O562" s="4"/>
      <c r="P562" s="4"/>
      <c r="T562" s="4"/>
    </row>
    <row r="563">
      <c r="A563" s="4" t="s">
        <v>2413</v>
      </c>
      <c r="B563" s="4" t="s">
        <v>607</v>
      </c>
      <c r="C563" s="6" t="s">
        <v>607</v>
      </c>
      <c r="D563" s="6" t="s">
        <v>607</v>
      </c>
      <c r="E563" s="6" t="s">
        <v>607</v>
      </c>
      <c r="F563" s="6" t="s">
        <v>607</v>
      </c>
      <c r="G563" s="4" t="s">
        <v>607</v>
      </c>
      <c r="H563" s="4" t="s">
        <v>607</v>
      </c>
      <c r="I563" s="4" t="s">
        <v>607</v>
      </c>
      <c r="J563" s="4" t="s">
        <v>607</v>
      </c>
      <c r="K563" s="4" t="s">
        <v>607</v>
      </c>
      <c r="L563" s="4" t="s">
        <v>607</v>
      </c>
      <c r="M563" s="4" t="s">
        <v>607</v>
      </c>
      <c r="N563" s="4" t="s">
        <v>607</v>
      </c>
      <c r="O563" s="4"/>
      <c r="P563" s="4"/>
      <c r="T563" s="4"/>
    </row>
    <row r="564">
      <c r="A564" s="4" t="s">
        <v>2416</v>
      </c>
      <c r="B564" s="4" t="s">
        <v>607</v>
      </c>
      <c r="C564" s="6" t="s">
        <v>607</v>
      </c>
      <c r="D564" s="6" t="s">
        <v>607</v>
      </c>
      <c r="E564" s="6" t="s">
        <v>607</v>
      </c>
      <c r="F564" s="6" t="s">
        <v>607</v>
      </c>
      <c r="G564" s="4" t="s">
        <v>607</v>
      </c>
      <c r="H564" s="4" t="s">
        <v>607</v>
      </c>
      <c r="I564" s="4" t="s">
        <v>607</v>
      </c>
      <c r="J564" s="4" t="s">
        <v>607</v>
      </c>
      <c r="K564" s="4" t="s">
        <v>607</v>
      </c>
      <c r="L564" s="4" t="s">
        <v>607</v>
      </c>
      <c r="M564" s="4" t="s">
        <v>607</v>
      </c>
      <c r="N564" s="4" t="s">
        <v>607</v>
      </c>
      <c r="O564" s="4"/>
      <c r="P564" s="4"/>
      <c r="T564" s="4"/>
    </row>
    <row r="565">
      <c r="A565" s="4" t="s">
        <v>2422</v>
      </c>
      <c r="B565" s="4" t="s">
        <v>607</v>
      </c>
      <c r="C565" s="6" t="s">
        <v>607</v>
      </c>
      <c r="D565" s="6" t="s">
        <v>607</v>
      </c>
      <c r="E565" s="6" t="s">
        <v>607</v>
      </c>
      <c r="F565" s="6" t="s">
        <v>607</v>
      </c>
      <c r="G565" s="4" t="s">
        <v>607</v>
      </c>
      <c r="H565" s="4" t="s">
        <v>607</v>
      </c>
      <c r="I565" s="4" t="s">
        <v>607</v>
      </c>
      <c r="J565" s="4" t="s">
        <v>607</v>
      </c>
      <c r="K565" s="4" t="s">
        <v>607</v>
      </c>
      <c r="L565" s="4" t="s">
        <v>607</v>
      </c>
      <c r="M565" s="4" t="s">
        <v>607</v>
      </c>
      <c r="N565" s="4" t="s">
        <v>607</v>
      </c>
      <c r="O565" s="4"/>
      <c r="P565" s="4"/>
      <c r="T565" s="4"/>
    </row>
    <row r="566">
      <c r="A566" s="4" t="s">
        <v>2423</v>
      </c>
      <c r="B566" s="4" t="s">
        <v>607</v>
      </c>
      <c r="C566" s="6" t="s">
        <v>607</v>
      </c>
      <c r="D566" s="6" t="s">
        <v>607</v>
      </c>
      <c r="E566" s="6" t="s">
        <v>607</v>
      </c>
      <c r="F566" s="6" t="s">
        <v>607</v>
      </c>
      <c r="G566" s="4" t="s">
        <v>607</v>
      </c>
      <c r="H566" s="4" t="s">
        <v>607</v>
      </c>
      <c r="I566" s="4" t="s">
        <v>607</v>
      </c>
      <c r="J566" s="4" t="s">
        <v>607</v>
      </c>
      <c r="K566" s="4" t="s">
        <v>607</v>
      </c>
      <c r="L566" s="4" t="s">
        <v>607</v>
      </c>
      <c r="M566" s="4" t="s">
        <v>607</v>
      </c>
      <c r="N566" s="4" t="s">
        <v>607</v>
      </c>
      <c r="O566" s="4"/>
      <c r="P566" s="4"/>
      <c r="T566" s="4"/>
    </row>
    <row r="567">
      <c r="A567" s="4" t="s">
        <v>2424</v>
      </c>
      <c r="B567" s="4" t="s">
        <v>607</v>
      </c>
      <c r="C567" s="6" t="s">
        <v>607</v>
      </c>
      <c r="D567" s="6" t="s">
        <v>607</v>
      </c>
      <c r="E567" s="6" t="s">
        <v>607</v>
      </c>
      <c r="F567" s="6" t="s">
        <v>607</v>
      </c>
      <c r="G567" s="4" t="s">
        <v>607</v>
      </c>
      <c r="H567" s="4" t="s">
        <v>607</v>
      </c>
      <c r="I567" s="4" t="s">
        <v>607</v>
      </c>
      <c r="J567" s="4" t="s">
        <v>607</v>
      </c>
      <c r="K567" s="4" t="s">
        <v>607</v>
      </c>
      <c r="L567" s="4" t="s">
        <v>607</v>
      </c>
      <c r="M567" s="4" t="s">
        <v>607</v>
      </c>
      <c r="N567" s="4" t="s">
        <v>607</v>
      </c>
      <c r="O567" s="4"/>
      <c r="P567" s="4"/>
      <c r="T567" s="4"/>
    </row>
    <row r="568">
      <c r="A568" s="4" t="s">
        <v>2429</v>
      </c>
      <c r="B568" s="4" t="s">
        <v>607</v>
      </c>
      <c r="C568" s="6" t="s">
        <v>607</v>
      </c>
      <c r="D568" s="6" t="s">
        <v>607</v>
      </c>
      <c r="E568" s="6" t="s">
        <v>607</v>
      </c>
      <c r="F568" s="6" t="s">
        <v>607</v>
      </c>
      <c r="G568" s="4" t="s">
        <v>607</v>
      </c>
      <c r="H568" s="4" t="s">
        <v>607</v>
      </c>
      <c r="I568" s="4" t="s">
        <v>607</v>
      </c>
      <c r="J568" s="4" t="s">
        <v>607</v>
      </c>
      <c r="K568" s="4" t="s">
        <v>607</v>
      </c>
      <c r="L568" s="4" t="s">
        <v>607</v>
      </c>
      <c r="M568" s="4" t="s">
        <v>607</v>
      </c>
      <c r="N568" s="4" t="s">
        <v>607</v>
      </c>
      <c r="O568" s="4"/>
      <c r="P568" s="4"/>
      <c r="T568" s="4"/>
    </row>
    <row r="569">
      <c r="A569" s="4" t="s">
        <v>2438</v>
      </c>
      <c r="B569" s="4" t="s">
        <v>607</v>
      </c>
      <c r="C569" s="6" t="s">
        <v>607</v>
      </c>
      <c r="D569" s="6" t="s">
        <v>607</v>
      </c>
      <c r="E569" s="6" t="s">
        <v>607</v>
      </c>
      <c r="F569" s="6" t="s">
        <v>607</v>
      </c>
      <c r="G569" s="4" t="s">
        <v>607</v>
      </c>
      <c r="H569" s="4" t="s">
        <v>607</v>
      </c>
      <c r="I569" s="4" t="s">
        <v>607</v>
      </c>
      <c r="J569" s="4" t="s">
        <v>607</v>
      </c>
      <c r="K569" s="4" t="s">
        <v>607</v>
      </c>
      <c r="L569" s="4" t="s">
        <v>607</v>
      </c>
      <c r="M569" s="4" t="s">
        <v>607</v>
      </c>
      <c r="N569" s="4" t="s">
        <v>607</v>
      </c>
      <c r="O569" s="4"/>
      <c r="P569" s="4"/>
      <c r="T569" s="4"/>
    </row>
    <row r="570">
      <c r="A570" s="4" t="s">
        <v>2439</v>
      </c>
      <c r="B570" s="4" t="s">
        <v>607</v>
      </c>
      <c r="C570" s="6" t="s">
        <v>607</v>
      </c>
      <c r="D570" s="6" t="s">
        <v>607</v>
      </c>
      <c r="E570" s="6" t="s">
        <v>607</v>
      </c>
      <c r="F570" s="6" t="s">
        <v>607</v>
      </c>
      <c r="G570" s="4" t="s">
        <v>607</v>
      </c>
      <c r="H570" s="4" t="s">
        <v>607</v>
      </c>
      <c r="I570" s="4" t="s">
        <v>607</v>
      </c>
      <c r="J570" s="4" t="s">
        <v>607</v>
      </c>
      <c r="K570" s="4" t="s">
        <v>607</v>
      </c>
      <c r="L570" s="4" t="s">
        <v>607</v>
      </c>
      <c r="M570" s="4" t="s">
        <v>607</v>
      </c>
      <c r="N570" s="4" t="s">
        <v>607</v>
      </c>
      <c r="O570" s="4"/>
      <c r="P570" s="4"/>
      <c r="T570" s="4"/>
    </row>
    <row r="571">
      <c r="A571" s="4" t="s">
        <v>2444</v>
      </c>
      <c r="B571" s="4" t="s">
        <v>607</v>
      </c>
      <c r="C571" s="6" t="s">
        <v>607</v>
      </c>
      <c r="D571" s="6" t="s">
        <v>607</v>
      </c>
      <c r="E571" s="6" t="s">
        <v>607</v>
      </c>
      <c r="F571" s="6" t="s">
        <v>607</v>
      </c>
      <c r="G571" s="4" t="s">
        <v>607</v>
      </c>
      <c r="H571" s="4" t="s">
        <v>607</v>
      </c>
      <c r="I571" s="4" t="s">
        <v>607</v>
      </c>
      <c r="J571" s="4" t="s">
        <v>607</v>
      </c>
      <c r="K571" s="4" t="s">
        <v>607</v>
      </c>
      <c r="L571" s="4" t="s">
        <v>607</v>
      </c>
      <c r="M571" s="4" t="s">
        <v>607</v>
      </c>
      <c r="N571" s="4" t="s">
        <v>607</v>
      </c>
      <c r="O571" s="4"/>
      <c r="P571" s="4"/>
      <c r="T571" s="4"/>
    </row>
    <row r="572">
      <c r="A572" s="4" t="s">
        <v>2447</v>
      </c>
      <c r="B572" s="4" t="s">
        <v>607</v>
      </c>
      <c r="C572" s="6" t="s">
        <v>607</v>
      </c>
      <c r="D572" s="6" t="s">
        <v>607</v>
      </c>
      <c r="E572" s="6" t="s">
        <v>607</v>
      </c>
      <c r="F572" s="6" t="s">
        <v>607</v>
      </c>
      <c r="G572" s="4" t="s">
        <v>607</v>
      </c>
      <c r="H572" s="4" t="s">
        <v>607</v>
      </c>
      <c r="I572" s="4" t="s">
        <v>607</v>
      </c>
      <c r="J572" s="4" t="s">
        <v>607</v>
      </c>
      <c r="K572" s="4" t="s">
        <v>607</v>
      </c>
      <c r="L572" s="4" t="s">
        <v>607</v>
      </c>
      <c r="M572" s="4" t="s">
        <v>607</v>
      </c>
      <c r="N572" s="4" t="s">
        <v>607</v>
      </c>
      <c r="O572" s="4"/>
      <c r="P572" s="4"/>
      <c r="T572" s="4"/>
    </row>
    <row r="573">
      <c r="A573" s="4" t="s">
        <v>2448</v>
      </c>
      <c r="B573" s="4" t="s">
        <v>607</v>
      </c>
      <c r="C573" s="6" t="s">
        <v>607</v>
      </c>
      <c r="D573" s="6" t="s">
        <v>607</v>
      </c>
      <c r="E573" s="6" t="s">
        <v>607</v>
      </c>
      <c r="F573" s="6" t="s">
        <v>607</v>
      </c>
      <c r="G573" s="4" t="s">
        <v>607</v>
      </c>
      <c r="H573" s="4" t="s">
        <v>607</v>
      </c>
      <c r="I573" s="4" t="s">
        <v>607</v>
      </c>
      <c r="J573" s="4" t="s">
        <v>607</v>
      </c>
      <c r="K573" s="4" t="s">
        <v>607</v>
      </c>
      <c r="L573" s="4" t="s">
        <v>607</v>
      </c>
      <c r="M573" s="4" t="s">
        <v>607</v>
      </c>
      <c r="N573" s="4" t="s">
        <v>607</v>
      </c>
      <c r="O573" s="4"/>
      <c r="P573" s="4"/>
      <c r="T573" s="4"/>
    </row>
    <row r="574">
      <c r="A574" s="4" t="s">
        <v>2450</v>
      </c>
      <c r="B574" s="4" t="s">
        <v>607</v>
      </c>
      <c r="C574" s="6" t="s">
        <v>607</v>
      </c>
      <c r="D574" s="6" t="s">
        <v>607</v>
      </c>
      <c r="E574" s="6" t="s">
        <v>607</v>
      </c>
      <c r="F574" s="6" t="s">
        <v>607</v>
      </c>
      <c r="G574" s="4" t="s">
        <v>607</v>
      </c>
      <c r="H574" s="4" t="s">
        <v>607</v>
      </c>
      <c r="I574" s="4" t="s">
        <v>607</v>
      </c>
      <c r="J574" s="4" t="s">
        <v>607</v>
      </c>
      <c r="K574" s="4" t="s">
        <v>607</v>
      </c>
      <c r="L574" s="4" t="s">
        <v>607</v>
      </c>
      <c r="M574" s="4" t="s">
        <v>607</v>
      </c>
      <c r="N574" s="4" t="s">
        <v>607</v>
      </c>
      <c r="O574" s="4"/>
      <c r="P574" s="4"/>
      <c r="T574" s="4"/>
    </row>
    <row r="575">
      <c r="A575" s="4" t="s">
        <v>2453</v>
      </c>
      <c r="B575" s="4" t="s">
        <v>607</v>
      </c>
      <c r="C575" s="6" t="s">
        <v>607</v>
      </c>
      <c r="D575" s="6" t="s">
        <v>607</v>
      </c>
      <c r="E575" s="6" t="s">
        <v>607</v>
      </c>
      <c r="F575" s="6" t="s">
        <v>607</v>
      </c>
      <c r="G575" s="4" t="s">
        <v>607</v>
      </c>
      <c r="H575" s="4" t="s">
        <v>607</v>
      </c>
      <c r="I575" s="4" t="s">
        <v>607</v>
      </c>
      <c r="J575" s="4" t="s">
        <v>607</v>
      </c>
      <c r="K575" s="4" t="s">
        <v>607</v>
      </c>
      <c r="L575" s="4" t="s">
        <v>607</v>
      </c>
      <c r="M575" s="4" t="s">
        <v>607</v>
      </c>
      <c r="N575" s="4" t="s">
        <v>607</v>
      </c>
      <c r="O575" s="4"/>
      <c r="P575" s="4"/>
      <c r="T575" s="4"/>
    </row>
    <row r="576">
      <c r="A576" s="4" t="s">
        <v>2455</v>
      </c>
      <c r="B576" s="4" t="s">
        <v>607</v>
      </c>
      <c r="C576" s="6" t="s">
        <v>607</v>
      </c>
      <c r="D576" s="6" t="s">
        <v>607</v>
      </c>
      <c r="E576" s="6" t="s">
        <v>607</v>
      </c>
      <c r="F576" s="6" t="s">
        <v>607</v>
      </c>
      <c r="G576" s="4" t="s">
        <v>607</v>
      </c>
      <c r="H576" s="4" t="s">
        <v>607</v>
      </c>
      <c r="I576" s="4" t="s">
        <v>607</v>
      </c>
      <c r="J576" s="4" t="s">
        <v>607</v>
      </c>
      <c r="K576" s="4" t="s">
        <v>607</v>
      </c>
      <c r="L576" s="4" t="s">
        <v>607</v>
      </c>
      <c r="M576" s="4" t="s">
        <v>607</v>
      </c>
      <c r="N576" s="4" t="s">
        <v>607</v>
      </c>
      <c r="O576" s="4"/>
      <c r="P576" s="4"/>
      <c r="T576" s="4"/>
    </row>
    <row r="577">
      <c r="A577" s="4" t="s">
        <v>2461</v>
      </c>
      <c r="B577" s="4" t="s">
        <v>607</v>
      </c>
      <c r="C577" s="6" t="s">
        <v>607</v>
      </c>
      <c r="D577" s="6" t="s">
        <v>607</v>
      </c>
      <c r="E577" s="6" t="s">
        <v>607</v>
      </c>
      <c r="F577" s="6" t="s">
        <v>607</v>
      </c>
      <c r="G577" s="4" t="s">
        <v>607</v>
      </c>
      <c r="H577" s="4" t="s">
        <v>607</v>
      </c>
      <c r="I577" s="4" t="s">
        <v>607</v>
      </c>
      <c r="J577" s="4" t="s">
        <v>607</v>
      </c>
      <c r="K577" s="4" t="s">
        <v>607</v>
      </c>
      <c r="L577" s="4" t="s">
        <v>607</v>
      </c>
      <c r="M577" s="4" t="s">
        <v>607</v>
      </c>
      <c r="N577" s="4" t="s">
        <v>607</v>
      </c>
      <c r="O577" s="4"/>
      <c r="P577" s="4"/>
      <c r="T577" s="4"/>
    </row>
    <row r="578">
      <c r="A578" s="4" t="s">
        <v>2462</v>
      </c>
      <c r="B578" s="4" t="s">
        <v>607</v>
      </c>
      <c r="C578" s="6" t="s">
        <v>607</v>
      </c>
      <c r="D578" s="6" t="s">
        <v>607</v>
      </c>
      <c r="E578" s="6" t="s">
        <v>607</v>
      </c>
      <c r="F578" s="6" t="s">
        <v>607</v>
      </c>
      <c r="G578" s="4" t="s">
        <v>607</v>
      </c>
      <c r="H578" s="4" t="s">
        <v>607</v>
      </c>
      <c r="I578" s="4" t="s">
        <v>607</v>
      </c>
      <c r="J578" s="4" t="s">
        <v>607</v>
      </c>
      <c r="K578" s="4" t="s">
        <v>607</v>
      </c>
      <c r="L578" s="4" t="s">
        <v>607</v>
      </c>
      <c r="M578" s="4" t="s">
        <v>607</v>
      </c>
      <c r="N578" s="4" t="s">
        <v>607</v>
      </c>
      <c r="O578" s="4"/>
      <c r="P578" s="4"/>
      <c r="T578" s="4"/>
    </row>
    <row r="579">
      <c r="A579" s="4" t="s">
        <v>2463</v>
      </c>
      <c r="B579" s="4" t="s">
        <v>607</v>
      </c>
      <c r="C579" s="6" t="s">
        <v>607</v>
      </c>
      <c r="D579" s="6" t="s">
        <v>607</v>
      </c>
      <c r="E579" s="6" t="s">
        <v>607</v>
      </c>
      <c r="F579" s="6" t="s">
        <v>607</v>
      </c>
      <c r="G579" s="4" t="s">
        <v>607</v>
      </c>
      <c r="H579" s="4" t="s">
        <v>607</v>
      </c>
      <c r="I579" s="4" t="s">
        <v>607</v>
      </c>
      <c r="J579" s="4" t="s">
        <v>607</v>
      </c>
      <c r="K579" s="4" t="s">
        <v>607</v>
      </c>
      <c r="L579" s="4" t="s">
        <v>607</v>
      </c>
      <c r="M579" s="4" t="s">
        <v>607</v>
      </c>
      <c r="N579" s="4" t="s">
        <v>607</v>
      </c>
      <c r="O579" s="4"/>
      <c r="P579" s="4"/>
      <c r="T579" s="4"/>
    </row>
    <row r="580">
      <c r="A580" s="4" t="s">
        <v>2466</v>
      </c>
      <c r="B580" s="4" t="s">
        <v>607</v>
      </c>
      <c r="C580" s="6" t="s">
        <v>607</v>
      </c>
      <c r="D580" s="6" t="s">
        <v>607</v>
      </c>
      <c r="E580" s="6" t="s">
        <v>607</v>
      </c>
      <c r="F580" s="6" t="s">
        <v>607</v>
      </c>
      <c r="G580" s="4" t="s">
        <v>607</v>
      </c>
      <c r="H580" s="4" t="s">
        <v>607</v>
      </c>
      <c r="I580" s="4" t="s">
        <v>607</v>
      </c>
      <c r="J580" s="4" t="s">
        <v>607</v>
      </c>
      <c r="K580" s="4" t="s">
        <v>607</v>
      </c>
      <c r="L580" s="4" t="s">
        <v>607</v>
      </c>
      <c r="M580" s="4" t="s">
        <v>607</v>
      </c>
      <c r="N580" s="4" t="s">
        <v>607</v>
      </c>
      <c r="O580" s="4"/>
      <c r="P580" s="4"/>
      <c r="T580" s="4"/>
    </row>
    <row r="581">
      <c r="A581" s="4" t="s">
        <v>2467</v>
      </c>
      <c r="B581" s="4" t="s">
        <v>607</v>
      </c>
      <c r="C581" s="6" t="s">
        <v>607</v>
      </c>
      <c r="D581" s="6" t="s">
        <v>607</v>
      </c>
      <c r="E581" s="6" t="s">
        <v>607</v>
      </c>
      <c r="F581" s="6" t="s">
        <v>607</v>
      </c>
      <c r="G581" s="4" t="s">
        <v>607</v>
      </c>
      <c r="H581" s="4" t="s">
        <v>607</v>
      </c>
      <c r="I581" s="4" t="s">
        <v>607</v>
      </c>
      <c r="J581" s="4" t="s">
        <v>607</v>
      </c>
      <c r="K581" s="4" t="s">
        <v>607</v>
      </c>
      <c r="L581" s="4" t="s">
        <v>607</v>
      </c>
      <c r="M581" s="4" t="s">
        <v>607</v>
      </c>
      <c r="N581" s="4" t="s">
        <v>607</v>
      </c>
      <c r="O581" s="4"/>
      <c r="P581" s="4"/>
      <c r="T581" s="4"/>
    </row>
    <row r="582">
      <c r="A582" s="4" t="s">
        <v>2468</v>
      </c>
      <c r="B582" s="4" t="s">
        <v>607</v>
      </c>
      <c r="C582" s="6" t="s">
        <v>607</v>
      </c>
      <c r="D582" s="6" t="s">
        <v>607</v>
      </c>
      <c r="E582" s="6" t="s">
        <v>607</v>
      </c>
      <c r="F582" s="6" t="s">
        <v>607</v>
      </c>
      <c r="G582" s="4" t="s">
        <v>607</v>
      </c>
      <c r="H582" s="4" t="s">
        <v>607</v>
      </c>
      <c r="I582" s="4" t="s">
        <v>607</v>
      </c>
      <c r="J582" s="4" t="s">
        <v>607</v>
      </c>
      <c r="K582" s="4" t="s">
        <v>607</v>
      </c>
      <c r="L582" s="4" t="s">
        <v>607</v>
      </c>
      <c r="M582" s="4" t="s">
        <v>607</v>
      </c>
      <c r="N582" s="4" t="s">
        <v>607</v>
      </c>
      <c r="O582" s="4"/>
      <c r="P582" s="4"/>
      <c r="T582" s="4"/>
    </row>
    <row r="583">
      <c r="A583" s="4" t="s">
        <v>2469</v>
      </c>
      <c r="B583" s="4" t="s">
        <v>607</v>
      </c>
      <c r="C583" s="6" t="s">
        <v>607</v>
      </c>
      <c r="D583" s="6" t="s">
        <v>607</v>
      </c>
      <c r="E583" s="6" t="s">
        <v>607</v>
      </c>
      <c r="F583" s="6" t="s">
        <v>607</v>
      </c>
      <c r="G583" s="4" t="s">
        <v>607</v>
      </c>
      <c r="H583" s="4" t="s">
        <v>607</v>
      </c>
      <c r="I583" s="4" t="s">
        <v>607</v>
      </c>
      <c r="J583" s="4" t="s">
        <v>607</v>
      </c>
      <c r="K583" s="4" t="s">
        <v>607</v>
      </c>
      <c r="L583" s="4" t="s">
        <v>607</v>
      </c>
      <c r="M583" s="4" t="s">
        <v>607</v>
      </c>
      <c r="N583" s="4" t="s">
        <v>607</v>
      </c>
      <c r="O583" s="4"/>
      <c r="P583" s="4"/>
      <c r="T583" s="4"/>
    </row>
    <row r="584">
      <c r="A584" s="4" t="s">
        <v>2473</v>
      </c>
      <c r="B584" s="4" t="s">
        <v>607</v>
      </c>
      <c r="C584" s="6" t="s">
        <v>607</v>
      </c>
      <c r="D584" s="6" t="s">
        <v>607</v>
      </c>
      <c r="E584" s="6" t="s">
        <v>607</v>
      </c>
      <c r="F584" s="6" t="s">
        <v>607</v>
      </c>
      <c r="G584" s="4" t="s">
        <v>607</v>
      </c>
      <c r="H584" s="4" t="s">
        <v>607</v>
      </c>
      <c r="I584" s="4" t="s">
        <v>607</v>
      </c>
      <c r="J584" s="4" t="s">
        <v>607</v>
      </c>
      <c r="K584" s="4" t="s">
        <v>607</v>
      </c>
      <c r="L584" s="4" t="s">
        <v>607</v>
      </c>
      <c r="M584" s="4" t="s">
        <v>607</v>
      </c>
      <c r="N584" s="4" t="s">
        <v>607</v>
      </c>
      <c r="O584" s="4"/>
      <c r="P584" s="4"/>
      <c r="T584" s="4"/>
    </row>
    <row r="585">
      <c r="A585" s="4" t="s">
        <v>2474</v>
      </c>
      <c r="B585" s="4" t="s">
        <v>607</v>
      </c>
      <c r="C585" s="6" t="s">
        <v>607</v>
      </c>
      <c r="D585" s="6" t="s">
        <v>607</v>
      </c>
      <c r="E585" s="6" t="s">
        <v>607</v>
      </c>
      <c r="F585" s="6" t="s">
        <v>607</v>
      </c>
      <c r="G585" s="4" t="s">
        <v>607</v>
      </c>
      <c r="H585" s="4" t="s">
        <v>607</v>
      </c>
      <c r="I585" s="4" t="s">
        <v>607</v>
      </c>
      <c r="J585" s="4" t="s">
        <v>607</v>
      </c>
      <c r="K585" s="4" t="s">
        <v>607</v>
      </c>
      <c r="L585" s="4" t="s">
        <v>607</v>
      </c>
      <c r="M585" s="4" t="s">
        <v>607</v>
      </c>
      <c r="N585" s="4" t="s">
        <v>607</v>
      </c>
      <c r="O585" s="4"/>
      <c r="P585" s="4"/>
      <c r="T585" s="4"/>
    </row>
    <row r="586">
      <c r="A586" s="4" t="s">
        <v>2475</v>
      </c>
      <c r="B586" s="4" t="s">
        <v>607</v>
      </c>
      <c r="C586" s="6" t="s">
        <v>607</v>
      </c>
      <c r="D586" s="6" t="s">
        <v>607</v>
      </c>
      <c r="E586" s="6" t="s">
        <v>607</v>
      </c>
      <c r="F586" s="6" t="s">
        <v>607</v>
      </c>
      <c r="G586" s="4" t="s">
        <v>607</v>
      </c>
      <c r="H586" s="4" t="s">
        <v>607</v>
      </c>
      <c r="I586" s="4" t="s">
        <v>607</v>
      </c>
      <c r="J586" s="4" t="s">
        <v>607</v>
      </c>
      <c r="K586" s="4" t="s">
        <v>607</v>
      </c>
      <c r="L586" s="4" t="s">
        <v>607</v>
      </c>
      <c r="M586" s="4" t="s">
        <v>607</v>
      </c>
      <c r="N586" s="4" t="s">
        <v>607</v>
      </c>
      <c r="O586" s="4"/>
      <c r="P586" s="4"/>
      <c r="T586" s="4"/>
    </row>
    <row r="587">
      <c r="A587" s="4" t="s">
        <v>2477</v>
      </c>
      <c r="B587" s="4" t="s">
        <v>607</v>
      </c>
      <c r="C587" s="6" t="s">
        <v>607</v>
      </c>
      <c r="D587" s="6" t="s">
        <v>607</v>
      </c>
      <c r="E587" s="6" t="s">
        <v>607</v>
      </c>
      <c r="F587" s="6" t="s">
        <v>607</v>
      </c>
      <c r="G587" s="4" t="s">
        <v>607</v>
      </c>
      <c r="H587" s="4" t="s">
        <v>607</v>
      </c>
      <c r="I587" s="4" t="s">
        <v>607</v>
      </c>
      <c r="J587" s="4" t="s">
        <v>607</v>
      </c>
      <c r="K587" s="4" t="s">
        <v>607</v>
      </c>
      <c r="L587" s="4" t="s">
        <v>607</v>
      </c>
      <c r="M587" s="4" t="s">
        <v>607</v>
      </c>
      <c r="N587" s="4" t="s">
        <v>607</v>
      </c>
      <c r="O587" s="4"/>
      <c r="P587" s="4"/>
      <c r="T587" s="4"/>
    </row>
    <row r="588">
      <c r="A588" s="4" t="s">
        <v>2478</v>
      </c>
      <c r="B588" s="4" t="s">
        <v>607</v>
      </c>
      <c r="C588" s="6" t="s">
        <v>607</v>
      </c>
      <c r="D588" s="6" t="s">
        <v>607</v>
      </c>
      <c r="E588" s="6" t="s">
        <v>607</v>
      </c>
      <c r="F588" s="6" t="s">
        <v>607</v>
      </c>
      <c r="G588" s="4" t="s">
        <v>607</v>
      </c>
      <c r="H588" s="4" t="s">
        <v>607</v>
      </c>
      <c r="I588" s="4" t="s">
        <v>607</v>
      </c>
      <c r="J588" s="4" t="s">
        <v>607</v>
      </c>
      <c r="K588" s="4" t="s">
        <v>607</v>
      </c>
      <c r="L588" s="4" t="s">
        <v>607</v>
      </c>
      <c r="M588" s="4" t="s">
        <v>607</v>
      </c>
      <c r="N588" s="4" t="s">
        <v>607</v>
      </c>
      <c r="O588" s="4"/>
      <c r="P588" s="4"/>
      <c r="T588" s="4"/>
    </row>
    <row r="589">
      <c r="A589" s="4" t="s">
        <v>2479</v>
      </c>
      <c r="B589" s="4" t="s">
        <v>607</v>
      </c>
      <c r="C589" s="6" t="s">
        <v>607</v>
      </c>
      <c r="D589" s="6" t="s">
        <v>607</v>
      </c>
      <c r="E589" s="6" t="s">
        <v>607</v>
      </c>
      <c r="F589" s="6" t="s">
        <v>607</v>
      </c>
      <c r="G589" s="4" t="s">
        <v>607</v>
      </c>
      <c r="H589" s="4" t="s">
        <v>607</v>
      </c>
      <c r="I589" s="4" t="s">
        <v>607</v>
      </c>
      <c r="J589" s="4" t="s">
        <v>607</v>
      </c>
      <c r="K589" s="4" t="s">
        <v>607</v>
      </c>
      <c r="L589" s="4" t="s">
        <v>607</v>
      </c>
      <c r="M589" s="4" t="s">
        <v>607</v>
      </c>
      <c r="N589" s="4" t="s">
        <v>607</v>
      </c>
      <c r="O589" s="4"/>
      <c r="P589" s="4"/>
      <c r="T589" s="4"/>
    </row>
    <row r="590">
      <c r="A590" s="4" t="s">
        <v>2480</v>
      </c>
      <c r="B590" s="4" t="s">
        <v>607</v>
      </c>
      <c r="C590" s="6" t="s">
        <v>607</v>
      </c>
      <c r="D590" s="6" t="s">
        <v>607</v>
      </c>
      <c r="E590" s="6" t="s">
        <v>607</v>
      </c>
      <c r="F590" s="6" t="s">
        <v>607</v>
      </c>
      <c r="G590" s="4" t="s">
        <v>607</v>
      </c>
      <c r="H590" s="4" t="s">
        <v>607</v>
      </c>
      <c r="I590" s="4" t="s">
        <v>607</v>
      </c>
      <c r="J590" s="4" t="s">
        <v>607</v>
      </c>
      <c r="K590" s="4" t="s">
        <v>607</v>
      </c>
      <c r="L590" s="4" t="s">
        <v>607</v>
      </c>
      <c r="M590" s="4" t="s">
        <v>607</v>
      </c>
      <c r="N590" s="4" t="s">
        <v>607</v>
      </c>
      <c r="O590" s="4"/>
      <c r="P590" s="4"/>
      <c r="T590" s="4"/>
    </row>
    <row r="591">
      <c r="A591" s="4" t="s">
        <v>2484</v>
      </c>
      <c r="B591" s="4" t="s">
        <v>607</v>
      </c>
      <c r="C591" s="6" t="s">
        <v>607</v>
      </c>
      <c r="D591" s="6" t="s">
        <v>607</v>
      </c>
      <c r="E591" s="6" t="s">
        <v>607</v>
      </c>
      <c r="F591" s="6" t="s">
        <v>607</v>
      </c>
      <c r="G591" s="4" t="s">
        <v>607</v>
      </c>
      <c r="H591" s="4" t="s">
        <v>607</v>
      </c>
      <c r="I591" s="4" t="s">
        <v>607</v>
      </c>
      <c r="J591" s="4" t="s">
        <v>607</v>
      </c>
      <c r="K591" s="4" t="s">
        <v>607</v>
      </c>
      <c r="L591" s="4" t="s">
        <v>607</v>
      </c>
      <c r="M591" s="4" t="s">
        <v>607</v>
      </c>
      <c r="N591" s="4" t="s">
        <v>607</v>
      </c>
      <c r="O591" s="4"/>
      <c r="P591" s="4"/>
      <c r="T591" s="4"/>
    </row>
    <row r="592">
      <c r="A592" s="4" t="s">
        <v>2485</v>
      </c>
      <c r="B592" s="4" t="s">
        <v>607</v>
      </c>
      <c r="C592" s="6" t="s">
        <v>607</v>
      </c>
      <c r="D592" s="6" t="s">
        <v>607</v>
      </c>
      <c r="E592" s="6" t="s">
        <v>607</v>
      </c>
      <c r="F592" s="6" t="s">
        <v>607</v>
      </c>
      <c r="G592" s="4" t="s">
        <v>607</v>
      </c>
      <c r="H592" s="4" t="s">
        <v>607</v>
      </c>
      <c r="I592" s="4" t="s">
        <v>607</v>
      </c>
      <c r="J592" s="4" t="s">
        <v>607</v>
      </c>
      <c r="K592" s="4" t="s">
        <v>607</v>
      </c>
      <c r="L592" s="4" t="s">
        <v>607</v>
      </c>
      <c r="M592" s="4" t="s">
        <v>607</v>
      </c>
      <c r="N592" s="4" t="s">
        <v>607</v>
      </c>
      <c r="O592" s="4"/>
      <c r="P592" s="4"/>
      <c r="T592" s="4"/>
    </row>
    <row r="593">
      <c r="A593" s="4" t="s">
        <v>2486</v>
      </c>
      <c r="B593" s="4" t="s">
        <v>607</v>
      </c>
      <c r="C593" s="6" t="s">
        <v>607</v>
      </c>
      <c r="D593" s="6" t="s">
        <v>607</v>
      </c>
      <c r="E593" s="6" t="s">
        <v>607</v>
      </c>
      <c r="F593" s="6" t="s">
        <v>607</v>
      </c>
      <c r="G593" s="4" t="s">
        <v>607</v>
      </c>
      <c r="H593" s="4" t="s">
        <v>607</v>
      </c>
      <c r="I593" s="4" t="s">
        <v>607</v>
      </c>
      <c r="J593" s="4" t="s">
        <v>607</v>
      </c>
      <c r="K593" s="4" t="s">
        <v>607</v>
      </c>
      <c r="L593" s="4" t="s">
        <v>607</v>
      </c>
      <c r="M593" s="4" t="s">
        <v>607</v>
      </c>
      <c r="N593" s="4" t="s">
        <v>607</v>
      </c>
      <c r="O593" s="4"/>
      <c r="P593" s="4"/>
      <c r="T593" s="4"/>
    </row>
    <row r="594">
      <c r="A594" s="4" t="s">
        <v>2487</v>
      </c>
      <c r="B594" s="4" t="s">
        <v>607</v>
      </c>
      <c r="C594" s="6" t="s">
        <v>607</v>
      </c>
      <c r="D594" s="6" t="s">
        <v>607</v>
      </c>
      <c r="E594" s="6" t="s">
        <v>607</v>
      </c>
      <c r="F594" s="6" t="s">
        <v>607</v>
      </c>
      <c r="G594" s="4" t="s">
        <v>607</v>
      </c>
      <c r="H594" s="4" t="s">
        <v>607</v>
      </c>
      <c r="I594" s="4" t="s">
        <v>607</v>
      </c>
      <c r="J594" s="4" t="s">
        <v>607</v>
      </c>
      <c r="K594" s="4" t="s">
        <v>607</v>
      </c>
      <c r="L594" s="4" t="s">
        <v>607</v>
      </c>
      <c r="M594" s="4" t="s">
        <v>607</v>
      </c>
      <c r="N594" s="4" t="s">
        <v>607</v>
      </c>
      <c r="O594" s="4"/>
      <c r="P594" s="4"/>
      <c r="T594" s="4"/>
    </row>
    <row r="595">
      <c r="A595" s="4" t="s">
        <v>2488</v>
      </c>
      <c r="B595" s="4" t="s">
        <v>607</v>
      </c>
      <c r="C595" s="6" t="s">
        <v>607</v>
      </c>
      <c r="D595" s="6" t="s">
        <v>607</v>
      </c>
      <c r="E595" s="6" t="s">
        <v>607</v>
      </c>
      <c r="F595" s="6" t="s">
        <v>607</v>
      </c>
      <c r="G595" s="4" t="s">
        <v>607</v>
      </c>
      <c r="H595" s="4" t="s">
        <v>607</v>
      </c>
      <c r="I595" s="4" t="s">
        <v>607</v>
      </c>
      <c r="J595" s="4" t="s">
        <v>607</v>
      </c>
      <c r="K595" s="4" t="s">
        <v>607</v>
      </c>
      <c r="L595" s="4" t="s">
        <v>607</v>
      </c>
      <c r="M595" s="4" t="s">
        <v>607</v>
      </c>
      <c r="N595" s="4" t="s">
        <v>607</v>
      </c>
      <c r="O595" s="4"/>
      <c r="P595" s="4"/>
      <c r="T595" s="4"/>
    </row>
    <row r="596">
      <c r="A596" s="4" t="s">
        <v>2489</v>
      </c>
      <c r="B596" s="4" t="s">
        <v>607</v>
      </c>
      <c r="C596" s="6" t="s">
        <v>607</v>
      </c>
      <c r="D596" s="6" t="s">
        <v>607</v>
      </c>
      <c r="E596" s="6" t="s">
        <v>607</v>
      </c>
      <c r="F596" s="6" t="s">
        <v>607</v>
      </c>
      <c r="G596" s="4" t="s">
        <v>607</v>
      </c>
      <c r="H596" s="4" t="s">
        <v>607</v>
      </c>
      <c r="I596" s="4" t="s">
        <v>607</v>
      </c>
      <c r="J596" s="4" t="s">
        <v>607</v>
      </c>
      <c r="K596" s="4" t="s">
        <v>607</v>
      </c>
      <c r="L596" s="4" t="s">
        <v>607</v>
      </c>
      <c r="M596" s="4" t="s">
        <v>607</v>
      </c>
      <c r="N596" s="4" t="s">
        <v>607</v>
      </c>
      <c r="O596" s="4"/>
      <c r="P596" s="4"/>
      <c r="T596" s="4"/>
    </row>
    <row r="597">
      <c r="A597" s="4" t="s">
        <v>2490</v>
      </c>
      <c r="B597" s="4" t="s">
        <v>607</v>
      </c>
      <c r="C597" s="6" t="s">
        <v>607</v>
      </c>
      <c r="D597" s="6" t="s">
        <v>607</v>
      </c>
      <c r="E597" s="6" t="s">
        <v>607</v>
      </c>
      <c r="F597" s="6" t="s">
        <v>607</v>
      </c>
      <c r="G597" s="4" t="s">
        <v>607</v>
      </c>
      <c r="H597" s="4" t="s">
        <v>607</v>
      </c>
      <c r="I597" s="4" t="s">
        <v>607</v>
      </c>
      <c r="J597" s="4" t="s">
        <v>607</v>
      </c>
      <c r="K597" s="4" t="s">
        <v>607</v>
      </c>
      <c r="L597" s="4" t="s">
        <v>607</v>
      </c>
      <c r="M597" s="4" t="s">
        <v>607</v>
      </c>
      <c r="N597" s="4" t="s">
        <v>607</v>
      </c>
      <c r="O597" s="4"/>
      <c r="P597" s="4"/>
      <c r="T597" s="4"/>
    </row>
    <row r="598">
      <c r="A598" s="4" t="s">
        <v>2491</v>
      </c>
      <c r="B598" s="4" t="s">
        <v>607</v>
      </c>
      <c r="C598" s="6" t="s">
        <v>607</v>
      </c>
      <c r="D598" s="6" t="s">
        <v>607</v>
      </c>
      <c r="E598" s="6" t="s">
        <v>607</v>
      </c>
      <c r="F598" s="6" t="s">
        <v>607</v>
      </c>
      <c r="G598" s="4" t="s">
        <v>607</v>
      </c>
      <c r="H598" s="4" t="s">
        <v>607</v>
      </c>
      <c r="I598" s="4" t="s">
        <v>607</v>
      </c>
      <c r="J598" s="4" t="s">
        <v>607</v>
      </c>
      <c r="K598" s="4" t="s">
        <v>607</v>
      </c>
      <c r="L598" s="4" t="s">
        <v>607</v>
      </c>
      <c r="M598" s="4" t="s">
        <v>607</v>
      </c>
      <c r="N598" s="4" t="s">
        <v>607</v>
      </c>
      <c r="O598" s="4"/>
      <c r="P598" s="4"/>
      <c r="T598" s="4"/>
    </row>
    <row r="599">
      <c r="A599" s="4" t="s">
        <v>2494</v>
      </c>
      <c r="B599" s="4" t="s">
        <v>607</v>
      </c>
      <c r="C599" s="6" t="s">
        <v>607</v>
      </c>
      <c r="D599" s="6" t="s">
        <v>607</v>
      </c>
      <c r="E599" s="6" t="s">
        <v>607</v>
      </c>
      <c r="F599" s="6" t="s">
        <v>607</v>
      </c>
      <c r="G599" s="4" t="s">
        <v>607</v>
      </c>
      <c r="H599" s="4" t="s">
        <v>607</v>
      </c>
      <c r="I599" s="4" t="s">
        <v>607</v>
      </c>
      <c r="J599" s="4" t="s">
        <v>607</v>
      </c>
      <c r="K599" s="4" t="s">
        <v>607</v>
      </c>
      <c r="L599" s="4" t="s">
        <v>607</v>
      </c>
      <c r="M599" s="4" t="s">
        <v>607</v>
      </c>
      <c r="N599" s="4" t="s">
        <v>607</v>
      </c>
      <c r="O599" s="4"/>
      <c r="P599" s="4"/>
      <c r="T599" s="4"/>
    </row>
    <row r="600">
      <c r="A600" s="4" t="s">
        <v>2495</v>
      </c>
      <c r="B600" s="4" t="s">
        <v>607</v>
      </c>
      <c r="C600" s="6" t="s">
        <v>607</v>
      </c>
      <c r="D600" s="6" t="s">
        <v>607</v>
      </c>
      <c r="E600" s="6" t="s">
        <v>607</v>
      </c>
      <c r="F600" s="6" t="s">
        <v>607</v>
      </c>
      <c r="G600" s="4" t="s">
        <v>607</v>
      </c>
      <c r="H600" s="4" t="s">
        <v>607</v>
      </c>
      <c r="I600" s="4" t="s">
        <v>607</v>
      </c>
      <c r="J600" s="4" t="s">
        <v>607</v>
      </c>
      <c r="K600" s="4" t="s">
        <v>607</v>
      </c>
      <c r="L600" s="4" t="s">
        <v>607</v>
      </c>
      <c r="M600" s="4" t="s">
        <v>607</v>
      </c>
      <c r="N600" s="4" t="s">
        <v>607</v>
      </c>
      <c r="O600" s="4"/>
      <c r="P600" s="4"/>
      <c r="T600" s="4"/>
    </row>
    <row r="601">
      <c r="A601" s="4" t="s">
        <v>2496</v>
      </c>
      <c r="B601" s="4" t="s">
        <v>607</v>
      </c>
      <c r="C601" s="6" t="s">
        <v>607</v>
      </c>
      <c r="D601" s="6" t="s">
        <v>607</v>
      </c>
      <c r="E601" s="6" t="s">
        <v>607</v>
      </c>
      <c r="F601" s="6" t="s">
        <v>607</v>
      </c>
      <c r="G601" s="4" t="s">
        <v>607</v>
      </c>
      <c r="H601" s="4" t="s">
        <v>607</v>
      </c>
      <c r="I601" s="4" t="s">
        <v>607</v>
      </c>
      <c r="J601" s="4" t="s">
        <v>607</v>
      </c>
      <c r="K601" s="4" t="s">
        <v>607</v>
      </c>
      <c r="L601" s="4" t="s">
        <v>607</v>
      </c>
      <c r="M601" s="4" t="s">
        <v>607</v>
      </c>
      <c r="N601" s="4" t="s">
        <v>607</v>
      </c>
      <c r="O601" s="4"/>
      <c r="P601" s="4"/>
      <c r="T601" s="4"/>
    </row>
    <row r="602">
      <c r="A602" s="4" t="s">
        <v>2497</v>
      </c>
      <c r="B602" s="4" t="s">
        <v>607</v>
      </c>
      <c r="C602" s="6" t="s">
        <v>607</v>
      </c>
      <c r="D602" s="6" t="s">
        <v>607</v>
      </c>
      <c r="E602" s="6" t="s">
        <v>607</v>
      </c>
      <c r="F602" s="6" t="s">
        <v>607</v>
      </c>
      <c r="G602" s="4" t="s">
        <v>607</v>
      </c>
      <c r="H602" s="4" t="s">
        <v>607</v>
      </c>
      <c r="I602" s="4" t="s">
        <v>607</v>
      </c>
      <c r="J602" s="4" t="s">
        <v>607</v>
      </c>
      <c r="K602" s="4" t="s">
        <v>607</v>
      </c>
      <c r="L602" s="4" t="s">
        <v>607</v>
      </c>
      <c r="M602" s="4" t="s">
        <v>607</v>
      </c>
      <c r="N602" s="4" t="s">
        <v>607</v>
      </c>
      <c r="O602" s="4"/>
      <c r="P602" s="4"/>
      <c r="T602" s="4"/>
    </row>
    <row r="603">
      <c r="A603" s="4" t="s">
        <v>2498</v>
      </c>
      <c r="B603" s="4" t="s">
        <v>607</v>
      </c>
      <c r="C603" s="6" t="s">
        <v>607</v>
      </c>
      <c r="D603" s="6" t="s">
        <v>607</v>
      </c>
      <c r="E603" s="6" t="s">
        <v>607</v>
      </c>
      <c r="F603" s="6" t="s">
        <v>607</v>
      </c>
      <c r="G603" s="4" t="s">
        <v>607</v>
      </c>
      <c r="H603" s="4" t="s">
        <v>607</v>
      </c>
      <c r="I603" s="4" t="s">
        <v>607</v>
      </c>
      <c r="J603" s="4" t="s">
        <v>607</v>
      </c>
      <c r="K603" s="4" t="s">
        <v>607</v>
      </c>
      <c r="L603" s="4" t="s">
        <v>607</v>
      </c>
      <c r="M603" s="4" t="s">
        <v>607</v>
      </c>
      <c r="N603" s="4" t="s">
        <v>607</v>
      </c>
      <c r="O603" s="4"/>
      <c r="P603" s="4"/>
      <c r="T603" s="4"/>
    </row>
    <row r="604">
      <c r="A604" s="4" t="s">
        <v>2499</v>
      </c>
      <c r="B604" s="4" t="s">
        <v>607</v>
      </c>
      <c r="C604" s="6" t="s">
        <v>607</v>
      </c>
      <c r="D604" s="6" t="s">
        <v>607</v>
      </c>
      <c r="E604" s="6" t="s">
        <v>607</v>
      </c>
      <c r="F604" s="6" t="s">
        <v>607</v>
      </c>
      <c r="G604" s="4" t="s">
        <v>607</v>
      </c>
      <c r="H604" s="4" t="s">
        <v>607</v>
      </c>
      <c r="I604" s="4" t="s">
        <v>607</v>
      </c>
      <c r="J604" s="4" t="s">
        <v>607</v>
      </c>
      <c r="K604" s="4" t="s">
        <v>607</v>
      </c>
      <c r="L604" s="4" t="s">
        <v>607</v>
      </c>
      <c r="M604" s="4" t="s">
        <v>607</v>
      </c>
      <c r="N604" s="4" t="s">
        <v>607</v>
      </c>
      <c r="O604" s="4"/>
      <c r="P604" s="4"/>
      <c r="T604" s="4"/>
    </row>
    <row r="605">
      <c r="A605" s="4" t="s">
        <v>2500</v>
      </c>
      <c r="B605" s="4" t="s">
        <v>607</v>
      </c>
      <c r="C605" s="6" t="s">
        <v>607</v>
      </c>
      <c r="D605" s="6" t="s">
        <v>607</v>
      </c>
      <c r="E605" s="6" t="s">
        <v>607</v>
      </c>
      <c r="F605" s="6" t="s">
        <v>607</v>
      </c>
      <c r="G605" s="4" t="s">
        <v>607</v>
      </c>
      <c r="H605" s="4" t="s">
        <v>607</v>
      </c>
      <c r="I605" s="4" t="s">
        <v>607</v>
      </c>
      <c r="J605" s="4" t="s">
        <v>607</v>
      </c>
      <c r="K605" s="4" t="s">
        <v>607</v>
      </c>
      <c r="L605" s="4" t="s">
        <v>607</v>
      </c>
      <c r="M605" s="4" t="s">
        <v>607</v>
      </c>
      <c r="N605" s="4" t="s">
        <v>607</v>
      </c>
      <c r="O605" s="4"/>
      <c r="P605" s="4"/>
      <c r="T605" s="4"/>
    </row>
    <row r="606">
      <c r="A606" s="4" t="s">
        <v>2505</v>
      </c>
      <c r="B606" s="4" t="s">
        <v>607</v>
      </c>
      <c r="C606" s="6" t="s">
        <v>607</v>
      </c>
      <c r="D606" s="6" t="s">
        <v>607</v>
      </c>
      <c r="E606" s="6" t="s">
        <v>607</v>
      </c>
      <c r="F606" s="6" t="s">
        <v>607</v>
      </c>
      <c r="G606" s="4" t="s">
        <v>607</v>
      </c>
      <c r="H606" s="4" t="s">
        <v>607</v>
      </c>
      <c r="I606" s="4" t="s">
        <v>607</v>
      </c>
      <c r="J606" s="4" t="s">
        <v>607</v>
      </c>
      <c r="K606" s="4" t="s">
        <v>607</v>
      </c>
      <c r="L606" s="4" t="s">
        <v>607</v>
      </c>
      <c r="M606" s="4" t="s">
        <v>607</v>
      </c>
      <c r="N606" s="4" t="s">
        <v>607</v>
      </c>
      <c r="O606" s="4"/>
      <c r="P606" s="4"/>
      <c r="T606" s="4"/>
    </row>
    <row r="607">
      <c r="A607" s="4" t="s">
        <v>2506</v>
      </c>
      <c r="B607" s="4" t="s">
        <v>607</v>
      </c>
      <c r="C607" s="6" t="s">
        <v>607</v>
      </c>
      <c r="D607" s="6" t="s">
        <v>607</v>
      </c>
      <c r="E607" s="6" t="s">
        <v>607</v>
      </c>
      <c r="F607" s="6" t="s">
        <v>607</v>
      </c>
      <c r="G607" s="4" t="s">
        <v>607</v>
      </c>
      <c r="H607" s="4" t="s">
        <v>607</v>
      </c>
      <c r="I607" s="4" t="s">
        <v>607</v>
      </c>
      <c r="J607" s="4" t="s">
        <v>607</v>
      </c>
      <c r="K607" s="4" t="s">
        <v>607</v>
      </c>
      <c r="L607" s="4" t="s">
        <v>607</v>
      </c>
      <c r="M607" s="4" t="s">
        <v>607</v>
      </c>
      <c r="N607" s="4" t="s">
        <v>607</v>
      </c>
      <c r="O607" s="4"/>
      <c r="P607" s="4"/>
      <c r="T607" s="4"/>
    </row>
    <row r="608">
      <c r="A608" s="4" t="s">
        <v>2507</v>
      </c>
      <c r="B608" s="4" t="s">
        <v>607</v>
      </c>
      <c r="C608" s="6" t="s">
        <v>607</v>
      </c>
      <c r="D608" s="6" t="s">
        <v>607</v>
      </c>
      <c r="E608" s="6" t="s">
        <v>607</v>
      </c>
      <c r="F608" s="6" t="s">
        <v>607</v>
      </c>
      <c r="G608" s="4" t="s">
        <v>607</v>
      </c>
      <c r="H608" s="4" t="s">
        <v>607</v>
      </c>
      <c r="I608" s="4" t="s">
        <v>607</v>
      </c>
      <c r="J608" s="4" t="s">
        <v>607</v>
      </c>
      <c r="K608" s="4" t="s">
        <v>607</v>
      </c>
      <c r="L608" s="4" t="s">
        <v>607</v>
      </c>
      <c r="M608" s="4" t="s">
        <v>607</v>
      </c>
      <c r="N608" s="4" t="s">
        <v>607</v>
      </c>
      <c r="O608" s="4"/>
      <c r="P608" s="4"/>
      <c r="T608" s="4"/>
    </row>
    <row r="609">
      <c r="A609" s="4" t="s">
        <v>2511</v>
      </c>
      <c r="B609" s="4" t="s">
        <v>607</v>
      </c>
      <c r="C609" s="6" t="s">
        <v>607</v>
      </c>
      <c r="D609" s="6" t="s">
        <v>607</v>
      </c>
      <c r="E609" s="6" t="s">
        <v>607</v>
      </c>
      <c r="F609" s="6" t="s">
        <v>607</v>
      </c>
      <c r="G609" s="4" t="s">
        <v>607</v>
      </c>
      <c r="H609" s="4" t="s">
        <v>607</v>
      </c>
      <c r="I609" s="4" t="s">
        <v>607</v>
      </c>
      <c r="J609" s="4" t="s">
        <v>607</v>
      </c>
      <c r="K609" s="4" t="s">
        <v>607</v>
      </c>
      <c r="L609" s="4" t="s">
        <v>607</v>
      </c>
      <c r="M609" s="4" t="s">
        <v>607</v>
      </c>
      <c r="N609" s="4" t="s">
        <v>607</v>
      </c>
      <c r="O609" s="4"/>
      <c r="P609" s="4"/>
      <c r="T609" s="4"/>
    </row>
    <row r="610">
      <c r="A610" s="4" t="s">
        <v>2512</v>
      </c>
      <c r="B610" s="4" t="s">
        <v>607</v>
      </c>
      <c r="C610" s="6" t="s">
        <v>607</v>
      </c>
      <c r="D610" s="6" t="s">
        <v>607</v>
      </c>
      <c r="E610" s="6" t="s">
        <v>607</v>
      </c>
      <c r="F610" s="6" t="s">
        <v>607</v>
      </c>
      <c r="G610" s="4" t="s">
        <v>607</v>
      </c>
      <c r="H610" s="4" t="s">
        <v>607</v>
      </c>
      <c r="I610" s="4" t="s">
        <v>607</v>
      </c>
      <c r="J610" s="4" t="s">
        <v>607</v>
      </c>
      <c r="K610" s="4" t="s">
        <v>607</v>
      </c>
      <c r="L610" s="4" t="s">
        <v>607</v>
      </c>
      <c r="M610" s="4" t="s">
        <v>607</v>
      </c>
      <c r="N610" s="4" t="s">
        <v>607</v>
      </c>
      <c r="O610" s="4"/>
      <c r="P610" s="4"/>
      <c r="T610" s="4"/>
    </row>
    <row r="611">
      <c r="A611" s="4" t="s">
        <v>2513</v>
      </c>
      <c r="B611" s="4" t="s">
        <v>607</v>
      </c>
      <c r="C611" s="6" t="s">
        <v>607</v>
      </c>
      <c r="D611" s="6" t="s">
        <v>607</v>
      </c>
      <c r="E611" s="6" t="s">
        <v>607</v>
      </c>
      <c r="F611" s="6" t="s">
        <v>607</v>
      </c>
      <c r="G611" s="4" t="s">
        <v>607</v>
      </c>
      <c r="H611" s="4" t="s">
        <v>607</v>
      </c>
      <c r="I611" s="4" t="s">
        <v>607</v>
      </c>
      <c r="J611" s="4" t="s">
        <v>607</v>
      </c>
      <c r="K611" s="4" t="s">
        <v>607</v>
      </c>
      <c r="L611" s="4" t="s">
        <v>607</v>
      </c>
      <c r="M611" s="4" t="s">
        <v>607</v>
      </c>
      <c r="N611" s="4" t="s">
        <v>607</v>
      </c>
      <c r="O611" s="4"/>
      <c r="P611" s="4"/>
      <c r="T611" s="4"/>
    </row>
    <row r="612">
      <c r="A612" s="4" t="s">
        <v>2516</v>
      </c>
      <c r="B612" s="4" t="s">
        <v>607</v>
      </c>
      <c r="C612" s="6" t="s">
        <v>607</v>
      </c>
      <c r="D612" s="6" t="s">
        <v>607</v>
      </c>
      <c r="E612" s="6" t="s">
        <v>607</v>
      </c>
      <c r="F612" s="6" t="s">
        <v>607</v>
      </c>
      <c r="G612" s="4" t="s">
        <v>607</v>
      </c>
      <c r="H612" s="4" t="s">
        <v>607</v>
      </c>
      <c r="I612" s="4" t="s">
        <v>607</v>
      </c>
      <c r="J612" s="4" t="s">
        <v>607</v>
      </c>
      <c r="K612" s="4" t="s">
        <v>607</v>
      </c>
      <c r="L612" s="4" t="s">
        <v>607</v>
      </c>
      <c r="M612" s="4" t="s">
        <v>607</v>
      </c>
      <c r="N612" s="4" t="s">
        <v>607</v>
      </c>
      <c r="O612" s="4"/>
      <c r="P612" s="4"/>
      <c r="T612" s="4"/>
    </row>
    <row r="613">
      <c r="A613" s="4" t="s">
        <v>2517</v>
      </c>
      <c r="B613" s="4" t="s">
        <v>607</v>
      </c>
      <c r="C613" s="6" t="s">
        <v>607</v>
      </c>
      <c r="D613" s="6" t="s">
        <v>607</v>
      </c>
      <c r="E613" s="6" t="s">
        <v>607</v>
      </c>
      <c r="F613" s="6" t="s">
        <v>607</v>
      </c>
      <c r="G613" s="4" t="s">
        <v>607</v>
      </c>
      <c r="H613" s="4" t="s">
        <v>607</v>
      </c>
      <c r="I613" s="4" t="s">
        <v>607</v>
      </c>
      <c r="J613" s="4" t="s">
        <v>607</v>
      </c>
      <c r="K613" s="4" t="s">
        <v>607</v>
      </c>
      <c r="L613" s="4" t="s">
        <v>607</v>
      </c>
      <c r="M613" s="4" t="s">
        <v>607</v>
      </c>
      <c r="N613" s="4" t="s">
        <v>607</v>
      </c>
      <c r="O613" s="4"/>
      <c r="P613" s="4"/>
      <c r="T613" s="4"/>
    </row>
    <row r="614">
      <c r="A614" s="4" t="s">
        <v>2518</v>
      </c>
      <c r="B614" s="4" t="s">
        <v>607</v>
      </c>
      <c r="C614" s="6" t="s">
        <v>607</v>
      </c>
      <c r="D614" s="6" t="s">
        <v>607</v>
      </c>
      <c r="E614" s="6" t="s">
        <v>607</v>
      </c>
      <c r="F614" s="6" t="s">
        <v>607</v>
      </c>
      <c r="G614" s="4" t="s">
        <v>607</v>
      </c>
      <c r="H614" s="4" t="s">
        <v>607</v>
      </c>
      <c r="I614" s="4" t="s">
        <v>607</v>
      </c>
      <c r="J614" s="4" t="s">
        <v>607</v>
      </c>
      <c r="K614" s="4" t="s">
        <v>607</v>
      </c>
      <c r="L614" s="4" t="s">
        <v>607</v>
      </c>
      <c r="M614" s="4" t="s">
        <v>607</v>
      </c>
      <c r="N614" s="4" t="s">
        <v>607</v>
      </c>
      <c r="O614" s="4"/>
      <c r="P614" s="4"/>
      <c r="T614" s="4"/>
    </row>
    <row r="615">
      <c r="A615" s="4" t="s">
        <v>2522</v>
      </c>
      <c r="B615" s="4" t="s">
        <v>607</v>
      </c>
      <c r="C615" s="6" t="s">
        <v>607</v>
      </c>
      <c r="D615" s="6" t="s">
        <v>607</v>
      </c>
      <c r="E615" s="6" t="s">
        <v>607</v>
      </c>
      <c r="F615" s="6" t="s">
        <v>607</v>
      </c>
      <c r="G615" s="4" t="s">
        <v>607</v>
      </c>
      <c r="H615" s="4" t="s">
        <v>607</v>
      </c>
      <c r="I615" s="4" t="s">
        <v>607</v>
      </c>
      <c r="J615" s="4" t="s">
        <v>607</v>
      </c>
      <c r="K615" s="4" t="s">
        <v>607</v>
      </c>
      <c r="L615" s="4" t="s">
        <v>607</v>
      </c>
      <c r="M615" s="4" t="s">
        <v>607</v>
      </c>
      <c r="N615" s="4" t="s">
        <v>607</v>
      </c>
      <c r="O615" s="4"/>
      <c r="P615" s="4"/>
      <c r="T615" s="4"/>
    </row>
    <row r="616">
      <c r="A616" s="4" t="s">
        <v>2523</v>
      </c>
      <c r="B616" s="4" t="s">
        <v>607</v>
      </c>
      <c r="C616" s="6" t="s">
        <v>607</v>
      </c>
      <c r="D616" s="6" t="s">
        <v>607</v>
      </c>
      <c r="E616" s="6" t="s">
        <v>607</v>
      </c>
      <c r="F616" s="6" t="s">
        <v>607</v>
      </c>
      <c r="G616" s="4" t="s">
        <v>607</v>
      </c>
      <c r="H616" s="4" t="s">
        <v>607</v>
      </c>
      <c r="I616" s="4" t="s">
        <v>607</v>
      </c>
      <c r="J616" s="4" t="s">
        <v>607</v>
      </c>
      <c r="K616" s="4" t="s">
        <v>607</v>
      </c>
      <c r="L616" s="4" t="s">
        <v>607</v>
      </c>
      <c r="M616" s="4" t="s">
        <v>607</v>
      </c>
      <c r="N616" s="4" t="s">
        <v>607</v>
      </c>
      <c r="O616" s="4"/>
      <c r="P616" s="4"/>
      <c r="T616" s="4"/>
    </row>
    <row r="617">
      <c r="A617" s="4" t="s">
        <v>2524</v>
      </c>
      <c r="B617" s="4" t="s">
        <v>607</v>
      </c>
      <c r="C617" s="6" t="s">
        <v>607</v>
      </c>
      <c r="D617" s="6" t="s">
        <v>607</v>
      </c>
      <c r="E617" s="6" t="s">
        <v>607</v>
      </c>
      <c r="F617" s="6" t="s">
        <v>607</v>
      </c>
      <c r="G617" s="4" t="s">
        <v>607</v>
      </c>
      <c r="H617" s="4" t="s">
        <v>607</v>
      </c>
      <c r="I617" s="4" t="s">
        <v>607</v>
      </c>
      <c r="J617" s="4" t="s">
        <v>607</v>
      </c>
      <c r="K617" s="4" t="s">
        <v>607</v>
      </c>
      <c r="L617" s="4" t="s">
        <v>607</v>
      </c>
      <c r="M617" s="4" t="s">
        <v>607</v>
      </c>
      <c r="N617" s="4" t="s">
        <v>607</v>
      </c>
      <c r="O617" s="4"/>
      <c r="P617" s="4"/>
      <c r="T617" s="4"/>
    </row>
    <row r="618">
      <c r="A618" s="4" t="s">
        <v>2525</v>
      </c>
      <c r="B618" s="4" t="s">
        <v>607</v>
      </c>
      <c r="C618" s="6" t="s">
        <v>607</v>
      </c>
      <c r="D618" s="6" t="s">
        <v>607</v>
      </c>
      <c r="E618" s="6" t="s">
        <v>607</v>
      </c>
      <c r="F618" s="6" t="s">
        <v>607</v>
      </c>
      <c r="G618" s="4" t="s">
        <v>607</v>
      </c>
      <c r="H618" s="4" t="s">
        <v>607</v>
      </c>
      <c r="I618" s="4" t="s">
        <v>607</v>
      </c>
      <c r="J618" s="4" t="s">
        <v>607</v>
      </c>
      <c r="K618" s="4" t="s">
        <v>607</v>
      </c>
      <c r="L618" s="4" t="s">
        <v>607</v>
      </c>
      <c r="M618" s="4" t="s">
        <v>607</v>
      </c>
      <c r="N618" s="4" t="s">
        <v>607</v>
      </c>
      <c r="O618" s="4"/>
      <c r="P618" s="4"/>
      <c r="T618" s="4"/>
    </row>
    <row r="619">
      <c r="A619" s="4" t="s">
        <v>2526</v>
      </c>
      <c r="B619" s="4" t="s">
        <v>607</v>
      </c>
      <c r="C619" s="6" t="s">
        <v>607</v>
      </c>
      <c r="D619" s="6" t="s">
        <v>607</v>
      </c>
      <c r="E619" s="6" t="s">
        <v>607</v>
      </c>
      <c r="F619" s="6" t="s">
        <v>607</v>
      </c>
      <c r="G619" s="4" t="s">
        <v>607</v>
      </c>
      <c r="H619" s="4" t="s">
        <v>607</v>
      </c>
      <c r="I619" s="4" t="s">
        <v>607</v>
      </c>
      <c r="J619" s="4" t="s">
        <v>607</v>
      </c>
      <c r="K619" s="4" t="s">
        <v>607</v>
      </c>
      <c r="L619" s="4" t="s">
        <v>607</v>
      </c>
      <c r="M619" s="4" t="s">
        <v>607</v>
      </c>
      <c r="N619" s="4" t="s">
        <v>607</v>
      </c>
      <c r="O619" s="4"/>
      <c r="P619" s="4"/>
      <c r="T619" s="4"/>
    </row>
    <row r="620">
      <c r="A620" s="4" t="s">
        <v>2528</v>
      </c>
      <c r="B620" s="4" t="s">
        <v>607</v>
      </c>
      <c r="C620" s="6" t="s">
        <v>607</v>
      </c>
      <c r="D620" s="6" t="s">
        <v>607</v>
      </c>
      <c r="E620" s="6" t="s">
        <v>607</v>
      </c>
      <c r="F620" s="6" t="s">
        <v>607</v>
      </c>
      <c r="G620" s="4" t="s">
        <v>607</v>
      </c>
      <c r="H620" s="4" t="s">
        <v>607</v>
      </c>
      <c r="I620" s="4" t="s">
        <v>607</v>
      </c>
      <c r="J620" s="4" t="s">
        <v>607</v>
      </c>
      <c r="K620" s="4" t="s">
        <v>607</v>
      </c>
      <c r="L620" s="4" t="s">
        <v>607</v>
      </c>
      <c r="M620" s="4" t="s">
        <v>607</v>
      </c>
      <c r="N620" s="4" t="s">
        <v>607</v>
      </c>
      <c r="O620" s="4"/>
      <c r="P620" s="4"/>
      <c r="T620" s="4"/>
    </row>
    <row r="621">
      <c r="A621" s="4" t="s">
        <v>2529</v>
      </c>
      <c r="B621" s="4" t="s">
        <v>607</v>
      </c>
      <c r="C621" s="6" t="s">
        <v>607</v>
      </c>
      <c r="D621" s="6" t="s">
        <v>607</v>
      </c>
      <c r="E621" s="6" t="s">
        <v>607</v>
      </c>
      <c r="F621" s="6" t="s">
        <v>607</v>
      </c>
      <c r="G621" s="4" t="s">
        <v>607</v>
      </c>
      <c r="H621" s="4" t="s">
        <v>607</v>
      </c>
      <c r="I621" s="4" t="s">
        <v>607</v>
      </c>
      <c r="J621" s="4" t="s">
        <v>607</v>
      </c>
      <c r="K621" s="4" t="s">
        <v>607</v>
      </c>
      <c r="L621" s="4" t="s">
        <v>607</v>
      </c>
      <c r="M621" s="4" t="s">
        <v>607</v>
      </c>
      <c r="N621" s="4" t="s">
        <v>607</v>
      </c>
      <c r="O621" s="4"/>
      <c r="P621" s="4"/>
      <c r="T621" s="4"/>
    </row>
    <row r="622">
      <c r="A622" s="4" t="s">
        <v>2530</v>
      </c>
      <c r="B622" s="4" t="s">
        <v>607</v>
      </c>
      <c r="C622" s="6" t="s">
        <v>607</v>
      </c>
      <c r="D622" s="6" t="s">
        <v>607</v>
      </c>
      <c r="E622" s="6" t="s">
        <v>607</v>
      </c>
      <c r="F622" s="6" t="s">
        <v>607</v>
      </c>
      <c r="G622" s="4" t="s">
        <v>607</v>
      </c>
      <c r="H622" s="4" t="s">
        <v>607</v>
      </c>
      <c r="I622" s="4" t="s">
        <v>607</v>
      </c>
      <c r="J622" s="4" t="s">
        <v>607</v>
      </c>
      <c r="K622" s="4" t="s">
        <v>607</v>
      </c>
      <c r="L622" s="4" t="s">
        <v>607</v>
      </c>
      <c r="M622" s="4" t="s">
        <v>607</v>
      </c>
      <c r="N622" s="4" t="s">
        <v>607</v>
      </c>
      <c r="O622" s="4"/>
      <c r="P622" s="4"/>
      <c r="T622" s="4"/>
    </row>
    <row r="623">
      <c r="A623" s="4" t="s">
        <v>2531</v>
      </c>
      <c r="B623" s="4" t="s">
        <v>607</v>
      </c>
      <c r="C623" s="6" t="s">
        <v>607</v>
      </c>
      <c r="D623" s="6" t="s">
        <v>607</v>
      </c>
      <c r="E623" s="6" t="s">
        <v>607</v>
      </c>
      <c r="F623" s="6" t="s">
        <v>607</v>
      </c>
      <c r="G623" s="4" t="s">
        <v>607</v>
      </c>
      <c r="H623" s="4" t="s">
        <v>607</v>
      </c>
      <c r="I623" s="4" t="s">
        <v>607</v>
      </c>
      <c r="J623" s="4" t="s">
        <v>607</v>
      </c>
      <c r="K623" s="4" t="s">
        <v>607</v>
      </c>
      <c r="L623" s="4" t="s">
        <v>607</v>
      </c>
      <c r="M623" s="4" t="s">
        <v>607</v>
      </c>
      <c r="N623" s="4" t="s">
        <v>607</v>
      </c>
      <c r="O623" s="4"/>
      <c r="P623" s="4"/>
      <c r="T623" s="4"/>
    </row>
    <row r="624">
      <c r="A624" s="4" t="s">
        <v>2532</v>
      </c>
      <c r="B624" s="4" t="s">
        <v>607</v>
      </c>
      <c r="C624" s="6" t="s">
        <v>607</v>
      </c>
      <c r="D624" s="6" t="s">
        <v>607</v>
      </c>
      <c r="E624" s="6" t="s">
        <v>607</v>
      </c>
      <c r="F624" s="6" t="s">
        <v>607</v>
      </c>
      <c r="G624" s="4" t="s">
        <v>607</v>
      </c>
      <c r="H624" s="4" t="s">
        <v>607</v>
      </c>
      <c r="I624" s="4" t="s">
        <v>607</v>
      </c>
      <c r="J624" s="4" t="s">
        <v>607</v>
      </c>
      <c r="K624" s="4" t="s">
        <v>607</v>
      </c>
      <c r="L624" s="4" t="s">
        <v>607</v>
      </c>
      <c r="M624" s="4" t="s">
        <v>607</v>
      </c>
      <c r="N624" s="4" t="s">
        <v>607</v>
      </c>
      <c r="O624" s="4"/>
      <c r="P624" s="4"/>
      <c r="T624" s="4"/>
    </row>
    <row r="625">
      <c r="A625" s="4" t="s">
        <v>2533</v>
      </c>
      <c r="B625" s="4" t="s">
        <v>607</v>
      </c>
      <c r="C625" s="6" t="s">
        <v>607</v>
      </c>
      <c r="D625" s="6" t="s">
        <v>607</v>
      </c>
      <c r="E625" s="6" t="s">
        <v>607</v>
      </c>
      <c r="F625" s="6" t="s">
        <v>607</v>
      </c>
      <c r="G625" s="4" t="s">
        <v>607</v>
      </c>
      <c r="H625" s="4" t="s">
        <v>607</v>
      </c>
      <c r="I625" s="4" t="s">
        <v>607</v>
      </c>
      <c r="J625" s="4" t="s">
        <v>607</v>
      </c>
      <c r="K625" s="4" t="s">
        <v>607</v>
      </c>
      <c r="L625" s="4" t="s">
        <v>607</v>
      </c>
      <c r="M625" s="4" t="s">
        <v>607</v>
      </c>
      <c r="N625" s="4" t="s">
        <v>607</v>
      </c>
      <c r="O625" s="4"/>
      <c r="P625" s="4"/>
      <c r="T625" s="4"/>
    </row>
    <row r="626">
      <c r="A626" s="4" t="s">
        <v>2534</v>
      </c>
      <c r="B626" s="4" t="s">
        <v>607</v>
      </c>
      <c r="C626" s="6" t="s">
        <v>607</v>
      </c>
      <c r="D626" s="6" t="s">
        <v>607</v>
      </c>
      <c r="E626" s="6" t="s">
        <v>607</v>
      </c>
      <c r="F626" s="6" t="s">
        <v>607</v>
      </c>
      <c r="G626" s="4" t="s">
        <v>607</v>
      </c>
      <c r="H626" s="4" t="s">
        <v>607</v>
      </c>
      <c r="I626" s="4" t="s">
        <v>607</v>
      </c>
      <c r="J626" s="4" t="s">
        <v>607</v>
      </c>
      <c r="K626" s="4" t="s">
        <v>607</v>
      </c>
      <c r="L626" s="4" t="s">
        <v>607</v>
      </c>
      <c r="M626" s="4" t="s">
        <v>607</v>
      </c>
      <c r="N626" s="4" t="s">
        <v>607</v>
      </c>
      <c r="O626" s="4"/>
      <c r="P626" s="4"/>
      <c r="T626" s="4"/>
    </row>
    <row r="627">
      <c r="A627" s="4" t="s">
        <v>2538</v>
      </c>
      <c r="B627" s="4" t="s">
        <v>607</v>
      </c>
      <c r="C627" s="6" t="s">
        <v>607</v>
      </c>
      <c r="D627" s="6" t="s">
        <v>607</v>
      </c>
      <c r="E627" s="6" t="s">
        <v>607</v>
      </c>
      <c r="F627" s="6" t="s">
        <v>607</v>
      </c>
      <c r="G627" s="4" t="s">
        <v>607</v>
      </c>
      <c r="H627" s="4" t="s">
        <v>607</v>
      </c>
      <c r="I627" s="4" t="s">
        <v>607</v>
      </c>
      <c r="J627" s="4" t="s">
        <v>607</v>
      </c>
      <c r="K627" s="4" t="s">
        <v>607</v>
      </c>
      <c r="L627" s="4" t="s">
        <v>607</v>
      </c>
      <c r="M627" s="4" t="s">
        <v>607</v>
      </c>
      <c r="N627" s="4" t="s">
        <v>607</v>
      </c>
      <c r="O627" s="4"/>
      <c r="P627" s="4"/>
      <c r="T627" s="4"/>
    </row>
    <row r="628">
      <c r="A628" s="4" t="s">
        <v>2539</v>
      </c>
      <c r="B628" s="4" t="s">
        <v>607</v>
      </c>
      <c r="C628" s="6" t="s">
        <v>607</v>
      </c>
      <c r="D628" s="6" t="s">
        <v>607</v>
      </c>
      <c r="E628" s="6" t="s">
        <v>607</v>
      </c>
      <c r="F628" s="6" t="s">
        <v>607</v>
      </c>
      <c r="G628" s="4" t="s">
        <v>607</v>
      </c>
      <c r="H628" s="4" t="s">
        <v>607</v>
      </c>
      <c r="I628" s="4" t="s">
        <v>607</v>
      </c>
      <c r="J628" s="4" t="s">
        <v>607</v>
      </c>
      <c r="K628" s="4" t="s">
        <v>607</v>
      </c>
      <c r="L628" s="4" t="s">
        <v>607</v>
      </c>
      <c r="M628" s="4" t="s">
        <v>607</v>
      </c>
      <c r="N628" s="4" t="s">
        <v>607</v>
      </c>
      <c r="O628" s="4"/>
      <c r="P628" s="4"/>
      <c r="T628" s="4"/>
    </row>
    <row r="629">
      <c r="A629" s="4" t="s">
        <v>2540</v>
      </c>
      <c r="B629" s="4" t="s">
        <v>607</v>
      </c>
      <c r="C629" s="6" t="s">
        <v>607</v>
      </c>
      <c r="D629" s="6" t="s">
        <v>607</v>
      </c>
      <c r="E629" s="6" t="s">
        <v>607</v>
      </c>
      <c r="F629" s="6" t="s">
        <v>607</v>
      </c>
      <c r="G629" s="4" t="s">
        <v>607</v>
      </c>
      <c r="H629" s="4" t="s">
        <v>607</v>
      </c>
      <c r="I629" s="4" t="s">
        <v>607</v>
      </c>
      <c r="J629" s="4" t="s">
        <v>607</v>
      </c>
      <c r="K629" s="4" t="s">
        <v>607</v>
      </c>
      <c r="L629" s="4" t="s">
        <v>607</v>
      </c>
      <c r="M629" s="4" t="s">
        <v>607</v>
      </c>
      <c r="N629" s="4" t="s">
        <v>607</v>
      </c>
      <c r="O629" s="4"/>
      <c r="P629" s="4"/>
      <c r="T629" s="4"/>
    </row>
    <row r="630">
      <c r="A630" s="4" t="s">
        <v>2543</v>
      </c>
      <c r="B630" s="4" t="s">
        <v>607</v>
      </c>
      <c r="C630" s="6" t="s">
        <v>607</v>
      </c>
      <c r="D630" s="6" t="s">
        <v>607</v>
      </c>
      <c r="E630" s="6" t="s">
        <v>607</v>
      </c>
      <c r="F630" s="6" t="s">
        <v>607</v>
      </c>
      <c r="G630" s="4" t="s">
        <v>607</v>
      </c>
      <c r="H630" s="4" t="s">
        <v>607</v>
      </c>
      <c r="I630" s="4" t="s">
        <v>607</v>
      </c>
      <c r="J630" s="4" t="s">
        <v>607</v>
      </c>
      <c r="K630" s="4" t="s">
        <v>607</v>
      </c>
      <c r="L630" s="4" t="s">
        <v>607</v>
      </c>
      <c r="M630" s="4" t="s">
        <v>607</v>
      </c>
      <c r="N630" s="4" t="s">
        <v>607</v>
      </c>
      <c r="O630" s="4"/>
      <c r="P630" s="4"/>
      <c r="T630" s="4"/>
    </row>
    <row r="631">
      <c r="A631" s="4" t="s">
        <v>2544</v>
      </c>
      <c r="B631" s="4" t="s">
        <v>607</v>
      </c>
      <c r="C631" s="6" t="s">
        <v>607</v>
      </c>
      <c r="D631" s="6" t="s">
        <v>607</v>
      </c>
      <c r="E631" s="6" t="s">
        <v>607</v>
      </c>
      <c r="F631" s="6" t="s">
        <v>607</v>
      </c>
      <c r="G631" s="4" t="s">
        <v>607</v>
      </c>
      <c r="H631" s="4" t="s">
        <v>607</v>
      </c>
      <c r="I631" s="4" t="s">
        <v>607</v>
      </c>
      <c r="J631" s="4" t="s">
        <v>607</v>
      </c>
      <c r="K631" s="4" t="s">
        <v>607</v>
      </c>
      <c r="L631" s="4" t="s">
        <v>607</v>
      </c>
      <c r="M631" s="4" t="s">
        <v>607</v>
      </c>
      <c r="N631" s="4" t="s">
        <v>607</v>
      </c>
      <c r="O631" s="4"/>
      <c r="P631" s="4"/>
      <c r="T631" s="4"/>
    </row>
    <row r="632">
      <c r="A632" s="4" t="s">
        <v>2545</v>
      </c>
      <c r="B632" s="4" t="s">
        <v>607</v>
      </c>
      <c r="C632" s="6" t="s">
        <v>607</v>
      </c>
      <c r="D632" s="6" t="s">
        <v>607</v>
      </c>
      <c r="E632" s="6" t="s">
        <v>607</v>
      </c>
      <c r="F632" s="6" t="s">
        <v>607</v>
      </c>
      <c r="G632" s="4" t="s">
        <v>607</v>
      </c>
      <c r="H632" s="4" t="s">
        <v>607</v>
      </c>
      <c r="I632" s="4" t="s">
        <v>607</v>
      </c>
      <c r="J632" s="4" t="s">
        <v>607</v>
      </c>
      <c r="K632" s="4" t="s">
        <v>607</v>
      </c>
      <c r="L632" s="4" t="s">
        <v>607</v>
      </c>
      <c r="M632" s="4" t="s">
        <v>607</v>
      </c>
      <c r="N632" s="4" t="s">
        <v>607</v>
      </c>
      <c r="O632" s="4"/>
      <c r="P632" s="4"/>
      <c r="T632" s="4"/>
    </row>
    <row r="633">
      <c r="A633" s="4" t="s">
        <v>2546</v>
      </c>
      <c r="B633" s="4" t="s">
        <v>607</v>
      </c>
      <c r="C633" s="6" t="s">
        <v>607</v>
      </c>
      <c r="D633" s="6" t="s">
        <v>607</v>
      </c>
      <c r="E633" s="6" t="s">
        <v>607</v>
      </c>
      <c r="F633" s="6" t="s">
        <v>607</v>
      </c>
      <c r="G633" s="4" t="s">
        <v>607</v>
      </c>
      <c r="H633" s="4" t="s">
        <v>607</v>
      </c>
      <c r="I633" s="4" t="s">
        <v>607</v>
      </c>
      <c r="J633" s="4" t="s">
        <v>607</v>
      </c>
      <c r="K633" s="4" t="s">
        <v>607</v>
      </c>
      <c r="L633" s="4" t="s">
        <v>607</v>
      </c>
      <c r="M633" s="4" t="s">
        <v>607</v>
      </c>
      <c r="N633" s="4" t="s">
        <v>607</v>
      </c>
      <c r="O633" s="4"/>
      <c r="P633" s="4"/>
      <c r="T633" s="4"/>
    </row>
    <row r="634">
      <c r="A634" s="4" t="s">
        <v>2547</v>
      </c>
      <c r="B634" s="4" t="s">
        <v>607</v>
      </c>
      <c r="C634" s="6" t="s">
        <v>607</v>
      </c>
      <c r="D634" s="6" t="s">
        <v>607</v>
      </c>
      <c r="E634" s="6" t="s">
        <v>607</v>
      </c>
      <c r="F634" s="6" t="s">
        <v>607</v>
      </c>
      <c r="G634" s="4" t="s">
        <v>607</v>
      </c>
      <c r="H634" s="4" t="s">
        <v>607</v>
      </c>
      <c r="I634" s="4" t="s">
        <v>607</v>
      </c>
      <c r="J634" s="4" t="s">
        <v>607</v>
      </c>
      <c r="K634" s="4" t="s">
        <v>607</v>
      </c>
      <c r="L634" s="4" t="s">
        <v>607</v>
      </c>
      <c r="M634" s="4" t="s">
        <v>607</v>
      </c>
      <c r="N634" s="4" t="s">
        <v>607</v>
      </c>
      <c r="O634" s="4"/>
      <c r="P634" s="4"/>
      <c r="T634" s="4"/>
    </row>
    <row r="635">
      <c r="A635" s="4" t="s">
        <v>2548</v>
      </c>
      <c r="B635" s="4" t="s">
        <v>607</v>
      </c>
      <c r="C635" s="6" t="s">
        <v>607</v>
      </c>
      <c r="D635" s="6" t="s">
        <v>607</v>
      </c>
      <c r="E635" s="6" t="s">
        <v>607</v>
      </c>
      <c r="F635" s="6" t="s">
        <v>607</v>
      </c>
      <c r="G635" s="4" t="s">
        <v>607</v>
      </c>
      <c r="H635" s="4" t="s">
        <v>607</v>
      </c>
      <c r="I635" s="4" t="s">
        <v>607</v>
      </c>
      <c r="J635" s="4" t="s">
        <v>607</v>
      </c>
      <c r="K635" s="4" t="s">
        <v>607</v>
      </c>
      <c r="L635" s="4" t="s">
        <v>607</v>
      </c>
      <c r="M635" s="4" t="s">
        <v>607</v>
      </c>
      <c r="N635" s="4" t="s">
        <v>607</v>
      </c>
      <c r="O635" s="4"/>
      <c r="P635" s="4"/>
      <c r="T635" s="4"/>
    </row>
    <row r="636">
      <c r="A636" s="4" t="s">
        <v>2549</v>
      </c>
      <c r="B636" s="4" t="s">
        <v>607</v>
      </c>
      <c r="C636" s="6" t="s">
        <v>607</v>
      </c>
      <c r="D636" s="6" t="s">
        <v>607</v>
      </c>
      <c r="E636" s="6" t="s">
        <v>607</v>
      </c>
      <c r="F636" s="6" t="s">
        <v>607</v>
      </c>
      <c r="G636" s="4" t="s">
        <v>607</v>
      </c>
      <c r="H636" s="4" t="s">
        <v>607</v>
      </c>
      <c r="I636" s="4" t="s">
        <v>607</v>
      </c>
      <c r="J636" s="4" t="s">
        <v>607</v>
      </c>
      <c r="K636" s="4" t="s">
        <v>607</v>
      </c>
      <c r="L636" s="4" t="s">
        <v>607</v>
      </c>
      <c r="M636" s="4" t="s">
        <v>607</v>
      </c>
      <c r="N636" s="4" t="s">
        <v>607</v>
      </c>
      <c r="O636" s="4"/>
      <c r="P636" s="4"/>
      <c r="T636" s="4"/>
    </row>
    <row r="637">
      <c r="A637" s="4" t="s">
        <v>2550</v>
      </c>
      <c r="B637" s="4" t="s">
        <v>607</v>
      </c>
      <c r="C637" s="6" t="s">
        <v>607</v>
      </c>
      <c r="D637" s="6" t="s">
        <v>607</v>
      </c>
      <c r="E637" s="6" t="s">
        <v>607</v>
      </c>
      <c r="F637" s="6" t="s">
        <v>607</v>
      </c>
      <c r="G637" s="4" t="s">
        <v>607</v>
      </c>
      <c r="H637" s="4" t="s">
        <v>607</v>
      </c>
      <c r="I637" s="4" t="s">
        <v>607</v>
      </c>
      <c r="J637" s="4" t="s">
        <v>607</v>
      </c>
      <c r="K637" s="4" t="s">
        <v>607</v>
      </c>
      <c r="L637" s="4" t="s">
        <v>607</v>
      </c>
      <c r="M637" s="4" t="s">
        <v>607</v>
      </c>
      <c r="N637" s="4" t="s">
        <v>607</v>
      </c>
      <c r="O637" s="4"/>
      <c r="P637" s="4"/>
      <c r="T637" s="4"/>
    </row>
    <row r="638">
      <c r="A638" s="4" t="s">
        <v>2551</v>
      </c>
      <c r="B638" s="4" t="s">
        <v>607</v>
      </c>
      <c r="C638" s="6" t="s">
        <v>607</v>
      </c>
      <c r="D638" s="6" t="s">
        <v>607</v>
      </c>
      <c r="E638" s="6" t="s">
        <v>607</v>
      </c>
      <c r="F638" s="6" t="s">
        <v>607</v>
      </c>
      <c r="G638" s="4" t="s">
        <v>607</v>
      </c>
      <c r="H638" s="4" t="s">
        <v>607</v>
      </c>
      <c r="I638" s="4" t="s">
        <v>607</v>
      </c>
      <c r="J638" s="4" t="s">
        <v>607</v>
      </c>
      <c r="K638" s="4" t="s">
        <v>607</v>
      </c>
      <c r="L638" s="4" t="s">
        <v>607</v>
      </c>
      <c r="M638" s="4" t="s">
        <v>607</v>
      </c>
      <c r="N638" s="4" t="s">
        <v>607</v>
      </c>
      <c r="O638" s="4"/>
      <c r="P638" s="4"/>
      <c r="T638" s="4"/>
    </row>
    <row r="639">
      <c r="A639" s="4" t="s">
        <v>2554</v>
      </c>
      <c r="B639" s="4" t="s">
        <v>607</v>
      </c>
      <c r="C639" s="6" t="s">
        <v>607</v>
      </c>
      <c r="D639" s="6" t="s">
        <v>607</v>
      </c>
      <c r="E639" s="6" t="s">
        <v>607</v>
      </c>
      <c r="F639" s="6" t="s">
        <v>607</v>
      </c>
      <c r="G639" s="4" t="s">
        <v>607</v>
      </c>
      <c r="H639" s="4" t="s">
        <v>607</v>
      </c>
      <c r="I639" s="4" t="s">
        <v>607</v>
      </c>
      <c r="J639" s="4" t="s">
        <v>607</v>
      </c>
      <c r="K639" s="4" t="s">
        <v>607</v>
      </c>
      <c r="L639" s="4" t="s">
        <v>607</v>
      </c>
      <c r="M639" s="4" t="s">
        <v>607</v>
      </c>
      <c r="N639" s="4" t="s">
        <v>607</v>
      </c>
      <c r="O639" s="4"/>
      <c r="P639" s="4"/>
      <c r="T639" s="4"/>
    </row>
    <row r="640">
      <c r="A640" s="4" t="s">
        <v>2555</v>
      </c>
      <c r="B640" s="4" t="s">
        <v>607</v>
      </c>
      <c r="C640" s="6" t="s">
        <v>607</v>
      </c>
      <c r="D640" s="6" t="s">
        <v>607</v>
      </c>
      <c r="E640" s="6" t="s">
        <v>607</v>
      </c>
      <c r="F640" s="6" t="s">
        <v>607</v>
      </c>
      <c r="G640" s="4" t="s">
        <v>607</v>
      </c>
      <c r="H640" s="4" t="s">
        <v>607</v>
      </c>
      <c r="I640" s="4" t="s">
        <v>607</v>
      </c>
      <c r="J640" s="4" t="s">
        <v>607</v>
      </c>
      <c r="K640" s="4" t="s">
        <v>607</v>
      </c>
      <c r="L640" s="4" t="s">
        <v>607</v>
      </c>
      <c r="M640" s="4" t="s">
        <v>607</v>
      </c>
      <c r="N640" s="4" t="s">
        <v>607</v>
      </c>
      <c r="O640" s="4"/>
      <c r="P640" s="4"/>
      <c r="T640" s="4"/>
    </row>
    <row r="641">
      <c r="A641" s="4" t="s">
        <v>2556</v>
      </c>
      <c r="B641" s="4" t="s">
        <v>607</v>
      </c>
      <c r="C641" s="6" t="s">
        <v>607</v>
      </c>
      <c r="D641" s="6" t="s">
        <v>607</v>
      </c>
      <c r="E641" s="6" t="s">
        <v>607</v>
      </c>
      <c r="F641" s="6" t="s">
        <v>607</v>
      </c>
      <c r="G641" s="4" t="s">
        <v>607</v>
      </c>
      <c r="H641" s="4" t="s">
        <v>607</v>
      </c>
      <c r="I641" s="4" t="s">
        <v>607</v>
      </c>
      <c r="J641" s="4" t="s">
        <v>607</v>
      </c>
      <c r="K641" s="4" t="s">
        <v>607</v>
      </c>
      <c r="L641" s="4" t="s">
        <v>607</v>
      </c>
      <c r="M641" s="4" t="s">
        <v>607</v>
      </c>
      <c r="N641" s="4" t="s">
        <v>607</v>
      </c>
      <c r="O641" s="4"/>
      <c r="P641" s="4"/>
      <c r="T641" s="4"/>
    </row>
    <row r="642">
      <c r="A642" s="4" t="s">
        <v>2559</v>
      </c>
      <c r="B642" s="4" t="s">
        <v>607</v>
      </c>
      <c r="C642" s="6" t="s">
        <v>607</v>
      </c>
      <c r="D642" s="6" t="s">
        <v>607</v>
      </c>
      <c r="E642" s="6" t="s">
        <v>607</v>
      </c>
      <c r="F642" s="6" t="s">
        <v>607</v>
      </c>
      <c r="G642" s="4" t="s">
        <v>607</v>
      </c>
      <c r="H642" s="4" t="s">
        <v>607</v>
      </c>
      <c r="I642" s="4" t="s">
        <v>607</v>
      </c>
      <c r="J642" s="4" t="s">
        <v>607</v>
      </c>
      <c r="K642" s="4" t="s">
        <v>607</v>
      </c>
      <c r="L642" s="4" t="s">
        <v>607</v>
      </c>
      <c r="M642" s="4" t="s">
        <v>607</v>
      </c>
      <c r="N642" s="4" t="s">
        <v>607</v>
      </c>
      <c r="O642" s="4"/>
      <c r="P642" s="4"/>
      <c r="T642" s="4"/>
    </row>
    <row r="643">
      <c r="A643" s="4" t="s">
        <v>2560</v>
      </c>
      <c r="B643" s="4" t="s">
        <v>607</v>
      </c>
      <c r="C643" s="6" t="s">
        <v>607</v>
      </c>
      <c r="D643" s="6" t="s">
        <v>607</v>
      </c>
      <c r="E643" s="6" t="s">
        <v>607</v>
      </c>
      <c r="F643" s="6" t="s">
        <v>607</v>
      </c>
      <c r="G643" s="4" t="s">
        <v>607</v>
      </c>
      <c r="H643" s="4" t="s">
        <v>607</v>
      </c>
      <c r="I643" s="4" t="s">
        <v>607</v>
      </c>
      <c r="J643" s="4" t="s">
        <v>607</v>
      </c>
      <c r="K643" s="4" t="s">
        <v>607</v>
      </c>
      <c r="L643" s="4" t="s">
        <v>607</v>
      </c>
      <c r="M643" s="4" t="s">
        <v>607</v>
      </c>
      <c r="N643" s="4" t="s">
        <v>607</v>
      </c>
      <c r="O643" s="4"/>
      <c r="P643" s="4"/>
      <c r="T643" s="4"/>
    </row>
    <row r="644">
      <c r="A644" s="4" t="s">
        <v>2561</v>
      </c>
      <c r="B644" s="4" t="s">
        <v>607</v>
      </c>
      <c r="C644" s="6" t="s">
        <v>607</v>
      </c>
      <c r="D644" s="6" t="s">
        <v>607</v>
      </c>
      <c r="E644" s="6" t="s">
        <v>607</v>
      </c>
      <c r="F644" s="6" t="s">
        <v>607</v>
      </c>
      <c r="G644" s="4" t="s">
        <v>607</v>
      </c>
      <c r="H644" s="4" t="s">
        <v>607</v>
      </c>
      <c r="I644" s="4" t="s">
        <v>607</v>
      </c>
      <c r="J644" s="4" t="s">
        <v>607</v>
      </c>
      <c r="K644" s="4" t="s">
        <v>607</v>
      </c>
      <c r="L644" s="4" t="s">
        <v>607</v>
      </c>
      <c r="M644" s="4" t="s">
        <v>607</v>
      </c>
      <c r="N644" s="4" t="s">
        <v>607</v>
      </c>
      <c r="O644" s="4"/>
      <c r="P644" s="4"/>
      <c r="T644" s="4"/>
    </row>
    <row r="645">
      <c r="A645" s="4" t="s">
        <v>2562</v>
      </c>
      <c r="B645" s="4" t="s">
        <v>607</v>
      </c>
      <c r="C645" s="6" t="s">
        <v>607</v>
      </c>
      <c r="D645" s="6" t="s">
        <v>607</v>
      </c>
      <c r="E645" s="6" t="s">
        <v>607</v>
      </c>
      <c r="F645" s="6" t="s">
        <v>607</v>
      </c>
      <c r="G645" s="4" t="s">
        <v>607</v>
      </c>
      <c r="H645" s="4" t="s">
        <v>607</v>
      </c>
      <c r="I645" s="4" t="s">
        <v>607</v>
      </c>
      <c r="J645" s="4" t="s">
        <v>607</v>
      </c>
      <c r="K645" s="4" t="s">
        <v>607</v>
      </c>
      <c r="L645" s="4" t="s">
        <v>607</v>
      </c>
      <c r="M645" s="4" t="s">
        <v>607</v>
      </c>
      <c r="N645" s="4" t="s">
        <v>607</v>
      </c>
      <c r="O645" s="4"/>
      <c r="P645" s="4"/>
      <c r="T645" s="4"/>
    </row>
    <row r="646">
      <c r="A646" s="4" t="s">
        <v>2563</v>
      </c>
      <c r="B646" s="4" t="s">
        <v>607</v>
      </c>
      <c r="C646" s="6" t="s">
        <v>607</v>
      </c>
      <c r="D646" s="6" t="s">
        <v>607</v>
      </c>
      <c r="E646" s="6" t="s">
        <v>607</v>
      </c>
      <c r="F646" s="6" t="s">
        <v>607</v>
      </c>
      <c r="G646" s="4" t="s">
        <v>607</v>
      </c>
      <c r="H646" s="4" t="s">
        <v>607</v>
      </c>
      <c r="I646" s="4" t="s">
        <v>607</v>
      </c>
      <c r="J646" s="4" t="s">
        <v>607</v>
      </c>
      <c r="K646" s="4" t="s">
        <v>607</v>
      </c>
      <c r="L646" s="4" t="s">
        <v>607</v>
      </c>
      <c r="M646" s="4" t="s">
        <v>607</v>
      </c>
      <c r="N646" s="4" t="s">
        <v>607</v>
      </c>
      <c r="O646" s="4"/>
      <c r="P646" s="4"/>
      <c r="T646" s="4"/>
    </row>
    <row r="647">
      <c r="A647" s="4" t="s">
        <v>2566</v>
      </c>
      <c r="B647" s="4" t="s">
        <v>607</v>
      </c>
      <c r="C647" s="6" t="s">
        <v>607</v>
      </c>
      <c r="D647" s="6" t="s">
        <v>607</v>
      </c>
      <c r="E647" s="6" t="s">
        <v>607</v>
      </c>
      <c r="F647" s="6" t="s">
        <v>607</v>
      </c>
      <c r="G647" s="4" t="s">
        <v>607</v>
      </c>
      <c r="H647" s="4" t="s">
        <v>607</v>
      </c>
      <c r="I647" s="4" t="s">
        <v>607</v>
      </c>
      <c r="J647" s="4" t="s">
        <v>607</v>
      </c>
      <c r="K647" s="4" t="s">
        <v>607</v>
      </c>
      <c r="L647" s="4" t="s">
        <v>607</v>
      </c>
      <c r="M647" s="4" t="s">
        <v>607</v>
      </c>
      <c r="N647" s="4" t="s">
        <v>607</v>
      </c>
      <c r="O647" s="4"/>
      <c r="P647" s="4"/>
      <c r="T647" s="4"/>
    </row>
    <row r="648">
      <c r="A648" s="4" t="s">
        <v>2567</v>
      </c>
      <c r="B648" s="4" t="s">
        <v>607</v>
      </c>
      <c r="C648" s="6" t="s">
        <v>607</v>
      </c>
      <c r="D648" s="6" t="s">
        <v>607</v>
      </c>
      <c r="E648" s="6" t="s">
        <v>607</v>
      </c>
      <c r="F648" s="6" t="s">
        <v>607</v>
      </c>
      <c r="G648" s="4" t="s">
        <v>607</v>
      </c>
      <c r="H648" s="4" t="s">
        <v>607</v>
      </c>
      <c r="I648" s="4" t="s">
        <v>607</v>
      </c>
      <c r="J648" s="4" t="s">
        <v>607</v>
      </c>
      <c r="K648" s="4" t="s">
        <v>607</v>
      </c>
      <c r="L648" s="4" t="s">
        <v>607</v>
      </c>
      <c r="M648" s="4" t="s">
        <v>607</v>
      </c>
      <c r="N648" s="4" t="s">
        <v>607</v>
      </c>
      <c r="O648" s="4"/>
      <c r="P648" s="4"/>
      <c r="T648" s="4"/>
    </row>
    <row r="649">
      <c r="A649" s="4" t="s">
        <v>2568</v>
      </c>
      <c r="B649" s="4" t="s">
        <v>607</v>
      </c>
      <c r="C649" s="6" t="s">
        <v>607</v>
      </c>
      <c r="D649" s="6" t="s">
        <v>607</v>
      </c>
      <c r="E649" s="6" t="s">
        <v>607</v>
      </c>
      <c r="F649" s="6" t="s">
        <v>607</v>
      </c>
      <c r="G649" s="4" t="s">
        <v>607</v>
      </c>
      <c r="H649" s="4" t="s">
        <v>607</v>
      </c>
      <c r="I649" s="4" t="s">
        <v>607</v>
      </c>
      <c r="J649" s="4" t="s">
        <v>607</v>
      </c>
      <c r="K649" s="4" t="s">
        <v>607</v>
      </c>
      <c r="L649" s="4" t="s">
        <v>607</v>
      </c>
      <c r="M649" s="4" t="s">
        <v>607</v>
      </c>
      <c r="N649" s="4" t="s">
        <v>607</v>
      </c>
      <c r="O649" s="4"/>
      <c r="P649" s="4"/>
      <c r="T649" s="4"/>
    </row>
    <row r="650">
      <c r="A650" s="4" t="s">
        <v>2569</v>
      </c>
      <c r="B650" s="4" t="s">
        <v>607</v>
      </c>
      <c r="C650" s="6" t="s">
        <v>607</v>
      </c>
      <c r="D650" s="6" t="s">
        <v>607</v>
      </c>
      <c r="E650" s="6" t="s">
        <v>607</v>
      </c>
      <c r="F650" s="6" t="s">
        <v>607</v>
      </c>
      <c r="G650" s="4" t="s">
        <v>607</v>
      </c>
      <c r="H650" s="4" t="s">
        <v>607</v>
      </c>
      <c r="I650" s="4" t="s">
        <v>607</v>
      </c>
      <c r="J650" s="4" t="s">
        <v>607</v>
      </c>
      <c r="K650" s="4" t="s">
        <v>607</v>
      </c>
      <c r="L650" s="4" t="s">
        <v>607</v>
      </c>
      <c r="M650" s="4" t="s">
        <v>607</v>
      </c>
      <c r="N650" s="4" t="s">
        <v>607</v>
      </c>
      <c r="O650" s="4"/>
      <c r="P650" s="4"/>
      <c r="T650" s="4"/>
    </row>
    <row r="651">
      <c r="A651" s="4" t="s">
        <v>2573</v>
      </c>
      <c r="B651" s="4" t="s">
        <v>607</v>
      </c>
      <c r="C651" s="6" t="s">
        <v>607</v>
      </c>
      <c r="D651" s="6" t="s">
        <v>607</v>
      </c>
      <c r="E651" s="6" t="s">
        <v>607</v>
      </c>
      <c r="F651" s="6" t="s">
        <v>607</v>
      </c>
      <c r="G651" s="4" t="s">
        <v>607</v>
      </c>
      <c r="H651" s="4" t="s">
        <v>607</v>
      </c>
      <c r="I651" s="4" t="s">
        <v>607</v>
      </c>
      <c r="J651" s="4" t="s">
        <v>607</v>
      </c>
      <c r="K651" s="4" t="s">
        <v>607</v>
      </c>
      <c r="L651" s="4" t="s">
        <v>607</v>
      </c>
      <c r="M651" s="4" t="s">
        <v>607</v>
      </c>
      <c r="N651" s="4" t="s">
        <v>607</v>
      </c>
      <c r="O651" s="4"/>
      <c r="P651" s="4"/>
      <c r="T651" s="4"/>
    </row>
    <row r="652">
      <c r="A652" s="4" t="s">
        <v>2574</v>
      </c>
      <c r="B652" s="4" t="s">
        <v>607</v>
      </c>
      <c r="C652" s="6" t="s">
        <v>607</v>
      </c>
      <c r="D652" s="6" t="s">
        <v>607</v>
      </c>
      <c r="E652" s="6" t="s">
        <v>607</v>
      </c>
      <c r="F652" s="6" t="s">
        <v>607</v>
      </c>
      <c r="G652" s="4" t="s">
        <v>607</v>
      </c>
      <c r="H652" s="4" t="s">
        <v>607</v>
      </c>
      <c r="I652" s="4" t="s">
        <v>607</v>
      </c>
      <c r="J652" s="4" t="s">
        <v>607</v>
      </c>
      <c r="K652" s="4" t="s">
        <v>607</v>
      </c>
      <c r="L652" s="4" t="s">
        <v>607</v>
      </c>
      <c r="M652" s="4" t="s">
        <v>607</v>
      </c>
      <c r="N652" s="4" t="s">
        <v>607</v>
      </c>
      <c r="O652" s="4"/>
      <c r="P652" s="4"/>
      <c r="T652" s="4"/>
    </row>
    <row r="653">
      <c r="A653" s="4" t="s">
        <v>2575</v>
      </c>
      <c r="B653" s="4" t="s">
        <v>607</v>
      </c>
      <c r="C653" s="6" t="s">
        <v>607</v>
      </c>
      <c r="D653" s="6" t="s">
        <v>607</v>
      </c>
      <c r="E653" s="6" t="s">
        <v>607</v>
      </c>
      <c r="F653" s="6" t="s">
        <v>607</v>
      </c>
      <c r="G653" s="4" t="s">
        <v>607</v>
      </c>
      <c r="H653" s="4" t="s">
        <v>607</v>
      </c>
      <c r="I653" s="4" t="s">
        <v>607</v>
      </c>
      <c r="J653" s="4" t="s">
        <v>607</v>
      </c>
      <c r="K653" s="4" t="s">
        <v>607</v>
      </c>
      <c r="L653" s="4" t="s">
        <v>607</v>
      </c>
      <c r="M653" s="4" t="s">
        <v>607</v>
      </c>
      <c r="N653" s="4" t="s">
        <v>607</v>
      </c>
      <c r="O653" s="4"/>
      <c r="P653" s="4"/>
      <c r="T653" s="4"/>
    </row>
    <row r="654">
      <c r="A654" s="4" t="s">
        <v>2576</v>
      </c>
      <c r="B654" s="4" t="s">
        <v>607</v>
      </c>
      <c r="C654" s="6" t="s">
        <v>607</v>
      </c>
      <c r="D654" s="6" t="s">
        <v>607</v>
      </c>
      <c r="E654" s="6" t="s">
        <v>607</v>
      </c>
      <c r="F654" s="6" t="s">
        <v>607</v>
      </c>
      <c r="G654" s="4" t="s">
        <v>607</v>
      </c>
      <c r="H654" s="4" t="s">
        <v>607</v>
      </c>
      <c r="I654" s="4" t="s">
        <v>607</v>
      </c>
      <c r="J654" s="4" t="s">
        <v>607</v>
      </c>
      <c r="K654" s="4" t="s">
        <v>607</v>
      </c>
      <c r="L654" s="4" t="s">
        <v>607</v>
      </c>
      <c r="M654" s="4" t="s">
        <v>607</v>
      </c>
      <c r="N654" s="4" t="s">
        <v>607</v>
      </c>
      <c r="O654" s="4"/>
      <c r="P654" s="4"/>
      <c r="T654" s="4"/>
    </row>
    <row r="655">
      <c r="A655" s="4" t="s">
        <v>2577</v>
      </c>
      <c r="B655" s="4" t="s">
        <v>607</v>
      </c>
      <c r="C655" s="6" t="s">
        <v>607</v>
      </c>
      <c r="D655" s="6" t="s">
        <v>607</v>
      </c>
      <c r="E655" s="6" t="s">
        <v>607</v>
      </c>
      <c r="F655" s="6" t="s">
        <v>607</v>
      </c>
      <c r="G655" s="4" t="s">
        <v>607</v>
      </c>
      <c r="H655" s="4" t="s">
        <v>607</v>
      </c>
      <c r="I655" s="4" t="s">
        <v>607</v>
      </c>
      <c r="J655" s="4" t="s">
        <v>607</v>
      </c>
      <c r="K655" s="4" t="s">
        <v>607</v>
      </c>
      <c r="L655" s="4" t="s">
        <v>607</v>
      </c>
      <c r="M655" s="4" t="s">
        <v>607</v>
      </c>
      <c r="N655" s="4" t="s">
        <v>607</v>
      </c>
      <c r="O655" s="4"/>
      <c r="P655" s="4"/>
      <c r="T655" s="4"/>
    </row>
    <row r="656">
      <c r="A656" s="4" t="s">
        <v>2582</v>
      </c>
      <c r="B656" s="4" t="s">
        <v>607</v>
      </c>
      <c r="C656" s="6" t="s">
        <v>607</v>
      </c>
      <c r="D656" s="6" t="s">
        <v>607</v>
      </c>
      <c r="E656" s="6" t="s">
        <v>607</v>
      </c>
      <c r="F656" s="6" t="s">
        <v>607</v>
      </c>
      <c r="G656" s="4" t="s">
        <v>607</v>
      </c>
      <c r="H656" s="4" t="s">
        <v>607</v>
      </c>
      <c r="I656" s="4" t="s">
        <v>607</v>
      </c>
      <c r="J656" s="4" t="s">
        <v>607</v>
      </c>
      <c r="K656" s="4" t="s">
        <v>607</v>
      </c>
      <c r="L656" s="4" t="s">
        <v>607</v>
      </c>
      <c r="M656" s="4" t="s">
        <v>607</v>
      </c>
      <c r="N656" s="4" t="s">
        <v>607</v>
      </c>
      <c r="O656" s="4"/>
      <c r="P656" s="4"/>
      <c r="T656" s="4"/>
    </row>
    <row r="657">
      <c r="A657" s="4" t="s">
        <v>2583</v>
      </c>
      <c r="B657" s="4" t="s">
        <v>607</v>
      </c>
      <c r="C657" s="6" t="s">
        <v>607</v>
      </c>
      <c r="D657" s="6" t="s">
        <v>607</v>
      </c>
      <c r="E657" s="6" t="s">
        <v>607</v>
      </c>
      <c r="F657" s="6" t="s">
        <v>607</v>
      </c>
      <c r="G657" s="4" t="s">
        <v>607</v>
      </c>
      <c r="H657" s="4" t="s">
        <v>607</v>
      </c>
      <c r="I657" s="4" t="s">
        <v>607</v>
      </c>
      <c r="J657" s="4" t="s">
        <v>607</v>
      </c>
      <c r="K657" s="4" t="s">
        <v>607</v>
      </c>
      <c r="L657" s="4" t="s">
        <v>607</v>
      </c>
      <c r="M657" s="4" t="s">
        <v>607</v>
      </c>
      <c r="N657" s="4" t="s">
        <v>607</v>
      </c>
      <c r="O657" s="4"/>
      <c r="P657" s="4"/>
      <c r="T657" s="4"/>
    </row>
    <row r="658">
      <c r="A658" s="4" t="s">
        <v>2584</v>
      </c>
      <c r="B658" s="4" t="s">
        <v>607</v>
      </c>
      <c r="C658" s="6" t="s">
        <v>607</v>
      </c>
      <c r="D658" s="6" t="s">
        <v>607</v>
      </c>
      <c r="E658" s="6" t="s">
        <v>607</v>
      </c>
      <c r="F658" s="6" t="s">
        <v>607</v>
      </c>
      <c r="G658" s="4" t="s">
        <v>607</v>
      </c>
      <c r="H658" s="4" t="s">
        <v>607</v>
      </c>
      <c r="I658" s="4" t="s">
        <v>607</v>
      </c>
      <c r="J658" s="4" t="s">
        <v>607</v>
      </c>
      <c r="K658" s="4" t="s">
        <v>607</v>
      </c>
      <c r="L658" s="4" t="s">
        <v>607</v>
      </c>
      <c r="M658" s="4" t="s">
        <v>607</v>
      </c>
      <c r="N658" s="4" t="s">
        <v>607</v>
      </c>
      <c r="O658" s="4"/>
      <c r="P658" s="4"/>
      <c r="T658" s="4"/>
    </row>
    <row r="659">
      <c r="A659" s="4" t="s">
        <v>2585</v>
      </c>
      <c r="B659" s="4" t="s">
        <v>607</v>
      </c>
      <c r="C659" s="6" t="s">
        <v>607</v>
      </c>
      <c r="D659" s="6" t="s">
        <v>607</v>
      </c>
      <c r="E659" s="6" t="s">
        <v>607</v>
      </c>
      <c r="F659" s="6" t="s">
        <v>607</v>
      </c>
      <c r="G659" s="4" t="s">
        <v>607</v>
      </c>
      <c r="H659" s="4" t="s">
        <v>607</v>
      </c>
      <c r="I659" s="4" t="s">
        <v>607</v>
      </c>
      <c r="J659" s="4" t="s">
        <v>607</v>
      </c>
      <c r="K659" s="4" t="s">
        <v>607</v>
      </c>
      <c r="L659" s="4" t="s">
        <v>607</v>
      </c>
      <c r="M659" s="4" t="s">
        <v>607</v>
      </c>
      <c r="N659" s="4" t="s">
        <v>607</v>
      </c>
      <c r="O659" s="4"/>
      <c r="P659" s="4"/>
      <c r="T659" s="4"/>
    </row>
    <row r="660">
      <c r="A660" s="4" t="s">
        <v>2586</v>
      </c>
      <c r="B660" s="4" t="s">
        <v>607</v>
      </c>
      <c r="C660" s="6" t="s">
        <v>607</v>
      </c>
      <c r="D660" s="6" t="s">
        <v>607</v>
      </c>
      <c r="E660" s="6" t="s">
        <v>607</v>
      </c>
      <c r="F660" s="6" t="s">
        <v>607</v>
      </c>
      <c r="G660" s="4" t="s">
        <v>607</v>
      </c>
      <c r="H660" s="4" t="s">
        <v>607</v>
      </c>
      <c r="I660" s="4" t="s">
        <v>607</v>
      </c>
      <c r="J660" s="4" t="s">
        <v>607</v>
      </c>
      <c r="K660" s="4" t="s">
        <v>607</v>
      </c>
      <c r="L660" s="4" t="s">
        <v>607</v>
      </c>
      <c r="M660" s="4" t="s">
        <v>607</v>
      </c>
      <c r="N660" s="4" t="s">
        <v>607</v>
      </c>
      <c r="O660" s="4"/>
      <c r="P660" s="4"/>
      <c r="T660" s="4"/>
    </row>
    <row r="661">
      <c r="A661" s="4" t="s">
        <v>2587</v>
      </c>
      <c r="B661" s="4" t="s">
        <v>607</v>
      </c>
      <c r="C661" s="6" t="s">
        <v>607</v>
      </c>
      <c r="D661" s="6" t="s">
        <v>607</v>
      </c>
      <c r="E661" s="6" t="s">
        <v>607</v>
      </c>
      <c r="F661" s="6" t="s">
        <v>607</v>
      </c>
      <c r="G661" s="4" t="s">
        <v>607</v>
      </c>
      <c r="H661" s="4" t="s">
        <v>607</v>
      </c>
      <c r="I661" s="4" t="s">
        <v>607</v>
      </c>
      <c r="J661" s="4" t="s">
        <v>607</v>
      </c>
      <c r="K661" s="4" t="s">
        <v>607</v>
      </c>
      <c r="L661" s="4" t="s">
        <v>607</v>
      </c>
      <c r="M661" s="4" t="s">
        <v>607</v>
      </c>
      <c r="N661" s="4" t="s">
        <v>607</v>
      </c>
      <c r="O661" s="4"/>
      <c r="P661" s="4"/>
      <c r="T661" s="4"/>
    </row>
    <row r="662">
      <c r="A662" s="4" t="s">
        <v>2590</v>
      </c>
      <c r="B662" s="4" t="s">
        <v>607</v>
      </c>
      <c r="C662" s="6" t="s">
        <v>607</v>
      </c>
      <c r="D662" s="6" t="s">
        <v>607</v>
      </c>
      <c r="E662" s="6" t="s">
        <v>607</v>
      </c>
      <c r="F662" s="6" t="s">
        <v>607</v>
      </c>
      <c r="G662" s="4" t="s">
        <v>607</v>
      </c>
      <c r="H662" s="4" t="s">
        <v>607</v>
      </c>
      <c r="I662" s="4" t="s">
        <v>607</v>
      </c>
      <c r="J662" s="4" t="s">
        <v>607</v>
      </c>
      <c r="K662" s="4" t="s">
        <v>607</v>
      </c>
      <c r="L662" s="4" t="s">
        <v>607</v>
      </c>
      <c r="M662" s="4" t="s">
        <v>607</v>
      </c>
      <c r="N662" s="4" t="s">
        <v>607</v>
      </c>
      <c r="O662" s="4"/>
      <c r="P662" s="4"/>
      <c r="T662" s="4"/>
    </row>
    <row r="663">
      <c r="A663" s="4" t="s">
        <v>2591</v>
      </c>
      <c r="B663" s="4" t="s">
        <v>607</v>
      </c>
      <c r="C663" s="6" t="s">
        <v>607</v>
      </c>
      <c r="D663" s="6" t="s">
        <v>607</v>
      </c>
      <c r="E663" s="6" t="s">
        <v>607</v>
      </c>
      <c r="F663" s="6" t="s">
        <v>607</v>
      </c>
      <c r="G663" s="4" t="s">
        <v>607</v>
      </c>
      <c r="H663" s="4" t="s">
        <v>607</v>
      </c>
      <c r="I663" s="4" t="s">
        <v>607</v>
      </c>
      <c r="J663" s="4" t="s">
        <v>607</v>
      </c>
      <c r="K663" s="4" t="s">
        <v>607</v>
      </c>
      <c r="L663" s="4" t="s">
        <v>607</v>
      </c>
      <c r="M663" s="4" t="s">
        <v>607</v>
      </c>
      <c r="N663" s="4" t="s">
        <v>607</v>
      </c>
      <c r="O663" s="4"/>
      <c r="P663" s="4"/>
      <c r="T663" s="4"/>
    </row>
    <row r="664">
      <c r="A664" s="4" t="s">
        <v>2592</v>
      </c>
      <c r="B664" s="4" t="s">
        <v>607</v>
      </c>
      <c r="C664" s="6" t="s">
        <v>607</v>
      </c>
      <c r="D664" s="6" t="s">
        <v>607</v>
      </c>
      <c r="E664" s="6" t="s">
        <v>607</v>
      </c>
      <c r="F664" s="6" t="s">
        <v>607</v>
      </c>
      <c r="G664" s="4" t="s">
        <v>607</v>
      </c>
      <c r="H664" s="4" t="s">
        <v>607</v>
      </c>
      <c r="I664" s="4" t="s">
        <v>607</v>
      </c>
      <c r="J664" s="4" t="s">
        <v>607</v>
      </c>
      <c r="K664" s="4" t="s">
        <v>607</v>
      </c>
      <c r="L664" s="4" t="s">
        <v>607</v>
      </c>
      <c r="M664" s="4" t="s">
        <v>607</v>
      </c>
      <c r="N664" s="4" t="s">
        <v>607</v>
      </c>
      <c r="O664" s="4"/>
      <c r="P664" s="4"/>
      <c r="T664" s="4"/>
    </row>
    <row r="665">
      <c r="A665" s="4" t="s">
        <v>2595</v>
      </c>
      <c r="B665" s="4" t="s">
        <v>607</v>
      </c>
      <c r="C665" s="6" t="s">
        <v>607</v>
      </c>
      <c r="D665" s="6" t="s">
        <v>607</v>
      </c>
      <c r="E665" s="6" t="s">
        <v>607</v>
      </c>
      <c r="F665" s="6" t="s">
        <v>607</v>
      </c>
      <c r="G665" s="4" t="s">
        <v>607</v>
      </c>
      <c r="H665" s="4" t="s">
        <v>607</v>
      </c>
      <c r="I665" s="4" t="s">
        <v>607</v>
      </c>
      <c r="J665" s="4" t="s">
        <v>607</v>
      </c>
      <c r="K665" s="4" t="s">
        <v>607</v>
      </c>
      <c r="L665" s="4" t="s">
        <v>607</v>
      </c>
      <c r="M665" s="4" t="s">
        <v>607</v>
      </c>
      <c r="N665" s="4" t="s">
        <v>607</v>
      </c>
      <c r="O665" s="4"/>
      <c r="P665" s="4"/>
      <c r="T665" s="4"/>
    </row>
    <row r="666">
      <c r="A666" s="4" t="s">
        <v>2596</v>
      </c>
      <c r="B666" s="4" t="s">
        <v>607</v>
      </c>
      <c r="C666" s="6" t="s">
        <v>607</v>
      </c>
      <c r="D666" s="6" t="s">
        <v>607</v>
      </c>
      <c r="E666" s="6" t="s">
        <v>607</v>
      </c>
      <c r="F666" s="6" t="s">
        <v>607</v>
      </c>
      <c r="G666" s="4" t="s">
        <v>607</v>
      </c>
      <c r="H666" s="4" t="s">
        <v>607</v>
      </c>
      <c r="I666" s="4" t="s">
        <v>607</v>
      </c>
      <c r="J666" s="4" t="s">
        <v>607</v>
      </c>
      <c r="K666" s="4" t="s">
        <v>607</v>
      </c>
      <c r="L666" s="4" t="s">
        <v>607</v>
      </c>
      <c r="M666" s="4" t="s">
        <v>607</v>
      </c>
      <c r="N666" s="4" t="s">
        <v>607</v>
      </c>
      <c r="O666" s="4"/>
      <c r="P666" s="4"/>
      <c r="T666" s="4"/>
    </row>
    <row r="667">
      <c r="A667" s="4" t="s">
        <v>2597</v>
      </c>
      <c r="B667" s="4" t="s">
        <v>607</v>
      </c>
      <c r="C667" s="6" t="s">
        <v>607</v>
      </c>
      <c r="D667" s="6" t="s">
        <v>607</v>
      </c>
      <c r="E667" s="6" t="s">
        <v>607</v>
      </c>
      <c r="F667" s="6" t="s">
        <v>607</v>
      </c>
      <c r="G667" s="4" t="s">
        <v>607</v>
      </c>
      <c r="H667" s="4" t="s">
        <v>607</v>
      </c>
      <c r="I667" s="4" t="s">
        <v>607</v>
      </c>
      <c r="J667" s="4" t="s">
        <v>607</v>
      </c>
      <c r="K667" s="4" t="s">
        <v>607</v>
      </c>
      <c r="L667" s="4" t="s">
        <v>607</v>
      </c>
      <c r="M667" s="4" t="s">
        <v>607</v>
      </c>
      <c r="N667" s="4" t="s">
        <v>607</v>
      </c>
      <c r="O667" s="4"/>
      <c r="P667" s="4"/>
      <c r="T667" s="4"/>
    </row>
    <row r="668">
      <c r="A668" s="4" t="s">
        <v>2602</v>
      </c>
      <c r="B668" s="4" t="s">
        <v>607</v>
      </c>
      <c r="C668" s="6" t="s">
        <v>607</v>
      </c>
      <c r="D668" s="6" t="s">
        <v>607</v>
      </c>
      <c r="E668" s="6" t="s">
        <v>607</v>
      </c>
      <c r="F668" s="6" t="s">
        <v>607</v>
      </c>
      <c r="G668" s="4" t="s">
        <v>607</v>
      </c>
      <c r="H668" s="4" t="s">
        <v>607</v>
      </c>
      <c r="I668" s="4" t="s">
        <v>607</v>
      </c>
      <c r="J668" s="4" t="s">
        <v>607</v>
      </c>
      <c r="K668" s="4" t="s">
        <v>607</v>
      </c>
      <c r="L668" s="4" t="s">
        <v>607</v>
      </c>
      <c r="M668" s="4" t="s">
        <v>607</v>
      </c>
      <c r="N668" s="4" t="s">
        <v>607</v>
      </c>
      <c r="O668" s="4"/>
      <c r="P668" s="4"/>
      <c r="T668" s="4"/>
    </row>
    <row r="669">
      <c r="A669" s="4" t="s">
        <v>2603</v>
      </c>
      <c r="B669" s="4" t="s">
        <v>607</v>
      </c>
      <c r="C669" s="6" t="s">
        <v>607</v>
      </c>
      <c r="D669" s="6" t="s">
        <v>607</v>
      </c>
      <c r="E669" s="6" t="s">
        <v>607</v>
      </c>
      <c r="F669" s="6" t="s">
        <v>607</v>
      </c>
      <c r="G669" s="4" t="s">
        <v>607</v>
      </c>
      <c r="H669" s="4" t="s">
        <v>607</v>
      </c>
      <c r="I669" s="4" t="s">
        <v>607</v>
      </c>
      <c r="J669" s="4" t="s">
        <v>607</v>
      </c>
      <c r="K669" s="4" t="s">
        <v>607</v>
      </c>
      <c r="L669" s="4" t="s">
        <v>607</v>
      </c>
      <c r="M669" s="4" t="s">
        <v>607</v>
      </c>
      <c r="N669" s="4" t="s">
        <v>607</v>
      </c>
      <c r="O669" s="4"/>
      <c r="P669" s="4"/>
      <c r="T669" s="4"/>
    </row>
    <row r="670">
      <c r="A670" s="4" t="s">
        <v>2604</v>
      </c>
      <c r="B670" s="4" t="s">
        <v>607</v>
      </c>
      <c r="C670" s="6" t="s">
        <v>607</v>
      </c>
      <c r="D670" s="6" t="s">
        <v>607</v>
      </c>
      <c r="E670" s="6" t="s">
        <v>607</v>
      </c>
      <c r="F670" s="6" t="s">
        <v>607</v>
      </c>
      <c r="G670" s="4" t="s">
        <v>607</v>
      </c>
      <c r="H670" s="4" t="s">
        <v>607</v>
      </c>
      <c r="I670" s="4" t="s">
        <v>607</v>
      </c>
      <c r="J670" s="4" t="s">
        <v>607</v>
      </c>
      <c r="K670" s="4" t="s">
        <v>607</v>
      </c>
      <c r="L670" s="4" t="s">
        <v>607</v>
      </c>
      <c r="M670" s="4" t="s">
        <v>607</v>
      </c>
      <c r="N670" s="4" t="s">
        <v>607</v>
      </c>
      <c r="O670" s="4"/>
      <c r="P670" s="4"/>
      <c r="T670" s="4"/>
    </row>
    <row r="671">
      <c r="A671" s="4" t="s">
        <v>2608</v>
      </c>
      <c r="B671" s="4" t="s">
        <v>607</v>
      </c>
      <c r="C671" s="6" t="s">
        <v>607</v>
      </c>
      <c r="D671" s="6" t="s">
        <v>607</v>
      </c>
      <c r="E671" s="6" t="s">
        <v>607</v>
      </c>
      <c r="F671" s="6" t="s">
        <v>607</v>
      </c>
      <c r="G671" s="4" t="s">
        <v>607</v>
      </c>
      <c r="H671" s="4" t="s">
        <v>607</v>
      </c>
      <c r="I671" s="4" t="s">
        <v>607</v>
      </c>
      <c r="J671" s="4" t="s">
        <v>607</v>
      </c>
      <c r="K671" s="4" t="s">
        <v>607</v>
      </c>
      <c r="L671" s="4" t="s">
        <v>607</v>
      </c>
      <c r="M671" s="4" t="s">
        <v>607</v>
      </c>
      <c r="N671" s="4" t="s">
        <v>607</v>
      </c>
      <c r="O671" s="4"/>
      <c r="P671" s="4"/>
      <c r="T671" s="4"/>
    </row>
    <row r="672">
      <c r="A672" s="4" t="s">
        <v>2609</v>
      </c>
      <c r="B672" s="4" t="s">
        <v>607</v>
      </c>
      <c r="C672" s="6" t="s">
        <v>607</v>
      </c>
      <c r="D672" s="6" t="s">
        <v>607</v>
      </c>
      <c r="E672" s="6" t="s">
        <v>607</v>
      </c>
      <c r="F672" s="6" t="s">
        <v>607</v>
      </c>
      <c r="G672" s="4" t="s">
        <v>607</v>
      </c>
      <c r="H672" s="4" t="s">
        <v>607</v>
      </c>
      <c r="I672" s="4" t="s">
        <v>607</v>
      </c>
      <c r="J672" s="4" t="s">
        <v>607</v>
      </c>
      <c r="K672" s="4" t="s">
        <v>607</v>
      </c>
      <c r="L672" s="4" t="s">
        <v>607</v>
      </c>
      <c r="M672" s="4" t="s">
        <v>607</v>
      </c>
      <c r="N672" s="4" t="s">
        <v>607</v>
      </c>
      <c r="O672" s="4"/>
      <c r="P672" s="4"/>
      <c r="T672" s="4"/>
    </row>
    <row r="673">
      <c r="A673" s="4" t="s">
        <v>2610</v>
      </c>
      <c r="B673" s="4" t="s">
        <v>607</v>
      </c>
      <c r="C673" s="6" t="s">
        <v>607</v>
      </c>
      <c r="D673" s="6" t="s">
        <v>607</v>
      </c>
      <c r="E673" s="6" t="s">
        <v>607</v>
      </c>
      <c r="F673" s="6" t="s">
        <v>607</v>
      </c>
      <c r="G673" s="4" t="s">
        <v>607</v>
      </c>
      <c r="H673" s="4" t="s">
        <v>607</v>
      </c>
      <c r="I673" s="4" t="s">
        <v>607</v>
      </c>
      <c r="J673" s="4" t="s">
        <v>607</v>
      </c>
      <c r="K673" s="4" t="s">
        <v>607</v>
      </c>
      <c r="L673" s="4" t="s">
        <v>607</v>
      </c>
      <c r="M673" s="4" t="s">
        <v>607</v>
      </c>
      <c r="N673" s="4" t="s">
        <v>607</v>
      </c>
      <c r="O673" s="4"/>
      <c r="P673" s="4"/>
      <c r="T673" s="4"/>
    </row>
    <row r="674">
      <c r="A674" s="4" t="s">
        <v>2611</v>
      </c>
      <c r="B674" s="4" t="s">
        <v>607</v>
      </c>
      <c r="C674" s="6" t="s">
        <v>607</v>
      </c>
      <c r="D674" s="6" t="s">
        <v>607</v>
      </c>
      <c r="E674" s="6" t="s">
        <v>607</v>
      </c>
      <c r="F674" s="6" t="s">
        <v>607</v>
      </c>
      <c r="G674" s="4" t="s">
        <v>607</v>
      </c>
      <c r="H674" s="4" t="s">
        <v>607</v>
      </c>
      <c r="I674" s="4" t="s">
        <v>607</v>
      </c>
      <c r="J674" s="4" t="s">
        <v>607</v>
      </c>
      <c r="K674" s="4" t="s">
        <v>607</v>
      </c>
      <c r="L674" s="4" t="s">
        <v>607</v>
      </c>
      <c r="M674" s="4" t="s">
        <v>607</v>
      </c>
      <c r="N674" s="4" t="s">
        <v>607</v>
      </c>
      <c r="O674" s="4"/>
      <c r="P674" s="4"/>
      <c r="T674" s="4"/>
    </row>
    <row r="675">
      <c r="A675" s="4" t="s">
        <v>2615</v>
      </c>
      <c r="B675" s="4" t="s">
        <v>607</v>
      </c>
      <c r="C675" s="6" t="s">
        <v>607</v>
      </c>
      <c r="D675" s="6" t="s">
        <v>607</v>
      </c>
      <c r="E675" s="6" t="s">
        <v>607</v>
      </c>
      <c r="F675" s="6" t="s">
        <v>607</v>
      </c>
      <c r="G675" s="4" t="s">
        <v>607</v>
      </c>
      <c r="H675" s="4" t="s">
        <v>607</v>
      </c>
      <c r="I675" s="4" t="s">
        <v>607</v>
      </c>
      <c r="J675" s="4" t="s">
        <v>607</v>
      </c>
      <c r="K675" s="4" t="s">
        <v>607</v>
      </c>
      <c r="L675" s="4" t="s">
        <v>607</v>
      </c>
      <c r="M675" s="4" t="s">
        <v>607</v>
      </c>
      <c r="N675" s="4" t="s">
        <v>607</v>
      </c>
      <c r="O675" s="4"/>
      <c r="P675" s="4"/>
      <c r="T675" s="4"/>
    </row>
    <row r="676">
      <c r="A676" s="4" t="s">
        <v>2616</v>
      </c>
      <c r="B676" s="4" t="s">
        <v>607</v>
      </c>
      <c r="C676" s="6" t="s">
        <v>607</v>
      </c>
      <c r="D676" s="6" t="s">
        <v>607</v>
      </c>
      <c r="E676" s="6" t="s">
        <v>607</v>
      </c>
      <c r="F676" s="6" t="s">
        <v>607</v>
      </c>
      <c r="G676" s="4" t="s">
        <v>607</v>
      </c>
      <c r="H676" s="4" t="s">
        <v>607</v>
      </c>
      <c r="I676" s="4" t="s">
        <v>607</v>
      </c>
      <c r="J676" s="4" t="s">
        <v>607</v>
      </c>
      <c r="K676" s="4" t="s">
        <v>607</v>
      </c>
      <c r="L676" s="4" t="s">
        <v>607</v>
      </c>
      <c r="M676" s="4" t="s">
        <v>607</v>
      </c>
      <c r="N676" s="4" t="s">
        <v>607</v>
      </c>
      <c r="O676" s="4"/>
      <c r="P676" s="4"/>
      <c r="T676" s="4"/>
    </row>
    <row r="677">
      <c r="A677" s="4" t="s">
        <v>2617</v>
      </c>
      <c r="B677" s="4" t="s">
        <v>607</v>
      </c>
      <c r="C677" s="6" t="s">
        <v>607</v>
      </c>
      <c r="D677" s="6" t="s">
        <v>607</v>
      </c>
      <c r="E677" s="6" t="s">
        <v>607</v>
      </c>
      <c r="F677" s="6" t="s">
        <v>607</v>
      </c>
      <c r="G677" s="4" t="s">
        <v>607</v>
      </c>
      <c r="H677" s="4" t="s">
        <v>607</v>
      </c>
      <c r="I677" s="4" t="s">
        <v>607</v>
      </c>
      <c r="J677" s="4" t="s">
        <v>607</v>
      </c>
      <c r="K677" s="4" t="s">
        <v>607</v>
      </c>
      <c r="L677" s="4" t="s">
        <v>607</v>
      </c>
      <c r="M677" s="4" t="s">
        <v>607</v>
      </c>
      <c r="N677" s="4" t="s">
        <v>607</v>
      </c>
      <c r="O677" s="4"/>
      <c r="P677" s="4"/>
      <c r="T677" s="4"/>
    </row>
    <row r="678">
      <c r="A678" s="4" t="s">
        <v>2618</v>
      </c>
      <c r="B678" s="4" t="s">
        <v>607</v>
      </c>
      <c r="C678" s="6" t="s">
        <v>607</v>
      </c>
      <c r="D678" s="6" t="s">
        <v>607</v>
      </c>
      <c r="E678" s="6" t="s">
        <v>607</v>
      </c>
      <c r="F678" s="6" t="s">
        <v>607</v>
      </c>
      <c r="G678" s="4" t="s">
        <v>607</v>
      </c>
      <c r="H678" s="4" t="s">
        <v>607</v>
      </c>
      <c r="I678" s="4" t="s">
        <v>607</v>
      </c>
      <c r="J678" s="4" t="s">
        <v>607</v>
      </c>
      <c r="K678" s="4" t="s">
        <v>607</v>
      </c>
      <c r="L678" s="4" t="s">
        <v>607</v>
      </c>
      <c r="M678" s="4" t="s">
        <v>607</v>
      </c>
      <c r="N678" s="4" t="s">
        <v>607</v>
      </c>
      <c r="O678" s="4"/>
      <c r="P678" s="4"/>
      <c r="T678" s="4"/>
    </row>
    <row r="679">
      <c r="A679" s="4" t="s">
        <v>2621</v>
      </c>
      <c r="B679" s="4" t="s">
        <v>607</v>
      </c>
      <c r="C679" s="6" t="s">
        <v>607</v>
      </c>
      <c r="D679" s="6" t="s">
        <v>607</v>
      </c>
      <c r="E679" s="6" t="s">
        <v>607</v>
      </c>
      <c r="F679" s="6" t="s">
        <v>607</v>
      </c>
      <c r="G679" s="4" t="s">
        <v>607</v>
      </c>
      <c r="H679" s="4" t="s">
        <v>607</v>
      </c>
      <c r="I679" s="4" t="s">
        <v>607</v>
      </c>
      <c r="J679" s="4" t="s">
        <v>607</v>
      </c>
      <c r="K679" s="4" t="s">
        <v>607</v>
      </c>
      <c r="L679" s="4" t="s">
        <v>607</v>
      </c>
      <c r="M679" s="4" t="s">
        <v>607</v>
      </c>
      <c r="N679" s="4" t="s">
        <v>607</v>
      </c>
      <c r="O679" s="4"/>
      <c r="P679" s="4"/>
      <c r="T679" s="4"/>
    </row>
    <row r="680">
      <c r="A680" s="4" t="s">
        <v>2622</v>
      </c>
      <c r="B680" s="4" t="s">
        <v>607</v>
      </c>
      <c r="C680" s="6" t="s">
        <v>607</v>
      </c>
      <c r="D680" s="6" t="s">
        <v>607</v>
      </c>
      <c r="E680" s="6" t="s">
        <v>607</v>
      </c>
      <c r="F680" s="6" t="s">
        <v>607</v>
      </c>
      <c r="G680" s="4" t="s">
        <v>607</v>
      </c>
      <c r="H680" s="4" t="s">
        <v>607</v>
      </c>
      <c r="I680" s="4" t="s">
        <v>607</v>
      </c>
      <c r="J680" s="4" t="s">
        <v>607</v>
      </c>
      <c r="K680" s="4" t="s">
        <v>607</v>
      </c>
      <c r="L680" s="4" t="s">
        <v>607</v>
      </c>
      <c r="M680" s="4" t="s">
        <v>607</v>
      </c>
      <c r="N680" s="4" t="s">
        <v>607</v>
      </c>
      <c r="O680" s="4"/>
      <c r="P680" s="4"/>
      <c r="T680" s="4"/>
    </row>
    <row r="681">
      <c r="A681" s="4" t="s">
        <v>2623</v>
      </c>
      <c r="B681" s="4" t="s">
        <v>607</v>
      </c>
      <c r="C681" s="6" t="s">
        <v>607</v>
      </c>
      <c r="D681" s="6" t="s">
        <v>607</v>
      </c>
      <c r="E681" s="6" t="s">
        <v>607</v>
      </c>
      <c r="F681" s="6" t="s">
        <v>607</v>
      </c>
      <c r="G681" s="4" t="s">
        <v>607</v>
      </c>
      <c r="H681" s="4" t="s">
        <v>607</v>
      </c>
      <c r="I681" s="4" t="s">
        <v>607</v>
      </c>
      <c r="J681" s="4" t="s">
        <v>607</v>
      </c>
      <c r="K681" s="4" t="s">
        <v>607</v>
      </c>
      <c r="L681" s="4" t="s">
        <v>607</v>
      </c>
      <c r="M681" s="4" t="s">
        <v>607</v>
      </c>
      <c r="N681" s="4" t="s">
        <v>607</v>
      </c>
      <c r="O681" s="4"/>
      <c r="P681" s="4"/>
      <c r="T681" s="4"/>
    </row>
    <row r="682">
      <c r="A682" s="4" t="s">
        <v>2624</v>
      </c>
      <c r="B682" s="4" t="s">
        <v>607</v>
      </c>
      <c r="C682" s="6" t="s">
        <v>607</v>
      </c>
      <c r="D682" s="6" t="s">
        <v>607</v>
      </c>
      <c r="E682" s="6" t="s">
        <v>607</v>
      </c>
      <c r="F682" s="6" t="s">
        <v>607</v>
      </c>
      <c r="G682" s="4" t="s">
        <v>607</v>
      </c>
      <c r="H682" s="4" t="s">
        <v>607</v>
      </c>
      <c r="I682" s="4" t="s">
        <v>607</v>
      </c>
      <c r="J682" s="4" t="s">
        <v>607</v>
      </c>
      <c r="K682" s="4" t="s">
        <v>607</v>
      </c>
      <c r="L682" s="4" t="s">
        <v>607</v>
      </c>
      <c r="M682" s="4" t="s">
        <v>607</v>
      </c>
      <c r="N682" s="4" t="s">
        <v>607</v>
      </c>
      <c r="O682" s="4"/>
      <c r="P682" s="4"/>
      <c r="T682" s="4"/>
    </row>
    <row r="683">
      <c r="A683" s="4" t="s">
        <v>2625</v>
      </c>
      <c r="B683" s="4" t="s">
        <v>607</v>
      </c>
      <c r="C683" s="6" t="s">
        <v>607</v>
      </c>
      <c r="D683" s="6" t="s">
        <v>607</v>
      </c>
      <c r="E683" s="6" t="s">
        <v>607</v>
      </c>
      <c r="F683" s="6" t="s">
        <v>607</v>
      </c>
      <c r="G683" s="4" t="s">
        <v>607</v>
      </c>
      <c r="H683" s="4" t="s">
        <v>607</v>
      </c>
      <c r="I683" s="4" t="s">
        <v>607</v>
      </c>
      <c r="J683" s="4" t="s">
        <v>607</v>
      </c>
      <c r="K683" s="4" t="s">
        <v>607</v>
      </c>
      <c r="L683" s="4" t="s">
        <v>607</v>
      </c>
      <c r="M683" s="4" t="s">
        <v>607</v>
      </c>
      <c r="N683" s="4" t="s">
        <v>607</v>
      </c>
      <c r="O683" s="4"/>
      <c r="P683" s="4"/>
      <c r="T683" s="4"/>
    </row>
    <row r="684">
      <c r="A684" s="4" t="s">
        <v>2628</v>
      </c>
      <c r="B684" s="4" t="s">
        <v>607</v>
      </c>
      <c r="C684" s="6" t="s">
        <v>607</v>
      </c>
      <c r="D684" s="6" t="s">
        <v>607</v>
      </c>
      <c r="E684" s="6" t="s">
        <v>607</v>
      </c>
      <c r="F684" s="6" t="s">
        <v>607</v>
      </c>
      <c r="G684" s="4" t="s">
        <v>607</v>
      </c>
      <c r="H684" s="4" t="s">
        <v>607</v>
      </c>
      <c r="I684" s="4" t="s">
        <v>607</v>
      </c>
      <c r="J684" s="4" t="s">
        <v>607</v>
      </c>
      <c r="K684" s="4" t="s">
        <v>607</v>
      </c>
      <c r="L684" s="4" t="s">
        <v>607</v>
      </c>
      <c r="M684" s="4" t="s">
        <v>607</v>
      </c>
      <c r="N684" s="4" t="s">
        <v>607</v>
      </c>
      <c r="O684" s="4"/>
      <c r="P684" s="4"/>
      <c r="T684" s="4"/>
    </row>
    <row r="685">
      <c r="A685" s="4" t="s">
        <v>2629</v>
      </c>
      <c r="B685" s="4" t="s">
        <v>607</v>
      </c>
      <c r="C685" s="6" t="s">
        <v>607</v>
      </c>
      <c r="D685" s="6" t="s">
        <v>607</v>
      </c>
      <c r="E685" s="6" t="s">
        <v>607</v>
      </c>
      <c r="F685" s="6" t="s">
        <v>607</v>
      </c>
      <c r="G685" s="4" t="s">
        <v>607</v>
      </c>
      <c r="H685" s="4" t="s">
        <v>607</v>
      </c>
      <c r="I685" s="4" t="s">
        <v>607</v>
      </c>
      <c r="J685" s="4" t="s">
        <v>607</v>
      </c>
      <c r="K685" s="4" t="s">
        <v>607</v>
      </c>
      <c r="L685" s="4" t="s">
        <v>607</v>
      </c>
      <c r="M685" s="4" t="s">
        <v>607</v>
      </c>
      <c r="N685" s="4" t="s">
        <v>607</v>
      </c>
      <c r="O685" s="4"/>
      <c r="P685" s="4"/>
      <c r="T685" s="4"/>
    </row>
    <row r="686">
      <c r="A686" s="4" t="s">
        <v>2630</v>
      </c>
      <c r="B686" s="4" t="s">
        <v>607</v>
      </c>
      <c r="C686" s="6" t="s">
        <v>607</v>
      </c>
      <c r="D686" s="6" t="s">
        <v>607</v>
      </c>
      <c r="E686" s="6" t="s">
        <v>607</v>
      </c>
      <c r="F686" s="6" t="s">
        <v>607</v>
      </c>
      <c r="G686" s="4" t="s">
        <v>607</v>
      </c>
      <c r="H686" s="4" t="s">
        <v>607</v>
      </c>
      <c r="I686" s="4" t="s">
        <v>607</v>
      </c>
      <c r="J686" s="4" t="s">
        <v>607</v>
      </c>
      <c r="K686" s="4" t="s">
        <v>607</v>
      </c>
      <c r="L686" s="4" t="s">
        <v>607</v>
      </c>
      <c r="M686" s="4" t="s">
        <v>607</v>
      </c>
      <c r="N686" s="4" t="s">
        <v>607</v>
      </c>
      <c r="O686" s="4"/>
      <c r="P686" s="4"/>
      <c r="T686" s="4"/>
    </row>
    <row r="687">
      <c r="A687" s="4" t="s">
        <v>2631</v>
      </c>
      <c r="B687" s="4" t="s">
        <v>607</v>
      </c>
      <c r="C687" s="6" t="s">
        <v>607</v>
      </c>
      <c r="D687" s="6" t="s">
        <v>607</v>
      </c>
      <c r="E687" s="6" t="s">
        <v>607</v>
      </c>
      <c r="F687" s="6" t="s">
        <v>607</v>
      </c>
      <c r="G687" s="4" t="s">
        <v>607</v>
      </c>
      <c r="H687" s="4" t="s">
        <v>607</v>
      </c>
      <c r="I687" s="4" t="s">
        <v>607</v>
      </c>
      <c r="J687" s="4" t="s">
        <v>607</v>
      </c>
      <c r="K687" s="4" t="s">
        <v>607</v>
      </c>
      <c r="L687" s="4" t="s">
        <v>607</v>
      </c>
      <c r="M687" s="4" t="s">
        <v>607</v>
      </c>
      <c r="N687" s="4" t="s">
        <v>607</v>
      </c>
      <c r="O687" s="4"/>
      <c r="P687" s="4"/>
      <c r="T687" s="4"/>
    </row>
    <row r="688">
      <c r="A688" s="4" t="s">
        <v>2632</v>
      </c>
      <c r="B688" s="4" t="s">
        <v>607</v>
      </c>
      <c r="C688" s="6" t="s">
        <v>607</v>
      </c>
      <c r="D688" s="6" t="s">
        <v>607</v>
      </c>
      <c r="E688" s="6" t="s">
        <v>607</v>
      </c>
      <c r="F688" s="6" t="s">
        <v>607</v>
      </c>
      <c r="G688" s="4" t="s">
        <v>607</v>
      </c>
      <c r="H688" s="4" t="s">
        <v>607</v>
      </c>
      <c r="I688" s="4" t="s">
        <v>607</v>
      </c>
      <c r="J688" s="4" t="s">
        <v>607</v>
      </c>
      <c r="K688" s="4" t="s">
        <v>607</v>
      </c>
      <c r="L688" s="4" t="s">
        <v>607</v>
      </c>
      <c r="M688" s="4" t="s">
        <v>607</v>
      </c>
      <c r="N688" s="4" t="s">
        <v>607</v>
      </c>
      <c r="O688" s="4"/>
      <c r="P688" s="4"/>
      <c r="T688" s="4"/>
    </row>
    <row r="689">
      <c r="A689" s="4" t="s">
        <v>2634</v>
      </c>
      <c r="B689" s="4" t="s">
        <v>607</v>
      </c>
      <c r="C689" s="6" t="s">
        <v>607</v>
      </c>
      <c r="D689" s="6" t="s">
        <v>607</v>
      </c>
      <c r="E689" s="6" t="s">
        <v>607</v>
      </c>
      <c r="F689" s="6" t="s">
        <v>607</v>
      </c>
      <c r="G689" s="4" t="s">
        <v>607</v>
      </c>
      <c r="H689" s="4" t="s">
        <v>607</v>
      </c>
      <c r="I689" s="4" t="s">
        <v>607</v>
      </c>
      <c r="J689" s="4" t="s">
        <v>607</v>
      </c>
      <c r="K689" s="4" t="s">
        <v>607</v>
      </c>
      <c r="L689" s="4" t="s">
        <v>607</v>
      </c>
      <c r="M689" s="4" t="s">
        <v>607</v>
      </c>
      <c r="N689" s="4" t="s">
        <v>607</v>
      </c>
      <c r="O689" s="4"/>
      <c r="P689" s="4"/>
      <c r="T689" s="4"/>
    </row>
    <row r="690">
      <c r="A690" s="4" t="s">
        <v>2635</v>
      </c>
      <c r="B690" s="4" t="s">
        <v>607</v>
      </c>
      <c r="C690" s="6" t="s">
        <v>607</v>
      </c>
      <c r="D690" s="6" t="s">
        <v>607</v>
      </c>
      <c r="E690" s="6" t="s">
        <v>607</v>
      </c>
      <c r="F690" s="6" t="s">
        <v>607</v>
      </c>
      <c r="G690" s="4" t="s">
        <v>607</v>
      </c>
      <c r="H690" s="4" t="s">
        <v>607</v>
      </c>
      <c r="I690" s="4" t="s">
        <v>607</v>
      </c>
      <c r="J690" s="4" t="s">
        <v>607</v>
      </c>
      <c r="K690" s="4" t="s">
        <v>607</v>
      </c>
      <c r="L690" s="4" t="s">
        <v>607</v>
      </c>
      <c r="M690" s="4" t="s">
        <v>607</v>
      </c>
      <c r="N690" s="4" t="s">
        <v>607</v>
      </c>
      <c r="O690" s="4"/>
      <c r="P690" s="4"/>
      <c r="T690" s="4"/>
    </row>
    <row r="691">
      <c r="A691" s="4" t="s">
        <v>2636</v>
      </c>
      <c r="B691" s="4" t="s">
        <v>607</v>
      </c>
      <c r="C691" s="6" t="s">
        <v>607</v>
      </c>
      <c r="D691" s="6" t="s">
        <v>607</v>
      </c>
      <c r="E691" s="6" t="s">
        <v>607</v>
      </c>
      <c r="F691" s="6" t="s">
        <v>607</v>
      </c>
      <c r="G691" s="4" t="s">
        <v>607</v>
      </c>
      <c r="H691" s="4" t="s">
        <v>607</v>
      </c>
      <c r="I691" s="4" t="s">
        <v>607</v>
      </c>
      <c r="J691" s="4" t="s">
        <v>607</v>
      </c>
      <c r="K691" s="4" t="s">
        <v>607</v>
      </c>
      <c r="L691" s="4" t="s">
        <v>607</v>
      </c>
      <c r="M691" s="4" t="s">
        <v>607</v>
      </c>
      <c r="N691" s="4" t="s">
        <v>607</v>
      </c>
      <c r="O691" s="4"/>
      <c r="P691" s="4"/>
      <c r="T691" s="4"/>
    </row>
    <row r="692">
      <c r="A692" s="4" t="s">
        <v>2637</v>
      </c>
      <c r="B692" s="4" t="s">
        <v>607</v>
      </c>
      <c r="C692" s="6" t="s">
        <v>607</v>
      </c>
      <c r="D692" s="6" t="s">
        <v>607</v>
      </c>
      <c r="E692" s="6" t="s">
        <v>607</v>
      </c>
      <c r="F692" s="6" t="s">
        <v>607</v>
      </c>
      <c r="G692" s="4" t="s">
        <v>607</v>
      </c>
      <c r="H692" s="4" t="s">
        <v>607</v>
      </c>
      <c r="I692" s="4" t="s">
        <v>607</v>
      </c>
      <c r="J692" s="4" t="s">
        <v>607</v>
      </c>
      <c r="K692" s="4" t="s">
        <v>607</v>
      </c>
      <c r="L692" s="4" t="s">
        <v>607</v>
      </c>
      <c r="M692" s="4" t="s">
        <v>607</v>
      </c>
      <c r="N692" s="4" t="s">
        <v>607</v>
      </c>
      <c r="O692" s="4"/>
      <c r="P692" s="4"/>
      <c r="T692" s="4"/>
    </row>
    <row r="693">
      <c r="A693" s="4" t="s">
        <v>2638</v>
      </c>
      <c r="B693" s="4" t="s">
        <v>607</v>
      </c>
      <c r="C693" s="6" t="s">
        <v>607</v>
      </c>
      <c r="D693" s="6" t="s">
        <v>607</v>
      </c>
      <c r="E693" s="6" t="s">
        <v>607</v>
      </c>
      <c r="F693" s="6" t="s">
        <v>607</v>
      </c>
      <c r="G693" s="4" t="s">
        <v>607</v>
      </c>
      <c r="H693" s="4" t="s">
        <v>607</v>
      </c>
      <c r="I693" s="4" t="s">
        <v>607</v>
      </c>
      <c r="J693" s="4" t="s">
        <v>607</v>
      </c>
      <c r="K693" s="4" t="s">
        <v>607</v>
      </c>
      <c r="L693" s="4" t="s">
        <v>607</v>
      </c>
      <c r="M693" s="4" t="s">
        <v>607</v>
      </c>
      <c r="N693" s="4" t="s">
        <v>607</v>
      </c>
      <c r="O693" s="4"/>
      <c r="P693" s="4"/>
      <c r="T693" s="4"/>
    </row>
    <row r="694">
      <c r="A694" s="4" t="s">
        <v>2639</v>
      </c>
      <c r="B694" s="4" t="s">
        <v>607</v>
      </c>
      <c r="C694" s="6" t="s">
        <v>607</v>
      </c>
      <c r="D694" s="6" t="s">
        <v>607</v>
      </c>
      <c r="E694" s="6" t="s">
        <v>607</v>
      </c>
      <c r="F694" s="6" t="s">
        <v>607</v>
      </c>
      <c r="G694" s="4" t="s">
        <v>607</v>
      </c>
      <c r="H694" s="4" t="s">
        <v>607</v>
      </c>
      <c r="I694" s="4" t="s">
        <v>607</v>
      </c>
      <c r="J694" s="4" t="s">
        <v>607</v>
      </c>
      <c r="K694" s="4" t="s">
        <v>607</v>
      </c>
      <c r="L694" s="4" t="s">
        <v>607</v>
      </c>
      <c r="M694" s="4" t="s">
        <v>607</v>
      </c>
      <c r="N694" s="4" t="s">
        <v>607</v>
      </c>
      <c r="O694" s="4"/>
      <c r="P694" s="4"/>
      <c r="T694" s="4"/>
    </row>
    <row r="695">
      <c r="A695" s="4" t="s">
        <v>2643</v>
      </c>
      <c r="B695" s="4" t="s">
        <v>607</v>
      </c>
      <c r="C695" s="6" t="s">
        <v>607</v>
      </c>
      <c r="D695" s="6" t="s">
        <v>607</v>
      </c>
      <c r="E695" s="6" t="s">
        <v>607</v>
      </c>
      <c r="F695" s="6" t="s">
        <v>607</v>
      </c>
      <c r="G695" s="4" t="s">
        <v>607</v>
      </c>
      <c r="H695" s="4" t="s">
        <v>607</v>
      </c>
      <c r="I695" s="4" t="s">
        <v>607</v>
      </c>
      <c r="J695" s="4" t="s">
        <v>607</v>
      </c>
      <c r="K695" s="4" t="s">
        <v>607</v>
      </c>
      <c r="L695" s="4" t="s">
        <v>607</v>
      </c>
      <c r="M695" s="4" t="s">
        <v>607</v>
      </c>
      <c r="N695" s="4" t="s">
        <v>607</v>
      </c>
      <c r="O695" s="4"/>
      <c r="P695" s="4"/>
      <c r="T695" s="4"/>
    </row>
    <row r="696">
      <c r="A696" s="4" t="s">
        <v>2644</v>
      </c>
      <c r="B696" s="4" t="s">
        <v>607</v>
      </c>
      <c r="C696" s="6" t="s">
        <v>607</v>
      </c>
      <c r="D696" s="6" t="s">
        <v>607</v>
      </c>
      <c r="E696" s="6" t="s">
        <v>607</v>
      </c>
      <c r="F696" s="6" t="s">
        <v>607</v>
      </c>
      <c r="G696" s="4" t="s">
        <v>607</v>
      </c>
      <c r="H696" s="4" t="s">
        <v>607</v>
      </c>
      <c r="I696" s="4" t="s">
        <v>607</v>
      </c>
      <c r="J696" s="4" t="s">
        <v>607</v>
      </c>
      <c r="K696" s="4" t="s">
        <v>607</v>
      </c>
      <c r="L696" s="4" t="s">
        <v>607</v>
      </c>
      <c r="M696" s="4" t="s">
        <v>607</v>
      </c>
      <c r="N696" s="4" t="s">
        <v>607</v>
      </c>
      <c r="O696" s="4"/>
      <c r="P696" s="4"/>
      <c r="T696" s="4"/>
    </row>
    <row r="697">
      <c r="A697" s="4" t="s">
        <v>2645</v>
      </c>
      <c r="B697" s="4" t="s">
        <v>607</v>
      </c>
      <c r="C697" s="6" t="s">
        <v>607</v>
      </c>
      <c r="D697" s="6" t="s">
        <v>607</v>
      </c>
      <c r="E697" s="6" t="s">
        <v>607</v>
      </c>
      <c r="F697" s="6" t="s">
        <v>607</v>
      </c>
      <c r="G697" s="4" t="s">
        <v>607</v>
      </c>
      <c r="H697" s="4" t="s">
        <v>607</v>
      </c>
      <c r="I697" s="4" t="s">
        <v>607</v>
      </c>
      <c r="J697" s="4" t="s">
        <v>607</v>
      </c>
      <c r="K697" s="4" t="s">
        <v>607</v>
      </c>
      <c r="L697" s="4" t="s">
        <v>607</v>
      </c>
      <c r="M697" s="4" t="s">
        <v>607</v>
      </c>
      <c r="N697" s="4" t="s">
        <v>607</v>
      </c>
      <c r="O697" s="4"/>
      <c r="P697" s="4"/>
      <c r="T697" s="4"/>
    </row>
    <row r="698">
      <c r="A698" s="4" t="s">
        <v>2646</v>
      </c>
      <c r="B698" s="4" t="s">
        <v>607</v>
      </c>
      <c r="C698" s="6" t="s">
        <v>607</v>
      </c>
      <c r="D698" s="6" t="s">
        <v>607</v>
      </c>
      <c r="E698" s="6" t="s">
        <v>607</v>
      </c>
      <c r="F698" s="6" t="s">
        <v>607</v>
      </c>
      <c r="G698" s="4" t="s">
        <v>607</v>
      </c>
      <c r="H698" s="4" t="s">
        <v>607</v>
      </c>
      <c r="I698" s="4" t="s">
        <v>607</v>
      </c>
      <c r="J698" s="4" t="s">
        <v>607</v>
      </c>
      <c r="K698" s="4" t="s">
        <v>607</v>
      </c>
      <c r="L698" s="4" t="s">
        <v>607</v>
      </c>
      <c r="M698" s="4" t="s">
        <v>607</v>
      </c>
      <c r="N698" s="4" t="s">
        <v>607</v>
      </c>
      <c r="O698" s="4"/>
      <c r="P698" s="4"/>
      <c r="T698" s="4"/>
    </row>
    <row r="699">
      <c r="A699" s="4" t="s">
        <v>2647</v>
      </c>
      <c r="B699" s="4" t="s">
        <v>607</v>
      </c>
      <c r="C699" s="6" t="s">
        <v>607</v>
      </c>
      <c r="D699" s="6" t="s">
        <v>607</v>
      </c>
      <c r="E699" s="6" t="s">
        <v>607</v>
      </c>
      <c r="F699" s="6" t="s">
        <v>607</v>
      </c>
      <c r="G699" s="4" t="s">
        <v>607</v>
      </c>
      <c r="H699" s="4" t="s">
        <v>607</v>
      </c>
      <c r="I699" s="4" t="s">
        <v>607</v>
      </c>
      <c r="J699" s="4" t="s">
        <v>607</v>
      </c>
      <c r="K699" s="4" t="s">
        <v>607</v>
      </c>
      <c r="L699" s="4" t="s">
        <v>607</v>
      </c>
      <c r="M699" s="4" t="s">
        <v>607</v>
      </c>
      <c r="N699" s="4" t="s">
        <v>607</v>
      </c>
      <c r="O699" s="4"/>
      <c r="P699" s="4"/>
      <c r="T699" s="4"/>
    </row>
    <row r="700">
      <c r="A700" s="4" t="s">
        <v>2648</v>
      </c>
      <c r="B700" s="4" t="s">
        <v>607</v>
      </c>
      <c r="C700" s="6" t="s">
        <v>607</v>
      </c>
      <c r="D700" s="6" t="s">
        <v>607</v>
      </c>
      <c r="E700" s="6" t="s">
        <v>607</v>
      </c>
      <c r="F700" s="6" t="s">
        <v>607</v>
      </c>
      <c r="G700" s="4" t="s">
        <v>607</v>
      </c>
      <c r="H700" s="4" t="s">
        <v>607</v>
      </c>
      <c r="I700" s="4" t="s">
        <v>607</v>
      </c>
      <c r="J700" s="4" t="s">
        <v>607</v>
      </c>
      <c r="K700" s="4" t="s">
        <v>607</v>
      </c>
      <c r="L700" s="4" t="s">
        <v>607</v>
      </c>
      <c r="M700" s="4" t="s">
        <v>607</v>
      </c>
      <c r="N700" s="4" t="s">
        <v>607</v>
      </c>
      <c r="O700" s="4"/>
      <c r="P700" s="4"/>
      <c r="T700" s="4"/>
    </row>
    <row r="701">
      <c r="A701" s="4" t="s">
        <v>2649</v>
      </c>
      <c r="B701" s="4" t="s">
        <v>607</v>
      </c>
      <c r="C701" s="6" t="s">
        <v>607</v>
      </c>
      <c r="D701" s="6" t="s">
        <v>607</v>
      </c>
      <c r="E701" s="6" t="s">
        <v>607</v>
      </c>
      <c r="F701" s="6" t="s">
        <v>607</v>
      </c>
      <c r="G701" s="4" t="s">
        <v>607</v>
      </c>
      <c r="H701" s="4" t="s">
        <v>607</v>
      </c>
      <c r="I701" s="4" t="s">
        <v>607</v>
      </c>
      <c r="J701" s="4" t="s">
        <v>607</v>
      </c>
      <c r="K701" s="4" t="s">
        <v>607</v>
      </c>
      <c r="L701" s="4" t="s">
        <v>607</v>
      </c>
      <c r="M701" s="4" t="s">
        <v>607</v>
      </c>
      <c r="N701" s="4" t="s">
        <v>607</v>
      </c>
      <c r="O701" s="4"/>
      <c r="P701" s="4"/>
      <c r="T701" s="4"/>
    </row>
    <row r="702">
      <c r="A702" s="4" t="s">
        <v>2650</v>
      </c>
      <c r="B702" s="4" t="s">
        <v>607</v>
      </c>
      <c r="C702" s="6" t="s">
        <v>607</v>
      </c>
      <c r="D702" s="6" t="s">
        <v>607</v>
      </c>
      <c r="E702" s="6" t="s">
        <v>607</v>
      </c>
      <c r="F702" s="6" t="s">
        <v>607</v>
      </c>
      <c r="G702" s="4" t="s">
        <v>607</v>
      </c>
      <c r="H702" s="4" t="s">
        <v>607</v>
      </c>
      <c r="I702" s="4" t="s">
        <v>607</v>
      </c>
      <c r="J702" s="4" t="s">
        <v>607</v>
      </c>
      <c r="K702" s="4" t="s">
        <v>607</v>
      </c>
      <c r="L702" s="4" t="s">
        <v>607</v>
      </c>
      <c r="M702" s="4" t="s">
        <v>607</v>
      </c>
      <c r="N702" s="4" t="s">
        <v>607</v>
      </c>
      <c r="O702" s="4"/>
      <c r="P702" s="4"/>
      <c r="T702" s="4"/>
    </row>
    <row r="703">
      <c r="A703" s="4" t="s">
        <v>2654</v>
      </c>
      <c r="B703" s="4" t="s">
        <v>607</v>
      </c>
      <c r="C703" s="6" t="s">
        <v>607</v>
      </c>
      <c r="D703" s="6" t="s">
        <v>607</v>
      </c>
      <c r="E703" s="6" t="s">
        <v>607</v>
      </c>
      <c r="F703" s="6" t="s">
        <v>607</v>
      </c>
      <c r="G703" s="4" t="s">
        <v>607</v>
      </c>
      <c r="H703" s="4" t="s">
        <v>607</v>
      </c>
      <c r="I703" s="4" t="s">
        <v>607</v>
      </c>
      <c r="J703" s="4" t="s">
        <v>607</v>
      </c>
      <c r="K703" s="4" t="s">
        <v>607</v>
      </c>
      <c r="L703" s="4" t="s">
        <v>607</v>
      </c>
      <c r="M703" s="4" t="s">
        <v>607</v>
      </c>
      <c r="N703" s="4" t="s">
        <v>607</v>
      </c>
      <c r="O703" s="4"/>
      <c r="P703" s="4"/>
      <c r="T703" s="4"/>
    </row>
    <row r="704">
      <c r="A704" s="4" t="s">
        <v>2655</v>
      </c>
      <c r="B704" s="4" t="s">
        <v>607</v>
      </c>
      <c r="C704" s="6" t="s">
        <v>607</v>
      </c>
      <c r="D704" s="6" t="s">
        <v>607</v>
      </c>
      <c r="E704" s="6" t="s">
        <v>607</v>
      </c>
      <c r="F704" s="6" t="s">
        <v>607</v>
      </c>
      <c r="G704" s="4" t="s">
        <v>607</v>
      </c>
      <c r="H704" s="4" t="s">
        <v>607</v>
      </c>
      <c r="I704" s="4" t="s">
        <v>607</v>
      </c>
      <c r="J704" s="4" t="s">
        <v>607</v>
      </c>
      <c r="K704" s="4" t="s">
        <v>607</v>
      </c>
      <c r="L704" s="4" t="s">
        <v>607</v>
      </c>
      <c r="M704" s="4" t="s">
        <v>607</v>
      </c>
      <c r="N704" s="4" t="s">
        <v>607</v>
      </c>
      <c r="O704" s="4"/>
      <c r="P704" s="4"/>
      <c r="T704" s="4"/>
    </row>
    <row r="705">
      <c r="A705" s="4" t="s">
        <v>2656</v>
      </c>
      <c r="B705" s="4" t="s">
        <v>607</v>
      </c>
      <c r="C705" s="6" t="s">
        <v>607</v>
      </c>
      <c r="D705" s="6" t="s">
        <v>607</v>
      </c>
      <c r="E705" s="6" t="s">
        <v>607</v>
      </c>
      <c r="F705" s="6" t="s">
        <v>607</v>
      </c>
      <c r="G705" s="4" t="s">
        <v>607</v>
      </c>
      <c r="H705" s="4" t="s">
        <v>607</v>
      </c>
      <c r="I705" s="4" t="s">
        <v>607</v>
      </c>
      <c r="J705" s="4" t="s">
        <v>607</v>
      </c>
      <c r="K705" s="4" t="s">
        <v>607</v>
      </c>
      <c r="L705" s="4" t="s">
        <v>607</v>
      </c>
      <c r="M705" s="4" t="s">
        <v>607</v>
      </c>
      <c r="N705" s="4" t="s">
        <v>607</v>
      </c>
      <c r="O705" s="4"/>
      <c r="P705" s="4"/>
      <c r="T705" s="4"/>
    </row>
    <row r="706">
      <c r="A706" s="4" t="s">
        <v>2660</v>
      </c>
      <c r="B706" s="4" t="s">
        <v>607</v>
      </c>
      <c r="C706" s="6" t="s">
        <v>607</v>
      </c>
      <c r="D706" s="6" t="s">
        <v>607</v>
      </c>
      <c r="E706" s="6" t="s">
        <v>607</v>
      </c>
      <c r="F706" s="6" t="s">
        <v>607</v>
      </c>
      <c r="G706" s="4" t="s">
        <v>607</v>
      </c>
      <c r="H706" s="4" t="s">
        <v>607</v>
      </c>
      <c r="I706" s="4" t="s">
        <v>607</v>
      </c>
      <c r="J706" s="4" t="s">
        <v>607</v>
      </c>
      <c r="K706" s="4" t="s">
        <v>607</v>
      </c>
      <c r="L706" s="4" t="s">
        <v>607</v>
      </c>
      <c r="M706" s="4" t="s">
        <v>607</v>
      </c>
      <c r="N706" s="4" t="s">
        <v>607</v>
      </c>
      <c r="O706" s="4"/>
      <c r="P706" s="4"/>
      <c r="T706" s="4"/>
    </row>
    <row r="707">
      <c r="A707" s="4" t="s">
        <v>2661</v>
      </c>
      <c r="B707" s="4" t="s">
        <v>607</v>
      </c>
      <c r="C707" s="6" t="s">
        <v>607</v>
      </c>
      <c r="D707" s="6" t="s">
        <v>607</v>
      </c>
      <c r="E707" s="6" t="s">
        <v>607</v>
      </c>
      <c r="F707" s="6" t="s">
        <v>607</v>
      </c>
      <c r="G707" s="4" t="s">
        <v>607</v>
      </c>
      <c r="H707" s="4" t="s">
        <v>607</v>
      </c>
      <c r="I707" s="4" t="s">
        <v>607</v>
      </c>
      <c r="J707" s="4" t="s">
        <v>607</v>
      </c>
      <c r="K707" s="4" t="s">
        <v>607</v>
      </c>
      <c r="L707" s="4" t="s">
        <v>607</v>
      </c>
      <c r="M707" s="4" t="s">
        <v>607</v>
      </c>
      <c r="N707" s="4" t="s">
        <v>607</v>
      </c>
      <c r="O707" s="4"/>
      <c r="P707" s="4"/>
      <c r="T707" s="4"/>
    </row>
    <row r="708">
      <c r="A708" s="4" t="s">
        <v>2662</v>
      </c>
      <c r="B708" s="4" t="s">
        <v>607</v>
      </c>
      <c r="C708" s="6" t="s">
        <v>607</v>
      </c>
      <c r="D708" s="6" t="s">
        <v>607</v>
      </c>
      <c r="E708" s="6" t="s">
        <v>607</v>
      </c>
      <c r="F708" s="6" t="s">
        <v>607</v>
      </c>
      <c r="G708" s="4" t="s">
        <v>607</v>
      </c>
      <c r="H708" s="4" t="s">
        <v>607</v>
      </c>
      <c r="I708" s="4" t="s">
        <v>607</v>
      </c>
      <c r="J708" s="4" t="s">
        <v>607</v>
      </c>
      <c r="K708" s="4" t="s">
        <v>607</v>
      </c>
      <c r="L708" s="4" t="s">
        <v>607</v>
      </c>
      <c r="M708" s="4" t="s">
        <v>607</v>
      </c>
      <c r="N708" s="4" t="s">
        <v>607</v>
      </c>
      <c r="O708" s="4"/>
      <c r="P708" s="4"/>
      <c r="T708" s="4"/>
    </row>
    <row r="709">
      <c r="A709" s="4" t="s">
        <v>2663</v>
      </c>
      <c r="B709" s="4" t="s">
        <v>607</v>
      </c>
      <c r="C709" s="6" t="s">
        <v>607</v>
      </c>
      <c r="D709" s="6" t="s">
        <v>607</v>
      </c>
      <c r="E709" s="6" t="s">
        <v>607</v>
      </c>
      <c r="F709" s="6" t="s">
        <v>607</v>
      </c>
      <c r="G709" s="4" t="s">
        <v>607</v>
      </c>
      <c r="H709" s="4" t="s">
        <v>607</v>
      </c>
      <c r="I709" s="4" t="s">
        <v>607</v>
      </c>
      <c r="J709" s="4" t="s">
        <v>607</v>
      </c>
      <c r="K709" s="4" t="s">
        <v>607</v>
      </c>
      <c r="L709" s="4" t="s">
        <v>607</v>
      </c>
      <c r="M709" s="4" t="s">
        <v>607</v>
      </c>
      <c r="N709" s="4" t="s">
        <v>607</v>
      </c>
      <c r="O709" s="4"/>
      <c r="P709" s="4"/>
      <c r="T709" s="4"/>
    </row>
    <row r="710">
      <c r="A710" s="4" t="s">
        <v>2667</v>
      </c>
      <c r="B710" s="4" t="s">
        <v>607</v>
      </c>
      <c r="C710" s="6" t="s">
        <v>607</v>
      </c>
      <c r="D710" s="6" t="s">
        <v>607</v>
      </c>
      <c r="E710" s="6" t="s">
        <v>607</v>
      </c>
      <c r="F710" s="6" t="s">
        <v>607</v>
      </c>
      <c r="G710" s="4" t="s">
        <v>607</v>
      </c>
      <c r="H710" s="4" t="s">
        <v>607</v>
      </c>
      <c r="I710" s="4" t="s">
        <v>607</v>
      </c>
      <c r="J710" s="4" t="s">
        <v>607</v>
      </c>
      <c r="K710" s="4" t="s">
        <v>607</v>
      </c>
      <c r="L710" s="4" t="s">
        <v>607</v>
      </c>
      <c r="M710" s="4" t="s">
        <v>607</v>
      </c>
      <c r="N710" s="4" t="s">
        <v>607</v>
      </c>
      <c r="O710" s="4"/>
      <c r="P710" s="4"/>
      <c r="T710" s="4"/>
    </row>
    <row r="711">
      <c r="A711" s="4" t="s">
        <v>2668</v>
      </c>
      <c r="B711" s="4" t="s">
        <v>607</v>
      </c>
      <c r="C711" s="6" t="s">
        <v>607</v>
      </c>
      <c r="D711" s="6" t="s">
        <v>607</v>
      </c>
      <c r="E711" s="6" t="s">
        <v>607</v>
      </c>
      <c r="F711" s="6" t="s">
        <v>607</v>
      </c>
      <c r="G711" s="4" t="s">
        <v>607</v>
      </c>
      <c r="H711" s="4" t="s">
        <v>607</v>
      </c>
      <c r="I711" s="4" t="s">
        <v>607</v>
      </c>
      <c r="J711" s="4" t="s">
        <v>607</v>
      </c>
      <c r="K711" s="4" t="s">
        <v>607</v>
      </c>
      <c r="L711" s="4" t="s">
        <v>607</v>
      </c>
      <c r="M711" s="4" t="s">
        <v>607</v>
      </c>
      <c r="N711" s="4" t="s">
        <v>607</v>
      </c>
      <c r="O711" s="4"/>
      <c r="P711" s="4"/>
      <c r="T711" s="4"/>
    </row>
    <row r="712">
      <c r="A712" s="4" t="s">
        <v>2669</v>
      </c>
      <c r="B712" s="4" t="s">
        <v>607</v>
      </c>
      <c r="C712" s="6" t="s">
        <v>607</v>
      </c>
      <c r="D712" s="6" t="s">
        <v>607</v>
      </c>
      <c r="E712" s="6" t="s">
        <v>607</v>
      </c>
      <c r="F712" s="6" t="s">
        <v>607</v>
      </c>
      <c r="G712" s="4" t="s">
        <v>607</v>
      </c>
      <c r="H712" s="4" t="s">
        <v>607</v>
      </c>
      <c r="I712" s="4" t="s">
        <v>607</v>
      </c>
      <c r="J712" s="4" t="s">
        <v>607</v>
      </c>
      <c r="K712" s="4" t="s">
        <v>607</v>
      </c>
      <c r="L712" s="4" t="s">
        <v>607</v>
      </c>
      <c r="M712" s="4" t="s">
        <v>607</v>
      </c>
      <c r="N712" s="4" t="s">
        <v>607</v>
      </c>
      <c r="O712" s="4"/>
      <c r="P712" s="4"/>
      <c r="T712" s="4"/>
    </row>
    <row r="713">
      <c r="A713" s="4" t="s">
        <v>2670</v>
      </c>
      <c r="B713" s="4" t="s">
        <v>607</v>
      </c>
      <c r="C713" s="6" t="s">
        <v>607</v>
      </c>
      <c r="D713" s="6" t="s">
        <v>607</v>
      </c>
      <c r="E713" s="6" t="s">
        <v>607</v>
      </c>
      <c r="F713" s="6" t="s">
        <v>607</v>
      </c>
      <c r="G713" s="4" t="s">
        <v>607</v>
      </c>
      <c r="H713" s="4" t="s">
        <v>607</v>
      </c>
      <c r="I713" s="4" t="s">
        <v>607</v>
      </c>
      <c r="J713" s="4" t="s">
        <v>607</v>
      </c>
      <c r="K713" s="4" t="s">
        <v>607</v>
      </c>
      <c r="L713" s="4" t="s">
        <v>607</v>
      </c>
      <c r="M713" s="4" t="s">
        <v>607</v>
      </c>
      <c r="N713" s="4" t="s">
        <v>607</v>
      </c>
      <c r="O713" s="4"/>
      <c r="P713" s="4"/>
      <c r="T713" s="4"/>
    </row>
    <row r="714">
      <c r="A714" s="4" t="s">
        <v>2671</v>
      </c>
      <c r="B714" s="4" t="s">
        <v>607</v>
      </c>
      <c r="C714" s="6" t="s">
        <v>607</v>
      </c>
      <c r="D714" s="6" t="s">
        <v>607</v>
      </c>
      <c r="E714" s="6" t="s">
        <v>607</v>
      </c>
      <c r="F714" s="6" t="s">
        <v>607</v>
      </c>
      <c r="G714" s="4" t="s">
        <v>607</v>
      </c>
      <c r="H714" s="4" t="s">
        <v>607</v>
      </c>
      <c r="I714" s="4" t="s">
        <v>607</v>
      </c>
      <c r="J714" s="4" t="s">
        <v>607</v>
      </c>
      <c r="K714" s="4" t="s">
        <v>607</v>
      </c>
      <c r="L714" s="4" t="s">
        <v>607</v>
      </c>
      <c r="M714" s="4" t="s">
        <v>607</v>
      </c>
      <c r="N714" s="4" t="s">
        <v>607</v>
      </c>
      <c r="O714" s="4"/>
      <c r="P714" s="4"/>
      <c r="T714" s="4"/>
    </row>
    <row r="715">
      <c r="A715" s="4" t="s">
        <v>2675</v>
      </c>
      <c r="B715" s="4" t="s">
        <v>607</v>
      </c>
      <c r="C715" s="6" t="s">
        <v>607</v>
      </c>
      <c r="D715" s="6" t="s">
        <v>607</v>
      </c>
      <c r="E715" s="6" t="s">
        <v>607</v>
      </c>
      <c r="F715" s="6" t="s">
        <v>607</v>
      </c>
      <c r="G715" s="4" t="s">
        <v>607</v>
      </c>
      <c r="H715" s="4" t="s">
        <v>607</v>
      </c>
      <c r="I715" s="4" t="s">
        <v>607</v>
      </c>
      <c r="J715" s="4" t="s">
        <v>607</v>
      </c>
      <c r="K715" s="4" t="s">
        <v>607</v>
      </c>
      <c r="L715" s="4" t="s">
        <v>607</v>
      </c>
      <c r="M715" s="4" t="s">
        <v>607</v>
      </c>
      <c r="N715" s="4" t="s">
        <v>607</v>
      </c>
      <c r="O715" s="4"/>
      <c r="P715" s="4"/>
      <c r="T715" s="4"/>
    </row>
    <row r="716">
      <c r="A716" s="4" t="s">
        <v>2676</v>
      </c>
      <c r="B716" s="4" t="s">
        <v>607</v>
      </c>
      <c r="C716" s="6" t="s">
        <v>607</v>
      </c>
      <c r="D716" s="6" t="s">
        <v>607</v>
      </c>
      <c r="E716" s="6" t="s">
        <v>607</v>
      </c>
      <c r="F716" s="6" t="s">
        <v>607</v>
      </c>
      <c r="G716" s="4" t="s">
        <v>607</v>
      </c>
      <c r="H716" s="4" t="s">
        <v>607</v>
      </c>
      <c r="I716" s="4" t="s">
        <v>607</v>
      </c>
      <c r="J716" s="4" t="s">
        <v>607</v>
      </c>
      <c r="K716" s="4" t="s">
        <v>607</v>
      </c>
      <c r="L716" s="4" t="s">
        <v>607</v>
      </c>
      <c r="M716" s="4" t="s">
        <v>607</v>
      </c>
      <c r="N716" s="4" t="s">
        <v>607</v>
      </c>
      <c r="O716" s="4"/>
      <c r="P716" s="4"/>
      <c r="T716" s="4"/>
    </row>
    <row r="717">
      <c r="A717" s="4" t="s">
        <v>2677</v>
      </c>
      <c r="B717" s="4" t="s">
        <v>607</v>
      </c>
      <c r="C717" s="6" t="s">
        <v>607</v>
      </c>
      <c r="D717" s="6" t="s">
        <v>607</v>
      </c>
      <c r="E717" s="6" t="s">
        <v>607</v>
      </c>
      <c r="F717" s="6" t="s">
        <v>607</v>
      </c>
      <c r="G717" s="4" t="s">
        <v>607</v>
      </c>
      <c r="H717" s="4" t="s">
        <v>607</v>
      </c>
      <c r="I717" s="4" t="s">
        <v>607</v>
      </c>
      <c r="J717" s="4" t="s">
        <v>607</v>
      </c>
      <c r="K717" s="4" t="s">
        <v>607</v>
      </c>
      <c r="L717" s="4" t="s">
        <v>607</v>
      </c>
      <c r="M717" s="4" t="s">
        <v>607</v>
      </c>
      <c r="N717" s="4" t="s">
        <v>607</v>
      </c>
      <c r="O717" s="4"/>
      <c r="P717" s="4"/>
      <c r="T717" s="4"/>
    </row>
    <row r="718">
      <c r="A718" s="4" t="s">
        <v>2680</v>
      </c>
      <c r="B718" s="4" t="s">
        <v>607</v>
      </c>
      <c r="C718" s="6" t="s">
        <v>607</v>
      </c>
      <c r="D718" s="6" t="s">
        <v>607</v>
      </c>
      <c r="E718" s="6" t="s">
        <v>607</v>
      </c>
      <c r="F718" s="6" t="s">
        <v>607</v>
      </c>
      <c r="G718" s="4" t="s">
        <v>607</v>
      </c>
      <c r="H718" s="4" t="s">
        <v>607</v>
      </c>
      <c r="I718" s="4" t="s">
        <v>607</v>
      </c>
      <c r="J718" s="4" t="s">
        <v>607</v>
      </c>
      <c r="K718" s="4" t="s">
        <v>607</v>
      </c>
      <c r="L718" s="4" t="s">
        <v>607</v>
      </c>
      <c r="M718" s="4" t="s">
        <v>607</v>
      </c>
      <c r="N718" s="4" t="s">
        <v>607</v>
      </c>
      <c r="O718" s="4"/>
      <c r="P718" s="4"/>
      <c r="T718" s="4"/>
    </row>
    <row r="719">
      <c r="A719" s="4" t="s">
        <v>2681</v>
      </c>
      <c r="B719" s="4" t="s">
        <v>607</v>
      </c>
      <c r="C719" s="6" t="s">
        <v>607</v>
      </c>
      <c r="D719" s="6" t="s">
        <v>607</v>
      </c>
      <c r="E719" s="6" t="s">
        <v>607</v>
      </c>
      <c r="F719" s="6" t="s">
        <v>607</v>
      </c>
      <c r="G719" s="4" t="s">
        <v>607</v>
      </c>
      <c r="H719" s="4" t="s">
        <v>607</v>
      </c>
      <c r="I719" s="4" t="s">
        <v>607</v>
      </c>
      <c r="J719" s="4" t="s">
        <v>607</v>
      </c>
      <c r="K719" s="4" t="s">
        <v>607</v>
      </c>
      <c r="L719" s="4" t="s">
        <v>607</v>
      </c>
      <c r="M719" s="4" t="s">
        <v>607</v>
      </c>
      <c r="N719" s="4" t="s">
        <v>607</v>
      </c>
      <c r="O719" s="4"/>
      <c r="P719" s="4"/>
      <c r="T719" s="4"/>
    </row>
    <row r="720">
      <c r="A720" s="4" t="s">
        <v>2682</v>
      </c>
      <c r="B720" s="4" t="s">
        <v>607</v>
      </c>
      <c r="C720" s="6" t="s">
        <v>607</v>
      </c>
      <c r="D720" s="6" t="s">
        <v>607</v>
      </c>
      <c r="E720" s="6" t="s">
        <v>607</v>
      </c>
      <c r="F720" s="6" t="s">
        <v>607</v>
      </c>
      <c r="G720" s="4" t="s">
        <v>607</v>
      </c>
      <c r="H720" s="4" t="s">
        <v>607</v>
      </c>
      <c r="I720" s="4" t="s">
        <v>607</v>
      </c>
      <c r="J720" s="4" t="s">
        <v>607</v>
      </c>
      <c r="K720" s="4" t="s">
        <v>607</v>
      </c>
      <c r="L720" s="4" t="s">
        <v>607</v>
      </c>
      <c r="M720" s="4" t="s">
        <v>607</v>
      </c>
      <c r="N720" s="4" t="s">
        <v>607</v>
      </c>
      <c r="O720" s="4"/>
      <c r="P720" s="4"/>
      <c r="T720" s="4"/>
    </row>
    <row r="721">
      <c r="A721" s="4" t="s">
        <v>2683</v>
      </c>
      <c r="B721" s="4" t="s">
        <v>607</v>
      </c>
      <c r="C721" s="6" t="s">
        <v>607</v>
      </c>
      <c r="D721" s="6" t="s">
        <v>607</v>
      </c>
      <c r="E721" s="6" t="s">
        <v>607</v>
      </c>
      <c r="F721" s="6" t="s">
        <v>607</v>
      </c>
      <c r="G721" s="4" t="s">
        <v>607</v>
      </c>
      <c r="H721" s="4" t="s">
        <v>607</v>
      </c>
      <c r="I721" s="4" t="s">
        <v>607</v>
      </c>
      <c r="J721" s="4" t="s">
        <v>607</v>
      </c>
      <c r="K721" s="4" t="s">
        <v>607</v>
      </c>
      <c r="L721" s="4" t="s">
        <v>607</v>
      </c>
      <c r="M721" s="4" t="s">
        <v>607</v>
      </c>
      <c r="N721" s="4" t="s">
        <v>607</v>
      </c>
      <c r="O721" s="4"/>
      <c r="P721" s="4"/>
      <c r="T721" s="4"/>
    </row>
    <row r="722">
      <c r="A722" s="4" t="s">
        <v>2686</v>
      </c>
      <c r="B722" s="4" t="s">
        <v>607</v>
      </c>
      <c r="C722" s="6" t="s">
        <v>607</v>
      </c>
      <c r="D722" s="6" t="s">
        <v>607</v>
      </c>
      <c r="E722" s="6" t="s">
        <v>607</v>
      </c>
      <c r="F722" s="6" t="s">
        <v>607</v>
      </c>
      <c r="G722" s="4" t="s">
        <v>607</v>
      </c>
      <c r="H722" s="4" t="s">
        <v>607</v>
      </c>
      <c r="I722" s="4" t="s">
        <v>607</v>
      </c>
      <c r="J722" s="4" t="s">
        <v>607</v>
      </c>
      <c r="K722" s="4" t="s">
        <v>607</v>
      </c>
      <c r="L722" s="4" t="s">
        <v>607</v>
      </c>
      <c r="M722" s="4" t="s">
        <v>607</v>
      </c>
      <c r="N722" s="4" t="s">
        <v>607</v>
      </c>
      <c r="O722" s="4"/>
      <c r="P722" s="4"/>
      <c r="T722" s="4"/>
    </row>
    <row r="723">
      <c r="A723" s="4" t="s">
        <v>2687</v>
      </c>
      <c r="B723" s="4" t="s">
        <v>607</v>
      </c>
      <c r="C723" s="6" t="s">
        <v>607</v>
      </c>
      <c r="D723" s="6" t="s">
        <v>607</v>
      </c>
      <c r="E723" s="6" t="s">
        <v>607</v>
      </c>
      <c r="F723" s="6" t="s">
        <v>607</v>
      </c>
      <c r="G723" s="4" t="s">
        <v>607</v>
      </c>
      <c r="H723" s="4" t="s">
        <v>607</v>
      </c>
      <c r="I723" s="4" t="s">
        <v>607</v>
      </c>
      <c r="J723" s="4" t="s">
        <v>607</v>
      </c>
      <c r="K723" s="4" t="s">
        <v>607</v>
      </c>
      <c r="L723" s="4" t="s">
        <v>607</v>
      </c>
      <c r="M723" s="4" t="s">
        <v>607</v>
      </c>
      <c r="N723" s="4" t="s">
        <v>607</v>
      </c>
      <c r="O723" s="4"/>
      <c r="P723" s="4"/>
      <c r="T723" s="4"/>
    </row>
    <row r="724">
      <c r="A724" s="4" t="s">
        <v>2688</v>
      </c>
      <c r="B724" s="4" t="s">
        <v>607</v>
      </c>
      <c r="C724" s="6" t="s">
        <v>607</v>
      </c>
      <c r="D724" s="6" t="s">
        <v>607</v>
      </c>
      <c r="E724" s="6" t="s">
        <v>607</v>
      </c>
      <c r="F724" s="6" t="s">
        <v>607</v>
      </c>
      <c r="G724" s="4" t="s">
        <v>607</v>
      </c>
      <c r="H724" s="4" t="s">
        <v>607</v>
      </c>
      <c r="I724" s="4" t="s">
        <v>607</v>
      </c>
      <c r="J724" s="4" t="s">
        <v>607</v>
      </c>
      <c r="K724" s="4" t="s">
        <v>607</v>
      </c>
      <c r="L724" s="4" t="s">
        <v>607</v>
      </c>
      <c r="M724" s="4" t="s">
        <v>607</v>
      </c>
      <c r="N724" s="4" t="s">
        <v>607</v>
      </c>
      <c r="O724" s="4"/>
      <c r="P724" s="4"/>
      <c r="T724" s="4"/>
    </row>
    <row r="725">
      <c r="A725" s="4" t="s">
        <v>2689</v>
      </c>
      <c r="B725" s="4" t="s">
        <v>607</v>
      </c>
      <c r="C725" s="6" t="s">
        <v>607</v>
      </c>
      <c r="D725" s="6" t="s">
        <v>607</v>
      </c>
      <c r="E725" s="6" t="s">
        <v>607</v>
      </c>
      <c r="F725" s="6" t="s">
        <v>607</v>
      </c>
      <c r="G725" s="4" t="s">
        <v>607</v>
      </c>
      <c r="H725" s="4" t="s">
        <v>607</v>
      </c>
      <c r="I725" s="4" t="s">
        <v>607</v>
      </c>
      <c r="J725" s="4" t="s">
        <v>607</v>
      </c>
      <c r="K725" s="4" t="s">
        <v>607</v>
      </c>
      <c r="L725" s="4" t="s">
        <v>607</v>
      </c>
      <c r="M725" s="4" t="s">
        <v>607</v>
      </c>
      <c r="N725" s="4" t="s">
        <v>607</v>
      </c>
      <c r="O725" s="4"/>
      <c r="P725" s="4"/>
      <c r="T725" s="4"/>
    </row>
    <row r="726">
      <c r="A726" s="4" t="s">
        <v>2690</v>
      </c>
      <c r="B726" s="4" t="s">
        <v>607</v>
      </c>
      <c r="C726" s="6" t="s">
        <v>607</v>
      </c>
      <c r="D726" s="6" t="s">
        <v>607</v>
      </c>
      <c r="E726" s="6" t="s">
        <v>607</v>
      </c>
      <c r="F726" s="6" t="s">
        <v>607</v>
      </c>
      <c r="G726" s="4" t="s">
        <v>607</v>
      </c>
      <c r="H726" s="4" t="s">
        <v>607</v>
      </c>
      <c r="I726" s="4" t="s">
        <v>607</v>
      </c>
      <c r="J726" s="4" t="s">
        <v>607</v>
      </c>
      <c r="K726" s="4" t="s">
        <v>607</v>
      </c>
      <c r="L726" s="4" t="s">
        <v>607</v>
      </c>
      <c r="M726" s="4" t="s">
        <v>607</v>
      </c>
      <c r="N726" s="4" t="s">
        <v>607</v>
      </c>
      <c r="O726" s="4"/>
      <c r="P726" s="4"/>
      <c r="T726" s="4"/>
    </row>
    <row r="727">
      <c r="A727" s="4" t="s">
        <v>2691</v>
      </c>
      <c r="B727" s="4" t="s">
        <v>607</v>
      </c>
      <c r="C727" s="6" t="s">
        <v>607</v>
      </c>
      <c r="D727" s="6" t="s">
        <v>607</v>
      </c>
      <c r="E727" s="6" t="s">
        <v>607</v>
      </c>
      <c r="F727" s="6" t="s">
        <v>607</v>
      </c>
      <c r="G727" s="4" t="s">
        <v>607</v>
      </c>
      <c r="H727" s="4" t="s">
        <v>607</v>
      </c>
      <c r="I727" s="4" t="s">
        <v>607</v>
      </c>
      <c r="J727" s="4" t="s">
        <v>607</v>
      </c>
      <c r="K727" s="4" t="s">
        <v>607</v>
      </c>
      <c r="L727" s="4" t="s">
        <v>607</v>
      </c>
      <c r="M727" s="4" t="s">
        <v>607</v>
      </c>
      <c r="N727" s="4" t="s">
        <v>607</v>
      </c>
      <c r="O727" s="4"/>
      <c r="P727" s="4"/>
      <c r="T727" s="4"/>
    </row>
    <row r="728">
      <c r="A728" s="4" t="s">
        <v>2692</v>
      </c>
      <c r="B728" s="4" t="s">
        <v>607</v>
      </c>
      <c r="C728" s="6" t="s">
        <v>607</v>
      </c>
      <c r="D728" s="6" t="s">
        <v>607</v>
      </c>
      <c r="E728" s="6" t="s">
        <v>607</v>
      </c>
      <c r="F728" s="6" t="s">
        <v>607</v>
      </c>
      <c r="G728" s="4" t="s">
        <v>607</v>
      </c>
      <c r="H728" s="4" t="s">
        <v>607</v>
      </c>
      <c r="I728" s="4" t="s">
        <v>607</v>
      </c>
      <c r="J728" s="4" t="s">
        <v>607</v>
      </c>
      <c r="K728" s="4" t="s">
        <v>607</v>
      </c>
      <c r="L728" s="4" t="s">
        <v>607</v>
      </c>
      <c r="M728" s="4" t="s">
        <v>607</v>
      </c>
      <c r="N728" s="4" t="s">
        <v>607</v>
      </c>
      <c r="O728" s="4"/>
      <c r="P728" s="4"/>
      <c r="T728" s="4"/>
    </row>
    <row r="729">
      <c r="A729" s="4" t="s">
        <v>2693</v>
      </c>
      <c r="B729" s="4" t="s">
        <v>607</v>
      </c>
      <c r="C729" s="6" t="s">
        <v>607</v>
      </c>
      <c r="D729" s="6" t="s">
        <v>607</v>
      </c>
      <c r="E729" s="6" t="s">
        <v>607</v>
      </c>
      <c r="F729" s="6" t="s">
        <v>607</v>
      </c>
      <c r="G729" s="4" t="s">
        <v>607</v>
      </c>
      <c r="H729" s="4" t="s">
        <v>607</v>
      </c>
      <c r="I729" s="4" t="s">
        <v>607</v>
      </c>
      <c r="J729" s="4" t="s">
        <v>607</v>
      </c>
      <c r="K729" s="4" t="s">
        <v>607</v>
      </c>
      <c r="L729" s="4" t="s">
        <v>607</v>
      </c>
      <c r="M729" s="4" t="s">
        <v>607</v>
      </c>
      <c r="N729" s="4" t="s">
        <v>607</v>
      </c>
      <c r="O729" s="4"/>
      <c r="P729" s="4"/>
      <c r="T729" s="4"/>
    </row>
    <row r="730">
      <c r="A730" s="4" t="s">
        <v>2694</v>
      </c>
      <c r="B730" s="4" t="s">
        <v>607</v>
      </c>
      <c r="C730" s="6" t="s">
        <v>607</v>
      </c>
      <c r="D730" s="6" t="s">
        <v>607</v>
      </c>
      <c r="E730" s="6" t="s">
        <v>607</v>
      </c>
      <c r="F730" s="6" t="s">
        <v>607</v>
      </c>
      <c r="G730" s="4" t="s">
        <v>607</v>
      </c>
      <c r="H730" s="4" t="s">
        <v>607</v>
      </c>
      <c r="I730" s="4" t="s">
        <v>607</v>
      </c>
      <c r="J730" s="4" t="s">
        <v>607</v>
      </c>
      <c r="K730" s="4" t="s">
        <v>607</v>
      </c>
      <c r="L730" s="4" t="s">
        <v>607</v>
      </c>
      <c r="M730" s="4" t="s">
        <v>607</v>
      </c>
      <c r="N730" s="4" t="s">
        <v>607</v>
      </c>
      <c r="O730" s="4"/>
      <c r="P730" s="4"/>
      <c r="T730" s="4"/>
    </row>
    <row r="731">
      <c r="A731" s="4" t="s">
        <v>2695</v>
      </c>
      <c r="B731" s="4" t="s">
        <v>607</v>
      </c>
      <c r="C731" s="6" t="s">
        <v>607</v>
      </c>
      <c r="D731" s="6" t="s">
        <v>607</v>
      </c>
      <c r="E731" s="6" t="s">
        <v>607</v>
      </c>
      <c r="F731" s="6" t="s">
        <v>607</v>
      </c>
      <c r="G731" s="4" t="s">
        <v>607</v>
      </c>
      <c r="H731" s="4" t="s">
        <v>607</v>
      </c>
      <c r="I731" s="4" t="s">
        <v>607</v>
      </c>
      <c r="J731" s="4" t="s">
        <v>607</v>
      </c>
      <c r="K731" s="4" t="s">
        <v>607</v>
      </c>
      <c r="L731" s="4" t="s">
        <v>607</v>
      </c>
      <c r="M731" s="4" t="s">
        <v>607</v>
      </c>
      <c r="N731" s="4" t="s">
        <v>607</v>
      </c>
      <c r="O731" s="4"/>
      <c r="P731" s="4"/>
      <c r="T731" s="4"/>
    </row>
    <row r="732">
      <c r="A732" s="4" t="s">
        <v>2696</v>
      </c>
      <c r="B732" s="4" t="s">
        <v>607</v>
      </c>
      <c r="C732" s="6" t="s">
        <v>607</v>
      </c>
      <c r="D732" s="6" t="s">
        <v>607</v>
      </c>
      <c r="E732" s="6" t="s">
        <v>607</v>
      </c>
      <c r="F732" s="6" t="s">
        <v>607</v>
      </c>
      <c r="G732" s="4" t="s">
        <v>607</v>
      </c>
      <c r="H732" s="4" t="s">
        <v>607</v>
      </c>
      <c r="I732" s="4" t="s">
        <v>607</v>
      </c>
      <c r="J732" s="4" t="s">
        <v>607</v>
      </c>
      <c r="K732" s="4" t="s">
        <v>607</v>
      </c>
      <c r="L732" s="4" t="s">
        <v>607</v>
      </c>
      <c r="M732" s="4" t="s">
        <v>607</v>
      </c>
      <c r="N732" s="4" t="s">
        <v>607</v>
      </c>
      <c r="O732" s="4"/>
      <c r="P732" s="4"/>
      <c r="T732" s="4"/>
    </row>
    <row r="733">
      <c r="A733" s="4" t="s">
        <v>2697</v>
      </c>
      <c r="B733" s="4" t="s">
        <v>607</v>
      </c>
      <c r="C733" s="6" t="s">
        <v>607</v>
      </c>
      <c r="D733" s="6" t="s">
        <v>607</v>
      </c>
      <c r="E733" s="6" t="s">
        <v>607</v>
      </c>
      <c r="F733" s="6" t="s">
        <v>607</v>
      </c>
      <c r="G733" s="4" t="s">
        <v>607</v>
      </c>
      <c r="H733" s="4" t="s">
        <v>607</v>
      </c>
      <c r="I733" s="4" t="s">
        <v>607</v>
      </c>
      <c r="J733" s="4" t="s">
        <v>607</v>
      </c>
      <c r="K733" s="4" t="s">
        <v>607</v>
      </c>
      <c r="L733" s="4" t="s">
        <v>607</v>
      </c>
      <c r="M733" s="4" t="s">
        <v>607</v>
      </c>
      <c r="N733" s="4" t="s">
        <v>607</v>
      </c>
      <c r="O733" s="4"/>
      <c r="P733" s="4"/>
      <c r="T733" s="4"/>
    </row>
    <row r="734">
      <c r="A734" s="4" t="s">
        <v>2698</v>
      </c>
      <c r="B734" s="4" t="s">
        <v>607</v>
      </c>
      <c r="C734" s="6" t="s">
        <v>607</v>
      </c>
      <c r="D734" s="6" t="s">
        <v>607</v>
      </c>
      <c r="E734" s="6" t="s">
        <v>607</v>
      </c>
      <c r="F734" s="6" t="s">
        <v>607</v>
      </c>
      <c r="G734" s="4" t="s">
        <v>607</v>
      </c>
      <c r="H734" s="4" t="s">
        <v>607</v>
      </c>
      <c r="I734" s="4" t="s">
        <v>607</v>
      </c>
      <c r="J734" s="4" t="s">
        <v>607</v>
      </c>
      <c r="K734" s="4" t="s">
        <v>607</v>
      </c>
      <c r="L734" s="4" t="s">
        <v>607</v>
      </c>
      <c r="M734" s="4" t="s">
        <v>607</v>
      </c>
      <c r="N734" s="4" t="s">
        <v>607</v>
      </c>
      <c r="O734" s="4"/>
      <c r="P734" s="4"/>
      <c r="T734" s="4"/>
    </row>
    <row r="735">
      <c r="A735" s="4" t="s">
        <v>2699</v>
      </c>
      <c r="B735" s="4" t="s">
        <v>607</v>
      </c>
      <c r="C735" s="6" t="s">
        <v>607</v>
      </c>
      <c r="D735" s="6" t="s">
        <v>607</v>
      </c>
      <c r="E735" s="6" t="s">
        <v>607</v>
      </c>
      <c r="F735" s="6" t="s">
        <v>607</v>
      </c>
      <c r="G735" s="4" t="s">
        <v>607</v>
      </c>
      <c r="H735" s="4" t="s">
        <v>607</v>
      </c>
      <c r="I735" s="4" t="s">
        <v>607</v>
      </c>
      <c r="J735" s="4" t="s">
        <v>607</v>
      </c>
      <c r="K735" s="4" t="s">
        <v>607</v>
      </c>
      <c r="L735" s="4" t="s">
        <v>607</v>
      </c>
      <c r="M735" s="4" t="s">
        <v>607</v>
      </c>
      <c r="N735" s="4" t="s">
        <v>607</v>
      </c>
      <c r="O735" s="4"/>
      <c r="P735" s="4"/>
      <c r="T735" s="4"/>
    </row>
    <row r="736">
      <c r="A736" s="4" t="s">
        <v>2703</v>
      </c>
      <c r="B736" s="4" t="s">
        <v>607</v>
      </c>
      <c r="C736" s="6" t="s">
        <v>607</v>
      </c>
      <c r="D736" s="6" t="s">
        <v>607</v>
      </c>
      <c r="E736" s="6" t="s">
        <v>607</v>
      </c>
      <c r="F736" s="6" t="s">
        <v>607</v>
      </c>
      <c r="G736" s="4" t="s">
        <v>607</v>
      </c>
      <c r="H736" s="4" t="s">
        <v>607</v>
      </c>
      <c r="I736" s="4" t="s">
        <v>607</v>
      </c>
      <c r="J736" s="4" t="s">
        <v>607</v>
      </c>
      <c r="K736" s="4" t="s">
        <v>607</v>
      </c>
      <c r="L736" s="4" t="s">
        <v>607</v>
      </c>
      <c r="M736" s="4" t="s">
        <v>607</v>
      </c>
      <c r="N736" s="4" t="s">
        <v>607</v>
      </c>
      <c r="O736" s="4"/>
      <c r="P736" s="4"/>
      <c r="T736" s="4"/>
    </row>
    <row r="737">
      <c r="A737" s="4" t="s">
        <v>2704</v>
      </c>
      <c r="B737" s="4" t="s">
        <v>607</v>
      </c>
      <c r="C737" s="6" t="s">
        <v>607</v>
      </c>
      <c r="D737" s="6" t="s">
        <v>607</v>
      </c>
      <c r="E737" s="6" t="s">
        <v>607</v>
      </c>
      <c r="F737" s="6" t="s">
        <v>607</v>
      </c>
      <c r="G737" s="4" t="s">
        <v>607</v>
      </c>
      <c r="H737" s="4" t="s">
        <v>607</v>
      </c>
      <c r="I737" s="4" t="s">
        <v>607</v>
      </c>
      <c r="J737" s="4" t="s">
        <v>607</v>
      </c>
      <c r="K737" s="4" t="s">
        <v>607</v>
      </c>
      <c r="L737" s="4" t="s">
        <v>607</v>
      </c>
      <c r="M737" s="4" t="s">
        <v>607</v>
      </c>
      <c r="N737" s="4" t="s">
        <v>607</v>
      </c>
      <c r="O737" s="4"/>
      <c r="P737" s="4"/>
      <c r="T737" s="4"/>
    </row>
    <row r="738">
      <c r="A738" s="4" t="s">
        <v>2705</v>
      </c>
      <c r="B738" s="4" t="s">
        <v>607</v>
      </c>
      <c r="C738" s="6" t="s">
        <v>607</v>
      </c>
      <c r="D738" s="6" t="s">
        <v>607</v>
      </c>
      <c r="E738" s="6" t="s">
        <v>607</v>
      </c>
      <c r="F738" s="6" t="s">
        <v>607</v>
      </c>
      <c r="G738" s="4" t="s">
        <v>607</v>
      </c>
      <c r="H738" s="4" t="s">
        <v>607</v>
      </c>
      <c r="I738" s="4" t="s">
        <v>607</v>
      </c>
      <c r="J738" s="4" t="s">
        <v>607</v>
      </c>
      <c r="K738" s="4" t="s">
        <v>607</v>
      </c>
      <c r="L738" s="4" t="s">
        <v>607</v>
      </c>
      <c r="M738" s="4" t="s">
        <v>607</v>
      </c>
      <c r="N738" s="4" t="s">
        <v>607</v>
      </c>
      <c r="O738" s="4"/>
      <c r="P738" s="4"/>
      <c r="T738" s="4"/>
    </row>
    <row r="739">
      <c r="A739" s="4" t="s">
        <v>2706</v>
      </c>
      <c r="B739" s="4" t="s">
        <v>607</v>
      </c>
      <c r="C739" s="6" t="s">
        <v>607</v>
      </c>
      <c r="D739" s="6" t="s">
        <v>607</v>
      </c>
      <c r="E739" s="6" t="s">
        <v>607</v>
      </c>
      <c r="F739" s="6" t="s">
        <v>607</v>
      </c>
      <c r="G739" s="4" t="s">
        <v>607</v>
      </c>
      <c r="H739" s="4" t="s">
        <v>607</v>
      </c>
      <c r="I739" s="4" t="s">
        <v>607</v>
      </c>
      <c r="J739" s="4" t="s">
        <v>607</v>
      </c>
      <c r="K739" s="4" t="s">
        <v>607</v>
      </c>
      <c r="L739" s="4" t="s">
        <v>607</v>
      </c>
      <c r="M739" s="4" t="s">
        <v>607</v>
      </c>
      <c r="N739" s="4" t="s">
        <v>607</v>
      </c>
      <c r="O739" s="4"/>
      <c r="P739" s="4"/>
      <c r="T739" s="4"/>
    </row>
    <row r="740">
      <c r="A740" s="4" t="s">
        <v>2707</v>
      </c>
      <c r="B740" s="4" t="s">
        <v>607</v>
      </c>
      <c r="C740" s="6" t="s">
        <v>607</v>
      </c>
      <c r="D740" s="6" t="s">
        <v>607</v>
      </c>
      <c r="E740" s="6" t="s">
        <v>607</v>
      </c>
      <c r="F740" s="6" t="s">
        <v>607</v>
      </c>
      <c r="G740" s="4" t="s">
        <v>607</v>
      </c>
      <c r="H740" s="4" t="s">
        <v>607</v>
      </c>
      <c r="I740" s="4" t="s">
        <v>607</v>
      </c>
      <c r="J740" s="4" t="s">
        <v>607</v>
      </c>
      <c r="K740" s="4" t="s">
        <v>607</v>
      </c>
      <c r="L740" s="4" t="s">
        <v>607</v>
      </c>
      <c r="M740" s="4" t="s">
        <v>607</v>
      </c>
      <c r="N740" s="4" t="s">
        <v>607</v>
      </c>
      <c r="O740" s="4"/>
      <c r="P740" s="4"/>
      <c r="T740" s="4"/>
    </row>
    <row r="741">
      <c r="A741" s="4" t="s">
        <v>2708</v>
      </c>
      <c r="B741" s="4" t="s">
        <v>607</v>
      </c>
      <c r="C741" s="6" t="s">
        <v>607</v>
      </c>
      <c r="D741" s="6" t="s">
        <v>607</v>
      </c>
      <c r="E741" s="6" t="s">
        <v>607</v>
      </c>
      <c r="F741" s="6" t="s">
        <v>607</v>
      </c>
      <c r="G741" s="4" t="s">
        <v>607</v>
      </c>
      <c r="H741" s="4" t="s">
        <v>607</v>
      </c>
      <c r="I741" s="4" t="s">
        <v>607</v>
      </c>
      <c r="J741" s="4" t="s">
        <v>607</v>
      </c>
      <c r="K741" s="4" t="s">
        <v>607</v>
      </c>
      <c r="L741" s="4" t="s">
        <v>607</v>
      </c>
      <c r="M741" s="4" t="s">
        <v>607</v>
      </c>
      <c r="N741" s="4" t="s">
        <v>607</v>
      </c>
      <c r="O741" s="4"/>
      <c r="P741" s="4"/>
      <c r="T741" s="4"/>
    </row>
    <row r="742">
      <c r="A742" s="4" t="s">
        <v>2709</v>
      </c>
      <c r="B742" s="4" t="s">
        <v>607</v>
      </c>
      <c r="C742" s="6" t="s">
        <v>607</v>
      </c>
      <c r="D742" s="6" t="s">
        <v>607</v>
      </c>
      <c r="E742" s="6" t="s">
        <v>607</v>
      </c>
      <c r="F742" s="6" t="s">
        <v>607</v>
      </c>
      <c r="G742" s="4" t="s">
        <v>607</v>
      </c>
      <c r="H742" s="4" t="s">
        <v>607</v>
      </c>
      <c r="I742" s="4" t="s">
        <v>607</v>
      </c>
      <c r="J742" s="4" t="s">
        <v>607</v>
      </c>
      <c r="K742" s="4" t="s">
        <v>607</v>
      </c>
      <c r="L742" s="4" t="s">
        <v>607</v>
      </c>
      <c r="M742" s="4" t="s">
        <v>607</v>
      </c>
      <c r="N742" s="4" t="s">
        <v>607</v>
      </c>
      <c r="O742" s="4"/>
      <c r="P742" s="4"/>
      <c r="T742" s="4"/>
    </row>
    <row r="743">
      <c r="A743" s="4" t="s">
        <v>2710</v>
      </c>
      <c r="B743" s="4" t="s">
        <v>607</v>
      </c>
      <c r="C743" s="6" t="s">
        <v>607</v>
      </c>
      <c r="D743" s="6" t="s">
        <v>607</v>
      </c>
      <c r="E743" s="6" t="s">
        <v>607</v>
      </c>
      <c r="F743" s="6" t="s">
        <v>607</v>
      </c>
      <c r="G743" s="4" t="s">
        <v>607</v>
      </c>
      <c r="H743" s="4" t="s">
        <v>607</v>
      </c>
      <c r="I743" s="4" t="s">
        <v>607</v>
      </c>
      <c r="J743" s="4" t="s">
        <v>607</v>
      </c>
      <c r="K743" s="4" t="s">
        <v>607</v>
      </c>
      <c r="L743" s="4" t="s">
        <v>607</v>
      </c>
      <c r="M743" s="4" t="s">
        <v>607</v>
      </c>
      <c r="N743" s="4" t="s">
        <v>607</v>
      </c>
      <c r="O743" s="4"/>
      <c r="P743" s="4"/>
      <c r="T743" s="4"/>
    </row>
    <row r="744">
      <c r="A744" s="4" t="s">
        <v>2713</v>
      </c>
      <c r="B744" s="4" t="s">
        <v>607</v>
      </c>
      <c r="C744" s="6" t="s">
        <v>607</v>
      </c>
      <c r="D744" s="6" t="s">
        <v>607</v>
      </c>
      <c r="E744" s="6" t="s">
        <v>607</v>
      </c>
      <c r="F744" s="6" t="s">
        <v>607</v>
      </c>
      <c r="G744" s="4" t="s">
        <v>607</v>
      </c>
      <c r="H744" s="4" t="s">
        <v>607</v>
      </c>
      <c r="I744" s="4" t="s">
        <v>607</v>
      </c>
      <c r="J744" s="4" t="s">
        <v>607</v>
      </c>
      <c r="K744" s="4" t="s">
        <v>607</v>
      </c>
      <c r="L744" s="4" t="s">
        <v>607</v>
      </c>
      <c r="M744" s="4" t="s">
        <v>607</v>
      </c>
      <c r="N744" s="4" t="s">
        <v>607</v>
      </c>
      <c r="O744" s="4"/>
      <c r="P744" s="4"/>
      <c r="T744" s="4"/>
    </row>
    <row r="745">
      <c r="A745" s="4" t="s">
        <v>2714</v>
      </c>
      <c r="B745" s="4" t="s">
        <v>607</v>
      </c>
      <c r="C745" s="6" t="s">
        <v>607</v>
      </c>
      <c r="D745" s="6" t="s">
        <v>607</v>
      </c>
      <c r="E745" s="6" t="s">
        <v>607</v>
      </c>
      <c r="F745" s="6" t="s">
        <v>607</v>
      </c>
      <c r="G745" s="4" t="s">
        <v>607</v>
      </c>
      <c r="H745" s="4" t="s">
        <v>607</v>
      </c>
      <c r="I745" s="4" t="s">
        <v>607</v>
      </c>
      <c r="J745" s="4" t="s">
        <v>607</v>
      </c>
      <c r="K745" s="4" t="s">
        <v>607</v>
      </c>
      <c r="L745" s="4" t="s">
        <v>607</v>
      </c>
      <c r="M745" s="4" t="s">
        <v>607</v>
      </c>
      <c r="N745" s="4" t="s">
        <v>607</v>
      </c>
      <c r="O745" s="4"/>
      <c r="P745" s="4"/>
      <c r="T745" s="4"/>
    </row>
    <row r="746">
      <c r="A746" s="4" t="s">
        <v>2715</v>
      </c>
      <c r="B746" s="4" t="s">
        <v>607</v>
      </c>
      <c r="C746" s="6" t="s">
        <v>607</v>
      </c>
      <c r="D746" s="6" t="s">
        <v>607</v>
      </c>
      <c r="E746" s="6" t="s">
        <v>607</v>
      </c>
      <c r="F746" s="6" t="s">
        <v>607</v>
      </c>
      <c r="G746" s="4" t="s">
        <v>607</v>
      </c>
      <c r="H746" s="4" t="s">
        <v>607</v>
      </c>
      <c r="I746" s="4" t="s">
        <v>607</v>
      </c>
      <c r="J746" s="4" t="s">
        <v>607</v>
      </c>
      <c r="K746" s="4" t="s">
        <v>607</v>
      </c>
      <c r="L746" s="4" t="s">
        <v>607</v>
      </c>
      <c r="M746" s="4" t="s">
        <v>607</v>
      </c>
      <c r="N746" s="4" t="s">
        <v>607</v>
      </c>
      <c r="O746" s="4"/>
      <c r="P746" s="4"/>
      <c r="T746" s="4"/>
    </row>
    <row r="747">
      <c r="A747" s="4" t="s">
        <v>2716</v>
      </c>
      <c r="B747" s="4" t="s">
        <v>607</v>
      </c>
      <c r="C747" s="6" t="s">
        <v>607</v>
      </c>
      <c r="D747" s="6" t="s">
        <v>607</v>
      </c>
      <c r="E747" s="6" t="s">
        <v>607</v>
      </c>
      <c r="F747" s="6" t="s">
        <v>607</v>
      </c>
      <c r="G747" s="4" t="s">
        <v>607</v>
      </c>
      <c r="H747" s="4" t="s">
        <v>607</v>
      </c>
      <c r="I747" s="4" t="s">
        <v>607</v>
      </c>
      <c r="J747" s="4" t="s">
        <v>607</v>
      </c>
      <c r="K747" s="4" t="s">
        <v>607</v>
      </c>
      <c r="L747" s="4" t="s">
        <v>607</v>
      </c>
      <c r="M747" s="4" t="s">
        <v>607</v>
      </c>
      <c r="N747" s="4" t="s">
        <v>607</v>
      </c>
      <c r="O747" s="4"/>
      <c r="P747" s="4"/>
      <c r="T747" s="4"/>
    </row>
    <row r="748">
      <c r="A748" s="4" t="s">
        <v>2720</v>
      </c>
      <c r="B748" s="4" t="s">
        <v>607</v>
      </c>
      <c r="C748" s="6" t="s">
        <v>607</v>
      </c>
      <c r="D748" s="6" t="s">
        <v>607</v>
      </c>
      <c r="E748" s="6" t="s">
        <v>607</v>
      </c>
      <c r="F748" s="6" t="s">
        <v>607</v>
      </c>
      <c r="G748" s="4" t="s">
        <v>607</v>
      </c>
      <c r="H748" s="4" t="s">
        <v>607</v>
      </c>
      <c r="I748" s="4" t="s">
        <v>607</v>
      </c>
      <c r="J748" s="4" t="s">
        <v>607</v>
      </c>
      <c r="K748" s="4" t="s">
        <v>607</v>
      </c>
      <c r="L748" s="4" t="s">
        <v>607</v>
      </c>
      <c r="M748" s="4" t="s">
        <v>607</v>
      </c>
      <c r="N748" s="4" t="s">
        <v>607</v>
      </c>
      <c r="O748" s="4"/>
      <c r="P748" s="4"/>
      <c r="T748" s="4"/>
    </row>
    <row r="749">
      <c r="A749" s="4" t="s">
        <v>2721</v>
      </c>
      <c r="B749" s="4" t="s">
        <v>607</v>
      </c>
      <c r="C749" s="6" t="s">
        <v>607</v>
      </c>
      <c r="D749" s="6" t="s">
        <v>607</v>
      </c>
      <c r="E749" s="6" t="s">
        <v>607</v>
      </c>
      <c r="F749" s="6" t="s">
        <v>607</v>
      </c>
      <c r="G749" s="4" t="s">
        <v>607</v>
      </c>
      <c r="H749" s="4" t="s">
        <v>607</v>
      </c>
      <c r="I749" s="4" t="s">
        <v>607</v>
      </c>
      <c r="J749" s="4" t="s">
        <v>607</v>
      </c>
      <c r="K749" s="4" t="s">
        <v>607</v>
      </c>
      <c r="L749" s="4" t="s">
        <v>607</v>
      </c>
      <c r="M749" s="4" t="s">
        <v>607</v>
      </c>
      <c r="N749" s="4" t="s">
        <v>607</v>
      </c>
      <c r="O749" s="4"/>
      <c r="P749" s="4"/>
      <c r="T749" s="4"/>
    </row>
    <row r="750">
      <c r="A750" s="4" t="s">
        <v>2722</v>
      </c>
      <c r="B750" s="4" t="s">
        <v>607</v>
      </c>
      <c r="C750" s="6" t="s">
        <v>607</v>
      </c>
      <c r="D750" s="6" t="s">
        <v>607</v>
      </c>
      <c r="E750" s="6" t="s">
        <v>607</v>
      </c>
      <c r="F750" s="6" t="s">
        <v>607</v>
      </c>
      <c r="G750" s="4" t="s">
        <v>607</v>
      </c>
      <c r="H750" s="4" t="s">
        <v>607</v>
      </c>
      <c r="I750" s="4" t="s">
        <v>607</v>
      </c>
      <c r="J750" s="4" t="s">
        <v>607</v>
      </c>
      <c r="K750" s="4" t="s">
        <v>607</v>
      </c>
      <c r="L750" s="4" t="s">
        <v>607</v>
      </c>
      <c r="M750" s="4" t="s">
        <v>607</v>
      </c>
      <c r="N750" s="4" t="s">
        <v>607</v>
      </c>
      <c r="O750" s="4"/>
      <c r="P750" s="4"/>
      <c r="T750" s="4"/>
    </row>
    <row r="751">
      <c r="A751" s="4" t="s">
        <v>2723</v>
      </c>
      <c r="B751" s="4" t="s">
        <v>607</v>
      </c>
      <c r="C751" s="6" t="s">
        <v>607</v>
      </c>
      <c r="D751" s="6" t="s">
        <v>607</v>
      </c>
      <c r="E751" s="6" t="s">
        <v>607</v>
      </c>
      <c r="F751" s="6" t="s">
        <v>607</v>
      </c>
      <c r="G751" s="4" t="s">
        <v>607</v>
      </c>
      <c r="H751" s="4" t="s">
        <v>607</v>
      </c>
      <c r="I751" s="4" t="s">
        <v>607</v>
      </c>
      <c r="J751" s="4" t="s">
        <v>607</v>
      </c>
      <c r="K751" s="4" t="s">
        <v>607</v>
      </c>
      <c r="L751" s="4" t="s">
        <v>607</v>
      </c>
      <c r="M751" s="4" t="s">
        <v>607</v>
      </c>
      <c r="N751" s="4" t="s">
        <v>607</v>
      </c>
      <c r="O751" s="4"/>
      <c r="P751" s="4"/>
      <c r="T751" s="4"/>
    </row>
    <row r="752">
      <c r="A752" s="4" t="s">
        <v>2727</v>
      </c>
      <c r="B752" s="4" t="s">
        <v>607</v>
      </c>
      <c r="C752" s="6" t="s">
        <v>607</v>
      </c>
      <c r="D752" s="6" t="s">
        <v>607</v>
      </c>
      <c r="E752" s="6" t="s">
        <v>607</v>
      </c>
      <c r="F752" s="6" t="s">
        <v>607</v>
      </c>
      <c r="G752" s="4" t="s">
        <v>607</v>
      </c>
      <c r="H752" s="4" t="s">
        <v>607</v>
      </c>
      <c r="I752" s="4" t="s">
        <v>607</v>
      </c>
      <c r="J752" s="4" t="s">
        <v>607</v>
      </c>
      <c r="K752" s="4" t="s">
        <v>607</v>
      </c>
      <c r="L752" s="4" t="s">
        <v>607</v>
      </c>
      <c r="M752" s="4" t="s">
        <v>607</v>
      </c>
      <c r="N752" s="4" t="s">
        <v>607</v>
      </c>
      <c r="O752" s="4"/>
      <c r="P752" s="4"/>
      <c r="T752" s="4"/>
    </row>
    <row r="753">
      <c r="A753" s="4" t="s">
        <v>2728</v>
      </c>
      <c r="B753" s="4" t="s">
        <v>607</v>
      </c>
      <c r="C753" s="6" t="s">
        <v>607</v>
      </c>
      <c r="D753" s="6" t="s">
        <v>607</v>
      </c>
      <c r="E753" s="6" t="s">
        <v>607</v>
      </c>
      <c r="F753" s="6" t="s">
        <v>607</v>
      </c>
      <c r="G753" s="4" t="s">
        <v>607</v>
      </c>
      <c r="H753" s="4" t="s">
        <v>607</v>
      </c>
      <c r="I753" s="4" t="s">
        <v>607</v>
      </c>
      <c r="J753" s="4" t="s">
        <v>607</v>
      </c>
      <c r="K753" s="4" t="s">
        <v>607</v>
      </c>
      <c r="L753" s="4" t="s">
        <v>607</v>
      </c>
      <c r="M753" s="4" t="s">
        <v>607</v>
      </c>
      <c r="N753" s="4" t="s">
        <v>607</v>
      </c>
      <c r="O753" s="4"/>
      <c r="P753" s="4"/>
      <c r="T753" s="4"/>
    </row>
    <row r="754">
      <c r="A754" s="4" t="s">
        <v>2729</v>
      </c>
      <c r="B754" s="4" t="s">
        <v>607</v>
      </c>
      <c r="C754" s="6" t="s">
        <v>607</v>
      </c>
      <c r="D754" s="6" t="s">
        <v>607</v>
      </c>
      <c r="E754" s="6" t="s">
        <v>607</v>
      </c>
      <c r="F754" s="6" t="s">
        <v>607</v>
      </c>
      <c r="G754" s="4" t="s">
        <v>607</v>
      </c>
      <c r="H754" s="4" t="s">
        <v>607</v>
      </c>
      <c r="I754" s="4" t="s">
        <v>607</v>
      </c>
      <c r="J754" s="4" t="s">
        <v>607</v>
      </c>
      <c r="K754" s="4" t="s">
        <v>607</v>
      </c>
      <c r="L754" s="4" t="s">
        <v>607</v>
      </c>
      <c r="M754" s="4" t="s">
        <v>607</v>
      </c>
      <c r="N754" s="4" t="s">
        <v>607</v>
      </c>
      <c r="O754" s="4"/>
      <c r="P754" s="4"/>
      <c r="T754" s="4"/>
    </row>
    <row r="755">
      <c r="A755" s="4" t="s">
        <v>2730</v>
      </c>
      <c r="B755" s="4" t="s">
        <v>607</v>
      </c>
      <c r="C755" s="6" t="s">
        <v>607</v>
      </c>
      <c r="D755" s="6" t="s">
        <v>607</v>
      </c>
      <c r="E755" s="6" t="s">
        <v>607</v>
      </c>
      <c r="F755" s="6" t="s">
        <v>607</v>
      </c>
      <c r="G755" s="4" t="s">
        <v>607</v>
      </c>
      <c r="H755" s="4" t="s">
        <v>607</v>
      </c>
      <c r="I755" s="4" t="s">
        <v>607</v>
      </c>
      <c r="J755" s="4" t="s">
        <v>607</v>
      </c>
      <c r="K755" s="4" t="s">
        <v>607</v>
      </c>
      <c r="L755" s="4" t="s">
        <v>607</v>
      </c>
      <c r="M755" s="4" t="s">
        <v>607</v>
      </c>
      <c r="N755" s="4" t="s">
        <v>607</v>
      </c>
      <c r="O755" s="4"/>
      <c r="P755" s="4"/>
      <c r="T755" s="4"/>
    </row>
    <row r="756">
      <c r="A756" s="4" t="s">
        <v>2731</v>
      </c>
      <c r="B756" s="4" t="s">
        <v>607</v>
      </c>
      <c r="C756" s="6" t="s">
        <v>607</v>
      </c>
      <c r="D756" s="6" t="s">
        <v>607</v>
      </c>
      <c r="E756" s="6" t="s">
        <v>607</v>
      </c>
      <c r="F756" s="6" t="s">
        <v>607</v>
      </c>
      <c r="G756" s="4" t="s">
        <v>607</v>
      </c>
      <c r="H756" s="4" t="s">
        <v>607</v>
      </c>
      <c r="I756" s="4" t="s">
        <v>607</v>
      </c>
      <c r="J756" s="4" t="s">
        <v>607</v>
      </c>
      <c r="K756" s="4" t="s">
        <v>607</v>
      </c>
      <c r="L756" s="4" t="s">
        <v>607</v>
      </c>
      <c r="M756" s="4" t="s">
        <v>607</v>
      </c>
      <c r="N756" s="4" t="s">
        <v>607</v>
      </c>
      <c r="O756" s="4"/>
      <c r="P756" s="4"/>
      <c r="T756" s="4"/>
    </row>
    <row r="757">
      <c r="A757" s="4" t="s">
        <v>2735</v>
      </c>
      <c r="B757" s="4" t="s">
        <v>607</v>
      </c>
      <c r="C757" s="6" t="s">
        <v>607</v>
      </c>
      <c r="D757" s="6" t="s">
        <v>607</v>
      </c>
      <c r="E757" s="6" t="s">
        <v>607</v>
      </c>
      <c r="F757" s="6" t="s">
        <v>607</v>
      </c>
      <c r="G757" s="4" t="s">
        <v>607</v>
      </c>
      <c r="H757" s="4" t="s">
        <v>607</v>
      </c>
      <c r="I757" s="4" t="s">
        <v>607</v>
      </c>
      <c r="J757" s="4" t="s">
        <v>607</v>
      </c>
      <c r="K757" s="4" t="s">
        <v>607</v>
      </c>
      <c r="L757" s="4" t="s">
        <v>607</v>
      </c>
      <c r="M757" s="4" t="s">
        <v>607</v>
      </c>
      <c r="N757" s="4" t="s">
        <v>607</v>
      </c>
      <c r="O757" s="4"/>
      <c r="P757" s="4"/>
      <c r="T757" s="4"/>
    </row>
    <row r="758">
      <c r="A758" s="4" t="s">
        <v>2736</v>
      </c>
      <c r="B758" s="4" t="s">
        <v>607</v>
      </c>
      <c r="C758" s="6" t="s">
        <v>607</v>
      </c>
      <c r="D758" s="6" t="s">
        <v>607</v>
      </c>
      <c r="E758" s="6" t="s">
        <v>607</v>
      </c>
      <c r="F758" s="6" t="s">
        <v>607</v>
      </c>
      <c r="G758" s="4" t="s">
        <v>607</v>
      </c>
      <c r="H758" s="4" t="s">
        <v>607</v>
      </c>
      <c r="I758" s="4" t="s">
        <v>607</v>
      </c>
      <c r="J758" s="4" t="s">
        <v>607</v>
      </c>
      <c r="K758" s="4" t="s">
        <v>607</v>
      </c>
      <c r="L758" s="4" t="s">
        <v>607</v>
      </c>
      <c r="M758" s="4" t="s">
        <v>607</v>
      </c>
      <c r="N758" s="4" t="s">
        <v>607</v>
      </c>
      <c r="O758" s="4"/>
      <c r="P758" s="4"/>
      <c r="T758" s="4"/>
    </row>
    <row r="759">
      <c r="A759" s="4" t="s">
        <v>2737</v>
      </c>
      <c r="B759" s="4" t="s">
        <v>607</v>
      </c>
      <c r="C759" s="6" t="s">
        <v>607</v>
      </c>
      <c r="D759" s="6" t="s">
        <v>607</v>
      </c>
      <c r="E759" s="6" t="s">
        <v>607</v>
      </c>
      <c r="F759" s="6" t="s">
        <v>607</v>
      </c>
      <c r="G759" s="4" t="s">
        <v>607</v>
      </c>
      <c r="H759" s="4" t="s">
        <v>607</v>
      </c>
      <c r="I759" s="4" t="s">
        <v>607</v>
      </c>
      <c r="J759" s="4" t="s">
        <v>607</v>
      </c>
      <c r="K759" s="4" t="s">
        <v>607</v>
      </c>
      <c r="L759" s="4" t="s">
        <v>607</v>
      </c>
      <c r="M759" s="4" t="s">
        <v>607</v>
      </c>
      <c r="N759" s="4" t="s">
        <v>607</v>
      </c>
      <c r="O759" s="4"/>
      <c r="P759" s="4"/>
      <c r="T759" s="4"/>
    </row>
    <row r="760">
      <c r="A760" s="4" t="s">
        <v>2738</v>
      </c>
      <c r="B760" s="4" t="s">
        <v>607</v>
      </c>
      <c r="C760" s="6" t="s">
        <v>607</v>
      </c>
      <c r="D760" s="6" t="s">
        <v>607</v>
      </c>
      <c r="E760" s="6" t="s">
        <v>607</v>
      </c>
      <c r="F760" s="6" t="s">
        <v>607</v>
      </c>
      <c r="G760" s="4" t="s">
        <v>607</v>
      </c>
      <c r="H760" s="4" t="s">
        <v>607</v>
      </c>
      <c r="I760" s="4" t="s">
        <v>607</v>
      </c>
      <c r="J760" s="4" t="s">
        <v>607</v>
      </c>
      <c r="K760" s="4" t="s">
        <v>607</v>
      </c>
      <c r="L760" s="4" t="s">
        <v>607</v>
      </c>
      <c r="M760" s="4" t="s">
        <v>607</v>
      </c>
      <c r="N760" s="4" t="s">
        <v>607</v>
      </c>
      <c r="O760" s="4"/>
      <c r="P760" s="4"/>
      <c r="T760" s="4"/>
    </row>
    <row r="761">
      <c r="A761" s="4" t="s">
        <v>2739</v>
      </c>
      <c r="B761" s="4" t="s">
        <v>607</v>
      </c>
      <c r="C761" s="6" t="s">
        <v>607</v>
      </c>
      <c r="D761" s="6" t="s">
        <v>607</v>
      </c>
      <c r="E761" s="6" t="s">
        <v>607</v>
      </c>
      <c r="F761" s="6" t="s">
        <v>607</v>
      </c>
      <c r="G761" s="4" t="s">
        <v>607</v>
      </c>
      <c r="H761" s="4" t="s">
        <v>607</v>
      </c>
      <c r="I761" s="4" t="s">
        <v>607</v>
      </c>
      <c r="J761" s="4" t="s">
        <v>607</v>
      </c>
      <c r="K761" s="4" t="s">
        <v>607</v>
      </c>
      <c r="L761" s="4" t="s">
        <v>607</v>
      </c>
      <c r="M761" s="4" t="s">
        <v>607</v>
      </c>
      <c r="N761" s="4" t="s">
        <v>607</v>
      </c>
      <c r="O761" s="4"/>
      <c r="P761" s="4"/>
      <c r="T761" s="4"/>
    </row>
    <row r="762">
      <c r="A762" s="4" t="s">
        <v>2740</v>
      </c>
      <c r="B762" s="4" t="s">
        <v>607</v>
      </c>
      <c r="C762" s="6" t="s">
        <v>607</v>
      </c>
      <c r="D762" s="6" t="s">
        <v>607</v>
      </c>
      <c r="E762" s="6" t="s">
        <v>607</v>
      </c>
      <c r="F762" s="6" t="s">
        <v>607</v>
      </c>
      <c r="G762" s="4" t="s">
        <v>607</v>
      </c>
      <c r="H762" s="4" t="s">
        <v>607</v>
      </c>
      <c r="I762" s="4" t="s">
        <v>607</v>
      </c>
      <c r="J762" s="4" t="s">
        <v>607</v>
      </c>
      <c r="K762" s="4" t="s">
        <v>607</v>
      </c>
      <c r="L762" s="4" t="s">
        <v>607</v>
      </c>
      <c r="M762" s="4" t="s">
        <v>607</v>
      </c>
      <c r="N762" s="4" t="s">
        <v>607</v>
      </c>
      <c r="O762" s="4"/>
      <c r="P762" s="4"/>
      <c r="T762" s="4"/>
    </row>
    <row r="763">
      <c r="A763" s="4" t="s">
        <v>2741</v>
      </c>
      <c r="B763" s="4" t="s">
        <v>607</v>
      </c>
      <c r="C763" s="6" t="s">
        <v>607</v>
      </c>
      <c r="D763" s="6" t="s">
        <v>607</v>
      </c>
      <c r="E763" s="6" t="s">
        <v>607</v>
      </c>
      <c r="F763" s="6" t="s">
        <v>607</v>
      </c>
      <c r="G763" s="4" t="s">
        <v>607</v>
      </c>
      <c r="H763" s="4" t="s">
        <v>607</v>
      </c>
      <c r="I763" s="4" t="s">
        <v>607</v>
      </c>
      <c r="J763" s="4" t="s">
        <v>607</v>
      </c>
      <c r="K763" s="4" t="s">
        <v>607</v>
      </c>
      <c r="L763" s="4" t="s">
        <v>607</v>
      </c>
      <c r="M763" s="4" t="s">
        <v>607</v>
      </c>
      <c r="N763" s="4" t="s">
        <v>607</v>
      </c>
      <c r="O763" s="4"/>
      <c r="P763" s="4"/>
      <c r="T763" s="4"/>
    </row>
    <row r="764">
      <c r="A764" s="4" t="s">
        <v>2742</v>
      </c>
      <c r="B764" s="4" t="s">
        <v>607</v>
      </c>
      <c r="C764" s="6" t="s">
        <v>607</v>
      </c>
      <c r="D764" s="6" t="s">
        <v>607</v>
      </c>
      <c r="E764" s="6" t="s">
        <v>607</v>
      </c>
      <c r="F764" s="6" t="s">
        <v>607</v>
      </c>
      <c r="G764" s="4" t="s">
        <v>607</v>
      </c>
      <c r="H764" s="4" t="s">
        <v>607</v>
      </c>
      <c r="I764" s="4" t="s">
        <v>607</v>
      </c>
      <c r="J764" s="4" t="s">
        <v>607</v>
      </c>
      <c r="K764" s="4" t="s">
        <v>607</v>
      </c>
      <c r="L764" s="4" t="s">
        <v>607</v>
      </c>
      <c r="M764" s="4" t="s">
        <v>607</v>
      </c>
      <c r="N764" s="4" t="s">
        <v>607</v>
      </c>
      <c r="O764" s="4"/>
      <c r="P764" s="4"/>
      <c r="T764" s="4"/>
    </row>
    <row r="765">
      <c r="A765" s="4" t="s">
        <v>2743</v>
      </c>
      <c r="B765" s="4" t="s">
        <v>607</v>
      </c>
      <c r="C765" s="6" t="s">
        <v>607</v>
      </c>
      <c r="D765" s="6" t="s">
        <v>607</v>
      </c>
      <c r="E765" s="6" t="s">
        <v>607</v>
      </c>
      <c r="F765" s="6" t="s">
        <v>607</v>
      </c>
      <c r="G765" s="4" t="s">
        <v>607</v>
      </c>
      <c r="H765" s="4" t="s">
        <v>607</v>
      </c>
      <c r="I765" s="4" t="s">
        <v>607</v>
      </c>
      <c r="J765" s="4" t="s">
        <v>607</v>
      </c>
      <c r="K765" s="4" t="s">
        <v>607</v>
      </c>
      <c r="L765" s="4" t="s">
        <v>607</v>
      </c>
      <c r="M765" s="4" t="s">
        <v>607</v>
      </c>
      <c r="N765" s="4" t="s">
        <v>607</v>
      </c>
      <c r="O765" s="4"/>
      <c r="P765" s="4"/>
      <c r="T765" s="4"/>
    </row>
    <row r="766">
      <c r="A766" s="4" t="s">
        <v>2747</v>
      </c>
      <c r="B766" s="4" t="s">
        <v>607</v>
      </c>
      <c r="C766" s="6" t="s">
        <v>607</v>
      </c>
      <c r="D766" s="6" t="s">
        <v>607</v>
      </c>
      <c r="E766" s="6" t="s">
        <v>607</v>
      </c>
      <c r="F766" s="6" t="s">
        <v>607</v>
      </c>
      <c r="G766" s="4" t="s">
        <v>607</v>
      </c>
      <c r="H766" s="4" t="s">
        <v>607</v>
      </c>
      <c r="I766" s="4" t="s">
        <v>607</v>
      </c>
      <c r="J766" s="4" t="s">
        <v>607</v>
      </c>
      <c r="K766" s="4" t="s">
        <v>607</v>
      </c>
      <c r="L766" s="4" t="s">
        <v>607</v>
      </c>
      <c r="M766" s="4" t="s">
        <v>607</v>
      </c>
      <c r="N766" s="4" t="s">
        <v>607</v>
      </c>
      <c r="O766" s="4"/>
      <c r="P766" s="4"/>
      <c r="T766" s="4"/>
    </row>
    <row r="767">
      <c r="A767" s="4" t="s">
        <v>2748</v>
      </c>
      <c r="B767" s="4" t="s">
        <v>607</v>
      </c>
      <c r="C767" s="6" t="s">
        <v>607</v>
      </c>
      <c r="D767" s="6" t="s">
        <v>607</v>
      </c>
      <c r="E767" s="6" t="s">
        <v>607</v>
      </c>
      <c r="F767" s="6" t="s">
        <v>607</v>
      </c>
      <c r="G767" s="4" t="s">
        <v>607</v>
      </c>
      <c r="H767" s="4" t="s">
        <v>607</v>
      </c>
      <c r="I767" s="4" t="s">
        <v>607</v>
      </c>
      <c r="J767" s="4" t="s">
        <v>607</v>
      </c>
      <c r="K767" s="4" t="s">
        <v>607</v>
      </c>
      <c r="L767" s="4" t="s">
        <v>607</v>
      </c>
      <c r="M767" s="4" t="s">
        <v>607</v>
      </c>
      <c r="N767" s="4" t="s">
        <v>607</v>
      </c>
      <c r="O767" s="4"/>
      <c r="P767" s="4"/>
      <c r="T767" s="4"/>
    </row>
    <row r="768">
      <c r="A768" s="4" t="s">
        <v>2749</v>
      </c>
      <c r="B768" s="4" t="s">
        <v>607</v>
      </c>
      <c r="C768" s="6" t="s">
        <v>607</v>
      </c>
      <c r="D768" s="6" t="s">
        <v>607</v>
      </c>
      <c r="E768" s="6" t="s">
        <v>607</v>
      </c>
      <c r="F768" s="6" t="s">
        <v>607</v>
      </c>
      <c r="G768" s="4" t="s">
        <v>607</v>
      </c>
      <c r="H768" s="4" t="s">
        <v>607</v>
      </c>
      <c r="I768" s="4" t="s">
        <v>607</v>
      </c>
      <c r="J768" s="4" t="s">
        <v>607</v>
      </c>
      <c r="K768" s="4" t="s">
        <v>607</v>
      </c>
      <c r="L768" s="4" t="s">
        <v>607</v>
      </c>
      <c r="M768" s="4" t="s">
        <v>607</v>
      </c>
      <c r="N768" s="4" t="s">
        <v>607</v>
      </c>
      <c r="O768" s="4"/>
      <c r="P768" s="4"/>
      <c r="T768" s="4"/>
    </row>
    <row r="769">
      <c r="A769" s="4" t="s">
        <v>2750</v>
      </c>
      <c r="B769" s="4" t="s">
        <v>607</v>
      </c>
      <c r="C769" s="6" t="s">
        <v>607</v>
      </c>
      <c r="D769" s="6" t="s">
        <v>607</v>
      </c>
      <c r="E769" s="6" t="s">
        <v>607</v>
      </c>
      <c r="F769" s="6" t="s">
        <v>607</v>
      </c>
      <c r="G769" s="4" t="s">
        <v>607</v>
      </c>
      <c r="H769" s="4" t="s">
        <v>607</v>
      </c>
      <c r="I769" s="4" t="s">
        <v>607</v>
      </c>
      <c r="J769" s="4" t="s">
        <v>607</v>
      </c>
      <c r="K769" s="4" t="s">
        <v>607</v>
      </c>
      <c r="L769" s="4" t="s">
        <v>607</v>
      </c>
      <c r="M769" s="4" t="s">
        <v>607</v>
      </c>
      <c r="N769" s="4" t="s">
        <v>607</v>
      </c>
      <c r="O769" s="4"/>
      <c r="P769" s="4"/>
      <c r="T769" s="4"/>
    </row>
    <row r="770">
      <c r="A770" s="4" t="s">
        <v>2755</v>
      </c>
      <c r="B770" s="4" t="s">
        <v>607</v>
      </c>
      <c r="C770" s="6" t="s">
        <v>607</v>
      </c>
      <c r="D770" s="6" t="s">
        <v>607</v>
      </c>
      <c r="E770" s="6" t="s">
        <v>607</v>
      </c>
      <c r="F770" s="6" t="s">
        <v>607</v>
      </c>
      <c r="G770" s="4" t="s">
        <v>607</v>
      </c>
      <c r="H770" s="4" t="s">
        <v>607</v>
      </c>
      <c r="I770" s="4" t="s">
        <v>607</v>
      </c>
      <c r="J770" s="4" t="s">
        <v>607</v>
      </c>
      <c r="K770" s="4" t="s">
        <v>607</v>
      </c>
      <c r="L770" s="4" t="s">
        <v>607</v>
      </c>
      <c r="M770" s="4" t="s">
        <v>607</v>
      </c>
      <c r="N770" s="4" t="s">
        <v>607</v>
      </c>
      <c r="O770" s="4"/>
      <c r="P770" s="4"/>
      <c r="T770" s="4"/>
    </row>
    <row r="771">
      <c r="A771" s="4" t="s">
        <v>2756</v>
      </c>
      <c r="B771" s="4" t="s">
        <v>607</v>
      </c>
      <c r="C771" s="6" t="s">
        <v>607</v>
      </c>
      <c r="D771" s="6" t="s">
        <v>607</v>
      </c>
      <c r="E771" s="6" t="s">
        <v>607</v>
      </c>
      <c r="F771" s="6" t="s">
        <v>607</v>
      </c>
      <c r="G771" s="4" t="s">
        <v>607</v>
      </c>
      <c r="H771" s="4" t="s">
        <v>607</v>
      </c>
      <c r="I771" s="4" t="s">
        <v>607</v>
      </c>
      <c r="J771" s="4" t="s">
        <v>607</v>
      </c>
      <c r="K771" s="4" t="s">
        <v>607</v>
      </c>
      <c r="L771" s="4" t="s">
        <v>607</v>
      </c>
      <c r="M771" s="4" t="s">
        <v>607</v>
      </c>
      <c r="N771" s="4" t="s">
        <v>607</v>
      </c>
      <c r="O771" s="4"/>
      <c r="P771" s="4"/>
      <c r="T771" s="4"/>
    </row>
    <row r="772">
      <c r="A772" s="4" t="s">
        <v>2760</v>
      </c>
      <c r="B772" s="4" t="s">
        <v>607</v>
      </c>
      <c r="C772" s="6" t="s">
        <v>607</v>
      </c>
      <c r="D772" s="6" t="s">
        <v>607</v>
      </c>
      <c r="E772" s="6" t="s">
        <v>607</v>
      </c>
      <c r="F772" s="6" t="s">
        <v>607</v>
      </c>
      <c r="G772" s="4" t="s">
        <v>607</v>
      </c>
      <c r="H772" s="4" t="s">
        <v>607</v>
      </c>
      <c r="I772" s="4" t="s">
        <v>607</v>
      </c>
      <c r="J772" s="4" t="s">
        <v>607</v>
      </c>
      <c r="K772" s="4" t="s">
        <v>607</v>
      </c>
      <c r="L772" s="4" t="s">
        <v>607</v>
      </c>
      <c r="M772" s="4" t="s">
        <v>607</v>
      </c>
      <c r="N772" s="4" t="s">
        <v>607</v>
      </c>
      <c r="O772" s="4"/>
      <c r="P772" s="4"/>
      <c r="T772" s="4"/>
    </row>
    <row r="773">
      <c r="A773" s="4" t="s">
        <v>2761</v>
      </c>
      <c r="B773" s="4" t="s">
        <v>607</v>
      </c>
      <c r="C773" s="6" t="s">
        <v>607</v>
      </c>
      <c r="D773" s="6" t="s">
        <v>607</v>
      </c>
      <c r="E773" s="6" t="s">
        <v>607</v>
      </c>
      <c r="F773" s="6" t="s">
        <v>607</v>
      </c>
      <c r="G773" s="4" t="s">
        <v>607</v>
      </c>
      <c r="H773" s="4" t="s">
        <v>607</v>
      </c>
      <c r="I773" s="4" t="s">
        <v>607</v>
      </c>
      <c r="J773" s="4" t="s">
        <v>607</v>
      </c>
      <c r="K773" s="4" t="s">
        <v>607</v>
      </c>
      <c r="L773" s="4" t="s">
        <v>607</v>
      </c>
      <c r="M773" s="4" t="s">
        <v>607</v>
      </c>
      <c r="N773" s="4" t="s">
        <v>607</v>
      </c>
      <c r="O773" s="4"/>
      <c r="P773" s="4"/>
      <c r="T773" s="4"/>
    </row>
    <row r="774">
      <c r="A774" s="4" t="s">
        <v>2762</v>
      </c>
      <c r="B774" s="4" t="s">
        <v>607</v>
      </c>
      <c r="C774" s="6" t="s">
        <v>607</v>
      </c>
      <c r="D774" s="6" t="s">
        <v>607</v>
      </c>
      <c r="E774" s="6" t="s">
        <v>607</v>
      </c>
      <c r="F774" s="6" t="s">
        <v>607</v>
      </c>
      <c r="G774" s="4" t="s">
        <v>607</v>
      </c>
      <c r="H774" s="4" t="s">
        <v>607</v>
      </c>
      <c r="I774" s="4" t="s">
        <v>607</v>
      </c>
      <c r="J774" s="4" t="s">
        <v>607</v>
      </c>
      <c r="K774" s="4" t="s">
        <v>607</v>
      </c>
      <c r="L774" s="4" t="s">
        <v>607</v>
      </c>
      <c r="M774" s="4" t="s">
        <v>607</v>
      </c>
      <c r="N774" s="4" t="s">
        <v>607</v>
      </c>
      <c r="O774" s="4"/>
      <c r="P774" s="4"/>
      <c r="T774" s="4"/>
    </row>
    <row r="775">
      <c r="A775" s="4" t="s">
        <v>2763</v>
      </c>
      <c r="B775" s="4" t="s">
        <v>607</v>
      </c>
      <c r="C775" s="6" t="s">
        <v>607</v>
      </c>
      <c r="D775" s="6" t="s">
        <v>607</v>
      </c>
      <c r="E775" s="6" t="s">
        <v>607</v>
      </c>
      <c r="F775" s="6" t="s">
        <v>607</v>
      </c>
      <c r="G775" s="4" t="s">
        <v>607</v>
      </c>
      <c r="H775" s="4" t="s">
        <v>607</v>
      </c>
      <c r="I775" s="4" t="s">
        <v>607</v>
      </c>
      <c r="J775" s="4" t="s">
        <v>607</v>
      </c>
      <c r="K775" s="4" t="s">
        <v>607</v>
      </c>
      <c r="L775" s="4" t="s">
        <v>607</v>
      </c>
      <c r="M775" s="4" t="s">
        <v>607</v>
      </c>
      <c r="N775" s="4" t="s">
        <v>607</v>
      </c>
      <c r="O775" s="4"/>
      <c r="P775" s="4"/>
      <c r="T775" s="4"/>
    </row>
    <row r="776">
      <c r="A776" s="4" t="s">
        <v>2764</v>
      </c>
      <c r="B776" s="4" t="s">
        <v>607</v>
      </c>
      <c r="C776" s="6" t="s">
        <v>607</v>
      </c>
      <c r="D776" s="6" t="s">
        <v>607</v>
      </c>
      <c r="E776" s="6" t="s">
        <v>607</v>
      </c>
      <c r="F776" s="6" t="s">
        <v>607</v>
      </c>
      <c r="G776" s="4" t="s">
        <v>607</v>
      </c>
      <c r="H776" s="4" t="s">
        <v>607</v>
      </c>
      <c r="I776" s="4" t="s">
        <v>607</v>
      </c>
      <c r="J776" s="4" t="s">
        <v>607</v>
      </c>
      <c r="K776" s="4" t="s">
        <v>607</v>
      </c>
      <c r="L776" s="4" t="s">
        <v>607</v>
      </c>
      <c r="M776" s="4" t="s">
        <v>607</v>
      </c>
      <c r="N776" s="4" t="s">
        <v>607</v>
      </c>
      <c r="O776" s="4"/>
      <c r="P776" s="4"/>
      <c r="T776" s="4"/>
    </row>
    <row r="777">
      <c r="A777" s="4" t="s">
        <v>2765</v>
      </c>
      <c r="B777" s="4" t="s">
        <v>607</v>
      </c>
      <c r="C777" s="6" t="s">
        <v>607</v>
      </c>
      <c r="D777" s="6" t="s">
        <v>607</v>
      </c>
      <c r="E777" s="6" t="s">
        <v>607</v>
      </c>
      <c r="F777" s="6" t="s">
        <v>607</v>
      </c>
      <c r="G777" s="4" t="s">
        <v>607</v>
      </c>
      <c r="H777" s="4" t="s">
        <v>607</v>
      </c>
      <c r="I777" s="4" t="s">
        <v>607</v>
      </c>
      <c r="J777" s="4" t="s">
        <v>607</v>
      </c>
      <c r="K777" s="4" t="s">
        <v>607</v>
      </c>
      <c r="L777" s="4" t="s">
        <v>607</v>
      </c>
      <c r="M777" s="4" t="s">
        <v>607</v>
      </c>
      <c r="N777" s="4" t="s">
        <v>607</v>
      </c>
      <c r="O777" s="4"/>
      <c r="P777" s="4"/>
      <c r="T777" s="4"/>
    </row>
    <row r="778">
      <c r="A778" s="4" t="s">
        <v>2766</v>
      </c>
      <c r="B778" s="4" t="s">
        <v>607</v>
      </c>
      <c r="C778" s="6" t="s">
        <v>607</v>
      </c>
      <c r="D778" s="6" t="s">
        <v>607</v>
      </c>
      <c r="E778" s="6" t="s">
        <v>607</v>
      </c>
      <c r="F778" s="6" t="s">
        <v>607</v>
      </c>
      <c r="G778" s="4" t="s">
        <v>607</v>
      </c>
      <c r="H778" s="4" t="s">
        <v>607</v>
      </c>
      <c r="I778" s="4" t="s">
        <v>607</v>
      </c>
      <c r="J778" s="4" t="s">
        <v>607</v>
      </c>
      <c r="K778" s="4" t="s">
        <v>607</v>
      </c>
      <c r="L778" s="4" t="s">
        <v>607</v>
      </c>
      <c r="M778" s="4" t="s">
        <v>607</v>
      </c>
      <c r="N778" s="4" t="s">
        <v>607</v>
      </c>
      <c r="O778" s="4"/>
      <c r="P778" s="4"/>
      <c r="T778" s="4"/>
    </row>
    <row r="779">
      <c r="A779" s="4" t="s">
        <v>2767</v>
      </c>
      <c r="B779" s="4" t="s">
        <v>607</v>
      </c>
      <c r="C779" s="6" t="s">
        <v>607</v>
      </c>
      <c r="D779" s="6" t="s">
        <v>607</v>
      </c>
      <c r="E779" s="6" t="s">
        <v>607</v>
      </c>
      <c r="F779" s="6" t="s">
        <v>607</v>
      </c>
      <c r="G779" s="4" t="s">
        <v>607</v>
      </c>
      <c r="H779" s="4" t="s">
        <v>607</v>
      </c>
      <c r="I779" s="4" t="s">
        <v>607</v>
      </c>
      <c r="J779" s="4" t="s">
        <v>607</v>
      </c>
      <c r="K779" s="4" t="s">
        <v>607</v>
      </c>
      <c r="L779" s="4" t="s">
        <v>607</v>
      </c>
      <c r="M779" s="4" t="s">
        <v>607</v>
      </c>
      <c r="N779" s="4" t="s">
        <v>607</v>
      </c>
      <c r="O779" s="4"/>
      <c r="P779" s="4"/>
      <c r="T779" s="4"/>
    </row>
    <row r="780">
      <c r="A780" s="4" t="s">
        <v>2768</v>
      </c>
      <c r="B780" s="4" t="s">
        <v>607</v>
      </c>
      <c r="C780" s="6" t="s">
        <v>607</v>
      </c>
      <c r="D780" s="6" t="s">
        <v>607</v>
      </c>
      <c r="E780" s="6" t="s">
        <v>607</v>
      </c>
      <c r="F780" s="6" t="s">
        <v>607</v>
      </c>
      <c r="G780" s="4" t="s">
        <v>607</v>
      </c>
      <c r="H780" s="4" t="s">
        <v>607</v>
      </c>
      <c r="I780" s="4" t="s">
        <v>607</v>
      </c>
      <c r="J780" s="4" t="s">
        <v>607</v>
      </c>
      <c r="K780" s="4" t="s">
        <v>607</v>
      </c>
      <c r="L780" s="4" t="s">
        <v>607</v>
      </c>
      <c r="M780" s="4" t="s">
        <v>607</v>
      </c>
      <c r="N780" s="4" t="s">
        <v>607</v>
      </c>
      <c r="O780" s="4"/>
      <c r="P780" s="4"/>
      <c r="T780" s="4"/>
    </row>
    <row r="781">
      <c r="A781" s="4" t="s">
        <v>2769</v>
      </c>
      <c r="B781" s="4" t="s">
        <v>607</v>
      </c>
      <c r="C781" s="6" t="s">
        <v>607</v>
      </c>
      <c r="D781" s="6" t="s">
        <v>607</v>
      </c>
      <c r="E781" s="6" t="s">
        <v>607</v>
      </c>
      <c r="F781" s="6" t="s">
        <v>607</v>
      </c>
      <c r="G781" s="4" t="s">
        <v>607</v>
      </c>
      <c r="H781" s="4" t="s">
        <v>607</v>
      </c>
      <c r="I781" s="4" t="s">
        <v>607</v>
      </c>
      <c r="J781" s="4" t="s">
        <v>607</v>
      </c>
      <c r="K781" s="4" t="s">
        <v>607</v>
      </c>
      <c r="L781" s="4" t="s">
        <v>607</v>
      </c>
      <c r="M781" s="4" t="s">
        <v>607</v>
      </c>
      <c r="N781" s="4" t="s">
        <v>607</v>
      </c>
      <c r="O781" s="4"/>
      <c r="P781" s="4"/>
      <c r="T781" s="4"/>
    </row>
    <row r="782">
      <c r="A782" s="4" t="s">
        <v>2773</v>
      </c>
      <c r="B782" s="4" t="s">
        <v>607</v>
      </c>
      <c r="C782" s="6" t="s">
        <v>607</v>
      </c>
      <c r="D782" s="6" t="s">
        <v>607</v>
      </c>
      <c r="E782" s="6" t="s">
        <v>607</v>
      </c>
      <c r="F782" s="6" t="s">
        <v>607</v>
      </c>
      <c r="G782" s="4" t="s">
        <v>607</v>
      </c>
      <c r="H782" s="4" t="s">
        <v>607</v>
      </c>
      <c r="I782" s="4" t="s">
        <v>607</v>
      </c>
      <c r="J782" s="4" t="s">
        <v>607</v>
      </c>
      <c r="K782" s="4" t="s">
        <v>607</v>
      </c>
      <c r="L782" s="4" t="s">
        <v>607</v>
      </c>
      <c r="M782" s="4" t="s">
        <v>607</v>
      </c>
      <c r="N782" s="4" t="s">
        <v>607</v>
      </c>
      <c r="O782" s="4"/>
      <c r="P782" s="4"/>
      <c r="T782" s="4"/>
    </row>
    <row r="783">
      <c r="A783" s="4" t="s">
        <v>2774</v>
      </c>
      <c r="B783" s="4" t="s">
        <v>607</v>
      </c>
      <c r="C783" s="6" t="s">
        <v>607</v>
      </c>
      <c r="D783" s="6" t="s">
        <v>607</v>
      </c>
      <c r="E783" s="6" t="s">
        <v>607</v>
      </c>
      <c r="F783" s="6" t="s">
        <v>607</v>
      </c>
      <c r="G783" s="4" t="s">
        <v>607</v>
      </c>
      <c r="H783" s="4" t="s">
        <v>607</v>
      </c>
      <c r="I783" s="4" t="s">
        <v>607</v>
      </c>
      <c r="J783" s="4" t="s">
        <v>607</v>
      </c>
      <c r="K783" s="4" t="s">
        <v>607</v>
      </c>
      <c r="L783" s="4" t="s">
        <v>607</v>
      </c>
      <c r="M783" s="4" t="s">
        <v>607</v>
      </c>
      <c r="N783" s="4" t="s">
        <v>607</v>
      </c>
      <c r="O783" s="4"/>
      <c r="P783" s="4"/>
      <c r="T783" s="4"/>
    </row>
    <row r="784">
      <c r="A784" s="4" t="s">
        <v>2775</v>
      </c>
      <c r="B784" s="4" t="s">
        <v>607</v>
      </c>
      <c r="C784" s="6" t="s">
        <v>607</v>
      </c>
      <c r="D784" s="6" t="s">
        <v>607</v>
      </c>
      <c r="E784" s="6" t="s">
        <v>607</v>
      </c>
      <c r="F784" s="6" t="s">
        <v>607</v>
      </c>
      <c r="G784" s="4" t="s">
        <v>607</v>
      </c>
      <c r="H784" s="4" t="s">
        <v>607</v>
      </c>
      <c r="I784" s="4" t="s">
        <v>607</v>
      </c>
      <c r="J784" s="4" t="s">
        <v>607</v>
      </c>
      <c r="K784" s="4" t="s">
        <v>607</v>
      </c>
      <c r="L784" s="4" t="s">
        <v>607</v>
      </c>
      <c r="M784" s="4" t="s">
        <v>607</v>
      </c>
      <c r="N784" s="4" t="s">
        <v>607</v>
      </c>
      <c r="O784" s="4"/>
      <c r="P784" s="4"/>
      <c r="T784" s="4"/>
    </row>
    <row r="785">
      <c r="A785" s="4" t="s">
        <v>2777</v>
      </c>
      <c r="B785" s="4" t="s">
        <v>607</v>
      </c>
      <c r="C785" s="6" t="s">
        <v>607</v>
      </c>
      <c r="D785" s="6" t="s">
        <v>607</v>
      </c>
      <c r="E785" s="6" t="s">
        <v>607</v>
      </c>
      <c r="F785" s="6" t="s">
        <v>607</v>
      </c>
      <c r="G785" s="4" t="s">
        <v>607</v>
      </c>
      <c r="H785" s="4" t="s">
        <v>607</v>
      </c>
      <c r="I785" s="4" t="s">
        <v>607</v>
      </c>
      <c r="J785" s="4" t="s">
        <v>607</v>
      </c>
      <c r="K785" s="4" t="s">
        <v>607</v>
      </c>
      <c r="L785" s="4" t="s">
        <v>607</v>
      </c>
      <c r="M785" s="4" t="s">
        <v>607</v>
      </c>
      <c r="N785" s="4" t="s">
        <v>607</v>
      </c>
      <c r="O785" s="4"/>
      <c r="P785" s="4"/>
      <c r="T785" s="4"/>
    </row>
    <row r="786">
      <c r="A786" s="4" t="s">
        <v>2778</v>
      </c>
      <c r="B786" s="4" t="s">
        <v>607</v>
      </c>
      <c r="C786" s="6" t="s">
        <v>607</v>
      </c>
      <c r="D786" s="6" t="s">
        <v>607</v>
      </c>
      <c r="E786" s="6" t="s">
        <v>607</v>
      </c>
      <c r="F786" s="6" t="s">
        <v>607</v>
      </c>
      <c r="G786" s="4" t="s">
        <v>607</v>
      </c>
      <c r="H786" s="4" t="s">
        <v>607</v>
      </c>
      <c r="I786" s="4" t="s">
        <v>607</v>
      </c>
      <c r="J786" s="4" t="s">
        <v>607</v>
      </c>
      <c r="K786" s="4" t="s">
        <v>607</v>
      </c>
      <c r="L786" s="4" t="s">
        <v>607</v>
      </c>
      <c r="M786" s="4" t="s">
        <v>607</v>
      </c>
      <c r="N786" s="4" t="s">
        <v>607</v>
      </c>
      <c r="O786" s="4"/>
      <c r="P786" s="4"/>
      <c r="T786" s="4"/>
    </row>
    <row r="787">
      <c r="A787" s="4" t="s">
        <v>2779</v>
      </c>
      <c r="B787" s="4" t="s">
        <v>607</v>
      </c>
      <c r="C787" s="6" t="s">
        <v>607</v>
      </c>
      <c r="D787" s="6" t="s">
        <v>607</v>
      </c>
      <c r="E787" s="6" t="s">
        <v>607</v>
      </c>
      <c r="F787" s="6" t="s">
        <v>607</v>
      </c>
      <c r="G787" s="4" t="s">
        <v>607</v>
      </c>
      <c r="H787" s="4" t="s">
        <v>607</v>
      </c>
      <c r="I787" s="4" t="s">
        <v>607</v>
      </c>
      <c r="J787" s="4" t="s">
        <v>607</v>
      </c>
      <c r="K787" s="4" t="s">
        <v>607</v>
      </c>
      <c r="L787" s="4" t="s">
        <v>607</v>
      </c>
      <c r="M787" s="4" t="s">
        <v>607</v>
      </c>
      <c r="N787" s="4" t="s">
        <v>607</v>
      </c>
      <c r="O787" s="4"/>
      <c r="P787" s="4"/>
      <c r="T787" s="4"/>
    </row>
    <row r="788">
      <c r="A788" s="4" t="s">
        <v>2782</v>
      </c>
      <c r="B788" s="4" t="s">
        <v>607</v>
      </c>
      <c r="C788" s="6" t="s">
        <v>607</v>
      </c>
      <c r="D788" s="6" t="s">
        <v>607</v>
      </c>
      <c r="E788" s="6" t="s">
        <v>607</v>
      </c>
      <c r="F788" s="6" t="s">
        <v>607</v>
      </c>
      <c r="G788" s="4" t="s">
        <v>607</v>
      </c>
      <c r="H788" s="4" t="s">
        <v>607</v>
      </c>
      <c r="I788" s="4" t="s">
        <v>607</v>
      </c>
      <c r="J788" s="4" t="s">
        <v>607</v>
      </c>
      <c r="K788" s="4" t="s">
        <v>607</v>
      </c>
      <c r="L788" s="4" t="s">
        <v>607</v>
      </c>
      <c r="M788" s="4" t="s">
        <v>607</v>
      </c>
      <c r="N788" s="4" t="s">
        <v>607</v>
      </c>
      <c r="O788" s="4"/>
      <c r="P788" s="4"/>
      <c r="T788" s="4"/>
    </row>
    <row r="789">
      <c r="A789" s="4" t="s">
        <v>2783</v>
      </c>
      <c r="B789" s="4" t="s">
        <v>607</v>
      </c>
      <c r="C789" s="6" t="s">
        <v>607</v>
      </c>
      <c r="D789" s="6" t="s">
        <v>607</v>
      </c>
      <c r="E789" s="6" t="s">
        <v>607</v>
      </c>
      <c r="F789" s="6" t="s">
        <v>607</v>
      </c>
      <c r="G789" s="4" t="s">
        <v>607</v>
      </c>
      <c r="H789" s="4" t="s">
        <v>607</v>
      </c>
      <c r="I789" s="4" t="s">
        <v>607</v>
      </c>
      <c r="J789" s="4" t="s">
        <v>607</v>
      </c>
      <c r="K789" s="4" t="s">
        <v>607</v>
      </c>
      <c r="L789" s="4" t="s">
        <v>607</v>
      </c>
      <c r="M789" s="4" t="s">
        <v>607</v>
      </c>
      <c r="N789" s="4" t="s">
        <v>607</v>
      </c>
      <c r="O789" s="4"/>
      <c r="P789" s="4"/>
      <c r="T789" s="4"/>
    </row>
    <row r="790">
      <c r="A790" s="4" t="s">
        <v>2784</v>
      </c>
      <c r="B790" s="4" t="s">
        <v>607</v>
      </c>
      <c r="C790" s="6" t="s">
        <v>607</v>
      </c>
      <c r="D790" s="6" t="s">
        <v>607</v>
      </c>
      <c r="E790" s="6" t="s">
        <v>607</v>
      </c>
      <c r="F790" s="6" t="s">
        <v>607</v>
      </c>
      <c r="G790" s="4" t="s">
        <v>607</v>
      </c>
      <c r="H790" s="4" t="s">
        <v>607</v>
      </c>
      <c r="I790" s="4" t="s">
        <v>607</v>
      </c>
      <c r="J790" s="4" t="s">
        <v>607</v>
      </c>
      <c r="K790" s="4" t="s">
        <v>607</v>
      </c>
      <c r="L790" s="4" t="s">
        <v>607</v>
      </c>
      <c r="M790" s="4" t="s">
        <v>607</v>
      </c>
      <c r="N790" s="4" t="s">
        <v>607</v>
      </c>
      <c r="O790" s="4"/>
      <c r="P790" s="4"/>
      <c r="T790" s="4"/>
    </row>
    <row r="791">
      <c r="A791" s="4" t="s">
        <v>2785</v>
      </c>
      <c r="B791" s="4" t="s">
        <v>607</v>
      </c>
      <c r="C791" s="6" t="s">
        <v>607</v>
      </c>
      <c r="D791" s="6" t="s">
        <v>607</v>
      </c>
      <c r="E791" s="6" t="s">
        <v>607</v>
      </c>
      <c r="F791" s="6" t="s">
        <v>607</v>
      </c>
      <c r="G791" s="4" t="s">
        <v>607</v>
      </c>
      <c r="H791" s="4" t="s">
        <v>607</v>
      </c>
      <c r="I791" s="4" t="s">
        <v>607</v>
      </c>
      <c r="J791" s="4" t="s">
        <v>607</v>
      </c>
      <c r="K791" s="4" t="s">
        <v>607</v>
      </c>
      <c r="L791" s="4" t="s">
        <v>607</v>
      </c>
      <c r="M791" s="4" t="s">
        <v>607</v>
      </c>
      <c r="N791" s="4" t="s">
        <v>607</v>
      </c>
      <c r="O791" s="4"/>
      <c r="P791" s="4"/>
      <c r="T791" s="4"/>
    </row>
    <row r="792">
      <c r="A792" s="4" t="s">
        <v>2789</v>
      </c>
      <c r="B792" s="4" t="s">
        <v>607</v>
      </c>
      <c r="C792" s="6" t="s">
        <v>607</v>
      </c>
      <c r="D792" s="6" t="s">
        <v>607</v>
      </c>
      <c r="E792" s="6" t="s">
        <v>607</v>
      </c>
      <c r="F792" s="6" t="s">
        <v>607</v>
      </c>
      <c r="G792" s="4" t="s">
        <v>607</v>
      </c>
      <c r="H792" s="4" t="s">
        <v>607</v>
      </c>
      <c r="I792" s="4" t="s">
        <v>607</v>
      </c>
      <c r="J792" s="4" t="s">
        <v>607</v>
      </c>
      <c r="K792" s="4" t="s">
        <v>607</v>
      </c>
      <c r="L792" s="4" t="s">
        <v>607</v>
      </c>
      <c r="M792" s="4" t="s">
        <v>607</v>
      </c>
      <c r="N792" s="4" t="s">
        <v>607</v>
      </c>
      <c r="O792" s="4"/>
      <c r="P792" s="4"/>
      <c r="T792" s="4"/>
    </row>
    <row r="793">
      <c r="A793" s="4" t="s">
        <v>2790</v>
      </c>
      <c r="B793" s="4" t="s">
        <v>607</v>
      </c>
      <c r="C793" s="6" t="s">
        <v>607</v>
      </c>
      <c r="D793" s="6" t="s">
        <v>607</v>
      </c>
      <c r="E793" s="6" t="s">
        <v>607</v>
      </c>
      <c r="F793" s="6" t="s">
        <v>607</v>
      </c>
      <c r="G793" s="4" t="s">
        <v>607</v>
      </c>
      <c r="H793" s="4" t="s">
        <v>607</v>
      </c>
      <c r="I793" s="4" t="s">
        <v>607</v>
      </c>
      <c r="J793" s="4" t="s">
        <v>607</v>
      </c>
      <c r="K793" s="4" t="s">
        <v>607</v>
      </c>
      <c r="L793" s="4" t="s">
        <v>607</v>
      </c>
      <c r="M793" s="4" t="s">
        <v>607</v>
      </c>
      <c r="N793" s="4" t="s">
        <v>607</v>
      </c>
      <c r="O793" s="4"/>
      <c r="P793" s="4"/>
      <c r="T793" s="4"/>
    </row>
    <row r="794">
      <c r="A794" s="4" t="s">
        <v>2791</v>
      </c>
      <c r="B794" s="4" t="s">
        <v>607</v>
      </c>
      <c r="C794" s="6" t="s">
        <v>607</v>
      </c>
      <c r="D794" s="6" t="s">
        <v>607</v>
      </c>
      <c r="E794" s="6" t="s">
        <v>607</v>
      </c>
      <c r="F794" s="6" t="s">
        <v>607</v>
      </c>
      <c r="G794" s="4" t="s">
        <v>607</v>
      </c>
      <c r="H794" s="4" t="s">
        <v>607</v>
      </c>
      <c r="I794" s="4" t="s">
        <v>607</v>
      </c>
      <c r="J794" s="4" t="s">
        <v>607</v>
      </c>
      <c r="K794" s="4" t="s">
        <v>607</v>
      </c>
      <c r="L794" s="4" t="s">
        <v>607</v>
      </c>
      <c r="M794" s="4" t="s">
        <v>607</v>
      </c>
      <c r="N794" s="4" t="s">
        <v>607</v>
      </c>
      <c r="O794" s="4"/>
      <c r="P794" s="4"/>
      <c r="T794" s="4"/>
    </row>
    <row r="795">
      <c r="A795" s="4" t="s">
        <v>2792</v>
      </c>
      <c r="B795" s="4" t="s">
        <v>607</v>
      </c>
      <c r="C795" s="6" t="s">
        <v>607</v>
      </c>
      <c r="D795" s="6" t="s">
        <v>607</v>
      </c>
      <c r="E795" s="6" t="s">
        <v>607</v>
      </c>
      <c r="F795" s="6" t="s">
        <v>607</v>
      </c>
      <c r="G795" s="4" t="s">
        <v>607</v>
      </c>
      <c r="H795" s="4" t="s">
        <v>607</v>
      </c>
      <c r="I795" s="4" t="s">
        <v>607</v>
      </c>
      <c r="J795" s="4" t="s">
        <v>607</v>
      </c>
      <c r="K795" s="4" t="s">
        <v>607</v>
      </c>
      <c r="L795" s="4" t="s">
        <v>607</v>
      </c>
      <c r="M795" s="4" t="s">
        <v>607</v>
      </c>
      <c r="N795" s="4" t="s">
        <v>607</v>
      </c>
      <c r="O795" s="4"/>
      <c r="P795" s="4"/>
      <c r="T795" s="4"/>
    </row>
    <row r="796">
      <c r="A796" s="4" t="s">
        <v>2793</v>
      </c>
      <c r="B796" s="4" t="s">
        <v>607</v>
      </c>
      <c r="C796" s="6" t="s">
        <v>607</v>
      </c>
      <c r="D796" s="6" t="s">
        <v>607</v>
      </c>
      <c r="E796" s="6" t="s">
        <v>607</v>
      </c>
      <c r="F796" s="6" t="s">
        <v>607</v>
      </c>
      <c r="G796" s="4" t="s">
        <v>607</v>
      </c>
      <c r="H796" s="4" t="s">
        <v>607</v>
      </c>
      <c r="I796" s="4" t="s">
        <v>607</v>
      </c>
      <c r="J796" s="4" t="s">
        <v>607</v>
      </c>
      <c r="K796" s="4" t="s">
        <v>607</v>
      </c>
      <c r="L796" s="4" t="s">
        <v>607</v>
      </c>
      <c r="M796" s="4" t="s">
        <v>607</v>
      </c>
      <c r="N796" s="4" t="s">
        <v>607</v>
      </c>
      <c r="O796" s="4"/>
      <c r="P796" s="4"/>
      <c r="T796" s="4"/>
    </row>
    <row r="797">
      <c r="A797" s="4" t="s">
        <v>2794</v>
      </c>
      <c r="B797" s="4" t="s">
        <v>607</v>
      </c>
      <c r="C797" s="6" t="s">
        <v>607</v>
      </c>
      <c r="D797" s="6" t="s">
        <v>607</v>
      </c>
      <c r="E797" s="6" t="s">
        <v>607</v>
      </c>
      <c r="F797" s="6" t="s">
        <v>607</v>
      </c>
      <c r="G797" s="4" t="s">
        <v>607</v>
      </c>
      <c r="H797" s="4" t="s">
        <v>607</v>
      </c>
      <c r="I797" s="4" t="s">
        <v>607</v>
      </c>
      <c r="J797" s="4" t="s">
        <v>607</v>
      </c>
      <c r="K797" s="4" t="s">
        <v>607</v>
      </c>
      <c r="L797" s="4" t="s">
        <v>607</v>
      </c>
      <c r="M797" s="4" t="s">
        <v>607</v>
      </c>
      <c r="N797" s="4" t="s">
        <v>607</v>
      </c>
      <c r="O797" s="4"/>
      <c r="P797" s="4"/>
      <c r="T797" s="4"/>
    </row>
    <row r="798">
      <c r="A798" s="4" t="s">
        <v>2797</v>
      </c>
      <c r="B798" s="4" t="s">
        <v>607</v>
      </c>
      <c r="C798" s="6" t="s">
        <v>607</v>
      </c>
      <c r="D798" s="6" t="s">
        <v>607</v>
      </c>
      <c r="E798" s="6" t="s">
        <v>607</v>
      </c>
      <c r="F798" s="6" t="s">
        <v>607</v>
      </c>
      <c r="G798" s="4" t="s">
        <v>607</v>
      </c>
      <c r="H798" s="4" t="s">
        <v>607</v>
      </c>
      <c r="I798" s="4" t="s">
        <v>607</v>
      </c>
      <c r="J798" s="4" t="s">
        <v>607</v>
      </c>
      <c r="K798" s="4" t="s">
        <v>607</v>
      </c>
      <c r="L798" s="4" t="s">
        <v>607</v>
      </c>
      <c r="M798" s="4" t="s">
        <v>607</v>
      </c>
      <c r="N798" s="4" t="s">
        <v>607</v>
      </c>
      <c r="O798" s="4"/>
      <c r="P798" s="4"/>
      <c r="T798" s="4"/>
    </row>
    <row r="799">
      <c r="A799" s="4" t="s">
        <v>2798</v>
      </c>
      <c r="B799" s="4" t="s">
        <v>607</v>
      </c>
      <c r="C799" s="6" t="s">
        <v>607</v>
      </c>
      <c r="D799" s="6" t="s">
        <v>607</v>
      </c>
      <c r="E799" s="6" t="s">
        <v>607</v>
      </c>
      <c r="F799" s="6" t="s">
        <v>607</v>
      </c>
      <c r="G799" s="4" t="s">
        <v>607</v>
      </c>
      <c r="H799" s="4" t="s">
        <v>607</v>
      </c>
      <c r="I799" s="4" t="s">
        <v>607</v>
      </c>
      <c r="J799" s="4" t="s">
        <v>607</v>
      </c>
      <c r="K799" s="4" t="s">
        <v>607</v>
      </c>
      <c r="L799" s="4" t="s">
        <v>607</v>
      </c>
      <c r="M799" s="4" t="s">
        <v>607</v>
      </c>
      <c r="N799" s="4" t="s">
        <v>607</v>
      </c>
      <c r="O799" s="4"/>
      <c r="P799" s="4"/>
      <c r="T799" s="4"/>
    </row>
    <row r="800">
      <c r="A800" s="4" t="s">
        <v>2799</v>
      </c>
      <c r="B800" s="4" t="s">
        <v>607</v>
      </c>
      <c r="C800" s="6" t="s">
        <v>607</v>
      </c>
      <c r="D800" s="6" t="s">
        <v>607</v>
      </c>
      <c r="E800" s="6" t="s">
        <v>607</v>
      </c>
      <c r="F800" s="6" t="s">
        <v>607</v>
      </c>
      <c r="G800" s="4" t="s">
        <v>607</v>
      </c>
      <c r="H800" s="4" t="s">
        <v>607</v>
      </c>
      <c r="I800" s="4" t="s">
        <v>607</v>
      </c>
      <c r="J800" s="4" t="s">
        <v>607</v>
      </c>
      <c r="K800" s="4" t="s">
        <v>607</v>
      </c>
      <c r="L800" s="4" t="s">
        <v>607</v>
      </c>
      <c r="M800" s="4" t="s">
        <v>607</v>
      </c>
      <c r="N800" s="4" t="s">
        <v>607</v>
      </c>
      <c r="O800" s="4"/>
      <c r="P800" s="4"/>
      <c r="T800" s="4"/>
    </row>
    <row r="801">
      <c r="A801" s="4" t="s">
        <v>2802</v>
      </c>
      <c r="B801" s="4" t="s">
        <v>607</v>
      </c>
      <c r="C801" s="6" t="s">
        <v>607</v>
      </c>
      <c r="D801" s="6" t="s">
        <v>607</v>
      </c>
      <c r="E801" s="6" t="s">
        <v>607</v>
      </c>
      <c r="F801" s="6" t="s">
        <v>607</v>
      </c>
      <c r="G801" s="4" t="s">
        <v>607</v>
      </c>
      <c r="H801" s="4" t="s">
        <v>607</v>
      </c>
      <c r="I801" s="4" t="s">
        <v>607</v>
      </c>
      <c r="J801" s="4" t="s">
        <v>607</v>
      </c>
      <c r="K801" s="4" t="s">
        <v>607</v>
      </c>
      <c r="L801" s="4" t="s">
        <v>607</v>
      </c>
      <c r="M801" s="4" t="s">
        <v>607</v>
      </c>
      <c r="N801" s="4" t="s">
        <v>607</v>
      </c>
      <c r="O801" s="4"/>
      <c r="P801" s="4"/>
      <c r="T801" s="4"/>
    </row>
    <row r="802">
      <c r="A802" s="4" t="s">
        <v>2803</v>
      </c>
      <c r="B802" s="4" t="s">
        <v>607</v>
      </c>
      <c r="C802" s="6" t="s">
        <v>607</v>
      </c>
      <c r="D802" s="6" t="s">
        <v>607</v>
      </c>
      <c r="E802" s="6" t="s">
        <v>607</v>
      </c>
      <c r="F802" s="6" t="s">
        <v>607</v>
      </c>
      <c r="G802" s="4" t="s">
        <v>607</v>
      </c>
      <c r="H802" s="4" t="s">
        <v>607</v>
      </c>
      <c r="I802" s="4" t="s">
        <v>607</v>
      </c>
      <c r="J802" s="4" t="s">
        <v>607</v>
      </c>
      <c r="K802" s="4" t="s">
        <v>607</v>
      </c>
      <c r="L802" s="4" t="s">
        <v>607</v>
      </c>
      <c r="M802" s="4" t="s">
        <v>607</v>
      </c>
      <c r="N802" s="4" t="s">
        <v>607</v>
      </c>
      <c r="O802" s="4"/>
      <c r="P802" s="4"/>
      <c r="T802" s="4"/>
    </row>
    <row r="803">
      <c r="A803" s="4" t="s">
        <v>2804</v>
      </c>
      <c r="B803" s="4" t="s">
        <v>607</v>
      </c>
      <c r="C803" s="6" t="s">
        <v>607</v>
      </c>
      <c r="D803" s="6" t="s">
        <v>607</v>
      </c>
      <c r="E803" s="6" t="s">
        <v>607</v>
      </c>
      <c r="F803" s="6" t="s">
        <v>607</v>
      </c>
      <c r="G803" s="4" t="s">
        <v>607</v>
      </c>
      <c r="H803" s="4" t="s">
        <v>607</v>
      </c>
      <c r="I803" s="4" t="s">
        <v>607</v>
      </c>
      <c r="J803" s="4" t="s">
        <v>607</v>
      </c>
      <c r="K803" s="4" t="s">
        <v>607</v>
      </c>
      <c r="L803" s="4" t="s">
        <v>607</v>
      </c>
      <c r="M803" s="4" t="s">
        <v>607</v>
      </c>
      <c r="N803" s="4" t="s">
        <v>607</v>
      </c>
      <c r="O803" s="4"/>
      <c r="P803" s="4"/>
      <c r="T803" s="4"/>
    </row>
    <row r="804">
      <c r="A804" s="4" t="s">
        <v>2805</v>
      </c>
      <c r="B804" s="4" t="s">
        <v>607</v>
      </c>
      <c r="C804" s="6" t="s">
        <v>607</v>
      </c>
      <c r="D804" s="6" t="s">
        <v>607</v>
      </c>
      <c r="E804" s="6" t="s">
        <v>607</v>
      </c>
      <c r="F804" s="6" t="s">
        <v>607</v>
      </c>
      <c r="G804" s="4" t="s">
        <v>607</v>
      </c>
      <c r="H804" s="4" t="s">
        <v>607</v>
      </c>
      <c r="I804" s="4" t="s">
        <v>607</v>
      </c>
      <c r="J804" s="4" t="s">
        <v>607</v>
      </c>
      <c r="K804" s="4" t="s">
        <v>607</v>
      </c>
      <c r="L804" s="4" t="s">
        <v>607</v>
      </c>
      <c r="M804" s="4" t="s">
        <v>607</v>
      </c>
      <c r="N804" s="4" t="s">
        <v>607</v>
      </c>
      <c r="O804" s="4"/>
      <c r="P804" s="4"/>
      <c r="T804" s="4"/>
    </row>
    <row r="805">
      <c r="A805" s="4" t="s">
        <v>2806</v>
      </c>
      <c r="B805" s="4" t="s">
        <v>607</v>
      </c>
      <c r="C805" s="6" t="s">
        <v>607</v>
      </c>
      <c r="D805" s="6" t="s">
        <v>607</v>
      </c>
      <c r="E805" s="6" t="s">
        <v>607</v>
      </c>
      <c r="F805" s="6" t="s">
        <v>607</v>
      </c>
      <c r="G805" s="4" t="s">
        <v>607</v>
      </c>
      <c r="H805" s="4" t="s">
        <v>607</v>
      </c>
      <c r="I805" s="4" t="s">
        <v>607</v>
      </c>
      <c r="J805" s="4" t="s">
        <v>607</v>
      </c>
      <c r="K805" s="4" t="s">
        <v>607</v>
      </c>
      <c r="L805" s="4" t="s">
        <v>607</v>
      </c>
      <c r="M805" s="4" t="s">
        <v>607</v>
      </c>
      <c r="N805" s="4" t="s">
        <v>607</v>
      </c>
      <c r="O805" s="4"/>
      <c r="P805" s="4"/>
      <c r="T805" s="4"/>
    </row>
    <row r="806">
      <c r="A806" s="4" t="s">
        <v>2807</v>
      </c>
      <c r="B806" s="4" t="s">
        <v>607</v>
      </c>
      <c r="C806" s="6" t="s">
        <v>607</v>
      </c>
      <c r="D806" s="6" t="s">
        <v>607</v>
      </c>
      <c r="E806" s="6" t="s">
        <v>607</v>
      </c>
      <c r="F806" s="6" t="s">
        <v>607</v>
      </c>
      <c r="G806" s="4" t="s">
        <v>607</v>
      </c>
      <c r="H806" s="4" t="s">
        <v>607</v>
      </c>
      <c r="I806" s="4" t="s">
        <v>607</v>
      </c>
      <c r="J806" s="4" t="s">
        <v>607</v>
      </c>
      <c r="K806" s="4" t="s">
        <v>607</v>
      </c>
      <c r="L806" s="4" t="s">
        <v>607</v>
      </c>
      <c r="M806" s="4" t="s">
        <v>607</v>
      </c>
      <c r="N806" s="4" t="s">
        <v>607</v>
      </c>
      <c r="O806" s="4"/>
      <c r="P806" s="4"/>
      <c r="T806" s="4"/>
    </row>
    <row r="807">
      <c r="A807" s="4" t="s">
        <v>2810</v>
      </c>
      <c r="B807" s="4" t="s">
        <v>607</v>
      </c>
      <c r="C807" s="6" t="s">
        <v>607</v>
      </c>
      <c r="D807" s="6" t="s">
        <v>607</v>
      </c>
      <c r="E807" s="6" t="s">
        <v>607</v>
      </c>
      <c r="F807" s="6" t="s">
        <v>607</v>
      </c>
      <c r="G807" s="4" t="s">
        <v>607</v>
      </c>
      <c r="H807" s="4" t="s">
        <v>607</v>
      </c>
      <c r="I807" s="4" t="s">
        <v>607</v>
      </c>
      <c r="J807" s="4" t="s">
        <v>607</v>
      </c>
      <c r="K807" s="4" t="s">
        <v>607</v>
      </c>
      <c r="L807" s="4" t="s">
        <v>607</v>
      </c>
      <c r="M807" s="4" t="s">
        <v>607</v>
      </c>
      <c r="N807" s="4" t="s">
        <v>607</v>
      </c>
      <c r="O807" s="4"/>
      <c r="P807" s="4"/>
      <c r="T807" s="4"/>
    </row>
    <row r="808">
      <c r="A808" s="4" t="s">
        <v>2811</v>
      </c>
      <c r="B808" s="4" t="s">
        <v>607</v>
      </c>
      <c r="C808" s="6" t="s">
        <v>607</v>
      </c>
      <c r="D808" s="6" t="s">
        <v>607</v>
      </c>
      <c r="E808" s="6" t="s">
        <v>607</v>
      </c>
      <c r="F808" s="6" t="s">
        <v>607</v>
      </c>
      <c r="G808" s="4" t="s">
        <v>607</v>
      </c>
      <c r="H808" s="4" t="s">
        <v>607</v>
      </c>
      <c r="I808" s="4" t="s">
        <v>607</v>
      </c>
      <c r="J808" s="4" t="s">
        <v>607</v>
      </c>
      <c r="K808" s="4" t="s">
        <v>607</v>
      </c>
      <c r="L808" s="4" t="s">
        <v>607</v>
      </c>
      <c r="M808" s="4" t="s">
        <v>607</v>
      </c>
      <c r="N808" s="4" t="s">
        <v>607</v>
      </c>
      <c r="O808" s="4"/>
      <c r="P808" s="4"/>
      <c r="T808" s="4"/>
    </row>
    <row r="809">
      <c r="A809" s="4" t="s">
        <v>2812</v>
      </c>
      <c r="B809" s="4" t="s">
        <v>607</v>
      </c>
      <c r="C809" s="6" t="s">
        <v>607</v>
      </c>
      <c r="D809" s="6" t="s">
        <v>607</v>
      </c>
      <c r="E809" s="6" t="s">
        <v>607</v>
      </c>
      <c r="F809" s="6" t="s">
        <v>607</v>
      </c>
      <c r="G809" s="4" t="s">
        <v>607</v>
      </c>
      <c r="H809" s="4" t="s">
        <v>607</v>
      </c>
      <c r="I809" s="4" t="s">
        <v>607</v>
      </c>
      <c r="J809" s="4" t="s">
        <v>607</v>
      </c>
      <c r="K809" s="4" t="s">
        <v>607</v>
      </c>
      <c r="L809" s="4" t="s">
        <v>607</v>
      </c>
      <c r="M809" s="4" t="s">
        <v>607</v>
      </c>
      <c r="N809" s="4" t="s">
        <v>607</v>
      </c>
      <c r="O809" s="4"/>
      <c r="P809" s="4"/>
      <c r="T809" s="4"/>
    </row>
    <row r="810">
      <c r="A810" s="4" t="s">
        <v>2813</v>
      </c>
      <c r="B810" s="4" t="s">
        <v>607</v>
      </c>
      <c r="C810" s="6" t="s">
        <v>607</v>
      </c>
      <c r="D810" s="6" t="s">
        <v>607</v>
      </c>
      <c r="E810" s="6" t="s">
        <v>607</v>
      </c>
      <c r="F810" s="6" t="s">
        <v>607</v>
      </c>
      <c r="G810" s="4" t="s">
        <v>607</v>
      </c>
      <c r="H810" s="4" t="s">
        <v>607</v>
      </c>
      <c r="I810" s="4" t="s">
        <v>607</v>
      </c>
      <c r="J810" s="4" t="s">
        <v>607</v>
      </c>
      <c r="K810" s="4" t="s">
        <v>607</v>
      </c>
      <c r="L810" s="4" t="s">
        <v>607</v>
      </c>
      <c r="M810" s="4" t="s">
        <v>607</v>
      </c>
      <c r="N810" s="4" t="s">
        <v>607</v>
      </c>
      <c r="O810" s="4"/>
      <c r="P810" s="4"/>
      <c r="T810" s="4"/>
    </row>
    <row r="811">
      <c r="A811" s="4" t="s">
        <v>2817</v>
      </c>
      <c r="B811" s="4" t="s">
        <v>607</v>
      </c>
      <c r="C811" s="6" t="s">
        <v>607</v>
      </c>
      <c r="D811" s="6" t="s">
        <v>607</v>
      </c>
      <c r="E811" s="6" t="s">
        <v>607</v>
      </c>
      <c r="F811" s="6" t="s">
        <v>607</v>
      </c>
      <c r="G811" s="4" t="s">
        <v>607</v>
      </c>
      <c r="H811" s="4" t="s">
        <v>607</v>
      </c>
      <c r="I811" s="4" t="s">
        <v>607</v>
      </c>
      <c r="J811" s="4" t="s">
        <v>607</v>
      </c>
      <c r="K811" s="4" t="s">
        <v>607</v>
      </c>
      <c r="L811" s="4" t="s">
        <v>607</v>
      </c>
      <c r="M811" s="4" t="s">
        <v>607</v>
      </c>
      <c r="N811" s="4" t="s">
        <v>607</v>
      </c>
      <c r="O811" s="4"/>
      <c r="P811" s="4"/>
      <c r="T811" s="4"/>
    </row>
    <row r="812">
      <c r="A812" s="4" t="s">
        <v>2818</v>
      </c>
      <c r="B812" s="4" t="s">
        <v>607</v>
      </c>
      <c r="C812" s="6" t="s">
        <v>607</v>
      </c>
      <c r="D812" s="6" t="s">
        <v>607</v>
      </c>
      <c r="E812" s="6" t="s">
        <v>607</v>
      </c>
      <c r="F812" s="6" t="s">
        <v>607</v>
      </c>
      <c r="G812" s="4" t="s">
        <v>607</v>
      </c>
      <c r="H812" s="4" t="s">
        <v>607</v>
      </c>
      <c r="I812" s="4" t="s">
        <v>607</v>
      </c>
      <c r="J812" s="4" t="s">
        <v>607</v>
      </c>
      <c r="K812" s="4" t="s">
        <v>607</v>
      </c>
      <c r="L812" s="4" t="s">
        <v>607</v>
      </c>
      <c r="M812" s="4" t="s">
        <v>607</v>
      </c>
      <c r="N812" s="4" t="s">
        <v>607</v>
      </c>
      <c r="O812" s="4"/>
      <c r="P812" s="4"/>
      <c r="T812" s="4"/>
    </row>
    <row r="813">
      <c r="A813" s="4" t="s">
        <v>2819</v>
      </c>
      <c r="B813" s="4" t="s">
        <v>607</v>
      </c>
      <c r="C813" s="6" t="s">
        <v>607</v>
      </c>
      <c r="D813" s="6" t="s">
        <v>607</v>
      </c>
      <c r="E813" s="6" t="s">
        <v>607</v>
      </c>
      <c r="F813" s="6" t="s">
        <v>607</v>
      </c>
      <c r="G813" s="4" t="s">
        <v>607</v>
      </c>
      <c r="H813" s="4" t="s">
        <v>607</v>
      </c>
      <c r="I813" s="4" t="s">
        <v>607</v>
      </c>
      <c r="J813" s="4" t="s">
        <v>607</v>
      </c>
      <c r="K813" s="4" t="s">
        <v>607</v>
      </c>
      <c r="L813" s="4" t="s">
        <v>607</v>
      </c>
      <c r="M813" s="4" t="s">
        <v>607</v>
      </c>
      <c r="N813" s="4" t="s">
        <v>607</v>
      </c>
      <c r="O813" s="4"/>
      <c r="P813" s="4"/>
      <c r="T813" s="4"/>
    </row>
    <row r="814">
      <c r="A814" s="4" t="s">
        <v>2823</v>
      </c>
      <c r="B814" s="4" t="s">
        <v>607</v>
      </c>
      <c r="C814" s="6" t="s">
        <v>607</v>
      </c>
      <c r="D814" s="6" t="s">
        <v>607</v>
      </c>
      <c r="E814" s="6" t="s">
        <v>607</v>
      </c>
      <c r="F814" s="6" t="s">
        <v>607</v>
      </c>
      <c r="G814" s="4" t="s">
        <v>607</v>
      </c>
      <c r="H814" s="4" t="s">
        <v>607</v>
      </c>
      <c r="I814" s="4" t="s">
        <v>607</v>
      </c>
      <c r="J814" s="4" t="s">
        <v>607</v>
      </c>
      <c r="K814" s="4" t="s">
        <v>607</v>
      </c>
      <c r="L814" s="4" t="s">
        <v>607</v>
      </c>
      <c r="M814" s="4" t="s">
        <v>607</v>
      </c>
      <c r="N814" s="4" t="s">
        <v>607</v>
      </c>
      <c r="O814" s="4"/>
      <c r="P814" s="4"/>
      <c r="T814" s="4"/>
    </row>
    <row r="815">
      <c r="A815" s="4" t="s">
        <v>2824</v>
      </c>
      <c r="B815" s="4" t="s">
        <v>607</v>
      </c>
      <c r="C815" s="6" t="s">
        <v>607</v>
      </c>
      <c r="D815" s="6" t="s">
        <v>607</v>
      </c>
      <c r="E815" s="6" t="s">
        <v>607</v>
      </c>
      <c r="F815" s="6" t="s">
        <v>607</v>
      </c>
      <c r="G815" s="4" t="s">
        <v>607</v>
      </c>
      <c r="H815" s="4" t="s">
        <v>607</v>
      </c>
      <c r="I815" s="4" t="s">
        <v>607</v>
      </c>
      <c r="J815" s="4" t="s">
        <v>607</v>
      </c>
      <c r="K815" s="4" t="s">
        <v>607</v>
      </c>
      <c r="L815" s="4" t="s">
        <v>607</v>
      </c>
      <c r="M815" s="4" t="s">
        <v>607</v>
      </c>
      <c r="N815" s="4" t="s">
        <v>607</v>
      </c>
      <c r="O815" s="4"/>
      <c r="P815" s="4"/>
      <c r="T815" s="4"/>
    </row>
    <row r="816">
      <c r="A816" s="4" t="s">
        <v>2825</v>
      </c>
      <c r="B816" s="4" t="s">
        <v>607</v>
      </c>
      <c r="C816" s="6" t="s">
        <v>607</v>
      </c>
      <c r="D816" s="6" t="s">
        <v>607</v>
      </c>
      <c r="E816" s="6" t="s">
        <v>607</v>
      </c>
      <c r="F816" s="6" t="s">
        <v>607</v>
      </c>
      <c r="G816" s="4" t="s">
        <v>607</v>
      </c>
      <c r="H816" s="4" t="s">
        <v>607</v>
      </c>
      <c r="I816" s="4" t="s">
        <v>607</v>
      </c>
      <c r="J816" s="4" t="s">
        <v>607</v>
      </c>
      <c r="K816" s="4" t="s">
        <v>607</v>
      </c>
      <c r="L816" s="4" t="s">
        <v>607</v>
      </c>
      <c r="M816" s="4" t="s">
        <v>607</v>
      </c>
      <c r="N816" s="4" t="s">
        <v>607</v>
      </c>
      <c r="O816" s="4"/>
      <c r="P816" s="4"/>
      <c r="T816" s="4"/>
    </row>
    <row r="817">
      <c r="A817" s="4" t="s">
        <v>2826</v>
      </c>
      <c r="B817" s="4" t="s">
        <v>607</v>
      </c>
      <c r="C817" s="6" t="s">
        <v>607</v>
      </c>
      <c r="D817" s="6" t="s">
        <v>607</v>
      </c>
      <c r="E817" s="6" t="s">
        <v>607</v>
      </c>
      <c r="F817" s="6" t="s">
        <v>607</v>
      </c>
      <c r="G817" s="4" t="s">
        <v>607</v>
      </c>
      <c r="H817" s="4" t="s">
        <v>607</v>
      </c>
      <c r="I817" s="4" t="s">
        <v>607</v>
      </c>
      <c r="J817" s="4" t="s">
        <v>607</v>
      </c>
      <c r="K817" s="4" t="s">
        <v>607</v>
      </c>
      <c r="L817" s="4" t="s">
        <v>607</v>
      </c>
      <c r="M817" s="4" t="s">
        <v>607</v>
      </c>
      <c r="N817" s="4" t="s">
        <v>607</v>
      </c>
      <c r="O817" s="4"/>
      <c r="P817" s="4"/>
      <c r="T817" s="4"/>
    </row>
    <row r="818">
      <c r="A818" s="4" t="s">
        <v>2830</v>
      </c>
      <c r="B818" s="4" t="s">
        <v>607</v>
      </c>
      <c r="C818" s="6" t="s">
        <v>607</v>
      </c>
      <c r="D818" s="6" t="s">
        <v>607</v>
      </c>
      <c r="E818" s="6" t="s">
        <v>607</v>
      </c>
      <c r="F818" s="6" t="s">
        <v>607</v>
      </c>
      <c r="G818" s="4" t="s">
        <v>607</v>
      </c>
      <c r="H818" s="4" t="s">
        <v>607</v>
      </c>
      <c r="I818" s="4" t="s">
        <v>607</v>
      </c>
      <c r="J818" s="4" t="s">
        <v>607</v>
      </c>
      <c r="K818" s="4" t="s">
        <v>607</v>
      </c>
      <c r="L818" s="4" t="s">
        <v>607</v>
      </c>
      <c r="M818" s="4" t="s">
        <v>607</v>
      </c>
      <c r="N818" s="4" t="s">
        <v>607</v>
      </c>
      <c r="O818" s="4"/>
      <c r="P818" s="4"/>
      <c r="T818" s="4"/>
    </row>
    <row r="819">
      <c r="A819" s="4" t="s">
        <v>2831</v>
      </c>
      <c r="B819" s="4" t="s">
        <v>607</v>
      </c>
      <c r="C819" s="6" t="s">
        <v>607</v>
      </c>
      <c r="D819" s="6" t="s">
        <v>607</v>
      </c>
      <c r="E819" s="6" t="s">
        <v>607</v>
      </c>
      <c r="F819" s="6" t="s">
        <v>607</v>
      </c>
      <c r="G819" s="4" t="s">
        <v>607</v>
      </c>
      <c r="H819" s="4" t="s">
        <v>607</v>
      </c>
      <c r="I819" s="4" t="s">
        <v>607</v>
      </c>
      <c r="J819" s="4" t="s">
        <v>607</v>
      </c>
      <c r="K819" s="4" t="s">
        <v>607</v>
      </c>
      <c r="L819" s="4" t="s">
        <v>607</v>
      </c>
      <c r="M819" s="4" t="s">
        <v>607</v>
      </c>
      <c r="N819" s="4" t="s">
        <v>607</v>
      </c>
      <c r="O819" s="4"/>
      <c r="P819" s="4"/>
      <c r="T819" s="4"/>
    </row>
    <row r="820">
      <c r="A820" s="4" t="s">
        <v>2832</v>
      </c>
      <c r="B820" s="4" t="s">
        <v>607</v>
      </c>
      <c r="C820" s="6" t="s">
        <v>607</v>
      </c>
      <c r="D820" s="6" t="s">
        <v>607</v>
      </c>
      <c r="E820" s="6" t="s">
        <v>607</v>
      </c>
      <c r="F820" s="6" t="s">
        <v>607</v>
      </c>
      <c r="G820" s="4" t="s">
        <v>607</v>
      </c>
      <c r="H820" s="4" t="s">
        <v>607</v>
      </c>
      <c r="I820" s="4" t="s">
        <v>607</v>
      </c>
      <c r="J820" s="4" t="s">
        <v>607</v>
      </c>
      <c r="K820" s="4" t="s">
        <v>607</v>
      </c>
      <c r="L820" s="4" t="s">
        <v>607</v>
      </c>
      <c r="M820" s="4" t="s">
        <v>607</v>
      </c>
      <c r="N820" s="4" t="s">
        <v>607</v>
      </c>
      <c r="O820" s="4"/>
      <c r="P820" s="4"/>
      <c r="T820" s="4"/>
    </row>
    <row r="821">
      <c r="A821" s="4" t="s">
        <v>2835</v>
      </c>
      <c r="B821" s="4" t="s">
        <v>607</v>
      </c>
      <c r="C821" s="6" t="s">
        <v>607</v>
      </c>
      <c r="D821" s="6" t="s">
        <v>607</v>
      </c>
      <c r="E821" s="6" t="s">
        <v>607</v>
      </c>
      <c r="F821" s="6" t="s">
        <v>607</v>
      </c>
      <c r="G821" s="4" t="s">
        <v>607</v>
      </c>
      <c r="H821" s="4" t="s">
        <v>607</v>
      </c>
      <c r="I821" s="4" t="s">
        <v>607</v>
      </c>
      <c r="J821" s="4" t="s">
        <v>607</v>
      </c>
      <c r="K821" s="4" t="s">
        <v>607</v>
      </c>
      <c r="L821" s="4" t="s">
        <v>607</v>
      </c>
      <c r="M821" s="4" t="s">
        <v>607</v>
      </c>
      <c r="N821" s="4" t="s">
        <v>607</v>
      </c>
      <c r="O821" s="4"/>
      <c r="P821" s="4"/>
      <c r="T821" s="4"/>
    </row>
    <row r="822">
      <c r="A822" s="4" t="s">
        <v>2836</v>
      </c>
      <c r="B822" s="4" t="s">
        <v>607</v>
      </c>
      <c r="C822" s="6" t="s">
        <v>607</v>
      </c>
      <c r="D822" s="6" t="s">
        <v>607</v>
      </c>
      <c r="E822" s="6" t="s">
        <v>607</v>
      </c>
      <c r="F822" s="6" t="s">
        <v>607</v>
      </c>
      <c r="G822" s="4" t="s">
        <v>607</v>
      </c>
      <c r="H822" s="4" t="s">
        <v>607</v>
      </c>
      <c r="I822" s="4" t="s">
        <v>607</v>
      </c>
      <c r="J822" s="4" t="s">
        <v>607</v>
      </c>
      <c r="K822" s="4" t="s">
        <v>607</v>
      </c>
      <c r="L822" s="4" t="s">
        <v>607</v>
      </c>
      <c r="M822" s="4" t="s">
        <v>607</v>
      </c>
      <c r="N822" s="4" t="s">
        <v>607</v>
      </c>
      <c r="O822" s="4"/>
      <c r="P822" s="4"/>
      <c r="T822" s="4"/>
    </row>
    <row r="823">
      <c r="A823" s="4" t="s">
        <v>2837</v>
      </c>
      <c r="B823" s="4" t="s">
        <v>607</v>
      </c>
      <c r="C823" s="6" t="s">
        <v>607</v>
      </c>
      <c r="D823" s="6" t="s">
        <v>607</v>
      </c>
      <c r="E823" s="6" t="s">
        <v>607</v>
      </c>
      <c r="F823" s="6" t="s">
        <v>607</v>
      </c>
      <c r="G823" s="4" t="s">
        <v>607</v>
      </c>
      <c r="H823" s="4" t="s">
        <v>607</v>
      </c>
      <c r="I823" s="4" t="s">
        <v>607</v>
      </c>
      <c r="J823" s="4" t="s">
        <v>607</v>
      </c>
      <c r="K823" s="4" t="s">
        <v>607</v>
      </c>
      <c r="L823" s="4" t="s">
        <v>607</v>
      </c>
      <c r="M823" s="4" t="s">
        <v>607</v>
      </c>
      <c r="N823" s="4" t="s">
        <v>607</v>
      </c>
      <c r="O823" s="4"/>
      <c r="P823" s="4"/>
      <c r="T823" s="4"/>
    </row>
    <row r="824">
      <c r="A824" s="4" t="s">
        <v>2838</v>
      </c>
      <c r="B824" s="4" t="s">
        <v>607</v>
      </c>
      <c r="C824" s="6" t="s">
        <v>607</v>
      </c>
      <c r="D824" s="6" t="s">
        <v>607</v>
      </c>
      <c r="E824" s="6" t="s">
        <v>607</v>
      </c>
      <c r="F824" s="6" t="s">
        <v>607</v>
      </c>
      <c r="G824" s="4" t="s">
        <v>607</v>
      </c>
      <c r="H824" s="4" t="s">
        <v>607</v>
      </c>
      <c r="I824" s="4" t="s">
        <v>607</v>
      </c>
      <c r="J824" s="4" t="s">
        <v>607</v>
      </c>
      <c r="K824" s="4" t="s">
        <v>607</v>
      </c>
      <c r="L824" s="4" t="s">
        <v>607</v>
      </c>
      <c r="M824" s="4" t="s">
        <v>607</v>
      </c>
      <c r="N824" s="4" t="s">
        <v>607</v>
      </c>
      <c r="O824" s="4"/>
      <c r="P824" s="4"/>
      <c r="T824" s="4"/>
    </row>
    <row r="825">
      <c r="A825" s="4" t="s">
        <v>2843</v>
      </c>
      <c r="B825" s="4" t="s">
        <v>607</v>
      </c>
      <c r="C825" s="6" t="s">
        <v>607</v>
      </c>
      <c r="D825" s="6" t="s">
        <v>607</v>
      </c>
      <c r="E825" s="6" t="s">
        <v>607</v>
      </c>
      <c r="F825" s="6" t="s">
        <v>607</v>
      </c>
      <c r="G825" s="4" t="s">
        <v>607</v>
      </c>
      <c r="H825" s="4" t="s">
        <v>607</v>
      </c>
      <c r="I825" s="4" t="s">
        <v>607</v>
      </c>
      <c r="J825" s="4" t="s">
        <v>607</v>
      </c>
      <c r="K825" s="4" t="s">
        <v>607</v>
      </c>
      <c r="L825" s="4" t="s">
        <v>607</v>
      </c>
      <c r="M825" s="4" t="s">
        <v>607</v>
      </c>
      <c r="N825" s="4" t="s">
        <v>607</v>
      </c>
      <c r="O825" s="4"/>
      <c r="P825" s="4"/>
      <c r="T825" s="4"/>
    </row>
    <row r="826">
      <c r="A826" s="4" t="s">
        <v>2844</v>
      </c>
      <c r="B826" s="4" t="s">
        <v>607</v>
      </c>
      <c r="C826" s="6" t="s">
        <v>607</v>
      </c>
      <c r="D826" s="6" t="s">
        <v>607</v>
      </c>
      <c r="E826" s="6" t="s">
        <v>607</v>
      </c>
      <c r="F826" s="6" t="s">
        <v>607</v>
      </c>
      <c r="G826" s="4" t="s">
        <v>607</v>
      </c>
      <c r="H826" s="4" t="s">
        <v>607</v>
      </c>
      <c r="I826" s="4" t="s">
        <v>607</v>
      </c>
      <c r="J826" s="4" t="s">
        <v>607</v>
      </c>
      <c r="K826" s="4" t="s">
        <v>607</v>
      </c>
      <c r="L826" s="4" t="s">
        <v>607</v>
      </c>
      <c r="M826" s="4" t="s">
        <v>607</v>
      </c>
      <c r="N826" s="4" t="s">
        <v>607</v>
      </c>
      <c r="O826" s="4"/>
      <c r="P826" s="4"/>
      <c r="T826" s="4"/>
    </row>
    <row r="827">
      <c r="A827" s="4" t="s">
        <v>2845</v>
      </c>
      <c r="B827" s="4" t="s">
        <v>607</v>
      </c>
      <c r="C827" s="6" t="s">
        <v>607</v>
      </c>
      <c r="D827" s="6" t="s">
        <v>607</v>
      </c>
      <c r="E827" s="6" t="s">
        <v>607</v>
      </c>
      <c r="F827" s="6" t="s">
        <v>607</v>
      </c>
      <c r="G827" s="4" t="s">
        <v>607</v>
      </c>
      <c r="H827" s="4" t="s">
        <v>607</v>
      </c>
      <c r="I827" s="4" t="s">
        <v>607</v>
      </c>
      <c r="J827" s="4" t="s">
        <v>607</v>
      </c>
      <c r="K827" s="4" t="s">
        <v>607</v>
      </c>
      <c r="L827" s="4" t="s">
        <v>607</v>
      </c>
      <c r="M827" s="4" t="s">
        <v>607</v>
      </c>
      <c r="N827" s="4" t="s">
        <v>607</v>
      </c>
      <c r="O827" s="4"/>
      <c r="P827" s="4"/>
      <c r="T827" s="4"/>
    </row>
    <row r="828">
      <c r="A828" s="4" t="s">
        <v>2848</v>
      </c>
      <c r="B828" s="4" t="s">
        <v>607</v>
      </c>
      <c r="C828" s="6" t="s">
        <v>607</v>
      </c>
      <c r="D828" s="6" t="s">
        <v>607</v>
      </c>
      <c r="E828" s="6" t="s">
        <v>607</v>
      </c>
      <c r="F828" s="6" t="s">
        <v>607</v>
      </c>
      <c r="G828" s="4" t="s">
        <v>607</v>
      </c>
      <c r="H828" s="4" t="s">
        <v>607</v>
      </c>
      <c r="I828" s="4" t="s">
        <v>607</v>
      </c>
      <c r="J828" s="4" t="s">
        <v>607</v>
      </c>
      <c r="K828" s="4" t="s">
        <v>607</v>
      </c>
      <c r="L828" s="4" t="s">
        <v>607</v>
      </c>
      <c r="M828" s="4" t="s">
        <v>607</v>
      </c>
      <c r="N828" s="4" t="s">
        <v>607</v>
      </c>
      <c r="O828" s="4"/>
      <c r="P828" s="4"/>
      <c r="T828" s="4"/>
    </row>
    <row r="829">
      <c r="A829" s="4" t="s">
        <v>2849</v>
      </c>
      <c r="B829" s="4" t="s">
        <v>607</v>
      </c>
      <c r="C829" s="6" t="s">
        <v>607</v>
      </c>
      <c r="D829" s="6" t="s">
        <v>607</v>
      </c>
      <c r="E829" s="6" t="s">
        <v>607</v>
      </c>
      <c r="F829" s="6" t="s">
        <v>607</v>
      </c>
      <c r="G829" s="4" t="s">
        <v>607</v>
      </c>
      <c r="H829" s="4" t="s">
        <v>607</v>
      </c>
      <c r="I829" s="4" t="s">
        <v>607</v>
      </c>
      <c r="J829" s="4" t="s">
        <v>607</v>
      </c>
      <c r="K829" s="4" t="s">
        <v>607</v>
      </c>
      <c r="L829" s="4" t="s">
        <v>607</v>
      </c>
      <c r="M829" s="4" t="s">
        <v>607</v>
      </c>
      <c r="N829" s="4" t="s">
        <v>607</v>
      </c>
      <c r="O829" s="4"/>
      <c r="P829" s="4"/>
      <c r="T829" s="4"/>
    </row>
    <row r="830">
      <c r="A830" s="4" t="s">
        <v>2852</v>
      </c>
      <c r="B830" s="4" t="s">
        <v>607</v>
      </c>
      <c r="C830" s="6" t="s">
        <v>607</v>
      </c>
      <c r="D830" s="6" t="s">
        <v>607</v>
      </c>
      <c r="E830" s="6" t="s">
        <v>607</v>
      </c>
      <c r="F830" s="6" t="s">
        <v>607</v>
      </c>
      <c r="G830" s="4" t="s">
        <v>607</v>
      </c>
      <c r="H830" s="4" t="s">
        <v>607</v>
      </c>
      <c r="I830" s="4" t="s">
        <v>607</v>
      </c>
      <c r="J830" s="4" t="s">
        <v>607</v>
      </c>
      <c r="K830" s="4" t="s">
        <v>607</v>
      </c>
      <c r="L830" s="4" t="s">
        <v>607</v>
      </c>
      <c r="M830" s="4" t="s">
        <v>607</v>
      </c>
      <c r="N830" s="4" t="s">
        <v>607</v>
      </c>
      <c r="O830" s="4"/>
      <c r="P830" s="4"/>
      <c r="T830" s="4"/>
    </row>
    <row r="831">
      <c r="A831" s="4" t="s">
        <v>2853</v>
      </c>
      <c r="B831" s="4" t="s">
        <v>607</v>
      </c>
      <c r="C831" s="6" t="s">
        <v>607</v>
      </c>
      <c r="D831" s="6" t="s">
        <v>607</v>
      </c>
      <c r="E831" s="6" t="s">
        <v>607</v>
      </c>
      <c r="F831" s="6" t="s">
        <v>607</v>
      </c>
      <c r="G831" s="4" t="s">
        <v>607</v>
      </c>
      <c r="H831" s="4" t="s">
        <v>607</v>
      </c>
      <c r="I831" s="4" t="s">
        <v>607</v>
      </c>
      <c r="J831" s="4" t="s">
        <v>607</v>
      </c>
      <c r="K831" s="4" t="s">
        <v>607</v>
      </c>
      <c r="L831" s="4" t="s">
        <v>607</v>
      </c>
      <c r="M831" s="4" t="s">
        <v>607</v>
      </c>
      <c r="N831" s="4" t="s">
        <v>607</v>
      </c>
      <c r="O831" s="4"/>
      <c r="P831" s="4"/>
      <c r="T831" s="4"/>
    </row>
    <row r="832">
      <c r="A832" s="4" t="s">
        <v>2857</v>
      </c>
      <c r="B832" s="4" t="s">
        <v>607</v>
      </c>
      <c r="C832" s="6" t="s">
        <v>607</v>
      </c>
      <c r="D832" s="6" t="s">
        <v>607</v>
      </c>
      <c r="E832" s="6" t="s">
        <v>607</v>
      </c>
      <c r="F832" s="6" t="s">
        <v>607</v>
      </c>
      <c r="G832" s="4" t="s">
        <v>607</v>
      </c>
      <c r="H832" s="4" t="s">
        <v>607</v>
      </c>
      <c r="I832" s="4" t="s">
        <v>607</v>
      </c>
      <c r="J832" s="4" t="s">
        <v>607</v>
      </c>
      <c r="K832" s="4" t="s">
        <v>607</v>
      </c>
      <c r="L832" s="4" t="s">
        <v>607</v>
      </c>
      <c r="M832" s="4" t="s">
        <v>607</v>
      </c>
      <c r="N832" s="4" t="s">
        <v>607</v>
      </c>
      <c r="O832" s="4"/>
      <c r="P832" s="4"/>
      <c r="T832" s="4"/>
    </row>
    <row r="833">
      <c r="A833" s="4" t="s">
        <v>2858</v>
      </c>
      <c r="B833" s="4" t="s">
        <v>607</v>
      </c>
      <c r="C833" s="6" t="s">
        <v>607</v>
      </c>
      <c r="D833" s="6" t="s">
        <v>607</v>
      </c>
      <c r="E833" s="6" t="s">
        <v>607</v>
      </c>
      <c r="F833" s="6" t="s">
        <v>607</v>
      </c>
      <c r="G833" s="4" t="s">
        <v>607</v>
      </c>
      <c r="H833" s="4" t="s">
        <v>607</v>
      </c>
      <c r="I833" s="4" t="s">
        <v>607</v>
      </c>
      <c r="J833" s="4" t="s">
        <v>607</v>
      </c>
      <c r="K833" s="4" t="s">
        <v>607</v>
      </c>
      <c r="L833" s="4" t="s">
        <v>607</v>
      </c>
      <c r="M833" s="4" t="s">
        <v>607</v>
      </c>
      <c r="N833" s="4" t="s">
        <v>607</v>
      </c>
      <c r="O833" s="4"/>
      <c r="P833" s="4"/>
      <c r="T833" s="4"/>
    </row>
    <row r="834">
      <c r="A834" s="4" t="s">
        <v>2859</v>
      </c>
      <c r="B834" s="4" t="s">
        <v>607</v>
      </c>
      <c r="C834" s="6" t="s">
        <v>607</v>
      </c>
      <c r="D834" s="6" t="s">
        <v>607</v>
      </c>
      <c r="E834" s="6" t="s">
        <v>607</v>
      </c>
      <c r="F834" s="6" t="s">
        <v>607</v>
      </c>
      <c r="G834" s="4" t="s">
        <v>607</v>
      </c>
      <c r="H834" s="4" t="s">
        <v>607</v>
      </c>
      <c r="I834" s="4" t="s">
        <v>607</v>
      </c>
      <c r="J834" s="4" t="s">
        <v>607</v>
      </c>
      <c r="K834" s="4" t="s">
        <v>607</v>
      </c>
      <c r="L834" s="4" t="s">
        <v>607</v>
      </c>
      <c r="M834" s="4" t="s">
        <v>607</v>
      </c>
      <c r="N834" s="4" t="s">
        <v>607</v>
      </c>
      <c r="O834" s="4"/>
      <c r="P834" s="4"/>
      <c r="T834" s="4"/>
    </row>
    <row r="835">
      <c r="A835" s="4" t="s">
        <v>2860</v>
      </c>
      <c r="B835" s="4" t="s">
        <v>607</v>
      </c>
      <c r="C835" s="6" t="s">
        <v>607</v>
      </c>
      <c r="D835" s="6" t="s">
        <v>607</v>
      </c>
      <c r="E835" s="6" t="s">
        <v>607</v>
      </c>
      <c r="F835" s="6" t="s">
        <v>607</v>
      </c>
      <c r="G835" s="4" t="s">
        <v>607</v>
      </c>
      <c r="H835" s="4" t="s">
        <v>607</v>
      </c>
      <c r="I835" s="4" t="s">
        <v>607</v>
      </c>
      <c r="J835" s="4" t="s">
        <v>607</v>
      </c>
      <c r="K835" s="4" t="s">
        <v>607</v>
      </c>
      <c r="L835" s="4" t="s">
        <v>607</v>
      </c>
      <c r="M835" s="4" t="s">
        <v>607</v>
      </c>
      <c r="N835" s="4" t="s">
        <v>607</v>
      </c>
      <c r="O835" s="4"/>
      <c r="P835" s="4"/>
      <c r="T835" s="4"/>
    </row>
    <row r="836">
      <c r="A836" s="4" t="s">
        <v>2861</v>
      </c>
      <c r="B836" s="4" t="s">
        <v>607</v>
      </c>
      <c r="C836" s="6" t="s">
        <v>607</v>
      </c>
      <c r="D836" s="6" t="s">
        <v>607</v>
      </c>
      <c r="E836" s="6" t="s">
        <v>607</v>
      </c>
      <c r="F836" s="6" t="s">
        <v>607</v>
      </c>
      <c r="G836" s="4" t="s">
        <v>607</v>
      </c>
      <c r="H836" s="4" t="s">
        <v>607</v>
      </c>
      <c r="I836" s="4" t="s">
        <v>607</v>
      </c>
      <c r="J836" s="4" t="s">
        <v>607</v>
      </c>
      <c r="K836" s="4" t="s">
        <v>607</v>
      </c>
      <c r="L836" s="4" t="s">
        <v>607</v>
      </c>
      <c r="M836" s="4" t="s">
        <v>607</v>
      </c>
      <c r="N836" s="4" t="s">
        <v>607</v>
      </c>
      <c r="O836" s="4"/>
      <c r="P836" s="4"/>
      <c r="T836" s="4"/>
    </row>
    <row r="837">
      <c r="A837" s="4" t="s">
        <v>2862</v>
      </c>
      <c r="B837" s="4" t="s">
        <v>607</v>
      </c>
      <c r="C837" s="6" t="s">
        <v>607</v>
      </c>
      <c r="D837" s="6" t="s">
        <v>607</v>
      </c>
      <c r="E837" s="6" t="s">
        <v>607</v>
      </c>
      <c r="F837" s="6" t="s">
        <v>607</v>
      </c>
      <c r="G837" s="4" t="s">
        <v>607</v>
      </c>
      <c r="H837" s="4" t="s">
        <v>607</v>
      </c>
      <c r="I837" s="4" t="s">
        <v>607</v>
      </c>
      <c r="J837" s="4" t="s">
        <v>607</v>
      </c>
      <c r="K837" s="4" t="s">
        <v>607</v>
      </c>
      <c r="L837" s="4" t="s">
        <v>607</v>
      </c>
      <c r="M837" s="4" t="s">
        <v>607</v>
      </c>
      <c r="N837" s="4" t="s">
        <v>607</v>
      </c>
      <c r="O837" s="4"/>
      <c r="P837" s="4"/>
      <c r="T837" s="4"/>
    </row>
    <row r="838">
      <c r="A838" s="4" t="s">
        <v>2863</v>
      </c>
      <c r="B838" s="4" t="s">
        <v>607</v>
      </c>
      <c r="C838" s="6" t="s">
        <v>607</v>
      </c>
      <c r="D838" s="6" t="s">
        <v>607</v>
      </c>
      <c r="E838" s="6" t="s">
        <v>607</v>
      </c>
      <c r="F838" s="6" t="s">
        <v>607</v>
      </c>
      <c r="G838" s="4" t="s">
        <v>607</v>
      </c>
      <c r="H838" s="4" t="s">
        <v>607</v>
      </c>
      <c r="I838" s="4" t="s">
        <v>607</v>
      </c>
      <c r="J838" s="4" t="s">
        <v>607</v>
      </c>
      <c r="K838" s="4" t="s">
        <v>607</v>
      </c>
      <c r="L838" s="4" t="s">
        <v>607</v>
      </c>
      <c r="M838" s="4" t="s">
        <v>607</v>
      </c>
      <c r="N838" s="4" t="s">
        <v>607</v>
      </c>
      <c r="O838" s="4"/>
      <c r="P838" s="4"/>
      <c r="T838" s="4"/>
    </row>
    <row r="839">
      <c r="A839" s="4" t="s">
        <v>2866</v>
      </c>
      <c r="B839" s="4" t="s">
        <v>607</v>
      </c>
      <c r="C839" s="6" t="s">
        <v>607</v>
      </c>
      <c r="D839" s="6" t="s">
        <v>607</v>
      </c>
      <c r="E839" s="6" t="s">
        <v>607</v>
      </c>
      <c r="F839" s="6" t="s">
        <v>607</v>
      </c>
      <c r="G839" s="4" t="s">
        <v>607</v>
      </c>
      <c r="H839" s="4" t="s">
        <v>607</v>
      </c>
      <c r="I839" s="4" t="s">
        <v>607</v>
      </c>
      <c r="J839" s="4" t="s">
        <v>607</v>
      </c>
      <c r="K839" s="4" t="s">
        <v>607</v>
      </c>
      <c r="L839" s="4" t="s">
        <v>607</v>
      </c>
      <c r="M839" s="4" t="s">
        <v>607</v>
      </c>
      <c r="N839" s="4" t="s">
        <v>607</v>
      </c>
      <c r="O839" s="4"/>
      <c r="P839" s="4"/>
      <c r="T839" s="4"/>
    </row>
    <row r="840">
      <c r="A840" s="4" t="s">
        <v>2867</v>
      </c>
      <c r="B840" s="4" t="s">
        <v>607</v>
      </c>
      <c r="C840" s="6" t="s">
        <v>607</v>
      </c>
      <c r="D840" s="6" t="s">
        <v>607</v>
      </c>
      <c r="E840" s="6" t="s">
        <v>607</v>
      </c>
      <c r="F840" s="6" t="s">
        <v>607</v>
      </c>
      <c r="G840" s="4" t="s">
        <v>607</v>
      </c>
      <c r="H840" s="4" t="s">
        <v>607</v>
      </c>
      <c r="I840" s="4" t="s">
        <v>607</v>
      </c>
      <c r="J840" s="4" t="s">
        <v>607</v>
      </c>
      <c r="K840" s="4" t="s">
        <v>607</v>
      </c>
      <c r="L840" s="4" t="s">
        <v>607</v>
      </c>
      <c r="M840" s="4" t="s">
        <v>607</v>
      </c>
      <c r="N840" s="4" t="s">
        <v>607</v>
      </c>
      <c r="O840" s="4"/>
      <c r="P840" s="4"/>
      <c r="T840" s="4"/>
    </row>
    <row r="841">
      <c r="A841" s="4" t="s">
        <v>2868</v>
      </c>
      <c r="B841" s="4" t="s">
        <v>607</v>
      </c>
      <c r="C841" s="6" t="s">
        <v>607</v>
      </c>
      <c r="D841" s="6" t="s">
        <v>607</v>
      </c>
      <c r="E841" s="6" t="s">
        <v>607</v>
      </c>
      <c r="F841" s="6" t="s">
        <v>607</v>
      </c>
      <c r="G841" s="4" t="s">
        <v>607</v>
      </c>
      <c r="H841" s="4" t="s">
        <v>607</v>
      </c>
      <c r="I841" s="4" t="s">
        <v>607</v>
      </c>
      <c r="J841" s="4" t="s">
        <v>607</v>
      </c>
      <c r="K841" s="4" t="s">
        <v>607</v>
      </c>
      <c r="L841" s="4" t="s">
        <v>607</v>
      </c>
      <c r="M841" s="4" t="s">
        <v>607</v>
      </c>
      <c r="N841" s="4" t="s">
        <v>607</v>
      </c>
      <c r="O841" s="4"/>
      <c r="P841" s="4"/>
      <c r="T841" s="4"/>
    </row>
    <row r="842">
      <c r="A842" s="4" t="s">
        <v>2871</v>
      </c>
      <c r="B842" s="4" t="s">
        <v>607</v>
      </c>
      <c r="C842" s="6" t="s">
        <v>607</v>
      </c>
      <c r="D842" s="6" t="s">
        <v>607</v>
      </c>
      <c r="E842" s="6" t="s">
        <v>607</v>
      </c>
      <c r="F842" s="6" t="s">
        <v>607</v>
      </c>
      <c r="G842" s="4" t="s">
        <v>607</v>
      </c>
      <c r="H842" s="4" t="s">
        <v>607</v>
      </c>
      <c r="I842" s="4" t="s">
        <v>607</v>
      </c>
      <c r="J842" s="4" t="s">
        <v>607</v>
      </c>
      <c r="K842" s="4" t="s">
        <v>607</v>
      </c>
      <c r="L842" s="4" t="s">
        <v>607</v>
      </c>
      <c r="M842" s="4" t="s">
        <v>607</v>
      </c>
      <c r="N842" s="4" t="s">
        <v>607</v>
      </c>
      <c r="O842" s="4"/>
      <c r="P842" s="4"/>
      <c r="T842" s="4"/>
    </row>
    <row r="843">
      <c r="A843" s="4" t="s">
        <v>2872</v>
      </c>
      <c r="B843" s="4" t="s">
        <v>607</v>
      </c>
      <c r="C843" s="6" t="s">
        <v>607</v>
      </c>
      <c r="D843" s="6" t="s">
        <v>607</v>
      </c>
      <c r="E843" s="6" t="s">
        <v>607</v>
      </c>
      <c r="F843" s="6" t="s">
        <v>607</v>
      </c>
      <c r="G843" s="4" t="s">
        <v>607</v>
      </c>
      <c r="H843" s="4" t="s">
        <v>607</v>
      </c>
      <c r="I843" s="4" t="s">
        <v>607</v>
      </c>
      <c r="J843" s="4" t="s">
        <v>607</v>
      </c>
      <c r="K843" s="4" t="s">
        <v>607</v>
      </c>
      <c r="L843" s="4" t="s">
        <v>607</v>
      </c>
      <c r="M843" s="4" t="s">
        <v>607</v>
      </c>
      <c r="N843" s="4" t="s">
        <v>607</v>
      </c>
      <c r="O843" s="4"/>
      <c r="P843" s="4"/>
      <c r="T843" s="4"/>
    </row>
    <row r="844">
      <c r="A844" s="4" t="s">
        <v>2873</v>
      </c>
      <c r="B844" s="4" t="s">
        <v>607</v>
      </c>
      <c r="C844" s="6" t="s">
        <v>607</v>
      </c>
      <c r="D844" s="6" t="s">
        <v>607</v>
      </c>
      <c r="E844" s="6" t="s">
        <v>607</v>
      </c>
      <c r="F844" s="6" t="s">
        <v>607</v>
      </c>
      <c r="G844" s="4" t="s">
        <v>607</v>
      </c>
      <c r="H844" s="4" t="s">
        <v>607</v>
      </c>
      <c r="I844" s="4" t="s">
        <v>607</v>
      </c>
      <c r="J844" s="4" t="s">
        <v>607</v>
      </c>
      <c r="K844" s="4" t="s">
        <v>607</v>
      </c>
      <c r="L844" s="4" t="s">
        <v>607</v>
      </c>
      <c r="M844" s="4" t="s">
        <v>607</v>
      </c>
      <c r="N844" s="4" t="s">
        <v>607</v>
      </c>
      <c r="O844" s="4"/>
      <c r="P844" s="4"/>
      <c r="T844" s="4"/>
    </row>
    <row r="845">
      <c r="A845" s="4" t="s">
        <v>2876</v>
      </c>
      <c r="B845" s="4" t="s">
        <v>607</v>
      </c>
      <c r="C845" s="6" t="s">
        <v>607</v>
      </c>
      <c r="D845" s="6" t="s">
        <v>607</v>
      </c>
      <c r="E845" s="6" t="s">
        <v>607</v>
      </c>
      <c r="F845" s="6" t="s">
        <v>607</v>
      </c>
      <c r="G845" s="4" t="s">
        <v>607</v>
      </c>
      <c r="H845" s="4" t="s">
        <v>607</v>
      </c>
      <c r="I845" s="4" t="s">
        <v>607</v>
      </c>
      <c r="J845" s="4" t="s">
        <v>607</v>
      </c>
      <c r="K845" s="4" t="s">
        <v>607</v>
      </c>
      <c r="L845" s="4" t="s">
        <v>607</v>
      </c>
      <c r="M845" s="4" t="s">
        <v>607</v>
      </c>
      <c r="N845" s="4" t="s">
        <v>607</v>
      </c>
      <c r="O845" s="4"/>
      <c r="P845" s="4"/>
      <c r="T845" s="4"/>
    </row>
    <row r="846">
      <c r="A846" s="4" t="s">
        <v>2877</v>
      </c>
      <c r="B846" s="4" t="s">
        <v>607</v>
      </c>
      <c r="C846" s="6" t="s">
        <v>607</v>
      </c>
      <c r="D846" s="6" t="s">
        <v>607</v>
      </c>
      <c r="E846" s="6" t="s">
        <v>607</v>
      </c>
      <c r="F846" s="6" t="s">
        <v>607</v>
      </c>
      <c r="G846" s="4" t="s">
        <v>607</v>
      </c>
      <c r="H846" s="4" t="s">
        <v>607</v>
      </c>
      <c r="I846" s="4" t="s">
        <v>607</v>
      </c>
      <c r="J846" s="4" t="s">
        <v>607</v>
      </c>
      <c r="K846" s="4" t="s">
        <v>607</v>
      </c>
      <c r="L846" s="4" t="s">
        <v>607</v>
      </c>
      <c r="M846" s="4" t="s">
        <v>607</v>
      </c>
      <c r="N846" s="4" t="s">
        <v>607</v>
      </c>
      <c r="O846" s="4"/>
      <c r="P846" s="4"/>
      <c r="T846" s="4"/>
    </row>
    <row r="847">
      <c r="A847" s="4" t="s">
        <v>2881</v>
      </c>
      <c r="B847" s="4" t="s">
        <v>607</v>
      </c>
      <c r="C847" s="6" t="s">
        <v>607</v>
      </c>
      <c r="D847" s="6" t="s">
        <v>607</v>
      </c>
      <c r="E847" s="6" t="s">
        <v>607</v>
      </c>
      <c r="F847" s="6" t="s">
        <v>607</v>
      </c>
      <c r="G847" s="4" t="s">
        <v>607</v>
      </c>
      <c r="H847" s="4" t="s">
        <v>607</v>
      </c>
      <c r="I847" s="4" t="s">
        <v>607</v>
      </c>
      <c r="J847" s="4" t="s">
        <v>607</v>
      </c>
      <c r="K847" s="4" t="s">
        <v>607</v>
      </c>
      <c r="L847" s="4" t="s">
        <v>607</v>
      </c>
      <c r="M847" s="4" t="s">
        <v>607</v>
      </c>
      <c r="N847" s="4" t="s">
        <v>607</v>
      </c>
      <c r="O847" s="4"/>
      <c r="P847" s="4"/>
      <c r="T847" s="4"/>
    </row>
    <row r="848">
      <c r="A848" s="4" t="s">
        <v>2882</v>
      </c>
      <c r="B848" s="4" t="s">
        <v>607</v>
      </c>
      <c r="C848" s="6" t="s">
        <v>607</v>
      </c>
      <c r="D848" s="6" t="s">
        <v>607</v>
      </c>
      <c r="E848" s="6" t="s">
        <v>607</v>
      </c>
      <c r="F848" s="6" t="s">
        <v>607</v>
      </c>
      <c r="G848" s="4" t="s">
        <v>607</v>
      </c>
      <c r="H848" s="4" t="s">
        <v>607</v>
      </c>
      <c r="I848" s="4" t="s">
        <v>607</v>
      </c>
      <c r="J848" s="4" t="s">
        <v>607</v>
      </c>
      <c r="K848" s="4" t="s">
        <v>607</v>
      </c>
      <c r="L848" s="4" t="s">
        <v>607</v>
      </c>
      <c r="M848" s="4" t="s">
        <v>607</v>
      </c>
      <c r="N848" s="4" t="s">
        <v>607</v>
      </c>
      <c r="O848" s="4"/>
      <c r="P848" s="4"/>
      <c r="T848" s="4"/>
    </row>
    <row r="849">
      <c r="A849" s="4" t="s">
        <v>2883</v>
      </c>
      <c r="B849" s="4" t="s">
        <v>607</v>
      </c>
      <c r="C849" s="6" t="s">
        <v>607</v>
      </c>
      <c r="D849" s="6" t="s">
        <v>607</v>
      </c>
      <c r="E849" s="6" t="s">
        <v>607</v>
      </c>
      <c r="F849" s="6" t="s">
        <v>607</v>
      </c>
      <c r="G849" s="4" t="s">
        <v>607</v>
      </c>
      <c r="H849" s="4" t="s">
        <v>607</v>
      </c>
      <c r="I849" s="4" t="s">
        <v>607</v>
      </c>
      <c r="J849" s="4" t="s">
        <v>607</v>
      </c>
      <c r="K849" s="4" t="s">
        <v>607</v>
      </c>
      <c r="L849" s="4" t="s">
        <v>607</v>
      </c>
      <c r="M849" s="4" t="s">
        <v>607</v>
      </c>
      <c r="N849" s="4" t="s">
        <v>607</v>
      </c>
      <c r="O849" s="4"/>
      <c r="P849" s="4"/>
      <c r="T849" s="4"/>
    </row>
    <row r="850">
      <c r="A850" s="4" t="s">
        <v>2884</v>
      </c>
      <c r="B850" s="4" t="s">
        <v>607</v>
      </c>
      <c r="C850" s="6" t="s">
        <v>607</v>
      </c>
      <c r="D850" s="6" t="s">
        <v>607</v>
      </c>
      <c r="E850" s="6" t="s">
        <v>607</v>
      </c>
      <c r="F850" s="6" t="s">
        <v>607</v>
      </c>
      <c r="G850" s="4" t="s">
        <v>607</v>
      </c>
      <c r="H850" s="4" t="s">
        <v>607</v>
      </c>
      <c r="I850" s="4" t="s">
        <v>607</v>
      </c>
      <c r="J850" s="4" t="s">
        <v>607</v>
      </c>
      <c r="K850" s="4" t="s">
        <v>607</v>
      </c>
      <c r="L850" s="4" t="s">
        <v>607</v>
      </c>
      <c r="M850" s="4" t="s">
        <v>607</v>
      </c>
      <c r="N850" s="4" t="s">
        <v>607</v>
      </c>
      <c r="O850" s="4"/>
      <c r="P850" s="4"/>
      <c r="T850" s="4"/>
    </row>
    <row r="851">
      <c r="A851" s="4" t="s">
        <v>2888</v>
      </c>
      <c r="B851" s="4" t="s">
        <v>607</v>
      </c>
      <c r="C851" s="6" t="s">
        <v>607</v>
      </c>
      <c r="D851" s="6" t="s">
        <v>607</v>
      </c>
      <c r="E851" s="6" t="s">
        <v>607</v>
      </c>
      <c r="F851" s="6" t="s">
        <v>607</v>
      </c>
      <c r="G851" s="4" t="s">
        <v>607</v>
      </c>
      <c r="H851" s="4" t="s">
        <v>607</v>
      </c>
      <c r="I851" s="4" t="s">
        <v>607</v>
      </c>
      <c r="J851" s="4" t="s">
        <v>607</v>
      </c>
      <c r="K851" s="4" t="s">
        <v>607</v>
      </c>
      <c r="L851" s="4" t="s">
        <v>607</v>
      </c>
      <c r="M851" s="4" t="s">
        <v>607</v>
      </c>
      <c r="N851" s="4" t="s">
        <v>607</v>
      </c>
      <c r="O851" s="4"/>
      <c r="P851" s="4"/>
      <c r="T851" s="4"/>
    </row>
    <row r="852">
      <c r="A852" s="4" t="s">
        <v>2889</v>
      </c>
      <c r="B852" s="4" t="s">
        <v>607</v>
      </c>
      <c r="C852" s="6" t="s">
        <v>607</v>
      </c>
      <c r="D852" s="6" t="s">
        <v>607</v>
      </c>
      <c r="E852" s="6" t="s">
        <v>607</v>
      </c>
      <c r="F852" s="6" t="s">
        <v>607</v>
      </c>
      <c r="G852" s="4" t="s">
        <v>607</v>
      </c>
      <c r="H852" s="4" t="s">
        <v>607</v>
      </c>
      <c r="I852" s="4" t="s">
        <v>607</v>
      </c>
      <c r="J852" s="4" t="s">
        <v>607</v>
      </c>
      <c r="K852" s="4" t="s">
        <v>607</v>
      </c>
      <c r="L852" s="4" t="s">
        <v>607</v>
      </c>
      <c r="M852" s="4" t="s">
        <v>607</v>
      </c>
      <c r="N852" s="4" t="s">
        <v>607</v>
      </c>
      <c r="O852" s="4"/>
      <c r="P852" s="4"/>
      <c r="T852" s="4"/>
    </row>
    <row r="853">
      <c r="A853" s="4" t="s">
        <v>2890</v>
      </c>
      <c r="B853" s="4" t="s">
        <v>607</v>
      </c>
      <c r="C853" s="6" t="s">
        <v>607</v>
      </c>
      <c r="D853" s="6" t="s">
        <v>607</v>
      </c>
      <c r="E853" s="6" t="s">
        <v>607</v>
      </c>
      <c r="F853" s="6" t="s">
        <v>607</v>
      </c>
      <c r="G853" s="4" t="s">
        <v>607</v>
      </c>
      <c r="H853" s="4" t="s">
        <v>607</v>
      </c>
      <c r="I853" s="4" t="s">
        <v>607</v>
      </c>
      <c r="J853" s="4" t="s">
        <v>607</v>
      </c>
      <c r="K853" s="4" t="s">
        <v>607</v>
      </c>
      <c r="L853" s="4" t="s">
        <v>607</v>
      </c>
      <c r="M853" s="4" t="s">
        <v>607</v>
      </c>
      <c r="N853" s="4" t="s">
        <v>607</v>
      </c>
      <c r="O853" s="4"/>
      <c r="P853" s="4"/>
      <c r="T853" s="4"/>
    </row>
    <row r="854">
      <c r="A854" s="4" t="s">
        <v>2891</v>
      </c>
      <c r="B854" s="4" t="s">
        <v>607</v>
      </c>
      <c r="C854" s="6" t="s">
        <v>607</v>
      </c>
      <c r="D854" s="6" t="s">
        <v>607</v>
      </c>
      <c r="E854" s="6" t="s">
        <v>607</v>
      </c>
      <c r="F854" s="6" t="s">
        <v>607</v>
      </c>
      <c r="G854" s="4" t="s">
        <v>607</v>
      </c>
      <c r="H854" s="4" t="s">
        <v>607</v>
      </c>
      <c r="I854" s="4" t="s">
        <v>607</v>
      </c>
      <c r="J854" s="4" t="s">
        <v>607</v>
      </c>
      <c r="K854" s="4" t="s">
        <v>607</v>
      </c>
      <c r="L854" s="4" t="s">
        <v>607</v>
      </c>
      <c r="M854" s="4" t="s">
        <v>607</v>
      </c>
      <c r="N854" s="4" t="s">
        <v>607</v>
      </c>
      <c r="O854" s="4"/>
      <c r="P854" s="4"/>
      <c r="T854" s="4"/>
    </row>
    <row r="855">
      <c r="A855" s="4" t="s">
        <v>2895</v>
      </c>
      <c r="B855" s="4" t="s">
        <v>607</v>
      </c>
      <c r="C855" s="6" t="s">
        <v>607</v>
      </c>
      <c r="D855" s="6" t="s">
        <v>607</v>
      </c>
      <c r="E855" s="6" t="s">
        <v>607</v>
      </c>
      <c r="F855" s="6" t="s">
        <v>607</v>
      </c>
      <c r="G855" s="4" t="s">
        <v>607</v>
      </c>
      <c r="H855" s="4" t="s">
        <v>607</v>
      </c>
      <c r="I855" s="4" t="s">
        <v>607</v>
      </c>
      <c r="J855" s="4" t="s">
        <v>607</v>
      </c>
      <c r="K855" s="4" t="s">
        <v>607</v>
      </c>
      <c r="L855" s="4" t="s">
        <v>607</v>
      </c>
      <c r="M855" s="4" t="s">
        <v>607</v>
      </c>
      <c r="N855" s="4" t="s">
        <v>607</v>
      </c>
      <c r="O855" s="4"/>
      <c r="P855" s="4"/>
      <c r="T855" s="4"/>
    </row>
    <row r="856">
      <c r="A856" s="4" t="s">
        <v>2896</v>
      </c>
      <c r="B856" s="4" t="s">
        <v>607</v>
      </c>
      <c r="C856" s="6" t="s">
        <v>607</v>
      </c>
      <c r="D856" s="6" t="s">
        <v>607</v>
      </c>
      <c r="E856" s="6" t="s">
        <v>607</v>
      </c>
      <c r="F856" s="6" t="s">
        <v>607</v>
      </c>
      <c r="G856" s="4" t="s">
        <v>607</v>
      </c>
      <c r="H856" s="4" t="s">
        <v>607</v>
      </c>
      <c r="I856" s="4" t="s">
        <v>607</v>
      </c>
      <c r="J856" s="4" t="s">
        <v>607</v>
      </c>
      <c r="K856" s="4" t="s">
        <v>607</v>
      </c>
      <c r="L856" s="4" t="s">
        <v>607</v>
      </c>
      <c r="M856" s="4" t="s">
        <v>607</v>
      </c>
      <c r="N856" s="4" t="s">
        <v>607</v>
      </c>
      <c r="O856" s="4"/>
      <c r="P856" s="4"/>
      <c r="T856" s="4"/>
    </row>
    <row r="857">
      <c r="A857" s="4" t="s">
        <v>2897</v>
      </c>
      <c r="B857" s="4" t="s">
        <v>607</v>
      </c>
      <c r="C857" s="6" t="s">
        <v>607</v>
      </c>
      <c r="D857" s="6" t="s">
        <v>607</v>
      </c>
      <c r="E857" s="6" t="s">
        <v>607</v>
      </c>
      <c r="F857" s="6" t="s">
        <v>607</v>
      </c>
      <c r="G857" s="4" t="s">
        <v>607</v>
      </c>
      <c r="H857" s="4" t="s">
        <v>607</v>
      </c>
      <c r="I857" s="4" t="s">
        <v>607</v>
      </c>
      <c r="J857" s="4" t="s">
        <v>607</v>
      </c>
      <c r="K857" s="4" t="s">
        <v>607</v>
      </c>
      <c r="L857" s="4" t="s">
        <v>607</v>
      </c>
      <c r="M857" s="4" t="s">
        <v>607</v>
      </c>
      <c r="N857" s="4" t="s">
        <v>607</v>
      </c>
      <c r="O857" s="4"/>
      <c r="P857" s="4"/>
      <c r="T857" s="4"/>
    </row>
    <row r="858">
      <c r="A858" s="4" t="s">
        <v>2900</v>
      </c>
      <c r="B858" s="4" t="s">
        <v>607</v>
      </c>
      <c r="C858" s="6" t="s">
        <v>607</v>
      </c>
      <c r="D858" s="6" t="s">
        <v>607</v>
      </c>
      <c r="E858" s="6" t="s">
        <v>607</v>
      </c>
      <c r="F858" s="6" t="s">
        <v>607</v>
      </c>
      <c r="G858" s="4" t="s">
        <v>607</v>
      </c>
      <c r="H858" s="4" t="s">
        <v>607</v>
      </c>
      <c r="I858" s="4" t="s">
        <v>607</v>
      </c>
      <c r="J858" s="4" t="s">
        <v>607</v>
      </c>
      <c r="K858" s="4" t="s">
        <v>607</v>
      </c>
      <c r="L858" s="4" t="s">
        <v>607</v>
      </c>
      <c r="M858" s="4" t="s">
        <v>607</v>
      </c>
      <c r="N858" s="4" t="s">
        <v>607</v>
      </c>
      <c r="O858" s="4"/>
      <c r="P858" s="4"/>
      <c r="T858" s="4"/>
    </row>
    <row r="859">
      <c r="A859" s="4" t="s">
        <v>2901</v>
      </c>
      <c r="B859" s="4" t="s">
        <v>607</v>
      </c>
      <c r="C859" s="6" t="s">
        <v>607</v>
      </c>
      <c r="D859" s="6" t="s">
        <v>607</v>
      </c>
      <c r="E859" s="6" t="s">
        <v>607</v>
      </c>
      <c r="F859" s="6" t="s">
        <v>607</v>
      </c>
      <c r="G859" s="4" t="s">
        <v>607</v>
      </c>
      <c r="H859" s="4" t="s">
        <v>607</v>
      </c>
      <c r="I859" s="4" t="s">
        <v>607</v>
      </c>
      <c r="J859" s="4" t="s">
        <v>607</v>
      </c>
      <c r="K859" s="4" t="s">
        <v>607</v>
      </c>
      <c r="L859" s="4" t="s">
        <v>607</v>
      </c>
      <c r="M859" s="4" t="s">
        <v>607</v>
      </c>
      <c r="N859" s="4" t="s">
        <v>607</v>
      </c>
      <c r="O859" s="4"/>
      <c r="P859" s="4"/>
      <c r="T859" s="4"/>
    </row>
    <row r="860">
      <c r="A860" s="4" t="s">
        <v>2902</v>
      </c>
      <c r="B860" s="4" t="s">
        <v>607</v>
      </c>
      <c r="C860" s="6" t="s">
        <v>607</v>
      </c>
      <c r="D860" s="6" t="s">
        <v>607</v>
      </c>
      <c r="E860" s="6" t="s">
        <v>607</v>
      </c>
      <c r="F860" s="6" t="s">
        <v>607</v>
      </c>
      <c r="G860" s="4" t="s">
        <v>607</v>
      </c>
      <c r="H860" s="4" t="s">
        <v>607</v>
      </c>
      <c r="I860" s="4" t="s">
        <v>607</v>
      </c>
      <c r="J860" s="4" t="s">
        <v>607</v>
      </c>
      <c r="K860" s="4" t="s">
        <v>607</v>
      </c>
      <c r="L860" s="4" t="s">
        <v>607</v>
      </c>
      <c r="M860" s="4" t="s">
        <v>607</v>
      </c>
      <c r="N860" s="4" t="s">
        <v>607</v>
      </c>
      <c r="O860" s="4"/>
      <c r="P860" s="4"/>
      <c r="T860" s="4"/>
    </row>
    <row r="861">
      <c r="A861" s="4" t="s">
        <v>2906</v>
      </c>
      <c r="B861" s="4" t="s">
        <v>607</v>
      </c>
      <c r="C861" s="6" t="s">
        <v>607</v>
      </c>
      <c r="D861" s="6" t="s">
        <v>607</v>
      </c>
      <c r="E861" s="6" t="s">
        <v>607</v>
      </c>
      <c r="F861" s="6" t="s">
        <v>607</v>
      </c>
      <c r="G861" s="4" t="s">
        <v>607</v>
      </c>
      <c r="H861" s="4" t="s">
        <v>607</v>
      </c>
      <c r="I861" s="4" t="s">
        <v>607</v>
      </c>
      <c r="J861" s="4" t="s">
        <v>607</v>
      </c>
      <c r="K861" s="4" t="s">
        <v>607</v>
      </c>
      <c r="L861" s="4" t="s">
        <v>607</v>
      </c>
      <c r="M861" s="4" t="s">
        <v>607</v>
      </c>
      <c r="N861" s="4" t="s">
        <v>607</v>
      </c>
      <c r="O861" s="4"/>
      <c r="P861" s="4"/>
      <c r="T861" s="4"/>
    </row>
    <row r="862">
      <c r="A862" s="4" t="s">
        <v>2907</v>
      </c>
      <c r="B862" s="4" t="s">
        <v>607</v>
      </c>
      <c r="C862" s="6" t="s">
        <v>607</v>
      </c>
      <c r="D862" s="6" t="s">
        <v>607</v>
      </c>
      <c r="E862" s="6" t="s">
        <v>607</v>
      </c>
      <c r="F862" s="6" t="s">
        <v>607</v>
      </c>
      <c r="G862" s="4" t="s">
        <v>607</v>
      </c>
      <c r="H862" s="4" t="s">
        <v>607</v>
      </c>
      <c r="I862" s="4" t="s">
        <v>607</v>
      </c>
      <c r="J862" s="4" t="s">
        <v>607</v>
      </c>
      <c r="K862" s="4" t="s">
        <v>607</v>
      </c>
      <c r="L862" s="4" t="s">
        <v>607</v>
      </c>
      <c r="M862" s="4" t="s">
        <v>607</v>
      </c>
      <c r="N862" s="4" t="s">
        <v>607</v>
      </c>
      <c r="O862" s="4"/>
      <c r="P862" s="4"/>
      <c r="T862" s="4"/>
    </row>
    <row r="863">
      <c r="A863" s="4" t="s">
        <v>2908</v>
      </c>
      <c r="B863" s="4" t="s">
        <v>607</v>
      </c>
      <c r="C863" s="6" t="s">
        <v>607</v>
      </c>
      <c r="D863" s="6" t="s">
        <v>607</v>
      </c>
      <c r="E863" s="6" t="s">
        <v>607</v>
      </c>
      <c r="F863" s="6" t="s">
        <v>607</v>
      </c>
      <c r="G863" s="4" t="s">
        <v>607</v>
      </c>
      <c r="H863" s="4" t="s">
        <v>607</v>
      </c>
      <c r="I863" s="4" t="s">
        <v>607</v>
      </c>
      <c r="J863" s="4" t="s">
        <v>607</v>
      </c>
      <c r="K863" s="4" t="s">
        <v>607</v>
      </c>
      <c r="L863" s="4" t="s">
        <v>607</v>
      </c>
      <c r="M863" s="4" t="s">
        <v>607</v>
      </c>
      <c r="N863" s="4" t="s">
        <v>607</v>
      </c>
      <c r="O863" s="4"/>
      <c r="P863" s="4"/>
      <c r="T863" s="4"/>
    </row>
    <row r="864">
      <c r="A864" s="4" t="s">
        <v>2912</v>
      </c>
      <c r="B864" s="4" t="s">
        <v>607</v>
      </c>
      <c r="C864" s="6" t="s">
        <v>607</v>
      </c>
      <c r="D864" s="6" t="s">
        <v>607</v>
      </c>
      <c r="E864" s="6" t="s">
        <v>607</v>
      </c>
      <c r="F864" s="6" t="s">
        <v>607</v>
      </c>
      <c r="G864" s="4" t="s">
        <v>607</v>
      </c>
      <c r="H864" s="4" t="s">
        <v>607</v>
      </c>
      <c r="I864" s="4" t="s">
        <v>607</v>
      </c>
      <c r="J864" s="4" t="s">
        <v>607</v>
      </c>
      <c r="K864" s="4" t="s">
        <v>607</v>
      </c>
      <c r="L864" s="4" t="s">
        <v>607</v>
      </c>
      <c r="M864" s="4" t="s">
        <v>607</v>
      </c>
      <c r="N864" s="4" t="s">
        <v>607</v>
      </c>
      <c r="O864" s="4"/>
      <c r="P864" s="4"/>
      <c r="T864" s="4"/>
    </row>
    <row r="865">
      <c r="A865" s="4" t="s">
        <v>2913</v>
      </c>
      <c r="B865" s="4" t="s">
        <v>607</v>
      </c>
      <c r="C865" s="6" t="s">
        <v>607</v>
      </c>
      <c r="D865" s="6" t="s">
        <v>607</v>
      </c>
      <c r="E865" s="6" t="s">
        <v>607</v>
      </c>
      <c r="F865" s="6" t="s">
        <v>607</v>
      </c>
      <c r="G865" s="4" t="s">
        <v>607</v>
      </c>
      <c r="H865" s="4" t="s">
        <v>607</v>
      </c>
      <c r="I865" s="4" t="s">
        <v>607</v>
      </c>
      <c r="J865" s="4" t="s">
        <v>607</v>
      </c>
      <c r="K865" s="4" t="s">
        <v>607</v>
      </c>
      <c r="L865" s="4" t="s">
        <v>607</v>
      </c>
      <c r="M865" s="4" t="s">
        <v>607</v>
      </c>
      <c r="N865" s="4" t="s">
        <v>607</v>
      </c>
      <c r="O865" s="4"/>
      <c r="P865" s="4"/>
      <c r="T865" s="4"/>
    </row>
    <row r="866">
      <c r="A866" s="4" t="s">
        <v>2917</v>
      </c>
      <c r="B866" s="4" t="s">
        <v>607</v>
      </c>
      <c r="C866" s="6" t="s">
        <v>607</v>
      </c>
      <c r="D866" s="6" t="s">
        <v>607</v>
      </c>
      <c r="E866" s="6" t="s">
        <v>607</v>
      </c>
      <c r="F866" s="6" t="s">
        <v>607</v>
      </c>
      <c r="G866" s="4" t="s">
        <v>607</v>
      </c>
      <c r="H866" s="4" t="s">
        <v>607</v>
      </c>
      <c r="I866" s="4" t="s">
        <v>607</v>
      </c>
      <c r="J866" s="4" t="s">
        <v>607</v>
      </c>
      <c r="K866" s="4" t="s">
        <v>607</v>
      </c>
      <c r="L866" s="4" t="s">
        <v>607</v>
      </c>
      <c r="M866" s="4" t="s">
        <v>607</v>
      </c>
      <c r="N866" s="4" t="s">
        <v>607</v>
      </c>
      <c r="O866" s="4"/>
      <c r="P866" s="4"/>
      <c r="T866" s="4"/>
    </row>
    <row r="867">
      <c r="A867" s="4" t="s">
        <v>2918</v>
      </c>
      <c r="B867" s="4" t="s">
        <v>607</v>
      </c>
      <c r="C867" s="6" t="s">
        <v>607</v>
      </c>
      <c r="D867" s="6" t="s">
        <v>607</v>
      </c>
      <c r="E867" s="6" t="s">
        <v>607</v>
      </c>
      <c r="F867" s="6" t="s">
        <v>607</v>
      </c>
      <c r="G867" s="4" t="s">
        <v>607</v>
      </c>
      <c r="H867" s="4" t="s">
        <v>607</v>
      </c>
      <c r="I867" s="4" t="s">
        <v>607</v>
      </c>
      <c r="J867" s="4" t="s">
        <v>607</v>
      </c>
      <c r="K867" s="4" t="s">
        <v>607</v>
      </c>
      <c r="L867" s="4" t="s">
        <v>607</v>
      </c>
      <c r="M867" s="4" t="s">
        <v>607</v>
      </c>
      <c r="N867" s="4" t="s">
        <v>607</v>
      </c>
      <c r="O867" s="4"/>
      <c r="P867" s="4"/>
      <c r="T867" s="4"/>
    </row>
    <row r="868">
      <c r="A868" s="4" t="s">
        <v>2921</v>
      </c>
      <c r="B868" s="4" t="s">
        <v>607</v>
      </c>
      <c r="C868" s="6" t="s">
        <v>607</v>
      </c>
      <c r="D868" s="6" t="s">
        <v>607</v>
      </c>
      <c r="E868" s="6" t="s">
        <v>607</v>
      </c>
      <c r="F868" s="6" t="s">
        <v>607</v>
      </c>
      <c r="G868" s="4" t="s">
        <v>607</v>
      </c>
      <c r="H868" s="4" t="s">
        <v>607</v>
      </c>
      <c r="I868" s="4" t="s">
        <v>607</v>
      </c>
      <c r="J868" s="4" t="s">
        <v>607</v>
      </c>
      <c r="K868" s="4" t="s">
        <v>607</v>
      </c>
      <c r="L868" s="4" t="s">
        <v>607</v>
      </c>
      <c r="M868" s="4" t="s">
        <v>607</v>
      </c>
      <c r="N868" s="4" t="s">
        <v>607</v>
      </c>
      <c r="O868" s="4"/>
      <c r="P868" s="4"/>
      <c r="T868" s="4"/>
    </row>
    <row r="869">
      <c r="A869" s="4" t="s">
        <v>2922</v>
      </c>
      <c r="B869" s="4" t="s">
        <v>607</v>
      </c>
      <c r="C869" s="6" t="s">
        <v>607</v>
      </c>
      <c r="D869" s="6" t="s">
        <v>607</v>
      </c>
      <c r="E869" s="6" t="s">
        <v>607</v>
      </c>
      <c r="F869" s="6" t="s">
        <v>607</v>
      </c>
      <c r="G869" s="4" t="s">
        <v>607</v>
      </c>
      <c r="H869" s="4" t="s">
        <v>607</v>
      </c>
      <c r="I869" s="4" t="s">
        <v>607</v>
      </c>
      <c r="J869" s="4" t="s">
        <v>607</v>
      </c>
      <c r="K869" s="4" t="s">
        <v>607</v>
      </c>
      <c r="L869" s="4" t="s">
        <v>607</v>
      </c>
      <c r="M869" s="4" t="s">
        <v>607</v>
      </c>
      <c r="N869" s="4" t="s">
        <v>607</v>
      </c>
      <c r="O869" s="4"/>
      <c r="P869" s="4"/>
      <c r="T869" s="4"/>
    </row>
    <row r="870">
      <c r="A870" s="4" t="s">
        <v>2923</v>
      </c>
      <c r="B870" s="4" t="s">
        <v>607</v>
      </c>
      <c r="C870" s="6" t="s">
        <v>607</v>
      </c>
      <c r="D870" s="6" t="s">
        <v>607</v>
      </c>
      <c r="E870" s="6" t="s">
        <v>607</v>
      </c>
      <c r="F870" s="6" t="s">
        <v>607</v>
      </c>
      <c r="G870" s="4" t="s">
        <v>607</v>
      </c>
      <c r="H870" s="4" t="s">
        <v>607</v>
      </c>
      <c r="I870" s="4" t="s">
        <v>607</v>
      </c>
      <c r="J870" s="4" t="s">
        <v>607</v>
      </c>
      <c r="K870" s="4" t="s">
        <v>607</v>
      </c>
      <c r="L870" s="4" t="s">
        <v>607</v>
      </c>
      <c r="M870" s="4" t="s">
        <v>607</v>
      </c>
      <c r="N870" s="4" t="s">
        <v>607</v>
      </c>
      <c r="O870" s="4"/>
      <c r="P870" s="4"/>
      <c r="T870" s="4"/>
    </row>
    <row r="871">
      <c r="A871" s="4" t="s">
        <v>2927</v>
      </c>
      <c r="B871" s="4" t="s">
        <v>607</v>
      </c>
      <c r="C871" s="6" t="s">
        <v>607</v>
      </c>
      <c r="D871" s="6" t="s">
        <v>607</v>
      </c>
      <c r="E871" s="6" t="s">
        <v>607</v>
      </c>
      <c r="F871" s="6" t="s">
        <v>607</v>
      </c>
      <c r="G871" s="4" t="s">
        <v>607</v>
      </c>
      <c r="H871" s="4" t="s">
        <v>607</v>
      </c>
      <c r="I871" s="4" t="s">
        <v>607</v>
      </c>
      <c r="J871" s="4" t="s">
        <v>607</v>
      </c>
      <c r="K871" s="4" t="s">
        <v>607</v>
      </c>
      <c r="L871" s="4" t="s">
        <v>607</v>
      </c>
      <c r="M871" s="4" t="s">
        <v>607</v>
      </c>
      <c r="N871" s="4" t="s">
        <v>607</v>
      </c>
      <c r="O871" s="4"/>
      <c r="P871" s="4"/>
      <c r="T871" s="4"/>
    </row>
    <row r="872">
      <c r="A872" s="4" t="s">
        <v>2928</v>
      </c>
      <c r="B872" s="4" t="s">
        <v>607</v>
      </c>
      <c r="C872" s="6" t="s">
        <v>607</v>
      </c>
      <c r="D872" s="6" t="s">
        <v>607</v>
      </c>
      <c r="E872" s="6" t="s">
        <v>607</v>
      </c>
      <c r="F872" s="6" t="s">
        <v>607</v>
      </c>
      <c r="G872" s="4" t="s">
        <v>607</v>
      </c>
      <c r="H872" s="4" t="s">
        <v>607</v>
      </c>
      <c r="I872" s="4" t="s">
        <v>607</v>
      </c>
      <c r="J872" s="4" t="s">
        <v>607</v>
      </c>
      <c r="K872" s="4" t="s">
        <v>607</v>
      </c>
      <c r="L872" s="4" t="s">
        <v>607</v>
      </c>
      <c r="M872" s="4" t="s">
        <v>607</v>
      </c>
      <c r="N872" s="4" t="s">
        <v>607</v>
      </c>
      <c r="O872" s="4"/>
      <c r="P872" s="4"/>
      <c r="T872" s="4"/>
    </row>
    <row r="873">
      <c r="A873" s="4" t="s">
        <v>2929</v>
      </c>
      <c r="B873" s="4" t="s">
        <v>607</v>
      </c>
      <c r="C873" s="6" t="s">
        <v>607</v>
      </c>
      <c r="D873" s="6" t="s">
        <v>607</v>
      </c>
      <c r="E873" s="6" t="s">
        <v>607</v>
      </c>
      <c r="F873" s="6" t="s">
        <v>607</v>
      </c>
      <c r="G873" s="4" t="s">
        <v>607</v>
      </c>
      <c r="H873" s="4" t="s">
        <v>607</v>
      </c>
      <c r="I873" s="4" t="s">
        <v>607</v>
      </c>
      <c r="J873" s="4" t="s">
        <v>607</v>
      </c>
      <c r="K873" s="4" t="s">
        <v>607</v>
      </c>
      <c r="L873" s="4" t="s">
        <v>607</v>
      </c>
      <c r="M873" s="4" t="s">
        <v>607</v>
      </c>
      <c r="N873" s="4" t="s">
        <v>607</v>
      </c>
      <c r="O873" s="4"/>
      <c r="P873" s="4"/>
      <c r="T873" s="4"/>
    </row>
    <row r="874">
      <c r="A874" s="4" t="s">
        <v>2933</v>
      </c>
      <c r="B874" s="4" t="s">
        <v>607</v>
      </c>
      <c r="C874" s="6" t="s">
        <v>607</v>
      </c>
      <c r="D874" s="6" t="s">
        <v>607</v>
      </c>
      <c r="E874" s="6" t="s">
        <v>607</v>
      </c>
      <c r="F874" s="6" t="s">
        <v>607</v>
      </c>
      <c r="G874" s="4" t="s">
        <v>607</v>
      </c>
      <c r="H874" s="4" t="s">
        <v>607</v>
      </c>
      <c r="I874" s="4" t="s">
        <v>607</v>
      </c>
      <c r="J874" s="4" t="s">
        <v>607</v>
      </c>
      <c r="K874" s="4" t="s">
        <v>607</v>
      </c>
      <c r="L874" s="4" t="s">
        <v>607</v>
      </c>
      <c r="M874" s="4" t="s">
        <v>607</v>
      </c>
      <c r="N874" s="4" t="s">
        <v>607</v>
      </c>
      <c r="O874" s="4"/>
      <c r="P874" s="4"/>
      <c r="T874" s="4"/>
    </row>
    <row r="875">
      <c r="A875" s="4" t="s">
        <v>2934</v>
      </c>
      <c r="B875" s="4" t="s">
        <v>607</v>
      </c>
      <c r="C875" s="6" t="s">
        <v>607</v>
      </c>
      <c r="D875" s="6" t="s">
        <v>607</v>
      </c>
      <c r="E875" s="6" t="s">
        <v>607</v>
      </c>
      <c r="F875" s="6" t="s">
        <v>607</v>
      </c>
      <c r="G875" s="4" t="s">
        <v>607</v>
      </c>
      <c r="H875" s="4" t="s">
        <v>607</v>
      </c>
      <c r="I875" s="4" t="s">
        <v>607</v>
      </c>
      <c r="J875" s="4" t="s">
        <v>607</v>
      </c>
      <c r="K875" s="4" t="s">
        <v>607</v>
      </c>
      <c r="L875" s="4" t="s">
        <v>607</v>
      </c>
      <c r="M875" s="4" t="s">
        <v>607</v>
      </c>
      <c r="N875" s="4" t="s">
        <v>607</v>
      </c>
      <c r="O875" s="4"/>
      <c r="P875" s="4"/>
      <c r="T875" s="4"/>
    </row>
    <row r="876">
      <c r="A876" s="4" t="s">
        <v>2935</v>
      </c>
      <c r="B876" s="4" t="s">
        <v>607</v>
      </c>
      <c r="C876" s="6" t="s">
        <v>607</v>
      </c>
      <c r="D876" s="6" t="s">
        <v>607</v>
      </c>
      <c r="E876" s="6" t="s">
        <v>607</v>
      </c>
      <c r="F876" s="6" t="s">
        <v>607</v>
      </c>
      <c r="G876" s="4" t="s">
        <v>607</v>
      </c>
      <c r="H876" s="4" t="s">
        <v>607</v>
      </c>
      <c r="I876" s="4" t="s">
        <v>607</v>
      </c>
      <c r="J876" s="4" t="s">
        <v>607</v>
      </c>
      <c r="K876" s="4" t="s">
        <v>607</v>
      </c>
      <c r="L876" s="4" t="s">
        <v>607</v>
      </c>
      <c r="M876" s="4" t="s">
        <v>607</v>
      </c>
      <c r="N876" s="4" t="s">
        <v>607</v>
      </c>
      <c r="O876" s="4"/>
      <c r="P876" s="4"/>
      <c r="T876" s="4"/>
    </row>
    <row r="877">
      <c r="A877" s="4" t="s">
        <v>2940</v>
      </c>
      <c r="B877" s="4" t="s">
        <v>607</v>
      </c>
      <c r="C877" s="6" t="s">
        <v>607</v>
      </c>
      <c r="D877" s="6" t="s">
        <v>607</v>
      </c>
      <c r="E877" s="6" t="s">
        <v>607</v>
      </c>
      <c r="F877" s="6" t="s">
        <v>607</v>
      </c>
      <c r="G877" s="4" t="s">
        <v>607</v>
      </c>
      <c r="H877" s="4" t="s">
        <v>607</v>
      </c>
      <c r="I877" s="4" t="s">
        <v>607</v>
      </c>
      <c r="J877" s="4" t="s">
        <v>607</v>
      </c>
      <c r="K877" s="4" t="s">
        <v>607</v>
      </c>
      <c r="L877" s="4" t="s">
        <v>607</v>
      </c>
      <c r="M877" s="4" t="s">
        <v>607</v>
      </c>
      <c r="N877" s="4" t="s">
        <v>607</v>
      </c>
      <c r="O877" s="4"/>
      <c r="P877" s="4"/>
      <c r="T877" s="4"/>
    </row>
    <row r="878">
      <c r="A878" s="4" t="s">
        <v>2941</v>
      </c>
      <c r="B878" s="4" t="s">
        <v>607</v>
      </c>
      <c r="C878" s="6" t="s">
        <v>607</v>
      </c>
      <c r="D878" s="6" t="s">
        <v>607</v>
      </c>
      <c r="E878" s="6" t="s">
        <v>607</v>
      </c>
      <c r="F878" s="6" t="s">
        <v>607</v>
      </c>
      <c r="G878" s="4" t="s">
        <v>607</v>
      </c>
      <c r="H878" s="4" t="s">
        <v>607</v>
      </c>
      <c r="I878" s="4" t="s">
        <v>607</v>
      </c>
      <c r="J878" s="4" t="s">
        <v>607</v>
      </c>
      <c r="K878" s="4" t="s">
        <v>607</v>
      </c>
      <c r="L878" s="4" t="s">
        <v>607</v>
      </c>
      <c r="M878" s="4" t="s">
        <v>607</v>
      </c>
      <c r="N878" s="4" t="s">
        <v>607</v>
      </c>
      <c r="O878" s="4"/>
      <c r="P878" s="4"/>
      <c r="T878" s="4"/>
    </row>
    <row r="879">
      <c r="A879" s="4" t="s">
        <v>2942</v>
      </c>
      <c r="B879" s="4" t="s">
        <v>607</v>
      </c>
      <c r="C879" s="6" t="s">
        <v>607</v>
      </c>
      <c r="D879" s="6" t="s">
        <v>607</v>
      </c>
      <c r="E879" s="6" t="s">
        <v>607</v>
      </c>
      <c r="F879" s="6" t="s">
        <v>607</v>
      </c>
      <c r="G879" s="4" t="s">
        <v>607</v>
      </c>
      <c r="H879" s="4" t="s">
        <v>607</v>
      </c>
      <c r="I879" s="4" t="s">
        <v>607</v>
      </c>
      <c r="J879" s="4" t="s">
        <v>607</v>
      </c>
      <c r="K879" s="4" t="s">
        <v>607</v>
      </c>
      <c r="L879" s="4" t="s">
        <v>607</v>
      </c>
      <c r="M879" s="4" t="s">
        <v>607</v>
      </c>
      <c r="N879" s="4" t="s">
        <v>607</v>
      </c>
      <c r="O879" s="4"/>
      <c r="P879" s="4"/>
      <c r="T879" s="4"/>
    </row>
    <row r="880">
      <c r="A880" s="4" t="s">
        <v>2945</v>
      </c>
      <c r="B880" s="4" t="s">
        <v>607</v>
      </c>
      <c r="C880" s="6" t="s">
        <v>607</v>
      </c>
      <c r="D880" s="6" t="s">
        <v>607</v>
      </c>
      <c r="E880" s="6" t="s">
        <v>607</v>
      </c>
      <c r="F880" s="6" t="s">
        <v>607</v>
      </c>
      <c r="G880" s="4" t="s">
        <v>607</v>
      </c>
      <c r="H880" s="4" t="s">
        <v>607</v>
      </c>
      <c r="I880" s="4" t="s">
        <v>607</v>
      </c>
      <c r="J880" s="4" t="s">
        <v>607</v>
      </c>
      <c r="K880" s="4" t="s">
        <v>607</v>
      </c>
      <c r="L880" s="4" t="s">
        <v>607</v>
      </c>
      <c r="M880" s="4" t="s">
        <v>607</v>
      </c>
      <c r="N880" s="4" t="s">
        <v>607</v>
      </c>
      <c r="O880" s="4"/>
      <c r="P880" s="4"/>
      <c r="T880" s="4"/>
    </row>
    <row r="881">
      <c r="A881" s="4" t="s">
        <v>2946</v>
      </c>
      <c r="B881" s="4" t="s">
        <v>607</v>
      </c>
      <c r="C881" s="6" t="s">
        <v>607</v>
      </c>
      <c r="D881" s="6" t="s">
        <v>607</v>
      </c>
      <c r="E881" s="6" t="s">
        <v>607</v>
      </c>
      <c r="F881" s="6" t="s">
        <v>607</v>
      </c>
      <c r="G881" s="4" t="s">
        <v>607</v>
      </c>
      <c r="H881" s="4" t="s">
        <v>607</v>
      </c>
      <c r="I881" s="4" t="s">
        <v>607</v>
      </c>
      <c r="J881" s="4" t="s">
        <v>607</v>
      </c>
      <c r="K881" s="4" t="s">
        <v>607</v>
      </c>
      <c r="L881" s="4" t="s">
        <v>607</v>
      </c>
      <c r="M881" s="4" t="s">
        <v>607</v>
      </c>
      <c r="N881" s="4" t="s">
        <v>607</v>
      </c>
      <c r="O881" s="4"/>
      <c r="P881" s="4"/>
      <c r="T881" s="4"/>
    </row>
    <row r="882">
      <c r="A882" s="4" t="s">
        <v>2949</v>
      </c>
      <c r="B882" s="4" t="s">
        <v>607</v>
      </c>
      <c r="C882" s="6" t="s">
        <v>607</v>
      </c>
      <c r="D882" s="6" t="s">
        <v>607</v>
      </c>
      <c r="E882" s="6" t="s">
        <v>607</v>
      </c>
      <c r="F882" s="6" t="s">
        <v>607</v>
      </c>
      <c r="G882" s="4" t="s">
        <v>607</v>
      </c>
      <c r="H882" s="4" t="s">
        <v>607</v>
      </c>
      <c r="I882" s="4" t="s">
        <v>607</v>
      </c>
      <c r="J882" s="4" t="s">
        <v>607</v>
      </c>
      <c r="K882" s="4" t="s">
        <v>607</v>
      </c>
      <c r="L882" s="4" t="s">
        <v>607</v>
      </c>
      <c r="M882" s="4" t="s">
        <v>607</v>
      </c>
      <c r="N882" s="4" t="s">
        <v>607</v>
      </c>
      <c r="O882" s="4"/>
      <c r="P882" s="4"/>
      <c r="T882" s="4"/>
    </row>
    <row r="883">
      <c r="A883" s="4" t="s">
        <v>2950</v>
      </c>
      <c r="B883" s="4" t="s">
        <v>607</v>
      </c>
      <c r="C883" s="6" t="s">
        <v>607</v>
      </c>
      <c r="D883" s="6" t="s">
        <v>607</v>
      </c>
      <c r="E883" s="6" t="s">
        <v>607</v>
      </c>
      <c r="F883" s="6" t="s">
        <v>607</v>
      </c>
      <c r="G883" s="4" t="s">
        <v>607</v>
      </c>
      <c r="H883" s="4" t="s">
        <v>607</v>
      </c>
      <c r="I883" s="4" t="s">
        <v>607</v>
      </c>
      <c r="J883" s="4" t="s">
        <v>607</v>
      </c>
      <c r="K883" s="4" t="s">
        <v>607</v>
      </c>
      <c r="L883" s="4" t="s">
        <v>607</v>
      </c>
      <c r="M883" s="4" t="s">
        <v>607</v>
      </c>
      <c r="N883" s="4" t="s">
        <v>607</v>
      </c>
      <c r="O883" s="4"/>
      <c r="P883" s="4"/>
      <c r="T883" s="4"/>
    </row>
    <row r="884">
      <c r="A884" s="4" t="s">
        <v>2953</v>
      </c>
      <c r="B884" s="4" t="s">
        <v>607</v>
      </c>
      <c r="C884" s="6" t="s">
        <v>607</v>
      </c>
      <c r="D884" s="6" t="s">
        <v>607</v>
      </c>
      <c r="E884" s="6" t="s">
        <v>607</v>
      </c>
      <c r="F884" s="6" t="s">
        <v>607</v>
      </c>
      <c r="G884" s="4" t="s">
        <v>607</v>
      </c>
      <c r="H884" s="4" t="s">
        <v>607</v>
      </c>
      <c r="I884" s="4" t="s">
        <v>607</v>
      </c>
      <c r="J884" s="4" t="s">
        <v>607</v>
      </c>
      <c r="K884" s="4" t="s">
        <v>607</v>
      </c>
      <c r="L884" s="4" t="s">
        <v>607</v>
      </c>
      <c r="M884" s="4" t="s">
        <v>607</v>
      </c>
      <c r="N884" s="4" t="s">
        <v>607</v>
      </c>
      <c r="O884" s="4"/>
      <c r="P884" s="4"/>
      <c r="T884" s="4"/>
    </row>
    <row r="885">
      <c r="A885" s="4" t="s">
        <v>2954</v>
      </c>
      <c r="B885" s="4" t="s">
        <v>607</v>
      </c>
      <c r="C885" s="6" t="s">
        <v>607</v>
      </c>
      <c r="D885" s="6" t="s">
        <v>607</v>
      </c>
      <c r="E885" s="6" t="s">
        <v>607</v>
      </c>
      <c r="F885" s="6" t="s">
        <v>607</v>
      </c>
      <c r="G885" s="4" t="s">
        <v>607</v>
      </c>
      <c r="H885" s="4" t="s">
        <v>607</v>
      </c>
      <c r="I885" s="4" t="s">
        <v>607</v>
      </c>
      <c r="J885" s="4" t="s">
        <v>607</v>
      </c>
      <c r="K885" s="4" t="s">
        <v>607</v>
      </c>
      <c r="L885" s="4" t="s">
        <v>607</v>
      </c>
      <c r="M885" s="4" t="s">
        <v>607</v>
      </c>
      <c r="N885" s="4" t="s">
        <v>607</v>
      </c>
      <c r="O885" s="4"/>
      <c r="P885" s="4"/>
      <c r="T885" s="4"/>
    </row>
    <row r="886">
      <c r="A886" s="4" t="s">
        <v>2955</v>
      </c>
      <c r="B886" s="4" t="s">
        <v>607</v>
      </c>
      <c r="C886" s="6" t="s">
        <v>607</v>
      </c>
      <c r="D886" s="6" t="s">
        <v>607</v>
      </c>
      <c r="E886" s="6" t="s">
        <v>607</v>
      </c>
      <c r="F886" s="6" t="s">
        <v>607</v>
      </c>
      <c r="G886" s="4" t="s">
        <v>607</v>
      </c>
      <c r="H886" s="4" t="s">
        <v>607</v>
      </c>
      <c r="I886" s="4" t="s">
        <v>607</v>
      </c>
      <c r="J886" s="4" t="s">
        <v>607</v>
      </c>
      <c r="K886" s="4" t="s">
        <v>607</v>
      </c>
      <c r="L886" s="4" t="s">
        <v>607</v>
      </c>
      <c r="M886" s="4" t="s">
        <v>607</v>
      </c>
      <c r="N886" s="4" t="s">
        <v>607</v>
      </c>
      <c r="O886" s="4"/>
      <c r="P886" s="4"/>
      <c r="T886" s="4"/>
    </row>
    <row r="887">
      <c r="A887" s="4" t="s">
        <v>2956</v>
      </c>
      <c r="B887" s="4" t="s">
        <v>607</v>
      </c>
      <c r="C887" s="6" t="s">
        <v>607</v>
      </c>
      <c r="D887" s="6" t="s">
        <v>607</v>
      </c>
      <c r="E887" s="6" t="s">
        <v>607</v>
      </c>
      <c r="F887" s="6" t="s">
        <v>607</v>
      </c>
      <c r="G887" s="4" t="s">
        <v>607</v>
      </c>
      <c r="H887" s="4" t="s">
        <v>607</v>
      </c>
      <c r="I887" s="4" t="s">
        <v>607</v>
      </c>
      <c r="J887" s="4" t="s">
        <v>607</v>
      </c>
      <c r="K887" s="4" t="s">
        <v>607</v>
      </c>
      <c r="L887" s="4" t="s">
        <v>607</v>
      </c>
      <c r="M887" s="4" t="s">
        <v>607</v>
      </c>
      <c r="N887" s="4" t="s">
        <v>607</v>
      </c>
      <c r="O887" s="4"/>
      <c r="P887" s="4"/>
      <c r="T887" s="4"/>
    </row>
    <row r="888">
      <c r="A888" s="4" t="s">
        <v>2960</v>
      </c>
      <c r="B888" s="4" t="s">
        <v>607</v>
      </c>
      <c r="C888" s="6" t="s">
        <v>607</v>
      </c>
      <c r="D888" s="6" t="s">
        <v>607</v>
      </c>
      <c r="E888" s="6" t="s">
        <v>607</v>
      </c>
      <c r="F888" s="6" t="s">
        <v>607</v>
      </c>
      <c r="G888" s="4" t="s">
        <v>607</v>
      </c>
      <c r="H888" s="4" t="s">
        <v>607</v>
      </c>
      <c r="I888" s="4" t="s">
        <v>607</v>
      </c>
      <c r="J888" s="4" t="s">
        <v>607</v>
      </c>
      <c r="K888" s="4" t="s">
        <v>607</v>
      </c>
      <c r="L888" s="4" t="s">
        <v>607</v>
      </c>
      <c r="M888" s="4" t="s">
        <v>607</v>
      </c>
      <c r="N888" s="4" t="s">
        <v>607</v>
      </c>
      <c r="O888" s="4"/>
      <c r="P888" s="4"/>
      <c r="T888" s="4"/>
    </row>
    <row r="889">
      <c r="A889" s="4" t="s">
        <v>2961</v>
      </c>
      <c r="B889" s="4" t="s">
        <v>607</v>
      </c>
      <c r="C889" s="6" t="s">
        <v>607</v>
      </c>
      <c r="D889" s="6" t="s">
        <v>607</v>
      </c>
      <c r="E889" s="6" t="s">
        <v>607</v>
      </c>
      <c r="F889" s="6" t="s">
        <v>607</v>
      </c>
      <c r="G889" s="4" t="s">
        <v>607</v>
      </c>
      <c r="H889" s="4" t="s">
        <v>607</v>
      </c>
      <c r="I889" s="4" t="s">
        <v>607</v>
      </c>
      <c r="J889" s="4" t="s">
        <v>607</v>
      </c>
      <c r="K889" s="4" t="s">
        <v>607</v>
      </c>
      <c r="L889" s="4" t="s">
        <v>607</v>
      </c>
      <c r="M889" s="4" t="s">
        <v>607</v>
      </c>
      <c r="N889" s="4" t="s">
        <v>607</v>
      </c>
      <c r="O889" s="4"/>
      <c r="P889" s="4"/>
      <c r="T889" s="4"/>
    </row>
    <row r="890">
      <c r="A890" s="4" t="s">
        <v>2962</v>
      </c>
      <c r="B890" s="4" t="s">
        <v>607</v>
      </c>
      <c r="C890" s="6" t="s">
        <v>607</v>
      </c>
      <c r="D890" s="6" t="s">
        <v>607</v>
      </c>
      <c r="E890" s="6" t="s">
        <v>607</v>
      </c>
      <c r="F890" s="6" t="s">
        <v>607</v>
      </c>
      <c r="G890" s="4" t="s">
        <v>607</v>
      </c>
      <c r="H890" s="4" t="s">
        <v>607</v>
      </c>
      <c r="I890" s="4" t="s">
        <v>607</v>
      </c>
      <c r="J890" s="4" t="s">
        <v>607</v>
      </c>
      <c r="K890" s="4" t="s">
        <v>607</v>
      </c>
      <c r="L890" s="4" t="s">
        <v>607</v>
      </c>
      <c r="M890" s="4" t="s">
        <v>607</v>
      </c>
      <c r="N890" s="4" t="s">
        <v>607</v>
      </c>
      <c r="O890" s="4"/>
      <c r="P890" s="4"/>
      <c r="T890" s="4"/>
    </row>
    <row r="891">
      <c r="A891" s="4" t="s">
        <v>2963</v>
      </c>
      <c r="B891" s="4" t="s">
        <v>607</v>
      </c>
      <c r="C891" s="6" t="s">
        <v>607</v>
      </c>
      <c r="D891" s="6" t="s">
        <v>607</v>
      </c>
      <c r="E891" s="6" t="s">
        <v>607</v>
      </c>
      <c r="F891" s="6" t="s">
        <v>607</v>
      </c>
      <c r="G891" s="4" t="s">
        <v>607</v>
      </c>
      <c r="H891" s="4" t="s">
        <v>607</v>
      </c>
      <c r="I891" s="4" t="s">
        <v>607</v>
      </c>
      <c r="J891" s="4" t="s">
        <v>607</v>
      </c>
      <c r="K891" s="4" t="s">
        <v>607</v>
      </c>
      <c r="L891" s="4" t="s">
        <v>607</v>
      </c>
      <c r="M891" s="4" t="s">
        <v>607</v>
      </c>
      <c r="N891" s="4" t="s">
        <v>607</v>
      </c>
      <c r="O891" s="4"/>
      <c r="P891" s="4"/>
      <c r="T891" s="4"/>
    </row>
    <row r="892">
      <c r="A892" s="4" t="s">
        <v>2964</v>
      </c>
      <c r="B892" s="4" t="s">
        <v>607</v>
      </c>
      <c r="C892" s="6" t="s">
        <v>607</v>
      </c>
      <c r="D892" s="6" t="s">
        <v>607</v>
      </c>
      <c r="E892" s="6" t="s">
        <v>607</v>
      </c>
      <c r="F892" s="6" t="s">
        <v>607</v>
      </c>
      <c r="G892" s="4" t="s">
        <v>607</v>
      </c>
      <c r="H892" s="4" t="s">
        <v>607</v>
      </c>
      <c r="I892" s="4" t="s">
        <v>607</v>
      </c>
      <c r="J892" s="4" t="s">
        <v>607</v>
      </c>
      <c r="K892" s="4" t="s">
        <v>607</v>
      </c>
      <c r="L892" s="4" t="s">
        <v>607</v>
      </c>
      <c r="M892" s="4" t="s">
        <v>607</v>
      </c>
      <c r="N892" s="4" t="s">
        <v>607</v>
      </c>
      <c r="O892" s="4"/>
      <c r="P892" s="4"/>
      <c r="T892" s="4"/>
    </row>
    <row r="893">
      <c r="A893" s="4" t="s">
        <v>2965</v>
      </c>
      <c r="B893" s="4" t="s">
        <v>607</v>
      </c>
      <c r="C893" s="6" t="s">
        <v>607</v>
      </c>
      <c r="D893" s="6" t="s">
        <v>607</v>
      </c>
      <c r="E893" s="6" t="s">
        <v>607</v>
      </c>
      <c r="F893" s="6" t="s">
        <v>607</v>
      </c>
      <c r="G893" s="4" t="s">
        <v>607</v>
      </c>
      <c r="H893" s="4" t="s">
        <v>607</v>
      </c>
      <c r="I893" s="4" t="s">
        <v>607</v>
      </c>
      <c r="J893" s="4" t="s">
        <v>607</v>
      </c>
      <c r="K893" s="4" t="s">
        <v>607</v>
      </c>
      <c r="L893" s="4" t="s">
        <v>607</v>
      </c>
      <c r="M893" s="4" t="s">
        <v>607</v>
      </c>
      <c r="N893" s="4" t="s">
        <v>607</v>
      </c>
      <c r="O893" s="4"/>
      <c r="P893" s="4"/>
      <c r="T893" s="4"/>
    </row>
    <row r="894">
      <c r="A894" s="4" t="s">
        <v>2966</v>
      </c>
      <c r="B894" s="4" t="s">
        <v>607</v>
      </c>
      <c r="C894" s="6" t="s">
        <v>607</v>
      </c>
      <c r="D894" s="6" t="s">
        <v>607</v>
      </c>
      <c r="E894" s="6" t="s">
        <v>607</v>
      </c>
      <c r="F894" s="6" t="s">
        <v>607</v>
      </c>
      <c r="G894" s="4" t="s">
        <v>607</v>
      </c>
      <c r="H894" s="4" t="s">
        <v>607</v>
      </c>
      <c r="I894" s="4" t="s">
        <v>607</v>
      </c>
      <c r="J894" s="4" t="s">
        <v>607</v>
      </c>
      <c r="K894" s="4" t="s">
        <v>607</v>
      </c>
      <c r="L894" s="4" t="s">
        <v>607</v>
      </c>
      <c r="M894" s="4" t="s">
        <v>607</v>
      </c>
      <c r="N894" s="4" t="s">
        <v>607</v>
      </c>
      <c r="O894" s="4"/>
      <c r="P894" s="4"/>
      <c r="T894" s="4"/>
    </row>
    <row r="895">
      <c r="A895" s="4" t="s">
        <v>2967</v>
      </c>
      <c r="B895" s="4" t="s">
        <v>607</v>
      </c>
      <c r="C895" s="6" t="s">
        <v>607</v>
      </c>
      <c r="D895" s="6" t="s">
        <v>607</v>
      </c>
      <c r="E895" s="6" t="s">
        <v>607</v>
      </c>
      <c r="F895" s="6" t="s">
        <v>607</v>
      </c>
      <c r="G895" s="4" t="s">
        <v>607</v>
      </c>
      <c r="H895" s="4" t="s">
        <v>607</v>
      </c>
      <c r="I895" s="4" t="s">
        <v>607</v>
      </c>
      <c r="J895" s="4" t="s">
        <v>607</v>
      </c>
      <c r="K895" s="4" t="s">
        <v>607</v>
      </c>
      <c r="L895" s="4" t="s">
        <v>607</v>
      </c>
      <c r="M895" s="4" t="s">
        <v>607</v>
      </c>
      <c r="N895" s="4" t="s">
        <v>607</v>
      </c>
      <c r="O895" s="4"/>
      <c r="P895" s="4"/>
      <c r="T895" s="4"/>
    </row>
    <row r="896">
      <c r="A896" s="4" t="s">
        <v>2968</v>
      </c>
      <c r="B896" s="4" t="s">
        <v>607</v>
      </c>
      <c r="C896" s="6" t="s">
        <v>607</v>
      </c>
      <c r="D896" s="6" t="s">
        <v>607</v>
      </c>
      <c r="E896" s="6" t="s">
        <v>607</v>
      </c>
      <c r="F896" s="6" t="s">
        <v>607</v>
      </c>
      <c r="G896" s="4" t="s">
        <v>607</v>
      </c>
      <c r="H896" s="4" t="s">
        <v>607</v>
      </c>
      <c r="I896" s="4" t="s">
        <v>607</v>
      </c>
      <c r="J896" s="4" t="s">
        <v>607</v>
      </c>
      <c r="K896" s="4" t="s">
        <v>607</v>
      </c>
      <c r="L896" s="4" t="s">
        <v>607</v>
      </c>
      <c r="M896" s="4" t="s">
        <v>607</v>
      </c>
      <c r="N896" s="4" t="s">
        <v>607</v>
      </c>
      <c r="O896" s="4"/>
      <c r="P896" s="4"/>
      <c r="T896" s="4"/>
    </row>
    <row r="897">
      <c r="A897" s="4" t="s">
        <v>2969</v>
      </c>
      <c r="B897" s="4" t="s">
        <v>607</v>
      </c>
      <c r="C897" s="6" t="s">
        <v>607</v>
      </c>
      <c r="D897" s="6" t="s">
        <v>607</v>
      </c>
      <c r="E897" s="6" t="s">
        <v>607</v>
      </c>
      <c r="F897" s="6" t="s">
        <v>607</v>
      </c>
      <c r="G897" s="4" t="s">
        <v>607</v>
      </c>
      <c r="H897" s="4" t="s">
        <v>607</v>
      </c>
      <c r="I897" s="4" t="s">
        <v>607</v>
      </c>
      <c r="J897" s="4" t="s">
        <v>607</v>
      </c>
      <c r="K897" s="4" t="s">
        <v>607</v>
      </c>
      <c r="L897" s="4" t="s">
        <v>607</v>
      </c>
      <c r="M897" s="4" t="s">
        <v>607</v>
      </c>
      <c r="N897" s="4" t="s">
        <v>607</v>
      </c>
      <c r="O897" s="4"/>
      <c r="P897" s="4"/>
      <c r="T897" s="4"/>
    </row>
    <row r="898">
      <c r="A898" s="4" t="s">
        <v>2970</v>
      </c>
      <c r="B898" s="4" t="s">
        <v>607</v>
      </c>
      <c r="C898" s="6" t="s">
        <v>607</v>
      </c>
      <c r="D898" s="6" t="s">
        <v>607</v>
      </c>
      <c r="E898" s="6" t="s">
        <v>607</v>
      </c>
      <c r="F898" s="6" t="s">
        <v>607</v>
      </c>
      <c r="G898" s="4" t="s">
        <v>607</v>
      </c>
      <c r="H898" s="4" t="s">
        <v>607</v>
      </c>
      <c r="I898" s="4" t="s">
        <v>607</v>
      </c>
      <c r="J898" s="4" t="s">
        <v>607</v>
      </c>
      <c r="K898" s="4" t="s">
        <v>607</v>
      </c>
      <c r="L898" s="4" t="s">
        <v>607</v>
      </c>
      <c r="M898" s="4" t="s">
        <v>607</v>
      </c>
      <c r="N898" s="4" t="s">
        <v>607</v>
      </c>
      <c r="O898" s="4"/>
      <c r="P898" s="4"/>
      <c r="T898" s="4"/>
    </row>
    <row r="899">
      <c r="A899" s="4" t="s">
        <v>2971</v>
      </c>
      <c r="B899" s="4" t="s">
        <v>607</v>
      </c>
      <c r="C899" s="6" t="s">
        <v>607</v>
      </c>
      <c r="D899" s="6" t="s">
        <v>607</v>
      </c>
      <c r="E899" s="6" t="s">
        <v>607</v>
      </c>
      <c r="F899" s="6" t="s">
        <v>607</v>
      </c>
      <c r="G899" s="4" t="s">
        <v>607</v>
      </c>
      <c r="H899" s="4" t="s">
        <v>607</v>
      </c>
      <c r="I899" s="4" t="s">
        <v>607</v>
      </c>
      <c r="J899" s="4" t="s">
        <v>607</v>
      </c>
      <c r="K899" s="4" t="s">
        <v>607</v>
      </c>
      <c r="L899" s="4" t="s">
        <v>607</v>
      </c>
      <c r="M899" s="4" t="s">
        <v>607</v>
      </c>
      <c r="N899" s="4" t="s">
        <v>607</v>
      </c>
      <c r="O899" s="4"/>
      <c r="P899" s="4"/>
      <c r="T899" s="4"/>
    </row>
    <row r="900">
      <c r="A900" s="4" t="s">
        <v>2972</v>
      </c>
      <c r="B900" s="4" t="s">
        <v>607</v>
      </c>
      <c r="C900" s="6" t="s">
        <v>607</v>
      </c>
      <c r="D900" s="6" t="s">
        <v>607</v>
      </c>
      <c r="E900" s="6" t="s">
        <v>607</v>
      </c>
      <c r="F900" s="6" t="s">
        <v>607</v>
      </c>
      <c r="G900" s="4" t="s">
        <v>607</v>
      </c>
      <c r="H900" s="4" t="s">
        <v>607</v>
      </c>
      <c r="I900" s="4" t="s">
        <v>607</v>
      </c>
      <c r="J900" s="4" t="s">
        <v>607</v>
      </c>
      <c r="K900" s="4" t="s">
        <v>607</v>
      </c>
      <c r="L900" s="4" t="s">
        <v>607</v>
      </c>
      <c r="M900" s="4" t="s">
        <v>607</v>
      </c>
      <c r="N900" s="4" t="s">
        <v>607</v>
      </c>
      <c r="O900" s="4"/>
      <c r="P900" s="4"/>
      <c r="T900" s="4"/>
    </row>
    <row r="901">
      <c r="A901" s="4" t="s">
        <v>2973</v>
      </c>
      <c r="B901" s="4" t="s">
        <v>607</v>
      </c>
      <c r="C901" s="6" t="s">
        <v>607</v>
      </c>
      <c r="D901" s="6" t="s">
        <v>607</v>
      </c>
      <c r="E901" s="6" t="s">
        <v>607</v>
      </c>
      <c r="F901" s="6" t="s">
        <v>607</v>
      </c>
      <c r="G901" s="4" t="s">
        <v>607</v>
      </c>
      <c r="H901" s="4" t="s">
        <v>607</v>
      </c>
      <c r="I901" s="4" t="s">
        <v>607</v>
      </c>
      <c r="J901" s="4" t="s">
        <v>607</v>
      </c>
      <c r="K901" s="4" t="s">
        <v>607</v>
      </c>
      <c r="L901" s="4" t="s">
        <v>607</v>
      </c>
      <c r="M901" s="4" t="s">
        <v>607</v>
      </c>
      <c r="N901" s="4" t="s">
        <v>607</v>
      </c>
      <c r="O901" s="4"/>
      <c r="P901" s="4"/>
      <c r="T901" s="4"/>
    </row>
    <row r="902">
      <c r="A902" s="4" t="s">
        <v>2974</v>
      </c>
      <c r="B902" s="4" t="s">
        <v>607</v>
      </c>
      <c r="C902" s="6" t="s">
        <v>607</v>
      </c>
      <c r="D902" s="6" t="s">
        <v>607</v>
      </c>
      <c r="E902" s="6" t="s">
        <v>607</v>
      </c>
      <c r="F902" s="6" t="s">
        <v>607</v>
      </c>
      <c r="G902" s="4" t="s">
        <v>607</v>
      </c>
      <c r="H902" s="4" t="s">
        <v>607</v>
      </c>
      <c r="I902" s="4" t="s">
        <v>607</v>
      </c>
      <c r="J902" s="4" t="s">
        <v>607</v>
      </c>
      <c r="K902" s="4" t="s">
        <v>607</v>
      </c>
      <c r="L902" s="4" t="s">
        <v>607</v>
      </c>
      <c r="M902" s="4" t="s">
        <v>607</v>
      </c>
      <c r="N902" s="4" t="s">
        <v>607</v>
      </c>
      <c r="O902" s="4"/>
      <c r="P902" s="4"/>
      <c r="T902" s="4"/>
    </row>
    <row r="903">
      <c r="A903" s="4" t="s">
        <v>2975</v>
      </c>
      <c r="B903" s="4" t="s">
        <v>607</v>
      </c>
      <c r="C903" s="6" t="s">
        <v>607</v>
      </c>
      <c r="D903" s="6" t="s">
        <v>607</v>
      </c>
      <c r="E903" s="6" t="s">
        <v>607</v>
      </c>
      <c r="F903" s="6" t="s">
        <v>607</v>
      </c>
      <c r="G903" s="4" t="s">
        <v>607</v>
      </c>
      <c r="H903" s="4" t="s">
        <v>607</v>
      </c>
      <c r="I903" s="4" t="s">
        <v>607</v>
      </c>
      <c r="J903" s="4" t="s">
        <v>607</v>
      </c>
      <c r="K903" s="4" t="s">
        <v>607</v>
      </c>
      <c r="L903" s="4" t="s">
        <v>607</v>
      </c>
      <c r="M903" s="4" t="s">
        <v>607</v>
      </c>
      <c r="N903" s="4" t="s">
        <v>607</v>
      </c>
      <c r="O903" s="4"/>
      <c r="P903" s="4"/>
      <c r="T903" s="4"/>
    </row>
    <row r="904">
      <c r="A904" s="4" t="s">
        <v>2976</v>
      </c>
      <c r="B904" s="4" t="s">
        <v>607</v>
      </c>
      <c r="C904" s="6" t="s">
        <v>607</v>
      </c>
      <c r="D904" s="6" t="s">
        <v>607</v>
      </c>
      <c r="E904" s="6" t="s">
        <v>607</v>
      </c>
      <c r="F904" s="6" t="s">
        <v>607</v>
      </c>
      <c r="G904" s="4" t="s">
        <v>607</v>
      </c>
      <c r="H904" s="4" t="s">
        <v>607</v>
      </c>
      <c r="I904" s="4" t="s">
        <v>607</v>
      </c>
      <c r="J904" s="4" t="s">
        <v>607</v>
      </c>
      <c r="K904" s="4" t="s">
        <v>607</v>
      </c>
      <c r="L904" s="4" t="s">
        <v>607</v>
      </c>
      <c r="M904" s="4" t="s">
        <v>607</v>
      </c>
      <c r="N904" s="4" t="s">
        <v>607</v>
      </c>
      <c r="O904" s="4"/>
      <c r="P904" s="4"/>
      <c r="T904" s="4"/>
    </row>
    <row r="905">
      <c r="A905" s="4" t="s">
        <v>2977</v>
      </c>
      <c r="B905" s="4" t="s">
        <v>607</v>
      </c>
      <c r="C905" s="6" t="s">
        <v>607</v>
      </c>
      <c r="D905" s="6" t="s">
        <v>607</v>
      </c>
      <c r="E905" s="6" t="s">
        <v>607</v>
      </c>
      <c r="F905" s="6" t="s">
        <v>607</v>
      </c>
      <c r="G905" s="4" t="s">
        <v>607</v>
      </c>
      <c r="H905" s="4" t="s">
        <v>607</v>
      </c>
      <c r="I905" s="4" t="s">
        <v>607</v>
      </c>
      <c r="J905" s="4" t="s">
        <v>607</v>
      </c>
      <c r="K905" s="4" t="s">
        <v>607</v>
      </c>
      <c r="L905" s="4" t="s">
        <v>607</v>
      </c>
      <c r="M905" s="4" t="s">
        <v>607</v>
      </c>
      <c r="N905" s="4" t="s">
        <v>607</v>
      </c>
      <c r="O905" s="4"/>
      <c r="P905" s="4"/>
      <c r="T905" s="4"/>
    </row>
    <row r="906">
      <c r="A906" s="4" t="s">
        <v>2981</v>
      </c>
      <c r="B906" s="4" t="s">
        <v>607</v>
      </c>
      <c r="C906" s="6" t="s">
        <v>607</v>
      </c>
      <c r="D906" s="6" t="s">
        <v>607</v>
      </c>
      <c r="E906" s="6" t="s">
        <v>607</v>
      </c>
      <c r="F906" s="6" t="s">
        <v>607</v>
      </c>
      <c r="G906" s="4" t="s">
        <v>607</v>
      </c>
      <c r="H906" s="4" t="s">
        <v>607</v>
      </c>
      <c r="I906" s="4" t="s">
        <v>607</v>
      </c>
      <c r="J906" s="4" t="s">
        <v>607</v>
      </c>
      <c r="K906" s="4" t="s">
        <v>607</v>
      </c>
      <c r="L906" s="4" t="s">
        <v>607</v>
      </c>
      <c r="M906" s="4" t="s">
        <v>607</v>
      </c>
      <c r="N906" s="4" t="s">
        <v>607</v>
      </c>
      <c r="O906" s="4"/>
      <c r="P906" s="4"/>
      <c r="T906" s="4"/>
    </row>
    <row r="907">
      <c r="A907" s="4" t="s">
        <v>2982</v>
      </c>
      <c r="B907" s="4" t="s">
        <v>607</v>
      </c>
      <c r="C907" s="6" t="s">
        <v>607</v>
      </c>
      <c r="D907" s="6" t="s">
        <v>607</v>
      </c>
      <c r="E907" s="6" t="s">
        <v>607</v>
      </c>
      <c r="F907" s="6" t="s">
        <v>607</v>
      </c>
      <c r="G907" s="4" t="s">
        <v>607</v>
      </c>
      <c r="H907" s="4" t="s">
        <v>607</v>
      </c>
      <c r="I907" s="4" t="s">
        <v>607</v>
      </c>
      <c r="J907" s="4" t="s">
        <v>607</v>
      </c>
      <c r="K907" s="4" t="s">
        <v>607</v>
      </c>
      <c r="L907" s="4" t="s">
        <v>607</v>
      </c>
      <c r="M907" s="4" t="s">
        <v>607</v>
      </c>
      <c r="N907" s="4" t="s">
        <v>607</v>
      </c>
      <c r="O907" s="4"/>
      <c r="P907" s="4"/>
      <c r="T907" s="4"/>
    </row>
    <row r="908">
      <c r="A908" s="4" t="s">
        <v>2983</v>
      </c>
      <c r="B908" s="4" t="s">
        <v>607</v>
      </c>
      <c r="C908" s="6" t="s">
        <v>607</v>
      </c>
      <c r="D908" s="6" t="s">
        <v>607</v>
      </c>
      <c r="E908" s="6" t="s">
        <v>607</v>
      </c>
      <c r="F908" s="6" t="s">
        <v>607</v>
      </c>
      <c r="G908" s="4" t="s">
        <v>607</v>
      </c>
      <c r="H908" s="4" t="s">
        <v>607</v>
      </c>
      <c r="I908" s="4" t="s">
        <v>607</v>
      </c>
      <c r="J908" s="4" t="s">
        <v>607</v>
      </c>
      <c r="K908" s="4" t="s">
        <v>607</v>
      </c>
      <c r="L908" s="4" t="s">
        <v>607</v>
      </c>
      <c r="M908" s="4" t="s">
        <v>607</v>
      </c>
      <c r="N908" s="4" t="s">
        <v>607</v>
      </c>
      <c r="O908" s="4"/>
      <c r="P908" s="4"/>
      <c r="T908" s="4"/>
    </row>
    <row r="909">
      <c r="A909" s="4" t="s">
        <v>2984</v>
      </c>
      <c r="B909" s="4" t="s">
        <v>607</v>
      </c>
      <c r="C909" s="6" t="s">
        <v>607</v>
      </c>
      <c r="D909" s="6" t="s">
        <v>607</v>
      </c>
      <c r="E909" s="6" t="s">
        <v>607</v>
      </c>
      <c r="F909" s="6" t="s">
        <v>607</v>
      </c>
      <c r="G909" s="4" t="s">
        <v>607</v>
      </c>
      <c r="H909" s="4" t="s">
        <v>607</v>
      </c>
      <c r="I909" s="4" t="s">
        <v>607</v>
      </c>
      <c r="J909" s="4" t="s">
        <v>607</v>
      </c>
      <c r="K909" s="4" t="s">
        <v>607</v>
      </c>
      <c r="L909" s="4" t="s">
        <v>607</v>
      </c>
      <c r="M909" s="4" t="s">
        <v>607</v>
      </c>
      <c r="N909" s="4" t="s">
        <v>607</v>
      </c>
      <c r="O909" s="4"/>
      <c r="P909" s="4"/>
      <c r="T909" s="4"/>
    </row>
    <row r="910">
      <c r="A910" s="4" t="s">
        <v>2985</v>
      </c>
      <c r="B910" s="4" t="s">
        <v>607</v>
      </c>
      <c r="C910" s="6" t="s">
        <v>607</v>
      </c>
      <c r="D910" s="6" t="s">
        <v>607</v>
      </c>
      <c r="E910" s="6" t="s">
        <v>607</v>
      </c>
      <c r="F910" s="6" t="s">
        <v>607</v>
      </c>
      <c r="G910" s="4" t="s">
        <v>607</v>
      </c>
      <c r="H910" s="4" t="s">
        <v>607</v>
      </c>
      <c r="I910" s="4" t="s">
        <v>607</v>
      </c>
      <c r="J910" s="4" t="s">
        <v>607</v>
      </c>
      <c r="K910" s="4" t="s">
        <v>607</v>
      </c>
      <c r="L910" s="4" t="s">
        <v>607</v>
      </c>
      <c r="M910" s="4" t="s">
        <v>607</v>
      </c>
      <c r="N910" s="4" t="s">
        <v>607</v>
      </c>
      <c r="O910" s="4"/>
      <c r="P910" s="4"/>
      <c r="T910" s="4"/>
    </row>
    <row r="911">
      <c r="A911" s="4" t="s">
        <v>2986</v>
      </c>
      <c r="B911" s="4" t="s">
        <v>607</v>
      </c>
      <c r="C911" s="6" t="s">
        <v>607</v>
      </c>
      <c r="D911" s="6" t="s">
        <v>607</v>
      </c>
      <c r="E911" s="6" t="s">
        <v>607</v>
      </c>
      <c r="F911" s="6" t="s">
        <v>607</v>
      </c>
      <c r="G911" s="4" t="s">
        <v>607</v>
      </c>
      <c r="H911" s="4" t="s">
        <v>607</v>
      </c>
      <c r="I911" s="4" t="s">
        <v>607</v>
      </c>
      <c r="J911" s="4" t="s">
        <v>607</v>
      </c>
      <c r="K911" s="4" t="s">
        <v>607</v>
      </c>
      <c r="L911" s="4" t="s">
        <v>607</v>
      </c>
      <c r="M911" s="4" t="s">
        <v>607</v>
      </c>
      <c r="N911" s="4" t="s">
        <v>607</v>
      </c>
      <c r="O911" s="4"/>
      <c r="P911" s="4"/>
      <c r="T911" s="4"/>
    </row>
    <row r="912">
      <c r="A912" s="4" t="s">
        <v>2987</v>
      </c>
      <c r="B912" s="4" t="s">
        <v>607</v>
      </c>
      <c r="C912" s="6" t="s">
        <v>607</v>
      </c>
      <c r="D912" s="6" t="s">
        <v>607</v>
      </c>
      <c r="E912" s="6" t="s">
        <v>607</v>
      </c>
      <c r="F912" s="6" t="s">
        <v>607</v>
      </c>
      <c r="G912" s="4" t="s">
        <v>607</v>
      </c>
      <c r="H912" s="4" t="s">
        <v>607</v>
      </c>
      <c r="I912" s="4" t="s">
        <v>607</v>
      </c>
      <c r="J912" s="4" t="s">
        <v>607</v>
      </c>
      <c r="K912" s="4" t="s">
        <v>607</v>
      </c>
      <c r="L912" s="4" t="s">
        <v>607</v>
      </c>
      <c r="M912" s="4" t="s">
        <v>607</v>
      </c>
      <c r="N912" s="4" t="s">
        <v>607</v>
      </c>
      <c r="O912" s="4"/>
      <c r="P912" s="4"/>
      <c r="T912" s="4"/>
    </row>
    <row r="913">
      <c r="A913" s="4" t="s">
        <v>2988</v>
      </c>
      <c r="B913" s="4" t="s">
        <v>607</v>
      </c>
      <c r="C913" s="6" t="s">
        <v>607</v>
      </c>
      <c r="D913" s="6" t="s">
        <v>607</v>
      </c>
      <c r="E913" s="6" t="s">
        <v>607</v>
      </c>
      <c r="F913" s="6" t="s">
        <v>607</v>
      </c>
      <c r="G913" s="4" t="s">
        <v>607</v>
      </c>
      <c r="H913" s="4" t="s">
        <v>607</v>
      </c>
      <c r="I913" s="4" t="s">
        <v>607</v>
      </c>
      <c r="J913" s="4" t="s">
        <v>607</v>
      </c>
      <c r="K913" s="4" t="s">
        <v>607</v>
      </c>
      <c r="L913" s="4" t="s">
        <v>607</v>
      </c>
      <c r="M913" s="4" t="s">
        <v>607</v>
      </c>
      <c r="N913" s="4" t="s">
        <v>607</v>
      </c>
      <c r="O913" s="4"/>
      <c r="P913" s="4"/>
      <c r="T913" s="4"/>
    </row>
    <row r="914">
      <c r="A914" s="4" t="s">
        <v>2989</v>
      </c>
      <c r="B914" s="4" t="s">
        <v>607</v>
      </c>
      <c r="C914" s="6" t="s">
        <v>607</v>
      </c>
      <c r="D914" s="6" t="s">
        <v>607</v>
      </c>
      <c r="E914" s="6" t="s">
        <v>607</v>
      </c>
      <c r="F914" s="6" t="s">
        <v>607</v>
      </c>
      <c r="G914" s="4" t="s">
        <v>607</v>
      </c>
      <c r="H914" s="4" t="s">
        <v>607</v>
      </c>
      <c r="I914" s="4" t="s">
        <v>607</v>
      </c>
      <c r="J914" s="4" t="s">
        <v>607</v>
      </c>
      <c r="K914" s="4" t="s">
        <v>607</v>
      </c>
      <c r="L914" s="4" t="s">
        <v>607</v>
      </c>
      <c r="M914" s="4" t="s">
        <v>607</v>
      </c>
      <c r="N914" s="4" t="s">
        <v>607</v>
      </c>
      <c r="O914" s="4"/>
      <c r="P914" s="4"/>
      <c r="T914" s="4"/>
    </row>
    <row r="915">
      <c r="A915" s="4" t="s">
        <v>2990</v>
      </c>
      <c r="B915" s="4" t="s">
        <v>607</v>
      </c>
      <c r="C915" s="6" t="s">
        <v>607</v>
      </c>
      <c r="D915" s="6" t="s">
        <v>607</v>
      </c>
      <c r="E915" s="6" t="s">
        <v>607</v>
      </c>
      <c r="F915" s="6" t="s">
        <v>607</v>
      </c>
      <c r="G915" s="4" t="s">
        <v>607</v>
      </c>
      <c r="H915" s="4" t="s">
        <v>607</v>
      </c>
      <c r="I915" s="4" t="s">
        <v>607</v>
      </c>
      <c r="J915" s="4" t="s">
        <v>607</v>
      </c>
      <c r="K915" s="4" t="s">
        <v>607</v>
      </c>
      <c r="L915" s="4" t="s">
        <v>607</v>
      </c>
      <c r="M915" s="4" t="s">
        <v>607</v>
      </c>
      <c r="N915" s="4" t="s">
        <v>607</v>
      </c>
      <c r="O915" s="4"/>
      <c r="P915" s="4"/>
      <c r="T915" s="4"/>
    </row>
    <row r="916">
      <c r="A916" s="4" t="s">
        <v>2991</v>
      </c>
      <c r="B916" s="4" t="s">
        <v>607</v>
      </c>
      <c r="C916" s="6" t="s">
        <v>607</v>
      </c>
      <c r="D916" s="6" t="s">
        <v>607</v>
      </c>
      <c r="E916" s="6" t="s">
        <v>607</v>
      </c>
      <c r="F916" s="6" t="s">
        <v>607</v>
      </c>
      <c r="G916" s="4" t="s">
        <v>607</v>
      </c>
      <c r="H916" s="4" t="s">
        <v>607</v>
      </c>
      <c r="I916" s="4" t="s">
        <v>607</v>
      </c>
      <c r="J916" s="4" t="s">
        <v>607</v>
      </c>
      <c r="K916" s="4" t="s">
        <v>607</v>
      </c>
      <c r="L916" s="4" t="s">
        <v>607</v>
      </c>
      <c r="M916" s="4" t="s">
        <v>607</v>
      </c>
      <c r="N916" s="4" t="s">
        <v>607</v>
      </c>
      <c r="O916" s="4"/>
      <c r="P916" s="4"/>
      <c r="T916" s="4"/>
    </row>
    <row r="917">
      <c r="A917" s="4" t="s">
        <v>2992</v>
      </c>
      <c r="B917" s="4" t="s">
        <v>607</v>
      </c>
      <c r="C917" s="6" t="s">
        <v>607</v>
      </c>
      <c r="D917" s="6" t="s">
        <v>607</v>
      </c>
      <c r="E917" s="6" t="s">
        <v>607</v>
      </c>
      <c r="F917" s="6" t="s">
        <v>607</v>
      </c>
      <c r="G917" s="4" t="s">
        <v>607</v>
      </c>
      <c r="H917" s="4" t="s">
        <v>607</v>
      </c>
      <c r="I917" s="4" t="s">
        <v>607</v>
      </c>
      <c r="J917" s="4" t="s">
        <v>607</v>
      </c>
      <c r="K917" s="4" t="s">
        <v>607</v>
      </c>
      <c r="L917" s="4" t="s">
        <v>607</v>
      </c>
      <c r="M917" s="4" t="s">
        <v>607</v>
      </c>
      <c r="N917" s="4" t="s">
        <v>607</v>
      </c>
      <c r="O917" s="4"/>
      <c r="P917" s="4"/>
      <c r="T917" s="4"/>
    </row>
    <row r="918">
      <c r="A918" s="4" t="s">
        <v>2993</v>
      </c>
      <c r="B918" s="4" t="s">
        <v>607</v>
      </c>
      <c r="C918" s="6" t="s">
        <v>607</v>
      </c>
      <c r="D918" s="6" t="s">
        <v>607</v>
      </c>
      <c r="E918" s="6" t="s">
        <v>607</v>
      </c>
      <c r="F918" s="6" t="s">
        <v>607</v>
      </c>
      <c r="G918" s="4" t="s">
        <v>607</v>
      </c>
      <c r="H918" s="4" t="s">
        <v>607</v>
      </c>
      <c r="I918" s="4" t="s">
        <v>607</v>
      </c>
      <c r="J918" s="4" t="s">
        <v>607</v>
      </c>
      <c r="K918" s="4" t="s">
        <v>607</v>
      </c>
      <c r="L918" s="4" t="s">
        <v>607</v>
      </c>
      <c r="M918" s="4" t="s">
        <v>607</v>
      </c>
      <c r="N918" s="4" t="s">
        <v>607</v>
      </c>
      <c r="O918" s="4"/>
      <c r="P918" s="4"/>
      <c r="T918" s="4"/>
    </row>
    <row r="919">
      <c r="A919" s="4" t="s">
        <v>2997</v>
      </c>
      <c r="B919" s="4" t="s">
        <v>607</v>
      </c>
      <c r="C919" s="6" t="s">
        <v>607</v>
      </c>
      <c r="D919" s="6" t="s">
        <v>607</v>
      </c>
      <c r="E919" s="6" t="s">
        <v>607</v>
      </c>
      <c r="F919" s="6" t="s">
        <v>607</v>
      </c>
      <c r="G919" s="4" t="s">
        <v>607</v>
      </c>
      <c r="H919" s="4" t="s">
        <v>607</v>
      </c>
      <c r="I919" s="4" t="s">
        <v>607</v>
      </c>
      <c r="J919" s="4" t="s">
        <v>607</v>
      </c>
      <c r="K919" s="4" t="s">
        <v>607</v>
      </c>
      <c r="L919" s="4" t="s">
        <v>607</v>
      </c>
      <c r="M919" s="4" t="s">
        <v>607</v>
      </c>
      <c r="N919" s="4" t="s">
        <v>607</v>
      </c>
      <c r="O919" s="4"/>
      <c r="P919" s="4"/>
      <c r="T919" s="4"/>
    </row>
    <row r="920">
      <c r="A920" s="4" t="s">
        <v>2998</v>
      </c>
      <c r="B920" s="4" t="s">
        <v>607</v>
      </c>
      <c r="C920" s="6" t="s">
        <v>607</v>
      </c>
      <c r="D920" s="6" t="s">
        <v>607</v>
      </c>
      <c r="E920" s="6" t="s">
        <v>607</v>
      </c>
      <c r="F920" s="6" t="s">
        <v>607</v>
      </c>
      <c r="G920" s="4" t="s">
        <v>607</v>
      </c>
      <c r="H920" s="4" t="s">
        <v>607</v>
      </c>
      <c r="I920" s="4" t="s">
        <v>607</v>
      </c>
      <c r="J920" s="4" t="s">
        <v>607</v>
      </c>
      <c r="K920" s="4" t="s">
        <v>607</v>
      </c>
      <c r="L920" s="4" t="s">
        <v>607</v>
      </c>
      <c r="M920" s="4" t="s">
        <v>607</v>
      </c>
      <c r="N920" s="4" t="s">
        <v>607</v>
      </c>
      <c r="O920" s="4"/>
      <c r="P920" s="4"/>
      <c r="T920" s="4"/>
    </row>
    <row r="921">
      <c r="A921" s="4" t="s">
        <v>2999</v>
      </c>
      <c r="B921" s="4" t="s">
        <v>607</v>
      </c>
      <c r="C921" s="6" t="s">
        <v>607</v>
      </c>
      <c r="D921" s="6" t="s">
        <v>607</v>
      </c>
      <c r="E921" s="6" t="s">
        <v>607</v>
      </c>
      <c r="F921" s="6" t="s">
        <v>607</v>
      </c>
      <c r="G921" s="4" t="s">
        <v>607</v>
      </c>
      <c r="H921" s="4" t="s">
        <v>607</v>
      </c>
      <c r="I921" s="4" t="s">
        <v>607</v>
      </c>
      <c r="J921" s="4" t="s">
        <v>607</v>
      </c>
      <c r="K921" s="4" t="s">
        <v>607</v>
      </c>
      <c r="L921" s="4" t="s">
        <v>607</v>
      </c>
      <c r="M921" s="4" t="s">
        <v>607</v>
      </c>
      <c r="N921" s="4" t="s">
        <v>607</v>
      </c>
      <c r="O921" s="4"/>
      <c r="P921" s="4"/>
      <c r="T921" s="4"/>
    </row>
    <row r="922">
      <c r="A922" s="4" t="s">
        <v>3000</v>
      </c>
      <c r="B922" s="4" t="s">
        <v>607</v>
      </c>
      <c r="C922" s="6" t="s">
        <v>607</v>
      </c>
      <c r="D922" s="6" t="s">
        <v>607</v>
      </c>
      <c r="E922" s="6" t="s">
        <v>607</v>
      </c>
      <c r="F922" s="6" t="s">
        <v>607</v>
      </c>
      <c r="G922" s="4" t="s">
        <v>607</v>
      </c>
      <c r="H922" s="4" t="s">
        <v>607</v>
      </c>
      <c r="I922" s="4" t="s">
        <v>607</v>
      </c>
      <c r="J922" s="4" t="s">
        <v>607</v>
      </c>
      <c r="K922" s="4" t="s">
        <v>607</v>
      </c>
      <c r="L922" s="4" t="s">
        <v>607</v>
      </c>
      <c r="M922" s="4" t="s">
        <v>607</v>
      </c>
      <c r="N922" s="4" t="s">
        <v>607</v>
      </c>
      <c r="O922" s="4"/>
      <c r="P922" s="4"/>
      <c r="T922" s="4"/>
    </row>
    <row r="923">
      <c r="A923" s="4" t="s">
        <v>3003</v>
      </c>
      <c r="B923" s="4" t="s">
        <v>607</v>
      </c>
      <c r="C923" s="6" t="s">
        <v>607</v>
      </c>
      <c r="D923" s="6" t="s">
        <v>607</v>
      </c>
      <c r="E923" s="6" t="s">
        <v>607</v>
      </c>
      <c r="F923" s="6" t="s">
        <v>607</v>
      </c>
      <c r="G923" s="4" t="s">
        <v>607</v>
      </c>
      <c r="H923" s="4" t="s">
        <v>607</v>
      </c>
      <c r="I923" s="4" t="s">
        <v>607</v>
      </c>
      <c r="J923" s="4" t="s">
        <v>607</v>
      </c>
      <c r="K923" s="4" t="s">
        <v>607</v>
      </c>
      <c r="L923" s="4" t="s">
        <v>607</v>
      </c>
      <c r="M923" s="4" t="s">
        <v>607</v>
      </c>
      <c r="N923" s="4" t="s">
        <v>607</v>
      </c>
      <c r="O923" s="4"/>
      <c r="P923" s="4"/>
      <c r="T923" s="4"/>
    </row>
    <row r="924">
      <c r="A924" s="4" t="s">
        <v>3004</v>
      </c>
      <c r="B924" s="4" t="s">
        <v>607</v>
      </c>
      <c r="C924" s="6" t="s">
        <v>607</v>
      </c>
      <c r="D924" s="6" t="s">
        <v>607</v>
      </c>
      <c r="E924" s="6" t="s">
        <v>607</v>
      </c>
      <c r="F924" s="6" t="s">
        <v>607</v>
      </c>
      <c r="G924" s="4" t="s">
        <v>607</v>
      </c>
      <c r="H924" s="4" t="s">
        <v>607</v>
      </c>
      <c r="I924" s="4" t="s">
        <v>607</v>
      </c>
      <c r="J924" s="4" t="s">
        <v>607</v>
      </c>
      <c r="K924" s="4" t="s">
        <v>607</v>
      </c>
      <c r="L924" s="4" t="s">
        <v>607</v>
      </c>
      <c r="M924" s="4" t="s">
        <v>607</v>
      </c>
      <c r="N924" s="4" t="s">
        <v>607</v>
      </c>
      <c r="O924" s="4"/>
      <c r="P924" s="4"/>
      <c r="T924" s="4"/>
    </row>
    <row r="925">
      <c r="A925" s="4" t="s">
        <v>3005</v>
      </c>
      <c r="B925" s="4" t="s">
        <v>607</v>
      </c>
      <c r="C925" s="6" t="s">
        <v>607</v>
      </c>
      <c r="D925" s="6" t="s">
        <v>607</v>
      </c>
      <c r="E925" s="6" t="s">
        <v>607</v>
      </c>
      <c r="F925" s="6" t="s">
        <v>607</v>
      </c>
      <c r="G925" s="4" t="s">
        <v>607</v>
      </c>
      <c r="H925" s="4" t="s">
        <v>607</v>
      </c>
      <c r="I925" s="4" t="s">
        <v>607</v>
      </c>
      <c r="J925" s="4" t="s">
        <v>607</v>
      </c>
      <c r="K925" s="4" t="s">
        <v>607</v>
      </c>
      <c r="L925" s="4" t="s">
        <v>607</v>
      </c>
      <c r="M925" s="4" t="s">
        <v>607</v>
      </c>
      <c r="N925" s="4" t="s">
        <v>607</v>
      </c>
      <c r="O925" s="4"/>
      <c r="P925" s="4"/>
      <c r="T925" s="4"/>
    </row>
    <row r="926">
      <c r="A926" s="4" t="s">
        <v>3006</v>
      </c>
      <c r="B926" s="4" t="s">
        <v>607</v>
      </c>
      <c r="C926" s="6" t="s">
        <v>607</v>
      </c>
      <c r="D926" s="6" t="s">
        <v>607</v>
      </c>
      <c r="E926" s="6" t="s">
        <v>607</v>
      </c>
      <c r="F926" s="6" t="s">
        <v>607</v>
      </c>
      <c r="G926" s="4" t="s">
        <v>607</v>
      </c>
      <c r="H926" s="4" t="s">
        <v>607</v>
      </c>
      <c r="I926" s="4" t="s">
        <v>607</v>
      </c>
      <c r="J926" s="4" t="s">
        <v>607</v>
      </c>
      <c r="K926" s="4" t="s">
        <v>607</v>
      </c>
      <c r="L926" s="4" t="s">
        <v>607</v>
      </c>
      <c r="M926" s="4" t="s">
        <v>607</v>
      </c>
      <c r="N926" s="4" t="s">
        <v>607</v>
      </c>
      <c r="O926" s="4"/>
      <c r="P926" s="4"/>
      <c r="T926" s="4"/>
    </row>
    <row r="927">
      <c r="A927" s="4" t="s">
        <v>3007</v>
      </c>
      <c r="B927" s="4" t="s">
        <v>607</v>
      </c>
      <c r="C927" s="6" t="s">
        <v>607</v>
      </c>
      <c r="D927" s="6" t="s">
        <v>607</v>
      </c>
      <c r="E927" s="6" t="s">
        <v>607</v>
      </c>
      <c r="F927" s="6" t="s">
        <v>607</v>
      </c>
      <c r="G927" s="4" t="s">
        <v>607</v>
      </c>
      <c r="H927" s="4" t="s">
        <v>607</v>
      </c>
      <c r="I927" s="4" t="s">
        <v>607</v>
      </c>
      <c r="J927" s="4" t="s">
        <v>607</v>
      </c>
      <c r="K927" s="4" t="s">
        <v>607</v>
      </c>
      <c r="L927" s="4" t="s">
        <v>607</v>
      </c>
      <c r="M927" s="4" t="s">
        <v>607</v>
      </c>
      <c r="N927" s="4" t="s">
        <v>607</v>
      </c>
      <c r="O927" s="4"/>
      <c r="P927" s="4"/>
      <c r="T927" s="4"/>
    </row>
    <row r="928">
      <c r="A928" s="4" t="s">
        <v>3011</v>
      </c>
      <c r="B928" s="4" t="s">
        <v>607</v>
      </c>
      <c r="C928" s="6" t="s">
        <v>607</v>
      </c>
      <c r="D928" s="6" t="s">
        <v>607</v>
      </c>
      <c r="E928" s="6" t="s">
        <v>607</v>
      </c>
      <c r="F928" s="6" t="s">
        <v>607</v>
      </c>
      <c r="G928" s="4" t="s">
        <v>607</v>
      </c>
      <c r="H928" s="4" t="s">
        <v>607</v>
      </c>
      <c r="I928" s="4" t="s">
        <v>607</v>
      </c>
      <c r="J928" s="4" t="s">
        <v>607</v>
      </c>
      <c r="K928" s="4" t="s">
        <v>607</v>
      </c>
      <c r="L928" s="4" t="s">
        <v>607</v>
      </c>
      <c r="M928" s="4" t="s">
        <v>607</v>
      </c>
      <c r="N928" s="4" t="s">
        <v>607</v>
      </c>
      <c r="O928" s="4"/>
      <c r="P928" s="4"/>
      <c r="T928" s="4"/>
    </row>
    <row r="929">
      <c r="A929" s="4" t="s">
        <v>3012</v>
      </c>
      <c r="B929" s="4" t="s">
        <v>607</v>
      </c>
      <c r="C929" s="6" t="s">
        <v>607</v>
      </c>
      <c r="D929" s="6" t="s">
        <v>607</v>
      </c>
      <c r="E929" s="6" t="s">
        <v>607</v>
      </c>
      <c r="F929" s="6" t="s">
        <v>607</v>
      </c>
      <c r="G929" s="4" t="s">
        <v>607</v>
      </c>
      <c r="H929" s="4" t="s">
        <v>607</v>
      </c>
      <c r="I929" s="4" t="s">
        <v>607</v>
      </c>
      <c r="J929" s="4" t="s">
        <v>607</v>
      </c>
      <c r="K929" s="4" t="s">
        <v>607</v>
      </c>
      <c r="L929" s="4" t="s">
        <v>607</v>
      </c>
      <c r="M929" s="4" t="s">
        <v>607</v>
      </c>
      <c r="N929" s="4" t="s">
        <v>607</v>
      </c>
      <c r="O929" s="4"/>
      <c r="P929" s="4"/>
      <c r="T929" s="4"/>
    </row>
    <row r="930">
      <c r="A930" s="4" t="s">
        <v>3013</v>
      </c>
      <c r="B930" s="4" t="s">
        <v>607</v>
      </c>
      <c r="C930" s="6" t="s">
        <v>607</v>
      </c>
      <c r="D930" s="6" t="s">
        <v>607</v>
      </c>
      <c r="E930" s="6" t="s">
        <v>607</v>
      </c>
      <c r="F930" s="6" t="s">
        <v>607</v>
      </c>
      <c r="G930" s="4" t="s">
        <v>607</v>
      </c>
      <c r="H930" s="4" t="s">
        <v>607</v>
      </c>
      <c r="I930" s="4" t="s">
        <v>607</v>
      </c>
      <c r="J930" s="4" t="s">
        <v>607</v>
      </c>
      <c r="K930" s="4" t="s">
        <v>607</v>
      </c>
      <c r="L930" s="4" t="s">
        <v>607</v>
      </c>
      <c r="M930" s="4" t="s">
        <v>607</v>
      </c>
      <c r="N930" s="4" t="s">
        <v>607</v>
      </c>
      <c r="O930" s="4"/>
      <c r="P930" s="4"/>
      <c r="T930" s="4"/>
    </row>
    <row r="931">
      <c r="A931" s="4" t="s">
        <v>3017</v>
      </c>
      <c r="B931" s="4" t="s">
        <v>607</v>
      </c>
      <c r="C931" s="6" t="s">
        <v>607</v>
      </c>
      <c r="D931" s="6" t="s">
        <v>607</v>
      </c>
      <c r="E931" s="6" t="s">
        <v>607</v>
      </c>
      <c r="F931" s="6" t="s">
        <v>607</v>
      </c>
      <c r="G931" s="4" t="s">
        <v>607</v>
      </c>
      <c r="H931" s="4" t="s">
        <v>607</v>
      </c>
      <c r="I931" s="4" t="s">
        <v>607</v>
      </c>
      <c r="J931" s="4" t="s">
        <v>607</v>
      </c>
      <c r="K931" s="4" t="s">
        <v>607</v>
      </c>
      <c r="L931" s="4" t="s">
        <v>607</v>
      </c>
      <c r="M931" s="4" t="s">
        <v>607</v>
      </c>
      <c r="N931" s="4" t="s">
        <v>607</v>
      </c>
      <c r="O931" s="4"/>
      <c r="P931" s="4"/>
      <c r="T931" s="4"/>
    </row>
    <row r="932">
      <c r="A932" s="4" t="s">
        <v>3018</v>
      </c>
      <c r="B932" s="4" t="s">
        <v>607</v>
      </c>
      <c r="C932" s="6" t="s">
        <v>607</v>
      </c>
      <c r="D932" s="6" t="s">
        <v>607</v>
      </c>
      <c r="E932" s="6" t="s">
        <v>607</v>
      </c>
      <c r="F932" s="6" t="s">
        <v>607</v>
      </c>
      <c r="G932" s="4" t="s">
        <v>607</v>
      </c>
      <c r="H932" s="4" t="s">
        <v>607</v>
      </c>
      <c r="I932" s="4" t="s">
        <v>607</v>
      </c>
      <c r="J932" s="4" t="s">
        <v>607</v>
      </c>
      <c r="K932" s="4" t="s">
        <v>607</v>
      </c>
      <c r="L932" s="4" t="s">
        <v>607</v>
      </c>
      <c r="M932" s="4" t="s">
        <v>607</v>
      </c>
      <c r="N932" s="4" t="s">
        <v>607</v>
      </c>
      <c r="O932" s="4"/>
      <c r="P932" s="4"/>
      <c r="T932" s="4"/>
    </row>
    <row r="933">
      <c r="A933" s="4" t="s">
        <v>3019</v>
      </c>
      <c r="B933" s="4" t="s">
        <v>607</v>
      </c>
      <c r="C933" s="6" t="s">
        <v>607</v>
      </c>
      <c r="D933" s="6" t="s">
        <v>607</v>
      </c>
      <c r="E933" s="6" t="s">
        <v>607</v>
      </c>
      <c r="F933" s="6" t="s">
        <v>607</v>
      </c>
      <c r="G933" s="4" t="s">
        <v>607</v>
      </c>
      <c r="H933" s="4" t="s">
        <v>607</v>
      </c>
      <c r="I933" s="4" t="s">
        <v>607</v>
      </c>
      <c r="J933" s="4" t="s">
        <v>607</v>
      </c>
      <c r="K933" s="4" t="s">
        <v>607</v>
      </c>
      <c r="L933" s="4" t="s">
        <v>607</v>
      </c>
      <c r="M933" s="4" t="s">
        <v>607</v>
      </c>
      <c r="N933" s="4" t="s">
        <v>607</v>
      </c>
      <c r="O933" s="4"/>
      <c r="P933" s="4"/>
      <c r="T933" s="4"/>
    </row>
    <row r="934">
      <c r="A934" s="4" t="s">
        <v>3022</v>
      </c>
      <c r="B934" s="4" t="s">
        <v>607</v>
      </c>
      <c r="C934" s="6" t="s">
        <v>607</v>
      </c>
      <c r="D934" s="6" t="s">
        <v>607</v>
      </c>
      <c r="E934" s="6" t="s">
        <v>607</v>
      </c>
      <c r="F934" s="6" t="s">
        <v>607</v>
      </c>
      <c r="G934" s="4" t="s">
        <v>607</v>
      </c>
      <c r="H934" s="4" t="s">
        <v>607</v>
      </c>
      <c r="I934" s="4" t="s">
        <v>607</v>
      </c>
      <c r="J934" s="4" t="s">
        <v>607</v>
      </c>
      <c r="K934" s="4" t="s">
        <v>607</v>
      </c>
      <c r="L934" s="4" t="s">
        <v>607</v>
      </c>
      <c r="M934" s="4" t="s">
        <v>607</v>
      </c>
      <c r="N934" s="4" t="s">
        <v>607</v>
      </c>
      <c r="O934" s="4"/>
      <c r="P934" s="4"/>
      <c r="T934" s="4"/>
    </row>
    <row r="935">
      <c r="A935" s="4" t="s">
        <v>3023</v>
      </c>
      <c r="B935" s="4" t="s">
        <v>607</v>
      </c>
      <c r="C935" s="6" t="s">
        <v>607</v>
      </c>
      <c r="D935" s="6" t="s">
        <v>607</v>
      </c>
      <c r="E935" s="6" t="s">
        <v>607</v>
      </c>
      <c r="F935" s="6" t="s">
        <v>607</v>
      </c>
      <c r="G935" s="4" t="s">
        <v>607</v>
      </c>
      <c r="H935" s="4" t="s">
        <v>607</v>
      </c>
      <c r="I935" s="4" t="s">
        <v>607</v>
      </c>
      <c r="J935" s="4" t="s">
        <v>607</v>
      </c>
      <c r="K935" s="4" t="s">
        <v>607</v>
      </c>
      <c r="L935" s="4" t="s">
        <v>607</v>
      </c>
      <c r="M935" s="4" t="s">
        <v>607</v>
      </c>
      <c r="N935" s="4" t="s">
        <v>607</v>
      </c>
      <c r="O935" s="4"/>
      <c r="P935" s="4"/>
      <c r="T935" s="4"/>
    </row>
    <row r="936">
      <c r="A936" s="4" t="s">
        <v>3024</v>
      </c>
      <c r="B936" s="4" t="s">
        <v>607</v>
      </c>
      <c r="C936" s="6" t="s">
        <v>607</v>
      </c>
      <c r="D936" s="6" t="s">
        <v>607</v>
      </c>
      <c r="E936" s="6" t="s">
        <v>607</v>
      </c>
      <c r="F936" s="6" t="s">
        <v>607</v>
      </c>
      <c r="G936" s="4" t="s">
        <v>607</v>
      </c>
      <c r="H936" s="4" t="s">
        <v>607</v>
      </c>
      <c r="I936" s="4" t="s">
        <v>607</v>
      </c>
      <c r="J936" s="4" t="s">
        <v>607</v>
      </c>
      <c r="K936" s="4" t="s">
        <v>607</v>
      </c>
      <c r="L936" s="4" t="s">
        <v>607</v>
      </c>
      <c r="M936" s="4" t="s">
        <v>607</v>
      </c>
      <c r="N936" s="4" t="s">
        <v>607</v>
      </c>
      <c r="O936" s="4"/>
      <c r="P936" s="4"/>
      <c r="T936" s="4"/>
    </row>
    <row r="937">
      <c r="A937" s="4" t="s">
        <v>3025</v>
      </c>
      <c r="B937" s="4" t="s">
        <v>607</v>
      </c>
      <c r="C937" s="6" t="s">
        <v>607</v>
      </c>
      <c r="D937" s="6" t="s">
        <v>607</v>
      </c>
      <c r="E937" s="6" t="s">
        <v>607</v>
      </c>
      <c r="F937" s="6" t="s">
        <v>607</v>
      </c>
      <c r="G937" s="4" t="s">
        <v>607</v>
      </c>
      <c r="H937" s="4" t="s">
        <v>607</v>
      </c>
      <c r="I937" s="4" t="s">
        <v>607</v>
      </c>
      <c r="J937" s="4" t="s">
        <v>607</v>
      </c>
      <c r="K937" s="4" t="s">
        <v>607</v>
      </c>
      <c r="L937" s="4" t="s">
        <v>607</v>
      </c>
      <c r="M937" s="4" t="s">
        <v>607</v>
      </c>
      <c r="N937" s="4" t="s">
        <v>607</v>
      </c>
      <c r="O937" s="4"/>
      <c r="P937" s="4"/>
      <c r="T937" s="4"/>
    </row>
    <row r="938">
      <c r="A938" s="4" t="s">
        <v>3029</v>
      </c>
      <c r="B938" s="4" t="s">
        <v>607</v>
      </c>
      <c r="C938" s="6" t="s">
        <v>607</v>
      </c>
      <c r="D938" s="6" t="s">
        <v>607</v>
      </c>
      <c r="E938" s="6" t="s">
        <v>607</v>
      </c>
      <c r="F938" s="6" t="s">
        <v>607</v>
      </c>
      <c r="G938" s="4" t="s">
        <v>607</v>
      </c>
      <c r="H938" s="4" t="s">
        <v>607</v>
      </c>
      <c r="I938" s="4" t="s">
        <v>607</v>
      </c>
      <c r="J938" s="4" t="s">
        <v>607</v>
      </c>
      <c r="K938" s="4" t="s">
        <v>607</v>
      </c>
      <c r="L938" s="4" t="s">
        <v>607</v>
      </c>
      <c r="M938" s="4" t="s">
        <v>607</v>
      </c>
      <c r="N938" s="4" t="s">
        <v>607</v>
      </c>
      <c r="O938" s="4"/>
      <c r="P938" s="4"/>
      <c r="T938" s="4"/>
    </row>
    <row r="939">
      <c r="A939" s="4" t="s">
        <v>3030</v>
      </c>
      <c r="B939" s="4" t="s">
        <v>607</v>
      </c>
      <c r="C939" s="6" t="s">
        <v>607</v>
      </c>
      <c r="D939" s="6" t="s">
        <v>607</v>
      </c>
      <c r="E939" s="6" t="s">
        <v>607</v>
      </c>
      <c r="F939" s="6" t="s">
        <v>607</v>
      </c>
      <c r="G939" s="4" t="s">
        <v>607</v>
      </c>
      <c r="H939" s="4" t="s">
        <v>607</v>
      </c>
      <c r="I939" s="4" t="s">
        <v>607</v>
      </c>
      <c r="J939" s="4" t="s">
        <v>607</v>
      </c>
      <c r="K939" s="4" t="s">
        <v>607</v>
      </c>
      <c r="L939" s="4" t="s">
        <v>607</v>
      </c>
      <c r="M939" s="4" t="s">
        <v>607</v>
      </c>
      <c r="N939" s="4" t="s">
        <v>607</v>
      </c>
      <c r="O939" s="4"/>
      <c r="P939" s="4"/>
      <c r="T939" s="4"/>
    </row>
    <row r="940">
      <c r="A940" s="4" t="s">
        <v>3031</v>
      </c>
      <c r="B940" s="4" t="s">
        <v>607</v>
      </c>
      <c r="C940" s="6" t="s">
        <v>607</v>
      </c>
      <c r="D940" s="6" t="s">
        <v>607</v>
      </c>
      <c r="E940" s="6" t="s">
        <v>607</v>
      </c>
      <c r="F940" s="6" t="s">
        <v>607</v>
      </c>
      <c r="G940" s="4" t="s">
        <v>607</v>
      </c>
      <c r="H940" s="4" t="s">
        <v>607</v>
      </c>
      <c r="I940" s="4" t="s">
        <v>607</v>
      </c>
      <c r="J940" s="4" t="s">
        <v>607</v>
      </c>
      <c r="K940" s="4" t="s">
        <v>607</v>
      </c>
      <c r="L940" s="4" t="s">
        <v>607</v>
      </c>
      <c r="M940" s="4" t="s">
        <v>607</v>
      </c>
      <c r="N940" s="4" t="s">
        <v>607</v>
      </c>
      <c r="O940" s="4"/>
      <c r="P940" s="4"/>
      <c r="T940" s="4"/>
    </row>
    <row r="941">
      <c r="A941" s="4" t="s">
        <v>3032</v>
      </c>
      <c r="B941" s="4" t="s">
        <v>607</v>
      </c>
      <c r="C941" s="6" t="s">
        <v>607</v>
      </c>
      <c r="D941" s="6" t="s">
        <v>607</v>
      </c>
      <c r="E941" s="6" t="s">
        <v>607</v>
      </c>
      <c r="F941" s="6" t="s">
        <v>607</v>
      </c>
      <c r="G941" s="4" t="s">
        <v>607</v>
      </c>
      <c r="H941" s="4" t="s">
        <v>607</v>
      </c>
      <c r="I941" s="4" t="s">
        <v>607</v>
      </c>
      <c r="J941" s="4" t="s">
        <v>607</v>
      </c>
      <c r="K941" s="4" t="s">
        <v>607</v>
      </c>
      <c r="L941" s="4" t="s">
        <v>607</v>
      </c>
      <c r="M941" s="4" t="s">
        <v>607</v>
      </c>
      <c r="N941" s="4" t="s">
        <v>607</v>
      </c>
      <c r="O941" s="4"/>
      <c r="P941" s="4"/>
      <c r="T941" s="4"/>
    </row>
    <row r="942">
      <c r="A942" s="4" t="s">
        <v>3033</v>
      </c>
      <c r="B942" s="4" t="s">
        <v>607</v>
      </c>
      <c r="C942" s="6" t="s">
        <v>607</v>
      </c>
      <c r="D942" s="6" t="s">
        <v>607</v>
      </c>
      <c r="E942" s="6" t="s">
        <v>607</v>
      </c>
      <c r="F942" s="6" t="s">
        <v>607</v>
      </c>
      <c r="G942" s="4" t="s">
        <v>607</v>
      </c>
      <c r="H942" s="4" t="s">
        <v>607</v>
      </c>
      <c r="I942" s="4" t="s">
        <v>607</v>
      </c>
      <c r="J942" s="4" t="s">
        <v>607</v>
      </c>
      <c r="K942" s="4" t="s">
        <v>607</v>
      </c>
      <c r="L942" s="4" t="s">
        <v>607</v>
      </c>
      <c r="M942" s="4" t="s">
        <v>607</v>
      </c>
      <c r="N942" s="4" t="s">
        <v>607</v>
      </c>
      <c r="O942" s="4"/>
      <c r="P942" s="4"/>
      <c r="T942" s="4"/>
    </row>
    <row r="943">
      <c r="A943" s="4" t="s">
        <v>3034</v>
      </c>
      <c r="B943" s="4" t="s">
        <v>607</v>
      </c>
      <c r="C943" s="6" t="s">
        <v>607</v>
      </c>
      <c r="D943" s="6" t="s">
        <v>607</v>
      </c>
      <c r="E943" s="6" t="s">
        <v>607</v>
      </c>
      <c r="F943" s="6" t="s">
        <v>607</v>
      </c>
      <c r="G943" s="4" t="s">
        <v>607</v>
      </c>
      <c r="H943" s="4" t="s">
        <v>607</v>
      </c>
      <c r="I943" s="4" t="s">
        <v>607</v>
      </c>
      <c r="J943" s="4" t="s">
        <v>607</v>
      </c>
      <c r="K943" s="4" t="s">
        <v>607</v>
      </c>
      <c r="L943" s="4" t="s">
        <v>607</v>
      </c>
      <c r="M943" s="4" t="s">
        <v>607</v>
      </c>
      <c r="N943" s="4" t="s">
        <v>607</v>
      </c>
      <c r="O943" s="4"/>
      <c r="P943" s="4"/>
      <c r="T943" s="4"/>
    </row>
    <row r="944">
      <c r="A944" s="4" t="s">
        <v>3035</v>
      </c>
      <c r="B944" s="4" t="s">
        <v>607</v>
      </c>
      <c r="C944" s="6" t="s">
        <v>607</v>
      </c>
      <c r="D944" s="6" t="s">
        <v>607</v>
      </c>
      <c r="E944" s="6" t="s">
        <v>607</v>
      </c>
      <c r="F944" s="6" t="s">
        <v>607</v>
      </c>
      <c r="G944" s="4" t="s">
        <v>607</v>
      </c>
      <c r="H944" s="4" t="s">
        <v>607</v>
      </c>
      <c r="I944" s="4" t="s">
        <v>607</v>
      </c>
      <c r="J944" s="4" t="s">
        <v>607</v>
      </c>
      <c r="K944" s="4" t="s">
        <v>607</v>
      </c>
      <c r="L944" s="4" t="s">
        <v>607</v>
      </c>
      <c r="M944" s="4" t="s">
        <v>607</v>
      </c>
      <c r="N944" s="4" t="s">
        <v>607</v>
      </c>
      <c r="O944" s="4"/>
      <c r="P944" s="4"/>
      <c r="T944" s="4"/>
    </row>
    <row r="945">
      <c r="A945" s="4" t="s">
        <v>3038</v>
      </c>
      <c r="B945" s="4" t="s">
        <v>607</v>
      </c>
      <c r="C945" s="6" t="s">
        <v>607</v>
      </c>
      <c r="D945" s="6" t="s">
        <v>607</v>
      </c>
      <c r="E945" s="6" t="s">
        <v>607</v>
      </c>
      <c r="F945" s="6" t="s">
        <v>607</v>
      </c>
      <c r="G945" s="4" t="s">
        <v>607</v>
      </c>
      <c r="H945" s="4" t="s">
        <v>607</v>
      </c>
      <c r="I945" s="4" t="s">
        <v>607</v>
      </c>
      <c r="J945" s="4" t="s">
        <v>607</v>
      </c>
      <c r="K945" s="4" t="s">
        <v>607</v>
      </c>
      <c r="L945" s="4" t="s">
        <v>607</v>
      </c>
      <c r="M945" s="4" t="s">
        <v>607</v>
      </c>
      <c r="N945" s="4" t="s">
        <v>607</v>
      </c>
      <c r="O945" s="4"/>
      <c r="P945" s="4"/>
      <c r="T945" s="4"/>
    </row>
    <row r="946">
      <c r="A946" s="4" t="s">
        <v>3039</v>
      </c>
      <c r="B946" s="4" t="s">
        <v>607</v>
      </c>
      <c r="C946" s="6" t="s">
        <v>607</v>
      </c>
      <c r="D946" s="6" t="s">
        <v>607</v>
      </c>
      <c r="E946" s="6" t="s">
        <v>607</v>
      </c>
      <c r="F946" s="6" t="s">
        <v>607</v>
      </c>
      <c r="G946" s="4" t="s">
        <v>607</v>
      </c>
      <c r="H946" s="4" t="s">
        <v>607</v>
      </c>
      <c r="I946" s="4" t="s">
        <v>607</v>
      </c>
      <c r="J946" s="4" t="s">
        <v>607</v>
      </c>
      <c r="K946" s="4" t="s">
        <v>607</v>
      </c>
      <c r="L946" s="4" t="s">
        <v>607</v>
      </c>
      <c r="M946" s="4" t="s">
        <v>607</v>
      </c>
      <c r="N946" s="4" t="s">
        <v>607</v>
      </c>
      <c r="O946" s="4"/>
      <c r="P946" s="4"/>
      <c r="T946" s="4"/>
    </row>
    <row r="947">
      <c r="A947" s="4" t="s">
        <v>3040</v>
      </c>
      <c r="B947" s="4" t="s">
        <v>607</v>
      </c>
      <c r="C947" s="6" t="s">
        <v>607</v>
      </c>
      <c r="D947" s="6" t="s">
        <v>607</v>
      </c>
      <c r="E947" s="6" t="s">
        <v>607</v>
      </c>
      <c r="F947" s="6" t="s">
        <v>607</v>
      </c>
      <c r="G947" s="4" t="s">
        <v>607</v>
      </c>
      <c r="H947" s="4" t="s">
        <v>607</v>
      </c>
      <c r="I947" s="4" t="s">
        <v>607</v>
      </c>
      <c r="J947" s="4" t="s">
        <v>607</v>
      </c>
      <c r="K947" s="4" t="s">
        <v>607</v>
      </c>
      <c r="L947" s="4" t="s">
        <v>607</v>
      </c>
      <c r="M947" s="4" t="s">
        <v>607</v>
      </c>
      <c r="N947" s="4" t="s">
        <v>607</v>
      </c>
      <c r="O947" s="4"/>
      <c r="P947" s="4"/>
      <c r="T947" s="4"/>
    </row>
    <row r="948">
      <c r="A948" s="4" t="s">
        <v>3041</v>
      </c>
      <c r="B948" s="4" t="s">
        <v>607</v>
      </c>
      <c r="C948" s="6" t="s">
        <v>607</v>
      </c>
      <c r="D948" s="6" t="s">
        <v>607</v>
      </c>
      <c r="E948" s="6" t="s">
        <v>607</v>
      </c>
      <c r="F948" s="6" t="s">
        <v>607</v>
      </c>
      <c r="G948" s="4" t="s">
        <v>607</v>
      </c>
      <c r="H948" s="4" t="s">
        <v>607</v>
      </c>
      <c r="I948" s="4" t="s">
        <v>607</v>
      </c>
      <c r="J948" s="4" t="s">
        <v>607</v>
      </c>
      <c r="K948" s="4" t="s">
        <v>607</v>
      </c>
      <c r="L948" s="4" t="s">
        <v>607</v>
      </c>
      <c r="M948" s="4" t="s">
        <v>607</v>
      </c>
      <c r="N948" s="4" t="s">
        <v>607</v>
      </c>
      <c r="O948" s="4"/>
      <c r="P948" s="4"/>
      <c r="T948" s="4"/>
    </row>
    <row r="949">
      <c r="A949" s="4" t="s">
        <v>3042</v>
      </c>
      <c r="B949" s="4" t="s">
        <v>607</v>
      </c>
      <c r="C949" s="6" t="s">
        <v>607</v>
      </c>
      <c r="D949" s="6" t="s">
        <v>607</v>
      </c>
      <c r="E949" s="6" t="s">
        <v>607</v>
      </c>
      <c r="F949" s="6" t="s">
        <v>607</v>
      </c>
      <c r="G949" s="4" t="s">
        <v>607</v>
      </c>
      <c r="H949" s="4" t="s">
        <v>607</v>
      </c>
      <c r="I949" s="4" t="s">
        <v>607</v>
      </c>
      <c r="J949" s="4" t="s">
        <v>607</v>
      </c>
      <c r="K949" s="4" t="s">
        <v>607</v>
      </c>
      <c r="L949" s="4" t="s">
        <v>607</v>
      </c>
      <c r="M949" s="4" t="s">
        <v>607</v>
      </c>
      <c r="N949" s="4" t="s">
        <v>607</v>
      </c>
      <c r="O949" s="4"/>
      <c r="P949" s="4"/>
      <c r="T949" s="4"/>
    </row>
    <row r="950">
      <c r="A950" s="4" t="s">
        <v>3043</v>
      </c>
      <c r="B950" s="4" t="s">
        <v>607</v>
      </c>
      <c r="C950" s="6" t="s">
        <v>607</v>
      </c>
      <c r="D950" s="6" t="s">
        <v>607</v>
      </c>
      <c r="E950" s="6" t="s">
        <v>607</v>
      </c>
      <c r="F950" s="6" t="s">
        <v>607</v>
      </c>
      <c r="G950" s="4" t="s">
        <v>607</v>
      </c>
      <c r="H950" s="4" t="s">
        <v>607</v>
      </c>
      <c r="I950" s="4" t="s">
        <v>607</v>
      </c>
      <c r="J950" s="4" t="s">
        <v>607</v>
      </c>
      <c r="K950" s="4" t="s">
        <v>607</v>
      </c>
      <c r="L950" s="4" t="s">
        <v>607</v>
      </c>
      <c r="M950" s="4" t="s">
        <v>607</v>
      </c>
      <c r="N950" s="4" t="s">
        <v>607</v>
      </c>
      <c r="O950" s="4"/>
      <c r="P950" s="4"/>
      <c r="T950" s="4"/>
    </row>
    <row r="951">
      <c r="A951" s="4" t="s">
        <v>3044</v>
      </c>
      <c r="B951" s="4" t="s">
        <v>607</v>
      </c>
      <c r="C951" s="6" t="s">
        <v>607</v>
      </c>
      <c r="D951" s="6" t="s">
        <v>607</v>
      </c>
      <c r="E951" s="6" t="s">
        <v>607</v>
      </c>
      <c r="F951" s="6" t="s">
        <v>607</v>
      </c>
      <c r="G951" s="4" t="s">
        <v>607</v>
      </c>
      <c r="H951" s="4" t="s">
        <v>607</v>
      </c>
      <c r="I951" s="4" t="s">
        <v>607</v>
      </c>
      <c r="J951" s="4" t="s">
        <v>607</v>
      </c>
      <c r="K951" s="4" t="s">
        <v>607</v>
      </c>
      <c r="L951" s="4" t="s">
        <v>607</v>
      </c>
      <c r="M951" s="4" t="s">
        <v>607</v>
      </c>
      <c r="N951" s="4" t="s">
        <v>607</v>
      </c>
      <c r="O951" s="4"/>
      <c r="P951" s="4"/>
      <c r="T951" s="4"/>
    </row>
    <row r="952">
      <c r="A952" s="4" t="s">
        <v>3047</v>
      </c>
      <c r="B952" s="4" t="s">
        <v>607</v>
      </c>
      <c r="C952" s="6" t="s">
        <v>607</v>
      </c>
      <c r="D952" s="6" t="s">
        <v>607</v>
      </c>
      <c r="E952" s="6" t="s">
        <v>607</v>
      </c>
      <c r="F952" s="6" t="s">
        <v>607</v>
      </c>
      <c r="G952" s="4" t="s">
        <v>607</v>
      </c>
      <c r="H952" s="4" t="s">
        <v>607</v>
      </c>
      <c r="I952" s="4" t="s">
        <v>607</v>
      </c>
      <c r="J952" s="4" t="s">
        <v>607</v>
      </c>
      <c r="K952" s="4" t="s">
        <v>607</v>
      </c>
      <c r="L952" s="4" t="s">
        <v>607</v>
      </c>
      <c r="M952" s="4" t="s">
        <v>607</v>
      </c>
      <c r="N952" s="4" t="s">
        <v>607</v>
      </c>
      <c r="O952" s="4"/>
      <c r="P952" s="4"/>
      <c r="T952" s="4"/>
    </row>
    <row r="953">
      <c r="A953" s="4" t="s">
        <v>3048</v>
      </c>
      <c r="B953" s="4" t="s">
        <v>607</v>
      </c>
      <c r="C953" s="6" t="s">
        <v>607</v>
      </c>
      <c r="D953" s="6" t="s">
        <v>607</v>
      </c>
      <c r="E953" s="6" t="s">
        <v>607</v>
      </c>
      <c r="F953" s="6" t="s">
        <v>607</v>
      </c>
      <c r="G953" s="4" t="s">
        <v>607</v>
      </c>
      <c r="H953" s="4" t="s">
        <v>607</v>
      </c>
      <c r="I953" s="4" t="s">
        <v>607</v>
      </c>
      <c r="J953" s="4" t="s">
        <v>607</v>
      </c>
      <c r="K953" s="4" t="s">
        <v>607</v>
      </c>
      <c r="L953" s="4" t="s">
        <v>607</v>
      </c>
      <c r="M953" s="4" t="s">
        <v>607</v>
      </c>
      <c r="N953" s="4" t="s">
        <v>607</v>
      </c>
      <c r="O953" s="4"/>
      <c r="P953" s="4"/>
      <c r="T953" s="4"/>
    </row>
    <row r="954">
      <c r="A954" s="4" t="s">
        <v>3049</v>
      </c>
      <c r="B954" s="4" t="s">
        <v>607</v>
      </c>
      <c r="C954" s="6" t="s">
        <v>607</v>
      </c>
      <c r="D954" s="6" t="s">
        <v>607</v>
      </c>
      <c r="E954" s="6" t="s">
        <v>607</v>
      </c>
      <c r="F954" s="6" t="s">
        <v>607</v>
      </c>
      <c r="G954" s="4" t="s">
        <v>607</v>
      </c>
      <c r="H954" s="4" t="s">
        <v>607</v>
      </c>
      <c r="I954" s="4" t="s">
        <v>607</v>
      </c>
      <c r="J954" s="4" t="s">
        <v>607</v>
      </c>
      <c r="K954" s="4" t="s">
        <v>607</v>
      </c>
      <c r="L954" s="4" t="s">
        <v>607</v>
      </c>
      <c r="M954" s="4" t="s">
        <v>607</v>
      </c>
      <c r="N954" s="4" t="s">
        <v>607</v>
      </c>
      <c r="O954" s="4"/>
      <c r="P954" s="4"/>
      <c r="T954" s="4"/>
    </row>
    <row r="955">
      <c r="A955" s="4" t="s">
        <v>3050</v>
      </c>
      <c r="B955" s="4" t="s">
        <v>607</v>
      </c>
      <c r="C955" s="6" t="s">
        <v>607</v>
      </c>
      <c r="D955" s="6" t="s">
        <v>607</v>
      </c>
      <c r="E955" s="6" t="s">
        <v>607</v>
      </c>
      <c r="F955" s="6" t="s">
        <v>607</v>
      </c>
      <c r="G955" s="4" t="s">
        <v>607</v>
      </c>
      <c r="H955" s="4" t="s">
        <v>607</v>
      </c>
      <c r="I955" s="4" t="s">
        <v>607</v>
      </c>
      <c r="J955" s="4" t="s">
        <v>607</v>
      </c>
      <c r="K955" s="4" t="s">
        <v>607</v>
      </c>
      <c r="L955" s="4" t="s">
        <v>607</v>
      </c>
      <c r="M955" s="4" t="s">
        <v>607</v>
      </c>
      <c r="N955" s="4" t="s">
        <v>607</v>
      </c>
      <c r="O955" s="4"/>
      <c r="P955" s="4"/>
      <c r="T955" s="4"/>
    </row>
    <row r="956">
      <c r="A956" s="4" t="s">
        <v>3054</v>
      </c>
      <c r="B956" s="4" t="s">
        <v>607</v>
      </c>
      <c r="C956" s="6" t="s">
        <v>607</v>
      </c>
      <c r="D956" s="6" t="s">
        <v>607</v>
      </c>
      <c r="E956" s="6" t="s">
        <v>607</v>
      </c>
      <c r="F956" s="6" t="s">
        <v>607</v>
      </c>
      <c r="G956" s="4" t="s">
        <v>607</v>
      </c>
      <c r="H956" s="4" t="s">
        <v>607</v>
      </c>
      <c r="I956" s="4" t="s">
        <v>607</v>
      </c>
      <c r="J956" s="4" t="s">
        <v>607</v>
      </c>
      <c r="K956" s="4" t="s">
        <v>607</v>
      </c>
      <c r="L956" s="4" t="s">
        <v>607</v>
      </c>
      <c r="M956" s="4" t="s">
        <v>607</v>
      </c>
      <c r="N956" s="4" t="s">
        <v>607</v>
      </c>
      <c r="O956" s="4"/>
      <c r="P956" s="4"/>
      <c r="T956" s="4"/>
    </row>
    <row r="957">
      <c r="A957" s="4" t="s">
        <v>3055</v>
      </c>
      <c r="B957" s="4" t="s">
        <v>607</v>
      </c>
      <c r="C957" s="6" t="s">
        <v>607</v>
      </c>
      <c r="D957" s="6" t="s">
        <v>607</v>
      </c>
      <c r="E957" s="6" t="s">
        <v>607</v>
      </c>
      <c r="F957" s="6" t="s">
        <v>607</v>
      </c>
      <c r="G957" s="4" t="s">
        <v>607</v>
      </c>
      <c r="H957" s="4" t="s">
        <v>607</v>
      </c>
      <c r="I957" s="4" t="s">
        <v>607</v>
      </c>
      <c r="J957" s="4" t="s">
        <v>607</v>
      </c>
      <c r="K957" s="4" t="s">
        <v>607</v>
      </c>
      <c r="L957" s="4" t="s">
        <v>607</v>
      </c>
      <c r="M957" s="4" t="s">
        <v>607</v>
      </c>
      <c r="N957" s="4" t="s">
        <v>607</v>
      </c>
      <c r="O957" s="4"/>
      <c r="P957" s="4"/>
      <c r="T957" s="4"/>
    </row>
    <row r="958">
      <c r="A958" s="4" t="s">
        <v>3056</v>
      </c>
      <c r="B958" s="4" t="s">
        <v>607</v>
      </c>
      <c r="C958" s="6" t="s">
        <v>607</v>
      </c>
      <c r="D958" s="6" t="s">
        <v>607</v>
      </c>
      <c r="E958" s="6" t="s">
        <v>607</v>
      </c>
      <c r="F958" s="6" t="s">
        <v>607</v>
      </c>
      <c r="G958" s="4" t="s">
        <v>607</v>
      </c>
      <c r="H958" s="4" t="s">
        <v>607</v>
      </c>
      <c r="I958" s="4" t="s">
        <v>607</v>
      </c>
      <c r="J958" s="4" t="s">
        <v>607</v>
      </c>
      <c r="K958" s="4" t="s">
        <v>607</v>
      </c>
      <c r="L958" s="4" t="s">
        <v>607</v>
      </c>
      <c r="M958" s="4" t="s">
        <v>607</v>
      </c>
      <c r="N958" s="4" t="s">
        <v>607</v>
      </c>
      <c r="O958" s="4"/>
      <c r="P958" s="4"/>
      <c r="T958" s="4"/>
    </row>
    <row r="959">
      <c r="A959" s="4" t="s">
        <v>3060</v>
      </c>
      <c r="B959" s="4" t="s">
        <v>607</v>
      </c>
      <c r="C959" s="6" t="s">
        <v>607</v>
      </c>
      <c r="D959" s="6" t="s">
        <v>607</v>
      </c>
      <c r="E959" s="6" t="s">
        <v>607</v>
      </c>
      <c r="F959" s="6" t="s">
        <v>607</v>
      </c>
      <c r="G959" s="4" t="s">
        <v>607</v>
      </c>
      <c r="H959" s="4" t="s">
        <v>607</v>
      </c>
      <c r="I959" s="4" t="s">
        <v>607</v>
      </c>
      <c r="J959" s="4" t="s">
        <v>607</v>
      </c>
      <c r="K959" s="4" t="s">
        <v>607</v>
      </c>
      <c r="L959" s="4" t="s">
        <v>607</v>
      </c>
      <c r="M959" s="4" t="s">
        <v>607</v>
      </c>
      <c r="N959" s="4" t="s">
        <v>607</v>
      </c>
      <c r="O959" s="4"/>
      <c r="P959" s="4"/>
      <c r="T959" s="4"/>
    </row>
    <row r="960">
      <c r="A960" s="4" t="s">
        <v>3061</v>
      </c>
      <c r="B960" s="4" t="s">
        <v>607</v>
      </c>
      <c r="C960" s="6" t="s">
        <v>607</v>
      </c>
      <c r="D960" s="6" t="s">
        <v>607</v>
      </c>
      <c r="E960" s="6" t="s">
        <v>607</v>
      </c>
      <c r="F960" s="6" t="s">
        <v>607</v>
      </c>
      <c r="G960" s="4" t="s">
        <v>607</v>
      </c>
      <c r="H960" s="4" t="s">
        <v>607</v>
      </c>
      <c r="I960" s="4" t="s">
        <v>607</v>
      </c>
      <c r="J960" s="4" t="s">
        <v>607</v>
      </c>
      <c r="K960" s="4" t="s">
        <v>607</v>
      </c>
      <c r="L960" s="4" t="s">
        <v>607</v>
      </c>
      <c r="M960" s="4" t="s">
        <v>607</v>
      </c>
      <c r="N960" s="4" t="s">
        <v>607</v>
      </c>
      <c r="O960" s="4"/>
      <c r="P960" s="4"/>
      <c r="T960" s="4"/>
    </row>
    <row r="961">
      <c r="A961" s="4" t="s">
        <v>3062</v>
      </c>
      <c r="B961" s="4" t="s">
        <v>607</v>
      </c>
      <c r="C961" s="6" t="s">
        <v>607</v>
      </c>
      <c r="D961" s="6" t="s">
        <v>607</v>
      </c>
      <c r="E961" s="6" t="s">
        <v>607</v>
      </c>
      <c r="F961" s="6" t="s">
        <v>607</v>
      </c>
      <c r="G961" s="4" t="s">
        <v>607</v>
      </c>
      <c r="H961" s="4" t="s">
        <v>607</v>
      </c>
      <c r="I961" s="4" t="s">
        <v>607</v>
      </c>
      <c r="J961" s="4" t="s">
        <v>607</v>
      </c>
      <c r="K961" s="4" t="s">
        <v>607</v>
      </c>
      <c r="L961" s="4" t="s">
        <v>607</v>
      </c>
      <c r="M961" s="4" t="s">
        <v>607</v>
      </c>
      <c r="N961" s="4" t="s">
        <v>607</v>
      </c>
      <c r="O961" s="4"/>
      <c r="P961" s="4"/>
      <c r="T961" s="4"/>
    </row>
    <row r="962">
      <c r="A962" s="4" t="s">
        <v>3068</v>
      </c>
      <c r="B962" s="4" t="s">
        <v>607</v>
      </c>
      <c r="C962" s="6" t="s">
        <v>607</v>
      </c>
      <c r="D962" s="6" t="s">
        <v>607</v>
      </c>
      <c r="E962" s="6" t="s">
        <v>607</v>
      </c>
      <c r="F962" s="6" t="s">
        <v>607</v>
      </c>
      <c r="G962" s="4" t="s">
        <v>607</v>
      </c>
      <c r="H962" s="4" t="s">
        <v>607</v>
      </c>
      <c r="I962" s="4" t="s">
        <v>607</v>
      </c>
      <c r="J962" s="4" t="s">
        <v>607</v>
      </c>
      <c r="K962" s="4" t="s">
        <v>607</v>
      </c>
      <c r="L962" s="4" t="s">
        <v>607</v>
      </c>
      <c r="M962" s="4" t="s">
        <v>607</v>
      </c>
      <c r="N962" s="4" t="s">
        <v>607</v>
      </c>
      <c r="O962" s="4"/>
      <c r="P962" s="4"/>
      <c r="T962" s="4"/>
    </row>
    <row r="963">
      <c r="A963" s="4" t="s">
        <v>3070</v>
      </c>
      <c r="B963" s="4" t="s">
        <v>607</v>
      </c>
      <c r="C963" s="6" t="s">
        <v>607</v>
      </c>
      <c r="D963" s="6" t="s">
        <v>607</v>
      </c>
      <c r="E963" s="6" t="s">
        <v>607</v>
      </c>
      <c r="F963" s="6" t="s">
        <v>607</v>
      </c>
      <c r="G963" s="4" t="s">
        <v>607</v>
      </c>
      <c r="H963" s="4" t="s">
        <v>607</v>
      </c>
      <c r="I963" s="4" t="s">
        <v>607</v>
      </c>
      <c r="J963" s="4" t="s">
        <v>607</v>
      </c>
      <c r="K963" s="4" t="s">
        <v>607</v>
      </c>
      <c r="L963" s="4" t="s">
        <v>607</v>
      </c>
      <c r="M963" s="4" t="s">
        <v>607</v>
      </c>
      <c r="N963" s="4" t="s">
        <v>607</v>
      </c>
      <c r="O963" s="4"/>
      <c r="P963" s="4"/>
      <c r="T963" s="4"/>
    </row>
    <row r="964">
      <c r="A964" s="4" t="s">
        <v>3073</v>
      </c>
      <c r="B964" s="4" t="s">
        <v>607</v>
      </c>
      <c r="C964" s="6" t="s">
        <v>607</v>
      </c>
      <c r="D964" s="6" t="s">
        <v>607</v>
      </c>
      <c r="E964" s="6" t="s">
        <v>607</v>
      </c>
      <c r="F964" s="6" t="s">
        <v>607</v>
      </c>
      <c r="G964" s="4" t="s">
        <v>607</v>
      </c>
      <c r="H964" s="4" t="s">
        <v>607</v>
      </c>
      <c r="I964" s="4" t="s">
        <v>607</v>
      </c>
      <c r="J964" s="4" t="s">
        <v>607</v>
      </c>
      <c r="K964" s="4" t="s">
        <v>607</v>
      </c>
      <c r="L964" s="4" t="s">
        <v>607</v>
      </c>
      <c r="M964" s="4" t="s">
        <v>607</v>
      </c>
      <c r="N964" s="4" t="s">
        <v>607</v>
      </c>
      <c r="O964" s="4"/>
      <c r="P964" s="4"/>
      <c r="T964" s="4"/>
    </row>
    <row r="965">
      <c r="A965" s="4" t="s">
        <v>3074</v>
      </c>
      <c r="B965" s="4" t="s">
        <v>607</v>
      </c>
      <c r="C965" s="6" t="s">
        <v>607</v>
      </c>
      <c r="D965" s="6" t="s">
        <v>607</v>
      </c>
      <c r="E965" s="6" t="s">
        <v>607</v>
      </c>
      <c r="F965" s="6" t="s">
        <v>607</v>
      </c>
      <c r="G965" s="4" t="s">
        <v>607</v>
      </c>
      <c r="H965" s="4" t="s">
        <v>607</v>
      </c>
      <c r="I965" s="4" t="s">
        <v>607</v>
      </c>
      <c r="J965" s="4" t="s">
        <v>607</v>
      </c>
      <c r="K965" s="4" t="s">
        <v>607</v>
      </c>
      <c r="L965" s="4" t="s">
        <v>607</v>
      </c>
      <c r="M965" s="4" t="s">
        <v>607</v>
      </c>
      <c r="N965" s="4" t="s">
        <v>607</v>
      </c>
      <c r="O965" s="4"/>
      <c r="P965" s="4"/>
      <c r="T965" s="4"/>
    </row>
    <row r="966">
      <c r="A966" s="4" t="s">
        <v>3082</v>
      </c>
      <c r="B966" s="4" t="s">
        <v>607</v>
      </c>
      <c r="C966" s="6" t="s">
        <v>607</v>
      </c>
      <c r="D966" s="6" t="s">
        <v>607</v>
      </c>
      <c r="E966" s="6" t="s">
        <v>607</v>
      </c>
      <c r="F966" s="6" t="s">
        <v>607</v>
      </c>
      <c r="G966" s="4" t="s">
        <v>607</v>
      </c>
      <c r="H966" s="4" t="s">
        <v>607</v>
      </c>
      <c r="I966" s="4" t="s">
        <v>607</v>
      </c>
      <c r="J966" s="4" t="s">
        <v>607</v>
      </c>
      <c r="K966" s="4" t="s">
        <v>607</v>
      </c>
      <c r="L966" s="4" t="s">
        <v>607</v>
      </c>
      <c r="M966" s="4" t="s">
        <v>607</v>
      </c>
      <c r="N966" s="4" t="s">
        <v>607</v>
      </c>
      <c r="O966" s="4"/>
      <c r="P966" s="4"/>
      <c r="T966" s="4"/>
    </row>
    <row r="967">
      <c r="A967" s="4" t="s">
        <v>3084</v>
      </c>
      <c r="B967" s="4" t="s">
        <v>607</v>
      </c>
      <c r="C967" s="6" t="s">
        <v>607</v>
      </c>
      <c r="D967" s="6" t="s">
        <v>607</v>
      </c>
      <c r="E967" s="6" t="s">
        <v>607</v>
      </c>
      <c r="F967" s="6" t="s">
        <v>607</v>
      </c>
      <c r="G967" s="4" t="s">
        <v>607</v>
      </c>
      <c r="H967" s="4" t="s">
        <v>607</v>
      </c>
      <c r="I967" s="4" t="s">
        <v>607</v>
      </c>
      <c r="J967" s="4" t="s">
        <v>607</v>
      </c>
      <c r="K967" s="4" t="s">
        <v>607</v>
      </c>
      <c r="L967" s="4" t="s">
        <v>607</v>
      </c>
      <c r="M967" s="4" t="s">
        <v>607</v>
      </c>
      <c r="N967" s="4" t="s">
        <v>607</v>
      </c>
      <c r="O967" s="4"/>
      <c r="P967" s="4"/>
      <c r="T967" s="4"/>
    </row>
    <row r="968">
      <c r="A968" s="4" t="s">
        <v>3086</v>
      </c>
      <c r="B968" s="4" t="s">
        <v>607</v>
      </c>
      <c r="C968" s="6" t="s">
        <v>607</v>
      </c>
      <c r="D968" s="6" t="s">
        <v>607</v>
      </c>
      <c r="E968" s="6" t="s">
        <v>607</v>
      </c>
      <c r="F968" s="6" t="s">
        <v>607</v>
      </c>
      <c r="G968" s="4" t="s">
        <v>607</v>
      </c>
      <c r="H968" s="4" t="s">
        <v>607</v>
      </c>
      <c r="I968" s="4" t="s">
        <v>607</v>
      </c>
      <c r="J968" s="4" t="s">
        <v>607</v>
      </c>
      <c r="K968" s="4" t="s">
        <v>607</v>
      </c>
      <c r="L968" s="4" t="s">
        <v>607</v>
      </c>
      <c r="M968" s="4" t="s">
        <v>607</v>
      </c>
      <c r="N968" s="4" t="s">
        <v>607</v>
      </c>
      <c r="O968" s="4"/>
      <c r="P968" s="4"/>
      <c r="T968" s="4"/>
    </row>
    <row r="969">
      <c r="A969" s="4" t="s">
        <v>3095</v>
      </c>
      <c r="B969" s="4" t="s">
        <v>607</v>
      </c>
      <c r="C969" s="6" t="s">
        <v>607</v>
      </c>
      <c r="D969" s="6" t="s">
        <v>607</v>
      </c>
      <c r="E969" s="6" t="s">
        <v>607</v>
      </c>
      <c r="F969" s="6" t="s">
        <v>607</v>
      </c>
      <c r="G969" s="4" t="s">
        <v>607</v>
      </c>
      <c r="H969" s="4" t="s">
        <v>607</v>
      </c>
      <c r="I969" s="4" t="s">
        <v>607</v>
      </c>
      <c r="J969" s="4" t="s">
        <v>607</v>
      </c>
      <c r="K969" s="4" t="s">
        <v>607</v>
      </c>
      <c r="L969" s="4" t="s">
        <v>607</v>
      </c>
      <c r="M969" s="4" t="s">
        <v>607</v>
      </c>
      <c r="N969" s="4" t="s">
        <v>607</v>
      </c>
      <c r="O969" s="4"/>
      <c r="P969" s="4"/>
      <c r="T969" s="4"/>
    </row>
    <row r="970">
      <c r="A970" s="4" t="s">
        <v>3097</v>
      </c>
      <c r="B970" s="4" t="s">
        <v>607</v>
      </c>
      <c r="C970" s="6" t="s">
        <v>607</v>
      </c>
      <c r="D970" s="6" t="s">
        <v>607</v>
      </c>
      <c r="E970" s="6" t="s">
        <v>607</v>
      </c>
      <c r="F970" s="6" t="s">
        <v>607</v>
      </c>
      <c r="G970" s="4" t="s">
        <v>607</v>
      </c>
      <c r="H970" s="4" t="s">
        <v>607</v>
      </c>
      <c r="I970" s="4" t="s">
        <v>607</v>
      </c>
      <c r="J970" s="4" t="s">
        <v>607</v>
      </c>
      <c r="K970" s="4" t="s">
        <v>607</v>
      </c>
      <c r="L970" s="4" t="s">
        <v>607</v>
      </c>
      <c r="M970" s="4" t="s">
        <v>607</v>
      </c>
      <c r="N970" s="4" t="s">
        <v>607</v>
      </c>
      <c r="O970" s="4"/>
      <c r="P970" s="4"/>
      <c r="T970" s="4"/>
    </row>
    <row r="971">
      <c r="A971" s="4" t="s">
        <v>3099</v>
      </c>
      <c r="B971" s="4" t="s">
        <v>607</v>
      </c>
      <c r="C971" s="6" t="s">
        <v>607</v>
      </c>
      <c r="D971" s="6" t="s">
        <v>607</v>
      </c>
      <c r="E971" s="6" t="s">
        <v>607</v>
      </c>
      <c r="F971" s="6" t="s">
        <v>607</v>
      </c>
      <c r="G971" s="4" t="s">
        <v>607</v>
      </c>
      <c r="H971" s="4" t="s">
        <v>607</v>
      </c>
      <c r="I971" s="4" t="s">
        <v>607</v>
      </c>
      <c r="J971" s="4" t="s">
        <v>607</v>
      </c>
      <c r="K971" s="4" t="s">
        <v>607</v>
      </c>
      <c r="L971" s="4" t="s">
        <v>607</v>
      </c>
      <c r="M971" s="4" t="s">
        <v>607</v>
      </c>
      <c r="N971" s="4" t="s">
        <v>607</v>
      </c>
      <c r="O971" s="4"/>
      <c r="P971" s="4"/>
      <c r="T971" s="4"/>
    </row>
    <row r="972">
      <c r="A972" s="4" t="s">
        <v>3102</v>
      </c>
      <c r="B972" s="4" t="s">
        <v>607</v>
      </c>
      <c r="C972" s="6" t="s">
        <v>607</v>
      </c>
      <c r="D972" s="6" t="s">
        <v>607</v>
      </c>
      <c r="E972" s="6" t="s">
        <v>607</v>
      </c>
      <c r="F972" s="6" t="s">
        <v>607</v>
      </c>
      <c r="G972" s="4" t="s">
        <v>607</v>
      </c>
      <c r="H972" s="4" t="s">
        <v>607</v>
      </c>
      <c r="I972" s="4" t="s">
        <v>607</v>
      </c>
      <c r="J972" s="4" t="s">
        <v>607</v>
      </c>
      <c r="K972" s="4" t="s">
        <v>607</v>
      </c>
      <c r="L972" s="4" t="s">
        <v>607</v>
      </c>
      <c r="M972" s="4" t="s">
        <v>607</v>
      </c>
      <c r="N972" s="4" t="s">
        <v>607</v>
      </c>
      <c r="O972" s="4"/>
      <c r="P972" s="4"/>
      <c r="T972" s="4"/>
    </row>
    <row r="973">
      <c r="A973" s="4" t="s">
        <v>3104</v>
      </c>
      <c r="B973" s="4" t="s">
        <v>607</v>
      </c>
      <c r="C973" s="6" t="s">
        <v>607</v>
      </c>
      <c r="D973" s="6" t="s">
        <v>607</v>
      </c>
      <c r="E973" s="6" t="s">
        <v>607</v>
      </c>
      <c r="F973" s="6" t="s">
        <v>607</v>
      </c>
      <c r="G973" s="4" t="s">
        <v>607</v>
      </c>
      <c r="H973" s="4" t="s">
        <v>607</v>
      </c>
      <c r="I973" s="4" t="s">
        <v>607</v>
      </c>
      <c r="J973" s="4" t="s">
        <v>607</v>
      </c>
      <c r="K973" s="4" t="s">
        <v>607</v>
      </c>
      <c r="L973" s="4" t="s">
        <v>607</v>
      </c>
      <c r="M973" s="4" t="s">
        <v>607</v>
      </c>
      <c r="N973" s="4" t="s">
        <v>607</v>
      </c>
      <c r="O973" s="4"/>
      <c r="P973" s="4"/>
      <c r="T973" s="4"/>
    </row>
    <row r="974">
      <c r="A974" s="4" t="s">
        <v>3106</v>
      </c>
      <c r="B974" s="4" t="s">
        <v>607</v>
      </c>
      <c r="C974" s="6" t="s">
        <v>607</v>
      </c>
      <c r="D974" s="6" t="s">
        <v>607</v>
      </c>
      <c r="E974" s="6" t="s">
        <v>607</v>
      </c>
      <c r="F974" s="6" t="s">
        <v>607</v>
      </c>
      <c r="G974" s="4" t="s">
        <v>607</v>
      </c>
      <c r="H974" s="4" t="s">
        <v>607</v>
      </c>
      <c r="I974" s="4" t="s">
        <v>607</v>
      </c>
      <c r="J974" s="4" t="s">
        <v>607</v>
      </c>
      <c r="K974" s="4" t="s">
        <v>607</v>
      </c>
      <c r="L974" s="4" t="s">
        <v>607</v>
      </c>
      <c r="M974" s="4" t="s">
        <v>607</v>
      </c>
      <c r="N974" s="4" t="s">
        <v>607</v>
      </c>
      <c r="O974" s="4"/>
      <c r="P974" s="4"/>
      <c r="T974" s="4"/>
    </row>
    <row r="975">
      <c r="A975" s="4" t="s">
        <v>3108</v>
      </c>
      <c r="B975" s="4" t="s">
        <v>607</v>
      </c>
      <c r="C975" s="6" t="s">
        <v>607</v>
      </c>
      <c r="D975" s="6" t="s">
        <v>607</v>
      </c>
      <c r="E975" s="6" t="s">
        <v>607</v>
      </c>
      <c r="F975" s="6" t="s">
        <v>607</v>
      </c>
      <c r="G975" s="4" t="s">
        <v>607</v>
      </c>
      <c r="H975" s="4" t="s">
        <v>607</v>
      </c>
      <c r="I975" s="4" t="s">
        <v>607</v>
      </c>
      <c r="J975" s="4" t="s">
        <v>607</v>
      </c>
      <c r="K975" s="4" t="s">
        <v>607</v>
      </c>
      <c r="L975" s="4" t="s">
        <v>607</v>
      </c>
      <c r="M975" s="4" t="s">
        <v>607</v>
      </c>
      <c r="N975" s="4" t="s">
        <v>607</v>
      </c>
      <c r="O975" s="4"/>
      <c r="P975" s="4"/>
      <c r="T975" s="4"/>
    </row>
    <row r="976">
      <c r="A976" s="4" t="s">
        <v>3111</v>
      </c>
      <c r="B976" s="4" t="s">
        <v>607</v>
      </c>
      <c r="C976" s="6" t="s">
        <v>607</v>
      </c>
      <c r="D976" s="6" t="s">
        <v>607</v>
      </c>
      <c r="E976" s="6" t="s">
        <v>607</v>
      </c>
      <c r="F976" s="6" t="s">
        <v>607</v>
      </c>
      <c r="G976" s="4" t="s">
        <v>607</v>
      </c>
      <c r="H976" s="4" t="s">
        <v>607</v>
      </c>
      <c r="I976" s="4" t="s">
        <v>607</v>
      </c>
      <c r="J976" s="4" t="s">
        <v>607</v>
      </c>
      <c r="K976" s="4" t="s">
        <v>607</v>
      </c>
      <c r="L976" s="4" t="s">
        <v>607</v>
      </c>
      <c r="M976" s="4" t="s">
        <v>607</v>
      </c>
      <c r="N976" s="4" t="s">
        <v>607</v>
      </c>
      <c r="O976" s="4"/>
      <c r="P976" s="4"/>
      <c r="T976" s="4"/>
    </row>
    <row r="977">
      <c r="A977" s="4" t="s">
        <v>3115</v>
      </c>
      <c r="B977" s="4" t="s">
        <v>607</v>
      </c>
      <c r="C977" s="6" t="s">
        <v>607</v>
      </c>
      <c r="D977" s="6" t="s">
        <v>607</v>
      </c>
      <c r="E977" s="6" t="s">
        <v>607</v>
      </c>
      <c r="F977" s="6" t="s">
        <v>607</v>
      </c>
      <c r="G977" s="4" t="s">
        <v>607</v>
      </c>
      <c r="H977" s="4" t="s">
        <v>607</v>
      </c>
      <c r="I977" s="4" t="s">
        <v>607</v>
      </c>
      <c r="J977" s="4" t="s">
        <v>607</v>
      </c>
      <c r="K977" s="4" t="s">
        <v>607</v>
      </c>
      <c r="L977" s="4" t="s">
        <v>607</v>
      </c>
      <c r="M977" s="4" t="s">
        <v>607</v>
      </c>
      <c r="N977" s="4" t="s">
        <v>607</v>
      </c>
      <c r="O977" s="4"/>
      <c r="P977" s="4"/>
      <c r="T977" s="4"/>
    </row>
    <row r="978">
      <c r="A978" s="4" t="s">
        <v>3118</v>
      </c>
      <c r="B978" s="4" t="s">
        <v>607</v>
      </c>
      <c r="C978" s="6" t="s">
        <v>607</v>
      </c>
      <c r="D978" s="6" t="s">
        <v>607</v>
      </c>
      <c r="E978" s="6" t="s">
        <v>607</v>
      </c>
      <c r="F978" s="6" t="s">
        <v>607</v>
      </c>
      <c r="G978" s="4" t="s">
        <v>607</v>
      </c>
      <c r="H978" s="4" t="s">
        <v>607</v>
      </c>
      <c r="I978" s="4" t="s">
        <v>607</v>
      </c>
      <c r="J978" s="4" t="s">
        <v>607</v>
      </c>
      <c r="K978" s="4" t="s">
        <v>607</v>
      </c>
      <c r="L978" s="4" t="s">
        <v>607</v>
      </c>
      <c r="M978" s="4" t="s">
        <v>607</v>
      </c>
      <c r="N978" s="4" t="s">
        <v>607</v>
      </c>
      <c r="O978" s="4"/>
      <c r="P978" s="4"/>
      <c r="T978" s="4"/>
    </row>
    <row r="979">
      <c r="A979" s="4" t="s">
        <v>3120</v>
      </c>
      <c r="B979" s="4" t="s">
        <v>607</v>
      </c>
      <c r="C979" s="6" t="s">
        <v>607</v>
      </c>
      <c r="D979" s="6" t="s">
        <v>607</v>
      </c>
      <c r="E979" s="6" t="s">
        <v>607</v>
      </c>
      <c r="F979" s="6" t="s">
        <v>607</v>
      </c>
      <c r="G979" s="4" t="s">
        <v>607</v>
      </c>
      <c r="H979" s="4" t="s">
        <v>607</v>
      </c>
      <c r="I979" s="4" t="s">
        <v>607</v>
      </c>
      <c r="J979" s="4" t="s">
        <v>607</v>
      </c>
      <c r="K979" s="4" t="s">
        <v>607</v>
      </c>
      <c r="L979" s="4" t="s">
        <v>607</v>
      </c>
      <c r="M979" s="4" t="s">
        <v>607</v>
      </c>
      <c r="N979" s="4" t="s">
        <v>607</v>
      </c>
      <c r="O979" s="4"/>
      <c r="P979" s="4"/>
      <c r="T979" s="4"/>
    </row>
    <row r="980">
      <c r="A980" s="4" t="s">
        <v>3125</v>
      </c>
      <c r="B980" s="4" t="s">
        <v>607</v>
      </c>
      <c r="C980" s="6" t="s">
        <v>607</v>
      </c>
      <c r="D980" s="6" t="s">
        <v>607</v>
      </c>
      <c r="E980" s="6" t="s">
        <v>607</v>
      </c>
      <c r="F980" s="6" t="s">
        <v>607</v>
      </c>
      <c r="G980" s="4" t="s">
        <v>607</v>
      </c>
      <c r="H980" s="4" t="s">
        <v>607</v>
      </c>
      <c r="I980" s="4" t="s">
        <v>607</v>
      </c>
      <c r="J980" s="4" t="s">
        <v>607</v>
      </c>
      <c r="K980" s="4" t="s">
        <v>607</v>
      </c>
      <c r="L980" s="4" t="s">
        <v>607</v>
      </c>
      <c r="M980" s="4" t="s">
        <v>607</v>
      </c>
      <c r="N980" s="4" t="s">
        <v>607</v>
      </c>
      <c r="O980" s="4"/>
      <c r="P980" s="4"/>
      <c r="T980" s="4"/>
    </row>
    <row r="981">
      <c r="A981" s="4" t="s">
        <v>3134</v>
      </c>
      <c r="B981" s="4" t="s">
        <v>607</v>
      </c>
      <c r="C981" s="6" t="s">
        <v>607</v>
      </c>
      <c r="D981" s="6" t="s">
        <v>607</v>
      </c>
      <c r="E981" s="6" t="s">
        <v>607</v>
      </c>
      <c r="F981" s="6" t="s">
        <v>607</v>
      </c>
      <c r="G981" s="4" t="s">
        <v>607</v>
      </c>
      <c r="H981" s="4" t="s">
        <v>607</v>
      </c>
      <c r="I981" s="4" t="s">
        <v>607</v>
      </c>
      <c r="J981" s="4" t="s">
        <v>607</v>
      </c>
      <c r="K981" s="4" t="s">
        <v>607</v>
      </c>
      <c r="L981" s="4" t="s">
        <v>607</v>
      </c>
      <c r="M981" s="4" t="s">
        <v>607</v>
      </c>
      <c r="N981" s="4" t="s">
        <v>607</v>
      </c>
      <c r="O981" s="4"/>
      <c r="P981" s="4"/>
      <c r="T981" s="4"/>
    </row>
    <row r="982">
      <c r="A982" s="4" t="s">
        <v>3136</v>
      </c>
      <c r="B982" s="4" t="s">
        <v>607</v>
      </c>
      <c r="C982" s="6" t="s">
        <v>607</v>
      </c>
      <c r="D982" s="6" t="s">
        <v>607</v>
      </c>
      <c r="E982" s="6" t="s">
        <v>607</v>
      </c>
      <c r="F982" s="6" t="s">
        <v>607</v>
      </c>
      <c r="G982" s="4" t="s">
        <v>607</v>
      </c>
      <c r="H982" s="4" t="s">
        <v>607</v>
      </c>
      <c r="I982" s="4" t="s">
        <v>607</v>
      </c>
      <c r="J982" s="4" t="s">
        <v>607</v>
      </c>
      <c r="K982" s="4" t="s">
        <v>607</v>
      </c>
      <c r="L982" s="4" t="s">
        <v>607</v>
      </c>
      <c r="M982" s="4" t="s">
        <v>607</v>
      </c>
      <c r="N982" s="4" t="s">
        <v>607</v>
      </c>
      <c r="O982" s="4"/>
      <c r="P982" s="4"/>
      <c r="T982" s="4"/>
    </row>
    <row r="983">
      <c r="A983" s="4" t="s">
        <v>3139</v>
      </c>
      <c r="B983" s="4" t="s">
        <v>607</v>
      </c>
      <c r="C983" s="6" t="s">
        <v>607</v>
      </c>
      <c r="D983" s="6" t="s">
        <v>607</v>
      </c>
      <c r="E983" s="6" t="s">
        <v>607</v>
      </c>
      <c r="F983" s="6" t="s">
        <v>607</v>
      </c>
      <c r="G983" s="4" t="s">
        <v>607</v>
      </c>
      <c r="H983" s="4" t="s">
        <v>607</v>
      </c>
      <c r="I983" s="4" t="s">
        <v>607</v>
      </c>
      <c r="J983" s="4" t="s">
        <v>607</v>
      </c>
      <c r="K983" s="4" t="s">
        <v>607</v>
      </c>
      <c r="L983" s="4" t="s">
        <v>607</v>
      </c>
      <c r="M983" s="4" t="s">
        <v>607</v>
      </c>
      <c r="N983" s="4" t="s">
        <v>607</v>
      </c>
      <c r="O983" s="4"/>
      <c r="P983" s="4"/>
      <c r="T983" s="4"/>
    </row>
    <row r="984">
      <c r="A984" s="4" t="s">
        <v>3152</v>
      </c>
      <c r="B984" s="4" t="s">
        <v>607</v>
      </c>
      <c r="C984" s="6" t="s">
        <v>607</v>
      </c>
      <c r="D984" s="6" t="s">
        <v>607</v>
      </c>
      <c r="E984" s="6" t="s">
        <v>607</v>
      </c>
      <c r="F984" s="6" t="s">
        <v>607</v>
      </c>
      <c r="G984" s="4" t="s">
        <v>607</v>
      </c>
      <c r="H984" s="4" t="s">
        <v>607</v>
      </c>
      <c r="I984" s="4" t="s">
        <v>607</v>
      </c>
      <c r="J984" s="4" t="s">
        <v>607</v>
      </c>
      <c r="K984" s="4" t="s">
        <v>607</v>
      </c>
      <c r="L984" s="4" t="s">
        <v>607</v>
      </c>
      <c r="M984" s="4" t="s">
        <v>607</v>
      </c>
      <c r="N984" s="4" t="s">
        <v>607</v>
      </c>
      <c r="O984" s="4"/>
      <c r="P984" s="4"/>
      <c r="T984" s="4"/>
    </row>
    <row r="985">
      <c r="A985" s="4" t="s">
        <v>3155</v>
      </c>
      <c r="B985" s="4" t="s">
        <v>607</v>
      </c>
      <c r="C985" s="6" t="s">
        <v>607</v>
      </c>
      <c r="D985" s="6" t="s">
        <v>607</v>
      </c>
      <c r="E985" s="6" t="s">
        <v>607</v>
      </c>
      <c r="F985" s="6" t="s">
        <v>607</v>
      </c>
      <c r="G985" s="4" t="s">
        <v>607</v>
      </c>
      <c r="H985" s="4" t="s">
        <v>607</v>
      </c>
      <c r="I985" s="4" t="s">
        <v>607</v>
      </c>
      <c r="J985" s="4" t="s">
        <v>607</v>
      </c>
      <c r="K985" s="4" t="s">
        <v>607</v>
      </c>
      <c r="L985" s="4" t="s">
        <v>607</v>
      </c>
      <c r="M985" s="4" t="s">
        <v>607</v>
      </c>
      <c r="N985" s="4" t="s">
        <v>607</v>
      </c>
      <c r="O985" s="4"/>
      <c r="P985" s="4"/>
      <c r="T985" s="4"/>
    </row>
    <row r="986">
      <c r="A986" s="4" t="s">
        <v>3170</v>
      </c>
      <c r="B986" s="4" t="s">
        <v>607</v>
      </c>
      <c r="C986" s="6" t="s">
        <v>607</v>
      </c>
      <c r="D986" s="6" t="s">
        <v>607</v>
      </c>
      <c r="E986" s="6" t="s">
        <v>607</v>
      </c>
      <c r="F986" s="6" t="s">
        <v>607</v>
      </c>
      <c r="G986" s="4" t="s">
        <v>607</v>
      </c>
      <c r="H986" s="4" t="s">
        <v>607</v>
      </c>
      <c r="I986" s="4" t="s">
        <v>607</v>
      </c>
      <c r="J986" s="4" t="s">
        <v>607</v>
      </c>
      <c r="K986" s="4" t="s">
        <v>607</v>
      </c>
      <c r="L986" s="4" t="s">
        <v>607</v>
      </c>
      <c r="M986" s="4" t="s">
        <v>607</v>
      </c>
      <c r="N986" s="4" t="s">
        <v>607</v>
      </c>
      <c r="O986" s="4"/>
      <c r="P986" s="4"/>
      <c r="T986" s="4"/>
    </row>
    <row r="987">
      <c r="A987" s="4" t="s">
        <v>3175</v>
      </c>
      <c r="B987" s="4" t="s">
        <v>607</v>
      </c>
      <c r="C987" s="6" t="s">
        <v>607</v>
      </c>
      <c r="D987" s="6" t="s">
        <v>607</v>
      </c>
      <c r="E987" s="6" t="s">
        <v>607</v>
      </c>
      <c r="F987" s="6" t="s">
        <v>607</v>
      </c>
      <c r="G987" s="4" t="s">
        <v>607</v>
      </c>
      <c r="H987" s="4" t="s">
        <v>607</v>
      </c>
      <c r="I987" s="4" t="s">
        <v>607</v>
      </c>
      <c r="J987" s="4" t="s">
        <v>607</v>
      </c>
      <c r="K987" s="4" t="s">
        <v>607</v>
      </c>
      <c r="L987" s="4" t="s">
        <v>607</v>
      </c>
      <c r="M987" s="4" t="s">
        <v>607</v>
      </c>
      <c r="N987" s="4" t="s">
        <v>607</v>
      </c>
      <c r="O987" s="4"/>
      <c r="P987" s="4"/>
      <c r="T987" s="4"/>
    </row>
    <row r="988">
      <c r="A988" s="4" t="s">
        <v>3180</v>
      </c>
      <c r="B988" s="4" t="s">
        <v>607</v>
      </c>
      <c r="C988" s="6" t="s">
        <v>607</v>
      </c>
      <c r="D988" s="6" t="s">
        <v>607</v>
      </c>
      <c r="E988" s="6" t="s">
        <v>607</v>
      </c>
      <c r="F988" s="6" t="s">
        <v>607</v>
      </c>
      <c r="G988" s="4" t="s">
        <v>607</v>
      </c>
      <c r="H988" s="4" t="s">
        <v>607</v>
      </c>
      <c r="I988" s="4" t="s">
        <v>607</v>
      </c>
      <c r="J988" s="4" t="s">
        <v>607</v>
      </c>
      <c r="K988" s="4" t="s">
        <v>607</v>
      </c>
      <c r="L988" s="4" t="s">
        <v>607</v>
      </c>
      <c r="M988" s="4" t="s">
        <v>607</v>
      </c>
      <c r="N988" s="4" t="s">
        <v>607</v>
      </c>
      <c r="O988" s="4"/>
      <c r="P988" s="4"/>
      <c r="T988" s="4"/>
    </row>
    <row r="989">
      <c r="A989" s="4" t="s">
        <v>3195</v>
      </c>
      <c r="B989" s="4" t="s">
        <v>607</v>
      </c>
      <c r="C989" s="6" t="s">
        <v>607</v>
      </c>
      <c r="D989" s="6" t="s">
        <v>607</v>
      </c>
      <c r="E989" s="6" t="s">
        <v>607</v>
      </c>
      <c r="F989" s="6" t="s">
        <v>607</v>
      </c>
      <c r="G989" s="4" t="s">
        <v>607</v>
      </c>
      <c r="H989" s="4" t="s">
        <v>607</v>
      </c>
      <c r="I989" s="4" t="s">
        <v>607</v>
      </c>
      <c r="J989" s="4" t="s">
        <v>607</v>
      </c>
      <c r="K989" s="4" t="s">
        <v>607</v>
      </c>
      <c r="L989" s="4" t="s">
        <v>607</v>
      </c>
      <c r="M989" s="4" t="s">
        <v>607</v>
      </c>
      <c r="N989" s="4" t="s">
        <v>607</v>
      </c>
      <c r="O989" s="4"/>
      <c r="P989" s="4"/>
      <c r="T989" s="4"/>
    </row>
    <row r="990">
      <c r="A990" s="4" t="s">
        <v>3199</v>
      </c>
      <c r="B990" s="4" t="s">
        <v>607</v>
      </c>
      <c r="C990" s="6" t="s">
        <v>607</v>
      </c>
      <c r="D990" s="6" t="s">
        <v>607</v>
      </c>
      <c r="E990" s="6" t="s">
        <v>607</v>
      </c>
      <c r="F990" s="6" t="s">
        <v>607</v>
      </c>
      <c r="G990" s="4" t="s">
        <v>607</v>
      </c>
      <c r="H990" s="4" t="s">
        <v>607</v>
      </c>
      <c r="I990" s="4" t="s">
        <v>607</v>
      </c>
      <c r="J990" s="4" t="s">
        <v>607</v>
      </c>
      <c r="K990" s="4" t="s">
        <v>607</v>
      </c>
      <c r="L990" s="4" t="s">
        <v>607</v>
      </c>
      <c r="M990" s="4" t="s">
        <v>607</v>
      </c>
      <c r="N990" s="4" t="s">
        <v>607</v>
      </c>
      <c r="O990" s="4"/>
      <c r="P990" s="4"/>
      <c r="T990" s="4"/>
    </row>
    <row r="991">
      <c r="A991" s="4" t="s">
        <v>3204</v>
      </c>
      <c r="B991" s="4" t="s">
        <v>607</v>
      </c>
      <c r="C991" s="6" t="s">
        <v>607</v>
      </c>
      <c r="D991" s="6" t="s">
        <v>607</v>
      </c>
      <c r="E991" s="6" t="s">
        <v>607</v>
      </c>
      <c r="F991" s="6" t="s">
        <v>607</v>
      </c>
      <c r="G991" s="4" t="s">
        <v>607</v>
      </c>
      <c r="H991" s="4" t="s">
        <v>607</v>
      </c>
      <c r="I991" s="4" t="s">
        <v>607</v>
      </c>
      <c r="J991" s="4" t="s">
        <v>607</v>
      </c>
      <c r="K991" s="4" t="s">
        <v>607</v>
      </c>
      <c r="L991" s="4" t="s">
        <v>607</v>
      </c>
      <c r="M991" s="4" t="s">
        <v>607</v>
      </c>
      <c r="N991" s="4" t="s">
        <v>607</v>
      </c>
      <c r="O991" s="4"/>
      <c r="P991" s="4"/>
      <c r="T991" s="4"/>
    </row>
    <row r="992">
      <c r="A992" s="4" t="s">
        <v>3207</v>
      </c>
      <c r="B992" s="4" t="s">
        <v>607</v>
      </c>
      <c r="C992" s="6" t="s">
        <v>607</v>
      </c>
      <c r="D992" s="6" t="s">
        <v>607</v>
      </c>
      <c r="E992" s="6" t="s">
        <v>607</v>
      </c>
      <c r="F992" s="6" t="s">
        <v>607</v>
      </c>
      <c r="G992" s="4" t="s">
        <v>607</v>
      </c>
      <c r="H992" s="4" t="s">
        <v>607</v>
      </c>
      <c r="I992" s="4" t="s">
        <v>607</v>
      </c>
      <c r="J992" s="4" t="s">
        <v>607</v>
      </c>
      <c r="K992" s="4" t="s">
        <v>607</v>
      </c>
      <c r="L992" s="4" t="s">
        <v>607</v>
      </c>
      <c r="M992" s="4" t="s">
        <v>607</v>
      </c>
      <c r="N992" s="4" t="s">
        <v>607</v>
      </c>
      <c r="O992" s="4"/>
      <c r="P992" s="4"/>
      <c r="T992" s="4"/>
    </row>
    <row r="993">
      <c r="A993" s="4" t="s">
        <v>3217</v>
      </c>
      <c r="B993" s="4" t="s">
        <v>607</v>
      </c>
      <c r="C993" s="6" t="s">
        <v>607</v>
      </c>
      <c r="D993" s="6" t="s">
        <v>607</v>
      </c>
      <c r="E993" s="6" t="s">
        <v>607</v>
      </c>
      <c r="F993" s="6" t="s">
        <v>607</v>
      </c>
      <c r="G993" s="4" t="s">
        <v>607</v>
      </c>
      <c r="H993" s="4" t="s">
        <v>607</v>
      </c>
      <c r="I993" s="4" t="s">
        <v>607</v>
      </c>
      <c r="J993" s="4" t="s">
        <v>607</v>
      </c>
      <c r="K993" s="4" t="s">
        <v>607</v>
      </c>
      <c r="L993" s="4" t="s">
        <v>607</v>
      </c>
      <c r="M993" s="4" t="s">
        <v>607</v>
      </c>
      <c r="N993" s="4" t="s">
        <v>607</v>
      </c>
      <c r="O993" s="4"/>
      <c r="P993" s="4"/>
      <c r="T993" s="4"/>
    </row>
    <row r="994">
      <c r="A994" s="4" t="s">
        <v>3220</v>
      </c>
      <c r="B994" s="4" t="s">
        <v>607</v>
      </c>
      <c r="C994" s="6" t="s">
        <v>607</v>
      </c>
      <c r="D994" s="6" t="s">
        <v>607</v>
      </c>
      <c r="E994" s="6" t="s">
        <v>607</v>
      </c>
      <c r="F994" s="6" t="s">
        <v>607</v>
      </c>
      <c r="G994" s="4" t="s">
        <v>607</v>
      </c>
      <c r="H994" s="4" t="s">
        <v>607</v>
      </c>
      <c r="I994" s="4" t="s">
        <v>607</v>
      </c>
      <c r="J994" s="4" t="s">
        <v>607</v>
      </c>
      <c r="K994" s="4" t="s">
        <v>607</v>
      </c>
      <c r="L994" s="4" t="s">
        <v>607</v>
      </c>
      <c r="M994" s="4" t="s">
        <v>607</v>
      </c>
      <c r="N994" s="4" t="s">
        <v>607</v>
      </c>
      <c r="O994" s="4"/>
      <c r="P994" s="4"/>
      <c r="T994" s="4"/>
    </row>
    <row r="995">
      <c r="A995" s="4" t="s">
        <v>3225</v>
      </c>
      <c r="B995" s="4" t="s">
        <v>607</v>
      </c>
      <c r="C995" s="6" t="s">
        <v>607</v>
      </c>
      <c r="D995" s="6" t="s">
        <v>607</v>
      </c>
      <c r="E995" s="6" t="s">
        <v>607</v>
      </c>
      <c r="F995" s="6" t="s">
        <v>607</v>
      </c>
      <c r="G995" s="4" t="s">
        <v>607</v>
      </c>
      <c r="H995" s="4" t="s">
        <v>607</v>
      </c>
      <c r="I995" s="4" t="s">
        <v>607</v>
      </c>
      <c r="J995" s="4" t="s">
        <v>607</v>
      </c>
      <c r="K995" s="4" t="s">
        <v>607</v>
      </c>
      <c r="L995" s="4" t="s">
        <v>607</v>
      </c>
      <c r="M995" s="4" t="s">
        <v>607</v>
      </c>
      <c r="N995" s="4" t="s">
        <v>607</v>
      </c>
      <c r="O995" s="4"/>
      <c r="P995" s="4"/>
      <c r="T995" s="4"/>
    </row>
    <row r="996">
      <c r="A996" s="4" t="s">
        <v>3227</v>
      </c>
      <c r="B996" s="4" t="s">
        <v>607</v>
      </c>
      <c r="C996" s="6" t="s">
        <v>607</v>
      </c>
      <c r="D996" s="6" t="s">
        <v>607</v>
      </c>
      <c r="E996" s="6" t="s">
        <v>607</v>
      </c>
      <c r="F996" s="6" t="s">
        <v>607</v>
      </c>
      <c r="G996" s="4" t="s">
        <v>607</v>
      </c>
      <c r="H996" s="4" t="s">
        <v>607</v>
      </c>
      <c r="I996" s="4" t="s">
        <v>607</v>
      </c>
      <c r="J996" s="4" t="s">
        <v>607</v>
      </c>
      <c r="K996" s="4" t="s">
        <v>607</v>
      </c>
      <c r="L996" s="4" t="s">
        <v>607</v>
      </c>
      <c r="M996" s="4" t="s">
        <v>607</v>
      </c>
      <c r="N996" s="4" t="s">
        <v>607</v>
      </c>
      <c r="O996" s="4"/>
      <c r="P996" s="4"/>
      <c r="T996" s="4"/>
    </row>
    <row r="997">
      <c r="A997" s="4" t="s">
        <v>3241</v>
      </c>
      <c r="B997" s="4" t="s">
        <v>607</v>
      </c>
      <c r="C997" s="6" t="s">
        <v>607</v>
      </c>
      <c r="D997" s="6" t="s">
        <v>607</v>
      </c>
      <c r="E997" s="6" t="s">
        <v>607</v>
      </c>
      <c r="F997" s="6" t="s">
        <v>607</v>
      </c>
      <c r="G997" s="4" t="s">
        <v>607</v>
      </c>
      <c r="H997" s="4" t="s">
        <v>607</v>
      </c>
      <c r="I997" s="4" t="s">
        <v>607</v>
      </c>
      <c r="J997" s="4" t="s">
        <v>607</v>
      </c>
      <c r="K997" s="4" t="s">
        <v>607</v>
      </c>
      <c r="L997" s="4" t="s">
        <v>607</v>
      </c>
      <c r="M997" s="4" t="s">
        <v>607</v>
      </c>
      <c r="N997" s="4" t="s">
        <v>607</v>
      </c>
      <c r="O997" s="4"/>
      <c r="P997" s="4"/>
      <c r="T997" s="4"/>
    </row>
    <row r="998">
      <c r="A998" s="4" t="s">
        <v>3246</v>
      </c>
      <c r="B998" s="4" t="s">
        <v>607</v>
      </c>
      <c r="C998" s="6" t="s">
        <v>607</v>
      </c>
      <c r="D998" s="6" t="s">
        <v>607</v>
      </c>
      <c r="E998" s="6" t="s">
        <v>607</v>
      </c>
      <c r="F998" s="6" t="s">
        <v>607</v>
      </c>
      <c r="G998" s="4" t="s">
        <v>607</v>
      </c>
      <c r="H998" s="4" t="s">
        <v>607</v>
      </c>
      <c r="I998" s="4" t="s">
        <v>607</v>
      </c>
      <c r="J998" s="4" t="s">
        <v>607</v>
      </c>
      <c r="K998" s="4" t="s">
        <v>607</v>
      </c>
      <c r="L998" s="4" t="s">
        <v>607</v>
      </c>
      <c r="M998" s="4" t="s">
        <v>607</v>
      </c>
      <c r="N998" s="4" t="s">
        <v>607</v>
      </c>
      <c r="O998" s="4"/>
      <c r="P998" s="4"/>
      <c r="T998" s="4"/>
    </row>
    <row r="999">
      <c r="A999" s="4" t="s">
        <v>3249</v>
      </c>
      <c r="B999" s="4" t="s">
        <v>607</v>
      </c>
      <c r="C999" s="6" t="s">
        <v>607</v>
      </c>
      <c r="D999" s="6" t="s">
        <v>607</v>
      </c>
      <c r="E999" s="6" t="s">
        <v>607</v>
      </c>
      <c r="F999" s="6" t="s">
        <v>607</v>
      </c>
      <c r="G999" s="4" t="s">
        <v>607</v>
      </c>
      <c r="H999" s="4" t="s">
        <v>607</v>
      </c>
      <c r="I999" s="4" t="s">
        <v>607</v>
      </c>
      <c r="J999" s="4" t="s">
        <v>607</v>
      </c>
      <c r="K999" s="4" t="s">
        <v>607</v>
      </c>
      <c r="L999" s="4" t="s">
        <v>607</v>
      </c>
      <c r="M999" s="4" t="s">
        <v>607</v>
      </c>
      <c r="N999" s="4" t="s">
        <v>607</v>
      </c>
      <c r="O999" s="4"/>
      <c r="P999" s="4"/>
      <c r="T999" s="4"/>
    </row>
    <row r="1000">
      <c r="A1000" s="4" t="s">
        <v>3262</v>
      </c>
      <c r="B1000" s="4" t="s">
        <v>607</v>
      </c>
      <c r="C1000" s="6" t="s">
        <v>607</v>
      </c>
      <c r="D1000" s="6" t="s">
        <v>607</v>
      </c>
      <c r="E1000" s="6" t="s">
        <v>607</v>
      </c>
      <c r="F1000" s="6" t="s">
        <v>607</v>
      </c>
      <c r="G1000" s="4" t="s">
        <v>607</v>
      </c>
      <c r="H1000" s="4" t="s">
        <v>607</v>
      </c>
      <c r="I1000" s="4" t="s">
        <v>607</v>
      </c>
      <c r="J1000" s="4" t="s">
        <v>607</v>
      </c>
      <c r="K1000" s="4" t="s">
        <v>607</v>
      </c>
      <c r="L1000" s="4" t="s">
        <v>607</v>
      </c>
      <c r="M1000" s="4" t="s">
        <v>607</v>
      </c>
      <c r="N1000" s="4" t="s">
        <v>607</v>
      </c>
      <c r="O1000" s="4"/>
      <c r="P1000" s="4"/>
      <c r="T1000" s="4"/>
    </row>
    <row r="1001">
      <c r="A1001" s="4" t="s">
        <v>3269</v>
      </c>
      <c r="B1001" s="4" t="s">
        <v>607</v>
      </c>
      <c r="C1001" s="6" t="s">
        <v>607</v>
      </c>
      <c r="D1001" s="6" t="s">
        <v>607</v>
      </c>
      <c r="E1001" s="6" t="s">
        <v>607</v>
      </c>
      <c r="F1001" s="6" t="s">
        <v>607</v>
      </c>
      <c r="G1001" s="4" t="s">
        <v>607</v>
      </c>
      <c r="H1001" s="4" t="s">
        <v>607</v>
      </c>
      <c r="I1001" s="4" t="s">
        <v>607</v>
      </c>
      <c r="J1001" s="4" t="s">
        <v>607</v>
      </c>
      <c r="K1001" s="4" t="s">
        <v>607</v>
      </c>
      <c r="L1001" s="4" t="s">
        <v>607</v>
      </c>
      <c r="M1001" s="4" t="s">
        <v>607</v>
      </c>
      <c r="N1001" s="4" t="s">
        <v>607</v>
      </c>
      <c r="O1001" s="4"/>
      <c r="P1001" s="4"/>
      <c r="T1001" s="4"/>
    </row>
    <row r="1002">
      <c r="A1002" s="4" t="s">
        <v>3273</v>
      </c>
      <c r="B1002" s="4" t="s">
        <v>607</v>
      </c>
      <c r="C1002" s="6" t="s">
        <v>607</v>
      </c>
      <c r="D1002" s="6" t="s">
        <v>607</v>
      </c>
      <c r="E1002" s="6" t="s">
        <v>607</v>
      </c>
      <c r="F1002" s="6" t="s">
        <v>607</v>
      </c>
      <c r="G1002" s="4" t="s">
        <v>607</v>
      </c>
      <c r="H1002" s="4" t="s">
        <v>607</v>
      </c>
      <c r="I1002" s="4" t="s">
        <v>607</v>
      </c>
      <c r="J1002" s="4" t="s">
        <v>607</v>
      </c>
      <c r="K1002" s="4" t="s">
        <v>607</v>
      </c>
      <c r="L1002" s="4" t="s">
        <v>607</v>
      </c>
      <c r="M1002" s="4" t="s">
        <v>607</v>
      </c>
      <c r="N1002" s="4" t="s">
        <v>607</v>
      </c>
      <c r="O1002" s="4"/>
      <c r="P1002" s="4"/>
      <c r="T1002" s="4"/>
    </row>
    <row r="1003">
      <c r="A1003" s="4" t="s">
        <v>3287</v>
      </c>
      <c r="B1003" s="4" t="s">
        <v>607</v>
      </c>
      <c r="C1003" s="6" t="s">
        <v>607</v>
      </c>
      <c r="D1003" s="6" t="s">
        <v>607</v>
      </c>
      <c r="E1003" s="6" t="s">
        <v>607</v>
      </c>
      <c r="F1003" s="6" t="s">
        <v>607</v>
      </c>
      <c r="G1003" s="4" t="s">
        <v>607</v>
      </c>
      <c r="H1003" s="4" t="s">
        <v>607</v>
      </c>
      <c r="I1003" s="4" t="s">
        <v>607</v>
      </c>
      <c r="J1003" s="4" t="s">
        <v>607</v>
      </c>
      <c r="K1003" s="4" t="s">
        <v>607</v>
      </c>
      <c r="L1003" s="4" t="s">
        <v>607</v>
      </c>
      <c r="M1003" s="4" t="s">
        <v>607</v>
      </c>
      <c r="N1003" s="4" t="s">
        <v>607</v>
      </c>
      <c r="O1003" s="4"/>
      <c r="P1003" s="4"/>
      <c r="T1003" s="4"/>
    </row>
    <row r="1004">
      <c r="A1004" s="4" t="s">
        <v>3291</v>
      </c>
      <c r="B1004" s="4" t="s">
        <v>607</v>
      </c>
      <c r="C1004" s="6" t="s">
        <v>607</v>
      </c>
      <c r="D1004" s="6" t="s">
        <v>607</v>
      </c>
      <c r="E1004" s="6" t="s">
        <v>607</v>
      </c>
      <c r="F1004" s="6" t="s">
        <v>607</v>
      </c>
      <c r="G1004" s="4" t="s">
        <v>607</v>
      </c>
      <c r="H1004" s="4" t="s">
        <v>607</v>
      </c>
      <c r="I1004" s="4" t="s">
        <v>607</v>
      </c>
      <c r="J1004" s="4" t="s">
        <v>607</v>
      </c>
      <c r="K1004" s="4" t="s">
        <v>607</v>
      </c>
      <c r="L1004" s="4" t="s">
        <v>607</v>
      </c>
      <c r="M1004" s="4" t="s">
        <v>607</v>
      </c>
      <c r="N1004" s="4" t="s">
        <v>607</v>
      </c>
      <c r="O1004" s="4"/>
      <c r="P1004" s="4"/>
      <c r="T1004" s="4"/>
    </row>
    <row r="1005">
      <c r="A1005" s="4" t="s">
        <v>3294</v>
      </c>
      <c r="B1005" s="4" t="s">
        <v>607</v>
      </c>
      <c r="C1005" s="6" t="s">
        <v>607</v>
      </c>
      <c r="D1005" s="6" t="s">
        <v>607</v>
      </c>
      <c r="E1005" s="6" t="s">
        <v>607</v>
      </c>
      <c r="F1005" s="6" t="s">
        <v>607</v>
      </c>
      <c r="G1005" s="4" t="s">
        <v>607</v>
      </c>
      <c r="H1005" s="4" t="s">
        <v>607</v>
      </c>
      <c r="I1005" s="4" t="s">
        <v>607</v>
      </c>
      <c r="J1005" s="4" t="s">
        <v>607</v>
      </c>
      <c r="K1005" s="4" t="s">
        <v>607</v>
      </c>
      <c r="L1005" s="4" t="s">
        <v>607</v>
      </c>
      <c r="M1005" s="4" t="s">
        <v>607</v>
      </c>
      <c r="N1005" s="4" t="s">
        <v>607</v>
      </c>
      <c r="O1005" s="4"/>
      <c r="P1005" s="4"/>
      <c r="T1005" s="4"/>
    </row>
    <row r="1006">
      <c r="A1006" s="4" t="s">
        <v>3299</v>
      </c>
      <c r="B1006" s="4" t="s">
        <v>607</v>
      </c>
      <c r="C1006" s="6" t="s">
        <v>607</v>
      </c>
      <c r="D1006" s="6" t="s">
        <v>607</v>
      </c>
      <c r="E1006" s="6" t="s">
        <v>607</v>
      </c>
      <c r="F1006" s="6" t="s">
        <v>607</v>
      </c>
      <c r="G1006" s="4" t="s">
        <v>607</v>
      </c>
      <c r="H1006" s="4" t="s">
        <v>607</v>
      </c>
      <c r="I1006" s="4" t="s">
        <v>607</v>
      </c>
      <c r="J1006" s="4" t="s">
        <v>607</v>
      </c>
      <c r="K1006" s="4" t="s">
        <v>607</v>
      </c>
      <c r="L1006" s="4" t="s">
        <v>607</v>
      </c>
      <c r="M1006" s="4" t="s">
        <v>607</v>
      </c>
      <c r="N1006" s="4" t="s">
        <v>607</v>
      </c>
      <c r="O1006" s="4"/>
      <c r="P1006" s="4"/>
      <c r="T1006" s="4"/>
    </row>
    <row r="1007">
      <c r="A1007" s="4" t="s">
        <v>3303</v>
      </c>
      <c r="B1007" s="4" t="s">
        <v>607</v>
      </c>
      <c r="C1007" s="6" t="s">
        <v>607</v>
      </c>
      <c r="D1007" s="6" t="s">
        <v>607</v>
      </c>
      <c r="E1007" s="6" t="s">
        <v>607</v>
      </c>
      <c r="F1007" s="6" t="s">
        <v>607</v>
      </c>
      <c r="G1007" s="4" t="s">
        <v>607</v>
      </c>
      <c r="H1007" s="4" t="s">
        <v>607</v>
      </c>
      <c r="I1007" s="4" t="s">
        <v>607</v>
      </c>
      <c r="J1007" s="4" t="s">
        <v>607</v>
      </c>
      <c r="K1007" s="4" t="s">
        <v>607</v>
      </c>
      <c r="L1007" s="4" t="s">
        <v>607</v>
      </c>
      <c r="M1007" s="4" t="s">
        <v>607</v>
      </c>
      <c r="N1007" s="4" t="s">
        <v>607</v>
      </c>
      <c r="O1007" s="4"/>
      <c r="P1007" s="4"/>
      <c r="T1007" s="4"/>
    </row>
    <row r="1008">
      <c r="A1008" s="4" t="s">
        <v>3315</v>
      </c>
      <c r="B1008" s="4" t="s">
        <v>607</v>
      </c>
      <c r="C1008" s="6" t="s">
        <v>607</v>
      </c>
      <c r="D1008" s="6" t="s">
        <v>607</v>
      </c>
      <c r="E1008" s="6" t="s">
        <v>607</v>
      </c>
      <c r="F1008" s="6" t="s">
        <v>607</v>
      </c>
      <c r="G1008" s="4" t="s">
        <v>607</v>
      </c>
      <c r="H1008" s="4" t="s">
        <v>607</v>
      </c>
      <c r="I1008" s="4" t="s">
        <v>607</v>
      </c>
      <c r="J1008" s="4" t="s">
        <v>607</v>
      </c>
      <c r="K1008" s="4" t="s">
        <v>607</v>
      </c>
      <c r="L1008" s="4" t="s">
        <v>607</v>
      </c>
      <c r="M1008" s="4" t="s">
        <v>607</v>
      </c>
      <c r="N1008" s="4" t="s">
        <v>607</v>
      </c>
      <c r="O1008" s="4"/>
      <c r="P1008" s="4"/>
      <c r="T1008" s="4"/>
    </row>
    <row r="1009">
      <c r="A1009" s="4" t="s">
        <v>3320</v>
      </c>
      <c r="B1009" s="4" t="s">
        <v>607</v>
      </c>
      <c r="C1009" s="6" t="s">
        <v>607</v>
      </c>
      <c r="D1009" s="6" t="s">
        <v>607</v>
      </c>
      <c r="E1009" s="6" t="s">
        <v>607</v>
      </c>
      <c r="F1009" s="6" t="s">
        <v>607</v>
      </c>
      <c r="G1009" s="4" t="s">
        <v>607</v>
      </c>
      <c r="H1009" s="4" t="s">
        <v>607</v>
      </c>
      <c r="I1009" s="4" t="s">
        <v>607</v>
      </c>
      <c r="J1009" s="4" t="s">
        <v>607</v>
      </c>
      <c r="K1009" s="4" t="s">
        <v>607</v>
      </c>
      <c r="L1009" s="4" t="s">
        <v>607</v>
      </c>
      <c r="M1009" s="4" t="s">
        <v>607</v>
      </c>
      <c r="N1009" s="4" t="s">
        <v>607</v>
      </c>
      <c r="O1009" s="4"/>
      <c r="P1009" s="4"/>
      <c r="T1009" s="4"/>
    </row>
    <row r="1010">
      <c r="A1010" s="4" t="s">
        <v>3325</v>
      </c>
      <c r="B1010" s="4" t="s">
        <v>607</v>
      </c>
      <c r="C1010" s="6" t="s">
        <v>607</v>
      </c>
      <c r="D1010" s="6" t="s">
        <v>607</v>
      </c>
      <c r="E1010" s="6" t="s">
        <v>607</v>
      </c>
      <c r="F1010" s="6" t="s">
        <v>607</v>
      </c>
      <c r="G1010" s="4" t="s">
        <v>607</v>
      </c>
      <c r="H1010" s="4" t="s">
        <v>607</v>
      </c>
      <c r="I1010" s="4" t="s">
        <v>607</v>
      </c>
      <c r="J1010" s="4" t="s">
        <v>607</v>
      </c>
      <c r="K1010" s="4" t="s">
        <v>607</v>
      </c>
      <c r="L1010" s="4" t="s">
        <v>607</v>
      </c>
      <c r="M1010" s="4" t="s">
        <v>607</v>
      </c>
      <c r="N1010" s="4" t="s">
        <v>607</v>
      </c>
      <c r="O1010" s="4"/>
      <c r="P1010" s="4"/>
      <c r="T1010" s="4"/>
    </row>
    <row r="1011">
      <c r="A1011" s="4" t="s">
        <v>3337</v>
      </c>
      <c r="B1011" s="4" t="s">
        <v>607</v>
      </c>
      <c r="C1011" s="6" t="s">
        <v>607</v>
      </c>
      <c r="D1011" s="6" t="s">
        <v>607</v>
      </c>
      <c r="E1011" s="6" t="s">
        <v>607</v>
      </c>
      <c r="F1011" s="6" t="s">
        <v>607</v>
      </c>
      <c r="G1011" s="4" t="s">
        <v>607</v>
      </c>
      <c r="H1011" s="4" t="s">
        <v>607</v>
      </c>
      <c r="I1011" s="4" t="s">
        <v>607</v>
      </c>
      <c r="J1011" s="4" t="s">
        <v>607</v>
      </c>
      <c r="K1011" s="4" t="s">
        <v>607</v>
      </c>
      <c r="L1011" s="4" t="s">
        <v>607</v>
      </c>
      <c r="M1011" s="4" t="s">
        <v>607</v>
      </c>
      <c r="N1011" s="4" t="s">
        <v>607</v>
      </c>
      <c r="O1011" s="4"/>
      <c r="P1011" s="4"/>
      <c r="T1011" s="4"/>
    </row>
    <row r="1012">
      <c r="A1012" s="4" t="s">
        <v>3342</v>
      </c>
      <c r="B1012" s="4" t="s">
        <v>607</v>
      </c>
      <c r="C1012" s="6" t="s">
        <v>607</v>
      </c>
      <c r="D1012" s="6" t="s">
        <v>607</v>
      </c>
      <c r="E1012" s="6" t="s">
        <v>607</v>
      </c>
      <c r="F1012" s="6" t="s">
        <v>607</v>
      </c>
      <c r="G1012" s="4" t="s">
        <v>607</v>
      </c>
      <c r="H1012" s="4" t="s">
        <v>607</v>
      </c>
      <c r="I1012" s="4" t="s">
        <v>607</v>
      </c>
      <c r="J1012" s="4" t="s">
        <v>607</v>
      </c>
      <c r="K1012" s="4" t="s">
        <v>607</v>
      </c>
      <c r="L1012" s="4" t="s">
        <v>607</v>
      </c>
      <c r="M1012" s="4" t="s">
        <v>607</v>
      </c>
      <c r="N1012" s="4" t="s">
        <v>607</v>
      </c>
      <c r="O1012" s="4"/>
      <c r="P1012" s="4"/>
      <c r="T1012" s="4"/>
    </row>
    <row r="1013">
      <c r="A1013" s="4" t="s">
        <v>3344</v>
      </c>
      <c r="B1013" s="4" t="s">
        <v>607</v>
      </c>
      <c r="C1013" s="6" t="s">
        <v>607</v>
      </c>
      <c r="D1013" s="6" t="s">
        <v>607</v>
      </c>
      <c r="E1013" s="6" t="s">
        <v>607</v>
      </c>
      <c r="F1013" s="6" t="s">
        <v>607</v>
      </c>
      <c r="G1013" s="4" t="s">
        <v>607</v>
      </c>
      <c r="H1013" s="4" t="s">
        <v>607</v>
      </c>
      <c r="I1013" s="4" t="s">
        <v>607</v>
      </c>
      <c r="J1013" s="4" t="s">
        <v>607</v>
      </c>
      <c r="K1013" s="4" t="s">
        <v>607</v>
      </c>
      <c r="L1013" s="4" t="s">
        <v>607</v>
      </c>
      <c r="M1013" s="4" t="s">
        <v>607</v>
      </c>
      <c r="N1013" s="4" t="s">
        <v>607</v>
      </c>
      <c r="O1013" s="4"/>
      <c r="P1013" s="4"/>
      <c r="T1013" s="4"/>
    </row>
    <row r="1014">
      <c r="A1014" s="4" t="s">
        <v>3351</v>
      </c>
      <c r="B1014" s="4" t="s">
        <v>607</v>
      </c>
      <c r="C1014" s="6" t="s">
        <v>607</v>
      </c>
      <c r="D1014" s="6" t="s">
        <v>607</v>
      </c>
      <c r="E1014" s="6" t="s">
        <v>607</v>
      </c>
      <c r="F1014" s="6" t="s">
        <v>607</v>
      </c>
      <c r="G1014" s="4" t="s">
        <v>607</v>
      </c>
      <c r="H1014" s="4" t="s">
        <v>607</v>
      </c>
      <c r="I1014" s="4" t="s">
        <v>607</v>
      </c>
      <c r="J1014" s="4" t="s">
        <v>607</v>
      </c>
      <c r="K1014" s="4" t="s">
        <v>607</v>
      </c>
      <c r="L1014" s="4" t="s">
        <v>607</v>
      </c>
      <c r="M1014" s="4" t="s">
        <v>607</v>
      </c>
      <c r="N1014" s="4" t="s">
        <v>607</v>
      </c>
      <c r="O1014" s="4"/>
      <c r="P1014" s="4"/>
      <c r="T1014" s="4"/>
    </row>
    <row r="1015">
      <c r="A1015" s="4" t="s">
        <v>3362</v>
      </c>
      <c r="B1015" s="4" t="s">
        <v>607</v>
      </c>
      <c r="C1015" s="6" t="s">
        <v>607</v>
      </c>
      <c r="D1015" s="6" t="s">
        <v>607</v>
      </c>
      <c r="E1015" s="6" t="s">
        <v>607</v>
      </c>
      <c r="F1015" s="6" t="s">
        <v>607</v>
      </c>
      <c r="G1015" s="4" t="s">
        <v>607</v>
      </c>
      <c r="H1015" s="4" t="s">
        <v>607</v>
      </c>
      <c r="I1015" s="4" t="s">
        <v>607</v>
      </c>
      <c r="J1015" s="4" t="s">
        <v>607</v>
      </c>
      <c r="K1015" s="4" t="s">
        <v>607</v>
      </c>
      <c r="L1015" s="4" t="s">
        <v>607</v>
      </c>
      <c r="M1015" s="4" t="s">
        <v>607</v>
      </c>
      <c r="N1015" s="4" t="s">
        <v>607</v>
      </c>
      <c r="O1015" s="4"/>
      <c r="P1015" s="4"/>
      <c r="T1015" s="4"/>
    </row>
    <row r="1016">
      <c r="A1016" s="4" t="s">
        <v>3368</v>
      </c>
      <c r="B1016" s="4" t="s">
        <v>607</v>
      </c>
      <c r="C1016" s="6" t="s">
        <v>607</v>
      </c>
      <c r="D1016" s="6" t="s">
        <v>607</v>
      </c>
      <c r="E1016" s="6" t="s">
        <v>607</v>
      </c>
      <c r="F1016" s="6" t="s">
        <v>607</v>
      </c>
      <c r="G1016" s="4" t="s">
        <v>607</v>
      </c>
      <c r="H1016" s="4" t="s">
        <v>607</v>
      </c>
      <c r="I1016" s="4" t="s">
        <v>607</v>
      </c>
      <c r="J1016" s="4" t="s">
        <v>607</v>
      </c>
      <c r="K1016" s="4" t="s">
        <v>607</v>
      </c>
      <c r="L1016" s="4" t="s">
        <v>607</v>
      </c>
      <c r="M1016" s="4" t="s">
        <v>607</v>
      </c>
      <c r="N1016" s="4" t="s">
        <v>607</v>
      </c>
      <c r="O1016" s="4"/>
      <c r="P1016" s="4"/>
      <c r="T1016" s="4"/>
    </row>
    <row r="1017">
      <c r="A1017" s="4" t="s">
        <v>3374</v>
      </c>
      <c r="B1017" s="4" t="s">
        <v>607</v>
      </c>
      <c r="C1017" s="6" t="s">
        <v>607</v>
      </c>
      <c r="D1017" s="6" t="s">
        <v>607</v>
      </c>
      <c r="E1017" s="6" t="s">
        <v>607</v>
      </c>
      <c r="F1017" s="6" t="s">
        <v>607</v>
      </c>
      <c r="G1017" s="4" t="s">
        <v>607</v>
      </c>
      <c r="H1017" s="4" t="s">
        <v>607</v>
      </c>
      <c r="I1017" s="4" t="s">
        <v>607</v>
      </c>
      <c r="J1017" s="4" t="s">
        <v>607</v>
      </c>
      <c r="K1017" s="4" t="s">
        <v>607</v>
      </c>
      <c r="L1017" s="4" t="s">
        <v>607</v>
      </c>
      <c r="M1017" s="4" t="s">
        <v>607</v>
      </c>
      <c r="N1017" s="4" t="s">
        <v>607</v>
      </c>
      <c r="O1017" s="4"/>
      <c r="P1017" s="4"/>
      <c r="T1017" s="4"/>
    </row>
    <row r="1018">
      <c r="A1018" s="4" t="s">
        <v>3379</v>
      </c>
      <c r="B1018" s="4" t="s">
        <v>607</v>
      </c>
      <c r="C1018" s="6" t="s">
        <v>607</v>
      </c>
      <c r="D1018" s="6" t="s">
        <v>607</v>
      </c>
      <c r="E1018" s="6" t="s">
        <v>607</v>
      </c>
      <c r="F1018" s="6" t="s">
        <v>607</v>
      </c>
      <c r="G1018" s="4" t="s">
        <v>607</v>
      </c>
      <c r="H1018" s="4" t="s">
        <v>607</v>
      </c>
      <c r="I1018" s="4" t="s">
        <v>607</v>
      </c>
      <c r="J1018" s="4" t="s">
        <v>607</v>
      </c>
      <c r="K1018" s="4" t="s">
        <v>607</v>
      </c>
      <c r="L1018" s="4" t="s">
        <v>607</v>
      </c>
      <c r="M1018" s="4" t="s">
        <v>607</v>
      </c>
      <c r="N1018" s="4" t="s">
        <v>607</v>
      </c>
      <c r="O1018" s="4"/>
      <c r="P1018" s="4"/>
      <c r="T1018" s="4"/>
    </row>
    <row r="1019">
      <c r="A1019" s="4" t="s">
        <v>3384</v>
      </c>
      <c r="B1019" s="4" t="s">
        <v>607</v>
      </c>
      <c r="C1019" s="6" t="s">
        <v>607</v>
      </c>
      <c r="D1019" s="6" t="s">
        <v>607</v>
      </c>
      <c r="E1019" s="6" t="s">
        <v>607</v>
      </c>
      <c r="F1019" s="6" t="s">
        <v>607</v>
      </c>
      <c r="G1019" s="4" t="s">
        <v>607</v>
      </c>
      <c r="H1019" s="4" t="s">
        <v>607</v>
      </c>
      <c r="I1019" s="4" t="s">
        <v>607</v>
      </c>
      <c r="J1019" s="4" t="s">
        <v>607</v>
      </c>
      <c r="K1019" s="4" t="s">
        <v>607</v>
      </c>
      <c r="L1019" s="4" t="s">
        <v>607</v>
      </c>
      <c r="M1019" s="4" t="s">
        <v>607</v>
      </c>
      <c r="N1019" s="4" t="s">
        <v>607</v>
      </c>
      <c r="O1019" s="4"/>
      <c r="P1019" s="4"/>
      <c r="T1019" s="4"/>
    </row>
    <row r="1020">
      <c r="A1020" s="4" t="s">
        <v>3401</v>
      </c>
      <c r="B1020" s="4" t="s">
        <v>607</v>
      </c>
      <c r="C1020" s="6" t="s">
        <v>607</v>
      </c>
      <c r="D1020" s="6" t="s">
        <v>607</v>
      </c>
      <c r="E1020" s="6" t="s">
        <v>607</v>
      </c>
      <c r="F1020" s="6" t="s">
        <v>607</v>
      </c>
      <c r="G1020" s="4" t="s">
        <v>607</v>
      </c>
      <c r="H1020" s="4" t="s">
        <v>607</v>
      </c>
      <c r="I1020" s="4" t="s">
        <v>607</v>
      </c>
      <c r="J1020" s="4" t="s">
        <v>607</v>
      </c>
      <c r="K1020" s="4" t="s">
        <v>607</v>
      </c>
      <c r="L1020" s="4" t="s">
        <v>607</v>
      </c>
      <c r="M1020" s="4" t="s">
        <v>607</v>
      </c>
      <c r="N1020" s="4" t="s">
        <v>607</v>
      </c>
      <c r="O1020" s="4"/>
      <c r="P1020" s="4"/>
      <c r="T1020" s="4"/>
    </row>
    <row r="1021">
      <c r="A1021" s="4" t="s">
        <v>3409</v>
      </c>
      <c r="B1021" s="4" t="s">
        <v>607</v>
      </c>
      <c r="C1021" s="6" t="s">
        <v>607</v>
      </c>
      <c r="D1021" s="6" t="s">
        <v>607</v>
      </c>
      <c r="E1021" s="6" t="s">
        <v>607</v>
      </c>
      <c r="F1021" s="6" t="s">
        <v>607</v>
      </c>
      <c r="G1021" s="4" t="s">
        <v>607</v>
      </c>
      <c r="H1021" s="4" t="s">
        <v>607</v>
      </c>
      <c r="I1021" s="4" t="s">
        <v>607</v>
      </c>
      <c r="J1021" s="4" t="s">
        <v>607</v>
      </c>
      <c r="K1021" s="4" t="s">
        <v>607</v>
      </c>
      <c r="L1021" s="4" t="s">
        <v>607</v>
      </c>
      <c r="M1021" s="4" t="s">
        <v>607</v>
      </c>
      <c r="N1021" s="4" t="s">
        <v>607</v>
      </c>
      <c r="O1021" s="4"/>
      <c r="P1021" s="4"/>
      <c r="T1021" s="4"/>
    </row>
    <row r="1022">
      <c r="A1022" s="4" t="s">
        <v>3422</v>
      </c>
      <c r="B1022" s="4" t="s">
        <v>607</v>
      </c>
      <c r="C1022" s="6" t="s">
        <v>607</v>
      </c>
      <c r="D1022" s="6" t="s">
        <v>607</v>
      </c>
      <c r="E1022" s="6" t="s">
        <v>607</v>
      </c>
      <c r="F1022" s="6" t="s">
        <v>607</v>
      </c>
      <c r="G1022" s="4" t="s">
        <v>607</v>
      </c>
      <c r="H1022" s="4" t="s">
        <v>607</v>
      </c>
      <c r="I1022" s="4" t="s">
        <v>607</v>
      </c>
      <c r="J1022" s="4" t="s">
        <v>607</v>
      </c>
      <c r="K1022" s="4" t="s">
        <v>607</v>
      </c>
      <c r="L1022" s="4" t="s">
        <v>607</v>
      </c>
      <c r="M1022" s="4" t="s">
        <v>607</v>
      </c>
      <c r="N1022" s="4" t="s">
        <v>607</v>
      </c>
      <c r="O1022" s="4"/>
      <c r="P1022" s="4"/>
      <c r="T1022" s="4"/>
    </row>
    <row r="1023">
      <c r="A1023" s="4" t="s">
        <v>3425</v>
      </c>
      <c r="B1023" s="4" t="s">
        <v>607</v>
      </c>
      <c r="C1023" s="6" t="s">
        <v>607</v>
      </c>
      <c r="D1023" s="6" t="s">
        <v>607</v>
      </c>
      <c r="E1023" s="6" t="s">
        <v>607</v>
      </c>
      <c r="F1023" s="6" t="s">
        <v>607</v>
      </c>
      <c r="G1023" s="4" t="s">
        <v>607</v>
      </c>
      <c r="H1023" s="4" t="s">
        <v>607</v>
      </c>
      <c r="I1023" s="4" t="s">
        <v>607</v>
      </c>
      <c r="J1023" s="4" t="s">
        <v>607</v>
      </c>
      <c r="K1023" s="4" t="s">
        <v>607</v>
      </c>
      <c r="L1023" s="4" t="s">
        <v>607</v>
      </c>
      <c r="M1023" s="4" t="s">
        <v>607</v>
      </c>
      <c r="N1023" s="4" t="s">
        <v>607</v>
      </c>
      <c r="O1023" s="4"/>
      <c r="P1023" s="4"/>
      <c r="T1023" s="4"/>
    </row>
    <row r="1024">
      <c r="A1024" s="4" t="s">
        <v>3441</v>
      </c>
      <c r="B1024" s="4" t="s">
        <v>607</v>
      </c>
      <c r="C1024" s="6" t="s">
        <v>607</v>
      </c>
      <c r="D1024" s="6" t="s">
        <v>607</v>
      </c>
      <c r="E1024" s="6" t="s">
        <v>607</v>
      </c>
      <c r="F1024" s="6" t="s">
        <v>607</v>
      </c>
      <c r="G1024" s="4" t="s">
        <v>607</v>
      </c>
      <c r="H1024" s="4" t="s">
        <v>607</v>
      </c>
      <c r="I1024" s="4" t="s">
        <v>607</v>
      </c>
      <c r="J1024" s="4" t="s">
        <v>607</v>
      </c>
      <c r="K1024" s="4" t="s">
        <v>607</v>
      </c>
      <c r="L1024" s="4" t="s">
        <v>607</v>
      </c>
      <c r="M1024" s="4" t="s">
        <v>607</v>
      </c>
      <c r="N1024" s="4" t="s">
        <v>607</v>
      </c>
      <c r="O1024" s="4"/>
      <c r="P1024" s="4"/>
      <c r="T1024" s="4"/>
    </row>
    <row r="1025">
      <c r="A1025" s="4" t="s">
        <v>3445</v>
      </c>
      <c r="B1025" s="4" t="s">
        <v>607</v>
      </c>
      <c r="C1025" s="6" t="s">
        <v>607</v>
      </c>
      <c r="D1025" s="6" t="s">
        <v>607</v>
      </c>
      <c r="E1025" s="6" t="s">
        <v>607</v>
      </c>
      <c r="F1025" s="6" t="s">
        <v>607</v>
      </c>
      <c r="G1025" s="4" t="s">
        <v>607</v>
      </c>
      <c r="H1025" s="4" t="s">
        <v>607</v>
      </c>
      <c r="I1025" s="4" t="s">
        <v>607</v>
      </c>
      <c r="J1025" s="4" t="s">
        <v>607</v>
      </c>
      <c r="K1025" s="4" t="s">
        <v>607</v>
      </c>
      <c r="L1025" s="4" t="s">
        <v>607</v>
      </c>
      <c r="M1025" s="4" t="s">
        <v>607</v>
      </c>
      <c r="N1025" s="4" t="s">
        <v>607</v>
      </c>
      <c r="O1025" s="4"/>
      <c r="P1025" s="4"/>
      <c r="T1025" s="4"/>
    </row>
    <row r="1026">
      <c r="A1026" s="4" t="s">
        <v>3447</v>
      </c>
      <c r="B1026" s="4" t="s">
        <v>607</v>
      </c>
      <c r="C1026" s="6" t="s">
        <v>607</v>
      </c>
      <c r="D1026" s="6" t="s">
        <v>607</v>
      </c>
      <c r="E1026" s="6" t="s">
        <v>607</v>
      </c>
      <c r="F1026" s="6" t="s">
        <v>607</v>
      </c>
      <c r="G1026" s="4" t="s">
        <v>607</v>
      </c>
      <c r="H1026" s="4" t="s">
        <v>607</v>
      </c>
      <c r="I1026" s="4" t="s">
        <v>607</v>
      </c>
      <c r="J1026" s="4" t="s">
        <v>607</v>
      </c>
      <c r="K1026" s="4" t="s">
        <v>607</v>
      </c>
      <c r="L1026" s="4" t="s">
        <v>607</v>
      </c>
      <c r="M1026" s="4" t="s">
        <v>607</v>
      </c>
      <c r="N1026" s="4" t="s">
        <v>607</v>
      </c>
      <c r="O1026" s="4"/>
      <c r="P1026" s="4"/>
      <c r="T1026" s="4"/>
    </row>
    <row r="1027">
      <c r="A1027" s="4" t="s">
        <v>3452</v>
      </c>
      <c r="B1027" s="4" t="s">
        <v>607</v>
      </c>
      <c r="C1027" s="6" t="s">
        <v>607</v>
      </c>
      <c r="D1027" s="6" t="s">
        <v>607</v>
      </c>
      <c r="E1027" s="6" t="s">
        <v>607</v>
      </c>
      <c r="F1027" s="6" t="s">
        <v>607</v>
      </c>
      <c r="G1027" s="4" t="s">
        <v>607</v>
      </c>
      <c r="H1027" s="4" t="s">
        <v>607</v>
      </c>
      <c r="I1027" s="4" t="s">
        <v>607</v>
      </c>
      <c r="J1027" s="4" t="s">
        <v>607</v>
      </c>
      <c r="K1027" s="4" t="s">
        <v>607</v>
      </c>
      <c r="L1027" s="4" t="s">
        <v>607</v>
      </c>
      <c r="M1027" s="4" t="s">
        <v>607</v>
      </c>
      <c r="N1027" s="4" t="s">
        <v>607</v>
      </c>
      <c r="O1027" s="4"/>
      <c r="P1027" s="4"/>
      <c r="T1027" s="4"/>
    </row>
    <row r="1028">
      <c r="A1028" s="4" t="s">
        <v>3455</v>
      </c>
      <c r="B1028" s="4" t="s">
        <v>607</v>
      </c>
      <c r="C1028" s="6" t="s">
        <v>607</v>
      </c>
      <c r="D1028" s="6" t="s">
        <v>607</v>
      </c>
      <c r="E1028" s="6" t="s">
        <v>607</v>
      </c>
      <c r="F1028" s="6" t="s">
        <v>607</v>
      </c>
      <c r="G1028" s="4" t="s">
        <v>607</v>
      </c>
      <c r="H1028" s="4" t="s">
        <v>607</v>
      </c>
      <c r="I1028" s="4" t="s">
        <v>607</v>
      </c>
      <c r="J1028" s="4" t="s">
        <v>607</v>
      </c>
      <c r="K1028" s="4" t="s">
        <v>607</v>
      </c>
      <c r="L1028" s="4" t="s">
        <v>607</v>
      </c>
      <c r="M1028" s="4" t="s">
        <v>607</v>
      </c>
      <c r="N1028" s="4" t="s">
        <v>607</v>
      </c>
      <c r="O1028" s="4"/>
      <c r="P1028" s="4"/>
      <c r="T1028" s="4"/>
    </row>
    <row r="1029">
      <c r="A1029" s="4" t="s">
        <v>3461</v>
      </c>
      <c r="B1029" s="4" t="s">
        <v>607</v>
      </c>
      <c r="C1029" s="6" t="s">
        <v>607</v>
      </c>
      <c r="D1029" s="6" t="s">
        <v>607</v>
      </c>
      <c r="E1029" s="6" t="s">
        <v>607</v>
      </c>
      <c r="F1029" s="6" t="s">
        <v>607</v>
      </c>
      <c r="G1029" s="4" t="s">
        <v>607</v>
      </c>
      <c r="H1029" s="4" t="s">
        <v>607</v>
      </c>
      <c r="I1029" s="4" t="s">
        <v>607</v>
      </c>
      <c r="J1029" s="4" t="s">
        <v>607</v>
      </c>
      <c r="K1029" s="4" t="s">
        <v>607</v>
      </c>
      <c r="L1029" s="4" t="s">
        <v>607</v>
      </c>
      <c r="M1029" s="4" t="s">
        <v>607</v>
      </c>
      <c r="N1029" s="4" t="s">
        <v>607</v>
      </c>
      <c r="O1029" s="4"/>
      <c r="P1029" s="4"/>
      <c r="T1029" s="4"/>
    </row>
    <row r="1030">
      <c r="A1030" s="4" t="s">
        <v>3465</v>
      </c>
      <c r="B1030" s="4" t="s">
        <v>607</v>
      </c>
      <c r="C1030" s="6" t="s">
        <v>607</v>
      </c>
      <c r="D1030" s="6" t="s">
        <v>607</v>
      </c>
      <c r="E1030" s="6" t="s">
        <v>607</v>
      </c>
      <c r="F1030" s="6" t="s">
        <v>607</v>
      </c>
      <c r="G1030" s="4" t="s">
        <v>607</v>
      </c>
      <c r="H1030" s="4" t="s">
        <v>607</v>
      </c>
      <c r="I1030" s="4" t="s">
        <v>607</v>
      </c>
      <c r="J1030" s="4" t="s">
        <v>607</v>
      </c>
      <c r="K1030" s="4" t="s">
        <v>607</v>
      </c>
      <c r="L1030" s="4" t="s">
        <v>607</v>
      </c>
      <c r="M1030" s="4" t="s">
        <v>607</v>
      </c>
      <c r="N1030" s="4" t="s">
        <v>607</v>
      </c>
      <c r="O1030" s="4"/>
      <c r="P1030" s="4"/>
      <c r="T1030" s="4"/>
    </row>
    <row r="1031">
      <c r="A1031" s="4" t="s">
        <v>3468</v>
      </c>
      <c r="B1031" s="4" t="s">
        <v>607</v>
      </c>
      <c r="C1031" s="6" t="s">
        <v>607</v>
      </c>
      <c r="D1031" s="6" t="s">
        <v>607</v>
      </c>
      <c r="E1031" s="6" t="s">
        <v>607</v>
      </c>
      <c r="F1031" s="6" t="s">
        <v>607</v>
      </c>
      <c r="G1031" s="4" t="s">
        <v>607</v>
      </c>
      <c r="H1031" s="4" t="s">
        <v>607</v>
      </c>
      <c r="I1031" s="4" t="s">
        <v>607</v>
      </c>
      <c r="J1031" s="4" t="s">
        <v>607</v>
      </c>
      <c r="K1031" s="4" t="s">
        <v>607</v>
      </c>
      <c r="L1031" s="4" t="s">
        <v>607</v>
      </c>
      <c r="M1031" s="4" t="s">
        <v>607</v>
      </c>
      <c r="N1031" s="4" t="s">
        <v>607</v>
      </c>
      <c r="O1031" s="4"/>
      <c r="P1031" s="4"/>
      <c r="T1031" s="4"/>
    </row>
    <row r="1032">
      <c r="A1032" s="4" t="s">
        <v>3482</v>
      </c>
      <c r="B1032" s="4" t="s">
        <v>607</v>
      </c>
      <c r="C1032" s="6" t="s">
        <v>607</v>
      </c>
      <c r="D1032" s="6" t="s">
        <v>607</v>
      </c>
      <c r="E1032" s="6" t="s">
        <v>607</v>
      </c>
      <c r="F1032" s="6" t="s">
        <v>607</v>
      </c>
      <c r="G1032" s="4" t="s">
        <v>607</v>
      </c>
      <c r="H1032" s="4" t="s">
        <v>607</v>
      </c>
      <c r="I1032" s="4" t="s">
        <v>607</v>
      </c>
      <c r="J1032" s="4" t="s">
        <v>607</v>
      </c>
      <c r="K1032" s="4" t="s">
        <v>607</v>
      </c>
      <c r="L1032" s="4" t="s">
        <v>607</v>
      </c>
      <c r="M1032" s="4" t="s">
        <v>607</v>
      </c>
      <c r="N1032" s="4" t="s">
        <v>607</v>
      </c>
      <c r="O1032" s="4"/>
      <c r="P1032" s="4"/>
      <c r="T1032" s="4"/>
    </row>
    <row r="1033">
      <c r="A1033" s="4" t="s">
        <v>3484</v>
      </c>
      <c r="B1033" s="4" t="s">
        <v>607</v>
      </c>
      <c r="C1033" s="6" t="s">
        <v>607</v>
      </c>
      <c r="D1033" s="6" t="s">
        <v>607</v>
      </c>
      <c r="E1033" s="6" t="s">
        <v>607</v>
      </c>
      <c r="F1033" s="6" t="s">
        <v>607</v>
      </c>
      <c r="G1033" s="4" t="s">
        <v>607</v>
      </c>
      <c r="H1033" s="4" t="s">
        <v>607</v>
      </c>
      <c r="I1033" s="4" t="s">
        <v>607</v>
      </c>
      <c r="J1033" s="4" t="s">
        <v>607</v>
      </c>
      <c r="K1033" s="4" t="s">
        <v>607</v>
      </c>
      <c r="L1033" s="4" t="s">
        <v>607</v>
      </c>
      <c r="M1033" s="4" t="s">
        <v>607</v>
      </c>
      <c r="N1033" s="4" t="s">
        <v>607</v>
      </c>
      <c r="O1033" s="4"/>
      <c r="P1033" s="4"/>
      <c r="T1033" s="4"/>
    </row>
    <row r="1034">
      <c r="A1034" s="4" t="s">
        <v>3486</v>
      </c>
      <c r="B1034" s="4" t="s">
        <v>607</v>
      </c>
      <c r="C1034" s="6" t="s">
        <v>607</v>
      </c>
      <c r="D1034" s="6" t="s">
        <v>607</v>
      </c>
      <c r="E1034" s="6" t="s">
        <v>607</v>
      </c>
      <c r="F1034" s="6" t="s">
        <v>607</v>
      </c>
      <c r="G1034" s="4" t="s">
        <v>607</v>
      </c>
      <c r="H1034" s="4" t="s">
        <v>607</v>
      </c>
      <c r="I1034" s="4" t="s">
        <v>607</v>
      </c>
      <c r="J1034" s="4" t="s">
        <v>607</v>
      </c>
      <c r="K1034" s="4" t="s">
        <v>607</v>
      </c>
      <c r="L1034" s="4" t="s">
        <v>607</v>
      </c>
      <c r="M1034" s="4" t="s">
        <v>607</v>
      </c>
      <c r="N1034" s="4" t="s">
        <v>607</v>
      </c>
      <c r="O1034" s="4"/>
      <c r="P1034" s="4"/>
      <c r="T1034" s="4"/>
    </row>
    <row r="1035">
      <c r="A1035" s="4" t="s">
        <v>3489</v>
      </c>
      <c r="B1035" s="4" t="s">
        <v>607</v>
      </c>
      <c r="C1035" s="6" t="s">
        <v>607</v>
      </c>
      <c r="D1035" s="6" t="s">
        <v>607</v>
      </c>
      <c r="E1035" s="6" t="s">
        <v>607</v>
      </c>
      <c r="F1035" s="6" t="s">
        <v>607</v>
      </c>
      <c r="G1035" s="4" t="s">
        <v>607</v>
      </c>
      <c r="H1035" s="4" t="s">
        <v>607</v>
      </c>
      <c r="I1035" s="4" t="s">
        <v>607</v>
      </c>
      <c r="J1035" s="4" t="s">
        <v>607</v>
      </c>
      <c r="K1035" s="4" t="s">
        <v>607</v>
      </c>
      <c r="L1035" s="4" t="s">
        <v>607</v>
      </c>
      <c r="M1035" s="4" t="s">
        <v>607</v>
      </c>
      <c r="N1035" s="4" t="s">
        <v>607</v>
      </c>
      <c r="O1035" s="4"/>
      <c r="P1035" s="4"/>
      <c r="T1035" s="4"/>
    </row>
    <row r="1036">
      <c r="A1036" s="4" t="s">
        <v>3496</v>
      </c>
      <c r="B1036" s="4" t="s">
        <v>607</v>
      </c>
      <c r="C1036" s="6" t="s">
        <v>607</v>
      </c>
      <c r="D1036" s="6" t="s">
        <v>607</v>
      </c>
      <c r="E1036" s="6" t="s">
        <v>607</v>
      </c>
      <c r="F1036" s="6" t="s">
        <v>607</v>
      </c>
      <c r="G1036" s="4" t="s">
        <v>607</v>
      </c>
      <c r="H1036" s="4" t="s">
        <v>607</v>
      </c>
      <c r="I1036" s="4" t="s">
        <v>607</v>
      </c>
      <c r="J1036" s="4" t="s">
        <v>607</v>
      </c>
      <c r="K1036" s="4" t="s">
        <v>607</v>
      </c>
      <c r="L1036" s="4" t="s">
        <v>607</v>
      </c>
      <c r="M1036" s="4" t="s">
        <v>607</v>
      </c>
      <c r="N1036" s="4" t="s">
        <v>607</v>
      </c>
      <c r="O1036" s="4"/>
      <c r="P1036" s="4"/>
      <c r="T1036" s="4"/>
    </row>
    <row r="1037">
      <c r="A1037" s="4" t="s">
        <v>3498</v>
      </c>
      <c r="B1037" s="4" t="s">
        <v>607</v>
      </c>
      <c r="C1037" s="6" t="s">
        <v>607</v>
      </c>
      <c r="D1037" s="6" t="s">
        <v>607</v>
      </c>
      <c r="E1037" s="6" t="s">
        <v>607</v>
      </c>
      <c r="F1037" s="6" t="s">
        <v>607</v>
      </c>
      <c r="G1037" s="4" t="s">
        <v>607</v>
      </c>
      <c r="H1037" s="4" t="s">
        <v>607</v>
      </c>
      <c r="I1037" s="4" t="s">
        <v>607</v>
      </c>
      <c r="J1037" s="4" t="s">
        <v>607</v>
      </c>
      <c r="K1037" s="4" t="s">
        <v>607</v>
      </c>
      <c r="L1037" s="4" t="s">
        <v>607</v>
      </c>
      <c r="M1037" s="4" t="s">
        <v>607</v>
      </c>
      <c r="N1037" s="4" t="s">
        <v>607</v>
      </c>
      <c r="O1037" s="4"/>
      <c r="P1037" s="4"/>
      <c r="T1037" s="4"/>
    </row>
    <row r="1038">
      <c r="A1038" s="4" t="s">
        <v>3500</v>
      </c>
      <c r="B1038" s="4" t="s">
        <v>607</v>
      </c>
      <c r="C1038" s="6" t="s">
        <v>607</v>
      </c>
      <c r="D1038" s="6" t="s">
        <v>607</v>
      </c>
      <c r="E1038" s="6" t="s">
        <v>607</v>
      </c>
      <c r="F1038" s="6" t="s">
        <v>607</v>
      </c>
      <c r="G1038" s="4" t="s">
        <v>607</v>
      </c>
      <c r="H1038" s="4" t="s">
        <v>607</v>
      </c>
      <c r="I1038" s="4" t="s">
        <v>607</v>
      </c>
      <c r="J1038" s="4" t="s">
        <v>607</v>
      </c>
      <c r="K1038" s="4" t="s">
        <v>607</v>
      </c>
      <c r="L1038" s="4" t="s">
        <v>607</v>
      </c>
      <c r="M1038" s="4" t="s">
        <v>607</v>
      </c>
      <c r="N1038" s="4" t="s">
        <v>607</v>
      </c>
      <c r="O1038" s="4"/>
      <c r="P1038" s="4"/>
      <c r="T1038" s="4"/>
    </row>
    <row r="1039">
      <c r="A1039" s="4" t="s">
        <v>3508</v>
      </c>
      <c r="B1039" s="4" t="s">
        <v>607</v>
      </c>
      <c r="C1039" s="6" t="s">
        <v>607</v>
      </c>
      <c r="D1039" s="6" t="s">
        <v>607</v>
      </c>
      <c r="E1039" s="6" t="s">
        <v>607</v>
      </c>
      <c r="F1039" s="6" t="s">
        <v>607</v>
      </c>
      <c r="G1039" s="4" t="s">
        <v>607</v>
      </c>
      <c r="H1039" s="4" t="s">
        <v>607</v>
      </c>
      <c r="I1039" s="4" t="s">
        <v>607</v>
      </c>
      <c r="J1039" s="4" t="s">
        <v>607</v>
      </c>
      <c r="K1039" s="4" t="s">
        <v>607</v>
      </c>
      <c r="L1039" s="4" t="s">
        <v>607</v>
      </c>
      <c r="M1039" s="4" t="s">
        <v>607</v>
      </c>
      <c r="N1039" s="4" t="s">
        <v>607</v>
      </c>
      <c r="O1039" s="4"/>
      <c r="P1039" s="4"/>
      <c r="T1039" s="4"/>
    </row>
    <row r="1040">
      <c r="A1040" s="4" t="s">
        <v>3510</v>
      </c>
      <c r="B1040" s="4" t="s">
        <v>607</v>
      </c>
      <c r="C1040" s="6" t="s">
        <v>607</v>
      </c>
      <c r="D1040" s="6" t="s">
        <v>607</v>
      </c>
      <c r="E1040" s="6" t="s">
        <v>607</v>
      </c>
      <c r="F1040" s="6" t="s">
        <v>607</v>
      </c>
      <c r="G1040" s="4" t="s">
        <v>607</v>
      </c>
      <c r="H1040" s="4" t="s">
        <v>607</v>
      </c>
      <c r="I1040" s="4" t="s">
        <v>607</v>
      </c>
      <c r="J1040" s="4" t="s">
        <v>607</v>
      </c>
      <c r="K1040" s="4" t="s">
        <v>607</v>
      </c>
      <c r="L1040" s="4" t="s">
        <v>607</v>
      </c>
      <c r="M1040" s="4" t="s">
        <v>607</v>
      </c>
      <c r="N1040" s="4" t="s">
        <v>607</v>
      </c>
      <c r="O1040" s="4"/>
      <c r="P1040" s="4"/>
      <c r="T1040" s="4"/>
    </row>
    <row r="1041">
      <c r="A1041" s="4" t="s">
        <v>3513</v>
      </c>
      <c r="B1041" s="4" t="s">
        <v>607</v>
      </c>
      <c r="C1041" s="6" t="s">
        <v>607</v>
      </c>
      <c r="D1041" s="6" t="s">
        <v>607</v>
      </c>
      <c r="E1041" s="6" t="s">
        <v>607</v>
      </c>
      <c r="F1041" s="6" t="s">
        <v>607</v>
      </c>
      <c r="G1041" s="4" t="s">
        <v>607</v>
      </c>
      <c r="H1041" s="4" t="s">
        <v>607</v>
      </c>
      <c r="I1041" s="4" t="s">
        <v>607</v>
      </c>
      <c r="J1041" s="4" t="s">
        <v>607</v>
      </c>
      <c r="K1041" s="4" t="s">
        <v>607</v>
      </c>
      <c r="L1041" s="4" t="s">
        <v>607</v>
      </c>
      <c r="M1041" s="4" t="s">
        <v>607</v>
      </c>
      <c r="N1041" s="4" t="s">
        <v>607</v>
      </c>
      <c r="O1041" s="4"/>
      <c r="P1041" s="4"/>
      <c r="T1041" s="4"/>
    </row>
    <row r="1042">
      <c r="A1042" s="4" t="s">
        <v>3522</v>
      </c>
      <c r="B1042" s="4" t="s">
        <v>607</v>
      </c>
      <c r="C1042" s="6" t="s">
        <v>607</v>
      </c>
      <c r="D1042" s="6" t="s">
        <v>607</v>
      </c>
      <c r="E1042" s="6" t="s">
        <v>607</v>
      </c>
      <c r="F1042" s="6" t="s">
        <v>607</v>
      </c>
      <c r="G1042" s="4" t="s">
        <v>607</v>
      </c>
      <c r="H1042" s="4" t="s">
        <v>607</v>
      </c>
      <c r="I1042" s="4" t="s">
        <v>607</v>
      </c>
      <c r="J1042" s="4" t="s">
        <v>607</v>
      </c>
      <c r="K1042" s="4" t="s">
        <v>607</v>
      </c>
      <c r="L1042" s="4" t="s">
        <v>607</v>
      </c>
      <c r="M1042" s="4" t="s">
        <v>607</v>
      </c>
      <c r="N1042" s="4" t="s">
        <v>607</v>
      </c>
      <c r="O1042" s="4"/>
      <c r="P1042" s="4"/>
      <c r="T1042" s="4"/>
    </row>
    <row r="1043">
      <c r="A1043" s="4" t="s">
        <v>3524</v>
      </c>
      <c r="B1043" s="4" t="s">
        <v>607</v>
      </c>
      <c r="C1043" s="6" t="s">
        <v>607</v>
      </c>
      <c r="D1043" s="6" t="s">
        <v>607</v>
      </c>
      <c r="E1043" s="6" t="s">
        <v>607</v>
      </c>
      <c r="F1043" s="6" t="s">
        <v>607</v>
      </c>
      <c r="G1043" s="4" t="s">
        <v>607</v>
      </c>
      <c r="H1043" s="4" t="s">
        <v>607</v>
      </c>
      <c r="I1043" s="4" t="s">
        <v>607</v>
      </c>
      <c r="J1043" s="4" t="s">
        <v>607</v>
      </c>
      <c r="K1043" s="4" t="s">
        <v>607</v>
      </c>
      <c r="L1043" s="4" t="s">
        <v>607</v>
      </c>
      <c r="M1043" s="4" t="s">
        <v>607</v>
      </c>
      <c r="N1043" s="4" t="s">
        <v>607</v>
      </c>
      <c r="O1043" s="4"/>
      <c r="P1043" s="4"/>
      <c r="T1043" s="4"/>
    </row>
    <row r="1044">
      <c r="A1044" s="4" t="s">
        <v>3526</v>
      </c>
      <c r="B1044" s="4" t="s">
        <v>607</v>
      </c>
      <c r="C1044" s="6" t="s">
        <v>607</v>
      </c>
      <c r="D1044" s="6" t="s">
        <v>607</v>
      </c>
      <c r="E1044" s="6" t="s">
        <v>607</v>
      </c>
      <c r="F1044" s="6" t="s">
        <v>607</v>
      </c>
      <c r="G1044" s="4" t="s">
        <v>607</v>
      </c>
      <c r="H1044" s="4" t="s">
        <v>607</v>
      </c>
      <c r="I1044" s="4" t="s">
        <v>607</v>
      </c>
      <c r="J1044" s="4" t="s">
        <v>607</v>
      </c>
      <c r="K1044" s="4" t="s">
        <v>607</v>
      </c>
      <c r="L1044" s="4" t="s">
        <v>607</v>
      </c>
      <c r="M1044" s="4" t="s">
        <v>607</v>
      </c>
      <c r="N1044" s="4" t="s">
        <v>607</v>
      </c>
      <c r="O1044" s="4"/>
      <c r="P1044" s="4"/>
      <c r="T1044" s="4"/>
    </row>
    <row r="1045">
      <c r="A1045" s="4" t="s">
        <v>3527</v>
      </c>
      <c r="B1045" s="4" t="s">
        <v>607</v>
      </c>
      <c r="C1045" s="6" t="s">
        <v>607</v>
      </c>
      <c r="D1045" s="6" t="s">
        <v>607</v>
      </c>
      <c r="E1045" s="6" t="s">
        <v>607</v>
      </c>
      <c r="F1045" s="6" t="s">
        <v>607</v>
      </c>
      <c r="G1045" s="4" t="s">
        <v>607</v>
      </c>
      <c r="H1045" s="4" t="s">
        <v>607</v>
      </c>
      <c r="I1045" s="4" t="s">
        <v>607</v>
      </c>
      <c r="J1045" s="4" t="s">
        <v>607</v>
      </c>
      <c r="K1045" s="4" t="s">
        <v>607</v>
      </c>
      <c r="L1045" s="4" t="s">
        <v>607</v>
      </c>
      <c r="M1045" s="4" t="s">
        <v>607</v>
      </c>
      <c r="N1045" s="4" t="s">
        <v>607</v>
      </c>
      <c r="O1045" s="4"/>
      <c r="P1045" s="4"/>
      <c r="T1045" s="4"/>
    </row>
    <row r="1046">
      <c r="A1046" s="4" t="s">
        <v>3528</v>
      </c>
      <c r="B1046" s="4" t="s">
        <v>607</v>
      </c>
      <c r="C1046" s="6" t="s">
        <v>607</v>
      </c>
      <c r="D1046" s="6" t="s">
        <v>607</v>
      </c>
      <c r="E1046" s="6" t="s">
        <v>607</v>
      </c>
      <c r="F1046" s="6" t="s">
        <v>607</v>
      </c>
      <c r="G1046" s="4" t="s">
        <v>607</v>
      </c>
      <c r="H1046" s="4" t="s">
        <v>607</v>
      </c>
      <c r="I1046" s="4" t="s">
        <v>607</v>
      </c>
      <c r="J1046" s="4" t="s">
        <v>607</v>
      </c>
      <c r="K1046" s="4" t="s">
        <v>607</v>
      </c>
      <c r="L1046" s="4" t="s">
        <v>607</v>
      </c>
      <c r="M1046" s="4" t="s">
        <v>607</v>
      </c>
      <c r="N1046" s="4" t="s">
        <v>607</v>
      </c>
      <c r="O1046" s="4"/>
      <c r="P1046" s="4"/>
      <c r="T1046" s="4"/>
    </row>
    <row r="1047">
      <c r="A1047" s="4" t="s">
        <v>3530</v>
      </c>
      <c r="B1047" s="4" t="s">
        <v>607</v>
      </c>
      <c r="C1047" s="6" t="s">
        <v>607</v>
      </c>
      <c r="D1047" s="6" t="s">
        <v>607</v>
      </c>
      <c r="E1047" s="6" t="s">
        <v>607</v>
      </c>
      <c r="F1047" s="6" t="s">
        <v>607</v>
      </c>
      <c r="G1047" s="4" t="s">
        <v>607</v>
      </c>
      <c r="H1047" s="4" t="s">
        <v>607</v>
      </c>
      <c r="I1047" s="4" t="s">
        <v>607</v>
      </c>
      <c r="J1047" s="4" t="s">
        <v>607</v>
      </c>
      <c r="K1047" s="4" t="s">
        <v>607</v>
      </c>
      <c r="L1047" s="4" t="s">
        <v>607</v>
      </c>
      <c r="M1047" s="4" t="s">
        <v>607</v>
      </c>
      <c r="N1047" s="4" t="s">
        <v>607</v>
      </c>
      <c r="O1047" s="4"/>
      <c r="P1047" s="4"/>
      <c r="T1047" s="4"/>
    </row>
    <row r="1048">
      <c r="A1048" s="4" t="s">
        <v>3536</v>
      </c>
      <c r="B1048" s="4" t="s">
        <v>607</v>
      </c>
      <c r="C1048" s="6" t="s">
        <v>607</v>
      </c>
      <c r="D1048" s="6" t="s">
        <v>607</v>
      </c>
      <c r="E1048" s="6" t="s">
        <v>607</v>
      </c>
      <c r="F1048" s="6" t="s">
        <v>607</v>
      </c>
      <c r="G1048" s="4" t="s">
        <v>607</v>
      </c>
      <c r="H1048" s="4" t="s">
        <v>607</v>
      </c>
      <c r="I1048" s="4" t="s">
        <v>607</v>
      </c>
      <c r="J1048" s="4" t="s">
        <v>607</v>
      </c>
      <c r="K1048" s="4" t="s">
        <v>607</v>
      </c>
      <c r="L1048" s="4" t="s">
        <v>607</v>
      </c>
      <c r="M1048" s="4" t="s">
        <v>607</v>
      </c>
      <c r="N1048" s="4" t="s">
        <v>607</v>
      </c>
      <c r="O1048" s="4"/>
      <c r="P1048" s="4"/>
      <c r="T1048" s="4"/>
    </row>
    <row r="1049">
      <c r="A1049" s="4" t="s">
        <v>3539</v>
      </c>
      <c r="B1049" s="4" t="s">
        <v>607</v>
      </c>
      <c r="C1049" s="6" t="s">
        <v>607</v>
      </c>
      <c r="D1049" s="6" t="s">
        <v>607</v>
      </c>
      <c r="E1049" s="6" t="s">
        <v>607</v>
      </c>
      <c r="F1049" s="6" t="s">
        <v>607</v>
      </c>
      <c r="G1049" s="4" t="s">
        <v>607</v>
      </c>
      <c r="H1049" s="4" t="s">
        <v>607</v>
      </c>
      <c r="I1049" s="4" t="s">
        <v>607</v>
      </c>
      <c r="J1049" s="4" t="s">
        <v>607</v>
      </c>
      <c r="K1049" s="4" t="s">
        <v>607</v>
      </c>
      <c r="L1049" s="4" t="s">
        <v>607</v>
      </c>
      <c r="M1049" s="4" t="s">
        <v>607</v>
      </c>
      <c r="N1049" s="4" t="s">
        <v>607</v>
      </c>
      <c r="O1049" s="4"/>
      <c r="P1049" s="4"/>
      <c r="T1049" s="4"/>
    </row>
    <row r="1050">
      <c r="A1050" s="4" t="s">
        <v>3542</v>
      </c>
      <c r="B1050" s="4" t="s">
        <v>607</v>
      </c>
      <c r="C1050" s="6" t="s">
        <v>607</v>
      </c>
      <c r="D1050" s="6" t="s">
        <v>607</v>
      </c>
      <c r="E1050" s="6" t="s">
        <v>607</v>
      </c>
      <c r="F1050" s="6" t="s">
        <v>607</v>
      </c>
      <c r="G1050" s="4" t="s">
        <v>607</v>
      </c>
      <c r="H1050" s="4" t="s">
        <v>607</v>
      </c>
      <c r="I1050" s="4" t="s">
        <v>607</v>
      </c>
      <c r="J1050" s="4" t="s">
        <v>607</v>
      </c>
      <c r="K1050" s="4" t="s">
        <v>607</v>
      </c>
      <c r="L1050" s="4" t="s">
        <v>607</v>
      </c>
      <c r="M1050" s="4" t="s">
        <v>607</v>
      </c>
      <c r="N1050" s="4" t="s">
        <v>607</v>
      </c>
      <c r="O1050" s="4"/>
      <c r="P1050" s="4"/>
      <c r="T1050" s="4"/>
    </row>
    <row r="1051">
      <c r="A1051" s="4" t="s">
        <v>3550</v>
      </c>
      <c r="B1051" s="4" t="s">
        <v>607</v>
      </c>
      <c r="C1051" s="6" t="s">
        <v>607</v>
      </c>
      <c r="D1051" s="6" t="s">
        <v>607</v>
      </c>
      <c r="E1051" s="6" t="s">
        <v>607</v>
      </c>
      <c r="F1051" s="6" t="s">
        <v>607</v>
      </c>
      <c r="G1051" s="4" t="s">
        <v>607</v>
      </c>
      <c r="H1051" s="4" t="s">
        <v>607</v>
      </c>
      <c r="I1051" s="4" t="s">
        <v>607</v>
      </c>
      <c r="J1051" s="4" t="s">
        <v>607</v>
      </c>
      <c r="K1051" s="4" t="s">
        <v>607</v>
      </c>
      <c r="L1051" s="4" t="s">
        <v>607</v>
      </c>
      <c r="M1051" s="4" t="s">
        <v>607</v>
      </c>
      <c r="N1051" s="4" t="s">
        <v>607</v>
      </c>
      <c r="O1051" s="4"/>
      <c r="P1051" s="4"/>
      <c r="T1051" s="4"/>
    </row>
    <row r="1052">
      <c r="A1052" s="4" t="s">
        <v>3552</v>
      </c>
      <c r="B1052" s="4" t="s">
        <v>607</v>
      </c>
      <c r="C1052" s="6" t="s">
        <v>607</v>
      </c>
      <c r="D1052" s="6" t="s">
        <v>607</v>
      </c>
      <c r="E1052" s="6" t="s">
        <v>607</v>
      </c>
      <c r="F1052" s="6" t="s">
        <v>607</v>
      </c>
      <c r="G1052" s="4" t="s">
        <v>607</v>
      </c>
      <c r="H1052" s="4" t="s">
        <v>607</v>
      </c>
      <c r="I1052" s="4" t="s">
        <v>607</v>
      </c>
      <c r="J1052" s="4" t="s">
        <v>607</v>
      </c>
      <c r="K1052" s="4" t="s">
        <v>607</v>
      </c>
      <c r="L1052" s="4" t="s">
        <v>607</v>
      </c>
      <c r="M1052" s="4" t="s">
        <v>607</v>
      </c>
      <c r="N1052" s="4" t="s">
        <v>607</v>
      </c>
      <c r="O1052" s="4"/>
      <c r="P1052" s="4"/>
      <c r="T1052" s="4"/>
    </row>
    <row r="1053">
      <c r="A1053" s="4" t="s">
        <v>3555</v>
      </c>
      <c r="B1053" s="4" t="s">
        <v>607</v>
      </c>
      <c r="C1053" s="6" t="s">
        <v>607</v>
      </c>
      <c r="D1053" s="6" t="s">
        <v>607</v>
      </c>
      <c r="E1053" s="6" t="s">
        <v>607</v>
      </c>
      <c r="F1053" s="6" t="s">
        <v>607</v>
      </c>
      <c r="G1053" s="4" t="s">
        <v>607</v>
      </c>
      <c r="H1053" s="4" t="s">
        <v>607</v>
      </c>
      <c r="I1053" s="4" t="s">
        <v>607</v>
      </c>
      <c r="J1053" s="4" t="s">
        <v>607</v>
      </c>
      <c r="K1053" s="4" t="s">
        <v>607</v>
      </c>
      <c r="L1053" s="4" t="s">
        <v>607</v>
      </c>
      <c r="M1053" s="4" t="s">
        <v>607</v>
      </c>
      <c r="N1053" s="4" t="s">
        <v>607</v>
      </c>
      <c r="O1053" s="4"/>
      <c r="P1053" s="4"/>
      <c r="T1053" s="4"/>
    </row>
    <row r="1054">
      <c r="A1054" s="4" t="s">
        <v>3563</v>
      </c>
      <c r="B1054" s="4" t="s">
        <v>607</v>
      </c>
      <c r="C1054" s="6" t="s">
        <v>607</v>
      </c>
      <c r="D1054" s="6" t="s">
        <v>607</v>
      </c>
      <c r="E1054" s="6" t="s">
        <v>607</v>
      </c>
      <c r="F1054" s="6" t="s">
        <v>607</v>
      </c>
      <c r="G1054" s="4" t="s">
        <v>607</v>
      </c>
      <c r="H1054" s="4" t="s">
        <v>607</v>
      </c>
      <c r="I1054" s="4" t="s">
        <v>607</v>
      </c>
      <c r="J1054" s="4" t="s">
        <v>607</v>
      </c>
      <c r="K1054" s="4" t="s">
        <v>607</v>
      </c>
      <c r="L1054" s="4" t="s">
        <v>607</v>
      </c>
      <c r="M1054" s="4" t="s">
        <v>607</v>
      </c>
      <c r="N1054" s="4" t="s">
        <v>607</v>
      </c>
      <c r="O1054" s="4"/>
      <c r="P1054" s="4"/>
      <c r="T1054" s="4"/>
    </row>
    <row r="1055">
      <c r="A1055" s="4" t="s">
        <v>3564</v>
      </c>
      <c r="B1055" s="4" t="s">
        <v>607</v>
      </c>
      <c r="C1055" s="6" t="s">
        <v>607</v>
      </c>
      <c r="D1055" s="6" t="s">
        <v>607</v>
      </c>
      <c r="E1055" s="6" t="s">
        <v>607</v>
      </c>
      <c r="F1055" s="6" t="s">
        <v>607</v>
      </c>
      <c r="G1055" s="4" t="s">
        <v>607</v>
      </c>
      <c r="H1055" s="4" t="s">
        <v>607</v>
      </c>
      <c r="I1055" s="4" t="s">
        <v>607</v>
      </c>
      <c r="J1055" s="4" t="s">
        <v>607</v>
      </c>
      <c r="K1055" s="4" t="s">
        <v>607</v>
      </c>
      <c r="L1055" s="4" t="s">
        <v>607</v>
      </c>
      <c r="M1055" s="4" t="s">
        <v>607</v>
      </c>
      <c r="N1055" s="4" t="s">
        <v>607</v>
      </c>
      <c r="O1055" s="4"/>
      <c r="P1055" s="4"/>
      <c r="T1055" s="4"/>
    </row>
    <row r="1056">
      <c r="A1056" s="4" t="s">
        <v>3567</v>
      </c>
      <c r="B1056" s="4" t="s">
        <v>607</v>
      </c>
      <c r="C1056" s="6" t="s">
        <v>607</v>
      </c>
      <c r="D1056" s="6" t="s">
        <v>607</v>
      </c>
      <c r="E1056" s="6" t="s">
        <v>607</v>
      </c>
      <c r="F1056" s="6" t="s">
        <v>607</v>
      </c>
      <c r="G1056" s="4" t="s">
        <v>607</v>
      </c>
      <c r="H1056" s="4" t="s">
        <v>607</v>
      </c>
      <c r="I1056" s="4" t="s">
        <v>607</v>
      </c>
      <c r="J1056" s="4" t="s">
        <v>607</v>
      </c>
      <c r="K1056" s="4" t="s">
        <v>607</v>
      </c>
      <c r="L1056" s="4" t="s">
        <v>607</v>
      </c>
      <c r="M1056" s="4" t="s">
        <v>607</v>
      </c>
      <c r="N1056" s="4" t="s">
        <v>607</v>
      </c>
      <c r="O1056" s="4"/>
      <c r="P1056" s="4"/>
      <c r="T1056" s="4"/>
    </row>
    <row r="1057">
      <c r="A1057" s="4" t="s">
        <v>3570</v>
      </c>
      <c r="B1057" s="4" t="s">
        <v>607</v>
      </c>
      <c r="C1057" s="6" t="s">
        <v>607</v>
      </c>
      <c r="D1057" s="6" t="s">
        <v>607</v>
      </c>
      <c r="E1057" s="6" t="s">
        <v>607</v>
      </c>
      <c r="F1057" s="6" t="s">
        <v>607</v>
      </c>
      <c r="G1057" s="4" t="s">
        <v>607</v>
      </c>
      <c r="H1057" s="4" t="s">
        <v>607</v>
      </c>
      <c r="I1057" s="4" t="s">
        <v>607</v>
      </c>
      <c r="J1057" s="4" t="s">
        <v>607</v>
      </c>
      <c r="K1057" s="4" t="s">
        <v>607</v>
      </c>
      <c r="L1057" s="4" t="s">
        <v>607</v>
      </c>
      <c r="M1057" s="4" t="s">
        <v>607</v>
      </c>
      <c r="N1057" s="4" t="s">
        <v>607</v>
      </c>
      <c r="O1057" s="4"/>
      <c r="P1057" s="4"/>
      <c r="T1057" s="4"/>
    </row>
    <row r="1058">
      <c r="A1058" s="4" t="s">
        <v>3578</v>
      </c>
      <c r="B1058" s="4" t="s">
        <v>607</v>
      </c>
      <c r="C1058" s="6" t="s">
        <v>607</v>
      </c>
      <c r="D1058" s="6" t="s">
        <v>607</v>
      </c>
      <c r="E1058" s="6" t="s">
        <v>607</v>
      </c>
      <c r="F1058" s="6" t="s">
        <v>607</v>
      </c>
      <c r="G1058" s="4" t="s">
        <v>607</v>
      </c>
      <c r="H1058" s="4" t="s">
        <v>607</v>
      </c>
      <c r="I1058" s="4" t="s">
        <v>607</v>
      </c>
      <c r="J1058" s="4" t="s">
        <v>607</v>
      </c>
      <c r="K1058" s="4" t="s">
        <v>607</v>
      </c>
      <c r="L1058" s="4" t="s">
        <v>607</v>
      </c>
      <c r="M1058" s="4" t="s">
        <v>607</v>
      </c>
      <c r="N1058" s="4" t="s">
        <v>607</v>
      </c>
      <c r="O1058" s="4"/>
      <c r="P1058" s="4"/>
      <c r="T1058" s="4"/>
    </row>
    <row r="1059">
      <c r="A1059" s="4" t="s">
        <v>3581</v>
      </c>
      <c r="B1059" s="4" t="s">
        <v>607</v>
      </c>
      <c r="C1059" s="6" t="s">
        <v>607</v>
      </c>
      <c r="D1059" s="6" t="s">
        <v>607</v>
      </c>
      <c r="E1059" s="6" t="s">
        <v>607</v>
      </c>
      <c r="F1059" s="6" t="s">
        <v>607</v>
      </c>
      <c r="G1059" s="4" t="s">
        <v>607</v>
      </c>
      <c r="H1059" s="4" t="s">
        <v>607</v>
      </c>
      <c r="I1059" s="4" t="s">
        <v>607</v>
      </c>
      <c r="J1059" s="4" t="s">
        <v>607</v>
      </c>
      <c r="K1059" s="4" t="s">
        <v>607</v>
      </c>
      <c r="L1059" s="4" t="s">
        <v>607</v>
      </c>
      <c r="M1059" s="4" t="s">
        <v>607</v>
      </c>
      <c r="N1059" s="4" t="s">
        <v>607</v>
      </c>
      <c r="O1059" s="4"/>
      <c r="P1059" s="4"/>
      <c r="T1059" s="4"/>
    </row>
    <row r="1060">
      <c r="A1060" s="4" t="s">
        <v>3583</v>
      </c>
      <c r="B1060" s="4" t="s">
        <v>607</v>
      </c>
      <c r="C1060" s="6" t="s">
        <v>607</v>
      </c>
      <c r="D1060" s="6" t="s">
        <v>607</v>
      </c>
      <c r="E1060" s="6" t="s">
        <v>607</v>
      </c>
      <c r="F1060" s="6" t="s">
        <v>607</v>
      </c>
      <c r="G1060" s="4" t="s">
        <v>607</v>
      </c>
      <c r="H1060" s="4" t="s">
        <v>607</v>
      </c>
      <c r="I1060" s="4" t="s">
        <v>607</v>
      </c>
      <c r="J1060" s="4" t="s">
        <v>607</v>
      </c>
      <c r="K1060" s="4" t="s">
        <v>607</v>
      </c>
      <c r="L1060" s="4" t="s">
        <v>607</v>
      </c>
      <c r="M1060" s="4" t="s">
        <v>607</v>
      </c>
      <c r="N1060" s="4" t="s">
        <v>607</v>
      </c>
      <c r="O1060" s="4"/>
      <c r="P1060" s="4"/>
      <c r="T1060" s="4"/>
    </row>
    <row r="1061">
      <c r="A1061" s="4" t="s">
        <v>3586</v>
      </c>
      <c r="B1061" s="4" t="s">
        <v>607</v>
      </c>
      <c r="C1061" s="6" t="s">
        <v>607</v>
      </c>
      <c r="D1061" s="6" t="s">
        <v>607</v>
      </c>
      <c r="E1061" s="6" t="s">
        <v>607</v>
      </c>
      <c r="F1061" s="6" t="s">
        <v>607</v>
      </c>
      <c r="G1061" s="4" t="s">
        <v>607</v>
      </c>
      <c r="H1061" s="4" t="s">
        <v>607</v>
      </c>
      <c r="I1061" s="4" t="s">
        <v>607</v>
      </c>
      <c r="J1061" s="4" t="s">
        <v>607</v>
      </c>
      <c r="K1061" s="4" t="s">
        <v>607</v>
      </c>
      <c r="L1061" s="4" t="s">
        <v>607</v>
      </c>
      <c r="M1061" s="4" t="s">
        <v>607</v>
      </c>
      <c r="N1061" s="4" t="s">
        <v>607</v>
      </c>
      <c r="O1061" s="4"/>
      <c r="P1061" s="4"/>
      <c r="T1061" s="4"/>
    </row>
    <row r="1062">
      <c r="A1062" s="4" t="s">
        <v>3589</v>
      </c>
      <c r="B1062" s="4" t="s">
        <v>607</v>
      </c>
      <c r="C1062" s="6" t="s">
        <v>607</v>
      </c>
      <c r="D1062" s="6" t="s">
        <v>607</v>
      </c>
      <c r="E1062" s="6" t="s">
        <v>607</v>
      </c>
      <c r="F1062" s="6" t="s">
        <v>607</v>
      </c>
      <c r="G1062" s="4" t="s">
        <v>607</v>
      </c>
      <c r="H1062" s="4" t="s">
        <v>607</v>
      </c>
      <c r="I1062" s="4" t="s">
        <v>607</v>
      </c>
      <c r="J1062" s="4" t="s">
        <v>607</v>
      </c>
      <c r="K1062" s="4" t="s">
        <v>607</v>
      </c>
      <c r="L1062" s="4" t="s">
        <v>607</v>
      </c>
      <c r="M1062" s="4" t="s">
        <v>607</v>
      </c>
      <c r="N1062" s="4" t="s">
        <v>607</v>
      </c>
      <c r="O1062" s="4"/>
      <c r="P1062" s="4"/>
      <c r="T1062" s="4"/>
    </row>
    <row r="1063">
      <c r="A1063" s="4" t="s">
        <v>3592</v>
      </c>
      <c r="B1063" s="4" t="s">
        <v>607</v>
      </c>
      <c r="C1063" s="6" t="s">
        <v>607</v>
      </c>
      <c r="D1063" s="6" t="s">
        <v>607</v>
      </c>
      <c r="E1063" s="6" t="s">
        <v>607</v>
      </c>
      <c r="F1063" s="6" t="s">
        <v>607</v>
      </c>
      <c r="G1063" s="4" t="s">
        <v>607</v>
      </c>
      <c r="H1063" s="4" t="s">
        <v>607</v>
      </c>
      <c r="I1063" s="4" t="s">
        <v>607</v>
      </c>
      <c r="J1063" s="4" t="s">
        <v>607</v>
      </c>
      <c r="K1063" s="4" t="s">
        <v>607</v>
      </c>
      <c r="L1063" s="4" t="s">
        <v>607</v>
      </c>
      <c r="M1063" s="4" t="s">
        <v>607</v>
      </c>
      <c r="N1063" s="4" t="s">
        <v>607</v>
      </c>
      <c r="O1063" s="4"/>
      <c r="P1063" s="4"/>
      <c r="T1063" s="4"/>
    </row>
    <row r="1064">
      <c r="A1064" s="4" t="s">
        <v>3598</v>
      </c>
      <c r="B1064" s="4" t="s">
        <v>607</v>
      </c>
      <c r="C1064" s="6" t="s">
        <v>607</v>
      </c>
      <c r="D1064" s="6" t="s">
        <v>607</v>
      </c>
      <c r="E1064" s="6" t="s">
        <v>607</v>
      </c>
      <c r="F1064" s="6" t="s">
        <v>607</v>
      </c>
      <c r="G1064" s="4" t="s">
        <v>607</v>
      </c>
      <c r="H1064" s="4" t="s">
        <v>607</v>
      </c>
      <c r="I1064" s="4" t="s">
        <v>607</v>
      </c>
      <c r="J1064" s="4" t="s">
        <v>607</v>
      </c>
      <c r="K1064" s="4" t="s">
        <v>607</v>
      </c>
      <c r="L1064" s="4" t="s">
        <v>607</v>
      </c>
      <c r="M1064" s="4" t="s">
        <v>607</v>
      </c>
      <c r="N1064" s="4" t="s">
        <v>607</v>
      </c>
      <c r="O1064" s="4"/>
      <c r="P1064" s="4"/>
      <c r="T1064" s="4"/>
    </row>
    <row r="1065">
      <c r="A1065" s="4" t="s">
        <v>3601</v>
      </c>
      <c r="B1065" s="4" t="s">
        <v>607</v>
      </c>
      <c r="C1065" s="6" t="s">
        <v>607</v>
      </c>
      <c r="D1065" s="6" t="s">
        <v>607</v>
      </c>
      <c r="E1065" s="6" t="s">
        <v>607</v>
      </c>
      <c r="F1065" s="6" t="s">
        <v>607</v>
      </c>
      <c r="G1065" s="4" t="s">
        <v>607</v>
      </c>
      <c r="H1065" s="4" t="s">
        <v>607</v>
      </c>
      <c r="I1065" s="4" t="s">
        <v>607</v>
      </c>
      <c r="J1065" s="4" t="s">
        <v>607</v>
      </c>
      <c r="K1065" s="4" t="s">
        <v>607</v>
      </c>
      <c r="L1065" s="4" t="s">
        <v>607</v>
      </c>
      <c r="M1065" s="4" t="s">
        <v>607</v>
      </c>
      <c r="N1065" s="4" t="s">
        <v>607</v>
      </c>
      <c r="O1065" s="4"/>
      <c r="P1065" s="4"/>
      <c r="T1065" s="4"/>
    </row>
    <row r="1066">
      <c r="A1066" s="4" t="s">
        <v>3605</v>
      </c>
      <c r="B1066" s="4" t="s">
        <v>607</v>
      </c>
      <c r="C1066" s="6" t="s">
        <v>607</v>
      </c>
      <c r="D1066" s="6" t="s">
        <v>607</v>
      </c>
      <c r="E1066" s="6" t="s">
        <v>607</v>
      </c>
      <c r="F1066" s="6" t="s">
        <v>607</v>
      </c>
      <c r="G1066" s="4" t="s">
        <v>607</v>
      </c>
      <c r="H1066" s="4" t="s">
        <v>607</v>
      </c>
      <c r="I1066" s="4" t="s">
        <v>607</v>
      </c>
      <c r="J1066" s="4" t="s">
        <v>607</v>
      </c>
      <c r="K1066" s="4" t="s">
        <v>607</v>
      </c>
      <c r="L1066" s="4" t="s">
        <v>607</v>
      </c>
      <c r="M1066" s="4" t="s">
        <v>607</v>
      </c>
      <c r="N1066" s="4" t="s">
        <v>607</v>
      </c>
      <c r="O1066" s="4"/>
      <c r="P1066" s="4"/>
      <c r="T1066" s="4"/>
    </row>
    <row r="1067">
      <c r="A1067" s="4" t="s">
        <v>3612</v>
      </c>
      <c r="B1067" s="4" t="s">
        <v>607</v>
      </c>
      <c r="C1067" s="6" t="s">
        <v>607</v>
      </c>
      <c r="D1067" s="6" t="s">
        <v>607</v>
      </c>
      <c r="E1067" s="6" t="s">
        <v>607</v>
      </c>
      <c r="F1067" s="6" t="s">
        <v>607</v>
      </c>
      <c r="G1067" s="4" t="s">
        <v>607</v>
      </c>
      <c r="H1067" s="4" t="s">
        <v>607</v>
      </c>
      <c r="I1067" s="4" t="s">
        <v>607</v>
      </c>
      <c r="J1067" s="4" t="s">
        <v>607</v>
      </c>
      <c r="K1067" s="4" t="s">
        <v>607</v>
      </c>
      <c r="L1067" s="4" t="s">
        <v>607</v>
      </c>
      <c r="M1067" s="4" t="s">
        <v>607</v>
      </c>
      <c r="N1067" s="4" t="s">
        <v>607</v>
      </c>
      <c r="O1067" s="4"/>
      <c r="P1067" s="4"/>
      <c r="T1067" s="4"/>
    </row>
    <row r="1068">
      <c r="A1068" s="4" t="s">
        <v>3615</v>
      </c>
      <c r="B1068" s="4" t="s">
        <v>607</v>
      </c>
      <c r="C1068" s="6" t="s">
        <v>607</v>
      </c>
      <c r="D1068" s="6" t="s">
        <v>607</v>
      </c>
      <c r="E1068" s="6" t="s">
        <v>607</v>
      </c>
      <c r="F1068" s="6" t="s">
        <v>607</v>
      </c>
      <c r="G1068" s="4" t="s">
        <v>607</v>
      </c>
      <c r="H1068" s="4" t="s">
        <v>607</v>
      </c>
      <c r="I1068" s="4" t="s">
        <v>607</v>
      </c>
      <c r="J1068" s="4" t="s">
        <v>607</v>
      </c>
      <c r="K1068" s="4" t="s">
        <v>607</v>
      </c>
      <c r="L1068" s="4" t="s">
        <v>607</v>
      </c>
      <c r="M1068" s="4" t="s">
        <v>607</v>
      </c>
      <c r="N1068" s="4" t="s">
        <v>607</v>
      </c>
      <c r="O1068" s="4"/>
      <c r="P1068" s="4"/>
      <c r="T1068" s="4"/>
    </row>
    <row r="1069">
      <c r="A1069" s="4" t="s">
        <v>3619</v>
      </c>
      <c r="B1069" s="4" t="s">
        <v>607</v>
      </c>
      <c r="C1069" s="6" t="s">
        <v>607</v>
      </c>
      <c r="D1069" s="6" t="s">
        <v>607</v>
      </c>
      <c r="E1069" s="6" t="s">
        <v>607</v>
      </c>
      <c r="F1069" s="6" t="s">
        <v>607</v>
      </c>
      <c r="G1069" s="4" t="s">
        <v>607</v>
      </c>
      <c r="H1069" s="4" t="s">
        <v>607</v>
      </c>
      <c r="I1069" s="4" t="s">
        <v>607</v>
      </c>
      <c r="J1069" s="4" t="s">
        <v>607</v>
      </c>
      <c r="K1069" s="4" t="s">
        <v>607</v>
      </c>
      <c r="L1069" s="4" t="s">
        <v>607</v>
      </c>
      <c r="M1069" s="4" t="s">
        <v>607</v>
      </c>
      <c r="N1069" s="4" t="s">
        <v>607</v>
      </c>
      <c r="O1069" s="4"/>
      <c r="P1069" s="4"/>
      <c r="T1069" s="4"/>
    </row>
    <row r="1070">
      <c r="A1070" s="4" t="s">
        <v>3629</v>
      </c>
      <c r="B1070" s="4" t="s">
        <v>607</v>
      </c>
      <c r="C1070" s="6" t="s">
        <v>607</v>
      </c>
      <c r="D1070" s="6" t="s">
        <v>607</v>
      </c>
      <c r="E1070" s="6" t="s">
        <v>607</v>
      </c>
      <c r="F1070" s="6" t="s">
        <v>607</v>
      </c>
      <c r="G1070" s="4" t="s">
        <v>607</v>
      </c>
      <c r="H1070" s="4" t="s">
        <v>607</v>
      </c>
      <c r="I1070" s="4" t="s">
        <v>607</v>
      </c>
      <c r="J1070" s="4" t="s">
        <v>607</v>
      </c>
      <c r="K1070" s="4" t="s">
        <v>607</v>
      </c>
      <c r="L1070" s="4" t="s">
        <v>607</v>
      </c>
      <c r="M1070" s="4" t="s">
        <v>607</v>
      </c>
      <c r="N1070" s="4" t="s">
        <v>607</v>
      </c>
      <c r="O1070" s="4"/>
      <c r="P1070" s="4"/>
      <c r="T1070" s="4"/>
    </row>
    <row r="1071">
      <c r="A1071" s="4" t="s">
        <v>3633</v>
      </c>
      <c r="B1071" s="4" t="s">
        <v>607</v>
      </c>
      <c r="C1071" s="6" t="s">
        <v>607</v>
      </c>
      <c r="D1071" s="6" t="s">
        <v>607</v>
      </c>
      <c r="E1071" s="6" t="s">
        <v>607</v>
      </c>
      <c r="F1071" s="6" t="s">
        <v>607</v>
      </c>
      <c r="G1071" s="4" t="s">
        <v>607</v>
      </c>
      <c r="H1071" s="4" t="s">
        <v>607</v>
      </c>
      <c r="I1071" s="4" t="s">
        <v>607</v>
      </c>
      <c r="J1071" s="4" t="s">
        <v>607</v>
      </c>
      <c r="K1071" s="4" t="s">
        <v>607</v>
      </c>
      <c r="L1071" s="4" t="s">
        <v>607</v>
      </c>
      <c r="M1071" s="4" t="s">
        <v>607</v>
      </c>
      <c r="N1071" s="4" t="s">
        <v>607</v>
      </c>
      <c r="O1071" s="4"/>
      <c r="P1071" s="4"/>
      <c r="T1071" s="4"/>
    </row>
    <row r="1072">
      <c r="A1072" s="4" t="s">
        <v>3635</v>
      </c>
      <c r="B1072" s="4" t="s">
        <v>607</v>
      </c>
      <c r="C1072" s="6" t="s">
        <v>607</v>
      </c>
      <c r="D1072" s="6" t="s">
        <v>607</v>
      </c>
      <c r="E1072" s="6" t="s">
        <v>607</v>
      </c>
      <c r="F1072" s="6" t="s">
        <v>607</v>
      </c>
      <c r="G1072" s="4" t="s">
        <v>607</v>
      </c>
      <c r="H1072" s="4" t="s">
        <v>607</v>
      </c>
      <c r="I1072" s="4" t="s">
        <v>607</v>
      </c>
      <c r="J1072" s="4" t="s">
        <v>607</v>
      </c>
      <c r="K1072" s="4" t="s">
        <v>607</v>
      </c>
      <c r="L1072" s="4" t="s">
        <v>607</v>
      </c>
      <c r="M1072" s="4" t="s">
        <v>607</v>
      </c>
      <c r="N1072" s="4" t="s">
        <v>607</v>
      </c>
      <c r="O1072" s="4"/>
      <c r="P1072" s="4"/>
      <c r="T1072" s="4"/>
    </row>
    <row r="1073">
      <c r="A1073" s="4" t="s">
        <v>3637</v>
      </c>
      <c r="B1073" s="4" t="s">
        <v>607</v>
      </c>
      <c r="C1073" s="6" t="s">
        <v>607</v>
      </c>
      <c r="D1073" s="6" t="s">
        <v>607</v>
      </c>
      <c r="E1073" s="6" t="s">
        <v>607</v>
      </c>
      <c r="F1073" s="6" t="s">
        <v>607</v>
      </c>
      <c r="G1073" s="4" t="s">
        <v>607</v>
      </c>
      <c r="H1073" s="4" t="s">
        <v>607</v>
      </c>
      <c r="I1073" s="4" t="s">
        <v>607</v>
      </c>
      <c r="J1073" s="4" t="s">
        <v>607</v>
      </c>
      <c r="K1073" s="4" t="s">
        <v>607</v>
      </c>
      <c r="L1073" s="4" t="s">
        <v>607</v>
      </c>
      <c r="M1073" s="4" t="s">
        <v>607</v>
      </c>
      <c r="N1073" s="4" t="s">
        <v>607</v>
      </c>
      <c r="O1073" s="4"/>
      <c r="P1073" s="4"/>
      <c r="T1073" s="4"/>
    </row>
    <row r="1074">
      <c r="A1074" s="4" t="s">
        <v>3647</v>
      </c>
      <c r="B1074" s="4" t="s">
        <v>607</v>
      </c>
      <c r="C1074" s="6" t="s">
        <v>607</v>
      </c>
      <c r="D1074" s="6" t="s">
        <v>607</v>
      </c>
      <c r="E1074" s="6" t="s">
        <v>607</v>
      </c>
      <c r="F1074" s="6" t="s">
        <v>607</v>
      </c>
      <c r="G1074" s="4" t="s">
        <v>607</v>
      </c>
      <c r="H1074" s="4" t="s">
        <v>607</v>
      </c>
      <c r="I1074" s="4" t="s">
        <v>607</v>
      </c>
      <c r="J1074" s="4" t="s">
        <v>607</v>
      </c>
      <c r="K1074" s="4" t="s">
        <v>607</v>
      </c>
      <c r="L1074" s="4" t="s">
        <v>607</v>
      </c>
      <c r="M1074" s="4" t="s">
        <v>607</v>
      </c>
      <c r="N1074" s="4" t="s">
        <v>607</v>
      </c>
      <c r="O1074" s="4"/>
      <c r="P1074" s="4"/>
      <c r="T1074" s="4"/>
    </row>
    <row r="1075">
      <c r="A1075" s="4" t="s">
        <v>3650</v>
      </c>
      <c r="B1075" s="4" t="s">
        <v>607</v>
      </c>
      <c r="C1075" s="6" t="s">
        <v>607</v>
      </c>
      <c r="D1075" s="6" t="s">
        <v>607</v>
      </c>
      <c r="E1075" s="6" t="s">
        <v>607</v>
      </c>
      <c r="F1075" s="6" t="s">
        <v>607</v>
      </c>
      <c r="G1075" s="4" t="s">
        <v>607</v>
      </c>
      <c r="H1075" s="4" t="s">
        <v>607</v>
      </c>
      <c r="I1075" s="4" t="s">
        <v>607</v>
      </c>
      <c r="J1075" s="4" t="s">
        <v>607</v>
      </c>
      <c r="K1075" s="4" t="s">
        <v>607</v>
      </c>
      <c r="L1075" s="4" t="s">
        <v>607</v>
      </c>
      <c r="M1075" s="4" t="s">
        <v>607</v>
      </c>
      <c r="N1075" s="4" t="s">
        <v>607</v>
      </c>
      <c r="O1075" s="4"/>
      <c r="P1075" s="4"/>
      <c r="T1075" s="4"/>
    </row>
    <row r="1076">
      <c r="A1076" s="4" t="s">
        <v>3653</v>
      </c>
      <c r="B1076" s="4" t="s">
        <v>607</v>
      </c>
      <c r="C1076" s="6" t="s">
        <v>607</v>
      </c>
      <c r="D1076" s="6" t="s">
        <v>607</v>
      </c>
      <c r="E1076" s="6" t="s">
        <v>607</v>
      </c>
      <c r="F1076" s="6" t="s">
        <v>607</v>
      </c>
      <c r="G1076" s="4" t="s">
        <v>607</v>
      </c>
      <c r="H1076" s="4" t="s">
        <v>607</v>
      </c>
      <c r="I1076" s="4" t="s">
        <v>607</v>
      </c>
      <c r="J1076" s="4" t="s">
        <v>607</v>
      </c>
      <c r="K1076" s="4" t="s">
        <v>607</v>
      </c>
      <c r="L1076" s="4" t="s">
        <v>607</v>
      </c>
      <c r="M1076" s="4" t="s">
        <v>607</v>
      </c>
      <c r="N1076" s="4" t="s">
        <v>607</v>
      </c>
      <c r="O1076" s="4"/>
      <c r="P1076" s="4"/>
      <c r="T1076" s="4"/>
    </row>
    <row r="1077">
      <c r="A1077" s="4" t="s">
        <v>3663</v>
      </c>
      <c r="B1077" s="4" t="s">
        <v>607</v>
      </c>
      <c r="C1077" s="6" t="s">
        <v>607</v>
      </c>
      <c r="D1077" s="6" t="s">
        <v>607</v>
      </c>
      <c r="E1077" s="6" t="s">
        <v>607</v>
      </c>
      <c r="F1077" s="6" t="s">
        <v>607</v>
      </c>
      <c r="G1077" s="4" t="s">
        <v>607</v>
      </c>
      <c r="H1077" s="4" t="s">
        <v>607</v>
      </c>
      <c r="I1077" s="4" t="s">
        <v>607</v>
      </c>
      <c r="J1077" s="4" t="s">
        <v>607</v>
      </c>
      <c r="K1077" s="4" t="s">
        <v>607</v>
      </c>
      <c r="L1077" s="4" t="s">
        <v>607</v>
      </c>
      <c r="M1077" s="4" t="s">
        <v>607</v>
      </c>
      <c r="N1077" s="4" t="s">
        <v>607</v>
      </c>
      <c r="O1077" s="4"/>
      <c r="P1077" s="4"/>
      <c r="T1077" s="4"/>
    </row>
    <row r="1078">
      <c r="A1078" s="4" t="s">
        <v>3667</v>
      </c>
      <c r="B1078" s="4" t="s">
        <v>607</v>
      </c>
      <c r="C1078" s="6" t="s">
        <v>607</v>
      </c>
      <c r="D1078" s="6" t="s">
        <v>607</v>
      </c>
      <c r="E1078" s="6" t="s">
        <v>607</v>
      </c>
      <c r="F1078" s="6" t="s">
        <v>607</v>
      </c>
      <c r="G1078" s="4" t="s">
        <v>607</v>
      </c>
      <c r="H1078" s="4" t="s">
        <v>607</v>
      </c>
      <c r="I1078" s="4" t="s">
        <v>607</v>
      </c>
      <c r="J1078" s="4" t="s">
        <v>607</v>
      </c>
      <c r="K1078" s="4" t="s">
        <v>607</v>
      </c>
      <c r="L1078" s="4" t="s">
        <v>607</v>
      </c>
      <c r="M1078" s="4" t="s">
        <v>607</v>
      </c>
      <c r="N1078" s="4" t="s">
        <v>607</v>
      </c>
      <c r="O1078" s="4"/>
      <c r="P1078" s="4"/>
      <c r="T1078" s="4"/>
    </row>
    <row r="1079">
      <c r="A1079" s="4" t="s">
        <v>3670</v>
      </c>
      <c r="B1079" s="4" t="s">
        <v>607</v>
      </c>
      <c r="C1079" s="6" t="s">
        <v>607</v>
      </c>
      <c r="D1079" s="6" t="s">
        <v>607</v>
      </c>
      <c r="E1079" s="6" t="s">
        <v>607</v>
      </c>
      <c r="F1079" s="6" t="s">
        <v>607</v>
      </c>
      <c r="G1079" s="4" t="s">
        <v>607</v>
      </c>
      <c r="H1079" s="4" t="s">
        <v>607</v>
      </c>
      <c r="I1079" s="4" t="s">
        <v>607</v>
      </c>
      <c r="J1079" s="4" t="s">
        <v>607</v>
      </c>
      <c r="K1079" s="4" t="s">
        <v>607</v>
      </c>
      <c r="L1079" s="4" t="s">
        <v>607</v>
      </c>
      <c r="M1079" s="4" t="s">
        <v>607</v>
      </c>
      <c r="N1079" s="4" t="s">
        <v>607</v>
      </c>
      <c r="O1079" s="4"/>
      <c r="P1079" s="4"/>
      <c r="T1079" s="4"/>
    </row>
    <row r="1080">
      <c r="A1080" s="4" t="s">
        <v>3674</v>
      </c>
      <c r="B1080" s="4" t="s">
        <v>607</v>
      </c>
      <c r="C1080" s="6" t="s">
        <v>607</v>
      </c>
      <c r="D1080" s="6" t="s">
        <v>607</v>
      </c>
      <c r="E1080" s="6" t="s">
        <v>607</v>
      </c>
      <c r="F1080" s="6" t="s">
        <v>607</v>
      </c>
      <c r="G1080" s="4" t="s">
        <v>607</v>
      </c>
      <c r="H1080" s="4" t="s">
        <v>607</v>
      </c>
      <c r="I1080" s="4" t="s">
        <v>607</v>
      </c>
      <c r="J1080" s="4" t="s">
        <v>607</v>
      </c>
      <c r="K1080" s="4" t="s">
        <v>607</v>
      </c>
      <c r="L1080" s="4" t="s">
        <v>607</v>
      </c>
      <c r="M1080" s="4" t="s">
        <v>607</v>
      </c>
      <c r="N1080" s="4" t="s">
        <v>607</v>
      </c>
      <c r="O1080" s="4"/>
      <c r="P1080" s="4"/>
      <c r="T1080" s="4"/>
    </row>
    <row r="1081">
      <c r="A1081" s="4" t="s">
        <v>3678</v>
      </c>
      <c r="B1081" s="4" t="s">
        <v>607</v>
      </c>
      <c r="C1081" s="6" t="s">
        <v>607</v>
      </c>
      <c r="D1081" s="6" t="s">
        <v>607</v>
      </c>
      <c r="E1081" s="6" t="s">
        <v>607</v>
      </c>
      <c r="F1081" s="6" t="s">
        <v>607</v>
      </c>
      <c r="G1081" s="4" t="s">
        <v>607</v>
      </c>
      <c r="H1081" s="4" t="s">
        <v>607</v>
      </c>
      <c r="I1081" s="4" t="s">
        <v>607</v>
      </c>
      <c r="J1081" s="4" t="s">
        <v>607</v>
      </c>
      <c r="K1081" s="4" t="s">
        <v>607</v>
      </c>
      <c r="L1081" s="4" t="s">
        <v>607</v>
      </c>
      <c r="M1081" s="4" t="s">
        <v>607</v>
      </c>
      <c r="N1081" s="4" t="s">
        <v>607</v>
      </c>
      <c r="O1081" s="4"/>
      <c r="P1081" s="4"/>
      <c r="T1081" s="4"/>
    </row>
    <row r="1082">
      <c r="A1082" s="4" t="s">
        <v>3680</v>
      </c>
      <c r="B1082" s="4" t="s">
        <v>607</v>
      </c>
      <c r="C1082" s="6" t="s">
        <v>607</v>
      </c>
      <c r="D1082" s="6" t="s">
        <v>607</v>
      </c>
      <c r="E1082" s="6" t="s">
        <v>607</v>
      </c>
      <c r="F1082" s="6" t="s">
        <v>607</v>
      </c>
      <c r="G1082" s="4" t="s">
        <v>607</v>
      </c>
      <c r="H1082" s="4" t="s">
        <v>607</v>
      </c>
      <c r="I1082" s="4" t="s">
        <v>607</v>
      </c>
      <c r="J1082" s="4" t="s">
        <v>607</v>
      </c>
      <c r="K1082" s="4" t="s">
        <v>607</v>
      </c>
      <c r="L1082" s="4" t="s">
        <v>607</v>
      </c>
      <c r="M1082" s="4" t="s">
        <v>607</v>
      </c>
      <c r="N1082" s="4" t="s">
        <v>607</v>
      </c>
      <c r="O1082" s="4"/>
      <c r="P1082" s="4"/>
      <c r="T1082" s="4"/>
    </row>
    <row r="1083">
      <c r="A1083" s="4" t="s">
        <v>3690</v>
      </c>
      <c r="B1083" s="4" t="s">
        <v>607</v>
      </c>
      <c r="C1083" s="6" t="s">
        <v>607</v>
      </c>
      <c r="D1083" s="6" t="s">
        <v>607</v>
      </c>
      <c r="E1083" s="6" t="s">
        <v>607</v>
      </c>
      <c r="F1083" s="6" t="s">
        <v>607</v>
      </c>
      <c r="G1083" s="4" t="s">
        <v>607</v>
      </c>
      <c r="H1083" s="4" t="s">
        <v>607</v>
      </c>
      <c r="I1083" s="4" t="s">
        <v>607</v>
      </c>
      <c r="J1083" s="4" t="s">
        <v>607</v>
      </c>
      <c r="K1083" s="4" t="s">
        <v>607</v>
      </c>
      <c r="L1083" s="4" t="s">
        <v>607</v>
      </c>
      <c r="M1083" s="4" t="s">
        <v>607</v>
      </c>
      <c r="N1083" s="4" t="s">
        <v>607</v>
      </c>
      <c r="O1083" s="4"/>
      <c r="P1083" s="4"/>
      <c r="T1083" s="4"/>
    </row>
    <row r="1084">
      <c r="A1084" s="4" t="s">
        <v>3693</v>
      </c>
      <c r="B1084" s="4" t="s">
        <v>607</v>
      </c>
      <c r="C1084" s="6" t="s">
        <v>607</v>
      </c>
      <c r="D1084" s="6" t="s">
        <v>607</v>
      </c>
      <c r="E1084" s="6" t="s">
        <v>607</v>
      </c>
      <c r="F1084" s="6" t="s">
        <v>607</v>
      </c>
      <c r="G1084" s="4" t="s">
        <v>607</v>
      </c>
      <c r="H1084" s="4" t="s">
        <v>607</v>
      </c>
      <c r="I1084" s="4" t="s">
        <v>607</v>
      </c>
      <c r="J1084" s="4" t="s">
        <v>607</v>
      </c>
      <c r="K1084" s="4" t="s">
        <v>607</v>
      </c>
      <c r="L1084" s="4" t="s">
        <v>607</v>
      </c>
      <c r="M1084" s="4" t="s">
        <v>607</v>
      </c>
      <c r="N1084" s="4" t="s">
        <v>607</v>
      </c>
      <c r="O1084" s="4"/>
      <c r="P1084" s="4"/>
      <c r="T1084" s="4"/>
    </row>
    <row r="1085">
      <c r="A1085" s="4" t="s">
        <v>3697</v>
      </c>
      <c r="B1085" s="4" t="s">
        <v>607</v>
      </c>
      <c r="C1085" s="6" t="s">
        <v>607</v>
      </c>
      <c r="D1085" s="6" t="s">
        <v>607</v>
      </c>
      <c r="E1085" s="6" t="s">
        <v>607</v>
      </c>
      <c r="F1085" s="6" t="s">
        <v>607</v>
      </c>
      <c r="G1085" s="4" t="s">
        <v>607</v>
      </c>
      <c r="H1085" s="4" t="s">
        <v>607</v>
      </c>
      <c r="I1085" s="4" t="s">
        <v>607</v>
      </c>
      <c r="J1085" s="4" t="s">
        <v>607</v>
      </c>
      <c r="K1085" s="4" t="s">
        <v>607</v>
      </c>
      <c r="L1085" s="4" t="s">
        <v>607</v>
      </c>
      <c r="M1085" s="4" t="s">
        <v>607</v>
      </c>
      <c r="N1085" s="4" t="s">
        <v>607</v>
      </c>
      <c r="O1085" s="4"/>
      <c r="P1085" s="4"/>
      <c r="T1085" s="4"/>
    </row>
    <row r="1086">
      <c r="A1086" s="4" t="s">
        <v>3705</v>
      </c>
      <c r="B1086" s="4" t="s">
        <v>607</v>
      </c>
      <c r="C1086" s="6" t="s">
        <v>607</v>
      </c>
      <c r="D1086" s="6" t="s">
        <v>607</v>
      </c>
      <c r="E1086" s="6" t="s">
        <v>607</v>
      </c>
      <c r="F1086" s="6" t="s">
        <v>607</v>
      </c>
      <c r="G1086" s="4" t="s">
        <v>607</v>
      </c>
      <c r="H1086" s="4" t="s">
        <v>607</v>
      </c>
      <c r="I1086" s="4" t="s">
        <v>607</v>
      </c>
      <c r="J1086" s="4" t="s">
        <v>607</v>
      </c>
      <c r="K1086" s="4" t="s">
        <v>607</v>
      </c>
      <c r="L1086" s="4" t="s">
        <v>607</v>
      </c>
      <c r="M1086" s="4" t="s">
        <v>607</v>
      </c>
      <c r="N1086" s="4" t="s">
        <v>607</v>
      </c>
      <c r="O1086" s="4"/>
      <c r="P1086" s="4"/>
      <c r="T1086" s="4"/>
    </row>
    <row r="1087">
      <c r="A1087" s="4" t="s">
        <v>3709</v>
      </c>
      <c r="B1087" s="4" t="s">
        <v>607</v>
      </c>
      <c r="C1087" s="6" t="s">
        <v>607</v>
      </c>
      <c r="D1087" s="6" t="s">
        <v>607</v>
      </c>
      <c r="E1087" s="6" t="s">
        <v>607</v>
      </c>
      <c r="F1087" s="6" t="s">
        <v>607</v>
      </c>
      <c r="G1087" s="4" t="s">
        <v>607</v>
      </c>
      <c r="H1087" s="4" t="s">
        <v>607</v>
      </c>
      <c r="I1087" s="4" t="s">
        <v>607</v>
      </c>
      <c r="J1087" s="4" t="s">
        <v>607</v>
      </c>
      <c r="K1087" s="4" t="s">
        <v>607</v>
      </c>
      <c r="L1087" s="4" t="s">
        <v>607</v>
      </c>
      <c r="M1087" s="4" t="s">
        <v>607</v>
      </c>
      <c r="N1087" s="4" t="s">
        <v>607</v>
      </c>
      <c r="O1087" s="4"/>
      <c r="P1087" s="4"/>
      <c r="T1087" s="4"/>
    </row>
    <row r="1088">
      <c r="A1088" s="4" t="s">
        <v>3712</v>
      </c>
      <c r="B1088" s="4" t="s">
        <v>607</v>
      </c>
      <c r="C1088" s="6" t="s">
        <v>607</v>
      </c>
      <c r="D1088" s="6" t="s">
        <v>607</v>
      </c>
      <c r="E1088" s="6" t="s">
        <v>607</v>
      </c>
      <c r="F1088" s="6" t="s">
        <v>607</v>
      </c>
      <c r="G1088" s="4" t="s">
        <v>607</v>
      </c>
      <c r="H1088" s="4" t="s">
        <v>607</v>
      </c>
      <c r="I1088" s="4" t="s">
        <v>607</v>
      </c>
      <c r="J1088" s="4" t="s">
        <v>607</v>
      </c>
      <c r="K1088" s="4" t="s">
        <v>607</v>
      </c>
      <c r="L1088" s="4" t="s">
        <v>607</v>
      </c>
      <c r="M1088" s="4" t="s">
        <v>607</v>
      </c>
      <c r="N1088" s="4" t="s">
        <v>607</v>
      </c>
      <c r="O1088" s="4"/>
      <c r="P1088" s="4"/>
      <c r="T1088" s="4"/>
    </row>
    <row r="1089">
      <c r="A1089" s="4" t="s">
        <v>3717</v>
      </c>
      <c r="B1089" s="4" t="s">
        <v>607</v>
      </c>
      <c r="C1089" s="6" t="s">
        <v>607</v>
      </c>
      <c r="D1089" s="6" t="s">
        <v>607</v>
      </c>
      <c r="E1089" s="6" t="s">
        <v>607</v>
      </c>
      <c r="F1089" s="6" t="s">
        <v>607</v>
      </c>
      <c r="G1089" s="4" t="s">
        <v>607</v>
      </c>
      <c r="H1089" s="4" t="s">
        <v>607</v>
      </c>
      <c r="I1089" s="4" t="s">
        <v>607</v>
      </c>
      <c r="J1089" s="4" t="s">
        <v>607</v>
      </c>
      <c r="K1089" s="4" t="s">
        <v>607</v>
      </c>
      <c r="L1089" s="4" t="s">
        <v>607</v>
      </c>
      <c r="M1089" s="4" t="s">
        <v>607</v>
      </c>
      <c r="N1089" s="4" t="s">
        <v>607</v>
      </c>
      <c r="O1089" s="4"/>
      <c r="P1089" s="4"/>
      <c r="T1089" s="4"/>
    </row>
    <row r="1090">
      <c r="A1090" s="4" t="s">
        <v>3722</v>
      </c>
      <c r="B1090" s="4" t="s">
        <v>607</v>
      </c>
      <c r="C1090" s="6" t="s">
        <v>607</v>
      </c>
      <c r="D1090" s="6" t="s">
        <v>607</v>
      </c>
      <c r="E1090" s="6" t="s">
        <v>607</v>
      </c>
      <c r="F1090" s="6" t="s">
        <v>607</v>
      </c>
      <c r="G1090" s="4" t="s">
        <v>607</v>
      </c>
      <c r="H1090" s="4" t="s">
        <v>607</v>
      </c>
      <c r="I1090" s="4" t="s">
        <v>607</v>
      </c>
      <c r="J1090" s="4" t="s">
        <v>607</v>
      </c>
      <c r="K1090" s="4" t="s">
        <v>607</v>
      </c>
      <c r="L1090" s="4" t="s">
        <v>607</v>
      </c>
      <c r="M1090" s="4" t="s">
        <v>607</v>
      </c>
      <c r="N1090" s="4" t="s">
        <v>607</v>
      </c>
      <c r="O1090" s="4"/>
      <c r="P1090" s="4"/>
      <c r="T1090" s="4"/>
    </row>
    <row r="1091">
      <c r="A1091" s="4" t="s">
        <v>3725</v>
      </c>
      <c r="B1091" s="4" t="s">
        <v>607</v>
      </c>
      <c r="C1091" s="6" t="s">
        <v>607</v>
      </c>
      <c r="D1091" s="6" t="s">
        <v>607</v>
      </c>
      <c r="E1091" s="6" t="s">
        <v>607</v>
      </c>
      <c r="F1091" s="6" t="s">
        <v>607</v>
      </c>
      <c r="G1091" s="4" t="s">
        <v>607</v>
      </c>
      <c r="H1091" s="4" t="s">
        <v>607</v>
      </c>
      <c r="I1091" s="4" t="s">
        <v>607</v>
      </c>
      <c r="J1091" s="4" t="s">
        <v>607</v>
      </c>
      <c r="K1091" s="4" t="s">
        <v>607</v>
      </c>
      <c r="L1091" s="4" t="s">
        <v>607</v>
      </c>
      <c r="M1091" s="4" t="s">
        <v>607</v>
      </c>
      <c r="N1091" s="4" t="s">
        <v>607</v>
      </c>
      <c r="O1091" s="4"/>
      <c r="P1091" s="4"/>
      <c r="T1091" s="4"/>
    </row>
    <row r="1092">
      <c r="A1092" s="4" t="s">
        <v>3736</v>
      </c>
      <c r="B1092" s="4" t="s">
        <v>607</v>
      </c>
      <c r="C1092" s="6" t="s">
        <v>607</v>
      </c>
      <c r="D1092" s="6" t="s">
        <v>607</v>
      </c>
      <c r="E1092" s="6" t="s">
        <v>607</v>
      </c>
      <c r="F1092" s="6" t="s">
        <v>607</v>
      </c>
      <c r="G1092" s="4" t="s">
        <v>607</v>
      </c>
      <c r="H1092" s="4" t="s">
        <v>607</v>
      </c>
      <c r="I1092" s="4" t="s">
        <v>607</v>
      </c>
      <c r="J1092" s="4" t="s">
        <v>607</v>
      </c>
      <c r="K1092" s="4" t="s">
        <v>607</v>
      </c>
      <c r="L1092" s="4" t="s">
        <v>607</v>
      </c>
      <c r="M1092" s="4" t="s">
        <v>607</v>
      </c>
      <c r="N1092" s="4" t="s">
        <v>607</v>
      </c>
      <c r="O1092" s="4"/>
      <c r="P1092" s="4"/>
      <c r="T1092" s="4"/>
    </row>
    <row r="1093">
      <c r="A1093" s="4" t="s">
        <v>3740</v>
      </c>
      <c r="B1093" s="4" t="s">
        <v>607</v>
      </c>
      <c r="C1093" s="6" t="s">
        <v>607</v>
      </c>
      <c r="D1093" s="6" t="s">
        <v>607</v>
      </c>
      <c r="E1093" s="6" t="s">
        <v>607</v>
      </c>
      <c r="F1093" s="6" t="s">
        <v>607</v>
      </c>
      <c r="G1093" s="4" t="s">
        <v>607</v>
      </c>
      <c r="H1093" s="4" t="s">
        <v>607</v>
      </c>
      <c r="I1093" s="4" t="s">
        <v>607</v>
      </c>
      <c r="J1093" s="4" t="s">
        <v>607</v>
      </c>
      <c r="K1093" s="4" t="s">
        <v>607</v>
      </c>
      <c r="L1093" s="4" t="s">
        <v>607</v>
      </c>
      <c r="M1093" s="4" t="s">
        <v>607</v>
      </c>
      <c r="N1093" s="4" t="s">
        <v>607</v>
      </c>
      <c r="O1093" s="4"/>
      <c r="P1093" s="4"/>
      <c r="T1093" s="4"/>
    </row>
    <row r="1094">
      <c r="A1094" s="4" t="s">
        <v>3742</v>
      </c>
      <c r="B1094" s="4" t="s">
        <v>607</v>
      </c>
      <c r="C1094" s="6" t="s">
        <v>607</v>
      </c>
      <c r="D1094" s="6" t="s">
        <v>607</v>
      </c>
      <c r="E1094" s="6" t="s">
        <v>607</v>
      </c>
      <c r="F1094" s="6" t="s">
        <v>607</v>
      </c>
      <c r="G1094" s="4" t="s">
        <v>607</v>
      </c>
      <c r="H1094" s="4" t="s">
        <v>607</v>
      </c>
      <c r="I1094" s="4" t="s">
        <v>607</v>
      </c>
      <c r="J1094" s="4" t="s">
        <v>607</v>
      </c>
      <c r="K1094" s="4" t="s">
        <v>607</v>
      </c>
      <c r="L1094" s="4" t="s">
        <v>607</v>
      </c>
      <c r="M1094" s="4" t="s">
        <v>607</v>
      </c>
      <c r="N1094" s="4" t="s">
        <v>607</v>
      </c>
      <c r="O1094" s="4"/>
      <c r="P1094" s="4"/>
      <c r="T1094" s="4"/>
    </row>
    <row r="1095">
      <c r="A1095" s="4" t="s">
        <v>3751</v>
      </c>
      <c r="B1095" s="4" t="s">
        <v>607</v>
      </c>
      <c r="C1095" s="6" t="s">
        <v>607</v>
      </c>
      <c r="D1095" s="6" t="s">
        <v>607</v>
      </c>
      <c r="E1095" s="6" t="s">
        <v>607</v>
      </c>
      <c r="F1095" s="6" t="s">
        <v>607</v>
      </c>
      <c r="G1095" s="4" t="s">
        <v>607</v>
      </c>
      <c r="H1095" s="4" t="s">
        <v>607</v>
      </c>
      <c r="I1095" s="4" t="s">
        <v>607</v>
      </c>
      <c r="J1095" s="4" t="s">
        <v>607</v>
      </c>
      <c r="K1095" s="4" t="s">
        <v>607</v>
      </c>
      <c r="L1095" s="4" t="s">
        <v>607</v>
      </c>
      <c r="M1095" s="4" t="s">
        <v>607</v>
      </c>
      <c r="N1095" s="4" t="s">
        <v>607</v>
      </c>
      <c r="O1095" s="4"/>
      <c r="P1095" s="4"/>
      <c r="T1095" s="4"/>
    </row>
    <row r="1096">
      <c r="A1096" s="4" t="s">
        <v>3754</v>
      </c>
      <c r="B1096" s="4" t="s">
        <v>607</v>
      </c>
      <c r="C1096" s="6" t="s">
        <v>607</v>
      </c>
      <c r="D1096" s="6" t="s">
        <v>607</v>
      </c>
      <c r="E1096" s="6" t="s">
        <v>607</v>
      </c>
      <c r="F1096" s="6" t="s">
        <v>607</v>
      </c>
      <c r="G1096" s="4" t="s">
        <v>607</v>
      </c>
      <c r="H1096" s="4" t="s">
        <v>607</v>
      </c>
      <c r="I1096" s="4" t="s">
        <v>607</v>
      </c>
      <c r="J1096" s="4" t="s">
        <v>607</v>
      </c>
      <c r="K1096" s="4" t="s">
        <v>607</v>
      </c>
      <c r="L1096" s="4" t="s">
        <v>607</v>
      </c>
      <c r="M1096" s="4" t="s">
        <v>607</v>
      </c>
      <c r="N1096" s="4" t="s">
        <v>607</v>
      </c>
      <c r="O1096" s="4"/>
      <c r="P1096" s="4"/>
      <c r="T1096" s="4"/>
    </row>
    <row r="1097">
      <c r="A1097" s="4" t="s">
        <v>3759</v>
      </c>
      <c r="B1097" s="4" t="s">
        <v>607</v>
      </c>
      <c r="C1097" s="6" t="s">
        <v>607</v>
      </c>
      <c r="D1097" s="6" t="s">
        <v>607</v>
      </c>
      <c r="E1097" s="6" t="s">
        <v>607</v>
      </c>
      <c r="F1097" s="6" t="s">
        <v>607</v>
      </c>
      <c r="G1097" s="4" t="s">
        <v>607</v>
      </c>
      <c r="H1097" s="4" t="s">
        <v>607</v>
      </c>
      <c r="I1097" s="4" t="s">
        <v>607</v>
      </c>
      <c r="J1097" s="4" t="s">
        <v>607</v>
      </c>
      <c r="K1097" s="4" t="s">
        <v>607</v>
      </c>
      <c r="L1097" s="4" t="s">
        <v>607</v>
      </c>
      <c r="M1097" s="4" t="s">
        <v>607</v>
      </c>
      <c r="N1097" s="4" t="s">
        <v>607</v>
      </c>
      <c r="O1097" s="4"/>
      <c r="P1097" s="4"/>
      <c r="T1097" s="4"/>
    </row>
    <row r="1098">
      <c r="A1098" s="4" t="s">
        <v>3761</v>
      </c>
      <c r="B1098" s="4" t="s">
        <v>607</v>
      </c>
      <c r="C1098" s="6" t="s">
        <v>607</v>
      </c>
      <c r="D1098" s="6" t="s">
        <v>607</v>
      </c>
      <c r="E1098" s="6" t="s">
        <v>607</v>
      </c>
      <c r="F1098" s="6" t="s">
        <v>607</v>
      </c>
      <c r="G1098" s="4" t="s">
        <v>607</v>
      </c>
      <c r="H1098" s="4" t="s">
        <v>607</v>
      </c>
      <c r="I1098" s="4" t="s">
        <v>607</v>
      </c>
      <c r="J1098" s="4" t="s">
        <v>607</v>
      </c>
      <c r="K1098" s="4" t="s">
        <v>607</v>
      </c>
      <c r="L1098" s="4" t="s">
        <v>607</v>
      </c>
      <c r="M1098" s="4" t="s">
        <v>607</v>
      </c>
      <c r="N1098" s="4" t="s">
        <v>607</v>
      </c>
      <c r="O1098" s="4"/>
      <c r="P1098" s="4"/>
      <c r="T1098" s="4"/>
    </row>
    <row r="1099">
      <c r="A1099" s="4" t="s">
        <v>3763</v>
      </c>
      <c r="B1099" s="4" t="s">
        <v>607</v>
      </c>
      <c r="C1099" s="6" t="s">
        <v>607</v>
      </c>
      <c r="D1099" s="6" t="s">
        <v>607</v>
      </c>
      <c r="E1099" s="6" t="s">
        <v>607</v>
      </c>
      <c r="F1099" s="6" t="s">
        <v>607</v>
      </c>
      <c r="G1099" s="4" t="s">
        <v>607</v>
      </c>
      <c r="H1099" s="4" t="s">
        <v>607</v>
      </c>
      <c r="I1099" s="4" t="s">
        <v>607</v>
      </c>
      <c r="J1099" s="4" t="s">
        <v>607</v>
      </c>
      <c r="K1099" s="4" t="s">
        <v>607</v>
      </c>
      <c r="L1099" s="4" t="s">
        <v>607</v>
      </c>
      <c r="M1099" s="4" t="s">
        <v>607</v>
      </c>
      <c r="N1099" s="4" t="s">
        <v>607</v>
      </c>
      <c r="O1099" s="4"/>
      <c r="P1099" s="4"/>
      <c r="T1099" s="4"/>
    </row>
    <row r="1100">
      <c r="A1100" s="4" t="s">
        <v>3767</v>
      </c>
      <c r="B1100" s="4" t="s">
        <v>607</v>
      </c>
      <c r="C1100" s="6" t="s">
        <v>607</v>
      </c>
      <c r="D1100" s="6" t="s">
        <v>607</v>
      </c>
      <c r="E1100" s="6" t="s">
        <v>607</v>
      </c>
      <c r="F1100" s="6" t="s">
        <v>607</v>
      </c>
      <c r="G1100" s="4" t="s">
        <v>607</v>
      </c>
      <c r="H1100" s="4" t="s">
        <v>607</v>
      </c>
      <c r="I1100" s="4" t="s">
        <v>607</v>
      </c>
      <c r="J1100" s="4" t="s">
        <v>607</v>
      </c>
      <c r="K1100" s="4" t="s">
        <v>607</v>
      </c>
      <c r="L1100" s="4" t="s">
        <v>607</v>
      </c>
      <c r="M1100" s="4" t="s">
        <v>607</v>
      </c>
      <c r="N1100" s="4" t="s">
        <v>607</v>
      </c>
      <c r="O1100" s="4"/>
      <c r="P1100" s="4"/>
      <c r="T1100" s="4"/>
    </row>
    <row r="1101">
      <c r="A1101" s="4" t="s">
        <v>3779</v>
      </c>
      <c r="B1101" s="4" t="s">
        <v>607</v>
      </c>
      <c r="C1101" s="6" t="s">
        <v>607</v>
      </c>
      <c r="D1101" s="6" t="s">
        <v>607</v>
      </c>
      <c r="E1101" s="6" t="s">
        <v>607</v>
      </c>
      <c r="F1101" s="6" t="s">
        <v>607</v>
      </c>
      <c r="G1101" s="4" t="s">
        <v>607</v>
      </c>
      <c r="H1101" s="4" t="s">
        <v>607</v>
      </c>
      <c r="I1101" s="4" t="s">
        <v>607</v>
      </c>
      <c r="J1101" s="4" t="s">
        <v>607</v>
      </c>
      <c r="K1101" s="4" t="s">
        <v>607</v>
      </c>
      <c r="L1101" s="4" t="s">
        <v>607</v>
      </c>
      <c r="M1101" s="4" t="s">
        <v>607</v>
      </c>
      <c r="N1101" s="4" t="s">
        <v>607</v>
      </c>
      <c r="O1101" s="4"/>
      <c r="P1101" s="4"/>
      <c r="T1101" s="4"/>
    </row>
    <row r="1102">
      <c r="A1102" s="4" t="s">
        <v>3782</v>
      </c>
      <c r="B1102" s="4" t="s">
        <v>607</v>
      </c>
      <c r="C1102" s="6" t="s">
        <v>607</v>
      </c>
      <c r="D1102" s="6" t="s">
        <v>607</v>
      </c>
      <c r="E1102" s="6" t="s">
        <v>607</v>
      </c>
      <c r="F1102" s="6" t="s">
        <v>607</v>
      </c>
      <c r="G1102" s="4" t="s">
        <v>607</v>
      </c>
      <c r="H1102" s="4" t="s">
        <v>607</v>
      </c>
      <c r="I1102" s="4" t="s">
        <v>607</v>
      </c>
      <c r="J1102" s="4" t="s">
        <v>607</v>
      </c>
      <c r="K1102" s="4" t="s">
        <v>607</v>
      </c>
      <c r="L1102" s="4" t="s">
        <v>607</v>
      </c>
      <c r="M1102" s="4" t="s">
        <v>607</v>
      </c>
      <c r="N1102" s="4" t="s">
        <v>607</v>
      </c>
      <c r="O1102" s="4"/>
      <c r="P1102" s="4"/>
      <c r="T1102" s="4"/>
    </row>
    <row r="1103">
      <c r="A1103" s="4" t="s">
        <v>3791</v>
      </c>
      <c r="B1103" s="4" t="s">
        <v>607</v>
      </c>
      <c r="C1103" s="6" t="s">
        <v>607</v>
      </c>
      <c r="D1103" s="6" t="s">
        <v>607</v>
      </c>
      <c r="E1103" s="6" t="s">
        <v>607</v>
      </c>
      <c r="F1103" s="6" t="s">
        <v>607</v>
      </c>
      <c r="G1103" s="4" t="s">
        <v>607</v>
      </c>
      <c r="H1103" s="4" t="s">
        <v>607</v>
      </c>
      <c r="I1103" s="4" t="s">
        <v>607</v>
      </c>
      <c r="J1103" s="4" t="s">
        <v>607</v>
      </c>
      <c r="K1103" s="4" t="s">
        <v>607</v>
      </c>
      <c r="L1103" s="4" t="s">
        <v>607</v>
      </c>
      <c r="M1103" s="4" t="s">
        <v>607</v>
      </c>
      <c r="N1103" s="4" t="s">
        <v>607</v>
      </c>
      <c r="O1103" s="4"/>
      <c r="P1103" s="4"/>
      <c r="T1103" s="4"/>
    </row>
    <row r="1104">
      <c r="A1104" s="4" t="s">
        <v>3795</v>
      </c>
      <c r="B1104" s="4" t="s">
        <v>607</v>
      </c>
      <c r="C1104" s="6" t="s">
        <v>607</v>
      </c>
      <c r="D1104" s="6" t="s">
        <v>607</v>
      </c>
      <c r="E1104" s="6" t="s">
        <v>607</v>
      </c>
      <c r="F1104" s="6" t="s">
        <v>607</v>
      </c>
      <c r="G1104" s="4" t="s">
        <v>607</v>
      </c>
      <c r="H1104" s="4" t="s">
        <v>607</v>
      </c>
      <c r="I1104" s="4" t="s">
        <v>607</v>
      </c>
      <c r="J1104" s="4" t="s">
        <v>607</v>
      </c>
      <c r="K1104" s="4" t="s">
        <v>607</v>
      </c>
      <c r="L1104" s="4" t="s">
        <v>607</v>
      </c>
      <c r="M1104" s="4" t="s">
        <v>607</v>
      </c>
      <c r="N1104" s="4" t="s">
        <v>607</v>
      </c>
      <c r="O1104" s="4"/>
      <c r="P1104" s="4"/>
      <c r="T1104" s="4"/>
    </row>
    <row r="1105">
      <c r="A1105" s="4" t="s">
        <v>3802</v>
      </c>
      <c r="B1105" s="4" t="s">
        <v>607</v>
      </c>
      <c r="C1105" s="6" t="s">
        <v>607</v>
      </c>
      <c r="D1105" s="6" t="s">
        <v>607</v>
      </c>
      <c r="E1105" s="6" t="s">
        <v>607</v>
      </c>
      <c r="F1105" s="6" t="s">
        <v>607</v>
      </c>
      <c r="G1105" s="4" t="s">
        <v>607</v>
      </c>
      <c r="H1105" s="4" t="s">
        <v>607</v>
      </c>
      <c r="I1105" s="4" t="s">
        <v>607</v>
      </c>
      <c r="J1105" s="4" t="s">
        <v>607</v>
      </c>
      <c r="K1105" s="4" t="s">
        <v>607</v>
      </c>
      <c r="L1105" s="4" t="s">
        <v>607</v>
      </c>
      <c r="M1105" s="4" t="s">
        <v>607</v>
      </c>
      <c r="N1105" s="4" t="s">
        <v>607</v>
      </c>
      <c r="O1105" s="4"/>
      <c r="P1105" s="4"/>
      <c r="T1105" s="4"/>
    </row>
    <row r="1106">
      <c r="A1106" s="4" t="s">
        <v>3807</v>
      </c>
      <c r="B1106" s="4" t="s">
        <v>607</v>
      </c>
      <c r="C1106" s="6" t="s">
        <v>607</v>
      </c>
      <c r="D1106" s="6" t="s">
        <v>607</v>
      </c>
      <c r="E1106" s="6" t="s">
        <v>607</v>
      </c>
      <c r="F1106" s="6" t="s">
        <v>607</v>
      </c>
      <c r="G1106" s="4" t="s">
        <v>607</v>
      </c>
      <c r="H1106" s="4" t="s">
        <v>607</v>
      </c>
      <c r="I1106" s="4" t="s">
        <v>607</v>
      </c>
      <c r="J1106" s="4" t="s">
        <v>607</v>
      </c>
      <c r="K1106" s="4" t="s">
        <v>607</v>
      </c>
      <c r="L1106" s="4" t="s">
        <v>607</v>
      </c>
      <c r="M1106" s="4" t="s">
        <v>607</v>
      </c>
      <c r="N1106" s="4" t="s">
        <v>607</v>
      </c>
      <c r="O1106" s="4"/>
      <c r="P1106" s="4"/>
      <c r="T1106" s="4"/>
    </row>
    <row r="1107">
      <c r="A1107" s="4" t="s">
        <v>3809</v>
      </c>
      <c r="B1107" s="4" t="s">
        <v>607</v>
      </c>
      <c r="C1107" s="6" t="s">
        <v>607</v>
      </c>
      <c r="D1107" s="6" t="s">
        <v>607</v>
      </c>
      <c r="E1107" s="6" t="s">
        <v>607</v>
      </c>
      <c r="F1107" s="6" t="s">
        <v>607</v>
      </c>
      <c r="G1107" s="4" t="s">
        <v>607</v>
      </c>
      <c r="H1107" s="4" t="s">
        <v>607</v>
      </c>
      <c r="I1107" s="4" t="s">
        <v>607</v>
      </c>
      <c r="J1107" s="4" t="s">
        <v>607</v>
      </c>
      <c r="K1107" s="4" t="s">
        <v>607</v>
      </c>
      <c r="L1107" s="4" t="s">
        <v>607</v>
      </c>
      <c r="M1107" s="4" t="s">
        <v>607</v>
      </c>
      <c r="N1107" s="4" t="s">
        <v>607</v>
      </c>
      <c r="O1107" s="4"/>
      <c r="P1107" s="4"/>
      <c r="T1107" s="4"/>
    </row>
    <row r="1108">
      <c r="A1108" s="4" t="s">
        <v>3811</v>
      </c>
      <c r="B1108" s="4" t="s">
        <v>607</v>
      </c>
      <c r="C1108" s="6" t="s">
        <v>607</v>
      </c>
      <c r="D1108" s="6" t="s">
        <v>607</v>
      </c>
      <c r="E1108" s="6" t="s">
        <v>607</v>
      </c>
      <c r="F1108" s="6" t="s">
        <v>607</v>
      </c>
      <c r="G1108" s="4" t="s">
        <v>607</v>
      </c>
      <c r="H1108" s="4" t="s">
        <v>607</v>
      </c>
      <c r="I1108" s="4" t="s">
        <v>607</v>
      </c>
      <c r="J1108" s="4" t="s">
        <v>607</v>
      </c>
      <c r="K1108" s="4" t="s">
        <v>607</v>
      </c>
      <c r="L1108" s="4" t="s">
        <v>607</v>
      </c>
      <c r="M1108" s="4" t="s">
        <v>607</v>
      </c>
      <c r="N1108" s="4" t="s">
        <v>607</v>
      </c>
      <c r="O1108" s="4"/>
      <c r="P1108" s="4"/>
      <c r="T1108" s="4"/>
    </row>
    <row r="1109">
      <c r="A1109" s="4" t="s">
        <v>3814</v>
      </c>
      <c r="B1109" s="4" t="s">
        <v>607</v>
      </c>
      <c r="C1109" s="6" t="s">
        <v>607</v>
      </c>
      <c r="D1109" s="6" t="s">
        <v>607</v>
      </c>
      <c r="E1109" s="6" t="s">
        <v>607</v>
      </c>
      <c r="F1109" s="6" t="s">
        <v>607</v>
      </c>
      <c r="G1109" s="4" t="s">
        <v>607</v>
      </c>
      <c r="H1109" s="4" t="s">
        <v>607</v>
      </c>
      <c r="I1109" s="4" t="s">
        <v>607</v>
      </c>
      <c r="J1109" s="4" t="s">
        <v>607</v>
      </c>
      <c r="K1109" s="4" t="s">
        <v>607</v>
      </c>
      <c r="L1109" s="4" t="s">
        <v>607</v>
      </c>
      <c r="M1109" s="4" t="s">
        <v>607</v>
      </c>
      <c r="N1109" s="4" t="s">
        <v>607</v>
      </c>
      <c r="O1109" s="4"/>
      <c r="P1109" s="4"/>
      <c r="T1109" s="4"/>
    </row>
    <row r="1110">
      <c r="A1110" s="4" t="s">
        <v>3816</v>
      </c>
      <c r="B1110" s="4" t="s">
        <v>607</v>
      </c>
      <c r="C1110" s="6" t="s">
        <v>607</v>
      </c>
      <c r="D1110" s="6" t="s">
        <v>607</v>
      </c>
      <c r="E1110" s="6" t="s">
        <v>607</v>
      </c>
      <c r="F1110" s="6" t="s">
        <v>607</v>
      </c>
      <c r="G1110" s="4" t="s">
        <v>607</v>
      </c>
      <c r="H1110" s="4" t="s">
        <v>607</v>
      </c>
      <c r="I1110" s="4" t="s">
        <v>607</v>
      </c>
      <c r="J1110" s="4" t="s">
        <v>607</v>
      </c>
      <c r="K1110" s="4" t="s">
        <v>607</v>
      </c>
      <c r="L1110" s="4" t="s">
        <v>607</v>
      </c>
      <c r="M1110" s="4" t="s">
        <v>607</v>
      </c>
      <c r="N1110" s="4" t="s">
        <v>607</v>
      </c>
      <c r="O1110" s="4"/>
      <c r="P1110" s="4"/>
      <c r="T1110" s="4"/>
    </row>
    <row r="1111">
      <c r="A1111" s="4" t="s">
        <v>3819</v>
      </c>
      <c r="B1111" s="4" t="s">
        <v>607</v>
      </c>
      <c r="C1111" s="6" t="s">
        <v>607</v>
      </c>
      <c r="D1111" s="6" t="s">
        <v>607</v>
      </c>
      <c r="E1111" s="6" t="s">
        <v>607</v>
      </c>
      <c r="F1111" s="6" t="s">
        <v>607</v>
      </c>
      <c r="G1111" s="4" t="s">
        <v>607</v>
      </c>
      <c r="H1111" s="4" t="s">
        <v>607</v>
      </c>
      <c r="I1111" s="4" t="s">
        <v>607</v>
      </c>
      <c r="J1111" s="4" t="s">
        <v>607</v>
      </c>
      <c r="K1111" s="4" t="s">
        <v>607</v>
      </c>
      <c r="L1111" s="4" t="s">
        <v>607</v>
      </c>
      <c r="M1111" s="4" t="s">
        <v>607</v>
      </c>
      <c r="N1111" s="4" t="s">
        <v>607</v>
      </c>
      <c r="O1111" s="4"/>
      <c r="P1111" s="4"/>
      <c r="T1111" s="4"/>
    </row>
    <row r="1112">
      <c r="A1112" s="4" t="s">
        <v>3823</v>
      </c>
      <c r="B1112" s="4" t="s">
        <v>607</v>
      </c>
      <c r="C1112" s="6" t="s">
        <v>607</v>
      </c>
      <c r="D1112" s="6" t="s">
        <v>607</v>
      </c>
      <c r="E1112" s="6" t="s">
        <v>607</v>
      </c>
      <c r="F1112" s="6" t="s">
        <v>607</v>
      </c>
      <c r="G1112" s="4" t="s">
        <v>607</v>
      </c>
      <c r="H1112" s="4" t="s">
        <v>607</v>
      </c>
      <c r="I1112" s="4" t="s">
        <v>607</v>
      </c>
      <c r="J1112" s="4" t="s">
        <v>607</v>
      </c>
      <c r="K1112" s="4" t="s">
        <v>607</v>
      </c>
      <c r="L1112" s="4" t="s">
        <v>607</v>
      </c>
      <c r="M1112" s="4" t="s">
        <v>607</v>
      </c>
      <c r="N1112" s="4" t="s">
        <v>607</v>
      </c>
      <c r="O1112" s="4"/>
      <c r="P1112" s="4"/>
      <c r="T1112" s="4"/>
    </row>
    <row r="1113">
      <c r="A1113" s="4" t="s">
        <v>3825</v>
      </c>
      <c r="B1113" s="4" t="s">
        <v>607</v>
      </c>
      <c r="C1113" s="6" t="s">
        <v>607</v>
      </c>
      <c r="D1113" s="6" t="s">
        <v>607</v>
      </c>
      <c r="E1113" s="6" t="s">
        <v>607</v>
      </c>
      <c r="F1113" s="6" t="s">
        <v>607</v>
      </c>
      <c r="G1113" s="4" t="s">
        <v>607</v>
      </c>
      <c r="H1113" s="4" t="s">
        <v>607</v>
      </c>
      <c r="I1113" s="4" t="s">
        <v>607</v>
      </c>
      <c r="J1113" s="4" t="s">
        <v>607</v>
      </c>
      <c r="K1113" s="4" t="s">
        <v>607</v>
      </c>
      <c r="L1113" s="4" t="s">
        <v>607</v>
      </c>
      <c r="M1113" s="4" t="s">
        <v>607</v>
      </c>
      <c r="N1113" s="4" t="s">
        <v>607</v>
      </c>
      <c r="O1113" s="4"/>
      <c r="P1113" s="4"/>
      <c r="T1113" s="4"/>
    </row>
    <row r="1114">
      <c r="A1114" s="4" t="s">
        <v>3827</v>
      </c>
      <c r="B1114" s="4" t="s">
        <v>607</v>
      </c>
      <c r="C1114" s="6" t="s">
        <v>607</v>
      </c>
      <c r="D1114" s="6" t="s">
        <v>607</v>
      </c>
      <c r="E1114" s="6" t="s">
        <v>607</v>
      </c>
      <c r="F1114" s="6" t="s">
        <v>607</v>
      </c>
      <c r="G1114" s="4" t="s">
        <v>607</v>
      </c>
      <c r="H1114" s="4" t="s">
        <v>607</v>
      </c>
      <c r="I1114" s="4" t="s">
        <v>607</v>
      </c>
      <c r="J1114" s="4" t="s">
        <v>607</v>
      </c>
      <c r="K1114" s="4" t="s">
        <v>607</v>
      </c>
      <c r="L1114" s="4" t="s">
        <v>607</v>
      </c>
      <c r="M1114" s="4" t="s">
        <v>607</v>
      </c>
      <c r="N1114" s="4" t="s">
        <v>607</v>
      </c>
      <c r="O1114" s="4"/>
      <c r="P1114" s="4"/>
      <c r="T1114" s="4"/>
    </row>
    <row r="1115">
      <c r="A1115" s="4" t="s">
        <v>3829</v>
      </c>
      <c r="B1115" s="4" t="s">
        <v>607</v>
      </c>
      <c r="C1115" s="6" t="s">
        <v>607</v>
      </c>
      <c r="D1115" s="6" t="s">
        <v>607</v>
      </c>
      <c r="E1115" s="6" t="s">
        <v>607</v>
      </c>
      <c r="F1115" s="6" t="s">
        <v>607</v>
      </c>
      <c r="G1115" s="4" t="s">
        <v>607</v>
      </c>
      <c r="H1115" s="4" t="s">
        <v>607</v>
      </c>
      <c r="I1115" s="4" t="s">
        <v>607</v>
      </c>
      <c r="J1115" s="4" t="s">
        <v>607</v>
      </c>
      <c r="K1115" s="4" t="s">
        <v>607</v>
      </c>
      <c r="L1115" s="4" t="s">
        <v>607</v>
      </c>
      <c r="M1115" s="4" t="s">
        <v>607</v>
      </c>
      <c r="N1115" s="4" t="s">
        <v>607</v>
      </c>
      <c r="O1115" s="4"/>
      <c r="P1115" s="4"/>
      <c r="T1115" s="4"/>
    </row>
    <row r="1116">
      <c r="A1116" s="4" t="s">
        <v>3832</v>
      </c>
      <c r="B1116" s="4" t="s">
        <v>607</v>
      </c>
      <c r="C1116" s="6" t="s">
        <v>607</v>
      </c>
      <c r="D1116" s="6" t="s">
        <v>607</v>
      </c>
      <c r="E1116" s="6" t="s">
        <v>607</v>
      </c>
      <c r="F1116" s="6" t="s">
        <v>607</v>
      </c>
      <c r="G1116" s="4" t="s">
        <v>607</v>
      </c>
      <c r="H1116" s="4" t="s">
        <v>607</v>
      </c>
      <c r="I1116" s="4" t="s">
        <v>607</v>
      </c>
      <c r="J1116" s="4" t="s">
        <v>607</v>
      </c>
      <c r="K1116" s="4" t="s">
        <v>607</v>
      </c>
      <c r="L1116" s="4" t="s">
        <v>607</v>
      </c>
      <c r="M1116" s="4" t="s">
        <v>607</v>
      </c>
      <c r="N1116" s="4" t="s">
        <v>607</v>
      </c>
      <c r="O1116" s="4"/>
      <c r="P1116" s="4"/>
      <c r="T1116" s="4"/>
    </row>
    <row r="1117">
      <c r="A1117" s="4" t="s">
        <v>3838</v>
      </c>
      <c r="B1117" s="4" t="s">
        <v>607</v>
      </c>
      <c r="C1117" s="6" t="s">
        <v>607</v>
      </c>
      <c r="D1117" s="6" t="s">
        <v>607</v>
      </c>
      <c r="E1117" s="6" t="s">
        <v>607</v>
      </c>
      <c r="F1117" s="6" t="s">
        <v>607</v>
      </c>
      <c r="G1117" s="4" t="s">
        <v>607</v>
      </c>
      <c r="H1117" s="4" t="s">
        <v>607</v>
      </c>
      <c r="I1117" s="4" t="s">
        <v>607</v>
      </c>
      <c r="J1117" s="4" t="s">
        <v>607</v>
      </c>
      <c r="K1117" s="4" t="s">
        <v>607</v>
      </c>
      <c r="L1117" s="4" t="s">
        <v>607</v>
      </c>
      <c r="M1117" s="4" t="s">
        <v>607</v>
      </c>
      <c r="N1117" s="4" t="s">
        <v>607</v>
      </c>
      <c r="O1117" s="4"/>
      <c r="P1117" s="4"/>
      <c r="T1117" s="4"/>
    </row>
    <row r="1118">
      <c r="A1118" s="4" t="s">
        <v>3842</v>
      </c>
      <c r="B1118" s="4" t="s">
        <v>607</v>
      </c>
      <c r="C1118" s="6" t="s">
        <v>607</v>
      </c>
      <c r="D1118" s="6" t="s">
        <v>607</v>
      </c>
      <c r="E1118" s="6" t="s">
        <v>607</v>
      </c>
      <c r="F1118" s="6" t="s">
        <v>607</v>
      </c>
      <c r="G1118" s="4" t="s">
        <v>607</v>
      </c>
      <c r="H1118" s="4" t="s">
        <v>607</v>
      </c>
      <c r="I1118" s="4" t="s">
        <v>607</v>
      </c>
      <c r="J1118" s="4" t="s">
        <v>607</v>
      </c>
      <c r="K1118" s="4" t="s">
        <v>607</v>
      </c>
      <c r="L1118" s="4" t="s">
        <v>607</v>
      </c>
      <c r="M1118" s="4" t="s">
        <v>607</v>
      </c>
      <c r="N1118" s="4" t="s">
        <v>607</v>
      </c>
      <c r="O1118" s="4"/>
      <c r="P1118" s="4"/>
      <c r="T1118" s="4"/>
    </row>
    <row r="1119">
      <c r="A1119" s="4" t="s">
        <v>3845</v>
      </c>
      <c r="B1119" s="4" t="s">
        <v>607</v>
      </c>
      <c r="C1119" s="6" t="s">
        <v>607</v>
      </c>
      <c r="D1119" s="6" t="s">
        <v>607</v>
      </c>
      <c r="E1119" s="6" t="s">
        <v>607</v>
      </c>
      <c r="F1119" s="6" t="s">
        <v>607</v>
      </c>
      <c r="G1119" s="4" t="s">
        <v>607</v>
      </c>
      <c r="H1119" s="4" t="s">
        <v>607</v>
      </c>
      <c r="I1119" s="4" t="s">
        <v>607</v>
      </c>
      <c r="J1119" s="4" t="s">
        <v>607</v>
      </c>
      <c r="K1119" s="4" t="s">
        <v>607</v>
      </c>
      <c r="L1119" s="4" t="s">
        <v>607</v>
      </c>
      <c r="M1119" s="4" t="s">
        <v>607</v>
      </c>
      <c r="N1119" s="4" t="s">
        <v>607</v>
      </c>
      <c r="O1119" s="4"/>
      <c r="P1119" s="4"/>
      <c r="T1119" s="4"/>
    </row>
    <row r="1120">
      <c r="A1120" s="4" t="s">
        <v>3849</v>
      </c>
      <c r="B1120" s="4" t="s">
        <v>607</v>
      </c>
      <c r="C1120" s="6" t="s">
        <v>607</v>
      </c>
      <c r="D1120" s="6" t="s">
        <v>607</v>
      </c>
      <c r="E1120" s="6" t="s">
        <v>607</v>
      </c>
      <c r="F1120" s="6" t="s">
        <v>607</v>
      </c>
      <c r="G1120" s="4" t="s">
        <v>607</v>
      </c>
      <c r="H1120" s="4" t="s">
        <v>607</v>
      </c>
      <c r="I1120" s="4" t="s">
        <v>607</v>
      </c>
      <c r="J1120" s="4" t="s">
        <v>607</v>
      </c>
      <c r="K1120" s="4" t="s">
        <v>607</v>
      </c>
      <c r="L1120" s="4" t="s">
        <v>607</v>
      </c>
      <c r="M1120" s="4" t="s">
        <v>607</v>
      </c>
      <c r="N1120" s="4" t="s">
        <v>607</v>
      </c>
      <c r="O1120" s="4"/>
      <c r="P1120" s="4"/>
      <c r="T1120" s="4"/>
    </row>
    <row r="1121">
      <c r="A1121" s="4" t="s">
        <v>3852</v>
      </c>
      <c r="B1121" s="4" t="s">
        <v>607</v>
      </c>
      <c r="C1121" s="6" t="s">
        <v>607</v>
      </c>
      <c r="D1121" s="6" t="s">
        <v>607</v>
      </c>
      <c r="E1121" s="6" t="s">
        <v>607</v>
      </c>
      <c r="F1121" s="6" t="s">
        <v>607</v>
      </c>
      <c r="G1121" s="4" t="s">
        <v>607</v>
      </c>
      <c r="H1121" s="4" t="s">
        <v>607</v>
      </c>
      <c r="I1121" s="4" t="s">
        <v>607</v>
      </c>
      <c r="J1121" s="4" t="s">
        <v>607</v>
      </c>
      <c r="K1121" s="4" t="s">
        <v>607</v>
      </c>
      <c r="L1121" s="4" t="s">
        <v>607</v>
      </c>
      <c r="M1121" s="4" t="s">
        <v>607</v>
      </c>
      <c r="N1121" s="4" t="s">
        <v>607</v>
      </c>
      <c r="O1121" s="4"/>
      <c r="P1121" s="4"/>
      <c r="T1121" s="4"/>
    </row>
    <row r="1122">
      <c r="A1122" s="4" t="s">
        <v>3854</v>
      </c>
      <c r="B1122" s="4" t="s">
        <v>607</v>
      </c>
      <c r="C1122" s="6" t="s">
        <v>607</v>
      </c>
      <c r="D1122" s="6" t="s">
        <v>607</v>
      </c>
      <c r="E1122" s="6" t="s">
        <v>607</v>
      </c>
      <c r="F1122" s="6" t="s">
        <v>607</v>
      </c>
      <c r="G1122" s="4" t="s">
        <v>607</v>
      </c>
      <c r="H1122" s="4" t="s">
        <v>607</v>
      </c>
      <c r="I1122" s="4" t="s">
        <v>607</v>
      </c>
      <c r="J1122" s="4" t="s">
        <v>607</v>
      </c>
      <c r="K1122" s="4" t="s">
        <v>607</v>
      </c>
      <c r="L1122" s="4" t="s">
        <v>607</v>
      </c>
      <c r="M1122" s="4" t="s">
        <v>607</v>
      </c>
      <c r="N1122" s="4" t="s">
        <v>607</v>
      </c>
      <c r="O1122" s="4"/>
      <c r="P1122" s="4"/>
      <c r="T1122" s="4"/>
    </row>
    <row r="1123">
      <c r="A1123" s="4" t="s">
        <v>3858</v>
      </c>
      <c r="B1123" s="4" t="s">
        <v>607</v>
      </c>
      <c r="C1123" s="6" t="s">
        <v>607</v>
      </c>
      <c r="D1123" s="6" t="s">
        <v>607</v>
      </c>
      <c r="E1123" s="6" t="s">
        <v>607</v>
      </c>
      <c r="F1123" s="6" t="s">
        <v>607</v>
      </c>
      <c r="G1123" s="4" t="s">
        <v>607</v>
      </c>
      <c r="H1123" s="4" t="s">
        <v>607</v>
      </c>
      <c r="I1123" s="4" t="s">
        <v>607</v>
      </c>
      <c r="J1123" s="4" t="s">
        <v>607</v>
      </c>
      <c r="K1123" s="4" t="s">
        <v>607</v>
      </c>
      <c r="L1123" s="4" t="s">
        <v>607</v>
      </c>
      <c r="M1123" s="4" t="s">
        <v>607</v>
      </c>
      <c r="N1123" s="4" t="s">
        <v>607</v>
      </c>
      <c r="O1123" s="4"/>
      <c r="P1123" s="4"/>
      <c r="T1123" s="4"/>
    </row>
    <row r="1124">
      <c r="A1124" s="4" t="s">
        <v>3862</v>
      </c>
      <c r="B1124" s="4" t="s">
        <v>607</v>
      </c>
      <c r="C1124" s="6" t="s">
        <v>607</v>
      </c>
      <c r="D1124" s="6" t="s">
        <v>607</v>
      </c>
      <c r="E1124" s="6" t="s">
        <v>607</v>
      </c>
      <c r="F1124" s="6" t="s">
        <v>607</v>
      </c>
      <c r="G1124" s="4" t="s">
        <v>607</v>
      </c>
      <c r="H1124" s="4" t="s">
        <v>607</v>
      </c>
      <c r="I1124" s="4" t="s">
        <v>607</v>
      </c>
      <c r="J1124" s="4" t="s">
        <v>607</v>
      </c>
      <c r="K1124" s="4" t="s">
        <v>607</v>
      </c>
      <c r="L1124" s="4" t="s">
        <v>607</v>
      </c>
      <c r="M1124" s="4" t="s">
        <v>607</v>
      </c>
      <c r="N1124" s="4" t="s">
        <v>607</v>
      </c>
      <c r="O1124" s="4"/>
      <c r="P1124" s="4"/>
      <c r="T1124" s="4"/>
    </row>
    <row r="1125">
      <c r="A1125" s="4" t="s">
        <v>3865</v>
      </c>
      <c r="B1125" s="4" t="s">
        <v>607</v>
      </c>
      <c r="C1125" s="6" t="s">
        <v>607</v>
      </c>
      <c r="D1125" s="6" t="s">
        <v>607</v>
      </c>
      <c r="E1125" s="6" t="s">
        <v>607</v>
      </c>
      <c r="F1125" s="6" t="s">
        <v>607</v>
      </c>
      <c r="G1125" s="4" t="s">
        <v>607</v>
      </c>
      <c r="H1125" s="4" t="s">
        <v>607</v>
      </c>
      <c r="I1125" s="4" t="s">
        <v>607</v>
      </c>
      <c r="J1125" s="4" t="s">
        <v>607</v>
      </c>
      <c r="K1125" s="4" t="s">
        <v>607</v>
      </c>
      <c r="L1125" s="4" t="s">
        <v>607</v>
      </c>
      <c r="M1125" s="4" t="s">
        <v>607</v>
      </c>
      <c r="N1125" s="4" t="s">
        <v>607</v>
      </c>
      <c r="O1125" s="4"/>
      <c r="P1125" s="4"/>
      <c r="T1125" s="4"/>
    </row>
    <row r="1126">
      <c r="A1126" s="4" t="s">
        <v>3868</v>
      </c>
      <c r="B1126" s="4" t="s">
        <v>607</v>
      </c>
      <c r="C1126" s="6" t="s">
        <v>607</v>
      </c>
      <c r="D1126" s="6" t="s">
        <v>607</v>
      </c>
      <c r="E1126" s="6" t="s">
        <v>607</v>
      </c>
      <c r="F1126" s="6" t="s">
        <v>607</v>
      </c>
      <c r="G1126" s="4" t="s">
        <v>607</v>
      </c>
      <c r="H1126" s="4" t="s">
        <v>607</v>
      </c>
      <c r="I1126" s="4" t="s">
        <v>607</v>
      </c>
      <c r="J1126" s="4" t="s">
        <v>607</v>
      </c>
      <c r="K1126" s="4" t="s">
        <v>607</v>
      </c>
      <c r="L1126" s="4" t="s">
        <v>607</v>
      </c>
      <c r="M1126" s="4" t="s">
        <v>607</v>
      </c>
      <c r="N1126" s="4" t="s">
        <v>607</v>
      </c>
      <c r="O1126" s="4"/>
      <c r="P1126" s="4"/>
      <c r="T1126" s="4"/>
    </row>
    <row r="1127">
      <c r="A1127" s="4" t="s">
        <v>3877</v>
      </c>
      <c r="B1127" s="4" t="s">
        <v>607</v>
      </c>
      <c r="C1127" s="6" t="s">
        <v>607</v>
      </c>
      <c r="D1127" s="6" t="s">
        <v>607</v>
      </c>
      <c r="E1127" s="6" t="s">
        <v>607</v>
      </c>
      <c r="F1127" s="6" t="s">
        <v>607</v>
      </c>
      <c r="G1127" s="4" t="s">
        <v>607</v>
      </c>
      <c r="H1127" s="4" t="s">
        <v>607</v>
      </c>
      <c r="I1127" s="4" t="s">
        <v>607</v>
      </c>
      <c r="J1127" s="4" t="s">
        <v>607</v>
      </c>
      <c r="K1127" s="4" t="s">
        <v>607</v>
      </c>
      <c r="L1127" s="4" t="s">
        <v>607</v>
      </c>
      <c r="M1127" s="4" t="s">
        <v>607</v>
      </c>
      <c r="N1127" s="4" t="s">
        <v>607</v>
      </c>
      <c r="O1127" s="4"/>
      <c r="P1127" s="4"/>
      <c r="T1127" s="4"/>
    </row>
    <row r="1128">
      <c r="A1128" s="4" t="s">
        <v>3881</v>
      </c>
      <c r="B1128" s="4" t="s">
        <v>607</v>
      </c>
      <c r="C1128" s="6" t="s">
        <v>607</v>
      </c>
      <c r="D1128" s="6" t="s">
        <v>607</v>
      </c>
      <c r="E1128" s="6" t="s">
        <v>607</v>
      </c>
      <c r="F1128" s="6" t="s">
        <v>607</v>
      </c>
      <c r="G1128" s="4" t="s">
        <v>607</v>
      </c>
      <c r="H1128" s="4" t="s">
        <v>607</v>
      </c>
      <c r="I1128" s="4" t="s">
        <v>607</v>
      </c>
      <c r="J1128" s="4" t="s">
        <v>607</v>
      </c>
      <c r="K1128" s="4" t="s">
        <v>607</v>
      </c>
      <c r="L1128" s="4" t="s">
        <v>607</v>
      </c>
      <c r="M1128" s="4" t="s">
        <v>607</v>
      </c>
      <c r="N1128" s="4" t="s">
        <v>607</v>
      </c>
      <c r="O1128" s="4"/>
      <c r="P1128" s="4"/>
      <c r="T1128" s="4"/>
    </row>
    <row r="1129">
      <c r="A1129" s="4" t="s">
        <v>3885</v>
      </c>
      <c r="B1129" s="4" t="s">
        <v>607</v>
      </c>
      <c r="C1129" s="6" t="s">
        <v>607</v>
      </c>
      <c r="D1129" s="6" t="s">
        <v>607</v>
      </c>
      <c r="E1129" s="6" t="s">
        <v>607</v>
      </c>
      <c r="F1129" s="6" t="s">
        <v>607</v>
      </c>
      <c r="G1129" s="4" t="s">
        <v>607</v>
      </c>
      <c r="H1129" s="4" t="s">
        <v>607</v>
      </c>
      <c r="I1129" s="4" t="s">
        <v>607</v>
      </c>
      <c r="J1129" s="4" t="s">
        <v>607</v>
      </c>
      <c r="K1129" s="4" t="s">
        <v>607</v>
      </c>
      <c r="L1129" s="4" t="s">
        <v>607</v>
      </c>
      <c r="M1129" s="4" t="s">
        <v>607</v>
      </c>
      <c r="N1129" s="4" t="s">
        <v>607</v>
      </c>
      <c r="O1129" s="4"/>
      <c r="P1129" s="4"/>
      <c r="T1129" s="4"/>
    </row>
    <row r="1130">
      <c r="A1130" s="4" t="s">
        <v>3894</v>
      </c>
      <c r="B1130" s="4" t="s">
        <v>607</v>
      </c>
      <c r="C1130" s="6" t="s">
        <v>607</v>
      </c>
      <c r="D1130" s="6" t="s">
        <v>607</v>
      </c>
      <c r="E1130" s="6" t="s">
        <v>607</v>
      </c>
      <c r="F1130" s="6" t="s">
        <v>607</v>
      </c>
      <c r="G1130" s="4" t="s">
        <v>607</v>
      </c>
      <c r="H1130" s="4" t="s">
        <v>607</v>
      </c>
      <c r="I1130" s="4" t="s">
        <v>607</v>
      </c>
      <c r="J1130" s="4" t="s">
        <v>607</v>
      </c>
      <c r="K1130" s="4" t="s">
        <v>607</v>
      </c>
      <c r="L1130" s="4" t="s">
        <v>607</v>
      </c>
      <c r="M1130" s="4" t="s">
        <v>607</v>
      </c>
      <c r="N1130" s="4" t="s">
        <v>607</v>
      </c>
      <c r="O1130" s="4"/>
      <c r="P1130" s="4"/>
      <c r="T1130" s="4"/>
    </row>
    <row r="1131">
      <c r="A1131" s="4" t="s">
        <v>3897</v>
      </c>
      <c r="B1131" s="4" t="s">
        <v>607</v>
      </c>
      <c r="C1131" s="6" t="s">
        <v>607</v>
      </c>
      <c r="D1131" s="6" t="s">
        <v>607</v>
      </c>
      <c r="E1131" s="6" t="s">
        <v>607</v>
      </c>
      <c r="F1131" s="6" t="s">
        <v>607</v>
      </c>
      <c r="G1131" s="4" t="s">
        <v>607</v>
      </c>
      <c r="H1131" s="4" t="s">
        <v>607</v>
      </c>
      <c r="I1131" s="4" t="s">
        <v>607</v>
      </c>
      <c r="J1131" s="4" t="s">
        <v>607</v>
      </c>
      <c r="K1131" s="4" t="s">
        <v>607</v>
      </c>
      <c r="L1131" s="4" t="s">
        <v>607</v>
      </c>
      <c r="M1131" s="4" t="s">
        <v>607</v>
      </c>
      <c r="N1131" s="4" t="s">
        <v>607</v>
      </c>
      <c r="O1131" s="4"/>
      <c r="P1131" s="4"/>
      <c r="T1131" s="4"/>
    </row>
    <row r="1132">
      <c r="A1132" s="4" t="s">
        <v>3901</v>
      </c>
      <c r="B1132" s="4" t="s">
        <v>607</v>
      </c>
      <c r="C1132" s="6" t="s">
        <v>607</v>
      </c>
      <c r="D1132" s="6" t="s">
        <v>607</v>
      </c>
      <c r="E1132" s="6" t="s">
        <v>607</v>
      </c>
      <c r="F1132" s="6" t="s">
        <v>607</v>
      </c>
      <c r="G1132" s="4" t="s">
        <v>607</v>
      </c>
      <c r="H1132" s="4" t="s">
        <v>607</v>
      </c>
      <c r="I1132" s="4" t="s">
        <v>607</v>
      </c>
      <c r="J1132" s="4" t="s">
        <v>607</v>
      </c>
      <c r="K1132" s="4" t="s">
        <v>607</v>
      </c>
      <c r="L1132" s="4" t="s">
        <v>607</v>
      </c>
      <c r="M1132" s="4" t="s">
        <v>607</v>
      </c>
      <c r="N1132" s="4" t="s">
        <v>607</v>
      </c>
      <c r="O1132" s="4"/>
      <c r="P1132" s="4"/>
      <c r="T1132" s="4"/>
    </row>
    <row r="1133">
      <c r="A1133" s="4" t="s">
        <v>3913</v>
      </c>
      <c r="B1133" s="4" t="s">
        <v>607</v>
      </c>
      <c r="C1133" s="6" t="s">
        <v>607</v>
      </c>
      <c r="D1133" s="6" t="s">
        <v>607</v>
      </c>
      <c r="E1133" s="6" t="s">
        <v>607</v>
      </c>
      <c r="F1133" s="6" t="s">
        <v>607</v>
      </c>
      <c r="G1133" s="4" t="s">
        <v>607</v>
      </c>
      <c r="H1133" s="4" t="s">
        <v>607</v>
      </c>
      <c r="I1133" s="4" t="s">
        <v>607</v>
      </c>
      <c r="J1133" s="4" t="s">
        <v>607</v>
      </c>
      <c r="K1133" s="4" t="s">
        <v>607</v>
      </c>
      <c r="L1133" s="4" t="s">
        <v>607</v>
      </c>
      <c r="M1133" s="4" t="s">
        <v>607</v>
      </c>
      <c r="N1133" s="4" t="s">
        <v>607</v>
      </c>
      <c r="O1133" s="4"/>
      <c r="P1133" s="4"/>
      <c r="T1133" s="4"/>
    </row>
    <row r="1134">
      <c r="A1134" s="4" t="s">
        <v>3916</v>
      </c>
      <c r="B1134" s="4" t="s">
        <v>607</v>
      </c>
      <c r="C1134" s="6" t="s">
        <v>607</v>
      </c>
      <c r="D1134" s="6" t="s">
        <v>607</v>
      </c>
      <c r="E1134" s="6" t="s">
        <v>607</v>
      </c>
      <c r="F1134" s="6" t="s">
        <v>607</v>
      </c>
      <c r="G1134" s="4" t="s">
        <v>607</v>
      </c>
      <c r="H1134" s="4" t="s">
        <v>607</v>
      </c>
      <c r="I1134" s="4" t="s">
        <v>607</v>
      </c>
      <c r="J1134" s="4" t="s">
        <v>607</v>
      </c>
      <c r="K1134" s="4" t="s">
        <v>607</v>
      </c>
      <c r="L1134" s="4" t="s">
        <v>607</v>
      </c>
      <c r="M1134" s="4" t="s">
        <v>607</v>
      </c>
      <c r="N1134" s="4" t="s">
        <v>607</v>
      </c>
      <c r="O1134" s="4"/>
      <c r="P1134" s="4"/>
      <c r="T1134" s="4"/>
    </row>
    <row r="1135">
      <c r="A1135" s="4" t="s">
        <v>3920</v>
      </c>
      <c r="B1135" s="4" t="s">
        <v>607</v>
      </c>
      <c r="C1135" s="6" t="s">
        <v>607</v>
      </c>
      <c r="D1135" s="6" t="s">
        <v>607</v>
      </c>
      <c r="E1135" s="6" t="s">
        <v>607</v>
      </c>
      <c r="F1135" s="6" t="s">
        <v>607</v>
      </c>
      <c r="G1135" s="4" t="s">
        <v>607</v>
      </c>
      <c r="H1135" s="4" t="s">
        <v>607</v>
      </c>
      <c r="I1135" s="4" t="s">
        <v>607</v>
      </c>
      <c r="J1135" s="4" t="s">
        <v>607</v>
      </c>
      <c r="K1135" s="4" t="s">
        <v>607</v>
      </c>
      <c r="L1135" s="4" t="s">
        <v>607</v>
      </c>
      <c r="M1135" s="4" t="s">
        <v>607</v>
      </c>
      <c r="N1135" s="4" t="s">
        <v>607</v>
      </c>
      <c r="O1135" s="4"/>
      <c r="P1135" s="4"/>
      <c r="T1135" s="4"/>
    </row>
    <row r="1136">
      <c r="A1136" s="4" t="s">
        <v>3924</v>
      </c>
      <c r="B1136" s="4" t="s">
        <v>607</v>
      </c>
      <c r="C1136" s="6" t="s">
        <v>607</v>
      </c>
      <c r="D1136" s="6" t="s">
        <v>607</v>
      </c>
      <c r="E1136" s="6" t="s">
        <v>607</v>
      </c>
      <c r="F1136" s="6" t="s">
        <v>607</v>
      </c>
      <c r="G1136" s="4" t="s">
        <v>607</v>
      </c>
      <c r="H1136" s="4" t="s">
        <v>607</v>
      </c>
      <c r="I1136" s="4" t="s">
        <v>607</v>
      </c>
      <c r="J1136" s="4" t="s">
        <v>607</v>
      </c>
      <c r="K1136" s="4" t="s">
        <v>607</v>
      </c>
      <c r="L1136" s="4" t="s">
        <v>607</v>
      </c>
      <c r="M1136" s="4" t="s">
        <v>607</v>
      </c>
      <c r="N1136" s="4" t="s">
        <v>607</v>
      </c>
      <c r="O1136" s="4"/>
      <c r="P1136" s="4"/>
      <c r="T1136" s="4"/>
    </row>
    <row r="1137">
      <c r="A1137" s="4" t="s">
        <v>3928</v>
      </c>
      <c r="B1137" s="4" t="s">
        <v>607</v>
      </c>
      <c r="C1137" s="6" t="s">
        <v>607</v>
      </c>
      <c r="D1137" s="6" t="s">
        <v>607</v>
      </c>
      <c r="E1137" s="6" t="s">
        <v>607</v>
      </c>
      <c r="F1137" s="6" t="s">
        <v>607</v>
      </c>
      <c r="G1137" s="4" t="s">
        <v>607</v>
      </c>
      <c r="H1137" s="4" t="s">
        <v>607</v>
      </c>
      <c r="I1137" s="4" t="s">
        <v>607</v>
      </c>
      <c r="J1137" s="4" t="s">
        <v>607</v>
      </c>
      <c r="K1137" s="4" t="s">
        <v>607</v>
      </c>
      <c r="L1137" s="4" t="s">
        <v>607</v>
      </c>
      <c r="M1137" s="4" t="s">
        <v>607</v>
      </c>
      <c r="N1137" s="4" t="s">
        <v>607</v>
      </c>
      <c r="O1137" s="4"/>
      <c r="P1137" s="4"/>
      <c r="T1137" s="4"/>
    </row>
    <row r="1138">
      <c r="A1138" s="4" t="s">
        <v>3932</v>
      </c>
      <c r="B1138" s="4" t="s">
        <v>607</v>
      </c>
      <c r="C1138" s="6" t="s">
        <v>607</v>
      </c>
      <c r="D1138" s="6" t="s">
        <v>607</v>
      </c>
      <c r="E1138" s="6" t="s">
        <v>607</v>
      </c>
      <c r="F1138" s="6" t="s">
        <v>607</v>
      </c>
      <c r="G1138" s="4" t="s">
        <v>607</v>
      </c>
      <c r="H1138" s="4" t="s">
        <v>607</v>
      </c>
      <c r="I1138" s="4" t="s">
        <v>607</v>
      </c>
      <c r="J1138" s="4" t="s">
        <v>607</v>
      </c>
      <c r="K1138" s="4" t="s">
        <v>607</v>
      </c>
      <c r="L1138" s="4" t="s">
        <v>607</v>
      </c>
      <c r="M1138" s="4" t="s">
        <v>607</v>
      </c>
      <c r="N1138" s="4" t="s">
        <v>607</v>
      </c>
      <c r="O1138" s="4"/>
      <c r="P1138" s="4"/>
      <c r="T1138" s="4"/>
    </row>
    <row r="1139">
      <c r="A1139" s="4" t="s">
        <v>3942</v>
      </c>
      <c r="B1139" s="4" t="s">
        <v>607</v>
      </c>
      <c r="C1139" s="6" t="s">
        <v>607</v>
      </c>
      <c r="D1139" s="6" t="s">
        <v>607</v>
      </c>
      <c r="E1139" s="6" t="s">
        <v>607</v>
      </c>
      <c r="F1139" s="6" t="s">
        <v>607</v>
      </c>
      <c r="G1139" s="4" t="s">
        <v>607</v>
      </c>
      <c r="H1139" s="4" t="s">
        <v>607</v>
      </c>
      <c r="I1139" s="4" t="s">
        <v>607</v>
      </c>
      <c r="J1139" s="4" t="s">
        <v>607</v>
      </c>
      <c r="K1139" s="4" t="s">
        <v>607</v>
      </c>
      <c r="L1139" s="4" t="s">
        <v>607</v>
      </c>
      <c r="M1139" s="4" t="s">
        <v>607</v>
      </c>
      <c r="N1139" s="4" t="s">
        <v>607</v>
      </c>
      <c r="O1139" s="4"/>
      <c r="P1139" s="4"/>
      <c r="T1139" s="4"/>
    </row>
    <row r="1140">
      <c r="A1140" s="4" t="s">
        <v>3944</v>
      </c>
      <c r="B1140" s="4" t="s">
        <v>607</v>
      </c>
      <c r="C1140" s="6" t="s">
        <v>607</v>
      </c>
      <c r="D1140" s="6" t="s">
        <v>607</v>
      </c>
      <c r="E1140" s="6" t="s">
        <v>607</v>
      </c>
      <c r="F1140" s="6" t="s">
        <v>607</v>
      </c>
      <c r="G1140" s="4" t="s">
        <v>607</v>
      </c>
      <c r="H1140" s="4" t="s">
        <v>607</v>
      </c>
      <c r="I1140" s="4" t="s">
        <v>607</v>
      </c>
      <c r="J1140" s="4" t="s">
        <v>607</v>
      </c>
      <c r="K1140" s="4" t="s">
        <v>607</v>
      </c>
      <c r="L1140" s="4" t="s">
        <v>607</v>
      </c>
      <c r="M1140" s="4" t="s">
        <v>607</v>
      </c>
      <c r="N1140" s="4" t="s">
        <v>607</v>
      </c>
      <c r="O1140" s="4"/>
      <c r="P1140" s="4"/>
      <c r="T1140" s="4"/>
    </row>
    <row r="1141">
      <c r="A1141" s="4" t="s">
        <v>3947</v>
      </c>
      <c r="B1141" s="4" t="s">
        <v>607</v>
      </c>
      <c r="C1141" s="6" t="s">
        <v>607</v>
      </c>
      <c r="D1141" s="6" t="s">
        <v>607</v>
      </c>
      <c r="E1141" s="6" t="s">
        <v>607</v>
      </c>
      <c r="F1141" s="6" t="s">
        <v>607</v>
      </c>
      <c r="G1141" s="4" t="s">
        <v>607</v>
      </c>
      <c r="H1141" s="4" t="s">
        <v>607</v>
      </c>
      <c r="I1141" s="4" t="s">
        <v>607</v>
      </c>
      <c r="J1141" s="4" t="s">
        <v>607</v>
      </c>
      <c r="K1141" s="4" t="s">
        <v>607</v>
      </c>
      <c r="L1141" s="4" t="s">
        <v>607</v>
      </c>
      <c r="M1141" s="4" t="s">
        <v>607</v>
      </c>
      <c r="N1141" s="4" t="s">
        <v>607</v>
      </c>
      <c r="O1141" s="4"/>
      <c r="P1141" s="4"/>
      <c r="T1141" s="4"/>
    </row>
    <row r="1142">
      <c r="A1142" s="4" t="s">
        <v>3953</v>
      </c>
      <c r="B1142" s="4" t="s">
        <v>607</v>
      </c>
      <c r="C1142" s="6" t="s">
        <v>607</v>
      </c>
      <c r="D1142" s="6" t="s">
        <v>607</v>
      </c>
      <c r="E1142" s="6" t="s">
        <v>607</v>
      </c>
      <c r="F1142" s="6" t="s">
        <v>607</v>
      </c>
      <c r="G1142" s="4" t="s">
        <v>607</v>
      </c>
      <c r="H1142" s="4" t="s">
        <v>607</v>
      </c>
      <c r="I1142" s="4" t="s">
        <v>607</v>
      </c>
      <c r="J1142" s="4" t="s">
        <v>607</v>
      </c>
      <c r="K1142" s="4" t="s">
        <v>607</v>
      </c>
      <c r="L1142" s="4" t="s">
        <v>607</v>
      </c>
      <c r="M1142" s="4" t="s">
        <v>607</v>
      </c>
      <c r="N1142" s="4" t="s">
        <v>607</v>
      </c>
      <c r="O1142" s="4"/>
      <c r="P1142" s="4"/>
      <c r="T1142" s="4"/>
    </row>
    <row r="1143">
      <c r="A1143" s="4" t="s">
        <v>3955</v>
      </c>
      <c r="B1143" s="4" t="s">
        <v>607</v>
      </c>
      <c r="C1143" s="6" t="s">
        <v>607</v>
      </c>
      <c r="D1143" s="6" t="s">
        <v>607</v>
      </c>
      <c r="E1143" s="6" t="s">
        <v>607</v>
      </c>
      <c r="F1143" s="6" t="s">
        <v>607</v>
      </c>
      <c r="G1143" s="4" t="s">
        <v>607</v>
      </c>
      <c r="H1143" s="4" t="s">
        <v>607</v>
      </c>
      <c r="I1143" s="4" t="s">
        <v>607</v>
      </c>
      <c r="J1143" s="4" t="s">
        <v>607</v>
      </c>
      <c r="K1143" s="4" t="s">
        <v>607</v>
      </c>
      <c r="L1143" s="4" t="s">
        <v>607</v>
      </c>
      <c r="M1143" s="4" t="s">
        <v>607</v>
      </c>
      <c r="N1143" s="4" t="s">
        <v>607</v>
      </c>
      <c r="O1143" s="4"/>
      <c r="P1143" s="4"/>
      <c r="T1143" s="4"/>
    </row>
    <row r="1144">
      <c r="A1144" s="4" t="s">
        <v>3957</v>
      </c>
      <c r="B1144" s="4" t="s">
        <v>607</v>
      </c>
      <c r="C1144" s="6" t="s">
        <v>607</v>
      </c>
      <c r="D1144" s="6" t="s">
        <v>607</v>
      </c>
      <c r="E1144" s="6" t="s">
        <v>607</v>
      </c>
      <c r="F1144" s="6" t="s">
        <v>607</v>
      </c>
      <c r="G1144" s="4" t="s">
        <v>607</v>
      </c>
      <c r="H1144" s="4" t="s">
        <v>607</v>
      </c>
      <c r="I1144" s="4" t="s">
        <v>607</v>
      </c>
      <c r="J1144" s="4" t="s">
        <v>607</v>
      </c>
      <c r="K1144" s="4" t="s">
        <v>607</v>
      </c>
      <c r="L1144" s="4" t="s">
        <v>607</v>
      </c>
      <c r="M1144" s="4" t="s">
        <v>607</v>
      </c>
      <c r="N1144" s="4" t="s">
        <v>607</v>
      </c>
      <c r="O1144" s="4"/>
      <c r="P1144" s="4"/>
      <c r="T1144" s="4"/>
    </row>
    <row r="1145">
      <c r="A1145" s="4" t="s">
        <v>3962</v>
      </c>
      <c r="B1145" s="4" t="s">
        <v>607</v>
      </c>
      <c r="C1145" s="6" t="s">
        <v>607</v>
      </c>
      <c r="D1145" s="6" t="s">
        <v>607</v>
      </c>
      <c r="E1145" s="6" t="s">
        <v>607</v>
      </c>
      <c r="F1145" s="6" t="s">
        <v>607</v>
      </c>
      <c r="G1145" s="4" t="s">
        <v>607</v>
      </c>
      <c r="H1145" s="4" t="s">
        <v>607</v>
      </c>
      <c r="I1145" s="4" t="s">
        <v>607</v>
      </c>
      <c r="J1145" s="4" t="s">
        <v>607</v>
      </c>
      <c r="K1145" s="4" t="s">
        <v>607</v>
      </c>
      <c r="L1145" s="4" t="s">
        <v>607</v>
      </c>
      <c r="M1145" s="4" t="s">
        <v>607</v>
      </c>
      <c r="N1145" s="4" t="s">
        <v>607</v>
      </c>
      <c r="O1145" s="4"/>
      <c r="P1145" s="4"/>
      <c r="T1145" s="4"/>
    </row>
    <row r="1146">
      <c r="A1146" s="4" t="s">
        <v>3967</v>
      </c>
      <c r="B1146" s="4" t="s">
        <v>607</v>
      </c>
      <c r="C1146" s="6" t="s">
        <v>607</v>
      </c>
      <c r="D1146" s="6" t="s">
        <v>607</v>
      </c>
      <c r="E1146" s="6" t="s">
        <v>607</v>
      </c>
      <c r="F1146" s="6" t="s">
        <v>607</v>
      </c>
      <c r="G1146" s="4" t="s">
        <v>607</v>
      </c>
      <c r="H1146" s="4" t="s">
        <v>607</v>
      </c>
      <c r="I1146" s="4" t="s">
        <v>607</v>
      </c>
      <c r="J1146" s="4" t="s">
        <v>607</v>
      </c>
      <c r="K1146" s="4" t="s">
        <v>607</v>
      </c>
      <c r="L1146" s="4" t="s">
        <v>607</v>
      </c>
      <c r="M1146" s="4" t="s">
        <v>607</v>
      </c>
      <c r="N1146" s="4" t="s">
        <v>607</v>
      </c>
      <c r="O1146" s="4"/>
      <c r="P1146" s="4"/>
      <c r="T1146" s="4"/>
    </row>
    <row r="1147">
      <c r="A1147" s="4" t="s">
        <v>3970</v>
      </c>
      <c r="B1147" s="4" t="s">
        <v>607</v>
      </c>
      <c r="C1147" s="6" t="s">
        <v>607</v>
      </c>
      <c r="D1147" s="6" t="s">
        <v>607</v>
      </c>
      <c r="E1147" s="6" t="s">
        <v>607</v>
      </c>
      <c r="F1147" s="6" t="s">
        <v>607</v>
      </c>
      <c r="G1147" s="4" t="s">
        <v>607</v>
      </c>
      <c r="H1147" s="4" t="s">
        <v>607</v>
      </c>
      <c r="I1147" s="4" t="s">
        <v>607</v>
      </c>
      <c r="J1147" s="4" t="s">
        <v>607</v>
      </c>
      <c r="K1147" s="4" t="s">
        <v>607</v>
      </c>
      <c r="L1147" s="4" t="s">
        <v>607</v>
      </c>
      <c r="M1147" s="4" t="s">
        <v>607</v>
      </c>
      <c r="N1147" s="4" t="s">
        <v>607</v>
      </c>
      <c r="O1147" s="4"/>
      <c r="P1147" s="4"/>
      <c r="T1147" s="4"/>
    </row>
    <row r="1148">
      <c r="A1148" s="4" t="s">
        <v>3976</v>
      </c>
      <c r="B1148" s="4" t="s">
        <v>607</v>
      </c>
      <c r="C1148" s="6" t="s">
        <v>607</v>
      </c>
      <c r="D1148" s="6" t="s">
        <v>607</v>
      </c>
      <c r="E1148" s="6" t="s">
        <v>607</v>
      </c>
      <c r="F1148" s="6" t="s">
        <v>607</v>
      </c>
      <c r="G1148" s="4" t="s">
        <v>607</v>
      </c>
      <c r="H1148" s="4" t="s">
        <v>607</v>
      </c>
      <c r="I1148" s="4" t="s">
        <v>607</v>
      </c>
      <c r="J1148" s="4" t="s">
        <v>607</v>
      </c>
      <c r="K1148" s="4" t="s">
        <v>607</v>
      </c>
      <c r="L1148" s="4" t="s">
        <v>607</v>
      </c>
      <c r="M1148" s="4" t="s">
        <v>607</v>
      </c>
      <c r="N1148" s="4" t="s">
        <v>607</v>
      </c>
      <c r="O1148" s="4"/>
      <c r="P1148" s="4"/>
      <c r="T1148" s="4"/>
    </row>
    <row r="1149">
      <c r="A1149" s="4" t="s">
        <v>3981</v>
      </c>
      <c r="B1149" s="4" t="s">
        <v>607</v>
      </c>
      <c r="C1149" s="6" t="s">
        <v>607</v>
      </c>
      <c r="D1149" s="6" t="s">
        <v>607</v>
      </c>
      <c r="E1149" s="6" t="s">
        <v>607</v>
      </c>
      <c r="F1149" s="6" t="s">
        <v>607</v>
      </c>
      <c r="G1149" s="4" t="s">
        <v>607</v>
      </c>
      <c r="H1149" s="4" t="s">
        <v>607</v>
      </c>
      <c r="I1149" s="4" t="s">
        <v>607</v>
      </c>
      <c r="J1149" s="4" t="s">
        <v>607</v>
      </c>
      <c r="K1149" s="4" t="s">
        <v>607</v>
      </c>
      <c r="L1149" s="4" t="s">
        <v>607</v>
      </c>
      <c r="M1149" s="4" t="s">
        <v>607</v>
      </c>
      <c r="N1149" s="4" t="s">
        <v>607</v>
      </c>
      <c r="O1149" s="4"/>
      <c r="P1149" s="4"/>
      <c r="T1149" s="4"/>
    </row>
    <row r="1150">
      <c r="A1150" s="4" t="s">
        <v>3983</v>
      </c>
      <c r="B1150" s="4" t="s">
        <v>607</v>
      </c>
      <c r="C1150" s="6" t="s">
        <v>607</v>
      </c>
      <c r="D1150" s="6" t="s">
        <v>607</v>
      </c>
      <c r="E1150" s="6" t="s">
        <v>607</v>
      </c>
      <c r="F1150" s="6" t="s">
        <v>607</v>
      </c>
      <c r="G1150" s="4" t="s">
        <v>607</v>
      </c>
      <c r="H1150" s="4" t="s">
        <v>607</v>
      </c>
      <c r="I1150" s="4" t="s">
        <v>607</v>
      </c>
      <c r="J1150" s="4" t="s">
        <v>607</v>
      </c>
      <c r="K1150" s="4" t="s">
        <v>607</v>
      </c>
      <c r="L1150" s="4" t="s">
        <v>607</v>
      </c>
      <c r="M1150" s="4" t="s">
        <v>607</v>
      </c>
      <c r="N1150" s="4" t="s">
        <v>607</v>
      </c>
      <c r="O1150" s="4"/>
      <c r="P1150" s="4"/>
      <c r="T1150" s="4"/>
    </row>
    <row r="1151">
      <c r="A1151" s="4" t="s">
        <v>3984</v>
      </c>
      <c r="B1151" s="4" t="s">
        <v>607</v>
      </c>
      <c r="C1151" s="6" t="s">
        <v>607</v>
      </c>
      <c r="D1151" s="6" t="s">
        <v>607</v>
      </c>
      <c r="E1151" s="6" t="s">
        <v>607</v>
      </c>
      <c r="F1151" s="6" t="s">
        <v>607</v>
      </c>
      <c r="G1151" s="4" t="s">
        <v>607</v>
      </c>
      <c r="H1151" s="4" t="s">
        <v>607</v>
      </c>
      <c r="I1151" s="4" t="s">
        <v>607</v>
      </c>
      <c r="J1151" s="4" t="s">
        <v>607</v>
      </c>
      <c r="K1151" s="4" t="s">
        <v>607</v>
      </c>
      <c r="L1151" s="4" t="s">
        <v>607</v>
      </c>
      <c r="M1151" s="4" t="s">
        <v>607</v>
      </c>
      <c r="N1151" s="4" t="s">
        <v>607</v>
      </c>
      <c r="O1151" s="4"/>
      <c r="P1151" s="4"/>
      <c r="T1151" s="4"/>
    </row>
    <row r="1152">
      <c r="A1152" s="4" t="s">
        <v>3986</v>
      </c>
      <c r="B1152" s="4" t="s">
        <v>607</v>
      </c>
      <c r="C1152" s="6" t="s">
        <v>607</v>
      </c>
      <c r="D1152" s="6" t="s">
        <v>607</v>
      </c>
      <c r="E1152" s="6" t="s">
        <v>607</v>
      </c>
      <c r="F1152" s="6" t="s">
        <v>607</v>
      </c>
      <c r="G1152" s="4" t="s">
        <v>607</v>
      </c>
      <c r="H1152" s="4" t="s">
        <v>607</v>
      </c>
      <c r="I1152" s="4" t="s">
        <v>607</v>
      </c>
      <c r="J1152" s="4" t="s">
        <v>607</v>
      </c>
      <c r="K1152" s="4" t="s">
        <v>607</v>
      </c>
      <c r="L1152" s="4" t="s">
        <v>607</v>
      </c>
      <c r="M1152" s="4" t="s">
        <v>607</v>
      </c>
      <c r="N1152" s="4" t="s">
        <v>607</v>
      </c>
      <c r="O1152" s="4"/>
      <c r="P1152" s="4"/>
      <c r="T1152" s="4"/>
    </row>
    <row r="1153">
      <c r="A1153" s="4" t="s">
        <v>3989</v>
      </c>
      <c r="B1153" s="4" t="s">
        <v>607</v>
      </c>
      <c r="C1153" s="6" t="s">
        <v>607</v>
      </c>
      <c r="D1153" s="6" t="s">
        <v>607</v>
      </c>
      <c r="E1153" s="6" t="s">
        <v>607</v>
      </c>
      <c r="F1153" s="6" t="s">
        <v>607</v>
      </c>
      <c r="G1153" s="4" t="s">
        <v>607</v>
      </c>
      <c r="H1153" s="4" t="s">
        <v>607</v>
      </c>
      <c r="I1153" s="4" t="s">
        <v>607</v>
      </c>
      <c r="J1153" s="4" t="s">
        <v>607</v>
      </c>
      <c r="K1153" s="4" t="s">
        <v>607</v>
      </c>
      <c r="L1153" s="4" t="s">
        <v>607</v>
      </c>
      <c r="M1153" s="4" t="s">
        <v>607</v>
      </c>
      <c r="N1153" s="4" t="s">
        <v>607</v>
      </c>
      <c r="O1153" s="4"/>
      <c r="P1153" s="4"/>
      <c r="T1153" s="4"/>
    </row>
    <row r="1154">
      <c r="A1154" s="4" t="s">
        <v>3991</v>
      </c>
      <c r="B1154" s="4" t="s">
        <v>607</v>
      </c>
      <c r="C1154" s="6" t="s">
        <v>607</v>
      </c>
      <c r="D1154" s="6" t="s">
        <v>607</v>
      </c>
      <c r="E1154" s="6" t="s">
        <v>607</v>
      </c>
      <c r="F1154" s="6" t="s">
        <v>607</v>
      </c>
      <c r="G1154" s="4" t="s">
        <v>607</v>
      </c>
      <c r="H1154" s="4" t="s">
        <v>607</v>
      </c>
      <c r="I1154" s="4" t="s">
        <v>607</v>
      </c>
      <c r="J1154" s="4" t="s">
        <v>607</v>
      </c>
      <c r="K1154" s="4" t="s">
        <v>607</v>
      </c>
      <c r="L1154" s="4" t="s">
        <v>607</v>
      </c>
      <c r="M1154" s="4" t="s">
        <v>607</v>
      </c>
      <c r="N1154" s="4" t="s">
        <v>607</v>
      </c>
      <c r="O1154" s="4"/>
      <c r="P1154" s="4"/>
      <c r="T1154" s="4"/>
    </row>
    <row r="1155">
      <c r="A1155" s="4" t="s">
        <v>3993</v>
      </c>
      <c r="B1155" s="4" t="s">
        <v>607</v>
      </c>
      <c r="C1155" s="6" t="s">
        <v>607</v>
      </c>
      <c r="D1155" s="6" t="s">
        <v>607</v>
      </c>
      <c r="E1155" s="6" t="s">
        <v>607</v>
      </c>
      <c r="F1155" s="6" t="s">
        <v>607</v>
      </c>
      <c r="G1155" s="4" t="s">
        <v>607</v>
      </c>
      <c r="H1155" s="4" t="s">
        <v>607</v>
      </c>
      <c r="I1155" s="4" t="s">
        <v>607</v>
      </c>
      <c r="J1155" s="4" t="s">
        <v>607</v>
      </c>
      <c r="K1155" s="4" t="s">
        <v>607</v>
      </c>
      <c r="L1155" s="4" t="s">
        <v>607</v>
      </c>
      <c r="M1155" s="4" t="s">
        <v>607</v>
      </c>
      <c r="N1155" s="4" t="s">
        <v>607</v>
      </c>
      <c r="O1155" s="4"/>
      <c r="P1155" s="4"/>
      <c r="T1155" s="4"/>
    </row>
    <row r="1156">
      <c r="A1156" s="4" t="s">
        <v>3996</v>
      </c>
      <c r="B1156" s="4" t="s">
        <v>607</v>
      </c>
      <c r="C1156" s="6" t="s">
        <v>607</v>
      </c>
      <c r="D1156" s="6" t="s">
        <v>607</v>
      </c>
      <c r="E1156" s="6" t="s">
        <v>607</v>
      </c>
      <c r="F1156" s="6" t="s">
        <v>607</v>
      </c>
      <c r="G1156" s="4" t="s">
        <v>607</v>
      </c>
      <c r="H1156" s="4" t="s">
        <v>607</v>
      </c>
      <c r="I1156" s="4" t="s">
        <v>607</v>
      </c>
      <c r="J1156" s="4" t="s">
        <v>607</v>
      </c>
      <c r="K1156" s="4" t="s">
        <v>607</v>
      </c>
      <c r="L1156" s="4" t="s">
        <v>607</v>
      </c>
      <c r="M1156" s="4" t="s">
        <v>607</v>
      </c>
      <c r="N1156" s="4" t="s">
        <v>607</v>
      </c>
      <c r="O1156" s="4"/>
      <c r="P1156" s="4"/>
      <c r="T1156" s="4"/>
    </row>
    <row r="1157">
      <c r="A1157" s="4" t="s">
        <v>3998</v>
      </c>
      <c r="B1157" s="4" t="s">
        <v>607</v>
      </c>
      <c r="C1157" s="6" t="s">
        <v>607</v>
      </c>
      <c r="D1157" s="6" t="s">
        <v>607</v>
      </c>
      <c r="E1157" s="6" t="s">
        <v>607</v>
      </c>
      <c r="F1157" s="6" t="s">
        <v>607</v>
      </c>
      <c r="G1157" s="4" t="s">
        <v>607</v>
      </c>
      <c r="H1157" s="4" t="s">
        <v>607</v>
      </c>
      <c r="I1157" s="4" t="s">
        <v>607</v>
      </c>
      <c r="J1157" s="4" t="s">
        <v>607</v>
      </c>
      <c r="K1157" s="4" t="s">
        <v>607</v>
      </c>
      <c r="L1157" s="4" t="s">
        <v>607</v>
      </c>
      <c r="M1157" s="4" t="s">
        <v>607</v>
      </c>
      <c r="N1157" s="4" t="s">
        <v>607</v>
      </c>
      <c r="O1157" s="4"/>
      <c r="P1157" s="4"/>
      <c r="T1157" s="4"/>
    </row>
    <row r="1158">
      <c r="A1158" s="4" t="s">
        <v>4000</v>
      </c>
      <c r="B1158" s="4" t="s">
        <v>607</v>
      </c>
      <c r="C1158" s="6" t="s">
        <v>607</v>
      </c>
      <c r="D1158" s="6" t="s">
        <v>607</v>
      </c>
      <c r="E1158" s="6" t="s">
        <v>607</v>
      </c>
      <c r="F1158" s="6" t="s">
        <v>607</v>
      </c>
      <c r="G1158" s="4" t="s">
        <v>607</v>
      </c>
      <c r="H1158" s="4" t="s">
        <v>607</v>
      </c>
      <c r="I1158" s="4" t="s">
        <v>607</v>
      </c>
      <c r="J1158" s="4" t="s">
        <v>607</v>
      </c>
      <c r="K1158" s="4" t="s">
        <v>607</v>
      </c>
      <c r="L1158" s="4" t="s">
        <v>607</v>
      </c>
      <c r="M1158" s="4" t="s">
        <v>607</v>
      </c>
      <c r="N1158" s="4" t="s">
        <v>607</v>
      </c>
      <c r="O1158" s="4"/>
      <c r="P1158" s="4"/>
      <c r="T1158" s="4"/>
    </row>
    <row r="1159">
      <c r="A1159" s="4" t="s">
        <v>4002</v>
      </c>
      <c r="B1159" s="4" t="s">
        <v>607</v>
      </c>
      <c r="C1159" s="6" t="s">
        <v>607</v>
      </c>
      <c r="D1159" s="6" t="s">
        <v>607</v>
      </c>
      <c r="E1159" s="6" t="s">
        <v>607</v>
      </c>
      <c r="F1159" s="6" t="s">
        <v>607</v>
      </c>
      <c r="G1159" s="4" t="s">
        <v>607</v>
      </c>
      <c r="H1159" s="4" t="s">
        <v>607</v>
      </c>
      <c r="I1159" s="4" t="s">
        <v>607</v>
      </c>
      <c r="J1159" s="4" t="s">
        <v>607</v>
      </c>
      <c r="K1159" s="4" t="s">
        <v>607</v>
      </c>
      <c r="L1159" s="4" t="s">
        <v>607</v>
      </c>
      <c r="M1159" s="4" t="s">
        <v>607</v>
      </c>
      <c r="N1159" s="4" t="s">
        <v>607</v>
      </c>
      <c r="O1159" s="4"/>
      <c r="P1159" s="4"/>
      <c r="T1159" s="4"/>
    </row>
    <row r="1160">
      <c r="A1160" s="4" t="s">
        <v>4003</v>
      </c>
      <c r="B1160" s="4" t="s">
        <v>607</v>
      </c>
      <c r="C1160" s="6" t="s">
        <v>607</v>
      </c>
      <c r="D1160" s="6" t="s">
        <v>607</v>
      </c>
      <c r="E1160" s="6" t="s">
        <v>607</v>
      </c>
      <c r="F1160" s="6" t="s">
        <v>607</v>
      </c>
      <c r="G1160" s="4" t="s">
        <v>607</v>
      </c>
      <c r="H1160" s="4" t="s">
        <v>607</v>
      </c>
      <c r="I1160" s="4" t="s">
        <v>607</v>
      </c>
      <c r="J1160" s="4" t="s">
        <v>607</v>
      </c>
      <c r="K1160" s="4" t="s">
        <v>607</v>
      </c>
      <c r="L1160" s="4" t="s">
        <v>607</v>
      </c>
      <c r="M1160" s="4" t="s">
        <v>607</v>
      </c>
      <c r="N1160" s="4" t="s">
        <v>607</v>
      </c>
      <c r="O1160" s="4"/>
      <c r="P1160" s="4"/>
      <c r="T1160" s="4"/>
    </row>
    <row r="1161">
      <c r="A1161" s="4" t="s">
        <v>4005</v>
      </c>
      <c r="B1161" s="4" t="s">
        <v>607</v>
      </c>
      <c r="C1161" s="6" t="s">
        <v>607</v>
      </c>
      <c r="D1161" s="6" t="s">
        <v>607</v>
      </c>
      <c r="E1161" s="6" t="s">
        <v>607</v>
      </c>
      <c r="F1161" s="6" t="s">
        <v>607</v>
      </c>
      <c r="G1161" s="4" t="s">
        <v>607</v>
      </c>
      <c r="H1161" s="4" t="s">
        <v>607</v>
      </c>
      <c r="I1161" s="4" t="s">
        <v>607</v>
      </c>
      <c r="J1161" s="4" t="s">
        <v>607</v>
      </c>
      <c r="K1161" s="4" t="s">
        <v>607</v>
      </c>
      <c r="L1161" s="4" t="s">
        <v>607</v>
      </c>
      <c r="M1161" s="4" t="s">
        <v>607</v>
      </c>
      <c r="N1161" s="4" t="s">
        <v>607</v>
      </c>
      <c r="O1161" s="4"/>
      <c r="P1161" s="4"/>
      <c r="T1161" s="4"/>
    </row>
    <row r="1162">
      <c r="A1162" s="4" t="s">
        <v>4009</v>
      </c>
      <c r="B1162" s="4" t="s">
        <v>607</v>
      </c>
      <c r="C1162" s="6" t="s">
        <v>607</v>
      </c>
      <c r="D1162" s="6" t="s">
        <v>607</v>
      </c>
      <c r="E1162" s="6" t="s">
        <v>607</v>
      </c>
      <c r="F1162" s="6" t="s">
        <v>607</v>
      </c>
      <c r="G1162" s="4" t="s">
        <v>607</v>
      </c>
      <c r="H1162" s="4" t="s">
        <v>607</v>
      </c>
      <c r="I1162" s="4" t="s">
        <v>607</v>
      </c>
      <c r="J1162" s="4" t="s">
        <v>607</v>
      </c>
      <c r="K1162" s="4" t="s">
        <v>607</v>
      </c>
      <c r="L1162" s="4" t="s">
        <v>607</v>
      </c>
      <c r="M1162" s="4" t="s">
        <v>607</v>
      </c>
      <c r="N1162" s="4" t="s">
        <v>607</v>
      </c>
      <c r="O1162" s="4"/>
      <c r="P1162" s="4"/>
      <c r="T1162" s="4"/>
    </row>
    <row r="1163">
      <c r="A1163" s="4" t="s">
        <v>4011</v>
      </c>
      <c r="B1163" s="4" t="s">
        <v>607</v>
      </c>
      <c r="C1163" s="6" t="s">
        <v>607</v>
      </c>
      <c r="D1163" s="6" t="s">
        <v>607</v>
      </c>
      <c r="E1163" s="6" t="s">
        <v>607</v>
      </c>
      <c r="F1163" s="6" t="s">
        <v>607</v>
      </c>
      <c r="G1163" s="4" t="s">
        <v>607</v>
      </c>
      <c r="H1163" s="4" t="s">
        <v>607</v>
      </c>
      <c r="I1163" s="4" t="s">
        <v>607</v>
      </c>
      <c r="J1163" s="4" t="s">
        <v>607</v>
      </c>
      <c r="K1163" s="4" t="s">
        <v>607</v>
      </c>
      <c r="L1163" s="4" t="s">
        <v>607</v>
      </c>
      <c r="M1163" s="4" t="s">
        <v>607</v>
      </c>
      <c r="N1163" s="4" t="s">
        <v>607</v>
      </c>
      <c r="O1163" s="4"/>
      <c r="P1163" s="4"/>
      <c r="T1163" s="4"/>
    </row>
    <row r="1164">
      <c r="A1164" s="4" t="s">
        <v>4013</v>
      </c>
      <c r="B1164" s="4" t="s">
        <v>607</v>
      </c>
      <c r="C1164" s="6" t="s">
        <v>607</v>
      </c>
      <c r="D1164" s="6" t="s">
        <v>607</v>
      </c>
      <c r="E1164" s="6" t="s">
        <v>607</v>
      </c>
      <c r="F1164" s="6" t="s">
        <v>607</v>
      </c>
      <c r="G1164" s="4" t="s">
        <v>607</v>
      </c>
      <c r="H1164" s="4" t="s">
        <v>607</v>
      </c>
      <c r="I1164" s="4" t="s">
        <v>607</v>
      </c>
      <c r="J1164" s="4" t="s">
        <v>607</v>
      </c>
      <c r="K1164" s="4" t="s">
        <v>607</v>
      </c>
      <c r="L1164" s="4" t="s">
        <v>607</v>
      </c>
      <c r="M1164" s="4" t="s">
        <v>607</v>
      </c>
      <c r="N1164" s="4" t="s">
        <v>607</v>
      </c>
      <c r="O1164" s="4"/>
      <c r="P1164" s="4"/>
      <c r="T1164" s="4"/>
    </row>
    <row r="1165">
      <c r="A1165" s="4" t="s">
        <v>4015</v>
      </c>
      <c r="B1165" s="4" t="s">
        <v>607</v>
      </c>
      <c r="C1165" s="6" t="s">
        <v>607</v>
      </c>
      <c r="D1165" s="6" t="s">
        <v>607</v>
      </c>
      <c r="E1165" s="6" t="s">
        <v>607</v>
      </c>
      <c r="F1165" s="6" t="s">
        <v>607</v>
      </c>
      <c r="G1165" s="4" t="s">
        <v>607</v>
      </c>
      <c r="H1165" s="4" t="s">
        <v>607</v>
      </c>
      <c r="I1165" s="4" t="s">
        <v>607</v>
      </c>
      <c r="J1165" s="4" t="s">
        <v>607</v>
      </c>
      <c r="K1165" s="4" t="s">
        <v>607</v>
      </c>
      <c r="L1165" s="4" t="s">
        <v>607</v>
      </c>
      <c r="M1165" s="4" t="s">
        <v>607</v>
      </c>
      <c r="N1165" s="4" t="s">
        <v>607</v>
      </c>
      <c r="O1165" s="4"/>
      <c r="P1165" s="4"/>
      <c r="T1165" s="4"/>
    </row>
    <row r="1166">
      <c r="A1166" s="4" t="s">
        <v>4019</v>
      </c>
      <c r="B1166" s="4" t="s">
        <v>607</v>
      </c>
      <c r="C1166" s="6" t="s">
        <v>607</v>
      </c>
      <c r="D1166" s="6" t="s">
        <v>607</v>
      </c>
      <c r="E1166" s="6" t="s">
        <v>607</v>
      </c>
      <c r="F1166" s="6" t="s">
        <v>607</v>
      </c>
      <c r="G1166" s="4" t="s">
        <v>607</v>
      </c>
      <c r="H1166" s="4" t="s">
        <v>607</v>
      </c>
      <c r="I1166" s="4" t="s">
        <v>607</v>
      </c>
      <c r="J1166" s="4" t="s">
        <v>607</v>
      </c>
      <c r="K1166" s="4" t="s">
        <v>607</v>
      </c>
      <c r="L1166" s="4" t="s">
        <v>607</v>
      </c>
      <c r="M1166" s="4" t="s">
        <v>607</v>
      </c>
      <c r="N1166" s="4" t="s">
        <v>607</v>
      </c>
      <c r="O1166" s="4"/>
      <c r="P1166" s="4"/>
      <c r="T1166" s="4"/>
    </row>
    <row r="1167">
      <c r="A1167" s="4" t="s">
        <v>4021</v>
      </c>
      <c r="B1167" s="4" t="s">
        <v>607</v>
      </c>
      <c r="C1167" s="6" t="s">
        <v>607</v>
      </c>
      <c r="D1167" s="6" t="s">
        <v>607</v>
      </c>
      <c r="E1167" s="6" t="s">
        <v>607</v>
      </c>
      <c r="F1167" s="6" t="s">
        <v>607</v>
      </c>
      <c r="G1167" s="4" t="s">
        <v>607</v>
      </c>
      <c r="H1167" s="4" t="s">
        <v>607</v>
      </c>
      <c r="I1167" s="4" t="s">
        <v>607</v>
      </c>
      <c r="J1167" s="4" t="s">
        <v>607</v>
      </c>
      <c r="K1167" s="4" t="s">
        <v>607</v>
      </c>
      <c r="L1167" s="4" t="s">
        <v>607</v>
      </c>
      <c r="M1167" s="4" t="s">
        <v>607</v>
      </c>
      <c r="N1167" s="4" t="s">
        <v>607</v>
      </c>
      <c r="O1167" s="4"/>
      <c r="P1167" s="4"/>
      <c r="T1167" s="4"/>
    </row>
    <row r="1168">
      <c r="A1168" s="4" t="s">
        <v>4023</v>
      </c>
      <c r="B1168" s="4" t="s">
        <v>607</v>
      </c>
      <c r="C1168" s="6" t="s">
        <v>607</v>
      </c>
      <c r="D1168" s="6" t="s">
        <v>607</v>
      </c>
      <c r="E1168" s="6" t="s">
        <v>607</v>
      </c>
      <c r="F1168" s="6" t="s">
        <v>607</v>
      </c>
      <c r="G1168" s="4" t="s">
        <v>607</v>
      </c>
      <c r="H1168" s="4" t="s">
        <v>607</v>
      </c>
      <c r="I1168" s="4" t="s">
        <v>607</v>
      </c>
      <c r="J1168" s="4" t="s">
        <v>607</v>
      </c>
      <c r="K1168" s="4" t="s">
        <v>607</v>
      </c>
      <c r="L1168" s="4" t="s">
        <v>607</v>
      </c>
      <c r="M1168" s="4" t="s">
        <v>607</v>
      </c>
      <c r="N1168" s="4" t="s">
        <v>607</v>
      </c>
      <c r="O1168" s="4"/>
      <c r="P1168" s="4"/>
      <c r="T1168" s="4"/>
    </row>
    <row r="1169">
      <c r="A1169" s="4" t="s">
        <v>4026</v>
      </c>
      <c r="B1169" s="4" t="s">
        <v>607</v>
      </c>
      <c r="C1169" s="6" t="s">
        <v>607</v>
      </c>
      <c r="D1169" s="6" t="s">
        <v>607</v>
      </c>
      <c r="E1169" s="6" t="s">
        <v>607</v>
      </c>
      <c r="F1169" s="6" t="s">
        <v>607</v>
      </c>
      <c r="G1169" s="4" t="s">
        <v>607</v>
      </c>
      <c r="H1169" s="4" t="s">
        <v>607</v>
      </c>
      <c r="I1169" s="4" t="s">
        <v>607</v>
      </c>
      <c r="J1169" s="4" t="s">
        <v>607</v>
      </c>
      <c r="K1169" s="4" t="s">
        <v>607</v>
      </c>
      <c r="L1169" s="4" t="s">
        <v>607</v>
      </c>
      <c r="M1169" s="4" t="s">
        <v>607</v>
      </c>
      <c r="N1169" s="4" t="s">
        <v>607</v>
      </c>
      <c r="O1169" s="4"/>
      <c r="P1169" s="4"/>
      <c r="T1169" s="4"/>
    </row>
    <row r="1170">
      <c r="A1170" s="4" t="s">
        <v>4028</v>
      </c>
      <c r="B1170" s="4" t="s">
        <v>607</v>
      </c>
      <c r="C1170" s="6" t="s">
        <v>607</v>
      </c>
      <c r="D1170" s="6" t="s">
        <v>607</v>
      </c>
      <c r="E1170" s="6" t="s">
        <v>607</v>
      </c>
      <c r="F1170" s="6" t="s">
        <v>607</v>
      </c>
      <c r="G1170" s="4" t="s">
        <v>607</v>
      </c>
      <c r="H1170" s="4" t="s">
        <v>607</v>
      </c>
      <c r="I1170" s="4" t="s">
        <v>607</v>
      </c>
      <c r="J1170" s="4" t="s">
        <v>607</v>
      </c>
      <c r="K1170" s="4" t="s">
        <v>607</v>
      </c>
      <c r="L1170" s="4" t="s">
        <v>607</v>
      </c>
      <c r="M1170" s="4" t="s">
        <v>607</v>
      </c>
      <c r="N1170" s="4" t="s">
        <v>607</v>
      </c>
      <c r="O1170" s="4"/>
      <c r="P1170" s="4"/>
      <c r="T1170" s="4"/>
    </row>
    <row r="1171">
      <c r="A1171" s="4" t="s">
        <v>4030</v>
      </c>
      <c r="B1171" s="4" t="s">
        <v>607</v>
      </c>
      <c r="C1171" s="6" t="s">
        <v>607</v>
      </c>
      <c r="D1171" s="6" t="s">
        <v>607</v>
      </c>
      <c r="E1171" s="6" t="s">
        <v>607</v>
      </c>
      <c r="F1171" s="6" t="s">
        <v>607</v>
      </c>
      <c r="G1171" s="4" t="s">
        <v>607</v>
      </c>
      <c r="H1171" s="4" t="s">
        <v>607</v>
      </c>
      <c r="I1171" s="4" t="s">
        <v>607</v>
      </c>
      <c r="J1171" s="4" t="s">
        <v>607</v>
      </c>
      <c r="K1171" s="4" t="s">
        <v>607</v>
      </c>
      <c r="L1171" s="4" t="s">
        <v>607</v>
      </c>
      <c r="M1171" s="4" t="s">
        <v>607</v>
      </c>
      <c r="N1171" s="4" t="s">
        <v>607</v>
      </c>
      <c r="O1171" s="4"/>
      <c r="P1171" s="4"/>
      <c r="T1171" s="4"/>
    </row>
    <row r="1172">
      <c r="A1172" s="4" t="s">
        <v>4032</v>
      </c>
      <c r="B1172" s="4" t="s">
        <v>607</v>
      </c>
      <c r="C1172" s="6" t="s">
        <v>607</v>
      </c>
      <c r="D1172" s="6" t="s">
        <v>607</v>
      </c>
      <c r="E1172" s="6" t="s">
        <v>607</v>
      </c>
      <c r="F1172" s="6" t="s">
        <v>607</v>
      </c>
      <c r="G1172" s="4" t="s">
        <v>607</v>
      </c>
      <c r="H1172" s="4" t="s">
        <v>607</v>
      </c>
      <c r="I1172" s="4" t="s">
        <v>607</v>
      </c>
      <c r="J1172" s="4" t="s">
        <v>607</v>
      </c>
      <c r="K1172" s="4" t="s">
        <v>607</v>
      </c>
      <c r="L1172" s="4" t="s">
        <v>607</v>
      </c>
      <c r="M1172" s="4" t="s">
        <v>607</v>
      </c>
      <c r="N1172" s="4" t="s">
        <v>607</v>
      </c>
      <c r="O1172" s="4"/>
      <c r="P1172" s="4"/>
      <c r="T1172" s="4"/>
    </row>
    <row r="1173">
      <c r="A1173" s="4" t="s">
        <v>4043</v>
      </c>
      <c r="B1173" s="4" t="s">
        <v>607</v>
      </c>
      <c r="C1173" s="6" t="s">
        <v>607</v>
      </c>
      <c r="D1173" s="6" t="s">
        <v>607</v>
      </c>
      <c r="E1173" s="6" t="s">
        <v>607</v>
      </c>
      <c r="F1173" s="6" t="s">
        <v>607</v>
      </c>
      <c r="G1173" s="4" t="s">
        <v>607</v>
      </c>
      <c r="H1173" s="4" t="s">
        <v>607</v>
      </c>
      <c r="I1173" s="4" t="s">
        <v>607</v>
      </c>
      <c r="J1173" s="4" t="s">
        <v>607</v>
      </c>
      <c r="K1173" s="4" t="s">
        <v>607</v>
      </c>
      <c r="L1173" s="4" t="s">
        <v>607</v>
      </c>
      <c r="M1173" s="4" t="s">
        <v>607</v>
      </c>
      <c r="N1173" s="4" t="s">
        <v>607</v>
      </c>
      <c r="O1173" s="4"/>
      <c r="P1173" s="4"/>
      <c r="T1173" s="4"/>
    </row>
    <row r="1174">
      <c r="A1174" s="4" t="s">
        <v>4045</v>
      </c>
      <c r="B1174" s="4" t="s">
        <v>607</v>
      </c>
      <c r="C1174" s="6" t="s">
        <v>607</v>
      </c>
      <c r="D1174" s="6" t="s">
        <v>607</v>
      </c>
      <c r="E1174" s="6" t="s">
        <v>607</v>
      </c>
      <c r="F1174" s="6" t="s">
        <v>607</v>
      </c>
      <c r="G1174" s="4" t="s">
        <v>607</v>
      </c>
      <c r="H1174" s="4" t="s">
        <v>607</v>
      </c>
      <c r="I1174" s="4" t="s">
        <v>607</v>
      </c>
      <c r="J1174" s="4" t="s">
        <v>607</v>
      </c>
      <c r="K1174" s="4" t="s">
        <v>607</v>
      </c>
      <c r="L1174" s="4" t="s">
        <v>607</v>
      </c>
      <c r="M1174" s="4" t="s">
        <v>607</v>
      </c>
      <c r="N1174" s="4" t="s">
        <v>607</v>
      </c>
      <c r="O1174" s="4"/>
      <c r="P1174" s="4"/>
      <c r="T1174" s="4"/>
    </row>
    <row r="1175">
      <c r="A1175" s="4" t="s">
        <v>4048</v>
      </c>
      <c r="B1175" s="4" t="s">
        <v>607</v>
      </c>
      <c r="C1175" s="6" t="s">
        <v>607</v>
      </c>
      <c r="D1175" s="6" t="s">
        <v>607</v>
      </c>
      <c r="E1175" s="6" t="s">
        <v>607</v>
      </c>
      <c r="F1175" s="6" t="s">
        <v>607</v>
      </c>
      <c r="G1175" s="4" t="s">
        <v>607</v>
      </c>
      <c r="H1175" s="4" t="s">
        <v>607</v>
      </c>
      <c r="I1175" s="4" t="s">
        <v>607</v>
      </c>
      <c r="J1175" s="4" t="s">
        <v>607</v>
      </c>
      <c r="K1175" s="4" t="s">
        <v>607</v>
      </c>
      <c r="L1175" s="4" t="s">
        <v>607</v>
      </c>
      <c r="M1175" s="4" t="s">
        <v>607</v>
      </c>
      <c r="N1175" s="4" t="s">
        <v>607</v>
      </c>
      <c r="O1175" s="4"/>
      <c r="P1175" s="4"/>
      <c r="T1175" s="4"/>
    </row>
    <row r="1176">
      <c r="A1176" s="4" t="s">
        <v>4051</v>
      </c>
      <c r="B1176" s="4" t="s">
        <v>607</v>
      </c>
      <c r="C1176" s="6" t="s">
        <v>607</v>
      </c>
      <c r="D1176" s="6" t="s">
        <v>607</v>
      </c>
      <c r="E1176" s="6" t="s">
        <v>607</v>
      </c>
      <c r="F1176" s="6" t="s">
        <v>607</v>
      </c>
      <c r="G1176" s="4" t="s">
        <v>607</v>
      </c>
      <c r="H1176" s="4" t="s">
        <v>607</v>
      </c>
      <c r="I1176" s="4" t="s">
        <v>607</v>
      </c>
      <c r="J1176" s="4" t="s">
        <v>607</v>
      </c>
      <c r="K1176" s="4" t="s">
        <v>607</v>
      </c>
      <c r="L1176" s="4" t="s">
        <v>607</v>
      </c>
      <c r="M1176" s="4" t="s">
        <v>607</v>
      </c>
      <c r="N1176" s="4" t="s">
        <v>607</v>
      </c>
      <c r="O1176" s="4"/>
      <c r="P1176" s="4"/>
      <c r="T1176" s="4"/>
    </row>
    <row r="1177">
      <c r="A1177" s="4" t="s">
        <v>4053</v>
      </c>
      <c r="B1177" s="4" t="s">
        <v>607</v>
      </c>
      <c r="C1177" s="6" t="s">
        <v>607</v>
      </c>
      <c r="D1177" s="6" t="s">
        <v>607</v>
      </c>
      <c r="E1177" s="6" t="s">
        <v>607</v>
      </c>
      <c r="F1177" s="6" t="s">
        <v>607</v>
      </c>
      <c r="G1177" s="4" t="s">
        <v>607</v>
      </c>
      <c r="H1177" s="4" t="s">
        <v>607</v>
      </c>
      <c r="I1177" s="4" t="s">
        <v>607</v>
      </c>
      <c r="J1177" s="4" t="s">
        <v>607</v>
      </c>
      <c r="K1177" s="4" t="s">
        <v>607</v>
      </c>
      <c r="L1177" s="4" t="s">
        <v>607</v>
      </c>
      <c r="M1177" s="4" t="s">
        <v>607</v>
      </c>
      <c r="N1177" s="4" t="s">
        <v>607</v>
      </c>
      <c r="O1177" s="4"/>
      <c r="P1177" s="4"/>
      <c r="T1177" s="4"/>
    </row>
    <row r="1178">
      <c r="A1178" s="4" t="s">
        <v>4063</v>
      </c>
      <c r="B1178" s="4" t="s">
        <v>607</v>
      </c>
      <c r="C1178" s="6" t="s">
        <v>607</v>
      </c>
      <c r="D1178" s="6" t="s">
        <v>607</v>
      </c>
      <c r="E1178" s="6" t="s">
        <v>607</v>
      </c>
      <c r="F1178" s="6" t="s">
        <v>607</v>
      </c>
      <c r="G1178" s="4" t="s">
        <v>607</v>
      </c>
      <c r="H1178" s="4" t="s">
        <v>607</v>
      </c>
      <c r="I1178" s="4" t="s">
        <v>607</v>
      </c>
      <c r="J1178" s="4" t="s">
        <v>607</v>
      </c>
      <c r="K1178" s="4" t="s">
        <v>607</v>
      </c>
      <c r="L1178" s="4" t="s">
        <v>607</v>
      </c>
      <c r="M1178" s="4" t="s">
        <v>607</v>
      </c>
      <c r="N1178" s="4" t="s">
        <v>607</v>
      </c>
      <c r="O1178" s="4"/>
      <c r="P1178" s="4"/>
      <c r="T1178" s="4"/>
    </row>
    <row r="1179">
      <c r="A1179" s="4" t="s">
        <v>4067</v>
      </c>
      <c r="B1179" s="4" t="s">
        <v>607</v>
      </c>
      <c r="C1179" s="6" t="s">
        <v>607</v>
      </c>
      <c r="D1179" s="6" t="s">
        <v>607</v>
      </c>
      <c r="E1179" s="6" t="s">
        <v>607</v>
      </c>
      <c r="F1179" s="6" t="s">
        <v>607</v>
      </c>
      <c r="G1179" s="4" t="s">
        <v>607</v>
      </c>
      <c r="H1179" s="4" t="s">
        <v>607</v>
      </c>
      <c r="I1179" s="4" t="s">
        <v>607</v>
      </c>
      <c r="J1179" s="4" t="s">
        <v>607</v>
      </c>
      <c r="K1179" s="4" t="s">
        <v>607</v>
      </c>
      <c r="L1179" s="4" t="s">
        <v>607</v>
      </c>
      <c r="M1179" s="4" t="s">
        <v>607</v>
      </c>
      <c r="N1179" s="4" t="s">
        <v>607</v>
      </c>
      <c r="O1179" s="4"/>
      <c r="P1179" s="4"/>
      <c r="T1179" s="4"/>
    </row>
    <row r="1180">
      <c r="A1180" s="4" t="s">
        <v>4069</v>
      </c>
      <c r="B1180" s="4" t="s">
        <v>607</v>
      </c>
      <c r="C1180" s="6" t="s">
        <v>607</v>
      </c>
      <c r="D1180" s="6" t="s">
        <v>607</v>
      </c>
      <c r="E1180" s="6" t="s">
        <v>607</v>
      </c>
      <c r="F1180" s="6" t="s">
        <v>607</v>
      </c>
      <c r="G1180" s="4" t="s">
        <v>607</v>
      </c>
      <c r="H1180" s="4" t="s">
        <v>607</v>
      </c>
      <c r="I1180" s="4" t="s">
        <v>607</v>
      </c>
      <c r="J1180" s="4" t="s">
        <v>607</v>
      </c>
      <c r="K1180" s="4" t="s">
        <v>607</v>
      </c>
      <c r="L1180" s="4" t="s">
        <v>607</v>
      </c>
      <c r="M1180" s="4" t="s">
        <v>607</v>
      </c>
      <c r="N1180" s="4" t="s">
        <v>607</v>
      </c>
      <c r="O1180" s="4"/>
      <c r="P1180" s="4"/>
      <c r="T1180" s="4"/>
    </row>
    <row r="1181">
      <c r="A1181" s="4" t="s">
        <v>4075</v>
      </c>
      <c r="B1181" s="4" t="s">
        <v>607</v>
      </c>
      <c r="C1181" s="6" t="s">
        <v>607</v>
      </c>
      <c r="D1181" s="6" t="s">
        <v>607</v>
      </c>
      <c r="E1181" s="6" t="s">
        <v>607</v>
      </c>
      <c r="F1181" s="6" t="s">
        <v>607</v>
      </c>
      <c r="G1181" s="4" t="s">
        <v>607</v>
      </c>
      <c r="H1181" s="4" t="s">
        <v>607</v>
      </c>
      <c r="I1181" s="4" t="s">
        <v>607</v>
      </c>
      <c r="J1181" s="4" t="s">
        <v>607</v>
      </c>
      <c r="K1181" s="4" t="s">
        <v>607</v>
      </c>
      <c r="L1181" s="4" t="s">
        <v>607</v>
      </c>
      <c r="M1181" s="4" t="s">
        <v>607</v>
      </c>
      <c r="N1181" s="4" t="s">
        <v>607</v>
      </c>
      <c r="O1181" s="4"/>
      <c r="P1181" s="4"/>
      <c r="T1181" s="4"/>
    </row>
    <row r="1182">
      <c r="A1182" s="4" t="s">
        <v>4079</v>
      </c>
      <c r="B1182" s="4" t="s">
        <v>607</v>
      </c>
      <c r="C1182" s="6" t="s">
        <v>607</v>
      </c>
      <c r="D1182" s="6" t="s">
        <v>607</v>
      </c>
      <c r="E1182" s="6" t="s">
        <v>607</v>
      </c>
      <c r="F1182" s="6" t="s">
        <v>607</v>
      </c>
      <c r="G1182" s="4" t="s">
        <v>607</v>
      </c>
      <c r="H1182" s="4" t="s">
        <v>607</v>
      </c>
      <c r="I1182" s="4" t="s">
        <v>607</v>
      </c>
      <c r="J1182" s="4" t="s">
        <v>607</v>
      </c>
      <c r="K1182" s="4" t="s">
        <v>607</v>
      </c>
      <c r="L1182" s="4" t="s">
        <v>607</v>
      </c>
      <c r="M1182" s="4" t="s">
        <v>607</v>
      </c>
      <c r="N1182" s="4" t="s">
        <v>607</v>
      </c>
      <c r="O1182" s="4"/>
      <c r="P1182" s="4"/>
      <c r="T1182" s="4"/>
    </row>
    <row r="1183">
      <c r="A1183" s="4" t="s">
        <v>4083</v>
      </c>
      <c r="B1183" s="4" t="s">
        <v>607</v>
      </c>
      <c r="C1183" s="6" t="s">
        <v>607</v>
      </c>
      <c r="D1183" s="6" t="s">
        <v>607</v>
      </c>
      <c r="E1183" s="6" t="s">
        <v>607</v>
      </c>
      <c r="F1183" s="6" t="s">
        <v>607</v>
      </c>
      <c r="G1183" s="4" t="s">
        <v>607</v>
      </c>
      <c r="H1183" s="4" t="s">
        <v>607</v>
      </c>
      <c r="I1183" s="4" t="s">
        <v>607</v>
      </c>
      <c r="J1183" s="4" t="s">
        <v>607</v>
      </c>
      <c r="K1183" s="4" t="s">
        <v>607</v>
      </c>
      <c r="L1183" s="4" t="s">
        <v>607</v>
      </c>
      <c r="M1183" s="4" t="s">
        <v>607</v>
      </c>
      <c r="N1183" s="4" t="s">
        <v>607</v>
      </c>
      <c r="O1183" s="4"/>
      <c r="P1183" s="4"/>
      <c r="T1183" s="4"/>
    </row>
    <row r="1184">
      <c r="A1184" s="4" t="s">
        <v>4094</v>
      </c>
      <c r="B1184" s="4" t="s">
        <v>607</v>
      </c>
      <c r="C1184" s="6" t="s">
        <v>607</v>
      </c>
      <c r="D1184" s="6" t="s">
        <v>607</v>
      </c>
      <c r="E1184" s="6" t="s">
        <v>607</v>
      </c>
      <c r="F1184" s="6" t="s">
        <v>607</v>
      </c>
      <c r="G1184" s="4" t="s">
        <v>607</v>
      </c>
      <c r="H1184" s="4" t="s">
        <v>607</v>
      </c>
      <c r="I1184" s="4" t="s">
        <v>607</v>
      </c>
      <c r="J1184" s="4" t="s">
        <v>607</v>
      </c>
      <c r="K1184" s="4" t="s">
        <v>607</v>
      </c>
      <c r="L1184" s="4" t="s">
        <v>607</v>
      </c>
      <c r="M1184" s="4" t="s">
        <v>607</v>
      </c>
      <c r="N1184" s="4" t="s">
        <v>607</v>
      </c>
      <c r="O1184" s="4"/>
      <c r="P1184" s="4"/>
      <c r="T1184" s="4"/>
    </row>
    <row r="1185">
      <c r="A1185" s="4" t="s">
        <v>4098</v>
      </c>
      <c r="B1185" s="4" t="s">
        <v>607</v>
      </c>
      <c r="C1185" s="6" t="s">
        <v>607</v>
      </c>
      <c r="D1185" s="6" t="s">
        <v>607</v>
      </c>
      <c r="E1185" s="6" t="s">
        <v>607</v>
      </c>
      <c r="F1185" s="6" t="s">
        <v>607</v>
      </c>
      <c r="G1185" s="4" t="s">
        <v>607</v>
      </c>
      <c r="H1185" s="4" t="s">
        <v>607</v>
      </c>
      <c r="I1185" s="4" t="s">
        <v>607</v>
      </c>
      <c r="J1185" s="4" t="s">
        <v>607</v>
      </c>
      <c r="K1185" s="4" t="s">
        <v>607</v>
      </c>
      <c r="L1185" s="4" t="s">
        <v>607</v>
      </c>
      <c r="M1185" s="4" t="s">
        <v>607</v>
      </c>
      <c r="N1185" s="4" t="s">
        <v>607</v>
      </c>
      <c r="O1185" s="4"/>
      <c r="P1185" s="4"/>
      <c r="T1185" s="4"/>
    </row>
    <row r="1186">
      <c r="A1186" s="4" t="s">
        <v>4102</v>
      </c>
      <c r="B1186" s="4" t="s">
        <v>607</v>
      </c>
      <c r="C1186" s="6" t="s">
        <v>607</v>
      </c>
      <c r="D1186" s="6" t="s">
        <v>607</v>
      </c>
      <c r="E1186" s="6" t="s">
        <v>607</v>
      </c>
      <c r="F1186" s="6" t="s">
        <v>607</v>
      </c>
      <c r="G1186" s="4" t="s">
        <v>607</v>
      </c>
      <c r="H1186" s="4" t="s">
        <v>607</v>
      </c>
      <c r="I1186" s="4" t="s">
        <v>607</v>
      </c>
      <c r="J1186" s="4" t="s">
        <v>607</v>
      </c>
      <c r="K1186" s="4" t="s">
        <v>607</v>
      </c>
      <c r="L1186" s="4" t="s">
        <v>607</v>
      </c>
      <c r="M1186" s="4" t="s">
        <v>607</v>
      </c>
      <c r="N1186" s="4" t="s">
        <v>607</v>
      </c>
      <c r="O1186" s="4"/>
      <c r="P1186" s="4"/>
      <c r="T1186" s="4"/>
    </row>
    <row r="1187">
      <c r="A1187" s="4" t="s">
        <v>4113</v>
      </c>
      <c r="B1187" s="4" t="s">
        <v>607</v>
      </c>
      <c r="C1187" s="6" t="s">
        <v>607</v>
      </c>
      <c r="D1187" s="6" t="s">
        <v>607</v>
      </c>
      <c r="E1187" s="6" t="s">
        <v>607</v>
      </c>
      <c r="F1187" s="6" t="s">
        <v>607</v>
      </c>
      <c r="G1187" s="4" t="s">
        <v>607</v>
      </c>
      <c r="H1187" s="4" t="s">
        <v>607</v>
      </c>
      <c r="I1187" s="4" t="s">
        <v>607</v>
      </c>
      <c r="J1187" s="4" t="s">
        <v>607</v>
      </c>
      <c r="K1187" s="4" t="s">
        <v>607</v>
      </c>
      <c r="L1187" s="4" t="s">
        <v>607</v>
      </c>
      <c r="M1187" s="4" t="s">
        <v>607</v>
      </c>
      <c r="N1187" s="4" t="s">
        <v>607</v>
      </c>
      <c r="O1187" s="4"/>
      <c r="P1187" s="4"/>
      <c r="T1187" s="4"/>
    </row>
    <row r="1188">
      <c r="A1188" s="4" t="s">
        <v>4117</v>
      </c>
      <c r="B1188" s="4" t="s">
        <v>607</v>
      </c>
      <c r="C1188" s="6" t="s">
        <v>607</v>
      </c>
      <c r="D1188" s="6" t="s">
        <v>607</v>
      </c>
      <c r="E1188" s="6" t="s">
        <v>607</v>
      </c>
      <c r="F1188" s="6" t="s">
        <v>607</v>
      </c>
      <c r="G1188" s="4" t="s">
        <v>607</v>
      </c>
      <c r="H1188" s="4" t="s">
        <v>607</v>
      </c>
      <c r="I1188" s="4" t="s">
        <v>607</v>
      </c>
      <c r="J1188" s="4" t="s">
        <v>607</v>
      </c>
      <c r="K1188" s="4" t="s">
        <v>607</v>
      </c>
      <c r="L1188" s="4" t="s">
        <v>607</v>
      </c>
      <c r="M1188" s="4" t="s">
        <v>607</v>
      </c>
      <c r="N1188" s="4" t="s">
        <v>607</v>
      </c>
      <c r="O1188" s="4"/>
      <c r="P1188" s="4"/>
      <c r="T1188" s="4"/>
    </row>
    <row r="1189">
      <c r="A1189" s="4" t="s">
        <v>4123</v>
      </c>
      <c r="B1189" s="4" t="s">
        <v>607</v>
      </c>
      <c r="C1189" s="6" t="s">
        <v>607</v>
      </c>
      <c r="D1189" s="6" t="s">
        <v>607</v>
      </c>
      <c r="E1189" s="6" t="s">
        <v>607</v>
      </c>
      <c r="F1189" s="6" t="s">
        <v>607</v>
      </c>
      <c r="G1189" s="4" t="s">
        <v>607</v>
      </c>
      <c r="H1189" s="4" t="s">
        <v>607</v>
      </c>
      <c r="I1189" s="4" t="s">
        <v>607</v>
      </c>
      <c r="J1189" s="4" t="s">
        <v>607</v>
      </c>
      <c r="K1189" s="4" t="s">
        <v>607</v>
      </c>
      <c r="L1189" s="4" t="s">
        <v>607</v>
      </c>
      <c r="M1189" s="4" t="s">
        <v>607</v>
      </c>
      <c r="N1189" s="4" t="s">
        <v>607</v>
      </c>
      <c r="O1189" s="4"/>
      <c r="P1189" s="4"/>
      <c r="T1189" s="4"/>
    </row>
    <row r="1190">
      <c r="A1190" s="4" t="s">
        <v>4127</v>
      </c>
      <c r="B1190" s="4" t="s">
        <v>607</v>
      </c>
      <c r="C1190" s="6" t="s">
        <v>607</v>
      </c>
      <c r="D1190" s="6" t="s">
        <v>607</v>
      </c>
      <c r="E1190" s="6" t="s">
        <v>607</v>
      </c>
      <c r="F1190" s="6" t="s">
        <v>607</v>
      </c>
      <c r="G1190" s="4" t="s">
        <v>607</v>
      </c>
      <c r="H1190" s="4" t="s">
        <v>607</v>
      </c>
      <c r="I1190" s="4" t="s">
        <v>607</v>
      </c>
      <c r="J1190" s="4" t="s">
        <v>607</v>
      </c>
      <c r="K1190" s="4" t="s">
        <v>607</v>
      </c>
      <c r="L1190" s="4" t="s">
        <v>607</v>
      </c>
      <c r="M1190" s="4" t="s">
        <v>607</v>
      </c>
      <c r="N1190" s="4" t="s">
        <v>607</v>
      </c>
      <c r="O1190" s="4"/>
      <c r="P1190" s="4"/>
      <c r="T1190" s="4"/>
    </row>
    <row r="1191">
      <c r="A1191" s="4" t="s">
        <v>4132</v>
      </c>
      <c r="B1191" s="4" t="s">
        <v>607</v>
      </c>
      <c r="C1191" s="6" t="s">
        <v>607</v>
      </c>
      <c r="D1191" s="6" t="s">
        <v>607</v>
      </c>
      <c r="E1191" s="6" t="s">
        <v>607</v>
      </c>
      <c r="F1191" s="6" t="s">
        <v>607</v>
      </c>
      <c r="G1191" s="4" t="s">
        <v>607</v>
      </c>
      <c r="H1191" s="4" t="s">
        <v>607</v>
      </c>
      <c r="I1191" s="4" t="s">
        <v>607</v>
      </c>
      <c r="J1191" s="4" t="s">
        <v>607</v>
      </c>
      <c r="K1191" s="4" t="s">
        <v>607</v>
      </c>
      <c r="L1191" s="4" t="s">
        <v>607</v>
      </c>
      <c r="M1191" s="4" t="s">
        <v>607</v>
      </c>
      <c r="N1191" s="4" t="s">
        <v>607</v>
      </c>
      <c r="O1191" s="4"/>
      <c r="P1191" s="4"/>
      <c r="T1191" s="4"/>
    </row>
    <row r="1192">
      <c r="A1192" s="4" t="s">
        <v>4134</v>
      </c>
      <c r="B1192" s="4" t="s">
        <v>607</v>
      </c>
      <c r="C1192" s="6" t="s">
        <v>607</v>
      </c>
      <c r="D1192" s="6" t="s">
        <v>607</v>
      </c>
      <c r="E1192" s="6" t="s">
        <v>607</v>
      </c>
      <c r="F1192" s="6" t="s">
        <v>607</v>
      </c>
      <c r="G1192" s="4" t="s">
        <v>607</v>
      </c>
      <c r="H1192" s="4" t="s">
        <v>607</v>
      </c>
      <c r="I1192" s="4" t="s">
        <v>607</v>
      </c>
      <c r="J1192" s="4" t="s">
        <v>607</v>
      </c>
      <c r="K1192" s="4" t="s">
        <v>607</v>
      </c>
      <c r="L1192" s="4" t="s">
        <v>607</v>
      </c>
      <c r="M1192" s="4" t="s">
        <v>607</v>
      </c>
      <c r="N1192" s="4" t="s">
        <v>607</v>
      </c>
      <c r="O1192" s="4"/>
      <c r="P1192" s="4"/>
      <c r="T1192" s="4"/>
    </row>
    <row r="1193">
      <c r="A1193" s="4" t="s">
        <v>4143</v>
      </c>
      <c r="B1193" s="4" t="s">
        <v>607</v>
      </c>
      <c r="C1193" s="6" t="s">
        <v>607</v>
      </c>
      <c r="D1193" s="6" t="s">
        <v>607</v>
      </c>
      <c r="E1193" s="6" t="s">
        <v>607</v>
      </c>
      <c r="F1193" s="6" t="s">
        <v>607</v>
      </c>
      <c r="G1193" s="4" t="s">
        <v>607</v>
      </c>
      <c r="H1193" s="4" t="s">
        <v>607</v>
      </c>
      <c r="I1193" s="4" t="s">
        <v>607</v>
      </c>
      <c r="J1193" s="4" t="s">
        <v>607</v>
      </c>
      <c r="K1193" s="4" t="s">
        <v>607</v>
      </c>
      <c r="L1193" s="4" t="s">
        <v>607</v>
      </c>
      <c r="M1193" s="4" t="s">
        <v>607</v>
      </c>
      <c r="N1193" s="4" t="s">
        <v>607</v>
      </c>
      <c r="O1193" s="4"/>
      <c r="P1193" s="4"/>
      <c r="T1193" s="4"/>
    </row>
    <row r="1194">
      <c r="A1194" s="4" t="s">
        <v>4146</v>
      </c>
      <c r="B1194" s="4" t="s">
        <v>607</v>
      </c>
      <c r="C1194" s="6" t="s">
        <v>607</v>
      </c>
      <c r="D1194" s="6" t="s">
        <v>607</v>
      </c>
      <c r="E1194" s="6" t="s">
        <v>607</v>
      </c>
      <c r="F1194" s="6" t="s">
        <v>607</v>
      </c>
      <c r="G1194" s="4" t="s">
        <v>607</v>
      </c>
      <c r="H1194" s="4" t="s">
        <v>607</v>
      </c>
      <c r="I1194" s="4" t="s">
        <v>607</v>
      </c>
      <c r="J1194" s="4" t="s">
        <v>607</v>
      </c>
      <c r="K1194" s="4" t="s">
        <v>607</v>
      </c>
      <c r="L1194" s="4" t="s">
        <v>607</v>
      </c>
      <c r="M1194" s="4" t="s">
        <v>607</v>
      </c>
      <c r="N1194" s="4" t="s">
        <v>607</v>
      </c>
      <c r="O1194" s="4"/>
      <c r="P1194" s="4"/>
      <c r="T1194" s="4"/>
    </row>
    <row r="1195">
      <c r="A1195" s="4" t="s">
        <v>4150</v>
      </c>
      <c r="B1195" s="4" t="s">
        <v>607</v>
      </c>
      <c r="C1195" s="6" t="s">
        <v>607</v>
      </c>
      <c r="D1195" s="6" t="s">
        <v>607</v>
      </c>
      <c r="E1195" s="6" t="s">
        <v>607</v>
      </c>
      <c r="F1195" s="6" t="s">
        <v>607</v>
      </c>
      <c r="G1195" s="4" t="s">
        <v>607</v>
      </c>
      <c r="H1195" s="4" t="s">
        <v>607</v>
      </c>
      <c r="I1195" s="4" t="s">
        <v>607</v>
      </c>
      <c r="J1195" s="4" t="s">
        <v>607</v>
      </c>
      <c r="K1195" s="4" t="s">
        <v>607</v>
      </c>
      <c r="L1195" s="4" t="s">
        <v>607</v>
      </c>
      <c r="M1195" s="4" t="s">
        <v>607</v>
      </c>
      <c r="N1195" s="4" t="s">
        <v>607</v>
      </c>
      <c r="O1195" s="4"/>
      <c r="P1195" s="4"/>
      <c r="T1195" s="4"/>
    </row>
    <row r="1196">
      <c r="A1196" s="4" t="s">
        <v>4165</v>
      </c>
      <c r="B1196" s="4" t="s">
        <v>607</v>
      </c>
      <c r="C1196" s="6" t="s">
        <v>607</v>
      </c>
      <c r="D1196" s="6" t="s">
        <v>607</v>
      </c>
      <c r="E1196" s="6" t="s">
        <v>607</v>
      </c>
      <c r="F1196" s="6" t="s">
        <v>607</v>
      </c>
      <c r="G1196" s="4" t="s">
        <v>607</v>
      </c>
      <c r="H1196" s="4" t="s">
        <v>607</v>
      </c>
      <c r="I1196" s="4" t="s">
        <v>607</v>
      </c>
      <c r="J1196" s="4" t="s">
        <v>607</v>
      </c>
      <c r="K1196" s="4" t="s">
        <v>607</v>
      </c>
      <c r="L1196" s="4" t="s">
        <v>607</v>
      </c>
      <c r="M1196" s="4" t="s">
        <v>607</v>
      </c>
      <c r="N1196" s="4" t="s">
        <v>607</v>
      </c>
      <c r="O1196" s="4"/>
      <c r="P1196" s="4"/>
      <c r="T1196" s="4"/>
    </row>
    <row r="1197">
      <c r="A1197" s="4" t="s">
        <v>4171</v>
      </c>
      <c r="B1197" s="4" t="s">
        <v>607</v>
      </c>
      <c r="C1197" s="6" t="s">
        <v>607</v>
      </c>
      <c r="D1197" s="6" t="s">
        <v>607</v>
      </c>
      <c r="E1197" s="6" t="s">
        <v>607</v>
      </c>
      <c r="F1197" s="6" t="s">
        <v>607</v>
      </c>
      <c r="G1197" s="4" t="s">
        <v>607</v>
      </c>
      <c r="H1197" s="4" t="s">
        <v>607</v>
      </c>
      <c r="I1197" s="4" t="s">
        <v>607</v>
      </c>
      <c r="J1197" s="4" t="s">
        <v>607</v>
      </c>
      <c r="K1197" s="4" t="s">
        <v>607</v>
      </c>
      <c r="L1197" s="4" t="s">
        <v>607</v>
      </c>
      <c r="M1197" s="4" t="s">
        <v>607</v>
      </c>
      <c r="N1197" s="4" t="s">
        <v>607</v>
      </c>
      <c r="O1197" s="4"/>
      <c r="P1197" s="4"/>
      <c r="T1197" s="4"/>
    </row>
    <row r="1198">
      <c r="A1198" s="4" t="s">
        <v>4178</v>
      </c>
      <c r="B1198" s="4" t="s">
        <v>607</v>
      </c>
      <c r="C1198" s="6" t="s">
        <v>607</v>
      </c>
      <c r="D1198" s="6" t="s">
        <v>607</v>
      </c>
      <c r="E1198" s="6" t="s">
        <v>607</v>
      </c>
      <c r="F1198" s="6" t="s">
        <v>607</v>
      </c>
      <c r="G1198" s="4" t="s">
        <v>607</v>
      </c>
      <c r="H1198" s="4" t="s">
        <v>607</v>
      </c>
      <c r="I1198" s="4" t="s">
        <v>607</v>
      </c>
      <c r="J1198" s="4" t="s">
        <v>607</v>
      </c>
      <c r="K1198" s="4" t="s">
        <v>607</v>
      </c>
      <c r="L1198" s="4" t="s">
        <v>607</v>
      </c>
      <c r="M1198" s="4" t="s">
        <v>607</v>
      </c>
      <c r="N1198" s="4" t="s">
        <v>607</v>
      </c>
      <c r="O1198" s="4"/>
      <c r="P1198" s="4"/>
      <c r="T1198" s="4"/>
    </row>
    <row r="1199">
      <c r="A1199" s="4" t="s">
        <v>4195</v>
      </c>
      <c r="B1199" s="4" t="s">
        <v>607</v>
      </c>
      <c r="C1199" s="6" t="s">
        <v>607</v>
      </c>
      <c r="D1199" s="6" t="s">
        <v>607</v>
      </c>
      <c r="E1199" s="6" t="s">
        <v>607</v>
      </c>
      <c r="F1199" s="6" t="s">
        <v>607</v>
      </c>
      <c r="G1199" s="4" t="s">
        <v>607</v>
      </c>
      <c r="H1199" s="4" t="s">
        <v>607</v>
      </c>
      <c r="I1199" s="4" t="s">
        <v>607</v>
      </c>
      <c r="J1199" s="4" t="s">
        <v>607</v>
      </c>
      <c r="K1199" s="4" t="s">
        <v>607</v>
      </c>
      <c r="L1199" s="4" t="s">
        <v>607</v>
      </c>
      <c r="M1199" s="4" t="s">
        <v>607</v>
      </c>
      <c r="N1199" s="4" t="s">
        <v>607</v>
      </c>
      <c r="O1199" s="4"/>
      <c r="P1199" s="4"/>
      <c r="T1199" s="4"/>
    </row>
    <row r="1200">
      <c r="A1200" s="4" t="s">
        <v>4201</v>
      </c>
      <c r="B1200" s="4" t="s">
        <v>607</v>
      </c>
      <c r="C1200" s="6" t="s">
        <v>607</v>
      </c>
      <c r="D1200" s="6" t="s">
        <v>607</v>
      </c>
      <c r="E1200" s="6" t="s">
        <v>607</v>
      </c>
      <c r="F1200" s="6" t="s">
        <v>607</v>
      </c>
      <c r="G1200" s="4" t="s">
        <v>607</v>
      </c>
      <c r="H1200" s="4" t="s">
        <v>607</v>
      </c>
      <c r="I1200" s="4" t="s">
        <v>607</v>
      </c>
      <c r="J1200" s="4" t="s">
        <v>607</v>
      </c>
      <c r="K1200" s="4" t="s">
        <v>607</v>
      </c>
      <c r="L1200" s="4" t="s">
        <v>607</v>
      </c>
      <c r="M1200" s="4" t="s">
        <v>607</v>
      </c>
      <c r="N1200" s="4" t="s">
        <v>607</v>
      </c>
      <c r="O1200" s="4"/>
      <c r="P1200" s="4"/>
      <c r="T1200" s="4"/>
    </row>
    <row r="1201">
      <c r="A1201" s="4" t="s">
        <v>4204</v>
      </c>
      <c r="B1201" s="4" t="s">
        <v>607</v>
      </c>
      <c r="C1201" s="6" t="s">
        <v>607</v>
      </c>
      <c r="D1201" s="6" t="s">
        <v>607</v>
      </c>
      <c r="E1201" s="6" t="s">
        <v>607</v>
      </c>
      <c r="F1201" s="6" t="s">
        <v>607</v>
      </c>
      <c r="G1201" s="4" t="s">
        <v>607</v>
      </c>
      <c r="H1201" s="4" t="s">
        <v>607</v>
      </c>
      <c r="I1201" s="4" t="s">
        <v>607</v>
      </c>
      <c r="J1201" s="4" t="s">
        <v>607</v>
      </c>
      <c r="K1201" s="4" t="s">
        <v>607</v>
      </c>
      <c r="L1201" s="4" t="s">
        <v>607</v>
      </c>
      <c r="M1201" s="4" t="s">
        <v>607</v>
      </c>
      <c r="N1201" s="4" t="s">
        <v>607</v>
      </c>
      <c r="O1201" s="4"/>
      <c r="P1201" s="4"/>
      <c r="T1201" s="4"/>
    </row>
    <row r="1202">
      <c r="A1202" s="4" t="s">
        <v>4210</v>
      </c>
      <c r="B1202" s="4" t="s">
        <v>607</v>
      </c>
      <c r="C1202" s="6" t="s">
        <v>607</v>
      </c>
      <c r="D1202" s="6" t="s">
        <v>607</v>
      </c>
      <c r="E1202" s="6" t="s">
        <v>607</v>
      </c>
      <c r="F1202" s="6" t="s">
        <v>607</v>
      </c>
      <c r="G1202" s="4" t="s">
        <v>607</v>
      </c>
      <c r="H1202" s="4" t="s">
        <v>607</v>
      </c>
      <c r="I1202" s="4" t="s">
        <v>607</v>
      </c>
      <c r="J1202" s="4" t="s">
        <v>607</v>
      </c>
      <c r="K1202" s="4" t="s">
        <v>607</v>
      </c>
      <c r="L1202" s="4" t="s">
        <v>607</v>
      </c>
      <c r="M1202" s="4" t="s">
        <v>607</v>
      </c>
      <c r="N1202" s="4" t="s">
        <v>607</v>
      </c>
      <c r="O1202" s="4"/>
      <c r="P1202" s="4"/>
      <c r="T1202" s="4"/>
    </row>
    <row r="1203">
      <c r="A1203" s="4" t="s">
        <v>4212</v>
      </c>
      <c r="B1203" s="4" t="s">
        <v>607</v>
      </c>
      <c r="C1203" s="6" t="s">
        <v>607</v>
      </c>
      <c r="D1203" s="6" t="s">
        <v>607</v>
      </c>
      <c r="E1203" s="6" t="s">
        <v>607</v>
      </c>
      <c r="F1203" s="6" t="s">
        <v>607</v>
      </c>
      <c r="G1203" s="4" t="s">
        <v>607</v>
      </c>
      <c r="H1203" s="4" t="s">
        <v>607</v>
      </c>
      <c r="I1203" s="4" t="s">
        <v>607</v>
      </c>
      <c r="J1203" s="4" t="s">
        <v>607</v>
      </c>
      <c r="K1203" s="4" t="s">
        <v>607</v>
      </c>
      <c r="L1203" s="4" t="s">
        <v>607</v>
      </c>
      <c r="M1203" s="4" t="s">
        <v>607</v>
      </c>
      <c r="N1203" s="4" t="s">
        <v>607</v>
      </c>
      <c r="O1203" s="4"/>
      <c r="P1203" s="4"/>
      <c r="T1203" s="4"/>
    </row>
    <row r="1204">
      <c r="A1204" s="4" t="s">
        <v>4215</v>
      </c>
      <c r="B1204" s="4" t="s">
        <v>607</v>
      </c>
      <c r="C1204" s="6" t="s">
        <v>607</v>
      </c>
      <c r="D1204" s="6" t="s">
        <v>607</v>
      </c>
      <c r="E1204" s="6" t="s">
        <v>607</v>
      </c>
      <c r="F1204" s="6" t="s">
        <v>607</v>
      </c>
      <c r="G1204" s="4" t="s">
        <v>607</v>
      </c>
      <c r="H1204" s="4" t="s">
        <v>607</v>
      </c>
      <c r="I1204" s="4" t="s">
        <v>607</v>
      </c>
      <c r="J1204" s="4" t="s">
        <v>607</v>
      </c>
      <c r="K1204" s="4" t="s">
        <v>607</v>
      </c>
      <c r="L1204" s="4" t="s">
        <v>607</v>
      </c>
      <c r="M1204" s="4" t="s">
        <v>607</v>
      </c>
      <c r="N1204" s="4" t="s">
        <v>607</v>
      </c>
      <c r="O1204" s="4"/>
      <c r="P1204" s="4"/>
      <c r="T1204" s="4"/>
    </row>
    <row r="1205">
      <c r="A1205" s="4" t="s">
        <v>4218</v>
      </c>
      <c r="B1205" s="4" t="s">
        <v>607</v>
      </c>
      <c r="C1205" s="6" t="s">
        <v>607</v>
      </c>
      <c r="D1205" s="6" t="s">
        <v>607</v>
      </c>
      <c r="E1205" s="6" t="s">
        <v>607</v>
      </c>
      <c r="F1205" s="6" t="s">
        <v>607</v>
      </c>
      <c r="G1205" s="4" t="s">
        <v>607</v>
      </c>
      <c r="H1205" s="4" t="s">
        <v>607</v>
      </c>
      <c r="I1205" s="4" t="s">
        <v>607</v>
      </c>
      <c r="J1205" s="4" t="s">
        <v>607</v>
      </c>
      <c r="K1205" s="4" t="s">
        <v>607</v>
      </c>
      <c r="L1205" s="4" t="s">
        <v>607</v>
      </c>
      <c r="M1205" s="4" t="s">
        <v>607</v>
      </c>
      <c r="N1205" s="4" t="s">
        <v>607</v>
      </c>
      <c r="O1205" s="4"/>
      <c r="P1205" s="4"/>
      <c r="T1205" s="4"/>
    </row>
    <row r="1206">
      <c r="A1206" s="4" t="s">
        <v>4221</v>
      </c>
      <c r="B1206" s="4" t="s">
        <v>607</v>
      </c>
      <c r="C1206" s="6" t="s">
        <v>607</v>
      </c>
      <c r="D1206" s="6" t="s">
        <v>607</v>
      </c>
      <c r="E1206" s="6" t="s">
        <v>607</v>
      </c>
      <c r="F1206" s="6" t="s">
        <v>607</v>
      </c>
      <c r="G1206" s="4" t="s">
        <v>607</v>
      </c>
      <c r="H1206" s="4" t="s">
        <v>607</v>
      </c>
      <c r="I1206" s="4" t="s">
        <v>607</v>
      </c>
      <c r="J1206" s="4" t="s">
        <v>607</v>
      </c>
      <c r="K1206" s="4" t="s">
        <v>607</v>
      </c>
      <c r="L1206" s="4" t="s">
        <v>607</v>
      </c>
      <c r="M1206" s="4" t="s">
        <v>607</v>
      </c>
      <c r="N1206" s="4" t="s">
        <v>607</v>
      </c>
      <c r="O1206" s="4"/>
      <c r="P1206" s="4"/>
      <c r="T1206" s="4"/>
    </row>
    <row r="1207">
      <c r="A1207" s="4" t="s">
        <v>4224</v>
      </c>
      <c r="B1207" s="4" t="s">
        <v>607</v>
      </c>
      <c r="C1207" s="6" t="s">
        <v>607</v>
      </c>
      <c r="D1207" s="6" t="s">
        <v>607</v>
      </c>
      <c r="E1207" s="6" t="s">
        <v>607</v>
      </c>
      <c r="F1207" s="6" t="s">
        <v>607</v>
      </c>
      <c r="G1207" s="4" t="s">
        <v>607</v>
      </c>
      <c r="H1207" s="4" t="s">
        <v>607</v>
      </c>
      <c r="I1207" s="4" t="s">
        <v>607</v>
      </c>
      <c r="J1207" s="4" t="s">
        <v>607</v>
      </c>
      <c r="K1207" s="4" t="s">
        <v>607</v>
      </c>
      <c r="L1207" s="4" t="s">
        <v>607</v>
      </c>
      <c r="M1207" s="4" t="s">
        <v>607</v>
      </c>
      <c r="N1207" s="4" t="s">
        <v>607</v>
      </c>
      <c r="O1207" s="4"/>
      <c r="P1207" s="4"/>
      <c r="T1207" s="4"/>
    </row>
    <row r="1208">
      <c r="A1208" s="4" t="s">
        <v>4226</v>
      </c>
      <c r="B1208" s="4" t="s">
        <v>607</v>
      </c>
      <c r="C1208" s="6" t="s">
        <v>607</v>
      </c>
      <c r="D1208" s="6" t="s">
        <v>607</v>
      </c>
      <c r="E1208" s="6" t="s">
        <v>607</v>
      </c>
      <c r="F1208" s="6" t="s">
        <v>607</v>
      </c>
      <c r="G1208" s="4" t="s">
        <v>607</v>
      </c>
      <c r="H1208" s="4" t="s">
        <v>607</v>
      </c>
      <c r="I1208" s="4" t="s">
        <v>607</v>
      </c>
      <c r="J1208" s="4" t="s">
        <v>607</v>
      </c>
      <c r="K1208" s="4" t="s">
        <v>607</v>
      </c>
      <c r="L1208" s="4" t="s">
        <v>607</v>
      </c>
      <c r="M1208" s="4" t="s">
        <v>607</v>
      </c>
      <c r="N1208" s="4" t="s">
        <v>607</v>
      </c>
      <c r="O1208" s="4"/>
      <c r="P1208" s="4"/>
      <c r="T1208" s="4"/>
    </row>
    <row r="1209">
      <c r="A1209" s="4" t="s">
        <v>4229</v>
      </c>
      <c r="B1209" s="4" t="s">
        <v>607</v>
      </c>
      <c r="C1209" s="6" t="s">
        <v>607</v>
      </c>
      <c r="D1209" s="6" t="s">
        <v>607</v>
      </c>
      <c r="E1209" s="6" t="s">
        <v>607</v>
      </c>
      <c r="F1209" s="6" t="s">
        <v>607</v>
      </c>
      <c r="G1209" s="4" t="s">
        <v>607</v>
      </c>
      <c r="H1209" s="4" t="s">
        <v>607</v>
      </c>
      <c r="I1209" s="4" t="s">
        <v>607</v>
      </c>
      <c r="J1209" s="4" t="s">
        <v>607</v>
      </c>
      <c r="K1209" s="4" t="s">
        <v>607</v>
      </c>
      <c r="L1209" s="4" t="s">
        <v>607</v>
      </c>
      <c r="M1209" s="4" t="s">
        <v>607</v>
      </c>
      <c r="N1209" s="4" t="s">
        <v>607</v>
      </c>
      <c r="O1209" s="4"/>
      <c r="P1209" s="4"/>
      <c r="T1209" s="4"/>
    </row>
    <row r="1210">
      <c r="A1210" s="4" t="s">
        <v>4232</v>
      </c>
      <c r="B1210" s="4" t="s">
        <v>607</v>
      </c>
      <c r="C1210" s="6" t="s">
        <v>607</v>
      </c>
      <c r="D1210" s="6" t="s">
        <v>607</v>
      </c>
      <c r="E1210" s="6" t="s">
        <v>607</v>
      </c>
      <c r="F1210" s="6" t="s">
        <v>607</v>
      </c>
      <c r="G1210" s="4" t="s">
        <v>607</v>
      </c>
      <c r="H1210" s="4" t="s">
        <v>607</v>
      </c>
      <c r="I1210" s="4" t="s">
        <v>607</v>
      </c>
      <c r="J1210" s="4" t="s">
        <v>607</v>
      </c>
      <c r="K1210" s="4" t="s">
        <v>607</v>
      </c>
      <c r="L1210" s="4" t="s">
        <v>607</v>
      </c>
      <c r="M1210" s="4" t="s">
        <v>607</v>
      </c>
      <c r="N1210" s="4" t="s">
        <v>607</v>
      </c>
      <c r="O1210" s="4"/>
      <c r="P1210" s="4"/>
      <c r="T1210" s="4"/>
    </row>
    <row r="1211">
      <c r="A1211" s="4" t="s">
        <v>4235</v>
      </c>
      <c r="B1211" s="4" t="s">
        <v>607</v>
      </c>
      <c r="C1211" s="6" t="s">
        <v>607</v>
      </c>
      <c r="D1211" s="6" t="s">
        <v>607</v>
      </c>
      <c r="E1211" s="6" t="s">
        <v>607</v>
      </c>
      <c r="F1211" s="6" t="s">
        <v>607</v>
      </c>
      <c r="G1211" s="4" t="s">
        <v>607</v>
      </c>
      <c r="H1211" s="4" t="s">
        <v>607</v>
      </c>
      <c r="I1211" s="4" t="s">
        <v>607</v>
      </c>
      <c r="J1211" s="4" t="s">
        <v>607</v>
      </c>
      <c r="K1211" s="4" t="s">
        <v>607</v>
      </c>
      <c r="L1211" s="4" t="s">
        <v>607</v>
      </c>
      <c r="M1211" s="4" t="s">
        <v>607</v>
      </c>
      <c r="N1211" s="4" t="s">
        <v>607</v>
      </c>
      <c r="O1211" s="4"/>
      <c r="P1211" s="4"/>
      <c r="T1211" s="4"/>
    </row>
    <row r="1212">
      <c r="A1212" s="4" t="s">
        <v>4237</v>
      </c>
      <c r="B1212" s="4" t="s">
        <v>607</v>
      </c>
      <c r="C1212" s="6" t="s">
        <v>607</v>
      </c>
      <c r="D1212" s="6" t="s">
        <v>607</v>
      </c>
      <c r="E1212" s="6" t="s">
        <v>607</v>
      </c>
      <c r="F1212" s="6" t="s">
        <v>607</v>
      </c>
      <c r="G1212" s="4" t="s">
        <v>607</v>
      </c>
      <c r="H1212" s="4" t="s">
        <v>607</v>
      </c>
      <c r="I1212" s="4" t="s">
        <v>607</v>
      </c>
      <c r="J1212" s="4" t="s">
        <v>607</v>
      </c>
      <c r="K1212" s="4" t="s">
        <v>607</v>
      </c>
      <c r="L1212" s="4" t="s">
        <v>607</v>
      </c>
      <c r="M1212" s="4" t="s">
        <v>607</v>
      </c>
      <c r="N1212" s="4" t="s">
        <v>607</v>
      </c>
      <c r="O1212" s="4"/>
      <c r="P1212" s="4"/>
      <c r="T1212" s="4"/>
    </row>
    <row r="1213">
      <c r="A1213" s="4" t="s">
        <v>4245</v>
      </c>
      <c r="B1213" s="4" t="s">
        <v>607</v>
      </c>
      <c r="C1213" s="6" t="s">
        <v>607</v>
      </c>
      <c r="D1213" s="6" t="s">
        <v>607</v>
      </c>
      <c r="E1213" s="6" t="s">
        <v>607</v>
      </c>
      <c r="F1213" s="6" t="s">
        <v>607</v>
      </c>
      <c r="G1213" s="4" t="s">
        <v>607</v>
      </c>
      <c r="H1213" s="4" t="s">
        <v>607</v>
      </c>
      <c r="I1213" s="4" t="s">
        <v>607</v>
      </c>
      <c r="J1213" s="4" t="s">
        <v>607</v>
      </c>
      <c r="K1213" s="4" t="s">
        <v>607</v>
      </c>
      <c r="L1213" s="4" t="s">
        <v>607</v>
      </c>
      <c r="M1213" s="4" t="s">
        <v>607</v>
      </c>
      <c r="N1213" s="4" t="s">
        <v>607</v>
      </c>
      <c r="O1213" s="4"/>
      <c r="P1213" s="4"/>
      <c r="T1213" s="4"/>
    </row>
    <row r="1214">
      <c r="A1214" s="4" t="s">
        <v>4248</v>
      </c>
      <c r="B1214" s="4" t="s">
        <v>607</v>
      </c>
      <c r="C1214" s="6" t="s">
        <v>607</v>
      </c>
      <c r="D1214" s="6" t="s">
        <v>607</v>
      </c>
      <c r="E1214" s="6" t="s">
        <v>607</v>
      </c>
      <c r="F1214" s="6" t="s">
        <v>607</v>
      </c>
      <c r="G1214" s="4" t="s">
        <v>607</v>
      </c>
      <c r="H1214" s="4" t="s">
        <v>607</v>
      </c>
      <c r="I1214" s="4" t="s">
        <v>607</v>
      </c>
      <c r="J1214" s="4" t="s">
        <v>607</v>
      </c>
      <c r="K1214" s="4" t="s">
        <v>607</v>
      </c>
      <c r="L1214" s="4" t="s">
        <v>607</v>
      </c>
      <c r="M1214" s="4" t="s">
        <v>607</v>
      </c>
      <c r="N1214" s="4" t="s">
        <v>607</v>
      </c>
      <c r="O1214" s="4"/>
      <c r="P1214" s="4"/>
      <c r="T1214" s="4"/>
    </row>
    <row r="1215">
      <c r="A1215" s="4" t="s">
        <v>4251</v>
      </c>
      <c r="B1215" s="4" t="s">
        <v>607</v>
      </c>
      <c r="C1215" s="6" t="s">
        <v>607</v>
      </c>
      <c r="D1215" s="6" t="s">
        <v>607</v>
      </c>
      <c r="E1215" s="6" t="s">
        <v>607</v>
      </c>
      <c r="F1215" s="6" t="s">
        <v>607</v>
      </c>
      <c r="G1215" s="4" t="s">
        <v>607</v>
      </c>
      <c r="H1215" s="4" t="s">
        <v>607</v>
      </c>
      <c r="I1215" s="4" t="s">
        <v>607</v>
      </c>
      <c r="J1215" s="4" t="s">
        <v>607</v>
      </c>
      <c r="K1215" s="4" t="s">
        <v>607</v>
      </c>
      <c r="L1215" s="4" t="s">
        <v>607</v>
      </c>
      <c r="M1215" s="4" t="s">
        <v>607</v>
      </c>
      <c r="N1215" s="4" t="s">
        <v>607</v>
      </c>
      <c r="O1215" s="4"/>
      <c r="P1215" s="4"/>
      <c r="T1215" s="4"/>
    </row>
    <row r="1216">
      <c r="A1216" s="4" t="s">
        <v>4258</v>
      </c>
      <c r="B1216" s="4" t="s">
        <v>607</v>
      </c>
      <c r="C1216" s="6" t="s">
        <v>607</v>
      </c>
      <c r="D1216" s="6" t="s">
        <v>607</v>
      </c>
      <c r="E1216" s="6" t="s">
        <v>607</v>
      </c>
      <c r="F1216" s="6" t="s">
        <v>607</v>
      </c>
      <c r="G1216" s="4" t="s">
        <v>607</v>
      </c>
      <c r="H1216" s="4" t="s">
        <v>607</v>
      </c>
      <c r="I1216" s="4" t="s">
        <v>607</v>
      </c>
      <c r="J1216" s="4" t="s">
        <v>607</v>
      </c>
      <c r="K1216" s="4" t="s">
        <v>607</v>
      </c>
      <c r="L1216" s="4" t="s">
        <v>607</v>
      </c>
      <c r="M1216" s="4" t="s">
        <v>607</v>
      </c>
      <c r="N1216" s="4" t="s">
        <v>607</v>
      </c>
      <c r="O1216" s="4"/>
      <c r="P1216" s="4"/>
      <c r="T1216" s="4"/>
    </row>
    <row r="1217">
      <c r="A1217" s="4" t="s">
        <v>4261</v>
      </c>
      <c r="B1217" s="4" t="s">
        <v>607</v>
      </c>
      <c r="C1217" s="6" t="s">
        <v>607</v>
      </c>
      <c r="D1217" s="6" t="s">
        <v>607</v>
      </c>
      <c r="E1217" s="6" t="s">
        <v>607</v>
      </c>
      <c r="F1217" s="6" t="s">
        <v>607</v>
      </c>
      <c r="G1217" s="4" t="s">
        <v>607</v>
      </c>
      <c r="H1217" s="4" t="s">
        <v>607</v>
      </c>
      <c r="I1217" s="4" t="s">
        <v>607</v>
      </c>
      <c r="J1217" s="4" t="s">
        <v>607</v>
      </c>
      <c r="K1217" s="4" t="s">
        <v>607</v>
      </c>
      <c r="L1217" s="4" t="s">
        <v>607</v>
      </c>
      <c r="M1217" s="4" t="s">
        <v>607</v>
      </c>
      <c r="N1217" s="4" t="s">
        <v>607</v>
      </c>
      <c r="O1217" s="4"/>
      <c r="P1217" s="4"/>
      <c r="T1217" s="4"/>
    </row>
    <row r="1218">
      <c r="A1218" s="4" t="s">
        <v>4263</v>
      </c>
      <c r="B1218" s="4" t="s">
        <v>607</v>
      </c>
      <c r="C1218" s="6" t="s">
        <v>607</v>
      </c>
      <c r="D1218" s="6" t="s">
        <v>607</v>
      </c>
      <c r="E1218" s="6" t="s">
        <v>607</v>
      </c>
      <c r="F1218" s="6" t="s">
        <v>607</v>
      </c>
      <c r="G1218" s="4" t="s">
        <v>607</v>
      </c>
      <c r="H1218" s="4" t="s">
        <v>607</v>
      </c>
      <c r="I1218" s="4" t="s">
        <v>607</v>
      </c>
      <c r="J1218" s="4" t="s">
        <v>607</v>
      </c>
      <c r="K1218" s="4" t="s">
        <v>607</v>
      </c>
      <c r="L1218" s="4" t="s">
        <v>607</v>
      </c>
      <c r="M1218" s="4" t="s">
        <v>607</v>
      </c>
      <c r="N1218" s="4" t="s">
        <v>607</v>
      </c>
      <c r="O1218" s="4"/>
      <c r="P1218" s="4"/>
      <c r="T1218" s="4"/>
    </row>
    <row r="1219">
      <c r="A1219" s="4" t="s">
        <v>4266</v>
      </c>
      <c r="B1219" s="4" t="s">
        <v>607</v>
      </c>
      <c r="C1219" s="6" t="s">
        <v>607</v>
      </c>
      <c r="D1219" s="6" t="s">
        <v>607</v>
      </c>
      <c r="E1219" s="6" t="s">
        <v>607</v>
      </c>
      <c r="F1219" s="6" t="s">
        <v>607</v>
      </c>
      <c r="G1219" s="4" t="s">
        <v>607</v>
      </c>
      <c r="H1219" s="4" t="s">
        <v>607</v>
      </c>
      <c r="I1219" s="4" t="s">
        <v>607</v>
      </c>
      <c r="J1219" s="4" t="s">
        <v>607</v>
      </c>
      <c r="K1219" s="4" t="s">
        <v>607</v>
      </c>
      <c r="L1219" s="4" t="s">
        <v>607</v>
      </c>
      <c r="M1219" s="4" t="s">
        <v>607</v>
      </c>
      <c r="N1219" s="4" t="s">
        <v>607</v>
      </c>
      <c r="O1219" s="4"/>
      <c r="P1219" s="4"/>
      <c r="T1219" s="4"/>
    </row>
    <row r="1220">
      <c r="A1220" s="4" t="s">
        <v>4269</v>
      </c>
      <c r="B1220" s="4" t="s">
        <v>607</v>
      </c>
      <c r="C1220" s="6" t="s">
        <v>607</v>
      </c>
      <c r="D1220" s="6" t="s">
        <v>607</v>
      </c>
      <c r="E1220" s="6" t="s">
        <v>607</v>
      </c>
      <c r="F1220" s="6" t="s">
        <v>607</v>
      </c>
      <c r="G1220" s="4" t="s">
        <v>607</v>
      </c>
      <c r="H1220" s="4" t="s">
        <v>607</v>
      </c>
      <c r="I1220" s="4" t="s">
        <v>607</v>
      </c>
      <c r="J1220" s="4" t="s">
        <v>607</v>
      </c>
      <c r="K1220" s="4" t="s">
        <v>607</v>
      </c>
      <c r="L1220" s="4" t="s">
        <v>607</v>
      </c>
      <c r="M1220" s="4" t="s">
        <v>607</v>
      </c>
      <c r="N1220" s="4" t="s">
        <v>607</v>
      </c>
      <c r="O1220" s="4"/>
      <c r="P1220" s="4"/>
      <c r="T1220" s="4"/>
    </row>
    <row r="1221">
      <c r="A1221" s="4" t="s">
        <v>4271</v>
      </c>
      <c r="B1221" s="4" t="s">
        <v>607</v>
      </c>
      <c r="C1221" s="6" t="s">
        <v>607</v>
      </c>
      <c r="D1221" s="6" t="s">
        <v>607</v>
      </c>
      <c r="E1221" s="6" t="s">
        <v>607</v>
      </c>
      <c r="F1221" s="6" t="s">
        <v>607</v>
      </c>
      <c r="G1221" s="4" t="s">
        <v>607</v>
      </c>
      <c r="H1221" s="4" t="s">
        <v>607</v>
      </c>
      <c r="I1221" s="4" t="s">
        <v>607</v>
      </c>
      <c r="J1221" s="4" t="s">
        <v>607</v>
      </c>
      <c r="K1221" s="4" t="s">
        <v>607</v>
      </c>
      <c r="L1221" s="4" t="s">
        <v>607</v>
      </c>
      <c r="M1221" s="4" t="s">
        <v>607</v>
      </c>
      <c r="N1221" s="4" t="s">
        <v>607</v>
      </c>
      <c r="O1221" s="4"/>
      <c r="P1221" s="4"/>
      <c r="T1221" s="4"/>
    </row>
    <row r="1222">
      <c r="A1222" s="4" t="s">
        <v>4278</v>
      </c>
      <c r="B1222" s="4" t="s">
        <v>607</v>
      </c>
      <c r="C1222" s="6" t="s">
        <v>607</v>
      </c>
      <c r="D1222" s="6" t="s">
        <v>607</v>
      </c>
      <c r="E1222" s="6" t="s">
        <v>607</v>
      </c>
      <c r="F1222" s="6" t="s">
        <v>607</v>
      </c>
      <c r="G1222" s="4" t="s">
        <v>607</v>
      </c>
      <c r="H1222" s="4" t="s">
        <v>607</v>
      </c>
      <c r="I1222" s="4" t="s">
        <v>607</v>
      </c>
      <c r="J1222" s="4" t="s">
        <v>607</v>
      </c>
      <c r="K1222" s="4" t="s">
        <v>607</v>
      </c>
      <c r="L1222" s="4" t="s">
        <v>607</v>
      </c>
      <c r="M1222" s="4" t="s">
        <v>607</v>
      </c>
      <c r="N1222" s="4" t="s">
        <v>607</v>
      </c>
      <c r="O1222" s="4"/>
      <c r="P1222" s="4"/>
      <c r="T1222" s="4"/>
    </row>
    <row r="1223">
      <c r="A1223" s="4" t="s">
        <v>4281</v>
      </c>
      <c r="B1223" s="4" t="s">
        <v>607</v>
      </c>
      <c r="C1223" s="6" t="s">
        <v>607</v>
      </c>
      <c r="D1223" s="6" t="s">
        <v>607</v>
      </c>
      <c r="E1223" s="6" t="s">
        <v>607</v>
      </c>
      <c r="F1223" s="6" t="s">
        <v>607</v>
      </c>
      <c r="G1223" s="4" t="s">
        <v>607</v>
      </c>
      <c r="H1223" s="4" t="s">
        <v>607</v>
      </c>
      <c r="I1223" s="4" t="s">
        <v>607</v>
      </c>
      <c r="J1223" s="4" t="s">
        <v>607</v>
      </c>
      <c r="K1223" s="4" t="s">
        <v>607</v>
      </c>
      <c r="L1223" s="4" t="s">
        <v>607</v>
      </c>
      <c r="M1223" s="4" t="s">
        <v>607</v>
      </c>
      <c r="N1223" s="4" t="s">
        <v>607</v>
      </c>
      <c r="O1223" s="4"/>
      <c r="P1223" s="4"/>
      <c r="T1223" s="4"/>
    </row>
    <row r="1224">
      <c r="A1224" s="4" t="s">
        <v>4283</v>
      </c>
      <c r="B1224" s="4" t="s">
        <v>607</v>
      </c>
      <c r="C1224" s="6" t="s">
        <v>607</v>
      </c>
      <c r="D1224" s="6" t="s">
        <v>607</v>
      </c>
      <c r="E1224" s="6" t="s">
        <v>607</v>
      </c>
      <c r="F1224" s="6" t="s">
        <v>607</v>
      </c>
      <c r="G1224" s="4" t="s">
        <v>607</v>
      </c>
      <c r="H1224" s="4" t="s">
        <v>607</v>
      </c>
      <c r="I1224" s="4" t="s">
        <v>607</v>
      </c>
      <c r="J1224" s="4" t="s">
        <v>607</v>
      </c>
      <c r="K1224" s="4" t="s">
        <v>607</v>
      </c>
      <c r="L1224" s="4" t="s">
        <v>607</v>
      </c>
      <c r="M1224" s="4" t="s">
        <v>607</v>
      </c>
      <c r="N1224" s="4" t="s">
        <v>607</v>
      </c>
      <c r="O1224" s="4"/>
      <c r="P1224" s="4"/>
      <c r="T1224" s="4"/>
    </row>
    <row r="1225">
      <c r="A1225" s="4" t="s">
        <v>4290</v>
      </c>
      <c r="B1225" s="4" t="s">
        <v>607</v>
      </c>
      <c r="C1225" s="6" t="s">
        <v>607</v>
      </c>
      <c r="D1225" s="6" t="s">
        <v>607</v>
      </c>
      <c r="E1225" s="6" t="s">
        <v>607</v>
      </c>
      <c r="F1225" s="6" t="s">
        <v>607</v>
      </c>
      <c r="G1225" s="4" t="s">
        <v>607</v>
      </c>
      <c r="H1225" s="4" t="s">
        <v>607</v>
      </c>
      <c r="I1225" s="4" t="s">
        <v>607</v>
      </c>
      <c r="J1225" s="4" t="s">
        <v>607</v>
      </c>
      <c r="K1225" s="4" t="s">
        <v>607</v>
      </c>
      <c r="L1225" s="4" t="s">
        <v>607</v>
      </c>
      <c r="M1225" s="4" t="s">
        <v>607</v>
      </c>
      <c r="N1225" s="4" t="s">
        <v>607</v>
      </c>
      <c r="O1225" s="4"/>
      <c r="P1225" s="4"/>
      <c r="T1225" s="4"/>
    </row>
    <row r="1226">
      <c r="A1226" s="4" t="s">
        <v>4292</v>
      </c>
      <c r="B1226" s="4" t="s">
        <v>607</v>
      </c>
      <c r="C1226" s="6" t="s">
        <v>607</v>
      </c>
      <c r="D1226" s="6" t="s">
        <v>607</v>
      </c>
      <c r="E1226" s="6" t="s">
        <v>607</v>
      </c>
      <c r="F1226" s="6" t="s">
        <v>607</v>
      </c>
      <c r="G1226" s="4" t="s">
        <v>607</v>
      </c>
      <c r="H1226" s="4" t="s">
        <v>607</v>
      </c>
      <c r="I1226" s="4" t="s">
        <v>607</v>
      </c>
      <c r="J1226" s="4" t="s">
        <v>607</v>
      </c>
      <c r="K1226" s="4" t="s">
        <v>607</v>
      </c>
      <c r="L1226" s="4" t="s">
        <v>607</v>
      </c>
      <c r="M1226" s="4" t="s">
        <v>607</v>
      </c>
      <c r="N1226" s="4" t="s">
        <v>607</v>
      </c>
      <c r="O1226" s="4"/>
      <c r="P1226" s="4"/>
      <c r="T1226" s="4"/>
    </row>
    <row r="1227">
      <c r="A1227" s="4" t="s">
        <v>4295</v>
      </c>
      <c r="B1227" s="4" t="s">
        <v>607</v>
      </c>
      <c r="C1227" s="6" t="s">
        <v>607</v>
      </c>
      <c r="D1227" s="6" t="s">
        <v>607</v>
      </c>
      <c r="E1227" s="6" t="s">
        <v>607</v>
      </c>
      <c r="F1227" s="6" t="s">
        <v>607</v>
      </c>
      <c r="G1227" s="4" t="s">
        <v>607</v>
      </c>
      <c r="H1227" s="4" t="s">
        <v>607</v>
      </c>
      <c r="I1227" s="4" t="s">
        <v>607</v>
      </c>
      <c r="J1227" s="4" t="s">
        <v>607</v>
      </c>
      <c r="K1227" s="4" t="s">
        <v>607</v>
      </c>
      <c r="L1227" s="4" t="s">
        <v>607</v>
      </c>
      <c r="M1227" s="4" t="s">
        <v>607</v>
      </c>
      <c r="N1227" s="4" t="s">
        <v>607</v>
      </c>
      <c r="O1227" s="4"/>
      <c r="P1227" s="4"/>
      <c r="T1227" s="4"/>
    </row>
    <row r="1228">
      <c r="A1228" s="4" t="s">
        <v>4303</v>
      </c>
      <c r="B1228" s="4" t="s">
        <v>607</v>
      </c>
      <c r="C1228" s="6" t="s">
        <v>607</v>
      </c>
      <c r="D1228" s="6" t="s">
        <v>607</v>
      </c>
      <c r="E1228" s="6" t="s">
        <v>607</v>
      </c>
      <c r="F1228" s="6" t="s">
        <v>607</v>
      </c>
      <c r="G1228" s="4" t="s">
        <v>607</v>
      </c>
      <c r="H1228" s="4" t="s">
        <v>607</v>
      </c>
      <c r="I1228" s="4" t="s">
        <v>607</v>
      </c>
      <c r="J1228" s="4" t="s">
        <v>607</v>
      </c>
      <c r="K1228" s="4" t="s">
        <v>607</v>
      </c>
      <c r="L1228" s="4" t="s">
        <v>607</v>
      </c>
      <c r="M1228" s="4" t="s">
        <v>607</v>
      </c>
      <c r="N1228" s="4" t="s">
        <v>607</v>
      </c>
      <c r="O1228" s="4"/>
      <c r="P1228" s="4"/>
      <c r="T1228" s="4"/>
    </row>
    <row r="1229">
      <c r="A1229" s="4" t="s">
        <v>4307</v>
      </c>
      <c r="B1229" s="4" t="s">
        <v>607</v>
      </c>
      <c r="C1229" s="6" t="s">
        <v>607</v>
      </c>
      <c r="D1229" s="6" t="s">
        <v>607</v>
      </c>
      <c r="E1229" s="6" t="s">
        <v>607</v>
      </c>
      <c r="F1229" s="6" t="s">
        <v>607</v>
      </c>
      <c r="G1229" s="4" t="s">
        <v>607</v>
      </c>
      <c r="H1229" s="4" t="s">
        <v>607</v>
      </c>
      <c r="I1229" s="4" t="s">
        <v>607</v>
      </c>
      <c r="J1229" s="4" t="s">
        <v>607</v>
      </c>
      <c r="K1229" s="4" t="s">
        <v>607</v>
      </c>
      <c r="L1229" s="4" t="s">
        <v>607</v>
      </c>
      <c r="M1229" s="4" t="s">
        <v>607</v>
      </c>
      <c r="N1229" s="4" t="s">
        <v>607</v>
      </c>
      <c r="O1229" s="4"/>
      <c r="P1229" s="4"/>
      <c r="T1229" s="4"/>
    </row>
    <row r="1230">
      <c r="A1230" s="4" t="s">
        <v>4310</v>
      </c>
      <c r="B1230" s="4" t="s">
        <v>607</v>
      </c>
      <c r="C1230" s="6" t="s">
        <v>607</v>
      </c>
      <c r="D1230" s="6" t="s">
        <v>607</v>
      </c>
      <c r="E1230" s="6" t="s">
        <v>607</v>
      </c>
      <c r="F1230" s="6" t="s">
        <v>607</v>
      </c>
      <c r="G1230" s="4" t="s">
        <v>607</v>
      </c>
      <c r="H1230" s="4" t="s">
        <v>607</v>
      </c>
      <c r="I1230" s="4" t="s">
        <v>607</v>
      </c>
      <c r="J1230" s="4" t="s">
        <v>607</v>
      </c>
      <c r="K1230" s="4" t="s">
        <v>607</v>
      </c>
      <c r="L1230" s="4" t="s">
        <v>607</v>
      </c>
      <c r="M1230" s="4" t="s">
        <v>607</v>
      </c>
      <c r="N1230" s="4" t="s">
        <v>607</v>
      </c>
      <c r="O1230" s="4"/>
      <c r="P1230" s="4"/>
      <c r="T1230" s="4"/>
    </row>
    <row r="1231">
      <c r="A1231" s="4" t="s">
        <v>4314</v>
      </c>
      <c r="B1231" s="4" t="s">
        <v>607</v>
      </c>
      <c r="C1231" s="6" t="s">
        <v>607</v>
      </c>
      <c r="D1231" s="6" t="s">
        <v>607</v>
      </c>
      <c r="E1231" s="6" t="s">
        <v>607</v>
      </c>
      <c r="F1231" s="6" t="s">
        <v>607</v>
      </c>
      <c r="G1231" s="4" t="s">
        <v>607</v>
      </c>
      <c r="H1231" s="4" t="s">
        <v>607</v>
      </c>
      <c r="I1231" s="4" t="s">
        <v>607</v>
      </c>
      <c r="J1231" s="4" t="s">
        <v>607</v>
      </c>
      <c r="K1231" s="4" t="s">
        <v>607</v>
      </c>
      <c r="L1231" s="4" t="s">
        <v>607</v>
      </c>
      <c r="M1231" s="4" t="s">
        <v>607</v>
      </c>
      <c r="N1231" s="4" t="s">
        <v>607</v>
      </c>
      <c r="O1231" s="4"/>
      <c r="P1231" s="4"/>
      <c r="T1231" s="4"/>
    </row>
    <row r="1232">
      <c r="A1232" s="4" t="s">
        <v>4317</v>
      </c>
      <c r="B1232" s="4" t="s">
        <v>607</v>
      </c>
      <c r="C1232" s="6" t="s">
        <v>607</v>
      </c>
      <c r="D1232" s="6" t="s">
        <v>607</v>
      </c>
      <c r="E1232" s="6" t="s">
        <v>607</v>
      </c>
      <c r="F1232" s="6" t="s">
        <v>607</v>
      </c>
      <c r="G1232" s="4" t="s">
        <v>607</v>
      </c>
      <c r="H1232" s="4" t="s">
        <v>607</v>
      </c>
      <c r="I1232" s="4" t="s">
        <v>607</v>
      </c>
      <c r="J1232" s="4" t="s">
        <v>607</v>
      </c>
      <c r="K1232" s="4" t="s">
        <v>607</v>
      </c>
      <c r="L1232" s="4" t="s">
        <v>607</v>
      </c>
      <c r="M1232" s="4" t="s">
        <v>607</v>
      </c>
      <c r="N1232" s="4" t="s">
        <v>607</v>
      </c>
      <c r="O1232" s="4"/>
      <c r="P1232" s="4"/>
      <c r="T1232" s="4"/>
    </row>
    <row r="1233">
      <c r="A1233" s="4" t="s">
        <v>4322</v>
      </c>
      <c r="B1233" s="4" t="s">
        <v>607</v>
      </c>
      <c r="C1233" s="6" t="s">
        <v>607</v>
      </c>
      <c r="D1233" s="6" t="s">
        <v>607</v>
      </c>
      <c r="E1233" s="6" t="s">
        <v>607</v>
      </c>
      <c r="F1233" s="6" t="s">
        <v>607</v>
      </c>
      <c r="G1233" s="4" t="s">
        <v>607</v>
      </c>
      <c r="H1233" s="4" t="s">
        <v>607</v>
      </c>
      <c r="I1233" s="4" t="s">
        <v>607</v>
      </c>
      <c r="J1233" s="4" t="s">
        <v>607</v>
      </c>
      <c r="K1233" s="4" t="s">
        <v>607</v>
      </c>
      <c r="L1233" s="4" t="s">
        <v>607</v>
      </c>
      <c r="M1233" s="4" t="s">
        <v>607</v>
      </c>
      <c r="N1233" s="4" t="s">
        <v>607</v>
      </c>
      <c r="O1233" s="4"/>
      <c r="P1233" s="4"/>
      <c r="T1233" s="4"/>
    </row>
    <row r="1234">
      <c r="A1234" s="4" t="s">
        <v>4329</v>
      </c>
      <c r="B1234" s="4" t="s">
        <v>607</v>
      </c>
      <c r="C1234" s="6" t="s">
        <v>607</v>
      </c>
      <c r="D1234" s="6" t="s">
        <v>607</v>
      </c>
      <c r="E1234" s="6" t="s">
        <v>607</v>
      </c>
      <c r="F1234" s="6" t="s">
        <v>607</v>
      </c>
      <c r="G1234" s="4" t="s">
        <v>607</v>
      </c>
      <c r="H1234" s="4" t="s">
        <v>607</v>
      </c>
      <c r="I1234" s="4" t="s">
        <v>607</v>
      </c>
      <c r="J1234" s="4" t="s">
        <v>607</v>
      </c>
      <c r="K1234" s="4" t="s">
        <v>607</v>
      </c>
      <c r="L1234" s="4" t="s">
        <v>607</v>
      </c>
      <c r="M1234" s="4" t="s">
        <v>607</v>
      </c>
      <c r="N1234" s="4" t="s">
        <v>607</v>
      </c>
      <c r="O1234" s="4"/>
      <c r="P1234" s="4"/>
      <c r="T1234" s="4"/>
    </row>
    <row r="1235">
      <c r="A1235" s="4" t="s">
        <v>4333</v>
      </c>
      <c r="B1235" s="4" t="s">
        <v>607</v>
      </c>
      <c r="C1235" s="6" t="s">
        <v>607</v>
      </c>
      <c r="D1235" s="6" t="s">
        <v>607</v>
      </c>
      <c r="E1235" s="6" t="s">
        <v>607</v>
      </c>
      <c r="F1235" s="6" t="s">
        <v>607</v>
      </c>
      <c r="G1235" s="4" t="s">
        <v>607</v>
      </c>
      <c r="H1235" s="4" t="s">
        <v>607</v>
      </c>
      <c r="I1235" s="4" t="s">
        <v>607</v>
      </c>
      <c r="J1235" s="4" t="s">
        <v>607</v>
      </c>
      <c r="K1235" s="4" t="s">
        <v>607</v>
      </c>
      <c r="L1235" s="4" t="s">
        <v>607</v>
      </c>
      <c r="M1235" s="4" t="s">
        <v>607</v>
      </c>
      <c r="N1235" s="4" t="s">
        <v>607</v>
      </c>
      <c r="O1235" s="4"/>
      <c r="P1235" s="4"/>
      <c r="T1235" s="4"/>
    </row>
    <row r="1236">
      <c r="A1236" s="4" t="s">
        <v>4337</v>
      </c>
      <c r="B1236" s="4" t="s">
        <v>607</v>
      </c>
      <c r="C1236" s="6" t="s">
        <v>607</v>
      </c>
      <c r="D1236" s="6" t="s">
        <v>607</v>
      </c>
      <c r="E1236" s="6" t="s">
        <v>607</v>
      </c>
      <c r="F1236" s="6" t="s">
        <v>607</v>
      </c>
      <c r="G1236" s="4" t="s">
        <v>607</v>
      </c>
      <c r="H1236" s="4" t="s">
        <v>607</v>
      </c>
      <c r="I1236" s="4" t="s">
        <v>607</v>
      </c>
      <c r="J1236" s="4" t="s">
        <v>607</v>
      </c>
      <c r="K1236" s="4" t="s">
        <v>607</v>
      </c>
      <c r="L1236" s="4" t="s">
        <v>607</v>
      </c>
      <c r="M1236" s="4" t="s">
        <v>607</v>
      </c>
      <c r="N1236" s="4" t="s">
        <v>607</v>
      </c>
      <c r="O1236" s="4"/>
      <c r="P1236" s="4"/>
      <c r="T1236" s="4"/>
    </row>
    <row r="1237">
      <c r="A1237" s="4" t="s">
        <v>4346</v>
      </c>
      <c r="B1237" s="4" t="s">
        <v>607</v>
      </c>
      <c r="C1237" s="6" t="s">
        <v>607</v>
      </c>
      <c r="D1237" s="6" t="s">
        <v>607</v>
      </c>
      <c r="E1237" s="6" t="s">
        <v>607</v>
      </c>
      <c r="F1237" s="6" t="s">
        <v>607</v>
      </c>
      <c r="G1237" s="4" t="s">
        <v>607</v>
      </c>
      <c r="H1237" s="4" t="s">
        <v>607</v>
      </c>
      <c r="I1237" s="4" t="s">
        <v>607</v>
      </c>
      <c r="J1237" s="4" t="s">
        <v>607</v>
      </c>
      <c r="K1237" s="4" t="s">
        <v>607</v>
      </c>
      <c r="L1237" s="4" t="s">
        <v>607</v>
      </c>
      <c r="M1237" s="4" t="s">
        <v>607</v>
      </c>
      <c r="N1237" s="4" t="s">
        <v>607</v>
      </c>
      <c r="O1237" s="4"/>
      <c r="P1237" s="4"/>
      <c r="T1237" s="4"/>
    </row>
    <row r="1238">
      <c r="A1238" s="4" t="s">
        <v>4350</v>
      </c>
      <c r="B1238" s="4" t="s">
        <v>607</v>
      </c>
      <c r="C1238" s="6" t="s">
        <v>607</v>
      </c>
      <c r="D1238" s="6" t="s">
        <v>607</v>
      </c>
      <c r="E1238" s="6" t="s">
        <v>607</v>
      </c>
      <c r="F1238" s="6" t="s">
        <v>607</v>
      </c>
      <c r="G1238" s="4" t="s">
        <v>607</v>
      </c>
      <c r="H1238" s="4" t="s">
        <v>607</v>
      </c>
      <c r="I1238" s="4" t="s">
        <v>607</v>
      </c>
      <c r="J1238" s="4" t="s">
        <v>607</v>
      </c>
      <c r="K1238" s="4" t="s">
        <v>607</v>
      </c>
      <c r="L1238" s="4" t="s">
        <v>607</v>
      </c>
      <c r="M1238" s="4" t="s">
        <v>607</v>
      </c>
      <c r="N1238" s="4" t="s">
        <v>607</v>
      </c>
      <c r="O1238" s="4"/>
      <c r="P1238" s="4"/>
      <c r="T1238" s="4"/>
    </row>
    <row r="1239">
      <c r="A1239" s="4" t="s">
        <v>4353</v>
      </c>
      <c r="B1239" s="4" t="s">
        <v>607</v>
      </c>
      <c r="C1239" s="6" t="s">
        <v>607</v>
      </c>
      <c r="D1239" s="6" t="s">
        <v>607</v>
      </c>
      <c r="E1239" s="6" t="s">
        <v>607</v>
      </c>
      <c r="F1239" s="6" t="s">
        <v>607</v>
      </c>
      <c r="G1239" s="4" t="s">
        <v>607</v>
      </c>
      <c r="H1239" s="4" t="s">
        <v>607</v>
      </c>
      <c r="I1239" s="4" t="s">
        <v>607</v>
      </c>
      <c r="J1239" s="4" t="s">
        <v>607</v>
      </c>
      <c r="K1239" s="4" t="s">
        <v>607</v>
      </c>
      <c r="L1239" s="4" t="s">
        <v>607</v>
      </c>
      <c r="M1239" s="4" t="s">
        <v>607</v>
      </c>
      <c r="N1239" s="4" t="s">
        <v>607</v>
      </c>
      <c r="O1239" s="4"/>
      <c r="P1239" s="4"/>
      <c r="T1239" s="4"/>
    </row>
    <row r="1240">
      <c r="A1240" s="4" t="s">
        <v>4357</v>
      </c>
      <c r="B1240" s="4" t="s">
        <v>607</v>
      </c>
      <c r="C1240" s="6" t="s">
        <v>607</v>
      </c>
      <c r="D1240" s="6" t="s">
        <v>607</v>
      </c>
      <c r="E1240" s="6" t="s">
        <v>607</v>
      </c>
      <c r="F1240" s="6" t="s">
        <v>607</v>
      </c>
      <c r="G1240" s="4" t="s">
        <v>607</v>
      </c>
      <c r="H1240" s="4" t="s">
        <v>607</v>
      </c>
      <c r="I1240" s="4" t="s">
        <v>607</v>
      </c>
      <c r="J1240" s="4" t="s">
        <v>607</v>
      </c>
      <c r="K1240" s="4" t="s">
        <v>607</v>
      </c>
      <c r="L1240" s="4" t="s">
        <v>607</v>
      </c>
      <c r="M1240" s="4" t="s">
        <v>607</v>
      </c>
      <c r="N1240" s="4" t="s">
        <v>607</v>
      </c>
      <c r="O1240" s="4"/>
      <c r="P1240" s="4"/>
      <c r="T1240" s="4"/>
    </row>
    <row r="1241">
      <c r="A1241" s="4" t="s">
        <v>4361</v>
      </c>
      <c r="B1241" s="4" t="s">
        <v>607</v>
      </c>
      <c r="C1241" s="6" t="s">
        <v>607</v>
      </c>
      <c r="D1241" s="6" t="s">
        <v>607</v>
      </c>
      <c r="E1241" s="6" t="s">
        <v>607</v>
      </c>
      <c r="F1241" s="6" t="s">
        <v>607</v>
      </c>
      <c r="G1241" s="4" t="s">
        <v>607</v>
      </c>
      <c r="H1241" s="4" t="s">
        <v>607</v>
      </c>
      <c r="I1241" s="4" t="s">
        <v>607</v>
      </c>
      <c r="J1241" s="4" t="s">
        <v>607</v>
      </c>
      <c r="K1241" s="4" t="s">
        <v>607</v>
      </c>
      <c r="L1241" s="4" t="s">
        <v>607</v>
      </c>
      <c r="M1241" s="4" t="s">
        <v>607</v>
      </c>
      <c r="N1241" s="4" t="s">
        <v>607</v>
      </c>
      <c r="O1241" s="4"/>
      <c r="P1241" s="4"/>
      <c r="T1241" s="4"/>
    </row>
    <row r="1242">
      <c r="A1242" s="4" t="s">
        <v>4364</v>
      </c>
      <c r="B1242" s="4" t="s">
        <v>607</v>
      </c>
      <c r="C1242" s="6" t="s">
        <v>607</v>
      </c>
      <c r="D1242" s="6" t="s">
        <v>607</v>
      </c>
      <c r="E1242" s="6" t="s">
        <v>607</v>
      </c>
      <c r="F1242" s="6" t="s">
        <v>607</v>
      </c>
      <c r="G1242" s="4" t="s">
        <v>607</v>
      </c>
      <c r="H1242" s="4" t="s">
        <v>607</v>
      </c>
      <c r="I1242" s="4" t="s">
        <v>607</v>
      </c>
      <c r="J1242" s="4" t="s">
        <v>607</v>
      </c>
      <c r="K1242" s="4" t="s">
        <v>607</v>
      </c>
      <c r="L1242" s="4" t="s">
        <v>607</v>
      </c>
      <c r="M1242" s="4" t="s">
        <v>607</v>
      </c>
      <c r="N1242" s="4" t="s">
        <v>607</v>
      </c>
      <c r="O1242" s="4"/>
      <c r="P1242" s="4"/>
      <c r="T1242" s="4"/>
    </row>
    <row r="1243">
      <c r="A1243" s="4" t="s">
        <v>4368</v>
      </c>
      <c r="B1243" s="4" t="s">
        <v>607</v>
      </c>
      <c r="C1243" s="6" t="s">
        <v>607</v>
      </c>
      <c r="D1243" s="6" t="s">
        <v>607</v>
      </c>
      <c r="E1243" s="6" t="s">
        <v>607</v>
      </c>
      <c r="F1243" s="6" t="s">
        <v>607</v>
      </c>
      <c r="G1243" s="4" t="s">
        <v>607</v>
      </c>
      <c r="H1243" s="4" t="s">
        <v>607</v>
      </c>
      <c r="I1243" s="4" t="s">
        <v>607</v>
      </c>
      <c r="J1243" s="4" t="s">
        <v>607</v>
      </c>
      <c r="K1243" s="4" t="s">
        <v>607</v>
      </c>
      <c r="L1243" s="4" t="s">
        <v>607</v>
      </c>
      <c r="M1243" s="4" t="s">
        <v>607</v>
      </c>
      <c r="N1243" s="4" t="s">
        <v>607</v>
      </c>
      <c r="O1243" s="4"/>
      <c r="P1243" s="4"/>
      <c r="T1243" s="4"/>
    </row>
    <row r="1244">
      <c r="A1244" s="4" t="s">
        <v>4372</v>
      </c>
      <c r="B1244" s="4" t="s">
        <v>607</v>
      </c>
      <c r="C1244" s="6" t="s">
        <v>607</v>
      </c>
      <c r="D1244" s="6" t="s">
        <v>607</v>
      </c>
      <c r="E1244" s="6" t="s">
        <v>607</v>
      </c>
      <c r="F1244" s="6" t="s">
        <v>607</v>
      </c>
      <c r="G1244" s="4" t="s">
        <v>607</v>
      </c>
      <c r="H1244" s="4" t="s">
        <v>607</v>
      </c>
      <c r="I1244" s="4" t="s">
        <v>607</v>
      </c>
      <c r="J1244" s="4" t="s">
        <v>607</v>
      </c>
      <c r="K1244" s="4" t="s">
        <v>607</v>
      </c>
      <c r="L1244" s="4" t="s">
        <v>607</v>
      </c>
      <c r="M1244" s="4" t="s">
        <v>607</v>
      </c>
      <c r="N1244" s="4" t="s">
        <v>607</v>
      </c>
      <c r="O1244" s="4"/>
      <c r="P1244" s="4"/>
      <c r="T1244" s="4"/>
    </row>
    <row r="1245">
      <c r="A1245" s="4" t="s">
        <v>4376</v>
      </c>
      <c r="B1245" s="4" t="s">
        <v>607</v>
      </c>
      <c r="C1245" s="6" t="s">
        <v>607</v>
      </c>
      <c r="D1245" s="6" t="s">
        <v>607</v>
      </c>
      <c r="E1245" s="6" t="s">
        <v>607</v>
      </c>
      <c r="F1245" s="6" t="s">
        <v>607</v>
      </c>
      <c r="G1245" s="4" t="s">
        <v>607</v>
      </c>
      <c r="H1245" s="4" t="s">
        <v>607</v>
      </c>
      <c r="I1245" s="4" t="s">
        <v>607</v>
      </c>
      <c r="J1245" s="4" t="s">
        <v>607</v>
      </c>
      <c r="K1245" s="4" t="s">
        <v>607</v>
      </c>
      <c r="L1245" s="4" t="s">
        <v>607</v>
      </c>
      <c r="M1245" s="4" t="s">
        <v>607</v>
      </c>
      <c r="N1245" s="4" t="s">
        <v>607</v>
      </c>
      <c r="O1245" s="4"/>
      <c r="P1245" s="4"/>
      <c r="T1245" s="4"/>
    </row>
    <row r="1246">
      <c r="A1246" s="4" t="s">
        <v>4379</v>
      </c>
      <c r="B1246" s="4" t="s">
        <v>607</v>
      </c>
      <c r="C1246" s="6" t="s">
        <v>607</v>
      </c>
      <c r="D1246" s="6" t="s">
        <v>607</v>
      </c>
      <c r="E1246" s="6" t="s">
        <v>607</v>
      </c>
      <c r="F1246" s="6" t="s">
        <v>607</v>
      </c>
      <c r="G1246" s="4" t="s">
        <v>607</v>
      </c>
      <c r="H1246" s="4" t="s">
        <v>607</v>
      </c>
      <c r="I1246" s="4" t="s">
        <v>607</v>
      </c>
      <c r="J1246" s="4" t="s">
        <v>607</v>
      </c>
      <c r="K1246" s="4" t="s">
        <v>607</v>
      </c>
      <c r="L1246" s="4" t="s">
        <v>607</v>
      </c>
      <c r="M1246" s="4" t="s">
        <v>607</v>
      </c>
      <c r="N1246" s="4" t="s">
        <v>607</v>
      </c>
      <c r="O1246" s="4"/>
      <c r="P1246" s="4"/>
      <c r="T1246" s="4"/>
    </row>
    <row r="1247">
      <c r="A1247" s="4" t="s">
        <v>4382</v>
      </c>
      <c r="B1247" s="4" t="s">
        <v>607</v>
      </c>
      <c r="C1247" s="6" t="s">
        <v>607</v>
      </c>
      <c r="D1247" s="6" t="s">
        <v>607</v>
      </c>
      <c r="E1247" s="6" t="s">
        <v>607</v>
      </c>
      <c r="F1247" s="6" t="s">
        <v>607</v>
      </c>
      <c r="G1247" s="4" t="s">
        <v>607</v>
      </c>
      <c r="H1247" s="4" t="s">
        <v>607</v>
      </c>
      <c r="I1247" s="4" t="s">
        <v>607</v>
      </c>
      <c r="J1247" s="4" t="s">
        <v>607</v>
      </c>
      <c r="K1247" s="4" t="s">
        <v>607</v>
      </c>
      <c r="L1247" s="4" t="s">
        <v>607</v>
      </c>
      <c r="M1247" s="4" t="s">
        <v>607</v>
      </c>
      <c r="N1247" s="4" t="s">
        <v>607</v>
      </c>
      <c r="O1247" s="4"/>
      <c r="P1247" s="4"/>
      <c r="T1247" s="4"/>
    </row>
    <row r="1248">
      <c r="A1248" s="4" t="s">
        <v>4386</v>
      </c>
      <c r="B1248" s="4" t="s">
        <v>607</v>
      </c>
      <c r="C1248" s="6" t="s">
        <v>607</v>
      </c>
      <c r="D1248" s="6" t="s">
        <v>607</v>
      </c>
      <c r="E1248" s="6" t="s">
        <v>607</v>
      </c>
      <c r="F1248" s="6" t="s">
        <v>607</v>
      </c>
      <c r="G1248" s="4" t="s">
        <v>607</v>
      </c>
      <c r="H1248" s="4" t="s">
        <v>607</v>
      </c>
      <c r="I1248" s="4" t="s">
        <v>607</v>
      </c>
      <c r="J1248" s="4" t="s">
        <v>607</v>
      </c>
      <c r="K1248" s="4" t="s">
        <v>607</v>
      </c>
      <c r="L1248" s="4" t="s">
        <v>607</v>
      </c>
      <c r="M1248" s="4" t="s">
        <v>607</v>
      </c>
      <c r="N1248" s="4" t="s">
        <v>607</v>
      </c>
      <c r="O1248" s="4"/>
      <c r="P1248" s="4"/>
      <c r="T1248" s="4"/>
    </row>
    <row r="1249">
      <c r="A1249" s="4" t="s">
        <v>4389</v>
      </c>
      <c r="B1249" s="4" t="s">
        <v>607</v>
      </c>
      <c r="C1249" s="6" t="s">
        <v>607</v>
      </c>
      <c r="D1249" s="6" t="s">
        <v>607</v>
      </c>
      <c r="E1249" s="6" t="s">
        <v>607</v>
      </c>
      <c r="F1249" s="6" t="s">
        <v>607</v>
      </c>
      <c r="G1249" s="4" t="s">
        <v>607</v>
      </c>
      <c r="H1249" s="4" t="s">
        <v>607</v>
      </c>
      <c r="I1249" s="4" t="s">
        <v>607</v>
      </c>
      <c r="J1249" s="4" t="s">
        <v>607</v>
      </c>
      <c r="K1249" s="4" t="s">
        <v>607</v>
      </c>
      <c r="L1249" s="4" t="s">
        <v>607</v>
      </c>
      <c r="M1249" s="4" t="s">
        <v>607</v>
      </c>
      <c r="N1249" s="4" t="s">
        <v>607</v>
      </c>
      <c r="O1249" s="4"/>
      <c r="P1249" s="4"/>
      <c r="T1249" s="4"/>
    </row>
    <row r="1250">
      <c r="A1250" s="4" t="s">
        <v>4393</v>
      </c>
      <c r="B1250" s="4" t="s">
        <v>607</v>
      </c>
      <c r="C1250" s="6" t="s">
        <v>607</v>
      </c>
      <c r="D1250" s="6" t="s">
        <v>607</v>
      </c>
      <c r="E1250" s="6" t="s">
        <v>607</v>
      </c>
      <c r="F1250" s="6" t="s">
        <v>607</v>
      </c>
      <c r="G1250" s="4" t="s">
        <v>607</v>
      </c>
      <c r="H1250" s="4" t="s">
        <v>607</v>
      </c>
      <c r="I1250" s="4" t="s">
        <v>607</v>
      </c>
      <c r="J1250" s="4" t="s">
        <v>607</v>
      </c>
      <c r="K1250" s="4" t="s">
        <v>607</v>
      </c>
      <c r="L1250" s="4" t="s">
        <v>607</v>
      </c>
      <c r="M1250" s="4" t="s">
        <v>607</v>
      </c>
      <c r="N1250" s="4" t="s">
        <v>607</v>
      </c>
      <c r="O1250" s="4"/>
      <c r="P1250" s="4"/>
      <c r="T1250" s="4"/>
    </row>
    <row r="1251">
      <c r="A1251" s="4" t="s">
        <v>4397</v>
      </c>
      <c r="B1251" s="4" t="s">
        <v>607</v>
      </c>
      <c r="C1251" s="6" t="s">
        <v>607</v>
      </c>
      <c r="D1251" s="6" t="s">
        <v>607</v>
      </c>
      <c r="E1251" s="6" t="s">
        <v>607</v>
      </c>
      <c r="F1251" s="6" t="s">
        <v>607</v>
      </c>
      <c r="G1251" s="4" t="s">
        <v>607</v>
      </c>
      <c r="H1251" s="4" t="s">
        <v>607</v>
      </c>
      <c r="I1251" s="4" t="s">
        <v>607</v>
      </c>
      <c r="J1251" s="4" t="s">
        <v>607</v>
      </c>
      <c r="K1251" s="4" t="s">
        <v>607</v>
      </c>
      <c r="L1251" s="4" t="s">
        <v>607</v>
      </c>
      <c r="M1251" s="4" t="s">
        <v>607</v>
      </c>
      <c r="N1251" s="4" t="s">
        <v>607</v>
      </c>
      <c r="O1251" s="4"/>
      <c r="P1251" s="4"/>
      <c r="T1251" s="4"/>
    </row>
    <row r="1252">
      <c r="A1252" s="4" t="s">
        <v>4400</v>
      </c>
      <c r="B1252" s="4" t="s">
        <v>607</v>
      </c>
      <c r="C1252" s="6" t="s">
        <v>607</v>
      </c>
      <c r="D1252" s="6" t="s">
        <v>607</v>
      </c>
      <c r="E1252" s="6" t="s">
        <v>607</v>
      </c>
      <c r="F1252" s="6" t="s">
        <v>607</v>
      </c>
      <c r="G1252" s="4" t="s">
        <v>607</v>
      </c>
      <c r="H1252" s="4" t="s">
        <v>607</v>
      </c>
      <c r="I1252" s="4" t="s">
        <v>607</v>
      </c>
      <c r="J1252" s="4" t="s">
        <v>607</v>
      </c>
      <c r="K1252" s="4" t="s">
        <v>607</v>
      </c>
      <c r="L1252" s="4" t="s">
        <v>607</v>
      </c>
      <c r="M1252" s="4" t="s">
        <v>607</v>
      </c>
      <c r="N1252" s="4" t="s">
        <v>607</v>
      </c>
      <c r="O1252" s="4"/>
      <c r="P1252" s="4"/>
      <c r="T1252" s="4"/>
    </row>
    <row r="1253">
      <c r="A1253" s="4" t="s">
        <v>4404</v>
      </c>
      <c r="B1253" s="4" t="s">
        <v>607</v>
      </c>
      <c r="C1253" s="6" t="s">
        <v>607</v>
      </c>
      <c r="D1253" s="6" t="s">
        <v>607</v>
      </c>
      <c r="E1253" s="6" t="s">
        <v>607</v>
      </c>
      <c r="F1253" s="6" t="s">
        <v>607</v>
      </c>
      <c r="G1253" s="4" t="s">
        <v>607</v>
      </c>
      <c r="H1253" s="4" t="s">
        <v>607</v>
      </c>
      <c r="I1253" s="4" t="s">
        <v>607</v>
      </c>
      <c r="J1253" s="4" t="s">
        <v>607</v>
      </c>
      <c r="K1253" s="4" t="s">
        <v>607</v>
      </c>
      <c r="L1253" s="4" t="s">
        <v>607</v>
      </c>
      <c r="M1253" s="4" t="s">
        <v>607</v>
      </c>
      <c r="N1253" s="4" t="s">
        <v>607</v>
      </c>
      <c r="O1253" s="4"/>
      <c r="P1253" s="4"/>
      <c r="T1253" s="4"/>
    </row>
    <row r="1254">
      <c r="A1254" s="4" t="s">
        <v>4407</v>
      </c>
      <c r="B1254" s="4" t="s">
        <v>607</v>
      </c>
      <c r="C1254" s="6" t="s">
        <v>607</v>
      </c>
      <c r="D1254" s="6" t="s">
        <v>607</v>
      </c>
      <c r="E1254" s="6" t="s">
        <v>607</v>
      </c>
      <c r="F1254" s="6" t="s">
        <v>607</v>
      </c>
      <c r="G1254" s="4" t="s">
        <v>607</v>
      </c>
      <c r="H1254" s="4" t="s">
        <v>607</v>
      </c>
      <c r="I1254" s="4" t="s">
        <v>607</v>
      </c>
      <c r="J1254" s="4" t="s">
        <v>607</v>
      </c>
      <c r="K1254" s="4" t="s">
        <v>607</v>
      </c>
      <c r="L1254" s="4" t="s">
        <v>607</v>
      </c>
      <c r="M1254" s="4" t="s">
        <v>607</v>
      </c>
      <c r="N1254" s="4" t="s">
        <v>607</v>
      </c>
      <c r="O1254" s="4"/>
      <c r="P1254" s="4"/>
      <c r="T1254" s="4"/>
    </row>
    <row r="1255">
      <c r="A1255" s="4" t="s">
        <v>4410</v>
      </c>
      <c r="B1255" s="4" t="s">
        <v>607</v>
      </c>
      <c r="C1255" s="6" t="s">
        <v>607</v>
      </c>
      <c r="D1255" s="6" t="s">
        <v>607</v>
      </c>
      <c r="E1255" s="6" t="s">
        <v>607</v>
      </c>
      <c r="F1255" s="6" t="s">
        <v>607</v>
      </c>
      <c r="G1255" s="4" t="s">
        <v>607</v>
      </c>
      <c r="H1255" s="4" t="s">
        <v>607</v>
      </c>
      <c r="I1255" s="4" t="s">
        <v>607</v>
      </c>
      <c r="J1255" s="4" t="s">
        <v>607</v>
      </c>
      <c r="K1255" s="4" t="s">
        <v>607</v>
      </c>
      <c r="L1255" s="4" t="s">
        <v>607</v>
      </c>
      <c r="M1255" s="4" t="s">
        <v>607</v>
      </c>
      <c r="N1255" s="4" t="s">
        <v>607</v>
      </c>
      <c r="O1255" s="4"/>
      <c r="P1255" s="4"/>
      <c r="T1255" s="4"/>
    </row>
    <row r="1256">
      <c r="A1256" s="4" t="s">
        <v>4414</v>
      </c>
      <c r="B1256" s="4" t="s">
        <v>607</v>
      </c>
      <c r="C1256" s="6" t="s">
        <v>607</v>
      </c>
      <c r="D1256" s="6" t="s">
        <v>607</v>
      </c>
      <c r="E1256" s="6" t="s">
        <v>607</v>
      </c>
      <c r="F1256" s="6" t="s">
        <v>607</v>
      </c>
      <c r="G1256" s="4" t="s">
        <v>607</v>
      </c>
      <c r="H1256" s="4" t="s">
        <v>607</v>
      </c>
      <c r="I1256" s="4" t="s">
        <v>607</v>
      </c>
      <c r="J1256" s="4" t="s">
        <v>607</v>
      </c>
      <c r="K1256" s="4" t="s">
        <v>607</v>
      </c>
      <c r="L1256" s="4" t="s">
        <v>607</v>
      </c>
      <c r="M1256" s="4" t="s">
        <v>607</v>
      </c>
      <c r="N1256" s="4" t="s">
        <v>607</v>
      </c>
      <c r="O1256" s="4"/>
      <c r="P1256" s="4"/>
      <c r="T1256" s="4"/>
    </row>
    <row r="1257">
      <c r="A1257" s="4" t="s">
        <v>4417</v>
      </c>
      <c r="B1257" s="4" t="s">
        <v>607</v>
      </c>
      <c r="C1257" s="6" t="s">
        <v>607</v>
      </c>
      <c r="D1257" s="6" t="s">
        <v>607</v>
      </c>
      <c r="E1257" s="6" t="s">
        <v>607</v>
      </c>
      <c r="F1257" s="6" t="s">
        <v>607</v>
      </c>
      <c r="G1257" s="4" t="s">
        <v>607</v>
      </c>
      <c r="H1257" s="4" t="s">
        <v>607</v>
      </c>
      <c r="I1257" s="4" t="s">
        <v>607</v>
      </c>
      <c r="J1257" s="4" t="s">
        <v>607</v>
      </c>
      <c r="K1257" s="4" t="s">
        <v>607</v>
      </c>
      <c r="L1257" s="4" t="s">
        <v>607</v>
      </c>
      <c r="M1257" s="4" t="s">
        <v>607</v>
      </c>
      <c r="N1257" s="4" t="s">
        <v>607</v>
      </c>
      <c r="O1257" s="4"/>
      <c r="P1257" s="4"/>
      <c r="T1257" s="4"/>
    </row>
    <row r="1258">
      <c r="A1258" s="4" t="s">
        <v>4428</v>
      </c>
      <c r="B1258" s="4" t="s">
        <v>607</v>
      </c>
      <c r="C1258" s="6" t="s">
        <v>607</v>
      </c>
      <c r="D1258" s="6" t="s">
        <v>607</v>
      </c>
      <c r="E1258" s="6" t="s">
        <v>607</v>
      </c>
      <c r="F1258" s="6" t="s">
        <v>607</v>
      </c>
      <c r="G1258" s="4" t="s">
        <v>607</v>
      </c>
      <c r="H1258" s="4" t="s">
        <v>607</v>
      </c>
      <c r="I1258" s="4" t="s">
        <v>607</v>
      </c>
      <c r="J1258" s="4" t="s">
        <v>607</v>
      </c>
      <c r="K1258" s="4" t="s">
        <v>607</v>
      </c>
      <c r="L1258" s="4" t="s">
        <v>607</v>
      </c>
      <c r="M1258" s="4" t="s">
        <v>607</v>
      </c>
      <c r="N1258" s="4" t="s">
        <v>607</v>
      </c>
      <c r="O1258" s="4"/>
      <c r="P1258" s="4"/>
      <c r="T1258" s="4"/>
    </row>
    <row r="1259">
      <c r="A1259" s="4" t="s">
        <v>4431</v>
      </c>
      <c r="B1259" s="4" t="s">
        <v>607</v>
      </c>
      <c r="C1259" s="6" t="s">
        <v>607</v>
      </c>
      <c r="D1259" s="6" t="s">
        <v>607</v>
      </c>
      <c r="E1259" s="6" t="s">
        <v>607</v>
      </c>
      <c r="F1259" s="6" t="s">
        <v>607</v>
      </c>
      <c r="G1259" s="4" t="s">
        <v>607</v>
      </c>
      <c r="H1259" s="4" t="s">
        <v>607</v>
      </c>
      <c r="I1259" s="4" t="s">
        <v>607</v>
      </c>
      <c r="J1259" s="4" t="s">
        <v>607</v>
      </c>
      <c r="K1259" s="4" t="s">
        <v>607</v>
      </c>
      <c r="L1259" s="4" t="s">
        <v>607</v>
      </c>
      <c r="M1259" s="4" t="s">
        <v>607</v>
      </c>
      <c r="N1259" s="4" t="s">
        <v>607</v>
      </c>
      <c r="O1259" s="4"/>
      <c r="P1259" s="4"/>
      <c r="T1259" s="4"/>
    </row>
    <row r="1260">
      <c r="A1260" s="4" t="s">
        <v>4435</v>
      </c>
      <c r="B1260" s="4" t="s">
        <v>607</v>
      </c>
      <c r="C1260" s="6" t="s">
        <v>607</v>
      </c>
      <c r="D1260" s="6" t="s">
        <v>607</v>
      </c>
      <c r="E1260" s="6" t="s">
        <v>607</v>
      </c>
      <c r="F1260" s="6" t="s">
        <v>607</v>
      </c>
      <c r="G1260" s="4" t="s">
        <v>607</v>
      </c>
      <c r="H1260" s="4" t="s">
        <v>607</v>
      </c>
      <c r="I1260" s="4" t="s">
        <v>607</v>
      </c>
      <c r="J1260" s="4" t="s">
        <v>607</v>
      </c>
      <c r="K1260" s="4" t="s">
        <v>607</v>
      </c>
      <c r="L1260" s="4" t="s">
        <v>607</v>
      </c>
      <c r="M1260" s="4" t="s">
        <v>607</v>
      </c>
      <c r="N1260" s="4" t="s">
        <v>607</v>
      </c>
      <c r="O1260" s="4"/>
      <c r="P1260" s="4"/>
      <c r="T1260" s="4"/>
    </row>
    <row r="1261">
      <c r="A1261" s="4" t="s">
        <v>4436</v>
      </c>
      <c r="B1261" s="4" t="s">
        <v>607</v>
      </c>
      <c r="C1261" s="6" t="s">
        <v>607</v>
      </c>
      <c r="D1261" s="6" t="s">
        <v>607</v>
      </c>
      <c r="E1261" s="6" t="s">
        <v>607</v>
      </c>
      <c r="F1261" s="6" t="s">
        <v>607</v>
      </c>
      <c r="G1261" s="4" t="s">
        <v>607</v>
      </c>
      <c r="H1261" s="4" t="s">
        <v>607</v>
      </c>
      <c r="I1261" s="4" t="s">
        <v>607</v>
      </c>
      <c r="J1261" s="4" t="s">
        <v>607</v>
      </c>
      <c r="K1261" s="4" t="s">
        <v>607</v>
      </c>
      <c r="L1261" s="4" t="s">
        <v>607</v>
      </c>
      <c r="M1261" s="4" t="s">
        <v>607</v>
      </c>
      <c r="N1261" s="4" t="s">
        <v>607</v>
      </c>
      <c r="O1261" s="4"/>
      <c r="P1261" s="4"/>
      <c r="T1261" s="4"/>
    </row>
    <row r="1262">
      <c r="A1262" s="4" t="s">
        <v>4441</v>
      </c>
      <c r="B1262" s="4" t="s">
        <v>607</v>
      </c>
      <c r="C1262" s="6" t="s">
        <v>607</v>
      </c>
      <c r="D1262" s="6" t="s">
        <v>607</v>
      </c>
      <c r="E1262" s="6" t="s">
        <v>607</v>
      </c>
      <c r="F1262" s="6" t="s">
        <v>607</v>
      </c>
      <c r="G1262" s="4" t="s">
        <v>607</v>
      </c>
      <c r="H1262" s="4" t="s">
        <v>607</v>
      </c>
      <c r="I1262" s="4" t="s">
        <v>607</v>
      </c>
      <c r="J1262" s="4" t="s">
        <v>607</v>
      </c>
      <c r="K1262" s="4" t="s">
        <v>607</v>
      </c>
      <c r="L1262" s="4" t="s">
        <v>607</v>
      </c>
      <c r="M1262" s="4" t="s">
        <v>607</v>
      </c>
      <c r="N1262" s="4" t="s">
        <v>607</v>
      </c>
      <c r="O1262" s="4"/>
      <c r="P1262" s="4"/>
      <c r="T1262" s="4"/>
    </row>
    <row r="1263">
      <c r="A1263" s="4" t="s">
        <v>4447</v>
      </c>
      <c r="B1263" s="4" t="s">
        <v>607</v>
      </c>
      <c r="C1263" s="6" t="s">
        <v>607</v>
      </c>
      <c r="D1263" s="6" t="s">
        <v>607</v>
      </c>
      <c r="E1263" s="6" t="s">
        <v>607</v>
      </c>
      <c r="F1263" s="6" t="s">
        <v>607</v>
      </c>
      <c r="G1263" s="4" t="s">
        <v>607</v>
      </c>
      <c r="H1263" s="4" t="s">
        <v>607</v>
      </c>
      <c r="I1263" s="4" t="s">
        <v>607</v>
      </c>
      <c r="J1263" s="4" t="s">
        <v>607</v>
      </c>
      <c r="K1263" s="4" t="s">
        <v>607</v>
      </c>
      <c r="L1263" s="4" t="s">
        <v>607</v>
      </c>
      <c r="M1263" s="4" t="s">
        <v>607</v>
      </c>
      <c r="N1263" s="4" t="s">
        <v>607</v>
      </c>
      <c r="O1263" s="4"/>
      <c r="P1263" s="4"/>
      <c r="T1263" s="4"/>
    </row>
    <row r="1264">
      <c r="A1264" s="4" t="s">
        <v>4452</v>
      </c>
      <c r="B1264" s="4" t="s">
        <v>607</v>
      </c>
      <c r="C1264" s="6" t="s">
        <v>607</v>
      </c>
      <c r="D1264" s="6" t="s">
        <v>607</v>
      </c>
      <c r="E1264" s="6" t="s">
        <v>607</v>
      </c>
      <c r="F1264" s="6" t="s">
        <v>607</v>
      </c>
      <c r="G1264" s="4" t="s">
        <v>607</v>
      </c>
      <c r="H1264" s="4" t="s">
        <v>607</v>
      </c>
      <c r="I1264" s="4" t="s">
        <v>607</v>
      </c>
      <c r="J1264" s="4" t="s">
        <v>607</v>
      </c>
      <c r="K1264" s="4" t="s">
        <v>607</v>
      </c>
      <c r="L1264" s="4" t="s">
        <v>607</v>
      </c>
      <c r="M1264" s="4" t="s">
        <v>607</v>
      </c>
      <c r="N1264" s="4" t="s">
        <v>607</v>
      </c>
      <c r="O1264" s="4"/>
      <c r="P1264" s="4"/>
      <c r="T1264" s="4"/>
    </row>
    <row r="1265">
      <c r="A1265" s="4" t="s">
        <v>4456</v>
      </c>
      <c r="B1265" s="4" t="s">
        <v>607</v>
      </c>
      <c r="C1265" s="6" t="s">
        <v>607</v>
      </c>
      <c r="D1265" s="6" t="s">
        <v>607</v>
      </c>
      <c r="E1265" s="6" t="s">
        <v>607</v>
      </c>
      <c r="F1265" s="6" t="s">
        <v>607</v>
      </c>
      <c r="G1265" s="4" t="s">
        <v>607</v>
      </c>
      <c r="H1265" s="4" t="s">
        <v>607</v>
      </c>
      <c r="I1265" s="4" t="s">
        <v>607</v>
      </c>
      <c r="J1265" s="4" t="s">
        <v>607</v>
      </c>
      <c r="K1265" s="4" t="s">
        <v>607</v>
      </c>
      <c r="L1265" s="4" t="s">
        <v>607</v>
      </c>
      <c r="M1265" s="4" t="s">
        <v>607</v>
      </c>
      <c r="N1265" s="4" t="s">
        <v>607</v>
      </c>
      <c r="O1265" s="4"/>
      <c r="P1265" s="4"/>
      <c r="T1265" s="4"/>
    </row>
    <row r="1266">
      <c r="A1266" s="4" t="s">
        <v>4460</v>
      </c>
      <c r="B1266" s="4" t="s">
        <v>607</v>
      </c>
      <c r="C1266" s="6" t="s">
        <v>607</v>
      </c>
      <c r="D1266" s="6" t="s">
        <v>607</v>
      </c>
      <c r="E1266" s="6" t="s">
        <v>607</v>
      </c>
      <c r="F1266" s="6" t="s">
        <v>607</v>
      </c>
      <c r="G1266" s="4" t="s">
        <v>607</v>
      </c>
      <c r="H1266" s="4" t="s">
        <v>607</v>
      </c>
      <c r="I1266" s="4" t="s">
        <v>607</v>
      </c>
      <c r="J1266" s="4" t="s">
        <v>607</v>
      </c>
      <c r="K1266" s="4" t="s">
        <v>607</v>
      </c>
      <c r="L1266" s="4" t="s">
        <v>607</v>
      </c>
      <c r="M1266" s="4" t="s">
        <v>607</v>
      </c>
      <c r="N1266" s="4" t="s">
        <v>607</v>
      </c>
      <c r="O1266" s="4"/>
      <c r="P1266" s="4"/>
      <c r="T1266" s="4"/>
    </row>
    <row r="1267">
      <c r="A1267" s="4" t="s">
        <v>4463</v>
      </c>
      <c r="B1267" s="4" t="s">
        <v>607</v>
      </c>
      <c r="C1267" s="6" t="s">
        <v>607</v>
      </c>
      <c r="D1267" s="6" t="s">
        <v>607</v>
      </c>
      <c r="E1267" s="6" t="s">
        <v>607</v>
      </c>
      <c r="F1267" s="6" t="s">
        <v>607</v>
      </c>
      <c r="G1267" s="4" t="s">
        <v>607</v>
      </c>
      <c r="H1267" s="4" t="s">
        <v>607</v>
      </c>
      <c r="I1267" s="4" t="s">
        <v>607</v>
      </c>
      <c r="J1267" s="4" t="s">
        <v>607</v>
      </c>
      <c r="K1267" s="4" t="s">
        <v>607</v>
      </c>
      <c r="L1267" s="4" t="s">
        <v>607</v>
      </c>
      <c r="M1267" s="4" t="s">
        <v>607</v>
      </c>
      <c r="N1267" s="4" t="s">
        <v>607</v>
      </c>
      <c r="O1267" s="4"/>
      <c r="P1267" s="4"/>
      <c r="T1267" s="4"/>
    </row>
    <row r="1268">
      <c r="A1268" s="4" t="s">
        <v>4467</v>
      </c>
      <c r="B1268" s="4" t="s">
        <v>607</v>
      </c>
      <c r="C1268" s="6" t="s">
        <v>607</v>
      </c>
      <c r="D1268" s="6" t="s">
        <v>607</v>
      </c>
      <c r="E1268" s="6" t="s">
        <v>607</v>
      </c>
      <c r="F1268" s="6" t="s">
        <v>607</v>
      </c>
      <c r="G1268" s="4" t="s">
        <v>607</v>
      </c>
      <c r="H1268" s="4" t="s">
        <v>607</v>
      </c>
      <c r="I1268" s="4" t="s">
        <v>607</v>
      </c>
      <c r="J1268" s="4" t="s">
        <v>607</v>
      </c>
      <c r="K1268" s="4" t="s">
        <v>607</v>
      </c>
      <c r="L1268" s="4" t="s">
        <v>607</v>
      </c>
      <c r="M1268" s="4" t="s">
        <v>607</v>
      </c>
      <c r="N1268" s="4" t="s">
        <v>607</v>
      </c>
      <c r="O1268" s="4"/>
      <c r="P1268" s="4"/>
      <c r="T1268" s="4"/>
    </row>
    <row r="1269">
      <c r="A1269" s="4" t="s">
        <v>4471</v>
      </c>
      <c r="B1269" s="4" t="s">
        <v>607</v>
      </c>
      <c r="C1269" s="6" t="s">
        <v>607</v>
      </c>
      <c r="D1269" s="6" t="s">
        <v>607</v>
      </c>
      <c r="E1269" s="6" t="s">
        <v>607</v>
      </c>
      <c r="F1269" s="6" t="s">
        <v>607</v>
      </c>
      <c r="G1269" s="4" t="s">
        <v>607</v>
      </c>
      <c r="H1269" s="4" t="s">
        <v>607</v>
      </c>
      <c r="I1269" s="4" t="s">
        <v>607</v>
      </c>
      <c r="J1269" s="4" t="s">
        <v>607</v>
      </c>
      <c r="K1269" s="4" t="s">
        <v>607</v>
      </c>
      <c r="L1269" s="4" t="s">
        <v>607</v>
      </c>
      <c r="M1269" s="4" t="s">
        <v>607</v>
      </c>
      <c r="N1269" s="4" t="s">
        <v>607</v>
      </c>
      <c r="O1269" s="4"/>
      <c r="P1269" s="4"/>
      <c r="T1269" s="4"/>
    </row>
    <row r="1270">
      <c r="A1270" s="4" t="s">
        <v>4478</v>
      </c>
      <c r="B1270" s="4" t="s">
        <v>607</v>
      </c>
      <c r="C1270" s="6" t="s">
        <v>607</v>
      </c>
      <c r="D1270" s="6" t="s">
        <v>607</v>
      </c>
      <c r="E1270" s="6" t="s">
        <v>607</v>
      </c>
      <c r="F1270" s="6" t="s">
        <v>607</v>
      </c>
      <c r="G1270" s="4" t="s">
        <v>607</v>
      </c>
      <c r="H1270" s="4" t="s">
        <v>607</v>
      </c>
      <c r="I1270" s="4" t="s">
        <v>607</v>
      </c>
      <c r="J1270" s="4" t="s">
        <v>607</v>
      </c>
      <c r="K1270" s="4" t="s">
        <v>607</v>
      </c>
      <c r="L1270" s="4" t="s">
        <v>607</v>
      </c>
      <c r="M1270" s="4" t="s">
        <v>607</v>
      </c>
      <c r="N1270" s="4" t="s">
        <v>607</v>
      </c>
      <c r="O1270" s="4"/>
      <c r="P1270" s="4"/>
      <c r="T1270" s="4"/>
    </row>
    <row r="1271">
      <c r="A1271" s="4" t="s">
        <v>4482</v>
      </c>
      <c r="B1271" s="4" t="s">
        <v>607</v>
      </c>
      <c r="C1271" s="6" t="s">
        <v>607</v>
      </c>
      <c r="D1271" s="6" t="s">
        <v>607</v>
      </c>
      <c r="E1271" s="6" t="s">
        <v>607</v>
      </c>
      <c r="F1271" s="6" t="s">
        <v>607</v>
      </c>
      <c r="G1271" s="4" t="s">
        <v>607</v>
      </c>
      <c r="H1271" s="4" t="s">
        <v>607</v>
      </c>
      <c r="I1271" s="4" t="s">
        <v>607</v>
      </c>
      <c r="J1271" s="4" t="s">
        <v>607</v>
      </c>
      <c r="K1271" s="4" t="s">
        <v>607</v>
      </c>
      <c r="L1271" s="4" t="s">
        <v>607</v>
      </c>
      <c r="M1271" s="4" t="s">
        <v>607</v>
      </c>
      <c r="N1271" s="4" t="s">
        <v>607</v>
      </c>
      <c r="O1271" s="4"/>
      <c r="P1271" s="4"/>
      <c r="T1271" s="4"/>
    </row>
    <row r="1272">
      <c r="A1272" s="4" t="s">
        <v>4487</v>
      </c>
      <c r="B1272" s="4" t="s">
        <v>607</v>
      </c>
      <c r="C1272" s="6" t="s">
        <v>607</v>
      </c>
      <c r="D1272" s="6" t="s">
        <v>607</v>
      </c>
      <c r="E1272" s="6" t="s">
        <v>607</v>
      </c>
      <c r="F1272" s="6" t="s">
        <v>607</v>
      </c>
      <c r="G1272" s="4" t="s">
        <v>607</v>
      </c>
      <c r="H1272" s="4" t="s">
        <v>607</v>
      </c>
      <c r="I1272" s="4" t="s">
        <v>607</v>
      </c>
      <c r="J1272" s="4" t="s">
        <v>607</v>
      </c>
      <c r="K1272" s="4" t="s">
        <v>607</v>
      </c>
      <c r="L1272" s="4" t="s">
        <v>607</v>
      </c>
      <c r="M1272" s="4" t="s">
        <v>607</v>
      </c>
      <c r="N1272" s="4" t="s">
        <v>607</v>
      </c>
      <c r="O1272" s="4"/>
      <c r="P1272" s="4"/>
      <c r="T1272" s="4"/>
    </row>
    <row r="1273">
      <c r="A1273" s="4" t="s">
        <v>4491</v>
      </c>
      <c r="B1273" s="4" t="s">
        <v>607</v>
      </c>
      <c r="C1273" s="6" t="s">
        <v>607</v>
      </c>
      <c r="D1273" s="6" t="s">
        <v>607</v>
      </c>
      <c r="E1273" s="6" t="s">
        <v>607</v>
      </c>
      <c r="F1273" s="6" t="s">
        <v>607</v>
      </c>
      <c r="G1273" s="4" t="s">
        <v>607</v>
      </c>
      <c r="H1273" s="4" t="s">
        <v>607</v>
      </c>
      <c r="I1273" s="4" t="s">
        <v>607</v>
      </c>
      <c r="J1273" s="4" t="s">
        <v>607</v>
      </c>
      <c r="K1273" s="4" t="s">
        <v>607</v>
      </c>
      <c r="L1273" s="4" t="s">
        <v>607</v>
      </c>
      <c r="M1273" s="4" t="s">
        <v>607</v>
      </c>
      <c r="N1273" s="4" t="s">
        <v>607</v>
      </c>
      <c r="O1273" s="4"/>
      <c r="P1273" s="4"/>
      <c r="T1273" s="4"/>
    </row>
    <row r="1274">
      <c r="A1274" s="4" t="s">
        <v>4492</v>
      </c>
      <c r="B1274" s="4" t="s">
        <v>607</v>
      </c>
      <c r="C1274" s="6" t="s">
        <v>607</v>
      </c>
      <c r="D1274" s="6" t="s">
        <v>607</v>
      </c>
      <c r="E1274" s="6" t="s">
        <v>607</v>
      </c>
      <c r="F1274" s="6" t="s">
        <v>607</v>
      </c>
      <c r="G1274" s="4" t="s">
        <v>607</v>
      </c>
      <c r="H1274" s="4" t="s">
        <v>607</v>
      </c>
      <c r="I1274" s="4" t="s">
        <v>607</v>
      </c>
      <c r="J1274" s="4" t="s">
        <v>607</v>
      </c>
      <c r="K1274" s="4" t="s">
        <v>607</v>
      </c>
      <c r="L1274" s="4" t="s">
        <v>607</v>
      </c>
      <c r="M1274" s="4" t="s">
        <v>607</v>
      </c>
      <c r="N1274" s="4" t="s">
        <v>607</v>
      </c>
      <c r="O1274" s="4"/>
      <c r="P1274" s="4"/>
      <c r="T1274" s="4"/>
    </row>
    <row r="1275">
      <c r="A1275" s="4" t="s">
        <v>4495</v>
      </c>
      <c r="B1275" s="4" t="s">
        <v>607</v>
      </c>
      <c r="C1275" s="6" t="s">
        <v>607</v>
      </c>
      <c r="D1275" s="6" t="s">
        <v>607</v>
      </c>
      <c r="E1275" s="6" t="s">
        <v>607</v>
      </c>
      <c r="F1275" s="6" t="s">
        <v>607</v>
      </c>
      <c r="G1275" s="4" t="s">
        <v>607</v>
      </c>
      <c r="H1275" s="4" t="s">
        <v>607</v>
      </c>
      <c r="I1275" s="4" t="s">
        <v>607</v>
      </c>
      <c r="J1275" s="4" t="s">
        <v>607</v>
      </c>
      <c r="K1275" s="4" t="s">
        <v>607</v>
      </c>
      <c r="L1275" s="4" t="s">
        <v>607</v>
      </c>
      <c r="M1275" s="4" t="s">
        <v>607</v>
      </c>
      <c r="N1275" s="4" t="s">
        <v>607</v>
      </c>
      <c r="O1275" s="4"/>
      <c r="P1275" s="4"/>
      <c r="T1275" s="4"/>
    </row>
    <row r="1276">
      <c r="A1276" s="4" t="s">
        <v>4499</v>
      </c>
      <c r="B1276" s="4" t="s">
        <v>607</v>
      </c>
      <c r="C1276" s="6" t="s">
        <v>607</v>
      </c>
      <c r="D1276" s="6" t="s">
        <v>607</v>
      </c>
      <c r="E1276" s="6" t="s">
        <v>607</v>
      </c>
      <c r="F1276" s="6" t="s">
        <v>607</v>
      </c>
      <c r="G1276" s="4" t="s">
        <v>607</v>
      </c>
      <c r="H1276" s="4" t="s">
        <v>607</v>
      </c>
      <c r="I1276" s="4" t="s">
        <v>607</v>
      </c>
      <c r="J1276" s="4" t="s">
        <v>607</v>
      </c>
      <c r="K1276" s="4" t="s">
        <v>607</v>
      </c>
      <c r="L1276" s="4" t="s">
        <v>607</v>
      </c>
      <c r="M1276" s="4" t="s">
        <v>607</v>
      </c>
      <c r="N1276" s="4" t="s">
        <v>607</v>
      </c>
      <c r="O1276" s="4"/>
      <c r="P1276" s="4"/>
      <c r="T1276" s="4"/>
    </row>
    <row r="1277">
      <c r="A1277" s="4" t="s">
        <v>4500</v>
      </c>
      <c r="B1277" s="4" t="s">
        <v>607</v>
      </c>
      <c r="C1277" s="6" t="s">
        <v>607</v>
      </c>
      <c r="D1277" s="6" t="s">
        <v>607</v>
      </c>
      <c r="E1277" s="6" t="s">
        <v>607</v>
      </c>
      <c r="F1277" s="6" t="s">
        <v>607</v>
      </c>
      <c r="G1277" s="4" t="s">
        <v>607</v>
      </c>
      <c r="H1277" s="4" t="s">
        <v>607</v>
      </c>
      <c r="I1277" s="4" t="s">
        <v>607</v>
      </c>
      <c r="J1277" s="4" t="s">
        <v>607</v>
      </c>
      <c r="K1277" s="4" t="s">
        <v>607</v>
      </c>
      <c r="L1277" s="4" t="s">
        <v>607</v>
      </c>
      <c r="M1277" s="4" t="s">
        <v>607</v>
      </c>
      <c r="N1277" s="4" t="s">
        <v>607</v>
      </c>
      <c r="O1277" s="4"/>
      <c r="P1277" s="4"/>
      <c r="T1277" s="4"/>
    </row>
    <row r="1278">
      <c r="A1278" s="4" t="s">
        <v>4501</v>
      </c>
      <c r="B1278" s="4" t="s">
        <v>607</v>
      </c>
      <c r="C1278" s="6" t="s">
        <v>607</v>
      </c>
      <c r="D1278" s="6" t="s">
        <v>607</v>
      </c>
      <c r="E1278" s="6" t="s">
        <v>607</v>
      </c>
      <c r="F1278" s="6" t="s">
        <v>607</v>
      </c>
      <c r="G1278" s="4" t="s">
        <v>607</v>
      </c>
      <c r="H1278" s="4" t="s">
        <v>607</v>
      </c>
      <c r="I1278" s="4" t="s">
        <v>607</v>
      </c>
      <c r="J1278" s="4" t="s">
        <v>607</v>
      </c>
      <c r="K1278" s="4" t="s">
        <v>607</v>
      </c>
      <c r="L1278" s="4" t="s">
        <v>607</v>
      </c>
      <c r="M1278" s="4" t="s">
        <v>607</v>
      </c>
      <c r="N1278" s="4" t="s">
        <v>607</v>
      </c>
      <c r="O1278" s="4"/>
      <c r="P1278" s="4"/>
      <c r="T1278" s="4"/>
    </row>
    <row r="1279">
      <c r="A1279" s="4" t="s">
        <v>4502</v>
      </c>
      <c r="B1279" s="4" t="s">
        <v>607</v>
      </c>
      <c r="C1279" s="6" t="s">
        <v>607</v>
      </c>
      <c r="D1279" s="6" t="s">
        <v>607</v>
      </c>
      <c r="E1279" s="6" t="s">
        <v>607</v>
      </c>
      <c r="F1279" s="6" t="s">
        <v>607</v>
      </c>
      <c r="G1279" s="4" t="s">
        <v>607</v>
      </c>
      <c r="H1279" s="4" t="s">
        <v>607</v>
      </c>
      <c r="I1279" s="4" t="s">
        <v>607</v>
      </c>
      <c r="J1279" s="4" t="s">
        <v>607</v>
      </c>
      <c r="K1279" s="4" t="s">
        <v>607</v>
      </c>
      <c r="L1279" s="4" t="s">
        <v>607</v>
      </c>
      <c r="M1279" s="4" t="s">
        <v>607</v>
      </c>
      <c r="N1279" s="4" t="s">
        <v>607</v>
      </c>
      <c r="O1279" s="4"/>
      <c r="P1279" s="4"/>
      <c r="T1279" s="4"/>
    </row>
    <row r="1280">
      <c r="A1280" s="4" t="s">
        <v>4508</v>
      </c>
      <c r="B1280" s="4" t="s">
        <v>607</v>
      </c>
      <c r="C1280" s="6" t="s">
        <v>607</v>
      </c>
      <c r="D1280" s="6" t="s">
        <v>607</v>
      </c>
      <c r="E1280" s="6" t="s">
        <v>607</v>
      </c>
      <c r="F1280" s="6" t="s">
        <v>607</v>
      </c>
      <c r="G1280" s="4" t="s">
        <v>607</v>
      </c>
      <c r="H1280" s="4" t="s">
        <v>607</v>
      </c>
      <c r="I1280" s="4" t="s">
        <v>607</v>
      </c>
      <c r="J1280" s="4" t="s">
        <v>607</v>
      </c>
      <c r="K1280" s="4" t="s">
        <v>607</v>
      </c>
      <c r="L1280" s="4" t="s">
        <v>607</v>
      </c>
      <c r="M1280" s="4" t="s">
        <v>607</v>
      </c>
      <c r="N1280" s="4" t="s">
        <v>607</v>
      </c>
      <c r="O1280" s="4"/>
      <c r="P1280" s="4"/>
      <c r="T1280" s="4"/>
    </row>
    <row r="1281">
      <c r="A1281" s="4" t="s">
        <v>4511</v>
      </c>
      <c r="B1281" s="4" t="s">
        <v>607</v>
      </c>
      <c r="C1281" s="6" t="s">
        <v>607</v>
      </c>
      <c r="D1281" s="6" t="s">
        <v>607</v>
      </c>
      <c r="E1281" s="6" t="s">
        <v>607</v>
      </c>
      <c r="F1281" s="6" t="s">
        <v>607</v>
      </c>
      <c r="G1281" s="4" t="s">
        <v>607</v>
      </c>
      <c r="H1281" s="4" t="s">
        <v>607</v>
      </c>
      <c r="I1281" s="4" t="s">
        <v>607</v>
      </c>
      <c r="J1281" s="4" t="s">
        <v>607</v>
      </c>
      <c r="K1281" s="4" t="s">
        <v>607</v>
      </c>
      <c r="L1281" s="4" t="s">
        <v>607</v>
      </c>
      <c r="M1281" s="4" t="s">
        <v>607</v>
      </c>
      <c r="N1281" s="4" t="s">
        <v>607</v>
      </c>
      <c r="O1281" s="4"/>
      <c r="P1281" s="4"/>
      <c r="T1281" s="4"/>
    </row>
    <row r="1282">
      <c r="A1282" s="4" t="s">
        <v>4513</v>
      </c>
      <c r="B1282" s="4" t="s">
        <v>607</v>
      </c>
      <c r="C1282" s="6" t="s">
        <v>607</v>
      </c>
      <c r="D1282" s="6" t="s">
        <v>607</v>
      </c>
      <c r="E1282" s="6" t="s">
        <v>607</v>
      </c>
      <c r="F1282" s="6" t="s">
        <v>607</v>
      </c>
      <c r="G1282" s="4" t="s">
        <v>607</v>
      </c>
      <c r="H1282" s="4" t="s">
        <v>607</v>
      </c>
      <c r="I1282" s="4" t="s">
        <v>607</v>
      </c>
      <c r="J1282" s="4" t="s">
        <v>607</v>
      </c>
      <c r="K1282" s="4" t="s">
        <v>607</v>
      </c>
      <c r="L1282" s="4" t="s">
        <v>607</v>
      </c>
      <c r="M1282" s="4" t="s">
        <v>607</v>
      </c>
      <c r="N1282" s="4" t="s">
        <v>607</v>
      </c>
      <c r="O1282" s="4"/>
      <c r="P1282" s="4"/>
      <c r="T1282" s="4"/>
    </row>
    <row r="1283">
      <c r="A1283" s="4" t="s">
        <v>4517</v>
      </c>
      <c r="B1283" s="4" t="s">
        <v>607</v>
      </c>
      <c r="C1283" s="6" t="s">
        <v>607</v>
      </c>
      <c r="D1283" s="6" t="s">
        <v>607</v>
      </c>
      <c r="E1283" s="6" t="s">
        <v>607</v>
      </c>
      <c r="F1283" s="6" t="s">
        <v>607</v>
      </c>
      <c r="G1283" s="4" t="s">
        <v>607</v>
      </c>
      <c r="H1283" s="4" t="s">
        <v>607</v>
      </c>
      <c r="I1283" s="4" t="s">
        <v>607</v>
      </c>
      <c r="J1283" s="4" t="s">
        <v>607</v>
      </c>
      <c r="K1283" s="4" t="s">
        <v>607</v>
      </c>
      <c r="L1283" s="4" t="s">
        <v>607</v>
      </c>
      <c r="M1283" s="4" t="s">
        <v>607</v>
      </c>
      <c r="N1283" s="4" t="s">
        <v>607</v>
      </c>
      <c r="O1283" s="4"/>
      <c r="P1283" s="4"/>
      <c r="T1283" s="4"/>
    </row>
    <row r="1284">
      <c r="A1284" s="4" t="s">
        <v>4521</v>
      </c>
      <c r="B1284" s="4" t="s">
        <v>607</v>
      </c>
      <c r="C1284" s="6" t="s">
        <v>607</v>
      </c>
      <c r="D1284" s="6" t="s">
        <v>607</v>
      </c>
      <c r="E1284" s="6" t="s">
        <v>607</v>
      </c>
      <c r="F1284" s="6" t="s">
        <v>607</v>
      </c>
      <c r="G1284" s="4" t="s">
        <v>607</v>
      </c>
      <c r="H1284" s="4" t="s">
        <v>607</v>
      </c>
      <c r="I1284" s="4" t="s">
        <v>607</v>
      </c>
      <c r="J1284" s="4" t="s">
        <v>607</v>
      </c>
      <c r="K1284" s="4" t="s">
        <v>607</v>
      </c>
      <c r="L1284" s="4" t="s">
        <v>607</v>
      </c>
      <c r="M1284" s="4" t="s">
        <v>607</v>
      </c>
      <c r="N1284" s="4" t="s">
        <v>607</v>
      </c>
      <c r="O1284" s="4"/>
      <c r="P1284" s="4"/>
      <c r="T1284" s="4"/>
    </row>
    <row r="1285">
      <c r="A1285" s="4" t="s">
        <v>4525</v>
      </c>
      <c r="B1285" s="4" t="s">
        <v>607</v>
      </c>
      <c r="C1285" s="6" t="s">
        <v>607</v>
      </c>
      <c r="D1285" s="6" t="s">
        <v>607</v>
      </c>
      <c r="E1285" s="6" t="s">
        <v>607</v>
      </c>
      <c r="F1285" s="6" t="s">
        <v>607</v>
      </c>
      <c r="G1285" s="4" t="s">
        <v>607</v>
      </c>
      <c r="H1285" s="4" t="s">
        <v>607</v>
      </c>
      <c r="I1285" s="4" t="s">
        <v>607</v>
      </c>
      <c r="J1285" s="4" t="s">
        <v>607</v>
      </c>
      <c r="K1285" s="4" t="s">
        <v>607</v>
      </c>
      <c r="L1285" s="4" t="s">
        <v>607</v>
      </c>
      <c r="M1285" s="4" t="s">
        <v>607</v>
      </c>
      <c r="N1285" s="4" t="s">
        <v>607</v>
      </c>
      <c r="O1285" s="4"/>
      <c r="P1285" s="4"/>
      <c r="T1285" s="4"/>
    </row>
    <row r="1286">
      <c r="A1286" s="4" t="s">
        <v>4526</v>
      </c>
      <c r="B1286" s="4" t="s">
        <v>607</v>
      </c>
      <c r="C1286" s="6" t="s">
        <v>607</v>
      </c>
      <c r="D1286" s="6" t="s">
        <v>607</v>
      </c>
      <c r="E1286" s="6" t="s">
        <v>607</v>
      </c>
      <c r="F1286" s="6" t="s">
        <v>607</v>
      </c>
      <c r="G1286" s="4" t="s">
        <v>607</v>
      </c>
      <c r="H1286" s="4" t="s">
        <v>607</v>
      </c>
      <c r="I1286" s="4" t="s">
        <v>607</v>
      </c>
      <c r="J1286" s="4" t="s">
        <v>607</v>
      </c>
      <c r="K1286" s="4" t="s">
        <v>607</v>
      </c>
      <c r="L1286" s="4" t="s">
        <v>607</v>
      </c>
      <c r="M1286" s="4" t="s">
        <v>607</v>
      </c>
      <c r="N1286" s="4" t="s">
        <v>607</v>
      </c>
      <c r="O1286" s="4"/>
      <c r="P1286" s="4"/>
      <c r="T1286" s="4"/>
    </row>
    <row r="1287">
      <c r="A1287" s="4" t="s">
        <v>4527</v>
      </c>
      <c r="B1287" s="4" t="s">
        <v>607</v>
      </c>
      <c r="C1287" s="6" t="s">
        <v>607</v>
      </c>
      <c r="D1287" s="6" t="s">
        <v>607</v>
      </c>
      <c r="E1287" s="6" t="s">
        <v>607</v>
      </c>
      <c r="F1287" s="6" t="s">
        <v>607</v>
      </c>
      <c r="G1287" s="4" t="s">
        <v>607</v>
      </c>
      <c r="H1287" s="4" t="s">
        <v>607</v>
      </c>
      <c r="I1287" s="4" t="s">
        <v>607</v>
      </c>
      <c r="J1287" s="4" t="s">
        <v>607</v>
      </c>
      <c r="K1287" s="4" t="s">
        <v>607</v>
      </c>
      <c r="L1287" s="4" t="s">
        <v>607</v>
      </c>
      <c r="M1287" s="4" t="s">
        <v>607</v>
      </c>
      <c r="N1287" s="4" t="s">
        <v>607</v>
      </c>
      <c r="O1287" s="4"/>
      <c r="P1287" s="4"/>
      <c r="T1287" s="4"/>
    </row>
    <row r="1288">
      <c r="A1288" s="4" t="s">
        <v>4533</v>
      </c>
      <c r="B1288" s="4" t="s">
        <v>607</v>
      </c>
      <c r="C1288" s="6" t="s">
        <v>607</v>
      </c>
      <c r="D1288" s="6" t="s">
        <v>607</v>
      </c>
      <c r="E1288" s="6" t="s">
        <v>607</v>
      </c>
      <c r="F1288" s="6" t="s">
        <v>607</v>
      </c>
      <c r="G1288" s="4" t="s">
        <v>607</v>
      </c>
      <c r="H1288" s="4" t="s">
        <v>607</v>
      </c>
      <c r="I1288" s="4" t="s">
        <v>607</v>
      </c>
      <c r="J1288" s="4" t="s">
        <v>607</v>
      </c>
      <c r="K1288" s="4" t="s">
        <v>607</v>
      </c>
      <c r="L1288" s="4" t="s">
        <v>607</v>
      </c>
      <c r="M1288" s="4" t="s">
        <v>607</v>
      </c>
      <c r="N1288" s="4" t="s">
        <v>607</v>
      </c>
      <c r="O1288" s="4"/>
      <c r="P1288" s="4"/>
      <c r="T1288" s="4"/>
    </row>
    <row r="1289">
      <c r="A1289" s="4" t="s">
        <v>4534</v>
      </c>
      <c r="B1289" s="4" t="s">
        <v>607</v>
      </c>
      <c r="C1289" s="6" t="s">
        <v>607</v>
      </c>
      <c r="D1289" s="6" t="s">
        <v>607</v>
      </c>
      <c r="E1289" s="6" t="s">
        <v>607</v>
      </c>
      <c r="F1289" s="6" t="s">
        <v>607</v>
      </c>
      <c r="G1289" s="4" t="s">
        <v>607</v>
      </c>
      <c r="H1289" s="4" t="s">
        <v>607</v>
      </c>
      <c r="I1289" s="4" t="s">
        <v>607</v>
      </c>
      <c r="J1289" s="4" t="s">
        <v>607</v>
      </c>
      <c r="K1289" s="4" t="s">
        <v>607</v>
      </c>
      <c r="L1289" s="4" t="s">
        <v>607</v>
      </c>
      <c r="M1289" s="4" t="s">
        <v>607</v>
      </c>
      <c r="N1289" s="4" t="s">
        <v>607</v>
      </c>
      <c r="O1289" s="4"/>
      <c r="P1289" s="4"/>
      <c r="T1289" s="4"/>
    </row>
    <row r="1290">
      <c r="A1290" s="4" t="s">
        <v>4537</v>
      </c>
      <c r="B1290" s="4" t="s">
        <v>607</v>
      </c>
      <c r="C1290" s="6" t="s">
        <v>607</v>
      </c>
      <c r="D1290" s="6" t="s">
        <v>607</v>
      </c>
      <c r="E1290" s="6" t="s">
        <v>607</v>
      </c>
      <c r="F1290" s="6" t="s">
        <v>607</v>
      </c>
      <c r="G1290" s="4" t="s">
        <v>607</v>
      </c>
      <c r="H1290" s="4" t="s">
        <v>607</v>
      </c>
      <c r="I1290" s="4" t="s">
        <v>607</v>
      </c>
      <c r="J1290" s="4" t="s">
        <v>607</v>
      </c>
      <c r="K1290" s="4" t="s">
        <v>607</v>
      </c>
      <c r="L1290" s="4" t="s">
        <v>607</v>
      </c>
      <c r="M1290" s="4" t="s">
        <v>607</v>
      </c>
      <c r="N1290" s="4" t="s">
        <v>607</v>
      </c>
      <c r="O1290" s="4"/>
      <c r="P1290" s="4"/>
      <c r="T1290" s="4"/>
    </row>
    <row r="1291">
      <c r="A1291" s="4" t="s">
        <v>4539</v>
      </c>
      <c r="B1291" s="4" t="s">
        <v>607</v>
      </c>
      <c r="C1291" s="6" t="s">
        <v>607</v>
      </c>
      <c r="D1291" s="6" t="s">
        <v>607</v>
      </c>
      <c r="E1291" s="6" t="s">
        <v>607</v>
      </c>
      <c r="F1291" s="6" t="s">
        <v>607</v>
      </c>
      <c r="G1291" s="4" t="s">
        <v>607</v>
      </c>
      <c r="H1291" s="4" t="s">
        <v>607</v>
      </c>
      <c r="I1291" s="4" t="s">
        <v>607</v>
      </c>
      <c r="J1291" s="4" t="s">
        <v>607</v>
      </c>
      <c r="K1291" s="4" t="s">
        <v>607</v>
      </c>
      <c r="L1291" s="4" t="s">
        <v>607</v>
      </c>
      <c r="M1291" s="4" t="s">
        <v>607</v>
      </c>
      <c r="N1291" s="4" t="s">
        <v>607</v>
      </c>
      <c r="O1291" s="4"/>
      <c r="P1291" s="4"/>
      <c r="T1291" s="4"/>
    </row>
    <row r="1292">
      <c r="A1292" s="4" t="s">
        <v>4542</v>
      </c>
      <c r="B1292" s="4" t="s">
        <v>607</v>
      </c>
      <c r="C1292" s="6" t="s">
        <v>607</v>
      </c>
      <c r="D1292" s="6" t="s">
        <v>607</v>
      </c>
      <c r="E1292" s="6" t="s">
        <v>607</v>
      </c>
      <c r="F1292" s="6" t="s">
        <v>607</v>
      </c>
      <c r="G1292" s="4" t="s">
        <v>607</v>
      </c>
      <c r="H1292" s="4" t="s">
        <v>607</v>
      </c>
      <c r="I1292" s="4" t="s">
        <v>607</v>
      </c>
      <c r="J1292" s="4" t="s">
        <v>607</v>
      </c>
      <c r="K1292" s="4" t="s">
        <v>607</v>
      </c>
      <c r="L1292" s="4" t="s">
        <v>607</v>
      </c>
      <c r="M1292" s="4" t="s">
        <v>607</v>
      </c>
      <c r="N1292" s="4" t="s">
        <v>607</v>
      </c>
      <c r="O1292" s="4"/>
      <c r="P1292" s="4"/>
      <c r="T1292" s="4"/>
    </row>
    <row r="1293">
      <c r="A1293" s="4" t="s">
        <v>4549</v>
      </c>
      <c r="B1293" s="4" t="s">
        <v>607</v>
      </c>
      <c r="C1293" s="6" t="s">
        <v>607</v>
      </c>
      <c r="D1293" s="6" t="s">
        <v>607</v>
      </c>
      <c r="E1293" s="6" t="s">
        <v>607</v>
      </c>
      <c r="F1293" s="6" t="s">
        <v>607</v>
      </c>
      <c r="G1293" s="4" t="s">
        <v>607</v>
      </c>
      <c r="H1293" s="4" t="s">
        <v>607</v>
      </c>
      <c r="I1293" s="4" t="s">
        <v>607</v>
      </c>
      <c r="J1293" s="4" t="s">
        <v>607</v>
      </c>
      <c r="K1293" s="4" t="s">
        <v>607</v>
      </c>
      <c r="L1293" s="4" t="s">
        <v>607</v>
      </c>
      <c r="M1293" s="4" t="s">
        <v>607</v>
      </c>
      <c r="N1293" s="4" t="s">
        <v>607</v>
      </c>
      <c r="O1293" s="4"/>
      <c r="P1293" s="4"/>
      <c r="T1293" s="4"/>
    </row>
    <row r="1294">
      <c r="A1294" s="4" t="s">
        <v>4550</v>
      </c>
      <c r="B1294" s="4" t="s">
        <v>607</v>
      </c>
      <c r="C1294" s="6" t="s">
        <v>607</v>
      </c>
      <c r="D1294" s="6" t="s">
        <v>607</v>
      </c>
      <c r="E1294" s="6" t="s">
        <v>607</v>
      </c>
      <c r="F1294" s="6" t="s">
        <v>607</v>
      </c>
      <c r="G1294" s="4" t="s">
        <v>607</v>
      </c>
      <c r="H1294" s="4" t="s">
        <v>607</v>
      </c>
      <c r="I1294" s="4" t="s">
        <v>607</v>
      </c>
      <c r="J1294" s="4" t="s">
        <v>607</v>
      </c>
      <c r="K1294" s="4" t="s">
        <v>607</v>
      </c>
      <c r="L1294" s="4" t="s">
        <v>607</v>
      </c>
      <c r="M1294" s="4" t="s">
        <v>607</v>
      </c>
      <c r="N1294" s="4" t="s">
        <v>607</v>
      </c>
      <c r="O1294" s="4"/>
      <c r="P1294" s="4"/>
      <c r="T1294" s="4"/>
    </row>
    <row r="1295">
      <c r="A1295" s="4" t="s">
        <v>4553</v>
      </c>
      <c r="B1295" s="4" t="s">
        <v>607</v>
      </c>
      <c r="C1295" s="6" t="s">
        <v>607</v>
      </c>
      <c r="D1295" s="6" t="s">
        <v>607</v>
      </c>
      <c r="E1295" s="6" t="s">
        <v>607</v>
      </c>
      <c r="F1295" s="6" t="s">
        <v>607</v>
      </c>
      <c r="G1295" s="4" t="s">
        <v>607</v>
      </c>
      <c r="H1295" s="4" t="s">
        <v>607</v>
      </c>
      <c r="I1295" s="4" t="s">
        <v>607</v>
      </c>
      <c r="J1295" s="4" t="s">
        <v>607</v>
      </c>
      <c r="K1295" s="4" t="s">
        <v>607</v>
      </c>
      <c r="L1295" s="4" t="s">
        <v>607</v>
      </c>
      <c r="M1295" s="4" t="s">
        <v>607</v>
      </c>
      <c r="N1295" s="4" t="s">
        <v>607</v>
      </c>
      <c r="O1295" s="4"/>
      <c r="P1295" s="4"/>
      <c r="T1295" s="4"/>
    </row>
    <row r="1296">
      <c r="A1296" s="4" t="s">
        <v>4556</v>
      </c>
      <c r="B1296" s="4" t="s">
        <v>607</v>
      </c>
      <c r="C1296" s="6" t="s">
        <v>607</v>
      </c>
      <c r="D1296" s="6" t="s">
        <v>607</v>
      </c>
      <c r="E1296" s="6" t="s">
        <v>607</v>
      </c>
      <c r="F1296" s="6" t="s">
        <v>607</v>
      </c>
      <c r="G1296" s="4" t="s">
        <v>607</v>
      </c>
      <c r="H1296" s="4" t="s">
        <v>607</v>
      </c>
      <c r="I1296" s="4" t="s">
        <v>607</v>
      </c>
      <c r="J1296" s="4" t="s">
        <v>607</v>
      </c>
      <c r="K1296" s="4" t="s">
        <v>607</v>
      </c>
      <c r="L1296" s="4" t="s">
        <v>607</v>
      </c>
      <c r="M1296" s="4" t="s">
        <v>607</v>
      </c>
      <c r="N1296" s="4" t="s">
        <v>607</v>
      </c>
      <c r="O1296" s="4"/>
      <c r="P1296" s="4"/>
      <c r="T1296" s="4"/>
    </row>
    <row r="1297">
      <c r="A1297" s="4" t="s">
        <v>4557</v>
      </c>
      <c r="B1297" s="4" t="s">
        <v>607</v>
      </c>
      <c r="C1297" s="6" t="s">
        <v>607</v>
      </c>
      <c r="D1297" s="6" t="s">
        <v>607</v>
      </c>
      <c r="E1297" s="6" t="s">
        <v>607</v>
      </c>
      <c r="F1297" s="6" t="s">
        <v>607</v>
      </c>
      <c r="G1297" s="4" t="s">
        <v>607</v>
      </c>
      <c r="H1297" s="4" t="s">
        <v>607</v>
      </c>
      <c r="I1297" s="4" t="s">
        <v>607</v>
      </c>
      <c r="J1297" s="4" t="s">
        <v>607</v>
      </c>
      <c r="K1297" s="4" t="s">
        <v>607</v>
      </c>
      <c r="L1297" s="4" t="s">
        <v>607</v>
      </c>
      <c r="M1297" s="4" t="s">
        <v>607</v>
      </c>
      <c r="N1297" s="4" t="s">
        <v>607</v>
      </c>
      <c r="O1297" s="4"/>
      <c r="P1297" s="4"/>
      <c r="T1297" s="4"/>
    </row>
    <row r="1298">
      <c r="A1298" s="4" t="s">
        <v>4558</v>
      </c>
      <c r="B1298" s="4" t="s">
        <v>607</v>
      </c>
      <c r="C1298" s="6" t="s">
        <v>607</v>
      </c>
      <c r="D1298" s="6" t="s">
        <v>607</v>
      </c>
      <c r="E1298" s="6" t="s">
        <v>607</v>
      </c>
      <c r="F1298" s="6" t="s">
        <v>607</v>
      </c>
      <c r="G1298" s="4" t="s">
        <v>607</v>
      </c>
      <c r="H1298" s="4" t="s">
        <v>607</v>
      </c>
      <c r="I1298" s="4" t="s">
        <v>607</v>
      </c>
      <c r="J1298" s="4" t="s">
        <v>607</v>
      </c>
      <c r="K1298" s="4" t="s">
        <v>607</v>
      </c>
      <c r="L1298" s="4" t="s">
        <v>607</v>
      </c>
      <c r="M1298" s="4" t="s">
        <v>607</v>
      </c>
      <c r="N1298" s="4" t="s">
        <v>607</v>
      </c>
      <c r="O1298" s="4"/>
      <c r="P1298" s="4"/>
      <c r="T1298" s="4"/>
    </row>
    <row r="1299">
      <c r="A1299" s="4" t="s">
        <v>4561</v>
      </c>
      <c r="B1299" s="4" t="s">
        <v>607</v>
      </c>
      <c r="C1299" s="6" t="s">
        <v>607</v>
      </c>
      <c r="D1299" s="6" t="s">
        <v>607</v>
      </c>
      <c r="E1299" s="6" t="s">
        <v>607</v>
      </c>
      <c r="F1299" s="6" t="s">
        <v>607</v>
      </c>
      <c r="G1299" s="4" t="s">
        <v>607</v>
      </c>
      <c r="H1299" s="4" t="s">
        <v>607</v>
      </c>
      <c r="I1299" s="4" t="s">
        <v>607</v>
      </c>
      <c r="J1299" s="4" t="s">
        <v>607</v>
      </c>
      <c r="K1299" s="4" t="s">
        <v>607</v>
      </c>
      <c r="L1299" s="4" t="s">
        <v>607</v>
      </c>
      <c r="M1299" s="4" t="s">
        <v>607</v>
      </c>
      <c r="N1299" s="4" t="s">
        <v>607</v>
      </c>
      <c r="O1299" s="4"/>
      <c r="P1299" s="4"/>
      <c r="T1299" s="4"/>
    </row>
    <row r="1300">
      <c r="A1300" s="4" t="s">
        <v>4566</v>
      </c>
      <c r="B1300" s="4" t="s">
        <v>607</v>
      </c>
      <c r="C1300" s="6" t="s">
        <v>607</v>
      </c>
      <c r="D1300" s="6" t="s">
        <v>607</v>
      </c>
      <c r="E1300" s="6" t="s">
        <v>607</v>
      </c>
      <c r="F1300" s="6" t="s">
        <v>607</v>
      </c>
      <c r="G1300" s="4" t="s">
        <v>607</v>
      </c>
      <c r="H1300" s="4" t="s">
        <v>607</v>
      </c>
      <c r="I1300" s="4" t="s">
        <v>607</v>
      </c>
      <c r="J1300" s="4" t="s">
        <v>607</v>
      </c>
      <c r="K1300" s="4" t="s">
        <v>607</v>
      </c>
      <c r="L1300" s="4" t="s">
        <v>607</v>
      </c>
      <c r="M1300" s="4" t="s">
        <v>607</v>
      </c>
      <c r="N1300" s="4" t="s">
        <v>607</v>
      </c>
      <c r="O1300" s="4"/>
      <c r="P1300" s="4"/>
      <c r="T1300" s="4"/>
    </row>
    <row r="1301">
      <c r="A1301" s="4" t="s">
        <v>4567</v>
      </c>
      <c r="B1301" s="4" t="s">
        <v>607</v>
      </c>
      <c r="C1301" s="6" t="s">
        <v>607</v>
      </c>
      <c r="D1301" s="6" t="s">
        <v>607</v>
      </c>
      <c r="E1301" s="6" t="s">
        <v>607</v>
      </c>
      <c r="F1301" s="6" t="s">
        <v>607</v>
      </c>
      <c r="G1301" s="4" t="s">
        <v>607</v>
      </c>
      <c r="H1301" s="4" t="s">
        <v>607</v>
      </c>
      <c r="I1301" s="4" t="s">
        <v>607</v>
      </c>
      <c r="J1301" s="4" t="s">
        <v>607</v>
      </c>
      <c r="K1301" s="4" t="s">
        <v>607</v>
      </c>
      <c r="L1301" s="4" t="s">
        <v>607</v>
      </c>
      <c r="M1301" s="4" t="s">
        <v>607</v>
      </c>
      <c r="N1301" s="4" t="s">
        <v>607</v>
      </c>
      <c r="O1301" s="4"/>
      <c r="P1301" s="4"/>
      <c r="T1301" s="4"/>
    </row>
    <row r="1302">
      <c r="A1302" s="4" t="s">
        <v>4568</v>
      </c>
      <c r="B1302" s="4" t="s">
        <v>607</v>
      </c>
      <c r="C1302" s="6" t="s">
        <v>607</v>
      </c>
      <c r="D1302" s="6" t="s">
        <v>607</v>
      </c>
      <c r="E1302" s="6" t="s">
        <v>607</v>
      </c>
      <c r="F1302" s="6" t="s">
        <v>607</v>
      </c>
      <c r="G1302" s="4" t="s">
        <v>607</v>
      </c>
      <c r="H1302" s="4" t="s">
        <v>607</v>
      </c>
      <c r="I1302" s="4" t="s">
        <v>607</v>
      </c>
      <c r="J1302" s="4" t="s">
        <v>607</v>
      </c>
      <c r="K1302" s="4" t="s">
        <v>607</v>
      </c>
      <c r="L1302" s="4" t="s">
        <v>607</v>
      </c>
      <c r="M1302" s="4" t="s">
        <v>607</v>
      </c>
      <c r="N1302" s="4" t="s">
        <v>607</v>
      </c>
      <c r="O1302" s="4"/>
      <c r="P1302" s="4"/>
      <c r="T1302" s="4"/>
    </row>
    <row r="1303">
      <c r="A1303" s="4" t="s">
        <v>4569</v>
      </c>
      <c r="B1303" s="4" t="s">
        <v>607</v>
      </c>
      <c r="C1303" s="6" t="s">
        <v>607</v>
      </c>
      <c r="D1303" s="6" t="s">
        <v>607</v>
      </c>
      <c r="E1303" s="6" t="s">
        <v>607</v>
      </c>
      <c r="F1303" s="6" t="s">
        <v>607</v>
      </c>
      <c r="G1303" s="4" t="s">
        <v>607</v>
      </c>
      <c r="H1303" s="4" t="s">
        <v>607</v>
      </c>
      <c r="I1303" s="4" t="s">
        <v>607</v>
      </c>
      <c r="J1303" s="4" t="s">
        <v>607</v>
      </c>
      <c r="K1303" s="4" t="s">
        <v>607</v>
      </c>
      <c r="L1303" s="4" t="s">
        <v>607</v>
      </c>
      <c r="M1303" s="4" t="s">
        <v>607</v>
      </c>
      <c r="N1303" s="4" t="s">
        <v>607</v>
      </c>
      <c r="O1303" s="4"/>
      <c r="P1303" s="4"/>
      <c r="T1303" s="4"/>
    </row>
    <row r="1304">
      <c r="A1304" s="4" t="s">
        <v>4570</v>
      </c>
      <c r="B1304" s="4" t="s">
        <v>607</v>
      </c>
      <c r="C1304" s="6" t="s">
        <v>607</v>
      </c>
      <c r="D1304" s="6" t="s">
        <v>607</v>
      </c>
      <c r="E1304" s="6" t="s">
        <v>607</v>
      </c>
      <c r="F1304" s="6" t="s">
        <v>607</v>
      </c>
      <c r="G1304" s="4" t="s">
        <v>607</v>
      </c>
      <c r="H1304" s="4" t="s">
        <v>607</v>
      </c>
      <c r="I1304" s="4" t="s">
        <v>607</v>
      </c>
      <c r="J1304" s="4" t="s">
        <v>607</v>
      </c>
      <c r="K1304" s="4" t="s">
        <v>607</v>
      </c>
      <c r="L1304" s="4" t="s">
        <v>607</v>
      </c>
      <c r="M1304" s="4" t="s">
        <v>607</v>
      </c>
      <c r="N1304" s="4" t="s">
        <v>607</v>
      </c>
      <c r="O1304" s="4"/>
      <c r="P1304" s="4"/>
      <c r="T1304" s="4"/>
    </row>
    <row r="1305">
      <c r="A1305" s="4" t="s">
        <v>4571</v>
      </c>
      <c r="B1305" s="4" t="s">
        <v>607</v>
      </c>
      <c r="C1305" s="6" t="s">
        <v>607</v>
      </c>
      <c r="D1305" s="6" t="s">
        <v>607</v>
      </c>
      <c r="E1305" s="6" t="s">
        <v>607</v>
      </c>
      <c r="F1305" s="6" t="s">
        <v>607</v>
      </c>
      <c r="G1305" s="4" t="s">
        <v>607</v>
      </c>
      <c r="H1305" s="4" t="s">
        <v>607</v>
      </c>
      <c r="I1305" s="4" t="s">
        <v>607</v>
      </c>
      <c r="J1305" s="4" t="s">
        <v>607</v>
      </c>
      <c r="K1305" s="4" t="s">
        <v>607</v>
      </c>
      <c r="L1305" s="4" t="s">
        <v>607</v>
      </c>
      <c r="M1305" s="4" t="s">
        <v>607</v>
      </c>
      <c r="N1305" s="4" t="s">
        <v>607</v>
      </c>
      <c r="O1305" s="4"/>
      <c r="P1305" s="4"/>
      <c r="T1305" s="4"/>
    </row>
    <row r="1306">
      <c r="A1306" s="4" t="s">
        <v>4572</v>
      </c>
      <c r="B1306" s="4" t="s">
        <v>607</v>
      </c>
      <c r="C1306" s="6" t="s">
        <v>607</v>
      </c>
      <c r="D1306" s="6" t="s">
        <v>607</v>
      </c>
      <c r="E1306" s="6" t="s">
        <v>607</v>
      </c>
      <c r="F1306" s="6" t="s">
        <v>607</v>
      </c>
      <c r="G1306" s="4" t="s">
        <v>607</v>
      </c>
      <c r="H1306" s="4" t="s">
        <v>607</v>
      </c>
      <c r="I1306" s="4" t="s">
        <v>607</v>
      </c>
      <c r="J1306" s="4" t="s">
        <v>607</v>
      </c>
      <c r="K1306" s="4" t="s">
        <v>607</v>
      </c>
      <c r="L1306" s="4" t="s">
        <v>607</v>
      </c>
      <c r="M1306" s="4" t="s">
        <v>607</v>
      </c>
      <c r="N1306" s="4" t="s">
        <v>607</v>
      </c>
      <c r="O1306" s="4"/>
      <c r="P1306" s="4"/>
      <c r="T1306" s="4"/>
    </row>
    <row r="1307">
      <c r="A1307" s="4" t="s">
        <v>4573</v>
      </c>
      <c r="B1307" s="4" t="s">
        <v>607</v>
      </c>
      <c r="C1307" s="6" t="s">
        <v>607</v>
      </c>
      <c r="D1307" s="6" t="s">
        <v>607</v>
      </c>
      <c r="E1307" s="6" t="s">
        <v>607</v>
      </c>
      <c r="F1307" s="6" t="s">
        <v>607</v>
      </c>
      <c r="G1307" s="4" t="s">
        <v>607</v>
      </c>
      <c r="H1307" s="4" t="s">
        <v>607</v>
      </c>
      <c r="I1307" s="4" t="s">
        <v>607</v>
      </c>
      <c r="J1307" s="4" t="s">
        <v>607</v>
      </c>
      <c r="K1307" s="4" t="s">
        <v>607</v>
      </c>
      <c r="L1307" s="4" t="s">
        <v>607</v>
      </c>
      <c r="M1307" s="4" t="s">
        <v>607</v>
      </c>
      <c r="N1307" s="4" t="s">
        <v>607</v>
      </c>
      <c r="O1307" s="4"/>
      <c r="P1307" s="4"/>
      <c r="T1307" s="4"/>
    </row>
    <row r="1308">
      <c r="A1308" s="4" t="s">
        <v>4574</v>
      </c>
      <c r="B1308" s="4" t="s">
        <v>607</v>
      </c>
      <c r="C1308" s="6" t="s">
        <v>607</v>
      </c>
      <c r="D1308" s="6" t="s">
        <v>607</v>
      </c>
      <c r="E1308" s="6" t="s">
        <v>607</v>
      </c>
      <c r="F1308" s="6" t="s">
        <v>607</v>
      </c>
      <c r="G1308" s="4" t="s">
        <v>607</v>
      </c>
      <c r="H1308" s="4" t="s">
        <v>607</v>
      </c>
      <c r="I1308" s="4" t="s">
        <v>607</v>
      </c>
      <c r="J1308" s="4" t="s">
        <v>607</v>
      </c>
      <c r="K1308" s="4" t="s">
        <v>607</v>
      </c>
      <c r="L1308" s="4" t="s">
        <v>607</v>
      </c>
      <c r="M1308" s="4" t="s">
        <v>607</v>
      </c>
      <c r="N1308" s="4" t="s">
        <v>607</v>
      </c>
      <c r="O1308" s="4"/>
      <c r="P1308" s="4"/>
      <c r="T1308" s="4"/>
    </row>
    <row r="1309">
      <c r="A1309" s="4" t="s">
        <v>4575</v>
      </c>
      <c r="B1309" s="4" t="s">
        <v>607</v>
      </c>
      <c r="C1309" s="6" t="s">
        <v>607</v>
      </c>
      <c r="D1309" s="6" t="s">
        <v>607</v>
      </c>
      <c r="E1309" s="6" t="s">
        <v>607</v>
      </c>
      <c r="F1309" s="6" t="s">
        <v>607</v>
      </c>
      <c r="G1309" s="4" t="s">
        <v>607</v>
      </c>
      <c r="H1309" s="4" t="s">
        <v>607</v>
      </c>
      <c r="I1309" s="4" t="s">
        <v>607</v>
      </c>
      <c r="J1309" s="4" t="s">
        <v>607</v>
      </c>
      <c r="K1309" s="4" t="s">
        <v>607</v>
      </c>
      <c r="L1309" s="4" t="s">
        <v>607</v>
      </c>
      <c r="M1309" s="4" t="s">
        <v>607</v>
      </c>
      <c r="N1309" s="4" t="s">
        <v>607</v>
      </c>
      <c r="O1309" s="4"/>
      <c r="P1309" s="4"/>
      <c r="T1309" s="4"/>
    </row>
    <row r="1310">
      <c r="A1310" s="4" t="s">
        <v>4576</v>
      </c>
      <c r="B1310" s="4" t="s">
        <v>607</v>
      </c>
      <c r="C1310" s="6" t="s">
        <v>607</v>
      </c>
      <c r="D1310" s="6" t="s">
        <v>607</v>
      </c>
      <c r="E1310" s="6" t="s">
        <v>607</v>
      </c>
      <c r="F1310" s="6" t="s">
        <v>607</v>
      </c>
      <c r="G1310" s="4" t="s">
        <v>607</v>
      </c>
      <c r="H1310" s="4" t="s">
        <v>607</v>
      </c>
      <c r="I1310" s="4" t="s">
        <v>607</v>
      </c>
      <c r="J1310" s="4" t="s">
        <v>607</v>
      </c>
      <c r="K1310" s="4" t="s">
        <v>607</v>
      </c>
      <c r="L1310" s="4" t="s">
        <v>607</v>
      </c>
      <c r="M1310" s="4" t="s">
        <v>607</v>
      </c>
      <c r="N1310" s="4" t="s">
        <v>607</v>
      </c>
      <c r="O1310" s="4"/>
      <c r="P1310" s="4"/>
      <c r="T1310" s="4"/>
    </row>
    <row r="1311">
      <c r="A1311" s="4" t="s">
        <v>4577</v>
      </c>
      <c r="B1311" s="4" t="s">
        <v>607</v>
      </c>
      <c r="C1311" s="6" t="s">
        <v>607</v>
      </c>
      <c r="D1311" s="6" t="s">
        <v>607</v>
      </c>
      <c r="E1311" s="6" t="s">
        <v>607</v>
      </c>
      <c r="F1311" s="6" t="s">
        <v>607</v>
      </c>
      <c r="G1311" s="4" t="s">
        <v>607</v>
      </c>
      <c r="H1311" s="4" t="s">
        <v>607</v>
      </c>
      <c r="I1311" s="4" t="s">
        <v>607</v>
      </c>
      <c r="J1311" s="4" t="s">
        <v>607</v>
      </c>
      <c r="K1311" s="4" t="s">
        <v>607</v>
      </c>
      <c r="L1311" s="4" t="s">
        <v>607</v>
      </c>
      <c r="M1311" s="4" t="s">
        <v>607</v>
      </c>
      <c r="N1311" s="4" t="s">
        <v>607</v>
      </c>
      <c r="O1311" s="4"/>
      <c r="P1311" s="4"/>
      <c r="T1311" s="4"/>
    </row>
    <row r="1312">
      <c r="A1312" s="4" t="s">
        <v>4578</v>
      </c>
      <c r="B1312" s="4" t="s">
        <v>607</v>
      </c>
      <c r="C1312" s="6" t="s">
        <v>607</v>
      </c>
      <c r="D1312" s="6" t="s">
        <v>607</v>
      </c>
      <c r="E1312" s="6" t="s">
        <v>607</v>
      </c>
      <c r="F1312" s="6" t="s">
        <v>607</v>
      </c>
      <c r="G1312" s="4" t="s">
        <v>607</v>
      </c>
      <c r="H1312" s="4" t="s">
        <v>607</v>
      </c>
      <c r="I1312" s="4" t="s">
        <v>607</v>
      </c>
      <c r="J1312" s="4" t="s">
        <v>607</v>
      </c>
      <c r="K1312" s="4" t="s">
        <v>607</v>
      </c>
      <c r="L1312" s="4" t="s">
        <v>607</v>
      </c>
      <c r="M1312" s="4" t="s">
        <v>607</v>
      </c>
      <c r="N1312" s="4" t="s">
        <v>607</v>
      </c>
      <c r="O1312" s="4"/>
      <c r="P1312" s="4"/>
      <c r="T1312" s="4"/>
    </row>
    <row r="1313">
      <c r="A1313" s="4" t="s">
        <v>4579</v>
      </c>
      <c r="B1313" s="4" t="s">
        <v>607</v>
      </c>
      <c r="C1313" s="6" t="s">
        <v>607</v>
      </c>
      <c r="D1313" s="6" t="s">
        <v>607</v>
      </c>
      <c r="E1313" s="6" t="s">
        <v>607</v>
      </c>
      <c r="F1313" s="6" t="s">
        <v>607</v>
      </c>
      <c r="G1313" s="4" t="s">
        <v>607</v>
      </c>
      <c r="H1313" s="4" t="s">
        <v>607</v>
      </c>
      <c r="I1313" s="4" t="s">
        <v>607</v>
      </c>
      <c r="J1313" s="4" t="s">
        <v>607</v>
      </c>
      <c r="K1313" s="4" t="s">
        <v>607</v>
      </c>
      <c r="L1313" s="4" t="s">
        <v>607</v>
      </c>
      <c r="M1313" s="4" t="s">
        <v>607</v>
      </c>
      <c r="N1313" s="4" t="s">
        <v>607</v>
      </c>
      <c r="O1313" s="4"/>
      <c r="P1313" s="4"/>
      <c r="T1313" s="4"/>
    </row>
    <row r="1314">
      <c r="A1314" s="4" t="s">
        <v>4580</v>
      </c>
      <c r="B1314" s="4" t="s">
        <v>607</v>
      </c>
      <c r="C1314" s="6" t="s">
        <v>607</v>
      </c>
      <c r="D1314" s="6" t="s">
        <v>607</v>
      </c>
      <c r="E1314" s="6" t="s">
        <v>607</v>
      </c>
      <c r="F1314" s="6" t="s">
        <v>607</v>
      </c>
      <c r="G1314" s="4" t="s">
        <v>607</v>
      </c>
      <c r="H1314" s="4" t="s">
        <v>607</v>
      </c>
      <c r="I1314" s="4" t="s">
        <v>607</v>
      </c>
      <c r="J1314" s="4" t="s">
        <v>607</v>
      </c>
      <c r="K1314" s="4" t="s">
        <v>607</v>
      </c>
      <c r="L1314" s="4" t="s">
        <v>607</v>
      </c>
      <c r="M1314" s="4" t="s">
        <v>607</v>
      </c>
      <c r="N1314" s="4" t="s">
        <v>607</v>
      </c>
      <c r="O1314" s="4"/>
      <c r="P1314" s="4"/>
      <c r="T1314" s="4"/>
    </row>
    <row r="1315">
      <c r="A1315" s="4" t="s">
        <v>4581</v>
      </c>
      <c r="B1315" s="4" t="s">
        <v>607</v>
      </c>
      <c r="C1315" s="6" t="s">
        <v>607</v>
      </c>
      <c r="D1315" s="6" t="s">
        <v>607</v>
      </c>
      <c r="E1315" s="6" t="s">
        <v>607</v>
      </c>
      <c r="F1315" s="6" t="s">
        <v>607</v>
      </c>
      <c r="G1315" s="4" t="s">
        <v>607</v>
      </c>
      <c r="H1315" s="4" t="s">
        <v>607</v>
      </c>
      <c r="I1315" s="4" t="s">
        <v>607</v>
      </c>
      <c r="J1315" s="4" t="s">
        <v>607</v>
      </c>
      <c r="K1315" s="4" t="s">
        <v>607</v>
      </c>
      <c r="L1315" s="4" t="s">
        <v>607</v>
      </c>
      <c r="M1315" s="4" t="s">
        <v>607</v>
      </c>
      <c r="N1315" s="4" t="s">
        <v>607</v>
      </c>
      <c r="O1315" s="4"/>
      <c r="P1315" s="4"/>
      <c r="T1315" s="4"/>
    </row>
    <row r="1316">
      <c r="A1316" s="4" t="s">
        <v>4582</v>
      </c>
      <c r="B1316" s="4" t="s">
        <v>607</v>
      </c>
      <c r="C1316" s="6" t="s">
        <v>607</v>
      </c>
      <c r="D1316" s="6" t="s">
        <v>607</v>
      </c>
      <c r="E1316" s="6" t="s">
        <v>607</v>
      </c>
      <c r="F1316" s="6" t="s">
        <v>607</v>
      </c>
      <c r="G1316" s="4" t="s">
        <v>607</v>
      </c>
      <c r="H1316" s="4" t="s">
        <v>607</v>
      </c>
      <c r="I1316" s="4" t="s">
        <v>607</v>
      </c>
      <c r="J1316" s="4" t="s">
        <v>607</v>
      </c>
      <c r="K1316" s="4" t="s">
        <v>607</v>
      </c>
      <c r="L1316" s="4" t="s">
        <v>607</v>
      </c>
      <c r="M1316" s="4" t="s">
        <v>607</v>
      </c>
      <c r="N1316" s="4" t="s">
        <v>607</v>
      </c>
      <c r="O1316" s="4"/>
      <c r="P1316" s="4"/>
      <c r="T1316" s="4"/>
    </row>
    <row r="1317">
      <c r="A1317" s="4" t="s">
        <v>4583</v>
      </c>
      <c r="B1317" s="4" t="s">
        <v>607</v>
      </c>
      <c r="C1317" s="6" t="s">
        <v>607</v>
      </c>
      <c r="D1317" s="6" t="s">
        <v>607</v>
      </c>
      <c r="E1317" s="6" t="s">
        <v>607</v>
      </c>
      <c r="F1317" s="6" t="s">
        <v>607</v>
      </c>
      <c r="G1317" s="4" t="s">
        <v>607</v>
      </c>
      <c r="H1317" s="4" t="s">
        <v>607</v>
      </c>
      <c r="I1317" s="4" t="s">
        <v>607</v>
      </c>
      <c r="J1317" s="4" t="s">
        <v>607</v>
      </c>
      <c r="K1317" s="4" t="s">
        <v>607</v>
      </c>
      <c r="L1317" s="4" t="s">
        <v>607</v>
      </c>
      <c r="M1317" s="4" t="s">
        <v>607</v>
      </c>
      <c r="N1317" s="4" t="s">
        <v>607</v>
      </c>
      <c r="O1317" s="4"/>
      <c r="P1317" s="4"/>
      <c r="T1317" s="4"/>
    </row>
    <row r="1318">
      <c r="A1318" s="4" t="s">
        <v>4584</v>
      </c>
      <c r="B1318" s="4" t="s">
        <v>607</v>
      </c>
      <c r="C1318" s="6" t="s">
        <v>607</v>
      </c>
      <c r="D1318" s="6" t="s">
        <v>607</v>
      </c>
      <c r="E1318" s="6" t="s">
        <v>607</v>
      </c>
      <c r="F1318" s="6" t="s">
        <v>607</v>
      </c>
      <c r="G1318" s="4" t="s">
        <v>607</v>
      </c>
      <c r="H1318" s="4" t="s">
        <v>607</v>
      </c>
      <c r="I1318" s="4" t="s">
        <v>607</v>
      </c>
      <c r="J1318" s="4" t="s">
        <v>607</v>
      </c>
      <c r="K1318" s="4" t="s">
        <v>607</v>
      </c>
      <c r="L1318" s="4" t="s">
        <v>607</v>
      </c>
      <c r="M1318" s="4" t="s">
        <v>607</v>
      </c>
      <c r="N1318" s="4" t="s">
        <v>607</v>
      </c>
      <c r="O1318" s="4"/>
      <c r="P1318" s="4"/>
      <c r="T1318" s="4"/>
    </row>
    <row r="1319">
      <c r="A1319" s="4" t="s">
        <v>4585</v>
      </c>
      <c r="B1319" s="4" t="s">
        <v>607</v>
      </c>
      <c r="C1319" s="6" t="s">
        <v>607</v>
      </c>
      <c r="D1319" s="6" t="s">
        <v>607</v>
      </c>
      <c r="E1319" s="6" t="s">
        <v>607</v>
      </c>
      <c r="F1319" s="6" t="s">
        <v>607</v>
      </c>
      <c r="G1319" s="4" t="s">
        <v>607</v>
      </c>
      <c r="H1319" s="4" t="s">
        <v>607</v>
      </c>
      <c r="I1319" s="4" t="s">
        <v>607</v>
      </c>
      <c r="J1319" s="4" t="s">
        <v>607</v>
      </c>
      <c r="K1319" s="4" t="s">
        <v>607</v>
      </c>
      <c r="L1319" s="4" t="s">
        <v>607</v>
      </c>
      <c r="M1319" s="4" t="s">
        <v>607</v>
      </c>
      <c r="N1319" s="4" t="s">
        <v>607</v>
      </c>
      <c r="O1319" s="4"/>
      <c r="P1319" s="4"/>
      <c r="T1319" s="4"/>
    </row>
    <row r="1320">
      <c r="A1320" s="4" t="s">
        <v>4586</v>
      </c>
      <c r="B1320" s="4" t="s">
        <v>607</v>
      </c>
      <c r="C1320" s="6" t="s">
        <v>607</v>
      </c>
      <c r="D1320" s="6" t="s">
        <v>607</v>
      </c>
      <c r="E1320" s="6" t="s">
        <v>607</v>
      </c>
      <c r="F1320" s="6" t="s">
        <v>607</v>
      </c>
      <c r="G1320" s="4" t="s">
        <v>607</v>
      </c>
      <c r="H1320" s="4" t="s">
        <v>607</v>
      </c>
      <c r="I1320" s="4" t="s">
        <v>607</v>
      </c>
      <c r="J1320" s="4" t="s">
        <v>607</v>
      </c>
      <c r="K1320" s="4" t="s">
        <v>607</v>
      </c>
      <c r="L1320" s="4" t="s">
        <v>607</v>
      </c>
      <c r="M1320" s="4" t="s">
        <v>607</v>
      </c>
      <c r="N1320" s="4" t="s">
        <v>607</v>
      </c>
      <c r="O1320" s="4"/>
      <c r="P1320" s="4"/>
      <c r="T1320" s="4"/>
    </row>
    <row r="1321">
      <c r="A1321" s="4" t="s">
        <v>4587</v>
      </c>
      <c r="B1321" s="4" t="s">
        <v>607</v>
      </c>
      <c r="C1321" s="6" t="s">
        <v>607</v>
      </c>
      <c r="D1321" s="6" t="s">
        <v>607</v>
      </c>
      <c r="E1321" s="6" t="s">
        <v>607</v>
      </c>
      <c r="F1321" s="6" t="s">
        <v>607</v>
      </c>
      <c r="G1321" s="4" t="s">
        <v>607</v>
      </c>
      <c r="H1321" s="4" t="s">
        <v>607</v>
      </c>
      <c r="I1321" s="4" t="s">
        <v>607</v>
      </c>
      <c r="J1321" s="4" t="s">
        <v>607</v>
      </c>
      <c r="K1321" s="4" t="s">
        <v>607</v>
      </c>
      <c r="L1321" s="4" t="s">
        <v>607</v>
      </c>
      <c r="M1321" s="4" t="s">
        <v>607</v>
      </c>
      <c r="N1321" s="4" t="s">
        <v>607</v>
      </c>
      <c r="O1321" s="4"/>
      <c r="P1321" s="4"/>
      <c r="T1321" s="4"/>
    </row>
    <row r="1322">
      <c r="A1322" s="4" t="s">
        <v>4588</v>
      </c>
      <c r="B1322" s="4" t="s">
        <v>607</v>
      </c>
      <c r="C1322" s="6" t="s">
        <v>607</v>
      </c>
      <c r="D1322" s="6" t="s">
        <v>607</v>
      </c>
      <c r="E1322" s="6" t="s">
        <v>607</v>
      </c>
      <c r="F1322" s="6" t="s">
        <v>607</v>
      </c>
      <c r="G1322" s="4" t="s">
        <v>607</v>
      </c>
      <c r="H1322" s="4" t="s">
        <v>607</v>
      </c>
      <c r="I1322" s="4" t="s">
        <v>607</v>
      </c>
      <c r="J1322" s="4" t="s">
        <v>607</v>
      </c>
      <c r="K1322" s="4" t="s">
        <v>607</v>
      </c>
      <c r="L1322" s="4" t="s">
        <v>607</v>
      </c>
      <c r="M1322" s="4" t="s">
        <v>607</v>
      </c>
      <c r="N1322" s="4" t="s">
        <v>607</v>
      </c>
      <c r="O1322" s="4"/>
      <c r="P1322" s="4"/>
      <c r="T1322" s="4"/>
    </row>
    <row r="1323">
      <c r="A1323" s="4" t="s">
        <v>4589</v>
      </c>
      <c r="B1323" s="4" t="s">
        <v>607</v>
      </c>
      <c r="C1323" s="6" t="s">
        <v>607</v>
      </c>
      <c r="D1323" s="6" t="s">
        <v>607</v>
      </c>
      <c r="E1323" s="6" t="s">
        <v>607</v>
      </c>
      <c r="F1323" s="6" t="s">
        <v>607</v>
      </c>
      <c r="G1323" s="4" t="s">
        <v>607</v>
      </c>
      <c r="H1323" s="4" t="s">
        <v>607</v>
      </c>
      <c r="I1323" s="4" t="s">
        <v>607</v>
      </c>
      <c r="J1323" s="4" t="s">
        <v>607</v>
      </c>
      <c r="K1323" s="4" t="s">
        <v>607</v>
      </c>
      <c r="L1323" s="4" t="s">
        <v>607</v>
      </c>
      <c r="M1323" s="4" t="s">
        <v>607</v>
      </c>
      <c r="N1323" s="4" t="s">
        <v>607</v>
      </c>
      <c r="O1323" s="4"/>
      <c r="P1323" s="4"/>
      <c r="T1323" s="4"/>
    </row>
    <row r="1324">
      <c r="A1324" s="4" t="s">
        <v>4590</v>
      </c>
      <c r="B1324" s="4" t="s">
        <v>607</v>
      </c>
      <c r="C1324" s="6" t="s">
        <v>607</v>
      </c>
      <c r="D1324" s="6" t="s">
        <v>607</v>
      </c>
      <c r="E1324" s="6" t="s">
        <v>607</v>
      </c>
      <c r="F1324" s="6" t="s">
        <v>607</v>
      </c>
      <c r="G1324" s="4" t="s">
        <v>607</v>
      </c>
      <c r="H1324" s="4" t="s">
        <v>607</v>
      </c>
      <c r="I1324" s="4" t="s">
        <v>607</v>
      </c>
      <c r="J1324" s="4" t="s">
        <v>607</v>
      </c>
      <c r="K1324" s="4" t="s">
        <v>607</v>
      </c>
      <c r="L1324" s="4" t="s">
        <v>607</v>
      </c>
      <c r="M1324" s="4" t="s">
        <v>607</v>
      </c>
      <c r="N1324" s="4" t="s">
        <v>607</v>
      </c>
      <c r="O1324" s="4"/>
      <c r="P1324" s="4"/>
      <c r="T1324" s="4"/>
    </row>
    <row r="1325">
      <c r="A1325" s="4" t="s">
        <v>4591</v>
      </c>
      <c r="B1325" s="4" t="s">
        <v>607</v>
      </c>
      <c r="C1325" s="6" t="s">
        <v>607</v>
      </c>
      <c r="D1325" s="6" t="s">
        <v>607</v>
      </c>
      <c r="E1325" s="6" t="s">
        <v>607</v>
      </c>
      <c r="F1325" s="6" t="s">
        <v>607</v>
      </c>
      <c r="G1325" s="4" t="s">
        <v>607</v>
      </c>
      <c r="H1325" s="4" t="s">
        <v>607</v>
      </c>
      <c r="I1325" s="4" t="s">
        <v>607</v>
      </c>
      <c r="J1325" s="4" t="s">
        <v>607</v>
      </c>
      <c r="K1325" s="4" t="s">
        <v>607</v>
      </c>
      <c r="L1325" s="4" t="s">
        <v>607</v>
      </c>
      <c r="M1325" s="4" t="s">
        <v>607</v>
      </c>
      <c r="N1325" s="4" t="s">
        <v>607</v>
      </c>
      <c r="O1325" s="4"/>
      <c r="P1325" s="4"/>
      <c r="T1325" s="4"/>
    </row>
    <row r="1326">
      <c r="A1326" s="4" t="s">
        <v>4592</v>
      </c>
      <c r="B1326" s="4" t="s">
        <v>607</v>
      </c>
      <c r="C1326" s="6" t="s">
        <v>607</v>
      </c>
      <c r="D1326" s="6" t="s">
        <v>607</v>
      </c>
      <c r="E1326" s="6" t="s">
        <v>607</v>
      </c>
      <c r="F1326" s="6" t="s">
        <v>607</v>
      </c>
      <c r="G1326" s="4" t="s">
        <v>607</v>
      </c>
      <c r="H1326" s="4" t="s">
        <v>607</v>
      </c>
      <c r="I1326" s="4" t="s">
        <v>607</v>
      </c>
      <c r="J1326" s="4" t="s">
        <v>607</v>
      </c>
      <c r="K1326" s="4" t="s">
        <v>607</v>
      </c>
      <c r="L1326" s="4" t="s">
        <v>607</v>
      </c>
      <c r="M1326" s="4" t="s">
        <v>607</v>
      </c>
      <c r="N1326" s="4" t="s">
        <v>607</v>
      </c>
      <c r="O1326" s="4"/>
      <c r="P1326" s="4"/>
      <c r="T1326" s="4"/>
    </row>
    <row r="1327">
      <c r="A1327" s="4" t="s">
        <v>4593</v>
      </c>
      <c r="B1327" s="4" t="s">
        <v>607</v>
      </c>
      <c r="C1327" s="6" t="s">
        <v>607</v>
      </c>
      <c r="D1327" s="6" t="s">
        <v>607</v>
      </c>
      <c r="E1327" s="6" t="s">
        <v>607</v>
      </c>
      <c r="F1327" s="6" t="s">
        <v>607</v>
      </c>
      <c r="G1327" s="4" t="s">
        <v>607</v>
      </c>
      <c r="H1327" s="4" t="s">
        <v>607</v>
      </c>
      <c r="I1327" s="4" t="s">
        <v>607</v>
      </c>
      <c r="J1327" s="4" t="s">
        <v>607</v>
      </c>
      <c r="K1327" s="4" t="s">
        <v>607</v>
      </c>
      <c r="L1327" s="4" t="s">
        <v>607</v>
      </c>
      <c r="M1327" s="4" t="s">
        <v>607</v>
      </c>
      <c r="N1327" s="4" t="s">
        <v>607</v>
      </c>
      <c r="O1327" s="4"/>
      <c r="P1327" s="4"/>
      <c r="T1327" s="4"/>
    </row>
    <row r="1328">
      <c r="A1328" s="4" t="s">
        <v>4594</v>
      </c>
      <c r="B1328" s="4" t="s">
        <v>607</v>
      </c>
      <c r="C1328" s="6" t="s">
        <v>607</v>
      </c>
      <c r="D1328" s="6" t="s">
        <v>607</v>
      </c>
      <c r="E1328" s="6" t="s">
        <v>607</v>
      </c>
      <c r="F1328" s="6" t="s">
        <v>607</v>
      </c>
      <c r="G1328" s="4" t="s">
        <v>607</v>
      </c>
      <c r="H1328" s="4" t="s">
        <v>607</v>
      </c>
      <c r="I1328" s="4" t="s">
        <v>607</v>
      </c>
      <c r="J1328" s="4" t="s">
        <v>607</v>
      </c>
      <c r="K1328" s="4" t="s">
        <v>607</v>
      </c>
      <c r="L1328" s="4" t="s">
        <v>607</v>
      </c>
      <c r="M1328" s="4" t="s">
        <v>607</v>
      </c>
      <c r="N1328" s="4" t="s">
        <v>607</v>
      </c>
      <c r="O1328" s="4"/>
      <c r="P1328" s="4"/>
      <c r="T1328" s="4"/>
    </row>
    <row r="1329">
      <c r="A1329" s="4" t="s">
        <v>4595</v>
      </c>
      <c r="B1329" s="4" t="s">
        <v>607</v>
      </c>
      <c r="C1329" s="6" t="s">
        <v>607</v>
      </c>
      <c r="D1329" s="6" t="s">
        <v>607</v>
      </c>
      <c r="E1329" s="6" t="s">
        <v>607</v>
      </c>
      <c r="F1329" s="6" t="s">
        <v>607</v>
      </c>
      <c r="G1329" s="4" t="s">
        <v>607</v>
      </c>
      <c r="H1329" s="4" t="s">
        <v>607</v>
      </c>
      <c r="I1329" s="4" t="s">
        <v>607</v>
      </c>
      <c r="J1329" s="4" t="s">
        <v>607</v>
      </c>
      <c r="K1329" s="4" t="s">
        <v>607</v>
      </c>
      <c r="L1329" s="4" t="s">
        <v>607</v>
      </c>
      <c r="M1329" s="4" t="s">
        <v>607</v>
      </c>
      <c r="N1329" s="4" t="s">
        <v>607</v>
      </c>
      <c r="O1329" s="4"/>
      <c r="P1329" s="4"/>
      <c r="T1329" s="4"/>
    </row>
    <row r="1330">
      <c r="A1330" s="4" t="s">
        <v>4596</v>
      </c>
      <c r="B1330" s="4" t="s">
        <v>607</v>
      </c>
      <c r="C1330" s="6" t="s">
        <v>607</v>
      </c>
      <c r="D1330" s="6" t="s">
        <v>607</v>
      </c>
      <c r="E1330" s="6" t="s">
        <v>607</v>
      </c>
      <c r="F1330" s="6" t="s">
        <v>607</v>
      </c>
      <c r="G1330" s="4" t="s">
        <v>607</v>
      </c>
      <c r="H1330" s="4" t="s">
        <v>607</v>
      </c>
      <c r="I1330" s="4" t="s">
        <v>607</v>
      </c>
      <c r="J1330" s="4" t="s">
        <v>607</v>
      </c>
      <c r="K1330" s="4" t="s">
        <v>607</v>
      </c>
      <c r="L1330" s="4" t="s">
        <v>607</v>
      </c>
      <c r="M1330" s="4" t="s">
        <v>607</v>
      </c>
      <c r="N1330" s="4" t="s">
        <v>607</v>
      </c>
      <c r="O1330" s="4"/>
      <c r="P1330" s="4"/>
      <c r="T1330" s="4"/>
    </row>
    <row r="1331">
      <c r="A1331" s="4" t="s">
        <v>4597</v>
      </c>
      <c r="B1331" s="4" t="s">
        <v>607</v>
      </c>
      <c r="C1331" s="6" t="s">
        <v>607</v>
      </c>
      <c r="D1331" s="6" t="s">
        <v>607</v>
      </c>
      <c r="E1331" s="6" t="s">
        <v>607</v>
      </c>
      <c r="F1331" s="6" t="s">
        <v>607</v>
      </c>
      <c r="G1331" s="4" t="s">
        <v>607</v>
      </c>
      <c r="H1331" s="4" t="s">
        <v>607</v>
      </c>
      <c r="I1331" s="4" t="s">
        <v>607</v>
      </c>
      <c r="J1331" s="4" t="s">
        <v>607</v>
      </c>
      <c r="K1331" s="4" t="s">
        <v>607</v>
      </c>
      <c r="L1331" s="4" t="s">
        <v>607</v>
      </c>
      <c r="M1331" s="4" t="s">
        <v>607</v>
      </c>
      <c r="N1331" s="4" t="s">
        <v>607</v>
      </c>
      <c r="O1331" s="4"/>
      <c r="P1331" s="4"/>
      <c r="T1331" s="4"/>
    </row>
    <row r="1332">
      <c r="A1332" s="4" t="s">
        <v>4598</v>
      </c>
      <c r="B1332" s="4" t="s">
        <v>607</v>
      </c>
      <c r="C1332" s="6" t="s">
        <v>607</v>
      </c>
      <c r="D1332" s="6" t="s">
        <v>607</v>
      </c>
      <c r="E1332" s="6" t="s">
        <v>607</v>
      </c>
      <c r="F1332" s="6" t="s">
        <v>607</v>
      </c>
      <c r="G1332" s="4" t="s">
        <v>607</v>
      </c>
      <c r="H1332" s="4" t="s">
        <v>607</v>
      </c>
      <c r="I1332" s="4" t="s">
        <v>607</v>
      </c>
      <c r="J1332" s="4" t="s">
        <v>607</v>
      </c>
      <c r="K1332" s="4" t="s">
        <v>607</v>
      </c>
      <c r="L1332" s="4" t="s">
        <v>607</v>
      </c>
      <c r="M1332" s="4" t="s">
        <v>607</v>
      </c>
      <c r="N1332" s="4" t="s">
        <v>607</v>
      </c>
      <c r="O1332" s="4"/>
      <c r="P1332" s="4"/>
      <c r="T1332" s="4"/>
    </row>
    <row r="1333">
      <c r="A1333" s="4" t="s">
        <v>4599</v>
      </c>
      <c r="B1333" s="4" t="s">
        <v>607</v>
      </c>
      <c r="C1333" s="6" t="s">
        <v>607</v>
      </c>
      <c r="D1333" s="6" t="s">
        <v>607</v>
      </c>
      <c r="E1333" s="6" t="s">
        <v>607</v>
      </c>
      <c r="F1333" s="6" t="s">
        <v>607</v>
      </c>
      <c r="G1333" s="4" t="s">
        <v>607</v>
      </c>
      <c r="H1333" s="4" t="s">
        <v>607</v>
      </c>
      <c r="I1333" s="4" t="s">
        <v>607</v>
      </c>
      <c r="J1333" s="4" t="s">
        <v>607</v>
      </c>
      <c r="K1333" s="4" t="s">
        <v>607</v>
      </c>
      <c r="L1333" s="4" t="s">
        <v>607</v>
      </c>
      <c r="M1333" s="4" t="s">
        <v>607</v>
      </c>
      <c r="N1333" s="4" t="s">
        <v>607</v>
      </c>
      <c r="O1333" s="4"/>
      <c r="P1333" s="4"/>
      <c r="T1333" s="4"/>
    </row>
    <row r="1334">
      <c r="A1334" s="4" t="s">
        <v>4600</v>
      </c>
      <c r="B1334" s="4" t="s">
        <v>607</v>
      </c>
      <c r="C1334" s="6" t="s">
        <v>607</v>
      </c>
      <c r="D1334" s="6" t="s">
        <v>607</v>
      </c>
      <c r="E1334" s="6" t="s">
        <v>607</v>
      </c>
      <c r="F1334" s="6" t="s">
        <v>607</v>
      </c>
      <c r="G1334" s="4" t="s">
        <v>607</v>
      </c>
      <c r="H1334" s="4" t="s">
        <v>607</v>
      </c>
      <c r="I1334" s="4" t="s">
        <v>607</v>
      </c>
      <c r="J1334" s="4" t="s">
        <v>607</v>
      </c>
      <c r="K1334" s="4" t="s">
        <v>607</v>
      </c>
      <c r="L1334" s="4" t="s">
        <v>607</v>
      </c>
      <c r="M1334" s="4" t="s">
        <v>607</v>
      </c>
      <c r="N1334" s="4" t="s">
        <v>607</v>
      </c>
      <c r="O1334" s="4"/>
      <c r="P1334" s="4"/>
      <c r="T1334" s="4"/>
    </row>
    <row r="1335">
      <c r="A1335" s="4" t="s">
        <v>4601</v>
      </c>
      <c r="B1335" s="4" t="s">
        <v>607</v>
      </c>
      <c r="C1335" s="6" t="s">
        <v>607</v>
      </c>
      <c r="D1335" s="6" t="s">
        <v>607</v>
      </c>
      <c r="E1335" s="6" t="s">
        <v>607</v>
      </c>
      <c r="F1335" s="6" t="s">
        <v>607</v>
      </c>
      <c r="G1335" s="4" t="s">
        <v>607</v>
      </c>
      <c r="H1335" s="4" t="s">
        <v>607</v>
      </c>
      <c r="I1335" s="4" t="s">
        <v>607</v>
      </c>
      <c r="J1335" s="4" t="s">
        <v>607</v>
      </c>
      <c r="K1335" s="4" t="s">
        <v>607</v>
      </c>
      <c r="L1335" s="4" t="s">
        <v>607</v>
      </c>
      <c r="M1335" s="4" t="s">
        <v>607</v>
      </c>
      <c r="N1335" s="4" t="s">
        <v>607</v>
      </c>
      <c r="O1335" s="4"/>
      <c r="P1335" s="4"/>
      <c r="T1335" s="4"/>
    </row>
    <row r="1336">
      <c r="A1336" s="4" t="s">
        <v>4602</v>
      </c>
      <c r="B1336" s="4" t="s">
        <v>607</v>
      </c>
      <c r="C1336" s="6" t="s">
        <v>607</v>
      </c>
      <c r="D1336" s="6" t="s">
        <v>607</v>
      </c>
      <c r="E1336" s="6" t="s">
        <v>607</v>
      </c>
      <c r="F1336" s="6" t="s">
        <v>607</v>
      </c>
      <c r="G1336" s="4" t="s">
        <v>607</v>
      </c>
      <c r="H1336" s="4" t="s">
        <v>607</v>
      </c>
      <c r="I1336" s="4" t="s">
        <v>607</v>
      </c>
      <c r="J1336" s="4" t="s">
        <v>607</v>
      </c>
      <c r="K1336" s="4" t="s">
        <v>607</v>
      </c>
      <c r="L1336" s="4" t="s">
        <v>607</v>
      </c>
      <c r="M1336" s="4" t="s">
        <v>607</v>
      </c>
      <c r="N1336" s="4" t="s">
        <v>607</v>
      </c>
      <c r="O1336" s="4"/>
      <c r="P1336" s="4"/>
      <c r="T1336" s="4"/>
    </row>
    <row r="1337">
      <c r="A1337" s="4" t="s">
        <v>4603</v>
      </c>
      <c r="B1337" s="4" t="s">
        <v>607</v>
      </c>
      <c r="C1337" s="6" t="s">
        <v>607</v>
      </c>
      <c r="D1337" s="6" t="s">
        <v>607</v>
      </c>
      <c r="E1337" s="6" t="s">
        <v>607</v>
      </c>
      <c r="F1337" s="6" t="s">
        <v>607</v>
      </c>
      <c r="G1337" s="4" t="s">
        <v>607</v>
      </c>
      <c r="H1337" s="4" t="s">
        <v>607</v>
      </c>
      <c r="I1337" s="4" t="s">
        <v>607</v>
      </c>
      <c r="J1337" s="4" t="s">
        <v>607</v>
      </c>
      <c r="K1337" s="4" t="s">
        <v>607</v>
      </c>
      <c r="L1337" s="4" t="s">
        <v>607</v>
      </c>
      <c r="M1337" s="4" t="s">
        <v>607</v>
      </c>
      <c r="N1337" s="4" t="s">
        <v>607</v>
      </c>
      <c r="O1337" s="4"/>
      <c r="P1337" s="4"/>
      <c r="T1337" s="4"/>
    </row>
    <row r="1338">
      <c r="A1338" s="4" t="s">
        <v>4604</v>
      </c>
      <c r="B1338" s="4" t="s">
        <v>607</v>
      </c>
      <c r="C1338" s="6" t="s">
        <v>607</v>
      </c>
      <c r="D1338" s="6" t="s">
        <v>607</v>
      </c>
      <c r="E1338" s="6" t="s">
        <v>607</v>
      </c>
      <c r="F1338" s="6" t="s">
        <v>607</v>
      </c>
      <c r="G1338" s="4" t="s">
        <v>607</v>
      </c>
      <c r="H1338" s="4" t="s">
        <v>607</v>
      </c>
      <c r="I1338" s="4" t="s">
        <v>607</v>
      </c>
      <c r="J1338" s="4" t="s">
        <v>607</v>
      </c>
      <c r="K1338" s="4" t="s">
        <v>607</v>
      </c>
      <c r="L1338" s="4" t="s">
        <v>607</v>
      </c>
      <c r="M1338" s="4" t="s">
        <v>607</v>
      </c>
      <c r="N1338" s="4" t="s">
        <v>607</v>
      </c>
      <c r="O1338" s="4"/>
      <c r="P1338" s="4"/>
      <c r="T1338" s="4"/>
    </row>
    <row r="1339">
      <c r="A1339" s="4" t="s">
        <v>4608</v>
      </c>
      <c r="B1339" s="4" t="s">
        <v>607</v>
      </c>
      <c r="C1339" s="6" t="s">
        <v>607</v>
      </c>
      <c r="D1339" s="6" t="s">
        <v>607</v>
      </c>
      <c r="E1339" s="6" t="s">
        <v>607</v>
      </c>
      <c r="F1339" s="6" t="s">
        <v>607</v>
      </c>
      <c r="G1339" s="4" t="s">
        <v>607</v>
      </c>
      <c r="H1339" s="4" t="s">
        <v>607</v>
      </c>
      <c r="I1339" s="4" t="s">
        <v>607</v>
      </c>
      <c r="J1339" s="4" t="s">
        <v>607</v>
      </c>
      <c r="K1339" s="4" t="s">
        <v>607</v>
      </c>
      <c r="L1339" s="4" t="s">
        <v>607</v>
      </c>
      <c r="M1339" s="4" t="s">
        <v>607</v>
      </c>
      <c r="N1339" s="4" t="s">
        <v>607</v>
      </c>
      <c r="O1339" s="4"/>
      <c r="P1339" s="4"/>
      <c r="T1339" s="4"/>
    </row>
    <row r="1340">
      <c r="A1340" s="4" t="s">
        <v>4609</v>
      </c>
      <c r="B1340" s="4" t="s">
        <v>607</v>
      </c>
      <c r="C1340" s="6" t="s">
        <v>607</v>
      </c>
      <c r="D1340" s="6" t="s">
        <v>607</v>
      </c>
      <c r="E1340" s="6" t="s">
        <v>607</v>
      </c>
      <c r="F1340" s="6" t="s">
        <v>607</v>
      </c>
      <c r="G1340" s="4" t="s">
        <v>607</v>
      </c>
      <c r="H1340" s="4" t="s">
        <v>607</v>
      </c>
      <c r="I1340" s="4" t="s">
        <v>607</v>
      </c>
      <c r="J1340" s="4" t="s">
        <v>607</v>
      </c>
      <c r="K1340" s="4" t="s">
        <v>607</v>
      </c>
      <c r="L1340" s="4" t="s">
        <v>607</v>
      </c>
      <c r="M1340" s="4" t="s">
        <v>607</v>
      </c>
      <c r="N1340" s="4" t="s">
        <v>607</v>
      </c>
      <c r="O1340" s="4"/>
      <c r="P1340" s="4"/>
      <c r="T1340" s="4"/>
    </row>
    <row r="1341">
      <c r="A1341" s="4" t="s">
        <v>4610</v>
      </c>
      <c r="B1341" s="4" t="s">
        <v>607</v>
      </c>
      <c r="C1341" s="6" t="s">
        <v>607</v>
      </c>
      <c r="D1341" s="6" t="s">
        <v>607</v>
      </c>
      <c r="E1341" s="6" t="s">
        <v>607</v>
      </c>
      <c r="F1341" s="6" t="s">
        <v>607</v>
      </c>
      <c r="G1341" s="4" t="s">
        <v>607</v>
      </c>
      <c r="H1341" s="4" t="s">
        <v>607</v>
      </c>
      <c r="I1341" s="4" t="s">
        <v>607</v>
      </c>
      <c r="J1341" s="4" t="s">
        <v>607</v>
      </c>
      <c r="K1341" s="4" t="s">
        <v>607</v>
      </c>
      <c r="L1341" s="4" t="s">
        <v>607</v>
      </c>
      <c r="M1341" s="4" t="s">
        <v>607</v>
      </c>
      <c r="N1341" s="4" t="s">
        <v>607</v>
      </c>
      <c r="O1341" s="4"/>
      <c r="P1341" s="4"/>
      <c r="T1341" s="4"/>
    </row>
    <row r="1342">
      <c r="A1342" s="4" t="s">
        <v>4611</v>
      </c>
      <c r="B1342" s="4" t="s">
        <v>607</v>
      </c>
      <c r="C1342" s="6" t="s">
        <v>607</v>
      </c>
      <c r="D1342" s="6" t="s">
        <v>607</v>
      </c>
      <c r="E1342" s="6" t="s">
        <v>607</v>
      </c>
      <c r="F1342" s="6" t="s">
        <v>607</v>
      </c>
      <c r="G1342" s="4" t="s">
        <v>607</v>
      </c>
      <c r="H1342" s="4" t="s">
        <v>607</v>
      </c>
      <c r="I1342" s="4" t="s">
        <v>607</v>
      </c>
      <c r="J1342" s="4" t="s">
        <v>607</v>
      </c>
      <c r="K1342" s="4" t="s">
        <v>607</v>
      </c>
      <c r="L1342" s="4" t="s">
        <v>607</v>
      </c>
      <c r="M1342" s="4" t="s">
        <v>607</v>
      </c>
      <c r="N1342" s="4" t="s">
        <v>607</v>
      </c>
      <c r="O1342" s="4"/>
      <c r="P1342" s="4"/>
      <c r="T1342" s="4"/>
    </row>
    <row r="1343">
      <c r="A1343" s="4" t="s">
        <v>4612</v>
      </c>
      <c r="B1343" s="4" t="s">
        <v>607</v>
      </c>
      <c r="C1343" s="6" t="s">
        <v>607</v>
      </c>
      <c r="D1343" s="6" t="s">
        <v>607</v>
      </c>
      <c r="E1343" s="6" t="s">
        <v>607</v>
      </c>
      <c r="F1343" s="6" t="s">
        <v>607</v>
      </c>
      <c r="G1343" s="4" t="s">
        <v>607</v>
      </c>
      <c r="H1343" s="4" t="s">
        <v>607</v>
      </c>
      <c r="I1343" s="4" t="s">
        <v>607</v>
      </c>
      <c r="J1343" s="4" t="s">
        <v>607</v>
      </c>
      <c r="K1343" s="4" t="s">
        <v>607</v>
      </c>
      <c r="L1343" s="4" t="s">
        <v>607</v>
      </c>
      <c r="M1343" s="4" t="s">
        <v>607</v>
      </c>
      <c r="N1343" s="4" t="s">
        <v>607</v>
      </c>
      <c r="O1343" s="4"/>
      <c r="P1343" s="4"/>
      <c r="T1343" s="4"/>
    </row>
    <row r="1344">
      <c r="A1344" s="4" t="s">
        <v>4613</v>
      </c>
      <c r="B1344" s="4" t="s">
        <v>607</v>
      </c>
      <c r="C1344" s="6" t="s">
        <v>607</v>
      </c>
      <c r="D1344" s="6" t="s">
        <v>607</v>
      </c>
      <c r="E1344" s="6" t="s">
        <v>607</v>
      </c>
      <c r="F1344" s="6" t="s">
        <v>607</v>
      </c>
      <c r="G1344" s="4" t="s">
        <v>607</v>
      </c>
      <c r="H1344" s="4" t="s">
        <v>607</v>
      </c>
      <c r="I1344" s="4" t="s">
        <v>607</v>
      </c>
      <c r="J1344" s="4" t="s">
        <v>607</v>
      </c>
      <c r="K1344" s="4" t="s">
        <v>607</v>
      </c>
      <c r="L1344" s="4" t="s">
        <v>607</v>
      </c>
      <c r="M1344" s="4" t="s">
        <v>607</v>
      </c>
      <c r="N1344" s="4" t="s">
        <v>607</v>
      </c>
      <c r="O1344" s="4"/>
      <c r="P1344" s="4"/>
      <c r="T1344" s="4"/>
    </row>
    <row r="1345">
      <c r="A1345" s="4" t="s">
        <v>4614</v>
      </c>
      <c r="B1345" s="4" t="s">
        <v>607</v>
      </c>
      <c r="C1345" s="6" t="s">
        <v>607</v>
      </c>
      <c r="D1345" s="6" t="s">
        <v>607</v>
      </c>
      <c r="E1345" s="6" t="s">
        <v>607</v>
      </c>
      <c r="F1345" s="6" t="s">
        <v>607</v>
      </c>
      <c r="G1345" s="4" t="s">
        <v>607</v>
      </c>
      <c r="H1345" s="4" t="s">
        <v>607</v>
      </c>
      <c r="I1345" s="4" t="s">
        <v>607</v>
      </c>
      <c r="J1345" s="4" t="s">
        <v>607</v>
      </c>
      <c r="K1345" s="4" t="s">
        <v>607</v>
      </c>
      <c r="L1345" s="4" t="s">
        <v>607</v>
      </c>
      <c r="M1345" s="4" t="s">
        <v>607</v>
      </c>
      <c r="N1345" s="4" t="s">
        <v>607</v>
      </c>
      <c r="O1345" s="4"/>
      <c r="P1345" s="4"/>
      <c r="T1345" s="4"/>
    </row>
    <row r="1346">
      <c r="A1346" s="4" t="s">
        <v>4615</v>
      </c>
      <c r="B1346" s="4" t="s">
        <v>607</v>
      </c>
      <c r="C1346" s="6" t="s">
        <v>607</v>
      </c>
      <c r="D1346" s="6" t="s">
        <v>607</v>
      </c>
      <c r="E1346" s="6" t="s">
        <v>607</v>
      </c>
      <c r="F1346" s="6" t="s">
        <v>607</v>
      </c>
      <c r="G1346" s="4" t="s">
        <v>607</v>
      </c>
      <c r="H1346" s="4" t="s">
        <v>607</v>
      </c>
      <c r="I1346" s="4" t="s">
        <v>607</v>
      </c>
      <c r="J1346" s="4" t="s">
        <v>607</v>
      </c>
      <c r="K1346" s="4" t="s">
        <v>607</v>
      </c>
      <c r="L1346" s="4" t="s">
        <v>607</v>
      </c>
      <c r="M1346" s="4" t="s">
        <v>607</v>
      </c>
      <c r="N1346" s="4" t="s">
        <v>607</v>
      </c>
      <c r="O1346" s="4"/>
      <c r="P1346" s="4"/>
      <c r="T1346" s="4"/>
    </row>
    <row r="1347">
      <c r="A1347" s="4" t="s">
        <v>4616</v>
      </c>
      <c r="B1347" s="4" t="s">
        <v>607</v>
      </c>
      <c r="C1347" s="6" t="s">
        <v>607</v>
      </c>
      <c r="D1347" s="6" t="s">
        <v>607</v>
      </c>
      <c r="E1347" s="6" t="s">
        <v>607</v>
      </c>
      <c r="F1347" s="6" t="s">
        <v>607</v>
      </c>
      <c r="G1347" s="4" t="s">
        <v>607</v>
      </c>
      <c r="H1347" s="4" t="s">
        <v>607</v>
      </c>
      <c r="I1347" s="4" t="s">
        <v>607</v>
      </c>
      <c r="J1347" s="4" t="s">
        <v>607</v>
      </c>
      <c r="K1347" s="4" t="s">
        <v>607</v>
      </c>
      <c r="L1347" s="4" t="s">
        <v>607</v>
      </c>
      <c r="M1347" s="4" t="s">
        <v>607</v>
      </c>
      <c r="N1347" s="4" t="s">
        <v>607</v>
      </c>
      <c r="O1347" s="4"/>
      <c r="P1347" s="4"/>
      <c r="T1347" s="4"/>
    </row>
    <row r="1348">
      <c r="A1348" s="4" t="s">
        <v>4617</v>
      </c>
      <c r="B1348" s="4" t="s">
        <v>607</v>
      </c>
      <c r="C1348" s="6" t="s">
        <v>607</v>
      </c>
      <c r="D1348" s="6" t="s">
        <v>607</v>
      </c>
      <c r="E1348" s="6" t="s">
        <v>607</v>
      </c>
      <c r="F1348" s="6" t="s">
        <v>607</v>
      </c>
      <c r="G1348" s="4" t="s">
        <v>607</v>
      </c>
      <c r="H1348" s="4" t="s">
        <v>607</v>
      </c>
      <c r="I1348" s="4" t="s">
        <v>607</v>
      </c>
      <c r="J1348" s="4" t="s">
        <v>607</v>
      </c>
      <c r="K1348" s="4" t="s">
        <v>607</v>
      </c>
      <c r="L1348" s="4" t="s">
        <v>607</v>
      </c>
      <c r="M1348" s="4" t="s">
        <v>607</v>
      </c>
      <c r="N1348" s="4" t="s">
        <v>607</v>
      </c>
      <c r="O1348" s="4"/>
      <c r="P1348" s="4"/>
      <c r="T1348" s="4"/>
    </row>
    <row r="1349">
      <c r="A1349" s="4" t="s">
        <v>4618</v>
      </c>
      <c r="B1349" s="4" t="s">
        <v>607</v>
      </c>
      <c r="C1349" s="6" t="s">
        <v>607</v>
      </c>
      <c r="D1349" s="6" t="s">
        <v>607</v>
      </c>
      <c r="E1349" s="6" t="s">
        <v>607</v>
      </c>
      <c r="F1349" s="6" t="s">
        <v>607</v>
      </c>
      <c r="G1349" s="4" t="s">
        <v>607</v>
      </c>
      <c r="H1349" s="4" t="s">
        <v>607</v>
      </c>
      <c r="I1349" s="4" t="s">
        <v>607</v>
      </c>
      <c r="J1349" s="4" t="s">
        <v>607</v>
      </c>
      <c r="K1349" s="4" t="s">
        <v>607</v>
      </c>
      <c r="L1349" s="4" t="s">
        <v>607</v>
      </c>
      <c r="M1349" s="4" t="s">
        <v>607</v>
      </c>
      <c r="N1349" s="4" t="s">
        <v>607</v>
      </c>
      <c r="O1349" s="4"/>
      <c r="P1349" s="4"/>
      <c r="T1349" s="4"/>
    </row>
    <row r="1350">
      <c r="A1350" s="4" t="s">
        <v>4619</v>
      </c>
      <c r="B1350" s="4" t="s">
        <v>607</v>
      </c>
      <c r="C1350" s="6" t="s">
        <v>607</v>
      </c>
      <c r="D1350" s="6" t="s">
        <v>607</v>
      </c>
      <c r="E1350" s="6" t="s">
        <v>607</v>
      </c>
      <c r="F1350" s="6" t="s">
        <v>607</v>
      </c>
      <c r="G1350" s="4" t="s">
        <v>607</v>
      </c>
      <c r="H1350" s="4" t="s">
        <v>607</v>
      </c>
      <c r="I1350" s="4" t="s">
        <v>607</v>
      </c>
      <c r="J1350" s="4" t="s">
        <v>607</v>
      </c>
      <c r="K1350" s="4" t="s">
        <v>607</v>
      </c>
      <c r="L1350" s="4" t="s">
        <v>607</v>
      </c>
      <c r="M1350" s="4" t="s">
        <v>607</v>
      </c>
      <c r="N1350" s="4" t="s">
        <v>607</v>
      </c>
      <c r="O1350" s="4"/>
      <c r="P1350" s="4"/>
      <c r="T1350" s="4"/>
    </row>
    <row r="1351">
      <c r="A1351" s="4" t="s">
        <v>4620</v>
      </c>
      <c r="B1351" s="4" t="s">
        <v>607</v>
      </c>
      <c r="C1351" s="6" t="s">
        <v>607</v>
      </c>
      <c r="D1351" s="6" t="s">
        <v>607</v>
      </c>
      <c r="E1351" s="6" t="s">
        <v>607</v>
      </c>
      <c r="F1351" s="6" t="s">
        <v>607</v>
      </c>
      <c r="G1351" s="4" t="s">
        <v>607</v>
      </c>
      <c r="H1351" s="4" t="s">
        <v>607</v>
      </c>
      <c r="I1351" s="4" t="s">
        <v>607</v>
      </c>
      <c r="J1351" s="4" t="s">
        <v>607</v>
      </c>
      <c r="K1351" s="4" t="s">
        <v>607</v>
      </c>
      <c r="L1351" s="4" t="s">
        <v>607</v>
      </c>
      <c r="M1351" s="4" t="s">
        <v>607</v>
      </c>
      <c r="N1351" s="4" t="s">
        <v>607</v>
      </c>
      <c r="O1351" s="4"/>
      <c r="P1351" s="4"/>
      <c r="T1351" s="4"/>
    </row>
    <row r="1352">
      <c r="A1352" s="4" t="s">
        <v>4621</v>
      </c>
      <c r="B1352" s="4" t="s">
        <v>607</v>
      </c>
      <c r="C1352" s="6" t="s">
        <v>607</v>
      </c>
      <c r="D1352" s="6" t="s">
        <v>607</v>
      </c>
      <c r="E1352" s="6" t="s">
        <v>607</v>
      </c>
      <c r="F1352" s="6" t="s">
        <v>607</v>
      </c>
      <c r="G1352" s="4" t="s">
        <v>607</v>
      </c>
      <c r="H1352" s="4" t="s">
        <v>607</v>
      </c>
      <c r="I1352" s="4" t="s">
        <v>607</v>
      </c>
      <c r="J1352" s="4" t="s">
        <v>607</v>
      </c>
      <c r="K1352" s="4" t="s">
        <v>607</v>
      </c>
      <c r="L1352" s="4" t="s">
        <v>607</v>
      </c>
      <c r="M1352" s="4" t="s">
        <v>607</v>
      </c>
      <c r="N1352" s="4" t="s">
        <v>607</v>
      </c>
      <c r="O1352" s="4"/>
      <c r="P1352" s="4"/>
      <c r="T1352" s="4"/>
    </row>
    <row r="1353">
      <c r="A1353" s="4" t="s">
        <v>4622</v>
      </c>
      <c r="B1353" s="4" t="s">
        <v>607</v>
      </c>
      <c r="C1353" s="6" t="s">
        <v>607</v>
      </c>
      <c r="D1353" s="6" t="s">
        <v>607</v>
      </c>
      <c r="E1353" s="6" t="s">
        <v>607</v>
      </c>
      <c r="F1353" s="6" t="s">
        <v>607</v>
      </c>
      <c r="G1353" s="4" t="s">
        <v>607</v>
      </c>
      <c r="H1353" s="4" t="s">
        <v>607</v>
      </c>
      <c r="I1353" s="4" t="s">
        <v>607</v>
      </c>
      <c r="J1353" s="4" t="s">
        <v>607</v>
      </c>
      <c r="K1353" s="4" t="s">
        <v>607</v>
      </c>
      <c r="L1353" s="4" t="s">
        <v>607</v>
      </c>
      <c r="M1353" s="4" t="s">
        <v>607</v>
      </c>
      <c r="N1353" s="4" t="s">
        <v>607</v>
      </c>
      <c r="O1353" s="4"/>
      <c r="P1353" s="4"/>
      <c r="T1353" s="4"/>
    </row>
    <row r="1354">
      <c r="A1354" s="4" t="s">
        <v>4623</v>
      </c>
      <c r="B1354" s="4" t="s">
        <v>607</v>
      </c>
      <c r="C1354" s="6" t="s">
        <v>607</v>
      </c>
      <c r="D1354" s="6" t="s">
        <v>607</v>
      </c>
      <c r="E1354" s="6" t="s">
        <v>607</v>
      </c>
      <c r="F1354" s="6" t="s">
        <v>607</v>
      </c>
      <c r="G1354" s="4" t="s">
        <v>607</v>
      </c>
      <c r="H1354" s="4" t="s">
        <v>607</v>
      </c>
      <c r="I1354" s="4" t="s">
        <v>607</v>
      </c>
      <c r="J1354" s="4" t="s">
        <v>607</v>
      </c>
      <c r="K1354" s="4" t="s">
        <v>607</v>
      </c>
      <c r="L1354" s="4" t="s">
        <v>607</v>
      </c>
      <c r="M1354" s="4" t="s">
        <v>607</v>
      </c>
      <c r="N1354" s="4" t="s">
        <v>607</v>
      </c>
      <c r="O1354" s="4"/>
      <c r="P1354" s="4"/>
      <c r="T1354" s="4"/>
    </row>
    <row r="1355">
      <c r="A1355" s="4" t="s">
        <v>4624</v>
      </c>
      <c r="B1355" s="4" t="s">
        <v>607</v>
      </c>
      <c r="C1355" s="6" t="s">
        <v>607</v>
      </c>
      <c r="D1355" s="6" t="s">
        <v>607</v>
      </c>
      <c r="E1355" s="6" t="s">
        <v>607</v>
      </c>
      <c r="F1355" s="6" t="s">
        <v>607</v>
      </c>
      <c r="G1355" s="4" t="s">
        <v>607</v>
      </c>
      <c r="H1355" s="4" t="s">
        <v>607</v>
      </c>
      <c r="I1355" s="4" t="s">
        <v>607</v>
      </c>
      <c r="J1355" s="4" t="s">
        <v>607</v>
      </c>
      <c r="K1355" s="4" t="s">
        <v>607</v>
      </c>
      <c r="L1355" s="4" t="s">
        <v>607</v>
      </c>
      <c r="M1355" s="4" t="s">
        <v>607</v>
      </c>
      <c r="N1355" s="4" t="s">
        <v>607</v>
      </c>
      <c r="O1355" s="4"/>
      <c r="P1355" s="4"/>
      <c r="T1355" s="4"/>
    </row>
    <row r="1356">
      <c r="A1356" s="4" t="s">
        <v>4625</v>
      </c>
      <c r="B1356" s="4" t="s">
        <v>607</v>
      </c>
      <c r="C1356" s="6" t="s">
        <v>607</v>
      </c>
      <c r="D1356" s="6" t="s">
        <v>607</v>
      </c>
      <c r="E1356" s="6" t="s">
        <v>607</v>
      </c>
      <c r="F1356" s="6" t="s">
        <v>607</v>
      </c>
      <c r="G1356" s="4" t="s">
        <v>607</v>
      </c>
      <c r="H1356" s="4" t="s">
        <v>607</v>
      </c>
      <c r="I1356" s="4" t="s">
        <v>607</v>
      </c>
      <c r="J1356" s="4" t="s">
        <v>607</v>
      </c>
      <c r="K1356" s="4" t="s">
        <v>607</v>
      </c>
      <c r="L1356" s="4" t="s">
        <v>607</v>
      </c>
      <c r="M1356" s="4" t="s">
        <v>607</v>
      </c>
      <c r="N1356" s="4" t="s">
        <v>607</v>
      </c>
      <c r="O1356" s="4"/>
      <c r="P1356" s="4"/>
      <c r="T1356" s="4"/>
    </row>
    <row r="1357">
      <c r="A1357" s="4" t="s">
        <v>4626</v>
      </c>
      <c r="B1357" s="4" t="s">
        <v>607</v>
      </c>
      <c r="C1357" s="6" t="s">
        <v>607</v>
      </c>
      <c r="D1357" s="6" t="s">
        <v>607</v>
      </c>
      <c r="E1357" s="6" t="s">
        <v>607</v>
      </c>
      <c r="F1357" s="6" t="s">
        <v>607</v>
      </c>
      <c r="G1357" s="4" t="s">
        <v>607</v>
      </c>
      <c r="H1357" s="4" t="s">
        <v>607</v>
      </c>
      <c r="I1357" s="4" t="s">
        <v>607</v>
      </c>
      <c r="J1357" s="4" t="s">
        <v>607</v>
      </c>
      <c r="K1357" s="4" t="s">
        <v>607</v>
      </c>
      <c r="L1357" s="4" t="s">
        <v>607</v>
      </c>
      <c r="M1357" s="4" t="s">
        <v>607</v>
      </c>
      <c r="N1357" s="4" t="s">
        <v>607</v>
      </c>
      <c r="O1357" s="4"/>
      <c r="P1357" s="4"/>
      <c r="T1357" s="4"/>
    </row>
    <row r="1358">
      <c r="A1358" s="4" t="s">
        <v>4627</v>
      </c>
      <c r="B1358" s="4" t="s">
        <v>607</v>
      </c>
      <c r="C1358" s="6" t="s">
        <v>607</v>
      </c>
      <c r="D1358" s="6" t="s">
        <v>607</v>
      </c>
      <c r="E1358" s="6" t="s">
        <v>607</v>
      </c>
      <c r="F1358" s="6" t="s">
        <v>607</v>
      </c>
      <c r="G1358" s="4" t="s">
        <v>607</v>
      </c>
      <c r="H1358" s="4" t="s">
        <v>607</v>
      </c>
      <c r="I1358" s="4" t="s">
        <v>607</v>
      </c>
      <c r="J1358" s="4" t="s">
        <v>607</v>
      </c>
      <c r="K1358" s="4" t="s">
        <v>607</v>
      </c>
      <c r="L1358" s="4" t="s">
        <v>607</v>
      </c>
      <c r="M1358" s="4" t="s">
        <v>607</v>
      </c>
      <c r="N1358" s="4" t="s">
        <v>607</v>
      </c>
      <c r="O1358" s="4"/>
      <c r="P1358" s="4"/>
      <c r="T1358" s="4"/>
    </row>
    <row r="1359">
      <c r="A1359" s="4" t="s">
        <v>4628</v>
      </c>
      <c r="B1359" s="4" t="s">
        <v>607</v>
      </c>
      <c r="C1359" s="6" t="s">
        <v>607</v>
      </c>
      <c r="D1359" s="6" t="s">
        <v>607</v>
      </c>
      <c r="E1359" s="6" t="s">
        <v>607</v>
      </c>
      <c r="F1359" s="6" t="s">
        <v>607</v>
      </c>
      <c r="G1359" s="4" t="s">
        <v>607</v>
      </c>
      <c r="H1359" s="4" t="s">
        <v>607</v>
      </c>
      <c r="I1359" s="4" t="s">
        <v>607</v>
      </c>
      <c r="J1359" s="4" t="s">
        <v>607</v>
      </c>
      <c r="K1359" s="4" t="s">
        <v>607</v>
      </c>
      <c r="L1359" s="4" t="s">
        <v>607</v>
      </c>
      <c r="M1359" s="4" t="s">
        <v>607</v>
      </c>
      <c r="N1359" s="4" t="s">
        <v>607</v>
      </c>
      <c r="O1359" s="4"/>
      <c r="P1359" s="4"/>
      <c r="T1359" s="4"/>
    </row>
    <row r="1360">
      <c r="A1360" s="4" t="s">
        <v>4629</v>
      </c>
      <c r="B1360" s="4" t="s">
        <v>607</v>
      </c>
      <c r="C1360" s="6" t="s">
        <v>607</v>
      </c>
      <c r="D1360" s="6" t="s">
        <v>607</v>
      </c>
      <c r="E1360" s="6" t="s">
        <v>607</v>
      </c>
      <c r="F1360" s="6" t="s">
        <v>607</v>
      </c>
      <c r="G1360" s="4" t="s">
        <v>607</v>
      </c>
      <c r="H1360" s="4" t="s">
        <v>607</v>
      </c>
      <c r="I1360" s="4" t="s">
        <v>607</v>
      </c>
      <c r="J1360" s="4" t="s">
        <v>607</v>
      </c>
      <c r="K1360" s="4" t="s">
        <v>607</v>
      </c>
      <c r="L1360" s="4" t="s">
        <v>607</v>
      </c>
      <c r="M1360" s="4" t="s">
        <v>607</v>
      </c>
      <c r="N1360" s="4" t="s">
        <v>607</v>
      </c>
      <c r="O1360" s="4"/>
      <c r="P1360" s="4"/>
      <c r="T1360" s="4"/>
    </row>
    <row r="1361">
      <c r="A1361" s="4" t="s">
        <v>4630</v>
      </c>
      <c r="B1361" s="4" t="s">
        <v>607</v>
      </c>
      <c r="C1361" s="6" t="s">
        <v>607</v>
      </c>
      <c r="D1361" s="6" t="s">
        <v>607</v>
      </c>
      <c r="E1361" s="6" t="s">
        <v>607</v>
      </c>
      <c r="F1361" s="6" t="s">
        <v>607</v>
      </c>
      <c r="G1361" s="4" t="s">
        <v>607</v>
      </c>
      <c r="H1361" s="4" t="s">
        <v>607</v>
      </c>
      <c r="I1361" s="4" t="s">
        <v>607</v>
      </c>
      <c r="J1361" s="4" t="s">
        <v>607</v>
      </c>
      <c r="K1361" s="4" t="s">
        <v>607</v>
      </c>
      <c r="L1361" s="4" t="s">
        <v>607</v>
      </c>
      <c r="M1361" s="4" t="s">
        <v>607</v>
      </c>
      <c r="N1361" s="4" t="s">
        <v>607</v>
      </c>
      <c r="O1361" s="4"/>
      <c r="P1361" s="4"/>
      <c r="T1361" s="4"/>
    </row>
    <row r="1362">
      <c r="A1362" s="4" t="s">
        <v>4631</v>
      </c>
      <c r="B1362" s="4" t="s">
        <v>607</v>
      </c>
      <c r="C1362" s="6" t="s">
        <v>607</v>
      </c>
      <c r="D1362" s="6" t="s">
        <v>607</v>
      </c>
      <c r="E1362" s="6" t="s">
        <v>607</v>
      </c>
      <c r="F1362" s="6" t="s">
        <v>607</v>
      </c>
      <c r="G1362" s="4" t="s">
        <v>607</v>
      </c>
      <c r="H1362" s="4" t="s">
        <v>607</v>
      </c>
      <c r="I1362" s="4" t="s">
        <v>607</v>
      </c>
      <c r="J1362" s="4" t="s">
        <v>607</v>
      </c>
      <c r="K1362" s="4" t="s">
        <v>607</v>
      </c>
      <c r="L1362" s="4" t="s">
        <v>607</v>
      </c>
      <c r="M1362" s="4" t="s">
        <v>607</v>
      </c>
      <c r="N1362" s="4" t="s">
        <v>607</v>
      </c>
      <c r="O1362" s="4"/>
      <c r="P1362" s="4"/>
      <c r="T1362" s="4"/>
    </row>
    <row r="1363">
      <c r="A1363" s="4" t="s">
        <v>4635</v>
      </c>
      <c r="B1363" s="4" t="s">
        <v>607</v>
      </c>
      <c r="C1363" s="6" t="s">
        <v>607</v>
      </c>
      <c r="D1363" s="6" t="s">
        <v>607</v>
      </c>
      <c r="E1363" s="6" t="s">
        <v>607</v>
      </c>
      <c r="F1363" s="6" t="s">
        <v>607</v>
      </c>
      <c r="G1363" s="4" t="s">
        <v>607</v>
      </c>
      <c r="H1363" s="4" t="s">
        <v>607</v>
      </c>
      <c r="I1363" s="4" t="s">
        <v>607</v>
      </c>
      <c r="J1363" s="4" t="s">
        <v>607</v>
      </c>
      <c r="K1363" s="4" t="s">
        <v>607</v>
      </c>
      <c r="L1363" s="4" t="s">
        <v>607</v>
      </c>
      <c r="M1363" s="4" t="s">
        <v>607</v>
      </c>
      <c r="N1363" s="4" t="s">
        <v>607</v>
      </c>
      <c r="O1363" s="4"/>
      <c r="P1363" s="4"/>
      <c r="T1363" s="4"/>
    </row>
    <row r="1364">
      <c r="A1364" s="4" t="s">
        <v>4636</v>
      </c>
      <c r="B1364" s="4" t="s">
        <v>607</v>
      </c>
      <c r="C1364" s="6" t="s">
        <v>607</v>
      </c>
      <c r="D1364" s="6" t="s">
        <v>607</v>
      </c>
      <c r="E1364" s="6" t="s">
        <v>607</v>
      </c>
      <c r="F1364" s="6" t="s">
        <v>607</v>
      </c>
      <c r="G1364" s="4" t="s">
        <v>607</v>
      </c>
      <c r="H1364" s="4" t="s">
        <v>607</v>
      </c>
      <c r="I1364" s="4" t="s">
        <v>607</v>
      </c>
      <c r="J1364" s="4" t="s">
        <v>607</v>
      </c>
      <c r="K1364" s="4" t="s">
        <v>607</v>
      </c>
      <c r="L1364" s="4" t="s">
        <v>607</v>
      </c>
      <c r="M1364" s="4" t="s">
        <v>607</v>
      </c>
      <c r="N1364" s="4" t="s">
        <v>607</v>
      </c>
      <c r="O1364" s="4"/>
      <c r="P1364" s="4"/>
      <c r="T1364" s="4"/>
    </row>
    <row r="1365">
      <c r="A1365" s="4" t="s">
        <v>4637</v>
      </c>
      <c r="B1365" s="4" t="s">
        <v>607</v>
      </c>
      <c r="C1365" s="6" t="s">
        <v>607</v>
      </c>
      <c r="D1365" s="6" t="s">
        <v>607</v>
      </c>
      <c r="E1365" s="6" t="s">
        <v>607</v>
      </c>
      <c r="F1365" s="6" t="s">
        <v>607</v>
      </c>
      <c r="G1365" s="4" t="s">
        <v>607</v>
      </c>
      <c r="H1365" s="4" t="s">
        <v>607</v>
      </c>
      <c r="I1365" s="4" t="s">
        <v>607</v>
      </c>
      <c r="J1365" s="4" t="s">
        <v>607</v>
      </c>
      <c r="K1365" s="4" t="s">
        <v>607</v>
      </c>
      <c r="L1365" s="4" t="s">
        <v>607</v>
      </c>
      <c r="M1365" s="4" t="s">
        <v>607</v>
      </c>
      <c r="N1365" s="4" t="s">
        <v>607</v>
      </c>
      <c r="O1365" s="4"/>
      <c r="P1365" s="4"/>
      <c r="T1365" s="4"/>
    </row>
    <row r="1366">
      <c r="A1366" s="4" t="s">
        <v>4638</v>
      </c>
      <c r="B1366" s="4" t="s">
        <v>607</v>
      </c>
      <c r="C1366" s="6" t="s">
        <v>607</v>
      </c>
      <c r="D1366" s="6" t="s">
        <v>607</v>
      </c>
      <c r="E1366" s="6" t="s">
        <v>607</v>
      </c>
      <c r="F1366" s="6" t="s">
        <v>607</v>
      </c>
      <c r="G1366" s="4" t="s">
        <v>607</v>
      </c>
      <c r="H1366" s="4" t="s">
        <v>607</v>
      </c>
      <c r="I1366" s="4" t="s">
        <v>607</v>
      </c>
      <c r="J1366" s="4" t="s">
        <v>607</v>
      </c>
      <c r="K1366" s="4" t="s">
        <v>607</v>
      </c>
      <c r="L1366" s="4" t="s">
        <v>607</v>
      </c>
      <c r="M1366" s="4" t="s">
        <v>607</v>
      </c>
      <c r="N1366" s="4" t="s">
        <v>607</v>
      </c>
      <c r="O1366" s="4"/>
      <c r="P1366" s="4"/>
      <c r="T1366" s="4"/>
    </row>
    <row r="1367">
      <c r="A1367" s="4" t="s">
        <v>4640</v>
      </c>
      <c r="B1367" s="4" t="s">
        <v>607</v>
      </c>
      <c r="C1367" s="6" t="s">
        <v>607</v>
      </c>
      <c r="D1367" s="6" t="s">
        <v>607</v>
      </c>
      <c r="E1367" s="6" t="s">
        <v>607</v>
      </c>
      <c r="F1367" s="6" t="s">
        <v>607</v>
      </c>
      <c r="G1367" s="4" t="s">
        <v>607</v>
      </c>
      <c r="H1367" s="4" t="s">
        <v>607</v>
      </c>
      <c r="I1367" s="4" t="s">
        <v>607</v>
      </c>
      <c r="J1367" s="4" t="s">
        <v>607</v>
      </c>
      <c r="K1367" s="4" t="s">
        <v>607</v>
      </c>
      <c r="L1367" s="4" t="s">
        <v>607</v>
      </c>
      <c r="M1367" s="4" t="s">
        <v>607</v>
      </c>
      <c r="N1367" s="4" t="s">
        <v>607</v>
      </c>
      <c r="O1367" s="4"/>
      <c r="P1367" s="4"/>
      <c r="T1367" s="4"/>
    </row>
    <row r="1368">
      <c r="A1368" s="4" t="s">
        <v>4641</v>
      </c>
      <c r="B1368" s="4" t="s">
        <v>607</v>
      </c>
      <c r="C1368" s="6" t="s">
        <v>607</v>
      </c>
      <c r="D1368" s="6" t="s">
        <v>607</v>
      </c>
      <c r="E1368" s="6" t="s">
        <v>607</v>
      </c>
      <c r="F1368" s="6" t="s">
        <v>607</v>
      </c>
      <c r="G1368" s="4" t="s">
        <v>607</v>
      </c>
      <c r="H1368" s="4" t="s">
        <v>607</v>
      </c>
      <c r="I1368" s="4" t="s">
        <v>607</v>
      </c>
      <c r="J1368" s="4" t="s">
        <v>607</v>
      </c>
      <c r="K1368" s="4" t="s">
        <v>607</v>
      </c>
      <c r="L1368" s="4" t="s">
        <v>607</v>
      </c>
      <c r="M1368" s="4" t="s">
        <v>607</v>
      </c>
      <c r="N1368" s="4" t="s">
        <v>607</v>
      </c>
      <c r="O1368" s="4"/>
      <c r="P1368" s="4"/>
      <c r="T1368" s="4"/>
    </row>
    <row r="1369">
      <c r="A1369" s="4" t="s">
        <v>4642</v>
      </c>
      <c r="B1369" s="4" t="s">
        <v>607</v>
      </c>
      <c r="C1369" s="6" t="s">
        <v>607</v>
      </c>
      <c r="D1369" s="6" t="s">
        <v>607</v>
      </c>
      <c r="E1369" s="6" t="s">
        <v>607</v>
      </c>
      <c r="F1369" s="6" t="s">
        <v>607</v>
      </c>
      <c r="G1369" s="4" t="s">
        <v>607</v>
      </c>
      <c r="H1369" s="4" t="s">
        <v>607</v>
      </c>
      <c r="I1369" s="4" t="s">
        <v>607</v>
      </c>
      <c r="J1369" s="4" t="s">
        <v>607</v>
      </c>
      <c r="K1369" s="4" t="s">
        <v>607</v>
      </c>
      <c r="L1369" s="4" t="s">
        <v>607</v>
      </c>
      <c r="M1369" s="4" t="s">
        <v>607</v>
      </c>
      <c r="N1369" s="4" t="s">
        <v>607</v>
      </c>
      <c r="O1369" s="4"/>
      <c r="P1369" s="4"/>
      <c r="T1369" s="4"/>
    </row>
    <row r="1370">
      <c r="A1370" s="4" t="s">
        <v>4643</v>
      </c>
      <c r="B1370" s="4" t="s">
        <v>607</v>
      </c>
      <c r="C1370" s="6" t="s">
        <v>607</v>
      </c>
      <c r="D1370" s="6" t="s">
        <v>607</v>
      </c>
      <c r="E1370" s="6" t="s">
        <v>607</v>
      </c>
      <c r="F1370" s="6" t="s">
        <v>607</v>
      </c>
      <c r="G1370" s="4" t="s">
        <v>607</v>
      </c>
      <c r="H1370" s="4" t="s">
        <v>607</v>
      </c>
      <c r="I1370" s="4" t="s">
        <v>607</v>
      </c>
      <c r="J1370" s="4" t="s">
        <v>607</v>
      </c>
      <c r="K1370" s="4" t="s">
        <v>607</v>
      </c>
      <c r="L1370" s="4" t="s">
        <v>607</v>
      </c>
      <c r="M1370" s="4" t="s">
        <v>607</v>
      </c>
      <c r="N1370" s="4" t="s">
        <v>607</v>
      </c>
      <c r="O1370" s="4"/>
      <c r="P1370" s="4"/>
      <c r="T1370" s="4"/>
    </row>
    <row r="1371">
      <c r="A1371" s="4" t="s">
        <v>4645</v>
      </c>
      <c r="B1371" s="4" t="s">
        <v>607</v>
      </c>
      <c r="C1371" s="6" t="s">
        <v>607</v>
      </c>
      <c r="D1371" s="6" t="s">
        <v>607</v>
      </c>
      <c r="E1371" s="6" t="s">
        <v>607</v>
      </c>
      <c r="F1371" s="6" t="s">
        <v>607</v>
      </c>
      <c r="G1371" s="4" t="s">
        <v>607</v>
      </c>
      <c r="H1371" s="4" t="s">
        <v>607</v>
      </c>
      <c r="I1371" s="4" t="s">
        <v>607</v>
      </c>
      <c r="J1371" s="4" t="s">
        <v>607</v>
      </c>
      <c r="K1371" s="4" t="s">
        <v>607</v>
      </c>
      <c r="L1371" s="4" t="s">
        <v>607</v>
      </c>
      <c r="M1371" s="4" t="s">
        <v>607</v>
      </c>
      <c r="N1371" s="4" t="s">
        <v>607</v>
      </c>
      <c r="O1371" s="4"/>
      <c r="P1371" s="4"/>
      <c r="T1371" s="4"/>
    </row>
    <row r="1372">
      <c r="A1372" s="4" t="s">
        <v>4647</v>
      </c>
      <c r="B1372" s="4" t="s">
        <v>607</v>
      </c>
      <c r="C1372" s="6" t="s">
        <v>607</v>
      </c>
      <c r="D1372" s="6" t="s">
        <v>607</v>
      </c>
      <c r="E1372" s="6" t="s">
        <v>607</v>
      </c>
      <c r="F1372" s="6" t="s">
        <v>607</v>
      </c>
      <c r="G1372" s="4" t="s">
        <v>607</v>
      </c>
      <c r="H1372" s="4" t="s">
        <v>607</v>
      </c>
      <c r="I1372" s="4" t="s">
        <v>607</v>
      </c>
      <c r="J1372" s="4" t="s">
        <v>607</v>
      </c>
      <c r="K1372" s="4" t="s">
        <v>607</v>
      </c>
      <c r="L1372" s="4" t="s">
        <v>607</v>
      </c>
      <c r="M1372" s="4" t="s">
        <v>607</v>
      </c>
      <c r="N1372" s="4" t="s">
        <v>607</v>
      </c>
      <c r="O1372" s="4"/>
      <c r="P1372" s="4"/>
      <c r="T1372" s="4"/>
    </row>
    <row r="1373">
      <c r="A1373" s="4" t="s">
        <v>4648</v>
      </c>
      <c r="B1373" s="4" t="s">
        <v>607</v>
      </c>
      <c r="C1373" s="6" t="s">
        <v>607</v>
      </c>
      <c r="D1373" s="6" t="s">
        <v>607</v>
      </c>
      <c r="E1373" s="6" t="s">
        <v>607</v>
      </c>
      <c r="F1373" s="6" t="s">
        <v>607</v>
      </c>
      <c r="G1373" s="4" t="s">
        <v>607</v>
      </c>
      <c r="H1373" s="4" t="s">
        <v>607</v>
      </c>
      <c r="I1373" s="4" t="s">
        <v>607</v>
      </c>
      <c r="J1373" s="4" t="s">
        <v>607</v>
      </c>
      <c r="K1373" s="4" t="s">
        <v>607</v>
      </c>
      <c r="L1373" s="4" t="s">
        <v>607</v>
      </c>
      <c r="M1373" s="4" t="s">
        <v>607</v>
      </c>
      <c r="N1373" s="4" t="s">
        <v>607</v>
      </c>
      <c r="O1373" s="4"/>
      <c r="P1373" s="4"/>
      <c r="T1373" s="4"/>
    </row>
    <row r="1374">
      <c r="A1374" s="4" t="s">
        <v>4649</v>
      </c>
      <c r="B1374" s="4" t="s">
        <v>607</v>
      </c>
      <c r="C1374" s="6" t="s">
        <v>607</v>
      </c>
      <c r="D1374" s="6" t="s">
        <v>607</v>
      </c>
      <c r="E1374" s="6" t="s">
        <v>607</v>
      </c>
      <c r="F1374" s="6" t="s">
        <v>607</v>
      </c>
      <c r="G1374" s="4" t="s">
        <v>607</v>
      </c>
      <c r="H1374" s="4" t="s">
        <v>607</v>
      </c>
      <c r="I1374" s="4" t="s">
        <v>607</v>
      </c>
      <c r="J1374" s="4" t="s">
        <v>607</v>
      </c>
      <c r="K1374" s="4" t="s">
        <v>607</v>
      </c>
      <c r="L1374" s="4" t="s">
        <v>607</v>
      </c>
      <c r="M1374" s="4" t="s">
        <v>607</v>
      </c>
      <c r="N1374" s="4" t="s">
        <v>607</v>
      </c>
      <c r="O1374" s="4"/>
      <c r="P1374" s="4"/>
      <c r="T1374" s="4"/>
    </row>
    <row r="1375">
      <c r="A1375" s="4" t="s">
        <v>4650</v>
      </c>
      <c r="B1375" s="4" t="s">
        <v>607</v>
      </c>
      <c r="C1375" s="6" t="s">
        <v>607</v>
      </c>
      <c r="D1375" s="6" t="s">
        <v>607</v>
      </c>
      <c r="E1375" s="6" t="s">
        <v>607</v>
      </c>
      <c r="F1375" s="6" t="s">
        <v>607</v>
      </c>
      <c r="G1375" s="4" t="s">
        <v>607</v>
      </c>
      <c r="H1375" s="4" t="s">
        <v>607</v>
      </c>
      <c r="I1375" s="4" t="s">
        <v>607</v>
      </c>
      <c r="J1375" s="4" t="s">
        <v>607</v>
      </c>
      <c r="K1375" s="4" t="s">
        <v>607</v>
      </c>
      <c r="L1375" s="4" t="s">
        <v>607</v>
      </c>
      <c r="M1375" s="4" t="s">
        <v>607</v>
      </c>
      <c r="N1375" s="4" t="s">
        <v>607</v>
      </c>
      <c r="O1375" s="4"/>
      <c r="P1375" s="4"/>
      <c r="T1375" s="4"/>
    </row>
    <row r="1376">
      <c r="A1376" s="4" t="s">
        <v>4651</v>
      </c>
      <c r="B1376" s="4" t="s">
        <v>607</v>
      </c>
      <c r="C1376" s="6" t="s">
        <v>607</v>
      </c>
      <c r="D1376" s="6" t="s">
        <v>607</v>
      </c>
      <c r="E1376" s="6" t="s">
        <v>607</v>
      </c>
      <c r="F1376" s="6" t="s">
        <v>607</v>
      </c>
      <c r="G1376" s="4" t="s">
        <v>607</v>
      </c>
      <c r="H1376" s="4" t="s">
        <v>607</v>
      </c>
      <c r="I1376" s="4" t="s">
        <v>607</v>
      </c>
      <c r="J1376" s="4" t="s">
        <v>607</v>
      </c>
      <c r="K1376" s="4" t="s">
        <v>607</v>
      </c>
      <c r="L1376" s="4" t="s">
        <v>607</v>
      </c>
      <c r="M1376" s="4" t="s">
        <v>607</v>
      </c>
      <c r="N1376" s="4" t="s">
        <v>607</v>
      </c>
      <c r="O1376" s="4"/>
      <c r="P1376" s="4"/>
      <c r="T1376" s="4"/>
    </row>
    <row r="1377">
      <c r="A1377" s="4" t="s">
        <v>4652</v>
      </c>
      <c r="B1377" s="4" t="s">
        <v>607</v>
      </c>
      <c r="C1377" s="6" t="s">
        <v>607</v>
      </c>
      <c r="D1377" s="6" t="s">
        <v>607</v>
      </c>
      <c r="E1377" s="6" t="s">
        <v>607</v>
      </c>
      <c r="F1377" s="6" t="s">
        <v>607</v>
      </c>
      <c r="G1377" s="4" t="s">
        <v>607</v>
      </c>
      <c r="H1377" s="4" t="s">
        <v>607</v>
      </c>
      <c r="I1377" s="4" t="s">
        <v>607</v>
      </c>
      <c r="J1377" s="4" t="s">
        <v>607</v>
      </c>
      <c r="K1377" s="4" t="s">
        <v>607</v>
      </c>
      <c r="L1377" s="4" t="s">
        <v>607</v>
      </c>
      <c r="M1377" s="4" t="s">
        <v>607</v>
      </c>
      <c r="N1377" s="4" t="s">
        <v>607</v>
      </c>
      <c r="O1377" s="4"/>
      <c r="P1377" s="4"/>
      <c r="T1377" s="4"/>
    </row>
    <row r="1378">
      <c r="A1378" s="4" t="s">
        <v>4656</v>
      </c>
      <c r="B1378" s="4" t="s">
        <v>607</v>
      </c>
      <c r="C1378" s="6" t="s">
        <v>607</v>
      </c>
      <c r="D1378" s="6" t="s">
        <v>607</v>
      </c>
      <c r="E1378" s="6" t="s">
        <v>607</v>
      </c>
      <c r="F1378" s="6" t="s">
        <v>607</v>
      </c>
      <c r="G1378" s="4" t="s">
        <v>607</v>
      </c>
      <c r="H1378" s="4" t="s">
        <v>607</v>
      </c>
      <c r="I1378" s="4" t="s">
        <v>607</v>
      </c>
      <c r="J1378" s="4" t="s">
        <v>607</v>
      </c>
      <c r="K1378" s="4" t="s">
        <v>607</v>
      </c>
      <c r="L1378" s="4" t="s">
        <v>607</v>
      </c>
      <c r="M1378" s="4" t="s">
        <v>607</v>
      </c>
      <c r="N1378" s="4" t="s">
        <v>607</v>
      </c>
      <c r="O1378" s="4"/>
      <c r="P1378" s="4"/>
      <c r="T1378" s="4"/>
    </row>
    <row r="1379">
      <c r="A1379" s="4" t="s">
        <v>4657</v>
      </c>
      <c r="B1379" s="4" t="s">
        <v>607</v>
      </c>
      <c r="C1379" s="6" t="s">
        <v>607</v>
      </c>
      <c r="D1379" s="6" t="s">
        <v>607</v>
      </c>
      <c r="E1379" s="6" t="s">
        <v>607</v>
      </c>
      <c r="F1379" s="6" t="s">
        <v>607</v>
      </c>
      <c r="G1379" s="4" t="s">
        <v>607</v>
      </c>
      <c r="H1379" s="4" t="s">
        <v>607</v>
      </c>
      <c r="I1379" s="4" t="s">
        <v>607</v>
      </c>
      <c r="J1379" s="4" t="s">
        <v>607</v>
      </c>
      <c r="K1379" s="4" t="s">
        <v>607</v>
      </c>
      <c r="L1379" s="4" t="s">
        <v>607</v>
      </c>
      <c r="M1379" s="4" t="s">
        <v>607</v>
      </c>
      <c r="N1379" s="4" t="s">
        <v>607</v>
      </c>
      <c r="O1379" s="4"/>
      <c r="P1379" s="4"/>
      <c r="T1379" s="4"/>
    </row>
    <row r="1380">
      <c r="A1380" s="4" t="s">
        <v>4658</v>
      </c>
      <c r="B1380" s="4" t="s">
        <v>607</v>
      </c>
      <c r="C1380" s="6" t="s">
        <v>607</v>
      </c>
      <c r="D1380" s="6" t="s">
        <v>607</v>
      </c>
      <c r="E1380" s="6" t="s">
        <v>607</v>
      </c>
      <c r="F1380" s="6" t="s">
        <v>607</v>
      </c>
      <c r="G1380" s="4" t="s">
        <v>607</v>
      </c>
      <c r="H1380" s="4" t="s">
        <v>607</v>
      </c>
      <c r="I1380" s="4" t="s">
        <v>607</v>
      </c>
      <c r="J1380" s="4" t="s">
        <v>607</v>
      </c>
      <c r="K1380" s="4" t="s">
        <v>607</v>
      </c>
      <c r="L1380" s="4" t="s">
        <v>607</v>
      </c>
      <c r="M1380" s="4" t="s">
        <v>607</v>
      </c>
      <c r="N1380" s="4" t="s">
        <v>607</v>
      </c>
      <c r="O1380" s="4"/>
      <c r="P1380" s="4"/>
      <c r="T1380" s="4"/>
    </row>
    <row r="1381">
      <c r="A1381" s="4" t="s">
        <v>4659</v>
      </c>
      <c r="B1381" s="4" t="s">
        <v>607</v>
      </c>
      <c r="C1381" s="6" t="s">
        <v>607</v>
      </c>
      <c r="D1381" s="6" t="s">
        <v>607</v>
      </c>
      <c r="E1381" s="6" t="s">
        <v>607</v>
      </c>
      <c r="F1381" s="6" t="s">
        <v>607</v>
      </c>
      <c r="G1381" s="4" t="s">
        <v>607</v>
      </c>
      <c r="H1381" s="4" t="s">
        <v>607</v>
      </c>
      <c r="I1381" s="4" t="s">
        <v>607</v>
      </c>
      <c r="J1381" s="4" t="s">
        <v>607</v>
      </c>
      <c r="K1381" s="4" t="s">
        <v>607</v>
      </c>
      <c r="L1381" s="4" t="s">
        <v>607</v>
      </c>
      <c r="M1381" s="4" t="s">
        <v>607</v>
      </c>
      <c r="N1381" s="4" t="s">
        <v>607</v>
      </c>
      <c r="O1381" s="4"/>
      <c r="P1381" s="4"/>
      <c r="T1381" s="4"/>
    </row>
    <row r="1382">
      <c r="A1382" s="4" t="s">
        <v>4660</v>
      </c>
      <c r="B1382" s="4" t="s">
        <v>607</v>
      </c>
      <c r="C1382" s="6" t="s">
        <v>607</v>
      </c>
      <c r="D1382" s="6" t="s">
        <v>607</v>
      </c>
      <c r="E1382" s="6" t="s">
        <v>607</v>
      </c>
      <c r="F1382" s="6" t="s">
        <v>607</v>
      </c>
      <c r="G1382" s="4" t="s">
        <v>607</v>
      </c>
      <c r="H1382" s="4" t="s">
        <v>607</v>
      </c>
      <c r="I1382" s="4" t="s">
        <v>607</v>
      </c>
      <c r="J1382" s="4" t="s">
        <v>607</v>
      </c>
      <c r="K1382" s="4" t="s">
        <v>607</v>
      </c>
      <c r="L1382" s="4" t="s">
        <v>607</v>
      </c>
      <c r="M1382" s="4" t="s">
        <v>607</v>
      </c>
      <c r="N1382" s="4" t="s">
        <v>607</v>
      </c>
      <c r="O1382" s="4"/>
      <c r="P1382" s="4"/>
      <c r="T1382" s="4"/>
    </row>
    <row r="1383">
      <c r="A1383" s="4" t="s">
        <v>4661</v>
      </c>
      <c r="B1383" s="4" t="s">
        <v>607</v>
      </c>
      <c r="C1383" s="6" t="s">
        <v>607</v>
      </c>
      <c r="D1383" s="6" t="s">
        <v>607</v>
      </c>
      <c r="E1383" s="6" t="s">
        <v>607</v>
      </c>
      <c r="F1383" s="6" t="s">
        <v>607</v>
      </c>
      <c r="G1383" s="4" t="s">
        <v>607</v>
      </c>
      <c r="H1383" s="4" t="s">
        <v>607</v>
      </c>
      <c r="I1383" s="4" t="s">
        <v>607</v>
      </c>
      <c r="J1383" s="4" t="s">
        <v>607</v>
      </c>
      <c r="K1383" s="4" t="s">
        <v>607</v>
      </c>
      <c r="L1383" s="4" t="s">
        <v>607</v>
      </c>
      <c r="M1383" s="4" t="s">
        <v>607</v>
      </c>
      <c r="N1383" s="4" t="s">
        <v>607</v>
      </c>
      <c r="O1383" s="4"/>
      <c r="P1383" s="4"/>
      <c r="T1383" s="4"/>
    </row>
    <row r="1384">
      <c r="A1384" s="4" t="s">
        <v>4662</v>
      </c>
      <c r="B1384" s="4" t="s">
        <v>607</v>
      </c>
      <c r="C1384" s="6" t="s">
        <v>607</v>
      </c>
      <c r="D1384" s="6" t="s">
        <v>607</v>
      </c>
      <c r="E1384" s="6" t="s">
        <v>607</v>
      </c>
      <c r="F1384" s="6" t="s">
        <v>607</v>
      </c>
      <c r="G1384" s="4" t="s">
        <v>607</v>
      </c>
      <c r="H1384" s="4" t="s">
        <v>607</v>
      </c>
      <c r="I1384" s="4" t="s">
        <v>607</v>
      </c>
      <c r="J1384" s="4" t="s">
        <v>607</v>
      </c>
      <c r="K1384" s="4" t="s">
        <v>607</v>
      </c>
      <c r="L1384" s="4" t="s">
        <v>607</v>
      </c>
      <c r="M1384" s="4" t="s">
        <v>607</v>
      </c>
      <c r="N1384" s="4" t="s">
        <v>607</v>
      </c>
      <c r="O1384" s="4"/>
      <c r="P1384" s="4"/>
      <c r="T1384" s="4"/>
    </row>
    <row r="1385">
      <c r="A1385" s="4" t="s">
        <v>4665</v>
      </c>
      <c r="B1385" s="4" t="s">
        <v>607</v>
      </c>
      <c r="C1385" s="6" t="s">
        <v>607</v>
      </c>
      <c r="D1385" s="6" t="s">
        <v>607</v>
      </c>
      <c r="E1385" s="6" t="s">
        <v>607</v>
      </c>
      <c r="F1385" s="6" t="s">
        <v>607</v>
      </c>
      <c r="G1385" s="4" t="s">
        <v>607</v>
      </c>
      <c r="H1385" s="4" t="s">
        <v>607</v>
      </c>
      <c r="I1385" s="4" t="s">
        <v>607</v>
      </c>
      <c r="J1385" s="4" t="s">
        <v>607</v>
      </c>
      <c r="K1385" s="4" t="s">
        <v>607</v>
      </c>
      <c r="L1385" s="4" t="s">
        <v>607</v>
      </c>
      <c r="M1385" s="4" t="s">
        <v>607</v>
      </c>
      <c r="N1385" s="4" t="s">
        <v>607</v>
      </c>
      <c r="O1385" s="4"/>
      <c r="P1385" s="4"/>
      <c r="T1385" s="4"/>
    </row>
    <row r="1386">
      <c r="A1386" s="4" t="s">
        <v>4666</v>
      </c>
      <c r="B1386" s="4" t="s">
        <v>607</v>
      </c>
      <c r="C1386" s="6" t="s">
        <v>607</v>
      </c>
      <c r="D1386" s="6" t="s">
        <v>607</v>
      </c>
      <c r="E1386" s="6" t="s">
        <v>607</v>
      </c>
      <c r="F1386" s="6" t="s">
        <v>607</v>
      </c>
      <c r="G1386" s="4" t="s">
        <v>607</v>
      </c>
      <c r="H1386" s="4" t="s">
        <v>607</v>
      </c>
      <c r="I1386" s="4" t="s">
        <v>607</v>
      </c>
      <c r="J1386" s="4" t="s">
        <v>607</v>
      </c>
      <c r="K1386" s="4" t="s">
        <v>607</v>
      </c>
      <c r="L1386" s="4" t="s">
        <v>607</v>
      </c>
      <c r="M1386" s="4" t="s">
        <v>607</v>
      </c>
      <c r="N1386" s="4" t="s">
        <v>607</v>
      </c>
      <c r="O1386" s="4"/>
      <c r="P1386" s="4"/>
      <c r="T1386" s="4"/>
    </row>
    <row r="1387">
      <c r="A1387" s="4" t="s">
        <v>4667</v>
      </c>
      <c r="B1387" s="4" t="s">
        <v>607</v>
      </c>
      <c r="C1387" s="6" t="s">
        <v>607</v>
      </c>
      <c r="D1387" s="6" t="s">
        <v>607</v>
      </c>
      <c r="E1387" s="6" t="s">
        <v>607</v>
      </c>
      <c r="F1387" s="6" t="s">
        <v>607</v>
      </c>
      <c r="G1387" s="4" t="s">
        <v>607</v>
      </c>
      <c r="H1387" s="4" t="s">
        <v>607</v>
      </c>
      <c r="I1387" s="4" t="s">
        <v>607</v>
      </c>
      <c r="J1387" s="4" t="s">
        <v>607</v>
      </c>
      <c r="K1387" s="4" t="s">
        <v>607</v>
      </c>
      <c r="L1387" s="4" t="s">
        <v>607</v>
      </c>
      <c r="M1387" s="4" t="s">
        <v>607</v>
      </c>
      <c r="N1387" s="4" t="s">
        <v>607</v>
      </c>
      <c r="O1387" s="4"/>
      <c r="P1387" s="4"/>
      <c r="T1387" s="4"/>
    </row>
    <row r="1388">
      <c r="A1388" s="4" t="s">
        <v>4668</v>
      </c>
      <c r="B1388" s="4" t="s">
        <v>607</v>
      </c>
      <c r="C1388" s="6" t="s">
        <v>607</v>
      </c>
      <c r="D1388" s="6" t="s">
        <v>607</v>
      </c>
      <c r="E1388" s="6" t="s">
        <v>607</v>
      </c>
      <c r="F1388" s="6" t="s">
        <v>607</v>
      </c>
      <c r="G1388" s="4" t="s">
        <v>607</v>
      </c>
      <c r="H1388" s="4" t="s">
        <v>607</v>
      </c>
      <c r="I1388" s="4" t="s">
        <v>607</v>
      </c>
      <c r="J1388" s="4" t="s">
        <v>607</v>
      </c>
      <c r="K1388" s="4" t="s">
        <v>607</v>
      </c>
      <c r="L1388" s="4" t="s">
        <v>607</v>
      </c>
      <c r="M1388" s="4" t="s">
        <v>607</v>
      </c>
      <c r="N1388" s="4" t="s">
        <v>607</v>
      </c>
      <c r="O1388" s="4"/>
      <c r="P1388" s="4"/>
      <c r="T1388" s="4"/>
    </row>
    <row r="1389">
      <c r="A1389" s="4" t="s">
        <v>4669</v>
      </c>
      <c r="B1389" s="4" t="s">
        <v>607</v>
      </c>
      <c r="C1389" s="6" t="s">
        <v>607</v>
      </c>
      <c r="D1389" s="6" t="s">
        <v>607</v>
      </c>
      <c r="E1389" s="6" t="s">
        <v>607</v>
      </c>
      <c r="F1389" s="6" t="s">
        <v>607</v>
      </c>
      <c r="G1389" s="4" t="s">
        <v>607</v>
      </c>
      <c r="H1389" s="4" t="s">
        <v>607</v>
      </c>
      <c r="I1389" s="4" t="s">
        <v>607</v>
      </c>
      <c r="J1389" s="4" t="s">
        <v>607</v>
      </c>
      <c r="K1389" s="4" t="s">
        <v>607</v>
      </c>
      <c r="L1389" s="4" t="s">
        <v>607</v>
      </c>
      <c r="M1389" s="4" t="s">
        <v>607</v>
      </c>
      <c r="N1389" s="4" t="s">
        <v>607</v>
      </c>
      <c r="O1389" s="4"/>
      <c r="P1389" s="4"/>
      <c r="T1389" s="4"/>
    </row>
    <row r="1390">
      <c r="A1390" s="4" t="s">
        <v>4670</v>
      </c>
      <c r="B1390" s="4" t="s">
        <v>607</v>
      </c>
      <c r="C1390" s="6" t="s">
        <v>607</v>
      </c>
      <c r="D1390" s="6" t="s">
        <v>607</v>
      </c>
      <c r="E1390" s="6" t="s">
        <v>607</v>
      </c>
      <c r="F1390" s="6" t="s">
        <v>607</v>
      </c>
      <c r="G1390" s="4" t="s">
        <v>607</v>
      </c>
      <c r="H1390" s="4" t="s">
        <v>607</v>
      </c>
      <c r="I1390" s="4" t="s">
        <v>607</v>
      </c>
      <c r="J1390" s="4" t="s">
        <v>607</v>
      </c>
      <c r="K1390" s="4" t="s">
        <v>607</v>
      </c>
      <c r="L1390" s="4" t="s">
        <v>607</v>
      </c>
      <c r="M1390" s="4" t="s">
        <v>607</v>
      </c>
      <c r="N1390" s="4" t="s">
        <v>607</v>
      </c>
      <c r="O1390" s="4"/>
      <c r="P1390" s="4"/>
      <c r="T1390" s="4"/>
    </row>
    <row r="1391">
      <c r="A1391" s="4" t="s">
        <v>4671</v>
      </c>
      <c r="B1391" s="4" t="s">
        <v>607</v>
      </c>
      <c r="C1391" s="6" t="s">
        <v>607</v>
      </c>
      <c r="D1391" s="6" t="s">
        <v>607</v>
      </c>
      <c r="E1391" s="6" t="s">
        <v>607</v>
      </c>
      <c r="F1391" s="6" t="s">
        <v>607</v>
      </c>
      <c r="G1391" s="4" t="s">
        <v>607</v>
      </c>
      <c r="H1391" s="4" t="s">
        <v>607</v>
      </c>
      <c r="I1391" s="4" t="s">
        <v>607</v>
      </c>
      <c r="J1391" s="4" t="s">
        <v>607</v>
      </c>
      <c r="K1391" s="4" t="s">
        <v>607</v>
      </c>
      <c r="L1391" s="4" t="s">
        <v>607</v>
      </c>
      <c r="M1391" s="4" t="s">
        <v>607</v>
      </c>
      <c r="N1391" s="4" t="s">
        <v>607</v>
      </c>
      <c r="O1391" s="4"/>
      <c r="P1391" s="4"/>
      <c r="T1391" s="4"/>
    </row>
    <row r="1392">
      <c r="A1392" s="4" t="s">
        <v>4672</v>
      </c>
      <c r="B1392" s="4" t="s">
        <v>607</v>
      </c>
      <c r="C1392" s="6" t="s">
        <v>607</v>
      </c>
      <c r="D1392" s="6" t="s">
        <v>607</v>
      </c>
      <c r="E1392" s="6" t="s">
        <v>607</v>
      </c>
      <c r="F1392" s="6" t="s">
        <v>607</v>
      </c>
      <c r="G1392" s="4" t="s">
        <v>607</v>
      </c>
      <c r="H1392" s="4" t="s">
        <v>607</v>
      </c>
      <c r="I1392" s="4" t="s">
        <v>607</v>
      </c>
      <c r="J1392" s="4" t="s">
        <v>607</v>
      </c>
      <c r="K1392" s="4" t="s">
        <v>607</v>
      </c>
      <c r="L1392" s="4" t="s">
        <v>607</v>
      </c>
      <c r="M1392" s="4" t="s">
        <v>607</v>
      </c>
      <c r="N1392" s="4" t="s">
        <v>607</v>
      </c>
      <c r="O1392" s="4"/>
      <c r="P1392" s="4"/>
      <c r="T1392" s="4"/>
    </row>
    <row r="1393">
      <c r="A1393" s="4" t="s">
        <v>4673</v>
      </c>
      <c r="B1393" s="4" t="s">
        <v>607</v>
      </c>
      <c r="C1393" s="6" t="s">
        <v>607</v>
      </c>
      <c r="D1393" s="6" t="s">
        <v>607</v>
      </c>
      <c r="E1393" s="6" t="s">
        <v>607</v>
      </c>
      <c r="F1393" s="6" t="s">
        <v>607</v>
      </c>
      <c r="G1393" s="4" t="s">
        <v>607</v>
      </c>
      <c r="H1393" s="4" t="s">
        <v>607</v>
      </c>
      <c r="I1393" s="4" t="s">
        <v>607</v>
      </c>
      <c r="J1393" s="4" t="s">
        <v>607</v>
      </c>
      <c r="K1393" s="4" t="s">
        <v>607</v>
      </c>
      <c r="L1393" s="4" t="s">
        <v>607</v>
      </c>
      <c r="M1393" s="4" t="s">
        <v>607</v>
      </c>
      <c r="N1393" s="4" t="s">
        <v>607</v>
      </c>
      <c r="O1393" s="4"/>
      <c r="P1393" s="4"/>
      <c r="T1393" s="4"/>
    </row>
    <row r="1394">
      <c r="A1394" s="4" t="s">
        <v>4674</v>
      </c>
      <c r="B1394" s="4" t="s">
        <v>607</v>
      </c>
      <c r="C1394" s="6" t="s">
        <v>607</v>
      </c>
      <c r="D1394" s="6" t="s">
        <v>607</v>
      </c>
      <c r="E1394" s="6" t="s">
        <v>607</v>
      </c>
      <c r="F1394" s="6" t="s">
        <v>607</v>
      </c>
      <c r="G1394" s="4" t="s">
        <v>607</v>
      </c>
      <c r="H1394" s="4" t="s">
        <v>607</v>
      </c>
      <c r="I1394" s="4" t="s">
        <v>607</v>
      </c>
      <c r="J1394" s="4" t="s">
        <v>607</v>
      </c>
      <c r="K1394" s="4" t="s">
        <v>607</v>
      </c>
      <c r="L1394" s="4" t="s">
        <v>607</v>
      </c>
      <c r="M1394" s="4" t="s">
        <v>607</v>
      </c>
      <c r="N1394" s="4" t="s">
        <v>607</v>
      </c>
      <c r="O1394" s="4"/>
      <c r="P1394" s="4"/>
      <c r="T1394" s="4"/>
    </row>
    <row r="1395">
      <c r="A1395" s="4" t="s">
        <v>4675</v>
      </c>
      <c r="B1395" s="4" t="s">
        <v>607</v>
      </c>
      <c r="C1395" s="6" t="s">
        <v>607</v>
      </c>
      <c r="D1395" s="6" t="s">
        <v>607</v>
      </c>
      <c r="E1395" s="6" t="s">
        <v>607</v>
      </c>
      <c r="F1395" s="6" t="s">
        <v>607</v>
      </c>
      <c r="G1395" s="4" t="s">
        <v>607</v>
      </c>
      <c r="H1395" s="4" t="s">
        <v>607</v>
      </c>
      <c r="I1395" s="4" t="s">
        <v>607</v>
      </c>
      <c r="J1395" s="4" t="s">
        <v>607</v>
      </c>
      <c r="K1395" s="4" t="s">
        <v>607</v>
      </c>
      <c r="L1395" s="4" t="s">
        <v>607</v>
      </c>
      <c r="M1395" s="4" t="s">
        <v>607</v>
      </c>
      <c r="N1395" s="4" t="s">
        <v>607</v>
      </c>
      <c r="O1395" s="4"/>
      <c r="P1395" s="4"/>
      <c r="T1395" s="4"/>
    </row>
    <row r="1396">
      <c r="A1396" s="4" t="s">
        <v>4676</v>
      </c>
      <c r="B1396" s="4" t="s">
        <v>607</v>
      </c>
      <c r="C1396" s="6" t="s">
        <v>607</v>
      </c>
      <c r="D1396" s="6" t="s">
        <v>607</v>
      </c>
      <c r="E1396" s="6" t="s">
        <v>607</v>
      </c>
      <c r="F1396" s="6" t="s">
        <v>607</v>
      </c>
      <c r="G1396" s="4" t="s">
        <v>607</v>
      </c>
      <c r="H1396" s="4" t="s">
        <v>607</v>
      </c>
      <c r="I1396" s="4" t="s">
        <v>607</v>
      </c>
      <c r="J1396" s="4" t="s">
        <v>607</v>
      </c>
      <c r="K1396" s="4" t="s">
        <v>607</v>
      </c>
      <c r="L1396" s="4" t="s">
        <v>607</v>
      </c>
      <c r="M1396" s="4" t="s">
        <v>607</v>
      </c>
      <c r="N1396" s="4" t="s">
        <v>607</v>
      </c>
      <c r="O1396" s="4"/>
      <c r="P1396" s="4"/>
      <c r="T1396" s="4"/>
    </row>
    <row r="1397">
      <c r="A1397" s="4" t="s">
        <v>4677</v>
      </c>
      <c r="B1397" s="4" t="s">
        <v>607</v>
      </c>
      <c r="C1397" s="6" t="s">
        <v>607</v>
      </c>
      <c r="D1397" s="6" t="s">
        <v>607</v>
      </c>
      <c r="E1397" s="6" t="s">
        <v>607</v>
      </c>
      <c r="F1397" s="6" t="s">
        <v>607</v>
      </c>
      <c r="G1397" s="4" t="s">
        <v>607</v>
      </c>
      <c r="H1397" s="4" t="s">
        <v>607</v>
      </c>
      <c r="I1397" s="4" t="s">
        <v>607</v>
      </c>
      <c r="J1397" s="4" t="s">
        <v>607</v>
      </c>
      <c r="K1397" s="4" t="s">
        <v>607</v>
      </c>
      <c r="L1397" s="4" t="s">
        <v>607</v>
      </c>
      <c r="M1397" s="4" t="s">
        <v>607</v>
      </c>
      <c r="N1397" s="4" t="s">
        <v>607</v>
      </c>
      <c r="O1397" s="4"/>
      <c r="P1397" s="4"/>
      <c r="T1397" s="4"/>
    </row>
    <row r="1398">
      <c r="A1398" s="4" t="s">
        <v>4678</v>
      </c>
      <c r="B1398" s="4" t="s">
        <v>607</v>
      </c>
      <c r="C1398" s="6" t="s">
        <v>607</v>
      </c>
      <c r="D1398" s="6" t="s">
        <v>607</v>
      </c>
      <c r="E1398" s="6" t="s">
        <v>607</v>
      </c>
      <c r="F1398" s="6" t="s">
        <v>607</v>
      </c>
      <c r="G1398" s="4" t="s">
        <v>607</v>
      </c>
      <c r="H1398" s="4" t="s">
        <v>607</v>
      </c>
      <c r="I1398" s="4" t="s">
        <v>607</v>
      </c>
      <c r="J1398" s="4" t="s">
        <v>607</v>
      </c>
      <c r="K1398" s="4" t="s">
        <v>607</v>
      </c>
      <c r="L1398" s="4" t="s">
        <v>607</v>
      </c>
      <c r="M1398" s="4" t="s">
        <v>607</v>
      </c>
      <c r="N1398" s="4" t="s">
        <v>607</v>
      </c>
      <c r="O1398" s="4"/>
      <c r="P1398" s="4"/>
      <c r="T1398" s="4"/>
    </row>
    <row r="1399">
      <c r="A1399" s="4" t="s">
        <v>4679</v>
      </c>
      <c r="B1399" s="4" t="s">
        <v>607</v>
      </c>
      <c r="C1399" s="6" t="s">
        <v>607</v>
      </c>
      <c r="D1399" s="6" t="s">
        <v>607</v>
      </c>
      <c r="E1399" s="6" t="s">
        <v>607</v>
      </c>
      <c r="F1399" s="6" t="s">
        <v>607</v>
      </c>
      <c r="G1399" s="4" t="s">
        <v>607</v>
      </c>
      <c r="H1399" s="4" t="s">
        <v>607</v>
      </c>
      <c r="I1399" s="4" t="s">
        <v>607</v>
      </c>
      <c r="J1399" s="4" t="s">
        <v>607</v>
      </c>
      <c r="K1399" s="4" t="s">
        <v>607</v>
      </c>
      <c r="L1399" s="4" t="s">
        <v>607</v>
      </c>
      <c r="M1399" s="4" t="s">
        <v>607</v>
      </c>
      <c r="N1399" s="4" t="s">
        <v>607</v>
      </c>
      <c r="O1399" s="4"/>
      <c r="P1399" s="4"/>
      <c r="T1399" s="4"/>
    </row>
    <row r="1400">
      <c r="A1400" s="4" t="s">
        <v>4680</v>
      </c>
      <c r="B1400" s="4" t="s">
        <v>607</v>
      </c>
      <c r="C1400" s="6" t="s">
        <v>607</v>
      </c>
      <c r="D1400" s="6" t="s">
        <v>607</v>
      </c>
      <c r="E1400" s="6" t="s">
        <v>607</v>
      </c>
      <c r="F1400" s="6" t="s">
        <v>607</v>
      </c>
      <c r="G1400" s="4" t="s">
        <v>607</v>
      </c>
      <c r="H1400" s="4" t="s">
        <v>607</v>
      </c>
      <c r="I1400" s="4" t="s">
        <v>607</v>
      </c>
      <c r="J1400" s="4" t="s">
        <v>607</v>
      </c>
      <c r="K1400" s="4" t="s">
        <v>607</v>
      </c>
      <c r="L1400" s="4" t="s">
        <v>607</v>
      </c>
      <c r="M1400" s="4" t="s">
        <v>607</v>
      </c>
      <c r="N1400" s="4" t="s">
        <v>607</v>
      </c>
      <c r="O1400" s="4"/>
      <c r="P1400" s="4"/>
      <c r="T1400" s="4"/>
    </row>
    <row r="1401">
      <c r="A1401" s="4" t="s">
        <v>4682</v>
      </c>
      <c r="B1401" s="4" t="s">
        <v>607</v>
      </c>
      <c r="C1401" s="6" t="s">
        <v>607</v>
      </c>
      <c r="D1401" s="6" t="s">
        <v>607</v>
      </c>
      <c r="E1401" s="6" t="s">
        <v>607</v>
      </c>
      <c r="F1401" s="6" t="s">
        <v>607</v>
      </c>
      <c r="G1401" s="4" t="s">
        <v>607</v>
      </c>
      <c r="H1401" s="4" t="s">
        <v>607</v>
      </c>
      <c r="I1401" s="4" t="s">
        <v>607</v>
      </c>
      <c r="J1401" s="4" t="s">
        <v>607</v>
      </c>
      <c r="K1401" s="4" t="s">
        <v>607</v>
      </c>
      <c r="L1401" s="4" t="s">
        <v>607</v>
      </c>
      <c r="M1401" s="4" t="s">
        <v>607</v>
      </c>
      <c r="N1401" s="4" t="s">
        <v>607</v>
      </c>
      <c r="O1401" s="4"/>
      <c r="P1401" s="4"/>
      <c r="T1401" s="4"/>
    </row>
    <row r="1402">
      <c r="A1402" s="4" t="s">
        <v>4683</v>
      </c>
      <c r="B1402" s="4" t="s">
        <v>607</v>
      </c>
      <c r="C1402" s="6" t="s">
        <v>607</v>
      </c>
      <c r="D1402" s="6" t="s">
        <v>607</v>
      </c>
      <c r="E1402" s="6" t="s">
        <v>607</v>
      </c>
      <c r="F1402" s="6" t="s">
        <v>607</v>
      </c>
      <c r="G1402" s="4" t="s">
        <v>607</v>
      </c>
      <c r="H1402" s="4" t="s">
        <v>607</v>
      </c>
      <c r="I1402" s="4" t="s">
        <v>607</v>
      </c>
      <c r="J1402" s="4" t="s">
        <v>607</v>
      </c>
      <c r="K1402" s="4" t="s">
        <v>607</v>
      </c>
      <c r="L1402" s="4" t="s">
        <v>607</v>
      </c>
      <c r="M1402" s="4" t="s">
        <v>607</v>
      </c>
      <c r="N1402" s="4" t="s">
        <v>607</v>
      </c>
      <c r="O1402" s="4"/>
      <c r="P1402" s="4"/>
      <c r="T1402" s="4"/>
    </row>
    <row r="1403">
      <c r="A1403" s="4" t="s">
        <v>4684</v>
      </c>
      <c r="B1403" s="4" t="s">
        <v>607</v>
      </c>
      <c r="C1403" s="6" t="s">
        <v>607</v>
      </c>
      <c r="D1403" s="6" t="s">
        <v>607</v>
      </c>
      <c r="E1403" s="6" t="s">
        <v>607</v>
      </c>
      <c r="F1403" s="6" t="s">
        <v>607</v>
      </c>
      <c r="G1403" s="4" t="s">
        <v>607</v>
      </c>
      <c r="H1403" s="4" t="s">
        <v>607</v>
      </c>
      <c r="I1403" s="4" t="s">
        <v>607</v>
      </c>
      <c r="J1403" s="4" t="s">
        <v>607</v>
      </c>
      <c r="K1403" s="4" t="s">
        <v>607</v>
      </c>
      <c r="L1403" s="4" t="s">
        <v>607</v>
      </c>
      <c r="M1403" s="4" t="s">
        <v>607</v>
      </c>
      <c r="N1403" s="4" t="s">
        <v>607</v>
      </c>
      <c r="O1403" s="4"/>
      <c r="P1403" s="4"/>
      <c r="T1403" s="4"/>
    </row>
    <row r="1404">
      <c r="A1404" s="4" t="s">
        <v>4685</v>
      </c>
      <c r="B1404" s="4" t="s">
        <v>607</v>
      </c>
      <c r="C1404" s="6" t="s">
        <v>607</v>
      </c>
      <c r="D1404" s="6" t="s">
        <v>607</v>
      </c>
      <c r="E1404" s="6" t="s">
        <v>607</v>
      </c>
      <c r="F1404" s="6" t="s">
        <v>607</v>
      </c>
      <c r="G1404" s="4" t="s">
        <v>607</v>
      </c>
      <c r="H1404" s="4" t="s">
        <v>607</v>
      </c>
      <c r="I1404" s="4" t="s">
        <v>607</v>
      </c>
      <c r="J1404" s="4" t="s">
        <v>607</v>
      </c>
      <c r="K1404" s="4" t="s">
        <v>607</v>
      </c>
      <c r="L1404" s="4" t="s">
        <v>607</v>
      </c>
      <c r="M1404" s="4" t="s">
        <v>607</v>
      </c>
      <c r="N1404" s="4" t="s">
        <v>607</v>
      </c>
      <c r="O1404" s="4"/>
      <c r="P1404" s="4"/>
      <c r="T1404" s="4"/>
    </row>
    <row r="1405">
      <c r="A1405" s="4" t="s">
        <v>4686</v>
      </c>
      <c r="B1405" s="4" t="s">
        <v>607</v>
      </c>
      <c r="C1405" s="6" t="s">
        <v>607</v>
      </c>
      <c r="D1405" s="6" t="s">
        <v>607</v>
      </c>
      <c r="E1405" s="6" t="s">
        <v>607</v>
      </c>
      <c r="F1405" s="6" t="s">
        <v>607</v>
      </c>
      <c r="G1405" s="4" t="s">
        <v>607</v>
      </c>
      <c r="H1405" s="4" t="s">
        <v>607</v>
      </c>
      <c r="I1405" s="4" t="s">
        <v>607</v>
      </c>
      <c r="J1405" s="4" t="s">
        <v>607</v>
      </c>
      <c r="K1405" s="4" t="s">
        <v>607</v>
      </c>
      <c r="L1405" s="4" t="s">
        <v>607</v>
      </c>
      <c r="M1405" s="4" t="s">
        <v>607</v>
      </c>
      <c r="N1405" s="4" t="s">
        <v>607</v>
      </c>
      <c r="O1405" s="4"/>
      <c r="P1405" s="4"/>
      <c r="T1405" s="4"/>
    </row>
    <row r="1406">
      <c r="A1406" s="4" t="s">
        <v>4687</v>
      </c>
      <c r="B1406" s="4" t="s">
        <v>607</v>
      </c>
      <c r="C1406" s="6" t="s">
        <v>607</v>
      </c>
      <c r="D1406" s="6" t="s">
        <v>607</v>
      </c>
      <c r="E1406" s="6" t="s">
        <v>607</v>
      </c>
      <c r="F1406" s="6" t="s">
        <v>607</v>
      </c>
      <c r="G1406" s="4" t="s">
        <v>607</v>
      </c>
      <c r="H1406" s="4" t="s">
        <v>607</v>
      </c>
      <c r="I1406" s="4" t="s">
        <v>607</v>
      </c>
      <c r="J1406" s="4" t="s">
        <v>607</v>
      </c>
      <c r="K1406" s="4" t="s">
        <v>607</v>
      </c>
      <c r="L1406" s="4" t="s">
        <v>607</v>
      </c>
      <c r="M1406" s="4" t="s">
        <v>607</v>
      </c>
      <c r="N1406" s="4" t="s">
        <v>607</v>
      </c>
      <c r="O1406" s="4"/>
      <c r="P1406" s="4"/>
      <c r="T1406" s="4"/>
    </row>
    <row r="1407">
      <c r="A1407" s="4" t="s">
        <v>4688</v>
      </c>
      <c r="B1407" s="4" t="s">
        <v>607</v>
      </c>
      <c r="C1407" s="6" t="s">
        <v>607</v>
      </c>
      <c r="D1407" s="6" t="s">
        <v>607</v>
      </c>
      <c r="E1407" s="6" t="s">
        <v>607</v>
      </c>
      <c r="F1407" s="6" t="s">
        <v>607</v>
      </c>
      <c r="G1407" s="4" t="s">
        <v>607</v>
      </c>
      <c r="H1407" s="4" t="s">
        <v>607</v>
      </c>
      <c r="I1407" s="4" t="s">
        <v>607</v>
      </c>
      <c r="J1407" s="4" t="s">
        <v>607</v>
      </c>
      <c r="K1407" s="4" t="s">
        <v>607</v>
      </c>
      <c r="L1407" s="4" t="s">
        <v>607</v>
      </c>
      <c r="M1407" s="4" t="s">
        <v>607</v>
      </c>
      <c r="N1407" s="4" t="s">
        <v>607</v>
      </c>
      <c r="O1407" s="4"/>
      <c r="P1407" s="4"/>
      <c r="T1407" s="4"/>
    </row>
    <row r="1408">
      <c r="A1408" s="4" t="s">
        <v>4689</v>
      </c>
      <c r="B1408" s="4" t="s">
        <v>607</v>
      </c>
      <c r="C1408" s="6" t="s">
        <v>607</v>
      </c>
      <c r="D1408" s="6" t="s">
        <v>607</v>
      </c>
      <c r="E1408" s="6" t="s">
        <v>607</v>
      </c>
      <c r="F1408" s="6" t="s">
        <v>607</v>
      </c>
      <c r="G1408" s="4" t="s">
        <v>607</v>
      </c>
      <c r="H1408" s="4" t="s">
        <v>607</v>
      </c>
      <c r="I1408" s="4" t="s">
        <v>607</v>
      </c>
      <c r="J1408" s="4" t="s">
        <v>607</v>
      </c>
      <c r="K1408" s="4" t="s">
        <v>607</v>
      </c>
      <c r="L1408" s="4" t="s">
        <v>607</v>
      </c>
      <c r="M1408" s="4" t="s">
        <v>607</v>
      </c>
      <c r="N1408" s="4" t="s">
        <v>607</v>
      </c>
      <c r="O1408" s="4"/>
      <c r="P1408" s="4"/>
      <c r="T1408" s="4"/>
    </row>
    <row r="1409">
      <c r="A1409" s="4" t="s">
        <v>4690</v>
      </c>
      <c r="B1409" s="4" t="s">
        <v>607</v>
      </c>
      <c r="C1409" s="6" t="s">
        <v>607</v>
      </c>
      <c r="D1409" s="6" t="s">
        <v>607</v>
      </c>
      <c r="E1409" s="6" t="s">
        <v>607</v>
      </c>
      <c r="F1409" s="6" t="s">
        <v>607</v>
      </c>
      <c r="G1409" s="4" t="s">
        <v>607</v>
      </c>
      <c r="H1409" s="4" t="s">
        <v>607</v>
      </c>
      <c r="I1409" s="4" t="s">
        <v>607</v>
      </c>
      <c r="J1409" s="4" t="s">
        <v>607</v>
      </c>
      <c r="K1409" s="4" t="s">
        <v>607</v>
      </c>
      <c r="L1409" s="4" t="s">
        <v>607</v>
      </c>
      <c r="M1409" s="4" t="s">
        <v>607</v>
      </c>
      <c r="N1409" s="4" t="s">
        <v>607</v>
      </c>
      <c r="O1409" s="4"/>
      <c r="P1409" s="4"/>
      <c r="T1409" s="4"/>
    </row>
    <row r="1410">
      <c r="A1410" s="4" t="s">
        <v>4691</v>
      </c>
      <c r="B1410" s="4" t="s">
        <v>607</v>
      </c>
      <c r="C1410" s="6" t="s">
        <v>607</v>
      </c>
      <c r="D1410" s="6" t="s">
        <v>607</v>
      </c>
      <c r="E1410" s="6" t="s">
        <v>607</v>
      </c>
      <c r="F1410" s="6" t="s">
        <v>607</v>
      </c>
      <c r="G1410" s="4" t="s">
        <v>607</v>
      </c>
      <c r="H1410" s="4" t="s">
        <v>607</v>
      </c>
      <c r="I1410" s="4" t="s">
        <v>607</v>
      </c>
      <c r="J1410" s="4" t="s">
        <v>607</v>
      </c>
      <c r="K1410" s="4" t="s">
        <v>607</v>
      </c>
      <c r="L1410" s="4" t="s">
        <v>607</v>
      </c>
      <c r="M1410" s="4" t="s">
        <v>607</v>
      </c>
      <c r="N1410" s="4" t="s">
        <v>607</v>
      </c>
      <c r="O1410" s="4"/>
      <c r="P1410" s="4"/>
      <c r="T1410" s="4"/>
    </row>
    <row r="1411">
      <c r="A1411" s="4" t="s">
        <v>4692</v>
      </c>
      <c r="B1411" s="4" t="s">
        <v>607</v>
      </c>
      <c r="C1411" s="6" t="s">
        <v>607</v>
      </c>
      <c r="D1411" s="6" t="s">
        <v>607</v>
      </c>
      <c r="E1411" s="6" t="s">
        <v>607</v>
      </c>
      <c r="F1411" s="6" t="s">
        <v>607</v>
      </c>
      <c r="G1411" s="4" t="s">
        <v>607</v>
      </c>
      <c r="H1411" s="4" t="s">
        <v>607</v>
      </c>
      <c r="I1411" s="4" t="s">
        <v>607</v>
      </c>
      <c r="J1411" s="4" t="s">
        <v>607</v>
      </c>
      <c r="K1411" s="4" t="s">
        <v>607</v>
      </c>
      <c r="L1411" s="4" t="s">
        <v>607</v>
      </c>
      <c r="M1411" s="4" t="s">
        <v>607</v>
      </c>
      <c r="N1411" s="4" t="s">
        <v>607</v>
      </c>
      <c r="O1411" s="4"/>
      <c r="P1411" s="4"/>
      <c r="T1411" s="4"/>
    </row>
    <row r="1412">
      <c r="A1412" s="4" t="s">
        <v>4693</v>
      </c>
      <c r="B1412" s="4" t="s">
        <v>607</v>
      </c>
      <c r="C1412" s="6" t="s">
        <v>607</v>
      </c>
      <c r="D1412" s="6" t="s">
        <v>607</v>
      </c>
      <c r="E1412" s="6" t="s">
        <v>607</v>
      </c>
      <c r="F1412" s="6" t="s">
        <v>607</v>
      </c>
      <c r="G1412" s="4" t="s">
        <v>607</v>
      </c>
      <c r="H1412" s="4" t="s">
        <v>607</v>
      </c>
      <c r="I1412" s="4" t="s">
        <v>607</v>
      </c>
      <c r="J1412" s="4" t="s">
        <v>607</v>
      </c>
      <c r="K1412" s="4" t="s">
        <v>607</v>
      </c>
      <c r="L1412" s="4" t="s">
        <v>607</v>
      </c>
      <c r="M1412" s="4" t="s">
        <v>607</v>
      </c>
      <c r="N1412" s="4" t="s">
        <v>607</v>
      </c>
      <c r="O1412" s="4"/>
      <c r="P1412" s="4"/>
      <c r="T1412" s="4"/>
    </row>
    <row r="1413">
      <c r="A1413" s="4" t="s">
        <v>4694</v>
      </c>
      <c r="B1413" s="4" t="s">
        <v>607</v>
      </c>
      <c r="C1413" s="6" t="s">
        <v>607</v>
      </c>
      <c r="D1413" s="6" t="s">
        <v>607</v>
      </c>
      <c r="E1413" s="6" t="s">
        <v>607</v>
      </c>
      <c r="F1413" s="6" t="s">
        <v>607</v>
      </c>
      <c r="G1413" s="4" t="s">
        <v>607</v>
      </c>
      <c r="H1413" s="4" t="s">
        <v>607</v>
      </c>
      <c r="I1413" s="4" t="s">
        <v>607</v>
      </c>
      <c r="J1413" s="4" t="s">
        <v>607</v>
      </c>
      <c r="K1413" s="4" t="s">
        <v>607</v>
      </c>
      <c r="L1413" s="4" t="s">
        <v>607</v>
      </c>
      <c r="M1413" s="4" t="s">
        <v>607</v>
      </c>
      <c r="N1413" s="4" t="s">
        <v>607</v>
      </c>
      <c r="O1413" s="4"/>
      <c r="P1413" s="4"/>
      <c r="T1413" s="4"/>
    </row>
    <row r="1414">
      <c r="A1414" s="4" t="s">
        <v>4695</v>
      </c>
      <c r="B1414" s="4" t="s">
        <v>607</v>
      </c>
      <c r="C1414" s="6" t="s">
        <v>607</v>
      </c>
      <c r="D1414" s="6" t="s">
        <v>607</v>
      </c>
      <c r="E1414" s="6" t="s">
        <v>607</v>
      </c>
      <c r="F1414" s="6" t="s">
        <v>607</v>
      </c>
      <c r="G1414" s="4" t="s">
        <v>607</v>
      </c>
      <c r="H1414" s="4" t="s">
        <v>607</v>
      </c>
      <c r="I1414" s="4" t="s">
        <v>607</v>
      </c>
      <c r="J1414" s="4" t="s">
        <v>607</v>
      </c>
      <c r="K1414" s="4" t="s">
        <v>607</v>
      </c>
      <c r="L1414" s="4" t="s">
        <v>607</v>
      </c>
      <c r="M1414" s="4" t="s">
        <v>607</v>
      </c>
      <c r="N1414" s="4" t="s">
        <v>607</v>
      </c>
      <c r="O1414" s="4"/>
      <c r="P1414" s="4"/>
      <c r="T1414" s="4"/>
    </row>
    <row r="1415">
      <c r="A1415" s="4" t="s">
        <v>4696</v>
      </c>
      <c r="B1415" s="4" t="s">
        <v>607</v>
      </c>
      <c r="C1415" s="6" t="s">
        <v>607</v>
      </c>
      <c r="D1415" s="6" t="s">
        <v>607</v>
      </c>
      <c r="E1415" s="6" t="s">
        <v>607</v>
      </c>
      <c r="F1415" s="6" t="s">
        <v>607</v>
      </c>
      <c r="G1415" s="4" t="s">
        <v>607</v>
      </c>
      <c r="H1415" s="4" t="s">
        <v>607</v>
      </c>
      <c r="I1415" s="4" t="s">
        <v>607</v>
      </c>
      <c r="J1415" s="4" t="s">
        <v>607</v>
      </c>
      <c r="K1415" s="4" t="s">
        <v>607</v>
      </c>
      <c r="L1415" s="4" t="s">
        <v>607</v>
      </c>
      <c r="M1415" s="4" t="s">
        <v>607</v>
      </c>
      <c r="N1415" s="4" t="s">
        <v>607</v>
      </c>
      <c r="O1415" s="4"/>
      <c r="P1415" s="4"/>
      <c r="T1415" s="4"/>
    </row>
    <row r="1416">
      <c r="A1416" s="4" t="s">
        <v>4697</v>
      </c>
      <c r="B1416" s="4" t="s">
        <v>607</v>
      </c>
      <c r="C1416" s="6" t="s">
        <v>607</v>
      </c>
      <c r="D1416" s="6" t="s">
        <v>607</v>
      </c>
      <c r="E1416" s="6" t="s">
        <v>607</v>
      </c>
      <c r="F1416" s="6" t="s">
        <v>607</v>
      </c>
      <c r="G1416" s="4" t="s">
        <v>607</v>
      </c>
      <c r="H1416" s="4" t="s">
        <v>607</v>
      </c>
      <c r="I1416" s="4" t="s">
        <v>607</v>
      </c>
      <c r="J1416" s="4" t="s">
        <v>607</v>
      </c>
      <c r="K1416" s="4" t="s">
        <v>607</v>
      </c>
      <c r="L1416" s="4" t="s">
        <v>607</v>
      </c>
      <c r="M1416" s="4" t="s">
        <v>607</v>
      </c>
      <c r="N1416" s="4" t="s">
        <v>607</v>
      </c>
      <c r="O1416" s="4"/>
      <c r="P1416" s="4"/>
      <c r="T1416" s="4"/>
    </row>
    <row r="1417">
      <c r="A1417" s="4" t="s">
        <v>4699</v>
      </c>
      <c r="B1417" s="4" t="s">
        <v>607</v>
      </c>
      <c r="C1417" s="6" t="s">
        <v>607</v>
      </c>
      <c r="D1417" s="6" t="s">
        <v>607</v>
      </c>
      <c r="E1417" s="6" t="s">
        <v>607</v>
      </c>
      <c r="F1417" s="6" t="s">
        <v>607</v>
      </c>
      <c r="G1417" s="4" t="s">
        <v>607</v>
      </c>
      <c r="H1417" s="4" t="s">
        <v>607</v>
      </c>
      <c r="I1417" s="4" t="s">
        <v>607</v>
      </c>
      <c r="J1417" s="4" t="s">
        <v>607</v>
      </c>
      <c r="K1417" s="4" t="s">
        <v>607</v>
      </c>
      <c r="L1417" s="4" t="s">
        <v>607</v>
      </c>
      <c r="M1417" s="4" t="s">
        <v>607</v>
      </c>
      <c r="N1417" s="4" t="s">
        <v>607</v>
      </c>
      <c r="O1417" s="4"/>
      <c r="P1417" s="4"/>
      <c r="T1417" s="4"/>
    </row>
    <row r="1418">
      <c r="A1418" s="4" t="s">
        <v>4700</v>
      </c>
      <c r="B1418" s="4" t="s">
        <v>607</v>
      </c>
      <c r="C1418" s="6" t="s">
        <v>607</v>
      </c>
      <c r="D1418" s="6" t="s">
        <v>607</v>
      </c>
      <c r="E1418" s="6" t="s">
        <v>607</v>
      </c>
      <c r="F1418" s="6" t="s">
        <v>607</v>
      </c>
      <c r="G1418" s="4" t="s">
        <v>607</v>
      </c>
      <c r="H1418" s="4" t="s">
        <v>607</v>
      </c>
      <c r="I1418" s="4" t="s">
        <v>607</v>
      </c>
      <c r="J1418" s="4" t="s">
        <v>607</v>
      </c>
      <c r="K1418" s="4" t="s">
        <v>607</v>
      </c>
      <c r="L1418" s="4" t="s">
        <v>607</v>
      </c>
      <c r="M1418" s="4" t="s">
        <v>607</v>
      </c>
      <c r="N1418" s="4" t="s">
        <v>607</v>
      </c>
      <c r="O1418" s="4"/>
      <c r="P1418" s="4"/>
      <c r="T1418" s="4"/>
    </row>
    <row r="1419">
      <c r="A1419" s="4" t="s">
        <v>4701</v>
      </c>
      <c r="B1419" s="4" t="s">
        <v>607</v>
      </c>
      <c r="C1419" s="6" t="s">
        <v>607</v>
      </c>
      <c r="D1419" s="6" t="s">
        <v>607</v>
      </c>
      <c r="E1419" s="6" t="s">
        <v>607</v>
      </c>
      <c r="F1419" s="6" t="s">
        <v>607</v>
      </c>
      <c r="G1419" s="4" t="s">
        <v>607</v>
      </c>
      <c r="H1419" s="4" t="s">
        <v>607</v>
      </c>
      <c r="I1419" s="4" t="s">
        <v>607</v>
      </c>
      <c r="J1419" s="4" t="s">
        <v>607</v>
      </c>
      <c r="K1419" s="4" t="s">
        <v>607</v>
      </c>
      <c r="L1419" s="4" t="s">
        <v>607</v>
      </c>
      <c r="M1419" s="4" t="s">
        <v>607</v>
      </c>
      <c r="N1419" s="4" t="s">
        <v>607</v>
      </c>
      <c r="O1419" s="4"/>
      <c r="P1419" s="4"/>
      <c r="T1419" s="4"/>
    </row>
    <row r="1420">
      <c r="A1420" s="4" t="s">
        <v>4702</v>
      </c>
      <c r="B1420" s="4" t="s">
        <v>607</v>
      </c>
      <c r="C1420" s="6" t="s">
        <v>607</v>
      </c>
      <c r="D1420" s="6" t="s">
        <v>607</v>
      </c>
      <c r="E1420" s="6" t="s">
        <v>607</v>
      </c>
      <c r="F1420" s="6" t="s">
        <v>607</v>
      </c>
      <c r="G1420" s="4" t="s">
        <v>607</v>
      </c>
      <c r="H1420" s="4" t="s">
        <v>607</v>
      </c>
      <c r="I1420" s="4" t="s">
        <v>607</v>
      </c>
      <c r="J1420" s="4" t="s">
        <v>607</v>
      </c>
      <c r="K1420" s="4" t="s">
        <v>607</v>
      </c>
      <c r="L1420" s="4" t="s">
        <v>607</v>
      </c>
      <c r="M1420" s="4" t="s">
        <v>607</v>
      </c>
      <c r="N1420" s="4" t="s">
        <v>607</v>
      </c>
      <c r="O1420" s="4"/>
      <c r="P1420" s="4"/>
      <c r="T1420" s="4"/>
    </row>
    <row r="1421">
      <c r="A1421" s="4" t="s">
        <v>4703</v>
      </c>
      <c r="B1421" s="4" t="s">
        <v>607</v>
      </c>
      <c r="C1421" s="6" t="s">
        <v>607</v>
      </c>
      <c r="D1421" s="6" t="s">
        <v>607</v>
      </c>
      <c r="E1421" s="6" t="s">
        <v>607</v>
      </c>
      <c r="F1421" s="6" t="s">
        <v>607</v>
      </c>
      <c r="G1421" s="4" t="s">
        <v>607</v>
      </c>
      <c r="H1421" s="4" t="s">
        <v>607</v>
      </c>
      <c r="I1421" s="4" t="s">
        <v>607</v>
      </c>
      <c r="J1421" s="4" t="s">
        <v>607</v>
      </c>
      <c r="K1421" s="4" t="s">
        <v>607</v>
      </c>
      <c r="L1421" s="4" t="s">
        <v>607</v>
      </c>
      <c r="M1421" s="4" t="s">
        <v>607</v>
      </c>
      <c r="N1421" s="4" t="s">
        <v>607</v>
      </c>
      <c r="O1421" s="4"/>
      <c r="P1421" s="4"/>
      <c r="T1421" s="4"/>
    </row>
    <row r="1422">
      <c r="A1422" s="4" t="s">
        <v>4704</v>
      </c>
      <c r="B1422" s="4" t="s">
        <v>607</v>
      </c>
      <c r="C1422" s="6" t="s">
        <v>607</v>
      </c>
      <c r="D1422" s="6" t="s">
        <v>607</v>
      </c>
      <c r="E1422" s="6" t="s">
        <v>607</v>
      </c>
      <c r="F1422" s="6" t="s">
        <v>607</v>
      </c>
      <c r="G1422" s="4" t="s">
        <v>607</v>
      </c>
      <c r="H1422" s="4" t="s">
        <v>607</v>
      </c>
      <c r="I1422" s="4" t="s">
        <v>607</v>
      </c>
      <c r="J1422" s="4" t="s">
        <v>607</v>
      </c>
      <c r="K1422" s="4" t="s">
        <v>607</v>
      </c>
      <c r="L1422" s="4" t="s">
        <v>607</v>
      </c>
      <c r="M1422" s="4" t="s">
        <v>607</v>
      </c>
      <c r="N1422" s="4" t="s">
        <v>607</v>
      </c>
      <c r="O1422" s="4"/>
      <c r="P1422" s="4"/>
      <c r="T1422" s="4"/>
    </row>
    <row r="1423">
      <c r="A1423" s="4" t="s">
        <v>4705</v>
      </c>
      <c r="B1423" s="4" t="s">
        <v>607</v>
      </c>
      <c r="C1423" s="6" t="s">
        <v>607</v>
      </c>
      <c r="D1423" s="6" t="s">
        <v>607</v>
      </c>
      <c r="E1423" s="6" t="s">
        <v>607</v>
      </c>
      <c r="F1423" s="6" t="s">
        <v>607</v>
      </c>
      <c r="G1423" s="4" t="s">
        <v>607</v>
      </c>
      <c r="H1423" s="4" t="s">
        <v>607</v>
      </c>
      <c r="I1423" s="4" t="s">
        <v>607</v>
      </c>
      <c r="J1423" s="4" t="s">
        <v>607</v>
      </c>
      <c r="K1423" s="4" t="s">
        <v>607</v>
      </c>
      <c r="L1423" s="4" t="s">
        <v>607</v>
      </c>
      <c r="M1423" s="4" t="s">
        <v>607</v>
      </c>
      <c r="N1423" s="4" t="s">
        <v>607</v>
      </c>
      <c r="O1423" s="4"/>
      <c r="P1423" s="4"/>
      <c r="T1423" s="4"/>
    </row>
    <row r="1424">
      <c r="A1424" s="4" t="s">
        <v>4706</v>
      </c>
      <c r="B1424" s="4" t="s">
        <v>607</v>
      </c>
      <c r="C1424" s="6" t="s">
        <v>607</v>
      </c>
      <c r="D1424" s="6" t="s">
        <v>607</v>
      </c>
      <c r="E1424" s="6" t="s">
        <v>607</v>
      </c>
      <c r="F1424" s="6" t="s">
        <v>607</v>
      </c>
      <c r="G1424" s="4" t="s">
        <v>607</v>
      </c>
      <c r="H1424" s="4" t="s">
        <v>607</v>
      </c>
      <c r="I1424" s="4" t="s">
        <v>607</v>
      </c>
      <c r="J1424" s="4" t="s">
        <v>607</v>
      </c>
      <c r="K1424" s="4" t="s">
        <v>607</v>
      </c>
      <c r="L1424" s="4" t="s">
        <v>607</v>
      </c>
      <c r="M1424" s="4" t="s">
        <v>607</v>
      </c>
      <c r="N1424" s="4" t="s">
        <v>607</v>
      </c>
      <c r="O1424" s="4"/>
      <c r="P1424" s="4"/>
      <c r="T1424" s="4"/>
    </row>
    <row r="1425">
      <c r="A1425" s="4" t="s">
        <v>4707</v>
      </c>
      <c r="B1425" s="4" t="s">
        <v>607</v>
      </c>
      <c r="C1425" s="6" t="s">
        <v>607</v>
      </c>
      <c r="D1425" s="6" t="s">
        <v>607</v>
      </c>
      <c r="E1425" s="6" t="s">
        <v>607</v>
      </c>
      <c r="F1425" s="6" t="s">
        <v>607</v>
      </c>
      <c r="G1425" s="4" t="s">
        <v>607</v>
      </c>
      <c r="H1425" s="4" t="s">
        <v>607</v>
      </c>
      <c r="I1425" s="4" t="s">
        <v>607</v>
      </c>
      <c r="J1425" s="4" t="s">
        <v>607</v>
      </c>
      <c r="K1425" s="4" t="s">
        <v>607</v>
      </c>
      <c r="L1425" s="4" t="s">
        <v>607</v>
      </c>
      <c r="M1425" s="4" t="s">
        <v>607</v>
      </c>
      <c r="N1425" s="4" t="s">
        <v>607</v>
      </c>
      <c r="O1425" s="4"/>
      <c r="P1425" s="4"/>
      <c r="T1425" s="4"/>
    </row>
    <row r="1426">
      <c r="A1426" s="4" t="s">
        <v>4708</v>
      </c>
      <c r="B1426" s="4" t="s">
        <v>607</v>
      </c>
      <c r="C1426" s="6" t="s">
        <v>607</v>
      </c>
      <c r="D1426" s="6" t="s">
        <v>607</v>
      </c>
      <c r="E1426" s="6" t="s">
        <v>607</v>
      </c>
      <c r="F1426" s="6" t="s">
        <v>607</v>
      </c>
      <c r="G1426" s="4" t="s">
        <v>607</v>
      </c>
      <c r="H1426" s="4" t="s">
        <v>607</v>
      </c>
      <c r="I1426" s="4" t="s">
        <v>607</v>
      </c>
      <c r="J1426" s="4" t="s">
        <v>607</v>
      </c>
      <c r="K1426" s="4" t="s">
        <v>607</v>
      </c>
      <c r="L1426" s="4" t="s">
        <v>607</v>
      </c>
      <c r="M1426" s="4" t="s">
        <v>607</v>
      </c>
      <c r="N1426" s="4" t="s">
        <v>607</v>
      </c>
      <c r="O1426" s="4"/>
      <c r="P1426" s="4"/>
      <c r="T1426" s="4"/>
    </row>
    <row r="1427">
      <c r="A1427" s="4" t="s">
        <v>4709</v>
      </c>
      <c r="B1427" s="4" t="s">
        <v>607</v>
      </c>
      <c r="C1427" s="6" t="s">
        <v>607</v>
      </c>
      <c r="D1427" s="6" t="s">
        <v>607</v>
      </c>
      <c r="E1427" s="6" t="s">
        <v>607</v>
      </c>
      <c r="F1427" s="6" t="s">
        <v>607</v>
      </c>
      <c r="G1427" s="4" t="s">
        <v>607</v>
      </c>
      <c r="H1427" s="4" t="s">
        <v>607</v>
      </c>
      <c r="I1427" s="4" t="s">
        <v>607</v>
      </c>
      <c r="J1427" s="4" t="s">
        <v>607</v>
      </c>
      <c r="K1427" s="4" t="s">
        <v>607</v>
      </c>
      <c r="L1427" s="4" t="s">
        <v>607</v>
      </c>
      <c r="M1427" s="4" t="s">
        <v>607</v>
      </c>
      <c r="N1427" s="4" t="s">
        <v>607</v>
      </c>
      <c r="O1427" s="4"/>
      <c r="P1427" s="4"/>
      <c r="T1427" s="4"/>
    </row>
    <row r="1428">
      <c r="A1428" s="4" t="s">
        <v>4710</v>
      </c>
      <c r="B1428" s="4" t="s">
        <v>607</v>
      </c>
      <c r="C1428" s="6" t="s">
        <v>607</v>
      </c>
      <c r="D1428" s="6" t="s">
        <v>607</v>
      </c>
      <c r="E1428" s="6" t="s">
        <v>607</v>
      </c>
      <c r="F1428" s="6" t="s">
        <v>607</v>
      </c>
      <c r="G1428" s="4" t="s">
        <v>607</v>
      </c>
      <c r="H1428" s="4" t="s">
        <v>607</v>
      </c>
      <c r="I1428" s="4" t="s">
        <v>607</v>
      </c>
      <c r="J1428" s="4" t="s">
        <v>607</v>
      </c>
      <c r="K1428" s="4" t="s">
        <v>607</v>
      </c>
      <c r="L1428" s="4" t="s">
        <v>607</v>
      </c>
      <c r="M1428" s="4" t="s">
        <v>607</v>
      </c>
      <c r="N1428" s="4" t="s">
        <v>607</v>
      </c>
      <c r="O1428" s="4"/>
      <c r="P1428" s="4"/>
      <c r="T1428" s="4"/>
    </row>
    <row r="1429">
      <c r="A1429" s="4" t="s">
        <v>4711</v>
      </c>
      <c r="B1429" s="4" t="s">
        <v>607</v>
      </c>
      <c r="C1429" s="6" t="s">
        <v>607</v>
      </c>
      <c r="D1429" s="6" t="s">
        <v>607</v>
      </c>
      <c r="E1429" s="6" t="s">
        <v>607</v>
      </c>
      <c r="F1429" s="6" t="s">
        <v>607</v>
      </c>
      <c r="G1429" s="4" t="s">
        <v>607</v>
      </c>
      <c r="H1429" s="4" t="s">
        <v>607</v>
      </c>
      <c r="I1429" s="4" t="s">
        <v>607</v>
      </c>
      <c r="J1429" s="4" t="s">
        <v>607</v>
      </c>
      <c r="K1429" s="4" t="s">
        <v>607</v>
      </c>
      <c r="L1429" s="4" t="s">
        <v>607</v>
      </c>
      <c r="M1429" s="4" t="s">
        <v>607</v>
      </c>
      <c r="N1429" s="4" t="s">
        <v>607</v>
      </c>
      <c r="O1429" s="4"/>
      <c r="P1429" s="4"/>
      <c r="T1429" s="4"/>
    </row>
    <row r="1430">
      <c r="A1430" s="4" t="s">
        <v>4712</v>
      </c>
      <c r="B1430" s="4" t="s">
        <v>607</v>
      </c>
      <c r="C1430" s="6" t="s">
        <v>607</v>
      </c>
      <c r="D1430" s="6" t="s">
        <v>607</v>
      </c>
      <c r="E1430" s="6" t="s">
        <v>607</v>
      </c>
      <c r="F1430" s="6" t="s">
        <v>607</v>
      </c>
      <c r="G1430" s="4" t="s">
        <v>607</v>
      </c>
      <c r="H1430" s="4" t="s">
        <v>607</v>
      </c>
      <c r="I1430" s="4" t="s">
        <v>607</v>
      </c>
      <c r="J1430" s="4" t="s">
        <v>607</v>
      </c>
      <c r="K1430" s="4" t="s">
        <v>607</v>
      </c>
      <c r="L1430" s="4" t="s">
        <v>607</v>
      </c>
      <c r="M1430" s="4" t="s">
        <v>607</v>
      </c>
      <c r="N1430" s="4" t="s">
        <v>607</v>
      </c>
      <c r="O1430" s="4"/>
      <c r="P1430" s="4"/>
      <c r="T1430" s="4"/>
    </row>
    <row r="1431">
      <c r="A1431" s="4" t="s">
        <v>4713</v>
      </c>
      <c r="B1431" s="4" t="s">
        <v>607</v>
      </c>
      <c r="C1431" s="6" t="s">
        <v>607</v>
      </c>
      <c r="D1431" s="6" t="s">
        <v>607</v>
      </c>
      <c r="E1431" s="6" t="s">
        <v>607</v>
      </c>
      <c r="F1431" s="6" t="s">
        <v>607</v>
      </c>
      <c r="G1431" s="4" t="s">
        <v>607</v>
      </c>
      <c r="H1431" s="4" t="s">
        <v>607</v>
      </c>
      <c r="I1431" s="4" t="s">
        <v>607</v>
      </c>
      <c r="J1431" s="4" t="s">
        <v>607</v>
      </c>
      <c r="K1431" s="4" t="s">
        <v>607</v>
      </c>
      <c r="L1431" s="4" t="s">
        <v>607</v>
      </c>
      <c r="M1431" s="4" t="s">
        <v>607</v>
      </c>
      <c r="N1431" s="4" t="s">
        <v>607</v>
      </c>
      <c r="O1431" s="4"/>
      <c r="P1431" s="4"/>
      <c r="T1431" s="4"/>
    </row>
    <row r="1432">
      <c r="A1432" s="4" t="s">
        <v>4714</v>
      </c>
      <c r="B1432" s="4" t="s">
        <v>607</v>
      </c>
      <c r="C1432" s="6" t="s">
        <v>607</v>
      </c>
      <c r="D1432" s="6" t="s">
        <v>607</v>
      </c>
      <c r="E1432" s="6" t="s">
        <v>607</v>
      </c>
      <c r="F1432" s="6" t="s">
        <v>607</v>
      </c>
      <c r="G1432" s="4" t="s">
        <v>607</v>
      </c>
      <c r="H1432" s="4" t="s">
        <v>607</v>
      </c>
      <c r="I1432" s="4" t="s">
        <v>607</v>
      </c>
      <c r="J1432" s="4" t="s">
        <v>607</v>
      </c>
      <c r="K1432" s="4" t="s">
        <v>607</v>
      </c>
      <c r="L1432" s="4" t="s">
        <v>607</v>
      </c>
      <c r="M1432" s="4" t="s">
        <v>607</v>
      </c>
      <c r="N1432" s="4" t="s">
        <v>607</v>
      </c>
      <c r="O1432" s="4"/>
      <c r="P1432" s="4"/>
      <c r="T1432" s="4"/>
    </row>
    <row r="1433">
      <c r="A1433" s="4" t="s">
        <v>4715</v>
      </c>
      <c r="B1433" s="4" t="s">
        <v>607</v>
      </c>
      <c r="C1433" s="6" t="s">
        <v>607</v>
      </c>
      <c r="D1433" s="6" t="s">
        <v>607</v>
      </c>
      <c r="E1433" s="6" t="s">
        <v>607</v>
      </c>
      <c r="F1433" s="6" t="s">
        <v>607</v>
      </c>
      <c r="G1433" s="4" t="s">
        <v>607</v>
      </c>
      <c r="H1433" s="4" t="s">
        <v>607</v>
      </c>
      <c r="I1433" s="4" t="s">
        <v>607</v>
      </c>
      <c r="J1433" s="4" t="s">
        <v>607</v>
      </c>
      <c r="K1433" s="4" t="s">
        <v>607</v>
      </c>
      <c r="L1433" s="4" t="s">
        <v>607</v>
      </c>
      <c r="M1433" s="4" t="s">
        <v>607</v>
      </c>
      <c r="N1433" s="4" t="s">
        <v>607</v>
      </c>
      <c r="O1433" s="4"/>
      <c r="P1433" s="4"/>
      <c r="T1433" s="4"/>
    </row>
    <row r="1434">
      <c r="A1434" s="4" t="s">
        <v>4716</v>
      </c>
      <c r="B1434" s="4" t="s">
        <v>607</v>
      </c>
      <c r="C1434" s="6" t="s">
        <v>607</v>
      </c>
      <c r="D1434" s="6" t="s">
        <v>607</v>
      </c>
      <c r="E1434" s="6" t="s">
        <v>607</v>
      </c>
      <c r="F1434" s="6" t="s">
        <v>607</v>
      </c>
      <c r="G1434" s="4" t="s">
        <v>607</v>
      </c>
      <c r="H1434" s="4" t="s">
        <v>607</v>
      </c>
      <c r="I1434" s="4" t="s">
        <v>607</v>
      </c>
      <c r="J1434" s="4" t="s">
        <v>607</v>
      </c>
      <c r="K1434" s="4" t="s">
        <v>607</v>
      </c>
      <c r="L1434" s="4" t="s">
        <v>607</v>
      </c>
      <c r="M1434" s="4" t="s">
        <v>607</v>
      </c>
      <c r="N1434" s="4" t="s">
        <v>607</v>
      </c>
      <c r="O1434" s="4"/>
      <c r="P1434" s="4"/>
      <c r="T1434" s="4"/>
    </row>
    <row r="1435">
      <c r="A1435" s="4" t="s">
        <v>4717</v>
      </c>
      <c r="B1435" s="4" t="s">
        <v>607</v>
      </c>
      <c r="C1435" s="6" t="s">
        <v>607</v>
      </c>
      <c r="D1435" s="6" t="s">
        <v>607</v>
      </c>
      <c r="E1435" s="6" t="s">
        <v>607</v>
      </c>
      <c r="F1435" s="6" t="s">
        <v>607</v>
      </c>
      <c r="G1435" s="4" t="s">
        <v>607</v>
      </c>
      <c r="H1435" s="4" t="s">
        <v>607</v>
      </c>
      <c r="I1435" s="4" t="s">
        <v>607</v>
      </c>
      <c r="J1435" s="4" t="s">
        <v>607</v>
      </c>
      <c r="K1435" s="4" t="s">
        <v>607</v>
      </c>
      <c r="L1435" s="4" t="s">
        <v>607</v>
      </c>
      <c r="M1435" s="4" t="s">
        <v>607</v>
      </c>
      <c r="N1435" s="4" t="s">
        <v>607</v>
      </c>
      <c r="O1435" s="4"/>
      <c r="P1435" s="4"/>
      <c r="T1435" s="4"/>
    </row>
    <row r="1436">
      <c r="A1436" s="4" t="s">
        <v>4718</v>
      </c>
      <c r="B1436" s="4" t="s">
        <v>607</v>
      </c>
      <c r="C1436" s="6" t="s">
        <v>607</v>
      </c>
      <c r="D1436" s="6" t="s">
        <v>607</v>
      </c>
      <c r="E1436" s="6" t="s">
        <v>607</v>
      </c>
      <c r="F1436" s="6" t="s">
        <v>607</v>
      </c>
      <c r="G1436" s="4" t="s">
        <v>607</v>
      </c>
      <c r="H1436" s="4" t="s">
        <v>607</v>
      </c>
      <c r="I1436" s="4" t="s">
        <v>607</v>
      </c>
      <c r="J1436" s="4" t="s">
        <v>607</v>
      </c>
      <c r="K1436" s="4" t="s">
        <v>607</v>
      </c>
      <c r="L1436" s="4" t="s">
        <v>607</v>
      </c>
      <c r="M1436" s="4" t="s">
        <v>607</v>
      </c>
      <c r="N1436" s="4" t="s">
        <v>607</v>
      </c>
      <c r="O1436" s="4"/>
      <c r="P1436" s="4"/>
      <c r="T1436" s="4"/>
    </row>
    <row r="1437">
      <c r="A1437" s="4" t="s">
        <v>4719</v>
      </c>
      <c r="B1437" s="4" t="s">
        <v>607</v>
      </c>
      <c r="C1437" s="6" t="s">
        <v>607</v>
      </c>
      <c r="D1437" s="6" t="s">
        <v>607</v>
      </c>
      <c r="E1437" s="6" t="s">
        <v>607</v>
      </c>
      <c r="F1437" s="6" t="s">
        <v>607</v>
      </c>
      <c r="G1437" s="4" t="s">
        <v>607</v>
      </c>
      <c r="H1437" s="4" t="s">
        <v>607</v>
      </c>
      <c r="I1437" s="4" t="s">
        <v>607</v>
      </c>
      <c r="J1437" s="4" t="s">
        <v>607</v>
      </c>
      <c r="K1437" s="4" t="s">
        <v>607</v>
      </c>
      <c r="L1437" s="4" t="s">
        <v>607</v>
      </c>
      <c r="M1437" s="4" t="s">
        <v>607</v>
      </c>
      <c r="N1437" s="4" t="s">
        <v>607</v>
      </c>
      <c r="O1437" s="4"/>
      <c r="P1437" s="4"/>
      <c r="T1437" s="4"/>
    </row>
    <row r="1438">
      <c r="A1438" s="4" t="s">
        <v>4721</v>
      </c>
      <c r="B1438" s="4" t="s">
        <v>607</v>
      </c>
      <c r="C1438" s="6" t="s">
        <v>607</v>
      </c>
      <c r="D1438" s="6" t="s">
        <v>607</v>
      </c>
      <c r="E1438" s="6" t="s">
        <v>607</v>
      </c>
      <c r="F1438" s="6" t="s">
        <v>607</v>
      </c>
      <c r="G1438" s="4" t="s">
        <v>607</v>
      </c>
      <c r="H1438" s="4" t="s">
        <v>607</v>
      </c>
      <c r="I1438" s="4" t="s">
        <v>607</v>
      </c>
      <c r="J1438" s="4" t="s">
        <v>607</v>
      </c>
      <c r="K1438" s="4" t="s">
        <v>607</v>
      </c>
      <c r="L1438" s="4" t="s">
        <v>607</v>
      </c>
      <c r="M1438" s="4" t="s">
        <v>607</v>
      </c>
      <c r="N1438" s="4" t="s">
        <v>607</v>
      </c>
      <c r="O1438" s="4"/>
      <c r="P1438" s="4"/>
      <c r="T1438" s="4"/>
    </row>
    <row r="1439">
      <c r="A1439" s="4" t="s">
        <v>4722</v>
      </c>
      <c r="B1439" s="4" t="s">
        <v>607</v>
      </c>
      <c r="C1439" s="6" t="s">
        <v>607</v>
      </c>
      <c r="D1439" s="6" t="s">
        <v>607</v>
      </c>
      <c r="E1439" s="6" t="s">
        <v>607</v>
      </c>
      <c r="F1439" s="6" t="s">
        <v>607</v>
      </c>
      <c r="G1439" s="4" t="s">
        <v>607</v>
      </c>
      <c r="H1439" s="4" t="s">
        <v>607</v>
      </c>
      <c r="I1439" s="4" t="s">
        <v>607</v>
      </c>
      <c r="J1439" s="4" t="s">
        <v>607</v>
      </c>
      <c r="K1439" s="4" t="s">
        <v>607</v>
      </c>
      <c r="L1439" s="4" t="s">
        <v>607</v>
      </c>
      <c r="M1439" s="4" t="s">
        <v>607</v>
      </c>
      <c r="N1439" s="4" t="s">
        <v>607</v>
      </c>
      <c r="O1439" s="4"/>
      <c r="P1439" s="4"/>
      <c r="T1439" s="4"/>
    </row>
    <row r="1440">
      <c r="A1440" s="4" t="s">
        <v>4723</v>
      </c>
      <c r="B1440" s="4" t="s">
        <v>607</v>
      </c>
      <c r="C1440" s="6" t="s">
        <v>607</v>
      </c>
      <c r="D1440" s="6" t="s">
        <v>607</v>
      </c>
      <c r="E1440" s="6" t="s">
        <v>607</v>
      </c>
      <c r="F1440" s="6" t="s">
        <v>607</v>
      </c>
      <c r="G1440" s="4" t="s">
        <v>607</v>
      </c>
      <c r="H1440" s="4" t="s">
        <v>607</v>
      </c>
      <c r="I1440" s="4" t="s">
        <v>607</v>
      </c>
      <c r="J1440" s="4" t="s">
        <v>607</v>
      </c>
      <c r="K1440" s="4" t="s">
        <v>607</v>
      </c>
      <c r="L1440" s="4" t="s">
        <v>607</v>
      </c>
      <c r="M1440" s="4" t="s">
        <v>607</v>
      </c>
      <c r="N1440" s="4" t="s">
        <v>607</v>
      </c>
      <c r="O1440" s="4"/>
      <c r="P1440" s="4"/>
      <c r="T1440" s="4"/>
    </row>
    <row r="1441">
      <c r="A1441" s="4" t="s">
        <v>4724</v>
      </c>
      <c r="B1441" s="4" t="s">
        <v>607</v>
      </c>
      <c r="C1441" s="6" t="s">
        <v>607</v>
      </c>
      <c r="D1441" s="6" t="s">
        <v>607</v>
      </c>
      <c r="E1441" s="6" t="s">
        <v>607</v>
      </c>
      <c r="F1441" s="6" t="s">
        <v>607</v>
      </c>
      <c r="G1441" s="4" t="s">
        <v>607</v>
      </c>
      <c r="H1441" s="4" t="s">
        <v>607</v>
      </c>
      <c r="I1441" s="4" t="s">
        <v>607</v>
      </c>
      <c r="J1441" s="4" t="s">
        <v>607</v>
      </c>
      <c r="K1441" s="4" t="s">
        <v>607</v>
      </c>
      <c r="L1441" s="4" t="s">
        <v>607</v>
      </c>
      <c r="M1441" s="4" t="s">
        <v>607</v>
      </c>
      <c r="N1441" s="4" t="s">
        <v>607</v>
      </c>
      <c r="O1441" s="4"/>
      <c r="P1441" s="4"/>
      <c r="T1441" s="4"/>
    </row>
    <row r="1442">
      <c r="A1442" s="4" t="s">
        <v>4725</v>
      </c>
      <c r="B1442" s="4" t="s">
        <v>607</v>
      </c>
      <c r="C1442" s="6" t="s">
        <v>607</v>
      </c>
      <c r="D1442" s="6" t="s">
        <v>607</v>
      </c>
      <c r="E1442" s="6" t="s">
        <v>607</v>
      </c>
      <c r="F1442" s="6" t="s">
        <v>607</v>
      </c>
      <c r="G1442" s="4" t="s">
        <v>607</v>
      </c>
      <c r="H1442" s="4" t="s">
        <v>607</v>
      </c>
      <c r="I1442" s="4" t="s">
        <v>607</v>
      </c>
      <c r="J1442" s="4" t="s">
        <v>607</v>
      </c>
      <c r="K1442" s="4" t="s">
        <v>607</v>
      </c>
      <c r="L1442" s="4" t="s">
        <v>607</v>
      </c>
      <c r="M1442" s="4" t="s">
        <v>607</v>
      </c>
      <c r="N1442" s="4" t="s">
        <v>607</v>
      </c>
      <c r="O1442" s="4"/>
      <c r="P1442" s="4"/>
      <c r="T1442" s="4"/>
    </row>
    <row r="1443">
      <c r="A1443" s="4" t="s">
        <v>4726</v>
      </c>
      <c r="B1443" s="4" t="s">
        <v>607</v>
      </c>
      <c r="C1443" s="6" t="s">
        <v>607</v>
      </c>
      <c r="D1443" s="6" t="s">
        <v>607</v>
      </c>
      <c r="E1443" s="6" t="s">
        <v>607</v>
      </c>
      <c r="F1443" s="6" t="s">
        <v>607</v>
      </c>
      <c r="G1443" s="4" t="s">
        <v>607</v>
      </c>
      <c r="H1443" s="4" t="s">
        <v>607</v>
      </c>
      <c r="I1443" s="4" t="s">
        <v>607</v>
      </c>
      <c r="J1443" s="4" t="s">
        <v>607</v>
      </c>
      <c r="K1443" s="4" t="s">
        <v>607</v>
      </c>
      <c r="L1443" s="4" t="s">
        <v>607</v>
      </c>
      <c r="M1443" s="4" t="s">
        <v>607</v>
      </c>
      <c r="N1443" s="4" t="s">
        <v>607</v>
      </c>
      <c r="O1443" s="4"/>
      <c r="P1443" s="4"/>
      <c r="T1443" s="4"/>
    </row>
    <row r="1444">
      <c r="A1444" s="4" t="s">
        <v>4727</v>
      </c>
      <c r="B1444" s="4" t="s">
        <v>607</v>
      </c>
      <c r="C1444" s="6" t="s">
        <v>607</v>
      </c>
      <c r="D1444" s="6" t="s">
        <v>607</v>
      </c>
      <c r="E1444" s="6" t="s">
        <v>607</v>
      </c>
      <c r="F1444" s="6" t="s">
        <v>607</v>
      </c>
      <c r="G1444" s="4" t="s">
        <v>607</v>
      </c>
      <c r="H1444" s="4" t="s">
        <v>607</v>
      </c>
      <c r="I1444" s="4" t="s">
        <v>607</v>
      </c>
      <c r="J1444" s="4" t="s">
        <v>607</v>
      </c>
      <c r="K1444" s="4" t="s">
        <v>607</v>
      </c>
      <c r="L1444" s="4" t="s">
        <v>607</v>
      </c>
      <c r="M1444" s="4" t="s">
        <v>607</v>
      </c>
      <c r="N1444" s="4" t="s">
        <v>607</v>
      </c>
      <c r="O1444" s="4"/>
      <c r="P1444" s="4"/>
      <c r="T1444" s="4"/>
    </row>
    <row r="1445">
      <c r="A1445" s="4" t="s">
        <v>4728</v>
      </c>
      <c r="B1445" s="4" t="s">
        <v>607</v>
      </c>
      <c r="C1445" s="6" t="s">
        <v>607</v>
      </c>
      <c r="D1445" s="6" t="s">
        <v>607</v>
      </c>
      <c r="E1445" s="6" t="s">
        <v>607</v>
      </c>
      <c r="F1445" s="6" t="s">
        <v>607</v>
      </c>
      <c r="G1445" s="4" t="s">
        <v>607</v>
      </c>
      <c r="H1445" s="4" t="s">
        <v>607</v>
      </c>
      <c r="I1445" s="4" t="s">
        <v>607</v>
      </c>
      <c r="J1445" s="4" t="s">
        <v>607</v>
      </c>
      <c r="K1445" s="4" t="s">
        <v>607</v>
      </c>
      <c r="L1445" s="4" t="s">
        <v>607</v>
      </c>
      <c r="M1445" s="4" t="s">
        <v>607</v>
      </c>
      <c r="N1445" s="4" t="s">
        <v>607</v>
      </c>
      <c r="O1445" s="4"/>
      <c r="P1445" s="4"/>
      <c r="T1445" s="4"/>
    </row>
    <row r="1446">
      <c r="A1446" s="4" t="s">
        <v>4729</v>
      </c>
      <c r="B1446" s="4" t="s">
        <v>607</v>
      </c>
      <c r="C1446" s="6" t="s">
        <v>607</v>
      </c>
      <c r="D1446" s="6" t="s">
        <v>607</v>
      </c>
      <c r="E1446" s="6" t="s">
        <v>607</v>
      </c>
      <c r="F1446" s="6" t="s">
        <v>607</v>
      </c>
      <c r="G1446" s="4" t="s">
        <v>607</v>
      </c>
      <c r="H1446" s="4" t="s">
        <v>607</v>
      </c>
      <c r="I1446" s="4" t="s">
        <v>607</v>
      </c>
      <c r="J1446" s="4" t="s">
        <v>607</v>
      </c>
      <c r="K1446" s="4" t="s">
        <v>607</v>
      </c>
      <c r="L1446" s="4" t="s">
        <v>607</v>
      </c>
      <c r="M1446" s="4" t="s">
        <v>607</v>
      </c>
      <c r="N1446" s="4" t="s">
        <v>607</v>
      </c>
      <c r="O1446" s="4"/>
      <c r="P1446" s="4"/>
      <c r="T1446" s="4"/>
    </row>
    <row r="1447">
      <c r="A1447" s="4" t="s">
        <v>4730</v>
      </c>
      <c r="B1447" s="4" t="s">
        <v>607</v>
      </c>
      <c r="C1447" s="6" t="s">
        <v>607</v>
      </c>
      <c r="D1447" s="6" t="s">
        <v>607</v>
      </c>
      <c r="E1447" s="6" t="s">
        <v>607</v>
      </c>
      <c r="F1447" s="6" t="s">
        <v>607</v>
      </c>
      <c r="G1447" s="4" t="s">
        <v>607</v>
      </c>
      <c r="H1447" s="4" t="s">
        <v>607</v>
      </c>
      <c r="I1447" s="4" t="s">
        <v>607</v>
      </c>
      <c r="J1447" s="4" t="s">
        <v>607</v>
      </c>
      <c r="K1447" s="4" t="s">
        <v>607</v>
      </c>
      <c r="L1447" s="4" t="s">
        <v>607</v>
      </c>
      <c r="M1447" s="4" t="s">
        <v>607</v>
      </c>
      <c r="N1447" s="4" t="s">
        <v>607</v>
      </c>
      <c r="O1447" s="4"/>
      <c r="P1447" s="4"/>
      <c r="T1447" s="4"/>
    </row>
    <row r="1448">
      <c r="A1448" s="4" t="s">
        <v>4732</v>
      </c>
      <c r="B1448" s="4" t="s">
        <v>607</v>
      </c>
      <c r="C1448" s="6" t="s">
        <v>607</v>
      </c>
      <c r="D1448" s="6" t="s">
        <v>607</v>
      </c>
      <c r="E1448" s="6" t="s">
        <v>607</v>
      </c>
      <c r="F1448" s="6" t="s">
        <v>607</v>
      </c>
      <c r="G1448" s="4" t="s">
        <v>607</v>
      </c>
      <c r="H1448" s="4" t="s">
        <v>607</v>
      </c>
      <c r="I1448" s="4" t="s">
        <v>607</v>
      </c>
      <c r="J1448" s="4" t="s">
        <v>607</v>
      </c>
      <c r="K1448" s="4" t="s">
        <v>607</v>
      </c>
      <c r="L1448" s="4" t="s">
        <v>607</v>
      </c>
      <c r="M1448" s="4" t="s">
        <v>607</v>
      </c>
      <c r="N1448" s="4" t="s">
        <v>607</v>
      </c>
      <c r="O1448" s="4"/>
      <c r="P1448" s="4"/>
      <c r="T1448" s="4"/>
    </row>
    <row r="1449">
      <c r="A1449" s="4" t="s">
        <v>4733</v>
      </c>
      <c r="B1449" s="4" t="s">
        <v>607</v>
      </c>
      <c r="C1449" s="6" t="s">
        <v>607</v>
      </c>
      <c r="D1449" s="6" t="s">
        <v>607</v>
      </c>
      <c r="E1449" s="6" t="s">
        <v>607</v>
      </c>
      <c r="F1449" s="6" t="s">
        <v>607</v>
      </c>
      <c r="G1449" s="4" t="s">
        <v>607</v>
      </c>
      <c r="H1449" s="4" t="s">
        <v>607</v>
      </c>
      <c r="I1449" s="4" t="s">
        <v>607</v>
      </c>
      <c r="J1449" s="4" t="s">
        <v>607</v>
      </c>
      <c r="K1449" s="4" t="s">
        <v>607</v>
      </c>
      <c r="L1449" s="4" t="s">
        <v>607</v>
      </c>
      <c r="M1449" s="4" t="s">
        <v>607</v>
      </c>
      <c r="N1449" s="4" t="s">
        <v>607</v>
      </c>
      <c r="O1449" s="4"/>
      <c r="P1449" s="4"/>
      <c r="T1449" s="4"/>
    </row>
    <row r="1450">
      <c r="A1450" s="4" t="s">
        <v>4734</v>
      </c>
      <c r="B1450" s="4" t="s">
        <v>607</v>
      </c>
      <c r="C1450" s="6" t="s">
        <v>607</v>
      </c>
      <c r="D1450" s="6" t="s">
        <v>607</v>
      </c>
      <c r="E1450" s="6" t="s">
        <v>607</v>
      </c>
      <c r="F1450" s="6" t="s">
        <v>607</v>
      </c>
      <c r="G1450" s="4" t="s">
        <v>607</v>
      </c>
      <c r="H1450" s="4" t="s">
        <v>607</v>
      </c>
      <c r="I1450" s="4" t="s">
        <v>607</v>
      </c>
      <c r="J1450" s="4" t="s">
        <v>607</v>
      </c>
      <c r="K1450" s="4" t="s">
        <v>607</v>
      </c>
      <c r="L1450" s="4" t="s">
        <v>607</v>
      </c>
      <c r="M1450" s="4" t="s">
        <v>607</v>
      </c>
      <c r="N1450" s="4" t="s">
        <v>607</v>
      </c>
      <c r="O1450" s="4"/>
      <c r="P1450" s="4"/>
      <c r="T1450" s="4"/>
    </row>
    <row r="1451">
      <c r="A1451" s="4" t="s">
        <v>4735</v>
      </c>
      <c r="B1451" s="4" t="s">
        <v>607</v>
      </c>
      <c r="C1451" s="6" t="s">
        <v>607</v>
      </c>
      <c r="D1451" s="6" t="s">
        <v>607</v>
      </c>
      <c r="E1451" s="6" t="s">
        <v>607</v>
      </c>
      <c r="F1451" s="6" t="s">
        <v>607</v>
      </c>
      <c r="G1451" s="4" t="s">
        <v>607</v>
      </c>
      <c r="H1451" s="4" t="s">
        <v>607</v>
      </c>
      <c r="I1451" s="4" t="s">
        <v>607</v>
      </c>
      <c r="J1451" s="4" t="s">
        <v>607</v>
      </c>
      <c r="K1451" s="4" t="s">
        <v>607</v>
      </c>
      <c r="L1451" s="4" t="s">
        <v>607</v>
      </c>
      <c r="M1451" s="4" t="s">
        <v>607</v>
      </c>
      <c r="N1451" s="4" t="s">
        <v>607</v>
      </c>
      <c r="O1451" s="4"/>
      <c r="P1451" s="4"/>
      <c r="T1451" s="4"/>
    </row>
    <row r="1452">
      <c r="A1452" s="4" t="s">
        <v>4736</v>
      </c>
      <c r="B1452" s="4" t="s">
        <v>607</v>
      </c>
      <c r="C1452" s="6" t="s">
        <v>607</v>
      </c>
      <c r="D1452" s="6" t="s">
        <v>607</v>
      </c>
      <c r="E1452" s="6" t="s">
        <v>607</v>
      </c>
      <c r="F1452" s="6" t="s">
        <v>607</v>
      </c>
      <c r="G1452" s="4" t="s">
        <v>607</v>
      </c>
      <c r="H1452" s="4" t="s">
        <v>607</v>
      </c>
      <c r="I1452" s="4" t="s">
        <v>607</v>
      </c>
      <c r="J1452" s="4" t="s">
        <v>607</v>
      </c>
      <c r="K1452" s="4" t="s">
        <v>607</v>
      </c>
      <c r="L1452" s="4" t="s">
        <v>607</v>
      </c>
      <c r="M1452" s="4" t="s">
        <v>607</v>
      </c>
      <c r="N1452" s="4" t="s">
        <v>607</v>
      </c>
      <c r="O1452" s="4"/>
      <c r="P1452" s="4"/>
      <c r="T1452" s="4"/>
    </row>
    <row r="1453">
      <c r="A1453" s="4" t="s">
        <v>4737</v>
      </c>
      <c r="B1453" s="4" t="s">
        <v>607</v>
      </c>
      <c r="C1453" s="6" t="s">
        <v>607</v>
      </c>
      <c r="D1453" s="6" t="s">
        <v>607</v>
      </c>
      <c r="E1453" s="6" t="s">
        <v>607</v>
      </c>
      <c r="F1453" s="6" t="s">
        <v>607</v>
      </c>
      <c r="G1453" s="4" t="s">
        <v>607</v>
      </c>
      <c r="H1453" s="4" t="s">
        <v>607</v>
      </c>
      <c r="I1453" s="4" t="s">
        <v>607</v>
      </c>
      <c r="J1453" s="4" t="s">
        <v>607</v>
      </c>
      <c r="K1453" s="4" t="s">
        <v>607</v>
      </c>
      <c r="L1453" s="4" t="s">
        <v>607</v>
      </c>
      <c r="M1453" s="4" t="s">
        <v>607</v>
      </c>
      <c r="N1453" s="4" t="s">
        <v>607</v>
      </c>
      <c r="O1453" s="4"/>
      <c r="P1453" s="4"/>
      <c r="T1453" s="4"/>
    </row>
    <row r="1454">
      <c r="A1454" s="4" t="s">
        <v>4738</v>
      </c>
      <c r="B1454" s="4" t="s">
        <v>607</v>
      </c>
      <c r="C1454" s="6" t="s">
        <v>607</v>
      </c>
      <c r="D1454" s="6" t="s">
        <v>607</v>
      </c>
      <c r="E1454" s="6" t="s">
        <v>607</v>
      </c>
      <c r="F1454" s="6" t="s">
        <v>607</v>
      </c>
      <c r="G1454" s="4" t="s">
        <v>607</v>
      </c>
      <c r="H1454" s="4" t="s">
        <v>607</v>
      </c>
      <c r="I1454" s="4" t="s">
        <v>607</v>
      </c>
      <c r="J1454" s="4" t="s">
        <v>607</v>
      </c>
      <c r="K1454" s="4" t="s">
        <v>607</v>
      </c>
      <c r="L1454" s="4" t="s">
        <v>607</v>
      </c>
      <c r="M1454" s="4" t="s">
        <v>607</v>
      </c>
      <c r="N1454" s="4" t="s">
        <v>607</v>
      </c>
      <c r="O1454" s="4"/>
      <c r="P1454" s="4"/>
      <c r="T1454" s="4"/>
    </row>
    <row r="1455">
      <c r="A1455" s="4" t="s">
        <v>4739</v>
      </c>
      <c r="B1455" s="4" t="s">
        <v>607</v>
      </c>
      <c r="C1455" s="6" t="s">
        <v>607</v>
      </c>
      <c r="D1455" s="6" t="s">
        <v>607</v>
      </c>
      <c r="E1455" s="6" t="s">
        <v>607</v>
      </c>
      <c r="F1455" s="6" t="s">
        <v>607</v>
      </c>
      <c r="G1455" s="4" t="s">
        <v>607</v>
      </c>
      <c r="H1455" s="4" t="s">
        <v>607</v>
      </c>
      <c r="I1455" s="4" t="s">
        <v>607</v>
      </c>
      <c r="J1455" s="4" t="s">
        <v>607</v>
      </c>
      <c r="K1455" s="4" t="s">
        <v>607</v>
      </c>
      <c r="L1455" s="4" t="s">
        <v>607</v>
      </c>
      <c r="M1455" s="4" t="s">
        <v>607</v>
      </c>
      <c r="N1455" s="4" t="s">
        <v>607</v>
      </c>
      <c r="O1455" s="4"/>
      <c r="P1455" s="4"/>
      <c r="T1455" s="4"/>
    </row>
    <row r="1456">
      <c r="A1456" s="4" t="s">
        <v>4740</v>
      </c>
      <c r="B1456" s="4" t="s">
        <v>607</v>
      </c>
      <c r="C1456" s="6" t="s">
        <v>607</v>
      </c>
      <c r="D1456" s="6" t="s">
        <v>607</v>
      </c>
      <c r="E1456" s="6" t="s">
        <v>607</v>
      </c>
      <c r="F1456" s="6" t="s">
        <v>607</v>
      </c>
      <c r="G1456" s="4" t="s">
        <v>607</v>
      </c>
      <c r="H1456" s="4" t="s">
        <v>607</v>
      </c>
      <c r="I1456" s="4" t="s">
        <v>607</v>
      </c>
      <c r="J1456" s="4" t="s">
        <v>607</v>
      </c>
      <c r="K1456" s="4" t="s">
        <v>607</v>
      </c>
      <c r="L1456" s="4" t="s">
        <v>607</v>
      </c>
      <c r="M1456" s="4" t="s">
        <v>607</v>
      </c>
      <c r="N1456" s="4" t="s">
        <v>607</v>
      </c>
      <c r="O1456" s="4"/>
      <c r="P1456" s="4"/>
      <c r="T1456" s="4"/>
    </row>
    <row r="1457">
      <c r="A1457" s="4" t="s">
        <v>4741</v>
      </c>
      <c r="B1457" s="4" t="s">
        <v>607</v>
      </c>
      <c r="C1457" s="6" t="s">
        <v>607</v>
      </c>
      <c r="D1457" s="6" t="s">
        <v>607</v>
      </c>
      <c r="E1457" s="6" t="s">
        <v>607</v>
      </c>
      <c r="F1457" s="6" t="s">
        <v>607</v>
      </c>
      <c r="G1457" s="4" t="s">
        <v>607</v>
      </c>
      <c r="H1457" s="4" t="s">
        <v>607</v>
      </c>
      <c r="I1457" s="4" t="s">
        <v>607</v>
      </c>
      <c r="J1457" s="4" t="s">
        <v>607</v>
      </c>
      <c r="K1457" s="4" t="s">
        <v>607</v>
      </c>
      <c r="L1457" s="4" t="s">
        <v>607</v>
      </c>
      <c r="M1457" s="4" t="s">
        <v>607</v>
      </c>
      <c r="N1457" s="4" t="s">
        <v>607</v>
      </c>
      <c r="O1457" s="4"/>
      <c r="P1457" s="4"/>
      <c r="T1457" s="4"/>
    </row>
    <row r="1458">
      <c r="A1458" s="4" t="s">
        <v>4742</v>
      </c>
      <c r="B1458" s="4" t="s">
        <v>607</v>
      </c>
      <c r="C1458" s="6" t="s">
        <v>607</v>
      </c>
      <c r="D1458" s="6" t="s">
        <v>607</v>
      </c>
      <c r="E1458" s="6" t="s">
        <v>607</v>
      </c>
      <c r="F1458" s="6" t="s">
        <v>607</v>
      </c>
      <c r="G1458" s="4" t="s">
        <v>607</v>
      </c>
      <c r="H1458" s="4" t="s">
        <v>607</v>
      </c>
      <c r="I1458" s="4" t="s">
        <v>607</v>
      </c>
      <c r="J1458" s="4" t="s">
        <v>607</v>
      </c>
      <c r="K1458" s="4" t="s">
        <v>607</v>
      </c>
      <c r="L1458" s="4" t="s">
        <v>607</v>
      </c>
      <c r="M1458" s="4" t="s">
        <v>607</v>
      </c>
      <c r="N1458" s="4" t="s">
        <v>607</v>
      </c>
      <c r="O1458" s="4"/>
      <c r="P1458" s="4"/>
      <c r="T1458" s="4"/>
    </row>
    <row r="1459">
      <c r="A1459" s="4" t="s">
        <v>4745</v>
      </c>
      <c r="B1459" s="4" t="s">
        <v>607</v>
      </c>
      <c r="C1459" s="6" t="s">
        <v>607</v>
      </c>
      <c r="D1459" s="6" t="s">
        <v>607</v>
      </c>
      <c r="E1459" s="6" t="s">
        <v>607</v>
      </c>
      <c r="F1459" s="6" t="s">
        <v>607</v>
      </c>
      <c r="G1459" s="4" t="s">
        <v>607</v>
      </c>
      <c r="H1459" s="4" t="s">
        <v>607</v>
      </c>
      <c r="I1459" s="4" t="s">
        <v>607</v>
      </c>
      <c r="J1459" s="4" t="s">
        <v>607</v>
      </c>
      <c r="K1459" s="4" t="s">
        <v>607</v>
      </c>
      <c r="L1459" s="4" t="s">
        <v>607</v>
      </c>
      <c r="M1459" s="4" t="s">
        <v>607</v>
      </c>
      <c r="N1459" s="4" t="s">
        <v>607</v>
      </c>
      <c r="O1459" s="4"/>
      <c r="P1459" s="4"/>
      <c r="T1459" s="4"/>
    </row>
    <row r="1460">
      <c r="A1460" s="4" t="s">
        <v>4746</v>
      </c>
      <c r="B1460" s="4" t="s">
        <v>607</v>
      </c>
      <c r="C1460" s="6" t="s">
        <v>607</v>
      </c>
      <c r="D1460" s="6" t="s">
        <v>607</v>
      </c>
      <c r="E1460" s="6" t="s">
        <v>607</v>
      </c>
      <c r="F1460" s="6" t="s">
        <v>607</v>
      </c>
      <c r="G1460" s="4" t="s">
        <v>607</v>
      </c>
      <c r="H1460" s="4" t="s">
        <v>607</v>
      </c>
      <c r="I1460" s="4" t="s">
        <v>607</v>
      </c>
      <c r="J1460" s="4" t="s">
        <v>607</v>
      </c>
      <c r="K1460" s="4" t="s">
        <v>607</v>
      </c>
      <c r="L1460" s="4" t="s">
        <v>607</v>
      </c>
      <c r="M1460" s="4" t="s">
        <v>607</v>
      </c>
      <c r="N1460" s="4" t="s">
        <v>607</v>
      </c>
      <c r="O1460" s="4"/>
      <c r="P1460" s="4"/>
      <c r="T1460" s="4"/>
    </row>
    <row r="1461">
      <c r="A1461" s="4" t="s">
        <v>4747</v>
      </c>
      <c r="B1461" s="4" t="s">
        <v>607</v>
      </c>
      <c r="C1461" s="6" t="s">
        <v>607</v>
      </c>
      <c r="D1461" s="6" t="s">
        <v>607</v>
      </c>
      <c r="E1461" s="6" t="s">
        <v>607</v>
      </c>
      <c r="F1461" s="6" t="s">
        <v>607</v>
      </c>
      <c r="G1461" s="4" t="s">
        <v>607</v>
      </c>
      <c r="H1461" s="4" t="s">
        <v>607</v>
      </c>
      <c r="I1461" s="4" t="s">
        <v>607</v>
      </c>
      <c r="J1461" s="4" t="s">
        <v>607</v>
      </c>
      <c r="K1461" s="4" t="s">
        <v>607</v>
      </c>
      <c r="L1461" s="4" t="s">
        <v>607</v>
      </c>
      <c r="M1461" s="4" t="s">
        <v>607</v>
      </c>
      <c r="N1461" s="4" t="s">
        <v>607</v>
      </c>
      <c r="O1461" s="4"/>
      <c r="P1461" s="4"/>
      <c r="T1461" s="4"/>
    </row>
    <row r="1462">
      <c r="A1462" s="4" t="s">
        <v>4748</v>
      </c>
      <c r="B1462" s="4" t="s">
        <v>607</v>
      </c>
      <c r="C1462" s="6" t="s">
        <v>607</v>
      </c>
      <c r="D1462" s="6" t="s">
        <v>607</v>
      </c>
      <c r="E1462" s="6" t="s">
        <v>607</v>
      </c>
      <c r="F1462" s="6" t="s">
        <v>607</v>
      </c>
      <c r="G1462" s="4" t="s">
        <v>607</v>
      </c>
      <c r="H1462" s="4" t="s">
        <v>607</v>
      </c>
      <c r="I1462" s="4" t="s">
        <v>607</v>
      </c>
      <c r="J1462" s="4" t="s">
        <v>607</v>
      </c>
      <c r="K1462" s="4" t="s">
        <v>607</v>
      </c>
      <c r="L1462" s="4" t="s">
        <v>607</v>
      </c>
      <c r="M1462" s="4" t="s">
        <v>607</v>
      </c>
      <c r="N1462" s="4" t="s">
        <v>607</v>
      </c>
      <c r="O1462" s="4"/>
      <c r="P1462" s="4"/>
      <c r="T1462" s="4"/>
    </row>
    <row r="1463">
      <c r="A1463" s="4" t="s">
        <v>4749</v>
      </c>
      <c r="B1463" s="4" t="s">
        <v>607</v>
      </c>
      <c r="C1463" s="6" t="s">
        <v>607</v>
      </c>
      <c r="D1463" s="6" t="s">
        <v>607</v>
      </c>
      <c r="E1463" s="6" t="s">
        <v>607</v>
      </c>
      <c r="F1463" s="6" t="s">
        <v>607</v>
      </c>
      <c r="G1463" s="4" t="s">
        <v>607</v>
      </c>
      <c r="H1463" s="4" t="s">
        <v>607</v>
      </c>
      <c r="I1463" s="4" t="s">
        <v>607</v>
      </c>
      <c r="J1463" s="4" t="s">
        <v>607</v>
      </c>
      <c r="K1463" s="4" t="s">
        <v>607</v>
      </c>
      <c r="L1463" s="4" t="s">
        <v>607</v>
      </c>
      <c r="M1463" s="4" t="s">
        <v>607</v>
      </c>
      <c r="N1463" s="4" t="s">
        <v>607</v>
      </c>
      <c r="O1463" s="4"/>
      <c r="P1463" s="4"/>
      <c r="T1463" s="4"/>
    </row>
    <row r="1464">
      <c r="A1464" s="4" t="s">
        <v>4750</v>
      </c>
      <c r="B1464" s="4" t="s">
        <v>607</v>
      </c>
      <c r="C1464" s="6" t="s">
        <v>607</v>
      </c>
      <c r="D1464" s="6" t="s">
        <v>607</v>
      </c>
      <c r="E1464" s="6" t="s">
        <v>607</v>
      </c>
      <c r="F1464" s="6" t="s">
        <v>607</v>
      </c>
      <c r="G1464" s="4" t="s">
        <v>607</v>
      </c>
      <c r="H1464" s="4" t="s">
        <v>607</v>
      </c>
      <c r="I1464" s="4" t="s">
        <v>607</v>
      </c>
      <c r="J1464" s="4" t="s">
        <v>607</v>
      </c>
      <c r="K1464" s="4" t="s">
        <v>607</v>
      </c>
      <c r="L1464" s="4" t="s">
        <v>607</v>
      </c>
      <c r="M1464" s="4" t="s">
        <v>607</v>
      </c>
      <c r="N1464" s="4" t="s">
        <v>607</v>
      </c>
      <c r="O1464" s="4"/>
      <c r="P1464" s="4"/>
      <c r="T1464" s="4"/>
    </row>
    <row r="1465">
      <c r="A1465" s="4" t="s">
        <v>4751</v>
      </c>
      <c r="B1465" s="4" t="s">
        <v>607</v>
      </c>
      <c r="C1465" s="6" t="s">
        <v>607</v>
      </c>
      <c r="D1465" s="6" t="s">
        <v>607</v>
      </c>
      <c r="E1465" s="6" t="s">
        <v>607</v>
      </c>
      <c r="F1465" s="6" t="s">
        <v>607</v>
      </c>
      <c r="G1465" s="4" t="s">
        <v>607</v>
      </c>
      <c r="H1465" s="4" t="s">
        <v>607</v>
      </c>
      <c r="I1465" s="4" t="s">
        <v>607</v>
      </c>
      <c r="J1465" s="4" t="s">
        <v>607</v>
      </c>
      <c r="K1465" s="4" t="s">
        <v>607</v>
      </c>
      <c r="L1465" s="4" t="s">
        <v>607</v>
      </c>
      <c r="M1465" s="4" t="s">
        <v>607</v>
      </c>
      <c r="N1465" s="4" t="s">
        <v>607</v>
      </c>
      <c r="O1465" s="4"/>
      <c r="P1465" s="4"/>
      <c r="T1465" s="4"/>
    </row>
    <row r="1466">
      <c r="A1466" s="4" t="s">
        <v>4752</v>
      </c>
      <c r="B1466" s="4" t="s">
        <v>607</v>
      </c>
      <c r="C1466" s="6" t="s">
        <v>607</v>
      </c>
      <c r="D1466" s="6" t="s">
        <v>607</v>
      </c>
      <c r="E1466" s="6" t="s">
        <v>607</v>
      </c>
      <c r="F1466" s="6" t="s">
        <v>607</v>
      </c>
      <c r="G1466" s="4" t="s">
        <v>607</v>
      </c>
      <c r="H1466" s="4" t="s">
        <v>607</v>
      </c>
      <c r="I1466" s="4" t="s">
        <v>607</v>
      </c>
      <c r="J1466" s="4" t="s">
        <v>607</v>
      </c>
      <c r="K1466" s="4" t="s">
        <v>607</v>
      </c>
      <c r="L1466" s="4" t="s">
        <v>607</v>
      </c>
      <c r="M1466" s="4" t="s">
        <v>607</v>
      </c>
      <c r="N1466" s="4" t="s">
        <v>607</v>
      </c>
      <c r="O1466" s="4"/>
      <c r="P1466" s="4"/>
      <c r="T1466" s="4"/>
    </row>
    <row r="1467">
      <c r="A1467" s="4" t="s">
        <v>4753</v>
      </c>
      <c r="B1467" s="4" t="s">
        <v>607</v>
      </c>
      <c r="C1467" s="6" t="s">
        <v>607</v>
      </c>
      <c r="D1467" s="6" t="s">
        <v>607</v>
      </c>
      <c r="E1467" s="6" t="s">
        <v>607</v>
      </c>
      <c r="F1467" s="6" t="s">
        <v>607</v>
      </c>
      <c r="G1467" s="4" t="s">
        <v>607</v>
      </c>
      <c r="H1467" s="4" t="s">
        <v>607</v>
      </c>
      <c r="I1467" s="4" t="s">
        <v>607</v>
      </c>
      <c r="J1467" s="4" t="s">
        <v>607</v>
      </c>
      <c r="K1467" s="4" t="s">
        <v>607</v>
      </c>
      <c r="L1467" s="4" t="s">
        <v>607</v>
      </c>
      <c r="M1467" s="4" t="s">
        <v>607</v>
      </c>
      <c r="N1467" s="4" t="s">
        <v>607</v>
      </c>
      <c r="O1467" s="4"/>
      <c r="P1467" s="4"/>
      <c r="T1467" s="4"/>
    </row>
    <row r="1468">
      <c r="A1468" s="4" t="s">
        <v>4754</v>
      </c>
      <c r="B1468" s="4" t="s">
        <v>607</v>
      </c>
      <c r="C1468" s="6" t="s">
        <v>607</v>
      </c>
      <c r="D1468" s="6" t="s">
        <v>607</v>
      </c>
      <c r="E1468" s="6" t="s">
        <v>607</v>
      </c>
      <c r="F1468" s="6" t="s">
        <v>607</v>
      </c>
      <c r="G1468" s="4" t="s">
        <v>607</v>
      </c>
      <c r="H1468" s="4" t="s">
        <v>607</v>
      </c>
      <c r="I1468" s="4" t="s">
        <v>607</v>
      </c>
      <c r="J1468" s="4" t="s">
        <v>607</v>
      </c>
      <c r="K1468" s="4" t="s">
        <v>607</v>
      </c>
      <c r="L1468" s="4" t="s">
        <v>607</v>
      </c>
      <c r="M1468" s="4" t="s">
        <v>607</v>
      </c>
      <c r="N1468" s="4" t="s">
        <v>607</v>
      </c>
      <c r="O1468" s="4"/>
      <c r="P1468" s="4"/>
      <c r="T1468" s="4"/>
    </row>
    <row r="1469">
      <c r="A1469" s="4" t="s">
        <v>4755</v>
      </c>
      <c r="B1469" s="4" t="s">
        <v>607</v>
      </c>
      <c r="C1469" s="6" t="s">
        <v>607</v>
      </c>
      <c r="D1469" s="6" t="s">
        <v>607</v>
      </c>
      <c r="E1469" s="6" t="s">
        <v>607</v>
      </c>
      <c r="F1469" s="6" t="s">
        <v>607</v>
      </c>
      <c r="G1469" s="4" t="s">
        <v>607</v>
      </c>
      <c r="H1469" s="4" t="s">
        <v>607</v>
      </c>
      <c r="I1469" s="4" t="s">
        <v>607</v>
      </c>
      <c r="J1469" s="4" t="s">
        <v>607</v>
      </c>
      <c r="K1469" s="4" t="s">
        <v>607</v>
      </c>
      <c r="L1469" s="4" t="s">
        <v>607</v>
      </c>
      <c r="M1469" s="4" t="s">
        <v>607</v>
      </c>
      <c r="N1469" s="4" t="s">
        <v>607</v>
      </c>
      <c r="O1469" s="4"/>
      <c r="P1469" s="4"/>
      <c r="T1469" s="4"/>
    </row>
    <row r="1470">
      <c r="A1470" s="4" t="s">
        <v>4756</v>
      </c>
      <c r="B1470" s="4" t="s">
        <v>607</v>
      </c>
      <c r="C1470" s="6" t="s">
        <v>607</v>
      </c>
      <c r="D1470" s="6" t="s">
        <v>607</v>
      </c>
      <c r="E1470" s="6" t="s">
        <v>607</v>
      </c>
      <c r="F1470" s="6" t="s">
        <v>607</v>
      </c>
      <c r="G1470" s="4" t="s">
        <v>607</v>
      </c>
      <c r="H1470" s="4" t="s">
        <v>607</v>
      </c>
      <c r="I1470" s="4" t="s">
        <v>607</v>
      </c>
      <c r="J1470" s="4" t="s">
        <v>607</v>
      </c>
      <c r="K1470" s="4" t="s">
        <v>607</v>
      </c>
      <c r="L1470" s="4" t="s">
        <v>607</v>
      </c>
      <c r="M1470" s="4" t="s">
        <v>607</v>
      </c>
      <c r="N1470" s="4" t="s">
        <v>607</v>
      </c>
      <c r="O1470" s="4"/>
      <c r="P1470" s="4"/>
      <c r="T1470" s="4"/>
    </row>
    <row r="1471">
      <c r="A1471" s="4" t="s">
        <v>4757</v>
      </c>
      <c r="B1471" s="4" t="s">
        <v>607</v>
      </c>
      <c r="C1471" s="6" t="s">
        <v>607</v>
      </c>
      <c r="D1471" s="6" t="s">
        <v>607</v>
      </c>
      <c r="E1471" s="6" t="s">
        <v>607</v>
      </c>
      <c r="F1471" s="6" t="s">
        <v>607</v>
      </c>
      <c r="G1471" s="4" t="s">
        <v>607</v>
      </c>
      <c r="H1471" s="4" t="s">
        <v>607</v>
      </c>
      <c r="I1471" s="4" t="s">
        <v>607</v>
      </c>
      <c r="J1471" s="4" t="s">
        <v>607</v>
      </c>
      <c r="K1471" s="4" t="s">
        <v>607</v>
      </c>
      <c r="L1471" s="4" t="s">
        <v>607</v>
      </c>
      <c r="M1471" s="4" t="s">
        <v>607</v>
      </c>
      <c r="N1471" s="4" t="s">
        <v>607</v>
      </c>
      <c r="O1471" s="4"/>
      <c r="P1471" s="4"/>
      <c r="T1471" s="4"/>
    </row>
    <row r="1472">
      <c r="A1472" s="4" t="s">
        <v>4758</v>
      </c>
      <c r="B1472" s="4" t="s">
        <v>607</v>
      </c>
      <c r="C1472" s="6" t="s">
        <v>607</v>
      </c>
      <c r="D1472" s="6" t="s">
        <v>607</v>
      </c>
      <c r="E1472" s="6" t="s">
        <v>607</v>
      </c>
      <c r="F1472" s="6" t="s">
        <v>607</v>
      </c>
      <c r="G1472" s="4" t="s">
        <v>607</v>
      </c>
      <c r="H1472" s="4" t="s">
        <v>607</v>
      </c>
      <c r="I1472" s="4" t="s">
        <v>607</v>
      </c>
      <c r="J1472" s="4" t="s">
        <v>607</v>
      </c>
      <c r="K1472" s="4" t="s">
        <v>607</v>
      </c>
      <c r="L1472" s="4" t="s">
        <v>607</v>
      </c>
      <c r="M1472" s="4" t="s">
        <v>607</v>
      </c>
      <c r="N1472" s="4" t="s">
        <v>607</v>
      </c>
      <c r="O1472" s="4"/>
      <c r="P1472" s="4"/>
      <c r="T1472" s="4"/>
    </row>
    <row r="1473">
      <c r="A1473" s="4" t="s">
        <v>4759</v>
      </c>
      <c r="B1473" s="4" t="s">
        <v>607</v>
      </c>
      <c r="C1473" s="6" t="s">
        <v>607</v>
      </c>
      <c r="D1473" s="6" t="s">
        <v>607</v>
      </c>
      <c r="E1473" s="6" t="s">
        <v>607</v>
      </c>
      <c r="F1473" s="6" t="s">
        <v>607</v>
      </c>
      <c r="G1473" s="4" t="s">
        <v>607</v>
      </c>
      <c r="H1473" s="4" t="s">
        <v>607</v>
      </c>
      <c r="I1473" s="4" t="s">
        <v>607</v>
      </c>
      <c r="J1473" s="4" t="s">
        <v>607</v>
      </c>
      <c r="K1473" s="4" t="s">
        <v>607</v>
      </c>
      <c r="L1473" s="4" t="s">
        <v>607</v>
      </c>
      <c r="M1473" s="4" t="s">
        <v>607</v>
      </c>
      <c r="N1473" s="4" t="s">
        <v>607</v>
      </c>
      <c r="O1473" s="4"/>
      <c r="P1473" s="4"/>
      <c r="T1473" s="4"/>
    </row>
    <row r="1474">
      <c r="A1474" s="4" t="s">
        <v>4760</v>
      </c>
      <c r="B1474" s="4" t="s">
        <v>607</v>
      </c>
      <c r="C1474" s="6" t="s">
        <v>607</v>
      </c>
      <c r="D1474" s="6" t="s">
        <v>607</v>
      </c>
      <c r="E1474" s="6" t="s">
        <v>607</v>
      </c>
      <c r="F1474" s="6" t="s">
        <v>607</v>
      </c>
      <c r="G1474" s="4" t="s">
        <v>607</v>
      </c>
      <c r="H1474" s="4" t="s">
        <v>607</v>
      </c>
      <c r="I1474" s="4" t="s">
        <v>607</v>
      </c>
      <c r="J1474" s="4" t="s">
        <v>607</v>
      </c>
      <c r="K1474" s="4" t="s">
        <v>607</v>
      </c>
      <c r="L1474" s="4" t="s">
        <v>607</v>
      </c>
      <c r="M1474" s="4" t="s">
        <v>607</v>
      </c>
      <c r="N1474" s="4" t="s">
        <v>607</v>
      </c>
      <c r="O1474" s="4"/>
      <c r="P1474" s="4"/>
      <c r="T1474" s="4"/>
    </row>
    <row r="1475">
      <c r="A1475" s="4" t="s">
        <v>4761</v>
      </c>
      <c r="B1475" s="4" t="s">
        <v>607</v>
      </c>
      <c r="C1475" s="6" t="s">
        <v>607</v>
      </c>
      <c r="D1475" s="6" t="s">
        <v>607</v>
      </c>
      <c r="E1475" s="6" t="s">
        <v>607</v>
      </c>
      <c r="F1475" s="6" t="s">
        <v>607</v>
      </c>
      <c r="G1475" s="4" t="s">
        <v>607</v>
      </c>
      <c r="H1475" s="4" t="s">
        <v>607</v>
      </c>
      <c r="I1475" s="4" t="s">
        <v>607</v>
      </c>
      <c r="J1475" s="4" t="s">
        <v>607</v>
      </c>
      <c r="K1475" s="4" t="s">
        <v>607</v>
      </c>
      <c r="L1475" s="4" t="s">
        <v>607</v>
      </c>
      <c r="M1475" s="4" t="s">
        <v>607</v>
      </c>
      <c r="N1475" s="4" t="s">
        <v>607</v>
      </c>
      <c r="O1475" s="4"/>
      <c r="P1475" s="4"/>
      <c r="T1475" s="4"/>
    </row>
    <row r="1476">
      <c r="A1476" s="4" t="s">
        <v>4762</v>
      </c>
      <c r="B1476" s="4" t="s">
        <v>607</v>
      </c>
      <c r="C1476" s="6" t="s">
        <v>607</v>
      </c>
      <c r="D1476" s="6" t="s">
        <v>607</v>
      </c>
      <c r="E1476" s="6" t="s">
        <v>607</v>
      </c>
      <c r="F1476" s="6" t="s">
        <v>607</v>
      </c>
      <c r="G1476" s="4" t="s">
        <v>607</v>
      </c>
      <c r="H1476" s="4" t="s">
        <v>607</v>
      </c>
      <c r="I1476" s="4" t="s">
        <v>607</v>
      </c>
      <c r="J1476" s="4" t="s">
        <v>607</v>
      </c>
      <c r="K1476" s="4" t="s">
        <v>607</v>
      </c>
      <c r="L1476" s="4" t="s">
        <v>607</v>
      </c>
      <c r="M1476" s="4" t="s">
        <v>607</v>
      </c>
      <c r="N1476" s="4" t="s">
        <v>607</v>
      </c>
      <c r="O1476" s="4"/>
      <c r="P1476" s="4"/>
      <c r="T1476" s="4"/>
    </row>
    <row r="1477">
      <c r="A1477" s="4" t="s">
        <v>4763</v>
      </c>
      <c r="B1477" s="4" t="s">
        <v>607</v>
      </c>
      <c r="C1477" s="6" t="s">
        <v>607</v>
      </c>
      <c r="D1477" s="6" t="s">
        <v>607</v>
      </c>
      <c r="E1477" s="6" t="s">
        <v>607</v>
      </c>
      <c r="F1477" s="6" t="s">
        <v>607</v>
      </c>
      <c r="G1477" s="4" t="s">
        <v>607</v>
      </c>
      <c r="H1477" s="4" t="s">
        <v>607</v>
      </c>
      <c r="I1477" s="4" t="s">
        <v>607</v>
      </c>
      <c r="J1477" s="4" t="s">
        <v>607</v>
      </c>
      <c r="K1477" s="4" t="s">
        <v>607</v>
      </c>
      <c r="L1477" s="4" t="s">
        <v>607</v>
      </c>
      <c r="M1477" s="4" t="s">
        <v>607</v>
      </c>
      <c r="N1477" s="4" t="s">
        <v>607</v>
      </c>
      <c r="O1477" s="4"/>
      <c r="P1477" s="4"/>
      <c r="T1477" s="4"/>
    </row>
    <row r="1478">
      <c r="A1478" s="4" t="s">
        <v>4764</v>
      </c>
      <c r="B1478" s="4" t="s">
        <v>607</v>
      </c>
      <c r="C1478" s="6" t="s">
        <v>607</v>
      </c>
      <c r="D1478" s="6" t="s">
        <v>607</v>
      </c>
      <c r="E1478" s="6" t="s">
        <v>607</v>
      </c>
      <c r="F1478" s="6" t="s">
        <v>607</v>
      </c>
      <c r="G1478" s="4" t="s">
        <v>607</v>
      </c>
      <c r="H1478" s="4" t="s">
        <v>607</v>
      </c>
      <c r="I1478" s="4" t="s">
        <v>607</v>
      </c>
      <c r="J1478" s="4" t="s">
        <v>607</v>
      </c>
      <c r="K1478" s="4" t="s">
        <v>607</v>
      </c>
      <c r="L1478" s="4" t="s">
        <v>607</v>
      </c>
      <c r="M1478" s="4" t="s">
        <v>607</v>
      </c>
      <c r="N1478" s="4" t="s">
        <v>607</v>
      </c>
      <c r="O1478" s="4"/>
      <c r="P1478" s="4"/>
      <c r="T1478" s="4"/>
    </row>
    <row r="1479">
      <c r="A1479" s="4" t="s">
        <v>4765</v>
      </c>
      <c r="B1479" s="4" t="s">
        <v>607</v>
      </c>
      <c r="C1479" s="6" t="s">
        <v>607</v>
      </c>
      <c r="D1479" s="6" t="s">
        <v>607</v>
      </c>
      <c r="E1479" s="6" t="s">
        <v>607</v>
      </c>
      <c r="F1479" s="6" t="s">
        <v>607</v>
      </c>
      <c r="G1479" s="4" t="s">
        <v>607</v>
      </c>
      <c r="H1479" s="4" t="s">
        <v>607</v>
      </c>
      <c r="I1479" s="4" t="s">
        <v>607</v>
      </c>
      <c r="J1479" s="4" t="s">
        <v>607</v>
      </c>
      <c r="K1479" s="4" t="s">
        <v>607</v>
      </c>
      <c r="L1479" s="4" t="s">
        <v>607</v>
      </c>
      <c r="M1479" s="4" t="s">
        <v>607</v>
      </c>
      <c r="N1479" s="4" t="s">
        <v>607</v>
      </c>
      <c r="O1479" s="4"/>
      <c r="P1479" s="4"/>
      <c r="T1479" s="4"/>
    </row>
    <row r="1480">
      <c r="A1480" s="4" t="s">
        <v>4766</v>
      </c>
      <c r="B1480" s="4" t="s">
        <v>607</v>
      </c>
      <c r="C1480" s="6" t="s">
        <v>607</v>
      </c>
      <c r="D1480" s="6" t="s">
        <v>607</v>
      </c>
      <c r="E1480" s="6" t="s">
        <v>607</v>
      </c>
      <c r="F1480" s="6" t="s">
        <v>607</v>
      </c>
      <c r="G1480" s="4" t="s">
        <v>607</v>
      </c>
      <c r="H1480" s="4" t="s">
        <v>607</v>
      </c>
      <c r="I1480" s="4" t="s">
        <v>607</v>
      </c>
      <c r="J1480" s="4" t="s">
        <v>607</v>
      </c>
      <c r="K1480" s="4" t="s">
        <v>607</v>
      </c>
      <c r="L1480" s="4" t="s">
        <v>607</v>
      </c>
      <c r="M1480" s="4" t="s">
        <v>607</v>
      </c>
      <c r="N1480" s="4" t="s">
        <v>607</v>
      </c>
      <c r="O1480" s="4"/>
      <c r="P1480" s="4"/>
      <c r="T1480" s="4"/>
    </row>
    <row r="1481">
      <c r="A1481" s="4" t="s">
        <v>4767</v>
      </c>
      <c r="B1481" s="4" t="s">
        <v>607</v>
      </c>
      <c r="C1481" s="6" t="s">
        <v>607</v>
      </c>
      <c r="D1481" s="6" t="s">
        <v>607</v>
      </c>
      <c r="E1481" s="6" t="s">
        <v>607</v>
      </c>
      <c r="F1481" s="6" t="s">
        <v>607</v>
      </c>
      <c r="G1481" s="4" t="s">
        <v>607</v>
      </c>
      <c r="H1481" s="4" t="s">
        <v>607</v>
      </c>
      <c r="I1481" s="4" t="s">
        <v>607</v>
      </c>
      <c r="J1481" s="4" t="s">
        <v>607</v>
      </c>
      <c r="K1481" s="4" t="s">
        <v>607</v>
      </c>
      <c r="L1481" s="4" t="s">
        <v>607</v>
      </c>
      <c r="M1481" s="4" t="s">
        <v>607</v>
      </c>
      <c r="N1481" s="4" t="s">
        <v>607</v>
      </c>
      <c r="O1481" s="4"/>
      <c r="P1481" s="4"/>
      <c r="T1481" s="4"/>
    </row>
    <row r="1482">
      <c r="A1482" s="4" t="s">
        <v>4768</v>
      </c>
      <c r="B1482" s="4" t="s">
        <v>607</v>
      </c>
      <c r="C1482" s="6" t="s">
        <v>607</v>
      </c>
      <c r="D1482" s="6" t="s">
        <v>607</v>
      </c>
      <c r="E1482" s="6" t="s">
        <v>607</v>
      </c>
      <c r="F1482" s="6" t="s">
        <v>607</v>
      </c>
      <c r="G1482" s="4" t="s">
        <v>607</v>
      </c>
      <c r="H1482" s="4" t="s">
        <v>607</v>
      </c>
      <c r="I1482" s="4" t="s">
        <v>607</v>
      </c>
      <c r="J1482" s="4" t="s">
        <v>607</v>
      </c>
      <c r="K1482" s="4" t="s">
        <v>607</v>
      </c>
      <c r="L1482" s="4" t="s">
        <v>607</v>
      </c>
      <c r="M1482" s="4" t="s">
        <v>607</v>
      </c>
      <c r="N1482" s="4" t="s">
        <v>607</v>
      </c>
      <c r="O1482" s="4"/>
      <c r="P1482" s="4"/>
      <c r="T1482" s="4"/>
    </row>
    <row r="1483">
      <c r="A1483" s="4" t="s">
        <v>4769</v>
      </c>
      <c r="B1483" s="4" t="s">
        <v>607</v>
      </c>
      <c r="C1483" s="6" t="s">
        <v>607</v>
      </c>
      <c r="D1483" s="6" t="s">
        <v>607</v>
      </c>
      <c r="E1483" s="6" t="s">
        <v>607</v>
      </c>
      <c r="F1483" s="6" t="s">
        <v>607</v>
      </c>
      <c r="G1483" s="4" t="s">
        <v>607</v>
      </c>
      <c r="H1483" s="4" t="s">
        <v>607</v>
      </c>
      <c r="I1483" s="4" t="s">
        <v>607</v>
      </c>
      <c r="J1483" s="4" t="s">
        <v>607</v>
      </c>
      <c r="K1483" s="4" t="s">
        <v>607</v>
      </c>
      <c r="L1483" s="4" t="s">
        <v>607</v>
      </c>
      <c r="M1483" s="4" t="s">
        <v>607</v>
      </c>
      <c r="N1483" s="4" t="s">
        <v>607</v>
      </c>
      <c r="O1483" s="4"/>
      <c r="P1483" s="4"/>
      <c r="T1483" s="4"/>
    </row>
    <row r="1484">
      <c r="A1484" s="4" t="s">
        <v>4770</v>
      </c>
      <c r="B1484" s="4" t="s">
        <v>607</v>
      </c>
      <c r="C1484" s="6" t="s">
        <v>607</v>
      </c>
      <c r="D1484" s="6" t="s">
        <v>607</v>
      </c>
      <c r="E1484" s="6" t="s">
        <v>607</v>
      </c>
      <c r="F1484" s="6" t="s">
        <v>607</v>
      </c>
      <c r="G1484" s="4" t="s">
        <v>607</v>
      </c>
      <c r="H1484" s="4" t="s">
        <v>607</v>
      </c>
      <c r="I1484" s="4" t="s">
        <v>607</v>
      </c>
      <c r="J1484" s="4" t="s">
        <v>607</v>
      </c>
      <c r="K1484" s="4" t="s">
        <v>607</v>
      </c>
      <c r="L1484" s="4" t="s">
        <v>607</v>
      </c>
      <c r="M1484" s="4" t="s">
        <v>607</v>
      </c>
      <c r="N1484" s="4" t="s">
        <v>607</v>
      </c>
      <c r="O1484" s="4"/>
      <c r="P1484" s="4"/>
      <c r="T1484" s="4"/>
    </row>
    <row r="1485">
      <c r="A1485" s="4" t="s">
        <v>4771</v>
      </c>
      <c r="B1485" s="4" t="s">
        <v>607</v>
      </c>
      <c r="C1485" s="6" t="s">
        <v>607</v>
      </c>
      <c r="D1485" s="6" t="s">
        <v>607</v>
      </c>
      <c r="E1485" s="6" t="s">
        <v>607</v>
      </c>
      <c r="F1485" s="6" t="s">
        <v>607</v>
      </c>
      <c r="G1485" s="4" t="s">
        <v>607</v>
      </c>
      <c r="H1485" s="4" t="s">
        <v>607</v>
      </c>
      <c r="I1485" s="4" t="s">
        <v>607</v>
      </c>
      <c r="J1485" s="4" t="s">
        <v>607</v>
      </c>
      <c r="K1485" s="4" t="s">
        <v>607</v>
      </c>
      <c r="L1485" s="4" t="s">
        <v>607</v>
      </c>
      <c r="M1485" s="4" t="s">
        <v>607</v>
      </c>
      <c r="N1485" s="4" t="s">
        <v>607</v>
      </c>
      <c r="O1485" s="4"/>
      <c r="P1485" s="4"/>
      <c r="T1485" s="4"/>
    </row>
    <row r="1486">
      <c r="A1486" s="4" t="s">
        <v>4772</v>
      </c>
      <c r="B1486" s="4" t="s">
        <v>607</v>
      </c>
      <c r="C1486" s="6" t="s">
        <v>607</v>
      </c>
      <c r="D1486" s="6" t="s">
        <v>607</v>
      </c>
      <c r="E1486" s="6" t="s">
        <v>607</v>
      </c>
      <c r="F1486" s="6" t="s">
        <v>607</v>
      </c>
      <c r="G1486" s="4" t="s">
        <v>607</v>
      </c>
      <c r="H1486" s="4" t="s">
        <v>607</v>
      </c>
      <c r="I1486" s="4" t="s">
        <v>607</v>
      </c>
      <c r="J1486" s="4" t="s">
        <v>607</v>
      </c>
      <c r="K1486" s="4" t="s">
        <v>607</v>
      </c>
      <c r="L1486" s="4" t="s">
        <v>607</v>
      </c>
      <c r="M1486" s="4" t="s">
        <v>607</v>
      </c>
      <c r="N1486" s="4" t="s">
        <v>607</v>
      </c>
      <c r="O1486" s="4"/>
      <c r="P1486" s="4"/>
      <c r="T1486" s="4"/>
    </row>
    <row r="1487">
      <c r="A1487" s="4" t="s">
        <v>4774</v>
      </c>
      <c r="B1487" s="4" t="s">
        <v>607</v>
      </c>
      <c r="C1487" s="6" t="s">
        <v>607</v>
      </c>
      <c r="D1487" s="6" t="s">
        <v>607</v>
      </c>
      <c r="E1487" s="6" t="s">
        <v>607</v>
      </c>
      <c r="F1487" s="6" t="s">
        <v>607</v>
      </c>
      <c r="G1487" s="4" t="s">
        <v>607</v>
      </c>
      <c r="H1487" s="4" t="s">
        <v>607</v>
      </c>
      <c r="I1487" s="4" t="s">
        <v>607</v>
      </c>
      <c r="J1487" s="4" t="s">
        <v>607</v>
      </c>
      <c r="K1487" s="4" t="s">
        <v>607</v>
      </c>
      <c r="L1487" s="4" t="s">
        <v>607</v>
      </c>
      <c r="M1487" s="4" t="s">
        <v>607</v>
      </c>
      <c r="N1487" s="4" t="s">
        <v>607</v>
      </c>
      <c r="O1487" s="4"/>
      <c r="P1487" s="4"/>
      <c r="T1487" s="4"/>
    </row>
    <row r="1488">
      <c r="A1488" s="4" t="s">
        <v>4775</v>
      </c>
      <c r="B1488" s="4" t="s">
        <v>607</v>
      </c>
      <c r="C1488" s="6" t="s">
        <v>607</v>
      </c>
      <c r="D1488" s="6" t="s">
        <v>607</v>
      </c>
      <c r="E1488" s="6" t="s">
        <v>607</v>
      </c>
      <c r="F1488" s="6" t="s">
        <v>607</v>
      </c>
      <c r="G1488" s="4" t="s">
        <v>607</v>
      </c>
      <c r="H1488" s="4" t="s">
        <v>607</v>
      </c>
      <c r="I1488" s="4" t="s">
        <v>607</v>
      </c>
      <c r="J1488" s="4" t="s">
        <v>607</v>
      </c>
      <c r="K1488" s="4" t="s">
        <v>607</v>
      </c>
      <c r="L1488" s="4" t="s">
        <v>607</v>
      </c>
      <c r="M1488" s="4" t="s">
        <v>607</v>
      </c>
      <c r="N1488" s="4" t="s">
        <v>607</v>
      </c>
      <c r="O1488" s="4"/>
      <c r="P1488" s="4"/>
      <c r="T1488" s="4"/>
    </row>
    <row r="1489">
      <c r="A1489" s="4" t="s">
        <v>4776</v>
      </c>
      <c r="B1489" s="4" t="s">
        <v>607</v>
      </c>
      <c r="C1489" s="6" t="s">
        <v>607</v>
      </c>
      <c r="D1489" s="6" t="s">
        <v>607</v>
      </c>
      <c r="E1489" s="6" t="s">
        <v>607</v>
      </c>
      <c r="F1489" s="6" t="s">
        <v>607</v>
      </c>
      <c r="G1489" s="4" t="s">
        <v>607</v>
      </c>
      <c r="H1489" s="4" t="s">
        <v>607</v>
      </c>
      <c r="I1489" s="4" t="s">
        <v>607</v>
      </c>
      <c r="J1489" s="4" t="s">
        <v>607</v>
      </c>
      <c r="K1489" s="4" t="s">
        <v>607</v>
      </c>
      <c r="L1489" s="4" t="s">
        <v>607</v>
      </c>
      <c r="M1489" s="4" t="s">
        <v>607</v>
      </c>
      <c r="N1489" s="4" t="s">
        <v>607</v>
      </c>
      <c r="O1489" s="4"/>
      <c r="P1489" s="4"/>
      <c r="T1489" s="4"/>
    </row>
    <row r="1490">
      <c r="A1490" s="4" t="s">
        <v>4777</v>
      </c>
      <c r="B1490" s="4" t="s">
        <v>607</v>
      </c>
      <c r="C1490" s="6" t="s">
        <v>607</v>
      </c>
      <c r="D1490" s="6" t="s">
        <v>607</v>
      </c>
      <c r="E1490" s="6" t="s">
        <v>607</v>
      </c>
      <c r="F1490" s="6" t="s">
        <v>607</v>
      </c>
      <c r="G1490" s="4" t="s">
        <v>607</v>
      </c>
      <c r="H1490" s="4" t="s">
        <v>607</v>
      </c>
      <c r="I1490" s="4" t="s">
        <v>607</v>
      </c>
      <c r="J1490" s="4" t="s">
        <v>607</v>
      </c>
      <c r="K1490" s="4" t="s">
        <v>607</v>
      </c>
      <c r="L1490" s="4" t="s">
        <v>607</v>
      </c>
      <c r="M1490" s="4" t="s">
        <v>607</v>
      </c>
      <c r="N1490" s="4" t="s">
        <v>607</v>
      </c>
      <c r="O1490" s="4"/>
      <c r="P1490" s="4"/>
      <c r="T1490" s="4"/>
    </row>
    <row r="1491">
      <c r="A1491" s="4" t="s">
        <v>4778</v>
      </c>
      <c r="B1491" s="4" t="s">
        <v>607</v>
      </c>
      <c r="C1491" s="6" t="s">
        <v>607</v>
      </c>
      <c r="D1491" s="6" t="s">
        <v>607</v>
      </c>
      <c r="E1491" s="6" t="s">
        <v>607</v>
      </c>
      <c r="F1491" s="6" t="s">
        <v>607</v>
      </c>
      <c r="G1491" s="4" t="s">
        <v>607</v>
      </c>
      <c r="H1491" s="4" t="s">
        <v>607</v>
      </c>
      <c r="I1491" s="4" t="s">
        <v>607</v>
      </c>
      <c r="J1491" s="4" t="s">
        <v>607</v>
      </c>
      <c r="K1491" s="4" t="s">
        <v>607</v>
      </c>
      <c r="L1491" s="4" t="s">
        <v>607</v>
      </c>
      <c r="M1491" s="4" t="s">
        <v>607</v>
      </c>
      <c r="N1491" s="4" t="s">
        <v>607</v>
      </c>
      <c r="O1491" s="4"/>
      <c r="P1491" s="4"/>
      <c r="T1491" s="4"/>
    </row>
    <row r="1492">
      <c r="A1492" s="4" t="s">
        <v>4779</v>
      </c>
      <c r="B1492" s="4" t="s">
        <v>607</v>
      </c>
      <c r="C1492" s="6" t="s">
        <v>607</v>
      </c>
      <c r="D1492" s="6" t="s">
        <v>607</v>
      </c>
      <c r="E1492" s="6" t="s">
        <v>607</v>
      </c>
      <c r="F1492" s="6" t="s">
        <v>607</v>
      </c>
      <c r="G1492" s="4" t="s">
        <v>607</v>
      </c>
      <c r="H1492" s="4" t="s">
        <v>607</v>
      </c>
      <c r="I1492" s="4" t="s">
        <v>607</v>
      </c>
      <c r="J1492" s="4" t="s">
        <v>607</v>
      </c>
      <c r="K1492" s="4" t="s">
        <v>607</v>
      </c>
      <c r="L1492" s="4" t="s">
        <v>607</v>
      </c>
      <c r="M1492" s="4" t="s">
        <v>607</v>
      </c>
      <c r="N1492" s="4" t="s">
        <v>607</v>
      </c>
      <c r="O1492" s="4"/>
      <c r="P1492" s="4"/>
      <c r="T1492" s="4"/>
    </row>
    <row r="1493">
      <c r="A1493" s="4" t="s">
        <v>4780</v>
      </c>
      <c r="B1493" s="4" t="s">
        <v>607</v>
      </c>
      <c r="C1493" s="6" t="s">
        <v>607</v>
      </c>
      <c r="D1493" s="6" t="s">
        <v>607</v>
      </c>
      <c r="E1493" s="6" t="s">
        <v>607</v>
      </c>
      <c r="F1493" s="6" t="s">
        <v>607</v>
      </c>
      <c r="G1493" s="4" t="s">
        <v>607</v>
      </c>
      <c r="H1493" s="4" t="s">
        <v>607</v>
      </c>
      <c r="I1493" s="4" t="s">
        <v>607</v>
      </c>
      <c r="J1493" s="4" t="s">
        <v>607</v>
      </c>
      <c r="K1493" s="4" t="s">
        <v>607</v>
      </c>
      <c r="L1493" s="4" t="s">
        <v>607</v>
      </c>
      <c r="M1493" s="4" t="s">
        <v>607</v>
      </c>
      <c r="N1493" s="4" t="s">
        <v>607</v>
      </c>
      <c r="O1493" s="4"/>
      <c r="P1493" s="4"/>
      <c r="T1493" s="4"/>
    </row>
    <row r="1494">
      <c r="A1494" s="4" t="s">
        <v>4781</v>
      </c>
      <c r="B1494" s="4" t="s">
        <v>607</v>
      </c>
      <c r="C1494" s="6" t="s">
        <v>607</v>
      </c>
      <c r="D1494" s="6" t="s">
        <v>607</v>
      </c>
      <c r="E1494" s="6" t="s">
        <v>607</v>
      </c>
      <c r="F1494" s="6" t="s">
        <v>607</v>
      </c>
      <c r="G1494" s="4" t="s">
        <v>607</v>
      </c>
      <c r="H1494" s="4" t="s">
        <v>607</v>
      </c>
      <c r="I1494" s="4" t="s">
        <v>607</v>
      </c>
      <c r="J1494" s="4" t="s">
        <v>607</v>
      </c>
      <c r="K1494" s="4" t="s">
        <v>607</v>
      </c>
      <c r="L1494" s="4" t="s">
        <v>607</v>
      </c>
      <c r="M1494" s="4" t="s">
        <v>607</v>
      </c>
      <c r="N1494" s="4" t="s">
        <v>607</v>
      </c>
      <c r="O1494" s="4"/>
      <c r="P1494" s="4"/>
      <c r="T1494" s="4"/>
    </row>
    <row r="1495">
      <c r="A1495" s="4" t="s">
        <v>4783</v>
      </c>
      <c r="B1495" s="4" t="s">
        <v>607</v>
      </c>
      <c r="C1495" s="6" t="s">
        <v>607</v>
      </c>
      <c r="D1495" s="6" t="s">
        <v>607</v>
      </c>
      <c r="E1495" s="6" t="s">
        <v>607</v>
      </c>
      <c r="F1495" s="6" t="s">
        <v>607</v>
      </c>
      <c r="G1495" s="4" t="s">
        <v>607</v>
      </c>
      <c r="H1495" s="4" t="s">
        <v>607</v>
      </c>
      <c r="I1495" s="4" t="s">
        <v>607</v>
      </c>
      <c r="J1495" s="4" t="s">
        <v>607</v>
      </c>
      <c r="K1495" s="4" t="s">
        <v>607</v>
      </c>
      <c r="L1495" s="4" t="s">
        <v>607</v>
      </c>
      <c r="M1495" s="4" t="s">
        <v>607</v>
      </c>
      <c r="N1495" s="4" t="s">
        <v>607</v>
      </c>
      <c r="O1495" s="4"/>
      <c r="P1495" s="4"/>
      <c r="T1495" s="4"/>
    </row>
    <row r="1496">
      <c r="A1496" s="4" t="s">
        <v>4784</v>
      </c>
      <c r="B1496" s="4" t="s">
        <v>607</v>
      </c>
      <c r="C1496" s="6" t="s">
        <v>607</v>
      </c>
      <c r="D1496" s="6" t="s">
        <v>607</v>
      </c>
      <c r="E1496" s="6" t="s">
        <v>607</v>
      </c>
      <c r="F1496" s="6" t="s">
        <v>607</v>
      </c>
      <c r="G1496" s="4" t="s">
        <v>607</v>
      </c>
      <c r="H1496" s="4" t="s">
        <v>607</v>
      </c>
      <c r="I1496" s="4" t="s">
        <v>607</v>
      </c>
      <c r="J1496" s="4" t="s">
        <v>607</v>
      </c>
      <c r="K1496" s="4" t="s">
        <v>607</v>
      </c>
      <c r="L1496" s="4" t="s">
        <v>607</v>
      </c>
      <c r="M1496" s="4" t="s">
        <v>607</v>
      </c>
      <c r="N1496" s="4" t="s">
        <v>607</v>
      </c>
      <c r="O1496" s="4"/>
      <c r="P1496" s="4"/>
      <c r="T1496" s="4"/>
    </row>
    <row r="1497">
      <c r="A1497" s="4" t="s">
        <v>4785</v>
      </c>
      <c r="B1497" s="4" t="s">
        <v>607</v>
      </c>
      <c r="C1497" s="6" t="s">
        <v>607</v>
      </c>
      <c r="D1497" s="6" t="s">
        <v>607</v>
      </c>
      <c r="E1497" s="6" t="s">
        <v>607</v>
      </c>
      <c r="F1497" s="6" t="s">
        <v>607</v>
      </c>
      <c r="G1497" s="4" t="s">
        <v>607</v>
      </c>
      <c r="H1497" s="4" t="s">
        <v>607</v>
      </c>
      <c r="I1497" s="4" t="s">
        <v>607</v>
      </c>
      <c r="J1497" s="4" t="s">
        <v>607</v>
      </c>
      <c r="K1497" s="4" t="s">
        <v>607</v>
      </c>
      <c r="L1497" s="4" t="s">
        <v>607</v>
      </c>
      <c r="M1497" s="4" t="s">
        <v>607</v>
      </c>
      <c r="N1497" s="4" t="s">
        <v>607</v>
      </c>
      <c r="O1497" s="4"/>
      <c r="P1497" s="4"/>
      <c r="T1497" s="4"/>
    </row>
    <row r="1498">
      <c r="A1498" s="4" t="s">
        <v>4786</v>
      </c>
      <c r="B1498" s="4" t="s">
        <v>607</v>
      </c>
      <c r="C1498" s="6" t="s">
        <v>607</v>
      </c>
      <c r="D1498" s="6" t="s">
        <v>607</v>
      </c>
      <c r="E1498" s="6" t="s">
        <v>607</v>
      </c>
      <c r="F1498" s="6" t="s">
        <v>607</v>
      </c>
      <c r="G1498" s="4" t="s">
        <v>607</v>
      </c>
      <c r="H1498" s="4" t="s">
        <v>607</v>
      </c>
      <c r="I1498" s="4" t="s">
        <v>607</v>
      </c>
      <c r="J1498" s="4" t="s">
        <v>607</v>
      </c>
      <c r="K1498" s="4" t="s">
        <v>607</v>
      </c>
      <c r="L1498" s="4" t="s">
        <v>607</v>
      </c>
      <c r="M1498" s="4" t="s">
        <v>607</v>
      </c>
      <c r="N1498" s="4" t="s">
        <v>607</v>
      </c>
      <c r="O1498" s="4"/>
      <c r="P1498" s="4"/>
      <c r="T1498" s="4"/>
    </row>
    <row r="1499">
      <c r="A1499" s="4" t="s">
        <v>4787</v>
      </c>
      <c r="B1499" s="4" t="s">
        <v>607</v>
      </c>
      <c r="C1499" s="6" t="s">
        <v>607</v>
      </c>
      <c r="D1499" s="6" t="s">
        <v>607</v>
      </c>
      <c r="E1499" s="6" t="s">
        <v>607</v>
      </c>
      <c r="F1499" s="6" t="s">
        <v>607</v>
      </c>
      <c r="G1499" s="4" t="s">
        <v>607</v>
      </c>
      <c r="H1499" s="4" t="s">
        <v>607</v>
      </c>
      <c r="I1499" s="4" t="s">
        <v>607</v>
      </c>
      <c r="J1499" s="4" t="s">
        <v>607</v>
      </c>
      <c r="K1499" s="4" t="s">
        <v>607</v>
      </c>
      <c r="L1499" s="4" t="s">
        <v>607</v>
      </c>
      <c r="M1499" s="4" t="s">
        <v>607</v>
      </c>
      <c r="N1499" s="4" t="s">
        <v>607</v>
      </c>
      <c r="O1499" s="4"/>
      <c r="P1499" s="4"/>
      <c r="T1499" s="4"/>
    </row>
    <row r="1500">
      <c r="A1500" s="4" t="s">
        <v>4788</v>
      </c>
      <c r="B1500" s="4" t="s">
        <v>607</v>
      </c>
      <c r="C1500" s="6" t="s">
        <v>607</v>
      </c>
      <c r="D1500" s="6" t="s">
        <v>607</v>
      </c>
      <c r="E1500" s="6" t="s">
        <v>607</v>
      </c>
      <c r="F1500" s="6" t="s">
        <v>607</v>
      </c>
      <c r="G1500" s="4" t="s">
        <v>607</v>
      </c>
      <c r="H1500" s="4" t="s">
        <v>607</v>
      </c>
      <c r="I1500" s="4" t="s">
        <v>607</v>
      </c>
      <c r="J1500" s="4" t="s">
        <v>607</v>
      </c>
      <c r="K1500" s="4" t="s">
        <v>607</v>
      </c>
      <c r="L1500" s="4" t="s">
        <v>607</v>
      </c>
      <c r="M1500" s="4" t="s">
        <v>607</v>
      </c>
      <c r="N1500" s="4" t="s">
        <v>607</v>
      </c>
      <c r="O1500" s="4"/>
      <c r="P1500" s="4"/>
      <c r="T1500" s="4"/>
    </row>
    <row r="1501">
      <c r="A1501" s="4" t="s">
        <v>4789</v>
      </c>
      <c r="B1501" s="4" t="s">
        <v>607</v>
      </c>
      <c r="C1501" s="6" t="s">
        <v>607</v>
      </c>
      <c r="D1501" s="6" t="s">
        <v>607</v>
      </c>
      <c r="E1501" s="6" t="s">
        <v>607</v>
      </c>
      <c r="F1501" s="6" t="s">
        <v>607</v>
      </c>
      <c r="G1501" s="4" t="s">
        <v>607</v>
      </c>
      <c r="H1501" s="4" t="s">
        <v>607</v>
      </c>
      <c r="I1501" s="4" t="s">
        <v>607</v>
      </c>
      <c r="J1501" s="4" t="s">
        <v>607</v>
      </c>
      <c r="K1501" s="4" t="s">
        <v>607</v>
      </c>
      <c r="L1501" s="4" t="s">
        <v>607</v>
      </c>
      <c r="M1501" s="4" t="s">
        <v>607</v>
      </c>
      <c r="N1501" s="4" t="s">
        <v>607</v>
      </c>
      <c r="O1501" s="4"/>
      <c r="P1501" s="4"/>
      <c r="T1501" s="4"/>
    </row>
    <row r="1502">
      <c r="A1502" s="4" t="s">
        <v>4790</v>
      </c>
      <c r="B1502" s="4" t="s">
        <v>607</v>
      </c>
      <c r="C1502" s="6" t="s">
        <v>607</v>
      </c>
      <c r="D1502" s="6" t="s">
        <v>607</v>
      </c>
      <c r="E1502" s="6" t="s">
        <v>607</v>
      </c>
      <c r="F1502" s="6" t="s">
        <v>607</v>
      </c>
      <c r="G1502" s="4" t="s">
        <v>607</v>
      </c>
      <c r="H1502" s="4" t="s">
        <v>607</v>
      </c>
      <c r="I1502" s="4" t="s">
        <v>607</v>
      </c>
      <c r="J1502" s="4" t="s">
        <v>607</v>
      </c>
      <c r="K1502" s="4" t="s">
        <v>607</v>
      </c>
      <c r="L1502" s="4" t="s">
        <v>607</v>
      </c>
      <c r="M1502" s="4" t="s">
        <v>607</v>
      </c>
      <c r="N1502" s="4" t="s">
        <v>607</v>
      </c>
      <c r="O1502" s="4"/>
      <c r="P1502" s="4"/>
      <c r="T1502" s="4"/>
    </row>
    <row r="1503">
      <c r="A1503" s="4" t="s">
        <v>4791</v>
      </c>
      <c r="B1503" s="4" t="s">
        <v>607</v>
      </c>
      <c r="C1503" s="6" t="s">
        <v>607</v>
      </c>
      <c r="D1503" s="6" t="s">
        <v>607</v>
      </c>
      <c r="E1503" s="6" t="s">
        <v>607</v>
      </c>
      <c r="F1503" s="6" t="s">
        <v>607</v>
      </c>
      <c r="G1503" s="4" t="s">
        <v>607</v>
      </c>
      <c r="H1503" s="4" t="s">
        <v>607</v>
      </c>
      <c r="I1503" s="4" t="s">
        <v>607</v>
      </c>
      <c r="J1503" s="4" t="s">
        <v>607</v>
      </c>
      <c r="K1503" s="4" t="s">
        <v>607</v>
      </c>
      <c r="L1503" s="4" t="s">
        <v>607</v>
      </c>
      <c r="M1503" s="4" t="s">
        <v>607</v>
      </c>
      <c r="N1503" s="4" t="s">
        <v>607</v>
      </c>
      <c r="O1503" s="4"/>
      <c r="P1503" s="4"/>
      <c r="T1503" s="4"/>
    </row>
    <row r="1504">
      <c r="A1504" s="4" t="s">
        <v>4792</v>
      </c>
      <c r="B1504" s="4" t="s">
        <v>607</v>
      </c>
      <c r="C1504" s="6" t="s">
        <v>607</v>
      </c>
      <c r="D1504" s="6" t="s">
        <v>607</v>
      </c>
      <c r="E1504" s="6" t="s">
        <v>607</v>
      </c>
      <c r="F1504" s="6" t="s">
        <v>607</v>
      </c>
      <c r="G1504" s="4" t="s">
        <v>607</v>
      </c>
      <c r="H1504" s="4" t="s">
        <v>607</v>
      </c>
      <c r="I1504" s="4" t="s">
        <v>607</v>
      </c>
      <c r="J1504" s="4" t="s">
        <v>607</v>
      </c>
      <c r="K1504" s="4" t="s">
        <v>607</v>
      </c>
      <c r="L1504" s="4" t="s">
        <v>607</v>
      </c>
      <c r="M1504" s="4" t="s">
        <v>607</v>
      </c>
      <c r="N1504" s="4" t="s">
        <v>607</v>
      </c>
      <c r="O1504" s="4"/>
      <c r="P1504" s="4"/>
      <c r="T1504" s="4"/>
    </row>
    <row r="1505">
      <c r="A1505" s="4" t="s">
        <v>4793</v>
      </c>
      <c r="B1505" s="4" t="s">
        <v>607</v>
      </c>
      <c r="C1505" s="6" t="s">
        <v>607</v>
      </c>
      <c r="D1505" s="6" t="s">
        <v>607</v>
      </c>
      <c r="E1505" s="6" t="s">
        <v>607</v>
      </c>
      <c r="F1505" s="6" t="s">
        <v>607</v>
      </c>
      <c r="G1505" s="4" t="s">
        <v>607</v>
      </c>
      <c r="H1505" s="4" t="s">
        <v>607</v>
      </c>
      <c r="I1505" s="4" t="s">
        <v>607</v>
      </c>
      <c r="J1505" s="4" t="s">
        <v>607</v>
      </c>
      <c r="K1505" s="4" t="s">
        <v>607</v>
      </c>
      <c r="L1505" s="4" t="s">
        <v>607</v>
      </c>
      <c r="M1505" s="4" t="s">
        <v>607</v>
      </c>
      <c r="N1505" s="4" t="s">
        <v>607</v>
      </c>
      <c r="O1505" s="4"/>
      <c r="P1505" s="4"/>
      <c r="T1505" s="4"/>
    </row>
    <row r="1506">
      <c r="A1506" s="4" t="s">
        <v>4794</v>
      </c>
      <c r="B1506" s="4" t="s">
        <v>607</v>
      </c>
      <c r="C1506" s="6" t="s">
        <v>607</v>
      </c>
      <c r="D1506" s="6" t="s">
        <v>607</v>
      </c>
      <c r="E1506" s="6" t="s">
        <v>607</v>
      </c>
      <c r="F1506" s="6" t="s">
        <v>607</v>
      </c>
      <c r="G1506" s="4" t="s">
        <v>607</v>
      </c>
      <c r="H1506" s="4" t="s">
        <v>607</v>
      </c>
      <c r="I1506" s="4" t="s">
        <v>607</v>
      </c>
      <c r="J1506" s="4" t="s">
        <v>607</v>
      </c>
      <c r="K1506" s="4" t="s">
        <v>607</v>
      </c>
      <c r="L1506" s="4" t="s">
        <v>607</v>
      </c>
      <c r="M1506" s="4" t="s">
        <v>607</v>
      </c>
      <c r="N1506" s="4" t="s">
        <v>607</v>
      </c>
      <c r="O1506" s="4"/>
      <c r="P1506" s="4"/>
      <c r="T1506" s="4"/>
    </row>
    <row r="1507">
      <c r="A1507" s="4" t="s">
        <v>4795</v>
      </c>
      <c r="B1507" s="4" t="s">
        <v>607</v>
      </c>
      <c r="C1507" s="6" t="s">
        <v>607</v>
      </c>
      <c r="D1507" s="6" t="s">
        <v>607</v>
      </c>
      <c r="E1507" s="6" t="s">
        <v>607</v>
      </c>
      <c r="F1507" s="6" t="s">
        <v>607</v>
      </c>
      <c r="G1507" s="4" t="s">
        <v>607</v>
      </c>
      <c r="H1507" s="4" t="s">
        <v>607</v>
      </c>
      <c r="I1507" s="4" t="s">
        <v>607</v>
      </c>
      <c r="J1507" s="4" t="s">
        <v>607</v>
      </c>
      <c r="K1507" s="4" t="s">
        <v>607</v>
      </c>
      <c r="L1507" s="4" t="s">
        <v>607</v>
      </c>
      <c r="M1507" s="4" t="s">
        <v>607</v>
      </c>
      <c r="N1507" s="4" t="s">
        <v>607</v>
      </c>
      <c r="O1507" s="4"/>
      <c r="P1507" s="4"/>
      <c r="T1507" s="4"/>
    </row>
    <row r="1508">
      <c r="A1508" s="4" t="s">
        <v>4796</v>
      </c>
      <c r="B1508" s="4" t="s">
        <v>607</v>
      </c>
      <c r="C1508" s="6" t="s">
        <v>607</v>
      </c>
      <c r="D1508" s="6" t="s">
        <v>607</v>
      </c>
      <c r="E1508" s="6" t="s">
        <v>607</v>
      </c>
      <c r="F1508" s="6" t="s">
        <v>607</v>
      </c>
      <c r="G1508" s="4" t="s">
        <v>607</v>
      </c>
      <c r="H1508" s="4" t="s">
        <v>607</v>
      </c>
      <c r="I1508" s="4" t="s">
        <v>607</v>
      </c>
      <c r="J1508" s="4" t="s">
        <v>607</v>
      </c>
      <c r="K1508" s="4" t="s">
        <v>607</v>
      </c>
      <c r="L1508" s="4" t="s">
        <v>607</v>
      </c>
      <c r="M1508" s="4" t="s">
        <v>607</v>
      </c>
      <c r="N1508" s="4" t="s">
        <v>607</v>
      </c>
      <c r="O1508" s="4"/>
      <c r="P1508" s="4"/>
      <c r="T1508" s="4"/>
    </row>
    <row r="1509">
      <c r="A1509" s="4" t="s">
        <v>4797</v>
      </c>
      <c r="B1509" s="4" t="s">
        <v>607</v>
      </c>
      <c r="C1509" s="6" t="s">
        <v>607</v>
      </c>
      <c r="D1509" s="6" t="s">
        <v>607</v>
      </c>
      <c r="E1509" s="6" t="s">
        <v>607</v>
      </c>
      <c r="F1509" s="6" t="s">
        <v>607</v>
      </c>
      <c r="G1509" s="4" t="s">
        <v>607</v>
      </c>
      <c r="H1509" s="4" t="s">
        <v>607</v>
      </c>
      <c r="I1509" s="4" t="s">
        <v>607</v>
      </c>
      <c r="J1509" s="4" t="s">
        <v>607</v>
      </c>
      <c r="K1509" s="4" t="s">
        <v>607</v>
      </c>
      <c r="L1509" s="4" t="s">
        <v>607</v>
      </c>
      <c r="M1509" s="4" t="s">
        <v>607</v>
      </c>
      <c r="N1509" s="4" t="s">
        <v>607</v>
      </c>
      <c r="O1509" s="4"/>
      <c r="P1509" s="4"/>
      <c r="T1509" s="4"/>
    </row>
    <row r="1510">
      <c r="A1510" s="4" t="s">
        <v>4798</v>
      </c>
      <c r="B1510" s="4" t="s">
        <v>607</v>
      </c>
      <c r="C1510" s="6" t="s">
        <v>607</v>
      </c>
      <c r="D1510" s="6" t="s">
        <v>607</v>
      </c>
      <c r="E1510" s="6" t="s">
        <v>607</v>
      </c>
      <c r="F1510" s="6" t="s">
        <v>607</v>
      </c>
      <c r="G1510" s="4" t="s">
        <v>607</v>
      </c>
      <c r="H1510" s="4" t="s">
        <v>607</v>
      </c>
      <c r="I1510" s="4" t="s">
        <v>607</v>
      </c>
      <c r="J1510" s="4" t="s">
        <v>607</v>
      </c>
      <c r="K1510" s="4" t="s">
        <v>607</v>
      </c>
      <c r="L1510" s="4" t="s">
        <v>607</v>
      </c>
      <c r="M1510" s="4" t="s">
        <v>607</v>
      </c>
      <c r="N1510" s="4" t="s">
        <v>607</v>
      </c>
      <c r="O1510" s="4"/>
      <c r="P1510" s="4"/>
      <c r="T1510" s="4"/>
    </row>
    <row r="1511">
      <c r="A1511" s="4" t="s">
        <v>4799</v>
      </c>
      <c r="B1511" s="4" t="s">
        <v>607</v>
      </c>
      <c r="C1511" s="6" t="s">
        <v>607</v>
      </c>
      <c r="D1511" s="6" t="s">
        <v>607</v>
      </c>
      <c r="E1511" s="6" t="s">
        <v>607</v>
      </c>
      <c r="F1511" s="6" t="s">
        <v>607</v>
      </c>
      <c r="G1511" s="4" t="s">
        <v>607</v>
      </c>
      <c r="H1511" s="4" t="s">
        <v>607</v>
      </c>
      <c r="I1511" s="4" t="s">
        <v>607</v>
      </c>
      <c r="J1511" s="4" t="s">
        <v>607</v>
      </c>
      <c r="K1511" s="4" t="s">
        <v>607</v>
      </c>
      <c r="L1511" s="4" t="s">
        <v>607</v>
      </c>
      <c r="M1511" s="4" t="s">
        <v>607</v>
      </c>
      <c r="N1511" s="4" t="s">
        <v>607</v>
      </c>
      <c r="O1511" s="4"/>
      <c r="P1511" s="4"/>
      <c r="T1511" s="4"/>
    </row>
    <row r="1512">
      <c r="A1512" s="4" t="s">
        <v>4800</v>
      </c>
      <c r="B1512" s="4" t="s">
        <v>607</v>
      </c>
      <c r="C1512" s="6" t="s">
        <v>607</v>
      </c>
      <c r="D1512" s="6" t="s">
        <v>607</v>
      </c>
      <c r="E1512" s="6" t="s">
        <v>607</v>
      </c>
      <c r="F1512" s="6" t="s">
        <v>607</v>
      </c>
      <c r="G1512" s="4" t="s">
        <v>607</v>
      </c>
      <c r="H1512" s="4" t="s">
        <v>607</v>
      </c>
      <c r="I1512" s="4" t="s">
        <v>607</v>
      </c>
      <c r="J1512" s="4" t="s">
        <v>607</v>
      </c>
      <c r="K1512" s="4" t="s">
        <v>607</v>
      </c>
      <c r="L1512" s="4" t="s">
        <v>607</v>
      </c>
      <c r="M1512" s="4" t="s">
        <v>607</v>
      </c>
      <c r="N1512" s="4" t="s">
        <v>607</v>
      </c>
      <c r="O1512" s="4"/>
      <c r="P1512" s="4"/>
      <c r="T1512" s="4"/>
    </row>
    <row r="1513">
      <c r="A1513" s="4" t="s">
        <v>4801</v>
      </c>
      <c r="B1513" s="4" t="s">
        <v>607</v>
      </c>
      <c r="C1513" s="6" t="s">
        <v>607</v>
      </c>
      <c r="D1513" s="6" t="s">
        <v>607</v>
      </c>
      <c r="E1513" s="6" t="s">
        <v>607</v>
      </c>
      <c r="F1513" s="6" t="s">
        <v>607</v>
      </c>
      <c r="G1513" s="4" t="s">
        <v>607</v>
      </c>
      <c r="H1513" s="4" t="s">
        <v>607</v>
      </c>
      <c r="I1513" s="4" t="s">
        <v>607</v>
      </c>
      <c r="J1513" s="4" t="s">
        <v>607</v>
      </c>
      <c r="K1513" s="4" t="s">
        <v>607</v>
      </c>
      <c r="L1513" s="4" t="s">
        <v>607</v>
      </c>
      <c r="M1513" s="4" t="s">
        <v>607</v>
      </c>
      <c r="N1513" s="4" t="s">
        <v>607</v>
      </c>
      <c r="O1513" s="4"/>
      <c r="P1513" s="4"/>
      <c r="T1513" s="4"/>
    </row>
    <row r="1514">
      <c r="A1514" s="4" t="s">
        <v>4802</v>
      </c>
      <c r="B1514" s="4" t="s">
        <v>607</v>
      </c>
      <c r="C1514" s="6" t="s">
        <v>607</v>
      </c>
      <c r="D1514" s="6" t="s">
        <v>607</v>
      </c>
      <c r="E1514" s="6" t="s">
        <v>607</v>
      </c>
      <c r="F1514" s="6" t="s">
        <v>607</v>
      </c>
      <c r="G1514" s="4" t="s">
        <v>607</v>
      </c>
      <c r="H1514" s="4" t="s">
        <v>607</v>
      </c>
      <c r="I1514" s="4" t="s">
        <v>607</v>
      </c>
      <c r="J1514" s="4" t="s">
        <v>607</v>
      </c>
      <c r="K1514" s="4" t="s">
        <v>607</v>
      </c>
      <c r="L1514" s="4" t="s">
        <v>607</v>
      </c>
      <c r="M1514" s="4" t="s">
        <v>607</v>
      </c>
      <c r="N1514" s="4" t="s">
        <v>607</v>
      </c>
      <c r="O1514" s="4"/>
      <c r="P1514" s="4"/>
      <c r="T1514" s="4"/>
    </row>
    <row r="1515">
      <c r="A1515" s="4" t="s">
        <v>4803</v>
      </c>
      <c r="B1515" s="4" t="s">
        <v>607</v>
      </c>
      <c r="C1515" s="6" t="s">
        <v>607</v>
      </c>
      <c r="D1515" s="6" t="s">
        <v>607</v>
      </c>
      <c r="E1515" s="6" t="s">
        <v>607</v>
      </c>
      <c r="F1515" s="6" t="s">
        <v>607</v>
      </c>
      <c r="G1515" s="4" t="s">
        <v>607</v>
      </c>
      <c r="H1515" s="4" t="s">
        <v>607</v>
      </c>
      <c r="I1515" s="4" t="s">
        <v>607</v>
      </c>
      <c r="J1515" s="4" t="s">
        <v>607</v>
      </c>
      <c r="K1515" s="4" t="s">
        <v>607</v>
      </c>
      <c r="L1515" s="4" t="s">
        <v>607</v>
      </c>
      <c r="M1515" s="4" t="s">
        <v>607</v>
      </c>
      <c r="N1515" s="4" t="s">
        <v>607</v>
      </c>
      <c r="O1515" s="4"/>
      <c r="P1515" s="4"/>
      <c r="T1515" s="4"/>
    </row>
    <row r="1516">
      <c r="A1516" s="4" t="s">
        <v>4804</v>
      </c>
      <c r="B1516" s="4" t="s">
        <v>607</v>
      </c>
      <c r="C1516" s="6" t="s">
        <v>607</v>
      </c>
      <c r="D1516" s="6" t="s">
        <v>607</v>
      </c>
      <c r="E1516" s="6" t="s">
        <v>607</v>
      </c>
      <c r="F1516" s="6" t="s">
        <v>607</v>
      </c>
      <c r="G1516" s="4" t="s">
        <v>607</v>
      </c>
      <c r="H1516" s="4" t="s">
        <v>607</v>
      </c>
      <c r="I1516" s="4" t="s">
        <v>607</v>
      </c>
      <c r="J1516" s="4" t="s">
        <v>607</v>
      </c>
      <c r="K1516" s="4" t="s">
        <v>607</v>
      </c>
      <c r="L1516" s="4" t="s">
        <v>607</v>
      </c>
      <c r="M1516" s="4" t="s">
        <v>607</v>
      </c>
      <c r="N1516" s="4" t="s">
        <v>607</v>
      </c>
      <c r="O1516" s="4"/>
      <c r="P1516" s="4"/>
      <c r="T1516" s="4"/>
    </row>
    <row r="1517">
      <c r="A1517" s="4" t="s">
        <v>4805</v>
      </c>
      <c r="B1517" s="4" t="s">
        <v>607</v>
      </c>
      <c r="C1517" s="6" t="s">
        <v>607</v>
      </c>
      <c r="D1517" s="6" t="s">
        <v>607</v>
      </c>
      <c r="E1517" s="6" t="s">
        <v>607</v>
      </c>
      <c r="F1517" s="6" t="s">
        <v>607</v>
      </c>
      <c r="G1517" s="4" t="s">
        <v>607</v>
      </c>
      <c r="H1517" s="4" t="s">
        <v>607</v>
      </c>
      <c r="I1517" s="4" t="s">
        <v>607</v>
      </c>
      <c r="J1517" s="4" t="s">
        <v>607</v>
      </c>
      <c r="K1517" s="4" t="s">
        <v>607</v>
      </c>
      <c r="L1517" s="4" t="s">
        <v>607</v>
      </c>
      <c r="M1517" s="4" t="s">
        <v>607</v>
      </c>
      <c r="N1517" s="4" t="s">
        <v>607</v>
      </c>
      <c r="O1517" s="4"/>
      <c r="P1517" s="4"/>
      <c r="T1517" s="4"/>
    </row>
    <row r="1518">
      <c r="A1518" s="4" t="s">
        <v>4806</v>
      </c>
      <c r="B1518" s="4" t="s">
        <v>607</v>
      </c>
      <c r="C1518" s="6" t="s">
        <v>607</v>
      </c>
      <c r="D1518" s="6" t="s">
        <v>607</v>
      </c>
      <c r="E1518" s="6" t="s">
        <v>607</v>
      </c>
      <c r="F1518" s="6" t="s">
        <v>607</v>
      </c>
      <c r="G1518" s="4" t="s">
        <v>607</v>
      </c>
      <c r="H1518" s="4" t="s">
        <v>607</v>
      </c>
      <c r="I1518" s="4" t="s">
        <v>607</v>
      </c>
      <c r="J1518" s="4" t="s">
        <v>607</v>
      </c>
      <c r="K1518" s="4" t="s">
        <v>607</v>
      </c>
      <c r="L1518" s="4" t="s">
        <v>607</v>
      </c>
      <c r="M1518" s="4" t="s">
        <v>607</v>
      </c>
      <c r="N1518" s="4" t="s">
        <v>607</v>
      </c>
      <c r="O1518" s="4"/>
      <c r="P1518" s="4"/>
      <c r="T1518" s="4"/>
    </row>
    <row r="1519">
      <c r="A1519" s="4" t="s">
        <v>4807</v>
      </c>
      <c r="B1519" s="4" t="s">
        <v>607</v>
      </c>
      <c r="C1519" s="6" t="s">
        <v>607</v>
      </c>
      <c r="D1519" s="6" t="s">
        <v>607</v>
      </c>
      <c r="E1519" s="6" t="s">
        <v>607</v>
      </c>
      <c r="F1519" s="6" t="s">
        <v>607</v>
      </c>
      <c r="G1519" s="4" t="s">
        <v>607</v>
      </c>
      <c r="H1519" s="4" t="s">
        <v>607</v>
      </c>
      <c r="I1519" s="4" t="s">
        <v>607</v>
      </c>
      <c r="J1519" s="4" t="s">
        <v>607</v>
      </c>
      <c r="K1519" s="4" t="s">
        <v>607</v>
      </c>
      <c r="L1519" s="4" t="s">
        <v>607</v>
      </c>
      <c r="M1519" s="4" t="s">
        <v>607</v>
      </c>
      <c r="N1519" s="4" t="s">
        <v>607</v>
      </c>
      <c r="O1519" s="4"/>
      <c r="P1519" s="4"/>
      <c r="T1519" s="4"/>
    </row>
    <row r="1520">
      <c r="A1520" s="4" t="s">
        <v>4808</v>
      </c>
      <c r="B1520" s="4" t="s">
        <v>607</v>
      </c>
      <c r="C1520" s="6" t="s">
        <v>607</v>
      </c>
      <c r="D1520" s="6" t="s">
        <v>607</v>
      </c>
      <c r="E1520" s="6" t="s">
        <v>607</v>
      </c>
      <c r="F1520" s="6" t="s">
        <v>607</v>
      </c>
      <c r="G1520" s="4" t="s">
        <v>607</v>
      </c>
      <c r="H1520" s="4" t="s">
        <v>607</v>
      </c>
      <c r="I1520" s="4" t="s">
        <v>607</v>
      </c>
      <c r="J1520" s="4" t="s">
        <v>607</v>
      </c>
      <c r="K1520" s="4" t="s">
        <v>607</v>
      </c>
      <c r="L1520" s="4" t="s">
        <v>607</v>
      </c>
      <c r="M1520" s="4" t="s">
        <v>607</v>
      </c>
      <c r="N1520" s="4" t="s">
        <v>607</v>
      </c>
      <c r="O1520" s="4"/>
      <c r="P1520" s="4"/>
      <c r="T1520" s="4"/>
    </row>
    <row r="1521">
      <c r="A1521" s="4" t="s">
        <v>4809</v>
      </c>
      <c r="B1521" s="4" t="s">
        <v>607</v>
      </c>
      <c r="C1521" s="6" t="s">
        <v>607</v>
      </c>
      <c r="D1521" s="6" t="s">
        <v>607</v>
      </c>
      <c r="E1521" s="6" t="s">
        <v>607</v>
      </c>
      <c r="F1521" s="6" t="s">
        <v>607</v>
      </c>
      <c r="G1521" s="4" t="s">
        <v>607</v>
      </c>
      <c r="H1521" s="4" t="s">
        <v>607</v>
      </c>
      <c r="I1521" s="4" t="s">
        <v>607</v>
      </c>
      <c r="J1521" s="4" t="s">
        <v>607</v>
      </c>
      <c r="K1521" s="4" t="s">
        <v>607</v>
      </c>
      <c r="L1521" s="4" t="s">
        <v>607</v>
      </c>
      <c r="M1521" s="4" t="s">
        <v>607</v>
      </c>
      <c r="N1521" s="4" t="s">
        <v>607</v>
      </c>
      <c r="O1521" s="4"/>
      <c r="P1521" s="4"/>
      <c r="T1521" s="4"/>
    </row>
    <row r="1522">
      <c r="A1522" s="4" t="s">
        <v>4810</v>
      </c>
      <c r="B1522" s="4" t="s">
        <v>607</v>
      </c>
      <c r="C1522" s="6" t="s">
        <v>607</v>
      </c>
      <c r="D1522" s="6" t="s">
        <v>607</v>
      </c>
      <c r="E1522" s="6" t="s">
        <v>607</v>
      </c>
      <c r="F1522" s="6" t="s">
        <v>607</v>
      </c>
      <c r="G1522" s="4" t="s">
        <v>607</v>
      </c>
      <c r="H1522" s="4" t="s">
        <v>607</v>
      </c>
      <c r="I1522" s="4" t="s">
        <v>607</v>
      </c>
      <c r="J1522" s="4" t="s">
        <v>607</v>
      </c>
      <c r="K1522" s="4" t="s">
        <v>607</v>
      </c>
      <c r="L1522" s="4" t="s">
        <v>607</v>
      </c>
      <c r="M1522" s="4" t="s">
        <v>607</v>
      </c>
      <c r="N1522" s="4" t="s">
        <v>607</v>
      </c>
      <c r="O1522" s="4"/>
      <c r="P1522" s="4"/>
      <c r="T1522" s="4"/>
    </row>
    <row r="1523">
      <c r="A1523" s="4" t="s">
        <v>4811</v>
      </c>
      <c r="B1523" s="4" t="s">
        <v>607</v>
      </c>
      <c r="C1523" s="6" t="s">
        <v>607</v>
      </c>
      <c r="D1523" s="6" t="s">
        <v>607</v>
      </c>
      <c r="E1523" s="6" t="s">
        <v>607</v>
      </c>
      <c r="F1523" s="6" t="s">
        <v>607</v>
      </c>
      <c r="G1523" s="4" t="s">
        <v>607</v>
      </c>
      <c r="H1523" s="4" t="s">
        <v>607</v>
      </c>
      <c r="I1523" s="4" t="s">
        <v>607</v>
      </c>
      <c r="J1523" s="4" t="s">
        <v>607</v>
      </c>
      <c r="K1523" s="4" t="s">
        <v>607</v>
      </c>
      <c r="L1523" s="4" t="s">
        <v>607</v>
      </c>
      <c r="M1523" s="4" t="s">
        <v>607</v>
      </c>
      <c r="N1523" s="4" t="s">
        <v>607</v>
      </c>
      <c r="O1523" s="4"/>
      <c r="P1523" s="4"/>
      <c r="T1523" s="4"/>
    </row>
    <row r="1524">
      <c r="A1524" s="4" t="s">
        <v>4812</v>
      </c>
      <c r="B1524" s="4" t="s">
        <v>607</v>
      </c>
      <c r="C1524" s="6" t="s">
        <v>607</v>
      </c>
      <c r="D1524" s="6" t="s">
        <v>607</v>
      </c>
      <c r="E1524" s="6" t="s">
        <v>607</v>
      </c>
      <c r="F1524" s="6" t="s">
        <v>607</v>
      </c>
      <c r="G1524" s="4" t="s">
        <v>607</v>
      </c>
      <c r="H1524" s="4" t="s">
        <v>607</v>
      </c>
      <c r="I1524" s="4" t="s">
        <v>607</v>
      </c>
      <c r="J1524" s="4" t="s">
        <v>607</v>
      </c>
      <c r="K1524" s="4" t="s">
        <v>607</v>
      </c>
      <c r="L1524" s="4" t="s">
        <v>607</v>
      </c>
      <c r="M1524" s="4" t="s">
        <v>607</v>
      </c>
      <c r="N1524" s="4" t="s">
        <v>607</v>
      </c>
      <c r="O1524" s="4"/>
      <c r="P1524" s="4"/>
      <c r="T1524" s="4"/>
    </row>
    <row r="1525">
      <c r="A1525" s="4" t="s">
        <v>4813</v>
      </c>
      <c r="B1525" s="4" t="s">
        <v>607</v>
      </c>
      <c r="C1525" s="6" t="s">
        <v>607</v>
      </c>
      <c r="D1525" s="6" t="s">
        <v>607</v>
      </c>
      <c r="E1525" s="6" t="s">
        <v>607</v>
      </c>
      <c r="F1525" s="6" t="s">
        <v>607</v>
      </c>
      <c r="G1525" s="4" t="s">
        <v>607</v>
      </c>
      <c r="H1525" s="4" t="s">
        <v>607</v>
      </c>
      <c r="I1525" s="4" t="s">
        <v>607</v>
      </c>
      <c r="J1525" s="4" t="s">
        <v>607</v>
      </c>
      <c r="K1525" s="4" t="s">
        <v>607</v>
      </c>
      <c r="L1525" s="4" t="s">
        <v>607</v>
      </c>
      <c r="M1525" s="4" t="s">
        <v>607</v>
      </c>
      <c r="N1525" s="4" t="s">
        <v>607</v>
      </c>
      <c r="O1525" s="4"/>
      <c r="P1525" s="4"/>
      <c r="T1525" s="4"/>
    </row>
    <row r="1526">
      <c r="A1526" s="4" t="s">
        <v>4814</v>
      </c>
      <c r="B1526" s="4" t="s">
        <v>607</v>
      </c>
      <c r="C1526" s="6" t="s">
        <v>607</v>
      </c>
      <c r="D1526" s="6" t="s">
        <v>607</v>
      </c>
      <c r="E1526" s="6" t="s">
        <v>607</v>
      </c>
      <c r="F1526" s="6" t="s">
        <v>607</v>
      </c>
      <c r="G1526" s="4" t="s">
        <v>607</v>
      </c>
      <c r="H1526" s="4" t="s">
        <v>607</v>
      </c>
      <c r="I1526" s="4" t="s">
        <v>607</v>
      </c>
      <c r="J1526" s="4" t="s">
        <v>607</v>
      </c>
      <c r="K1526" s="4" t="s">
        <v>607</v>
      </c>
      <c r="L1526" s="4" t="s">
        <v>607</v>
      </c>
      <c r="M1526" s="4" t="s">
        <v>607</v>
      </c>
      <c r="N1526" s="4" t="s">
        <v>607</v>
      </c>
      <c r="O1526" s="4"/>
      <c r="P1526" s="4"/>
      <c r="T1526" s="4"/>
    </row>
    <row r="1527">
      <c r="A1527" s="4" t="s">
        <v>4815</v>
      </c>
      <c r="B1527" s="4" t="s">
        <v>607</v>
      </c>
      <c r="C1527" s="6" t="s">
        <v>607</v>
      </c>
      <c r="D1527" s="6" t="s">
        <v>607</v>
      </c>
      <c r="E1527" s="6" t="s">
        <v>607</v>
      </c>
      <c r="F1527" s="6" t="s">
        <v>607</v>
      </c>
      <c r="G1527" s="4" t="s">
        <v>607</v>
      </c>
      <c r="H1527" s="4" t="s">
        <v>607</v>
      </c>
      <c r="I1527" s="4" t="s">
        <v>607</v>
      </c>
      <c r="J1527" s="4" t="s">
        <v>607</v>
      </c>
      <c r="K1527" s="4" t="s">
        <v>607</v>
      </c>
      <c r="L1527" s="4" t="s">
        <v>607</v>
      </c>
      <c r="M1527" s="4" t="s">
        <v>607</v>
      </c>
      <c r="N1527" s="4" t="s">
        <v>607</v>
      </c>
      <c r="O1527" s="4"/>
      <c r="P1527" s="4"/>
      <c r="T1527" s="4"/>
    </row>
    <row r="1528">
      <c r="A1528" s="4" t="s">
        <v>4816</v>
      </c>
      <c r="B1528" s="4" t="s">
        <v>607</v>
      </c>
      <c r="C1528" s="6" t="s">
        <v>607</v>
      </c>
      <c r="D1528" s="6" t="s">
        <v>607</v>
      </c>
      <c r="E1528" s="6" t="s">
        <v>607</v>
      </c>
      <c r="F1528" s="6" t="s">
        <v>607</v>
      </c>
      <c r="G1528" s="4" t="s">
        <v>607</v>
      </c>
      <c r="H1528" s="4" t="s">
        <v>607</v>
      </c>
      <c r="I1528" s="4" t="s">
        <v>607</v>
      </c>
      <c r="J1528" s="4" t="s">
        <v>607</v>
      </c>
      <c r="K1528" s="4" t="s">
        <v>607</v>
      </c>
      <c r="L1528" s="4" t="s">
        <v>607</v>
      </c>
      <c r="M1528" s="4" t="s">
        <v>607</v>
      </c>
      <c r="N1528" s="4" t="s">
        <v>607</v>
      </c>
      <c r="O1528" s="4"/>
      <c r="P1528" s="4"/>
      <c r="T1528" s="4"/>
    </row>
    <row r="1529">
      <c r="A1529" s="4" t="s">
        <v>4817</v>
      </c>
      <c r="B1529" s="4" t="s">
        <v>607</v>
      </c>
      <c r="C1529" s="6" t="s">
        <v>607</v>
      </c>
      <c r="D1529" s="6" t="s">
        <v>607</v>
      </c>
      <c r="E1529" s="6" t="s">
        <v>607</v>
      </c>
      <c r="F1529" s="6" t="s">
        <v>607</v>
      </c>
      <c r="G1529" s="4" t="s">
        <v>607</v>
      </c>
      <c r="H1529" s="4" t="s">
        <v>607</v>
      </c>
      <c r="I1529" s="4" t="s">
        <v>607</v>
      </c>
      <c r="J1529" s="4" t="s">
        <v>607</v>
      </c>
      <c r="K1529" s="4" t="s">
        <v>607</v>
      </c>
      <c r="L1529" s="4" t="s">
        <v>607</v>
      </c>
      <c r="M1529" s="4" t="s">
        <v>607</v>
      </c>
      <c r="N1529" s="4" t="s">
        <v>607</v>
      </c>
      <c r="O1529" s="4"/>
      <c r="P1529" s="4"/>
      <c r="T1529" s="4"/>
    </row>
    <row r="1530">
      <c r="A1530" s="4" t="s">
        <v>4818</v>
      </c>
      <c r="B1530" s="4" t="s">
        <v>607</v>
      </c>
      <c r="C1530" s="6" t="s">
        <v>607</v>
      </c>
      <c r="D1530" s="6" t="s">
        <v>607</v>
      </c>
      <c r="E1530" s="6" t="s">
        <v>607</v>
      </c>
      <c r="F1530" s="6" t="s">
        <v>607</v>
      </c>
      <c r="G1530" s="4" t="s">
        <v>607</v>
      </c>
      <c r="H1530" s="4" t="s">
        <v>607</v>
      </c>
      <c r="I1530" s="4" t="s">
        <v>607</v>
      </c>
      <c r="J1530" s="4" t="s">
        <v>607</v>
      </c>
      <c r="K1530" s="4" t="s">
        <v>607</v>
      </c>
      <c r="L1530" s="4" t="s">
        <v>607</v>
      </c>
      <c r="M1530" s="4" t="s">
        <v>607</v>
      </c>
      <c r="N1530" s="4" t="s">
        <v>607</v>
      </c>
      <c r="O1530" s="4"/>
      <c r="P1530" s="4"/>
      <c r="T1530" s="4"/>
    </row>
    <row r="1531">
      <c r="A1531" s="4" t="s">
        <v>4819</v>
      </c>
      <c r="B1531" s="4" t="s">
        <v>607</v>
      </c>
      <c r="C1531" s="6" t="s">
        <v>607</v>
      </c>
      <c r="D1531" s="6" t="s">
        <v>607</v>
      </c>
      <c r="E1531" s="6" t="s">
        <v>607</v>
      </c>
      <c r="F1531" s="6" t="s">
        <v>607</v>
      </c>
      <c r="G1531" s="4" t="s">
        <v>607</v>
      </c>
      <c r="H1531" s="4" t="s">
        <v>607</v>
      </c>
      <c r="I1531" s="4" t="s">
        <v>607</v>
      </c>
      <c r="J1531" s="4" t="s">
        <v>607</v>
      </c>
      <c r="K1531" s="4" t="s">
        <v>607</v>
      </c>
      <c r="L1531" s="4" t="s">
        <v>607</v>
      </c>
      <c r="M1531" s="4" t="s">
        <v>607</v>
      </c>
      <c r="N1531" s="4" t="s">
        <v>607</v>
      </c>
      <c r="O1531" s="4"/>
      <c r="P1531" s="4"/>
      <c r="T1531" s="4"/>
    </row>
    <row r="1532">
      <c r="A1532" s="4" t="s">
        <v>4820</v>
      </c>
      <c r="B1532" s="4" t="s">
        <v>607</v>
      </c>
      <c r="C1532" s="6" t="s">
        <v>607</v>
      </c>
      <c r="D1532" s="6" t="s">
        <v>607</v>
      </c>
      <c r="E1532" s="6" t="s">
        <v>607</v>
      </c>
      <c r="F1532" s="6" t="s">
        <v>607</v>
      </c>
      <c r="G1532" s="4" t="s">
        <v>607</v>
      </c>
      <c r="H1532" s="4" t="s">
        <v>607</v>
      </c>
      <c r="I1532" s="4" t="s">
        <v>607</v>
      </c>
      <c r="J1532" s="4" t="s">
        <v>607</v>
      </c>
      <c r="K1532" s="4" t="s">
        <v>607</v>
      </c>
      <c r="L1532" s="4" t="s">
        <v>607</v>
      </c>
      <c r="M1532" s="4" t="s">
        <v>607</v>
      </c>
      <c r="N1532" s="4" t="s">
        <v>607</v>
      </c>
      <c r="O1532" s="4"/>
      <c r="P1532" s="4"/>
      <c r="T1532" s="4"/>
    </row>
    <row r="1533">
      <c r="A1533" s="4" t="s">
        <v>4821</v>
      </c>
      <c r="B1533" s="4" t="s">
        <v>607</v>
      </c>
      <c r="C1533" s="6" t="s">
        <v>607</v>
      </c>
      <c r="D1533" s="6" t="s">
        <v>607</v>
      </c>
      <c r="E1533" s="6" t="s">
        <v>607</v>
      </c>
      <c r="F1533" s="6" t="s">
        <v>607</v>
      </c>
      <c r="G1533" s="4" t="s">
        <v>607</v>
      </c>
      <c r="H1533" s="4" t="s">
        <v>607</v>
      </c>
      <c r="I1533" s="4" t="s">
        <v>607</v>
      </c>
      <c r="J1533" s="4" t="s">
        <v>607</v>
      </c>
      <c r="K1533" s="4" t="s">
        <v>607</v>
      </c>
      <c r="L1533" s="4" t="s">
        <v>607</v>
      </c>
      <c r="M1533" s="4" t="s">
        <v>607</v>
      </c>
      <c r="N1533" s="4" t="s">
        <v>607</v>
      </c>
      <c r="O1533" s="4"/>
      <c r="P1533" s="4"/>
      <c r="T1533" s="4"/>
    </row>
    <row r="1534">
      <c r="A1534" s="4" t="s">
        <v>4822</v>
      </c>
      <c r="B1534" s="4" t="s">
        <v>607</v>
      </c>
      <c r="C1534" s="6" t="s">
        <v>607</v>
      </c>
      <c r="D1534" s="6" t="s">
        <v>607</v>
      </c>
      <c r="E1534" s="6" t="s">
        <v>607</v>
      </c>
      <c r="F1534" s="6" t="s">
        <v>607</v>
      </c>
      <c r="G1534" s="4" t="s">
        <v>607</v>
      </c>
      <c r="H1534" s="4" t="s">
        <v>607</v>
      </c>
      <c r="I1534" s="4" t="s">
        <v>607</v>
      </c>
      <c r="J1534" s="4" t="s">
        <v>607</v>
      </c>
      <c r="K1534" s="4" t="s">
        <v>607</v>
      </c>
      <c r="L1534" s="4" t="s">
        <v>607</v>
      </c>
      <c r="M1534" s="4" t="s">
        <v>607</v>
      </c>
      <c r="N1534" s="4" t="s">
        <v>607</v>
      </c>
      <c r="O1534" s="4"/>
      <c r="P1534" s="4"/>
      <c r="T1534" s="4"/>
    </row>
    <row r="1535">
      <c r="A1535" s="4" t="s">
        <v>4823</v>
      </c>
      <c r="B1535" s="4" t="s">
        <v>607</v>
      </c>
      <c r="C1535" s="6" t="s">
        <v>607</v>
      </c>
      <c r="D1535" s="6" t="s">
        <v>607</v>
      </c>
      <c r="E1535" s="6" t="s">
        <v>607</v>
      </c>
      <c r="F1535" s="6" t="s">
        <v>607</v>
      </c>
      <c r="G1535" s="4" t="s">
        <v>607</v>
      </c>
      <c r="H1535" s="4" t="s">
        <v>607</v>
      </c>
      <c r="I1535" s="4" t="s">
        <v>607</v>
      </c>
      <c r="J1535" s="4" t="s">
        <v>607</v>
      </c>
      <c r="K1535" s="4" t="s">
        <v>607</v>
      </c>
      <c r="L1535" s="4" t="s">
        <v>607</v>
      </c>
      <c r="M1535" s="4" t="s">
        <v>607</v>
      </c>
      <c r="N1535" s="4" t="s">
        <v>607</v>
      </c>
      <c r="O1535" s="4"/>
      <c r="P1535" s="4"/>
      <c r="T1535" s="4"/>
    </row>
    <row r="1536">
      <c r="A1536" s="4" t="s">
        <v>4824</v>
      </c>
      <c r="B1536" s="4" t="s">
        <v>607</v>
      </c>
      <c r="C1536" s="6" t="s">
        <v>607</v>
      </c>
      <c r="D1536" s="6" t="s">
        <v>607</v>
      </c>
      <c r="E1536" s="6" t="s">
        <v>607</v>
      </c>
      <c r="F1536" s="6" t="s">
        <v>607</v>
      </c>
      <c r="G1536" s="4" t="s">
        <v>607</v>
      </c>
      <c r="H1536" s="4" t="s">
        <v>607</v>
      </c>
      <c r="I1536" s="4" t="s">
        <v>607</v>
      </c>
      <c r="J1536" s="4" t="s">
        <v>607</v>
      </c>
      <c r="K1536" s="4" t="s">
        <v>607</v>
      </c>
      <c r="L1536" s="4" t="s">
        <v>607</v>
      </c>
      <c r="M1536" s="4" t="s">
        <v>607</v>
      </c>
      <c r="N1536" s="4" t="s">
        <v>607</v>
      </c>
      <c r="O1536" s="4"/>
      <c r="P1536" s="4"/>
      <c r="T1536" s="4"/>
    </row>
    <row r="1537">
      <c r="A1537" s="4" t="s">
        <v>4825</v>
      </c>
      <c r="B1537" s="4" t="s">
        <v>607</v>
      </c>
      <c r="C1537" s="6" t="s">
        <v>607</v>
      </c>
      <c r="D1537" s="6" t="s">
        <v>607</v>
      </c>
      <c r="E1537" s="6" t="s">
        <v>607</v>
      </c>
      <c r="F1537" s="6" t="s">
        <v>607</v>
      </c>
      <c r="G1537" s="4" t="s">
        <v>607</v>
      </c>
      <c r="H1537" s="4" t="s">
        <v>607</v>
      </c>
      <c r="I1537" s="4" t="s">
        <v>607</v>
      </c>
      <c r="J1537" s="4" t="s">
        <v>607</v>
      </c>
      <c r="K1537" s="4" t="s">
        <v>607</v>
      </c>
      <c r="L1537" s="4" t="s">
        <v>607</v>
      </c>
      <c r="M1537" s="4" t="s">
        <v>607</v>
      </c>
      <c r="N1537" s="4" t="s">
        <v>607</v>
      </c>
      <c r="O1537" s="4"/>
      <c r="P1537" s="4"/>
      <c r="T1537" s="4"/>
    </row>
    <row r="1538">
      <c r="A1538" s="4" t="s">
        <v>4826</v>
      </c>
      <c r="B1538" s="4" t="s">
        <v>607</v>
      </c>
      <c r="C1538" s="6" t="s">
        <v>607</v>
      </c>
      <c r="D1538" s="6" t="s">
        <v>607</v>
      </c>
      <c r="E1538" s="6" t="s">
        <v>607</v>
      </c>
      <c r="F1538" s="6" t="s">
        <v>607</v>
      </c>
      <c r="G1538" s="4" t="s">
        <v>607</v>
      </c>
      <c r="H1538" s="4" t="s">
        <v>607</v>
      </c>
      <c r="I1538" s="4" t="s">
        <v>607</v>
      </c>
      <c r="J1538" s="4" t="s">
        <v>607</v>
      </c>
      <c r="K1538" s="4" t="s">
        <v>607</v>
      </c>
      <c r="L1538" s="4" t="s">
        <v>607</v>
      </c>
      <c r="M1538" s="4" t="s">
        <v>607</v>
      </c>
      <c r="N1538" s="4" t="s">
        <v>607</v>
      </c>
      <c r="O1538" s="4"/>
      <c r="P1538" s="4"/>
      <c r="T1538" s="4"/>
    </row>
    <row r="1539">
      <c r="A1539" s="4" t="s">
        <v>4827</v>
      </c>
      <c r="B1539" s="4" t="s">
        <v>607</v>
      </c>
      <c r="C1539" s="6" t="s">
        <v>607</v>
      </c>
      <c r="D1539" s="6" t="s">
        <v>607</v>
      </c>
      <c r="E1539" s="6" t="s">
        <v>607</v>
      </c>
      <c r="F1539" s="6" t="s">
        <v>607</v>
      </c>
      <c r="G1539" s="4" t="s">
        <v>607</v>
      </c>
      <c r="H1539" s="4" t="s">
        <v>607</v>
      </c>
      <c r="I1539" s="4" t="s">
        <v>607</v>
      </c>
      <c r="J1539" s="4" t="s">
        <v>607</v>
      </c>
      <c r="K1539" s="4" t="s">
        <v>607</v>
      </c>
      <c r="L1539" s="4" t="s">
        <v>607</v>
      </c>
      <c r="M1539" s="4" t="s">
        <v>607</v>
      </c>
      <c r="N1539" s="4" t="s">
        <v>607</v>
      </c>
      <c r="O1539" s="4"/>
      <c r="P1539" s="4"/>
      <c r="T1539" s="4"/>
    </row>
    <row r="1540">
      <c r="A1540" s="4" t="s">
        <v>4828</v>
      </c>
      <c r="B1540" s="4" t="s">
        <v>607</v>
      </c>
      <c r="C1540" s="6" t="s">
        <v>607</v>
      </c>
      <c r="D1540" s="6" t="s">
        <v>607</v>
      </c>
      <c r="E1540" s="6" t="s">
        <v>607</v>
      </c>
      <c r="F1540" s="6" t="s">
        <v>607</v>
      </c>
      <c r="G1540" s="4" t="s">
        <v>607</v>
      </c>
      <c r="H1540" s="4" t="s">
        <v>607</v>
      </c>
      <c r="I1540" s="4" t="s">
        <v>607</v>
      </c>
      <c r="J1540" s="4" t="s">
        <v>607</v>
      </c>
      <c r="K1540" s="4" t="s">
        <v>607</v>
      </c>
      <c r="L1540" s="4" t="s">
        <v>607</v>
      </c>
      <c r="M1540" s="4" t="s">
        <v>607</v>
      </c>
      <c r="N1540" s="4" t="s">
        <v>607</v>
      </c>
      <c r="O1540" s="4"/>
      <c r="P1540" s="4"/>
      <c r="T1540" s="4"/>
    </row>
    <row r="1541">
      <c r="A1541" s="4" t="s">
        <v>4829</v>
      </c>
      <c r="B1541" s="4" t="s">
        <v>607</v>
      </c>
      <c r="C1541" s="6" t="s">
        <v>607</v>
      </c>
      <c r="D1541" s="6" t="s">
        <v>607</v>
      </c>
      <c r="E1541" s="6" t="s">
        <v>607</v>
      </c>
      <c r="F1541" s="6" t="s">
        <v>607</v>
      </c>
      <c r="G1541" s="4" t="s">
        <v>607</v>
      </c>
      <c r="H1541" s="4" t="s">
        <v>607</v>
      </c>
      <c r="I1541" s="4" t="s">
        <v>607</v>
      </c>
      <c r="J1541" s="4" t="s">
        <v>607</v>
      </c>
      <c r="K1541" s="4" t="s">
        <v>607</v>
      </c>
      <c r="L1541" s="4" t="s">
        <v>607</v>
      </c>
      <c r="M1541" s="4" t="s">
        <v>607</v>
      </c>
      <c r="N1541" s="4" t="s">
        <v>607</v>
      </c>
      <c r="O1541" s="4"/>
      <c r="P1541" s="4"/>
      <c r="T1541" s="4"/>
    </row>
    <row r="1542">
      <c r="A1542" s="4" t="s">
        <v>4831</v>
      </c>
      <c r="B1542" s="4" t="s">
        <v>607</v>
      </c>
      <c r="C1542" s="6" t="s">
        <v>607</v>
      </c>
      <c r="D1542" s="6" t="s">
        <v>607</v>
      </c>
      <c r="E1542" s="6" t="s">
        <v>607</v>
      </c>
      <c r="F1542" s="6" t="s">
        <v>607</v>
      </c>
      <c r="G1542" s="4" t="s">
        <v>607</v>
      </c>
      <c r="H1542" s="4" t="s">
        <v>607</v>
      </c>
      <c r="I1542" s="4" t="s">
        <v>607</v>
      </c>
      <c r="J1542" s="4" t="s">
        <v>607</v>
      </c>
      <c r="K1542" s="4" t="s">
        <v>607</v>
      </c>
      <c r="L1542" s="4" t="s">
        <v>607</v>
      </c>
      <c r="M1542" s="4" t="s">
        <v>607</v>
      </c>
      <c r="N1542" s="4" t="s">
        <v>607</v>
      </c>
      <c r="O1542" s="4"/>
      <c r="P1542" s="4"/>
      <c r="T1542" s="4"/>
    </row>
    <row r="1543">
      <c r="A1543" s="4" t="s">
        <v>4832</v>
      </c>
      <c r="B1543" s="4" t="s">
        <v>607</v>
      </c>
      <c r="C1543" s="6" t="s">
        <v>607</v>
      </c>
      <c r="D1543" s="6" t="s">
        <v>607</v>
      </c>
      <c r="E1543" s="6" t="s">
        <v>607</v>
      </c>
      <c r="F1543" s="6" t="s">
        <v>607</v>
      </c>
      <c r="G1543" s="4" t="s">
        <v>607</v>
      </c>
      <c r="H1543" s="4" t="s">
        <v>607</v>
      </c>
      <c r="I1543" s="4" t="s">
        <v>607</v>
      </c>
      <c r="J1543" s="4" t="s">
        <v>607</v>
      </c>
      <c r="K1543" s="4" t="s">
        <v>607</v>
      </c>
      <c r="L1543" s="4" t="s">
        <v>607</v>
      </c>
      <c r="M1543" s="4" t="s">
        <v>607</v>
      </c>
      <c r="N1543" s="4" t="s">
        <v>607</v>
      </c>
      <c r="O1543" s="4"/>
      <c r="P1543" s="4"/>
      <c r="T1543" s="4"/>
    </row>
    <row r="1544">
      <c r="A1544" s="4" t="s">
        <v>4833</v>
      </c>
      <c r="B1544" s="4" t="s">
        <v>607</v>
      </c>
      <c r="C1544" s="6" t="s">
        <v>607</v>
      </c>
      <c r="D1544" s="6" t="s">
        <v>607</v>
      </c>
      <c r="E1544" s="6" t="s">
        <v>607</v>
      </c>
      <c r="F1544" s="6" t="s">
        <v>607</v>
      </c>
      <c r="G1544" s="4" t="s">
        <v>607</v>
      </c>
      <c r="H1544" s="4" t="s">
        <v>607</v>
      </c>
      <c r="I1544" s="4" t="s">
        <v>607</v>
      </c>
      <c r="J1544" s="4" t="s">
        <v>607</v>
      </c>
      <c r="K1544" s="4" t="s">
        <v>607</v>
      </c>
      <c r="L1544" s="4" t="s">
        <v>607</v>
      </c>
      <c r="M1544" s="4" t="s">
        <v>607</v>
      </c>
      <c r="N1544" s="4" t="s">
        <v>607</v>
      </c>
      <c r="O1544" s="4"/>
      <c r="P1544" s="4"/>
      <c r="T1544" s="4"/>
    </row>
    <row r="1545">
      <c r="A1545" s="4" t="s">
        <v>4834</v>
      </c>
      <c r="B1545" s="4" t="s">
        <v>607</v>
      </c>
      <c r="C1545" s="6" t="s">
        <v>607</v>
      </c>
      <c r="D1545" s="6" t="s">
        <v>607</v>
      </c>
      <c r="E1545" s="6" t="s">
        <v>607</v>
      </c>
      <c r="F1545" s="6" t="s">
        <v>607</v>
      </c>
      <c r="G1545" s="4" t="s">
        <v>607</v>
      </c>
      <c r="H1545" s="4" t="s">
        <v>607</v>
      </c>
      <c r="I1545" s="4" t="s">
        <v>607</v>
      </c>
      <c r="J1545" s="4" t="s">
        <v>607</v>
      </c>
      <c r="K1545" s="4" t="s">
        <v>607</v>
      </c>
      <c r="L1545" s="4" t="s">
        <v>607</v>
      </c>
      <c r="M1545" s="4" t="s">
        <v>607</v>
      </c>
      <c r="N1545" s="4" t="s">
        <v>607</v>
      </c>
      <c r="O1545" s="4"/>
      <c r="P1545" s="4"/>
      <c r="T1545" s="4"/>
    </row>
    <row r="1546">
      <c r="A1546" s="4" t="s">
        <v>4835</v>
      </c>
      <c r="B1546" s="4" t="s">
        <v>607</v>
      </c>
      <c r="C1546" s="6" t="s">
        <v>607</v>
      </c>
      <c r="D1546" s="6" t="s">
        <v>607</v>
      </c>
      <c r="E1546" s="6" t="s">
        <v>607</v>
      </c>
      <c r="F1546" s="6" t="s">
        <v>607</v>
      </c>
      <c r="G1546" s="4" t="s">
        <v>607</v>
      </c>
      <c r="H1546" s="4" t="s">
        <v>607</v>
      </c>
      <c r="I1546" s="4" t="s">
        <v>607</v>
      </c>
      <c r="J1546" s="4" t="s">
        <v>607</v>
      </c>
      <c r="K1546" s="4" t="s">
        <v>607</v>
      </c>
      <c r="L1546" s="4" t="s">
        <v>607</v>
      </c>
      <c r="M1546" s="4" t="s">
        <v>607</v>
      </c>
      <c r="N1546" s="4" t="s">
        <v>607</v>
      </c>
      <c r="O1546" s="4"/>
      <c r="P1546" s="4"/>
      <c r="T1546" s="4"/>
    </row>
    <row r="1547">
      <c r="A1547" s="4" t="s">
        <v>4836</v>
      </c>
      <c r="B1547" s="4" t="s">
        <v>607</v>
      </c>
      <c r="C1547" s="6" t="s">
        <v>607</v>
      </c>
      <c r="D1547" s="6" t="s">
        <v>607</v>
      </c>
      <c r="E1547" s="6" t="s">
        <v>607</v>
      </c>
      <c r="F1547" s="6" t="s">
        <v>607</v>
      </c>
      <c r="G1547" s="4" t="s">
        <v>607</v>
      </c>
      <c r="H1547" s="4" t="s">
        <v>607</v>
      </c>
      <c r="I1547" s="4" t="s">
        <v>607</v>
      </c>
      <c r="J1547" s="4" t="s">
        <v>607</v>
      </c>
      <c r="K1547" s="4" t="s">
        <v>607</v>
      </c>
      <c r="L1547" s="4" t="s">
        <v>607</v>
      </c>
      <c r="M1547" s="4" t="s">
        <v>607</v>
      </c>
      <c r="N1547" s="4" t="s">
        <v>607</v>
      </c>
      <c r="O1547" s="4"/>
      <c r="P1547" s="4"/>
      <c r="T1547" s="4"/>
    </row>
    <row r="1548">
      <c r="A1548" s="4" t="s">
        <v>4837</v>
      </c>
      <c r="B1548" s="4" t="s">
        <v>607</v>
      </c>
      <c r="C1548" s="6" t="s">
        <v>607</v>
      </c>
      <c r="D1548" s="6" t="s">
        <v>607</v>
      </c>
      <c r="E1548" s="6" t="s">
        <v>607</v>
      </c>
      <c r="F1548" s="6" t="s">
        <v>607</v>
      </c>
      <c r="G1548" s="4" t="s">
        <v>607</v>
      </c>
      <c r="H1548" s="4" t="s">
        <v>607</v>
      </c>
      <c r="I1548" s="4" t="s">
        <v>607</v>
      </c>
      <c r="J1548" s="4" t="s">
        <v>607</v>
      </c>
      <c r="K1548" s="4" t="s">
        <v>607</v>
      </c>
      <c r="L1548" s="4" t="s">
        <v>607</v>
      </c>
      <c r="M1548" s="4" t="s">
        <v>607</v>
      </c>
      <c r="N1548" s="4" t="s">
        <v>607</v>
      </c>
      <c r="O1548" s="4"/>
      <c r="P1548" s="4"/>
      <c r="T1548" s="4"/>
    </row>
    <row r="1549">
      <c r="A1549" s="4" t="s">
        <v>4838</v>
      </c>
      <c r="B1549" s="4" t="s">
        <v>607</v>
      </c>
      <c r="C1549" s="6" t="s">
        <v>607</v>
      </c>
      <c r="D1549" s="6" t="s">
        <v>607</v>
      </c>
      <c r="E1549" s="6" t="s">
        <v>607</v>
      </c>
      <c r="F1549" s="6" t="s">
        <v>607</v>
      </c>
      <c r="G1549" s="4" t="s">
        <v>607</v>
      </c>
      <c r="H1549" s="4" t="s">
        <v>607</v>
      </c>
      <c r="I1549" s="4" t="s">
        <v>607</v>
      </c>
      <c r="J1549" s="4" t="s">
        <v>607</v>
      </c>
      <c r="K1549" s="4" t="s">
        <v>607</v>
      </c>
      <c r="L1549" s="4" t="s">
        <v>607</v>
      </c>
      <c r="M1549" s="4" t="s">
        <v>607</v>
      </c>
      <c r="N1549" s="4" t="s">
        <v>607</v>
      </c>
      <c r="O1549" s="4"/>
      <c r="P1549" s="4"/>
      <c r="T1549" s="4"/>
    </row>
    <row r="1550">
      <c r="A1550" s="4" t="s">
        <v>4839</v>
      </c>
      <c r="B1550" s="4" t="s">
        <v>607</v>
      </c>
      <c r="C1550" s="6" t="s">
        <v>607</v>
      </c>
      <c r="D1550" s="6" t="s">
        <v>607</v>
      </c>
      <c r="E1550" s="6" t="s">
        <v>607</v>
      </c>
      <c r="F1550" s="6" t="s">
        <v>607</v>
      </c>
      <c r="G1550" s="4" t="s">
        <v>607</v>
      </c>
      <c r="H1550" s="4" t="s">
        <v>607</v>
      </c>
      <c r="I1550" s="4" t="s">
        <v>607</v>
      </c>
      <c r="J1550" s="4" t="s">
        <v>607</v>
      </c>
      <c r="K1550" s="4" t="s">
        <v>607</v>
      </c>
      <c r="L1550" s="4" t="s">
        <v>607</v>
      </c>
      <c r="M1550" s="4" t="s">
        <v>607</v>
      </c>
      <c r="N1550" s="4" t="s">
        <v>607</v>
      </c>
      <c r="O1550" s="4"/>
      <c r="P1550" s="4"/>
      <c r="T1550" s="4"/>
    </row>
    <row r="1551">
      <c r="A1551" s="4" t="s">
        <v>4840</v>
      </c>
      <c r="B1551" s="4" t="s">
        <v>607</v>
      </c>
      <c r="C1551" s="6" t="s">
        <v>607</v>
      </c>
      <c r="D1551" s="6" t="s">
        <v>607</v>
      </c>
      <c r="E1551" s="6" t="s">
        <v>607</v>
      </c>
      <c r="F1551" s="6" t="s">
        <v>607</v>
      </c>
      <c r="G1551" s="4" t="s">
        <v>607</v>
      </c>
      <c r="H1551" s="4" t="s">
        <v>607</v>
      </c>
      <c r="I1551" s="4" t="s">
        <v>607</v>
      </c>
      <c r="J1551" s="4" t="s">
        <v>607</v>
      </c>
      <c r="K1551" s="4" t="s">
        <v>607</v>
      </c>
      <c r="L1551" s="4" t="s">
        <v>607</v>
      </c>
      <c r="M1551" s="4" t="s">
        <v>607</v>
      </c>
      <c r="N1551" s="4" t="s">
        <v>607</v>
      </c>
      <c r="O1551" s="4"/>
      <c r="P1551" s="4"/>
      <c r="T1551" s="4"/>
    </row>
    <row r="1552">
      <c r="A1552" s="4" t="s">
        <v>4841</v>
      </c>
      <c r="B1552" s="4" t="s">
        <v>607</v>
      </c>
      <c r="C1552" s="6" t="s">
        <v>607</v>
      </c>
      <c r="D1552" s="6" t="s">
        <v>607</v>
      </c>
      <c r="E1552" s="6" t="s">
        <v>607</v>
      </c>
      <c r="F1552" s="6" t="s">
        <v>607</v>
      </c>
      <c r="G1552" s="4" t="s">
        <v>607</v>
      </c>
      <c r="H1552" s="4" t="s">
        <v>607</v>
      </c>
      <c r="I1552" s="4" t="s">
        <v>607</v>
      </c>
      <c r="J1552" s="4" t="s">
        <v>607</v>
      </c>
      <c r="K1552" s="4" t="s">
        <v>607</v>
      </c>
      <c r="L1552" s="4" t="s">
        <v>607</v>
      </c>
      <c r="M1552" s="4" t="s">
        <v>607</v>
      </c>
      <c r="N1552" s="4" t="s">
        <v>607</v>
      </c>
      <c r="O1552" s="4"/>
      <c r="P1552" s="4"/>
      <c r="T1552" s="4"/>
    </row>
    <row r="1553">
      <c r="A1553" s="4" t="s">
        <v>4842</v>
      </c>
      <c r="B1553" s="4" t="s">
        <v>607</v>
      </c>
      <c r="C1553" s="6" t="s">
        <v>607</v>
      </c>
      <c r="D1553" s="6" t="s">
        <v>607</v>
      </c>
      <c r="E1553" s="6" t="s">
        <v>607</v>
      </c>
      <c r="F1553" s="6" t="s">
        <v>607</v>
      </c>
      <c r="G1553" s="4" t="s">
        <v>607</v>
      </c>
      <c r="H1553" s="4" t="s">
        <v>607</v>
      </c>
      <c r="I1553" s="4" t="s">
        <v>607</v>
      </c>
      <c r="J1553" s="4" t="s">
        <v>607</v>
      </c>
      <c r="K1553" s="4" t="s">
        <v>607</v>
      </c>
      <c r="L1553" s="4" t="s">
        <v>607</v>
      </c>
      <c r="M1553" s="4" t="s">
        <v>607</v>
      </c>
      <c r="N1553" s="4" t="s">
        <v>607</v>
      </c>
      <c r="O1553" s="4"/>
      <c r="P1553" s="4"/>
      <c r="T1553" s="4"/>
    </row>
    <row r="1554">
      <c r="A1554" s="4" t="s">
        <v>4843</v>
      </c>
      <c r="B1554" s="4" t="s">
        <v>607</v>
      </c>
      <c r="C1554" s="6" t="s">
        <v>607</v>
      </c>
      <c r="D1554" s="6" t="s">
        <v>607</v>
      </c>
      <c r="E1554" s="6" t="s">
        <v>607</v>
      </c>
      <c r="F1554" s="6" t="s">
        <v>607</v>
      </c>
      <c r="G1554" s="4" t="s">
        <v>607</v>
      </c>
      <c r="H1554" s="4" t="s">
        <v>607</v>
      </c>
      <c r="I1554" s="4" t="s">
        <v>607</v>
      </c>
      <c r="J1554" s="4" t="s">
        <v>607</v>
      </c>
      <c r="K1554" s="4" t="s">
        <v>607</v>
      </c>
      <c r="L1554" s="4" t="s">
        <v>607</v>
      </c>
      <c r="M1554" s="4" t="s">
        <v>607</v>
      </c>
      <c r="N1554" s="4" t="s">
        <v>607</v>
      </c>
      <c r="O1554" s="4"/>
      <c r="P1554" s="4"/>
      <c r="T1554" s="4"/>
    </row>
    <row r="1555">
      <c r="A1555" s="4" t="s">
        <v>4844</v>
      </c>
      <c r="B1555" s="4" t="s">
        <v>607</v>
      </c>
      <c r="C1555" s="6" t="s">
        <v>607</v>
      </c>
      <c r="D1555" s="6" t="s">
        <v>607</v>
      </c>
      <c r="E1555" s="6" t="s">
        <v>607</v>
      </c>
      <c r="F1555" s="6" t="s">
        <v>607</v>
      </c>
      <c r="G1555" s="4" t="s">
        <v>607</v>
      </c>
      <c r="H1555" s="4" t="s">
        <v>607</v>
      </c>
      <c r="I1555" s="4" t="s">
        <v>607</v>
      </c>
      <c r="J1555" s="4" t="s">
        <v>607</v>
      </c>
      <c r="K1555" s="4" t="s">
        <v>607</v>
      </c>
      <c r="L1555" s="4" t="s">
        <v>607</v>
      </c>
      <c r="M1555" s="4" t="s">
        <v>607</v>
      </c>
      <c r="N1555" s="4" t="s">
        <v>607</v>
      </c>
      <c r="O1555" s="4"/>
      <c r="P1555" s="4"/>
      <c r="T1555" s="4"/>
    </row>
    <row r="1556">
      <c r="A1556" s="4" t="s">
        <v>4845</v>
      </c>
      <c r="B1556" s="4" t="s">
        <v>607</v>
      </c>
      <c r="C1556" s="6" t="s">
        <v>607</v>
      </c>
      <c r="D1556" s="6" t="s">
        <v>607</v>
      </c>
      <c r="E1556" s="6" t="s">
        <v>607</v>
      </c>
      <c r="F1556" s="6" t="s">
        <v>607</v>
      </c>
      <c r="G1556" s="4" t="s">
        <v>607</v>
      </c>
      <c r="H1556" s="4" t="s">
        <v>607</v>
      </c>
      <c r="I1556" s="4" t="s">
        <v>607</v>
      </c>
      <c r="J1556" s="4" t="s">
        <v>607</v>
      </c>
      <c r="K1556" s="4" t="s">
        <v>607</v>
      </c>
      <c r="L1556" s="4" t="s">
        <v>607</v>
      </c>
      <c r="M1556" s="4" t="s">
        <v>607</v>
      </c>
      <c r="N1556" s="4" t="s">
        <v>607</v>
      </c>
      <c r="O1556" s="4"/>
      <c r="P1556" s="4"/>
      <c r="T1556" s="4"/>
    </row>
    <row r="1557">
      <c r="A1557" s="4" t="s">
        <v>4846</v>
      </c>
      <c r="B1557" s="4" t="s">
        <v>607</v>
      </c>
      <c r="C1557" s="6" t="s">
        <v>607</v>
      </c>
      <c r="D1557" s="6" t="s">
        <v>607</v>
      </c>
      <c r="E1557" s="6" t="s">
        <v>607</v>
      </c>
      <c r="F1557" s="6" t="s">
        <v>607</v>
      </c>
      <c r="G1557" s="4" t="s">
        <v>607</v>
      </c>
      <c r="H1557" s="4" t="s">
        <v>607</v>
      </c>
      <c r="I1557" s="4" t="s">
        <v>607</v>
      </c>
      <c r="J1557" s="4" t="s">
        <v>607</v>
      </c>
      <c r="K1557" s="4" t="s">
        <v>607</v>
      </c>
      <c r="L1557" s="4" t="s">
        <v>607</v>
      </c>
      <c r="M1557" s="4" t="s">
        <v>607</v>
      </c>
      <c r="N1557" s="4" t="s">
        <v>607</v>
      </c>
      <c r="O1557" s="4"/>
      <c r="P1557" s="4"/>
      <c r="T1557" s="4"/>
    </row>
    <row r="1558">
      <c r="A1558" s="4" t="s">
        <v>4847</v>
      </c>
      <c r="B1558" s="4" t="s">
        <v>607</v>
      </c>
      <c r="C1558" s="6" t="s">
        <v>607</v>
      </c>
      <c r="D1558" s="6" t="s">
        <v>607</v>
      </c>
      <c r="E1558" s="6" t="s">
        <v>607</v>
      </c>
      <c r="F1558" s="6" t="s">
        <v>607</v>
      </c>
      <c r="G1558" s="4" t="s">
        <v>607</v>
      </c>
      <c r="H1558" s="4" t="s">
        <v>607</v>
      </c>
      <c r="I1558" s="4" t="s">
        <v>607</v>
      </c>
      <c r="J1558" s="4" t="s">
        <v>607</v>
      </c>
      <c r="K1558" s="4" t="s">
        <v>607</v>
      </c>
      <c r="L1558" s="4" t="s">
        <v>607</v>
      </c>
      <c r="M1558" s="4" t="s">
        <v>607</v>
      </c>
      <c r="N1558" s="4" t="s">
        <v>607</v>
      </c>
      <c r="O1558" s="4"/>
      <c r="P1558" s="4"/>
      <c r="T1558" s="4"/>
    </row>
    <row r="1559">
      <c r="A1559" s="4" t="s">
        <v>4848</v>
      </c>
      <c r="B1559" s="4" t="s">
        <v>607</v>
      </c>
      <c r="C1559" s="6" t="s">
        <v>607</v>
      </c>
      <c r="D1559" s="6" t="s">
        <v>607</v>
      </c>
      <c r="E1559" s="6" t="s">
        <v>607</v>
      </c>
      <c r="F1559" s="6" t="s">
        <v>607</v>
      </c>
      <c r="G1559" s="4" t="s">
        <v>607</v>
      </c>
      <c r="H1559" s="4" t="s">
        <v>607</v>
      </c>
      <c r="I1559" s="4" t="s">
        <v>607</v>
      </c>
      <c r="J1559" s="4" t="s">
        <v>607</v>
      </c>
      <c r="K1559" s="4" t="s">
        <v>607</v>
      </c>
      <c r="L1559" s="4" t="s">
        <v>607</v>
      </c>
      <c r="M1559" s="4" t="s">
        <v>607</v>
      </c>
      <c r="N1559" s="4" t="s">
        <v>607</v>
      </c>
      <c r="O1559" s="4"/>
      <c r="P1559" s="4"/>
      <c r="T1559" s="4"/>
    </row>
    <row r="1560">
      <c r="A1560" s="4" t="s">
        <v>4849</v>
      </c>
      <c r="B1560" s="4" t="s">
        <v>607</v>
      </c>
      <c r="C1560" s="6" t="s">
        <v>607</v>
      </c>
      <c r="D1560" s="6" t="s">
        <v>607</v>
      </c>
      <c r="E1560" s="6" t="s">
        <v>607</v>
      </c>
      <c r="F1560" s="6" t="s">
        <v>607</v>
      </c>
      <c r="G1560" s="4" t="s">
        <v>607</v>
      </c>
      <c r="H1560" s="4" t="s">
        <v>607</v>
      </c>
      <c r="I1560" s="4" t="s">
        <v>607</v>
      </c>
      <c r="J1560" s="4" t="s">
        <v>607</v>
      </c>
      <c r="K1560" s="4" t="s">
        <v>607</v>
      </c>
      <c r="L1560" s="4" t="s">
        <v>607</v>
      </c>
      <c r="M1560" s="4" t="s">
        <v>607</v>
      </c>
      <c r="N1560" s="4" t="s">
        <v>607</v>
      </c>
      <c r="O1560" s="4"/>
      <c r="P1560" s="4"/>
      <c r="T1560" s="4"/>
    </row>
    <row r="1561">
      <c r="A1561" s="4" t="s">
        <v>4850</v>
      </c>
      <c r="B1561" s="4" t="s">
        <v>607</v>
      </c>
      <c r="C1561" s="6" t="s">
        <v>607</v>
      </c>
      <c r="D1561" s="6" t="s">
        <v>607</v>
      </c>
      <c r="E1561" s="6" t="s">
        <v>607</v>
      </c>
      <c r="F1561" s="6" t="s">
        <v>607</v>
      </c>
      <c r="G1561" s="4" t="s">
        <v>607</v>
      </c>
      <c r="H1561" s="4" t="s">
        <v>607</v>
      </c>
      <c r="I1561" s="4" t="s">
        <v>607</v>
      </c>
      <c r="J1561" s="4" t="s">
        <v>607</v>
      </c>
      <c r="K1561" s="4" t="s">
        <v>607</v>
      </c>
      <c r="L1561" s="4" t="s">
        <v>607</v>
      </c>
      <c r="M1561" s="4" t="s">
        <v>607</v>
      </c>
      <c r="N1561" s="4" t="s">
        <v>607</v>
      </c>
      <c r="O1561" s="4"/>
      <c r="P1561" s="4"/>
      <c r="T1561" s="4"/>
    </row>
    <row r="1562">
      <c r="A1562" s="4" t="s">
        <v>4851</v>
      </c>
      <c r="B1562" s="4" t="s">
        <v>607</v>
      </c>
      <c r="C1562" s="6" t="s">
        <v>607</v>
      </c>
      <c r="D1562" s="6" t="s">
        <v>607</v>
      </c>
      <c r="E1562" s="6" t="s">
        <v>607</v>
      </c>
      <c r="F1562" s="6" t="s">
        <v>607</v>
      </c>
      <c r="G1562" s="4" t="s">
        <v>607</v>
      </c>
      <c r="H1562" s="4" t="s">
        <v>607</v>
      </c>
      <c r="I1562" s="4" t="s">
        <v>607</v>
      </c>
      <c r="J1562" s="4" t="s">
        <v>607</v>
      </c>
      <c r="K1562" s="4" t="s">
        <v>607</v>
      </c>
      <c r="L1562" s="4" t="s">
        <v>607</v>
      </c>
      <c r="M1562" s="4" t="s">
        <v>607</v>
      </c>
      <c r="N1562" s="4" t="s">
        <v>607</v>
      </c>
      <c r="O1562" s="4"/>
      <c r="P1562" s="4"/>
      <c r="T1562" s="4"/>
    </row>
    <row r="1563">
      <c r="A1563" s="4" t="s">
        <v>4852</v>
      </c>
      <c r="B1563" s="4" t="s">
        <v>607</v>
      </c>
      <c r="C1563" s="6" t="s">
        <v>607</v>
      </c>
      <c r="D1563" s="6" t="s">
        <v>607</v>
      </c>
      <c r="E1563" s="6" t="s">
        <v>607</v>
      </c>
      <c r="F1563" s="6" t="s">
        <v>607</v>
      </c>
      <c r="G1563" s="4" t="s">
        <v>607</v>
      </c>
      <c r="H1563" s="4" t="s">
        <v>607</v>
      </c>
      <c r="I1563" s="4" t="s">
        <v>607</v>
      </c>
      <c r="J1563" s="4" t="s">
        <v>607</v>
      </c>
      <c r="K1563" s="4" t="s">
        <v>607</v>
      </c>
      <c r="L1563" s="4" t="s">
        <v>607</v>
      </c>
      <c r="M1563" s="4" t="s">
        <v>607</v>
      </c>
      <c r="N1563" s="4" t="s">
        <v>607</v>
      </c>
      <c r="O1563" s="4"/>
      <c r="P1563" s="4"/>
      <c r="T1563" s="4"/>
    </row>
    <row r="1564">
      <c r="A1564" s="4" t="s">
        <v>4853</v>
      </c>
      <c r="B1564" s="4" t="s">
        <v>607</v>
      </c>
      <c r="C1564" s="6" t="s">
        <v>607</v>
      </c>
      <c r="D1564" s="6" t="s">
        <v>607</v>
      </c>
      <c r="E1564" s="6" t="s">
        <v>607</v>
      </c>
      <c r="F1564" s="6" t="s">
        <v>607</v>
      </c>
      <c r="G1564" s="4" t="s">
        <v>607</v>
      </c>
      <c r="H1564" s="4" t="s">
        <v>607</v>
      </c>
      <c r="I1564" s="4" t="s">
        <v>607</v>
      </c>
      <c r="J1564" s="4" t="s">
        <v>607</v>
      </c>
      <c r="K1564" s="4" t="s">
        <v>607</v>
      </c>
      <c r="L1564" s="4" t="s">
        <v>607</v>
      </c>
      <c r="M1564" s="4" t="s">
        <v>607</v>
      </c>
      <c r="N1564" s="4" t="s">
        <v>607</v>
      </c>
      <c r="O1564" s="4"/>
      <c r="P1564" s="4"/>
      <c r="T1564" s="4"/>
    </row>
    <row r="1565">
      <c r="A1565" s="4" t="s">
        <v>4854</v>
      </c>
      <c r="B1565" s="4" t="s">
        <v>607</v>
      </c>
      <c r="C1565" s="6" t="s">
        <v>607</v>
      </c>
      <c r="D1565" s="6" t="s">
        <v>607</v>
      </c>
      <c r="E1565" s="6" t="s">
        <v>607</v>
      </c>
      <c r="F1565" s="6" t="s">
        <v>607</v>
      </c>
      <c r="G1565" s="4" t="s">
        <v>607</v>
      </c>
      <c r="H1565" s="4" t="s">
        <v>607</v>
      </c>
      <c r="I1565" s="4" t="s">
        <v>607</v>
      </c>
      <c r="J1565" s="4" t="s">
        <v>607</v>
      </c>
      <c r="K1565" s="4" t="s">
        <v>607</v>
      </c>
      <c r="L1565" s="4" t="s">
        <v>607</v>
      </c>
      <c r="M1565" s="4" t="s">
        <v>607</v>
      </c>
      <c r="N1565" s="4" t="s">
        <v>607</v>
      </c>
      <c r="O1565" s="4"/>
      <c r="P1565" s="4"/>
      <c r="T1565" s="4"/>
    </row>
    <row r="1566">
      <c r="A1566" s="4" t="s">
        <v>4855</v>
      </c>
      <c r="B1566" s="4" t="s">
        <v>607</v>
      </c>
      <c r="C1566" s="6" t="s">
        <v>607</v>
      </c>
      <c r="D1566" s="6" t="s">
        <v>607</v>
      </c>
      <c r="E1566" s="6" t="s">
        <v>607</v>
      </c>
      <c r="F1566" s="6" t="s">
        <v>607</v>
      </c>
      <c r="G1566" s="4" t="s">
        <v>607</v>
      </c>
      <c r="H1566" s="4" t="s">
        <v>607</v>
      </c>
      <c r="I1566" s="4" t="s">
        <v>607</v>
      </c>
      <c r="J1566" s="4" t="s">
        <v>607</v>
      </c>
      <c r="K1566" s="4" t="s">
        <v>607</v>
      </c>
      <c r="L1566" s="4" t="s">
        <v>607</v>
      </c>
      <c r="M1566" s="4" t="s">
        <v>607</v>
      </c>
      <c r="N1566" s="4" t="s">
        <v>607</v>
      </c>
      <c r="O1566" s="4"/>
      <c r="P1566" s="4"/>
      <c r="T1566" s="4"/>
    </row>
    <row r="1567">
      <c r="A1567" s="4" t="s">
        <v>4856</v>
      </c>
      <c r="B1567" s="4" t="s">
        <v>607</v>
      </c>
      <c r="C1567" s="6" t="s">
        <v>607</v>
      </c>
      <c r="D1567" s="6" t="s">
        <v>607</v>
      </c>
      <c r="E1567" s="6" t="s">
        <v>607</v>
      </c>
      <c r="F1567" s="6" t="s">
        <v>607</v>
      </c>
      <c r="G1567" s="4" t="s">
        <v>607</v>
      </c>
      <c r="H1567" s="4" t="s">
        <v>607</v>
      </c>
      <c r="I1567" s="4" t="s">
        <v>607</v>
      </c>
      <c r="J1567" s="4" t="s">
        <v>607</v>
      </c>
      <c r="K1567" s="4" t="s">
        <v>607</v>
      </c>
      <c r="L1567" s="4" t="s">
        <v>607</v>
      </c>
      <c r="M1567" s="4" t="s">
        <v>607</v>
      </c>
      <c r="N1567" s="4" t="s">
        <v>607</v>
      </c>
      <c r="O1567" s="4"/>
      <c r="P1567" s="4"/>
      <c r="T1567" s="4"/>
    </row>
    <row r="1568">
      <c r="A1568" s="4" t="s">
        <v>4857</v>
      </c>
      <c r="B1568" s="4" t="s">
        <v>607</v>
      </c>
      <c r="C1568" s="6" t="s">
        <v>607</v>
      </c>
      <c r="D1568" s="6" t="s">
        <v>607</v>
      </c>
      <c r="E1568" s="6" t="s">
        <v>607</v>
      </c>
      <c r="F1568" s="6" t="s">
        <v>607</v>
      </c>
      <c r="G1568" s="4" t="s">
        <v>607</v>
      </c>
      <c r="H1568" s="4" t="s">
        <v>607</v>
      </c>
      <c r="I1568" s="4" t="s">
        <v>607</v>
      </c>
      <c r="J1568" s="4" t="s">
        <v>607</v>
      </c>
      <c r="K1568" s="4" t="s">
        <v>607</v>
      </c>
      <c r="L1568" s="4" t="s">
        <v>607</v>
      </c>
      <c r="M1568" s="4" t="s">
        <v>607</v>
      </c>
      <c r="N1568" s="4" t="s">
        <v>607</v>
      </c>
      <c r="O1568" s="4"/>
      <c r="P1568" s="4"/>
      <c r="T1568" s="4"/>
    </row>
    <row r="1569">
      <c r="A1569" s="4" t="s">
        <v>4858</v>
      </c>
      <c r="B1569" s="4" t="s">
        <v>607</v>
      </c>
      <c r="C1569" s="6" t="s">
        <v>607</v>
      </c>
      <c r="D1569" s="6" t="s">
        <v>607</v>
      </c>
      <c r="E1569" s="6" t="s">
        <v>607</v>
      </c>
      <c r="F1569" s="6" t="s">
        <v>607</v>
      </c>
      <c r="G1569" s="4" t="s">
        <v>607</v>
      </c>
      <c r="H1569" s="4" t="s">
        <v>607</v>
      </c>
      <c r="I1569" s="4" t="s">
        <v>607</v>
      </c>
      <c r="J1569" s="4" t="s">
        <v>607</v>
      </c>
      <c r="K1569" s="4" t="s">
        <v>607</v>
      </c>
      <c r="L1569" s="4" t="s">
        <v>607</v>
      </c>
      <c r="M1569" s="4" t="s">
        <v>607</v>
      </c>
      <c r="N1569" s="4" t="s">
        <v>607</v>
      </c>
      <c r="O1569" s="4"/>
      <c r="P1569" s="4"/>
      <c r="T1569" s="4"/>
    </row>
    <row r="1570">
      <c r="A1570" s="4" t="s">
        <v>4859</v>
      </c>
      <c r="B1570" s="4" t="s">
        <v>607</v>
      </c>
      <c r="C1570" s="6" t="s">
        <v>607</v>
      </c>
      <c r="D1570" s="6" t="s">
        <v>607</v>
      </c>
      <c r="E1570" s="6" t="s">
        <v>607</v>
      </c>
      <c r="F1570" s="6" t="s">
        <v>607</v>
      </c>
      <c r="G1570" s="4" t="s">
        <v>607</v>
      </c>
      <c r="H1570" s="4" t="s">
        <v>607</v>
      </c>
      <c r="I1570" s="4" t="s">
        <v>607</v>
      </c>
      <c r="J1570" s="4" t="s">
        <v>607</v>
      </c>
      <c r="K1570" s="4" t="s">
        <v>607</v>
      </c>
      <c r="L1570" s="4" t="s">
        <v>607</v>
      </c>
      <c r="M1570" s="4" t="s">
        <v>607</v>
      </c>
      <c r="N1570" s="4" t="s">
        <v>607</v>
      </c>
      <c r="O1570" s="4"/>
      <c r="P1570" s="4"/>
      <c r="T1570" s="4"/>
    </row>
    <row r="1571">
      <c r="A1571" s="4" t="s">
        <v>4860</v>
      </c>
      <c r="B1571" s="4" t="s">
        <v>607</v>
      </c>
      <c r="C1571" s="6" t="s">
        <v>607</v>
      </c>
      <c r="D1571" s="6" t="s">
        <v>607</v>
      </c>
      <c r="E1571" s="6" t="s">
        <v>607</v>
      </c>
      <c r="F1571" s="6" t="s">
        <v>607</v>
      </c>
      <c r="G1571" s="4" t="s">
        <v>607</v>
      </c>
      <c r="H1571" s="4" t="s">
        <v>607</v>
      </c>
      <c r="I1571" s="4" t="s">
        <v>607</v>
      </c>
      <c r="J1571" s="4" t="s">
        <v>607</v>
      </c>
      <c r="K1571" s="4" t="s">
        <v>607</v>
      </c>
      <c r="L1571" s="4" t="s">
        <v>607</v>
      </c>
      <c r="M1571" s="4" t="s">
        <v>607</v>
      </c>
      <c r="N1571" s="4" t="s">
        <v>607</v>
      </c>
      <c r="O1571" s="4"/>
      <c r="P1571" s="4"/>
      <c r="T1571" s="4"/>
    </row>
    <row r="1572">
      <c r="A1572" s="4" t="s">
        <v>4861</v>
      </c>
      <c r="B1572" s="4" t="s">
        <v>607</v>
      </c>
      <c r="C1572" s="6" t="s">
        <v>607</v>
      </c>
      <c r="D1572" s="6" t="s">
        <v>607</v>
      </c>
      <c r="E1572" s="6" t="s">
        <v>607</v>
      </c>
      <c r="F1572" s="6" t="s">
        <v>607</v>
      </c>
      <c r="G1572" s="4" t="s">
        <v>607</v>
      </c>
      <c r="H1572" s="4" t="s">
        <v>607</v>
      </c>
      <c r="I1572" s="4" t="s">
        <v>607</v>
      </c>
      <c r="J1572" s="4" t="s">
        <v>607</v>
      </c>
      <c r="K1572" s="4" t="s">
        <v>607</v>
      </c>
      <c r="L1572" s="4" t="s">
        <v>607</v>
      </c>
      <c r="M1572" s="4" t="s">
        <v>607</v>
      </c>
      <c r="N1572" s="4" t="s">
        <v>607</v>
      </c>
      <c r="O1572" s="4"/>
      <c r="P1572" s="4"/>
      <c r="T1572" s="4"/>
    </row>
    <row r="1573">
      <c r="A1573" s="4" t="s">
        <v>4862</v>
      </c>
      <c r="B1573" s="4" t="s">
        <v>607</v>
      </c>
      <c r="C1573" s="6" t="s">
        <v>607</v>
      </c>
      <c r="D1573" s="6" t="s">
        <v>607</v>
      </c>
      <c r="E1573" s="6" t="s">
        <v>607</v>
      </c>
      <c r="F1573" s="6" t="s">
        <v>607</v>
      </c>
      <c r="G1573" s="4" t="s">
        <v>607</v>
      </c>
      <c r="H1573" s="4" t="s">
        <v>607</v>
      </c>
      <c r="I1573" s="4" t="s">
        <v>607</v>
      </c>
      <c r="J1573" s="4" t="s">
        <v>607</v>
      </c>
      <c r="K1573" s="4" t="s">
        <v>607</v>
      </c>
      <c r="L1573" s="4" t="s">
        <v>607</v>
      </c>
      <c r="M1573" s="4" t="s">
        <v>607</v>
      </c>
      <c r="N1573" s="4" t="s">
        <v>607</v>
      </c>
      <c r="O1573" s="4"/>
      <c r="P1573" s="4"/>
      <c r="T1573" s="4"/>
    </row>
    <row r="1574">
      <c r="A1574" s="4" t="s">
        <v>4863</v>
      </c>
      <c r="B1574" s="4" t="s">
        <v>607</v>
      </c>
      <c r="C1574" s="6" t="s">
        <v>607</v>
      </c>
      <c r="D1574" s="6" t="s">
        <v>607</v>
      </c>
      <c r="E1574" s="6" t="s">
        <v>607</v>
      </c>
      <c r="F1574" s="6" t="s">
        <v>607</v>
      </c>
      <c r="G1574" s="4" t="s">
        <v>607</v>
      </c>
      <c r="H1574" s="4" t="s">
        <v>607</v>
      </c>
      <c r="I1574" s="4" t="s">
        <v>607</v>
      </c>
      <c r="J1574" s="4" t="s">
        <v>607</v>
      </c>
      <c r="K1574" s="4" t="s">
        <v>607</v>
      </c>
      <c r="L1574" s="4" t="s">
        <v>607</v>
      </c>
      <c r="M1574" s="4" t="s">
        <v>607</v>
      </c>
      <c r="N1574" s="4" t="s">
        <v>607</v>
      </c>
      <c r="O1574" s="4"/>
      <c r="P1574" s="4"/>
      <c r="T1574" s="4"/>
    </row>
    <row r="1575">
      <c r="A1575" s="4" t="s">
        <v>4864</v>
      </c>
      <c r="B1575" s="4" t="s">
        <v>607</v>
      </c>
      <c r="C1575" s="6" t="s">
        <v>607</v>
      </c>
      <c r="D1575" s="6" t="s">
        <v>607</v>
      </c>
      <c r="E1575" s="6" t="s">
        <v>607</v>
      </c>
      <c r="F1575" s="6" t="s">
        <v>607</v>
      </c>
      <c r="G1575" s="4" t="s">
        <v>607</v>
      </c>
      <c r="H1575" s="4" t="s">
        <v>607</v>
      </c>
      <c r="I1575" s="4" t="s">
        <v>607</v>
      </c>
      <c r="J1575" s="4" t="s">
        <v>607</v>
      </c>
      <c r="K1575" s="4" t="s">
        <v>607</v>
      </c>
      <c r="L1575" s="4" t="s">
        <v>607</v>
      </c>
      <c r="M1575" s="4" t="s">
        <v>607</v>
      </c>
      <c r="N1575" s="4" t="s">
        <v>607</v>
      </c>
      <c r="O1575" s="4"/>
      <c r="P1575" s="4"/>
      <c r="T1575" s="4"/>
    </row>
    <row r="1576">
      <c r="A1576" s="4" t="s">
        <v>4865</v>
      </c>
      <c r="B1576" s="4" t="s">
        <v>607</v>
      </c>
      <c r="C1576" s="6" t="s">
        <v>607</v>
      </c>
      <c r="D1576" s="6" t="s">
        <v>607</v>
      </c>
      <c r="E1576" s="6" t="s">
        <v>607</v>
      </c>
      <c r="F1576" s="6" t="s">
        <v>607</v>
      </c>
      <c r="G1576" s="4" t="s">
        <v>607</v>
      </c>
      <c r="H1576" s="4" t="s">
        <v>607</v>
      </c>
      <c r="I1576" s="4" t="s">
        <v>607</v>
      </c>
      <c r="J1576" s="4" t="s">
        <v>607</v>
      </c>
      <c r="K1576" s="4" t="s">
        <v>607</v>
      </c>
      <c r="L1576" s="4" t="s">
        <v>607</v>
      </c>
      <c r="M1576" s="4" t="s">
        <v>607</v>
      </c>
      <c r="N1576" s="4" t="s">
        <v>607</v>
      </c>
      <c r="O1576" s="4"/>
      <c r="P1576" s="4"/>
      <c r="T1576" s="4"/>
    </row>
    <row r="1577">
      <c r="A1577" s="4" t="s">
        <v>4866</v>
      </c>
      <c r="B1577" s="4" t="s">
        <v>607</v>
      </c>
      <c r="C1577" s="6" t="s">
        <v>607</v>
      </c>
      <c r="D1577" s="6" t="s">
        <v>607</v>
      </c>
      <c r="E1577" s="6" t="s">
        <v>607</v>
      </c>
      <c r="F1577" s="6" t="s">
        <v>607</v>
      </c>
      <c r="G1577" s="4" t="s">
        <v>607</v>
      </c>
      <c r="H1577" s="4" t="s">
        <v>607</v>
      </c>
      <c r="I1577" s="4" t="s">
        <v>607</v>
      </c>
      <c r="J1577" s="4" t="s">
        <v>607</v>
      </c>
      <c r="K1577" s="4" t="s">
        <v>607</v>
      </c>
      <c r="L1577" s="4" t="s">
        <v>607</v>
      </c>
      <c r="M1577" s="4" t="s">
        <v>607</v>
      </c>
      <c r="N1577" s="4" t="s">
        <v>607</v>
      </c>
      <c r="O1577" s="4"/>
      <c r="P1577" s="4"/>
      <c r="T1577" s="4"/>
    </row>
    <row r="1578">
      <c r="A1578" s="4" t="s">
        <v>4867</v>
      </c>
      <c r="B1578" s="4" t="s">
        <v>607</v>
      </c>
      <c r="C1578" s="6" t="s">
        <v>607</v>
      </c>
      <c r="D1578" s="6" t="s">
        <v>607</v>
      </c>
      <c r="E1578" s="6" t="s">
        <v>607</v>
      </c>
      <c r="F1578" s="6" t="s">
        <v>607</v>
      </c>
      <c r="G1578" s="4" t="s">
        <v>607</v>
      </c>
      <c r="H1578" s="4" t="s">
        <v>607</v>
      </c>
      <c r="I1578" s="4" t="s">
        <v>607</v>
      </c>
      <c r="J1578" s="4" t="s">
        <v>607</v>
      </c>
      <c r="K1578" s="4" t="s">
        <v>607</v>
      </c>
      <c r="L1578" s="4" t="s">
        <v>607</v>
      </c>
      <c r="M1578" s="4" t="s">
        <v>607</v>
      </c>
      <c r="N1578" s="4" t="s">
        <v>607</v>
      </c>
      <c r="O1578" s="4"/>
      <c r="P1578" s="4"/>
      <c r="T1578" s="4"/>
    </row>
    <row r="1579">
      <c r="A1579" s="4" t="s">
        <v>4868</v>
      </c>
      <c r="B1579" s="4" t="s">
        <v>607</v>
      </c>
      <c r="C1579" s="6" t="s">
        <v>607</v>
      </c>
      <c r="D1579" s="6" t="s">
        <v>607</v>
      </c>
      <c r="E1579" s="6" t="s">
        <v>607</v>
      </c>
      <c r="F1579" s="6" t="s">
        <v>607</v>
      </c>
      <c r="G1579" s="4" t="s">
        <v>607</v>
      </c>
      <c r="H1579" s="4" t="s">
        <v>607</v>
      </c>
      <c r="I1579" s="4" t="s">
        <v>607</v>
      </c>
      <c r="J1579" s="4" t="s">
        <v>607</v>
      </c>
      <c r="K1579" s="4" t="s">
        <v>607</v>
      </c>
      <c r="L1579" s="4" t="s">
        <v>607</v>
      </c>
      <c r="M1579" s="4" t="s">
        <v>607</v>
      </c>
      <c r="N1579" s="4" t="s">
        <v>607</v>
      </c>
      <c r="O1579" s="4"/>
      <c r="P1579" s="4"/>
      <c r="T1579" s="4"/>
    </row>
    <row r="1580">
      <c r="A1580" s="4" t="s">
        <v>4869</v>
      </c>
      <c r="B1580" s="4" t="s">
        <v>607</v>
      </c>
      <c r="C1580" s="6" t="s">
        <v>607</v>
      </c>
      <c r="D1580" s="6" t="s">
        <v>607</v>
      </c>
      <c r="E1580" s="6" t="s">
        <v>607</v>
      </c>
      <c r="F1580" s="6" t="s">
        <v>607</v>
      </c>
      <c r="G1580" s="4" t="s">
        <v>607</v>
      </c>
      <c r="H1580" s="4" t="s">
        <v>607</v>
      </c>
      <c r="I1580" s="4" t="s">
        <v>607</v>
      </c>
      <c r="J1580" s="4" t="s">
        <v>607</v>
      </c>
      <c r="K1580" s="4" t="s">
        <v>607</v>
      </c>
      <c r="L1580" s="4" t="s">
        <v>607</v>
      </c>
      <c r="M1580" s="4" t="s">
        <v>607</v>
      </c>
      <c r="N1580" s="4" t="s">
        <v>607</v>
      </c>
      <c r="O1580" s="4"/>
      <c r="P1580" s="4"/>
      <c r="T1580" s="4"/>
    </row>
    <row r="1581">
      <c r="A1581" s="4" t="s">
        <v>4870</v>
      </c>
      <c r="B1581" s="4" t="s">
        <v>607</v>
      </c>
      <c r="C1581" s="6" t="s">
        <v>607</v>
      </c>
      <c r="D1581" s="6" t="s">
        <v>607</v>
      </c>
      <c r="E1581" s="6" t="s">
        <v>607</v>
      </c>
      <c r="F1581" s="6" t="s">
        <v>607</v>
      </c>
      <c r="G1581" s="4" t="s">
        <v>607</v>
      </c>
      <c r="H1581" s="4" t="s">
        <v>607</v>
      </c>
      <c r="I1581" s="4" t="s">
        <v>607</v>
      </c>
      <c r="J1581" s="4" t="s">
        <v>607</v>
      </c>
      <c r="K1581" s="4" t="s">
        <v>607</v>
      </c>
      <c r="L1581" s="4" t="s">
        <v>607</v>
      </c>
      <c r="M1581" s="4" t="s">
        <v>607</v>
      </c>
      <c r="N1581" s="4" t="s">
        <v>607</v>
      </c>
      <c r="O1581" s="4"/>
      <c r="P1581" s="4"/>
      <c r="T1581" s="4"/>
    </row>
    <row r="1582">
      <c r="A1582" s="4" t="s">
        <v>4871</v>
      </c>
      <c r="B1582" s="4" t="s">
        <v>607</v>
      </c>
      <c r="C1582" s="6" t="s">
        <v>607</v>
      </c>
      <c r="D1582" s="6" t="s">
        <v>607</v>
      </c>
      <c r="E1582" s="6" t="s">
        <v>607</v>
      </c>
      <c r="F1582" s="6" t="s">
        <v>607</v>
      </c>
      <c r="G1582" s="4" t="s">
        <v>607</v>
      </c>
      <c r="H1582" s="4" t="s">
        <v>607</v>
      </c>
      <c r="I1582" s="4" t="s">
        <v>607</v>
      </c>
      <c r="J1582" s="4" t="s">
        <v>607</v>
      </c>
      <c r="K1582" s="4" t="s">
        <v>607</v>
      </c>
      <c r="L1582" s="4" t="s">
        <v>607</v>
      </c>
      <c r="M1582" s="4" t="s">
        <v>607</v>
      </c>
      <c r="N1582" s="4" t="s">
        <v>607</v>
      </c>
      <c r="O1582" s="4"/>
      <c r="P1582" s="4"/>
      <c r="T1582" s="4"/>
    </row>
    <row r="1583">
      <c r="A1583" s="4" t="s">
        <v>4872</v>
      </c>
      <c r="B1583" s="4" t="s">
        <v>607</v>
      </c>
      <c r="C1583" s="6" t="s">
        <v>607</v>
      </c>
      <c r="D1583" s="6" t="s">
        <v>607</v>
      </c>
      <c r="E1583" s="6" t="s">
        <v>607</v>
      </c>
      <c r="F1583" s="6" t="s">
        <v>607</v>
      </c>
      <c r="G1583" s="4" t="s">
        <v>607</v>
      </c>
      <c r="H1583" s="4" t="s">
        <v>607</v>
      </c>
      <c r="I1583" s="4" t="s">
        <v>607</v>
      </c>
      <c r="J1583" s="4" t="s">
        <v>607</v>
      </c>
      <c r="K1583" s="4" t="s">
        <v>607</v>
      </c>
      <c r="L1583" s="4" t="s">
        <v>607</v>
      </c>
      <c r="M1583" s="4" t="s">
        <v>607</v>
      </c>
      <c r="N1583" s="4" t="s">
        <v>607</v>
      </c>
      <c r="O1583" s="4"/>
      <c r="P1583" s="4"/>
      <c r="T1583" s="4"/>
    </row>
    <row r="1584">
      <c r="A1584" s="4" t="s">
        <v>4873</v>
      </c>
      <c r="B1584" s="4" t="s">
        <v>607</v>
      </c>
      <c r="C1584" s="6" t="s">
        <v>607</v>
      </c>
      <c r="D1584" s="6" t="s">
        <v>607</v>
      </c>
      <c r="E1584" s="6" t="s">
        <v>607</v>
      </c>
      <c r="F1584" s="6" t="s">
        <v>607</v>
      </c>
      <c r="G1584" s="4" t="s">
        <v>607</v>
      </c>
      <c r="H1584" s="4" t="s">
        <v>607</v>
      </c>
      <c r="I1584" s="4" t="s">
        <v>607</v>
      </c>
      <c r="J1584" s="4" t="s">
        <v>607</v>
      </c>
      <c r="K1584" s="4" t="s">
        <v>607</v>
      </c>
      <c r="L1584" s="4" t="s">
        <v>607</v>
      </c>
      <c r="M1584" s="4" t="s">
        <v>607</v>
      </c>
      <c r="N1584" s="4" t="s">
        <v>607</v>
      </c>
      <c r="O1584" s="4"/>
      <c r="P1584" s="4"/>
      <c r="T1584" s="4"/>
    </row>
    <row r="1585">
      <c r="A1585" s="4" t="s">
        <v>4874</v>
      </c>
      <c r="B1585" s="4" t="s">
        <v>607</v>
      </c>
      <c r="C1585" s="6" t="s">
        <v>607</v>
      </c>
      <c r="D1585" s="6" t="s">
        <v>607</v>
      </c>
      <c r="E1585" s="6" t="s">
        <v>607</v>
      </c>
      <c r="F1585" s="6" t="s">
        <v>607</v>
      </c>
      <c r="G1585" s="4" t="s">
        <v>607</v>
      </c>
      <c r="H1585" s="4" t="s">
        <v>607</v>
      </c>
      <c r="I1585" s="4" t="s">
        <v>607</v>
      </c>
      <c r="J1585" s="4" t="s">
        <v>607</v>
      </c>
      <c r="K1585" s="4" t="s">
        <v>607</v>
      </c>
      <c r="L1585" s="4" t="s">
        <v>607</v>
      </c>
      <c r="M1585" s="4" t="s">
        <v>607</v>
      </c>
      <c r="N1585" s="4" t="s">
        <v>607</v>
      </c>
      <c r="O1585" s="4"/>
      <c r="P1585" s="4"/>
      <c r="T1585" s="4"/>
    </row>
    <row r="1586">
      <c r="A1586" s="4" t="s">
        <v>4875</v>
      </c>
      <c r="B1586" s="4" t="s">
        <v>607</v>
      </c>
      <c r="C1586" s="6" t="s">
        <v>607</v>
      </c>
      <c r="D1586" s="6" t="s">
        <v>607</v>
      </c>
      <c r="E1586" s="6" t="s">
        <v>607</v>
      </c>
      <c r="F1586" s="6" t="s">
        <v>607</v>
      </c>
      <c r="G1586" s="4" t="s">
        <v>607</v>
      </c>
      <c r="H1586" s="4" t="s">
        <v>607</v>
      </c>
      <c r="I1586" s="4" t="s">
        <v>607</v>
      </c>
      <c r="J1586" s="4" t="s">
        <v>607</v>
      </c>
      <c r="K1586" s="4" t="s">
        <v>607</v>
      </c>
      <c r="L1586" s="4" t="s">
        <v>607</v>
      </c>
      <c r="M1586" s="4" t="s">
        <v>607</v>
      </c>
      <c r="N1586" s="4" t="s">
        <v>607</v>
      </c>
      <c r="O1586" s="4"/>
      <c r="P1586" s="4"/>
      <c r="T1586" s="4"/>
    </row>
    <row r="1587">
      <c r="A1587" s="4" t="s">
        <v>4876</v>
      </c>
      <c r="B1587" s="4" t="s">
        <v>607</v>
      </c>
      <c r="C1587" s="6" t="s">
        <v>607</v>
      </c>
      <c r="D1587" s="6" t="s">
        <v>607</v>
      </c>
      <c r="E1587" s="6" t="s">
        <v>607</v>
      </c>
      <c r="F1587" s="6" t="s">
        <v>607</v>
      </c>
      <c r="G1587" s="4" t="s">
        <v>607</v>
      </c>
      <c r="H1587" s="4" t="s">
        <v>607</v>
      </c>
      <c r="I1587" s="4" t="s">
        <v>607</v>
      </c>
      <c r="J1587" s="4" t="s">
        <v>607</v>
      </c>
      <c r="K1587" s="4" t="s">
        <v>607</v>
      </c>
      <c r="L1587" s="4" t="s">
        <v>607</v>
      </c>
      <c r="M1587" s="4" t="s">
        <v>607</v>
      </c>
      <c r="N1587" s="4" t="s">
        <v>607</v>
      </c>
      <c r="O1587" s="4"/>
      <c r="P1587" s="4"/>
      <c r="T1587" s="4"/>
    </row>
    <row r="1588">
      <c r="A1588" s="4" t="s">
        <v>4877</v>
      </c>
      <c r="B1588" s="4" t="s">
        <v>607</v>
      </c>
      <c r="C1588" s="6" t="s">
        <v>607</v>
      </c>
      <c r="D1588" s="6" t="s">
        <v>607</v>
      </c>
      <c r="E1588" s="6" t="s">
        <v>607</v>
      </c>
      <c r="F1588" s="6" t="s">
        <v>607</v>
      </c>
      <c r="G1588" s="4" t="s">
        <v>607</v>
      </c>
      <c r="H1588" s="4" t="s">
        <v>607</v>
      </c>
      <c r="I1588" s="4" t="s">
        <v>607</v>
      </c>
      <c r="J1588" s="4" t="s">
        <v>607</v>
      </c>
      <c r="K1588" s="4" t="s">
        <v>607</v>
      </c>
      <c r="L1588" s="4" t="s">
        <v>607</v>
      </c>
      <c r="M1588" s="4" t="s">
        <v>607</v>
      </c>
      <c r="N1588" s="4" t="s">
        <v>607</v>
      </c>
      <c r="O1588" s="4"/>
      <c r="P1588" s="4"/>
      <c r="T1588" s="4"/>
    </row>
    <row r="1589">
      <c r="A1589" s="4" t="s">
        <v>4878</v>
      </c>
      <c r="B1589" s="4" t="s">
        <v>607</v>
      </c>
      <c r="C1589" s="6" t="s">
        <v>607</v>
      </c>
      <c r="D1589" s="6" t="s">
        <v>607</v>
      </c>
      <c r="E1589" s="6" t="s">
        <v>607</v>
      </c>
      <c r="F1589" s="6" t="s">
        <v>607</v>
      </c>
      <c r="G1589" s="4" t="s">
        <v>607</v>
      </c>
      <c r="H1589" s="4" t="s">
        <v>607</v>
      </c>
      <c r="I1589" s="4" t="s">
        <v>607</v>
      </c>
      <c r="J1589" s="4" t="s">
        <v>607</v>
      </c>
      <c r="K1589" s="4" t="s">
        <v>607</v>
      </c>
      <c r="L1589" s="4" t="s">
        <v>607</v>
      </c>
      <c r="M1589" s="4" t="s">
        <v>607</v>
      </c>
      <c r="N1589" s="4" t="s">
        <v>607</v>
      </c>
      <c r="O1589" s="4"/>
      <c r="P1589" s="4"/>
      <c r="T1589" s="4"/>
    </row>
    <row r="1590">
      <c r="A1590" s="4" t="s">
        <v>4879</v>
      </c>
      <c r="B1590" s="4" t="s">
        <v>607</v>
      </c>
      <c r="C1590" s="6" t="s">
        <v>607</v>
      </c>
      <c r="D1590" s="6" t="s">
        <v>607</v>
      </c>
      <c r="E1590" s="6" t="s">
        <v>607</v>
      </c>
      <c r="F1590" s="6" t="s">
        <v>607</v>
      </c>
      <c r="G1590" s="4" t="s">
        <v>607</v>
      </c>
      <c r="H1590" s="4" t="s">
        <v>607</v>
      </c>
      <c r="I1590" s="4" t="s">
        <v>607</v>
      </c>
      <c r="J1590" s="4" t="s">
        <v>607</v>
      </c>
      <c r="K1590" s="4" t="s">
        <v>607</v>
      </c>
      <c r="L1590" s="4" t="s">
        <v>607</v>
      </c>
      <c r="M1590" s="4" t="s">
        <v>607</v>
      </c>
      <c r="N1590" s="4" t="s">
        <v>607</v>
      </c>
      <c r="O1590" s="4"/>
      <c r="P1590" s="4"/>
      <c r="T1590" s="4"/>
    </row>
    <row r="1591">
      <c r="A1591" s="4" t="s">
        <v>4880</v>
      </c>
      <c r="B1591" s="4" t="s">
        <v>607</v>
      </c>
      <c r="C1591" s="6" t="s">
        <v>607</v>
      </c>
      <c r="D1591" s="6" t="s">
        <v>607</v>
      </c>
      <c r="E1591" s="6" t="s">
        <v>607</v>
      </c>
      <c r="F1591" s="6" t="s">
        <v>607</v>
      </c>
      <c r="G1591" s="4" t="s">
        <v>607</v>
      </c>
      <c r="H1591" s="4" t="s">
        <v>607</v>
      </c>
      <c r="I1591" s="4" t="s">
        <v>607</v>
      </c>
      <c r="J1591" s="4" t="s">
        <v>607</v>
      </c>
      <c r="K1591" s="4" t="s">
        <v>607</v>
      </c>
      <c r="L1591" s="4" t="s">
        <v>607</v>
      </c>
      <c r="M1591" s="4" t="s">
        <v>607</v>
      </c>
      <c r="N1591" s="4" t="s">
        <v>607</v>
      </c>
      <c r="O1591" s="4"/>
      <c r="P1591" s="4"/>
      <c r="T1591" s="4"/>
    </row>
    <row r="1592">
      <c r="A1592" s="4" t="s">
        <v>4881</v>
      </c>
      <c r="B1592" s="4" t="s">
        <v>607</v>
      </c>
      <c r="C1592" s="6" t="s">
        <v>607</v>
      </c>
      <c r="D1592" s="6" t="s">
        <v>607</v>
      </c>
      <c r="E1592" s="6" t="s">
        <v>607</v>
      </c>
      <c r="F1592" s="6" t="s">
        <v>607</v>
      </c>
      <c r="G1592" s="4" t="s">
        <v>607</v>
      </c>
      <c r="H1592" s="4" t="s">
        <v>607</v>
      </c>
      <c r="I1592" s="4" t="s">
        <v>607</v>
      </c>
      <c r="J1592" s="4" t="s">
        <v>607</v>
      </c>
      <c r="K1592" s="4" t="s">
        <v>607</v>
      </c>
      <c r="L1592" s="4" t="s">
        <v>607</v>
      </c>
      <c r="M1592" s="4" t="s">
        <v>607</v>
      </c>
      <c r="N1592" s="4" t="s">
        <v>607</v>
      </c>
      <c r="O1592" s="4"/>
      <c r="P1592" s="4"/>
      <c r="T1592" s="4"/>
    </row>
    <row r="1593">
      <c r="A1593" s="4" t="s">
        <v>4882</v>
      </c>
      <c r="B1593" s="4" t="s">
        <v>607</v>
      </c>
      <c r="C1593" s="6" t="s">
        <v>607</v>
      </c>
      <c r="D1593" s="6" t="s">
        <v>607</v>
      </c>
      <c r="E1593" s="6" t="s">
        <v>607</v>
      </c>
      <c r="F1593" s="6" t="s">
        <v>607</v>
      </c>
      <c r="G1593" s="4" t="s">
        <v>607</v>
      </c>
      <c r="H1593" s="4" t="s">
        <v>607</v>
      </c>
      <c r="I1593" s="4" t="s">
        <v>607</v>
      </c>
      <c r="J1593" s="4" t="s">
        <v>607</v>
      </c>
      <c r="K1593" s="4" t="s">
        <v>607</v>
      </c>
      <c r="L1593" s="4" t="s">
        <v>607</v>
      </c>
      <c r="M1593" s="4" t="s">
        <v>607</v>
      </c>
      <c r="N1593" s="4" t="s">
        <v>607</v>
      </c>
      <c r="O1593" s="4"/>
      <c r="P1593" s="4"/>
      <c r="T1593" s="4"/>
    </row>
    <row r="1594">
      <c r="A1594" s="4" t="s">
        <v>4883</v>
      </c>
      <c r="B1594" s="4" t="s">
        <v>607</v>
      </c>
      <c r="C1594" s="6" t="s">
        <v>607</v>
      </c>
      <c r="D1594" s="6" t="s">
        <v>607</v>
      </c>
      <c r="E1594" s="6" t="s">
        <v>607</v>
      </c>
      <c r="F1594" s="6" t="s">
        <v>607</v>
      </c>
      <c r="G1594" s="4" t="s">
        <v>607</v>
      </c>
      <c r="H1594" s="4" t="s">
        <v>607</v>
      </c>
      <c r="I1594" s="4" t="s">
        <v>607</v>
      </c>
      <c r="J1594" s="4" t="s">
        <v>607</v>
      </c>
      <c r="K1594" s="4" t="s">
        <v>607</v>
      </c>
      <c r="L1594" s="4" t="s">
        <v>607</v>
      </c>
      <c r="M1594" s="4" t="s">
        <v>607</v>
      </c>
      <c r="N1594" s="4" t="s">
        <v>607</v>
      </c>
      <c r="O1594" s="4"/>
      <c r="P1594" s="4"/>
      <c r="T1594" s="4"/>
    </row>
    <row r="1595">
      <c r="A1595" s="4" t="s">
        <v>4884</v>
      </c>
      <c r="B1595" s="4" t="s">
        <v>607</v>
      </c>
      <c r="C1595" s="6" t="s">
        <v>607</v>
      </c>
      <c r="D1595" s="6" t="s">
        <v>607</v>
      </c>
      <c r="E1595" s="6" t="s">
        <v>607</v>
      </c>
      <c r="F1595" s="6" t="s">
        <v>607</v>
      </c>
      <c r="G1595" s="4" t="s">
        <v>607</v>
      </c>
      <c r="H1595" s="4" t="s">
        <v>607</v>
      </c>
      <c r="I1595" s="4" t="s">
        <v>607</v>
      </c>
      <c r="J1595" s="4" t="s">
        <v>607</v>
      </c>
      <c r="K1595" s="4" t="s">
        <v>607</v>
      </c>
      <c r="L1595" s="4" t="s">
        <v>607</v>
      </c>
      <c r="M1595" s="4" t="s">
        <v>607</v>
      </c>
      <c r="N1595" s="4" t="s">
        <v>607</v>
      </c>
      <c r="O1595" s="4"/>
      <c r="P1595" s="4"/>
      <c r="T1595" s="4"/>
    </row>
    <row r="1596">
      <c r="A1596" s="4" t="s">
        <v>4885</v>
      </c>
      <c r="B1596" s="4" t="s">
        <v>607</v>
      </c>
      <c r="C1596" s="6" t="s">
        <v>607</v>
      </c>
      <c r="D1596" s="6" t="s">
        <v>607</v>
      </c>
      <c r="E1596" s="6" t="s">
        <v>607</v>
      </c>
      <c r="F1596" s="6" t="s">
        <v>607</v>
      </c>
      <c r="G1596" s="4" t="s">
        <v>607</v>
      </c>
      <c r="H1596" s="4" t="s">
        <v>607</v>
      </c>
      <c r="I1596" s="4" t="s">
        <v>607</v>
      </c>
      <c r="J1596" s="4" t="s">
        <v>607</v>
      </c>
      <c r="K1596" s="4" t="s">
        <v>607</v>
      </c>
      <c r="L1596" s="4" t="s">
        <v>607</v>
      </c>
      <c r="M1596" s="4" t="s">
        <v>607</v>
      </c>
      <c r="N1596" s="4" t="s">
        <v>607</v>
      </c>
      <c r="O1596" s="4"/>
      <c r="P1596" s="4"/>
      <c r="T1596" s="4"/>
    </row>
    <row r="1597">
      <c r="A1597" s="4" t="s">
        <v>4886</v>
      </c>
      <c r="B1597" s="4" t="s">
        <v>607</v>
      </c>
      <c r="C1597" s="6" t="s">
        <v>607</v>
      </c>
      <c r="D1597" s="6" t="s">
        <v>607</v>
      </c>
      <c r="E1597" s="6" t="s">
        <v>607</v>
      </c>
      <c r="F1597" s="6" t="s">
        <v>607</v>
      </c>
      <c r="G1597" s="4" t="s">
        <v>607</v>
      </c>
      <c r="H1597" s="4" t="s">
        <v>607</v>
      </c>
      <c r="I1597" s="4" t="s">
        <v>607</v>
      </c>
      <c r="J1597" s="4" t="s">
        <v>607</v>
      </c>
      <c r="K1597" s="4" t="s">
        <v>607</v>
      </c>
      <c r="L1597" s="4" t="s">
        <v>607</v>
      </c>
      <c r="M1597" s="4" t="s">
        <v>607</v>
      </c>
      <c r="N1597" s="4" t="s">
        <v>607</v>
      </c>
      <c r="O1597" s="4"/>
      <c r="P1597" s="4"/>
      <c r="T1597" s="4"/>
    </row>
    <row r="1598">
      <c r="A1598" s="4" t="s">
        <v>4887</v>
      </c>
      <c r="B1598" s="4" t="s">
        <v>607</v>
      </c>
      <c r="C1598" s="6" t="s">
        <v>607</v>
      </c>
      <c r="D1598" s="6" t="s">
        <v>607</v>
      </c>
      <c r="E1598" s="6" t="s">
        <v>607</v>
      </c>
      <c r="F1598" s="6" t="s">
        <v>607</v>
      </c>
      <c r="G1598" s="4" t="s">
        <v>607</v>
      </c>
      <c r="H1598" s="4" t="s">
        <v>607</v>
      </c>
      <c r="I1598" s="4" t="s">
        <v>607</v>
      </c>
      <c r="J1598" s="4" t="s">
        <v>607</v>
      </c>
      <c r="K1598" s="4" t="s">
        <v>607</v>
      </c>
      <c r="L1598" s="4" t="s">
        <v>607</v>
      </c>
      <c r="M1598" s="4" t="s">
        <v>607</v>
      </c>
      <c r="N1598" s="4" t="s">
        <v>607</v>
      </c>
      <c r="O1598" s="4"/>
      <c r="P1598" s="4"/>
      <c r="T1598" s="4"/>
    </row>
    <row r="1599">
      <c r="A1599" s="4" t="s">
        <v>4888</v>
      </c>
      <c r="B1599" s="4" t="s">
        <v>607</v>
      </c>
      <c r="C1599" s="6" t="s">
        <v>607</v>
      </c>
      <c r="D1599" s="6" t="s">
        <v>607</v>
      </c>
      <c r="E1599" s="6" t="s">
        <v>607</v>
      </c>
      <c r="F1599" s="6" t="s">
        <v>607</v>
      </c>
      <c r="G1599" s="4" t="s">
        <v>607</v>
      </c>
      <c r="H1599" s="4" t="s">
        <v>607</v>
      </c>
      <c r="I1599" s="4" t="s">
        <v>607</v>
      </c>
      <c r="J1599" s="4" t="s">
        <v>607</v>
      </c>
      <c r="K1599" s="4" t="s">
        <v>607</v>
      </c>
      <c r="L1599" s="4" t="s">
        <v>607</v>
      </c>
      <c r="M1599" s="4" t="s">
        <v>607</v>
      </c>
      <c r="N1599" s="4" t="s">
        <v>607</v>
      </c>
      <c r="O1599" s="4"/>
      <c r="P1599" s="4"/>
      <c r="T1599" s="4"/>
    </row>
    <row r="1600">
      <c r="A1600" s="4" t="s">
        <v>4889</v>
      </c>
      <c r="B1600" s="4" t="s">
        <v>607</v>
      </c>
      <c r="C1600" s="6" t="s">
        <v>607</v>
      </c>
      <c r="D1600" s="6" t="s">
        <v>607</v>
      </c>
      <c r="E1600" s="6" t="s">
        <v>607</v>
      </c>
      <c r="F1600" s="6" t="s">
        <v>607</v>
      </c>
      <c r="G1600" s="4" t="s">
        <v>607</v>
      </c>
      <c r="H1600" s="4" t="s">
        <v>607</v>
      </c>
      <c r="I1600" s="4" t="s">
        <v>607</v>
      </c>
      <c r="J1600" s="4" t="s">
        <v>607</v>
      </c>
      <c r="K1600" s="4" t="s">
        <v>607</v>
      </c>
      <c r="L1600" s="4" t="s">
        <v>607</v>
      </c>
      <c r="M1600" s="4" t="s">
        <v>607</v>
      </c>
      <c r="N1600" s="4" t="s">
        <v>607</v>
      </c>
      <c r="O1600" s="4"/>
      <c r="P1600" s="4"/>
      <c r="T1600" s="4"/>
    </row>
    <row r="1601">
      <c r="A1601" s="4" t="s">
        <v>4890</v>
      </c>
      <c r="B1601" s="4" t="s">
        <v>607</v>
      </c>
      <c r="C1601" s="6" t="s">
        <v>607</v>
      </c>
      <c r="D1601" s="6" t="s">
        <v>607</v>
      </c>
      <c r="E1601" s="6" t="s">
        <v>607</v>
      </c>
      <c r="F1601" s="6" t="s">
        <v>607</v>
      </c>
      <c r="G1601" s="4" t="s">
        <v>607</v>
      </c>
      <c r="H1601" s="4" t="s">
        <v>607</v>
      </c>
      <c r="I1601" s="4" t="s">
        <v>607</v>
      </c>
      <c r="J1601" s="4" t="s">
        <v>607</v>
      </c>
      <c r="K1601" s="4" t="s">
        <v>607</v>
      </c>
      <c r="L1601" s="4" t="s">
        <v>607</v>
      </c>
      <c r="M1601" s="4" t="s">
        <v>607</v>
      </c>
      <c r="N1601" s="4" t="s">
        <v>607</v>
      </c>
      <c r="O1601" s="4"/>
      <c r="P1601" s="4"/>
      <c r="T1601" s="4"/>
    </row>
    <row r="1602">
      <c r="A1602" s="4" t="s">
        <v>4891</v>
      </c>
      <c r="B1602" s="4" t="s">
        <v>607</v>
      </c>
      <c r="C1602" s="6" t="s">
        <v>607</v>
      </c>
      <c r="D1602" s="6" t="s">
        <v>607</v>
      </c>
      <c r="E1602" s="6" t="s">
        <v>607</v>
      </c>
      <c r="F1602" s="6" t="s">
        <v>607</v>
      </c>
      <c r="G1602" s="4" t="s">
        <v>607</v>
      </c>
      <c r="H1602" s="4" t="s">
        <v>607</v>
      </c>
      <c r="I1602" s="4" t="s">
        <v>607</v>
      </c>
      <c r="J1602" s="4" t="s">
        <v>607</v>
      </c>
      <c r="K1602" s="4" t="s">
        <v>607</v>
      </c>
      <c r="L1602" s="4" t="s">
        <v>607</v>
      </c>
      <c r="M1602" s="4" t="s">
        <v>607</v>
      </c>
      <c r="N1602" s="4" t="s">
        <v>607</v>
      </c>
      <c r="O1602" s="4"/>
      <c r="P1602" s="4"/>
      <c r="T1602" s="4"/>
    </row>
    <row r="1603">
      <c r="A1603" s="4" t="s">
        <v>4892</v>
      </c>
      <c r="B1603" s="4" t="s">
        <v>607</v>
      </c>
      <c r="C1603" s="6" t="s">
        <v>607</v>
      </c>
      <c r="D1603" s="6" t="s">
        <v>607</v>
      </c>
      <c r="E1603" s="6" t="s">
        <v>607</v>
      </c>
      <c r="F1603" s="6" t="s">
        <v>607</v>
      </c>
      <c r="G1603" s="4" t="s">
        <v>607</v>
      </c>
      <c r="H1603" s="4" t="s">
        <v>607</v>
      </c>
      <c r="I1603" s="4" t="s">
        <v>607</v>
      </c>
      <c r="J1603" s="4" t="s">
        <v>607</v>
      </c>
      <c r="K1603" s="4" t="s">
        <v>607</v>
      </c>
      <c r="L1603" s="4" t="s">
        <v>607</v>
      </c>
      <c r="M1603" s="4" t="s">
        <v>607</v>
      </c>
      <c r="N1603" s="4" t="s">
        <v>607</v>
      </c>
      <c r="O1603" s="4"/>
      <c r="P1603" s="4"/>
      <c r="T1603" s="4"/>
    </row>
    <row r="1604">
      <c r="A1604" s="4" t="s">
        <v>4895</v>
      </c>
      <c r="B1604" s="4" t="s">
        <v>607</v>
      </c>
      <c r="C1604" s="6" t="s">
        <v>607</v>
      </c>
      <c r="D1604" s="6" t="s">
        <v>607</v>
      </c>
      <c r="E1604" s="6" t="s">
        <v>607</v>
      </c>
      <c r="F1604" s="6" t="s">
        <v>607</v>
      </c>
      <c r="G1604" s="4" t="s">
        <v>607</v>
      </c>
      <c r="H1604" s="4" t="s">
        <v>607</v>
      </c>
      <c r="I1604" s="4" t="s">
        <v>607</v>
      </c>
      <c r="J1604" s="4" t="s">
        <v>607</v>
      </c>
      <c r="K1604" s="4" t="s">
        <v>607</v>
      </c>
      <c r="L1604" s="4" t="s">
        <v>607</v>
      </c>
      <c r="M1604" s="4" t="s">
        <v>607</v>
      </c>
      <c r="N1604" s="4" t="s">
        <v>607</v>
      </c>
      <c r="O1604" s="4"/>
      <c r="P1604" s="4"/>
      <c r="T1604" s="4"/>
    </row>
    <row r="1605">
      <c r="A1605" s="4" t="s">
        <v>4896</v>
      </c>
      <c r="B1605" s="4" t="s">
        <v>607</v>
      </c>
      <c r="C1605" s="6" t="s">
        <v>607</v>
      </c>
      <c r="D1605" s="6" t="s">
        <v>607</v>
      </c>
      <c r="E1605" s="6" t="s">
        <v>607</v>
      </c>
      <c r="F1605" s="6" t="s">
        <v>607</v>
      </c>
      <c r="G1605" s="4" t="s">
        <v>607</v>
      </c>
      <c r="H1605" s="4" t="s">
        <v>607</v>
      </c>
      <c r="I1605" s="4" t="s">
        <v>607</v>
      </c>
      <c r="J1605" s="4" t="s">
        <v>607</v>
      </c>
      <c r="K1605" s="4" t="s">
        <v>607</v>
      </c>
      <c r="L1605" s="4" t="s">
        <v>607</v>
      </c>
      <c r="M1605" s="4" t="s">
        <v>607</v>
      </c>
      <c r="N1605" s="4" t="s">
        <v>607</v>
      </c>
      <c r="O1605" s="4"/>
      <c r="P1605" s="4"/>
      <c r="T1605" s="4"/>
    </row>
    <row r="1606">
      <c r="A1606" s="4" t="s">
        <v>4897</v>
      </c>
      <c r="B1606" s="4" t="s">
        <v>607</v>
      </c>
      <c r="C1606" s="6" t="s">
        <v>607</v>
      </c>
      <c r="D1606" s="6" t="s">
        <v>607</v>
      </c>
      <c r="E1606" s="6" t="s">
        <v>607</v>
      </c>
      <c r="F1606" s="6" t="s">
        <v>607</v>
      </c>
      <c r="G1606" s="4" t="s">
        <v>607</v>
      </c>
      <c r="H1606" s="4" t="s">
        <v>607</v>
      </c>
      <c r="I1606" s="4" t="s">
        <v>607</v>
      </c>
      <c r="J1606" s="4" t="s">
        <v>607</v>
      </c>
      <c r="K1606" s="4" t="s">
        <v>607</v>
      </c>
      <c r="L1606" s="4" t="s">
        <v>607</v>
      </c>
      <c r="M1606" s="4" t="s">
        <v>607</v>
      </c>
      <c r="N1606" s="4" t="s">
        <v>607</v>
      </c>
      <c r="O1606" s="4"/>
      <c r="P1606" s="4"/>
      <c r="T1606" s="4"/>
    </row>
    <row r="1607">
      <c r="A1607" s="4" t="s">
        <v>4898</v>
      </c>
      <c r="B1607" s="4" t="s">
        <v>607</v>
      </c>
      <c r="C1607" s="6" t="s">
        <v>607</v>
      </c>
      <c r="D1607" s="6" t="s">
        <v>607</v>
      </c>
      <c r="E1607" s="6" t="s">
        <v>607</v>
      </c>
      <c r="F1607" s="6" t="s">
        <v>607</v>
      </c>
      <c r="G1607" s="4" t="s">
        <v>607</v>
      </c>
      <c r="H1607" s="4" t="s">
        <v>607</v>
      </c>
      <c r="I1607" s="4" t="s">
        <v>607</v>
      </c>
      <c r="J1607" s="4" t="s">
        <v>607</v>
      </c>
      <c r="K1607" s="4" t="s">
        <v>607</v>
      </c>
      <c r="L1607" s="4" t="s">
        <v>607</v>
      </c>
      <c r="M1607" s="4" t="s">
        <v>607</v>
      </c>
      <c r="N1607" s="4" t="s">
        <v>607</v>
      </c>
      <c r="O1607" s="4"/>
      <c r="P1607" s="4"/>
      <c r="T1607" s="4"/>
    </row>
    <row r="1608">
      <c r="A1608" s="4" t="s">
        <v>4899</v>
      </c>
      <c r="B1608" s="4" t="s">
        <v>607</v>
      </c>
      <c r="C1608" s="6" t="s">
        <v>607</v>
      </c>
      <c r="D1608" s="6" t="s">
        <v>607</v>
      </c>
      <c r="E1608" s="6" t="s">
        <v>607</v>
      </c>
      <c r="F1608" s="6" t="s">
        <v>607</v>
      </c>
      <c r="G1608" s="4" t="s">
        <v>607</v>
      </c>
      <c r="H1608" s="4" t="s">
        <v>607</v>
      </c>
      <c r="I1608" s="4" t="s">
        <v>607</v>
      </c>
      <c r="J1608" s="4" t="s">
        <v>607</v>
      </c>
      <c r="K1608" s="4" t="s">
        <v>607</v>
      </c>
      <c r="L1608" s="4" t="s">
        <v>607</v>
      </c>
      <c r="M1608" s="4" t="s">
        <v>607</v>
      </c>
      <c r="N1608" s="4" t="s">
        <v>607</v>
      </c>
      <c r="O1608" s="4"/>
      <c r="P1608" s="4"/>
      <c r="T1608" s="4"/>
    </row>
    <row r="1609">
      <c r="A1609" s="4" t="s">
        <v>4900</v>
      </c>
      <c r="B1609" s="4" t="s">
        <v>607</v>
      </c>
      <c r="C1609" s="6" t="s">
        <v>607</v>
      </c>
      <c r="D1609" s="6" t="s">
        <v>607</v>
      </c>
      <c r="E1609" s="6" t="s">
        <v>607</v>
      </c>
      <c r="F1609" s="6" t="s">
        <v>607</v>
      </c>
      <c r="G1609" s="4" t="s">
        <v>607</v>
      </c>
      <c r="H1609" s="4" t="s">
        <v>607</v>
      </c>
      <c r="I1609" s="4" t="s">
        <v>607</v>
      </c>
      <c r="J1609" s="4" t="s">
        <v>607</v>
      </c>
      <c r="K1609" s="4" t="s">
        <v>607</v>
      </c>
      <c r="L1609" s="4" t="s">
        <v>607</v>
      </c>
      <c r="M1609" s="4" t="s">
        <v>607</v>
      </c>
      <c r="N1609" s="4" t="s">
        <v>607</v>
      </c>
      <c r="O1609" s="4"/>
      <c r="P1609" s="4"/>
      <c r="T1609" s="4"/>
    </row>
    <row r="1610">
      <c r="A1610" s="4" t="s">
        <v>4901</v>
      </c>
      <c r="B1610" s="4" t="s">
        <v>607</v>
      </c>
      <c r="C1610" s="6" t="s">
        <v>607</v>
      </c>
      <c r="D1610" s="6" t="s">
        <v>607</v>
      </c>
      <c r="E1610" s="6" t="s">
        <v>607</v>
      </c>
      <c r="F1610" s="6" t="s">
        <v>607</v>
      </c>
      <c r="G1610" s="4" t="s">
        <v>607</v>
      </c>
      <c r="H1610" s="4" t="s">
        <v>607</v>
      </c>
      <c r="I1610" s="4" t="s">
        <v>607</v>
      </c>
      <c r="J1610" s="4" t="s">
        <v>607</v>
      </c>
      <c r="K1610" s="4" t="s">
        <v>607</v>
      </c>
      <c r="L1610" s="4" t="s">
        <v>607</v>
      </c>
      <c r="M1610" s="4" t="s">
        <v>607</v>
      </c>
      <c r="N1610" s="4" t="s">
        <v>607</v>
      </c>
      <c r="O1610" s="4"/>
      <c r="P1610" s="4"/>
      <c r="T1610" s="4"/>
    </row>
    <row r="1611">
      <c r="A1611" s="4" t="s">
        <v>4902</v>
      </c>
      <c r="B1611" s="4" t="s">
        <v>607</v>
      </c>
      <c r="C1611" s="6" t="s">
        <v>607</v>
      </c>
      <c r="D1611" s="6" t="s">
        <v>607</v>
      </c>
      <c r="E1611" s="6" t="s">
        <v>607</v>
      </c>
      <c r="F1611" s="6" t="s">
        <v>607</v>
      </c>
      <c r="G1611" s="4" t="s">
        <v>607</v>
      </c>
      <c r="H1611" s="4" t="s">
        <v>607</v>
      </c>
      <c r="I1611" s="4" t="s">
        <v>607</v>
      </c>
      <c r="J1611" s="4" t="s">
        <v>607</v>
      </c>
      <c r="K1611" s="4" t="s">
        <v>607</v>
      </c>
      <c r="L1611" s="4" t="s">
        <v>607</v>
      </c>
      <c r="M1611" s="4" t="s">
        <v>607</v>
      </c>
      <c r="N1611" s="4" t="s">
        <v>607</v>
      </c>
      <c r="O1611" s="4"/>
      <c r="P1611" s="4"/>
      <c r="T1611" s="4"/>
    </row>
    <row r="1612">
      <c r="A1612" s="4" t="s">
        <v>4903</v>
      </c>
      <c r="B1612" s="4" t="s">
        <v>607</v>
      </c>
      <c r="C1612" s="6" t="s">
        <v>607</v>
      </c>
      <c r="D1612" s="6" t="s">
        <v>607</v>
      </c>
      <c r="E1612" s="6" t="s">
        <v>607</v>
      </c>
      <c r="F1612" s="6" t="s">
        <v>607</v>
      </c>
      <c r="G1612" s="4" t="s">
        <v>607</v>
      </c>
      <c r="H1612" s="4" t="s">
        <v>607</v>
      </c>
      <c r="I1612" s="4" t="s">
        <v>607</v>
      </c>
      <c r="J1612" s="4" t="s">
        <v>607</v>
      </c>
      <c r="K1612" s="4" t="s">
        <v>607</v>
      </c>
      <c r="L1612" s="4" t="s">
        <v>607</v>
      </c>
      <c r="M1612" s="4" t="s">
        <v>607</v>
      </c>
      <c r="N1612" s="4" t="s">
        <v>607</v>
      </c>
      <c r="O1612" s="4"/>
      <c r="P1612" s="4"/>
      <c r="T1612" s="4"/>
    </row>
    <row r="1613">
      <c r="A1613" s="4" t="s">
        <v>4904</v>
      </c>
      <c r="B1613" s="4" t="s">
        <v>607</v>
      </c>
      <c r="C1613" s="6" t="s">
        <v>607</v>
      </c>
      <c r="D1613" s="6" t="s">
        <v>607</v>
      </c>
      <c r="E1613" s="6" t="s">
        <v>607</v>
      </c>
      <c r="F1613" s="6" t="s">
        <v>607</v>
      </c>
      <c r="G1613" s="4" t="s">
        <v>607</v>
      </c>
      <c r="H1613" s="4" t="s">
        <v>607</v>
      </c>
      <c r="I1613" s="4" t="s">
        <v>607</v>
      </c>
      <c r="J1613" s="4" t="s">
        <v>607</v>
      </c>
      <c r="K1613" s="4" t="s">
        <v>607</v>
      </c>
      <c r="L1613" s="4" t="s">
        <v>607</v>
      </c>
      <c r="M1613" s="4" t="s">
        <v>607</v>
      </c>
      <c r="N1613" s="4" t="s">
        <v>607</v>
      </c>
      <c r="O1613" s="4"/>
      <c r="P1613" s="4"/>
      <c r="T1613" s="4"/>
    </row>
    <row r="1614">
      <c r="A1614" s="4" t="s">
        <v>4905</v>
      </c>
      <c r="B1614" s="4" t="s">
        <v>607</v>
      </c>
      <c r="C1614" s="6" t="s">
        <v>607</v>
      </c>
      <c r="D1614" s="6" t="s">
        <v>607</v>
      </c>
      <c r="E1614" s="6" t="s">
        <v>607</v>
      </c>
      <c r="F1614" s="6" t="s">
        <v>607</v>
      </c>
      <c r="G1614" s="4" t="s">
        <v>607</v>
      </c>
      <c r="H1614" s="4" t="s">
        <v>607</v>
      </c>
      <c r="I1614" s="4" t="s">
        <v>607</v>
      </c>
      <c r="J1614" s="4" t="s">
        <v>607</v>
      </c>
      <c r="K1614" s="4" t="s">
        <v>607</v>
      </c>
      <c r="L1614" s="4" t="s">
        <v>607</v>
      </c>
      <c r="M1614" s="4" t="s">
        <v>607</v>
      </c>
      <c r="N1614" s="4" t="s">
        <v>607</v>
      </c>
      <c r="O1614" s="4"/>
      <c r="P1614" s="4"/>
      <c r="T1614" s="4"/>
    </row>
    <row r="1615">
      <c r="A1615" s="4" t="s">
        <v>4906</v>
      </c>
      <c r="B1615" s="4" t="s">
        <v>607</v>
      </c>
      <c r="C1615" s="6" t="s">
        <v>607</v>
      </c>
      <c r="D1615" s="6" t="s">
        <v>607</v>
      </c>
      <c r="E1615" s="6" t="s">
        <v>607</v>
      </c>
      <c r="F1615" s="6" t="s">
        <v>607</v>
      </c>
      <c r="G1615" s="4" t="s">
        <v>607</v>
      </c>
      <c r="H1615" s="4" t="s">
        <v>607</v>
      </c>
      <c r="I1615" s="4" t="s">
        <v>607</v>
      </c>
      <c r="J1615" s="4" t="s">
        <v>607</v>
      </c>
      <c r="K1615" s="4" t="s">
        <v>607</v>
      </c>
      <c r="L1615" s="4" t="s">
        <v>607</v>
      </c>
      <c r="M1615" s="4" t="s">
        <v>607</v>
      </c>
      <c r="N1615" s="4" t="s">
        <v>607</v>
      </c>
      <c r="O1615" s="4"/>
      <c r="P1615" s="4"/>
      <c r="T1615" s="4"/>
    </row>
    <row r="1616">
      <c r="A1616" s="4" t="s">
        <v>4907</v>
      </c>
      <c r="B1616" s="4" t="s">
        <v>607</v>
      </c>
      <c r="C1616" s="6" t="s">
        <v>607</v>
      </c>
      <c r="D1616" s="6" t="s">
        <v>607</v>
      </c>
      <c r="E1616" s="6" t="s">
        <v>607</v>
      </c>
      <c r="F1616" s="6" t="s">
        <v>607</v>
      </c>
      <c r="G1616" s="4" t="s">
        <v>607</v>
      </c>
      <c r="H1616" s="4" t="s">
        <v>607</v>
      </c>
      <c r="I1616" s="4" t="s">
        <v>607</v>
      </c>
      <c r="J1616" s="4" t="s">
        <v>607</v>
      </c>
      <c r="K1616" s="4" t="s">
        <v>607</v>
      </c>
      <c r="L1616" s="4" t="s">
        <v>607</v>
      </c>
      <c r="M1616" s="4" t="s">
        <v>607</v>
      </c>
      <c r="N1616" s="4" t="s">
        <v>607</v>
      </c>
      <c r="O1616" s="4"/>
      <c r="P1616" s="4"/>
      <c r="T1616" s="4"/>
    </row>
    <row r="1617">
      <c r="A1617" s="4" t="s">
        <v>4908</v>
      </c>
      <c r="B1617" s="4" t="s">
        <v>607</v>
      </c>
      <c r="C1617" s="6" t="s">
        <v>607</v>
      </c>
      <c r="D1617" s="6" t="s">
        <v>607</v>
      </c>
      <c r="E1617" s="6" t="s">
        <v>607</v>
      </c>
      <c r="F1617" s="6" t="s">
        <v>607</v>
      </c>
      <c r="G1617" s="4" t="s">
        <v>607</v>
      </c>
      <c r="H1617" s="4" t="s">
        <v>607</v>
      </c>
      <c r="I1617" s="4" t="s">
        <v>607</v>
      </c>
      <c r="J1617" s="4" t="s">
        <v>607</v>
      </c>
      <c r="K1617" s="4" t="s">
        <v>607</v>
      </c>
      <c r="L1617" s="4" t="s">
        <v>607</v>
      </c>
      <c r="M1617" s="4" t="s">
        <v>607</v>
      </c>
      <c r="N1617" s="4" t="s">
        <v>607</v>
      </c>
      <c r="O1617" s="4"/>
      <c r="P1617" s="4"/>
      <c r="T1617" s="4"/>
    </row>
    <row r="1618">
      <c r="A1618" s="4" t="s">
        <v>4909</v>
      </c>
      <c r="B1618" s="4" t="s">
        <v>607</v>
      </c>
      <c r="C1618" s="6" t="s">
        <v>607</v>
      </c>
      <c r="D1618" s="6" t="s">
        <v>607</v>
      </c>
      <c r="E1618" s="6" t="s">
        <v>607</v>
      </c>
      <c r="F1618" s="6" t="s">
        <v>607</v>
      </c>
      <c r="G1618" s="4" t="s">
        <v>607</v>
      </c>
      <c r="H1618" s="4" t="s">
        <v>607</v>
      </c>
      <c r="I1618" s="4" t="s">
        <v>607</v>
      </c>
      <c r="J1618" s="4" t="s">
        <v>607</v>
      </c>
      <c r="K1618" s="4" t="s">
        <v>607</v>
      </c>
      <c r="L1618" s="4" t="s">
        <v>607</v>
      </c>
      <c r="M1618" s="4" t="s">
        <v>607</v>
      </c>
      <c r="N1618" s="4" t="s">
        <v>607</v>
      </c>
      <c r="O1618" s="4"/>
      <c r="P1618" s="4"/>
      <c r="T1618" s="4"/>
    </row>
    <row r="1619">
      <c r="A1619" s="4" t="s">
        <v>4910</v>
      </c>
      <c r="B1619" s="4" t="s">
        <v>607</v>
      </c>
      <c r="C1619" s="6" t="s">
        <v>607</v>
      </c>
      <c r="D1619" s="6" t="s">
        <v>607</v>
      </c>
      <c r="E1619" s="6" t="s">
        <v>607</v>
      </c>
      <c r="F1619" s="6" t="s">
        <v>607</v>
      </c>
      <c r="G1619" s="4" t="s">
        <v>607</v>
      </c>
      <c r="H1619" s="4" t="s">
        <v>607</v>
      </c>
      <c r="I1619" s="4" t="s">
        <v>607</v>
      </c>
      <c r="J1619" s="4" t="s">
        <v>607</v>
      </c>
      <c r="K1619" s="4" t="s">
        <v>607</v>
      </c>
      <c r="L1619" s="4" t="s">
        <v>607</v>
      </c>
      <c r="M1619" s="4" t="s">
        <v>607</v>
      </c>
      <c r="N1619" s="4" t="s">
        <v>607</v>
      </c>
      <c r="O1619" s="4"/>
      <c r="P1619" s="4"/>
      <c r="T1619" s="4"/>
    </row>
    <row r="1620">
      <c r="A1620" s="4" t="s">
        <v>4911</v>
      </c>
      <c r="B1620" s="4" t="s">
        <v>607</v>
      </c>
      <c r="C1620" s="6" t="s">
        <v>607</v>
      </c>
      <c r="D1620" s="6" t="s">
        <v>607</v>
      </c>
      <c r="E1620" s="6" t="s">
        <v>607</v>
      </c>
      <c r="F1620" s="6" t="s">
        <v>607</v>
      </c>
      <c r="G1620" s="4" t="s">
        <v>607</v>
      </c>
      <c r="H1620" s="4" t="s">
        <v>607</v>
      </c>
      <c r="I1620" s="4" t="s">
        <v>607</v>
      </c>
      <c r="J1620" s="4" t="s">
        <v>607</v>
      </c>
      <c r="K1620" s="4" t="s">
        <v>607</v>
      </c>
      <c r="L1620" s="4" t="s">
        <v>607</v>
      </c>
      <c r="M1620" s="4" t="s">
        <v>607</v>
      </c>
      <c r="N1620" s="4" t="s">
        <v>607</v>
      </c>
      <c r="O1620" s="4"/>
      <c r="P1620" s="4"/>
      <c r="T1620" s="4"/>
    </row>
    <row r="1621">
      <c r="A1621" s="4" t="s">
        <v>4912</v>
      </c>
      <c r="B1621" s="4" t="s">
        <v>607</v>
      </c>
      <c r="C1621" s="6" t="s">
        <v>607</v>
      </c>
      <c r="D1621" s="6" t="s">
        <v>607</v>
      </c>
      <c r="E1621" s="6" t="s">
        <v>607</v>
      </c>
      <c r="F1621" s="6" t="s">
        <v>607</v>
      </c>
      <c r="G1621" s="4" t="s">
        <v>607</v>
      </c>
      <c r="H1621" s="4" t="s">
        <v>607</v>
      </c>
      <c r="I1621" s="4" t="s">
        <v>607</v>
      </c>
      <c r="J1621" s="4" t="s">
        <v>607</v>
      </c>
      <c r="K1621" s="4" t="s">
        <v>607</v>
      </c>
      <c r="L1621" s="4" t="s">
        <v>607</v>
      </c>
      <c r="M1621" s="4" t="s">
        <v>607</v>
      </c>
      <c r="N1621" s="4" t="s">
        <v>607</v>
      </c>
      <c r="O1621" s="4"/>
      <c r="P1621" s="4"/>
      <c r="T1621" s="4"/>
    </row>
    <row r="1622">
      <c r="A1622" s="4" t="s">
        <v>4913</v>
      </c>
      <c r="B1622" s="4" t="s">
        <v>607</v>
      </c>
      <c r="C1622" s="6" t="s">
        <v>607</v>
      </c>
      <c r="D1622" s="6" t="s">
        <v>607</v>
      </c>
      <c r="E1622" s="6" t="s">
        <v>607</v>
      </c>
      <c r="F1622" s="6" t="s">
        <v>607</v>
      </c>
      <c r="G1622" s="4" t="s">
        <v>607</v>
      </c>
      <c r="H1622" s="4" t="s">
        <v>607</v>
      </c>
      <c r="I1622" s="4" t="s">
        <v>607</v>
      </c>
      <c r="J1622" s="4" t="s">
        <v>607</v>
      </c>
      <c r="K1622" s="4" t="s">
        <v>607</v>
      </c>
      <c r="L1622" s="4" t="s">
        <v>607</v>
      </c>
      <c r="M1622" s="4" t="s">
        <v>607</v>
      </c>
      <c r="N1622" s="4" t="s">
        <v>607</v>
      </c>
      <c r="O1622" s="4"/>
      <c r="P1622" s="4"/>
      <c r="T1622" s="4"/>
    </row>
    <row r="1623">
      <c r="A1623" s="4" t="s">
        <v>4914</v>
      </c>
      <c r="B1623" s="4" t="s">
        <v>607</v>
      </c>
      <c r="C1623" s="6" t="s">
        <v>607</v>
      </c>
      <c r="D1623" s="6" t="s">
        <v>607</v>
      </c>
      <c r="E1623" s="6" t="s">
        <v>607</v>
      </c>
      <c r="F1623" s="6" t="s">
        <v>607</v>
      </c>
      <c r="G1623" s="4" t="s">
        <v>607</v>
      </c>
      <c r="H1623" s="4" t="s">
        <v>607</v>
      </c>
      <c r="I1623" s="4" t="s">
        <v>607</v>
      </c>
      <c r="J1623" s="4" t="s">
        <v>607</v>
      </c>
      <c r="K1623" s="4" t="s">
        <v>607</v>
      </c>
      <c r="L1623" s="4" t="s">
        <v>607</v>
      </c>
      <c r="M1623" s="4" t="s">
        <v>607</v>
      </c>
      <c r="N1623" s="4" t="s">
        <v>607</v>
      </c>
      <c r="O1623" s="4"/>
      <c r="P1623" s="4"/>
      <c r="T1623" s="4"/>
    </row>
    <row r="1624">
      <c r="A1624" s="4" t="s">
        <v>4915</v>
      </c>
      <c r="B1624" s="4" t="s">
        <v>607</v>
      </c>
      <c r="C1624" s="6" t="s">
        <v>607</v>
      </c>
      <c r="D1624" s="6" t="s">
        <v>607</v>
      </c>
      <c r="E1624" s="6" t="s">
        <v>607</v>
      </c>
      <c r="F1624" s="6" t="s">
        <v>607</v>
      </c>
      <c r="G1624" s="4" t="s">
        <v>607</v>
      </c>
      <c r="H1624" s="4" t="s">
        <v>607</v>
      </c>
      <c r="I1624" s="4" t="s">
        <v>607</v>
      </c>
      <c r="J1624" s="4" t="s">
        <v>607</v>
      </c>
      <c r="K1624" s="4" t="s">
        <v>607</v>
      </c>
      <c r="L1624" s="4" t="s">
        <v>607</v>
      </c>
      <c r="M1624" s="4" t="s">
        <v>607</v>
      </c>
      <c r="N1624" s="4" t="s">
        <v>607</v>
      </c>
      <c r="O1624" s="4"/>
      <c r="P1624" s="4"/>
      <c r="T1624" s="4"/>
    </row>
    <row r="1625">
      <c r="A1625" s="4" t="s">
        <v>4916</v>
      </c>
      <c r="B1625" s="4" t="s">
        <v>607</v>
      </c>
      <c r="C1625" s="6" t="s">
        <v>607</v>
      </c>
      <c r="D1625" s="6" t="s">
        <v>607</v>
      </c>
      <c r="E1625" s="6" t="s">
        <v>607</v>
      </c>
      <c r="F1625" s="6" t="s">
        <v>607</v>
      </c>
      <c r="G1625" s="4" t="s">
        <v>607</v>
      </c>
      <c r="H1625" s="4" t="s">
        <v>607</v>
      </c>
      <c r="I1625" s="4" t="s">
        <v>607</v>
      </c>
      <c r="J1625" s="4" t="s">
        <v>607</v>
      </c>
      <c r="K1625" s="4" t="s">
        <v>607</v>
      </c>
      <c r="L1625" s="4" t="s">
        <v>607</v>
      </c>
      <c r="M1625" s="4" t="s">
        <v>607</v>
      </c>
      <c r="N1625" s="4" t="s">
        <v>607</v>
      </c>
      <c r="O1625" s="4"/>
      <c r="P1625" s="4"/>
      <c r="T1625" s="4"/>
    </row>
    <row r="1626">
      <c r="A1626" s="4" t="s">
        <v>4917</v>
      </c>
      <c r="B1626" s="4" t="s">
        <v>607</v>
      </c>
      <c r="C1626" s="6" t="s">
        <v>607</v>
      </c>
      <c r="D1626" s="6" t="s">
        <v>607</v>
      </c>
      <c r="E1626" s="6" t="s">
        <v>607</v>
      </c>
      <c r="F1626" s="6" t="s">
        <v>607</v>
      </c>
      <c r="G1626" s="4" t="s">
        <v>607</v>
      </c>
      <c r="H1626" s="4" t="s">
        <v>607</v>
      </c>
      <c r="I1626" s="4" t="s">
        <v>607</v>
      </c>
      <c r="J1626" s="4" t="s">
        <v>607</v>
      </c>
      <c r="K1626" s="4" t="s">
        <v>607</v>
      </c>
      <c r="L1626" s="4" t="s">
        <v>607</v>
      </c>
      <c r="M1626" s="4" t="s">
        <v>607</v>
      </c>
      <c r="N1626" s="4" t="s">
        <v>607</v>
      </c>
      <c r="O1626" s="4"/>
      <c r="P1626" s="4"/>
      <c r="T1626" s="4"/>
    </row>
    <row r="1627">
      <c r="A1627" s="4" t="s">
        <v>4918</v>
      </c>
      <c r="B1627" s="4" t="s">
        <v>607</v>
      </c>
      <c r="C1627" s="6" t="s">
        <v>607</v>
      </c>
      <c r="D1627" s="6" t="s">
        <v>607</v>
      </c>
      <c r="E1627" s="6" t="s">
        <v>607</v>
      </c>
      <c r="F1627" s="6" t="s">
        <v>607</v>
      </c>
      <c r="G1627" s="4" t="s">
        <v>607</v>
      </c>
      <c r="H1627" s="4" t="s">
        <v>607</v>
      </c>
      <c r="I1627" s="4" t="s">
        <v>607</v>
      </c>
      <c r="J1627" s="4" t="s">
        <v>607</v>
      </c>
      <c r="K1627" s="4" t="s">
        <v>607</v>
      </c>
      <c r="L1627" s="4" t="s">
        <v>607</v>
      </c>
      <c r="M1627" s="4" t="s">
        <v>607</v>
      </c>
      <c r="N1627" s="4" t="s">
        <v>607</v>
      </c>
      <c r="O1627" s="4"/>
      <c r="P1627" s="4"/>
      <c r="T1627" s="4"/>
    </row>
    <row r="1628">
      <c r="A1628" s="4" t="s">
        <v>4919</v>
      </c>
      <c r="B1628" s="4" t="s">
        <v>607</v>
      </c>
      <c r="C1628" s="6" t="s">
        <v>607</v>
      </c>
      <c r="D1628" s="6" t="s">
        <v>607</v>
      </c>
      <c r="E1628" s="6" t="s">
        <v>607</v>
      </c>
      <c r="F1628" s="6" t="s">
        <v>607</v>
      </c>
      <c r="G1628" s="4" t="s">
        <v>607</v>
      </c>
      <c r="H1628" s="4" t="s">
        <v>607</v>
      </c>
      <c r="I1628" s="4" t="s">
        <v>607</v>
      </c>
      <c r="J1628" s="4" t="s">
        <v>607</v>
      </c>
      <c r="K1628" s="4" t="s">
        <v>607</v>
      </c>
      <c r="L1628" s="4" t="s">
        <v>607</v>
      </c>
      <c r="M1628" s="4" t="s">
        <v>607</v>
      </c>
      <c r="N1628" s="4" t="s">
        <v>607</v>
      </c>
      <c r="O1628" s="4"/>
      <c r="P1628" s="4"/>
      <c r="T1628" s="4"/>
    </row>
    <row r="1629">
      <c r="A1629" s="4" t="s">
        <v>4920</v>
      </c>
      <c r="B1629" s="4" t="s">
        <v>607</v>
      </c>
      <c r="C1629" s="6" t="s">
        <v>607</v>
      </c>
      <c r="D1629" s="6" t="s">
        <v>607</v>
      </c>
      <c r="E1629" s="6" t="s">
        <v>607</v>
      </c>
      <c r="F1629" s="6" t="s">
        <v>607</v>
      </c>
      <c r="G1629" s="4" t="s">
        <v>607</v>
      </c>
      <c r="H1629" s="4" t="s">
        <v>607</v>
      </c>
      <c r="I1629" s="4" t="s">
        <v>607</v>
      </c>
      <c r="J1629" s="4" t="s">
        <v>607</v>
      </c>
      <c r="K1629" s="4" t="s">
        <v>607</v>
      </c>
      <c r="L1629" s="4" t="s">
        <v>607</v>
      </c>
      <c r="M1629" s="4" t="s">
        <v>607</v>
      </c>
      <c r="N1629" s="4" t="s">
        <v>607</v>
      </c>
      <c r="O1629" s="4"/>
      <c r="P1629" s="4"/>
      <c r="T1629" s="4"/>
    </row>
    <row r="1630">
      <c r="A1630" s="4" t="s">
        <v>4921</v>
      </c>
      <c r="B1630" s="4" t="s">
        <v>607</v>
      </c>
      <c r="C1630" s="6" t="s">
        <v>607</v>
      </c>
      <c r="D1630" s="6" t="s">
        <v>607</v>
      </c>
      <c r="E1630" s="6" t="s">
        <v>607</v>
      </c>
      <c r="F1630" s="6" t="s">
        <v>607</v>
      </c>
      <c r="G1630" s="4" t="s">
        <v>607</v>
      </c>
      <c r="H1630" s="4" t="s">
        <v>607</v>
      </c>
      <c r="I1630" s="4" t="s">
        <v>607</v>
      </c>
      <c r="J1630" s="4" t="s">
        <v>607</v>
      </c>
      <c r="K1630" s="4" t="s">
        <v>607</v>
      </c>
      <c r="L1630" s="4" t="s">
        <v>607</v>
      </c>
      <c r="M1630" s="4" t="s">
        <v>607</v>
      </c>
      <c r="N1630" s="4" t="s">
        <v>607</v>
      </c>
      <c r="O1630" s="4"/>
      <c r="P1630" s="4"/>
      <c r="T1630" s="4"/>
    </row>
    <row r="1631">
      <c r="A1631" s="4" t="s">
        <v>4922</v>
      </c>
      <c r="B1631" s="4" t="s">
        <v>607</v>
      </c>
      <c r="C1631" s="6" t="s">
        <v>607</v>
      </c>
      <c r="D1631" s="6" t="s">
        <v>607</v>
      </c>
      <c r="E1631" s="6" t="s">
        <v>607</v>
      </c>
      <c r="F1631" s="6" t="s">
        <v>607</v>
      </c>
      <c r="G1631" s="4" t="s">
        <v>607</v>
      </c>
      <c r="H1631" s="4" t="s">
        <v>607</v>
      </c>
      <c r="I1631" s="4" t="s">
        <v>607</v>
      </c>
      <c r="J1631" s="4" t="s">
        <v>607</v>
      </c>
      <c r="K1631" s="4" t="s">
        <v>607</v>
      </c>
      <c r="L1631" s="4" t="s">
        <v>607</v>
      </c>
      <c r="M1631" s="4" t="s">
        <v>607</v>
      </c>
      <c r="N1631" s="4" t="s">
        <v>607</v>
      </c>
      <c r="O1631" s="4"/>
      <c r="P1631" s="4"/>
      <c r="T1631" s="4"/>
    </row>
    <row r="1632">
      <c r="A1632" s="4" t="s">
        <v>4923</v>
      </c>
      <c r="B1632" s="4" t="s">
        <v>607</v>
      </c>
      <c r="C1632" s="6" t="s">
        <v>607</v>
      </c>
      <c r="D1632" s="6" t="s">
        <v>607</v>
      </c>
      <c r="E1632" s="6" t="s">
        <v>607</v>
      </c>
      <c r="F1632" s="6" t="s">
        <v>607</v>
      </c>
      <c r="G1632" s="4" t="s">
        <v>607</v>
      </c>
      <c r="H1632" s="4" t="s">
        <v>607</v>
      </c>
      <c r="I1632" s="4" t="s">
        <v>607</v>
      </c>
      <c r="J1632" s="4" t="s">
        <v>607</v>
      </c>
      <c r="K1632" s="4" t="s">
        <v>607</v>
      </c>
      <c r="L1632" s="4" t="s">
        <v>607</v>
      </c>
      <c r="M1632" s="4" t="s">
        <v>607</v>
      </c>
      <c r="N1632" s="4" t="s">
        <v>607</v>
      </c>
      <c r="O1632" s="4"/>
      <c r="P1632" s="4"/>
      <c r="T1632" s="4"/>
    </row>
    <row r="1633">
      <c r="A1633" s="4" t="s">
        <v>4924</v>
      </c>
      <c r="B1633" s="4" t="s">
        <v>607</v>
      </c>
      <c r="C1633" s="6" t="s">
        <v>607</v>
      </c>
      <c r="D1633" s="6" t="s">
        <v>607</v>
      </c>
      <c r="E1633" s="6" t="s">
        <v>607</v>
      </c>
      <c r="F1633" s="6" t="s">
        <v>607</v>
      </c>
      <c r="G1633" s="4" t="s">
        <v>607</v>
      </c>
      <c r="H1633" s="4" t="s">
        <v>607</v>
      </c>
      <c r="I1633" s="4" t="s">
        <v>607</v>
      </c>
      <c r="J1633" s="4" t="s">
        <v>607</v>
      </c>
      <c r="K1633" s="4" t="s">
        <v>607</v>
      </c>
      <c r="L1633" s="4" t="s">
        <v>607</v>
      </c>
      <c r="M1633" s="4" t="s">
        <v>607</v>
      </c>
      <c r="N1633" s="4" t="s">
        <v>607</v>
      </c>
      <c r="O1633" s="4"/>
      <c r="P1633" s="4"/>
      <c r="T1633" s="4"/>
    </row>
    <row r="1634">
      <c r="A1634" s="4" t="s">
        <v>4925</v>
      </c>
      <c r="B1634" s="4" t="s">
        <v>607</v>
      </c>
      <c r="C1634" s="6" t="s">
        <v>607</v>
      </c>
      <c r="D1634" s="6" t="s">
        <v>607</v>
      </c>
      <c r="E1634" s="6" t="s">
        <v>607</v>
      </c>
      <c r="F1634" s="6" t="s">
        <v>607</v>
      </c>
      <c r="G1634" s="4" t="s">
        <v>607</v>
      </c>
      <c r="H1634" s="4" t="s">
        <v>607</v>
      </c>
      <c r="I1634" s="4" t="s">
        <v>607</v>
      </c>
      <c r="J1634" s="4" t="s">
        <v>607</v>
      </c>
      <c r="K1634" s="4" t="s">
        <v>607</v>
      </c>
      <c r="L1634" s="4" t="s">
        <v>607</v>
      </c>
      <c r="M1634" s="4" t="s">
        <v>607</v>
      </c>
      <c r="N1634" s="4" t="s">
        <v>607</v>
      </c>
      <c r="O1634" s="4"/>
      <c r="P1634" s="4"/>
      <c r="T1634" s="4"/>
    </row>
    <row r="1635">
      <c r="A1635" s="4" t="s">
        <v>4926</v>
      </c>
      <c r="B1635" s="4" t="s">
        <v>607</v>
      </c>
      <c r="C1635" s="6" t="s">
        <v>607</v>
      </c>
      <c r="D1635" s="6" t="s">
        <v>607</v>
      </c>
      <c r="E1635" s="6" t="s">
        <v>607</v>
      </c>
      <c r="F1635" s="6" t="s">
        <v>607</v>
      </c>
      <c r="G1635" s="4" t="s">
        <v>607</v>
      </c>
      <c r="H1635" s="4" t="s">
        <v>607</v>
      </c>
      <c r="I1635" s="4" t="s">
        <v>607</v>
      </c>
      <c r="J1635" s="4" t="s">
        <v>607</v>
      </c>
      <c r="K1635" s="4" t="s">
        <v>607</v>
      </c>
      <c r="L1635" s="4" t="s">
        <v>607</v>
      </c>
      <c r="M1635" s="4" t="s">
        <v>607</v>
      </c>
      <c r="N1635" s="4" t="s">
        <v>607</v>
      </c>
      <c r="O1635" s="4"/>
      <c r="P1635" s="4"/>
      <c r="T1635" s="4"/>
    </row>
    <row r="1636">
      <c r="A1636" s="4" t="s">
        <v>4927</v>
      </c>
      <c r="B1636" s="4" t="s">
        <v>607</v>
      </c>
      <c r="C1636" s="6" t="s">
        <v>607</v>
      </c>
      <c r="D1636" s="6" t="s">
        <v>607</v>
      </c>
      <c r="E1636" s="6" t="s">
        <v>607</v>
      </c>
      <c r="F1636" s="6" t="s">
        <v>607</v>
      </c>
      <c r="G1636" s="4" t="s">
        <v>607</v>
      </c>
      <c r="H1636" s="4" t="s">
        <v>607</v>
      </c>
      <c r="I1636" s="4" t="s">
        <v>607</v>
      </c>
      <c r="J1636" s="4" t="s">
        <v>607</v>
      </c>
      <c r="K1636" s="4" t="s">
        <v>607</v>
      </c>
      <c r="L1636" s="4" t="s">
        <v>607</v>
      </c>
      <c r="M1636" s="4" t="s">
        <v>607</v>
      </c>
      <c r="N1636" s="4" t="s">
        <v>607</v>
      </c>
      <c r="O1636" s="4"/>
      <c r="P1636" s="4"/>
      <c r="T1636" s="4"/>
    </row>
    <row r="1637">
      <c r="A1637" s="4" t="s">
        <v>4928</v>
      </c>
      <c r="B1637" s="4" t="s">
        <v>607</v>
      </c>
      <c r="C1637" s="6" t="s">
        <v>607</v>
      </c>
      <c r="D1637" s="6" t="s">
        <v>607</v>
      </c>
      <c r="E1637" s="6" t="s">
        <v>607</v>
      </c>
      <c r="F1637" s="6" t="s">
        <v>607</v>
      </c>
      <c r="G1637" s="4" t="s">
        <v>607</v>
      </c>
      <c r="H1637" s="4" t="s">
        <v>607</v>
      </c>
      <c r="I1637" s="4" t="s">
        <v>607</v>
      </c>
      <c r="J1637" s="4" t="s">
        <v>607</v>
      </c>
      <c r="K1637" s="4" t="s">
        <v>607</v>
      </c>
      <c r="L1637" s="4" t="s">
        <v>607</v>
      </c>
      <c r="M1637" s="4" t="s">
        <v>607</v>
      </c>
      <c r="N1637" s="4" t="s">
        <v>607</v>
      </c>
      <c r="O1637" s="4"/>
      <c r="P1637" s="4"/>
      <c r="T1637" s="4"/>
    </row>
    <row r="1638">
      <c r="A1638" s="4" t="s">
        <v>4929</v>
      </c>
      <c r="B1638" s="4" t="s">
        <v>607</v>
      </c>
      <c r="C1638" s="6" t="s">
        <v>607</v>
      </c>
      <c r="D1638" s="6" t="s">
        <v>607</v>
      </c>
      <c r="E1638" s="6" t="s">
        <v>607</v>
      </c>
      <c r="F1638" s="6" t="s">
        <v>607</v>
      </c>
      <c r="G1638" s="4" t="s">
        <v>607</v>
      </c>
      <c r="H1638" s="4" t="s">
        <v>607</v>
      </c>
      <c r="I1638" s="4" t="s">
        <v>607</v>
      </c>
      <c r="J1638" s="4" t="s">
        <v>607</v>
      </c>
      <c r="K1638" s="4" t="s">
        <v>607</v>
      </c>
      <c r="L1638" s="4" t="s">
        <v>607</v>
      </c>
      <c r="M1638" s="4" t="s">
        <v>607</v>
      </c>
      <c r="N1638" s="4" t="s">
        <v>607</v>
      </c>
      <c r="O1638" s="4"/>
      <c r="P1638" s="4"/>
      <c r="T1638" s="4"/>
    </row>
    <row r="1639">
      <c r="A1639" s="4" t="s">
        <v>4930</v>
      </c>
      <c r="B1639" s="4" t="s">
        <v>607</v>
      </c>
      <c r="C1639" s="6" t="s">
        <v>607</v>
      </c>
      <c r="D1639" s="6" t="s">
        <v>607</v>
      </c>
      <c r="E1639" s="6" t="s">
        <v>607</v>
      </c>
      <c r="F1639" s="6" t="s">
        <v>607</v>
      </c>
      <c r="G1639" s="4" t="s">
        <v>607</v>
      </c>
      <c r="H1639" s="4" t="s">
        <v>607</v>
      </c>
      <c r="I1639" s="4" t="s">
        <v>607</v>
      </c>
      <c r="J1639" s="4" t="s">
        <v>607</v>
      </c>
      <c r="K1639" s="4" t="s">
        <v>607</v>
      </c>
      <c r="L1639" s="4" t="s">
        <v>607</v>
      </c>
      <c r="M1639" s="4" t="s">
        <v>607</v>
      </c>
      <c r="N1639" s="4" t="s">
        <v>607</v>
      </c>
      <c r="O1639" s="4"/>
      <c r="P1639" s="4"/>
      <c r="T1639" s="4"/>
    </row>
    <row r="1640">
      <c r="A1640" s="4" t="s">
        <v>4931</v>
      </c>
      <c r="B1640" s="4" t="s">
        <v>607</v>
      </c>
      <c r="C1640" s="6" t="s">
        <v>607</v>
      </c>
      <c r="D1640" s="6" t="s">
        <v>607</v>
      </c>
      <c r="E1640" s="6" t="s">
        <v>607</v>
      </c>
      <c r="F1640" s="6" t="s">
        <v>607</v>
      </c>
      <c r="G1640" s="4" t="s">
        <v>607</v>
      </c>
      <c r="H1640" s="4" t="s">
        <v>607</v>
      </c>
      <c r="I1640" s="4" t="s">
        <v>607</v>
      </c>
      <c r="J1640" s="4" t="s">
        <v>607</v>
      </c>
      <c r="K1640" s="4" t="s">
        <v>607</v>
      </c>
      <c r="L1640" s="4" t="s">
        <v>607</v>
      </c>
      <c r="M1640" s="4" t="s">
        <v>607</v>
      </c>
      <c r="N1640" s="4" t="s">
        <v>607</v>
      </c>
      <c r="O1640" s="4"/>
      <c r="P1640" s="4"/>
      <c r="T1640" s="4"/>
    </row>
    <row r="1641">
      <c r="A1641" s="4" t="s">
        <v>4933</v>
      </c>
      <c r="B1641" s="4" t="s">
        <v>607</v>
      </c>
      <c r="C1641" s="6" t="s">
        <v>607</v>
      </c>
      <c r="D1641" s="6" t="s">
        <v>607</v>
      </c>
      <c r="E1641" s="6" t="s">
        <v>607</v>
      </c>
      <c r="F1641" s="6" t="s">
        <v>607</v>
      </c>
      <c r="G1641" s="4" t="s">
        <v>607</v>
      </c>
      <c r="H1641" s="4" t="s">
        <v>607</v>
      </c>
      <c r="I1641" s="4" t="s">
        <v>607</v>
      </c>
      <c r="J1641" s="4" t="s">
        <v>607</v>
      </c>
      <c r="K1641" s="4" t="s">
        <v>607</v>
      </c>
      <c r="L1641" s="4" t="s">
        <v>607</v>
      </c>
      <c r="M1641" s="4" t="s">
        <v>607</v>
      </c>
      <c r="N1641" s="4" t="s">
        <v>607</v>
      </c>
      <c r="O1641" s="4"/>
      <c r="P1641" s="4"/>
      <c r="T1641" s="4"/>
    </row>
    <row r="1642">
      <c r="A1642" s="4" t="s">
        <v>4934</v>
      </c>
      <c r="B1642" s="4" t="s">
        <v>607</v>
      </c>
      <c r="C1642" s="6" t="s">
        <v>607</v>
      </c>
      <c r="D1642" s="6" t="s">
        <v>607</v>
      </c>
      <c r="E1642" s="6" t="s">
        <v>607</v>
      </c>
      <c r="F1642" s="6" t="s">
        <v>607</v>
      </c>
      <c r="G1642" s="4" t="s">
        <v>607</v>
      </c>
      <c r="H1642" s="4" t="s">
        <v>607</v>
      </c>
      <c r="I1642" s="4" t="s">
        <v>607</v>
      </c>
      <c r="J1642" s="4" t="s">
        <v>607</v>
      </c>
      <c r="K1642" s="4" t="s">
        <v>607</v>
      </c>
      <c r="L1642" s="4" t="s">
        <v>607</v>
      </c>
      <c r="M1642" s="4" t="s">
        <v>607</v>
      </c>
      <c r="N1642" s="4" t="s">
        <v>607</v>
      </c>
      <c r="O1642" s="4"/>
      <c r="P1642" s="4"/>
      <c r="T1642" s="4"/>
    </row>
    <row r="1643">
      <c r="A1643" s="4" t="s">
        <v>4935</v>
      </c>
      <c r="B1643" s="4" t="s">
        <v>607</v>
      </c>
      <c r="C1643" s="6" t="s">
        <v>607</v>
      </c>
      <c r="D1643" s="6" t="s">
        <v>607</v>
      </c>
      <c r="E1643" s="6" t="s">
        <v>607</v>
      </c>
      <c r="F1643" s="6" t="s">
        <v>607</v>
      </c>
      <c r="G1643" s="4" t="s">
        <v>607</v>
      </c>
      <c r="H1643" s="4" t="s">
        <v>607</v>
      </c>
      <c r="I1643" s="4" t="s">
        <v>607</v>
      </c>
      <c r="J1643" s="4" t="s">
        <v>607</v>
      </c>
      <c r="K1643" s="4" t="s">
        <v>607</v>
      </c>
      <c r="L1643" s="4" t="s">
        <v>607</v>
      </c>
      <c r="M1643" s="4" t="s">
        <v>607</v>
      </c>
      <c r="N1643" s="4" t="s">
        <v>607</v>
      </c>
      <c r="O1643" s="4"/>
      <c r="P1643" s="4"/>
      <c r="T1643" s="4"/>
    </row>
    <row r="1644">
      <c r="A1644" s="4" t="s">
        <v>4936</v>
      </c>
      <c r="B1644" s="4" t="s">
        <v>607</v>
      </c>
      <c r="C1644" s="6" t="s">
        <v>607</v>
      </c>
      <c r="D1644" s="6" t="s">
        <v>607</v>
      </c>
      <c r="E1644" s="6" t="s">
        <v>607</v>
      </c>
      <c r="F1644" s="6" t="s">
        <v>607</v>
      </c>
      <c r="G1644" s="4" t="s">
        <v>607</v>
      </c>
      <c r="H1644" s="4" t="s">
        <v>607</v>
      </c>
      <c r="I1644" s="4" t="s">
        <v>607</v>
      </c>
      <c r="J1644" s="4" t="s">
        <v>607</v>
      </c>
      <c r="K1644" s="4" t="s">
        <v>607</v>
      </c>
      <c r="L1644" s="4" t="s">
        <v>607</v>
      </c>
      <c r="M1644" s="4" t="s">
        <v>607</v>
      </c>
      <c r="N1644" s="4" t="s">
        <v>607</v>
      </c>
      <c r="O1644" s="4"/>
      <c r="P1644" s="4"/>
      <c r="T1644" s="4"/>
    </row>
    <row r="1645">
      <c r="A1645" s="4" t="s">
        <v>4937</v>
      </c>
      <c r="B1645" s="4" t="s">
        <v>607</v>
      </c>
      <c r="C1645" s="6" t="s">
        <v>607</v>
      </c>
      <c r="D1645" s="6" t="s">
        <v>607</v>
      </c>
      <c r="E1645" s="6" t="s">
        <v>607</v>
      </c>
      <c r="F1645" s="6" t="s">
        <v>607</v>
      </c>
      <c r="G1645" s="4" t="s">
        <v>607</v>
      </c>
      <c r="H1645" s="4" t="s">
        <v>607</v>
      </c>
      <c r="I1645" s="4" t="s">
        <v>607</v>
      </c>
      <c r="J1645" s="4" t="s">
        <v>607</v>
      </c>
      <c r="K1645" s="4" t="s">
        <v>607</v>
      </c>
      <c r="L1645" s="4" t="s">
        <v>607</v>
      </c>
      <c r="M1645" s="4" t="s">
        <v>607</v>
      </c>
      <c r="N1645" s="4" t="s">
        <v>607</v>
      </c>
      <c r="O1645" s="4"/>
      <c r="P1645" s="4"/>
      <c r="T1645" s="4"/>
    </row>
    <row r="1646">
      <c r="A1646" s="4" t="s">
        <v>4938</v>
      </c>
      <c r="B1646" s="4" t="s">
        <v>607</v>
      </c>
      <c r="C1646" s="6" t="s">
        <v>607</v>
      </c>
      <c r="D1646" s="6" t="s">
        <v>607</v>
      </c>
      <c r="E1646" s="6" t="s">
        <v>607</v>
      </c>
      <c r="F1646" s="6" t="s">
        <v>607</v>
      </c>
      <c r="G1646" s="4" t="s">
        <v>607</v>
      </c>
      <c r="H1646" s="4" t="s">
        <v>607</v>
      </c>
      <c r="I1646" s="4" t="s">
        <v>607</v>
      </c>
      <c r="J1646" s="4" t="s">
        <v>607</v>
      </c>
      <c r="K1646" s="4" t="s">
        <v>607</v>
      </c>
      <c r="L1646" s="4" t="s">
        <v>607</v>
      </c>
      <c r="M1646" s="4" t="s">
        <v>607</v>
      </c>
      <c r="N1646" s="4" t="s">
        <v>607</v>
      </c>
      <c r="O1646" s="4"/>
      <c r="P1646" s="4"/>
      <c r="T1646" s="4"/>
    </row>
    <row r="1647">
      <c r="A1647" s="4" t="s">
        <v>4939</v>
      </c>
      <c r="B1647" s="4" t="s">
        <v>607</v>
      </c>
      <c r="C1647" s="6" t="s">
        <v>607</v>
      </c>
      <c r="D1647" s="6" t="s">
        <v>607</v>
      </c>
      <c r="E1647" s="6" t="s">
        <v>607</v>
      </c>
      <c r="F1647" s="6" t="s">
        <v>607</v>
      </c>
      <c r="G1647" s="4" t="s">
        <v>607</v>
      </c>
      <c r="H1647" s="4" t="s">
        <v>607</v>
      </c>
      <c r="I1647" s="4" t="s">
        <v>607</v>
      </c>
      <c r="J1647" s="4" t="s">
        <v>607</v>
      </c>
      <c r="K1647" s="4" t="s">
        <v>607</v>
      </c>
      <c r="L1647" s="4" t="s">
        <v>607</v>
      </c>
      <c r="M1647" s="4" t="s">
        <v>607</v>
      </c>
      <c r="N1647" s="4" t="s">
        <v>607</v>
      </c>
      <c r="O1647" s="4"/>
      <c r="P1647" s="4"/>
      <c r="T1647" s="4"/>
    </row>
    <row r="1648">
      <c r="A1648" s="4" t="s">
        <v>4940</v>
      </c>
      <c r="B1648" s="4" t="s">
        <v>607</v>
      </c>
      <c r="C1648" s="6" t="s">
        <v>607</v>
      </c>
      <c r="D1648" s="6" t="s">
        <v>607</v>
      </c>
      <c r="E1648" s="6" t="s">
        <v>607</v>
      </c>
      <c r="F1648" s="6" t="s">
        <v>607</v>
      </c>
      <c r="G1648" s="4" t="s">
        <v>607</v>
      </c>
      <c r="H1648" s="4" t="s">
        <v>607</v>
      </c>
      <c r="I1648" s="4" t="s">
        <v>607</v>
      </c>
      <c r="J1648" s="4" t="s">
        <v>607</v>
      </c>
      <c r="K1648" s="4" t="s">
        <v>607</v>
      </c>
      <c r="L1648" s="4" t="s">
        <v>607</v>
      </c>
      <c r="M1648" s="4" t="s">
        <v>607</v>
      </c>
      <c r="N1648" s="4" t="s">
        <v>607</v>
      </c>
      <c r="O1648" s="4"/>
      <c r="P1648" s="4"/>
      <c r="T1648" s="4"/>
    </row>
    <row r="1649">
      <c r="A1649" s="4" t="s">
        <v>4941</v>
      </c>
      <c r="B1649" s="4" t="s">
        <v>607</v>
      </c>
      <c r="C1649" s="6" t="s">
        <v>607</v>
      </c>
      <c r="D1649" s="6" t="s">
        <v>607</v>
      </c>
      <c r="E1649" s="6" t="s">
        <v>607</v>
      </c>
      <c r="F1649" s="6" t="s">
        <v>607</v>
      </c>
      <c r="G1649" s="4" t="s">
        <v>607</v>
      </c>
      <c r="H1649" s="4" t="s">
        <v>607</v>
      </c>
      <c r="I1649" s="4" t="s">
        <v>607</v>
      </c>
      <c r="J1649" s="4" t="s">
        <v>607</v>
      </c>
      <c r="K1649" s="4" t="s">
        <v>607</v>
      </c>
      <c r="L1649" s="4" t="s">
        <v>607</v>
      </c>
      <c r="M1649" s="4" t="s">
        <v>607</v>
      </c>
      <c r="N1649" s="4" t="s">
        <v>607</v>
      </c>
      <c r="O1649" s="4"/>
      <c r="P1649" s="4"/>
      <c r="T1649" s="4"/>
    </row>
    <row r="1650">
      <c r="A1650" s="4" t="s">
        <v>4942</v>
      </c>
      <c r="B1650" s="4" t="s">
        <v>607</v>
      </c>
      <c r="C1650" s="6" t="s">
        <v>607</v>
      </c>
      <c r="D1650" s="6" t="s">
        <v>607</v>
      </c>
      <c r="E1650" s="6" t="s">
        <v>607</v>
      </c>
      <c r="F1650" s="6" t="s">
        <v>607</v>
      </c>
      <c r="G1650" s="4" t="s">
        <v>607</v>
      </c>
      <c r="H1650" s="4" t="s">
        <v>607</v>
      </c>
      <c r="I1650" s="4" t="s">
        <v>607</v>
      </c>
      <c r="J1650" s="4" t="s">
        <v>607</v>
      </c>
      <c r="K1650" s="4" t="s">
        <v>607</v>
      </c>
      <c r="L1650" s="4" t="s">
        <v>607</v>
      </c>
      <c r="M1650" s="4" t="s">
        <v>607</v>
      </c>
      <c r="N1650" s="4" t="s">
        <v>607</v>
      </c>
      <c r="O1650" s="4"/>
      <c r="P1650" s="4"/>
      <c r="T1650" s="4"/>
    </row>
    <row r="1651">
      <c r="A1651" s="4" t="s">
        <v>4943</v>
      </c>
      <c r="B1651" s="4" t="s">
        <v>607</v>
      </c>
      <c r="C1651" s="6" t="s">
        <v>607</v>
      </c>
      <c r="D1651" s="6" t="s">
        <v>607</v>
      </c>
      <c r="E1651" s="6" t="s">
        <v>607</v>
      </c>
      <c r="F1651" s="6" t="s">
        <v>607</v>
      </c>
      <c r="G1651" s="4" t="s">
        <v>607</v>
      </c>
      <c r="H1651" s="4" t="s">
        <v>607</v>
      </c>
      <c r="I1651" s="4" t="s">
        <v>607</v>
      </c>
      <c r="J1651" s="4" t="s">
        <v>607</v>
      </c>
      <c r="K1651" s="4" t="s">
        <v>607</v>
      </c>
      <c r="L1651" s="4" t="s">
        <v>607</v>
      </c>
      <c r="M1651" s="4" t="s">
        <v>607</v>
      </c>
      <c r="N1651" s="4" t="s">
        <v>607</v>
      </c>
      <c r="O1651" s="4"/>
      <c r="P1651" s="4"/>
      <c r="T1651" s="4"/>
    </row>
    <row r="1652">
      <c r="A1652" s="4" t="s">
        <v>4944</v>
      </c>
      <c r="B1652" s="4" t="s">
        <v>607</v>
      </c>
      <c r="C1652" s="6" t="s">
        <v>607</v>
      </c>
      <c r="D1652" s="6" t="s">
        <v>607</v>
      </c>
      <c r="E1652" s="6" t="s">
        <v>607</v>
      </c>
      <c r="F1652" s="6" t="s">
        <v>607</v>
      </c>
      <c r="G1652" s="4" t="s">
        <v>607</v>
      </c>
      <c r="H1652" s="4" t="s">
        <v>607</v>
      </c>
      <c r="I1652" s="4" t="s">
        <v>607</v>
      </c>
      <c r="J1652" s="4" t="s">
        <v>607</v>
      </c>
      <c r="K1652" s="4" t="s">
        <v>607</v>
      </c>
      <c r="L1652" s="4" t="s">
        <v>607</v>
      </c>
      <c r="M1652" s="4" t="s">
        <v>607</v>
      </c>
      <c r="N1652" s="4" t="s">
        <v>607</v>
      </c>
      <c r="O1652" s="4"/>
      <c r="P1652" s="4"/>
      <c r="T1652" s="4"/>
    </row>
    <row r="1653">
      <c r="A1653" s="4" t="s">
        <v>4945</v>
      </c>
      <c r="B1653" s="4" t="s">
        <v>607</v>
      </c>
      <c r="C1653" s="6" t="s">
        <v>607</v>
      </c>
      <c r="D1653" s="6" t="s">
        <v>607</v>
      </c>
      <c r="E1653" s="6" t="s">
        <v>607</v>
      </c>
      <c r="F1653" s="6" t="s">
        <v>607</v>
      </c>
      <c r="G1653" s="4" t="s">
        <v>607</v>
      </c>
      <c r="H1653" s="4" t="s">
        <v>607</v>
      </c>
      <c r="I1653" s="4" t="s">
        <v>607</v>
      </c>
      <c r="J1653" s="4" t="s">
        <v>607</v>
      </c>
      <c r="K1653" s="4" t="s">
        <v>607</v>
      </c>
      <c r="L1653" s="4" t="s">
        <v>607</v>
      </c>
      <c r="M1653" s="4" t="s">
        <v>607</v>
      </c>
      <c r="N1653" s="4" t="s">
        <v>607</v>
      </c>
      <c r="O1653" s="4"/>
      <c r="P1653" s="4"/>
      <c r="T1653" s="4"/>
    </row>
    <row r="1654">
      <c r="A1654" s="4" t="s">
        <v>4946</v>
      </c>
      <c r="B1654" s="4" t="s">
        <v>607</v>
      </c>
      <c r="C1654" s="6" t="s">
        <v>607</v>
      </c>
      <c r="D1654" s="6" t="s">
        <v>607</v>
      </c>
      <c r="E1654" s="6" t="s">
        <v>607</v>
      </c>
      <c r="F1654" s="6" t="s">
        <v>607</v>
      </c>
      <c r="G1654" s="4" t="s">
        <v>607</v>
      </c>
      <c r="H1654" s="4" t="s">
        <v>607</v>
      </c>
      <c r="I1654" s="4" t="s">
        <v>607</v>
      </c>
      <c r="J1654" s="4" t="s">
        <v>607</v>
      </c>
      <c r="K1654" s="4" t="s">
        <v>607</v>
      </c>
      <c r="L1654" s="4" t="s">
        <v>607</v>
      </c>
      <c r="M1654" s="4" t="s">
        <v>607</v>
      </c>
      <c r="N1654" s="4" t="s">
        <v>607</v>
      </c>
      <c r="O1654" s="4"/>
      <c r="P1654" s="4"/>
      <c r="T1654" s="4"/>
    </row>
    <row r="1655">
      <c r="A1655" s="4" t="s">
        <v>4947</v>
      </c>
      <c r="B1655" s="4" t="s">
        <v>607</v>
      </c>
      <c r="C1655" s="6" t="s">
        <v>607</v>
      </c>
      <c r="D1655" s="6" t="s">
        <v>607</v>
      </c>
      <c r="E1655" s="6" t="s">
        <v>607</v>
      </c>
      <c r="F1655" s="6" t="s">
        <v>607</v>
      </c>
      <c r="G1655" s="4" t="s">
        <v>607</v>
      </c>
      <c r="H1655" s="4" t="s">
        <v>607</v>
      </c>
      <c r="I1655" s="4" t="s">
        <v>607</v>
      </c>
      <c r="J1655" s="4" t="s">
        <v>607</v>
      </c>
      <c r="K1655" s="4" t="s">
        <v>607</v>
      </c>
      <c r="L1655" s="4" t="s">
        <v>607</v>
      </c>
      <c r="M1655" s="4" t="s">
        <v>607</v>
      </c>
      <c r="N1655" s="4" t="s">
        <v>607</v>
      </c>
      <c r="O1655" s="4"/>
      <c r="P1655" s="4"/>
      <c r="T1655" s="4"/>
    </row>
    <row r="1656">
      <c r="A1656" s="4" t="s">
        <v>4948</v>
      </c>
      <c r="B1656" s="4" t="s">
        <v>607</v>
      </c>
      <c r="C1656" s="6" t="s">
        <v>607</v>
      </c>
      <c r="D1656" s="6" t="s">
        <v>607</v>
      </c>
      <c r="E1656" s="6" t="s">
        <v>607</v>
      </c>
      <c r="F1656" s="6" t="s">
        <v>607</v>
      </c>
      <c r="G1656" s="4" t="s">
        <v>607</v>
      </c>
      <c r="H1656" s="4" t="s">
        <v>607</v>
      </c>
      <c r="I1656" s="4" t="s">
        <v>607</v>
      </c>
      <c r="J1656" s="4" t="s">
        <v>607</v>
      </c>
      <c r="K1656" s="4" t="s">
        <v>607</v>
      </c>
      <c r="L1656" s="4" t="s">
        <v>607</v>
      </c>
      <c r="M1656" s="4" t="s">
        <v>607</v>
      </c>
      <c r="N1656" s="4" t="s">
        <v>607</v>
      </c>
      <c r="O1656" s="4"/>
      <c r="P1656" s="4"/>
      <c r="T1656" s="4"/>
    </row>
    <row r="1657">
      <c r="A1657" s="4" t="s">
        <v>4949</v>
      </c>
      <c r="B1657" s="4" t="s">
        <v>607</v>
      </c>
      <c r="C1657" s="6" t="s">
        <v>607</v>
      </c>
      <c r="D1657" s="6" t="s">
        <v>607</v>
      </c>
      <c r="E1657" s="6" t="s">
        <v>607</v>
      </c>
      <c r="F1657" s="6" t="s">
        <v>607</v>
      </c>
      <c r="G1657" s="4" t="s">
        <v>607</v>
      </c>
      <c r="H1657" s="4" t="s">
        <v>607</v>
      </c>
      <c r="I1657" s="4" t="s">
        <v>607</v>
      </c>
      <c r="J1657" s="4" t="s">
        <v>607</v>
      </c>
      <c r="K1657" s="4" t="s">
        <v>607</v>
      </c>
      <c r="L1657" s="4" t="s">
        <v>607</v>
      </c>
      <c r="M1657" s="4" t="s">
        <v>607</v>
      </c>
      <c r="N1657" s="4" t="s">
        <v>607</v>
      </c>
      <c r="O1657" s="4"/>
      <c r="P1657" s="4"/>
      <c r="T1657" s="4"/>
    </row>
    <row r="1658">
      <c r="A1658" s="4" t="s">
        <v>4950</v>
      </c>
      <c r="B1658" s="4" t="s">
        <v>607</v>
      </c>
      <c r="C1658" s="6" t="s">
        <v>607</v>
      </c>
      <c r="D1658" s="6" t="s">
        <v>607</v>
      </c>
      <c r="E1658" s="6" t="s">
        <v>607</v>
      </c>
      <c r="F1658" s="6" t="s">
        <v>607</v>
      </c>
      <c r="G1658" s="4" t="s">
        <v>607</v>
      </c>
      <c r="H1658" s="4" t="s">
        <v>607</v>
      </c>
      <c r="I1658" s="4" t="s">
        <v>607</v>
      </c>
      <c r="J1658" s="4" t="s">
        <v>607</v>
      </c>
      <c r="K1658" s="4" t="s">
        <v>607</v>
      </c>
      <c r="L1658" s="4" t="s">
        <v>607</v>
      </c>
      <c r="M1658" s="4" t="s">
        <v>607</v>
      </c>
      <c r="N1658" s="4" t="s">
        <v>607</v>
      </c>
      <c r="O1658" s="4"/>
      <c r="P1658" s="4"/>
      <c r="T1658" s="4"/>
    </row>
    <row r="1659">
      <c r="A1659" s="4" t="s">
        <v>4951</v>
      </c>
      <c r="B1659" s="4" t="s">
        <v>607</v>
      </c>
      <c r="C1659" s="6" t="s">
        <v>607</v>
      </c>
      <c r="D1659" s="6" t="s">
        <v>607</v>
      </c>
      <c r="E1659" s="6" t="s">
        <v>607</v>
      </c>
      <c r="F1659" s="6" t="s">
        <v>607</v>
      </c>
      <c r="G1659" s="4" t="s">
        <v>607</v>
      </c>
      <c r="H1659" s="4" t="s">
        <v>607</v>
      </c>
      <c r="I1659" s="4" t="s">
        <v>607</v>
      </c>
      <c r="J1659" s="4" t="s">
        <v>607</v>
      </c>
      <c r="K1659" s="4" t="s">
        <v>607</v>
      </c>
      <c r="L1659" s="4" t="s">
        <v>607</v>
      </c>
      <c r="M1659" s="4" t="s">
        <v>607</v>
      </c>
      <c r="N1659" s="4" t="s">
        <v>607</v>
      </c>
      <c r="O1659" s="4"/>
      <c r="P1659" s="4"/>
      <c r="T1659" s="4"/>
    </row>
    <row r="1660">
      <c r="A1660" s="4" t="s">
        <v>4952</v>
      </c>
      <c r="B1660" s="4" t="s">
        <v>607</v>
      </c>
      <c r="C1660" s="6" t="s">
        <v>607</v>
      </c>
      <c r="D1660" s="6" t="s">
        <v>607</v>
      </c>
      <c r="E1660" s="6" t="s">
        <v>607</v>
      </c>
      <c r="F1660" s="6" t="s">
        <v>607</v>
      </c>
      <c r="G1660" s="4" t="s">
        <v>607</v>
      </c>
      <c r="H1660" s="4" t="s">
        <v>607</v>
      </c>
      <c r="I1660" s="4" t="s">
        <v>607</v>
      </c>
      <c r="J1660" s="4" t="s">
        <v>607</v>
      </c>
      <c r="K1660" s="4" t="s">
        <v>607</v>
      </c>
      <c r="L1660" s="4" t="s">
        <v>607</v>
      </c>
      <c r="M1660" s="4" t="s">
        <v>607</v>
      </c>
      <c r="N1660" s="4" t="s">
        <v>607</v>
      </c>
      <c r="O1660" s="4"/>
      <c r="P1660" s="4"/>
      <c r="T1660" s="4"/>
    </row>
    <row r="1661">
      <c r="A1661" s="4" t="s">
        <v>4953</v>
      </c>
      <c r="B1661" s="4" t="s">
        <v>607</v>
      </c>
      <c r="C1661" s="6" t="s">
        <v>607</v>
      </c>
      <c r="D1661" s="6" t="s">
        <v>607</v>
      </c>
      <c r="E1661" s="6" t="s">
        <v>607</v>
      </c>
      <c r="F1661" s="6" t="s">
        <v>607</v>
      </c>
      <c r="G1661" s="4" t="s">
        <v>607</v>
      </c>
      <c r="H1661" s="4" t="s">
        <v>607</v>
      </c>
      <c r="I1661" s="4" t="s">
        <v>607</v>
      </c>
      <c r="J1661" s="4" t="s">
        <v>607</v>
      </c>
      <c r="K1661" s="4" t="s">
        <v>607</v>
      </c>
      <c r="L1661" s="4" t="s">
        <v>607</v>
      </c>
      <c r="M1661" s="4" t="s">
        <v>607</v>
      </c>
      <c r="N1661" s="4" t="s">
        <v>607</v>
      </c>
      <c r="O1661" s="4"/>
      <c r="P1661" s="4"/>
      <c r="T1661" s="4"/>
    </row>
    <row r="1662">
      <c r="A1662" s="4" t="s">
        <v>4954</v>
      </c>
      <c r="B1662" s="4" t="s">
        <v>607</v>
      </c>
      <c r="C1662" s="6" t="s">
        <v>607</v>
      </c>
      <c r="D1662" s="6" t="s">
        <v>607</v>
      </c>
      <c r="E1662" s="6" t="s">
        <v>607</v>
      </c>
      <c r="F1662" s="6" t="s">
        <v>607</v>
      </c>
      <c r="G1662" s="4" t="s">
        <v>607</v>
      </c>
      <c r="H1662" s="4" t="s">
        <v>607</v>
      </c>
      <c r="I1662" s="4" t="s">
        <v>607</v>
      </c>
      <c r="J1662" s="4" t="s">
        <v>607</v>
      </c>
      <c r="K1662" s="4" t="s">
        <v>607</v>
      </c>
      <c r="L1662" s="4" t="s">
        <v>607</v>
      </c>
      <c r="M1662" s="4" t="s">
        <v>607</v>
      </c>
      <c r="N1662" s="4" t="s">
        <v>607</v>
      </c>
      <c r="O1662" s="4"/>
      <c r="P1662" s="4"/>
      <c r="T1662" s="4"/>
    </row>
    <row r="1663">
      <c r="A1663" s="4" t="s">
        <v>4955</v>
      </c>
      <c r="B1663" s="4" t="s">
        <v>607</v>
      </c>
      <c r="C1663" s="6" t="s">
        <v>607</v>
      </c>
      <c r="D1663" s="6" t="s">
        <v>607</v>
      </c>
      <c r="E1663" s="6" t="s">
        <v>607</v>
      </c>
      <c r="F1663" s="6" t="s">
        <v>607</v>
      </c>
      <c r="G1663" s="4" t="s">
        <v>607</v>
      </c>
      <c r="H1663" s="4" t="s">
        <v>607</v>
      </c>
      <c r="I1663" s="4" t="s">
        <v>607</v>
      </c>
      <c r="J1663" s="4" t="s">
        <v>607</v>
      </c>
      <c r="K1663" s="4" t="s">
        <v>607</v>
      </c>
      <c r="L1663" s="4" t="s">
        <v>607</v>
      </c>
      <c r="M1663" s="4" t="s">
        <v>607</v>
      </c>
      <c r="N1663" s="4" t="s">
        <v>607</v>
      </c>
      <c r="O1663" s="4"/>
      <c r="P1663" s="4"/>
      <c r="T1663" s="4"/>
    </row>
    <row r="1664">
      <c r="A1664" s="4" t="s">
        <v>4956</v>
      </c>
      <c r="B1664" s="4" t="s">
        <v>607</v>
      </c>
      <c r="C1664" s="6" t="s">
        <v>607</v>
      </c>
      <c r="D1664" s="6" t="s">
        <v>607</v>
      </c>
      <c r="E1664" s="6" t="s">
        <v>607</v>
      </c>
      <c r="F1664" s="6" t="s">
        <v>607</v>
      </c>
      <c r="G1664" s="4" t="s">
        <v>607</v>
      </c>
      <c r="H1664" s="4" t="s">
        <v>607</v>
      </c>
      <c r="I1664" s="4" t="s">
        <v>607</v>
      </c>
      <c r="J1664" s="4" t="s">
        <v>607</v>
      </c>
      <c r="K1664" s="4" t="s">
        <v>607</v>
      </c>
      <c r="L1664" s="4" t="s">
        <v>607</v>
      </c>
      <c r="M1664" s="4" t="s">
        <v>607</v>
      </c>
      <c r="N1664" s="4" t="s">
        <v>607</v>
      </c>
      <c r="O1664" s="4"/>
      <c r="P1664" s="4"/>
      <c r="T1664" s="4"/>
    </row>
    <row r="1665">
      <c r="A1665" s="4" t="s">
        <v>4957</v>
      </c>
      <c r="B1665" s="4" t="s">
        <v>607</v>
      </c>
      <c r="C1665" s="6" t="s">
        <v>607</v>
      </c>
      <c r="D1665" s="6" t="s">
        <v>607</v>
      </c>
      <c r="E1665" s="6" t="s">
        <v>607</v>
      </c>
      <c r="F1665" s="6" t="s">
        <v>607</v>
      </c>
      <c r="G1665" s="4" t="s">
        <v>607</v>
      </c>
      <c r="H1665" s="4" t="s">
        <v>607</v>
      </c>
      <c r="I1665" s="4" t="s">
        <v>607</v>
      </c>
      <c r="J1665" s="4" t="s">
        <v>607</v>
      </c>
      <c r="K1665" s="4" t="s">
        <v>607</v>
      </c>
      <c r="L1665" s="4" t="s">
        <v>607</v>
      </c>
      <c r="M1665" s="4" t="s">
        <v>607</v>
      </c>
      <c r="N1665" s="4" t="s">
        <v>607</v>
      </c>
      <c r="O1665" s="4"/>
      <c r="P1665" s="4"/>
      <c r="T1665" s="4"/>
    </row>
    <row r="1666">
      <c r="A1666" s="4" t="s">
        <v>4958</v>
      </c>
      <c r="B1666" s="4" t="s">
        <v>607</v>
      </c>
      <c r="C1666" s="6" t="s">
        <v>607</v>
      </c>
      <c r="D1666" s="6" t="s">
        <v>607</v>
      </c>
      <c r="E1666" s="6" t="s">
        <v>607</v>
      </c>
      <c r="F1666" s="6" t="s">
        <v>607</v>
      </c>
      <c r="G1666" s="4" t="s">
        <v>607</v>
      </c>
      <c r="H1666" s="4" t="s">
        <v>607</v>
      </c>
      <c r="I1666" s="4" t="s">
        <v>607</v>
      </c>
      <c r="J1666" s="4" t="s">
        <v>607</v>
      </c>
      <c r="K1666" s="4" t="s">
        <v>607</v>
      </c>
      <c r="L1666" s="4" t="s">
        <v>607</v>
      </c>
      <c r="M1666" s="4" t="s">
        <v>607</v>
      </c>
      <c r="N1666" s="4" t="s">
        <v>607</v>
      </c>
      <c r="O1666" s="4"/>
      <c r="P1666" s="4"/>
      <c r="T1666" s="4"/>
    </row>
    <row r="1667">
      <c r="A1667" s="4" t="s">
        <v>4959</v>
      </c>
      <c r="B1667" s="4" t="s">
        <v>607</v>
      </c>
      <c r="C1667" s="6" t="s">
        <v>607</v>
      </c>
      <c r="D1667" s="6" t="s">
        <v>607</v>
      </c>
      <c r="E1667" s="6" t="s">
        <v>607</v>
      </c>
      <c r="F1667" s="6" t="s">
        <v>607</v>
      </c>
      <c r="G1667" s="4" t="s">
        <v>607</v>
      </c>
      <c r="H1667" s="4" t="s">
        <v>607</v>
      </c>
      <c r="I1667" s="4" t="s">
        <v>607</v>
      </c>
      <c r="J1667" s="4" t="s">
        <v>607</v>
      </c>
      <c r="K1667" s="4" t="s">
        <v>607</v>
      </c>
      <c r="L1667" s="4" t="s">
        <v>607</v>
      </c>
      <c r="M1667" s="4" t="s">
        <v>607</v>
      </c>
      <c r="N1667" s="4" t="s">
        <v>607</v>
      </c>
      <c r="O1667" s="4"/>
      <c r="P1667" s="4"/>
      <c r="T1667" s="4"/>
    </row>
    <row r="1668">
      <c r="A1668" s="4" t="s">
        <v>4960</v>
      </c>
      <c r="B1668" s="4" t="s">
        <v>607</v>
      </c>
      <c r="C1668" s="6" t="s">
        <v>607</v>
      </c>
      <c r="D1668" s="6" t="s">
        <v>607</v>
      </c>
      <c r="E1668" s="6" t="s">
        <v>607</v>
      </c>
      <c r="F1668" s="6" t="s">
        <v>607</v>
      </c>
      <c r="G1668" s="4" t="s">
        <v>607</v>
      </c>
      <c r="H1668" s="4" t="s">
        <v>607</v>
      </c>
      <c r="I1668" s="4" t="s">
        <v>607</v>
      </c>
      <c r="J1668" s="4" t="s">
        <v>607</v>
      </c>
      <c r="K1668" s="4" t="s">
        <v>607</v>
      </c>
      <c r="L1668" s="4" t="s">
        <v>607</v>
      </c>
      <c r="M1668" s="4" t="s">
        <v>607</v>
      </c>
      <c r="N1668" s="4" t="s">
        <v>607</v>
      </c>
      <c r="O1668" s="4"/>
      <c r="P1668" s="4"/>
      <c r="T1668" s="4"/>
    </row>
    <row r="1669">
      <c r="A1669" s="4" t="s">
        <v>4961</v>
      </c>
      <c r="B1669" s="4" t="s">
        <v>607</v>
      </c>
      <c r="C1669" s="6" t="s">
        <v>607</v>
      </c>
      <c r="D1669" s="6" t="s">
        <v>607</v>
      </c>
      <c r="E1669" s="6" t="s">
        <v>607</v>
      </c>
      <c r="F1669" s="6" t="s">
        <v>607</v>
      </c>
      <c r="G1669" s="4" t="s">
        <v>607</v>
      </c>
      <c r="H1669" s="4" t="s">
        <v>607</v>
      </c>
      <c r="I1669" s="4" t="s">
        <v>607</v>
      </c>
      <c r="J1669" s="4" t="s">
        <v>607</v>
      </c>
      <c r="K1669" s="4" t="s">
        <v>607</v>
      </c>
      <c r="L1669" s="4" t="s">
        <v>607</v>
      </c>
      <c r="M1669" s="4" t="s">
        <v>607</v>
      </c>
      <c r="N1669" s="4" t="s">
        <v>607</v>
      </c>
      <c r="O1669" s="4"/>
      <c r="P1669" s="4"/>
      <c r="T1669" s="4"/>
    </row>
    <row r="1670">
      <c r="A1670" s="4" t="s">
        <v>4962</v>
      </c>
      <c r="B1670" s="4" t="s">
        <v>607</v>
      </c>
      <c r="C1670" s="6" t="s">
        <v>607</v>
      </c>
      <c r="D1670" s="6" t="s">
        <v>607</v>
      </c>
      <c r="E1670" s="6" t="s">
        <v>607</v>
      </c>
      <c r="F1670" s="6" t="s">
        <v>607</v>
      </c>
      <c r="G1670" s="4" t="s">
        <v>607</v>
      </c>
      <c r="H1670" s="4" t="s">
        <v>607</v>
      </c>
      <c r="I1670" s="4" t="s">
        <v>607</v>
      </c>
      <c r="J1670" s="4" t="s">
        <v>607</v>
      </c>
      <c r="K1670" s="4" t="s">
        <v>607</v>
      </c>
      <c r="L1670" s="4" t="s">
        <v>607</v>
      </c>
      <c r="M1670" s="4" t="s">
        <v>607</v>
      </c>
      <c r="N1670" s="4" t="s">
        <v>607</v>
      </c>
      <c r="O1670" s="4"/>
      <c r="P1670" s="4"/>
      <c r="T1670" s="4"/>
    </row>
    <row r="1671">
      <c r="A1671" s="4" t="s">
        <v>4963</v>
      </c>
      <c r="B1671" s="4" t="s">
        <v>607</v>
      </c>
      <c r="C1671" s="6" t="s">
        <v>607</v>
      </c>
      <c r="D1671" s="6" t="s">
        <v>607</v>
      </c>
      <c r="E1671" s="6" t="s">
        <v>607</v>
      </c>
      <c r="F1671" s="6" t="s">
        <v>607</v>
      </c>
      <c r="G1671" s="4" t="s">
        <v>607</v>
      </c>
      <c r="H1671" s="4" t="s">
        <v>607</v>
      </c>
      <c r="I1671" s="4" t="s">
        <v>607</v>
      </c>
      <c r="J1671" s="4" t="s">
        <v>607</v>
      </c>
      <c r="K1671" s="4" t="s">
        <v>607</v>
      </c>
      <c r="L1671" s="4" t="s">
        <v>607</v>
      </c>
      <c r="M1671" s="4" t="s">
        <v>607</v>
      </c>
      <c r="N1671" s="4" t="s">
        <v>607</v>
      </c>
      <c r="O1671" s="4"/>
      <c r="P1671" s="4"/>
      <c r="T1671" s="4"/>
    </row>
    <row r="1672">
      <c r="A1672" s="4" t="s">
        <v>4964</v>
      </c>
      <c r="B1672" s="4" t="s">
        <v>607</v>
      </c>
      <c r="C1672" s="6" t="s">
        <v>607</v>
      </c>
      <c r="D1672" s="6" t="s">
        <v>607</v>
      </c>
      <c r="E1672" s="6" t="s">
        <v>607</v>
      </c>
      <c r="F1672" s="6" t="s">
        <v>607</v>
      </c>
      <c r="G1672" s="4" t="s">
        <v>607</v>
      </c>
      <c r="H1672" s="4" t="s">
        <v>607</v>
      </c>
      <c r="I1672" s="4" t="s">
        <v>607</v>
      </c>
      <c r="J1672" s="4" t="s">
        <v>607</v>
      </c>
      <c r="K1672" s="4" t="s">
        <v>607</v>
      </c>
      <c r="L1672" s="4" t="s">
        <v>607</v>
      </c>
      <c r="M1672" s="4" t="s">
        <v>607</v>
      </c>
      <c r="N1672" s="4" t="s">
        <v>607</v>
      </c>
      <c r="O1672" s="4"/>
      <c r="P1672" s="4"/>
      <c r="T1672" s="4"/>
    </row>
    <row r="1673">
      <c r="A1673" s="4" t="s">
        <v>4965</v>
      </c>
      <c r="B1673" s="4" t="s">
        <v>607</v>
      </c>
      <c r="C1673" s="6" t="s">
        <v>607</v>
      </c>
      <c r="D1673" s="6" t="s">
        <v>607</v>
      </c>
      <c r="E1673" s="6" t="s">
        <v>607</v>
      </c>
      <c r="F1673" s="6" t="s">
        <v>607</v>
      </c>
      <c r="G1673" s="4" t="s">
        <v>607</v>
      </c>
      <c r="H1673" s="4" t="s">
        <v>607</v>
      </c>
      <c r="I1673" s="4" t="s">
        <v>607</v>
      </c>
      <c r="J1673" s="4" t="s">
        <v>607</v>
      </c>
      <c r="K1673" s="4" t="s">
        <v>607</v>
      </c>
      <c r="L1673" s="4" t="s">
        <v>607</v>
      </c>
      <c r="M1673" s="4" t="s">
        <v>607</v>
      </c>
      <c r="N1673" s="4" t="s">
        <v>607</v>
      </c>
      <c r="O1673" s="4"/>
      <c r="P1673" s="4"/>
      <c r="T1673" s="4"/>
    </row>
    <row r="1674">
      <c r="A1674" s="4" t="s">
        <v>4966</v>
      </c>
      <c r="B1674" s="4" t="s">
        <v>607</v>
      </c>
      <c r="C1674" s="6" t="s">
        <v>607</v>
      </c>
      <c r="D1674" s="6" t="s">
        <v>607</v>
      </c>
      <c r="E1674" s="6" t="s">
        <v>607</v>
      </c>
      <c r="F1674" s="6" t="s">
        <v>607</v>
      </c>
      <c r="G1674" s="4" t="s">
        <v>607</v>
      </c>
      <c r="H1674" s="4" t="s">
        <v>607</v>
      </c>
      <c r="I1674" s="4" t="s">
        <v>607</v>
      </c>
      <c r="J1674" s="4" t="s">
        <v>607</v>
      </c>
      <c r="K1674" s="4" t="s">
        <v>607</v>
      </c>
      <c r="L1674" s="4" t="s">
        <v>607</v>
      </c>
      <c r="M1674" s="4" t="s">
        <v>607</v>
      </c>
      <c r="N1674" s="4" t="s">
        <v>607</v>
      </c>
      <c r="O1674" s="4"/>
      <c r="P1674" s="4"/>
      <c r="T1674" s="4"/>
    </row>
    <row r="1675">
      <c r="A1675" s="4" t="s">
        <v>4967</v>
      </c>
      <c r="B1675" s="4" t="s">
        <v>607</v>
      </c>
      <c r="C1675" s="6" t="s">
        <v>607</v>
      </c>
      <c r="D1675" s="6" t="s">
        <v>607</v>
      </c>
      <c r="E1675" s="6" t="s">
        <v>607</v>
      </c>
      <c r="F1675" s="6" t="s">
        <v>607</v>
      </c>
      <c r="G1675" s="4" t="s">
        <v>607</v>
      </c>
      <c r="H1675" s="4" t="s">
        <v>607</v>
      </c>
      <c r="I1675" s="4" t="s">
        <v>607</v>
      </c>
      <c r="J1675" s="4" t="s">
        <v>607</v>
      </c>
      <c r="K1675" s="4" t="s">
        <v>607</v>
      </c>
      <c r="L1675" s="4" t="s">
        <v>607</v>
      </c>
      <c r="M1675" s="4" t="s">
        <v>607</v>
      </c>
      <c r="N1675" s="4" t="s">
        <v>607</v>
      </c>
      <c r="O1675" s="4"/>
      <c r="P1675" s="4"/>
      <c r="T1675" s="4"/>
    </row>
    <row r="1676">
      <c r="A1676" s="4" t="s">
        <v>4968</v>
      </c>
      <c r="B1676" s="4" t="s">
        <v>607</v>
      </c>
      <c r="C1676" s="6" t="s">
        <v>607</v>
      </c>
      <c r="D1676" s="6" t="s">
        <v>607</v>
      </c>
      <c r="E1676" s="6" t="s">
        <v>607</v>
      </c>
      <c r="F1676" s="6" t="s">
        <v>607</v>
      </c>
      <c r="G1676" s="4" t="s">
        <v>607</v>
      </c>
      <c r="H1676" s="4" t="s">
        <v>607</v>
      </c>
      <c r="I1676" s="4" t="s">
        <v>607</v>
      </c>
      <c r="J1676" s="4" t="s">
        <v>607</v>
      </c>
      <c r="K1676" s="4" t="s">
        <v>607</v>
      </c>
      <c r="L1676" s="4" t="s">
        <v>607</v>
      </c>
      <c r="M1676" s="4" t="s">
        <v>607</v>
      </c>
      <c r="N1676" s="4" t="s">
        <v>607</v>
      </c>
      <c r="O1676" s="4"/>
      <c r="P1676" s="4"/>
      <c r="T1676" s="4"/>
    </row>
    <row r="1677">
      <c r="A1677" s="4" t="s">
        <v>4969</v>
      </c>
      <c r="B1677" s="4" t="s">
        <v>607</v>
      </c>
      <c r="C1677" s="6" t="s">
        <v>607</v>
      </c>
      <c r="D1677" s="6" t="s">
        <v>607</v>
      </c>
      <c r="E1677" s="6" t="s">
        <v>607</v>
      </c>
      <c r="F1677" s="6" t="s">
        <v>607</v>
      </c>
      <c r="G1677" s="4" t="s">
        <v>607</v>
      </c>
      <c r="H1677" s="4" t="s">
        <v>607</v>
      </c>
      <c r="I1677" s="4" t="s">
        <v>607</v>
      </c>
      <c r="J1677" s="4" t="s">
        <v>607</v>
      </c>
      <c r="K1677" s="4" t="s">
        <v>607</v>
      </c>
      <c r="L1677" s="4" t="s">
        <v>607</v>
      </c>
      <c r="M1677" s="4" t="s">
        <v>607</v>
      </c>
      <c r="N1677" s="4" t="s">
        <v>607</v>
      </c>
      <c r="O1677" s="4"/>
      <c r="P1677" s="4"/>
      <c r="T1677" s="4"/>
    </row>
    <row r="1678">
      <c r="A1678" s="4" t="s">
        <v>4970</v>
      </c>
      <c r="B1678" s="4" t="s">
        <v>607</v>
      </c>
      <c r="C1678" s="6" t="s">
        <v>607</v>
      </c>
      <c r="D1678" s="6" t="s">
        <v>607</v>
      </c>
      <c r="E1678" s="6" t="s">
        <v>607</v>
      </c>
      <c r="F1678" s="6" t="s">
        <v>607</v>
      </c>
      <c r="G1678" s="4" t="s">
        <v>607</v>
      </c>
      <c r="H1678" s="4" t="s">
        <v>607</v>
      </c>
      <c r="I1678" s="4" t="s">
        <v>607</v>
      </c>
      <c r="J1678" s="4" t="s">
        <v>607</v>
      </c>
      <c r="K1678" s="4" t="s">
        <v>607</v>
      </c>
      <c r="L1678" s="4" t="s">
        <v>607</v>
      </c>
      <c r="M1678" s="4" t="s">
        <v>607</v>
      </c>
      <c r="N1678" s="4" t="s">
        <v>607</v>
      </c>
      <c r="O1678" s="4"/>
      <c r="P1678" s="4"/>
      <c r="T1678" s="4"/>
    </row>
    <row r="1679">
      <c r="A1679" s="4" t="s">
        <v>4971</v>
      </c>
      <c r="B1679" s="4" t="s">
        <v>607</v>
      </c>
      <c r="C1679" s="6" t="s">
        <v>607</v>
      </c>
      <c r="D1679" s="6" t="s">
        <v>607</v>
      </c>
      <c r="E1679" s="6" t="s">
        <v>607</v>
      </c>
      <c r="F1679" s="6" t="s">
        <v>607</v>
      </c>
      <c r="G1679" s="4" t="s">
        <v>607</v>
      </c>
      <c r="H1679" s="4" t="s">
        <v>607</v>
      </c>
      <c r="I1679" s="4" t="s">
        <v>607</v>
      </c>
      <c r="J1679" s="4" t="s">
        <v>607</v>
      </c>
      <c r="K1679" s="4" t="s">
        <v>607</v>
      </c>
      <c r="L1679" s="4" t="s">
        <v>607</v>
      </c>
      <c r="M1679" s="4" t="s">
        <v>607</v>
      </c>
      <c r="N1679" s="4" t="s">
        <v>607</v>
      </c>
      <c r="O1679" s="4"/>
      <c r="P1679" s="4"/>
      <c r="T1679" s="4"/>
    </row>
    <row r="1680">
      <c r="A1680" s="4" t="s">
        <v>4972</v>
      </c>
      <c r="B1680" s="4" t="s">
        <v>607</v>
      </c>
      <c r="C1680" s="6" t="s">
        <v>607</v>
      </c>
      <c r="D1680" s="6" t="s">
        <v>607</v>
      </c>
      <c r="E1680" s="6" t="s">
        <v>607</v>
      </c>
      <c r="F1680" s="6" t="s">
        <v>607</v>
      </c>
      <c r="G1680" s="4" t="s">
        <v>607</v>
      </c>
      <c r="H1680" s="4" t="s">
        <v>607</v>
      </c>
      <c r="I1680" s="4" t="s">
        <v>607</v>
      </c>
      <c r="J1680" s="4" t="s">
        <v>607</v>
      </c>
      <c r="K1680" s="4" t="s">
        <v>607</v>
      </c>
      <c r="L1680" s="4" t="s">
        <v>607</v>
      </c>
      <c r="M1680" s="4" t="s">
        <v>607</v>
      </c>
      <c r="N1680" s="4" t="s">
        <v>607</v>
      </c>
      <c r="O1680" s="4"/>
      <c r="P1680" s="4"/>
      <c r="T1680" s="4"/>
    </row>
    <row r="1681">
      <c r="A1681" s="4" t="s">
        <v>4973</v>
      </c>
      <c r="B1681" s="4" t="s">
        <v>607</v>
      </c>
      <c r="C1681" s="6" t="s">
        <v>607</v>
      </c>
      <c r="D1681" s="6" t="s">
        <v>607</v>
      </c>
      <c r="E1681" s="6" t="s">
        <v>607</v>
      </c>
      <c r="F1681" s="6" t="s">
        <v>607</v>
      </c>
      <c r="G1681" s="4" t="s">
        <v>607</v>
      </c>
      <c r="H1681" s="4" t="s">
        <v>607</v>
      </c>
      <c r="I1681" s="4" t="s">
        <v>607</v>
      </c>
      <c r="J1681" s="4" t="s">
        <v>607</v>
      </c>
      <c r="K1681" s="4" t="s">
        <v>607</v>
      </c>
      <c r="L1681" s="4" t="s">
        <v>607</v>
      </c>
      <c r="M1681" s="4" t="s">
        <v>607</v>
      </c>
      <c r="N1681" s="4" t="s">
        <v>607</v>
      </c>
      <c r="O1681" s="4"/>
      <c r="P1681" s="4"/>
      <c r="T1681" s="4"/>
    </row>
    <row r="1682">
      <c r="A1682" s="4" t="s">
        <v>4974</v>
      </c>
      <c r="B1682" s="4" t="s">
        <v>607</v>
      </c>
      <c r="C1682" s="6" t="s">
        <v>607</v>
      </c>
      <c r="D1682" s="6" t="s">
        <v>607</v>
      </c>
      <c r="E1682" s="6" t="s">
        <v>607</v>
      </c>
      <c r="F1682" s="6" t="s">
        <v>607</v>
      </c>
      <c r="G1682" s="4" t="s">
        <v>607</v>
      </c>
      <c r="H1682" s="4" t="s">
        <v>607</v>
      </c>
      <c r="I1682" s="4" t="s">
        <v>607</v>
      </c>
      <c r="J1682" s="4" t="s">
        <v>607</v>
      </c>
      <c r="K1682" s="4" t="s">
        <v>607</v>
      </c>
      <c r="L1682" s="4" t="s">
        <v>607</v>
      </c>
      <c r="M1682" s="4" t="s">
        <v>607</v>
      </c>
      <c r="N1682" s="4" t="s">
        <v>607</v>
      </c>
      <c r="O1682" s="4"/>
      <c r="P1682" s="4"/>
      <c r="T1682" s="4"/>
    </row>
    <row r="1683">
      <c r="A1683" s="4" t="s">
        <v>4975</v>
      </c>
      <c r="B1683" s="4" t="s">
        <v>607</v>
      </c>
      <c r="C1683" s="6" t="s">
        <v>607</v>
      </c>
      <c r="D1683" s="6" t="s">
        <v>607</v>
      </c>
      <c r="E1683" s="6" t="s">
        <v>607</v>
      </c>
      <c r="F1683" s="6" t="s">
        <v>607</v>
      </c>
      <c r="G1683" s="4" t="s">
        <v>607</v>
      </c>
      <c r="H1683" s="4" t="s">
        <v>607</v>
      </c>
      <c r="I1683" s="4" t="s">
        <v>607</v>
      </c>
      <c r="J1683" s="4" t="s">
        <v>607</v>
      </c>
      <c r="K1683" s="4" t="s">
        <v>607</v>
      </c>
      <c r="L1683" s="4" t="s">
        <v>607</v>
      </c>
      <c r="M1683" s="4" t="s">
        <v>607</v>
      </c>
      <c r="N1683" s="4" t="s">
        <v>607</v>
      </c>
      <c r="O1683" s="4"/>
      <c r="P1683" s="4"/>
      <c r="T1683" s="4"/>
    </row>
    <row r="1684">
      <c r="A1684" s="4" t="s">
        <v>4976</v>
      </c>
      <c r="B1684" s="4" t="s">
        <v>607</v>
      </c>
      <c r="C1684" s="6" t="s">
        <v>607</v>
      </c>
      <c r="D1684" s="6" t="s">
        <v>607</v>
      </c>
      <c r="E1684" s="6" t="s">
        <v>607</v>
      </c>
      <c r="F1684" s="6" t="s">
        <v>607</v>
      </c>
      <c r="G1684" s="4" t="s">
        <v>607</v>
      </c>
      <c r="H1684" s="4" t="s">
        <v>607</v>
      </c>
      <c r="I1684" s="4" t="s">
        <v>607</v>
      </c>
      <c r="J1684" s="4" t="s">
        <v>607</v>
      </c>
      <c r="K1684" s="4" t="s">
        <v>607</v>
      </c>
      <c r="L1684" s="4" t="s">
        <v>607</v>
      </c>
      <c r="M1684" s="4" t="s">
        <v>607</v>
      </c>
      <c r="N1684" s="4" t="s">
        <v>607</v>
      </c>
      <c r="O1684" s="4"/>
      <c r="P1684" s="4"/>
      <c r="T1684" s="4"/>
    </row>
    <row r="1685">
      <c r="A1685" s="4" t="s">
        <v>4977</v>
      </c>
      <c r="B1685" s="4" t="s">
        <v>607</v>
      </c>
      <c r="C1685" s="6" t="s">
        <v>607</v>
      </c>
      <c r="D1685" s="6" t="s">
        <v>607</v>
      </c>
      <c r="E1685" s="6" t="s">
        <v>607</v>
      </c>
      <c r="F1685" s="6" t="s">
        <v>607</v>
      </c>
      <c r="G1685" s="4" t="s">
        <v>607</v>
      </c>
      <c r="H1685" s="4" t="s">
        <v>607</v>
      </c>
      <c r="I1685" s="4" t="s">
        <v>607</v>
      </c>
      <c r="J1685" s="4" t="s">
        <v>607</v>
      </c>
      <c r="K1685" s="4" t="s">
        <v>607</v>
      </c>
      <c r="L1685" s="4" t="s">
        <v>607</v>
      </c>
      <c r="M1685" s="4" t="s">
        <v>607</v>
      </c>
      <c r="N1685" s="4" t="s">
        <v>607</v>
      </c>
      <c r="O1685" s="4"/>
      <c r="P1685" s="4"/>
      <c r="T1685" s="4"/>
    </row>
    <row r="1686">
      <c r="A1686" s="4" t="s">
        <v>4978</v>
      </c>
      <c r="B1686" s="4" t="s">
        <v>607</v>
      </c>
      <c r="C1686" s="6" t="s">
        <v>607</v>
      </c>
      <c r="D1686" s="6" t="s">
        <v>607</v>
      </c>
      <c r="E1686" s="6" t="s">
        <v>607</v>
      </c>
      <c r="F1686" s="6" t="s">
        <v>607</v>
      </c>
      <c r="G1686" s="4" t="s">
        <v>607</v>
      </c>
      <c r="H1686" s="4" t="s">
        <v>607</v>
      </c>
      <c r="I1686" s="4" t="s">
        <v>607</v>
      </c>
      <c r="J1686" s="4" t="s">
        <v>607</v>
      </c>
      <c r="K1686" s="4" t="s">
        <v>607</v>
      </c>
      <c r="L1686" s="4" t="s">
        <v>607</v>
      </c>
      <c r="M1686" s="4" t="s">
        <v>607</v>
      </c>
      <c r="N1686" s="4" t="s">
        <v>607</v>
      </c>
      <c r="O1686" s="4"/>
      <c r="P1686" s="4"/>
      <c r="T1686" s="4"/>
    </row>
    <row r="1687">
      <c r="A1687" s="4" t="s">
        <v>4979</v>
      </c>
      <c r="B1687" s="4" t="s">
        <v>607</v>
      </c>
      <c r="C1687" s="6" t="s">
        <v>607</v>
      </c>
      <c r="D1687" s="6" t="s">
        <v>607</v>
      </c>
      <c r="E1687" s="6" t="s">
        <v>607</v>
      </c>
      <c r="F1687" s="6" t="s">
        <v>607</v>
      </c>
      <c r="G1687" s="4" t="s">
        <v>607</v>
      </c>
      <c r="H1687" s="4" t="s">
        <v>607</v>
      </c>
      <c r="I1687" s="4" t="s">
        <v>607</v>
      </c>
      <c r="J1687" s="4" t="s">
        <v>607</v>
      </c>
      <c r="K1687" s="4" t="s">
        <v>607</v>
      </c>
      <c r="L1687" s="4" t="s">
        <v>607</v>
      </c>
      <c r="M1687" s="4" t="s">
        <v>607</v>
      </c>
      <c r="N1687" s="4" t="s">
        <v>607</v>
      </c>
      <c r="O1687" s="4"/>
      <c r="P1687" s="4"/>
      <c r="T1687" s="4"/>
    </row>
    <row r="1688">
      <c r="A1688" s="4" t="s">
        <v>4980</v>
      </c>
      <c r="B1688" s="4" t="s">
        <v>607</v>
      </c>
      <c r="C1688" s="6" t="s">
        <v>607</v>
      </c>
      <c r="D1688" s="6" t="s">
        <v>607</v>
      </c>
      <c r="E1688" s="6" t="s">
        <v>607</v>
      </c>
      <c r="F1688" s="6" t="s">
        <v>607</v>
      </c>
      <c r="G1688" s="4" t="s">
        <v>607</v>
      </c>
      <c r="H1688" s="4" t="s">
        <v>607</v>
      </c>
      <c r="I1688" s="4" t="s">
        <v>607</v>
      </c>
      <c r="J1688" s="4" t="s">
        <v>607</v>
      </c>
      <c r="K1688" s="4" t="s">
        <v>607</v>
      </c>
      <c r="L1688" s="4" t="s">
        <v>607</v>
      </c>
      <c r="M1688" s="4" t="s">
        <v>607</v>
      </c>
      <c r="N1688" s="4" t="s">
        <v>607</v>
      </c>
      <c r="O1688" s="4"/>
      <c r="P1688" s="4"/>
      <c r="T1688" s="4"/>
    </row>
    <row r="1689">
      <c r="A1689" s="4" t="s">
        <v>4981</v>
      </c>
      <c r="B1689" s="4" t="s">
        <v>607</v>
      </c>
      <c r="C1689" s="6" t="s">
        <v>607</v>
      </c>
      <c r="D1689" s="6" t="s">
        <v>607</v>
      </c>
      <c r="E1689" s="6" t="s">
        <v>607</v>
      </c>
      <c r="F1689" s="6" t="s">
        <v>607</v>
      </c>
      <c r="G1689" s="4" t="s">
        <v>607</v>
      </c>
      <c r="H1689" s="4" t="s">
        <v>607</v>
      </c>
      <c r="I1689" s="4" t="s">
        <v>607</v>
      </c>
      <c r="J1689" s="4" t="s">
        <v>607</v>
      </c>
      <c r="K1689" s="4" t="s">
        <v>607</v>
      </c>
      <c r="L1689" s="4" t="s">
        <v>607</v>
      </c>
      <c r="M1689" s="4" t="s">
        <v>607</v>
      </c>
      <c r="N1689" s="4" t="s">
        <v>607</v>
      </c>
      <c r="O1689" s="4"/>
      <c r="P1689" s="4"/>
      <c r="T1689" s="4"/>
    </row>
    <row r="1690">
      <c r="A1690" s="4" t="s">
        <v>4982</v>
      </c>
      <c r="B1690" s="4" t="s">
        <v>607</v>
      </c>
      <c r="C1690" s="6" t="s">
        <v>607</v>
      </c>
      <c r="D1690" s="6" t="s">
        <v>607</v>
      </c>
      <c r="E1690" s="6" t="s">
        <v>607</v>
      </c>
      <c r="F1690" s="6" t="s">
        <v>607</v>
      </c>
      <c r="G1690" s="4" t="s">
        <v>607</v>
      </c>
      <c r="H1690" s="4" t="s">
        <v>607</v>
      </c>
      <c r="I1690" s="4" t="s">
        <v>607</v>
      </c>
      <c r="J1690" s="4" t="s">
        <v>607</v>
      </c>
      <c r="K1690" s="4" t="s">
        <v>607</v>
      </c>
      <c r="L1690" s="4" t="s">
        <v>607</v>
      </c>
      <c r="M1690" s="4" t="s">
        <v>607</v>
      </c>
      <c r="N1690" s="4" t="s">
        <v>607</v>
      </c>
      <c r="O1690" s="4"/>
      <c r="P1690" s="4"/>
      <c r="T1690" s="4"/>
    </row>
    <row r="1691">
      <c r="A1691" s="4" t="s">
        <v>4983</v>
      </c>
      <c r="B1691" s="4" t="s">
        <v>607</v>
      </c>
      <c r="C1691" s="6" t="s">
        <v>607</v>
      </c>
      <c r="D1691" s="6" t="s">
        <v>607</v>
      </c>
      <c r="E1691" s="6" t="s">
        <v>607</v>
      </c>
      <c r="F1691" s="6" t="s">
        <v>607</v>
      </c>
      <c r="G1691" s="4" t="s">
        <v>607</v>
      </c>
      <c r="H1691" s="4" t="s">
        <v>607</v>
      </c>
      <c r="I1691" s="4" t="s">
        <v>607</v>
      </c>
      <c r="J1691" s="4" t="s">
        <v>607</v>
      </c>
      <c r="K1691" s="4" t="s">
        <v>607</v>
      </c>
      <c r="L1691" s="4" t="s">
        <v>607</v>
      </c>
      <c r="M1691" s="4" t="s">
        <v>607</v>
      </c>
      <c r="N1691" s="4" t="s">
        <v>607</v>
      </c>
      <c r="O1691" s="4"/>
      <c r="P1691" s="4"/>
      <c r="T1691" s="4"/>
    </row>
    <row r="1692">
      <c r="A1692" s="4" t="s">
        <v>4984</v>
      </c>
      <c r="B1692" s="4" t="s">
        <v>607</v>
      </c>
      <c r="C1692" s="6" t="s">
        <v>607</v>
      </c>
      <c r="D1692" s="6" t="s">
        <v>607</v>
      </c>
      <c r="E1692" s="6" t="s">
        <v>607</v>
      </c>
      <c r="F1692" s="6" t="s">
        <v>607</v>
      </c>
      <c r="G1692" s="4" t="s">
        <v>607</v>
      </c>
      <c r="H1692" s="4" t="s">
        <v>607</v>
      </c>
      <c r="I1692" s="4" t="s">
        <v>607</v>
      </c>
      <c r="J1692" s="4" t="s">
        <v>607</v>
      </c>
      <c r="K1692" s="4" t="s">
        <v>607</v>
      </c>
      <c r="L1692" s="4" t="s">
        <v>607</v>
      </c>
      <c r="M1692" s="4" t="s">
        <v>607</v>
      </c>
      <c r="N1692" s="4" t="s">
        <v>607</v>
      </c>
      <c r="O1692" s="4"/>
      <c r="P1692" s="4"/>
      <c r="T1692" s="4"/>
    </row>
    <row r="1693">
      <c r="A1693" s="4" t="s">
        <v>4985</v>
      </c>
      <c r="B1693" s="4" t="s">
        <v>607</v>
      </c>
      <c r="C1693" s="6" t="s">
        <v>607</v>
      </c>
      <c r="D1693" s="6" t="s">
        <v>607</v>
      </c>
      <c r="E1693" s="6" t="s">
        <v>607</v>
      </c>
      <c r="F1693" s="6" t="s">
        <v>607</v>
      </c>
      <c r="G1693" s="4" t="s">
        <v>607</v>
      </c>
      <c r="H1693" s="4" t="s">
        <v>607</v>
      </c>
      <c r="I1693" s="4" t="s">
        <v>607</v>
      </c>
      <c r="J1693" s="4" t="s">
        <v>607</v>
      </c>
      <c r="K1693" s="4" t="s">
        <v>607</v>
      </c>
      <c r="L1693" s="4" t="s">
        <v>607</v>
      </c>
      <c r="M1693" s="4" t="s">
        <v>607</v>
      </c>
      <c r="N1693" s="4" t="s">
        <v>607</v>
      </c>
      <c r="O1693" s="4"/>
      <c r="P1693" s="4"/>
      <c r="T1693" s="4"/>
    </row>
    <row r="1694">
      <c r="A1694" s="4" t="s">
        <v>4986</v>
      </c>
      <c r="B1694" s="4" t="s">
        <v>607</v>
      </c>
      <c r="C1694" s="6" t="s">
        <v>607</v>
      </c>
      <c r="D1694" s="6" t="s">
        <v>607</v>
      </c>
      <c r="E1694" s="6" t="s">
        <v>607</v>
      </c>
      <c r="F1694" s="6" t="s">
        <v>607</v>
      </c>
      <c r="G1694" s="4" t="s">
        <v>607</v>
      </c>
      <c r="H1694" s="4" t="s">
        <v>607</v>
      </c>
      <c r="I1694" s="4" t="s">
        <v>607</v>
      </c>
      <c r="J1694" s="4" t="s">
        <v>607</v>
      </c>
      <c r="K1694" s="4" t="s">
        <v>607</v>
      </c>
      <c r="L1694" s="4" t="s">
        <v>607</v>
      </c>
      <c r="M1694" s="4" t="s">
        <v>607</v>
      </c>
      <c r="N1694" s="4" t="s">
        <v>607</v>
      </c>
      <c r="O1694" s="4"/>
      <c r="P1694" s="4"/>
      <c r="T1694" s="4"/>
    </row>
    <row r="1695">
      <c r="A1695" s="4" t="s">
        <v>4987</v>
      </c>
      <c r="B1695" s="4" t="s">
        <v>607</v>
      </c>
      <c r="C1695" s="6" t="s">
        <v>607</v>
      </c>
      <c r="D1695" s="6" t="s">
        <v>607</v>
      </c>
      <c r="E1695" s="6" t="s">
        <v>607</v>
      </c>
      <c r="F1695" s="6" t="s">
        <v>607</v>
      </c>
      <c r="G1695" s="4" t="s">
        <v>607</v>
      </c>
      <c r="H1695" s="4" t="s">
        <v>607</v>
      </c>
      <c r="I1695" s="4" t="s">
        <v>607</v>
      </c>
      <c r="J1695" s="4" t="s">
        <v>607</v>
      </c>
      <c r="K1695" s="4" t="s">
        <v>607</v>
      </c>
      <c r="L1695" s="4" t="s">
        <v>607</v>
      </c>
      <c r="M1695" s="4" t="s">
        <v>607</v>
      </c>
      <c r="N1695" s="4" t="s">
        <v>607</v>
      </c>
      <c r="O1695" s="4"/>
      <c r="P1695" s="4"/>
      <c r="T1695" s="4"/>
    </row>
    <row r="1696">
      <c r="A1696" s="4" t="s">
        <v>4988</v>
      </c>
      <c r="B1696" s="4" t="s">
        <v>607</v>
      </c>
      <c r="C1696" s="6" t="s">
        <v>607</v>
      </c>
      <c r="D1696" s="6" t="s">
        <v>607</v>
      </c>
      <c r="E1696" s="6" t="s">
        <v>607</v>
      </c>
      <c r="F1696" s="6" t="s">
        <v>607</v>
      </c>
      <c r="G1696" s="4" t="s">
        <v>607</v>
      </c>
      <c r="H1696" s="4" t="s">
        <v>607</v>
      </c>
      <c r="I1696" s="4" t="s">
        <v>607</v>
      </c>
      <c r="J1696" s="4" t="s">
        <v>607</v>
      </c>
      <c r="K1696" s="4" t="s">
        <v>607</v>
      </c>
      <c r="L1696" s="4" t="s">
        <v>607</v>
      </c>
      <c r="M1696" s="4" t="s">
        <v>607</v>
      </c>
      <c r="N1696" s="4" t="s">
        <v>607</v>
      </c>
      <c r="O1696" s="4"/>
      <c r="P1696" s="4"/>
      <c r="T1696" s="4"/>
    </row>
    <row r="1697">
      <c r="A1697" s="4" t="s">
        <v>4989</v>
      </c>
      <c r="B1697" s="4" t="s">
        <v>607</v>
      </c>
      <c r="C1697" s="6" t="s">
        <v>607</v>
      </c>
      <c r="D1697" s="6" t="s">
        <v>607</v>
      </c>
      <c r="E1697" s="6" t="s">
        <v>607</v>
      </c>
      <c r="F1697" s="6" t="s">
        <v>607</v>
      </c>
      <c r="G1697" s="4" t="s">
        <v>607</v>
      </c>
      <c r="H1697" s="4" t="s">
        <v>607</v>
      </c>
      <c r="I1697" s="4" t="s">
        <v>607</v>
      </c>
      <c r="J1697" s="4" t="s">
        <v>607</v>
      </c>
      <c r="K1697" s="4" t="s">
        <v>607</v>
      </c>
      <c r="L1697" s="4" t="s">
        <v>607</v>
      </c>
      <c r="M1697" s="4" t="s">
        <v>607</v>
      </c>
      <c r="N1697" s="4" t="s">
        <v>607</v>
      </c>
      <c r="O1697" s="4"/>
      <c r="P1697" s="4"/>
      <c r="T1697" s="4"/>
    </row>
    <row r="1698">
      <c r="A1698" s="4" t="s">
        <v>4990</v>
      </c>
      <c r="B1698" s="4" t="s">
        <v>607</v>
      </c>
      <c r="C1698" s="6" t="s">
        <v>607</v>
      </c>
      <c r="D1698" s="6" t="s">
        <v>607</v>
      </c>
      <c r="E1698" s="6" t="s">
        <v>607</v>
      </c>
      <c r="F1698" s="6" t="s">
        <v>607</v>
      </c>
      <c r="G1698" s="4" t="s">
        <v>607</v>
      </c>
      <c r="H1698" s="4" t="s">
        <v>607</v>
      </c>
      <c r="I1698" s="4" t="s">
        <v>607</v>
      </c>
      <c r="J1698" s="4" t="s">
        <v>607</v>
      </c>
      <c r="K1698" s="4" t="s">
        <v>607</v>
      </c>
      <c r="L1698" s="4" t="s">
        <v>607</v>
      </c>
      <c r="M1698" s="4" t="s">
        <v>607</v>
      </c>
      <c r="N1698" s="4" t="s">
        <v>607</v>
      </c>
      <c r="O1698" s="4"/>
      <c r="P1698" s="4"/>
      <c r="T1698" s="4"/>
    </row>
    <row r="1699">
      <c r="A1699" s="4" t="s">
        <v>4991</v>
      </c>
      <c r="B1699" s="4" t="s">
        <v>607</v>
      </c>
      <c r="C1699" s="6" t="s">
        <v>607</v>
      </c>
      <c r="D1699" s="6" t="s">
        <v>607</v>
      </c>
      <c r="E1699" s="6" t="s">
        <v>607</v>
      </c>
      <c r="F1699" s="6" t="s">
        <v>607</v>
      </c>
      <c r="G1699" s="4" t="s">
        <v>607</v>
      </c>
      <c r="H1699" s="4" t="s">
        <v>607</v>
      </c>
      <c r="I1699" s="4" t="s">
        <v>607</v>
      </c>
      <c r="J1699" s="4" t="s">
        <v>607</v>
      </c>
      <c r="K1699" s="4" t="s">
        <v>607</v>
      </c>
      <c r="L1699" s="4" t="s">
        <v>607</v>
      </c>
      <c r="M1699" s="4" t="s">
        <v>607</v>
      </c>
      <c r="N1699" s="4" t="s">
        <v>607</v>
      </c>
      <c r="O1699" s="4"/>
      <c r="P1699" s="4"/>
      <c r="T1699" s="4"/>
    </row>
    <row r="1700">
      <c r="A1700" s="4" t="s">
        <v>4992</v>
      </c>
      <c r="B1700" s="4" t="s">
        <v>607</v>
      </c>
      <c r="C1700" s="6" t="s">
        <v>607</v>
      </c>
      <c r="D1700" s="6" t="s">
        <v>607</v>
      </c>
      <c r="E1700" s="6" t="s">
        <v>607</v>
      </c>
      <c r="F1700" s="6" t="s">
        <v>607</v>
      </c>
      <c r="G1700" s="4" t="s">
        <v>607</v>
      </c>
      <c r="H1700" s="4" t="s">
        <v>607</v>
      </c>
      <c r="I1700" s="4" t="s">
        <v>607</v>
      </c>
      <c r="J1700" s="4" t="s">
        <v>607</v>
      </c>
      <c r="K1700" s="4" t="s">
        <v>607</v>
      </c>
      <c r="L1700" s="4" t="s">
        <v>607</v>
      </c>
      <c r="M1700" s="4" t="s">
        <v>607</v>
      </c>
      <c r="N1700" s="4" t="s">
        <v>607</v>
      </c>
      <c r="O1700" s="4"/>
      <c r="P1700" s="4"/>
      <c r="T1700" s="4"/>
    </row>
    <row r="1701">
      <c r="A1701" s="4" t="s">
        <v>4993</v>
      </c>
      <c r="B1701" s="4" t="s">
        <v>607</v>
      </c>
      <c r="C1701" s="6" t="s">
        <v>607</v>
      </c>
      <c r="D1701" s="6" t="s">
        <v>607</v>
      </c>
      <c r="E1701" s="6" t="s">
        <v>607</v>
      </c>
      <c r="F1701" s="6" t="s">
        <v>607</v>
      </c>
      <c r="G1701" s="4" t="s">
        <v>607</v>
      </c>
      <c r="H1701" s="4" t="s">
        <v>607</v>
      </c>
      <c r="I1701" s="4" t="s">
        <v>607</v>
      </c>
      <c r="J1701" s="4" t="s">
        <v>607</v>
      </c>
      <c r="K1701" s="4" t="s">
        <v>607</v>
      </c>
      <c r="L1701" s="4" t="s">
        <v>607</v>
      </c>
      <c r="M1701" s="4" t="s">
        <v>607</v>
      </c>
      <c r="N1701" s="4" t="s">
        <v>607</v>
      </c>
      <c r="O1701" s="4"/>
      <c r="P1701" s="4"/>
      <c r="T1701" s="4"/>
    </row>
    <row r="1702">
      <c r="A1702" s="4" t="s">
        <v>4994</v>
      </c>
      <c r="B1702" s="4" t="s">
        <v>607</v>
      </c>
      <c r="C1702" s="6" t="s">
        <v>607</v>
      </c>
      <c r="D1702" s="6" t="s">
        <v>607</v>
      </c>
      <c r="E1702" s="6" t="s">
        <v>607</v>
      </c>
      <c r="F1702" s="6" t="s">
        <v>607</v>
      </c>
      <c r="G1702" s="4" t="s">
        <v>607</v>
      </c>
      <c r="H1702" s="4" t="s">
        <v>607</v>
      </c>
      <c r="I1702" s="4" t="s">
        <v>607</v>
      </c>
      <c r="J1702" s="4" t="s">
        <v>607</v>
      </c>
      <c r="K1702" s="4" t="s">
        <v>607</v>
      </c>
      <c r="L1702" s="4" t="s">
        <v>607</v>
      </c>
      <c r="M1702" s="4" t="s">
        <v>607</v>
      </c>
      <c r="N1702" s="4" t="s">
        <v>607</v>
      </c>
      <c r="O1702" s="4"/>
      <c r="P1702" s="4"/>
      <c r="T1702" s="4"/>
    </row>
    <row r="1703">
      <c r="A1703" s="4" t="s">
        <v>4995</v>
      </c>
      <c r="B1703" s="4" t="s">
        <v>607</v>
      </c>
      <c r="C1703" s="6" t="s">
        <v>607</v>
      </c>
      <c r="D1703" s="6" t="s">
        <v>607</v>
      </c>
      <c r="E1703" s="6" t="s">
        <v>607</v>
      </c>
      <c r="F1703" s="6" t="s">
        <v>607</v>
      </c>
      <c r="G1703" s="4" t="s">
        <v>607</v>
      </c>
      <c r="H1703" s="4" t="s">
        <v>607</v>
      </c>
      <c r="I1703" s="4" t="s">
        <v>607</v>
      </c>
      <c r="J1703" s="4" t="s">
        <v>607</v>
      </c>
      <c r="K1703" s="4" t="s">
        <v>607</v>
      </c>
      <c r="L1703" s="4" t="s">
        <v>607</v>
      </c>
      <c r="M1703" s="4" t="s">
        <v>607</v>
      </c>
      <c r="N1703" s="4" t="s">
        <v>607</v>
      </c>
      <c r="O1703" s="4"/>
      <c r="P1703" s="4"/>
      <c r="T1703" s="4"/>
    </row>
    <row r="1704">
      <c r="A1704" s="4" t="s">
        <v>4996</v>
      </c>
      <c r="B1704" s="4" t="s">
        <v>607</v>
      </c>
      <c r="C1704" s="6" t="s">
        <v>607</v>
      </c>
      <c r="D1704" s="6" t="s">
        <v>607</v>
      </c>
      <c r="E1704" s="6" t="s">
        <v>607</v>
      </c>
      <c r="F1704" s="6" t="s">
        <v>607</v>
      </c>
      <c r="G1704" s="4" t="s">
        <v>607</v>
      </c>
      <c r="H1704" s="4" t="s">
        <v>607</v>
      </c>
      <c r="I1704" s="4" t="s">
        <v>607</v>
      </c>
      <c r="J1704" s="4" t="s">
        <v>607</v>
      </c>
      <c r="K1704" s="4" t="s">
        <v>607</v>
      </c>
      <c r="L1704" s="4" t="s">
        <v>607</v>
      </c>
      <c r="M1704" s="4" t="s">
        <v>607</v>
      </c>
      <c r="N1704" s="4" t="s">
        <v>607</v>
      </c>
      <c r="O1704" s="4"/>
      <c r="P1704" s="4"/>
      <c r="T1704" s="4"/>
    </row>
    <row r="1705">
      <c r="A1705" s="4" t="s">
        <v>4997</v>
      </c>
      <c r="B1705" s="4" t="s">
        <v>607</v>
      </c>
      <c r="C1705" s="6" t="s">
        <v>607</v>
      </c>
      <c r="D1705" s="6" t="s">
        <v>607</v>
      </c>
      <c r="E1705" s="6" t="s">
        <v>607</v>
      </c>
      <c r="F1705" s="6" t="s">
        <v>607</v>
      </c>
      <c r="G1705" s="4" t="s">
        <v>607</v>
      </c>
      <c r="H1705" s="4" t="s">
        <v>607</v>
      </c>
      <c r="I1705" s="4" t="s">
        <v>607</v>
      </c>
      <c r="J1705" s="4" t="s">
        <v>607</v>
      </c>
      <c r="K1705" s="4" t="s">
        <v>607</v>
      </c>
      <c r="L1705" s="4" t="s">
        <v>607</v>
      </c>
      <c r="M1705" s="4" t="s">
        <v>607</v>
      </c>
      <c r="N1705" s="4" t="s">
        <v>607</v>
      </c>
      <c r="O1705" s="4"/>
      <c r="P1705" s="4"/>
      <c r="T1705" s="4"/>
    </row>
    <row r="1706">
      <c r="A1706" s="4" t="s">
        <v>4998</v>
      </c>
      <c r="B1706" s="4" t="s">
        <v>607</v>
      </c>
      <c r="C1706" s="6" t="s">
        <v>607</v>
      </c>
      <c r="D1706" s="6" t="s">
        <v>607</v>
      </c>
      <c r="E1706" s="6" t="s">
        <v>607</v>
      </c>
      <c r="F1706" s="6" t="s">
        <v>607</v>
      </c>
      <c r="G1706" s="4" t="s">
        <v>607</v>
      </c>
      <c r="H1706" s="4" t="s">
        <v>607</v>
      </c>
      <c r="I1706" s="4" t="s">
        <v>607</v>
      </c>
      <c r="J1706" s="4" t="s">
        <v>607</v>
      </c>
      <c r="K1706" s="4" t="s">
        <v>607</v>
      </c>
      <c r="L1706" s="4" t="s">
        <v>607</v>
      </c>
      <c r="M1706" s="4" t="s">
        <v>607</v>
      </c>
      <c r="N1706" s="4" t="s">
        <v>607</v>
      </c>
      <c r="O1706" s="4"/>
      <c r="P1706" s="4"/>
      <c r="T1706" s="4"/>
    </row>
    <row r="1707">
      <c r="A1707" s="4" t="s">
        <v>4999</v>
      </c>
      <c r="B1707" s="4" t="s">
        <v>607</v>
      </c>
      <c r="C1707" s="6" t="s">
        <v>607</v>
      </c>
      <c r="D1707" s="6" t="s">
        <v>607</v>
      </c>
      <c r="E1707" s="6" t="s">
        <v>607</v>
      </c>
      <c r="F1707" s="6" t="s">
        <v>607</v>
      </c>
      <c r="G1707" s="4" t="s">
        <v>607</v>
      </c>
      <c r="H1707" s="4" t="s">
        <v>607</v>
      </c>
      <c r="I1707" s="4" t="s">
        <v>607</v>
      </c>
      <c r="J1707" s="4" t="s">
        <v>607</v>
      </c>
      <c r="K1707" s="4" t="s">
        <v>607</v>
      </c>
      <c r="L1707" s="4" t="s">
        <v>607</v>
      </c>
      <c r="M1707" s="4" t="s">
        <v>607</v>
      </c>
      <c r="N1707" s="4" t="s">
        <v>607</v>
      </c>
      <c r="O1707" s="4"/>
      <c r="P1707" s="4"/>
      <c r="T1707" s="4"/>
    </row>
    <row r="1708">
      <c r="A1708" s="4" t="s">
        <v>5000</v>
      </c>
      <c r="B1708" s="4" t="s">
        <v>607</v>
      </c>
      <c r="C1708" s="6" t="s">
        <v>607</v>
      </c>
      <c r="D1708" s="6" t="s">
        <v>607</v>
      </c>
      <c r="E1708" s="6" t="s">
        <v>607</v>
      </c>
      <c r="F1708" s="6" t="s">
        <v>607</v>
      </c>
      <c r="G1708" s="4" t="s">
        <v>607</v>
      </c>
      <c r="H1708" s="4" t="s">
        <v>607</v>
      </c>
      <c r="I1708" s="4" t="s">
        <v>607</v>
      </c>
      <c r="J1708" s="4" t="s">
        <v>607</v>
      </c>
      <c r="K1708" s="4" t="s">
        <v>607</v>
      </c>
      <c r="L1708" s="4" t="s">
        <v>607</v>
      </c>
      <c r="M1708" s="4" t="s">
        <v>607</v>
      </c>
      <c r="N1708" s="4" t="s">
        <v>607</v>
      </c>
      <c r="O1708" s="4"/>
      <c r="P1708" s="4"/>
      <c r="T1708" s="4"/>
    </row>
    <row r="1709">
      <c r="A1709" s="4" t="s">
        <v>5001</v>
      </c>
      <c r="B1709" s="4" t="s">
        <v>607</v>
      </c>
      <c r="C1709" s="6" t="s">
        <v>607</v>
      </c>
      <c r="D1709" s="6" t="s">
        <v>607</v>
      </c>
      <c r="E1709" s="6" t="s">
        <v>607</v>
      </c>
      <c r="F1709" s="6" t="s">
        <v>607</v>
      </c>
      <c r="G1709" s="4" t="s">
        <v>607</v>
      </c>
      <c r="H1709" s="4" t="s">
        <v>607</v>
      </c>
      <c r="I1709" s="4" t="s">
        <v>607</v>
      </c>
      <c r="J1709" s="4" t="s">
        <v>607</v>
      </c>
      <c r="K1709" s="4" t="s">
        <v>607</v>
      </c>
      <c r="L1709" s="4" t="s">
        <v>607</v>
      </c>
      <c r="M1709" s="4" t="s">
        <v>607</v>
      </c>
      <c r="N1709" s="4" t="s">
        <v>607</v>
      </c>
      <c r="O1709" s="4"/>
      <c r="P1709" s="4"/>
      <c r="T1709" s="4"/>
    </row>
    <row r="1710">
      <c r="A1710" s="4" t="s">
        <v>5002</v>
      </c>
      <c r="B1710" s="4" t="s">
        <v>607</v>
      </c>
      <c r="C1710" s="6" t="s">
        <v>607</v>
      </c>
      <c r="D1710" s="6" t="s">
        <v>607</v>
      </c>
      <c r="E1710" s="6" t="s">
        <v>607</v>
      </c>
      <c r="F1710" s="6" t="s">
        <v>607</v>
      </c>
      <c r="G1710" s="4" t="s">
        <v>607</v>
      </c>
      <c r="H1710" s="4" t="s">
        <v>607</v>
      </c>
      <c r="I1710" s="4" t="s">
        <v>607</v>
      </c>
      <c r="J1710" s="4" t="s">
        <v>607</v>
      </c>
      <c r="K1710" s="4" t="s">
        <v>607</v>
      </c>
      <c r="L1710" s="4" t="s">
        <v>607</v>
      </c>
      <c r="M1710" s="4" t="s">
        <v>607</v>
      </c>
      <c r="N1710" s="4" t="s">
        <v>607</v>
      </c>
      <c r="O1710" s="4"/>
      <c r="P1710" s="4"/>
      <c r="T1710" s="4"/>
    </row>
    <row r="1711">
      <c r="A1711" s="4" t="s">
        <v>5003</v>
      </c>
      <c r="B1711" s="4" t="s">
        <v>607</v>
      </c>
      <c r="C1711" s="6" t="s">
        <v>607</v>
      </c>
      <c r="D1711" s="6" t="s">
        <v>607</v>
      </c>
      <c r="E1711" s="6" t="s">
        <v>607</v>
      </c>
      <c r="F1711" s="6" t="s">
        <v>607</v>
      </c>
      <c r="G1711" s="4" t="s">
        <v>607</v>
      </c>
      <c r="H1711" s="4" t="s">
        <v>607</v>
      </c>
      <c r="I1711" s="4" t="s">
        <v>607</v>
      </c>
      <c r="J1711" s="4" t="s">
        <v>607</v>
      </c>
      <c r="K1711" s="4" t="s">
        <v>607</v>
      </c>
      <c r="L1711" s="4" t="s">
        <v>607</v>
      </c>
      <c r="M1711" s="4" t="s">
        <v>607</v>
      </c>
      <c r="N1711" s="4" t="s">
        <v>607</v>
      </c>
      <c r="O1711" s="4"/>
      <c r="P1711" s="4"/>
      <c r="T1711" s="4"/>
    </row>
    <row r="1712">
      <c r="A1712" s="4" t="s">
        <v>5004</v>
      </c>
      <c r="B1712" s="4" t="s">
        <v>607</v>
      </c>
      <c r="C1712" s="6" t="s">
        <v>607</v>
      </c>
      <c r="D1712" s="6" t="s">
        <v>607</v>
      </c>
      <c r="E1712" s="6" t="s">
        <v>607</v>
      </c>
      <c r="F1712" s="6" t="s">
        <v>607</v>
      </c>
      <c r="G1712" s="4" t="s">
        <v>607</v>
      </c>
      <c r="H1712" s="4" t="s">
        <v>607</v>
      </c>
      <c r="I1712" s="4" t="s">
        <v>607</v>
      </c>
      <c r="J1712" s="4" t="s">
        <v>607</v>
      </c>
      <c r="K1712" s="4" t="s">
        <v>607</v>
      </c>
      <c r="L1712" s="4" t="s">
        <v>607</v>
      </c>
      <c r="M1712" s="4" t="s">
        <v>607</v>
      </c>
      <c r="N1712" s="4" t="s">
        <v>607</v>
      </c>
      <c r="O1712" s="4"/>
      <c r="P1712" s="4"/>
      <c r="T1712" s="4"/>
    </row>
    <row r="1713">
      <c r="A1713" s="4" t="s">
        <v>5005</v>
      </c>
      <c r="B1713" s="4" t="s">
        <v>607</v>
      </c>
      <c r="C1713" s="6" t="s">
        <v>607</v>
      </c>
      <c r="D1713" s="6" t="s">
        <v>607</v>
      </c>
      <c r="E1713" s="6" t="s">
        <v>607</v>
      </c>
      <c r="F1713" s="6" t="s">
        <v>607</v>
      </c>
      <c r="G1713" s="4" t="s">
        <v>607</v>
      </c>
      <c r="H1713" s="4" t="s">
        <v>607</v>
      </c>
      <c r="I1713" s="4" t="s">
        <v>607</v>
      </c>
      <c r="J1713" s="4" t="s">
        <v>607</v>
      </c>
      <c r="K1713" s="4" t="s">
        <v>607</v>
      </c>
      <c r="L1713" s="4" t="s">
        <v>607</v>
      </c>
      <c r="M1713" s="4" t="s">
        <v>607</v>
      </c>
      <c r="N1713" s="4" t="s">
        <v>607</v>
      </c>
      <c r="O1713" s="4"/>
      <c r="P1713" s="4"/>
      <c r="T1713" s="4"/>
    </row>
    <row r="1714">
      <c r="A1714" s="4" t="s">
        <v>5007</v>
      </c>
      <c r="B1714" s="4" t="s">
        <v>607</v>
      </c>
      <c r="C1714" s="6" t="s">
        <v>607</v>
      </c>
      <c r="D1714" s="6" t="s">
        <v>607</v>
      </c>
      <c r="E1714" s="6" t="s">
        <v>607</v>
      </c>
      <c r="F1714" s="6" t="s">
        <v>607</v>
      </c>
      <c r="G1714" s="4" t="s">
        <v>607</v>
      </c>
      <c r="H1714" s="4" t="s">
        <v>607</v>
      </c>
      <c r="I1714" s="4" t="s">
        <v>607</v>
      </c>
      <c r="J1714" s="4" t="s">
        <v>607</v>
      </c>
      <c r="K1714" s="4" t="s">
        <v>607</v>
      </c>
      <c r="L1714" s="4" t="s">
        <v>607</v>
      </c>
      <c r="M1714" s="4" t="s">
        <v>607</v>
      </c>
      <c r="N1714" s="4" t="s">
        <v>607</v>
      </c>
      <c r="O1714" s="4"/>
      <c r="P1714" s="4"/>
      <c r="T1714" s="4"/>
    </row>
    <row r="1715">
      <c r="A1715" s="4" t="s">
        <v>5008</v>
      </c>
      <c r="B1715" s="4" t="s">
        <v>607</v>
      </c>
      <c r="C1715" s="6" t="s">
        <v>607</v>
      </c>
      <c r="D1715" s="6" t="s">
        <v>607</v>
      </c>
      <c r="E1715" s="6" t="s">
        <v>607</v>
      </c>
      <c r="F1715" s="6" t="s">
        <v>607</v>
      </c>
      <c r="G1715" s="4" t="s">
        <v>607</v>
      </c>
      <c r="H1715" s="4" t="s">
        <v>607</v>
      </c>
      <c r="I1715" s="4" t="s">
        <v>607</v>
      </c>
      <c r="J1715" s="4" t="s">
        <v>607</v>
      </c>
      <c r="K1715" s="4" t="s">
        <v>607</v>
      </c>
      <c r="L1715" s="4" t="s">
        <v>607</v>
      </c>
      <c r="M1715" s="4" t="s">
        <v>607</v>
      </c>
      <c r="N1715" s="4" t="s">
        <v>607</v>
      </c>
      <c r="O1715" s="4"/>
      <c r="P1715" s="4"/>
      <c r="T1715" s="4"/>
    </row>
    <row r="1716">
      <c r="A1716" s="4" t="s">
        <v>5009</v>
      </c>
      <c r="B1716" s="4" t="s">
        <v>607</v>
      </c>
      <c r="C1716" s="6" t="s">
        <v>607</v>
      </c>
      <c r="D1716" s="6" t="s">
        <v>607</v>
      </c>
      <c r="E1716" s="6" t="s">
        <v>607</v>
      </c>
      <c r="F1716" s="6" t="s">
        <v>607</v>
      </c>
      <c r="G1716" s="4" t="s">
        <v>607</v>
      </c>
      <c r="H1716" s="4" t="s">
        <v>607</v>
      </c>
      <c r="I1716" s="4" t="s">
        <v>607</v>
      </c>
      <c r="J1716" s="4" t="s">
        <v>607</v>
      </c>
      <c r="K1716" s="4" t="s">
        <v>607</v>
      </c>
      <c r="L1716" s="4" t="s">
        <v>607</v>
      </c>
      <c r="M1716" s="4" t="s">
        <v>607</v>
      </c>
      <c r="N1716" s="4" t="s">
        <v>607</v>
      </c>
      <c r="O1716" s="4"/>
      <c r="P1716" s="4"/>
      <c r="T1716" s="4"/>
    </row>
    <row r="1717">
      <c r="A1717" s="4" t="s">
        <v>5010</v>
      </c>
      <c r="B1717" s="4" t="s">
        <v>607</v>
      </c>
      <c r="C1717" s="6" t="s">
        <v>607</v>
      </c>
      <c r="D1717" s="6" t="s">
        <v>607</v>
      </c>
      <c r="E1717" s="6" t="s">
        <v>607</v>
      </c>
      <c r="F1717" s="6" t="s">
        <v>607</v>
      </c>
      <c r="G1717" s="4" t="s">
        <v>607</v>
      </c>
      <c r="H1717" s="4" t="s">
        <v>607</v>
      </c>
      <c r="I1717" s="4" t="s">
        <v>607</v>
      </c>
      <c r="J1717" s="4" t="s">
        <v>607</v>
      </c>
      <c r="K1717" s="4" t="s">
        <v>607</v>
      </c>
      <c r="L1717" s="4" t="s">
        <v>607</v>
      </c>
      <c r="M1717" s="4" t="s">
        <v>607</v>
      </c>
      <c r="N1717" s="4" t="s">
        <v>607</v>
      </c>
      <c r="O1717" s="4"/>
      <c r="P1717" s="4"/>
      <c r="T1717" s="4"/>
    </row>
    <row r="1718">
      <c r="A1718" s="4" t="s">
        <v>5012</v>
      </c>
      <c r="B1718" s="4" t="s">
        <v>607</v>
      </c>
      <c r="C1718" s="6" t="s">
        <v>607</v>
      </c>
      <c r="D1718" s="6" t="s">
        <v>607</v>
      </c>
      <c r="E1718" s="6" t="s">
        <v>607</v>
      </c>
      <c r="F1718" s="6" t="s">
        <v>607</v>
      </c>
      <c r="G1718" s="4" t="s">
        <v>607</v>
      </c>
      <c r="H1718" s="4" t="s">
        <v>607</v>
      </c>
      <c r="I1718" s="4" t="s">
        <v>607</v>
      </c>
      <c r="J1718" s="4" t="s">
        <v>607</v>
      </c>
      <c r="K1718" s="4" t="s">
        <v>607</v>
      </c>
      <c r="L1718" s="4" t="s">
        <v>607</v>
      </c>
      <c r="M1718" s="4" t="s">
        <v>607</v>
      </c>
      <c r="N1718" s="4" t="s">
        <v>607</v>
      </c>
      <c r="O1718" s="4"/>
      <c r="P1718" s="4"/>
      <c r="T1718" s="4"/>
    </row>
    <row r="1719">
      <c r="A1719" s="4" t="s">
        <v>5013</v>
      </c>
      <c r="B1719" s="4" t="s">
        <v>607</v>
      </c>
      <c r="C1719" s="6" t="s">
        <v>607</v>
      </c>
      <c r="D1719" s="6" t="s">
        <v>607</v>
      </c>
      <c r="E1719" s="6" t="s">
        <v>607</v>
      </c>
      <c r="F1719" s="6" t="s">
        <v>607</v>
      </c>
      <c r="G1719" s="4" t="s">
        <v>607</v>
      </c>
      <c r="H1719" s="4" t="s">
        <v>607</v>
      </c>
      <c r="I1719" s="4" t="s">
        <v>607</v>
      </c>
      <c r="J1719" s="4" t="s">
        <v>607</v>
      </c>
      <c r="K1719" s="4" t="s">
        <v>607</v>
      </c>
      <c r="L1719" s="4" t="s">
        <v>607</v>
      </c>
      <c r="M1719" s="4" t="s">
        <v>607</v>
      </c>
      <c r="N1719" s="4" t="s">
        <v>607</v>
      </c>
      <c r="O1719" s="4"/>
      <c r="P1719" s="4"/>
      <c r="T1719" s="4"/>
    </row>
    <row r="1720">
      <c r="A1720" s="4" t="s">
        <v>5014</v>
      </c>
      <c r="B1720" s="4" t="s">
        <v>607</v>
      </c>
      <c r="C1720" s="6" t="s">
        <v>607</v>
      </c>
      <c r="D1720" s="6" t="s">
        <v>607</v>
      </c>
      <c r="E1720" s="6" t="s">
        <v>607</v>
      </c>
      <c r="F1720" s="6" t="s">
        <v>607</v>
      </c>
      <c r="G1720" s="4" t="s">
        <v>607</v>
      </c>
      <c r="H1720" s="4" t="s">
        <v>607</v>
      </c>
      <c r="I1720" s="4" t="s">
        <v>607</v>
      </c>
      <c r="J1720" s="4" t="s">
        <v>607</v>
      </c>
      <c r="K1720" s="4" t="s">
        <v>607</v>
      </c>
      <c r="L1720" s="4" t="s">
        <v>607</v>
      </c>
      <c r="M1720" s="4" t="s">
        <v>607</v>
      </c>
      <c r="N1720" s="4" t="s">
        <v>607</v>
      </c>
      <c r="O1720" s="4"/>
      <c r="P1720" s="4"/>
      <c r="T1720" s="4"/>
    </row>
    <row r="1721">
      <c r="A1721" s="4" t="s">
        <v>5015</v>
      </c>
      <c r="B1721" s="4" t="s">
        <v>607</v>
      </c>
      <c r="C1721" s="6" t="s">
        <v>607</v>
      </c>
      <c r="D1721" s="6" t="s">
        <v>607</v>
      </c>
      <c r="E1721" s="6" t="s">
        <v>607</v>
      </c>
      <c r="F1721" s="6" t="s">
        <v>607</v>
      </c>
      <c r="G1721" s="4" t="s">
        <v>607</v>
      </c>
      <c r="H1721" s="4" t="s">
        <v>607</v>
      </c>
      <c r="I1721" s="4" t="s">
        <v>607</v>
      </c>
      <c r="J1721" s="4" t="s">
        <v>607</v>
      </c>
      <c r="K1721" s="4" t="s">
        <v>607</v>
      </c>
      <c r="L1721" s="4" t="s">
        <v>607</v>
      </c>
      <c r="M1721" s="4" t="s">
        <v>607</v>
      </c>
      <c r="N1721" s="4" t="s">
        <v>607</v>
      </c>
      <c r="O1721" s="4"/>
      <c r="P1721" s="4"/>
      <c r="T1721" s="4"/>
    </row>
    <row r="1722">
      <c r="A1722" s="4" t="s">
        <v>5016</v>
      </c>
      <c r="B1722" s="4" t="s">
        <v>607</v>
      </c>
      <c r="C1722" s="6" t="s">
        <v>607</v>
      </c>
      <c r="D1722" s="6" t="s">
        <v>607</v>
      </c>
      <c r="E1722" s="6" t="s">
        <v>607</v>
      </c>
      <c r="F1722" s="6" t="s">
        <v>607</v>
      </c>
      <c r="G1722" s="4" t="s">
        <v>607</v>
      </c>
      <c r="H1722" s="4" t="s">
        <v>607</v>
      </c>
      <c r="I1722" s="4" t="s">
        <v>607</v>
      </c>
      <c r="J1722" s="4" t="s">
        <v>607</v>
      </c>
      <c r="K1722" s="4" t="s">
        <v>607</v>
      </c>
      <c r="L1722" s="4" t="s">
        <v>607</v>
      </c>
      <c r="M1722" s="4" t="s">
        <v>607</v>
      </c>
      <c r="N1722" s="4" t="s">
        <v>607</v>
      </c>
      <c r="O1722" s="4"/>
      <c r="P1722" s="4"/>
      <c r="T1722" s="4"/>
    </row>
    <row r="1723">
      <c r="A1723" s="4" t="s">
        <v>5017</v>
      </c>
      <c r="B1723" s="4" t="s">
        <v>607</v>
      </c>
      <c r="C1723" s="6" t="s">
        <v>607</v>
      </c>
      <c r="D1723" s="6" t="s">
        <v>607</v>
      </c>
      <c r="E1723" s="6" t="s">
        <v>607</v>
      </c>
      <c r="F1723" s="6" t="s">
        <v>607</v>
      </c>
      <c r="G1723" s="4" t="s">
        <v>607</v>
      </c>
      <c r="H1723" s="4" t="s">
        <v>607</v>
      </c>
      <c r="I1723" s="4" t="s">
        <v>607</v>
      </c>
      <c r="J1723" s="4" t="s">
        <v>607</v>
      </c>
      <c r="K1723" s="4" t="s">
        <v>607</v>
      </c>
      <c r="L1723" s="4" t="s">
        <v>607</v>
      </c>
      <c r="M1723" s="4" t="s">
        <v>607</v>
      </c>
      <c r="N1723" s="4" t="s">
        <v>607</v>
      </c>
      <c r="O1723" s="4"/>
      <c r="P1723" s="4"/>
      <c r="T1723" s="4"/>
    </row>
    <row r="1724">
      <c r="A1724" s="4" t="s">
        <v>5018</v>
      </c>
      <c r="B1724" s="4" t="s">
        <v>607</v>
      </c>
      <c r="C1724" s="6" t="s">
        <v>607</v>
      </c>
      <c r="D1724" s="6" t="s">
        <v>607</v>
      </c>
      <c r="E1724" s="6" t="s">
        <v>607</v>
      </c>
      <c r="F1724" s="6" t="s">
        <v>607</v>
      </c>
      <c r="G1724" s="4" t="s">
        <v>607</v>
      </c>
      <c r="H1724" s="4" t="s">
        <v>607</v>
      </c>
      <c r="I1724" s="4" t="s">
        <v>607</v>
      </c>
      <c r="J1724" s="4" t="s">
        <v>607</v>
      </c>
      <c r="K1724" s="4" t="s">
        <v>607</v>
      </c>
      <c r="L1724" s="4" t="s">
        <v>607</v>
      </c>
      <c r="M1724" s="4" t="s">
        <v>607</v>
      </c>
      <c r="N1724" s="4" t="s">
        <v>607</v>
      </c>
      <c r="O1724" s="4"/>
      <c r="P1724" s="4"/>
      <c r="T1724" s="4"/>
    </row>
    <row r="1725">
      <c r="A1725" s="4" t="s">
        <v>5019</v>
      </c>
      <c r="B1725" s="4" t="s">
        <v>607</v>
      </c>
      <c r="C1725" s="6" t="s">
        <v>607</v>
      </c>
      <c r="D1725" s="6" t="s">
        <v>607</v>
      </c>
      <c r="E1725" s="6" t="s">
        <v>607</v>
      </c>
      <c r="F1725" s="6" t="s">
        <v>607</v>
      </c>
      <c r="G1725" s="4" t="s">
        <v>607</v>
      </c>
      <c r="H1725" s="4" t="s">
        <v>607</v>
      </c>
      <c r="I1725" s="4" t="s">
        <v>607</v>
      </c>
      <c r="J1725" s="4" t="s">
        <v>607</v>
      </c>
      <c r="K1725" s="4" t="s">
        <v>607</v>
      </c>
      <c r="L1725" s="4" t="s">
        <v>607</v>
      </c>
      <c r="M1725" s="4" t="s">
        <v>607</v>
      </c>
      <c r="N1725" s="4" t="s">
        <v>607</v>
      </c>
      <c r="O1725" s="4"/>
      <c r="P1725" s="4"/>
      <c r="T1725" s="4"/>
    </row>
    <row r="1726">
      <c r="A1726" s="4" t="s">
        <v>5020</v>
      </c>
      <c r="B1726" s="4" t="s">
        <v>607</v>
      </c>
      <c r="C1726" s="6" t="s">
        <v>607</v>
      </c>
      <c r="D1726" s="6" t="s">
        <v>607</v>
      </c>
      <c r="E1726" s="6" t="s">
        <v>607</v>
      </c>
      <c r="F1726" s="6" t="s">
        <v>607</v>
      </c>
      <c r="G1726" s="4" t="s">
        <v>607</v>
      </c>
      <c r="H1726" s="4" t="s">
        <v>607</v>
      </c>
      <c r="I1726" s="4" t="s">
        <v>607</v>
      </c>
      <c r="J1726" s="4" t="s">
        <v>607</v>
      </c>
      <c r="K1726" s="4" t="s">
        <v>607</v>
      </c>
      <c r="L1726" s="4" t="s">
        <v>607</v>
      </c>
      <c r="M1726" s="4" t="s">
        <v>607</v>
      </c>
      <c r="N1726" s="4" t="s">
        <v>607</v>
      </c>
      <c r="O1726" s="4"/>
      <c r="P1726" s="4"/>
      <c r="T1726" s="4"/>
    </row>
    <row r="1727">
      <c r="A1727" s="4" t="s">
        <v>5021</v>
      </c>
      <c r="B1727" s="4" t="s">
        <v>607</v>
      </c>
      <c r="C1727" s="6" t="s">
        <v>607</v>
      </c>
      <c r="D1727" s="6" t="s">
        <v>607</v>
      </c>
      <c r="E1727" s="6" t="s">
        <v>607</v>
      </c>
      <c r="F1727" s="6" t="s">
        <v>607</v>
      </c>
      <c r="G1727" s="4" t="s">
        <v>607</v>
      </c>
      <c r="H1727" s="4" t="s">
        <v>607</v>
      </c>
      <c r="I1727" s="4" t="s">
        <v>607</v>
      </c>
      <c r="J1727" s="4" t="s">
        <v>607</v>
      </c>
      <c r="K1727" s="4" t="s">
        <v>607</v>
      </c>
      <c r="L1727" s="4" t="s">
        <v>607</v>
      </c>
      <c r="M1727" s="4" t="s">
        <v>607</v>
      </c>
      <c r="N1727" s="4" t="s">
        <v>607</v>
      </c>
      <c r="O1727" s="4"/>
      <c r="P1727" s="4"/>
      <c r="T1727" s="4"/>
    </row>
    <row r="1728">
      <c r="A1728" s="4" t="s">
        <v>5022</v>
      </c>
      <c r="B1728" s="4" t="s">
        <v>607</v>
      </c>
      <c r="C1728" s="6" t="s">
        <v>607</v>
      </c>
      <c r="D1728" s="6" t="s">
        <v>607</v>
      </c>
      <c r="E1728" s="6" t="s">
        <v>607</v>
      </c>
      <c r="F1728" s="6" t="s">
        <v>607</v>
      </c>
      <c r="G1728" s="4" t="s">
        <v>607</v>
      </c>
      <c r="H1728" s="4" t="s">
        <v>607</v>
      </c>
      <c r="I1728" s="4" t="s">
        <v>607</v>
      </c>
      <c r="J1728" s="4" t="s">
        <v>607</v>
      </c>
      <c r="K1728" s="4" t="s">
        <v>607</v>
      </c>
      <c r="L1728" s="4" t="s">
        <v>607</v>
      </c>
      <c r="M1728" s="4" t="s">
        <v>607</v>
      </c>
      <c r="N1728" s="4" t="s">
        <v>607</v>
      </c>
      <c r="O1728" s="4"/>
      <c r="P1728" s="4"/>
      <c r="T1728" s="4"/>
    </row>
    <row r="1729">
      <c r="A1729" s="4" t="s">
        <v>5023</v>
      </c>
      <c r="B1729" s="4" t="s">
        <v>607</v>
      </c>
      <c r="C1729" s="6" t="s">
        <v>607</v>
      </c>
      <c r="D1729" s="6" t="s">
        <v>607</v>
      </c>
      <c r="E1729" s="6" t="s">
        <v>607</v>
      </c>
      <c r="F1729" s="6" t="s">
        <v>607</v>
      </c>
      <c r="G1729" s="4" t="s">
        <v>607</v>
      </c>
      <c r="H1729" s="4" t="s">
        <v>607</v>
      </c>
      <c r="I1729" s="4" t="s">
        <v>607</v>
      </c>
      <c r="J1729" s="4" t="s">
        <v>607</v>
      </c>
      <c r="K1729" s="4" t="s">
        <v>607</v>
      </c>
      <c r="L1729" s="4" t="s">
        <v>607</v>
      </c>
      <c r="M1729" s="4" t="s">
        <v>607</v>
      </c>
      <c r="N1729" s="4" t="s">
        <v>607</v>
      </c>
      <c r="O1729" s="4"/>
      <c r="P1729" s="4"/>
      <c r="T1729" s="4"/>
    </row>
    <row r="1730">
      <c r="A1730" s="4" t="s">
        <v>5024</v>
      </c>
      <c r="B1730" s="4" t="s">
        <v>607</v>
      </c>
      <c r="C1730" s="6" t="s">
        <v>607</v>
      </c>
      <c r="D1730" s="6" t="s">
        <v>607</v>
      </c>
      <c r="E1730" s="6" t="s">
        <v>607</v>
      </c>
      <c r="F1730" s="6" t="s">
        <v>607</v>
      </c>
      <c r="G1730" s="4" t="s">
        <v>607</v>
      </c>
      <c r="H1730" s="4" t="s">
        <v>607</v>
      </c>
      <c r="I1730" s="4" t="s">
        <v>607</v>
      </c>
      <c r="J1730" s="4" t="s">
        <v>607</v>
      </c>
      <c r="K1730" s="4" t="s">
        <v>607</v>
      </c>
      <c r="L1730" s="4" t="s">
        <v>607</v>
      </c>
      <c r="M1730" s="4" t="s">
        <v>607</v>
      </c>
      <c r="N1730" s="4" t="s">
        <v>607</v>
      </c>
      <c r="O1730" s="4"/>
      <c r="P1730" s="4"/>
      <c r="T1730" s="4"/>
    </row>
    <row r="1731">
      <c r="A1731" s="4" t="s">
        <v>5025</v>
      </c>
      <c r="B1731" s="4" t="s">
        <v>607</v>
      </c>
      <c r="C1731" s="6" t="s">
        <v>607</v>
      </c>
      <c r="D1731" s="6" t="s">
        <v>607</v>
      </c>
      <c r="E1731" s="6" t="s">
        <v>607</v>
      </c>
      <c r="F1731" s="6" t="s">
        <v>607</v>
      </c>
      <c r="G1731" s="4" t="s">
        <v>607</v>
      </c>
      <c r="H1731" s="4" t="s">
        <v>607</v>
      </c>
      <c r="I1731" s="4" t="s">
        <v>607</v>
      </c>
      <c r="J1731" s="4" t="s">
        <v>607</v>
      </c>
      <c r="K1731" s="4" t="s">
        <v>607</v>
      </c>
      <c r="L1731" s="4" t="s">
        <v>607</v>
      </c>
      <c r="M1731" s="4" t="s">
        <v>607</v>
      </c>
      <c r="N1731" s="4" t="s">
        <v>607</v>
      </c>
      <c r="O1731" s="4"/>
      <c r="P1731" s="4"/>
      <c r="T1731" s="4"/>
    </row>
    <row r="1732">
      <c r="A1732" s="4" t="s">
        <v>5026</v>
      </c>
      <c r="B1732" s="4" t="s">
        <v>607</v>
      </c>
      <c r="C1732" s="6" t="s">
        <v>607</v>
      </c>
      <c r="D1732" s="6" t="s">
        <v>607</v>
      </c>
      <c r="E1732" s="6" t="s">
        <v>607</v>
      </c>
      <c r="F1732" s="6" t="s">
        <v>607</v>
      </c>
      <c r="G1732" s="4" t="s">
        <v>607</v>
      </c>
      <c r="H1732" s="4" t="s">
        <v>607</v>
      </c>
      <c r="I1732" s="4" t="s">
        <v>607</v>
      </c>
      <c r="J1732" s="4" t="s">
        <v>607</v>
      </c>
      <c r="K1732" s="4" t="s">
        <v>607</v>
      </c>
      <c r="L1732" s="4" t="s">
        <v>607</v>
      </c>
      <c r="M1732" s="4" t="s">
        <v>607</v>
      </c>
      <c r="N1732" s="4" t="s">
        <v>607</v>
      </c>
      <c r="O1732" s="4"/>
      <c r="P1732" s="4"/>
      <c r="T1732" s="4"/>
    </row>
    <row r="1733">
      <c r="A1733" s="4" t="s">
        <v>5027</v>
      </c>
      <c r="B1733" s="4" t="s">
        <v>607</v>
      </c>
      <c r="C1733" s="6" t="s">
        <v>607</v>
      </c>
      <c r="D1733" s="6" t="s">
        <v>607</v>
      </c>
      <c r="E1733" s="6" t="s">
        <v>607</v>
      </c>
      <c r="F1733" s="6" t="s">
        <v>607</v>
      </c>
      <c r="G1733" s="4" t="s">
        <v>607</v>
      </c>
      <c r="H1733" s="4" t="s">
        <v>607</v>
      </c>
      <c r="I1733" s="4" t="s">
        <v>607</v>
      </c>
      <c r="J1733" s="4" t="s">
        <v>607</v>
      </c>
      <c r="K1733" s="4" t="s">
        <v>607</v>
      </c>
      <c r="L1733" s="4" t="s">
        <v>607</v>
      </c>
      <c r="M1733" s="4" t="s">
        <v>607</v>
      </c>
      <c r="N1733" s="4" t="s">
        <v>607</v>
      </c>
      <c r="O1733" s="4"/>
      <c r="P1733" s="4"/>
      <c r="T1733" s="4"/>
    </row>
    <row r="1734">
      <c r="A1734" s="4" t="s">
        <v>5028</v>
      </c>
      <c r="B1734" s="4" t="s">
        <v>607</v>
      </c>
      <c r="C1734" s="6" t="s">
        <v>607</v>
      </c>
      <c r="D1734" s="6" t="s">
        <v>607</v>
      </c>
      <c r="E1734" s="6" t="s">
        <v>607</v>
      </c>
      <c r="F1734" s="6" t="s">
        <v>607</v>
      </c>
      <c r="G1734" s="4" t="s">
        <v>607</v>
      </c>
      <c r="H1734" s="4" t="s">
        <v>607</v>
      </c>
      <c r="I1734" s="4" t="s">
        <v>607</v>
      </c>
      <c r="J1734" s="4" t="s">
        <v>607</v>
      </c>
      <c r="K1734" s="4" t="s">
        <v>607</v>
      </c>
      <c r="L1734" s="4" t="s">
        <v>607</v>
      </c>
      <c r="M1734" s="4" t="s">
        <v>607</v>
      </c>
      <c r="N1734" s="4" t="s">
        <v>607</v>
      </c>
      <c r="O1734" s="4"/>
      <c r="P1734" s="4"/>
      <c r="T1734" s="4"/>
    </row>
    <row r="1735">
      <c r="A1735" s="4" t="s">
        <v>5029</v>
      </c>
      <c r="B1735" s="4" t="s">
        <v>607</v>
      </c>
      <c r="C1735" s="6" t="s">
        <v>607</v>
      </c>
      <c r="D1735" s="6" t="s">
        <v>607</v>
      </c>
      <c r="E1735" s="6" t="s">
        <v>607</v>
      </c>
      <c r="F1735" s="6" t="s">
        <v>607</v>
      </c>
      <c r="G1735" s="4" t="s">
        <v>607</v>
      </c>
      <c r="H1735" s="4" t="s">
        <v>607</v>
      </c>
      <c r="I1735" s="4" t="s">
        <v>607</v>
      </c>
      <c r="J1735" s="4" t="s">
        <v>607</v>
      </c>
      <c r="K1735" s="4" t="s">
        <v>607</v>
      </c>
      <c r="L1735" s="4" t="s">
        <v>607</v>
      </c>
      <c r="M1735" s="4" t="s">
        <v>607</v>
      </c>
      <c r="N1735" s="4" t="s">
        <v>607</v>
      </c>
      <c r="O1735" s="4"/>
      <c r="P1735" s="4"/>
      <c r="T1735" s="4"/>
    </row>
    <row r="1736">
      <c r="A1736" s="4" t="s">
        <v>5030</v>
      </c>
      <c r="B1736" s="4" t="s">
        <v>607</v>
      </c>
      <c r="C1736" s="6" t="s">
        <v>607</v>
      </c>
      <c r="D1736" s="6" t="s">
        <v>607</v>
      </c>
      <c r="E1736" s="6" t="s">
        <v>607</v>
      </c>
      <c r="F1736" s="6" t="s">
        <v>607</v>
      </c>
      <c r="G1736" s="4" t="s">
        <v>607</v>
      </c>
      <c r="H1736" s="4" t="s">
        <v>607</v>
      </c>
      <c r="I1736" s="4" t="s">
        <v>607</v>
      </c>
      <c r="J1736" s="4" t="s">
        <v>607</v>
      </c>
      <c r="K1736" s="4" t="s">
        <v>607</v>
      </c>
      <c r="L1736" s="4" t="s">
        <v>607</v>
      </c>
      <c r="M1736" s="4" t="s">
        <v>607</v>
      </c>
      <c r="N1736" s="4" t="s">
        <v>607</v>
      </c>
      <c r="O1736" s="4"/>
      <c r="P1736" s="4"/>
      <c r="T1736" s="4"/>
    </row>
    <row r="1737">
      <c r="A1737" s="4" t="s">
        <v>5031</v>
      </c>
      <c r="B1737" s="4" t="s">
        <v>607</v>
      </c>
      <c r="C1737" s="6" t="s">
        <v>607</v>
      </c>
      <c r="D1737" s="6" t="s">
        <v>607</v>
      </c>
      <c r="E1737" s="6" t="s">
        <v>607</v>
      </c>
      <c r="F1737" s="6" t="s">
        <v>607</v>
      </c>
      <c r="G1737" s="4" t="s">
        <v>607</v>
      </c>
      <c r="H1737" s="4" t="s">
        <v>607</v>
      </c>
      <c r="I1737" s="4" t="s">
        <v>607</v>
      </c>
      <c r="J1737" s="4" t="s">
        <v>607</v>
      </c>
      <c r="K1737" s="4" t="s">
        <v>607</v>
      </c>
      <c r="L1737" s="4" t="s">
        <v>607</v>
      </c>
      <c r="M1737" s="4" t="s">
        <v>607</v>
      </c>
      <c r="N1737" s="4" t="s">
        <v>607</v>
      </c>
      <c r="O1737" s="4"/>
      <c r="P1737" s="4"/>
      <c r="T1737" s="4"/>
    </row>
    <row r="1738">
      <c r="A1738" s="4" t="s">
        <v>5032</v>
      </c>
      <c r="B1738" s="4" t="s">
        <v>607</v>
      </c>
      <c r="C1738" s="6" t="s">
        <v>607</v>
      </c>
      <c r="D1738" s="6" t="s">
        <v>607</v>
      </c>
      <c r="E1738" s="6" t="s">
        <v>607</v>
      </c>
      <c r="F1738" s="6" t="s">
        <v>607</v>
      </c>
      <c r="G1738" s="4" t="s">
        <v>607</v>
      </c>
      <c r="H1738" s="4" t="s">
        <v>607</v>
      </c>
      <c r="I1738" s="4" t="s">
        <v>607</v>
      </c>
      <c r="J1738" s="4" t="s">
        <v>607</v>
      </c>
      <c r="K1738" s="4" t="s">
        <v>607</v>
      </c>
      <c r="L1738" s="4" t="s">
        <v>607</v>
      </c>
      <c r="M1738" s="4" t="s">
        <v>607</v>
      </c>
      <c r="N1738" s="4" t="s">
        <v>607</v>
      </c>
      <c r="O1738" s="4"/>
      <c r="P1738" s="4"/>
      <c r="T1738" s="4"/>
    </row>
    <row r="1739">
      <c r="A1739" s="4" t="s">
        <v>5033</v>
      </c>
      <c r="B1739" s="4" t="s">
        <v>607</v>
      </c>
      <c r="C1739" s="6" t="s">
        <v>607</v>
      </c>
      <c r="D1739" s="6" t="s">
        <v>607</v>
      </c>
      <c r="E1739" s="6" t="s">
        <v>607</v>
      </c>
      <c r="F1739" s="6" t="s">
        <v>607</v>
      </c>
      <c r="G1739" s="4" t="s">
        <v>607</v>
      </c>
      <c r="H1739" s="4" t="s">
        <v>607</v>
      </c>
      <c r="I1739" s="4" t="s">
        <v>607</v>
      </c>
      <c r="J1739" s="4" t="s">
        <v>607</v>
      </c>
      <c r="K1739" s="4" t="s">
        <v>607</v>
      </c>
      <c r="L1739" s="4" t="s">
        <v>607</v>
      </c>
      <c r="M1739" s="4" t="s">
        <v>607</v>
      </c>
      <c r="N1739" s="4" t="s">
        <v>607</v>
      </c>
      <c r="O1739" s="4"/>
      <c r="P1739" s="4"/>
      <c r="T1739" s="4"/>
    </row>
    <row r="1740">
      <c r="A1740" s="4" t="s">
        <v>5034</v>
      </c>
      <c r="B1740" s="4" t="s">
        <v>607</v>
      </c>
      <c r="C1740" s="6" t="s">
        <v>607</v>
      </c>
      <c r="D1740" s="6" t="s">
        <v>607</v>
      </c>
      <c r="E1740" s="6" t="s">
        <v>607</v>
      </c>
      <c r="F1740" s="6" t="s">
        <v>607</v>
      </c>
      <c r="G1740" s="4" t="s">
        <v>607</v>
      </c>
      <c r="H1740" s="4" t="s">
        <v>607</v>
      </c>
      <c r="I1740" s="4" t="s">
        <v>607</v>
      </c>
      <c r="J1740" s="4" t="s">
        <v>607</v>
      </c>
      <c r="K1740" s="4" t="s">
        <v>607</v>
      </c>
      <c r="L1740" s="4" t="s">
        <v>607</v>
      </c>
      <c r="M1740" s="4" t="s">
        <v>607</v>
      </c>
      <c r="N1740" s="4" t="s">
        <v>607</v>
      </c>
      <c r="O1740" s="4"/>
      <c r="P1740" s="4"/>
      <c r="T1740" s="4"/>
    </row>
    <row r="1741">
      <c r="A1741" s="4" t="s">
        <v>5035</v>
      </c>
      <c r="B1741" s="4" t="s">
        <v>607</v>
      </c>
      <c r="C1741" s="6" t="s">
        <v>607</v>
      </c>
      <c r="D1741" s="6" t="s">
        <v>607</v>
      </c>
      <c r="E1741" s="6" t="s">
        <v>607</v>
      </c>
      <c r="F1741" s="6" t="s">
        <v>607</v>
      </c>
      <c r="G1741" s="4" t="s">
        <v>607</v>
      </c>
      <c r="H1741" s="4" t="s">
        <v>607</v>
      </c>
      <c r="I1741" s="4" t="s">
        <v>607</v>
      </c>
      <c r="J1741" s="4" t="s">
        <v>607</v>
      </c>
      <c r="K1741" s="4" t="s">
        <v>607</v>
      </c>
      <c r="L1741" s="4" t="s">
        <v>607</v>
      </c>
      <c r="M1741" s="4" t="s">
        <v>607</v>
      </c>
      <c r="N1741" s="4" t="s">
        <v>607</v>
      </c>
      <c r="O1741" s="4"/>
      <c r="P1741" s="4"/>
      <c r="T1741" s="4"/>
    </row>
    <row r="1742">
      <c r="A1742" s="4" t="s">
        <v>5036</v>
      </c>
      <c r="B1742" s="4" t="s">
        <v>607</v>
      </c>
      <c r="C1742" s="6" t="s">
        <v>607</v>
      </c>
      <c r="D1742" s="6" t="s">
        <v>607</v>
      </c>
      <c r="E1742" s="6" t="s">
        <v>607</v>
      </c>
      <c r="F1742" s="6" t="s">
        <v>607</v>
      </c>
      <c r="G1742" s="4" t="s">
        <v>607</v>
      </c>
      <c r="H1742" s="4" t="s">
        <v>607</v>
      </c>
      <c r="I1742" s="4" t="s">
        <v>607</v>
      </c>
      <c r="J1742" s="4" t="s">
        <v>607</v>
      </c>
      <c r="K1742" s="4" t="s">
        <v>607</v>
      </c>
      <c r="L1742" s="4" t="s">
        <v>607</v>
      </c>
      <c r="M1742" s="4" t="s">
        <v>607</v>
      </c>
      <c r="N1742" s="4" t="s">
        <v>607</v>
      </c>
      <c r="O1742" s="4"/>
      <c r="P1742" s="4"/>
      <c r="T1742" s="4"/>
    </row>
    <row r="1743">
      <c r="A1743" s="4" t="s">
        <v>5037</v>
      </c>
      <c r="B1743" s="4" t="s">
        <v>607</v>
      </c>
      <c r="C1743" s="6" t="s">
        <v>607</v>
      </c>
      <c r="D1743" s="6" t="s">
        <v>607</v>
      </c>
      <c r="E1743" s="6" t="s">
        <v>607</v>
      </c>
      <c r="F1743" s="6" t="s">
        <v>607</v>
      </c>
      <c r="G1743" s="4" t="s">
        <v>607</v>
      </c>
      <c r="H1743" s="4" t="s">
        <v>607</v>
      </c>
      <c r="I1743" s="4" t="s">
        <v>607</v>
      </c>
      <c r="J1743" s="4" t="s">
        <v>607</v>
      </c>
      <c r="K1743" s="4" t="s">
        <v>607</v>
      </c>
      <c r="L1743" s="4" t="s">
        <v>607</v>
      </c>
      <c r="M1743" s="4" t="s">
        <v>607</v>
      </c>
      <c r="N1743" s="4" t="s">
        <v>607</v>
      </c>
      <c r="O1743" s="4"/>
      <c r="P1743" s="4"/>
      <c r="T1743" s="4"/>
    </row>
    <row r="1744">
      <c r="A1744" s="4" t="s">
        <v>5038</v>
      </c>
      <c r="B1744" s="4" t="s">
        <v>607</v>
      </c>
      <c r="C1744" s="6" t="s">
        <v>607</v>
      </c>
      <c r="D1744" s="6" t="s">
        <v>607</v>
      </c>
      <c r="E1744" s="6" t="s">
        <v>607</v>
      </c>
      <c r="F1744" s="6" t="s">
        <v>607</v>
      </c>
      <c r="G1744" s="4" t="s">
        <v>607</v>
      </c>
      <c r="H1744" s="4" t="s">
        <v>607</v>
      </c>
      <c r="I1744" s="4" t="s">
        <v>607</v>
      </c>
      <c r="J1744" s="4" t="s">
        <v>607</v>
      </c>
      <c r="K1744" s="4" t="s">
        <v>607</v>
      </c>
      <c r="L1744" s="4" t="s">
        <v>607</v>
      </c>
      <c r="M1744" s="4" t="s">
        <v>607</v>
      </c>
      <c r="N1744" s="4" t="s">
        <v>607</v>
      </c>
      <c r="O1744" s="4"/>
      <c r="P1744" s="4"/>
      <c r="T1744" s="4"/>
    </row>
    <row r="1745">
      <c r="A1745" s="4" t="s">
        <v>5039</v>
      </c>
      <c r="B1745" s="4" t="s">
        <v>607</v>
      </c>
      <c r="C1745" s="6" t="s">
        <v>607</v>
      </c>
      <c r="D1745" s="6" t="s">
        <v>607</v>
      </c>
      <c r="E1745" s="6" t="s">
        <v>607</v>
      </c>
      <c r="F1745" s="6" t="s">
        <v>607</v>
      </c>
      <c r="G1745" s="4" t="s">
        <v>607</v>
      </c>
      <c r="H1745" s="4" t="s">
        <v>607</v>
      </c>
      <c r="I1745" s="4" t="s">
        <v>607</v>
      </c>
      <c r="J1745" s="4" t="s">
        <v>607</v>
      </c>
      <c r="K1745" s="4" t="s">
        <v>607</v>
      </c>
      <c r="L1745" s="4" t="s">
        <v>607</v>
      </c>
      <c r="M1745" s="4" t="s">
        <v>607</v>
      </c>
      <c r="N1745" s="4" t="s">
        <v>607</v>
      </c>
      <c r="O1745" s="4"/>
      <c r="P1745" s="4"/>
      <c r="T1745" s="4"/>
    </row>
    <row r="1746">
      <c r="A1746" s="4" t="s">
        <v>5040</v>
      </c>
      <c r="B1746" s="4" t="s">
        <v>607</v>
      </c>
      <c r="C1746" s="6" t="s">
        <v>607</v>
      </c>
      <c r="D1746" s="6" t="s">
        <v>607</v>
      </c>
      <c r="E1746" s="6" t="s">
        <v>607</v>
      </c>
      <c r="F1746" s="6" t="s">
        <v>607</v>
      </c>
      <c r="G1746" s="4" t="s">
        <v>607</v>
      </c>
      <c r="H1746" s="4" t="s">
        <v>607</v>
      </c>
      <c r="I1746" s="4" t="s">
        <v>607</v>
      </c>
      <c r="J1746" s="4" t="s">
        <v>607</v>
      </c>
      <c r="K1746" s="4" t="s">
        <v>607</v>
      </c>
      <c r="L1746" s="4" t="s">
        <v>607</v>
      </c>
      <c r="M1746" s="4" t="s">
        <v>607</v>
      </c>
      <c r="N1746" s="4" t="s">
        <v>607</v>
      </c>
      <c r="O1746" s="4"/>
      <c r="P1746" s="4"/>
      <c r="T1746" s="4"/>
    </row>
    <row r="1747">
      <c r="A1747" s="4" t="s">
        <v>5041</v>
      </c>
      <c r="B1747" s="4" t="s">
        <v>607</v>
      </c>
      <c r="C1747" s="6" t="s">
        <v>607</v>
      </c>
      <c r="D1747" s="6" t="s">
        <v>607</v>
      </c>
      <c r="E1747" s="6" t="s">
        <v>607</v>
      </c>
      <c r="F1747" s="6" t="s">
        <v>607</v>
      </c>
      <c r="G1747" s="4" t="s">
        <v>607</v>
      </c>
      <c r="H1747" s="4" t="s">
        <v>607</v>
      </c>
      <c r="I1747" s="4" t="s">
        <v>607</v>
      </c>
      <c r="J1747" s="4" t="s">
        <v>607</v>
      </c>
      <c r="K1747" s="4" t="s">
        <v>607</v>
      </c>
      <c r="L1747" s="4" t="s">
        <v>607</v>
      </c>
      <c r="M1747" s="4" t="s">
        <v>607</v>
      </c>
      <c r="N1747" s="4" t="s">
        <v>607</v>
      </c>
      <c r="O1747" s="4"/>
      <c r="P1747" s="4"/>
      <c r="T1747" s="4"/>
    </row>
    <row r="1748">
      <c r="A1748" s="4" t="s">
        <v>5042</v>
      </c>
      <c r="B1748" s="4" t="s">
        <v>607</v>
      </c>
      <c r="C1748" s="6" t="s">
        <v>607</v>
      </c>
      <c r="D1748" s="6" t="s">
        <v>607</v>
      </c>
      <c r="E1748" s="6" t="s">
        <v>607</v>
      </c>
      <c r="F1748" s="6" t="s">
        <v>607</v>
      </c>
      <c r="G1748" s="4" t="s">
        <v>607</v>
      </c>
      <c r="H1748" s="4" t="s">
        <v>607</v>
      </c>
      <c r="I1748" s="4" t="s">
        <v>607</v>
      </c>
      <c r="J1748" s="4" t="s">
        <v>607</v>
      </c>
      <c r="K1748" s="4" t="s">
        <v>607</v>
      </c>
      <c r="L1748" s="4" t="s">
        <v>607</v>
      </c>
      <c r="M1748" s="4" t="s">
        <v>607</v>
      </c>
      <c r="N1748" s="4" t="s">
        <v>607</v>
      </c>
      <c r="O1748" s="4"/>
      <c r="P1748" s="4"/>
      <c r="T1748" s="4"/>
    </row>
    <row r="1749">
      <c r="A1749" s="4" t="s">
        <v>5043</v>
      </c>
      <c r="B1749" s="4" t="s">
        <v>607</v>
      </c>
      <c r="C1749" s="6" t="s">
        <v>607</v>
      </c>
      <c r="D1749" s="6" t="s">
        <v>607</v>
      </c>
      <c r="E1749" s="6" t="s">
        <v>607</v>
      </c>
      <c r="F1749" s="6" t="s">
        <v>607</v>
      </c>
      <c r="G1749" s="4" t="s">
        <v>607</v>
      </c>
      <c r="H1749" s="4" t="s">
        <v>607</v>
      </c>
      <c r="I1749" s="4" t="s">
        <v>607</v>
      </c>
      <c r="J1749" s="4" t="s">
        <v>607</v>
      </c>
      <c r="K1749" s="4" t="s">
        <v>607</v>
      </c>
      <c r="L1749" s="4" t="s">
        <v>607</v>
      </c>
      <c r="M1749" s="4" t="s">
        <v>607</v>
      </c>
      <c r="N1749" s="4" t="s">
        <v>607</v>
      </c>
      <c r="O1749" s="4"/>
      <c r="P1749" s="4"/>
      <c r="T1749" s="4"/>
    </row>
    <row r="1750">
      <c r="A1750" s="4" t="s">
        <v>5044</v>
      </c>
      <c r="B1750" s="4" t="s">
        <v>607</v>
      </c>
      <c r="C1750" s="6" t="s">
        <v>607</v>
      </c>
      <c r="D1750" s="6" t="s">
        <v>607</v>
      </c>
      <c r="E1750" s="6" t="s">
        <v>607</v>
      </c>
      <c r="F1750" s="6" t="s">
        <v>607</v>
      </c>
      <c r="G1750" s="4" t="s">
        <v>607</v>
      </c>
      <c r="H1750" s="4" t="s">
        <v>607</v>
      </c>
      <c r="I1750" s="4" t="s">
        <v>607</v>
      </c>
      <c r="J1750" s="4" t="s">
        <v>607</v>
      </c>
      <c r="K1750" s="4" t="s">
        <v>607</v>
      </c>
      <c r="L1750" s="4" t="s">
        <v>607</v>
      </c>
      <c r="M1750" s="4" t="s">
        <v>607</v>
      </c>
      <c r="N1750" s="4" t="s">
        <v>607</v>
      </c>
      <c r="O1750" s="4"/>
      <c r="P1750" s="4"/>
      <c r="T1750" s="4"/>
    </row>
    <row r="1751">
      <c r="A1751" s="4" t="s">
        <v>5045</v>
      </c>
      <c r="B1751" s="4" t="s">
        <v>607</v>
      </c>
      <c r="C1751" s="6" t="s">
        <v>607</v>
      </c>
      <c r="D1751" s="6" t="s">
        <v>607</v>
      </c>
      <c r="E1751" s="6" t="s">
        <v>607</v>
      </c>
      <c r="F1751" s="6" t="s">
        <v>607</v>
      </c>
      <c r="G1751" s="4" t="s">
        <v>607</v>
      </c>
      <c r="H1751" s="4" t="s">
        <v>607</v>
      </c>
      <c r="I1751" s="4" t="s">
        <v>607</v>
      </c>
      <c r="J1751" s="4" t="s">
        <v>607</v>
      </c>
      <c r="K1751" s="4" t="s">
        <v>607</v>
      </c>
      <c r="L1751" s="4" t="s">
        <v>607</v>
      </c>
      <c r="M1751" s="4" t="s">
        <v>607</v>
      </c>
      <c r="N1751" s="4" t="s">
        <v>607</v>
      </c>
      <c r="O1751" s="4"/>
      <c r="P1751" s="4"/>
      <c r="T1751" s="4"/>
    </row>
    <row r="1752">
      <c r="A1752" s="4" t="s">
        <v>5046</v>
      </c>
      <c r="B1752" s="4" t="s">
        <v>607</v>
      </c>
      <c r="C1752" s="6" t="s">
        <v>607</v>
      </c>
      <c r="D1752" s="6" t="s">
        <v>607</v>
      </c>
      <c r="E1752" s="6" t="s">
        <v>607</v>
      </c>
      <c r="F1752" s="6" t="s">
        <v>607</v>
      </c>
      <c r="G1752" s="4" t="s">
        <v>607</v>
      </c>
      <c r="H1752" s="4" t="s">
        <v>607</v>
      </c>
      <c r="I1752" s="4" t="s">
        <v>607</v>
      </c>
      <c r="J1752" s="4" t="s">
        <v>607</v>
      </c>
      <c r="K1752" s="4" t="s">
        <v>607</v>
      </c>
      <c r="L1752" s="4" t="s">
        <v>607</v>
      </c>
      <c r="M1752" s="4" t="s">
        <v>607</v>
      </c>
      <c r="N1752" s="4" t="s">
        <v>607</v>
      </c>
      <c r="O1752" s="4"/>
      <c r="P1752" s="4"/>
      <c r="T1752" s="4"/>
    </row>
    <row r="1753">
      <c r="A1753" s="4" t="s">
        <v>5047</v>
      </c>
      <c r="B1753" s="4" t="s">
        <v>607</v>
      </c>
      <c r="C1753" s="6" t="s">
        <v>607</v>
      </c>
      <c r="D1753" s="6" t="s">
        <v>607</v>
      </c>
      <c r="E1753" s="6" t="s">
        <v>607</v>
      </c>
      <c r="F1753" s="6" t="s">
        <v>607</v>
      </c>
      <c r="G1753" s="4" t="s">
        <v>607</v>
      </c>
      <c r="H1753" s="4" t="s">
        <v>607</v>
      </c>
      <c r="I1753" s="4" t="s">
        <v>607</v>
      </c>
      <c r="J1753" s="4" t="s">
        <v>607</v>
      </c>
      <c r="K1753" s="4" t="s">
        <v>607</v>
      </c>
      <c r="L1753" s="4" t="s">
        <v>607</v>
      </c>
      <c r="M1753" s="4" t="s">
        <v>607</v>
      </c>
      <c r="N1753" s="4" t="s">
        <v>607</v>
      </c>
      <c r="O1753" s="4"/>
      <c r="P1753" s="4"/>
      <c r="T1753" s="4"/>
    </row>
    <row r="1754">
      <c r="A1754" s="4" t="s">
        <v>5048</v>
      </c>
      <c r="B1754" s="4" t="s">
        <v>607</v>
      </c>
      <c r="C1754" s="6" t="s">
        <v>607</v>
      </c>
      <c r="D1754" s="6" t="s">
        <v>607</v>
      </c>
      <c r="E1754" s="6" t="s">
        <v>607</v>
      </c>
      <c r="F1754" s="6" t="s">
        <v>607</v>
      </c>
      <c r="G1754" s="4" t="s">
        <v>607</v>
      </c>
      <c r="H1754" s="4" t="s">
        <v>607</v>
      </c>
      <c r="I1754" s="4" t="s">
        <v>607</v>
      </c>
      <c r="J1754" s="4" t="s">
        <v>607</v>
      </c>
      <c r="K1754" s="4" t="s">
        <v>607</v>
      </c>
      <c r="L1754" s="4" t="s">
        <v>607</v>
      </c>
      <c r="M1754" s="4" t="s">
        <v>607</v>
      </c>
      <c r="N1754" s="4" t="s">
        <v>607</v>
      </c>
      <c r="O1754" s="4"/>
      <c r="P1754" s="4"/>
      <c r="T1754" s="4"/>
    </row>
    <row r="1755">
      <c r="A1755" s="4" t="s">
        <v>5049</v>
      </c>
      <c r="B1755" s="4" t="s">
        <v>607</v>
      </c>
      <c r="C1755" s="6" t="s">
        <v>607</v>
      </c>
      <c r="D1755" s="6" t="s">
        <v>607</v>
      </c>
      <c r="E1755" s="6" t="s">
        <v>607</v>
      </c>
      <c r="F1755" s="6" t="s">
        <v>607</v>
      </c>
      <c r="G1755" s="4" t="s">
        <v>607</v>
      </c>
      <c r="H1755" s="4" t="s">
        <v>607</v>
      </c>
      <c r="I1755" s="4" t="s">
        <v>607</v>
      </c>
      <c r="J1755" s="4" t="s">
        <v>607</v>
      </c>
      <c r="K1755" s="4" t="s">
        <v>607</v>
      </c>
      <c r="L1755" s="4" t="s">
        <v>607</v>
      </c>
      <c r="M1755" s="4" t="s">
        <v>607</v>
      </c>
      <c r="N1755" s="4" t="s">
        <v>607</v>
      </c>
      <c r="O1755" s="4"/>
      <c r="P1755" s="4"/>
      <c r="T1755" s="4"/>
    </row>
    <row r="1756">
      <c r="A1756" s="4" t="s">
        <v>5050</v>
      </c>
      <c r="B1756" s="4" t="s">
        <v>607</v>
      </c>
      <c r="C1756" s="6" t="s">
        <v>607</v>
      </c>
      <c r="D1756" s="6" t="s">
        <v>607</v>
      </c>
      <c r="E1756" s="6" t="s">
        <v>607</v>
      </c>
      <c r="F1756" s="6" t="s">
        <v>607</v>
      </c>
      <c r="G1756" s="4" t="s">
        <v>607</v>
      </c>
      <c r="H1756" s="4" t="s">
        <v>607</v>
      </c>
      <c r="I1756" s="4" t="s">
        <v>607</v>
      </c>
      <c r="J1756" s="4" t="s">
        <v>607</v>
      </c>
      <c r="K1756" s="4" t="s">
        <v>607</v>
      </c>
      <c r="L1756" s="4" t="s">
        <v>607</v>
      </c>
      <c r="M1756" s="4" t="s">
        <v>607</v>
      </c>
      <c r="N1756" s="4" t="s">
        <v>607</v>
      </c>
      <c r="O1756" s="4"/>
      <c r="P1756" s="4"/>
      <c r="T1756" s="4"/>
    </row>
    <row r="1757">
      <c r="A1757" s="4" t="s">
        <v>5051</v>
      </c>
      <c r="B1757" s="4" t="s">
        <v>607</v>
      </c>
      <c r="C1757" s="6" t="s">
        <v>607</v>
      </c>
      <c r="D1757" s="6" t="s">
        <v>607</v>
      </c>
      <c r="E1757" s="6" t="s">
        <v>607</v>
      </c>
      <c r="F1757" s="6" t="s">
        <v>607</v>
      </c>
      <c r="G1757" s="4" t="s">
        <v>607</v>
      </c>
      <c r="H1757" s="4" t="s">
        <v>607</v>
      </c>
      <c r="I1757" s="4" t="s">
        <v>607</v>
      </c>
      <c r="J1757" s="4" t="s">
        <v>607</v>
      </c>
      <c r="K1757" s="4" t="s">
        <v>607</v>
      </c>
      <c r="L1757" s="4" t="s">
        <v>607</v>
      </c>
      <c r="M1757" s="4" t="s">
        <v>607</v>
      </c>
      <c r="N1757" s="4" t="s">
        <v>607</v>
      </c>
      <c r="O1757" s="4"/>
      <c r="P1757" s="4"/>
      <c r="T1757" s="4"/>
    </row>
    <row r="1758">
      <c r="A1758" s="4" t="s">
        <v>5052</v>
      </c>
      <c r="B1758" s="4" t="s">
        <v>607</v>
      </c>
      <c r="C1758" s="6" t="s">
        <v>607</v>
      </c>
      <c r="D1758" s="6" t="s">
        <v>607</v>
      </c>
      <c r="E1758" s="6" t="s">
        <v>607</v>
      </c>
      <c r="F1758" s="6" t="s">
        <v>607</v>
      </c>
      <c r="G1758" s="4" t="s">
        <v>607</v>
      </c>
      <c r="H1758" s="4" t="s">
        <v>607</v>
      </c>
      <c r="I1758" s="4" t="s">
        <v>607</v>
      </c>
      <c r="J1758" s="4" t="s">
        <v>607</v>
      </c>
      <c r="K1758" s="4" t="s">
        <v>607</v>
      </c>
      <c r="L1758" s="4" t="s">
        <v>607</v>
      </c>
      <c r="M1758" s="4" t="s">
        <v>607</v>
      </c>
      <c r="N1758" s="4" t="s">
        <v>607</v>
      </c>
      <c r="O1758" s="4"/>
      <c r="P1758" s="4"/>
      <c r="T1758" s="4"/>
    </row>
    <row r="1759">
      <c r="A1759" s="4" t="s">
        <v>5053</v>
      </c>
      <c r="B1759" s="4" t="s">
        <v>607</v>
      </c>
      <c r="C1759" s="6" t="s">
        <v>607</v>
      </c>
      <c r="D1759" s="6" t="s">
        <v>607</v>
      </c>
      <c r="E1759" s="6" t="s">
        <v>607</v>
      </c>
      <c r="F1759" s="6" t="s">
        <v>607</v>
      </c>
      <c r="G1759" s="4" t="s">
        <v>607</v>
      </c>
      <c r="H1759" s="4" t="s">
        <v>607</v>
      </c>
      <c r="I1759" s="4" t="s">
        <v>607</v>
      </c>
      <c r="J1759" s="4" t="s">
        <v>607</v>
      </c>
      <c r="K1759" s="4" t="s">
        <v>607</v>
      </c>
      <c r="L1759" s="4" t="s">
        <v>607</v>
      </c>
      <c r="M1759" s="4" t="s">
        <v>607</v>
      </c>
      <c r="N1759" s="4" t="s">
        <v>607</v>
      </c>
      <c r="O1759" s="4"/>
      <c r="P1759" s="4"/>
      <c r="T1759" s="4"/>
    </row>
    <row r="1760">
      <c r="A1760" s="4" t="s">
        <v>5054</v>
      </c>
      <c r="B1760" s="4" t="s">
        <v>607</v>
      </c>
      <c r="C1760" s="6" t="s">
        <v>607</v>
      </c>
      <c r="D1760" s="6" t="s">
        <v>607</v>
      </c>
      <c r="E1760" s="6" t="s">
        <v>607</v>
      </c>
      <c r="F1760" s="6" t="s">
        <v>607</v>
      </c>
      <c r="G1760" s="4" t="s">
        <v>607</v>
      </c>
      <c r="H1760" s="4" t="s">
        <v>607</v>
      </c>
      <c r="I1760" s="4" t="s">
        <v>607</v>
      </c>
      <c r="J1760" s="4" t="s">
        <v>607</v>
      </c>
      <c r="K1760" s="4" t="s">
        <v>607</v>
      </c>
      <c r="L1760" s="4" t="s">
        <v>607</v>
      </c>
      <c r="M1760" s="4" t="s">
        <v>607</v>
      </c>
      <c r="N1760" s="4" t="s">
        <v>607</v>
      </c>
      <c r="O1760" s="4"/>
      <c r="P1760" s="4"/>
      <c r="T1760" s="4"/>
    </row>
    <row r="1761">
      <c r="A1761" s="4" t="s">
        <v>5055</v>
      </c>
      <c r="B1761" s="4" t="s">
        <v>607</v>
      </c>
      <c r="C1761" s="6" t="s">
        <v>607</v>
      </c>
      <c r="D1761" s="6" t="s">
        <v>607</v>
      </c>
      <c r="E1761" s="6" t="s">
        <v>607</v>
      </c>
      <c r="F1761" s="6" t="s">
        <v>607</v>
      </c>
      <c r="G1761" s="4" t="s">
        <v>607</v>
      </c>
      <c r="H1761" s="4" t="s">
        <v>607</v>
      </c>
      <c r="I1761" s="4" t="s">
        <v>607</v>
      </c>
      <c r="J1761" s="4" t="s">
        <v>607</v>
      </c>
      <c r="K1761" s="4" t="s">
        <v>607</v>
      </c>
      <c r="L1761" s="4" t="s">
        <v>607</v>
      </c>
      <c r="M1761" s="4" t="s">
        <v>607</v>
      </c>
      <c r="N1761" s="4" t="s">
        <v>607</v>
      </c>
      <c r="O1761" s="4"/>
      <c r="P1761" s="4"/>
      <c r="T1761" s="4"/>
    </row>
    <row r="1762">
      <c r="A1762" s="4" t="s">
        <v>5056</v>
      </c>
      <c r="B1762" s="4" t="s">
        <v>607</v>
      </c>
      <c r="C1762" s="6" t="s">
        <v>607</v>
      </c>
      <c r="D1762" s="6" t="s">
        <v>607</v>
      </c>
      <c r="E1762" s="6" t="s">
        <v>607</v>
      </c>
      <c r="F1762" s="6" t="s">
        <v>607</v>
      </c>
      <c r="G1762" s="4" t="s">
        <v>607</v>
      </c>
      <c r="H1762" s="4" t="s">
        <v>607</v>
      </c>
      <c r="I1762" s="4" t="s">
        <v>607</v>
      </c>
      <c r="J1762" s="4" t="s">
        <v>607</v>
      </c>
      <c r="K1762" s="4" t="s">
        <v>607</v>
      </c>
      <c r="L1762" s="4" t="s">
        <v>607</v>
      </c>
      <c r="M1762" s="4" t="s">
        <v>607</v>
      </c>
      <c r="N1762" s="4" t="s">
        <v>607</v>
      </c>
      <c r="O1762" s="4"/>
      <c r="P1762" s="4"/>
      <c r="T1762" s="4"/>
    </row>
    <row r="1763">
      <c r="A1763" s="4" t="s">
        <v>5057</v>
      </c>
      <c r="B1763" s="4" t="s">
        <v>607</v>
      </c>
      <c r="C1763" s="6" t="s">
        <v>607</v>
      </c>
      <c r="D1763" s="6" t="s">
        <v>607</v>
      </c>
      <c r="E1763" s="6" t="s">
        <v>607</v>
      </c>
      <c r="F1763" s="6" t="s">
        <v>607</v>
      </c>
      <c r="G1763" s="4" t="s">
        <v>607</v>
      </c>
      <c r="H1763" s="4" t="s">
        <v>607</v>
      </c>
      <c r="I1763" s="4" t="s">
        <v>607</v>
      </c>
      <c r="J1763" s="4" t="s">
        <v>607</v>
      </c>
      <c r="K1763" s="4" t="s">
        <v>607</v>
      </c>
      <c r="L1763" s="4" t="s">
        <v>607</v>
      </c>
      <c r="M1763" s="4" t="s">
        <v>607</v>
      </c>
      <c r="N1763" s="4" t="s">
        <v>607</v>
      </c>
      <c r="O1763" s="4"/>
      <c r="P1763" s="4"/>
      <c r="T1763" s="4"/>
    </row>
    <row r="1764">
      <c r="A1764" s="4" t="s">
        <v>5058</v>
      </c>
      <c r="B1764" s="4" t="s">
        <v>607</v>
      </c>
      <c r="C1764" s="6" t="s">
        <v>607</v>
      </c>
      <c r="D1764" s="6" t="s">
        <v>607</v>
      </c>
      <c r="E1764" s="6" t="s">
        <v>607</v>
      </c>
      <c r="F1764" s="6" t="s">
        <v>607</v>
      </c>
      <c r="G1764" s="4" t="s">
        <v>607</v>
      </c>
      <c r="H1764" s="4" t="s">
        <v>607</v>
      </c>
      <c r="I1764" s="4" t="s">
        <v>607</v>
      </c>
      <c r="J1764" s="4" t="s">
        <v>607</v>
      </c>
      <c r="K1764" s="4" t="s">
        <v>607</v>
      </c>
      <c r="L1764" s="4" t="s">
        <v>607</v>
      </c>
      <c r="M1764" s="4" t="s">
        <v>607</v>
      </c>
      <c r="N1764" s="4" t="s">
        <v>607</v>
      </c>
      <c r="O1764" s="4"/>
      <c r="P1764" s="4"/>
      <c r="T1764" s="4"/>
    </row>
    <row r="1765">
      <c r="A1765" s="4" t="s">
        <v>5059</v>
      </c>
      <c r="B1765" s="4" t="s">
        <v>607</v>
      </c>
      <c r="C1765" s="6" t="s">
        <v>607</v>
      </c>
      <c r="D1765" s="6" t="s">
        <v>607</v>
      </c>
      <c r="E1765" s="6" t="s">
        <v>607</v>
      </c>
      <c r="F1765" s="6" t="s">
        <v>607</v>
      </c>
      <c r="G1765" s="4" t="s">
        <v>607</v>
      </c>
      <c r="H1765" s="4" t="s">
        <v>607</v>
      </c>
      <c r="I1765" s="4" t="s">
        <v>607</v>
      </c>
      <c r="J1765" s="4" t="s">
        <v>607</v>
      </c>
      <c r="K1765" s="4" t="s">
        <v>607</v>
      </c>
      <c r="L1765" s="4" t="s">
        <v>607</v>
      </c>
      <c r="M1765" s="4" t="s">
        <v>607</v>
      </c>
      <c r="N1765" s="4" t="s">
        <v>607</v>
      </c>
      <c r="O1765" s="4"/>
      <c r="P1765" s="4"/>
      <c r="T1765" s="4"/>
    </row>
    <row r="1766">
      <c r="A1766" s="4" t="s">
        <v>5060</v>
      </c>
      <c r="B1766" s="4" t="s">
        <v>607</v>
      </c>
      <c r="C1766" s="6" t="s">
        <v>607</v>
      </c>
      <c r="D1766" s="6" t="s">
        <v>607</v>
      </c>
      <c r="E1766" s="6" t="s">
        <v>607</v>
      </c>
      <c r="F1766" s="6" t="s">
        <v>607</v>
      </c>
      <c r="G1766" s="4" t="s">
        <v>607</v>
      </c>
      <c r="H1766" s="4" t="s">
        <v>607</v>
      </c>
      <c r="I1766" s="4" t="s">
        <v>607</v>
      </c>
      <c r="J1766" s="4" t="s">
        <v>607</v>
      </c>
      <c r="K1766" s="4" t="s">
        <v>607</v>
      </c>
      <c r="L1766" s="4" t="s">
        <v>607</v>
      </c>
      <c r="M1766" s="4" t="s">
        <v>607</v>
      </c>
      <c r="N1766" s="4" t="s">
        <v>607</v>
      </c>
      <c r="O1766" s="4"/>
      <c r="P1766" s="4"/>
      <c r="T1766" s="4"/>
    </row>
    <row r="1767">
      <c r="A1767" s="4" t="s">
        <v>5061</v>
      </c>
      <c r="B1767" s="4" t="s">
        <v>607</v>
      </c>
      <c r="C1767" s="6" t="s">
        <v>607</v>
      </c>
      <c r="D1767" s="6" t="s">
        <v>607</v>
      </c>
      <c r="E1767" s="6" t="s">
        <v>607</v>
      </c>
      <c r="F1767" s="6" t="s">
        <v>607</v>
      </c>
      <c r="G1767" s="4" t="s">
        <v>607</v>
      </c>
      <c r="H1767" s="4" t="s">
        <v>607</v>
      </c>
      <c r="I1767" s="4" t="s">
        <v>607</v>
      </c>
      <c r="J1767" s="4" t="s">
        <v>607</v>
      </c>
      <c r="K1767" s="4" t="s">
        <v>607</v>
      </c>
      <c r="L1767" s="4" t="s">
        <v>607</v>
      </c>
      <c r="M1767" s="4" t="s">
        <v>607</v>
      </c>
      <c r="N1767" s="4" t="s">
        <v>607</v>
      </c>
      <c r="O1767" s="4"/>
      <c r="P1767" s="4"/>
      <c r="T1767" s="4"/>
    </row>
    <row r="1768">
      <c r="A1768" s="4" t="s">
        <v>5062</v>
      </c>
      <c r="B1768" s="4" t="s">
        <v>607</v>
      </c>
      <c r="C1768" s="6" t="s">
        <v>607</v>
      </c>
      <c r="D1768" s="6" t="s">
        <v>607</v>
      </c>
      <c r="E1768" s="6" t="s">
        <v>607</v>
      </c>
      <c r="F1768" s="6" t="s">
        <v>607</v>
      </c>
      <c r="G1768" s="4" t="s">
        <v>607</v>
      </c>
      <c r="H1768" s="4" t="s">
        <v>607</v>
      </c>
      <c r="I1768" s="4" t="s">
        <v>607</v>
      </c>
      <c r="J1768" s="4" t="s">
        <v>607</v>
      </c>
      <c r="K1768" s="4" t="s">
        <v>607</v>
      </c>
      <c r="L1768" s="4" t="s">
        <v>607</v>
      </c>
      <c r="M1768" s="4" t="s">
        <v>607</v>
      </c>
      <c r="N1768" s="4" t="s">
        <v>607</v>
      </c>
      <c r="O1768" s="4"/>
      <c r="P1768" s="4"/>
      <c r="T1768" s="4"/>
    </row>
    <row r="1769">
      <c r="A1769" s="4" t="s">
        <v>5063</v>
      </c>
      <c r="B1769" s="4" t="s">
        <v>607</v>
      </c>
      <c r="C1769" s="6" t="s">
        <v>607</v>
      </c>
      <c r="D1769" s="6" t="s">
        <v>607</v>
      </c>
      <c r="E1769" s="6" t="s">
        <v>607</v>
      </c>
      <c r="F1769" s="6" t="s">
        <v>607</v>
      </c>
      <c r="G1769" s="4" t="s">
        <v>607</v>
      </c>
      <c r="H1769" s="4" t="s">
        <v>607</v>
      </c>
      <c r="I1769" s="4" t="s">
        <v>607</v>
      </c>
      <c r="J1769" s="4" t="s">
        <v>607</v>
      </c>
      <c r="K1769" s="4" t="s">
        <v>607</v>
      </c>
      <c r="L1769" s="4" t="s">
        <v>607</v>
      </c>
      <c r="M1769" s="4" t="s">
        <v>607</v>
      </c>
      <c r="N1769" s="4" t="s">
        <v>607</v>
      </c>
      <c r="O1769" s="4"/>
      <c r="P1769" s="4"/>
      <c r="T1769" s="4"/>
    </row>
    <row r="1770">
      <c r="A1770" s="4" t="s">
        <v>5064</v>
      </c>
      <c r="B1770" s="4" t="s">
        <v>607</v>
      </c>
      <c r="C1770" s="6" t="s">
        <v>607</v>
      </c>
      <c r="D1770" s="6" t="s">
        <v>607</v>
      </c>
      <c r="E1770" s="6" t="s">
        <v>607</v>
      </c>
      <c r="F1770" s="6" t="s">
        <v>607</v>
      </c>
      <c r="G1770" s="4" t="s">
        <v>607</v>
      </c>
      <c r="H1770" s="4" t="s">
        <v>607</v>
      </c>
      <c r="I1770" s="4" t="s">
        <v>607</v>
      </c>
      <c r="J1770" s="4" t="s">
        <v>607</v>
      </c>
      <c r="K1770" s="4" t="s">
        <v>607</v>
      </c>
      <c r="L1770" s="4" t="s">
        <v>607</v>
      </c>
      <c r="M1770" s="4" t="s">
        <v>607</v>
      </c>
      <c r="N1770" s="4" t="s">
        <v>607</v>
      </c>
      <c r="O1770" s="4"/>
      <c r="P1770" s="4"/>
      <c r="T1770" s="4"/>
    </row>
    <row r="1771">
      <c r="A1771" s="4" t="s">
        <v>5065</v>
      </c>
      <c r="B1771" s="4" t="s">
        <v>607</v>
      </c>
      <c r="C1771" s="6" t="s">
        <v>607</v>
      </c>
      <c r="D1771" s="6" t="s">
        <v>607</v>
      </c>
      <c r="E1771" s="6" t="s">
        <v>607</v>
      </c>
      <c r="F1771" s="6" t="s">
        <v>607</v>
      </c>
      <c r="G1771" s="4" t="s">
        <v>607</v>
      </c>
      <c r="H1771" s="4" t="s">
        <v>607</v>
      </c>
      <c r="I1771" s="4" t="s">
        <v>607</v>
      </c>
      <c r="J1771" s="4" t="s">
        <v>607</v>
      </c>
      <c r="K1771" s="4" t="s">
        <v>607</v>
      </c>
      <c r="L1771" s="4" t="s">
        <v>607</v>
      </c>
      <c r="M1771" s="4" t="s">
        <v>607</v>
      </c>
      <c r="N1771" s="4" t="s">
        <v>607</v>
      </c>
      <c r="O1771" s="4"/>
      <c r="P1771" s="4"/>
      <c r="T1771" s="4"/>
    </row>
    <row r="1772">
      <c r="A1772" s="4" t="s">
        <v>5066</v>
      </c>
      <c r="B1772" s="4" t="s">
        <v>607</v>
      </c>
      <c r="C1772" s="6" t="s">
        <v>607</v>
      </c>
      <c r="D1772" s="6" t="s">
        <v>607</v>
      </c>
      <c r="E1772" s="6" t="s">
        <v>607</v>
      </c>
      <c r="F1772" s="6" t="s">
        <v>607</v>
      </c>
      <c r="G1772" s="4" t="s">
        <v>607</v>
      </c>
      <c r="H1772" s="4" t="s">
        <v>607</v>
      </c>
      <c r="I1772" s="4" t="s">
        <v>607</v>
      </c>
      <c r="J1772" s="4" t="s">
        <v>607</v>
      </c>
      <c r="K1772" s="4" t="s">
        <v>607</v>
      </c>
      <c r="L1772" s="4" t="s">
        <v>607</v>
      </c>
      <c r="M1772" s="4" t="s">
        <v>607</v>
      </c>
      <c r="N1772" s="4" t="s">
        <v>607</v>
      </c>
      <c r="O1772" s="4"/>
      <c r="P1772" s="4"/>
      <c r="T1772" s="4"/>
    </row>
    <row r="1773">
      <c r="A1773" s="4" t="s">
        <v>5067</v>
      </c>
      <c r="B1773" s="4" t="s">
        <v>607</v>
      </c>
      <c r="C1773" s="6" t="s">
        <v>607</v>
      </c>
      <c r="D1773" s="6" t="s">
        <v>607</v>
      </c>
      <c r="E1773" s="6" t="s">
        <v>607</v>
      </c>
      <c r="F1773" s="6" t="s">
        <v>607</v>
      </c>
      <c r="G1773" s="4" t="s">
        <v>607</v>
      </c>
      <c r="H1773" s="4" t="s">
        <v>607</v>
      </c>
      <c r="I1773" s="4" t="s">
        <v>607</v>
      </c>
      <c r="J1773" s="4" t="s">
        <v>607</v>
      </c>
      <c r="K1773" s="4" t="s">
        <v>607</v>
      </c>
      <c r="L1773" s="4" t="s">
        <v>607</v>
      </c>
      <c r="M1773" s="4" t="s">
        <v>607</v>
      </c>
      <c r="N1773" s="4" t="s">
        <v>607</v>
      </c>
      <c r="O1773" s="4"/>
      <c r="P1773" s="4"/>
      <c r="T1773" s="4"/>
    </row>
    <row r="1774">
      <c r="A1774" s="4" t="s">
        <v>5068</v>
      </c>
      <c r="B1774" s="4" t="s">
        <v>607</v>
      </c>
      <c r="C1774" s="6" t="s">
        <v>607</v>
      </c>
      <c r="D1774" s="6" t="s">
        <v>607</v>
      </c>
      <c r="E1774" s="6" t="s">
        <v>607</v>
      </c>
      <c r="F1774" s="6" t="s">
        <v>607</v>
      </c>
      <c r="G1774" s="4" t="s">
        <v>607</v>
      </c>
      <c r="H1774" s="4" t="s">
        <v>607</v>
      </c>
      <c r="I1774" s="4" t="s">
        <v>607</v>
      </c>
      <c r="J1774" s="4" t="s">
        <v>607</v>
      </c>
      <c r="K1774" s="4" t="s">
        <v>607</v>
      </c>
      <c r="L1774" s="4" t="s">
        <v>607</v>
      </c>
      <c r="M1774" s="4" t="s">
        <v>607</v>
      </c>
      <c r="N1774" s="4" t="s">
        <v>607</v>
      </c>
      <c r="O1774" s="4"/>
      <c r="P1774" s="4"/>
      <c r="T1774" s="4"/>
    </row>
    <row r="1775">
      <c r="A1775" s="4" t="s">
        <v>5069</v>
      </c>
      <c r="B1775" s="4" t="s">
        <v>607</v>
      </c>
      <c r="C1775" s="6" t="s">
        <v>607</v>
      </c>
      <c r="D1775" s="6" t="s">
        <v>607</v>
      </c>
      <c r="E1775" s="6" t="s">
        <v>607</v>
      </c>
      <c r="F1775" s="6" t="s">
        <v>607</v>
      </c>
      <c r="G1775" s="4" t="s">
        <v>607</v>
      </c>
      <c r="H1775" s="4" t="s">
        <v>607</v>
      </c>
      <c r="I1775" s="4" t="s">
        <v>607</v>
      </c>
      <c r="J1775" s="4" t="s">
        <v>607</v>
      </c>
      <c r="K1775" s="4" t="s">
        <v>607</v>
      </c>
      <c r="L1775" s="4" t="s">
        <v>607</v>
      </c>
      <c r="M1775" s="4" t="s">
        <v>607</v>
      </c>
      <c r="N1775" s="4" t="s">
        <v>607</v>
      </c>
      <c r="O1775" s="4"/>
      <c r="P1775" s="4"/>
      <c r="T1775" s="4"/>
    </row>
    <row r="1776">
      <c r="A1776" s="4" t="s">
        <v>5070</v>
      </c>
      <c r="B1776" s="4" t="s">
        <v>607</v>
      </c>
      <c r="C1776" s="6" t="s">
        <v>607</v>
      </c>
      <c r="D1776" s="6" t="s">
        <v>607</v>
      </c>
      <c r="E1776" s="6" t="s">
        <v>607</v>
      </c>
      <c r="F1776" s="6" t="s">
        <v>607</v>
      </c>
      <c r="G1776" s="4" t="s">
        <v>607</v>
      </c>
      <c r="H1776" s="4" t="s">
        <v>607</v>
      </c>
      <c r="I1776" s="4" t="s">
        <v>607</v>
      </c>
      <c r="J1776" s="4" t="s">
        <v>607</v>
      </c>
      <c r="K1776" s="4" t="s">
        <v>607</v>
      </c>
      <c r="L1776" s="4" t="s">
        <v>607</v>
      </c>
      <c r="M1776" s="4" t="s">
        <v>607</v>
      </c>
      <c r="N1776" s="4" t="s">
        <v>607</v>
      </c>
      <c r="O1776" s="4"/>
      <c r="P1776" s="4"/>
      <c r="T1776" s="4"/>
    </row>
    <row r="1777">
      <c r="A1777" s="4" t="s">
        <v>5071</v>
      </c>
      <c r="B1777" s="4" t="s">
        <v>607</v>
      </c>
      <c r="C1777" s="6" t="s">
        <v>607</v>
      </c>
      <c r="D1777" s="6" t="s">
        <v>607</v>
      </c>
      <c r="E1777" s="6" t="s">
        <v>607</v>
      </c>
      <c r="F1777" s="6" t="s">
        <v>607</v>
      </c>
      <c r="G1777" s="4" t="s">
        <v>607</v>
      </c>
      <c r="H1777" s="4" t="s">
        <v>607</v>
      </c>
      <c r="I1777" s="4" t="s">
        <v>607</v>
      </c>
      <c r="J1777" s="4" t="s">
        <v>607</v>
      </c>
      <c r="K1777" s="4" t="s">
        <v>607</v>
      </c>
      <c r="L1777" s="4" t="s">
        <v>607</v>
      </c>
      <c r="M1777" s="4" t="s">
        <v>607</v>
      </c>
      <c r="N1777" s="4" t="s">
        <v>607</v>
      </c>
      <c r="O1777" s="4"/>
      <c r="P1777" s="4"/>
      <c r="T1777" s="4"/>
    </row>
    <row r="1778">
      <c r="A1778" s="4" t="s">
        <v>5072</v>
      </c>
      <c r="B1778" s="4" t="s">
        <v>607</v>
      </c>
      <c r="C1778" s="6" t="s">
        <v>607</v>
      </c>
      <c r="D1778" s="6" t="s">
        <v>607</v>
      </c>
      <c r="E1778" s="6" t="s">
        <v>607</v>
      </c>
      <c r="F1778" s="6" t="s">
        <v>607</v>
      </c>
      <c r="G1778" s="4" t="s">
        <v>607</v>
      </c>
      <c r="H1778" s="4" t="s">
        <v>607</v>
      </c>
      <c r="I1778" s="4" t="s">
        <v>607</v>
      </c>
      <c r="J1778" s="4" t="s">
        <v>607</v>
      </c>
      <c r="K1778" s="4" t="s">
        <v>607</v>
      </c>
      <c r="L1778" s="4" t="s">
        <v>607</v>
      </c>
      <c r="M1778" s="4" t="s">
        <v>607</v>
      </c>
      <c r="N1778" s="4" t="s">
        <v>607</v>
      </c>
      <c r="O1778" s="4"/>
      <c r="P1778" s="4"/>
      <c r="T1778" s="4"/>
    </row>
    <row r="1779">
      <c r="A1779" s="4" t="s">
        <v>5073</v>
      </c>
      <c r="B1779" s="4" t="s">
        <v>607</v>
      </c>
      <c r="C1779" s="6" t="s">
        <v>607</v>
      </c>
      <c r="D1779" s="6" t="s">
        <v>607</v>
      </c>
      <c r="E1779" s="6" t="s">
        <v>607</v>
      </c>
      <c r="F1779" s="6" t="s">
        <v>607</v>
      </c>
      <c r="G1779" s="4" t="s">
        <v>607</v>
      </c>
      <c r="H1779" s="4" t="s">
        <v>607</v>
      </c>
      <c r="I1779" s="4" t="s">
        <v>607</v>
      </c>
      <c r="J1779" s="4" t="s">
        <v>607</v>
      </c>
      <c r="K1779" s="4" t="s">
        <v>607</v>
      </c>
      <c r="L1779" s="4" t="s">
        <v>607</v>
      </c>
      <c r="M1779" s="4" t="s">
        <v>607</v>
      </c>
      <c r="N1779" s="4" t="s">
        <v>607</v>
      </c>
      <c r="O1779" s="4"/>
      <c r="P1779" s="4"/>
      <c r="T1779" s="4"/>
    </row>
    <row r="1780">
      <c r="A1780" s="4" t="s">
        <v>5074</v>
      </c>
      <c r="B1780" s="4" t="s">
        <v>607</v>
      </c>
      <c r="C1780" s="6" t="s">
        <v>607</v>
      </c>
      <c r="D1780" s="6" t="s">
        <v>607</v>
      </c>
      <c r="E1780" s="6" t="s">
        <v>607</v>
      </c>
      <c r="F1780" s="6" t="s">
        <v>607</v>
      </c>
      <c r="G1780" s="4" t="s">
        <v>607</v>
      </c>
      <c r="H1780" s="4" t="s">
        <v>607</v>
      </c>
      <c r="I1780" s="4" t="s">
        <v>607</v>
      </c>
      <c r="J1780" s="4" t="s">
        <v>607</v>
      </c>
      <c r="K1780" s="4" t="s">
        <v>607</v>
      </c>
      <c r="L1780" s="4" t="s">
        <v>607</v>
      </c>
      <c r="M1780" s="4" t="s">
        <v>607</v>
      </c>
      <c r="N1780" s="4" t="s">
        <v>607</v>
      </c>
      <c r="O1780" s="4"/>
      <c r="P1780" s="4"/>
      <c r="T1780" s="4"/>
    </row>
    <row r="1781">
      <c r="A1781" s="4" t="s">
        <v>5075</v>
      </c>
      <c r="B1781" s="4" t="s">
        <v>607</v>
      </c>
      <c r="C1781" s="6" t="s">
        <v>607</v>
      </c>
      <c r="D1781" s="6" t="s">
        <v>607</v>
      </c>
      <c r="E1781" s="6" t="s">
        <v>607</v>
      </c>
      <c r="F1781" s="6" t="s">
        <v>607</v>
      </c>
      <c r="G1781" s="4" t="s">
        <v>607</v>
      </c>
      <c r="H1781" s="4" t="s">
        <v>607</v>
      </c>
      <c r="I1781" s="4" t="s">
        <v>607</v>
      </c>
      <c r="J1781" s="4" t="s">
        <v>607</v>
      </c>
      <c r="K1781" s="4" t="s">
        <v>607</v>
      </c>
      <c r="L1781" s="4" t="s">
        <v>607</v>
      </c>
      <c r="M1781" s="4" t="s">
        <v>607</v>
      </c>
      <c r="N1781" s="4" t="s">
        <v>607</v>
      </c>
      <c r="O1781" s="4"/>
      <c r="P1781" s="4"/>
      <c r="T1781" s="4"/>
    </row>
    <row r="1782">
      <c r="A1782" s="4" t="s">
        <v>5076</v>
      </c>
      <c r="B1782" s="4" t="s">
        <v>607</v>
      </c>
      <c r="C1782" s="6" t="s">
        <v>607</v>
      </c>
      <c r="D1782" s="6" t="s">
        <v>607</v>
      </c>
      <c r="E1782" s="6" t="s">
        <v>607</v>
      </c>
      <c r="F1782" s="6" t="s">
        <v>607</v>
      </c>
      <c r="G1782" s="4" t="s">
        <v>607</v>
      </c>
      <c r="H1782" s="4" t="s">
        <v>607</v>
      </c>
      <c r="I1782" s="4" t="s">
        <v>607</v>
      </c>
      <c r="J1782" s="4" t="s">
        <v>607</v>
      </c>
      <c r="K1782" s="4" t="s">
        <v>607</v>
      </c>
      <c r="L1782" s="4" t="s">
        <v>607</v>
      </c>
      <c r="M1782" s="4" t="s">
        <v>607</v>
      </c>
      <c r="N1782" s="4" t="s">
        <v>607</v>
      </c>
      <c r="O1782" s="4"/>
      <c r="P1782" s="4"/>
      <c r="T1782" s="4"/>
    </row>
    <row r="1783">
      <c r="A1783" s="4" t="s">
        <v>5077</v>
      </c>
      <c r="B1783" s="4" t="s">
        <v>607</v>
      </c>
      <c r="C1783" s="6" t="s">
        <v>607</v>
      </c>
      <c r="D1783" s="6" t="s">
        <v>607</v>
      </c>
      <c r="E1783" s="6" t="s">
        <v>607</v>
      </c>
      <c r="F1783" s="6" t="s">
        <v>607</v>
      </c>
      <c r="G1783" s="4" t="s">
        <v>607</v>
      </c>
      <c r="H1783" s="4" t="s">
        <v>607</v>
      </c>
      <c r="I1783" s="4" t="s">
        <v>607</v>
      </c>
      <c r="J1783" s="4" t="s">
        <v>607</v>
      </c>
      <c r="K1783" s="4" t="s">
        <v>607</v>
      </c>
      <c r="L1783" s="4" t="s">
        <v>607</v>
      </c>
      <c r="M1783" s="4" t="s">
        <v>607</v>
      </c>
      <c r="N1783" s="4" t="s">
        <v>607</v>
      </c>
      <c r="O1783" s="4"/>
      <c r="P1783" s="4"/>
      <c r="T1783" s="4"/>
    </row>
    <row r="1784">
      <c r="A1784" s="4" t="s">
        <v>5078</v>
      </c>
      <c r="B1784" s="4" t="s">
        <v>607</v>
      </c>
      <c r="C1784" s="6" t="s">
        <v>607</v>
      </c>
      <c r="D1784" s="6" t="s">
        <v>607</v>
      </c>
      <c r="E1784" s="6" t="s">
        <v>607</v>
      </c>
      <c r="F1784" s="6" t="s">
        <v>607</v>
      </c>
      <c r="G1784" s="4" t="s">
        <v>607</v>
      </c>
      <c r="H1784" s="4" t="s">
        <v>607</v>
      </c>
      <c r="I1784" s="4" t="s">
        <v>607</v>
      </c>
      <c r="J1784" s="4" t="s">
        <v>607</v>
      </c>
      <c r="K1784" s="4" t="s">
        <v>607</v>
      </c>
      <c r="L1784" s="4" t="s">
        <v>607</v>
      </c>
      <c r="M1784" s="4" t="s">
        <v>607</v>
      </c>
      <c r="N1784" s="4" t="s">
        <v>607</v>
      </c>
      <c r="O1784" s="4"/>
      <c r="P1784" s="4"/>
      <c r="T1784" s="4"/>
    </row>
    <row r="1785">
      <c r="A1785" s="4" t="s">
        <v>5079</v>
      </c>
      <c r="B1785" s="4" t="s">
        <v>607</v>
      </c>
      <c r="C1785" s="6" t="s">
        <v>607</v>
      </c>
      <c r="D1785" s="6" t="s">
        <v>607</v>
      </c>
      <c r="E1785" s="6" t="s">
        <v>607</v>
      </c>
      <c r="F1785" s="6" t="s">
        <v>607</v>
      </c>
      <c r="G1785" s="4" t="s">
        <v>607</v>
      </c>
      <c r="H1785" s="4" t="s">
        <v>607</v>
      </c>
      <c r="I1785" s="4" t="s">
        <v>607</v>
      </c>
      <c r="J1785" s="4" t="s">
        <v>607</v>
      </c>
      <c r="K1785" s="4" t="s">
        <v>607</v>
      </c>
      <c r="L1785" s="4" t="s">
        <v>607</v>
      </c>
      <c r="M1785" s="4" t="s">
        <v>607</v>
      </c>
      <c r="N1785" s="4" t="s">
        <v>607</v>
      </c>
      <c r="O1785" s="4"/>
      <c r="P1785" s="4"/>
      <c r="T1785" s="4"/>
    </row>
    <row r="1786">
      <c r="A1786" s="4" t="s">
        <v>5080</v>
      </c>
      <c r="B1786" s="4" t="s">
        <v>607</v>
      </c>
      <c r="C1786" s="6" t="s">
        <v>607</v>
      </c>
      <c r="D1786" s="6" t="s">
        <v>607</v>
      </c>
      <c r="E1786" s="6" t="s">
        <v>607</v>
      </c>
      <c r="F1786" s="6" t="s">
        <v>607</v>
      </c>
      <c r="G1786" s="4" t="s">
        <v>607</v>
      </c>
      <c r="H1786" s="4" t="s">
        <v>607</v>
      </c>
      <c r="I1786" s="4" t="s">
        <v>607</v>
      </c>
      <c r="J1786" s="4" t="s">
        <v>607</v>
      </c>
      <c r="K1786" s="4" t="s">
        <v>607</v>
      </c>
      <c r="L1786" s="4" t="s">
        <v>607</v>
      </c>
      <c r="M1786" s="4" t="s">
        <v>607</v>
      </c>
      <c r="N1786" s="4" t="s">
        <v>607</v>
      </c>
      <c r="O1786" s="4"/>
      <c r="P1786" s="4"/>
      <c r="T1786" s="4"/>
    </row>
    <row r="1787">
      <c r="A1787" s="4" t="s">
        <v>5081</v>
      </c>
      <c r="B1787" s="4" t="s">
        <v>607</v>
      </c>
      <c r="C1787" s="6" t="s">
        <v>607</v>
      </c>
      <c r="D1787" s="6" t="s">
        <v>607</v>
      </c>
      <c r="E1787" s="6" t="s">
        <v>607</v>
      </c>
      <c r="F1787" s="6" t="s">
        <v>607</v>
      </c>
      <c r="G1787" s="4" t="s">
        <v>607</v>
      </c>
      <c r="H1787" s="4" t="s">
        <v>607</v>
      </c>
      <c r="I1787" s="4" t="s">
        <v>607</v>
      </c>
      <c r="J1787" s="4" t="s">
        <v>607</v>
      </c>
      <c r="K1787" s="4" t="s">
        <v>607</v>
      </c>
      <c r="L1787" s="4" t="s">
        <v>607</v>
      </c>
      <c r="M1787" s="4" t="s">
        <v>607</v>
      </c>
      <c r="N1787" s="4" t="s">
        <v>607</v>
      </c>
      <c r="O1787" s="4"/>
      <c r="P1787" s="4"/>
      <c r="T1787" s="4"/>
    </row>
    <row r="1788">
      <c r="A1788" s="4" t="s">
        <v>5082</v>
      </c>
      <c r="B1788" s="4" t="s">
        <v>607</v>
      </c>
      <c r="C1788" s="6" t="s">
        <v>607</v>
      </c>
      <c r="D1788" s="6" t="s">
        <v>607</v>
      </c>
      <c r="E1788" s="6" t="s">
        <v>607</v>
      </c>
      <c r="F1788" s="6" t="s">
        <v>607</v>
      </c>
      <c r="G1788" s="4" t="s">
        <v>607</v>
      </c>
      <c r="H1788" s="4" t="s">
        <v>607</v>
      </c>
      <c r="I1788" s="4" t="s">
        <v>607</v>
      </c>
      <c r="J1788" s="4" t="s">
        <v>607</v>
      </c>
      <c r="K1788" s="4" t="s">
        <v>607</v>
      </c>
      <c r="L1788" s="4" t="s">
        <v>607</v>
      </c>
      <c r="M1788" s="4" t="s">
        <v>607</v>
      </c>
      <c r="N1788" s="4" t="s">
        <v>607</v>
      </c>
      <c r="O1788" s="4"/>
      <c r="P1788" s="4"/>
      <c r="T1788" s="4"/>
    </row>
    <row r="1789">
      <c r="A1789" s="4" t="s">
        <v>5083</v>
      </c>
      <c r="B1789" s="4" t="s">
        <v>607</v>
      </c>
      <c r="C1789" s="6" t="s">
        <v>607</v>
      </c>
      <c r="D1789" s="6" t="s">
        <v>607</v>
      </c>
      <c r="E1789" s="6" t="s">
        <v>607</v>
      </c>
      <c r="F1789" s="6" t="s">
        <v>607</v>
      </c>
      <c r="G1789" s="4" t="s">
        <v>607</v>
      </c>
      <c r="H1789" s="4" t="s">
        <v>607</v>
      </c>
      <c r="I1789" s="4" t="s">
        <v>607</v>
      </c>
      <c r="J1789" s="4" t="s">
        <v>607</v>
      </c>
      <c r="K1789" s="4" t="s">
        <v>607</v>
      </c>
      <c r="L1789" s="4" t="s">
        <v>607</v>
      </c>
      <c r="M1789" s="4" t="s">
        <v>607</v>
      </c>
      <c r="N1789" s="4" t="s">
        <v>607</v>
      </c>
      <c r="O1789" s="4"/>
      <c r="P1789" s="4"/>
      <c r="T1789" s="4"/>
    </row>
    <row r="1790">
      <c r="A1790" s="4" t="s">
        <v>5084</v>
      </c>
      <c r="B1790" s="4" t="s">
        <v>607</v>
      </c>
      <c r="C1790" s="6" t="s">
        <v>607</v>
      </c>
      <c r="D1790" s="6" t="s">
        <v>607</v>
      </c>
      <c r="E1790" s="6" t="s">
        <v>607</v>
      </c>
      <c r="F1790" s="6" t="s">
        <v>607</v>
      </c>
      <c r="G1790" s="4" t="s">
        <v>607</v>
      </c>
      <c r="H1790" s="4" t="s">
        <v>607</v>
      </c>
      <c r="I1790" s="4" t="s">
        <v>607</v>
      </c>
      <c r="J1790" s="4" t="s">
        <v>607</v>
      </c>
      <c r="K1790" s="4" t="s">
        <v>607</v>
      </c>
      <c r="L1790" s="4" t="s">
        <v>607</v>
      </c>
      <c r="M1790" s="4" t="s">
        <v>607</v>
      </c>
      <c r="N1790" s="4" t="s">
        <v>607</v>
      </c>
      <c r="O1790" s="4"/>
      <c r="P1790" s="4"/>
      <c r="T1790" s="4"/>
    </row>
    <row r="1791">
      <c r="A1791" s="4" t="s">
        <v>5085</v>
      </c>
      <c r="B1791" s="4" t="s">
        <v>607</v>
      </c>
      <c r="C1791" s="6" t="s">
        <v>607</v>
      </c>
      <c r="D1791" s="6" t="s">
        <v>607</v>
      </c>
      <c r="E1791" s="6" t="s">
        <v>607</v>
      </c>
      <c r="F1791" s="6" t="s">
        <v>607</v>
      </c>
      <c r="G1791" s="4" t="s">
        <v>607</v>
      </c>
      <c r="H1791" s="4" t="s">
        <v>607</v>
      </c>
      <c r="I1791" s="4" t="s">
        <v>607</v>
      </c>
      <c r="J1791" s="4" t="s">
        <v>607</v>
      </c>
      <c r="K1791" s="4" t="s">
        <v>607</v>
      </c>
      <c r="L1791" s="4" t="s">
        <v>607</v>
      </c>
      <c r="M1791" s="4" t="s">
        <v>607</v>
      </c>
      <c r="N1791" s="4" t="s">
        <v>607</v>
      </c>
      <c r="O1791" s="4"/>
      <c r="P1791" s="4"/>
      <c r="T1791" s="4"/>
    </row>
    <row r="1792">
      <c r="A1792" s="4" t="s">
        <v>5086</v>
      </c>
      <c r="B1792" s="4" t="s">
        <v>607</v>
      </c>
      <c r="C1792" s="6" t="s">
        <v>607</v>
      </c>
      <c r="D1792" s="6" t="s">
        <v>607</v>
      </c>
      <c r="E1792" s="6" t="s">
        <v>607</v>
      </c>
      <c r="F1792" s="6" t="s">
        <v>607</v>
      </c>
      <c r="G1792" s="4" t="s">
        <v>607</v>
      </c>
      <c r="H1792" s="4" t="s">
        <v>607</v>
      </c>
      <c r="I1792" s="4" t="s">
        <v>607</v>
      </c>
      <c r="J1792" s="4" t="s">
        <v>607</v>
      </c>
      <c r="K1792" s="4" t="s">
        <v>607</v>
      </c>
      <c r="L1792" s="4" t="s">
        <v>607</v>
      </c>
      <c r="M1792" s="4" t="s">
        <v>607</v>
      </c>
      <c r="N1792" s="4" t="s">
        <v>607</v>
      </c>
      <c r="O1792" s="4"/>
      <c r="P1792" s="4"/>
      <c r="T1792" s="4"/>
    </row>
    <row r="1793">
      <c r="A1793" s="4" t="s">
        <v>5087</v>
      </c>
      <c r="B1793" s="4" t="s">
        <v>607</v>
      </c>
      <c r="C1793" s="6" t="s">
        <v>607</v>
      </c>
      <c r="D1793" s="6" t="s">
        <v>607</v>
      </c>
      <c r="E1793" s="6" t="s">
        <v>607</v>
      </c>
      <c r="F1793" s="6" t="s">
        <v>607</v>
      </c>
      <c r="G1793" s="4" t="s">
        <v>607</v>
      </c>
      <c r="H1793" s="4" t="s">
        <v>607</v>
      </c>
      <c r="I1793" s="4" t="s">
        <v>607</v>
      </c>
      <c r="J1793" s="4" t="s">
        <v>607</v>
      </c>
      <c r="K1793" s="4" t="s">
        <v>607</v>
      </c>
      <c r="L1793" s="4" t="s">
        <v>607</v>
      </c>
      <c r="M1793" s="4" t="s">
        <v>607</v>
      </c>
      <c r="N1793" s="4" t="s">
        <v>607</v>
      </c>
      <c r="O1793" s="4"/>
      <c r="P1793" s="4"/>
      <c r="T1793" s="4"/>
    </row>
    <row r="1794">
      <c r="A1794" s="4" t="s">
        <v>5088</v>
      </c>
      <c r="B1794" s="4" t="s">
        <v>607</v>
      </c>
      <c r="C1794" s="6" t="s">
        <v>607</v>
      </c>
      <c r="D1794" s="6" t="s">
        <v>607</v>
      </c>
      <c r="E1794" s="6" t="s">
        <v>607</v>
      </c>
      <c r="F1794" s="6" t="s">
        <v>607</v>
      </c>
      <c r="G1794" s="4" t="s">
        <v>607</v>
      </c>
      <c r="H1794" s="4" t="s">
        <v>607</v>
      </c>
      <c r="I1794" s="4" t="s">
        <v>607</v>
      </c>
      <c r="J1794" s="4" t="s">
        <v>607</v>
      </c>
      <c r="K1794" s="4" t="s">
        <v>607</v>
      </c>
      <c r="L1794" s="4" t="s">
        <v>607</v>
      </c>
      <c r="M1794" s="4" t="s">
        <v>607</v>
      </c>
      <c r="N1794" s="4" t="s">
        <v>607</v>
      </c>
      <c r="O1794" s="4"/>
      <c r="P1794" s="4"/>
      <c r="T1794" s="4"/>
    </row>
    <row r="1795">
      <c r="A1795" s="4" t="s">
        <v>5089</v>
      </c>
      <c r="B1795" s="4" t="s">
        <v>607</v>
      </c>
      <c r="C1795" s="6" t="s">
        <v>607</v>
      </c>
      <c r="D1795" s="6" t="s">
        <v>607</v>
      </c>
      <c r="E1795" s="6" t="s">
        <v>607</v>
      </c>
      <c r="F1795" s="6" t="s">
        <v>607</v>
      </c>
      <c r="G1795" s="4" t="s">
        <v>607</v>
      </c>
      <c r="H1795" s="4" t="s">
        <v>607</v>
      </c>
      <c r="I1795" s="4" t="s">
        <v>607</v>
      </c>
      <c r="J1795" s="4" t="s">
        <v>607</v>
      </c>
      <c r="K1795" s="4" t="s">
        <v>607</v>
      </c>
      <c r="L1795" s="4" t="s">
        <v>607</v>
      </c>
      <c r="M1795" s="4" t="s">
        <v>607</v>
      </c>
      <c r="N1795" s="4" t="s">
        <v>607</v>
      </c>
      <c r="O1795" s="4"/>
      <c r="P1795" s="4"/>
      <c r="T1795" s="4"/>
    </row>
    <row r="1796">
      <c r="A1796" s="4" t="s">
        <v>5090</v>
      </c>
      <c r="B1796" s="4" t="s">
        <v>607</v>
      </c>
      <c r="C1796" s="6" t="s">
        <v>607</v>
      </c>
      <c r="D1796" s="6" t="s">
        <v>607</v>
      </c>
      <c r="E1796" s="6" t="s">
        <v>607</v>
      </c>
      <c r="F1796" s="6" t="s">
        <v>607</v>
      </c>
      <c r="G1796" s="4" t="s">
        <v>607</v>
      </c>
      <c r="H1796" s="4" t="s">
        <v>607</v>
      </c>
      <c r="I1796" s="4" t="s">
        <v>607</v>
      </c>
      <c r="J1796" s="4" t="s">
        <v>607</v>
      </c>
      <c r="K1796" s="4" t="s">
        <v>607</v>
      </c>
      <c r="L1796" s="4" t="s">
        <v>607</v>
      </c>
      <c r="M1796" s="4" t="s">
        <v>607</v>
      </c>
      <c r="N1796" s="4" t="s">
        <v>607</v>
      </c>
      <c r="O1796" s="4"/>
      <c r="P1796" s="4"/>
      <c r="T1796" s="4"/>
    </row>
    <row r="1797">
      <c r="A1797" s="4" t="s">
        <v>5091</v>
      </c>
      <c r="B1797" s="4" t="s">
        <v>607</v>
      </c>
      <c r="C1797" s="6" t="s">
        <v>607</v>
      </c>
      <c r="D1797" s="6" t="s">
        <v>607</v>
      </c>
      <c r="E1797" s="6" t="s">
        <v>607</v>
      </c>
      <c r="F1797" s="6" t="s">
        <v>607</v>
      </c>
      <c r="G1797" s="4" t="s">
        <v>607</v>
      </c>
      <c r="H1797" s="4" t="s">
        <v>607</v>
      </c>
      <c r="I1797" s="4" t="s">
        <v>607</v>
      </c>
      <c r="J1797" s="4" t="s">
        <v>607</v>
      </c>
      <c r="K1797" s="4" t="s">
        <v>607</v>
      </c>
      <c r="L1797" s="4" t="s">
        <v>607</v>
      </c>
      <c r="M1797" s="4" t="s">
        <v>607</v>
      </c>
      <c r="N1797" s="4" t="s">
        <v>607</v>
      </c>
      <c r="O1797" s="4"/>
      <c r="P1797" s="4"/>
      <c r="T1797" s="4"/>
    </row>
    <row r="1798">
      <c r="A1798" s="4" t="s">
        <v>5092</v>
      </c>
      <c r="B1798" s="4" t="s">
        <v>607</v>
      </c>
      <c r="C1798" s="6" t="s">
        <v>607</v>
      </c>
      <c r="D1798" s="6" t="s">
        <v>607</v>
      </c>
      <c r="E1798" s="6" t="s">
        <v>607</v>
      </c>
      <c r="F1798" s="6" t="s">
        <v>607</v>
      </c>
      <c r="G1798" s="4" t="s">
        <v>607</v>
      </c>
      <c r="H1798" s="4" t="s">
        <v>607</v>
      </c>
      <c r="I1798" s="4" t="s">
        <v>607</v>
      </c>
      <c r="J1798" s="4" t="s">
        <v>607</v>
      </c>
      <c r="K1798" s="4" t="s">
        <v>607</v>
      </c>
      <c r="L1798" s="4" t="s">
        <v>607</v>
      </c>
      <c r="M1798" s="4" t="s">
        <v>607</v>
      </c>
      <c r="N1798" s="4" t="s">
        <v>607</v>
      </c>
      <c r="O1798" s="4"/>
      <c r="P1798" s="4"/>
      <c r="T1798" s="4"/>
    </row>
    <row r="1799">
      <c r="A1799" s="4" t="s">
        <v>5093</v>
      </c>
      <c r="B1799" s="4" t="s">
        <v>607</v>
      </c>
      <c r="C1799" s="6" t="s">
        <v>607</v>
      </c>
      <c r="D1799" s="6" t="s">
        <v>607</v>
      </c>
      <c r="E1799" s="6" t="s">
        <v>607</v>
      </c>
      <c r="F1799" s="6" t="s">
        <v>607</v>
      </c>
      <c r="G1799" s="4" t="s">
        <v>607</v>
      </c>
      <c r="H1799" s="4" t="s">
        <v>607</v>
      </c>
      <c r="I1799" s="4" t="s">
        <v>607</v>
      </c>
      <c r="J1799" s="4" t="s">
        <v>607</v>
      </c>
      <c r="K1799" s="4" t="s">
        <v>607</v>
      </c>
      <c r="L1799" s="4" t="s">
        <v>607</v>
      </c>
      <c r="M1799" s="4" t="s">
        <v>607</v>
      </c>
      <c r="N1799" s="4" t="s">
        <v>607</v>
      </c>
      <c r="O1799" s="4"/>
      <c r="P1799" s="4"/>
      <c r="T1799" s="4"/>
    </row>
    <row r="1800">
      <c r="A1800" s="4" t="s">
        <v>5094</v>
      </c>
      <c r="B1800" s="4" t="s">
        <v>607</v>
      </c>
      <c r="C1800" s="6" t="s">
        <v>607</v>
      </c>
      <c r="D1800" s="6" t="s">
        <v>607</v>
      </c>
      <c r="E1800" s="6" t="s">
        <v>607</v>
      </c>
      <c r="F1800" s="6" t="s">
        <v>607</v>
      </c>
      <c r="G1800" s="4" t="s">
        <v>607</v>
      </c>
      <c r="H1800" s="4" t="s">
        <v>607</v>
      </c>
      <c r="I1800" s="4" t="s">
        <v>607</v>
      </c>
      <c r="J1800" s="4" t="s">
        <v>607</v>
      </c>
      <c r="K1800" s="4" t="s">
        <v>607</v>
      </c>
      <c r="L1800" s="4" t="s">
        <v>607</v>
      </c>
      <c r="M1800" s="4" t="s">
        <v>607</v>
      </c>
      <c r="N1800" s="4" t="s">
        <v>607</v>
      </c>
      <c r="O1800" s="4"/>
      <c r="P1800" s="4"/>
      <c r="T1800" s="4"/>
    </row>
    <row r="1801">
      <c r="A1801" s="4" t="s">
        <v>5095</v>
      </c>
      <c r="B1801" s="4" t="s">
        <v>607</v>
      </c>
      <c r="C1801" s="6" t="s">
        <v>607</v>
      </c>
      <c r="D1801" s="6" t="s">
        <v>607</v>
      </c>
      <c r="E1801" s="6" t="s">
        <v>607</v>
      </c>
      <c r="F1801" s="6" t="s">
        <v>607</v>
      </c>
      <c r="G1801" s="4" t="s">
        <v>607</v>
      </c>
      <c r="H1801" s="4" t="s">
        <v>607</v>
      </c>
      <c r="I1801" s="4" t="s">
        <v>607</v>
      </c>
      <c r="J1801" s="4" t="s">
        <v>607</v>
      </c>
      <c r="K1801" s="4" t="s">
        <v>607</v>
      </c>
      <c r="L1801" s="4" t="s">
        <v>607</v>
      </c>
      <c r="M1801" s="4" t="s">
        <v>607</v>
      </c>
      <c r="N1801" s="4" t="s">
        <v>607</v>
      </c>
      <c r="O1801" s="4"/>
      <c r="P1801" s="4"/>
      <c r="T1801" s="4"/>
    </row>
    <row r="1802">
      <c r="A1802" s="4" t="s">
        <v>5096</v>
      </c>
      <c r="B1802" s="4" t="s">
        <v>607</v>
      </c>
      <c r="C1802" s="6" t="s">
        <v>607</v>
      </c>
      <c r="D1802" s="6" t="s">
        <v>607</v>
      </c>
      <c r="E1802" s="6" t="s">
        <v>607</v>
      </c>
      <c r="F1802" s="6" t="s">
        <v>607</v>
      </c>
      <c r="G1802" s="4" t="s">
        <v>607</v>
      </c>
      <c r="H1802" s="4" t="s">
        <v>607</v>
      </c>
      <c r="I1802" s="4" t="s">
        <v>607</v>
      </c>
      <c r="J1802" s="4" t="s">
        <v>607</v>
      </c>
      <c r="K1802" s="4" t="s">
        <v>607</v>
      </c>
      <c r="L1802" s="4" t="s">
        <v>607</v>
      </c>
      <c r="M1802" s="4" t="s">
        <v>607</v>
      </c>
      <c r="N1802" s="4" t="s">
        <v>607</v>
      </c>
      <c r="O1802" s="4"/>
      <c r="P1802" s="4"/>
      <c r="T1802" s="4"/>
    </row>
    <row r="1803">
      <c r="A1803" s="4" t="s">
        <v>5097</v>
      </c>
      <c r="B1803" s="4" t="s">
        <v>607</v>
      </c>
      <c r="C1803" s="6" t="s">
        <v>607</v>
      </c>
      <c r="D1803" s="6" t="s">
        <v>607</v>
      </c>
      <c r="E1803" s="6" t="s">
        <v>607</v>
      </c>
      <c r="F1803" s="6" t="s">
        <v>607</v>
      </c>
      <c r="G1803" s="4" t="s">
        <v>607</v>
      </c>
      <c r="H1803" s="4" t="s">
        <v>607</v>
      </c>
      <c r="I1803" s="4" t="s">
        <v>607</v>
      </c>
      <c r="J1803" s="4" t="s">
        <v>607</v>
      </c>
      <c r="K1803" s="4" t="s">
        <v>607</v>
      </c>
      <c r="L1803" s="4" t="s">
        <v>607</v>
      </c>
      <c r="M1803" s="4" t="s">
        <v>607</v>
      </c>
      <c r="N1803" s="4" t="s">
        <v>607</v>
      </c>
      <c r="O1803" s="4"/>
      <c r="P1803" s="4"/>
      <c r="T1803" s="4"/>
    </row>
    <row r="1804">
      <c r="A1804" s="4" t="s">
        <v>5098</v>
      </c>
      <c r="B1804" s="4" t="s">
        <v>607</v>
      </c>
      <c r="C1804" s="6" t="s">
        <v>607</v>
      </c>
      <c r="D1804" s="6" t="s">
        <v>607</v>
      </c>
      <c r="E1804" s="6" t="s">
        <v>607</v>
      </c>
      <c r="F1804" s="6" t="s">
        <v>607</v>
      </c>
      <c r="G1804" s="4" t="s">
        <v>607</v>
      </c>
      <c r="H1804" s="4" t="s">
        <v>607</v>
      </c>
      <c r="I1804" s="4" t="s">
        <v>607</v>
      </c>
      <c r="J1804" s="4" t="s">
        <v>607</v>
      </c>
      <c r="K1804" s="4" t="s">
        <v>607</v>
      </c>
      <c r="L1804" s="4" t="s">
        <v>607</v>
      </c>
      <c r="M1804" s="4" t="s">
        <v>607</v>
      </c>
      <c r="N1804" s="4" t="s">
        <v>607</v>
      </c>
      <c r="O1804" s="4"/>
      <c r="P1804" s="4"/>
      <c r="T1804" s="4"/>
    </row>
    <row r="1805">
      <c r="A1805" s="4" t="s">
        <v>5099</v>
      </c>
      <c r="B1805" s="4" t="s">
        <v>607</v>
      </c>
      <c r="C1805" s="6" t="s">
        <v>607</v>
      </c>
      <c r="D1805" s="6" t="s">
        <v>607</v>
      </c>
      <c r="E1805" s="6" t="s">
        <v>607</v>
      </c>
      <c r="F1805" s="6" t="s">
        <v>607</v>
      </c>
      <c r="G1805" s="4" t="s">
        <v>607</v>
      </c>
      <c r="H1805" s="4" t="s">
        <v>607</v>
      </c>
      <c r="I1805" s="4" t="s">
        <v>607</v>
      </c>
      <c r="J1805" s="4" t="s">
        <v>607</v>
      </c>
      <c r="K1805" s="4" t="s">
        <v>607</v>
      </c>
      <c r="L1805" s="4" t="s">
        <v>607</v>
      </c>
      <c r="M1805" s="4" t="s">
        <v>607</v>
      </c>
      <c r="N1805" s="4" t="s">
        <v>607</v>
      </c>
      <c r="O1805" s="4"/>
      <c r="P1805" s="4"/>
      <c r="T1805" s="4"/>
    </row>
    <row r="1806">
      <c r="A1806" s="4" t="s">
        <v>5100</v>
      </c>
      <c r="B1806" s="4" t="s">
        <v>607</v>
      </c>
      <c r="C1806" s="6" t="s">
        <v>607</v>
      </c>
      <c r="D1806" s="6" t="s">
        <v>607</v>
      </c>
      <c r="E1806" s="6" t="s">
        <v>607</v>
      </c>
      <c r="F1806" s="6" t="s">
        <v>607</v>
      </c>
      <c r="G1806" s="4" t="s">
        <v>607</v>
      </c>
      <c r="H1806" s="4" t="s">
        <v>607</v>
      </c>
      <c r="I1806" s="4" t="s">
        <v>607</v>
      </c>
      <c r="J1806" s="4" t="s">
        <v>607</v>
      </c>
      <c r="K1806" s="4" t="s">
        <v>607</v>
      </c>
      <c r="L1806" s="4" t="s">
        <v>607</v>
      </c>
      <c r="M1806" s="4" t="s">
        <v>607</v>
      </c>
      <c r="N1806" s="4" t="s">
        <v>607</v>
      </c>
      <c r="O1806" s="4"/>
      <c r="P1806" s="4"/>
      <c r="T1806" s="4"/>
    </row>
    <row r="1807">
      <c r="A1807" s="4" t="s">
        <v>5101</v>
      </c>
      <c r="B1807" s="4" t="s">
        <v>607</v>
      </c>
      <c r="C1807" s="6" t="s">
        <v>607</v>
      </c>
      <c r="D1807" s="6" t="s">
        <v>607</v>
      </c>
      <c r="E1807" s="6" t="s">
        <v>607</v>
      </c>
      <c r="F1807" s="6" t="s">
        <v>607</v>
      </c>
      <c r="G1807" s="4" t="s">
        <v>607</v>
      </c>
      <c r="H1807" s="4" t="s">
        <v>607</v>
      </c>
      <c r="I1807" s="4" t="s">
        <v>607</v>
      </c>
      <c r="J1807" s="4" t="s">
        <v>607</v>
      </c>
      <c r="K1807" s="4" t="s">
        <v>607</v>
      </c>
      <c r="L1807" s="4" t="s">
        <v>607</v>
      </c>
      <c r="M1807" s="4" t="s">
        <v>607</v>
      </c>
      <c r="N1807" s="4" t="s">
        <v>607</v>
      </c>
      <c r="O1807" s="4"/>
      <c r="P1807" s="4"/>
      <c r="T1807" s="4"/>
    </row>
    <row r="1808">
      <c r="A1808" s="4" t="s">
        <v>5102</v>
      </c>
      <c r="B1808" s="4" t="s">
        <v>607</v>
      </c>
      <c r="C1808" s="6" t="s">
        <v>607</v>
      </c>
      <c r="D1808" s="6" t="s">
        <v>607</v>
      </c>
      <c r="E1808" s="6" t="s">
        <v>607</v>
      </c>
      <c r="F1808" s="6" t="s">
        <v>607</v>
      </c>
      <c r="G1808" s="4" t="s">
        <v>607</v>
      </c>
      <c r="H1808" s="4" t="s">
        <v>607</v>
      </c>
      <c r="I1808" s="4" t="s">
        <v>607</v>
      </c>
      <c r="J1808" s="4" t="s">
        <v>607</v>
      </c>
      <c r="K1808" s="4" t="s">
        <v>607</v>
      </c>
      <c r="L1808" s="4" t="s">
        <v>607</v>
      </c>
      <c r="M1808" s="4" t="s">
        <v>607</v>
      </c>
      <c r="N1808" s="4" t="s">
        <v>607</v>
      </c>
      <c r="O1808" s="4"/>
      <c r="P1808" s="4"/>
      <c r="T1808" s="4"/>
    </row>
    <row r="1809">
      <c r="A1809" s="4" t="s">
        <v>5103</v>
      </c>
      <c r="B1809" s="4" t="s">
        <v>607</v>
      </c>
      <c r="C1809" s="6" t="s">
        <v>607</v>
      </c>
      <c r="D1809" s="6" t="s">
        <v>607</v>
      </c>
      <c r="E1809" s="6" t="s">
        <v>607</v>
      </c>
      <c r="F1809" s="6" t="s">
        <v>607</v>
      </c>
      <c r="G1809" s="4" t="s">
        <v>607</v>
      </c>
      <c r="H1809" s="4" t="s">
        <v>607</v>
      </c>
      <c r="I1809" s="4" t="s">
        <v>607</v>
      </c>
      <c r="J1809" s="4" t="s">
        <v>607</v>
      </c>
      <c r="K1809" s="4" t="s">
        <v>607</v>
      </c>
      <c r="L1809" s="4" t="s">
        <v>607</v>
      </c>
      <c r="M1809" s="4" t="s">
        <v>607</v>
      </c>
      <c r="N1809" s="4" t="s">
        <v>607</v>
      </c>
      <c r="O1809" s="4"/>
      <c r="P1809" s="4"/>
      <c r="T1809" s="4"/>
    </row>
    <row r="1810">
      <c r="A1810" s="4" t="s">
        <v>5104</v>
      </c>
      <c r="B1810" s="4" t="s">
        <v>607</v>
      </c>
      <c r="C1810" s="6" t="s">
        <v>607</v>
      </c>
      <c r="D1810" s="6" t="s">
        <v>607</v>
      </c>
      <c r="E1810" s="6" t="s">
        <v>607</v>
      </c>
      <c r="F1810" s="6" t="s">
        <v>607</v>
      </c>
      <c r="G1810" s="4" t="s">
        <v>607</v>
      </c>
      <c r="H1810" s="4" t="s">
        <v>607</v>
      </c>
      <c r="I1810" s="4" t="s">
        <v>607</v>
      </c>
      <c r="J1810" s="4" t="s">
        <v>607</v>
      </c>
      <c r="K1810" s="4" t="s">
        <v>607</v>
      </c>
      <c r="L1810" s="4" t="s">
        <v>607</v>
      </c>
      <c r="M1810" s="4" t="s">
        <v>607</v>
      </c>
      <c r="N1810" s="4" t="s">
        <v>607</v>
      </c>
      <c r="O1810" s="4"/>
      <c r="P1810" s="4"/>
      <c r="T1810" s="4"/>
    </row>
    <row r="1811">
      <c r="A1811" s="4" t="s">
        <v>5105</v>
      </c>
      <c r="B1811" s="4" t="s">
        <v>607</v>
      </c>
      <c r="C1811" s="6" t="s">
        <v>607</v>
      </c>
      <c r="D1811" s="6" t="s">
        <v>607</v>
      </c>
      <c r="E1811" s="6" t="s">
        <v>607</v>
      </c>
      <c r="F1811" s="6" t="s">
        <v>607</v>
      </c>
      <c r="G1811" s="4" t="s">
        <v>607</v>
      </c>
      <c r="H1811" s="4" t="s">
        <v>607</v>
      </c>
      <c r="I1811" s="4" t="s">
        <v>607</v>
      </c>
      <c r="J1811" s="4" t="s">
        <v>607</v>
      </c>
      <c r="K1811" s="4" t="s">
        <v>607</v>
      </c>
      <c r="L1811" s="4" t="s">
        <v>607</v>
      </c>
      <c r="M1811" s="4" t="s">
        <v>607</v>
      </c>
      <c r="N1811" s="4" t="s">
        <v>607</v>
      </c>
      <c r="O1811" s="4"/>
      <c r="P1811" s="4"/>
      <c r="T1811" s="4"/>
    </row>
    <row r="1812">
      <c r="A1812" s="4" t="s">
        <v>5106</v>
      </c>
      <c r="B1812" s="4" t="s">
        <v>607</v>
      </c>
      <c r="C1812" s="6" t="s">
        <v>607</v>
      </c>
      <c r="D1812" s="6" t="s">
        <v>607</v>
      </c>
      <c r="E1812" s="6" t="s">
        <v>607</v>
      </c>
      <c r="F1812" s="6" t="s">
        <v>607</v>
      </c>
      <c r="G1812" s="4" t="s">
        <v>607</v>
      </c>
      <c r="H1812" s="4" t="s">
        <v>607</v>
      </c>
      <c r="I1812" s="4" t="s">
        <v>607</v>
      </c>
      <c r="J1812" s="4" t="s">
        <v>607</v>
      </c>
      <c r="K1812" s="4" t="s">
        <v>607</v>
      </c>
      <c r="L1812" s="4" t="s">
        <v>607</v>
      </c>
      <c r="M1812" s="4" t="s">
        <v>607</v>
      </c>
      <c r="N1812" s="4" t="s">
        <v>607</v>
      </c>
      <c r="O1812" s="4"/>
      <c r="P1812" s="4"/>
      <c r="T1812" s="4"/>
    </row>
    <row r="1813">
      <c r="A1813" s="4" t="s">
        <v>5107</v>
      </c>
      <c r="B1813" s="4" t="s">
        <v>607</v>
      </c>
      <c r="C1813" s="6" t="s">
        <v>607</v>
      </c>
      <c r="D1813" s="6" t="s">
        <v>607</v>
      </c>
      <c r="E1813" s="6" t="s">
        <v>607</v>
      </c>
      <c r="F1813" s="6" t="s">
        <v>607</v>
      </c>
      <c r="G1813" s="4" t="s">
        <v>607</v>
      </c>
      <c r="H1813" s="4" t="s">
        <v>607</v>
      </c>
      <c r="I1813" s="4" t="s">
        <v>607</v>
      </c>
      <c r="J1813" s="4" t="s">
        <v>607</v>
      </c>
      <c r="K1813" s="4" t="s">
        <v>607</v>
      </c>
      <c r="L1813" s="4" t="s">
        <v>607</v>
      </c>
      <c r="M1813" s="4" t="s">
        <v>607</v>
      </c>
      <c r="N1813" s="4" t="s">
        <v>607</v>
      </c>
      <c r="O1813" s="4"/>
      <c r="P1813" s="4"/>
      <c r="T1813" s="4"/>
    </row>
    <row r="1814">
      <c r="A1814" s="4" t="s">
        <v>5108</v>
      </c>
      <c r="B1814" s="4" t="s">
        <v>607</v>
      </c>
      <c r="C1814" s="6" t="s">
        <v>607</v>
      </c>
      <c r="D1814" s="6" t="s">
        <v>607</v>
      </c>
      <c r="E1814" s="6" t="s">
        <v>607</v>
      </c>
      <c r="F1814" s="6" t="s">
        <v>607</v>
      </c>
      <c r="G1814" s="4" t="s">
        <v>607</v>
      </c>
      <c r="H1814" s="4" t="s">
        <v>607</v>
      </c>
      <c r="I1814" s="4" t="s">
        <v>607</v>
      </c>
      <c r="J1814" s="4" t="s">
        <v>607</v>
      </c>
      <c r="K1814" s="4" t="s">
        <v>607</v>
      </c>
      <c r="L1814" s="4" t="s">
        <v>607</v>
      </c>
      <c r="M1814" s="4" t="s">
        <v>607</v>
      </c>
      <c r="N1814" s="4" t="s">
        <v>607</v>
      </c>
      <c r="O1814" s="4"/>
      <c r="P1814" s="4"/>
      <c r="T1814" s="4"/>
    </row>
    <row r="1815">
      <c r="A1815" s="4" t="s">
        <v>5109</v>
      </c>
      <c r="B1815" s="4" t="s">
        <v>607</v>
      </c>
      <c r="C1815" s="6" t="s">
        <v>607</v>
      </c>
      <c r="D1815" s="6" t="s">
        <v>607</v>
      </c>
      <c r="E1815" s="6" t="s">
        <v>607</v>
      </c>
      <c r="F1815" s="6" t="s">
        <v>607</v>
      </c>
      <c r="G1815" s="4" t="s">
        <v>607</v>
      </c>
      <c r="H1815" s="4" t="s">
        <v>607</v>
      </c>
      <c r="I1815" s="4" t="s">
        <v>607</v>
      </c>
      <c r="J1815" s="4" t="s">
        <v>607</v>
      </c>
      <c r="K1815" s="4" t="s">
        <v>607</v>
      </c>
      <c r="L1815" s="4" t="s">
        <v>607</v>
      </c>
      <c r="M1815" s="4" t="s">
        <v>607</v>
      </c>
      <c r="N1815" s="4" t="s">
        <v>607</v>
      </c>
      <c r="O1815" s="4"/>
      <c r="P1815" s="4"/>
      <c r="T1815" s="4"/>
    </row>
    <row r="1816">
      <c r="A1816" s="4" t="s">
        <v>5110</v>
      </c>
      <c r="B1816" s="4" t="s">
        <v>607</v>
      </c>
      <c r="C1816" s="6" t="s">
        <v>607</v>
      </c>
      <c r="D1816" s="6" t="s">
        <v>607</v>
      </c>
      <c r="E1816" s="6" t="s">
        <v>607</v>
      </c>
      <c r="F1816" s="6" t="s">
        <v>607</v>
      </c>
      <c r="G1816" s="4" t="s">
        <v>607</v>
      </c>
      <c r="H1816" s="4" t="s">
        <v>607</v>
      </c>
      <c r="I1816" s="4" t="s">
        <v>607</v>
      </c>
      <c r="J1816" s="4" t="s">
        <v>607</v>
      </c>
      <c r="K1816" s="4" t="s">
        <v>607</v>
      </c>
      <c r="L1816" s="4" t="s">
        <v>607</v>
      </c>
      <c r="M1816" s="4" t="s">
        <v>607</v>
      </c>
      <c r="N1816" s="4" t="s">
        <v>607</v>
      </c>
      <c r="O1816" s="4"/>
      <c r="P1816" s="4"/>
      <c r="T1816" s="4"/>
    </row>
    <row r="1817">
      <c r="A1817" s="4" t="s">
        <v>5111</v>
      </c>
      <c r="B1817" s="4" t="s">
        <v>607</v>
      </c>
      <c r="C1817" s="6" t="s">
        <v>607</v>
      </c>
      <c r="D1817" s="6" t="s">
        <v>607</v>
      </c>
      <c r="E1817" s="6" t="s">
        <v>607</v>
      </c>
      <c r="F1817" s="6" t="s">
        <v>607</v>
      </c>
      <c r="G1817" s="4" t="s">
        <v>607</v>
      </c>
      <c r="H1817" s="4" t="s">
        <v>607</v>
      </c>
      <c r="I1817" s="4" t="s">
        <v>607</v>
      </c>
      <c r="J1817" s="4" t="s">
        <v>607</v>
      </c>
      <c r="K1817" s="4" t="s">
        <v>607</v>
      </c>
      <c r="L1817" s="4" t="s">
        <v>607</v>
      </c>
      <c r="M1817" s="4" t="s">
        <v>607</v>
      </c>
      <c r="N1817" s="4" t="s">
        <v>607</v>
      </c>
      <c r="O1817" s="4"/>
      <c r="P1817" s="4"/>
      <c r="T1817" s="4"/>
    </row>
    <row r="1818">
      <c r="A1818" s="4" t="s">
        <v>5112</v>
      </c>
      <c r="B1818" s="4" t="s">
        <v>607</v>
      </c>
      <c r="C1818" s="6" t="s">
        <v>607</v>
      </c>
      <c r="D1818" s="6" t="s">
        <v>607</v>
      </c>
      <c r="E1818" s="6" t="s">
        <v>607</v>
      </c>
      <c r="F1818" s="6" t="s">
        <v>607</v>
      </c>
      <c r="G1818" s="4" t="s">
        <v>607</v>
      </c>
      <c r="H1818" s="4" t="s">
        <v>607</v>
      </c>
      <c r="I1818" s="4" t="s">
        <v>607</v>
      </c>
      <c r="J1818" s="4" t="s">
        <v>607</v>
      </c>
      <c r="K1818" s="4" t="s">
        <v>607</v>
      </c>
      <c r="L1818" s="4" t="s">
        <v>607</v>
      </c>
      <c r="M1818" s="4" t="s">
        <v>607</v>
      </c>
      <c r="N1818" s="4" t="s">
        <v>607</v>
      </c>
      <c r="O1818" s="4"/>
      <c r="P1818" s="4"/>
      <c r="T1818" s="4"/>
    </row>
    <row r="1819">
      <c r="A1819" s="4" t="s">
        <v>5113</v>
      </c>
      <c r="B1819" s="4" t="s">
        <v>607</v>
      </c>
      <c r="C1819" s="6" t="s">
        <v>607</v>
      </c>
      <c r="D1819" s="6" t="s">
        <v>607</v>
      </c>
      <c r="E1819" s="6" t="s">
        <v>607</v>
      </c>
      <c r="F1819" s="6" t="s">
        <v>607</v>
      </c>
      <c r="G1819" s="4" t="s">
        <v>607</v>
      </c>
      <c r="H1819" s="4" t="s">
        <v>607</v>
      </c>
      <c r="I1819" s="4" t="s">
        <v>607</v>
      </c>
      <c r="J1819" s="4" t="s">
        <v>607</v>
      </c>
      <c r="K1819" s="4" t="s">
        <v>607</v>
      </c>
      <c r="L1819" s="4" t="s">
        <v>607</v>
      </c>
      <c r="M1819" s="4" t="s">
        <v>607</v>
      </c>
      <c r="N1819" s="4" t="s">
        <v>607</v>
      </c>
      <c r="O1819" s="4"/>
      <c r="P1819" s="4"/>
      <c r="T1819" s="4"/>
    </row>
    <row r="1820">
      <c r="A1820" s="4" t="s">
        <v>5114</v>
      </c>
      <c r="B1820" s="4" t="s">
        <v>607</v>
      </c>
      <c r="C1820" s="6" t="s">
        <v>607</v>
      </c>
      <c r="D1820" s="6" t="s">
        <v>607</v>
      </c>
      <c r="E1820" s="6" t="s">
        <v>607</v>
      </c>
      <c r="F1820" s="6" t="s">
        <v>607</v>
      </c>
      <c r="G1820" s="4" t="s">
        <v>607</v>
      </c>
      <c r="H1820" s="4" t="s">
        <v>607</v>
      </c>
      <c r="I1820" s="4" t="s">
        <v>607</v>
      </c>
      <c r="J1820" s="4" t="s">
        <v>607</v>
      </c>
      <c r="K1820" s="4" t="s">
        <v>607</v>
      </c>
      <c r="L1820" s="4" t="s">
        <v>607</v>
      </c>
      <c r="M1820" s="4" t="s">
        <v>607</v>
      </c>
      <c r="N1820" s="4" t="s">
        <v>607</v>
      </c>
      <c r="O1820" s="4"/>
      <c r="P1820" s="4"/>
      <c r="T1820" s="4"/>
    </row>
    <row r="1821">
      <c r="A1821" s="4" t="s">
        <v>5115</v>
      </c>
      <c r="B1821" s="4" t="s">
        <v>607</v>
      </c>
      <c r="C1821" s="6" t="s">
        <v>607</v>
      </c>
      <c r="D1821" s="6" t="s">
        <v>607</v>
      </c>
      <c r="E1821" s="6" t="s">
        <v>607</v>
      </c>
      <c r="F1821" s="6" t="s">
        <v>607</v>
      </c>
      <c r="G1821" s="4" t="s">
        <v>607</v>
      </c>
      <c r="H1821" s="4" t="s">
        <v>607</v>
      </c>
      <c r="I1821" s="4" t="s">
        <v>607</v>
      </c>
      <c r="J1821" s="4" t="s">
        <v>607</v>
      </c>
      <c r="K1821" s="4" t="s">
        <v>607</v>
      </c>
      <c r="L1821" s="4" t="s">
        <v>607</v>
      </c>
      <c r="M1821" s="4" t="s">
        <v>607</v>
      </c>
      <c r="N1821" s="4" t="s">
        <v>607</v>
      </c>
      <c r="O1821" s="4"/>
      <c r="P1821" s="4"/>
      <c r="T1821" s="4"/>
    </row>
    <row r="1822">
      <c r="A1822" s="4" t="s">
        <v>5116</v>
      </c>
      <c r="B1822" s="4" t="s">
        <v>607</v>
      </c>
      <c r="C1822" s="6" t="s">
        <v>607</v>
      </c>
      <c r="D1822" s="6" t="s">
        <v>607</v>
      </c>
      <c r="E1822" s="6" t="s">
        <v>607</v>
      </c>
      <c r="F1822" s="6" t="s">
        <v>607</v>
      </c>
      <c r="G1822" s="4" t="s">
        <v>607</v>
      </c>
      <c r="H1822" s="4" t="s">
        <v>607</v>
      </c>
      <c r="I1822" s="4" t="s">
        <v>607</v>
      </c>
      <c r="J1822" s="4" t="s">
        <v>607</v>
      </c>
      <c r="K1822" s="4" t="s">
        <v>607</v>
      </c>
      <c r="L1822" s="4" t="s">
        <v>607</v>
      </c>
      <c r="M1822" s="4" t="s">
        <v>607</v>
      </c>
      <c r="N1822" s="4" t="s">
        <v>607</v>
      </c>
      <c r="O1822" s="4"/>
      <c r="P1822" s="4"/>
      <c r="T1822" s="4"/>
    </row>
    <row r="1823">
      <c r="A1823" s="4" t="s">
        <v>5117</v>
      </c>
      <c r="B1823" s="4" t="s">
        <v>607</v>
      </c>
      <c r="C1823" s="6" t="s">
        <v>607</v>
      </c>
      <c r="D1823" s="6" t="s">
        <v>607</v>
      </c>
      <c r="E1823" s="6" t="s">
        <v>607</v>
      </c>
      <c r="F1823" s="6" t="s">
        <v>607</v>
      </c>
      <c r="G1823" s="4" t="s">
        <v>607</v>
      </c>
      <c r="H1823" s="4" t="s">
        <v>607</v>
      </c>
      <c r="I1823" s="4" t="s">
        <v>607</v>
      </c>
      <c r="J1823" s="4" t="s">
        <v>607</v>
      </c>
      <c r="K1823" s="4" t="s">
        <v>607</v>
      </c>
      <c r="L1823" s="4" t="s">
        <v>607</v>
      </c>
      <c r="M1823" s="4" t="s">
        <v>607</v>
      </c>
      <c r="N1823" s="4" t="s">
        <v>607</v>
      </c>
      <c r="O1823" s="4"/>
      <c r="P1823" s="4"/>
      <c r="T1823" s="4"/>
    </row>
    <row r="1824">
      <c r="A1824" s="4" t="s">
        <v>5118</v>
      </c>
      <c r="B1824" s="4" t="s">
        <v>607</v>
      </c>
      <c r="C1824" s="6" t="s">
        <v>607</v>
      </c>
      <c r="D1824" s="6" t="s">
        <v>607</v>
      </c>
      <c r="E1824" s="6" t="s">
        <v>607</v>
      </c>
      <c r="F1824" s="6" t="s">
        <v>607</v>
      </c>
      <c r="G1824" s="4" t="s">
        <v>607</v>
      </c>
      <c r="H1824" s="4" t="s">
        <v>607</v>
      </c>
      <c r="I1824" s="4" t="s">
        <v>607</v>
      </c>
      <c r="J1824" s="4" t="s">
        <v>607</v>
      </c>
      <c r="K1824" s="4" t="s">
        <v>607</v>
      </c>
      <c r="L1824" s="4" t="s">
        <v>607</v>
      </c>
      <c r="M1824" s="4" t="s">
        <v>607</v>
      </c>
      <c r="N1824" s="4" t="s">
        <v>607</v>
      </c>
      <c r="O1824" s="4"/>
      <c r="P1824" s="4"/>
      <c r="T1824" s="4"/>
    </row>
    <row r="1825">
      <c r="A1825" s="4" t="s">
        <v>5119</v>
      </c>
      <c r="B1825" s="4" t="s">
        <v>607</v>
      </c>
      <c r="C1825" s="6" t="s">
        <v>607</v>
      </c>
      <c r="D1825" s="6" t="s">
        <v>607</v>
      </c>
      <c r="E1825" s="6" t="s">
        <v>607</v>
      </c>
      <c r="F1825" s="6" t="s">
        <v>607</v>
      </c>
      <c r="G1825" s="4" t="s">
        <v>607</v>
      </c>
      <c r="H1825" s="4" t="s">
        <v>607</v>
      </c>
      <c r="I1825" s="4" t="s">
        <v>607</v>
      </c>
      <c r="J1825" s="4" t="s">
        <v>607</v>
      </c>
      <c r="K1825" s="4" t="s">
        <v>607</v>
      </c>
      <c r="L1825" s="4" t="s">
        <v>607</v>
      </c>
      <c r="M1825" s="4" t="s">
        <v>607</v>
      </c>
      <c r="N1825" s="4" t="s">
        <v>607</v>
      </c>
      <c r="O1825" s="4"/>
      <c r="P1825" s="4"/>
      <c r="T1825" s="4"/>
    </row>
    <row r="1826">
      <c r="A1826" s="4" t="s">
        <v>5120</v>
      </c>
      <c r="B1826" s="4" t="s">
        <v>607</v>
      </c>
      <c r="C1826" s="6" t="s">
        <v>607</v>
      </c>
      <c r="D1826" s="6" t="s">
        <v>607</v>
      </c>
      <c r="E1826" s="6" t="s">
        <v>607</v>
      </c>
      <c r="F1826" s="6" t="s">
        <v>607</v>
      </c>
      <c r="G1826" s="4" t="s">
        <v>607</v>
      </c>
      <c r="H1826" s="4" t="s">
        <v>607</v>
      </c>
      <c r="I1826" s="4" t="s">
        <v>607</v>
      </c>
      <c r="J1826" s="4" t="s">
        <v>607</v>
      </c>
      <c r="K1826" s="4" t="s">
        <v>607</v>
      </c>
      <c r="L1826" s="4" t="s">
        <v>607</v>
      </c>
      <c r="M1826" s="4" t="s">
        <v>607</v>
      </c>
      <c r="N1826" s="4" t="s">
        <v>607</v>
      </c>
      <c r="O1826" s="4"/>
      <c r="P1826" s="4"/>
      <c r="T1826" s="4"/>
    </row>
    <row r="1827">
      <c r="A1827" s="4" t="s">
        <v>5121</v>
      </c>
      <c r="B1827" s="4" t="s">
        <v>607</v>
      </c>
      <c r="C1827" s="6" t="s">
        <v>607</v>
      </c>
      <c r="D1827" s="6" t="s">
        <v>607</v>
      </c>
      <c r="E1827" s="6" t="s">
        <v>607</v>
      </c>
      <c r="F1827" s="6" t="s">
        <v>607</v>
      </c>
      <c r="G1827" s="4" t="s">
        <v>607</v>
      </c>
      <c r="H1827" s="4" t="s">
        <v>607</v>
      </c>
      <c r="I1827" s="4" t="s">
        <v>607</v>
      </c>
      <c r="J1827" s="4" t="s">
        <v>607</v>
      </c>
      <c r="K1827" s="4" t="s">
        <v>607</v>
      </c>
      <c r="L1827" s="4" t="s">
        <v>607</v>
      </c>
      <c r="M1827" s="4" t="s">
        <v>607</v>
      </c>
      <c r="N1827" s="4" t="s">
        <v>607</v>
      </c>
      <c r="O1827" s="4"/>
      <c r="P1827" s="4"/>
      <c r="T1827" s="4"/>
    </row>
    <row r="1828">
      <c r="A1828" s="4" t="s">
        <v>5122</v>
      </c>
      <c r="B1828" s="4" t="s">
        <v>607</v>
      </c>
      <c r="C1828" s="6" t="s">
        <v>607</v>
      </c>
      <c r="D1828" s="6" t="s">
        <v>607</v>
      </c>
      <c r="E1828" s="6" t="s">
        <v>607</v>
      </c>
      <c r="F1828" s="6" t="s">
        <v>607</v>
      </c>
      <c r="G1828" s="4" t="s">
        <v>607</v>
      </c>
      <c r="H1828" s="4" t="s">
        <v>607</v>
      </c>
      <c r="I1828" s="4" t="s">
        <v>607</v>
      </c>
      <c r="J1828" s="4" t="s">
        <v>607</v>
      </c>
      <c r="K1828" s="4" t="s">
        <v>607</v>
      </c>
      <c r="L1828" s="4" t="s">
        <v>607</v>
      </c>
      <c r="M1828" s="4" t="s">
        <v>607</v>
      </c>
      <c r="N1828" s="4" t="s">
        <v>607</v>
      </c>
      <c r="O1828" s="4"/>
      <c r="P1828" s="4"/>
      <c r="T1828" s="4"/>
    </row>
    <row r="1829">
      <c r="A1829" s="4" t="s">
        <v>5123</v>
      </c>
      <c r="B1829" s="4" t="s">
        <v>607</v>
      </c>
      <c r="C1829" s="6" t="s">
        <v>607</v>
      </c>
      <c r="D1829" s="6" t="s">
        <v>607</v>
      </c>
      <c r="E1829" s="6" t="s">
        <v>607</v>
      </c>
      <c r="F1829" s="6" t="s">
        <v>607</v>
      </c>
      <c r="G1829" s="4" t="s">
        <v>607</v>
      </c>
      <c r="H1829" s="4" t="s">
        <v>607</v>
      </c>
      <c r="I1829" s="4" t="s">
        <v>607</v>
      </c>
      <c r="J1829" s="4" t="s">
        <v>607</v>
      </c>
      <c r="K1829" s="4" t="s">
        <v>607</v>
      </c>
      <c r="L1829" s="4" t="s">
        <v>607</v>
      </c>
      <c r="M1829" s="4" t="s">
        <v>607</v>
      </c>
      <c r="N1829" s="4" t="s">
        <v>607</v>
      </c>
      <c r="O1829" s="4"/>
      <c r="P1829" s="4"/>
      <c r="T1829" s="4"/>
    </row>
    <row r="1830">
      <c r="A1830" s="4" t="s">
        <v>5124</v>
      </c>
      <c r="B1830" s="4" t="s">
        <v>607</v>
      </c>
      <c r="C1830" s="6" t="s">
        <v>607</v>
      </c>
      <c r="D1830" s="6" t="s">
        <v>607</v>
      </c>
      <c r="E1830" s="6" t="s">
        <v>607</v>
      </c>
      <c r="F1830" s="6" t="s">
        <v>607</v>
      </c>
      <c r="G1830" s="4" t="s">
        <v>607</v>
      </c>
      <c r="H1830" s="4" t="s">
        <v>607</v>
      </c>
      <c r="I1830" s="4" t="s">
        <v>607</v>
      </c>
      <c r="J1830" s="4" t="s">
        <v>607</v>
      </c>
      <c r="K1830" s="4" t="s">
        <v>607</v>
      </c>
      <c r="L1830" s="4" t="s">
        <v>607</v>
      </c>
      <c r="M1830" s="4" t="s">
        <v>607</v>
      </c>
      <c r="N1830" s="4" t="s">
        <v>607</v>
      </c>
      <c r="O1830" s="4"/>
      <c r="P1830" s="4"/>
      <c r="T1830" s="4"/>
    </row>
    <row r="1831">
      <c r="A1831" s="4" t="s">
        <v>5125</v>
      </c>
      <c r="B1831" s="4" t="s">
        <v>607</v>
      </c>
      <c r="C1831" s="6" t="s">
        <v>607</v>
      </c>
      <c r="D1831" s="6" t="s">
        <v>607</v>
      </c>
      <c r="E1831" s="6" t="s">
        <v>607</v>
      </c>
      <c r="F1831" s="6" t="s">
        <v>607</v>
      </c>
      <c r="G1831" s="4" t="s">
        <v>607</v>
      </c>
      <c r="H1831" s="4" t="s">
        <v>607</v>
      </c>
      <c r="I1831" s="4" t="s">
        <v>607</v>
      </c>
      <c r="J1831" s="4" t="s">
        <v>607</v>
      </c>
      <c r="K1831" s="4" t="s">
        <v>607</v>
      </c>
      <c r="L1831" s="4" t="s">
        <v>607</v>
      </c>
      <c r="M1831" s="4" t="s">
        <v>607</v>
      </c>
      <c r="N1831" s="4" t="s">
        <v>607</v>
      </c>
      <c r="O1831" s="4"/>
      <c r="P1831" s="4"/>
      <c r="T1831" s="4"/>
    </row>
    <row r="1832">
      <c r="A1832" s="4" t="s">
        <v>5126</v>
      </c>
      <c r="B1832" s="4" t="s">
        <v>607</v>
      </c>
      <c r="C1832" s="6" t="s">
        <v>607</v>
      </c>
      <c r="D1832" s="6" t="s">
        <v>607</v>
      </c>
      <c r="E1832" s="6" t="s">
        <v>607</v>
      </c>
      <c r="F1832" s="6" t="s">
        <v>607</v>
      </c>
      <c r="G1832" s="4" t="s">
        <v>607</v>
      </c>
      <c r="H1832" s="4" t="s">
        <v>607</v>
      </c>
      <c r="I1832" s="4" t="s">
        <v>607</v>
      </c>
      <c r="J1832" s="4" t="s">
        <v>607</v>
      </c>
      <c r="K1832" s="4" t="s">
        <v>607</v>
      </c>
      <c r="L1832" s="4" t="s">
        <v>607</v>
      </c>
      <c r="M1832" s="4" t="s">
        <v>607</v>
      </c>
      <c r="N1832" s="4" t="s">
        <v>607</v>
      </c>
      <c r="O1832" s="4"/>
      <c r="P1832" s="4"/>
      <c r="T1832" s="4"/>
    </row>
    <row r="1833">
      <c r="A1833" s="4" t="s">
        <v>5127</v>
      </c>
      <c r="B1833" s="4" t="s">
        <v>607</v>
      </c>
      <c r="C1833" s="6" t="s">
        <v>607</v>
      </c>
      <c r="D1833" s="6" t="s">
        <v>607</v>
      </c>
      <c r="E1833" s="6" t="s">
        <v>607</v>
      </c>
      <c r="F1833" s="6" t="s">
        <v>607</v>
      </c>
      <c r="G1833" s="4" t="s">
        <v>607</v>
      </c>
      <c r="H1833" s="4" t="s">
        <v>607</v>
      </c>
      <c r="I1833" s="4" t="s">
        <v>607</v>
      </c>
      <c r="J1833" s="4" t="s">
        <v>607</v>
      </c>
      <c r="K1833" s="4" t="s">
        <v>607</v>
      </c>
      <c r="L1833" s="4" t="s">
        <v>607</v>
      </c>
      <c r="M1833" s="4" t="s">
        <v>607</v>
      </c>
      <c r="N1833" s="4" t="s">
        <v>607</v>
      </c>
      <c r="O1833" s="4"/>
      <c r="P1833" s="4"/>
      <c r="T1833" s="4"/>
    </row>
    <row r="1834">
      <c r="A1834" s="4" t="s">
        <v>5128</v>
      </c>
      <c r="B1834" s="4" t="s">
        <v>607</v>
      </c>
      <c r="C1834" s="6" t="s">
        <v>607</v>
      </c>
      <c r="D1834" s="6" t="s">
        <v>607</v>
      </c>
      <c r="E1834" s="6" t="s">
        <v>607</v>
      </c>
      <c r="F1834" s="6" t="s">
        <v>607</v>
      </c>
      <c r="G1834" s="4" t="s">
        <v>607</v>
      </c>
      <c r="H1834" s="4" t="s">
        <v>607</v>
      </c>
      <c r="I1834" s="4" t="s">
        <v>607</v>
      </c>
      <c r="J1834" s="4" t="s">
        <v>607</v>
      </c>
      <c r="K1834" s="4" t="s">
        <v>607</v>
      </c>
      <c r="L1834" s="4" t="s">
        <v>607</v>
      </c>
      <c r="M1834" s="4" t="s">
        <v>607</v>
      </c>
      <c r="N1834" s="4" t="s">
        <v>607</v>
      </c>
      <c r="O1834" s="4"/>
      <c r="P1834" s="4"/>
      <c r="T1834" s="4"/>
    </row>
    <row r="1835">
      <c r="A1835" s="4" t="s">
        <v>5129</v>
      </c>
      <c r="B1835" s="4" t="s">
        <v>607</v>
      </c>
      <c r="C1835" s="6" t="s">
        <v>607</v>
      </c>
      <c r="D1835" s="6" t="s">
        <v>607</v>
      </c>
      <c r="E1835" s="6" t="s">
        <v>607</v>
      </c>
      <c r="F1835" s="6" t="s">
        <v>607</v>
      </c>
      <c r="G1835" s="4" t="s">
        <v>607</v>
      </c>
      <c r="H1835" s="4" t="s">
        <v>607</v>
      </c>
      <c r="I1835" s="4" t="s">
        <v>607</v>
      </c>
      <c r="J1835" s="4" t="s">
        <v>607</v>
      </c>
      <c r="K1835" s="4" t="s">
        <v>607</v>
      </c>
      <c r="L1835" s="4" t="s">
        <v>607</v>
      </c>
      <c r="M1835" s="4" t="s">
        <v>607</v>
      </c>
      <c r="N1835" s="4" t="s">
        <v>607</v>
      </c>
      <c r="O1835" s="4"/>
      <c r="P1835" s="4"/>
      <c r="T1835" s="4"/>
    </row>
    <row r="1836">
      <c r="A1836" s="4" t="s">
        <v>5130</v>
      </c>
      <c r="B1836" s="4" t="s">
        <v>607</v>
      </c>
      <c r="C1836" s="6" t="s">
        <v>607</v>
      </c>
      <c r="D1836" s="6" t="s">
        <v>607</v>
      </c>
      <c r="E1836" s="6" t="s">
        <v>607</v>
      </c>
      <c r="F1836" s="6" t="s">
        <v>607</v>
      </c>
      <c r="G1836" s="4" t="s">
        <v>607</v>
      </c>
      <c r="H1836" s="4" t="s">
        <v>607</v>
      </c>
      <c r="I1836" s="4" t="s">
        <v>607</v>
      </c>
      <c r="J1836" s="4" t="s">
        <v>607</v>
      </c>
      <c r="K1836" s="4" t="s">
        <v>607</v>
      </c>
      <c r="L1836" s="4" t="s">
        <v>607</v>
      </c>
      <c r="M1836" s="4" t="s">
        <v>607</v>
      </c>
      <c r="N1836" s="4" t="s">
        <v>607</v>
      </c>
      <c r="O1836" s="4"/>
      <c r="P1836" s="4"/>
      <c r="T1836" s="4"/>
    </row>
    <row r="1837">
      <c r="A1837" s="4" t="s">
        <v>5131</v>
      </c>
      <c r="B1837" s="4" t="s">
        <v>607</v>
      </c>
      <c r="C1837" s="6" t="s">
        <v>607</v>
      </c>
      <c r="D1837" s="6" t="s">
        <v>607</v>
      </c>
      <c r="E1837" s="6" t="s">
        <v>607</v>
      </c>
      <c r="F1837" s="6" t="s">
        <v>607</v>
      </c>
      <c r="G1837" s="4" t="s">
        <v>607</v>
      </c>
      <c r="H1837" s="4" t="s">
        <v>607</v>
      </c>
      <c r="I1837" s="4" t="s">
        <v>607</v>
      </c>
      <c r="J1837" s="4" t="s">
        <v>607</v>
      </c>
      <c r="K1837" s="4" t="s">
        <v>607</v>
      </c>
      <c r="L1837" s="4" t="s">
        <v>607</v>
      </c>
      <c r="M1837" s="4" t="s">
        <v>607</v>
      </c>
      <c r="N1837" s="4" t="s">
        <v>607</v>
      </c>
      <c r="O1837" s="4"/>
      <c r="P1837" s="4"/>
      <c r="T1837" s="4"/>
    </row>
    <row r="1838">
      <c r="A1838" s="4" t="s">
        <v>5132</v>
      </c>
      <c r="B1838" s="4" t="s">
        <v>607</v>
      </c>
      <c r="C1838" s="6" t="s">
        <v>607</v>
      </c>
      <c r="D1838" s="6" t="s">
        <v>607</v>
      </c>
      <c r="E1838" s="6" t="s">
        <v>607</v>
      </c>
      <c r="F1838" s="6" t="s">
        <v>607</v>
      </c>
      <c r="G1838" s="4" t="s">
        <v>607</v>
      </c>
      <c r="H1838" s="4" t="s">
        <v>607</v>
      </c>
      <c r="I1838" s="4" t="s">
        <v>607</v>
      </c>
      <c r="J1838" s="4" t="s">
        <v>607</v>
      </c>
      <c r="K1838" s="4" t="s">
        <v>607</v>
      </c>
      <c r="L1838" s="4" t="s">
        <v>607</v>
      </c>
      <c r="M1838" s="4" t="s">
        <v>607</v>
      </c>
      <c r="N1838" s="4" t="s">
        <v>607</v>
      </c>
      <c r="O1838" s="4"/>
      <c r="P1838" s="4"/>
      <c r="T1838" s="4"/>
    </row>
    <row r="1839">
      <c r="A1839" s="4" t="s">
        <v>5133</v>
      </c>
      <c r="B1839" s="4" t="s">
        <v>607</v>
      </c>
      <c r="C1839" s="6" t="s">
        <v>607</v>
      </c>
      <c r="D1839" s="6" t="s">
        <v>607</v>
      </c>
      <c r="E1839" s="6" t="s">
        <v>607</v>
      </c>
      <c r="F1839" s="6" t="s">
        <v>607</v>
      </c>
      <c r="G1839" s="4" t="s">
        <v>607</v>
      </c>
      <c r="H1839" s="4" t="s">
        <v>607</v>
      </c>
      <c r="I1839" s="4" t="s">
        <v>607</v>
      </c>
      <c r="J1839" s="4" t="s">
        <v>607</v>
      </c>
      <c r="K1839" s="4" t="s">
        <v>607</v>
      </c>
      <c r="L1839" s="4" t="s">
        <v>607</v>
      </c>
      <c r="M1839" s="4" t="s">
        <v>607</v>
      </c>
      <c r="N1839" s="4" t="s">
        <v>607</v>
      </c>
      <c r="O1839" s="4"/>
      <c r="P1839" s="4"/>
      <c r="T1839" s="4"/>
    </row>
    <row r="1840">
      <c r="A1840" s="4" t="s">
        <v>5134</v>
      </c>
      <c r="B1840" s="4" t="s">
        <v>607</v>
      </c>
      <c r="C1840" s="6" t="s">
        <v>607</v>
      </c>
      <c r="D1840" s="6" t="s">
        <v>607</v>
      </c>
      <c r="E1840" s="6" t="s">
        <v>607</v>
      </c>
      <c r="F1840" s="6" t="s">
        <v>607</v>
      </c>
      <c r="G1840" s="4" t="s">
        <v>607</v>
      </c>
      <c r="H1840" s="4" t="s">
        <v>607</v>
      </c>
      <c r="I1840" s="4" t="s">
        <v>607</v>
      </c>
      <c r="J1840" s="4" t="s">
        <v>607</v>
      </c>
      <c r="K1840" s="4" t="s">
        <v>607</v>
      </c>
      <c r="L1840" s="4" t="s">
        <v>607</v>
      </c>
      <c r="M1840" s="4" t="s">
        <v>607</v>
      </c>
      <c r="N1840" s="4" t="s">
        <v>607</v>
      </c>
      <c r="O1840" s="4"/>
      <c r="P1840" s="4"/>
      <c r="T1840" s="4"/>
    </row>
    <row r="1841">
      <c r="A1841" s="4" t="s">
        <v>5135</v>
      </c>
      <c r="B1841" s="4" t="s">
        <v>607</v>
      </c>
      <c r="C1841" s="6" t="s">
        <v>607</v>
      </c>
      <c r="D1841" s="6" t="s">
        <v>607</v>
      </c>
      <c r="E1841" s="6" t="s">
        <v>607</v>
      </c>
      <c r="F1841" s="6" t="s">
        <v>607</v>
      </c>
      <c r="G1841" s="4" t="s">
        <v>607</v>
      </c>
      <c r="H1841" s="4" t="s">
        <v>607</v>
      </c>
      <c r="I1841" s="4" t="s">
        <v>607</v>
      </c>
      <c r="J1841" s="4" t="s">
        <v>607</v>
      </c>
      <c r="K1841" s="4" t="s">
        <v>607</v>
      </c>
      <c r="L1841" s="4" t="s">
        <v>607</v>
      </c>
      <c r="M1841" s="4" t="s">
        <v>607</v>
      </c>
      <c r="N1841" s="4" t="s">
        <v>607</v>
      </c>
      <c r="O1841" s="4"/>
      <c r="P1841" s="4"/>
      <c r="T1841" s="4"/>
    </row>
    <row r="1842">
      <c r="A1842" s="4" t="s">
        <v>5136</v>
      </c>
      <c r="B1842" s="4" t="s">
        <v>607</v>
      </c>
      <c r="C1842" s="6" t="s">
        <v>607</v>
      </c>
      <c r="D1842" s="6" t="s">
        <v>607</v>
      </c>
      <c r="E1842" s="6" t="s">
        <v>607</v>
      </c>
      <c r="F1842" s="6" t="s">
        <v>607</v>
      </c>
      <c r="G1842" s="4" t="s">
        <v>607</v>
      </c>
      <c r="H1842" s="4" t="s">
        <v>607</v>
      </c>
      <c r="I1842" s="4" t="s">
        <v>607</v>
      </c>
      <c r="J1842" s="4" t="s">
        <v>607</v>
      </c>
      <c r="K1842" s="4" t="s">
        <v>607</v>
      </c>
      <c r="L1842" s="4" t="s">
        <v>607</v>
      </c>
      <c r="M1842" s="4" t="s">
        <v>607</v>
      </c>
      <c r="N1842" s="4" t="s">
        <v>607</v>
      </c>
      <c r="O1842" s="4"/>
      <c r="P1842" s="4"/>
      <c r="T1842" s="4"/>
    </row>
    <row r="1843">
      <c r="A1843" s="4" t="s">
        <v>5137</v>
      </c>
      <c r="B1843" s="4" t="s">
        <v>607</v>
      </c>
      <c r="C1843" s="6" t="s">
        <v>607</v>
      </c>
      <c r="D1843" s="6" t="s">
        <v>607</v>
      </c>
      <c r="E1843" s="6" t="s">
        <v>607</v>
      </c>
      <c r="F1843" s="6" t="s">
        <v>607</v>
      </c>
      <c r="G1843" s="4" t="s">
        <v>607</v>
      </c>
      <c r="H1843" s="4" t="s">
        <v>607</v>
      </c>
      <c r="I1843" s="4" t="s">
        <v>607</v>
      </c>
      <c r="J1843" s="4" t="s">
        <v>607</v>
      </c>
      <c r="K1843" s="4" t="s">
        <v>607</v>
      </c>
      <c r="L1843" s="4" t="s">
        <v>607</v>
      </c>
      <c r="M1843" s="4" t="s">
        <v>607</v>
      </c>
      <c r="N1843" s="4" t="s">
        <v>607</v>
      </c>
      <c r="O1843" s="4"/>
      <c r="P1843" s="4"/>
      <c r="T1843" s="4"/>
    </row>
    <row r="1844">
      <c r="A1844" s="4" t="s">
        <v>5138</v>
      </c>
      <c r="B1844" s="4" t="s">
        <v>607</v>
      </c>
      <c r="C1844" s="6" t="s">
        <v>607</v>
      </c>
      <c r="D1844" s="6" t="s">
        <v>607</v>
      </c>
      <c r="E1844" s="6" t="s">
        <v>607</v>
      </c>
      <c r="F1844" s="6" t="s">
        <v>607</v>
      </c>
      <c r="G1844" s="4" t="s">
        <v>607</v>
      </c>
      <c r="H1844" s="4" t="s">
        <v>607</v>
      </c>
      <c r="I1844" s="4" t="s">
        <v>607</v>
      </c>
      <c r="J1844" s="4" t="s">
        <v>607</v>
      </c>
      <c r="K1844" s="4" t="s">
        <v>607</v>
      </c>
      <c r="L1844" s="4" t="s">
        <v>607</v>
      </c>
      <c r="M1844" s="4" t="s">
        <v>607</v>
      </c>
      <c r="N1844" s="4" t="s">
        <v>607</v>
      </c>
      <c r="O1844" s="4"/>
      <c r="P1844" s="4"/>
      <c r="T1844" s="4"/>
    </row>
    <row r="1845">
      <c r="A1845" s="4" t="s">
        <v>5139</v>
      </c>
      <c r="B1845" s="4" t="s">
        <v>607</v>
      </c>
      <c r="C1845" s="6" t="s">
        <v>607</v>
      </c>
      <c r="D1845" s="6" t="s">
        <v>607</v>
      </c>
      <c r="E1845" s="6" t="s">
        <v>607</v>
      </c>
      <c r="F1845" s="6" t="s">
        <v>607</v>
      </c>
      <c r="G1845" s="4" t="s">
        <v>607</v>
      </c>
      <c r="H1845" s="4" t="s">
        <v>607</v>
      </c>
      <c r="I1845" s="4" t="s">
        <v>607</v>
      </c>
      <c r="J1845" s="4" t="s">
        <v>607</v>
      </c>
      <c r="K1845" s="4" t="s">
        <v>607</v>
      </c>
      <c r="L1845" s="4" t="s">
        <v>607</v>
      </c>
      <c r="M1845" s="4" t="s">
        <v>607</v>
      </c>
      <c r="N1845" s="4" t="s">
        <v>607</v>
      </c>
      <c r="O1845" s="4"/>
      <c r="P1845" s="4"/>
      <c r="T1845" s="4"/>
    </row>
    <row r="1846">
      <c r="A1846" s="4" t="s">
        <v>5140</v>
      </c>
      <c r="B1846" s="4" t="s">
        <v>607</v>
      </c>
      <c r="C1846" s="6" t="s">
        <v>607</v>
      </c>
      <c r="D1846" s="6" t="s">
        <v>607</v>
      </c>
      <c r="E1846" s="6" t="s">
        <v>607</v>
      </c>
      <c r="F1846" s="6" t="s">
        <v>607</v>
      </c>
      <c r="G1846" s="4" t="s">
        <v>607</v>
      </c>
      <c r="H1846" s="4" t="s">
        <v>607</v>
      </c>
      <c r="I1846" s="4" t="s">
        <v>607</v>
      </c>
      <c r="J1846" s="4" t="s">
        <v>607</v>
      </c>
      <c r="K1846" s="4" t="s">
        <v>607</v>
      </c>
      <c r="L1846" s="4" t="s">
        <v>607</v>
      </c>
      <c r="M1846" s="4" t="s">
        <v>607</v>
      </c>
      <c r="N1846" s="4" t="s">
        <v>607</v>
      </c>
      <c r="O1846" s="4"/>
      <c r="P1846" s="4"/>
      <c r="T1846" s="4"/>
    </row>
    <row r="1847">
      <c r="A1847" s="4" t="s">
        <v>5141</v>
      </c>
      <c r="B1847" s="4" t="s">
        <v>607</v>
      </c>
      <c r="C1847" s="6" t="s">
        <v>607</v>
      </c>
      <c r="D1847" s="6" t="s">
        <v>607</v>
      </c>
      <c r="E1847" s="6" t="s">
        <v>607</v>
      </c>
      <c r="F1847" s="6" t="s">
        <v>607</v>
      </c>
      <c r="G1847" s="4" t="s">
        <v>607</v>
      </c>
      <c r="H1847" s="4" t="s">
        <v>607</v>
      </c>
      <c r="I1847" s="4" t="s">
        <v>607</v>
      </c>
      <c r="J1847" s="4" t="s">
        <v>607</v>
      </c>
      <c r="K1847" s="4" t="s">
        <v>607</v>
      </c>
      <c r="L1847" s="4" t="s">
        <v>607</v>
      </c>
      <c r="M1847" s="4" t="s">
        <v>607</v>
      </c>
      <c r="N1847" s="4" t="s">
        <v>607</v>
      </c>
      <c r="O1847" s="4"/>
      <c r="P1847" s="4"/>
      <c r="T1847" s="4"/>
    </row>
    <row r="1848">
      <c r="A1848" s="4" t="s">
        <v>5142</v>
      </c>
      <c r="B1848" s="4" t="s">
        <v>607</v>
      </c>
      <c r="C1848" s="6" t="s">
        <v>607</v>
      </c>
      <c r="D1848" s="6" t="s">
        <v>607</v>
      </c>
      <c r="E1848" s="6" t="s">
        <v>607</v>
      </c>
      <c r="F1848" s="6" t="s">
        <v>607</v>
      </c>
      <c r="G1848" s="4" t="s">
        <v>607</v>
      </c>
      <c r="H1848" s="4" t="s">
        <v>607</v>
      </c>
      <c r="I1848" s="4" t="s">
        <v>607</v>
      </c>
      <c r="J1848" s="4" t="s">
        <v>607</v>
      </c>
      <c r="K1848" s="4" t="s">
        <v>607</v>
      </c>
      <c r="L1848" s="4" t="s">
        <v>607</v>
      </c>
      <c r="M1848" s="4" t="s">
        <v>607</v>
      </c>
      <c r="N1848" s="4" t="s">
        <v>607</v>
      </c>
      <c r="O1848" s="4"/>
      <c r="P1848" s="4"/>
      <c r="T1848" s="4"/>
    </row>
    <row r="1849">
      <c r="A1849" s="4" t="s">
        <v>5143</v>
      </c>
      <c r="B1849" s="4" t="s">
        <v>607</v>
      </c>
      <c r="C1849" s="6" t="s">
        <v>607</v>
      </c>
      <c r="D1849" s="6" t="s">
        <v>607</v>
      </c>
      <c r="E1849" s="6" t="s">
        <v>607</v>
      </c>
      <c r="F1849" s="6" t="s">
        <v>607</v>
      </c>
      <c r="G1849" s="4" t="s">
        <v>607</v>
      </c>
      <c r="H1849" s="4" t="s">
        <v>607</v>
      </c>
      <c r="I1849" s="4" t="s">
        <v>607</v>
      </c>
      <c r="J1849" s="4" t="s">
        <v>607</v>
      </c>
      <c r="K1849" s="4" t="s">
        <v>607</v>
      </c>
      <c r="L1849" s="4" t="s">
        <v>607</v>
      </c>
      <c r="M1849" s="4" t="s">
        <v>607</v>
      </c>
      <c r="N1849" s="4" t="s">
        <v>607</v>
      </c>
      <c r="O1849" s="4"/>
      <c r="P1849" s="4"/>
      <c r="T1849" s="4"/>
    </row>
    <row r="1850">
      <c r="A1850" s="4" t="s">
        <v>5144</v>
      </c>
      <c r="B1850" s="4" t="s">
        <v>607</v>
      </c>
      <c r="C1850" s="6" t="s">
        <v>607</v>
      </c>
      <c r="D1850" s="6" t="s">
        <v>607</v>
      </c>
      <c r="E1850" s="6" t="s">
        <v>607</v>
      </c>
      <c r="F1850" s="6" t="s">
        <v>607</v>
      </c>
      <c r="G1850" s="4" t="s">
        <v>607</v>
      </c>
      <c r="H1850" s="4" t="s">
        <v>607</v>
      </c>
      <c r="I1850" s="4" t="s">
        <v>607</v>
      </c>
      <c r="J1850" s="4" t="s">
        <v>607</v>
      </c>
      <c r="K1850" s="4" t="s">
        <v>607</v>
      </c>
      <c r="L1850" s="4" t="s">
        <v>607</v>
      </c>
      <c r="M1850" s="4" t="s">
        <v>607</v>
      </c>
      <c r="N1850" s="4" t="s">
        <v>607</v>
      </c>
      <c r="O1850" s="4"/>
      <c r="P1850" s="4"/>
      <c r="T1850" s="4"/>
    </row>
    <row r="1851">
      <c r="A1851" s="4" t="s">
        <v>5145</v>
      </c>
      <c r="B1851" s="4" t="s">
        <v>607</v>
      </c>
      <c r="C1851" s="6" t="s">
        <v>607</v>
      </c>
      <c r="D1851" s="6" t="s">
        <v>607</v>
      </c>
      <c r="E1851" s="6" t="s">
        <v>607</v>
      </c>
      <c r="F1851" s="6" t="s">
        <v>607</v>
      </c>
      <c r="G1851" s="4" t="s">
        <v>607</v>
      </c>
      <c r="H1851" s="4" t="s">
        <v>607</v>
      </c>
      <c r="I1851" s="4" t="s">
        <v>607</v>
      </c>
      <c r="J1851" s="4" t="s">
        <v>607</v>
      </c>
      <c r="K1851" s="4" t="s">
        <v>607</v>
      </c>
      <c r="L1851" s="4" t="s">
        <v>607</v>
      </c>
      <c r="M1851" s="4" t="s">
        <v>607</v>
      </c>
      <c r="N1851" s="4" t="s">
        <v>607</v>
      </c>
      <c r="O1851" s="4"/>
      <c r="P1851" s="4"/>
      <c r="T1851" s="4"/>
    </row>
    <row r="1852">
      <c r="A1852" s="4" t="s">
        <v>5146</v>
      </c>
      <c r="B1852" s="4" t="s">
        <v>607</v>
      </c>
      <c r="C1852" s="6" t="s">
        <v>607</v>
      </c>
      <c r="D1852" s="6" t="s">
        <v>607</v>
      </c>
      <c r="E1852" s="6" t="s">
        <v>607</v>
      </c>
      <c r="F1852" s="6" t="s">
        <v>607</v>
      </c>
      <c r="G1852" s="4" t="s">
        <v>607</v>
      </c>
      <c r="H1852" s="4" t="s">
        <v>607</v>
      </c>
      <c r="I1852" s="4" t="s">
        <v>607</v>
      </c>
      <c r="J1852" s="4" t="s">
        <v>607</v>
      </c>
      <c r="K1852" s="4" t="s">
        <v>607</v>
      </c>
      <c r="L1852" s="4" t="s">
        <v>607</v>
      </c>
      <c r="M1852" s="4" t="s">
        <v>607</v>
      </c>
      <c r="N1852" s="4" t="s">
        <v>607</v>
      </c>
      <c r="O1852" s="4"/>
      <c r="P1852" s="4"/>
      <c r="T1852" s="4"/>
    </row>
    <row r="1853">
      <c r="A1853" s="4" t="s">
        <v>5147</v>
      </c>
      <c r="B1853" s="4" t="s">
        <v>607</v>
      </c>
      <c r="C1853" s="6" t="s">
        <v>607</v>
      </c>
      <c r="D1853" s="6" t="s">
        <v>607</v>
      </c>
      <c r="E1853" s="6" t="s">
        <v>607</v>
      </c>
      <c r="F1853" s="6" t="s">
        <v>607</v>
      </c>
      <c r="G1853" s="4" t="s">
        <v>607</v>
      </c>
      <c r="H1853" s="4" t="s">
        <v>607</v>
      </c>
      <c r="I1853" s="4" t="s">
        <v>607</v>
      </c>
      <c r="J1853" s="4" t="s">
        <v>607</v>
      </c>
      <c r="K1853" s="4" t="s">
        <v>607</v>
      </c>
      <c r="L1853" s="4" t="s">
        <v>607</v>
      </c>
      <c r="M1853" s="4" t="s">
        <v>607</v>
      </c>
      <c r="N1853" s="4" t="s">
        <v>607</v>
      </c>
      <c r="O1853" s="4"/>
      <c r="P1853" s="4"/>
      <c r="T1853" s="4"/>
    </row>
    <row r="1854">
      <c r="A1854" s="4" t="s">
        <v>5148</v>
      </c>
      <c r="B1854" s="4" t="s">
        <v>607</v>
      </c>
      <c r="C1854" s="6" t="s">
        <v>607</v>
      </c>
      <c r="D1854" s="6" t="s">
        <v>607</v>
      </c>
      <c r="E1854" s="6" t="s">
        <v>607</v>
      </c>
      <c r="F1854" s="6" t="s">
        <v>607</v>
      </c>
      <c r="G1854" s="4" t="s">
        <v>607</v>
      </c>
      <c r="H1854" s="4" t="s">
        <v>607</v>
      </c>
      <c r="I1854" s="4" t="s">
        <v>607</v>
      </c>
      <c r="J1854" s="4" t="s">
        <v>607</v>
      </c>
      <c r="K1854" s="4" t="s">
        <v>607</v>
      </c>
      <c r="L1854" s="4" t="s">
        <v>607</v>
      </c>
      <c r="M1854" s="4" t="s">
        <v>607</v>
      </c>
      <c r="N1854" s="4" t="s">
        <v>607</v>
      </c>
      <c r="O1854" s="4"/>
      <c r="P1854" s="4"/>
      <c r="T1854" s="4"/>
    </row>
    <row r="1855">
      <c r="A1855" s="4" t="s">
        <v>5149</v>
      </c>
      <c r="B1855" s="4" t="s">
        <v>607</v>
      </c>
      <c r="C1855" s="6" t="s">
        <v>607</v>
      </c>
      <c r="D1855" s="6" t="s">
        <v>607</v>
      </c>
      <c r="E1855" s="6" t="s">
        <v>607</v>
      </c>
      <c r="F1855" s="6" t="s">
        <v>607</v>
      </c>
      <c r="G1855" s="4" t="s">
        <v>607</v>
      </c>
      <c r="H1855" s="4" t="s">
        <v>607</v>
      </c>
      <c r="I1855" s="4" t="s">
        <v>607</v>
      </c>
      <c r="J1855" s="4" t="s">
        <v>607</v>
      </c>
      <c r="K1855" s="4" t="s">
        <v>607</v>
      </c>
      <c r="L1855" s="4" t="s">
        <v>607</v>
      </c>
      <c r="M1855" s="4" t="s">
        <v>607</v>
      </c>
      <c r="N1855" s="4" t="s">
        <v>607</v>
      </c>
      <c r="O1855" s="4"/>
      <c r="P1855" s="4"/>
      <c r="T1855" s="4"/>
    </row>
    <row r="1856">
      <c r="A1856" s="4" t="s">
        <v>5150</v>
      </c>
      <c r="B1856" s="4" t="s">
        <v>607</v>
      </c>
      <c r="C1856" s="6" t="s">
        <v>607</v>
      </c>
      <c r="D1856" s="6" t="s">
        <v>607</v>
      </c>
      <c r="E1856" s="6" t="s">
        <v>607</v>
      </c>
      <c r="F1856" s="6" t="s">
        <v>607</v>
      </c>
      <c r="G1856" s="4" t="s">
        <v>607</v>
      </c>
      <c r="H1856" s="4" t="s">
        <v>607</v>
      </c>
      <c r="I1856" s="4" t="s">
        <v>607</v>
      </c>
      <c r="J1856" s="4" t="s">
        <v>607</v>
      </c>
      <c r="K1856" s="4" t="s">
        <v>607</v>
      </c>
      <c r="L1856" s="4" t="s">
        <v>607</v>
      </c>
      <c r="M1856" s="4" t="s">
        <v>607</v>
      </c>
      <c r="N1856" s="4" t="s">
        <v>607</v>
      </c>
      <c r="O1856" s="4"/>
      <c r="P1856" s="4"/>
      <c r="T1856" s="4"/>
    </row>
    <row r="1857">
      <c r="A1857" s="4" t="s">
        <v>5151</v>
      </c>
      <c r="B1857" s="4" t="s">
        <v>607</v>
      </c>
      <c r="C1857" s="6" t="s">
        <v>607</v>
      </c>
      <c r="D1857" s="6" t="s">
        <v>607</v>
      </c>
      <c r="E1857" s="6" t="s">
        <v>607</v>
      </c>
      <c r="F1857" s="6" t="s">
        <v>607</v>
      </c>
      <c r="G1857" s="4" t="s">
        <v>607</v>
      </c>
      <c r="H1857" s="4" t="s">
        <v>607</v>
      </c>
      <c r="I1857" s="4" t="s">
        <v>607</v>
      </c>
      <c r="J1857" s="4" t="s">
        <v>607</v>
      </c>
      <c r="K1857" s="4" t="s">
        <v>607</v>
      </c>
      <c r="L1857" s="4" t="s">
        <v>607</v>
      </c>
      <c r="M1857" s="4" t="s">
        <v>607</v>
      </c>
      <c r="N1857" s="4" t="s">
        <v>607</v>
      </c>
      <c r="O1857" s="4"/>
      <c r="P1857" s="4"/>
      <c r="T1857" s="4"/>
    </row>
    <row r="1858">
      <c r="A1858" s="4" t="s">
        <v>5152</v>
      </c>
      <c r="B1858" s="4" t="s">
        <v>607</v>
      </c>
      <c r="C1858" s="6" t="s">
        <v>607</v>
      </c>
      <c r="D1858" s="6" t="s">
        <v>607</v>
      </c>
      <c r="E1858" s="6" t="s">
        <v>607</v>
      </c>
      <c r="F1858" s="6" t="s">
        <v>607</v>
      </c>
      <c r="G1858" s="4" t="s">
        <v>607</v>
      </c>
      <c r="H1858" s="4" t="s">
        <v>607</v>
      </c>
      <c r="I1858" s="4" t="s">
        <v>607</v>
      </c>
      <c r="J1858" s="4" t="s">
        <v>607</v>
      </c>
      <c r="K1858" s="4" t="s">
        <v>607</v>
      </c>
      <c r="L1858" s="4" t="s">
        <v>607</v>
      </c>
      <c r="M1858" s="4" t="s">
        <v>607</v>
      </c>
      <c r="N1858" s="4" t="s">
        <v>607</v>
      </c>
      <c r="O1858" s="4"/>
      <c r="P1858" s="4"/>
      <c r="T1858" s="4"/>
    </row>
    <row r="1859">
      <c r="A1859" s="4" t="s">
        <v>5153</v>
      </c>
      <c r="B1859" s="4" t="s">
        <v>607</v>
      </c>
      <c r="C1859" s="6" t="s">
        <v>607</v>
      </c>
      <c r="D1859" s="6" t="s">
        <v>607</v>
      </c>
      <c r="E1859" s="6" t="s">
        <v>607</v>
      </c>
      <c r="F1859" s="6" t="s">
        <v>607</v>
      </c>
      <c r="G1859" s="4" t="s">
        <v>607</v>
      </c>
      <c r="H1859" s="4" t="s">
        <v>607</v>
      </c>
      <c r="I1859" s="4" t="s">
        <v>607</v>
      </c>
      <c r="J1859" s="4" t="s">
        <v>607</v>
      </c>
      <c r="K1859" s="4" t="s">
        <v>607</v>
      </c>
      <c r="L1859" s="4" t="s">
        <v>607</v>
      </c>
      <c r="M1859" s="4" t="s">
        <v>607</v>
      </c>
      <c r="N1859" s="4" t="s">
        <v>607</v>
      </c>
      <c r="O1859" s="4"/>
      <c r="P1859" s="4"/>
      <c r="T1859" s="4"/>
    </row>
    <row r="1860">
      <c r="A1860" s="4" t="s">
        <v>5154</v>
      </c>
      <c r="B1860" s="4" t="s">
        <v>607</v>
      </c>
      <c r="C1860" s="6" t="s">
        <v>607</v>
      </c>
      <c r="D1860" s="6" t="s">
        <v>607</v>
      </c>
      <c r="E1860" s="6" t="s">
        <v>607</v>
      </c>
      <c r="F1860" s="6" t="s">
        <v>607</v>
      </c>
      <c r="G1860" s="4" t="s">
        <v>607</v>
      </c>
      <c r="H1860" s="4" t="s">
        <v>607</v>
      </c>
      <c r="I1860" s="4" t="s">
        <v>607</v>
      </c>
      <c r="J1860" s="4" t="s">
        <v>607</v>
      </c>
      <c r="K1860" s="4" t="s">
        <v>607</v>
      </c>
      <c r="L1860" s="4" t="s">
        <v>607</v>
      </c>
      <c r="M1860" s="4" t="s">
        <v>607</v>
      </c>
      <c r="N1860" s="4" t="s">
        <v>607</v>
      </c>
      <c r="O1860" s="4"/>
      <c r="P1860" s="4"/>
      <c r="T1860" s="4"/>
    </row>
    <row r="1861">
      <c r="A1861" s="4" t="s">
        <v>5155</v>
      </c>
      <c r="B1861" s="4" t="s">
        <v>607</v>
      </c>
      <c r="C1861" s="6" t="s">
        <v>607</v>
      </c>
      <c r="D1861" s="6" t="s">
        <v>607</v>
      </c>
      <c r="E1861" s="6" t="s">
        <v>607</v>
      </c>
      <c r="F1861" s="6" t="s">
        <v>607</v>
      </c>
      <c r="G1861" s="4" t="s">
        <v>607</v>
      </c>
      <c r="H1861" s="4" t="s">
        <v>607</v>
      </c>
      <c r="I1861" s="4" t="s">
        <v>607</v>
      </c>
      <c r="J1861" s="4" t="s">
        <v>607</v>
      </c>
      <c r="K1861" s="4" t="s">
        <v>607</v>
      </c>
      <c r="L1861" s="4" t="s">
        <v>607</v>
      </c>
      <c r="M1861" s="4" t="s">
        <v>607</v>
      </c>
      <c r="N1861" s="4" t="s">
        <v>607</v>
      </c>
      <c r="O1861" s="4"/>
      <c r="P1861" s="4"/>
      <c r="T1861" s="4"/>
    </row>
    <row r="1862">
      <c r="A1862" s="4" t="s">
        <v>5156</v>
      </c>
      <c r="B1862" s="4" t="s">
        <v>607</v>
      </c>
      <c r="C1862" s="6" t="s">
        <v>607</v>
      </c>
      <c r="D1862" s="6" t="s">
        <v>607</v>
      </c>
      <c r="E1862" s="6" t="s">
        <v>607</v>
      </c>
      <c r="F1862" s="6" t="s">
        <v>607</v>
      </c>
      <c r="G1862" s="4" t="s">
        <v>607</v>
      </c>
      <c r="H1862" s="4" t="s">
        <v>607</v>
      </c>
      <c r="I1862" s="4" t="s">
        <v>607</v>
      </c>
      <c r="J1862" s="4" t="s">
        <v>607</v>
      </c>
      <c r="K1862" s="4" t="s">
        <v>607</v>
      </c>
      <c r="L1862" s="4" t="s">
        <v>607</v>
      </c>
      <c r="M1862" s="4" t="s">
        <v>607</v>
      </c>
      <c r="N1862" s="4" t="s">
        <v>607</v>
      </c>
      <c r="O1862" s="4"/>
      <c r="P1862" s="4"/>
      <c r="T1862" s="4"/>
    </row>
    <row r="1863">
      <c r="A1863" s="4" t="s">
        <v>5157</v>
      </c>
      <c r="B1863" s="4" t="s">
        <v>607</v>
      </c>
      <c r="C1863" s="6" t="s">
        <v>607</v>
      </c>
      <c r="D1863" s="6" t="s">
        <v>607</v>
      </c>
      <c r="E1863" s="6" t="s">
        <v>607</v>
      </c>
      <c r="F1863" s="6" t="s">
        <v>607</v>
      </c>
      <c r="G1863" s="4" t="s">
        <v>607</v>
      </c>
      <c r="H1863" s="4" t="s">
        <v>607</v>
      </c>
      <c r="I1863" s="4" t="s">
        <v>607</v>
      </c>
      <c r="J1863" s="4" t="s">
        <v>607</v>
      </c>
      <c r="K1863" s="4" t="s">
        <v>607</v>
      </c>
      <c r="L1863" s="4" t="s">
        <v>607</v>
      </c>
      <c r="M1863" s="4" t="s">
        <v>607</v>
      </c>
      <c r="N1863" s="4" t="s">
        <v>607</v>
      </c>
      <c r="O1863" s="4"/>
      <c r="P1863" s="4"/>
      <c r="T1863" s="4"/>
    </row>
    <row r="1864">
      <c r="A1864" s="4" t="s">
        <v>5158</v>
      </c>
      <c r="B1864" s="4" t="s">
        <v>607</v>
      </c>
      <c r="C1864" s="6" t="s">
        <v>607</v>
      </c>
      <c r="D1864" s="6" t="s">
        <v>607</v>
      </c>
      <c r="E1864" s="6" t="s">
        <v>607</v>
      </c>
      <c r="F1864" s="6" t="s">
        <v>607</v>
      </c>
      <c r="G1864" s="4" t="s">
        <v>607</v>
      </c>
      <c r="H1864" s="4" t="s">
        <v>607</v>
      </c>
      <c r="I1864" s="4" t="s">
        <v>607</v>
      </c>
      <c r="J1864" s="4" t="s">
        <v>607</v>
      </c>
      <c r="K1864" s="4" t="s">
        <v>607</v>
      </c>
      <c r="L1864" s="4" t="s">
        <v>607</v>
      </c>
      <c r="M1864" s="4" t="s">
        <v>607</v>
      </c>
      <c r="N1864" s="4" t="s">
        <v>607</v>
      </c>
      <c r="O1864" s="4"/>
      <c r="P1864" s="4"/>
      <c r="T1864" s="4"/>
    </row>
    <row r="1865">
      <c r="A1865" s="4" t="s">
        <v>5159</v>
      </c>
      <c r="B1865" s="4" t="s">
        <v>607</v>
      </c>
      <c r="C1865" s="6" t="s">
        <v>607</v>
      </c>
      <c r="D1865" s="6" t="s">
        <v>607</v>
      </c>
      <c r="E1865" s="6" t="s">
        <v>607</v>
      </c>
      <c r="F1865" s="6" t="s">
        <v>607</v>
      </c>
      <c r="G1865" s="4" t="s">
        <v>607</v>
      </c>
      <c r="H1865" s="4" t="s">
        <v>607</v>
      </c>
      <c r="I1865" s="4" t="s">
        <v>607</v>
      </c>
      <c r="J1865" s="4" t="s">
        <v>607</v>
      </c>
      <c r="K1865" s="4" t="s">
        <v>607</v>
      </c>
      <c r="L1865" s="4" t="s">
        <v>607</v>
      </c>
      <c r="M1865" s="4" t="s">
        <v>607</v>
      </c>
      <c r="N1865" s="4" t="s">
        <v>607</v>
      </c>
      <c r="O1865" s="4"/>
      <c r="P1865" s="4"/>
      <c r="T1865" s="4"/>
    </row>
    <row r="1866">
      <c r="A1866" s="4" t="s">
        <v>5160</v>
      </c>
      <c r="B1866" s="4" t="s">
        <v>607</v>
      </c>
      <c r="C1866" s="6" t="s">
        <v>607</v>
      </c>
      <c r="D1866" s="6" t="s">
        <v>607</v>
      </c>
      <c r="E1866" s="6" t="s">
        <v>607</v>
      </c>
      <c r="F1866" s="6" t="s">
        <v>607</v>
      </c>
      <c r="G1866" s="4" t="s">
        <v>607</v>
      </c>
      <c r="H1866" s="4" t="s">
        <v>607</v>
      </c>
      <c r="I1866" s="4" t="s">
        <v>607</v>
      </c>
      <c r="J1866" s="4" t="s">
        <v>607</v>
      </c>
      <c r="K1866" s="4" t="s">
        <v>607</v>
      </c>
      <c r="L1866" s="4" t="s">
        <v>607</v>
      </c>
      <c r="M1866" s="4" t="s">
        <v>607</v>
      </c>
      <c r="N1866" s="4" t="s">
        <v>607</v>
      </c>
      <c r="O1866" s="4"/>
      <c r="P1866" s="4"/>
      <c r="T1866" s="4"/>
    </row>
    <row r="1867">
      <c r="A1867" s="4" t="s">
        <v>5161</v>
      </c>
      <c r="B1867" s="4" t="s">
        <v>607</v>
      </c>
      <c r="C1867" s="6" t="s">
        <v>607</v>
      </c>
      <c r="D1867" s="6" t="s">
        <v>607</v>
      </c>
      <c r="E1867" s="6" t="s">
        <v>607</v>
      </c>
      <c r="F1867" s="6" t="s">
        <v>607</v>
      </c>
      <c r="G1867" s="4" t="s">
        <v>607</v>
      </c>
      <c r="H1867" s="4" t="s">
        <v>607</v>
      </c>
      <c r="I1867" s="4" t="s">
        <v>607</v>
      </c>
      <c r="J1867" s="4" t="s">
        <v>607</v>
      </c>
      <c r="K1867" s="4" t="s">
        <v>607</v>
      </c>
      <c r="L1867" s="4" t="s">
        <v>607</v>
      </c>
      <c r="M1867" s="4" t="s">
        <v>607</v>
      </c>
      <c r="N1867" s="4" t="s">
        <v>607</v>
      </c>
      <c r="O1867" s="4"/>
      <c r="P1867" s="4"/>
      <c r="T1867" s="4"/>
    </row>
    <row r="1868">
      <c r="A1868" s="4" t="s">
        <v>5162</v>
      </c>
      <c r="B1868" s="4" t="s">
        <v>607</v>
      </c>
      <c r="C1868" s="6" t="s">
        <v>607</v>
      </c>
      <c r="D1868" s="6" t="s">
        <v>607</v>
      </c>
      <c r="E1868" s="6" t="s">
        <v>607</v>
      </c>
      <c r="F1868" s="6" t="s">
        <v>607</v>
      </c>
      <c r="G1868" s="4" t="s">
        <v>607</v>
      </c>
      <c r="H1868" s="4" t="s">
        <v>607</v>
      </c>
      <c r="I1868" s="4" t="s">
        <v>607</v>
      </c>
      <c r="J1868" s="4" t="s">
        <v>607</v>
      </c>
      <c r="K1868" s="4" t="s">
        <v>607</v>
      </c>
      <c r="L1868" s="4" t="s">
        <v>607</v>
      </c>
      <c r="M1868" s="4" t="s">
        <v>607</v>
      </c>
      <c r="N1868" s="4" t="s">
        <v>607</v>
      </c>
      <c r="O1868" s="4"/>
      <c r="P1868" s="4"/>
      <c r="T1868" s="4"/>
    </row>
    <row r="1869">
      <c r="A1869" s="4" t="s">
        <v>5163</v>
      </c>
      <c r="B1869" s="4" t="s">
        <v>607</v>
      </c>
      <c r="C1869" s="6" t="s">
        <v>607</v>
      </c>
      <c r="D1869" s="6" t="s">
        <v>607</v>
      </c>
      <c r="E1869" s="6" t="s">
        <v>607</v>
      </c>
      <c r="F1869" s="6" t="s">
        <v>607</v>
      </c>
      <c r="G1869" s="4" t="s">
        <v>607</v>
      </c>
      <c r="H1869" s="4" t="s">
        <v>607</v>
      </c>
      <c r="I1869" s="4" t="s">
        <v>607</v>
      </c>
      <c r="J1869" s="4" t="s">
        <v>607</v>
      </c>
      <c r="K1869" s="4" t="s">
        <v>607</v>
      </c>
      <c r="L1869" s="4" t="s">
        <v>607</v>
      </c>
      <c r="M1869" s="4" t="s">
        <v>607</v>
      </c>
      <c r="N1869" s="4" t="s">
        <v>607</v>
      </c>
      <c r="O1869" s="4"/>
      <c r="P1869" s="4"/>
      <c r="T1869" s="4"/>
    </row>
    <row r="1870">
      <c r="A1870" s="4" t="s">
        <v>5164</v>
      </c>
      <c r="B1870" s="4" t="s">
        <v>607</v>
      </c>
      <c r="C1870" s="6" t="s">
        <v>607</v>
      </c>
      <c r="D1870" s="6" t="s">
        <v>607</v>
      </c>
      <c r="E1870" s="6" t="s">
        <v>607</v>
      </c>
      <c r="F1870" s="6" t="s">
        <v>607</v>
      </c>
      <c r="G1870" s="4" t="s">
        <v>607</v>
      </c>
      <c r="H1870" s="4" t="s">
        <v>607</v>
      </c>
      <c r="I1870" s="4" t="s">
        <v>607</v>
      </c>
      <c r="J1870" s="4" t="s">
        <v>607</v>
      </c>
      <c r="K1870" s="4" t="s">
        <v>607</v>
      </c>
      <c r="L1870" s="4" t="s">
        <v>607</v>
      </c>
      <c r="M1870" s="4" t="s">
        <v>607</v>
      </c>
      <c r="N1870" s="4" t="s">
        <v>607</v>
      </c>
      <c r="O1870" s="4"/>
      <c r="P1870" s="4"/>
      <c r="T1870" s="4"/>
    </row>
    <row r="1871">
      <c r="A1871" s="4" t="s">
        <v>5165</v>
      </c>
      <c r="B1871" s="4" t="s">
        <v>607</v>
      </c>
      <c r="C1871" s="6" t="s">
        <v>607</v>
      </c>
      <c r="D1871" s="6" t="s">
        <v>607</v>
      </c>
      <c r="E1871" s="6" t="s">
        <v>607</v>
      </c>
      <c r="F1871" s="6" t="s">
        <v>607</v>
      </c>
      <c r="G1871" s="4" t="s">
        <v>607</v>
      </c>
      <c r="H1871" s="4" t="s">
        <v>607</v>
      </c>
      <c r="I1871" s="4" t="s">
        <v>607</v>
      </c>
      <c r="J1871" s="4" t="s">
        <v>607</v>
      </c>
      <c r="K1871" s="4" t="s">
        <v>607</v>
      </c>
      <c r="L1871" s="4" t="s">
        <v>607</v>
      </c>
      <c r="M1871" s="4" t="s">
        <v>607</v>
      </c>
      <c r="N1871" s="4" t="s">
        <v>607</v>
      </c>
      <c r="O1871" s="4"/>
      <c r="P1871" s="4"/>
      <c r="T1871" s="4"/>
    </row>
    <row r="1872">
      <c r="A1872" s="4" t="s">
        <v>5166</v>
      </c>
      <c r="B1872" s="4" t="s">
        <v>607</v>
      </c>
      <c r="C1872" s="6" t="s">
        <v>607</v>
      </c>
      <c r="D1872" s="6" t="s">
        <v>607</v>
      </c>
      <c r="E1872" s="6" t="s">
        <v>607</v>
      </c>
      <c r="F1872" s="6" t="s">
        <v>607</v>
      </c>
      <c r="G1872" s="4" t="s">
        <v>607</v>
      </c>
      <c r="H1872" s="4" t="s">
        <v>607</v>
      </c>
      <c r="I1872" s="4" t="s">
        <v>607</v>
      </c>
      <c r="J1872" s="4" t="s">
        <v>607</v>
      </c>
      <c r="K1872" s="4" t="s">
        <v>607</v>
      </c>
      <c r="L1872" s="4" t="s">
        <v>607</v>
      </c>
      <c r="M1872" s="4" t="s">
        <v>607</v>
      </c>
      <c r="N1872" s="4" t="s">
        <v>607</v>
      </c>
      <c r="O1872" s="4"/>
      <c r="P1872" s="4"/>
      <c r="T1872" s="4"/>
    </row>
    <row r="1873">
      <c r="A1873" s="4" t="s">
        <v>5167</v>
      </c>
      <c r="B1873" s="4" t="s">
        <v>607</v>
      </c>
      <c r="C1873" s="6" t="s">
        <v>607</v>
      </c>
      <c r="D1873" s="6" t="s">
        <v>607</v>
      </c>
      <c r="E1873" s="6" t="s">
        <v>607</v>
      </c>
      <c r="F1873" s="6" t="s">
        <v>607</v>
      </c>
      <c r="G1873" s="4" t="s">
        <v>607</v>
      </c>
      <c r="H1873" s="4" t="s">
        <v>607</v>
      </c>
      <c r="I1873" s="4" t="s">
        <v>607</v>
      </c>
      <c r="J1873" s="4" t="s">
        <v>607</v>
      </c>
      <c r="K1873" s="4" t="s">
        <v>607</v>
      </c>
      <c r="L1873" s="4" t="s">
        <v>607</v>
      </c>
      <c r="M1873" s="4" t="s">
        <v>607</v>
      </c>
      <c r="N1873" s="4" t="s">
        <v>607</v>
      </c>
      <c r="O1873" s="4"/>
      <c r="P1873" s="4"/>
      <c r="T1873" s="4"/>
    </row>
    <row r="1874">
      <c r="A1874" s="4" t="s">
        <v>5168</v>
      </c>
      <c r="B1874" s="4" t="s">
        <v>607</v>
      </c>
      <c r="C1874" s="6" t="s">
        <v>607</v>
      </c>
      <c r="D1874" s="6" t="s">
        <v>607</v>
      </c>
      <c r="E1874" s="6" t="s">
        <v>607</v>
      </c>
      <c r="F1874" s="6" t="s">
        <v>607</v>
      </c>
      <c r="G1874" s="4" t="s">
        <v>607</v>
      </c>
      <c r="H1874" s="4" t="s">
        <v>607</v>
      </c>
      <c r="I1874" s="4" t="s">
        <v>607</v>
      </c>
      <c r="J1874" s="4" t="s">
        <v>607</v>
      </c>
      <c r="K1874" s="4" t="s">
        <v>607</v>
      </c>
      <c r="L1874" s="4" t="s">
        <v>607</v>
      </c>
      <c r="M1874" s="4" t="s">
        <v>607</v>
      </c>
      <c r="N1874" s="4" t="s">
        <v>607</v>
      </c>
      <c r="O1874" s="4"/>
      <c r="P1874" s="4"/>
      <c r="T1874" s="4"/>
    </row>
    <row r="1875">
      <c r="A1875" s="4" t="s">
        <v>5169</v>
      </c>
      <c r="B1875" s="4" t="s">
        <v>607</v>
      </c>
      <c r="C1875" s="6" t="s">
        <v>607</v>
      </c>
      <c r="D1875" s="6" t="s">
        <v>607</v>
      </c>
      <c r="E1875" s="6" t="s">
        <v>607</v>
      </c>
      <c r="F1875" s="6" t="s">
        <v>607</v>
      </c>
      <c r="G1875" s="4" t="s">
        <v>607</v>
      </c>
      <c r="H1875" s="4" t="s">
        <v>607</v>
      </c>
      <c r="I1875" s="4" t="s">
        <v>607</v>
      </c>
      <c r="J1875" s="4" t="s">
        <v>607</v>
      </c>
      <c r="K1875" s="4" t="s">
        <v>607</v>
      </c>
      <c r="L1875" s="4" t="s">
        <v>607</v>
      </c>
      <c r="M1875" s="4" t="s">
        <v>607</v>
      </c>
      <c r="N1875" s="4" t="s">
        <v>607</v>
      </c>
      <c r="O1875" s="4"/>
      <c r="P1875" s="4"/>
      <c r="T1875" s="4"/>
    </row>
    <row r="1876">
      <c r="A1876" s="4" t="s">
        <v>5170</v>
      </c>
      <c r="B1876" s="4" t="s">
        <v>607</v>
      </c>
      <c r="C1876" s="6" t="s">
        <v>607</v>
      </c>
      <c r="D1876" s="6" t="s">
        <v>607</v>
      </c>
      <c r="E1876" s="6" t="s">
        <v>607</v>
      </c>
      <c r="F1876" s="6" t="s">
        <v>607</v>
      </c>
      <c r="G1876" s="4" t="s">
        <v>607</v>
      </c>
      <c r="H1876" s="4" t="s">
        <v>607</v>
      </c>
      <c r="I1876" s="4" t="s">
        <v>607</v>
      </c>
      <c r="J1876" s="4" t="s">
        <v>607</v>
      </c>
      <c r="K1876" s="4" t="s">
        <v>607</v>
      </c>
      <c r="L1876" s="4" t="s">
        <v>607</v>
      </c>
      <c r="M1876" s="4" t="s">
        <v>607</v>
      </c>
      <c r="N1876" s="4" t="s">
        <v>607</v>
      </c>
      <c r="O1876" s="4"/>
      <c r="P1876" s="4"/>
      <c r="T1876" s="4"/>
    </row>
    <row r="1877">
      <c r="A1877" s="4" t="s">
        <v>5171</v>
      </c>
      <c r="B1877" s="4" t="s">
        <v>607</v>
      </c>
      <c r="C1877" s="6" t="s">
        <v>607</v>
      </c>
      <c r="D1877" s="6" t="s">
        <v>607</v>
      </c>
      <c r="E1877" s="6" t="s">
        <v>607</v>
      </c>
      <c r="F1877" s="6" t="s">
        <v>607</v>
      </c>
      <c r="G1877" s="4" t="s">
        <v>607</v>
      </c>
      <c r="H1877" s="4" t="s">
        <v>607</v>
      </c>
      <c r="I1877" s="4" t="s">
        <v>607</v>
      </c>
      <c r="J1877" s="4" t="s">
        <v>607</v>
      </c>
      <c r="K1877" s="4" t="s">
        <v>607</v>
      </c>
      <c r="L1877" s="4" t="s">
        <v>607</v>
      </c>
      <c r="M1877" s="4" t="s">
        <v>607</v>
      </c>
      <c r="N1877" s="4" t="s">
        <v>607</v>
      </c>
      <c r="O1877" s="4"/>
      <c r="P1877" s="4"/>
      <c r="T1877" s="4"/>
    </row>
    <row r="1878">
      <c r="A1878" s="4" t="s">
        <v>5172</v>
      </c>
      <c r="B1878" s="4" t="s">
        <v>607</v>
      </c>
      <c r="C1878" s="6" t="s">
        <v>607</v>
      </c>
      <c r="D1878" s="6" t="s">
        <v>607</v>
      </c>
      <c r="E1878" s="6" t="s">
        <v>607</v>
      </c>
      <c r="F1878" s="6" t="s">
        <v>607</v>
      </c>
      <c r="G1878" s="4" t="s">
        <v>607</v>
      </c>
      <c r="H1878" s="4" t="s">
        <v>607</v>
      </c>
      <c r="I1878" s="4" t="s">
        <v>607</v>
      </c>
      <c r="J1878" s="4" t="s">
        <v>607</v>
      </c>
      <c r="K1878" s="4" t="s">
        <v>607</v>
      </c>
      <c r="L1878" s="4" t="s">
        <v>607</v>
      </c>
      <c r="M1878" s="4" t="s">
        <v>607</v>
      </c>
      <c r="N1878" s="4" t="s">
        <v>607</v>
      </c>
      <c r="O1878" s="4"/>
      <c r="P1878" s="4"/>
      <c r="T1878" s="4"/>
    </row>
    <row r="1879">
      <c r="A1879" s="4" t="s">
        <v>5173</v>
      </c>
      <c r="B1879" s="4" t="s">
        <v>607</v>
      </c>
      <c r="C1879" s="6" t="s">
        <v>607</v>
      </c>
      <c r="D1879" s="6" t="s">
        <v>607</v>
      </c>
      <c r="E1879" s="6" t="s">
        <v>607</v>
      </c>
      <c r="F1879" s="6" t="s">
        <v>607</v>
      </c>
      <c r="G1879" s="4" t="s">
        <v>607</v>
      </c>
      <c r="H1879" s="4" t="s">
        <v>607</v>
      </c>
      <c r="I1879" s="4" t="s">
        <v>607</v>
      </c>
      <c r="J1879" s="4" t="s">
        <v>607</v>
      </c>
      <c r="K1879" s="4" t="s">
        <v>607</v>
      </c>
      <c r="L1879" s="4" t="s">
        <v>607</v>
      </c>
      <c r="M1879" s="4" t="s">
        <v>607</v>
      </c>
      <c r="N1879" s="4" t="s">
        <v>607</v>
      </c>
      <c r="O1879" s="4"/>
      <c r="P1879" s="4"/>
      <c r="T1879" s="4"/>
    </row>
    <row r="1880">
      <c r="A1880" s="4" t="s">
        <v>5174</v>
      </c>
      <c r="B1880" s="4" t="s">
        <v>607</v>
      </c>
      <c r="C1880" s="6" t="s">
        <v>607</v>
      </c>
      <c r="D1880" s="6" t="s">
        <v>607</v>
      </c>
      <c r="E1880" s="6" t="s">
        <v>607</v>
      </c>
      <c r="F1880" s="6" t="s">
        <v>607</v>
      </c>
      <c r="G1880" s="4" t="s">
        <v>607</v>
      </c>
      <c r="H1880" s="4" t="s">
        <v>607</v>
      </c>
      <c r="I1880" s="4" t="s">
        <v>607</v>
      </c>
      <c r="J1880" s="4" t="s">
        <v>607</v>
      </c>
      <c r="K1880" s="4" t="s">
        <v>607</v>
      </c>
      <c r="L1880" s="4" t="s">
        <v>607</v>
      </c>
      <c r="M1880" s="4" t="s">
        <v>607</v>
      </c>
      <c r="N1880" s="4" t="s">
        <v>607</v>
      </c>
      <c r="O1880" s="4"/>
      <c r="P1880" s="4"/>
      <c r="T1880" s="4"/>
    </row>
    <row r="1881">
      <c r="A1881" s="4" t="s">
        <v>5175</v>
      </c>
      <c r="B1881" s="4" t="s">
        <v>607</v>
      </c>
      <c r="C1881" s="6" t="s">
        <v>607</v>
      </c>
      <c r="D1881" s="6" t="s">
        <v>607</v>
      </c>
      <c r="E1881" s="6" t="s">
        <v>607</v>
      </c>
      <c r="F1881" s="6" t="s">
        <v>607</v>
      </c>
      <c r="G1881" s="4" t="s">
        <v>607</v>
      </c>
      <c r="H1881" s="4" t="s">
        <v>607</v>
      </c>
      <c r="I1881" s="4" t="s">
        <v>607</v>
      </c>
      <c r="J1881" s="4" t="s">
        <v>607</v>
      </c>
      <c r="K1881" s="4" t="s">
        <v>607</v>
      </c>
      <c r="L1881" s="4" t="s">
        <v>607</v>
      </c>
      <c r="M1881" s="4" t="s">
        <v>607</v>
      </c>
      <c r="N1881" s="4" t="s">
        <v>607</v>
      </c>
      <c r="O1881" s="4"/>
      <c r="P1881" s="4"/>
      <c r="T1881" s="4"/>
    </row>
    <row r="1882">
      <c r="A1882" s="4" t="s">
        <v>5176</v>
      </c>
      <c r="B1882" s="4" t="s">
        <v>607</v>
      </c>
      <c r="C1882" s="6" t="s">
        <v>607</v>
      </c>
      <c r="D1882" s="6" t="s">
        <v>607</v>
      </c>
      <c r="E1882" s="6" t="s">
        <v>607</v>
      </c>
      <c r="F1882" s="6" t="s">
        <v>607</v>
      </c>
      <c r="G1882" s="4" t="s">
        <v>607</v>
      </c>
      <c r="H1882" s="4" t="s">
        <v>607</v>
      </c>
      <c r="I1882" s="4" t="s">
        <v>607</v>
      </c>
      <c r="J1882" s="4" t="s">
        <v>607</v>
      </c>
      <c r="K1882" s="4" t="s">
        <v>607</v>
      </c>
      <c r="L1882" s="4" t="s">
        <v>607</v>
      </c>
      <c r="M1882" s="4" t="s">
        <v>607</v>
      </c>
      <c r="N1882" s="4" t="s">
        <v>607</v>
      </c>
      <c r="O1882" s="4"/>
      <c r="P1882" s="4"/>
      <c r="T1882" s="4"/>
    </row>
    <row r="1883">
      <c r="A1883" s="4" t="s">
        <v>5177</v>
      </c>
      <c r="B1883" s="4" t="s">
        <v>607</v>
      </c>
      <c r="C1883" s="6" t="s">
        <v>607</v>
      </c>
      <c r="D1883" s="6" t="s">
        <v>607</v>
      </c>
      <c r="E1883" s="6" t="s">
        <v>607</v>
      </c>
      <c r="F1883" s="6" t="s">
        <v>607</v>
      </c>
      <c r="G1883" s="4" t="s">
        <v>607</v>
      </c>
      <c r="H1883" s="4" t="s">
        <v>607</v>
      </c>
      <c r="I1883" s="4" t="s">
        <v>607</v>
      </c>
      <c r="J1883" s="4" t="s">
        <v>607</v>
      </c>
      <c r="K1883" s="4" t="s">
        <v>607</v>
      </c>
      <c r="L1883" s="4" t="s">
        <v>607</v>
      </c>
      <c r="M1883" s="4" t="s">
        <v>607</v>
      </c>
      <c r="N1883" s="4" t="s">
        <v>607</v>
      </c>
      <c r="O1883" s="4"/>
      <c r="P1883" s="4"/>
      <c r="T1883" s="4"/>
    </row>
    <row r="1884">
      <c r="A1884" s="4" t="s">
        <v>5178</v>
      </c>
      <c r="B1884" s="4" t="s">
        <v>607</v>
      </c>
      <c r="C1884" s="6" t="s">
        <v>607</v>
      </c>
      <c r="D1884" s="6" t="s">
        <v>607</v>
      </c>
      <c r="E1884" s="6" t="s">
        <v>607</v>
      </c>
      <c r="F1884" s="6" t="s">
        <v>607</v>
      </c>
      <c r="G1884" s="4" t="s">
        <v>607</v>
      </c>
      <c r="H1884" s="4" t="s">
        <v>607</v>
      </c>
      <c r="I1884" s="4" t="s">
        <v>607</v>
      </c>
      <c r="J1884" s="4" t="s">
        <v>607</v>
      </c>
      <c r="K1884" s="4" t="s">
        <v>607</v>
      </c>
      <c r="L1884" s="4" t="s">
        <v>607</v>
      </c>
      <c r="M1884" s="4" t="s">
        <v>607</v>
      </c>
      <c r="N1884" s="4" t="s">
        <v>607</v>
      </c>
      <c r="O1884" s="4"/>
      <c r="P1884" s="4"/>
      <c r="T1884" s="4"/>
    </row>
    <row r="1885">
      <c r="A1885" s="4" t="s">
        <v>5179</v>
      </c>
      <c r="B1885" s="4" t="s">
        <v>607</v>
      </c>
      <c r="C1885" s="6" t="s">
        <v>607</v>
      </c>
      <c r="D1885" s="6" t="s">
        <v>607</v>
      </c>
      <c r="E1885" s="6" t="s">
        <v>607</v>
      </c>
      <c r="F1885" s="6" t="s">
        <v>607</v>
      </c>
      <c r="G1885" s="4" t="s">
        <v>607</v>
      </c>
      <c r="H1885" s="4" t="s">
        <v>607</v>
      </c>
      <c r="I1885" s="4" t="s">
        <v>607</v>
      </c>
      <c r="J1885" s="4" t="s">
        <v>607</v>
      </c>
      <c r="K1885" s="4" t="s">
        <v>607</v>
      </c>
      <c r="L1885" s="4" t="s">
        <v>607</v>
      </c>
      <c r="M1885" s="4" t="s">
        <v>607</v>
      </c>
      <c r="N1885" s="4" t="s">
        <v>607</v>
      </c>
      <c r="O1885" s="4"/>
      <c r="P1885" s="4"/>
      <c r="T1885" s="4"/>
    </row>
    <row r="1886">
      <c r="A1886" s="4" t="s">
        <v>5180</v>
      </c>
      <c r="B1886" s="4" t="s">
        <v>607</v>
      </c>
      <c r="C1886" s="6" t="s">
        <v>607</v>
      </c>
      <c r="D1886" s="6" t="s">
        <v>607</v>
      </c>
      <c r="E1886" s="6" t="s">
        <v>607</v>
      </c>
      <c r="F1886" s="6" t="s">
        <v>607</v>
      </c>
      <c r="G1886" s="4" t="s">
        <v>607</v>
      </c>
      <c r="H1886" s="4" t="s">
        <v>607</v>
      </c>
      <c r="I1886" s="4" t="s">
        <v>607</v>
      </c>
      <c r="J1886" s="4" t="s">
        <v>607</v>
      </c>
      <c r="K1886" s="4" t="s">
        <v>607</v>
      </c>
      <c r="L1886" s="4" t="s">
        <v>607</v>
      </c>
      <c r="M1886" s="4" t="s">
        <v>607</v>
      </c>
      <c r="N1886" s="4" t="s">
        <v>607</v>
      </c>
      <c r="O1886" s="4"/>
      <c r="P1886" s="4"/>
      <c r="T1886" s="4"/>
    </row>
    <row r="1887">
      <c r="A1887" s="4" t="s">
        <v>5181</v>
      </c>
      <c r="B1887" s="4" t="s">
        <v>607</v>
      </c>
      <c r="C1887" s="6" t="s">
        <v>607</v>
      </c>
      <c r="D1887" s="6" t="s">
        <v>607</v>
      </c>
      <c r="E1887" s="6" t="s">
        <v>607</v>
      </c>
      <c r="F1887" s="6" t="s">
        <v>607</v>
      </c>
      <c r="G1887" s="4" t="s">
        <v>607</v>
      </c>
      <c r="H1887" s="4" t="s">
        <v>607</v>
      </c>
      <c r="I1887" s="4" t="s">
        <v>607</v>
      </c>
      <c r="J1887" s="4" t="s">
        <v>607</v>
      </c>
      <c r="K1887" s="4" t="s">
        <v>607</v>
      </c>
      <c r="L1887" s="4" t="s">
        <v>607</v>
      </c>
      <c r="M1887" s="4" t="s">
        <v>607</v>
      </c>
      <c r="N1887" s="4" t="s">
        <v>607</v>
      </c>
      <c r="O1887" s="4"/>
      <c r="P1887" s="4"/>
      <c r="T1887" s="4"/>
    </row>
    <row r="1888">
      <c r="A1888" s="4" t="s">
        <v>5182</v>
      </c>
      <c r="B1888" s="4" t="s">
        <v>607</v>
      </c>
      <c r="C1888" s="6" t="s">
        <v>607</v>
      </c>
      <c r="D1888" s="6" t="s">
        <v>607</v>
      </c>
      <c r="E1888" s="6" t="s">
        <v>607</v>
      </c>
      <c r="F1888" s="6" t="s">
        <v>607</v>
      </c>
      <c r="G1888" s="4" t="s">
        <v>607</v>
      </c>
      <c r="H1888" s="4" t="s">
        <v>607</v>
      </c>
      <c r="I1888" s="4" t="s">
        <v>607</v>
      </c>
      <c r="J1888" s="4" t="s">
        <v>607</v>
      </c>
      <c r="K1888" s="4" t="s">
        <v>607</v>
      </c>
      <c r="L1888" s="4" t="s">
        <v>607</v>
      </c>
      <c r="M1888" s="4" t="s">
        <v>607</v>
      </c>
      <c r="N1888" s="4" t="s">
        <v>607</v>
      </c>
      <c r="O1888" s="4"/>
      <c r="P1888" s="4"/>
      <c r="T1888" s="4"/>
    </row>
    <row r="1889">
      <c r="A1889" s="4" t="s">
        <v>5183</v>
      </c>
      <c r="B1889" s="4" t="s">
        <v>607</v>
      </c>
      <c r="C1889" s="6" t="s">
        <v>607</v>
      </c>
      <c r="D1889" s="6" t="s">
        <v>607</v>
      </c>
      <c r="E1889" s="6" t="s">
        <v>607</v>
      </c>
      <c r="F1889" s="6" t="s">
        <v>607</v>
      </c>
      <c r="G1889" s="4" t="s">
        <v>607</v>
      </c>
      <c r="H1889" s="4" t="s">
        <v>607</v>
      </c>
      <c r="I1889" s="4" t="s">
        <v>607</v>
      </c>
      <c r="J1889" s="4" t="s">
        <v>607</v>
      </c>
      <c r="K1889" s="4" t="s">
        <v>607</v>
      </c>
      <c r="L1889" s="4" t="s">
        <v>607</v>
      </c>
      <c r="M1889" s="4" t="s">
        <v>607</v>
      </c>
      <c r="N1889" s="4" t="s">
        <v>607</v>
      </c>
      <c r="O1889" s="4"/>
      <c r="P1889" s="4"/>
      <c r="T1889" s="4"/>
    </row>
    <row r="1890">
      <c r="A1890" s="4" t="s">
        <v>5184</v>
      </c>
      <c r="B1890" s="4" t="s">
        <v>607</v>
      </c>
      <c r="C1890" s="6" t="s">
        <v>607</v>
      </c>
      <c r="D1890" s="6" t="s">
        <v>607</v>
      </c>
      <c r="E1890" s="6" t="s">
        <v>607</v>
      </c>
      <c r="F1890" s="6" t="s">
        <v>607</v>
      </c>
      <c r="G1890" s="4" t="s">
        <v>607</v>
      </c>
      <c r="H1890" s="4" t="s">
        <v>607</v>
      </c>
      <c r="I1890" s="4" t="s">
        <v>607</v>
      </c>
      <c r="J1890" s="4" t="s">
        <v>607</v>
      </c>
      <c r="K1890" s="4" t="s">
        <v>607</v>
      </c>
      <c r="L1890" s="4" t="s">
        <v>607</v>
      </c>
      <c r="M1890" s="4" t="s">
        <v>607</v>
      </c>
      <c r="N1890" s="4" t="s">
        <v>607</v>
      </c>
      <c r="O1890" s="4"/>
      <c r="P1890" s="4"/>
      <c r="T1890" s="4"/>
    </row>
    <row r="1891">
      <c r="A1891" s="4" t="s">
        <v>5185</v>
      </c>
      <c r="B1891" s="4" t="s">
        <v>607</v>
      </c>
      <c r="C1891" s="6" t="s">
        <v>607</v>
      </c>
      <c r="D1891" s="6" t="s">
        <v>607</v>
      </c>
      <c r="E1891" s="6" t="s">
        <v>607</v>
      </c>
      <c r="F1891" s="6" t="s">
        <v>607</v>
      </c>
      <c r="G1891" s="4" t="s">
        <v>607</v>
      </c>
      <c r="H1891" s="4" t="s">
        <v>607</v>
      </c>
      <c r="I1891" s="4" t="s">
        <v>607</v>
      </c>
      <c r="J1891" s="4" t="s">
        <v>607</v>
      </c>
      <c r="K1891" s="4" t="s">
        <v>607</v>
      </c>
      <c r="L1891" s="4" t="s">
        <v>607</v>
      </c>
      <c r="M1891" s="4" t="s">
        <v>607</v>
      </c>
      <c r="N1891" s="4" t="s">
        <v>607</v>
      </c>
      <c r="O1891" s="4"/>
      <c r="P1891" s="4"/>
      <c r="T1891" s="4"/>
    </row>
    <row r="1892">
      <c r="A1892" s="4" t="s">
        <v>5186</v>
      </c>
      <c r="B1892" s="4" t="s">
        <v>607</v>
      </c>
      <c r="C1892" s="6" t="s">
        <v>607</v>
      </c>
      <c r="D1892" s="6" t="s">
        <v>607</v>
      </c>
      <c r="E1892" s="6" t="s">
        <v>607</v>
      </c>
      <c r="F1892" s="6" t="s">
        <v>607</v>
      </c>
      <c r="G1892" s="4" t="s">
        <v>607</v>
      </c>
      <c r="H1892" s="4" t="s">
        <v>607</v>
      </c>
      <c r="I1892" s="4" t="s">
        <v>607</v>
      </c>
      <c r="J1892" s="4" t="s">
        <v>607</v>
      </c>
      <c r="K1892" s="4" t="s">
        <v>607</v>
      </c>
      <c r="L1892" s="4" t="s">
        <v>607</v>
      </c>
      <c r="M1892" s="4" t="s">
        <v>607</v>
      </c>
      <c r="N1892" s="4" t="s">
        <v>607</v>
      </c>
      <c r="O1892" s="4"/>
      <c r="P1892" s="4"/>
      <c r="T1892" s="4"/>
    </row>
    <row r="1893">
      <c r="A1893" s="4" t="s">
        <v>5187</v>
      </c>
      <c r="B1893" s="4" t="s">
        <v>607</v>
      </c>
      <c r="C1893" s="6" t="s">
        <v>607</v>
      </c>
      <c r="D1893" s="6" t="s">
        <v>607</v>
      </c>
      <c r="E1893" s="6" t="s">
        <v>607</v>
      </c>
      <c r="F1893" s="6" t="s">
        <v>607</v>
      </c>
      <c r="G1893" s="4" t="s">
        <v>607</v>
      </c>
      <c r="H1893" s="4" t="s">
        <v>607</v>
      </c>
      <c r="I1893" s="4" t="s">
        <v>607</v>
      </c>
      <c r="J1893" s="4" t="s">
        <v>607</v>
      </c>
      <c r="K1893" s="4" t="s">
        <v>607</v>
      </c>
      <c r="L1893" s="4" t="s">
        <v>607</v>
      </c>
      <c r="M1893" s="4" t="s">
        <v>607</v>
      </c>
      <c r="N1893" s="4" t="s">
        <v>607</v>
      </c>
      <c r="O1893" s="4"/>
      <c r="P1893" s="4"/>
      <c r="T1893" s="4"/>
    </row>
    <row r="1894">
      <c r="A1894" s="4" t="s">
        <v>5188</v>
      </c>
      <c r="B1894" s="4" t="s">
        <v>607</v>
      </c>
      <c r="C1894" s="6" t="s">
        <v>607</v>
      </c>
      <c r="D1894" s="6" t="s">
        <v>607</v>
      </c>
      <c r="E1894" s="6" t="s">
        <v>607</v>
      </c>
      <c r="F1894" s="6" t="s">
        <v>607</v>
      </c>
      <c r="G1894" s="4" t="s">
        <v>607</v>
      </c>
      <c r="H1894" s="4" t="s">
        <v>607</v>
      </c>
      <c r="I1894" s="4" t="s">
        <v>607</v>
      </c>
      <c r="J1894" s="4" t="s">
        <v>607</v>
      </c>
      <c r="K1894" s="4" t="s">
        <v>607</v>
      </c>
      <c r="L1894" s="4" t="s">
        <v>607</v>
      </c>
      <c r="M1894" s="4" t="s">
        <v>607</v>
      </c>
      <c r="N1894" s="4" t="s">
        <v>607</v>
      </c>
      <c r="O1894" s="4"/>
      <c r="P1894" s="4"/>
      <c r="T1894" s="4"/>
    </row>
    <row r="1895">
      <c r="A1895" s="4" t="s">
        <v>5189</v>
      </c>
      <c r="B1895" s="4" t="s">
        <v>607</v>
      </c>
      <c r="C1895" s="6" t="s">
        <v>607</v>
      </c>
      <c r="D1895" s="6" t="s">
        <v>607</v>
      </c>
      <c r="E1895" s="6" t="s">
        <v>607</v>
      </c>
      <c r="F1895" s="6" t="s">
        <v>607</v>
      </c>
      <c r="G1895" s="4" t="s">
        <v>607</v>
      </c>
      <c r="H1895" s="4" t="s">
        <v>607</v>
      </c>
      <c r="I1895" s="4" t="s">
        <v>607</v>
      </c>
      <c r="J1895" s="4" t="s">
        <v>607</v>
      </c>
      <c r="K1895" s="4" t="s">
        <v>607</v>
      </c>
      <c r="L1895" s="4" t="s">
        <v>607</v>
      </c>
      <c r="M1895" s="4" t="s">
        <v>607</v>
      </c>
      <c r="N1895" s="4" t="s">
        <v>607</v>
      </c>
      <c r="O1895" s="4"/>
      <c r="P1895" s="4"/>
      <c r="T1895" s="4"/>
    </row>
    <row r="1896">
      <c r="A1896" s="4" t="s">
        <v>5190</v>
      </c>
      <c r="B1896" s="4" t="s">
        <v>607</v>
      </c>
      <c r="C1896" s="6" t="s">
        <v>607</v>
      </c>
      <c r="D1896" s="6" t="s">
        <v>607</v>
      </c>
      <c r="E1896" s="6" t="s">
        <v>607</v>
      </c>
      <c r="F1896" s="6" t="s">
        <v>607</v>
      </c>
      <c r="G1896" s="4" t="s">
        <v>607</v>
      </c>
      <c r="H1896" s="4" t="s">
        <v>607</v>
      </c>
      <c r="I1896" s="4" t="s">
        <v>607</v>
      </c>
      <c r="J1896" s="4" t="s">
        <v>607</v>
      </c>
      <c r="K1896" s="4" t="s">
        <v>607</v>
      </c>
      <c r="L1896" s="4" t="s">
        <v>607</v>
      </c>
      <c r="M1896" s="4" t="s">
        <v>607</v>
      </c>
      <c r="N1896" s="4" t="s">
        <v>607</v>
      </c>
      <c r="O1896" s="4"/>
      <c r="P1896" s="4"/>
      <c r="T1896" s="4"/>
    </row>
    <row r="1897">
      <c r="A1897" s="4" t="s">
        <v>5191</v>
      </c>
      <c r="B1897" s="4" t="s">
        <v>607</v>
      </c>
      <c r="C1897" s="6" t="s">
        <v>607</v>
      </c>
      <c r="D1897" s="6" t="s">
        <v>607</v>
      </c>
      <c r="E1897" s="6" t="s">
        <v>607</v>
      </c>
      <c r="F1897" s="6" t="s">
        <v>607</v>
      </c>
      <c r="G1897" s="4" t="s">
        <v>607</v>
      </c>
      <c r="H1897" s="4" t="s">
        <v>607</v>
      </c>
      <c r="I1897" s="4" t="s">
        <v>607</v>
      </c>
      <c r="J1897" s="4" t="s">
        <v>607</v>
      </c>
      <c r="K1897" s="4" t="s">
        <v>607</v>
      </c>
      <c r="L1897" s="4" t="s">
        <v>607</v>
      </c>
      <c r="M1897" s="4" t="s">
        <v>607</v>
      </c>
      <c r="N1897" s="4" t="s">
        <v>607</v>
      </c>
      <c r="O1897" s="4"/>
      <c r="P1897" s="4"/>
      <c r="T1897" s="4"/>
    </row>
    <row r="1898">
      <c r="A1898" s="4" t="s">
        <v>5192</v>
      </c>
      <c r="B1898" s="4" t="s">
        <v>607</v>
      </c>
      <c r="C1898" s="6" t="s">
        <v>607</v>
      </c>
      <c r="D1898" s="6" t="s">
        <v>607</v>
      </c>
      <c r="E1898" s="6" t="s">
        <v>607</v>
      </c>
      <c r="F1898" s="6" t="s">
        <v>607</v>
      </c>
      <c r="G1898" s="4" t="s">
        <v>607</v>
      </c>
      <c r="H1898" s="4" t="s">
        <v>607</v>
      </c>
      <c r="I1898" s="4" t="s">
        <v>607</v>
      </c>
      <c r="J1898" s="4" t="s">
        <v>607</v>
      </c>
      <c r="K1898" s="4" t="s">
        <v>607</v>
      </c>
      <c r="L1898" s="4" t="s">
        <v>607</v>
      </c>
      <c r="M1898" s="4" t="s">
        <v>607</v>
      </c>
      <c r="N1898" s="4" t="s">
        <v>607</v>
      </c>
      <c r="O1898" s="4"/>
      <c r="P1898" s="4"/>
      <c r="T1898" s="4"/>
    </row>
    <row r="1899">
      <c r="A1899" s="4" t="s">
        <v>5193</v>
      </c>
      <c r="B1899" s="4" t="s">
        <v>607</v>
      </c>
      <c r="C1899" s="6" t="s">
        <v>607</v>
      </c>
      <c r="D1899" s="6" t="s">
        <v>607</v>
      </c>
      <c r="E1899" s="6" t="s">
        <v>607</v>
      </c>
      <c r="F1899" s="6" t="s">
        <v>607</v>
      </c>
      <c r="G1899" s="4" t="s">
        <v>607</v>
      </c>
      <c r="H1899" s="4" t="s">
        <v>607</v>
      </c>
      <c r="I1899" s="4" t="s">
        <v>607</v>
      </c>
      <c r="J1899" s="4" t="s">
        <v>607</v>
      </c>
      <c r="K1899" s="4" t="s">
        <v>607</v>
      </c>
      <c r="L1899" s="4" t="s">
        <v>607</v>
      </c>
      <c r="M1899" s="4" t="s">
        <v>607</v>
      </c>
      <c r="N1899" s="4" t="s">
        <v>607</v>
      </c>
      <c r="O1899" s="4"/>
      <c r="P1899" s="4"/>
      <c r="T1899" s="4"/>
    </row>
    <row r="1900">
      <c r="A1900" s="4" t="s">
        <v>5194</v>
      </c>
      <c r="B1900" s="4" t="s">
        <v>607</v>
      </c>
      <c r="C1900" s="6" t="s">
        <v>607</v>
      </c>
      <c r="D1900" s="6" t="s">
        <v>607</v>
      </c>
      <c r="E1900" s="6" t="s">
        <v>607</v>
      </c>
      <c r="F1900" s="6" t="s">
        <v>607</v>
      </c>
      <c r="G1900" s="4" t="s">
        <v>607</v>
      </c>
      <c r="H1900" s="4" t="s">
        <v>607</v>
      </c>
      <c r="I1900" s="4" t="s">
        <v>607</v>
      </c>
      <c r="J1900" s="4" t="s">
        <v>607</v>
      </c>
      <c r="K1900" s="4" t="s">
        <v>607</v>
      </c>
      <c r="L1900" s="4" t="s">
        <v>607</v>
      </c>
      <c r="M1900" s="4" t="s">
        <v>607</v>
      </c>
      <c r="N1900" s="4" t="s">
        <v>607</v>
      </c>
      <c r="O1900" s="4"/>
      <c r="P1900" s="4"/>
      <c r="T1900" s="4"/>
    </row>
    <row r="1901">
      <c r="A1901" s="4" t="s">
        <v>5195</v>
      </c>
      <c r="B1901" s="4" t="s">
        <v>607</v>
      </c>
      <c r="C1901" s="6" t="s">
        <v>607</v>
      </c>
      <c r="D1901" s="6" t="s">
        <v>607</v>
      </c>
      <c r="E1901" s="6" t="s">
        <v>607</v>
      </c>
      <c r="F1901" s="6" t="s">
        <v>607</v>
      </c>
      <c r="G1901" s="4" t="s">
        <v>607</v>
      </c>
      <c r="H1901" s="4" t="s">
        <v>607</v>
      </c>
      <c r="I1901" s="4" t="s">
        <v>607</v>
      </c>
      <c r="J1901" s="4" t="s">
        <v>607</v>
      </c>
      <c r="K1901" s="4" t="s">
        <v>607</v>
      </c>
      <c r="L1901" s="4" t="s">
        <v>607</v>
      </c>
      <c r="M1901" s="4" t="s">
        <v>607</v>
      </c>
      <c r="N1901" s="4" t="s">
        <v>607</v>
      </c>
      <c r="O1901" s="4"/>
      <c r="P1901" s="4"/>
      <c r="T1901" s="4"/>
    </row>
    <row r="1902">
      <c r="A1902" s="4" t="s">
        <v>5196</v>
      </c>
      <c r="B1902" s="4" t="s">
        <v>607</v>
      </c>
      <c r="C1902" s="6" t="s">
        <v>607</v>
      </c>
      <c r="D1902" s="6" t="s">
        <v>607</v>
      </c>
      <c r="E1902" s="6" t="s">
        <v>607</v>
      </c>
      <c r="F1902" s="6" t="s">
        <v>607</v>
      </c>
      <c r="G1902" s="4" t="s">
        <v>607</v>
      </c>
      <c r="H1902" s="4" t="s">
        <v>607</v>
      </c>
      <c r="I1902" s="4" t="s">
        <v>607</v>
      </c>
      <c r="J1902" s="4" t="s">
        <v>607</v>
      </c>
      <c r="K1902" s="4" t="s">
        <v>607</v>
      </c>
      <c r="L1902" s="4" t="s">
        <v>607</v>
      </c>
      <c r="M1902" s="4" t="s">
        <v>607</v>
      </c>
      <c r="N1902" s="4" t="s">
        <v>607</v>
      </c>
      <c r="O1902" s="4"/>
      <c r="P1902" s="4"/>
      <c r="T1902" s="4"/>
    </row>
    <row r="1903">
      <c r="A1903" s="4" t="s">
        <v>5197</v>
      </c>
      <c r="B1903" s="4" t="s">
        <v>607</v>
      </c>
      <c r="C1903" s="6" t="s">
        <v>607</v>
      </c>
      <c r="D1903" s="6" t="s">
        <v>607</v>
      </c>
      <c r="E1903" s="6" t="s">
        <v>607</v>
      </c>
      <c r="F1903" s="6" t="s">
        <v>607</v>
      </c>
      <c r="G1903" s="4" t="s">
        <v>607</v>
      </c>
      <c r="H1903" s="4" t="s">
        <v>607</v>
      </c>
      <c r="I1903" s="4" t="s">
        <v>607</v>
      </c>
      <c r="J1903" s="4" t="s">
        <v>607</v>
      </c>
      <c r="K1903" s="4" t="s">
        <v>607</v>
      </c>
      <c r="L1903" s="4" t="s">
        <v>607</v>
      </c>
      <c r="M1903" s="4" t="s">
        <v>607</v>
      </c>
      <c r="N1903" s="4" t="s">
        <v>607</v>
      </c>
      <c r="O1903" s="4"/>
      <c r="P1903" s="4"/>
      <c r="T1903" s="4"/>
    </row>
    <row r="1904">
      <c r="A1904" s="4" t="s">
        <v>5198</v>
      </c>
      <c r="B1904" s="4" t="s">
        <v>607</v>
      </c>
      <c r="C1904" s="6" t="s">
        <v>607</v>
      </c>
      <c r="D1904" s="6" t="s">
        <v>607</v>
      </c>
      <c r="E1904" s="6" t="s">
        <v>607</v>
      </c>
      <c r="F1904" s="6" t="s">
        <v>607</v>
      </c>
      <c r="G1904" s="4" t="s">
        <v>607</v>
      </c>
      <c r="H1904" s="4" t="s">
        <v>607</v>
      </c>
      <c r="I1904" s="4" t="s">
        <v>607</v>
      </c>
      <c r="J1904" s="4" t="s">
        <v>607</v>
      </c>
      <c r="K1904" s="4" t="s">
        <v>607</v>
      </c>
      <c r="L1904" s="4" t="s">
        <v>607</v>
      </c>
      <c r="M1904" s="4" t="s">
        <v>607</v>
      </c>
      <c r="N1904" s="4" t="s">
        <v>607</v>
      </c>
      <c r="O1904" s="4"/>
      <c r="P1904" s="4"/>
      <c r="T1904" s="4"/>
    </row>
    <row r="1905">
      <c r="A1905" s="4" t="s">
        <v>5199</v>
      </c>
      <c r="B1905" s="4" t="s">
        <v>607</v>
      </c>
      <c r="C1905" s="6" t="s">
        <v>607</v>
      </c>
      <c r="D1905" s="6" t="s">
        <v>607</v>
      </c>
      <c r="E1905" s="6" t="s">
        <v>607</v>
      </c>
      <c r="F1905" s="6" t="s">
        <v>607</v>
      </c>
      <c r="G1905" s="4" t="s">
        <v>607</v>
      </c>
      <c r="H1905" s="4" t="s">
        <v>607</v>
      </c>
      <c r="I1905" s="4" t="s">
        <v>607</v>
      </c>
      <c r="J1905" s="4" t="s">
        <v>607</v>
      </c>
      <c r="K1905" s="4" t="s">
        <v>607</v>
      </c>
      <c r="L1905" s="4" t="s">
        <v>607</v>
      </c>
      <c r="M1905" s="4" t="s">
        <v>607</v>
      </c>
      <c r="N1905" s="4" t="s">
        <v>607</v>
      </c>
      <c r="O1905" s="4"/>
      <c r="P1905" s="4"/>
      <c r="T1905" s="4"/>
    </row>
    <row r="1906">
      <c r="A1906" s="4" t="s">
        <v>5200</v>
      </c>
      <c r="B1906" s="4" t="s">
        <v>607</v>
      </c>
      <c r="C1906" s="6" t="s">
        <v>607</v>
      </c>
      <c r="D1906" s="6" t="s">
        <v>607</v>
      </c>
      <c r="E1906" s="6" t="s">
        <v>607</v>
      </c>
      <c r="F1906" s="6" t="s">
        <v>607</v>
      </c>
      <c r="G1906" s="4" t="s">
        <v>607</v>
      </c>
      <c r="H1906" s="4" t="s">
        <v>607</v>
      </c>
      <c r="I1906" s="4" t="s">
        <v>607</v>
      </c>
      <c r="J1906" s="4" t="s">
        <v>607</v>
      </c>
      <c r="K1906" s="4" t="s">
        <v>607</v>
      </c>
      <c r="L1906" s="4" t="s">
        <v>607</v>
      </c>
      <c r="M1906" s="4" t="s">
        <v>607</v>
      </c>
      <c r="N1906" s="4" t="s">
        <v>607</v>
      </c>
      <c r="O1906" s="4"/>
      <c r="P1906" s="4"/>
      <c r="T1906" s="4"/>
    </row>
    <row r="1907">
      <c r="A1907" s="4" t="s">
        <v>5201</v>
      </c>
      <c r="B1907" s="4" t="s">
        <v>607</v>
      </c>
      <c r="C1907" s="6" t="s">
        <v>607</v>
      </c>
      <c r="D1907" s="6" t="s">
        <v>607</v>
      </c>
      <c r="E1907" s="6" t="s">
        <v>607</v>
      </c>
      <c r="F1907" s="6" t="s">
        <v>607</v>
      </c>
      <c r="G1907" s="4" t="s">
        <v>607</v>
      </c>
      <c r="H1907" s="4" t="s">
        <v>607</v>
      </c>
      <c r="I1907" s="4" t="s">
        <v>607</v>
      </c>
      <c r="J1907" s="4" t="s">
        <v>607</v>
      </c>
      <c r="K1907" s="4" t="s">
        <v>607</v>
      </c>
      <c r="L1907" s="4" t="s">
        <v>607</v>
      </c>
      <c r="M1907" s="4" t="s">
        <v>607</v>
      </c>
      <c r="N1907" s="4" t="s">
        <v>607</v>
      </c>
      <c r="O1907" s="4"/>
      <c r="P1907" s="4"/>
      <c r="T1907" s="4"/>
    </row>
    <row r="1908">
      <c r="A1908" s="4" t="s">
        <v>5202</v>
      </c>
      <c r="B1908" s="4" t="s">
        <v>607</v>
      </c>
      <c r="C1908" s="6" t="s">
        <v>607</v>
      </c>
      <c r="D1908" s="6" t="s">
        <v>607</v>
      </c>
      <c r="E1908" s="6" t="s">
        <v>607</v>
      </c>
      <c r="F1908" s="6" t="s">
        <v>607</v>
      </c>
      <c r="G1908" s="4" t="s">
        <v>607</v>
      </c>
      <c r="H1908" s="4" t="s">
        <v>607</v>
      </c>
      <c r="I1908" s="4" t="s">
        <v>607</v>
      </c>
      <c r="J1908" s="4" t="s">
        <v>607</v>
      </c>
      <c r="K1908" s="4" t="s">
        <v>607</v>
      </c>
      <c r="L1908" s="4" t="s">
        <v>607</v>
      </c>
      <c r="M1908" s="4" t="s">
        <v>607</v>
      </c>
      <c r="N1908" s="4" t="s">
        <v>607</v>
      </c>
      <c r="O1908" s="4"/>
      <c r="P1908" s="4"/>
      <c r="T1908" s="4"/>
    </row>
    <row r="1909">
      <c r="A1909" s="4" t="s">
        <v>5203</v>
      </c>
      <c r="B1909" s="4" t="s">
        <v>607</v>
      </c>
      <c r="C1909" s="6" t="s">
        <v>607</v>
      </c>
      <c r="D1909" s="6" t="s">
        <v>607</v>
      </c>
      <c r="E1909" s="6" t="s">
        <v>607</v>
      </c>
      <c r="F1909" s="6" t="s">
        <v>607</v>
      </c>
      <c r="G1909" s="4" t="s">
        <v>607</v>
      </c>
      <c r="H1909" s="4" t="s">
        <v>607</v>
      </c>
      <c r="I1909" s="4" t="s">
        <v>607</v>
      </c>
      <c r="J1909" s="4" t="s">
        <v>607</v>
      </c>
      <c r="K1909" s="4" t="s">
        <v>607</v>
      </c>
      <c r="L1909" s="4" t="s">
        <v>607</v>
      </c>
      <c r="M1909" s="4" t="s">
        <v>607</v>
      </c>
      <c r="N1909" s="4" t="s">
        <v>607</v>
      </c>
      <c r="O1909" s="4"/>
      <c r="P1909" s="4"/>
      <c r="T1909" s="4"/>
    </row>
    <row r="1910">
      <c r="A1910" s="4" t="s">
        <v>5204</v>
      </c>
      <c r="B1910" s="4" t="s">
        <v>607</v>
      </c>
      <c r="C1910" s="6" t="s">
        <v>607</v>
      </c>
      <c r="D1910" s="6" t="s">
        <v>607</v>
      </c>
      <c r="E1910" s="6" t="s">
        <v>607</v>
      </c>
      <c r="F1910" s="6" t="s">
        <v>607</v>
      </c>
      <c r="G1910" s="4" t="s">
        <v>607</v>
      </c>
      <c r="H1910" s="4" t="s">
        <v>607</v>
      </c>
      <c r="I1910" s="4" t="s">
        <v>607</v>
      </c>
      <c r="J1910" s="4" t="s">
        <v>607</v>
      </c>
      <c r="K1910" s="4" t="s">
        <v>607</v>
      </c>
      <c r="L1910" s="4" t="s">
        <v>607</v>
      </c>
      <c r="M1910" s="4" t="s">
        <v>607</v>
      </c>
      <c r="N1910" s="4" t="s">
        <v>607</v>
      </c>
      <c r="O1910" s="4"/>
      <c r="P1910" s="4"/>
      <c r="T1910" s="4"/>
    </row>
    <row r="1911">
      <c r="A1911" s="4" t="s">
        <v>5205</v>
      </c>
      <c r="B1911" s="4" t="s">
        <v>607</v>
      </c>
      <c r="C1911" s="6" t="s">
        <v>607</v>
      </c>
      <c r="D1911" s="6" t="s">
        <v>607</v>
      </c>
      <c r="E1911" s="6" t="s">
        <v>607</v>
      </c>
      <c r="F1911" s="6" t="s">
        <v>607</v>
      </c>
      <c r="G1911" s="4" t="s">
        <v>607</v>
      </c>
      <c r="H1911" s="4" t="s">
        <v>607</v>
      </c>
      <c r="I1911" s="4" t="s">
        <v>607</v>
      </c>
      <c r="J1911" s="4" t="s">
        <v>607</v>
      </c>
      <c r="K1911" s="4" t="s">
        <v>607</v>
      </c>
      <c r="L1911" s="4" t="s">
        <v>607</v>
      </c>
      <c r="M1911" s="4" t="s">
        <v>607</v>
      </c>
      <c r="N1911" s="4" t="s">
        <v>607</v>
      </c>
      <c r="O1911" s="4"/>
      <c r="P1911" s="4"/>
      <c r="T1911" s="4"/>
    </row>
    <row r="1912">
      <c r="A1912" s="4" t="s">
        <v>5206</v>
      </c>
      <c r="B1912" s="4" t="s">
        <v>607</v>
      </c>
      <c r="C1912" s="6" t="s">
        <v>607</v>
      </c>
      <c r="D1912" s="6" t="s">
        <v>607</v>
      </c>
      <c r="E1912" s="6" t="s">
        <v>607</v>
      </c>
      <c r="F1912" s="6" t="s">
        <v>607</v>
      </c>
      <c r="G1912" s="4" t="s">
        <v>607</v>
      </c>
      <c r="H1912" s="4" t="s">
        <v>607</v>
      </c>
      <c r="I1912" s="4" t="s">
        <v>607</v>
      </c>
      <c r="J1912" s="4" t="s">
        <v>607</v>
      </c>
      <c r="K1912" s="4" t="s">
        <v>607</v>
      </c>
      <c r="L1912" s="4" t="s">
        <v>607</v>
      </c>
      <c r="M1912" s="4" t="s">
        <v>607</v>
      </c>
      <c r="N1912" s="4" t="s">
        <v>607</v>
      </c>
      <c r="O1912" s="4"/>
      <c r="P1912" s="4"/>
      <c r="T1912" s="4"/>
    </row>
    <row r="1913">
      <c r="A1913" s="4" t="s">
        <v>5207</v>
      </c>
      <c r="B1913" s="4" t="s">
        <v>607</v>
      </c>
      <c r="C1913" s="6" t="s">
        <v>607</v>
      </c>
      <c r="D1913" s="6" t="s">
        <v>607</v>
      </c>
      <c r="E1913" s="6" t="s">
        <v>607</v>
      </c>
      <c r="F1913" s="6" t="s">
        <v>607</v>
      </c>
      <c r="G1913" s="4" t="s">
        <v>607</v>
      </c>
      <c r="H1913" s="4" t="s">
        <v>607</v>
      </c>
      <c r="I1913" s="4" t="s">
        <v>607</v>
      </c>
      <c r="J1913" s="4" t="s">
        <v>607</v>
      </c>
      <c r="K1913" s="4" t="s">
        <v>607</v>
      </c>
      <c r="L1913" s="4" t="s">
        <v>607</v>
      </c>
      <c r="M1913" s="4" t="s">
        <v>607</v>
      </c>
      <c r="N1913" s="4" t="s">
        <v>607</v>
      </c>
      <c r="O1913" s="4"/>
      <c r="P1913" s="4"/>
      <c r="T1913" s="4"/>
    </row>
    <row r="1914">
      <c r="A1914" s="4" t="s">
        <v>5208</v>
      </c>
      <c r="B1914" s="4" t="s">
        <v>607</v>
      </c>
      <c r="C1914" s="6" t="s">
        <v>607</v>
      </c>
      <c r="D1914" s="6" t="s">
        <v>607</v>
      </c>
      <c r="E1914" s="6" t="s">
        <v>607</v>
      </c>
      <c r="F1914" s="6" t="s">
        <v>607</v>
      </c>
      <c r="G1914" s="4" t="s">
        <v>607</v>
      </c>
      <c r="H1914" s="4" t="s">
        <v>607</v>
      </c>
      <c r="I1914" s="4" t="s">
        <v>607</v>
      </c>
      <c r="J1914" s="4" t="s">
        <v>607</v>
      </c>
      <c r="K1914" s="4" t="s">
        <v>607</v>
      </c>
      <c r="L1914" s="4" t="s">
        <v>607</v>
      </c>
      <c r="M1914" s="4" t="s">
        <v>607</v>
      </c>
      <c r="N1914" s="4" t="s">
        <v>607</v>
      </c>
      <c r="O1914" s="4"/>
      <c r="P1914" s="4"/>
      <c r="T1914" s="4"/>
    </row>
    <row r="1915">
      <c r="A1915" s="4" t="s">
        <v>5209</v>
      </c>
      <c r="B1915" s="4" t="s">
        <v>607</v>
      </c>
      <c r="C1915" s="6" t="s">
        <v>607</v>
      </c>
      <c r="D1915" s="6" t="s">
        <v>607</v>
      </c>
      <c r="E1915" s="6" t="s">
        <v>607</v>
      </c>
      <c r="F1915" s="6" t="s">
        <v>607</v>
      </c>
      <c r="G1915" s="4" t="s">
        <v>607</v>
      </c>
      <c r="H1915" s="4" t="s">
        <v>607</v>
      </c>
      <c r="I1915" s="4" t="s">
        <v>607</v>
      </c>
      <c r="J1915" s="4" t="s">
        <v>607</v>
      </c>
      <c r="K1915" s="4" t="s">
        <v>607</v>
      </c>
      <c r="L1915" s="4" t="s">
        <v>607</v>
      </c>
      <c r="M1915" s="4" t="s">
        <v>607</v>
      </c>
      <c r="N1915" s="4" t="s">
        <v>607</v>
      </c>
      <c r="O1915" s="4"/>
      <c r="P1915" s="4"/>
      <c r="T1915" s="4"/>
    </row>
    <row r="1916">
      <c r="A1916" s="4" t="s">
        <v>5210</v>
      </c>
      <c r="B1916" s="4" t="s">
        <v>607</v>
      </c>
      <c r="C1916" s="6" t="s">
        <v>607</v>
      </c>
      <c r="D1916" s="6" t="s">
        <v>607</v>
      </c>
      <c r="E1916" s="6" t="s">
        <v>607</v>
      </c>
      <c r="F1916" s="6" t="s">
        <v>607</v>
      </c>
      <c r="G1916" s="4" t="s">
        <v>607</v>
      </c>
      <c r="H1916" s="4" t="s">
        <v>607</v>
      </c>
      <c r="I1916" s="4" t="s">
        <v>607</v>
      </c>
      <c r="J1916" s="4" t="s">
        <v>607</v>
      </c>
      <c r="K1916" s="4" t="s">
        <v>607</v>
      </c>
      <c r="L1916" s="4" t="s">
        <v>607</v>
      </c>
      <c r="M1916" s="4" t="s">
        <v>607</v>
      </c>
      <c r="N1916" s="4" t="s">
        <v>607</v>
      </c>
      <c r="O1916" s="4"/>
      <c r="P1916" s="4"/>
      <c r="T1916" s="4"/>
    </row>
    <row r="1917">
      <c r="A1917" s="4" t="s">
        <v>5211</v>
      </c>
      <c r="B1917" s="4" t="s">
        <v>607</v>
      </c>
      <c r="C1917" s="6" t="s">
        <v>607</v>
      </c>
      <c r="D1917" s="6" t="s">
        <v>607</v>
      </c>
      <c r="E1917" s="6" t="s">
        <v>607</v>
      </c>
      <c r="F1917" s="6" t="s">
        <v>607</v>
      </c>
      <c r="G1917" s="4" t="s">
        <v>607</v>
      </c>
      <c r="H1917" s="4" t="s">
        <v>607</v>
      </c>
      <c r="I1917" s="4" t="s">
        <v>607</v>
      </c>
      <c r="J1917" s="4" t="s">
        <v>607</v>
      </c>
      <c r="K1917" s="4" t="s">
        <v>607</v>
      </c>
      <c r="L1917" s="4" t="s">
        <v>607</v>
      </c>
      <c r="M1917" s="4" t="s">
        <v>607</v>
      </c>
      <c r="N1917" s="4" t="s">
        <v>607</v>
      </c>
      <c r="O1917" s="4"/>
      <c r="P1917" s="4"/>
      <c r="T1917" s="4"/>
    </row>
    <row r="1918">
      <c r="A1918" s="4" t="s">
        <v>5212</v>
      </c>
      <c r="B1918" s="4" t="s">
        <v>607</v>
      </c>
      <c r="C1918" s="6" t="s">
        <v>607</v>
      </c>
      <c r="D1918" s="6" t="s">
        <v>607</v>
      </c>
      <c r="E1918" s="6" t="s">
        <v>607</v>
      </c>
      <c r="F1918" s="6" t="s">
        <v>607</v>
      </c>
      <c r="G1918" s="4" t="s">
        <v>607</v>
      </c>
      <c r="H1918" s="4" t="s">
        <v>607</v>
      </c>
      <c r="I1918" s="4" t="s">
        <v>607</v>
      </c>
      <c r="J1918" s="4" t="s">
        <v>607</v>
      </c>
      <c r="K1918" s="4" t="s">
        <v>607</v>
      </c>
      <c r="L1918" s="4" t="s">
        <v>607</v>
      </c>
      <c r="M1918" s="4" t="s">
        <v>607</v>
      </c>
      <c r="N1918" s="4" t="s">
        <v>607</v>
      </c>
      <c r="O1918" s="4"/>
      <c r="P1918" s="4"/>
      <c r="T1918" s="4"/>
    </row>
    <row r="1919">
      <c r="A1919" s="4" t="s">
        <v>5213</v>
      </c>
      <c r="B1919" s="4" t="s">
        <v>607</v>
      </c>
      <c r="C1919" s="6" t="s">
        <v>607</v>
      </c>
      <c r="D1919" s="6" t="s">
        <v>607</v>
      </c>
      <c r="E1919" s="6" t="s">
        <v>607</v>
      </c>
      <c r="F1919" s="6" t="s">
        <v>607</v>
      </c>
      <c r="G1919" s="4" t="s">
        <v>607</v>
      </c>
      <c r="H1919" s="4" t="s">
        <v>607</v>
      </c>
      <c r="I1919" s="4" t="s">
        <v>607</v>
      </c>
      <c r="J1919" s="4" t="s">
        <v>607</v>
      </c>
      <c r="K1919" s="4" t="s">
        <v>607</v>
      </c>
      <c r="L1919" s="4" t="s">
        <v>607</v>
      </c>
      <c r="M1919" s="4" t="s">
        <v>607</v>
      </c>
      <c r="N1919" s="4" t="s">
        <v>607</v>
      </c>
      <c r="O1919" s="4"/>
      <c r="P1919" s="4"/>
      <c r="T1919" s="4"/>
    </row>
    <row r="1920">
      <c r="A1920" s="4" t="s">
        <v>5214</v>
      </c>
      <c r="B1920" s="4" t="s">
        <v>607</v>
      </c>
      <c r="C1920" s="6" t="s">
        <v>607</v>
      </c>
      <c r="D1920" s="6" t="s">
        <v>607</v>
      </c>
      <c r="E1920" s="6" t="s">
        <v>607</v>
      </c>
      <c r="F1920" s="6" t="s">
        <v>607</v>
      </c>
      <c r="G1920" s="4" t="s">
        <v>607</v>
      </c>
      <c r="H1920" s="4" t="s">
        <v>607</v>
      </c>
      <c r="I1920" s="4" t="s">
        <v>607</v>
      </c>
      <c r="J1920" s="4" t="s">
        <v>607</v>
      </c>
      <c r="K1920" s="4" t="s">
        <v>607</v>
      </c>
      <c r="L1920" s="4" t="s">
        <v>607</v>
      </c>
      <c r="M1920" s="4" t="s">
        <v>607</v>
      </c>
      <c r="N1920" s="4" t="s">
        <v>607</v>
      </c>
      <c r="O1920" s="4"/>
      <c r="P1920" s="4"/>
      <c r="T1920" s="4"/>
    </row>
    <row r="1921">
      <c r="A1921" s="4" t="s">
        <v>5215</v>
      </c>
      <c r="B1921" s="4" t="s">
        <v>607</v>
      </c>
      <c r="C1921" s="6" t="s">
        <v>607</v>
      </c>
      <c r="D1921" s="6" t="s">
        <v>607</v>
      </c>
      <c r="E1921" s="6" t="s">
        <v>607</v>
      </c>
      <c r="F1921" s="6" t="s">
        <v>607</v>
      </c>
      <c r="G1921" s="4" t="s">
        <v>607</v>
      </c>
      <c r="H1921" s="4" t="s">
        <v>607</v>
      </c>
      <c r="I1921" s="4" t="s">
        <v>607</v>
      </c>
      <c r="J1921" s="4" t="s">
        <v>607</v>
      </c>
      <c r="K1921" s="4" t="s">
        <v>607</v>
      </c>
      <c r="L1921" s="4" t="s">
        <v>607</v>
      </c>
      <c r="M1921" s="4" t="s">
        <v>607</v>
      </c>
      <c r="N1921" s="4" t="s">
        <v>607</v>
      </c>
      <c r="O1921" s="4"/>
      <c r="P1921" s="4"/>
      <c r="T1921" s="4"/>
    </row>
    <row r="1922">
      <c r="A1922" s="4" t="s">
        <v>5216</v>
      </c>
      <c r="B1922" s="4" t="s">
        <v>607</v>
      </c>
      <c r="C1922" s="6" t="s">
        <v>607</v>
      </c>
      <c r="D1922" s="6" t="s">
        <v>607</v>
      </c>
      <c r="E1922" s="6" t="s">
        <v>607</v>
      </c>
      <c r="F1922" s="6" t="s">
        <v>607</v>
      </c>
      <c r="G1922" s="4" t="s">
        <v>607</v>
      </c>
      <c r="H1922" s="4" t="s">
        <v>607</v>
      </c>
      <c r="I1922" s="4" t="s">
        <v>607</v>
      </c>
      <c r="J1922" s="4" t="s">
        <v>607</v>
      </c>
      <c r="K1922" s="4" t="s">
        <v>607</v>
      </c>
      <c r="L1922" s="4" t="s">
        <v>607</v>
      </c>
      <c r="M1922" s="4" t="s">
        <v>607</v>
      </c>
      <c r="N1922" s="4" t="s">
        <v>607</v>
      </c>
      <c r="O1922" s="4"/>
      <c r="P1922" s="4"/>
      <c r="T1922" s="4"/>
    </row>
    <row r="1923">
      <c r="A1923" s="4" t="s">
        <v>5217</v>
      </c>
      <c r="B1923" s="4" t="s">
        <v>607</v>
      </c>
      <c r="C1923" s="6" t="s">
        <v>607</v>
      </c>
      <c r="D1923" s="6" t="s">
        <v>607</v>
      </c>
      <c r="E1923" s="6" t="s">
        <v>607</v>
      </c>
      <c r="F1923" s="6" t="s">
        <v>607</v>
      </c>
      <c r="G1923" s="4" t="s">
        <v>607</v>
      </c>
      <c r="H1923" s="4" t="s">
        <v>607</v>
      </c>
      <c r="I1923" s="4" t="s">
        <v>607</v>
      </c>
      <c r="J1923" s="4" t="s">
        <v>607</v>
      </c>
      <c r="K1923" s="4" t="s">
        <v>607</v>
      </c>
      <c r="L1923" s="4" t="s">
        <v>607</v>
      </c>
      <c r="M1923" s="4" t="s">
        <v>607</v>
      </c>
      <c r="N1923" s="4" t="s">
        <v>607</v>
      </c>
      <c r="O1923" s="4"/>
      <c r="P1923" s="4"/>
      <c r="T1923" s="4"/>
    </row>
    <row r="1924">
      <c r="A1924" s="4" t="s">
        <v>5218</v>
      </c>
      <c r="B1924" s="4" t="s">
        <v>607</v>
      </c>
      <c r="C1924" s="6" t="s">
        <v>607</v>
      </c>
      <c r="D1924" s="6" t="s">
        <v>607</v>
      </c>
      <c r="E1924" s="6" t="s">
        <v>607</v>
      </c>
      <c r="F1924" s="6" t="s">
        <v>607</v>
      </c>
      <c r="G1924" s="4" t="s">
        <v>607</v>
      </c>
      <c r="H1924" s="4" t="s">
        <v>607</v>
      </c>
      <c r="I1924" s="4" t="s">
        <v>607</v>
      </c>
      <c r="J1924" s="4" t="s">
        <v>607</v>
      </c>
      <c r="K1924" s="4" t="s">
        <v>607</v>
      </c>
      <c r="L1924" s="4" t="s">
        <v>607</v>
      </c>
      <c r="M1924" s="4" t="s">
        <v>607</v>
      </c>
      <c r="N1924" s="4" t="s">
        <v>607</v>
      </c>
      <c r="O1924" s="4"/>
      <c r="P1924" s="4"/>
      <c r="T1924" s="4"/>
    </row>
    <row r="1925">
      <c r="A1925" s="4" t="s">
        <v>5219</v>
      </c>
      <c r="B1925" s="4" t="s">
        <v>607</v>
      </c>
      <c r="C1925" s="6" t="s">
        <v>607</v>
      </c>
      <c r="D1925" s="6" t="s">
        <v>607</v>
      </c>
      <c r="E1925" s="6" t="s">
        <v>607</v>
      </c>
      <c r="F1925" s="6" t="s">
        <v>607</v>
      </c>
      <c r="G1925" s="4" t="s">
        <v>607</v>
      </c>
      <c r="H1925" s="4" t="s">
        <v>607</v>
      </c>
      <c r="I1925" s="4" t="s">
        <v>607</v>
      </c>
      <c r="J1925" s="4" t="s">
        <v>607</v>
      </c>
      <c r="K1925" s="4" t="s">
        <v>607</v>
      </c>
      <c r="L1925" s="4" t="s">
        <v>607</v>
      </c>
      <c r="M1925" s="4" t="s">
        <v>607</v>
      </c>
      <c r="N1925" s="4" t="s">
        <v>607</v>
      </c>
      <c r="O1925" s="4"/>
      <c r="P1925" s="4"/>
      <c r="T1925" s="4"/>
    </row>
    <row r="1926">
      <c r="A1926" s="4" t="s">
        <v>5220</v>
      </c>
      <c r="B1926" s="4" t="s">
        <v>607</v>
      </c>
      <c r="C1926" s="6" t="s">
        <v>607</v>
      </c>
      <c r="D1926" s="6" t="s">
        <v>607</v>
      </c>
      <c r="E1926" s="6" t="s">
        <v>607</v>
      </c>
      <c r="F1926" s="6" t="s">
        <v>607</v>
      </c>
      <c r="G1926" s="4" t="s">
        <v>607</v>
      </c>
      <c r="H1926" s="4" t="s">
        <v>607</v>
      </c>
      <c r="I1926" s="4" t="s">
        <v>607</v>
      </c>
      <c r="J1926" s="4" t="s">
        <v>607</v>
      </c>
      <c r="K1926" s="4" t="s">
        <v>607</v>
      </c>
      <c r="L1926" s="4" t="s">
        <v>607</v>
      </c>
      <c r="M1926" s="4" t="s">
        <v>607</v>
      </c>
      <c r="N1926" s="4" t="s">
        <v>607</v>
      </c>
      <c r="O1926" s="4"/>
      <c r="P1926" s="4"/>
      <c r="T1926" s="4"/>
    </row>
    <row r="1927">
      <c r="A1927" s="4" t="s">
        <v>5221</v>
      </c>
      <c r="B1927" s="4" t="s">
        <v>607</v>
      </c>
      <c r="C1927" s="6" t="s">
        <v>607</v>
      </c>
      <c r="D1927" s="6" t="s">
        <v>607</v>
      </c>
      <c r="E1927" s="6" t="s">
        <v>607</v>
      </c>
      <c r="F1927" s="6" t="s">
        <v>607</v>
      </c>
      <c r="G1927" s="4" t="s">
        <v>607</v>
      </c>
      <c r="H1927" s="4" t="s">
        <v>607</v>
      </c>
      <c r="I1927" s="4" t="s">
        <v>607</v>
      </c>
      <c r="J1927" s="4" t="s">
        <v>607</v>
      </c>
      <c r="K1927" s="4" t="s">
        <v>607</v>
      </c>
      <c r="L1927" s="4" t="s">
        <v>607</v>
      </c>
      <c r="M1927" s="4" t="s">
        <v>607</v>
      </c>
      <c r="N1927" s="4" t="s">
        <v>607</v>
      </c>
      <c r="O1927" s="4"/>
      <c r="P1927" s="4"/>
      <c r="T1927" s="4"/>
    </row>
    <row r="1928">
      <c r="A1928" s="4" t="s">
        <v>5222</v>
      </c>
      <c r="B1928" s="4" t="s">
        <v>607</v>
      </c>
      <c r="C1928" s="6" t="s">
        <v>607</v>
      </c>
      <c r="D1928" s="6" t="s">
        <v>607</v>
      </c>
      <c r="E1928" s="6" t="s">
        <v>607</v>
      </c>
      <c r="F1928" s="6" t="s">
        <v>607</v>
      </c>
      <c r="G1928" s="4" t="s">
        <v>607</v>
      </c>
      <c r="H1928" s="4" t="s">
        <v>607</v>
      </c>
      <c r="I1928" s="4" t="s">
        <v>607</v>
      </c>
      <c r="J1928" s="4" t="s">
        <v>607</v>
      </c>
      <c r="K1928" s="4" t="s">
        <v>607</v>
      </c>
      <c r="L1928" s="4" t="s">
        <v>607</v>
      </c>
      <c r="M1928" s="4" t="s">
        <v>607</v>
      </c>
      <c r="N1928" s="4" t="s">
        <v>607</v>
      </c>
      <c r="O1928" s="4"/>
      <c r="P1928" s="4"/>
      <c r="T1928" s="4"/>
    </row>
    <row r="1929">
      <c r="A1929" s="4" t="s">
        <v>5223</v>
      </c>
      <c r="B1929" s="4" t="s">
        <v>607</v>
      </c>
      <c r="C1929" s="6" t="s">
        <v>607</v>
      </c>
      <c r="D1929" s="6" t="s">
        <v>607</v>
      </c>
      <c r="E1929" s="6" t="s">
        <v>607</v>
      </c>
      <c r="F1929" s="6" t="s">
        <v>607</v>
      </c>
      <c r="G1929" s="4" t="s">
        <v>607</v>
      </c>
      <c r="H1929" s="4" t="s">
        <v>607</v>
      </c>
      <c r="I1929" s="4" t="s">
        <v>607</v>
      </c>
      <c r="J1929" s="4" t="s">
        <v>607</v>
      </c>
      <c r="K1929" s="4" t="s">
        <v>607</v>
      </c>
      <c r="L1929" s="4" t="s">
        <v>607</v>
      </c>
      <c r="M1929" s="4" t="s">
        <v>607</v>
      </c>
      <c r="N1929" s="4" t="s">
        <v>607</v>
      </c>
      <c r="O1929" s="4"/>
      <c r="P1929" s="4"/>
      <c r="T1929" s="4"/>
    </row>
    <row r="1930">
      <c r="A1930" s="4" t="s">
        <v>5224</v>
      </c>
      <c r="B1930" s="4" t="s">
        <v>607</v>
      </c>
      <c r="C1930" s="6" t="s">
        <v>607</v>
      </c>
      <c r="D1930" s="6" t="s">
        <v>607</v>
      </c>
      <c r="E1930" s="6" t="s">
        <v>607</v>
      </c>
      <c r="F1930" s="6" t="s">
        <v>607</v>
      </c>
      <c r="G1930" s="4" t="s">
        <v>607</v>
      </c>
      <c r="H1930" s="4" t="s">
        <v>607</v>
      </c>
      <c r="I1930" s="4" t="s">
        <v>607</v>
      </c>
      <c r="J1930" s="4" t="s">
        <v>607</v>
      </c>
      <c r="K1930" s="4" t="s">
        <v>607</v>
      </c>
      <c r="L1930" s="4" t="s">
        <v>607</v>
      </c>
      <c r="M1930" s="4" t="s">
        <v>607</v>
      </c>
      <c r="N1930" s="4" t="s">
        <v>607</v>
      </c>
      <c r="O1930" s="4"/>
      <c r="P1930" s="4"/>
      <c r="T1930" s="4"/>
    </row>
    <row r="1931">
      <c r="A1931" s="4" t="s">
        <v>5225</v>
      </c>
      <c r="B1931" s="4" t="s">
        <v>607</v>
      </c>
      <c r="C1931" s="6" t="s">
        <v>607</v>
      </c>
      <c r="D1931" s="6" t="s">
        <v>607</v>
      </c>
      <c r="E1931" s="6" t="s">
        <v>607</v>
      </c>
      <c r="F1931" s="6" t="s">
        <v>607</v>
      </c>
      <c r="G1931" s="4" t="s">
        <v>607</v>
      </c>
      <c r="H1931" s="4" t="s">
        <v>607</v>
      </c>
      <c r="I1931" s="4" t="s">
        <v>607</v>
      </c>
      <c r="J1931" s="4" t="s">
        <v>607</v>
      </c>
      <c r="K1931" s="4" t="s">
        <v>607</v>
      </c>
      <c r="L1931" s="4" t="s">
        <v>607</v>
      </c>
      <c r="M1931" s="4" t="s">
        <v>607</v>
      </c>
      <c r="N1931" s="4" t="s">
        <v>607</v>
      </c>
      <c r="O1931" s="4"/>
      <c r="P1931" s="4"/>
      <c r="T1931" s="4"/>
    </row>
    <row r="1932">
      <c r="A1932" s="4" t="s">
        <v>5226</v>
      </c>
      <c r="B1932" s="4" t="s">
        <v>607</v>
      </c>
      <c r="C1932" s="6" t="s">
        <v>607</v>
      </c>
      <c r="D1932" s="6" t="s">
        <v>607</v>
      </c>
      <c r="E1932" s="6" t="s">
        <v>607</v>
      </c>
      <c r="F1932" s="6" t="s">
        <v>607</v>
      </c>
      <c r="G1932" s="4" t="s">
        <v>607</v>
      </c>
      <c r="H1932" s="4" t="s">
        <v>607</v>
      </c>
      <c r="I1932" s="4" t="s">
        <v>607</v>
      </c>
      <c r="J1932" s="4" t="s">
        <v>607</v>
      </c>
      <c r="K1932" s="4" t="s">
        <v>607</v>
      </c>
      <c r="L1932" s="4" t="s">
        <v>607</v>
      </c>
      <c r="M1932" s="4" t="s">
        <v>607</v>
      </c>
      <c r="N1932" s="4" t="s">
        <v>607</v>
      </c>
      <c r="O1932" s="4"/>
      <c r="P1932" s="4"/>
      <c r="T1932" s="4"/>
    </row>
    <row r="1933">
      <c r="A1933" s="4" t="s">
        <v>5227</v>
      </c>
      <c r="B1933" s="4" t="s">
        <v>607</v>
      </c>
      <c r="C1933" s="6" t="s">
        <v>607</v>
      </c>
      <c r="D1933" s="6" t="s">
        <v>607</v>
      </c>
      <c r="E1933" s="6" t="s">
        <v>607</v>
      </c>
      <c r="F1933" s="6" t="s">
        <v>607</v>
      </c>
      <c r="G1933" s="4" t="s">
        <v>607</v>
      </c>
      <c r="H1933" s="4" t="s">
        <v>607</v>
      </c>
      <c r="I1933" s="4" t="s">
        <v>607</v>
      </c>
      <c r="J1933" s="4" t="s">
        <v>607</v>
      </c>
      <c r="K1933" s="4" t="s">
        <v>607</v>
      </c>
      <c r="L1933" s="4" t="s">
        <v>607</v>
      </c>
      <c r="M1933" s="4" t="s">
        <v>607</v>
      </c>
      <c r="N1933" s="4" t="s">
        <v>607</v>
      </c>
      <c r="O1933" s="4"/>
      <c r="P1933" s="4"/>
      <c r="T1933" s="4"/>
    </row>
    <row r="1934">
      <c r="A1934" s="4" t="s">
        <v>5228</v>
      </c>
      <c r="B1934" s="4" t="s">
        <v>607</v>
      </c>
      <c r="C1934" s="6" t="s">
        <v>607</v>
      </c>
      <c r="D1934" s="6" t="s">
        <v>607</v>
      </c>
      <c r="E1934" s="6" t="s">
        <v>607</v>
      </c>
      <c r="F1934" s="6" t="s">
        <v>607</v>
      </c>
      <c r="G1934" s="4" t="s">
        <v>607</v>
      </c>
      <c r="H1934" s="4" t="s">
        <v>607</v>
      </c>
      <c r="I1934" s="4" t="s">
        <v>607</v>
      </c>
      <c r="J1934" s="4" t="s">
        <v>607</v>
      </c>
      <c r="K1934" s="4" t="s">
        <v>607</v>
      </c>
      <c r="L1934" s="4" t="s">
        <v>607</v>
      </c>
      <c r="M1934" s="4" t="s">
        <v>607</v>
      </c>
      <c r="N1934" s="4" t="s">
        <v>607</v>
      </c>
      <c r="O1934" s="4"/>
      <c r="P1934" s="4"/>
      <c r="T1934" s="4"/>
    </row>
    <row r="1935">
      <c r="A1935" s="4" t="s">
        <v>5229</v>
      </c>
      <c r="B1935" s="4" t="s">
        <v>607</v>
      </c>
      <c r="C1935" s="6" t="s">
        <v>607</v>
      </c>
      <c r="D1935" s="6" t="s">
        <v>607</v>
      </c>
      <c r="E1935" s="6" t="s">
        <v>607</v>
      </c>
      <c r="F1935" s="6" t="s">
        <v>607</v>
      </c>
      <c r="G1935" s="4" t="s">
        <v>607</v>
      </c>
      <c r="H1935" s="4" t="s">
        <v>607</v>
      </c>
      <c r="I1935" s="4" t="s">
        <v>607</v>
      </c>
      <c r="J1935" s="4" t="s">
        <v>607</v>
      </c>
      <c r="K1935" s="4" t="s">
        <v>607</v>
      </c>
      <c r="L1935" s="4" t="s">
        <v>607</v>
      </c>
      <c r="M1935" s="4" t="s">
        <v>607</v>
      </c>
      <c r="N1935" s="4" t="s">
        <v>607</v>
      </c>
      <c r="O1935" s="4"/>
      <c r="P1935" s="4"/>
      <c r="T1935" s="4"/>
    </row>
    <row r="1936">
      <c r="A1936" s="4" t="s">
        <v>5230</v>
      </c>
      <c r="B1936" s="4" t="s">
        <v>607</v>
      </c>
      <c r="C1936" s="6" t="s">
        <v>607</v>
      </c>
      <c r="D1936" s="6" t="s">
        <v>607</v>
      </c>
      <c r="E1936" s="6" t="s">
        <v>607</v>
      </c>
      <c r="F1936" s="6" t="s">
        <v>607</v>
      </c>
      <c r="G1936" s="4" t="s">
        <v>607</v>
      </c>
      <c r="H1936" s="4" t="s">
        <v>607</v>
      </c>
      <c r="I1936" s="4" t="s">
        <v>607</v>
      </c>
      <c r="J1936" s="4" t="s">
        <v>607</v>
      </c>
      <c r="K1936" s="4" t="s">
        <v>607</v>
      </c>
      <c r="L1936" s="4" t="s">
        <v>607</v>
      </c>
      <c r="M1936" s="4" t="s">
        <v>607</v>
      </c>
      <c r="N1936" s="4" t="s">
        <v>607</v>
      </c>
      <c r="O1936" s="4"/>
      <c r="P1936" s="4"/>
      <c r="T1936" s="4"/>
    </row>
    <row r="1937">
      <c r="A1937" s="4" t="s">
        <v>5231</v>
      </c>
      <c r="B1937" s="4" t="s">
        <v>607</v>
      </c>
      <c r="C1937" s="6" t="s">
        <v>607</v>
      </c>
      <c r="D1937" s="6" t="s">
        <v>607</v>
      </c>
      <c r="E1937" s="6" t="s">
        <v>607</v>
      </c>
      <c r="F1937" s="6" t="s">
        <v>607</v>
      </c>
      <c r="G1937" s="4" t="s">
        <v>607</v>
      </c>
      <c r="H1937" s="4" t="s">
        <v>607</v>
      </c>
      <c r="I1937" s="4" t="s">
        <v>607</v>
      </c>
      <c r="J1937" s="4" t="s">
        <v>607</v>
      </c>
      <c r="K1937" s="4" t="s">
        <v>607</v>
      </c>
      <c r="L1937" s="4" t="s">
        <v>607</v>
      </c>
      <c r="M1937" s="4" t="s">
        <v>607</v>
      </c>
      <c r="N1937" s="4" t="s">
        <v>607</v>
      </c>
      <c r="O1937" s="4"/>
      <c r="P1937" s="4"/>
      <c r="T1937" s="4"/>
    </row>
    <row r="1938">
      <c r="A1938" s="4" t="s">
        <v>5232</v>
      </c>
      <c r="B1938" s="4" t="s">
        <v>607</v>
      </c>
      <c r="C1938" s="6" t="s">
        <v>607</v>
      </c>
      <c r="D1938" s="6" t="s">
        <v>607</v>
      </c>
      <c r="E1938" s="6" t="s">
        <v>607</v>
      </c>
      <c r="F1938" s="6" t="s">
        <v>607</v>
      </c>
      <c r="G1938" s="4" t="s">
        <v>607</v>
      </c>
      <c r="H1938" s="4" t="s">
        <v>607</v>
      </c>
      <c r="I1938" s="4" t="s">
        <v>607</v>
      </c>
      <c r="J1938" s="4" t="s">
        <v>607</v>
      </c>
      <c r="K1938" s="4" t="s">
        <v>607</v>
      </c>
      <c r="L1938" s="4" t="s">
        <v>607</v>
      </c>
      <c r="M1938" s="4" t="s">
        <v>607</v>
      </c>
      <c r="N1938" s="4" t="s">
        <v>607</v>
      </c>
      <c r="O1938" s="4"/>
      <c r="P1938" s="4"/>
      <c r="T1938" s="4"/>
    </row>
    <row r="1939">
      <c r="A1939" s="4" t="s">
        <v>5233</v>
      </c>
      <c r="B1939" s="4" t="s">
        <v>607</v>
      </c>
      <c r="C1939" s="6" t="s">
        <v>607</v>
      </c>
      <c r="D1939" s="6" t="s">
        <v>607</v>
      </c>
      <c r="E1939" s="6" t="s">
        <v>607</v>
      </c>
      <c r="F1939" s="6" t="s">
        <v>607</v>
      </c>
      <c r="G1939" s="4" t="s">
        <v>607</v>
      </c>
      <c r="H1939" s="4" t="s">
        <v>607</v>
      </c>
      <c r="I1939" s="4" t="s">
        <v>607</v>
      </c>
      <c r="J1939" s="4" t="s">
        <v>607</v>
      </c>
      <c r="K1939" s="4" t="s">
        <v>607</v>
      </c>
      <c r="L1939" s="4" t="s">
        <v>607</v>
      </c>
      <c r="M1939" s="4" t="s">
        <v>607</v>
      </c>
      <c r="N1939" s="4" t="s">
        <v>607</v>
      </c>
      <c r="O1939" s="4"/>
      <c r="P1939" s="4"/>
      <c r="T1939" s="4"/>
    </row>
    <row r="1940">
      <c r="A1940" s="4" t="s">
        <v>5234</v>
      </c>
      <c r="B1940" s="4" t="s">
        <v>607</v>
      </c>
      <c r="C1940" s="6" t="s">
        <v>607</v>
      </c>
      <c r="D1940" s="6" t="s">
        <v>607</v>
      </c>
      <c r="E1940" s="6" t="s">
        <v>607</v>
      </c>
      <c r="F1940" s="6" t="s">
        <v>607</v>
      </c>
      <c r="G1940" s="4" t="s">
        <v>607</v>
      </c>
      <c r="H1940" s="4" t="s">
        <v>607</v>
      </c>
      <c r="I1940" s="4" t="s">
        <v>607</v>
      </c>
      <c r="J1940" s="4" t="s">
        <v>607</v>
      </c>
      <c r="K1940" s="4" t="s">
        <v>607</v>
      </c>
      <c r="L1940" s="4" t="s">
        <v>607</v>
      </c>
      <c r="M1940" s="4" t="s">
        <v>607</v>
      </c>
      <c r="N1940" s="4" t="s">
        <v>607</v>
      </c>
      <c r="O1940" s="4"/>
      <c r="P1940" s="4"/>
      <c r="T1940" s="4"/>
    </row>
    <row r="1941">
      <c r="A1941" s="4" t="s">
        <v>5235</v>
      </c>
      <c r="B1941" s="4" t="s">
        <v>607</v>
      </c>
      <c r="C1941" s="6" t="s">
        <v>607</v>
      </c>
      <c r="D1941" s="6" t="s">
        <v>607</v>
      </c>
      <c r="E1941" s="6" t="s">
        <v>607</v>
      </c>
      <c r="F1941" s="6" t="s">
        <v>607</v>
      </c>
      <c r="G1941" s="4" t="s">
        <v>607</v>
      </c>
      <c r="H1941" s="4" t="s">
        <v>607</v>
      </c>
      <c r="I1941" s="4" t="s">
        <v>607</v>
      </c>
      <c r="J1941" s="4" t="s">
        <v>607</v>
      </c>
      <c r="K1941" s="4" t="s">
        <v>607</v>
      </c>
      <c r="L1941" s="4" t="s">
        <v>607</v>
      </c>
      <c r="M1941" s="4" t="s">
        <v>607</v>
      </c>
      <c r="N1941" s="4" t="s">
        <v>607</v>
      </c>
      <c r="O1941" s="4"/>
      <c r="P1941" s="4"/>
      <c r="T1941" s="4"/>
    </row>
    <row r="1942">
      <c r="A1942" s="4" t="s">
        <v>5236</v>
      </c>
      <c r="B1942" s="4" t="s">
        <v>607</v>
      </c>
      <c r="C1942" s="6" t="s">
        <v>607</v>
      </c>
      <c r="D1942" s="6" t="s">
        <v>607</v>
      </c>
      <c r="E1942" s="6" t="s">
        <v>607</v>
      </c>
      <c r="F1942" s="6" t="s">
        <v>607</v>
      </c>
      <c r="G1942" s="4" t="s">
        <v>607</v>
      </c>
      <c r="H1942" s="4" t="s">
        <v>607</v>
      </c>
      <c r="I1942" s="4" t="s">
        <v>607</v>
      </c>
      <c r="J1942" s="4" t="s">
        <v>607</v>
      </c>
      <c r="K1942" s="4" t="s">
        <v>607</v>
      </c>
      <c r="L1942" s="4" t="s">
        <v>607</v>
      </c>
      <c r="M1942" s="4" t="s">
        <v>607</v>
      </c>
      <c r="N1942" s="4" t="s">
        <v>607</v>
      </c>
      <c r="O1942" s="4"/>
      <c r="P1942" s="4"/>
      <c r="T1942" s="4"/>
    </row>
    <row r="1943">
      <c r="A1943" s="4" t="s">
        <v>5237</v>
      </c>
      <c r="B1943" s="4" t="s">
        <v>607</v>
      </c>
      <c r="C1943" s="6" t="s">
        <v>607</v>
      </c>
      <c r="D1943" s="6" t="s">
        <v>607</v>
      </c>
      <c r="E1943" s="6" t="s">
        <v>607</v>
      </c>
      <c r="F1943" s="6" t="s">
        <v>607</v>
      </c>
      <c r="G1943" s="4" t="s">
        <v>607</v>
      </c>
      <c r="H1943" s="4" t="s">
        <v>607</v>
      </c>
      <c r="I1943" s="4" t="s">
        <v>607</v>
      </c>
      <c r="J1943" s="4" t="s">
        <v>607</v>
      </c>
      <c r="K1943" s="4" t="s">
        <v>607</v>
      </c>
      <c r="L1943" s="4" t="s">
        <v>607</v>
      </c>
      <c r="M1943" s="4" t="s">
        <v>607</v>
      </c>
      <c r="N1943" s="4" t="s">
        <v>607</v>
      </c>
      <c r="O1943" s="4"/>
      <c r="P1943" s="4"/>
      <c r="T1943" s="4"/>
    </row>
    <row r="1944">
      <c r="A1944" s="4" t="s">
        <v>5238</v>
      </c>
      <c r="B1944" s="4" t="s">
        <v>607</v>
      </c>
      <c r="C1944" s="6" t="s">
        <v>607</v>
      </c>
      <c r="D1944" s="6" t="s">
        <v>607</v>
      </c>
      <c r="E1944" s="6" t="s">
        <v>607</v>
      </c>
      <c r="F1944" s="6" t="s">
        <v>607</v>
      </c>
      <c r="G1944" s="4" t="s">
        <v>607</v>
      </c>
      <c r="H1944" s="4" t="s">
        <v>607</v>
      </c>
      <c r="I1944" s="4" t="s">
        <v>607</v>
      </c>
      <c r="J1944" s="4" t="s">
        <v>607</v>
      </c>
      <c r="K1944" s="4" t="s">
        <v>607</v>
      </c>
      <c r="L1944" s="4" t="s">
        <v>607</v>
      </c>
      <c r="M1944" s="4" t="s">
        <v>607</v>
      </c>
      <c r="N1944" s="4" t="s">
        <v>607</v>
      </c>
      <c r="O1944" s="4"/>
      <c r="P1944" s="4"/>
      <c r="T1944" s="4"/>
    </row>
    <row r="1945">
      <c r="A1945" s="4" t="s">
        <v>5239</v>
      </c>
      <c r="B1945" s="4" t="s">
        <v>607</v>
      </c>
      <c r="C1945" s="6" t="s">
        <v>607</v>
      </c>
      <c r="D1945" s="6" t="s">
        <v>607</v>
      </c>
      <c r="E1945" s="6" t="s">
        <v>607</v>
      </c>
      <c r="F1945" s="6" t="s">
        <v>607</v>
      </c>
      <c r="G1945" s="4" t="s">
        <v>607</v>
      </c>
      <c r="H1945" s="4" t="s">
        <v>607</v>
      </c>
      <c r="I1945" s="4" t="s">
        <v>607</v>
      </c>
      <c r="J1945" s="4" t="s">
        <v>607</v>
      </c>
      <c r="K1945" s="4" t="s">
        <v>607</v>
      </c>
      <c r="L1945" s="4" t="s">
        <v>607</v>
      </c>
      <c r="M1945" s="4" t="s">
        <v>607</v>
      </c>
      <c r="N1945" s="4" t="s">
        <v>607</v>
      </c>
      <c r="O1945" s="4"/>
      <c r="P1945" s="4"/>
      <c r="T1945" s="4"/>
    </row>
    <row r="1946">
      <c r="A1946" s="4" t="s">
        <v>5240</v>
      </c>
      <c r="B1946" s="4" t="s">
        <v>607</v>
      </c>
      <c r="C1946" s="6" t="s">
        <v>607</v>
      </c>
      <c r="D1946" s="6" t="s">
        <v>607</v>
      </c>
      <c r="E1946" s="6" t="s">
        <v>607</v>
      </c>
      <c r="F1946" s="6" t="s">
        <v>607</v>
      </c>
      <c r="G1946" s="4" t="s">
        <v>607</v>
      </c>
      <c r="H1946" s="4" t="s">
        <v>607</v>
      </c>
      <c r="I1946" s="4" t="s">
        <v>607</v>
      </c>
      <c r="J1946" s="4" t="s">
        <v>607</v>
      </c>
      <c r="K1946" s="4" t="s">
        <v>607</v>
      </c>
      <c r="L1946" s="4" t="s">
        <v>607</v>
      </c>
      <c r="M1946" s="4" t="s">
        <v>607</v>
      </c>
      <c r="N1946" s="4" t="s">
        <v>607</v>
      </c>
      <c r="O1946" s="4"/>
      <c r="P1946" s="4"/>
      <c r="T1946" s="4"/>
    </row>
    <row r="1947">
      <c r="A1947" s="4" t="s">
        <v>5241</v>
      </c>
      <c r="B1947" s="4" t="s">
        <v>607</v>
      </c>
      <c r="C1947" s="6" t="s">
        <v>607</v>
      </c>
      <c r="D1947" s="6" t="s">
        <v>607</v>
      </c>
      <c r="E1947" s="6" t="s">
        <v>607</v>
      </c>
      <c r="F1947" s="6" t="s">
        <v>607</v>
      </c>
      <c r="G1947" s="4" t="s">
        <v>607</v>
      </c>
      <c r="H1947" s="4" t="s">
        <v>607</v>
      </c>
      <c r="I1947" s="4" t="s">
        <v>607</v>
      </c>
      <c r="J1947" s="4" t="s">
        <v>607</v>
      </c>
      <c r="K1947" s="4" t="s">
        <v>607</v>
      </c>
      <c r="L1947" s="4" t="s">
        <v>607</v>
      </c>
      <c r="M1947" s="4" t="s">
        <v>607</v>
      </c>
      <c r="N1947" s="4" t="s">
        <v>607</v>
      </c>
      <c r="O1947" s="4"/>
      <c r="P1947" s="4"/>
      <c r="T1947" s="4"/>
    </row>
    <row r="1948">
      <c r="A1948" s="4" t="s">
        <v>5242</v>
      </c>
      <c r="B1948" s="4" t="s">
        <v>607</v>
      </c>
      <c r="C1948" s="6" t="s">
        <v>607</v>
      </c>
      <c r="D1948" s="6" t="s">
        <v>607</v>
      </c>
      <c r="E1948" s="6" t="s">
        <v>607</v>
      </c>
      <c r="F1948" s="6" t="s">
        <v>607</v>
      </c>
      <c r="G1948" s="4" t="s">
        <v>607</v>
      </c>
      <c r="H1948" s="4" t="s">
        <v>607</v>
      </c>
      <c r="I1948" s="4" t="s">
        <v>607</v>
      </c>
      <c r="J1948" s="4" t="s">
        <v>607</v>
      </c>
      <c r="K1948" s="4" t="s">
        <v>607</v>
      </c>
      <c r="L1948" s="4" t="s">
        <v>607</v>
      </c>
      <c r="M1948" s="4" t="s">
        <v>607</v>
      </c>
      <c r="N1948" s="4" t="s">
        <v>607</v>
      </c>
      <c r="O1948" s="4"/>
      <c r="P1948" s="4"/>
      <c r="T1948" s="4"/>
    </row>
    <row r="1949">
      <c r="A1949" s="4" t="s">
        <v>5243</v>
      </c>
      <c r="B1949" s="4" t="s">
        <v>607</v>
      </c>
      <c r="C1949" s="6" t="s">
        <v>607</v>
      </c>
      <c r="D1949" s="6" t="s">
        <v>607</v>
      </c>
      <c r="E1949" s="6" t="s">
        <v>607</v>
      </c>
      <c r="F1949" s="6" t="s">
        <v>607</v>
      </c>
      <c r="G1949" s="4" t="s">
        <v>607</v>
      </c>
      <c r="H1949" s="4" t="s">
        <v>607</v>
      </c>
      <c r="I1949" s="4" t="s">
        <v>607</v>
      </c>
      <c r="J1949" s="4" t="s">
        <v>607</v>
      </c>
      <c r="K1949" s="4" t="s">
        <v>607</v>
      </c>
      <c r="L1949" s="4" t="s">
        <v>607</v>
      </c>
      <c r="M1949" s="4" t="s">
        <v>607</v>
      </c>
      <c r="N1949" s="4" t="s">
        <v>607</v>
      </c>
      <c r="O1949" s="4"/>
      <c r="P1949" s="4"/>
      <c r="T1949" s="4"/>
    </row>
    <row r="1950">
      <c r="A1950" s="4" t="s">
        <v>5244</v>
      </c>
      <c r="B1950" s="4" t="s">
        <v>607</v>
      </c>
      <c r="C1950" s="6" t="s">
        <v>607</v>
      </c>
      <c r="D1950" s="6" t="s">
        <v>607</v>
      </c>
      <c r="E1950" s="6" t="s">
        <v>607</v>
      </c>
      <c r="F1950" s="6" t="s">
        <v>607</v>
      </c>
      <c r="G1950" s="4" t="s">
        <v>607</v>
      </c>
      <c r="H1950" s="4" t="s">
        <v>607</v>
      </c>
      <c r="I1950" s="4" t="s">
        <v>607</v>
      </c>
      <c r="J1950" s="4" t="s">
        <v>607</v>
      </c>
      <c r="K1950" s="4" t="s">
        <v>607</v>
      </c>
      <c r="L1950" s="4" t="s">
        <v>607</v>
      </c>
      <c r="M1950" s="4" t="s">
        <v>607</v>
      </c>
      <c r="N1950" s="4" t="s">
        <v>607</v>
      </c>
      <c r="O1950" s="4"/>
      <c r="P1950" s="4"/>
      <c r="T1950" s="4"/>
    </row>
    <row r="1951">
      <c r="A1951" s="4" t="s">
        <v>5245</v>
      </c>
      <c r="B1951" s="4" t="s">
        <v>607</v>
      </c>
      <c r="C1951" s="6" t="s">
        <v>607</v>
      </c>
      <c r="D1951" s="6" t="s">
        <v>607</v>
      </c>
      <c r="E1951" s="6" t="s">
        <v>607</v>
      </c>
      <c r="F1951" s="6" t="s">
        <v>607</v>
      </c>
      <c r="G1951" s="4" t="s">
        <v>607</v>
      </c>
      <c r="H1951" s="4" t="s">
        <v>607</v>
      </c>
      <c r="I1951" s="4" t="s">
        <v>607</v>
      </c>
      <c r="J1951" s="4" t="s">
        <v>607</v>
      </c>
      <c r="K1951" s="4" t="s">
        <v>607</v>
      </c>
      <c r="L1951" s="4" t="s">
        <v>607</v>
      </c>
      <c r="M1951" s="4" t="s">
        <v>607</v>
      </c>
      <c r="N1951" s="4" t="s">
        <v>607</v>
      </c>
      <c r="O1951" s="4"/>
      <c r="P1951" s="4"/>
      <c r="T1951" s="4"/>
    </row>
    <row r="1952">
      <c r="A1952" s="4" t="s">
        <v>5246</v>
      </c>
      <c r="B1952" s="4" t="s">
        <v>607</v>
      </c>
      <c r="C1952" s="6" t="s">
        <v>607</v>
      </c>
      <c r="D1952" s="6" t="s">
        <v>607</v>
      </c>
      <c r="E1952" s="6" t="s">
        <v>607</v>
      </c>
      <c r="F1952" s="6" t="s">
        <v>607</v>
      </c>
      <c r="G1952" s="4" t="s">
        <v>607</v>
      </c>
      <c r="H1952" s="4" t="s">
        <v>607</v>
      </c>
      <c r="I1952" s="4" t="s">
        <v>607</v>
      </c>
      <c r="J1952" s="4" t="s">
        <v>607</v>
      </c>
      <c r="K1952" s="4" t="s">
        <v>607</v>
      </c>
      <c r="L1952" s="4" t="s">
        <v>607</v>
      </c>
      <c r="M1952" s="4" t="s">
        <v>607</v>
      </c>
      <c r="N1952" s="4" t="s">
        <v>607</v>
      </c>
      <c r="O1952" s="4"/>
      <c r="P1952" s="4"/>
      <c r="T1952" s="4"/>
    </row>
    <row r="1953">
      <c r="A1953" s="4" t="s">
        <v>5247</v>
      </c>
      <c r="B1953" s="4" t="s">
        <v>607</v>
      </c>
      <c r="C1953" s="6" t="s">
        <v>607</v>
      </c>
      <c r="D1953" s="6" t="s">
        <v>607</v>
      </c>
      <c r="E1953" s="6" t="s">
        <v>607</v>
      </c>
      <c r="F1953" s="6" t="s">
        <v>607</v>
      </c>
      <c r="G1953" s="4" t="s">
        <v>607</v>
      </c>
      <c r="H1953" s="4" t="s">
        <v>607</v>
      </c>
      <c r="I1953" s="4" t="s">
        <v>607</v>
      </c>
      <c r="J1953" s="4" t="s">
        <v>607</v>
      </c>
      <c r="K1953" s="4" t="s">
        <v>607</v>
      </c>
      <c r="L1953" s="4" t="s">
        <v>607</v>
      </c>
      <c r="M1953" s="4" t="s">
        <v>607</v>
      </c>
      <c r="N1953" s="4" t="s">
        <v>607</v>
      </c>
      <c r="O1953" s="4"/>
      <c r="P1953" s="4"/>
      <c r="T1953" s="4"/>
    </row>
    <row r="1954">
      <c r="A1954" s="4" t="s">
        <v>5248</v>
      </c>
      <c r="B1954" s="4" t="s">
        <v>607</v>
      </c>
      <c r="C1954" s="6" t="s">
        <v>607</v>
      </c>
      <c r="D1954" s="6" t="s">
        <v>607</v>
      </c>
      <c r="E1954" s="6" t="s">
        <v>607</v>
      </c>
      <c r="F1954" s="6" t="s">
        <v>607</v>
      </c>
      <c r="G1954" s="4" t="s">
        <v>607</v>
      </c>
      <c r="H1954" s="4" t="s">
        <v>607</v>
      </c>
      <c r="I1954" s="4" t="s">
        <v>607</v>
      </c>
      <c r="J1954" s="4" t="s">
        <v>607</v>
      </c>
      <c r="K1954" s="4" t="s">
        <v>607</v>
      </c>
      <c r="L1954" s="4" t="s">
        <v>607</v>
      </c>
      <c r="M1954" s="4" t="s">
        <v>607</v>
      </c>
      <c r="N1954" s="4" t="s">
        <v>607</v>
      </c>
      <c r="O1954" s="4"/>
      <c r="P1954" s="4"/>
      <c r="T1954" s="4"/>
    </row>
    <row r="1955">
      <c r="A1955" s="4" t="s">
        <v>5249</v>
      </c>
      <c r="B1955" s="4" t="s">
        <v>607</v>
      </c>
      <c r="C1955" s="6" t="s">
        <v>607</v>
      </c>
      <c r="D1955" s="6" t="s">
        <v>607</v>
      </c>
      <c r="E1955" s="6" t="s">
        <v>607</v>
      </c>
      <c r="F1955" s="6" t="s">
        <v>607</v>
      </c>
      <c r="G1955" s="4" t="s">
        <v>607</v>
      </c>
      <c r="H1955" s="4" t="s">
        <v>607</v>
      </c>
      <c r="I1955" s="4" t="s">
        <v>607</v>
      </c>
      <c r="J1955" s="4" t="s">
        <v>607</v>
      </c>
      <c r="K1955" s="4" t="s">
        <v>607</v>
      </c>
      <c r="L1955" s="4" t="s">
        <v>607</v>
      </c>
      <c r="M1955" s="4" t="s">
        <v>607</v>
      </c>
      <c r="N1955" s="4" t="s">
        <v>607</v>
      </c>
      <c r="O1955" s="4"/>
      <c r="P1955" s="4"/>
      <c r="T1955" s="4"/>
    </row>
    <row r="1956">
      <c r="A1956" s="4" t="s">
        <v>5250</v>
      </c>
      <c r="B1956" s="4" t="s">
        <v>607</v>
      </c>
      <c r="C1956" s="6" t="s">
        <v>607</v>
      </c>
      <c r="D1956" s="6" t="s">
        <v>607</v>
      </c>
      <c r="E1956" s="6" t="s">
        <v>607</v>
      </c>
      <c r="F1956" s="6" t="s">
        <v>607</v>
      </c>
      <c r="G1956" s="4" t="s">
        <v>607</v>
      </c>
      <c r="H1956" s="4" t="s">
        <v>607</v>
      </c>
      <c r="I1956" s="4" t="s">
        <v>607</v>
      </c>
      <c r="J1956" s="4" t="s">
        <v>607</v>
      </c>
      <c r="K1956" s="4" t="s">
        <v>607</v>
      </c>
      <c r="L1956" s="4" t="s">
        <v>607</v>
      </c>
      <c r="M1956" s="4" t="s">
        <v>607</v>
      </c>
      <c r="N1956" s="4" t="s">
        <v>607</v>
      </c>
      <c r="O1956" s="4"/>
      <c r="P1956" s="4"/>
      <c r="T1956" s="4"/>
    </row>
    <row r="1957">
      <c r="A1957" s="4" t="s">
        <v>5251</v>
      </c>
      <c r="B1957" s="4" t="s">
        <v>607</v>
      </c>
      <c r="C1957" s="6" t="s">
        <v>607</v>
      </c>
      <c r="D1957" s="6" t="s">
        <v>607</v>
      </c>
      <c r="E1957" s="6" t="s">
        <v>607</v>
      </c>
      <c r="F1957" s="6" t="s">
        <v>607</v>
      </c>
      <c r="G1957" s="4" t="s">
        <v>607</v>
      </c>
      <c r="H1957" s="4" t="s">
        <v>607</v>
      </c>
      <c r="I1957" s="4" t="s">
        <v>607</v>
      </c>
      <c r="J1957" s="4" t="s">
        <v>607</v>
      </c>
      <c r="K1957" s="4" t="s">
        <v>607</v>
      </c>
      <c r="L1957" s="4" t="s">
        <v>607</v>
      </c>
      <c r="M1957" s="4" t="s">
        <v>607</v>
      </c>
      <c r="N1957" s="4" t="s">
        <v>607</v>
      </c>
      <c r="O1957" s="4"/>
      <c r="P1957" s="4"/>
      <c r="T1957" s="4"/>
    </row>
    <row r="1958">
      <c r="A1958" s="4" t="s">
        <v>5252</v>
      </c>
      <c r="B1958" s="4" t="s">
        <v>607</v>
      </c>
      <c r="C1958" s="6" t="s">
        <v>607</v>
      </c>
      <c r="D1958" s="6" t="s">
        <v>607</v>
      </c>
      <c r="E1958" s="6" t="s">
        <v>607</v>
      </c>
      <c r="F1958" s="6" t="s">
        <v>607</v>
      </c>
      <c r="G1958" s="4" t="s">
        <v>607</v>
      </c>
      <c r="H1958" s="4" t="s">
        <v>607</v>
      </c>
      <c r="I1958" s="4" t="s">
        <v>607</v>
      </c>
      <c r="J1958" s="4" t="s">
        <v>607</v>
      </c>
      <c r="K1958" s="4" t="s">
        <v>607</v>
      </c>
      <c r="L1958" s="4" t="s">
        <v>607</v>
      </c>
      <c r="M1958" s="4" t="s">
        <v>607</v>
      </c>
      <c r="N1958" s="4" t="s">
        <v>607</v>
      </c>
      <c r="O1958" s="4"/>
      <c r="P1958" s="4"/>
      <c r="T1958" s="4"/>
    </row>
    <row r="1959">
      <c r="A1959" s="4" t="s">
        <v>5253</v>
      </c>
      <c r="B1959" s="4" t="s">
        <v>607</v>
      </c>
      <c r="C1959" s="6" t="s">
        <v>607</v>
      </c>
      <c r="D1959" s="6" t="s">
        <v>607</v>
      </c>
      <c r="E1959" s="6" t="s">
        <v>607</v>
      </c>
      <c r="F1959" s="6" t="s">
        <v>607</v>
      </c>
      <c r="G1959" s="4" t="s">
        <v>607</v>
      </c>
      <c r="H1959" s="4" t="s">
        <v>607</v>
      </c>
      <c r="I1959" s="4" t="s">
        <v>607</v>
      </c>
      <c r="J1959" s="4" t="s">
        <v>607</v>
      </c>
      <c r="K1959" s="4" t="s">
        <v>607</v>
      </c>
      <c r="L1959" s="4" t="s">
        <v>607</v>
      </c>
      <c r="M1959" s="4" t="s">
        <v>607</v>
      </c>
      <c r="N1959" s="4" t="s">
        <v>607</v>
      </c>
      <c r="O1959" s="4"/>
      <c r="P1959" s="4"/>
      <c r="T1959" s="4"/>
    </row>
    <row r="1960">
      <c r="A1960" s="4" t="s">
        <v>5254</v>
      </c>
      <c r="B1960" s="4" t="s">
        <v>607</v>
      </c>
      <c r="C1960" s="6" t="s">
        <v>607</v>
      </c>
      <c r="D1960" s="6" t="s">
        <v>607</v>
      </c>
      <c r="E1960" s="6" t="s">
        <v>607</v>
      </c>
      <c r="F1960" s="6" t="s">
        <v>607</v>
      </c>
      <c r="G1960" s="4" t="s">
        <v>607</v>
      </c>
      <c r="H1960" s="4" t="s">
        <v>607</v>
      </c>
      <c r="I1960" s="4" t="s">
        <v>607</v>
      </c>
      <c r="J1960" s="4" t="s">
        <v>607</v>
      </c>
      <c r="K1960" s="4" t="s">
        <v>607</v>
      </c>
      <c r="L1960" s="4" t="s">
        <v>607</v>
      </c>
      <c r="M1960" s="4" t="s">
        <v>607</v>
      </c>
      <c r="N1960" s="4" t="s">
        <v>607</v>
      </c>
      <c r="O1960" s="4"/>
      <c r="P1960" s="4"/>
      <c r="T1960" s="4"/>
    </row>
    <row r="1961">
      <c r="A1961" s="4" t="s">
        <v>5255</v>
      </c>
      <c r="B1961" s="4" t="s">
        <v>607</v>
      </c>
      <c r="C1961" s="6" t="s">
        <v>607</v>
      </c>
      <c r="D1961" s="6" t="s">
        <v>607</v>
      </c>
      <c r="E1961" s="6" t="s">
        <v>607</v>
      </c>
      <c r="F1961" s="6" t="s">
        <v>607</v>
      </c>
      <c r="G1961" s="4" t="s">
        <v>607</v>
      </c>
      <c r="H1961" s="4" t="s">
        <v>607</v>
      </c>
      <c r="I1961" s="4" t="s">
        <v>607</v>
      </c>
      <c r="J1961" s="4" t="s">
        <v>607</v>
      </c>
      <c r="K1961" s="4" t="s">
        <v>607</v>
      </c>
      <c r="L1961" s="4" t="s">
        <v>607</v>
      </c>
      <c r="M1961" s="4" t="s">
        <v>607</v>
      </c>
      <c r="N1961" s="4" t="s">
        <v>607</v>
      </c>
      <c r="O1961" s="4"/>
      <c r="P1961" s="4"/>
      <c r="T1961" s="4"/>
    </row>
    <row r="1962">
      <c r="A1962" s="4" t="s">
        <v>5256</v>
      </c>
      <c r="B1962" s="4" t="s">
        <v>607</v>
      </c>
      <c r="C1962" s="6" t="s">
        <v>607</v>
      </c>
      <c r="D1962" s="6" t="s">
        <v>607</v>
      </c>
      <c r="E1962" s="6" t="s">
        <v>607</v>
      </c>
      <c r="F1962" s="6" t="s">
        <v>607</v>
      </c>
      <c r="G1962" s="4" t="s">
        <v>607</v>
      </c>
      <c r="H1962" s="4" t="s">
        <v>607</v>
      </c>
      <c r="I1962" s="4" t="s">
        <v>607</v>
      </c>
      <c r="J1962" s="4" t="s">
        <v>607</v>
      </c>
      <c r="K1962" s="4" t="s">
        <v>607</v>
      </c>
      <c r="L1962" s="4" t="s">
        <v>607</v>
      </c>
      <c r="M1962" s="4" t="s">
        <v>607</v>
      </c>
      <c r="N1962" s="4" t="s">
        <v>607</v>
      </c>
      <c r="O1962" s="4"/>
      <c r="P1962" s="4"/>
      <c r="T1962" s="4"/>
    </row>
    <row r="1963">
      <c r="A1963" s="4" t="s">
        <v>5257</v>
      </c>
      <c r="B1963" s="4" t="s">
        <v>607</v>
      </c>
      <c r="C1963" s="6" t="s">
        <v>607</v>
      </c>
      <c r="D1963" s="6" t="s">
        <v>607</v>
      </c>
      <c r="E1963" s="6" t="s">
        <v>607</v>
      </c>
      <c r="F1963" s="6" t="s">
        <v>607</v>
      </c>
      <c r="G1963" s="4" t="s">
        <v>607</v>
      </c>
      <c r="H1963" s="4" t="s">
        <v>607</v>
      </c>
      <c r="I1963" s="4" t="s">
        <v>607</v>
      </c>
      <c r="J1963" s="4" t="s">
        <v>607</v>
      </c>
      <c r="K1963" s="4" t="s">
        <v>607</v>
      </c>
      <c r="L1963" s="4" t="s">
        <v>607</v>
      </c>
      <c r="M1963" s="4" t="s">
        <v>607</v>
      </c>
      <c r="N1963" s="4" t="s">
        <v>607</v>
      </c>
      <c r="O1963" s="4"/>
      <c r="P1963" s="4"/>
      <c r="T1963" s="4"/>
    </row>
    <row r="1964">
      <c r="A1964" s="4" t="s">
        <v>5258</v>
      </c>
      <c r="B1964" s="4" t="s">
        <v>607</v>
      </c>
      <c r="C1964" s="6" t="s">
        <v>607</v>
      </c>
      <c r="D1964" s="6" t="s">
        <v>607</v>
      </c>
      <c r="E1964" s="6" t="s">
        <v>607</v>
      </c>
      <c r="F1964" s="6" t="s">
        <v>607</v>
      </c>
      <c r="G1964" s="4" t="s">
        <v>607</v>
      </c>
      <c r="H1964" s="4" t="s">
        <v>607</v>
      </c>
      <c r="I1964" s="4" t="s">
        <v>607</v>
      </c>
      <c r="J1964" s="4" t="s">
        <v>607</v>
      </c>
      <c r="K1964" s="4" t="s">
        <v>607</v>
      </c>
      <c r="L1964" s="4" t="s">
        <v>607</v>
      </c>
      <c r="M1964" s="4" t="s">
        <v>607</v>
      </c>
      <c r="N1964" s="4" t="s">
        <v>607</v>
      </c>
      <c r="O1964" s="4"/>
      <c r="P1964" s="4"/>
      <c r="T1964" s="4"/>
    </row>
    <row r="1965">
      <c r="A1965" s="4" t="s">
        <v>5259</v>
      </c>
      <c r="B1965" s="4" t="s">
        <v>607</v>
      </c>
      <c r="C1965" s="6" t="s">
        <v>607</v>
      </c>
      <c r="D1965" s="6" t="s">
        <v>607</v>
      </c>
      <c r="E1965" s="6" t="s">
        <v>607</v>
      </c>
      <c r="F1965" s="6" t="s">
        <v>607</v>
      </c>
      <c r="G1965" s="4" t="s">
        <v>607</v>
      </c>
      <c r="H1965" s="4" t="s">
        <v>607</v>
      </c>
      <c r="I1965" s="4" t="s">
        <v>607</v>
      </c>
      <c r="J1965" s="4" t="s">
        <v>607</v>
      </c>
      <c r="K1965" s="4" t="s">
        <v>607</v>
      </c>
      <c r="L1965" s="4" t="s">
        <v>607</v>
      </c>
      <c r="M1965" s="4" t="s">
        <v>607</v>
      </c>
      <c r="N1965" s="4" t="s">
        <v>607</v>
      </c>
      <c r="O1965" s="4"/>
      <c r="P1965" s="4"/>
      <c r="T1965" s="4"/>
    </row>
    <row r="1966">
      <c r="A1966" s="4" t="s">
        <v>5260</v>
      </c>
      <c r="B1966" s="4" t="s">
        <v>607</v>
      </c>
      <c r="C1966" s="6" t="s">
        <v>607</v>
      </c>
      <c r="D1966" s="6" t="s">
        <v>607</v>
      </c>
      <c r="E1966" s="6" t="s">
        <v>607</v>
      </c>
      <c r="F1966" s="6" t="s">
        <v>607</v>
      </c>
      <c r="G1966" s="4" t="s">
        <v>607</v>
      </c>
      <c r="H1966" s="4" t="s">
        <v>607</v>
      </c>
      <c r="I1966" s="4" t="s">
        <v>607</v>
      </c>
      <c r="J1966" s="4" t="s">
        <v>607</v>
      </c>
      <c r="K1966" s="4" t="s">
        <v>607</v>
      </c>
      <c r="L1966" s="4" t="s">
        <v>607</v>
      </c>
      <c r="M1966" s="4" t="s">
        <v>607</v>
      </c>
      <c r="N1966" s="4" t="s">
        <v>607</v>
      </c>
      <c r="O1966" s="4"/>
      <c r="P1966" s="4"/>
      <c r="T1966" s="4"/>
    </row>
    <row r="1967">
      <c r="A1967" s="4" t="s">
        <v>5261</v>
      </c>
      <c r="B1967" s="4" t="s">
        <v>607</v>
      </c>
      <c r="C1967" s="6" t="s">
        <v>607</v>
      </c>
      <c r="D1967" s="6" t="s">
        <v>607</v>
      </c>
      <c r="E1967" s="6" t="s">
        <v>607</v>
      </c>
      <c r="F1967" s="6" t="s">
        <v>607</v>
      </c>
      <c r="G1967" s="4" t="s">
        <v>607</v>
      </c>
      <c r="H1967" s="4" t="s">
        <v>607</v>
      </c>
      <c r="I1967" s="4" t="s">
        <v>607</v>
      </c>
      <c r="J1967" s="4" t="s">
        <v>607</v>
      </c>
      <c r="K1967" s="4" t="s">
        <v>607</v>
      </c>
      <c r="L1967" s="4" t="s">
        <v>607</v>
      </c>
      <c r="M1967" s="4" t="s">
        <v>607</v>
      </c>
      <c r="N1967" s="4" t="s">
        <v>607</v>
      </c>
      <c r="O1967" s="4"/>
      <c r="P1967" s="4"/>
      <c r="T1967" s="4"/>
    </row>
    <row r="1968">
      <c r="A1968" s="4" t="s">
        <v>5262</v>
      </c>
      <c r="B1968" s="4" t="s">
        <v>607</v>
      </c>
      <c r="C1968" s="6" t="s">
        <v>607</v>
      </c>
      <c r="D1968" s="6" t="s">
        <v>607</v>
      </c>
      <c r="E1968" s="6" t="s">
        <v>607</v>
      </c>
      <c r="F1968" s="6" t="s">
        <v>607</v>
      </c>
      <c r="G1968" s="4" t="s">
        <v>607</v>
      </c>
      <c r="H1968" s="4" t="s">
        <v>607</v>
      </c>
      <c r="I1968" s="4" t="s">
        <v>607</v>
      </c>
      <c r="J1968" s="4" t="s">
        <v>607</v>
      </c>
      <c r="K1968" s="4" t="s">
        <v>607</v>
      </c>
      <c r="L1968" s="4" t="s">
        <v>607</v>
      </c>
      <c r="M1968" s="4" t="s">
        <v>607</v>
      </c>
      <c r="N1968" s="4" t="s">
        <v>607</v>
      </c>
      <c r="O1968" s="4"/>
      <c r="P1968" s="4"/>
      <c r="T1968" s="4"/>
    </row>
    <row r="1969">
      <c r="A1969" s="4" t="s">
        <v>5263</v>
      </c>
      <c r="B1969" s="4" t="s">
        <v>607</v>
      </c>
      <c r="C1969" s="6" t="s">
        <v>607</v>
      </c>
      <c r="D1969" s="6" t="s">
        <v>607</v>
      </c>
      <c r="E1969" s="6" t="s">
        <v>607</v>
      </c>
      <c r="F1969" s="6" t="s">
        <v>607</v>
      </c>
      <c r="G1969" s="4" t="s">
        <v>607</v>
      </c>
      <c r="H1969" s="4" t="s">
        <v>607</v>
      </c>
      <c r="I1969" s="4" t="s">
        <v>607</v>
      </c>
      <c r="J1969" s="4" t="s">
        <v>607</v>
      </c>
      <c r="K1969" s="4" t="s">
        <v>607</v>
      </c>
      <c r="L1969" s="4" t="s">
        <v>607</v>
      </c>
      <c r="M1969" s="4" t="s">
        <v>607</v>
      </c>
      <c r="N1969" s="4" t="s">
        <v>607</v>
      </c>
      <c r="O1969" s="4"/>
      <c r="P1969" s="4"/>
      <c r="T1969" s="4"/>
    </row>
    <row r="1970">
      <c r="A1970" s="4" t="s">
        <v>5264</v>
      </c>
      <c r="B1970" s="4" t="s">
        <v>607</v>
      </c>
      <c r="C1970" s="6" t="s">
        <v>607</v>
      </c>
      <c r="D1970" s="6" t="s">
        <v>607</v>
      </c>
      <c r="E1970" s="6" t="s">
        <v>607</v>
      </c>
      <c r="F1970" s="6" t="s">
        <v>607</v>
      </c>
      <c r="G1970" s="4" t="s">
        <v>607</v>
      </c>
      <c r="H1970" s="4" t="s">
        <v>607</v>
      </c>
      <c r="I1970" s="4" t="s">
        <v>607</v>
      </c>
      <c r="J1970" s="4" t="s">
        <v>607</v>
      </c>
      <c r="K1970" s="4" t="s">
        <v>607</v>
      </c>
      <c r="L1970" s="4" t="s">
        <v>607</v>
      </c>
      <c r="M1970" s="4" t="s">
        <v>607</v>
      </c>
      <c r="N1970" s="4" t="s">
        <v>607</v>
      </c>
      <c r="O1970" s="4"/>
      <c r="P1970" s="4"/>
      <c r="T1970" s="4"/>
    </row>
    <row r="1971">
      <c r="A1971" s="4" t="s">
        <v>5265</v>
      </c>
      <c r="B1971" s="4" t="s">
        <v>607</v>
      </c>
      <c r="C1971" s="6" t="s">
        <v>607</v>
      </c>
      <c r="D1971" s="6" t="s">
        <v>607</v>
      </c>
      <c r="E1971" s="6" t="s">
        <v>607</v>
      </c>
      <c r="F1971" s="6" t="s">
        <v>607</v>
      </c>
      <c r="G1971" s="4" t="s">
        <v>607</v>
      </c>
      <c r="H1971" s="4" t="s">
        <v>607</v>
      </c>
      <c r="I1971" s="4" t="s">
        <v>607</v>
      </c>
      <c r="J1971" s="4" t="s">
        <v>607</v>
      </c>
      <c r="K1971" s="4" t="s">
        <v>607</v>
      </c>
      <c r="L1971" s="4" t="s">
        <v>607</v>
      </c>
      <c r="M1971" s="4" t="s">
        <v>607</v>
      </c>
      <c r="N1971" s="4" t="s">
        <v>607</v>
      </c>
      <c r="O1971" s="4"/>
      <c r="P1971" s="4"/>
      <c r="T1971" s="4"/>
    </row>
    <row r="1972">
      <c r="A1972" s="4" t="s">
        <v>5266</v>
      </c>
      <c r="B1972" s="4" t="s">
        <v>607</v>
      </c>
      <c r="C1972" s="6" t="s">
        <v>607</v>
      </c>
      <c r="D1972" s="6" t="s">
        <v>607</v>
      </c>
      <c r="E1972" s="6" t="s">
        <v>607</v>
      </c>
      <c r="F1972" s="6" t="s">
        <v>607</v>
      </c>
      <c r="G1972" s="4" t="s">
        <v>607</v>
      </c>
      <c r="H1972" s="4" t="s">
        <v>607</v>
      </c>
      <c r="I1972" s="4" t="s">
        <v>607</v>
      </c>
      <c r="J1972" s="4" t="s">
        <v>607</v>
      </c>
      <c r="K1972" s="4" t="s">
        <v>607</v>
      </c>
      <c r="L1972" s="4" t="s">
        <v>607</v>
      </c>
      <c r="M1972" s="4" t="s">
        <v>607</v>
      </c>
      <c r="N1972" s="4" t="s">
        <v>607</v>
      </c>
      <c r="O1972" s="4"/>
      <c r="P1972" s="4"/>
      <c r="T1972" s="4"/>
    </row>
    <row r="1973">
      <c r="A1973" s="4" t="s">
        <v>5267</v>
      </c>
      <c r="B1973" s="4" t="s">
        <v>607</v>
      </c>
      <c r="C1973" s="6" t="s">
        <v>607</v>
      </c>
      <c r="D1973" s="6" t="s">
        <v>607</v>
      </c>
      <c r="E1973" s="6" t="s">
        <v>607</v>
      </c>
      <c r="F1973" s="6" t="s">
        <v>607</v>
      </c>
      <c r="G1973" s="4" t="s">
        <v>607</v>
      </c>
      <c r="H1973" s="4" t="s">
        <v>607</v>
      </c>
      <c r="I1973" s="4" t="s">
        <v>607</v>
      </c>
      <c r="J1973" s="4" t="s">
        <v>607</v>
      </c>
      <c r="K1973" s="4" t="s">
        <v>607</v>
      </c>
      <c r="L1973" s="4" t="s">
        <v>607</v>
      </c>
      <c r="M1973" s="4" t="s">
        <v>607</v>
      </c>
      <c r="N1973" s="4" t="s">
        <v>607</v>
      </c>
      <c r="O1973" s="4"/>
      <c r="P1973" s="4"/>
      <c r="T1973" s="4"/>
    </row>
    <row r="1974">
      <c r="A1974" s="4" t="s">
        <v>5268</v>
      </c>
      <c r="B1974" s="4" t="s">
        <v>607</v>
      </c>
      <c r="C1974" s="6" t="s">
        <v>607</v>
      </c>
      <c r="D1974" s="6" t="s">
        <v>607</v>
      </c>
      <c r="E1974" s="6" t="s">
        <v>607</v>
      </c>
      <c r="F1974" s="6" t="s">
        <v>607</v>
      </c>
      <c r="G1974" s="4" t="s">
        <v>607</v>
      </c>
      <c r="H1974" s="4" t="s">
        <v>607</v>
      </c>
      <c r="I1974" s="4" t="s">
        <v>607</v>
      </c>
      <c r="J1974" s="4" t="s">
        <v>607</v>
      </c>
      <c r="K1974" s="4" t="s">
        <v>607</v>
      </c>
      <c r="L1974" s="4" t="s">
        <v>607</v>
      </c>
      <c r="M1974" s="4" t="s">
        <v>607</v>
      </c>
      <c r="N1974" s="4" t="s">
        <v>607</v>
      </c>
      <c r="O1974" s="4"/>
      <c r="P1974" s="4"/>
      <c r="T1974" s="4"/>
    </row>
    <row r="1975">
      <c r="A1975" s="4" t="s">
        <v>5269</v>
      </c>
      <c r="B1975" s="4" t="s">
        <v>607</v>
      </c>
      <c r="C1975" s="6" t="s">
        <v>607</v>
      </c>
      <c r="D1975" s="6" t="s">
        <v>607</v>
      </c>
      <c r="E1975" s="6" t="s">
        <v>607</v>
      </c>
      <c r="F1975" s="6" t="s">
        <v>607</v>
      </c>
      <c r="G1975" s="4" t="s">
        <v>607</v>
      </c>
      <c r="H1975" s="4" t="s">
        <v>607</v>
      </c>
      <c r="I1975" s="4" t="s">
        <v>607</v>
      </c>
      <c r="J1975" s="4" t="s">
        <v>607</v>
      </c>
      <c r="K1975" s="4" t="s">
        <v>607</v>
      </c>
      <c r="L1975" s="4" t="s">
        <v>607</v>
      </c>
      <c r="M1975" s="4" t="s">
        <v>607</v>
      </c>
      <c r="N1975" s="4" t="s">
        <v>607</v>
      </c>
      <c r="O1975" s="4"/>
      <c r="P1975" s="4"/>
      <c r="T1975" s="4"/>
    </row>
    <row r="1976">
      <c r="A1976" s="4" t="s">
        <v>5270</v>
      </c>
      <c r="B1976" s="4" t="s">
        <v>607</v>
      </c>
      <c r="C1976" s="6" t="s">
        <v>607</v>
      </c>
      <c r="D1976" s="6" t="s">
        <v>607</v>
      </c>
      <c r="E1976" s="6" t="s">
        <v>607</v>
      </c>
      <c r="F1976" s="6" t="s">
        <v>607</v>
      </c>
      <c r="G1976" s="4" t="s">
        <v>607</v>
      </c>
      <c r="H1976" s="4" t="s">
        <v>607</v>
      </c>
      <c r="I1976" s="4" t="s">
        <v>607</v>
      </c>
      <c r="J1976" s="4" t="s">
        <v>607</v>
      </c>
      <c r="K1976" s="4" t="s">
        <v>607</v>
      </c>
      <c r="L1976" s="4" t="s">
        <v>607</v>
      </c>
      <c r="M1976" s="4" t="s">
        <v>607</v>
      </c>
      <c r="N1976" s="4" t="s">
        <v>607</v>
      </c>
      <c r="O1976" s="4"/>
      <c r="P1976" s="4"/>
      <c r="T1976" s="4"/>
    </row>
    <row r="1977">
      <c r="A1977" s="4" t="s">
        <v>5271</v>
      </c>
      <c r="B1977" s="4" t="s">
        <v>607</v>
      </c>
      <c r="C1977" s="6" t="s">
        <v>607</v>
      </c>
      <c r="D1977" s="6" t="s">
        <v>607</v>
      </c>
      <c r="E1977" s="6" t="s">
        <v>607</v>
      </c>
      <c r="F1977" s="6" t="s">
        <v>607</v>
      </c>
      <c r="G1977" s="4" t="s">
        <v>607</v>
      </c>
      <c r="H1977" s="4" t="s">
        <v>607</v>
      </c>
      <c r="I1977" s="4" t="s">
        <v>607</v>
      </c>
      <c r="J1977" s="4" t="s">
        <v>607</v>
      </c>
      <c r="K1977" s="4" t="s">
        <v>607</v>
      </c>
      <c r="L1977" s="4" t="s">
        <v>607</v>
      </c>
      <c r="M1977" s="4" t="s">
        <v>607</v>
      </c>
      <c r="N1977" s="4" t="s">
        <v>607</v>
      </c>
      <c r="O1977" s="4"/>
      <c r="P1977" s="4"/>
      <c r="T1977" s="4"/>
    </row>
    <row r="1978">
      <c r="A1978" s="4" t="s">
        <v>5272</v>
      </c>
      <c r="B1978" s="4" t="s">
        <v>607</v>
      </c>
      <c r="C1978" s="6" t="s">
        <v>607</v>
      </c>
      <c r="D1978" s="6" t="s">
        <v>607</v>
      </c>
      <c r="E1978" s="6" t="s">
        <v>607</v>
      </c>
      <c r="F1978" s="6" t="s">
        <v>607</v>
      </c>
      <c r="G1978" s="4" t="s">
        <v>607</v>
      </c>
      <c r="H1978" s="4" t="s">
        <v>607</v>
      </c>
      <c r="I1978" s="4" t="s">
        <v>607</v>
      </c>
      <c r="J1978" s="4" t="s">
        <v>607</v>
      </c>
      <c r="K1978" s="4" t="s">
        <v>607</v>
      </c>
      <c r="L1978" s="4" t="s">
        <v>607</v>
      </c>
      <c r="M1978" s="4" t="s">
        <v>607</v>
      </c>
      <c r="N1978" s="4" t="s">
        <v>607</v>
      </c>
      <c r="O1978" s="4"/>
      <c r="P1978" s="4"/>
      <c r="T1978" s="4"/>
    </row>
    <row r="1979">
      <c r="A1979" s="4" t="s">
        <v>5273</v>
      </c>
      <c r="B1979" s="4" t="s">
        <v>607</v>
      </c>
      <c r="C1979" s="6" t="s">
        <v>607</v>
      </c>
      <c r="D1979" s="6" t="s">
        <v>607</v>
      </c>
      <c r="E1979" s="6" t="s">
        <v>607</v>
      </c>
      <c r="F1979" s="6" t="s">
        <v>607</v>
      </c>
      <c r="G1979" s="4" t="s">
        <v>607</v>
      </c>
      <c r="H1979" s="4" t="s">
        <v>607</v>
      </c>
      <c r="I1979" s="4" t="s">
        <v>607</v>
      </c>
      <c r="J1979" s="4" t="s">
        <v>607</v>
      </c>
      <c r="K1979" s="4" t="s">
        <v>607</v>
      </c>
      <c r="L1979" s="4" t="s">
        <v>607</v>
      </c>
      <c r="M1979" s="4" t="s">
        <v>607</v>
      </c>
      <c r="N1979" s="4" t="s">
        <v>607</v>
      </c>
      <c r="O1979" s="4"/>
      <c r="P1979" s="4"/>
      <c r="T1979" s="4"/>
    </row>
    <row r="1980">
      <c r="A1980" s="4" t="s">
        <v>5274</v>
      </c>
      <c r="B1980" s="4" t="s">
        <v>607</v>
      </c>
      <c r="C1980" s="6" t="s">
        <v>607</v>
      </c>
      <c r="D1980" s="6" t="s">
        <v>607</v>
      </c>
      <c r="E1980" s="6" t="s">
        <v>607</v>
      </c>
      <c r="F1980" s="6" t="s">
        <v>607</v>
      </c>
      <c r="G1980" s="4" t="s">
        <v>607</v>
      </c>
      <c r="H1980" s="4" t="s">
        <v>607</v>
      </c>
      <c r="I1980" s="4" t="s">
        <v>607</v>
      </c>
      <c r="J1980" s="4" t="s">
        <v>607</v>
      </c>
      <c r="K1980" s="4" t="s">
        <v>607</v>
      </c>
      <c r="L1980" s="4" t="s">
        <v>607</v>
      </c>
      <c r="M1980" s="4" t="s">
        <v>607</v>
      </c>
      <c r="N1980" s="4" t="s">
        <v>607</v>
      </c>
      <c r="O1980" s="4"/>
      <c r="P1980" s="4"/>
      <c r="T1980" s="4"/>
    </row>
    <row r="1981">
      <c r="A1981" s="4" t="s">
        <v>5275</v>
      </c>
      <c r="B1981" s="4" t="s">
        <v>607</v>
      </c>
      <c r="C1981" s="6" t="s">
        <v>607</v>
      </c>
      <c r="D1981" s="6" t="s">
        <v>607</v>
      </c>
      <c r="E1981" s="6" t="s">
        <v>607</v>
      </c>
      <c r="F1981" s="6" t="s">
        <v>607</v>
      </c>
      <c r="G1981" s="4" t="s">
        <v>607</v>
      </c>
      <c r="H1981" s="4" t="s">
        <v>607</v>
      </c>
      <c r="I1981" s="4" t="s">
        <v>607</v>
      </c>
      <c r="J1981" s="4" t="s">
        <v>607</v>
      </c>
      <c r="K1981" s="4" t="s">
        <v>607</v>
      </c>
      <c r="L1981" s="4" t="s">
        <v>607</v>
      </c>
      <c r="M1981" s="4" t="s">
        <v>607</v>
      </c>
      <c r="N1981" s="4" t="s">
        <v>607</v>
      </c>
      <c r="O1981" s="4"/>
      <c r="P1981" s="4"/>
      <c r="T1981" s="4"/>
    </row>
    <row r="1982">
      <c r="A1982" s="4" t="s">
        <v>5276</v>
      </c>
      <c r="B1982" s="4" t="s">
        <v>607</v>
      </c>
      <c r="C1982" s="6" t="s">
        <v>607</v>
      </c>
      <c r="D1982" s="6" t="s">
        <v>607</v>
      </c>
      <c r="E1982" s="6" t="s">
        <v>607</v>
      </c>
      <c r="F1982" s="6" t="s">
        <v>607</v>
      </c>
      <c r="G1982" s="4" t="s">
        <v>607</v>
      </c>
      <c r="H1982" s="4" t="s">
        <v>607</v>
      </c>
      <c r="I1982" s="4" t="s">
        <v>607</v>
      </c>
      <c r="J1982" s="4" t="s">
        <v>607</v>
      </c>
      <c r="K1982" s="4" t="s">
        <v>607</v>
      </c>
      <c r="L1982" s="4" t="s">
        <v>607</v>
      </c>
      <c r="M1982" s="4" t="s">
        <v>607</v>
      </c>
      <c r="N1982" s="4" t="s">
        <v>607</v>
      </c>
      <c r="O1982" s="4"/>
      <c r="P1982" s="4"/>
      <c r="T1982" s="4"/>
    </row>
    <row r="1983">
      <c r="A1983" s="4" t="s">
        <v>5277</v>
      </c>
      <c r="B1983" s="4" t="s">
        <v>607</v>
      </c>
      <c r="C1983" s="6" t="s">
        <v>607</v>
      </c>
      <c r="D1983" s="6" t="s">
        <v>607</v>
      </c>
      <c r="E1983" s="6" t="s">
        <v>607</v>
      </c>
      <c r="F1983" s="6" t="s">
        <v>607</v>
      </c>
      <c r="G1983" s="4" t="s">
        <v>607</v>
      </c>
      <c r="H1983" s="4" t="s">
        <v>607</v>
      </c>
      <c r="I1983" s="4" t="s">
        <v>607</v>
      </c>
      <c r="J1983" s="4" t="s">
        <v>607</v>
      </c>
      <c r="K1983" s="4" t="s">
        <v>607</v>
      </c>
      <c r="L1983" s="4" t="s">
        <v>607</v>
      </c>
      <c r="M1983" s="4" t="s">
        <v>607</v>
      </c>
      <c r="N1983" s="4" t="s">
        <v>607</v>
      </c>
      <c r="O1983" s="4"/>
      <c r="P1983" s="4"/>
      <c r="T1983" s="4"/>
    </row>
    <row r="1984">
      <c r="A1984" s="4" t="s">
        <v>5278</v>
      </c>
      <c r="B1984" s="4" t="s">
        <v>607</v>
      </c>
      <c r="C1984" s="6" t="s">
        <v>607</v>
      </c>
      <c r="D1984" s="6" t="s">
        <v>607</v>
      </c>
      <c r="E1984" s="6" t="s">
        <v>607</v>
      </c>
      <c r="F1984" s="6" t="s">
        <v>607</v>
      </c>
      <c r="G1984" s="4" t="s">
        <v>607</v>
      </c>
      <c r="H1984" s="4" t="s">
        <v>607</v>
      </c>
      <c r="I1984" s="4" t="s">
        <v>607</v>
      </c>
      <c r="J1984" s="4" t="s">
        <v>607</v>
      </c>
      <c r="K1984" s="4" t="s">
        <v>607</v>
      </c>
      <c r="L1984" s="4" t="s">
        <v>607</v>
      </c>
      <c r="M1984" s="4" t="s">
        <v>607</v>
      </c>
      <c r="N1984" s="4" t="s">
        <v>607</v>
      </c>
      <c r="O1984" s="4"/>
      <c r="P1984" s="4"/>
      <c r="T1984" s="4"/>
    </row>
    <row r="1985">
      <c r="A1985" s="4" t="s">
        <v>5279</v>
      </c>
      <c r="B1985" s="4" t="s">
        <v>607</v>
      </c>
      <c r="C1985" s="6" t="s">
        <v>607</v>
      </c>
      <c r="D1985" s="6" t="s">
        <v>607</v>
      </c>
      <c r="E1985" s="6" t="s">
        <v>607</v>
      </c>
      <c r="F1985" s="6" t="s">
        <v>607</v>
      </c>
      <c r="G1985" s="4" t="s">
        <v>607</v>
      </c>
      <c r="H1985" s="4" t="s">
        <v>607</v>
      </c>
      <c r="I1985" s="4" t="s">
        <v>607</v>
      </c>
      <c r="J1985" s="4" t="s">
        <v>607</v>
      </c>
      <c r="K1985" s="4" t="s">
        <v>607</v>
      </c>
      <c r="L1985" s="4" t="s">
        <v>607</v>
      </c>
      <c r="M1985" s="4" t="s">
        <v>607</v>
      </c>
      <c r="N1985" s="4" t="s">
        <v>607</v>
      </c>
      <c r="O1985" s="4"/>
      <c r="P1985" s="4"/>
      <c r="T1985" s="4"/>
    </row>
    <row r="1986">
      <c r="A1986" s="4" t="s">
        <v>5280</v>
      </c>
      <c r="B1986" s="4" t="s">
        <v>607</v>
      </c>
      <c r="C1986" s="6" t="s">
        <v>607</v>
      </c>
      <c r="D1986" s="6" t="s">
        <v>607</v>
      </c>
      <c r="E1986" s="6" t="s">
        <v>607</v>
      </c>
      <c r="F1986" s="6" t="s">
        <v>607</v>
      </c>
      <c r="G1986" s="4" t="s">
        <v>607</v>
      </c>
      <c r="H1986" s="4" t="s">
        <v>607</v>
      </c>
      <c r="I1986" s="4" t="s">
        <v>607</v>
      </c>
      <c r="J1986" s="4" t="s">
        <v>607</v>
      </c>
      <c r="K1986" s="4" t="s">
        <v>607</v>
      </c>
      <c r="L1986" s="4" t="s">
        <v>607</v>
      </c>
      <c r="M1986" s="4" t="s">
        <v>607</v>
      </c>
      <c r="N1986" s="4" t="s">
        <v>607</v>
      </c>
      <c r="O1986" s="4"/>
      <c r="P1986" s="4"/>
      <c r="T1986" s="4"/>
    </row>
    <row r="1987">
      <c r="A1987" s="4" t="s">
        <v>5281</v>
      </c>
      <c r="B1987" s="4" t="s">
        <v>607</v>
      </c>
      <c r="C1987" s="6" t="s">
        <v>607</v>
      </c>
      <c r="D1987" s="6" t="s">
        <v>607</v>
      </c>
      <c r="E1987" s="6" t="s">
        <v>607</v>
      </c>
      <c r="F1987" s="6" t="s">
        <v>607</v>
      </c>
      <c r="G1987" s="4" t="s">
        <v>607</v>
      </c>
      <c r="H1987" s="4" t="s">
        <v>607</v>
      </c>
      <c r="I1987" s="4" t="s">
        <v>607</v>
      </c>
      <c r="J1987" s="4" t="s">
        <v>607</v>
      </c>
      <c r="K1987" s="4" t="s">
        <v>607</v>
      </c>
      <c r="L1987" s="4" t="s">
        <v>607</v>
      </c>
      <c r="M1987" s="4" t="s">
        <v>607</v>
      </c>
      <c r="N1987" s="4" t="s">
        <v>607</v>
      </c>
      <c r="O1987" s="4"/>
      <c r="P1987" s="4"/>
      <c r="T1987" s="4"/>
    </row>
    <row r="1988">
      <c r="A1988" s="4" t="s">
        <v>5282</v>
      </c>
      <c r="B1988" s="4" t="s">
        <v>607</v>
      </c>
      <c r="C1988" s="6" t="s">
        <v>607</v>
      </c>
      <c r="D1988" s="6" t="s">
        <v>607</v>
      </c>
      <c r="E1988" s="6" t="s">
        <v>607</v>
      </c>
      <c r="F1988" s="6" t="s">
        <v>607</v>
      </c>
      <c r="G1988" s="4" t="s">
        <v>607</v>
      </c>
      <c r="H1988" s="4" t="s">
        <v>607</v>
      </c>
      <c r="I1988" s="4" t="s">
        <v>607</v>
      </c>
      <c r="J1988" s="4" t="s">
        <v>607</v>
      </c>
      <c r="K1988" s="4" t="s">
        <v>607</v>
      </c>
      <c r="L1988" s="4" t="s">
        <v>607</v>
      </c>
      <c r="M1988" s="4" t="s">
        <v>607</v>
      </c>
      <c r="N1988" s="4" t="s">
        <v>607</v>
      </c>
      <c r="O1988" s="4"/>
      <c r="P1988" s="4"/>
      <c r="T1988" s="4"/>
    </row>
    <row r="1989">
      <c r="A1989" s="4" t="s">
        <v>5283</v>
      </c>
      <c r="B1989" s="4" t="s">
        <v>607</v>
      </c>
      <c r="C1989" s="6" t="s">
        <v>607</v>
      </c>
      <c r="D1989" s="6" t="s">
        <v>607</v>
      </c>
      <c r="E1989" s="6" t="s">
        <v>607</v>
      </c>
      <c r="F1989" s="6" t="s">
        <v>607</v>
      </c>
      <c r="G1989" s="4" t="s">
        <v>607</v>
      </c>
      <c r="H1989" s="4" t="s">
        <v>607</v>
      </c>
      <c r="I1989" s="4" t="s">
        <v>607</v>
      </c>
      <c r="J1989" s="4" t="s">
        <v>607</v>
      </c>
      <c r="K1989" s="4" t="s">
        <v>607</v>
      </c>
      <c r="L1989" s="4" t="s">
        <v>607</v>
      </c>
      <c r="M1989" s="4" t="s">
        <v>607</v>
      </c>
      <c r="N1989" s="4" t="s">
        <v>607</v>
      </c>
      <c r="O1989" s="4"/>
      <c r="P1989" s="4"/>
      <c r="T1989" s="4"/>
    </row>
    <row r="1990">
      <c r="A1990" s="4" t="s">
        <v>5284</v>
      </c>
      <c r="B1990" s="4" t="s">
        <v>607</v>
      </c>
      <c r="C1990" s="6" t="s">
        <v>607</v>
      </c>
      <c r="D1990" s="6" t="s">
        <v>607</v>
      </c>
      <c r="E1990" s="6" t="s">
        <v>607</v>
      </c>
      <c r="F1990" s="6" t="s">
        <v>607</v>
      </c>
      <c r="G1990" s="4" t="s">
        <v>607</v>
      </c>
      <c r="H1990" s="4" t="s">
        <v>607</v>
      </c>
      <c r="I1990" s="4" t="s">
        <v>607</v>
      </c>
      <c r="J1990" s="4" t="s">
        <v>607</v>
      </c>
      <c r="K1990" s="4" t="s">
        <v>607</v>
      </c>
      <c r="L1990" s="4" t="s">
        <v>607</v>
      </c>
      <c r="M1990" s="4" t="s">
        <v>607</v>
      </c>
      <c r="N1990" s="4" t="s">
        <v>607</v>
      </c>
      <c r="O1990" s="4"/>
      <c r="P1990" s="4"/>
      <c r="T1990" s="4"/>
    </row>
    <row r="1991">
      <c r="A1991" s="4" t="s">
        <v>5285</v>
      </c>
      <c r="B1991" s="4" t="s">
        <v>607</v>
      </c>
      <c r="C1991" s="6" t="s">
        <v>607</v>
      </c>
      <c r="D1991" s="6" t="s">
        <v>607</v>
      </c>
      <c r="E1991" s="6" t="s">
        <v>607</v>
      </c>
      <c r="F1991" s="6" t="s">
        <v>607</v>
      </c>
      <c r="G1991" s="4" t="s">
        <v>607</v>
      </c>
      <c r="H1991" s="4" t="s">
        <v>607</v>
      </c>
      <c r="I1991" s="4" t="s">
        <v>607</v>
      </c>
      <c r="J1991" s="4" t="s">
        <v>607</v>
      </c>
      <c r="K1991" s="4" t="s">
        <v>607</v>
      </c>
      <c r="L1991" s="4" t="s">
        <v>607</v>
      </c>
      <c r="M1991" s="4" t="s">
        <v>607</v>
      </c>
      <c r="N1991" s="4" t="s">
        <v>607</v>
      </c>
      <c r="O1991" s="4"/>
      <c r="P1991" s="4"/>
      <c r="T1991" s="4"/>
    </row>
    <row r="1992">
      <c r="A1992" s="4" t="s">
        <v>5286</v>
      </c>
      <c r="B1992" s="4" t="s">
        <v>607</v>
      </c>
      <c r="C1992" s="6" t="s">
        <v>607</v>
      </c>
      <c r="D1992" s="6" t="s">
        <v>607</v>
      </c>
      <c r="E1992" s="6" t="s">
        <v>607</v>
      </c>
      <c r="F1992" s="6" t="s">
        <v>607</v>
      </c>
      <c r="G1992" s="4" t="s">
        <v>607</v>
      </c>
      <c r="H1992" s="4" t="s">
        <v>607</v>
      </c>
      <c r="I1992" s="4" t="s">
        <v>607</v>
      </c>
      <c r="J1992" s="4" t="s">
        <v>607</v>
      </c>
      <c r="K1992" s="4" t="s">
        <v>607</v>
      </c>
      <c r="L1992" s="4" t="s">
        <v>607</v>
      </c>
      <c r="M1992" s="4" t="s">
        <v>607</v>
      </c>
      <c r="N1992" s="4" t="s">
        <v>607</v>
      </c>
      <c r="O1992" s="4"/>
      <c r="P1992" s="4"/>
      <c r="T1992" s="4"/>
    </row>
    <row r="1993">
      <c r="A1993" s="4" t="s">
        <v>5287</v>
      </c>
      <c r="B1993" s="4" t="s">
        <v>607</v>
      </c>
      <c r="C1993" s="6" t="s">
        <v>607</v>
      </c>
      <c r="D1993" s="6" t="s">
        <v>607</v>
      </c>
      <c r="E1993" s="6" t="s">
        <v>607</v>
      </c>
      <c r="F1993" s="6" t="s">
        <v>607</v>
      </c>
      <c r="G1993" s="4" t="s">
        <v>607</v>
      </c>
      <c r="H1993" s="4" t="s">
        <v>607</v>
      </c>
      <c r="I1993" s="4" t="s">
        <v>607</v>
      </c>
      <c r="J1993" s="4" t="s">
        <v>607</v>
      </c>
      <c r="K1993" s="4" t="s">
        <v>607</v>
      </c>
      <c r="L1993" s="4" t="s">
        <v>607</v>
      </c>
      <c r="M1993" s="4" t="s">
        <v>607</v>
      </c>
      <c r="N1993" s="4" t="s">
        <v>607</v>
      </c>
      <c r="O1993" s="4"/>
      <c r="P1993" s="4"/>
      <c r="T1993" s="4"/>
    </row>
    <row r="1994">
      <c r="A1994" s="4" t="s">
        <v>5288</v>
      </c>
      <c r="B1994" s="4" t="s">
        <v>607</v>
      </c>
      <c r="C1994" s="6" t="s">
        <v>607</v>
      </c>
      <c r="D1994" s="6" t="s">
        <v>607</v>
      </c>
      <c r="E1994" s="6" t="s">
        <v>607</v>
      </c>
      <c r="F1994" s="6" t="s">
        <v>607</v>
      </c>
      <c r="G1994" s="4" t="s">
        <v>607</v>
      </c>
      <c r="H1994" s="4" t="s">
        <v>607</v>
      </c>
      <c r="I1994" s="4" t="s">
        <v>607</v>
      </c>
      <c r="J1994" s="4" t="s">
        <v>607</v>
      </c>
      <c r="K1994" s="4" t="s">
        <v>607</v>
      </c>
      <c r="L1994" s="4" t="s">
        <v>607</v>
      </c>
      <c r="M1994" s="4" t="s">
        <v>607</v>
      </c>
      <c r="N1994" s="4" t="s">
        <v>607</v>
      </c>
      <c r="O1994" s="4"/>
      <c r="P1994" s="4"/>
      <c r="T1994" s="4"/>
    </row>
    <row r="1995">
      <c r="A1995" s="4" t="s">
        <v>5289</v>
      </c>
      <c r="B1995" s="4" t="s">
        <v>607</v>
      </c>
      <c r="C1995" s="6" t="s">
        <v>607</v>
      </c>
      <c r="D1995" s="6" t="s">
        <v>607</v>
      </c>
      <c r="E1995" s="6" t="s">
        <v>607</v>
      </c>
      <c r="F1995" s="6" t="s">
        <v>607</v>
      </c>
      <c r="G1995" s="4" t="s">
        <v>607</v>
      </c>
      <c r="H1995" s="4" t="s">
        <v>607</v>
      </c>
      <c r="I1995" s="4" t="s">
        <v>607</v>
      </c>
      <c r="J1995" s="4" t="s">
        <v>607</v>
      </c>
      <c r="K1995" s="4" t="s">
        <v>607</v>
      </c>
      <c r="L1995" s="4" t="s">
        <v>607</v>
      </c>
      <c r="M1995" s="4" t="s">
        <v>607</v>
      </c>
      <c r="N1995" s="4" t="s">
        <v>607</v>
      </c>
      <c r="O1995" s="4"/>
      <c r="P1995" s="4"/>
      <c r="T1995" s="4"/>
    </row>
    <row r="1996">
      <c r="A1996" s="4" t="s">
        <v>5290</v>
      </c>
      <c r="B1996" s="4" t="s">
        <v>607</v>
      </c>
      <c r="C1996" s="6" t="s">
        <v>607</v>
      </c>
      <c r="D1996" s="6" t="s">
        <v>607</v>
      </c>
      <c r="E1996" s="6" t="s">
        <v>607</v>
      </c>
      <c r="F1996" s="6" t="s">
        <v>607</v>
      </c>
      <c r="G1996" s="4" t="s">
        <v>607</v>
      </c>
      <c r="H1996" s="4" t="s">
        <v>607</v>
      </c>
      <c r="I1996" s="4" t="s">
        <v>607</v>
      </c>
      <c r="J1996" s="4" t="s">
        <v>607</v>
      </c>
      <c r="K1996" s="4" t="s">
        <v>607</v>
      </c>
      <c r="L1996" s="4" t="s">
        <v>607</v>
      </c>
      <c r="M1996" s="4" t="s">
        <v>607</v>
      </c>
      <c r="N1996" s="4" t="s">
        <v>607</v>
      </c>
      <c r="O1996" s="4"/>
      <c r="P1996" s="4"/>
      <c r="T1996" s="4"/>
    </row>
    <row r="1997">
      <c r="A1997" s="4" t="s">
        <v>5291</v>
      </c>
      <c r="B1997" s="4" t="s">
        <v>607</v>
      </c>
      <c r="C1997" s="6" t="s">
        <v>607</v>
      </c>
      <c r="D1997" s="6" t="s">
        <v>607</v>
      </c>
      <c r="E1997" s="6" t="s">
        <v>607</v>
      </c>
      <c r="F1997" s="6" t="s">
        <v>607</v>
      </c>
      <c r="G1997" s="4" t="s">
        <v>607</v>
      </c>
      <c r="H1997" s="4" t="s">
        <v>607</v>
      </c>
      <c r="I1997" s="4" t="s">
        <v>607</v>
      </c>
      <c r="J1997" s="4" t="s">
        <v>607</v>
      </c>
      <c r="K1997" s="4" t="s">
        <v>607</v>
      </c>
      <c r="L1997" s="4" t="s">
        <v>607</v>
      </c>
      <c r="M1997" s="4" t="s">
        <v>607</v>
      </c>
      <c r="N1997" s="4" t="s">
        <v>607</v>
      </c>
      <c r="O1997" s="4"/>
      <c r="P1997" s="4"/>
      <c r="T1997" s="4"/>
    </row>
    <row r="1998">
      <c r="A1998" s="4" t="s">
        <v>5292</v>
      </c>
      <c r="B1998" s="4" t="s">
        <v>607</v>
      </c>
      <c r="C1998" s="6" t="s">
        <v>607</v>
      </c>
      <c r="D1998" s="6" t="s">
        <v>607</v>
      </c>
      <c r="E1998" s="6" t="s">
        <v>607</v>
      </c>
      <c r="F1998" s="6" t="s">
        <v>607</v>
      </c>
      <c r="G1998" s="4" t="s">
        <v>607</v>
      </c>
      <c r="H1998" s="4" t="s">
        <v>607</v>
      </c>
      <c r="I1998" s="4" t="s">
        <v>607</v>
      </c>
      <c r="J1998" s="4" t="s">
        <v>607</v>
      </c>
      <c r="K1998" s="4" t="s">
        <v>607</v>
      </c>
      <c r="L1998" s="4" t="s">
        <v>607</v>
      </c>
      <c r="M1998" s="4" t="s">
        <v>607</v>
      </c>
      <c r="N1998" s="4" t="s">
        <v>607</v>
      </c>
      <c r="O1998" s="4"/>
      <c r="P1998" s="4"/>
      <c r="T1998" s="4"/>
    </row>
    <row r="1999">
      <c r="A1999" s="4" t="s">
        <v>5293</v>
      </c>
      <c r="B1999" s="4" t="s">
        <v>607</v>
      </c>
      <c r="C1999" s="6" t="s">
        <v>607</v>
      </c>
      <c r="D1999" s="6" t="s">
        <v>607</v>
      </c>
      <c r="E1999" s="6" t="s">
        <v>607</v>
      </c>
      <c r="F1999" s="6" t="s">
        <v>607</v>
      </c>
      <c r="G1999" s="4" t="s">
        <v>607</v>
      </c>
      <c r="H1999" s="4" t="s">
        <v>607</v>
      </c>
      <c r="I1999" s="4" t="s">
        <v>607</v>
      </c>
      <c r="J1999" s="4" t="s">
        <v>607</v>
      </c>
      <c r="K1999" s="4" t="s">
        <v>607</v>
      </c>
      <c r="L1999" s="4" t="s">
        <v>607</v>
      </c>
      <c r="M1999" s="4" t="s">
        <v>607</v>
      </c>
      <c r="N1999" s="4" t="s">
        <v>607</v>
      </c>
      <c r="O1999" s="4"/>
      <c r="P1999" s="4"/>
      <c r="T1999" s="4"/>
    </row>
    <row r="2000">
      <c r="A2000" s="4" t="s">
        <v>5294</v>
      </c>
      <c r="B2000" s="4" t="s">
        <v>607</v>
      </c>
      <c r="C2000" s="6" t="s">
        <v>607</v>
      </c>
      <c r="D2000" s="6" t="s">
        <v>607</v>
      </c>
      <c r="E2000" s="6" t="s">
        <v>607</v>
      </c>
      <c r="F2000" s="6" t="s">
        <v>607</v>
      </c>
      <c r="G2000" s="4" t="s">
        <v>607</v>
      </c>
      <c r="H2000" s="4" t="s">
        <v>607</v>
      </c>
      <c r="I2000" s="4" t="s">
        <v>607</v>
      </c>
      <c r="J2000" s="4" t="s">
        <v>607</v>
      </c>
      <c r="K2000" s="4" t="s">
        <v>607</v>
      </c>
      <c r="L2000" s="4" t="s">
        <v>607</v>
      </c>
      <c r="M2000" s="4" t="s">
        <v>607</v>
      </c>
      <c r="N2000" s="4" t="s">
        <v>607</v>
      </c>
      <c r="O2000" s="4"/>
      <c r="P2000" s="4"/>
      <c r="T2000" s="4"/>
    </row>
    <row r="2001">
      <c r="A2001" s="4" t="s">
        <v>5295</v>
      </c>
      <c r="B2001" s="4" t="s">
        <v>607</v>
      </c>
      <c r="C2001" s="6" t="s">
        <v>607</v>
      </c>
      <c r="D2001" s="6" t="s">
        <v>607</v>
      </c>
      <c r="E2001" s="6" t="s">
        <v>607</v>
      </c>
      <c r="F2001" s="6" t="s">
        <v>607</v>
      </c>
      <c r="G2001" s="4" t="s">
        <v>607</v>
      </c>
      <c r="H2001" s="4" t="s">
        <v>607</v>
      </c>
      <c r="I2001" s="4" t="s">
        <v>607</v>
      </c>
      <c r="J2001" s="4" t="s">
        <v>607</v>
      </c>
      <c r="K2001" s="4" t="s">
        <v>607</v>
      </c>
      <c r="L2001" s="4" t="s">
        <v>607</v>
      </c>
      <c r="M2001" s="4" t="s">
        <v>607</v>
      </c>
      <c r="N2001" s="4" t="s">
        <v>607</v>
      </c>
      <c r="O2001" s="4"/>
      <c r="P2001" s="4"/>
      <c r="T2001" s="4"/>
    </row>
    <row r="2002">
      <c r="A2002" s="4" t="s">
        <v>5296</v>
      </c>
      <c r="B2002" s="4" t="s">
        <v>607</v>
      </c>
      <c r="C2002" s="6" t="s">
        <v>607</v>
      </c>
      <c r="D2002" s="6" t="s">
        <v>607</v>
      </c>
      <c r="E2002" s="6" t="s">
        <v>607</v>
      </c>
      <c r="F2002" s="6" t="s">
        <v>607</v>
      </c>
      <c r="G2002" s="4" t="s">
        <v>607</v>
      </c>
      <c r="H2002" s="4" t="s">
        <v>607</v>
      </c>
      <c r="I2002" s="4" t="s">
        <v>607</v>
      </c>
      <c r="J2002" s="4" t="s">
        <v>607</v>
      </c>
      <c r="K2002" s="4" t="s">
        <v>607</v>
      </c>
      <c r="L2002" s="4" t="s">
        <v>607</v>
      </c>
      <c r="M2002" s="4" t="s">
        <v>607</v>
      </c>
      <c r="N2002" s="4" t="s">
        <v>607</v>
      </c>
      <c r="O2002" s="4"/>
      <c r="P2002" s="4"/>
      <c r="T2002" s="4"/>
    </row>
    <row r="2003">
      <c r="A2003" s="4" t="s">
        <v>5297</v>
      </c>
      <c r="B2003" s="4" t="s">
        <v>607</v>
      </c>
      <c r="C2003" s="6" t="s">
        <v>607</v>
      </c>
      <c r="D2003" s="6" t="s">
        <v>607</v>
      </c>
      <c r="E2003" s="6" t="s">
        <v>607</v>
      </c>
      <c r="F2003" s="6" t="s">
        <v>607</v>
      </c>
      <c r="G2003" s="4" t="s">
        <v>607</v>
      </c>
      <c r="H2003" s="4" t="s">
        <v>607</v>
      </c>
      <c r="I2003" s="4" t="s">
        <v>607</v>
      </c>
      <c r="J2003" s="4" t="s">
        <v>607</v>
      </c>
      <c r="K2003" s="4" t="s">
        <v>607</v>
      </c>
      <c r="L2003" s="4" t="s">
        <v>607</v>
      </c>
      <c r="M2003" s="4" t="s">
        <v>607</v>
      </c>
      <c r="N2003" s="4" t="s">
        <v>607</v>
      </c>
      <c r="O2003" s="4"/>
      <c r="P2003" s="4"/>
      <c r="T2003" s="4"/>
    </row>
    <row r="2004">
      <c r="A2004" s="4" t="s">
        <v>5298</v>
      </c>
      <c r="B2004" s="4" t="s">
        <v>607</v>
      </c>
      <c r="C2004" s="6" t="s">
        <v>607</v>
      </c>
      <c r="D2004" s="6" t="s">
        <v>607</v>
      </c>
      <c r="E2004" s="6" t="s">
        <v>607</v>
      </c>
      <c r="F2004" s="6" t="s">
        <v>607</v>
      </c>
      <c r="G2004" s="4" t="s">
        <v>607</v>
      </c>
      <c r="H2004" s="4" t="s">
        <v>607</v>
      </c>
      <c r="I2004" s="4" t="s">
        <v>607</v>
      </c>
      <c r="J2004" s="4" t="s">
        <v>607</v>
      </c>
      <c r="K2004" s="4" t="s">
        <v>607</v>
      </c>
      <c r="L2004" s="4" t="s">
        <v>607</v>
      </c>
      <c r="M2004" s="4" t="s">
        <v>607</v>
      </c>
      <c r="N2004" s="4" t="s">
        <v>607</v>
      </c>
      <c r="O2004" s="4"/>
      <c r="P2004" s="4"/>
      <c r="T2004" s="4"/>
    </row>
    <row r="2005">
      <c r="A2005" s="4" t="s">
        <v>5299</v>
      </c>
      <c r="B2005" s="4" t="s">
        <v>607</v>
      </c>
      <c r="C2005" s="6" t="s">
        <v>607</v>
      </c>
      <c r="D2005" s="6" t="s">
        <v>607</v>
      </c>
      <c r="E2005" s="6" t="s">
        <v>607</v>
      </c>
      <c r="F2005" s="6" t="s">
        <v>607</v>
      </c>
      <c r="G2005" s="4" t="s">
        <v>607</v>
      </c>
      <c r="H2005" s="4" t="s">
        <v>607</v>
      </c>
      <c r="I2005" s="4" t="s">
        <v>607</v>
      </c>
      <c r="J2005" s="4" t="s">
        <v>607</v>
      </c>
      <c r="K2005" s="4" t="s">
        <v>607</v>
      </c>
      <c r="L2005" s="4" t="s">
        <v>607</v>
      </c>
      <c r="M2005" s="4" t="s">
        <v>607</v>
      </c>
      <c r="N2005" s="4" t="s">
        <v>607</v>
      </c>
      <c r="O2005" s="4"/>
      <c r="P2005" s="4"/>
      <c r="T2005" s="4"/>
    </row>
    <row r="2006">
      <c r="A2006" s="4" t="s">
        <v>5300</v>
      </c>
      <c r="B2006" s="4" t="s">
        <v>607</v>
      </c>
      <c r="C2006" s="6" t="s">
        <v>607</v>
      </c>
      <c r="D2006" s="6" t="s">
        <v>607</v>
      </c>
      <c r="E2006" s="6" t="s">
        <v>607</v>
      </c>
      <c r="F2006" s="6" t="s">
        <v>607</v>
      </c>
      <c r="G2006" s="4" t="s">
        <v>607</v>
      </c>
      <c r="H2006" s="4" t="s">
        <v>607</v>
      </c>
      <c r="I2006" s="4" t="s">
        <v>607</v>
      </c>
      <c r="J2006" s="4" t="s">
        <v>607</v>
      </c>
      <c r="K2006" s="4" t="s">
        <v>607</v>
      </c>
      <c r="L2006" s="4" t="s">
        <v>607</v>
      </c>
      <c r="M2006" s="4" t="s">
        <v>607</v>
      </c>
      <c r="N2006" s="4" t="s">
        <v>607</v>
      </c>
      <c r="O2006" s="4"/>
      <c r="P2006" s="4"/>
      <c r="T2006" s="4"/>
    </row>
    <row r="2007">
      <c r="A2007" s="4" t="s">
        <v>5301</v>
      </c>
      <c r="B2007" s="4" t="s">
        <v>607</v>
      </c>
      <c r="C2007" s="6" t="s">
        <v>607</v>
      </c>
      <c r="D2007" s="6" t="s">
        <v>607</v>
      </c>
      <c r="E2007" s="6" t="s">
        <v>607</v>
      </c>
      <c r="F2007" s="6" t="s">
        <v>607</v>
      </c>
      <c r="G2007" s="4" t="s">
        <v>607</v>
      </c>
      <c r="H2007" s="4" t="s">
        <v>607</v>
      </c>
      <c r="I2007" s="4" t="s">
        <v>607</v>
      </c>
      <c r="J2007" s="4" t="s">
        <v>607</v>
      </c>
      <c r="K2007" s="4" t="s">
        <v>607</v>
      </c>
      <c r="L2007" s="4" t="s">
        <v>607</v>
      </c>
      <c r="M2007" s="4" t="s">
        <v>607</v>
      </c>
      <c r="N2007" s="4" t="s">
        <v>607</v>
      </c>
      <c r="O2007" s="4"/>
      <c r="P2007" s="4"/>
      <c r="T2007" s="4"/>
    </row>
    <row r="2008">
      <c r="A2008" s="4" t="s">
        <v>5302</v>
      </c>
      <c r="B2008" s="4" t="s">
        <v>607</v>
      </c>
      <c r="C2008" s="6" t="s">
        <v>607</v>
      </c>
      <c r="D2008" s="6" t="s">
        <v>607</v>
      </c>
      <c r="E2008" s="6" t="s">
        <v>607</v>
      </c>
      <c r="F2008" s="6" t="s">
        <v>607</v>
      </c>
      <c r="G2008" s="4" t="s">
        <v>607</v>
      </c>
      <c r="H2008" s="4" t="s">
        <v>607</v>
      </c>
      <c r="I2008" s="4" t="s">
        <v>607</v>
      </c>
      <c r="J2008" s="4" t="s">
        <v>607</v>
      </c>
      <c r="K2008" s="4" t="s">
        <v>607</v>
      </c>
      <c r="L2008" s="4" t="s">
        <v>607</v>
      </c>
      <c r="M2008" s="4" t="s">
        <v>607</v>
      </c>
      <c r="N2008" s="4" t="s">
        <v>607</v>
      </c>
      <c r="O2008" s="4"/>
      <c r="P2008" s="4"/>
      <c r="T2008" s="4"/>
    </row>
    <row r="2009">
      <c r="A2009" s="4" t="s">
        <v>5303</v>
      </c>
      <c r="B2009" s="4" t="s">
        <v>607</v>
      </c>
      <c r="C2009" s="6" t="s">
        <v>607</v>
      </c>
      <c r="D2009" s="6" t="s">
        <v>607</v>
      </c>
      <c r="E2009" s="6" t="s">
        <v>607</v>
      </c>
      <c r="F2009" s="6" t="s">
        <v>607</v>
      </c>
      <c r="G2009" s="4" t="s">
        <v>607</v>
      </c>
      <c r="H2009" s="4" t="s">
        <v>607</v>
      </c>
      <c r="I2009" s="4" t="s">
        <v>607</v>
      </c>
      <c r="J2009" s="4" t="s">
        <v>607</v>
      </c>
      <c r="K2009" s="4" t="s">
        <v>607</v>
      </c>
      <c r="L2009" s="4" t="s">
        <v>607</v>
      </c>
      <c r="M2009" s="4" t="s">
        <v>607</v>
      </c>
      <c r="N2009" s="4" t="s">
        <v>607</v>
      </c>
      <c r="O2009" s="4"/>
      <c r="P2009" s="4"/>
      <c r="T2009" s="4"/>
    </row>
    <row r="2010">
      <c r="A2010" s="4" t="s">
        <v>5304</v>
      </c>
      <c r="B2010" s="4" t="s">
        <v>607</v>
      </c>
      <c r="C2010" s="6" t="s">
        <v>607</v>
      </c>
      <c r="D2010" s="6" t="s">
        <v>607</v>
      </c>
      <c r="E2010" s="6" t="s">
        <v>607</v>
      </c>
      <c r="F2010" s="6" t="s">
        <v>607</v>
      </c>
      <c r="G2010" s="4" t="s">
        <v>607</v>
      </c>
      <c r="H2010" s="4" t="s">
        <v>607</v>
      </c>
      <c r="I2010" s="4" t="s">
        <v>607</v>
      </c>
      <c r="J2010" s="4" t="s">
        <v>607</v>
      </c>
      <c r="K2010" s="4" t="s">
        <v>607</v>
      </c>
      <c r="L2010" s="4" t="s">
        <v>607</v>
      </c>
      <c r="M2010" s="4" t="s">
        <v>607</v>
      </c>
      <c r="N2010" s="4" t="s">
        <v>607</v>
      </c>
      <c r="O2010" s="4"/>
      <c r="P2010" s="4"/>
      <c r="T2010" s="4"/>
    </row>
    <row r="2011">
      <c r="A2011" s="4" t="s">
        <v>5305</v>
      </c>
      <c r="B2011" s="4" t="s">
        <v>607</v>
      </c>
      <c r="C2011" s="6" t="s">
        <v>607</v>
      </c>
      <c r="D2011" s="6" t="s">
        <v>607</v>
      </c>
      <c r="E2011" s="6" t="s">
        <v>607</v>
      </c>
      <c r="F2011" s="6" t="s">
        <v>607</v>
      </c>
      <c r="G2011" s="4" t="s">
        <v>607</v>
      </c>
      <c r="H2011" s="4" t="s">
        <v>607</v>
      </c>
      <c r="I2011" s="4" t="s">
        <v>607</v>
      </c>
      <c r="J2011" s="4" t="s">
        <v>607</v>
      </c>
      <c r="K2011" s="4" t="s">
        <v>607</v>
      </c>
      <c r="L2011" s="4" t="s">
        <v>607</v>
      </c>
      <c r="M2011" s="4" t="s">
        <v>607</v>
      </c>
      <c r="N2011" s="4" t="s">
        <v>607</v>
      </c>
      <c r="O2011" s="4"/>
      <c r="P2011" s="4"/>
      <c r="T2011" s="4"/>
    </row>
    <row r="2012">
      <c r="A2012" s="4" t="s">
        <v>5306</v>
      </c>
      <c r="B2012" s="4" t="s">
        <v>607</v>
      </c>
      <c r="C2012" s="6" t="s">
        <v>607</v>
      </c>
      <c r="D2012" s="6" t="s">
        <v>607</v>
      </c>
      <c r="E2012" s="6" t="s">
        <v>607</v>
      </c>
      <c r="F2012" s="6" t="s">
        <v>607</v>
      </c>
      <c r="G2012" s="4" t="s">
        <v>607</v>
      </c>
      <c r="H2012" s="4" t="s">
        <v>607</v>
      </c>
      <c r="I2012" s="4" t="s">
        <v>607</v>
      </c>
      <c r="J2012" s="4" t="s">
        <v>607</v>
      </c>
      <c r="K2012" s="4" t="s">
        <v>607</v>
      </c>
      <c r="L2012" s="4" t="s">
        <v>607</v>
      </c>
      <c r="M2012" s="4" t="s">
        <v>607</v>
      </c>
      <c r="N2012" s="4" t="s">
        <v>607</v>
      </c>
      <c r="O2012" s="4"/>
      <c r="P2012" s="4"/>
      <c r="T2012" s="4"/>
    </row>
    <row r="2013">
      <c r="A2013" s="4" t="s">
        <v>5307</v>
      </c>
      <c r="B2013" s="4" t="s">
        <v>607</v>
      </c>
      <c r="C2013" s="6" t="s">
        <v>607</v>
      </c>
      <c r="D2013" s="6" t="s">
        <v>607</v>
      </c>
      <c r="E2013" s="6" t="s">
        <v>607</v>
      </c>
      <c r="F2013" s="6" t="s">
        <v>607</v>
      </c>
      <c r="G2013" s="4" t="s">
        <v>607</v>
      </c>
      <c r="H2013" s="4" t="s">
        <v>607</v>
      </c>
      <c r="I2013" s="4" t="s">
        <v>607</v>
      </c>
      <c r="J2013" s="4" t="s">
        <v>607</v>
      </c>
      <c r="K2013" s="4" t="s">
        <v>607</v>
      </c>
      <c r="L2013" s="4" t="s">
        <v>607</v>
      </c>
      <c r="M2013" s="4" t="s">
        <v>607</v>
      </c>
      <c r="N2013" s="4" t="s">
        <v>607</v>
      </c>
      <c r="O2013" s="4"/>
      <c r="P2013" s="4"/>
      <c r="T2013" s="4"/>
    </row>
    <row r="2014">
      <c r="A2014" s="4" t="s">
        <v>5308</v>
      </c>
      <c r="B2014" s="4" t="s">
        <v>607</v>
      </c>
      <c r="C2014" s="6" t="s">
        <v>607</v>
      </c>
      <c r="D2014" s="6" t="s">
        <v>607</v>
      </c>
      <c r="E2014" s="6" t="s">
        <v>607</v>
      </c>
      <c r="F2014" s="6" t="s">
        <v>607</v>
      </c>
      <c r="G2014" s="4" t="s">
        <v>607</v>
      </c>
      <c r="H2014" s="4" t="s">
        <v>607</v>
      </c>
      <c r="I2014" s="4" t="s">
        <v>607</v>
      </c>
      <c r="J2014" s="4" t="s">
        <v>607</v>
      </c>
      <c r="K2014" s="4" t="s">
        <v>607</v>
      </c>
      <c r="L2014" s="4" t="s">
        <v>607</v>
      </c>
      <c r="M2014" s="4" t="s">
        <v>607</v>
      </c>
      <c r="N2014" s="4" t="s">
        <v>607</v>
      </c>
      <c r="O2014" s="4"/>
      <c r="P2014" s="4"/>
      <c r="T2014" s="4"/>
    </row>
    <row r="2015">
      <c r="A2015" s="4" t="s">
        <v>5309</v>
      </c>
      <c r="B2015" s="4" t="s">
        <v>607</v>
      </c>
      <c r="C2015" s="6" t="s">
        <v>607</v>
      </c>
      <c r="D2015" s="6" t="s">
        <v>607</v>
      </c>
      <c r="E2015" s="6" t="s">
        <v>607</v>
      </c>
      <c r="F2015" s="6" t="s">
        <v>607</v>
      </c>
      <c r="G2015" s="4" t="s">
        <v>607</v>
      </c>
      <c r="H2015" s="4" t="s">
        <v>607</v>
      </c>
      <c r="I2015" s="4" t="s">
        <v>607</v>
      </c>
      <c r="J2015" s="4" t="s">
        <v>607</v>
      </c>
      <c r="K2015" s="4" t="s">
        <v>607</v>
      </c>
      <c r="L2015" s="4" t="s">
        <v>607</v>
      </c>
      <c r="M2015" s="4" t="s">
        <v>607</v>
      </c>
      <c r="N2015" s="4" t="s">
        <v>607</v>
      </c>
      <c r="O2015" s="4"/>
      <c r="P2015" s="4"/>
      <c r="T2015" s="4"/>
    </row>
    <row r="2016">
      <c r="A2016" s="4" t="s">
        <v>5310</v>
      </c>
      <c r="B2016" s="4" t="s">
        <v>607</v>
      </c>
      <c r="C2016" s="6" t="s">
        <v>607</v>
      </c>
      <c r="D2016" s="6" t="s">
        <v>607</v>
      </c>
      <c r="E2016" s="6" t="s">
        <v>607</v>
      </c>
      <c r="F2016" s="6" t="s">
        <v>607</v>
      </c>
      <c r="G2016" s="4" t="s">
        <v>607</v>
      </c>
      <c r="H2016" s="4" t="s">
        <v>607</v>
      </c>
      <c r="I2016" s="4" t="s">
        <v>607</v>
      </c>
      <c r="J2016" s="4" t="s">
        <v>607</v>
      </c>
      <c r="K2016" s="4" t="s">
        <v>607</v>
      </c>
      <c r="L2016" s="4" t="s">
        <v>607</v>
      </c>
      <c r="M2016" s="4" t="s">
        <v>607</v>
      </c>
      <c r="N2016" s="4" t="s">
        <v>607</v>
      </c>
      <c r="O2016" s="4"/>
      <c r="P2016" s="4"/>
      <c r="T2016" s="4"/>
    </row>
    <row r="2017">
      <c r="A2017" s="4" t="s">
        <v>5311</v>
      </c>
      <c r="B2017" s="4" t="s">
        <v>607</v>
      </c>
      <c r="C2017" s="6" t="s">
        <v>607</v>
      </c>
      <c r="D2017" s="6" t="s">
        <v>607</v>
      </c>
      <c r="E2017" s="6" t="s">
        <v>607</v>
      </c>
      <c r="F2017" s="6" t="s">
        <v>607</v>
      </c>
      <c r="G2017" s="4" t="s">
        <v>607</v>
      </c>
      <c r="H2017" s="4" t="s">
        <v>607</v>
      </c>
      <c r="I2017" s="4" t="s">
        <v>607</v>
      </c>
      <c r="J2017" s="4" t="s">
        <v>607</v>
      </c>
      <c r="K2017" s="4" t="s">
        <v>607</v>
      </c>
      <c r="L2017" s="4" t="s">
        <v>607</v>
      </c>
      <c r="M2017" s="4" t="s">
        <v>607</v>
      </c>
      <c r="N2017" s="4" t="s">
        <v>607</v>
      </c>
      <c r="O2017" s="4"/>
      <c r="P2017" s="4"/>
      <c r="T2017" s="4"/>
    </row>
    <row r="2018">
      <c r="A2018" s="4" t="s">
        <v>5312</v>
      </c>
      <c r="B2018" s="4" t="s">
        <v>607</v>
      </c>
      <c r="C2018" s="6" t="s">
        <v>607</v>
      </c>
      <c r="D2018" s="6" t="s">
        <v>607</v>
      </c>
      <c r="E2018" s="6" t="s">
        <v>607</v>
      </c>
      <c r="F2018" s="6" t="s">
        <v>607</v>
      </c>
      <c r="G2018" s="4" t="s">
        <v>607</v>
      </c>
      <c r="H2018" s="4" t="s">
        <v>607</v>
      </c>
      <c r="I2018" s="4" t="s">
        <v>607</v>
      </c>
      <c r="J2018" s="4" t="s">
        <v>607</v>
      </c>
      <c r="K2018" s="4" t="s">
        <v>607</v>
      </c>
      <c r="L2018" s="4" t="s">
        <v>607</v>
      </c>
      <c r="M2018" s="4" t="s">
        <v>607</v>
      </c>
      <c r="N2018" s="4" t="s">
        <v>607</v>
      </c>
      <c r="O2018" s="4"/>
      <c r="P2018" s="4"/>
      <c r="T2018" s="4"/>
    </row>
    <row r="2019">
      <c r="A2019" s="4" t="s">
        <v>5313</v>
      </c>
      <c r="B2019" s="4" t="s">
        <v>607</v>
      </c>
      <c r="C2019" s="6" t="s">
        <v>607</v>
      </c>
      <c r="D2019" s="6" t="s">
        <v>607</v>
      </c>
      <c r="E2019" s="6" t="s">
        <v>607</v>
      </c>
      <c r="F2019" s="6" t="s">
        <v>607</v>
      </c>
      <c r="G2019" s="4" t="s">
        <v>607</v>
      </c>
      <c r="H2019" s="4" t="s">
        <v>607</v>
      </c>
      <c r="I2019" s="4" t="s">
        <v>607</v>
      </c>
      <c r="J2019" s="4" t="s">
        <v>607</v>
      </c>
      <c r="K2019" s="4" t="s">
        <v>607</v>
      </c>
      <c r="L2019" s="4" t="s">
        <v>607</v>
      </c>
      <c r="M2019" s="4" t="s">
        <v>607</v>
      </c>
      <c r="N2019" s="4" t="s">
        <v>607</v>
      </c>
      <c r="O2019" s="4"/>
      <c r="P2019" s="4"/>
      <c r="T2019" s="4"/>
    </row>
    <row r="2020">
      <c r="A2020" s="4" t="s">
        <v>5314</v>
      </c>
      <c r="B2020" s="4" t="s">
        <v>607</v>
      </c>
      <c r="C2020" s="6" t="s">
        <v>607</v>
      </c>
      <c r="D2020" s="6" t="s">
        <v>607</v>
      </c>
      <c r="E2020" s="6" t="s">
        <v>607</v>
      </c>
      <c r="F2020" s="6" t="s">
        <v>607</v>
      </c>
      <c r="G2020" s="4" t="s">
        <v>607</v>
      </c>
      <c r="H2020" s="4" t="s">
        <v>607</v>
      </c>
      <c r="I2020" s="4" t="s">
        <v>607</v>
      </c>
      <c r="J2020" s="4" t="s">
        <v>607</v>
      </c>
      <c r="K2020" s="4" t="s">
        <v>607</v>
      </c>
      <c r="L2020" s="4" t="s">
        <v>607</v>
      </c>
      <c r="M2020" s="4" t="s">
        <v>607</v>
      </c>
      <c r="N2020" s="4" t="s">
        <v>607</v>
      </c>
      <c r="O2020" s="4"/>
      <c r="P2020" s="4"/>
      <c r="T2020" s="4"/>
    </row>
    <row r="2021">
      <c r="A2021" s="4" t="s">
        <v>5315</v>
      </c>
      <c r="B2021" s="4" t="s">
        <v>607</v>
      </c>
      <c r="C2021" s="6" t="s">
        <v>607</v>
      </c>
      <c r="D2021" s="6" t="s">
        <v>607</v>
      </c>
      <c r="E2021" s="6" t="s">
        <v>607</v>
      </c>
      <c r="F2021" s="6" t="s">
        <v>607</v>
      </c>
      <c r="G2021" s="4" t="s">
        <v>607</v>
      </c>
      <c r="H2021" s="4" t="s">
        <v>607</v>
      </c>
      <c r="I2021" s="4" t="s">
        <v>607</v>
      </c>
      <c r="J2021" s="4" t="s">
        <v>607</v>
      </c>
      <c r="K2021" s="4" t="s">
        <v>607</v>
      </c>
      <c r="L2021" s="4" t="s">
        <v>607</v>
      </c>
      <c r="M2021" s="4" t="s">
        <v>607</v>
      </c>
      <c r="N2021" s="4" t="s">
        <v>607</v>
      </c>
      <c r="O2021" s="4"/>
      <c r="P2021" s="4"/>
      <c r="T2021" s="4"/>
    </row>
    <row r="2022">
      <c r="A2022" s="4" t="s">
        <v>5316</v>
      </c>
      <c r="B2022" s="4" t="s">
        <v>607</v>
      </c>
      <c r="C2022" s="6" t="s">
        <v>607</v>
      </c>
      <c r="D2022" s="6" t="s">
        <v>607</v>
      </c>
      <c r="E2022" s="6" t="s">
        <v>607</v>
      </c>
      <c r="F2022" s="6" t="s">
        <v>607</v>
      </c>
      <c r="G2022" s="4" t="s">
        <v>607</v>
      </c>
      <c r="H2022" s="4" t="s">
        <v>607</v>
      </c>
      <c r="I2022" s="4" t="s">
        <v>607</v>
      </c>
      <c r="J2022" s="4" t="s">
        <v>607</v>
      </c>
      <c r="K2022" s="4" t="s">
        <v>607</v>
      </c>
      <c r="L2022" s="4" t="s">
        <v>607</v>
      </c>
      <c r="M2022" s="4" t="s">
        <v>607</v>
      </c>
      <c r="N2022" s="4" t="s">
        <v>607</v>
      </c>
      <c r="O2022" s="4"/>
      <c r="P2022" s="4"/>
      <c r="T2022" s="4"/>
    </row>
    <row r="2023">
      <c r="A2023" s="4" t="s">
        <v>5317</v>
      </c>
      <c r="B2023" s="4" t="s">
        <v>607</v>
      </c>
      <c r="C2023" s="6" t="s">
        <v>607</v>
      </c>
      <c r="D2023" s="6" t="s">
        <v>607</v>
      </c>
      <c r="E2023" s="6" t="s">
        <v>607</v>
      </c>
      <c r="F2023" s="6" t="s">
        <v>607</v>
      </c>
      <c r="G2023" s="4" t="s">
        <v>607</v>
      </c>
      <c r="H2023" s="4" t="s">
        <v>607</v>
      </c>
      <c r="I2023" s="4" t="s">
        <v>607</v>
      </c>
      <c r="J2023" s="4" t="s">
        <v>607</v>
      </c>
      <c r="K2023" s="4" t="s">
        <v>607</v>
      </c>
      <c r="L2023" s="4" t="s">
        <v>607</v>
      </c>
      <c r="M2023" s="4" t="s">
        <v>607</v>
      </c>
      <c r="N2023" s="4" t="s">
        <v>607</v>
      </c>
      <c r="O2023" s="4"/>
      <c r="P2023" s="4"/>
      <c r="T2023" s="4"/>
    </row>
    <row r="2024">
      <c r="A2024" s="4" t="s">
        <v>5318</v>
      </c>
      <c r="B2024" s="4" t="s">
        <v>607</v>
      </c>
      <c r="C2024" s="6" t="s">
        <v>607</v>
      </c>
      <c r="D2024" s="6" t="s">
        <v>607</v>
      </c>
      <c r="E2024" s="6" t="s">
        <v>607</v>
      </c>
      <c r="F2024" s="6" t="s">
        <v>607</v>
      </c>
      <c r="G2024" s="4" t="s">
        <v>607</v>
      </c>
      <c r="H2024" s="4" t="s">
        <v>607</v>
      </c>
      <c r="I2024" s="4" t="s">
        <v>607</v>
      </c>
      <c r="J2024" s="4" t="s">
        <v>607</v>
      </c>
      <c r="K2024" s="4" t="s">
        <v>607</v>
      </c>
      <c r="L2024" s="4" t="s">
        <v>607</v>
      </c>
      <c r="M2024" s="4" t="s">
        <v>607</v>
      </c>
      <c r="N2024" s="4" t="s">
        <v>607</v>
      </c>
      <c r="O2024" s="4"/>
      <c r="P2024" s="4"/>
      <c r="T2024" s="4"/>
    </row>
    <row r="2025">
      <c r="A2025" s="4" t="s">
        <v>5319</v>
      </c>
      <c r="B2025" s="4" t="s">
        <v>607</v>
      </c>
      <c r="C2025" s="6" t="s">
        <v>607</v>
      </c>
      <c r="D2025" s="6" t="s">
        <v>607</v>
      </c>
      <c r="E2025" s="6" t="s">
        <v>607</v>
      </c>
      <c r="F2025" s="6" t="s">
        <v>607</v>
      </c>
      <c r="G2025" s="4" t="s">
        <v>607</v>
      </c>
      <c r="H2025" s="4" t="s">
        <v>607</v>
      </c>
      <c r="I2025" s="4" t="s">
        <v>607</v>
      </c>
      <c r="J2025" s="4" t="s">
        <v>607</v>
      </c>
      <c r="K2025" s="4" t="s">
        <v>607</v>
      </c>
      <c r="L2025" s="4" t="s">
        <v>607</v>
      </c>
      <c r="M2025" s="4" t="s">
        <v>607</v>
      </c>
      <c r="N2025" s="4" t="s">
        <v>607</v>
      </c>
      <c r="O2025" s="4"/>
      <c r="P2025" s="4"/>
      <c r="T2025" s="4"/>
    </row>
    <row r="2026">
      <c r="A2026" s="4" t="s">
        <v>5320</v>
      </c>
      <c r="B2026" s="4" t="s">
        <v>607</v>
      </c>
      <c r="C2026" s="6" t="s">
        <v>607</v>
      </c>
      <c r="D2026" s="6" t="s">
        <v>607</v>
      </c>
      <c r="E2026" s="6" t="s">
        <v>607</v>
      </c>
      <c r="F2026" s="6" t="s">
        <v>607</v>
      </c>
      <c r="G2026" s="4" t="s">
        <v>607</v>
      </c>
      <c r="H2026" s="4" t="s">
        <v>607</v>
      </c>
      <c r="I2026" s="4" t="s">
        <v>607</v>
      </c>
      <c r="J2026" s="4" t="s">
        <v>607</v>
      </c>
      <c r="K2026" s="4" t="s">
        <v>607</v>
      </c>
      <c r="L2026" s="4" t="s">
        <v>607</v>
      </c>
      <c r="M2026" s="4" t="s">
        <v>607</v>
      </c>
      <c r="N2026" s="4" t="s">
        <v>607</v>
      </c>
      <c r="O2026" s="4"/>
      <c r="P2026" s="4"/>
      <c r="T2026" s="4"/>
    </row>
    <row r="2027">
      <c r="A2027" s="4" t="s">
        <v>5321</v>
      </c>
      <c r="B2027" s="4" t="s">
        <v>607</v>
      </c>
      <c r="C2027" s="6" t="s">
        <v>607</v>
      </c>
      <c r="D2027" s="6" t="s">
        <v>607</v>
      </c>
      <c r="E2027" s="6" t="s">
        <v>607</v>
      </c>
      <c r="F2027" s="6" t="s">
        <v>607</v>
      </c>
      <c r="G2027" s="4" t="s">
        <v>607</v>
      </c>
      <c r="H2027" s="4" t="s">
        <v>607</v>
      </c>
      <c r="I2027" s="4" t="s">
        <v>607</v>
      </c>
      <c r="J2027" s="4" t="s">
        <v>607</v>
      </c>
      <c r="K2027" s="4" t="s">
        <v>607</v>
      </c>
      <c r="L2027" s="4" t="s">
        <v>607</v>
      </c>
      <c r="M2027" s="4" t="s">
        <v>607</v>
      </c>
      <c r="N2027" s="4" t="s">
        <v>607</v>
      </c>
      <c r="O2027" s="4"/>
      <c r="P2027" s="4"/>
      <c r="T2027" s="4"/>
    </row>
    <row r="2028">
      <c r="A2028" s="4" t="s">
        <v>5322</v>
      </c>
      <c r="B2028" s="4" t="s">
        <v>607</v>
      </c>
      <c r="C2028" s="6" t="s">
        <v>607</v>
      </c>
      <c r="D2028" s="6" t="s">
        <v>607</v>
      </c>
      <c r="E2028" s="6" t="s">
        <v>607</v>
      </c>
      <c r="F2028" s="6" t="s">
        <v>607</v>
      </c>
      <c r="G2028" s="4" t="s">
        <v>607</v>
      </c>
      <c r="H2028" s="4" t="s">
        <v>607</v>
      </c>
      <c r="I2028" s="4" t="s">
        <v>607</v>
      </c>
      <c r="J2028" s="4" t="s">
        <v>607</v>
      </c>
      <c r="K2028" s="4" t="s">
        <v>607</v>
      </c>
      <c r="L2028" s="4" t="s">
        <v>607</v>
      </c>
      <c r="M2028" s="4" t="s">
        <v>607</v>
      </c>
      <c r="N2028" s="4" t="s">
        <v>607</v>
      </c>
      <c r="O2028" s="4"/>
      <c r="P2028" s="4"/>
      <c r="T2028" s="4"/>
    </row>
    <row r="2029">
      <c r="A2029" s="4" t="s">
        <v>5323</v>
      </c>
      <c r="B2029" s="4" t="s">
        <v>607</v>
      </c>
      <c r="C2029" s="6" t="s">
        <v>607</v>
      </c>
      <c r="D2029" s="6" t="s">
        <v>607</v>
      </c>
      <c r="E2029" s="6" t="s">
        <v>607</v>
      </c>
      <c r="F2029" s="6" t="s">
        <v>607</v>
      </c>
      <c r="G2029" s="4" t="s">
        <v>607</v>
      </c>
      <c r="H2029" s="4" t="s">
        <v>607</v>
      </c>
      <c r="I2029" s="4" t="s">
        <v>607</v>
      </c>
      <c r="J2029" s="4" t="s">
        <v>607</v>
      </c>
      <c r="K2029" s="4" t="s">
        <v>607</v>
      </c>
      <c r="L2029" s="4" t="s">
        <v>607</v>
      </c>
      <c r="M2029" s="4" t="s">
        <v>607</v>
      </c>
      <c r="N2029" s="4" t="s">
        <v>607</v>
      </c>
      <c r="O2029" s="4"/>
      <c r="P2029" s="4"/>
      <c r="T2029" s="4"/>
    </row>
    <row r="2030">
      <c r="A2030" s="4" t="s">
        <v>5324</v>
      </c>
      <c r="B2030" s="4" t="s">
        <v>607</v>
      </c>
      <c r="C2030" s="6" t="s">
        <v>607</v>
      </c>
      <c r="D2030" s="6" t="s">
        <v>607</v>
      </c>
      <c r="E2030" s="6" t="s">
        <v>607</v>
      </c>
      <c r="F2030" s="6" t="s">
        <v>607</v>
      </c>
      <c r="G2030" s="4" t="s">
        <v>607</v>
      </c>
      <c r="H2030" s="4" t="s">
        <v>607</v>
      </c>
      <c r="I2030" s="4" t="s">
        <v>607</v>
      </c>
      <c r="J2030" s="4" t="s">
        <v>607</v>
      </c>
      <c r="K2030" s="4" t="s">
        <v>607</v>
      </c>
      <c r="L2030" s="4" t="s">
        <v>607</v>
      </c>
      <c r="M2030" s="4" t="s">
        <v>607</v>
      </c>
      <c r="N2030" s="4" t="s">
        <v>607</v>
      </c>
      <c r="O2030" s="4"/>
      <c r="P2030" s="4"/>
      <c r="T2030" s="4"/>
    </row>
    <row r="2031">
      <c r="A2031" s="4" t="s">
        <v>5325</v>
      </c>
      <c r="B2031" s="4" t="s">
        <v>607</v>
      </c>
      <c r="C2031" s="6" t="s">
        <v>607</v>
      </c>
      <c r="D2031" s="6" t="s">
        <v>607</v>
      </c>
      <c r="E2031" s="6" t="s">
        <v>607</v>
      </c>
      <c r="F2031" s="6" t="s">
        <v>607</v>
      </c>
      <c r="G2031" s="4" t="s">
        <v>607</v>
      </c>
      <c r="H2031" s="4" t="s">
        <v>607</v>
      </c>
      <c r="I2031" s="4" t="s">
        <v>607</v>
      </c>
      <c r="J2031" s="4" t="s">
        <v>607</v>
      </c>
      <c r="K2031" s="4" t="s">
        <v>607</v>
      </c>
      <c r="L2031" s="4" t="s">
        <v>607</v>
      </c>
      <c r="M2031" s="4" t="s">
        <v>607</v>
      </c>
      <c r="N2031" s="4" t="s">
        <v>607</v>
      </c>
      <c r="O2031" s="4"/>
      <c r="P2031" s="4"/>
      <c r="T2031" s="4"/>
    </row>
    <row r="2032">
      <c r="A2032" s="4" t="s">
        <v>5326</v>
      </c>
      <c r="B2032" s="4" t="s">
        <v>607</v>
      </c>
      <c r="C2032" s="6" t="s">
        <v>607</v>
      </c>
      <c r="D2032" s="6" t="s">
        <v>607</v>
      </c>
      <c r="E2032" s="6" t="s">
        <v>607</v>
      </c>
      <c r="F2032" s="6" t="s">
        <v>607</v>
      </c>
      <c r="G2032" s="4" t="s">
        <v>607</v>
      </c>
      <c r="H2032" s="4" t="s">
        <v>607</v>
      </c>
      <c r="I2032" s="4" t="s">
        <v>607</v>
      </c>
      <c r="J2032" s="4" t="s">
        <v>607</v>
      </c>
      <c r="K2032" s="4" t="s">
        <v>607</v>
      </c>
      <c r="L2032" s="4" t="s">
        <v>607</v>
      </c>
      <c r="M2032" s="4" t="s">
        <v>607</v>
      </c>
      <c r="N2032" s="4" t="s">
        <v>607</v>
      </c>
      <c r="O2032" s="4"/>
      <c r="P2032" s="4"/>
      <c r="T2032" s="4"/>
    </row>
    <row r="2033">
      <c r="A2033" s="4" t="s">
        <v>5327</v>
      </c>
      <c r="B2033" s="4" t="s">
        <v>607</v>
      </c>
      <c r="C2033" s="6" t="s">
        <v>607</v>
      </c>
      <c r="D2033" s="6" t="s">
        <v>607</v>
      </c>
      <c r="E2033" s="6" t="s">
        <v>607</v>
      </c>
      <c r="F2033" s="6" t="s">
        <v>607</v>
      </c>
      <c r="G2033" s="4" t="s">
        <v>607</v>
      </c>
      <c r="H2033" s="4" t="s">
        <v>607</v>
      </c>
      <c r="I2033" s="4" t="s">
        <v>607</v>
      </c>
      <c r="J2033" s="4" t="s">
        <v>607</v>
      </c>
      <c r="K2033" s="4" t="s">
        <v>607</v>
      </c>
      <c r="L2033" s="4" t="s">
        <v>607</v>
      </c>
      <c r="M2033" s="4" t="s">
        <v>607</v>
      </c>
      <c r="N2033" s="4" t="s">
        <v>607</v>
      </c>
      <c r="O2033" s="4"/>
      <c r="P2033" s="4"/>
      <c r="T2033" s="4"/>
    </row>
    <row r="2034">
      <c r="A2034" s="4" t="s">
        <v>5328</v>
      </c>
      <c r="B2034" s="4" t="s">
        <v>607</v>
      </c>
      <c r="C2034" s="6" t="s">
        <v>607</v>
      </c>
      <c r="D2034" s="6" t="s">
        <v>607</v>
      </c>
      <c r="E2034" s="6" t="s">
        <v>607</v>
      </c>
      <c r="F2034" s="6" t="s">
        <v>607</v>
      </c>
      <c r="G2034" s="4" t="s">
        <v>607</v>
      </c>
      <c r="H2034" s="4" t="s">
        <v>607</v>
      </c>
      <c r="I2034" s="4" t="s">
        <v>607</v>
      </c>
      <c r="J2034" s="4" t="s">
        <v>607</v>
      </c>
      <c r="K2034" s="4" t="s">
        <v>607</v>
      </c>
      <c r="L2034" s="4" t="s">
        <v>607</v>
      </c>
      <c r="M2034" s="4" t="s">
        <v>607</v>
      </c>
      <c r="N2034" s="4" t="s">
        <v>607</v>
      </c>
      <c r="O2034" s="4"/>
      <c r="P2034" s="4"/>
      <c r="T2034" s="4"/>
    </row>
    <row r="2035">
      <c r="A2035" s="4" t="s">
        <v>5329</v>
      </c>
      <c r="B2035" s="4" t="s">
        <v>607</v>
      </c>
      <c r="C2035" s="6" t="s">
        <v>607</v>
      </c>
      <c r="D2035" s="6" t="s">
        <v>607</v>
      </c>
      <c r="E2035" s="6" t="s">
        <v>607</v>
      </c>
      <c r="F2035" s="6" t="s">
        <v>607</v>
      </c>
      <c r="G2035" s="4" t="s">
        <v>607</v>
      </c>
      <c r="H2035" s="4" t="s">
        <v>607</v>
      </c>
      <c r="I2035" s="4" t="s">
        <v>607</v>
      </c>
      <c r="J2035" s="4" t="s">
        <v>607</v>
      </c>
      <c r="K2035" s="4" t="s">
        <v>607</v>
      </c>
      <c r="L2035" s="4" t="s">
        <v>607</v>
      </c>
      <c r="M2035" s="4" t="s">
        <v>607</v>
      </c>
      <c r="N2035" s="4" t="s">
        <v>607</v>
      </c>
      <c r="O2035" s="4"/>
      <c r="P2035" s="4"/>
      <c r="T2035" s="4"/>
    </row>
    <row r="2036">
      <c r="A2036" s="4" t="s">
        <v>5330</v>
      </c>
      <c r="B2036" s="4" t="s">
        <v>607</v>
      </c>
      <c r="C2036" s="6" t="s">
        <v>607</v>
      </c>
      <c r="D2036" s="6" t="s">
        <v>607</v>
      </c>
      <c r="E2036" s="6" t="s">
        <v>607</v>
      </c>
      <c r="F2036" s="6" t="s">
        <v>607</v>
      </c>
      <c r="G2036" s="4" t="s">
        <v>607</v>
      </c>
      <c r="H2036" s="4" t="s">
        <v>607</v>
      </c>
      <c r="I2036" s="4" t="s">
        <v>607</v>
      </c>
      <c r="J2036" s="4" t="s">
        <v>607</v>
      </c>
      <c r="K2036" s="4" t="s">
        <v>607</v>
      </c>
      <c r="L2036" s="4" t="s">
        <v>607</v>
      </c>
      <c r="M2036" s="4" t="s">
        <v>607</v>
      </c>
      <c r="N2036" s="4" t="s">
        <v>607</v>
      </c>
      <c r="O2036" s="4"/>
      <c r="P2036" s="4"/>
      <c r="T2036" s="4"/>
    </row>
    <row r="2037">
      <c r="A2037" s="4" t="s">
        <v>5331</v>
      </c>
      <c r="B2037" s="4" t="s">
        <v>607</v>
      </c>
      <c r="C2037" s="6" t="s">
        <v>607</v>
      </c>
      <c r="D2037" s="6" t="s">
        <v>607</v>
      </c>
      <c r="E2037" s="6" t="s">
        <v>607</v>
      </c>
      <c r="F2037" s="6" t="s">
        <v>607</v>
      </c>
      <c r="G2037" s="4" t="s">
        <v>607</v>
      </c>
      <c r="H2037" s="4" t="s">
        <v>607</v>
      </c>
      <c r="I2037" s="4" t="s">
        <v>607</v>
      </c>
      <c r="J2037" s="4" t="s">
        <v>607</v>
      </c>
      <c r="K2037" s="4" t="s">
        <v>607</v>
      </c>
      <c r="L2037" s="4" t="s">
        <v>607</v>
      </c>
      <c r="M2037" s="4" t="s">
        <v>607</v>
      </c>
      <c r="N2037" s="4" t="s">
        <v>607</v>
      </c>
      <c r="O2037" s="4"/>
      <c r="P2037" s="4"/>
      <c r="T2037" s="4"/>
    </row>
    <row r="2038">
      <c r="A2038" s="4" t="s">
        <v>5332</v>
      </c>
      <c r="B2038" s="4" t="s">
        <v>607</v>
      </c>
      <c r="C2038" s="6" t="s">
        <v>607</v>
      </c>
      <c r="D2038" s="6" t="s">
        <v>607</v>
      </c>
      <c r="E2038" s="6" t="s">
        <v>607</v>
      </c>
      <c r="F2038" s="6" t="s">
        <v>607</v>
      </c>
      <c r="G2038" s="4" t="s">
        <v>607</v>
      </c>
      <c r="H2038" s="4" t="s">
        <v>607</v>
      </c>
      <c r="I2038" s="4" t="s">
        <v>607</v>
      </c>
      <c r="J2038" s="4" t="s">
        <v>607</v>
      </c>
      <c r="K2038" s="4" t="s">
        <v>607</v>
      </c>
      <c r="L2038" s="4" t="s">
        <v>607</v>
      </c>
      <c r="M2038" s="4" t="s">
        <v>607</v>
      </c>
      <c r="N2038" s="4" t="s">
        <v>607</v>
      </c>
      <c r="O2038" s="4"/>
      <c r="P2038" s="4"/>
      <c r="T2038" s="4"/>
    </row>
    <row r="2039">
      <c r="A2039" s="4" t="s">
        <v>5333</v>
      </c>
      <c r="B2039" s="4" t="s">
        <v>607</v>
      </c>
      <c r="C2039" s="6" t="s">
        <v>607</v>
      </c>
      <c r="D2039" s="6" t="s">
        <v>607</v>
      </c>
      <c r="E2039" s="6" t="s">
        <v>607</v>
      </c>
      <c r="F2039" s="6" t="s">
        <v>607</v>
      </c>
      <c r="G2039" s="4" t="s">
        <v>607</v>
      </c>
      <c r="H2039" s="4" t="s">
        <v>607</v>
      </c>
      <c r="I2039" s="4" t="s">
        <v>607</v>
      </c>
      <c r="J2039" s="4" t="s">
        <v>607</v>
      </c>
      <c r="K2039" s="4" t="s">
        <v>607</v>
      </c>
      <c r="L2039" s="4" t="s">
        <v>607</v>
      </c>
      <c r="M2039" s="4" t="s">
        <v>607</v>
      </c>
      <c r="N2039" s="4" t="s">
        <v>607</v>
      </c>
      <c r="O2039" s="4"/>
      <c r="P2039" s="4"/>
      <c r="T2039" s="4"/>
    </row>
    <row r="2040">
      <c r="A2040" s="4" t="s">
        <v>5334</v>
      </c>
      <c r="B2040" s="4" t="s">
        <v>607</v>
      </c>
      <c r="C2040" s="6" t="s">
        <v>607</v>
      </c>
      <c r="D2040" s="6" t="s">
        <v>607</v>
      </c>
      <c r="E2040" s="6" t="s">
        <v>607</v>
      </c>
      <c r="F2040" s="6" t="s">
        <v>607</v>
      </c>
      <c r="G2040" s="4" t="s">
        <v>607</v>
      </c>
      <c r="H2040" s="4" t="s">
        <v>607</v>
      </c>
      <c r="I2040" s="4" t="s">
        <v>607</v>
      </c>
      <c r="J2040" s="4" t="s">
        <v>607</v>
      </c>
      <c r="K2040" s="4" t="s">
        <v>607</v>
      </c>
      <c r="L2040" s="4" t="s">
        <v>607</v>
      </c>
      <c r="M2040" s="4" t="s">
        <v>607</v>
      </c>
      <c r="N2040" s="4" t="s">
        <v>607</v>
      </c>
      <c r="O2040" s="4"/>
      <c r="P2040" s="4"/>
      <c r="T2040" s="4"/>
    </row>
    <row r="2041">
      <c r="A2041" s="4" t="s">
        <v>5335</v>
      </c>
      <c r="B2041" s="4" t="s">
        <v>607</v>
      </c>
      <c r="C2041" s="6" t="s">
        <v>607</v>
      </c>
      <c r="D2041" s="6" t="s">
        <v>607</v>
      </c>
      <c r="E2041" s="6" t="s">
        <v>607</v>
      </c>
      <c r="F2041" s="6" t="s">
        <v>607</v>
      </c>
      <c r="G2041" s="4" t="s">
        <v>607</v>
      </c>
      <c r="H2041" s="4" t="s">
        <v>607</v>
      </c>
      <c r="I2041" s="4" t="s">
        <v>607</v>
      </c>
      <c r="J2041" s="4" t="s">
        <v>607</v>
      </c>
      <c r="K2041" s="4" t="s">
        <v>607</v>
      </c>
      <c r="L2041" s="4" t="s">
        <v>607</v>
      </c>
      <c r="M2041" s="4" t="s">
        <v>607</v>
      </c>
      <c r="N2041" s="4" t="s">
        <v>607</v>
      </c>
      <c r="O2041" s="4"/>
      <c r="P2041" s="4"/>
      <c r="T2041" s="4"/>
    </row>
    <row r="2042">
      <c r="A2042" s="4" t="s">
        <v>5336</v>
      </c>
      <c r="B2042" s="4" t="s">
        <v>607</v>
      </c>
      <c r="C2042" s="6" t="s">
        <v>607</v>
      </c>
      <c r="D2042" s="6" t="s">
        <v>607</v>
      </c>
      <c r="E2042" s="6" t="s">
        <v>607</v>
      </c>
      <c r="F2042" s="6" t="s">
        <v>607</v>
      </c>
      <c r="G2042" s="4" t="s">
        <v>607</v>
      </c>
      <c r="H2042" s="4" t="s">
        <v>607</v>
      </c>
      <c r="I2042" s="4" t="s">
        <v>607</v>
      </c>
      <c r="J2042" s="4" t="s">
        <v>607</v>
      </c>
      <c r="K2042" s="4" t="s">
        <v>607</v>
      </c>
      <c r="L2042" s="4" t="s">
        <v>607</v>
      </c>
      <c r="M2042" s="4" t="s">
        <v>607</v>
      </c>
      <c r="N2042" s="4" t="s">
        <v>607</v>
      </c>
      <c r="O2042" s="4"/>
      <c r="P2042" s="4"/>
      <c r="T2042" s="4"/>
    </row>
    <row r="2043">
      <c r="A2043" s="4" t="s">
        <v>5337</v>
      </c>
      <c r="B2043" s="4" t="s">
        <v>607</v>
      </c>
      <c r="C2043" s="6" t="s">
        <v>607</v>
      </c>
      <c r="D2043" s="6" t="s">
        <v>607</v>
      </c>
      <c r="E2043" s="6" t="s">
        <v>607</v>
      </c>
      <c r="F2043" s="6" t="s">
        <v>607</v>
      </c>
      <c r="G2043" s="4" t="s">
        <v>607</v>
      </c>
      <c r="H2043" s="4" t="s">
        <v>607</v>
      </c>
      <c r="I2043" s="4" t="s">
        <v>607</v>
      </c>
      <c r="J2043" s="4" t="s">
        <v>607</v>
      </c>
      <c r="K2043" s="4" t="s">
        <v>607</v>
      </c>
      <c r="L2043" s="4" t="s">
        <v>607</v>
      </c>
      <c r="M2043" s="4" t="s">
        <v>607</v>
      </c>
      <c r="N2043" s="4" t="s">
        <v>607</v>
      </c>
      <c r="O2043" s="4"/>
      <c r="P2043" s="4"/>
      <c r="T2043" s="4"/>
    </row>
    <row r="2044">
      <c r="A2044" s="4" t="s">
        <v>5338</v>
      </c>
      <c r="B2044" s="4" t="s">
        <v>607</v>
      </c>
      <c r="C2044" s="6" t="s">
        <v>607</v>
      </c>
      <c r="D2044" s="6" t="s">
        <v>607</v>
      </c>
      <c r="E2044" s="6" t="s">
        <v>607</v>
      </c>
      <c r="F2044" s="6" t="s">
        <v>607</v>
      </c>
      <c r="G2044" s="4" t="s">
        <v>607</v>
      </c>
      <c r="H2044" s="4" t="s">
        <v>607</v>
      </c>
      <c r="I2044" s="4" t="s">
        <v>607</v>
      </c>
      <c r="J2044" s="4" t="s">
        <v>607</v>
      </c>
      <c r="K2044" s="4" t="s">
        <v>607</v>
      </c>
      <c r="L2044" s="4" t="s">
        <v>607</v>
      </c>
      <c r="M2044" s="4" t="s">
        <v>607</v>
      </c>
      <c r="N2044" s="4" t="s">
        <v>607</v>
      </c>
      <c r="O2044" s="4"/>
      <c r="P2044" s="4"/>
      <c r="T2044" s="4"/>
    </row>
    <row r="2045">
      <c r="A2045" s="4" t="s">
        <v>5339</v>
      </c>
      <c r="B2045" s="4" t="s">
        <v>607</v>
      </c>
      <c r="C2045" s="6" t="s">
        <v>607</v>
      </c>
      <c r="D2045" s="6" t="s">
        <v>607</v>
      </c>
      <c r="E2045" s="6" t="s">
        <v>607</v>
      </c>
      <c r="F2045" s="6" t="s">
        <v>607</v>
      </c>
      <c r="G2045" s="4" t="s">
        <v>607</v>
      </c>
      <c r="H2045" s="4" t="s">
        <v>607</v>
      </c>
      <c r="I2045" s="4" t="s">
        <v>607</v>
      </c>
      <c r="J2045" s="4" t="s">
        <v>607</v>
      </c>
      <c r="K2045" s="4" t="s">
        <v>607</v>
      </c>
      <c r="L2045" s="4" t="s">
        <v>607</v>
      </c>
      <c r="M2045" s="4" t="s">
        <v>607</v>
      </c>
      <c r="N2045" s="4" t="s">
        <v>607</v>
      </c>
      <c r="O2045" s="4"/>
      <c r="P2045" s="4"/>
      <c r="T2045" s="4"/>
    </row>
    <row r="2046">
      <c r="A2046" s="4" t="s">
        <v>5340</v>
      </c>
      <c r="B2046" s="4" t="s">
        <v>607</v>
      </c>
      <c r="C2046" s="6" t="s">
        <v>607</v>
      </c>
      <c r="D2046" s="6" t="s">
        <v>607</v>
      </c>
      <c r="E2046" s="6" t="s">
        <v>607</v>
      </c>
      <c r="F2046" s="6" t="s">
        <v>607</v>
      </c>
      <c r="G2046" s="4" t="s">
        <v>607</v>
      </c>
      <c r="H2046" s="4" t="s">
        <v>607</v>
      </c>
      <c r="I2046" s="4" t="s">
        <v>607</v>
      </c>
      <c r="J2046" s="4" t="s">
        <v>607</v>
      </c>
      <c r="K2046" s="4" t="s">
        <v>607</v>
      </c>
      <c r="L2046" s="4" t="s">
        <v>607</v>
      </c>
      <c r="M2046" s="4" t="s">
        <v>607</v>
      </c>
      <c r="N2046" s="4" t="s">
        <v>607</v>
      </c>
      <c r="O2046" s="4"/>
      <c r="P2046" s="4"/>
      <c r="T2046" s="4"/>
    </row>
    <row r="2047">
      <c r="A2047" s="4" t="s">
        <v>5341</v>
      </c>
      <c r="B2047" s="4" t="s">
        <v>607</v>
      </c>
      <c r="C2047" s="6" t="s">
        <v>607</v>
      </c>
      <c r="D2047" s="6" t="s">
        <v>607</v>
      </c>
      <c r="E2047" s="6" t="s">
        <v>607</v>
      </c>
      <c r="F2047" s="6" t="s">
        <v>607</v>
      </c>
      <c r="G2047" s="4" t="s">
        <v>607</v>
      </c>
      <c r="H2047" s="4" t="s">
        <v>607</v>
      </c>
      <c r="I2047" s="4" t="s">
        <v>607</v>
      </c>
      <c r="J2047" s="4" t="s">
        <v>607</v>
      </c>
      <c r="K2047" s="4" t="s">
        <v>607</v>
      </c>
      <c r="L2047" s="4" t="s">
        <v>607</v>
      </c>
      <c r="M2047" s="4" t="s">
        <v>607</v>
      </c>
      <c r="N2047" s="4" t="s">
        <v>607</v>
      </c>
      <c r="O2047" s="4"/>
      <c r="P2047" s="4"/>
      <c r="T2047" s="4"/>
    </row>
    <row r="2048">
      <c r="A2048" s="4" t="s">
        <v>5342</v>
      </c>
      <c r="B2048" s="4" t="s">
        <v>607</v>
      </c>
      <c r="C2048" s="6" t="s">
        <v>607</v>
      </c>
      <c r="D2048" s="6" t="s">
        <v>607</v>
      </c>
      <c r="E2048" s="6" t="s">
        <v>607</v>
      </c>
      <c r="F2048" s="6" t="s">
        <v>607</v>
      </c>
      <c r="G2048" s="4" t="s">
        <v>607</v>
      </c>
      <c r="H2048" s="4" t="s">
        <v>607</v>
      </c>
      <c r="I2048" s="4" t="s">
        <v>607</v>
      </c>
      <c r="J2048" s="4" t="s">
        <v>607</v>
      </c>
      <c r="K2048" s="4" t="s">
        <v>607</v>
      </c>
      <c r="L2048" s="4" t="s">
        <v>607</v>
      </c>
      <c r="M2048" s="4" t="s">
        <v>607</v>
      </c>
      <c r="N2048" s="4" t="s">
        <v>607</v>
      </c>
      <c r="O2048" s="4"/>
      <c r="P2048" s="4"/>
      <c r="T2048" s="4"/>
    </row>
    <row r="2049">
      <c r="A2049" s="4" t="s">
        <v>5343</v>
      </c>
      <c r="B2049" s="4" t="s">
        <v>607</v>
      </c>
      <c r="C2049" s="6" t="s">
        <v>607</v>
      </c>
      <c r="D2049" s="6" t="s">
        <v>607</v>
      </c>
      <c r="E2049" s="6" t="s">
        <v>607</v>
      </c>
      <c r="F2049" s="6" t="s">
        <v>607</v>
      </c>
      <c r="G2049" s="4" t="s">
        <v>607</v>
      </c>
      <c r="H2049" s="4" t="s">
        <v>607</v>
      </c>
      <c r="I2049" s="4" t="s">
        <v>607</v>
      </c>
      <c r="J2049" s="4" t="s">
        <v>607</v>
      </c>
      <c r="K2049" s="4" t="s">
        <v>607</v>
      </c>
      <c r="L2049" s="4" t="s">
        <v>607</v>
      </c>
      <c r="M2049" s="4" t="s">
        <v>607</v>
      </c>
      <c r="N2049" s="4" t="s">
        <v>607</v>
      </c>
      <c r="O2049" s="4"/>
      <c r="P2049" s="4"/>
      <c r="T2049" s="4"/>
    </row>
    <row r="2050">
      <c r="A2050" s="4" t="s">
        <v>5344</v>
      </c>
      <c r="B2050" s="4" t="s">
        <v>607</v>
      </c>
      <c r="C2050" s="6" t="s">
        <v>607</v>
      </c>
      <c r="D2050" s="6" t="s">
        <v>607</v>
      </c>
      <c r="E2050" s="6" t="s">
        <v>607</v>
      </c>
      <c r="F2050" s="6" t="s">
        <v>607</v>
      </c>
      <c r="G2050" s="4" t="s">
        <v>607</v>
      </c>
      <c r="H2050" s="4" t="s">
        <v>607</v>
      </c>
      <c r="I2050" s="4" t="s">
        <v>607</v>
      </c>
      <c r="J2050" s="4" t="s">
        <v>607</v>
      </c>
      <c r="K2050" s="4" t="s">
        <v>607</v>
      </c>
      <c r="L2050" s="4" t="s">
        <v>607</v>
      </c>
      <c r="M2050" s="4" t="s">
        <v>607</v>
      </c>
      <c r="N2050" s="4" t="s">
        <v>607</v>
      </c>
      <c r="O2050" s="4"/>
      <c r="P2050" s="4"/>
      <c r="T2050" s="4"/>
    </row>
    <row r="2051">
      <c r="A2051" s="4" t="s">
        <v>5345</v>
      </c>
      <c r="B2051" s="4" t="s">
        <v>607</v>
      </c>
      <c r="C2051" s="6" t="s">
        <v>607</v>
      </c>
      <c r="D2051" s="6" t="s">
        <v>607</v>
      </c>
      <c r="E2051" s="6" t="s">
        <v>607</v>
      </c>
      <c r="F2051" s="6" t="s">
        <v>607</v>
      </c>
      <c r="G2051" s="4" t="s">
        <v>607</v>
      </c>
      <c r="H2051" s="4" t="s">
        <v>607</v>
      </c>
      <c r="I2051" s="4" t="s">
        <v>607</v>
      </c>
      <c r="J2051" s="4" t="s">
        <v>607</v>
      </c>
      <c r="K2051" s="4" t="s">
        <v>607</v>
      </c>
      <c r="L2051" s="4" t="s">
        <v>607</v>
      </c>
      <c r="M2051" s="4" t="s">
        <v>607</v>
      </c>
      <c r="N2051" s="4" t="s">
        <v>607</v>
      </c>
      <c r="O2051" s="4"/>
      <c r="P2051" s="4"/>
      <c r="T2051" s="4"/>
    </row>
    <row r="2052">
      <c r="A2052" s="4" t="s">
        <v>5346</v>
      </c>
      <c r="B2052" s="4" t="s">
        <v>607</v>
      </c>
      <c r="C2052" s="6" t="s">
        <v>607</v>
      </c>
      <c r="D2052" s="6" t="s">
        <v>607</v>
      </c>
      <c r="E2052" s="6" t="s">
        <v>607</v>
      </c>
      <c r="F2052" s="6" t="s">
        <v>607</v>
      </c>
      <c r="G2052" s="4" t="s">
        <v>607</v>
      </c>
      <c r="H2052" s="4" t="s">
        <v>607</v>
      </c>
      <c r="I2052" s="4" t="s">
        <v>607</v>
      </c>
      <c r="J2052" s="4" t="s">
        <v>607</v>
      </c>
      <c r="K2052" s="4" t="s">
        <v>607</v>
      </c>
      <c r="L2052" s="4" t="s">
        <v>607</v>
      </c>
      <c r="M2052" s="4" t="s">
        <v>607</v>
      </c>
      <c r="N2052" s="4" t="s">
        <v>607</v>
      </c>
      <c r="O2052" s="4"/>
      <c r="P2052" s="4"/>
      <c r="T2052" s="4"/>
    </row>
    <row r="2053">
      <c r="A2053" s="4" t="s">
        <v>5347</v>
      </c>
      <c r="B2053" s="4" t="s">
        <v>607</v>
      </c>
      <c r="C2053" s="6" t="s">
        <v>607</v>
      </c>
      <c r="D2053" s="6" t="s">
        <v>607</v>
      </c>
      <c r="E2053" s="6" t="s">
        <v>607</v>
      </c>
      <c r="F2053" s="6" t="s">
        <v>607</v>
      </c>
      <c r="G2053" s="4" t="s">
        <v>607</v>
      </c>
      <c r="H2053" s="4" t="s">
        <v>607</v>
      </c>
      <c r="I2053" s="4" t="s">
        <v>607</v>
      </c>
      <c r="J2053" s="4" t="s">
        <v>607</v>
      </c>
      <c r="K2053" s="4" t="s">
        <v>607</v>
      </c>
      <c r="L2053" s="4" t="s">
        <v>607</v>
      </c>
      <c r="M2053" s="4" t="s">
        <v>607</v>
      </c>
      <c r="N2053" s="4" t="s">
        <v>607</v>
      </c>
      <c r="O2053" s="4"/>
      <c r="P2053" s="4"/>
      <c r="T2053" s="4"/>
    </row>
    <row r="2054">
      <c r="A2054" s="4" t="s">
        <v>5348</v>
      </c>
      <c r="B2054" s="4" t="s">
        <v>607</v>
      </c>
      <c r="C2054" s="6" t="s">
        <v>607</v>
      </c>
      <c r="D2054" s="6" t="s">
        <v>607</v>
      </c>
      <c r="E2054" s="6" t="s">
        <v>607</v>
      </c>
      <c r="F2054" s="6" t="s">
        <v>607</v>
      </c>
      <c r="G2054" s="4" t="s">
        <v>607</v>
      </c>
      <c r="H2054" s="4" t="s">
        <v>607</v>
      </c>
      <c r="I2054" s="4" t="s">
        <v>607</v>
      </c>
      <c r="J2054" s="4" t="s">
        <v>607</v>
      </c>
      <c r="K2054" s="4" t="s">
        <v>607</v>
      </c>
      <c r="L2054" s="4" t="s">
        <v>607</v>
      </c>
      <c r="M2054" s="4" t="s">
        <v>607</v>
      </c>
      <c r="N2054" s="4" t="s">
        <v>607</v>
      </c>
      <c r="O2054" s="4"/>
      <c r="P2054" s="4"/>
      <c r="T2054" s="4"/>
    </row>
    <row r="2055">
      <c r="A2055" s="4" t="s">
        <v>5349</v>
      </c>
      <c r="B2055" s="4" t="s">
        <v>607</v>
      </c>
      <c r="C2055" s="6" t="s">
        <v>607</v>
      </c>
      <c r="D2055" s="6" t="s">
        <v>607</v>
      </c>
      <c r="E2055" s="6" t="s">
        <v>607</v>
      </c>
      <c r="F2055" s="6" t="s">
        <v>607</v>
      </c>
      <c r="G2055" s="4" t="s">
        <v>607</v>
      </c>
      <c r="H2055" s="4" t="s">
        <v>607</v>
      </c>
      <c r="I2055" s="4" t="s">
        <v>607</v>
      </c>
      <c r="J2055" s="4" t="s">
        <v>607</v>
      </c>
      <c r="K2055" s="4" t="s">
        <v>607</v>
      </c>
      <c r="L2055" s="4" t="s">
        <v>607</v>
      </c>
      <c r="M2055" s="4" t="s">
        <v>607</v>
      </c>
      <c r="N2055" s="4" t="s">
        <v>607</v>
      </c>
      <c r="O2055" s="4"/>
      <c r="P2055" s="4"/>
      <c r="T2055" s="4"/>
    </row>
    <row r="2056">
      <c r="A2056" s="4" t="s">
        <v>5350</v>
      </c>
      <c r="B2056" s="4" t="s">
        <v>607</v>
      </c>
      <c r="C2056" s="6" t="s">
        <v>607</v>
      </c>
      <c r="D2056" s="6" t="s">
        <v>607</v>
      </c>
      <c r="E2056" s="6" t="s">
        <v>607</v>
      </c>
      <c r="F2056" s="6" t="s">
        <v>607</v>
      </c>
      <c r="G2056" s="4" t="s">
        <v>607</v>
      </c>
      <c r="H2056" s="4" t="s">
        <v>607</v>
      </c>
      <c r="I2056" s="4" t="s">
        <v>607</v>
      </c>
      <c r="J2056" s="4" t="s">
        <v>607</v>
      </c>
      <c r="K2056" s="4" t="s">
        <v>607</v>
      </c>
      <c r="L2056" s="4" t="s">
        <v>607</v>
      </c>
      <c r="M2056" s="4" t="s">
        <v>607</v>
      </c>
      <c r="N2056" s="4" t="s">
        <v>607</v>
      </c>
      <c r="O2056" s="4"/>
      <c r="P2056" s="4"/>
      <c r="T2056" s="4"/>
    </row>
    <row r="2057">
      <c r="A2057" s="4" t="s">
        <v>5351</v>
      </c>
      <c r="B2057" s="4" t="s">
        <v>607</v>
      </c>
      <c r="C2057" s="6" t="s">
        <v>607</v>
      </c>
      <c r="D2057" s="6" t="s">
        <v>607</v>
      </c>
      <c r="E2057" s="6" t="s">
        <v>607</v>
      </c>
      <c r="F2057" s="6" t="s">
        <v>607</v>
      </c>
      <c r="G2057" s="4" t="s">
        <v>607</v>
      </c>
      <c r="H2057" s="4" t="s">
        <v>607</v>
      </c>
      <c r="I2057" s="4" t="s">
        <v>607</v>
      </c>
      <c r="J2057" s="4" t="s">
        <v>607</v>
      </c>
      <c r="K2057" s="4" t="s">
        <v>607</v>
      </c>
      <c r="L2057" s="4" t="s">
        <v>607</v>
      </c>
      <c r="M2057" s="4" t="s">
        <v>607</v>
      </c>
      <c r="N2057" s="4" t="s">
        <v>607</v>
      </c>
      <c r="O2057" s="4"/>
      <c r="P2057" s="4"/>
      <c r="T2057" s="4"/>
    </row>
    <row r="2058">
      <c r="A2058" s="4" t="s">
        <v>5352</v>
      </c>
      <c r="B2058" s="4" t="s">
        <v>607</v>
      </c>
      <c r="C2058" s="6" t="s">
        <v>607</v>
      </c>
      <c r="D2058" s="6" t="s">
        <v>607</v>
      </c>
      <c r="E2058" s="6" t="s">
        <v>607</v>
      </c>
      <c r="F2058" s="6" t="s">
        <v>607</v>
      </c>
      <c r="G2058" s="4" t="s">
        <v>607</v>
      </c>
      <c r="H2058" s="4" t="s">
        <v>607</v>
      </c>
      <c r="I2058" s="4" t="s">
        <v>607</v>
      </c>
      <c r="J2058" s="4" t="s">
        <v>607</v>
      </c>
      <c r="K2058" s="4" t="s">
        <v>607</v>
      </c>
      <c r="L2058" s="4" t="s">
        <v>607</v>
      </c>
      <c r="M2058" s="4" t="s">
        <v>607</v>
      </c>
      <c r="N2058" s="4" t="s">
        <v>607</v>
      </c>
      <c r="O2058" s="4"/>
      <c r="P2058" s="4"/>
      <c r="T2058" s="4"/>
    </row>
    <row r="2059">
      <c r="A2059" s="4" t="s">
        <v>5353</v>
      </c>
      <c r="B2059" s="4" t="s">
        <v>607</v>
      </c>
      <c r="C2059" s="6" t="s">
        <v>607</v>
      </c>
      <c r="D2059" s="6" t="s">
        <v>607</v>
      </c>
      <c r="E2059" s="6" t="s">
        <v>607</v>
      </c>
      <c r="F2059" s="6" t="s">
        <v>607</v>
      </c>
      <c r="G2059" s="4" t="s">
        <v>607</v>
      </c>
      <c r="H2059" s="4" t="s">
        <v>607</v>
      </c>
      <c r="I2059" s="4" t="s">
        <v>607</v>
      </c>
      <c r="J2059" s="4" t="s">
        <v>607</v>
      </c>
      <c r="K2059" s="4" t="s">
        <v>607</v>
      </c>
      <c r="L2059" s="4" t="s">
        <v>607</v>
      </c>
      <c r="M2059" s="4" t="s">
        <v>607</v>
      </c>
      <c r="N2059" s="4" t="s">
        <v>607</v>
      </c>
      <c r="O2059" s="4"/>
      <c r="P2059" s="4"/>
      <c r="T2059" s="4"/>
    </row>
    <row r="2060">
      <c r="A2060" s="4" t="s">
        <v>5354</v>
      </c>
      <c r="B2060" s="4" t="s">
        <v>607</v>
      </c>
      <c r="C2060" s="6" t="s">
        <v>607</v>
      </c>
      <c r="D2060" s="6" t="s">
        <v>607</v>
      </c>
      <c r="E2060" s="6" t="s">
        <v>607</v>
      </c>
      <c r="F2060" s="6" t="s">
        <v>607</v>
      </c>
      <c r="G2060" s="4" t="s">
        <v>607</v>
      </c>
      <c r="H2060" s="4" t="s">
        <v>607</v>
      </c>
      <c r="I2060" s="4" t="s">
        <v>607</v>
      </c>
      <c r="J2060" s="4" t="s">
        <v>607</v>
      </c>
      <c r="K2060" s="4" t="s">
        <v>607</v>
      </c>
      <c r="L2060" s="4" t="s">
        <v>607</v>
      </c>
      <c r="M2060" s="4" t="s">
        <v>607</v>
      </c>
      <c r="N2060" s="4" t="s">
        <v>607</v>
      </c>
      <c r="O2060" s="4"/>
      <c r="P2060" s="4"/>
      <c r="T2060" s="4"/>
    </row>
    <row r="2061">
      <c r="A2061" s="4" t="s">
        <v>5355</v>
      </c>
      <c r="B2061" s="4" t="s">
        <v>607</v>
      </c>
      <c r="C2061" s="6" t="s">
        <v>607</v>
      </c>
      <c r="D2061" s="6" t="s">
        <v>607</v>
      </c>
      <c r="E2061" s="6" t="s">
        <v>607</v>
      </c>
      <c r="F2061" s="6" t="s">
        <v>607</v>
      </c>
      <c r="G2061" s="4" t="s">
        <v>607</v>
      </c>
      <c r="H2061" s="4" t="s">
        <v>607</v>
      </c>
      <c r="I2061" s="4" t="s">
        <v>607</v>
      </c>
      <c r="J2061" s="4" t="s">
        <v>607</v>
      </c>
      <c r="K2061" s="4" t="s">
        <v>607</v>
      </c>
      <c r="L2061" s="4" t="s">
        <v>607</v>
      </c>
      <c r="M2061" s="4" t="s">
        <v>607</v>
      </c>
      <c r="N2061" s="4" t="s">
        <v>607</v>
      </c>
      <c r="O2061" s="4"/>
      <c r="P2061" s="4"/>
      <c r="T2061" s="4"/>
    </row>
    <row r="2062">
      <c r="A2062" s="4" t="s">
        <v>5356</v>
      </c>
      <c r="B2062" s="4" t="s">
        <v>607</v>
      </c>
      <c r="C2062" s="6" t="s">
        <v>607</v>
      </c>
      <c r="D2062" s="6" t="s">
        <v>607</v>
      </c>
      <c r="E2062" s="6" t="s">
        <v>607</v>
      </c>
      <c r="F2062" s="6" t="s">
        <v>607</v>
      </c>
      <c r="G2062" s="4" t="s">
        <v>607</v>
      </c>
      <c r="H2062" s="4" t="s">
        <v>607</v>
      </c>
      <c r="I2062" s="4" t="s">
        <v>607</v>
      </c>
      <c r="J2062" s="4" t="s">
        <v>607</v>
      </c>
      <c r="K2062" s="4" t="s">
        <v>607</v>
      </c>
      <c r="L2062" s="4" t="s">
        <v>607</v>
      </c>
      <c r="M2062" s="4" t="s">
        <v>607</v>
      </c>
      <c r="N2062" s="4" t="s">
        <v>607</v>
      </c>
      <c r="O2062" s="4"/>
      <c r="P2062" s="4"/>
      <c r="T2062" s="4"/>
    </row>
    <row r="2063">
      <c r="A2063" s="4" t="s">
        <v>5357</v>
      </c>
      <c r="B2063" s="4" t="s">
        <v>607</v>
      </c>
      <c r="C2063" s="6" t="s">
        <v>607</v>
      </c>
      <c r="D2063" s="6" t="s">
        <v>607</v>
      </c>
      <c r="E2063" s="6" t="s">
        <v>607</v>
      </c>
      <c r="F2063" s="6" t="s">
        <v>607</v>
      </c>
      <c r="G2063" s="4" t="s">
        <v>607</v>
      </c>
      <c r="H2063" s="4" t="s">
        <v>607</v>
      </c>
      <c r="I2063" s="4" t="s">
        <v>607</v>
      </c>
      <c r="J2063" s="4" t="s">
        <v>607</v>
      </c>
      <c r="K2063" s="4" t="s">
        <v>607</v>
      </c>
      <c r="L2063" s="4" t="s">
        <v>607</v>
      </c>
      <c r="M2063" s="4" t="s">
        <v>607</v>
      </c>
      <c r="N2063" s="4" t="s">
        <v>607</v>
      </c>
      <c r="O2063" s="4"/>
      <c r="P2063" s="4"/>
      <c r="T2063" s="4"/>
    </row>
    <row r="2064">
      <c r="A2064" s="4" t="s">
        <v>5358</v>
      </c>
      <c r="B2064" s="4" t="s">
        <v>607</v>
      </c>
      <c r="C2064" s="6" t="s">
        <v>607</v>
      </c>
      <c r="D2064" s="6" t="s">
        <v>607</v>
      </c>
      <c r="E2064" s="6" t="s">
        <v>607</v>
      </c>
      <c r="F2064" s="6" t="s">
        <v>607</v>
      </c>
      <c r="G2064" s="4" t="s">
        <v>607</v>
      </c>
      <c r="H2064" s="4" t="s">
        <v>607</v>
      </c>
      <c r="I2064" s="4" t="s">
        <v>607</v>
      </c>
      <c r="J2064" s="4" t="s">
        <v>607</v>
      </c>
      <c r="K2064" s="4" t="s">
        <v>607</v>
      </c>
      <c r="L2064" s="4" t="s">
        <v>607</v>
      </c>
      <c r="M2064" s="4" t="s">
        <v>607</v>
      </c>
      <c r="N2064" s="4" t="s">
        <v>607</v>
      </c>
      <c r="O2064" s="4"/>
      <c r="P2064" s="4"/>
      <c r="T2064" s="4"/>
    </row>
    <row r="2065">
      <c r="A2065" s="4" t="s">
        <v>5359</v>
      </c>
      <c r="B2065" s="4" t="s">
        <v>607</v>
      </c>
      <c r="C2065" s="6" t="s">
        <v>607</v>
      </c>
      <c r="D2065" s="6" t="s">
        <v>607</v>
      </c>
      <c r="E2065" s="6" t="s">
        <v>607</v>
      </c>
      <c r="F2065" s="6" t="s">
        <v>607</v>
      </c>
      <c r="G2065" s="4" t="s">
        <v>607</v>
      </c>
      <c r="H2065" s="4" t="s">
        <v>607</v>
      </c>
      <c r="I2065" s="4" t="s">
        <v>607</v>
      </c>
      <c r="J2065" s="4" t="s">
        <v>607</v>
      </c>
      <c r="K2065" s="4" t="s">
        <v>607</v>
      </c>
      <c r="L2065" s="4" t="s">
        <v>607</v>
      </c>
      <c r="M2065" s="4" t="s">
        <v>607</v>
      </c>
      <c r="N2065" s="4" t="s">
        <v>607</v>
      </c>
      <c r="O2065" s="4"/>
      <c r="P2065" s="4"/>
      <c r="T2065" s="4"/>
    </row>
    <row r="2066">
      <c r="A2066" s="4" t="s">
        <v>5360</v>
      </c>
      <c r="B2066" s="4" t="s">
        <v>607</v>
      </c>
      <c r="C2066" s="6" t="s">
        <v>607</v>
      </c>
      <c r="D2066" s="6" t="s">
        <v>607</v>
      </c>
      <c r="E2066" s="6" t="s">
        <v>607</v>
      </c>
      <c r="F2066" s="6" t="s">
        <v>607</v>
      </c>
      <c r="G2066" s="4" t="s">
        <v>607</v>
      </c>
      <c r="H2066" s="4" t="s">
        <v>607</v>
      </c>
      <c r="I2066" s="4" t="s">
        <v>607</v>
      </c>
      <c r="J2066" s="4" t="s">
        <v>607</v>
      </c>
      <c r="K2066" s="4" t="s">
        <v>607</v>
      </c>
      <c r="L2066" s="4" t="s">
        <v>607</v>
      </c>
      <c r="M2066" s="4" t="s">
        <v>607</v>
      </c>
      <c r="N2066" s="4" t="s">
        <v>607</v>
      </c>
      <c r="O2066" s="4"/>
      <c r="P2066" s="4"/>
      <c r="T2066" s="4"/>
    </row>
    <row r="2067">
      <c r="A2067" s="4" t="s">
        <v>5361</v>
      </c>
      <c r="B2067" s="4" t="s">
        <v>607</v>
      </c>
      <c r="C2067" s="6" t="s">
        <v>607</v>
      </c>
      <c r="D2067" s="6" t="s">
        <v>607</v>
      </c>
      <c r="E2067" s="6" t="s">
        <v>607</v>
      </c>
      <c r="F2067" s="6" t="s">
        <v>607</v>
      </c>
      <c r="G2067" s="4" t="s">
        <v>607</v>
      </c>
      <c r="H2067" s="4" t="s">
        <v>607</v>
      </c>
      <c r="I2067" s="4" t="s">
        <v>607</v>
      </c>
      <c r="J2067" s="4" t="s">
        <v>607</v>
      </c>
      <c r="K2067" s="4" t="s">
        <v>607</v>
      </c>
      <c r="L2067" s="4" t="s">
        <v>607</v>
      </c>
      <c r="M2067" s="4" t="s">
        <v>607</v>
      </c>
      <c r="N2067" s="4" t="s">
        <v>607</v>
      </c>
      <c r="O2067" s="4"/>
      <c r="P2067" s="4"/>
      <c r="T2067" s="4"/>
    </row>
    <row r="2068">
      <c r="A2068" s="4" t="s">
        <v>5362</v>
      </c>
      <c r="B2068" s="4" t="s">
        <v>607</v>
      </c>
      <c r="C2068" s="6" t="s">
        <v>607</v>
      </c>
      <c r="D2068" s="6" t="s">
        <v>607</v>
      </c>
      <c r="E2068" s="6" t="s">
        <v>607</v>
      </c>
      <c r="F2068" s="6" t="s">
        <v>607</v>
      </c>
      <c r="G2068" s="4" t="s">
        <v>607</v>
      </c>
      <c r="H2068" s="4" t="s">
        <v>607</v>
      </c>
      <c r="I2068" s="4" t="s">
        <v>607</v>
      </c>
      <c r="J2068" s="4" t="s">
        <v>607</v>
      </c>
      <c r="K2068" s="4" t="s">
        <v>607</v>
      </c>
      <c r="L2068" s="4" t="s">
        <v>607</v>
      </c>
      <c r="M2068" s="4" t="s">
        <v>607</v>
      </c>
      <c r="N2068" s="4" t="s">
        <v>607</v>
      </c>
      <c r="O2068" s="4"/>
      <c r="P2068" s="4"/>
      <c r="T2068" s="4"/>
    </row>
    <row r="2069">
      <c r="A2069" s="4" t="s">
        <v>5363</v>
      </c>
      <c r="B2069" s="4" t="s">
        <v>607</v>
      </c>
      <c r="C2069" s="6" t="s">
        <v>607</v>
      </c>
      <c r="D2069" s="6" t="s">
        <v>607</v>
      </c>
      <c r="E2069" s="6" t="s">
        <v>607</v>
      </c>
      <c r="F2069" s="6" t="s">
        <v>607</v>
      </c>
      <c r="G2069" s="4" t="s">
        <v>607</v>
      </c>
      <c r="H2069" s="4" t="s">
        <v>607</v>
      </c>
      <c r="I2069" s="4" t="s">
        <v>607</v>
      </c>
      <c r="J2069" s="4" t="s">
        <v>607</v>
      </c>
      <c r="K2069" s="4" t="s">
        <v>607</v>
      </c>
      <c r="L2069" s="4" t="s">
        <v>607</v>
      </c>
      <c r="M2069" s="4" t="s">
        <v>607</v>
      </c>
      <c r="N2069" s="4" t="s">
        <v>607</v>
      </c>
      <c r="O2069" s="4"/>
      <c r="P2069" s="4"/>
      <c r="T2069" s="4"/>
    </row>
    <row r="2070">
      <c r="A2070" s="4" t="s">
        <v>5364</v>
      </c>
      <c r="B2070" s="4" t="s">
        <v>607</v>
      </c>
      <c r="C2070" s="6" t="s">
        <v>607</v>
      </c>
      <c r="D2070" s="6" t="s">
        <v>607</v>
      </c>
      <c r="E2070" s="6" t="s">
        <v>607</v>
      </c>
      <c r="F2070" s="6" t="s">
        <v>607</v>
      </c>
      <c r="G2070" s="4" t="s">
        <v>607</v>
      </c>
      <c r="H2070" s="4" t="s">
        <v>607</v>
      </c>
      <c r="I2070" s="4" t="s">
        <v>607</v>
      </c>
      <c r="J2070" s="4" t="s">
        <v>607</v>
      </c>
      <c r="K2070" s="4" t="s">
        <v>607</v>
      </c>
      <c r="L2070" s="4" t="s">
        <v>607</v>
      </c>
      <c r="M2070" s="4" t="s">
        <v>607</v>
      </c>
      <c r="N2070" s="4" t="s">
        <v>607</v>
      </c>
      <c r="O2070" s="4"/>
      <c r="P2070" s="4"/>
      <c r="T2070" s="4"/>
    </row>
    <row r="2071">
      <c r="A2071" s="4" t="s">
        <v>5365</v>
      </c>
      <c r="B2071" s="4" t="s">
        <v>607</v>
      </c>
      <c r="C2071" s="6" t="s">
        <v>607</v>
      </c>
      <c r="D2071" s="6" t="s">
        <v>607</v>
      </c>
      <c r="E2071" s="6" t="s">
        <v>607</v>
      </c>
      <c r="F2071" s="6" t="s">
        <v>607</v>
      </c>
      <c r="G2071" s="4" t="s">
        <v>607</v>
      </c>
      <c r="H2071" s="4" t="s">
        <v>607</v>
      </c>
      <c r="I2071" s="4" t="s">
        <v>607</v>
      </c>
      <c r="J2071" s="4" t="s">
        <v>607</v>
      </c>
      <c r="K2071" s="4" t="s">
        <v>607</v>
      </c>
      <c r="L2071" s="4" t="s">
        <v>607</v>
      </c>
      <c r="M2071" s="4" t="s">
        <v>607</v>
      </c>
      <c r="N2071" s="4" t="s">
        <v>607</v>
      </c>
      <c r="O2071" s="4"/>
      <c r="P2071" s="4"/>
      <c r="T2071" s="4"/>
    </row>
    <row r="2072">
      <c r="A2072" s="4" t="s">
        <v>5366</v>
      </c>
      <c r="B2072" s="4" t="s">
        <v>607</v>
      </c>
      <c r="C2072" s="6" t="s">
        <v>607</v>
      </c>
      <c r="D2072" s="6" t="s">
        <v>607</v>
      </c>
      <c r="E2072" s="6" t="s">
        <v>607</v>
      </c>
      <c r="F2072" s="6" t="s">
        <v>607</v>
      </c>
      <c r="G2072" s="4" t="s">
        <v>607</v>
      </c>
      <c r="H2072" s="4" t="s">
        <v>607</v>
      </c>
      <c r="I2072" s="4" t="s">
        <v>607</v>
      </c>
      <c r="J2072" s="4" t="s">
        <v>607</v>
      </c>
      <c r="K2072" s="4" t="s">
        <v>607</v>
      </c>
      <c r="L2072" s="4" t="s">
        <v>607</v>
      </c>
      <c r="M2072" s="4" t="s">
        <v>607</v>
      </c>
      <c r="N2072" s="4" t="s">
        <v>607</v>
      </c>
      <c r="O2072" s="4"/>
      <c r="P2072" s="4"/>
      <c r="T2072" s="4"/>
    </row>
    <row r="2073">
      <c r="A2073" s="4" t="s">
        <v>5367</v>
      </c>
      <c r="B2073" s="4" t="s">
        <v>607</v>
      </c>
      <c r="C2073" s="6" t="s">
        <v>607</v>
      </c>
      <c r="D2073" s="6" t="s">
        <v>607</v>
      </c>
      <c r="E2073" s="6" t="s">
        <v>607</v>
      </c>
      <c r="F2073" s="6" t="s">
        <v>607</v>
      </c>
      <c r="G2073" s="4" t="s">
        <v>607</v>
      </c>
      <c r="H2073" s="4" t="s">
        <v>607</v>
      </c>
      <c r="I2073" s="4" t="s">
        <v>607</v>
      </c>
      <c r="J2073" s="4" t="s">
        <v>607</v>
      </c>
      <c r="K2073" s="4" t="s">
        <v>607</v>
      </c>
      <c r="L2073" s="4" t="s">
        <v>607</v>
      </c>
      <c r="M2073" s="4" t="s">
        <v>607</v>
      </c>
      <c r="N2073" s="4" t="s">
        <v>607</v>
      </c>
      <c r="O2073" s="4"/>
      <c r="P2073" s="4"/>
      <c r="T2073" s="4"/>
    </row>
    <row r="2074">
      <c r="A2074" s="4" t="s">
        <v>5368</v>
      </c>
      <c r="B2074" s="4" t="s">
        <v>607</v>
      </c>
      <c r="C2074" s="6" t="s">
        <v>607</v>
      </c>
      <c r="D2074" s="6" t="s">
        <v>607</v>
      </c>
      <c r="E2074" s="6" t="s">
        <v>607</v>
      </c>
      <c r="F2074" s="6" t="s">
        <v>607</v>
      </c>
      <c r="G2074" s="4" t="s">
        <v>607</v>
      </c>
      <c r="H2074" s="4" t="s">
        <v>607</v>
      </c>
      <c r="I2074" s="4" t="s">
        <v>607</v>
      </c>
      <c r="J2074" s="4" t="s">
        <v>607</v>
      </c>
      <c r="K2074" s="4" t="s">
        <v>607</v>
      </c>
      <c r="L2074" s="4" t="s">
        <v>607</v>
      </c>
      <c r="M2074" s="4" t="s">
        <v>607</v>
      </c>
      <c r="N2074" s="4" t="s">
        <v>607</v>
      </c>
      <c r="O2074" s="4"/>
      <c r="P2074" s="4"/>
      <c r="T2074" s="4"/>
    </row>
    <row r="2075">
      <c r="A2075" s="4" t="s">
        <v>5369</v>
      </c>
      <c r="B2075" s="4" t="s">
        <v>607</v>
      </c>
      <c r="C2075" s="6" t="s">
        <v>607</v>
      </c>
      <c r="D2075" s="6" t="s">
        <v>607</v>
      </c>
      <c r="E2075" s="6" t="s">
        <v>607</v>
      </c>
      <c r="F2075" s="6" t="s">
        <v>607</v>
      </c>
      <c r="G2075" s="4" t="s">
        <v>607</v>
      </c>
      <c r="H2075" s="4" t="s">
        <v>607</v>
      </c>
      <c r="I2075" s="4" t="s">
        <v>607</v>
      </c>
      <c r="J2075" s="4" t="s">
        <v>607</v>
      </c>
      <c r="K2075" s="4" t="s">
        <v>607</v>
      </c>
      <c r="L2075" s="4" t="s">
        <v>607</v>
      </c>
      <c r="M2075" s="4" t="s">
        <v>607</v>
      </c>
      <c r="N2075" s="4" t="s">
        <v>607</v>
      </c>
      <c r="O2075" s="4"/>
      <c r="P2075" s="4"/>
      <c r="T2075" s="4"/>
    </row>
    <row r="2076">
      <c r="A2076" s="4" t="s">
        <v>5370</v>
      </c>
      <c r="B2076" s="4" t="s">
        <v>607</v>
      </c>
      <c r="C2076" s="6" t="s">
        <v>607</v>
      </c>
      <c r="D2076" s="6" t="s">
        <v>607</v>
      </c>
      <c r="E2076" s="6" t="s">
        <v>607</v>
      </c>
      <c r="F2076" s="6" t="s">
        <v>607</v>
      </c>
      <c r="G2076" s="4" t="s">
        <v>607</v>
      </c>
      <c r="H2076" s="4" t="s">
        <v>607</v>
      </c>
      <c r="I2076" s="4" t="s">
        <v>607</v>
      </c>
      <c r="J2076" s="4" t="s">
        <v>607</v>
      </c>
      <c r="K2076" s="4" t="s">
        <v>607</v>
      </c>
      <c r="L2076" s="4" t="s">
        <v>607</v>
      </c>
      <c r="M2076" s="4" t="s">
        <v>607</v>
      </c>
      <c r="N2076" s="4" t="s">
        <v>607</v>
      </c>
      <c r="O2076" s="4"/>
      <c r="P2076" s="4"/>
      <c r="T2076" s="4"/>
    </row>
    <row r="2077">
      <c r="A2077" s="4" t="s">
        <v>5371</v>
      </c>
      <c r="B2077" s="4" t="s">
        <v>607</v>
      </c>
      <c r="C2077" s="6" t="s">
        <v>607</v>
      </c>
      <c r="D2077" s="6" t="s">
        <v>607</v>
      </c>
      <c r="E2077" s="6" t="s">
        <v>607</v>
      </c>
      <c r="F2077" s="6" t="s">
        <v>607</v>
      </c>
      <c r="G2077" s="4" t="s">
        <v>607</v>
      </c>
      <c r="H2077" s="4" t="s">
        <v>607</v>
      </c>
      <c r="I2077" s="4" t="s">
        <v>607</v>
      </c>
      <c r="J2077" s="4" t="s">
        <v>607</v>
      </c>
      <c r="K2077" s="4" t="s">
        <v>607</v>
      </c>
      <c r="L2077" s="4" t="s">
        <v>607</v>
      </c>
      <c r="M2077" s="4" t="s">
        <v>607</v>
      </c>
      <c r="N2077" s="4" t="s">
        <v>607</v>
      </c>
      <c r="O2077" s="4"/>
      <c r="P2077" s="4"/>
      <c r="T2077" s="4"/>
    </row>
    <row r="2078">
      <c r="A2078" s="4" t="s">
        <v>5372</v>
      </c>
      <c r="B2078" s="4" t="s">
        <v>607</v>
      </c>
      <c r="C2078" s="6" t="s">
        <v>607</v>
      </c>
      <c r="D2078" s="6" t="s">
        <v>607</v>
      </c>
      <c r="E2078" s="6" t="s">
        <v>607</v>
      </c>
      <c r="F2078" s="6" t="s">
        <v>607</v>
      </c>
      <c r="G2078" s="4" t="s">
        <v>607</v>
      </c>
      <c r="H2078" s="4" t="s">
        <v>607</v>
      </c>
      <c r="I2078" s="4" t="s">
        <v>607</v>
      </c>
      <c r="J2078" s="4" t="s">
        <v>607</v>
      </c>
      <c r="K2078" s="4" t="s">
        <v>607</v>
      </c>
      <c r="L2078" s="4" t="s">
        <v>607</v>
      </c>
      <c r="M2078" s="4" t="s">
        <v>607</v>
      </c>
      <c r="N2078" s="4" t="s">
        <v>607</v>
      </c>
      <c r="O2078" s="4"/>
      <c r="P2078" s="4"/>
      <c r="T2078" s="4"/>
    </row>
    <row r="2079">
      <c r="A2079" s="4" t="s">
        <v>5373</v>
      </c>
      <c r="B2079" s="4" t="s">
        <v>607</v>
      </c>
      <c r="C2079" s="6" t="s">
        <v>607</v>
      </c>
      <c r="D2079" s="6" t="s">
        <v>607</v>
      </c>
      <c r="E2079" s="6" t="s">
        <v>607</v>
      </c>
      <c r="F2079" s="6" t="s">
        <v>607</v>
      </c>
      <c r="G2079" s="4" t="s">
        <v>607</v>
      </c>
      <c r="H2079" s="4" t="s">
        <v>607</v>
      </c>
      <c r="I2079" s="4" t="s">
        <v>607</v>
      </c>
      <c r="J2079" s="4" t="s">
        <v>607</v>
      </c>
      <c r="K2079" s="4" t="s">
        <v>607</v>
      </c>
      <c r="L2079" s="4" t="s">
        <v>607</v>
      </c>
      <c r="M2079" s="4" t="s">
        <v>607</v>
      </c>
      <c r="N2079" s="4" t="s">
        <v>607</v>
      </c>
      <c r="O2079" s="4"/>
      <c r="P2079" s="4"/>
      <c r="T2079" s="4"/>
    </row>
    <row r="2080">
      <c r="A2080" s="4" t="s">
        <v>5374</v>
      </c>
      <c r="B2080" s="4" t="s">
        <v>607</v>
      </c>
      <c r="C2080" s="6" t="s">
        <v>607</v>
      </c>
      <c r="D2080" s="6" t="s">
        <v>607</v>
      </c>
      <c r="E2080" s="6" t="s">
        <v>607</v>
      </c>
      <c r="F2080" s="6" t="s">
        <v>607</v>
      </c>
      <c r="G2080" s="4" t="s">
        <v>607</v>
      </c>
      <c r="H2080" s="4" t="s">
        <v>607</v>
      </c>
      <c r="I2080" s="4" t="s">
        <v>607</v>
      </c>
      <c r="J2080" s="4" t="s">
        <v>607</v>
      </c>
      <c r="K2080" s="4" t="s">
        <v>607</v>
      </c>
      <c r="L2080" s="4" t="s">
        <v>607</v>
      </c>
      <c r="M2080" s="4" t="s">
        <v>607</v>
      </c>
      <c r="N2080" s="4" t="s">
        <v>607</v>
      </c>
      <c r="O2080" s="4"/>
      <c r="P2080" s="4"/>
      <c r="T2080" s="4"/>
    </row>
    <row r="2081">
      <c r="A2081" s="4" t="s">
        <v>5375</v>
      </c>
      <c r="B2081" s="4" t="s">
        <v>607</v>
      </c>
      <c r="C2081" s="6" t="s">
        <v>607</v>
      </c>
      <c r="D2081" s="6" t="s">
        <v>607</v>
      </c>
      <c r="E2081" s="6" t="s">
        <v>607</v>
      </c>
      <c r="F2081" s="6" t="s">
        <v>607</v>
      </c>
      <c r="G2081" s="4" t="s">
        <v>607</v>
      </c>
      <c r="H2081" s="4" t="s">
        <v>607</v>
      </c>
      <c r="I2081" s="4" t="s">
        <v>607</v>
      </c>
      <c r="J2081" s="4" t="s">
        <v>607</v>
      </c>
      <c r="K2081" s="4" t="s">
        <v>607</v>
      </c>
      <c r="L2081" s="4" t="s">
        <v>607</v>
      </c>
      <c r="M2081" s="4" t="s">
        <v>607</v>
      </c>
      <c r="N2081" s="4" t="s">
        <v>607</v>
      </c>
      <c r="O2081" s="4"/>
      <c r="P2081" s="4"/>
      <c r="T2081" s="4"/>
    </row>
    <row r="2082">
      <c r="A2082" s="4" t="s">
        <v>5376</v>
      </c>
      <c r="B2082" s="4" t="s">
        <v>607</v>
      </c>
      <c r="C2082" s="6" t="s">
        <v>607</v>
      </c>
      <c r="D2082" s="6" t="s">
        <v>607</v>
      </c>
      <c r="E2082" s="6" t="s">
        <v>607</v>
      </c>
      <c r="F2082" s="6" t="s">
        <v>607</v>
      </c>
      <c r="G2082" s="4" t="s">
        <v>607</v>
      </c>
      <c r="H2082" s="4" t="s">
        <v>607</v>
      </c>
      <c r="I2082" s="4" t="s">
        <v>607</v>
      </c>
      <c r="J2082" s="4" t="s">
        <v>607</v>
      </c>
      <c r="K2082" s="4" t="s">
        <v>607</v>
      </c>
      <c r="L2082" s="4" t="s">
        <v>607</v>
      </c>
      <c r="M2082" s="4" t="s">
        <v>607</v>
      </c>
      <c r="N2082" s="4" t="s">
        <v>607</v>
      </c>
      <c r="O2082" s="4"/>
      <c r="P2082" s="4"/>
      <c r="T2082" s="4"/>
    </row>
    <row r="2083">
      <c r="A2083" s="4" t="s">
        <v>5377</v>
      </c>
      <c r="B2083" s="4" t="s">
        <v>607</v>
      </c>
      <c r="C2083" s="6" t="s">
        <v>607</v>
      </c>
      <c r="D2083" s="6" t="s">
        <v>607</v>
      </c>
      <c r="E2083" s="6" t="s">
        <v>607</v>
      </c>
      <c r="F2083" s="6" t="s">
        <v>607</v>
      </c>
      <c r="G2083" s="4" t="s">
        <v>607</v>
      </c>
      <c r="H2083" s="4" t="s">
        <v>607</v>
      </c>
      <c r="I2083" s="4" t="s">
        <v>607</v>
      </c>
      <c r="J2083" s="4" t="s">
        <v>607</v>
      </c>
      <c r="K2083" s="4" t="s">
        <v>607</v>
      </c>
      <c r="L2083" s="4" t="s">
        <v>607</v>
      </c>
      <c r="M2083" s="4" t="s">
        <v>607</v>
      </c>
      <c r="N2083" s="4" t="s">
        <v>607</v>
      </c>
      <c r="O2083" s="4"/>
      <c r="P2083" s="4"/>
      <c r="T2083" s="4"/>
    </row>
    <row r="2084">
      <c r="A2084" s="4" t="s">
        <v>5378</v>
      </c>
      <c r="B2084" s="4" t="s">
        <v>607</v>
      </c>
      <c r="C2084" s="6" t="s">
        <v>607</v>
      </c>
      <c r="D2084" s="6" t="s">
        <v>607</v>
      </c>
      <c r="E2084" s="6" t="s">
        <v>607</v>
      </c>
      <c r="F2084" s="6" t="s">
        <v>607</v>
      </c>
      <c r="G2084" s="4" t="s">
        <v>607</v>
      </c>
      <c r="H2084" s="4" t="s">
        <v>607</v>
      </c>
      <c r="I2084" s="4" t="s">
        <v>607</v>
      </c>
      <c r="J2084" s="4" t="s">
        <v>607</v>
      </c>
      <c r="K2084" s="4" t="s">
        <v>607</v>
      </c>
      <c r="L2084" s="4" t="s">
        <v>607</v>
      </c>
      <c r="M2084" s="4" t="s">
        <v>607</v>
      </c>
      <c r="N2084" s="4" t="s">
        <v>607</v>
      </c>
      <c r="O2084" s="4"/>
      <c r="P2084" s="4"/>
      <c r="T2084" s="4"/>
    </row>
    <row r="2085">
      <c r="A2085" s="4" t="s">
        <v>5379</v>
      </c>
      <c r="B2085" s="4" t="s">
        <v>607</v>
      </c>
      <c r="C2085" s="6" t="s">
        <v>607</v>
      </c>
      <c r="D2085" s="6" t="s">
        <v>607</v>
      </c>
      <c r="E2085" s="6" t="s">
        <v>607</v>
      </c>
      <c r="F2085" s="6" t="s">
        <v>607</v>
      </c>
      <c r="G2085" s="4" t="s">
        <v>607</v>
      </c>
      <c r="H2085" s="4" t="s">
        <v>607</v>
      </c>
      <c r="I2085" s="4" t="s">
        <v>607</v>
      </c>
      <c r="J2085" s="4" t="s">
        <v>607</v>
      </c>
      <c r="K2085" s="4" t="s">
        <v>607</v>
      </c>
      <c r="L2085" s="4" t="s">
        <v>607</v>
      </c>
      <c r="M2085" s="4" t="s">
        <v>607</v>
      </c>
      <c r="N2085" s="4" t="s">
        <v>607</v>
      </c>
      <c r="O2085" s="4"/>
      <c r="P2085" s="4"/>
      <c r="T2085" s="4"/>
    </row>
    <row r="2086">
      <c r="A2086" s="4" t="s">
        <v>5380</v>
      </c>
      <c r="B2086" s="4" t="s">
        <v>607</v>
      </c>
      <c r="C2086" s="6" t="s">
        <v>607</v>
      </c>
      <c r="D2086" s="6" t="s">
        <v>607</v>
      </c>
      <c r="E2086" s="6" t="s">
        <v>607</v>
      </c>
      <c r="F2086" s="6" t="s">
        <v>607</v>
      </c>
      <c r="G2086" s="4" t="s">
        <v>607</v>
      </c>
      <c r="H2086" s="4" t="s">
        <v>607</v>
      </c>
      <c r="I2086" s="4" t="s">
        <v>607</v>
      </c>
      <c r="J2086" s="4" t="s">
        <v>607</v>
      </c>
      <c r="K2086" s="4" t="s">
        <v>607</v>
      </c>
      <c r="L2086" s="4" t="s">
        <v>607</v>
      </c>
      <c r="M2086" s="4" t="s">
        <v>607</v>
      </c>
      <c r="N2086" s="4" t="s">
        <v>607</v>
      </c>
      <c r="O2086" s="4"/>
      <c r="P2086" s="4"/>
      <c r="T2086" s="4"/>
    </row>
    <row r="2087">
      <c r="A2087" s="4" t="s">
        <v>5381</v>
      </c>
      <c r="B2087" s="4" t="s">
        <v>607</v>
      </c>
      <c r="C2087" s="6" t="s">
        <v>607</v>
      </c>
      <c r="D2087" s="6" t="s">
        <v>607</v>
      </c>
      <c r="E2087" s="6" t="s">
        <v>607</v>
      </c>
      <c r="F2087" s="6" t="s">
        <v>607</v>
      </c>
      <c r="G2087" s="4" t="s">
        <v>607</v>
      </c>
      <c r="H2087" s="4" t="s">
        <v>607</v>
      </c>
      <c r="I2087" s="4" t="s">
        <v>607</v>
      </c>
      <c r="J2087" s="4" t="s">
        <v>607</v>
      </c>
      <c r="K2087" s="4" t="s">
        <v>607</v>
      </c>
      <c r="L2087" s="4" t="s">
        <v>607</v>
      </c>
      <c r="M2087" s="4" t="s">
        <v>607</v>
      </c>
      <c r="N2087" s="4" t="s">
        <v>607</v>
      </c>
      <c r="O2087" s="4"/>
      <c r="P2087" s="4"/>
      <c r="T2087" s="4"/>
    </row>
    <row r="2088">
      <c r="A2088" s="4" t="s">
        <v>5382</v>
      </c>
      <c r="B2088" s="4" t="s">
        <v>607</v>
      </c>
      <c r="C2088" s="6" t="s">
        <v>607</v>
      </c>
      <c r="D2088" s="6" t="s">
        <v>607</v>
      </c>
      <c r="E2088" s="6" t="s">
        <v>607</v>
      </c>
      <c r="F2088" s="6" t="s">
        <v>607</v>
      </c>
      <c r="G2088" s="4" t="s">
        <v>607</v>
      </c>
      <c r="H2088" s="4" t="s">
        <v>607</v>
      </c>
      <c r="I2088" s="4" t="s">
        <v>607</v>
      </c>
      <c r="J2088" s="4" t="s">
        <v>607</v>
      </c>
      <c r="K2088" s="4" t="s">
        <v>607</v>
      </c>
      <c r="L2088" s="4" t="s">
        <v>607</v>
      </c>
      <c r="M2088" s="4" t="s">
        <v>607</v>
      </c>
      <c r="N2088" s="4" t="s">
        <v>607</v>
      </c>
      <c r="O2088" s="4"/>
      <c r="P2088" s="4"/>
      <c r="T2088" s="4"/>
    </row>
    <row r="2089">
      <c r="A2089" s="4" t="s">
        <v>5383</v>
      </c>
      <c r="B2089" s="4" t="s">
        <v>607</v>
      </c>
      <c r="C2089" s="6" t="s">
        <v>607</v>
      </c>
      <c r="D2089" s="6" t="s">
        <v>607</v>
      </c>
      <c r="E2089" s="6" t="s">
        <v>607</v>
      </c>
      <c r="F2089" s="6" t="s">
        <v>607</v>
      </c>
      <c r="G2089" s="4" t="s">
        <v>607</v>
      </c>
      <c r="H2089" s="4" t="s">
        <v>607</v>
      </c>
      <c r="I2089" s="4" t="s">
        <v>607</v>
      </c>
      <c r="J2089" s="4" t="s">
        <v>607</v>
      </c>
      <c r="K2089" s="4" t="s">
        <v>607</v>
      </c>
      <c r="L2089" s="4" t="s">
        <v>607</v>
      </c>
      <c r="M2089" s="4" t="s">
        <v>607</v>
      </c>
      <c r="N2089" s="4" t="s">
        <v>607</v>
      </c>
      <c r="O2089" s="4"/>
      <c r="P2089" s="4"/>
      <c r="T2089" s="4"/>
    </row>
    <row r="2090">
      <c r="A2090" s="4" t="s">
        <v>5384</v>
      </c>
      <c r="B2090" s="4" t="s">
        <v>607</v>
      </c>
      <c r="C2090" s="6" t="s">
        <v>607</v>
      </c>
      <c r="D2090" s="6" t="s">
        <v>607</v>
      </c>
      <c r="E2090" s="6" t="s">
        <v>607</v>
      </c>
      <c r="F2090" s="6" t="s">
        <v>607</v>
      </c>
      <c r="G2090" s="4" t="s">
        <v>607</v>
      </c>
      <c r="H2090" s="4" t="s">
        <v>607</v>
      </c>
      <c r="I2090" s="4" t="s">
        <v>607</v>
      </c>
      <c r="J2090" s="4" t="s">
        <v>607</v>
      </c>
      <c r="K2090" s="4" t="s">
        <v>607</v>
      </c>
      <c r="L2090" s="4" t="s">
        <v>607</v>
      </c>
      <c r="M2090" s="4" t="s">
        <v>607</v>
      </c>
      <c r="N2090" s="4" t="s">
        <v>607</v>
      </c>
      <c r="O2090" s="4"/>
      <c r="P2090" s="4"/>
      <c r="T2090" s="4"/>
    </row>
    <row r="2091">
      <c r="A2091" s="4" t="s">
        <v>5385</v>
      </c>
      <c r="B2091" s="4" t="s">
        <v>607</v>
      </c>
      <c r="C2091" s="6" t="s">
        <v>607</v>
      </c>
      <c r="D2091" s="6" t="s">
        <v>607</v>
      </c>
      <c r="E2091" s="6" t="s">
        <v>607</v>
      </c>
      <c r="F2091" s="6" t="s">
        <v>607</v>
      </c>
      <c r="G2091" s="4" t="s">
        <v>607</v>
      </c>
      <c r="H2091" s="4" t="s">
        <v>607</v>
      </c>
      <c r="I2091" s="4" t="s">
        <v>607</v>
      </c>
      <c r="J2091" s="4" t="s">
        <v>607</v>
      </c>
      <c r="K2091" s="4" t="s">
        <v>607</v>
      </c>
      <c r="L2091" s="4" t="s">
        <v>607</v>
      </c>
      <c r="M2091" s="4" t="s">
        <v>607</v>
      </c>
      <c r="N2091" s="4" t="s">
        <v>607</v>
      </c>
      <c r="O2091" s="4"/>
      <c r="P2091" s="4"/>
      <c r="T2091" s="4"/>
    </row>
    <row r="2092">
      <c r="A2092" s="4" t="s">
        <v>5386</v>
      </c>
      <c r="B2092" s="4" t="s">
        <v>607</v>
      </c>
      <c r="C2092" s="6" t="s">
        <v>607</v>
      </c>
      <c r="D2092" s="6" t="s">
        <v>607</v>
      </c>
      <c r="E2092" s="6" t="s">
        <v>607</v>
      </c>
      <c r="F2092" s="6" t="s">
        <v>607</v>
      </c>
      <c r="G2092" s="4" t="s">
        <v>607</v>
      </c>
      <c r="H2092" s="4" t="s">
        <v>607</v>
      </c>
      <c r="I2092" s="4" t="s">
        <v>607</v>
      </c>
      <c r="J2092" s="4" t="s">
        <v>607</v>
      </c>
      <c r="K2092" s="4" t="s">
        <v>607</v>
      </c>
      <c r="L2092" s="4" t="s">
        <v>607</v>
      </c>
      <c r="M2092" s="4" t="s">
        <v>607</v>
      </c>
      <c r="N2092" s="4" t="s">
        <v>607</v>
      </c>
      <c r="O2092" s="4"/>
      <c r="P2092" s="4"/>
      <c r="T2092" s="4"/>
    </row>
    <row r="2093">
      <c r="A2093" s="4" t="s">
        <v>5387</v>
      </c>
      <c r="B2093" s="4" t="s">
        <v>607</v>
      </c>
      <c r="C2093" s="6" t="s">
        <v>607</v>
      </c>
      <c r="D2093" s="6" t="s">
        <v>607</v>
      </c>
      <c r="E2093" s="6" t="s">
        <v>607</v>
      </c>
      <c r="F2093" s="6" t="s">
        <v>607</v>
      </c>
      <c r="G2093" s="4" t="s">
        <v>607</v>
      </c>
      <c r="H2093" s="4" t="s">
        <v>607</v>
      </c>
      <c r="I2093" s="4" t="s">
        <v>607</v>
      </c>
      <c r="J2093" s="4" t="s">
        <v>607</v>
      </c>
      <c r="K2093" s="4" t="s">
        <v>607</v>
      </c>
      <c r="L2093" s="4" t="s">
        <v>607</v>
      </c>
      <c r="M2093" s="4" t="s">
        <v>607</v>
      </c>
      <c r="N2093" s="4" t="s">
        <v>607</v>
      </c>
      <c r="O2093" s="4"/>
      <c r="P2093" s="4"/>
      <c r="T2093" s="4"/>
    </row>
    <row r="2094">
      <c r="A2094" s="4" t="s">
        <v>5388</v>
      </c>
      <c r="B2094" s="4" t="s">
        <v>607</v>
      </c>
      <c r="C2094" s="6" t="s">
        <v>607</v>
      </c>
      <c r="D2094" s="6" t="s">
        <v>607</v>
      </c>
      <c r="E2094" s="6" t="s">
        <v>607</v>
      </c>
      <c r="F2094" s="6" t="s">
        <v>607</v>
      </c>
      <c r="G2094" s="4" t="s">
        <v>607</v>
      </c>
      <c r="H2094" s="4" t="s">
        <v>607</v>
      </c>
      <c r="I2094" s="4" t="s">
        <v>607</v>
      </c>
      <c r="J2094" s="4" t="s">
        <v>607</v>
      </c>
      <c r="K2094" s="4" t="s">
        <v>607</v>
      </c>
      <c r="L2094" s="4" t="s">
        <v>607</v>
      </c>
      <c r="M2094" s="4" t="s">
        <v>607</v>
      </c>
      <c r="N2094" s="4" t="s">
        <v>607</v>
      </c>
      <c r="O2094" s="4"/>
      <c r="P2094" s="4"/>
      <c r="T2094" s="4"/>
    </row>
    <row r="2095">
      <c r="A2095" s="4" t="s">
        <v>5389</v>
      </c>
      <c r="B2095" s="4" t="s">
        <v>607</v>
      </c>
      <c r="C2095" s="6" t="s">
        <v>607</v>
      </c>
      <c r="D2095" s="6" t="s">
        <v>607</v>
      </c>
      <c r="E2095" s="6" t="s">
        <v>607</v>
      </c>
      <c r="F2095" s="6" t="s">
        <v>607</v>
      </c>
      <c r="G2095" s="4" t="s">
        <v>607</v>
      </c>
      <c r="H2095" s="4" t="s">
        <v>607</v>
      </c>
      <c r="I2095" s="4" t="s">
        <v>607</v>
      </c>
      <c r="J2095" s="4" t="s">
        <v>607</v>
      </c>
      <c r="K2095" s="4" t="s">
        <v>607</v>
      </c>
      <c r="L2095" s="4" t="s">
        <v>607</v>
      </c>
      <c r="M2095" s="4" t="s">
        <v>607</v>
      </c>
      <c r="N2095" s="4" t="s">
        <v>607</v>
      </c>
      <c r="O2095" s="4"/>
      <c r="P2095" s="4"/>
      <c r="T2095" s="4"/>
    </row>
    <row r="2096">
      <c r="A2096" s="4" t="s">
        <v>5390</v>
      </c>
      <c r="B2096" s="4" t="s">
        <v>607</v>
      </c>
      <c r="C2096" s="6" t="s">
        <v>607</v>
      </c>
      <c r="D2096" s="6" t="s">
        <v>607</v>
      </c>
      <c r="E2096" s="6" t="s">
        <v>607</v>
      </c>
      <c r="F2096" s="6" t="s">
        <v>607</v>
      </c>
      <c r="G2096" s="4" t="s">
        <v>607</v>
      </c>
      <c r="H2096" s="4" t="s">
        <v>607</v>
      </c>
      <c r="I2096" s="4" t="s">
        <v>607</v>
      </c>
      <c r="J2096" s="4" t="s">
        <v>607</v>
      </c>
      <c r="K2096" s="4" t="s">
        <v>607</v>
      </c>
      <c r="L2096" s="4" t="s">
        <v>607</v>
      </c>
      <c r="M2096" s="4" t="s">
        <v>607</v>
      </c>
      <c r="N2096" s="4" t="s">
        <v>607</v>
      </c>
      <c r="O2096" s="4"/>
      <c r="P2096" s="4"/>
      <c r="T2096" s="4"/>
    </row>
    <row r="2097">
      <c r="A2097" s="4" t="s">
        <v>5391</v>
      </c>
      <c r="B2097" s="4" t="s">
        <v>607</v>
      </c>
      <c r="C2097" s="6" t="s">
        <v>607</v>
      </c>
      <c r="D2097" s="6" t="s">
        <v>607</v>
      </c>
      <c r="E2097" s="6" t="s">
        <v>607</v>
      </c>
      <c r="F2097" s="6" t="s">
        <v>607</v>
      </c>
      <c r="G2097" s="4" t="s">
        <v>607</v>
      </c>
      <c r="H2097" s="4" t="s">
        <v>607</v>
      </c>
      <c r="I2097" s="4" t="s">
        <v>607</v>
      </c>
      <c r="J2097" s="4" t="s">
        <v>607</v>
      </c>
      <c r="K2097" s="4" t="s">
        <v>607</v>
      </c>
      <c r="L2097" s="4" t="s">
        <v>607</v>
      </c>
      <c r="M2097" s="4" t="s">
        <v>607</v>
      </c>
      <c r="N2097" s="4" t="s">
        <v>607</v>
      </c>
      <c r="O2097" s="4"/>
      <c r="P2097" s="4"/>
      <c r="T2097" s="4"/>
    </row>
    <row r="2098">
      <c r="A2098" s="4" t="s">
        <v>5392</v>
      </c>
      <c r="B2098" s="4" t="s">
        <v>607</v>
      </c>
      <c r="C2098" s="6" t="s">
        <v>607</v>
      </c>
      <c r="D2098" s="6" t="s">
        <v>607</v>
      </c>
      <c r="E2098" s="6" t="s">
        <v>607</v>
      </c>
      <c r="F2098" s="6" t="s">
        <v>607</v>
      </c>
      <c r="G2098" s="4" t="s">
        <v>607</v>
      </c>
      <c r="H2098" s="4" t="s">
        <v>607</v>
      </c>
      <c r="I2098" s="4" t="s">
        <v>607</v>
      </c>
      <c r="J2098" s="4" t="s">
        <v>607</v>
      </c>
      <c r="K2098" s="4" t="s">
        <v>607</v>
      </c>
      <c r="L2098" s="4" t="s">
        <v>607</v>
      </c>
      <c r="M2098" s="4" t="s">
        <v>607</v>
      </c>
      <c r="N2098" s="4" t="s">
        <v>607</v>
      </c>
      <c r="O2098" s="4"/>
      <c r="P2098" s="4"/>
      <c r="T2098" s="4"/>
    </row>
    <row r="2099">
      <c r="A2099" s="4" t="s">
        <v>5393</v>
      </c>
      <c r="B2099" s="4" t="s">
        <v>607</v>
      </c>
      <c r="C2099" s="6" t="s">
        <v>607</v>
      </c>
      <c r="D2099" s="6" t="s">
        <v>607</v>
      </c>
      <c r="E2099" s="6" t="s">
        <v>607</v>
      </c>
      <c r="F2099" s="6" t="s">
        <v>607</v>
      </c>
      <c r="G2099" s="4" t="s">
        <v>607</v>
      </c>
      <c r="H2099" s="4" t="s">
        <v>607</v>
      </c>
      <c r="I2099" s="4" t="s">
        <v>607</v>
      </c>
      <c r="J2099" s="4" t="s">
        <v>607</v>
      </c>
      <c r="K2099" s="4" t="s">
        <v>607</v>
      </c>
      <c r="L2099" s="4" t="s">
        <v>607</v>
      </c>
      <c r="M2099" s="4" t="s">
        <v>607</v>
      </c>
      <c r="N2099" s="4" t="s">
        <v>607</v>
      </c>
      <c r="O2099" s="4"/>
      <c r="P2099" s="4"/>
      <c r="T2099" s="4"/>
    </row>
    <row r="2100">
      <c r="A2100" s="4" t="s">
        <v>5394</v>
      </c>
      <c r="B2100" s="4" t="s">
        <v>607</v>
      </c>
      <c r="C2100" s="6" t="s">
        <v>607</v>
      </c>
      <c r="D2100" s="6" t="s">
        <v>607</v>
      </c>
      <c r="E2100" s="6" t="s">
        <v>607</v>
      </c>
      <c r="F2100" s="6" t="s">
        <v>607</v>
      </c>
      <c r="G2100" s="4" t="s">
        <v>607</v>
      </c>
      <c r="H2100" s="4" t="s">
        <v>607</v>
      </c>
      <c r="I2100" s="4" t="s">
        <v>607</v>
      </c>
      <c r="J2100" s="4" t="s">
        <v>607</v>
      </c>
      <c r="K2100" s="4" t="s">
        <v>607</v>
      </c>
      <c r="L2100" s="4" t="s">
        <v>607</v>
      </c>
      <c r="M2100" s="4" t="s">
        <v>607</v>
      </c>
      <c r="N2100" s="4" t="s">
        <v>607</v>
      </c>
      <c r="O2100" s="4"/>
      <c r="P2100" s="4"/>
      <c r="T2100" s="4"/>
    </row>
    <row r="2101">
      <c r="A2101" s="4" t="s">
        <v>5395</v>
      </c>
      <c r="B2101" s="4" t="s">
        <v>607</v>
      </c>
      <c r="C2101" s="6" t="s">
        <v>607</v>
      </c>
      <c r="D2101" s="6" t="s">
        <v>607</v>
      </c>
      <c r="E2101" s="6" t="s">
        <v>607</v>
      </c>
      <c r="F2101" s="6" t="s">
        <v>607</v>
      </c>
      <c r="G2101" s="4" t="s">
        <v>607</v>
      </c>
      <c r="H2101" s="4" t="s">
        <v>607</v>
      </c>
      <c r="I2101" s="4" t="s">
        <v>607</v>
      </c>
      <c r="J2101" s="4" t="s">
        <v>607</v>
      </c>
      <c r="K2101" s="4" t="s">
        <v>607</v>
      </c>
      <c r="L2101" s="4" t="s">
        <v>607</v>
      </c>
      <c r="M2101" s="4" t="s">
        <v>607</v>
      </c>
      <c r="N2101" s="4" t="s">
        <v>607</v>
      </c>
      <c r="O2101" s="4"/>
      <c r="P2101" s="4"/>
      <c r="T2101" s="4"/>
    </row>
    <row r="2102">
      <c r="A2102" s="4" t="s">
        <v>5396</v>
      </c>
      <c r="B2102" s="4" t="s">
        <v>607</v>
      </c>
      <c r="C2102" s="6" t="s">
        <v>607</v>
      </c>
      <c r="D2102" s="6" t="s">
        <v>607</v>
      </c>
      <c r="E2102" s="6" t="s">
        <v>607</v>
      </c>
      <c r="F2102" s="6" t="s">
        <v>607</v>
      </c>
      <c r="G2102" s="4" t="s">
        <v>607</v>
      </c>
      <c r="H2102" s="4" t="s">
        <v>607</v>
      </c>
      <c r="I2102" s="4" t="s">
        <v>607</v>
      </c>
      <c r="J2102" s="4" t="s">
        <v>607</v>
      </c>
      <c r="K2102" s="4" t="s">
        <v>607</v>
      </c>
      <c r="L2102" s="4" t="s">
        <v>607</v>
      </c>
      <c r="M2102" s="4" t="s">
        <v>607</v>
      </c>
      <c r="N2102" s="4" t="s">
        <v>607</v>
      </c>
      <c r="O2102" s="4"/>
      <c r="P2102" s="4"/>
      <c r="T2102" s="4"/>
    </row>
    <row r="2103">
      <c r="A2103" s="4" t="s">
        <v>5397</v>
      </c>
      <c r="B2103" s="4" t="s">
        <v>607</v>
      </c>
      <c r="C2103" s="6" t="s">
        <v>607</v>
      </c>
      <c r="D2103" s="6" t="s">
        <v>607</v>
      </c>
      <c r="E2103" s="6" t="s">
        <v>607</v>
      </c>
      <c r="F2103" s="6" t="s">
        <v>607</v>
      </c>
      <c r="G2103" s="4" t="s">
        <v>607</v>
      </c>
      <c r="H2103" s="4" t="s">
        <v>607</v>
      </c>
      <c r="I2103" s="4" t="s">
        <v>607</v>
      </c>
      <c r="J2103" s="4" t="s">
        <v>607</v>
      </c>
      <c r="K2103" s="4" t="s">
        <v>607</v>
      </c>
      <c r="L2103" s="4" t="s">
        <v>607</v>
      </c>
      <c r="M2103" s="4" t="s">
        <v>607</v>
      </c>
      <c r="N2103" s="4" t="s">
        <v>607</v>
      </c>
      <c r="O2103" s="4"/>
      <c r="P2103" s="4"/>
      <c r="T2103" s="4"/>
    </row>
    <row r="2104">
      <c r="A2104" s="4" t="s">
        <v>5398</v>
      </c>
      <c r="B2104" s="4" t="s">
        <v>607</v>
      </c>
      <c r="C2104" s="6" t="s">
        <v>607</v>
      </c>
      <c r="D2104" s="6" t="s">
        <v>607</v>
      </c>
      <c r="E2104" s="6" t="s">
        <v>607</v>
      </c>
      <c r="F2104" s="6" t="s">
        <v>607</v>
      </c>
      <c r="G2104" s="4" t="s">
        <v>607</v>
      </c>
      <c r="H2104" s="4" t="s">
        <v>607</v>
      </c>
      <c r="I2104" s="4" t="s">
        <v>607</v>
      </c>
      <c r="J2104" s="4" t="s">
        <v>607</v>
      </c>
      <c r="K2104" s="4" t="s">
        <v>607</v>
      </c>
      <c r="L2104" s="4" t="s">
        <v>607</v>
      </c>
      <c r="M2104" s="4" t="s">
        <v>607</v>
      </c>
      <c r="N2104" s="4" t="s">
        <v>607</v>
      </c>
      <c r="O2104" s="4"/>
      <c r="P2104" s="4"/>
      <c r="T2104" s="4"/>
    </row>
    <row r="2105">
      <c r="A2105" s="4" t="s">
        <v>5399</v>
      </c>
      <c r="B2105" s="4" t="s">
        <v>607</v>
      </c>
      <c r="C2105" s="6" t="s">
        <v>607</v>
      </c>
      <c r="D2105" s="6" t="s">
        <v>607</v>
      </c>
      <c r="E2105" s="6" t="s">
        <v>607</v>
      </c>
      <c r="F2105" s="6" t="s">
        <v>607</v>
      </c>
      <c r="G2105" s="4" t="s">
        <v>607</v>
      </c>
      <c r="H2105" s="4" t="s">
        <v>607</v>
      </c>
      <c r="I2105" s="4" t="s">
        <v>607</v>
      </c>
      <c r="J2105" s="4" t="s">
        <v>607</v>
      </c>
      <c r="K2105" s="4" t="s">
        <v>607</v>
      </c>
      <c r="L2105" s="4" t="s">
        <v>607</v>
      </c>
      <c r="M2105" s="4" t="s">
        <v>607</v>
      </c>
      <c r="N2105" s="4" t="s">
        <v>607</v>
      </c>
      <c r="O2105" s="4"/>
      <c r="P2105" s="4"/>
      <c r="T2105" s="4"/>
    </row>
    <row r="2106">
      <c r="A2106" s="4" t="s">
        <v>5400</v>
      </c>
      <c r="B2106" s="4" t="s">
        <v>607</v>
      </c>
      <c r="C2106" s="6" t="s">
        <v>607</v>
      </c>
      <c r="D2106" s="6" t="s">
        <v>607</v>
      </c>
      <c r="E2106" s="6" t="s">
        <v>607</v>
      </c>
      <c r="F2106" s="6" t="s">
        <v>607</v>
      </c>
      <c r="G2106" s="4" t="s">
        <v>607</v>
      </c>
      <c r="H2106" s="4" t="s">
        <v>607</v>
      </c>
      <c r="I2106" s="4" t="s">
        <v>607</v>
      </c>
      <c r="J2106" s="4" t="s">
        <v>607</v>
      </c>
      <c r="K2106" s="4" t="s">
        <v>607</v>
      </c>
      <c r="L2106" s="4" t="s">
        <v>607</v>
      </c>
      <c r="M2106" s="4" t="s">
        <v>607</v>
      </c>
      <c r="N2106" s="4" t="s">
        <v>607</v>
      </c>
      <c r="O2106" s="4"/>
      <c r="P2106" s="4"/>
      <c r="T2106" s="4"/>
    </row>
    <row r="2107">
      <c r="A2107" s="4" t="s">
        <v>5401</v>
      </c>
      <c r="B2107" s="4" t="s">
        <v>607</v>
      </c>
      <c r="C2107" s="6" t="s">
        <v>607</v>
      </c>
      <c r="D2107" s="6" t="s">
        <v>607</v>
      </c>
      <c r="E2107" s="6" t="s">
        <v>607</v>
      </c>
      <c r="F2107" s="6" t="s">
        <v>607</v>
      </c>
      <c r="G2107" s="4" t="s">
        <v>607</v>
      </c>
      <c r="H2107" s="4" t="s">
        <v>607</v>
      </c>
      <c r="I2107" s="4" t="s">
        <v>607</v>
      </c>
      <c r="J2107" s="4" t="s">
        <v>607</v>
      </c>
      <c r="K2107" s="4" t="s">
        <v>607</v>
      </c>
      <c r="L2107" s="4" t="s">
        <v>607</v>
      </c>
      <c r="M2107" s="4" t="s">
        <v>607</v>
      </c>
      <c r="N2107" s="4" t="s">
        <v>607</v>
      </c>
      <c r="O2107" s="4"/>
      <c r="P2107" s="4"/>
      <c r="T2107" s="4"/>
    </row>
    <row r="2108">
      <c r="A2108" s="4" t="s">
        <v>5402</v>
      </c>
      <c r="B2108" s="4" t="s">
        <v>607</v>
      </c>
      <c r="C2108" s="6" t="s">
        <v>607</v>
      </c>
      <c r="D2108" s="6" t="s">
        <v>607</v>
      </c>
      <c r="E2108" s="6" t="s">
        <v>607</v>
      </c>
      <c r="F2108" s="6" t="s">
        <v>607</v>
      </c>
      <c r="G2108" s="4" t="s">
        <v>607</v>
      </c>
      <c r="H2108" s="4" t="s">
        <v>607</v>
      </c>
      <c r="I2108" s="4" t="s">
        <v>607</v>
      </c>
      <c r="J2108" s="4" t="s">
        <v>607</v>
      </c>
      <c r="K2108" s="4" t="s">
        <v>607</v>
      </c>
      <c r="L2108" s="4" t="s">
        <v>607</v>
      </c>
      <c r="M2108" s="4" t="s">
        <v>607</v>
      </c>
      <c r="N2108" s="4" t="s">
        <v>607</v>
      </c>
      <c r="O2108" s="4"/>
      <c r="P2108" s="4"/>
      <c r="T2108" s="4"/>
    </row>
    <row r="2109">
      <c r="A2109" s="4" t="s">
        <v>5403</v>
      </c>
      <c r="B2109" s="4" t="s">
        <v>607</v>
      </c>
      <c r="C2109" s="6" t="s">
        <v>607</v>
      </c>
      <c r="D2109" s="6" t="s">
        <v>607</v>
      </c>
      <c r="E2109" s="6" t="s">
        <v>607</v>
      </c>
      <c r="F2109" s="6" t="s">
        <v>607</v>
      </c>
      <c r="G2109" s="4" t="s">
        <v>607</v>
      </c>
      <c r="H2109" s="4" t="s">
        <v>607</v>
      </c>
      <c r="I2109" s="4" t="s">
        <v>607</v>
      </c>
      <c r="J2109" s="4" t="s">
        <v>607</v>
      </c>
      <c r="K2109" s="4" t="s">
        <v>607</v>
      </c>
      <c r="L2109" s="4" t="s">
        <v>607</v>
      </c>
      <c r="M2109" s="4" t="s">
        <v>607</v>
      </c>
      <c r="N2109" s="4" t="s">
        <v>607</v>
      </c>
      <c r="O2109" s="4"/>
      <c r="P2109" s="4"/>
      <c r="T2109" s="4"/>
    </row>
    <row r="2110">
      <c r="A2110" s="4" t="s">
        <v>5404</v>
      </c>
      <c r="B2110" s="4" t="s">
        <v>607</v>
      </c>
      <c r="C2110" s="6" t="s">
        <v>607</v>
      </c>
      <c r="D2110" s="6" t="s">
        <v>607</v>
      </c>
      <c r="E2110" s="6" t="s">
        <v>607</v>
      </c>
      <c r="F2110" s="6" t="s">
        <v>607</v>
      </c>
      <c r="G2110" s="4" t="s">
        <v>607</v>
      </c>
      <c r="H2110" s="4" t="s">
        <v>607</v>
      </c>
      <c r="I2110" s="4" t="s">
        <v>607</v>
      </c>
      <c r="J2110" s="4" t="s">
        <v>607</v>
      </c>
      <c r="K2110" s="4" t="s">
        <v>607</v>
      </c>
      <c r="L2110" s="4" t="s">
        <v>607</v>
      </c>
      <c r="M2110" s="4" t="s">
        <v>607</v>
      </c>
      <c r="N2110" s="4" t="s">
        <v>607</v>
      </c>
      <c r="O2110" s="4"/>
      <c r="P2110" s="4"/>
      <c r="T2110" s="4"/>
    </row>
    <row r="2111">
      <c r="A2111" s="4" t="s">
        <v>5405</v>
      </c>
      <c r="B2111" s="4" t="s">
        <v>607</v>
      </c>
      <c r="C2111" s="6" t="s">
        <v>607</v>
      </c>
      <c r="D2111" s="6" t="s">
        <v>607</v>
      </c>
      <c r="E2111" s="6" t="s">
        <v>607</v>
      </c>
      <c r="F2111" s="6" t="s">
        <v>607</v>
      </c>
      <c r="G2111" s="4" t="s">
        <v>607</v>
      </c>
      <c r="H2111" s="4" t="s">
        <v>607</v>
      </c>
      <c r="I2111" s="4" t="s">
        <v>607</v>
      </c>
      <c r="J2111" s="4" t="s">
        <v>607</v>
      </c>
      <c r="K2111" s="4" t="s">
        <v>607</v>
      </c>
      <c r="L2111" s="4" t="s">
        <v>607</v>
      </c>
      <c r="M2111" s="4" t="s">
        <v>607</v>
      </c>
      <c r="N2111" s="4" t="s">
        <v>607</v>
      </c>
      <c r="O2111" s="4"/>
      <c r="P2111" s="4"/>
      <c r="T2111" s="4"/>
    </row>
    <row r="2112">
      <c r="A2112" s="4" t="s">
        <v>5406</v>
      </c>
      <c r="B2112" s="4" t="s">
        <v>607</v>
      </c>
      <c r="C2112" s="6" t="s">
        <v>607</v>
      </c>
      <c r="D2112" s="6" t="s">
        <v>607</v>
      </c>
      <c r="E2112" s="6" t="s">
        <v>607</v>
      </c>
      <c r="F2112" s="6" t="s">
        <v>607</v>
      </c>
      <c r="G2112" s="4" t="s">
        <v>607</v>
      </c>
      <c r="H2112" s="4" t="s">
        <v>607</v>
      </c>
      <c r="I2112" s="4" t="s">
        <v>607</v>
      </c>
      <c r="J2112" s="4" t="s">
        <v>607</v>
      </c>
      <c r="K2112" s="4" t="s">
        <v>607</v>
      </c>
      <c r="L2112" s="4" t="s">
        <v>607</v>
      </c>
      <c r="M2112" s="4" t="s">
        <v>607</v>
      </c>
      <c r="N2112" s="4" t="s">
        <v>607</v>
      </c>
      <c r="O2112" s="4"/>
      <c r="P2112" s="4"/>
      <c r="T2112" s="4"/>
    </row>
    <row r="2113">
      <c r="A2113" s="4" t="s">
        <v>5407</v>
      </c>
      <c r="B2113" s="4" t="s">
        <v>607</v>
      </c>
      <c r="C2113" s="6" t="s">
        <v>607</v>
      </c>
      <c r="D2113" s="6" t="s">
        <v>607</v>
      </c>
      <c r="E2113" s="6" t="s">
        <v>607</v>
      </c>
      <c r="F2113" s="6" t="s">
        <v>607</v>
      </c>
      <c r="G2113" s="4" t="s">
        <v>607</v>
      </c>
      <c r="H2113" s="4" t="s">
        <v>607</v>
      </c>
      <c r="I2113" s="4" t="s">
        <v>607</v>
      </c>
      <c r="J2113" s="4" t="s">
        <v>607</v>
      </c>
      <c r="K2113" s="4" t="s">
        <v>607</v>
      </c>
      <c r="L2113" s="4" t="s">
        <v>607</v>
      </c>
      <c r="M2113" s="4" t="s">
        <v>607</v>
      </c>
      <c r="N2113" s="4" t="s">
        <v>607</v>
      </c>
      <c r="O2113" s="4"/>
      <c r="P2113" s="4"/>
      <c r="T2113" s="4"/>
    </row>
    <row r="2114">
      <c r="A2114" s="4" t="s">
        <v>5408</v>
      </c>
      <c r="B2114" s="4" t="s">
        <v>607</v>
      </c>
      <c r="C2114" s="6" t="s">
        <v>607</v>
      </c>
      <c r="D2114" s="6" t="s">
        <v>607</v>
      </c>
      <c r="E2114" s="6" t="s">
        <v>607</v>
      </c>
      <c r="F2114" s="6" t="s">
        <v>607</v>
      </c>
      <c r="G2114" s="4" t="s">
        <v>607</v>
      </c>
      <c r="H2114" s="4" t="s">
        <v>607</v>
      </c>
      <c r="I2114" s="4" t="s">
        <v>607</v>
      </c>
      <c r="J2114" s="4" t="s">
        <v>607</v>
      </c>
      <c r="K2114" s="4" t="s">
        <v>607</v>
      </c>
      <c r="L2114" s="4" t="s">
        <v>607</v>
      </c>
      <c r="M2114" s="4" t="s">
        <v>607</v>
      </c>
      <c r="N2114" s="4" t="s">
        <v>607</v>
      </c>
      <c r="O2114" s="4"/>
      <c r="P2114" s="4"/>
      <c r="T2114" s="4"/>
    </row>
    <row r="2115">
      <c r="A2115" s="4" t="s">
        <v>5409</v>
      </c>
      <c r="B2115" s="4" t="s">
        <v>607</v>
      </c>
      <c r="C2115" s="6" t="s">
        <v>607</v>
      </c>
      <c r="D2115" s="6" t="s">
        <v>607</v>
      </c>
      <c r="E2115" s="6" t="s">
        <v>607</v>
      </c>
      <c r="F2115" s="6" t="s">
        <v>607</v>
      </c>
      <c r="G2115" s="4" t="s">
        <v>607</v>
      </c>
      <c r="H2115" s="4" t="s">
        <v>607</v>
      </c>
      <c r="I2115" s="4" t="s">
        <v>607</v>
      </c>
      <c r="J2115" s="4" t="s">
        <v>607</v>
      </c>
      <c r="K2115" s="4" t="s">
        <v>607</v>
      </c>
      <c r="L2115" s="4" t="s">
        <v>607</v>
      </c>
      <c r="M2115" s="4" t="s">
        <v>607</v>
      </c>
      <c r="N2115" s="4" t="s">
        <v>607</v>
      </c>
      <c r="O2115" s="4"/>
      <c r="P2115" s="4"/>
      <c r="T2115" s="4"/>
    </row>
    <row r="2116">
      <c r="A2116" s="4" t="s">
        <v>5410</v>
      </c>
      <c r="B2116" s="4" t="s">
        <v>607</v>
      </c>
      <c r="C2116" s="6" t="s">
        <v>607</v>
      </c>
      <c r="D2116" s="6" t="s">
        <v>607</v>
      </c>
      <c r="E2116" s="6" t="s">
        <v>607</v>
      </c>
      <c r="F2116" s="6" t="s">
        <v>607</v>
      </c>
      <c r="G2116" s="4" t="s">
        <v>607</v>
      </c>
      <c r="H2116" s="4" t="s">
        <v>607</v>
      </c>
      <c r="I2116" s="4" t="s">
        <v>607</v>
      </c>
      <c r="J2116" s="4" t="s">
        <v>607</v>
      </c>
      <c r="K2116" s="4" t="s">
        <v>607</v>
      </c>
      <c r="L2116" s="4" t="s">
        <v>607</v>
      </c>
      <c r="M2116" s="4" t="s">
        <v>607</v>
      </c>
      <c r="N2116" s="4" t="s">
        <v>607</v>
      </c>
      <c r="O2116" s="4"/>
      <c r="P2116" s="4"/>
      <c r="T2116" s="4"/>
    </row>
    <row r="2117">
      <c r="A2117" s="4" t="s">
        <v>5411</v>
      </c>
      <c r="B2117" s="4" t="s">
        <v>607</v>
      </c>
      <c r="C2117" s="6" t="s">
        <v>607</v>
      </c>
      <c r="D2117" s="6" t="s">
        <v>607</v>
      </c>
      <c r="E2117" s="6" t="s">
        <v>607</v>
      </c>
      <c r="F2117" s="6" t="s">
        <v>607</v>
      </c>
      <c r="G2117" s="4" t="s">
        <v>607</v>
      </c>
      <c r="H2117" s="4" t="s">
        <v>607</v>
      </c>
      <c r="I2117" s="4" t="s">
        <v>607</v>
      </c>
      <c r="J2117" s="4" t="s">
        <v>607</v>
      </c>
      <c r="K2117" s="4" t="s">
        <v>607</v>
      </c>
      <c r="L2117" s="4" t="s">
        <v>607</v>
      </c>
      <c r="M2117" s="4" t="s">
        <v>607</v>
      </c>
      <c r="N2117" s="4" t="s">
        <v>607</v>
      </c>
      <c r="O2117" s="4"/>
      <c r="P2117" s="4"/>
      <c r="T2117" s="4"/>
    </row>
    <row r="2118">
      <c r="A2118" s="4" t="s">
        <v>5412</v>
      </c>
      <c r="B2118" s="4" t="s">
        <v>607</v>
      </c>
      <c r="C2118" s="6" t="s">
        <v>607</v>
      </c>
      <c r="D2118" s="6" t="s">
        <v>607</v>
      </c>
      <c r="E2118" s="6" t="s">
        <v>607</v>
      </c>
      <c r="F2118" s="6" t="s">
        <v>607</v>
      </c>
      <c r="G2118" s="4" t="s">
        <v>607</v>
      </c>
      <c r="H2118" s="4" t="s">
        <v>607</v>
      </c>
      <c r="I2118" s="4" t="s">
        <v>607</v>
      </c>
      <c r="J2118" s="4" t="s">
        <v>607</v>
      </c>
      <c r="K2118" s="4" t="s">
        <v>607</v>
      </c>
      <c r="L2118" s="4" t="s">
        <v>607</v>
      </c>
      <c r="M2118" s="4" t="s">
        <v>607</v>
      </c>
      <c r="N2118" s="4" t="s">
        <v>607</v>
      </c>
      <c r="O2118" s="4"/>
      <c r="P2118" s="4"/>
      <c r="T2118" s="4"/>
    </row>
    <row r="2119">
      <c r="A2119" s="4" t="s">
        <v>5413</v>
      </c>
      <c r="B2119" s="4" t="s">
        <v>607</v>
      </c>
      <c r="C2119" s="6" t="s">
        <v>607</v>
      </c>
      <c r="D2119" s="6" t="s">
        <v>607</v>
      </c>
      <c r="E2119" s="6" t="s">
        <v>607</v>
      </c>
      <c r="F2119" s="6" t="s">
        <v>607</v>
      </c>
      <c r="G2119" s="4" t="s">
        <v>607</v>
      </c>
      <c r="H2119" s="4" t="s">
        <v>607</v>
      </c>
      <c r="I2119" s="4" t="s">
        <v>607</v>
      </c>
      <c r="J2119" s="4" t="s">
        <v>607</v>
      </c>
      <c r="K2119" s="4" t="s">
        <v>607</v>
      </c>
      <c r="L2119" s="4" t="s">
        <v>607</v>
      </c>
      <c r="M2119" s="4" t="s">
        <v>607</v>
      </c>
      <c r="N2119" s="4" t="s">
        <v>607</v>
      </c>
      <c r="O2119" s="4"/>
      <c r="P2119" s="4"/>
      <c r="T2119" s="4"/>
    </row>
    <row r="2120">
      <c r="A2120" s="4" t="s">
        <v>5414</v>
      </c>
      <c r="B2120" s="4" t="s">
        <v>607</v>
      </c>
      <c r="C2120" s="6" t="s">
        <v>607</v>
      </c>
      <c r="D2120" s="6" t="s">
        <v>607</v>
      </c>
      <c r="E2120" s="6" t="s">
        <v>607</v>
      </c>
      <c r="F2120" s="6" t="s">
        <v>607</v>
      </c>
      <c r="G2120" s="4" t="s">
        <v>607</v>
      </c>
      <c r="H2120" s="4" t="s">
        <v>607</v>
      </c>
      <c r="I2120" s="4" t="s">
        <v>607</v>
      </c>
      <c r="J2120" s="4" t="s">
        <v>607</v>
      </c>
      <c r="K2120" s="4" t="s">
        <v>607</v>
      </c>
      <c r="L2120" s="4" t="s">
        <v>607</v>
      </c>
      <c r="M2120" s="4" t="s">
        <v>607</v>
      </c>
      <c r="N2120" s="4" t="s">
        <v>607</v>
      </c>
      <c r="O2120" s="4"/>
      <c r="P2120" s="4"/>
      <c r="T2120" s="4"/>
    </row>
    <row r="2121">
      <c r="A2121" s="4" t="s">
        <v>5415</v>
      </c>
      <c r="B2121" s="4" t="s">
        <v>607</v>
      </c>
      <c r="C2121" s="6" t="s">
        <v>607</v>
      </c>
      <c r="D2121" s="6" t="s">
        <v>607</v>
      </c>
      <c r="E2121" s="6" t="s">
        <v>607</v>
      </c>
      <c r="F2121" s="6" t="s">
        <v>607</v>
      </c>
      <c r="G2121" s="4" t="s">
        <v>607</v>
      </c>
      <c r="H2121" s="4" t="s">
        <v>607</v>
      </c>
      <c r="I2121" s="4" t="s">
        <v>607</v>
      </c>
      <c r="J2121" s="4" t="s">
        <v>607</v>
      </c>
      <c r="K2121" s="4" t="s">
        <v>607</v>
      </c>
      <c r="L2121" s="4" t="s">
        <v>607</v>
      </c>
      <c r="M2121" s="4" t="s">
        <v>607</v>
      </c>
      <c r="N2121" s="4" t="s">
        <v>607</v>
      </c>
      <c r="O2121" s="4"/>
      <c r="P2121" s="4"/>
      <c r="T2121" s="4"/>
    </row>
    <row r="2122">
      <c r="A2122" s="4" t="s">
        <v>5416</v>
      </c>
      <c r="B2122" s="4" t="s">
        <v>607</v>
      </c>
      <c r="C2122" s="6" t="s">
        <v>607</v>
      </c>
      <c r="D2122" s="6" t="s">
        <v>607</v>
      </c>
      <c r="E2122" s="6" t="s">
        <v>607</v>
      </c>
      <c r="F2122" s="6" t="s">
        <v>607</v>
      </c>
      <c r="G2122" s="4" t="s">
        <v>607</v>
      </c>
      <c r="H2122" s="4" t="s">
        <v>607</v>
      </c>
      <c r="I2122" s="4" t="s">
        <v>607</v>
      </c>
      <c r="J2122" s="4" t="s">
        <v>607</v>
      </c>
      <c r="K2122" s="4" t="s">
        <v>607</v>
      </c>
      <c r="L2122" s="4" t="s">
        <v>607</v>
      </c>
      <c r="M2122" s="4" t="s">
        <v>607</v>
      </c>
      <c r="N2122" s="4" t="s">
        <v>607</v>
      </c>
      <c r="O2122" s="4"/>
      <c r="P2122" s="4"/>
      <c r="T2122" s="4"/>
    </row>
    <row r="2123">
      <c r="A2123" s="4" t="s">
        <v>5417</v>
      </c>
      <c r="B2123" s="4" t="s">
        <v>607</v>
      </c>
      <c r="C2123" s="6" t="s">
        <v>607</v>
      </c>
      <c r="D2123" s="6" t="s">
        <v>607</v>
      </c>
      <c r="E2123" s="6" t="s">
        <v>607</v>
      </c>
      <c r="F2123" s="6" t="s">
        <v>607</v>
      </c>
      <c r="G2123" s="4" t="s">
        <v>607</v>
      </c>
      <c r="H2123" s="4" t="s">
        <v>607</v>
      </c>
      <c r="I2123" s="4" t="s">
        <v>607</v>
      </c>
      <c r="J2123" s="4" t="s">
        <v>607</v>
      </c>
      <c r="K2123" s="4" t="s">
        <v>607</v>
      </c>
      <c r="L2123" s="4" t="s">
        <v>607</v>
      </c>
      <c r="M2123" s="4" t="s">
        <v>607</v>
      </c>
      <c r="N2123" s="4" t="s">
        <v>607</v>
      </c>
      <c r="O2123" s="4"/>
      <c r="P2123" s="4"/>
      <c r="T2123" s="4"/>
    </row>
    <row r="2124">
      <c r="A2124" s="4" t="s">
        <v>5418</v>
      </c>
      <c r="B2124" s="4" t="s">
        <v>607</v>
      </c>
      <c r="C2124" s="6" t="s">
        <v>607</v>
      </c>
      <c r="D2124" s="6" t="s">
        <v>607</v>
      </c>
      <c r="E2124" s="6" t="s">
        <v>607</v>
      </c>
      <c r="F2124" s="6" t="s">
        <v>607</v>
      </c>
      <c r="G2124" s="4" t="s">
        <v>607</v>
      </c>
      <c r="H2124" s="4" t="s">
        <v>607</v>
      </c>
      <c r="I2124" s="4" t="s">
        <v>607</v>
      </c>
      <c r="J2124" s="4" t="s">
        <v>607</v>
      </c>
      <c r="K2124" s="4" t="s">
        <v>607</v>
      </c>
      <c r="L2124" s="4" t="s">
        <v>607</v>
      </c>
      <c r="M2124" s="4" t="s">
        <v>607</v>
      </c>
      <c r="N2124" s="4" t="s">
        <v>607</v>
      </c>
      <c r="O2124" s="4"/>
      <c r="P2124" s="4"/>
      <c r="T2124" s="4"/>
    </row>
    <row r="2125">
      <c r="A2125" s="4" t="s">
        <v>5419</v>
      </c>
      <c r="B2125" s="4" t="s">
        <v>607</v>
      </c>
      <c r="C2125" s="6" t="s">
        <v>607</v>
      </c>
      <c r="D2125" s="6" t="s">
        <v>607</v>
      </c>
      <c r="E2125" s="6" t="s">
        <v>607</v>
      </c>
      <c r="F2125" s="6" t="s">
        <v>607</v>
      </c>
      <c r="G2125" s="4" t="s">
        <v>607</v>
      </c>
      <c r="H2125" s="4" t="s">
        <v>607</v>
      </c>
      <c r="I2125" s="4" t="s">
        <v>607</v>
      </c>
      <c r="J2125" s="4" t="s">
        <v>607</v>
      </c>
      <c r="K2125" s="4" t="s">
        <v>607</v>
      </c>
      <c r="L2125" s="4" t="s">
        <v>607</v>
      </c>
      <c r="M2125" s="4" t="s">
        <v>607</v>
      </c>
      <c r="N2125" s="4" t="s">
        <v>607</v>
      </c>
      <c r="O2125" s="4"/>
      <c r="P2125" s="4"/>
      <c r="T2125" s="4"/>
    </row>
    <row r="2126">
      <c r="A2126" s="4" t="s">
        <v>5420</v>
      </c>
      <c r="B2126" s="4" t="s">
        <v>607</v>
      </c>
      <c r="C2126" s="6" t="s">
        <v>607</v>
      </c>
      <c r="D2126" s="6" t="s">
        <v>607</v>
      </c>
      <c r="E2126" s="6" t="s">
        <v>607</v>
      </c>
      <c r="F2126" s="6" t="s">
        <v>607</v>
      </c>
      <c r="G2126" s="4" t="s">
        <v>607</v>
      </c>
      <c r="H2126" s="4" t="s">
        <v>607</v>
      </c>
      <c r="I2126" s="4" t="s">
        <v>607</v>
      </c>
      <c r="J2126" s="4" t="s">
        <v>607</v>
      </c>
      <c r="K2126" s="4" t="s">
        <v>607</v>
      </c>
      <c r="L2126" s="4" t="s">
        <v>607</v>
      </c>
      <c r="M2126" s="4" t="s">
        <v>607</v>
      </c>
      <c r="N2126" s="4" t="s">
        <v>607</v>
      </c>
      <c r="O2126" s="4"/>
      <c r="P2126" s="4"/>
      <c r="T2126" s="4"/>
    </row>
    <row r="2127">
      <c r="A2127" s="4" t="s">
        <v>5421</v>
      </c>
      <c r="B2127" s="4" t="s">
        <v>607</v>
      </c>
      <c r="C2127" s="6" t="s">
        <v>607</v>
      </c>
      <c r="D2127" s="6" t="s">
        <v>607</v>
      </c>
      <c r="E2127" s="6" t="s">
        <v>607</v>
      </c>
      <c r="F2127" s="6" t="s">
        <v>607</v>
      </c>
      <c r="G2127" s="4" t="s">
        <v>607</v>
      </c>
      <c r="H2127" s="4" t="s">
        <v>607</v>
      </c>
      <c r="I2127" s="4" t="s">
        <v>607</v>
      </c>
      <c r="J2127" s="4" t="s">
        <v>607</v>
      </c>
      <c r="K2127" s="4" t="s">
        <v>607</v>
      </c>
      <c r="L2127" s="4" t="s">
        <v>607</v>
      </c>
      <c r="M2127" s="4" t="s">
        <v>607</v>
      </c>
      <c r="N2127" s="4" t="s">
        <v>607</v>
      </c>
      <c r="O2127" s="4"/>
      <c r="P2127" s="4"/>
      <c r="T2127" s="4"/>
    </row>
    <row r="2128">
      <c r="A2128" s="4" t="s">
        <v>5422</v>
      </c>
      <c r="B2128" s="4" t="s">
        <v>607</v>
      </c>
      <c r="C2128" s="6" t="s">
        <v>607</v>
      </c>
      <c r="D2128" s="6" t="s">
        <v>607</v>
      </c>
      <c r="E2128" s="6" t="s">
        <v>607</v>
      </c>
      <c r="F2128" s="6" t="s">
        <v>607</v>
      </c>
      <c r="G2128" s="4" t="s">
        <v>607</v>
      </c>
      <c r="H2128" s="4" t="s">
        <v>607</v>
      </c>
      <c r="I2128" s="4" t="s">
        <v>607</v>
      </c>
      <c r="J2128" s="4" t="s">
        <v>607</v>
      </c>
      <c r="K2128" s="4" t="s">
        <v>607</v>
      </c>
      <c r="L2128" s="4" t="s">
        <v>607</v>
      </c>
      <c r="M2128" s="4" t="s">
        <v>607</v>
      </c>
      <c r="N2128" s="4" t="s">
        <v>607</v>
      </c>
      <c r="O2128" s="4"/>
      <c r="P2128" s="4"/>
      <c r="T2128" s="4"/>
    </row>
    <row r="2129">
      <c r="A2129" s="4" t="s">
        <v>5423</v>
      </c>
      <c r="B2129" s="4" t="s">
        <v>607</v>
      </c>
      <c r="C2129" s="6" t="s">
        <v>607</v>
      </c>
      <c r="D2129" s="6" t="s">
        <v>607</v>
      </c>
      <c r="E2129" s="6" t="s">
        <v>607</v>
      </c>
      <c r="F2129" s="6" t="s">
        <v>607</v>
      </c>
      <c r="G2129" s="4" t="s">
        <v>607</v>
      </c>
      <c r="H2129" s="4" t="s">
        <v>607</v>
      </c>
      <c r="I2129" s="4" t="s">
        <v>607</v>
      </c>
      <c r="J2129" s="4" t="s">
        <v>607</v>
      </c>
      <c r="K2129" s="4" t="s">
        <v>607</v>
      </c>
      <c r="L2129" s="4" t="s">
        <v>607</v>
      </c>
      <c r="M2129" s="4" t="s">
        <v>607</v>
      </c>
      <c r="N2129" s="4" t="s">
        <v>607</v>
      </c>
      <c r="O2129" s="4"/>
      <c r="P2129" s="4"/>
      <c r="T2129" s="4"/>
    </row>
    <row r="2130">
      <c r="A2130" s="4" t="s">
        <v>5424</v>
      </c>
      <c r="B2130" s="4" t="s">
        <v>607</v>
      </c>
      <c r="C2130" s="6" t="s">
        <v>607</v>
      </c>
      <c r="D2130" s="6" t="s">
        <v>607</v>
      </c>
      <c r="E2130" s="6" t="s">
        <v>607</v>
      </c>
      <c r="F2130" s="6" t="s">
        <v>607</v>
      </c>
      <c r="G2130" s="4" t="s">
        <v>607</v>
      </c>
      <c r="H2130" s="4" t="s">
        <v>607</v>
      </c>
      <c r="I2130" s="4" t="s">
        <v>607</v>
      </c>
      <c r="J2130" s="4" t="s">
        <v>607</v>
      </c>
      <c r="K2130" s="4" t="s">
        <v>607</v>
      </c>
      <c r="L2130" s="4" t="s">
        <v>607</v>
      </c>
      <c r="M2130" s="4" t="s">
        <v>607</v>
      </c>
      <c r="N2130" s="4" t="s">
        <v>607</v>
      </c>
      <c r="O2130" s="4"/>
      <c r="P2130" s="4"/>
      <c r="T2130" s="4"/>
    </row>
    <row r="2131">
      <c r="A2131" s="4" t="s">
        <v>5425</v>
      </c>
      <c r="B2131" s="4" t="s">
        <v>607</v>
      </c>
      <c r="C2131" s="6" t="s">
        <v>607</v>
      </c>
      <c r="D2131" s="6" t="s">
        <v>607</v>
      </c>
      <c r="E2131" s="6" t="s">
        <v>607</v>
      </c>
      <c r="F2131" s="6" t="s">
        <v>607</v>
      </c>
      <c r="G2131" s="4" t="s">
        <v>607</v>
      </c>
      <c r="H2131" s="4" t="s">
        <v>607</v>
      </c>
      <c r="I2131" s="4" t="s">
        <v>607</v>
      </c>
      <c r="J2131" s="4" t="s">
        <v>607</v>
      </c>
      <c r="K2131" s="4" t="s">
        <v>607</v>
      </c>
      <c r="L2131" s="4" t="s">
        <v>607</v>
      </c>
      <c r="M2131" s="4" t="s">
        <v>607</v>
      </c>
      <c r="N2131" s="4" t="s">
        <v>607</v>
      </c>
      <c r="O2131" s="4"/>
      <c r="P2131" s="4"/>
      <c r="T2131" s="4"/>
    </row>
    <row r="2132">
      <c r="A2132" s="4" t="s">
        <v>5426</v>
      </c>
      <c r="B2132" s="4" t="s">
        <v>607</v>
      </c>
      <c r="C2132" s="6" t="s">
        <v>607</v>
      </c>
      <c r="D2132" s="6" t="s">
        <v>607</v>
      </c>
      <c r="E2132" s="6" t="s">
        <v>607</v>
      </c>
      <c r="F2132" s="6" t="s">
        <v>607</v>
      </c>
      <c r="G2132" s="4" t="s">
        <v>607</v>
      </c>
      <c r="H2132" s="4" t="s">
        <v>607</v>
      </c>
      <c r="I2132" s="4" t="s">
        <v>607</v>
      </c>
      <c r="J2132" s="4" t="s">
        <v>607</v>
      </c>
      <c r="K2132" s="4" t="s">
        <v>607</v>
      </c>
      <c r="L2132" s="4" t="s">
        <v>607</v>
      </c>
      <c r="M2132" s="4" t="s">
        <v>607</v>
      </c>
      <c r="N2132" s="4" t="s">
        <v>607</v>
      </c>
      <c r="O2132" s="4"/>
      <c r="P2132" s="4"/>
      <c r="T2132" s="4"/>
    </row>
    <row r="2133">
      <c r="A2133" s="4" t="s">
        <v>5427</v>
      </c>
      <c r="B2133" s="4" t="s">
        <v>607</v>
      </c>
      <c r="C2133" s="6" t="s">
        <v>607</v>
      </c>
      <c r="D2133" s="6" t="s">
        <v>607</v>
      </c>
      <c r="E2133" s="6" t="s">
        <v>607</v>
      </c>
      <c r="F2133" s="6" t="s">
        <v>607</v>
      </c>
      <c r="G2133" s="4" t="s">
        <v>607</v>
      </c>
      <c r="H2133" s="4" t="s">
        <v>607</v>
      </c>
      <c r="I2133" s="4" t="s">
        <v>607</v>
      </c>
      <c r="J2133" s="4" t="s">
        <v>607</v>
      </c>
      <c r="K2133" s="4" t="s">
        <v>607</v>
      </c>
      <c r="L2133" s="4" t="s">
        <v>607</v>
      </c>
      <c r="M2133" s="4" t="s">
        <v>607</v>
      </c>
      <c r="N2133" s="4" t="s">
        <v>607</v>
      </c>
      <c r="O2133" s="4"/>
      <c r="P2133" s="4"/>
      <c r="T2133" s="4"/>
    </row>
    <row r="2134">
      <c r="A2134" s="4" t="s">
        <v>5428</v>
      </c>
      <c r="B2134" s="4" t="s">
        <v>607</v>
      </c>
      <c r="C2134" s="6" t="s">
        <v>607</v>
      </c>
      <c r="D2134" s="6" t="s">
        <v>607</v>
      </c>
      <c r="E2134" s="6" t="s">
        <v>607</v>
      </c>
      <c r="F2134" s="6" t="s">
        <v>607</v>
      </c>
      <c r="G2134" s="4" t="s">
        <v>607</v>
      </c>
      <c r="H2134" s="4" t="s">
        <v>607</v>
      </c>
      <c r="I2134" s="4" t="s">
        <v>607</v>
      </c>
      <c r="J2134" s="4" t="s">
        <v>607</v>
      </c>
      <c r="K2134" s="4" t="s">
        <v>607</v>
      </c>
      <c r="L2134" s="4" t="s">
        <v>607</v>
      </c>
      <c r="M2134" s="4" t="s">
        <v>607</v>
      </c>
      <c r="N2134" s="4" t="s">
        <v>607</v>
      </c>
      <c r="O2134" s="4"/>
      <c r="P2134" s="4"/>
      <c r="T2134" s="4"/>
    </row>
    <row r="2135">
      <c r="A2135" s="4" t="s">
        <v>5429</v>
      </c>
      <c r="B2135" s="4" t="s">
        <v>607</v>
      </c>
      <c r="C2135" s="6" t="s">
        <v>607</v>
      </c>
      <c r="D2135" s="6" t="s">
        <v>607</v>
      </c>
      <c r="E2135" s="6" t="s">
        <v>607</v>
      </c>
      <c r="F2135" s="6" t="s">
        <v>607</v>
      </c>
      <c r="G2135" s="4" t="s">
        <v>607</v>
      </c>
      <c r="H2135" s="4" t="s">
        <v>607</v>
      </c>
      <c r="I2135" s="4" t="s">
        <v>607</v>
      </c>
      <c r="J2135" s="4" t="s">
        <v>607</v>
      </c>
      <c r="K2135" s="4" t="s">
        <v>607</v>
      </c>
      <c r="L2135" s="4" t="s">
        <v>607</v>
      </c>
      <c r="M2135" s="4" t="s">
        <v>607</v>
      </c>
      <c r="N2135" s="4" t="s">
        <v>607</v>
      </c>
      <c r="O2135" s="4"/>
      <c r="P2135" s="4"/>
      <c r="T2135" s="4"/>
    </row>
    <row r="2136">
      <c r="A2136" s="4" t="s">
        <v>5430</v>
      </c>
      <c r="B2136" s="4" t="s">
        <v>607</v>
      </c>
      <c r="C2136" s="6" t="s">
        <v>607</v>
      </c>
      <c r="D2136" s="6" t="s">
        <v>607</v>
      </c>
      <c r="E2136" s="6" t="s">
        <v>607</v>
      </c>
      <c r="F2136" s="6" t="s">
        <v>607</v>
      </c>
      <c r="G2136" s="4" t="s">
        <v>607</v>
      </c>
      <c r="H2136" s="4" t="s">
        <v>607</v>
      </c>
      <c r="I2136" s="4" t="s">
        <v>607</v>
      </c>
      <c r="J2136" s="4" t="s">
        <v>607</v>
      </c>
      <c r="K2136" s="4" t="s">
        <v>607</v>
      </c>
      <c r="L2136" s="4" t="s">
        <v>607</v>
      </c>
      <c r="M2136" s="4" t="s">
        <v>607</v>
      </c>
      <c r="N2136" s="4" t="s">
        <v>607</v>
      </c>
      <c r="O2136" s="4"/>
      <c r="P2136" s="4"/>
      <c r="T2136" s="4"/>
    </row>
    <row r="2137">
      <c r="A2137" s="4" t="s">
        <v>5431</v>
      </c>
      <c r="B2137" s="4" t="s">
        <v>607</v>
      </c>
      <c r="C2137" s="6" t="s">
        <v>607</v>
      </c>
      <c r="D2137" s="6" t="s">
        <v>607</v>
      </c>
      <c r="E2137" s="6" t="s">
        <v>607</v>
      </c>
      <c r="F2137" s="6" t="s">
        <v>607</v>
      </c>
      <c r="G2137" s="4" t="s">
        <v>607</v>
      </c>
      <c r="H2137" s="4" t="s">
        <v>607</v>
      </c>
      <c r="I2137" s="4" t="s">
        <v>607</v>
      </c>
      <c r="J2137" s="4" t="s">
        <v>607</v>
      </c>
      <c r="K2137" s="4" t="s">
        <v>607</v>
      </c>
      <c r="L2137" s="4" t="s">
        <v>607</v>
      </c>
      <c r="M2137" s="4" t="s">
        <v>607</v>
      </c>
      <c r="N2137" s="4" t="s">
        <v>607</v>
      </c>
      <c r="O2137" s="4"/>
      <c r="P2137" s="4"/>
      <c r="T2137" s="4"/>
    </row>
    <row r="2138">
      <c r="A2138" s="4" t="s">
        <v>5432</v>
      </c>
      <c r="B2138" s="4" t="s">
        <v>607</v>
      </c>
      <c r="C2138" s="6" t="s">
        <v>607</v>
      </c>
      <c r="D2138" s="6" t="s">
        <v>607</v>
      </c>
      <c r="E2138" s="6" t="s">
        <v>607</v>
      </c>
      <c r="F2138" s="6" t="s">
        <v>607</v>
      </c>
      <c r="G2138" s="4" t="s">
        <v>607</v>
      </c>
      <c r="H2138" s="4" t="s">
        <v>607</v>
      </c>
      <c r="I2138" s="4" t="s">
        <v>607</v>
      </c>
      <c r="J2138" s="4" t="s">
        <v>607</v>
      </c>
      <c r="K2138" s="4" t="s">
        <v>607</v>
      </c>
      <c r="L2138" s="4" t="s">
        <v>607</v>
      </c>
      <c r="M2138" s="4" t="s">
        <v>607</v>
      </c>
      <c r="N2138" s="4" t="s">
        <v>607</v>
      </c>
      <c r="O2138" s="4"/>
      <c r="P2138" s="4"/>
      <c r="T2138" s="4"/>
    </row>
    <row r="2139">
      <c r="A2139" s="4" t="s">
        <v>5433</v>
      </c>
      <c r="B2139" s="4" t="s">
        <v>607</v>
      </c>
      <c r="C2139" s="6" t="s">
        <v>607</v>
      </c>
      <c r="D2139" s="6" t="s">
        <v>607</v>
      </c>
      <c r="E2139" s="6" t="s">
        <v>607</v>
      </c>
      <c r="F2139" s="6" t="s">
        <v>607</v>
      </c>
      <c r="G2139" s="4" t="s">
        <v>607</v>
      </c>
      <c r="H2139" s="4" t="s">
        <v>607</v>
      </c>
      <c r="I2139" s="4" t="s">
        <v>607</v>
      </c>
      <c r="J2139" s="4" t="s">
        <v>607</v>
      </c>
      <c r="K2139" s="4" t="s">
        <v>607</v>
      </c>
      <c r="L2139" s="4" t="s">
        <v>607</v>
      </c>
      <c r="M2139" s="4" t="s">
        <v>607</v>
      </c>
      <c r="N2139" s="4" t="s">
        <v>607</v>
      </c>
      <c r="O2139" s="4"/>
      <c r="P2139" s="4"/>
      <c r="T2139" s="4"/>
    </row>
    <row r="2140">
      <c r="A2140" s="4" t="s">
        <v>5434</v>
      </c>
      <c r="B2140" s="4" t="s">
        <v>607</v>
      </c>
      <c r="C2140" s="6" t="s">
        <v>607</v>
      </c>
      <c r="D2140" s="6" t="s">
        <v>607</v>
      </c>
      <c r="E2140" s="6" t="s">
        <v>607</v>
      </c>
      <c r="F2140" s="6" t="s">
        <v>607</v>
      </c>
      <c r="G2140" s="4" t="s">
        <v>607</v>
      </c>
      <c r="H2140" s="4" t="s">
        <v>607</v>
      </c>
      <c r="I2140" s="4" t="s">
        <v>607</v>
      </c>
      <c r="J2140" s="4" t="s">
        <v>607</v>
      </c>
      <c r="K2140" s="4" t="s">
        <v>607</v>
      </c>
      <c r="L2140" s="4" t="s">
        <v>607</v>
      </c>
      <c r="M2140" s="4" t="s">
        <v>607</v>
      </c>
      <c r="N2140" s="4" t="s">
        <v>607</v>
      </c>
      <c r="O2140" s="4"/>
      <c r="P2140" s="4"/>
      <c r="T2140" s="4"/>
    </row>
    <row r="2141">
      <c r="A2141" s="4" t="s">
        <v>5435</v>
      </c>
      <c r="B2141" s="4" t="s">
        <v>607</v>
      </c>
      <c r="C2141" s="6" t="s">
        <v>607</v>
      </c>
      <c r="D2141" s="6" t="s">
        <v>607</v>
      </c>
      <c r="E2141" s="6" t="s">
        <v>607</v>
      </c>
      <c r="F2141" s="6" t="s">
        <v>607</v>
      </c>
      <c r="G2141" s="4" t="s">
        <v>607</v>
      </c>
      <c r="H2141" s="4" t="s">
        <v>607</v>
      </c>
      <c r="I2141" s="4" t="s">
        <v>607</v>
      </c>
      <c r="J2141" s="4" t="s">
        <v>607</v>
      </c>
      <c r="K2141" s="4" t="s">
        <v>607</v>
      </c>
      <c r="L2141" s="4" t="s">
        <v>607</v>
      </c>
      <c r="M2141" s="4" t="s">
        <v>607</v>
      </c>
      <c r="N2141" s="4" t="s">
        <v>607</v>
      </c>
      <c r="O2141" s="4"/>
      <c r="P2141" s="4"/>
      <c r="T2141" s="4"/>
    </row>
    <row r="2142">
      <c r="A2142" s="4" t="s">
        <v>5436</v>
      </c>
      <c r="B2142" s="4" t="s">
        <v>607</v>
      </c>
      <c r="C2142" s="6" t="s">
        <v>607</v>
      </c>
      <c r="D2142" s="6" t="s">
        <v>607</v>
      </c>
      <c r="E2142" s="6" t="s">
        <v>607</v>
      </c>
      <c r="F2142" s="6" t="s">
        <v>607</v>
      </c>
      <c r="G2142" s="4" t="s">
        <v>607</v>
      </c>
      <c r="H2142" s="4" t="s">
        <v>607</v>
      </c>
      <c r="I2142" s="4" t="s">
        <v>607</v>
      </c>
      <c r="J2142" s="4" t="s">
        <v>607</v>
      </c>
      <c r="K2142" s="4" t="s">
        <v>607</v>
      </c>
      <c r="L2142" s="4" t="s">
        <v>607</v>
      </c>
      <c r="M2142" s="4" t="s">
        <v>607</v>
      </c>
      <c r="N2142" s="4" t="s">
        <v>607</v>
      </c>
      <c r="O2142" s="4"/>
      <c r="P2142" s="4"/>
      <c r="T2142" s="4"/>
    </row>
    <row r="2143">
      <c r="A2143" s="4" t="s">
        <v>5437</v>
      </c>
      <c r="B2143" s="4" t="s">
        <v>607</v>
      </c>
      <c r="C2143" s="6" t="s">
        <v>607</v>
      </c>
      <c r="D2143" s="6" t="s">
        <v>607</v>
      </c>
      <c r="E2143" s="6" t="s">
        <v>607</v>
      </c>
      <c r="F2143" s="6" t="s">
        <v>607</v>
      </c>
      <c r="G2143" s="4" t="s">
        <v>607</v>
      </c>
      <c r="H2143" s="4" t="s">
        <v>607</v>
      </c>
      <c r="I2143" s="4" t="s">
        <v>607</v>
      </c>
      <c r="J2143" s="4" t="s">
        <v>607</v>
      </c>
      <c r="K2143" s="4" t="s">
        <v>607</v>
      </c>
      <c r="L2143" s="4" t="s">
        <v>607</v>
      </c>
      <c r="M2143" s="4" t="s">
        <v>607</v>
      </c>
      <c r="N2143" s="4" t="s">
        <v>607</v>
      </c>
      <c r="O2143" s="4"/>
      <c r="P2143" s="4"/>
      <c r="T2143" s="4"/>
    </row>
    <row r="2144">
      <c r="A2144" s="4" t="s">
        <v>5438</v>
      </c>
      <c r="B2144" s="4" t="s">
        <v>607</v>
      </c>
      <c r="C2144" s="6" t="s">
        <v>607</v>
      </c>
      <c r="D2144" s="6" t="s">
        <v>607</v>
      </c>
      <c r="E2144" s="6" t="s">
        <v>607</v>
      </c>
      <c r="F2144" s="6" t="s">
        <v>607</v>
      </c>
      <c r="G2144" s="4" t="s">
        <v>607</v>
      </c>
      <c r="H2144" s="4" t="s">
        <v>607</v>
      </c>
      <c r="I2144" s="4" t="s">
        <v>607</v>
      </c>
      <c r="J2144" s="4" t="s">
        <v>607</v>
      </c>
      <c r="K2144" s="4" t="s">
        <v>607</v>
      </c>
      <c r="L2144" s="4" t="s">
        <v>607</v>
      </c>
      <c r="M2144" s="4" t="s">
        <v>607</v>
      </c>
      <c r="N2144" s="4" t="s">
        <v>607</v>
      </c>
      <c r="O2144" s="4"/>
      <c r="P2144" s="4"/>
      <c r="T2144" s="4"/>
    </row>
    <row r="2145">
      <c r="A2145" s="4" t="s">
        <v>5439</v>
      </c>
      <c r="B2145" s="4" t="s">
        <v>607</v>
      </c>
      <c r="C2145" s="6" t="s">
        <v>607</v>
      </c>
      <c r="D2145" s="6" t="s">
        <v>607</v>
      </c>
      <c r="E2145" s="6" t="s">
        <v>607</v>
      </c>
      <c r="F2145" s="6" t="s">
        <v>607</v>
      </c>
      <c r="G2145" s="4" t="s">
        <v>607</v>
      </c>
      <c r="H2145" s="4" t="s">
        <v>607</v>
      </c>
      <c r="I2145" s="4" t="s">
        <v>607</v>
      </c>
      <c r="J2145" s="4" t="s">
        <v>607</v>
      </c>
      <c r="K2145" s="4" t="s">
        <v>607</v>
      </c>
      <c r="L2145" s="4" t="s">
        <v>607</v>
      </c>
      <c r="M2145" s="4" t="s">
        <v>607</v>
      </c>
      <c r="N2145" s="4" t="s">
        <v>607</v>
      </c>
      <c r="O2145" s="4"/>
      <c r="P2145" s="4"/>
      <c r="T2145" s="4"/>
    </row>
    <row r="2146">
      <c r="A2146" s="4" t="s">
        <v>5440</v>
      </c>
      <c r="B2146" s="4" t="s">
        <v>607</v>
      </c>
      <c r="C2146" s="6" t="s">
        <v>607</v>
      </c>
      <c r="D2146" s="6" t="s">
        <v>607</v>
      </c>
      <c r="E2146" s="6" t="s">
        <v>607</v>
      </c>
      <c r="F2146" s="6" t="s">
        <v>607</v>
      </c>
      <c r="G2146" s="4" t="s">
        <v>607</v>
      </c>
      <c r="H2146" s="4" t="s">
        <v>607</v>
      </c>
      <c r="I2146" s="4" t="s">
        <v>607</v>
      </c>
      <c r="J2146" s="4" t="s">
        <v>607</v>
      </c>
      <c r="K2146" s="4" t="s">
        <v>607</v>
      </c>
      <c r="L2146" s="4" t="s">
        <v>607</v>
      </c>
      <c r="M2146" s="4" t="s">
        <v>607</v>
      </c>
      <c r="N2146" s="4" t="s">
        <v>607</v>
      </c>
      <c r="O2146" s="4"/>
      <c r="P2146" s="4"/>
      <c r="T2146" s="4"/>
    </row>
    <row r="2147">
      <c r="A2147" s="4" t="s">
        <v>5441</v>
      </c>
      <c r="B2147" s="4" t="s">
        <v>607</v>
      </c>
      <c r="C2147" s="6" t="s">
        <v>607</v>
      </c>
      <c r="D2147" s="6" t="s">
        <v>607</v>
      </c>
      <c r="E2147" s="6" t="s">
        <v>607</v>
      </c>
      <c r="F2147" s="6" t="s">
        <v>607</v>
      </c>
      <c r="G2147" s="4" t="s">
        <v>607</v>
      </c>
      <c r="H2147" s="4" t="s">
        <v>607</v>
      </c>
      <c r="I2147" s="4" t="s">
        <v>607</v>
      </c>
      <c r="J2147" s="4" t="s">
        <v>607</v>
      </c>
      <c r="K2147" s="4" t="s">
        <v>607</v>
      </c>
      <c r="L2147" s="4" t="s">
        <v>607</v>
      </c>
      <c r="M2147" s="4" t="s">
        <v>607</v>
      </c>
      <c r="N2147" s="4" t="s">
        <v>607</v>
      </c>
      <c r="O2147" s="4"/>
      <c r="P2147" s="4"/>
      <c r="T2147" s="4"/>
    </row>
    <row r="2148">
      <c r="A2148" s="4" t="s">
        <v>5442</v>
      </c>
      <c r="B2148" s="4" t="s">
        <v>607</v>
      </c>
      <c r="C2148" s="6" t="s">
        <v>607</v>
      </c>
      <c r="D2148" s="6" t="s">
        <v>607</v>
      </c>
      <c r="E2148" s="6" t="s">
        <v>607</v>
      </c>
      <c r="F2148" s="6" t="s">
        <v>607</v>
      </c>
      <c r="G2148" s="4" t="s">
        <v>607</v>
      </c>
      <c r="H2148" s="4" t="s">
        <v>607</v>
      </c>
      <c r="I2148" s="4" t="s">
        <v>607</v>
      </c>
      <c r="J2148" s="4" t="s">
        <v>607</v>
      </c>
      <c r="K2148" s="4" t="s">
        <v>607</v>
      </c>
      <c r="L2148" s="4" t="s">
        <v>607</v>
      </c>
      <c r="M2148" s="4" t="s">
        <v>607</v>
      </c>
      <c r="N2148" s="4" t="s">
        <v>607</v>
      </c>
      <c r="O2148" s="4"/>
      <c r="P2148" s="4"/>
      <c r="T2148" s="4"/>
    </row>
    <row r="2149">
      <c r="A2149" s="4" t="s">
        <v>5443</v>
      </c>
      <c r="B2149" s="4" t="s">
        <v>607</v>
      </c>
      <c r="C2149" s="6" t="s">
        <v>607</v>
      </c>
      <c r="D2149" s="6" t="s">
        <v>607</v>
      </c>
      <c r="E2149" s="6" t="s">
        <v>607</v>
      </c>
      <c r="F2149" s="6" t="s">
        <v>607</v>
      </c>
      <c r="G2149" s="4" t="s">
        <v>607</v>
      </c>
      <c r="H2149" s="4" t="s">
        <v>607</v>
      </c>
      <c r="I2149" s="4" t="s">
        <v>607</v>
      </c>
      <c r="J2149" s="4" t="s">
        <v>607</v>
      </c>
      <c r="K2149" s="4" t="s">
        <v>607</v>
      </c>
      <c r="L2149" s="4" t="s">
        <v>607</v>
      </c>
      <c r="M2149" s="4" t="s">
        <v>607</v>
      </c>
      <c r="N2149" s="4" t="s">
        <v>607</v>
      </c>
      <c r="O2149" s="4"/>
      <c r="P2149" s="4"/>
      <c r="T2149" s="4"/>
    </row>
    <row r="2150">
      <c r="A2150" s="4" t="s">
        <v>5444</v>
      </c>
      <c r="B2150" s="4" t="s">
        <v>607</v>
      </c>
      <c r="C2150" s="6" t="s">
        <v>607</v>
      </c>
      <c r="D2150" s="6" t="s">
        <v>607</v>
      </c>
      <c r="E2150" s="6" t="s">
        <v>607</v>
      </c>
      <c r="F2150" s="6" t="s">
        <v>607</v>
      </c>
      <c r="G2150" s="4" t="s">
        <v>607</v>
      </c>
      <c r="H2150" s="4" t="s">
        <v>607</v>
      </c>
      <c r="I2150" s="4" t="s">
        <v>607</v>
      </c>
      <c r="J2150" s="4" t="s">
        <v>607</v>
      </c>
      <c r="K2150" s="4" t="s">
        <v>607</v>
      </c>
      <c r="L2150" s="4" t="s">
        <v>607</v>
      </c>
      <c r="M2150" s="4" t="s">
        <v>607</v>
      </c>
      <c r="N2150" s="4" t="s">
        <v>607</v>
      </c>
      <c r="O2150" s="4"/>
      <c r="P2150" s="4"/>
      <c r="T2150" s="4"/>
    </row>
    <row r="2151">
      <c r="A2151" s="4" t="s">
        <v>5445</v>
      </c>
      <c r="B2151" s="4" t="s">
        <v>607</v>
      </c>
      <c r="C2151" s="6" t="s">
        <v>607</v>
      </c>
      <c r="D2151" s="6" t="s">
        <v>607</v>
      </c>
      <c r="E2151" s="6" t="s">
        <v>607</v>
      </c>
      <c r="F2151" s="6" t="s">
        <v>607</v>
      </c>
      <c r="G2151" s="4" t="s">
        <v>607</v>
      </c>
      <c r="H2151" s="4" t="s">
        <v>607</v>
      </c>
      <c r="I2151" s="4" t="s">
        <v>607</v>
      </c>
      <c r="J2151" s="4" t="s">
        <v>607</v>
      </c>
      <c r="K2151" s="4" t="s">
        <v>607</v>
      </c>
      <c r="L2151" s="4" t="s">
        <v>607</v>
      </c>
      <c r="M2151" s="4" t="s">
        <v>607</v>
      </c>
      <c r="N2151" s="4" t="s">
        <v>607</v>
      </c>
      <c r="O2151" s="4"/>
      <c r="P2151" s="4"/>
      <c r="T2151" s="4"/>
    </row>
    <row r="2152">
      <c r="A2152" s="4" t="s">
        <v>5446</v>
      </c>
      <c r="B2152" s="4" t="s">
        <v>607</v>
      </c>
      <c r="C2152" s="6" t="s">
        <v>607</v>
      </c>
      <c r="D2152" s="6" t="s">
        <v>607</v>
      </c>
      <c r="E2152" s="6" t="s">
        <v>607</v>
      </c>
      <c r="F2152" s="6" t="s">
        <v>607</v>
      </c>
      <c r="G2152" s="4" t="s">
        <v>607</v>
      </c>
      <c r="H2152" s="4" t="s">
        <v>607</v>
      </c>
      <c r="I2152" s="4" t="s">
        <v>607</v>
      </c>
      <c r="J2152" s="4" t="s">
        <v>607</v>
      </c>
      <c r="K2152" s="4" t="s">
        <v>607</v>
      </c>
      <c r="L2152" s="4" t="s">
        <v>607</v>
      </c>
      <c r="M2152" s="4" t="s">
        <v>607</v>
      </c>
      <c r="N2152" s="4" t="s">
        <v>607</v>
      </c>
      <c r="O2152" s="4"/>
      <c r="P2152" s="4"/>
      <c r="T2152" s="4"/>
    </row>
    <row r="2153">
      <c r="A2153" s="4" t="s">
        <v>5447</v>
      </c>
      <c r="B2153" s="4" t="s">
        <v>607</v>
      </c>
      <c r="C2153" s="6" t="s">
        <v>607</v>
      </c>
      <c r="D2153" s="6" t="s">
        <v>607</v>
      </c>
      <c r="E2153" s="6" t="s">
        <v>607</v>
      </c>
      <c r="F2153" s="6" t="s">
        <v>607</v>
      </c>
      <c r="G2153" s="4" t="s">
        <v>607</v>
      </c>
      <c r="H2153" s="4" t="s">
        <v>607</v>
      </c>
      <c r="I2153" s="4" t="s">
        <v>607</v>
      </c>
      <c r="J2153" s="4" t="s">
        <v>607</v>
      </c>
      <c r="K2153" s="4" t="s">
        <v>607</v>
      </c>
      <c r="L2153" s="4" t="s">
        <v>607</v>
      </c>
      <c r="M2153" s="4" t="s">
        <v>607</v>
      </c>
      <c r="N2153" s="4" t="s">
        <v>607</v>
      </c>
      <c r="O2153" s="4"/>
      <c r="P2153" s="4"/>
      <c r="T2153" s="4"/>
    </row>
    <row r="2154">
      <c r="A2154" s="4" t="s">
        <v>5448</v>
      </c>
      <c r="B2154" s="4" t="s">
        <v>607</v>
      </c>
      <c r="C2154" s="6" t="s">
        <v>607</v>
      </c>
      <c r="D2154" s="6" t="s">
        <v>607</v>
      </c>
      <c r="E2154" s="6" t="s">
        <v>607</v>
      </c>
      <c r="F2154" s="6" t="s">
        <v>607</v>
      </c>
      <c r="G2154" s="4" t="s">
        <v>607</v>
      </c>
      <c r="H2154" s="4" t="s">
        <v>607</v>
      </c>
      <c r="I2154" s="4" t="s">
        <v>607</v>
      </c>
      <c r="J2154" s="4" t="s">
        <v>607</v>
      </c>
      <c r="K2154" s="4" t="s">
        <v>607</v>
      </c>
      <c r="L2154" s="4" t="s">
        <v>607</v>
      </c>
      <c r="M2154" s="4" t="s">
        <v>607</v>
      </c>
      <c r="N2154" s="4" t="s">
        <v>607</v>
      </c>
      <c r="O2154" s="4"/>
      <c r="P2154" s="4"/>
      <c r="T2154" s="4"/>
    </row>
    <row r="2155">
      <c r="A2155" s="4" t="s">
        <v>5449</v>
      </c>
      <c r="B2155" s="4" t="s">
        <v>607</v>
      </c>
      <c r="C2155" s="6" t="s">
        <v>607</v>
      </c>
      <c r="D2155" s="6" t="s">
        <v>607</v>
      </c>
      <c r="E2155" s="6" t="s">
        <v>607</v>
      </c>
      <c r="F2155" s="6" t="s">
        <v>607</v>
      </c>
      <c r="G2155" s="4" t="s">
        <v>607</v>
      </c>
      <c r="H2155" s="4" t="s">
        <v>607</v>
      </c>
      <c r="I2155" s="4" t="s">
        <v>607</v>
      </c>
      <c r="J2155" s="4" t="s">
        <v>607</v>
      </c>
      <c r="K2155" s="4" t="s">
        <v>607</v>
      </c>
      <c r="L2155" s="4" t="s">
        <v>607</v>
      </c>
      <c r="M2155" s="4" t="s">
        <v>607</v>
      </c>
      <c r="N2155" s="4" t="s">
        <v>607</v>
      </c>
      <c r="O2155" s="4"/>
      <c r="P2155" s="4"/>
      <c r="T2155" s="4"/>
    </row>
    <row r="2156">
      <c r="A2156" s="4" t="s">
        <v>5450</v>
      </c>
      <c r="B2156" s="4" t="s">
        <v>607</v>
      </c>
      <c r="C2156" s="6" t="s">
        <v>607</v>
      </c>
      <c r="D2156" s="6" t="s">
        <v>607</v>
      </c>
      <c r="E2156" s="6" t="s">
        <v>607</v>
      </c>
      <c r="F2156" s="6" t="s">
        <v>607</v>
      </c>
      <c r="G2156" s="4" t="s">
        <v>607</v>
      </c>
      <c r="H2156" s="4" t="s">
        <v>607</v>
      </c>
      <c r="I2156" s="4" t="s">
        <v>607</v>
      </c>
      <c r="J2156" s="4" t="s">
        <v>607</v>
      </c>
      <c r="K2156" s="4" t="s">
        <v>607</v>
      </c>
      <c r="L2156" s="4" t="s">
        <v>607</v>
      </c>
      <c r="M2156" s="4" t="s">
        <v>607</v>
      </c>
      <c r="N2156" s="4" t="s">
        <v>607</v>
      </c>
      <c r="O2156" s="4"/>
      <c r="P2156" s="4"/>
      <c r="T2156" s="4"/>
    </row>
    <row r="2157">
      <c r="A2157" s="4" t="s">
        <v>5451</v>
      </c>
      <c r="B2157" s="4" t="s">
        <v>607</v>
      </c>
      <c r="C2157" s="6" t="s">
        <v>607</v>
      </c>
      <c r="D2157" s="6" t="s">
        <v>607</v>
      </c>
      <c r="E2157" s="6" t="s">
        <v>607</v>
      </c>
      <c r="F2157" s="6" t="s">
        <v>607</v>
      </c>
      <c r="G2157" s="4" t="s">
        <v>607</v>
      </c>
      <c r="H2157" s="4" t="s">
        <v>607</v>
      </c>
      <c r="I2157" s="4" t="s">
        <v>607</v>
      </c>
      <c r="J2157" s="4" t="s">
        <v>607</v>
      </c>
      <c r="K2157" s="4" t="s">
        <v>607</v>
      </c>
      <c r="L2157" s="4" t="s">
        <v>607</v>
      </c>
      <c r="M2157" s="4" t="s">
        <v>607</v>
      </c>
      <c r="N2157" s="4" t="s">
        <v>607</v>
      </c>
      <c r="O2157" s="4"/>
      <c r="P2157" s="4"/>
      <c r="T2157" s="4"/>
    </row>
    <row r="2158">
      <c r="A2158" s="4" t="s">
        <v>5452</v>
      </c>
      <c r="B2158" s="4" t="s">
        <v>607</v>
      </c>
      <c r="C2158" s="6" t="s">
        <v>607</v>
      </c>
      <c r="D2158" s="6" t="s">
        <v>607</v>
      </c>
      <c r="E2158" s="6" t="s">
        <v>607</v>
      </c>
      <c r="F2158" s="6" t="s">
        <v>607</v>
      </c>
      <c r="G2158" s="4" t="s">
        <v>607</v>
      </c>
      <c r="H2158" s="4" t="s">
        <v>607</v>
      </c>
      <c r="I2158" s="4" t="s">
        <v>607</v>
      </c>
      <c r="J2158" s="4" t="s">
        <v>607</v>
      </c>
      <c r="K2158" s="4" t="s">
        <v>607</v>
      </c>
      <c r="L2158" s="4" t="s">
        <v>607</v>
      </c>
      <c r="M2158" s="4" t="s">
        <v>607</v>
      </c>
      <c r="N2158" s="4" t="s">
        <v>607</v>
      </c>
      <c r="O2158" s="4"/>
      <c r="P2158" s="4"/>
      <c r="T2158" s="4"/>
    </row>
    <row r="2159">
      <c r="A2159" s="4" t="s">
        <v>5453</v>
      </c>
      <c r="B2159" s="4" t="s">
        <v>607</v>
      </c>
      <c r="C2159" s="6" t="s">
        <v>607</v>
      </c>
      <c r="D2159" s="6" t="s">
        <v>607</v>
      </c>
      <c r="E2159" s="6" t="s">
        <v>607</v>
      </c>
      <c r="F2159" s="6" t="s">
        <v>607</v>
      </c>
      <c r="G2159" s="4" t="s">
        <v>607</v>
      </c>
      <c r="H2159" s="4" t="s">
        <v>607</v>
      </c>
      <c r="I2159" s="4" t="s">
        <v>607</v>
      </c>
      <c r="J2159" s="4" t="s">
        <v>607</v>
      </c>
      <c r="K2159" s="4" t="s">
        <v>607</v>
      </c>
      <c r="L2159" s="4" t="s">
        <v>607</v>
      </c>
      <c r="M2159" s="4" t="s">
        <v>607</v>
      </c>
      <c r="N2159" s="4" t="s">
        <v>607</v>
      </c>
      <c r="O2159" s="4"/>
      <c r="P2159" s="4"/>
      <c r="T2159" s="4"/>
    </row>
    <row r="2160">
      <c r="A2160" s="4" t="s">
        <v>5454</v>
      </c>
      <c r="B2160" s="4" t="s">
        <v>607</v>
      </c>
      <c r="C2160" s="6" t="s">
        <v>607</v>
      </c>
      <c r="D2160" s="6" t="s">
        <v>607</v>
      </c>
      <c r="E2160" s="6" t="s">
        <v>607</v>
      </c>
      <c r="F2160" s="6" t="s">
        <v>607</v>
      </c>
      <c r="G2160" s="4" t="s">
        <v>607</v>
      </c>
      <c r="H2160" s="4" t="s">
        <v>607</v>
      </c>
      <c r="I2160" s="4" t="s">
        <v>607</v>
      </c>
      <c r="J2160" s="4" t="s">
        <v>607</v>
      </c>
      <c r="K2160" s="4" t="s">
        <v>607</v>
      </c>
      <c r="L2160" s="4" t="s">
        <v>607</v>
      </c>
      <c r="M2160" s="4" t="s">
        <v>607</v>
      </c>
      <c r="N2160" s="4" t="s">
        <v>607</v>
      </c>
      <c r="O2160" s="4"/>
      <c r="P2160" s="4"/>
      <c r="T2160" s="4"/>
    </row>
    <row r="2161">
      <c r="A2161" s="4" t="s">
        <v>5455</v>
      </c>
      <c r="B2161" s="4" t="s">
        <v>607</v>
      </c>
      <c r="C2161" s="6" t="s">
        <v>607</v>
      </c>
      <c r="D2161" s="6" t="s">
        <v>607</v>
      </c>
      <c r="E2161" s="6" t="s">
        <v>607</v>
      </c>
      <c r="F2161" s="6" t="s">
        <v>607</v>
      </c>
      <c r="G2161" s="4" t="s">
        <v>607</v>
      </c>
      <c r="H2161" s="4" t="s">
        <v>607</v>
      </c>
      <c r="I2161" s="4" t="s">
        <v>607</v>
      </c>
      <c r="J2161" s="4" t="s">
        <v>607</v>
      </c>
      <c r="K2161" s="4" t="s">
        <v>607</v>
      </c>
      <c r="L2161" s="4" t="s">
        <v>607</v>
      </c>
      <c r="M2161" s="4" t="s">
        <v>607</v>
      </c>
      <c r="N2161" s="4" t="s">
        <v>607</v>
      </c>
      <c r="O2161" s="4"/>
      <c r="P2161" s="4"/>
      <c r="T2161" s="4"/>
    </row>
    <row r="2162">
      <c r="A2162" s="4" t="s">
        <v>5456</v>
      </c>
      <c r="B2162" s="4" t="s">
        <v>607</v>
      </c>
      <c r="C2162" s="6" t="s">
        <v>607</v>
      </c>
      <c r="D2162" s="6" t="s">
        <v>607</v>
      </c>
      <c r="E2162" s="6" t="s">
        <v>607</v>
      </c>
      <c r="F2162" s="6" t="s">
        <v>607</v>
      </c>
      <c r="G2162" s="4" t="s">
        <v>607</v>
      </c>
      <c r="H2162" s="4" t="s">
        <v>607</v>
      </c>
      <c r="I2162" s="4" t="s">
        <v>607</v>
      </c>
      <c r="J2162" s="4" t="s">
        <v>607</v>
      </c>
      <c r="K2162" s="4" t="s">
        <v>607</v>
      </c>
      <c r="L2162" s="4" t="s">
        <v>607</v>
      </c>
      <c r="M2162" s="4" t="s">
        <v>607</v>
      </c>
      <c r="N2162" s="4" t="s">
        <v>607</v>
      </c>
      <c r="O2162" s="4"/>
      <c r="P2162" s="4"/>
      <c r="T2162" s="4"/>
    </row>
    <row r="2163">
      <c r="A2163" s="4" t="s">
        <v>5457</v>
      </c>
      <c r="B2163" s="4" t="s">
        <v>607</v>
      </c>
      <c r="C2163" s="6" t="s">
        <v>607</v>
      </c>
      <c r="D2163" s="6" t="s">
        <v>607</v>
      </c>
      <c r="E2163" s="6" t="s">
        <v>607</v>
      </c>
      <c r="F2163" s="6" t="s">
        <v>607</v>
      </c>
      <c r="G2163" s="4" t="s">
        <v>607</v>
      </c>
      <c r="H2163" s="4" t="s">
        <v>607</v>
      </c>
      <c r="I2163" s="4" t="s">
        <v>607</v>
      </c>
      <c r="J2163" s="4" t="s">
        <v>607</v>
      </c>
      <c r="K2163" s="4" t="s">
        <v>607</v>
      </c>
      <c r="L2163" s="4" t="s">
        <v>607</v>
      </c>
      <c r="M2163" s="4" t="s">
        <v>607</v>
      </c>
      <c r="N2163" s="4" t="s">
        <v>607</v>
      </c>
      <c r="O2163" s="4"/>
      <c r="P2163" s="4"/>
      <c r="T2163" s="4"/>
    </row>
    <row r="2164">
      <c r="A2164" s="4" t="s">
        <v>5458</v>
      </c>
      <c r="B2164" s="4" t="s">
        <v>607</v>
      </c>
      <c r="C2164" s="6" t="s">
        <v>607</v>
      </c>
      <c r="D2164" s="6" t="s">
        <v>607</v>
      </c>
      <c r="E2164" s="6" t="s">
        <v>607</v>
      </c>
      <c r="F2164" s="6" t="s">
        <v>607</v>
      </c>
      <c r="G2164" s="4" t="s">
        <v>607</v>
      </c>
      <c r="H2164" s="4" t="s">
        <v>607</v>
      </c>
      <c r="I2164" s="4" t="s">
        <v>607</v>
      </c>
      <c r="J2164" s="4" t="s">
        <v>607</v>
      </c>
      <c r="K2164" s="4" t="s">
        <v>607</v>
      </c>
      <c r="L2164" s="4" t="s">
        <v>607</v>
      </c>
      <c r="M2164" s="4" t="s">
        <v>607</v>
      </c>
      <c r="N2164" s="4" t="s">
        <v>607</v>
      </c>
      <c r="O2164" s="4"/>
      <c r="P2164" s="4"/>
      <c r="T2164" s="4"/>
    </row>
    <row r="2165">
      <c r="A2165" s="4" t="s">
        <v>5459</v>
      </c>
      <c r="B2165" s="4" t="s">
        <v>607</v>
      </c>
      <c r="C2165" s="6" t="s">
        <v>607</v>
      </c>
      <c r="D2165" s="6" t="s">
        <v>607</v>
      </c>
      <c r="E2165" s="6" t="s">
        <v>607</v>
      </c>
      <c r="F2165" s="6" t="s">
        <v>607</v>
      </c>
      <c r="G2165" s="4" t="s">
        <v>607</v>
      </c>
      <c r="H2165" s="4" t="s">
        <v>607</v>
      </c>
      <c r="I2165" s="4" t="s">
        <v>607</v>
      </c>
      <c r="J2165" s="4" t="s">
        <v>607</v>
      </c>
      <c r="K2165" s="4" t="s">
        <v>607</v>
      </c>
      <c r="L2165" s="4" t="s">
        <v>607</v>
      </c>
      <c r="M2165" s="4" t="s">
        <v>607</v>
      </c>
      <c r="N2165" s="4" t="s">
        <v>607</v>
      </c>
      <c r="O2165" s="4"/>
      <c r="P2165" s="4"/>
      <c r="T2165" s="4"/>
    </row>
    <row r="2166">
      <c r="A2166" s="4" t="s">
        <v>5460</v>
      </c>
      <c r="B2166" s="4" t="s">
        <v>607</v>
      </c>
      <c r="C2166" s="6" t="s">
        <v>607</v>
      </c>
      <c r="D2166" s="6" t="s">
        <v>607</v>
      </c>
      <c r="E2166" s="6" t="s">
        <v>607</v>
      </c>
      <c r="F2166" s="6" t="s">
        <v>607</v>
      </c>
      <c r="G2166" s="4" t="s">
        <v>607</v>
      </c>
      <c r="H2166" s="4" t="s">
        <v>607</v>
      </c>
      <c r="I2166" s="4" t="s">
        <v>607</v>
      </c>
      <c r="J2166" s="4" t="s">
        <v>607</v>
      </c>
      <c r="K2166" s="4" t="s">
        <v>607</v>
      </c>
      <c r="L2166" s="4" t="s">
        <v>607</v>
      </c>
      <c r="M2166" s="4" t="s">
        <v>607</v>
      </c>
      <c r="N2166" s="4" t="s">
        <v>607</v>
      </c>
      <c r="O2166" s="4"/>
      <c r="P2166" s="4"/>
      <c r="T2166" s="4"/>
    </row>
    <row r="2167">
      <c r="A2167" s="4" t="s">
        <v>5461</v>
      </c>
      <c r="B2167" s="4" t="s">
        <v>607</v>
      </c>
      <c r="C2167" s="6" t="s">
        <v>607</v>
      </c>
      <c r="D2167" s="6" t="s">
        <v>607</v>
      </c>
      <c r="E2167" s="6" t="s">
        <v>607</v>
      </c>
      <c r="F2167" s="6" t="s">
        <v>607</v>
      </c>
      <c r="G2167" s="4" t="s">
        <v>607</v>
      </c>
      <c r="H2167" s="4" t="s">
        <v>607</v>
      </c>
      <c r="I2167" s="4" t="s">
        <v>607</v>
      </c>
      <c r="J2167" s="4" t="s">
        <v>607</v>
      </c>
      <c r="K2167" s="4" t="s">
        <v>607</v>
      </c>
      <c r="L2167" s="4" t="s">
        <v>607</v>
      </c>
      <c r="M2167" s="4" t="s">
        <v>607</v>
      </c>
      <c r="N2167" s="4" t="s">
        <v>607</v>
      </c>
      <c r="O2167" s="4"/>
      <c r="P2167" s="4"/>
      <c r="T2167" s="4"/>
    </row>
    <row r="2168">
      <c r="A2168" s="4" t="s">
        <v>5462</v>
      </c>
      <c r="B2168" s="4" t="s">
        <v>607</v>
      </c>
      <c r="C2168" s="6" t="s">
        <v>607</v>
      </c>
      <c r="D2168" s="6" t="s">
        <v>607</v>
      </c>
      <c r="E2168" s="6" t="s">
        <v>607</v>
      </c>
      <c r="F2168" s="6" t="s">
        <v>607</v>
      </c>
      <c r="G2168" s="4" t="s">
        <v>607</v>
      </c>
      <c r="H2168" s="4" t="s">
        <v>607</v>
      </c>
      <c r="I2168" s="4" t="s">
        <v>607</v>
      </c>
      <c r="J2168" s="4" t="s">
        <v>607</v>
      </c>
      <c r="K2168" s="4" t="s">
        <v>607</v>
      </c>
      <c r="L2168" s="4" t="s">
        <v>607</v>
      </c>
      <c r="M2168" s="4" t="s">
        <v>607</v>
      </c>
      <c r="N2168" s="4" t="s">
        <v>607</v>
      </c>
      <c r="O2168" s="4"/>
      <c r="P2168" s="4"/>
      <c r="T2168" s="4"/>
    </row>
    <row r="2169">
      <c r="A2169" s="4" t="s">
        <v>5463</v>
      </c>
      <c r="B2169" s="4" t="s">
        <v>607</v>
      </c>
      <c r="C2169" s="6" t="s">
        <v>607</v>
      </c>
      <c r="D2169" s="6" t="s">
        <v>607</v>
      </c>
      <c r="E2169" s="6" t="s">
        <v>607</v>
      </c>
      <c r="F2169" s="6" t="s">
        <v>607</v>
      </c>
      <c r="G2169" s="4" t="s">
        <v>607</v>
      </c>
      <c r="H2169" s="4" t="s">
        <v>607</v>
      </c>
      <c r="I2169" s="4" t="s">
        <v>607</v>
      </c>
      <c r="J2169" s="4" t="s">
        <v>607</v>
      </c>
      <c r="K2169" s="4" t="s">
        <v>607</v>
      </c>
      <c r="L2169" s="4" t="s">
        <v>607</v>
      </c>
      <c r="M2169" s="4" t="s">
        <v>607</v>
      </c>
      <c r="N2169" s="4" t="s">
        <v>607</v>
      </c>
      <c r="O2169" s="4"/>
      <c r="P2169" s="4"/>
      <c r="T2169" s="4"/>
    </row>
    <row r="2170">
      <c r="A2170" s="4" t="s">
        <v>5464</v>
      </c>
      <c r="B2170" s="4" t="s">
        <v>607</v>
      </c>
      <c r="C2170" s="6" t="s">
        <v>607</v>
      </c>
      <c r="D2170" s="6" t="s">
        <v>607</v>
      </c>
      <c r="E2170" s="6" t="s">
        <v>607</v>
      </c>
      <c r="F2170" s="6" t="s">
        <v>607</v>
      </c>
      <c r="G2170" s="4" t="s">
        <v>607</v>
      </c>
      <c r="H2170" s="4" t="s">
        <v>607</v>
      </c>
      <c r="I2170" s="4" t="s">
        <v>607</v>
      </c>
      <c r="J2170" s="4" t="s">
        <v>607</v>
      </c>
      <c r="K2170" s="4" t="s">
        <v>607</v>
      </c>
      <c r="L2170" s="4" t="s">
        <v>607</v>
      </c>
      <c r="M2170" s="4" t="s">
        <v>607</v>
      </c>
      <c r="N2170" s="4" t="s">
        <v>607</v>
      </c>
      <c r="O2170" s="4"/>
      <c r="P2170" s="4"/>
      <c r="T2170" s="4"/>
    </row>
    <row r="2171">
      <c r="A2171" s="4" t="s">
        <v>5465</v>
      </c>
      <c r="B2171" s="4" t="s">
        <v>607</v>
      </c>
      <c r="C2171" s="6" t="s">
        <v>607</v>
      </c>
      <c r="D2171" s="6" t="s">
        <v>607</v>
      </c>
      <c r="E2171" s="6" t="s">
        <v>607</v>
      </c>
      <c r="F2171" s="6" t="s">
        <v>607</v>
      </c>
      <c r="G2171" s="4" t="s">
        <v>607</v>
      </c>
      <c r="H2171" s="4" t="s">
        <v>607</v>
      </c>
      <c r="I2171" s="4" t="s">
        <v>607</v>
      </c>
      <c r="J2171" s="4" t="s">
        <v>607</v>
      </c>
      <c r="K2171" s="4" t="s">
        <v>607</v>
      </c>
      <c r="L2171" s="4" t="s">
        <v>607</v>
      </c>
      <c r="M2171" s="4" t="s">
        <v>607</v>
      </c>
      <c r="N2171" s="4" t="s">
        <v>607</v>
      </c>
      <c r="O2171" s="4"/>
      <c r="P2171" s="4"/>
      <c r="T2171" s="4"/>
    </row>
    <row r="2172">
      <c r="A2172" s="4" t="s">
        <v>5466</v>
      </c>
      <c r="B2172" s="4" t="s">
        <v>607</v>
      </c>
      <c r="C2172" s="6" t="s">
        <v>607</v>
      </c>
      <c r="D2172" s="6" t="s">
        <v>607</v>
      </c>
      <c r="E2172" s="6" t="s">
        <v>607</v>
      </c>
      <c r="F2172" s="6" t="s">
        <v>607</v>
      </c>
      <c r="G2172" s="4" t="s">
        <v>607</v>
      </c>
      <c r="H2172" s="4" t="s">
        <v>607</v>
      </c>
      <c r="I2172" s="4" t="s">
        <v>607</v>
      </c>
      <c r="J2172" s="4" t="s">
        <v>607</v>
      </c>
      <c r="K2172" s="4" t="s">
        <v>607</v>
      </c>
      <c r="L2172" s="4" t="s">
        <v>607</v>
      </c>
      <c r="M2172" s="4" t="s">
        <v>607</v>
      </c>
      <c r="N2172" s="4" t="s">
        <v>607</v>
      </c>
      <c r="O2172" s="4"/>
      <c r="P2172" s="4"/>
      <c r="T2172" s="4"/>
    </row>
    <row r="2173">
      <c r="A2173" s="4" t="s">
        <v>5467</v>
      </c>
      <c r="B2173" s="4" t="s">
        <v>607</v>
      </c>
      <c r="C2173" s="6" t="s">
        <v>607</v>
      </c>
      <c r="D2173" s="6" t="s">
        <v>607</v>
      </c>
      <c r="E2173" s="6" t="s">
        <v>607</v>
      </c>
      <c r="F2173" s="6" t="s">
        <v>607</v>
      </c>
      <c r="G2173" s="4" t="s">
        <v>607</v>
      </c>
      <c r="H2173" s="4" t="s">
        <v>607</v>
      </c>
      <c r="I2173" s="4" t="s">
        <v>607</v>
      </c>
      <c r="J2173" s="4" t="s">
        <v>607</v>
      </c>
      <c r="K2173" s="4" t="s">
        <v>607</v>
      </c>
      <c r="L2173" s="4" t="s">
        <v>607</v>
      </c>
      <c r="M2173" s="4" t="s">
        <v>607</v>
      </c>
      <c r="N2173" s="4" t="s">
        <v>607</v>
      </c>
      <c r="O2173" s="4"/>
      <c r="P2173" s="4"/>
      <c r="T2173" s="4"/>
    </row>
    <row r="2174">
      <c r="A2174" s="4" t="s">
        <v>5468</v>
      </c>
      <c r="B2174" s="4" t="s">
        <v>607</v>
      </c>
      <c r="C2174" s="6" t="s">
        <v>607</v>
      </c>
      <c r="D2174" s="6" t="s">
        <v>607</v>
      </c>
      <c r="E2174" s="6" t="s">
        <v>607</v>
      </c>
      <c r="F2174" s="6" t="s">
        <v>607</v>
      </c>
      <c r="G2174" s="4" t="s">
        <v>607</v>
      </c>
      <c r="H2174" s="4" t="s">
        <v>607</v>
      </c>
      <c r="I2174" s="4" t="s">
        <v>607</v>
      </c>
      <c r="J2174" s="4" t="s">
        <v>607</v>
      </c>
      <c r="K2174" s="4" t="s">
        <v>607</v>
      </c>
      <c r="L2174" s="4" t="s">
        <v>607</v>
      </c>
      <c r="M2174" s="4" t="s">
        <v>607</v>
      </c>
      <c r="N2174" s="4" t="s">
        <v>607</v>
      </c>
      <c r="O2174" s="4"/>
      <c r="P2174" s="4"/>
      <c r="T2174" s="4"/>
    </row>
    <row r="2175">
      <c r="A2175" s="4" t="s">
        <v>5469</v>
      </c>
      <c r="B2175" s="4" t="s">
        <v>607</v>
      </c>
      <c r="C2175" s="6" t="s">
        <v>607</v>
      </c>
      <c r="D2175" s="6" t="s">
        <v>607</v>
      </c>
      <c r="E2175" s="6" t="s">
        <v>607</v>
      </c>
      <c r="F2175" s="6" t="s">
        <v>607</v>
      </c>
      <c r="G2175" s="4" t="s">
        <v>607</v>
      </c>
      <c r="H2175" s="4" t="s">
        <v>607</v>
      </c>
      <c r="I2175" s="4" t="s">
        <v>607</v>
      </c>
      <c r="J2175" s="4" t="s">
        <v>607</v>
      </c>
      <c r="K2175" s="4" t="s">
        <v>607</v>
      </c>
      <c r="L2175" s="4" t="s">
        <v>607</v>
      </c>
      <c r="M2175" s="4" t="s">
        <v>607</v>
      </c>
      <c r="N2175" s="4" t="s">
        <v>607</v>
      </c>
      <c r="O2175" s="4"/>
      <c r="P2175" s="4"/>
      <c r="T2175" s="4"/>
    </row>
    <row r="2176">
      <c r="A2176" s="4" t="s">
        <v>5470</v>
      </c>
      <c r="B2176" s="4" t="s">
        <v>607</v>
      </c>
      <c r="C2176" s="6" t="s">
        <v>607</v>
      </c>
      <c r="D2176" s="6" t="s">
        <v>607</v>
      </c>
      <c r="E2176" s="6" t="s">
        <v>607</v>
      </c>
      <c r="F2176" s="6" t="s">
        <v>607</v>
      </c>
      <c r="G2176" s="4" t="s">
        <v>607</v>
      </c>
      <c r="H2176" s="4" t="s">
        <v>607</v>
      </c>
      <c r="I2176" s="4" t="s">
        <v>607</v>
      </c>
      <c r="J2176" s="4" t="s">
        <v>607</v>
      </c>
      <c r="K2176" s="4" t="s">
        <v>607</v>
      </c>
      <c r="L2176" s="4" t="s">
        <v>607</v>
      </c>
      <c r="M2176" s="4" t="s">
        <v>607</v>
      </c>
      <c r="N2176" s="4" t="s">
        <v>607</v>
      </c>
      <c r="O2176" s="4"/>
      <c r="P2176" s="4"/>
      <c r="T2176" s="4"/>
    </row>
    <row r="2177">
      <c r="A2177" s="4" t="s">
        <v>5471</v>
      </c>
      <c r="B2177" s="4" t="s">
        <v>607</v>
      </c>
      <c r="C2177" s="6" t="s">
        <v>607</v>
      </c>
      <c r="D2177" s="6" t="s">
        <v>607</v>
      </c>
      <c r="E2177" s="6" t="s">
        <v>607</v>
      </c>
      <c r="F2177" s="6" t="s">
        <v>607</v>
      </c>
      <c r="G2177" s="4" t="s">
        <v>607</v>
      </c>
      <c r="H2177" s="4" t="s">
        <v>607</v>
      </c>
      <c r="I2177" s="4" t="s">
        <v>607</v>
      </c>
      <c r="J2177" s="4" t="s">
        <v>607</v>
      </c>
      <c r="K2177" s="4" t="s">
        <v>607</v>
      </c>
      <c r="L2177" s="4" t="s">
        <v>607</v>
      </c>
      <c r="M2177" s="4" t="s">
        <v>607</v>
      </c>
      <c r="N2177" s="4" t="s">
        <v>607</v>
      </c>
      <c r="O2177" s="4"/>
      <c r="P2177" s="4"/>
      <c r="T2177" s="4"/>
    </row>
    <row r="2178">
      <c r="A2178" s="4" t="s">
        <v>5472</v>
      </c>
      <c r="B2178" s="4" t="s">
        <v>607</v>
      </c>
      <c r="C2178" s="6" t="s">
        <v>607</v>
      </c>
      <c r="D2178" s="6" t="s">
        <v>607</v>
      </c>
      <c r="E2178" s="6" t="s">
        <v>607</v>
      </c>
      <c r="F2178" s="6" t="s">
        <v>607</v>
      </c>
      <c r="G2178" s="4" t="s">
        <v>607</v>
      </c>
      <c r="H2178" s="4" t="s">
        <v>607</v>
      </c>
      <c r="I2178" s="4" t="s">
        <v>607</v>
      </c>
      <c r="J2178" s="4" t="s">
        <v>607</v>
      </c>
      <c r="K2178" s="4" t="s">
        <v>607</v>
      </c>
      <c r="L2178" s="4" t="s">
        <v>607</v>
      </c>
      <c r="M2178" s="4" t="s">
        <v>607</v>
      </c>
      <c r="N2178" s="4" t="s">
        <v>607</v>
      </c>
      <c r="O2178" s="4"/>
      <c r="P2178" s="4"/>
      <c r="T2178" s="4"/>
    </row>
    <row r="2179">
      <c r="A2179" s="4" t="s">
        <v>5473</v>
      </c>
      <c r="B2179" s="4" t="s">
        <v>607</v>
      </c>
      <c r="C2179" s="6" t="s">
        <v>607</v>
      </c>
      <c r="D2179" s="6" t="s">
        <v>607</v>
      </c>
      <c r="E2179" s="6" t="s">
        <v>607</v>
      </c>
      <c r="F2179" s="6" t="s">
        <v>607</v>
      </c>
      <c r="G2179" s="4" t="s">
        <v>607</v>
      </c>
      <c r="H2179" s="4" t="s">
        <v>607</v>
      </c>
      <c r="I2179" s="4" t="s">
        <v>607</v>
      </c>
      <c r="J2179" s="4" t="s">
        <v>607</v>
      </c>
      <c r="K2179" s="4" t="s">
        <v>607</v>
      </c>
      <c r="L2179" s="4" t="s">
        <v>607</v>
      </c>
      <c r="M2179" s="4" t="s">
        <v>607</v>
      </c>
      <c r="N2179" s="4" t="s">
        <v>607</v>
      </c>
      <c r="O2179" s="4"/>
      <c r="P2179" s="4"/>
      <c r="T2179" s="4"/>
    </row>
    <row r="2180">
      <c r="A2180" s="4" t="s">
        <v>5474</v>
      </c>
      <c r="B2180" s="4" t="s">
        <v>607</v>
      </c>
      <c r="C2180" s="6" t="s">
        <v>607</v>
      </c>
      <c r="D2180" s="6" t="s">
        <v>607</v>
      </c>
      <c r="E2180" s="6" t="s">
        <v>607</v>
      </c>
      <c r="F2180" s="6" t="s">
        <v>607</v>
      </c>
      <c r="G2180" s="4" t="s">
        <v>607</v>
      </c>
      <c r="H2180" s="4" t="s">
        <v>607</v>
      </c>
      <c r="I2180" s="4" t="s">
        <v>607</v>
      </c>
      <c r="J2180" s="4" t="s">
        <v>607</v>
      </c>
      <c r="K2180" s="4" t="s">
        <v>607</v>
      </c>
      <c r="L2180" s="4" t="s">
        <v>607</v>
      </c>
      <c r="M2180" s="4" t="s">
        <v>607</v>
      </c>
      <c r="N2180" s="4" t="s">
        <v>607</v>
      </c>
      <c r="O2180" s="4"/>
      <c r="P2180" s="4"/>
      <c r="T2180" s="4"/>
    </row>
    <row r="2181">
      <c r="A2181" s="4" t="s">
        <v>5475</v>
      </c>
      <c r="B2181" s="4" t="s">
        <v>607</v>
      </c>
      <c r="C2181" s="6" t="s">
        <v>607</v>
      </c>
      <c r="D2181" s="6" t="s">
        <v>607</v>
      </c>
      <c r="E2181" s="6" t="s">
        <v>607</v>
      </c>
      <c r="F2181" s="6" t="s">
        <v>607</v>
      </c>
      <c r="G2181" s="4" t="s">
        <v>607</v>
      </c>
      <c r="H2181" s="4" t="s">
        <v>607</v>
      </c>
      <c r="I2181" s="4" t="s">
        <v>607</v>
      </c>
      <c r="J2181" s="4" t="s">
        <v>607</v>
      </c>
      <c r="K2181" s="4" t="s">
        <v>607</v>
      </c>
      <c r="L2181" s="4" t="s">
        <v>607</v>
      </c>
      <c r="M2181" s="4" t="s">
        <v>607</v>
      </c>
      <c r="N2181" s="4" t="s">
        <v>607</v>
      </c>
      <c r="O2181" s="4"/>
      <c r="P2181" s="4"/>
      <c r="T2181" s="4"/>
    </row>
    <row r="2182">
      <c r="A2182" s="4" t="s">
        <v>5476</v>
      </c>
      <c r="B2182" s="4" t="s">
        <v>607</v>
      </c>
      <c r="C2182" s="6" t="s">
        <v>607</v>
      </c>
      <c r="D2182" s="6" t="s">
        <v>607</v>
      </c>
      <c r="E2182" s="6" t="s">
        <v>607</v>
      </c>
      <c r="F2182" s="6" t="s">
        <v>607</v>
      </c>
      <c r="G2182" s="4" t="s">
        <v>607</v>
      </c>
      <c r="H2182" s="4" t="s">
        <v>607</v>
      </c>
      <c r="I2182" s="4" t="s">
        <v>607</v>
      </c>
      <c r="J2182" s="4" t="s">
        <v>607</v>
      </c>
      <c r="K2182" s="4" t="s">
        <v>607</v>
      </c>
      <c r="L2182" s="4" t="s">
        <v>607</v>
      </c>
      <c r="M2182" s="4" t="s">
        <v>607</v>
      </c>
      <c r="N2182" s="4" t="s">
        <v>607</v>
      </c>
      <c r="O2182" s="4"/>
      <c r="P2182" s="4"/>
      <c r="T2182" s="4"/>
    </row>
    <row r="2183">
      <c r="A2183" s="4" t="s">
        <v>5477</v>
      </c>
      <c r="B2183" s="4" t="s">
        <v>607</v>
      </c>
      <c r="C2183" s="6" t="s">
        <v>607</v>
      </c>
      <c r="D2183" s="6" t="s">
        <v>607</v>
      </c>
      <c r="E2183" s="6" t="s">
        <v>607</v>
      </c>
      <c r="F2183" s="6" t="s">
        <v>607</v>
      </c>
      <c r="G2183" s="4" t="s">
        <v>607</v>
      </c>
      <c r="H2183" s="4" t="s">
        <v>607</v>
      </c>
      <c r="I2183" s="4" t="s">
        <v>607</v>
      </c>
      <c r="J2183" s="4" t="s">
        <v>607</v>
      </c>
      <c r="K2183" s="4" t="s">
        <v>607</v>
      </c>
      <c r="L2183" s="4" t="s">
        <v>607</v>
      </c>
      <c r="M2183" s="4" t="s">
        <v>607</v>
      </c>
      <c r="N2183" s="4" t="s">
        <v>607</v>
      </c>
      <c r="O2183" s="4"/>
      <c r="P2183" s="4"/>
      <c r="T2183" s="4"/>
    </row>
    <row r="2184">
      <c r="A2184" s="4" t="s">
        <v>5478</v>
      </c>
      <c r="B2184" s="4" t="s">
        <v>607</v>
      </c>
      <c r="C2184" s="6" t="s">
        <v>607</v>
      </c>
      <c r="D2184" s="6" t="s">
        <v>607</v>
      </c>
      <c r="E2184" s="6" t="s">
        <v>607</v>
      </c>
      <c r="F2184" s="6" t="s">
        <v>607</v>
      </c>
      <c r="G2184" s="4" t="s">
        <v>607</v>
      </c>
      <c r="H2184" s="4" t="s">
        <v>607</v>
      </c>
      <c r="I2184" s="4" t="s">
        <v>607</v>
      </c>
      <c r="J2184" s="4" t="s">
        <v>607</v>
      </c>
      <c r="K2184" s="4" t="s">
        <v>607</v>
      </c>
      <c r="L2184" s="4" t="s">
        <v>607</v>
      </c>
      <c r="M2184" s="4" t="s">
        <v>607</v>
      </c>
      <c r="N2184" s="4" t="s">
        <v>607</v>
      </c>
      <c r="O2184" s="4"/>
      <c r="P2184" s="4"/>
      <c r="T2184" s="4"/>
    </row>
    <row r="2185">
      <c r="A2185" s="4" t="s">
        <v>5479</v>
      </c>
      <c r="B2185" s="4" t="s">
        <v>607</v>
      </c>
      <c r="C2185" s="6" t="s">
        <v>607</v>
      </c>
      <c r="D2185" s="6" t="s">
        <v>607</v>
      </c>
      <c r="E2185" s="6" t="s">
        <v>607</v>
      </c>
      <c r="F2185" s="6" t="s">
        <v>607</v>
      </c>
      <c r="G2185" s="4" t="s">
        <v>607</v>
      </c>
      <c r="H2185" s="4" t="s">
        <v>607</v>
      </c>
      <c r="I2185" s="4" t="s">
        <v>607</v>
      </c>
      <c r="J2185" s="4" t="s">
        <v>607</v>
      </c>
      <c r="K2185" s="4" t="s">
        <v>607</v>
      </c>
      <c r="L2185" s="4" t="s">
        <v>607</v>
      </c>
      <c r="M2185" s="4" t="s">
        <v>607</v>
      </c>
      <c r="N2185" s="4" t="s">
        <v>607</v>
      </c>
      <c r="O2185" s="4"/>
      <c r="P2185" s="4"/>
      <c r="T2185" s="4"/>
    </row>
    <row r="2186">
      <c r="A2186" s="4" t="s">
        <v>5480</v>
      </c>
      <c r="B2186" s="4" t="s">
        <v>607</v>
      </c>
      <c r="C2186" s="6" t="s">
        <v>607</v>
      </c>
      <c r="D2186" s="6" t="s">
        <v>607</v>
      </c>
      <c r="E2186" s="6" t="s">
        <v>607</v>
      </c>
      <c r="F2186" s="6" t="s">
        <v>607</v>
      </c>
      <c r="G2186" s="4" t="s">
        <v>607</v>
      </c>
      <c r="H2186" s="4" t="s">
        <v>607</v>
      </c>
      <c r="I2186" s="4" t="s">
        <v>607</v>
      </c>
      <c r="J2186" s="4" t="s">
        <v>607</v>
      </c>
      <c r="K2186" s="4" t="s">
        <v>607</v>
      </c>
      <c r="L2186" s="4" t="s">
        <v>607</v>
      </c>
      <c r="M2186" s="4" t="s">
        <v>607</v>
      </c>
      <c r="N2186" s="4" t="s">
        <v>607</v>
      </c>
      <c r="O2186" s="4"/>
      <c r="P2186" s="4"/>
      <c r="T2186" s="4"/>
    </row>
    <row r="2187">
      <c r="A2187" s="4" t="s">
        <v>5481</v>
      </c>
      <c r="B2187" s="4" t="s">
        <v>607</v>
      </c>
      <c r="C2187" s="6" t="s">
        <v>607</v>
      </c>
      <c r="D2187" s="6" t="s">
        <v>607</v>
      </c>
      <c r="E2187" s="6" t="s">
        <v>607</v>
      </c>
      <c r="F2187" s="6" t="s">
        <v>607</v>
      </c>
      <c r="G2187" s="4" t="s">
        <v>607</v>
      </c>
      <c r="H2187" s="4" t="s">
        <v>607</v>
      </c>
      <c r="I2187" s="4" t="s">
        <v>607</v>
      </c>
      <c r="J2187" s="4" t="s">
        <v>607</v>
      </c>
      <c r="K2187" s="4" t="s">
        <v>607</v>
      </c>
      <c r="L2187" s="4" t="s">
        <v>607</v>
      </c>
      <c r="M2187" s="4" t="s">
        <v>607</v>
      </c>
      <c r="N2187" s="4" t="s">
        <v>607</v>
      </c>
      <c r="O2187" s="4"/>
      <c r="P2187" s="4"/>
      <c r="T2187" s="4"/>
    </row>
    <row r="2188">
      <c r="A2188" s="4" t="s">
        <v>5482</v>
      </c>
      <c r="B2188" s="4" t="s">
        <v>607</v>
      </c>
      <c r="C2188" s="6" t="s">
        <v>607</v>
      </c>
      <c r="D2188" s="6" t="s">
        <v>607</v>
      </c>
      <c r="E2188" s="6" t="s">
        <v>607</v>
      </c>
      <c r="F2188" s="6" t="s">
        <v>607</v>
      </c>
      <c r="G2188" s="4" t="s">
        <v>607</v>
      </c>
      <c r="H2188" s="4" t="s">
        <v>607</v>
      </c>
      <c r="I2188" s="4" t="s">
        <v>607</v>
      </c>
      <c r="J2188" s="4" t="s">
        <v>607</v>
      </c>
      <c r="K2188" s="4" t="s">
        <v>607</v>
      </c>
      <c r="L2188" s="4" t="s">
        <v>607</v>
      </c>
      <c r="M2188" s="4" t="s">
        <v>607</v>
      </c>
      <c r="N2188" s="4" t="s">
        <v>607</v>
      </c>
      <c r="O2188" s="4"/>
      <c r="P2188" s="4"/>
      <c r="T2188" s="4"/>
    </row>
    <row r="2189">
      <c r="A2189" s="4" t="s">
        <v>5483</v>
      </c>
      <c r="B2189" s="4" t="s">
        <v>607</v>
      </c>
      <c r="C2189" s="6" t="s">
        <v>607</v>
      </c>
      <c r="D2189" s="6" t="s">
        <v>607</v>
      </c>
      <c r="E2189" s="6" t="s">
        <v>607</v>
      </c>
      <c r="F2189" s="6" t="s">
        <v>607</v>
      </c>
      <c r="G2189" s="4" t="s">
        <v>607</v>
      </c>
      <c r="H2189" s="4" t="s">
        <v>607</v>
      </c>
      <c r="I2189" s="4" t="s">
        <v>607</v>
      </c>
      <c r="J2189" s="4" t="s">
        <v>607</v>
      </c>
      <c r="K2189" s="4" t="s">
        <v>607</v>
      </c>
      <c r="L2189" s="4" t="s">
        <v>607</v>
      </c>
      <c r="M2189" s="4" t="s">
        <v>607</v>
      </c>
      <c r="N2189" s="4" t="s">
        <v>607</v>
      </c>
      <c r="O2189" s="4"/>
      <c r="P2189" s="4"/>
      <c r="T2189" s="4"/>
    </row>
    <row r="2190">
      <c r="A2190" s="4" t="s">
        <v>5484</v>
      </c>
      <c r="B2190" s="4" t="s">
        <v>607</v>
      </c>
      <c r="C2190" s="6" t="s">
        <v>607</v>
      </c>
      <c r="D2190" s="6" t="s">
        <v>607</v>
      </c>
      <c r="E2190" s="6" t="s">
        <v>607</v>
      </c>
      <c r="F2190" s="6" t="s">
        <v>607</v>
      </c>
      <c r="G2190" s="4" t="s">
        <v>607</v>
      </c>
      <c r="H2190" s="4" t="s">
        <v>607</v>
      </c>
      <c r="I2190" s="4" t="s">
        <v>607</v>
      </c>
      <c r="J2190" s="4" t="s">
        <v>607</v>
      </c>
      <c r="K2190" s="4" t="s">
        <v>607</v>
      </c>
      <c r="L2190" s="4" t="s">
        <v>607</v>
      </c>
      <c r="M2190" s="4" t="s">
        <v>607</v>
      </c>
      <c r="N2190" s="4" t="s">
        <v>607</v>
      </c>
      <c r="O2190" s="4"/>
      <c r="P2190" s="4"/>
      <c r="T2190" s="4"/>
    </row>
    <row r="2191">
      <c r="A2191" s="4" t="s">
        <v>5485</v>
      </c>
      <c r="B2191" s="4" t="s">
        <v>607</v>
      </c>
      <c r="C2191" s="6" t="s">
        <v>607</v>
      </c>
      <c r="D2191" s="6" t="s">
        <v>607</v>
      </c>
      <c r="E2191" s="6" t="s">
        <v>607</v>
      </c>
      <c r="F2191" s="6" t="s">
        <v>607</v>
      </c>
      <c r="G2191" s="4" t="s">
        <v>607</v>
      </c>
      <c r="H2191" s="4" t="s">
        <v>607</v>
      </c>
      <c r="I2191" s="4" t="s">
        <v>607</v>
      </c>
      <c r="J2191" s="4" t="s">
        <v>607</v>
      </c>
      <c r="K2191" s="4" t="s">
        <v>607</v>
      </c>
      <c r="L2191" s="4" t="s">
        <v>607</v>
      </c>
      <c r="M2191" s="4" t="s">
        <v>607</v>
      </c>
      <c r="N2191" s="4" t="s">
        <v>607</v>
      </c>
      <c r="O2191" s="4"/>
      <c r="P2191" s="4"/>
      <c r="T2191" s="4"/>
    </row>
    <row r="2192">
      <c r="A2192" s="4" t="s">
        <v>5486</v>
      </c>
      <c r="B2192" s="4" t="s">
        <v>607</v>
      </c>
      <c r="C2192" s="6" t="s">
        <v>607</v>
      </c>
      <c r="D2192" s="6" t="s">
        <v>607</v>
      </c>
      <c r="E2192" s="6" t="s">
        <v>607</v>
      </c>
      <c r="F2192" s="6" t="s">
        <v>607</v>
      </c>
      <c r="G2192" s="4" t="s">
        <v>607</v>
      </c>
      <c r="H2192" s="4" t="s">
        <v>607</v>
      </c>
      <c r="I2192" s="4" t="s">
        <v>607</v>
      </c>
      <c r="J2192" s="4" t="s">
        <v>607</v>
      </c>
      <c r="K2192" s="4" t="s">
        <v>607</v>
      </c>
      <c r="L2192" s="4" t="s">
        <v>607</v>
      </c>
      <c r="M2192" s="4" t="s">
        <v>607</v>
      </c>
      <c r="N2192" s="4" t="s">
        <v>607</v>
      </c>
      <c r="O2192" s="4"/>
      <c r="P2192" s="4"/>
      <c r="T2192" s="4"/>
    </row>
    <row r="2193">
      <c r="A2193" s="4" t="s">
        <v>5487</v>
      </c>
      <c r="B2193" s="4" t="s">
        <v>607</v>
      </c>
      <c r="C2193" s="6" t="s">
        <v>607</v>
      </c>
      <c r="D2193" s="6" t="s">
        <v>607</v>
      </c>
      <c r="E2193" s="6" t="s">
        <v>607</v>
      </c>
      <c r="F2193" s="6" t="s">
        <v>607</v>
      </c>
      <c r="G2193" s="4" t="s">
        <v>607</v>
      </c>
      <c r="H2193" s="4" t="s">
        <v>607</v>
      </c>
      <c r="I2193" s="4" t="s">
        <v>607</v>
      </c>
      <c r="J2193" s="4" t="s">
        <v>607</v>
      </c>
      <c r="K2193" s="4" t="s">
        <v>607</v>
      </c>
      <c r="L2193" s="4" t="s">
        <v>607</v>
      </c>
      <c r="M2193" s="4" t="s">
        <v>607</v>
      </c>
      <c r="N2193" s="4" t="s">
        <v>607</v>
      </c>
      <c r="O2193" s="4"/>
      <c r="P2193" s="4"/>
      <c r="T2193" s="4"/>
    </row>
    <row r="2194">
      <c r="A2194" s="4" t="s">
        <v>5488</v>
      </c>
      <c r="B2194" s="4" t="s">
        <v>607</v>
      </c>
      <c r="C2194" s="6" t="s">
        <v>607</v>
      </c>
      <c r="D2194" s="6" t="s">
        <v>607</v>
      </c>
      <c r="E2194" s="6" t="s">
        <v>607</v>
      </c>
      <c r="F2194" s="6" t="s">
        <v>607</v>
      </c>
      <c r="G2194" s="4" t="s">
        <v>607</v>
      </c>
      <c r="H2194" s="4" t="s">
        <v>607</v>
      </c>
      <c r="I2194" s="4" t="s">
        <v>607</v>
      </c>
      <c r="J2194" s="4" t="s">
        <v>607</v>
      </c>
      <c r="K2194" s="4" t="s">
        <v>607</v>
      </c>
      <c r="L2194" s="4" t="s">
        <v>607</v>
      </c>
      <c r="M2194" s="4" t="s">
        <v>607</v>
      </c>
      <c r="N2194" s="4" t="s">
        <v>607</v>
      </c>
      <c r="O2194" s="4"/>
      <c r="P2194" s="4"/>
      <c r="T2194" s="4"/>
    </row>
    <row r="2195">
      <c r="A2195" s="4" t="s">
        <v>5489</v>
      </c>
      <c r="B2195" s="4" t="s">
        <v>607</v>
      </c>
      <c r="C2195" s="6" t="s">
        <v>607</v>
      </c>
      <c r="D2195" s="6" t="s">
        <v>607</v>
      </c>
      <c r="E2195" s="6" t="s">
        <v>607</v>
      </c>
      <c r="F2195" s="6" t="s">
        <v>607</v>
      </c>
      <c r="G2195" s="4" t="s">
        <v>607</v>
      </c>
      <c r="H2195" s="4" t="s">
        <v>607</v>
      </c>
      <c r="I2195" s="4" t="s">
        <v>607</v>
      </c>
      <c r="J2195" s="4" t="s">
        <v>607</v>
      </c>
      <c r="K2195" s="4" t="s">
        <v>607</v>
      </c>
      <c r="L2195" s="4" t="s">
        <v>607</v>
      </c>
      <c r="M2195" s="4" t="s">
        <v>607</v>
      </c>
      <c r="N2195" s="4" t="s">
        <v>607</v>
      </c>
      <c r="O2195" s="4"/>
      <c r="P2195" s="4"/>
      <c r="T2195" s="4"/>
    </row>
    <row r="2196">
      <c r="A2196" s="4" t="s">
        <v>5490</v>
      </c>
      <c r="B2196" s="4" t="s">
        <v>607</v>
      </c>
      <c r="C2196" s="6" t="s">
        <v>607</v>
      </c>
      <c r="D2196" s="6" t="s">
        <v>607</v>
      </c>
      <c r="E2196" s="6" t="s">
        <v>607</v>
      </c>
      <c r="F2196" s="6" t="s">
        <v>607</v>
      </c>
      <c r="G2196" s="4" t="s">
        <v>607</v>
      </c>
      <c r="H2196" s="4" t="s">
        <v>607</v>
      </c>
      <c r="I2196" s="4" t="s">
        <v>607</v>
      </c>
      <c r="J2196" s="4" t="s">
        <v>607</v>
      </c>
      <c r="K2196" s="4" t="s">
        <v>607</v>
      </c>
      <c r="L2196" s="4" t="s">
        <v>607</v>
      </c>
      <c r="M2196" s="4" t="s">
        <v>607</v>
      </c>
      <c r="N2196" s="4" t="s">
        <v>607</v>
      </c>
      <c r="O2196" s="4"/>
      <c r="P2196" s="4"/>
      <c r="T2196" s="4"/>
    </row>
    <row r="2197">
      <c r="A2197" s="4" t="s">
        <v>5491</v>
      </c>
      <c r="B2197" s="4" t="s">
        <v>607</v>
      </c>
      <c r="C2197" s="6" t="s">
        <v>607</v>
      </c>
      <c r="D2197" s="6" t="s">
        <v>607</v>
      </c>
      <c r="E2197" s="6" t="s">
        <v>607</v>
      </c>
      <c r="F2197" s="6" t="s">
        <v>607</v>
      </c>
      <c r="G2197" s="4" t="s">
        <v>607</v>
      </c>
      <c r="H2197" s="4" t="s">
        <v>607</v>
      </c>
      <c r="I2197" s="4" t="s">
        <v>607</v>
      </c>
      <c r="J2197" s="4" t="s">
        <v>607</v>
      </c>
      <c r="K2197" s="4" t="s">
        <v>607</v>
      </c>
      <c r="L2197" s="4" t="s">
        <v>607</v>
      </c>
      <c r="M2197" s="4" t="s">
        <v>607</v>
      </c>
      <c r="N2197" s="4" t="s">
        <v>607</v>
      </c>
      <c r="O2197" s="4"/>
      <c r="P2197" s="4"/>
      <c r="T2197" s="4"/>
    </row>
    <row r="2198">
      <c r="A2198" s="4" t="s">
        <v>5492</v>
      </c>
      <c r="B2198" s="4" t="s">
        <v>607</v>
      </c>
      <c r="C2198" s="6" t="s">
        <v>607</v>
      </c>
      <c r="D2198" s="6" t="s">
        <v>607</v>
      </c>
      <c r="E2198" s="6" t="s">
        <v>607</v>
      </c>
      <c r="F2198" s="6" t="s">
        <v>607</v>
      </c>
      <c r="G2198" s="4" t="s">
        <v>607</v>
      </c>
      <c r="H2198" s="4" t="s">
        <v>607</v>
      </c>
      <c r="I2198" s="4" t="s">
        <v>607</v>
      </c>
      <c r="J2198" s="4" t="s">
        <v>607</v>
      </c>
      <c r="K2198" s="4" t="s">
        <v>607</v>
      </c>
      <c r="L2198" s="4" t="s">
        <v>607</v>
      </c>
      <c r="M2198" s="4" t="s">
        <v>607</v>
      </c>
      <c r="N2198" s="4" t="s">
        <v>607</v>
      </c>
      <c r="O2198" s="4"/>
      <c r="P2198" s="4"/>
      <c r="T2198" s="4"/>
    </row>
    <row r="2199">
      <c r="A2199" s="4" t="s">
        <v>5493</v>
      </c>
      <c r="B2199" s="4" t="s">
        <v>607</v>
      </c>
      <c r="C2199" s="6" t="s">
        <v>607</v>
      </c>
      <c r="D2199" s="6" t="s">
        <v>607</v>
      </c>
      <c r="E2199" s="6" t="s">
        <v>607</v>
      </c>
      <c r="F2199" s="6" t="s">
        <v>607</v>
      </c>
      <c r="G2199" s="4" t="s">
        <v>607</v>
      </c>
      <c r="H2199" s="4" t="s">
        <v>607</v>
      </c>
      <c r="I2199" s="4" t="s">
        <v>607</v>
      </c>
      <c r="J2199" s="4" t="s">
        <v>607</v>
      </c>
      <c r="K2199" s="4" t="s">
        <v>607</v>
      </c>
      <c r="L2199" s="4" t="s">
        <v>607</v>
      </c>
      <c r="M2199" s="4" t="s">
        <v>607</v>
      </c>
      <c r="N2199" s="4" t="s">
        <v>607</v>
      </c>
      <c r="O2199" s="4"/>
      <c r="P2199" s="4"/>
      <c r="T2199" s="4"/>
    </row>
    <row r="2200">
      <c r="A2200" s="4" t="s">
        <v>5494</v>
      </c>
      <c r="B2200" s="4" t="s">
        <v>607</v>
      </c>
      <c r="C2200" s="6" t="s">
        <v>607</v>
      </c>
      <c r="D2200" s="6" t="s">
        <v>607</v>
      </c>
      <c r="E2200" s="6" t="s">
        <v>607</v>
      </c>
      <c r="F2200" s="6" t="s">
        <v>607</v>
      </c>
      <c r="G2200" s="4" t="s">
        <v>607</v>
      </c>
      <c r="H2200" s="4" t="s">
        <v>607</v>
      </c>
      <c r="I2200" s="4" t="s">
        <v>607</v>
      </c>
      <c r="J2200" s="4" t="s">
        <v>607</v>
      </c>
      <c r="K2200" s="4" t="s">
        <v>607</v>
      </c>
      <c r="L2200" s="4" t="s">
        <v>607</v>
      </c>
      <c r="M2200" s="4" t="s">
        <v>607</v>
      </c>
      <c r="N2200" s="4" t="s">
        <v>607</v>
      </c>
      <c r="O2200" s="4"/>
      <c r="P2200" s="4"/>
      <c r="T2200" s="4"/>
    </row>
    <row r="2201">
      <c r="A2201" s="4" t="s">
        <v>5495</v>
      </c>
      <c r="B2201" s="4" t="s">
        <v>607</v>
      </c>
      <c r="C2201" s="6" t="s">
        <v>607</v>
      </c>
      <c r="D2201" s="6" t="s">
        <v>607</v>
      </c>
      <c r="E2201" s="6" t="s">
        <v>607</v>
      </c>
      <c r="F2201" s="6" t="s">
        <v>607</v>
      </c>
      <c r="G2201" s="4" t="s">
        <v>607</v>
      </c>
      <c r="H2201" s="4" t="s">
        <v>607</v>
      </c>
      <c r="I2201" s="4" t="s">
        <v>607</v>
      </c>
      <c r="J2201" s="4" t="s">
        <v>607</v>
      </c>
      <c r="K2201" s="4" t="s">
        <v>607</v>
      </c>
      <c r="L2201" s="4" t="s">
        <v>607</v>
      </c>
      <c r="M2201" s="4" t="s">
        <v>607</v>
      </c>
      <c r="N2201" s="4" t="s">
        <v>607</v>
      </c>
      <c r="O2201" s="4"/>
      <c r="P2201" s="4"/>
      <c r="T2201" s="4"/>
    </row>
    <row r="2202">
      <c r="A2202" s="4" t="s">
        <v>5496</v>
      </c>
      <c r="B2202" s="4" t="s">
        <v>607</v>
      </c>
      <c r="C2202" s="6" t="s">
        <v>607</v>
      </c>
      <c r="D2202" s="6" t="s">
        <v>607</v>
      </c>
      <c r="E2202" s="6" t="s">
        <v>607</v>
      </c>
      <c r="F2202" s="6" t="s">
        <v>607</v>
      </c>
      <c r="G2202" s="4" t="s">
        <v>607</v>
      </c>
      <c r="H2202" s="4" t="s">
        <v>607</v>
      </c>
      <c r="I2202" s="4" t="s">
        <v>607</v>
      </c>
      <c r="J2202" s="4" t="s">
        <v>607</v>
      </c>
      <c r="K2202" s="4" t="s">
        <v>607</v>
      </c>
      <c r="L2202" s="4" t="s">
        <v>607</v>
      </c>
      <c r="M2202" s="4" t="s">
        <v>607</v>
      </c>
      <c r="N2202" s="4" t="s">
        <v>607</v>
      </c>
      <c r="O2202" s="4"/>
      <c r="P2202" s="4"/>
      <c r="T2202" s="4"/>
    </row>
    <row r="2203">
      <c r="A2203" s="4" t="s">
        <v>5497</v>
      </c>
      <c r="B2203" s="4" t="s">
        <v>607</v>
      </c>
      <c r="C2203" s="6" t="s">
        <v>607</v>
      </c>
      <c r="D2203" s="6" t="s">
        <v>607</v>
      </c>
      <c r="E2203" s="6" t="s">
        <v>607</v>
      </c>
      <c r="F2203" s="6" t="s">
        <v>607</v>
      </c>
      <c r="G2203" s="4" t="s">
        <v>607</v>
      </c>
      <c r="H2203" s="4" t="s">
        <v>607</v>
      </c>
      <c r="I2203" s="4" t="s">
        <v>607</v>
      </c>
      <c r="J2203" s="4" t="s">
        <v>607</v>
      </c>
      <c r="K2203" s="4" t="s">
        <v>607</v>
      </c>
      <c r="L2203" s="4" t="s">
        <v>607</v>
      </c>
      <c r="M2203" s="4" t="s">
        <v>607</v>
      </c>
      <c r="N2203" s="4" t="s">
        <v>607</v>
      </c>
      <c r="O2203" s="4"/>
      <c r="P2203" s="4"/>
      <c r="T2203" s="4"/>
    </row>
    <row r="2204">
      <c r="A2204" s="4" t="s">
        <v>5498</v>
      </c>
      <c r="B2204" s="4" t="s">
        <v>607</v>
      </c>
      <c r="C2204" s="6" t="s">
        <v>607</v>
      </c>
      <c r="D2204" s="6" t="s">
        <v>607</v>
      </c>
      <c r="E2204" s="6" t="s">
        <v>607</v>
      </c>
      <c r="F2204" s="6" t="s">
        <v>607</v>
      </c>
      <c r="G2204" s="4" t="s">
        <v>607</v>
      </c>
      <c r="H2204" s="4" t="s">
        <v>607</v>
      </c>
      <c r="I2204" s="4" t="s">
        <v>607</v>
      </c>
      <c r="J2204" s="4" t="s">
        <v>607</v>
      </c>
      <c r="K2204" s="4" t="s">
        <v>607</v>
      </c>
      <c r="L2204" s="4" t="s">
        <v>607</v>
      </c>
      <c r="M2204" s="4" t="s">
        <v>607</v>
      </c>
      <c r="N2204" s="4" t="s">
        <v>607</v>
      </c>
      <c r="O2204" s="4"/>
      <c r="P2204" s="4"/>
      <c r="T2204" s="4"/>
    </row>
    <row r="2205">
      <c r="A2205" s="4" t="s">
        <v>5499</v>
      </c>
      <c r="B2205" s="4" t="s">
        <v>607</v>
      </c>
      <c r="C2205" s="6" t="s">
        <v>607</v>
      </c>
      <c r="D2205" s="6" t="s">
        <v>607</v>
      </c>
      <c r="E2205" s="6" t="s">
        <v>607</v>
      </c>
      <c r="F2205" s="6" t="s">
        <v>607</v>
      </c>
      <c r="G2205" s="4" t="s">
        <v>607</v>
      </c>
      <c r="H2205" s="4" t="s">
        <v>607</v>
      </c>
      <c r="I2205" s="4" t="s">
        <v>607</v>
      </c>
      <c r="J2205" s="4" t="s">
        <v>607</v>
      </c>
      <c r="K2205" s="4" t="s">
        <v>607</v>
      </c>
      <c r="L2205" s="4" t="s">
        <v>607</v>
      </c>
      <c r="M2205" s="4" t="s">
        <v>607</v>
      </c>
      <c r="N2205" s="4" t="s">
        <v>607</v>
      </c>
      <c r="O2205" s="4"/>
      <c r="P2205" s="4"/>
      <c r="T2205" s="4"/>
    </row>
    <row r="2206">
      <c r="A2206" s="4" t="s">
        <v>5500</v>
      </c>
      <c r="B2206" s="4" t="s">
        <v>607</v>
      </c>
      <c r="C2206" s="6" t="s">
        <v>607</v>
      </c>
      <c r="D2206" s="6" t="s">
        <v>607</v>
      </c>
      <c r="E2206" s="6" t="s">
        <v>607</v>
      </c>
      <c r="F2206" s="6" t="s">
        <v>607</v>
      </c>
      <c r="G2206" s="4" t="s">
        <v>607</v>
      </c>
      <c r="H2206" s="4" t="s">
        <v>607</v>
      </c>
      <c r="I2206" s="4" t="s">
        <v>607</v>
      </c>
      <c r="J2206" s="4" t="s">
        <v>607</v>
      </c>
      <c r="K2206" s="4" t="s">
        <v>607</v>
      </c>
      <c r="L2206" s="4" t="s">
        <v>607</v>
      </c>
      <c r="M2206" s="4" t="s">
        <v>607</v>
      </c>
      <c r="N2206" s="4" t="s">
        <v>607</v>
      </c>
      <c r="O2206" s="4"/>
      <c r="P2206" s="4"/>
      <c r="T2206" s="4"/>
    </row>
    <row r="2207">
      <c r="A2207" s="4" t="s">
        <v>5501</v>
      </c>
      <c r="B2207" s="4" t="s">
        <v>607</v>
      </c>
      <c r="C2207" s="6" t="s">
        <v>607</v>
      </c>
      <c r="D2207" s="6" t="s">
        <v>607</v>
      </c>
      <c r="E2207" s="6" t="s">
        <v>607</v>
      </c>
      <c r="F2207" s="6" t="s">
        <v>607</v>
      </c>
      <c r="G2207" s="4" t="s">
        <v>607</v>
      </c>
      <c r="H2207" s="4" t="s">
        <v>607</v>
      </c>
      <c r="I2207" s="4" t="s">
        <v>607</v>
      </c>
      <c r="J2207" s="4" t="s">
        <v>607</v>
      </c>
      <c r="K2207" s="4" t="s">
        <v>607</v>
      </c>
      <c r="L2207" s="4" t="s">
        <v>607</v>
      </c>
      <c r="M2207" s="4" t="s">
        <v>607</v>
      </c>
      <c r="N2207" s="4" t="s">
        <v>607</v>
      </c>
      <c r="O2207" s="4"/>
      <c r="P2207" s="4"/>
      <c r="T2207" s="4"/>
    </row>
    <row r="2208">
      <c r="A2208" s="4" t="s">
        <v>5502</v>
      </c>
      <c r="B2208" s="4" t="s">
        <v>607</v>
      </c>
      <c r="C2208" s="6" t="s">
        <v>607</v>
      </c>
      <c r="D2208" s="6" t="s">
        <v>607</v>
      </c>
      <c r="E2208" s="6" t="s">
        <v>607</v>
      </c>
      <c r="F2208" s="6" t="s">
        <v>607</v>
      </c>
      <c r="G2208" s="4" t="s">
        <v>607</v>
      </c>
      <c r="H2208" s="4" t="s">
        <v>607</v>
      </c>
      <c r="I2208" s="4" t="s">
        <v>607</v>
      </c>
      <c r="J2208" s="4" t="s">
        <v>607</v>
      </c>
      <c r="K2208" s="4" t="s">
        <v>607</v>
      </c>
      <c r="L2208" s="4" t="s">
        <v>607</v>
      </c>
      <c r="M2208" s="4" t="s">
        <v>607</v>
      </c>
      <c r="N2208" s="4" t="s">
        <v>607</v>
      </c>
      <c r="O2208" s="4"/>
      <c r="P2208" s="4"/>
      <c r="T2208" s="4"/>
    </row>
    <row r="2209">
      <c r="A2209" s="4" t="s">
        <v>5503</v>
      </c>
      <c r="B2209" s="4" t="s">
        <v>607</v>
      </c>
      <c r="C2209" s="6" t="s">
        <v>607</v>
      </c>
      <c r="D2209" s="6" t="s">
        <v>607</v>
      </c>
      <c r="E2209" s="6" t="s">
        <v>607</v>
      </c>
      <c r="F2209" s="6" t="s">
        <v>607</v>
      </c>
      <c r="G2209" s="4" t="s">
        <v>607</v>
      </c>
      <c r="H2209" s="4" t="s">
        <v>607</v>
      </c>
      <c r="I2209" s="4" t="s">
        <v>607</v>
      </c>
      <c r="J2209" s="4" t="s">
        <v>607</v>
      </c>
      <c r="K2209" s="4" t="s">
        <v>607</v>
      </c>
      <c r="L2209" s="4" t="s">
        <v>607</v>
      </c>
      <c r="M2209" s="4" t="s">
        <v>607</v>
      </c>
      <c r="N2209" s="4" t="s">
        <v>607</v>
      </c>
      <c r="O2209" s="4"/>
      <c r="P2209" s="4"/>
      <c r="T2209" s="4"/>
    </row>
    <row r="2210">
      <c r="A2210" s="4" t="s">
        <v>5504</v>
      </c>
      <c r="B2210" s="4" t="s">
        <v>607</v>
      </c>
      <c r="C2210" s="6" t="s">
        <v>607</v>
      </c>
      <c r="D2210" s="6" t="s">
        <v>607</v>
      </c>
      <c r="E2210" s="6" t="s">
        <v>607</v>
      </c>
      <c r="F2210" s="6" t="s">
        <v>607</v>
      </c>
      <c r="G2210" s="4" t="s">
        <v>607</v>
      </c>
      <c r="H2210" s="4" t="s">
        <v>607</v>
      </c>
      <c r="I2210" s="4" t="s">
        <v>607</v>
      </c>
      <c r="J2210" s="4" t="s">
        <v>607</v>
      </c>
      <c r="K2210" s="4" t="s">
        <v>607</v>
      </c>
      <c r="L2210" s="4" t="s">
        <v>607</v>
      </c>
      <c r="M2210" s="4" t="s">
        <v>607</v>
      </c>
      <c r="N2210" s="4" t="s">
        <v>607</v>
      </c>
      <c r="O2210" s="4"/>
      <c r="P2210" s="4"/>
      <c r="T2210" s="4"/>
    </row>
    <row r="2211">
      <c r="A2211" s="4" t="s">
        <v>5505</v>
      </c>
      <c r="B2211" s="4" t="s">
        <v>607</v>
      </c>
      <c r="C2211" s="6" t="s">
        <v>607</v>
      </c>
      <c r="D2211" s="6" t="s">
        <v>607</v>
      </c>
      <c r="E2211" s="6" t="s">
        <v>607</v>
      </c>
      <c r="F2211" s="6" t="s">
        <v>607</v>
      </c>
      <c r="G2211" s="4" t="s">
        <v>607</v>
      </c>
      <c r="H2211" s="4" t="s">
        <v>607</v>
      </c>
      <c r="I2211" s="4" t="s">
        <v>607</v>
      </c>
      <c r="J2211" s="4" t="s">
        <v>607</v>
      </c>
      <c r="K2211" s="4" t="s">
        <v>607</v>
      </c>
      <c r="L2211" s="4" t="s">
        <v>607</v>
      </c>
      <c r="M2211" s="4" t="s">
        <v>607</v>
      </c>
      <c r="N2211" s="4" t="s">
        <v>607</v>
      </c>
      <c r="O2211" s="4"/>
      <c r="P2211" s="4"/>
      <c r="T2211" s="4"/>
    </row>
    <row r="2212">
      <c r="A2212" s="4" t="s">
        <v>5506</v>
      </c>
      <c r="B2212" s="4" t="s">
        <v>607</v>
      </c>
      <c r="C2212" s="6" t="s">
        <v>607</v>
      </c>
      <c r="D2212" s="6" t="s">
        <v>607</v>
      </c>
      <c r="E2212" s="6" t="s">
        <v>607</v>
      </c>
      <c r="F2212" s="6" t="s">
        <v>607</v>
      </c>
      <c r="G2212" s="4" t="s">
        <v>607</v>
      </c>
      <c r="H2212" s="4" t="s">
        <v>607</v>
      </c>
      <c r="I2212" s="4" t="s">
        <v>607</v>
      </c>
      <c r="J2212" s="4" t="s">
        <v>607</v>
      </c>
      <c r="K2212" s="4" t="s">
        <v>607</v>
      </c>
      <c r="L2212" s="4" t="s">
        <v>607</v>
      </c>
      <c r="M2212" s="4" t="s">
        <v>607</v>
      </c>
      <c r="N2212" s="4" t="s">
        <v>607</v>
      </c>
      <c r="O2212" s="4"/>
      <c r="P2212" s="4"/>
      <c r="T2212" s="4"/>
    </row>
    <row r="2213">
      <c r="A2213" s="4" t="s">
        <v>5507</v>
      </c>
      <c r="B2213" s="4" t="s">
        <v>607</v>
      </c>
      <c r="C2213" s="6" t="s">
        <v>607</v>
      </c>
      <c r="D2213" s="6" t="s">
        <v>607</v>
      </c>
      <c r="E2213" s="6" t="s">
        <v>607</v>
      </c>
      <c r="F2213" s="6" t="s">
        <v>607</v>
      </c>
      <c r="G2213" s="4" t="s">
        <v>607</v>
      </c>
      <c r="H2213" s="4" t="s">
        <v>607</v>
      </c>
      <c r="I2213" s="4" t="s">
        <v>607</v>
      </c>
      <c r="J2213" s="4" t="s">
        <v>607</v>
      </c>
      <c r="K2213" s="4" t="s">
        <v>607</v>
      </c>
      <c r="L2213" s="4" t="s">
        <v>607</v>
      </c>
      <c r="M2213" s="4" t="s">
        <v>607</v>
      </c>
      <c r="N2213" s="4" t="s">
        <v>607</v>
      </c>
      <c r="O2213" s="4"/>
      <c r="P2213" s="4"/>
      <c r="T2213" s="4"/>
    </row>
    <row r="2214">
      <c r="A2214" s="4" t="s">
        <v>5508</v>
      </c>
      <c r="B2214" s="4" t="s">
        <v>607</v>
      </c>
      <c r="C2214" s="6" t="s">
        <v>607</v>
      </c>
      <c r="D2214" s="6" t="s">
        <v>607</v>
      </c>
      <c r="E2214" s="6" t="s">
        <v>607</v>
      </c>
      <c r="F2214" s="6" t="s">
        <v>607</v>
      </c>
      <c r="G2214" s="4" t="s">
        <v>607</v>
      </c>
      <c r="H2214" s="4" t="s">
        <v>607</v>
      </c>
      <c r="I2214" s="4" t="s">
        <v>607</v>
      </c>
      <c r="J2214" s="4" t="s">
        <v>607</v>
      </c>
      <c r="K2214" s="4" t="s">
        <v>607</v>
      </c>
      <c r="L2214" s="4" t="s">
        <v>607</v>
      </c>
      <c r="M2214" s="4" t="s">
        <v>607</v>
      </c>
      <c r="N2214" s="4" t="s">
        <v>607</v>
      </c>
      <c r="O2214" s="4"/>
      <c r="P2214" s="4"/>
      <c r="T2214" s="4"/>
    </row>
    <row r="2215">
      <c r="A2215" s="4" t="s">
        <v>5509</v>
      </c>
      <c r="B2215" s="4" t="s">
        <v>607</v>
      </c>
      <c r="C2215" s="6" t="s">
        <v>607</v>
      </c>
      <c r="D2215" s="6" t="s">
        <v>607</v>
      </c>
      <c r="E2215" s="6" t="s">
        <v>607</v>
      </c>
      <c r="F2215" s="6" t="s">
        <v>607</v>
      </c>
      <c r="G2215" s="4" t="s">
        <v>607</v>
      </c>
      <c r="H2215" s="4" t="s">
        <v>607</v>
      </c>
      <c r="I2215" s="4" t="s">
        <v>607</v>
      </c>
      <c r="J2215" s="4" t="s">
        <v>607</v>
      </c>
      <c r="K2215" s="4" t="s">
        <v>607</v>
      </c>
      <c r="L2215" s="4" t="s">
        <v>607</v>
      </c>
      <c r="M2215" s="4" t="s">
        <v>607</v>
      </c>
      <c r="N2215" s="4" t="s">
        <v>607</v>
      </c>
      <c r="O2215" s="4"/>
      <c r="P2215" s="4"/>
      <c r="T2215" s="4"/>
    </row>
    <row r="2216">
      <c r="A2216" s="4" t="s">
        <v>5510</v>
      </c>
      <c r="B2216" s="4" t="s">
        <v>607</v>
      </c>
      <c r="C2216" s="6" t="s">
        <v>607</v>
      </c>
      <c r="D2216" s="6" t="s">
        <v>607</v>
      </c>
      <c r="E2216" s="6" t="s">
        <v>607</v>
      </c>
      <c r="F2216" s="6" t="s">
        <v>607</v>
      </c>
      <c r="G2216" s="4" t="s">
        <v>607</v>
      </c>
      <c r="H2216" s="4" t="s">
        <v>607</v>
      </c>
      <c r="I2216" s="4" t="s">
        <v>607</v>
      </c>
      <c r="J2216" s="4" t="s">
        <v>607</v>
      </c>
      <c r="K2216" s="4" t="s">
        <v>607</v>
      </c>
      <c r="L2216" s="4" t="s">
        <v>607</v>
      </c>
      <c r="M2216" s="4" t="s">
        <v>607</v>
      </c>
      <c r="N2216" s="4" t="s">
        <v>607</v>
      </c>
      <c r="O2216" s="4"/>
      <c r="P2216" s="4"/>
      <c r="T2216" s="4"/>
    </row>
    <row r="2217">
      <c r="A2217" s="4" t="s">
        <v>5511</v>
      </c>
      <c r="B2217" s="4" t="s">
        <v>607</v>
      </c>
      <c r="C2217" s="6" t="s">
        <v>607</v>
      </c>
      <c r="D2217" s="6" t="s">
        <v>607</v>
      </c>
      <c r="E2217" s="6" t="s">
        <v>607</v>
      </c>
      <c r="F2217" s="6" t="s">
        <v>607</v>
      </c>
      <c r="G2217" s="4" t="s">
        <v>607</v>
      </c>
      <c r="H2217" s="4" t="s">
        <v>607</v>
      </c>
      <c r="I2217" s="4" t="s">
        <v>607</v>
      </c>
      <c r="J2217" s="4" t="s">
        <v>607</v>
      </c>
      <c r="K2217" s="4" t="s">
        <v>607</v>
      </c>
      <c r="L2217" s="4" t="s">
        <v>607</v>
      </c>
      <c r="M2217" s="4" t="s">
        <v>607</v>
      </c>
      <c r="N2217" s="4" t="s">
        <v>607</v>
      </c>
      <c r="O2217" s="4"/>
      <c r="P2217" s="4"/>
      <c r="T2217" s="4"/>
    </row>
    <row r="2218">
      <c r="A2218" s="4" t="s">
        <v>5512</v>
      </c>
      <c r="B2218" s="4" t="s">
        <v>607</v>
      </c>
      <c r="C2218" s="6" t="s">
        <v>607</v>
      </c>
      <c r="D2218" s="6" t="s">
        <v>607</v>
      </c>
      <c r="E2218" s="6" t="s">
        <v>607</v>
      </c>
      <c r="F2218" s="6" t="s">
        <v>607</v>
      </c>
      <c r="G2218" s="4" t="s">
        <v>607</v>
      </c>
      <c r="H2218" s="4" t="s">
        <v>607</v>
      </c>
      <c r="I2218" s="4" t="s">
        <v>607</v>
      </c>
      <c r="J2218" s="4" t="s">
        <v>607</v>
      </c>
      <c r="K2218" s="4" t="s">
        <v>607</v>
      </c>
      <c r="L2218" s="4" t="s">
        <v>607</v>
      </c>
      <c r="M2218" s="4" t="s">
        <v>607</v>
      </c>
      <c r="N2218" s="4" t="s">
        <v>607</v>
      </c>
      <c r="O2218" s="4"/>
      <c r="P2218" s="4"/>
      <c r="T2218" s="4"/>
    </row>
    <row r="2219">
      <c r="A2219" s="4" t="s">
        <v>5513</v>
      </c>
      <c r="B2219" s="4" t="s">
        <v>607</v>
      </c>
      <c r="C2219" s="6" t="s">
        <v>607</v>
      </c>
      <c r="D2219" s="6" t="s">
        <v>607</v>
      </c>
      <c r="E2219" s="6" t="s">
        <v>607</v>
      </c>
      <c r="F2219" s="6" t="s">
        <v>607</v>
      </c>
      <c r="G2219" s="4" t="s">
        <v>607</v>
      </c>
      <c r="H2219" s="4" t="s">
        <v>607</v>
      </c>
      <c r="I2219" s="4" t="s">
        <v>607</v>
      </c>
      <c r="J2219" s="4" t="s">
        <v>607</v>
      </c>
      <c r="K2219" s="4" t="s">
        <v>607</v>
      </c>
      <c r="L2219" s="4" t="s">
        <v>607</v>
      </c>
      <c r="M2219" s="4" t="s">
        <v>607</v>
      </c>
      <c r="N2219" s="4" t="s">
        <v>607</v>
      </c>
      <c r="O2219" s="4"/>
      <c r="P2219" s="4"/>
      <c r="T2219" s="4"/>
    </row>
    <row r="2220">
      <c r="A2220" s="4" t="s">
        <v>5514</v>
      </c>
      <c r="B2220" s="4" t="s">
        <v>607</v>
      </c>
      <c r="C2220" s="6" t="s">
        <v>607</v>
      </c>
      <c r="D2220" s="6" t="s">
        <v>607</v>
      </c>
      <c r="E2220" s="6" t="s">
        <v>607</v>
      </c>
      <c r="F2220" s="6" t="s">
        <v>607</v>
      </c>
      <c r="G2220" s="4" t="s">
        <v>607</v>
      </c>
      <c r="H2220" s="4" t="s">
        <v>607</v>
      </c>
      <c r="I2220" s="4" t="s">
        <v>607</v>
      </c>
      <c r="J2220" s="4" t="s">
        <v>607</v>
      </c>
      <c r="K2220" s="4" t="s">
        <v>607</v>
      </c>
      <c r="L2220" s="4" t="s">
        <v>607</v>
      </c>
      <c r="M2220" s="4" t="s">
        <v>607</v>
      </c>
      <c r="N2220" s="4" t="s">
        <v>607</v>
      </c>
      <c r="O2220" s="4"/>
      <c r="P2220" s="4"/>
      <c r="T2220" s="4"/>
    </row>
    <row r="2221">
      <c r="A2221" s="4" t="s">
        <v>5515</v>
      </c>
      <c r="B2221" s="4" t="s">
        <v>607</v>
      </c>
      <c r="C2221" s="6" t="s">
        <v>607</v>
      </c>
      <c r="D2221" s="6" t="s">
        <v>607</v>
      </c>
      <c r="E2221" s="6" t="s">
        <v>607</v>
      </c>
      <c r="F2221" s="6" t="s">
        <v>607</v>
      </c>
      <c r="G2221" s="4" t="s">
        <v>607</v>
      </c>
      <c r="H2221" s="4" t="s">
        <v>607</v>
      </c>
      <c r="I2221" s="4" t="s">
        <v>607</v>
      </c>
      <c r="J2221" s="4" t="s">
        <v>607</v>
      </c>
      <c r="K2221" s="4" t="s">
        <v>607</v>
      </c>
      <c r="L2221" s="4" t="s">
        <v>607</v>
      </c>
      <c r="M2221" s="4" t="s">
        <v>607</v>
      </c>
      <c r="N2221" s="4" t="s">
        <v>607</v>
      </c>
      <c r="O2221" s="4"/>
      <c r="P2221" s="4"/>
      <c r="T2221" s="4"/>
    </row>
    <row r="2222">
      <c r="A2222" s="4" t="s">
        <v>5516</v>
      </c>
      <c r="B2222" s="4" t="s">
        <v>607</v>
      </c>
      <c r="C2222" s="6" t="s">
        <v>607</v>
      </c>
      <c r="D2222" s="6" t="s">
        <v>607</v>
      </c>
      <c r="E2222" s="6" t="s">
        <v>607</v>
      </c>
      <c r="F2222" s="6" t="s">
        <v>607</v>
      </c>
      <c r="G2222" s="4" t="s">
        <v>607</v>
      </c>
      <c r="H2222" s="4" t="s">
        <v>607</v>
      </c>
      <c r="I2222" s="4" t="s">
        <v>607</v>
      </c>
      <c r="J2222" s="4" t="s">
        <v>607</v>
      </c>
      <c r="K2222" s="4" t="s">
        <v>607</v>
      </c>
      <c r="L2222" s="4" t="s">
        <v>607</v>
      </c>
      <c r="M2222" s="4" t="s">
        <v>607</v>
      </c>
      <c r="N2222" s="4" t="s">
        <v>607</v>
      </c>
      <c r="O2222" s="4"/>
      <c r="P2222" s="4"/>
      <c r="T2222" s="4"/>
    </row>
    <row r="2223">
      <c r="A2223" s="4" t="s">
        <v>5517</v>
      </c>
      <c r="B2223" s="4" t="s">
        <v>607</v>
      </c>
      <c r="C2223" s="6" t="s">
        <v>607</v>
      </c>
      <c r="D2223" s="6" t="s">
        <v>607</v>
      </c>
      <c r="E2223" s="6" t="s">
        <v>607</v>
      </c>
      <c r="F2223" s="6" t="s">
        <v>607</v>
      </c>
      <c r="G2223" s="4" t="s">
        <v>607</v>
      </c>
      <c r="H2223" s="4" t="s">
        <v>607</v>
      </c>
      <c r="I2223" s="4" t="s">
        <v>607</v>
      </c>
      <c r="J2223" s="4" t="s">
        <v>607</v>
      </c>
      <c r="K2223" s="4" t="s">
        <v>607</v>
      </c>
      <c r="L2223" s="4" t="s">
        <v>607</v>
      </c>
      <c r="M2223" s="4" t="s">
        <v>607</v>
      </c>
      <c r="N2223" s="4" t="s">
        <v>607</v>
      </c>
      <c r="O2223" s="4"/>
      <c r="P2223" s="4"/>
      <c r="T2223" s="4"/>
    </row>
    <row r="2224">
      <c r="A2224" s="4" t="s">
        <v>5518</v>
      </c>
      <c r="B2224" s="4" t="s">
        <v>607</v>
      </c>
      <c r="C2224" s="6" t="s">
        <v>607</v>
      </c>
      <c r="D2224" s="6" t="s">
        <v>607</v>
      </c>
      <c r="E2224" s="6" t="s">
        <v>607</v>
      </c>
      <c r="F2224" s="6" t="s">
        <v>607</v>
      </c>
      <c r="G2224" s="4" t="s">
        <v>607</v>
      </c>
      <c r="H2224" s="4" t="s">
        <v>607</v>
      </c>
      <c r="I2224" s="4" t="s">
        <v>607</v>
      </c>
      <c r="J2224" s="4" t="s">
        <v>607</v>
      </c>
      <c r="K2224" s="4" t="s">
        <v>607</v>
      </c>
      <c r="L2224" s="4" t="s">
        <v>607</v>
      </c>
      <c r="M2224" s="4" t="s">
        <v>607</v>
      </c>
      <c r="N2224" s="4" t="s">
        <v>607</v>
      </c>
      <c r="O2224" s="4"/>
      <c r="P2224" s="4"/>
      <c r="T2224" s="4"/>
    </row>
    <row r="2225">
      <c r="A2225" s="4" t="s">
        <v>5519</v>
      </c>
      <c r="B2225" s="4" t="s">
        <v>607</v>
      </c>
      <c r="C2225" s="6" t="s">
        <v>607</v>
      </c>
      <c r="D2225" s="6" t="s">
        <v>607</v>
      </c>
      <c r="E2225" s="6" t="s">
        <v>607</v>
      </c>
      <c r="F2225" s="6" t="s">
        <v>607</v>
      </c>
      <c r="G2225" s="4" t="s">
        <v>607</v>
      </c>
      <c r="H2225" s="4" t="s">
        <v>607</v>
      </c>
      <c r="I2225" s="4" t="s">
        <v>607</v>
      </c>
      <c r="J2225" s="4" t="s">
        <v>607</v>
      </c>
      <c r="K2225" s="4" t="s">
        <v>607</v>
      </c>
      <c r="L2225" s="4" t="s">
        <v>607</v>
      </c>
      <c r="M2225" s="4" t="s">
        <v>607</v>
      </c>
      <c r="N2225" s="4" t="s">
        <v>607</v>
      </c>
      <c r="O2225" s="4"/>
      <c r="P2225" s="4"/>
      <c r="T2225" s="4"/>
    </row>
    <row r="2226">
      <c r="A2226" s="4" t="s">
        <v>5520</v>
      </c>
      <c r="B2226" s="4" t="s">
        <v>607</v>
      </c>
      <c r="C2226" s="6" t="s">
        <v>607</v>
      </c>
      <c r="D2226" s="6" t="s">
        <v>607</v>
      </c>
      <c r="E2226" s="6" t="s">
        <v>607</v>
      </c>
      <c r="F2226" s="6" t="s">
        <v>607</v>
      </c>
      <c r="G2226" s="4" t="s">
        <v>607</v>
      </c>
      <c r="H2226" s="4" t="s">
        <v>607</v>
      </c>
      <c r="I2226" s="4" t="s">
        <v>607</v>
      </c>
      <c r="J2226" s="4" t="s">
        <v>607</v>
      </c>
      <c r="K2226" s="4" t="s">
        <v>607</v>
      </c>
      <c r="L2226" s="4" t="s">
        <v>607</v>
      </c>
      <c r="M2226" s="4" t="s">
        <v>607</v>
      </c>
      <c r="N2226" s="4" t="s">
        <v>607</v>
      </c>
      <c r="O2226" s="4"/>
      <c r="P2226" s="4"/>
      <c r="T2226" s="4"/>
    </row>
    <row r="2227">
      <c r="A2227" s="4" t="s">
        <v>5521</v>
      </c>
      <c r="B2227" s="4" t="s">
        <v>607</v>
      </c>
      <c r="C2227" s="6" t="s">
        <v>607</v>
      </c>
      <c r="D2227" s="6" t="s">
        <v>607</v>
      </c>
      <c r="E2227" s="6" t="s">
        <v>607</v>
      </c>
      <c r="F2227" s="6" t="s">
        <v>607</v>
      </c>
      <c r="G2227" s="4" t="s">
        <v>607</v>
      </c>
      <c r="H2227" s="4" t="s">
        <v>607</v>
      </c>
      <c r="I2227" s="4" t="s">
        <v>607</v>
      </c>
      <c r="J2227" s="4" t="s">
        <v>607</v>
      </c>
      <c r="K2227" s="4" t="s">
        <v>607</v>
      </c>
      <c r="L2227" s="4" t="s">
        <v>607</v>
      </c>
      <c r="M2227" s="4" t="s">
        <v>607</v>
      </c>
      <c r="N2227" s="4" t="s">
        <v>607</v>
      </c>
      <c r="O2227" s="4"/>
      <c r="P2227" s="4"/>
      <c r="T2227" s="4"/>
    </row>
    <row r="2228">
      <c r="A2228" s="4" t="s">
        <v>5522</v>
      </c>
      <c r="B2228" s="4" t="s">
        <v>607</v>
      </c>
      <c r="C2228" s="6" t="s">
        <v>607</v>
      </c>
      <c r="D2228" s="6" t="s">
        <v>607</v>
      </c>
      <c r="E2228" s="6" t="s">
        <v>607</v>
      </c>
      <c r="F2228" s="6" t="s">
        <v>607</v>
      </c>
      <c r="G2228" s="4" t="s">
        <v>607</v>
      </c>
      <c r="H2228" s="4" t="s">
        <v>607</v>
      </c>
      <c r="I2228" s="4" t="s">
        <v>607</v>
      </c>
      <c r="J2228" s="4" t="s">
        <v>607</v>
      </c>
      <c r="K2228" s="4" t="s">
        <v>607</v>
      </c>
      <c r="L2228" s="4" t="s">
        <v>607</v>
      </c>
      <c r="M2228" s="4" t="s">
        <v>607</v>
      </c>
      <c r="N2228" s="4" t="s">
        <v>607</v>
      </c>
      <c r="O2228" s="4"/>
      <c r="P2228" s="4"/>
      <c r="T2228" s="4"/>
    </row>
    <row r="2229">
      <c r="A2229" s="4" t="s">
        <v>5523</v>
      </c>
      <c r="B2229" s="4" t="s">
        <v>607</v>
      </c>
      <c r="C2229" s="6" t="s">
        <v>607</v>
      </c>
      <c r="D2229" s="6" t="s">
        <v>607</v>
      </c>
      <c r="E2229" s="6" t="s">
        <v>607</v>
      </c>
      <c r="F2229" s="6" t="s">
        <v>607</v>
      </c>
      <c r="G2229" s="4" t="s">
        <v>607</v>
      </c>
      <c r="H2229" s="4" t="s">
        <v>607</v>
      </c>
      <c r="I2229" s="4" t="s">
        <v>607</v>
      </c>
      <c r="J2229" s="4" t="s">
        <v>607</v>
      </c>
      <c r="K2229" s="4" t="s">
        <v>607</v>
      </c>
      <c r="L2229" s="4" t="s">
        <v>607</v>
      </c>
      <c r="M2229" s="4" t="s">
        <v>607</v>
      </c>
      <c r="N2229" s="4" t="s">
        <v>607</v>
      </c>
      <c r="O2229" s="4"/>
      <c r="P2229" s="4"/>
      <c r="T2229" s="4"/>
    </row>
    <row r="2230">
      <c r="A2230" s="4" t="s">
        <v>5524</v>
      </c>
      <c r="B2230" s="4" t="s">
        <v>607</v>
      </c>
      <c r="C2230" s="6" t="s">
        <v>607</v>
      </c>
      <c r="D2230" s="6" t="s">
        <v>607</v>
      </c>
      <c r="E2230" s="6" t="s">
        <v>607</v>
      </c>
      <c r="F2230" s="6" t="s">
        <v>607</v>
      </c>
      <c r="G2230" s="4" t="s">
        <v>607</v>
      </c>
      <c r="H2230" s="4" t="s">
        <v>607</v>
      </c>
      <c r="I2230" s="4" t="s">
        <v>607</v>
      </c>
      <c r="J2230" s="4" t="s">
        <v>607</v>
      </c>
      <c r="K2230" s="4" t="s">
        <v>607</v>
      </c>
      <c r="L2230" s="4" t="s">
        <v>607</v>
      </c>
      <c r="M2230" s="4" t="s">
        <v>607</v>
      </c>
      <c r="N2230" s="4" t="s">
        <v>607</v>
      </c>
      <c r="O2230" s="4"/>
      <c r="P2230" s="4"/>
      <c r="T2230" s="4"/>
    </row>
    <row r="2231">
      <c r="A2231" s="4" t="s">
        <v>5525</v>
      </c>
      <c r="B2231" s="4" t="s">
        <v>607</v>
      </c>
      <c r="C2231" s="6" t="s">
        <v>607</v>
      </c>
      <c r="D2231" s="6" t="s">
        <v>607</v>
      </c>
      <c r="E2231" s="6" t="s">
        <v>607</v>
      </c>
      <c r="F2231" s="6" t="s">
        <v>607</v>
      </c>
      <c r="G2231" s="4" t="s">
        <v>607</v>
      </c>
      <c r="H2231" s="4" t="s">
        <v>607</v>
      </c>
      <c r="I2231" s="4" t="s">
        <v>607</v>
      </c>
      <c r="J2231" s="4" t="s">
        <v>607</v>
      </c>
      <c r="K2231" s="4" t="s">
        <v>607</v>
      </c>
      <c r="L2231" s="4" t="s">
        <v>607</v>
      </c>
      <c r="M2231" s="4" t="s">
        <v>607</v>
      </c>
      <c r="N2231" s="4" t="s">
        <v>607</v>
      </c>
      <c r="O2231" s="4"/>
      <c r="P2231" s="4"/>
      <c r="T2231" s="4"/>
    </row>
    <row r="2232">
      <c r="A2232" s="4" t="s">
        <v>5526</v>
      </c>
      <c r="B2232" s="4" t="s">
        <v>607</v>
      </c>
      <c r="C2232" s="6" t="s">
        <v>607</v>
      </c>
      <c r="D2232" s="6" t="s">
        <v>607</v>
      </c>
      <c r="E2232" s="6" t="s">
        <v>607</v>
      </c>
      <c r="F2232" s="6" t="s">
        <v>607</v>
      </c>
      <c r="G2232" s="4" t="s">
        <v>607</v>
      </c>
      <c r="H2232" s="4" t="s">
        <v>607</v>
      </c>
      <c r="I2232" s="4" t="s">
        <v>607</v>
      </c>
      <c r="J2232" s="4" t="s">
        <v>607</v>
      </c>
      <c r="K2232" s="4" t="s">
        <v>607</v>
      </c>
      <c r="L2232" s="4" t="s">
        <v>607</v>
      </c>
      <c r="M2232" s="4" t="s">
        <v>607</v>
      </c>
      <c r="N2232" s="4" t="s">
        <v>607</v>
      </c>
      <c r="O2232" s="4"/>
      <c r="P2232" s="4"/>
      <c r="T2232" s="4"/>
    </row>
    <row r="2233">
      <c r="A2233" s="4" t="s">
        <v>5527</v>
      </c>
      <c r="B2233" s="4" t="s">
        <v>607</v>
      </c>
      <c r="C2233" s="6" t="s">
        <v>607</v>
      </c>
      <c r="D2233" s="6" t="s">
        <v>607</v>
      </c>
      <c r="E2233" s="6" t="s">
        <v>607</v>
      </c>
      <c r="F2233" s="6" t="s">
        <v>607</v>
      </c>
      <c r="G2233" s="4" t="s">
        <v>607</v>
      </c>
      <c r="H2233" s="4" t="s">
        <v>607</v>
      </c>
      <c r="I2233" s="4" t="s">
        <v>607</v>
      </c>
      <c r="J2233" s="4" t="s">
        <v>607</v>
      </c>
      <c r="K2233" s="4" t="s">
        <v>607</v>
      </c>
      <c r="L2233" s="4" t="s">
        <v>607</v>
      </c>
      <c r="M2233" s="4" t="s">
        <v>607</v>
      </c>
      <c r="N2233" s="4" t="s">
        <v>607</v>
      </c>
      <c r="O2233" s="4"/>
      <c r="P2233" s="4"/>
      <c r="T2233" s="4"/>
    </row>
    <row r="2234">
      <c r="A2234" s="4" t="s">
        <v>5528</v>
      </c>
      <c r="B2234" s="4" t="s">
        <v>607</v>
      </c>
      <c r="C2234" s="6" t="s">
        <v>607</v>
      </c>
      <c r="D2234" s="6" t="s">
        <v>607</v>
      </c>
      <c r="E2234" s="6" t="s">
        <v>607</v>
      </c>
      <c r="F2234" s="6" t="s">
        <v>607</v>
      </c>
      <c r="G2234" s="4" t="s">
        <v>607</v>
      </c>
      <c r="H2234" s="4" t="s">
        <v>607</v>
      </c>
      <c r="I2234" s="4" t="s">
        <v>607</v>
      </c>
      <c r="J2234" s="4" t="s">
        <v>607</v>
      </c>
      <c r="K2234" s="4" t="s">
        <v>607</v>
      </c>
      <c r="L2234" s="4" t="s">
        <v>607</v>
      </c>
      <c r="M2234" s="4" t="s">
        <v>607</v>
      </c>
      <c r="N2234" s="4" t="s">
        <v>607</v>
      </c>
      <c r="O2234" s="4"/>
      <c r="P2234" s="4"/>
      <c r="T2234" s="4"/>
    </row>
    <row r="2235">
      <c r="A2235" s="4" t="s">
        <v>5529</v>
      </c>
      <c r="B2235" s="4" t="s">
        <v>607</v>
      </c>
      <c r="C2235" s="6" t="s">
        <v>607</v>
      </c>
      <c r="D2235" s="6" t="s">
        <v>607</v>
      </c>
      <c r="E2235" s="6" t="s">
        <v>607</v>
      </c>
      <c r="F2235" s="6" t="s">
        <v>607</v>
      </c>
      <c r="G2235" s="4" t="s">
        <v>607</v>
      </c>
      <c r="H2235" s="4" t="s">
        <v>607</v>
      </c>
      <c r="I2235" s="4" t="s">
        <v>607</v>
      </c>
      <c r="J2235" s="4" t="s">
        <v>607</v>
      </c>
      <c r="K2235" s="4" t="s">
        <v>607</v>
      </c>
      <c r="L2235" s="4" t="s">
        <v>607</v>
      </c>
      <c r="M2235" s="4" t="s">
        <v>607</v>
      </c>
      <c r="N2235" s="4" t="s">
        <v>607</v>
      </c>
      <c r="O2235" s="4"/>
      <c r="P2235" s="4"/>
      <c r="T2235" s="4"/>
    </row>
    <row r="2236">
      <c r="A2236" s="4" t="s">
        <v>5530</v>
      </c>
      <c r="B2236" s="4" t="s">
        <v>607</v>
      </c>
      <c r="C2236" s="6" t="s">
        <v>607</v>
      </c>
      <c r="D2236" s="6" t="s">
        <v>607</v>
      </c>
      <c r="E2236" s="6" t="s">
        <v>607</v>
      </c>
      <c r="F2236" s="6" t="s">
        <v>607</v>
      </c>
      <c r="G2236" s="4" t="s">
        <v>607</v>
      </c>
      <c r="H2236" s="4" t="s">
        <v>607</v>
      </c>
      <c r="I2236" s="4" t="s">
        <v>607</v>
      </c>
      <c r="J2236" s="4" t="s">
        <v>607</v>
      </c>
      <c r="K2236" s="4" t="s">
        <v>607</v>
      </c>
      <c r="L2236" s="4" t="s">
        <v>607</v>
      </c>
      <c r="M2236" s="4" t="s">
        <v>607</v>
      </c>
      <c r="N2236" s="4" t="s">
        <v>607</v>
      </c>
      <c r="O2236" s="4"/>
      <c r="P2236" s="4"/>
      <c r="T2236" s="4"/>
    </row>
    <row r="2237">
      <c r="A2237" s="4" t="s">
        <v>5531</v>
      </c>
      <c r="B2237" s="4" t="s">
        <v>607</v>
      </c>
      <c r="C2237" s="6" t="s">
        <v>607</v>
      </c>
      <c r="D2237" s="6" t="s">
        <v>607</v>
      </c>
      <c r="E2237" s="6" t="s">
        <v>607</v>
      </c>
      <c r="F2237" s="6" t="s">
        <v>607</v>
      </c>
      <c r="G2237" s="4" t="s">
        <v>607</v>
      </c>
      <c r="H2237" s="4" t="s">
        <v>607</v>
      </c>
      <c r="I2237" s="4" t="s">
        <v>607</v>
      </c>
      <c r="J2237" s="4" t="s">
        <v>607</v>
      </c>
      <c r="K2237" s="4" t="s">
        <v>607</v>
      </c>
      <c r="L2237" s="4" t="s">
        <v>607</v>
      </c>
      <c r="M2237" s="4" t="s">
        <v>607</v>
      </c>
      <c r="N2237" s="4" t="s">
        <v>607</v>
      </c>
      <c r="O2237" s="4"/>
      <c r="P2237" s="4"/>
      <c r="T2237" s="4"/>
    </row>
    <row r="2238">
      <c r="A2238" s="4" t="s">
        <v>5532</v>
      </c>
      <c r="B2238" s="4" t="s">
        <v>607</v>
      </c>
      <c r="C2238" s="6" t="s">
        <v>607</v>
      </c>
      <c r="D2238" s="6" t="s">
        <v>607</v>
      </c>
      <c r="E2238" s="6" t="s">
        <v>607</v>
      </c>
      <c r="F2238" s="6" t="s">
        <v>607</v>
      </c>
      <c r="G2238" s="4" t="s">
        <v>607</v>
      </c>
      <c r="H2238" s="4" t="s">
        <v>607</v>
      </c>
      <c r="I2238" s="4" t="s">
        <v>607</v>
      </c>
      <c r="J2238" s="4" t="s">
        <v>607</v>
      </c>
      <c r="K2238" s="4" t="s">
        <v>607</v>
      </c>
      <c r="L2238" s="4" t="s">
        <v>607</v>
      </c>
      <c r="M2238" s="4" t="s">
        <v>607</v>
      </c>
      <c r="N2238" s="4" t="s">
        <v>607</v>
      </c>
      <c r="O2238" s="4"/>
      <c r="P2238" s="4"/>
      <c r="T2238" s="4"/>
    </row>
    <row r="2239">
      <c r="A2239" s="4" t="s">
        <v>5533</v>
      </c>
      <c r="B2239" s="4" t="s">
        <v>607</v>
      </c>
      <c r="C2239" s="6" t="s">
        <v>607</v>
      </c>
      <c r="D2239" s="6" t="s">
        <v>607</v>
      </c>
      <c r="E2239" s="6" t="s">
        <v>607</v>
      </c>
      <c r="F2239" s="6" t="s">
        <v>607</v>
      </c>
      <c r="G2239" s="4" t="s">
        <v>607</v>
      </c>
      <c r="H2239" s="4" t="s">
        <v>607</v>
      </c>
      <c r="I2239" s="4" t="s">
        <v>607</v>
      </c>
      <c r="J2239" s="4" t="s">
        <v>607</v>
      </c>
      <c r="K2239" s="4" t="s">
        <v>607</v>
      </c>
      <c r="L2239" s="4" t="s">
        <v>607</v>
      </c>
      <c r="M2239" s="4" t="s">
        <v>607</v>
      </c>
      <c r="N2239" s="4" t="s">
        <v>607</v>
      </c>
      <c r="O2239" s="4"/>
      <c r="P2239" s="4"/>
      <c r="T2239" s="4"/>
    </row>
    <row r="2240">
      <c r="A2240" s="4" t="s">
        <v>5534</v>
      </c>
      <c r="B2240" s="4" t="s">
        <v>607</v>
      </c>
      <c r="C2240" s="6" t="s">
        <v>607</v>
      </c>
      <c r="D2240" s="6" t="s">
        <v>607</v>
      </c>
      <c r="E2240" s="6" t="s">
        <v>607</v>
      </c>
      <c r="F2240" s="6" t="s">
        <v>607</v>
      </c>
      <c r="G2240" s="4" t="s">
        <v>607</v>
      </c>
      <c r="H2240" s="4" t="s">
        <v>607</v>
      </c>
      <c r="I2240" s="4" t="s">
        <v>607</v>
      </c>
      <c r="J2240" s="4" t="s">
        <v>607</v>
      </c>
      <c r="K2240" s="4" t="s">
        <v>607</v>
      </c>
      <c r="L2240" s="4" t="s">
        <v>607</v>
      </c>
      <c r="M2240" s="4" t="s">
        <v>607</v>
      </c>
      <c r="N2240" s="4" t="s">
        <v>607</v>
      </c>
      <c r="O2240" s="4"/>
      <c r="P2240" s="4"/>
      <c r="T2240" s="4"/>
    </row>
    <row r="2241">
      <c r="A2241" s="4" t="s">
        <v>5535</v>
      </c>
      <c r="B2241" s="4" t="s">
        <v>607</v>
      </c>
      <c r="C2241" s="6" t="s">
        <v>607</v>
      </c>
      <c r="D2241" s="6" t="s">
        <v>607</v>
      </c>
      <c r="E2241" s="6" t="s">
        <v>607</v>
      </c>
      <c r="F2241" s="6" t="s">
        <v>607</v>
      </c>
      <c r="G2241" s="4" t="s">
        <v>607</v>
      </c>
      <c r="H2241" s="4" t="s">
        <v>607</v>
      </c>
      <c r="I2241" s="4" t="s">
        <v>607</v>
      </c>
      <c r="J2241" s="4" t="s">
        <v>607</v>
      </c>
      <c r="K2241" s="4" t="s">
        <v>607</v>
      </c>
      <c r="L2241" s="4" t="s">
        <v>607</v>
      </c>
      <c r="M2241" s="4" t="s">
        <v>607</v>
      </c>
      <c r="N2241" s="4" t="s">
        <v>607</v>
      </c>
      <c r="O2241" s="4"/>
      <c r="P2241" s="4"/>
      <c r="T2241" s="4"/>
    </row>
    <row r="2242">
      <c r="A2242" s="4" t="s">
        <v>5536</v>
      </c>
      <c r="B2242" s="4" t="s">
        <v>607</v>
      </c>
      <c r="C2242" s="6" t="s">
        <v>607</v>
      </c>
      <c r="D2242" s="6" t="s">
        <v>607</v>
      </c>
      <c r="E2242" s="6" t="s">
        <v>607</v>
      </c>
      <c r="F2242" s="6" t="s">
        <v>607</v>
      </c>
      <c r="G2242" s="4" t="s">
        <v>607</v>
      </c>
      <c r="H2242" s="4" t="s">
        <v>607</v>
      </c>
      <c r="I2242" s="4" t="s">
        <v>607</v>
      </c>
      <c r="J2242" s="4" t="s">
        <v>607</v>
      </c>
      <c r="K2242" s="4" t="s">
        <v>607</v>
      </c>
      <c r="L2242" s="4" t="s">
        <v>607</v>
      </c>
      <c r="M2242" s="4" t="s">
        <v>607</v>
      </c>
      <c r="N2242" s="4" t="s">
        <v>607</v>
      </c>
      <c r="O2242" s="4"/>
      <c r="P2242" s="4"/>
      <c r="T2242" s="4"/>
    </row>
    <row r="2243">
      <c r="A2243" s="4" t="s">
        <v>5537</v>
      </c>
      <c r="B2243" s="4" t="s">
        <v>607</v>
      </c>
      <c r="C2243" s="6" t="s">
        <v>607</v>
      </c>
      <c r="D2243" s="6" t="s">
        <v>607</v>
      </c>
      <c r="E2243" s="6" t="s">
        <v>607</v>
      </c>
      <c r="F2243" s="6" t="s">
        <v>607</v>
      </c>
      <c r="G2243" s="4" t="s">
        <v>607</v>
      </c>
      <c r="H2243" s="4" t="s">
        <v>607</v>
      </c>
      <c r="I2243" s="4" t="s">
        <v>607</v>
      </c>
      <c r="J2243" s="4" t="s">
        <v>607</v>
      </c>
      <c r="K2243" s="4" t="s">
        <v>607</v>
      </c>
      <c r="L2243" s="4" t="s">
        <v>607</v>
      </c>
      <c r="M2243" s="4" t="s">
        <v>607</v>
      </c>
      <c r="N2243" s="4" t="s">
        <v>607</v>
      </c>
      <c r="O2243" s="4"/>
      <c r="P2243" s="4"/>
      <c r="T2243" s="4"/>
    </row>
    <row r="2244">
      <c r="A2244" s="4" t="s">
        <v>5538</v>
      </c>
      <c r="B2244" s="4" t="s">
        <v>607</v>
      </c>
      <c r="C2244" s="6" t="s">
        <v>607</v>
      </c>
      <c r="D2244" s="6" t="s">
        <v>607</v>
      </c>
      <c r="E2244" s="6" t="s">
        <v>607</v>
      </c>
      <c r="F2244" s="6" t="s">
        <v>607</v>
      </c>
      <c r="G2244" s="4" t="s">
        <v>607</v>
      </c>
      <c r="H2244" s="4" t="s">
        <v>607</v>
      </c>
      <c r="I2244" s="4" t="s">
        <v>607</v>
      </c>
      <c r="J2244" s="4" t="s">
        <v>607</v>
      </c>
      <c r="K2244" s="4" t="s">
        <v>607</v>
      </c>
      <c r="L2244" s="4" t="s">
        <v>607</v>
      </c>
      <c r="M2244" s="4" t="s">
        <v>607</v>
      </c>
      <c r="N2244" s="4" t="s">
        <v>607</v>
      </c>
      <c r="O2244" s="4"/>
      <c r="P2244" s="4"/>
      <c r="T2244" s="4"/>
    </row>
    <row r="2245">
      <c r="A2245" s="4" t="s">
        <v>5539</v>
      </c>
      <c r="B2245" s="4" t="s">
        <v>607</v>
      </c>
      <c r="C2245" s="6" t="s">
        <v>607</v>
      </c>
      <c r="D2245" s="6" t="s">
        <v>607</v>
      </c>
      <c r="E2245" s="6" t="s">
        <v>607</v>
      </c>
      <c r="F2245" s="6" t="s">
        <v>607</v>
      </c>
      <c r="G2245" s="4" t="s">
        <v>607</v>
      </c>
      <c r="H2245" s="4" t="s">
        <v>607</v>
      </c>
      <c r="I2245" s="4" t="s">
        <v>607</v>
      </c>
      <c r="J2245" s="4" t="s">
        <v>607</v>
      </c>
      <c r="K2245" s="4" t="s">
        <v>607</v>
      </c>
      <c r="L2245" s="4" t="s">
        <v>607</v>
      </c>
      <c r="M2245" s="4" t="s">
        <v>607</v>
      </c>
      <c r="N2245" s="4" t="s">
        <v>607</v>
      </c>
      <c r="O2245" s="4"/>
      <c r="P2245" s="4"/>
      <c r="T2245" s="4"/>
    </row>
    <row r="2246">
      <c r="A2246" s="4" t="s">
        <v>5540</v>
      </c>
      <c r="B2246" s="4" t="s">
        <v>607</v>
      </c>
      <c r="C2246" s="6" t="s">
        <v>607</v>
      </c>
      <c r="D2246" s="6" t="s">
        <v>607</v>
      </c>
      <c r="E2246" s="6" t="s">
        <v>607</v>
      </c>
      <c r="F2246" s="6" t="s">
        <v>607</v>
      </c>
      <c r="G2246" s="4" t="s">
        <v>607</v>
      </c>
      <c r="H2246" s="4" t="s">
        <v>607</v>
      </c>
      <c r="I2246" s="4" t="s">
        <v>607</v>
      </c>
      <c r="J2246" s="4" t="s">
        <v>607</v>
      </c>
      <c r="K2246" s="4" t="s">
        <v>607</v>
      </c>
      <c r="L2246" s="4" t="s">
        <v>607</v>
      </c>
      <c r="M2246" s="4" t="s">
        <v>607</v>
      </c>
      <c r="N2246" s="4" t="s">
        <v>607</v>
      </c>
      <c r="O2246" s="4"/>
      <c r="P2246" s="4"/>
      <c r="T2246" s="4"/>
    </row>
    <row r="2247">
      <c r="A2247" s="4" t="s">
        <v>5541</v>
      </c>
      <c r="B2247" s="4" t="s">
        <v>607</v>
      </c>
      <c r="C2247" s="6" t="s">
        <v>607</v>
      </c>
      <c r="D2247" s="6" t="s">
        <v>607</v>
      </c>
      <c r="E2247" s="6" t="s">
        <v>607</v>
      </c>
      <c r="F2247" s="6" t="s">
        <v>607</v>
      </c>
      <c r="G2247" s="4" t="s">
        <v>607</v>
      </c>
      <c r="H2247" s="4" t="s">
        <v>607</v>
      </c>
      <c r="I2247" s="4" t="s">
        <v>607</v>
      </c>
      <c r="J2247" s="4" t="s">
        <v>607</v>
      </c>
      <c r="K2247" s="4" t="s">
        <v>607</v>
      </c>
      <c r="L2247" s="4" t="s">
        <v>607</v>
      </c>
      <c r="M2247" s="4" t="s">
        <v>607</v>
      </c>
      <c r="N2247" s="4" t="s">
        <v>607</v>
      </c>
      <c r="O2247" s="4"/>
      <c r="P2247" s="4"/>
      <c r="T2247" s="4"/>
    </row>
    <row r="2248">
      <c r="A2248" s="4" t="s">
        <v>5542</v>
      </c>
      <c r="B2248" s="4" t="s">
        <v>607</v>
      </c>
      <c r="C2248" s="6" t="s">
        <v>607</v>
      </c>
      <c r="D2248" s="6" t="s">
        <v>607</v>
      </c>
      <c r="E2248" s="6" t="s">
        <v>607</v>
      </c>
      <c r="F2248" s="6" t="s">
        <v>607</v>
      </c>
      <c r="G2248" s="4" t="s">
        <v>607</v>
      </c>
      <c r="H2248" s="4" t="s">
        <v>607</v>
      </c>
      <c r="I2248" s="4" t="s">
        <v>607</v>
      </c>
      <c r="J2248" s="4" t="s">
        <v>607</v>
      </c>
      <c r="K2248" s="4" t="s">
        <v>607</v>
      </c>
      <c r="L2248" s="4" t="s">
        <v>607</v>
      </c>
      <c r="M2248" s="4" t="s">
        <v>607</v>
      </c>
      <c r="N2248" s="4" t="s">
        <v>607</v>
      </c>
      <c r="O2248" s="4"/>
      <c r="P2248" s="4"/>
      <c r="T2248" s="4"/>
    </row>
    <row r="2249">
      <c r="A2249" s="4" t="s">
        <v>5543</v>
      </c>
      <c r="B2249" s="4" t="s">
        <v>607</v>
      </c>
      <c r="C2249" s="6" t="s">
        <v>607</v>
      </c>
      <c r="D2249" s="6" t="s">
        <v>607</v>
      </c>
      <c r="E2249" s="6" t="s">
        <v>607</v>
      </c>
      <c r="F2249" s="6" t="s">
        <v>607</v>
      </c>
      <c r="G2249" s="4" t="s">
        <v>607</v>
      </c>
      <c r="H2249" s="4" t="s">
        <v>607</v>
      </c>
      <c r="I2249" s="4" t="s">
        <v>607</v>
      </c>
      <c r="J2249" s="4" t="s">
        <v>607</v>
      </c>
      <c r="K2249" s="4" t="s">
        <v>607</v>
      </c>
      <c r="L2249" s="4" t="s">
        <v>607</v>
      </c>
      <c r="M2249" s="4" t="s">
        <v>607</v>
      </c>
      <c r="N2249" s="4" t="s">
        <v>607</v>
      </c>
      <c r="O2249" s="4"/>
      <c r="P2249" s="4"/>
      <c r="T2249" s="4"/>
    </row>
    <row r="2250">
      <c r="A2250" s="4" t="s">
        <v>5544</v>
      </c>
      <c r="B2250" s="4" t="s">
        <v>607</v>
      </c>
      <c r="C2250" s="6" t="s">
        <v>607</v>
      </c>
      <c r="D2250" s="6" t="s">
        <v>607</v>
      </c>
      <c r="E2250" s="6" t="s">
        <v>607</v>
      </c>
      <c r="F2250" s="6" t="s">
        <v>607</v>
      </c>
      <c r="G2250" s="4" t="s">
        <v>607</v>
      </c>
      <c r="H2250" s="4" t="s">
        <v>607</v>
      </c>
      <c r="I2250" s="4" t="s">
        <v>607</v>
      </c>
      <c r="J2250" s="4" t="s">
        <v>607</v>
      </c>
      <c r="K2250" s="4" t="s">
        <v>607</v>
      </c>
      <c r="L2250" s="4" t="s">
        <v>607</v>
      </c>
      <c r="M2250" s="4" t="s">
        <v>607</v>
      </c>
      <c r="N2250" s="4" t="s">
        <v>607</v>
      </c>
      <c r="O2250" s="4"/>
      <c r="P2250" s="4"/>
      <c r="T2250" s="4"/>
    </row>
    <row r="2251">
      <c r="A2251" s="4" t="s">
        <v>5545</v>
      </c>
      <c r="B2251" s="4" t="s">
        <v>607</v>
      </c>
      <c r="C2251" s="6" t="s">
        <v>607</v>
      </c>
      <c r="D2251" s="6" t="s">
        <v>607</v>
      </c>
      <c r="E2251" s="6" t="s">
        <v>607</v>
      </c>
      <c r="F2251" s="6" t="s">
        <v>607</v>
      </c>
      <c r="G2251" s="4" t="s">
        <v>607</v>
      </c>
      <c r="H2251" s="4" t="s">
        <v>607</v>
      </c>
      <c r="I2251" s="4" t="s">
        <v>607</v>
      </c>
      <c r="J2251" s="4" t="s">
        <v>607</v>
      </c>
      <c r="K2251" s="4" t="s">
        <v>607</v>
      </c>
      <c r="L2251" s="4" t="s">
        <v>607</v>
      </c>
      <c r="M2251" s="4" t="s">
        <v>607</v>
      </c>
      <c r="N2251" s="4" t="s">
        <v>607</v>
      </c>
      <c r="O2251" s="4"/>
      <c r="P2251" s="4"/>
      <c r="T2251" s="4"/>
    </row>
    <row r="2252">
      <c r="A2252" s="4" t="s">
        <v>5546</v>
      </c>
      <c r="B2252" s="4" t="s">
        <v>607</v>
      </c>
      <c r="C2252" s="6" t="s">
        <v>607</v>
      </c>
      <c r="D2252" s="6" t="s">
        <v>607</v>
      </c>
      <c r="E2252" s="6" t="s">
        <v>607</v>
      </c>
      <c r="F2252" s="6" t="s">
        <v>607</v>
      </c>
      <c r="G2252" s="4" t="s">
        <v>607</v>
      </c>
      <c r="H2252" s="4" t="s">
        <v>607</v>
      </c>
      <c r="I2252" s="4" t="s">
        <v>607</v>
      </c>
      <c r="J2252" s="4" t="s">
        <v>607</v>
      </c>
      <c r="K2252" s="4" t="s">
        <v>607</v>
      </c>
      <c r="L2252" s="4" t="s">
        <v>607</v>
      </c>
      <c r="M2252" s="4" t="s">
        <v>607</v>
      </c>
      <c r="N2252" s="4" t="s">
        <v>607</v>
      </c>
      <c r="O2252" s="4"/>
      <c r="P2252" s="4"/>
      <c r="T2252" s="4"/>
    </row>
    <row r="2253">
      <c r="A2253" s="4" t="s">
        <v>5547</v>
      </c>
      <c r="B2253" s="4" t="s">
        <v>607</v>
      </c>
      <c r="C2253" s="6" t="s">
        <v>607</v>
      </c>
      <c r="D2253" s="6" t="s">
        <v>607</v>
      </c>
      <c r="E2253" s="6" t="s">
        <v>607</v>
      </c>
      <c r="F2253" s="6" t="s">
        <v>607</v>
      </c>
      <c r="G2253" s="4" t="s">
        <v>607</v>
      </c>
      <c r="H2253" s="4" t="s">
        <v>607</v>
      </c>
      <c r="I2253" s="4" t="s">
        <v>607</v>
      </c>
      <c r="J2253" s="4" t="s">
        <v>607</v>
      </c>
      <c r="K2253" s="4" t="s">
        <v>607</v>
      </c>
      <c r="L2253" s="4" t="s">
        <v>607</v>
      </c>
      <c r="M2253" s="4" t="s">
        <v>607</v>
      </c>
      <c r="N2253" s="4" t="s">
        <v>607</v>
      </c>
      <c r="O2253" s="4"/>
      <c r="P2253" s="4"/>
      <c r="T2253" s="4"/>
    </row>
    <row r="2254">
      <c r="A2254" s="4" t="s">
        <v>5548</v>
      </c>
      <c r="B2254" s="4" t="s">
        <v>607</v>
      </c>
      <c r="C2254" s="6" t="s">
        <v>607</v>
      </c>
      <c r="D2254" s="6" t="s">
        <v>607</v>
      </c>
      <c r="E2254" s="6" t="s">
        <v>607</v>
      </c>
      <c r="F2254" s="6" t="s">
        <v>607</v>
      </c>
      <c r="G2254" s="4" t="s">
        <v>607</v>
      </c>
      <c r="H2254" s="4" t="s">
        <v>607</v>
      </c>
      <c r="I2254" s="4" t="s">
        <v>607</v>
      </c>
      <c r="J2254" s="4" t="s">
        <v>607</v>
      </c>
      <c r="K2254" s="4" t="s">
        <v>607</v>
      </c>
      <c r="L2254" s="4" t="s">
        <v>607</v>
      </c>
      <c r="M2254" s="4" t="s">
        <v>607</v>
      </c>
      <c r="N2254" s="4" t="s">
        <v>607</v>
      </c>
      <c r="O2254" s="4"/>
      <c r="P2254" s="4"/>
      <c r="T2254" s="4"/>
    </row>
    <row r="2255">
      <c r="A2255" s="4" t="s">
        <v>5549</v>
      </c>
      <c r="B2255" s="4" t="s">
        <v>607</v>
      </c>
      <c r="C2255" s="6" t="s">
        <v>607</v>
      </c>
      <c r="D2255" s="6" t="s">
        <v>607</v>
      </c>
      <c r="E2255" s="6" t="s">
        <v>607</v>
      </c>
      <c r="F2255" s="6" t="s">
        <v>607</v>
      </c>
      <c r="G2255" s="4" t="s">
        <v>607</v>
      </c>
      <c r="H2255" s="4" t="s">
        <v>607</v>
      </c>
      <c r="I2255" s="4" t="s">
        <v>607</v>
      </c>
      <c r="J2255" s="4" t="s">
        <v>607</v>
      </c>
      <c r="K2255" s="4" t="s">
        <v>607</v>
      </c>
      <c r="L2255" s="4" t="s">
        <v>607</v>
      </c>
      <c r="M2255" s="4" t="s">
        <v>607</v>
      </c>
      <c r="N2255" s="4" t="s">
        <v>607</v>
      </c>
      <c r="O2255" s="4"/>
      <c r="P2255" s="4"/>
      <c r="T2255" s="4"/>
    </row>
    <row r="2256">
      <c r="A2256" s="4" t="s">
        <v>5550</v>
      </c>
      <c r="B2256" s="4" t="s">
        <v>607</v>
      </c>
      <c r="C2256" s="6" t="s">
        <v>607</v>
      </c>
      <c r="D2256" s="6" t="s">
        <v>607</v>
      </c>
      <c r="E2256" s="6" t="s">
        <v>607</v>
      </c>
      <c r="F2256" s="6" t="s">
        <v>607</v>
      </c>
      <c r="G2256" s="4" t="s">
        <v>607</v>
      </c>
      <c r="H2256" s="4" t="s">
        <v>607</v>
      </c>
      <c r="I2256" s="4" t="s">
        <v>607</v>
      </c>
      <c r="J2256" s="4" t="s">
        <v>607</v>
      </c>
      <c r="K2256" s="4" t="s">
        <v>607</v>
      </c>
      <c r="L2256" s="4" t="s">
        <v>607</v>
      </c>
      <c r="M2256" s="4" t="s">
        <v>607</v>
      </c>
      <c r="N2256" s="4" t="s">
        <v>607</v>
      </c>
      <c r="O2256" s="4"/>
      <c r="P2256" s="4"/>
      <c r="T2256" s="4"/>
    </row>
    <row r="2257">
      <c r="A2257" s="4" t="s">
        <v>5551</v>
      </c>
      <c r="B2257" s="4" t="s">
        <v>607</v>
      </c>
      <c r="C2257" s="6" t="s">
        <v>607</v>
      </c>
      <c r="D2257" s="6" t="s">
        <v>607</v>
      </c>
      <c r="E2257" s="6" t="s">
        <v>607</v>
      </c>
      <c r="F2257" s="6" t="s">
        <v>607</v>
      </c>
      <c r="G2257" s="4" t="s">
        <v>607</v>
      </c>
      <c r="H2257" s="4" t="s">
        <v>607</v>
      </c>
      <c r="I2257" s="4" t="s">
        <v>607</v>
      </c>
      <c r="J2257" s="4" t="s">
        <v>607</v>
      </c>
      <c r="K2257" s="4" t="s">
        <v>607</v>
      </c>
      <c r="L2257" s="4" t="s">
        <v>607</v>
      </c>
      <c r="M2257" s="4" t="s">
        <v>607</v>
      </c>
      <c r="N2257" s="4" t="s">
        <v>607</v>
      </c>
      <c r="O2257" s="4"/>
      <c r="P2257" s="4"/>
      <c r="T2257" s="4"/>
    </row>
    <row r="2258">
      <c r="A2258" s="4" t="s">
        <v>5552</v>
      </c>
      <c r="B2258" s="4" t="s">
        <v>607</v>
      </c>
      <c r="C2258" s="6" t="s">
        <v>607</v>
      </c>
      <c r="D2258" s="6" t="s">
        <v>607</v>
      </c>
      <c r="E2258" s="6" t="s">
        <v>607</v>
      </c>
      <c r="F2258" s="6" t="s">
        <v>607</v>
      </c>
      <c r="G2258" s="4" t="s">
        <v>607</v>
      </c>
      <c r="H2258" s="4" t="s">
        <v>607</v>
      </c>
      <c r="I2258" s="4" t="s">
        <v>607</v>
      </c>
      <c r="J2258" s="4" t="s">
        <v>607</v>
      </c>
      <c r="K2258" s="4" t="s">
        <v>607</v>
      </c>
      <c r="L2258" s="4" t="s">
        <v>607</v>
      </c>
      <c r="M2258" s="4" t="s">
        <v>607</v>
      </c>
      <c r="N2258" s="4" t="s">
        <v>607</v>
      </c>
      <c r="O2258" s="4"/>
      <c r="P2258" s="4"/>
      <c r="T2258" s="4"/>
    </row>
    <row r="2259">
      <c r="A2259" s="4" t="s">
        <v>5553</v>
      </c>
      <c r="B2259" s="4" t="s">
        <v>607</v>
      </c>
      <c r="C2259" s="6" t="s">
        <v>607</v>
      </c>
      <c r="D2259" s="6" t="s">
        <v>607</v>
      </c>
      <c r="E2259" s="6" t="s">
        <v>607</v>
      </c>
      <c r="F2259" s="6" t="s">
        <v>607</v>
      </c>
      <c r="G2259" s="4" t="s">
        <v>607</v>
      </c>
      <c r="H2259" s="4" t="s">
        <v>607</v>
      </c>
      <c r="I2259" s="4" t="s">
        <v>607</v>
      </c>
      <c r="J2259" s="4" t="s">
        <v>607</v>
      </c>
      <c r="K2259" s="4" t="s">
        <v>607</v>
      </c>
      <c r="L2259" s="4" t="s">
        <v>607</v>
      </c>
      <c r="M2259" s="4" t="s">
        <v>607</v>
      </c>
      <c r="N2259" s="4" t="s">
        <v>607</v>
      </c>
      <c r="O2259" s="4"/>
      <c r="P2259" s="4"/>
      <c r="T2259" s="4"/>
    </row>
    <row r="2260">
      <c r="A2260" s="4" t="s">
        <v>5554</v>
      </c>
      <c r="B2260" s="4" t="s">
        <v>607</v>
      </c>
      <c r="C2260" s="6" t="s">
        <v>607</v>
      </c>
      <c r="D2260" s="6" t="s">
        <v>607</v>
      </c>
      <c r="E2260" s="6" t="s">
        <v>607</v>
      </c>
      <c r="F2260" s="6" t="s">
        <v>607</v>
      </c>
      <c r="G2260" s="4" t="s">
        <v>607</v>
      </c>
      <c r="H2260" s="4" t="s">
        <v>607</v>
      </c>
      <c r="I2260" s="4" t="s">
        <v>607</v>
      </c>
      <c r="J2260" s="4" t="s">
        <v>607</v>
      </c>
      <c r="K2260" s="4" t="s">
        <v>607</v>
      </c>
      <c r="L2260" s="4" t="s">
        <v>607</v>
      </c>
      <c r="M2260" s="4" t="s">
        <v>607</v>
      </c>
      <c r="N2260" s="4" t="s">
        <v>607</v>
      </c>
      <c r="O2260" s="4"/>
      <c r="P2260" s="4"/>
      <c r="T2260" s="4"/>
    </row>
    <row r="2261">
      <c r="A2261" s="4" t="s">
        <v>5555</v>
      </c>
      <c r="B2261" s="4" t="s">
        <v>607</v>
      </c>
      <c r="C2261" s="6" t="s">
        <v>607</v>
      </c>
      <c r="D2261" s="6" t="s">
        <v>607</v>
      </c>
      <c r="E2261" s="6" t="s">
        <v>607</v>
      </c>
      <c r="F2261" s="6" t="s">
        <v>607</v>
      </c>
      <c r="G2261" s="4" t="s">
        <v>607</v>
      </c>
      <c r="H2261" s="4" t="s">
        <v>607</v>
      </c>
      <c r="I2261" s="4" t="s">
        <v>607</v>
      </c>
      <c r="J2261" s="4" t="s">
        <v>607</v>
      </c>
      <c r="K2261" s="4" t="s">
        <v>607</v>
      </c>
      <c r="L2261" s="4" t="s">
        <v>607</v>
      </c>
      <c r="M2261" s="4" t="s">
        <v>607</v>
      </c>
      <c r="N2261" s="4" t="s">
        <v>607</v>
      </c>
      <c r="O2261" s="4"/>
      <c r="P2261" s="4"/>
      <c r="T2261" s="4"/>
    </row>
    <row r="2262">
      <c r="A2262" s="4" t="s">
        <v>5556</v>
      </c>
      <c r="B2262" s="4" t="s">
        <v>607</v>
      </c>
      <c r="C2262" s="6" t="s">
        <v>607</v>
      </c>
      <c r="D2262" s="6" t="s">
        <v>607</v>
      </c>
      <c r="E2262" s="6" t="s">
        <v>607</v>
      </c>
      <c r="F2262" s="6" t="s">
        <v>607</v>
      </c>
      <c r="G2262" s="4" t="s">
        <v>607</v>
      </c>
      <c r="H2262" s="4" t="s">
        <v>607</v>
      </c>
      <c r="I2262" s="4" t="s">
        <v>607</v>
      </c>
      <c r="J2262" s="4" t="s">
        <v>607</v>
      </c>
      <c r="K2262" s="4" t="s">
        <v>607</v>
      </c>
      <c r="L2262" s="4" t="s">
        <v>607</v>
      </c>
      <c r="M2262" s="4" t="s">
        <v>607</v>
      </c>
      <c r="N2262" s="4" t="s">
        <v>607</v>
      </c>
      <c r="O2262" s="4"/>
      <c r="P2262" s="4"/>
      <c r="T2262" s="4"/>
    </row>
    <row r="2263">
      <c r="A2263" s="4" t="s">
        <v>5557</v>
      </c>
      <c r="B2263" s="4" t="s">
        <v>607</v>
      </c>
      <c r="C2263" s="6" t="s">
        <v>607</v>
      </c>
      <c r="D2263" s="6" t="s">
        <v>607</v>
      </c>
      <c r="E2263" s="6" t="s">
        <v>607</v>
      </c>
      <c r="F2263" s="6" t="s">
        <v>607</v>
      </c>
      <c r="G2263" s="4" t="s">
        <v>607</v>
      </c>
      <c r="H2263" s="4" t="s">
        <v>607</v>
      </c>
      <c r="I2263" s="4" t="s">
        <v>607</v>
      </c>
      <c r="J2263" s="4" t="s">
        <v>607</v>
      </c>
      <c r="K2263" s="4" t="s">
        <v>607</v>
      </c>
      <c r="L2263" s="4" t="s">
        <v>607</v>
      </c>
      <c r="M2263" s="4" t="s">
        <v>607</v>
      </c>
      <c r="N2263" s="4" t="s">
        <v>607</v>
      </c>
      <c r="O2263" s="4"/>
      <c r="P2263" s="4"/>
      <c r="T2263" s="4"/>
    </row>
    <row r="2264">
      <c r="A2264" s="4" t="s">
        <v>5558</v>
      </c>
      <c r="B2264" s="4" t="s">
        <v>607</v>
      </c>
      <c r="C2264" s="6" t="s">
        <v>607</v>
      </c>
      <c r="D2264" s="6" t="s">
        <v>607</v>
      </c>
      <c r="E2264" s="6" t="s">
        <v>607</v>
      </c>
      <c r="F2264" s="6" t="s">
        <v>607</v>
      </c>
      <c r="G2264" s="4" t="s">
        <v>607</v>
      </c>
      <c r="H2264" s="4" t="s">
        <v>607</v>
      </c>
      <c r="I2264" s="4" t="s">
        <v>607</v>
      </c>
      <c r="J2264" s="4" t="s">
        <v>607</v>
      </c>
      <c r="K2264" s="4" t="s">
        <v>607</v>
      </c>
      <c r="L2264" s="4" t="s">
        <v>607</v>
      </c>
      <c r="M2264" s="4" t="s">
        <v>607</v>
      </c>
      <c r="N2264" s="4" t="s">
        <v>607</v>
      </c>
      <c r="O2264" s="4"/>
      <c r="P2264" s="4"/>
      <c r="T2264" s="4"/>
    </row>
    <row r="2265">
      <c r="A2265" s="4" t="s">
        <v>5559</v>
      </c>
      <c r="B2265" s="4" t="s">
        <v>607</v>
      </c>
      <c r="C2265" s="6" t="s">
        <v>607</v>
      </c>
      <c r="D2265" s="6" t="s">
        <v>607</v>
      </c>
      <c r="E2265" s="6" t="s">
        <v>607</v>
      </c>
      <c r="F2265" s="6" t="s">
        <v>607</v>
      </c>
      <c r="G2265" s="4" t="s">
        <v>607</v>
      </c>
      <c r="H2265" s="4" t="s">
        <v>607</v>
      </c>
      <c r="I2265" s="4" t="s">
        <v>607</v>
      </c>
      <c r="J2265" s="4" t="s">
        <v>607</v>
      </c>
      <c r="K2265" s="4" t="s">
        <v>607</v>
      </c>
      <c r="L2265" s="4" t="s">
        <v>607</v>
      </c>
      <c r="M2265" s="4" t="s">
        <v>607</v>
      </c>
      <c r="N2265" s="4" t="s">
        <v>607</v>
      </c>
      <c r="O2265" s="4"/>
      <c r="P2265" s="4"/>
      <c r="T2265" s="4"/>
    </row>
    <row r="2266">
      <c r="A2266" s="4" t="s">
        <v>5560</v>
      </c>
      <c r="B2266" s="4" t="s">
        <v>607</v>
      </c>
      <c r="C2266" s="6" t="s">
        <v>607</v>
      </c>
      <c r="D2266" s="6" t="s">
        <v>607</v>
      </c>
      <c r="E2266" s="6" t="s">
        <v>607</v>
      </c>
      <c r="F2266" s="6" t="s">
        <v>607</v>
      </c>
      <c r="G2266" s="4" t="s">
        <v>607</v>
      </c>
      <c r="H2266" s="4" t="s">
        <v>607</v>
      </c>
      <c r="I2266" s="4" t="s">
        <v>607</v>
      </c>
      <c r="J2266" s="4" t="s">
        <v>607</v>
      </c>
      <c r="K2266" s="4" t="s">
        <v>607</v>
      </c>
      <c r="L2266" s="4" t="s">
        <v>607</v>
      </c>
      <c r="M2266" s="4" t="s">
        <v>607</v>
      </c>
      <c r="N2266" s="4" t="s">
        <v>607</v>
      </c>
      <c r="O2266" s="4"/>
      <c r="P2266" s="4"/>
      <c r="T2266" s="4"/>
    </row>
    <row r="2267">
      <c r="A2267" s="4" t="s">
        <v>5561</v>
      </c>
      <c r="B2267" s="4" t="s">
        <v>607</v>
      </c>
      <c r="C2267" s="6" t="s">
        <v>607</v>
      </c>
      <c r="D2267" s="6" t="s">
        <v>607</v>
      </c>
      <c r="E2267" s="6" t="s">
        <v>607</v>
      </c>
      <c r="F2267" s="6" t="s">
        <v>607</v>
      </c>
      <c r="G2267" s="4" t="s">
        <v>607</v>
      </c>
      <c r="H2267" s="4" t="s">
        <v>607</v>
      </c>
      <c r="I2267" s="4" t="s">
        <v>607</v>
      </c>
      <c r="J2267" s="4" t="s">
        <v>607</v>
      </c>
      <c r="K2267" s="4" t="s">
        <v>607</v>
      </c>
      <c r="L2267" s="4" t="s">
        <v>607</v>
      </c>
      <c r="M2267" s="4" t="s">
        <v>607</v>
      </c>
      <c r="N2267" s="4" t="s">
        <v>607</v>
      </c>
      <c r="O2267" s="4"/>
      <c r="P2267" s="4"/>
      <c r="T2267" s="4"/>
    </row>
    <row r="2268">
      <c r="A2268" s="4" t="s">
        <v>5562</v>
      </c>
      <c r="B2268" s="4" t="s">
        <v>607</v>
      </c>
      <c r="C2268" s="6" t="s">
        <v>607</v>
      </c>
      <c r="D2268" s="6" t="s">
        <v>607</v>
      </c>
      <c r="E2268" s="6" t="s">
        <v>607</v>
      </c>
      <c r="F2268" s="6" t="s">
        <v>607</v>
      </c>
      <c r="G2268" s="4" t="s">
        <v>607</v>
      </c>
      <c r="H2268" s="4" t="s">
        <v>607</v>
      </c>
      <c r="I2268" s="4" t="s">
        <v>607</v>
      </c>
      <c r="J2268" s="4" t="s">
        <v>607</v>
      </c>
      <c r="K2268" s="4" t="s">
        <v>607</v>
      </c>
      <c r="L2268" s="4" t="s">
        <v>607</v>
      </c>
      <c r="M2268" s="4" t="s">
        <v>607</v>
      </c>
      <c r="N2268" s="4" t="s">
        <v>607</v>
      </c>
      <c r="O2268" s="4"/>
      <c r="P2268" s="4"/>
      <c r="T2268" s="4"/>
    </row>
    <row r="2269">
      <c r="A2269" s="4" t="s">
        <v>5563</v>
      </c>
      <c r="B2269" s="4" t="s">
        <v>607</v>
      </c>
      <c r="C2269" s="6" t="s">
        <v>607</v>
      </c>
      <c r="D2269" s="6" t="s">
        <v>607</v>
      </c>
      <c r="E2269" s="6" t="s">
        <v>607</v>
      </c>
      <c r="F2269" s="6" t="s">
        <v>607</v>
      </c>
      <c r="G2269" s="4" t="s">
        <v>607</v>
      </c>
      <c r="H2269" s="4" t="s">
        <v>607</v>
      </c>
      <c r="I2269" s="4" t="s">
        <v>607</v>
      </c>
      <c r="J2269" s="4" t="s">
        <v>607</v>
      </c>
      <c r="K2269" s="4" t="s">
        <v>607</v>
      </c>
      <c r="L2269" s="4" t="s">
        <v>607</v>
      </c>
      <c r="M2269" s="4" t="s">
        <v>607</v>
      </c>
      <c r="N2269" s="4" t="s">
        <v>607</v>
      </c>
      <c r="O2269" s="4"/>
      <c r="P2269" s="4"/>
      <c r="T2269" s="4"/>
    </row>
    <row r="2270">
      <c r="A2270" s="4" t="s">
        <v>5564</v>
      </c>
      <c r="B2270" s="4" t="s">
        <v>607</v>
      </c>
      <c r="C2270" s="6" t="s">
        <v>607</v>
      </c>
      <c r="D2270" s="6" t="s">
        <v>607</v>
      </c>
      <c r="E2270" s="6" t="s">
        <v>607</v>
      </c>
      <c r="F2270" s="6" t="s">
        <v>607</v>
      </c>
      <c r="G2270" s="4" t="s">
        <v>607</v>
      </c>
      <c r="H2270" s="4" t="s">
        <v>607</v>
      </c>
      <c r="I2270" s="4" t="s">
        <v>607</v>
      </c>
      <c r="J2270" s="4" t="s">
        <v>607</v>
      </c>
      <c r="K2270" s="4" t="s">
        <v>607</v>
      </c>
      <c r="L2270" s="4" t="s">
        <v>607</v>
      </c>
      <c r="M2270" s="4" t="s">
        <v>607</v>
      </c>
      <c r="N2270" s="4" t="s">
        <v>607</v>
      </c>
      <c r="O2270" s="4"/>
      <c r="P2270" s="4"/>
      <c r="T2270" s="4"/>
    </row>
    <row r="2271">
      <c r="A2271" s="4" t="s">
        <v>5565</v>
      </c>
      <c r="B2271" s="4" t="s">
        <v>607</v>
      </c>
      <c r="C2271" s="6" t="s">
        <v>607</v>
      </c>
      <c r="D2271" s="6" t="s">
        <v>607</v>
      </c>
      <c r="E2271" s="6" t="s">
        <v>607</v>
      </c>
      <c r="F2271" s="6" t="s">
        <v>607</v>
      </c>
      <c r="G2271" s="4" t="s">
        <v>607</v>
      </c>
      <c r="H2271" s="4" t="s">
        <v>607</v>
      </c>
      <c r="I2271" s="4" t="s">
        <v>607</v>
      </c>
      <c r="J2271" s="4" t="s">
        <v>607</v>
      </c>
      <c r="K2271" s="4" t="s">
        <v>607</v>
      </c>
      <c r="L2271" s="4" t="s">
        <v>607</v>
      </c>
      <c r="M2271" s="4" t="s">
        <v>607</v>
      </c>
      <c r="N2271" s="4" t="s">
        <v>607</v>
      </c>
      <c r="O2271" s="4"/>
      <c r="P2271" s="4"/>
      <c r="T2271" s="4"/>
    </row>
    <row r="2272">
      <c r="A2272" s="4" t="s">
        <v>5566</v>
      </c>
      <c r="B2272" s="4" t="s">
        <v>607</v>
      </c>
      <c r="C2272" s="6" t="s">
        <v>607</v>
      </c>
      <c r="D2272" s="6" t="s">
        <v>607</v>
      </c>
      <c r="E2272" s="6" t="s">
        <v>607</v>
      </c>
      <c r="F2272" s="6" t="s">
        <v>607</v>
      </c>
      <c r="G2272" s="4" t="s">
        <v>607</v>
      </c>
      <c r="H2272" s="4" t="s">
        <v>607</v>
      </c>
      <c r="I2272" s="4" t="s">
        <v>607</v>
      </c>
      <c r="J2272" s="4" t="s">
        <v>607</v>
      </c>
      <c r="K2272" s="4" t="s">
        <v>607</v>
      </c>
      <c r="L2272" s="4" t="s">
        <v>607</v>
      </c>
      <c r="M2272" s="4" t="s">
        <v>607</v>
      </c>
      <c r="N2272" s="4" t="s">
        <v>607</v>
      </c>
      <c r="O2272" s="4"/>
      <c r="P2272" s="4"/>
      <c r="T2272" s="4"/>
    </row>
    <row r="2273">
      <c r="A2273" s="4" t="s">
        <v>5567</v>
      </c>
      <c r="B2273" s="4" t="s">
        <v>607</v>
      </c>
      <c r="C2273" s="6" t="s">
        <v>607</v>
      </c>
      <c r="D2273" s="6" t="s">
        <v>607</v>
      </c>
      <c r="E2273" s="6" t="s">
        <v>607</v>
      </c>
      <c r="F2273" s="6" t="s">
        <v>607</v>
      </c>
      <c r="G2273" s="4" t="s">
        <v>607</v>
      </c>
      <c r="H2273" s="4" t="s">
        <v>607</v>
      </c>
      <c r="I2273" s="4" t="s">
        <v>607</v>
      </c>
      <c r="J2273" s="4" t="s">
        <v>607</v>
      </c>
      <c r="K2273" s="4" t="s">
        <v>607</v>
      </c>
      <c r="L2273" s="4" t="s">
        <v>607</v>
      </c>
      <c r="M2273" s="4" t="s">
        <v>607</v>
      </c>
      <c r="N2273" s="4" t="s">
        <v>607</v>
      </c>
      <c r="O2273" s="4"/>
      <c r="P2273" s="4"/>
      <c r="T2273" s="4"/>
    </row>
    <row r="2274">
      <c r="A2274" s="4" t="s">
        <v>5568</v>
      </c>
      <c r="B2274" s="4" t="s">
        <v>607</v>
      </c>
      <c r="C2274" s="6" t="s">
        <v>607</v>
      </c>
      <c r="D2274" s="6" t="s">
        <v>607</v>
      </c>
      <c r="E2274" s="6" t="s">
        <v>607</v>
      </c>
      <c r="F2274" s="6" t="s">
        <v>607</v>
      </c>
      <c r="G2274" s="4" t="s">
        <v>607</v>
      </c>
      <c r="H2274" s="4" t="s">
        <v>607</v>
      </c>
      <c r="I2274" s="4" t="s">
        <v>607</v>
      </c>
      <c r="J2274" s="4" t="s">
        <v>607</v>
      </c>
      <c r="K2274" s="4" t="s">
        <v>607</v>
      </c>
      <c r="L2274" s="4" t="s">
        <v>607</v>
      </c>
      <c r="M2274" s="4" t="s">
        <v>607</v>
      </c>
      <c r="N2274" s="4" t="s">
        <v>607</v>
      </c>
      <c r="O2274" s="4"/>
      <c r="P2274" s="4"/>
      <c r="T2274" s="4"/>
    </row>
    <row r="2275">
      <c r="A2275" s="4" t="s">
        <v>5569</v>
      </c>
      <c r="B2275" s="4" t="s">
        <v>607</v>
      </c>
      <c r="C2275" s="6" t="s">
        <v>607</v>
      </c>
      <c r="D2275" s="6" t="s">
        <v>607</v>
      </c>
      <c r="E2275" s="6" t="s">
        <v>607</v>
      </c>
      <c r="F2275" s="6" t="s">
        <v>607</v>
      </c>
      <c r="G2275" s="4" t="s">
        <v>607</v>
      </c>
      <c r="H2275" s="4" t="s">
        <v>607</v>
      </c>
      <c r="I2275" s="4" t="s">
        <v>607</v>
      </c>
      <c r="J2275" s="4" t="s">
        <v>607</v>
      </c>
      <c r="K2275" s="4" t="s">
        <v>607</v>
      </c>
      <c r="L2275" s="4" t="s">
        <v>607</v>
      </c>
      <c r="M2275" s="4" t="s">
        <v>607</v>
      </c>
      <c r="N2275" s="4" t="s">
        <v>607</v>
      </c>
      <c r="O2275" s="4"/>
      <c r="P2275" s="4"/>
      <c r="T2275" s="4"/>
    </row>
    <row r="2276">
      <c r="A2276" s="4" t="s">
        <v>5570</v>
      </c>
      <c r="B2276" s="4" t="s">
        <v>607</v>
      </c>
      <c r="C2276" s="6" t="s">
        <v>607</v>
      </c>
      <c r="D2276" s="6" t="s">
        <v>607</v>
      </c>
      <c r="E2276" s="6" t="s">
        <v>607</v>
      </c>
      <c r="F2276" s="6" t="s">
        <v>607</v>
      </c>
      <c r="G2276" s="4" t="s">
        <v>607</v>
      </c>
      <c r="H2276" s="4" t="s">
        <v>607</v>
      </c>
      <c r="I2276" s="4" t="s">
        <v>607</v>
      </c>
      <c r="J2276" s="4" t="s">
        <v>607</v>
      </c>
      <c r="K2276" s="4" t="s">
        <v>607</v>
      </c>
      <c r="L2276" s="4" t="s">
        <v>607</v>
      </c>
      <c r="M2276" s="4" t="s">
        <v>607</v>
      </c>
      <c r="N2276" s="4" t="s">
        <v>607</v>
      </c>
      <c r="O2276" s="4"/>
      <c r="P2276" s="4"/>
      <c r="T2276" s="4"/>
    </row>
    <row r="2277">
      <c r="A2277" s="4" t="s">
        <v>5571</v>
      </c>
      <c r="B2277" s="4" t="s">
        <v>607</v>
      </c>
      <c r="C2277" s="6" t="s">
        <v>607</v>
      </c>
      <c r="D2277" s="6" t="s">
        <v>607</v>
      </c>
      <c r="E2277" s="6" t="s">
        <v>607</v>
      </c>
      <c r="F2277" s="6" t="s">
        <v>607</v>
      </c>
      <c r="G2277" s="4" t="s">
        <v>607</v>
      </c>
      <c r="H2277" s="4" t="s">
        <v>607</v>
      </c>
      <c r="I2277" s="4" t="s">
        <v>607</v>
      </c>
      <c r="J2277" s="4" t="s">
        <v>607</v>
      </c>
      <c r="K2277" s="4" t="s">
        <v>607</v>
      </c>
      <c r="L2277" s="4" t="s">
        <v>607</v>
      </c>
      <c r="M2277" s="4" t="s">
        <v>607</v>
      </c>
      <c r="N2277" s="4" t="s">
        <v>607</v>
      </c>
      <c r="O2277" s="4"/>
      <c r="P2277" s="4"/>
      <c r="T2277" s="4"/>
    </row>
    <row r="2278">
      <c r="A2278" s="4" t="s">
        <v>5572</v>
      </c>
      <c r="B2278" s="4" t="s">
        <v>607</v>
      </c>
      <c r="C2278" s="6" t="s">
        <v>607</v>
      </c>
      <c r="D2278" s="6" t="s">
        <v>607</v>
      </c>
      <c r="E2278" s="6" t="s">
        <v>607</v>
      </c>
      <c r="F2278" s="6" t="s">
        <v>607</v>
      </c>
      <c r="G2278" s="4" t="s">
        <v>607</v>
      </c>
      <c r="H2278" s="4" t="s">
        <v>607</v>
      </c>
      <c r="I2278" s="4" t="s">
        <v>607</v>
      </c>
      <c r="J2278" s="4" t="s">
        <v>607</v>
      </c>
      <c r="K2278" s="4" t="s">
        <v>607</v>
      </c>
      <c r="L2278" s="4" t="s">
        <v>607</v>
      </c>
      <c r="M2278" s="4" t="s">
        <v>607</v>
      </c>
      <c r="N2278" s="4" t="s">
        <v>607</v>
      </c>
      <c r="O2278" s="4"/>
      <c r="P2278" s="4"/>
      <c r="T2278" s="4"/>
    </row>
    <row r="2279">
      <c r="A2279" s="4" t="s">
        <v>5573</v>
      </c>
      <c r="B2279" s="4" t="s">
        <v>607</v>
      </c>
      <c r="C2279" s="6" t="s">
        <v>607</v>
      </c>
      <c r="D2279" s="6" t="s">
        <v>607</v>
      </c>
      <c r="E2279" s="6" t="s">
        <v>607</v>
      </c>
      <c r="F2279" s="6" t="s">
        <v>607</v>
      </c>
      <c r="G2279" s="4" t="s">
        <v>607</v>
      </c>
      <c r="H2279" s="4" t="s">
        <v>607</v>
      </c>
      <c r="I2279" s="4" t="s">
        <v>607</v>
      </c>
      <c r="J2279" s="4" t="s">
        <v>607</v>
      </c>
      <c r="K2279" s="4" t="s">
        <v>607</v>
      </c>
      <c r="L2279" s="4" t="s">
        <v>607</v>
      </c>
      <c r="M2279" s="4" t="s">
        <v>607</v>
      </c>
      <c r="N2279" s="4" t="s">
        <v>607</v>
      </c>
      <c r="O2279" s="4"/>
      <c r="P2279" s="4"/>
      <c r="T2279" s="4"/>
    </row>
    <row r="2280">
      <c r="A2280" s="4" t="s">
        <v>5574</v>
      </c>
      <c r="B2280" s="4" t="s">
        <v>607</v>
      </c>
      <c r="C2280" s="6" t="s">
        <v>607</v>
      </c>
      <c r="D2280" s="6" t="s">
        <v>607</v>
      </c>
      <c r="E2280" s="6" t="s">
        <v>607</v>
      </c>
      <c r="F2280" s="6" t="s">
        <v>607</v>
      </c>
      <c r="G2280" s="4" t="s">
        <v>607</v>
      </c>
      <c r="H2280" s="4" t="s">
        <v>607</v>
      </c>
      <c r="I2280" s="4" t="s">
        <v>607</v>
      </c>
      <c r="J2280" s="4" t="s">
        <v>607</v>
      </c>
      <c r="K2280" s="4" t="s">
        <v>607</v>
      </c>
      <c r="L2280" s="4" t="s">
        <v>607</v>
      </c>
      <c r="M2280" s="4" t="s">
        <v>607</v>
      </c>
      <c r="N2280" s="4" t="s">
        <v>607</v>
      </c>
      <c r="O2280" s="4"/>
      <c r="P2280" s="4"/>
      <c r="T2280" s="4"/>
    </row>
    <row r="2281">
      <c r="A2281" s="4" t="s">
        <v>5575</v>
      </c>
      <c r="B2281" s="4" t="s">
        <v>607</v>
      </c>
      <c r="C2281" s="6" t="s">
        <v>607</v>
      </c>
      <c r="D2281" s="6" t="s">
        <v>607</v>
      </c>
      <c r="E2281" s="6" t="s">
        <v>607</v>
      </c>
      <c r="F2281" s="6" t="s">
        <v>607</v>
      </c>
      <c r="G2281" s="4" t="s">
        <v>607</v>
      </c>
      <c r="H2281" s="4" t="s">
        <v>607</v>
      </c>
      <c r="I2281" s="4" t="s">
        <v>607</v>
      </c>
      <c r="J2281" s="4" t="s">
        <v>607</v>
      </c>
      <c r="K2281" s="4" t="s">
        <v>607</v>
      </c>
      <c r="L2281" s="4" t="s">
        <v>607</v>
      </c>
      <c r="M2281" s="4" t="s">
        <v>607</v>
      </c>
      <c r="N2281" s="4" t="s">
        <v>607</v>
      </c>
      <c r="O2281" s="4"/>
      <c r="P2281" s="4"/>
      <c r="T2281" s="4"/>
    </row>
    <row r="2282">
      <c r="A2282" s="4" t="s">
        <v>5576</v>
      </c>
      <c r="B2282" s="4" t="s">
        <v>607</v>
      </c>
      <c r="C2282" s="6" t="s">
        <v>607</v>
      </c>
      <c r="D2282" s="6" t="s">
        <v>607</v>
      </c>
      <c r="E2282" s="6" t="s">
        <v>607</v>
      </c>
      <c r="F2282" s="6" t="s">
        <v>607</v>
      </c>
      <c r="G2282" s="4" t="s">
        <v>607</v>
      </c>
      <c r="H2282" s="4" t="s">
        <v>607</v>
      </c>
      <c r="I2282" s="4" t="s">
        <v>607</v>
      </c>
      <c r="J2282" s="4" t="s">
        <v>607</v>
      </c>
      <c r="K2282" s="4" t="s">
        <v>607</v>
      </c>
      <c r="L2282" s="4" t="s">
        <v>607</v>
      </c>
      <c r="M2282" s="4" t="s">
        <v>607</v>
      </c>
      <c r="N2282" s="4" t="s">
        <v>607</v>
      </c>
      <c r="O2282" s="4"/>
      <c r="P2282" s="4"/>
      <c r="T2282" s="4"/>
    </row>
    <row r="2283">
      <c r="A2283" s="4" t="s">
        <v>5577</v>
      </c>
      <c r="B2283" s="4" t="s">
        <v>607</v>
      </c>
      <c r="C2283" s="6" t="s">
        <v>607</v>
      </c>
      <c r="D2283" s="6" t="s">
        <v>607</v>
      </c>
      <c r="E2283" s="6" t="s">
        <v>607</v>
      </c>
      <c r="F2283" s="6" t="s">
        <v>607</v>
      </c>
      <c r="G2283" s="4" t="s">
        <v>607</v>
      </c>
      <c r="H2283" s="4" t="s">
        <v>607</v>
      </c>
      <c r="I2283" s="4" t="s">
        <v>607</v>
      </c>
      <c r="J2283" s="4" t="s">
        <v>607</v>
      </c>
      <c r="K2283" s="4" t="s">
        <v>607</v>
      </c>
      <c r="L2283" s="4" t="s">
        <v>607</v>
      </c>
      <c r="M2283" s="4" t="s">
        <v>607</v>
      </c>
      <c r="N2283" s="4" t="s">
        <v>607</v>
      </c>
      <c r="O2283" s="4"/>
      <c r="P2283" s="4"/>
      <c r="T2283" s="4"/>
    </row>
    <row r="2284">
      <c r="A2284" s="4" t="s">
        <v>5578</v>
      </c>
      <c r="B2284" s="4" t="s">
        <v>607</v>
      </c>
      <c r="C2284" s="6" t="s">
        <v>607</v>
      </c>
      <c r="D2284" s="6" t="s">
        <v>607</v>
      </c>
      <c r="E2284" s="6" t="s">
        <v>607</v>
      </c>
      <c r="F2284" s="6" t="s">
        <v>607</v>
      </c>
      <c r="G2284" s="4" t="s">
        <v>607</v>
      </c>
      <c r="H2284" s="4" t="s">
        <v>607</v>
      </c>
      <c r="I2284" s="4" t="s">
        <v>607</v>
      </c>
      <c r="J2284" s="4" t="s">
        <v>607</v>
      </c>
      <c r="K2284" s="4" t="s">
        <v>607</v>
      </c>
      <c r="L2284" s="4" t="s">
        <v>607</v>
      </c>
      <c r="M2284" s="4" t="s">
        <v>607</v>
      </c>
      <c r="N2284" s="4" t="s">
        <v>607</v>
      </c>
      <c r="O2284" s="4"/>
      <c r="P2284" s="4"/>
      <c r="T2284" s="4"/>
    </row>
    <row r="2285">
      <c r="A2285" s="4" t="s">
        <v>5579</v>
      </c>
      <c r="B2285" s="4" t="s">
        <v>607</v>
      </c>
      <c r="C2285" s="6" t="s">
        <v>607</v>
      </c>
      <c r="D2285" s="6" t="s">
        <v>607</v>
      </c>
      <c r="E2285" s="6" t="s">
        <v>607</v>
      </c>
      <c r="F2285" s="6" t="s">
        <v>607</v>
      </c>
      <c r="G2285" s="4" t="s">
        <v>607</v>
      </c>
      <c r="H2285" s="4" t="s">
        <v>607</v>
      </c>
      <c r="I2285" s="4" t="s">
        <v>607</v>
      </c>
      <c r="J2285" s="4" t="s">
        <v>607</v>
      </c>
      <c r="K2285" s="4" t="s">
        <v>607</v>
      </c>
      <c r="L2285" s="4" t="s">
        <v>607</v>
      </c>
      <c r="M2285" s="4" t="s">
        <v>607</v>
      </c>
      <c r="N2285" s="4" t="s">
        <v>607</v>
      </c>
      <c r="O2285" s="4"/>
      <c r="P2285" s="4"/>
      <c r="T2285" s="4"/>
    </row>
    <row r="2286">
      <c r="A2286" s="4" t="s">
        <v>5580</v>
      </c>
      <c r="B2286" s="4" t="s">
        <v>607</v>
      </c>
      <c r="C2286" s="6" t="s">
        <v>607</v>
      </c>
      <c r="D2286" s="6" t="s">
        <v>607</v>
      </c>
      <c r="E2286" s="6" t="s">
        <v>607</v>
      </c>
      <c r="F2286" s="6" t="s">
        <v>607</v>
      </c>
      <c r="G2286" s="4" t="s">
        <v>607</v>
      </c>
      <c r="H2286" s="4" t="s">
        <v>607</v>
      </c>
      <c r="I2286" s="4" t="s">
        <v>607</v>
      </c>
      <c r="J2286" s="4" t="s">
        <v>607</v>
      </c>
      <c r="K2286" s="4" t="s">
        <v>607</v>
      </c>
      <c r="L2286" s="4" t="s">
        <v>607</v>
      </c>
      <c r="M2286" s="4" t="s">
        <v>607</v>
      </c>
      <c r="N2286" s="4" t="s">
        <v>607</v>
      </c>
      <c r="O2286" s="4"/>
      <c r="P2286" s="4"/>
      <c r="T2286" s="4"/>
    </row>
    <row r="2287">
      <c r="A2287" s="4" t="s">
        <v>5581</v>
      </c>
      <c r="B2287" s="4" t="s">
        <v>607</v>
      </c>
      <c r="C2287" s="6" t="s">
        <v>607</v>
      </c>
      <c r="D2287" s="6" t="s">
        <v>607</v>
      </c>
      <c r="E2287" s="6" t="s">
        <v>607</v>
      </c>
      <c r="F2287" s="6" t="s">
        <v>607</v>
      </c>
      <c r="G2287" s="4" t="s">
        <v>607</v>
      </c>
      <c r="H2287" s="4" t="s">
        <v>607</v>
      </c>
      <c r="I2287" s="4" t="s">
        <v>607</v>
      </c>
      <c r="J2287" s="4" t="s">
        <v>607</v>
      </c>
      <c r="K2287" s="4" t="s">
        <v>607</v>
      </c>
      <c r="L2287" s="4" t="s">
        <v>607</v>
      </c>
      <c r="M2287" s="4" t="s">
        <v>607</v>
      </c>
      <c r="N2287" s="4" t="s">
        <v>607</v>
      </c>
      <c r="O2287" s="4"/>
      <c r="P2287" s="4"/>
      <c r="T2287" s="4"/>
    </row>
    <row r="2288">
      <c r="A2288" s="4" t="s">
        <v>5582</v>
      </c>
      <c r="B2288" s="4" t="s">
        <v>607</v>
      </c>
      <c r="C2288" s="6" t="s">
        <v>607</v>
      </c>
      <c r="D2288" s="6" t="s">
        <v>607</v>
      </c>
      <c r="E2288" s="6" t="s">
        <v>607</v>
      </c>
      <c r="F2288" s="6" t="s">
        <v>607</v>
      </c>
      <c r="G2288" s="4" t="s">
        <v>607</v>
      </c>
      <c r="H2288" s="4" t="s">
        <v>607</v>
      </c>
      <c r="I2288" s="4" t="s">
        <v>607</v>
      </c>
      <c r="J2288" s="4" t="s">
        <v>607</v>
      </c>
      <c r="K2288" s="4" t="s">
        <v>607</v>
      </c>
      <c r="L2288" s="4" t="s">
        <v>607</v>
      </c>
      <c r="M2288" s="4" t="s">
        <v>607</v>
      </c>
      <c r="N2288" s="4" t="s">
        <v>607</v>
      </c>
      <c r="O2288" s="4"/>
      <c r="P2288" s="4"/>
      <c r="T2288" s="4"/>
    </row>
    <row r="2289">
      <c r="A2289" s="4" t="s">
        <v>5583</v>
      </c>
      <c r="B2289" s="4" t="s">
        <v>607</v>
      </c>
      <c r="C2289" s="6" t="s">
        <v>607</v>
      </c>
      <c r="D2289" s="6" t="s">
        <v>607</v>
      </c>
      <c r="E2289" s="6" t="s">
        <v>607</v>
      </c>
      <c r="F2289" s="6" t="s">
        <v>607</v>
      </c>
      <c r="G2289" s="4" t="s">
        <v>607</v>
      </c>
      <c r="H2289" s="4" t="s">
        <v>607</v>
      </c>
      <c r="I2289" s="4" t="s">
        <v>607</v>
      </c>
      <c r="J2289" s="4" t="s">
        <v>607</v>
      </c>
      <c r="K2289" s="4" t="s">
        <v>607</v>
      </c>
      <c r="L2289" s="4" t="s">
        <v>607</v>
      </c>
      <c r="M2289" s="4" t="s">
        <v>607</v>
      </c>
      <c r="N2289" s="4" t="s">
        <v>607</v>
      </c>
      <c r="O2289" s="4"/>
      <c r="P2289" s="4"/>
      <c r="T2289" s="4"/>
    </row>
    <row r="2290">
      <c r="A2290" s="4" t="s">
        <v>5584</v>
      </c>
      <c r="B2290" s="4" t="s">
        <v>607</v>
      </c>
      <c r="C2290" s="6" t="s">
        <v>607</v>
      </c>
      <c r="D2290" s="6" t="s">
        <v>607</v>
      </c>
      <c r="E2290" s="6" t="s">
        <v>607</v>
      </c>
      <c r="F2290" s="6" t="s">
        <v>607</v>
      </c>
      <c r="G2290" s="4" t="s">
        <v>607</v>
      </c>
      <c r="H2290" s="4" t="s">
        <v>607</v>
      </c>
      <c r="I2290" s="4" t="s">
        <v>607</v>
      </c>
      <c r="J2290" s="4" t="s">
        <v>607</v>
      </c>
      <c r="K2290" s="4" t="s">
        <v>607</v>
      </c>
      <c r="L2290" s="4" t="s">
        <v>607</v>
      </c>
      <c r="M2290" s="4" t="s">
        <v>607</v>
      </c>
      <c r="N2290" s="4" t="s">
        <v>607</v>
      </c>
      <c r="O2290" s="4"/>
      <c r="P2290" s="4"/>
      <c r="T2290" s="4"/>
    </row>
    <row r="2291">
      <c r="A2291" s="4" t="s">
        <v>5585</v>
      </c>
      <c r="B2291" s="4" t="s">
        <v>607</v>
      </c>
      <c r="C2291" s="6" t="s">
        <v>607</v>
      </c>
      <c r="D2291" s="6" t="s">
        <v>607</v>
      </c>
      <c r="E2291" s="6" t="s">
        <v>607</v>
      </c>
      <c r="F2291" s="6" t="s">
        <v>607</v>
      </c>
      <c r="G2291" s="4" t="s">
        <v>607</v>
      </c>
      <c r="H2291" s="4" t="s">
        <v>607</v>
      </c>
      <c r="I2291" s="4" t="s">
        <v>607</v>
      </c>
      <c r="J2291" s="4" t="s">
        <v>607</v>
      </c>
      <c r="K2291" s="4" t="s">
        <v>607</v>
      </c>
      <c r="L2291" s="4" t="s">
        <v>607</v>
      </c>
      <c r="M2291" s="4" t="s">
        <v>607</v>
      </c>
      <c r="N2291" s="4" t="s">
        <v>607</v>
      </c>
      <c r="O2291" s="4"/>
      <c r="P2291" s="4"/>
      <c r="T2291" s="4"/>
    </row>
    <row r="2292">
      <c r="A2292" s="4" t="s">
        <v>5586</v>
      </c>
      <c r="B2292" s="4" t="s">
        <v>607</v>
      </c>
      <c r="C2292" s="6" t="s">
        <v>607</v>
      </c>
      <c r="D2292" s="6" t="s">
        <v>607</v>
      </c>
      <c r="E2292" s="6" t="s">
        <v>607</v>
      </c>
      <c r="F2292" s="6" t="s">
        <v>607</v>
      </c>
      <c r="G2292" s="4" t="s">
        <v>607</v>
      </c>
      <c r="H2292" s="4" t="s">
        <v>607</v>
      </c>
      <c r="I2292" s="4" t="s">
        <v>607</v>
      </c>
      <c r="J2292" s="4" t="s">
        <v>607</v>
      </c>
      <c r="K2292" s="4" t="s">
        <v>607</v>
      </c>
      <c r="L2292" s="4" t="s">
        <v>607</v>
      </c>
      <c r="M2292" s="4" t="s">
        <v>607</v>
      </c>
      <c r="N2292" s="4" t="s">
        <v>607</v>
      </c>
      <c r="O2292" s="4"/>
      <c r="P2292" s="4"/>
      <c r="T2292" s="4"/>
    </row>
    <row r="2293">
      <c r="A2293" s="4" t="s">
        <v>5587</v>
      </c>
      <c r="B2293" s="4" t="s">
        <v>607</v>
      </c>
      <c r="C2293" s="6" t="s">
        <v>607</v>
      </c>
      <c r="D2293" s="6" t="s">
        <v>607</v>
      </c>
      <c r="E2293" s="6" t="s">
        <v>607</v>
      </c>
      <c r="F2293" s="6" t="s">
        <v>607</v>
      </c>
      <c r="G2293" s="4" t="s">
        <v>607</v>
      </c>
      <c r="H2293" s="4" t="s">
        <v>607</v>
      </c>
      <c r="I2293" s="4" t="s">
        <v>607</v>
      </c>
      <c r="J2293" s="4" t="s">
        <v>607</v>
      </c>
      <c r="K2293" s="4" t="s">
        <v>607</v>
      </c>
      <c r="L2293" s="4" t="s">
        <v>607</v>
      </c>
      <c r="M2293" s="4" t="s">
        <v>607</v>
      </c>
      <c r="N2293" s="4" t="s">
        <v>607</v>
      </c>
      <c r="O2293" s="4"/>
      <c r="P2293" s="4"/>
      <c r="T2293" s="4"/>
    </row>
    <row r="2294">
      <c r="A2294" s="4" t="s">
        <v>5588</v>
      </c>
      <c r="B2294" s="4" t="s">
        <v>607</v>
      </c>
      <c r="C2294" s="6" t="s">
        <v>607</v>
      </c>
      <c r="D2294" s="6" t="s">
        <v>607</v>
      </c>
      <c r="E2294" s="6" t="s">
        <v>607</v>
      </c>
      <c r="F2294" s="6" t="s">
        <v>607</v>
      </c>
      <c r="G2294" s="4" t="s">
        <v>607</v>
      </c>
      <c r="H2294" s="4" t="s">
        <v>607</v>
      </c>
      <c r="I2294" s="4" t="s">
        <v>607</v>
      </c>
      <c r="J2294" s="4" t="s">
        <v>607</v>
      </c>
      <c r="K2294" s="4" t="s">
        <v>607</v>
      </c>
      <c r="L2294" s="4" t="s">
        <v>607</v>
      </c>
      <c r="M2294" s="4" t="s">
        <v>607</v>
      </c>
      <c r="N2294" s="4" t="s">
        <v>607</v>
      </c>
      <c r="O2294" s="4"/>
      <c r="P2294" s="4"/>
      <c r="T2294" s="4"/>
    </row>
    <row r="2295">
      <c r="A2295" s="4" t="s">
        <v>5589</v>
      </c>
      <c r="B2295" s="4" t="s">
        <v>607</v>
      </c>
      <c r="C2295" s="6" t="s">
        <v>607</v>
      </c>
      <c r="D2295" s="6" t="s">
        <v>607</v>
      </c>
      <c r="E2295" s="6" t="s">
        <v>607</v>
      </c>
      <c r="F2295" s="6" t="s">
        <v>607</v>
      </c>
      <c r="G2295" s="4" t="s">
        <v>607</v>
      </c>
      <c r="H2295" s="4" t="s">
        <v>607</v>
      </c>
      <c r="I2295" s="4" t="s">
        <v>607</v>
      </c>
      <c r="J2295" s="4" t="s">
        <v>607</v>
      </c>
      <c r="K2295" s="4" t="s">
        <v>607</v>
      </c>
      <c r="L2295" s="4" t="s">
        <v>607</v>
      </c>
      <c r="M2295" s="4" t="s">
        <v>607</v>
      </c>
      <c r="N2295" s="4" t="s">
        <v>607</v>
      </c>
      <c r="O2295" s="4"/>
      <c r="P2295" s="4"/>
      <c r="T2295" s="4"/>
    </row>
    <row r="2296">
      <c r="A2296" s="4" t="s">
        <v>5590</v>
      </c>
      <c r="B2296" s="4" t="s">
        <v>607</v>
      </c>
      <c r="C2296" s="6" t="s">
        <v>607</v>
      </c>
      <c r="D2296" s="6" t="s">
        <v>607</v>
      </c>
      <c r="E2296" s="6" t="s">
        <v>607</v>
      </c>
      <c r="F2296" s="6" t="s">
        <v>607</v>
      </c>
      <c r="G2296" s="4" t="s">
        <v>607</v>
      </c>
      <c r="H2296" s="4" t="s">
        <v>607</v>
      </c>
      <c r="I2296" s="4" t="s">
        <v>607</v>
      </c>
      <c r="J2296" s="4" t="s">
        <v>607</v>
      </c>
      <c r="K2296" s="4" t="s">
        <v>607</v>
      </c>
      <c r="L2296" s="4" t="s">
        <v>607</v>
      </c>
      <c r="M2296" s="4" t="s">
        <v>607</v>
      </c>
      <c r="N2296" s="4" t="s">
        <v>607</v>
      </c>
      <c r="O2296" s="4"/>
      <c r="P2296" s="4"/>
      <c r="T2296" s="4"/>
    </row>
    <row r="2297">
      <c r="A2297" s="4" t="s">
        <v>5591</v>
      </c>
      <c r="B2297" s="4" t="s">
        <v>607</v>
      </c>
      <c r="C2297" s="6" t="s">
        <v>607</v>
      </c>
      <c r="D2297" s="6" t="s">
        <v>607</v>
      </c>
      <c r="E2297" s="6" t="s">
        <v>607</v>
      </c>
      <c r="F2297" s="6" t="s">
        <v>607</v>
      </c>
      <c r="G2297" s="4" t="s">
        <v>607</v>
      </c>
      <c r="H2297" s="4" t="s">
        <v>607</v>
      </c>
      <c r="I2297" s="4" t="s">
        <v>607</v>
      </c>
      <c r="J2297" s="4" t="s">
        <v>607</v>
      </c>
      <c r="K2297" s="4" t="s">
        <v>607</v>
      </c>
      <c r="L2297" s="4" t="s">
        <v>607</v>
      </c>
      <c r="M2297" s="4" t="s">
        <v>607</v>
      </c>
      <c r="N2297" s="4" t="s">
        <v>607</v>
      </c>
      <c r="O2297" s="4"/>
      <c r="P2297" s="4"/>
      <c r="T2297" s="4"/>
    </row>
    <row r="2298">
      <c r="A2298" s="4" t="s">
        <v>5592</v>
      </c>
      <c r="B2298" s="4" t="s">
        <v>607</v>
      </c>
      <c r="C2298" s="6" t="s">
        <v>607</v>
      </c>
      <c r="D2298" s="6" t="s">
        <v>607</v>
      </c>
      <c r="E2298" s="6" t="s">
        <v>607</v>
      </c>
      <c r="F2298" s="6" t="s">
        <v>607</v>
      </c>
      <c r="G2298" s="4" t="s">
        <v>607</v>
      </c>
      <c r="H2298" s="4" t="s">
        <v>607</v>
      </c>
      <c r="I2298" s="4" t="s">
        <v>607</v>
      </c>
      <c r="J2298" s="4" t="s">
        <v>607</v>
      </c>
      <c r="K2298" s="4" t="s">
        <v>607</v>
      </c>
      <c r="L2298" s="4" t="s">
        <v>607</v>
      </c>
      <c r="M2298" s="4" t="s">
        <v>607</v>
      </c>
      <c r="N2298" s="4" t="s">
        <v>607</v>
      </c>
      <c r="O2298" s="4"/>
      <c r="P2298" s="4"/>
      <c r="T2298" s="4"/>
    </row>
    <row r="2299">
      <c r="A2299" s="4" t="s">
        <v>5593</v>
      </c>
      <c r="B2299" s="4" t="s">
        <v>607</v>
      </c>
      <c r="C2299" s="6" t="s">
        <v>607</v>
      </c>
      <c r="D2299" s="6" t="s">
        <v>607</v>
      </c>
      <c r="E2299" s="6" t="s">
        <v>607</v>
      </c>
      <c r="F2299" s="6" t="s">
        <v>607</v>
      </c>
      <c r="G2299" s="4" t="s">
        <v>607</v>
      </c>
      <c r="H2299" s="4" t="s">
        <v>607</v>
      </c>
      <c r="I2299" s="4" t="s">
        <v>607</v>
      </c>
      <c r="J2299" s="4" t="s">
        <v>607</v>
      </c>
      <c r="K2299" s="4" t="s">
        <v>607</v>
      </c>
      <c r="L2299" s="4" t="s">
        <v>607</v>
      </c>
      <c r="M2299" s="4" t="s">
        <v>607</v>
      </c>
      <c r="N2299" s="4" t="s">
        <v>607</v>
      </c>
      <c r="O2299" s="4"/>
      <c r="P2299" s="4"/>
      <c r="T2299" s="4"/>
    </row>
    <row r="2300">
      <c r="A2300" s="4" t="s">
        <v>5594</v>
      </c>
      <c r="B2300" s="4" t="s">
        <v>607</v>
      </c>
      <c r="C2300" s="6" t="s">
        <v>607</v>
      </c>
      <c r="D2300" s="6" t="s">
        <v>607</v>
      </c>
      <c r="E2300" s="6" t="s">
        <v>607</v>
      </c>
      <c r="F2300" s="6" t="s">
        <v>607</v>
      </c>
      <c r="G2300" s="4" t="s">
        <v>607</v>
      </c>
      <c r="H2300" s="4" t="s">
        <v>607</v>
      </c>
      <c r="I2300" s="4" t="s">
        <v>607</v>
      </c>
      <c r="J2300" s="4" t="s">
        <v>607</v>
      </c>
      <c r="K2300" s="4" t="s">
        <v>607</v>
      </c>
      <c r="L2300" s="4" t="s">
        <v>607</v>
      </c>
      <c r="M2300" s="4" t="s">
        <v>607</v>
      </c>
      <c r="N2300" s="4" t="s">
        <v>607</v>
      </c>
      <c r="O2300" s="4"/>
      <c r="P2300" s="4"/>
      <c r="T2300" s="4"/>
    </row>
    <row r="2301">
      <c r="A2301" s="4" t="s">
        <v>5595</v>
      </c>
      <c r="B2301" s="4" t="s">
        <v>607</v>
      </c>
      <c r="C2301" s="6" t="s">
        <v>607</v>
      </c>
      <c r="D2301" s="6" t="s">
        <v>607</v>
      </c>
      <c r="E2301" s="6" t="s">
        <v>607</v>
      </c>
      <c r="F2301" s="6" t="s">
        <v>607</v>
      </c>
      <c r="G2301" s="4" t="s">
        <v>607</v>
      </c>
      <c r="H2301" s="4" t="s">
        <v>607</v>
      </c>
      <c r="I2301" s="4" t="s">
        <v>607</v>
      </c>
      <c r="J2301" s="4" t="s">
        <v>607</v>
      </c>
      <c r="K2301" s="4" t="s">
        <v>607</v>
      </c>
      <c r="L2301" s="4" t="s">
        <v>607</v>
      </c>
      <c r="M2301" s="4" t="s">
        <v>607</v>
      </c>
      <c r="N2301" s="4" t="s">
        <v>607</v>
      </c>
      <c r="O2301" s="4"/>
      <c r="P2301" s="4"/>
      <c r="T2301" s="4"/>
    </row>
    <row r="2302">
      <c r="A2302" s="4" t="s">
        <v>5596</v>
      </c>
      <c r="B2302" s="4" t="s">
        <v>607</v>
      </c>
      <c r="C2302" s="6" t="s">
        <v>607</v>
      </c>
      <c r="D2302" s="6" t="s">
        <v>607</v>
      </c>
      <c r="E2302" s="6" t="s">
        <v>607</v>
      </c>
      <c r="F2302" s="6" t="s">
        <v>607</v>
      </c>
      <c r="G2302" s="4" t="s">
        <v>607</v>
      </c>
      <c r="H2302" s="4" t="s">
        <v>607</v>
      </c>
      <c r="I2302" s="4" t="s">
        <v>607</v>
      </c>
      <c r="J2302" s="4" t="s">
        <v>607</v>
      </c>
      <c r="K2302" s="4" t="s">
        <v>607</v>
      </c>
      <c r="L2302" s="4" t="s">
        <v>607</v>
      </c>
      <c r="M2302" s="4" t="s">
        <v>607</v>
      </c>
      <c r="N2302" s="4" t="s">
        <v>607</v>
      </c>
      <c r="O2302" s="4"/>
      <c r="P2302" s="4"/>
      <c r="T2302" s="4"/>
    </row>
    <row r="2303">
      <c r="A2303" s="4" t="s">
        <v>5597</v>
      </c>
      <c r="B2303" s="4" t="s">
        <v>607</v>
      </c>
      <c r="C2303" s="6" t="s">
        <v>607</v>
      </c>
      <c r="D2303" s="6" t="s">
        <v>607</v>
      </c>
      <c r="E2303" s="6" t="s">
        <v>607</v>
      </c>
      <c r="F2303" s="6" t="s">
        <v>607</v>
      </c>
      <c r="G2303" s="4" t="s">
        <v>607</v>
      </c>
      <c r="H2303" s="4" t="s">
        <v>607</v>
      </c>
      <c r="I2303" s="4" t="s">
        <v>607</v>
      </c>
      <c r="J2303" s="4" t="s">
        <v>607</v>
      </c>
      <c r="K2303" s="4" t="s">
        <v>607</v>
      </c>
      <c r="L2303" s="4" t="s">
        <v>607</v>
      </c>
      <c r="M2303" s="4" t="s">
        <v>607</v>
      </c>
      <c r="N2303" s="4" t="s">
        <v>607</v>
      </c>
      <c r="O2303" s="4"/>
      <c r="P2303" s="4"/>
      <c r="T2303" s="4"/>
    </row>
    <row r="2304">
      <c r="A2304" s="4" t="s">
        <v>5598</v>
      </c>
      <c r="B2304" s="4" t="s">
        <v>607</v>
      </c>
      <c r="C2304" s="6" t="s">
        <v>607</v>
      </c>
      <c r="D2304" s="6" t="s">
        <v>607</v>
      </c>
      <c r="E2304" s="6" t="s">
        <v>607</v>
      </c>
      <c r="F2304" s="6" t="s">
        <v>607</v>
      </c>
      <c r="G2304" s="4" t="s">
        <v>607</v>
      </c>
      <c r="H2304" s="4" t="s">
        <v>607</v>
      </c>
      <c r="I2304" s="4" t="s">
        <v>607</v>
      </c>
      <c r="J2304" s="4" t="s">
        <v>607</v>
      </c>
      <c r="K2304" s="4" t="s">
        <v>607</v>
      </c>
      <c r="L2304" s="4" t="s">
        <v>607</v>
      </c>
      <c r="M2304" s="4" t="s">
        <v>607</v>
      </c>
      <c r="N2304" s="4" t="s">
        <v>607</v>
      </c>
      <c r="O2304" s="4"/>
      <c r="P2304" s="4"/>
      <c r="T2304" s="4"/>
    </row>
    <row r="2305">
      <c r="A2305" s="4" t="s">
        <v>5599</v>
      </c>
      <c r="B2305" s="4" t="s">
        <v>607</v>
      </c>
      <c r="C2305" s="6" t="s">
        <v>607</v>
      </c>
      <c r="D2305" s="6" t="s">
        <v>607</v>
      </c>
      <c r="E2305" s="6" t="s">
        <v>607</v>
      </c>
      <c r="F2305" s="6" t="s">
        <v>607</v>
      </c>
      <c r="G2305" s="4" t="s">
        <v>607</v>
      </c>
      <c r="H2305" s="4" t="s">
        <v>607</v>
      </c>
      <c r="I2305" s="4" t="s">
        <v>607</v>
      </c>
      <c r="J2305" s="4" t="s">
        <v>607</v>
      </c>
      <c r="K2305" s="4" t="s">
        <v>607</v>
      </c>
      <c r="L2305" s="4" t="s">
        <v>607</v>
      </c>
      <c r="M2305" s="4" t="s">
        <v>607</v>
      </c>
      <c r="N2305" s="4" t="s">
        <v>607</v>
      </c>
      <c r="O2305" s="4"/>
      <c r="P2305" s="4"/>
      <c r="T2305" s="4"/>
    </row>
    <row r="2306">
      <c r="A2306" s="4" t="s">
        <v>5600</v>
      </c>
      <c r="B2306" s="4" t="s">
        <v>607</v>
      </c>
      <c r="C2306" s="6" t="s">
        <v>607</v>
      </c>
      <c r="D2306" s="6" t="s">
        <v>607</v>
      </c>
      <c r="E2306" s="6" t="s">
        <v>607</v>
      </c>
      <c r="F2306" s="6" t="s">
        <v>607</v>
      </c>
      <c r="G2306" s="4" t="s">
        <v>607</v>
      </c>
      <c r="H2306" s="4" t="s">
        <v>607</v>
      </c>
      <c r="I2306" s="4" t="s">
        <v>607</v>
      </c>
      <c r="J2306" s="4" t="s">
        <v>607</v>
      </c>
      <c r="K2306" s="4" t="s">
        <v>607</v>
      </c>
      <c r="L2306" s="4" t="s">
        <v>607</v>
      </c>
      <c r="M2306" s="4" t="s">
        <v>607</v>
      </c>
      <c r="N2306" s="4" t="s">
        <v>607</v>
      </c>
      <c r="O2306" s="4"/>
      <c r="P2306" s="4"/>
      <c r="T2306" s="4"/>
    </row>
    <row r="2307">
      <c r="A2307" s="4" t="s">
        <v>5601</v>
      </c>
      <c r="B2307" s="4" t="s">
        <v>607</v>
      </c>
      <c r="C2307" s="6" t="s">
        <v>607</v>
      </c>
      <c r="D2307" s="6" t="s">
        <v>607</v>
      </c>
      <c r="E2307" s="6" t="s">
        <v>607</v>
      </c>
      <c r="F2307" s="6" t="s">
        <v>607</v>
      </c>
      <c r="G2307" s="4" t="s">
        <v>607</v>
      </c>
      <c r="H2307" s="4" t="s">
        <v>607</v>
      </c>
      <c r="I2307" s="4" t="s">
        <v>607</v>
      </c>
      <c r="J2307" s="4" t="s">
        <v>607</v>
      </c>
      <c r="K2307" s="4" t="s">
        <v>607</v>
      </c>
      <c r="L2307" s="4" t="s">
        <v>607</v>
      </c>
      <c r="M2307" s="4" t="s">
        <v>607</v>
      </c>
      <c r="N2307" s="4" t="s">
        <v>607</v>
      </c>
      <c r="O2307" s="4"/>
      <c r="P2307" s="4"/>
      <c r="T2307" s="4"/>
    </row>
    <row r="2308">
      <c r="A2308" s="4" t="s">
        <v>5602</v>
      </c>
      <c r="B2308" s="4" t="s">
        <v>607</v>
      </c>
      <c r="C2308" s="6" t="s">
        <v>607</v>
      </c>
      <c r="D2308" s="6" t="s">
        <v>607</v>
      </c>
      <c r="E2308" s="6" t="s">
        <v>607</v>
      </c>
      <c r="F2308" s="6" t="s">
        <v>607</v>
      </c>
      <c r="G2308" s="4" t="s">
        <v>607</v>
      </c>
      <c r="H2308" s="4" t="s">
        <v>607</v>
      </c>
      <c r="I2308" s="4" t="s">
        <v>607</v>
      </c>
      <c r="J2308" s="4" t="s">
        <v>607</v>
      </c>
      <c r="K2308" s="4" t="s">
        <v>607</v>
      </c>
      <c r="L2308" s="4" t="s">
        <v>607</v>
      </c>
      <c r="M2308" s="4" t="s">
        <v>607</v>
      </c>
      <c r="N2308" s="4" t="s">
        <v>607</v>
      </c>
      <c r="O2308" s="4"/>
      <c r="P2308" s="4"/>
      <c r="T2308" s="4"/>
    </row>
    <row r="2309">
      <c r="A2309" s="4" t="s">
        <v>5603</v>
      </c>
      <c r="B2309" s="4" t="s">
        <v>607</v>
      </c>
      <c r="C2309" s="6" t="s">
        <v>607</v>
      </c>
      <c r="D2309" s="6" t="s">
        <v>607</v>
      </c>
      <c r="E2309" s="6" t="s">
        <v>607</v>
      </c>
      <c r="F2309" s="6" t="s">
        <v>607</v>
      </c>
      <c r="G2309" s="4" t="s">
        <v>607</v>
      </c>
      <c r="H2309" s="4" t="s">
        <v>607</v>
      </c>
      <c r="I2309" s="4" t="s">
        <v>607</v>
      </c>
      <c r="J2309" s="4" t="s">
        <v>607</v>
      </c>
      <c r="K2309" s="4" t="s">
        <v>607</v>
      </c>
      <c r="L2309" s="4" t="s">
        <v>607</v>
      </c>
      <c r="M2309" s="4" t="s">
        <v>607</v>
      </c>
      <c r="N2309" s="4" t="s">
        <v>607</v>
      </c>
      <c r="O2309" s="4"/>
      <c r="P2309" s="4"/>
      <c r="T2309" s="4"/>
    </row>
    <row r="2310">
      <c r="A2310" s="4" t="s">
        <v>5604</v>
      </c>
      <c r="B2310" s="4" t="s">
        <v>607</v>
      </c>
      <c r="C2310" s="6" t="s">
        <v>607</v>
      </c>
      <c r="D2310" s="6" t="s">
        <v>607</v>
      </c>
      <c r="E2310" s="6" t="s">
        <v>607</v>
      </c>
      <c r="F2310" s="6" t="s">
        <v>607</v>
      </c>
      <c r="G2310" s="4" t="s">
        <v>607</v>
      </c>
      <c r="H2310" s="4" t="s">
        <v>607</v>
      </c>
      <c r="I2310" s="4" t="s">
        <v>607</v>
      </c>
      <c r="J2310" s="4" t="s">
        <v>607</v>
      </c>
      <c r="K2310" s="4" t="s">
        <v>607</v>
      </c>
      <c r="L2310" s="4" t="s">
        <v>607</v>
      </c>
      <c r="M2310" s="4" t="s">
        <v>607</v>
      </c>
      <c r="N2310" s="4" t="s">
        <v>607</v>
      </c>
      <c r="O2310" s="4"/>
      <c r="P2310" s="4"/>
      <c r="T2310" s="4"/>
    </row>
    <row r="2311">
      <c r="A2311" s="4" t="s">
        <v>5605</v>
      </c>
      <c r="B2311" s="4" t="s">
        <v>607</v>
      </c>
      <c r="C2311" s="6" t="s">
        <v>607</v>
      </c>
      <c r="D2311" s="6" t="s">
        <v>607</v>
      </c>
      <c r="E2311" s="6" t="s">
        <v>607</v>
      </c>
      <c r="F2311" s="6" t="s">
        <v>607</v>
      </c>
      <c r="G2311" s="4" t="s">
        <v>607</v>
      </c>
      <c r="H2311" s="4" t="s">
        <v>607</v>
      </c>
      <c r="I2311" s="4" t="s">
        <v>607</v>
      </c>
      <c r="J2311" s="4" t="s">
        <v>607</v>
      </c>
      <c r="K2311" s="4" t="s">
        <v>607</v>
      </c>
      <c r="L2311" s="4" t="s">
        <v>607</v>
      </c>
      <c r="M2311" s="4" t="s">
        <v>607</v>
      </c>
      <c r="N2311" s="4" t="s">
        <v>607</v>
      </c>
      <c r="O2311" s="4"/>
      <c r="P2311" s="4"/>
      <c r="T2311" s="4"/>
    </row>
    <row r="2312">
      <c r="A2312" s="4" t="s">
        <v>5606</v>
      </c>
      <c r="B2312" s="4" t="s">
        <v>607</v>
      </c>
      <c r="C2312" s="6" t="s">
        <v>607</v>
      </c>
      <c r="D2312" s="6" t="s">
        <v>607</v>
      </c>
      <c r="E2312" s="6" t="s">
        <v>607</v>
      </c>
      <c r="F2312" s="6" t="s">
        <v>607</v>
      </c>
      <c r="G2312" s="4" t="s">
        <v>607</v>
      </c>
      <c r="H2312" s="4" t="s">
        <v>607</v>
      </c>
      <c r="I2312" s="4" t="s">
        <v>607</v>
      </c>
      <c r="J2312" s="4" t="s">
        <v>607</v>
      </c>
      <c r="K2312" s="4" t="s">
        <v>607</v>
      </c>
      <c r="L2312" s="4" t="s">
        <v>607</v>
      </c>
      <c r="M2312" s="4" t="s">
        <v>607</v>
      </c>
      <c r="N2312" s="4" t="s">
        <v>607</v>
      </c>
      <c r="O2312" s="4"/>
      <c r="P2312" s="4"/>
      <c r="T2312" s="4"/>
    </row>
    <row r="2313">
      <c r="A2313" s="4" t="s">
        <v>5607</v>
      </c>
      <c r="B2313" s="4" t="s">
        <v>607</v>
      </c>
      <c r="C2313" s="6" t="s">
        <v>607</v>
      </c>
      <c r="D2313" s="6" t="s">
        <v>607</v>
      </c>
      <c r="E2313" s="6" t="s">
        <v>607</v>
      </c>
      <c r="F2313" s="6" t="s">
        <v>607</v>
      </c>
      <c r="G2313" s="4" t="s">
        <v>607</v>
      </c>
      <c r="H2313" s="4" t="s">
        <v>607</v>
      </c>
      <c r="I2313" s="4" t="s">
        <v>607</v>
      </c>
      <c r="J2313" s="4" t="s">
        <v>607</v>
      </c>
      <c r="K2313" s="4" t="s">
        <v>607</v>
      </c>
      <c r="L2313" s="4" t="s">
        <v>607</v>
      </c>
      <c r="M2313" s="4" t="s">
        <v>607</v>
      </c>
      <c r="N2313" s="4" t="s">
        <v>607</v>
      </c>
      <c r="O2313" s="4"/>
      <c r="P2313" s="4"/>
      <c r="T2313" s="4"/>
    </row>
    <row r="2314">
      <c r="A2314" s="4" t="s">
        <v>5608</v>
      </c>
      <c r="B2314" s="4" t="s">
        <v>607</v>
      </c>
      <c r="C2314" s="6" t="s">
        <v>607</v>
      </c>
      <c r="D2314" s="6" t="s">
        <v>607</v>
      </c>
      <c r="E2314" s="6" t="s">
        <v>607</v>
      </c>
      <c r="F2314" s="6" t="s">
        <v>607</v>
      </c>
      <c r="G2314" s="4" t="s">
        <v>607</v>
      </c>
      <c r="H2314" s="4" t="s">
        <v>607</v>
      </c>
      <c r="I2314" s="4" t="s">
        <v>607</v>
      </c>
      <c r="J2314" s="4" t="s">
        <v>607</v>
      </c>
      <c r="K2314" s="4" t="s">
        <v>607</v>
      </c>
      <c r="L2314" s="4" t="s">
        <v>607</v>
      </c>
      <c r="M2314" s="4" t="s">
        <v>607</v>
      </c>
      <c r="N2314" s="4" t="s">
        <v>607</v>
      </c>
      <c r="O2314" s="4"/>
      <c r="P2314" s="4"/>
      <c r="T2314" s="4"/>
    </row>
    <row r="2315">
      <c r="A2315" s="4" t="s">
        <v>5609</v>
      </c>
      <c r="B2315" s="4" t="s">
        <v>607</v>
      </c>
      <c r="C2315" s="6" t="s">
        <v>607</v>
      </c>
      <c r="D2315" s="6" t="s">
        <v>607</v>
      </c>
      <c r="E2315" s="6" t="s">
        <v>607</v>
      </c>
      <c r="F2315" s="6" t="s">
        <v>607</v>
      </c>
      <c r="G2315" s="4" t="s">
        <v>607</v>
      </c>
      <c r="H2315" s="4" t="s">
        <v>607</v>
      </c>
      <c r="I2315" s="4" t="s">
        <v>607</v>
      </c>
      <c r="J2315" s="4" t="s">
        <v>607</v>
      </c>
      <c r="K2315" s="4" t="s">
        <v>607</v>
      </c>
      <c r="L2315" s="4" t="s">
        <v>607</v>
      </c>
      <c r="M2315" s="4" t="s">
        <v>607</v>
      </c>
      <c r="N2315" s="4" t="s">
        <v>607</v>
      </c>
      <c r="O2315" s="4"/>
      <c r="P2315" s="4"/>
      <c r="T2315" s="4"/>
    </row>
    <row r="2316">
      <c r="A2316" s="4" t="s">
        <v>5610</v>
      </c>
      <c r="B2316" s="4" t="s">
        <v>607</v>
      </c>
      <c r="C2316" s="6" t="s">
        <v>607</v>
      </c>
      <c r="D2316" s="6" t="s">
        <v>607</v>
      </c>
      <c r="E2316" s="6" t="s">
        <v>607</v>
      </c>
      <c r="F2316" s="6" t="s">
        <v>607</v>
      </c>
      <c r="G2316" s="4" t="s">
        <v>607</v>
      </c>
      <c r="H2316" s="4" t="s">
        <v>607</v>
      </c>
      <c r="I2316" s="4" t="s">
        <v>607</v>
      </c>
      <c r="J2316" s="4" t="s">
        <v>607</v>
      </c>
      <c r="K2316" s="4" t="s">
        <v>607</v>
      </c>
      <c r="L2316" s="4" t="s">
        <v>607</v>
      </c>
      <c r="M2316" s="4" t="s">
        <v>607</v>
      </c>
      <c r="N2316" s="4" t="s">
        <v>607</v>
      </c>
      <c r="O2316" s="4"/>
      <c r="P2316" s="4"/>
      <c r="T2316" s="4"/>
    </row>
    <row r="2317">
      <c r="A2317" s="4" t="s">
        <v>5611</v>
      </c>
      <c r="B2317" s="4" t="s">
        <v>607</v>
      </c>
      <c r="C2317" s="6" t="s">
        <v>607</v>
      </c>
      <c r="D2317" s="6" t="s">
        <v>607</v>
      </c>
      <c r="E2317" s="6" t="s">
        <v>607</v>
      </c>
      <c r="F2317" s="6" t="s">
        <v>607</v>
      </c>
      <c r="G2317" s="4" t="s">
        <v>607</v>
      </c>
      <c r="H2317" s="4" t="s">
        <v>607</v>
      </c>
      <c r="I2317" s="4" t="s">
        <v>607</v>
      </c>
      <c r="J2317" s="4" t="s">
        <v>607</v>
      </c>
      <c r="K2317" s="4" t="s">
        <v>607</v>
      </c>
      <c r="L2317" s="4" t="s">
        <v>607</v>
      </c>
      <c r="M2317" s="4" t="s">
        <v>607</v>
      </c>
      <c r="N2317" s="4" t="s">
        <v>607</v>
      </c>
      <c r="O2317" s="4"/>
      <c r="P2317" s="4"/>
      <c r="T2317" s="4"/>
    </row>
    <row r="2318">
      <c r="A2318" s="4" t="s">
        <v>5612</v>
      </c>
      <c r="B2318" s="4" t="s">
        <v>607</v>
      </c>
      <c r="C2318" s="6" t="s">
        <v>607</v>
      </c>
      <c r="D2318" s="6" t="s">
        <v>607</v>
      </c>
      <c r="E2318" s="6" t="s">
        <v>607</v>
      </c>
      <c r="F2318" s="6" t="s">
        <v>607</v>
      </c>
      <c r="G2318" s="4" t="s">
        <v>607</v>
      </c>
      <c r="H2318" s="4" t="s">
        <v>607</v>
      </c>
      <c r="I2318" s="4" t="s">
        <v>607</v>
      </c>
      <c r="J2318" s="4" t="s">
        <v>607</v>
      </c>
      <c r="K2318" s="4" t="s">
        <v>607</v>
      </c>
      <c r="L2318" s="4" t="s">
        <v>607</v>
      </c>
      <c r="M2318" s="4" t="s">
        <v>607</v>
      </c>
      <c r="N2318" s="4" t="s">
        <v>607</v>
      </c>
      <c r="O2318" s="4"/>
      <c r="P2318" s="4"/>
      <c r="T2318" s="4"/>
    </row>
    <row r="2319">
      <c r="A2319" s="4" t="s">
        <v>5613</v>
      </c>
      <c r="B2319" s="4" t="s">
        <v>607</v>
      </c>
      <c r="C2319" s="6" t="s">
        <v>607</v>
      </c>
      <c r="D2319" s="6" t="s">
        <v>607</v>
      </c>
      <c r="E2319" s="6" t="s">
        <v>607</v>
      </c>
      <c r="F2319" s="6" t="s">
        <v>607</v>
      </c>
      <c r="G2319" s="4" t="s">
        <v>607</v>
      </c>
      <c r="H2319" s="4" t="s">
        <v>607</v>
      </c>
      <c r="I2319" s="4" t="s">
        <v>607</v>
      </c>
      <c r="J2319" s="4" t="s">
        <v>607</v>
      </c>
      <c r="K2319" s="4" t="s">
        <v>607</v>
      </c>
      <c r="L2319" s="4" t="s">
        <v>607</v>
      </c>
      <c r="M2319" s="4" t="s">
        <v>607</v>
      </c>
      <c r="N2319" s="4" t="s">
        <v>607</v>
      </c>
      <c r="O2319" s="4"/>
      <c r="P2319" s="4"/>
      <c r="T2319" s="4"/>
    </row>
    <row r="2320">
      <c r="A2320" s="4" t="s">
        <v>5614</v>
      </c>
      <c r="B2320" s="4" t="s">
        <v>607</v>
      </c>
      <c r="C2320" s="6" t="s">
        <v>607</v>
      </c>
      <c r="D2320" s="6" t="s">
        <v>607</v>
      </c>
      <c r="E2320" s="6" t="s">
        <v>607</v>
      </c>
      <c r="F2320" s="6" t="s">
        <v>607</v>
      </c>
      <c r="G2320" s="4" t="s">
        <v>607</v>
      </c>
      <c r="H2320" s="4" t="s">
        <v>607</v>
      </c>
      <c r="I2320" s="4" t="s">
        <v>607</v>
      </c>
      <c r="J2320" s="4" t="s">
        <v>607</v>
      </c>
      <c r="K2320" s="4" t="s">
        <v>607</v>
      </c>
      <c r="L2320" s="4" t="s">
        <v>607</v>
      </c>
      <c r="M2320" s="4" t="s">
        <v>607</v>
      </c>
      <c r="N2320" s="4" t="s">
        <v>607</v>
      </c>
      <c r="O2320" s="4"/>
      <c r="P2320" s="4"/>
      <c r="T2320" s="4"/>
    </row>
    <row r="2321">
      <c r="A2321" s="4" t="s">
        <v>5615</v>
      </c>
      <c r="B2321" s="4" t="s">
        <v>607</v>
      </c>
      <c r="C2321" s="6" t="s">
        <v>607</v>
      </c>
      <c r="D2321" s="6" t="s">
        <v>607</v>
      </c>
      <c r="E2321" s="6" t="s">
        <v>607</v>
      </c>
      <c r="F2321" s="6" t="s">
        <v>607</v>
      </c>
      <c r="G2321" s="4" t="s">
        <v>607</v>
      </c>
      <c r="H2321" s="4" t="s">
        <v>607</v>
      </c>
      <c r="I2321" s="4" t="s">
        <v>607</v>
      </c>
      <c r="J2321" s="4" t="s">
        <v>607</v>
      </c>
      <c r="K2321" s="4" t="s">
        <v>607</v>
      </c>
      <c r="L2321" s="4" t="s">
        <v>607</v>
      </c>
      <c r="M2321" s="4" t="s">
        <v>607</v>
      </c>
      <c r="N2321" s="4" t="s">
        <v>607</v>
      </c>
      <c r="O2321" s="4"/>
      <c r="P2321" s="4"/>
      <c r="T2321" s="4"/>
    </row>
    <row r="2322">
      <c r="A2322" s="4" t="s">
        <v>5616</v>
      </c>
      <c r="B2322" s="4" t="s">
        <v>607</v>
      </c>
      <c r="C2322" s="6" t="s">
        <v>607</v>
      </c>
      <c r="D2322" s="6" t="s">
        <v>607</v>
      </c>
      <c r="E2322" s="6" t="s">
        <v>607</v>
      </c>
      <c r="F2322" s="6" t="s">
        <v>607</v>
      </c>
      <c r="G2322" s="4" t="s">
        <v>607</v>
      </c>
      <c r="H2322" s="4" t="s">
        <v>607</v>
      </c>
      <c r="I2322" s="4" t="s">
        <v>607</v>
      </c>
      <c r="J2322" s="4" t="s">
        <v>607</v>
      </c>
      <c r="K2322" s="4" t="s">
        <v>607</v>
      </c>
      <c r="L2322" s="4" t="s">
        <v>607</v>
      </c>
      <c r="M2322" s="4" t="s">
        <v>607</v>
      </c>
      <c r="N2322" s="4" t="s">
        <v>607</v>
      </c>
      <c r="O2322" s="4"/>
      <c r="P2322" s="4"/>
      <c r="T2322" s="4"/>
    </row>
    <row r="2323">
      <c r="A2323" s="4" t="s">
        <v>5617</v>
      </c>
      <c r="B2323" s="4" t="s">
        <v>607</v>
      </c>
      <c r="C2323" s="6" t="s">
        <v>607</v>
      </c>
      <c r="D2323" s="6" t="s">
        <v>607</v>
      </c>
      <c r="E2323" s="6" t="s">
        <v>607</v>
      </c>
      <c r="F2323" s="6" t="s">
        <v>607</v>
      </c>
      <c r="G2323" s="4" t="s">
        <v>607</v>
      </c>
      <c r="H2323" s="4" t="s">
        <v>607</v>
      </c>
      <c r="I2323" s="4" t="s">
        <v>607</v>
      </c>
      <c r="J2323" s="4" t="s">
        <v>607</v>
      </c>
      <c r="K2323" s="4" t="s">
        <v>607</v>
      </c>
      <c r="L2323" s="4" t="s">
        <v>607</v>
      </c>
      <c r="M2323" s="4" t="s">
        <v>607</v>
      </c>
      <c r="N2323" s="4" t="s">
        <v>607</v>
      </c>
      <c r="O2323" s="4"/>
      <c r="P2323" s="4"/>
      <c r="T2323" s="4"/>
    </row>
    <row r="2324">
      <c r="A2324" s="4" t="s">
        <v>5618</v>
      </c>
      <c r="B2324" s="4" t="s">
        <v>607</v>
      </c>
      <c r="C2324" s="6" t="s">
        <v>607</v>
      </c>
      <c r="D2324" s="6" t="s">
        <v>607</v>
      </c>
      <c r="E2324" s="6" t="s">
        <v>607</v>
      </c>
      <c r="F2324" s="6" t="s">
        <v>607</v>
      </c>
      <c r="G2324" s="4" t="s">
        <v>607</v>
      </c>
      <c r="H2324" s="4" t="s">
        <v>607</v>
      </c>
      <c r="I2324" s="4" t="s">
        <v>607</v>
      </c>
      <c r="J2324" s="4" t="s">
        <v>607</v>
      </c>
      <c r="K2324" s="4" t="s">
        <v>607</v>
      </c>
      <c r="L2324" s="4" t="s">
        <v>607</v>
      </c>
      <c r="M2324" s="4" t="s">
        <v>607</v>
      </c>
      <c r="N2324" s="4" t="s">
        <v>607</v>
      </c>
      <c r="O2324" s="4"/>
      <c r="P2324" s="4"/>
      <c r="T2324" s="4"/>
    </row>
    <row r="2325">
      <c r="A2325" s="4" t="s">
        <v>5619</v>
      </c>
      <c r="B2325" s="4" t="s">
        <v>607</v>
      </c>
      <c r="C2325" s="6" t="s">
        <v>607</v>
      </c>
      <c r="D2325" s="6" t="s">
        <v>607</v>
      </c>
      <c r="E2325" s="6" t="s">
        <v>607</v>
      </c>
      <c r="F2325" s="6" t="s">
        <v>607</v>
      </c>
      <c r="G2325" s="4" t="s">
        <v>607</v>
      </c>
      <c r="H2325" s="4" t="s">
        <v>607</v>
      </c>
      <c r="I2325" s="4" t="s">
        <v>607</v>
      </c>
      <c r="J2325" s="4" t="s">
        <v>607</v>
      </c>
      <c r="K2325" s="4" t="s">
        <v>607</v>
      </c>
      <c r="L2325" s="4" t="s">
        <v>607</v>
      </c>
      <c r="M2325" s="4" t="s">
        <v>607</v>
      </c>
      <c r="N2325" s="4" t="s">
        <v>607</v>
      </c>
      <c r="O2325" s="4"/>
      <c r="P2325" s="4"/>
      <c r="T2325" s="4"/>
    </row>
    <row r="2326">
      <c r="A2326" s="4" t="s">
        <v>5620</v>
      </c>
      <c r="B2326" s="4" t="s">
        <v>607</v>
      </c>
      <c r="C2326" s="6" t="s">
        <v>607</v>
      </c>
      <c r="D2326" s="6" t="s">
        <v>607</v>
      </c>
      <c r="E2326" s="6" t="s">
        <v>607</v>
      </c>
      <c r="F2326" s="6" t="s">
        <v>607</v>
      </c>
      <c r="G2326" s="4" t="s">
        <v>607</v>
      </c>
      <c r="H2326" s="4" t="s">
        <v>607</v>
      </c>
      <c r="I2326" s="4" t="s">
        <v>607</v>
      </c>
      <c r="J2326" s="4" t="s">
        <v>607</v>
      </c>
      <c r="K2326" s="4" t="s">
        <v>607</v>
      </c>
      <c r="L2326" s="4" t="s">
        <v>607</v>
      </c>
      <c r="M2326" s="4" t="s">
        <v>607</v>
      </c>
      <c r="N2326" s="4" t="s">
        <v>607</v>
      </c>
      <c r="O2326" s="4"/>
      <c r="P2326" s="4"/>
      <c r="T2326" s="4"/>
    </row>
    <row r="2327">
      <c r="A2327" s="4" t="s">
        <v>5621</v>
      </c>
      <c r="B2327" s="4" t="s">
        <v>607</v>
      </c>
      <c r="C2327" s="6" t="s">
        <v>607</v>
      </c>
      <c r="D2327" s="6" t="s">
        <v>607</v>
      </c>
      <c r="E2327" s="6" t="s">
        <v>607</v>
      </c>
      <c r="F2327" s="6" t="s">
        <v>607</v>
      </c>
      <c r="G2327" s="4" t="s">
        <v>607</v>
      </c>
      <c r="H2327" s="4" t="s">
        <v>607</v>
      </c>
      <c r="I2327" s="4" t="s">
        <v>607</v>
      </c>
      <c r="J2327" s="4" t="s">
        <v>607</v>
      </c>
      <c r="K2327" s="4" t="s">
        <v>607</v>
      </c>
      <c r="L2327" s="4" t="s">
        <v>607</v>
      </c>
      <c r="M2327" s="4" t="s">
        <v>607</v>
      </c>
      <c r="N2327" s="4" t="s">
        <v>607</v>
      </c>
      <c r="O2327" s="4"/>
      <c r="P2327" s="4"/>
      <c r="T2327" s="4"/>
    </row>
    <row r="2328">
      <c r="A2328" s="4" t="s">
        <v>5622</v>
      </c>
      <c r="B2328" s="4" t="s">
        <v>607</v>
      </c>
      <c r="C2328" s="6" t="s">
        <v>607</v>
      </c>
      <c r="D2328" s="6" t="s">
        <v>607</v>
      </c>
      <c r="E2328" s="6" t="s">
        <v>607</v>
      </c>
      <c r="F2328" s="6" t="s">
        <v>607</v>
      </c>
      <c r="G2328" s="4" t="s">
        <v>607</v>
      </c>
      <c r="H2328" s="4" t="s">
        <v>607</v>
      </c>
      <c r="I2328" s="4" t="s">
        <v>607</v>
      </c>
      <c r="J2328" s="4" t="s">
        <v>607</v>
      </c>
      <c r="K2328" s="4" t="s">
        <v>607</v>
      </c>
      <c r="L2328" s="4" t="s">
        <v>607</v>
      </c>
      <c r="M2328" s="4" t="s">
        <v>607</v>
      </c>
      <c r="N2328" s="4" t="s">
        <v>607</v>
      </c>
      <c r="O2328" s="4"/>
      <c r="P2328" s="4"/>
      <c r="T2328" s="4"/>
    </row>
    <row r="2329">
      <c r="A2329" s="4" t="s">
        <v>5623</v>
      </c>
      <c r="B2329" s="4" t="s">
        <v>607</v>
      </c>
      <c r="C2329" s="6" t="s">
        <v>607</v>
      </c>
      <c r="D2329" s="6" t="s">
        <v>607</v>
      </c>
      <c r="E2329" s="6" t="s">
        <v>607</v>
      </c>
      <c r="F2329" s="6" t="s">
        <v>607</v>
      </c>
      <c r="G2329" s="4" t="s">
        <v>607</v>
      </c>
      <c r="H2329" s="4" t="s">
        <v>607</v>
      </c>
      <c r="I2329" s="4" t="s">
        <v>607</v>
      </c>
      <c r="J2329" s="4" t="s">
        <v>607</v>
      </c>
      <c r="K2329" s="4" t="s">
        <v>607</v>
      </c>
      <c r="L2329" s="4" t="s">
        <v>607</v>
      </c>
      <c r="M2329" s="4" t="s">
        <v>607</v>
      </c>
      <c r="N2329" s="4" t="s">
        <v>607</v>
      </c>
      <c r="O2329" s="4"/>
      <c r="P2329" s="4"/>
      <c r="T2329" s="4"/>
    </row>
    <row r="2330">
      <c r="A2330" s="4" t="s">
        <v>5624</v>
      </c>
      <c r="B2330" s="4" t="s">
        <v>607</v>
      </c>
      <c r="C2330" s="6" t="s">
        <v>607</v>
      </c>
      <c r="D2330" s="6" t="s">
        <v>607</v>
      </c>
      <c r="E2330" s="6" t="s">
        <v>607</v>
      </c>
      <c r="F2330" s="6" t="s">
        <v>607</v>
      </c>
      <c r="G2330" s="4" t="s">
        <v>607</v>
      </c>
      <c r="H2330" s="4" t="s">
        <v>607</v>
      </c>
      <c r="I2330" s="4" t="s">
        <v>607</v>
      </c>
      <c r="J2330" s="4" t="s">
        <v>607</v>
      </c>
      <c r="K2330" s="4" t="s">
        <v>607</v>
      </c>
      <c r="L2330" s="4" t="s">
        <v>607</v>
      </c>
      <c r="M2330" s="4" t="s">
        <v>607</v>
      </c>
      <c r="N2330" s="4" t="s">
        <v>607</v>
      </c>
      <c r="O2330" s="4"/>
      <c r="P2330" s="4"/>
      <c r="T2330" s="4"/>
    </row>
    <row r="2331">
      <c r="A2331" s="4" t="s">
        <v>5625</v>
      </c>
      <c r="B2331" s="4" t="s">
        <v>607</v>
      </c>
      <c r="C2331" s="6" t="s">
        <v>607</v>
      </c>
      <c r="D2331" s="6" t="s">
        <v>607</v>
      </c>
      <c r="E2331" s="6" t="s">
        <v>607</v>
      </c>
      <c r="F2331" s="6" t="s">
        <v>607</v>
      </c>
      <c r="G2331" s="4" t="s">
        <v>607</v>
      </c>
      <c r="H2331" s="4" t="s">
        <v>607</v>
      </c>
      <c r="I2331" s="4" t="s">
        <v>607</v>
      </c>
      <c r="J2331" s="4" t="s">
        <v>607</v>
      </c>
      <c r="K2331" s="4" t="s">
        <v>607</v>
      </c>
      <c r="L2331" s="4" t="s">
        <v>607</v>
      </c>
      <c r="M2331" s="4" t="s">
        <v>607</v>
      </c>
      <c r="N2331" s="4" t="s">
        <v>607</v>
      </c>
      <c r="O2331" s="4"/>
      <c r="P2331" s="4"/>
      <c r="T2331" s="4"/>
    </row>
    <row r="2332">
      <c r="A2332" s="4" t="s">
        <v>5626</v>
      </c>
      <c r="B2332" s="4" t="s">
        <v>607</v>
      </c>
      <c r="C2332" s="6" t="s">
        <v>607</v>
      </c>
      <c r="D2332" s="6" t="s">
        <v>607</v>
      </c>
      <c r="E2332" s="6" t="s">
        <v>607</v>
      </c>
      <c r="F2332" s="6" t="s">
        <v>607</v>
      </c>
      <c r="G2332" s="4" t="s">
        <v>607</v>
      </c>
      <c r="H2332" s="4" t="s">
        <v>607</v>
      </c>
      <c r="I2332" s="4" t="s">
        <v>607</v>
      </c>
      <c r="J2332" s="4" t="s">
        <v>607</v>
      </c>
      <c r="K2332" s="4" t="s">
        <v>607</v>
      </c>
      <c r="L2332" s="4" t="s">
        <v>607</v>
      </c>
      <c r="M2332" s="4" t="s">
        <v>607</v>
      </c>
      <c r="N2332" s="4" t="s">
        <v>607</v>
      </c>
      <c r="O2332" s="4"/>
      <c r="P2332" s="4"/>
      <c r="T2332" s="4"/>
    </row>
    <row r="2333">
      <c r="A2333" s="4" t="s">
        <v>5627</v>
      </c>
      <c r="B2333" s="4" t="s">
        <v>607</v>
      </c>
      <c r="C2333" s="6" t="s">
        <v>607</v>
      </c>
      <c r="D2333" s="6" t="s">
        <v>607</v>
      </c>
      <c r="E2333" s="6" t="s">
        <v>607</v>
      </c>
      <c r="F2333" s="6" t="s">
        <v>607</v>
      </c>
      <c r="G2333" s="4" t="s">
        <v>607</v>
      </c>
      <c r="H2333" s="4" t="s">
        <v>607</v>
      </c>
      <c r="I2333" s="4" t="s">
        <v>607</v>
      </c>
      <c r="J2333" s="4" t="s">
        <v>607</v>
      </c>
      <c r="K2333" s="4" t="s">
        <v>607</v>
      </c>
      <c r="L2333" s="4" t="s">
        <v>607</v>
      </c>
      <c r="M2333" s="4" t="s">
        <v>607</v>
      </c>
      <c r="N2333" s="4" t="s">
        <v>607</v>
      </c>
      <c r="O2333" s="4"/>
      <c r="P2333" s="4"/>
      <c r="T2333" s="4"/>
    </row>
    <row r="2334">
      <c r="A2334" s="4" t="s">
        <v>5628</v>
      </c>
      <c r="B2334" s="4" t="s">
        <v>607</v>
      </c>
      <c r="C2334" s="6" t="s">
        <v>607</v>
      </c>
      <c r="D2334" s="6" t="s">
        <v>607</v>
      </c>
      <c r="E2334" s="6" t="s">
        <v>607</v>
      </c>
      <c r="F2334" s="6" t="s">
        <v>607</v>
      </c>
      <c r="G2334" s="4" t="s">
        <v>607</v>
      </c>
      <c r="H2334" s="4" t="s">
        <v>607</v>
      </c>
      <c r="I2334" s="4" t="s">
        <v>607</v>
      </c>
      <c r="J2334" s="4" t="s">
        <v>607</v>
      </c>
      <c r="K2334" s="4" t="s">
        <v>607</v>
      </c>
      <c r="L2334" s="4" t="s">
        <v>607</v>
      </c>
      <c r="M2334" s="4" t="s">
        <v>607</v>
      </c>
      <c r="N2334" s="4" t="s">
        <v>607</v>
      </c>
      <c r="O2334" s="4"/>
      <c r="P2334" s="4"/>
      <c r="T2334" s="4"/>
    </row>
    <row r="2335">
      <c r="A2335" s="4" t="s">
        <v>5629</v>
      </c>
      <c r="B2335" s="4" t="s">
        <v>607</v>
      </c>
      <c r="C2335" s="6" t="s">
        <v>607</v>
      </c>
      <c r="D2335" s="6" t="s">
        <v>607</v>
      </c>
      <c r="E2335" s="6" t="s">
        <v>607</v>
      </c>
      <c r="F2335" s="6" t="s">
        <v>607</v>
      </c>
      <c r="G2335" s="4" t="s">
        <v>607</v>
      </c>
      <c r="H2335" s="4" t="s">
        <v>607</v>
      </c>
      <c r="I2335" s="4" t="s">
        <v>607</v>
      </c>
      <c r="J2335" s="4" t="s">
        <v>607</v>
      </c>
      <c r="K2335" s="4" t="s">
        <v>607</v>
      </c>
      <c r="L2335" s="4" t="s">
        <v>607</v>
      </c>
      <c r="M2335" s="4" t="s">
        <v>607</v>
      </c>
      <c r="N2335" s="4" t="s">
        <v>607</v>
      </c>
      <c r="O2335" s="4"/>
      <c r="P2335" s="4"/>
      <c r="T2335" s="4"/>
    </row>
    <row r="2336">
      <c r="A2336" s="4" t="s">
        <v>5630</v>
      </c>
      <c r="B2336" s="4" t="s">
        <v>607</v>
      </c>
      <c r="C2336" s="6" t="s">
        <v>607</v>
      </c>
      <c r="D2336" s="6" t="s">
        <v>607</v>
      </c>
      <c r="E2336" s="6" t="s">
        <v>607</v>
      </c>
      <c r="F2336" s="6" t="s">
        <v>607</v>
      </c>
      <c r="G2336" s="4" t="s">
        <v>607</v>
      </c>
      <c r="H2336" s="4" t="s">
        <v>607</v>
      </c>
      <c r="I2336" s="4" t="s">
        <v>607</v>
      </c>
      <c r="J2336" s="4" t="s">
        <v>607</v>
      </c>
      <c r="K2336" s="4" t="s">
        <v>607</v>
      </c>
      <c r="L2336" s="4" t="s">
        <v>607</v>
      </c>
      <c r="M2336" s="4" t="s">
        <v>607</v>
      </c>
      <c r="N2336" s="4" t="s">
        <v>607</v>
      </c>
      <c r="O2336" s="4"/>
      <c r="P2336" s="4"/>
      <c r="T2336" s="4"/>
    </row>
    <row r="2337">
      <c r="A2337" s="4" t="s">
        <v>5631</v>
      </c>
      <c r="B2337" s="4" t="s">
        <v>607</v>
      </c>
      <c r="C2337" s="6" t="s">
        <v>607</v>
      </c>
      <c r="D2337" s="6" t="s">
        <v>607</v>
      </c>
      <c r="E2337" s="6" t="s">
        <v>607</v>
      </c>
      <c r="F2337" s="6" t="s">
        <v>607</v>
      </c>
      <c r="G2337" s="4" t="s">
        <v>607</v>
      </c>
      <c r="H2337" s="4" t="s">
        <v>607</v>
      </c>
      <c r="I2337" s="4" t="s">
        <v>607</v>
      </c>
      <c r="J2337" s="4" t="s">
        <v>607</v>
      </c>
      <c r="K2337" s="4" t="s">
        <v>607</v>
      </c>
      <c r="L2337" s="4" t="s">
        <v>607</v>
      </c>
      <c r="M2337" s="4" t="s">
        <v>607</v>
      </c>
      <c r="N2337" s="4" t="s">
        <v>607</v>
      </c>
      <c r="O2337" s="4"/>
      <c r="P2337" s="4"/>
      <c r="T2337" s="4"/>
    </row>
    <row r="2338">
      <c r="A2338" s="4" t="s">
        <v>5632</v>
      </c>
      <c r="B2338" s="4" t="s">
        <v>607</v>
      </c>
      <c r="C2338" s="6" t="s">
        <v>607</v>
      </c>
      <c r="D2338" s="6" t="s">
        <v>607</v>
      </c>
      <c r="E2338" s="6" t="s">
        <v>607</v>
      </c>
      <c r="F2338" s="6" t="s">
        <v>607</v>
      </c>
      <c r="G2338" s="4" t="s">
        <v>607</v>
      </c>
      <c r="H2338" s="4" t="s">
        <v>607</v>
      </c>
      <c r="I2338" s="4" t="s">
        <v>607</v>
      </c>
      <c r="J2338" s="4" t="s">
        <v>607</v>
      </c>
      <c r="K2338" s="4" t="s">
        <v>607</v>
      </c>
      <c r="L2338" s="4" t="s">
        <v>607</v>
      </c>
      <c r="M2338" s="4" t="s">
        <v>607</v>
      </c>
      <c r="N2338" s="4" t="s">
        <v>607</v>
      </c>
      <c r="O2338" s="4"/>
      <c r="P2338" s="4"/>
      <c r="T2338" s="4"/>
    </row>
    <row r="2339">
      <c r="A2339" s="4" t="s">
        <v>5633</v>
      </c>
      <c r="B2339" s="4" t="s">
        <v>607</v>
      </c>
      <c r="C2339" s="6" t="s">
        <v>607</v>
      </c>
      <c r="D2339" s="6" t="s">
        <v>607</v>
      </c>
      <c r="E2339" s="6" t="s">
        <v>607</v>
      </c>
      <c r="F2339" s="6" t="s">
        <v>607</v>
      </c>
      <c r="G2339" s="4" t="s">
        <v>607</v>
      </c>
      <c r="H2339" s="4" t="s">
        <v>607</v>
      </c>
      <c r="I2339" s="4" t="s">
        <v>607</v>
      </c>
      <c r="J2339" s="4" t="s">
        <v>607</v>
      </c>
      <c r="K2339" s="4" t="s">
        <v>607</v>
      </c>
      <c r="L2339" s="4" t="s">
        <v>607</v>
      </c>
      <c r="M2339" s="4" t="s">
        <v>607</v>
      </c>
      <c r="N2339" s="4" t="s">
        <v>607</v>
      </c>
      <c r="O2339" s="4"/>
      <c r="P2339" s="4"/>
      <c r="T2339" s="4"/>
    </row>
    <row r="2340">
      <c r="A2340" s="4" t="s">
        <v>5634</v>
      </c>
      <c r="B2340" s="4" t="s">
        <v>607</v>
      </c>
      <c r="C2340" s="6" t="s">
        <v>607</v>
      </c>
      <c r="D2340" s="6" t="s">
        <v>607</v>
      </c>
      <c r="E2340" s="6" t="s">
        <v>607</v>
      </c>
      <c r="F2340" s="6" t="s">
        <v>607</v>
      </c>
      <c r="G2340" s="4" t="s">
        <v>607</v>
      </c>
      <c r="H2340" s="4" t="s">
        <v>607</v>
      </c>
      <c r="I2340" s="4" t="s">
        <v>607</v>
      </c>
      <c r="J2340" s="4" t="s">
        <v>607</v>
      </c>
      <c r="K2340" s="4" t="s">
        <v>607</v>
      </c>
      <c r="L2340" s="4" t="s">
        <v>607</v>
      </c>
      <c r="M2340" s="4" t="s">
        <v>607</v>
      </c>
      <c r="N2340" s="4" t="s">
        <v>607</v>
      </c>
      <c r="O2340" s="4"/>
      <c r="P2340" s="4"/>
      <c r="T2340" s="4"/>
    </row>
    <row r="2341">
      <c r="A2341" s="4" t="s">
        <v>5635</v>
      </c>
      <c r="B2341" s="4" t="s">
        <v>607</v>
      </c>
      <c r="C2341" s="6" t="s">
        <v>607</v>
      </c>
      <c r="D2341" s="6" t="s">
        <v>607</v>
      </c>
      <c r="E2341" s="6" t="s">
        <v>607</v>
      </c>
      <c r="F2341" s="6" t="s">
        <v>607</v>
      </c>
      <c r="G2341" s="4" t="s">
        <v>607</v>
      </c>
      <c r="H2341" s="4" t="s">
        <v>607</v>
      </c>
      <c r="I2341" s="4" t="s">
        <v>607</v>
      </c>
      <c r="J2341" s="4" t="s">
        <v>607</v>
      </c>
      <c r="K2341" s="4" t="s">
        <v>607</v>
      </c>
      <c r="L2341" s="4" t="s">
        <v>607</v>
      </c>
      <c r="M2341" s="4" t="s">
        <v>607</v>
      </c>
      <c r="N2341" s="4" t="s">
        <v>607</v>
      </c>
      <c r="O2341" s="4"/>
      <c r="P2341" s="4"/>
      <c r="T2341" s="4"/>
    </row>
    <row r="2342">
      <c r="A2342" s="4" t="s">
        <v>5636</v>
      </c>
      <c r="B2342" s="4" t="s">
        <v>607</v>
      </c>
      <c r="C2342" s="6" t="s">
        <v>607</v>
      </c>
      <c r="D2342" s="6" t="s">
        <v>607</v>
      </c>
      <c r="E2342" s="6" t="s">
        <v>607</v>
      </c>
      <c r="F2342" s="6" t="s">
        <v>607</v>
      </c>
      <c r="G2342" s="4" t="s">
        <v>607</v>
      </c>
      <c r="H2342" s="4" t="s">
        <v>607</v>
      </c>
      <c r="I2342" s="4" t="s">
        <v>607</v>
      </c>
      <c r="J2342" s="4" t="s">
        <v>607</v>
      </c>
      <c r="K2342" s="4" t="s">
        <v>607</v>
      </c>
      <c r="L2342" s="4" t="s">
        <v>607</v>
      </c>
      <c r="M2342" s="4" t="s">
        <v>607</v>
      </c>
      <c r="N2342" s="4" t="s">
        <v>607</v>
      </c>
      <c r="O2342" s="4"/>
      <c r="P2342" s="4"/>
      <c r="T2342" s="4"/>
    </row>
    <row r="2343">
      <c r="A2343" s="4" t="s">
        <v>5637</v>
      </c>
      <c r="B2343" s="4" t="s">
        <v>607</v>
      </c>
      <c r="C2343" s="6" t="s">
        <v>607</v>
      </c>
      <c r="D2343" s="6" t="s">
        <v>607</v>
      </c>
      <c r="E2343" s="6" t="s">
        <v>607</v>
      </c>
      <c r="F2343" s="6" t="s">
        <v>607</v>
      </c>
      <c r="G2343" s="4" t="s">
        <v>607</v>
      </c>
      <c r="H2343" s="4" t="s">
        <v>607</v>
      </c>
      <c r="I2343" s="4" t="s">
        <v>607</v>
      </c>
      <c r="J2343" s="4" t="s">
        <v>607</v>
      </c>
      <c r="K2343" s="4" t="s">
        <v>607</v>
      </c>
      <c r="L2343" s="4" t="s">
        <v>607</v>
      </c>
      <c r="M2343" s="4" t="s">
        <v>607</v>
      </c>
      <c r="N2343" s="4" t="s">
        <v>607</v>
      </c>
      <c r="O2343" s="4"/>
      <c r="P2343" s="4"/>
      <c r="T2343" s="4"/>
    </row>
    <row r="2344">
      <c r="A2344" s="4" t="s">
        <v>5638</v>
      </c>
      <c r="B2344" s="4" t="s">
        <v>607</v>
      </c>
      <c r="C2344" s="6" t="s">
        <v>607</v>
      </c>
      <c r="D2344" s="6" t="s">
        <v>607</v>
      </c>
      <c r="E2344" s="6" t="s">
        <v>607</v>
      </c>
      <c r="F2344" s="6" t="s">
        <v>607</v>
      </c>
      <c r="G2344" s="4" t="s">
        <v>607</v>
      </c>
      <c r="H2344" s="4" t="s">
        <v>607</v>
      </c>
      <c r="I2344" s="4" t="s">
        <v>607</v>
      </c>
      <c r="J2344" s="4" t="s">
        <v>607</v>
      </c>
      <c r="K2344" s="4" t="s">
        <v>607</v>
      </c>
      <c r="L2344" s="4" t="s">
        <v>607</v>
      </c>
      <c r="M2344" s="4" t="s">
        <v>607</v>
      </c>
      <c r="N2344" s="4" t="s">
        <v>607</v>
      </c>
      <c r="O2344" s="4"/>
      <c r="P2344" s="4"/>
      <c r="T2344" s="4"/>
    </row>
    <row r="2345">
      <c r="A2345" s="4" t="s">
        <v>5639</v>
      </c>
      <c r="B2345" s="4" t="s">
        <v>607</v>
      </c>
      <c r="C2345" s="6" t="s">
        <v>607</v>
      </c>
      <c r="D2345" s="6" t="s">
        <v>607</v>
      </c>
      <c r="E2345" s="6" t="s">
        <v>607</v>
      </c>
      <c r="F2345" s="6" t="s">
        <v>607</v>
      </c>
      <c r="G2345" s="4" t="s">
        <v>607</v>
      </c>
      <c r="H2345" s="4" t="s">
        <v>607</v>
      </c>
      <c r="I2345" s="4" t="s">
        <v>607</v>
      </c>
      <c r="J2345" s="4" t="s">
        <v>607</v>
      </c>
      <c r="K2345" s="4" t="s">
        <v>607</v>
      </c>
      <c r="L2345" s="4" t="s">
        <v>607</v>
      </c>
      <c r="M2345" s="4" t="s">
        <v>607</v>
      </c>
      <c r="N2345" s="4" t="s">
        <v>607</v>
      </c>
      <c r="O2345" s="4"/>
      <c r="P2345" s="4"/>
      <c r="T2345" s="4"/>
    </row>
    <row r="2346">
      <c r="A2346" s="4" t="s">
        <v>5640</v>
      </c>
      <c r="B2346" s="4" t="s">
        <v>607</v>
      </c>
      <c r="C2346" s="6" t="s">
        <v>607</v>
      </c>
      <c r="D2346" s="6" t="s">
        <v>607</v>
      </c>
      <c r="E2346" s="6" t="s">
        <v>607</v>
      </c>
      <c r="F2346" s="6" t="s">
        <v>607</v>
      </c>
      <c r="G2346" s="4" t="s">
        <v>607</v>
      </c>
      <c r="H2346" s="4" t="s">
        <v>607</v>
      </c>
      <c r="I2346" s="4" t="s">
        <v>607</v>
      </c>
      <c r="J2346" s="4" t="s">
        <v>607</v>
      </c>
      <c r="K2346" s="4" t="s">
        <v>607</v>
      </c>
      <c r="L2346" s="4" t="s">
        <v>607</v>
      </c>
      <c r="M2346" s="4" t="s">
        <v>607</v>
      </c>
      <c r="N2346" s="4" t="s">
        <v>607</v>
      </c>
      <c r="O2346" s="4"/>
      <c r="P2346" s="4"/>
      <c r="T2346" s="4"/>
    </row>
    <row r="2347">
      <c r="A2347" s="4" t="s">
        <v>5641</v>
      </c>
      <c r="B2347" s="4" t="s">
        <v>607</v>
      </c>
      <c r="C2347" s="6" t="s">
        <v>607</v>
      </c>
      <c r="D2347" s="6" t="s">
        <v>607</v>
      </c>
      <c r="E2347" s="6" t="s">
        <v>607</v>
      </c>
      <c r="F2347" s="6" t="s">
        <v>607</v>
      </c>
      <c r="G2347" s="4" t="s">
        <v>607</v>
      </c>
      <c r="H2347" s="4" t="s">
        <v>607</v>
      </c>
      <c r="I2347" s="4" t="s">
        <v>607</v>
      </c>
      <c r="J2347" s="4" t="s">
        <v>607</v>
      </c>
      <c r="K2347" s="4" t="s">
        <v>607</v>
      </c>
      <c r="L2347" s="4" t="s">
        <v>607</v>
      </c>
      <c r="M2347" s="4" t="s">
        <v>607</v>
      </c>
      <c r="N2347" s="4" t="s">
        <v>607</v>
      </c>
      <c r="O2347" s="4"/>
      <c r="P2347" s="4"/>
      <c r="T2347" s="4"/>
    </row>
    <row r="2348">
      <c r="A2348" s="4" t="s">
        <v>5642</v>
      </c>
      <c r="B2348" s="4" t="s">
        <v>607</v>
      </c>
      <c r="C2348" s="6" t="s">
        <v>607</v>
      </c>
      <c r="D2348" s="6" t="s">
        <v>607</v>
      </c>
      <c r="E2348" s="6" t="s">
        <v>607</v>
      </c>
      <c r="F2348" s="6" t="s">
        <v>607</v>
      </c>
      <c r="G2348" s="4" t="s">
        <v>607</v>
      </c>
      <c r="H2348" s="4" t="s">
        <v>607</v>
      </c>
      <c r="I2348" s="4" t="s">
        <v>607</v>
      </c>
      <c r="J2348" s="4" t="s">
        <v>607</v>
      </c>
      <c r="K2348" s="4" t="s">
        <v>607</v>
      </c>
      <c r="L2348" s="4" t="s">
        <v>607</v>
      </c>
      <c r="M2348" s="4" t="s">
        <v>607</v>
      </c>
      <c r="N2348" s="4" t="s">
        <v>607</v>
      </c>
      <c r="O2348" s="4"/>
      <c r="P2348" s="4"/>
      <c r="T2348" s="4"/>
    </row>
    <row r="2349">
      <c r="A2349" s="4" t="s">
        <v>5643</v>
      </c>
      <c r="B2349" s="4" t="s">
        <v>607</v>
      </c>
      <c r="C2349" s="6" t="s">
        <v>607</v>
      </c>
      <c r="D2349" s="6" t="s">
        <v>607</v>
      </c>
      <c r="E2349" s="6" t="s">
        <v>607</v>
      </c>
      <c r="F2349" s="6" t="s">
        <v>607</v>
      </c>
      <c r="G2349" s="4" t="s">
        <v>607</v>
      </c>
      <c r="H2349" s="4" t="s">
        <v>607</v>
      </c>
      <c r="I2349" s="4" t="s">
        <v>607</v>
      </c>
      <c r="J2349" s="4" t="s">
        <v>607</v>
      </c>
      <c r="K2349" s="4" t="s">
        <v>607</v>
      </c>
      <c r="L2349" s="4" t="s">
        <v>607</v>
      </c>
      <c r="M2349" s="4" t="s">
        <v>607</v>
      </c>
      <c r="N2349" s="4" t="s">
        <v>607</v>
      </c>
      <c r="O2349" s="4"/>
      <c r="P2349" s="4"/>
      <c r="T2349" s="4"/>
    </row>
    <row r="2350">
      <c r="A2350" s="4" t="s">
        <v>5644</v>
      </c>
      <c r="B2350" s="4" t="s">
        <v>607</v>
      </c>
      <c r="C2350" s="6" t="s">
        <v>607</v>
      </c>
      <c r="D2350" s="6" t="s">
        <v>607</v>
      </c>
      <c r="E2350" s="6" t="s">
        <v>607</v>
      </c>
      <c r="F2350" s="6" t="s">
        <v>607</v>
      </c>
      <c r="G2350" s="4" t="s">
        <v>607</v>
      </c>
      <c r="H2350" s="4" t="s">
        <v>607</v>
      </c>
      <c r="I2350" s="4" t="s">
        <v>607</v>
      </c>
      <c r="J2350" s="4" t="s">
        <v>607</v>
      </c>
      <c r="K2350" s="4" t="s">
        <v>607</v>
      </c>
      <c r="L2350" s="4" t="s">
        <v>607</v>
      </c>
      <c r="M2350" s="4" t="s">
        <v>607</v>
      </c>
      <c r="N2350" s="4" t="s">
        <v>607</v>
      </c>
      <c r="O2350" s="4"/>
      <c r="P2350" s="4"/>
      <c r="T2350" s="4"/>
    </row>
    <row r="2351">
      <c r="A2351" s="4" t="s">
        <v>5645</v>
      </c>
      <c r="B2351" s="4" t="s">
        <v>607</v>
      </c>
      <c r="C2351" s="6" t="s">
        <v>607</v>
      </c>
      <c r="D2351" s="6" t="s">
        <v>607</v>
      </c>
      <c r="E2351" s="6" t="s">
        <v>607</v>
      </c>
      <c r="F2351" s="6" t="s">
        <v>607</v>
      </c>
      <c r="G2351" s="4" t="s">
        <v>607</v>
      </c>
      <c r="H2351" s="4" t="s">
        <v>607</v>
      </c>
      <c r="I2351" s="4" t="s">
        <v>607</v>
      </c>
      <c r="J2351" s="4" t="s">
        <v>607</v>
      </c>
      <c r="K2351" s="4" t="s">
        <v>607</v>
      </c>
      <c r="L2351" s="4" t="s">
        <v>607</v>
      </c>
      <c r="M2351" s="4" t="s">
        <v>607</v>
      </c>
      <c r="N2351" s="4" t="s">
        <v>607</v>
      </c>
      <c r="O2351" s="4"/>
      <c r="P2351" s="4"/>
      <c r="T2351" s="4"/>
    </row>
    <row r="2352">
      <c r="A2352" s="4" t="s">
        <v>5646</v>
      </c>
      <c r="B2352" s="4" t="s">
        <v>607</v>
      </c>
      <c r="C2352" s="6" t="s">
        <v>607</v>
      </c>
      <c r="D2352" s="6" t="s">
        <v>607</v>
      </c>
      <c r="E2352" s="6" t="s">
        <v>607</v>
      </c>
      <c r="F2352" s="6" t="s">
        <v>607</v>
      </c>
      <c r="G2352" s="4" t="s">
        <v>607</v>
      </c>
      <c r="H2352" s="4" t="s">
        <v>607</v>
      </c>
      <c r="I2352" s="4" t="s">
        <v>607</v>
      </c>
      <c r="J2352" s="4" t="s">
        <v>607</v>
      </c>
      <c r="K2352" s="4" t="s">
        <v>607</v>
      </c>
      <c r="L2352" s="4" t="s">
        <v>607</v>
      </c>
      <c r="M2352" s="4" t="s">
        <v>607</v>
      </c>
      <c r="N2352" s="4" t="s">
        <v>607</v>
      </c>
      <c r="O2352" s="4"/>
      <c r="P2352" s="4"/>
      <c r="T2352" s="4"/>
    </row>
    <row r="2353">
      <c r="A2353" s="4" t="s">
        <v>5647</v>
      </c>
      <c r="B2353" s="4" t="s">
        <v>607</v>
      </c>
      <c r="C2353" s="6" t="s">
        <v>607</v>
      </c>
      <c r="D2353" s="6" t="s">
        <v>607</v>
      </c>
      <c r="E2353" s="6" t="s">
        <v>607</v>
      </c>
      <c r="F2353" s="6" t="s">
        <v>607</v>
      </c>
      <c r="G2353" s="4" t="s">
        <v>607</v>
      </c>
      <c r="H2353" s="4" t="s">
        <v>607</v>
      </c>
      <c r="I2353" s="4" t="s">
        <v>607</v>
      </c>
      <c r="J2353" s="4" t="s">
        <v>607</v>
      </c>
      <c r="K2353" s="4" t="s">
        <v>607</v>
      </c>
      <c r="L2353" s="4" t="s">
        <v>607</v>
      </c>
      <c r="M2353" s="4" t="s">
        <v>607</v>
      </c>
      <c r="N2353" s="4" t="s">
        <v>607</v>
      </c>
      <c r="O2353" s="4"/>
      <c r="P2353" s="4"/>
      <c r="T2353" s="4"/>
    </row>
    <row r="2354">
      <c r="A2354" s="4" t="s">
        <v>5648</v>
      </c>
      <c r="B2354" s="4" t="s">
        <v>607</v>
      </c>
      <c r="C2354" s="6" t="s">
        <v>607</v>
      </c>
      <c r="D2354" s="6" t="s">
        <v>607</v>
      </c>
      <c r="E2354" s="6" t="s">
        <v>607</v>
      </c>
      <c r="F2354" s="6" t="s">
        <v>607</v>
      </c>
      <c r="G2354" s="4" t="s">
        <v>607</v>
      </c>
      <c r="H2354" s="4" t="s">
        <v>607</v>
      </c>
      <c r="I2354" s="4" t="s">
        <v>607</v>
      </c>
      <c r="J2354" s="4" t="s">
        <v>607</v>
      </c>
      <c r="K2354" s="4" t="s">
        <v>607</v>
      </c>
      <c r="L2354" s="4" t="s">
        <v>607</v>
      </c>
      <c r="M2354" s="4" t="s">
        <v>607</v>
      </c>
      <c r="N2354" s="4" t="s">
        <v>607</v>
      </c>
      <c r="O2354" s="4"/>
      <c r="P2354" s="4"/>
      <c r="T2354" s="4"/>
    </row>
    <row r="2355">
      <c r="A2355" s="4" t="s">
        <v>5649</v>
      </c>
      <c r="B2355" s="4" t="s">
        <v>607</v>
      </c>
      <c r="C2355" s="6" t="s">
        <v>607</v>
      </c>
      <c r="D2355" s="6" t="s">
        <v>607</v>
      </c>
      <c r="E2355" s="6" t="s">
        <v>607</v>
      </c>
      <c r="F2355" s="6" t="s">
        <v>607</v>
      </c>
      <c r="G2355" s="4" t="s">
        <v>607</v>
      </c>
      <c r="H2355" s="4" t="s">
        <v>607</v>
      </c>
      <c r="I2355" s="4" t="s">
        <v>607</v>
      </c>
      <c r="J2355" s="4" t="s">
        <v>607</v>
      </c>
      <c r="K2355" s="4" t="s">
        <v>607</v>
      </c>
      <c r="L2355" s="4" t="s">
        <v>607</v>
      </c>
      <c r="M2355" s="4" t="s">
        <v>607</v>
      </c>
      <c r="N2355" s="4" t="s">
        <v>607</v>
      </c>
      <c r="O2355" s="4"/>
      <c r="P2355" s="4"/>
      <c r="T2355" s="4"/>
    </row>
    <row r="2356">
      <c r="A2356" s="4" t="s">
        <v>5650</v>
      </c>
      <c r="B2356" s="4" t="s">
        <v>607</v>
      </c>
      <c r="C2356" s="6" t="s">
        <v>607</v>
      </c>
      <c r="D2356" s="6" t="s">
        <v>607</v>
      </c>
      <c r="E2356" s="6" t="s">
        <v>607</v>
      </c>
      <c r="F2356" s="6" t="s">
        <v>607</v>
      </c>
      <c r="G2356" s="4" t="s">
        <v>607</v>
      </c>
      <c r="H2356" s="4" t="s">
        <v>607</v>
      </c>
      <c r="I2356" s="4" t="s">
        <v>607</v>
      </c>
      <c r="J2356" s="4" t="s">
        <v>607</v>
      </c>
      <c r="K2356" s="4" t="s">
        <v>607</v>
      </c>
      <c r="L2356" s="4" t="s">
        <v>607</v>
      </c>
      <c r="M2356" s="4" t="s">
        <v>607</v>
      </c>
      <c r="N2356" s="4" t="s">
        <v>607</v>
      </c>
      <c r="O2356" s="4"/>
      <c r="P2356" s="4"/>
      <c r="T2356" s="4"/>
    </row>
    <row r="2357">
      <c r="A2357" s="4" t="s">
        <v>5651</v>
      </c>
      <c r="B2357" s="4" t="s">
        <v>607</v>
      </c>
      <c r="C2357" s="6" t="s">
        <v>607</v>
      </c>
      <c r="D2357" s="6" t="s">
        <v>607</v>
      </c>
      <c r="E2357" s="6" t="s">
        <v>607</v>
      </c>
      <c r="F2357" s="6" t="s">
        <v>607</v>
      </c>
      <c r="G2357" s="4" t="s">
        <v>607</v>
      </c>
      <c r="H2357" s="4" t="s">
        <v>607</v>
      </c>
      <c r="I2357" s="4" t="s">
        <v>607</v>
      </c>
      <c r="J2357" s="4" t="s">
        <v>607</v>
      </c>
      <c r="K2357" s="4" t="s">
        <v>607</v>
      </c>
      <c r="L2357" s="4" t="s">
        <v>607</v>
      </c>
      <c r="M2357" s="4" t="s">
        <v>607</v>
      </c>
      <c r="N2357" s="4" t="s">
        <v>607</v>
      </c>
      <c r="O2357" s="4"/>
      <c r="P2357" s="4"/>
      <c r="T2357" s="4"/>
    </row>
    <row r="2358">
      <c r="A2358" s="4" t="s">
        <v>5652</v>
      </c>
      <c r="B2358" s="4" t="s">
        <v>607</v>
      </c>
      <c r="C2358" s="6" t="s">
        <v>607</v>
      </c>
      <c r="D2358" s="6" t="s">
        <v>607</v>
      </c>
      <c r="E2358" s="6" t="s">
        <v>607</v>
      </c>
      <c r="F2358" s="6" t="s">
        <v>607</v>
      </c>
      <c r="G2358" s="4" t="s">
        <v>607</v>
      </c>
      <c r="H2358" s="4" t="s">
        <v>607</v>
      </c>
      <c r="I2358" s="4" t="s">
        <v>607</v>
      </c>
      <c r="J2358" s="4" t="s">
        <v>607</v>
      </c>
      <c r="K2358" s="4" t="s">
        <v>607</v>
      </c>
      <c r="L2358" s="4" t="s">
        <v>607</v>
      </c>
      <c r="M2358" s="4" t="s">
        <v>607</v>
      </c>
      <c r="N2358" s="4" t="s">
        <v>607</v>
      </c>
      <c r="O2358" s="4"/>
      <c r="P2358" s="4"/>
      <c r="T2358" s="4"/>
    </row>
    <row r="2359">
      <c r="A2359" s="4" t="s">
        <v>5653</v>
      </c>
      <c r="B2359" s="4" t="s">
        <v>607</v>
      </c>
      <c r="C2359" s="6" t="s">
        <v>607</v>
      </c>
      <c r="D2359" s="6" t="s">
        <v>607</v>
      </c>
      <c r="E2359" s="6" t="s">
        <v>607</v>
      </c>
      <c r="F2359" s="6" t="s">
        <v>607</v>
      </c>
      <c r="G2359" s="4" t="s">
        <v>607</v>
      </c>
      <c r="H2359" s="4" t="s">
        <v>607</v>
      </c>
      <c r="I2359" s="4" t="s">
        <v>607</v>
      </c>
      <c r="J2359" s="4" t="s">
        <v>607</v>
      </c>
      <c r="K2359" s="4" t="s">
        <v>607</v>
      </c>
      <c r="L2359" s="4" t="s">
        <v>607</v>
      </c>
      <c r="M2359" s="4" t="s">
        <v>607</v>
      </c>
      <c r="N2359" s="4" t="s">
        <v>607</v>
      </c>
      <c r="O2359" s="4"/>
      <c r="P2359" s="4"/>
      <c r="T2359" s="4"/>
    </row>
    <row r="2360">
      <c r="A2360" s="4" t="s">
        <v>5654</v>
      </c>
      <c r="B2360" s="4" t="s">
        <v>607</v>
      </c>
      <c r="C2360" s="6" t="s">
        <v>607</v>
      </c>
      <c r="D2360" s="6" t="s">
        <v>607</v>
      </c>
      <c r="E2360" s="6" t="s">
        <v>607</v>
      </c>
      <c r="F2360" s="6" t="s">
        <v>607</v>
      </c>
      <c r="G2360" s="4" t="s">
        <v>607</v>
      </c>
      <c r="H2360" s="4" t="s">
        <v>607</v>
      </c>
      <c r="I2360" s="4" t="s">
        <v>607</v>
      </c>
      <c r="J2360" s="4" t="s">
        <v>607</v>
      </c>
      <c r="K2360" s="4" t="s">
        <v>607</v>
      </c>
      <c r="L2360" s="4" t="s">
        <v>607</v>
      </c>
      <c r="M2360" s="4" t="s">
        <v>607</v>
      </c>
      <c r="N2360" s="4" t="s">
        <v>607</v>
      </c>
      <c r="O2360" s="4"/>
      <c r="P2360" s="4"/>
      <c r="T2360" s="4"/>
    </row>
    <row r="2361">
      <c r="A2361" s="4" t="s">
        <v>5655</v>
      </c>
      <c r="B2361" s="4" t="s">
        <v>607</v>
      </c>
      <c r="C2361" s="6" t="s">
        <v>607</v>
      </c>
      <c r="D2361" s="6" t="s">
        <v>607</v>
      </c>
      <c r="E2361" s="6" t="s">
        <v>607</v>
      </c>
      <c r="F2361" s="6" t="s">
        <v>607</v>
      </c>
      <c r="G2361" s="4" t="s">
        <v>607</v>
      </c>
      <c r="H2361" s="4" t="s">
        <v>607</v>
      </c>
      <c r="I2361" s="4" t="s">
        <v>607</v>
      </c>
      <c r="J2361" s="4" t="s">
        <v>607</v>
      </c>
      <c r="K2361" s="4" t="s">
        <v>607</v>
      </c>
      <c r="L2361" s="4" t="s">
        <v>607</v>
      </c>
      <c r="M2361" s="4" t="s">
        <v>607</v>
      </c>
      <c r="N2361" s="4" t="s">
        <v>607</v>
      </c>
      <c r="O2361" s="4"/>
      <c r="P2361" s="4"/>
      <c r="T2361" s="4"/>
    </row>
    <row r="2362">
      <c r="A2362" s="4" t="s">
        <v>5656</v>
      </c>
      <c r="B2362" s="4" t="s">
        <v>607</v>
      </c>
      <c r="C2362" s="6" t="s">
        <v>607</v>
      </c>
      <c r="D2362" s="6" t="s">
        <v>607</v>
      </c>
      <c r="E2362" s="6" t="s">
        <v>607</v>
      </c>
      <c r="F2362" s="6" t="s">
        <v>607</v>
      </c>
      <c r="G2362" s="4" t="s">
        <v>607</v>
      </c>
      <c r="H2362" s="4" t="s">
        <v>607</v>
      </c>
      <c r="I2362" s="4" t="s">
        <v>607</v>
      </c>
      <c r="J2362" s="4" t="s">
        <v>607</v>
      </c>
      <c r="K2362" s="4" t="s">
        <v>607</v>
      </c>
      <c r="L2362" s="4" t="s">
        <v>607</v>
      </c>
      <c r="M2362" s="4" t="s">
        <v>607</v>
      </c>
      <c r="N2362" s="4" t="s">
        <v>607</v>
      </c>
      <c r="O2362" s="4"/>
      <c r="P2362" s="4"/>
      <c r="T2362" s="4"/>
    </row>
    <row r="2363">
      <c r="A2363" s="4" t="s">
        <v>5657</v>
      </c>
      <c r="B2363" s="4" t="s">
        <v>607</v>
      </c>
      <c r="C2363" s="6" t="s">
        <v>607</v>
      </c>
      <c r="D2363" s="6" t="s">
        <v>607</v>
      </c>
      <c r="E2363" s="6" t="s">
        <v>607</v>
      </c>
      <c r="F2363" s="6" t="s">
        <v>607</v>
      </c>
      <c r="G2363" s="4" t="s">
        <v>607</v>
      </c>
      <c r="H2363" s="4" t="s">
        <v>607</v>
      </c>
      <c r="I2363" s="4" t="s">
        <v>607</v>
      </c>
      <c r="J2363" s="4" t="s">
        <v>607</v>
      </c>
      <c r="K2363" s="4" t="s">
        <v>607</v>
      </c>
      <c r="L2363" s="4" t="s">
        <v>607</v>
      </c>
      <c r="M2363" s="4" t="s">
        <v>607</v>
      </c>
      <c r="N2363" s="4" t="s">
        <v>607</v>
      </c>
      <c r="O2363" s="4"/>
      <c r="P2363" s="4"/>
      <c r="T2363" s="4"/>
    </row>
    <row r="2364">
      <c r="A2364" s="4" t="s">
        <v>5658</v>
      </c>
      <c r="B2364" s="4" t="s">
        <v>607</v>
      </c>
      <c r="C2364" s="6" t="s">
        <v>607</v>
      </c>
      <c r="D2364" s="6" t="s">
        <v>607</v>
      </c>
      <c r="E2364" s="6" t="s">
        <v>607</v>
      </c>
      <c r="F2364" s="6" t="s">
        <v>607</v>
      </c>
      <c r="G2364" s="4" t="s">
        <v>607</v>
      </c>
      <c r="H2364" s="4" t="s">
        <v>607</v>
      </c>
      <c r="I2364" s="4" t="s">
        <v>607</v>
      </c>
      <c r="J2364" s="4" t="s">
        <v>607</v>
      </c>
      <c r="K2364" s="4" t="s">
        <v>607</v>
      </c>
      <c r="L2364" s="4" t="s">
        <v>607</v>
      </c>
      <c r="M2364" s="4" t="s">
        <v>607</v>
      </c>
      <c r="N2364" s="4" t="s">
        <v>607</v>
      </c>
      <c r="O2364" s="4"/>
      <c r="P2364" s="4"/>
      <c r="T2364" s="4"/>
    </row>
    <row r="2365">
      <c r="A2365" s="4" t="s">
        <v>5659</v>
      </c>
      <c r="B2365" s="4" t="s">
        <v>607</v>
      </c>
      <c r="C2365" s="6" t="s">
        <v>607</v>
      </c>
      <c r="D2365" s="6" t="s">
        <v>607</v>
      </c>
      <c r="E2365" s="6" t="s">
        <v>607</v>
      </c>
      <c r="F2365" s="6" t="s">
        <v>607</v>
      </c>
      <c r="G2365" s="4" t="s">
        <v>607</v>
      </c>
      <c r="H2365" s="4" t="s">
        <v>607</v>
      </c>
      <c r="I2365" s="4" t="s">
        <v>607</v>
      </c>
      <c r="J2365" s="4" t="s">
        <v>607</v>
      </c>
      <c r="K2365" s="4" t="s">
        <v>607</v>
      </c>
      <c r="L2365" s="4" t="s">
        <v>607</v>
      </c>
      <c r="M2365" s="4" t="s">
        <v>607</v>
      </c>
      <c r="N2365" s="4" t="s">
        <v>607</v>
      </c>
      <c r="O2365" s="4"/>
      <c r="P2365" s="4"/>
      <c r="T2365" s="4"/>
    </row>
    <row r="2366">
      <c r="A2366" s="4" t="s">
        <v>5660</v>
      </c>
      <c r="B2366" s="4" t="s">
        <v>607</v>
      </c>
      <c r="C2366" s="6" t="s">
        <v>607</v>
      </c>
      <c r="D2366" s="6" t="s">
        <v>607</v>
      </c>
      <c r="E2366" s="6" t="s">
        <v>607</v>
      </c>
      <c r="F2366" s="6" t="s">
        <v>607</v>
      </c>
      <c r="G2366" s="4" t="s">
        <v>607</v>
      </c>
      <c r="H2366" s="4" t="s">
        <v>607</v>
      </c>
      <c r="I2366" s="4" t="s">
        <v>607</v>
      </c>
      <c r="J2366" s="4" t="s">
        <v>607</v>
      </c>
      <c r="K2366" s="4" t="s">
        <v>607</v>
      </c>
      <c r="L2366" s="4" t="s">
        <v>607</v>
      </c>
      <c r="M2366" s="4" t="s">
        <v>607</v>
      </c>
      <c r="N2366" s="4" t="s">
        <v>607</v>
      </c>
      <c r="O2366" s="4"/>
      <c r="P2366" s="4"/>
      <c r="T2366" s="4"/>
    </row>
    <row r="2367">
      <c r="A2367" s="4" t="s">
        <v>5661</v>
      </c>
      <c r="B2367" s="4" t="s">
        <v>607</v>
      </c>
      <c r="C2367" s="6" t="s">
        <v>607</v>
      </c>
      <c r="D2367" s="6" t="s">
        <v>607</v>
      </c>
      <c r="E2367" s="6" t="s">
        <v>607</v>
      </c>
      <c r="F2367" s="6" t="s">
        <v>607</v>
      </c>
      <c r="G2367" s="4" t="s">
        <v>607</v>
      </c>
      <c r="H2367" s="4" t="s">
        <v>607</v>
      </c>
      <c r="I2367" s="4" t="s">
        <v>607</v>
      </c>
      <c r="J2367" s="4" t="s">
        <v>607</v>
      </c>
      <c r="K2367" s="4" t="s">
        <v>607</v>
      </c>
      <c r="L2367" s="4" t="s">
        <v>607</v>
      </c>
      <c r="M2367" s="4" t="s">
        <v>607</v>
      </c>
      <c r="N2367" s="4" t="s">
        <v>607</v>
      </c>
      <c r="O2367" s="4"/>
      <c r="P2367" s="4"/>
      <c r="T2367" s="4"/>
    </row>
    <row r="2368">
      <c r="A2368" s="4" t="s">
        <v>5662</v>
      </c>
      <c r="B2368" s="4" t="s">
        <v>607</v>
      </c>
      <c r="C2368" s="6" t="s">
        <v>607</v>
      </c>
      <c r="D2368" s="6" t="s">
        <v>607</v>
      </c>
      <c r="E2368" s="6" t="s">
        <v>607</v>
      </c>
      <c r="F2368" s="6" t="s">
        <v>607</v>
      </c>
      <c r="G2368" s="4" t="s">
        <v>607</v>
      </c>
      <c r="H2368" s="4" t="s">
        <v>607</v>
      </c>
      <c r="I2368" s="4" t="s">
        <v>607</v>
      </c>
      <c r="J2368" s="4" t="s">
        <v>607</v>
      </c>
      <c r="K2368" s="4" t="s">
        <v>607</v>
      </c>
      <c r="L2368" s="4" t="s">
        <v>607</v>
      </c>
      <c r="M2368" s="4" t="s">
        <v>607</v>
      </c>
      <c r="N2368" s="4" t="s">
        <v>607</v>
      </c>
      <c r="O2368" s="4"/>
      <c r="P2368" s="4"/>
      <c r="T2368" s="4"/>
    </row>
    <row r="2369">
      <c r="A2369" s="4" t="s">
        <v>5663</v>
      </c>
      <c r="B2369" s="4" t="s">
        <v>607</v>
      </c>
      <c r="C2369" s="6" t="s">
        <v>607</v>
      </c>
      <c r="D2369" s="6" t="s">
        <v>607</v>
      </c>
      <c r="E2369" s="6" t="s">
        <v>607</v>
      </c>
      <c r="F2369" s="6" t="s">
        <v>607</v>
      </c>
      <c r="G2369" s="4" t="s">
        <v>607</v>
      </c>
      <c r="H2369" s="4" t="s">
        <v>607</v>
      </c>
      <c r="I2369" s="4" t="s">
        <v>607</v>
      </c>
      <c r="J2369" s="4" t="s">
        <v>607</v>
      </c>
      <c r="K2369" s="4" t="s">
        <v>607</v>
      </c>
      <c r="L2369" s="4" t="s">
        <v>607</v>
      </c>
      <c r="M2369" s="4" t="s">
        <v>607</v>
      </c>
      <c r="N2369" s="4" t="s">
        <v>607</v>
      </c>
      <c r="O2369" s="4"/>
      <c r="P2369" s="4"/>
      <c r="T2369" s="4"/>
    </row>
    <row r="2370">
      <c r="A2370" s="4" t="s">
        <v>5664</v>
      </c>
      <c r="B2370" s="4" t="s">
        <v>607</v>
      </c>
      <c r="C2370" s="6" t="s">
        <v>607</v>
      </c>
      <c r="D2370" s="6" t="s">
        <v>607</v>
      </c>
      <c r="E2370" s="6" t="s">
        <v>607</v>
      </c>
      <c r="F2370" s="6" t="s">
        <v>607</v>
      </c>
      <c r="G2370" s="4" t="s">
        <v>607</v>
      </c>
      <c r="H2370" s="4" t="s">
        <v>607</v>
      </c>
      <c r="I2370" s="4" t="s">
        <v>607</v>
      </c>
      <c r="J2370" s="4" t="s">
        <v>607</v>
      </c>
      <c r="K2370" s="4" t="s">
        <v>607</v>
      </c>
      <c r="L2370" s="4" t="s">
        <v>607</v>
      </c>
      <c r="M2370" s="4" t="s">
        <v>607</v>
      </c>
      <c r="N2370" s="4" t="s">
        <v>607</v>
      </c>
      <c r="O2370" s="4"/>
      <c r="P2370" s="4"/>
      <c r="T2370" s="4"/>
    </row>
    <row r="2371">
      <c r="A2371" s="4" t="s">
        <v>5665</v>
      </c>
      <c r="B2371" s="4" t="s">
        <v>607</v>
      </c>
      <c r="C2371" s="6" t="s">
        <v>607</v>
      </c>
      <c r="D2371" s="6" t="s">
        <v>607</v>
      </c>
      <c r="E2371" s="6" t="s">
        <v>607</v>
      </c>
      <c r="F2371" s="6" t="s">
        <v>607</v>
      </c>
      <c r="G2371" s="4" t="s">
        <v>607</v>
      </c>
      <c r="H2371" s="4" t="s">
        <v>607</v>
      </c>
      <c r="I2371" s="4" t="s">
        <v>607</v>
      </c>
      <c r="J2371" s="4" t="s">
        <v>607</v>
      </c>
      <c r="K2371" s="4" t="s">
        <v>607</v>
      </c>
      <c r="L2371" s="4" t="s">
        <v>607</v>
      </c>
      <c r="M2371" s="4" t="s">
        <v>607</v>
      </c>
      <c r="N2371" s="4" t="s">
        <v>607</v>
      </c>
      <c r="O2371" s="4"/>
      <c r="P2371" s="4"/>
      <c r="T2371" s="4"/>
    </row>
    <row r="2372">
      <c r="A2372" s="4" t="s">
        <v>5666</v>
      </c>
      <c r="B2372" s="4" t="s">
        <v>607</v>
      </c>
      <c r="C2372" s="6" t="s">
        <v>607</v>
      </c>
      <c r="D2372" s="6" t="s">
        <v>607</v>
      </c>
      <c r="E2372" s="6" t="s">
        <v>607</v>
      </c>
      <c r="F2372" s="6" t="s">
        <v>607</v>
      </c>
      <c r="G2372" s="4" t="s">
        <v>607</v>
      </c>
      <c r="H2372" s="4" t="s">
        <v>607</v>
      </c>
      <c r="I2372" s="4" t="s">
        <v>607</v>
      </c>
      <c r="J2372" s="4" t="s">
        <v>607</v>
      </c>
      <c r="K2372" s="4" t="s">
        <v>607</v>
      </c>
      <c r="L2372" s="4" t="s">
        <v>607</v>
      </c>
      <c r="M2372" s="4" t="s">
        <v>607</v>
      </c>
      <c r="N2372" s="4" t="s">
        <v>607</v>
      </c>
      <c r="O2372" s="4"/>
      <c r="P2372" s="4"/>
      <c r="T2372" s="4"/>
    </row>
    <row r="2373">
      <c r="A2373" s="4" t="s">
        <v>5667</v>
      </c>
      <c r="B2373" s="4" t="s">
        <v>607</v>
      </c>
      <c r="C2373" s="6" t="s">
        <v>607</v>
      </c>
      <c r="D2373" s="6" t="s">
        <v>607</v>
      </c>
      <c r="E2373" s="6" t="s">
        <v>607</v>
      </c>
      <c r="F2373" s="6" t="s">
        <v>607</v>
      </c>
      <c r="G2373" s="4" t="s">
        <v>607</v>
      </c>
      <c r="H2373" s="4" t="s">
        <v>607</v>
      </c>
      <c r="I2373" s="4" t="s">
        <v>607</v>
      </c>
      <c r="J2373" s="4" t="s">
        <v>607</v>
      </c>
      <c r="K2373" s="4" t="s">
        <v>607</v>
      </c>
      <c r="L2373" s="4" t="s">
        <v>607</v>
      </c>
      <c r="M2373" s="4" t="s">
        <v>607</v>
      </c>
      <c r="N2373" s="4" t="s">
        <v>607</v>
      </c>
      <c r="O2373" s="4"/>
      <c r="P2373" s="4"/>
      <c r="T2373" s="4"/>
    </row>
    <row r="2374">
      <c r="A2374" s="4" t="s">
        <v>5668</v>
      </c>
      <c r="B2374" s="4" t="s">
        <v>607</v>
      </c>
      <c r="C2374" s="6" t="s">
        <v>607</v>
      </c>
      <c r="D2374" s="6" t="s">
        <v>607</v>
      </c>
      <c r="E2374" s="6" t="s">
        <v>607</v>
      </c>
      <c r="F2374" s="6" t="s">
        <v>607</v>
      </c>
      <c r="G2374" s="4" t="s">
        <v>607</v>
      </c>
      <c r="H2374" s="4" t="s">
        <v>607</v>
      </c>
      <c r="I2374" s="4" t="s">
        <v>607</v>
      </c>
      <c r="J2374" s="4" t="s">
        <v>607</v>
      </c>
      <c r="K2374" s="4" t="s">
        <v>607</v>
      </c>
      <c r="L2374" s="4" t="s">
        <v>607</v>
      </c>
      <c r="M2374" s="4" t="s">
        <v>607</v>
      </c>
      <c r="N2374" s="4" t="s">
        <v>607</v>
      </c>
      <c r="O2374" s="4"/>
      <c r="P2374" s="4"/>
      <c r="T2374" s="4"/>
    </row>
    <row r="2375">
      <c r="A2375" s="4" t="s">
        <v>5669</v>
      </c>
      <c r="B2375" s="4" t="s">
        <v>607</v>
      </c>
      <c r="C2375" s="6" t="s">
        <v>607</v>
      </c>
      <c r="D2375" s="6" t="s">
        <v>607</v>
      </c>
      <c r="E2375" s="6" t="s">
        <v>607</v>
      </c>
      <c r="F2375" s="6" t="s">
        <v>607</v>
      </c>
      <c r="G2375" s="4" t="s">
        <v>607</v>
      </c>
      <c r="H2375" s="4" t="s">
        <v>607</v>
      </c>
      <c r="I2375" s="4" t="s">
        <v>607</v>
      </c>
      <c r="J2375" s="4" t="s">
        <v>607</v>
      </c>
      <c r="K2375" s="4" t="s">
        <v>607</v>
      </c>
      <c r="L2375" s="4" t="s">
        <v>607</v>
      </c>
      <c r="M2375" s="4" t="s">
        <v>607</v>
      </c>
      <c r="N2375" s="4" t="s">
        <v>607</v>
      </c>
      <c r="O2375" s="4"/>
      <c r="P2375" s="4"/>
      <c r="T2375" s="4"/>
    </row>
    <row r="2376">
      <c r="A2376" s="4" t="s">
        <v>5670</v>
      </c>
      <c r="B2376" s="4" t="s">
        <v>607</v>
      </c>
      <c r="C2376" s="6" t="s">
        <v>607</v>
      </c>
      <c r="D2376" s="6" t="s">
        <v>607</v>
      </c>
      <c r="E2376" s="6" t="s">
        <v>607</v>
      </c>
      <c r="F2376" s="6" t="s">
        <v>607</v>
      </c>
      <c r="G2376" s="4" t="s">
        <v>607</v>
      </c>
      <c r="H2376" s="4" t="s">
        <v>607</v>
      </c>
      <c r="I2376" s="4" t="s">
        <v>607</v>
      </c>
      <c r="J2376" s="4" t="s">
        <v>607</v>
      </c>
      <c r="K2376" s="4" t="s">
        <v>607</v>
      </c>
      <c r="L2376" s="4" t="s">
        <v>607</v>
      </c>
      <c r="M2376" s="4" t="s">
        <v>607</v>
      </c>
      <c r="N2376" s="4" t="s">
        <v>607</v>
      </c>
      <c r="O2376" s="4"/>
      <c r="P2376" s="4"/>
      <c r="T2376" s="4"/>
    </row>
    <row r="2377">
      <c r="A2377" s="4" t="s">
        <v>5671</v>
      </c>
      <c r="B2377" s="4" t="s">
        <v>607</v>
      </c>
      <c r="C2377" s="6" t="s">
        <v>607</v>
      </c>
      <c r="D2377" s="6" t="s">
        <v>607</v>
      </c>
      <c r="E2377" s="6" t="s">
        <v>607</v>
      </c>
      <c r="F2377" s="6" t="s">
        <v>607</v>
      </c>
      <c r="G2377" s="4" t="s">
        <v>607</v>
      </c>
      <c r="H2377" s="4" t="s">
        <v>607</v>
      </c>
      <c r="I2377" s="4" t="s">
        <v>607</v>
      </c>
      <c r="J2377" s="4" t="s">
        <v>607</v>
      </c>
      <c r="K2377" s="4" t="s">
        <v>607</v>
      </c>
      <c r="L2377" s="4" t="s">
        <v>607</v>
      </c>
      <c r="M2377" s="4" t="s">
        <v>607</v>
      </c>
      <c r="N2377" s="4" t="s">
        <v>607</v>
      </c>
      <c r="O2377" s="4"/>
      <c r="P2377" s="4"/>
      <c r="T2377" s="4"/>
    </row>
    <row r="2378">
      <c r="A2378" s="4" t="s">
        <v>5672</v>
      </c>
      <c r="B2378" s="4" t="s">
        <v>607</v>
      </c>
      <c r="C2378" s="6" t="s">
        <v>607</v>
      </c>
      <c r="D2378" s="6" t="s">
        <v>607</v>
      </c>
      <c r="E2378" s="6" t="s">
        <v>607</v>
      </c>
      <c r="F2378" s="6" t="s">
        <v>607</v>
      </c>
      <c r="G2378" s="4" t="s">
        <v>607</v>
      </c>
      <c r="H2378" s="4" t="s">
        <v>607</v>
      </c>
      <c r="I2378" s="4" t="s">
        <v>607</v>
      </c>
      <c r="J2378" s="4" t="s">
        <v>607</v>
      </c>
      <c r="K2378" s="4" t="s">
        <v>607</v>
      </c>
      <c r="L2378" s="4" t="s">
        <v>607</v>
      </c>
      <c r="M2378" s="4" t="s">
        <v>607</v>
      </c>
      <c r="N2378" s="4" t="s">
        <v>607</v>
      </c>
      <c r="O2378" s="4"/>
      <c r="P2378" s="4"/>
      <c r="T2378" s="4"/>
    </row>
    <row r="2379">
      <c r="A2379" s="4" t="s">
        <v>5673</v>
      </c>
      <c r="B2379" s="4" t="s">
        <v>607</v>
      </c>
      <c r="C2379" s="6" t="s">
        <v>607</v>
      </c>
      <c r="D2379" s="6" t="s">
        <v>607</v>
      </c>
      <c r="E2379" s="6" t="s">
        <v>607</v>
      </c>
      <c r="F2379" s="6" t="s">
        <v>607</v>
      </c>
      <c r="G2379" s="4" t="s">
        <v>607</v>
      </c>
      <c r="H2379" s="4" t="s">
        <v>607</v>
      </c>
      <c r="I2379" s="4" t="s">
        <v>607</v>
      </c>
      <c r="J2379" s="4" t="s">
        <v>607</v>
      </c>
      <c r="K2379" s="4" t="s">
        <v>607</v>
      </c>
      <c r="L2379" s="4" t="s">
        <v>607</v>
      </c>
      <c r="M2379" s="4" t="s">
        <v>607</v>
      </c>
      <c r="N2379" s="4" t="s">
        <v>607</v>
      </c>
      <c r="O2379" s="4"/>
      <c r="P2379" s="4"/>
      <c r="T2379" s="4"/>
    </row>
    <row r="2380">
      <c r="A2380" s="4" t="s">
        <v>5674</v>
      </c>
      <c r="B2380" s="4" t="s">
        <v>607</v>
      </c>
      <c r="C2380" s="6" t="s">
        <v>607</v>
      </c>
      <c r="D2380" s="6" t="s">
        <v>607</v>
      </c>
      <c r="E2380" s="6" t="s">
        <v>607</v>
      </c>
      <c r="F2380" s="6" t="s">
        <v>607</v>
      </c>
      <c r="G2380" s="4" t="s">
        <v>607</v>
      </c>
      <c r="H2380" s="4" t="s">
        <v>607</v>
      </c>
      <c r="I2380" s="4" t="s">
        <v>607</v>
      </c>
      <c r="J2380" s="4" t="s">
        <v>607</v>
      </c>
      <c r="K2380" s="4" t="s">
        <v>607</v>
      </c>
      <c r="L2380" s="4" t="s">
        <v>607</v>
      </c>
      <c r="M2380" s="4" t="s">
        <v>607</v>
      </c>
      <c r="N2380" s="4" t="s">
        <v>607</v>
      </c>
      <c r="O2380" s="4"/>
      <c r="P2380" s="4"/>
      <c r="T2380" s="4"/>
    </row>
    <row r="2381">
      <c r="A2381" s="4" t="s">
        <v>5675</v>
      </c>
      <c r="B2381" s="4" t="s">
        <v>607</v>
      </c>
      <c r="C2381" s="6" t="s">
        <v>607</v>
      </c>
      <c r="D2381" s="6" t="s">
        <v>607</v>
      </c>
      <c r="E2381" s="6" t="s">
        <v>607</v>
      </c>
      <c r="F2381" s="6" t="s">
        <v>607</v>
      </c>
      <c r="G2381" s="4" t="s">
        <v>607</v>
      </c>
      <c r="H2381" s="4" t="s">
        <v>607</v>
      </c>
      <c r="I2381" s="4" t="s">
        <v>607</v>
      </c>
      <c r="J2381" s="4" t="s">
        <v>607</v>
      </c>
      <c r="K2381" s="4" t="s">
        <v>607</v>
      </c>
      <c r="L2381" s="4" t="s">
        <v>607</v>
      </c>
      <c r="M2381" s="4" t="s">
        <v>607</v>
      </c>
      <c r="N2381" s="4" t="s">
        <v>607</v>
      </c>
      <c r="O2381" s="4"/>
      <c r="P2381" s="4"/>
      <c r="T2381" s="4"/>
    </row>
    <row r="2382">
      <c r="A2382" s="4" t="s">
        <v>5676</v>
      </c>
      <c r="B2382" s="4" t="s">
        <v>607</v>
      </c>
      <c r="C2382" s="6" t="s">
        <v>607</v>
      </c>
      <c r="D2382" s="6" t="s">
        <v>607</v>
      </c>
      <c r="E2382" s="6" t="s">
        <v>607</v>
      </c>
      <c r="F2382" s="6" t="s">
        <v>607</v>
      </c>
      <c r="G2382" s="4" t="s">
        <v>607</v>
      </c>
      <c r="H2382" s="4" t="s">
        <v>607</v>
      </c>
      <c r="I2382" s="4" t="s">
        <v>607</v>
      </c>
      <c r="J2382" s="4" t="s">
        <v>607</v>
      </c>
      <c r="K2382" s="4" t="s">
        <v>607</v>
      </c>
      <c r="L2382" s="4" t="s">
        <v>607</v>
      </c>
      <c r="M2382" s="4" t="s">
        <v>607</v>
      </c>
      <c r="N2382" s="4" t="s">
        <v>607</v>
      </c>
      <c r="O2382" s="4"/>
      <c r="P2382" s="4"/>
      <c r="T2382" s="4"/>
    </row>
    <row r="2383">
      <c r="A2383" s="4" t="s">
        <v>5677</v>
      </c>
      <c r="B2383" s="4" t="s">
        <v>607</v>
      </c>
      <c r="C2383" s="6" t="s">
        <v>607</v>
      </c>
      <c r="D2383" s="6" t="s">
        <v>607</v>
      </c>
      <c r="E2383" s="6" t="s">
        <v>607</v>
      </c>
      <c r="F2383" s="6" t="s">
        <v>607</v>
      </c>
      <c r="G2383" s="4" t="s">
        <v>607</v>
      </c>
      <c r="H2383" s="4" t="s">
        <v>607</v>
      </c>
      <c r="I2383" s="4" t="s">
        <v>607</v>
      </c>
      <c r="J2383" s="4" t="s">
        <v>607</v>
      </c>
      <c r="K2383" s="4" t="s">
        <v>607</v>
      </c>
      <c r="L2383" s="4" t="s">
        <v>607</v>
      </c>
      <c r="M2383" s="4" t="s">
        <v>607</v>
      </c>
      <c r="N2383" s="4" t="s">
        <v>607</v>
      </c>
      <c r="O2383" s="4"/>
      <c r="P2383" s="4"/>
      <c r="T2383" s="4"/>
    </row>
    <row r="2384">
      <c r="A2384" s="4" t="s">
        <v>5678</v>
      </c>
      <c r="B2384" s="4" t="s">
        <v>607</v>
      </c>
      <c r="C2384" s="6" t="s">
        <v>607</v>
      </c>
      <c r="D2384" s="6" t="s">
        <v>607</v>
      </c>
      <c r="E2384" s="6" t="s">
        <v>607</v>
      </c>
      <c r="F2384" s="6" t="s">
        <v>607</v>
      </c>
      <c r="G2384" s="4" t="s">
        <v>607</v>
      </c>
      <c r="H2384" s="4" t="s">
        <v>607</v>
      </c>
      <c r="I2384" s="4" t="s">
        <v>607</v>
      </c>
      <c r="J2384" s="4" t="s">
        <v>607</v>
      </c>
      <c r="K2384" s="4" t="s">
        <v>607</v>
      </c>
      <c r="L2384" s="4" t="s">
        <v>607</v>
      </c>
      <c r="M2384" s="4" t="s">
        <v>607</v>
      </c>
      <c r="N2384" s="4" t="s">
        <v>607</v>
      </c>
      <c r="O2384" s="4"/>
      <c r="P2384" s="4"/>
      <c r="T2384" s="4"/>
    </row>
    <row r="2385">
      <c r="A2385" s="4" t="s">
        <v>5679</v>
      </c>
      <c r="B2385" s="4" t="s">
        <v>607</v>
      </c>
      <c r="C2385" s="6" t="s">
        <v>607</v>
      </c>
      <c r="D2385" s="6" t="s">
        <v>607</v>
      </c>
      <c r="E2385" s="6" t="s">
        <v>607</v>
      </c>
      <c r="F2385" s="6" t="s">
        <v>607</v>
      </c>
      <c r="G2385" s="4" t="s">
        <v>607</v>
      </c>
      <c r="H2385" s="4" t="s">
        <v>607</v>
      </c>
      <c r="I2385" s="4" t="s">
        <v>607</v>
      </c>
      <c r="J2385" s="4" t="s">
        <v>607</v>
      </c>
      <c r="K2385" s="4" t="s">
        <v>607</v>
      </c>
      <c r="L2385" s="4" t="s">
        <v>607</v>
      </c>
      <c r="M2385" s="4" t="s">
        <v>607</v>
      </c>
      <c r="N2385" s="4" t="s">
        <v>607</v>
      </c>
      <c r="O2385" s="4"/>
      <c r="P2385" s="4"/>
      <c r="T2385" s="4"/>
    </row>
    <row r="2386">
      <c r="A2386" s="4" t="s">
        <v>5680</v>
      </c>
      <c r="B2386" s="4" t="s">
        <v>607</v>
      </c>
      <c r="C2386" s="6" t="s">
        <v>607</v>
      </c>
      <c r="D2386" s="6" t="s">
        <v>607</v>
      </c>
      <c r="E2386" s="6" t="s">
        <v>607</v>
      </c>
      <c r="F2386" s="6" t="s">
        <v>607</v>
      </c>
      <c r="G2386" s="4" t="s">
        <v>607</v>
      </c>
      <c r="H2386" s="4" t="s">
        <v>607</v>
      </c>
      <c r="I2386" s="4" t="s">
        <v>607</v>
      </c>
      <c r="J2386" s="4" t="s">
        <v>607</v>
      </c>
      <c r="K2386" s="4" t="s">
        <v>607</v>
      </c>
      <c r="L2386" s="4" t="s">
        <v>607</v>
      </c>
      <c r="M2386" s="4" t="s">
        <v>607</v>
      </c>
      <c r="N2386" s="4" t="s">
        <v>607</v>
      </c>
      <c r="O2386" s="4"/>
      <c r="P2386" s="4"/>
      <c r="T2386" s="4"/>
    </row>
    <row r="2387">
      <c r="A2387" s="4" t="s">
        <v>5681</v>
      </c>
      <c r="B2387" s="4" t="s">
        <v>607</v>
      </c>
      <c r="C2387" s="6" t="s">
        <v>607</v>
      </c>
      <c r="D2387" s="6" t="s">
        <v>607</v>
      </c>
      <c r="E2387" s="6" t="s">
        <v>607</v>
      </c>
      <c r="F2387" s="6" t="s">
        <v>607</v>
      </c>
      <c r="G2387" s="4" t="s">
        <v>607</v>
      </c>
      <c r="H2387" s="4" t="s">
        <v>607</v>
      </c>
      <c r="I2387" s="4" t="s">
        <v>607</v>
      </c>
      <c r="J2387" s="4" t="s">
        <v>607</v>
      </c>
      <c r="K2387" s="4" t="s">
        <v>607</v>
      </c>
      <c r="L2387" s="4" t="s">
        <v>607</v>
      </c>
      <c r="M2387" s="4" t="s">
        <v>607</v>
      </c>
      <c r="N2387" s="4" t="s">
        <v>607</v>
      </c>
      <c r="O2387" s="4"/>
      <c r="P2387" s="4"/>
      <c r="T2387" s="4"/>
    </row>
    <row r="2388">
      <c r="A2388" s="4" t="s">
        <v>5682</v>
      </c>
      <c r="B2388" s="4" t="s">
        <v>607</v>
      </c>
      <c r="C2388" s="6" t="s">
        <v>607</v>
      </c>
      <c r="D2388" s="6" t="s">
        <v>607</v>
      </c>
      <c r="E2388" s="6" t="s">
        <v>607</v>
      </c>
      <c r="F2388" s="6" t="s">
        <v>607</v>
      </c>
      <c r="G2388" s="4" t="s">
        <v>607</v>
      </c>
      <c r="H2388" s="4" t="s">
        <v>607</v>
      </c>
      <c r="I2388" s="4" t="s">
        <v>607</v>
      </c>
      <c r="J2388" s="4" t="s">
        <v>607</v>
      </c>
      <c r="K2388" s="4" t="s">
        <v>607</v>
      </c>
      <c r="L2388" s="4" t="s">
        <v>607</v>
      </c>
      <c r="M2388" s="4" t="s">
        <v>607</v>
      </c>
      <c r="N2388" s="4" t="s">
        <v>607</v>
      </c>
      <c r="O2388" s="4"/>
      <c r="P2388" s="4"/>
      <c r="T2388" s="4"/>
    </row>
    <row r="2389">
      <c r="A2389" s="4" t="s">
        <v>5683</v>
      </c>
      <c r="B2389" s="4" t="s">
        <v>607</v>
      </c>
      <c r="C2389" s="6" t="s">
        <v>607</v>
      </c>
      <c r="D2389" s="6" t="s">
        <v>607</v>
      </c>
      <c r="E2389" s="6" t="s">
        <v>607</v>
      </c>
      <c r="F2389" s="6" t="s">
        <v>607</v>
      </c>
      <c r="G2389" s="4" t="s">
        <v>607</v>
      </c>
      <c r="H2389" s="4" t="s">
        <v>607</v>
      </c>
      <c r="I2389" s="4" t="s">
        <v>607</v>
      </c>
      <c r="J2389" s="4" t="s">
        <v>607</v>
      </c>
      <c r="K2389" s="4" t="s">
        <v>607</v>
      </c>
      <c r="L2389" s="4" t="s">
        <v>607</v>
      </c>
      <c r="M2389" s="4" t="s">
        <v>607</v>
      </c>
      <c r="N2389" s="4" t="s">
        <v>607</v>
      </c>
      <c r="O2389" s="4"/>
      <c r="P2389" s="4"/>
      <c r="T2389" s="4"/>
    </row>
    <row r="2390">
      <c r="A2390" s="4" t="s">
        <v>5684</v>
      </c>
      <c r="B2390" s="4" t="s">
        <v>607</v>
      </c>
      <c r="C2390" s="6" t="s">
        <v>607</v>
      </c>
      <c r="D2390" s="6" t="s">
        <v>607</v>
      </c>
      <c r="E2390" s="6" t="s">
        <v>607</v>
      </c>
      <c r="F2390" s="6" t="s">
        <v>607</v>
      </c>
      <c r="G2390" s="4" t="s">
        <v>607</v>
      </c>
      <c r="H2390" s="4" t="s">
        <v>607</v>
      </c>
      <c r="I2390" s="4" t="s">
        <v>607</v>
      </c>
      <c r="J2390" s="4" t="s">
        <v>607</v>
      </c>
      <c r="K2390" s="4" t="s">
        <v>607</v>
      </c>
      <c r="L2390" s="4" t="s">
        <v>607</v>
      </c>
      <c r="M2390" s="4" t="s">
        <v>607</v>
      </c>
      <c r="N2390" s="4" t="s">
        <v>607</v>
      </c>
      <c r="O2390" s="4"/>
      <c r="P2390" s="4"/>
      <c r="T2390" s="4"/>
    </row>
    <row r="2391">
      <c r="A2391" s="4" t="s">
        <v>5686</v>
      </c>
      <c r="B2391" s="4" t="s">
        <v>607</v>
      </c>
      <c r="C2391" s="6" t="s">
        <v>607</v>
      </c>
      <c r="D2391" s="6" t="s">
        <v>607</v>
      </c>
      <c r="E2391" s="6" t="s">
        <v>607</v>
      </c>
      <c r="F2391" s="6" t="s">
        <v>607</v>
      </c>
      <c r="G2391" s="4" t="s">
        <v>607</v>
      </c>
      <c r="H2391" s="4" t="s">
        <v>607</v>
      </c>
      <c r="I2391" s="4" t="s">
        <v>607</v>
      </c>
      <c r="J2391" s="4" t="s">
        <v>607</v>
      </c>
      <c r="K2391" s="4" t="s">
        <v>607</v>
      </c>
      <c r="L2391" s="4" t="s">
        <v>607</v>
      </c>
      <c r="M2391" s="4" t="s">
        <v>607</v>
      </c>
      <c r="N2391" s="4" t="s">
        <v>607</v>
      </c>
      <c r="O2391" s="4"/>
      <c r="P2391" s="4"/>
      <c r="T2391" s="4"/>
    </row>
    <row r="2392">
      <c r="A2392" s="4" t="s">
        <v>5687</v>
      </c>
      <c r="B2392" s="4" t="s">
        <v>607</v>
      </c>
      <c r="C2392" s="6" t="s">
        <v>607</v>
      </c>
      <c r="D2392" s="6" t="s">
        <v>607</v>
      </c>
      <c r="E2392" s="6" t="s">
        <v>607</v>
      </c>
      <c r="F2392" s="6" t="s">
        <v>607</v>
      </c>
      <c r="G2392" s="4" t="s">
        <v>607</v>
      </c>
      <c r="H2392" s="4" t="s">
        <v>607</v>
      </c>
      <c r="I2392" s="4" t="s">
        <v>607</v>
      </c>
      <c r="J2392" s="4" t="s">
        <v>607</v>
      </c>
      <c r="K2392" s="4" t="s">
        <v>607</v>
      </c>
      <c r="L2392" s="4" t="s">
        <v>607</v>
      </c>
      <c r="M2392" s="4" t="s">
        <v>607</v>
      </c>
      <c r="N2392" s="4" t="s">
        <v>607</v>
      </c>
      <c r="O2392" s="4"/>
      <c r="P2392" s="4"/>
      <c r="T2392" s="4"/>
    </row>
    <row r="2393">
      <c r="A2393" s="4" t="s">
        <v>5688</v>
      </c>
      <c r="B2393" s="4" t="s">
        <v>607</v>
      </c>
      <c r="C2393" s="6" t="s">
        <v>607</v>
      </c>
      <c r="D2393" s="6" t="s">
        <v>607</v>
      </c>
      <c r="E2393" s="6" t="s">
        <v>607</v>
      </c>
      <c r="F2393" s="6" t="s">
        <v>607</v>
      </c>
      <c r="G2393" s="4" t="s">
        <v>607</v>
      </c>
      <c r="H2393" s="4" t="s">
        <v>607</v>
      </c>
      <c r="I2393" s="4" t="s">
        <v>607</v>
      </c>
      <c r="J2393" s="4" t="s">
        <v>607</v>
      </c>
      <c r="K2393" s="4" t="s">
        <v>607</v>
      </c>
      <c r="L2393" s="4" t="s">
        <v>607</v>
      </c>
      <c r="M2393" s="4" t="s">
        <v>607</v>
      </c>
      <c r="N2393" s="4" t="s">
        <v>607</v>
      </c>
      <c r="O2393" s="4"/>
      <c r="P2393" s="4"/>
      <c r="T2393" s="4"/>
    </row>
    <row r="2394">
      <c r="A2394" s="4" t="s">
        <v>5690</v>
      </c>
      <c r="B2394" s="4" t="s">
        <v>607</v>
      </c>
      <c r="C2394" s="6" t="s">
        <v>607</v>
      </c>
      <c r="D2394" s="6" t="s">
        <v>607</v>
      </c>
      <c r="E2394" s="6" t="s">
        <v>607</v>
      </c>
      <c r="F2394" s="6" t="s">
        <v>607</v>
      </c>
      <c r="G2394" s="4" t="s">
        <v>607</v>
      </c>
      <c r="H2394" s="4" t="s">
        <v>607</v>
      </c>
      <c r="I2394" s="4" t="s">
        <v>607</v>
      </c>
      <c r="J2394" s="4" t="s">
        <v>607</v>
      </c>
      <c r="K2394" s="4" t="s">
        <v>607</v>
      </c>
      <c r="L2394" s="4" t="s">
        <v>607</v>
      </c>
      <c r="M2394" s="4" t="s">
        <v>607</v>
      </c>
      <c r="N2394" s="4" t="s">
        <v>607</v>
      </c>
      <c r="O2394" s="4"/>
      <c r="P2394" s="4"/>
      <c r="T2394" s="4"/>
    </row>
    <row r="2395">
      <c r="A2395" s="4" t="s">
        <v>5692</v>
      </c>
      <c r="B2395" s="4" t="s">
        <v>607</v>
      </c>
      <c r="C2395" s="6" t="s">
        <v>607</v>
      </c>
      <c r="D2395" s="6" t="s">
        <v>607</v>
      </c>
      <c r="E2395" s="6" t="s">
        <v>607</v>
      </c>
      <c r="F2395" s="6" t="s">
        <v>607</v>
      </c>
      <c r="G2395" s="4" t="s">
        <v>607</v>
      </c>
      <c r="H2395" s="4" t="s">
        <v>607</v>
      </c>
      <c r="I2395" s="4" t="s">
        <v>607</v>
      </c>
      <c r="J2395" s="4" t="s">
        <v>607</v>
      </c>
      <c r="K2395" s="4" t="s">
        <v>607</v>
      </c>
      <c r="L2395" s="4" t="s">
        <v>607</v>
      </c>
      <c r="M2395" s="4" t="s">
        <v>607</v>
      </c>
      <c r="N2395" s="4" t="s">
        <v>607</v>
      </c>
      <c r="O2395" s="4"/>
      <c r="P2395" s="4"/>
      <c r="T2395" s="4"/>
    </row>
    <row r="2396">
      <c r="A2396" s="4" t="s">
        <v>5694</v>
      </c>
      <c r="B2396" s="4" t="s">
        <v>607</v>
      </c>
      <c r="C2396" s="6" t="s">
        <v>607</v>
      </c>
      <c r="D2396" s="6" t="s">
        <v>607</v>
      </c>
      <c r="E2396" s="6" t="s">
        <v>607</v>
      </c>
      <c r="F2396" s="6" t="s">
        <v>607</v>
      </c>
      <c r="G2396" s="4" t="s">
        <v>607</v>
      </c>
      <c r="H2396" s="4" t="s">
        <v>607</v>
      </c>
      <c r="I2396" s="4" t="s">
        <v>607</v>
      </c>
      <c r="J2396" s="4" t="s">
        <v>607</v>
      </c>
      <c r="K2396" s="4" t="s">
        <v>607</v>
      </c>
      <c r="L2396" s="4" t="s">
        <v>607</v>
      </c>
      <c r="M2396" s="4" t="s">
        <v>607</v>
      </c>
      <c r="N2396" s="4" t="s">
        <v>607</v>
      </c>
      <c r="O2396" s="4"/>
      <c r="P2396" s="4"/>
      <c r="T2396" s="4"/>
    </row>
    <row r="2397">
      <c r="A2397" s="4" t="s">
        <v>5698</v>
      </c>
      <c r="B2397" s="4" t="s">
        <v>607</v>
      </c>
      <c r="C2397" s="6" t="s">
        <v>607</v>
      </c>
      <c r="D2397" s="6" t="s">
        <v>607</v>
      </c>
      <c r="E2397" s="6" t="s">
        <v>607</v>
      </c>
      <c r="F2397" s="6" t="s">
        <v>607</v>
      </c>
      <c r="G2397" s="4" t="s">
        <v>607</v>
      </c>
      <c r="H2397" s="4" t="s">
        <v>607</v>
      </c>
      <c r="I2397" s="4" t="s">
        <v>607</v>
      </c>
      <c r="J2397" s="4" t="s">
        <v>607</v>
      </c>
      <c r="K2397" s="4" t="s">
        <v>607</v>
      </c>
      <c r="L2397" s="4" t="s">
        <v>607</v>
      </c>
      <c r="M2397" s="4" t="s">
        <v>607</v>
      </c>
      <c r="N2397" s="4" t="s">
        <v>607</v>
      </c>
      <c r="O2397" s="4"/>
      <c r="P2397" s="4"/>
      <c r="T2397" s="4"/>
    </row>
    <row r="2398">
      <c r="A2398" s="4" t="s">
        <v>5701</v>
      </c>
      <c r="B2398" s="4" t="s">
        <v>607</v>
      </c>
      <c r="C2398" s="6" t="s">
        <v>607</v>
      </c>
      <c r="D2398" s="6" t="s">
        <v>607</v>
      </c>
      <c r="E2398" s="6" t="s">
        <v>607</v>
      </c>
      <c r="F2398" s="6" t="s">
        <v>607</v>
      </c>
      <c r="G2398" s="4" t="s">
        <v>607</v>
      </c>
      <c r="H2398" s="4" t="s">
        <v>607</v>
      </c>
      <c r="I2398" s="4" t="s">
        <v>607</v>
      </c>
      <c r="J2398" s="4" t="s">
        <v>607</v>
      </c>
      <c r="K2398" s="4" t="s">
        <v>607</v>
      </c>
      <c r="L2398" s="4" t="s">
        <v>607</v>
      </c>
      <c r="M2398" s="4" t="s">
        <v>607</v>
      </c>
      <c r="N2398" s="4" t="s">
        <v>607</v>
      </c>
      <c r="O2398" s="4"/>
      <c r="P2398" s="4"/>
      <c r="T2398" s="4"/>
    </row>
    <row r="2399">
      <c r="A2399" s="4" t="s">
        <v>5705</v>
      </c>
      <c r="B2399" s="4" t="s">
        <v>607</v>
      </c>
      <c r="C2399" s="6" t="s">
        <v>607</v>
      </c>
      <c r="D2399" s="6" t="s">
        <v>607</v>
      </c>
      <c r="E2399" s="6" t="s">
        <v>607</v>
      </c>
      <c r="F2399" s="6" t="s">
        <v>607</v>
      </c>
      <c r="G2399" s="4" t="s">
        <v>607</v>
      </c>
      <c r="H2399" s="4" t="s">
        <v>607</v>
      </c>
      <c r="I2399" s="4" t="s">
        <v>607</v>
      </c>
      <c r="J2399" s="4" t="s">
        <v>607</v>
      </c>
      <c r="K2399" s="4" t="s">
        <v>607</v>
      </c>
      <c r="L2399" s="4" t="s">
        <v>607</v>
      </c>
      <c r="M2399" s="4" t="s">
        <v>607</v>
      </c>
      <c r="N2399" s="4" t="s">
        <v>607</v>
      </c>
      <c r="O2399" s="4"/>
      <c r="P2399" s="4"/>
      <c r="T2399" s="4"/>
    </row>
    <row r="2400">
      <c r="A2400" s="4" t="s">
        <v>5707</v>
      </c>
      <c r="B2400" s="4" t="s">
        <v>607</v>
      </c>
      <c r="C2400" s="6" t="s">
        <v>607</v>
      </c>
      <c r="D2400" s="6" t="s">
        <v>607</v>
      </c>
      <c r="E2400" s="6" t="s">
        <v>607</v>
      </c>
      <c r="F2400" s="6" t="s">
        <v>607</v>
      </c>
      <c r="G2400" s="4" t="s">
        <v>607</v>
      </c>
      <c r="H2400" s="4" t="s">
        <v>607</v>
      </c>
      <c r="I2400" s="4" t="s">
        <v>607</v>
      </c>
      <c r="J2400" s="4" t="s">
        <v>607</v>
      </c>
      <c r="K2400" s="4" t="s">
        <v>607</v>
      </c>
      <c r="L2400" s="4" t="s">
        <v>607</v>
      </c>
      <c r="M2400" s="4" t="s">
        <v>607</v>
      </c>
      <c r="N2400" s="4" t="s">
        <v>607</v>
      </c>
      <c r="O2400" s="4"/>
      <c r="P2400" s="4"/>
      <c r="T2400" s="4"/>
    </row>
    <row r="2401">
      <c r="A2401" s="4" t="s">
        <v>5708</v>
      </c>
      <c r="B2401" s="4" t="s">
        <v>607</v>
      </c>
      <c r="C2401" s="6" t="s">
        <v>607</v>
      </c>
      <c r="D2401" s="6" t="s">
        <v>607</v>
      </c>
      <c r="E2401" s="6" t="s">
        <v>607</v>
      </c>
      <c r="F2401" s="6" t="s">
        <v>607</v>
      </c>
      <c r="G2401" s="4" t="s">
        <v>607</v>
      </c>
      <c r="H2401" s="4" t="s">
        <v>607</v>
      </c>
      <c r="I2401" s="4" t="s">
        <v>607</v>
      </c>
      <c r="J2401" s="4" t="s">
        <v>607</v>
      </c>
      <c r="K2401" s="4" t="s">
        <v>607</v>
      </c>
      <c r="L2401" s="4" t="s">
        <v>607</v>
      </c>
      <c r="M2401" s="4" t="s">
        <v>607</v>
      </c>
      <c r="N2401" s="4" t="s">
        <v>607</v>
      </c>
      <c r="O2401" s="4"/>
      <c r="P2401" s="4"/>
      <c r="T2401" s="4"/>
    </row>
    <row r="2402">
      <c r="A2402" s="4" t="s">
        <v>5709</v>
      </c>
      <c r="B2402" s="4" t="s">
        <v>607</v>
      </c>
      <c r="C2402" s="6" t="s">
        <v>607</v>
      </c>
      <c r="D2402" s="6" t="s">
        <v>607</v>
      </c>
      <c r="E2402" s="6" t="s">
        <v>607</v>
      </c>
      <c r="F2402" s="6" t="s">
        <v>607</v>
      </c>
      <c r="G2402" s="4" t="s">
        <v>607</v>
      </c>
      <c r="H2402" s="4" t="s">
        <v>607</v>
      </c>
      <c r="I2402" s="4" t="s">
        <v>607</v>
      </c>
      <c r="J2402" s="4" t="s">
        <v>607</v>
      </c>
      <c r="K2402" s="4" t="s">
        <v>607</v>
      </c>
      <c r="L2402" s="4" t="s">
        <v>607</v>
      </c>
      <c r="M2402" s="4" t="s">
        <v>607</v>
      </c>
      <c r="N2402" s="4" t="s">
        <v>607</v>
      </c>
      <c r="O2402" s="4"/>
      <c r="P2402" s="4"/>
      <c r="T2402" s="4"/>
    </row>
    <row r="2403">
      <c r="A2403" s="4" t="s">
        <v>5710</v>
      </c>
      <c r="B2403" s="4" t="s">
        <v>607</v>
      </c>
      <c r="C2403" s="6" t="s">
        <v>607</v>
      </c>
      <c r="D2403" s="6" t="s">
        <v>607</v>
      </c>
      <c r="E2403" s="6" t="s">
        <v>607</v>
      </c>
      <c r="F2403" s="6" t="s">
        <v>607</v>
      </c>
      <c r="G2403" s="4" t="s">
        <v>607</v>
      </c>
      <c r="H2403" s="4" t="s">
        <v>607</v>
      </c>
      <c r="I2403" s="4" t="s">
        <v>607</v>
      </c>
      <c r="J2403" s="4" t="s">
        <v>607</v>
      </c>
      <c r="K2403" s="4" t="s">
        <v>607</v>
      </c>
      <c r="L2403" s="4" t="s">
        <v>607</v>
      </c>
      <c r="M2403" s="4" t="s">
        <v>607</v>
      </c>
      <c r="N2403" s="4" t="s">
        <v>607</v>
      </c>
      <c r="O2403" s="4"/>
      <c r="P2403" s="4"/>
      <c r="T2403" s="4"/>
    </row>
    <row r="2404">
      <c r="A2404" s="4" t="s">
        <v>5711</v>
      </c>
      <c r="B2404" s="4" t="s">
        <v>607</v>
      </c>
      <c r="C2404" s="6" t="s">
        <v>607</v>
      </c>
      <c r="D2404" s="6" t="s">
        <v>607</v>
      </c>
      <c r="E2404" s="6" t="s">
        <v>607</v>
      </c>
      <c r="F2404" s="6" t="s">
        <v>607</v>
      </c>
      <c r="G2404" s="4" t="s">
        <v>607</v>
      </c>
      <c r="H2404" s="4" t="s">
        <v>607</v>
      </c>
      <c r="I2404" s="4" t="s">
        <v>607</v>
      </c>
      <c r="J2404" s="4" t="s">
        <v>607</v>
      </c>
      <c r="K2404" s="4" t="s">
        <v>607</v>
      </c>
      <c r="L2404" s="4" t="s">
        <v>607</v>
      </c>
      <c r="M2404" s="4" t="s">
        <v>607</v>
      </c>
      <c r="N2404" s="4" t="s">
        <v>607</v>
      </c>
      <c r="O2404" s="4"/>
      <c r="P2404" s="4"/>
      <c r="T2404" s="4"/>
    </row>
    <row r="2405">
      <c r="A2405" s="4" t="s">
        <v>5713</v>
      </c>
      <c r="B2405" s="4" t="s">
        <v>607</v>
      </c>
      <c r="C2405" s="6" t="s">
        <v>607</v>
      </c>
      <c r="D2405" s="6" t="s">
        <v>607</v>
      </c>
      <c r="E2405" s="6" t="s">
        <v>607</v>
      </c>
      <c r="F2405" s="6" t="s">
        <v>607</v>
      </c>
      <c r="G2405" s="4" t="s">
        <v>607</v>
      </c>
      <c r="H2405" s="4" t="s">
        <v>607</v>
      </c>
      <c r="I2405" s="4" t="s">
        <v>607</v>
      </c>
      <c r="J2405" s="4" t="s">
        <v>607</v>
      </c>
      <c r="K2405" s="4" t="s">
        <v>607</v>
      </c>
      <c r="L2405" s="4" t="s">
        <v>607</v>
      </c>
      <c r="M2405" s="4" t="s">
        <v>607</v>
      </c>
      <c r="N2405" s="4" t="s">
        <v>607</v>
      </c>
      <c r="O2405" s="4"/>
      <c r="P2405" s="4"/>
      <c r="T2405" s="4"/>
    </row>
    <row r="2406">
      <c r="A2406" s="4" t="s">
        <v>5714</v>
      </c>
      <c r="B2406" s="4" t="s">
        <v>607</v>
      </c>
      <c r="C2406" s="6" t="s">
        <v>607</v>
      </c>
      <c r="D2406" s="6" t="s">
        <v>607</v>
      </c>
      <c r="E2406" s="6" t="s">
        <v>607</v>
      </c>
      <c r="F2406" s="6" t="s">
        <v>607</v>
      </c>
      <c r="G2406" s="4" t="s">
        <v>607</v>
      </c>
      <c r="H2406" s="4" t="s">
        <v>607</v>
      </c>
      <c r="I2406" s="4" t="s">
        <v>607</v>
      </c>
      <c r="J2406" s="4" t="s">
        <v>607</v>
      </c>
      <c r="K2406" s="4" t="s">
        <v>607</v>
      </c>
      <c r="L2406" s="4" t="s">
        <v>607</v>
      </c>
      <c r="M2406" s="4" t="s">
        <v>607</v>
      </c>
      <c r="N2406" s="4" t="s">
        <v>607</v>
      </c>
      <c r="O2406" s="4"/>
      <c r="P2406" s="4"/>
      <c r="T2406" s="4"/>
    </row>
    <row r="2407">
      <c r="A2407" s="4" t="s">
        <v>5715</v>
      </c>
      <c r="B2407" s="4" t="s">
        <v>607</v>
      </c>
      <c r="C2407" s="6" t="s">
        <v>607</v>
      </c>
      <c r="D2407" s="6" t="s">
        <v>607</v>
      </c>
      <c r="E2407" s="6" t="s">
        <v>607</v>
      </c>
      <c r="F2407" s="6" t="s">
        <v>607</v>
      </c>
      <c r="G2407" s="4" t="s">
        <v>607</v>
      </c>
      <c r="H2407" s="4" t="s">
        <v>607</v>
      </c>
      <c r="I2407" s="4" t="s">
        <v>607</v>
      </c>
      <c r="J2407" s="4" t="s">
        <v>607</v>
      </c>
      <c r="K2407" s="4" t="s">
        <v>607</v>
      </c>
      <c r="L2407" s="4" t="s">
        <v>607</v>
      </c>
      <c r="M2407" s="4" t="s">
        <v>607</v>
      </c>
      <c r="N2407" s="4" t="s">
        <v>607</v>
      </c>
      <c r="O2407" s="4"/>
      <c r="P2407" s="4"/>
      <c r="T2407" s="4"/>
    </row>
    <row r="2408">
      <c r="A2408" s="4" t="s">
        <v>5716</v>
      </c>
      <c r="B2408" s="4" t="s">
        <v>607</v>
      </c>
      <c r="C2408" s="6" t="s">
        <v>607</v>
      </c>
      <c r="D2408" s="6" t="s">
        <v>607</v>
      </c>
      <c r="E2408" s="6" t="s">
        <v>607</v>
      </c>
      <c r="F2408" s="6" t="s">
        <v>607</v>
      </c>
      <c r="G2408" s="4" t="s">
        <v>607</v>
      </c>
      <c r="H2408" s="4" t="s">
        <v>607</v>
      </c>
      <c r="I2408" s="4" t="s">
        <v>607</v>
      </c>
      <c r="J2408" s="4" t="s">
        <v>607</v>
      </c>
      <c r="K2408" s="4" t="s">
        <v>607</v>
      </c>
      <c r="L2408" s="4" t="s">
        <v>607</v>
      </c>
      <c r="M2408" s="4" t="s">
        <v>607</v>
      </c>
      <c r="N2408" s="4" t="s">
        <v>607</v>
      </c>
      <c r="O2408" s="4"/>
      <c r="P2408" s="4"/>
      <c r="T2408" s="4"/>
    </row>
    <row r="2409">
      <c r="A2409" s="4" t="s">
        <v>5718</v>
      </c>
      <c r="B2409" s="4" t="s">
        <v>607</v>
      </c>
      <c r="C2409" s="6" t="s">
        <v>607</v>
      </c>
      <c r="D2409" s="6" t="s">
        <v>607</v>
      </c>
      <c r="E2409" s="6" t="s">
        <v>607</v>
      </c>
      <c r="F2409" s="6" t="s">
        <v>607</v>
      </c>
      <c r="G2409" s="4" t="s">
        <v>607</v>
      </c>
      <c r="H2409" s="4" t="s">
        <v>607</v>
      </c>
      <c r="I2409" s="4" t="s">
        <v>607</v>
      </c>
      <c r="J2409" s="4" t="s">
        <v>607</v>
      </c>
      <c r="K2409" s="4" t="s">
        <v>607</v>
      </c>
      <c r="L2409" s="4" t="s">
        <v>607</v>
      </c>
      <c r="M2409" s="4" t="s">
        <v>607</v>
      </c>
      <c r="N2409" s="4" t="s">
        <v>607</v>
      </c>
      <c r="O2409" s="4"/>
      <c r="P2409" s="4"/>
      <c r="T2409" s="4"/>
    </row>
    <row r="2410">
      <c r="A2410" s="4" t="s">
        <v>5720</v>
      </c>
      <c r="B2410" s="4" t="s">
        <v>607</v>
      </c>
      <c r="C2410" s="6" t="s">
        <v>607</v>
      </c>
      <c r="D2410" s="6" t="s">
        <v>607</v>
      </c>
      <c r="E2410" s="6" t="s">
        <v>607</v>
      </c>
      <c r="F2410" s="6" t="s">
        <v>607</v>
      </c>
      <c r="G2410" s="4" t="s">
        <v>607</v>
      </c>
      <c r="H2410" s="4" t="s">
        <v>607</v>
      </c>
      <c r="I2410" s="4" t="s">
        <v>607</v>
      </c>
      <c r="J2410" s="4" t="s">
        <v>607</v>
      </c>
      <c r="K2410" s="4" t="s">
        <v>607</v>
      </c>
      <c r="L2410" s="4" t="s">
        <v>607</v>
      </c>
      <c r="M2410" s="4" t="s">
        <v>607</v>
      </c>
      <c r="N2410" s="4" t="s">
        <v>607</v>
      </c>
      <c r="O2410" s="4"/>
      <c r="P2410" s="4"/>
      <c r="T2410" s="4"/>
    </row>
    <row r="2411">
      <c r="A2411" s="4" t="s">
        <v>5721</v>
      </c>
      <c r="B2411" s="4" t="s">
        <v>607</v>
      </c>
      <c r="C2411" s="6" t="s">
        <v>607</v>
      </c>
      <c r="D2411" s="6" t="s">
        <v>607</v>
      </c>
      <c r="E2411" s="6" t="s">
        <v>607</v>
      </c>
      <c r="F2411" s="6" t="s">
        <v>607</v>
      </c>
      <c r="G2411" s="4" t="s">
        <v>607</v>
      </c>
      <c r="H2411" s="4" t="s">
        <v>607</v>
      </c>
      <c r="I2411" s="4" t="s">
        <v>607</v>
      </c>
      <c r="J2411" s="4" t="s">
        <v>607</v>
      </c>
      <c r="K2411" s="4" t="s">
        <v>607</v>
      </c>
      <c r="L2411" s="4" t="s">
        <v>607</v>
      </c>
      <c r="M2411" s="4" t="s">
        <v>607</v>
      </c>
      <c r="N2411" s="4" t="s">
        <v>607</v>
      </c>
      <c r="O2411" s="4"/>
      <c r="P2411" s="4"/>
      <c r="T2411" s="4"/>
    </row>
    <row r="2412">
      <c r="A2412" s="4" t="s">
        <v>5723</v>
      </c>
      <c r="B2412" s="4" t="s">
        <v>607</v>
      </c>
      <c r="C2412" s="6" t="s">
        <v>607</v>
      </c>
      <c r="D2412" s="6" t="s">
        <v>607</v>
      </c>
      <c r="E2412" s="6" t="s">
        <v>607</v>
      </c>
      <c r="F2412" s="6" t="s">
        <v>607</v>
      </c>
      <c r="G2412" s="4" t="s">
        <v>607</v>
      </c>
      <c r="H2412" s="4" t="s">
        <v>607</v>
      </c>
      <c r="I2412" s="4" t="s">
        <v>607</v>
      </c>
      <c r="J2412" s="4" t="s">
        <v>607</v>
      </c>
      <c r="K2412" s="4" t="s">
        <v>607</v>
      </c>
      <c r="L2412" s="4" t="s">
        <v>607</v>
      </c>
      <c r="M2412" s="4" t="s">
        <v>607</v>
      </c>
      <c r="N2412" s="4" t="s">
        <v>607</v>
      </c>
      <c r="O2412" s="4"/>
      <c r="P2412" s="4"/>
      <c r="T2412" s="4"/>
    </row>
    <row r="2413">
      <c r="A2413" s="4" t="s">
        <v>5726</v>
      </c>
      <c r="B2413" s="4" t="s">
        <v>607</v>
      </c>
      <c r="C2413" s="6" t="s">
        <v>607</v>
      </c>
      <c r="D2413" s="6" t="s">
        <v>607</v>
      </c>
      <c r="E2413" s="6" t="s">
        <v>607</v>
      </c>
      <c r="F2413" s="6" t="s">
        <v>607</v>
      </c>
      <c r="G2413" s="4" t="s">
        <v>607</v>
      </c>
      <c r="H2413" s="4" t="s">
        <v>607</v>
      </c>
      <c r="I2413" s="4" t="s">
        <v>607</v>
      </c>
      <c r="J2413" s="4" t="s">
        <v>607</v>
      </c>
      <c r="K2413" s="4" t="s">
        <v>607</v>
      </c>
      <c r="L2413" s="4" t="s">
        <v>607</v>
      </c>
      <c r="M2413" s="4" t="s">
        <v>607</v>
      </c>
      <c r="N2413" s="4" t="s">
        <v>607</v>
      </c>
      <c r="O2413" s="4"/>
      <c r="P2413" s="4"/>
      <c r="T2413" s="4"/>
    </row>
    <row r="2414">
      <c r="A2414" s="4" t="s">
        <v>5727</v>
      </c>
      <c r="B2414" s="4" t="s">
        <v>607</v>
      </c>
      <c r="C2414" s="6" t="s">
        <v>607</v>
      </c>
      <c r="D2414" s="6" t="s">
        <v>607</v>
      </c>
      <c r="E2414" s="6" t="s">
        <v>607</v>
      </c>
      <c r="F2414" s="6" t="s">
        <v>607</v>
      </c>
      <c r="G2414" s="4" t="s">
        <v>607</v>
      </c>
      <c r="H2414" s="4" t="s">
        <v>607</v>
      </c>
      <c r="I2414" s="4" t="s">
        <v>607</v>
      </c>
      <c r="J2414" s="4" t="s">
        <v>607</v>
      </c>
      <c r="K2414" s="4" t="s">
        <v>607</v>
      </c>
      <c r="L2414" s="4" t="s">
        <v>607</v>
      </c>
      <c r="M2414" s="4" t="s">
        <v>607</v>
      </c>
      <c r="N2414" s="4" t="s">
        <v>607</v>
      </c>
      <c r="O2414" s="4"/>
      <c r="P2414" s="4"/>
      <c r="T2414" s="4"/>
    </row>
    <row r="2415">
      <c r="A2415" s="4" t="s">
        <v>5728</v>
      </c>
      <c r="B2415" s="4" t="s">
        <v>607</v>
      </c>
      <c r="C2415" s="6" t="s">
        <v>607</v>
      </c>
      <c r="D2415" s="6" t="s">
        <v>607</v>
      </c>
      <c r="E2415" s="6" t="s">
        <v>607</v>
      </c>
      <c r="F2415" s="6" t="s">
        <v>607</v>
      </c>
      <c r="G2415" s="4" t="s">
        <v>607</v>
      </c>
      <c r="H2415" s="4" t="s">
        <v>607</v>
      </c>
      <c r="I2415" s="4" t="s">
        <v>607</v>
      </c>
      <c r="J2415" s="4" t="s">
        <v>607</v>
      </c>
      <c r="K2415" s="4" t="s">
        <v>607</v>
      </c>
      <c r="L2415" s="4" t="s">
        <v>607</v>
      </c>
      <c r="M2415" s="4" t="s">
        <v>607</v>
      </c>
      <c r="N2415" s="4" t="s">
        <v>607</v>
      </c>
      <c r="O2415" s="4"/>
      <c r="P2415" s="4"/>
      <c r="T2415" s="4"/>
    </row>
    <row r="2416">
      <c r="A2416" s="4" t="s">
        <v>5729</v>
      </c>
      <c r="B2416" s="4" t="s">
        <v>607</v>
      </c>
      <c r="C2416" s="6" t="s">
        <v>607</v>
      </c>
      <c r="D2416" s="6" t="s">
        <v>607</v>
      </c>
      <c r="E2416" s="6" t="s">
        <v>607</v>
      </c>
      <c r="F2416" s="6" t="s">
        <v>607</v>
      </c>
      <c r="G2416" s="4" t="s">
        <v>607</v>
      </c>
      <c r="H2416" s="4" t="s">
        <v>607</v>
      </c>
      <c r="I2416" s="4" t="s">
        <v>607</v>
      </c>
      <c r="J2416" s="4" t="s">
        <v>607</v>
      </c>
      <c r="K2416" s="4" t="s">
        <v>607</v>
      </c>
      <c r="L2416" s="4" t="s">
        <v>607</v>
      </c>
      <c r="M2416" s="4" t="s">
        <v>607</v>
      </c>
      <c r="N2416" s="4" t="s">
        <v>607</v>
      </c>
      <c r="O2416" s="4"/>
      <c r="P2416" s="4"/>
      <c r="T2416" s="4"/>
    </row>
    <row r="2417">
      <c r="A2417" s="4" t="s">
        <v>5730</v>
      </c>
      <c r="B2417" s="4" t="s">
        <v>607</v>
      </c>
      <c r="C2417" s="6" t="s">
        <v>607</v>
      </c>
      <c r="D2417" s="6" t="s">
        <v>607</v>
      </c>
      <c r="E2417" s="6" t="s">
        <v>607</v>
      </c>
      <c r="F2417" s="6" t="s">
        <v>607</v>
      </c>
      <c r="G2417" s="4" t="s">
        <v>607</v>
      </c>
      <c r="H2417" s="4" t="s">
        <v>607</v>
      </c>
      <c r="I2417" s="4" t="s">
        <v>607</v>
      </c>
      <c r="J2417" s="4" t="s">
        <v>607</v>
      </c>
      <c r="K2417" s="4" t="s">
        <v>607</v>
      </c>
      <c r="L2417" s="4" t="s">
        <v>607</v>
      </c>
      <c r="M2417" s="4" t="s">
        <v>607</v>
      </c>
      <c r="N2417" s="4" t="s">
        <v>607</v>
      </c>
      <c r="O2417" s="4"/>
      <c r="P2417" s="4"/>
      <c r="T2417" s="4"/>
    </row>
    <row r="2418">
      <c r="A2418" s="4" t="s">
        <v>5734</v>
      </c>
      <c r="B2418" s="4" t="s">
        <v>607</v>
      </c>
      <c r="C2418" s="6" t="s">
        <v>607</v>
      </c>
      <c r="D2418" s="6" t="s">
        <v>607</v>
      </c>
      <c r="E2418" s="6" t="s">
        <v>607</v>
      </c>
      <c r="F2418" s="6" t="s">
        <v>607</v>
      </c>
      <c r="G2418" s="4" t="s">
        <v>607</v>
      </c>
      <c r="H2418" s="4" t="s">
        <v>607</v>
      </c>
      <c r="I2418" s="4" t="s">
        <v>607</v>
      </c>
      <c r="J2418" s="4" t="s">
        <v>607</v>
      </c>
      <c r="K2418" s="4" t="s">
        <v>607</v>
      </c>
      <c r="L2418" s="4" t="s">
        <v>607</v>
      </c>
      <c r="M2418" s="4" t="s">
        <v>607</v>
      </c>
      <c r="N2418" s="4" t="s">
        <v>607</v>
      </c>
      <c r="O2418" s="4"/>
      <c r="P2418" s="4"/>
      <c r="T2418" s="4"/>
    </row>
    <row r="2419">
      <c r="A2419" s="4" t="s">
        <v>5735</v>
      </c>
      <c r="B2419" s="4" t="s">
        <v>607</v>
      </c>
      <c r="C2419" s="6" t="s">
        <v>607</v>
      </c>
      <c r="D2419" s="6" t="s">
        <v>607</v>
      </c>
      <c r="E2419" s="6" t="s">
        <v>607</v>
      </c>
      <c r="F2419" s="6" t="s">
        <v>607</v>
      </c>
      <c r="G2419" s="4" t="s">
        <v>607</v>
      </c>
      <c r="H2419" s="4" t="s">
        <v>607</v>
      </c>
      <c r="I2419" s="4" t="s">
        <v>607</v>
      </c>
      <c r="J2419" s="4" t="s">
        <v>607</v>
      </c>
      <c r="K2419" s="4" t="s">
        <v>607</v>
      </c>
      <c r="L2419" s="4" t="s">
        <v>607</v>
      </c>
      <c r="M2419" s="4" t="s">
        <v>607</v>
      </c>
      <c r="N2419" s="4" t="s">
        <v>607</v>
      </c>
      <c r="O2419" s="4"/>
      <c r="P2419" s="4"/>
      <c r="T2419" s="4"/>
    </row>
    <row r="2420">
      <c r="A2420" s="4" t="s">
        <v>5739</v>
      </c>
      <c r="B2420" s="4" t="s">
        <v>607</v>
      </c>
      <c r="C2420" s="6" t="s">
        <v>607</v>
      </c>
      <c r="D2420" s="6" t="s">
        <v>607</v>
      </c>
      <c r="E2420" s="6" t="s">
        <v>607</v>
      </c>
      <c r="F2420" s="6" t="s">
        <v>607</v>
      </c>
      <c r="G2420" s="4" t="s">
        <v>607</v>
      </c>
      <c r="H2420" s="4" t="s">
        <v>607</v>
      </c>
      <c r="I2420" s="4" t="s">
        <v>607</v>
      </c>
      <c r="J2420" s="4" t="s">
        <v>607</v>
      </c>
      <c r="K2420" s="4" t="s">
        <v>607</v>
      </c>
      <c r="L2420" s="4" t="s">
        <v>607</v>
      </c>
      <c r="M2420" s="4" t="s">
        <v>607</v>
      </c>
      <c r="N2420" s="4" t="s">
        <v>607</v>
      </c>
      <c r="O2420" s="4"/>
      <c r="P2420" s="4"/>
      <c r="T2420" s="4"/>
    </row>
    <row r="2421">
      <c r="A2421" s="4" t="s">
        <v>5740</v>
      </c>
      <c r="B2421" s="4" t="s">
        <v>607</v>
      </c>
      <c r="C2421" s="6" t="s">
        <v>607</v>
      </c>
      <c r="D2421" s="6" t="s">
        <v>607</v>
      </c>
      <c r="E2421" s="6" t="s">
        <v>607</v>
      </c>
      <c r="F2421" s="6" t="s">
        <v>607</v>
      </c>
      <c r="G2421" s="4" t="s">
        <v>607</v>
      </c>
      <c r="H2421" s="4" t="s">
        <v>607</v>
      </c>
      <c r="I2421" s="4" t="s">
        <v>607</v>
      </c>
      <c r="J2421" s="4" t="s">
        <v>607</v>
      </c>
      <c r="K2421" s="4" t="s">
        <v>607</v>
      </c>
      <c r="L2421" s="4" t="s">
        <v>607</v>
      </c>
      <c r="M2421" s="4" t="s">
        <v>607</v>
      </c>
      <c r="N2421" s="4" t="s">
        <v>607</v>
      </c>
      <c r="O2421" s="4"/>
      <c r="P2421" s="4"/>
      <c r="T2421" s="4"/>
    </row>
    <row r="2422">
      <c r="A2422" s="4" t="s">
        <v>5744</v>
      </c>
      <c r="B2422" s="4" t="s">
        <v>607</v>
      </c>
      <c r="C2422" s="6" t="s">
        <v>607</v>
      </c>
      <c r="D2422" s="6" t="s">
        <v>607</v>
      </c>
      <c r="E2422" s="6" t="s">
        <v>607</v>
      </c>
      <c r="F2422" s="6" t="s">
        <v>607</v>
      </c>
      <c r="G2422" s="4" t="s">
        <v>607</v>
      </c>
      <c r="H2422" s="4" t="s">
        <v>607</v>
      </c>
      <c r="I2422" s="4" t="s">
        <v>607</v>
      </c>
      <c r="J2422" s="4" t="s">
        <v>607</v>
      </c>
      <c r="K2422" s="4" t="s">
        <v>607</v>
      </c>
      <c r="L2422" s="4" t="s">
        <v>607</v>
      </c>
      <c r="M2422" s="4" t="s">
        <v>607</v>
      </c>
      <c r="N2422" s="4" t="s">
        <v>607</v>
      </c>
      <c r="O2422" s="4"/>
      <c r="P2422" s="4"/>
      <c r="T2422" s="4"/>
    </row>
    <row r="2423">
      <c r="A2423" s="4" t="s">
        <v>5746</v>
      </c>
      <c r="B2423" s="4" t="s">
        <v>607</v>
      </c>
      <c r="C2423" s="6" t="s">
        <v>607</v>
      </c>
      <c r="D2423" s="6" t="s">
        <v>607</v>
      </c>
      <c r="E2423" s="6" t="s">
        <v>607</v>
      </c>
      <c r="F2423" s="6" t="s">
        <v>607</v>
      </c>
      <c r="G2423" s="4" t="s">
        <v>607</v>
      </c>
      <c r="H2423" s="4" t="s">
        <v>607</v>
      </c>
      <c r="I2423" s="4" t="s">
        <v>607</v>
      </c>
      <c r="J2423" s="4" t="s">
        <v>607</v>
      </c>
      <c r="K2423" s="4" t="s">
        <v>607</v>
      </c>
      <c r="L2423" s="4" t="s">
        <v>607</v>
      </c>
      <c r="M2423" s="4" t="s">
        <v>607</v>
      </c>
      <c r="N2423" s="4" t="s">
        <v>607</v>
      </c>
      <c r="O2423" s="4"/>
      <c r="P2423" s="4"/>
      <c r="T2423" s="4"/>
    </row>
    <row r="2424">
      <c r="A2424" s="4" t="s">
        <v>5747</v>
      </c>
      <c r="B2424" s="4" t="s">
        <v>607</v>
      </c>
      <c r="C2424" s="6" t="s">
        <v>607</v>
      </c>
      <c r="D2424" s="6" t="s">
        <v>607</v>
      </c>
      <c r="E2424" s="6" t="s">
        <v>607</v>
      </c>
      <c r="F2424" s="6" t="s">
        <v>607</v>
      </c>
      <c r="G2424" s="4" t="s">
        <v>607</v>
      </c>
      <c r="H2424" s="4" t="s">
        <v>607</v>
      </c>
      <c r="I2424" s="4" t="s">
        <v>607</v>
      </c>
      <c r="J2424" s="4" t="s">
        <v>607</v>
      </c>
      <c r="K2424" s="4" t="s">
        <v>607</v>
      </c>
      <c r="L2424" s="4" t="s">
        <v>607</v>
      </c>
      <c r="M2424" s="4" t="s">
        <v>607</v>
      </c>
      <c r="N2424" s="4" t="s">
        <v>607</v>
      </c>
      <c r="O2424" s="4"/>
      <c r="P2424" s="4"/>
      <c r="T2424" s="4"/>
    </row>
    <row r="2425">
      <c r="A2425" s="4" t="s">
        <v>5749</v>
      </c>
      <c r="B2425" s="4" t="s">
        <v>607</v>
      </c>
      <c r="C2425" s="6" t="s">
        <v>607</v>
      </c>
      <c r="D2425" s="6" t="s">
        <v>607</v>
      </c>
      <c r="E2425" s="6" t="s">
        <v>607</v>
      </c>
      <c r="F2425" s="6" t="s">
        <v>607</v>
      </c>
      <c r="G2425" s="4" t="s">
        <v>607</v>
      </c>
      <c r="H2425" s="4" t="s">
        <v>607</v>
      </c>
      <c r="I2425" s="4" t="s">
        <v>607</v>
      </c>
      <c r="J2425" s="4" t="s">
        <v>607</v>
      </c>
      <c r="K2425" s="4" t="s">
        <v>607</v>
      </c>
      <c r="L2425" s="4" t="s">
        <v>607</v>
      </c>
      <c r="M2425" s="4" t="s">
        <v>607</v>
      </c>
      <c r="N2425" s="4" t="s">
        <v>607</v>
      </c>
      <c r="O2425" s="4"/>
      <c r="P2425" s="4"/>
      <c r="T2425" s="4"/>
    </row>
    <row r="2426">
      <c r="A2426" s="4" t="s">
        <v>5750</v>
      </c>
      <c r="B2426" s="4" t="s">
        <v>607</v>
      </c>
      <c r="C2426" s="6" t="s">
        <v>607</v>
      </c>
      <c r="D2426" s="6" t="s">
        <v>607</v>
      </c>
      <c r="E2426" s="6" t="s">
        <v>607</v>
      </c>
      <c r="F2426" s="6" t="s">
        <v>607</v>
      </c>
      <c r="G2426" s="4" t="s">
        <v>607</v>
      </c>
      <c r="H2426" s="4" t="s">
        <v>607</v>
      </c>
      <c r="I2426" s="4" t="s">
        <v>607</v>
      </c>
      <c r="J2426" s="4" t="s">
        <v>607</v>
      </c>
      <c r="K2426" s="4" t="s">
        <v>607</v>
      </c>
      <c r="L2426" s="4" t="s">
        <v>607</v>
      </c>
      <c r="M2426" s="4" t="s">
        <v>607</v>
      </c>
      <c r="N2426" s="4" t="s">
        <v>607</v>
      </c>
      <c r="O2426" s="4"/>
      <c r="P2426" s="4"/>
      <c r="T2426" s="4"/>
    </row>
    <row r="2427">
      <c r="A2427" s="4" t="s">
        <v>5754</v>
      </c>
      <c r="B2427" s="4" t="s">
        <v>607</v>
      </c>
      <c r="C2427" s="6" t="s">
        <v>607</v>
      </c>
      <c r="D2427" s="6" t="s">
        <v>607</v>
      </c>
      <c r="E2427" s="6" t="s">
        <v>607</v>
      </c>
      <c r="F2427" s="6" t="s">
        <v>607</v>
      </c>
      <c r="G2427" s="4" t="s">
        <v>607</v>
      </c>
      <c r="H2427" s="4" t="s">
        <v>607</v>
      </c>
      <c r="I2427" s="4" t="s">
        <v>607</v>
      </c>
      <c r="J2427" s="4" t="s">
        <v>607</v>
      </c>
      <c r="K2427" s="4" t="s">
        <v>607</v>
      </c>
      <c r="L2427" s="4" t="s">
        <v>607</v>
      </c>
      <c r="M2427" s="4" t="s">
        <v>607</v>
      </c>
      <c r="N2427" s="4" t="s">
        <v>607</v>
      </c>
      <c r="O2427" s="4"/>
      <c r="P2427" s="4"/>
      <c r="T2427" s="4"/>
    </row>
    <row r="2428">
      <c r="A2428" s="4" t="s">
        <v>5755</v>
      </c>
      <c r="B2428" s="4" t="s">
        <v>607</v>
      </c>
      <c r="C2428" s="6" t="s">
        <v>607</v>
      </c>
      <c r="D2428" s="6" t="s">
        <v>607</v>
      </c>
      <c r="E2428" s="6" t="s">
        <v>607</v>
      </c>
      <c r="F2428" s="6" t="s">
        <v>607</v>
      </c>
      <c r="G2428" s="4" t="s">
        <v>607</v>
      </c>
      <c r="H2428" s="4" t="s">
        <v>607</v>
      </c>
      <c r="I2428" s="4" t="s">
        <v>607</v>
      </c>
      <c r="J2428" s="4" t="s">
        <v>607</v>
      </c>
      <c r="K2428" s="4" t="s">
        <v>607</v>
      </c>
      <c r="L2428" s="4" t="s">
        <v>607</v>
      </c>
      <c r="M2428" s="4" t="s">
        <v>607</v>
      </c>
      <c r="N2428" s="4" t="s">
        <v>607</v>
      </c>
      <c r="O2428" s="4"/>
      <c r="P2428" s="4"/>
      <c r="T2428" s="4"/>
    </row>
    <row r="2429">
      <c r="A2429" s="4" t="s">
        <v>5757</v>
      </c>
      <c r="B2429" s="4" t="s">
        <v>607</v>
      </c>
      <c r="C2429" s="6" t="s">
        <v>607</v>
      </c>
      <c r="D2429" s="6" t="s">
        <v>607</v>
      </c>
      <c r="E2429" s="6" t="s">
        <v>607</v>
      </c>
      <c r="F2429" s="6" t="s">
        <v>607</v>
      </c>
      <c r="G2429" s="4" t="s">
        <v>607</v>
      </c>
      <c r="H2429" s="4" t="s">
        <v>607</v>
      </c>
      <c r="I2429" s="4" t="s">
        <v>607</v>
      </c>
      <c r="J2429" s="4" t="s">
        <v>607</v>
      </c>
      <c r="K2429" s="4" t="s">
        <v>607</v>
      </c>
      <c r="L2429" s="4" t="s">
        <v>607</v>
      </c>
      <c r="M2429" s="4" t="s">
        <v>607</v>
      </c>
      <c r="N2429" s="4" t="s">
        <v>607</v>
      </c>
      <c r="O2429" s="4"/>
      <c r="P2429" s="4"/>
      <c r="T2429" s="4"/>
    </row>
    <row r="2430">
      <c r="A2430" s="4" t="s">
        <v>5758</v>
      </c>
      <c r="B2430" s="4" t="s">
        <v>607</v>
      </c>
      <c r="C2430" s="6" t="s">
        <v>607</v>
      </c>
      <c r="D2430" s="6" t="s">
        <v>607</v>
      </c>
      <c r="E2430" s="6" t="s">
        <v>607</v>
      </c>
      <c r="F2430" s="6" t="s">
        <v>607</v>
      </c>
      <c r="G2430" s="4" t="s">
        <v>607</v>
      </c>
      <c r="H2430" s="4" t="s">
        <v>607</v>
      </c>
      <c r="I2430" s="4" t="s">
        <v>607</v>
      </c>
      <c r="J2430" s="4" t="s">
        <v>607</v>
      </c>
      <c r="K2430" s="4" t="s">
        <v>607</v>
      </c>
      <c r="L2430" s="4" t="s">
        <v>607</v>
      </c>
      <c r="M2430" s="4" t="s">
        <v>607</v>
      </c>
      <c r="N2430" s="4" t="s">
        <v>607</v>
      </c>
      <c r="O2430" s="4"/>
      <c r="P2430" s="4"/>
      <c r="T2430" s="4"/>
    </row>
    <row r="2431">
      <c r="A2431" s="4" t="s">
        <v>5762</v>
      </c>
      <c r="B2431" s="4" t="s">
        <v>607</v>
      </c>
      <c r="C2431" s="6" t="s">
        <v>607</v>
      </c>
      <c r="D2431" s="6" t="s">
        <v>607</v>
      </c>
      <c r="E2431" s="6" t="s">
        <v>607</v>
      </c>
      <c r="F2431" s="6" t="s">
        <v>607</v>
      </c>
      <c r="G2431" s="4" t="s">
        <v>607</v>
      </c>
      <c r="H2431" s="4" t="s">
        <v>607</v>
      </c>
      <c r="I2431" s="4" t="s">
        <v>607</v>
      </c>
      <c r="J2431" s="4" t="s">
        <v>607</v>
      </c>
      <c r="K2431" s="4" t="s">
        <v>607</v>
      </c>
      <c r="L2431" s="4" t="s">
        <v>607</v>
      </c>
      <c r="M2431" s="4" t="s">
        <v>607</v>
      </c>
      <c r="N2431" s="4" t="s">
        <v>607</v>
      </c>
      <c r="O2431" s="4"/>
      <c r="P2431" s="4"/>
      <c r="T2431" s="4"/>
    </row>
    <row r="2432">
      <c r="A2432" s="4" t="s">
        <v>5763</v>
      </c>
      <c r="B2432" s="4" t="s">
        <v>607</v>
      </c>
      <c r="C2432" s="6" t="s">
        <v>607</v>
      </c>
      <c r="D2432" s="6" t="s">
        <v>607</v>
      </c>
      <c r="E2432" s="6" t="s">
        <v>607</v>
      </c>
      <c r="F2432" s="6" t="s">
        <v>607</v>
      </c>
      <c r="G2432" s="4" t="s">
        <v>607</v>
      </c>
      <c r="H2432" s="4" t="s">
        <v>607</v>
      </c>
      <c r="I2432" s="4" t="s">
        <v>607</v>
      </c>
      <c r="J2432" s="4" t="s">
        <v>607</v>
      </c>
      <c r="K2432" s="4" t="s">
        <v>607</v>
      </c>
      <c r="L2432" s="4" t="s">
        <v>607</v>
      </c>
      <c r="M2432" s="4" t="s">
        <v>607</v>
      </c>
      <c r="N2432" s="4" t="s">
        <v>607</v>
      </c>
      <c r="O2432" s="4"/>
      <c r="P2432" s="4"/>
      <c r="T2432" s="4"/>
    </row>
    <row r="2433">
      <c r="A2433" s="4" t="s">
        <v>5765</v>
      </c>
      <c r="B2433" s="4" t="s">
        <v>607</v>
      </c>
      <c r="C2433" s="6" t="s">
        <v>607</v>
      </c>
      <c r="D2433" s="6" t="s">
        <v>607</v>
      </c>
      <c r="E2433" s="6" t="s">
        <v>607</v>
      </c>
      <c r="F2433" s="6" t="s">
        <v>607</v>
      </c>
      <c r="G2433" s="4" t="s">
        <v>607</v>
      </c>
      <c r="H2433" s="4" t="s">
        <v>607</v>
      </c>
      <c r="I2433" s="4" t="s">
        <v>607</v>
      </c>
      <c r="J2433" s="4" t="s">
        <v>607</v>
      </c>
      <c r="K2433" s="4" t="s">
        <v>607</v>
      </c>
      <c r="L2433" s="4" t="s">
        <v>607</v>
      </c>
      <c r="M2433" s="4" t="s">
        <v>607</v>
      </c>
      <c r="N2433" s="4" t="s">
        <v>607</v>
      </c>
      <c r="O2433" s="4"/>
      <c r="P2433" s="4"/>
      <c r="T2433" s="4"/>
    </row>
    <row r="2434">
      <c r="A2434" s="4" t="s">
        <v>5766</v>
      </c>
      <c r="B2434" s="4" t="s">
        <v>607</v>
      </c>
      <c r="C2434" s="6" t="s">
        <v>607</v>
      </c>
      <c r="D2434" s="6" t="s">
        <v>607</v>
      </c>
      <c r="E2434" s="6" t="s">
        <v>607</v>
      </c>
      <c r="F2434" s="6" t="s">
        <v>607</v>
      </c>
      <c r="G2434" s="4" t="s">
        <v>607</v>
      </c>
      <c r="H2434" s="4" t="s">
        <v>607</v>
      </c>
      <c r="I2434" s="4" t="s">
        <v>607</v>
      </c>
      <c r="J2434" s="4" t="s">
        <v>607</v>
      </c>
      <c r="K2434" s="4" t="s">
        <v>607</v>
      </c>
      <c r="L2434" s="4" t="s">
        <v>607</v>
      </c>
      <c r="M2434" s="4" t="s">
        <v>607</v>
      </c>
      <c r="N2434" s="4" t="s">
        <v>607</v>
      </c>
      <c r="O2434" s="4"/>
      <c r="P2434" s="4"/>
      <c r="T2434" s="4"/>
    </row>
    <row r="2435">
      <c r="A2435" s="4" t="s">
        <v>5772</v>
      </c>
      <c r="B2435" s="4" t="s">
        <v>607</v>
      </c>
      <c r="C2435" s="6" t="s">
        <v>607</v>
      </c>
      <c r="D2435" s="6" t="s">
        <v>607</v>
      </c>
      <c r="E2435" s="6" t="s">
        <v>607</v>
      </c>
      <c r="F2435" s="6" t="s">
        <v>607</v>
      </c>
      <c r="G2435" s="4" t="s">
        <v>607</v>
      </c>
      <c r="H2435" s="4" t="s">
        <v>607</v>
      </c>
      <c r="I2435" s="4" t="s">
        <v>607</v>
      </c>
      <c r="J2435" s="4" t="s">
        <v>607</v>
      </c>
      <c r="K2435" s="4" t="s">
        <v>607</v>
      </c>
      <c r="L2435" s="4" t="s">
        <v>607</v>
      </c>
      <c r="M2435" s="4" t="s">
        <v>607</v>
      </c>
      <c r="N2435" s="4" t="s">
        <v>607</v>
      </c>
      <c r="O2435" s="4"/>
      <c r="P2435" s="4"/>
      <c r="T2435" s="4"/>
    </row>
    <row r="2436">
      <c r="A2436" s="4" t="s">
        <v>5773</v>
      </c>
      <c r="B2436" s="4" t="s">
        <v>607</v>
      </c>
      <c r="C2436" s="6" t="s">
        <v>607</v>
      </c>
      <c r="D2436" s="6" t="s">
        <v>607</v>
      </c>
      <c r="E2436" s="6" t="s">
        <v>607</v>
      </c>
      <c r="F2436" s="6" t="s">
        <v>607</v>
      </c>
      <c r="G2436" s="4" t="s">
        <v>607</v>
      </c>
      <c r="H2436" s="4" t="s">
        <v>607</v>
      </c>
      <c r="I2436" s="4" t="s">
        <v>607</v>
      </c>
      <c r="J2436" s="4" t="s">
        <v>607</v>
      </c>
      <c r="K2436" s="4" t="s">
        <v>607</v>
      </c>
      <c r="L2436" s="4" t="s">
        <v>607</v>
      </c>
      <c r="M2436" s="4" t="s">
        <v>607</v>
      </c>
      <c r="N2436" s="4" t="s">
        <v>607</v>
      </c>
      <c r="O2436" s="4"/>
      <c r="P2436" s="4"/>
      <c r="T2436" s="4"/>
    </row>
    <row r="2437">
      <c r="A2437" s="4" t="s">
        <v>5775</v>
      </c>
      <c r="B2437" s="4" t="s">
        <v>607</v>
      </c>
      <c r="C2437" s="6" t="s">
        <v>607</v>
      </c>
      <c r="D2437" s="6" t="s">
        <v>607</v>
      </c>
      <c r="E2437" s="6" t="s">
        <v>607</v>
      </c>
      <c r="F2437" s="6" t="s">
        <v>607</v>
      </c>
      <c r="G2437" s="4" t="s">
        <v>607</v>
      </c>
      <c r="H2437" s="4" t="s">
        <v>607</v>
      </c>
      <c r="I2437" s="4" t="s">
        <v>607</v>
      </c>
      <c r="J2437" s="4" t="s">
        <v>607</v>
      </c>
      <c r="K2437" s="4" t="s">
        <v>607</v>
      </c>
      <c r="L2437" s="4" t="s">
        <v>607</v>
      </c>
      <c r="M2437" s="4" t="s">
        <v>607</v>
      </c>
      <c r="N2437" s="4" t="s">
        <v>607</v>
      </c>
      <c r="O2437" s="4"/>
      <c r="P2437" s="4"/>
      <c r="T2437" s="4"/>
    </row>
    <row r="2438">
      <c r="A2438" s="4" t="s">
        <v>5776</v>
      </c>
      <c r="B2438" s="4" t="s">
        <v>607</v>
      </c>
      <c r="C2438" s="6" t="s">
        <v>607</v>
      </c>
      <c r="D2438" s="6" t="s">
        <v>607</v>
      </c>
      <c r="E2438" s="6" t="s">
        <v>607</v>
      </c>
      <c r="F2438" s="6" t="s">
        <v>607</v>
      </c>
      <c r="G2438" s="4" t="s">
        <v>607</v>
      </c>
      <c r="H2438" s="4" t="s">
        <v>607</v>
      </c>
      <c r="I2438" s="4" t="s">
        <v>607</v>
      </c>
      <c r="J2438" s="4" t="s">
        <v>607</v>
      </c>
      <c r="K2438" s="4" t="s">
        <v>607</v>
      </c>
      <c r="L2438" s="4" t="s">
        <v>607</v>
      </c>
      <c r="M2438" s="4" t="s">
        <v>607</v>
      </c>
      <c r="N2438" s="4" t="s">
        <v>607</v>
      </c>
      <c r="O2438" s="4"/>
      <c r="P2438" s="4"/>
      <c r="T2438" s="4"/>
    </row>
    <row r="2439">
      <c r="A2439" s="4" t="s">
        <v>5778</v>
      </c>
      <c r="B2439" s="4" t="s">
        <v>607</v>
      </c>
      <c r="C2439" s="6" t="s">
        <v>607</v>
      </c>
      <c r="D2439" s="6" t="s">
        <v>607</v>
      </c>
      <c r="E2439" s="6" t="s">
        <v>607</v>
      </c>
      <c r="F2439" s="6" t="s">
        <v>607</v>
      </c>
      <c r="G2439" s="4" t="s">
        <v>607</v>
      </c>
      <c r="H2439" s="4" t="s">
        <v>607</v>
      </c>
      <c r="I2439" s="4" t="s">
        <v>607</v>
      </c>
      <c r="J2439" s="4" t="s">
        <v>607</v>
      </c>
      <c r="K2439" s="4" t="s">
        <v>607</v>
      </c>
      <c r="L2439" s="4" t="s">
        <v>607</v>
      </c>
      <c r="M2439" s="4" t="s">
        <v>607</v>
      </c>
      <c r="N2439" s="4" t="s">
        <v>607</v>
      </c>
      <c r="O2439" s="4"/>
      <c r="P2439" s="4"/>
      <c r="T2439" s="4"/>
    </row>
    <row r="2440">
      <c r="A2440" s="4" t="s">
        <v>5781</v>
      </c>
      <c r="B2440" s="4" t="s">
        <v>607</v>
      </c>
      <c r="C2440" s="6" t="s">
        <v>607</v>
      </c>
      <c r="D2440" s="6" t="s">
        <v>607</v>
      </c>
      <c r="E2440" s="6" t="s">
        <v>607</v>
      </c>
      <c r="F2440" s="6" t="s">
        <v>607</v>
      </c>
      <c r="G2440" s="4" t="s">
        <v>607</v>
      </c>
      <c r="H2440" s="4" t="s">
        <v>607</v>
      </c>
      <c r="I2440" s="4" t="s">
        <v>607</v>
      </c>
      <c r="J2440" s="4" t="s">
        <v>607</v>
      </c>
      <c r="K2440" s="4" t="s">
        <v>607</v>
      </c>
      <c r="L2440" s="4" t="s">
        <v>607</v>
      </c>
      <c r="M2440" s="4" t="s">
        <v>607</v>
      </c>
      <c r="N2440" s="4" t="s">
        <v>607</v>
      </c>
      <c r="O2440" s="4"/>
      <c r="P2440" s="4"/>
      <c r="T2440" s="4"/>
    </row>
    <row r="2441">
      <c r="A2441" s="4" t="s">
        <v>5782</v>
      </c>
      <c r="B2441" s="4" t="s">
        <v>607</v>
      </c>
      <c r="C2441" s="6" t="s">
        <v>607</v>
      </c>
      <c r="D2441" s="6" t="s">
        <v>607</v>
      </c>
      <c r="E2441" s="6" t="s">
        <v>607</v>
      </c>
      <c r="F2441" s="6" t="s">
        <v>607</v>
      </c>
      <c r="G2441" s="4" t="s">
        <v>607</v>
      </c>
      <c r="H2441" s="4" t="s">
        <v>607</v>
      </c>
      <c r="I2441" s="4" t="s">
        <v>607</v>
      </c>
      <c r="J2441" s="4" t="s">
        <v>607</v>
      </c>
      <c r="K2441" s="4" t="s">
        <v>607</v>
      </c>
      <c r="L2441" s="4" t="s">
        <v>607</v>
      </c>
      <c r="M2441" s="4" t="s">
        <v>607</v>
      </c>
      <c r="N2441" s="4" t="s">
        <v>607</v>
      </c>
      <c r="O2441" s="4"/>
      <c r="P2441" s="4"/>
      <c r="T2441" s="4"/>
    </row>
    <row r="2442">
      <c r="A2442" s="4" t="s">
        <v>5783</v>
      </c>
      <c r="B2442" s="4" t="s">
        <v>607</v>
      </c>
      <c r="C2442" s="6" t="s">
        <v>607</v>
      </c>
      <c r="D2442" s="6" t="s">
        <v>607</v>
      </c>
      <c r="E2442" s="6" t="s">
        <v>607</v>
      </c>
      <c r="F2442" s="6" t="s">
        <v>607</v>
      </c>
      <c r="G2442" s="4" t="s">
        <v>607</v>
      </c>
      <c r="H2442" s="4" t="s">
        <v>607</v>
      </c>
      <c r="I2442" s="4" t="s">
        <v>607</v>
      </c>
      <c r="J2442" s="4" t="s">
        <v>607</v>
      </c>
      <c r="K2442" s="4" t="s">
        <v>607</v>
      </c>
      <c r="L2442" s="4" t="s">
        <v>607</v>
      </c>
      <c r="M2442" s="4" t="s">
        <v>607</v>
      </c>
      <c r="N2442" s="4" t="s">
        <v>607</v>
      </c>
      <c r="O2442" s="4"/>
      <c r="P2442" s="4"/>
      <c r="T2442" s="4"/>
    </row>
    <row r="2443">
      <c r="A2443" s="4" t="s">
        <v>5784</v>
      </c>
      <c r="B2443" s="4" t="s">
        <v>607</v>
      </c>
      <c r="C2443" s="6" t="s">
        <v>607</v>
      </c>
      <c r="D2443" s="6" t="s">
        <v>607</v>
      </c>
      <c r="E2443" s="6" t="s">
        <v>607</v>
      </c>
      <c r="F2443" s="6" t="s">
        <v>607</v>
      </c>
      <c r="G2443" s="4" t="s">
        <v>607</v>
      </c>
      <c r="H2443" s="4" t="s">
        <v>607</v>
      </c>
      <c r="I2443" s="4" t="s">
        <v>607</v>
      </c>
      <c r="J2443" s="4" t="s">
        <v>607</v>
      </c>
      <c r="K2443" s="4" t="s">
        <v>607</v>
      </c>
      <c r="L2443" s="4" t="s">
        <v>607</v>
      </c>
      <c r="M2443" s="4" t="s">
        <v>607</v>
      </c>
      <c r="N2443" s="4" t="s">
        <v>607</v>
      </c>
      <c r="O2443" s="4"/>
      <c r="P2443" s="4"/>
      <c r="T2443" s="4"/>
    </row>
    <row r="2444">
      <c r="A2444" s="4" t="s">
        <v>5786</v>
      </c>
      <c r="B2444" s="4" t="s">
        <v>607</v>
      </c>
      <c r="C2444" s="6" t="s">
        <v>607</v>
      </c>
      <c r="D2444" s="6" t="s">
        <v>607</v>
      </c>
      <c r="E2444" s="6" t="s">
        <v>607</v>
      </c>
      <c r="F2444" s="6" t="s">
        <v>607</v>
      </c>
      <c r="G2444" s="4" t="s">
        <v>607</v>
      </c>
      <c r="H2444" s="4" t="s">
        <v>607</v>
      </c>
      <c r="I2444" s="4" t="s">
        <v>607</v>
      </c>
      <c r="J2444" s="4" t="s">
        <v>607</v>
      </c>
      <c r="K2444" s="4" t="s">
        <v>607</v>
      </c>
      <c r="L2444" s="4" t="s">
        <v>607</v>
      </c>
      <c r="M2444" s="4" t="s">
        <v>607</v>
      </c>
      <c r="N2444" s="4" t="s">
        <v>607</v>
      </c>
      <c r="O2444" s="4"/>
      <c r="P2444" s="4"/>
      <c r="T2444" s="4"/>
    </row>
    <row r="2445">
      <c r="A2445" s="4" t="s">
        <v>5789</v>
      </c>
      <c r="B2445" s="4" t="s">
        <v>607</v>
      </c>
      <c r="C2445" s="6" t="s">
        <v>607</v>
      </c>
      <c r="D2445" s="6" t="s">
        <v>607</v>
      </c>
      <c r="E2445" s="6" t="s">
        <v>607</v>
      </c>
      <c r="F2445" s="6" t="s">
        <v>607</v>
      </c>
      <c r="G2445" s="4" t="s">
        <v>607</v>
      </c>
      <c r="H2445" s="4" t="s">
        <v>607</v>
      </c>
      <c r="I2445" s="4" t="s">
        <v>607</v>
      </c>
      <c r="J2445" s="4" t="s">
        <v>607</v>
      </c>
      <c r="K2445" s="4" t="s">
        <v>607</v>
      </c>
      <c r="L2445" s="4" t="s">
        <v>607</v>
      </c>
      <c r="M2445" s="4" t="s">
        <v>607</v>
      </c>
      <c r="N2445" s="4" t="s">
        <v>607</v>
      </c>
      <c r="O2445" s="4"/>
      <c r="P2445" s="4"/>
      <c r="T2445" s="4"/>
    </row>
    <row r="2446">
      <c r="A2446" s="4" t="s">
        <v>5790</v>
      </c>
      <c r="B2446" s="4" t="s">
        <v>607</v>
      </c>
      <c r="C2446" s="6" t="s">
        <v>607</v>
      </c>
      <c r="D2446" s="6" t="s">
        <v>607</v>
      </c>
      <c r="E2446" s="6" t="s">
        <v>607</v>
      </c>
      <c r="F2446" s="6" t="s">
        <v>607</v>
      </c>
      <c r="G2446" s="4" t="s">
        <v>607</v>
      </c>
      <c r="H2446" s="4" t="s">
        <v>607</v>
      </c>
      <c r="I2446" s="4" t="s">
        <v>607</v>
      </c>
      <c r="J2446" s="4" t="s">
        <v>607</v>
      </c>
      <c r="K2446" s="4" t="s">
        <v>607</v>
      </c>
      <c r="L2446" s="4" t="s">
        <v>607</v>
      </c>
      <c r="M2446" s="4" t="s">
        <v>607</v>
      </c>
      <c r="N2446" s="4" t="s">
        <v>607</v>
      </c>
      <c r="O2446" s="4"/>
      <c r="P2446" s="4"/>
      <c r="T2446" s="4"/>
    </row>
    <row r="2447">
      <c r="A2447" s="4" t="s">
        <v>5791</v>
      </c>
      <c r="B2447" s="4" t="s">
        <v>607</v>
      </c>
      <c r="C2447" s="6" t="s">
        <v>607</v>
      </c>
      <c r="D2447" s="6" t="s">
        <v>607</v>
      </c>
      <c r="E2447" s="6" t="s">
        <v>607</v>
      </c>
      <c r="F2447" s="6" t="s">
        <v>607</v>
      </c>
      <c r="G2447" s="4" t="s">
        <v>607</v>
      </c>
      <c r="H2447" s="4" t="s">
        <v>607</v>
      </c>
      <c r="I2447" s="4" t="s">
        <v>607</v>
      </c>
      <c r="J2447" s="4" t="s">
        <v>607</v>
      </c>
      <c r="K2447" s="4" t="s">
        <v>607</v>
      </c>
      <c r="L2447" s="4" t="s">
        <v>607</v>
      </c>
      <c r="M2447" s="4" t="s">
        <v>607</v>
      </c>
      <c r="N2447" s="4" t="s">
        <v>607</v>
      </c>
      <c r="O2447" s="4"/>
      <c r="P2447" s="4"/>
      <c r="T2447" s="4"/>
    </row>
    <row r="2448">
      <c r="A2448" s="4" t="s">
        <v>5793</v>
      </c>
      <c r="B2448" s="4" t="s">
        <v>607</v>
      </c>
      <c r="C2448" s="6" t="s">
        <v>607</v>
      </c>
      <c r="D2448" s="6" t="s">
        <v>607</v>
      </c>
      <c r="E2448" s="6" t="s">
        <v>607</v>
      </c>
      <c r="F2448" s="6" t="s">
        <v>607</v>
      </c>
      <c r="G2448" s="4" t="s">
        <v>607</v>
      </c>
      <c r="H2448" s="4" t="s">
        <v>607</v>
      </c>
      <c r="I2448" s="4" t="s">
        <v>607</v>
      </c>
      <c r="J2448" s="4" t="s">
        <v>607</v>
      </c>
      <c r="K2448" s="4" t="s">
        <v>607</v>
      </c>
      <c r="L2448" s="4" t="s">
        <v>607</v>
      </c>
      <c r="M2448" s="4" t="s">
        <v>607</v>
      </c>
      <c r="N2448" s="4" t="s">
        <v>607</v>
      </c>
      <c r="O2448" s="4"/>
      <c r="P2448" s="4"/>
      <c r="T2448" s="4"/>
    </row>
    <row r="2449">
      <c r="A2449" s="4" t="s">
        <v>5794</v>
      </c>
      <c r="B2449" s="4" t="s">
        <v>607</v>
      </c>
      <c r="C2449" s="6" t="s">
        <v>607</v>
      </c>
      <c r="D2449" s="6" t="s">
        <v>607</v>
      </c>
      <c r="E2449" s="6" t="s">
        <v>607</v>
      </c>
      <c r="F2449" s="6" t="s">
        <v>607</v>
      </c>
      <c r="G2449" s="4" t="s">
        <v>607</v>
      </c>
      <c r="H2449" s="4" t="s">
        <v>607</v>
      </c>
      <c r="I2449" s="4" t="s">
        <v>607</v>
      </c>
      <c r="J2449" s="4" t="s">
        <v>607</v>
      </c>
      <c r="K2449" s="4" t="s">
        <v>607</v>
      </c>
      <c r="L2449" s="4" t="s">
        <v>607</v>
      </c>
      <c r="M2449" s="4" t="s">
        <v>607</v>
      </c>
      <c r="N2449" s="4" t="s">
        <v>607</v>
      </c>
      <c r="O2449" s="4"/>
      <c r="P2449" s="4"/>
      <c r="T2449" s="4"/>
    </row>
    <row r="2450">
      <c r="A2450" s="4" t="s">
        <v>5796</v>
      </c>
      <c r="B2450" s="4" t="s">
        <v>607</v>
      </c>
      <c r="C2450" s="6" t="s">
        <v>607</v>
      </c>
      <c r="D2450" s="6" t="s">
        <v>607</v>
      </c>
      <c r="E2450" s="6" t="s">
        <v>607</v>
      </c>
      <c r="F2450" s="6" t="s">
        <v>607</v>
      </c>
      <c r="G2450" s="4" t="s">
        <v>607</v>
      </c>
      <c r="H2450" s="4" t="s">
        <v>607</v>
      </c>
      <c r="I2450" s="4" t="s">
        <v>607</v>
      </c>
      <c r="J2450" s="4" t="s">
        <v>607</v>
      </c>
      <c r="K2450" s="4" t="s">
        <v>607</v>
      </c>
      <c r="L2450" s="4" t="s">
        <v>607</v>
      </c>
      <c r="M2450" s="4" t="s">
        <v>607</v>
      </c>
      <c r="N2450" s="4" t="s">
        <v>607</v>
      </c>
      <c r="O2450" s="4"/>
      <c r="P2450" s="4"/>
      <c r="T2450" s="4"/>
    </row>
    <row r="2451">
      <c r="A2451" s="4" t="s">
        <v>5799</v>
      </c>
      <c r="B2451" s="4" t="s">
        <v>607</v>
      </c>
      <c r="C2451" s="6" t="s">
        <v>607</v>
      </c>
      <c r="D2451" s="6" t="s">
        <v>607</v>
      </c>
      <c r="E2451" s="6" t="s">
        <v>607</v>
      </c>
      <c r="F2451" s="6" t="s">
        <v>607</v>
      </c>
      <c r="G2451" s="4" t="s">
        <v>607</v>
      </c>
      <c r="H2451" s="4" t="s">
        <v>607</v>
      </c>
      <c r="I2451" s="4" t="s">
        <v>607</v>
      </c>
      <c r="J2451" s="4" t="s">
        <v>607</v>
      </c>
      <c r="K2451" s="4" t="s">
        <v>607</v>
      </c>
      <c r="L2451" s="4" t="s">
        <v>607</v>
      </c>
      <c r="M2451" s="4" t="s">
        <v>607</v>
      </c>
      <c r="N2451" s="4" t="s">
        <v>607</v>
      </c>
      <c r="O2451" s="4"/>
      <c r="P2451" s="4"/>
      <c r="T2451" s="4"/>
    </row>
    <row r="2452">
      <c r="A2452" s="4" t="s">
        <v>5802</v>
      </c>
      <c r="B2452" s="4" t="s">
        <v>607</v>
      </c>
      <c r="C2452" s="6" t="s">
        <v>607</v>
      </c>
      <c r="D2452" s="6" t="s">
        <v>607</v>
      </c>
      <c r="E2452" s="6" t="s">
        <v>607</v>
      </c>
      <c r="F2452" s="6" t="s">
        <v>607</v>
      </c>
      <c r="G2452" s="4" t="s">
        <v>607</v>
      </c>
      <c r="H2452" s="4" t="s">
        <v>607</v>
      </c>
      <c r="I2452" s="4" t="s">
        <v>607</v>
      </c>
      <c r="J2452" s="4" t="s">
        <v>607</v>
      </c>
      <c r="K2452" s="4" t="s">
        <v>607</v>
      </c>
      <c r="L2452" s="4" t="s">
        <v>607</v>
      </c>
      <c r="M2452" s="4" t="s">
        <v>607</v>
      </c>
      <c r="N2452" s="4" t="s">
        <v>607</v>
      </c>
      <c r="O2452" s="4"/>
      <c r="P2452" s="4"/>
      <c r="T2452" s="4"/>
    </row>
    <row r="2453">
      <c r="A2453" s="4" t="s">
        <v>5803</v>
      </c>
      <c r="B2453" s="4" t="s">
        <v>607</v>
      </c>
      <c r="C2453" s="6" t="s">
        <v>607</v>
      </c>
      <c r="D2453" s="6" t="s">
        <v>607</v>
      </c>
      <c r="E2453" s="6" t="s">
        <v>607</v>
      </c>
      <c r="F2453" s="6" t="s">
        <v>607</v>
      </c>
      <c r="G2453" s="4" t="s">
        <v>607</v>
      </c>
      <c r="H2453" s="4" t="s">
        <v>607</v>
      </c>
      <c r="I2453" s="4" t="s">
        <v>607</v>
      </c>
      <c r="J2453" s="4" t="s">
        <v>607</v>
      </c>
      <c r="K2453" s="4" t="s">
        <v>607</v>
      </c>
      <c r="L2453" s="4" t="s">
        <v>607</v>
      </c>
      <c r="M2453" s="4" t="s">
        <v>607</v>
      </c>
      <c r="N2453" s="4" t="s">
        <v>607</v>
      </c>
      <c r="O2453" s="4"/>
      <c r="P2453" s="4"/>
      <c r="T2453" s="4"/>
    </row>
    <row r="2454">
      <c r="A2454" s="4" t="s">
        <v>5807</v>
      </c>
      <c r="B2454" s="4" t="s">
        <v>607</v>
      </c>
      <c r="C2454" s="6" t="s">
        <v>607</v>
      </c>
      <c r="D2454" s="6" t="s">
        <v>607</v>
      </c>
      <c r="E2454" s="6" t="s">
        <v>607</v>
      </c>
      <c r="F2454" s="6" t="s">
        <v>607</v>
      </c>
      <c r="G2454" s="4" t="s">
        <v>607</v>
      </c>
      <c r="H2454" s="4" t="s">
        <v>607</v>
      </c>
      <c r="I2454" s="4" t="s">
        <v>607</v>
      </c>
      <c r="J2454" s="4" t="s">
        <v>607</v>
      </c>
      <c r="K2454" s="4" t="s">
        <v>607</v>
      </c>
      <c r="L2454" s="4" t="s">
        <v>607</v>
      </c>
      <c r="M2454" s="4" t="s">
        <v>607</v>
      </c>
      <c r="N2454" s="4" t="s">
        <v>607</v>
      </c>
      <c r="O2454" s="4"/>
      <c r="P2454" s="4"/>
      <c r="T2454" s="4"/>
    </row>
    <row r="2455">
      <c r="A2455" s="4" t="s">
        <v>5808</v>
      </c>
      <c r="B2455" s="4" t="s">
        <v>607</v>
      </c>
      <c r="C2455" s="6" t="s">
        <v>607</v>
      </c>
      <c r="D2455" s="6" t="s">
        <v>607</v>
      </c>
      <c r="E2455" s="6" t="s">
        <v>607</v>
      </c>
      <c r="F2455" s="6" t="s">
        <v>607</v>
      </c>
      <c r="G2455" s="4" t="s">
        <v>607</v>
      </c>
      <c r="H2455" s="4" t="s">
        <v>607</v>
      </c>
      <c r="I2455" s="4" t="s">
        <v>607</v>
      </c>
      <c r="J2455" s="4" t="s">
        <v>607</v>
      </c>
      <c r="K2455" s="4" t="s">
        <v>607</v>
      </c>
      <c r="L2455" s="4" t="s">
        <v>607</v>
      </c>
      <c r="M2455" s="4" t="s">
        <v>607</v>
      </c>
      <c r="N2455" s="4" t="s">
        <v>607</v>
      </c>
      <c r="O2455" s="4"/>
      <c r="P2455" s="4"/>
      <c r="T2455" s="4"/>
    </row>
    <row r="2456">
      <c r="A2456" s="4" t="s">
        <v>5810</v>
      </c>
      <c r="B2456" s="4" t="s">
        <v>607</v>
      </c>
      <c r="C2456" s="6" t="s">
        <v>607</v>
      </c>
      <c r="D2456" s="6" t="s">
        <v>607</v>
      </c>
      <c r="E2456" s="6" t="s">
        <v>607</v>
      </c>
      <c r="F2456" s="6" t="s">
        <v>607</v>
      </c>
      <c r="G2456" s="4" t="s">
        <v>607</v>
      </c>
      <c r="H2456" s="4" t="s">
        <v>607</v>
      </c>
      <c r="I2456" s="4" t="s">
        <v>607</v>
      </c>
      <c r="J2456" s="4" t="s">
        <v>607</v>
      </c>
      <c r="K2456" s="4" t="s">
        <v>607</v>
      </c>
      <c r="L2456" s="4" t="s">
        <v>607</v>
      </c>
      <c r="M2456" s="4" t="s">
        <v>607</v>
      </c>
      <c r="N2456" s="4" t="s">
        <v>607</v>
      </c>
      <c r="O2456" s="4"/>
      <c r="P2456" s="4"/>
      <c r="T2456" s="4"/>
    </row>
    <row r="2457">
      <c r="A2457" s="4" t="s">
        <v>5814</v>
      </c>
      <c r="B2457" s="4" t="s">
        <v>607</v>
      </c>
      <c r="C2457" s="6" t="s">
        <v>607</v>
      </c>
      <c r="D2457" s="6" t="s">
        <v>607</v>
      </c>
      <c r="E2457" s="6" t="s">
        <v>607</v>
      </c>
      <c r="F2457" s="6" t="s">
        <v>607</v>
      </c>
      <c r="G2457" s="4" t="s">
        <v>607</v>
      </c>
      <c r="H2457" s="4" t="s">
        <v>607</v>
      </c>
      <c r="I2457" s="4" t="s">
        <v>607</v>
      </c>
      <c r="J2457" s="4" t="s">
        <v>607</v>
      </c>
      <c r="K2457" s="4" t="s">
        <v>607</v>
      </c>
      <c r="L2457" s="4" t="s">
        <v>607</v>
      </c>
      <c r="M2457" s="4" t="s">
        <v>607</v>
      </c>
      <c r="N2457" s="4" t="s">
        <v>607</v>
      </c>
      <c r="O2457" s="4"/>
      <c r="P2457" s="4"/>
      <c r="T2457" s="4"/>
    </row>
    <row r="2458">
      <c r="A2458" s="4" t="s">
        <v>5815</v>
      </c>
      <c r="B2458" s="4" t="s">
        <v>607</v>
      </c>
      <c r="C2458" s="6" t="s">
        <v>607</v>
      </c>
      <c r="D2458" s="6" t="s">
        <v>607</v>
      </c>
      <c r="E2458" s="6" t="s">
        <v>607</v>
      </c>
      <c r="F2458" s="6" t="s">
        <v>607</v>
      </c>
      <c r="G2458" s="4" t="s">
        <v>607</v>
      </c>
      <c r="H2458" s="4" t="s">
        <v>607</v>
      </c>
      <c r="I2458" s="4" t="s">
        <v>607</v>
      </c>
      <c r="J2458" s="4" t="s">
        <v>607</v>
      </c>
      <c r="K2458" s="4" t="s">
        <v>607</v>
      </c>
      <c r="L2458" s="4" t="s">
        <v>607</v>
      </c>
      <c r="M2458" s="4" t="s">
        <v>607</v>
      </c>
      <c r="N2458" s="4" t="s">
        <v>607</v>
      </c>
      <c r="O2458" s="4"/>
      <c r="P2458" s="4"/>
      <c r="T2458" s="4"/>
    </row>
    <row r="2459">
      <c r="A2459" s="4" t="s">
        <v>5816</v>
      </c>
      <c r="B2459" s="4" t="s">
        <v>607</v>
      </c>
      <c r="C2459" s="6" t="s">
        <v>607</v>
      </c>
      <c r="D2459" s="6" t="s">
        <v>607</v>
      </c>
      <c r="E2459" s="6" t="s">
        <v>607</v>
      </c>
      <c r="F2459" s="6" t="s">
        <v>607</v>
      </c>
      <c r="G2459" s="4" t="s">
        <v>607</v>
      </c>
      <c r="H2459" s="4" t="s">
        <v>607</v>
      </c>
      <c r="I2459" s="4" t="s">
        <v>607</v>
      </c>
      <c r="J2459" s="4" t="s">
        <v>607</v>
      </c>
      <c r="K2459" s="4" t="s">
        <v>607</v>
      </c>
      <c r="L2459" s="4" t="s">
        <v>607</v>
      </c>
      <c r="M2459" s="4" t="s">
        <v>607</v>
      </c>
      <c r="N2459" s="4" t="s">
        <v>607</v>
      </c>
      <c r="O2459" s="4"/>
      <c r="P2459" s="4"/>
      <c r="T2459" s="4"/>
    </row>
    <row r="2460">
      <c r="A2460" s="4" t="s">
        <v>5817</v>
      </c>
      <c r="B2460" s="4" t="s">
        <v>607</v>
      </c>
      <c r="C2460" s="6" t="s">
        <v>607</v>
      </c>
      <c r="D2460" s="6" t="s">
        <v>607</v>
      </c>
      <c r="E2460" s="6" t="s">
        <v>607</v>
      </c>
      <c r="F2460" s="6" t="s">
        <v>607</v>
      </c>
      <c r="G2460" s="4" t="s">
        <v>607</v>
      </c>
      <c r="H2460" s="4" t="s">
        <v>607</v>
      </c>
      <c r="I2460" s="4" t="s">
        <v>607</v>
      </c>
      <c r="J2460" s="4" t="s">
        <v>607</v>
      </c>
      <c r="K2460" s="4" t="s">
        <v>607</v>
      </c>
      <c r="L2460" s="4" t="s">
        <v>607</v>
      </c>
      <c r="M2460" s="4" t="s">
        <v>607</v>
      </c>
      <c r="N2460" s="4" t="s">
        <v>607</v>
      </c>
      <c r="O2460" s="4"/>
      <c r="P2460" s="4"/>
      <c r="T2460" s="4"/>
    </row>
    <row r="2461">
      <c r="A2461" s="4" t="s">
        <v>5820</v>
      </c>
      <c r="B2461" s="4" t="s">
        <v>607</v>
      </c>
      <c r="C2461" s="6" t="s">
        <v>607</v>
      </c>
      <c r="D2461" s="6" t="s">
        <v>607</v>
      </c>
      <c r="E2461" s="6" t="s">
        <v>607</v>
      </c>
      <c r="F2461" s="6" t="s">
        <v>607</v>
      </c>
      <c r="G2461" s="4" t="s">
        <v>607</v>
      </c>
      <c r="H2461" s="4" t="s">
        <v>607</v>
      </c>
      <c r="I2461" s="4" t="s">
        <v>607</v>
      </c>
      <c r="J2461" s="4" t="s">
        <v>607</v>
      </c>
      <c r="K2461" s="4" t="s">
        <v>607</v>
      </c>
      <c r="L2461" s="4" t="s">
        <v>607</v>
      </c>
      <c r="M2461" s="4" t="s">
        <v>607</v>
      </c>
      <c r="N2461" s="4" t="s">
        <v>607</v>
      </c>
      <c r="O2461" s="4"/>
      <c r="P2461" s="4"/>
      <c r="T2461" s="4"/>
    </row>
    <row r="2462">
      <c r="A2462" s="4" t="s">
        <v>5821</v>
      </c>
      <c r="B2462" s="4" t="s">
        <v>607</v>
      </c>
      <c r="C2462" s="6" t="s">
        <v>607</v>
      </c>
      <c r="D2462" s="6" t="s">
        <v>607</v>
      </c>
      <c r="E2462" s="6" t="s">
        <v>607</v>
      </c>
      <c r="F2462" s="6" t="s">
        <v>607</v>
      </c>
      <c r="G2462" s="4" t="s">
        <v>607</v>
      </c>
      <c r="H2462" s="4" t="s">
        <v>607</v>
      </c>
      <c r="I2462" s="4" t="s">
        <v>607</v>
      </c>
      <c r="J2462" s="4" t="s">
        <v>607</v>
      </c>
      <c r="K2462" s="4" t="s">
        <v>607</v>
      </c>
      <c r="L2462" s="4" t="s">
        <v>607</v>
      </c>
      <c r="M2462" s="4" t="s">
        <v>607</v>
      </c>
      <c r="N2462" s="4" t="s">
        <v>607</v>
      </c>
      <c r="O2462" s="4"/>
      <c r="P2462" s="4"/>
      <c r="T2462" s="4"/>
    </row>
    <row r="2463">
      <c r="A2463" s="4" t="s">
        <v>5822</v>
      </c>
      <c r="B2463" s="4" t="s">
        <v>607</v>
      </c>
      <c r="C2463" s="6" t="s">
        <v>607</v>
      </c>
      <c r="D2463" s="6" t="s">
        <v>607</v>
      </c>
      <c r="E2463" s="6" t="s">
        <v>607</v>
      </c>
      <c r="F2463" s="6" t="s">
        <v>607</v>
      </c>
      <c r="G2463" s="4" t="s">
        <v>607</v>
      </c>
      <c r="H2463" s="4" t="s">
        <v>607</v>
      </c>
      <c r="I2463" s="4" t="s">
        <v>607</v>
      </c>
      <c r="J2463" s="4" t="s">
        <v>607</v>
      </c>
      <c r="K2463" s="4" t="s">
        <v>607</v>
      </c>
      <c r="L2463" s="4" t="s">
        <v>607</v>
      </c>
      <c r="M2463" s="4" t="s">
        <v>607</v>
      </c>
      <c r="N2463" s="4" t="s">
        <v>607</v>
      </c>
      <c r="O2463" s="4"/>
      <c r="P2463" s="4"/>
      <c r="T2463" s="4"/>
    </row>
    <row r="2464">
      <c r="A2464" s="4" t="s">
        <v>5823</v>
      </c>
      <c r="B2464" s="4" t="s">
        <v>607</v>
      </c>
      <c r="C2464" s="6" t="s">
        <v>607</v>
      </c>
      <c r="D2464" s="6" t="s">
        <v>607</v>
      </c>
      <c r="E2464" s="6" t="s">
        <v>607</v>
      </c>
      <c r="F2464" s="6" t="s">
        <v>607</v>
      </c>
      <c r="G2464" s="4" t="s">
        <v>607</v>
      </c>
      <c r="H2464" s="4" t="s">
        <v>607</v>
      </c>
      <c r="I2464" s="4" t="s">
        <v>607</v>
      </c>
      <c r="J2464" s="4" t="s">
        <v>607</v>
      </c>
      <c r="K2464" s="4" t="s">
        <v>607</v>
      </c>
      <c r="L2464" s="4" t="s">
        <v>607</v>
      </c>
      <c r="M2464" s="4" t="s">
        <v>607</v>
      </c>
      <c r="N2464" s="4" t="s">
        <v>607</v>
      </c>
      <c r="O2464" s="4"/>
      <c r="P2464" s="4"/>
      <c r="T2464" s="4"/>
    </row>
    <row r="2465">
      <c r="A2465" s="4" t="s">
        <v>5824</v>
      </c>
      <c r="B2465" s="4" t="s">
        <v>607</v>
      </c>
      <c r="C2465" s="6" t="s">
        <v>607</v>
      </c>
      <c r="D2465" s="6" t="s">
        <v>607</v>
      </c>
      <c r="E2465" s="6" t="s">
        <v>607</v>
      </c>
      <c r="F2465" s="6" t="s">
        <v>607</v>
      </c>
      <c r="G2465" s="4" t="s">
        <v>607</v>
      </c>
      <c r="H2465" s="4" t="s">
        <v>607</v>
      </c>
      <c r="I2465" s="4" t="s">
        <v>607</v>
      </c>
      <c r="J2465" s="4" t="s">
        <v>607</v>
      </c>
      <c r="K2465" s="4" t="s">
        <v>607</v>
      </c>
      <c r="L2465" s="4" t="s">
        <v>607</v>
      </c>
      <c r="M2465" s="4" t="s">
        <v>607</v>
      </c>
      <c r="N2465" s="4" t="s">
        <v>607</v>
      </c>
      <c r="O2465" s="4"/>
      <c r="P2465" s="4"/>
      <c r="T2465" s="4"/>
    </row>
    <row r="2466">
      <c r="A2466" s="4" t="s">
        <v>5825</v>
      </c>
      <c r="B2466" s="4" t="s">
        <v>607</v>
      </c>
      <c r="C2466" s="6" t="s">
        <v>607</v>
      </c>
      <c r="D2466" s="6" t="s">
        <v>607</v>
      </c>
      <c r="E2466" s="6" t="s">
        <v>607</v>
      </c>
      <c r="F2466" s="6" t="s">
        <v>607</v>
      </c>
      <c r="G2466" s="4" t="s">
        <v>607</v>
      </c>
      <c r="H2466" s="4" t="s">
        <v>607</v>
      </c>
      <c r="I2466" s="4" t="s">
        <v>607</v>
      </c>
      <c r="J2466" s="4" t="s">
        <v>607</v>
      </c>
      <c r="K2466" s="4" t="s">
        <v>607</v>
      </c>
      <c r="L2466" s="4" t="s">
        <v>607</v>
      </c>
      <c r="M2466" s="4" t="s">
        <v>607</v>
      </c>
      <c r="N2466" s="4" t="s">
        <v>607</v>
      </c>
      <c r="O2466" s="4"/>
      <c r="P2466" s="4"/>
      <c r="T2466" s="4"/>
    </row>
    <row r="2467">
      <c r="A2467" s="4" t="s">
        <v>5826</v>
      </c>
      <c r="B2467" s="4" t="s">
        <v>607</v>
      </c>
      <c r="C2467" s="6" t="s">
        <v>607</v>
      </c>
      <c r="D2467" s="6" t="s">
        <v>607</v>
      </c>
      <c r="E2467" s="6" t="s">
        <v>607</v>
      </c>
      <c r="F2467" s="6" t="s">
        <v>607</v>
      </c>
      <c r="G2467" s="4" t="s">
        <v>607</v>
      </c>
      <c r="H2467" s="4" t="s">
        <v>607</v>
      </c>
      <c r="I2467" s="4" t="s">
        <v>607</v>
      </c>
      <c r="J2467" s="4" t="s">
        <v>607</v>
      </c>
      <c r="K2467" s="4" t="s">
        <v>607</v>
      </c>
      <c r="L2467" s="4" t="s">
        <v>607</v>
      </c>
      <c r="M2467" s="4" t="s">
        <v>607</v>
      </c>
      <c r="N2467" s="4" t="s">
        <v>607</v>
      </c>
      <c r="O2467" s="4"/>
      <c r="P2467" s="4"/>
      <c r="T2467" s="4"/>
    </row>
    <row r="2468">
      <c r="A2468" s="4" t="s">
        <v>5829</v>
      </c>
      <c r="B2468" s="4" t="s">
        <v>607</v>
      </c>
      <c r="C2468" s="6" t="s">
        <v>607</v>
      </c>
      <c r="D2468" s="6" t="s">
        <v>607</v>
      </c>
      <c r="E2468" s="6" t="s">
        <v>607</v>
      </c>
      <c r="F2468" s="6" t="s">
        <v>607</v>
      </c>
      <c r="G2468" s="4" t="s">
        <v>607</v>
      </c>
      <c r="H2468" s="4" t="s">
        <v>607</v>
      </c>
      <c r="I2468" s="4" t="s">
        <v>607</v>
      </c>
      <c r="J2468" s="4" t="s">
        <v>607</v>
      </c>
      <c r="K2468" s="4" t="s">
        <v>607</v>
      </c>
      <c r="L2468" s="4" t="s">
        <v>607</v>
      </c>
      <c r="M2468" s="4" t="s">
        <v>607</v>
      </c>
      <c r="N2468" s="4" t="s">
        <v>607</v>
      </c>
      <c r="O2468" s="4"/>
      <c r="P2468" s="4"/>
      <c r="T2468" s="4"/>
    </row>
    <row r="2469">
      <c r="A2469" s="4" t="s">
        <v>5830</v>
      </c>
      <c r="B2469" s="4" t="s">
        <v>607</v>
      </c>
      <c r="C2469" s="6" t="s">
        <v>607</v>
      </c>
      <c r="D2469" s="6" t="s">
        <v>607</v>
      </c>
      <c r="E2469" s="6" t="s">
        <v>607</v>
      </c>
      <c r="F2469" s="6" t="s">
        <v>607</v>
      </c>
      <c r="G2469" s="4" t="s">
        <v>607</v>
      </c>
      <c r="H2469" s="4" t="s">
        <v>607</v>
      </c>
      <c r="I2469" s="4" t="s">
        <v>607</v>
      </c>
      <c r="J2469" s="4" t="s">
        <v>607</v>
      </c>
      <c r="K2469" s="4" t="s">
        <v>607</v>
      </c>
      <c r="L2469" s="4" t="s">
        <v>607</v>
      </c>
      <c r="M2469" s="4" t="s">
        <v>607</v>
      </c>
      <c r="N2469" s="4" t="s">
        <v>607</v>
      </c>
      <c r="O2469" s="4"/>
      <c r="P2469" s="4"/>
      <c r="T2469" s="4"/>
    </row>
    <row r="2470">
      <c r="A2470" s="4" t="s">
        <v>5831</v>
      </c>
      <c r="B2470" s="4" t="s">
        <v>607</v>
      </c>
      <c r="C2470" s="6" t="s">
        <v>607</v>
      </c>
      <c r="D2470" s="6" t="s">
        <v>607</v>
      </c>
      <c r="E2470" s="6" t="s">
        <v>607</v>
      </c>
      <c r="F2470" s="6" t="s">
        <v>607</v>
      </c>
      <c r="G2470" s="4" t="s">
        <v>607</v>
      </c>
      <c r="H2470" s="4" t="s">
        <v>607</v>
      </c>
      <c r="I2470" s="4" t="s">
        <v>607</v>
      </c>
      <c r="J2470" s="4" t="s">
        <v>607</v>
      </c>
      <c r="K2470" s="4" t="s">
        <v>607</v>
      </c>
      <c r="L2470" s="4" t="s">
        <v>607</v>
      </c>
      <c r="M2470" s="4" t="s">
        <v>607</v>
      </c>
      <c r="N2470" s="4" t="s">
        <v>607</v>
      </c>
      <c r="O2470" s="4"/>
      <c r="P2470" s="4"/>
      <c r="T2470" s="4"/>
    </row>
    <row r="2471">
      <c r="A2471" s="4" t="s">
        <v>5833</v>
      </c>
      <c r="B2471" s="4" t="s">
        <v>607</v>
      </c>
      <c r="C2471" s="6" t="s">
        <v>607</v>
      </c>
      <c r="D2471" s="6" t="s">
        <v>607</v>
      </c>
      <c r="E2471" s="6" t="s">
        <v>607</v>
      </c>
      <c r="F2471" s="6" t="s">
        <v>607</v>
      </c>
      <c r="G2471" s="4" t="s">
        <v>607</v>
      </c>
      <c r="H2471" s="4" t="s">
        <v>607</v>
      </c>
      <c r="I2471" s="4" t="s">
        <v>607</v>
      </c>
      <c r="J2471" s="4" t="s">
        <v>607</v>
      </c>
      <c r="K2471" s="4" t="s">
        <v>607</v>
      </c>
      <c r="L2471" s="4" t="s">
        <v>607</v>
      </c>
      <c r="M2471" s="4" t="s">
        <v>607</v>
      </c>
      <c r="N2471" s="4" t="s">
        <v>607</v>
      </c>
      <c r="O2471" s="4"/>
      <c r="P2471" s="4"/>
      <c r="T2471" s="4"/>
    </row>
    <row r="2472">
      <c r="A2472" s="4" t="s">
        <v>5835</v>
      </c>
      <c r="B2472" s="4" t="s">
        <v>607</v>
      </c>
      <c r="C2472" s="6" t="s">
        <v>607</v>
      </c>
      <c r="D2472" s="6" t="s">
        <v>607</v>
      </c>
      <c r="E2472" s="6" t="s">
        <v>607</v>
      </c>
      <c r="F2472" s="6" t="s">
        <v>607</v>
      </c>
      <c r="G2472" s="4" t="s">
        <v>607</v>
      </c>
      <c r="H2472" s="4" t="s">
        <v>607</v>
      </c>
      <c r="I2472" s="4" t="s">
        <v>607</v>
      </c>
      <c r="J2472" s="4" t="s">
        <v>607</v>
      </c>
      <c r="K2472" s="4" t="s">
        <v>607</v>
      </c>
      <c r="L2472" s="4" t="s">
        <v>607</v>
      </c>
      <c r="M2472" s="4" t="s">
        <v>607</v>
      </c>
      <c r="N2472" s="4" t="s">
        <v>607</v>
      </c>
      <c r="O2472" s="4"/>
      <c r="P2472" s="4"/>
      <c r="T2472" s="4"/>
    </row>
    <row r="2473">
      <c r="A2473" s="4" t="s">
        <v>5836</v>
      </c>
      <c r="B2473" s="4" t="s">
        <v>607</v>
      </c>
      <c r="C2473" s="6" t="s">
        <v>607</v>
      </c>
      <c r="D2473" s="6" t="s">
        <v>607</v>
      </c>
      <c r="E2473" s="6" t="s">
        <v>607</v>
      </c>
      <c r="F2473" s="6" t="s">
        <v>607</v>
      </c>
      <c r="G2473" s="4" t="s">
        <v>607</v>
      </c>
      <c r="H2473" s="4" t="s">
        <v>607</v>
      </c>
      <c r="I2473" s="4" t="s">
        <v>607</v>
      </c>
      <c r="J2473" s="4" t="s">
        <v>607</v>
      </c>
      <c r="K2473" s="4" t="s">
        <v>607</v>
      </c>
      <c r="L2473" s="4" t="s">
        <v>607</v>
      </c>
      <c r="M2473" s="4" t="s">
        <v>607</v>
      </c>
      <c r="N2473" s="4" t="s">
        <v>607</v>
      </c>
      <c r="O2473" s="4"/>
      <c r="P2473" s="4"/>
      <c r="T2473" s="4"/>
    </row>
    <row r="2474">
      <c r="A2474" s="4" t="s">
        <v>5838</v>
      </c>
      <c r="B2474" s="4" t="s">
        <v>607</v>
      </c>
      <c r="C2474" s="6" t="s">
        <v>607</v>
      </c>
      <c r="D2474" s="6" t="s">
        <v>607</v>
      </c>
      <c r="E2474" s="6" t="s">
        <v>607</v>
      </c>
      <c r="F2474" s="6" t="s">
        <v>607</v>
      </c>
      <c r="G2474" s="4" t="s">
        <v>607</v>
      </c>
      <c r="H2474" s="4" t="s">
        <v>607</v>
      </c>
      <c r="I2474" s="4" t="s">
        <v>607</v>
      </c>
      <c r="J2474" s="4" t="s">
        <v>607</v>
      </c>
      <c r="K2474" s="4" t="s">
        <v>607</v>
      </c>
      <c r="L2474" s="4" t="s">
        <v>607</v>
      </c>
      <c r="M2474" s="4" t="s">
        <v>607</v>
      </c>
      <c r="N2474" s="4" t="s">
        <v>607</v>
      </c>
      <c r="O2474" s="4"/>
      <c r="P2474" s="4"/>
      <c r="T2474" s="4"/>
    </row>
    <row r="2475">
      <c r="A2475" s="4" t="s">
        <v>5839</v>
      </c>
      <c r="B2475" s="4" t="s">
        <v>607</v>
      </c>
      <c r="C2475" s="6" t="s">
        <v>607</v>
      </c>
      <c r="D2475" s="6" t="s">
        <v>607</v>
      </c>
      <c r="E2475" s="6" t="s">
        <v>607</v>
      </c>
      <c r="F2475" s="6" t="s">
        <v>607</v>
      </c>
      <c r="G2475" s="4" t="s">
        <v>607</v>
      </c>
      <c r="H2475" s="4" t="s">
        <v>607</v>
      </c>
      <c r="I2475" s="4" t="s">
        <v>607</v>
      </c>
      <c r="J2475" s="4" t="s">
        <v>607</v>
      </c>
      <c r="K2475" s="4" t="s">
        <v>607</v>
      </c>
      <c r="L2475" s="4" t="s">
        <v>607</v>
      </c>
      <c r="M2475" s="4" t="s">
        <v>607</v>
      </c>
      <c r="N2475" s="4" t="s">
        <v>607</v>
      </c>
      <c r="O2475" s="4"/>
      <c r="P2475" s="4"/>
      <c r="T2475" s="4"/>
    </row>
    <row r="2476">
      <c r="A2476" s="4" t="s">
        <v>5842</v>
      </c>
      <c r="B2476" s="4" t="s">
        <v>607</v>
      </c>
      <c r="C2476" s="6" t="s">
        <v>607</v>
      </c>
      <c r="D2476" s="6" t="s">
        <v>607</v>
      </c>
      <c r="E2476" s="6" t="s">
        <v>607</v>
      </c>
      <c r="F2476" s="6" t="s">
        <v>607</v>
      </c>
      <c r="G2476" s="4" t="s">
        <v>607</v>
      </c>
      <c r="H2476" s="4" t="s">
        <v>607</v>
      </c>
      <c r="I2476" s="4" t="s">
        <v>607</v>
      </c>
      <c r="J2476" s="4" t="s">
        <v>607</v>
      </c>
      <c r="K2476" s="4" t="s">
        <v>607</v>
      </c>
      <c r="L2476" s="4" t="s">
        <v>607</v>
      </c>
      <c r="M2476" s="4" t="s">
        <v>607</v>
      </c>
      <c r="N2476" s="4" t="s">
        <v>607</v>
      </c>
      <c r="O2476" s="4"/>
      <c r="P2476" s="4"/>
      <c r="T2476" s="4"/>
    </row>
    <row r="2477">
      <c r="A2477" s="4" t="s">
        <v>5843</v>
      </c>
      <c r="B2477" s="4" t="s">
        <v>607</v>
      </c>
      <c r="C2477" s="6" t="s">
        <v>607</v>
      </c>
      <c r="D2477" s="6" t="s">
        <v>607</v>
      </c>
      <c r="E2477" s="6" t="s">
        <v>607</v>
      </c>
      <c r="F2477" s="6" t="s">
        <v>607</v>
      </c>
      <c r="G2477" s="4" t="s">
        <v>607</v>
      </c>
      <c r="H2477" s="4" t="s">
        <v>607</v>
      </c>
      <c r="I2477" s="4" t="s">
        <v>607</v>
      </c>
      <c r="J2477" s="4" t="s">
        <v>607</v>
      </c>
      <c r="K2477" s="4" t="s">
        <v>607</v>
      </c>
      <c r="L2477" s="4" t="s">
        <v>607</v>
      </c>
      <c r="M2477" s="4" t="s">
        <v>607</v>
      </c>
      <c r="N2477" s="4" t="s">
        <v>607</v>
      </c>
      <c r="O2477" s="4"/>
      <c r="P2477" s="4"/>
      <c r="T2477" s="4"/>
    </row>
    <row r="2478">
      <c r="A2478" s="4" t="s">
        <v>5846</v>
      </c>
      <c r="B2478" s="4" t="s">
        <v>607</v>
      </c>
      <c r="C2478" s="6" t="s">
        <v>607</v>
      </c>
      <c r="D2478" s="6" t="s">
        <v>607</v>
      </c>
      <c r="E2478" s="6" t="s">
        <v>607</v>
      </c>
      <c r="F2478" s="6" t="s">
        <v>607</v>
      </c>
      <c r="G2478" s="4" t="s">
        <v>607</v>
      </c>
      <c r="H2478" s="4" t="s">
        <v>607</v>
      </c>
      <c r="I2478" s="4" t="s">
        <v>607</v>
      </c>
      <c r="J2478" s="4" t="s">
        <v>607</v>
      </c>
      <c r="K2478" s="4" t="s">
        <v>607</v>
      </c>
      <c r="L2478" s="4" t="s">
        <v>607</v>
      </c>
      <c r="M2478" s="4" t="s">
        <v>607</v>
      </c>
      <c r="N2478" s="4" t="s">
        <v>607</v>
      </c>
      <c r="O2478" s="4"/>
      <c r="P2478" s="4"/>
      <c r="T2478" s="4"/>
    </row>
    <row r="2479">
      <c r="A2479" s="4" t="s">
        <v>5848</v>
      </c>
      <c r="B2479" s="4" t="s">
        <v>607</v>
      </c>
      <c r="C2479" s="6" t="s">
        <v>607</v>
      </c>
      <c r="D2479" s="6" t="s">
        <v>607</v>
      </c>
      <c r="E2479" s="6" t="s">
        <v>607</v>
      </c>
      <c r="F2479" s="6" t="s">
        <v>607</v>
      </c>
      <c r="G2479" s="4" t="s">
        <v>607</v>
      </c>
      <c r="H2479" s="4" t="s">
        <v>607</v>
      </c>
      <c r="I2479" s="4" t="s">
        <v>607</v>
      </c>
      <c r="J2479" s="4" t="s">
        <v>607</v>
      </c>
      <c r="K2479" s="4" t="s">
        <v>607</v>
      </c>
      <c r="L2479" s="4" t="s">
        <v>607</v>
      </c>
      <c r="M2479" s="4" t="s">
        <v>607</v>
      </c>
      <c r="N2479" s="4" t="s">
        <v>607</v>
      </c>
      <c r="O2479" s="4"/>
      <c r="P2479" s="4"/>
      <c r="T2479" s="4"/>
    </row>
    <row r="2480">
      <c r="A2480" s="4" t="s">
        <v>5851</v>
      </c>
      <c r="B2480" s="4" t="s">
        <v>607</v>
      </c>
      <c r="C2480" s="6" t="s">
        <v>607</v>
      </c>
      <c r="D2480" s="6" t="s">
        <v>607</v>
      </c>
      <c r="E2480" s="6" t="s">
        <v>607</v>
      </c>
      <c r="F2480" s="6" t="s">
        <v>607</v>
      </c>
      <c r="G2480" s="4" t="s">
        <v>607</v>
      </c>
      <c r="H2480" s="4" t="s">
        <v>607</v>
      </c>
      <c r="I2480" s="4" t="s">
        <v>607</v>
      </c>
      <c r="J2480" s="4" t="s">
        <v>607</v>
      </c>
      <c r="K2480" s="4" t="s">
        <v>607</v>
      </c>
      <c r="L2480" s="4" t="s">
        <v>607</v>
      </c>
      <c r="M2480" s="4" t="s">
        <v>607</v>
      </c>
      <c r="N2480" s="4" t="s">
        <v>607</v>
      </c>
      <c r="O2480" s="4"/>
      <c r="P2480" s="4"/>
      <c r="T2480" s="4"/>
    </row>
    <row r="2481">
      <c r="A2481" s="4" t="s">
        <v>5852</v>
      </c>
      <c r="B2481" s="4" t="s">
        <v>607</v>
      </c>
      <c r="C2481" s="6" t="s">
        <v>607</v>
      </c>
      <c r="D2481" s="6" t="s">
        <v>607</v>
      </c>
      <c r="E2481" s="6" t="s">
        <v>607</v>
      </c>
      <c r="F2481" s="6" t="s">
        <v>607</v>
      </c>
      <c r="G2481" s="4" t="s">
        <v>607</v>
      </c>
      <c r="H2481" s="4" t="s">
        <v>607</v>
      </c>
      <c r="I2481" s="4" t="s">
        <v>607</v>
      </c>
      <c r="J2481" s="4" t="s">
        <v>607</v>
      </c>
      <c r="K2481" s="4" t="s">
        <v>607</v>
      </c>
      <c r="L2481" s="4" t="s">
        <v>607</v>
      </c>
      <c r="M2481" s="4" t="s">
        <v>607</v>
      </c>
      <c r="N2481" s="4" t="s">
        <v>607</v>
      </c>
      <c r="O2481" s="4"/>
      <c r="P2481" s="4"/>
      <c r="T2481" s="4"/>
    </row>
    <row r="2482">
      <c r="A2482" s="4" t="s">
        <v>5853</v>
      </c>
      <c r="B2482" s="4" t="s">
        <v>607</v>
      </c>
      <c r="C2482" s="6" t="s">
        <v>607</v>
      </c>
      <c r="D2482" s="6" t="s">
        <v>607</v>
      </c>
      <c r="E2482" s="6" t="s">
        <v>607</v>
      </c>
      <c r="F2482" s="6" t="s">
        <v>607</v>
      </c>
      <c r="G2482" s="4" t="s">
        <v>607</v>
      </c>
      <c r="H2482" s="4" t="s">
        <v>607</v>
      </c>
      <c r="I2482" s="4" t="s">
        <v>607</v>
      </c>
      <c r="J2482" s="4" t="s">
        <v>607</v>
      </c>
      <c r="K2482" s="4" t="s">
        <v>607</v>
      </c>
      <c r="L2482" s="4" t="s">
        <v>607</v>
      </c>
      <c r="M2482" s="4" t="s">
        <v>607</v>
      </c>
      <c r="N2482" s="4" t="s">
        <v>607</v>
      </c>
      <c r="O2482" s="4"/>
      <c r="P2482" s="4"/>
      <c r="T2482" s="4"/>
    </row>
    <row r="2483">
      <c r="A2483" s="4" t="s">
        <v>5854</v>
      </c>
      <c r="B2483" s="4" t="s">
        <v>607</v>
      </c>
      <c r="C2483" s="6" t="s">
        <v>607</v>
      </c>
      <c r="D2483" s="6" t="s">
        <v>607</v>
      </c>
      <c r="E2483" s="6" t="s">
        <v>607</v>
      </c>
      <c r="F2483" s="6" t="s">
        <v>607</v>
      </c>
      <c r="G2483" s="4" t="s">
        <v>607</v>
      </c>
      <c r="H2483" s="4" t="s">
        <v>607</v>
      </c>
      <c r="I2483" s="4" t="s">
        <v>607</v>
      </c>
      <c r="J2483" s="4" t="s">
        <v>607</v>
      </c>
      <c r="K2483" s="4" t="s">
        <v>607</v>
      </c>
      <c r="L2483" s="4" t="s">
        <v>607</v>
      </c>
      <c r="M2483" s="4" t="s">
        <v>607</v>
      </c>
      <c r="N2483" s="4" t="s">
        <v>607</v>
      </c>
      <c r="O2483" s="4"/>
      <c r="P2483" s="4"/>
      <c r="T2483" s="4"/>
    </row>
    <row r="2484">
      <c r="A2484" s="4" t="s">
        <v>5859</v>
      </c>
      <c r="B2484" s="4" t="s">
        <v>607</v>
      </c>
      <c r="C2484" s="6" t="s">
        <v>607</v>
      </c>
      <c r="D2484" s="6" t="s">
        <v>607</v>
      </c>
      <c r="E2484" s="6" t="s">
        <v>607</v>
      </c>
      <c r="F2484" s="6" t="s">
        <v>607</v>
      </c>
      <c r="G2484" s="4" t="s">
        <v>607</v>
      </c>
      <c r="H2484" s="4" t="s">
        <v>607</v>
      </c>
      <c r="I2484" s="4" t="s">
        <v>607</v>
      </c>
      <c r="J2484" s="4" t="s">
        <v>607</v>
      </c>
      <c r="K2484" s="4" t="s">
        <v>607</v>
      </c>
      <c r="L2484" s="4" t="s">
        <v>607</v>
      </c>
      <c r="M2484" s="4" t="s">
        <v>607</v>
      </c>
      <c r="N2484" s="4" t="s">
        <v>607</v>
      </c>
      <c r="O2484" s="4"/>
      <c r="P2484" s="4"/>
      <c r="T2484" s="4"/>
    </row>
    <row r="2485">
      <c r="A2485" s="4" t="s">
        <v>5860</v>
      </c>
      <c r="B2485" s="4" t="s">
        <v>607</v>
      </c>
      <c r="C2485" s="6" t="s">
        <v>607</v>
      </c>
      <c r="D2485" s="6" t="s">
        <v>607</v>
      </c>
      <c r="E2485" s="6" t="s">
        <v>607</v>
      </c>
      <c r="F2485" s="6" t="s">
        <v>607</v>
      </c>
      <c r="G2485" s="4" t="s">
        <v>607</v>
      </c>
      <c r="H2485" s="4" t="s">
        <v>607</v>
      </c>
      <c r="I2485" s="4" t="s">
        <v>607</v>
      </c>
      <c r="J2485" s="4" t="s">
        <v>607</v>
      </c>
      <c r="K2485" s="4" t="s">
        <v>607</v>
      </c>
      <c r="L2485" s="4" t="s">
        <v>607</v>
      </c>
      <c r="M2485" s="4" t="s">
        <v>607</v>
      </c>
      <c r="N2485" s="4" t="s">
        <v>607</v>
      </c>
      <c r="O2485" s="4"/>
      <c r="P2485" s="4"/>
      <c r="T2485" s="4"/>
    </row>
    <row r="2486">
      <c r="A2486" s="4" t="s">
        <v>5865</v>
      </c>
      <c r="B2486" s="4" t="s">
        <v>607</v>
      </c>
      <c r="C2486" s="6" t="s">
        <v>607</v>
      </c>
      <c r="D2486" s="6" t="s">
        <v>607</v>
      </c>
      <c r="E2486" s="6" t="s">
        <v>607</v>
      </c>
      <c r="F2486" s="6" t="s">
        <v>607</v>
      </c>
      <c r="G2486" s="4" t="s">
        <v>607</v>
      </c>
      <c r="H2486" s="4" t="s">
        <v>607</v>
      </c>
      <c r="I2486" s="4" t="s">
        <v>607</v>
      </c>
      <c r="J2486" s="4" t="s">
        <v>607</v>
      </c>
      <c r="K2486" s="4" t="s">
        <v>607</v>
      </c>
      <c r="L2486" s="4" t="s">
        <v>607</v>
      </c>
      <c r="M2486" s="4" t="s">
        <v>607</v>
      </c>
      <c r="N2486" s="4" t="s">
        <v>607</v>
      </c>
      <c r="O2486" s="4"/>
      <c r="P2486" s="4"/>
      <c r="T2486" s="4"/>
    </row>
    <row r="2487">
      <c r="A2487" s="4" t="s">
        <v>5866</v>
      </c>
      <c r="B2487" s="4" t="s">
        <v>607</v>
      </c>
      <c r="C2487" s="6" t="s">
        <v>607</v>
      </c>
      <c r="D2487" s="6" t="s">
        <v>607</v>
      </c>
      <c r="E2487" s="6" t="s">
        <v>607</v>
      </c>
      <c r="F2487" s="6" t="s">
        <v>607</v>
      </c>
      <c r="G2487" s="4" t="s">
        <v>607</v>
      </c>
      <c r="H2487" s="4" t="s">
        <v>607</v>
      </c>
      <c r="I2487" s="4" t="s">
        <v>607</v>
      </c>
      <c r="J2487" s="4" t="s">
        <v>607</v>
      </c>
      <c r="K2487" s="4" t="s">
        <v>607</v>
      </c>
      <c r="L2487" s="4" t="s">
        <v>607</v>
      </c>
      <c r="M2487" s="4" t="s">
        <v>607</v>
      </c>
      <c r="N2487" s="4" t="s">
        <v>607</v>
      </c>
      <c r="O2487" s="4"/>
      <c r="P2487" s="4"/>
      <c r="T2487" s="4"/>
    </row>
    <row r="2488">
      <c r="A2488" s="4" t="s">
        <v>5867</v>
      </c>
      <c r="B2488" s="4" t="s">
        <v>607</v>
      </c>
      <c r="C2488" s="6" t="s">
        <v>607</v>
      </c>
      <c r="D2488" s="6" t="s">
        <v>607</v>
      </c>
      <c r="E2488" s="6" t="s">
        <v>607</v>
      </c>
      <c r="F2488" s="6" t="s">
        <v>607</v>
      </c>
      <c r="G2488" s="4" t="s">
        <v>607</v>
      </c>
      <c r="H2488" s="4" t="s">
        <v>607</v>
      </c>
      <c r="I2488" s="4" t="s">
        <v>607</v>
      </c>
      <c r="J2488" s="4" t="s">
        <v>607</v>
      </c>
      <c r="K2488" s="4" t="s">
        <v>607</v>
      </c>
      <c r="L2488" s="4" t="s">
        <v>607</v>
      </c>
      <c r="M2488" s="4" t="s">
        <v>607</v>
      </c>
      <c r="N2488" s="4" t="s">
        <v>607</v>
      </c>
      <c r="O2488" s="4"/>
      <c r="P2488" s="4"/>
      <c r="T2488" s="4"/>
    </row>
    <row r="2489">
      <c r="A2489" s="4" t="s">
        <v>5870</v>
      </c>
      <c r="B2489" s="4" t="s">
        <v>607</v>
      </c>
      <c r="C2489" s="6" t="s">
        <v>607</v>
      </c>
      <c r="D2489" s="6" t="s">
        <v>607</v>
      </c>
      <c r="E2489" s="6" t="s">
        <v>607</v>
      </c>
      <c r="F2489" s="6" t="s">
        <v>607</v>
      </c>
      <c r="G2489" s="4" t="s">
        <v>607</v>
      </c>
      <c r="H2489" s="4" t="s">
        <v>607</v>
      </c>
      <c r="I2489" s="4" t="s">
        <v>607</v>
      </c>
      <c r="J2489" s="4" t="s">
        <v>607</v>
      </c>
      <c r="K2489" s="4" t="s">
        <v>607</v>
      </c>
      <c r="L2489" s="4" t="s">
        <v>607</v>
      </c>
      <c r="M2489" s="4" t="s">
        <v>607</v>
      </c>
      <c r="N2489" s="4" t="s">
        <v>607</v>
      </c>
      <c r="O2489" s="4"/>
      <c r="P2489" s="4"/>
      <c r="T2489" s="4"/>
    </row>
    <row r="2490">
      <c r="A2490" s="4" t="s">
        <v>5872</v>
      </c>
      <c r="B2490" s="4" t="s">
        <v>607</v>
      </c>
      <c r="C2490" s="6" t="s">
        <v>607</v>
      </c>
      <c r="D2490" s="6" t="s">
        <v>607</v>
      </c>
      <c r="E2490" s="6" t="s">
        <v>607</v>
      </c>
      <c r="F2490" s="6" t="s">
        <v>607</v>
      </c>
      <c r="G2490" s="4" t="s">
        <v>607</v>
      </c>
      <c r="H2490" s="4" t="s">
        <v>607</v>
      </c>
      <c r="I2490" s="4" t="s">
        <v>607</v>
      </c>
      <c r="J2490" s="4" t="s">
        <v>607</v>
      </c>
      <c r="K2490" s="4" t="s">
        <v>607</v>
      </c>
      <c r="L2490" s="4" t="s">
        <v>607</v>
      </c>
      <c r="M2490" s="4" t="s">
        <v>607</v>
      </c>
      <c r="N2490" s="4" t="s">
        <v>607</v>
      </c>
      <c r="O2490" s="4"/>
      <c r="P2490" s="4"/>
      <c r="T2490" s="4"/>
    </row>
    <row r="2491">
      <c r="A2491" s="4" t="s">
        <v>5873</v>
      </c>
      <c r="B2491" s="4" t="s">
        <v>607</v>
      </c>
      <c r="C2491" s="6" t="s">
        <v>607</v>
      </c>
      <c r="D2491" s="6" t="s">
        <v>607</v>
      </c>
      <c r="E2491" s="6" t="s">
        <v>607</v>
      </c>
      <c r="F2491" s="6" t="s">
        <v>607</v>
      </c>
      <c r="G2491" s="4" t="s">
        <v>607</v>
      </c>
      <c r="H2491" s="4" t="s">
        <v>607</v>
      </c>
      <c r="I2491" s="4" t="s">
        <v>607</v>
      </c>
      <c r="J2491" s="4" t="s">
        <v>607</v>
      </c>
      <c r="K2491" s="4" t="s">
        <v>607</v>
      </c>
      <c r="L2491" s="4" t="s">
        <v>607</v>
      </c>
      <c r="M2491" s="4" t="s">
        <v>607</v>
      </c>
      <c r="N2491" s="4" t="s">
        <v>607</v>
      </c>
      <c r="O2491" s="4"/>
      <c r="P2491" s="4"/>
      <c r="T2491" s="4"/>
    </row>
    <row r="2492">
      <c r="A2492" s="4" t="s">
        <v>5877</v>
      </c>
      <c r="B2492" s="4" t="s">
        <v>607</v>
      </c>
      <c r="C2492" s="6" t="s">
        <v>607</v>
      </c>
      <c r="D2492" s="6" t="s">
        <v>607</v>
      </c>
      <c r="E2492" s="6" t="s">
        <v>607</v>
      </c>
      <c r="F2492" s="6" t="s">
        <v>607</v>
      </c>
      <c r="G2492" s="4" t="s">
        <v>607</v>
      </c>
      <c r="H2492" s="4" t="s">
        <v>607</v>
      </c>
      <c r="I2492" s="4" t="s">
        <v>607</v>
      </c>
      <c r="J2492" s="4" t="s">
        <v>607</v>
      </c>
      <c r="K2492" s="4" t="s">
        <v>607</v>
      </c>
      <c r="L2492" s="4" t="s">
        <v>607</v>
      </c>
      <c r="M2492" s="4" t="s">
        <v>607</v>
      </c>
      <c r="N2492" s="4" t="s">
        <v>607</v>
      </c>
      <c r="O2492" s="4"/>
      <c r="P2492" s="4"/>
      <c r="T2492" s="4"/>
    </row>
    <row r="2493">
      <c r="A2493" s="4" t="s">
        <v>5878</v>
      </c>
      <c r="B2493" s="4" t="s">
        <v>607</v>
      </c>
      <c r="C2493" s="6" t="s">
        <v>607</v>
      </c>
      <c r="D2493" s="6" t="s">
        <v>607</v>
      </c>
      <c r="E2493" s="6" t="s">
        <v>607</v>
      </c>
      <c r="F2493" s="6" t="s">
        <v>607</v>
      </c>
      <c r="G2493" s="4" t="s">
        <v>607</v>
      </c>
      <c r="H2493" s="4" t="s">
        <v>607</v>
      </c>
      <c r="I2493" s="4" t="s">
        <v>607</v>
      </c>
      <c r="J2493" s="4" t="s">
        <v>607</v>
      </c>
      <c r="K2493" s="4" t="s">
        <v>607</v>
      </c>
      <c r="L2493" s="4" t="s">
        <v>607</v>
      </c>
      <c r="M2493" s="4" t="s">
        <v>607</v>
      </c>
      <c r="N2493" s="4" t="s">
        <v>607</v>
      </c>
      <c r="O2493" s="4"/>
      <c r="P2493" s="4"/>
      <c r="T2493" s="4"/>
    </row>
    <row r="2494">
      <c r="A2494" s="4" t="s">
        <v>5880</v>
      </c>
      <c r="B2494" s="4" t="s">
        <v>607</v>
      </c>
      <c r="C2494" s="6" t="s">
        <v>607</v>
      </c>
      <c r="D2494" s="6" t="s">
        <v>607</v>
      </c>
      <c r="E2494" s="6" t="s">
        <v>607</v>
      </c>
      <c r="F2494" s="6" t="s">
        <v>607</v>
      </c>
      <c r="G2494" s="4" t="s">
        <v>607</v>
      </c>
      <c r="H2494" s="4" t="s">
        <v>607</v>
      </c>
      <c r="I2494" s="4" t="s">
        <v>607</v>
      </c>
      <c r="J2494" s="4" t="s">
        <v>607</v>
      </c>
      <c r="K2494" s="4" t="s">
        <v>607</v>
      </c>
      <c r="L2494" s="4" t="s">
        <v>607</v>
      </c>
      <c r="M2494" s="4" t="s">
        <v>607</v>
      </c>
      <c r="N2494" s="4" t="s">
        <v>607</v>
      </c>
      <c r="O2494" s="4"/>
      <c r="P2494" s="4"/>
      <c r="T2494" s="4"/>
    </row>
    <row r="2495">
      <c r="A2495" s="4" t="s">
        <v>5883</v>
      </c>
      <c r="B2495" s="4" t="s">
        <v>607</v>
      </c>
      <c r="C2495" s="6" t="s">
        <v>607</v>
      </c>
      <c r="D2495" s="6" t="s">
        <v>607</v>
      </c>
      <c r="E2495" s="6" t="s">
        <v>607</v>
      </c>
      <c r="F2495" s="6" t="s">
        <v>607</v>
      </c>
      <c r="G2495" s="4" t="s">
        <v>607</v>
      </c>
      <c r="H2495" s="4" t="s">
        <v>607</v>
      </c>
      <c r="I2495" s="4" t="s">
        <v>607</v>
      </c>
      <c r="J2495" s="4" t="s">
        <v>607</v>
      </c>
      <c r="K2495" s="4" t="s">
        <v>607</v>
      </c>
      <c r="L2495" s="4" t="s">
        <v>607</v>
      </c>
      <c r="M2495" s="4" t="s">
        <v>607</v>
      </c>
      <c r="N2495" s="4" t="s">
        <v>607</v>
      </c>
      <c r="O2495" s="4"/>
      <c r="P2495" s="4"/>
      <c r="T2495" s="4"/>
    </row>
    <row r="2496">
      <c r="A2496" s="4" t="s">
        <v>5884</v>
      </c>
      <c r="B2496" s="4" t="s">
        <v>607</v>
      </c>
      <c r="C2496" s="6" t="s">
        <v>607</v>
      </c>
      <c r="D2496" s="6" t="s">
        <v>607</v>
      </c>
      <c r="E2496" s="6" t="s">
        <v>607</v>
      </c>
      <c r="F2496" s="6" t="s">
        <v>607</v>
      </c>
      <c r="G2496" s="4" t="s">
        <v>607</v>
      </c>
      <c r="H2496" s="4" t="s">
        <v>607</v>
      </c>
      <c r="I2496" s="4" t="s">
        <v>607</v>
      </c>
      <c r="J2496" s="4" t="s">
        <v>607</v>
      </c>
      <c r="K2496" s="4" t="s">
        <v>607</v>
      </c>
      <c r="L2496" s="4" t="s">
        <v>607</v>
      </c>
      <c r="M2496" s="4" t="s">
        <v>607</v>
      </c>
      <c r="N2496" s="4" t="s">
        <v>607</v>
      </c>
      <c r="O2496" s="4"/>
      <c r="P2496" s="4"/>
      <c r="T2496" s="4"/>
    </row>
    <row r="2497">
      <c r="A2497" s="4" t="s">
        <v>5888</v>
      </c>
      <c r="B2497" s="4" t="s">
        <v>607</v>
      </c>
      <c r="C2497" s="6" t="s">
        <v>607</v>
      </c>
      <c r="D2497" s="6" t="s">
        <v>607</v>
      </c>
      <c r="E2497" s="6" t="s">
        <v>607</v>
      </c>
      <c r="F2497" s="6" t="s">
        <v>607</v>
      </c>
      <c r="G2497" s="4" t="s">
        <v>607</v>
      </c>
      <c r="H2497" s="4" t="s">
        <v>607</v>
      </c>
      <c r="I2497" s="4" t="s">
        <v>607</v>
      </c>
      <c r="J2497" s="4" t="s">
        <v>607</v>
      </c>
      <c r="K2497" s="4" t="s">
        <v>607</v>
      </c>
      <c r="L2497" s="4" t="s">
        <v>607</v>
      </c>
      <c r="M2497" s="4" t="s">
        <v>607</v>
      </c>
      <c r="N2497" s="4" t="s">
        <v>607</v>
      </c>
      <c r="O2497" s="4"/>
      <c r="P2497" s="4"/>
      <c r="T2497" s="4"/>
    </row>
    <row r="2498">
      <c r="A2498" s="4" t="s">
        <v>5889</v>
      </c>
      <c r="B2498" s="4" t="s">
        <v>607</v>
      </c>
      <c r="C2498" s="6" t="s">
        <v>607</v>
      </c>
      <c r="D2498" s="6" t="s">
        <v>607</v>
      </c>
      <c r="E2498" s="6" t="s">
        <v>607</v>
      </c>
      <c r="F2498" s="6" t="s">
        <v>607</v>
      </c>
      <c r="G2498" s="4" t="s">
        <v>607</v>
      </c>
      <c r="H2498" s="4" t="s">
        <v>607</v>
      </c>
      <c r="I2498" s="4" t="s">
        <v>607</v>
      </c>
      <c r="J2498" s="4" t="s">
        <v>607</v>
      </c>
      <c r="K2498" s="4" t="s">
        <v>607</v>
      </c>
      <c r="L2498" s="4" t="s">
        <v>607</v>
      </c>
      <c r="M2498" s="4" t="s">
        <v>607</v>
      </c>
      <c r="N2498" s="4" t="s">
        <v>607</v>
      </c>
      <c r="O2498" s="4"/>
      <c r="P2498" s="4"/>
      <c r="T2498" s="4"/>
    </row>
    <row r="2499">
      <c r="A2499" s="4" t="s">
        <v>5892</v>
      </c>
      <c r="B2499" s="4" t="s">
        <v>607</v>
      </c>
      <c r="C2499" s="6" t="s">
        <v>607</v>
      </c>
      <c r="D2499" s="6" t="s">
        <v>607</v>
      </c>
      <c r="E2499" s="6" t="s">
        <v>607</v>
      </c>
      <c r="F2499" s="6" t="s">
        <v>607</v>
      </c>
      <c r="G2499" s="4" t="s">
        <v>607</v>
      </c>
      <c r="H2499" s="4" t="s">
        <v>607</v>
      </c>
      <c r="I2499" s="4" t="s">
        <v>607</v>
      </c>
      <c r="J2499" s="4" t="s">
        <v>607</v>
      </c>
      <c r="K2499" s="4" t="s">
        <v>607</v>
      </c>
      <c r="L2499" s="4" t="s">
        <v>607</v>
      </c>
      <c r="M2499" s="4" t="s">
        <v>607</v>
      </c>
      <c r="N2499" s="4" t="s">
        <v>607</v>
      </c>
      <c r="O2499" s="4"/>
      <c r="P2499" s="4"/>
      <c r="T2499" s="4"/>
    </row>
    <row r="2500">
      <c r="A2500" s="4" t="s">
        <v>5894</v>
      </c>
      <c r="B2500" s="4" t="s">
        <v>607</v>
      </c>
      <c r="C2500" s="6" t="s">
        <v>607</v>
      </c>
      <c r="D2500" s="6" t="s">
        <v>607</v>
      </c>
      <c r="E2500" s="6" t="s">
        <v>607</v>
      </c>
      <c r="F2500" s="6" t="s">
        <v>607</v>
      </c>
      <c r="G2500" s="4" t="s">
        <v>607</v>
      </c>
      <c r="H2500" s="4" t="s">
        <v>607</v>
      </c>
      <c r="I2500" s="4" t="s">
        <v>607</v>
      </c>
      <c r="J2500" s="4" t="s">
        <v>607</v>
      </c>
      <c r="K2500" s="4" t="s">
        <v>607</v>
      </c>
      <c r="L2500" s="4" t="s">
        <v>607</v>
      </c>
      <c r="M2500" s="4" t="s">
        <v>607</v>
      </c>
      <c r="N2500" s="4" t="s">
        <v>607</v>
      </c>
      <c r="O2500" s="4"/>
      <c r="P2500" s="4"/>
      <c r="T2500" s="4"/>
    </row>
    <row r="2501">
      <c r="A2501" s="4" t="s">
        <v>5897</v>
      </c>
      <c r="B2501" s="4" t="s">
        <v>607</v>
      </c>
      <c r="C2501" s="6" t="s">
        <v>607</v>
      </c>
      <c r="D2501" s="6" t="s">
        <v>607</v>
      </c>
      <c r="E2501" s="6" t="s">
        <v>607</v>
      </c>
      <c r="F2501" s="6" t="s">
        <v>607</v>
      </c>
      <c r="G2501" s="4" t="s">
        <v>607</v>
      </c>
      <c r="H2501" s="4" t="s">
        <v>607</v>
      </c>
      <c r="I2501" s="4" t="s">
        <v>607</v>
      </c>
      <c r="J2501" s="4" t="s">
        <v>607</v>
      </c>
      <c r="K2501" s="4" t="s">
        <v>607</v>
      </c>
      <c r="L2501" s="4" t="s">
        <v>607</v>
      </c>
      <c r="M2501" s="4" t="s">
        <v>607</v>
      </c>
      <c r="N2501" s="4" t="s">
        <v>607</v>
      </c>
      <c r="O2501" s="4"/>
      <c r="P2501" s="4"/>
      <c r="T2501" s="4"/>
    </row>
    <row r="2502">
      <c r="A2502" s="4" t="s">
        <v>5898</v>
      </c>
      <c r="B2502" s="4" t="s">
        <v>607</v>
      </c>
      <c r="C2502" s="6" t="s">
        <v>607</v>
      </c>
      <c r="D2502" s="6" t="s">
        <v>607</v>
      </c>
      <c r="E2502" s="6" t="s">
        <v>607</v>
      </c>
      <c r="F2502" s="6" t="s">
        <v>607</v>
      </c>
      <c r="G2502" s="4" t="s">
        <v>607</v>
      </c>
      <c r="H2502" s="4" t="s">
        <v>607</v>
      </c>
      <c r="I2502" s="4" t="s">
        <v>607</v>
      </c>
      <c r="J2502" s="4" t="s">
        <v>607</v>
      </c>
      <c r="K2502" s="4" t="s">
        <v>607</v>
      </c>
      <c r="L2502" s="4" t="s">
        <v>607</v>
      </c>
      <c r="M2502" s="4" t="s">
        <v>607</v>
      </c>
      <c r="N2502" s="4" t="s">
        <v>607</v>
      </c>
      <c r="O2502" s="4"/>
      <c r="P2502" s="4"/>
      <c r="T2502" s="4"/>
    </row>
    <row r="2503">
      <c r="A2503" s="4" t="s">
        <v>5899</v>
      </c>
      <c r="B2503" s="4" t="s">
        <v>607</v>
      </c>
      <c r="C2503" s="6" t="s">
        <v>607</v>
      </c>
      <c r="D2503" s="6" t="s">
        <v>607</v>
      </c>
      <c r="E2503" s="6" t="s">
        <v>607</v>
      </c>
      <c r="F2503" s="6" t="s">
        <v>607</v>
      </c>
      <c r="G2503" s="4" t="s">
        <v>607</v>
      </c>
      <c r="H2503" s="4" t="s">
        <v>607</v>
      </c>
      <c r="I2503" s="4" t="s">
        <v>607</v>
      </c>
      <c r="J2503" s="4" t="s">
        <v>607</v>
      </c>
      <c r="K2503" s="4" t="s">
        <v>607</v>
      </c>
      <c r="L2503" s="4" t="s">
        <v>607</v>
      </c>
      <c r="M2503" s="4" t="s">
        <v>607</v>
      </c>
      <c r="N2503" s="4" t="s">
        <v>607</v>
      </c>
      <c r="O2503" s="4"/>
      <c r="P2503" s="4"/>
      <c r="T2503" s="4"/>
    </row>
    <row r="2504">
      <c r="A2504" s="4" t="s">
        <v>5900</v>
      </c>
      <c r="B2504" s="4" t="s">
        <v>607</v>
      </c>
      <c r="C2504" s="6" t="s">
        <v>607</v>
      </c>
      <c r="D2504" s="6" t="s">
        <v>607</v>
      </c>
      <c r="E2504" s="6" t="s">
        <v>607</v>
      </c>
      <c r="F2504" s="6" t="s">
        <v>607</v>
      </c>
      <c r="G2504" s="4" t="s">
        <v>607</v>
      </c>
      <c r="H2504" s="4" t="s">
        <v>607</v>
      </c>
      <c r="I2504" s="4" t="s">
        <v>607</v>
      </c>
      <c r="J2504" s="4" t="s">
        <v>607</v>
      </c>
      <c r="K2504" s="4" t="s">
        <v>607</v>
      </c>
      <c r="L2504" s="4" t="s">
        <v>607</v>
      </c>
      <c r="M2504" s="4" t="s">
        <v>607</v>
      </c>
      <c r="N2504" s="4" t="s">
        <v>607</v>
      </c>
      <c r="O2504" s="4"/>
      <c r="P2504" s="4"/>
      <c r="T2504" s="4"/>
    </row>
    <row r="2505">
      <c r="A2505" s="4" t="s">
        <v>5906</v>
      </c>
      <c r="B2505" s="4" t="s">
        <v>607</v>
      </c>
      <c r="C2505" s="6" t="s">
        <v>607</v>
      </c>
      <c r="D2505" s="6" t="s">
        <v>607</v>
      </c>
      <c r="E2505" s="6" t="s">
        <v>607</v>
      </c>
      <c r="F2505" s="6" t="s">
        <v>607</v>
      </c>
      <c r="G2505" s="4" t="s">
        <v>607</v>
      </c>
      <c r="H2505" s="4" t="s">
        <v>607</v>
      </c>
      <c r="I2505" s="4" t="s">
        <v>607</v>
      </c>
      <c r="J2505" s="4" t="s">
        <v>607</v>
      </c>
      <c r="K2505" s="4" t="s">
        <v>607</v>
      </c>
      <c r="L2505" s="4" t="s">
        <v>607</v>
      </c>
      <c r="M2505" s="4" t="s">
        <v>607</v>
      </c>
      <c r="N2505" s="4" t="s">
        <v>607</v>
      </c>
      <c r="O2505" s="4"/>
      <c r="P2505" s="4"/>
      <c r="T2505" s="4"/>
    </row>
    <row r="2506">
      <c r="A2506" s="4" t="s">
        <v>5907</v>
      </c>
      <c r="B2506" s="4" t="s">
        <v>607</v>
      </c>
      <c r="C2506" s="6" t="s">
        <v>607</v>
      </c>
      <c r="D2506" s="6" t="s">
        <v>607</v>
      </c>
      <c r="E2506" s="6" t="s">
        <v>607</v>
      </c>
      <c r="F2506" s="6" t="s">
        <v>607</v>
      </c>
      <c r="G2506" s="4" t="s">
        <v>607</v>
      </c>
      <c r="H2506" s="4" t="s">
        <v>607</v>
      </c>
      <c r="I2506" s="4" t="s">
        <v>607</v>
      </c>
      <c r="J2506" s="4" t="s">
        <v>607</v>
      </c>
      <c r="K2506" s="4" t="s">
        <v>607</v>
      </c>
      <c r="L2506" s="4" t="s">
        <v>607</v>
      </c>
      <c r="M2506" s="4" t="s">
        <v>607</v>
      </c>
      <c r="N2506" s="4" t="s">
        <v>607</v>
      </c>
      <c r="O2506" s="4"/>
      <c r="P2506" s="4"/>
      <c r="T2506" s="4"/>
    </row>
    <row r="2507">
      <c r="A2507" s="4" t="s">
        <v>5911</v>
      </c>
      <c r="B2507" s="4" t="s">
        <v>607</v>
      </c>
      <c r="C2507" s="6" t="s">
        <v>607</v>
      </c>
      <c r="D2507" s="6" t="s">
        <v>607</v>
      </c>
      <c r="E2507" s="6" t="s">
        <v>607</v>
      </c>
      <c r="F2507" s="6" t="s">
        <v>607</v>
      </c>
      <c r="G2507" s="4" t="s">
        <v>607</v>
      </c>
      <c r="H2507" s="4" t="s">
        <v>607</v>
      </c>
      <c r="I2507" s="4" t="s">
        <v>607</v>
      </c>
      <c r="J2507" s="4" t="s">
        <v>607</v>
      </c>
      <c r="K2507" s="4" t="s">
        <v>607</v>
      </c>
      <c r="L2507" s="4" t="s">
        <v>607</v>
      </c>
      <c r="M2507" s="4" t="s">
        <v>607</v>
      </c>
      <c r="N2507" s="4" t="s">
        <v>607</v>
      </c>
      <c r="O2507" s="4"/>
      <c r="P2507" s="4"/>
      <c r="T2507" s="4"/>
    </row>
    <row r="2508">
      <c r="A2508" s="4" t="s">
        <v>5912</v>
      </c>
      <c r="B2508" s="4" t="s">
        <v>607</v>
      </c>
      <c r="C2508" s="6" t="s">
        <v>607</v>
      </c>
      <c r="D2508" s="6" t="s">
        <v>607</v>
      </c>
      <c r="E2508" s="6" t="s">
        <v>607</v>
      </c>
      <c r="F2508" s="6" t="s">
        <v>607</v>
      </c>
      <c r="G2508" s="4" t="s">
        <v>607</v>
      </c>
      <c r="H2508" s="4" t="s">
        <v>607</v>
      </c>
      <c r="I2508" s="4" t="s">
        <v>607</v>
      </c>
      <c r="J2508" s="4" t="s">
        <v>607</v>
      </c>
      <c r="K2508" s="4" t="s">
        <v>607</v>
      </c>
      <c r="L2508" s="4" t="s">
        <v>607</v>
      </c>
      <c r="M2508" s="4" t="s">
        <v>607</v>
      </c>
      <c r="N2508" s="4" t="s">
        <v>607</v>
      </c>
      <c r="O2508" s="4"/>
      <c r="P2508" s="4"/>
      <c r="T2508" s="4"/>
    </row>
    <row r="2509">
      <c r="A2509" s="4" t="s">
        <v>5916</v>
      </c>
      <c r="B2509" s="4" t="s">
        <v>607</v>
      </c>
      <c r="C2509" s="6" t="s">
        <v>607</v>
      </c>
      <c r="D2509" s="6" t="s">
        <v>607</v>
      </c>
      <c r="E2509" s="6" t="s">
        <v>607</v>
      </c>
      <c r="F2509" s="6" t="s">
        <v>607</v>
      </c>
      <c r="G2509" s="4" t="s">
        <v>607</v>
      </c>
      <c r="H2509" s="4" t="s">
        <v>607</v>
      </c>
      <c r="I2509" s="4" t="s">
        <v>607</v>
      </c>
      <c r="J2509" s="4" t="s">
        <v>607</v>
      </c>
      <c r="K2509" s="4" t="s">
        <v>607</v>
      </c>
      <c r="L2509" s="4" t="s">
        <v>607</v>
      </c>
      <c r="M2509" s="4" t="s">
        <v>607</v>
      </c>
      <c r="N2509" s="4" t="s">
        <v>607</v>
      </c>
      <c r="O2509" s="4"/>
      <c r="P2509" s="4"/>
      <c r="T2509" s="4"/>
    </row>
    <row r="2510">
      <c r="A2510" s="4" t="s">
        <v>5919</v>
      </c>
      <c r="B2510" s="4" t="s">
        <v>607</v>
      </c>
      <c r="C2510" s="6" t="s">
        <v>607</v>
      </c>
      <c r="D2510" s="6" t="s">
        <v>607</v>
      </c>
      <c r="E2510" s="6" t="s">
        <v>607</v>
      </c>
      <c r="F2510" s="6" t="s">
        <v>607</v>
      </c>
      <c r="G2510" s="4" t="s">
        <v>607</v>
      </c>
      <c r="H2510" s="4" t="s">
        <v>607</v>
      </c>
      <c r="I2510" s="4" t="s">
        <v>607</v>
      </c>
      <c r="J2510" s="4" t="s">
        <v>607</v>
      </c>
      <c r="K2510" s="4" t="s">
        <v>607</v>
      </c>
      <c r="L2510" s="4" t="s">
        <v>607</v>
      </c>
      <c r="M2510" s="4" t="s">
        <v>607</v>
      </c>
      <c r="N2510" s="4" t="s">
        <v>607</v>
      </c>
      <c r="O2510" s="4"/>
      <c r="P2510" s="4"/>
      <c r="T2510" s="4"/>
    </row>
    <row r="2511">
      <c r="A2511" s="4" t="s">
        <v>5920</v>
      </c>
      <c r="B2511" s="4" t="s">
        <v>607</v>
      </c>
      <c r="C2511" s="6" t="s">
        <v>607</v>
      </c>
      <c r="D2511" s="6" t="s">
        <v>607</v>
      </c>
      <c r="E2511" s="6" t="s">
        <v>607</v>
      </c>
      <c r="F2511" s="6" t="s">
        <v>607</v>
      </c>
      <c r="G2511" s="4" t="s">
        <v>607</v>
      </c>
      <c r="H2511" s="4" t="s">
        <v>607</v>
      </c>
      <c r="I2511" s="4" t="s">
        <v>607</v>
      </c>
      <c r="J2511" s="4" t="s">
        <v>607</v>
      </c>
      <c r="K2511" s="4" t="s">
        <v>607</v>
      </c>
      <c r="L2511" s="4" t="s">
        <v>607</v>
      </c>
      <c r="M2511" s="4" t="s">
        <v>607</v>
      </c>
      <c r="N2511" s="4" t="s">
        <v>607</v>
      </c>
      <c r="O2511" s="4"/>
      <c r="P2511" s="4"/>
      <c r="T2511" s="4"/>
    </row>
    <row r="2512">
      <c r="A2512" s="4" t="s">
        <v>5924</v>
      </c>
      <c r="B2512" s="4" t="s">
        <v>607</v>
      </c>
      <c r="C2512" s="6" t="s">
        <v>607</v>
      </c>
      <c r="D2512" s="6" t="s">
        <v>607</v>
      </c>
      <c r="E2512" s="6" t="s">
        <v>607</v>
      </c>
      <c r="F2512" s="6" t="s">
        <v>607</v>
      </c>
      <c r="G2512" s="4" t="s">
        <v>607</v>
      </c>
      <c r="H2512" s="4" t="s">
        <v>607</v>
      </c>
      <c r="I2512" s="4" t="s">
        <v>607</v>
      </c>
      <c r="J2512" s="4" t="s">
        <v>607</v>
      </c>
      <c r="K2512" s="4" t="s">
        <v>607</v>
      </c>
      <c r="L2512" s="4" t="s">
        <v>607</v>
      </c>
      <c r="M2512" s="4" t="s">
        <v>607</v>
      </c>
      <c r="N2512" s="4" t="s">
        <v>607</v>
      </c>
      <c r="O2512" s="4"/>
      <c r="P2512" s="4"/>
      <c r="T2512" s="4"/>
    </row>
    <row r="2513">
      <c r="A2513" s="4" t="s">
        <v>5925</v>
      </c>
      <c r="B2513" s="4" t="s">
        <v>607</v>
      </c>
      <c r="C2513" s="6" t="s">
        <v>607</v>
      </c>
      <c r="D2513" s="6" t="s">
        <v>607</v>
      </c>
      <c r="E2513" s="6" t="s">
        <v>607</v>
      </c>
      <c r="F2513" s="6" t="s">
        <v>607</v>
      </c>
      <c r="G2513" s="4" t="s">
        <v>607</v>
      </c>
      <c r="H2513" s="4" t="s">
        <v>607</v>
      </c>
      <c r="I2513" s="4" t="s">
        <v>607</v>
      </c>
      <c r="J2513" s="4" t="s">
        <v>607</v>
      </c>
      <c r="K2513" s="4" t="s">
        <v>607</v>
      </c>
      <c r="L2513" s="4" t="s">
        <v>607</v>
      </c>
      <c r="M2513" s="4" t="s">
        <v>607</v>
      </c>
      <c r="N2513" s="4" t="s">
        <v>607</v>
      </c>
      <c r="O2513" s="4"/>
      <c r="P2513" s="4"/>
      <c r="T2513" s="4"/>
    </row>
    <row r="2514">
      <c r="A2514" s="4" t="s">
        <v>5926</v>
      </c>
      <c r="B2514" s="4" t="s">
        <v>607</v>
      </c>
      <c r="C2514" s="6" t="s">
        <v>607</v>
      </c>
      <c r="D2514" s="6" t="s">
        <v>607</v>
      </c>
      <c r="E2514" s="6" t="s">
        <v>607</v>
      </c>
      <c r="F2514" s="6" t="s">
        <v>607</v>
      </c>
      <c r="G2514" s="4" t="s">
        <v>607</v>
      </c>
      <c r="H2514" s="4" t="s">
        <v>607</v>
      </c>
      <c r="I2514" s="4" t="s">
        <v>607</v>
      </c>
      <c r="J2514" s="4" t="s">
        <v>607</v>
      </c>
      <c r="K2514" s="4" t="s">
        <v>607</v>
      </c>
      <c r="L2514" s="4" t="s">
        <v>607</v>
      </c>
      <c r="M2514" s="4" t="s">
        <v>607</v>
      </c>
      <c r="N2514" s="4" t="s">
        <v>607</v>
      </c>
      <c r="O2514" s="4"/>
      <c r="P2514" s="4"/>
      <c r="T2514" s="4"/>
    </row>
    <row r="2515">
      <c r="A2515" s="4" t="s">
        <v>5930</v>
      </c>
      <c r="B2515" s="4" t="s">
        <v>607</v>
      </c>
      <c r="C2515" s="6" t="s">
        <v>607</v>
      </c>
      <c r="D2515" s="6" t="s">
        <v>607</v>
      </c>
      <c r="E2515" s="6" t="s">
        <v>607</v>
      </c>
      <c r="F2515" s="6" t="s">
        <v>607</v>
      </c>
      <c r="G2515" s="4" t="s">
        <v>607</v>
      </c>
      <c r="H2515" s="4" t="s">
        <v>607</v>
      </c>
      <c r="I2515" s="4" t="s">
        <v>607</v>
      </c>
      <c r="J2515" s="4" t="s">
        <v>607</v>
      </c>
      <c r="K2515" s="4" t="s">
        <v>607</v>
      </c>
      <c r="L2515" s="4" t="s">
        <v>607</v>
      </c>
      <c r="M2515" s="4" t="s">
        <v>607</v>
      </c>
      <c r="N2515" s="4" t="s">
        <v>607</v>
      </c>
      <c r="O2515" s="4"/>
      <c r="P2515" s="4"/>
      <c r="T2515" s="4"/>
    </row>
    <row r="2516">
      <c r="A2516" s="4" t="s">
        <v>5931</v>
      </c>
      <c r="B2516" s="4" t="s">
        <v>607</v>
      </c>
      <c r="C2516" s="6" t="s">
        <v>607</v>
      </c>
      <c r="D2516" s="6" t="s">
        <v>607</v>
      </c>
      <c r="E2516" s="6" t="s">
        <v>607</v>
      </c>
      <c r="F2516" s="6" t="s">
        <v>607</v>
      </c>
      <c r="G2516" s="4" t="s">
        <v>607</v>
      </c>
      <c r="H2516" s="4" t="s">
        <v>607</v>
      </c>
      <c r="I2516" s="4" t="s">
        <v>607</v>
      </c>
      <c r="J2516" s="4" t="s">
        <v>607</v>
      </c>
      <c r="K2516" s="4" t="s">
        <v>607</v>
      </c>
      <c r="L2516" s="4" t="s">
        <v>607</v>
      </c>
      <c r="M2516" s="4" t="s">
        <v>607</v>
      </c>
      <c r="N2516" s="4" t="s">
        <v>607</v>
      </c>
      <c r="O2516" s="4"/>
      <c r="P2516" s="4"/>
      <c r="T2516" s="4"/>
    </row>
    <row r="2517">
      <c r="A2517" s="4" t="s">
        <v>5932</v>
      </c>
      <c r="B2517" s="4" t="s">
        <v>607</v>
      </c>
      <c r="C2517" s="6" t="s">
        <v>607</v>
      </c>
      <c r="D2517" s="6" t="s">
        <v>607</v>
      </c>
      <c r="E2517" s="6" t="s">
        <v>607</v>
      </c>
      <c r="F2517" s="6" t="s">
        <v>607</v>
      </c>
      <c r="G2517" s="4" t="s">
        <v>607</v>
      </c>
      <c r="H2517" s="4" t="s">
        <v>607</v>
      </c>
      <c r="I2517" s="4" t="s">
        <v>607</v>
      </c>
      <c r="J2517" s="4" t="s">
        <v>607</v>
      </c>
      <c r="K2517" s="4" t="s">
        <v>607</v>
      </c>
      <c r="L2517" s="4" t="s">
        <v>607</v>
      </c>
      <c r="M2517" s="4" t="s">
        <v>607</v>
      </c>
      <c r="N2517" s="4" t="s">
        <v>607</v>
      </c>
      <c r="O2517" s="4"/>
      <c r="P2517" s="4"/>
      <c r="T2517" s="4"/>
    </row>
    <row r="2518">
      <c r="A2518" s="4" t="s">
        <v>5933</v>
      </c>
      <c r="B2518" s="4" t="s">
        <v>607</v>
      </c>
      <c r="C2518" s="6" t="s">
        <v>607</v>
      </c>
      <c r="D2518" s="6" t="s">
        <v>607</v>
      </c>
      <c r="E2518" s="6" t="s">
        <v>607</v>
      </c>
      <c r="F2518" s="6" t="s">
        <v>607</v>
      </c>
      <c r="G2518" s="4" t="s">
        <v>607</v>
      </c>
      <c r="H2518" s="4" t="s">
        <v>607</v>
      </c>
      <c r="I2518" s="4" t="s">
        <v>607</v>
      </c>
      <c r="J2518" s="4" t="s">
        <v>607</v>
      </c>
      <c r="K2518" s="4" t="s">
        <v>607</v>
      </c>
      <c r="L2518" s="4" t="s">
        <v>607</v>
      </c>
      <c r="M2518" s="4" t="s">
        <v>607</v>
      </c>
      <c r="N2518" s="4" t="s">
        <v>607</v>
      </c>
      <c r="O2518" s="4"/>
      <c r="P2518" s="4"/>
      <c r="T2518" s="4"/>
    </row>
    <row r="2519">
      <c r="A2519" s="4" t="s">
        <v>5934</v>
      </c>
      <c r="B2519" s="4" t="s">
        <v>607</v>
      </c>
      <c r="C2519" s="6" t="s">
        <v>607</v>
      </c>
      <c r="D2519" s="6" t="s">
        <v>607</v>
      </c>
      <c r="E2519" s="6" t="s">
        <v>607</v>
      </c>
      <c r="F2519" s="6" t="s">
        <v>607</v>
      </c>
      <c r="G2519" s="4" t="s">
        <v>607</v>
      </c>
      <c r="H2519" s="4" t="s">
        <v>607</v>
      </c>
      <c r="I2519" s="4" t="s">
        <v>607</v>
      </c>
      <c r="J2519" s="4" t="s">
        <v>607</v>
      </c>
      <c r="K2519" s="4" t="s">
        <v>607</v>
      </c>
      <c r="L2519" s="4" t="s">
        <v>607</v>
      </c>
      <c r="M2519" s="4" t="s">
        <v>607</v>
      </c>
      <c r="N2519" s="4" t="s">
        <v>607</v>
      </c>
      <c r="O2519" s="4"/>
      <c r="P2519" s="4"/>
      <c r="T2519" s="4"/>
    </row>
    <row r="2520">
      <c r="A2520" s="4" t="s">
        <v>5935</v>
      </c>
      <c r="B2520" s="4" t="s">
        <v>607</v>
      </c>
      <c r="C2520" s="6" t="s">
        <v>607</v>
      </c>
      <c r="D2520" s="6" t="s">
        <v>607</v>
      </c>
      <c r="E2520" s="6" t="s">
        <v>607</v>
      </c>
      <c r="F2520" s="6" t="s">
        <v>607</v>
      </c>
      <c r="G2520" s="4" t="s">
        <v>607</v>
      </c>
      <c r="H2520" s="4" t="s">
        <v>607</v>
      </c>
      <c r="I2520" s="4" t="s">
        <v>607</v>
      </c>
      <c r="J2520" s="4" t="s">
        <v>607</v>
      </c>
      <c r="K2520" s="4" t="s">
        <v>607</v>
      </c>
      <c r="L2520" s="4" t="s">
        <v>607</v>
      </c>
      <c r="M2520" s="4" t="s">
        <v>607</v>
      </c>
      <c r="N2520" s="4" t="s">
        <v>607</v>
      </c>
      <c r="O2520" s="4"/>
      <c r="P2520" s="4"/>
      <c r="T2520" s="4"/>
    </row>
    <row r="2521">
      <c r="A2521" s="4" t="s">
        <v>5936</v>
      </c>
      <c r="B2521" s="4" t="s">
        <v>607</v>
      </c>
      <c r="C2521" s="6" t="s">
        <v>607</v>
      </c>
      <c r="D2521" s="6" t="s">
        <v>607</v>
      </c>
      <c r="E2521" s="6" t="s">
        <v>607</v>
      </c>
      <c r="F2521" s="6" t="s">
        <v>607</v>
      </c>
      <c r="G2521" s="4" t="s">
        <v>607</v>
      </c>
      <c r="H2521" s="4" t="s">
        <v>607</v>
      </c>
      <c r="I2521" s="4" t="s">
        <v>607</v>
      </c>
      <c r="J2521" s="4" t="s">
        <v>607</v>
      </c>
      <c r="K2521" s="4" t="s">
        <v>607</v>
      </c>
      <c r="L2521" s="4" t="s">
        <v>607</v>
      </c>
      <c r="M2521" s="4" t="s">
        <v>607</v>
      </c>
      <c r="N2521" s="4" t="s">
        <v>607</v>
      </c>
      <c r="O2521" s="4"/>
      <c r="P2521" s="4"/>
      <c r="T2521" s="4"/>
    </row>
    <row r="2522">
      <c r="A2522" s="4" t="s">
        <v>5937</v>
      </c>
      <c r="B2522" s="4" t="s">
        <v>607</v>
      </c>
      <c r="C2522" s="6" t="s">
        <v>607</v>
      </c>
      <c r="D2522" s="6" t="s">
        <v>607</v>
      </c>
      <c r="E2522" s="6" t="s">
        <v>607</v>
      </c>
      <c r="F2522" s="6" t="s">
        <v>607</v>
      </c>
      <c r="G2522" s="4" t="s">
        <v>607</v>
      </c>
      <c r="H2522" s="4" t="s">
        <v>607</v>
      </c>
      <c r="I2522" s="4" t="s">
        <v>607</v>
      </c>
      <c r="J2522" s="4" t="s">
        <v>607</v>
      </c>
      <c r="K2522" s="4" t="s">
        <v>607</v>
      </c>
      <c r="L2522" s="4" t="s">
        <v>607</v>
      </c>
      <c r="M2522" s="4" t="s">
        <v>607</v>
      </c>
      <c r="N2522" s="4" t="s">
        <v>607</v>
      </c>
      <c r="O2522" s="4"/>
      <c r="P2522" s="4"/>
      <c r="T2522" s="4"/>
    </row>
    <row r="2523">
      <c r="A2523" s="4" t="s">
        <v>5941</v>
      </c>
      <c r="B2523" s="4" t="s">
        <v>607</v>
      </c>
      <c r="C2523" s="6" t="s">
        <v>607</v>
      </c>
      <c r="D2523" s="6" t="s">
        <v>607</v>
      </c>
      <c r="E2523" s="6" t="s">
        <v>607</v>
      </c>
      <c r="F2523" s="6" t="s">
        <v>607</v>
      </c>
      <c r="G2523" s="4" t="s">
        <v>607</v>
      </c>
      <c r="H2523" s="4" t="s">
        <v>607</v>
      </c>
      <c r="I2523" s="4" t="s">
        <v>607</v>
      </c>
      <c r="J2523" s="4" t="s">
        <v>607</v>
      </c>
      <c r="K2523" s="4" t="s">
        <v>607</v>
      </c>
      <c r="L2523" s="4" t="s">
        <v>607</v>
      </c>
      <c r="M2523" s="4" t="s">
        <v>607</v>
      </c>
      <c r="N2523" s="4" t="s">
        <v>607</v>
      </c>
      <c r="O2523" s="4"/>
      <c r="P2523" s="4"/>
      <c r="T2523" s="4"/>
    </row>
    <row r="2524">
      <c r="A2524" s="4" t="s">
        <v>5942</v>
      </c>
      <c r="B2524" s="4" t="s">
        <v>607</v>
      </c>
      <c r="C2524" s="6" t="s">
        <v>607</v>
      </c>
      <c r="D2524" s="6" t="s">
        <v>607</v>
      </c>
      <c r="E2524" s="6" t="s">
        <v>607</v>
      </c>
      <c r="F2524" s="6" t="s">
        <v>607</v>
      </c>
      <c r="G2524" s="4" t="s">
        <v>607</v>
      </c>
      <c r="H2524" s="4" t="s">
        <v>607</v>
      </c>
      <c r="I2524" s="4" t="s">
        <v>607</v>
      </c>
      <c r="J2524" s="4" t="s">
        <v>607</v>
      </c>
      <c r="K2524" s="4" t="s">
        <v>607</v>
      </c>
      <c r="L2524" s="4" t="s">
        <v>607</v>
      </c>
      <c r="M2524" s="4" t="s">
        <v>607</v>
      </c>
      <c r="N2524" s="4" t="s">
        <v>607</v>
      </c>
      <c r="O2524" s="4"/>
      <c r="P2524" s="4"/>
      <c r="T2524" s="4"/>
    </row>
    <row r="2525">
      <c r="A2525" s="4" t="s">
        <v>5943</v>
      </c>
      <c r="B2525" s="4" t="s">
        <v>607</v>
      </c>
      <c r="C2525" s="6" t="s">
        <v>607</v>
      </c>
      <c r="D2525" s="6" t="s">
        <v>607</v>
      </c>
      <c r="E2525" s="6" t="s">
        <v>607</v>
      </c>
      <c r="F2525" s="6" t="s">
        <v>607</v>
      </c>
      <c r="G2525" s="4" t="s">
        <v>607</v>
      </c>
      <c r="H2525" s="4" t="s">
        <v>607</v>
      </c>
      <c r="I2525" s="4" t="s">
        <v>607</v>
      </c>
      <c r="J2525" s="4" t="s">
        <v>607</v>
      </c>
      <c r="K2525" s="4" t="s">
        <v>607</v>
      </c>
      <c r="L2525" s="4" t="s">
        <v>607</v>
      </c>
      <c r="M2525" s="4" t="s">
        <v>607</v>
      </c>
      <c r="N2525" s="4" t="s">
        <v>607</v>
      </c>
      <c r="O2525" s="4"/>
      <c r="P2525" s="4"/>
      <c r="T2525" s="4"/>
    </row>
    <row r="2526">
      <c r="A2526" s="4" t="s">
        <v>5944</v>
      </c>
      <c r="B2526" s="4" t="s">
        <v>607</v>
      </c>
      <c r="C2526" s="6" t="s">
        <v>607</v>
      </c>
      <c r="D2526" s="6" t="s">
        <v>607</v>
      </c>
      <c r="E2526" s="6" t="s">
        <v>607</v>
      </c>
      <c r="F2526" s="6" t="s">
        <v>607</v>
      </c>
      <c r="G2526" s="4" t="s">
        <v>607</v>
      </c>
      <c r="H2526" s="4" t="s">
        <v>607</v>
      </c>
      <c r="I2526" s="4" t="s">
        <v>607</v>
      </c>
      <c r="J2526" s="4" t="s">
        <v>607</v>
      </c>
      <c r="K2526" s="4" t="s">
        <v>607</v>
      </c>
      <c r="L2526" s="4" t="s">
        <v>607</v>
      </c>
      <c r="M2526" s="4" t="s">
        <v>607</v>
      </c>
      <c r="N2526" s="4" t="s">
        <v>607</v>
      </c>
      <c r="O2526" s="4"/>
      <c r="P2526" s="4"/>
      <c r="T2526" s="4"/>
    </row>
    <row r="2527">
      <c r="A2527" s="4" t="s">
        <v>5945</v>
      </c>
      <c r="B2527" s="4" t="s">
        <v>607</v>
      </c>
      <c r="C2527" s="6" t="s">
        <v>607</v>
      </c>
      <c r="D2527" s="6" t="s">
        <v>607</v>
      </c>
      <c r="E2527" s="6" t="s">
        <v>607</v>
      </c>
      <c r="F2527" s="6" t="s">
        <v>607</v>
      </c>
      <c r="G2527" s="4" t="s">
        <v>607</v>
      </c>
      <c r="H2527" s="4" t="s">
        <v>607</v>
      </c>
      <c r="I2527" s="4" t="s">
        <v>607</v>
      </c>
      <c r="J2527" s="4" t="s">
        <v>607</v>
      </c>
      <c r="K2527" s="4" t="s">
        <v>607</v>
      </c>
      <c r="L2527" s="4" t="s">
        <v>607</v>
      </c>
      <c r="M2527" s="4" t="s">
        <v>607</v>
      </c>
      <c r="N2527" s="4" t="s">
        <v>607</v>
      </c>
      <c r="O2527" s="4"/>
      <c r="P2527" s="4"/>
      <c r="T2527" s="4"/>
    </row>
    <row r="2528">
      <c r="A2528" s="4" t="s">
        <v>5946</v>
      </c>
      <c r="B2528" s="4" t="s">
        <v>607</v>
      </c>
      <c r="C2528" s="6" t="s">
        <v>607</v>
      </c>
      <c r="D2528" s="6" t="s">
        <v>607</v>
      </c>
      <c r="E2528" s="6" t="s">
        <v>607</v>
      </c>
      <c r="F2528" s="6" t="s">
        <v>607</v>
      </c>
      <c r="G2528" s="4" t="s">
        <v>607</v>
      </c>
      <c r="H2528" s="4" t="s">
        <v>607</v>
      </c>
      <c r="I2528" s="4" t="s">
        <v>607</v>
      </c>
      <c r="J2528" s="4" t="s">
        <v>607</v>
      </c>
      <c r="K2528" s="4" t="s">
        <v>607</v>
      </c>
      <c r="L2528" s="4" t="s">
        <v>607</v>
      </c>
      <c r="M2528" s="4" t="s">
        <v>607</v>
      </c>
      <c r="N2528" s="4" t="s">
        <v>607</v>
      </c>
      <c r="O2528" s="4"/>
      <c r="P2528" s="4"/>
      <c r="T2528" s="4"/>
    </row>
    <row r="2529">
      <c r="A2529" s="4" t="s">
        <v>5947</v>
      </c>
      <c r="B2529" s="4" t="s">
        <v>607</v>
      </c>
      <c r="C2529" s="6" t="s">
        <v>607</v>
      </c>
      <c r="D2529" s="6" t="s">
        <v>607</v>
      </c>
      <c r="E2529" s="6" t="s">
        <v>607</v>
      </c>
      <c r="F2529" s="6" t="s">
        <v>607</v>
      </c>
      <c r="G2529" s="4" t="s">
        <v>607</v>
      </c>
      <c r="H2529" s="4" t="s">
        <v>607</v>
      </c>
      <c r="I2529" s="4" t="s">
        <v>607</v>
      </c>
      <c r="J2529" s="4" t="s">
        <v>607</v>
      </c>
      <c r="K2529" s="4" t="s">
        <v>607</v>
      </c>
      <c r="L2529" s="4" t="s">
        <v>607</v>
      </c>
      <c r="M2529" s="4" t="s">
        <v>607</v>
      </c>
      <c r="N2529" s="4" t="s">
        <v>607</v>
      </c>
      <c r="O2529" s="4"/>
      <c r="P2529" s="4"/>
      <c r="T2529" s="4"/>
    </row>
    <row r="2530">
      <c r="A2530" s="4" t="s">
        <v>5948</v>
      </c>
      <c r="B2530" s="4" t="s">
        <v>607</v>
      </c>
      <c r="C2530" s="6" t="s">
        <v>607</v>
      </c>
      <c r="D2530" s="6" t="s">
        <v>607</v>
      </c>
      <c r="E2530" s="6" t="s">
        <v>607</v>
      </c>
      <c r="F2530" s="6" t="s">
        <v>607</v>
      </c>
      <c r="G2530" s="4" t="s">
        <v>607</v>
      </c>
      <c r="H2530" s="4" t="s">
        <v>607</v>
      </c>
      <c r="I2530" s="4" t="s">
        <v>607</v>
      </c>
      <c r="J2530" s="4" t="s">
        <v>607</v>
      </c>
      <c r="K2530" s="4" t="s">
        <v>607</v>
      </c>
      <c r="L2530" s="4" t="s">
        <v>607</v>
      </c>
      <c r="M2530" s="4" t="s">
        <v>607</v>
      </c>
      <c r="N2530" s="4" t="s">
        <v>607</v>
      </c>
      <c r="O2530" s="4"/>
      <c r="P2530" s="4"/>
      <c r="T2530" s="4"/>
    </row>
    <row r="2531">
      <c r="A2531" s="4" t="s">
        <v>5949</v>
      </c>
      <c r="B2531" s="4" t="s">
        <v>607</v>
      </c>
      <c r="C2531" s="6" t="s">
        <v>607</v>
      </c>
      <c r="D2531" s="6" t="s">
        <v>607</v>
      </c>
      <c r="E2531" s="6" t="s">
        <v>607</v>
      </c>
      <c r="F2531" s="6" t="s">
        <v>607</v>
      </c>
      <c r="G2531" s="4" t="s">
        <v>607</v>
      </c>
      <c r="H2531" s="4" t="s">
        <v>607</v>
      </c>
      <c r="I2531" s="4" t="s">
        <v>607</v>
      </c>
      <c r="J2531" s="4" t="s">
        <v>607</v>
      </c>
      <c r="K2531" s="4" t="s">
        <v>607</v>
      </c>
      <c r="L2531" s="4" t="s">
        <v>607</v>
      </c>
      <c r="M2531" s="4" t="s">
        <v>607</v>
      </c>
      <c r="N2531" s="4" t="s">
        <v>607</v>
      </c>
      <c r="O2531" s="4"/>
      <c r="P2531" s="4"/>
      <c r="T2531" s="4"/>
    </row>
    <row r="2532">
      <c r="A2532" s="4" t="s">
        <v>5950</v>
      </c>
      <c r="B2532" s="4" t="s">
        <v>607</v>
      </c>
      <c r="C2532" s="6" t="s">
        <v>607</v>
      </c>
      <c r="D2532" s="6" t="s">
        <v>607</v>
      </c>
      <c r="E2532" s="6" t="s">
        <v>607</v>
      </c>
      <c r="F2532" s="6" t="s">
        <v>607</v>
      </c>
      <c r="G2532" s="4" t="s">
        <v>607</v>
      </c>
      <c r="H2532" s="4" t="s">
        <v>607</v>
      </c>
      <c r="I2532" s="4" t="s">
        <v>607</v>
      </c>
      <c r="J2532" s="4" t="s">
        <v>607</v>
      </c>
      <c r="K2532" s="4" t="s">
        <v>607</v>
      </c>
      <c r="L2532" s="4" t="s">
        <v>607</v>
      </c>
      <c r="M2532" s="4" t="s">
        <v>607</v>
      </c>
      <c r="N2532" s="4" t="s">
        <v>607</v>
      </c>
      <c r="O2532" s="4"/>
      <c r="P2532" s="4"/>
      <c r="T2532" s="4"/>
    </row>
    <row r="2533">
      <c r="A2533" s="4" t="s">
        <v>5951</v>
      </c>
      <c r="B2533" s="4" t="s">
        <v>607</v>
      </c>
      <c r="C2533" s="6" t="s">
        <v>607</v>
      </c>
      <c r="D2533" s="6" t="s">
        <v>607</v>
      </c>
      <c r="E2533" s="6" t="s">
        <v>607</v>
      </c>
      <c r="F2533" s="6" t="s">
        <v>607</v>
      </c>
      <c r="G2533" s="4" t="s">
        <v>607</v>
      </c>
      <c r="H2533" s="4" t="s">
        <v>607</v>
      </c>
      <c r="I2533" s="4" t="s">
        <v>607</v>
      </c>
      <c r="J2533" s="4" t="s">
        <v>607</v>
      </c>
      <c r="K2533" s="4" t="s">
        <v>607</v>
      </c>
      <c r="L2533" s="4" t="s">
        <v>607</v>
      </c>
      <c r="M2533" s="4" t="s">
        <v>607</v>
      </c>
      <c r="N2533" s="4" t="s">
        <v>607</v>
      </c>
      <c r="O2533" s="4"/>
      <c r="P2533" s="4"/>
      <c r="T2533" s="4"/>
    </row>
    <row r="2534">
      <c r="A2534" s="4" t="s">
        <v>5952</v>
      </c>
      <c r="B2534" s="4" t="s">
        <v>607</v>
      </c>
      <c r="C2534" s="6" t="s">
        <v>607</v>
      </c>
      <c r="D2534" s="6" t="s">
        <v>607</v>
      </c>
      <c r="E2534" s="6" t="s">
        <v>607</v>
      </c>
      <c r="F2534" s="6" t="s">
        <v>607</v>
      </c>
      <c r="G2534" s="4" t="s">
        <v>607</v>
      </c>
      <c r="H2534" s="4" t="s">
        <v>607</v>
      </c>
      <c r="I2534" s="4" t="s">
        <v>607</v>
      </c>
      <c r="J2534" s="4" t="s">
        <v>607</v>
      </c>
      <c r="K2534" s="4" t="s">
        <v>607</v>
      </c>
      <c r="L2534" s="4" t="s">
        <v>607</v>
      </c>
      <c r="M2534" s="4" t="s">
        <v>607</v>
      </c>
      <c r="N2534" s="4" t="s">
        <v>607</v>
      </c>
      <c r="O2534" s="4"/>
      <c r="P2534" s="4"/>
      <c r="T2534" s="4"/>
    </row>
    <row r="2535">
      <c r="A2535" s="4" t="s">
        <v>5953</v>
      </c>
      <c r="B2535" s="4" t="s">
        <v>607</v>
      </c>
      <c r="C2535" s="6" t="s">
        <v>607</v>
      </c>
      <c r="D2535" s="6" t="s">
        <v>607</v>
      </c>
      <c r="E2535" s="6" t="s">
        <v>607</v>
      </c>
      <c r="F2535" s="6" t="s">
        <v>607</v>
      </c>
      <c r="G2535" s="4" t="s">
        <v>607</v>
      </c>
      <c r="H2535" s="4" t="s">
        <v>607</v>
      </c>
      <c r="I2535" s="4" t="s">
        <v>607</v>
      </c>
      <c r="J2535" s="4" t="s">
        <v>607</v>
      </c>
      <c r="K2535" s="4" t="s">
        <v>607</v>
      </c>
      <c r="L2535" s="4" t="s">
        <v>607</v>
      </c>
      <c r="M2535" s="4" t="s">
        <v>607</v>
      </c>
      <c r="N2535" s="4" t="s">
        <v>607</v>
      </c>
      <c r="O2535" s="4"/>
      <c r="P2535" s="4"/>
      <c r="T2535" s="4"/>
    </row>
    <row r="2536">
      <c r="A2536" s="4" t="s">
        <v>5955</v>
      </c>
      <c r="B2536" s="4" t="s">
        <v>607</v>
      </c>
      <c r="C2536" s="6" t="s">
        <v>607</v>
      </c>
      <c r="D2536" s="6" t="s">
        <v>607</v>
      </c>
      <c r="E2536" s="6" t="s">
        <v>607</v>
      </c>
      <c r="F2536" s="6" t="s">
        <v>607</v>
      </c>
      <c r="G2536" s="4" t="s">
        <v>607</v>
      </c>
      <c r="H2536" s="4" t="s">
        <v>607</v>
      </c>
      <c r="I2536" s="4" t="s">
        <v>607</v>
      </c>
      <c r="J2536" s="4" t="s">
        <v>607</v>
      </c>
      <c r="K2536" s="4" t="s">
        <v>607</v>
      </c>
      <c r="L2536" s="4" t="s">
        <v>607</v>
      </c>
      <c r="M2536" s="4" t="s">
        <v>607</v>
      </c>
      <c r="N2536" s="4" t="s">
        <v>607</v>
      </c>
      <c r="O2536" s="4"/>
      <c r="P2536" s="4"/>
      <c r="T2536" s="4"/>
    </row>
    <row r="2537">
      <c r="A2537" s="4" t="s">
        <v>5956</v>
      </c>
      <c r="B2537" s="4" t="s">
        <v>607</v>
      </c>
      <c r="C2537" s="6" t="s">
        <v>607</v>
      </c>
      <c r="D2537" s="6" t="s">
        <v>607</v>
      </c>
      <c r="E2537" s="6" t="s">
        <v>607</v>
      </c>
      <c r="F2537" s="6" t="s">
        <v>607</v>
      </c>
      <c r="G2537" s="4" t="s">
        <v>607</v>
      </c>
      <c r="H2537" s="4" t="s">
        <v>607</v>
      </c>
      <c r="I2537" s="4" t="s">
        <v>607</v>
      </c>
      <c r="J2537" s="4" t="s">
        <v>607</v>
      </c>
      <c r="K2537" s="4" t="s">
        <v>607</v>
      </c>
      <c r="L2537" s="4" t="s">
        <v>607</v>
      </c>
      <c r="M2537" s="4" t="s">
        <v>607</v>
      </c>
      <c r="N2537" s="4" t="s">
        <v>607</v>
      </c>
      <c r="O2537" s="4"/>
      <c r="P2537" s="4"/>
      <c r="T2537" s="4"/>
    </row>
    <row r="2538">
      <c r="A2538" s="4" t="s">
        <v>5957</v>
      </c>
      <c r="B2538" s="4" t="s">
        <v>607</v>
      </c>
      <c r="C2538" s="6" t="s">
        <v>607</v>
      </c>
      <c r="D2538" s="6" t="s">
        <v>607</v>
      </c>
      <c r="E2538" s="6" t="s">
        <v>607</v>
      </c>
      <c r="F2538" s="6" t="s">
        <v>607</v>
      </c>
      <c r="G2538" s="4" t="s">
        <v>607</v>
      </c>
      <c r="H2538" s="4" t="s">
        <v>607</v>
      </c>
      <c r="I2538" s="4" t="s">
        <v>607</v>
      </c>
      <c r="J2538" s="4" t="s">
        <v>607</v>
      </c>
      <c r="K2538" s="4" t="s">
        <v>607</v>
      </c>
      <c r="L2538" s="4" t="s">
        <v>607</v>
      </c>
      <c r="M2538" s="4" t="s">
        <v>607</v>
      </c>
      <c r="N2538" s="4" t="s">
        <v>607</v>
      </c>
      <c r="O2538" s="4"/>
      <c r="P2538" s="4"/>
      <c r="T2538" s="4"/>
    </row>
    <row r="2539">
      <c r="A2539" s="4" t="s">
        <v>5958</v>
      </c>
      <c r="B2539" s="4" t="s">
        <v>607</v>
      </c>
      <c r="C2539" s="6" t="s">
        <v>607</v>
      </c>
      <c r="D2539" s="6" t="s">
        <v>607</v>
      </c>
      <c r="E2539" s="6" t="s">
        <v>607</v>
      </c>
      <c r="F2539" s="6" t="s">
        <v>607</v>
      </c>
      <c r="G2539" s="4" t="s">
        <v>607</v>
      </c>
      <c r="H2539" s="4" t="s">
        <v>607</v>
      </c>
      <c r="I2539" s="4" t="s">
        <v>607</v>
      </c>
      <c r="J2539" s="4" t="s">
        <v>607</v>
      </c>
      <c r="K2539" s="4" t="s">
        <v>607</v>
      </c>
      <c r="L2539" s="4" t="s">
        <v>607</v>
      </c>
      <c r="M2539" s="4" t="s">
        <v>607</v>
      </c>
      <c r="N2539" s="4" t="s">
        <v>607</v>
      </c>
      <c r="O2539" s="4"/>
      <c r="P2539" s="4"/>
      <c r="T2539" s="4"/>
    </row>
    <row r="2540">
      <c r="A2540" s="4" t="s">
        <v>5961</v>
      </c>
      <c r="B2540" s="4" t="s">
        <v>607</v>
      </c>
      <c r="C2540" s="6" t="s">
        <v>607</v>
      </c>
      <c r="D2540" s="6" t="s">
        <v>607</v>
      </c>
      <c r="E2540" s="6" t="s">
        <v>607</v>
      </c>
      <c r="F2540" s="6" t="s">
        <v>607</v>
      </c>
      <c r="G2540" s="4" t="s">
        <v>607</v>
      </c>
      <c r="H2540" s="4" t="s">
        <v>607</v>
      </c>
      <c r="I2540" s="4" t="s">
        <v>607</v>
      </c>
      <c r="J2540" s="4" t="s">
        <v>607</v>
      </c>
      <c r="K2540" s="4" t="s">
        <v>607</v>
      </c>
      <c r="L2540" s="4" t="s">
        <v>607</v>
      </c>
      <c r="M2540" s="4" t="s">
        <v>607</v>
      </c>
      <c r="N2540" s="4" t="s">
        <v>607</v>
      </c>
      <c r="O2540" s="4"/>
      <c r="P2540" s="4"/>
      <c r="T2540" s="4"/>
    </row>
    <row r="2541">
      <c r="A2541" s="4" t="s">
        <v>5962</v>
      </c>
      <c r="B2541" s="4" t="s">
        <v>607</v>
      </c>
      <c r="C2541" s="6" t="s">
        <v>607</v>
      </c>
      <c r="D2541" s="6" t="s">
        <v>607</v>
      </c>
      <c r="E2541" s="6" t="s">
        <v>607</v>
      </c>
      <c r="F2541" s="6" t="s">
        <v>607</v>
      </c>
      <c r="G2541" s="4" t="s">
        <v>607</v>
      </c>
      <c r="H2541" s="4" t="s">
        <v>607</v>
      </c>
      <c r="I2541" s="4" t="s">
        <v>607</v>
      </c>
      <c r="J2541" s="4" t="s">
        <v>607</v>
      </c>
      <c r="K2541" s="4" t="s">
        <v>607</v>
      </c>
      <c r="L2541" s="4" t="s">
        <v>607</v>
      </c>
      <c r="M2541" s="4" t="s">
        <v>607</v>
      </c>
      <c r="N2541" s="4" t="s">
        <v>607</v>
      </c>
      <c r="O2541" s="4"/>
      <c r="P2541" s="4"/>
      <c r="T2541" s="4"/>
    </row>
    <row r="2542">
      <c r="A2542" s="4" t="s">
        <v>5964</v>
      </c>
      <c r="B2542" s="4" t="s">
        <v>607</v>
      </c>
      <c r="C2542" s="6" t="s">
        <v>607</v>
      </c>
      <c r="D2542" s="6" t="s">
        <v>607</v>
      </c>
      <c r="E2542" s="6" t="s">
        <v>607</v>
      </c>
      <c r="F2542" s="6" t="s">
        <v>607</v>
      </c>
      <c r="G2542" s="4" t="s">
        <v>607</v>
      </c>
      <c r="H2542" s="4" t="s">
        <v>607</v>
      </c>
      <c r="I2542" s="4" t="s">
        <v>607</v>
      </c>
      <c r="J2542" s="4" t="s">
        <v>607</v>
      </c>
      <c r="K2542" s="4" t="s">
        <v>607</v>
      </c>
      <c r="L2542" s="4" t="s">
        <v>607</v>
      </c>
      <c r="M2542" s="4" t="s">
        <v>607</v>
      </c>
      <c r="N2542" s="4" t="s">
        <v>607</v>
      </c>
      <c r="O2542" s="4"/>
      <c r="P2542" s="4"/>
      <c r="T2542" s="4"/>
    </row>
    <row r="2543">
      <c r="A2543" s="4" t="s">
        <v>5965</v>
      </c>
      <c r="B2543" s="4" t="s">
        <v>607</v>
      </c>
      <c r="C2543" s="6" t="s">
        <v>607</v>
      </c>
      <c r="D2543" s="6" t="s">
        <v>607</v>
      </c>
      <c r="E2543" s="6" t="s">
        <v>607</v>
      </c>
      <c r="F2543" s="6" t="s">
        <v>607</v>
      </c>
      <c r="G2543" s="4" t="s">
        <v>607</v>
      </c>
      <c r="H2543" s="4" t="s">
        <v>607</v>
      </c>
      <c r="I2543" s="4" t="s">
        <v>607</v>
      </c>
      <c r="J2543" s="4" t="s">
        <v>607</v>
      </c>
      <c r="K2543" s="4" t="s">
        <v>607</v>
      </c>
      <c r="L2543" s="4" t="s">
        <v>607</v>
      </c>
      <c r="M2543" s="4" t="s">
        <v>607</v>
      </c>
      <c r="N2543" s="4" t="s">
        <v>607</v>
      </c>
      <c r="O2543" s="4"/>
      <c r="P2543" s="4"/>
      <c r="T2543" s="4"/>
    </row>
    <row r="2544">
      <c r="A2544" s="4" t="s">
        <v>5967</v>
      </c>
      <c r="B2544" s="4" t="s">
        <v>607</v>
      </c>
      <c r="C2544" s="6" t="s">
        <v>607</v>
      </c>
      <c r="D2544" s="6" t="s">
        <v>607</v>
      </c>
      <c r="E2544" s="6" t="s">
        <v>607</v>
      </c>
      <c r="F2544" s="6" t="s">
        <v>607</v>
      </c>
      <c r="G2544" s="4" t="s">
        <v>607</v>
      </c>
      <c r="H2544" s="4" t="s">
        <v>607</v>
      </c>
      <c r="I2544" s="4" t="s">
        <v>607</v>
      </c>
      <c r="J2544" s="4" t="s">
        <v>607</v>
      </c>
      <c r="K2544" s="4" t="s">
        <v>607</v>
      </c>
      <c r="L2544" s="4" t="s">
        <v>607</v>
      </c>
      <c r="M2544" s="4" t="s">
        <v>607</v>
      </c>
      <c r="N2544" s="4" t="s">
        <v>607</v>
      </c>
      <c r="O2544" s="4"/>
      <c r="P2544" s="4"/>
      <c r="T2544" s="4"/>
    </row>
    <row r="2545">
      <c r="A2545" s="4" t="s">
        <v>5970</v>
      </c>
      <c r="B2545" s="4" t="s">
        <v>607</v>
      </c>
      <c r="C2545" s="6" t="s">
        <v>607</v>
      </c>
      <c r="D2545" s="6" t="s">
        <v>607</v>
      </c>
      <c r="E2545" s="6" t="s">
        <v>607</v>
      </c>
      <c r="F2545" s="6" t="s">
        <v>607</v>
      </c>
      <c r="G2545" s="4" t="s">
        <v>607</v>
      </c>
      <c r="H2545" s="4" t="s">
        <v>607</v>
      </c>
      <c r="I2545" s="4" t="s">
        <v>607</v>
      </c>
      <c r="J2545" s="4" t="s">
        <v>607</v>
      </c>
      <c r="K2545" s="4" t="s">
        <v>607</v>
      </c>
      <c r="L2545" s="4" t="s">
        <v>607</v>
      </c>
      <c r="M2545" s="4" t="s">
        <v>607</v>
      </c>
      <c r="N2545" s="4" t="s">
        <v>607</v>
      </c>
      <c r="O2545" s="4"/>
      <c r="P2545" s="4"/>
      <c r="T2545" s="4"/>
    </row>
    <row r="2546">
      <c r="A2546" s="4" t="s">
        <v>5971</v>
      </c>
      <c r="B2546" s="4" t="s">
        <v>607</v>
      </c>
      <c r="C2546" s="6" t="s">
        <v>607</v>
      </c>
      <c r="D2546" s="6" t="s">
        <v>607</v>
      </c>
      <c r="E2546" s="6" t="s">
        <v>607</v>
      </c>
      <c r="F2546" s="6" t="s">
        <v>607</v>
      </c>
      <c r="G2546" s="4" t="s">
        <v>607</v>
      </c>
      <c r="H2546" s="4" t="s">
        <v>607</v>
      </c>
      <c r="I2546" s="4" t="s">
        <v>607</v>
      </c>
      <c r="J2546" s="4" t="s">
        <v>607</v>
      </c>
      <c r="K2546" s="4" t="s">
        <v>607</v>
      </c>
      <c r="L2546" s="4" t="s">
        <v>607</v>
      </c>
      <c r="M2546" s="4" t="s">
        <v>607</v>
      </c>
      <c r="N2546" s="4" t="s">
        <v>607</v>
      </c>
      <c r="O2546" s="4"/>
      <c r="P2546" s="4"/>
      <c r="T2546" s="4"/>
    </row>
    <row r="2547">
      <c r="A2547" s="4" t="s">
        <v>5974</v>
      </c>
      <c r="B2547" s="4" t="s">
        <v>607</v>
      </c>
      <c r="C2547" s="6" t="s">
        <v>607</v>
      </c>
      <c r="D2547" s="6" t="s">
        <v>607</v>
      </c>
      <c r="E2547" s="6" t="s">
        <v>607</v>
      </c>
      <c r="F2547" s="6" t="s">
        <v>607</v>
      </c>
      <c r="G2547" s="4" t="s">
        <v>607</v>
      </c>
      <c r="H2547" s="4" t="s">
        <v>607</v>
      </c>
      <c r="I2547" s="4" t="s">
        <v>607</v>
      </c>
      <c r="J2547" s="4" t="s">
        <v>607</v>
      </c>
      <c r="K2547" s="4" t="s">
        <v>607</v>
      </c>
      <c r="L2547" s="4" t="s">
        <v>607</v>
      </c>
      <c r="M2547" s="4" t="s">
        <v>607</v>
      </c>
      <c r="N2547" s="4" t="s">
        <v>607</v>
      </c>
      <c r="O2547" s="4"/>
      <c r="P2547" s="4"/>
      <c r="T2547" s="4"/>
    </row>
    <row r="2548">
      <c r="A2548" s="4" t="s">
        <v>5975</v>
      </c>
      <c r="B2548" s="4" t="s">
        <v>607</v>
      </c>
      <c r="C2548" s="6" t="s">
        <v>607</v>
      </c>
      <c r="D2548" s="6" t="s">
        <v>607</v>
      </c>
      <c r="E2548" s="6" t="s">
        <v>607</v>
      </c>
      <c r="F2548" s="6" t="s">
        <v>607</v>
      </c>
      <c r="G2548" s="4" t="s">
        <v>607</v>
      </c>
      <c r="H2548" s="4" t="s">
        <v>607</v>
      </c>
      <c r="I2548" s="4" t="s">
        <v>607</v>
      </c>
      <c r="J2548" s="4" t="s">
        <v>607</v>
      </c>
      <c r="K2548" s="4" t="s">
        <v>607</v>
      </c>
      <c r="L2548" s="4" t="s">
        <v>607</v>
      </c>
      <c r="M2548" s="4" t="s">
        <v>607</v>
      </c>
      <c r="N2548" s="4" t="s">
        <v>607</v>
      </c>
      <c r="O2548" s="4"/>
      <c r="P2548" s="4"/>
      <c r="T2548" s="4"/>
    </row>
    <row r="2549">
      <c r="A2549" s="4" t="s">
        <v>5979</v>
      </c>
      <c r="B2549" s="4" t="s">
        <v>607</v>
      </c>
      <c r="C2549" s="6" t="s">
        <v>607</v>
      </c>
      <c r="D2549" s="6" t="s">
        <v>607</v>
      </c>
      <c r="E2549" s="6" t="s">
        <v>607</v>
      </c>
      <c r="F2549" s="6" t="s">
        <v>607</v>
      </c>
      <c r="G2549" s="4" t="s">
        <v>607</v>
      </c>
      <c r="H2549" s="4" t="s">
        <v>607</v>
      </c>
      <c r="I2549" s="4" t="s">
        <v>607</v>
      </c>
      <c r="J2549" s="4" t="s">
        <v>607</v>
      </c>
      <c r="K2549" s="4" t="s">
        <v>607</v>
      </c>
      <c r="L2549" s="4" t="s">
        <v>607</v>
      </c>
      <c r="M2549" s="4" t="s">
        <v>607</v>
      </c>
      <c r="N2549" s="4" t="s">
        <v>607</v>
      </c>
      <c r="O2549" s="4"/>
      <c r="P2549" s="4"/>
      <c r="T2549" s="4"/>
    </row>
    <row r="2550">
      <c r="A2550" s="4" t="s">
        <v>5980</v>
      </c>
      <c r="B2550" s="4" t="s">
        <v>607</v>
      </c>
      <c r="C2550" s="6" t="s">
        <v>607</v>
      </c>
      <c r="D2550" s="6" t="s">
        <v>607</v>
      </c>
      <c r="E2550" s="6" t="s">
        <v>607</v>
      </c>
      <c r="F2550" s="6" t="s">
        <v>607</v>
      </c>
      <c r="G2550" s="4" t="s">
        <v>607</v>
      </c>
      <c r="H2550" s="4" t="s">
        <v>607</v>
      </c>
      <c r="I2550" s="4" t="s">
        <v>607</v>
      </c>
      <c r="J2550" s="4" t="s">
        <v>607</v>
      </c>
      <c r="K2550" s="4" t="s">
        <v>607</v>
      </c>
      <c r="L2550" s="4" t="s">
        <v>607</v>
      </c>
      <c r="M2550" s="4" t="s">
        <v>607</v>
      </c>
      <c r="N2550" s="4" t="s">
        <v>607</v>
      </c>
      <c r="O2550" s="4"/>
      <c r="P2550" s="4"/>
      <c r="T2550" s="4"/>
    </row>
    <row r="2551">
      <c r="A2551" s="4" t="s">
        <v>5981</v>
      </c>
      <c r="B2551" s="4" t="s">
        <v>607</v>
      </c>
      <c r="C2551" s="6" t="s">
        <v>607</v>
      </c>
      <c r="D2551" s="6" t="s">
        <v>607</v>
      </c>
      <c r="E2551" s="6" t="s">
        <v>607</v>
      </c>
      <c r="F2551" s="6" t="s">
        <v>607</v>
      </c>
      <c r="G2551" s="4" t="s">
        <v>607</v>
      </c>
      <c r="H2551" s="4" t="s">
        <v>607</v>
      </c>
      <c r="I2551" s="4" t="s">
        <v>607</v>
      </c>
      <c r="J2551" s="4" t="s">
        <v>607</v>
      </c>
      <c r="K2551" s="4" t="s">
        <v>607</v>
      </c>
      <c r="L2551" s="4" t="s">
        <v>607</v>
      </c>
      <c r="M2551" s="4" t="s">
        <v>607</v>
      </c>
      <c r="N2551" s="4" t="s">
        <v>607</v>
      </c>
      <c r="O2551" s="4"/>
      <c r="P2551" s="4"/>
      <c r="T2551" s="4"/>
    </row>
    <row r="2552">
      <c r="A2552" s="4" t="s">
        <v>5982</v>
      </c>
      <c r="B2552" s="4" t="s">
        <v>607</v>
      </c>
      <c r="C2552" s="6" t="s">
        <v>607</v>
      </c>
      <c r="D2552" s="6" t="s">
        <v>607</v>
      </c>
      <c r="E2552" s="6" t="s">
        <v>607</v>
      </c>
      <c r="F2552" s="6" t="s">
        <v>607</v>
      </c>
      <c r="G2552" s="4" t="s">
        <v>607</v>
      </c>
      <c r="H2552" s="4" t="s">
        <v>607</v>
      </c>
      <c r="I2552" s="4" t="s">
        <v>607</v>
      </c>
      <c r="J2552" s="4" t="s">
        <v>607</v>
      </c>
      <c r="K2552" s="4" t="s">
        <v>607</v>
      </c>
      <c r="L2552" s="4" t="s">
        <v>607</v>
      </c>
      <c r="M2552" s="4" t="s">
        <v>607</v>
      </c>
      <c r="N2552" s="4" t="s">
        <v>607</v>
      </c>
      <c r="O2552" s="4"/>
      <c r="P2552" s="4"/>
      <c r="T2552" s="4"/>
    </row>
    <row r="2553">
      <c r="A2553" s="4" t="s">
        <v>5984</v>
      </c>
      <c r="B2553" s="4" t="s">
        <v>607</v>
      </c>
      <c r="C2553" s="6" t="s">
        <v>607</v>
      </c>
      <c r="D2553" s="6" t="s">
        <v>607</v>
      </c>
      <c r="E2553" s="6" t="s">
        <v>607</v>
      </c>
      <c r="F2553" s="6" t="s">
        <v>607</v>
      </c>
      <c r="G2553" s="4" t="s">
        <v>607</v>
      </c>
      <c r="H2553" s="4" t="s">
        <v>607</v>
      </c>
      <c r="I2553" s="4" t="s">
        <v>607</v>
      </c>
      <c r="J2553" s="4" t="s">
        <v>607</v>
      </c>
      <c r="K2553" s="4" t="s">
        <v>607</v>
      </c>
      <c r="L2553" s="4" t="s">
        <v>607</v>
      </c>
      <c r="M2553" s="4" t="s">
        <v>607</v>
      </c>
      <c r="N2553" s="4" t="s">
        <v>607</v>
      </c>
      <c r="O2553" s="4"/>
      <c r="P2553" s="4"/>
      <c r="T2553" s="4"/>
    </row>
    <row r="2554">
      <c r="A2554" s="4" t="s">
        <v>5985</v>
      </c>
      <c r="B2554" s="4" t="s">
        <v>607</v>
      </c>
      <c r="C2554" s="6" t="s">
        <v>607</v>
      </c>
      <c r="D2554" s="6" t="s">
        <v>607</v>
      </c>
      <c r="E2554" s="6" t="s">
        <v>607</v>
      </c>
      <c r="F2554" s="6" t="s">
        <v>607</v>
      </c>
      <c r="G2554" s="4" t="s">
        <v>607</v>
      </c>
      <c r="H2554" s="4" t="s">
        <v>607</v>
      </c>
      <c r="I2554" s="4" t="s">
        <v>607</v>
      </c>
      <c r="J2554" s="4" t="s">
        <v>607</v>
      </c>
      <c r="K2554" s="4" t="s">
        <v>607</v>
      </c>
      <c r="L2554" s="4" t="s">
        <v>607</v>
      </c>
      <c r="M2554" s="4" t="s">
        <v>607</v>
      </c>
      <c r="N2554" s="4" t="s">
        <v>607</v>
      </c>
      <c r="O2554" s="4"/>
      <c r="P2554" s="4"/>
      <c r="T2554" s="4"/>
    </row>
    <row r="2555">
      <c r="A2555" s="4" t="s">
        <v>5986</v>
      </c>
      <c r="B2555" s="4" t="s">
        <v>607</v>
      </c>
      <c r="C2555" s="6" t="s">
        <v>607</v>
      </c>
      <c r="D2555" s="6" t="s">
        <v>607</v>
      </c>
      <c r="E2555" s="6" t="s">
        <v>607</v>
      </c>
      <c r="F2555" s="6" t="s">
        <v>607</v>
      </c>
      <c r="G2555" s="4" t="s">
        <v>607</v>
      </c>
      <c r="H2555" s="4" t="s">
        <v>607</v>
      </c>
      <c r="I2555" s="4" t="s">
        <v>607</v>
      </c>
      <c r="J2555" s="4" t="s">
        <v>607</v>
      </c>
      <c r="K2555" s="4" t="s">
        <v>607</v>
      </c>
      <c r="L2555" s="4" t="s">
        <v>607</v>
      </c>
      <c r="M2555" s="4" t="s">
        <v>607</v>
      </c>
      <c r="N2555" s="4" t="s">
        <v>607</v>
      </c>
      <c r="O2555" s="4"/>
      <c r="P2555" s="4"/>
      <c r="T2555" s="4"/>
    </row>
    <row r="2556">
      <c r="A2556" s="4" t="s">
        <v>5989</v>
      </c>
      <c r="B2556" s="4" t="s">
        <v>607</v>
      </c>
      <c r="C2556" s="6" t="s">
        <v>607</v>
      </c>
      <c r="D2556" s="6" t="s">
        <v>607</v>
      </c>
      <c r="E2556" s="6" t="s">
        <v>607</v>
      </c>
      <c r="F2556" s="6" t="s">
        <v>607</v>
      </c>
      <c r="G2556" s="4" t="s">
        <v>607</v>
      </c>
      <c r="H2556" s="4" t="s">
        <v>607</v>
      </c>
      <c r="I2556" s="4" t="s">
        <v>607</v>
      </c>
      <c r="J2556" s="4" t="s">
        <v>607</v>
      </c>
      <c r="K2556" s="4" t="s">
        <v>607</v>
      </c>
      <c r="L2556" s="4" t="s">
        <v>607</v>
      </c>
      <c r="M2556" s="4" t="s">
        <v>607</v>
      </c>
      <c r="N2556" s="4" t="s">
        <v>607</v>
      </c>
      <c r="O2556" s="4"/>
      <c r="P2556" s="4"/>
      <c r="T2556" s="4"/>
    </row>
    <row r="2557">
      <c r="A2557" s="4" t="s">
        <v>5990</v>
      </c>
      <c r="B2557" s="4" t="s">
        <v>607</v>
      </c>
      <c r="C2557" s="6" t="s">
        <v>607</v>
      </c>
      <c r="D2557" s="6" t="s">
        <v>607</v>
      </c>
      <c r="E2557" s="6" t="s">
        <v>607</v>
      </c>
      <c r="F2557" s="6" t="s">
        <v>607</v>
      </c>
      <c r="G2557" s="4" t="s">
        <v>607</v>
      </c>
      <c r="H2557" s="4" t="s">
        <v>607</v>
      </c>
      <c r="I2557" s="4" t="s">
        <v>607</v>
      </c>
      <c r="J2557" s="4" t="s">
        <v>607</v>
      </c>
      <c r="K2557" s="4" t="s">
        <v>607</v>
      </c>
      <c r="L2557" s="4" t="s">
        <v>607</v>
      </c>
      <c r="M2557" s="4" t="s">
        <v>607</v>
      </c>
      <c r="N2557" s="4" t="s">
        <v>607</v>
      </c>
      <c r="O2557" s="4"/>
      <c r="P2557" s="4"/>
      <c r="T2557" s="4"/>
    </row>
    <row r="2558">
      <c r="A2558" s="4" t="s">
        <v>5991</v>
      </c>
      <c r="B2558" s="4" t="s">
        <v>607</v>
      </c>
      <c r="C2558" s="6" t="s">
        <v>607</v>
      </c>
      <c r="D2558" s="6" t="s">
        <v>607</v>
      </c>
      <c r="E2558" s="6" t="s">
        <v>607</v>
      </c>
      <c r="F2558" s="6" t="s">
        <v>607</v>
      </c>
      <c r="G2558" s="4" t="s">
        <v>607</v>
      </c>
      <c r="H2558" s="4" t="s">
        <v>607</v>
      </c>
      <c r="I2558" s="4" t="s">
        <v>607</v>
      </c>
      <c r="J2558" s="4" t="s">
        <v>607</v>
      </c>
      <c r="K2558" s="4" t="s">
        <v>607</v>
      </c>
      <c r="L2558" s="4" t="s">
        <v>607</v>
      </c>
      <c r="M2558" s="4" t="s">
        <v>607</v>
      </c>
      <c r="N2558" s="4" t="s">
        <v>607</v>
      </c>
      <c r="O2558" s="4"/>
      <c r="P2558" s="4"/>
      <c r="T2558" s="4"/>
    </row>
    <row r="2559">
      <c r="A2559" s="4" t="s">
        <v>5992</v>
      </c>
      <c r="B2559" s="4" t="s">
        <v>607</v>
      </c>
      <c r="C2559" s="6" t="s">
        <v>607</v>
      </c>
      <c r="D2559" s="6" t="s">
        <v>607</v>
      </c>
      <c r="E2559" s="6" t="s">
        <v>607</v>
      </c>
      <c r="F2559" s="6" t="s">
        <v>607</v>
      </c>
      <c r="G2559" s="4" t="s">
        <v>607</v>
      </c>
      <c r="H2559" s="4" t="s">
        <v>607</v>
      </c>
      <c r="I2559" s="4" t="s">
        <v>607</v>
      </c>
      <c r="J2559" s="4" t="s">
        <v>607</v>
      </c>
      <c r="K2559" s="4" t="s">
        <v>607</v>
      </c>
      <c r="L2559" s="4" t="s">
        <v>607</v>
      </c>
      <c r="M2559" s="4" t="s">
        <v>607</v>
      </c>
      <c r="N2559" s="4" t="s">
        <v>607</v>
      </c>
      <c r="O2559" s="4"/>
      <c r="P2559" s="4"/>
      <c r="T2559" s="4"/>
    </row>
    <row r="2560">
      <c r="A2560" s="4" t="s">
        <v>5993</v>
      </c>
      <c r="B2560" s="4" t="s">
        <v>607</v>
      </c>
      <c r="C2560" s="6" t="s">
        <v>607</v>
      </c>
      <c r="D2560" s="6" t="s">
        <v>607</v>
      </c>
      <c r="E2560" s="6" t="s">
        <v>607</v>
      </c>
      <c r="F2560" s="6" t="s">
        <v>607</v>
      </c>
      <c r="G2560" s="4" t="s">
        <v>607</v>
      </c>
      <c r="H2560" s="4" t="s">
        <v>607</v>
      </c>
      <c r="I2560" s="4" t="s">
        <v>607</v>
      </c>
      <c r="J2560" s="4" t="s">
        <v>607</v>
      </c>
      <c r="K2560" s="4" t="s">
        <v>607</v>
      </c>
      <c r="L2560" s="4" t="s">
        <v>607</v>
      </c>
      <c r="M2560" s="4" t="s">
        <v>607</v>
      </c>
      <c r="N2560" s="4" t="s">
        <v>607</v>
      </c>
      <c r="O2560" s="4"/>
      <c r="P2560" s="4"/>
      <c r="T2560" s="4"/>
    </row>
    <row r="2561">
      <c r="A2561" s="4" t="s">
        <v>5994</v>
      </c>
      <c r="B2561" s="4" t="s">
        <v>607</v>
      </c>
      <c r="C2561" s="6" t="s">
        <v>607</v>
      </c>
      <c r="D2561" s="6" t="s">
        <v>607</v>
      </c>
      <c r="E2561" s="6" t="s">
        <v>607</v>
      </c>
      <c r="F2561" s="6" t="s">
        <v>607</v>
      </c>
      <c r="G2561" s="4" t="s">
        <v>607</v>
      </c>
      <c r="H2561" s="4" t="s">
        <v>607</v>
      </c>
      <c r="I2561" s="4" t="s">
        <v>607</v>
      </c>
      <c r="J2561" s="4" t="s">
        <v>607</v>
      </c>
      <c r="K2561" s="4" t="s">
        <v>607</v>
      </c>
      <c r="L2561" s="4" t="s">
        <v>607</v>
      </c>
      <c r="M2561" s="4" t="s">
        <v>607</v>
      </c>
      <c r="N2561" s="4" t="s">
        <v>607</v>
      </c>
      <c r="O2561" s="4"/>
      <c r="P2561" s="4"/>
      <c r="T2561" s="4"/>
    </row>
    <row r="2562">
      <c r="A2562" s="4" t="s">
        <v>5995</v>
      </c>
      <c r="B2562" s="4" t="s">
        <v>607</v>
      </c>
      <c r="C2562" s="6" t="s">
        <v>607</v>
      </c>
      <c r="D2562" s="6" t="s">
        <v>607</v>
      </c>
      <c r="E2562" s="6" t="s">
        <v>607</v>
      </c>
      <c r="F2562" s="6" t="s">
        <v>607</v>
      </c>
      <c r="G2562" s="4" t="s">
        <v>607</v>
      </c>
      <c r="H2562" s="4" t="s">
        <v>607</v>
      </c>
      <c r="I2562" s="4" t="s">
        <v>607</v>
      </c>
      <c r="J2562" s="4" t="s">
        <v>607</v>
      </c>
      <c r="K2562" s="4" t="s">
        <v>607</v>
      </c>
      <c r="L2562" s="4" t="s">
        <v>607</v>
      </c>
      <c r="M2562" s="4" t="s">
        <v>607</v>
      </c>
      <c r="N2562" s="4" t="s">
        <v>607</v>
      </c>
      <c r="O2562" s="4"/>
      <c r="P2562" s="4"/>
      <c r="T2562" s="4"/>
    </row>
    <row r="2563">
      <c r="A2563" s="4" t="s">
        <v>5997</v>
      </c>
      <c r="B2563" s="4" t="s">
        <v>607</v>
      </c>
      <c r="C2563" s="6" t="s">
        <v>607</v>
      </c>
      <c r="D2563" s="6" t="s">
        <v>607</v>
      </c>
      <c r="E2563" s="6" t="s">
        <v>607</v>
      </c>
      <c r="F2563" s="6" t="s">
        <v>607</v>
      </c>
      <c r="G2563" s="4" t="s">
        <v>607</v>
      </c>
      <c r="H2563" s="4" t="s">
        <v>607</v>
      </c>
      <c r="I2563" s="4" t="s">
        <v>607</v>
      </c>
      <c r="J2563" s="4" t="s">
        <v>607</v>
      </c>
      <c r="K2563" s="4" t="s">
        <v>607</v>
      </c>
      <c r="L2563" s="4" t="s">
        <v>607</v>
      </c>
      <c r="M2563" s="4" t="s">
        <v>607</v>
      </c>
      <c r="N2563" s="4" t="s">
        <v>607</v>
      </c>
      <c r="O2563" s="4"/>
      <c r="P2563" s="4"/>
      <c r="T2563" s="4"/>
    </row>
    <row r="2564">
      <c r="A2564" s="4" t="s">
        <v>6000</v>
      </c>
      <c r="B2564" s="4" t="s">
        <v>607</v>
      </c>
      <c r="C2564" s="6" t="s">
        <v>607</v>
      </c>
      <c r="D2564" s="6" t="s">
        <v>607</v>
      </c>
      <c r="E2564" s="6" t="s">
        <v>607</v>
      </c>
      <c r="F2564" s="6" t="s">
        <v>607</v>
      </c>
      <c r="G2564" s="4" t="s">
        <v>607</v>
      </c>
      <c r="H2564" s="4" t="s">
        <v>607</v>
      </c>
      <c r="I2564" s="4" t="s">
        <v>607</v>
      </c>
      <c r="J2564" s="4" t="s">
        <v>607</v>
      </c>
      <c r="K2564" s="4" t="s">
        <v>607</v>
      </c>
      <c r="L2564" s="4" t="s">
        <v>607</v>
      </c>
      <c r="M2564" s="4" t="s">
        <v>607</v>
      </c>
      <c r="N2564" s="4" t="s">
        <v>607</v>
      </c>
      <c r="O2564" s="4"/>
      <c r="P2564" s="4"/>
      <c r="T2564" s="4"/>
    </row>
    <row r="2565">
      <c r="A2565" s="4" t="s">
        <v>6001</v>
      </c>
      <c r="B2565" s="4" t="s">
        <v>607</v>
      </c>
      <c r="C2565" s="6" t="s">
        <v>607</v>
      </c>
      <c r="D2565" s="6" t="s">
        <v>607</v>
      </c>
      <c r="E2565" s="6" t="s">
        <v>607</v>
      </c>
      <c r="F2565" s="6" t="s">
        <v>607</v>
      </c>
      <c r="G2565" s="4" t="s">
        <v>607</v>
      </c>
      <c r="H2565" s="4" t="s">
        <v>607</v>
      </c>
      <c r="I2565" s="4" t="s">
        <v>607</v>
      </c>
      <c r="J2565" s="4" t="s">
        <v>607</v>
      </c>
      <c r="K2565" s="4" t="s">
        <v>607</v>
      </c>
      <c r="L2565" s="4" t="s">
        <v>607</v>
      </c>
      <c r="M2565" s="4" t="s">
        <v>607</v>
      </c>
      <c r="N2565" s="4" t="s">
        <v>607</v>
      </c>
      <c r="O2565" s="4"/>
      <c r="P2565" s="4"/>
      <c r="T2565" s="4"/>
    </row>
    <row r="2566">
      <c r="A2566" s="4" t="s">
        <v>6002</v>
      </c>
      <c r="B2566" s="4" t="s">
        <v>607</v>
      </c>
      <c r="C2566" s="6" t="s">
        <v>607</v>
      </c>
      <c r="D2566" s="6" t="s">
        <v>607</v>
      </c>
      <c r="E2566" s="6" t="s">
        <v>607</v>
      </c>
      <c r="F2566" s="6" t="s">
        <v>607</v>
      </c>
      <c r="G2566" s="4" t="s">
        <v>607</v>
      </c>
      <c r="H2566" s="4" t="s">
        <v>607</v>
      </c>
      <c r="I2566" s="4" t="s">
        <v>607</v>
      </c>
      <c r="J2566" s="4" t="s">
        <v>607</v>
      </c>
      <c r="K2566" s="4" t="s">
        <v>607</v>
      </c>
      <c r="L2566" s="4" t="s">
        <v>607</v>
      </c>
      <c r="M2566" s="4" t="s">
        <v>607</v>
      </c>
      <c r="N2566" s="4" t="s">
        <v>607</v>
      </c>
      <c r="O2566" s="4"/>
      <c r="P2566" s="4"/>
      <c r="T2566" s="4"/>
    </row>
    <row r="2567">
      <c r="A2567" s="4" t="s">
        <v>6003</v>
      </c>
      <c r="B2567" s="4" t="s">
        <v>607</v>
      </c>
      <c r="C2567" s="6" t="s">
        <v>607</v>
      </c>
      <c r="D2567" s="6" t="s">
        <v>607</v>
      </c>
      <c r="E2567" s="6" t="s">
        <v>607</v>
      </c>
      <c r="F2567" s="6" t="s">
        <v>607</v>
      </c>
      <c r="G2567" s="4" t="s">
        <v>607</v>
      </c>
      <c r="H2567" s="4" t="s">
        <v>607</v>
      </c>
      <c r="I2567" s="4" t="s">
        <v>607</v>
      </c>
      <c r="J2567" s="4" t="s">
        <v>607</v>
      </c>
      <c r="K2567" s="4" t="s">
        <v>607</v>
      </c>
      <c r="L2567" s="4" t="s">
        <v>607</v>
      </c>
      <c r="M2567" s="4" t="s">
        <v>607</v>
      </c>
      <c r="N2567" s="4" t="s">
        <v>607</v>
      </c>
      <c r="O2567" s="4"/>
      <c r="P2567" s="4"/>
      <c r="T2567" s="4"/>
    </row>
    <row r="2568">
      <c r="A2568" s="4" t="s">
        <v>6004</v>
      </c>
      <c r="B2568" s="4" t="s">
        <v>607</v>
      </c>
      <c r="C2568" s="6" t="s">
        <v>607</v>
      </c>
      <c r="D2568" s="6" t="s">
        <v>607</v>
      </c>
      <c r="E2568" s="6" t="s">
        <v>607</v>
      </c>
      <c r="F2568" s="6" t="s">
        <v>607</v>
      </c>
      <c r="G2568" s="4" t="s">
        <v>607</v>
      </c>
      <c r="H2568" s="4" t="s">
        <v>607</v>
      </c>
      <c r="I2568" s="4" t="s">
        <v>607</v>
      </c>
      <c r="J2568" s="4" t="s">
        <v>607</v>
      </c>
      <c r="K2568" s="4" t="s">
        <v>607</v>
      </c>
      <c r="L2568" s="4" t="s">
        <v>607</v>
      </c>
      <c r="M2568" s="4" t="s">
        <v>607</v>
      </c>
      <c r="N2568" s="4" t="s">
        <v>607</v>
      </c>
      <c r="O2568" s="4"/>
      <c r="P2568" s="4"/>
      <c r="T2568" s="4"/>
    </row>
    <row r="2569">
      <c r="A2569" s="4" t="s">
        <v>6006</v>
      </c>
      <c r="B2569" s="4" t="s">
        <v>607</v>
      </c>
      <c r="C2569" s="6" t="s">
        <v>607</v>
      </c>
      <c r="D2569" s="6" t="s">
        <v>607</v>
      </c>
      <c r="E2569" s="6" t="s">
        <v>607</v>
      </c>
      <c r="F2569" s="6" t="s">
        <v>607</v>
      </c>
      <c r="G2569" s="4" t="s">
        <v>607</v>
      </c>
      <c r="H2569" s="4" t="s">
        <v>607</v>
      </c>
      <c r="I2569" s="4" t="s">
        <v>607</v>
      </c>
      <c r="J2569" s="4" t="s">
        <v>607</v>
      </c>
      <c r="K2569" s="4" t="s">
        <v>607</v>
      </c>
      <c r="L2569" s="4" t="s">
        <v>607</v>
      </c>
      <c r="M2569" s="4" t="s">
        <v>607</v>
      </c>
      <c r="N2569" s="4" t="s">
        <v>607</v>
      </c>
      <c r="O2569" s="4"/>
      <c r="P2569" s="4"/>
      <c r="T2569" s="4"/>
    </row>
    <row r="2570">
      <c r="A2570" s="4" t="s">
        <v>6007</v>
      </c>
      <c r="B2570" s="4" t="s">
        <v>607</v>
      </c>
      <c r="C2570" s="6" t="s">
        <v>607</v>
      </c>
      <c r="D2570" s="6" t="s">
        <v>607</v>
      </c>
      <c r="E2570" s="6" t="s">
        <v>607</v>
      </c>
      <c r="F2570" s="6" t="s">
        <v>607</v>
      </c>
      <c r="G2570" s="4" t="s">
        <v>607</v>
      </c>
      <c r="H2570" s="4" t="s">
        <v>607</v>
      </c>
      <c r="I2570" s="4" t="s">
        <v>607</v>
      </c>
      <c r="J2570" s="4" t="s">
        <v>607</v>
      </c>
      <c r="K2570" s="4" t="s">
        <v>607</v>
      </c>
      <c r="L2570" s="4" t="s">
        <v>607</v>
      </c>
      <c r="M2570" s="4" t="s">
        <v>607</v>
      </c>
      <c r="N2570" s="4" t="s">
        <v>607</v>
      </c>
      <c r="O2570" s="4"/>
      <c r="P2570" s="4"/>
      <c r="T2570" s="4"/>
    </row>
    <row r="2571">
      <c r="A2571" s="4" t="s">
        <v>6008</v>
      </c>
      <c r="B2571" s="4" t="s">
        <v>607</v>
      </c>
      <c r="C2571" s="6" t="s">
        <v>607</v>
      </c>
      <c r="D2571" s="6" t="s">
        <v>607</v>
      </c>
      <c r="E2571" s="6" t="s">
        <v>607</v>
      </c>
      <c r="F2571" s="6" t="s">
        <v>607</v>
      </c>
      <c r="G2571" s="4" t="s">
        <v>607</v>
      </c>
      <c r="H2571" s="4" t="s">
        <v>607</v>
      </c>
      <c r="I2571" s="4" t="s">
        <v>607</v>
      </c>
      <c r="J2571" s="4" t="s">
        <v>607</v>
      </c>
      <c r="K2571" s="4" t="s">
        <v>607</v>
      </c>
      <c r="L2571" s="4" t="s">
        <v>607</v>
      </c>
      <c r="M2571" s="4" t="s">
        <v>607</v>
      </c>
      <c r="N2571" s="4" t="s">
        <v>607</v>
      </c>
      <c r="O2571" s="4"/>
      <c r="P2571" s="4"/>
      <c r="T2571" s="4"/>
    </row>
    <row r="2572">
      <c r="A2572" s="4" t="s">
        <v>6009</v>
      </c>
      <c r="B2572" s="4" t="s">
        <v>607</v>
      </c>
      <c r="C2572" s="6" t="s">
        <v>607</v>
      </c>
      <c r="D2572" s="6" t="s">
        <v>607</v>
      </c>
      <c r="E2572" s="6" t="s">
        <v>607</v>
      </c>
      <c r="F2572" s="6" t="s">
        <v>607</v>
      </c>
      <c r="G2572" s="4" t="s">
        <v>607</v>
      </c>
      <c r="H2572" s="4" t="s">
        <v>607</v>
      </c>
      <c r="I2572" s="4" t="s">
        <v>607</v>
      </c>
      <c r="J2572" s="4" t="s">
        <v>607</v>
      </c>
      <c r="K2572" s="4" t="s">
        <v>607</v>
      </c>
      <c r="L2572" s="4" t="s">
        <v>607</v>
      </c>
      <c r="M2572" s="4" t="s">
        <v>607</v>
      </c>
      <c r="N2572" s="4" t="s">
        <v>607</v>
      </c>
      <c r="O2572" s="4"/>
      <c r="P2572" s="4"/>
      <c r="T2572" s="4"/>
    </row>
    <row r="2573">
      <c r="A2573" s="4" t="s">
        <v>6013</v>
      </c>
      <c r="B2573" s="4" t="s">
        <v>607</v>
      </c>
      <c r="C2573" s="6" t="s">
        <v>607</v>
      </c>
      <c r="D2573" s="6" t="s">
        <v>607</v>
      </c>
      <c r="E2573" s="6" t="s">
        <v>607</v>
      </c>
      <c r="F2573" s="6" t="s">
        <v>607</v>
      </c>
      <c r="G2573" s="4" t="s">
        <v>607</v>
      </c>
      <c r="H2573" s="4" t="s">
        <v>607</v>
      </c>
      <c r="I2573" s="4" t="s">
        <v>607</v>
      </c>
      <c r="J2573" s="4" t="s">
        <v>607</v>
      </c>
      <c r="K2573" s="4" t="s">
        <v>607</v>
      </c>
      <c r="L2573" s="4" t="s">
        <v>607</v>
      </c>
      <c r="M2573" s="4" t="s">
        <v>607</v>
      </c>
      <c r="N2573" s="4" t="s">
        <v>607</v>
      </c>
      <c r="O2573" s="4"/>
      <c r="P2573" s="4"/>
      <c r="T2573" s="4"/>
    </row>
    <row r="2574">
      <c r="A2574" s="4" t="s">
        <v>6014</v>
      </c>
      <c r="B2574" s="4" t="s">
        <v>607</v>
      </c>
      <c r="C2574" s="6" t="s">
        <v>607</v>
      </c>
      <c r="D2574" s="6" t="s">
        <v>607</v>
      </c>
      <c r="E2574" s="6" t="s">
        <v>607</v>
      </c>
      <c r="F2574" s="6" t="s">
        <v>607</v>
      </c>
      <c r="G2574" s="4" t="s">
        <v>607</v>
      </c>
      <c r="H2574" s="4" t="s">
        <v>607</v>
      </c>
      <c r="I2574" s="4" t="s">
        <v>607</v>
      </c>
      <c r="J2574" s="4" t="s">
        <v>607</v>
      </c>
      <c r="K2574" s="4" t="s">
        <v>607</v>
      </c>
      <c r="L2574" s="4" t="s">
        <v>607</v>
      </c>
      <c r="M2574" s="4" t="s">
        <v>607</v>
      </c>
      <c r="N2574" s="4" t="s">
        <v>607</v>
      </c>
      <c r="O2574" s="4"/>
      <c r="P2574" s="4"/>
      <c r="T2574" s="4"/>
    </row>
    <row r="2575">
      <c r="A2575" s="4" t="s">
        <v>6015</v>
      </c>
      <c r="B2575" s="4" t="s">
        <v>607</v>
      </c>
      <c r="C2575" s="6" t="s">
        <v>607</v>
      </c>
      <c r="D2575" s="6" t="s">
        <v>607</v>
      </c>
      <c r="E2575" s="6" t="s">
        <v>607</v>
      </c>
      <c r="F2575" s="6" t="s">
        <v>607</v>
      </c>
      <c r="G2575" s="4" t="s">
        <v>607</v>
      </c>
      <c r="H2575" s="4" t="s">
        <v>607</v>
      </c>
      <c r="I2575" s="4" t="s">
        <v>607</v>
      </c>
      <c r="J2575" s="4" t="s">
        <v>607</v>
      </c>
      <c r="K2575" s="4" t="s">
        <v>607</v>
      </c>
      <c r="L2575" s="4" t="s">
        <v>607</v>
      </c>
      <c r="M2575" s="4" t="s">
        <v>607</v>
      </c>
      <c r="N2575" s="4" t="s">
        <v>607</v>
      </c>
      <c r="O2575" s="4"/>
      <c r="P2575" s="4"/>
      <c r="T2575" s="4"/>
    </row>
    <row r="2576">
      <c r="A2576" s="4" t="s">
        <v>6016</v>
      </c>
      <c r="B2576" s="4" t="s">
        <v>607</v>
      </c>
      <c r="C2576" s="6" t="s">
        <v>607</v>
      </c>
      <c r="D2576" s="6" t="s">
        <v>607</v>
      </c>
      <c r="E2576" s="6" t="s">
        <v>607</v>
      </c>
      <c r="F2576" s="6" t="s">
        <v>607</v>
      </c>
      <c r="G2576" s="4" t="s">
        <v>607</v>
      </c>
      <c r="H2576" s="4" t="s">
        <v>607</v>
      </c>
      <c r="I2576" s="4" t="s">
        <v>607</v>
      </c>
      <c r="J2576" s="4" t="s">
        <v>607</v>
      </c>
      <c r="K2576" s="4" t="s">
        <v>607</v>
      </c>
      <c r="L2576" s="4" t="s">
        <v>607</v>
      </c>
      <c r="M2576" s="4" t="s">
        <v>607</v>
      </c>
      <c r="N2576" s="4" t="s">
        <v>607</v>
      </c>
      <c r="O2576" s="4"/>
      <c r="P2576" s="4"/>
      <c r="T2576" s="4"/>
    </row>
    <row r="2577">
      <c r="A2577" s="4" t="s">
        <v>6017</v>
      </c>
      <c r="B2577" s="4" t="s">
        <v>607</v>
      </c>
      <c r="C2577" s="6" t="s">
        <v>607</v>
      </c>
      <c r="D2577" s="6" t="s">
        <v>607</v>
      </c>
      <c r="E2577" s="6" t="s">
        <v>607</v>
      </c>
      <c r="F2577" s="6" t="s">
        <v>607</v>
      </c>
      <c r="G2577" s="4" t="s">
        <v>607</v>
      </c>
      <c r="H2577" s="4" t="s">
        <v>607</v>
      </c>
      <c r="I2577" s="4" t="s">
        <v>607</v>
      </c>
      <c r="J2577" s="4" t="s">
        <v>607</v>
      </c>
      <c r="K2577" s="4" t="s">
        <v>607</v>
      </c>
      <c r="L2577" s="4" t="s">
        <v>607</v>
      </c>
      <c r="M2577" s="4" t="s">
        <v>607</v>
      </c>
      <c r="N2577" s="4" t="s">
        <v>607</v>
      </c>
      <c r="O2577" s="4"/>
      <c r="P2577" s="4"/>
      <c r="T2577" s="4"/>
    </row>
    <row r="2578">
      <c r="A2578" s="4" t="s">
        <v>6018</v>
      </c>
      <c r="B2578" s="4" t="s">
        <v>607</v>
      </c>
      <c r="C2578" s="6" t="s">
        <v>607</v>
      </c>
      <c r="D2578" s="6" t="s">
        <v>607</v>
      </c>
      <c r="E2578" s="6" t="s">
        <v>607</v>
      </c>
      <c r="F2578" s="6" t="s">
        <v>607</v>
      </c>
      <c r="G2578" s="4" t="s">
        <v>607</v>
      </c>
      <c r="H2578" s="4" t="s">
        <v>607</v>
      </c>
      <c r="I2578" s="4" t="s">
        <v>607</v>
      </c>
      <c r="J2578" s="4" t="s">
        <v>607</v>
      </c>
      <c r="K2578" s="4" t="s">
        <v>607</v>
      </c>
      <c r="L2578" s="4" t="s">
        <v>607</v>
      </c>
      <c r="M2578" s="4" t="s">
        <v>607</v>
      </c>
      <c r="N2578" s="4" t="s">
        <v>607</v>
      </c>
      <c r="O2578" s="4"/>
      <c r="P2578" s="4"/>
      <c r="T2578" s="4"/>
    </row>
    <row r="2579">
      <c r="A2579" s="4" t="s">
        <v>6023</v>
      </c>
      <c r="B2579" s="4" t="s">
        <v>607</v>
      </c>
      <c r="C2579" s="6" t="s">
        <v>607</v>
      </c>
      <c r="D2579" s="6" t="s">
        <v>607</v>
      </c>
      <c r="E2579" s="6" t="s">
        <v>607</v>
      </c>
      <c r="F2579" s="6" t="s">
        <v>607</v>
      </c>
      <c r="G2579" s="4" t="s">
        <v>607</v>
      </c>
      <c r="H2579" s="4" t="s">
        <v>607</v>
      </c>
      <c r="I2579" s="4" t="s">
        <v>607</v>
      </c>
      <c r="J2579" s="4" t="s">
        <v>607</v>
      </c>
      <c r="K2579" s="4" t="s">
        <v>607</v>
      </c>
      <c r="L2579" s="4" t="s">
        <v>607</v>
      </c>
      <c r="M2579" s="4" t="s">
        <v>607</v>
      </c>
      <c r="N2579" s="4" t="s">
        <v>607</v>
      </c>
      <c r="O2579" s="4"/>
      <c r="P2579" s="4"/>
      <c r="T2579" s="4"/>
    </row>
    <row r="2580">
      <c r="A2580" s="4" t="s">
        <v>6024</v>
      </c>
      <c r="B2580" s="4" t="s">
        <v>607</v>
      </c>
      <c r="C2580" s="6" t="s">
        <v>607</v>
      </c>
      <c r="D2580" s="6" t="s">
        <v>607</v>
      </c>
      <c r="E2580" s="6" t="s">
        <v>607</v>
      </c>
      <c r="F2580" s="6" t="s">
        <v>607</v>
      </c>
      <c r="G2580" s="4" t="s">
        <v>607</v>
      </c>
      <c r="H2580" s="4" t="s">
        <v>607</v>
      </c>
      <c r="I2580" s="4" t="s">
        <v>607</v>
      </c>
      <c r="J2580" s="4" t="s">
        <v>607</v>
      </c>
      <c r="K2580" s="4" t="s">
        <v>607</v>
      </c>
      <c r="L2580" s="4" t="s">
        <v>607</v>
      </c>
      <c r="M2580" s="4" t="s">
        <v>607</v>
      </c>
      <c r="N2580" s="4" t="s">
        <v>607</v>
      </c>
      <c r="O2580" s="4"/>
      <c r="P2580" s="4"/>
      <c r="T2580" s="4"/>
    </row>
    <row r="2581">
      <c r="A2581" s="4" t="s">
        <v>6025</v>
      </c>
      <c r="B2581" s="4" t="s">
        <v>607</v>
      </c>
      <c r="C2581" s="6" t="s">
        <v>607</v>
      </c>
      <c r="D2581" s="6" t="s">
        <v>607</v>
      </c>
      <c r="E2581" s="6" t="s">
        <v>607</v>
      </c>
      <c r="F2581" s="6" t="s">
        <v>607</v>
      </c>
      <c r="G2581" s="4" t="s">
        <v>607</v>
      </c>
      <c r="H2581" s="4" t="s">
        <v>607</v>
      </c>
      <c r="I2581" s="4" t="s">
        <v>607</v>
      </c>
      <c r="J2581" s="4" t="s">
        <v>607</v>
      </c>
      <c r="K2581" s="4" t="s">
        <v>607</v>
      </c>
      <c r="L2581" s="4" t="s">
        <v>607</v>
      </c>
      <c r="M2581" s="4" t="s">
        <v>607</v>
      </c>
      <c r="N2581" s="4" t="s">
        <v>607</v>
      </c>
      <c r="O2581" s="4"/>
      <c r="P2581" s="4"/>
      <c r="T2581" s="4"/>
    </row>
    <row r="2582">
      <c r="A2582" s="4" t="s">
        <v>6026</v>
      </c>
      <c r="B2582" s="4" t="s">
        <v>607</v>
      </c>
      <c r="C2582" s="6" t="s">
        <v>607</v>
      </c>
      <c r="D2582" s="6" t="s">
        <v>607</v>
      </c>
      <c r="E2582" s="6" t="s">
        <v>607</v>
      </c>
      <c r="F2582" s="6" t="s">
        <v>607</v>
      </c>
      <c r="G2582" s="4" t="s">
        <v>607</v>
      </c>
      <c r="H2582" s="4" t="s">
        <v>607</v>
      </c>
      <c r="I2582" s="4" t="s">
        <v>607</v>
      </c>
      <c r="J2582" s="4" t="s">
        <v>607</v>
      </c>
      <c r="K2582" s="4" t="s">
        <v>607</v>
      </c>
      <c r="L2582" s="4" t="s">
        <v>607</v>
      </c>
      <c r="M2582" s="4" t="s">
        <v>607</v>
      </c>
      <c r="N2582" s="4" t="s">
        <v>607</v>
      </c>
      <c r="O2582" s="4"/>
      <c r="P2582" s="4"/>
      <c r="T2582" s="4"/>
    </row>
    <row r="2583">
      <c r="A2583" s="4" t="s">
        <v>6027</v>
      </c>
      <c r="B2583" s="4" t="s">
        <v>607</v>
      </c>
      <c r="C2583" s="6" t="s">
        <v>607</v>
      </c>
      <c r="D2583" s="6" t="s">
        <v>607</v>
      </c>
      <c r="E2583" s="6" t="s">
        <v>607</v>
      </c>
      <c r="F2583" s="6" t="s">
        <v>607</v>
      </c>
      <c r="G2583" s="4" t="s">
        <v>607</v>
      </c>
      <c r="H2583" s="4" t="s">
        <v>607</v>
      </c>
      <c r="I2583" s="4" t="s">
        <v>607</v>
      </c>
      <c r="J2583" s="4" t="s">
        <v>607</v>
      </c>
      <c r="K2583" s="4" t="s">
        <v>607</v>
      </c>
      <c r="L2583" s="4" t="s">
        <v>607</v>
      </c>
      <c r="M2583" s="4" t="s">
        <v>607</v>
      </c>
      <c r="N2583" s="4" t="s">
        <v>607</v>
      </c>
      <c r="O2583" s="4"/>
      <c r="P2583" s="4"/>
      <c r="T2583" s="4"/>
    </row>
    <row r="2584">
      <c r="A2584" s="4" t="s">
        <v>6031</v>
      </c>
      <c r="B2584" s="4" t="s">
        <v>607</v>
      </c>
      <c r="C2584" s="6" t="s">
        <v>607</v>
      </c>
      <c r="D2584" s="6" t="s">
        <v>607</v>
      </c>
      <c r="E2584" s="6" t="s">
        <v>607</v>
      </c>
      <c r="F2584" s="6" t="s">
        <v>607</v>
      </c>
      <c r="G2584" s="4" t="s">
        <v>607</v>
      </c>
      <c r="H2584" s="4" t="s">
        <v>607</v>
      </c>
      <c r="I2584" s="4" t="s">
        <v>607</v>
      </c>
      <c r="J2584" s="4" t="s">
        <v>607</v>
      </c>
      <c r="K2584" s="4" t="s">
        <v>607</v>
      </c>
      <c r="L2584" s="4" t="s">
        <v>607</v>
      </c>
      <c r="M2584" s="4" t="s">
        <v>607</v>
      </c>
      <c r="N2584" s="4" t="s">
        <v>607</v>
      </c>
      <c r="O2584" s="4"/>
      <c r="P2584" s="4"/>
      <c r="T2584" s="4"/>
    </row>
    <row r="2585">
      <c r="A2585" s="4" t="s">
        <v>6032</v>
      </c>
      <c r="B2585" s="4" t="s">
        <v>607</v>
      </c>
      <c r="C2585" s="6" t="s">
        <v>607</v>
      </c>
      <c r="D2585" s="6" t="s">
        <v>607</v>
      </c>
      <c r="E2585" s="6" t="s">
        <v>607</v>
      </c>
      <c r="F2585" s="6" t="s">
        <v>607</v>
      </c>
      <c r="G2585" s="4" t="s">
        <v>607</v>
      </c>
      <c r="H2585" s="4" t="s">
        <v>607</v>
      </c>
      <c r="I2585" s="4" t="s">
        <v>607</v>
      </c>
      <c r="J2585" s="4" t="s">
        <v>607</v>
      </c>
      <c r="K2585" s="4" t="s">
        <v>607</v>
      </c>
      <c r="L2585" s="4" t="s">
        <v>607</v>
      </c>
      <c r="M2585" s="4" t="s">
        <v>607</v>
      </c>
      <c r="N2585" s="4" t="s">
        <v>607</v>
      </c>
      <c r="O2585" s="4"/>
      <c r="P2585" s="4"/>
      <c r="T2585" s="4"/>
    </row>
    <row r="2586">
      <c r="A2586" s="4" t="s">
        <v>6033</v>
      </c>
      <c r="B2586" s="4" t="s">
        <v>607</v>
      </c>
      <c r="C2586" s="6" t="s">
        <v>607</v>
      </c>
      <c r="D2586" s="6" t="s">
        <v>607</v>
      </c>
      <c r="E2586" s="6" t="s">
        <v>607</v>
      </c>
      <c r="F2586" s="6" t="s">
        <v>607</v>
      </c>
      <c r="G2586" s="4" t="s">
        <v>607</v>
      </c>
      <c r="H2586" s="4" t="s">
        <v>607</v>
      </c>
      <c r="I2586" s="4" t="s">
        <v>607</v>
      </c>
      <c r="J2586" s="4" t="s">
        <v>607</v>
      </c>
      <c r="K2586" s="4" t="s">
        <v>607</v>
      </c>
      <c r="L2586" s="4" t="s">
        <v>607</v>
      </c>
      <c r="M2586" s="4" t="s">
        <v>607</v>
      </c>
      <c r="N2586" s="4" t="s">
        <v>607</v>
      </c>
      <c r="O2586" s="4"/>
      <c r="P2586" s="4"/>
      <c r="T2586" s="4"/>
    </row>
    <row r="2587">
      <c r="A2587" s="4" t="s">
        <v>6034</v>
      </c>
      <c r="B2587" s="4" t="s">
        <v>607</v>
      </c>
      <c r="C2587" s="6" t="s">
        <v>607</v>
      </c>
      <c r="D2587" s="6" t="s">
        <v>607</v>
      </c>
      <c r="E2587" s="6" t="s">
        <v>607</v>
      </c>
      <c r="F2587" s="6" t="s">
        <v>607</v>
      </c>
      <c r="G2587" s="4" t="s">
        <v>607</v>
      </c>
      <c r="H2587" s="4" t="s">
        <v>607</v>
      </c>
      <c r="I2587" s="4" t="s">
        <v>607</v>
      </c>
      <c r="J2587" s="4" t="s">
        <v>607</v>
      </c>
      <c r="K2587" s="4" t="s">
        <v>607</v>
      </c>
      <c r="L2587" s="4" t="s">
        <v>607</v>
      </c>
      <c r="M2587" s="4" t="s">
        <v>607</v>
      </c>
      <c r="N2587" s="4" t="s">
        <v>607</v>
      </c>
      <c r="O2587" s="4"/>
      <c r="P2587" s="4"/>
      <c r="T2587" s="4"/>
    </row>
    <row r="2588">
      <c r="A2588" s="4" t="s">
        <v>6035</v>
      </c>
      <c r="B2588" s="4" t="s">
        <v>607</v>
      </c>
      <c r="C2588" s="6" t="s">
        <v>607</v>
      </c>
      <c r="D2588" s="6" t="s">
        <v>607</v>
      </c>
      <c r="E2588" s="6" t="s">
        <v>607</v>
      </c>
      <c r="F2588" s="6" t="s">
        <v>607</v>
      </c>
      <c r="G2588" s="4" t="s">
        <v>607</v>
      </c>
      <c r="H2588" s="4" t="s">
        <v>607</v>
      </c>
      <c r="I2588" s="4" t="s">
        <v>607</v>
      </c>
      <c r="J2588" s="4" t="s">
        <v>607</v>
      </c>
      <c r="K2588" s="4" t="s">
        <v>607</v>
      </c>
      <c r="L2588" s="4" t="s">
        <v>607</v>
      </c>
      <c r="M2588" s="4" t="s">
        <v>607</v>
      </c>
      <c r="N2588" s="4" t="s">
        <v>607</v>
      </c>
      <c r="O2588" s="4"/>
      <c r="P2588" s="4"/>
      <c r="T2588" s="4"/>
    </row>
    <row r="2589">
      <c r="A2589" s="4" t="s">
        <v>6039</v>
      </c>
      <c r="B2589" s="4" t="s">
        <v>607</v>
      </c>
      <c r="C2589" s="6" t="s">
        <v>607</v>
      </c>
      <c r="D2589" s="6" t="s">
        <v>607</v>
      </c>
      <c r="E2589" s="6" t="s">
        <v>607</v>
      </c>
      <c r="F2589" s="6" t="s">
        <v>607</v>
      </c>
      <c r="G2589" s="4" t="s">
        <v>607</v>
      </c>
      <c r="H2589" s="4" t="s">
        <v>607</v>
      </c>
      <c r="I2589" s="4" t="s">
        <v>607</v>
      </c>
      <c r="J2589" s="4" t="s">
        <v>607</v>
      </c>
      <c r="K2589" s="4" t="s">
        <v>607</v>
      </c>
      <c r="L2589" s="4" t="s">
        <v>607</v>
      </c>
      <c r="M2589" s="4" t="s">
        <v>607</v>
      </c>
      <c r="N2589" s="4" t="s">
        <v>607</v>
      </c>
      <c r="O2589" s="4"/>
      <c r="P2589" s="4"/>
      <c r="T2589" s="4"/>
    </row>
    <row r="2590">
      <c r="A2590" s="4" t="s">
        <v>6040</v>
      </c>
      <c r="B2590" s="4" t="s">
        <v>607</v>
      </c>
      <c r="C2590" s="6" t="s">
        <v>607</v>
      </c>
      <c r="D2590" s="6" t="s">
        <v>607</v>
      </c>
      <c r="E2590" s="6" t="s">
        <v>607</v>
      </c>
      <c r="F2590" s="6" t="s">
        <v>607</v>
      </c>
      <c r="G2590" s="4" t="s">
        <v>607</v>
      </c>
      <c r="H2590" s="4" t="s">
        <v>607</v>
      </c>
      <c r="I2590" s="4" t="s">
        <v>607</v>
      </c>
      <c r="J2590" s="4" t="s">
        <v>607</v>
      </c>
      <c r="K2590" s="4" t="s">
        <v>607</v>
      </c>
      <c r="L2590" s="4" t="s">
        <v>607</v>
      </c>
      <c r="M2590" s="4" t="s">
        <v>607</v>
      </c>
      <c r="N2590" s="4" t="s">
        <v>607</v>
      </c>
      <c r="O2590" s="4"/>
      <c r="P2590" s="4"/>
      <c r="T2590" s="4"/>
    </row>
    <row r="2591">
      <c r="A2591" s="4" t="s">
        <v>6041</v>
      </c>
      <c r="B2591" s="4" t="s">
        <v>607</v>
      </c>
      <c r="C2591" s="6" t="s">
        <v>607</v>
      </c>
      <c r="D2591" s="6" t="s">
        <v>607</v>
      </c>
      <c r="E2591" s="6" t="s">
        <v>607</v>
      </c>
      <c r="F2591" s="6" t="s">
        <v>607</v>
      </c>
      <c r="G2591" s="4" t="s">
        <v>607</v>
      </c>
      <c r="H2591" s="4" t="s">
        <v>607</v>
      </c>
      <c r="I2591" s="4" t="s">
        <v>607</v>
      </c>
      <c r="J2591" s="4" t="s">
        <v>607</v>
      </c>
      <c r="K2591" s="4" t="s">
        <v>607</v>
      </c>
      <c r="L2591" s="4" t="s">
        <v>607</v>
      </c>
      <c r="M2591" s="4" t="s">
        <v>607</v>
      </c>
      <c r="N2591" s="4" t="s">
        <v>607</v>
      </c>
      <c r="O2591" s="4"/>
      <c r="P2591" s="4"/>
      <c r="T2591" s="4"/>
    </row>
    <row r="2592">
      <c r="A2592" s="4" t="s">
        <v>6042</v>
      </c>
      <c r="B2592" s="4" t="s">
        <v>607</v>
      </c>
      <c r="C2592" s="6" t="s">
        <v>607</v>
      </c>
      <c r="D2592" s="6" t="s">
        <v>607</v>
      </c>
      <c r="E2592" s="6" t="s">
        <v>607</v>
      </c>
      <c r="F2592" s="6" t="s">
        <v>607</v>
      </c>
      <c r="G2592" s="4" t="s">
        <v>607</v>
      </c>
      <c r="H2592" s="4" t="s">
        <v>607</v>
      </c>
      <c r="I2592" s="4" t="s">
        <v>607</v>
      </c>
      <c r="J2592" s="4" t="s">
        <v>607</v>
      </c>
      <c r="K2592" s="4" t="s">
        <v>607</v>
      </c>
      <c r="L2592" s="4" t="s">
        <v>607</v>
      </c>
      <c r="M2592" s="4" t="s">
        <v>607</v>
      </c>
      <c r="N2592" s="4" t="s">
        <v>607</v>
      </c>
      <c r="O2592" s="4"/>
      <c r="P2592" s="4"/>
      <c r="T2592" s="4"/>
    </row>
    <row r="2593">
      <c r="A2593" s="4" t="s">
        <v>6043</v>
      </c>
      <c r="B2593" s="4" t="s">
        <v>607</v>
      </c>
      <c r="C2593" s="6" t="s">
        <v>607</v>
      </c>
      <c r="D2593" s="6" t="s">
        <v>607</v>
      </c>
      <c r="E2593" s="6" t="s">
        <v>607</v>
      </c>
      <c r="F2593" s="6" t="s">
        <v>607</v>
      </c>
      <c r="G2593" s="4" t="s">
        <v>607</v>
      </c>
      <c r="H2593" s="4" t="s">
        <v>607</v>
      </c>
      <c r="I2593" s="4" t="s">
        <v>607</v>
      </c>
      <c r="J2593" s="4" t="s">
        <v>607</v>
      </c>
      <c r="K2593" s="4" t="s">
        <v>607</v>
      </c>
      <c r="L2593" s="4" t="s">
        <v>607</v>
      </c>
      <c r="M2593" s="4" t="s">
        <v>607</v>
      </c>
      <c r="N2593" s="4" t="s">
        <v>607</v>
      </c>
      <c r="O2593" s="4"/>
      <c r="P2593" s="4"/>
      <c r="T2593" s="4"/>
    </row>
    <row r="2594">
      <c r="A2594" s="4" t="s">
        <v>6044</v>
      </c>
      <c r="B2594" s="4" t="s">
        <v>607</v>
      </c>
      <c r="C2594" s="6" t="s">
        <v>607</v>
      </c>
      <c r="D2594" s="6" t="s">
        <v>607</v>
      </c>
      <c r="E2594" s="6" t="s">
        <v>607</v>
      </c>
      <c r="F2594" s="6" t="s">
        <v>607</v>
      </c>
      <c r="G2594" s="4" t="s">
        <v>607</v>
      </c>
      <c r="H2594" s="4" t="s">
        <v>607</v>
      </c>
      <c r="I2594" s="4" t="s">
        <v>607</v>
      </c>
      <c r="J2594" s="4" t="s">
        <v>607</v>
      </c>
      <c r="K2594" s="4" t="s">
        <v>607</v>
      </c>
      <c r="L2594" s="4" t="s">
        <v>607</v>
      </c>
      <c r="M2594" s="4" t="s">
        <v>607</v>
      </c>
      <c r="N2594" s="4" t="s">
        <v>607</v>
      </c>
      <c r="O2594" s="4"/>
      <c r="P2594" s="4"/>
      <c r="T2594" s="4"/>
    </row>
    <row r="2595">
      <c r="A2595" s="4" t="s">
        <v>6048</v>
      </c>
      <c r="B2595" s="4" t="s">
        <v>607</v>
      </c>
      <c r="C2595" s="6" t="s">
        <v>607</v>
      </c>
      <c r="D2595" s="6" t="s">
        <v>607</v>
      </c>
      <c r="E2595" s="6" t="s">
        <v>607</v>
      </c>
      <c r="F2595" s="6" t="s">
        <v>607</v>
      </c>
      <c r="G2595" s="4" t="s">
        <v>607</v>
      </c>
      <c r="H2595" s="4" t="s">
        <v>607</v>
      </c>
      <c r="I2595" s="4" t="s">
        <v>607</v>
      </c>
      <c r="J2595" s="4" t="s">
        <v>607</v>
      </c>
      <c r="K2595" s="4" t="s">
        <v>607</v>
      </c>
      <c r="L2595" s="4" t="s">
        <v>607</v>
      </c>
      <c r="M2595" s="4" t="s">
        <v>607</v>
      </c>
      <c r="N2595" s="4" t="s">
        <v>607</v>
      </c>
      <c r="O2595" s="4"/>
      <c r="P2595" s="4"/>
      <c r="T2595" s="4"/>
    </row>
    <row r="2596">
      <c r="A2596" s="4" t="s">
        <v>6050</v>
      </c>
      <c r="B2596" s="4" t="s">
        <v>607</v>
      </c>
      <c r="C2596" s="6" t="s">
        <v>607</v>
      </c>
      <c r="D2596" s="6" t="s">
        <v>607</v>
      </c>
      <c r="E2596" s="6" t="s">
        <v>607</v>
      </c>
      <c r="F2596" s="6" t="s">
        <v>607</v>
      </c>
      <c r="G2596" s="4" t="s">
        <v>607</v>
      </c>
      <c r="H2596" s="4" t="s">
        <v>607</v>
      </c>
      <c r="I2596" s="4" t="s">
        <v>607</v>
      </c>
      <c r="J2596" s="4" t="s">
        <v>607</v>
      </c>
      <c r="K2596" s="4" t="s">
        <v>607</v>
      </c>
      <c r="L2596" s="4" t="s">
        <v>607</v>
      </c>
      <c r="M2596" s="4" t="s">
        <v>607</v>
      </c>
      <c r="N2596" s="4" t="s">
        <v>607</v>
      </c>
      <c r="O2596" s="4"/>
      <c r="P2596" s="4"/>
      <c r="T2596" s="4"/>
    </row>
    <row r="2597">
      <c r="A2597" s="4" t="s">
        <v>6051</v>
      </c>
      <c r="B2597" s="4" t="s">
        <v>607</v>
      </c>
      <c r="C2597" s="6" t="s">
        <v>607</v>
      </c>
      <c r="D2597" s="6" t="s">
        <v>607</v>
      </c>
      <c r="E2597" s="6" t="s">
        <v>607</v>
      </c>
      <c r="F2597" s="6" t="s">
        <v>607</v>
      </c>
      <c r="G2597" s="4" t="s">
        <v>607</v>
      </c>
      <c r="H2597" s="4" t="s">
        <v>607</v>
      </c>
      <c r="I2597" s="4" t="s">
        <v>607</v>
      </c>
      <c r="J2597" s="4" t="s">
        <v>607</v>
      </c>
      <c r="K2597" s="4" t="s">
        <v>607</v>
      </c>
      <c r="L2597" s="4" t="s">
        <v>607</v>
      </c>
      <c r="M2597" s="4" t="s">
        <v>607</v>
      </c>
      <c r="N2597" s="4" t="s">
        <v>607</v>
      </c>
      <c r="O2597" s="4"/>
      <c r="P2597" s="4"/>
      <c r="T2597" s="4"/>
    </row>
    <row r="2598">
      <c r="A2598" s="4" t="s">
        <v>6052</v>
      </c>
      <c r="B2598" s="4" t="s">
        <v>607</v>
      </c>
      <c r="C2598" s="6" t="s">
        <v>607</v>
      </c>
      <c r="D2598" s="6" t="s">
        <v>607</v>
      </c>
      <c r="E2598" s="6" t="s">
        <v>607</v>
      </c>
      <c r="F2598" s="6" t="s">
        <v>607</v>
      </c>
      <c r="G2598" s="4" t="s">
        <v>607</v>
      </c>
      <c r="H2598" s="4" t="s">
        <v>607</v>
      </c>
      <c r="I2598" s="4" t="s">
        <v>607</v>
      </c>
      <c r="J2598" s="4" t="s">
        <v>607</v>
      </c>
      <c r="K2598" s="4" t="s">
        <v>607</v>
      </c>
      <c r="L2598" s="4" t="s">
        <v>607</v>
      </c>
      <c r="M2598" s="4" t="s">
        <v>607</v>
      </c>
      <c r="N2598" s="4" t="s">
        <v>607</v>
      </c>
      <c r="O2598" s="4"/>
      <c r="P2598" s="4"/>
      <c r="T2598" s="4"/>
    </row>
    <row r="2599">
      <c r="A2599" s="4" t="s">
        <v>6053</v>
      </c>
      <c r="B2599" s="4" t="s">
        <v>607</v>
      </c>
      <c r="C2599" s="6" t="s">
        <v>607</v>
      </c>
      <c r="D2599" s="6" t="s">
        <v>607</v>
      </c>
      <c r="E2599" s="6" t="s">
        <v>607</v>
      </c>
      <c r="F2599" s="6" t="s">
        <v>607</v>
      </c>
      <c r="G2599" s="4" t="s">
        <v>607</v>
      </c>
      <c r="H2599" s="4" t="s">
        <v>607</v>
      </c>
      <c r="I2599" s="4" t="s">
        <v>607</v>
      </c>
      <c r="J2599" s="4" t="s">
        <v>607</v>
      </c>
      <c r="K2599" s="4" t="s">
        <v>607</v>
      </c>
      <c r="L2599" s="4" t="s">
        <v>607</v>
      </c>
      <c r="M2599" s="4" t="s">
        <v>607</v>
      </c>
      <c r="N2599" s="4" t="s">
        <v>607</v>
      </c>
      <c r="O2599" s="4"/>
      <c r="P2599" s="4"/>
      <c r="T2599" s="4"/>
    </row>
    <row r="2600">
      <c r="A2600" s="4" t="s">
        <v>6054</v>
      </c>
      <c r="B2600" s="4" t="s">
        <v>607</v>
      </c>
      <c r="C2600" s="6" t="s">
        <v>607</v>
      </c>
      <c r="D2600" s="6" t="s">
        <v>607</v>
      </c>
      <c r="E2600" s="6" t="s">
        <v>607</v>
      </c>
      <c r="F2600" s="6" t="s">
        <v>607</v>
      </c>
      <c r="G2600" s="4" t="s">
        <v>607</v>
      </c>
      <c r="H2600" s="4" t="s">
        <v>607</v>
      </c>
      <c r="I2600" s="4" t="s">
        <v>607</v>
      </c>
      <c r="J2600" s="4" t="s">
        <v>607</v>
      </c>
      <c r="K2600" s="4" t="s">
        <v>607</v>
      </c>
      <c r="L2600" s="4" t="s">
        <v>607</v>
      </c>
      <c r="M2600" s="4" t="s">
        <v>607</v>
      </c>
      <c r="N2600" s="4" t="s">
        <v>607</v>
      </c>
      <c r="O2600" s="4"/>
      <c r="P2600" s="4"/>
      <c r="T2600" s="4"/>
    </row>
    <row r="2601">
      <c r="A2601" s="4" t="s">
        <v>6055</v>
      </c>
      <c r="B2601" s="4" t="s">
        <v>607</v>
      </c>
      <c r="C2601" s="6" t="s">
        <v>607</v>
      </c>
      <c r="D2601" s="6" t="s">
        <v>607</v>
      </c>
      <c r="E2601" s="6" t="s">
        <v>607</v>
      </c>
      <c r="F2601" s="6" t="s">
        <v>607</v>
      </c>
      <c r="G2601" s="4" t="s">
        <v>607</v>
      </c>
      <c r="H2601" s="4" t="s">
        <v>607</v>
      </c>
      <c r="I2601" s="4" t="s">
        <v>607</v>
      </c>
      <c r="J2601" s="4" t="s">
        <v>607</v>
      </c>
      <c r="K2601" s="4" t="s">
        <v>607</v>
      </c>
      <c r="L2601" s="4" t="s">
        <v>607</v>
      </c>
      <c r="M2601" s="4" t="s">
        <v>607</v>
      </c>
      <c r="N2601" s="4" t="s">
        <v>607</v>
      </c>
      <c r="O2601" s="4"/>
      <c r="P2601" s="4"/>
      <c r="T2601" s="4"/>
    </row>
    <row r="2602">
      <c r="A2602" s="4" t="s">
        <v>6056</v>
      </c>
      <c r="B2602" s="4" t="s">
        <v>607</v>
      </c>
      <c r="C2602" s="6" t="s">
        <v>607</v>
      </c>
      <c r="D2602" s="6" t="s">
        <v>607</v>
      </c>
      <c r="E2602" s="6" t="s">
        <v>607</v>
      </c>
      <c r="F2602" s="6" t="s">
        <v>607</v>
      </c>
      <c r="G2602" s="4" t="s">
        <v>607</v>
      </c>
      <c r="H2602" s="4" t="s">
        <v>607</v>
      </c>
      <c r="I2602" s="4" t="s">
        <v>607</v>
      </c>
      <c r="J2602" s="4" t="s">
        <v>607</v>
      </c>
      <c r="K2602" s="4" t="s">
        <v>607</v>
      </c>
      <c r="L2602" s="4" t="s">
        <v>607</v>
      </c>
      <c r="M2602" s="4" t="s">
        <v>607</v>
      </c>
      <c r="N2602" s="4" t="s">
        <v>607</v>
      </c>
      <c r="O2602" s="4"/>
      <c r="P2602" s="4"/>
      <c r="T2602" s="4"/>
    </row>
    <row r="2603">
      <c r="A2603" s="4" t="s">
        <v>6058</v>
      </c>
      <c r="B2603" s="4" t="s">
        <v>607</v>
      </c>
      <c r="C2603" s="6" t="s">
        <v>607</v>
      </c>
      <c r="D2603" s="6" t="s">
        <v>607</v>
      </c>
      <c r="E2603" s="6" t="s">
        <v>607</v>
      </c>
      <c r="F2603" s="6" t="s">
        <v>607</v>
      </c>
      <c r="G2603" s="4" t="s">
        <v>607</v>
      </c>
      <c r="H2603" s="4" t="s">
        <v>607</v>
      </c>
      <c r="I2603" s="4" t="s">
        <v>607</v>
      </c>
      <c r="J2603" s="4" t="s">
        <v>607</v>
      </c>
      <c r="K2603" s="4" t="s">
        <v>607</v>
      </c>
      <c r="L2603" s="4" t="s">
        <v>607</v>
      </c>
      <c r="M2603" s="4" t="s">
        <v>607</v>
      </c>
      <c r="N2603" s="4" t="s">
        <v>607</v>
      </c>
      <c r="O2603" s="4"/>
      <c r="P2603" s="4"/>
      <c r="T2603" s="4"/>
    </row>
    <row r="2604">
      <c r="A2604" s="4" t="s">
        <v>6060</v>
      </c>
      <c r="B2604" s="4" t="s">
        <v>607</v>
      </c>
      <c r="C2604" s="6" t="s">
        <v>607</v>
      </c>
      <c r="D2604" s="6" t="s">
        <v>607</v>
      </c>
      <c r="E2604" s="6" t="s">
        <v>607</v>
      </c>
      <c r="F2604" s="6" t="s">
        <v>607</v>
      </c>
      <c r="G2604" s="4" t="s">
        <v>607</v>
      </c>
      <c r="H2604" s="4" t="s">
        <v>607</v>
      </c>
      <c r="I2604" s="4" t="s">
        <v>607</v>
      </c>
      <c r="J2604" s="4" t="s">
        <v>607</v>
      </c>
      <c r="K2604" s="4" t="s">
        <v>607</v>
      </c>
      <c r="L2604" s="4" t="s">
        <v>607</v>
      </c>
      <c r="M2604" s="4" t="s">
        <v>607</v>
      </c>
      <c r="N2604" s="4" t="s">
        <v>607</v>
      </c>
      <c r="O2604" s="4"/>
      <c r="P2604" s="4"/>
      <c r="T2604" s="4"/>
    </row>
    <row r="2605">
      <c r="A2605" s="4" t="s">
        <v>6063</v>
      </c>
      <c r="B2605" s="4" t="s">
        <v>607</v>
      </c>
      <c r="C2605" s="6" t="s">
        <v>607</v>
      </c>
      <c r="D2605" s="6" t="s">
        <v>607</v>
      </c>
      <c r="E2605" s="6" t="s">
        <v>607</v>
      </c>
      <c r="F2605" s="6" t="s">
        <v>607</v>
      </c>
      <c r="G2605" s="4" t="s">
        <v>607</v>
      </c>
      <c r="H2605" s="4" t="s">
        <v>607</v>
      </c>
      <c r="I2605" s="4" t="s">
        <v>607</v>
      </c>
      <c r="J2605" s="4" t="s">
        <v>607</v>
      </c>
      <c r="K2605" s="4" t="s">
        <v>607</v>
      </c>
      <c r="L2605" s="4" t="s">
        <v>607</v>
      </c>
      <c r="M2605" s="4" t="s">
        <v>607</v>
      </c>
      <c r="N2605" s="4" t="s">
        <v>607</v>
      </c>
      <c r="O2605" s="4"/>
      <c r="P2605" s="4"/>
      <c r="T2605" s="4"/>
    </row>
    <row r="2606">
      <c r="A2606" s="4" t="s">
        <v>6064</v>
      </c>
      <c r="B2606" s="4" t="s">
        <v>607</v>
      </c>
      <c r="C2606" s="6" t="s">
        <v>607</v>
      </c>
      <c r="D2606" s="6" t="s">
        <v>607</v>
      </c>
      <c r="E2606" s="6" t="s">
        <v>607</v>
      </c>
      <c r="F2606" s="6" t="s">
        <v>607</v>
      </c>
      <c r="G2606" s="4" t="s">
        <v>607</v>
      </c>
      <c r="H2606" s="4" t="s">
        <v>607</v>
      </c>
      <c r="I2606" s="4" t="s">
        <v>607</v>
      </c>
      <c r="J2606" s="4" t="s">
        <v>607</v>
      </c>
      <c r="K2606" s="4" t="s">
        <v>607</v>
      </c>
      <c r="L2606" s="4" t="s">
        <v>607</v>
      </c>
      <c r="M2606" s="4" t="s">
        <v>607</v>
      </c>
      <c r="N2606" s="4" t="s">
        <v>607</v>
      </c>
      <c r="O2606" s="4"/>
      <c r="P2606" s="4"/>
      <c r="T2606" s="4"/>
    </row>
    <row r="2607">
      <c r="A2607" s="4" t="s">
        <v>6065</v>
      </c>
      <c r="B2607" s="4" t="s">
        <v>607</v>
      </c>
      <c r="C2607" s="6" t="s">
        <v>607</v>
      </c>
      <c r="D2607" s="6" t="s">
        <v>607</v>
      </c>
      <c r="E2607" s="6" t="s">
        <v>607</v>
      </c>
      <c r="F2607" s="6" t="s">
        <v>607</v>
      </c>
      <c r="G2607" s="4" t="s">
        <v>607</v>
      </c>
      <c r="H2607" s="4" t="s">
        <v>607</v>
      </c>
      <c r="I2607" s="4" t="s">
        <v>607</v>
      </c>
      <c r="J2607" s="4" t="s">
        <v>607</v>
      </c>
      <c r="K2607" s="4" t="s">
        <v>607</v>
      </c>
      <c r="L2607" s="4" t="s">
        <v>607</v>
      </c>
      <c r="M2607" s="4" t="s">
        <v>607</v>
      </c>
      <c r="N2607" s="4" t="s">
        <v>607</v>
      </c>
      <c r="O2607" s="4"/>
      <c r="P2607" s="4"/>
      <c r="T2607" s="4"/>
    </row>
    <row r="2608">
      <c r="A2608" s="4" t="s">
        <v>6066</v>
      </c>
      <c r="B2608" s="4" t="s">
        <v>607</v>
      </c>
      <c r="C2608" s="6" t="s">
        <v>607</v>
      </c>
      <c r="D2608" s="6" t="s">
        <v>607</v>
      </c>
      <c r="E2608" s="6" t="s">
        <v>607</v>
      </c>
      <c r="F2608" s="6" t="s">
        <v>607</v>
      </c>
      <c r="G2608" s="4" t="s">
        <v>607</v>
      </c>
      <c r="H2608" s="4" t="s">
        <v>607</v>
      </c>
      <c r="I2608" s="4" t="s">
        <v>607</v>
      </c>
      <c r="J2608" s="4" t="s">
        <v>607</v>
      </c>
      <c r="K2608" s="4" t="s">
        <v>607</v>
      </c>
      <c r="L2608" s="4" t="s">
        <v>607</v>
      </c>
      <c r="M2608" s="4" t="s">
        <v>607</v>
      </c>
      <c r="N2608" s="4" t="s">
        <v>607</v>
      </c>
      <c r="O2608" s="4"/>
      <c r="P2608" s="4"/>
      <c r="T2608" s="4"/>
    </row>
    <row r="2609">
      <c r="A2609" s="4" t="s">
        <v>6070</v>
      </c>
      <c r="B2609" s="4" t="s">
        <v>607</v>
      </c>
      <c r="C2609" s="6" t="s">
        <v>607</v>
      </c>
      <c r="D2609" s="6" t="s">
        <v>607</v>
      </c>
      <c r="E2609" s="6" t="s">
        <v>607</v>
      </c>
      <c r="F2609" s="6" t="s">
        <v>607</v>
      </c>
      <c r="G2609" s="4" t="s">
        <v>607</v>
      </c>
      <c r="H2609" s="4" t="s">
        <v>607</v>
      </c>
      <c r="I2609" s="4" t="s">
        <v>607</v>
      </c>
      <c r="J2609" s="4" t="s">
        <v>607</v>
      </c>
      <c r="K2609" s="4" t="s">
        <v>607</v>
      </c>
      <c r="L2609" s="4" t="s">
        <v>607</v>
      </c>
      <c r="M2609" s="4" t="s">
        <v>607</v>
      </c>
      <c r="N2609" s="4" t="s">
        <v>607</v>
      </c>
      <c r="O2609" s="4"/>
      <c r="P2609" s="4"/>
      <c r="T2609" s="4"/>
    </row>
    <row r="2610">
      <c r="A2610" s="4" t="s">
        <v>6071</v>
      </c>
      <c r="B2610" s="4" t="s">
        <v>607</v>
      </c>
      <c r="C2610" s="6" t="s">
        <v>607</v>
      </c>
      <c r="D2610" s="6" t="s">
        <v>607</v>
      </c>
      <c r="E2610" s="6" t="s">
        <v>607</v>
      </c>
      <c r="F2610" s="6" t="s">
        <v>607</v>
      </c>
      <c r="G2610" s="4" t="s">
        <v>607</v>
      </c>
      <c r="H2610" s="4" t="s">
        <v>607</v>
      </c>
      <c r="I2610" s="4" t="s">
        <v>607</v>
      </c>
      <c r="J2610" s="4" t="s">
        <v>607</v>
      </c>
      <c r="K2610" s="4" t="s">
        <v>607</v>
      </c>
      <c r="L2610" s="4" t="s">
        <v>607</v>
      </c>
      <c r="M2610" s="4" t="s">
        <v>607</v>
      </c>
      <c r="N2610" s="4" t="s">
        <v>607</v>
      </c>
      <c r="O2610" s="4"/>
      <c r="P2610" s="4"/>
      <c r="T2610" s="4"/>
    </row>
    <row r="2611">
      <c r="A2611" s="4" t="s">
        <v>6075</v>
      </c>
      <c r="B2611" s="4" t="s">
        <v>607</v>
      </c>
      <c r="C2611" s="6" t="s">
        <v>607</v>
      </c>
      <c r="D2611" s="6" t="s">
        <v>607</v>
      </c>
      <c r="E2611" s="6" t="s">
        <v>607</v>
      </c>
      <c r="F2611" s="6" t="s">
        <v>607</v>
      </c>
      <c r="G2611" s="4" t="s">
        <v>607</v>
      </c>
      <c r="H2611" s="4" t="s">
        <v>607</v>
      </c>
      <c r="I2611" s="4" t="s">
        <v>607</v>
      </c>
      <c r="J2611" s="4" t="s">
        <v>607</v>
      </c>
      <c r="K2611" s="4" t="s">
        <v>607</v>
      </c>
      <c r="L2611" s="4" t="s">
        <v>607</v>
      </c>
      <c r="M2611" s="4" t="s">
        <v>607</v>
      </c>
      <c r="N2611" s="4" t="s">
        <v>607</v>
      </c>
      <c r="O2611" s="4"/>
      <c r="P2611" s="4"/>
      <c r="T2611" s="4"/>
    </row>
    <row r="2612">
      <c r="A2612" s="4" t="s">
        <v>6076</v>
      </c>
      <c r="B2612" s="4" t="s">
        <v>607</v>
      </c>
      <c r="C2612" s="6" t="s">
        <v>607</v>
      </c>
      <c r="D2612" s="6" t="s">
        <v>607</v>
      </c>
      <c r="E2612" s="6" t="s">
        <v>607</v>
      </c>
      <c r="F2612" s="6" t="s">
        <v>607</v>
      </c>
      <c r="G2612" s="4" t="s">
        <v>607</v>
      </c>
      <c r="H2612" s="4" t="s">
        <v>607</v>
      </c>
      <c r="I2612" s="4" t="s">
        <v>607</v>
      </c>
      <c r="J2612" s="4" t="s">
        <v>607</v>
      </c>
      <c r="K2612" s="4" t="s">
        <v>607</v>
      </c>
      <c r="L2612" s="4" t="s">
        <v>607</v>
      </c>
      <c r="M2612" s="4" t="s">
        <v>607</v>
      </c>
      <c r="N2612" s="4" t="s">
        <v>607</v>
      </c>
      <c r="O2612" s="4"/>
      <c r="P2612" s="4"/>
      <c r="T2612" s="4"/>
    </row>
    <row r="2613">
      <c r="A2613" s="4" t="s">
        <v>6077</v>
      </c>
      <c r="B2613" s="4" t="s">
        <v>607</v>
      </c>
      <c r="C2613" s="6" t="s">
        <v>607</v>
      </c>
      <c r="D2613" s="6" t="s">
        <v>607</v>
      </c>
      <c r="E2613" s="6" t="s">
        <v>607</v>
      </c>
      <c r="F2613" s="6" t="s">
        <v>607</v>
      </c>
      <c r="G2613" s="4" t="s">
        <v>607</v>
      </c>
      <c r="H2613" s="4" t="s">
        <v>607</v>
      </c>
      <c r="I2613" s="4" t="s">
        <v>607</v>
      </c>
      <c r="J2613" s="4" t="s">
        <v>607</v>
      </c>
      <c r="K2613" s="4" t="s">
        <v>607</v>
      </c>
      <c r="L2613" s="4" t="s">
        <v>607</v>
      </c>
      <c r="M2613" s="4" t="s">
        <v>607</v>
      </c>
      <c r="N2613" s="4" t="s">
        <v>607</v>
      </c>
      <c r="O2613" s="4"/>
      <c r="P2613" s="4"/>
      <c r="T2613" s="4"/>
    </row>
    <row r="2614">
      <c r="A2614" s="4" t="s">
        <v>6080</v>
      </c>
      <c r="B2614" s="4" t="s">
        <v>607</v>
      </c>
      <c r="C2614" s="6" t="s">
        <v>607</v>
      </c>
      <c r="D2614" s="6" t="s">
        <v>607</v>
      </c>
      <c r="E2614" s="6" t="s">
        <v>607</v>
      </c>
      <c r="F2614" s="6" t="s">
        <v>607</v>
      </c>
      <c r="G2614" s="4" t="s">
        <v>607</v>
      </c>
      <c r="H2614" s="4" t="s">
        <v>607</v>
      </c>
      <c r="I2614" s="4" t="s">
        <v>607</v>
      </c>
      <c r="J2614" s="4" t="s">
        <v>607</v>
      </c>
      <c r="K2614" s="4" t="s">
        <v>607</v>
      </c>
      <c r="L2614" s="4" t="s">
        <v>607</v>
      </c>
      <c r="M2614" s="4" t="s">
        <v>607</v>
      </c>
      <c r="N2614" s="4" t="s">
        <v>607</v>
      </c>
      <c r="O2614" s="4"/>
      <c r="P2614" s="4"/>
      <c r="T2614" s="4"/>
    </row>
    <row r="2615">
      <c r="A2615" s="4" t="s">
        <v>6081</v>
      </c>
      <c r="B2615" s="4" t="s">
        <v>607</v>
      </c>
      <c r="C2615" s="6" t="s">
        <v>607</v>
      </c>
      <c r="D2615" s="6" t="s">
        <v>607</v>
      </c>
      <c r="E2615" s="6" t="s">
        <v>607</v>
      </c>
      <c r="F2615" s="6" t="s">
        <v>607</v>
      </c>
      <c r="G2615" s="4" t="s">
        <v>607</v>
      </c>
      <c r="H2615" s="4" t="s">
        <v>607</v>
      </c>
      <c r="I2615" s="4" t="s">
        <v>607</v>
      </c>
      <c r="J2615" s="4" t="s">
        <v>607</v>
      </c>
      <c r="K2615" s="4" t="s">
        <v>607</v>
      </c>
      <c r="L2615" s="4" t="s">
        <v>607</v>
      </c>
      <c r="M2615" s="4" t="s">
        <v>607</v>
      </c>
      <c r="N2615" s="4" t="s">
        <v>607</v>
      </c>
      <c r="O2615" s="4"/>
      <c r="P2615" s="4"/>
      <c r="T2615" s="4"/>
    </row>
    <row r="2616">
      <c r="A2616" s="4" t="s">
        <v>6084</v>
      </c>
      <c r="B2616" s="4" t="s">
        <v>607</v>
      </c>
      <c r="C2616" s="6" t="s">
        <v>607</v>
      </c>
      <c r="D2616" s="6" t="s">
        <v>607</v>
      </c>
      <c r="E2616" s="6" t="s">
        <v>607</v>
      </c>
      <c r="F2616" s="6" t="s">
        <v>607</v>
      </c>
      <c r="G2616" s="4" t="s">
        <v>607</v>
      </c>
      <c r="H2616" s="4" t="s">
        <v>607</v>
      </c>
      <c r="I2616" s="4" t="s">
        <v>607</v>
      </c>
      <c r="J2616" s="4" t="s">
        <v>607</v>
      </c>
      <c r="K2616" s="4" t="s">
        <v>607</v>
      </c>
      <c r="L2616" s="4" t="s">
        <v>607</v>
      </c>
      <c r="M2616" s="4" t="s">
        <v>607</v>
      </c>
      <c r="N2616" s="4" t="s">
        <v>607</v>
      </c>
      <c r="O2616" s="4"/>
      <c r="P2616" s="4"/>
      <c r="T2616" s="4"/>
    </row>
    <row r="2617">
      <c r="A2617" s="4" t="s">
        <v>6085</v>
      </c>
      <c r="B2617" s="4" t="s">
        <v>607</v>
      </c>
      <c r="C2617" s="6" t="s">
        <v>607</v>
      </c>
      <c r="D2617" s="6" t="s">
        <v>607</v>
      </c>
      <c r="E2617" s="6" t="s">
        <v>607</v>
      </c>
      <c r="F2617" s="6" t="s">
        <v>607</v>
      </c>
      <c r="G2617" s="4" t="s">
        <v>607</v>
      </c>
      <c r="H2617" s="4" t="s">
        <v>607</v>
      </c>
      <c r="I2617" s="4" t="s">
        <v>607</v>
      </c>
      <c r="J2617" s="4" t="s">
        <v>607</v>
      </c>
      <c r="K2617" s="4" t="s">
        <v>607</v>
      </c>
      <c r="L2617" s="4" t="s">
        <v>607</v>
      </c>
      <c r="M2617" s="4" t="s">
        <v>607</v>
      </c>
      <c r="N2617" s="4" t="s">
        <v>607</v>
      </c>
      <c r="O2617" s="4"/>
      <c r="P2617" s="4"/>
      <c r="T2617" s="4"/>
    </row>
    <row r="2618">
      <c r="A2618" s="4" t="s">
        <v>6086</v>
      </c>
      <c r="B2618" s="4" t="s">
        <v>607</v>
      </c>
      <c r="C2618" s="6" t="s">
        <v>607</v>
      </c>
      <c r="D2618" s="6" t="s">
        <v>607</v>
      </c>
      <c r="E2618" s="6" t="s">
        <v>607</v>
      </c>
      <c r="F2618" s="6" t="s">
        <v>607</v>
      </c>
      <c r="G2618" s="4" t="s">
        <v>607</v>
      </c>
      <c r="H2618" s="4" t="s">
        <v>607</v>
      </c>
      <c r="I2618" s="4" t="s">
        <v>607</v>
      </c>
      <c r="J2618" s="4" t="s">
        <v>607</v>
      </c>
      <c r="K2618" s="4" t="s">
        <v>607</v>
      </c>
      <c r="L2618" s="4" t="s">
        <v>607</v>
      </c>
      <c r="M2618" s="4" t="s">
        <v>607</v>
      </c>
      <c r="N2618" s="4" t="s">
        <v>607</v>
      </c>
      <c r="O2618" s="4"/>
      <c r="P2618" s="4"/>
      <c r="T2618" s="4"/>
    </row>
    <row r="2619">
      <c r="A2619" s="4" t="s">
        <v>6087</v>
      </c>
      <c r="B2619" s="4" t="s">
        <v>607</v>
      </c>
      <c r="C2619" s="6" t="s">
        <v>607</v>
      </c>
      <c r="D2619" s="6" t="s">
        <v>607</v>
      </c>
      <c r="E2619" s="6" t="s">
        <v>607</v>
      </c>
      <c r="F2619" s="6" t="s">
        <v>607</v>
      </c>
      <c r="G2619" s="4" t="s">
        <v>607</v>
      </c>
      <c r="H2619" s="4" t="s">
        <v>607</v>
      </c>
      <c r="I2619" s="4" t="s">
        <v>607</v>
      </c>
      <c r="J2619" s="4" t="s">
        <v>607</v>
      </c>
      <c r="K2619" s="4" t="s">
        <v>607</v>
      </c>
      <c r="L2619" s="4" t="s">
        <v>607</v>
      </c>
      <c r="M2619" s="4" t="s">
        <v>607</v>
      </c>
      <c r="N2619" s="4" t="s">
        <v>607</v>
      </c>
      <c r="O2619" s="4"/>
      <c r="P2619" s="4"/>
      <c r="T2619" s="4"/>
    </row>
    <row r="2620">
      <c r="A2620" s="4" t="s">
        <v>6090</v>
      </c>
      <c r="B2620" s="4" t="s">
        <v>607</v>
      </c>
      <c r="C2620" s="6" t="s">
        <v>607</v>
      </c>
      <c r="D2620" s="6" t="s">
        <v>607</v>
      </c>
      <c r="E2620" s="6" t="s">
        <v>607</v>
      </c>
      <c r="F2620" s="6" t="s">
        <v>607</v>
      </c>
      <c r="G2620" s="4" t="s">
        <v>607</v>
      </c>
      <c r="H2620" s="4" t="s">
        <v>607</v>
      </c>
      <c r="I2620" s="4" t="s">
        <v>607</v>
      </c>
      <c r="J2620" s="4" t="s">
        <v>607</v>
      </c>
      <c r="K2620" s="4" t="s">
        <v>607</v>
      </c>
      <c r="L2620" s="4" t="s">
        <v>607</v>
      </c>
      <c r="M2620" s="4" t="s">
        <v>607</v>
      </c>
      <c r="N2620" s="4" t="s">
        <v>607</v>
      </c>
      <c r="O2620" s="4"/>
      <c r="P2620" s="4"/>
      <c r="T2620" s="4"/>
    </row>
    <row r="2621">
      <c r="A2621" s="4" t="s">
        <v>6093</v>
      </c>
      <c r="B2621" s="4" t="s">
        <v>607</v>
      </c>
      <c r="C2621" s="6" t="s">
        <v>607</v>
      </c>
      <c r="D2621" s="6" t="s">
        <v>607</v>
      </c>
      <c r="E2621" s="6" t="s">
        <v>607</v>
      </c>
      <c r="F2621" s="6" t="s">
        <v>607</v>
      </c>
      <c r="G2621" s="4" t="s">
        <v>607</v>
      </c>
      <c r="H2621" s="4" t="s">
        <v>607</v>
      </c>
      <c r="I2621" s="4" t="s">
        <v>607</v>
      </c>
      <c r="J2621" s="4" t="s">
        <v>607</v>
      </c>
      <c r="K2621" s="4" t="s">
        <v>607</v>
      </c>
      <c r="L2621" s="4" t="s">
        <v>607</v>
      </c>
      <c r="M2621" s="4" t="s">
        <v>607</v>
      </c>
      <c r="N2621" s="4" t="s">
        <v>607</v>
      </c>
      <c r="O2621" s="4"/>
      <c r="P2621" s="4"/>
      <c r="T2621" s="4"/>
    </row>
    <row r="2622">
      <c r="A2622" s="4" t="s">
        <v>6094</v>
      </c>
      <c r="B2622" s="4" t="s">
        <v>607</v>
      </c>
      <c r="C2622" s="6" t="s">
        <v>607</v>
      </c>
      <c r="D2622" s="6" t="s">
        <v>607</v>
      </c>
      <c r="E2622" s="6" t="s">
        <v>607</v>
      </c>
      <c r="F2622" s="6" t="s">
        <v>607</v>
      </c>
      <c r="G2622" s="4" t="s">
        <v>607</v>
      </c>
      <c r="H2622" s="4" t="s">
        <v>607</v>
      </c>
      <c r="I2622" s="4" t="s">
        <v>607</v>
      </c>
      <c r="J2622" s="4" t="s">
        <v>607</v>
      </c>
      <c r="K2622" s="4" t="s">
        <v>607</v>
      </c>
      <c r="L2622" s="4" t="s">
        <v>607</v>
      </c>
      <c r="M2622" s="4" t="s">
        <v>607</v>
      </c>
      <c r="N2622" s="4" t="s">
        <v>607</v>
      </c>
      <c r="O2622" s="4"/>
      <c r="P2622" s="4"/>
      <c r="T2622" s="4"/>
    </row>
    <row r="2623">
      <c r="A2623" s="4" t="s">
        <v>6098</v>
      </c>
      <c r="B2623" s="4" t="s">
        <v>607</v>
      </c>
      <c r="C2623" s="6" t="s">
        <v>607</v>
      </c>
      <c r="D2623" s="6" t="s">
        <v>607</v>
      </c>
      <c r="E2623" s="6" t="s">
        <v>607</v>
      </c>
      <c r="F2623" s="6" t="s">
        <v>607</v>
      </c>
      <c r="G2623" s="4" t="s">
        <v>607</v>
      </c>
      <c r="H2623" s="4" t="s">
        <v>607</v>
      </c>
      <c r="I2623" s="4" t="s">
        <v>607</v>
      </c>
      <c r="J2623" s="4" t="s">
        <v>607</v>
      </c>
      <c r="K2623" s="4" t="s">
        <v>607</v>
      </c>
      <c r="L2623" s="4" t="s">
        <v>607</v>
      </c>
      <c r="M2623" s="4" t="s">
        <v>607</v>
      </c>
      <c r="N2623" s="4" t="s">
        <v>607</v>
      </c>
      <c r="O2623" s="4"/>
      <c r="P2623" s="4"/>
      <c r="T2623" s="4"/>
    </row>
    <row r="2624">
      <c r="A2624" s="4" t="s">
        <v>6099</v>
      </c>
      <c r="B2624" s="4" t="s">
        <v>607</v>
      </c>
      <c r="C2624" s="6" t="s">
        <v>607</v>
      </c>
      <c r="D2624" s="6" t="s">
        <v>607</v>
      </c>
      <c r="E2624" s="6" t="s">
        <v>607</v>
      </c>
      <c r="F2624" s="6" t="s">
        <v>607</v>
      </c>
      <c r="G2624" s="4" t="s">
        <v>607</v>
      </c>
      <c r="H2624" s="4" t="s">
        <v>607</v>
      </c>
      <c r="I2624" s="4" t="s">
        <v>607</v>
      </c>
      <c r="J2624" s="4" t="s">
        <v>607</v>
      </c>
      <c r="K2624" s="4" t="s">
        <v>607</v>
      </c>
      <c r="L2624" s="4" t="s">
        <v>607</v>
      </c>
      <c r="M2624" s="4" t="s">
        <v>607</v>
      </c>
      <c r="N2624" s="4" t="s">
        <v>607</v>
      </c>
      <c r="O2624" s="4"/>
      <c r="P2624" s="4"/>
      <c r="T2624" s="4"/>
    </row>
    <row r="2625">
      <c r="A2625" s="4" t="s">
        <v>6101</v>
      </c>
      <c r="B2625" s="4" t="s">
        <v>607</v>
      </c>
      <c r="C2625" s="6" t="s">
        <v>607</v>
      </c>
      <c r="D2625" s="6" t="s">
        <v>607</v>
      </c>
      <c r="E2625" s="6" t="s">
        <v>607</v>
      </c>
      <c r="F2625" s="6" t="s">
        <v>607</v>
      </c>
      <c r="G2625" s="4" t="s">
        <v>607</v>
      </c>
      <c r="H2625" s="4" t="s">
        <v>607</v>
      </c>
      <c r="I2625" s="4" t="s">
        <v>607</v>
      </c>
      <c r="J2625" s="4" t="s">
        <v>607</v>
      </c>
      <c r="K2625" s="4" t="s">
        <v>607</v>
      </c>
      <c r="L2625" s="4" t="s">
        <v>607</v>
      </c>
      <c r="M2625" s="4" t="s">
        <v>607</v>
      </c>
      <c r="N2625" s="4" t="s">
        <v>607</v>
      </c>
      <c r="O2625" s="4"/>
      <c r="P2625" s="4"/>
      <c r="T2625" s="4"/>
    </row>
    <row r="2626">
      <c r="A2626" s="4" t="s">
        <v>6104</v>
      </c>
      <c r="B2626" s="4" t="s">
        <v>607</v>
      </c>
      <c r="C2626" s="6" t="s">
        <v>607</v>
      </c>
      <c r="D2626" s="6" t="s">
        <v>607</v>
      </c>
      <c r="E2626" s="6" t="s">
        <v>607</v>
      </c>
      <c r="F2626" s="6" t="s">
        <v>607</v>
      </c>
      <c r="G2626" s="4" t="s">
        <v>607</v>
      </c>
      <c r="H2626" s="4" t="s">
        <v>607</v>
      </c>
      <c r="I2626" s="4" t="s">
        <v>607</v>
      </c>
      <c r="J2626" s="4" t="s">
        <v>607</v>
      </c>
      <c r="K2626" s="4" t="s">
        <v>607</v>
      </c>
      <c r="L2626" s="4" t="s">
        <v>607</v>
      </c>
      <c r="M2626" s="4" t="s">
        <v>607</v>
      </c>
      <c r="N2626" s="4" t="s">
        <v>607</v>
      </c>
      <c r="O2626" s="4"/>
      <c r="P2626" s="4"/>
      <c r="T2626" s="4"/>
    </row>
    <row r="2627">
      <c r="A2627" s="4" t="s">
        <v>6105</v>
      </c>
      <c r="B2627" s="4" t="s">
        <v>607</v>
      </c>
      <c r="C2627" s="6" t="s">
        <v>607</v>
      </c>
      <c r="D2627" s="6" t="s">
        <v>607</v>
      </c>
      <c r="E2627" s="6" t="s">
        <v>607</v>
      </c>
      <c r="F2627" s="6" t="s">
        <v>607</v>
      </c>
      <c r="G2627" s="4" t="s">
        <v>607</v>
      </c>
      <c r="H2627" s="4" t="s">
        <v>607</v>
      </c>
      <c r="I2627" s="4" t="s">
        <v>607</v>
      </c>
      <c r="J2627" s="4" t="s">
        <v>607</v>
      </c>
      <c r="K2627" s="4" t="s">
        <v>607</v>
      </c>
      <c r="L2627" s="4" t="s">
        <v>607</v>
      </c>
      <c r="M2627" s="4" t="s">
        <v>607</v>
      </c>
      <c r="N2627" s="4" t="s">
        <v>607</v>
      </c>
      <c r="O2627" s="4"/>
      <c r="P2627" s="4"/>
      <c r="T2627" s="4"/>
    </row>
    <row r="2628">
      <c r="A2628" s="4" t="s">
        <v>6109</v>
      </c>
      <c r="B2628" s="4" t="s">
        <v>607</v>
      </c>
      <c r="C2628" s="6" t="s">
        <v>607</v>
      </c>
      <c r="D2628" s="6" t="s">
        <v>607</v>
      </c>
      <c r="E2628" s="6" t="s">
        <v>607</v>
      </c>
      <c r="F2628" s="6" t="s">
        <v>607</v>
      </c>
      <c r="G2628" s="4" t="s">
        <v>607</v>
      </c>
      <c r="H2628" s="4" t="s">
        <v>607</v>
      </c>
      <c r="I2628" s="4" t="s">
        <v>607</v>
      </c>
      <c r="J2628" s="4" t="s">
        <v>607</v>
      </c>
      <c r="K2628" s="4" t="s">
        <v>607</v>
      </c>
      <c r="L2628" s="4" t="s">
        <v>607</v>
      </c>
      <c r="M2628" s="4" t="s">
        <v>607</v>
      </c>
      <c r="N2628" s="4" t="s">
        <v>607</v>
      </c>
      <c r="O2628" s="4"/>
      <c r="P2628" s="4"/>
      <c r="T2628" s="4"/>
    </row>
    <row r="2629">
      <c r="A2629" s="4" t="s">
        <v>6112</v>
      </c>
      <c r="B2629" s="4" t="s">
        <v>607</v>
      </c>
      <c r="C2629" s="6" t="s">
        <v>607</v>
      </c>
      <c r="D2629" s="6" t="s">
        <v>607</v>
      </c>
      <c r="E2629" s="6" t="s">
        <v>607</v>
      </c>
      <c r="F2629" s="6" t="s">
        <v>607</v>
      </c>
      <c r="G2629" s="4" t="s">
        <v>607</v>
      </c>
      <c r="H2629" s="4" t="s">
        <v>607</v>
      </c>
      <c r="I2629" s="4" t="s">
        <v>607</v>
      </c>
      <c r="J2629" s="4" t="s">
        <v>607</v>
      </c>
      <c r="K2629" s="4" t="s">
        <v>607</v>
      </c>
      <c r="L2629" s="4" t="s">
        <v>607</v>
      </c>
      <c r="M2629" s="4" t="s">
        <v>607</v>
      </c>
      <c r="N2629" s="4" t="s">
        <v>607</v>
      </c>
      <c r="O2629" s="4"/>
      <c r="P2629" s="4"/>
      <c r="T2629" s="4"/>
    </row>
    <row r="2630">
      <c r="A2630" s="4" t="s">
        <v>6113</v>
      </c>
      <c r="B2630" s="4" t="s">
        <v>607</v>
      </c>
      <c r="C2630" s="6" t="s">
        <v>607</v>
      </c>
      <c r="D2630" s="6" t="s">
        <v>607</v>
      </c>
      <c r="E2630" s="6" t="s">
        <v>607</v>
      </c>
      <c r="F2630" s="6" t="s">
        <v>607</v>
      </c>
      <c r="G2630" s="4" t="s">
        <v>607</v>
      </c>
      <c r="H2630" s="4" t="s">
        <v>607</v>
      </c>
      <c r="I2630" s="4" t="s">
        <v>607</v>
      </c>
      <c r="J2630" s="4" t="s">
        <v>607</v>
      </c>
      <c r="K2630" s="4" t="s">
        <v>607</v>
      </c>
      <c r="L2630" s="4" t="s">
        <v>607</v>
      </c>
      <c r="M2630" s="4" t="s">
        <v>607</v>
      </c>
      <c r="N2630" s="4" t="s">
        <v>607</v>
      </c>
      <c r="O2630" s="4"/>
      <c r="P2630" s="4"/>
      <c r="T2630" s="4"/>
    </row>
    <row r="2631">
      <c r="A2631" s="4" t="s">
        <v>6117</v>
      </c>
      <c r="B2631" s="4" t="s">
        <v>607</v>
      </c>
      <c r="C2631" s="6" t="s">
        <v>607</v>
      </c>
      <c r="D2631" s="6" t="s">
        <v>607</v>
      </c>
      <c r="E2631" s="6" t="s">
        <v>607</v>
      </c>
      <c r="F2631" s="6" t="s">
        <v>607</v>
      </c>
      <c r="G2631" s="4" t="s">
        <v>607</v>
      </c>
      <c r="H2631" s="4" t="s">
        <v>607</v>
      </c>
      <c r="I2631" s="4" t="s">
        <v>607</v>
      </c>
      <c r="J2631" s="4" t="s">
        <v>607</v>
      </c>
      <c r="K2631" s="4" t="s">
        <v>607</v>
      </c>
      <c r="L2631" s="4" t="s">
        <v>607</v>
      </c>
      <c r="M2631" s="4" t="s">
        <v>607</v>
      </c>
      <c r="N2631" s="4" t="s">
        <v>607</v>
      </c>
      <c r="O2631" s="4"/>
      <c r="P2631" s="4"/>
      <c r="T2631" s="4"/>
    </row>
    <row r="2632">
      <c r="A2632" s="4" t="s">
        <v>6118</v>
      </c>
      <c r="B2632" s="4" t="s">
        <v>607</v>
      </c>
      <c r="C2632" s="6" t="s">
        <v>607</v>
      </c>
      <c r="D2632" s="6" t="s">
        <v>607</v>
      </c>
      <c r="E2632" s="6" t="s">
        <v>607</v>
      </c>
      <c r="F2632" s="6" t="s">
        <v>607</v>
      </c>
      <c r="G2632" s="4" t="s">
        <v>607</v>
      </c>
      <c r="H2632" s="4" t="s">
        <v>607</v>
      </c>
      <c r="I2632" s="4" t="s">
        <v>607</v>
      </c>
      <c r="J2632" s="4" t="s">
        <v>607</v>
      </c>
      <c r="K2632" s="4" t="s">
        <v>607</v>
      </c>
      <c r="L2632" s="4" t="s">
        <v>607</v>
      </c>
      <c r="M2632" s="4" t="s">
        <v>607</v>
      </c>
      <c r="N2632" s="4" t="s">
        <v>607</v>
      </c>
      <c r="O2632" s="4"/>
      <c r="P2632" s="4"/>
      <c r="T2632" s="4"/>
    </row>
    <row r="2633">
      <c r="A2633" s="4" t="s">
        <v>6119</v>
      </c>
      <c r="B2633" s="4" t="s">
        <v>607</v>
      </c>
      <c r="C2633" s="6" t="s">
        <v>607</v>
      </c>
      <c r="D2633" s="6" t="s">
        <v>607</v>
      </c>
      <c r="E2633" s="6" t="s">
        <v>607</v>
      </c>
      <c r="F2633" s="6" t="s">
        <v>607</v>
      </c>
      <c r="G2633" s="4" t="s">
        <v>607</v>
      </c>
      <c r="H2633" s="4" t="s">
        <v>607</v>
      </c>
      <c r="I2633" s="4" t="s">
        <v>607</v>
      </c>
      <c r="J2633" s="4" t="s">
        <v>607</v>
      </c>
      <c r="K2633" s="4" t="s">
        <v>607</v>
      </c>
      <c r="L2633" s="4" t="s">
        <v>607</v>
      </c>
      <c r="M2633" s="4" t="s">
        <v>607</v>
      </c>
      <c r="N2633" s="4" t="s">
        <v>607</v>
      </c>
      <c r="O2633" s="4"/>
      <c r="P2633" s="4"/>
      <c r="T2633" s="4"/>
    </row>
    <row r="2634">
      <c r="A2634" s="4" t="s">
        <v>6123</v>
      </c>
      <c r="B2634" s="4" t="s">
        <v>607</v>
      </c>
      <c r="C2634" s="6" t="s">
        <v>607</v>
      </c>
      <c r="D2634" s="6" t="s">
        <v>607</v>
      </c>
      <c r="E2634" s="6" t="s">
        <v>607</v>
      </c>
      <c r="F2634" s="6" t="s">
        <v>607</v>
      </c>
      <c r="G2634" s="4" t="s">
        <v>607</v>
      </c>
      <c r="H2634" s="4" t="s">
        <v>607</v>
      </c>
      <c r="I2634" s="4" t="s">
        <v>607</v>
      </c>
      <c r="J2634" s="4" t="s">
        <v>607</v>
      </c>
      <c r="K2634" s="4" t="s">
        <v>607</v>
      </c>
      <c r="L2634" s="4" t="s">
        <v>607</v>
      </c>
      <c r="M2634" s="4" t="s">
        <v>607</v>
      </c>
      <c r="N2634" s="4" t="s">
        <v>607</v>
      </c>
      <c r="O2634" s="4"/>
      <c r="P2634" s="4"/>
      <c r="T2634" s="4"/>
    </row>
    <row r="2635">
      <c r="A2635" s="4" t="s">
        <v>6124</v>
      </c>
      <c r="B2635" s="4" t="s">
        <v>607</v>
      </c>
      <c r="C2635" s="6" t="s">
        <v>607</v>
      </c>
      <c r="D2635" s="6" t="s">
        <v>607</v>
      </c>
      <c r="E2635" s="6" t="s">
        <v>607</v>
      </c>
      <c r="F2635" s="6" t="s">
        <v>607</v>
      </c>
      <c r="G2635" s="4" t="s">
        <v>607</v>
      </c>
      <c r="H2635" s="4" t="s">
        <v>607</v>
      </c>
      <c r="I2635" s="4" t="s">
        <v>607</v>
      </c>
      <c r="J2635" s="4" t="s">
        <v>607</v>
      </c>
      <c r="K2635" s="4" t="s">
        <v>607</v>
      </c>
      <c r="L2635" s="4" t="s">
        <v>607</v>
      </c>
      <c r="M2635" s="4" t="s">
        <v>607</v>
      </c>
      <c r="N2635" s="4" t="s">
        <v>607</v>
      </c>
      <c r="O2635" s="4"/>
      <c r="P2635" s="4"/>
      <c r="T2635" s="4"/>
    </row>
    <row r="2636">
      <c r="A2636" s="4" t="s">
        <v>6128</v>
      </c>
      <c r="B2636" s="4" t="s">
        <v>607</v>
      </c>
      <c r="C2636" s="6" t="s">
        <v>607</v>
      </c>
      <c r="D2636" s="6" t="s">
        <v>607</v>
      </c>
      <c r="E2636" s="6" t="s">
        <v>607</v>
      </c>
      <c r="F2636" s="6" t="s">
        <v>607</v>
      </c>
      <c r="G2636" s="4" t="s">
        <v>607</v>
      </c>
      <c r="H2636" s="4" t="s">
        <v>607</v>
      </c>
      <c r="I2636" s="4" t="s">
        <v>607</v>
      </c>
      <c r="J2636" s="4" t="s">
        <v>607</v>
      </c>
      <c r="K2636" s="4" t="s">
        <v>607</v>
      </c>
      <c r="L2636" s="4" t="s">
        <v>607</v>
      </c>
      <c r="M2636" s="4" t="s">
        <v>607</v>
      </c>
      <c r="N2636" s="4" t="s">
        <v>607</v>
      </c>
      <c r="O2636" s="4"/>
      <c r="P2636" s="4"/>
      <c r="T2636" s="4"/>
    </row>
    <row r="2637">
      <c r="A2637" s="4" t="s">
        <v>6129</v>
      </c>
      <c r="B2637" s="4" t="s">
        <v>607</v>
      </c>
      <c r="C2637" s="6" t="s">
        <v>607</v>
      </c>
      <c r="D2637" s="6" t="s">
        <v>607</v>
      </c>
      <c r="E2637" s="6" t="s">
        <v>607</v>
      </c>
      <c r="F2637" s="6" t="s">
        <v>607</v>
      </c>
      <c r="G2637" s="4" t="s">
        <v>607</v>
      </c>
      <c r="H2637" s="4" t="s">
        <v>607</v>
      </c>
      <c r="I2637" s="4" t="s">
        <v>607</v>
      </c>
      <c r="J2637" s="4" t="s">
        <v>607</v>
      </c>
      <c r="K2637" s="4" t="s">
        <v>607</v>
      </c>
      <c r="L2637" s="4" t="s">
        <v>607</v>
      </c>
      <c r="M2637" s="4" t="s">
        <v>607</v>
      </c>
      <c r="N2637" s="4" t="s">
        <v>607</v>
      </c>
      <c r="O2637" s="4"/>
      <c r="P2637" s="4"/>
      <c r="T2637" s="4"/>
    </row>
    <row r="2638">
      <c r="A2638" s="4" t="s">
        <v>6130</v>
      </c>
      <c r="B2638" s="4" t="s">
        <v>607</v>
      </c>
      <c r="C2638" s="6" t="s">
        <v>607</v>
      </c>
      <c r="D2638" s="6" t="s">
        <v>607</v>
      </c>
      <c r="E2638" s="6" t="s">
        <v>607</v>
      </c>
      <c r="F2638" s="6" t="s">
        <v>607</v>
      </c>
      <c r="G2638" s="4" t="s">
        <v>607</v>
      </c>
      <c r="H2638" s="4" t="s">
        <v>607</v>
      </c>
      <c r="I2638" s="4" t="s">
        <v>607</v>
      </c>
      <c r="J2638" s="4" t="s">
        <v>607</v>
      </c>
      <c r="K2638" s="4" t="s">
        <v>607</v>
      </c>
      <c r="L2638" s="4" t="s">
        <v>607</v>
      </c>
      <c r="M2638" s="4" t="s">
        <v>607</v>
      </c>
      <c r="N2638" s="4" t="s">
        <v>607</v>
      </c>
      <c r="O2638" s="4"/>
      <c r="P2638" s="4"/>
      <c r="T2638" s="4"/>
    </row>
    <row r="2639">
      <c r="A2639" s="4" t="s">
        <v>6132</v>
      </c>
      <c r="B2639" s="4" t="s">
        <v>607</v>
      </c>
      <c r="C2639" s="6" t="s">
        <v>607</v>
      </c>
      <c r="D2639" s="6" t="s">
        <v>607</v>
      </c>
      <c r="E2639" s="6" t="s">
        <v>607</v>
      </c>
      <c r="F2639" s="6" t="s">
        <v>607</v>
      </c>
      <c r="G2639" s="4" t="s">
        <v>607</v>
      </c>
      <c r="H2639" s="4" t="s">
        <v>607</v>
      </c>
      <c r="I2639" s="4" t="s">
        <v>607</v>
      </c>
      <c r="J2639" s="4" t="s">
        <v>607</v>
      </c>
      <c r="K2639" s="4" t="s">
        <v>607</v>
      </c>
      <c r="L2639" s="4" t="s">
        <v>607</v>
      </c>
      <c r="M2639" s="4" t="s">
        <v>607</v>
      </c>
      <c r="N2639" s="4" t="s">
        <v>607</v>
      </c>
      <c r="O2639" s="4"/>
      <c r="P2639" s="4"/>
      <c r="T2639" s="4"/>
    </row>
    <row r="2640">
      <c r="A2640" s="4" t="s">
        <v>6135</v>
      </c>
      <c r="B2640" s="4" t="s">
        <v>607</v>
      </c>
      <c r="C2640" s="6" t="s">
        <v>607</v>
      </c>
      <c r="D2640" s="6" t="s">
        <v>607</v>
      </c>
      <c r="E2640" s="6" t="s">
        <v>607</v>
      </c>
      <c r="F2640" s="6" t="s">
        <v>607</v>
      </c>
      <c r="G2640" s="4" t="s">
        <v>607</v>
      </c>
      <c r="H2640" s="4" t="s">
        <v>607</v>
      </c>
      <c r="I2640" s="4" t="s">
        <v>607</v>
      </c>
      <c r="J2640" s="4" t="s">
        <v>607</v>
      </c>
      <c r="K2640" s="4" t="s">
        <v>607</v>
      </c>
      <c r="L2640" s="4" t="s">
        <v>607</v>
      </c>
      <c r="M2640" s="4" t="s">
        <v>607</v>
      </c>
      <c r="N2640" s="4" t="s">
        <v>607</v>
      </c>
      <c r="O2640" s="4"/>
      <c r="P2640" s="4"/>
      <c r="T2640" s="4"/>
    </row>
    <row r="2641">
      <c r="A2641" s="4" t="s">
        <v>6136</v>
      </c>
      <c r="B2641" s="4" t="s">
        <v>607</v>
      </c>
      <c r="C2641" s="6" t="s">
        <v>607</v>
      </c>
      <c r="D2641" s="6" t="s">
        <v>607</v>
      </c>
      <c r="E2641" s="6" t="s">
        <v>607</v>
      </c>
      <c r="F2641" s="6" t="s">
        <v>607</v>
      </c>
      <c r="G2641" s="4" t="s">
        <v>607</v>
      </c>
      <c r="H2641" s="4" t="s">
        <v>607</v>
      </c>
      <c r="I2641" s="4" t="s">
        <v>607</v>
      </c>
      <c r="J2641" s="4" t="s">
        <v>607</v>
      </c>
      <c r="K2641" s="4" t="s">
        <v>607</v>
      </c>
      <c r="L2641" s="4" t="s">
        <v>607</v>
      </c>
      <c r="M2641" s="4" t="s">
        <v>607</v>
      </c>
      <c r="N2641" s="4" t="s">
        <v>607</v>
      </c>
      <c r="O2641" s="4"/>
      <c r="P2641" s="4"/>
      <c r="T2641" s="4"/>
    </row>
    <row r="2642">
      <c r="A2642" s="4" t="s">
        <v>6137</v>
      </c>
      <c r="B2642" s="4" t="s">
        <v>607</v>
      </c>
      <c r="C2642" s="6" t="s">
        <v>607</v>
      </c>
      <c r="D2642" s="6" t="s">
        <v>607</v>
      </c>
      <c r="E2642" s="6" t="s">
        <v>607</v>
      </c>
      <c r="F2642" s="6" t="s">
        <v>607</v>
      </c>
      <c r="G2642" s="4" t="s">
        <v>607</v>
      </c>
      <c r="H2642" s="4" t="s">
        <v>607</v>
      </c>
      <c r="I2642" s="4" t="s">
        <v>607</v>
      </c>
      <c r="J2642" s="4" t="s">
        <v>607</v>
      </c>
      <c r="K2642" s="4" t="s">
        <v>607</v>
      </c>
      <c r="L2642" s="4" t="s">
        <v>607</v>
      </c>
      <c r="M2642" s="4" t="s">
        <v>607</v>
      </c>
      <c r="N2642" s="4" t="s">
        <v>607</v>
      </c>
      <c r="O2642" s="4"/>
      <c r="P2642" s="4"/>
      <c r="T2642" s="4"/>
    </row>
    <row r="2643">
      <c r="A2643" s="4" t="s">
        <v>6139</v>
      </c>
      <c r="B2643" s="4" t="s">
        <v>607</v>
      </c>
      <c r="C2643" s="6" t="s">
        <v>607</v>
      </c>
      <c r="D2643" s="6" t="s">
        <v>607</v>
      </c>
      <c r="E2643" s="6" t="s">
        <v>607</v>
      </c>
      <c r="F2643" s="6" t="s">
        <v>607</v>
      </c>
      <c r="G2643" s="4" t="s">
        <v>607</v>
      </c>
      <c r="H2643" s="4" t="s">
        <v>607</v>
      </c>
      <c r="I2643" s="4" t="s">
        <v>607</v>
      </c>
      <c r="J2643" s="4" t="s">
        <v>607</v>
      </c>
      <c r="K2643" s="4" t="s">
        <v>607</v>
      </c>
      <c r="L2643" s="4" t="s">
        <v>607</v>
      </c>
      <c r="M2643" s="4" t="s">
        <v>607</v>
      </c>
      <c r="N2643" s="4" t="s">
        <v>607</v>
      </c>
      <c r="O2643" s="4"/>
      <c r="P2643" s="4"/>
      <c r="T2643" s="4"/>
    </row>
    <row r="2644">
      <c r="A2644" s="4" t="s">
        <v>6142</v>
      </c>
      <c r="B2644" s="4" t="s">
        <v>607</v>
      </c>
      <c r="C2644" s="6" t="s">
        <v>607</v>
      </c>
      <c r="D2644" s="6" t="s">
        <v>607</v>
      </c>
      <c r="E2644" s="6" t="s">
        <v>607</v>
      </c>
      <c r="F2644" s="6" t="s">
        <v>607</v>
      </c>
      <c r="G2644" s="4" t="s">
        <v>607</v>
      </c>
      <c r="H2644" s="4" t="s">
        <v>607</v>
      </c>
      <c r="I2644" s="4" t="s">
        <v>607</v>
      </c>
      <c r="J2644" s="4" t="s">
        <v>607</v>
      </c>
      <c r="K2644" s="4" t="s">
        <v>607</v>
      </c>
      <c r="L2644" s="4" t="s">
        <v>607</v>
      </c>
      <c r="M2644" s="4" t="s">
        <v>607</v>
      </c>
      <c r="N2644" s="4" t="s">
        <v>607</v>
      </c>
      <c r="O2644" s="4"/>
      <c r="P2644" s="4"/>
      <c r="T2644" s="4"/>
    </row>
    <row r="2645">
      <c r="A2645" s="4" t="s">
        <v>6143</v>
      </c>
      <c r="B2645" s="4" t="s">
        <v>607</v>
      </c>
      <c r="C2645" s="6" t="s">
        <v>607</v>
      </c>
      <c r="D2645" s="6" t="s">
        <v>607</v>
      </c>
      <c r="E2645" s="6" t="s">
        <v>607</v>
      </c>
      <c r="F2645" s="6" t="s">
        <v>607</v>
      </c>
      <c r="G2645" s="4" t="s">
        <v>607</v>
      </c>
      <c r="H2645" s="4" t="s">
        <v>607</v>
      </c>
      <c r="I2645" s="4" t="s">
        <v>607</v>
      </c>
      <c r="J2645" s="4" t="s">
        <v>607</v>
      </c>
      <c r="K2645" s="4" t="s">
        <v>607</v>
      </c>
      <c r="L2645" s="4" t="s">
        <v>607</v>
      </c>
      <c r="M2645" s="4" t="s">
        <v>607</v>
      </c>
      <c r="N2645" s="4" t="s">
        <v>607</v>
      </c>
      <c r="O2645" s="4"/>
      <c r="P2645" s="4"/>
      <c r="T2645" s="4"/>
    </row>
    <row r="2646">
      <c r="A2646" s="4" t="s">
        <v>6144</v>
      </c>
      <c r="B2646" s="4" t="s">
        <v>607</v>
      </c>
      <c r="C2646" s="6" t="s">
        <v>607</v>
      </c>
      <c r="D2646" s="6" t="s">
        <v>607</v>
      </c>
      <c r="E2646" s="6" t="s">
        <v>607</v>
      </c>
      <c r="F2646" s="6" t="s">
        <v>607</v>
      </c>
      <c r="G2646" s="4" t="s">
        <v>607</v>
      </c>
      <c r="H2646" s="4" t="s">
        <v>607</v>
      </c>
      <c r="I2646" s="4" t="s">
        <v>607</v>
      </c>
      <c r="J2646" s="4" t="s">
        <v>607</v>
      </c>
      <c r="K2646" s="4" t="s">
        <v>607</v>
      </c>
      <c r="L2646" s="4" t="s">
        <v>607</v>
      </c>
      <c r="M2646" s="4" t="s">
        <v>607</v>
      </c>
      <c r="N2646" s="4" t="s">
        <v>607</v>
      </c>
      <c r="O2646" s="4"/>
      <c r="P2646" s="4"/>
      <c r="T2646" s="4"/>
    </row>
    <row r="2647">
      <c r="A2647" s="4" t="s">
        <v>6148</v>
      </c>
      <c r="B2647" s="4" t="s">
        <v>607</v>
      </c>
      <c r="C2647" s="6" t="s">
        <v>607</v>
      </c>
      <c r="D2647" s="6" t="s">
        <v>607</v>
      </c>
      <c r="E2647" s="6" t="s">
        <v>607</v>
      </c>
      <c r="F2647" s="6" t="s">
        <v>607</v>
      </c>
      <c r="G2647" s="4" t="s">
        <v>607</v>
      </c>
      <c r="H2647" s="4" t="s">
        <v>607</v>
      </c>
      <c r="I2647" s="4" t="s">
        <v>607</v>
      </c>
      <c r="J2647" s="4" t="s">
        <v>607</v>
      </c>
      <c r="K2647" s="4" t="s">
        <v>607</v>
      </c>
      <c r="L2647" s="4" t="s">
        <v>607</v>
      </c>
      <c r="M2647" s="4" t="s">
        <v>607</v>
      </c>
      <c r="N2647" s="4" t="s">
        <v>607</v>
      </c>
      <c r="O2647" s="4"/>
      <c r="P2647" s="4"/>
      <c r="T2647" s="4"/>
    </row>
    <row r="2648">
      <c r="A2648" s="4" t="s">
        <v>6149</v>
      </c>
      <c r="B2648" s="4" t="s">
        <v>607</v>
      </c>
      <c r="C2648" s="6" t="s">
        <v>607</v>
      </c>
      <c r="D2648" s="6" t="s">
        <v>607</v>
      </c>
      <c r="E2648" s="6" t="s">
        <v>607</v>
      </c>
      <c r="F2648" s="6" t="s">
        <v>607</v>
      </c>
      <c r="G2648" s="4" t="s">
        <v>607</v>
      </c>
      <c r="H2648" s="4" t="s">
        <v>607</v>
      </c>
      <c r="I2648" s="4" t="s">
        <v>607</v>
      </c>
      <c r="J2648" s="4" t="s">
        <v>607</v>
      </c>
      <c r="K2648" s="4" t="s">
        <v>607</v>
      </c>
      <c r="L2648" s="4" t="s">
        <v>607</v>
      </c>
      <c r="M2648" s="4" t="s">
        <v>607</v>
      </c>
      <c r="N2648" s="4" t="s">
        <v>607</v>
      </c>
      <c r="O2648" s="4"/>
      <c r="P2648" s="4"/>
      <c r="T2648" s="4"/>
    </row>
    <row r="2649">
      <c r="A2649" s="4" t="s">
        <v>6150</v>
      </c>
      <c r="B2649" s="4" t="s">
        <v>607</v>
      </c>
      <c r="C2649" s="6" t="s">
        <v>607</v>
      </c>
      <c r="D2649" s="6" t="s">
        <v>607</v>
      </c>
      <c r="E2649" s="6" t="s">
        <v>607</v>
      </c>
      <c r="F2649" s="6" t="s">
        <v>607</v>
      </c>
      <c r="G2649" s="4" t="s">
        <v>607</v>
      </c>
      <c r="H2649" s="4" t="s">
        <v>607</v>
      </c>
      <c r="I2649" s="4" t="s">
        <v>607</v>
      </c>
      <c r="J2649" s="4" t="s">
        <v>607</v>
      </c>
      <c r="K2649" s="4" t="s">
        <v>607</v>
      </c>
      <c r="L2649" s="4" t="s">
        <v>607</v>
      </c>
      <c r="M2649" s="4" t="s">
        <v>607</v>
      </c>
      <c r="N2649" s="4" t="s">
        <v>607</v>
      </c>
      <c r="O2649" s="4"/>
      <c r="P2649" s="4"/>
      <c r="T2649" s="4"/>
    </row>
    <row r="2650">
      <c r="A2650" s="4" t="s">
        <v>6154</v>
      </c>
      <c r="B2650" s="4" t="s">
        <v>607</v>
      </c>
      <c r="C2650" s="6" t="s">
        <v>607</v>
      </c>
      <c r="D2650" s="6" t="s">
        <v>607</v>
      </c>
      <c r="E2650" s="6" t="s">
        <v>607</v>
      </c>
      <c r="F2650" s="6" t="s">
        <v>607</v>
      </c>
      <c r="G2650" s="4" t="s">
        <v>607</v>
      </c>
      <c r="H2650" s="4" t="s">
        <v>607</v>
      </c>
      <c r="I2650" s="4" t="s">
        <v>607</v>
      </c>
      <c r="J2650" s="4" t="s">
        <v>607</v>
      </c>
      <c r="K2650" s="4" t="s">
        <v>607</v>
      </c>
      <c r="L2650" s="4" t="s">
        <v>607</v>
      </c>
      <c r="M2650" s="4" t="s">
        <v>607</v>
      </c>
      <c r="N2650" s="4" t="s">
        <v>607</v>
      </c>
      <c r="O2650" s="4"/>
      <c r="P2650" s="4"/>
      <c r="T2650" s="4"/>
    </row>
    <row r="2651">
      <c r="A2651" s="4" t="s">
        <v>6155</v>
      </c>
      <c r="B2651" s="4" t="s">
        <v>607</v>
      </c>
      <c r="C2651" s="6" t="s">
        <v>607</v>
      </c>
      <c r="D2651" s="6" t="s">
        <v>607</v>
      </c>
      <c r="E2651" s="6" t="s">
        <v>607</v>
      </c>
      <c r="F2651" s="6" t="s">
        <v>607</v>
      </c>
      <c r="G2651" s="4" t="s">
        <v>607</v>
      </c>
      <c r="H2651" s="4" t="s">
        <v>607</v>
      </c>
      <c r="I2651" s="4" t="s">
        <v>607</v>
      </c>
      <c r="J2651" s="4" t="s">
        <v>607</v>
      </c>
      <c r="K2651" s="4" t="s">
        <v>607</v>
      </c>
      <c r="L2651" s="4" t="s">
        <v>607</v>
      </c>
      <c r="M2651" s="4" t="s">
        <v>607</v>
      </c>
      <c r="N2651" s="4" t="s">
        <v>607</v>
      </c>
      <c r="O2651" s="4"/>
      <c r="P2651" s="4"/>
      <c r="T2651" s="4"/>
    </row>
    <row r="2652">
      <c r="A2652" s="4" t="s">
        <v>6156</v>
      </c>
      <c r="B2652" s="4" t="s">
        <v>607</v>
      </c>
      <c r="C2652" s="6" t="s">
        <v>607</v>
      </c>
      <c r="D2652" s="6" t="s">
        <v>607</v>
      </c>
      <c r="E2652" s="6" t="s">
        <v>607</v>
      </c>
      <c r="F2652" s="6" t="s">
        <v>607</v>
      </c>
      <c r="G2652" s="4" t="s">
        <v>607</v>
      </c>
      <c r="H2652" s="4" t="s">
        <v>607</v>
      </c>
      <c r="I2652" s="4" t="s">
        <v>607</v>
      </c>
      <c r="J2652" s="4" t="s">
        <v>607</v>
      </c>
      <c r="K2652" s="4" t="s">
        <v>607</v>
      </c>
      <c r="L2652" s="4" t="s">
        <v>607</v>
      </c>
      <c r="M2652" s="4" t="s">
        <v>607</v>
      </c>
      <c r="N2652" s="4" t="s">
        <v>607</v>
      </c>
      <c r="O2652" s="4"/>
      <c r="P2652" s="4"/>
      <c r="T2652" s="4"/>
    </row>
    <row r="2653">
      <c r="A2653" s="4" t="s">
        <v>6158</v>
      </c>
      <c r="B2653" s="4" t="s">
        <v>607</v>
      </c>
      <c r="C2653" s="6" t="s">
        <v>607</v>
      </c>
      <c r="D2653" s="6" t="s">
        <v>607</v>
      </c>
      <c r="E2653" s="6" t="s">
        <v>607</v>
      </c>
      <c r="F2653" s="6" t="s">
        <v>607</v>
      </c>
      <c r="G2653" s="4" t="s">
        <v>607</v>
      </c>
      <c r="H2653" s="4" t="s">
        <v>607</v>
      </c>
      <c r="I2653" s="4" t="s">
        <v>607</v>
      </c>
      <c r="J2653" s="4" t="s">
        <v>607</v>
      </c>
      <c r="K2653" s="4" t="s">
        <v>607</v>
      </c>
      <c r="L2653" s="4" t="s">
        <v>607</v>
      </c>
      <c r="M2653" s="4" t="s">
        <v>607</v>
      </c>
      <c r="N2653" s="4" t="s">
        <v>607</v>
      </c>
      <c r="O2653" s="4"/>
      <c r="P2653" s="4"/>
      <c r="T2653" s="4"/>
    </row>
    <row r="2654">
      <c r="A2654" s="4" t="s">
        <v>6161</v>
      </c>
      <c r="B2654" s="4" t="s">
        <v>607</v>
      </c>
      <c r="C2654" s="6" t="s">
        <v>607</v>
      </c>
      <c r="D2654" s="6" t="s">
        <v>607</v>
      </c>
      <c r="E2654" s="6" t="s">
        <v>607</v>
      </c>
      <c r="F2654" s="6" t="s">
        <v>607</v>
      </c>
      <c r="G2654" s="4" t="s">
        <v>607</v>
      </c>
      <c r="H2654" s="4" t="s">
        <v>607</v>
      </c>
      <c r="I2654" s="4" t="s">
        <v>607</v>
      </c>
      <c r="J2654" s="4" t="s">
        <v>607</v>
      </c>
      <c r="K2654" s="4" t="s">
        <v>607</v>
      </c>
      <c r="L2654" s="4" t="s">
        <v>607</v>
      </c>
      <c r="M2654" s="4" t="s">
        <v>607</v>
      </c>
      <c r="N2654" s="4" t="s">
        <v>607</v>
      </c>
      <c r="O2654" s="4"/>
      <c r="P2654" s="4"/>
      <c r="T2654" s="4"/>
    </row>
    <row r="2655">
      <c r="A2655" s="4" t="s">
        <v>6162</v>
      </c>
      <c r="B2655" s="4" t="s">
        <v>607</v>
      </c>
      <c r="C2655" s="6" t="s">
        <v>607</v>
      </c>
      <c r="D2655" s="6" t="s">
        <v>607</v>
      </c>
      <c r="E2655" s="6" t="s">
        <v>607</v>
      </c>
      <c r="F2655" s="6" t="s">
        <v>607</v>
      </c>
      <c r="G2655" s="4" t="s">
        <v>607</v>
      </c>
      <c r="H2655" s="4" t="s">
        <v>607</v>
      </c>
      <c r="I2655" s="4" t="s">
        <v>607</v>
      </c>
      <c r="J2655" s="4" t="s">
        <v>607</v>
      </c>
      <c r="K2655" s="4" t="s">
        <v>607</v>
      </c>
      <c r="L2655" s="4" t="s">
        <v>607</v>
      </c>
      <c r="M2655" s="4" t="s">
        <v>607</v>
      </c>
      <c r="N2655" s="4" t="s">
        <v>607</v>
      </c>
      <c r="O2655" s="4"/>
      <c r="P2655" s="4"/>
      <c r="T2655" s="4"/>
    </row>
    <row r="2656">
      <c r="A2656" s="4" t="s">
        <v>6166</v>
      </c>
      <c r="B2656" s="4" t="s">
        <v>607</v>
      </c>
      <c r="C2656" s="6" t="s">
        <v>607</v>
      </c>
      <c r="D2656" s="6" t="s">
        <v>607</v>
      </c>
      <c r="E2656" s="6" t="s">
        <v>607</v>
      </c>
      <c r="F2656" s="6" t="s">
        <v>607</v>
      </c>
      <c r="G2656" s="4" t="s">
        <v>607</v>
      </c>
      <c r="H2656" s="4" t="s">
        <v>607</v>
      </c>
      <c r="I2656" s="4" t="s">
        <v>607</v>
      </c>
      <c r="J2656" s="4" t="s">
        <v>607</v>
      </c>
      <c r="K2656" s="4" t="s">
        <v>607</v>
      </c>
      <c r="L2656" s="4" t="s">
        <v>607</v>
      </c>
      <c r="M2656" s="4" t="s">
        <v>607</v>
      </c>
      <c r="N2656" s="4" t="s">
        <v>607</v>
      </c>
      <c r="O2656" s="4"/>
      <c r="P2656" s="4"/>
      <c r="T2656" s="4"/>
    </row>
    <row r="2657">
      <c r="A2657" s="4" t="s">
        <v>6167</v>
      </c>
      <c r="B2657" s="4" t="s">
        <v>607</v>
      </c>
      <c r="C2657" s="6" t="s">
        <v>607</v>
      </c>
      <c r="D2657" s="6" t="s">
        <v>607</v>
      </c>
      <c r="E2657" s="6" t="s">
        <v>607</v>
      </c>
      <c r="F2657" s="6" t="s">
        <v>607</v>
      </c>
      <c r="G2657" s="4" t="s">
        <v>607</v>
      </c>
      <c r="H2657" s="4" t="s">
        <v>607</v>
      </c>
      <c r="I2657" s="4" t="s">
        <v>607</v>
      </c>
      <c r="J2657" s="4" t="s">
        <v>607</v>
      </c>
      <c r="K2657" s="4" t="s">
        <v>607</v>
      </c>
      <c r="L2657" s="4" t="s">
        <v>607</v>
      </c>
      <c r="M2657" s="4" t="s">
        <v>607</v>
      </c>
      <c r="N2657" s="4" t="s">
        <v>607</v>
      </c>
      <c r="O2657" s="4"/>
      <c r="P2657" s="4"/>
      <c r="T2657" s="4"/>
    </row>
    <row r="2658">
      <c r="A2658" s="4" t="s">
        <v>6168</v>
      </c>
      <c r="B2658" s="4" t="s">
        <v>607</v>
      </c>
      <c r="C2658" s="6" t="s">
        <v>607</v>
      </c>
      <c r="D2658" s="6" t="s">
        <v>607</v>
      </c>
      <c r="E2658" s="6" t="s">
        <v>607</v>
      </c>
      <c r="F2658" s="6" t="s">
        <v>607</v>
      </c>
      <c r="G2658" s="4" t="s">
        <v>607</v>
      </c>
      <c r="H2658" s="4" t="s">
        <v>607</v>
      </c>
      <c r="I2658" s="4" t="s">
        <v>607</v>
      </c>
      <c r="J2658" s="4" t="s">
        <v>607</v>
      </c>
      <c r="K2658" s="4" t="s">
        <v>607</v>
      </c>
      <c r="L2658" s="4" t="s">
        <v>607</v>
      </c>
      <c r="M2658" s="4" t="s">
        <v>607</v>
      </c>
      <c r="N2658" s="4" t="s">
        <v>607</v>
      </c>
      <c r="O2658" s="4"/>
      <c r="P2658" s="4"/>
      <c r="T2658" s="4"/>
    </row>
    <row r="2659">
      <c r="A2659" s="4" t="s">
        <v>6169</v>
      </c>
      <c r="B2659" s="4" t="s">
        <v>607</v>
      </c>
      <c r="C2659" s="6" t="s">
        <v>607</v>
      </c>
      <c r="D2659" s="6" t="s">
        <v>607</v>
      </c>
      <c r="E2659" s="6" t="s">
        <v>607</v>
      </c>
      <c r="F2659" s="6" t="s">
        <v>607</v>
      </c>
      <c r="G2659" s="4" t="s">
        <v>607</v>
      </c>
      <c r="H2659" s="4" t="s">
        <v>607</v>
      </c>
      <c r="I2659" s="4" t="s">
        <v>607</v>
      </c>
      <c r="J2659" s="4" t="s">
        <v>607</v>
      </c>
      <c r="K2659" s="4" t="s">
        <v>607</v>
      </c>
      <c r="L2659" s="4" t="s">
        <v>607</v>
      </c>
      <c r="M2659" s="4" t="s">
        <v>607</v>
      </c>
      <c r="N2659" s="4" t="s">
        <v>607</v>
      </c>
      <c r="O2659" s="4"/>
      <c r="P2659" s="4"/>
      <c r="T2659" s="4"/>
    </row>
    <row r="2660">
      <c r="A2660" s="4" t="s">
        <v>6173</v>
      </c>
      <c r="B2660" s="4" t="s">
        <v>607</v>
      </c>
      <c r="C2660" s="6" t="s">
        <v>607</v>
      </c>
      <c r="D2660" s="6" t="s">
        <v>607</v>
      </c>
      <c r="E2660" s="6" t="s">
        <v>607</v>
      </c>
      <c r="F2660" s="6" t="s">
        <v>607</v>
      </c>
      <c r="G2660" s="4" t="s">
        <v>607</v>
      </c>
      <c r="H2660" s="4" t="s">
        <v>607</v>
      </c>
      <c r="I2660" s="4" t="s">
        <v>607</v>
      </c>
      <c r="J2660" s="4" t="s">
        <v>607</v>
      </c>
      <c r="K2660" s="4" t="s">
        <v>607</v>
      </c>
      <c r="L2660" s="4" t="s">
        <v>607</v>
      </c>
      <c r="M2660" s="4" t="s">
        <v>607</v>
      </c>
      <c r="N2660" s="4" t="s">
        <v>607</v>
      </c>
      <c r="O2660" s="4"/>
      <c r="P2660" s="4"/>
      <c r="T2660" s="4"/>
    </row>
    <row r="2661">
      <c r="A2661" s="4" t="s">
        <v>6174</v>
      </c>
      <c r="B2661" s="4" t="s">
        <v>607</v>
      </c>
      <c r="C2661" s="6" t="s">
        <v>607</v>
      </c>
      <c r="D2661" s="6" t="s">
        <v>607</v>
      </c>
      <c r="E2661" s="6" t="s">
        <v>607</v>
      </c>
      <c r="F2661" s="6" t="s">
        <v>607</v>
      </c>
      <c r="G2661" s="4" t="s">
        <v>607</v>
      </c>
      <c r="H2661" s="4" t="s">
        <v>607</v>
      </c>
      <c r="I2661" s="4" t="s">
        <v>607</v>
      </c>
      <c r="J2661" s="4" t="s">
        <v>607</v>
      </c>
      <c r="K2661" s="4" t="s">
        <v>607</v>
      </c>
      <c r="L2661" s="4" t="s">
        <v>607</v>
      </c>
      <c r="M2661" s="4" t="s">
        <v>607</v>
      </c>
      <c r="N2661" s="4" t="s">
        <v>607</v>
      </c>
      <c r="O2661" s="4"/>
      <c r="P2661" s="4"/>
      <c r="T2661" s="4"/>
    </row>
    <row r="2662">
      <c r="A2662" s="4" t="s">
        <v>6175</v>
      </c>
      <c r="B2662" s="4" t="s">
        <v>607</v>
      </c>
      <c r="C2662" s="6" t="s">
        <v>607</v>
      </c>
      <c r="D2662" s="6" t="s">
        <v>607</v>
      </c>
      <c r="E2662" s="6" t="s">
        <v>607</v>
      </c>
      <c r="F2662" s="6" t="s">
        <v>607</v>
      </c>
      <c r="G2662" s="4" t="s">
        <v>607</v>
      </c>
      <c r="H2662" s="4" t="s">
        <v>607</v>
      </c>
      <c r="I2662" s="4" t="s">
        <v>607</v>
      </c>
      <c r="J2662" s="4" t="s">
        <v>607</v>
      </c>
      <c r="K2662" s="4" t="s">
        <v>607</v>
      </c>
      <c r="L2662" s="4" t="s">
        <v>607</v>
      </c>
      <c r="M2662" s="4" t="s">
        <v>607</v>
      </c>
      <c r="N2662" s="4" t="s">
        <v>607</v>
      </c>
      <c r="O2662" s="4"/>
      <c r="P2662" s="4"/>
      <c r="T2662" s="4"/>
    </row>
    <row r="2663">
      <c r="A2663" s="4" t="s">
        <v>6176</v>
      </c>
      <c r="B2663" s="4" t="s">
        <v>607</v>
      </c>
      <c r="C2663" s="6" t="s">
        <v>607</v>
      </c>
      <c r="D2663" s="6" t="s">
        <v>607</v>
      </c>
      <c r="E2663" s="6" t="s">
        <v>607</v>
      </c>
      <c r="F2663" s="6" t="s">
        <v>607</v>
      </c>
      <c r="G2663" s="4" t="s">
        <v>607</v>
      </c>
      <c r="H2663" s="4" t="s">
        <v>607</v>
      </c>
      <c r="I2663" s="4" t="s">
        <v>607</v>
      </c>
      <c r="J2663" s="4" t="s">
        <v>607</v>
      </c>
      <c r="K2663" s="4" t="s">
        <v>607</v>
      </c>
      <c r="L2663" s="4" t="s">
        <v>607</v>
      </c>
      <c r="M2663" s="4" t="s">
        <v>607</v>
      </c>
      <c r="N2663" s="4" t="s">
        <v>607</v>
      </c>
      <c r="O2663" s="4"/>
      <c r="P2663" s="4"/>
      <c r="T2663" s="4"/>
    </row>
    <row r="2664">
      <c r="A2664" s="4" t="s">
        <v>6180</v>
      </c>
      <c r="B2664" s="4" t="s">
        <v>607</v>
      </c>
      <c r="C2664" s="6" t="s">
        <v>607</v>
      </c>
      <c r="D2664" s="6" t="s">
        <v>607</v>
      </c>
      <c r="E2664" s="6" t="s">
        <v>607</v>
      </c>
      <c r="F2664" s="6" t="s">
        <v>607</v>
      </c>
      <c r="G2664" s="4" t="s">
        <v>607</v>
      </c>
      <c r="H2664" s="4" t="s">
        <v>607</v>
      </c>
      <c r="I2664" s="4" t="s">
        <v>607</v>
      </c>
      <c r="J2664" s="4" t="s">
        <v>607</v>
      </c>
      <c r="K2664" s="4" t="s">
        <v>607</v>
      </c>
      <c r="L2664" s="4" t="s">
        <v>607</v>
      </c>
      <c r="M2664" s="4" t="s">
        <v>607</v>
      </c>
      <c r="N2664" s="4" t="s">
        <v>607</v>
      </c>
      <c r="O2664" s="4"/>
      <c r="P2664" s="4"/>
      <c r="T2664" s="4"/>
    </row>
    <row r="2665">
      <c r="A2665" s="4" t="s">
        <v>6181</v>
      </c>
      <c r="B2665" s="4" t="s">
        <v>607</v>
      </c>
      <c r="C2665" s="6" t="s">
        <v>607</v>
      </c>
      <c r="D2665" s="6" t="s">
        <v>607</v>
      </c>
      <c r="E2665" s="6" t="s">
        <v>607</v>
      </c>
      <c r="F2665" s="6" t="s">
        <v>607</v>
      </c>
      <c r="G2665" s="4" t="s">
        <v>607</v>
      </c>
      <c r="H2665" s="4" t="s">
        <v>607</v>
      </c>
      <c r="I2665" s="4" t="s">
        <v>607</v>
      </c>
      <c r="J2665" s="4" t="s">
        <v>607</v>
      </c>
      <c r="K2665" s="4" t="s">
        <v>607</v>
      </c>
      <c r="L2665" s="4" t="s">
        <v>607</v>
      </c>
      <c r="M2665" s="4" t="s">
        <v>607</v>
      </c>
      <c r="N2665" s="4" t="s">
        <v>607</v>
      </c>
      <c r="O2665" s="4"/>
      <c r="P2665" s="4"/>
      <c r="T2665" s="4"/>
    </row>
    <row r="2666">
      <c r="A2666" s="4" t="s">
        <v>6182</v>
      </c>
      <c r="B2666" s="4" t="s">
        <v>607</v>
      </c>
      <c r="C2666" s="6" t="s">
        <v>607</v>
      </c>
      <c r="D2666" s="6" t="s">
        <v>607</v>
      </c>
      <c r="E2666" s="6" t="s">
        <v>607</v>
      </c>
      <c r="F2666" s="6" t="s">
        <v>607</v>
      </c>
      <c r="G2666" s="4" t="s">
        <v>607</v>
      </c>
      <c r="H2666" s="4" t="s">
        <v>607</v>
      </c>
      <c r="I2666" s="4" t="s">
        <v>607</v>
      </c>
      <c r="J2666" s="4" t="s">
        <v>607</v>
      </c>
      <c r="K2666" s="4" t="s">
        <v>607</v>
      </c>
      <c r="L2666" s="4" t="s">
        <v>607</v>
      </c>
      <c r="M2666" s="4" t="s">
        <v>607</v>
      </c>
      <c r="N2666" s="4" t="s">
        <v>607</v>
      </c>
      <c r="O2666" s="4"/>
      <c r="P2666" s="4"/>
      <c r="T2666" s="4"/>
    </row>
    <row r="2667">
      <c r="A2667" s="4" t="s">
        <v>6185</v>
      </c>
      <c r="B2667" s="4" t="s">
        <v>607</v>
      </c>
      <c r="C2667" s="6" t="s">
        <v>607</v>
      </c>
      <c r="D2667" s="6" t="s">
        <v>607</v>
      </c>
      <c r="E2667" s="6" t="s">
        <v>607</v>
      </c>
      <c r="F2667" s="6" t="s">
        <v>607</v>
      </c>
      <c r="G2667" s="4" t="s">
        <v>607</v>
      </c>
      <c r="H2667" s="4" t="s">
        <v>607</v>
      </c>
      <c r="I2667" s="4" t="s">
        <v>607</v>
      </c>
      <c r="J2667" s="4" t="s">
        <v>607</v>
      </c>
      <c r="K2667" s="4" t="s">
        <v>607</v>
      </c>
      <c r="L2667" s="4" t="s">
        <v>607</v>
      </c>
      <c r="M2667" s="4" t="s">
        <v>607</v>
      </c>
      <c r="N2667" s="4" t="s">
        <v>607</v>
      </c>
      <c r="O2667" s="4"/>
      <c r="P2667" s="4"/>
      <c r="T2667" s="4"/>
    </row>
    <row r="2668">
      <c r="A2668" s="4" t="s">
        <v>6186</v>
      </c>
      <c r="B2668" s="4" t="s">
        <v>607</v>
      </c>
      <c r="C2668" s="6" t="s">
        <v>607</v>
      </c>
      <c r="D2668" s="6" t="s">
        <v>607</v>
      </c>
      <c r="E2668" s="6" t="s">
        <v>607</v>
      </c>
      <c r="F2668" s="6" t="s">
        <v>607</v>
      </c>
      <c r="G2668" s="4" t="s">
        <v>607</v>
      </c>
      <c r="H2668" s="4" t="s">
        <v>607</v>
      </c>
      <c r="I2668" s="4" t="s">
        <v>607</v>
      </c>
      <c r="J2668" s="4" t="s">
        <v>607</v>
      </c>
      <c r="K2668" s="4" t="s">
        <v>607</v>
      </c>
      <c r="L2668" s="4" t="s">
        <v>607</v>
      </c>
      <c r="M2668" s="4" t="s">
        <v>607</v>
      </c>
      <c r="N2668" s="4" t="s">
        <v>607</v>
      </c>
      <c r="O2668" s="4"/>
      <c r="P2668" s="4"/>
      <c r="T2668" s="4"/>
    </row>
    <row r="2669">
      <c r="A2669" s="4" t="s">
        <v>6187</v>
      </c>
      <c r="B2669" s="4" t="s">
        <v>607</v>
      </c>
      <c r="C2669" s="6" t="s">
        <v>607</v>
      </c>
      <c r="D2669" s="6" t="s">
        <v>607</v>
      </c>
      <c r="E2669" s="6" t="s">
        <v>607</v>
      </c>
      <c r="F2669" s="6" t="s">
        <v>607</v>
      </c>
      <c r="G2669" s="4" t="s">
        <v>607</v>
      </c>
      <c r="H2669" s="4" t="s">
        <v>607</v>
      </c>
      <c r="I2669" s="4" t="s">
        <v>607</v>
      </c>
      <c r="J2669" s="4" t="s">
        <v>607</v>
      </c>
      <c r="K2669" s="4" t="s">
        <v>607</v>
      </c>
      <c r="L2669" s="4" t="s">
        <v>607</v>
      </c>
      <c r="M2669" s="4" t="s">
        <v>607</v>
      </c>
      <c r="N2669" s="4" t="s">
        <v>607</v>
      </c>
      <c r="O2669" s="4"/>
      <c r="P2669" s="4"/>
      <c r="T2669" s="4"/>
    </row>
    <row r="2670">
      <c r="A2670" s="4" t="s">
        <v>6191</v>
      </c>
      <c r="B2670" s="4" t="s">
        <v>607</v>
      </c>
      <c r="C2670" s="6" t="s">
        <v>607</v>
      </c>
      <c r="D2670" s="6" t="s">
        <v>607</v>
      </c>
      <c r="E2670" s="6" t="s">
        <v>607</v>
      </c>
      <c r="F2670" s="6" t="s">
        <v>607</v>
      </c>
      <c r="G2670" s="4" t="s">
        <v>607</v>
      </c>
      <c r="H2670" s="4" t="s">
        <v>607</v>
      </c>
      <c r="I2670" s="4" t="s">
        <v>607</v>
      </c>
      <c r="J2670" s="4" t="s">
        <v>607</v>
      </c>
      <c r="K2670" s="4" t="s">
        <v>607</v>
      </c>
      <c r="L2670" s="4" t="s">
        <v>607</v>
      </c>
      <c r="M2670" s="4" t="s">
        <v>607</v>
      </c>
      <c r="N2670" s="4" t="s">
        <v>607</v>
      </c>
      <c r="O2670" s="4"/>
      <c r="P2670" s="4"/>
      <c r="T2670" s="4"/>
    </row>
    <row r="2671">
      <c r="A2671" s="4" t="s">
        <v>6192</v>
      </c>
      <c r="B2671" s="4" t="s">
        <v>607</v>
      </c>
      <c r="C2671" s="6" t="s">
        <v>607</v>
      </c>
      <c r="D2671" s="6" t="s">
        <v>607</v>
      </c>
      <c r="E2671" s="6" t="s">
        <v>607</v>
      </c>
      <c r="F2671" s="6" t="s">
        <v>607</v>
      </c>
      <c r="G2671" s="4" t="s">
        <v>607</v>
      </c>
      <c r="H2671" s="4" t="s">
        <v>607</v>
      </c>
      <c r="I2671" s="4" t="s">
        <v>607</v>
      </c>
      <c r="J2671" s="4" t="s">
        <v>607</v>
      </c>
      <c r="K2671" s="4" t="s">
        <v>607</v>
      </c>
      <c r="L2671" s="4" t="s">
        <v>607</v>
      </c>
      <c r="M2671" s="4" t="s">
        <v>607</v>
      </c>
      <c r="N2671" s="4" t="s">
        <v>607</v>
      </c>
      <c r="O2671" s="4"/>
      <c r="P2671" s="4"/>
      <c r="T2671" s="4"/>
    </row>
    <row r="2672">
      <c r="A2672" s="4" t="s">
        <v>6193</v>
      </c>
      <c r="B2672" s="4" t="s">
        <v>607</v>
      </c>
      <c r="C2672" s="6" t="s">
        <v>607</v>
      </c>
      <c r="D2672" s="6" t="s">
        <v>607</v>
      </c>
      <c r="E2672" s="6" t="s">
        <v>607</v>
      </c>
      <c r="F2672" s="6" t="s">
        <v>607</v>
      </c>
      <c r="G2672" s="4" t="s">
        <v>607</v>
      </c>
      <c r="H2672" s="4" t="s">
        <v>607</v>
      </c>
      <c r="I2672" s="4" t="s">
        <v>607</v>
      </c>
      <c r="J2672" s="4" t="s">
        <v>607</v>
      </c>
      <c r="K2672" s="4" t="s">
        <v>607</v>
      </c>
      <c r="L2672" s="4" t="s">
        <v>607</v>
      </c>
      <c r="M2672" s="4" t="s">
        <v>607</v>
      </c>
      <c r="N2672" s="4" t="s">
        <v>607</v>
      </c>
      <c r="O2672" s="4"/>
      <c r="P2672" s="4"/>
      <c r="T2672" s="4"/>
    </row>
    <row r="2673">
      <c r="A2673" s="4" t="s">
        <v>6194</v>
      </c>
      <c r="B2673" s="4" t="s">
        <v>607</v>
      </c>
      <c r="C2673" s="6" t="s">
        <v>607</v>
      </c>
      <c r="D2673" s="6" t="s">
        <v>607</v>
      </c>
      <c r="E2673" s="6" t="s">
        <v>607</v>
      </c>
      <c r="F2673" s="6" t="s">
        <v>607</v>
      </c>
      <c r="G2673" s="4" t="s">
        <v>607</v>
      </c>
      <c r="H2673" s="4" t="s">
        <v>607</v>
      </c>
      <c r="I2673" s="4" t="s">
        <v>607</v>
      </c>
      <c r="J2673" s="4" t="s">
        <v>607</v>
      </c>
      <c r="K2673" s="4" t="s">
        <v>607</v>
      </c>
      <c r="L2673" s="4" t="s">
        <v>607</v>
      </c>
      <c r="M2673" s="4" t="s">
        <v>607</v>
      </c>
      <c r="N2673" s="4" t="s">
        <v>607</v>
      </c>
      <c r="O2673" s="4"/>
      <c r="P2673" s="4"/>
      <c r="T2673" s="4"/>
    </row>
    <row r="2674">
      <c r="A2674" s="4" t="s">
        <v>6198</v>
      </c>
      <c r="B2674" s="4" t="s">
        <v>607</v>
      </c>
      <c r="C2674" s="6" t="s">
        <v>607</v>
      </c>
      <c r="D2674" s="6" t="s">
        <v>607</v>
      </c>
      <c r="E2674" s="6" t="s">
        <v>607</v>
      </c>
      <c r="F2674" s="6" t="s">
        <v>607</v>
      </c>
      <c r="G2674" s="4" t="s">
        <v>607</v>
      </c>
      <c r="H2674" s="4" t="s">
        <v>607</v>
      </c>
      <c r="I2674" s="4" t="s">
        <v>607</v>
      </c>
      <c r="J2674" s="4" t="s">
        <v>607</v>
      </c>
      <c r="K2674" s="4" t="s">
        <v>607</v>
      </c>
      <c r="L2674" s="4" t="s">
        <v>607</v>
      </c>
      <c r="M2674" s="4" t="s">
        <v>607</v>
      </c>
      <c r="N2674" s="4" t="s">
        <v>607</v>
      </c>
      <c r="O2674" s="4"/>
      <c r="P2674" s="4"/>
      <c r="T2674" s="4"/>
    </row>
    <row r="2675">
      <c r="A2675" s="4" t="s">
        <v>6199</v>
      </c>
      <c r="B2675" s="4" t="s">
        <v>607</v>
      </c>
      <c r="C2675" s="6" t="s">
        <v>607</v>
      </c>
      <c r="D2675" s="6" t="s">
        <v>607</v>
      </c>
      <c r="E2675" s="6" t="s">
        <v>607</v>
      </c>
      <c r="F2675" s="6" t="s">
        <v>607</v>
      </c>
      <c r="G2675" s="4" t="s">
        <v>607</v>
      </c>
      <c r="H2675" s="4" t="s">
        <v>607</v>
      </c>
      <c r="I2675" s="4" t="s">
        <v>607</v>
      </c>
      <c r="J2675" s="4" t="s">
        <v>607</v>
      </c>
      <c r="K2675" s="4" t="s">
        <v>607</v>
      </c>
      <c r="L2675" s="4" t="s">
        <v>607</v>
      </c>
      <c r="M2675" s="4" t="s">
        <v>607</v>
      </c>
      <c r="N2675" s="4" t="s">
        <v>607</v>
      </c>
      <c r="O2675" s="4"/>
      <c r="P2675" s="4"/>
      <c r="T2675" s="4"/>
    </row>
    <row r="2676">
      <c r="A2676" s="4" t="s">
        <v>6200</v>
      </c>
      <c r="B2676" s="4" t="s">
        <v>607</v>
      </c>
      <c r="C2676" s="6" t="s">
        <v>607</v>
      </c>
      <c r="D2676" s="6" t="s">
        <v>607</v>
      </c>
      <c r="E2676" s="6" t="s">
        <v>607</v>
      </c>
      <c r="F2676" s="6" t="s">
        <v>607</v>
      </c>
      <c r="G2676" s="4" t="s">
        <v>607</v>
      </c>
      <c r="H2676" s="4" t="s">
        <v>607</v>
      </c>
      <c r="I2676" s="4" t="s">
        <v>607</v>
      </c>
      <c r="J2676" s="4" t="s">
        <v>607</v>
      </c>
      <c r="K2676" s="4" t="s">
        <v>607</v>
      </c>
      <c r="L2676" s="4" t="s">
        <v>607</v>
      </c>
      <c r="M2676" s="4" t="s">
        <v>607</v>
      </c>
      <c r="N2676" s="4" t="s">
        <v>607</v>
      </c>
      <c r="O2676" s="4"/>
      <c r="P2676" s="4"/>
      <c r="T2676" s="4"/>
    </row>
    <row r="2677">
      <c r="A2677" s="4" t="s">
        <v>6203</v>
      </c>
      <c r="B2677" s="4" t="s">
        <v>607</v>
      </c>
      <c r="C2677" s="6" t="s">
        <v>607</v>
      </c>
      <c r="D2677" s="6" t="s">
        <v>607</v>
      </c>
      <c r="E2677" s="6" t="s">
        <v>607</v>
      </c>
      <c r="F2677" s="6" t="s">
        <v>607</v>
      </c>
      <c r="G2677" s="4" t="s">
        <v>607</v>
      </c>
      <c r="H2677" s="4" t="s">
        <v>607</v>
      </c>
      <c r="I2677" s="4" t="s">
        <v>607</v>
      </c>
      <c r="J2677" s="4" t="s">
        <v>607</v>
      </c>
      <c r="K2677" s="4" t="s">
        <v>607</v>
      </c>
      <c r="L2677" s="4" t="s">
        <v>607</v>
      </c>
      <c r="M2677" s="4" t="s">
        <v>607</v>
      </c>
      <c r="N2677" s="4" t="s">
        <v>607</v>
      </c>
      <c r="O2677" s="4"/>
      <c r="P2677" s="4"/>
      <c r="T2677" s="4"/>
    </row>
    <row r="2678">
      <c r="A2678" s="4" t="s">
        <v>6204</v>
      </c>
      <c r="B2678" s="4" t="s">
        <v>607</v>
      </c>
      <c r="C2678" s="6" t="s">
        <v>607</v>
      </c>
      <c r="D2678" s="6" t="s">
        <v>607</v>
      </c>
      <c r="E2678" s="6" t="s">
        <v>607</v>
      </c>
      <c r="F2678" s="6" t="s">
        <v>607</v>
      </c>
      <c r="G2678" s="4" t="s">
        <v>607</v>
      </c>
      <c r="H2678" s="4" t="s">
        <v>607</v>
      </c>
      <c r="I2678" s="4" t="s">
        <v>607</v>
      </c>
      <c r="J2678" s="4" t="s">
        <v>607</v>
      </c>
      <c r="K2678" s="4" t="s">
        <v>607</v>
      </c>
      <c r="L2678" s="4" t="s">
        <v>607</v>
      </c>
      <c r="M2678" s="4" t="s">
        <v>607</v>
      </c>
      <c r="N2678" s="4" t="s">
        <v>607</v>
      </c>
      <c r="O2678" s="4"/>
      <c r="P2678" s="4"/>
      <c r="T2678" s="4"/>
    </row>
    <row r="2679">
      <c r="A2679" s="4" t="s">
        <v>6205</v>
      </c>
      <c r="B2679" s="4" t="s">
        <v>607</v>
      </c>
      <c r="C2679" s="6" t="s">
        <v>607</v>
      </c>
      <c r="D2679" s="6" t="s">
        <v>607</v>
      </c>
      <c r="E2679" s="6" t="s">
        <v>607</v>
      </c>
      <c r="F2679" s="6" t="s">
        <v>607</v>
      </c>
      <c r="G2679" s="4" t="s">
        <v>607</v>
      </c>
      <c r="H2679" s="4" t="s">
        <v>607</v>
      </c>
      <c r="I2679" s="4" t="s">
        <v>607</v>
      </c>
      <c r="J2679" s="4" t="s">
        <v>607</v>
      </c>
      <c r="K2679" s="4" t="s">
        <v>607</v>
      </c>
      <c r="L2679" s="4" t="s">
        <v>607</v>
      </c>
      <c r="M2679" s="4" t="s">
        <v>607</v>
      </c>
      <c r="N2679" s="4" t="s">
        <v>607</v>
      </c>
      <c r="O2679" s="4"/>
      <c r="P2679" s="4"/>
      <c r="T2679" s="4"/>
    </row>
    <row r="2680">
      <c r="A2680" s="4" t="s">
        <v>6206</v>
      </c>
      <c r="B2680" s="4" t="s">
        <v>607</v>
      </c>
      <c r="C2680" s="6" t="s">
        <v>607</v>
      </c>
      <c r="D2680" s="6" t="s">
        <v>607</v>
      </c>
      <c r="E2680" s="6" t="s">
        <v>607</v>
      </c>
      <c r="F2680" s="6" t="s">
        <v>607</v>
      </c>
      <c r="G2680" s="4" t="s">
        <v>607</v>
      </c>
      <c r="H2680" s="4" t="s">
        <v>607</v>
      </c>
      <c r="I2680" s="4" t="s">
        <v>607</v>
      </c>
      <c r="J2680" s="4" t="s">
        <v>607</v>
      </c>
      <c r="K2680" s="4" t="s">
        <v>607</v>
      </c>
      <c r="L2680" s="4" t="s">
        <v>607</v>
      </c>
      <c r="M2680" s="4" t="s">
        <v>607</v>
      </c>
      <c r="N2680" s="4" t="s">
        <v>607</v>
      </c>
      <c r="O2680" s="4"/>
      <c r="P2680" s="4"/>
      <c r="T2680" s="4"/>
    </row>
    <row r="2681">
      <c r="A2681" s="4" t="s">
        <v>6209</v>
      </c>
      <c r="B2681" s="4" t="s">
        <v>607</v>
      </c>
      <c r="C2681" s="6" t="s">
        <v>607</v>
      </c>
      <c r="D2681" s="6" t="s">
        <v>607</v>
      </c>
      <c r="E2681" s="6" t="s">
        <v>607</v>
      </c>
      <c r="F2681" s="6" t="s">
        <v>607</v>
      </c>
      <c r="G2681" s="4" t="s">
        <v>607</v>
      </c>
      <c r="H2681" s="4" t="s">
        <v>607</v>
      </c>
      <c r="I2681" s="4" t="s">
        <v>607</v>
      </c>
      <c r="J2681" s="4" t="s">
        <v>607</v>
      </c>
      <c r="K2681" s="4" t="s">
        <v>607</v>
      </c>
      <c r="L2681" s="4" t="s">
        <v>607</v>
      </c>
      <c r="M2681" s="4" t="s">
        <v>607</v>
      </c>
      <c r="N2681" s="4" t="s">
        <v>607</v>
      </c>
      <c r="O2681" s="4"/>
      <c r="P2681" s="4"/>
      <c r="T2681" s="4"/>
    </row>
    <row r="2682">
      <c r="A2682" s="4" t="s">
        <v>6210</v>
      </c>
      <c r="B2682" s="4" t="s">
        <v>607</v>
      </c>
      <c r="C2682" s="6" t="s">
        <v>607</v>
      </c>
      <c r="D2682" s="6" t="s">
        <v>607</v>
      </c>
      <c r="E2682" s="6" t="s">
        <v>607</v>
      </c>
      <c r="F2682" s="6" t="s">
        <v>607</v>
      </c>
      <c r="G2682" s="4" t="s">
        <v>607</v>
      </c>
      <c r="H2682" s="4" t="s">
        <v>607</v>
      </c>
      <c r="I2682" s="4" t="s">
        <v>607</v>
      </c>
      <c r="J2682" s="4" t="s">
        <v>607</v>
      </c>
      <c r="K2682" s="4" t="s">
        <v>607</v>
      </c>
      <c r="L2682" s="4" t="s">
        <v>607</v>
      </c>
      <c r="M2682" s="4" t="s">
        <v>607</v>
      </c>
      <c r="N2682" s="4" t="s">
        <v>607</v>
      </c>
      <c r="O2682" s="4"/>
      <c r="P2682" s="4"/>
      <c r="T2682" s="4"/>
    </row>
    <row r="2683">
      <c r="A2683" s="4" t="s">
        <v>6211</v>
      </c>
      <c r="B2683" s="4" t="s">
        <v>607</v>
      </c>
      <c r="C2683" s="6" t="s">
        <v>607</v>
      </c>
      <c r="D2683" s="6" t="s">
        <v>607</v>
      </c>
      <c r="E2683" s="6" t="s">
        <v>607</v>
      </c>
      <c r="F2683" s="6" t="s">
        <v>607</v>
      </c>
      <c r="G2683" s="4" t="s">
        <v>607</v>
      </c>
      <c r="H2683" s="4" t="s">
        <v>607</v>
      </c>
      <c r="I2683" s="4" t="s">
        <v>607</v>
      </c>
      <c r="J2683" s="4" t="s">
        <v>607</v>
      </c>
      <c r="K2683" s="4" t="s">
        <v>607</v>
      </c>
      <c r="L2683" s="4" t="s">
        <v>607</v>
      </c>
      <c r="M2683" s="4" t="s">
        <v>607</v>
      </c>
      <c r="N2683" s="4" t="s">
        <v>607</v>
      </c>
      <c r="O2683" s="4"/>
      <c r="P2683" s="4"/>
      <c r="T2683" s="4"/>
    </row>
    <row r="2684">
      <c r="A2684" s="4" t="s">
        <v>6212</v>
      </c>
      <c r="B2684" s="4" t="s">
        <v>607</v>
      </c>
      <c r="C2684" s="6" t="s">
        <v>607</v>
      </c>
      <c r="D2684" s="6" t="s">
        <v>607</v>
      </c>
      <c r="E2684" s="6" t="s">
        <v>607</v>
      </c>
      <c r="F2684" s="6" t="s">
        <v>607</v>
      </c>
      <c r="G2684" s="4" t="s">
        <v>607</v>
      </c>
      <c r="H2684" s="4" t="s">
        <v>607</v>
      </c>
      <c r="I2684" s="4" t="s">
        <v>607</v>
      </c>
      <c r="J2684" s="4" t="s">
        <v>607</v>
      </c>
      <c r="K2684" s="4" t="s">
        <v>607</v>
      </c>
      <c r="L2684" s="4" t="s">
        <v>607</v>
      </c>
      <c r="M2684" s="4" t="s">
        <v>607</v>
      </c>
      <c r="N2684" s="4" t="s">
        <v>607</v>
      </c>
      <c r="O2684" s="4"/>
      <c r="P2684" s="4"/>
      <c r="T2684" s="4"/>
    </row>
    <row r="2685">
      <c r="A2685" s="4" t="s">
        <v>6215</v>
      </c>
      <c r="B2685" s="4" t="s">
        <v>607</v>
      </c>
      <c r="C2685" s="6" t="s">
        <v>607</v>
      </c>
      <c r="D2685" s="6" t="s">
        <v>607</v>
      </c>
      <c r="E2685" s="6" t="s">
        <v>607</v>
      </c>
      <c r="F2685" s="6" t="s">
        <v>607</v>
      </c>
      <c r="G2685" s="4" t="s">
        <v>607</v>
      </c>
      <c r="H2685" s="4" t="s">
        <v>607</v>
      </c>
      <c r="I2685" s="4" t="s">
        <v>607</v>
      </c>
      <c r="J2685" s="4" t="s">
        <v>607</v>
      </c>
      <c r="K2685" s="4" t="s">
        <v>607</v>
      </c>
      <c r="L2685" s="4" t="s">
        <v>607</v>
      </c>
      <c r="M2685" s="4" t="s">
        <v>607</v>
      </c>
      <c r="N2685" s="4" t="s">
        <v>607</v>
      </c>
      <c r="O2685" s="4"/>
      <c r="P2685" s="4"/>
      <c r="T2685" s="4"/>
    </row>
    <row r="2686">
      <c r="A2686" s="4" t="s">
        <v>6216</v>
      </c>
      <c r="B2686" s="4" t="s">
        <v>607</v>
      </c>
      <c r="C2686" s="6" t="s">
        <v>607</v>
      </c>
      <c r="D2686" s="6" t="s">
        <v>607</v>
      </c>
      <c r="E2686" s="6" t="s">
        <v>607</v>
      </c>
      <c r="F2686" s="6" t="s">
        <v>607</v>
      </c>
      <c r="G2686" s="4" t="s">
        <v>607</v>
      </c>
      <c r="H2686" s="4" t="s">
        <v>607</v>
      </c>
      <c r="I2686" s="4" t="s">
        <v>607</v>
      </c>
      <c r="J2686" s="4" t="s">
        <v>607</v>
      </c>
      <c r="K2686" s="4" t="s">
        <v>607</v>
      </c>
      <c r="L2686" s="4" t="s">
        <v>607</v>
      </c>
      <c r="M2686" s="4" t="s">
        <v>607</v>
      </c>
      <c r="N2686" s="4" t="s">
        <v>607</v>
      </c>
      <c r="O2686" s="4"/>
      <c r="P2686" s="4"/>
      <c r="T2686" s="4"/>
    </row>
    <row r="2687">
      <c r="A2687" s="4" t="s">
        <v>6218</v>
      </c>
      <c r="B2687" s="4" t="s">
        <v>607</v>
      </c>
      <c r="C2687" s="6" t="s">
        <v>607</v>
      </c>
      <c r="D2687" s="6" t="s">
        <v>607</v>
      </c>
      <c r="E2687" s="6" t="s">
        <v>607</v>
      </c>
      <c r="F2687" s="6" t="s">
        <v>607</v>
      </c>
      <c r="G2687" s="4" t="s">
        <v>607</v>
      </c>
      <c r="H2687" s="4" t="s">
        <v>607</v>
      </c>
      <c r="I2687" s="4" t="s">
        <v>607</v>
      </c>
      <c r="J2687" s="4" t="s">
        <v>607</v>
      </c>
      <c r="K2687" s="4" t="s">
        <v>607</v>
      </c>
      <c r="L2687" s="4" t="s">
        <v>607</v>
      </c>
      <c r="M2687" s="4" t="s">
        <v>607</v>
      </c>
      <c r="N2687" s="4" t="s">
        <v>607</v>
      </c>
      <c r="O2687" s="4"/>
      <c r="P2687" s="4"/>
      <c r="T2687" s="4"/>
    </row>
    <row r="2688">
      <c r="A2688" s="4" t="s">
        <v>6219</v>
      </c>
      <c r="B2688" s="4" t="s">
        <v>607</v>
      </c>
      <c r="C2688" s="6" t="s">
        <v>607</v>
      </c>
      <c r="D2688" s="6" t="s">
        <v>607</v>
      </c>
      <c r="E2688" s="6" t="s">
        <v>607</v>
      </c>
      <c r="F2688" s="6" t="s">
        <v>607</v>
      </c>
      <c r="G2688" s="4" t="s">
        <v>607</v>
      </c>
      <c r="H2688" s="4" t="s">
        <v>607</v>
      </c>
      <c r="I2688" s="4" t="s">
        <v>607</v>
      </c>
      <c r="J2688" s="4" t="s">
        <v>607</v>
      </c>
      <c r="K2688" s="4" t="s">
        <v>607</v>
      </c>
      <c r="L2688" s="4" t="s">
        <v>607</v>
      </c>
      <c r="M2688" s="4" t="s">
        <v>607</v>
      </c>
      <c r="N2688" s="4" t="s">
        <v>607</v>
      </c>
      <c r="O2688" s="4"/>
      <c r="P2688" s="4"/>
      <c r="T2688" s="4"/>
    </row>
    <row r="2689">
      <c r="A2689" s="4" t="s">
        <v>6220</v>
      </c>
      <c r="B2689" s="4" t="s">
        <v>607</v>
      </c>
      <c r="C2689" s="6" t="s">
        <v>607</v>
      </c>
      <c r="D2689" s="6" t="s">
        <v>607</v>
      </c>
      <c r="E2689" s="6" t="s">
        <v>607</v>
      </c>
      <c r="F2689" s="6" t="s">
        <v>607</v>
      </c>
      <c r="G2689" s="4" t="s">
        <v>607</v>
      </c>
      <c r="H2689" s="4" t="s">
        <v>607</v>
      </c>
      <c r="I2689" s="4" t="s">
        <v>607</v>
      </c>
      <c r="J2689" s="4" t="s">
        <v>607</v>
      </c>
      <c r="K2689" s="4" t="s">
        <v>607</v>
      </c>
      <c r="L2689" s="4" t="s">
        <v>607</v>
      </c>
      <c r="M2689" s="4" t="s">
        <v>607</v>
      </c>
      <c r="N2689" s="4" t="s">
        <v>607</v>
      </c>
      <c r="O2689" s="4"/>
      <c r="P2689" s="4"/>
      <c r="T2689" s="4"/>
    </row>
    <row r="2690">
      <c r="A2690" s="4" t="s">
        <v>6224</v>
      </c>
      <c r="B2690" s="4" t="s">
        <v>607</v>
      </c>
      <c r="C2690" s="6" t="s">
        <v>607</v>
      </c>
      <c r="D2690" s="6" t="s">
        <v>607</v>
      </c>
      <c r="E2690" s="6" t="s">
        <v>607</v>
      </c>
      <c r="F2690" s="6" t="s">
        <v>607</v>
      </c>
      <c r="G2690" s="4" t="s">
        <v>607</v>
      </c>
      <c r="H2690" s="4" t="s">
        <v>607</v>
      </c>
      <c r="I2690" s="4" t="s">
        <v>607</v>
      </c>
      <c r="J2690" s="4" t="s">
        <v>607</v>
      </c>
      <c r="K2690" s="4" t="s">
        <v>607</v>
      </c>
      <c r="L2690" s="4" t="s">
        <v>607</v>
      </c>
      <c r="M2690" s="4" t="s">
        <v>607</v>
      </c>
      <c r="N2690" s="4" t="s">
        <v>607</v>
      </c>
      <c r="O2690" s="4"/>
      <c r="P2690" s="4"/>
      <c r="T2690" s="4"/>
    </row>
    <row r="2691">
      <c r="A2691" s="4" t="s">
        <v>6225</v>
      </c>
      <c r="B2691" s="4" t="s">
        <v>607</v>
      </c>
      <c r="C2691" s="6" t="s">
        <v>607</v>
      </c>
      <c r="D2691" s="6" t="s">
        <v>607</v>
      </c>
      <c r="E2691" s="6" t="s">
        <v>607</v>
      </c>
      <c r="F2691" s="6" t="s">
        <v>607</v>
      </c>
      <c r="G2691" s="4" t="s">
        <v>607</v>
      </c>
      <c r="H2691" s="4" t="s">
        <v>607</v>
      </c>
      <c r="I2691" s="4" t="s">
        <v>607</v>
      </c>
      <c r="J2691" s="4" t="s">
        <v>607</v>
      </c>
      <c r="K2691" s="4" t="s">
        <v>607</v>
      </c>
      <c r="L2691" s="4" t="s">
        <v>607</v>
      </c>
      <c r="M2691" s="4" t="s">
        <v>607</v>
      </c>
      <c r="N2691" s="4" t="s">
        <v>607</v>
      </c>
      <c r="O2691" s="4"/>
      <c r="P2691" s="4"/>
      <c r="T2691" s="4"/>
    </row>
    <row r="2692">
      <c r="A2692" s="4" t="s">
        <v>6226</v>
      </c>
      <c r="B2692" s="4" t="s">
        <v>607</v>
      </c>
      <c r="C2692" s="6" t="s">
        <v>607</v>
      </c>
      <c r="D2692" s="6" t="s">
        <v>607</v>
      </c>
      <c r="E2692" s="6" t="s">
        <v>607</v>
      </c>
      <c r="F2692" s="6" t="s">
        <v>607</v>
      </c>
      <c r="G2692" s="4" t="s">
        <v>607</v>
      </c>
      <c r="H2692" s="4" t="s">
        <v>607</v>
      </c>
      <c r="I2692" s="4" t="s">
        <v>607</v>
      </c>
      <c r="J2692" s="4" t="s">
        <v>607</v>
      </c>
      <c r="K2692" s="4" t="s">
        <v>607</v>
      </c>
      <c r="L2692" s="4" t="s">
        <v>607</v>
      </c>
      <c r="M2692" s="4" t="s">
        <v>607</v>
      </c>
      <c r="N2692" s="4" t="s">
        <v>607</v>
      </c>
      <c r="O2692" s="4"/>
      <c r="P2692" s="4"/>
      <c r="T2692" s="4"/>
    </row>
    <row r="2693">
      <c r="A2693" s="4" t="s">
        <v>6230</v>
      </c>
      <c r="B2693" s="4" t="s">
        <v>607</v>
      </c>
      <c r="C2693" s="6" t="s">
        <v>607</v>
      </c>
      <c r="D2693" s="6" t="s">
        <v>607</v>
      </c>
      <c r="E2693" s="6" t="s">
        <v>607</v>
      </c>
      <c r="F2693" s="6" t="s">
        <v>607</v>
      </c>
      <c r="G2693" s="4" t="s">
        <v>607</v>
      </c>
      <c r="H2693" s="4" t="s">
        <v>607</v>
      </c>
      <c r="I2693" s="4" t="s">
        <v>607</v>
      </c>
      <c r="J2693" s="4" t="s">
        <v>607</v>
      </c>
      <c r="K2693" s="4" t="s">
        <v>607</v>
      </c>
      <c r="L2693" s="4" t="s">
        <v>607</v>
      </c>
      <c r="M2693" s="4" t="s">
        <v>607</v>
      </c>
      <c r="N2693" s="4" t="s">
        <v>607</v>
      </c>
      <c r="O2693" s="4"/>
      <c r="P2693" s="4"/>
      <c r="T2693" s="4"/>
    </row>
    <row r="2694">
      <c r="A2694" s="4" t="s">
        <v>6231</v>
      </c>
      <c r="B2694" s="4" t="s">
        <v>607</v>
      </c>
      <c r="C2694" s="6" t="s">
        <v>607</v>
      </c>
      <c r="D2694" s="6" t="s">
        <v>607</v>
      </c>
      <c r="E2694" s="6" t="s">
        <v>607</v>
      </c>
      <c r="F2694" s="6" t="s">
        <v>607</v>
      </c>
      <c r="G2694" s="4" t="s">
        <v>607</v>
      </c>
      <c r="H2694" s="4" t="s">
        <v>607</v>
      </c>
      <c r="I2694" s="4" t="s">
        <v>607</v>
      </c>
      <c r="J2694" s="4" t="s">
        <v>607</v>
      </c>
      <c r="K2694" s="4" t="s">
        <v>607</v>
      </c>
      <c r="L2694" s="4" t="s">
        <v>607</v>
      </c>
      <c r="M2694" s="4" t="s">
        <v>607</v>
      </c>
      <c r="N2694" s="4" t="s">
        <v>607</v>
      </c>
      <c r="O2694" s="4"/>
      <c r="P2694" s="4"/>
      <c r="T2694" s="4"/>
    </row>
    <row r="2695">
      <c r="A2695" s="4" t="s">
        <v>6232</v>
      </c>
      <c r="B2695" s="4" t="s">
        <v>607</v>
      </c>
      <c r="C2695" s="6" t="s">
        <v>607</v>
      </c>
      <c r="D2695" s="6" t="s">
        <v>607</v>
      </c>
      <c r="E2695" s="6" t="s">
        <v>607</v>
      </c>
      <c r="F2695" s="6" t="s">
        <v>607</v>
      </c>
      <c r="G2695" s="4" t="s">
        <v>607</v>
      </c>
      <c r="H2695" s="4" t="s">
        <v>607</v>
      </c>
      <c r="I2695" s="4" t="s">
        <v>607</v>
      </c>
      <c r="J2695" s="4" t="s">
        <v>607</v>
      </c>
      <c r="K2695" s="4" t="s">
        <v>607</v>
      </c>
      <c r="L2695" s="4" t="s">
        <v>607</v>
      </c>
      <c r="M2695" s="4" t="s">
        <v>607</v>
      </c>
      <c r="N2695" s="4" t="s">
        <v>607</v>
      </c>
      <c r="O2695" s="4"/>
      <c r="P2695" s="4"/>
      <c r="T2695" s="4"/>
    </row>
    <row r="2696">
      <c r="A2696" s="4" t="s">
        <v>6233</v>
      </c>
      <c r="B2696" s="4" t="s">
        <v>607</v>
      </c>
      <c r="C2696" s="6" t="s">
        <v>607</v>
      </c>
      <c r="D2696" s="6" t="s">
        <v>607</v>
      </c>
      <c r="E2696" s="6" t="s">
        <v>607</v>
      </c>
      <c r="F2696" s="6" t="s">
        <v>607</v>
      </c>
      <c r="G2696" s="4" t="s">
        <v>607</v>
      </c>
      <c r="H2696" s="4" t="s">
        <v>607</v>
      </c>
      <c r="I2696" s="4" t="s">
        <v>607</v>
      </c>
      <c r="J2696" s="4" t="s">
        <v>607</v>
      </c>
      <c r="K2696" s="4" t="s">
        <v>607</v>
      </c>
      <c r="L2696" s="4" t="s">
        <v>607</v>
      </c>
      <c r="M2696" s="4" t="s">
        <v>607</v>
      </c>
      <c r="N2696" s="4" t="s">
        <v>607</v>
      </c>
      <c r="O2696" s="4"/>
      <c r="P2696" s="4"/>
      <c r="T2696" s="4"/>
    </row>
    <row r="2697">
      <c r="A2697" s="4" t="s">
        <v>6237</v>
      </c>
      <c r="B2697" s="4" t="s">
        <v>607</v>
      </c>
      <c r="C2697" s="6" t="s">
        <v>607</v>
      </c>
      <c r="D2697" s="6" t="s">
        <v>607</v>
      </c>
      <c r="E2697" s="6" t="s">
        <v>607</v>
      </c>
      <c r="F2697" s="6" t="s">
        <v>607</v>
      </c>
      <c r="G2697" s="4" t="s">
        <v>607</v>
      </c>
      <c r="H2697" s="4" t="s">
        <v>607</v>
      </c>
      <c r="I2697" s="4" t="s">
        <v>607</v>
      </c>
      <c r="J2697" s="4" t="s">
        <v>607</v>
      </c>
      <c r="K2697" s="4" t="s">
        <v>607</v>
      </c>
      <c r="L2697" s="4" t="s">
        <v>607</v>
      </c>
      <c r="M2697" s="4" t="s">
        <v>607</v>
      </c>
      <c r="N2697" s="4" t="s">
        <v>607</v>
      </c>
      <c r="O2697" s="4"/>
      <c r="P2697" s="4"/>
      <c r="T2697" s="4"/>
    </row>
    <row r="2698">
      <c r="A2698" s="4" t="s">
        <v>6238</v>
      </c>
      <c r="B2698" s="4" t="s">
        <v>607</v>
      </c>
      <c r="C2698" s="6" t="s">
        <v>607</v>
      </c>
      <c r="D2698" s="6" t="s">
        <v>607</v>
      </c>
      <c r="E2698" s="6" t="s">
        <v>607</v>
      </c>
      <c r="F2698" s="6" t="s">
        <v>607</v>
      </c>
      <c r="G2698" s="4" t="s">
        <v>607</v>
      </c>
      <c r="H2698" s="4" t="s">
        <v>607</v>
      </c>
      <c r="I2698" s="4" t="s">
        <v>607</v>
      </c>
      <c r="J2698" s="4" t="s">
        <v>607</v>
      </c>
      <c r="K2698" s="4" t="s">
        <v>607</v>
      </c>
      <c r="L2698" s="4" t="s">
        <v>607</v>
      </c>
      <c r="M2698" s="4" t="s">
        <v>607</v>
      </c>
      <c r="N2698" s="4" t="s">
        <v>607</v>
      </c>
      <c r="O2698" s="4"/>
      <c r="P2698" s="4"/>
      <c r="T2698" s="4"/>
    </row>
    <row r="2699">
      <c r="A2699" s="4" t="s">
        <v>6239</v>
      </c>
      <c r="B2699" s="4" t="s">
        <v>607</v>
      </c>
      <c r="C2699" s="6" t="s">
        <v>607</v>
      </c>
      <c r="D2699" s="6" t="s">
        <v>607</v>
      </c>
      <c r="E2699" s="6" t="s">
        <v>607</v>
      </c>
      <c r="F2699" s="6" t="s">
        <v>607</v>
      </c>
      <c r="G2699" s="4" t="s">
        <v>607</v>
      </c>
      <c r="H2699" s="4" t="s">
        <v>607</v>
      </c>
      <c r="I2699" s="4" t="s">
        <v>607</v>
      </c>
      <c r="J2699" s="4" t="s">
        <v>607</v>
      </c>
      <c r="K2699" s="4" t="s">
        <v>607</v>
      </c>
      <c r="L2699" s="4" t="s">
        <v>607</v>
      </c>
      <c r="M2699" s="4" t="s">
        <v>607</v>
      </c>
      <c r="N2699" s="4" t="s">
        <v>607</v>
      </c>
      <c r="O2699" s="4"/>
      <c r="P2699" s="4"/>
      <c r="T2699" s="4"/>
    </row>
    <row r="2700">
      <c r="A2700" s="4" t="s">
        <v>6240</v>
      </c>
      <c r="B2700" s="4" t="s">
        <v>607</v>
      </c>
      <c r="C2700" s="6" t="s">
        <v>607</v>
      </c>
      <c r="D2700" s="6" t="s">
        <v>607</v>
      </c>
      <c r="E2700" s="6" t="s">
        <v>607</v>
      </c>
      <c r="F2700" s="6" t="s">
        <v>607</v>
      </c>
      <c r="G2700" s="4" t="s">
        <v>607</v>
      </c>
      <c r="H2700" s="4" t="s">
        <v>607</v>
      </c>
      <c r="I2700" s="4" t="s">
        <v>607</v>
      </c>
      <c r="J2700" s="4" t="s">
        <v>607</v>
      </c>
      <c r="K2700" s="4" t="s">
        <v>607</v>
      </c>
      <c r="L2700" s="4" t="s">
        <v>607</v>
      </c>
      <c r="M2700" s="4" t="s">
        <v>607</v>
      </c>
      <c r="N2700" s="4" t="s">
        <v>607</v>
      </c>
      <c r="O2700" s="4"/>
      <c r="P2700" s="4"/>
      <c r="T2700" s="4"/>
    </row>
    <row r="2701">
      <c r="A2701" s="4" t="s">
        <v>6241</v>
      </c>
      <c r="B2701" s="4" t="s">
        <v>607</v>
      </c>
      <c r="C2701" s="6" t="s">
        <v>607</v>
      </c>
      <c r="D2701" s="6" t="s">
        <v>607</v>
      </c>
      <c r="E2701" s="6" t="s">
        <v>607</v>
      </c>
      <c r="F2701" s="6" t="s">
        <v>607</v>
      </c>
      <c r="G2701" s="4" t="s">
        <v>607</v>
      </c>
      <c r="H2701" s="4" t="s">
        <v>607</v>
      </c>
      <c r="I2701" s="4" t="s">
        <v>607</v>
      </c>
      <c r="J2701" s="4" t="s">
        <v>607</v>
      </c>
      <c r="K2701" s="4" t="s">
        <v>607</v>
      </c>
      <c r="L2701" s="4" t="s">
        <v>607</v>
      </c>
      <c r="M2701" s="4" t="s">
        <v>607</v>
      </c>
      <c r="N2701" s="4" t="s">
        <v>607</v>
      </c>
      <c r="O2701" s="4"/>
      <c r="P2701" s="4"/>
      <c r="T2701" s="4"/>
    </row>
    <row r="2702">
      <c r="A2702" s="4" t="s">
        <v>6242</v>
      </c>
      <c r="B2702" s="4" t="s">
        <v>607</v>
      </c>
      <c r="C2702" s="6" t="s">
        <v>607</v>
      </c>
      <c r="D2702" s="6" t="s">
        <v>607</v>
      </c>
      <c r="E2702" s="6" t="s">
        <v>607</v>
      </c>
      <c r="F2702" s="6" t="s">
        <v>607</v>
      </c>
      <c r="G2702" s="4" t="s">
        <v>607</v>
      </c>
      <c r="H2702" s="4" t="s">
        <v>607</v>
      </c>
      <c r="I2702" s="4" t="s">
        <v>607</v>
      </c>
      <c r="J2702" s="4" t="s">
        <v>607</v>
      </c>
      <c r="K2702" s="4" t="s">
        <v>607</v>
      </c>
      <c r="L2702" s="4" t="s">
        <v>607</v>
      </c>
      <c r="M2702" s="4" t="s">
        <v>607</v>
      </c>
      <c r="N2702" s="4" t="s">
        <v>607</v>
      </c>
      <c r="O2702" s="4"/>
      <c r="P2702" s="4"/>
      <c r="T2702" s="4"/>
    </row>
    <row r="2703">
      <c r="A2703" s="4" t="s">
        <v>6243</v>
      </c>
      <c r="B2703" s="4" t="s">
        <v>607</v>
      </c>
      <c r="C2703" s="6" t="s">
        <v>607</v>
      </c>
      <c r="D2703" s="6" t="s">
        <v>607</v>
      </c>
      <c r="E2703" s="6" t="s">
        <v>607</v>
      </c>
      <c r="F2703" s="6" t="s">
        <v>607</v>
      </c>
      <c r="G2703" s="4" t="s">
        <v>607</v>
      </c>
      <c r="H2703" s="4" t="s">
        <v>607</v>
      </c>
      <c r="I2703" s="4" t="s">
        <v>607</v>
      </c>
      <c r="J2703" s="4" t="s">
        <v>607</v>
      </c>
      <c r="K2703" s="4" t="s">
        <v>607</v>
      </c>
      <c r="L2703" s="4" t="s">
        <v>607</v>
      </c>
      <c r="M2703" s="4" t="s">
        <v>607</v>
      </c>
      <c r="N2703" s="4" t="s">
        <v>607</v>
      </c>
      <c r="O2703" s="4"/>
      <c r="P2703" s="4"/>
      <c r="T2703" s="4"/>
    </row>
    <row r="2704">
      <c r="A2704" s="4" t="s">
        <v>6244</v>
      </c>
      <c r="B2704" s="4" t="s">
        <v>607</v>
      </c>
      <c r="C2704" s="6" t="s">
        <v>607</v>
      </c>
      <c r="D2704" s="6" t="s">
        <v>607</v>
      </c>
      <c r="E2704" s="6" t="s">
        <v>607</v>
      </c>
      <c r="F2704" s="6" t="s">
        <v>607</v>
      </c>
      <c r="G2704" s="4" t="s">
        <v>607</v>
      </c>
      <c r="H2704" s="4" t="s">
        <v>607</v>
      </c>
      <c r="I2704" s="4" t="s">
        <v>607</v>
      </c>
      <c r="J2704" s="4" t="s">
        <v>607</v>
      </c>
      <c r="K2704" s="4" t="s">
        <v>607</v>
      </c>
      <c r="L2704" s="4" t="s">
        <v>607</v>
      </c>
      <c r="M2704" s="4" t="s">
        <v>607</v>
      </c>
      <c r="N2704" s="4" t="s">
        <v>607</v>
      </c>
      <c r="O2704" s="4"/>
      <c r="P2704" s="4"/>
      <c r="T2704" s="4"/>
    </row>
    <row r="2705">
      <c r="A2705" s="4" t="s">
        <v>6245</v>
      </c>
      <c r="B2705" s="4" t="s">
        <v>607</v>
      </c>
      <c r="C2705" s="6" t="s">
        <v>607</v>
      </c>
      <c r="D2705" s="6" t="s">
        <v>607</v>
      </c>
      <c r="E2705" s="6" t="s">
        <v>607</v>
      </c>
      <c r="F2705" s="6" t="s">
        <v>607</v>
      </c>
      <c r="G2705" s="4" t="s">
        <v>607</v>
      </c>
      <c r="H2705" s="4" t="s">
        <v>607</v>
      </c>
      <c r="I2705" s="4" t="s">
        <v>607</v>
      </c>
      <c r="J2705" s="4" t="s">
        <v>607</v>
      </c>
      <c r="K2705" s="4" t="s">
        <v>607</v>
      </c>
      <c r="L2705" s="4" t="s">
        <v>607</v>
      </c>
      <c r="M2705" s="4" t="s">
        <v>607</v>
      </c>
      <c r="N2705" s="4" t="s">
        <v>607</v>
      </c>
      <c r="O2705" s="4"/>
      <c r="P2705" s="4"/>
      <c r="T2705" s="4"/>
    </row>
    <row r="2706">
      <c r="A2706" s="4" t="s">
        <v>6247</v>
      </c>
      <c r="B2706" s="4" t="s">
        <v>607</v>
      </c>
      <c r="C2706" s="6" t="s">
        <v>607</v>
      </c>
      <c r="D2706" s="6" t="s">
        <v>607</v>
      </c>
      <c r="E2706" s="6" t="s">
        <v>607</v>
      </c>
      <c r="F2706" s="6" t="s">
        <v>607</v>
      </c>
      <c r="G2706" s="4" t="s">
        <v>607</v>
      </c>
      <c r="H2706" s="4" t="s">
        <v>607</v>
      </c>
      <c r="I2706" s="4" t="s">
        <v>607</v>
      </c>
      <c r="J2706" s="4" t="s">
        <v>607</v>
      </c>
      <c r="K2706" s="4" t="s">
        <v>607</v>
      </c>
      <c r="L2706" s="4" t="s">
        <v>607</v>
      </c>
      <c r="M2706" s="4" t="s">
        <v>607</v>
      </c>
      <c r="N2706" s="4" t="s">
        <v>607</v>
      </c>
      <c r="O2706" s="4"/>
      <c r="P2706" s="4"/>
      <c r="T2706" s="4"/>
    </row>
    <row r="2707">
      <c r="A2707" s="4" t="s">
        <v>6248</v>
      </c>
      <c r="B2707" s="4" t="s">
        <v>607</v>
      </c>
      <c r="C2707" s="6" t="s">
        <v>607</v>
      </c>
      <c r="D2707" s="6" t="s">
        <v>607</v>
      </c>
      <c r="E2707" s="6" t="s">
        <v>607</v>
      </c>
      <c r="F2707" s="6" t="s">
        <v>607</v>
      </c>
      <c r="G2707" s="4" t="s">
        <v>607</v>
      </c>
      <c r="H2707" s="4" t="s">
        <v>607</v>
      </c>
      <c r="I2707" s="4" t="s">
        <v>607</v>
      </c>
      <c r="J2707" s="4" t="s">
        <v>607</v>
      </c>
      <c r="K2707" s="4" t="s">
        <v>607</v>
      </c>
      <c r="L2707" s="4" t="s">
        <v>607</v>
      </c>
      <c r="M2707" s="4" t="s">
        <v>607</v>
      </c>
      <c r="N2707" s="4" t="s">
        <v>607</v>
      </c>
      <c r="O2707" s="4"/>
      <c r="P2707" s="4"/>
      <c r="T2707" s="4"/>
    </row>
    <row r="2708">
      <c r="A2708" s="4" t="s">
        <v>6250</v>
      </c>
      <c r="B2708" s="4" t="s">
        <v>607</v>
      </c>
      <c r="C2708" s="6" t="s">
        <v>607</v>
      </c>
      <c r="D2708" s="6" t="s">
        <v>607</v>
      </c>
      <c r="E2708" s="6" t="s">
        <v>607</v>
      </c>
      <c r="F2708" s="6" t="s">
        <v>607</v>
      </c>
      <c r="G2708" s="4" t="s">
        <v>607</v>
      </c>
      <c r="H2708" s="4" t="s">
        <v>607</v>
      </c>
      <c r="I2708" s="4" t="s">
        <v>607</v>
      </c>
      <c r="J2708" s="4" t="s">
        <v>607</v>
      </c>
      <c r="K2708" s="4" t="s">
        <v>607</v>
      </c>
      <c r="L2708" s="4" t="s">
        <v>607</v>
      </c>
      <c r="M2708" s="4" t="s">
        <v>607</v>
      </c>
      <c r="N2708" s="4" t="s">
        <v>607</v>
      </c>
      <c r="O2708" s="4"/>
      <c r="P2708" s="4"/>
      <c r="T2708" s="4"/>
    </row>
    <row r="2709">
      <c r="A2709" s="4" t="s">
        <v>6251</v>
      </c>
      <c r="B2709" s="4" t="s">
        <v>607</v>
      </c>
      <c r="C2709" s="6" t="s">
        <v>607</v>
      </c>
      <c r="D2709" s="6" t="s">
        <v>607</v>
      </c>
      <c r="E2709" s="6" t="s">
        <v>607</v>
      </c>
      <c r="F2709" s="6" t="s">
        <v>607</v>
      </c>
      <c r="G2709" s="4" t="s">
        <v>607</v>
      </c>
      <c r="H2709" s="4" t="s">
        <v>607</v>
      </c>
      <c r="I2709" s="4" t="s">
        <v>607</v>
      </c>
      <c r="J2709" s="4" t="s">
        <v>607</v>
      </c>
      <c r="K2709" s="4" t="s">
        <v>607</v>
      </c>
      <c r="L2709" s="4" t="s">
        <v>607</v>
      </c>
      <c r="M2709" s="4" t="s">
        <v>607</v>
      </c>
      <c r="N2709" s="4" t="s">
        <v>607</v>
      </c>
      <c r="O2709" s="4"/>
      <c r="P2709" s="4"/>
      <c r="T2709" s="4"/>
    </row>
    <row r="2710">
      <c r="A2710" s="4" t="s">
        <v>6253</v>
      </c>
      <c r="B2710" s="4" t="s">
        <v>607</v>
      </c>
      <c r="C2710" s="6" t="s">
        <v>607</v>
      </c>
      <c r="D2710" s="6" t="s">
        <v>607</v>
      </c>
      <c r="E2710" s="6" t="s">
        <v>607</v>
      </c>
      <c r="F2710" s="6" t="s">
        <v>607</v>
      </c>
      <c r="G2710" s="4" t="s">
        <v>607</v>
      </c>
      <c r="H2710" s="4" t="s">
        <v>607</v>
      </c>
      <c r="I2710" s="4" t="s">
        <v>607</v>
      </c>
      <c r="J2710" s="4" t="s">
        <v>607</v>
      </c>
      <c r="K2710" s="4" t="s">
        <v>607</v>
      </c>
      <c r="L2710" s="4" t="s">
        <v>607</v>
      </c>
      <c r="M2710" s="4" t="s">
        <v>607</v>
      </c>
      <c r="N2710" s="4" t="s">
        <v>607</v>
      </c>
      <c r="O2710" s="4"/>
      <c r="P2710" s="4"/>
      <c r="T2710" s="4"/>
    </row>
    <row r="2711">
      <c r="A2711" s="4" t="s">
        <v>6254</v>
      </c>
      <c r="B2711" s="4" t="s">
        <v>607</v>
      </c>
      <c r="C2711" s="6" t="s">
        <v>607</v>
      </c>
      <c r="D2711" s="6" t="s">
        <v>607</v>
      </c>
      <c r="E2711" s="6" t="s">
        <v>607</v>
      </c>
      <c r="F2711" s="6" t="s">
        <v>607</v>
      </c>
      <c r="G2711" s="4" t="s">
        <v>607</v>
      </c>
      <c r="H2711" s="4" t="s">
        <v>607</v>
      </c>
      <c r="I2711" s="4" t="s">
        <v>607</v>
      </c>
      <c r="J2711" s="4" t="s">
        <v>607</v>
      </c>
      <c r="K2711" s="4" t="s">
        <v>607</v>
      </c>
      <c r="L2711" s="4" t="s">
        <v>607</v>
      </c>
      <c r="M2711" s="4" t="s">
        <v>607</v>
      </c>
      <c r="N2711" s="4" t="s">
        <v>607</v>
      </c>
      <c r="O2711" s="4"/>
      <c r="P2711" s="4"/>
      <c r="T2711" s="4"/>
    </row>
    <row r="2712">
      <c r="A2712" s="4" t="s">
        <v>6255</v>
      </c>
      <c r="B2712" s="4" t="s">
        <v>607</v>
      </c>
      <c r="C2712" s="6" t="s">
        <v>607</v>
      </c>
      <c r="D2712" s="6" t="s">
        <v>607</v>
      </c>
      <c r="E2712" s="6" t="s">
        <v>607</v>
      </c>
      <c r="F2712" s="6" t="s">
        <v>607</v>
      </c>
      <c r="G2712" s="4" t="s">
        <v>607</v>
      </c>
      <c r="H2712" s="4" t="s">
        <v>607</v>
      </c>
      <c r="I2712" s="4" t="s">
        <v>607</v>
      </c>
      <c r="J2712" s="4" t="s">
        <v>607</v>
      </c>
      <c r="K2712" s="4" t="s">
        <v>607</v>
      </c>
      <c r="L2712" s="4" t="s">
        <v>607</v>
      </c>
      <c r="M2712" s="4" t="s">
        <v>607</v>
      </c>
      <c r="N2712" s="4" t="s">
        <v>607</v>
      </c>
      <c r="O2712" s="4"/>
      <c r="P2712" s="4"/>
      <c r="T2712" s="4"/>
    </row>
    <row r="2713">
      <c r="A2713" s="4" t="s">
        <v>6256</v>
      </c>
      <c r="B2713" s="4" t="s">
        <v>607</v>
      </c>
      <c r="C2713" s="6" t="s">
        <v>607</v>
      </c>
      <c r="D2713" s="6" t="s">
        <v>607</v>
      </c>
      <c r="E2713" s="6" t="s">
        <v>607</v>
      </c>
      <c r="F2713" s="6" t="s">
        <v>607</v>
      </c>
      <c r="G2713" s="4" t="s">
        <v>607</v>
      </c>
      <c r="H2713" s="4" t="s">
        <v>607</v>
      </c>
      <c r="I2713" s="4" t="s">
        <v>607</v>
      </c>
      <c r="J2713" s="4" t="s">
        <v>607</v>
      </c>
      <c r="K2713" s="4" t="s">
        <v>607</v>
      </c>
      <c r="L2713" s="4" t="s">
        <v>607</v>
      </c>
      <c r="M2713" s="4" t="s">
        <v>607</v>
      </c>
      <c r="N2713" s="4" t="s">
        <v>607</v>
      </c>
      <c r="O2713" s="4"/>
      <c r="P2713" s="4"/>
      <c r="T2713" s="4"/>
    </row>
    <row r="2714">
      <c r="A2714" s="4" t="s">
        <v>6257</v>
      </c>
      <c r="B2714" s="4" t="s">
        <v>607</v>
      </c>
      <c r="C2714" s="6" t="s">
        <v>607</v>
      </c>
      <c r="D2714" s="6" t="s">
        <v>607</v>
      </c>
      <c r="E2714" s="6" t="s">
        <v>607</v>
      </c>
      <c r="F2714" s="6" t="s">
        <v>607</v>
      </c>
      <c r="G2714" s="4" t="s">
        <v>607</v>
      </c>
      <c r="H2714" s="4" t="s">
        <v>607</v>
      </c>
      <c r="I2714" s="4" t="s">
        <v>607</v>
      </c>
      <c r="J2714" s="4" t="s">
        <v>607</v>
      </c>
      <c r="K2714" s="4" t="s">
        <v>607</v>
      </c>
      <c r="L2714" s="4" t="s">
        <v>607</v>
      </c>
      <c r="M2714" s="4" t="s">
        <v>607</v>
      </c>
      <c r="N2714" s="4" t="s">
        <v>607</v>
      </c>
      <c r="O2714" s="4"/>
      <c r="P2714" s="4"/>
      <c r="T2714" s="4"/>
    </row>
    <row r="2715">
      <c r="A2715" s="4" t="s">
        <v>6258</v>
      </c>
      <c r="B2715" s="4" t="s">
        <v>607</v>
      </c>
      <c r="C2715" s="6" t="s">
        <v>607</v>
      </c>
      <c r="D2715" s="6" t="s">
        <v>607</v>
      </c>
      <c r="E2715" s="6" t="s">
        <v>607</v>
      </c>
      <c r="F2715" s="6" t="s">
        <v>607</v>
      </c>
      <c r="G2715" s="4" t="s">
        <v>607</v>
      </c>
      <c r="H2715" s="4" t="s">
        <v>607</v>
      </c>
      <c r="I2715" s="4" t="s">
        <v>607</v>
      </c>
      <c r="J2715" s="4" t="s">
        <v>607</v>
      </c>
      <c r="K2715" s="4" t="s">
        <v>607</v>
      </c>
      <c r="L2715" s="4" t="s">
        <v>607</v>
      </c>
      <c r="M2715" s="4" t="s">
        <v>607</v>
      </c>
      <c r="N2715" s="4" t="s">
        <v>607</v>
      </c>
      <c r="O2715" s="4"/>
      <c r="P2715" s="4"/>
      <c r="T2715" s="4"/>
    </row>
    <row r="2716">
      <c r="A2716" s="4" t="s">
        <v>6259</v>
      </c>
      <c r="B2716" s="4" t="s">
        <v>607</v>
      </c>
      <c r="C2716" s="6" t="s">
        <v>607</v>
      </c>
      <c r="D2716" s="6" t="s">
        <v>607</v>
      </c>
      <c r="E2716" s="6" t="s">
        <v>607</v>
      </c>
      <c r="F2716" s="6" t="s">
        <v>607</v>
      </c>
      <c r="G2716" s="4" t="s">
        <v>607</v>
      </c>
      <c r="H2716" s="4" t="s">
        <v>607</v>
      </c>
      <c r="I2716" s="4" t="s">
        <v>607</v>
      </c>
      <c r="J2716" s="4" t="s">
        <v>607</v>
      </c>
      <c r="K2716" s="4" t="s">
        <v>607</v>
      </c>
      <c r="L2716" s="4" t="s">
        <v>607</v>
      </c>
      <c r="M2716" s="4" t="s">
        <v>607</v>
      </c>
      <c r="N2716" s="4" t="s">
        <v>607</v>
      </c>
      <c r="O2716" s="4"/>
      <c r="P2716" s="4"/>
      <c r="T2716" s="4"/>
    </row>
    <row r="2717">
      <c r="A2717" s="4" t="s">
        <v>6263</v>
      </c>
      <c r="B2717" s="4" t="s">
        <v>607</v>
      </c>
      <c r="C2717" s="6" t="s">
        <v>607</v>
      </c>
      <c r="D2717" s="6" t="s">
        <v>607</v>
      </c>
      <c r="E2717" s="6" t="s">
        <v>607</v>
      </c>
      <c r="F2717" s="6" t="s">
        <v>607</v>
      </c>
      <c r="G2717" s="4" t="s">
        <v>607</v>
      </c>
      <c r="H2717" s="4" t="s">
        <v>607</v>
      </c>
      <c r="I2717" s="4" t="s">
        <v>607</v>
      </c>
      <c r="J2717" s="4" t="s">
        <v>607</v>
      </c>
      <c r="K2717" s="4" t="s">
        <v>607</v>
      </c>
      <c r="L2717" s="4" t="s">
        <v>607</v>
      </c>
      <c r="M2717" s="4" t="s">
        <v>607</v>
      </c>
      <c r="N2717" s="4" t="s">
        <v>607</v>
      </c>
      <c r="O2717" s="4"/>
      <c r="P2717" s="4"/>
      <c r="T2717" s="4"/>
    </row>
    <row r="2718">
      <c r="A2718" s="4" t="s">
        <v>6264</v>
      </c>
      <c r="B2718" s="4" t="s">
        <v>607</v>
      </c>
      <c r="C2718" s="6" t="s">
        <v>607</v>
      </c>
      <c r="D2718" s="6" t="s">
        <v>607</v>
      </c>
      <c r="E2718" s="6" t="s">
        <v>607</v>
      </c>
      <c r="F2718" s="6" t="s">
        <v>607</v>
      </c>
      <c r="G2718" s="4" t="s">
        <v>607</v>
      </c>
      <c r="H2718" s="4" t="s">
        <v>607</v>
      </c>
      <c r="I2718" s="4" t="s">
        <v>607</v>
      </c>
      <c r="J2718" s="4" t="s">
        <v>607</v>
      </c>
      <c r="K2718" s="4" t="s">
        <v>607</v>
      </c>
      <c r="L2718" s="4" t="s">
        <v>607</v>
      </c>
      <c r="M2718" s="4" t="s">
        <v>607</v>
      </c>
      <c r="N2718" s="4" t="s">
        <v>607</v>
      </c>
      <c r="O2718" s="4"/>
      <c r="P2718" s="4"/>
      <c r="T2718" s="4"/>
    </row>
    <row r="2719">
      <c r="A2719" s="4" t="s">
        <v>6265</v>
      </c>
      <c r="B2719" s="4" t="s">
        <v>607</v>
      </c>
      <c r="C2719" s="6" t="s">
        <v>607</v>
      </c>
      <c r="D2719" s="6" t="s">
        <v>607</v>
      </c>
      <c r="E2719" s="6" t="s">
        <v>607</v>
      </c>
      <c r="F2719" s="6" t="s">
        <v>607</v>
      </c>
      <c r="G2719" s="4" t="s">
        <v>607</v>
      </c>
      <c r="H2719" s="4" t="s">
        <v>607</v>
      </c>
      <c r="I2719" s="4" t="s">
        <v>607</v>
      </c>
      <c r="J2719" s="4" t="s">
        <v>607</v>
      </c>
      <c r="K2719" s="4" t="s">
        <v>607</v>
      </c>
      <c r="L2719" s="4" t="s">
        <v>607</v>
      </c>
      <c r="M2719" s="4" t="s">
        <v>607</v>
      </c>
      <c r="N2719" s="4" t="s">
        <v>607</v>
      </c>
      <c r="O2719" s="4"/>
      <c r="P2719" s="4"/>
      <c r="T2719" s="4"/>
    </row>
    <row r="2720">
      <c r="A2720" s="4" t="s">
        <v>6266</v>
      </c>
      <c r="B2720" s="4" t="s">
        <v>607</v>
      </c>
      <c r="C2720" s="6" t="s">
        <v>607</v>
      </c>
      <c r="D2720" s="6" t="s">
        <v>607</v>
      </c>
      <c r="E2720" s="6" t="s">
        <v>607</v>
      </c>
      <c r="F2720" s="6" t="s">
        <v>607</v>
      </c>
      <c r="G2720" s="4" t="s">
        <v>607</v>
      </c>
      <c r="H2720" s="4" t="s">
        <v>607</v>
      </c>
      <c r="I2720" s="4" t="s">
        <v>607</v>
      </c>
      <c r="J2720" s="4" t="s">
        <v>607</v>
      </c>
      <c r="K2720" s="4" t="s">
        <v>607</v>
      </c>
      <c r="L2720" s="4" t="s">
        <v>607</v>
      </c>
      <c r="M2720" s="4" t="s">
        <v>607</v>
      </c>
      <c r="N2720" s="4" t="s">
        <v>607</v>
      </c>
      <c r="O2720" s="4"/>
      <c r="P2720" s="4"/>
      <c r="T2720" s="4"/>
    </row>
    <row r="2721">
      <c r="A2721" s="4" t="s">
        <v>6267</v>
      </c>
      <c r="B2721" s="4" t="s">
        <v>607</v>
      </c>
      <c r="C2721" s="6" t="s">
        <v>607</v>
      </c>
      <c r="D2721" s="6" t="s">
        <v>607</v>
      </c>
      <c r="E2721" s="6" t="s">
        <v>607</v>
      </c>
      <c r="F2721" s="6" t="s">
        <v>607</v>
      </c>
      <c r="G2721" s="4" t="s">
        <v>607</v>
      </c>
      <c r="H2721" s="4" t="s">
        <v>607</v>
      </c>
      <c r="I2721" s="4" t="s">
        <v>607</v>
      </c>
      <c r="J2721" s="4" t="s">
        <v>607</v>
      </c>
      <c r="K2721" s="4" t="s">
        <v>607</v>
      </c>
      <c r="L2721" s="4" t="s">
        <v>607</v>
      </c>
      <c r="M2721" s="4" t="s">
        <v>607</v>
      </c>
      <c r="N2721" s="4" t="s">
        <v>607</v>
      </c>
      <c r="O2721" s="4"/>
      <c r="P2721" s="4"/>
      <c r="T2721" s="4"/>
    </row>
    <row r="2722">
      <c r="A2722" s="4" t="s">
        <v>6268</v>
      </c>
      <c r="B2722" s="4" t="s">
        <v>607</v>
      </c>
      <c r="C2722" s="6" t="s">
        <v>607</v>
      </c>
      <c r="D2722" s="6" t="s">
        <v>607</v>
      </c>
      <c r="E2722" s="6" t="s">
        <v>607</v>
      </c>
      <c r="F2722" s="6" t="s">
        <v>607</v>
      </c>
      <c r="G2722" s="4" t="s">
        <v>607</v>
      </c>
      <c r="H2722" s="4" t="s">
        <v>607</v>
      </c>
      <c r="I2722" s="4" t="s">
        <v>607</v>
      </c>
      <c r="J2722" s="4" t="s">
        <v>607</v>
      </c>
      <c r="K2722" s="4" t="s">
        <v>607</v>
      </c>
      <c r="L2722" s="4" t="s">
        <v>607</v>
      </c>
      <c r="M2722" s="4" t="s">
        <v>607</v>
      </c>
      <c r="N2722" s="4" t="s">
        <v>607</v>
      </c>
      <c r="O2722" s="4"/>
      <c r="P2722" s="4"/>
      <c r="T2722" s="4"/>
    </row>
    <row r="2723">
      <c r="A2723" s="4" t="s">
        <v>6271</v>
      </c>
      <c r="B2723" s="4" t="s">
        <v>607</v>
      </c>
      <c r="C2723" s="6" t="s">
        <v>607</v>
      </c>
      <c r="D2723" s="6" t="s">
        <v>607</v>
      </c>
      <c r="E2723" s="6" t="s">
        <v>607</v>
      </c>
      <c r="F2723" s="6" t="s">
        <v>607</v>
      </c>
      <c r="G2723" s="4" t="s">
        <v>607</v>
      </c>
      <c r="H2723" s="4" t="s">
        <v>607</v>
      </c>
      <c r="I2723" s="4" t="s">
        <v>607</v>
      </c>
      <c r="J2723" s="4" t="s">
        <v>607</v>
      </c>
      <c r="K2723" s="4" t="s">
        <v>607</v>
      </c>
      <c r="L2723" s="4" t="s">
        <v>607</v>
      </c>
      <c r="M2723" s="4" t="s">
        <v>607</v>
      </c>
      <c r="N2723" s="4" t="s">
        <v>607</v>
      </c>
      <c r="O2723" s="4"/>
      <c r="P2723" s="4"/>
      <c r="T2723" s="4"/>
    </row>
    <row r="2724">
      <c r="A2724" s="4" t="s">
        <v>6273</v>
      </c>
      <c r="B2724" s="4" t="s">
        <v>607</v>
      </c>
      <c r="C2724" s="6" t="s">
        <v>607</v>
      </c>
      <c r="D2724" s="6" t="s">
        <v>607</v>
      </c>
      <c r="E2724" s="6" t="s">
        <v>607</v>
      </c>
      <c r="F2724" s="6" t="s">
        <v>607</v>
      </c>
      <c r="G2724" s="4" t="s">
        <v>607</v>
      </c>
      <c r="H2724" s="4" t="s">
        <v>607</v>
      </c>
      <c r="I2724" s="4" t="s">
        <v>607</v>
      </c>
      <c r="J2724" s="4" t="s">
        <v>607</v>
      </c>
      <c r="K2724" s="4" t="s">
        <v>607</v>
      </c>
      <c r="L2724" s="4" t="s">
        <v>607</v>
      </c>
      <c r="M2724" s="4" t="s">
        <v>607</v>
      </c>
      <c r="N2724" s="4" t="s">
        <v>607</v>
      </c>
      <c r="O2724" s="4"/>
      <c r="P2724" s="4"/>
      <c r="T2724" s="4"/>
    </row>
    <row r="2725">
      <c r="A2725" s="4" t="s">
        <v>6274</v>
      </c>
      <c r="B2725" s="4" t="s">
        <v>607</v>
      </c>
      <c r="C2725" s="6" t="s">
        <v>607</v>
      </c>
      <c r="D2725" s="6" t="s">
        <v>607</v>
      </c>
      <c r="E2725" s="6" t="s">
        <v>607</v>
      </c>
      <c r="F2725" s="6" t="s">
        <v>607</v>
      </c>
      <c r="G2725" s="4" t="s">
        <v>607</v>
      </c>
      <c r="H2725" s="4" t="s">
        <v>607</v>
      </c>
      <c r="I2725" s="4" t="s">
        <v>607</v>
      </c>
      <c r="J2725" s="4" t="s">
        <v>607</v>
      </c>
      <c r="K2725" s="4" t="s">
        <v>607</v>
      </c>
      <c r="L2725" s="4" t="s">
        <v>607</v>
      </c>
      <c r="M2725" s="4" t="s">
        <v>607</v>
      </c>
      <c r="N2725" s="4" t="s">
        <v>607</v>
      </c>
      <c r="O2725" s="4"/>
      <c r="P2725" s="4"/>
      <c r="T2725" s="4"/>
    </row>
    <row r="2726">
      <c r="A2726" s="4" t="s">
        <v>6275</v>
      </c>
      <c r="B2726" s="4" t="s">
        <v>607</v>
      </c>
      <c r="C2726" s="6" t="s">
        <v>607</v>
      </c>
      <c r="D2726" s="6" t="s">
        <v>607</v>
      </c>
      <c r="E2726" s="6" t="s">
        <v>607</v>
      </c>
      <c r="F2726" s="6" t="s">
        <v>607</v>
      </c>
      <c r="G2726" s="4" t="s">
        <v>607</v>
      </c>
      <c r="H2726" s="4" t="s">
        <v>607</v>
      </c>
      <c r="I2726" s="4" t="s">
        <v>607</v>
      </c>
      <c r="J2726" s="4" t="s">
        <v>607</v>
      </c>
      <c r="K2726" s="4" t="s">
        <v>607</v>
      </c>
      <c r="L2726" s="4" t="s">
        <v>607</v>
      </c>
      <c r="M2726" s="4" t="s">
        <v>607</v>
      </c>
      <c r="N2726" s="4" t="s">
        <v>607</v>
      </c>
      <c r="O2726" s="4"/>
      <c r="P2726" s="4"/>
      <c r="T2726" s="4"/>
    </row>
    <row r="2727">
      <c r="A2727" s="4" t="s">
        <v>6276</v>
      </c>
      <c r="B2727" s="4" t="s">
        <v>607</v>
      </c>
      <c r="C2727" s="6" t="s">
        <v>607</v>
      </c>
      <c r="D2727" s="6" t="s">
        <v>607</v>
      </c>
      <c r="E2727" s="6" t="s">
        <v>607</v>
      </c>
      <c r="F2727" s="6" t="s">
        <v>607</v>
      </c>
      <c r="G2727" s="4" t="s">
        <v>607</v>
      </c>
      <c r="H2727" s="4" t="s">
        <v>607</v>
      </c>
      <c r="I2727" s="4" t="s">
        <v>607</v>
      </c>
      <c r="J2727" s="4" t="s">
        <v>607</v>
      </c>
      <c r="K2727" s="4" t="s">
        <v>607</v>
      </c>
      <c r="L2727" s="4" t="s">
        <v>607</v>
      </c>
      <c r="M2727" s="4" t="s">
        <v>607</v>
      </c>
      <c r="N2727" s="4" t="s">
        <v>607</v>
      </c>
      <c r="O2727" s="4"/>
      <c r="P2727" s="4"/>
      <c r="T2727" s="4"/>
    </row>
    <row r="2728">
      <c r="A2728" s="4" t="s">
        <v>6277</v>
      </c>
      <c r="B2728" s="4" t="s">
        <v>607</v>
      </c>
      <c r="C2728" s="6" t="s">
        <v>607</v>
      </c>
      <c r="D2728" s="6" t="s">
        <v>607</v>
      </c>
      <c r="E2728" s="6" t="s">
        <v>607</v>
      </c>
      <c r="F2728" s="6" t="s">
        <v>607</v>
      </c>
      <c r="G2728" s="4" t="s">
        <v>607</v>
      </c>
      <c r="H2728" s="4" t="s">
        <v>607</v>
      </c>
      <c r="I2728" s="4" t="s">
        <v>607</v>
      </c>
      <c r="J2728" s="4" t="s">
        <v>607</v>
      </c>
      <c r="K2728" s="4" t="s">
        <v>607</v>
      </c>
      <c r="L2728" s="4" t="s">
        <v>607</v>
      </c>
      <c r="M2728" s="4" t="s">
        <v>607</v>
      </c>
      <c r="N2728" s="4" t="s">
        <v>607</v>
      </c>
      <c r="O2728" s="4"/>
      <c r="P2728" s="4"/>
      <c r="T2728" s="4"/>
    </row>
    <row r="2729">
      <c r="A2729" s="4" t="s">
        <v>6278</v>
      </c>
      <c r="B2729" s="4" t="s">
        <v>607</v>
      </c>
      <c r="C2729" s="6" t="s">
        <v>607</v>
      </c>
      <c r="D2729" s="6" t="s">
        <v>607</v>
      </c>
      <c r="E2729" s="6" t="s">
        <v>607</v>
      </c>
      <c r="F2729" s="6" t="s">
        <v>607</v>
      </c>
      <c r="G2729" s="4" t="s">
        <v>607</v>
      </c>
      <c r="H2729" s="4" t="s">
        <v>607</v>
      </c>
      <c r="I2729" s="4" t="s">
        <v>607</v>
      </c>
      <c r="J2729" s="4" t="s">
        <v>607</v>
      </c>
      <c r="K2729" s="4" t="s">
        <v>607</v>
      </c>
      <c r="L2729" s="4" t="s">
        <v>607</v>
      </c>
      <c r="M2729" s="4" t="s">
        <v>607</v>
      </c>
      <c r="N2729" s="4" t="s">
        <v>607</v>
      </c>
      <c r="O2729" s="4"/>
      <c r="P2729" s="4"/>
      <c r="T2729" s="4"/>
    </row>
    <row r="2730">
      <c r="A2730" s="4" t="s">
        <v>6282</v>
      </c>
      <c r="B2730" s="4" t="s">
        <v>607</v>
      </c>
      <c r="C2730" s="6" t="s">
        <v>607</v>
      </c>
      <c r="D2730" s="6" t="s">
        <v>607</v>
      </c>
      <c r="E2730" s="6" t="s">
        <v>607</v>
      </c>
      <c r="F2730" s="6" t="s">
        <v>607</v>
      </c>
      <c r="G2730" s="4" t="s">
        <v>607</v>
      </c>
      <c r="H2730" s="4" t="s">
        <v>607</v>
      </c>
      <c r="I2730" s="4" t="s">
        <v>607</v>
      </c>
      <c r="J2730" s="4" t="s">
        <v>607</v>
      </c>
      <c r="K2730" s="4" t="s">
        <v>607</v>
      </c>
      <c r="L2730" s="4" t="s">
        <v>607</v>
      </c>
      <c r="M2730" s="4" t="s">
        <v>607</v>
      </c>
      <c r="N2730" s="4" t="s">
        <v>607</v>
      </c>
      <c r="O2730" s="4"/>
      <c r="P2730" s="4"/>
      <c r="T2730" s="4"/>
    </row>
    <row r="2731">
      <c r="A2731" s="4" t="s">
        <v>6284</v>
      </c>
      <c r="B2731" s="4" t="s">
        <v>607</v>
      </c>
      <c r="C2731" s="6" t="s">
        <v>607</v>
      </c>
      <c r="D2731" s="6" t="s">
        <v>607</v>
      </c>
      <c r="E2731" s="6" t="s">
        <v>607</v>
      </c>
      <c r="F2731" s="6" t="s">
        <v>607</v>
      </c>
      <c r="G2731" s="4" t="s">
        <v>607</v>
      </c>
      <c r="H2731" s="4" t="s">
        <v>607</v>
      </c>
      <c r="I2731" s="4" t="s">
        <v>607</v>
      </c>
      <c r="J2731" s="4" t="s">
        <v>607</v>
      </c>
      <c r="K2731" s="4" t="s">
        <v>607</v>
      </c>
      <c r="L2731" s="4" t="s">
        <v>607</v>
      </c>
      <c r="M2731" s="4" t="s">
        <v>607</v>
      </c>
      <c r="N2731" s="4" t="s">
        <v>607</v>
      </c>
      <c r="O2731" s="4"/>
      <c r="P2731" s="4"/>
      <c r="T2731" s="4"/>
    </row>
    <row r="2732">
      <c r="A2732" s="4" t="s">
        <v>6285</v>
      </c>
      <c r="B2732" s="4" t="s">
        <v>607</v>
      </c>
      <c r="C2732" s="6" t="s">
        <v>607</v>
      </c>
      <c r="D2732" s="6" t="s">
        <v>607</v>
      </c>
      <c r="E2732" s="6" t="s">
        <v>607</v>
      </c>
      <c r="F2732" s="6" t="s">
        <v>607</v>
      </c>
      <c r="G2732" s="4" t="s">
        <v>607</v>
      </c>
      <c r="H2732" s="4" t="s">
        <v>607</v>
      </c>
      <c r="I2732" s="4" t="s">
        <v>607</v>
      </c>
      <c r="J2732" s="4" t="s">
        <v>607</v>
      </c>
      <c r="K2732" s="4" t="s">
        <v>607</v>
      </c>
      <c r="L2732" s="4" t="s">
        <v>607</v>
      </c>
      <c r="M2732" s="4" t="s">
        <v>607</v>
      </c>
      <c r="N2732" s="4" t="s">
        <v>607</v>
      </c>
      <c r="O2732" s="4"/>
      <c r="P2732" s="4"/>
      <c r="T2732" s="4"/>
    </row>
    <row r="2733">
      <c r="A2733" s="4" t="s">
        <v>6286</v>
      </c>
      <c r="B2733" s="4" t="s">
        <v>607</v>
      </c>
      <c r="C2733" s="6" t="s">
        <v>607</v>
      </c>
      <c r="D2733" s="6" t="s">
        <v>607</v>
      </c>
      <c r="E2733" s="6" t="s">
        <v>607</v>
      </c>
      <c r="F2733" s="6" t="s">
        <v>607</v>
      </c>
      <c r="G2733" s="4" t="s">
        <v>607</v>
      </c>
      <c r="H2733" s="4" t="s">
        <v>607</v>
      </c>
      <c r="I2733" s="4" t="s">
        <v>607</v>
      </c>
      <c r="J2733" s="4" t="s">
        <v>607</v>
      </c>
      <c r="K2733" s="4" t="s">
        <v>607</v>
      </c>
      <c r="L2733" s="4" t="s">
        <v>607</v>
      </c>
      <c r="M2733" s="4" t="s">
        <v>607</v>
      </c>
      <c r="N2733" s="4" t="s">
        <v>607</v>
      </c>
      <c r="O2733" s="4"/>
      <c r="P2733" s="4"/>
      <c r="T2733" s="4"/>
    </row>
    <row r="2734">
      <c r="A2734" s="4" t="s">
        <v>6287</v>
      </c>
      <c r="B2734" s="4" t="s">
        <v>607</v>
      </c>
      <c r="C2734" s="6" t="s">
        <v>607</v>
      </c>
      <c r="D2734" s="6" t="s">
        <v>607</v>
      </c>
      <c r="E2734" s="6" t="s">
        <v>607</v>
      </c>
      <c r="F2734" s="6" t="s">
        <v>607</v>
      </c>
      <c r="G2734" s="4" t="s">
        <v>607</v>
      </c>
      <c r="H2734" s="4" t="s">
        <v>607</v>
      </c>
      <c r="I2734" s="4" t="s">
        <v>607</v>
      </c>
      <c r="J2734" s="4" t="s">
        <v>607</v>
      </c>
      <c r="K2734" s="4" t="s">
        <v>607</v>
      </c>
      <c r="L2734" s="4" t="s">
        <v>607</v>
      </c>
      <c r="M2734" s="4" t="s">
        <v>607</v>
      </c>
      <c r="N2734" s="4" t="s">
        <v>607</v>
      </c>
      <c r="O2734" s="4"/>
      <c r="P2734" s="4"/>
      <c r="T2734" s="4"/>
    </row>
    <row r="2735">
      <c r="A2735" s="4" t="s">
        <v>6290</v>
      </c>
      <c r="B2735" s="4" t="s">
        <v>607</v>
      </c>
      <c r="C2735" s="6" t="s">
        <v>607</v>
      </c>
      <c r="D2735" s="6" t="s">
        <v>607</v>
      </c>
      <c r="E2735" s="6" t="s">
        <v>607</v>
      </c>
      <c r="F2735" s="6" t="s">
        <v>607</v>
      </c>
      <c r="G2735" s="4" t="s">
        <v>607</v>
      </c>
      <c r="H2735" s="4" t="s">
        <v>607</v>
      </c>
      <c r="I2735" s="4" t="s">
        <v>607</v>
      </c>
      <c r="J2735" s="4" t="s">
        <v>607</v>
      </c>
      <c r="K2735" s="4" t="s">
        <v>607</v>
      </c>
      <c r="L2735" s="4" t="s">
        <v>607</v>
      </c>
      <c r="M2735" s="4" t="s">
        <v>607</v>
      </c>
      <c r="N2735" s="4" t="s">
        <v>607</v>
      </c>
      <c r="O2735" s="4"/>
      <c r="P2735" s="4"/>
      <c r="T2735" s="4"/>
    </row>
    <row r="2736">
      <c r="A2736" s="4" t="s">
        <v>6291</v>
      </c>
      <c r="B2736" s="4" t="s">
        <v>607</v>
      </c>
      <c r="C2736" s="6" t="s">
        <v>607</v>
      </c>
      <c r="D2736" s="6" t="s">
        <v>607</v>
      </c>
      <c r="E2736" s="6" t="s">
        <v>607</v>
      </c>
      <c r="F2736" s="6" t="s">
        <v>607</v>
      </c>
      <c r="G2736" s="4" t="s">
        <v>607</v>
      </c>
      <c r="H2736" s="4" t="s">
        <v>607</v>
      </c>
      <c r="I2736" s="4" t="s">
        <v>607</v>
      </c>
      <c r="J2736" s="4" t="s">
        <v>607</v>
      </c>
      <c r="K2736" s="4" t="s">
        <v>607</v>
      </c>
      <c r="L2736" s="4" t="s">
        <v>607</v>
      </c>
      <c r="M2736" s="4" t="s">
        <v>607</v>
      </c>
      <c r="N2736" s="4" t="s">
        <v>607</v>
      </c>
      <c r="O2736" s="4"/>
      <c r="P2736" s="4"/>
      <c r="T2736" s="4"/>
    </row>
    <row r="2737">
      <c r="A2737" s="4" t="s">
        <v>6292</v>
      </c>
      <c r="B2737" s="4" t="s">
        <v>607</v>
      </c>
      <c r="C2737" s="6" t="s">
        <v>607</v>
      </c>
      <c r="D2737" s="6" t="s">
        <v>607</v>
      </c>
      <c r="E2737" s="6" t="s">
        <v>607</v>
      </c>
      <c r="F2737" s="6" t="s">
        <v>607</v>
      </c>
      <c r="G2737" s="4" t="s">
        <v>607</v>
      </c>
      <c r="H2737" s="4" t="s">
        <v>607</v>
      </c>
      <c r="I2737" s="4" t="s">
        <v>607</v>
      </c>
      <c r="J2737" s="4" t="s">
        <v>607</v>
      </c>
      <c r="K2737" s="4" t="s">
        <v>607</v>
      </c>
      <c r="L2737" s="4" t="s">
        <v>607</v>
      </c>
      <c r="M2737" s="4" t="s">
        <v>607</v>
      </c>
      <c r="N2737" s="4" t="s">
        <v>607</v>
      </c>
      <c r="O2737" s="4"/>
      <c r="P2737" s="4"/>
      <c r="T2737" s="4"/>
    </row>
    <row r="2738">
      <c r="A2738" s="4" t="s">
        <v>6296</v>
      </c>
      <c r="B2738" s="4" t="s">
        <v>607</v>
      </c>
      <c r="C2738" s="6" t="s">
        <v>607</v>
      </c>
      <c r="D2738" s="6" t="s">
        <v>607</v>
      </c>
      <c r="E2738" s="6" t="s">
        <v>607</v>
      </c>
      <c r="F2738" s="6" t="s">
        <v>607</v>
      </c>
      <c r="G2738" s="4" t="s">
        <v>607</v>
      </c>
      <c r="H2738" s="4" t="s">
        <v>607</v>
      </c>
      <c r="I2738" s="4" t="s">
        <v>607</v>
      </c>
      <c r="J2738" s="4" t="s">
        <v>607</v>
      </c>
      <c r="K2738" s="4" t="s">
        <v>607</v>
      </c>
      <c r="L2738" s="4" t="s">
        <v>607</v>
      </c>
      <c r="M2738" s="4" t="s">
        <v>607</v>
      </c>
      <c r="N2738" s="4" t="s">
        <v>607</v>
      </c>
      <c r="O2738" s="4"/>
      <c r="P2738" s="4"/>
      <c r="T2738" s="4"/>
    </row>
    <row r="2739">
      <c r="A2739" s="4" t="s">
        <v>6297</v>
      </c>
      <c r="B2739" s="4" t="s">
        <v>607</v>
      </c>
      <c r="C2739" s="6" t="s">
        <v>607</v>
      </c>
      <c r="D2739" s="6" t="s">
        <v>607</v>
      </c>
      <c r="E2739" s="6" t="s">
        <v>607</v>
      </c>
      <c r="F2739" s="6" t="s">
        <v>607</v>
      </c>
      <c r="G2739" s="4" t="s">
        <v>607</v>
      </c>
      <c r="H2739" s="4" t="s">
        <v>607</v>
      </c>
      <c r="I2739" s="4" t="s">
        <v>607</v>
      </c>
      <c r="J2739" s="4" t="s">
        <v>607</v>
      </c>
      <c r="K2739" s="4" t="s">
        <v>607</v>
      </c>
      <c r="L2739" s="4" t="s">
        <v>607</v>
      </c>
      <c r="M2739" s="4" t="s">
        <v>607</v>
      </c>
      <c r="N2739" s="4" t="s">
        <v>607</v>
      </c>
      <c r="O2739" s="4"/>
      <c r="P2739" s="4"/>
      <c r="T2739" s="4"/>
    </row>
    <row r="2740">
      <c r="A2740" s="4" t="s">
        <v>6298</v>
      </c>
      <c r="B2740" s="4" t="s">
        <v>607</v>
      </c>
      <c r="C2740" s="6" t="s">
        <v>607</v>
      </c>
      <c r="D2740" s="6" t="s">
        <v>607</v>
      </c>
      <c r="E2740" s="6" t="s">
        <v>607</v>
      </c>
      <c r="F2740" s="6" t="s">
        <v>607</v>
      </c>
      <c r="G2740" s="4" t="s">
        <v>607</v>
      </c>
      <c r="H2740" s="4" t="s">
        <v>607</v>
      </c>
      <c r="I2740" s="4" t="s">
        <v>607</v>
      </c>
      <c r="J2740" s="4" t="s">
        <v>607</v>
      </c>
      <c r="K2740" s="4" t="s">
        <v>607</v>
      </c>
      <c r="L2740" s="4" t="s">
        <v>607</v>
      </c>
      <c r="M2740" s="4" t="s">
        <v>607</v>
      </c>
      <c r="N2740" s="4" t="s">
        <v>607</v>
      </c>
      <c r="O2740" s="4"/>
      <c r="P2740" s="4"/>
      <c r="T2740" s="4"/>
    </row>
    <row r="2741">
      <c r="A2741" s="4" t="s">
        <v>6301</v>
      </c>
      <c r="B2741" s="4" t="s">
        <v>607</v>
      </c>
      <c r="C2741" s="6" t="s">
        <v>607</v>
      </c>
      <c r="D2741" s="6" t="s">
        <v>607</v>
      </c>
      <c r="E2741" s="6" t="s">
        <v>607</v>
      </c>
      <c r="F2741" s="6" t="s">
        <v>607</v>
      </c>
      <c r="G2741" s="4" t="s">
        <v>607</v>
      </c>
      <c r="H2741" s="4" t="s">
        <v>607</v>
      </c>
      <c r="I2741" s="4" t="s">
        <v>607</v>
      </c>
      <c r="J2741" s="4" t="s">
        <v>607</v>
      </c>
      <c r="K2741" s="4" t="s">
        <v>607</v>
      </c>
      <c r="L2741" s="4" t="s">
        <v>607</v>
      </c>
      <c r="M2741" s="4" t="s">
        <v>607</v>
      </c>
      <c r="N2741" s="4" t="s">
        <v>607</v>
      </c>
      <c r="O2741" s="4"/>
      <c r="P2741" s="4"/>
      <c r="T2741" s="4"/>
    </row>
    <row r="2742">
      <c r="A2742" s="4" t="s">
        <v>6303</v>
      </c>
      <c r="B2742" s="4" t="s">
        <v>607</v>
      </c>
      <c r="C2742" s="6" t="s">
        <v>607</v>
      </c>
      <c r="D2742" s="6" t="s">
        <v>607</v>
      </c>
      <c r="E2742" s="6" t="s">
        <v>607</v>
      </c>
      <c r="F2742" s="6" t="s">
        <v>607</v>
      </c>
      <c r="G2742" s="4" t="s">
        <v>607</v>
      </c>
      <c r="H2742" s="4" t="s">
        <v>607</v>
      </c>
      <c r="I2742" s="4" t="s">
        <v>607</v>
      </c>
      <c r="J2742" s="4" t="s">
        <v>607</v>
      </c>
      <c r="K2742" s="4" t="s">
        <v>607</v>
      </c>
      <c r="L2742" s="4" t="s">
        <v>607</v>
      </c>
      <c r="M2742" s="4" t="s">
        <v>607</v>
      </c>
      <c r="N2742" s="4" t="s">
        <v>607</v>
      </c>
      <c r="O2742" s="4"/>
      <c r="P2742" s="4"/>
      <c r="T2742" s="4"/>
    </row>
    <row r="2743">
      <c r="A2743" s="4" t="s">
        <v>6304</v>
      </c>
      <c r="B2743" s="4" t="s">
        <v>607</v>
      </c>
      <c r="C2743" s="6" t="s">
        <v>607</v>
      </c>
      <c r="D2743" s="6" t="s">
        <v>607</v>
      </c>
      <c r="E2743" s="6" t="s">
        <v>607</v>
      </c>
      <c r="F2743" s="6" t="s">
        <v>607</v>
      </c>
      <c r="G2743" s="4" t="s">
        <v>607</v>
      </c>
      <c r="H2743" s="4" t="s">
        <v>607</v>
      </c>
      <c r="I2743" s="4" t="s">
        <v>607</v>
      </c>
      <c r="J2743" s="4" t="s">
        <v>607</v>
      </c>
      <c r="K2743" s="4" t="s">
        <v>607</v>
      </c>
      <c r="L2743" s="4" t="s">
        <v>607</v>
      </c>
      <c r="M2743" s="4" t="s">
        <v>607</v>
      </c>
      <c r="N2743" s="4" t="s">
        <v>607</v>
      </c>
      <c r="O2743" s="4"/>
      <c r="P2743" s="4"/>
      <c r="T2743" s="4"/>
    </row>
    <row r="2744">
      <c r="A2744" s="4" t="s">
        <v>6305</v>
      </c>
      <c r="B2744" s="4" t="s">
        <v>607</v>
      </c>
      <c r="C2744" s="6" t="s">
        <v>607</v>
      </c>
      <c r="D2744" s="6" t="s">
        <v>607</v>
      </c>
      <c r="E2744" s="6" t="s">
        <v>607</v>
      </c>
      <c r="F2744" s="6" t="s">
        <v>607</v>
      </c>
      <c r="G2744" s="4" t="s">
        <v>607</v>
      </c>
      <c r="H2744" s="4" t="s">
        <v>607</v>
      </c>
      <c r="I2744" s="4" t="s">
        <v>607</v>
      </c>
      <c r="J2744" s="4" t="s">
        <v>607</v>
      </c>
      <c r="K2744" s="4" t="s">
        <v>607</v>
      </c>
      <c r="L2744" s="4" t="s">
        <v>607</v>
      </c>
      <c r="M2744" s="4" t="s">
        <v>607</v>
      </c>
      <c r="N2744" s="4" t="s">
        <v>607</v>
      </c>
      <c r="O2744" s="4"/>
      <c r="P2744" s="4"/>
      <c r="T2744" s="4"/>
    </row>
    <row r="2745">
      <c r="A2745" s="4" t="s">
        <v>6307</v>
      </c>
      <c r="B2745" s="4" t="s">
        <v>607</v>
      </c>
      <c r="C2745" s="6" t="s">
        <v>607</v>
      </c>
      <c r="D2745" s="6" t="s">
        <v>607</v>
      </c>
      <c r="E2745" s="6" t="s">
        <v>607</v>
      </c>
      <c r="F2745" s="6" t="s">
        <v>607</v>
      </c>
      <c r="G2745" s="4" t="s">
        <v>607</v>
      </c>
      <c r="H2745" s="4" t="s">
        <v>607</v>
      </c>
      <c r="I2745" s="4" t="s">
        <v>607</v>
      </c>
      <c r="J2745" s="4" t="s">
        <v>607</v>
      </c>
      <c r="K2745" s="4" t="s">
        <v>607</v>
      </c>
      <c r="L2745" s="4" t="s">
        <v>607</v>
      </c>
      <c r="M2745" s="4" t="s">
        <v>607</v>
      </c>
      <c r="N2745" s="4" t="s">
        <v>607</v>
      </c>
      <c r="O2745" s="4"/>
      <c r="P2745" s="4"/>
      <c r="T2745" s="4"/>
    </row>
    <row r="2746">
      <c r="A2746" s="4" t="s">
        <v>6310</v>
      </c>
      <c r="B2746" s="4" t="s">
        <v>607</v>
      </c>
      <c r="C2746" s="6" t="s">
        <v>607</v>
      </c>
      <c r="D2746" s="6" t="s">
        <v>607</v>
      </c>
      <c r="E2746" s="6" t="s">
        <v>607</v>
      </c>
      <c r="F2746" s="6" t="s">
        <v>607</v>
      </c>
      <c r="G2746" s="4" t="s">
        <v>607</v>
      </c>
      <c r="H2746" s="4" t="s">
        <v>607</v>
      </c>
      <c r="I2746" s="4" t="s">
        <v>607</v>
      </c>
      <c r="J2746" s="4" t="s">
        <v>607</v>
      </c>
      <c r="K2746" s="4" t="s">
        <v>607</v>
      </c>
      <c r="L2746" s="4" t="s">
        <v>607</v>
      </c>
      <c r="M2746" s="4" t="s">
        <v>607</v>
      </c>
      <c r="N2746" s="4" t="s">
        <v>607</v>
      </c>
      <c r="O2746" s="4"/>
      <c r="P2746" s="4"/>
      <c r="T2746" s="4"/>
    </row>
    <row r="2747">
      <c r="A2747" s="4" t="s">
        <v>6311</v>
      </c>
      <c r="B2747" s="4" t="s">
        <v>607</v>
      </c>
      <c r="C2747" s="6" t="s">
        <v>607</v>
      </c>
      <c r="D2747" s="6" t="s">
        <v>607</v>
      </c>
      <c r="E2747" s="6" t="s">
        <v>607</v>
      </c>
      <c r="F2747" s="6" t="s">
        <v>607</v>
      </c>
      <c r="G2747" s="4" t="s">
        <v>607</v>
      </c>
      <c r="H2747" s="4" t="s">
        <v>607</v>
      </c>
      <c r="I2747" s="4" t="s">
        <v>607</v>
      </c>
      <c r="J2747" s="4" t="s">
        <v>607</v>
      </c>
      <c r="K2747" s="4" t="s">
        <v>607</v>
      </c>
      <c r="L2747" s="4" t="s">
        <v>607</v>
      </c>
      <c r="M2747" s="4" t="s">
        <v>607</v>
      </c>
      <c r="N2747" s="4" t="s">
        <v>607</v>
      </c>
      <c r="O2747" s="4"/>
      <c r="P2747" s="4"/>
      <c r="T2747" s="4"/>
    </row>
    <row r="2748">
      <c r="A2748" s="4" t="s">
        <v>6312</v>
      </c>
      <c r="B2748" s="4" t="s">
        <v>607</v>
      </c>
      <c r="C2748" s="6" t="s">
        <v>607</v>
      </c>
      <c r="D2748" s="6" t="s">
        <v>607</v>
      </c>
      <c r="E2748" s="6" t="s">
        <v>607</v>
      </c>
      <c r="F2748" s="6" t="s">
        <v>607</v>
      </c>
      <c r="G2748" s="4" t="s">
        <v>607</v>
      </c>
      <c r="H2748" s="4" t="s">
        <v>607</v>
      </c>
      <c r="I2748" s="4" t="s">
        <v>607</v>
      </c>
      <c r="J2748" s="4" t="s">
        <v>607</v>
      </c>
      <c r="K2748" s="4" t="s">
        <v>607</v>
      </c>
      <c r="L2748" s="4" t="s">
        <v>607</v>
      </c>
      <c r="M2748" s="4" t="s">
        <v>607</v>
      </c>
      <c r="N2748" s="4" t="s">
        <v>607</v>
      </c>
      <c r="O2748" s="4"/>
      <c r="P2748" s="4"/>
      <c r="T2748" s="4"/>
    </row>
    <row r="2749">
      <c r="A2749" s="4" t="s">
        <v>6316</v>
      </c>
      <c r="B2749" s="4" t="s">
        <v>607</v>
      </c>
      <c r="C2749" s="6" t="s">
        <v>607</v>
      </c>
      <c r="D2749" s="6" t="s">
        <v>607</v>
      </c>
      <c r="E2749" s="6" t="s">
        <v>607</v>
      </c>
      <c r="F2749" s="6" t="s">
        <v>607</v>
      </c>
      <c r="G2749" s="4" t="s">
        <v>607</v>
      </c>
      <c r="H2749" s="4" t="s">
        <v>607</v>
      </c>
      <c r="I2749" s="4" t="s">
        <v>607</v>
      </c>
      <c r="J2749" s="4" t="s">
        <v>607</v>
      </c>
      <c r="K2749" s="4" t="s">
        <v>607</v>
      </c>
      <c r="L2749" s="4" t="s">
        <v>607</v>
      </c>
      <c r="M2749" s="4" t="s">
        <v>607</v>
      </c>
      <c r="N2749" s="4" t="s">
        <v>607</v>
      </c>
      <c r="O2749" s="4"/>
      <c r="P2749" s="4"/>
      <c r="T2749" s="4"/>
    </row>
    <row r="2750">
      <c r="A2750" s="4" t="s">
        <v>6317</v>
      </c>
      <c r="B2750" s="4" t="s">
        <v>607</v>
      </c>
      <c r="C2750" s="6" t="s">
        <v>607</v>
      </c>
      <c r="D2750" s="6" t="s">
        <v>607</v>
      </c>
      <c r="E2750" s="6" t="s">
        <v>607</v>
      </c>
      <c r="F2750" s="6" t="s">
        <v>607</v>
      </c>
      <c r="G2750" s="4" t="s">
        <v>607</v>
      </c>
      <c r="H2750" s="4" t="s">
        <v>607</v>
      </c>
      <c r="I2750" s="4" t="s">
        <v>607</v>
      </c>
      <c r="J2750" s="4" t="s">
        <v>607</v>
      </c>
      <c r="K2750" s="4" t="s">
        <v>607</v>
      </c>
      <c r="L2750" s="4" t="s">
        <v>607</v>
      </c>
      <c r="M2750" s="4" t="s">
        <v>607</v>
      </c>
      <c r="N2750" s="4" t="s">
        <v>607</v>
      </c>
      <c r="O2750" s="4"/>
      <c r="P2750" s="4"/>
      <c r="T2750" s="4"/>
    </row>
    <row r="2751">
      <c r="A2751" s="4" t="s">
        <v>6321</v>
      </c>
      <c r="B2751" s="4" t="s">
        <v>607</v>
      </c>
      <c r="C2751" s="6" t="s">
        <v>607</v>
      </c>
      <c r="D2751" s="6" t="s">
        <v>607</v>
      </c>
      <c r="E2751" s="6" t="s">
        <v>607</v>
      </c>
      <c r="F2751" s="6" t="s">
        <v>607</v>
      </c>
      <c r="G2751" s="4" t="s">
        <v>607</v>
      </c>
      <c r="H2751" s="4" t="s">
        <v>607</v>
      </c>
      <c r="I2751" s="4" t="s">
        <v>607</v>
      </c>
      <c r="J2751" s="4" t="s">
        <v>607</v>
      </c>
      <c r="K2751" s="4" t="s">
        <v>607</v>
      </c>
      <c r="L2751" s="4" t="s">
        <v>607</v>
      </c>
      <c r="M2751" s="4" t="s">
        <v>607</v>
      </c>
      <c r="N2751" s="4" t="s">
        <v>607</v>
      </c>
      <c r="O2751" s="4"/>
      <c r="P2751" s="4"/>
      <c r="T2751" s="4"/>
    </row>
    <row r="2752">
      <c r="A2752" s="4" t="s">
        <v>6324</v>
      </c>
      <c r="B2752" s="4" t="s">
        <v>607</v>
      </c>
      <c r="C2752" s="6" t="s">
        <v>607</v>
      </c>
      <c r="D2752" s="6" t="s">
        <v>607</v>
      </c>
      <c r="E2752" s="6" t="s">
        <v>607</v>
      </c>
      <c r="F2752" s="6" t="s">
        <v>607</v>
      </c>
      <c r="G2752" s="4" t="s">
        <v>607</v>
      </c>
      <c r="H2752" s="4" t="s">
        <v>607</v>
      </c>
      <c r="I2752" s="4" t="s">
        <v>607</v>
      </c>
      <c r="J2752" s="4" t="s">
        <v>607</v>
      </c>
      <c r="K2752" s="4" t="s">
        <v>607</v>
      </c>
      <c r="L2752" s="4" t="s">
        <v>607</v>
      </c>
      <c r="M2752" s="4" t="s">
        <v>607</v>
      </c>
      <c r="N2752" s="4" t="s">
        <v>607</v>
      </c>
      <c r="O2752" s="4"/>
      <c r="P2752" s="4"/>
      <c r="T2752" s="4"/>
    </row>
    <row r="2753">
      <c r="A2753" s="4" t="s">
        <v>6325</v>
      </c>
      <c r="B2753" s="4" t="s">
        <v>607</v>
      </c>
      <c r="C2753" s="6" t="s">
        <v>607</v>
      </c>
      <c r="D2753" s="6" t="s">
        <v>607</v>
      </c>
      <c r="E2753" s="6" t="s">
        <v>607</v>
      </c>
      <c r="F2753" s="6" t="s">
        <v>607</v>
      </c>
      <c r="G2753" s="4" t="s">
        <v>607</v>
      </c>
      <c r="H2753" s="4" t="s">
        <v>607</v>
      </c>
      <c r="I2753" s="4" t="s">
        <v>607</v>
      </c>
      <c r="J2753" s="4" t="s">
        <v>607</v>
      </c>
      <c r="K2753" s="4" t="s">
        <v>607</v>
      </c>
      <c r="L2753" s="4" t="s">
        <v>607</v>
      </c>
      <c r="M2753" s="4" t="s">
        <v>607</v>
      </c>
      <c r="N2753" s="4" t="s">
        <v>607</v>
      </c>
      <c r="O2753" s="4"/>
      <c r="P2753" s="4"/>
      <c r="T2753" s="4"/>
    </row>
    <row r="2754">
      <c r="A2754" s="4" t="s">
        <v>6326</v>
      </c>
      <c r="B2754" s="4" t="s">
        <v>607</v>
      </c>
      <c r="C2754" s="6" t="s">
        <v>607</v>
      </c>
      <c r="D2754" s="6" t="s">
        <v>607</v>
      </c>
      <c r="E2754" s="6" t="s">
        <v>607</v>
      </c>
      <c r="F2754" s="6" t="s">
        <v>607</v>
      </c>
      <c r="G2754" s="4" t="s">
        <v>607</v>
      </c>
      <c r="H2754" s="4" t="s">
        <v>607</v>
      </c>
      <c r="I2754" s="4" t="s">
        <v>607</v>
      </c>
      <c r="J2754" s="4" t="s">
        <v>607</v>
      </c>
      <c r="K2754" s="4" t="s">
        <v>607</v>
      </c>
      <c r="L2754" s="4" t="s">
        <v>607</v>
      </c>
      <c r="M2754" s="4" t="s">
        <v>607</v>
      </c>
      <c r="N2754" s="4" t="s">
        <v>607</v>
      </c>
      <c r="O2754" s="4"/>
      <c r="P2754" s="4"/>
      <c r="T2754" s="4"/>
    </row>
    <row r="2755">
      <c r="A2755" s="4" t="s">
        <v>6327</v>
      </c>
      <c r="B2755" s="4" t="s">
        <v>607</v>
      </c>
      <c r="C2755" s="6" t="s">
        <v>607</v>
      </c>
      <c r="D2755" s="6" t="s">
        <v>607</v>
      </c>
      <c r="E2755" s="6" t="s">
        <v>607</v>
      </c>
      <c r="F2755" s="6" t="s">
        <v>607</v>
      </c>
      <c r="G2755" s="4" t="s">
        <v>607</v>
      </c>
      <c r="H2755" s="4" t="s">
        <v>607</v>
      </c>
      <c r="I2755" s="4" t="s">
        <v>607</v>
      </c>
      <c r="J2755" s="4" t="s">
        <v>607</v>
      </c>
      <c r="K2755" s="4" t="s">
        <v>607</v>
      </c>
      <c r="L2755" s="4" t="s">
        <v>607</v>
      </c>
      <c r="M2755" s="4" t="s">
        <v>607</v>
      </c>
      <c r="N2755" s="4" t="s">
        <v>607</v>
      </c>
      <c r="O2755" s="4"/>
      <c r="P2755" s="4"/>
      <c r="T2755" s="4"/>
    </row>
    <row r="2756">
      <c r="A2756" s="4" t="s">
        <v>6328</v>
      </c>
      <c r="B2756" s="4" t="s">
        <v>607</v>
      </c>
      <c r="C2756" s="6" t="s">
        <v>607</v>
      </c>
      <c r="D2756" s="6" t="s">
        <v>607</v>
      </c>
      <c r="E2756" s="6" t="s">
        <v>607</v>
      </c>
      <c r="F2756" s="6" t="s">
        <v>607</v>
      </c>
      <c r="G2756" s="4" t="s">
        <v>607</v>
      </c>
      <c r="H2756" s="4" t="s">
        <v>607</v>
      </c>
      <c r="I2756" s="4" t="s">
        <v>607</v>
      </c>
      <c r="J2756" s="4" t="s">
        <v>607</v>
      </c>
      <c r="K2756" s="4" t="s">
        <v>607</v>
      </c>
      <c r="L2756" s="4" t="s">
        <v>607</v>
      </c>
      <c r="M2756" s="4" t="s">
        <v>607</v>
      </c>
      <c r="N2756" s="4" t="s">
        <v>607</v>
      </c>
      <c r="O2756" s="4"/>
      <c r="P2756" s="4"/>
      <c r="T2756" s="4"/>
    </row>
    <row r="2757">
      <c r="A2757" s="4" t="s">
        <v>6329</v>
      </c>
      <c r="B2757" s="4" t="s">
        <v>607</v>
      </c>
      <c r="C2757" s="6" t="s">
        <v>607</v>
      </c>
      <c r="D2757" s="6" t="s">
        <v>607</v>
      </c>
      <c r="E2757" s="6" t="s">
        <v>607</v>
      </c>
      <c r="F2757" s="6" t="s">
        <v>607</v>
      </c>
      <c r="G2757" s="4" t="s">
        <v>607</v>
      </c>
      <c r="H2757" s="4" t="s">
        <v>607</v>
      </c>
      <c r="I2757" s="4" t="s">
        <v>607</v>
      </c>
      <c r="J2757" s="4" t="s">
        <v>607</v>
      </c>
      <c r="K2757" s="4" t="s">
        <v>607</v>
      </c>
      <c r="L2757" s="4" t="s">
        <v>607</v>
      </c>
      <c r="M2757" s="4" t="s">
        <v>607</v>
      </c>
      <c r="N2757" s="4" t="s">
        <v>607</v>
      </c>
      <c r="O2757" s="4"/>
      <c r="P2757" s="4"/>
      <c r="T2757" s="4"/>
    </row>
    <row r="2758">
      <c r="A2758" s="4" t="s">
        <v>6331</v>
      </c>
      <c r="B2758" s="4" t="s">
        <v>607</v>
      </c>
      <c r="C2758" s="6" t="s">
        <v>607</v>
      </c>
      <c r="D2758" s="6" t="s">
        <v>607</v>
      </c>
      <c r="E2758" s="6" t="s">
        <v>607</v>
      </c>
      <c r="F2758" s="6" t="s">
        <v>607</v>
      </c>
      <c r="G2758" s="4" t="s">
        <v>607</v>
      </c>
      <c r="H2758" s="4" t="s">
        <v>607</v>
      </c>
      <c r="I2758" s="4" t="s">
        <v>607</v>
      </c>
      <c r="J2758" s="4" t="s">
        <v>607</v>
      </c>
      <c r="K2758" s="4" t="s">
        <v>607</v>
      </c>
      <c r="L2758" s="4" t="s">
        <v>607</v>
      </c>
      <c r="M2758" s="4" t="s">
        <v>607</v>
      </c>
      <c r="N2758" s="4" t="s">
        <v>607</v>
      </c>
      <c r="O2758" s="4"/>
      <c r="P2758" s="4"/>
      <c r="T2758" s="4"/>
    </row>
    <row r="2759">
      <c r="A2759" s="4" t="s">
        <v>6334</v>
      </c>
      <c r="B2759" s="4" t="s">
        <v>607</v>
      </c>
      <c r="C2759" s="6" t="s">
        <v>607</v>
      </c>
      <c r="D2759" s="6" t="s">
        <v>607</v>
      </c>
      <c r="E2759" s="6" t="s">
        <v>607</v>
      </c>
      <c r="F2759" s="6" t="s">
        <v>607</v>
      </c>
      <c r="G2759" s="4" t="s">
        <v>607</v>
      </c>
      <c r="H2759" s="4" t="s">
        <v>607</v>
      </c>
      <c r="I2759" s="4" t="s">
        <v>607</v>
      </c>
      <c r="J2759" s="4" t="s">
        <v>607</v>
      </c>
      <c r="K2759" s="4" t="s">
        <v>607</v>
      </c>
      <c r="L2759" s="4" t="s">
        <v>607</v>
      </c>
      <c r="M2759" s="4" t="s">
        <v>607</v>
      </c>
      <c r="N2759" s="4" t="s">
        <v>607</v>
      </c>
      <c r="O2759" s="4"/>
      <c r="P2759" s="4"/>
      <c r="T2759" s="4"/>
    </row>
    <row r="2760">
      <c r="A2760" s="4" t="s">
        <v>6335</v>
      </c>
      <c r="B2760" s="4" t="s">
        <v>607</v>
      </c>
      <c r="C2760" s="6" t="s">
        <v>607</v>
      </c>
      <c r="D2760" s="6" t="s">
        <v>607</v>
      </c>
      <c r="E2760" s="6" t="s">
        <v>607</v>
      </c>
      <c r="F2760" s="6" t="s">
        <v>607</v>
      </c>
      <c r="G2760" s="4" t="s">
        <v>607</v>
      </c>
      <c r="H2760" s="4" t="s">
        <v>607</v>
      </c>
      <c r="I2760" s="4" t="s">
        <v>607</v>
      </c>
      <c r="J2760" s="4" t="s">
        <v>607</v>
      </c>
      <c r="K2760" s="4" t="s">
        <v>607</v>
      </c>
      <c r="L2760" s="4" t="s">
        <v>607</v>
      </c>
      <c r="M2760" s="4" t="s">
        <v>607</v>
      </c>
      <c r="N2760" s="4" t="s">
        <v>607</v>
      </c>
      <c r="O2760" s="4"/>
      <c r="P2760" s="4"/>
      <c r="T2760" s="4"/>
    </row>
    <row r="2761">
      <c r="A2761" s="4" t="s">
        <v>6336</v>
      </c>
      <c r="B2761" s="4" t="s">
        <v>607</v>
      </c>
      <c r="C2761" s="6" t="s">
        <v>607</v>
      </c>
      <c r="D2761" s="6" t="s">
        <v>607</v>
      </c>
      <c r="E2761" s="6" t="s">
        <v>607</v>
      </c>
      <c r="F2761" s="6" t="s">
        <v>607</v>
      </c>
      <c r="G2761" s="4" t="s">
        <v>607</v>
      </c>
      <c r="H2761" s="4" t="s">
        <v>607</v>
      </c>
      <c r="I2761" s="4" t="s">
        <v>607</v>
      </c>
      <c r="J2761" s="4" t="s">
        <v>607</v>
      </c>
      <c r="K2761" s="4" t="s">
        <v>607</v>
      </c>
      <c r="L2761" s="4" t="s">
        <v>607</v>
      </c>
      <c r="M2761" s="4" t="s">
        <v>607</v>
      </c>
      <c r="N2761" s="4" t="s">
        <v>607</v>
      </c>
      <c r="O2761" s="4"/>
      <c r="P2761" s="4"/>
      <c r="T2761" s="4"/>
    </row>
    <row r="2762">
      <c r="A2762" s="4" t="s">
        <v>6337</v>
      </c>
      <c r="B2762" s="4" t="s">
        <v>607</v>
      </c>
      <c r="C2762" s="6" t="s">
        <v>607</v>
      </c>
      <c r="D2762" s="6" t="s">
        <v>607</v>
      </c>
      <c r="E2762" s="6" t="s">
        <v>607</v>
      </c>
      <c r="F2762" s="6" t="s">
        <v>607</v>
      </c>
      <c r="G2762" s="4" t="s">
        <v>607</v>
      </c>
      <c r="H2762" s="4" t="s">
        <v>607</v>
      </c>
      <c r="I2762" s="4" t="s">
        <v>607</v>
      </c>
      <c r="J2762" s="4" t="s">
        <v>607</v>
      </c>
      <c r="K2762" s="4" t="s">
        <v>607</v>
      </c>
      <c r="L2762" s="4" t="s">
        <v>607</v>
      </c>
      <c r="M2762" s="4" t="s">
        <v>607</v>
      </c>
      <c r="N2762" s="4" t="s">
        <v>607</v>
      </c>
      <c r="O2762" s="4"/>
      <c r="P2762" s="4"/>
      <c r="T2762" s="4"/>
    </row>
    <row r="2763">
      <c r="A2763" s="4" t="s">
        <v>6338</v>
      </c>
      <c r="B2763" s="4" t="s">
        <v>607</v>
      </c>
      <c r="C2763" s="6" t="s">
        <v>607</v>
      </c>
      <c r="D2763" s="6" t="s">
        <v>607</v>
      </c>
      <c r="E2763" s="6" t="s">
        <v>607</v>
      </c>
      <c r="F2763" s="6" t="s">
        <v>607</v>
      </c>
      <c r="G2763" s="4" t="s">
        <v>607</v>
      </c>
      <c r="H2763" s="4" t="s">
        <v>607</v>
      </c>
      <c r="I2763" s="4" t="s">
        <v>607</v>
      </c>
      <c r="J2763" s="4" t="s">
        <v>607</v>
      </c>
      <c r="K2763" s="4" t="s">
        <v>607</v>
      </c>
      <c r="L2763" s="4" t="s">
        <v>607</v>
      </c>
      <c r="M2763" s="4" t="s">
        <v>607</v>
      </c>
      <c r="N2763" s="4" t="s">
        <v>607</v>
      </c>
      <c r="O2763" s="4"/>
      <c r="P2763" s="4"/>
      <c r="T2763" s="4"/>
    </row>
    <row r="2764">
      <c r="A2764" s="4" t="s">
        <v>6339</v>
      </c>
      <c r="B2764" s="4" t="s">
        <v>607</v>
      </c>
      <c r="C2764" s="6" t="s">
        <v>607</v>
      </c>
      <c r="D2764" s="6" t="s">
        <v>607</v>
      </c>
      <c r="E2764" s="6" t="s">
        <v>607</v>
      </c>
      <c r="F2764" s="6" t="s">
        <v>607</v>
      </c>
      <c r="G2764" s="4" t="s">
        <v>607</v>
      </c>
      <c r="H2764" s="4" t="s">
        <v>607</v>
      </c>
      <c r="I2764" s="4" t="s">
        <v>607</v>
      </c>
      <c r="J2764" s="4" t="s">
        <v>607</v>
      </c>
      <c r="K2764" s="4" t="s">
        <v>607</v>
      </c>
      <c r="L2764" s="4" t="s">
        <v>607</v>
      </c>
      <c r="M2764" s="4" t="s">
        <v>607</v>
      </c>
      <c r="N2764" s="4" t="s">
        <v>607</v>
      </c>
      <c r="O2764" s="4"/>
      <c r="P2764" s="4"/>
      <c r="T2764" s="4"/>
    </row>
    <row r="2765">
      <c r="A2765" s="4" t="s">
        <v>6343</v>
      </c>
      <c r="B2765" s="4" t="s">
        <v>607</v>
      </c>
      <c r="C2765" s="6" t="s">
        <v>607</v>
      </c>
      <c r="D2765" s="6" t="s">
        <v>607</v>
      </c>
      <c r="E2765" s="6" t="s">
        <v>607</v>
      </c>
      <c r="F2765" s="6" t="s">
        <v>607</v>
      </c>
      <c r="G2765" s="4" t="s">
        <v>607</v>
      </c>
      <c r="H2765" s="4" t="s">
        <v>607</v>
      </c>
      <c r="I2765" s="4" t="s">
        <v>607</v>
      </c>
      <c r="J2765" s="4" t="s">
        <v>607</v>
      </c>
      <c r="K2765" s="4" t="s">
        <v>607</v>
      </c>
      <c r="L2765" s="4" t="s">
        <v>607</v>
      </c>
      <c r="M2765" s="4" t="s">
        <v>607</v>
      </c>
      <c r="N2765" s="4" t="s">
        <v>607</v>
      </c>
      <c r="O2765" s="4"/>
      <c r="P2765" s="4"/>
      <c r="T2765" s="4"/>
    </row>
    <row r="2766">
      <c r="A2766" s="4" t="s">
        <v>6344</v>
      </c>
      <c r="B2766" s="4" t="s">
        <v>607</v>
      </c>
      <c r="C2766" s="6" t="s">
        <v>607</v>
      </c>
      <c r="D2766" s="6" t="s">
        <v>607</v>
      </c>
      <c r="E2766" s="6" t="s">
        <v>607</v>
      </c>
      <c r="F2766" s="6" t="s">
        <v>607</v>
      </c>
      <c r="G2766" s="4" t="s">
        <v>607</v>
      </c>
      <c r="H2766" s="4" t="s">
        <v>607</v>
      </c>
      <c r="I2766" s="4" t="s">
        <v>607</v>
      </c>
      <c r="J2766" s="4" t="s">
        <v>607</v>
      </c>
      <c r="K2766" s="4" t="s">
        <v>607</v>
      </c>
      <c r="L2766" s="4" t="s">
        <v>607</v>
      </c>
      <c r="M2766" s="4" t="s">
        <v>607</v>
      </c>
      <c r="N2766" s="4" t="s">
        <v>607</v>
      </c>
      <c r="O2766" s="4"/>
      <c r="P2766" s="4"/>
      <c r="T2766" s="4"/>
    </row>
    <row r="2767">
      <c r="A2767" s="4" t="s">
        <v>6345</v>
      </c>
      <c r="B2767" s="4" t="s">
        <v>607</v>
      </c>
      <c r="C2767" s="6" t="s">
        <v>607</v>
      </c>
      <c r="D2767" s="6" t="s">
        <v>607</v>
      </c>
      <c r="E2767" s="6" t="s">
        <v>607</v>
      </c>
      <c r="F2767" s="6" t="s">
        <v>607</v>
      </c>
      <c r="G2767" s="4" t="s">
        <v>607</v>
      </c>
      <c r="H2767" s="4" t="s">
        <v>607</v>
      </c>
      <c r="I2767" s="4" t="s">
        <v>607</v>
      </c>
      <c r="J2767" s="4" t="s">
        <v>607</v>
      </c>
      <c r="K2767" s="4" t="s">
        <v>607</v>
      </c>
      <c r="L2767" s="4" t="s">
        <v>607</v>
      </c>
      <c r="M2767" s="4" t="s">
        <v>607</v>
      </c>
      <c r="N2767" s="4" t="s">
        <v>607</v>
      </c>
      <c r="O2767" s="4"/>
      <c r="P2767" s="4"/>
      <c r="T2767" s="4"/>
    </row>
    <row r="2768">
      <c r="A2768" s="4" t="s">
        <v>6346</v>
      </c>
      <c r="B2768" s="4" t="s">
        <v>607</v>
      </c>
      <c r="C2768" s="6" t="s">
        <v>607</v>
      </c>
      <c r="D2768" s="6" t="s">
        <v>607</v>
      </c>
      <c r="E2768" s="6" t="s">
        <v>607</v>
      </c>
      <c r="F2768" s="6" t="s">
        <v>607</v>
      </c>
      <c r="G2768" s="4" t="s">
        <v>607</v>
      </c>
      <c r="H2768" s="4" t="s">
        <v>607</v>
      </c>
      <c r="I2768" s="4" t="s">
        <v>607</v>
      </c>
      <c r="J2768" s="4" t="s">
        <v>607</v>
      </c>
      <c r="K2768" s="4" t="s">
        <v>607</v>
      </c>
      <c r="L2768" s="4" t="s">
        <v>607</v>
      </c>
      <c r="M2768" s="4" t="s">
        <v>607</v>
      </c>
      <c r="N2768" s="4" t="s">
        <v>607</v>
      </c>
      <c r="O2768" s="4"/>
      <c r="P2768" s="4"/>
      <c r="T2768" s="4"/>
    </row>
    <row r="2769">
      <c r="A2769" s="4" t="s">
        <v>6348</v>
      </c>
      <c r="B2769" s="4" t="s">
        <v>607</v>
      </c>
      <c r="C2769" s="6" t="s">
        <v>607</v>
      </c>
      <c r="D2769" s="6" t="s">
        <v>607</v>
      </c>
      <c r="E2769" s="6" t="s">
        <v>607</v>
      </c>
      <c r="F2769" s="6" t="s">
        <v>607</v>
      </c>
      <c r="G2769" s="4" t="s">
        <v>607</v>
      </c>
      <c r="H2769" s="4" t="s">
        <v>607</v>
      </c>
      <c r="I2769" s="4" t="s">
        <v>607</v>
      </c>
      <c r="J2769" s="4" t="s">
        <v>607</v>
      </c>
      <c r="K2769" s="4" t="s">
        <v>607</v>
      </c>
      <c r="L2769" s="4" t="s">
        <v>607</v>
      </c>
      <c r="M2769" s="4" t="s">
        <v>607</v>
      </c>
      <c r="N2769" s="4" t="s">
        <v>607</v>
      </c>
      <c r="O2769" s="4"/>
      <c r="P2769" s="4"/>
      <c r="T2769" s="4"/>
    </row>
    <row r="2770">
      <c r="A2770" s="4" t="s">
        <v>6353</v>
      </c>
      <c r="B2770" s="4" t="s">
        <v>607</v>
      </c>
      <c r="C2770" s="6" t="s">
        <v>607</v>
      </c>
      <c r="D2770" s="6" t="s">
        <v>607</v>
      </c>
      <c r="E2770" s="6" t="s">
        <v>607</v>
      </c>
      <c r="F2770" s="6" t="s">
        <v>607</v>
      </c>
      <c r="G2770" s="4" t="s">
        <v>607</v>
      </c>
      <c r="H2770" s="4" t="s">
        <v>607</v>
      </c>
      <c r="I2770" s="4" t="s">
        <v>607</v>
      </c>
      <c r="J2770" s="4" t="s">
        <v>607</v>
      </c>
      <c r="K2770" s="4" t="s">
        <v>607</v>
      </c>
      <c r="L2770" s="4" t="s">
        <v>607</v>
      </c>
      <c r="M2770" s="4" t="s">
        <v>607</v>
      </c>
      <c r="N2770" s="4" t="s">
        <v>607</v>
      </c>
      <c r="O2770" s="4"/>
      <c r="P2770" s="4"/>
      <c r="T2770" s="4"/>
    </row>
    <row r="2771">
      <c r="A2771" s="4" t="s">
        <v>6354</v>
      </c>
      <c r="B2771" s="4" t="s">
        <v>607</v>
      </c>
      <c r="C2771" s="6" t="s">
        <v>607</v>
      </c>
      <c r="D2771" s="6" t="s">
        <v>607</v>
      </c>
      <c r="E2771" s="6" t="s">
        <v>607</v>
      </c>
      <c r="F2771" s="6" t="s">
        <v>607</v>
      </c>
      <c r="G2771" s="4" t="s">
        <v>607</v>
      </c>
      <c r="H2771" s="4" t="s">
        <v>607</v>
      </c>
      <c r="I2771" s="4" t="s">
        <v>607</v>
      </c>
      <c r="J2771" s="4" t="s">
        <v>607</v>
      </c>
      <c r="K2771" s="4" t="s">
        <v>607</v>
      </c>
      <c r="L2771" s="4" t="s">
        <v>607</v>
      </c>
      <c r="M2771" s="4" t="s">
        <v>607</v>
      </c>
      <c r="N2771" s="4" t="s">
        <v>607</v>
      </c>
      <c r="O2771" s="4"/>
      <c r="P2771" s="4"/>
      <c r="T2771" s="4"/>
    </row>
    <row r="2772">
      <c r="A2772" s="4" t="s">
        <v>6355</v>
      </c>
      <c r="B2772" s="4" t="s">
        <v>607</v>
      </c>
      <c r="C2772" s="6" t="s">
        <v>607</v>
      </c>
      <c r="D2772" s="6" t="s">
        <v>607</v>
      </c>
      <c r="E2772" s="6" t="s">
        <v>607</v>
      </c>
      <c r="F2772" s="6" t="s">
        <v>607</v>
      </c>
      <c r="G2772" s="4" t="s">
        <v>607</v>
      </c>
      <c r="H2772" s="4" t="s">
        <v>607</v>
      </c>
      <c r="I2772" s="4" t="s">
        <v>607</v>
      </c>
      <c r="J2772" s="4" t="s">
        <v>607</v>
      </c>
      <c r="K2772" s="4" t="s">
        <v>607</v>
      </c>
      <c r="L2772" s="4" t="s">
        <v>607</v>
      </c>
      <c r="M2772" s="4" t="s">
        <v>607</v>
      </c>
      <c r="N2772" s="4" t="s">
        <v>607</v>
      </c>
      <c r="O2772" s="4"/>
      <c r="P2772" s="4"/>
      <c r="T2772" s="4"/>
    </row>
    <row r="2773">
      <c r="A2773" s="4" t="s">
        <v>6356</v>
      </c>
      <c r="B2773" s="4" t="s">
        <v>607</v>
      </c>
      <c r="C2773" s="6" t="s">
        <v>607</v>
      </c>
      <c r="D2773" s="6" t="s">
        <v>607</v>
      </c>
      <c r="E2773" s="6" t="s">
        <v>607</v>
      </c>
      <c r="F2773" s="6" t="s">
        <v>607</v>
      </c>
      <c r="G2773" s="4" t="s">
        <v>607</v>
      </c>
      <c r="H2773" s="4" t="s">
        <v>607</v>
      </c>
      <c r="I2773" s="4" t="s">
        <v>607</v>
      </c>
      <c r="J2773" s="4" t="s">
        <v>607</v>
      </c>
      <c r="K2773" s="4" t="s">
        <v>607</v>
      </c>
      <c r="L2773" s="4" t="s">
        <v>607</v>
      </c>
      <c r="M2773" s="4" t="s">
        <v>607</v>
      </c>
      <c r="N2773" s="4" t="s">
        <v>607</v>
      </c>
      <c r="O2773" s="4"/>
      <c r="P2773" s="4"/>
      <c r="T2773" s="4"/>
    </row>
    <row r="2774">
      <c r="A2774" s="4" t="s">
        <v>6357</v>
      </c>
      <c r="B2774" s="4" t="s">
        <v>607</v>
      </c>
      <c r="C2774" s="6" t="s">
        <v>607</v>
      </c>
      <c r="D2774" s="6" t="s">
        <v>607</v>
      </c>
      <c r="E2774" s="6" t="s">
        <v>607</v>
      </c>
      <c r="F2774" s="6" t="s">
        <v>607</v>
      </c>
      <c r="G2774" s="4" t="s">
        <v>607</v>
      </c>
      <c r="H2774" s="4" t="s">
        <v>607</v>
      </c>
      <c r="I2774" s="4" t="s">
        <v>607</v>
      </c>
      <c r="J2774" s="4" t="s">
        <v>607</v>
      </c>
      <c r="K2774" s="4" t="s">
        <v>607</v>
      </c>
      <c r="L2774" s="4" t="s">
        <v>607</v>
      </c>
      <c r="M2774" s="4" t="s">
        <v>607</v>
      </c>
      <c r="N2774" s="4" t="s">
        <v>607</v>
      </c>
      <c r="O2774" s="4"/>
      <c r="P2774" s="4"/>
      <c r="T2774" s="4"/>
    </row>
    <row r="2775">
      <c r="A2775" s="4" t="s">
        <v>6358</v>
      </c>
      <c r="B2775" s="4" t="s">
        <v>607</v>
      </c>
      <c r="C2775" s="6" t="s">
        <v>607</v>
      </c>
      <c r="D2775" s="6" t="s">
        <v>607</v>
      </c>
      <c r="E2775" s="6" t="s">
        <v>607</v>
      </c>
      <c r="F2775" s="6" t="s">
        <v>607</v>
      </c>
      <c r="G2775" s="4" t="s">
        <v>607</v>
      </c>
      <c r="H2775" s="4" t="s">
        <v>607</v>
      </c>
      <c r="I2775" s="4" t="s">
        <v>607</v>
      </c>
      <c r="J2775" s="4" t="s">
        <v>607</v>
      </c>
      <c r="K2775" s="4" t="s">
        <v>607</v>
      </c>
      <c r="L2775" s="4" t="s">
        <v>607</v>
      </c>
      <c r="M2775" s="4" t="s">
        <v>607</v>
      </c>
      <c r="N2775" s="4" t="s">
        <v>607</v>
      </c>
      <c r="O2775" s="4"/>
      <c r="P2775" s="4"/>
      <c r="T2775" s="4"/>
    </row>
    <row r="2776">
      <c r="A2776" s="4" t="s">
        <v>6362</v>
      </c>
      <c r="B2776" s="4" t="s">
        <v>607</v>
      </c>
      <c r="C2776" s="6" t="s">
        <v>607</v>
      </c>
      <c r="D2776" s="6" t="s">
        <v>607</v>
      </c>
      <c r="E2776" s="6" t="s">
        <v>607</v>
      </c>
      <c r="F2776" s="6" t="s">
        <v>607</v>
      </c>
      <c r="G2776" s="4" t="s">
        <v>607</v>
      </c>
      <c r="H2776" s="4" t="s">
        <v>607</v>
      </c>
      <c r="I2776" s="4" t="s">
        <v>607</v>
      </c>
      <c r="J2776" s="4" t="s">
        <v>607</v>
      </c>
      <c r="K2776" s="4" t="s">
        <v>607</v>
      </c>
      <c r="L2776" s="4" t="s">
        <v>607</v>
      </c>
      <c r="M2776" s="4" t="s">
        <v>607</v>
      </c>
      <c r="N2776" s="4" t="s">
        <v>607</v>
      </c>
      <c r="O2776" s="4"/>
      <c r="P2776" s="4"/>
      <c r="T2776" s="4"/>
    </row>
    <row r="2777">
      <c r="A2777" s="4" t="s">
        <v>6363</v>
      </c>
      <c r="B2777" s="4" t="s">
        <v>607</v>
      </c>
      <c r="C2777" s="6" t="s">
        <v>607</v>
      </c>
      <c r="D2777" s="6" t="s">
        <v>607</v>
      </c>
      <c r="E2777" s="6" t="s">
        <v>607</v>
      </c>
      <c r="F2777" s="6" t="s">
        <v>607</v>
      </c>
      <c r="G2777" s="4" t="s">
        <v>607</v>
      </c>
      <c r="H2777" s="4" t="s">
        <v>607</v>
      </c>
      <c r="I2777" s="4" t="s">
        <v>607</v>
      </c>
      <c r="J2777" s="4" t="s">
        <v>607</v>
      </c>
      <c r="K2777" s="4" t="s">
        <v>607</v>
      </c>
      <c r="L2777" s="4" t="s">
        <v>607</v>
      </c>
      <c r="M2777" s="4" t="s">
        <v>607</v>
      </c>
      <c r="N2777" s="4" t="s">
        <v>607</v>
      </c>
      <c r="O2777" s="4"/>
      <c r="P2777" s="4"/>
      <c r="T2777" s="4"/>
    </row>
    <row r="2778">
      <c r="A2778" s="4" t="s">
        <v>6364</v>
      </c>
      <c r="B2778" s="4" t="s">
        <v>607</v>
      </c>
      <c r="C2778" s="6" t="s">
        <v>607</v>
      </c>
      <c r="D2778" s="6" t="s">
        <v>607</v>
      </c>
      <c r="E2778" s="6" t="s">
        <v>607</v>
      </c>
      <c r="F2778" s="6" t="s">
        <v>607</v>
      </c>
      <c r="G2778" s="4" t="s">
        <v>607</v>
      </c>
      <c r="H2778" s="4" t="s">
        <v>607</v>
      </c>
      <c r="I2778" s="4" t="s">
        <v>607</v>
      </c>
      <c r="J2778" s="4" t="s">
        <v>607</v>
      </c>
      <c r="K2778" s="4" t="s">
        <v>607</v>
      </c>
      <c r="L2778" s="4" t="s">
        <v>607</v>
      </c>
      <c r="M2778" s="4" t="s">
        <v>607</v>
      </c>
      <c r="N2778" s="4" t="s">
        <v>607</v>
      </c>
      <c r="O2778" s="4"/>
      <c r="P2778" s="4"/>
      <c r="T2778" s="4"/>
    </row>
    <row r="2779">
      <c r="A2779" s="4" t="s">
        <v>6365</v>
      </c>
      <c r="B2779" s="4" t="s">
        <v>607</v>
      </c>
      <c r="C2779" s="6" t="s">
        <v>607</v>
      </c>
      <c r="D2779" s="6" t="s">
        <v>607</v>
      </c>
      <c r="E2779" s="6" t="s">
        <v>607</v>
      </c>
      <c r="F2779" s="6" t="s">
        <v>607</v>
      </c>
      <c r="G2779" s="4" t="s">
        <v>607</v>
      </c>
      <c r="H2779" s="4" t="s">
        <v>607</v>
      </c>
      <c r="I2779" s="4" t="s">
        <v>607</v>
      </c>
      <c r="J2779" s="4" t="s">
        <v>607</v>
      </c>
      <c r="K2779" s="4" t="s">
        <v>607</v>
      </c>
      <c r="L2779" s="4" t="s">
        <v>607</v>
      </c>
      <c r="M2779" s="4" t="s">
        <v>607</v>
      </c>
      <c r="N2779" s="4" t="s">
        <v>607</v>
      </c>
      <c r="O2779" s="4"/>
      <c r="P2779" s="4"/>
      <c r="T2779" s="4"/>
    </row>
    <row r="2780">
      <c r="A2780" s="4" t="s">
        <v>6366</v>
      </c>
      <c r="B2780" s="4" t="s">
        <v>607</v>
      </c>
      <c r="C2780" s="6" t="s">
        <v>607</v>
      </c>
      <c r="D2780" s="6" t="s">
        <v>607</v>
      </c>
      <c r="E2780" s="6" t="s">
        <v>607</v>
      </c>
      <c r="F2780" s="6" t="s">
        <v>607</v>
      </c>
      <c r="G2780" s="4" t="s">
        <v>607</v>
      </c>
      <c r="H2780" s="4" t="s">
        <v>607</v>
      </c>
      <c r="I2780" s="4" t="s">
        <v>607</v>
      </c>
      <c r="J2780" s="4" t="s">
        <v>607</v>
      </c>
      <c r="K2780" s="4" t="s">
        <v>607</v>
      </c>
      <c r="L2780" s="4" t="s">
        <v>607</v>
      </c>
      <c r="M2780" s="4" t="s">
        <v>607</v>
      </c>
      <c r="N2780" s="4" t="s">
        <v>607</v>
      </c>
      <c r="O2780" s="4"/>
      <c r="P2780" s="4"/>
      <c r="T2780" s="4"/>
    </row>
    <row r="2781">
      <c r="A2781" s="4" t="s">
        <v>6369</v>
      </c>
      <c r="B2781" s="4" t="s">
        <v>607</v>
      </c>
      <c r="C2781" s="6" t="s">
        <v>607</v>
      </c>
      <c r="D2781" s="6" t="s">
        <v>607</v>
      </c>
      <c r="E2781" s="6" t="s">
        <v>607</v>
      </c>
      <c r="F2781" s="6" t="s">
        <v>607</v>
      </c>
      <c r="G2781" s="4" t="s">
        <v>607</v>
      </c>
      <c r="H2781" s="4" t="s">
        <v>607</v>
      </c>
      <c r="I2781" s="4" t="s">
        <v>607</v>
      </c>
      <c r="J2781" s="4" t="s">
        <v>607</v>
      </c>
      <c r="K2781" s="4" t="s">
        <v>607</v>
      </c>
      <c r="L2781" s="4" t="s">
        <v>607</v>
      </c>
      <c r="M2781" s="4" t="s">
        <v>607</v>
      </c>
      <c r="N2781" s="4" t="s">
        <v>607</v>
      </c>
      <c r="O2781" s="4"/>
      <c r="P2781" s="4"/>
      <c r="T2781" s="4"/>
    </row>
    <row r="2782">
      <c r="A2782" s="4" t="s">
        <v>6370</v>
      </c>
      <c r="B2782" s="4" t="s">
        <v>607</v>
      </c>
      <c r="C2782" s="6" t="s">
        <v>607</v>
      </c>
      <c r="D2782" s="6" t="s">
        <v>607</v>
      </c>
      <c r="E2782" s="6" t="s">
        <v>607</v>
      </c>
      <c r="F2782" s="6" t="s">
        <v>607</v>
      </c>
      <c r="G2782" s="4" t="s">
        <v>607</v>
      </c>
      <c r="H2782" s="4" t="s">
        <v>607</v>
      </c>
      <c r="I2782" s="4" t="s">
        <v>607</v>
      </c>
      <c r="J2782" s="4" t="s">
        <v>607</v>
      </c>
      <c r="K2782" s="4" t="s">
        <v>607</v>
      </c>
      <c r="L2782" s="4" t="s">
        <v>607</v>
      </c>
      <c r="M2782" s="4" t="s">
        <v>607</v>
      </c>
      <c r="N2782" s="4" t="s">
        <v>607</v>
      </c>
      <c r="O2782" s="4"/>
      <c r="P2782" s="4"/>
      <c r="T2782" s="4"/>
    </row>
    <row r="2783">
      <c r="A2783" s="4" t="s">
        <v>6371</v>
      </c>
      <c r="B2783" s="4" t="s">
        <v>607</v>
      </c>
      <c r="C2783" s="6" t="s">
        <v>607</v>
      </c>
      <c r="D2783" s="6" t="s">
        <v>607</v>
      </c>
      <c r="E2783" s="6" t="s">
        <v>607</v>
      </c>
      <c r="F2783" s="6" t="s">
        <v>607</v>
      </c>
      <c r="G2783" s="4" t="s">
        <v>607</v>
      </c>
      <c r="H2783" s="4" t="s">
        <v>607</v>
      </c>
      <c r="I2783" s="4" t="s">
        <v>607</v>
      </c>
      <c r="J2783" s="4" t="s">
        <v>607</v>
      </c>
      <c r="K2783" s="4" t="s">
        <v>607</v>
      </c>
      <c r="L2783" s="4" t="s">
        <v>607</v>
      </c>
      <c r="M2783" s="4" t="s">
        <v>607</v>
      </c>
      <c r="N2783" s="4" t="s">
        <v>607</v>
      </c>
      <c r="O2783" s="4"/>
      <c r="P2783" s="4"/>
      <c r="T2783" s="4"/>
    </row>
    <row r="2784">
      <c r="A2784" s="4" t="s">
        <v>6373</v>
      </c>
      <c r="B2784" s="4" t="s">
        <v>607</v>
      </c>
      <c r="C2784" s="6" t="s">
        <v>607</v>
      </c>
      <c r="D2784" s="6" t="s">
        <v>607</v>
      </c>
      <c r="E2784" s="6" t="s">
        <v>607</v>
      </c>
      <c r="F2784" s="6" t="s">
        <v>607</v>
      </c>
      <c r="G2784" s="4" t="s">
        <v>607</v>
      </c>
      <c r="H2784" s="4" t="s">
        <v>607</v>
      </c>
      <c r="I2784" s="4" t="s">
        <v>607</v>
      </c>
      <c r="J2784" s="4" t="s">
        <v>607</v>
      </c>
      <c r="K2784" s="4" t="s">
        <v>607</v>
      </c>
      <c r="L2784" s="4" t="s">
        <v>607</v>
      </c>
      <c r="M2784" s="4" t="s">
        <v>607</v>
      </c>
      <c r="N2784" s="4" t="s">
        <v>607</v>
      </c>
      <c r="O2784" s="4"/>
      <c r="P2784" s="4"/>
      <c r="T2784" s="4"/>
    </row>
    <row r="2785">
      <c r="A2785" s="4" t="s">
        <v>6374</v>
      </c>
      <c r="B2785" s="4" t="s">
        <v>607</v>
      </c>
      <c r="C2785" s="6" t="s">
        <v>607</v>
      </c>
      <c r="D2785" s="6" t="s">
        <v>607</v>
      </c>
      <c r="E2785" s="6" t="s">
        <v>607</v>
      </c>
      <c r="F2785" s="6" t="s">
        <v>607</v>
      </c>
      <c r="G2785" s="4" t="s">
        <v>607</v>
      </c>
      <c r="H2785" s="4" t="s">
        <v>607</v>
      </c>
      <c r="I2785" s="4" t="s">
        <v>607</v>
      </c>
      <c r="J2785" s="4" t="s">
        <v>607</v>
      </c>
      <c r="K2785" s="4" t="s">
        <v>607</v>
      </c>
      <c r="L2785" s="4" t="s">
        <v>607</v>
      </c>
      <c r="M2785" s="4" t="s">
        <v>607</v>
      </c>
      <c r="N2785" s="4" t="s">
        <v>607</v>
      </c>
      <c r="O2785" s="4"/>
      <c r="P2785" s="4"/>
      <c r="T2785" s="4"/>
    </row>
    <row r="2786">
      <c r="A2786" s="4" t="s">
        <v>6375</v>
      </c>
      <c r="B2786" s="4" t="s">
        <v>607</v>
      </c>
      <c r="C2786" s="6" t="s">
        <v>607</v>
      </c>
      <c r="D2786" s="6" t="s">
        <v>607</v>
      </c>
      <c r="E2786" s="6" t="s">
        <v>607</v>
      </c>
      <c r="F2786" s="6" t="s">
        <v>607</v>
      </c>
      <c r="G2786" s="4" t="s">
        <v>607</v>
      </c>
      <c r="H2786" s="4" t="s">
        <v>607</v>
      </c>
      <c r="I2786" s="4" t="s">
        <v>607</v>
      </c>
      <c r="J2786" s="4" t="s">
        <v>607</v>
      </c>
      <c r="K2786" s="4" t="s">
        <v>607</v>
      </c>
      <c r="L2786" s="4" t="s">
        <v>607</v>
      </c>
      <c r="M2786" s="4" t="s">
        <v>607</v>
      </c>
      <c r="N2786" s="4" t="s">
        <v>607</v>
      </c>
      <c r="O2786" s="4"/>
      <c r="P2786" s="4"/>
      <c r="T2786" s="4"/>
    </row>
    <row r="2787">
      <c r="A2787" s="4" t="s">
        <v>6379</v>
      </c>
      <c r="B2787" s="4" t="s">
        <v>607</v>
      </c>
      <c r="C2787" s="6" t="s">
        <v>607</v>
      </c>
      <c r="D2787" s="6" t="s">
        <v>607</v>
      </c>
      <c r="E2787" s="6" t="s">
        <v>607</v>
      </c>
      <c r="F2787" s="6" t="s">
        <v>607</v>
      </c>
      <c r="G2787" s="4" t="s">
        <v>607</v>
      </c>
      <c r="H2787" s="4" t="s">
        <v>607</v>
      </c>
      <c r="I2787" s="4" t="s">
        <v>607</v>
      </c>
      <c r="J2787" s="4" t="s">
        <v>607</v>
      </c>
      <c r="K2787" s="4" t="s">
        <v>607</v>
      </c>
      <c r="L2787" s="4" t="s">
        <v>607</v>
      </c>
      <c r="M2787" s="4" t="s">
        <v>607</v>
      </c>
      <c r="N2787" s="4" t="s">
        <v>607</v>
      </c>
      <c r="O2787" s="4"/>
      <c r="P2787" s="4"/>
      <c r="T2787" s="4"/>
    </row>
    <row r="2788">
      <c r="A2788" s="4" t="s">
        <v>6380</v>
      </c>
      <c r="B2788" s="4" t="s">
        <v>607</v>
      </c>
      <c r="C2788" s="6" t="s">
        <v>607</v>
      </c>
      <c r="D2788" s="6" t="s">
        <v>607</v>
      </c>
      <c r="E2788" s="6" t="s">
        <v>607</v>
      </c>
      <c r="F2788" s="6" t="s">
        <v>607</v>
      </c>
      <c r="G2788" s="4" t="s">
        <v>607</v>
      </c>
      <c r="H2788" s="4" t="s">
        <v>607</v>
      </c>
      <c r="I2788" s="4" t="s">
        <v>607</v>
      </c>
      <c r="J2788" s="4" t="s">
        <v>607</v>
      </c>
      <c r="K2788" s="4" t="s">
        <v>607</v>
      </c>
      <c r="L2788" s="4" t="s">
        <v>607</v>
      </c>
      <c r="M2788" s="4" t="s">
        <v>607</v>
      </c>
      <c r="N2788" s="4" t="s">
        <v>607</v>
      </c>
      <c r="O2788" s="4"/>
      <c r="P2788" s="4"/>
      <c r="T2788" s="4"/>
    </row>
    <row r="2789">
      <c r="A2789" s="4" t="s">
        <v>6381</v>
      </c>
      <c r="B2789" s="4" t="s">
        <v>607</v>
      </c>
      <c r="C2789" s="6" t="s">
        <v>607</v>
      </c>
      <c r="D2789" s="6" t="s">
        <v>607</v>
      </c>
      <c r="E2789" s="6" t="s">
        <v>607</v>
      </c>
      <c r="F2789" s="6" t="s">
        <v>607</v>
      </c>
      <c r="G2789" s="4" t="s">
        <v>607</v>
      </c>
      <c r="H2789" s="4" t="s">
        <v>607</v>
      </c>
      <c r="I2789" s="4" t="s">
        <v>607</v>
      </c>
      <c r="J2789" s="4" t="s">
        <v>607</v>
      </c>
      <c r="K2789" s="4" t="s">
        <v>607</v>
      </c>
      <c r="L2789" s="4" t="s">
        <v>607</v>
      </c>
      <c r="M2789" s="4" t="s">
        <v>607</v>
      </c>
      <c r="N2789" s="4" t="s">
        <v>607</v>
      </c>
      <c r="O2789" s="4"/>
      <c r="P2789" s="4"/>
      <c r="T2789" s="4"/>
    </row>
    <row r="2790">
      <c r="A2790" s="4" t="s">
        <v>6382</v>
      </c>
      <c r="B2790" s="4" t="s">
        <v>607</v>
      </c>
      <c r="C2790" s="6" t="s">
        <v>607</v>
      </c>
      <c r="D2790" s="6" t="s">
        <v>607</v>
      </c>
      <c r="E2790" s="6" t="s">
        <v>607</v>
      </c>
      <c r="F2790" s="6" t="s">
        <v>607</v>
      </c>
      <c r="G2790" s="4" t="s">
        <v>607</v>
      </c>
      <c r="H2790" s="4" t="s">
        <v>607</v>
      </c>
      <c r="I2790" s="4" t="s">
        <v>607</v>
      </c>
      <c r="J2790" s="4" t="s">
        <v>607</v>
      </c>
      <c r="K2790" s="4" t="s">
        <v>607</v>
      </c>
      <c r="L2790" s="4" t="s">
        <v>607</v>
      </c>
      <c r="M2790" s="4" t="s">
        <v>607</v>
      </c>
      <c r="N2790" s="4" t="s">
        <v>607</v>
      </c>
      <c r="O2790" s="4"/>
      <c r="P2790" s="4"/>
      <c r="T2790" s="4"/>
    </row>
    <row r="2791">
      <c r="A2791" s="4" t="s">
        <v>6383</v>
      </c>
      <c r="B2791" s="4" t="s">
        <v>607</v>
      </c>
      <c r="C2791" s="6" t="s">
        <v>607</v>
      </c>
      <c r="D2791" s="6" t="s">
        <v>607</v>
      </c>
      <c r="E2791" s="6" t="s">
        <v>607</v>
      </c>
      <c r="F2791" s="6" t="s">
        <v>607</v>
      </c>
      <c r="G2791" s="4" t="s">
        <v>607</v>
      </c>
      <c r="H2791" s="4" t="s">
        <v>607</v>
      </c>
      <c r="I2791" s="4" t="s">
        <v>607</v>
      </c>
      <c r="J2791" s="4" t="s">
        <v>607</v>
      </c>
      <c r="K2791" s="4" t="s">
        <v>607</v>
      </c>
      <c r="L2791" s="4" t="s">
        <v>607</v>
      </c>
      <c r="M2791" s="4" t="s">
        <v>607</v>
      </c>
      <c r="N2791" s="4" t="s">
        <v>607</v>
      </c>
      <c r="O2791" s="4"/>
      <c r="P2791" s="4"/>
      <c r="T2791" s="4"/>
    </row>
    <row r="2792">
      <c r="A2792" s="4" t="s">
        <v>6384</v>
      </c>
      <c r="B2792" s="4" t="s">
        <v>607</v>
      </c>
      <c r="C2792" s="6" t="s">
        <v>607</v>
      </c>
      <c r="D2792" s="6" t="s">
        <v>607</v>
      </c>
      <c r="E2792" s="6" t="s">
        <v>607</v>
      </c>
      <c r="F2792" s="6" t="s">
        <v>607</v>
      </c>
      <c r="G2792" s="4" t="s">
        <v>607</v>
      </c>
      <c r="H2792" s="4" t="s">
        <v>607</v>
      </c>
      <c r="I2792" s="4" t="s">
        <v>607</v>
      </c>
      <c r="J2792" s="4" t="s">
        <v>607</v>
      </c>
      <c r="K2792" s="4" t="s">
        <v>607</v>
      </c>
      <c r="L2792" s="4" t="s">
        <v>607</v>
      </c>
      <c r="M2792" s="4" t="s">
        <v>607</v>
      </c>
      <c r="N2792" s="4" t="s">
        <v>607</v>
      </c>
      <c r="O2792" s="4"/>
      <c r="P2792" s="4"/>
      <c r="T2792" s="4"/>
    </row>
    <row r="2793">
      <c r="A2793" s="4" t="s">
        <v>6388</v>
      </c>
      <c r="B2793" s="4" t="s">
        <v>607</v>
      </c>
      <c r="C2793" s="6" t="s">
        <v>607</v>
      </c>
      <c r="D2793" s="6" t="s">
        <v>607</v>
      </c>
      <c r="E2793" s="6" t="s">
        <v>607</v>
      </c>
      <c r="F2793" s="6" t="s">
        <v>607</v>
      </c>
      <c r="G2793" s="4" t="s">
        <v>607</v>
      </c>
      <c r="H2793" s="4" t="s">
        <v>607</v>
      </c>
      <c r="I2793" s="4" t="s">
        <v>607</v>
      </c>
      <c r="J2793" s="4" t="s">
        <v>607</v>
      </c>
      <c r="K2793" s="4" t="s">
        <v>607</v>
      </c>
      <c r="L2793" s="4" t="s">
        <v>607</v>
      </c>
      <c r="M2793" s="4" t="s">
        <v>607</v>
      </c>
      <c r="N2793" s="4" t="s">
        <v>607</v>
      </c>
      <c r="O2793" s="4"/>
      <c r="P2793" s="4"/>
      <c r="T2793" s="4"/>
    </row>
    <row r="2794">
      <c r="A2794" s="4" t="s">
        <v>6389</v>
      </c>
      <c r="B2794" s="4" t="s">
        <v>607</v>
      </c>
      <c r="C2794" s="6" t="s">
        <v>607</v>
      </c>
      <c r="D2794" s="6" t="s">
        <v>607</v>
      </c>
      <c r="E2794" s="6" t="s">
        <v>607</v>
      </c>
      <c r="F2794" s="6" t="s">
        <v>607</v>
      </c>
      <c r="G2794" s="4" t="s">
        <v>607</v>
      </c>
      <c r="H2794" s="4" t="s">
        <v>607</v>
      </c>
      <c r="I2794" s="4" t="s">
        <v>607</v>
      </c>
      <c r="J2794" s="4" t="s">
        <v>607</v>
      </c>
      <c r="K2794" s="4" t="s">
        <v>607</v>
      </c>
      <c r="L2794" s="4" t="s">
        <v>607</v>
      </c>
      <c r="M2794" s="4" t="s">
        <v>607</v>
      </c>
      <c r="N2794" s="4" t="s">
        <v>607</v>
      </c>
      <c r="O2794" s="4"/>
      <c r="P2794" s="4"/>
      <c r="T2794" s="4"/>
    </row>
    <row r="2795">
      <c r="A2795" s="4" t="s">
        <v>6390</v>
      </c>
      <c r="B2795" s="4" t="s">
        <v>607</v>
      </c>
      <c r="C2795" s="6" t="s">
        <v>607</v>
      </c>
      <c r="D2795" s="6" t="s">
        <v>607</v>
      </c>
      <c r="E2795" s="6" t="s">
        <v>607</v>
      </c>
      <c r="F2795" s="6" t="s">
        <v>607</v>
      </c>
      <c r="G2795" s="4" t="s">
        <v>607</v>
      </c>
      <c r="H2795" s="4" t="s">
        <v>607</v>
      </c>
      <c r="I2795" s="4" t="s">
        <v>607</v>
      </c>
      <c r="J2795" s="4" t="s">
        <v>607</v>
      </c>
      <c r="K2795" s="4" t="s">
        <v>607</v>
      </c>
      <c r="L2795" s="4" t="s">
        <v>607</v>
      </c>
      <c r="M2795" s="4" t="s">
        <v>607</v>
      </c>
      <c r="N2795" s="4" t="s">
        <v>607</v>
      </c>
      <c r="O2795" s="4"/>
      <c r="P2795" s="4"/>
      <c r="T2795" s="4"/>
    </row>
    <row r="2796">
      <c r="A2796" s="4" t="s">
        <v>6391</v>
      </c>
      <c r="B2796" s="4" t="s">
        <v>607</v>
      </c>
      <c r="C2796" s="6" t="s">
        <v>607</v>
      </c>
      <c r="D2796" s="6" t="s">
        <v>607</v>
      </c>
      <c r="E2796" s="6" t="s">
        <v>607</v>
      </c>
      <c r="F2796" s="6" t="s">
        <v>607</v>
      </c>
      <c r="G2796" s="4" t="s">
        <v>607</v>
      </c>
      <c r="H2796" s="4" t="s">
        <v>607</v>
      </c>
      <c r="I2796" s="4" t="s">
        <v>607</v>
      </c>
      <c r="J2796" s="4" t="s">
        <v>607</v>
      </c>
      <c r="K2796" s="4" t="s">
        <v>607</v>
      </c>
      <c r="L2796" s="4" t="s">
        <v>607</v>
      </c>
      <c r="M2796" s="4" t="s">
        <v>607</v>
      </c>
      <c r="N2796" s="4" t="s">
        <v>607</v>
      </c>
      <c r="O2796" s="4"/>
      <c r="P2796" s="4"/>
      <c r="T2796" s="4"/>
    </row>
    <row r="2797">
      <c r="A2797" s="4" t="s">
        <v>6392</v>
      </c>
      <c r="B2797" s="4" t="s">
        <v>607</v>
      </c>
      <c r="C2797" s="6" t="s">
        <v>607</v>
      </c>
      <c r="D2797" s="6" t="s">
        <v>607</v>
      </c>
      <c r="E2797" s="6" t="s">
        <v>607</v>
      </c>
      <c r="F2797" s="6" t="s">
        <v>607</v>
      </c>
      <c r="G2797" s="4" t="s">
        <v>607</v>
      </c>
      <c r="H2797" s="4" t="s">
        <v>607</v>
      </c>
      <c r="I2797" s="4" t="s">
        <v>607</v>
      </c>
      <c r="J2797" s="4" t="s">
        <v>607</v>
      </c>
      <c r="K2797" s="4" t="s">
        <v>607</v>
      </c>
      <c r="L2797" s="4" t="s">
        <v>607</v>
      </c>
      <c r="M2797" s="4" t="s">
        <v>607</v>
      </c>
      <c r="N2797" s="4" t="s">
        <v>607</v>
      </c>
      <c r="O2797" s="4"/>
      <c r="P2797" s="4"/>
      <c r="T2797" s="4"/>
    </row>
    <row r="2798">
      <c r="A2798" s="4" t="s">
        <v>6393</v>
      </c>
      <c r="B2798" s="4" t="s">
        <v>607</v>
      </c>
      <c r="C2798" s="6" t="s">
        <v>607</v>
      </c>
      <c r="D2798" s="6" t="s">
        <v>607</v>
      </c>
      <c r="E2798" s="6" t="s">
        <v>607</v>
      </c>
      <c r="F2798" s="6" t="s">
        <v>607</v>
      </c>
      <c r="G2798" s="4" t="s">
        <v>607</v>
      </c>
      <c r="H2798" s="4" t="s">
        <v>607</v>
      </c>
      <c r="I2798" s="4" t="s">
        <v>607</v>
      </c>
      <c r="J2798" s="4" t="s">
        <v>607</v>
      </c>
      <c r="K2798" s="4" t="s">
        <v>607</v>
      </c>
      <c r="L2798" s="4" t="s">
        <v>607</v>
      </c>
      <c r="M2798" s="4" t="s">
        <v>607</v>
      </c>
      <c r="N2798" s="4" t="s">
        <v>607</v>
      </c>
      <c r="O2798" s="4"/>
      <c r="P2798" s="4"/>
      <c r="T2798" s="4"/>
    </row>
    <row r="2799">
      <c r="A2799" s="4" t="s">
        <v>6394</v>
      </c>
      <c r="B2799" s="4" t="s">
        <v>607</v>
      </c>
      <c r="C2799" s="6" t="s">
        <v>607</v>
      </c>
      <c r="D2799" s="6" t="s">
        <v>607</v>
      </c>
      <c r="E2799" s="6" t="s">
        <v>607</v>
      </c>
      <c r="F2799" s="6" t="s">
        <v>607</v>
      </c>
      <c r="G2799" s="4" t="s">
        <v>607</v>
      </c>
      <c r="H2799" s="4" t="s">
        <v>607</v>
      </c>
      <c r="I2799" s="4" t="s">
        <v>607</v>
      </c>
      <c r="J2799" s="4" t="s">
        <v>607</v>
      </c>
      <c r="K2799" s="4" t="s">
        <v>607</v>
      </c>
      <c r="L2799" s="4" t="s">
        <v>607</v>
      </c>
      <c r="M2799" s="4" t="s">
        <v>607</v>
      </c>
      <c r="N2799" s="4" t="s">
        <v>607</v>
      </c>
      <c r="O2799" s="4"/>
      <c r="P2799" s="4"/>
      <c r="T2799" s="4"/>
    </row>
    <row r="2800">
      <c r="A2800" s="4" t="s">
        <v>6395</v>
      </c>
      <c r="B2800" s="4" t="s">
        <v>607</v>
      </c>
      <c r="C2800" s="6" t="s">
        <v>607</v>
      </c>
      <c r="D2800" s="6" t="s">
        <v>607</v>
      </c>
      <c r="E2800" s="6" t="s">
        <v>607</v>
      </c>
      <c r="F2800" s="6" t="s">
        <v>607</v>
      </c>
      <c r="G2800" s="4" t="s">
        <v>607</v>
      </c>
      <c r="H2800" s="4" t="s">
        <v>607</v>
      </c>
      <c r="I2800" s="4" t="s">
        <v>607</v>
      </c>
      <c r="J2800" s="4" t="s">
        <v>607</v>
      </c>
      <c r="K2800" s="4" t="s">
        <v>607</v>
      </c>
      <c r="L2800" s="4" t="s">
        <v>607</v>
      </c>
      <c r="M2800" s="4" t="s">
        <v>607</v>
      </c>
      <c r="N2800" s="4" t="s">
        <v>607</v>
      </c>
      <c r="O2800" s="4"/>
      <c r="P2800" s="4"/>
      <c r="T2800" s="4"/>
    </row>
    <row r="2801">
      <c r="A2801" s="4" t="s">
        <v>6396</v>
      </c>
      <c r="B2801" s="4" t="s">
        <v>607</v>
      </c>
      <c r="C2801" s="6" t="s">
        <v>607</v>
      </c>
      <c r="D2801" s="6" t="s">
        <v>607</v>
      </c>
      <c r="E2801" s="6" t="s">
        <v>607</v>
      </c>
      <c r="F2801" s="6" t="s">
        <v>607</v>
      </c>
      <c r="G2801" s="4" t="s">
        <v>607</v>
      </c>
      <c r="H2801" s="4" t="s">
        <v>607</v>
      </c>
      <c r="I2801" s="4" t="s">
        <v>607</v>
      </c>
      <c r="J2801" s="4" t="s">
        <v>607</v>
      </c>
      <c r="K2801" s="4" t="s">
        <v>607</v>
      </c>
      <c r="L2801" s="4" t="s">
        <v>607</v>
      </c>
      <c r="M2801" s="4" t="s">
        <v>607</v>
      </c>
      <c r="N2801" s="4" t="s">
        <v>607</v>
      </c>
      <c r="O2801" s="4"/>
      <c r="P2801" s="4"/>
      <c r="T2801" s="4"/>
    </row>
    <row r="2802">
      <c r="A2802" s="4" t="s">
        <v>6400</v>
      </c>
      <c r="B2802" s="4" t="s">
        <v>607</v>
      </c>
      <c r="C2802" s="6" t="s">
        <v>607</v>
      </c>
      <c r="D2802" s="6" t="s">
        <v>607</v>
      </c>
      <c r="E2802" s="6" t="s">
        <v>607</v>
      </c>
      <c r="F2802" s="6" t="s">
        <v>607</v>
      </c>
      <c r="G2802" s="4" t="s">
        <v>607</v>
      </c>
      <c r="H2802" s="4" t="s">
        <v>607</v>
      </c>
      <c r="I2802" s="4" t="s">
        <v>607</v>
      </c>
      <c r="J2802" s="4" t="s">
        <v>607</v>
      </c>
      <c r="K2802" s="4" t="s">
        <v>607</v>
      </c>
      <c r="L2802" s="4" t="s">
        <v>607</v>
      </c>
      <c r="M2802" s="4" t="s">
        <v>607</v>
      </c>
      <c r="N2802" s="4" t="s">
        <v>607</v>
      </c>
      <c r="O2802" s="4"/>
      <c r="P2802" s="4"/>
      <c r="T2802" s="4"/>
    </row>
    <row r="2803">
      <c r="A2803" s="4" t="s">
        <v>6401</v>
      </c>
      <c r="B2803" s="4" t="s">
        <v>607</v>
      </c>
      <c r="C2803" s="6" t="s">
        <v>607</v>
      </c>
      <c r="D2803" s="6" t="s">
        <v>607</v>
      </c>
      <c r="E2803" s="6" t="s">
        <v>607</v>
      </c>
      <c r="F2803" s="6" t="s">
        <v>607</v>
      </c>
      <c r="G2803" s="4" t="s">
        <v>607</v>
      </c>
      <c r="H2803" s="4" t="s">
        <v>607</v>
      </c>
      <c r="I2803" s="4" t="s">
        <v>607</v>
      </c>
      <c r="J2803" s="4" t="s">
        <v>607</v>
      </c>
      <c r="K2803" s="4" t="s">
        <v>607</v>
      </c>
      <c r="L2803" s="4" t="s">
        <v>607</v>
      </c>
      <c r="M2803" s="4" t="s">
        <v>607</v>
      </c>
      <c r="N2803" s="4" t="s">
        <v>607</v>
      </c>
      <c r="O2803" s="4"/>
      <c r="P2803" s="4"/>
      <c r="T2803" s="4"/>
    </row>
    <row r="2804">
      <c r="A2804" s="4" t="s">
        <v>6402</v>
      </c>
      <c r="B2804" s="4" t="s">
        <v>607</v>
      </c>
      <c r="C2804" s="6" t="s">
        <v>607</v>
      </c>
      <c r="D2804" s="6" t="s">
        <v>607</v>
      </c>
      <c r="E2804" s="6" t="s">
        <v>607</v>
      </c>
      <c r="F2804" s="6" t="s">
        <v>607</v>
      </c>
      <c r="G2804" s="4" t="s">
        <v>607</v>
      </c>
      <c r="H2804" s="4" t="s">
        <v>607</v>
      </c>
      <c r="I2804" s="4" t="s">
        <v>607</v>
      </c>
      <c r="J2804" s="4" t="s">
        <v>607</v>
      </c>
      <c r="K2804" s="4" t="s">
        <v>607</v>
      </c>
      <c r="L2804" s="4" t="s">
        <v>607</v>
      </c>
      <c r="M2804" s="4" t="s">
        <v>607</v>
      </c>
      <c r="N2804" s="4" t="s">
        <v>607</v>
      </c>
      <c r="O2804" s="4"/>
      <c r="P2804" s="4"/>
      <c r="T2804" s="4"/>
    </row>
    <row r="2805">
      <c r="A2805" s="4" t="s">
        <v>6407</v>
      </c>
      <c r="B2805" s="4" t="s">
        <v>607</v>
      </c>
      <c r="C2805" s="6" t="s">
        <v>607</v>
      </c>
      <c r="D2805" s="6" t="s">
        <v>607</v>
      </c>
      <c r="E2805" s="6" t="s">
        <v>607</v>
      </c>
      <c r="F2805" s="6" t="s">
        <v>607</v>
      </c>
      <c r="G2805" s="4" t="s">
        <v>607</v>
      </c>
      <c r="H2805" s="4" t="s">
        <v>607</v>
      </c>
      <c r="I2805" s="4" t="s">
        <v>607</v>
      </c>
      <c r="J2805" s="4" t="s">
        <v>607</v>
      </c>
      <c r="K2805" s="4" t="s">
        <v>607</v>
      </c>
      <c r="L2805" s="4" t="s">
        <v>607</v>
      </c>
      <c r="M2805" s="4" t="s">
        <v>607</v>
      </c>
      <c r="N2805" s="4" t="s">
        <v>607</v>
      </c>
      <c r="O2805" s="4"/>
      <c r="P2805" s="4"/>
      <c r="T2805" s="4"/>
    </row>
    <row r="2806">
      <c r="A2806" s="4" t="s">
        <v>6408</v>
      </c>
      <c r="B2806" s="4" t="s">
        <v>607</v>
      </c>
      <c r="C2806" s="6" t="s">
        <v>607</v>
      </c>
      <c r="D2806" s="6" t="s">
        <v>607</v>
      </c>
      <c r="E2806" s="6" t="s">
        <v>607</v>
      </c>
      <c r="F2806" s="6" t="s">
        <v>607</v>
      </c>
      <c r="G2806" s="4" t="s">
        <v>607</v>
      </c>
      <c r="H2806" s="4" t="s">
        <v>607</v>
      </c>
      <c r="I2806" s="4" t="s">
        <v>607</v>
      </c>
      <c r="J2806" s="4" t="s">
        <v>607</v>
      </c>
      <c r="K2806" s="4" t="s">
        <v>607</v>
      </c>
      <c r="L2806" s="4" t="s">
        <v>607</v>
      </c>
      <c r="M2806" s="4" t="s">
        <v>607</v>
      </c>
      <c r="N2806" s="4" t="s">
        <v>607</v>
      </c>
      <c r="O2806" s="4"/>
      <c r="P2806" s="4"/>
      <c r="T2806" s="4"/>
    </row>
    <row r="2807">
      <c r="A2807" s="4" t="s">
        <v>6409</v>
      </c>
      <c r="B2807" s="4" t="s">
        <v>607</v>
      </c>
      <c r="C2807" s="6" t="s">
        <v>607</v>
      </c>
      <c r="D2807" s="6" t="s">
        <v>607</v>
      </c>
      <c r="E2807" s="6" t="s">
        <v>607</v>
      </c>
      <c r="F2807" s="6" t="s">
        <v>607</v>
      </c>
      <c r="G2807" s="4" t="s">
        <v>607</v>
      </c>
      <c r="H2807" s="4" t="s">
        <v>607</v>
      </c>
      <c r="I2807" s="4" t="s">
        <v>607</v>
      </c>
      <c r="J2807" s="4" t="s">
        <v>607</v>
      </c>
      <c r="K2807" s="4" t="s">
        <v>607</v>
      </c>
      <c r="L2807" s="4" t="s">
        <v>607</v>
      </c>
      <c r="M2807" s="4" t="s">
        <v>607</v>
      </c>
      <c r="N2807" s="4" t="s">
        <v>607</v>
      </c>
      <c r="O2807" s="4"/>
      <c r="P2807" s="4"/>
      <c r="T2807" s="4"/>
    </row>
    <row r="2808">
      <c r="A2808" s="4" t="s">
        <v>6411</v>
      </c>
      <c r="B2808" s="4" t="s">
        <v>607</v>
      </c>
      <c r="C2808" s="6" t="s">
        <v>607</v>
      </c>
      <c r="D2808" s="6" t="s">
        <v>607</v>
      </c>
      <c r="E2808" s="6" t="s">
        <v>607</v>
      </c>
      <c r="F2808" s="6" t="s">
        <v>607</v>
      </c>
      <c r="G2808" s="4" t="s">
        <v>607</v>
      </c>
      <c r="H2808" s="4" t="s">
        <v>607</v>
      </c>
      <c r="I2808" s="4" t="s">
        <v>607</v>
      </c>
      <c r="J2808" s="4" t="s">
        <v>607</v>
      </c>
      <c r="K2808" s="4" t="s">
        <v>607</v>
      </c>
      <c r="L2808" s="4" t="s">
        <v>607</v>
      </c>
      <c r="M2808" s="4" t="s">
        <v>607</v>
      </c>
      <c r="N2808" s="4" t="s">
        <v>607</v>
      </c>
      <c r="O2808" s="4"/>
      <c r="P2808" s="4"/>
      <c r="T2808" s="4"/>
    </row>
    <row r="2809">
      <c r="A2809" s="4" t="s">
        <v>6415</v>
      </c>
      <c r="B2809" s="4" t="s">
        <v>607</v>
      </c>
      <c r="C2809" s="6" t="s">
        <v>607</v>
      </c>
      <c r="D2809" s="6" t="s">
        <v>607</v>
      </c>
      <c r="E2809" s="6" t="s">
        <v>607</v>
      </c>
      <c r="F2809" s="6" t="s">
        <v>607</v>
      </c>
      <c r="G2809" s="4" t="s">
        <v>607</v>
      </c>
      <c r="H2809" s="4" t="s">
        <v>607</v>
      </c>
      <c r="I2809" s="4" t="s">
        <v>607</v>
      </c>
      <c r="J2809" s="4" t="s">
        <v>607</v>
      </c>
      <c r="K2809" s="4" t="s">
        <v>607</v>
      </c>
      <c r="L2809" s="4" t="s">
        <v>607</v>
      </c>
      <c r="M2809" s="4" t="s">
        <v>607</v>
      </c>
      <c r="N2809" s="4" t="s">
        <v>607</v>
      </c>
      <c r="O2809" s="4"/>
      <c r="P2809" s="4"/>
      <c r="T2809" s="4"/>
    </row>
    <row r="2810">
      <c r="A2810" s="4" t="s">
        <v>6416</v>
      </c>
      <c r="B2810" s="4" t="s">
        <v>607</v>
      </c>
      <c r="C2810" s="6" t="s">
        <v>607</v>
      </c>
      <c r="D2810" s="6" t="s">
        <v>607</v>
      </c>
      <c r="E2810" s="6" t="s">
        <v>607</v>
      </c>
      <c r="F2810" s="6" t="s">
        <v>607</v>
      </c>
      <c r="G2810" s="4" t="s">
        <v>607</v>
      </c>
      <c r="H2810" s="4" t="s">
        <v>607</v>
      </c>
      <c r="I2810" s="4" t="s">
        <v>607</v>
      </c>
      <c r="J2810" s="4" t="s">
        <v>607</v>
      </c>
      <c r="K2810" s="4" t="s">
        <v>607</v>
      </c>
      <c r="L2810" s="4" t="s">
        <v>607</v>
      </c>
      <c r="M2810" s="4" t="s">
        <v>607</v>
      </c>
      <c r="N2810" s="4" t="s">
        <v>607</v>
      </c>
      <c r="O2810" s="4"/>
      <c r="P2810" s="4"/>
      <c r="T2810" s="4"/>
    </row>
    <row r="2811">
      <c r="A2811" s="4" t="s">
        <v>6417</v>
      </c>
      <c r="B2811" s="4" t="s">
        <v>607</v>
      </c>
      <c r="C2811" s="6" t="s">
        <v>607</v>
      </c>
      <c r="D2811" s="6" t="s">
        <v>607</v>
      </c>
      <c r="E2811" s="6" t="s">
        <v>607</v>
      </c>
      <c r="F2811" s="6" t="s">
        <v>607</v>
      </c>
      <c r="G2811" s="4" t="s">
        <v>607</v>
      </c>
      <c r="H2811" s="4" t="s">
        <v>607</v>
      </c>
      <c r="I2811" s="4" t="s">
        <v>607</v>
      </c>
      <c r="J2811" s="4" t="s">
        <v>607</v>
      </c>
      <c r="K2811" s="4" t="s">
        <v>607</v>
      </c>
      <c r="L2811" s="4" t="s">
        <v>607</v>
      </c>
      <c r="M2811" s="4" t="s">
        <v>607</v>
      </c>
      <c r="N2811" s="4" t="s">
        <v>607</v>
      </c>
      <c r="O2811" s="4"/>
      <c r="P2811" s="4"/>
      <c r="T2811" s="4"/>
    </row>
    <row r="2812">
      <c r="A2812" s="4" t="s">
        <v>6419</v>
      </c>
      <c r="B2812" s="4" t="s">
        <v>607</v>
      </c>
      <c r="C2812" s="6" t="s">
        <v>607</v>
      </c>
      <c r="D2812" s="6" t="s">
        <v>607</v>
      </c>
      <c r="E2812" s="6" t="s">
        <v>607</v>
      </c>
      <c r="F2812" s="6" t="s">
        <v>607</v>
      </c>
      <c r="G2812" s="4" t="s">
        <v>607</v>
      </c>
      <c r="H2812" s="4" t="s">
        <v>607</v>
      </c>
      <c r="I2812" s="4" t="s">
        <v>607</v>
      </c>
      <c r="J2812" s="4" t="s">
        <v>607</v>
      </c>
      <c r="K2812" s="4" t="s">
        <v>607</v>
      </c>
      <c r="L2812" s="4" t="s">
        <v>607</v>
      </c>
      <c r="M2812" s="4" t="s">
        <v>607</v>
      </c>
      <c r="N2812" s="4" t="s">
        <v>607</v>
      </c>
      <c r="O2812" s="4"/>
      <c r="P2812" s="4"/>
      <c r="T2812" s="4"/>
    </row>
    <row r="2813">
      <c r="A2813" s="4" t="s">
        <v>6422</v>
      </c>
      <c r="B2813" s="4" t="s">
        <v>607</v>
      </c>
      <c r="C2813" s="6" t="s">
        <v>607</v>
      </c>
      <c r="D2813" s="6" t="s">
        <v>607</v>
      </c>
      <c r="E2813" s="6" t="s">
        <v>607</v>
      </c>
      <c r="F2813" s="6" t="s">
        <v>607</v>
      </c>
      <c r="G2813" s="4" t="s">
        <v>607</v>
      </c>
      <c r="H2813" s="4" t="s">
        <v>607</v>
      </c>
      <c r="I2813" s="4" t="s">
        <v>607</v>
      </c>
      <c r="J2813" s="4" t="s">
        <v>607</v>
      </c>
      <c r="K2813" s="4" t="s">
        <v>607</v>
      </c>
      <c r="L2813" s="4" t="s">
        <v>607</v>
      </c>
      <c r="M2813" s="4" t="s">
        <v>607</v>
      </c>
      <c r="N2813" s="4" t="s">
        <v>607</v>
      </c>
      <c r="O2813" s="4"/>
      <c r="P2813" s="4"/>
      <c r="T2813" s="4"/>
    </row>
    <row r="2814">
      <c r="A2814" s="4" t="s">
        <v>6423</v>
      </c>
      <c r="B2814" s="4" t="s">
        <v>607</v>
      </c>
      <c r="C2814" s="6" t="s">
        <v>607</v>
      </c>
      <c r="D2814" s="6" t="s">
        <v>607</v>
      </c>
      <c r="E2814" s="6" t="s">
        <v>607</v>
      </c>
      <c r="F2814" s="6" t="s">
        <v>607</v>
      </c>
      <c r="G2814" s="4" t="s">
        <v>607</v>
      </c>
      <c r="H2814" s="4" t="s">
        <v>607</v>
      </c>
      <c r="I2814" s="4" t="s">
        <v>607</v>
      </c>
      <c r="J2814" s="4" t="s">
        <v>607</v>
      </c>
      <c r="K2814" s="4" t="s">
        <v>607</v>
      </c>
      <c r="L2814" s="4" t="s">
        <v>607</v>
      </c>
      <c r="M2814" s="4" t="s">
        <v>607</v>
      </c>
      <c r="N2814" s="4" t="s">
        <v>607</v>
      </c>
      <c r="O2814" s="4"/>
      <c r="P2814" s="4"/>
      <c r="T2814" s="4"/>
    </row>
    <row r="2815">
      <c r="A2815" s="4" t="s">
        <v>6424</v>
      </c>
      <c r="B2815" s="4" t="s">
        <v>607</v>
      </c>
      <c r="C2815" s="6" t="s">
        <v>607</v>
      </c>
      <c r="D2815" s="6" t="s">
        <v>607</v>
      </c>
      <c r="E2815" s="6" t="s">
        <v>607</v>
      </c>
      <c r="F2815" s="6" t="s">
        <v>607</v>
      </c>
      <c r="G2815" s="4" t="s">
        <v>607</v>
      </c>
      <c r="H2815" s="4" t="s">
        <v>607</v>
      </c>
      <c r="I2815" s="4" t="s">
        <v>607</v>
      </c>
      <c r="J2815" s="4" t="s">
        <v>607</v>
      </c>
      <c r="K2815" s="4" t="s">
        <v>607</v>
      </c>
      <c r="L2815" s="4" t="s">
        <v>607</v>
      </c>
      <c r="M2815" s="4" t="s">
        <v>607</v>
      </c>
      <c r="N2815" s="4" t="s">
        <v>607</v>
      </c>
      <c r="O2815" s="4"/>
      <c r="P2815" s="4"/>
      <c r="T2815" s="4"/>
    </row>
    <row r="2816">
      <c r="A2816" s="4" t="s">
        <v>6426</v>
      </c>
      <c r="B2816" s="4" t="s">
        <v>607</v>
      </c>
      <c r="C2816" s="6" t="s">
        <v>607</v>
      </c>
      <c r="D2816" s="6" t="s">
        <v>607</v>
      </c>
      <c r="E2816" s="6" t="s">
        <v>607</v>
      </c>
      <c r="F2816" s="6" t="s">
        <v>607</v>
      </c>
      <c r="G2816" s="4" t="s">
        <v>607</v>
      </c>
      <c r="H2816" s="4" t="s">
        <v>607</v>
      </c>
      <c r="I2816" s="4" t="s">
        <v>607</v>
      </c>
      <c r="J2816" s="4" t="s">
        <v>607</v>
      </c>
      <c r="K2816" s="4" t="s">
        <v>607</v>
      </c>
      <c r="L2816" s="4" t="s">
        <v>607</v>
      </c>
      <c r="M2816" s="4" t="s">
        <v>607</v>
      </c>
      <c r="N2816" s="4" t="s">
        <v>607</v>
      </c>
      <c r="O2816" s="4"/>
      <c r="P2816" s="4"/>
      <c r="T2816" s="4"/>
    </row>
    <row r="2817">
      <c r="A2817" s="4" t="s">
        <v>6428</v>
      </c>
      <c r="B2817" s="4" t="s">
        <v>607</v>
      </c>
      <c r="C2817" s="6" t="s">
        <v>607</v>
      </c>
      <c r="D2817" s="6" t="s">
        <v>607</v>
      </c>
      <c r="E2817" s="6" t="s">
        <v>607</v>
      </c>
      <c r="F2817" s="6" t="s">
        <v>607</v>
      </c>
      <c r="G2817" s="4" t="s">
        <v>607</v>
      </c>
      <c r="H2817" s="4" t="s">
        <v>607</v>
      </c>
      <c r="I2817" s="4" t="s">
        <v>607</v>
      </c>
      <c r="J2817" s="4" t="s">
        <v>607</v>
      </c>
      <c r="K2817" s="4" t="s">
        <v>607</v>
      </c>
      <c r="L2817" s="4" t="s">
        <v>607</v>
      </c>
      <c r="M2817" s="4" t="s">
        <v>607</v>
      </c>
      <c r="N2817" s="4" t="s">
        <v>607</v>
      </c>
      <c r="O2817" s="4"/>
      <c r="P2817" s="4"/>
      <c r="T2817" s="4"/>
    </row>
    <row r="2818">
      <c r="A2818" s="4" t="s">
        <v>6429</v>
      </c>
      <c r="B2818" s="4" t="s">
        <v>607</v>
      </c>
      <c r="C2818" s="6" t="s">
        <v>607</v>
      </c>
      <c r="D2818" s="6" t="s">
        <v>607</v>
      </c>
      <c r="E2818" s="6" t="s">
        <v>607</v>
      </c>
      <c r="F2818" s="6" t="s">
        <v>607</v>
      </c>
      <c r="G2818" s="4" t="s">
        <v>607</v>
      </c>
      <c r="H2818" s="4" t="s">
        <v>607</v>
      </c>
      <c r="I2818" s="4" t="s">
        <v>607</v>
      </c>
      <c r="J2818" s="4" t="s">
        <v>607</v>
      </c>
      <c r="K2818" s="4" t="s">
        <v>607</v>
      </c>
      <c r="L2818" s="4" t="s">
        <v>607</v>
      </c>
      <c r="M2818" s="4" t="s">
        <v>607</v>
      </c>
      <c r="N2818" s="4" t="s">
        <v>607</v>
      </c>
      <c r="O2818" s="4"/>
      <c r="P2818" s="4"/>
      <c r="T2818" s="4"/>
    </row>
    <row r="2819">
      <c r="A2819" s="4" t="s">
        <v>6430</v>
      </c>
      <c r="B2819" s="4" t="s">
        <v>607</v>
      </c>
      <c r="C2819" s="6" t="s">
        <v>607</v>
      </c>
      <c r="D2819" s="6" t="s">
        <v>607</v>
      </c>
      <c r="E2819" s="6" t="s">
        <v>607</v>
      </c>
      <c r="F2819" s="6" t="s">
        <v>607</v>
      </c>
      <c r="G2819" s="4" t="s">
        <v>607</v>
      </c>
      <c r="H2819" s="4" t="s">
        <v>607</v>
      </c>
      <c r="I2819" s="4" t="s">
        <v>607</v>
      </c>
      <c r="J2819" s="4" t="s">
        <v>607</v>
      </c>
      <c r="K2819" s="4" t="s">
        <v>607</v>
      </c>
      <c r="L2819" s="4" t="s">
        <v>607</v>
      </c>
      <c r="M2819" s="4" t="s">
        <v>607</v>
      </c>
      <c r="N2819" s="4" t="s">
        <v>607</v>
      </c>
      <c r="O2819" s="4"/>
      <c r="P2819" s="4"/>
      <c r="T2819" s="4"/>
    </row>
    <row r="2820">
      <c r="A2820" s="4" t="s">
        <v>6433</v>
      </c>
      <c r="B2820" s="4" t="s">
        <v>607</v>
      </c>
      <c r="C2820" s="6" t="s">
        <v>607</v>
      </c>
      <c r="D2820" s="6" t="s">
        <v>607</v>
      </c>
      <c r="E2820" s="6" t="s">
        <v>607</v>
      </c>
      <c r="F2820" s="6" t="s">
        <v>607</v>
      </c>
      <c r="G2820" s="4" t="s">
        <v>607</v>
      </c>
      <c r="H2820" s="4" t="s">
        <v>607</v>
      </c>
      <c r="I2820" s="4" t="s">
        <v>607</v>
      </c>
      <c r="J2820" s="4" t="s">
        <v>607</v>
      </c>
      <c r="K2820" s="4" t="s">
        <v>607</v>
      </c>
      <c r="L2820" s="4" t="s">
        <v>607</v>
      </c>
      <c r="M2820" s="4" t="s">
        <v>607</v>
      </c>
      <c r="N2820" s="4" t="s">
        <v>607</v>
      </c>
      <c r="O2820" s="4"/>
      <c r="P2820" s="4"/>
      <c r="T2820" s="4"/>
    </row>
    <row r="2821">
      <c r="A2821" s="4" t="s">
        <v>6434</v>
      </c>
      <c r="B2821" s="4" t="s">
        <v>607</v>
      </c>
      <c r="C2821" s="6" t="s">
        <v>607</v>
      </c>
      <c r="D2821" s="6" t="s">
        <v>607</v>
      </c>
      <c r="E2821" s="6" t="s">
        <v>607</v>
      </c>
      <c r="F2821" s="6" t="s">
        <v>607</v>
      </c>
      <c r="G2821" s="4" t="s">
        <v>607</v>
      </c>
      <c r="H2821" s="4" t="s">
        <v>607</v>
      </c>
      <c r="I2821" s="4" t="s">
        <v>607</v>
      </c>
      <c r="J2821" s="4" t="s">
        <v>607</v>
      </c>
      <c r="K2821" s="4" t="s">
        <v>607</v>
      </c>
      <c r="L2821" s="4" t="s">
        <v>607</v>
      </c>
      <c r="M2821" s="4" t="s">
        <v>607</v>
      </c>
      <c r="N2821" s="4" t="s">
        <v>607</v>
      </c>
      <c r="O2821" s="4"/>
      <c r="P2821" s="4"/>
      <c r="T2821" s="4"/>
    </row>
    <row r="2822">
      <c r="A2822" s="4" t="s">
        <v>6438</v>
      </c>
      <c r="B2822" s="4" t="s">
        <v>607</v>
      </c>
      <c r="C2822" s="6" t="s">
        <v>607</v>
      </c>
      <c r="D2822" s="6" t="s">
        <v>607</v>
      </c>
      <c r="E2822" s="6" t="s">
        <v>607</v>
      </c>
      <c r="F2822" s="6" t="s">
        <v>607</v>
      </c>
      <c r="G2822" s="4" t="s">
        <v>607</v>
      </c>
      <c r="H2822" s="4" t="s">
        <v>607</v>
      </c>
      <c r="I2822" s="4" t="s">
        <v>607</v>
      </c>
      <c r="J2822" s="4" t="s">
        <v>607</v>
      </c>
      <c r="K2822" s="4" t="s">
        <v>607</v>
      </c>
      <c r="L2822" s="4" t="s">
        <v>607</v>
      </c>
      <c r="M2822" s="4" t="s">
        <v>607</v>
      </c>
      <c r="N2822" s="4" t="s">
        <v>607</v>
      </c>
      <c r="O2822" s="4"/>
      <c r="P2822" s="4"/>
      <c r="T2822" s="4"/>
    </row>
    <row r="2823">
      <c r="A2823" s="4" t="s">
        <v>6440</v>
      </c>
      <c r="B2823" s="4" t="s">
        <v>607</v>
      </c>
      <c r="C2823" s="6" t="s">
        <v>607</v>
      </c>
      <c r="D2823" s="6" t="s">
        <v>607</v>
      </c>
      <c r="E2823" s="6" t="s">
        <v>607</v>
      </c>
      <c r="F2823" s="6" t="s">
        <v>607</v>
      </c>
      <c r="G2823" s="4" t="s">
        <v>607</v>
      </c>
      <c r="H2823" s="4" t="s">
        <v>607</v>
      </c>
      <c r="I2823" s="4" t="s">
        <v>607</v>
      </c>
      <c r="J2823" s="4" t="s">
        <v>607</v>
      </c>
      <c r="K2823" s="4" t="s">
        <v>607</v>
      </c>
      <c r="L2823" s="4" t="s">
        <v>607</v>
      </c>
      <c r="M2823" s="4" t="s">
        <v>607</v>
      </c>
      <c r="N2823" s="4" t="s">
        <v>607</v>
      </c>
      <c r="O2823" s="4"/>
      <c r="P2823" s="4"/>
      <c r="T2823" s="4"/>
    </row>
    <row r="2824">
      <c r="A2824" s="4" t="s">
        <v>6441</v>
      </c>
      <c r="B2824" s="4" t="s">
        <v>607</v>
      </c>
      <c r="C2824" s="6" t="s">
        <v>607</v>
      </c>
      <c r="D2824" s="6" t="s">
        <v>607</v>
      </c>
      <c r="E2824" s="6" t="s">
        <v>607</v>
      </c>
      <c r="F2824" s="6" t="s">
        <v>607</v>
      </c>
      <c r="G2824" s="4" t="s">
        <v>607</v>
      </c>
      <c r="H2824" s="4" t="s">
        <v>607</v>
      </c>
      <c r="I2824" s="4" t="s">
        <v>607</v>
      </c>
      <c r="J2824" s="4" t="s">
        <v>607</v>
      </c>
      <c r="K2824" s="4" t="s">
        <v>607</v>
      </c>
      <c r="L2824" s="4" t="s">
        <v>607</v>
      </c>
      <c r="M2824" s="4" t="s">
        <v>607</v>
      </c>
      <c r="N2824" s="4" t="s">
        <v>607</v>
      </c>
      <c r="O2824" s="4"/>
      <c r="P2824" s="4"/>
      <c r="T2824" s="4"/>
    </row>
    <row r="2825">
      <c r="A2825" s="4" t="s">
        <v>6442</v>
      </c>
      <c r="B2825" s="4" t="s">
        <v>607</v>
      </c>
      <c r="C2825" s="6" t="s">
        <v>607</v>
      </c>
      <c r="D2825" s="6" t="s">
        <v>607</v>
      </c>
      <c r="E2825" s="6" t="s">
        <v>607</v>
      </c>
      <c r="F2825" s="6" t="s">
        <v>607</v>
      </c>
      <c r="G2825" s="4" t="s">
        <v>607</v>
      </c>
      <c r="H2825" s="4" t="s">
        <v>607</v>
      </c>
      <c r="I2825" s="4" t="s">
        <v>607</v>
      </c>
      <c r="J2825" s="4" t="s">
        <v>607</v>
      </c>
      <c r="K2825" s="4" t="s">
        <v>607</v>
      </c>
      <c r="L2825" s="4" t="s">
        <v>607</v>
      </c>
      <c r="M2825" s="4" t="s">
        <v>607</v>
      </c>
      <c r="N2825" s="4" t="s">
        <v>607</v>
      </c>
      <c r="O2825" s="4"/>
      <c r="P2825" s="4"/>
      <c r="T2825" s="4"/>
    </row>
    <row r="2826">
      <c r="A2826" s="4" t="s">
        <v>6449</v>
      </c>
      <c r="B2826" s="4" t="s">
        <v>607</v>
      </c>
      <c r="C2826" s="6" t="s">
        <v>607</v>
      </c>
      <c r="D2826" s="6" t="s">
        <v>607</v>
      </c>
      <c r="E2826" s="6" t="s">
        <v>607</v>
      </c>
      <c r="F2826" s="6" t="s">
        <v>607</v>
      </c>
      <c r="G2826" s="4" t="s">
        <v>607</v>
      </c>
      <c r="H2826" s="4" t="s">
        <v>607</v>
      </c>
      <c r="I2826" s="4" t="s">
        <v>607</v>
      </c>
      <c r="J2826" s="4" t="s">
        <v>607</v>
      </c>
      <c r="K2826" s="4" t="s">
        <v>607</v>
      </c>
      <c r="L2826" s="4" t="s">
        <v>607</v>
      </c>
      <c r="M2826" s="4" t="s">
        <v>607</v>
      </c>
      <c r="N2826" s="4" t="s">
        <v>607</v>
      </c>
      <c r="O2826" s="4"/>
      <c r="P2826" s="4"/>
      <c r="T2826" s="4"/>
    </row>
    <row r="2827">
      <c r="A2827" s="4" t="s">
        <v>6452</v>
      </c>
      <c r="B2827" s="4" t="s">
        <v>607</v>
      </c>
      <c r="C2827" s="6" t="s">
        <v>607</v>
      </c>
      <c r="D2827" s="6" t="s">
        <v>607</v>
      </c>
      <c r="E2827" s="6" t="s">
        <v>607</v>
      </c>
      <c r="F2827" s="6" t="s">
        <v>607</v>
      </c>
      <c r="G2827" s="4" t="s">
        <v>607</v>
      </c>
      <c r="H2827" s="4" t="s">
        <v>607</v>
      </c>
      <c r="I2827" s="4" t="s">
        <v>607</v>
      </c>
      <c r="J2827" s="4" t="s">
        <v>607</v>
      </c>
      <c r="K2827" s="4" t="s">
        <v>607</v>
      </c>
      <c r="L2827" s="4" t="s">
        <v>607</v>
      </c>
      <c r="M2827" s="4" t="s">
        <v>607</v>
      </c>
      <c r="N2827" s="4" t="s">
        <v>607</v>
      </c>
      <c r="O2827" s="4"/>
      <c r="P2827" s="4"/>
      <c r="T2827" s="4"/>
    </row>
    <row r="2828">
      <c r="A2828" s="4" t="s">
        <v>6455</v>
      </c>
      <c r="B2828" s="4" t="s">
        <v>607</v>
      </c>
      <c r="C2828" s="6" t="s">
        <v>607</v>
      </c>
      <c r="D2828" s="6" t="s">
        <v>607</v>
      </c>
      <c r="E2828" s="6" t="s">
        <v>607</v>
      </c>
      <c r="F2828" s="6" t="s">
        <v>607</v>
      </c>
      <c r="G2828" s="4" t="s">
        <v>607</v>
      </c>
      <c r="H2828" s="4" t="s">
        <v>607</v>
      </c>
      <c r="I2828" s="4" t="s">
        <v>607</v>
      </c>
      <c r="J2828" s="4" t="s">
        <v>607</v>
      </c>
      <c r="K2828" s="4" t="s">
        <v>607</v>
      </c>
      <c r="L2828" s="4" t="s">
        <v>607</v>
      </c>
      <c r="M2828" s="4" t="s">
        <v>607</v>
      </c>
      <c r="N2828" s="4" t="s">
        <v>607</v>
      </c>
      <c r="O2828" s="4"/>
      <c r="P2828" s="4"/>
      <c r="T2828" s="4"/>
    </row>
    <row r="2829">
      <c r="A2829" s="4" t="s">
        <v>6456</v>
      </c>
      <c r="B2829" s="4" t="s">
        <v>607</v>
      </c>
      <c r="C2829" s="6" t="s">
        <v>607</v>
      </c>
      <c r="D2829" s="6" t="s">
        <v>607</v>
      </c>
      <c r="E2829" s="6" t="s">
        <v>607</v>
      </c>
      <c r="F2829" s="6" t="s">
        <v>607</v>
      </c>
      <c r="G2829" s="4" t="s">
        <v>607</v>
      </c>
      <c r="H2829" s="4" t="s">
        <v>607</v>
      </c>
      <c r="I2829" s="4" t="s">
        <v>607</v>
      </c>
      <c r="J2829" s="4" t="s">
        <v>607</v>
      </c>
      <c r="K2829" s="4" t="s">
        <v>607</v>
      </c>
      <c r="L2829" s="4" t="s">
        <v>607</v>
      </c>
      <c r="M2829" s="4" t="s">
        <v>607</v>
      </c>
      <c r="N2829" s="4" t="s">
        <v>607</v>
      </c>
      <c r="O2829" s="4"/>
      <c r="P2829" s="4"/>
      <c r="T2829" s="4"/>
    </row>
    <row r="2830">
      <c r="A2830" s="4" t="s">
        <v>6460</v>
      </c>
      <c r="B2830" s="4" t="s">
        <v>607</v>
      </c>
      <c r="C2830" s="6" t="s">
        <v>607</v>
      </c>
      <c r="D2830" s="6" t="s">
        <v>607</v>
      </c>
      <c r="E2830" s="6" t="s">
        <v>607</v>
      </c>
      <c r="F2830" s="6" t="s">
        <v>607</v>
      </c>
      <c r="G2830" s="4" t="s">
        <v>607</v>
      </c>
      <c r="H2830" s="4" t="s">
        <v>607</v>
      </c>
      <c r="I2830" s="4" t="s">
        <v>607</v>
      </c>
      <c r="J2830" s="4" t="s">
        <v>607</v>
      </c>
      <c r="K2830" s="4" t="s">
        <v>607</v>
      </c>
      <c r="L2830" s="4" t="s">
        <v>607</v>
      </c>
      <c r="M2830" s="4" t="s">
        <v>607</v>
      </c>
      <c r="N2830" s="4" t="s">
        <v>607</v>
      </c>
      <c r="O2830" s="4"/>
      <c r="P2830" s="4"/>
      <c r="T2830" s="4"/>
    </row>
    <row r="2831">
      <c r="A2831" s="4" t="s">
        <v>6461</v>
      </c>
      <c r="B2831" s="4" t="s">
        <v>607</v>
      </c>
      <c r="C2831" s="6" t="s">
        <v>607</v>
      </c>
      <c r="D2831" s="6" t="s">
        <v>607</v>
      </c>
      <c r="E2831" s="6" t="s">
        <v>607</v>
      </c>
      <c r="F2831" s="6" t="s">
        <v>607</v>
      </c>
      <c r="G2831" s="4" t="s">
        <v>607</v>
      </c>
      <c r="H2831" s="4" t="s">
        <v>607</v>
      </c>
      <c r="I2831" s="4" t="s">
        <v>607</v>
      </c>
      <c r="J2831" s="4" t="s">
        <v>607</v>
      </c>
      <c r="K2831" s="4" t="s">
        <v>607</v>
      </c>
      <c r="L2831" s="4" t="s">
        <v>607</v>
      </c>
      <c r="M2831" s="4" t="s">
        <v>607</v>
      </c>
      <c r="N2831" s="4" t="s">
        <v>607</v>
      </c>
      <c r="O2831" s="4"/>
      <c r="P2831" s="4"/>
      <c r="T2831" s="4"/>
    </row>
    <row r="2832">
      <c r="A2832" s="4" t="s">
        <v>6465</v>
      </c>
      <c r="B2832" s="4" t="s">
        <v>607</v>
      </c>
      <c r="C2832" s="6" t="s">
        <v>607</v>
      </c>
      <c r="D2832" s="6" t="s">
        <v>607</v>
      </c>
      <c r="E2832" s="6" t="s">
        <v>607</v>
      </c>
      <c r="F2832" s="6" t="s">
        <v>607</v>
      </c>
      <c r="G2832" s="4" t="s">
        <v>607</v>
      </c>
      <c r="H2832" s="4" t="s">
        <v>607</v>
      </c>
      <c r="I2832" s="4" t="s">
        <v>607</v>
      </c>
      <c r="J2832" s="4" t="s">
        <v>607</v>
      </c>
      <c r="K2832" s="4" t="s">
        <v>607</v>
      </c>
      <c r="L2832" s="4" t="s">
        <v>607</v>
      </c>
      <c r="M2832" s="4" t="s">
        <v>607</v>
      </c>
      <c r="N2832" s="4" t="s">
        <v>607</v>
      </c>
      <c r="O2832" s="4"/>
      <c r="P2832" s="4"/>
      <c r="T2832" s="4"/>
    </row>
    <row r="2833">
      <c r="A2833" s="4" t="s">
        <v>6469</v>
      </c>
      <c r="B2833" s="4" t="s">
        <v>607</v>
      </c>
      <c r="C2833" s="6" t="s">
        <v>607</v>
      </c>
      <c r="D2833" s="6" t="s">
        <v>607</v>
      </c>
      <c r="E2833" s="6" t="s">
        <v>607</v>
      </c>
      <c r="F2833" s="6" t="s">
        <v>607</v>
      </c>
      <c r="G2833" s="4" t="s">
        <v>607</v>
      </c>
      <c r="H2833" s="4" t="s">
        <v>607</v>
      </c>
      <c r="I2833" s="4" t="s">
        <v>607</v>
      </c>
      <c r="J2833" s="4" t="s">
        <v>607</v>
      </c>
      <c r="K2833" s="4" t="s">
        <v>607</v>
      </c>
      <c r="L2833" s="4" t="s">
        <v>607</v>
      </c>
      <c r="M2833" s="4" t="s">
        <v>607</v>
      </c>
      <c r="N2833" s="4" t="s">
        <v>607</v>
      </c>
      <c r="O2833" s="4"/>
      <c r="P2833" s="4"/>
      <c r="T2833" s="4"/>
    </row>
    <row r="2834">
      <c r="A2834" s="4" t="s">
        <v>6470</v>
      </c>
      <c r="B2834" s="4" t="s">
        <v>607</v>
      </c>
      <c r="C2834" s="6" t="s">
        <v>607</v>
      </c>
      <c r="D2834" s="6" t="s">
        <v>607</v>
      </c>
      <c r="E2834" s="6" t="s">
        <v>607</v>
      </c>
      <c r="F2834" s="6" t="s">
        <v>607</v>
      </c>
      <c r="G2834" s="4" t="s">
        <v>607</v>
      </c>
      <c r="H2834" s="4" t="s">
        <v>607</v>
      </c>
      <c r="I2834" s="4" t="s">
        <v>607</v>
      </c>
      <c r="J2834" s="4" t="s">
        <v>607</v>
      </c>
      <c r="K2834" s="4" t="s">
        <v>607</v>
      </c>
      <c r="L2834" s="4" t="s">
        <v>607</v>
      </c>
      <c r="M2834" s="4" t="s">
        <v>607</v>
      </c>
      <c r="N2834" s="4" t="s">
        <v>607</v>
      </c>
      <c r="O2834" s="4"/>
      <c r="P2834" s="4"/>
      <c r="T2834" s="4"/>
    </row>
    <row r="2835">
      <c r="A2835" s="4" t="s">
        <v>6474</v>
      </c>
      <c r="B2835" s="4" t="s">
        <v>607</v>
      </c>
      <c r="C2835" s="6" t="s">
        <v>607</v>
      </c>
      <c r="D2835" s="6" t="s">
        <v>607</v>
      </c>
      <c r="E2835" s="6" t="s">
        <v>607</v>
      </c>
      <c r="F2835" s="6" t="s">
        <v>607</v>
      </c>
      <c r="G2835" s="4" t="s">
        <v>607</v>
      </c>
      <c r="H2835" s="4" t="s">
        <v>607</v>
      </c>
      <c r="I2835" s="4" t="s">
        <v>607</v>
      </c>
      <c r="J2835" s="4" t="s">
        <v>607</v>
      </c>
      <c r="K2835" s="4" t="s">
        <v>607</v>
      </c>
      <c r="L2835" s="4" t="s">
        <v>607</v>
      </c>
      <c r="M2835" s="4" t="s">
        <v>607</v>
      </c>
      <c r="N2835" s="4" t="s">
        <v>607</v>
      </c>
      <c r="O2835" s="4"/>
      <c r="P2835" s="4"/>
      <c r="T2835" s="4"/>
    </row>
    <row r="2836">
      <c r="A2836" s="4" t="s">
        <v>6475</v>
      </c>
      <c r="B2836" s="4" t="s">
        <v>607</v>
      </c>
      <c r="C2836" s="6" t="s">
        <v>607</v>
      </c>
      <c r="D2836" s="6" t="s">
        <v>607</v>
      </c>
      <c r="E2836" s="6" t="s">
        <v>607</v>
      </c>
      <c r="F2836" s="6" t="s">
        <v>607</v>
      </c>
      <c r="G2836" s="4" t="s">
        <v>607</v>
      </c>
      <c r="H2836" s="4" t="s">
        <v>607</v>
      </c>
      <c r="I2836" s="4" t="s">
        <v>607</v>
      </c>
      <c r="J2836" s="4" t="s">
        <v>607</v>
      </c>
      <c r="K2836" s="4" t="s">
        <v>607</v>
      </c>
      <c r="L2836" s="4" t="s">
        <v>607</v>
      </c>
      <c r="M2836" s="4" t="s">
        <v>607</v>
      </c>
      <c r="N2836" s="4" t="s">
        <v>607</v>
      </c>
      <c r="O2836" s="4"/>
      <c r="P2836" s="4"/>
      <c r="T2836" s="4"/>
    </row>
    <row r="2837">
      <c r="A2837" s="4" t="s">
        <v>6479</v>
      </c>
      <c r="B2837" s="4" t="s">
        <v>607</v>
      </c>
      <c r="C2837" s="6" t="s">
        <v>607</v>
      </c>
      <c r="D2837" s="6" t="s">
        <v>607</v>
      </c>
      <c r="E2837" s="6" t="s">
        <v>607</v>
      </c>
      <c r="F2837" s="6" t="s">
        <v>607</v>
      </c>
      <c r="G2837" s="4" t="s">
        <v>607</v>
      </c>
      <c r="H2837" s="4" t="s">
        <v>607</v>
      </c>
      <c r="I2837" s="4" t="s">
        <v>607</v>
      </c>
      <c r="J2837" s="4" t="s">
        <v>607</v>
      </c>
      <c r="K2837" s="4" t="s">
        <v>607</v>
      </c>
      <c r="L2837" s="4" t="s">
        <v>607</v>
      </c>
      <c r="M2837" s="4" t="s">
        <v>607</v>
      </c>
      <c r="N2837" s="4" t="s">
        <v>607</v>
      </c>
      <c r="O2837" s="4"/>
      <c r="P2837" s="4"/>
      <c r="T2837" s="4"/>
    </row>
    <row r="2838">
      <c r="A2838" s="4" t="s">
        <v>6482</v>
      </c>
      <c r="B2838" s="4" t="s">
        <v>607</v>
      </c>
      <c r="C2838" s="6" t="s">
        <v>607</v>
      </c>
      <c r="D2838" s="6" t="s">
        <v>607</v>
      </c>
      <c r="E2838" s="6" t="s">
        <v>607</v>
      </c>
      <c r="F2838" s="6" t="s">
        <v>607</v>
      </c>
      <c r="G2838" s="4" t="s">
        <v>607</v>
      </c>
      <c r="H2838" s="4" t="s">
        <v>607</v>
      </c>
      <c r="I2838" s="4" t="s">
        <v>607</v>
      </c>
      <c r="J2838" s="4" t="s">
        <v>607</v>
      </c>
      <c r="K2838" s="4" t="s">
        <v>607</v>
      </c>
      <c r="L2838" s="4" t="s">
        <v>607</v>
      </c>
      <c r="M2838" s="4" t="s">
        <v>607</v>
      </c>
      <c r="N2838" s="4" t="s">
        <v>607</v>
      </c>
      <c r="O2838" s="4"/>
      <c r="P2838" s="4"/>
      <c r="T2838" s="4"/>
    </row>
    <row r="2839">
      <c r="A2839" s="4" t="s">
        <v>6484</v>
      </c>
      <c r="B2839" s="4" t="s">
        <v>607</v>
      </c>
      <c r="C2839" s="6" t="s">
        <v>607</v>
      </c>
      <c r="D2839" s="6" t="s">
        <v>607</v>
      </c>
      <c r="E2839" s="6" t="s">
        <v>607</v>
      </c>
      <c r="F2839" s="6" t="s">
        <v>607</v>
      </c>
      <c r="G2839" s="4" t="s">
        <v>607</v>
      </c>
      <c r="H2839" s="4" t="s">
        <v>607</v>
      </c>
      <c r="I2839" s="4" t="s">
        <v>607</v>
      </c>
      <c r="J2839" s="4" t="s">
        <v>607</v>
      </c>
      <c r="K2839" s="4" t="s">
        <v>607</v>
      </c>
      <c r="L2839" s="4" t="s">
        <v>607</v>
      </c>
      <c r="M2839" s="4" t="s">
        <v>607</v>
      </c>
      <c r="N2839" s="4" t="s">
        <v>607</v>
      </c>
      <c r="O2839" s="4"/>
      <c r="P2839" s="4"/>
      <c r="T2839" s="4"/>
    </row>
    <row r="2840">
      <c r="A2840" s="4" t="s">
        <v>6488</v>
      </c>
      <c r="B2840" s="4" t="s">
        <v>607</v>
      </c>
      <c r="C2840" s="6" t="s">
        <v>607</v>
      </c>
      <c r="D2840" s="6" t="s">
        <v>607</v>
      </c>
      <c r="E2840" s="6" t="s">
        <v>607</v>
      </c>
      <c r="F2840" s="6" t="s">
        <v>607</v>
      </c>
      <c r="G2840" s="4" t="s">
        <v>607</v>
      </c>
      <c r="H2840" s="4" t="s">
        <v>607</v>
      </c>
      <c r="I2840" s="4" t="s">
        <v>607</v>
      </c>
      <c r="J2840" s="4" t="s">
        <v>607</v>
      </c>
      <c r="K2840" s="4" t="s">
        <v>607</v>
      </c>
      <c r="L2840" s="4" t="s">
        <v>607</v>
      </c>
      <c r="M2840" s="4" t="s">
        <v>607</v>
      </c>
      <c r="N2840" s="4" t="s">
        <v>607</v>
      </c>
      <c r="O2840" s="4"/>
      <c r="P2840" s="4"/>
      <c r="T2840" s="4"/>
    </row>
    <row r="2841">
      <c r="A2841" s="4" t="s">
        <v>6493</v>
      </c>
      <c r="B2841" s="4" t="s">
        <v>607</v>
      </c>
      <c r="C2841" s="6" t="s">
        <v>607</v>
      </c>
      <c r="D2841" s="6" t="s">
        <v>607</v>
      </c>
      <c r="E2841" s="6" t="s">
        <v>607</v>
      </c>
      <c r="F2841" s="6" t="s">
        <v>607</v>
      </c>
      <c r="G2841" s="4" t="s">
        <v>607</v>
      </c>
      <c r="H2841" s="4" t="s">
        <v>607</v>
      </c>
      <c r="I2841" s="4" t="s">
        <v>607</v>
      </c>
      <c r="J2841" s="4" t="s">
        <v>607</v>
      </c>
      <c r="K2841" s="4" t="s">
        <v>607</v>
      </c>
      <c r="L2841" s="4" t="s">
        <v>607</v>
      </c>
      <c r="M2841" s="4" t="s">
        <v>607</v>
      </c>
      <c r="N2841" s="4" t="s">
        <v>607</v>
      </c>
      <c r="O2841" s="4"/>
      <c r="P2841" s="4"/>
      <c r="T2841" s="4"/>
    </row>
    <row r="2842">
      <c r="A2842" s="4" t="s">
        <v>6495</v>
      </c>
      <c r="B2842" s="4" t="s">
        <v>607</v>
      </c>
      <c r="C2842" s="6" t="s">
        <v>607</v>
      </c>
      <c r="D2842" s="6" t="s">
        <v>607</v>
      </c>
      <c r="E2842" s="6" t="s">
        <v>607</v>
      </c>
      <c r="F2842" s="6" t="s">
        <v>607</v>
      </c>
      <c r="G2842" s="4" t="s">
        <v>607</v>
      </c>
      <c r="H2842" s="4" t="s">
        <v>607</v>
      </c>
      <c r="I2842" s="4" t="s">
        <v>607</v>
      </c>
      <c r="J2842" s="4" t="s">
        <v>607</v>
      </c>
      <c r="K2842" s="4" t="s">
        <v>607</v>
      </c>
      <c r="L2842" s="4" t="s">
        <v>607</v>
      </c>
      <c r="M2842" s="4" t="s">
        <v>607</v>
      </c>
      <c r="N2842" s="4" t="s">
        <v>607</v>
      </c>
      <c r="O2842" s="4"/>
      <c r="P2842" s="4"/>
      <c r="T2842" s="4"/>
    </row>
    <row r="2843">
      <c r="A2843" s="4" t="s">
        <v>6503</v>
      </c>
      <c r="B2843" s="4" t="s">
        <v>607</v>
      </c>
      <c r="C2843" s="6" t="s">
        <v>607</v>
      </c>
      <c r="D2843" s="6" t="s">
        <v>607</v>
      </c>
      <c r="E2843" s="6" t="s">
        <v>607</v>
      </c>
      <c r="F2843" s="6" t="s">
        <v>607</v>
      </c>
      <c r="G2843" s="4" t="s">
        <v>607</v>
      </c>
      <c r="H2843" s="4" t="s">
        <v>607</v>
      </c>
      <c r="I2843" s="4" t="s">
        <v>607</v>
      </c>
      <c r="J2843" s="4" t="s">
        <v>607</v>
      </c>
      <c r="K2843" s="4" t="s">
        <v>607</v>
      </c>
      <c r="L2843" s="4" t="s">
        <v>607</v>
      </c>
      <c r="M2843" s="4" t="s">
        <v>607</v>
      </c>
      <c r="N2843" s="4" t="s">
        <v>607</v>
      </c>
      <c r="O2843" s="4"/>
      <c r="P2843" s="4"/>
      <c r="T2843" s="4"/>
    </row>
    <row r="2844">
      <c r="A2844" s="4" t="s">
        <v>6504</v>
      </c>
      <c r="B2844" s="4" t="s">
        <v>607</v>
      </c>
      <c r="C2844" s="6" t="s">
        <v>607</v>
      </c>
      <c r="D2844" s="6" t="s">
        <v>607</v>
      </c>
      <c r="E2844" s="6" t="s">
        <v>607</v>
      </c>
      <c r="F2844" s="6" t="s">
        <v>607</v>
      </c>
      <c r="G2844" s="4" t="s">
        <v>607</v>
      </c>
      <c r="H2844" s="4" t="s">
        <v>607</v>
      </c>
      <c r="I2844" s="4" t="s">
        <v>607</v>
      </c>
      <c r="J2844" s="4" t="s">
        <v>607</v>
      </c>
      <c r="K2844" s="4" t="s">
        <v>607</v>
      </c>
      <c r="L2844" s="4" t="s">
        <v>607</v>
      </c>
      <c r="M2844" s="4" t="s">
        <v>607</v>
      </c>
      <c r="N2844" s="4" t="s">
        <v>607</v>
      </c>
      <c r="O2844" s="4"/>
      <c r="P2844" s="4"/>
      <c r="T2844" s="4"/>
    </row>
    <row r="2845">
      <c r="A2845" s="4" t="s">
        <v>6508</v>
      </c>
      <c r="B2845" s="4" t="s">
        <v>607</v>
      </c>
      <c r="C2845" s="6" t="s">
        <v>607</v>
      </c>
      <c r="D2845" s="6" t="s">
        <v>607</v>
      </c>
      <c r="E2845" s="6" t="s">
        <v>607</v>
      </c>
      <c r="F2845" s="6" t="s">
        <v>607</v>
      </c>
      <c r="G2845" s="4" t="s">
        <v>607</v>
      </c>
      <c r="H2845" s="4" t="s">
        <v>607</v>
      </c>
      <c r="I2845" s="4" t="s">
        <v>607</v>
      </c>
      <c r="J2845" s="4" t="s">
        <v>607</v>
      </c>
      <c r="K2845" s="4" t="s">
        <v>607</v>
      </c>
      <c r="L2845" s="4" t="s">
        <v>607</v>
      </c>
      <c r="M2845" s="4" t="s">
        <v>607</v>
      </c>
      <c r="N2845" s="4" t="s">
        <v>607</v>
      </c>
      <c r="O2845" s="4"/>
      <c r="P2845" s="4"/>
      <c r="T2845" s="4"/>
    </row>
    <row r="2846">
      <c r="A2846" s="4" t="s">
        <v>6509</v>
      </c>
      <c r="B2846" s="4" t="s">
        <v>607</v>
      </c>
      <c r="C2846" s="6" t="s">
        <v>607</v>
      </c>
      <c r="D2846" s="6" t="s">
        <v>607</v>
      </c>
      <c r="E2846" s="6" t="s">
        <v>607</v>
      </c>
      <c r="F2846" s="6" t="s">
        <v>607</v>
      </c>
      <c r="G2846" s="4" t="s">
        <v>607</v>
      </c>
      <c r="H2846" s="4" t="s">
        <v>607</v>
      </c>
      <c r="I2846" s="4" t="s">
        <v>607</v>
      </c>
      <c r="J2846" s="4" t="s">
        <v>607</v>
      </c>
      <c r="K2846" s="4" t="s">
        <v>607</v>
      </c>
      <c r="L2846" s="4" t="s">
        <v>607</v>
      </c>
      <c r="M2846" s="4" t="s">
        <v>607</v>
      </c>
      <c r="N2846" s="4" t="s">
        <v>607</v>
      </c>
      <c r="O2846" s="4"/>
      <c r="P2846" s="4"/>
      <c r="T2846" s="4"/>
    </row>
    <row r="2847">
      <c r="A2847" s="4" t="s">
        <v>6510</v>
      </c>
      <c r="B2847" s="4" t="s">
        <v>607</v>
      </c>
      <c r="C2847" s="6" t="s">
        <v>607</v>
      </c>
      <c r="D2847" s="6" t="s">
        <v>607</v>
      </c>
      <c r="E2847" s="6" t="s">
        <v>607</v>
      </c>
      <c r="F2847" s="6" t="s">
        <v>607</v>
      </c>
      <c r="G2847" s="4" t="s">
        <v>607</v>
      </c>
      <c r="H2847" s="4" t="s">
        <v>607</v>
      </c>
      <c r="I2847" s="4" t="s">
        <v>607</v>
      </c>
      <c r="J2847" s="4" t="s">
        <v>607</v>
      </c>
      <c r="K2847" s="4" t="s">
        <v>607</v>
      </c>
      <c r="L2847" s="4" t="s">
        <v>607</v>
      </c>
      <c r="M2847" s="4" t="s">
        <v>607</v>
      </c>
      <c r="N2847" s="4" t="s">
        <v>607</v>
      </c>
      <c r="O2847" s="4"/>
      <c r="P2847" s="4"/>
      <c r="T2847" s="4"/>
    </row>
    <row r="2848">
      <c r="A2848" s="4" t="s">
        <v>6514</v>
      </c>
      <c r="B2848" s="4" t="s">
        <v>607</v>
      </c>
      <c r="C2848" s="6" t="s">
        <v>607</v>
      </c>
      <c r="D2848" s="6" t="s">
        <v>607</v>
      </c>
      <c r="E2848" s="6" t="s">
        <v>607</v>
      </c>
      <c r="F2848" s="6" t="s">
        <v>607</v>
      </c>
      <c r="G2848" s="4" t="s">
        <v>607</v>
      </c>
      <c r="H2848" s="4" t="s">
        <v>607</v>
      </c>
      <c r="I2848" s="4" t="s">
        <v>607</v>
      </c>
      <c r="J2848" s="4" t="s">
        <v>607</v>
      </c>
      <c r="K2848" s="4" t="s">
        <v>607</v>
      </c>
      <c r="L2848" s="4" t="s">
        <v>607</v>
      </c>
      <c r="M2848" s="4" t="s">
        <v>607</v>
      </c>
      <c r="N2848" s="4" t="s">
        <v>607</v>
      </c>
      <c r="O2848" s="4"/>
      <c r="P2848" s="4"/>
      <c r="T2848" s="4"/>
    </row>
    <row r="2849">
      <c r="A2849" s="4" t="s">
        <v>6515</v>
      </c>
      <c r="B2849" s="4" t="s">
        <v>607</v>
      </c>
      <c r="C2849" s="6" t="s">
        <v>607</v>
      </c>
      <c r="D2849" s="6" t="s">
        <v>607</v>
      </c>
      <c r="E2849" s="6" t="s">
        <v>607</v>
      </c>
      <c r="F2849" s="6" t="s">
        <v>607</v>
      </c>
      <c r="G2849" s="4" t="s">
        <v>607</v>
      </c>
      <c r="H2849" s="4" t="s">
        <v>607</v>
      </c>
      <c r="I2849" s="4" t="s">
        <v>607</v>
      </c>
      <c r="J2849" s="4" t="s">
        <v>607</v>
      </c>
      <c r="K2849" s="4" t="s">
        <v>607</v>
      </c>
      <c r="L2849" s="4" t="s">
        <v>607</v>
      </c>
      <c r="M2849" s="4" t="s">
        <v>607</v>
      </c>
      <c r="N2849" s="4" t="s">
        <v>607</v>
      </c>
      <c r="O2849" s="4"/>
      <c r="P2849" s="4"/>
      <c r="T2849" s="4"/>
    </row>
    <row r="2850">
      <c r="A2850" s="4" t="s">
        <v>6518</v>
      </c>
      <c r="B2850" s="4" t="s">
        <v>607</v>
      </c>
      <c r="C2850" s="6" t="s">
        <v>607</v>
      </c>
      <c r="D2850" s="6" t="s">
        <v>607</v>
      </c>
      <c r="E2850" s="6" t="s">
        <v>607</v>
      </c>
      <c r="F2850" s="6" t="s">
        <v>607</v>
      </c>
      <c r="G2850" s="4" t="s">
        <v>607</v>
      </c>
      <c r="H2850" s="4" t="s">
        <v>607</v>
      </c>
      <c r="I2850" s="4" t="s">
        <v>607</v>
      </c>
      <c r="J2850" s="4" t="s">
        <v>607</v>
      </c>
      <c r="K2850" s="4" t="s">
        <v>607</v>
      </c>
      <c r="L2850" s="4" t="s">
        <v>607</v>
      </c>
      <c r="M2850" s="4" t="s">
        <v>607</v>
      </c>
      <c r="N2850" s="4" t="s">
        <v>607</v>
      </c>
      <c r="O2850" s="4"/>
      <c r="P2850" s="4"/>
      <c r="T2850" s="4"/>
    </row>
    <row r="2851">
      <c r="A2851" s="4" t="s">
        <v>6519</v>
      </c>
      <c r="B2851" s="4" t="s">
        <v>607</v>
      </c>
      <c r="C2851" s="6" t="s">
        <v>607</v>
      </c>
      <c r="D2851" s="6" t="s">
        <v>607</v>
      </c>
      <c r="E2851" s="6" t="s">
        <v>607</v>
      </c>
      <c r="F2851" s="6" t="s">
        <v>607</v>
      </c>
      <c r="G2851" s="4" t="s">
        <v>607</v>
      </c>
      <c r="H2851" s="4" t="s">
        <v>607</v>
      </c>
      <c r="I2851" s="4" t="s">
        <v>607</v>
      </c>
      <c r="J2851" s="4" t="s">
        <v>607</v>
      </c>
      <c r="K2851" s="4" t="s">
        <v>607</v>
      </c>
      <c r="L2851" s="4" t="s">
        <v>607</v>
      </c>
      <c r="M2851" s="4" t="s">
        <v>607</v>
      </c>
      <c r="N2851" s="4" t="s">
        <v>607</v>
      </c>
      <c r="O2851" s="4"/>
      <c r="P2851" s="4"/>
      <c r="T2851" s="4"/>
    </row>
    <row r="2852">
      <c r="A2852" s="4" t="s">
        <v>6522</v>
      </c>
      <c r="B2852" s="4" t="s">
        <v>607</v>
      </c>
      <c r="C2852" s="6" t="s">
        <v>607</v>
      </c>
      <c r="D2852" s="6" t="s">
        <v>607</v>
      </c>
      <c r="E2852" s="6" t="s">
        <v>607</v>
      </c>
      <c r="F2852" s="6" t="s">
        <v>607</v>
      </c>
      <c r="G2852" s="4" t="s">
        <v>607</v>
      </c>
      <c r="H2852" s="4" t="s">
        <v>607</v>
      </c>
      <c r="I2852" s="4" t="s">
        <v>607</v>
      </c>
      <c r="J2852" s="4" t="s">
        <v>607</v>
      </c>
      <c r="K2852" s="4" t="s">
        <v>607</v>
      </c>
      <c r="L2852" s="4" t="s">
        <v>607</v>
      </c>
      <c r="M2852" s="4" t="s">
        <v>607</v>
      </c>
      <c r="N2852" s="4" t="s">
        <v>607</v>
      </c>
      <c r="O2852" s="4"/>
      <c r="P2852" s="4"/>
      <c r="T2852" s="4"/>
    </row>
    <row r="2853">
      <c r="A2853" s="4" t="s">
        <v>6523</v>
      </c>
      <c r="B2853" s="4" t="s">
        <v>607</v>
      </c>
      <c r="C2853" s="6" t="s">
        <v>607</v>
      </c>
      <c r="D2853" s="6" t="s">
        <v>607</v>
      </c>
      <c r="E2853" s="6" t="s">
        <v>607</v>
      </c>
      <c r="F2853" s="6" t="s">
        <v>607</v>
      </c>
      <c r="G2853" s="4" t="s">
        <v>607</v>
      </c>
      <c r="H2853" s="4" t="s">
        <v>607</v>
      </c>
      <c r="I2853" s="4" t="s">
        <v>607</v>
      </c>
      <c r="J2853" s="4" t="s">
        <v>607</v>
      </c>
      <c r="K2853" s="4" t="s">
        <v>607</v>
      </c>
      <c r="L2853" s="4" t="s">
        <v>607</v>
      </c>
      <c r="M2853" s="4" t="s">
        <v>607</v>
      </c>
      <c r="N2853" s="4" t="s">
        <v>607</v>
      </c>
      <c r="O2853" s="4"/>
      <c r="P2853" s="4"/>
      <c r="T2853" s="4"/>
    </row>
    <row r="2854">
      <c r="A2854" s="4" t="s">
        <v>6527</v>
      </c>
      <c r="B2854" s="4" t="s">
        <v>607</v>
      </c>
      <c r="C2854" s="6" t="s">
        <v>607</v>
      </c>
      <c r="D2854" s="6" t="s">
        <v>607</v>
      </c>
      <c r="E2854" s="6" t="s">
        <v>607</v>
      </c>
      <c r="F2854" s="6" t="s">
        <v>607</v>
      </c>
      <c r="G2854" s="4" t="s">
        <v>607</v>
      </c>
      <c r="H2854" s="4" t="s">
        <v>607</v>
      </c>
      <c r="I2854" s="4" t="s">
        <v>607</v>
      </c>
      <c r="J2854" s="4" t="s">
        <v>607</v>
      </c>
      <c r="K2854" s="4" t="s">
        <v>607</v>
      </c>
      <c r="L2854" s="4" t="s">
        <v>607</v>
      </c>
      <c r="M2854" s="4" t="s">
        <v>607</v>
      </c>
      <c r="N2854" s="4" t="s">
        <v>607</v>
      </c>
      <c r="O2854" s="4"/>
      <c r="P2854" s="4"/>
      <c r="T2854" s="4"/>
    </row>
    <row r="2855">
      <c r="A2855" s="4" t="s">
        <v>6531</v>
      </c>
      <c r="B2855" s="4" t="s">
        <v>607</v>
      </c>
      <c r="C2855" s="6" t="s">
        <v>607</v>
      </c>
      <c r="D2855" s="6" t="s">
        <v>607</v>
      </c>
      <c r="E2855" s="6" t="s">
        <v>607</v>
      </c>
      <c r="F2855" s="6" t="s">
        <v>607</v>
      </c>
      <c r="G2855" s="4" t="s">
        <v>607</v>
      </c>
      <c r="H2855" s="4" t="s">
        <v>607</v>
      </c>
      <c r="I2855" s="4" t="s">
        <v>607</v>
      </c>
      <c r="J2855" s="4" t="s">
        <v>607</v>
      </c>
      <c r="K2855" s="4" t="s">
        <v>607</v>
      </c>
      <c r="L2855" s="4" t="s">
        <v>607</v>
      </c>
      <c r="M2855" s="4" t="s">
        <v>607</v>
      </c>
      <c r="N2855" s="4" t="s">
        <v>607</v>
      </c>
      <c r="O2855" s="4"/>
      <c r="P2855" s="4"/>
      <c r="T2855" s="4"/>
    </row>
    <row r="2856">
      <c r="A2856" s="4" t="s">
        <v>6533</v>
      </c>
      <c r="B2856" s="4" t="s">
        <v>607</v>
      </c>
      <c r="C2856" s="6" t="s">
        <v>607</v>
      </c>
      <c r="D2856" s="6" t="s">
        <v>607</v>
      </c>
      <c r="E2856" s="6" t="s">
        <v>607</v>
      </c>
      <c r="F2856" s="6" t="s">
        <v>607</v>
      </c>
      <c r="G2856" s="4" t="s">
        <v>607</v>
      </c>
      <c r="H2856" s="4" t="s">
        <v>607</v>
      </c>
      <c r="I2856" s="4" t="s">
        <v>607</v>
      </c>
      <c r="J2856" s="4" t="s">
        <v>607</v>
      </c>
      <c r="K2856" s="4" t="s">
        <v>607</v>
      </c>
      <c r="L2856" s="4" t="s">
        <v>607</v>
      </c>
      <c r="M2856" s="4" t="s">
        <v>607</v>
      </c>
      <c r="N2856" s="4" t="s">
        <v>607</v>
      </c>
      <c r="O2856" s="4"/>
      <c r="P2856" s="4"/>
      <c r="T2856" s="4"/>
    </row>
    <row r="2857">
      <c r="A2857" s="4" t="s">
        <v>6535</v>
      </c>
      <c r="B2857" s="4" t="s">
        <v>607</v>
      </c>
      <c r="C2857" s="6" t="s">
        <v>607</v>
      </c>
      <c r="D2857" s="6" t="s">
        <v>607</v>
      </c>
      <c r="E2857" s="6" t="s">
        <v>607</v>
      </c>
      <c r="F2857" s="6" t="s">
        <v>607</v>
      </c>
      <c r="G2857" s="4" t="s">
        <v>607</v>
      </c>
      <c r="H2857" s="4" t="s">
        <v>607</v>
      </c>
      <c r="I2857" s="4" t="s">
        <v>607</v>
      </c>
      <c r="J2857" s="4" t="s">
        <v>607</v>
      </c>
      <c r="K2857" s="4" t="s">
        <v>607</v>
      </c>
      <c r="L2857" s="4" t="s">
        <v>607</v>
      </c>
      <c r="M2857" s="4" t="s">
        <v>607</v>
      </c>
      <c r="N2857" s="4" t="s">
        <v>607</v>
      </c>
      <c r="O2857" s="4"/>
      <c r="P2857" s="4"/>
      <c r="T2857" s="4"/>
    </row>
    <row r="2858">
      <c r="A2858" s="4" t="s">
        <v>6536</v>
      </c>
      <c r="B2858" s="4" t="s">
        <v>607</v>
      </c>
      <c r="C2858" s="6" t="s">
        <v>607</v>
      </c>
      <c r="D2858" s="6" t="s">
        <v>607</v>
      </c>
      <c r="E2858" s="6" t="s">
        <v>607</v>
      </c>
      <c r="F2858" s="6" t="s">
        <v>607</v>
      </c>
      <c r="G2858" s="4" t="s">
        <v>607</v>
      </c>
      <c r="H2858" s="4" t="s">
        <v>607</v>
      </c>
      <c r="I2858" s="4" t="s">
        <v>607</v>
      </c>
      <c r="J2858" s="4" t="s">
        <v>607</v>
      </c>
      <c r="K2858" s="4" t="s">
        <v>607</v>
      </c>
      <c r="L2858" s="4" t="s">
        <v>607</v>
      </c>
      <c r="M2858" s="4" t="s">
        <v>607</v>
      </c>
      <c r="N2858" s="4" t="s">
        <v>607</v>
      </c>
      <c r="O2858" s="4"/>
      <c r="P2858" s="4"/>
      <c r="T2858" s="4"/>
    </row>
    <row r="2859">
      <c r="A2859" s="4" t="s">
        <v>6537</v>
      </c>
      <c r="B2859" s="4" t="s">
        <v>607</v>
      </c>
      <c r="C2859" s="6" t="s">
        <v>607</v>
      </c>
      <c r="D2859" s="6" t="s">
        <v>607</v>
      </c>
      <c r="E2859" s="6" t="s">
        <v>607</v>
      </c>
      <c r="F2859" s="6" t="s">
        <v>607</v>
      </c>
      <c r="G2859" s="4" t="s">
        <v>607</v>
      </c>
      <c r="H2859" s="4" t="s">
        <v>607</v>
      </c>
      <c r="I2859" s="4" t="s">
        <v>607</v>
      </c>
      <c r="J2859" s="4" t="s">
        <v>607</v>
      </c>
      <c r="K2859" s="4" t="s">
        <v>607</v>
      </c>
      <c r="L2859" s="4" t="s">
        <v>607</v>
      </c>
      <c r="M2859" s="4" t="s">
        <v>607</v>
      </c>
      <c r="N2859" s="4" t="s">
        <v>607</v>
      </c>
      <c r="O2859" s="4"/>
      <c r="P2859" s="4"/>
      <c r="T2859" s="4"/>
    </row>
    <row r="2860">
      <c r="A2860" s="4" t="s">
        <v>6538</v>
      </c>
      <c r="B2860" s="4" t="s">
        <v>607</v>
      </c>
      <c r="C2860" s="6" t="s">
        <v>607</v>
      </c>
      <c r="D2860" s="6" t="s">
        <v>607</v>
      </c>
      <c r="E2860" s="6" t="s">
        <v>607</v>
      </c>
      <c r="F2860" s="6" t="s">
        <v>607</v>
      </c>
      <c r="G2860" s="4" t="s">
        <v>607</v>
      </c>
      <c r="H2860" s="4" t="s">
        <v>607</v>
      </c>
      <c r="I2860" s="4" t="s">
        <v>607</v>
      </c>
      <c r="J2860" s="4" t="s">
        <v>607</v>
      </c>
      <c r="K2860" s="4" t="s">
        <v>607</v>
      </c>
      <c r="L2860" s="4" t="s">
        <v>607</v>
      </c>
      <c r="M2860" s="4" t="s">
        <v>607</v>
      </c>
      <c r="N2860" s="4" t="s">
        <v>607</v>
      </c>
      <c r="O2860" s="4"/>
      <c r="P2860" s="4"/>
      <c r="T2860" s="4"/>
    </row>
    <row r="2861">
      <c r="A2861" s="4" t="s">
        <v>6541</v>
      </c>
      <c r="B2861" s="4" t="s">
        <v>607</v>
      </c>
      <c r="C2861" s="6" t="s">
        <v>607</v>
      </c>
      <c r="D2861" s="6" t="s">
        <v>607</v>
      </c>
      <c r="E2861" s="6" t="s">
        <v>607</v>
      </c>
      <c r="F2861" s="6" t="s">
        <v>607</v>
      </c>
      <c r="G2861" s="4" t="s">
        <v>607</v>
      </c>
      <c r="H2861" s="4" t="s">
        <v>607</v>
      </c>
      <c r="I2861" s="4" t="s">
        <v>607</v>
      </c>
      <c r="J2861" s="4" t="s">
        <v>607</v>
      </c>
      <c r="K2861" s="4" t="s">
        <v>607</v>
      </c>
      <c r="L2861" s="4" t="s">
        <v>607</v>
      </c>
      <c r="M2861" s="4" t="s">
        <v>607</v>
      </c>
      <c r="N2861" s="4" t="s">
        <v>607</v>
      </c>
      <c r="O2861" s="4"/>
      <c r="P2861" s="4"/>
      <c r="T2861" s="4"/>
    </row>
    <row r="2862">
      <c r="A2862" s="4" t="s">
        <v>6542</v>
      </c>
      <c r="B2862" s="4" t="s">
        <v>607</v>
      </c>
      <c r="C2862" s="6" t="s">
        <v>607</v>
      </c>
      <c r="D2862" s="6" t="s">
        <v>607</v>
      </c>
      <c r="E2862" s="6" t="s">
        <v>607</v>
      </c>
      <c r="F2862" s="6" t="s">
        <v>607</v>
      </c>
      <c r="G2862" s="4" t="s">
        <v>607</v>
      </c>
      <c r="H2862" s="4" t="s">
        <v>607</v>
      </c>
      <c r="I2862" s="4" t="s">
        <v>607</v>
      </c>
      <c r="J2862" s="4" t="s">
        <v>607</v>
      </c>
      <c r="K2862" s="4" t="s">
        <v>607</v>
      </c>
      <c r="L2862" s="4" t="s">
        <v>607</v>
      </c>
      <c r="M2862" s="4" t="s">
        <v>607</v>
      </c>
      <c r="N2862" s="4" t="s">
        <v>607</v>
      </c>
      <c r="O2862" s="4"/>
      <c r="P2862" s="4"/>
      <c r="T2862" s="4"/>
    </row>
    <row r="2863">
      <c r="A2863" s="4" t="s">
        <v>6545</v>
      </c>
      <c r="B2863" s="4" t="s">
        <v>607</v>
      </c>
      <c r="C2863" s="6" t="s">
        <v>607</v>
      </c>
      <c r="D2863" s="6" t="s">
        <v>607</v>
      </c>
      <c r="E2863" s="6" t="s">
        <v>607</v>
      </c>
      <c r="F2863" s="6" t="s">
        <v>607</v>
      </c>
      <c r="G2863" s="4" t="s">
        <v>607</v>
      </c>
      <c r="H2863" s="4" t="s">
        <v>607</v>
      </c>
      <c r="I2863" s="4" t="s">
        <v>607</v>
      </c>
      <c r="J2863" s="4" t="s">
        <v>607</v>
      </c>
      <c r="K2863" s="4" t="s">
        <v>607</v>
      </c>
      <c r="L2863" s="4" t="s">
        <v>607</v>
      </c>
      <c r="M2863" s="4" t="s">
        <v>607</v>
      </c>
      <c r="N2863" s="4" t="s">
        <v>607</v>
      </c>
      <c r="O2863" s="4"/>
      <c r="P2863" s="4"/>
      <c r="T2863" s="4"/>
    </row>
    <row r="2864">
      <c r="A2864" s="4" t="s">
        <v>6546</v>
      </c>
      <c r="B2864" s="4" t="s">
        <v>607</v>
      </c>
      <c r="C2864" s="6" t="s">
        <v>607</v>
      </c>
      <c r="D2864" s="6" t="s">
        <v>607</v>
      </c>
      <c r="E2864" s="6" t="s">
        <v>607</v>
      </c>
      <c r="F2864" s="6" t="s">
        <v>607</v>
      </c>
      <c r="G2864" s="4" t="s">
        <v>607</v>
      </c>
      <c r="H2864" s="4" t="s">
        <v>607</v>
      </c>
      <c r="I2864" s="4" t="s">
        <v>607</v>
      </c>
      <c r="J2864" s="4" t="s">
        <v>607</v>
      </c>
      <c r="K2864" s="4" t="s">
        <v>607</v>
      </c>
      <c r="L2864" s="4" t="s">
        <v>607</v>
      </c>
      <c r="M2864" s="4" t="s">
        <v>607</v>
      </c>
      <c r="N2864" s="4" t="s">
        <v>607</v>
      </c>
      <c r="O2864" s="4"/>
      <c r="P2864" s="4"/>
      <c r="T2864" s="4"/>
    </row>
    <row r="2865">
      <c r="A2865" s="4" t="s">
        <v>6547</v>
      </c>
      <c r="B2865" s="4" t="s">
        <v>607</v>
      </c>
      <c r="C2865" s="6" t="s">
        <v>607</v>
      </c>
      <c r="D2865" s="6" t="s">
        <v>607</v>
      </c>
      <c r="E2865" s="6" t="s">
        <v>607</v>
      </c>
      <c r="F2865" s="6" t="s">
        <v>607</v>
      </c>
      <c r="G2865" s="4" t="s">
        <v>607</v>
      </c>
      <c r="H2865" s="4" t="s">
        <v>607</v>
      </c>
      <c r="I2865" s="4" t="s">
        <v>607</v>
      </c>
      <c r="J2865" s="4" t="s">
        <v>607</v>
      </c>
      <c r="K2865" s="4" t="s">
        <v>607</v>
      </c>
      <c r="L2865" s="4" t="s">
        <v>607</v>
      </c>
      <c r="M2865" s="4" t="s">
        <v>607</v>
      </c>
      <c r="N2865" s="4" t="s">
        <v>607</v>
      </c>
      <c r="O2865" s="4"/>
      <c r="P2865" s="4"/>
      <c r="T2865" s="4"/>
    </row>
    <row r="2866">
      <c r="A2866" s="4" t="s">
        <v>6549</v>
      </c>
      <c r="B2866" s="4" t="s">
        <v>607</v>
      </c>
      <c r="C2866" s="6" t="s">
        <v>607</v>
      </c>
      <c r="D2866" s="6" t="s">
        <v>607</v>
      </c>
      <c r="E2866" s="6" t="s">
        <v>607</v>
      </c>
      <c r="F2866" s="6" t="s">
        <v>607</v>
      </c>
      <c r="G2866" s="4" t="s">
        <v>607</v>
      </c>
      <c r="H2866" s="4" t="s">
        <v>607</v>
      </c>
      <c r="I2866" s="4" t="s">
        <v>607</v>
      </c>
      <c r="J2866" s="4" t="s">
        <v>607</v>
      </c>
      <c r="K2866" s="4" t="s">
        <v>607</v>
      </c>
      <c r="L2866" s="4" t="s">
        <v>607</v>
      </c>
      <c r="M2866" s="4" t="s">
        <v>607</v>
      </c>
      <c r="N2866" s="4" t="s">
        <v>607</v>
      </c>
      <c r="O2866" s="4"/>
      <c r="P2866" s="4"/>
      <c r="T2866" s="4"/>
    </row>
    <row r="2867">
      <c r="A2867" s="4" t="s">
        <v>6550</v>
      </c>
      <c r="B2867" s="4" t="s">
        <v>607</v>
      </c>
      <c r="C2867" s="6" t="s">
        <v>607</v>
      </c>
      <c r="D2867" s="6" t="s">
        <v>607</v>
      </c>
      <c r="E2867" s="6" t="s">
        <v>607</v>
      </c>
      <c r="F2867" s="6" t="s">
        <v>607</v>
      </c>
      <c r="G2867" s="4" t="s">
        <v>607</v>
      </c>
      <c r="H2867" s="4" t="s">
        <v>607</v>
      </c>
      <c r="I2867" s="4" t="s">
        <v>607</v>
      </c>
      <c r="J2867" s="4" t="s">
        <v>607</v>
      </c>
      <c r="K2867" s="4" t="s">
        <v>607</v>
      </c>
      <c r="L2867" s="4" t="s">
        <v>607</v>
      </c>
      <c r="M2867" s="4" t="s">
        <v>607</v>
      </c>
      <c r="N2867" s="4" t="s">
        <v>607</v>
      </c>
      <c r="O2867" s="4"/>
      <c r="P2867" s="4"/>
      <c r="T2867" s="4"/>
    </row>
    <row r="2868">
      <c r="A2868" s="4" t="s">
        <v>6552</v>
      </c>
      <c r="B2868" s="4" t="s">
        <v>607</v>
      </c>
      <c r="C2868" s="6" t="s">
        <v>607</v>
      </c>
      <c r="D2868" s="6" t="s">
        <v>607</v>
      </c>
      <c r="E2868" s="6" t="s">
        <v>607</v>
      </c>
      <c r="F2868" s="6" t="s">
        <v>607</v>
      </c>
      <c r="G2868" s="4" t="s">
        <v>607</v>
      </c>
      <c r="H2868" s="4" t="s">
        <v>607</v>
      </c>
      <c r="I2868" s="4" t="s">
        <v>607</v>
      </c>
      <c r="J2868" s="4" t="s">
        <v>607</v>
      </c>
      <c r="K2868" s="4" t="s">
        <v>607</v>
      </c>
      <c r="L2868" s="4" t="s">
        <v>607</v>
      </c>
      <c r="M2868" s="4" t="s">
        <v>607</v>
      </c>
      <c r="N2868" s="4" t="s">
        <v>607</v>
      </c>
      <c r="O2868" s="4"/>
      <c r="P2868" s="4"/>
      <c r="T2868" s="4"/>
    </row>
    <row r="2869">
      <c r="A2869" s="4" t="s">
        <v>6553</v>
      </c>
      <c r="B2869" s="4" t="s">
        <v>607</v>
      </c>
      <c r="C2869" s="6" t="s">
        <v>607</v>
      </c>
      <c r="D2869" s="6" t="s">
        <v>607</v>
      </c>
      <c r="E2869" s="6" t="s">
        <v>607</v>
      </c>
      <c r="F2869" s="6" t="s">
        <v>607</v>
      </c>
      <c r="G2869" s="4" t="s">
        <v>607</v>
      </c>
      <c r="H2869" s="4" t="s">
        <v>607</v>
      </c>
      <c r="I2869" s="4" t="s">
        <v>607</v>
      </c>
      <c r="J2869" s="4" t="s">
        <v>607</v>
      </c>
      <c r="K2869" s="4" t="s">
        <v>607</v>
      </c>
      <c r="L2869" s="4" t="s">
        <v>607</v>
      </c>
      <c r="M2869" s="4" t="s">
        <v>607</v>
      </c>
      <c r="N2869" s="4" t="s">
        <v>607</v>
      </c>
      <c r="O2869" s="4"/>
      <c r="P2869" s="4"/>
      <c r="T2869" s="4"/>
    </row>
    <row r="2870">
      <c r="A2870" s="4" t="s">
        <v>6554</v>
      </c>
      <c r="B2870" s="4" t="s">
        <v>607</v>
      </c>
      <c r="C2870" s="6" t="s">
        <v>607</v>
      </c>
      <c r="D2870" s="6" t="s">
        <v>607</v>
      </c>
      <c r="E2870" s="6" t="s">
        <v>607</v>
      </c>
      <c r="F2870" s="6" t="s">
        <v>607</v>
      </c>
      <c r="G2870" s="4" t="s">
        <v>607</v>
      </c>
      <c r="H2870" s="4" t="s">
        <v>607</v>
      </c>
      <c r="I2870" s="4" t="s">
        <v>607</v>
      </c>
      <c r="J2870" s="4" t="s">
        <v>607</v>
      </c>
      <c r="K2870" s="4" t="s">
        <v>607</v>
      </c>
      <c r="L2870" s="4" t="s">
        <v>607</v>
      </c>
      <c r="M2870" s="4" t="s">
        <v>607</v>
      </c>
      <c r="N2870" s="4" t="s">
        <v>607</v>
      </c>
      <c r="O2870" s="4"/>
      <c r="P2870" s="4"/>
      <c r="T2870" s="4"/>
    </row>
    <row r="2871">
      <c r="A2871" s="4" t="s">
        <v>6555</v>
      </c>
      <c r="B2871" s="4" t="s">
        <v>607</v>
      </c>
      <c r="C2871" s="6" t="s">
        <v>607</v>
      </c>
      <c r="D2871" s="6" t="s">
        <v>607</v>
      </c>
      <c r="E2871" s="6" t="s">
        <v>607</v>
      </c>
      <c r="F2871" s="6" t="s">
        <v>607</v>
      </c>
      <c r="G2871" s="4" t="s">
        <v>607</v>
      </c>
      <c r="H2871" s="4" t="s">
        <v>607</v>
      </c>
      <c r="I2871" s="4" t="s">
        <v>607</v>
      </c>
      <c r="J2871" s="4" t="s">
        <v>607</v>
      </c>
      <c r="K2871" s="4" t="s">
        <v>607</v>
      </c>
      <c r="L2871" s="4" t="s">
        <v>607</v>
      </c>
      <c r="M2871" s="4" t="s">
        <v>607</v>
      </c>
      <c r="N2871" s="4" t="s">
        <v>607</v>
      </c>
      <c r="O2871" s="4"/>
      <c r="P2871" s="4"/>
      <c r="T2871" s="4"/>
    </row>
    <row r="2872">
      <c r="A2872" s="4" t="s">
        <v>6556</v>
      </c>
      <c r="B2872" s="4" t="s">
        <v>607</v>
      </c>
      <c r="C2872" s="6" t="s">
        <v>607</v>
      </c>
      <c r="D2872" s="6" t="s">
        <v>607</v>
      </c>
      <c r="E2872" s="6" t="s">
        <v>607</v>
      </c>
      <c r="F2872" s="6" t="s">
        <v>607</v>
      </c>
      <c r="G2872" s="4" t="s">
        <v>607</v>
      </c>
      <c r="H2872" s="4" t="s">
        <v>607</v>
      </c>
      <c r="I2872" s="4" t="s">
        <v>607</v>
      </c>
      <c r="J2872" s="4" t="s">
        <v>607</v>
      </c>
      <c r="K2872" s="4" t="s">
        <v>607</v>
      </c>
      <c r="L2872" s="4" t="s">
        <v>607</v>
      </c>
      <c r="M2872" s="4" t="s">
        <v>607</v>
      </c>
      <c r="N2872" s="4" t="s">
        <v>607</v>
      </c>
      <c r="O2872" s="4"/>
      <c r="P2872" s="4"/>
      <c r="T2872" s="4"/>
    </row>
    <row r="2873">
      <c r="A2873" s="4" t="s">
        <v>6557</v>
      </c>
      <c r="B2873" s="4" t="s">
        <v>607</v>
      </c>
      <c r="C2873" s="6" t="s">
        <v>607</v>
      </c>
      <c r="D2873" s="6" t="s">
        <v>607</v>
      </c>
      <c r="E2873" s="6" t="s">
        <v>607</v>
      </c>
      <c r="F2873" s="6" t="s">
        <v>607</v>
      </c>
      <c r="G2873" s="4" t="s">
        <v>607</v>
      </c>
      <c r="H2873" s="4" t="s">
        <v>607</v>
      </c>
      <c r="I2873" s="4" t="s">
        <v>607</v>
      </c>
      <c r="J2873" s="4" t="s">
        <v>607</v>
      </c>
      <c r="K2873" s="4" t="s">
        <v>607</v>
      </c>
      <c r="L2873" s="4" t="s">
        <v>607</v>
      </c>
      <c r="M2873" s="4" t="s">
        <v>607</v>
      </c>
      <c r="N2873" s="4" t="s">
        <v>607</v>
      </c>
      <c r="O2873" s="4"/>
      <c r="P2873" s="4"/>
      <c r="T2873" s="4"/>
    </row>
    <row r="2874">
      <c r="A2874" s="4" t="s">
        <v>6559</v>
      </c>
      <c r="B2874" s="4" t="s">
        <v>607</v>
      </c>
      <c r="C2874" s="6" t="s">
        <v>607</v>
      </c>
      <c r="D2874" s="6" t="s">
        <v>607</v>
      </c>
      <c r="E2874" s="6" t="s">
        <v>607</v>
      </c>
      <c r="F2874" s="6" t="s">
        <v>607</v>
      </c>
      <c r="G2874" s="4" t="s">
        <v>607</v>
      </c>
      <c r="H2874" s="4" t="s">
        <v>607</v>
      </c>
      <c r="I2874" s="4" t="s">
        <v>607</v>
      </c>
      <c r="J2874" s="4" t="s">
        <v>607</v>
      </c>
      <c r="K2874" s="4" t="s">
        <v>607</v>
      </c>
      <c r="L2874" s="4" t="s">
        <v>607</v>
      </c>
      <c r="M2874" s="4" t="s">
        <v>607</v>
      </c>
      <c r="N2874" s="4" t="s">
        <v>607</v>
      </c>
      <c r="O2874" s="4"/>
      <c r="P2874" s="4"/>
      <c r="T2874" s="4"/>
    </row>
    <row r="2875">
      <c r="A2875" s="4" t="s">
        <v>6560</v>
      </c>
      <c r="B2875" s="4" t="s">
        <v>607</v>
      </c>
      <c r="C2875" s="6" t="s">
        <v>607</v>
      </c>
      <c r="D2875" s="6" t="s">
        <v>607</v>
      </c>
      <c r="E2875" s="6" t="s">
        <v>607</v>
      </c>
      <c r="F2875" s="6" t="s">
        <v>607</v>
      </c>
      <c r="G2875" s="4" t="s">
        <v>607</v>
      </c>
      <c r="H2875" s="4" t="s">
        <v>607</v>
      </c>
      <c r="I2875" s="4" t="s">
        <v>607</v>
      </c>
      <c r="J2875" s="4" t="s">
        <v>607</v>
      </c>
      <c r="K2875" s="4" t="s">
        <v>607</v>
      </c>
      <c r="L2875" s="4" t="s">
        <v>607</v>
      </c>
      <c r="M2875" s="4" t="s">
        <v>607</v>
      </c>
      <c r="N2875" s="4" t="s">
        <v>607</v>
      </c>
      <c r="O2875" s="4"/>
      <c r="P2875" s="4"/>
      <c r="T2875" s="4"/>
    </row>
    <row r="2876">
      <c r="A2876" s="4" t="s">
        <v>6564</v>
      </c>
      <c r="B2876" s="4" t="s">
        <v>607</v>
      </c>
      <c r="C2876" s="6" t="s">
        <v>607</v>
      </c>
      <c r="D2876" s="6" t="s">
        <v>607</v>
      </c>
      <c r="E2876" s="6" t="s">
        <v>607</v>
      </c>
      <c r="F2876" s="6" t="s">
        <v>607</v>
      </c>
      <c r="G2876" s="4" t="s">
        <v>607</v>
      </c>
      <c r="H2876" s="4" t="s">
        <v>607</v>
      </c>
      <c r="I2876" s="4" t="s">
        <v>607</v>
      </c>
      <c r="J2876" s="4" t="s">
        <v>607</v>
      </c>
      <c r="K2876" s="4" t="s">
        <v>607</v>
      </c>
      <c r="L2876" s="4" t="s">
        <v>607</v>
      </c>
      <c r="M2876" s="4" t="s">
        <v>607</v>
      </c>
      <c r="N2876" s="4" t="s">
        <v>607</v>
      </c>
      <c r="O2876" s="4"/>
      <c r="P2876" s="4"/>
      <c r="T2876" s="4"/>
    </row>
    <row r="2877">
      <c r="A2877" s="4" t="s">
        <v>6565</v>
      </c>
      <c r="B2877" s="4" t="s">
        <v>607</v>
      </c>
      <c r="C2877" s="6" t="s">
        <v>607</v>
      </c>
      <c r="D2877" s="6" t="s">
        <v>607</v>
      </c>
      <c r="E2877" s="6" t="s">
        <v>607</v>
      </c>
      <c r="F2877" s="6" t="s">
        <v>607</v>
      </c>
      <c r="G2877" s="4" t="s">
        <v>607</v>
      </c>
      <c r="H2877" s="4" t="s">
        <v>607</v>
      </c>
      <c r="I2877" s="4" t="s">
        <v>607</v>
      </c>
      <c r="J2877" s="4" t="s">
        <v>607</v>
      </c>
      <c r="K2877" s="4" t="s">
        <v>607</v>
      </c>
      <c r="L2877" s="4" t="s">
        <v>607</v>
      </c>
      <c r="M2877" s="4" t="s">
        <v>607</v>
      </c>
      <c r="N2877" s="4" t="s">
        <v>607</v>
      </c>
      <c r="O2877" s="4"/>
      <c r="P2877" s="4"/>
      <c r="T2877" s="4"/>
    </row>
    <row r="2878">
      <c r="A2878" s="4" t="s">
        <v>6566</v>
      </c>
      <c r="B2878" s="4" t="s">
        <v>607</v>
      </c>
      <c r="C2878" s="6" t="s">
        <v>607</v>
      </c>
      <c r="D2878" s="6" t="s">
        <v>607</v>
      </c>
      <c r="E2878" s="6" t="s">
        <v>607</v>
      </c>
      <c r="F2878" s="6" t="s">
        <v>607</v>
      </c>
      <c r="G2878" s="4" t="s">
        <v>607</v>
      </c>
      <c r="H2878" s="4" t="s">
        <v>607</v>
      </c>
      <c r="I2878" s="4" t="s">
        <v>607</v>
      </c>
      <c r="J2878" s="4" t="s">
        <v>607</v>
      </c>
      <c r="K2878" s="4" t="s">
        <v>607</v>
      </c>
      <c r="L2878" s="4" t="s">
        <v>607</v>
      </c>
      <c r="M2878" s="4" t="s">
        <v>607</v>
      </c>
      <c r="N2878" s="4" t="s">
        <v>607</v>
      </c>
      <c r="O2878" s="4"/>
      <c r="P2878" s="4"/>
      <c r="T2878" s="4"/>
    </row>
    <row r="2879">
      <c r="A2879" s="4" t="s">
        <v>6570</v>
      </c>
      <c r="B2879" s="4" t="s">
        <v>607</v>
      </c>
      <c r="C2879" s="6" t="s">
        <v>607</v>
      </c>
      <c r="D2879" s="6" t="s">
        <v>607</v>
      </c>
      <c r="E2879" s="6" t="s">
        <v>607</v>
      </c>
      <c r="F2879" s="6" t="s">
        <v>607</v>
      </c>
      <c r="G2879" s="4" t="s">
        <v>607</v>
      </c>
      <c r="H2879" s="4" t="s">
        <v>607</v>
      </c>
      <c r="I2879" s="4" t="s">
        <v>607</v>
      </c>
      <c r="J2879" s="4" t="s">
        <v>607</v>
      </c>
      <c r="K2879" s="4" t="s">
        <v>607</v>
      </c>
      <c r="L2879" s="4" t="s">
        <v>607</v>
      </c>
      <c r="M2879" s="4" t="s">
        <v>607</v>
      </c>
      <c r="N2879" s="4" t="s">
        <v>607</v>
      </c>
      <c r="O2879" s="4"/>
      <c r="P2879" s="4"/>
      <c r="T2879" s="4"/>
    </row>
    <row r="2880">
      <c r="A2880" s="4" t="s">
        <v>6572</v>
      </c>
      <c r="B2880" s="4" t="s">
        <v>607</v>
      </c>
      <c r="C2880" s="6" t="s">
        <v>607</v>
      </c>
      <c r="D2880" s="6" t="s">
        <v>607</v>
      </c>
      <c r="E2880" s="6" t="s">
        <v>607</v>
      </c>
      <c r="F2880" s="6" t="s">
        <v>607</v>
      </c>
      <c r="G2880" s="4" t="s">
        <v>607</v>
      </c>
      <c r="H2880" s="4" t="s">
        <v>607</v>
      </c>
      <c r="I2880" s="4" t="s">
        <v>607</v>
      </c>
      <c r="J2880" s="4" t="s">
        <v>607</v>
      </c>
      <c r="K2880" s="4" t="s">
        <v>607</v>
      </c>
      <c r="L2880" s="4" t="s">
        <v>607</v>
      </c>
      <c r="M2880" s="4" t="s">
        <v>607</v>
      </c>
      <c r="N2880" s="4" t="s">
        <v>607</v>
      </c>
      <c r="O2880" s="4"/>
      <c r="P2880" s="4"/>
      <c r="T2880" s="4"/>
    </row>
    <row r="2881">
      <c r="A2881" s="4" t="s">
        <v>6573</v>
      </c>
      <c r="B2881" s="4" t="s">
        <v>607</v>
      </c>
      <c r="C2881" s="6" t="s">
        <v>607</v>
      </c>
      <c r="D2881" s="6" t="s">
        <v>607</v>
      </c>
      <c r="E2881" s="6" t="s">
        <v>607</v>
      </c>
      <c r="F2881" s="6" t="s">
        <v>607</v>
      </c>
      <c r="G2881" s="4" t="s">
        <v>607</v>
      </c>
      <c r="H2881" s="4" t="s">
        <v>607</v>
      </c>
      <c r="I2881" s="4" t="s">
        <v>607</v>
      </c>
      <c r="J2881" s="4" t="s">
        <v>607</v>
      </c>
      <c r="K2881" s="4" t="s">
        <v>607</v>
      </c>
      <c r="L2881" s="4" t="s">
        <v>607</v>
      </c>
      <c r="M2881" s="4" t="s">
        <v>607</v>
      </c>
      <c r="N2881" s="4" t="s">
        <v>607</v>
      </c>
      <c r="O2881" s="4"/>
      <c r="P2881" s="4"/>
      <c r="T2881" s="4"/>
    </row>
    <row r="2882">
      <c r="A2882" s="4" t="s">
        <v>6575</v>
      </c>
      <c r="B2882" s="4" t="s">
        <v>607</v>
      </c>
      <c r="C2882" s="6" t="s">
        <v>607</v>
      </c>
      <c r="D2882" s="6" t="s">
        <v>607</v>
      </c>
      <c r="E2882" s="6" t="s">
        <v>607</v>
      </c>
      <c r="F2882" s="6" t="s">
        <v>607</v>
      </c>
      <c r="G2882" s="4" t="s">
        <v>607</v>
      </c>
      <c r="H2882" s="4" t="s">
        <v>607</v>
      </c>
      <c r="I2882" s="4" t="s">
        <v>607</v>
      </c>
      <c r="J2882" s="4" t="s">
        <v>607</v>
      </c>
      <c r="K2882" s="4" t="s">
        <v>607</v>
      </c>
      <c r="L2882" s="4" t="s">
        <v>607</v>
      </c>
      <c r="M2882" s="4" t="s">
        <v>607</v>
      </c>
      <c r="N2882" s="4" t="s">
        <v>607</v>
      </c>
      <c r="O2882" s="4"/>
      <c r="P2882" s="4"/>
      <c r="T2882" s="4"/>
    </row>
    <row r="2883">
      <c r="A2883" s="4" t="s">
        <v>6579</v>
      </c>
      <c r="B2883" s="4" t="s">
        <v>607</v>
      </c>
      <c r="C2883" s="6" t="s">
        <v>607</v>
      </c>
      <c r="D2883" s="6" t="s">
        <v>607</v>
      </c>
      <c r="E2883" s="6" t="s">
        <v>607</v>
      </c>
      <c r="F2883" s="6" t="s">
        <v>607</v>
      </c>
      <c r="G2883" s="4" t="s">
        <v>607</v>
      </c>
      <c r="H2883" s="4" t="s">
        <v>607</v>
      </c>
      <c r="I2883" s="4" t="s">
        <v>607</v>
      </c>
      <c r="J2883" s="4" t="s">
        <v>607</v>
      </c>
      <c r="K2883" s="4" t="s">
        <v>607</v>
      </c>
      <c r="L2883" s="4" t="s">
        <v>607</v>
      </c>
      <c r="M2883" s="4" t="s">
        <v>607</v>
      </c>
      <c r="N2883" s="4" t="s">
        <v>607</v>
      </c>
      <c r="O2883" s="4"/>
      <c r="P2883" s="4"/>
      <c r="T2883" s="4"/>
    </row>
    <row r="2884">
      <c r="A2884" s="4" t="s">
        <v>6580</v>
      </c>
      <c r="B2884" s="4" t="s">
        <v>607</v>
      </c>
      <c r="C2884" s="6" t="s">
        <v>607</v>
      </c>
      <c r="D2884" s="6" t="s">
        <v>607</v>
      </c>
      <c r="E2884" s="6" t="s">
        <v>607</v>
      </c>
      <c r="F2884" s="6" t="s">
        <v>607</v>
      </c>
      <c r="G2884" s="4" t="s">
        <v>607</v>
      </c>
      <c r="H2884" s="4" t="s">
        <v>607</v>
      </c>
      <c r="I2884" s="4" t="s">
        <v>607</v>
      </c>
      <c r="J2884" s="4" t="s">
        <v>607</v>
      </c>
      <c r="K2884" s="4" t="s">
        <v>607</v>
      </c>
      <c r="L2884" s="4" t="s">
        <v>607</v>
      </c>
      <c r="M2884" s="4" t="s">
        <v>607</v>
      </c>
      <c r="N2884" s="4" t="s">
        <v>607</v>
      </c>
      <c r="O2884" s="4"/>
      <c r="P2884" s="4"/>
      <c r="T2884" s="4"/>
    </row>
    <row r="2885">
      <c r="A2885" s="4" t="s">
        <v>6584</v>
      </c>
      <c r="B2885" s="4" t="s">
        <v>607</v>
      </c>
      <c r="C2885" s="6" t="s">
        <v>607</v>
      </c>
      <c r="D2885" s="6" t="s">
        <v>607</v>
      </c>
      <c r="E2885" s="6" t="s">
        <v>607</v>
      </c>
      <c r="F2885" s="6" t="s">
        <v>607</v>
      </c>
      <c r="G2885" s="4" t="s">
        <v>607</v>
      </c>
      <c r="H2885" s="4" t="s">
        <v>607</v>
      </c>
      <c r="I2885" s="4" t="s">
        <v>607</v>
      </c>
      <c r="J2885" s="4" t="s">
        <v>607</v>
      </c>
      <c r="K2885" s="4" t="s">
        <v>607</v>
      </c>
      <c r="L2885" s="4" t="s">
        <v>607</v>
      </c>
      <c r="M2885" s="4" t="s">
        <v>607</v>
      </c>
      <c r="N2885" s="4" t="s">
        <v>607</v>
      </c>
      <c r="O2885" s="4"/>
      <c r="P2885" s="4"/>
      <c r="T2885" s="4"/>
    </row>
    <row r="2886">
      <c r="A2886" s="4" t="s">
        <v>6587</v>
      </c>
      <c r="B2886" s="4" t="s">
        <v>607</v>
      </c>
      <c r="C2886" s="6" t="s">
        <v>607</v>
      </c>
      <c r="D2886" s="6" t="s">
        <v>607</v>
      </c>
      <c r="E2886" s="6" t="s">
        <v>607</v>
      </c>
      <c r="F2886" s="6" t="s">
        <v>607</v>
      </c>
      <c r="G2886" s="4" t="s">
        <v>607</v>
      </c>
      <c r="H2886" s="4" t="s">
        <v>607</v>
      </c>
      <c r="I2886" s="4" t="s">
        <v>607</v>
      </c>
      <c r="J2886" s="4" t="s">
        <v>607</v>
      </c>
      <c r="K2886" s="4" t="s">
        <v>607</v>
      </c>
      <c r="L2886" s="4" t="s">
        <v>607</v>
      </c>
      <c r="M2886" s="4" t="s">
        <v>607</v>
      </c>
      <c r="N2886" s="4" t="s">
        <v>607</v>
      </c>
      <c r="O2886" s="4"/>
      <c r="P2886" s="4"/>
      <c r="T2886" s="4"/>
    </row>
    <row r="2887">
      <c r="A2887" s="4" t="s">
        <v>6588</v>
      </c>
      <c r="B2887" s="4" t="s">
        <v>607</v>
      </c>
      <c r="C2887" s="6" t="s">
        <v>607</v>
      </c>
      <c r="D2887" s="6" t="s">
        <v>607</v>
      </c>
      <c r="E2887" s="6" t="s">
        <v>607</v>
      </c>
      <c r="F2887" s="6" t="s">
        <v>607</v>
      </c>
      <c r="G2887" s="4" t="s">
        <v>607</v>
      </c>
      <c r="H2887" s="4" t="s">
        <v>607</v>
      </c>
      <c r="I2887" s="4" t="s">
        <v>607</v>
      </c>
      <c r="J2887" s="4" t="s">
        <v>607</v>
      </c>
      <c r="K2887" s="4" t="s">
        <v>607</v>
      </c>
      <c r="L2887" s="4" t="s">
        <v>607</v>
      </c>
      <c r="M2887" s="4" t="s">
        <v>607</v>
      </c>
      <c r="N2887" s="4" t="s">
        <v>607</v>
      </c>
      <c r="O2887" s="4"/>
      <c r="P2887" s="4"/>
      <c r="T2887" s="4"/>
    </row>
    <row r="2888">
      <c r="A2888" s="4" t="s">
        <v>6594</v>
      </c>
      <c r="B2888" s="4" t="s">
        <v>607</v>
      </c>
      <c r="C2888" s="6" t="s">
        <v>607</v>
      </c>
      <c r="D2888" s="6" t="s">
        <v>607</v>
      </c>
      <c r="E2888" s="6" t="s">
        <v>607</v>
      </c>
      <c r="F2888" s="6" t="s">
        <v>607</v>
      </c>
      <c r="G2888" s="4" t="s">
        <v>607</v>
      </c>
      <c r="H2888" s="4" t="s">
        <v>607</v>
      </c>
      <c r="I2888" s="4" t="s">
        <v>607</v>
      </c>
      <c r="J2888" s="4" t="s">
        <v>607</v>
      </c>
      <c r="K2888" s="4" t="s">
        <v>607</v>
      </c>
      <c r="L2888" s="4" t="s">
        <v>607</v>
      </c>
      <c r="M2888" s="4" t="s">
        <v>607</v>
      </c>
      <c r="N2888" s="4" t="s">
        <v>607</v>
      </c>
      <c r="O2888" s="4"/>
      <c r="P2888" s="4"/>
      <c r="T2888" s="4"/>
    </row>
    <row r="2889">
      <c r="A2889" s="4" t="s">
        <v>6595</v>
      </c>
      <c r="B2889" s="4" t="s">
        <v>607</v>
      </c>
      <c r="C2889" s="6" t="s">
        <v>607</v>
      </c>
      <c r="D2889" s="6" t="s">
        <v>607</v>
      </c>
      <c r="E2889" s="6" t="s">
        <v>607</v>
      </c>
      <c r="F2889" s="6" t="s">
        <v>607</v>
      </c>
      <c r="G2889" s="4" t="s">
        <v>607</v>
      </c>
      <c r="H2889" s="4" t="s">
        <v>607</v>
      </c>
      <c r="I2889" s="4" t="s">
        <v>607</v>
      </c>
      <c r="J2889" s="4" t="s">
        <v>607</v>
      </c>
      <c r="K2889" s="4" t="s">
        <v>607</v>
      </c>
      <c r="L2889" s="4" t="s">
        <v>607</v>
      </c>
      <c r="M2889" s="4" t="s">
        <v>607</v>
      </c>
      <c r="N2889" s="4" t="s">
        <v>607</v>
      </c>
      <c r="O2889" s="4"/>
      <c r="P2889" s="4"/>
      <c r="T2889" s="4"/>
    </row>
    <row r="2890">
      <c r="A2890" s="4" t="s">
        <v>6598</v>
      </c>
      <c r="B2890" s="4" t="s">
        <v>607</v>
      </c>
      <c r="C2890" s="6" t="s">
        <v>607</v>
      </c>
      <c r="D2890" s="6" t="s">
        <v>607</v>
      </c>
      <c r="E2890" s="6" t="s">
        <v>607</v>
      </c>
      <c r="F2890" s="6" t="s">
        <v>607</v>
      </c>
      <c r="G2890" s="4" t="s">
        <v>607</v>
      </c>
      <c r="H2890" s="4" t="s">
        <v>607</v>
      </c>
      <c r="I2890" s="4" t="s">
        <v>607</v>
      </c>
      <c r="J2890" s="4" t="s">
        <v>607</v>
      </c>
      <c r="K2890" s="4" t="s">
        <v>607</v>
      </c>
      <c r="L2890" s="4" t="s">
        <v>607</v>
      </c>
      <c r="M2890" s="4" t="s">
        <v>607</v>
      </c>
      <c r="N2890" s="4" t="s">
        <v>607</v>
      </c>
      <c r="O2890" s="4"/>
      <c r="P2890" s="4"/>
      <c r="T2890" s="4"/>
    </row>
    <row r="2891">
      <c r="A2891" s="4" t="s">
        <v>6599</v>
      </c>
      <c r="B2891" s="4" t="s">
        <v>607</v>
      </c>
      <c r="C2891" s="6" t="s">
        <v>607</v>
      </c>
      <c r="D2891" s="6" t="s">
        <v>607</v>
      </c>
      <c r="E2891" s="6" t="s">
        <v>607</v>
      </c>
      <c r="F2891" s="6" t="s">
        <v>607</v>
      </c>
      <c r="G2891" s="4" t="s">
        <v>607</v>
      </c>
      <c r="H2891" s="4" t="s">
        <v>607</v>
      </c>
      <c r="I2891" s="4" t="s">
        <v>607</v>
      </c>
      <c r="J2891" s="4" t="s">
        <v>607</v>
      </c>
      <c r="K2891" s="4" t="s">
        <v>607</v>
      </c>
      <c r="L2891" s="4" t="s">
        <v>607</v>
      </c>
      <c r="M2891" s="4" t="s">
        <v>607</v>
      </c>
      <c r="N2891" s="4" t="s">
        <v>607</v>
      </c>
      <c r="O2891" s="4"/>
      <c r="P2891" s="4"/>
      <c r="T2891" s="4"/>
    </row>
    <row r="2892">
      <c r="A2892" s="4" t="s">
        <v>6603</v>
      </c>
      <c r="B2892" s="4" t="s">
        <v>607</v>
      </c>
      <c r="C2892" s="6" t="s">
        <v>607</v>
      </c>
      <c r="D2892" s="6" t="s">
        <v>607</v>
      </c>
      <c r="E2892" s="6" t="s">
        <v>607</v>
      </c>
      <c r="F2892" s="6" t="s">
        <v>607</v>
      </c>
      <c r="G2892" s="4" t="s">
        <v>607</v>
      </c>
      <c r="H2892" s="4" t="s">
        <v>607</v>
      </c>
      <c r="I2892" s="4" t="s">
        <v>607</v>
      </c>
      <c r="J2892" s="4" t="s">
        <v>607</v>
      </c>
      <c r="K2892" s="4" t="s">
        <v>607</v>
      </c>
      <c r="L2892" s="4" t="s">
        <v>607</v>
      </c>
      <c r="M2892" s="4" t="s">
        <v>607</v>
      </c>
      <c r="N2892" s="4" t="s">
        <v>607</v>
      </c>
      <c r="O2892" s="4"/>
      <c r="P2892" s="4"/>
      <c r="T2892" s="4"/>
    </row>
    <row r="2893">
      <c r="A2893" s="4" t="s">
        <v>6604</v>
      </c>
      <c r="B2893" s="4" t="s">
        <v>607</v>
      </c>
      <c r="C2893" s="6" t="s">
        <v>607</v>
      </c>
      <c r="D2893" s="6" t="s">
        <v>607</v>
      </c>
      <c r="E2893" s="6" t="s">
        <v>607</v>
      </c>
      <c r="F2893" s="6" t="s">
        <v>607</v>
      </c>
      <c r="G2893" s="4" t="s">
        <v>607</v>
      </c>
      <c r="H2893" s="4" t="s">
        <v>607</v>
      </c>
      <c r="I2893" s="4" t="s">
        <v>607</v>
      </c>
      <c r="J2893" s="4" t="s">
        <v>607</v>
      </c>
      <c r="K2893" s="4" t="s">
        <v>607</v>
      </c>
      <c r="L2893" s="4" t="s">
        <v>607</v>
      </c>
      <c r="M2893" s="4" t="s">
        <v>607</v>
      </c>
      <c r="N2893" s="4" t="s">
        <v>607</v>
      </c>
      <c r="O2893" s="4"/>
      <c r="P2893" s="4"/>
      <c r="T2893" s="4"/>
    </row>
    <row r="2894">
      <c r="A2894" s="4" t="s">
        <v>6609</v>
      </c>
      <c r="B2894" s="4" t="s">
        <v>607</v>
      </c>
      <c r="C2894" s="6" t="s">
        <v>607</v>
      </c>
      <c r="D2894" s="6" t="s">
        <v>607</v>
      </c>
      <c r="E2894" s="6" t="s">
        <v>607</v>
      </c>
      <c r="F2894" s="6" t="s">
        <v>607</v>
      </c>
      <c r="G2894" s="4" t="s">
        <v>607</v>
      </c>
      <c r="H2894" s="4" t="s">
        <v>607</v>
      </c>
      <c r="I2894" s="4" t="s">
        <v>607</v>
      </c>
      <c r="J2894" s="4" t="s">
        <v>607</v>
      </c>
      <c r="K2894" s="4" t="s">
        <v>607</v>
      </c>
      <c r="L2894" s="4" t="s">
        <v>607</v>
      </c>
      <c r="M2894" s="4" t="s">
        <v>607</v>
      </c>
      <c r="N2894" s="4" t="s">
        <v>607</v>
      </c>
      <c r="O2894" s="4"/>
      <c r="P2894" s="4"/>
      <c r="T2894" s="4"/>
    </row>
    <row r="2895">
      <c r="A2895" s="4" t="s">
        <v>6611</v>
      </c>
      <c r="B2895" s="4" t="s">
        <v>607</v>
      </c>
      <c r="C2895" s="6" t="s">
        <v>607</v>
      </c>
      <c r="D2895" s="6" t="s">
        <v>607</v>
      </c>
      <c r="E2895" s="6" t="s">
        <v>607</v>
      </c>
      <c r="F2895" s="6" t="s">
        <v>607</v>
      </c>
      <c r="G2895" s="4" t="s">
        <v>607</v>
      </c>
      <c r="H2895" s="4" t="s">
        <v>607</v>
      </c>
      <c r="I2895" s="4" t="s">
        <v>607</v>
      </c>
      <c r="J2895" s="4" t="s">
        <v>607</v>
      </c>
      <c r="K2895" s="4" t="s">
        <v>607</v>
      </c>
      <c r="L2895" s="4" t="s">
        <v>607</v>
      </c>
      <c r="M2895" s="4" t="s">
        <v>607</v>
      </c>
      <c r="N2895" s="4" t="s">
        <v>607</v>
      </c>
      <c r="O2895" s="4"/>
      <c r="P2895" s="4"/>
      <c r="T2895" s="4"/>
    </row>
    <row r="2896">
      <c r="A2896" s="4" t="s">
        <v>6612</v>
      </c>
      <c r="B2896" s="4" t="s">
        <v>607</v>
      </c>
      <c r="C2896" s="6" t="s">
        <v>607</v>
      </c>
      <c r="D2896" s="6" t="s">
        <v>607</v>
      </c>
      <c r="E2896" s="6" t="s">
        <v>607</v>
      </c>
      <c r="F2896" s="6" t="s">
        <v>607</v>
      </c>
      <c r="G2896" s="4" t="s">
        <v>607</v>
      </c>
      <c r="H2896" s="4" t="s">
        <v>607</v>
      </c>
      <c r="I2896" s="4" t="s">
        <v>607</v>
      </c>
      <c r="J2896" s="4" t="s">
        <v>607</v>
      </c>
      <c r="K2896" s="4" t="s">
        <v>607</v>
      </c>
      <c r="L2896" s="4" t="s">
        <v>607</v>
      </c>
      <c r="M2896" s="4" t="s">
        <v>607</v>
      </c>
      <c r="N2896" s="4" t="s">
        <v>607</v>
      </c>
      <c r="O2896" s="4"/>
      <c r="P2896" s="4"/>
      <c r="T2896" s="4"/>
    </row>
    <row r="2897">
      <c r="A2897" s="4" t="s">
        <v>6614</v>
      </c>
      <c r="B2897" s="4" t="s">
        <v>607</v>
      </c>
      <c r="C2897" s="6" t="s">
        <v>607</v>
      </c>
      <c r="D2897" s="6" t="s">
        <v>607</v>
      </c>
      <c r="E2897" s="6" t="s">
        <v>607</v>
      </c>
      <c r="F2897" s="6" t="s">
        <v>607</v>
      </c>
      <c r="G2897" s="4" t="s">
        <v>607</v>
      </c>
      <c r="H2897" s="4" t="s">
        <v>607</v>
      </c>
      <c r="I2897" s="4" t="s">
        <v>607</v>
      </c>
      <c r="J2897" s="4" t="s">
        <v>607</v>
      </c>
      <c r="K2897" s="4" t="s">
        <v>607</v>
      </c>
      <c r="L2897" s="4" t="s">
        <v>607</v>
      </c>
      <c r="M2897" s="4" t="s">
        <v>607</v>
      </c>
      <c r="N2897" s="4" t="s">
        <v>607</v>
      </c>
      <c r="O2897" s="4"/>
      <c r="P2897" s="4"/>
      <c r="T2897" s="4"/>
    </row>
    <row r="2898">
      <c r="A2898" s="4" t="s">
        <v>6617</v>
      </c>
      <c r="B2898" s="4" t="s">
        <v>607</v>
      </c>
      <c r="C2898" s="6" t="s">
        <v>607</v>
      </c>
      <c r="D2898" s="6" t="s">
        <v>607</v>
      </c>
      <c r="E2898" s="6" t="s">
        <v>607</v>
      </c>
      <c r="F2898" s="6" t="s">
        <v>607</v>
      </c>
      <c r="G2898" s="4" t="s">
        <v>607</v>
      </c>
      <c r="H2898" s="4" t="s">
        <v>607</v>
      </c>
      <c r="I2898" s="4" t="s">
        <v>607</v>
      </c>
      <c r="J2898" s="4" t="s">
        <v>607</v>
      </c>
      <c r="K2898" s="4" t="s">
        <v>607</v>
      </c>
      <c r="L2898" s="4" t="s">
        <v>607</v>
      </c>
      <c r="M2898" s="4" t="s">
        <v>607</v>
      </c>
      <c r="N2898" s="4" t="s">
        <v>607</v>
      </c>
      <c r="O2898" s="4"/>
      <c r="P2898" s="4"/>
      <c r="T2898" s="4"/>
    </row>
    <row r="2899">
      <c r="A2899" s="4" t="s">
        <v>6618</v>
      </c>
      <c r="B2899" s="4" t="s">
        <v>607</v>
      </c>
      <c r="C2899" s="6" t="s">
        <v>607</v>
      </c>
      <c r="D2899" s="6" t="s">
        <v>607</v>
      </c>
      <c r="E2899" s="6" t="s">
        <v>607</v>
      </c>
      <c r="F2899" s="6" t="s">
        <v>607</v>
      </c>
      <c r="G2899" s="4" t="s">
        <v>607</v>
      </c>
      <c r="H2899" s="4" t="s">
        <v>607</v>
      </c>
      <c r="I2899" s="4" t="s">
        <v>607</v>
      </c>
      <c r="J2899" s="4" t="s">
        <v>607</v>
      </c>
      <c r="K2899" s="4" t="s">
        <v>607</v>
      </c>
      <c r="L2899" s="4" t="s">
        <v>607</v>
      </c>
      <c r="M2899" s="4" t="s">
        <v>607</v>
      </c>
      <c r="N2899" s="4" t="s">
        <v>607</v>
      </c>
      <c r="O2899" s="4"/>
      <c r="P2899" s="4"/>
      <c r="T2899" s="4"/>
    </row>
    <row r="2900">
      <c r="A2900" s="4" t="s">
        <v>6619</v>
      </c>
      <c r="B2900" s="4" t="s">
        <v>607</v>
      </c>
      <c r="C2900" s="6" t="s">
        <v>607</v>
      </c>
      <c r="D2900" s="6" t="s">
        <v>607</v>
      </c>
      <c r="E2900" s="6" t="s">
        <v>607</v>
      </c>
      <c r="F2900" s="6" t="s">
        <v>607</v>
      </c>
      <c r="G2900" s="4" t="s">
        <v>607</v>
      </c>
      <c r="H2900" s="4" t="s">
        <v>607</v>
      </c>
      <c r="I2900" s="4" t="s">
        <v>607</v>
      </c>
      <c r="J2900" s="4" t="s">
        <v>607</v>
      </c>
      <c r="K2900" s="4" t="s">
        <v>607</v>
      </c>
      <c r="L2900" s="4" t="s">
        <v>607</v>
      </c>
      <c r="M2900" s="4" t="s">
        <v>607</v>
      </c>
      <c r="N2900" s="4" t="s">
        <v>607</v>
      </c>
      <c r="O2900" s="4"/>
      <c r="P2900" s="4"/>
      <c r="T2900" s="4"/>
    </row>
    <row r="2901">
      <c r="A2901" s="4" t="s">
        <v>6620</v>
      </c>
      <c r="B2901" s="4" t="s">
        <v>607</v>
      </c>
      <c r="C2901" s="6" t="s">
        <v>607</v>
      </c>
      <c r="D2901" s="6" t="s">
        <v>607</v>
      </c>
      <c r="E2901" s="6" t="s">
        <v>607</v>
      </c>
      <c r="F2901" s="6" t="s">
        <v>607</v>
      </c>
      <c r="G2901" s="4" t="s">
        <v>607</v>
      </c>
      <c r="H2901" s="4" t="s">
        <v>607</v>
      </c>
      <c r="I2901" s="4" t="s">
        <v>607</v>
      </c>
      <c r="J2901" s="4" t="s">
        <v>607</v>
      </c>
      <c r="K2901" s="4" t="s">
        <v>607</v>
      </c>
      <c r="L2901" s="4" t="s">
        <v>607</v>
      </c>
      <c r="M2901" s="4" t="s">
        <v>607</v>
      </c>
      <c r="N2901" s="4" t="s">
        <v>607</v>
      </c>
      <c r="O2901" s="4"/>
      <c r="P2901" s="4"/>
      <c r="T2901" s="4"/>
    </row>
    <row r="2902">
      <c r="A2902" s="4" t="s">
        <v>6621</v>
      </c>
      <c r="B2902" s="4" t="s">
        <v>607</v>
      </c>
      <c r="C2902" s="6" t="s">
        <v>607</v>
      </c>
      <c r="D2902" s="6" t="s">
        <v>607</v>
      </c>
      <c r="E2902" s="6" t="s">
        <v>607</v>
      </c>
      <c r="F2902" s="6" t="s">
        <v>607</v>
      </c>
      <c r="G2902" s="4" t="s">
        <v>607</v>
      </c>
      <c r="H2902" s="4" t="s">
        <v>607</v>
      </c>
      <c r="I2902" s="4" t="s">
        <v>607</v>
      </c>
      <c r="J2902" s="4" t="s">
        <v>607</v>
      </c>
      <c r="K2902" s="4" t="s">
        <v>607</v>
      </c>
      <c r="L2902" s="4" t="s">
        <v>607</v>
      </c>
      <c r="M2902" s="4" t="s">
        <v>607</v>
      </c>
      <c r="N2902" s="4" t="s">
        <v>607</v>
      </c>
      <c r="O2902" s="4"/>
      <c r="P2902" s="4"/>
      <c r="T2902" s="4"/>
    </row>
    <row r="2903">
      <c r="A2903" s="4" t="s">
        <v>6622</v>
      </c>
      <c r="B2903" s="4" t="s">
        <v>607</v>
      </c>
      <c r="C2903" s="6" t="s">
        <v>607</v>
      </c>
      <c r="D2903" s="6" t="s">
        <v>607</v>
      </c>
      <c r="E2903" s="6" t="s">
        <v>607</v>
      </c>
      <c r="F2903" s="6" t="s">
        <v>607</v>
      </c>
      <c r="G2903" s="4" t="s">
        <v>607</v>
      </c>
      <c r="H2903" s="4" t="s">
        <v>607</v>
      </c>
      <c r="I2903" s="4" t="s">
        <v>607</v>
      </c>
      <c r="J2903" s="4" t="s">
        <v>607</v>
      </c>
      <c r="K2903" s="4" t="s">
        <v>607</v>
      </c>
      <c r="L2903" s="4" t="s">
        <v>607</v>
      </c>
      <c r="M2903" s="4" t="s">
        <v>607</v>
      </c>
      <c r="N2903" s="4" t="s">
        <v>607</v>
      </c>
      <c r="O2903" s="4"/>
      <c r="P2903" s="4"/>
      <c r="T2903" s="4"/>
    </row>
    <row r="2904">
      <c r="A2904" s="4" t="s">
        <v>6624</v>
      </c>
      <c r="B2904" s="4" t="s">
        <v>607</v>
      </c>
      <c r="C2904" s="6" t="s">
        <v>607</v>
      </c>
      <c r="D2904" s="6" t="s">
        <v>607</v>
      </c>
      <c r="E2904" s="6" t="s">
        <v>607</v>
      </c>
      <c r="F2904" s="6" t="s">
        <v>607</v>
      </c>
      <c r="G2904" s="4" t="s">
        <v>607</v>
      </c>
      <c r="H2904" s="4" t="s">
        <v>607</v>
      </c>
      <c r="I2904" s="4" t="s">
        <v>607</v>
      </c>
      <c r="J2904" s="4" t="s">
        <v>607</v>
      </c>
      <c r="K2904" s="4" t="s">
        <v>607</v>
      </c>
      <c r="L2904" s="4" t="s">
        <v>607</v>
      </c>
      <c r="M2904" s="4" t="s">
        <v>607</v>
      </c>
      <c r="N2904" s="4" t="s">
        <v>607</v>
      </c>
      <c r="O2904" s="4"/>
      <c r="P2904" s="4"/>
      <c r="T2904" s="4"/>
    </row>
    <row r="2905">
      <c r="A2905" s="4" t="s">
        <v>6625</v>
      </c>
      <c r="B2905" s="4" t="s">
        <v>607</v>
      </c>
      <c r="C2905" s="6" t="s">
        <v>607</v>
      </c>
      <c r="D2905" s="6" t="s">
        <v>607</v>
      </c>
      <c r="E2905" s="6" t="s">
        <v>607</v>
      </c>
      <c r="F2905" s="6" t="s">
        <v>607</v>
      </c>
      <c r="G2905" s="4" t="s">
        <v>607</v>
      </c>
      <c r="H2905" s="4" t="s">
        <v>607</v>
      </c>
      <c r="I2905" s="4" t="s">
        <v>607</v>
      </c>
      <c r="J2905" s="4" t="s">
        <v>607</v>
      </c>
      <c r="K2905" s="4" t="s">
        <v>607</v>
      </c>
      <c r="L2905" s="4" t="s">
        <v>607</v>
      </c>
      <c r="M2905" s="4" t="s">
        <v>607</v>
      </c>
      <c r="N2905" s="4" t="s">
        <v>607</v>
      </c>
      <c r="O2905" s="4"/>
      <c r="P2905" s="4"/>
      <c r="T2905" s="4"/>
    </row>
    <row r="2906">
      <c r="A2906" s="4" t="s">
        <v>6628</v>
      </c>
      <c r="B2906" s="4" t="s">
        <v>607</v>
      </c>
      <c r="C2906" s="6" t="s">
        <v>607</v>
      </c>
      <c r="D2906" s="6" t="s">
        <v>607</v>
      </c>
      <c r="E2906" s="6" t="s">
        <v>607</v>
      </c>
      <c r="F2906" s="6" t="s">
        <v>607</v>
      </c>
      <c r="G2906" s="4" t="s">
        <v>607</v>
      </c>
      <c r="H2906" s="4" t="s">
        <v>607</v>
      </c>
      <c r="I2906" s="4" t="s">
        <v>607</v>
      </c>
      <c r="J2906" s="4" t="s">
        <v>607</v>
      </c>
      <c r="K2906" s="4" t="s">
        <v>607</v>
      </c>
      <c r="L2906" s="4" t="s">
        <v>607</v>
      </c>
      <c r="M2906" s="4" t="s">
        <v>607</v>
      </c>
      <c r="N2906" s="4" t="s">
        <v>607</v>
      </c>
      <c r="O2906" s="4"/>
      <c r="P2906" s="4"/>
      <c r="T2906" s="4"/>
    </row>
    <row r="2907">
      <c r="A2907" s="4" t="s">
        <v>6629</v>
      </c>
      <c r="B2907" s="4" t="s">
        <v>607</v>
      </c>
      <c r="C2907" s="6" t="s">
        <v>607</v>
      </c>
      <c r="D2907" s="6" t="s">
        <v>607</v>
      </c>
      <c r="E2907" s="6" t="s">
        <v>607</v>
      </c>
      <c r="F2907" s="6" t="s">
        <v>607</v>
      </c>
      <c r="G2907" s="4" t="s">
        <v>607</v>
      </c>
      <c r="H2907" s="4" t="s">
        <v>607</v>
      </c>
      <c r="I2907" s="4" t="s">
        <v>607</v>
      </c>
      <c r="J2907" s="4" t="s">
        <v>607</v>
      </c>
      <c r="K2907" s="4" t="s">
        <v>607</v>
      </c>
      <c r="L2907" s="4" t="s">
        <v>607</v>
      </c>
      <c r="M2907" s="4" t="s">
        <v>607</v>
      </c>
      <c r="N2907" s="4" t="s">
        <v>607</v>
      </c>
      <c r="O2907" s="4"/>
      <c r="P2907" s="4"/>
      <c r="T2907" s="4"/>
    </row>
    <row r="2908">
      <c r="A2908" s="4" t="s">
        <v>6631</v>
      </c>
      <c r="B2908" s="4" t="s">
        <v>607</v>
      </c>
      <c r="C2908" s="6" t="s">
        <v>607</v>
      </c>
      <c r="D2908" s="6" t="s">
        <v>607</v>
      </c>
      <c r="E2908" s="6" t="s">
        <v>607</v>
      </c>
      <c r="F2908" s="6" t="s">
        <v>607</v>
      </c>
      <c r="G2908" s="4" t="s">
        <v>607</v>
      </c>
      <c r="H2908" s="4" t="s">
        <v>607</v>
      </c>
      <c r="I2908" s="4" t="s">
        <v>607</v>
      </c>
      <c r="J2908" s="4" t="s">
        <v>607</v>
      </c>
      <c r="K2908" s="4" t="s">
        <v>607</v>
      </c>
      <c r="L2908" s="4" t="s">
        <v>607</v>
      </c>
      <c r="M2908" s="4" t="s">
        <v>607</v>
      </c>
      <c r="N2908" s="4" t="s">
        <v>607</v>
      </c>
      <c r="O2908" s="4"/>
      <c r="P2908" s="4"/>
      <c r="T2908" s="4"/>
    </row>
    <row r="2909">
      <c r="A2909" s="4" t="s">
        <v>6632</v>
      </c>
      <c r="B2909" s="4" t="s">
        <v>607</v>
      </c>
      <c r="C2909" s="6" t="s">
        <v>607</v>
      </c>
      <c r="D2909" s="6" t="s">
        <v>607</v>
      </c>
      <c r="E2909" s="6" t="s">
        <v>607</v>
      </c>
      <c r="F2909" s="6" t="s">
        <v>607</v>
      </c>
      <c r="G2909" s="4" t="s">
        <v>607</v>
      </c>
      <c r="H2909" s="4" t="s">
        <v>607</v>
      </c>
      <c r="I2909" s="4" t="s">
        <v>607</v>
      </c>
      <c r="J2909" s="4" t="s">
        <v>607</v>
      </c>
      <c r="K2909" s="4" t="s">
        <v>607</v>
      </c>
      <c r="L2909" s="4" t="s">
        <v>607</v>
      </c>
      <c r="M2909" s="4" t="s">
        <v>607</v>
      </c>
      <c r="N2909" s="4" t="s">
        <v>607</v>
      </c>
      <c r="O2909" s="4"/>
      <c r="P2909" s="4"/>
      <c r="T2909" s="4"/>
    </row>
    <row r="2910">
      <c r="A2910" s="4" t="s">
        <v>6633</v>
      </c>
      <c r="B2910" s="4" t="s">
        <v>607</v>
      </c>
      <c r="C2910" s="6" t="s">
        <v>607</v>
      </c>
      <c r="D2910" s="6" t="s">
        <v>607</v>
      </c>
      <c r="E2910" s="6" t="s">
        <v>607</v>
      </c>
      <c r="F2910" s="6" t="s">
        <v>607</v>
      </c>
      <c r="G2910" s="4" t="s">
        <v>607</v>
      </c>
      <c r="H2910" s="4" t="s">
        <v>607</v>
      </c>
      <c r="I2910" s="4" t="s">
        <v>607</v>
      </c>
      <c r="J2910" s="4" t="s">
        <v>607</v>
      </c>
      <c r="K2910" s="4" t="s">
        <v>607</v>
      </c>
      <c r="L2910" s="4" t="s">
        <v>607</v>
      </c>
      <c r="M2910" s="4" t="s">
        <v>607</v>
      </c>
      <c r="N2910" s="4" t="s">
        <v>607</v>
      </c>
      <c r="O2910" s="4"/>
      <c r="P2910" s="4"/>
      <c r="T2910" s="4"/>
    </row>
    <row r="2911">
      <c r="A2911" s="4" t="s">
        <v>6634</v>
      </c>
      <c r="B2911" s="4" t="s">
        <v>607</v>
      </c>
      <c r="C2911" s="6" t="s">
        <v>607</v>
      </c>
      <c r="D2911" s="6" t="s">
        <v>607</v>
      </c>
      <c r="E2911" s="6" t="s">
        <v>607</v>
      </c>
      <c r="F2911" s="6" t="s">
        <v>607</v>
      </c>
      <c r="G2911" s="4" t="s">
        <v>607</v>
      </c>
      <c r="H2911" s="4" t="s">
        <v>607</v>
      </c>
      <c r="I2911" s="4" t="s">
        <v>607</v>
      </c>
      <c r="J2911" s="4" t="s">
        <v>607</v>
      </c>
      <c r="K2911" s="4" t="s">
        <v>607</v>
      </c>
      <c r="L2911" s="4" t="s">
        <v>607</v>
      </c>
      <c r="M2911" s="4" t="s">
        <v>607</v>
      </c>
      <c r="N2911" s="4" t="s">
        <v>607</v>
      </c>
      <c r="O2911" s="4"/>
      <c r="P2911" s="4"/>
      <c r="T2911" s="4"/>
    </row>
    <row r="2912">
      <c r="A2912" s="4" t="s">
        <v>6635</v>
      </c>
      <c r="B2912" s="4" t="s">
        <v>607</v>
      </c>
      <c r="C2912" s="6" t="s">
        <v>607</v>
      </c>
      <c r="D2912" s="6" t="s">
        <v>607</v>
      </c>
      <c r="E2912" s="6" t="s">
        <v>607</v>
      </c>
      <c r="F2912" s="6" t="s">
        <v>607</v>
      </c>
      <c r="G2912" s="4" t="s">
        <v>607</v>
      </c>
      <c r="H2912" s="4" t="s">
        <v>607</v>
      </c>
      <c r="I2912" s="4" t="s">
        <v>607</v>
      </c>
      <c r="J2912" s="4" t="s">
        <v>607</v>
      </c>
      <c r="K2912" s="4" t="s">
        <v>607</v>
      </c>
      <c r="L2912" s="4" t="s">
        <v>607</v>
      </c>
      <c r="M2912" s="4" t="s">
        <v>607</v>
      </c>
      <c r="N2912" s="4" t="s">
        <v>607</v>
      </c>
      <c r="O2912" s="4"/>
      <c r="P2912" s="4"/>
      <c r="T2912" s="4"/>
    </row>
    <row r="2913">
      <c r="A2913" s="4" t="s">
        <v>6637</v>
      </c>
      <c r="B2913" s="4" t="s">
        <v>607</v>
      </c>
      <c r="C2913" s="6" t="s">
        <v>607</v>
      </c>
      <c r="D2913" s="6" t="s">
        <v>607</v>
      </c>
      <c r="E2913" s="6" t="s">
        <v>607</v>
      </c>
      <c r="F2913" s="6" t="s">
        <v>607</v>
      </c>
      <c r="G2913" s="4" t="s">
        <v>607</v>
      </c>
      <c r="H2913" s="4" t="s">
        <v>607</v>
      </c>
      <c r="I2913" s="4" t="s">
        <v>607</v>
      </c>
      <c r="J2913" s="4" t="s">
        <v>607</v>
      </c>
      <c r="K2913" s="4" t="s">
        <v>607</v>
      </c>
      <c r="L2913" s="4" t="s">
        <v>607</v>
      </c>
      <c r="M2913" s="4" t="s">
        <v>607</v>
      </c>
      <c r="N2913" s="4" t="s">
        <v>607</v>
      </c>
      <c r="O2913" s="4"/>
      <c r="P2913" s="4"/>
      <c r="T2913" s="4"/>
    </row>
    <row r="2914">
      <c r="A2914" s="4" t="s">
        <v>6638</v>
      </c>
      <c r="B2914" s="4" t="s">
        <v>607</v>
      </c>
      <c r="C2914" s="6" t="s">
        <v>607</v>
      </c>
      <c r="D2914" s="6" t="s">
        <v>607</v>
      </c>
      <c r="E2914" s="6" t="s">
        <v>607</v>
      </c>
      <c r="F2914" s="6" t="s">
        <v>607</v>
      </c>
      <c r="G2914" s="4" t="s">
        <v>607</v>
      </c>
      <c r="H2914" s="4" t="s">
        <v>607</v>
      </c>
      <c r="I2914" s="4" t="s">
        <v>607</v>
      </c>
      <c r="J2914" s="4" t="s">
        <v>607</v>
      </c>
      <c r="K2914" s="4" t="s">
        <v>607</v>
      </c>
      <c r="L2914" s="4" t="s">
        <v>607</v>
      </c>
      <c r="M2914" s="4" t="s">
        <v>607</v>
      </c>
      <c r="N2914" s="4" t="s">
        <v>607</v>
      </c>
      <c r="O2914" s="4"/>
      <c r="P2914" s="4"/>
      <c r="T2914" s="4"/>
    </row>
    <row r="2915">
      <c r="A2915" s="4" t="s">
        <v>6640</v>
      </c>
      <c r="B2915" s="4" t="s">
        <v>607</v>
      </c>
      <c r="C2915" s="6" t="s">
        <v>607</v>
      </c>
      <c r="D2915" s="6" t="s">
        <v>607</v>
      </c>
      <c r="E2915" s="6" t="s">
        <v>607</v>
      </c>
      <c r="F2915" s="6" t="s">
        <v>607</v>
      </c>
      <c r="G2915" s="4" t="s">
        <v>607</v>
      </c>
      <c r="H2915" s="4" t="s">
        <v>607</v>
      </c>
      <c r="I2915" s="4" t="s">
        <v>607</v>
      </c>
      <c r="J2915" s="4" t="s">
        <v>607</v>
      </c>
      <c r="K2915" s="4" t="s">
        <v>607</v>
      </c>
      <c r="L2915" s="4" t="s">
        <v>607</v>
      </c>
      <c r="M2915" s="4" t="s">
        <v>607</v>
      </c>
      <c r="N2915" s="4" t="s">
        <v>607</v>
      </c>
      <c r="O2915" s="4"/>
      <c r="P2915" s="4"/>
      <c r="T2915" s="4"/>
    </row>
    <row r="2916">
      <c r="A2916" s="4" t="s">
        <v>6641</v>
      </c>
      <c r="B2916" s="4" t="s">
        <v>607</v>
      </c>
      <c r="C2916" s="6" t="s">
        <v>607</v>
      </c>
      <c r="D2916" s="6" t="s">
        <v>607</v>
      </c>
      <c r="E2916" s="6" t="s">
        <v>607</v>
      </c>
      <c r="F2916" s="6" t="s">
        <v>607</v>
      </c>
      <c r="G2916" s="4" t="s">
        <v>607</v>
      </c>
      <c r="H2916" s="4" t="s">
        <v>607</v>
      </c>
      <c r="I2916" s="4" t="s">
        <v>607</v>
      </c>
      <c r="J2916" s="4" t="s">
        <v>607</v>
      </c>
      <c r="K2916" s="4" t="s">
        <v>607</v>
      </c>
      <c r="L2916" s="4" t="s">
        <v>607</v>
      </c>
      <c r="M2916" s="4" t="s">
        <v>607</v>
      </c>
      <c r="N2916" s="4" t="s">
        <v>607</v>
      </c>
      <c r="O2916" s="4"/>
      <c r="P2916" s="4"/>
      <c r="T2916" s="4"/>
    </row>
    <row r="2917">
      <c r="A2917" s="4" t="s">
        <v>6645</v>
      </c>
      <c r="B2917" s="4" t="s">
        <v>607</v>
      </c>
      <c r="C2917" s="6" t="s">
        <v>607</v>
      </c>
      <c r="D2917" s="6" t="s">
        <v>607</v>
      </c>
      <c r="E2917" s="6" t="s">
        <v>607</v>
      </c>
      <c r="F2917" s="6" t="s">
        <v>607</v>
      </c>
      <c r="G2917" s="4" t="s">
        <v>607</v>
      </c>
      <c r="H2917" s="4" t="s">
        <v>607</v>
      </c>
      <c r="I2917" s="4" t="s">
        <v>607</v>
      </c>
      <c r="J2917" s="4" t="s">
        <v>607</v>
      </c>
      <c r="K2917" s="4" t="s">
        <v>607</v>
      </c>
      <c r="L2917" s="4" t="s">
        <v>607</v>
      </c>
      <c r="M2917" s="4" t="s">
        <v>607</v>
      </c>
      <c r="N2917" s="4" t="s">
        <v>607</v>
      </c>
      <c r="O2917" s="4"/>
      <c r="P2917" s="4"/>
      <c r="T2917" s="4"/>
    </row>
    <row r="2918">
      <c r="A2918" s="4" t="s">
        <v>6646</v>
      </c>
      <c r="B2918" s="4" t="s">
        <v>607</v>
      </c>
      <c r="C2918" s="6" t="s">
        <v>607</v>
      </c>
      <c r="D2918" s="6" t="s">
        <v>607</v>
      </c>
      <c r="E2918" s="6" t="s">
        <v>607</v>
      </c>
      <c r="F2918" s="6" t="s">
        <v>607</v>
      </c>
      <c r="G2918" s="4" t="s">
        <v>607</v>
      </c>
      <c r="H2918" s="4" t="s">
        <v>607</v>
      </c>
      <c r="I2918" s="4" t="s">
        <v>607</v>
      </c>
      <c r="J2918" s="4" t="s">
        <v>607</v>
      </c>
      <c r="K2918" s="4" t="s">
        <v>607</v>
      </c>
      <c r="L2918" s="4" t="s">
        <v>607</v>
      </c>
      <c r="M2918" s="4" t="s">
        <v>607</v>
      </c>
      <c r="N2918" s="4" t="s">
        <v>607</v>
      </c>
      <c r="O2918" s="4"/>
      <c r="P2918" s="4"/>
      <c r="T2918" s="4"/>
    </row>
    <row r="2919">
      <c r="A2919" s="4" t="s">
        <v>6647</v>
      </c>
      <c r="B2919" s="4" t="s">
        <v>607</v>
      </c>
      <c r="C2919" s="6" t="s">
        <v>607</v>
      </c>
      <c r="D2919" s="6" t="s">
        <v>607</v>
      </c>
      <c r="E2919" s="6" t="s">
        <v>607</v>
      </c>
      <c r="F2919" s="6" t="s">
        <v>607</v>
      </c>
      <c r="G2919" s="4" t="s">
        <v>607</v>
      </c>
      <c r="H2919" s="4" t="s">
        <v>607</v>
      </c>
      <c r="I2919" s="4" t="s">
        <v>607</v>
      </c>
      <c r="J2919" s="4" t="s">
        <v>607</v>
      </c>
      <c r="K2919" s="4" t="s">
        <v>607</v>
      </c>
      <c r="L2919" s="4" t="s">
        <v>607</v>
      </c>
      <c r="M2919" s="4" t="s">
        <v>607</v>
      </c>
      <c r="N2919" s="4" t="s">
        <v>607</v>
      </c>
      <c r="O2919" s="4"/>
      <c r="P2919" s="4"/>
      <c r="T2919" s="4"/>
    </row>
    <row r="2920">
      <c r="A2920" s="4" t="s">
        <v>6648</v>
      </c>
      <c r="B2920" s="4" t="s">
        <v>607</v>
      </c>
      <c r="C2920" s="6" t="s">
        <v>607</v>
      </c>
      <c r="D2920" s="6" t="s">
        <v>607</v>
      </c>
      <c r="E2920" s="6" t="s">
        <v>607</v>
      </c>
      <c r="F2920" s="6" t="s">
        <v>607</v>
      </c>
      <c r="G2920" s="4" t="s">
        <v>607</v>
      </c>
      <c r="H2920" s="4" t="s">
        <v>607</v>
      </c>
      <c r="I2920" s="4" t="s">
        <v>607</v>
      </c>
      <c r="J2920" s="4" t="s">
        <v>607</v>
      </c>
      <c r="K2920" s="4" t="s">
        <v>607</v>
      </c>
      <c r="L2920" s="4" t="s">
        <v>607</v>
      </c>
      <c r="M2920" s="4" t="s">
        <v>607</v>
      </c>
      <c r="N2920" s="4" t="s">
        <v>607</v>
      </c>
      <c r="O2920" s="4"/>
      <c r="P2920" s="4"/>
      <c r="T2920" s="4"/>
    </row>
    <row r="2921">
      <c r="A2921" s="4" t="s">
        <v>6649</v>
      </c>
      <c r="B2921" s="4" t="s">
        <v>607</v>
      </c>
      <c r="C2921" s="6" t="s">
        <v>607</v>
      </c>
      <c r="D2921" s="6" t="s">
        <v>607</v>
      </c>
      <c r="E2921" s="6" t="s">
        <v>607</v>
      </c>
      <c r="F2921" s="6" t="s">
        <v>607</v>
      </c>
      <c r="G2921" s="4" t="s">
        <v>607</v>
      </c>
      <c r="H2921" s="4" t="s">
        <v>607</v>
      </c>
      <c r="I2921" s="4" t="s">
        <v>607</v>
      </c>
      <c r="J2921" s="4" t="s">
        <v>607</v>
      </c>
      <c r="K2921" s="4" t="s">
        <v>607</v>
      </c>
      <c r="L2921" s="4" t="s">
        <v>607</v>
      </c>
      <c r="M2921" s="4" t="s">
        <v>607</v>
      </c>
      <c r="N2921" s="4" t="s">
        <v>607</v>
      </c>
      <c r="O2921" s="4"/>
      <c r="P2921" s="4"/>
      <c r="T2921" s="4"/>
    </row>
    <row r="2922">
      <c r="A2922" s="4" t="s">
        <v>6650</v>
      </c>
      <c r="B2922" s="4" t="s">
        <v>607</v>
      </c>
      <c r="C2922" s="6" t="s">
        <v>607</v>
      </c>
      <c r="D2922" s="6" t="s">
        <v>607</v>
      </c>
      <c r="E2922" s="6" t="s">
        <v>607</v>
      </c>
      <c r="F2922" s="6" t="s">
        <v>607</v>
      </c>
      <c r="G2922" s="4" t="s">
        <v>607</v>
      </c>
      <c r="H2922" s="4" t="s">
        <v>607</v>
      </c>
      <c r="I2922" s="4" t="s">
        <v>607</v>
      </c>
      <c r="J2922" s="4" t="s">
        <v>607</v>
      </c>
      <c r="K2922" s="4" t="s">
        <v>607</v>
      </c>
      <c r="L2922" s="4" t="s">
        <v>607</v>
      </c>
      <c r="M2922" s="4" t="s">
        <v>607</v>
      </c>
      <c r="N2922" s="4" t="s">
        <v>607</v>
      </c>
      <c r="O2922" s="4"/>
      <c r="P2922" s="4"/>
      <c r="T2922" s="4"/>
    </row>
    <row r="2923">
      <c r="A2923" s="4" t="s">
        <v>6651</v>
      </c>
      <c r="B2923" s="4" t="s">
        <v>607</v>
      </c>
      <c r="C2923" s="6" t="s">
        <v>607</v>
      </c>
      <c r="D2923" s="6" t="s">
        <v>607</v>
      </c>
      <c r="E2923" s="6" t="s">
        <v>607</v>
      </c>
      <c r="F2923" s="6" t="s">
        <v>607</v>
      </c>
      <c r="G2923" s="4" t="s">
        <v>607</v>
      </c>
      <c r="H2923" s="4" t="s">
        <v>607</v>
      </c>
      <c r="I2923" s="4" t="s">
        <v>607</v>
      </c>
      <c r="J2923" s="4" t="s">
        <v>607</v>
      </c>
      <c r="K2923" s="4" t="s">
        <v>607</v>
      </c>
      <c r="L2923" s="4" t="s">
        <v>607</v>
      </c>
      <c r="M2923" s="4" t="s">
        <v>607</v>
      </c>
      <c r="N2923" s="4" t="s">
        <v>607</v>
      </c>
      <c r="O2923" s="4"/>
      <c r="P2923" s="4"/>
      <c r="T2923" s="4"/>
    </row>
    <row r="2924">
      <c r="A2924" s="4" t="s">
        <v>6652</v>
      </c>
      <c r="B2924" s="4" t="s">
        <v>607</v>
      </c>
      <c r="C2924" s="6" t="s">
        <v>607</v>
      </c>
      <c r="D2924" s="6" t="s">
        <v>607</v>
      </c>
      <c r="E2924" s="6" t="s">
        <v>607</v>
      </c>
      <c r="F2924" s="6" t="s">
        <v>607</v>
      </c>
      <c r="G2924" s="4" t="s">
        <v>607</v>
      </c>
      <c r="H2924" s="4" t="s">
        <v>607</v>
      </c>
      <c r="I2924" s="4" t="s">
        <v>607</v>
      </c>
      <c r="J2924" s="4" t="s">
        <v>607</v>
      </c>
      <c r="K2924" s="4" t="s">
        <v>607</v>
      </c>
      <c r="L2924" s="4" t="s">
        <v>607</v>
      </c>
      <c r="M2924" s="4" t="s">
        <v>607</v>
      </c>
      <c r="N2924" s="4" t="s">
        <v>607</v>
      </c>
      <c r="O2924" s="4"/>
      <c r="P2924" s="4"/>
      <c r="T2924" s="4"/>
    </row>
    <row r="2925">
      <c r="A2925" s="4" t="s">
        <v>6653</v>
      </c>
      <c r="B2925" s="4" t="s">
        <v>607</v>
      </c>
      <c r="C2925" s="6" t="s">
        <v>607</v>
      </c>
      <c r="D2925" s="6" t="s">
        <v>607</v>
      </c>
      <c r="E2925" s="6" t="s">
        <v>607</v>
      </c>
      <c r="F2925" s="6" t="s">
        <v>607</v>
      </c>
      <c r="G2925" s="4" t="s">
        <v>607</v>
      </c>
      <c r="H2925" s="4" t="s">
        <v>607</v>
      </c>
      <c r="I2925" s="4" t="s">
        <v>607</v>
      </c>
      <c r="J2925" s="4" t="s">
        <v>607</v>
      </c>
      <c r="K2925" s="4" t="s">
        <v>607</v>
      </c>
      <c r="L2925" s="4" t="s">
        <v>607</v>
      </c>
      <c r="M2925" s="4" t="s">
        <v>607</v>
      </c>
      <c r="N2925" s="4" t="s">
        <v>607</v>
      </c>
      <c r="O2925" s="4"/>
      <c r="P2925" s="4"/>
      <c r="T2925" s="4"/>
    </row>
    <row r="2926">
      <c r="A2926" s="4" t="s">
        <v>6654</v>
      </c>
      <c r="B2926" s="4" t="s">
        <v>607</v>
      </c>
      <c r="C2926" s="6" t="s">
        <v>607</v>
      </c>
      <c r="D2926" s="6" t="s">
        <v>607</v>
      </c>
      <c r="E2926" s="6" t="s">
        <v>607</v>
      </c>
      <c r="F2926" s="6" t="s">
        <v>607</v>
      </c>
      <c r="G2926" s="4" t="s">
        <v>607</v>
      </c>
      <c r="H2926" s="4" t="s">
        <v>607</v>
      </c>
      <c r="I2926" s="4" t="s">
        <v>607</v>
      </c>
      <c r="J2926" s="4" t="s">
        <v>607</v>
      </c>
      <c r="K2926" s="4" t="s">
        <v>607</v>
      </c>
      <c r="L2926" s="4" t="s">
        <v>607</v>
      </c>
      <c r="M2926" s="4" t="s">
        <v>607</v>
      </c>
      <c r="N2926" s="4" t="s">
        <v>607</v>
      </c>
      <c r="O2926" s="4"/>
      <c r="P2926" s="4"/>
      <c r="T2926" s="4"/>
    </row>
    <row r="2927">
      <c r="A2927" s="4" t="s">
        <v>6655</v>
      </c>
      <c r="B2927" s="4" t="s">
        <v>607</v>
      </c>
      <c r="C2927" s="6" t="s">
        <v>607</v>
      </c>
      <c r="D2927" s="6" t="s">
        <v>607</v>
      </c>
      <c r="E2927" s="6" t="s">
        <v>607</v>
      </c>
      <c r="F2927" s="6" t="s">
        <v>607</v>
      </c>
      <c r="G2927" s="4" t="s">
        <v>607</v>
      </c>
      <c r="H2927" s="4" t="s">
        <v>607</v>
      </c>
      <c r="I2927" s="4" t="s">
        <v>607</v>
      </c>
      <c r="J2927" s="4" t="s">
        <v>607</v>
      </c>
      <c r="K2927" s="4" t="s">
        <v>607</v>
      </c>
      <c r="L2927" s="4" t="s">
        <v>607</v>
      </c>
      <c r="M2927" s="4" t="s">
        <v>607</v>
      </c>
      <c r="N2927" s="4" t="s">
        <v>607</v>
      </c>
      <c r="O2927" s="4"/>
      <c r="P2927" s="4"/>
      <c r="T2927" s="4"/>
    </row>
    <row r="2928">
      <c r="A2928" s="4" t="s">
        <v>6656</v>
      </c>
      <c r="B2928" s="4" t="s">
        <v>607</v>
      </c>
      <c r="C2928" s="6" t="s">
        <v>607</v>
      </c>
      <c r="D2928" s="6" t="s">
        <v>607</v>
      </c>
      <c r="E2928" s="6" t="s">
        <v>607</v>
      </c>
      <c r="F2928" s="6" t="s">
        <v>607</v>
      </c>
      <c r="G2928" s="4" t="s">
        <v>607</v>
      </c>
      <c r="H2928" s="4" t="s">
        <v>607</v>
      </c>
      <c r="I2928" s="4" t="s">
        <v>607</v>
      </c>
      <c r="J2928" s="4" t="s">
        <v>607</v>
      </c>
      <c r="K2928" s="4" t="s">
        <v>607</v>
      </c>
      <c r="L2928" s="4" t="s">
        <v>607</v>
      </c>
      <c r="M2928" s="4" t="s">
        <v>607</v>
      </c>
      <c r="N2928" s="4" t="s">
        <v>607</v>
      </c>
      <c r="O2928" s="4"/>
      <c r="P2928" s="4"/>
      <c r="T2928" s="4"/>
    </row>
    <row r="2929">
      <c r="A2929" s="4" t="s">
        <v>6657</v>
      </c>
      <c r="B2929" s="4" t="s">
        <v>607</v>
      </c>
      <c r="C2929" s="6" t="s">
        <v>607</v>
      </c>
      <c r="D2929" s="6" t="s">
        <v>607</v>
      </c>
      <c r="E2929" s="6" t="s">
        <v>607</v>
      </c>
      <c r="F2929" s="6" t="s">
        <v>607</v>
      </c>
      <c r="G2929" s="4" t="s">
        <v>607</v>
      </c>
      <c r="H2929" s="4" t="s">
        <v>607</v>
      </c>
      <c r="I2929" s="4" t="s">
        <v>607</v>
      </c>
      <c r="J2929" s="4" t="s">
        <v>607</v>
      </c>
      <c r="K2929" s="4" t="s">
        <v>607</v>
      </c>
      <c r="L2929" s="4" t="s">
        <v>607</v>
      </c>
      <c r="M2929" s="4" t="s">
        <v>607</v>
      </c>
      <c r="N2929" s="4" t="s">
        <v>607</v>
      </c>
      <c r="O2929" s="4"/>
      <c r="P2929" s="4"/>
      <c r="T2929" s="4"/>
    </row>
    <row r="2930">
      <c r="A2930" s="4" t="s">
        <v>6658</v>
      </c>
      <c r="B2930" s="4" t="s">
        <v>607</v>
      </c>
      <c r="C2930" s="6" t="s">
        <v>607</v>
      </c>
      <c r="D2930" s="6" t="s">
        <v>607</v>
      </c>
      <c r="E2930" s="6" t="s">
        <v>607</v>
      </c>
      <c r="F2930" s="6" t="s">
        <v>607</v>
      </c>
      <c r="G2930" s="4" t="s">
        <v>607</v>
      </c>
      <c r="H2930" s="4" t="s">
        <v>607</v>
      </c>
      <c r="I2930" s="4" t="s">
        <v>607</v>
      </c>
      <c r="J2930" s="4" t="s">
        <v>607</v>
      </c>
      <c r="K2930" s="4" t="s">
        <v>607</v>
      </c>
      <c r="L2930" s="4" t="s">
        <v>607</v>
      </c>
      <c r="M2930" s="4" t="s">
        <v>607</v>
      </c>
      <c r="N2930" s="4" t="s">
        <v>607</v>
      </c>
      <c r="O2930" s="4"/>
      <c r="P2930" s="4"/>
      <c r="T2930" s="4"/>
    </row>
    <row r="2931">
      <c r="A2931" s="4" t="s">
        <v>6659</v>
      </c>
      <c r="B2931" s="4" t="s">
        <v>607</v>
      </c>
      <c r="C2931" s="6" t="s">
        <v>607</v>
      </c>
      <c r="D2931" s="6" t="s">
        <v>607</v>
      </c>
      <c r="E2931" s="6" t="s">
        <v>607</v>
      </c>
      <c r="F2931" s="6" t="s">
        <v>607</v>
      </c>
      <c r="G2931" s="4" t="s">
        <v>607</v>
      </c>
      <c r="H2931" s="4" t="s">
        <v>607</v>
      </c>
      <c r="I2931" s="4" t="s">
        <v>607</v>
      </c>
      <c r="J2931" s="4" t="s">
        <v>607</v>
      </c>
      <c r="K2931" s="4" t="s">
        <v>607</v>
      </c>
      <c r="L2931" s="4" t="s">
        <v>607</v>
      </c>
      <c r="M2931" s="4" t="s">
        <v>607</v>
      </c>
      <c r="N2931" s="4" t="s">
        <v>607</v>
      </c>
      <c r="O2931" s="4"/>
      <c r="P2931" s="4"/>
      <c r="T2931" s="4"/>
    </row>
    <row r="2932">
      <c r="A2932" s="4" t="s">
        <v>6660</v>
      </c>
      <c r="B2932" s="4" t="s">
        <v>607</v>
      </c>
      <c r="C2932" s="6" t="s">
        <v>607</v>
      </c>
      <c r="D2932" s="6" t="s">
        <v>607</v>
      </c>
      <c r="E2932" s="6" t="s">
        <v>607</v>
      </c>
      <c r="F2932" s="6" t="s">
        <v>607</v>
      </c>
      <c r="G2932" s="4" t="s">
        <v>607</v>
      </c>
      <c r="H2932" s="4" t="s">
        <v>607</v>
      </c>
      <c r="I2932" s="4" t="s">
        <v>607</v>
      </c>
      <c r="J2932" s="4" t="s">
        <v>607</v>
      </c>
      <c r="K2932" s="4" t="s">
        <v>607</v>
      </c>
      <c r="L2932" s="4" t="s">
        <v>607</v>
      </c>
      <c r="M2932" s="4" t="s">
        <v>607</v>
      </c>
      <c r="N2932" s="4" t="s">
        <v>607</v>
      </c>
      <c r="O2932" s="4"/>
      <c r="P2932" s="4"/>
      <c r="T2932" s="4"/>
    </row>
    <row r="2933">
      <c r="A2933" s="4" t="s">
        <v>6661</v>
      </c>
      <c r="B2933" s="4" t="s">
        <v>607</v>
      </c>
      <c r="C2933" s="6" t="s">
        <v>607</v>
      </c>
      <c r="D2933" s="6" t="s">
        <v>607</v>
      </c>
      <c r="E2933" s="6" t="s">
        <v>607</v>
      </c>
      <c r="F2933" s="6" t="s">
        <v>607</v>
      </c>
      <c r="G2933" s="4" t="s">
        <v>607</v>
      </c>
      <c r="H2933" s="4" t="s">
        <v>607</v>
      </c>
      <c r="I2933" s="4" t="s">
        <v>607</v>
      </c>
      <c r="J2933" s="4" t="s">
        <v>607</v>
      </c>
      <c r="K2933" s="4" t="s">
        <v>607</v>
      </c>
      <c r="L2933" s="4" t="s">
        <v>607</v>
      </c>
      <c r="M2933" s="4" t="s">
        <v>607</v>
      </c>
      <c r="N2933" s="4" t="s">
        <v>607</v>
      </c>
      <c r="O2933" s="4"/>
      <c r="P2933" s="4"/>
      <c r="T2933" s="4"/>
    </row>
    <row r="2934">
      <c r="A2934" s="4" t="s">
        <v>6662</v>
      </c>
      <c r="B2934" s="4" t="s">
        <v>607</v>
      </c>
      <c r="C2934" s="6" t="s">
        <v>607</v>
      </c>
      <c r="D2934" s="6" t="s">
        <v>607</v>
      </c>
      <c r="E2934" s="6" t="s">
        <v>607</v>
      </c>
      <c r="F2934" s="6" t="s">
        <v>607</v>
      </c>
      <c r="G2934" s="4" t="s">
        <v>607</v>
      </c>
      <c r="H2934" s="4" t="s">
        <v>607</v>
      </c>
      <c r="I2934" s="4" t="s">
        <v>607</v>
      </c>
      <c r="J2934" s="4" t="s">
        <v>607</v>
      </c>
      <c r="K2934" s="4" t="s">
        <v>607</v>
      </c>
      <c r="L2934" s="4" t="s">
        <v>607</v>
      </c>
      <c r="M2934" s="4" t="s">
        <v>607</v>
      </c>
      <c r="N2934" s="4" t="s">
        <v>607</v>
      </c>
      <c r="O2934" s="4"/>
      <c r="P2934" s="4"/>
      <c r="T2934" s="4"/>
    </row>
    <row r="2935">
      <c r="A2935" s="4" t="s">
        <v>6663</v>
      </c>
      <c r="B2935" s="4" t="s">
        <v>607</v>
      </c>
      <c r="C2935" s="6" t="s">
        <v>607</v>
      </c>
      <c r="D2935" s="6" t="s">
        <v>607</v>
      </c>
      <c r="E2935" s="6" t="s">
        <v>607</v>
      </c>
      <c r="F2935" s="6" t="s">
        <v>607</v>
      </c>
      <c r="G2935" s="4" t="s">
        <v>607</v>
      </c>
      <c r="H2935" s="4" t="s">
        <v>607</v>
      </c>
      <c r="I2935" s="4" t="s">
        <v>607</v>
      </c>
      <c r="J2935" s="4" t="s">
        <v>607</v>
      </c>
      <c r="K2935" s="4" t="s">
        <v>607</v>
      </c>
      <c r="L2935" s="4" t="s">
        <v>607</v>
      </c>
      <c r="M2935" s="4" t="s">
        <v>607</v>
      </c>
      <c r="N2935" s="4" t="s">
        <v>607</v>
      </c>
      <c r="O2935" s="4"/>
      <c r="P2935" s="4"/>
      <c r="T2935" s="4"/>
    </row>
    <row r="2936">
      <c r="A2936" s="4" t="s">
        <v>6664</v>
      </c>
      <c r="B2936" s="4" t="s">
        <v>607</v>
      </c>
      <c r="C2936" s="6" t="s">
        <v>607</v>
      </c>
      <c r="D2936" s="6" t="s">
        <v>607</v>
      </c>
      <c r="E2936" s="6" t="s">
        <v>607</v>
      </c>
      <c r="F2936" s="6" t="s">
        <v>607</v>
      </c>
      <c r="G2936" s="4" t="s">
        <v>607</v>
      </c>
      <c r="H2936" s="4" t="s">
        <v>607</v>
      </c>
      <c r="I2936" s="4" t="s">
        <v>607</v>
      </c>
      <c r="J2936" s="4" t="s">
        <v>607</v>
      </c>
      <c r="K2936" s="4" t="s">
        <v>607</v>
      </c>
      <c r="L2936" s="4" t="s">
        <v>607</v>
      </c>
      <c r="M2936" s="4" t="s">
        <v>607</v>
      </c>
      <c r="N2936" s="4" t="s">
        <v>607</v>
      </c>
      <c r="O2936" s="4"/>
      <c r="P2936" s="4"/>
      <c r="T2936" s="4"/>
    </row>
    <row r="2937">
      <c r="A2937" s="4" t="s">
        <v>6665</v>
      </c>
      <c r="B2937" s="4" t="s">
        <v>607</v>
      </c>
      <c r="C2937" s="6" t="s">
        <v>607</v>
      </c>
      <c r="D2937" s="6" t="s">
        <v>607</v>
      </c>
      <c r="E2937" s="6" t="s">
        <v>607</v>
      </c>
      <c r="F2937" s="6" t="s">
        <v>607</v>
      </c>
      <c r="G2937" s="4" t="s">
        <v>607</v>
      </c>
      <c r="H2937" s="4" t="s">
        <v>607</v>
      </c>
      <c r="I2937" s="4" t="s">
        <v>607</v>
      </c>
      <c r="J2937" s="4" t="s">
        <v>607</v>
      </c>
      <c r="K2937" s="4" t="s">
        <v>607</v>
      </c>
      <c r="L2937" s="4" t="s">
        <v>607</v>
      </c>
      <c r="M2937" s="4" t="s">
        <v>607</v>
      </c>
      <c r="N2937" s="4" t="s">
        <v>607</v>
      </c>
      <c r="O2937" s="4"/>
      <c r="P2937" s="4"/>
      <c r="T2937" s="4"/>
    </row>
    <row r="2938">
      <c r="A2938" s="4" t="s">
        <v>6666</v>
      </c>
      <c r="B2938" s="4" t="s">
        <v>607</v>
      </c>
      <c r="C2938" s="6" t="s">
        <v>607</v>
      </c>
      <c r="D2938" s="6" t="s">
        <v>607</v>
      </c>
      <c r="E2938" s="6" t="s">
        <v>607</v>
      </c>
      <c r="F2938" s="6" t="s">
        <v>607</v>
      </c>
      <c r="G2938" s="4" t="s">
        <v>607</v>
      </c>
      <c r="H2938" s="4" t="s">
        <v>607</v>
      </c>
      <c r="I2938" s="4" t="s">
        <v>607</v>
      </c>
      <c r="J2938" s="4" t="s">
        <v>607</v>
      </c>
      <c r="K2938" s="4" t="s">
        <v>607</v>
      </c>
      <c r="L2938" s="4" t="s">
        <v>607</v>
      </c>
      <c r="M2938" s="4" t="s">
        <v>607</v>
      </c>
      <c r="N2938" s="4" t="s">
        <v>607</v>
      </c>
      <c r="O2938" s="4"/>
      <c r="P2938" s="4"/>
      <c r="T2938" s="4"/>
    </row>
    <row r="2939">
      <c r="A2939" s="4" t="s">
        <v>6667</v>
      </c>
      <c r="B2939" s="4" t="s">
        <v>607</v>
      </c>
      <c r="C2939" s="6" t="s">
        <v>607</v>
      </c>
      <c r="D2939" s="6" t="s">
        <v>607</v>
      </c>
      <c r="E2939" s="6" t="s">
        <v>607</v>
      </c>
      <c r="F2939" s="6" t="s">
        <v>607</v>
      </c>
      <c r="G2939" s="4" t="s">
        <v>607</v>
      </c>
      <c r="H2939" s="4" t="s">
        <v>607</v>
      </c>
      <c r="I2939" s="4" t="s">
        <v>607</v>
      </c>
      <c r="J2939" s="4" t="s">
        <v>607</v>
      </c>
      <c r="K2939" s="4" t="s">
        <v>607</v>
      </c>
      <c r="L2939" s="4" t="s">
        <v>607</v>
      </c>
      <c r="M2939" s="4" t="s">
        <v>607</v>
      </c>
      <c r="N2939" s="4" t="s">
        <v>607</v>
      </c>
      <c r="O2939" s="4"/>
      <c r="P2939" s="4"/>
      <c r="T2939" s="4"/>
    </row>
    <row r="2940">
      <c r="A2940" s="4" t="s">
        <v>6668</v>
      </c>
      <c r="B2940" s="4" t="s">
        <v>607</v>
      </c>
      <c r="C2940" s="6" t="s">
        <v>607</v>
      </c>
      <c r="D2940" s="6" t="s">
        <v>607</v>
      </c>
      <c r="E2940" s="6" t="s">
        <v>607</v>
      </c>
      <c r="F2940" s="6" t="s">
        <v>607</v>
      </c>
      <c r="G2940" s="4" t="s">
        <v>607</v>
      </c>
      <c r="H2940" s="4" t="s">
        <v>607</v>
      </c>
      <c r="I2940" s="4" t="s">
        <v>607</v>
      </c>
      <c r="J2940" s="4" t="s">
        <v>607</v>
      </c>
      <c r="K2940" s="4" t="s">
        <v>607</v>
      </c>
      <c r="L2940" s="4" t="s">
        <v>607</v>
      </c>
      <c r="M2940" s="4" t="s">
        <v>607</v>
      </c>
      <c r="N2940" s="4" t="s">
        <v>607</v>
      </c>
      <c r="O2940" s="4"/>
      <c r="P2940" s="4"/>
      <c r="T2940" s="4"/>
    </row>
    <row r="2941">
      <c r="A2941" s="4" t="s">
        <v>6669</v>
      </c>
      <c r="B2941" s="4" t="s">
        <v>607</v>
      </c>
      <c r="C2941" s="6" t="s">
        <v>607</v>
      </c>
      <c r="D2941" s="6" t="s">
        <v>607</v>
      </c>
      <c r="E2941" s="6" t="s">
        <v>607</v>
      </c>
      <c r="F2941" s="6" t="s">
        <v>607</v>
      </c>
      <c r="G2941" s="4" t="s">
        <v>607</v>
      </c>
      <c r="H2941" s="4" t="s">
        <v>607</v>
      </c>
      <c r="I2941" s="4" t="s">
        <v>607</v>
      </c>
      <c r="J2941" s="4" t="s">
        <v>607</v>
      </c>
      <c r="K2941" s="4" t="s">
        <v>607</v>
      </c>
      <c r="L2941" s="4" t="s">
        <v>607</v>
      </c>
      <c r="M2941" s="4" t="s">
        <v>607</v>
      </c>
      <c r="N2941" s="4" t="s">
        <v>607</v>
      </c>
      <c r="O2941" s="4"/>
      <c r="P2941" s="4"/>
      <c r="T2941" s="4"/>
    </row>
    <row r="2942">
      <c r="A2942" s="4" t="s">
        <v>6670</v>
      </c>
      <c r="B2942" s="4" t="s">
        <v>607</v>
      </c>
      <c r="C2942" s="6" t="s">
        <v>607</v>
      </c>
      <c r="D2942" s="6" t="s">
        <v>607</v>
      </c>
      <c r="E2942" s="6" t="s">
        <v>607</v>
      </c>
      <c r="F2942" s="6" t="s">
        <v>607</v>
      </c>
      <c r="G2942" s="4" t="s">
        <v>607</v>
      </c>
      <c r="H2942" s="4" t="s">
        <v>607</v>
      </c>
      <c r="I2942" s="4" t="s">
        <v>607</v>
      </c>
      <c r="J2942" s="4" t="s">
        <v>607</v>
      </c>
      <c r="K2942" s="4" t="s">
        <v>607</v>
      </c>
      <c r="L2942" s="4" t="s">
        <v>607</v>
      </c>
      <c r="M2942" s="4" t="s">
        <v>607</v>
      </c>
      <c r="N2942" s="4" t="s">
        <v>607</v>
      </c>
      <c r="O2942" s="4"/>
      <c r="P2942" s="4"/>
      <c r="T2942" s="4"/>
    </row>
    <row r="2943">
      <c r="A2943" s="4" t="s">
        <v>6671</v>
      </c>
      <c r="B2943" s="4" t="s">
        <v>607</v>
      </c>
      <c r="C2943" s="6" t="s">
        <v>607</v>
      </c>
      <c r="D2943" s="6" t="s">
        <v>607</v>
      </c>
      <c r="E2943" s="6" t="s">
        <v>607</v>
      </c>
      <c r="F2943" s="6" t="s">
        <v>607</v>
      </c>
      <c r="G2943" s="4" t="s">
        <v>607</v>
      </c>
      <c r="H2943" s="4" t="s">
        <v>607</v>
      </c>
      <c r="I2943" s="4" t="s">
        <v>607</v>
      </c>
      <c r="J2943" s="4" t="s">
        <v>607</v>
      </c>
      <c r="K2943" s="4" t="s">
        <v>607</v>
      </c>
      <c r="L2943" s="4" t="s">
        <v>607</v>
      </c>
      <c r="M2943" s="4" t="s">
        <v>607</v>
      </c>
      <c r="N2943" s="4" t="s">
        <v>607</v>
      </c>
      <c r="O2943" s="4"/>
      <c r="P2943" s="4"/>
      <c r="T2943" s="4"/>
    </row>
    <row r="2944">
      <c r="A2944" s="4" t="s">
        <v>6673</v>
      </c>
      <c r="B2944" s="4" t="s">
        <v>607</v>
      </c>
      <c r="C2944" s="6" t="s">
        <v>607</v>
      </c>
      <c r="D2944" s="6" t="s">
        <v>607</v>
      </c>
      <c r="E2944" s="6" t="s">
        <v>607</v>
      </c>
      <c r="F2944" s="6" t="s">
        <v>607</v>
      </c>
      <c r="G2944" s="4" t="s">
        <v>607</v>
      </c>
      <c r="H2944" s="4" t="s">
        <v>607</v>
      </c>
      <c r="I2944" s="4" t="s">
        <v>607</v>
      </c>
      <c r="J2944" s="4" t="s">
        <v>607</v>
      </c>
      <c r="K2944" s="4" t="s">
        <v>607</v>
      </c>
      <c r="L2944" s="4" t="s">
        <v>607</v>
      </c>
      <c r="M2944" s="4" t="s">
        <v>607</v>
      </c>
      <c r="N2944" s="4" t="s">
        <v>607</v>
      </c>
      <c r="O2944" s="4"/>
      <c r="P2944" s="4"/>
      <c r="T2944" s="4"/>
    </row>
    <row r="2945">
      <c r="A2945" s="4" t="s">
        <v>6674</v>
      </c>
      <c r="B2945" s="4" t="s">
        <v>607</v>
      </c>
      <c r="C2945" s="6" t="s">
        <v>607</v>
      </c>
      <c r="D2945" s="6" t="s">
        <v>607</v>
      </c>
      <c r="E2945" s="6" t="s">
        <v>607</v>
      </c>
      <c r="F2945" s="6" t="s">
        <v>607</v>
      </c>
      <c r="G2945" s="4" t="s">
        <v>607</v>
      </c>
      <c r="H2945" s="4" t="s">
        <v>607</v>
      </c>
      <c r="I2945" s="4" t="s">
        <v>607</v>
      </c>
      <c r="J2945" s="4" t="s">
        <v>607</v>
      </c>
      <c r="K2945" s="4" t="s">
        <v>607</v>
      </c>
      <c r="L2945" s="4" t="s">
        <v>607</v>
      </c>
      <c r="M2945" s="4" t="s">
        <v>607</v>
      </c>
      <c r="N2945" s="4" t="s">
        <v>607</v>
      </c>
      <c r="O2945" s="4"/>
      <c r="P2945" s="4"/>
      <c r="T2945" s="4"/>
    </row>
    <row r="2946">
      <c r="A2946" s="4" t="s">
        <v>6676</v>
      </c>
      <c r="B2946" s="4" t="s">
        <v>607</v>
      </c>
      <c r="C2946" s="6" t="s">
        <v>607</v>
      </c>
      <c r="D2946" s="6" t="s">
        <v>607</v>
      </c>
      <c r="E2946" s="6" t="s">
        <v>607</v>
      </c>
      <c r="F2946" s="6" t="s">
        <v>607</v>
      </c>
      <c r="G2946" s="4" t="s">
        <v>607</v>
      </c>
      <c r="H2946" s="4" t="s">
        <v>607</v>
      </c>
      <c r="I2946" s="4" t="s">
        <v>607</v>
      </c>
      <c r="J2946" s="4" t="s">
        <v>607</v>
      </c>
      <c r="K2946" s="4" t="s">
        <v>607</v>
      </c>
      <c r="L2946" s="4" t="s">
        <v>607</v>
      </c>
      <c r="M2946" s="4" t="s">
        <v>607</v>
      </c>
      <c r="N2946" s="4" t="s">
        <v>607</v>
      </c>
      <c r="O2946" s="4"/>
      <c r="P2946" s="4"/>
      <c r="T2946" s="4"/>
    </row>
    <row r="2947">
      <c r="A2947" s="4" t="s">
        <v>6682</v>
      </c>
      <c r="B2947" s="4" t="s">
        <v>607</v>
      </c>
      <c r="C2947" s="6" t="s">
        <v>607</v>
      </c>
      <c r="D2947" s="6" t="s">
        <v>607</v>
      </c>
      <c r="E2947" s="6" t="s">
        <v>607</v>
      </c>
      <c r="F2947" s="6" t="s">
        <v>607</v>
      </c>
      <c r="G2947" s="4" t="s">
        <v>607</v>
      </c>
      <c r="H2947" s="4" t="s">
        <v>607</v>
      </c>
      <c r="I2947" s="4" t="s">
        <v>607</v>
      </c>
      <c r="J2947" s="4" t="s">
        <v>607</v>
      </c>
      <c r="K2947" s="4" t="s">
        <v>607</v>
      </c>
      <c r="L2947" s="4" t="s">
        <v>607</v>
      </c>
      <c r="M2947" s="4" t="s">
        <v>607</v>
      </c>
      <c r="N2947" s="4" t="s">
        <v>607</v>
      </c>
      <c r="O2947" s="4"/>
      <c r="P2947" s="4"/>
      <c r="T2947" s="4"/>
    </row>
    <row r="2948">
      <c r="A2948" s="4" t="s">
        <v>6684</v>
      </c>
      <c r="B2948" s="4" t="s">
        <v>607</v>
      </c>
      <c r="C2948" s="6" t="s">
        <v>607</v>
      </c>
      <c r="D2948" s="6" t="s">
        <v>607</v>
      </c>
      <c r="E2948" s="6" t="s">
        <v>607</v>
      </c>
      <c r="F2948" s="6" t="s">
        <v>607</v>
      </c>
      <c r="G2948" s="4" t="s">
        <v>607</v>
      </c>
      <c r="H2948" s="4" t="s">
        <v>607</v>
      </c>
      <c r="I2948" s="4" t="s">
        <v>607</v>
      </c>
      <c r="J2948" s="4" t="s">
        <v>607</v>
      </c>
      <c r="K2948" s="4" t="s">
        <v>607</v>
      </c>
      <c r="L2948" s="4" t="s">
        <v>607</v>
      </c>
      <c r="M2948" s="4" t="s">
        <v>607</v>
      </c>
      <c r="N2948" s="4" t="s">
        <v>607</v>
      </c>
      <c r="O2948" s="4"/>
      <c r="P2948" s="4"/>
      <c r="T2948" s="4"/>
    </row>
    <row r="2949">
      <c r="A2949" s="4" t="s">
        <v>6686</v>
      </c>
      <c r="B2949" s="4" t="s">
        <v>607</v>
      </c>
      <c r="C2949" s="6" t="s">
        <v>607</v>
      </c>
      <c r="D2949" s="6" t="s">
        <v>607</v>
      </c>
      <c r="E2949" s="6" t="s">
        <v>607</v>
      </c>
      <c r="F2949" s="6" t="s">
        <v>607</v>
      </c>
      <c r="G2949" s="4" t="s">
        <v>607</v>
      </c>
      <c r="H2949" s="4" t="s">
        <v>607</v>
      </c>
      <c r="I2949" s="4" t="s">
        <v>607</v>
      </c>
      <c r="J2949" s="4" t="s">
        <v>607</v>
      </c>
      <c r="K2949" s="4" t="s">
        <v>607</v>
      </c>
      <c r="L2949" s="4" t="s">
        <v>607</v>
      </c>
      <c r="M2949" s="4" t="s">
        <v>607</v>
      </c>
      <c r="N2949" s="4" t="s">
        <v>607</v>
      </c>
      <c r="O2949" s="4"/>
      <c r="P2949" s="4"/>
      <c r="T2949" s="4"/>
    </row>
    <row r="2950">
      <c r="A2950" s="4" t="s">
        <v>6687</v>
      </c>
      <c r="B2950" s="4" t="s">
        <v>607</v>
      </c>
      <c r="C2950" s="6" t="s">
        <v>607</v>
      </c>
      <c r="D2950" s="6" t="s">
        <v>607</v>
      </c>
      <c r="E2950" s="6" t="s">
        <v>607</v>
      </c>
      <c r="F2950" s="6" t="s">
        <v>607</v>
      </c>
      <c r="G2950" s="4" t="s">
        <v>607</v>
      </c>
      <c r="H2950" s="4" t="s">
        <v>607</v>
      </c>
      <c r="I2950" s="4" t="s">
        <v>607</v>
      </c>
      <c r="J2950" s="4" t="s">
        <v>607</v>
      </c>
      <c r="K2950" s="4" t="s">
        <v>607</v>
      </c>
      <c r="L2950" s="4" t="s">
        <v>607</v>
      </c>
      <c r="M2950" s="4" t="s">
        <v>607</v>
      </c>
      <c r="N2950" s="4" t="s">
        <v>607</v>
      </c>
      <c r="O2950" s="4"/>
      <c r="P2950" s="4"/>
      <c r="T2950" s="4"/>
    </row>
    <row r="2951">
      <c r="A2951" s="4" t="s">
        <v>6688</v>
      </c>
      <c r="B2951" s="4" t="s">
        <v>607</v>
      </c>
      <c r="C2951" s="6" t="s">
        <v>607</v>
      </c>
      <c r="D2951" s="6" t="s">
        <v>607</v>
      </c>
      <c r="E2951" s="6" t="s">
        <v>607</v>
      </c>
      <c r="F2951" s="6" t="s">
        <v>607</v>
      </c>
      <c r="G2951" s="4" t="s">
        <v>607</v>
      </c>
      <c r="H2951" s="4" t="s">
        <v>607</v>
      </c>
      <c r="I2951" s="4" t="s">
        <v>607</v>
      </c>
      <c r="J2951" s="4" t="s">
        <v>607</v>
      </c>
      <c r="K2951" s="4" t="s">
        <v>607</v>
      </c>
      <c r="L2951" s="4" t="s">
        <v>607</v>
      </c>
      <c r="M2951" s="4" t="s">
        <v>607</v>
      </c>
      <c r="N2951" s="4" t="s">
        <v>607</v>
      </c>
      <c r="O2951" s="4"/>
      <c r="P2951" s="4"/>
      <c r="T2951" s="4"/>
    </row>
    <row r="2952">
      <c r="A2952" s="4" t="s">
        <v>6690</v>
      </c>
      <c r="B2952" s="4" t="s">
        <v>607</v>
      </c>
      <c r="C2952" s="6" t="s">
        <v>607</v>
      </c>
      <c r="D2952" s="6" t="s">
        <v>607</v>
      </c>
      <c r="E2952" s="6" t="s">
        <v>607</v>
      </c>
      <c r="F2952" s="6" t="s">
        <v>607</v>
      </c>
      <c r="G2952" s="4" t="s">
        <v>607</v>
      </c>
      <c r="H2952" s="4" t="s">
        <v>607</v>
      </c>
      <c r="I2952" s="4" t="s">
        <v>607</v>
      </c>
      <c r="J2952" s="4" t="s">
        <v>607</v>
      </c>
      <c r="K2952" s="4" t="s">
        <v>607</v>
      </c>
      <c r="L2952" s="4" t="s">
        <v>607</v>
      </c>
      <c r="M2952" s="4" t="s">
        <v>607</v>
      </c>
      <c r="N2952" s="4" t="s">
        <v>607</v>
      </c>
      <c r="O2952" s="4"/>
      <c r="P2952" s="4"/>
      <c r="T2952" s="4"/>
    </row>
    <row r="2953">
      <c r="A2953" s="4" t="s">
        <v>6691</v>
      </c>
      <c r="B2953" s="4" t="s">
        <v>607</v>
      </c>
      <c r="C2953" s="6" t="s">
        <v>607</v>
      </c>
      <c r="D2953" s="6" t="s">
        <v>607</v>
      </c>
      <c r="E2953" s="6" t="s">
        <v>607</v>
      </c>
      <c r="F2953" s="6" t="s">
        <v>607</v>
      </c>
      <c r="G2953" s="4" t="s">
        <v>607</v>
      </c>
      <c r="H2953" s="4" t="s">
        <v>607</v>
      </c>
      <c r="I2953" s="4" t="s">
        <v>607</v>
      </c>
      <c r="J2953" s="4" t="s">
        <v>607</v>
      </c>
      <c r="K2953" s="4" t="s">
        <v>607</v>
      </c>
      <c r="L2953" s="4" t="s">
        <v>607</v>
      </c>
      <c r="M2953" s="4" t="s">
        <v>607</v>
      </c>
      <c r="N2953" s="4" t="s">
        <v>607</v>
      </c>
      <c r="O2953" s="4"/>
      <c r="P2953" s="4"/>
      <c r="T2953" s="4"/>
    </row>
    <row r="2954">
      <c r="A2954" s="4" t="s">
        <v>6692</v>
      </c>
      <c r="B2954" s="4" t="s">
        <v>607</v>
      </c>
      <c r="C2954" s="6" t="s">
        <v>607</v>
      </c>
      <c r="D2954" s="6" t="s">
        <v>607</v>
      </c>
      <c r="E2954" s="6" t="s">
        <v>607</v>
      </c>
      <c r="F2954" s="6" t="s">
        <v>607</v>
      </c>
      <c r="G2954" s="4" t="s">
        <v>607</v>
      </c>
      <c r="H2954" s="4" t="s">
        <v>607</v>
      </c>
      <c r="I2954" s="4" t="s">
        <v>607</v>
      </c>
      <c r="J2954" s="4" t="s">
        <v>607</v>
      </c>
      <c r="K2954" s="4" t="s">
        <v>607</v>
      </c>
      <c r="L2954" s="4" t="s">
        <v>607</v>
      </c>
      <c r="M2954" s="4" t="s">
        <v>607</v>
      </c>
      <c r="N2954" s="4" t="s">
        <v>607</v>
      </c>
      <c r="O2954" s="4"/>
      <c r="P2954" s="4"/>
      <c r="T2954" s="4"/>
    </row>
    <row r="2955">
      <c r="A2955" s="4" t="s">
        <v>6693</v>
      </c>
      <c r="B2955" s="4" t="s">
        <v>607</v>
      </c>
      <c r="C2955" s="6" t="s">
        <v>607</v>
      </c>
      <c r="D2955" s="6" t="s">
        <v>607</v>
      </c>
      <c r="E2955" s="6" t="s">
        <v>607</v>
      </c>
      <c r="F2955" s="6" t="s">
        <v>607</v>
      </c>
      <c r="G2955" s="4" t="s">
        <v>607</v>
      </c>
      <c r="H2955" s="4" t="s">
        <v>607</v>
      </c>
      <c r="I2955" s="4" t="s">
        <v>607</v>
      </c>
      <c r="J2955" s="4" t="s">
        <v>607</v>
      </c>
      <c r="K2955" s="4" t="s">
        <v>607</v>
      </c>
      <c r="L2955" s="4" t="s">
        <v>607</v>
      </c>
      <c r="M2955" s="4" t="s">
        <v>607</v>
      </c>
      <c r="N2955" s="4" t="s">
        <v>607</v>
      </c>
      <c r="O2955" s="4"/>
      <c r="P2955" s="4"/>
      <c r="T2955" s="4"/>
    </row>
    <row r="2956">
      <c r="A2956" s="4" t="s">
        <v>6694</v>
      </c>
      <c r="B2956" s="4" t="s">
        <v>607</v>
      </c>
      <c r="C2956" s="6" t="s">
        <v>607</v>
      </c>
      <c r="D2956" s="6" t="s">
        <v>607</v>
      </c>
      <c r="E2956" s="6" t="s">
        <v>607</v>
      </c>
      <c r="F2956" s="6" t="s">
        <v>607</v>
      </c>
      <c r="G2956" s="4" t="s">
        <v>607</v>
      </c>
      <c r="H2956" s="4" t="s">
        <v>607</v>
      </c>
      <c r="I2956" s="4" t="s">
        <v>607</v>
      </c>
      <c r="J2956" s="4" t="s">
        <v>607</v>
      </c>
      <c r="K2956" s="4" t="s">
        <v>607</v>
      </c>
      <c r="L2956" s="4" t="s">
        <v>607</v>
      </c>
      <c r="M2956" s="4" t="s">
        <v>607</v>
      </c>
      <c r="N2956" s="4" t="s">
        <v>607</v>
      </c>
      <c r="O2956" s="4"/>
      <c r="P2956" s="4"/>
      <c r="T2956" s="4"/>
    </row>
    <row r="2957">
      <c r="A2957" s="4" t="s">
        <v>6695</v>
      </c>
      <c r="B2957" s="4" t="s">
        <v>607</v>
      </c>
      <c r="C2957" s="6" t="s">
        <v>607</v>
      </c>
      <c r="D2957" s="6" t="s">
        <v>607</v>
      </c>
      <c r="E2957" s="6" t="s">
        <v>607</v>
      </c>
      <c r="F2957" s="6" t="s">
        <v>607</v>
      </c>
      <c r="G2957" s="4" t="s">
        <v>607</v>
      </c>
      <c r="H2957" s="4" t="s">
        <v>607</v>
      </c>
      <c r="I2957" s="4" t="s">
        <v>607</v>
      </c>
      <c r="J2957" s="4" t="s">
        <v>607</v>
      </c>
      <c r="K2957" s="4" t="s">
        <v>607</v>
      </c>
      <c r="L2957" s="4" t="s">
        <v>607</v>
      </c>
      <c r="M2957" s="4" t="s">
        <v>607</v>
      </c>
      <c r="N2957" s="4" t="s">
        <v>607</v>
      </c>
      <c r="O2957" s="4"/>
      <c r="P2957" s="4"/>
      <c r="T2957" s="4"/>
    </row>
    <row r="2958">
      <c r="A2958" s="4" t="s">
        <v>6696</v>
      </c>
      <c r="B2958" s="4" t="s">
        <v>607</v>
      </c>
      <c r="C2958" s="6" t="s">
        <v>607</v>
      </c>
      <c r="D2958" s="6" t="s">
        <v>607</v>
      </c>
      <c r="E2958" s="6" t="s">
        <v>607</v>
      </c>
      <c r="F2958" s="6" t="s">
        <v>607</v>
      </c>
      <c r="G2958" s="4" t="s">
        <v>607</v>
      </c>
      <c r="H2958" s="4" t="s">
        <v>607</v>
      </c>
      <c r="I2958" s="4" t="s">
        <v>607</v>
      </c>
      <c r="J2958" s="4" t="s">
        <v>607</v>
      </c>
      <c r="K2958" s="4" t="s">
        <v>607</v>
      </c>
      <c r="L2958" s="4" t="s">
        <v>607</v>
      </c>
      <c r="M2958" s="4" t="s">
        <v>607</v>
      </c>
      <c r="N2958" s="4" t="s">
        <v>607</v>
      </c>
      <c r="O2958" s="4"/>
      <c r="P2958" s="4"/>
      <c r="T2958" s="4"/>
    </row>
    <row r="2959">
      <c r="A2959" s="4" t="s">
        <v>6697</v>
      </c>
      <c r="B2959" s="4" t="s">
        <v>607</v>
      </c>
      <c r="C2959" s="6" t="s">
        <v>607</v>
      </c>
      <c r="D2959" s="6" t="s">
        <v>607</v>
      </c>
      <c r="E2959" s="6" t="s">
        <v>607</v>
      </c>
      <c r="F2959" s="6" t="s">
        <v>607</v>
      </c>
      <c r="G2959" s="4" t="s">
        <v>607</v>
      </c>
      <c r="H2959" s="4" t="s">
        <v>607</v>
      </c>
      <c r="I2959" s="4" t="s">
        <v>607</v>
      </c>
      <c r="J2959" s="4" t="s">
        <v>607</v>
      </c>
      <c r="K2959" s="4" t="s">
        <v>607</v>
      </c>
      <c r="L2959" s="4" t="s">
        <v>607</v>
      </c>
      <c r="M2959" s="4" t="s">
        <v>607</v>
      </c>
      <c r="N2959" s="4" t="s">
        <v>607</v>
      </c>
      <c r="O2959" s="4"/>
      <c r="P2959" s="4"/>
      <c r="T2959" s="4"/>
    </row>
    <row r="2960">
      <c r="A2960" s="4" t="s">
        <v>6698</v>
      </c>
      <c r="B2960" s="4" t="s">
        <v>607</v>
      </c>
      <c r="C2960" s="6" t="s">
        <v>607</v>
      </c>
      <c r="D2960" s="6" t="s">
        <v>607</v>
      </c>
      <c r="E2960" s="6" t="s">
        <v>607</v>
      </c>
      <c r="F2960" s="6" t="s">
        <v>607</v>
      </c>
      <c r="G2960" s="4" t="s">
        <v>607</v>
      </c>
      <c r="H2960" s="4" t="s">
        <v>607</v>
      </c>
      <c r="I2960" s="4" t="s">
        <v>607</v>
      </c>
      <c r="J2960" s="4" t="s">
        <v>607</v>
      </c>
      <c r="K2960" s="4" t="s">
        <v>607</v>
      </c>
      <c r="L2960" s="4" t="s">
        <v>607</v>
      </c>
      <c r="M2960" s="4" t="s">
        <v>607</v>
      </c>
      <c r="N2960" s="4" t="s">
        <v>607</v>
      </c>
      <c r="O2960" s="4"/>
      <c r="P2960" s="4"/>
      <c r="T2960" s="4"/>
    </row>
    <row r="2961">
      <c r="A2961" s="4" t="s">
        <v>6699</v>
      </c>
      <c r="B2961" s="4" t="s">
        <v>607</v>
      </c>
      <c r="C2961" s="6" t="s">
        <v>607</v>
      </c>
      <c r="D2961" s="6" t="s">
        <v>607</v>
      </c>
      <c r="E2961" s="6" t="s">
        <v>607</v>
      </c>
      <c r="F2961" s="6" t="s">
        <v>607</v>
      </c>
      <c r="G2961" s="4" t="s">
        <v>607</v>
      </c>
      <c r="H2961" s="4" t="s">
        <v>607</v>
      </c>
      <c r="I2961" s="4" t="s">
        <v>607</v>
      </c>
      <c r="J2961" s="4" t="s">
        <v>607</v>
      </c>
      <c r="K2961" s="4" t="s">
        <v>607</v>
      </c>
      <c r="L2961" s="4" t="s">
        <v>607</v>
      </c>
      <c r="M2961" s="4" t="s">
        <v>607</v>
      </c>
      <c r="N2961" s="4" t="s">
        <v>607</v>
      </c>
      <c r="O2961" s="4"/>
      <c r="P2961" s="4"/>
      <c r="T2961" s="4"/>
    </row>
    <row r="2962">
      <c r="A2962" s="4" t="s">
        <v>6700</v>
      </c>
      <c r="B2962" s="4" t="s">
        <v>607</v>
      </c>
      <c r="C2962" s="6" t="s">
        <v>607</v>
      </c>
      <c r="D2962" s="6" t="s">
        <v>607</v>
      </c>
      <c r="E2962" s="6" t="s">
        <v>607</v>
      </c>
      <c r="F2962" s="6" t="s">
        <v>607</v>
      </c>
      <c r="G2962" s="4" t="s">
        <v>607</v>
      </c>
      <c r="H2962" s="4" t="s">
        <v>607</v>
      </c>
      <c r="I2962" s="4" t="s">
        <v>607</v>
      </c>
      <c r="J2962" s="4" t="s">
        <v>607</v>
      </c>
      <c r="K2962" s="4" t="s">
        <v>607</v>
      </c>
      <c r="L2962" s="4" t="s">
        <v>607</v>
      </c>
      <c r="M2962" s="4" t="s">
        <v>607</v>
      </c>
      <c r="N2962" s="4" t="s">
        <v>607</v>
      </c>
      <c r="O2962" s="4"/>
      <c r="P2962" s="4"/>
      <c r="T2962" s="4"/>
    </row>
    <row r="2963">
      <c r="A2963" s="4" t="s">
        <v>6701</v>
      </c>
      <c r="B2963" s="4" t="s">
        <v>607</v>
      </c>
      <c r="C2963" s="6" t="s">
        <v>607</v>
      </c>
      <c r="D2963" s="6" t="s">
        <v>607</v>
      </c>
      <c r="E2963" s="6" t="s">
        <v>607</v>
      </c>
      <c r="F2963" s="6" t="s">
        <v>607</v>
      </c>
      <c r="G2963" s="4" t="s">
        <v>607</v>
      </c>
      <c r="H2963" s="4" t="s">
        <v>607</v>
      </c>
      <c r="I2963" s="4" t="s">
        <v>607</v>
      </c>
      <c r="J2963" s="4" t="s">
        <v>607</v>
      </c>
      <c r="K2963" s="4" t="s">
        <v>607</v>
      </c>
      <c r="L2963" s="4" t="s">
        <v>607</v>
      </c>
      <c r="M2963" s="4" t="s">
        <v>607</v>
      </c>
      <c r="N2963" s="4" t="s">
        <v>607</v>
      </c>
      <c r="O2963" s="4"/>
      <c r="P2963" s="4"/>
      <c r="T2963" s="4"/>
    </row>
    <row r="2964">
      <c r="A2964" s="4" t="s">
        <v>6703</v>
      </c>
      <c r="B2964" s="4" t="s">
        <v>607</v>
      </c>
      <c r="C2964" s="6" t="s">
        <v>607</v>
      </c>
      <c r="D2964" s="6" t="s">
        <v>607</v>
      </c>
      <c r="E2964" s="6" t="s">
        <v>607</v>
      </c>
      <c r="F2964" s="6" t="s">
        <v>607</v>
      </c>
      <c r="G2964" s="4" t="s">
        <v>607</v>
      </c>
      <c r="H2964" s="4" t="s">
        <v>607</v>
      </c>
      <c r="I2964" s="4" t="s">
        <v>607</v>
      </c>
      <c r="J2964" s="4" t="s">
        <v>607</v>
      </c>
      <c r="K2964" s="4" t="s">
        <v>607</v>
      </c>
      <c r="L2964" s="4" t="s">
        <v>607</v>
      </c>
      <c r="M2964" s="4" t="s">
        <v>607</v>
      </c>
      <c r="N2964" s="4" t="s">
        <v>607</v>
      </c>
      <c r="O2964" s="4"/>
      <c r="P2964" s="4"/>
      <c r="T2964" s="4"/>
    </row>
    <row r="2965">
      <c r="A2965" s="4" t="s">
        <v>6704</v>
      </c>
      <c r="B2965" s="4" t="s">
        <v>607</v>
      </c>
      <c r="C2965" s="6" t="s">
        <v>607</v>
      </c>
      <c r="D2965" s="6" t="s">
        <v>607</v>
      </c>
      <c r="E2965" s="6" t="s">
        <v>607</v>
      </c>
      <c r="F2965" s="6" t="s">
        <v>607</v>
      </c>
      <c r="G2965" s="4" t="s">
        <v>607</v>
      </c>
      <c r="H2965" s="4" t="s">
        <v>607</v>
      </c>
      <c r="I2965" s="4" t="s">
        <v>607</v>
      </c>
      <c r="J2965" s="4" t="s">
        <v>607</v>
      </c>
      <c r="K2965" s="4" t="s">
        <v>607</v>
      </c>
      <c r="L2965" s="4" t="s">
        <v>607</v>
      </c>
      <c r="M2965" s="4" t="s">
        <v>607</v>
      </c>
      <c r="N2965" s="4" t="s">
        <v>607</v>
      </c>
      <c r="O2965" s="4"/>
      <c r="P2965" s="4"/>
      <c r="T2965" s="4"/>
    </row>
    <row r="2966">
      <c r="A2966" s="4" t="s">
        <v>6705</v>
      </c>
      <c r="B2966" s="4" t="s">
        <v>607</v>
      </c>
      <c r="C2966" s="6" t="s">
        <v>607</v>
      </c>
      <c r="D2966" s="6" t="s">
        <v>607</v>
      </c>
      <c r="E2966" s="6" t="s">
        <v>607</v>
      </c>
      <c r="F2966" s="6" t="s">
        <v>607</v>
      </c>
      <c r="G2966" s="4" t="s">
        <v>607</v>
      </c>
      <c r="H2966" s="4" t="s">
        <v>607</v>
      </c>
      <c r="I2966" s="4" t="s">
        <v>607</v>
      </c>
      <c r="J2966" s="4" t="s">
        <v>607</v>
      </c>
      <c r="K2966" s="4" t="s">
        <v>607</v>
      </c>
      <c r="L2966" s="4" t="s">
        <v>607</v>
      </c>
      <c r="M2966" s="4" t="s">
        <v>607</v>
      </c>
      <c r="N2966" s="4" t="s">
        <v>607</v>
      </c>
      <c r="O2966" s="4"/>
      <c r="P2966" s="4"/>
      <c r="T2966" s="4"/>
    </row>
    <row r="2967">
      <c r="A2967" s="4" t="s">
        <v>6706</v>
      </c>
      <c r="B2967" s="4" t="s">
        <v>607</v>
      </c>
      <c r="C2967" s="6" t="s">
        <v>607</v>
      </c>
      <c r="D2967" s="6" t="s">
        <v>607</v>
      </c>
      <c r="E2967" s="6" t="s">
        <v>607</v>
      </c>
      <c r="F2967" s="6" t="s">
        <v>607</v>
      </c>
      <c r="G2967" s="4" t="s">
        <v>607</v>
      </c>
      <c r="H2967" s="4" t="s">
        <v>607</v>
      </c>
      <c r="I2967" s="4" t="s">
        <v>607</v>
      </c>
      <c r="J2967" s="4" t="s">
        <v>607</v>
      </c>
      <c r="K2967" s="4" t="s">
        <v>607</v>
      </c>
      <c r="L2967" s="4" t="s">
        <v>607</v>
      </c>
      <c r="M2967" s="4" t="s">
        <v>607</v>
      </c>
      <c r="N2967" s="4" t="s">
        <v>607</v>
      </c>
      <c r="O2967" s="4"/>
      <c r="P2967" s="4"/>
      <c r="T2967" s="4"/>
    </row>
    <row r="2968">
      <c r="A2968" s="4" t="s">
        <v>6707</v>
      </c>
      <c r="B2968" s="4" t="s">
        <v>607</v>
      </c>
      <c r="C2968" s="6" t="s">
        <v>607</v>
      </c>
      <c r="D2968" s="6" t="s">
        <v>607</v>
      </c>
      <c r="E2968" s="6" t="s">
        <v>607</v>
      </c>
      <c r="F2968" s="6" t="s">
        <v>607</v>
      </c>
      <c r="G2968" s="4" t="s">
        <v>607</v>
      </c>
      <c r="H2968" s="4" t="s">
        <v>607</v>
      </c>
      <c r="I2968" s="4" t="s">
        <v>607</v>
      </c>
      <c r="J2968" s="4" t="s">
        <v>607</v>
      </c>
      <c r="K2968" s="4" t="s">
        <v>607</v>
      </c>
      <c r="L2968" s="4" t="s">
        <v>607</v>
      </c>
      <c r="M2968" s="4" t="s">
        <v>607</v>
      </c>
      <c r="N2968" s="4" t="s">
        <v>607</v>
      </c>
      <c r="O2968" s="4"/>
      <c r="P2968" s="4"/>
      <c r="T2968" s="4"/>
    </row>
    <row r="2969">
      <c r="A2969" s="4" t="s">
        <v>6708</v>
      </c>
      <c r="B2969" s="4" t="s">
        <v>607</v>
      </c>
      <c r="C2969" s="6" t="s">
        <v>607</v>
      </c>
      <c r="D2969" s="6" t="s">
        <v>607</v>
      </c>
      <c r="E2969" s="6" t="s">
        <v>607</v>
      </c>
      <c r="F2969" s="6" t="s">
        <v>607</v>
      </c>
      <c r="G2969" s="4" t="s">
        <v>607</v>
      </c>
      <c r="H2969" s="4" t="s">
        <v>607</v>
      </c>
      <c r="I2969" s="4" t="s">
        <v>607</v>
      </c>
      <c r="J2969" s="4" t="s">
        <v>607</v>
      </c>
      <c r="K2969" s="4" t="s">
        <v>607</v>
      </c>
      <c r="L2969" s="4" t="s">
        <v>607</v>
      </c>
      <c r="M2969" s="4" t="s">
        <v>607</v>
      </c>
      <c r="N2969" s="4" t="s">
        <v>607</v>
      </c>
      <c r="O2969" s="4"/>
      <c r="P2969" s="4"/>
      <c r="T2969" s="4"/>
    </row>
    <row r="2970">
      <c r="A2970" s="4" t="s">
        <v>6709</v>
      </c>
      <c r="B2970" s="4" t="s">
        <v>607</v>
      </c>
      <c r="C2970" s="6" t="s">
        <v>607</v>
      </c>
      <c r="D2970" s="6" t="s">
        <v>607</v>
      </c>
      <c r="E2970" s="6" t="s">
        <v>607</v>
      </c>
      <c r="F2970" s="6" t="s">
        <v>607</v>
      </c>
      <c r="G2970" s="4" t="s">
        <v>607</v>
      </c>
      <c r="H2970" s="4" t="s">
        <v>607</v>
      </c>
      <c r="I2970" s="4" t="s">
        <v>607</v>
      </c>
      <c r="J2970" s="4" t="s">
        <v>607</v>
      </c>
      <c r="K2970" s="4" t="s">
        <v>607</v>
      </c>
      <c r="L2970" s="4" t="s">
        <v>607</v>
      </c>
      <c r="M2970" s="4" t="s">
        <v>607</v>
      </c>
      <c r="N2970" s="4" t="s">
        <v>607</v>
      </c>
      <c r="O2970" s="4"/>
      <c r="P2970" s="4"/>
      <c r="T2970" s="4"/>
    </row>
    <row r="2971">
      <c r="A2971" s="4" t="s">
        <v>6712</v>
      </c>
      <c r="B2971" s="4" t="s">
        <v>607</v>
      </c>
      <c r="C2971" s="6" t="s">
        <v>607</v>
      </c>
      <c r="D2971" s="6" t="s">
        <v>607</v>
      </c>
      <c r="E2971" s="6" t="s">
        <v>607</v>
      </c>
      <c r="F2971" s="6" t="s">
        <v>607</v>
      </c>
      <c r="G2971" s="4" t="s">
        <v>607</v>
      </c>
      <c r="H2971" s="4" t="s">
        <v>607</v>
      </c>
      <c r="I2971" s="4" t="s">
        <v>607</v>
      </c>
      <c r="J2971" s="4" t="s">
        <v>607</v>
      </c>
      <c r="K2971" s="4" t="s">
        <v>607</v>
      </c>
      <c r="L2971" s="4" t="s">
        <v>607</v>
      </c>
      <c r="M2971" s="4" t="s">
        <v>607</v>
      </c>
      <c r="N2971" s="4" t="s">
        <v>607</v>
      </c>
      <c r="O2971" s="4"/>
      <c r="P2971" s="4"/>
      <c r="T2971" s="4"/>
    </row>
    <row r="2972">
      <c r="A2972" s="4" t="s">
        <v>6713</v>
      </c>
      <c r="B2972" s="4" t="s">
        <v>607</v>
      </c>
      <c r="C2972" s="6" t="s">
        <v>607</v>
      </c>
      <c r="D2972" s="6" t="s">
        <v>607</v>
      </c>
      <c r="E2972" s="6" t="s">
        <v>607</v>
      </c>
      <c r="F2972" s="6" t="s">
        <v>607</v>
      </c>
      <c r="G2972" s="4" t="s">
        <v>607</v>
      </c>
      <c r="H2972" s="4" t="s">
        <v>607</v>
      </c>
      <c r="I2972" s="4" t="s">
        <v>607</v>
      </c>
      <c r="J2972" s="4" t="s">
        <v>607</v>
      </c>
      <c r="K2972" s="4" t="s">
        <v>607</v>
      </c>
      <c r="L2972" s="4" t="s">
        <v>607</v>
      </c>
      <c r="M2972" s="4" t="s">
        <v>607</v>
      </c>
      <c r="N2972" s="4" t="s">
        <v>607</v>
      </c>
      <c r="O2972" s="4"/>
      <c r="P2972" s="4"/>
      <c r="T2972" s="4"/>
    </row>
    <row r="2973">
      <c r="A2973" s="4" t="s">
        <v>6714</v>
      </c>
      <c r="B2973" s="4" t="s">
        <v>607</v>
      </c>
      <c r="C2973" s="6" t="s">
        <v>607</v>
      </c>
      <c r="D2973" s="6" t="s">
        <v>607</v>
      </c>
      <c r="E2973" s="6" t="s">
        <v>607</v>
      </c>
      <c r="F2973" s="6" t="s">
        <v>607</v>
      </c>
      <c r="G2973" s="4" t="s">
        <v>607</v>
      </c>
      <c r="H2973" s="4" t="s">
        <v>607</v>
      </c>
      <c r="I2973" s="4" t="s">
        <v>607</v>
      </c>
      <c r="J2973" s="4" t="s">
        <v>607</v>
      </c>
      <c r="K2973" s="4" t="s">
        <v>607</v>
      </c>
      <c r="L2973" s="4" t="s">
        <v>607</v>
      </c>
      <c r="M2973" s="4" t="s">
        <v>607</v>
      </c>
      <c r="N2973" s="4" t="s">
        <v>607</v>
      </c>
      <c r="O2973" s="4"/>
      <c r="P2973" s="4"/>
      <c r="T2973" s="4"/>
    </row>
    <row r="2974">
      <c r="A2974" s="4" t="s">
        <v>6715</v>
      </c>
      <c r="B2974" s="4" t="s">
        <v>607</v>
      </c>
      <c r="C2974" s="6" t="s">
        <v>607</v>
      </c>
      <c r="D2974" s="6" t="s">
        <v>607</v>
      </c>
      <c r="E2974" s="6" t="s">
        <v>607</v>
      </c>
      <c r="F2974" s="6" t="s">
        <v>607</v>
      </c>
      <c r="G2974" s="4" t="s">
        <v>607</v>
      </c>
      <c r="H2974" s="4" t="s">
        <v>607</v>
      </c>
      <c r="I2974" s="4" t="s">
        <v>607</v>
      </c>
      <c r="J2974" s="4" t="s">
        <v>607</v>
      </c>
      <c r="K2974" s="4" t="s">
        <v>607</v>
      </c>
      <c r="L2974" s="4" t="s">
        <v>607</v>
      </c>
      <c r="M2974" s="4" t="s">
        <v>607</v>
      </c>
      <c r="N2974" s="4" t="s">
        <v>607</v>
      </c>
      <c r="O2974" s="4"/>
      <c r="P2974" s="4"/>
      <c r="T2974" s="4"/>
    </row>
    <row r="2975">
      <c r="A2975" s="4" t="s">
        <v>6717</v>
      </c>
      <c r="B2975" s="4" t="s">
        <v>607</v>
      </c>
      <c r="C2975" s="6" t="s">
        <v>607</v>
      </c>
      <c r="D2975" s="6" t="s">
        <v>607</v>
      </c>
      <c r="E2975" s="6" t="s">
        <v>607</v>
      </c>
      <c r="F2975" s="6" t="s">
        <v>607</v>
      </c>
      <c r="G2975" s="4" t="s">
        <v>607</v>
      </c>
      <c r="H2975" s="4" t="s">
        <v>607</v>
      </c>
      <c r="I2975" s="4" t="s">
        <v>607</v>
      </c>
      <c r="J2975" s="4" t="s">
        <v>607</v>
      </c>
      <c r="K2975" s="4" t="s">
        <v>607</v>
      </c>
      <c r="L2975" s="4" t="s">
        <v>607</v>
      </c>
      <c r="M2975" s="4" t="s">
        <v>607</v>
      </c>
      <c r="N2975" s="4" t="s">
        <v>607</v>
      </c>
      <c r="O2975" s="4"/>
      <c r="P2975" s="4"/>
      <c r="T2975" s="4"/>
    </row>
    <row r="2976">
      <c r="A2976" s="4" t="s">
        <v>6718</v>
      </c>
      <c r="B2976" s="4" t="s">
        <v>607</v>
      </c>
      <c r="C2976" s="6" t="s">
        <v>607</v>
      </c>
      <c r="D2976" s="6" t="s">
        <v>607</v>
      </c>
      <c r="E2976" s="6" t="s">
        <v>607</v>
      </c>
      <c r="F2976" s="6" t="s">
        <v>607</v>
      </c>
      <c r="G2976" s="4" t="s">
        <v>607</v>
      </c>
      <c r="H2976" s="4" t="s">
        <v>607</v>
      </c>
      <c r="I2976" s="4" t="s">
        <v>607</v>
      </c>
      <c r="J2976" s="4" t="s">
        <v>607</v>
      </c>
      <c r="K2976" s="4" t="s">
        <v>607</v>
      </c>
      <c r="L2976" s="4" t="s">
        <v>607</v>
      </c>
      <c r="M2976" s="4" t="s">
        <v>607</v>
      </c>
      <c r="N2976" s="4" t="s">
        <v>607</v>
      </c>
      <c r="O2976" s="4"/>
      <c r="P2976" s="4"/>
      <c r="T2976" s="4"/>
    </row>
    <row r="2977">
      <c r="A2977" s="4" t="s">
        <v>6719</v>
      </c>
      <c r="B2977" s="4" t="s">
        <v>607</v>
      </c>
      <c r="C2977" s="6" t="s">
        <v>607</v>
      </c>
      <c r="D2977" s="6" t="s">
        <v>607</v>
      </c>
      <c r="E2977" s="6" t="s">
        <v>607</v>
      </c>
      <c r="F2977" s="6" t="s">
        <v>607</v>
      </c>
      <c r="G2977" s="4" t="s">
        <v>607</v>
      </c>
      <c r="H2977" s="4" t="s">
        <v>607</v>
      </c>
      <c r="I2977" s="4" t="s">
        <v>607</v>
      </c>
      <c r="J2977" s="4" t="s">
        <v>607</v>
      </c>
      <c r="K2977" s="4" t="s">
        <v>607</v>
      </c>
      <c r="L2977" s="4" t="s">
        <v>607</v>
      </c>
      <c r="M2977" s="4" t="s">
        <v>607</v>
      </c>
      <c r="N2977" s="4" t="s">
        <v>607</v>
      </c>
      <c r="O2977" s="4"/>
      <c r="P2977" s="4"/>
      <c r="T2977" s="4"/>
    </row>
    <row r="2978">
      <c r="A2978" s="4" t="s">
        <v>6721</v>
      </c>
      <c r="B2978" s="4" t="s">
        <v>607</v>
      </c>
      <c r="C2978" s="6" t="s">
        <v>607</v>
      </c>
      <c r="D2978" s="6" t="s">
        <v>607</v>
      </c>
      <c r="E2978" s="6" t="s">
        <v>607</v>
      </c>
      <c r="F2978" s="6" t="s">
        <v>607</v>
      </c>
      <c r="G2978" s="4" t="s">
        <v>607</v>
      </c>
      <c r="H2978" s="4" t="s">
        <v>607</v>
      </c>
      <c r="I2978" s="4" t="s">
        <v>607</v>
      </c>
      <c r="J2978" s="4" t="s">
        <v>607</v>
      </c>
      <c r="K2978" s="4" t="s">
        <v>607</v>
      </c>
      <c r="L2978" s="4" t="s">
        <v>607</v>
      </c>
      <c r="M2978" s="4" t="s">
        <v>607</v>
      </c>
      <c r="N2978" s="4" t="s">
        <v>607</v>
      </c>
      <c r="O2978" s="4"/>
      <c r="P2978" s="4"/>
      <c r="T2978" s="4"/>
    </row>
    <row r="2979">
      <c r="A2979" s="4" t="s">
        <v>6722</v>
      </c>
      <c r="B2979" s="4" t="s">
        <v>607</v>
      </c>
      <c r="C2979" s="6" t="s">
        <v>607</v>
      </c>
      <c r="D2979" s="6" t="s">
        <v>607</v>
      </c>
      <c r="E2979" s="6" t="s">
        <v>607</v>
      </c>
      <c r="F2979" s="6" t="s">
        <v>607</v>
      </c>
      <c r="G2979" s="4" t="s">
        <v>607</v>
      </c>
      <c r="H2979" s="4" t="s">
        <v>607</v>
      </c>
      <c r="I2979" s="4" t="s">
        <v>607</v>
      </c>
      <c r="J2979" s="4" t="s">
        <v>607</v>
      </c>
      <c r="K2979" s="4" t="s">
        <v>607</v>
      </c>
      <c r="L2979" s="4" t="s">
        <v>607</v>
      </c>
      <c r="M2979" s="4" t="s">
        <v>607</v>
      </c>
      <c r="N2979" s="4" t="s">
        <v>607</v>
      </c>
      <c r="O2979" s="4"/>
      <c r="P2979" s="4"/>
      <c r="T2979" s="4"/>
    </row>
    <row r="2980">
      <c r="A2980" s="4" t="s">
        <v>6724</v>
      </c>
      <c r="B2980" s="4" t="s">
        <v>607</v>
      </c>
      <c r="C2980" s="6" t="s">
        <v>607</v>
      </c>
      <c r="D2980" s="6" t="s">
        <v>607</v>
      </c>
      <c r="E2980" s="6" t="s">
        <v>607</v>
      </c>
      <c r="F2980" s="6" t="s">
        <v>607</v>
      </c>
      <c r="G2980" s="4" t="s">
        <v>607</v>
      </c>
      <c r="H2980" s="4" t="s">
        <v>607</v>
      </c>
      <c r="I2980" s="4" t="s">
        <v>607</v>
      </c>
      <c r="J2980" s="4" t="s">
        <v>607</v>
      </c>
      <c r="K2980" s="4" t="s">
        <v>607</v>
      </c>
      <c r="L2980" s="4" t="s">
        <v>607</v>
      </c>
      <c r="M2980" s="4" t="s">
        <v>607</v>
      </c>
      <c r="N2980" s="4" t="s">
        <v>607</v>
      </c>
      <c r="O2980" s="4"/>
      <c r="P2980" s="4"/>
      <c r="T2980" s="4"/>
    </row>
    <row r="2981">
      <c r="A2981" s="4" t="s">
        <v>6725</v>
      </c>
      <c r="B2981" s="4" t="s">
        <v>607</v>
      </c>
      <c r="C2981" s="6" t="s">
        <v>607</v>
      </c>
      <c r="D2981" s="6" t="s">
        <v>607</v>
      </c>
      <c r="E2981" s="6" t="s">
        <v>607</v>
      </c>
      <c r="F2981" s="6" t="s">
        <v>607</v>
      </c>
      <c r="G2981" s="4" t="s">
        <v>607</v>
      </c>
      <c r="H2981" s="4" t="s">
        <v>607</v>
      </c>
      <c r="I2981" s="4" t="s">
        <v>607</v>
      </c>
      <c r="J2981" s="4" t="s">
        <v>607</v>
      </c>
      <c r="K2981" s="4" t="s">
        <v>607</v>
      </c>
      <c r="L2981" s="4" t="s">
        <v>607</v>
      </c>
      <c r="M2981" s="4" t="s">
        <v>607</v>
      </c>
      <c r="N2981" s="4" t="s">
        <v>607</v>
      </c>
      <c r="O2981" s="4"/>
      <c r="P2981" s="4"/>
      <c r="T2981" s="4"/>
    </row>
    <row r="2982">
      <c r="A2982" s="4" t="s">
        <v>6726</v>
      </c>
      <c r="B2982" s="4" t="s">
        <v>607</v>
      </c>
      <c r="C2982" s="6" t="s">
        <v>607</v>
      </c>
      <c r="D2982" s="6" t="s">
        <v>607</v>
      </c>
      <c r="E2982" s="6" t="s">
        <v>607</v>
      </c>
      <c r="F2982" s="6" t="s">
        <v>607</v>
      </c>
      <c r="G2982" s="4" t="s">
        <v>607</v>
      </c>
      <c r="H2982" s="4" t="s">
        <v>607</v>
      </c>
      <c r="I2982" s="4" t="s">
        <v>607</v>
      </c>
      <c r="J2982" s="4" t="s">
        <v>607</v>
      </c>
      <c r="K2982" s="4" t="s">
        <v>607</v>
      </c>
      <c r="L2982" s="4" t="s">
        <v>607</v>
      </c>
      <c r="M2982" s="4" t="s">
        <v>607</v>
      </c>
      <c r="N2982" s="4" t="s">
        <v>607</v>
      </c>
      <c r="O2982" s="4"/>
      <c r="P2982" s="4"/>
      <c r="T2982" s="4"/>
    </row>
    <row r="2983">
      <c r="A2983" s="4" t="s">
        <v>6727</v>
      </c>
      <c r="B2983" s="4" t="s">
        <v>607</v>
      </c>
      <c r="C2983" s="6" t="s">
        <v>607</v>
      </c>
      <c r="D2983" s="6" t="s">
        <v>607</v>
      </c>
      <c r="E2983" s="6" t="s">
        <v>607</v>
      </c>
      <c r="F2983" s="6" t="s">
        <v>607</v>
      </c>
      <c r="G2983" s="4" t="s">
        <v>607</v>
      </c>
      <c r="H2983" s="4" t="s">
        <v>607</v>
      </c>
      <c r="I2983" s="4" t="s">
        <v>607</v>
      </c>
      <c r="J2983" s="4" t="s">
        <v>607</v>
      </c>
      <c r="K2983" s="4" t="s">
        <v>607</v>
      </c>
      <c r="L2983" s="4" t="s">
        <v>607</v>
      </c>
      <c r="M2983" s="4" t="s">
        <v>607</v>
      </c>
      <c r="N2983" s="4" t="s">
        <v>607</v>
      </c>
      <c r="O2983" s="4"/>
      <c r="P2983" s="4"/>
      <c r="T2983" s="4"/>
    </row>
    <row r="2984">
      <c r="A2984" s="4" t="s">
        <v>6728</v>
      </c>
      <c r="B2984" s="4" t="s">
        <v>607</v>
      </c>
      <c r="C2984" s="6" t="s">
        <v>607</v>
      </c>
      <c r="D2984" s="6" t="s">
        <v>607</v>
      </c>
      <c r="E2984" s="6" t="s">
        <v>607</v>
      </c>
      <c r="F2984" s="6" t="s">
        <v>607</v>
      </c>
      <c r="G2984" s="4" t="s">
        <v>607</v>
      </c>
      <c r="H2984" s="4" t="s">
        <v>607</v>
      </c>
      <c r="I2984" s="4" t="s">
        <v>607</v>
      </c>
      <c r="J2984" s="4" t="s">
        <v>607</v>
      </c>
      <c r="K2984" s="4" t="s">
        <v>607</v>
      </c>
      <c r="L2984" s="4" t="s">
        <v>607</v>
      </c>
      <c r="M2984" s="4" t="s">
        <v>607</v>
      </c>
      <c r="N2984" s="4" t="s">
        <v>607</v>
      </c>
      <c r="O2984" s="4"/>
      <c r="P2984" s="4"/>
      <c r="T2984" s="4"/>
    </row>
    <row r="2985">
      <c r="A2985" s="4" t="s">
        <v>6729</v>
      </c>
      <c r="B2985" s="4" t="s">
        <v>607</v>
      </c>
      <c r="C2985" s="6" t="s">
        <v>607</v>
      </c>
      <c r="D2985" s="6" t="s">
        <v>607</v>
      </c>
      <c r="E2985" s="6" t="s">
        <v>607</v>
      </c>
      <c r="F2985" s="6" t="s">
        <v>607</v>
      </c>
      <c r="G2985" s="4" t="s">
        <v>607</v>
      </c>
      <c r="H2985" s="4" t="s">
        <v>607</v>
      </c>
      <c r="I2985" s="4" t="s">
        <v>607</v>
      </c>
      <c r="J2985" s="4" t="s">
        <v>607</v>
      </c>
      <c r="K2985" s="4" t="s">
        <v>607</v>
      </c>
      <c r="L2985" s="4" t="s">
        <v>607</v>
      </c>
      <c r="M2985" s="4" t="s">
        <v>607</v>
      </c>
      <c r="N2985" s="4" t="s">
        <v>607</v>
      </c>
      <c r="O2985" s="4"/>
      <c r="P2985" s="4"/>
      <c r="T2985" s="4"/>
    </row>
    <row r="2986">
      <c r="A2986" s="4" t="s">
        <v>6730</v>
      </c>
      <c r="B2986" s="4" t="s">
        <v>607</v>
      </c>
      <c r="C2986" s="6" t="s">
        <v>607</v>
      </c>
      <c r="D2986" s="6" t="s">
        <v>607</v>
      </c>
      <c r="E2986" s="6" t="s">
        <v>607</v>
      </c>
      <c r="F2986" s="6" t="s">
        <v>607</v>
      </c>
      <c r="G2986" s="4" t="s">
        <v>607</v>
      </c>
      <c r="H2986" s="4" t="s">
        <v>607</v>
      </c>
      <c r="I2986" s="4" t="s">
        <v>607</v>
      </c>
      <c r="J2986" s="4" t="s">
        <v>607</v>
      </c>
      <c r="K2986" s="4" t="s">
        <v>607</v>
      </c>
      <c r="L2986" s="4" t="s">
        <v>607</v>
      </c>
      <c r="M2986" s="4" t="s">
        <v>607</v>
      </c>
      <c r="N2986" s="4" t="s">
        <v>607</v>
      </c>
      <c r="O2986" s="4"/>
      <c r="P2986" s="4"/>
      <c r="T2986" s="4"/>
    </row>
    <row r="2987">
      <c r="A2987" s="4" t="s">
        <v>6732</v>
      </c>
      <c r="B2987" s="4" t="s">
        <v>607</v>
      </c>
      <c r="C2987" s="6" t="s">
        <v>607</v>
      </c>
      <c r="D2987" s="6" t="s">
        <v>607</v>
      </c>
      <c r="E2987" s="6" t="s">
        <v>607</v>
      </c>
      <c r="F2987" s="6" t="s">
        <v>607</v>
      </c>
      <c r="G2987" s="4" t="s">
        <v>607</v>
      </c>
      <c r="H2987" s="4" t="s">
        <v>607</v>
      </c>
      <c r="I2987" s="4" t="s">
        <v>607</v>
      </c>
      <c r="J2987" s="4" t="s">
        <v>607</v>
      </c>
      <c r="K2987" s="4" t="s">
        <v>607</v>
      </c>
      <c r="L2987" s="4" t="s">
        <v>607</v>
      </c>
      <c r="M2987" s="4" t="s">
        <v>607</v>
      </c>
      <c r="N2987" s="4" t="s">
        <v>607</v>
      </c>
      <c r="O2987" s="4"/>
      <c r="P2987" s="4"/>
      <c r="T2987" s="4"/>
    </row>
    <row r="2988">
      <c r="A2988" s="4" t="s">
        <v>6734</v>
      </c>
      <c r="B2988" s="4" t="s">
        <v>607</v>
      </c>
      <c r="C2988" s="6" t="s">
        <v>607</v>
      </c>
      <c r="D2988" s="6" t="s">
        <v>607</v>
      </c>
      <c r="E2988" s="6" t="s">
        <v>607</v>
      </c>
      <c r="F2988" s="6" t="s">
        <v>607</v>
      </c>
      <c r="G2988" s="4" t="s">
        <v>607</v>
      </c>
      <c r="H2988" s="4" t="s">
        <v>607</v>
      </c>
      <c r="I2988" s="4" t="s">
        <v>607</v>
      </c>
      <c r="J2988" s="4" t="s">
        <v>607</v>
      </c>
      <c r="K2988" s="4" t="s">
        <v>607</v>
      </c>
      <c r="L2988" s="4" t="s">
        <v>607</v>
      </c>
      <c r="M2988" s="4" t="s">
        <v>607</v>
      </c>
      <c r="N2988" s="4" t="s">
        <v>607</v>
      </c>
      <c r="O2988" s="4"/>
      <c r="P2988" s="4"/>
      <c r="T2988" s="4"/>
    </row>
    <row r="2989">
      <c r="A2989" s="4" t="s">
        <v>6735</v>
      </c>
      <c r="B2989" s="4" t="s">
        <v>607</v>
      </c>
      <c r="C2989" s="6" t="s">
        <v>607</v>
      </c>
      <c r="D2989" s="6" t="s">
        <v>607</v>
      </c>
      <c r="E2989" s="6" t="s">
        <v>607</v>
      </c>
      <c r="F2989" s="6" t="s">
        <v>607</v>
      </c>
      <c r="G2989" s="4" t="s">
        <v>607</v>
      </c>
      <c r="H2989" s="4" t="s">
        <v>607</v>
      </c>
      <c r="I2989" s="4" t="s">
        <v>607</v>
      </c>
      <c r="J2989" s="4" t="s">
        <v>607</v>
      </c>
      <c r="K2989" s="4" t="s">
        <v>607</v>
      </c>
      <c r="L2989" s="4" t="s">
        <v>607</v>
      </c>
      <c r="M2989" s="4" t="s">
        <v>607</v>
      </c>
      <c r="N2989" s="4" t="s">
        <v>607</v>
      </c>
      <c r="O2989" s="4"/>
      <c r="P2989" s="4"/>
      <c r="T2989" s="4"/>
    </row>
    <row r="2990">
      <c r="A2990" s="4" t="s">
        <v>6736</v>
      </c>
      <c r="B2990" s="4" t="s">
        <v>607</v>
      </c>
      <c r="C2990" s="6" t="s">
        <v>607</v>
      </c>
      <c r="D2990" s="6" t="s">
        <v>607</v>
      </c>
      <c r="E2990" s="6" t="s">
        <v>607</v>
      </c>
      <c r="F2990" s="6" t="s">
        <v>607</v>
      </c>
      <c r="G2990" s="4" t="s">
        <v>607</v>
      </c>
      <c r="H2990" s="4" t="s">
        <v>607</v>
      </c>
      <c r="I2990" s="4" t="s">
        <v>607</v>
      </c>
      <c r="J2990" s="4" t="s">
        <v>607</v>
      </c>
      <c r="K2990" s="4" t="s">
        <v>607</v>
      </c>
      <c r="L2990" s="4" t="s">
        <v>607</v>
      </c>
      <c r="M2990" s="4" t="s">
        <v>607</v>
      </c>
      <c r="N2990" s="4" t="s">
        <v>607</v>
      </c>
      <c r="O2990" s="4"/>
      <c r="P2990" s="4"/>
      <c r="T2990" s="4"/>
    </row>
    <row r="2991">
      <c r="A2991" s="4" t="s">
        <v>6737</v>
      </c>
      <c r="B2991" s="4" t="s">
        <v>607</v>
      </c>
      <c r="C2991" s="6" t="s">
        <v>607</v>
      </c>
      <c r="D2991" s="6" t="s">
        <v>607</v>
      </c>
      <c r="E2991" s="6" t="s">
        <v>607</v>
      </c>
      <c r="F2991" s="6" t="s">
        <v>607</v>
      </c>
      <c r="G2991" s="4" t="s">
        <v>607</v>
      </c>
      <c r="H2991" s="4" t="s">
        <v>607</v>
      </c>
      <c r="I2991" s="4" t="s">
        <v>607</v>
      </c>
      <c r="J2991" s="4" t="s">
        <v>607</v>
      </c>
      <c r="K2991" s="4" t="s">
        <v>607</v>
      </c>
      <c r="L2991" s="4" t="s">
        <v>607</v>
      </c>
      <c r="M2991" s="4" t="s">
        <v>607</v>
      </c>
      <c r="N2991" s="4" t="s">
        <v>607</v>
      </c>
      <c r="O2991" s="4"/>
      <c r="P2991" s="4"/>
      <c r="T2991" s="4"/>
    </row>
    <row r="2992">
      <c r="A2992" s="4" t="s">
        <v>6738</v>
      </c>
      <c r="B2992" s="4" t="s">
        <v>607</v>
      </c>
      <c r="C2992" s="6" t="s">
        <v>607</v>
      </c>
      <c r="D2992" s="6" t="s">
        <v>607</v>
      </c>
      <c r="E2992" s="6" t="s">
        <v>607</v>
      </c>
      <c r="F2992" s="6" t="s">
        <v>607</v>
      </c>
      <c r="G2992" s="4" t="s">
        <v>607</v>
      </c>
      <c r="H2992" s="4" t="s">
        <v>607</v>
      </c>
      <c r="I2992" s="4" t="s">
        <v>607</v>
      </c>
      <c r="J2992" s="4" t="s">
        <v>607</v>
      </c>
      <c r="K2992" s="4" t="s">
        <v>607</v>
      </c>
      <c r="L2992" s="4" t="s">
        <v>607</v>
      </c>
      <c r="M2992" s="4" t="s">
        <v>607</v>
      </c>
      <c r="N2992" s="4" t="s">
        <v>607</v>
      </c>
      <c r="O2992" s="4"/>
      <c r="P2992" s="4"/>
      <c r="T2992" s="4"/>
    </row>
    <row r="2993">
      <c r="A2993" s="4" t="s">
        <v>6739</v>
      </c>
      <c r="B2993" s="4" t="s">
        <v>607</v>
      </c>
      <c r="C2993" s="6" t="s">
        <v>607</v>
      </c>
      <c r="D2993" s="6" t="s">
        <v>607</v>
      </c>
      <c r="E2993" s="6" t="s">
        <v>607</v>
      </c>
      <c r="F2993" s="6" t="s">
        <v>607</v>
      </c>
      <c r="G2993" s="4" t="s">
        <v>607</v>
      </c>
      <c r="H2993" s="4" t="s">
        <v>607</v>
      </c>
      <c r="I2993" s="4" t="s">
        <v>607</v>
      </c>
      <c r="J2993" s="4" t="s">
        <v>607</v>
      </c>
      <c r="K2993" s="4" t="s">
        <v>607</v>
      </c>
      <c r="L2993" s="4" t="s">
        <v>607</v>
      </c>
      <c r="M2993" s="4" t="s">
        <v>607</v>
      </c>
      <c r="N2993" s="4" t="s">
        <v>607</v>
      </c>
      <c r="O2993" s="4"/>
      <c r="P2993" s="4"/>
      <c r="T2993" s="4"/>
    </row>
    <row r="2994">
      <c r="A2994" s="4" t="s">
        <v>6740</v>
      </c>
      <c r="B2994" s="4" t="s">
        <v>607</v>
      </c>
      <c r="C2994" s="6" t="s">
        <v>607</v>
      </c>
      <c r="D2994" s="6" t="s">
        <v>607</v>
      </c>
      <c r="E2994" s="6" t="s">
        <v>607</v>
      </c>
      <c r="F2994" s="6" t="s">
        <v>607</v>
      </c>
      <c r="G2994" s="4" t="s">
        <v>607</v>
      </c>
      <c r="H2994" s="4" t="s">
        <v>607</v>
      </c>
      <c r="I2994" s="4" t="s">
        <v>607</v>
      </c>
      <c r="J2994" s="4" t="s">
        <v>607</v>
      </c>
      <c r="K2994" s="4" t="s">
        <v>607</v>
      </c>
      <c r="L2994" s="4" t="s">
        <v>607</v>
      </c>
      <c r="M2994" s="4" t="s">
        <v>607</v>
      </c>
      <c r="N2994" s="4" t="s">
        <v>607</v>
      </c>
      <c r="O2994" s="4"/>
      <c r="P2994" s="4"/>
      <c r="T2994" s="4"/>
    </row>
    <row r="2995">
      <c r="A2995" s="4" t="s">
        <v>6741</v>
      </c>
      <c r="B2995" s="4" t="s">
        <v>607</v>
      </c>
      <c r="C2995" s="6" t="s">
        <v>607</v>
      </c>
      <c r="D2995" s="6" t="s">
        <v>607</v>
      </c>
      <c r="E2995" s="6" t="s">
        <v>607</v>
      </c>
      <c r="F2995" s="6" t="s">
        <v>607</v>
      </c>
      <c r="G2995" s="4" t="s">
        <v>607</v>
      </c>
      <c r="H2995" s="4" t="s">
        <v>607</v>
      </c>
      <c r="I2995" s="4" t="s">
        <v>607</v>
      </c>
      <c r="J2995" s="4" t="s">
        <v>607</v>
      </c>
      <c r="K2995" s="4" t="s">
        <v>607</v>
      </c>
      <c r="L2995" s="4" t="s">
        <v>607</v>
      </c>
      <c r="M2995" s="4" t="s">
        <v>607</v>
      </c>
      <c r="N2995" s="4" t="s">
        <v>607</v>
      </c>
      <c r="O2995" s="4"/>
      <c r="P2995" s="4"/>
      <c r="T2995" s="4"/>
    </row>
    <row r="2996">
      <c r="A2996" s="4" t="s">
        <v>6742</v>
      </c>
      <c r="B2996" s="4" t="s">
        <v>607</v>
      </c>
      <c r="C2996" s="6" t="s">
        <v>607</v>
      </c>
      <c r="D2996" s="6" t="s">
        <v>607</v>
      </c>
      <c r="E2996" s="6" t="s">
        <v>607</v>
      </c>
      <c r="F2996" s="6" t="s">
        <v>607</v>
      </c>
      <c r="G2996" s="4" t="s">
        <v>607</v>
      </c>
      <c r="H2996" s="4" t="s">
        <v>607</v>
      </c>
      <c r="I2996" s="4" t="s">
        <v>607</v>
      </c>
      <c r="J2996" s="4" t="s">
        <v>607</v>
      </c>
      <c r="K2996" s="4" t="s">
        <v>607</v>
      </c>
      <c r="L2996" s="4" t="s">
        <v>607</v>
      </c>
      <c r="M2996" s="4" t="s">
        <v>607</v>
      </c>
      <c r="N2996" s="4" t="s">
        <v>607</v>
      </c>
      <c r="O2996" s="4"/>
      <c r="P2996" s="4"/>
      <c r="T2996" s="4"/>
    </row>
    <row r="2997">
      <c r="A2997" s="4" t="s">
        <v>6743</v>
      </c>
      <c r="B2997" s="4" t="s">
        <v>607</v>
      </c>
      <c r="C2997" s="6" t="s">
        <v>607</v>
      </c>
      <c r="D2997" s="6" t="s">
        <v>607</v>
      </c>
      <c r="E2997" s="6" t="s">
        <v>607</v>
      </c>
      <c r="F2997" s="6" t="s">
        <v>607</v>
      </c>
      <c r="G2997" s="4" t="s">
        <v>607</v>
      </c>
      <c r="H2997" s="4" t="s">
        <v>607</v>
      </c>
      <c r="I2997" s="4" t="s">
        <v>607</v>
      </c>
      <c r="J2997" s="4" t="s">
        <v>607</v>
      </c>
      <c r="K2997" s="4" t="s">
        <v>607</v>
      </c>
      <c r="L2997" s="4" t="s">
        <v>607</v>
      </c>
      <c r="M2997" s="4" t="s">
        <v>607</v>
      </c>
      <c r="N2997" s="4" t="s">
        <v>607</v>
      </c>
      <c r="O2997" s="4"/>
      <c r="P2997" s="4"/>
      <c r="T2997" s="4"/>
    </row>
    <row r="2998">
      <c r="A2998" s="4" t="s">
        <v>6745</v>
      </c>
      <c r="B2998" s="4" t="s">
        <v>607</v>
      </c>
      <c r="C2998" s="6" t="s">
        <v>607</v>
      </c>
      <c r="D2998" s="6" t="s">
        <v>607</v>
      </c>
      <c r="E2998" s="6" t="s">
        <v>607</v>
      </c>
      <c r="F2998" s="6" t="s">
        <v>607</v>
      </c>
      <c r="G2998" s="4" t="s">
        <v>607</v>
      </c>
      <c r="H2998" s="4" t="s">
        <v>607</v>
      </c>
      <c r="I2998" s="4" t="s">
        <v>607</v>
      </c>
      <c r="J2998" s="4" t="s">
        <v>607</v>
      </c>
      <c r="K2998" s="4" t="s">
        <v>607</v>
      </c>
      <c r="L2998" s="4" t="s">
        <v>607</v>
      </c>
      <c r="M2998" s="4" t="s">
        <v>607</v>
      </c>
      <c r="N2998" s="4" t="s">
        <v>607</v>
      </c>
      <c r="O2998" s="4"/>
      <c r="P2998" s="4"/>
      <c r="T2998" s="4"/>
    </row>
    <row r="2999">
      <c r="A2999" s="4" t="s">
        <v>6746</v>
      </c>
      <c r="B2999" s="4" t="s">
        <v>607</v>
      </c>
      <c r="C2999" s="6" t="s">
        <v>607</v>
      </c>
      <c r="D2999" s="6" t="s">
        <v>607</v>
      </c>
      <c r="E2999" s="6" t="s">
        <v>607</v>
      </c>
      <c r="F2999" s="6" t="s">
        <v>607</v>
      </c>
      <c r="G2999" s="4" t="s">
        <v>607</v>
      </c>
      <c r="H2999" s="4" t="s">
        <v>607</v>
      </c>
      <c r="I2999" s="4" t="s">
        <v>607</v>
      </c>
      <c r="J2999" s="4" t="s">
        <v>607</v>
      </c>
      <c r="K2999" s="4" t="s">
        <v>607</v>
      </c>
      <c r="L2999" s="4" t="s">
        <v>607</v>
      </c>
      <c r="M2999" s="4" t="s">
        <v>607</v>
      </c>
      <c r="N2999" s="4" t="s">
        <v>607</v>
      </c>
      <c r="O2999" s="4"/>
      <c r="P2999" s="4"/>
      <c r="T2999" s="4"/>
    </row>
    <row r="3000">
      <c r="A3000" s="4" t="s">
        <v>6747</v>
      </c>
      <c r="B3000" s="4" t="s">
        <v>607</v>
      </c>
      <c r="C3000" s="6" t="s">
        <v>607</v>
      </c>
      <c r="D3000" s="6" t="s">
        <v>607</v>
      </c>
      <c r="E3000" s="6" t="s">
        <v>607</v>
      </c>
      <c r="F3000" s="6" t="s">
        <v>607</v>
      </c>
      <c r="G3000" s="4" t="s">
        <v>607</v>
      </c>
      <c r="H3000" s="4" t="s">
        <v>607</v>
      </c>
      <c r="I3000" s="4" t="s">
        <v>607</v>
      </c>
      <c r="J3000" s="4" t="s">
        <v>607</v>
      </c>
      <c r="K3000" s="4" t="s">
        <v>607</v>
      </c>
      <c r="L3000" s="4" t="s">
        <v>607</v>
      </c>
      <c r="M3000" s="4" t="s">
        <v>607</v>
      </c>
      <c r="N3000" s="4" t="s">
        <v>607</v>
      </c>
      <c r="O3000" s="4"/>
      <c r="P3000" s="4"/>
      <c r="T3000" s="4"/>
    </row>
  </sheetData>
  <customSheetViews>
    <customSheetView guid="{80A1A570-643A-42D6-8848-5877EAD39373}" filter="1" showAutoFilter="1">
      <autoFilter ref="$A$1:$Z$3000">
        <filterColumn colId="13">
          <filters>
            <filter val="Solving the climate crisis is as important today as it was in 2017. In this talk we hear from Al Gore about the innovation community's role in solving this crisis."/>
            <filter val="Featuring Lamborghini, Aston Martin, Porsche, Daimler and Volkswagen. There's just something exciting about a new car. You know a good one when you see it, and these are five of the best. Tune in to see some amazing cars unveiled on stage."/>
            <filter val="It is often claimed that a business can either do good or make money, but not both. At Web Summit 2018, Lisa Jackson explained to us why this is not true, saying businesses can do well by doing good."/>
            <filter val="Drew Houston went from eating hot pockets to leading Dropbox to a valuation of $1 billion. How did he get there and what did he learn along the way? Tune in to find out!"/>
            <filter val="In 1989, Tim Berners-Lee invented the world wide web. In 2018 he joined us at Web Summit to tell us about the future of the web and his work to ensure it is safe and accessible to all."/>
            <filter val="Have you ever wanted to tidy your house but just didn't know where to start? Well, you've come to the right place. Tune in to hear from Marie Kondo on how to spark joy and declutter your life."/>
            <filter val="Top 5 musicians : Martin Garrix, Timbaland, Jessie Reyez, Bono, Mike Shinoda"/>
            <filter val="Ed Catmull is the creative genius behind some of the most beloved animated movies of all time. He is a 2020 Turing award recipient, an Oscar winner and, in 2015, was a Web Summit speaker. Tune in to learn from this creative genius."/>
            <filter val="Featuring Loliware, Nutrix, Wayve AI, Codacy and Logivan. The annual Web Summit PITCH competition showcases the best startups in the world. This compilation brings you the best of the best – our top winners from the last 10 years."/>
            <filter val="Featuring Alexander Wang, Nadja Swarovski, Daniel Grieder, Lily Cole and Sara Sampaio. Want to go from being a fashion zero to a fashion hero? Then tune in now to hear from five of the most fashionable people of all time!"/>
            <filter val="Ford has been working to improve freedom of mobility to make people's lives better. Bill Ford wants everyone from startups to tech giants to help bring about the next revolution in transport."/>
            <filter val="Join this fireside to find out why GGV Capital’s Jenny Lee – one of the world’s leading female investors – sees Asia as the next innovation hub, how she deciphers the Chinese markets, and what her own checklist is when creating a good product."/>
            <filter val="Top 5 CMOs, CTOs,"/>
            <filter val="Four years ago, Mike Schroepfer joined us at Web Summit to explore where Facebook was planning to go in the next 10 years. We're nearly halfway through that period – tune in to find out how they are doing!"/>
            <filter val="With more than 40 million users and a reported $4 billion valuation, Houzz took the home renovation industry by storm. At Collision 2019, the company's founder revealed how Houzz plans to continue disrupting this trillion-dollar industry."/>
            <filter val="What do Michelle Zatlyn and Jessie Reyez have in common? They both know what it means to work to achieve success. At Collision 2019, they joined us on stage to tell the story of how they climbed the ladder and created something new."/>
            <filter val="Top 5 jokes."/>
            <filter val="Making tech inclusive for all is a challenge that Ro Khanna and Tony Blair have pursued on either side of the Atlantic. At Web Summit 2019, they told us how they use policy to break tech out of its bubble and bring it to the masses."/>
            <filter val="How do the constant changes to these mediums – through the disruptions of tech and the transformation of the business model – impact the work of the artist? Join U2’s lead singer Bono as he explores this question."/>
            <filter val="Top 5 cars @ Web Summit"/>
            <filter val="In 1984, Michael Dell founded Dell Technologies with $1000 when he was just 19 years old. In this fireside, he shares how market disruptions are reserved for forward-thinking risk-takers, and unveils the story behind Dell's merger with EMC."/>
            <filter val="Top 5 authors : Marie Kondo, Dan Brown, Andrew McAfee, John Skully, X?"/>
            <filter val="Who doesn’t like games?! The CEOs of Twitch and Machine Zone shared their personal favourites, and their dreams of the future of games, with Web Summit audiences."/>
            <filter val="Top 5 mobile devices / unboxed."/>
            <filter val="If you have ever wondered what Jack Dorsey was like before Twitter was as big as it is today, then you have come to the right place. Tune in to see Jack discussing Twitter and his vision for the future from way back in 2010 – it seems like a lifetime ago!"/>
            <filter val="Top 5 mobile gaming and/or gaming"/>
            <filter val="Padma Warrior is a titan of the tech industry. In this talk from Web Summit 2014, she discusses topics as wide ranging as the internet of things, connectivity, and diversity in the workforce."/>
            <filter val="Reddit is known as the front page of the internet. In 2017, Steve Huffman joined us at Web Summit to tell us all about how they redesigned that front page. Tune in now to relive the new design."/>
            <filter val="Peter Thiel is known for lots of titles: co-founder of PayPal, investor in LinkedIn, board member at Facebook and, above all, provocative thinker. Join Peter on this fireside where he reveals the justifications and dangers of creative monopolies."/>
            <filter val="Becky Lynch went from being an Aer Lingus flight attendant to being 'The Man' in WWE. She joined us at Web Summit 2019 to tell us how she conquered the world of wrestling."/>
            <filter val="5G technology: A political hoax or an inevitable social advancement? Huawei’s Guo Ping outlines the applications of the cellular data upgrade and paints a picture of future global connectivity."/>
            <filter val="Top 5 investors"/>
            <filter val="Top 5 actors"/>
            <filter val="Alexa has become synonymous with smart speakers. As the technology develops, Alexa becomes more and more able to talk back. Join us to hear from Werner Vogels about how and why Amazon wants to talk to you."/>
            <filter val="Featuring Tony Blair, Francois Hollande, Ana Brnabić, Justin Trudeau and António Guterres. Leading a country is a unique challenge. All five of these speakers have done it. Tune in to hear from some of the world's leading politicians of the last 10 years."/>
            <filter val="Top 5 Academics"/>
            <filter val="Featuring CMOs from Hilton, Carlsberg, Bank of America, BlackRock, Burger King and Johnson &amp; Johnson. A great CMO can make an average company a great one. These five CMOs are true masters of the craft. Tune in to hear how to become a great marketer."/>
            <filter val="Top 5 arguments /debates —"/>
            <filter val="Top 5 activists : Wylie, Figuerres"/>
            <filter val="A picture can paint a thousand words. Join us for this talk from Web Summit 2018 where Ben Silbermann, the CEO of Pinterest, makes this old saying make sense in a modern world."/>
            <filter val="You know Eva Longoria as a glamorous Hollywood star. Yet the politically active philanthropist took to the stage to shed light on how we can use tech to help the less privileged."/>
            <filter val="If you want to learn how to be a great marketer then you need to tune in now. These five are some of the best in the business!"/>
            <filter val="Facebook is one of the largest tech companies on the planet, reaching into 2 billion lives. Sheryl Sandberg has helped to guide the company through the storms of recent years. At Web Summit 2017, she told us about her hopes for the future of the platform."/>
            <filter val="Gary Vaynerchuk has been a wine critic, a digital ad guru, and a social media marketing leader. At Web Summit 2016, he shared some of his wisdom on how to avoid failure and, more importantly, how to succeed."/>
            <filter val="Wrestling was seen, for so long, as a man's game. All that has changed. In 2018, Stephanie McMahon joined us to tell us all about how women took over the WWE, which they continue to dominate today."/>
            <filter val="Almost no-one understands the nature of surveillance society better than Edward Snowden. At Web Summit 2019, he joined us – via video uplink – to discuss the morality of this modern, technological age."/>
            <filter val="Featuring Neil Shen, Steve Anderson, Jenny Lee, Dana Settle and Jim Breyer. Becoming a great investor is no easy feat. These five are some of the world's best – tune in to hear how they did it."/>
            <filter val="The media industry has undergone rapid change in the last 15 years. The rise of social media platforms has radically transformed how the media functions. In this session Ev Williams discusses how he thinks the media industry can save itself."/>
            <filter val="Top 5 fashion talks"/>
            <filter val="Featuring Keaton Keller, Tom Honeyands, Kris Carlon, Eli Etherton and Jacklyn Dallas. We all love a shiny new thing. In this session, we see five of the shiniest new things being unboxed."/>
            <filter val="Featuring Martin Garrix, Timbaland, Jessie Reyez, Bono and Mike Shinoda. Making music is an increasingly technological endeavour. Tune in to hear from five of the most innovative musicians blending tech and creativity."/>
            <filter val="Wladimir Klitschko is one of the most successful boxers of all time. Dustin Moskovitz was a founder of Facebook, one of the most successful companies of all time. At Web Summit 2017, they came together to share some of their secrets to success."/>
            <filter val="Our gender is a huge part of who we are. Defining it is vital in order to define ourselves. Caitlyn Jenner, who knows what it is like to live a life as the wrong gender, shared some of her story and journey with us at Web Summit 2017."/>
          </filters>
        </filterColumn>
      </autoFilter>
    </customSheetView>
    <customSheetView guid="{4E0D2802-0D3F-439F-AEC0-43A07DE44C48}" filter="1" showAutoFilter="1">
      <autoFilter ref="$A$1:$Z$3000">
        <filterColumn colId="8">
          <filters>
            <filter val="Bono ., U2"/>
            <filter val="Alexander Wang, Alexander Wang"/>
            <filter val="Paige VanZant, UFC"/>
            <filter val="Guo Ping, Huawei"/>
            <filter val="Hannibal Buress, Hannibal Buress"/>
            <filter val="Caitlyn Jenner, Caitlyn Jenner"/>
            <filter val="Stephanie McMahon, WWE"/>
            <filter val="Lisa Jackson, Apple"/>
            <filter val="Marc Raibert, Boston Dynamics"/>
            <filter val="Debbie Millman, Design Matter"/>
            <filter val="António Guterres, United Nations"/>
            <filter val="Becky Lynch, WWE"/>
            <filter val="Padmasree Warrior, NIO"/>
            <filter val="Michael Dell, Dell Technologies"/>
            <filter val="Emmett Shear, Twitch"/>
            <filter val="Justin Trudeau, Government of Canada"/>
            <filter val="Werner Vogels, Amazon"/>
            <filter val="Rosario Dawson, Studio 189"/>
            <filter val="Alexis Ohanian, Initialized Capital"/>
            <filter val="Ed Catmull, Pixar"/>
            <filter val="Kara Swisher, Recode"/>
            <filter val="Gary Vaynerchuk, VaynerMedia"/>
            <filter val="Spot, Boston Dynamics"/>
            <filter val="Jenny Lee, GGV Capital"/>
            <filter val="Ben Silbermann, Pinterest"/>
            <filter val="Sea Fawn Briganti, LOLIWARE"/>
            <filter val="Keaton Keller, Gas Media Group"/>
            <filter val="Drew Houston, Dropbox"/>
            <filter val="Seth Rogen, Houseplant"/>
            <filter val="Neil Shen, Sequoia Capital"/>
            <filter val="Stephen Hawking, Cambridge University"/>
            <filter val="Al Gore, Generation Investment Management"/>
            <filter val="Eva Longoria, Eva Longoria"/>
            <filter val="Gail Heimann, Weber Shandwick"/>
            <filter val="Eric Cantona, Common Goal"/>
            <filter val="Jean Liu, Didi Chuxing"/>
            <filter val="Tan Hooi Ling, Grab"/>
            <filter val="Wladimir Klitschko, Klitschko Ventures"/>
            <filter val="Edward Snowden, Freedom of the Press Foundation"/>
            <filter val="Michelle Zatlyn, Cloudflare"/>
            <filter val="Jack Dorsey, Twitter"/>
            <filter val="Margrethe Vestager, European Commission"/>
            <filter val="Bill Clay Ford, Ford"/>
            <filter val="Ev Williams, Medium"/>
            <filter val="Marie Kondo, Konmari"/>
            <filter val="Kristen Garcia Dumont, Machine Zone"/>
            <filter val="Geraldine Calpin, Hilton Worldwide"/>
            <filter val="Mike Krieger, Instagram"/>
            <filter val="Mike Schroepfer, Facebook"/>
            <filter val="Steve Huffman, Reddit"/>
            <filter val="Tony Blair, Tony Blair Global Institute"/>
            <filter val="Palmer Luckey, Oculus VR"/>
            <filter val="Tim Berners-Lee, W3"/>
            <filter val="Martin Garrix, Martin Garrix"/>
            <filter val="John Collison, Stripe"/>
            <filter val="Lamborghini"/>
            <filter val="Joe Tsai, Alibaba"/>
            <filter val="Nick Bostrom, Future of Humanity Institute, Oxford"/>
            <filter val="Sheryl Sandberg, Facebook"/>
            <filter val="Gillian Tans, Booking.com"/>
            <filter val="Adi Tatarko, Houzz"/>
            <filter val="Peter Thiel, Founders Fund"/>
          </filters>
        </filterColumn>
      </autoFilter>
    </customSheetView>
    <customSheetView guid="{940BF112-A5DE-4284-991A-7915B8375AFD}" filter="1" showAutoFilter="1">
      <autoFilter ref="$A$1:$Z$3000">
        <filterColumn colId="7">
          <filters>
            <filter val="Web Summit Trailer - Short"/>
            <filter val="Web Summit Trailer - Full"/>
            <filter val="Talk Intro"/>
          </filters>
        </filterColumn>
      </autoFilter>
    </customSheetView>
    <customSheetView guid="{81E749D2-06E9-4D05-81A8-ABE67CD77405}" filter="1" showAutoFilter="1">
      <autoFilter ref="$A$1:$Z$281">
        <filterColumn colId="17">
          <filters>
            <filter val="TRUE"/>
          </filters>
        </filterColumn>
        <filterColumn colId="21">
          <filters>
            <filter val="FALSE"/>
          </filters>
        </filterColumn>
      </autoFilter>
    </customSheetView>
    <customSheetView guid="{9AF6FD7E-DBE3-4ECB-B8A3-87FEC89D2D91}" filter="1" showAutoFilter="1">
      <autoFilter ref="$A$281:$Z$3000"/>
    </customSheetView>
  </customSheetViews>
  <conditionalFormatting sqref="S2">
    <cfRule type="expression" dxfId="20" priority="1">
      <formula>countif($J:$J, $S2)</formula>
    </cfRule>
  </conditionalFormatting>
  <conditionalFormatting sqref="R1:R358 U1:X358 S2">
    <cfRule type="cellIs" dxfId="1" priority="2" operator="equal">
      <formula>"FALSE"</formula>
    </cfRule>
  </conditionalFormatting>
  <conditionalFormatting sqref="R1:R358 U1:X358 S2">
    <cfRule type="containsText" dxfId="2" priority="3" operator="containsText" text="TRUE">
      <formula>NOT(ISERROR(SEARCH(("TRUE"),(R1))))</formula>
    </cfRule>
  </conditionalFormatting>
  <conditionalFormatting sqref="A1:X3000">
    <cfRule type="cellIs" dxfId="0" priority="4" operator="equal">
      <formula>"ID null"</formula>
    </cfRule>
  </conditionalFormatting>
  <dataValidations>
    <dataValidation type="list" allowBlank="1" sqref="P2:P3000">
      <formula1>Lists!$B$2:$B$1000</formula1>
    </dataValidation>
    <dataValidation type="list" allowBlank="1" sqref="T2:T3000">
      <formula1>"Yes,"</formula1>
    </dataValidation>
    <dataValidation type="list" allowBlank="1" sqref="O2:O3000">
      <formula1>Lists!$A$2:$A$1000</formula1>
    </dataValidation>
  </dataValidations>
  <hyperlinks>
    <hyperlink r:id="rId1" ref="Z5"/>
    <hyperlink r:id="rId2" ref="Z8"/>
    <hyperlink r:id="rId3" ref="Z11"/>
    <hyperlink r:id="rId4" ref="Z15"/>
    <hyperlink r:id="rId5" ref="Z19"/>
    <hyperlink r:id="rId6" ref="Z23"/>
    <hyperlink r:id="rId7" ref="Z27"/>
    <hyperlink r:id="rId8" ref="Z31"/>
    <hyperlink r:id="rId9" ref="Z36"/>
    <hyperlink r:id="rId10" ref="Z40"/>
    <hyperlink r:id="rId11" ref="Z44"/>
    <hyperlink r:id="rId12" ref="Z48"/>
    <hyperlink r:id="rId13" ref="Z51"/>
    <hyperlink r:id="rId14" ref="Z57"/>
    <hyperlink r:id="rId15" ref="Z61"/>
    <hyperlink r:id="rId16" ref="Z65"/>
    <hyperlink r:id="rId17" ref="Z68"/>
    <hyperlink r:id="rId18" ref="Z72"/>
    <hyperlink r:id="rId19" ref="Z76"/>
    <hyperlink r:id="rId20" ref="Z80"/>
    <hyperlink r:id="rId21" ref="Z84"/>
    <hyperlink r:id="rId22" ref="Z89"/>
    <hyperlink r:id="rId23" ref="Z94"/>
    <hyperlink r:id="rId24" ref="Z99"/>
    <hyperlink r:id="rId25" ref="Z102"/>
    <hyperlink r:id="rId26" ref="Z106"/>
    <hyperlink r:id="rId27" ref="Z110"/>
    <hyperlink r:id="rId28" ref="Z114"/>
    <hyperlink r:id="rId29" ref="Z118"/>
    <hyperlink r:id="rId30" ref="Z123"/>
    <hyperlink r:id="rId31" ref="Z126"/>
    <hyperlink r:id="rId32" ref="Z130"/>
    <hyperlink r:id="rId33" ref="Z134"/>
    <hyperlink r:id="rId34" ref="Z139"/>
    <hyperlink r:id="rId35" ref="Z143"/>
    <hyperlink r:id="rId36" ref="Z150"/>
    <hyperlink r:id="rId37" ref="Z155"/>
    <hyperlink r:id="rId38" ref="Z162"/>
    <hyperlink r:id="rId39" ref="Z167"/>
    <hyperlink r:id="rId40" ref="Z172"/>
    <hyperlink r:id="rId41" ref="Z177"/>
    <hyperlink r:id="rId42" ref="Z180"/>
    <hyperlink r:id="rId43" ref="Z184"/>
    <hyperlink r:id="rId44" ref="Z202"/>
    <hyperlink r:id="rId45" ref="Z206"/>
    <hyperlink r:id="rId46" ref="Z209"/>
    <hyperlink r:id="rId47" ref="Z215"/>
    <hyperlink r:id="rId48" ref="Z219"/>
    <hyperlink r:id="rId49" ref="Z223"/>
    <hyperlink r:id="rId50" ref="Z228"/>
    <hyperlink r:id="rId51" ref="Z231"/>
    <hyperlink r:id="rId52" ref="Z234"/>
    <hyperlink r:id="rId53" ref="Z237"/>
    <hyperlink r:id="rId54" ref="Z241"/>
    <hyperlink r:id="rId55" ref="Z245"/>
    <hyperlink r:id="rId56" ref="Z252"/>
    <hyperlink r:id="rId57" ref="Z257"/>
    <hyperlink r:id="rId58" ref="Z261"/>
    <hyperlink r:id="rId59" ref="Z264"/>
    <hyperlink r:id="rId60" ref="Z267"/>
    <hyperlink r:id="rId61" ref="Z271"/>
    <hyperlink r:id="rId62" ref="Z274"/>
    <hyperlink r:id="rId63" ref="Z281"/>
  </hyperlinks>
  <drawing r:id="rId6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ht="27.75" customHeight="1">
      <c r="A1" s="162" t="s">
        <v>3146</v>
      </c>
      <c r="B1" s="162" t="s">
        <v>3147</v>
      </c>
      <c r="C1" s="3" t="s">
        <v>536</v>
      </c>
      <c r="D1" s="3" t="s">
        <v>11</v>
      </c>
      <c r="E1" s="164" t="s">
        <v>537</v>
      </c>
      <c r="F1" s="164" t="s">
        <v>58</v>
      </c>
      <c r="G1" s="162" t="s">
        <v>539</v>
      </c>
      <c r="H1" s="162" t="s">
        <v>540</v>
      </c>
      <c r="I1" s="162" t="s">
        <v>38</v>
      </c>
      <c r="J1" s="162" t="s">
        <v>541</v>
      </c>
      <c r="K1" s="162" t="s">
        <v>9</v>
      </c>
      <c r="L1" s="3" t="s">
        <v>3071</v>
      </c>
      <c r="M1" s="162" t="s">
        <v>547</v>
      </c>
    </row>
    <row r="2">
      <c r="A2" s="45" t="s">
        <v>3149</v>
      </c>
      <c r="B2" s="45" t="s">
        <v>3150</v>
      </c>
      <c r="C2" s="4"/>
      <c r="D2" s="4"/>
      <c r="F2" s="166" t="b">
        <v>1</v>
      </c>
      <c r="G2" s="4"/>
      <c r="H2" s="166" t="b">
        <v>0</v>
      </c>
      <c r="I2" s="166" t="b">
        <v>1</v>
      </c>
      <c r="J2" s="166" t="b">
        <v>0</v>
      </c>
      <c r="K2" s="166" t="b">
        <v>0</v>
      </c>
      <c r="M2" s="80" t="s">
        <v>3154</v>
      </c>
    </row>
    <row r="3">
      <c r="A3" s="45" t="s">
        <v>3157</v>
      </c>
      <c r="B3" s="45" t="s">
        <v>3159</v>
      </c>
      <c r="C3" s="4"/>
      <c r="D3" s="4"/>
      <c r="F3" s="166" t="b">
        <v>1</v>
      </c>
      <c r="G3" s="4"/>
      <c r="H3" s="166" t="b">
        <v>0</v>
      </c>
      <c r="I3" s="166" t="b">
        <v>1</v>
      </c>
      <c r="J3" s="166" t="b">
        <v>0</v>
      </c>
      <c r="K3" s="166" t="b">
        <v>0</v>
      </c>
      <c r="M3" s="80" t="s">
        <v>3162</v>
      </c>
    </row>
    <row r="4">
      <c r="A4" s="45" t="s">
        <v>3165</v>
      </c>
      <c r="B4" s="45" t="s">
        <v>3166</v>
      </c>
      <c r="C4" s="4"/>
      <c r="D4" s="4"/>
      <c r="F4" s="166" t="b">
        <v>1</v>
      </c>
      <c r="G4" s="4"/>
      <c r="H4" s="166" t="b">
        <v>0</v>
      </c>
      <c r="I4" s="166" t="b">
        <v>1</v>
      </c>
      <c r="J4" s="166" t="b">
        <v>0</v>
      </c>
      <c r="K4" s="166" t="b">
        <v>0</v>
      </c>
      <c r="M4" s="80" t="s">
        <v>3168</v>
      </c>
    </row>
    <row r="5">
      <c r="A5" s="167" t="s">
        <v>3172</v>
      </c>
      <c r="B5" s="45" t="s">
        <v>3173</v>
      </c>
      <c r="C5" s="4"/>
      <c r="D5" s="4"/>
      <c r="F5" s="166" t="b">
        <v>1</v>
      </c>
      <c r="G5" s="4"/>
      <c r="H5" s="166" t="b">
        <v>0</v>
      </c>
      <c r="I5" s="166" t="b">
        <v>1</v>
      </c>
      <c r="J5" s="166" t="b">
        <v>0</v>
      </c>
      <c r="K5" s="166" t="b">
        <v>0</v>
      </c>
      <c r="M5" s="80" t="s">
        <v>3176</v>
      </c>
    </row>
    <row r="6">
      <c r="A6" s="45" t="s">
        <v>3178</v>
      </c>
      <c r="B6" s="45" t="s">
        <v>3179</v>
      </c>
      <c r="C6" s="4"/>
      <c r="D6" s="4"/>
      <c r="F6" s="166" t="b">
        <v>1</v>
      </c>
      <c r="G6" s="4"/>
      <c r="H6" s="166" t="b">
        <v>0</v>
      </c>
      <c r="I6" s="166" t="b">
        <v>1</v>
      </c>
      <c r="J6" s="166" t="b">
        <v>0</v>
      </c>
      <c r="K6" s="166" t="b">
        <v>0</v>
      </c>
      <c r="M6" s="80" t="s">
        <v>3182</v>
      </c>
    </row>
    <row r="7">
      <c r="A7" s="45" t="s">
        <v>3186</v>
      </c>
      <c r="B7" s="168" t="s">
        <v>3187</v>
      </c>
      <c r="C7" s="4"/>
      <c r="D7" s="4"/>
      <c r="F7" s="166" t="b">
        <v>1</v>
      </c>
      <c r="G7" s="4"/>
      <c r="H7" s="166" t="b">
        <v>0</v>
      </c>
      <c r="I7" s="166" t="b">
        <v>1</v>
      </c>
      <c r="J7" s="166" t="b">
        <v>0</v>
      </c>
      <c r="K7" s="166" t="b">
        <v>0</v>
      </c>
      <c r="M7" s="80" t="s">
        <v>3189</v>
      </c>
    </row>
    <row r="8">
      <c r="A8" s="45" t="s">
        <v>3194</v>
      </c>
      <c r="B8" s="45" t="s">
        <v>3196</v>
      </c>
      <c r="C8" s="4"/>
      <c r="D8" s="4"/>
      <c r="F8" s="166" t="b">
        <v>1</v>
      </c>
      <c r="G8" s="4"/>
      <c r="H8" s="166" t="b">
        <v>0</v>
      </c>
      <c r="I8" s="166" t="b">
        <v>1</v>
      </c>
      <c r="J8" s="166" t="b">
        <v>0</v>
      </c>
      <c r="K8" s="166" t="b">
        <v>0</v>
      </c>
      <c r="M8" s="80" t="s">
        <v>3198</v>
      </c>
    </row>
    <row r="9">
      <c r="A9" s="45" t="s">
        <v>3202</v>
      </c>
      <c r="B9" s="45" t="s">
        <v>3203</v>
      </c>
      <c r="C9" s="4"/>
      <c r="D9" s="4"/>
      <c r="F9" s="166" t="b">
        <v>1</v>
      </c>
      <c r="G9" s="4"/>
      <c r="H9" s="166" t="b">
        <v>0</v>
      </c>
      <c r="I9" s="166" t="b">
        <v>1</v>
      </c>
      <c r="J9" s="166" t="b">
        <v>0</v>
      </c>
      <c r="K9" s="166" t="b">
        <v>0</v>
      </c>
      <c r="M9" s="80" t="s">
        <v>3206</v>
      </c>
    </row>
    <row r="10">
      <c r="A10" s="45" t="s">
        <v>3209</v>
      </c>
      <c r="B10" s="45" t="s">
        <v>3211</v>
      </c>
      <c r="C10" s="4"/>
      <c r="D10" s="4"/>
      <c r="F10" s="166" t="b">
        <v>1</v>
      </c>
      <c r="G10" s="4"/>
      <c r="H10" s="166" t="b">
        <v>0</v>
      </c>
      <c r="I10" s="166" t="b">
        <v>1</v>
      </c>
      <c r="J10" s="166" t="b">
        <v>0</v>
      </c>
      <c r="K10" s="166" t="b">
        <v>0</v>
      </c>
      <c r="M10" s="80" t="s">
        <v>3213</v>
      </c>
    </row>
    <row r="11">
      <c r="A11" s="45" t="s">
        <v>3215</v>
      </c>
      <c r="B11" s="45" t="s">
        <v>3216</v>
      </c>
      <c r="C11" s="4"/>
      <c r="D11" s="4"/>
      <c r="F11" s="166" t="b">
        <v>1</v>
      </c>
      <c r="G11" s="4"/>
      <c r="H11" s="166" t="b">
        <v>0</v>
      </c>
      <c r="I11" s="166" t="b">
        <v>1</v>
      </c>
      <c r="J11" s="166" t="b">
        <v>0</v>
      </c>
      <c r="K11" s="166" t="b">
        <v>0</v>
      </c>
      <c r="M11" s="80" t="s">
        <v>3219</v>
      </c>
    </row>
    <row r="12">
      <c r="A12" s="45" t="s">
        <v>3222</v>
      </c>
      <c r="B12" s="168" t="s">
        <v>3224</v>
      </c>
      <c r="C12" s="4"/>
      <c r="D12" s="4"/>
      <c r="F12" s="166" t="b">
        <v>1</v>
      </c>
      <c r="G12" s="4"/>
      <c r="H12" s="166" t="b">
        <v>0</v>
      </c>
      <c r="I12" s="166" t="b">
        <v>1</v>
      </c>
      <c r="J12" s="166" t="b">
        <v>0</v>
      </c>
      <c r="K12" s="166" t="b">
        <v>0</v>
      </c>
      <c r="M12" s="80" t="s">
        <v>3226</v>
      </c>
    </row>
    <row r="13">
      <c r="A13" s="45" t="s">
        <v>3228</v>
      </c>
      <c r="B13" s="45" t="s">
        <v>3230</v>
      </c>
      <c r="C13" s="4"/>
      <c r="D13" s="4"/>
      <c r="F13" s="166" t="b">
        <v>1</v>
      </c>
      <c r="G13" s="4"/>
      <c r="H13" s="166" t="b">
        <v>0</v>
      </c>
      <c r="I13" s="166" t="b">
        <v>1</v>
      </c>
      <c r="J13" s="166" t="b">
        <v>0</v>
      </c>
      <c r="K13" s="166" t="b">
        <v>0</v>
      </c>
      <c r="M13" s="80" t="s">
        <v>3232</v>
      </c>
    </row>
    <row r="14">
      <c r="A14" s="45" t="s">
        <v>3234</v>
      </c>
      <c r="B14" s="45" t="s">
        <v>3236</v>
      </c>
      <c r="C14" s="4"/>
      <c r="D14" s="4"/>
      <c r="F14" s="166" t="b">
        <v>1</v>
      </c>
      <c r="G14" s="4"/>
      <c r="H14" s="166" t="b">
        <v>0</v>
      </c>
      <c r="I14" s="166" t="b">
        <v>1</v>
      </c>
      <c r="J14" s="166" t="b">
        <v>0</v>
      </c>
      <c r="K14" s="166" t="b">
        <v>0</v>
      </c>
      <c r="M14" s="80" t="s">
        <v>3239</v>
      </c>
    </row>
    <row r="15">
      <c r="A15" s="45" t="s">
        <v>3242</v>
      </c>
      <c r="B15" s="45" t="s">
        <v>3243</v>
      </c>
      <c r="C15" s="4"/>
      <c r="D15" s="4"/>
      <c r="F15" s="166" t="b">
        <v>1</v>
      </c>
      <c r="G15" s="4"/>
      <c r="H15" s="166" t="b">
        <v>0</v>
      </c>
      <c r="I15" s="166" t="b">
        <v>1</v>
      </c>
      <c r="J15" s="166" t="b">
        <v>0</v>
      </c>
      <c r="K15" s="166" t="b">
        <v>0</v>
      </c>
      <c r="M15" s="80" t="s">
        <v>3245</v>
      </c>
    </row>
    <row r="16">
      <c r="A16" s="45" t="s">
        <v>3247</v>
      </c>
      <c r="C16" s="4"/>
      <c r="D16" s="4"/>
      <c r="F16" s="166" t="b">
        <v>1</v>
      </c>
      <c r="G16" s="4"/>
      <c r="H16" s="166" t="b">
        <v>0</v>
      </c>
      <c r="I16" s="166" t="b">
        <v>0</v>
      </c>
      <c r="J16" s="166" t="b">
        <v>0</v>
      </c>
      <c r="K16" s="166" t="b">
        <v>0</v>
      </c>
      <c r="L16" s="169" t="s">
        <v>3250</v>
      </c>
      <c r="M16" s="80" t="s">
        <v>3253</v>
      </c>
    </row>
    <row r="17">
      <c r="A17" s="45" t="s">
        <v>3255</v>
      </c>
      <c r="B17" s="45" t="s">
        <v>3256</v>
      </c>
      <c r="C17" s="4"/>
      <c r="D17" s="4"/>
      <c r="F17" s="166" t="b">
        <v>1</v>
      </c>
      <c r="G17" s="4"/>
      <c r="H17" s="166" t="b">
        <v>0</v>
      </c>
      <c r="I17" s="166" t="b">
        <v>1</v>
      </c>
      <c r="J17" s="166" t="b">
        <v>0</v>
      </c>
      <c r="K17" s="166" t="b">
        <v>0</v>
      </c>
      <c r="M17" s="80" t="s">
        <v>3258</v>
      </c>
    </row>
    <row r="18">
      <c r="A18" s="45" t="s">
        <v>3263</v>
      </c>
      <c r="B18" s="45" t="s">
        <v>3264</v>
      </c>
      <c r="C18" s="4"/>
      <c r="D18" s="4"/>
      <c r="F18" s="166" t="b">
        <v>1</v>
      </c>
      <c r="G18" s="4"/>
      <c r="H18" s="166" t="b">
        <v>0</v>
      </c>
      <c r="I18" s="166" t="b">
        <v>1</v>
      </c>
      <c r="J18" s="166" t="b">
        <v>0</v>
      </c>
      <c r="K18" s="166" t="b">
        <v>0</v>
      </c>
      <c r="M18" s="80" t="s">
        <v>3265</v>
      </c>
    </row>
    <row r="19">
      <c r="A19" s="45" t="s">
        <v>3267</v>
      </c>
      <c r="B19" s="45" t="s">
        <v>3268</v>
      </c>
      <c r="C19" s="4"/>
      <c r="D19" s="4"/>
      <c r="F19" s="166" t="b">
        <v>1</v>
      </c>
      <c r="G19" s="4"/>
      <c r="H19" s="166" t="b">
        <v>0</v>
      </c>
      <c r="I19" s="166" t="b">
        <v>1</v>
      </c>
      <c r="J19" s="166" t="b">
        <v>0</v>
      </c>
      <c r="K19" s="166" t="b">
        <v>0</v>
      </c>
      <c r="M19" s="80" t="s">
        <v>3271</v>
      </c>
    </row>
    <row r="20">
      <c r="A20" s="45" t="s">
        <v>3274</v>
      </c>
      <c r="B20" s="45" t="s">
        <v>3275</v>
      </c>
      <c r="C20" s="4"/>
      <c r="D20" s="4"/>
      <c r="F20" s="166" t="b">
        <v>1</v>
      </c>
      <c r="G20" s="4"/>
      <c r="H20" s="166" t="b">
        <v>0</v>
      </c>
      <c r="I20" s="166" t="b">
        <v>1</v>
      </c>
      <c r="J20" s="166" t="b">
        <v>0</v>
      </c>
      <c r="K20" s="166" t="b">
        <v>0</v>
      </c>
      <c r="M20" s="80" t="s">
        <v>3277</v>
      </c>
    </row>
    <row r="21">
      <c r="A21" s="45" t="s">
        <v>3281</v>
      </c>
      <c r="B21" s="45" t="s">
        <v>3282</v>
      </c>
      <c r="C21" s="4"/>
      <c r="D21" s="4"/>
      <c r="F21" s="166" t="b">
        <v>1</v>
      </c>
      <c r="G21" s="4"/>
      <c r="H21" s="166" t="b">
        <v>0</v>
      </c>
      <c r="I21" s="166" t="b">
        <v>1</v>
      </c>
      <c r="J21" s="166" t="b">
        <v>0</v>
      </c>
      <c r="K21" s="166" t="b">
        <v>0</v>
      </c>
      <c r="M21" s="80" t="s">
        <v>3284</v>
      </c>
    </row>
    <row r="22">
      <c r="A22" s="45" t="s">
        <v>3288</v>
      </c>
      <c r="B22" s="45" t="s">
        <v>3290</v>
      </c>
      <c r="C22" s="4"/>
      <c r="D22" s="4"/>
      <c r="F22" s="166" t="b">
        <v>1</v>
      </c>
      <c r="G22" s="4"/>
      <c r="H22" s="166" t="b">
        <v>0</v>
      </c>
      <c r="I22" s="166" t="b">
        <v>1</v>
      </c>
      <c r="J22" s="166" t="b">
        <v>0</v>
      </c>
      <c r="K22" s="166" t="b">
        <v>0</v>
      </c>
      <c r="M22" s="80" t="s">
        <v>3292</v>
      </c>
    </row>
    <row r="23">
      <c r="A23" s="45" t="s">
        <v>3295</v>
      </c>
      <c r="B23" s="45" t="s">
        <v>3296</v>
      </c>
      <c r="C23" s="4"/>
      <c r="D23" s="4"/>
      <c r="F23" s="166" t="b">
        <v>1</v>
      </c>
      <c r="G23" s="4"/>
      <c r="H23" s="166" t="b">
        <v>0</v>
      </c>
      <c r="I23" s="166" t="b">
        <v>1</v>
      </c>
      <c r="J23" s="166" t="b">
        <v>0</v>
      </c>
      <c r="K23" s="166" t="b">
        <v>0</v>
      </c>
      <c r="M23" s="80" t="s">
        <v>3298</v>
      </c>
    </row>
    <row r="24">
      <c r="A24" s="45" t="s">
        <v>3301</v>
      </c>
      <c r="B24" s="45" t="s">
        <v>3302</v>
      </c>
      <c r="C24" s="4"/>
      <c r="D24" s="4"/>
      <c r="F24" s="166" t="b">
        <v>1</v>
      </c>
      <c r="G24" s="4"/>
      <c r="H24" s="166" t="b">
        <v>0</v>
      </c>
      <c r="I24" s="166" t="b">
        <v>1</v>
      </c>
      <c r="J24" s="166" t="b">
        <v>0</v>
      </c>
      <c r="K24" s="166" t="b">
        <v>0</v>
      </c>
      <c r="M24" s="80" t="s">
        <v>3304</v>
      </c>
    </row>
    <row r="25">
      <c r="A25" s="45" t="s">
        <v>3308</v>
      </c>
      <c r="B25" s="45" t="s">
        <v>3309</v>
      </c>
      <c r="C25" s="4"/>
      <c r="D25" s="4"/>
      <c r="F25" s="166" t="b">
        <v>1</v>
      </c>
      <c r="G25" s="4"/>
      <c r="H25" s="166" t="b">
        <v>0</v>
      </c>
      <c r="I25" s="166" t="b">
        <v>1</v>
      </c>
      <c r="J25" s="166" t="b">
        <v>0</v>
      </c>
      <c r="K25" s="166" t="b">
        <v>0</v>
      </c>
      <c r="M25" s="80" t="s">
        <v>3311</v>
      </c>
    </row>
    <row r="26">
      <c r="A26" s="45" t="s">
        <v>3316</v>
      </c>
      <c r="B26" s="45" t="s">
        <v>3317</v>
      </c>
      <c r="C26" s="4"/>
      <c r="D26" s="4"/>
      <c r="F26" s="166" t="b">
        <v>1</v>
      </c>
      <c r="G26" s="4"/>
      <c r="H26" s="166" t="b">
        <v>0</v>
      </c>
      <c r="I26" s="166" t="b">
        <v>1</v>
      </c>
      <c r="J26" s="166" t="b">
        <v>0</v>
      </c>
      <c r="K26" s="166" t="b">
        <v>0</v>
      </c>
      <c r="M26" s="80" t="s">
        <v>3319</v>
      </c>
    </row>
    <row r="27">
      <c r="A27" s="45" t="s">
        <v>3321</v>
      </c>
      <c r="B27" s="45" t="s">
        <v>3322</v>
      </c>
      <c r="C27" s="4"/>
      <c r="D27" s="4"/>
      <c r="F27" s="166" t="b">
        <v>1</v>
      </c>
      <c r="G27" s="4"/>
      <c r="H27" s="166" t="b">
        <v>0</v>
      </c>
      <c r="I27" s="166" t="b">
        <v>1</v>
      </c>
      <c r="J27" s="166" t="b">
        <v>0</v>
      </c>
      <c r="K27" s="166" t="b">
        <v>0</v>
      </c>
      <c r="M27" s="80" t="s">
        <v>3324</v>
      </c>
    </row>
    <row r="28">
      <c r="A28" s="45" t="s">
        <v>3326</v>
      </c>
      <c r="B28" s="45" t="s">
        <v>3328</v>
      </c>
      <c r="C28" s="4"/>
      <c r="D28" s="4"/>
      <c r="F28" s="166" t="b">
        <v>1</v>
      </c>
      <c r="G28" s="4"/>
      <c r="H28" s="166" t="b">
        <v>0</v>
      </c>
      <c r="I28" s="166" t="b">
        <v>1</v>
      </c>
      <c r="J28" s="166" t="b">
        <v>0</v>
      </c>
      <c r="K28" s="166" t="b">
        <v>0</v>
      </c>
      <c r="M28" s="80" t="s">
        <v>3330</v>
      </c>
    </row>
    <row r="29">
      <c r="A29" s="45" t="s">
        <v>3332</v>
      </c>
      <c r="B29" s="45" t="s">
        <v>3333</v>
      </c>
      <c r="C29" s="4"/>
      <c r="D29" s="4"/>
      <c r="F29" s="166" t="b">
        <v>1</v>
      </c>
      <c r="G29" s="4"/>
      <c r="H29" s="166" t="b">
        <v>0</v>
      </c>
      <c r="I29" s="166" t="b">
        <v>1</v>
      </c>
      <c r="J29" s="166" t="b">
        <v>0</v>
      </c>
      <c r="K29" s="166" t="b">
        <v>0</v>
      </c>
      <c r="M29" s="80" t="s">
        <v>3336</v>
      </c>
    </row>
    <row r="30">
      <c r="A30" s="45" t="s">
        <v>3338</v>
      </c>
      <c r="B30" s="45" t="s">
        <v>3339</v>
      </c>
      <c r="C30" s="4"/>
      <c r="D30" s="4"/>
      <c r="F30" s="166" t="b">
        <v>1</v>
      </c>
      <c r="G30" s="4"/>
      <c r="H30" s="166" t="b">
        <v>0</v>
      </c>
      <c r="I30" s="166" t="b">
        <v>1</v>
      </c>
      <c r="J30" s="166" t="b">
        <v>0</v>
      </c>
      <c r="K30" s="166" t="b">
        <v>0</v>
      </c>
      <c r="M30" s="80" t="s">
        <v>3341</v>
      </c>
    </row>
    <row r="31">
      <c r="A31" s="45" t="s">
        <v>3345</v>
      </c>
      <c r="B31" s="45" t="s">
        <v>3346</v>
      </c>
      <c r="C31" s="4"/>
      <c r="D31" s="4"/>
      <c r="F31" s="166" t="b">
        <v>1</v>
      </c>
      <c r="G31" s="4"/>
      <c r="H31" s="166" t="b">
        <v>0</v>
      </c>
      <c r="I31" s="166" t="b">
        <v>1</v>
      </c>
      <c r="J31" s="166" t="b">
        <v>0</v>
      </c>
      <c r="K31" s="166" t="b">
        <v>0</v>
      </c>
      <c r="M31" s="80" t="s">
        <v>3349</v>
      </c>
    </row>
    <row r="32">
      <c r="A32" s="45" t="s">
        <v>3352</v>
      </c>
      <c r="B32" s="45" t="s">
        <v>3353</v>
      </c>
      <c r="C32" s="4"/>
      <c r="D32" s="4"/>
      <c r="F32" s="166" t="b">
        <v>1</v>
      </c>
      <c r="G32" s="4"/>
      <c r="H32" s="166" t="b">
        <v>0</v>
      </c>
      <c r="I32" s="166" t="b">
        <v>1</v>
      </c>
      <c r="J32" s="166" t="b">
        <v>0</v>
      </c>
      <c r="K32" s="166" t="b">
        <v>0</v>
      </c>
      <c r="M32" s="80" t="s">
        <v>3355</v>
      </c>
    </row>
    <row r="33">
      <c r="B33" s="45" t="s">
        <v>3359</v>
      </c>
      <c r="C33" s="4"/>
      <c r="D33" s="4"/>
      <c r="F33" s="166" t="b">
        <v>1</v>
      </c>
      <c r="G33" s="4"/>
      <c r="H33" s="166" t="b">
        <v>0</v>
      </c>
      <c r="I33" s="166" t="b">
        <v>1</v>
      </c>
      <c r="J33" s="166" t="b">
        <v>0</v>
      </c>
      <c r="K33" s="166" t="b">
        <v>0</v>
      </c>
      <c r="M33" s="80" t="s">
        <v>3361</v>
      </c>
    </row>
    <row r="34">
      <c r="A34" s="45" t="s">
        <v>3364</v>
      </c>
      <c r="B34" s="45" t="s">
        <v>3365</v>
      </c>
      <c r="C34" s="4"/>
      <c r="D34" s="4"/>
      <c r="F34" s="166" t="b">
        <v>1</v>
      </c>
      <c r="G34" s="4"/>
      <c r="H34" s="166" t="b">
        <v>0</v>
      </c>
      <c r="I34" s="166" t="b">
        <v>1</v>
      </c>
      <c r="J34" s="166" t="b">
        <v>0</v>
      </c>
      <c r="K34" s="166" t="b">
        <v>0</v>
      </c>
      <c r="M34" s="80" t="s">
        <v>3367</v>
      </c>
    </row>
    <row r="35">
      <c r="A35" s="45" t="s">
        <v>3370</v>
      </c>
      <c r="B35" s="167" t="s">
        <v>3371</v>
      </c>
      <c r="C35" s="4"/>
      <c r="D35" s="4"/>
      <c r="F35" s="166" t="b">
        <v>1</v>
      </c>
      <c r="G35" s="4"/>
      <c r="H35" s="166" t="b">
        <v>0</v>
      </c>
      <c r="I35" s="166" t="b">
        <v>1</v>
      </c>
      <c r="J35" s="166" t="b">
        <v>0</v>
      </c>
      <c r="K35" s="166" t="b">
        <v>0</v>
      </c>
      <c r="M35" s="80" t="s">
        <v>3373</v>
      </c>
    </row>
    <row r="36">
      <c r="A36" s="45" t="s">
        <v>3376</v>
      </c>
      <c r="B36" s="45" t="s">
        <v>3377</v>
      </c>
      <c r="C36" s="4"/>
      <c r="D36" s="4"/>
      <c r="F36" s="166" t="b">
        <v>1</v>
      </c>
      <c r="G36" s="4"/>
      <c r="H36" s="166" t="b">
        <v>0</v>
      </c>
      <c r="I36" s="166" t="b">
        <v>1</v>
      </c>
      <c r="J36" s="166" t="b">
        <v>0</v>
      </c>
      <c r="K36" s="166" t="b">
        <v>0</v>
      </c>
      <c r="M36" s="80" t="s">
        <v>3380</v>
      </c>
    </row>
    <row r="37">
      <c r="A37" s="45" t="s">
        <v>3382</v>
      </c>
      <c r="B37" s="45" t="s">
        <v>3383</v>
      </c>
      <c r="C37" s="4"/>
      <c r="D37" s="4"/>
      <c r="F37" s="166" t="b">
        <v>1</v>
      </c>
      <c r="G37" s="4"/>
      <c r="H37" s="166" t="b">
        <v>0</v>
      </c>
      <c r="I37" s="166" t="b">
        <v>1</v>
      </c>
      <c r="J37" s="166" t="b">
        <v>0</v>
      </c>
      <c r="K37" s="166" t="b">
        <v>0</v>
      </c>
      <c r="M37" s="80" t="s">
        <v>3385</v>
      </c>
    </row>
    <row r="38">
      <c r="A38" s="45" t="s">
        <v>3390</v>
      </c>
      <c r="B38" s="45" t="s">
        <v>3391</v>
      </c>
      <c r="C38" s="4"/>
      <c r="D38" s="4"/>
      <c r="F38" s="166" t="b">
        <v>1</v>
      </c>
      <c r="G38" s="4"/>
      <c r="H38" s="166" t="b">
        <v>0</v>
      </c>
      <c r="I38" s="166" t="b">
        <v>1</v>
      </c>
      <c r="J38" s="166" t="b">
        <v>0</v>
      </c>
      <c r="K38" s="166" t="b">
        <v>0</v>
      </c>
      <c r="M38" s="80" t="s">
        <v>3393</v>
      </c>
    </row>
    <row r="39">
      <c r="A39" s="45" t="s">
        <v>3394</v>
      </c>
      <c r="B39" s="45" t="s">
        <v>3396</v>
      </c>
      <c r="C39" s="4"/>
      <c r="D39" s="4"/>
      <c r="F39" s="166" t="b">
        <v>1</v>
      </c>
      <c r="G39" s="4"/>
      <c r="H39" s="166" t="b">
        <v>0</v>
      </c>
      <c r="I39" s="166" t="b">
        <v>1</v>
      </c>
      <c r="J39" s="166" t="b">
        <v>0</v>
      </c>
      <c r="K39" s="166" t="b">
        <v>0</v>
      </c>
      <c r="M39" s="80" t="s">
        <v>3399</v>
      </c>
    </row>
    <row r="40">
      <c r="A40" s="45" t="s">
        <v>3402</v>
      </c>
      <c r="B40" s="45" t="s">
        <v>3403</v>
      </c>
      <c r="C40" s="4"/>
      <c r="D40" s="4"/>
      <c r="F40" s="166" t="b">
        <v>1</v>
      </c>
      <c r="G40" s="4"/>
      <c r="H40" s="166" t="b">
        <v>0</v>
      </c>
      <c r="I40" s="166" t="b">
        <v>1</v>
      </c>
      <c r="J40" s="166" t="b">
        <v>0</v>
      </c>
      <c r="K40" s="166" t="b">
        <v>0</v>
      </c>
      <c r="M40" s="80" t="s">
        <v>3405</v>
      </c>
    </row>
    <row r="41">
      <c r="A41" s="45" t="s">
        <v>3407</v>
      </c>
      <c r="B41" s="45" t="s">
        <v>3408</v>
      </c>
      <c r="C41" s="4"/>
      <c r="D41" s="4"/>
      <c r="F41" s="166" t="b">
        <v>1</v>
      </c>
      <c r="G41" s="4"/>
      <c r="H41" s="166" t="b">
        <v>0</v>
      </c>
      <c r="I41" s="166" t="b">
        <v>1</v>
      </c>
      <c r="J41" s="166" t="b">
        <v>0</v>
      </c>
      <c r="K41" s="166" t="b">
        <v>0</v>
      </c>
      <c r="M41" s="80" t="s">
        <v>3411</v>
      </c>
    </row>
    <row r="42">
      <c r="A42" s="45" t="s">
        <v>3414</v>
      </c>
      <c r="B42" s="45" t="s">
        <v>3415</v>
      </c>
      <c r="C42" s="4"/>
      <c r="D42" s="4"/>
      <c r="F42" s="166" t="b">
        <v>1</v>
      </c>
      <c r="G42" s="4"/>
      <c r="H42" s="166" t="b">
        <v>0</v>
      </c>
      <c r="I42" s="166" t="b">
        <v>1</v>
      </c>
      <c r="J42" s="166" t="b">
        <v>0</v>
      </c>
      <c r="K42" s="166" t="b">
        <v>0</v>
      </c>
      <c r="M42" s="80" t="s">
        <v>3416</v>
      </c>
    </row>
    <row r="43">
      <c r="A43" s="45" t="s">
        <v>3419</v>
      </c>
      <c r="B43" s="45" t="s">
        <v>3421</v>
      </c>
      <c r="C43" s="4"/>
      <c r="D43" s="4"/>
      <c r="F43" s="166" t="b">
        <v>1</v>
      </c>
      <c r="G43" s="4"/>
      <c r="H43" s="166" t="b">
        <v>0</v>
      </c>
      <c r="I43" s="166" t="b">
        <v>1</v>
      </c>
      <c r="J43" s="166" t="b">
        <v>0</v>
      </c>
      <c r="K43" s="166" t="b">
        <v>0</v>
      </c>
      <c r="M43" s="80" t="s">
        <v>3423</v>
      </c>
    </row>
    <row r="44">
      <c r="A44" s="45" t="s">
        <v>3426</v>
      </c>
      <c r="B44" s="45" t="s">
        <v>3427</v>
      </c>
      <c r="C44" s="4"/>
      <c r="D44" s="4"/>
      <c r="F44" s="166" t="b">
        <v>1</v>
      </c>
      <c r="G44" s="4"/>
      <c r="H44" s="166" t="b">
        <v>0</v>
      </c>
      <c r="I44" s="166" t="b">
        <v>1</v>
      </c>
      <c r="J44" s="166" t="b">
        <v>0</v>
      </c>
      <c r="K44" s="166" t="b">
        <v>0</v>
      </c>
      <c r="M44" s="80" t="s">
        <v>3429</v>
      </c>
    </row>
    <row r="45">
      <c r="A45" s="45" t="s">
        <v>3431</v>
      </c>
      <c r="B45" s="168" t="s">
        <v>3432</v>
      </c>
      <c r="C45" s="4"/>
      <c r="D45" s="4"/>
      <c r="F45" s="166" t="b">
        <v>1</v>
      </c>
      <c r="G45" s="4"/>
      <c r="H45" s="166" t="b">
        <v>0</v>
      </c>
      <c r="I45" s="166" t="b">
        <v>1</v>
      </c>
      <c r="J45" s="166" t="b">
        <v>0</v>
      </c>
      <c r="K45" s="166" t="b">
        <v>0</v>
      </c>
      <c r="M45" s="80" t="s">
        <v>3436</v>
      </c>
    </row>
    <row r="46">
      <c r="A46" s="45" t="s">
        <v>3438</v>
      </c>
      <c r="B46" s="45" t="s">
        <v>3439</v>
      </c>
      <c r="C46" s="4"/>
      <c r="D46" s="4"/>
      <c r="F46" s="166" t="b">
        <v>1</v>
      </c>
      <c r="G46" s="4"/>
      <c r="H46" s="166" t="b">
        <v>0</v>
      </c>
      <c r="I46" s="166" t="b">
        <v>1</v>
      </c>
      <c r="J46" s="166" t="b">
        <v>0</v>
      </c>
      <c r="K46" s="166" t="b">
        <v>0</v>
      </c>
      <c r="M46" s="80" t="s">
        <v>3440</v>
      </c>
    </row>
    <row r="47">
      <c r="A47" s="45" t="s">
        <v>3443</v>
      </c>
      <c r="B47" s="45" t="s">
        <v>3444</v>
      </c>
      <c r="C47" s="4"/>
      <c r="D47" s="4"/>
      <c r="F47" s="166" t="b">
        <v>1</v>
      </c>
      <c r="G47" s="4"/>
      <c r="H47" s="166" t="b">
        <v>0</v>
      </c>
      <c r="I47" s="166" t="b">
        <v>1</v>
      </c>
      <c r="J47" s="166" t="b">
        <v>0</v>
      </c>
      <c r="K47" s="166" t="b">
        <v>0</v>
      </c>
      <c r="M47" s="80" t="s">
        <v>3372</v>
      </c>
    </row>
    <row r="48">
      <c r="A48" s="45" t="s">
        <v>3449</v>
      </c>
      <c r="B48" s="45" t="s">
        <v>3450</v>
      </c>
      <c r="C48" s="4"/>
      <c r="D48" s="4"/>
      <c r="F48" s="166" t="b">
        <v>1</v>
      </c>
      <c r="G48" s="4"/>
      <c r="H48" s="166" t="b">
        <v>0</v>
      </c>
      <c r="I48" s="166" t="b">
        <v>1</v>
      </c>
      <c r="J48" s="166" t="b">
        <v>0</v>
      </c>
      <c r="K48" s="166" t="b">
        <v>0</v>
      </c>
      <c r="M48" s="80" t="s">
        <v>3451</v>
      </c>
    </row>
    <row r="49">
      <c r="A49" s="45" t="s">
        <v>3456</v>
      </c>
      <c r="B49" s="45" t="s">
        <v>3457</v>
      </c>
      <c r="C49" s="4"/>
      <c r="D49" s="4"/>
      <c r="F49" s="166" t="b">
        <v>1</v>
      </c>
      <c r="G49" s="4"/>
      <c r="H49" s="166" t="b">
        <v>0</v>
      </c>
      <c r="I49" s="166" t="b">
        <v>1</v>
      </c>
      <c r="J49" s="166" t="b">
        <v>0</v>
      </c>
      <c r="K49" s="166" t="b">
        <v>0</v>
      </c>
      <c r="M49" s="80" t="s">
        <v>3459</v>
      </c>
    </row>
    <row r="50">
      <c r="A50" s="45" t="s">
        <v>3463</v>
      </c>
      <c r="B50" s="45" t="s">
        <v>3464</v>
      </c>
      <c r="C50" s="4"/>
      <c r="D50" s="4"/>
      <c r="F50" s="166" t="b">
        <v>1</v>
      </c>
      <c r="G50" s="4"/>
      <c r="H50" s="166" t="b">
        <v>0</v>
      </c>
      <c r="I50" s="166" t="b">
        <v>1</v>
      </c>
      <c r="J50" s="166" t="b">
        <v>0</v>
      </c>
      <c r="K50" s="166" t="b">
        <v>0</v>
      </c>
      <c r="M50" s="80" t="s">
        <v>3466</v>
      </c>
    </row>
    <row r="51">
      <c r="A51" s="45" t="s">
        <v>3470</v>
      </c>
      <c r="B51" s="45" t="s">
        <v>3471</v>
      </c>
      <c r="C51" s="4"/>
      <c r="D51" s="4"/>
      <c r="F51" s="166" t="b">
        <v>1</v>
      </c>
      <c r="G51" s="4"/>
      <c r="H51" s="166" t="b">
        <v>0</v>
      </c>
      <c r="I51" s="166" t="b">
        <v>1</v>
      </c>
      <c r="J51" s="166" t="b">
        <v>0</v>
      </c>
      <c r="K51" s="166" t="b">
        <v>0</v>
      </c>
      <c r="M51" s="80" t="s">
        <v>3473</v>
      </c>
    </row>
    <row r="52">
      <c r="A52" s="45" t="s">
        <v>3475</v>
      </c>
      <c r="B52" s="45" t="s">
        <v>3476</v>
      </c>
      <c r="C52" s="4"/>
      <c r="D52" s="4"/>
      <c r="F52" s="166" t="b">
        <v>1</v>
      </c>
      <c r="G52" s="4"/>
      <c r="H52" s="166" t="b">
        <v>0</v>
      </c>
      <c r="I52" s="166" t="b">
        <v>1</v>
      </c>
      <c r="J52" s="166" t="b">
        <v>0</v>
      </c>
      <c r="K52" s="166" t="b">
        <v>0</v>
      </c>
      <c r="M52" s="80" t="s">
        <v>3480</v>
      </c>
    </row>
    <row r="53">
      <c r="C53" s="4"/>
      <c r="D53" s="4"/>
      <c r="F53" s="166" t="b">
        <v>0</v>
      </c>
      <c r="G53" s="4"/>
      <c r="H53" s="166" t="b">
        <v>0</v>
      </c>
      <c r="I53" s="166" t="b">
        <v>0</v>
      </c>
      <c r="J53" s="166" t="b">
        <v>0</v>
      </c>
      <c r="K53" s="166" t="b">
        <v>0</v>
      </c>
    </row>
    <row r="54">
      <c r="C54" s="4"/>
      <c r="D54" s="4"/>
      <c r="F54" s="166" t="b">
        <v>0</v>
      </c>
      <c r="G54" s="4"/>
      <c r="H54" s="166" t="b">
        <v>0</v>
      </c>
      <c r="I54" s="166" t="b">
        <v>0</v>
      </c>
      <c r="J54" s="166" t="b">
        <v>0</v>
      </c>
      <c r="K54" s="166" t="b">
        <v>0</v>
      </c>
    </row>
    <row r="55">
      <c r="C55" s="4"/>
      <c r="D55" s="4"/>
      <c r="F55" s="166" t="b">
        <v>0</v>
      </c>
      <c r="G55" s="4"/>
      <c r="H55" s="166" t="b">
        <v>0</v>
      </c>
      <c r="I55" s="166" t="b">
        <v>0</v>
      </c>
      <c r="J55" s="166" t="b">
        <v>0</v>
      </c>
      <c r="K55" s="166" t="b">
        <v>0</v>
      </c>
    </row>
    <row r="56">
      <c r="C56" s="4"/>
      <c r="D56" s="4"/>
      <c r="F56" s="166" t="b">
        <v>0</v>
      </c>
      <c r="G56" s="4"/>
      <c r="H56" s="166" t="b">
        <v>0</v>
      </c>
      <c r="I56" s="166" t="b">
        <v>0</v>
      </c>
      <c r="J56" s="166" t="b">
        <v>0</v>
      </c>
      <c r="K56" s="166" t="b">
        <v>0</v>
      </c>
    </row>
    <row r="57">
      <c r="C57" s="4"/>
      <c r="D57" s="4"/>
      <c r="F57" s="166" t="b">
        <v>0</v>
      </c>
      <c r="G57" s="4"/>
      <c r="H57" s="166" t="b">
        <v>0</v>
      </c>
      <c r="I57" s="166" t="b">
        <v>0</v>
      </c>
      <c r="J57" s="166" t="b">
        <v>0</v>
      </c>
      <c r="K57" s="166" t="b">
        <v>0</v>
      </c>
    </row>
    <row r="58">
      <c r="C58" s="4"/>
      <c r="D58" s="4"/>
      <c r="F58" s="166" t="b">
        <v>0</v>
      </c>
      <c r="G58" s="4"/>
      <c r="H58" s="166" t="b">
        <v>0</v>
      </c>
      <c r="I58" s="166" t="b">
        <v>0</v>
      </c>
      <c r="J58" s="166" t="b">
        <v>0</v>
      </c>
      <c r="K58" s="166" t="b">
        <v>0</v>
      </c>
    </row>
  </sheetData>
  <conditionalFormatting sqref="F1:F58 H1:K58">
    <cfRule type="cellIs" dxfId="1" priority="1" operator="equal">
      <formula>"FALSE"</formula>
    </cfRule>
  </conditionalFormatting>
  <conditionalFormatting sqref="F1:F58 H1:K58">
    <cfRule type="containsText" dxfId="2" priority="2" operator="containsText" text="TRUE">
      <formula>NOT(ISERROR(SEARCH(("TRUE"),(F1))))</formula>
    </cfRule>
  </conditionalFormatting>
  <conditionalFormatting sqref="A1:E2 F1:F58 G1:G2 H1:K58">
    <cfRule type="cellIs" dxfId="0" priority="3" operator="equal">
      <formula>"ID null"</formula>
    </cfRule>
  </conditionalFormatting>
  <dataValidations>
    <dataValidation type="list" allowBlank="1" sqref="D2:D58">
      <formula1>Lists!$B$2:$B$1000</formula1>
    </dataValidation>
    <dataValidation type="list" allowBlank="1" sqref="G2:G58">
      <formula1>"Yes,"</formula1>
    </dataValidation>
    <dataValidation type="list" allowBlank="1" sqref="C2:C58">
      <formula1>Lists!$A$2:$A$1000</formula1>
    </dataValidation>
  </dataValidations>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s>
  <drawing r:id="rId5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4.43" defaultRowHeight="15.75"/>
  <cols>
    <col customWidth="1" min="4" max="4" width="18.14"/>
    <col customWidth="1" min="6" max="6" width="23.14"/>
    <col customWidth="1" min="18" max="18" width="5.43"/>
    <col customWidth="1" min="19" max="19" width="12.43"/>
    <col customWidth="1" min="20" max="20" width="52.14"/>
  </cols>
  <sheetData>
    <row r="1" ht="33.75" customHeight="1">
      <c r="A1" s="173" t="s">
        <v>3511</v>
      </c>
      <c r="N1" s="174"/>
      <c r="O1" s="175"/>
      <c r="P1" s="175"/>
      <c r="Q1" s="175"/>
      <c r="R1" s="177"/>
      <c r="S1" s="178"/>
      <c r="T1" s="179"/>
      <c r="U1" s="180"/>
      <c r="V1" s="180"/>
      <c r="W1" s="180"/>
      <c r="X1" s="180"/>
      <c r="Y1" s="179"/>
      <c r="Z1" s="181"/>
      <c r="AA1" s="181"/>
      <c r="AB1" s="181"/>
    </row>
    <row r="2" ht="30.75" customHeight="1">
      <c r="A2" s="182" t="str">
        <f>IFERROR(__xludf.DUMMYFUNCTION("ARRAYFORMULA(QUERY(SS_source!A:N,""SELECT B, D, E, F where J = 'Sent for review'""))"),"Company Name")</f>
        <v>Company Name</v>
      </c>
      <c r="B2" s="183" t="str">
        <f>IFERROR(__xludf.DUMMYFUNCTION("""COMPUTED_VALUE"""),"First Name")</f>
        <v>First Name</v>
      </c>
      <c r="C2" s="184" t="str">
        <f>IFERROR(__xludf.DUMMYFUNCTION("""COMPUTED_VALUE"""),"Last Name")</f>
        <v>Last Name</v>
      </c>
      <c r="D2" s="184" t="str">
        <f>IFERROR(__xludf.DUMMYFUNCTION("""COMPUTED_VALUE"""),"40 words")</f>
        <v>40 words</v>
      </c>
      <c r="E2" s="3" t="s">
        <v>11</v>
      </c>
      <c r="F2" s="164" t="s">
        <v>537</v>
      </c>
      <c r="G2" s="185" t="s">
        <v>58</v>
      </c>
      <c r="H2" s="165" t="s">
        <v>538</v>
      </c>
      <c r="I2" s="186" t="s">
        <v>38</v>
      </c>
      <c r="J2" s="186" t="s">
        <v>541</v>
      </c>
      <c r="K2" s="186" t="s">
        <v>9</v>
      </c>
      <c r="L2" s="48" t="s">
        <v>542</v>
      </c>
      <c r="M2" s="61" t="s">
        <v>543</v>
      </c>
      <c r="N2" s="187" t="s">
        <v>48</v>
      </c>
      <c r="O2" s="48" t="s">
        <v>546</v>
      </c>
      <c r="P2" s="48" t="s">
        <v>63</v>
      </c>
      <c r="Q2" s="48" t="s">
        <v>547</v>
      </c>
      <c r="R2" s="188"/>
      <c r="S2" s="189" t="s">
        <v>3538</v>
      </c>
      <c r="T2" s="190" t="s">
        <v>3540</v>
      </c>
      <c r="U2" s="183"/>
      <c r="V2" s="183"/>
      <c r="W2" s="183"/>
      <c r="X2" s="183"/>
      <c r="Y2" s="191"/>
      <c r="Z2" s="56"/>
      <c r="AA2" s="56"/>
      <c r="AB2" s="56"/>
    </row>
    <row r="3">
      <c r="A3" s="192" t="str">
        <f>IFERROR(__xludf.DUMMYFUNCTION("""COMPUTED_VALUE"""),"Generation Connect Pte Ltd")</f>
        <v>Generation Connect Pte Ltd</v>
      </c>
      <c r="B3" s="192" t="str">
        <f>IFERROR(__xludf.DUMMYFUNCTION("""COMPUTED_VALUE"""),"Cassandra")</f>
        <v>Cassandra</v>
      </c>
      <c r="C3" s="192" t="str">
        <f>IFERROR(__xludf.DUMMYFUNCTION("""COMPUTED_VALUE"""),"Seah")</f>
        <v>Seah</v>
      </c>
      <c r="D3" s="192" t="str">
        <f>IFERROR(__xludf.DUMMYFUNCTION("""COMPUTED_VALUE"""),"We revolutionize the dementia ecosystem")</f>
        <v>We revolutionize the dementia ecosystem</v>
      </c>
      <c r="E3" s="194" t="s">
        <v>17</v>
      </c>
      <c r="F3" s="195" t="s">
        <v>3554</v>
      </c>
      <c r="G3" s="196" t="b">
        <v>1</v>
      </c>
      <c r="H3" s="192" t="s">
        <v>3560</v>
      </c>
      <c r="I3" s="196" t="b">
        <v>1</v>
      </c>
      <c r="J3" s="196" t="b">
        <v>0</v>
      </c>
      <c r="K3" s="196" t="b">
        <v>0</v>
      </c>
      <c r="L3" s="197" t="b">
        <v>0</v>
      </c>
      <c r="M3" s="197" t="b">
        <v>0</v>
      </c>
      <c r="N3" s="198">
        <v>0.0012962962962962963</v>
      </c>
      <c r="O3" s="199"/>
      <c r="P3" s="199"/>
      <c r="Q3" s="200" t="s">
        <v>3566</v>
      </c>
      <c r="R3" s="201"/>
      <c r="S3" s="202"/>
      <c r="T3" s="201"/>
      <c r="U3" s="201"/>
      <c r="V3" s="201"/>
      <c r="W3" s="201"/>
      <c r="X3" s="201"/>
      <c r="Y3" s="202"/>
      <c r="Z3" s="56"/>
      <c r="AA3" s="56"/>
      <c r="AB3" s="56"/>
    </row>
    <row r="4">
      <c r="A4" s="56" t="str">
        <f>IFERROR(__xludf.DUMMYFUNCTION("""COMPUTED_VALUE"""),"ActualConversion Inc.")</f>
        <v>ActualConversion Inc.</v>
      </c>
      <c r="B4" s="56" t="str">
        <f>IFERROR(__xludf.DUMMYFUNCTION("""COMPUTED_VALUE"""),"Adrian")</f>
        <v>Adrian</v>
      </c>
      <c r="C4" s="56" t="str">
        <f>IFERROR(__xludf.DUMMYFUNCTION("""COMPUTED_VALUE"""),"Pike")</f>
        <v>Pike</v>
      </c>
      <c r="D4" s="56" t="str">
        <f>IFERROR(__xludf.DUMMYFUNCTION("""COMPUTED_VALUE"""),"We have created a simplified SaaS reporting solution that makes cross marketing platform performance insights actionable for any business.")</f>
        <v>We have created a simplified SaaS reporting solution that makes cross marketing platform performance insights actionable for any business.</v>
      </c>
      <c r="E4" s="203" t="s">
        <v>17</v>
      </c>
      <c r="F4" s="80" t="s">
        <v>3575</v>
      </c>
      <c r="G4" s="166" t="b">
        <v>1</v>
      </c>
      <c r="H4" s="56" t="s">
        <v>3580</v>
      </c>
      <c r="I4" s="166" t="b">
        <v>1</v>
      </c>
      <c r="J4" s="166" t="b">
        <v>0</v>
      </c>
      <c r="K4" s="166" t="b">
        <v>0</v>
      </c>
      <c r="L4" s="51" t="b">
        <v>0</v>
      </c>
      <c r="M4" s="51" t="b">
        <v>0</v>
      </c>
      <c r="N4" s="71">
        <v>0.0013541666666666667</v>
      </c>
      <c r="O4" s="52"/>
      <c r="P4" s="52"/>
      <c r="Q4" s="73" t="s">
        <v>3566</v>
      </c>
      <c r="R4" s="56"/>
      <c r="S4" s="56"/>
      <c r="T4" s="56"/>
      <c r="U4" s="56"/>
      <c r="V4" s="56"/>
      <c r="W4" s="56"/>
      <c r="X4" s="56"/>
      <c r="Y4" s="56"/>
      <c r="Z4" s="56"/>
      <c r="AA4" s="56"/>
      <c r="AB4" s="56"/>
    </row>
    <row r="5">
      <c r="A5" s="56" t="str">
        <f>IFERROR(__xludf.DUMMYFUNCTION("""COMPUTED_VALUE"""),"Zendelity")</f>
        <v>Zendelity</v>
      </c>
      <c r="B5" s="56" t="str">
        <f>IFERROR(__xludf.DUMMYFUNCTION("""COMPUTED_VALUE"""),"Rebecca")</f>
        <v>Rebecca</v>
      </c>
      <c r="C5" s="56" t="str">
        <f>IFERROR(__xludf.DUMMYFUNCTION("""COMPUTED_VALUE"""),"Wormleighton")</f>
        <v>Wormleighton</v>
      </c>
      <c r="D5" s="56" t="str">
        <f>IFERROR(__xludf.DUMMYFUNCTION("""COMPUTED_VALUE"""),"Zendelity offers a cost-effective, mobile solution for front line workers in public properties. It simplifies the costs and complexity of managing adherence to the physical operating legislation, property insurance policies, and brand standards that defin"&amp;"e operating requirements and reduce risk.")</f>
        <v>Zendelity offers a cost-effective, mobile solution for front line workers in public properties. It simplifies the costs and complexity of managing adherence to the physical operating legislation, property insurance policies, and brand standards that define operating requirements and reduce risk.</v>
      </c>
      <c r="E5" s="203" t="s">
        <v>17</v>
      </c>
      <c r="F5" s="111" t="s">
        <v>3587</v>
      </c>
      <c r="G5" s="166" t="b">
        <v>1</v>
      </c>
      <c r="H5" s="56" t="s">
        <v>3590</v>
      </c>
      <c r="I5" s="166" t="b">
        <v>1</v>
      </c>
      <c r="J5" s="166" t="b">
        <v>0</v>
      </c>
      <c r="K5" s="166" t="b">
        <v>0</v>
      </c>
      <c r="L5" s="51" t="b">
        <v>0</v>
      </c>
      <c r="M5" s="51" t="b">
        <v>0</v>
      </c>
      <c r="N5" s="156">
        <v>0.0013541666666666667</v>
      </c>
      <c r="P5" s="56"/>
      <c r="Q5" s="70" t="s">
        <v>3591</v>
      </c>
      <c r="R5" s="56"/>
      <c r="S5" s="56"/>
      <c r="T5" s="56"/>
      <c r="U5" s="56"/>
      <c r="V5" s="56"/>
      <c r="W5" s="56"/>
      <c r="X5" s="56"/>
      <c r="Y5" s="56"/>
      <c r="Z5" s="56"/>
      <c r="AA5" s="56"/>
      <c r="AB5" s="56"/>
    </row>
    <row r="6">
      <c r="A6" s="81" t="str">
        <f>IFERROR(__xludf.DUMMYFUNCTION("""COMPUTED_VALUE"""),"Matidor.com")</f>
        <v>Matidor.com</v>
      </c>
      <c r="B6" s="56" t="str">
        <f>IFERROR(__xludf.DUMMYFUNCTION("""COMPUTED_VALUE"""),"Sean")</f>
        <v>Sean</v>
      </c>
      <c r="C6" s="56" t="str">
        <f>IFERROR(__xludf.DUMMYFUNCTION("""COMPUTED_VALUE"""),"Huang")</f>
        <v>Huang</v>
      </c>
      <c r="D6" s="56" t="str">
        <f>IFERROR(__xludf.DUMMYFUNCTION("""COMPUTED_VALUE"""),"Matidor helps solve the pain of using spreadsheets and archaic tools for project management by using a intuitive and visual map-based platform to allow easy collaboration between consultants and their clients in the environmental space.")</f>
        <v>Matidor helps solve the pain of using spreadsheets and archaic tools for project management by using a intuitive and visual map-based platform to allow easy collaboration between consultants and their clients in the environmental space.</v>
      </c>
      <c r="E6" s="203" t="s">
        <v>20</v>
      </c>
      <c r="F6" s="80" t="s">
        <v>3599</v>
      </c>
      <c r="G6" s="166" t="b">
        <v>1</v>
      </c>
      <c r="H6" s="77" t="s">
        <v>3602</v>
      </c>
      <c r="I6" s="166" t="b">
        <v>1</v>
      </c>
      <c r="J6" s="166" t="b">
        <v>0</v>
      </c>
      <c r="K6" s="166" t="b">
        <v>0</v>
      </c>
      <c r="L6" s="51" t="b">
        <v>0</v>
      </c>
      <c r="M6" s="51" t="b">
        <v>0</v>
      </c>
      <c r="N6" s="156">
        <v>0.0012962962962962963</v>
      </c>
      <c r="P6" s="56"/>
      <c r="Q6" s="70" t="s">
        <v>3608</v>
      </c>
      <c r="R6" s="56"/>
      <c r="S6" s="56"/>
      <c r="T6" s="56"/>
      <c r="U6" s="56"/>
      <c r="V6" s="56"/>
      <c r="W6" s="56"/>
      <c r="X6" s="56"/>
      <c r="Y6" s="56"/>
      <c r="Z6" s="56"/>
      <c r="AA6" s="56"/>
      <c r="AB6" s="56"/>
    </row>
    <row r="7">
      <c r="A7" s="56" t="str">
        <f>IFERROR(__xludf.DUMMYFUNCTION("""COMPUTED_VALUE"""),"YData")</f>
        <v>YData</v>
      </c>
      <c r="B7" s="56" t="str">
        <f>IFERROR(__xludf.DUMMYFUNCTION("""COMPUTED_VALUE"""),"Fabiana")</f>
        <v>Fabiana</v>
      </c>
      <c r="C7" s="56" t="str">
        <f>IFERROR(__xludf.DUMMYFUNCTION("""COMPUTED_VALUE"""),"Clemente")</f>
        <v>Clemente</v>
      </c>
      <c r="D7" s="56" t="str">
        <f>IFERROR(__xludf.DUMMYFUNCTION("""COMPUTED_VALUE"""),"YData helps data science teams deliver machine learning models, with special focus on data acquisition. We make data available with privacy by design, so data scientists can focus their time on things that matter.")</f>
        <v>YData helps data science teams deliver machine learning models, with special focus on data acquisition. We make data available with privacy by design, so data scientists can focus their time on things that matter.</v>
      </c>
      <c r="E7" s="203" t="s">
        <v>20</v>
      </c>
      <c r="F7" s="80" t="s">
        <v>3613</v>
      </c>
      <c r="G7" s="166" t="b">
        <v>1</v>
      </c>
      <c r="H7" s="56" t="s">
        <v>3616</v>
      </c>
      <c r="I7" s="166" t="b">
        <v>1</v>
      </c>
      <c r="J7" s="166" t="b">
        <v>0</v>
      </c>
      <c r="K7" s="166" t="b">
        <v>0</v>
      </c>
      <c r="L7" s="51" t="b">
        <v>0</v>
      </c>
      <c r="M7" s="51" t="b">
        <v>0</v>
      </c>
      <c r="N7" s="156">
        <v>0.0013310185185185185</v>
      </c>
      <c r="P7" s="56"/>
      <c r="Q7" s="70" t="s">
        <v>3618</v>
      </c>
      <c r="R7" s="56"/>
      <c r="S7" s="56"/>
      <c r="T7" s="56"/>
      <c r="U7" s="56"/>
      <c r="V7" s="56"/>
      <c r="W7" s="56"/>
      <c r="X7" s="56"/>
      <c r="Y7" s="56"/>
      <c r="Z7" s="56"/>
      <c r="AA7" s="56"/>
      <c r="AB7" s="56"/>
    </row>
    <row r="8">
      <c r="A8" s="56" t="str">
        <f>IFERROR(__xludf.DUMMYFUNCTION("""COMPUTED_VALUE"""),"CityGuyd")</f>
        <v>CityGuyd</v>
      </c>
      <c r="B8" s="56" t="str">
        <f>IFERROR(__xludf.DUMMYFUNCTION("""COMPUTED_VALUE"""),"Naor")</f>
        <v>Naor</v>
      </c>
      <c r="C8" s="56" t="str">
        <f>IFERROR(__xludf.DUMMYFUNCTION("""COMPUTED_VALUE"""),"Amir")</f>
        <v>Amir</v>
      </c>
      <c r="D8" s="56" t="str">
        <f>IFERROR(__xludf.DUMMYFUNCTION("""COMPUTED_VALUE"""),"CityGuyd augments real life tour guides on the grounds at tourist attractions across the globe! We offer a face to face tour guide experience that is affordable, engaging, and always in your pocket!")</f>
        <v>CityGuyd augments real life tour guides on the grounds at tourist attractions across the globe! We offer a face to face tour guide experience that is affordable, engaging, and always in your pocket!</v>
      </c>
      <c r="E8" s="203" t="s">
        <v>20</v>
      </c>
      <c r="F8" s="111" t="s">
        <v>3626</v>
      </c>
      <c r="G8" s="166" t="b">
        <v>1</v>
      </c>
      <c r="H8" s="56" t="s">
        <v>3630</v>
      </c>
      <c r="I8" s="166" t="b">
        <v>1</v>
      </c>
      <c r="J8" s="166" t="b">
        <v>0</v>
      </c>
      <c r="K8" s="166" t="b">
        <v>0</v>
      </c>
      <c r="L8" s="51" t="b">
        <v>0</v>
      </c>
      <c r="M8" s="51" t="b">
        <v>0</v>
      </c>
      <c r="N8" s="156">
        <v>9.25925925925926E-4</v>
      </c>
      <c r="P8" s="56"/>
      <c r="Q8" s="70" t="s">
        <v>3631</v>
      </c>
      <c r="R8" s="56"/>
      <c r="S8" s="56"/>
      <c r="T8" s="56"/>
      <c r="U8" s="209"/>
      <c r="V8" s="56"/>
      <c r="W8" s="56"/>
      <c r="X8" s="56"/>
      <c r="Y8" s="56"/>
      <c r="Z8" s="56"/>
      <c r="AA8" s="56"/>
      <c r="AB8" s="56"/>
    </row>
    <row r="9">
      <c r="A9" s="56" t="str">
        <f>IFERROR(__xludf.DUMMYFUNCTION("""COMPUTED_VALUE"""),"HumanKind Homes")</f>
        <v>HumanKind Homes</v>
      </c>
      <c r="B9" s="56" t="str">
        <f>IFERROR(__xludf.DUMMYFUNCTION("""COMPUTED_VALUE"""),"Eliot")</f>
        <v>Eliot</v>
      </c>
      <c r="C9" s="56" t="str">
        <f>IFERROR(__xludf.DUMMYFUNCTION("""COMPUTED_VALUE"""),"Kahn")</f>
        <v>Kahn</v>
      </c>
      <c r="D9" s="56" t="str">
        <f>IFERROR(__xludf.DUMMYFUNCTION("""COMPUTED_VALUE"""),"3D printing affordable, sustainable, and high quality housing for all")</f>
        <v>3D printing affordable, sustainable, and high quality housing for all</v>
      </c>
      <c r="E9" s="203" t="s">
        <v>23</v>
      </c>
      <c r="F9" s="80" t="s">
        <v>3638</v>
      </c>
      <c r="G9" s="166" t="b">
        <v>1</v>
      </c>
      <c r="H9" s="56" t="s">
        <v>3642</v>
      </c>
      <c r="I9" s="166" t="b">
        <v>1</v>
      </c>
      <c r="J9" s="166" t="b">
        <v>0</v>
      </c>
      <c r="K9" s="166" t="b">
        <v>0</v>
      </c>
      <c r="L9" s="51" t="b">
        <v>0</v>
      </c>
      <c r="M9" s="51" t="b">
        <v>0</v>
      </c>
      <c r="N9" s="156">
        <v>0.0011342592592592593</v>
      </c>
      <c r="P9" s="56"/>
      <c r="Q9" s="77" t="s">
        <v>3645</v>
      </c>
      <c r="R9" s="56"/>
      <c r="S9" s="56"/>
      <c r="T9" s="56"/>
      <c r="U9" s="56"/>
      <c r="V9" s="56"/>
      <c r="W9" s="56"/>
      <c r="X9" s="56"/>
      <c r="Y9" s="56"/>
      <c r="Z9" s="56"/>
      <c r="AA9" s="56"/>
      <c r="AB9" s="56"/>
    </row>
    <row r="10">
      <c r="A10" s="56" t="str">
        <f>IFERROR(__xludf.DUMMYFUNCTION("""COMPUTED_VALUE"""),"Sellbit")</f>
        <v>Sellbit</v>
      </c>
      <c r="B10" s="56" t="str">
        <f>IFERROR(__xludf.DUMMYFUNCTION("""COMPUTED_VALUE"""),"Jeff")</f>
        <v>Jeff</v>
      </c>
      <c r="C10" s="56" t="str">
        <f>IFERROR(__xludf.DUMMYFUNCTION("""COMPUTED_VALUE"""),"LaPorte")</f>
        <v>LaPorte</v>
      </c>
      <c r="D10" s="56" t="str">
        <f>IFERROR(__xludf.DUMMYFUNCTION("""COMPUTED_VALUE"""),"Sellbit is the missing infrastructure for API sales")</f>
        <v>Sellbit is the missing infrastructure for API sales</v>
      </c>
      <c r="E10" s="203" t="s">
        <v>23</v>
      </c>
      <c r="F10" s="80" t="s">
        <v>3648</v>
      </c>
      <c r="G10" s="166" t="b">
        <v>1</v>
      </c>
      <c r="H10" s="56" t="s">
        <v>3652</v>
      </c>
      <c r="I10" s="166" t="b">
        <v>1</v>
      </c>
      <c r="J10" s="166" t="b">
        <v>0</v>
      </c>
      <c r="K10" s="166" t="b">
        <v>0</v>
      </c>
      <c r="L10" s="51" t="b">
        <v>0</v>
      </c>
      <c r="M10" s="51" t="b">
        <v>0</v>
      </c>
      <c r="N10" s="156">
        <v>0.0012847222222222223</v>
      </c>
      <c r="P10" s="56"/>
      <c r="Q10" s="77" t="s">
        <v>3654</v>
      </c>
      <c r="R10" s="56"/>
      <c r="S10" s="56"/>
      <c r="T10" s="56"/>
      <c r="U10" s="56"/>
      <c r="V10" s="56"/>
      <c r="W10" s="56"/>
      <c r="X10" s="56"/>
      <c r="Y10" s="56"/>
      <c r="Z10" s="56"/>
      <c r="AA10" s="56"/>
      <c r="AB10" s="56"/>
    </row>
    <row r="11">
      <c r="A11" s="56" t="str">
        <f>IFERROR(__xludf.DUMMYFUNCTION("""COMPUTED_VALUE"""),"Kinzoo")</f>
        <v>Kinzoo</v>
      </c>
      <c r="B11" s="56" t="str">
        <f>IFERROR(__xludf.DUMMYFUNCTION("""COMPUTED_VALUE"""),"Sean")</f>
        <v>Sean</v>
      </c>
      <c r="C11" s="56" t="str">
        <f>IFERROR(__xludf.DUMMYFUNCTION("""COMPUTED_VALUE"""),"Herman")</f>
        <v>Herman</v>
      </c>
      <c r="D11" s="56" t="str">
        <f>IFERROR(__xludf.DUMMYFUNCTION("""COMPUTED_VALUE"""),"Kinzoo turns screen time into family time.")</f>
        <v>Kinzoo turns screen time into family time.</v>
      </c>
      <c r="E11" s="203" t="s">
        <v>23</v>
      </c>
      <c r="F11" s="80" t="s">
        <v>3659</v>
      </c>
      <c r="G11" s="166" t="b">
        <v>1</v>
      </c>
      <c r="H11" s="56" t="s">
        <v>3664</v>
      </c>
      <c r="I11" s="166" t="b">
        <v>1</v>
      </c>
      <c r="J11" s="166" t="b">
        <v>0</v>
      </c>
      <c r="K11" s="166" t="b">
        <v>0</v>
      </c>
      <c r="L11" s="51" t="b">
        <v>0</v>
      </c>
      <c r="M11" s="51" t="b">
        <v>0</v>
      </c>
      <c r="N11" s="156">
        <v>0.0013425925925925925</v>
      </c>
      <c r="P11" s="56"/>
      <c r="Q11" s="77" t="s">
        <v>3666</v>
      </c>
      <c r="R11" s="56"/>
      <c r="S11" s="56"/>
      <c r="T11" s="56"/>
      <c r="U11" s="56"/>
      <c r="V11" s="56"/>
      <c r="W11" s="56"/>
      <c r="X11" s="56"/>
      <c r="Y11" s="56"/>
      <c r="Z11" s="56"/>
      <c r="AA11" s="56"/>
      <c r="AB11" s="56"/>
    </row>
    <row r="12">
      <c r="A12" s="56" t="str">
        <f>IFERROR(__xludf.DUMMYFUNCTION("""COMPUTED_VALUE"""),"renaizant")</f>
        <v>renaizant</v>
      </c>
      <c r="B12" s="56" t="str">
        <f>IFERROR(__xludf.DUMMYFUNCTION("""COMPUTED_VALUE"""),"Jennifer")</f>
        <v>Jennifer</v>
      </c>
      <c r="C12" s="56" t="str">
        <f>IFERROR(__xludf.DUMMYFUNCTION("""COMPUTED_VALUE"""),"Rhodes")</f>
        <v>Rhodes</v>
      </c>
      <c r="D12" s="56" t="str">
        <f>IFERROR(__xludf.DUMMYFUNCTION("""COMPUTED_VALUE"""),"AI-powered performance management solution that empowers leaders to understand team dynamics, increase retention, and drive productivity. Integrating with apps you currently use, initiate 1:1s, goals, 360 reviews, mentorship/career paths, and skills asses"&amp;"sments, delivering a complete vision into your organizational health")</f>
        <v>AI-powered performance management solution that empowers leaders to understand team dynamics, increase retention, and drive productivity. Integrating with apps you currently use, initiate 1:1s, goals, 360 reviews, mentorship/career paths, and skills assessments, delivering a complete vision into your organizational health</v>
      </c>
      <c r="E12" s="203" t="s">
        <v>25</v>
      </c>
      <c r="F12" s="80" t="s">
        <v>3672</v>
      </c>
      <c r="G12" s="166" t="b">
        <v>1</v>
      </c>
      <c r="H12" s="56" t="s">
        <v>3675</v>
      </c>
      <c r="I12" s="166" t="b">
        <v>1</v>
      </c>
      <c r="J12" s="166" t="b">
        <v>0</v>
      </c>
      <c r="K12" s="166" t="b">
        <v>0</v>
      </c>
      <c r="L12" s="51" t="b">
        <v>0</v>
      </c>
      <c r="M12" s="51" t="b">
        <v>0</v>
      </c>
      <c r="N12" s="156">
        <v>0.0013657407407407407</v>
      </c>
      <c r="P12" s="56"/>
      <c r="Q12" s="70" t="s">
        <v>3677</v>
      </c>
      <c r="R12" s="56"/>
      <c r="S12" s="56"/>
      <c r="T12" s="56"/>
      <c r="U12" s="56"/>
      <c r="V12" s="56"/>
      <c r="W12" s="56"/>
      <c r="X12" s="56"/>
      <c r="Y12" s="56"/>
      <c r="Z12" s="56"/>
      <c r="AA12" s="56"/>
      <c r="AB12" s="56"/>
    </row>
    <row r="13">
      <c r="A13" s="56" t="str">
        <f>IFERROR(__xludf.DUMMYFUNCTION("""COMPUTED_VALUE"""),"Omnivor")</f>
        <v>Omnivor</v>
      </c>
      <c r="B13" s="56" t="str">
        <f>IFERROR(__xludf.DUMMYFUNCTION("""COMPUTED_VALUE"""),"Abhay")</f>
        <v>Abhay</v>
      </c>
      <c r="C13" s="56" t="str">
        <f>IFERROR(__xludf.DUMMYFUNCTION("""COMPUTED_VALUE"""),"Mahajan")</f>
        <v>Mahajan</v>
      </c>
      <c r="D13" s="56" t="str">
        <f>IFERROR(__xludf.DUMMYFUNCTION("""COMPUTED_VALUE"""),"Omnivor's mission is to bring 3D Holographic content everywhere. We are creating new engagement paradigms for Omni-channel retail, At Home Experiences and 3D Holographic Telepresence. Our patented technology can deliver 3D content to mobiles, browsers and"&amp;" XR headsets.")</f>
        <v>Omnivor's mission is to bring 3D Holographic content everywhere. We are creating new engagement paradigms for Omni-channel retail, At Home Experiences and 3D Holographic Telepresence. Our patented technology can deliver 3D content to mobiles, browsers and XR headsets.</v>
      </c>
      <c r="E13" s="203" t="s">
        <v>25</v>
      </c>
      <c r="F13" s="80" t="s">
        <v>3682</v>
      </c>
      <c r="G13" s="166" t="b">
        <v>1</v>
      </c>
      <c r="H13" s="56" t="s">
        <v>3685</v>
      </c>
      <c r="I13" s="166" t="b">
        <v>1</v>
      </c>
      <c r="J13" s="166" t="b">
        <v>0</v>
      </c>
      <c r="K13" s="166" t="b">
        <v>0</v>
      </c>
      <c r="L13" s="51" t="b">
        <v>0</v>
      </c>
      <c r="M13" s="51" t="b">
        <v>0</v>
      </c>
      <c r="N13" s="156">
        <v>0.0010416666666666667</v>
      </c>
      <c r="P13" s="56"/>
      <c r="Q13" s="70" t="s">
        <v>3686</v>
      </c>
      <c r="R13" s="56"/>
      <c r="S13" s="56"/>
      <c r="T13" s="56"/>
      <c r="U13" s="56"/>
      <c r="V13" s="56"/>
      <c r="W13" s="56"/>
      <c r="X13" s="56"/>
      <c r="Y13" s="56"/>
      <c r="Z13" s="56"/>
      <c r="AA13" s="56"/>
      <c r="AB13" s="56"/>
    </row>
    <row r="14">
      <c r="A14" s="56" t="str">
        <f>IFERROR(__xludf.DUMMYFUNCTION("""COMPUTED_VALUE"""),"AI Music")</f>
        <v>AI Music</v>
      </c>
      <c r="B14" s="56" t="str">
        <f>IFERROR(__xludf.DUMMYFUNCTION("""COMPUTED_VALUE"""),"Isabella")</f>
        <v>Isabella</v>
      </c>
      <c r="C14" s="56" t="str">
        <f>IFERROR(__xludf.DUMMYFUNCTION("""COMPUTED_VALUE"""),"Dodkins")</f>
        <v>Dodkins</v>
      </c>
      <c r="D14" s="56" t="str">
        <f>IFERROR(__xludf.DUMMYFUNCTION("""COMPUTED_VALUE"""),"We are transforming the way music is consumed – enabling listeners and creatives through our range of cutting-edge products to shape-change audio that is tailored to their context.")</f>
        <v>We are transforming the way music is consumed – enabling listeners and creatives through our range of cutting-edge products to shape-change audio that is tailored to their context.</v>
      </c>
      <c r="E14" s="203" t="s">
        <v>25</v>
      </c>
      <c r="F14" s="80" t="s">
        <v>3692</v>
      </c>
      <c r="G14" s="166" t="b">
        <v>1</v>
      </c>
      <c r="H14" s="56" t="s">
        <v>3695</v>
      </c>
      <c r="I14" s="166" t="b">
        <v>1</v>
      </c>
      <c r="J14" s="166" t="b">
        <v>0</v>
      </c>
      <c r="K14" s="166" t="b">
        <v>0</v>
      </c>
      <c r="L14" s="51" t="b">
        <v>0</v>
      </c>
      <c r="M14" s="51" t="b">
        <v>0</v>
      </c>
      <c r="N14" s="156">
        <v>0.001412037037037037</v>
      </c>
      <c r="P14" s="56"/>
      <c r="Q14" s="70" t="s">
        <v>3698</v>
      </c>
      <c r="R14" s="56"/>
      <c r="S14" s="56"/>
      <c r="T14" s="56"/>
      <c r="U14" s="56"/>
      <c r="V14" s="56"/>
      <c r="W14" s="56"/>
      <c r="X14" s="56"/>
      <c r="Y14" s="56"/>
      <c r="Z14" s="56"/>
      <c r="AA14" s="56"/>
      <c r="AB14" s="56"/>
    </row>
    <row r="15">
      <c r="A15" s="56" t="str">
        <f>IFERROR(__xludf.DUMMYFUNCTION("""COMPUTED_VALUE"""),"Pillow")</f>
        <v>Pillow</v>
      </c>
      <c r="B15" s="56" t="str">
        <f>IFERROR(__xludf.DUMMYFUNCTION("""COMPUTED_VALUE"""),"Scott")</f>
        <v>Scott</v>
      </c>
      <c r="C15" s="56" t="str">
        <f>IFERROR(__xludf.DUMMYFUNCTION("""COMPUTED_VALUE"""),"Weir")</f>
        <v>Weir</v>
      </c>
      <c r="D15" s="56" t="str">
        <f>IFERROR(__xludf.DUMMYFUNCTION("""COMPUTED_VALUE"""),"Pillow is an online travel agency platform that matches vacation rental owners with quality guests from around the world, while supporting local business and helping societies most vulnerable groups.")</f>
        <v>Pillow is an online travel agency platform that matches vacation rental owners with quality guests from around the world, while supporting local business and helping societies most vulnerable groups.</v>
      </c>
      <c r="E15" s="203" t="s">
        <v>28</v>
      </c>
      <c r="F15" s="80" t="s">
        <v>3704</v>
      </c>
      <c r="G15" s="166" t="b">
        <v>1</v>
      </c>
      <c r="H15" s="56" t="s">
        <v>3707</v>
      </c>
      <c r="I15" s="166" t="b">
        <v>1</v>
      </c>
      <c r="J15" s="166" t="b">
        <v>0</v>
      </c>
      <c r="K15" s="166" t="b">
        <v>0</v>
      </c>
      <c r="L15" s="51" t="b">
        <v>0</v>
      </c>
      <c r="M15" s="51" t="b">
        <v>0</v>
      </c>
      <c r="N15" s="210">
        <v>0.0013194444444444445</v>
      </c>
      <c r="O15" s="211"/>
      <c r="P15" s="212"/>
      <c r="Q15" s="213" t="s">
        <v>3713</v>
      </c>
      <c r="R15" s="56"/>
      <c r="S15" s="56"/>
      <c r="T15" s="56"/>
      <c r="U15" s="56"/>
      <c r="V15" s="56"/>
      <c r="W15" s="56"/>
      <c r="X15" s="56"/>
      <c r="Y15" s="56"/>
      <c r="Z15" s="56"/>
      <c r="AA15" s="56"/>
      <c r="AB15" s="56"/>
    </row>
    <row r="16">
      <c r="A16" s="56" t="str">
        <f>IFERROR(__xludf.DUMMYFUNCTION("""COMPUTED_VALUE"""),"Crashtest Security GmbH")</f>
        <v>Crashtest Security GmbH</v>
      </c>
      <c r="B16" s="56" t="str">
        <f>IFERROR(__xludf.DUMMYFUNCTION("""COMPUTED_VALUE"""),"Jan")</f>
        <v>Jan</v>
      </c>
      <c r="C16" s="56" t="str">
        <f>IFERROR(__xludf.DUMMYFUNCTION("""COMPUTED_VALUE"""),"Wiederrecht")</f>
        <v>Wiederrecht</v>
      </c>
      <c r="D16" s="56" t="str">
        <f>IFERROR(__xludf.DUMMYFUNCTION("""COMPUTED_VALUE"""),"We help digital companies to test every software release for security vulnerabilities. This ensures to never release unsecure software.")</f>
        <v>We help digital companies to test every software release for security vulnerabilities. This ensures to never release unsecure software.</v>
      </c>
      <c r="E16" s="203" t="s">
        <v>28</v>
      </c>
      <c r="F16" s="80" t="s">
        <v>3719</v>
      </c>
      <c r="G16" s="166" t="b">
        <v>1</v>
      </c>
      <c r="H16" s="56" t="s">
        <v>3721</v>
      </c>
      <c r="I16" s="166" t="b">
        <v>1</v>
      </c>
      <c r="J16" s="166" t="b">
        <v>0</v>
      </c>
      <c r="K16" s="166" t="b">
        <v>0</v>
      </c>
      <c r="L16" s="51" t="b">
        <v>0</v>
      </c>
      <c r="M16" s="51" t="b">
        <v>0</v>
      </c>
      <c r="N16" s="210">
        <v>0.0011805555555555556</v>
      </c>
      <c r="O16" s="211"/>
      <c r="P16" s="212"/>
      <c r="Q16" s="213" t="s">
        <v>3723</v>
      </c>
      <c r="R16" s="56"/>
      <c r="S16" s="56"/>
      <c r="T16" s="56"/>
      <c r="U16" s="56"/>
      <c r="V16" s="56"/>
      <c r="W16" s="56"/>
      <c r="X16" s="56"/>
      <c r="Y16" s="56"/>
      <c r="Z16" s="56"/>
      <c r="AA16" s="56"/>
      <c r="AB16" s="56"/>
    </row>
    <row r="17">
      <c r="A17" s="56" t="str">
        <f>IFERROR(__xludf.DUMMYFUNCTION("""COMPUTED_VALUE"""),"Viageur")</f>
        <v>Viageur</v>
      </c>
      <c r="B17" s="56" t="str">
        <f>IFERROR(__xludf.DUMMYFUNCTION("""COMPUTED_VALUE"""),"Kristina")</f>
        <v>Kristina</v>
      </c>
      <c r="C17" s="56" t="str">
        <f>IFERROR(__xludf.DUMMYFUNCTION("""COMPUTED_VALUE"""),"Liburd")</f>
        <v>Liburd</v>
      </c>
      <c r="D17" s="56" t="str">
        <f>IFERROR(__xludf.DUMMYFUNCTION("""COMPUTED_VALUE"""),"Using AI to answer the questions ""What Do I Do When Get There?"" for travelers and ""How Do I Reach Travelers?"" for vendors.")</f>
        <v>Using AI to answer the questions "What Do I Do When Get There?" for travelers and "How Do I Reach Travelers?" for vendors.</v>
      </c>
      <c r="E17" s="203" t="s">
        <v>28</v>
      </c>
      <c r="F17" s="80" t="s">
        <v>3728</v>
      </c>
      <c r="G17" s="166" t="b">
        <v>1</v>
      </c>
      <c r="H17" s="56" t="s">
        <v>3730</v>
      </c>
      <c r="I17" s="166" t="b">
        <v>1</v>
      </c>
      <c r="J17" s="166" t="b">
        <v>0</v>
      </c>
      <c r="K17" s="166" t="b">
        <v>0</v>
      </c>
      <c r="L17" s="51" t="b">
        <v>0</v>
      </c>
      <c r="M17" s="51" t="b">
        <v>0</v>
      </c>
      <c r="N17" s="210">
        <v>0.0013194444444444445</v>
      </c>
      <c r="O17" s="211"/>
      <c r="P17" s="212"/>
      <c r="Q17" s="213" t="s">
        <v>3732</v>
      </c>
      <c r="R17" s="56"/>
      <c r="S17" s="56"/>
      <c r="T17" s="56"/>
      <c r="U17" s="56"/>
      <c r="V17" s="56"/>
      <c r="W17" s="56"/>
      <c r="X17" s="56"/>
      <c r="Y17" s="56"/>
      <c r="Z17" s="56"/>
      <c r="AA17" s="56"/>
      <c r="AB17" s="56"/>
    </row>
    <row r="18">
      <c r="A18" s="56" t="str">
        <f>IFERROR(__xludf.DUMMYFUNCTION("""COMPUTED_VALUE"""),"Cheapskate")</f>
        <v>Cheapskate</v>
      </c>
      <c r="B18" s="56" t="str">
        <f>IFERROR(__xludf.DUMMYFUNCTION("""COMPUTED_VALUE"""),"Zubar")</f>
        <v>Zubar</v>
      </c>
      <c r="C18" s="56" t="str">
        <f>IFERROR(__xludf.DUMMYFUNCTION("""COMPUTED_VALUE"""),"Miah")</f>
        <v>Miah</v>
      </c>
      <c r="D18" s="56" t="str">
        <f>IFERROR(__xludf.DUMMYFUNCTION("""COMPUTED_VALUE"""),"Cheapskate is a multi-platform product which combines both the in-store and online retail worlds. Our first platform is a plugin tool which uses crowd sourcing methodology to collate live deals and discount codes is one place.")</f>
        <v>Cheapskate is a multi-platform product which combines both the in-store and online retail worlds. Our first platform is a plugin tool which uses crowd sourcing methodology to collate live deals and discount codes is one place.</v>
      </c>
      <c r="E18" s="203" t="s">
        <v>30</v>
      </c>
      <c r="F18" s="80" t="s">
        <v>3738</v>
      </c>
      <c r="G18" s="166" t="b">
        <v>1</v>
      </c>
      <c r="H18" s="56" t="s">
        <v>3741</v>
      </c>
      <c r="I18" s="166" t="b">
        <v>1</v>
      </c>
      <c r="J18" s="166" t="b">
        <v>0</v>
      </c>
      <c r="K18" s="166" t="b">
        <v>0</v>
      </c>
      <c r="L18" s="51" t="b">
        <v>0</v>
      </c>
      <c r="M18" s="51" t="b">
        <v>0</v>
      </c>
      <c r="N18" s="156">
        <v>9.490740740740741E-4</v>
      </c>
      <c r="P18" s="56"/>
      <c r="Q18" s="70" t="s">
        <v>3743</v>
      </c>
      <c r="R18" s="56"/>
      <c r="S18" s="56"/>
      <c r="T18" s="56"/>
      <c r="U18" s="56"/>
      <c r="V18" s="56"/>
      <c r="W18" s="56"/>
      <c r="X18" s="56"/>
      <c r="Y18" s="56"/>
      <c r="Z18" s="56"/>
      <c r="AA18" s="56"/>
      <c r="AB18" s="56"/>
    </row>
    <row r="19">
      <c r="A19" s="56" t="str">
        <f>IFERROR(__xludf.DUMMYFUNCTION("""COMPUTED_VALUE"""),"Pawlytics")</f>
        <v>Pawlytics</v>
      </c>
      <c r="B19" s="56" t="str">
        <f>IFERROR(__xludf.DUMMYFUNCTION("""COMPUTED_VALUE"""),"Lizz")</f>
        <v>Lizz</v>
      </c>
      <c r="C19" s="56" t="str">
        <f>IFERROR(__xludf.DUMMYFUNCTION("""COMPUTED_VALUE"""),"Whitacre")</f>
        <v>Whitacre</v>
      </c>
      <c r="D19" s="56" t="str">
        <f>IFERROR(__xludf.DUMMYFUNCTION("""COMPUTED_VALUE"""),"Pawlytics is an EHR for Pets so that pet professionals and companies can give and create better pet care.")</f>
        <v>Pawlytics is an EHR for Pets so that pet professionals and companies can give and create better pet care.</v>
      </c>
      <c r="E19" s="203" t="s">
        <v>30</v>
      </c>
      <c r="F19" s="80" t="s">
        <v>3750</v>
      </c>
      <c r="G19" s="166" t="b">
        <v>1</v>
      </c>
      <c r="H19" s="56" t="s">
        <v>3753</v>
      </c>
      <c r="I19" s="166" t="b">
        <v>1</v>
      </c>
      <c r="J19" s="166" t="b">
        <v>0</v>
      </c>
      <c r="K19" s="166" t="b">
        <v>0</v>
      </c>
      <c r="L19" s="51" t="b">
        <v>0</v>
      </c>
      <c r="M19" s="51" t="b">
        <v>0</v>
      </c>
      <c r="N19" s="156">
        <v>0.0013657407407407407</v>
      </c>
      <c r="P19" s="56"/>
      <c r="Q19" s="70" t="s">
        <v>3756</v>
      </c>
      <c r="R19" s="56"/>
      <c r="S19" s="56"/>
      <c r="T19" s="56"/>
      <c r="U19" s="56"/>
      <c r="V19" s="56"/>
      <c r="W19" s="56"/>
      <c r="X19" s="56"/>
      <c r="Y19" s="56"/>
      <c r="Z19" s="56"/>
      <c r="AA19" s="56"/>
      <c r="AB19" s="56"/>
    </row>
    <row r="20">
      <c r="A20" s="56" t="str">
        <f>IFERROR(__xludf.DUMMYFUNCTION("""COMPUTED_VALUE"""),"Paqt")</f>
        <v>Paqt</v>
      </c>
      <c r="B20" s="56" t="str">
        <f>IFERROR(__xludf.DUMMYFUNCTION("""COMPUTED_VALUE"""),"William")</f>
        <v>William</v>
      </c>
      <c r="C20" s="56" t="str">
        <f>IFERROR(__xludf.DUMMYFUNCTION("""COMPUTED_VALUE"""),"Muir")</f>
        <v>Muir</v>
      </c>
      <c r="D20" s="56" t="str">
        <f>IFERROR(__xludf.DUMMYFUNCTION("""COMPUTED_VALUE"""),"Paqt – the Agreement &amp; Negotiation platform. Make offers, negotiate, and seal the deal all in one chat platform. We’re pre-seed, ready to launch.")</f>
        <v>Paqt – the Agreement &amp; Negotiation platform. Make offers, negotiate, and seal the deal all in one chat platform. We’re pre-seed, ready to launch.</v>
      </c>
      <c r="E20" s="203" t="s">
        <v>30</v>
      </c>
      <c r="F20" s="80" t="s">
        <v>3762</v>
      </c>
      <c r="G20" s="166" t="b">
        <v>1</v>
      </c>
      <c r="H20" s="56" t="s">
        <v>3764</v>
      </c>
      <c r="I20" s="166" t="b">
        <v>1</v>
      </c>
      <c r="J20" s="166" t="b">
        <v>0</v>
      </c>
      <c r="K20" s="166" t="b">
        <v>0</v>
      </c>
      <c r="L20" s="51" t="b">
        <v>0</v>
      </c>
      <c r="M20" s="51" t="b">
        <v>0</v>
      </c>
      <c r="N20" s="156">
        <v>9.606481481481482E-4</v>
      </c>
      <c r="P20" s="56"/>
      <c r="Q20" s="70" t="s">
        <v>3766</v>
      </c>
      <c r="R20" s="56"/>
      <c r="S20" s="56"/>
      <c r="T20" s="56"/>
      <c r="U20" s="56"/>
      <c r="V20" s="56"/>
      <c r="W20" s="56"/>
      <c r="X20" s="56"/>
      <c r="Y20" s="56"/>
      <c r="Z20" s="56"/>
      <c r="AA20" s="56"/>
      <c r="AB20" s="56"/>
    </row>
    <row r="21">
      <c r="A21" s="56" t="str">
        <f>IFERROR(__xludf.DUMMYFUNCTION("""COMPUTED_VALUE"""),"Shoppy LLC")</f>
        <v>Shoppy LLC</v>
      </c>
      <c r="B21" s="56" t="str">
        <f>IFERROR(__xludf.DUMMYFUNCTION("""COMPUTED_VALUE"""),"Tuvshin")</f>
        <v>Tuvshin</v>
      </c>
      <c r="C21" s="56" t="str">
        <f>IFERROR(__xludf.DUMMYFUNCTION("""COMPUTED_VALUE"""),"Mend")</f>
        <v>Mend</v>
      </c>
      <c r="D21" s="56" t="str">
        <f>IFERROR(__xludf.DUMMYFUNCTION("""COMPUTED_VALUE"""),"Established in 2017, Shoppy LLC has developed shoppy.mn, which is the largest B2C ecommerce platform in Mongolia, featuring 677K SKUs &amp; 568 brands.  The platform is fully integrated with the largest trading platforms such as Amazon, eBay, Taobao and Faceb"&amp;"ook.  The company employs 50 staff.")</f>
        <v>Established in 2017, Shoppy LLC has developed shoppy.mn, which is the largest B2C ecommerce platform in Mongolia, featuring 677K SKUs &amp; 568 brands.  The platform is fully integrated with the largest trading platforms such as Amazon, eBay, Taobao and Facebook.  The company employs 50 staff.</v>
      </c>
      <c r="E21" s="203" t="s">
        <v>30</v>
      </c>
      <c r="F21" s="80" t="s">
        <v>3771</v>
      </c>
      <c r="G21" s="166" t="b">
        <v>1</v>
      </c>
      <c r="H21" s="56" t="s">
        <v>3773</v>
      </c>
      <c r="I21" s="166" t="b">
        <v>1</v>
      </c>
      <c r="J21" s="166" t="b">
        <v>0</v>
      </c>
      <c r="K21" s="166" t="b">
        <v>0</v>
      </c>
      <c r="L21" s="51" t="b">
        <v>0</v>
      </c>
      <c r="M21" s="51" t="b">
        <v>0</v>
      </c>
      <c r="N21" s="156">
        <v>0.0013657407407407407</v>
      </c>
      <c r="P21" s="56"/>
      <c r="Q21" s="70" t="s">
        <v>3776</v>
      </c>
      <c r="R21" s="56"/>
      <c r="S21" s="56"/>
      <c r="T21" s="56"/>
      <c r="U21" s="56"/>
      <c r="V21" s="56"/>
      <c r="W21" s="56"/>
      <c r="X21" s="56"/>
      <c r="Y21" s="56"/>
      <c r="Z21" s="56"/>
      <c r="AA21" s="56"/>
      <c r="AB21" s="56"/>
    </row>
    <row r="22">
      <c r="A22" s="56" t="str">
        <f>IFERROR(__xludf.DUMMYFUNCTION("""COMPUTED_VALUE"""),"Toscale")</f>
        <v>Toscale</v>
      </c>
      <c r="B22" s="56" t="str">
        <f>IFERROR(__xludf.DUMMYFUNCTION("""COMPUTED_VALUE"""),"Kristina")</f>
        <v>Kristina</v>
      </c>
      <c r="C22" s="56" t="str">
        <f>IFERROR(__xludf.DUMMYFUNCTION("""COMPUTED_VALUE"""),"Berezina")</f>
        <v>Berezina</v>
      </c>
      <c r="D22" s="56" t="str">
        <f>IFERROR(__xludf.DUMMYFUNCTION("""COMPUTED_VALUE"""),"Toscale.io is a crypto management tools aggregator with manual and automated trading on top exchanges in one window via a smart trading terminal and AI-driven algorithm designer")</f>
        <v>Toscale.io is a crypto management tools aggregator with manual and automated trading on top exchanges in one window via a smart trading terminal and AI-driven algorithm designer</v>
      </c>
      <c r="E22" s="203" t="s">
        <v>30</v>
      </c>
      <c r="F22" s="80" t="s">
        <v>3780</v>
      </c>
      <c r="G22" s="166" t="b">
        <v>1</v>
      </c>
      <c r="H22" s="56" t="s">
        <v>3783</v>
      </c>
      <c r="I22" s="166" t="b">
        <v>1</v>
      </c>
      <c r="J22" s="166" t="b">
        <v>0</v>
      </c>
      <c r="K22" s="166" t="b">
        <v>0</v>
      </c>
      <c r="L22" s="51" t="b">
        <v>0</v>
      </c>
      <c r="M22" s="51" t="b">
        <v>0</v>
      </c>
      <c r="N22" s="156">
        <v>0.001261574074074074</v>
      </c>
      <c r="P22" s="56"/>
      <c r="Q22" s="77" t="s">
        <v>3786</v>
      </c>
      <c r="R22" s="56"/>
      <c r="S22" s="56"/>
      <c r="T22" s="56"/>
      <c r="U22" s="56"/>
      <c r="V22" s="56"/>
      <c r="W22" s="56"/>
      <c r="X22" s="56"/>
      <c r="Y22" s="56"/>
      <c r="Z22" s="56"/>
      <c r="AA22" s="56"/>
      <c r="AB22" s="56"/>
    </row>
    <row r="23">
      <c r="A23" s="56" t="str">
        <f>IFERROR(__xludf.DUMMYFUNCTION("""COMPUTED_VALUE"""),"Videolinq")</f>
        <v>Videolinq</v>
      </c>
      <c r="B23" s="56" t="str">
        <f>IFERROR(__xludf.DUMMYFUNCTION("""COMPUTED_VALUE"""),"Arthur")</f>
        <v>Arthur</v>
      </c>
      <c r="C23" s="56" t="str">
        <f>IFERROR(__xludf.DUMMYFUNCTION("""COMPUTED_VALUE"""),"Drevnig")</f>
        <v>Drevnig</v>
      </c>
      <c r="D23" s="56" t="str">
        <f>IFERROR(__xludf.DUMMYFUNCTION("""COMPUTED_VALUE"""),"Reach a larger audience by live streaming to multiple social media platforms at the same time. Videolinq helps broadcasters save up to 80% on the cost of buying expensive equipment or hiring expert services to manage complex live event production.")</f>
        <v>Reach a larger audience by live streaming to multiple social media platforms at the same time. Videolinq helps broadcasters save up to 80% on the cost of buying expensive equipment or hiring expert services to manage complex live event production.</v>
      </c>
      <c r="E23" s="203" t="s">
        <v>32</v>
      </c>
      <c r="F23" s="80" t="s">
        <v>3789</v>
      </c>
      <c r="G23" s="166" t="b">
        <v>1</v>
      </c>
      <c r="H23" s="56" t="s">
        <v>3792</v>
      </c>
      <c r="I23" s="166" t="b">
        <v>1</v>
      </c>
      <c r="J23" s="166" t="b">
        <v>0</v>
      </c>
      <c r="K23" s="166" t="b">
        <v>0</v>
      </c>
      <c r="L23" s="51" t="b">
        <v>0</v>
      </c>
      <c r="M23" s="51" t="b">
        <v>0</v>
      </c>
      <c r="N23" s="156">
        <v>7.87037037037037E-4</v>
      </c>
      <c r="P23" s="56"/>
      <c r="Q23" s="70" t="s">
        <v>3794</v>
      </c>
      <c r="R23" s="56"/>
      <c r="S23" s="56"/>
      <c r="T23" s="56"/>
      <c r="U23" s="56"/>
      <c r="V23" s="56"/>
      <c r="W23" s="56"/>
      <c r="X23" s="56"/>
      <c r="Y23" s="56"/>
      <c r="Z23" s="56"/>
      <c r="AA23" s="56"/>
      <c r="AB23" s="56"/>
    </row>
    <row r="24">
      <c r="A24" s="56" t="str">
        <f>IFERROR(__xludf.DUMMYFUNCTION("""COMPUTED_VALUE"""),"Fluent Forever")</f>
        <v>Fluent Forever</v>
      </c>
      <c r="B24" s="56" t="str">
        <f>IFERROR(__xludf.DUMMYFUNCTION("""COMPUTED_VALUE"""),"Gabriel")</f>
        <v>Gabriel</v>
      </c>
      <c r="C24" s="56" t="str">
        <f>IFERROR(__xludf.DUMMYFUNCTION("""COMPUTED_VALUE"""),"Wyner")</f>
        <v>Wyner</v>
      </c>
      <c r="D24" s="56" t="str">
        <f>IFERROR(__xludf.DUMMYFUNCTION("""COMPUTED_VALUE"""),"We've built an app that can teach you a new language to fluency in 6 months.")</f>
        <v>We've built an app that can teach you a new language to fluency in 6 months.</v>
      </c>
      <c r="E24" s="203" t="s">
        <v>32</v>
      </c>
      <c r="F24" s="80" t="s">
        <v>3798</v>
      </c>
      <c r="G24" s="166" t="b">
        <v>1</v>
      </c>
      <c r="H24" s="56" t="s">
        <v>3803</v>
      </c>
      <c r="I24" s="166" t="b">
        <v>1</v>
      </c>
      <c r="J24" s="166" t="b">
        <v>0</v>
      </c>
      <c r="K24" s="166" t="b">
        <v>0</v>
      </c>
      <c r="L24" s="51" t="b">
        <v>0</v>
      </c>
      <c r="M24" s="51" t="b">
        <v>0</v>
      </c>
      <c r="N24" s="156">
        <v>0.0013541666666666667</v>
      </c>
      <c r="P24" s="56"/>
      <c r="Q24" s="70" t="s">
        <v>3805</v>
      </c>
      <c r="R24" s="56"/>
      <c r="S24" s="56"/>
      <c r="T24" s="56"/>
      <c r="U24" s="56"/>
      <c r="V24" s="56"/>
      <c r="W24" s="56"/>
      <c r="X24" s="56"/>
      <c r="Y24" s="56"/>
      <c r="Z24" s="56"/>
      <c r="AA24" s="56"/>
      <c r="AB24" s="56"/>
    </row>
    <row r="25">
      <c r="A25" s="56" t="str">
        <f>IFERROR(__xludf.DUMMYFUNCTION("""COMPUTED_VALUE"""),"QUERY LAYER")</f>
        <v>QUERY LAYER</v>
      </c>
      <c r="B25" s="56" t="str">
        <f>IFERROR(__xludf.DUMMYFUNCTION("""COMPUTED_VALUE"""),"PADRAIG")</f>
        <v>PADRAIG</v>
      </c>
      <c r="C25" s="56" t="str">
        <f>IFERROR(__xludf.DUMMYFUNCTION("""COMPUTED_VALUE"""),"OLEARY")</f>
        <v>OLEARY</v>
      </c>
      <c r="D25" s="56" t="str">
        <f>IFERROR(__xludf.DUMMYFUNCTION("""COMPUTED_VALUE"""),"No-Code Data Sharing Platform for the Enterprise with Powerful Privacy Controls")</f>
        <v>No-Code Data Sharing Platform for the Enterprise with Powerful Privacy Controls</v>
      </c>
      <c r="E25" s="203" t="s">
        <v>30</v>
      </c>
      <c r="F25" s="80" t="s">
        <v>3789</v>
      </c>
      <c r="G25" s="166" t="b">
        <v>1</v>
      </c>
      <c r="H25" s="56" t="s">
        <v>3792</v>
      </c>
      <c r="I25" s="166" t="b">
        <v>1</v>
      </c>
      <c r="J25" s="166" t="b">
        <v>0</v>
      </c>
      <c r="K25" s="166" t="b">
        <v>0</v>
      </c>
      <c r="L25" s="51" t="b">
        <v>0</v>
      </c>
      <c r="M25" s="51" t="b">
        <v>0</v>
      </c>
      <c r="N25" s="156">
        <v>7.754629629629629E-4</v>
      </c>
      <c r="P25" s="56"/>
      <c r="Q25" s="70" t="s">
        <v>3813</v>
      </c>
      <c r="R25" s="56"/>
      <c r="S25" s="56"/>
      <c r="T25" s="56"/>
      <c r="U25" s="56"/>
      <c r="V25" s="56"/>
      <c r="W25" s="56"/>
      <c r="X25" s="56"/>
      <c r="Y25" s="56"/>
      <c r="Z25" s="56"/>
      <c r="AA25" s="56"/>
      <c r="AB25" s="56"/>
    </row>
    <row r="26">
      <c r="A26" s="56" t="str">
        <f>IFERROR(__xludf.DUMMYFUNCTION("""COMPUTED_VALUE"""),"Cuckoo")</f>
        <v>Cuckoo</v>
      </c>
      <c r="B26" s="56" t="str">
        <f>IFERROR(__xludf.DUMMYFUNCTION("""COMPUTED_VALUE"""),"Alexander")</f>
        <v>Alexander</v>
      </c>
      <c r="C26" s="56" t="str">
        <f>IFERROR(__xludf.DUMMYFUNCTION("""COMPUTED_VALUE"""),"Fitzgerald")</f>
        <v>Fitzgerald</v>
      </c>
      <c r="D26" s="56" t="str">
        <f>IFERROR(__xludf.DUMMYFUNCTION("""COMPUTED_VALUE"""),"Cuckoo is making broadband simple, for good. We're a new challenger company offering transparent pricing and great customer service. Monzo took on the banks. Bulb took on the energy providers. Cuckoo will take on the broadband companies.")</f>
        <v>Cuckoo is making broadband simple, for good. We're a new challenger company offering transparent pricing and great customer service. Monzo took on the banks. Bulb took on the energy providers. Cuckoo will take on the broadband companies.</v>
      </c>
      <c r="E26" s="203" t="s">
        <v>30</v>
      </c>
      <c r="F26" s="80" t="s">
        <v>3817</v>
      </c>
      <c r="G26" s="166" t="b">
        <v>1</v>
      </c>
      <c r="H26" s="56" t="s">
        <v>3820</v>
      </c>
      <c r="I26" s="166" t="b">
        <v>1</v>
      </c>
      <c r="J26" s="166" t="b">
        <v>0</v>
      </c>
      <c r="K26" s="166" t="b">
        <v>0</v>
      </c>
      <c r="L26" s="51" t="b">
        <v>0</v>
      </c>
      <c r="M26" s="51" t="b">
        <v>0</v>
      </c>
      <c r="N26" s="156">
        <v>0.0013078703703703703</v>
      </c>
      <c r="P26" s="56"/>
      <c r="Q26" s="70" t="s">
        <v>3822</v>
      </c>
      <c r="R26" s="56"/>
      <c r="S26" s="56"/>
      <c r="T26" s="56"/>
      <c r="U26" s="56"/>
      <c r="V26" s="56"/>
      <c r="W26" s="56"/>
      <c r="X26" s="56"/>
      <c r="Y26" s="56"/>
      <c r="Z26" s="56"/>
      <c r="AA26" s="56"/>
      <c r="AB26" s="56"/>
    </row>
    <row r="27">
      <c r="A27" s="56" t="str">
        <f>IFERROR(__xludf.DUMMYFUNCTION("""COMPUTED_VALUE"""),"Webiny")</f>
        <v>Webiny</v>
      </c>
      <c r="B27" s="56" t="str">
        <f>IFERROR(__xludf.DUMMYFUNCTION("""COMPUTED_VALUE"""),"Sven")</f>
        <v>Sven</v>
      </c>
      <c r="C27" s="56" t="str">
        <f>IFERROR(__xludf.DUMMYFUNCTION("""COMPUTED_VALUE"""),"Al Hamad")</f>
        <v>Al Hamad</v>
      </c>
      <c r="D27" s="56" t="str">
        <f>IFERROR(__xludf.DUMMYFUNCTION("""COMPUTED_VALUE"""),"The easiest way to adopt serverless")</f>
        <v>The easiest way to adopt serverless</v>
      </c>
      <c r="E27" s="203" t="s">
        <v>30</v>
      </c>
      <c r="F27" s="80" t="s">
        <v>3798</v>
      </c>
      <c r="G27" s="166" t="b">
        <v>1</v>
      </c>
      <c r="H27" s="56" t="s">
        <v>3803</v>
      </c>
      <c r="I27" s="166" t="b">
        <v>1</v>
      </c>
      <c r="J27" s="166" t="b">
        <v>0</v>
      </c>
      <c r="K27" s="166" t="b">
        <v>0</v>
      </c>
      <c r="L27" s="51" t="b">
        <v>0</v>
      </c>
      <c r="M27" s="51" t="b">
        <v>0</v>
      </c>
      <c r="N27" s="156">
        <v>0.0013425925925925925</v>
      </c>
      <c r="P27" s="56"/>
      <c r="Q27" s="70" t="s">
        <v>3830</v>
      </c>
      <c r="R27" s="56"/>
      <c r="S27" s="56"/>
      <c r="T27" s="56"/>
      <c r="U27" s="56"/>
      <c r="V27" s="56"/>
      <c r="W27" s="56"/>
      <c r="X27" s="56"/>
      <c r="Y27" s="56"/>
      <c r="Z27" s="56"/>
      <c r="AA27" s="56"/>
      <c r="AB27" s="56"/>
    </row>
    <row r="28">
      <c r="A28" s="56" t="str">
        <f>IFERROR(__xludf.DUMMYFUNCTION("""COMPUTED_VALUE"""),"London Trade Art")</f>
        <v>London Trade Art</v>
      </c>
      <c r="B28" s="56" t="str">
        <f>IFERROR(__xludf.DUMMYFUNCTION("""COMPUTED_VALUE"""),"Francesca")</f>
        <v>Francesca</v>
      </c>
      <c r="C28" s="56" t="str">
        <f>IFERROR(__xludf.DUMMYFUNCTION("""COMPUTED_VALUE"""),"Casiraghi")</f>
        <v>Casiraghi</v>
      </c>
      <c r="D28" s="56" t="str">
        <f>IFERROR(__xludf.DUMMYFUNCTION("""COMPUTED_VALUE"""),"Combining art and finance, LTArt aims to create an art exchange: a platform which allows everyone to become co-owner of high value artworks")</f>
        <v>Combining art and finance, LTArt aims to create an art exchange: a platform which allows everyone to become co-owner of high value artworks</v>
      </c>
      <c r="E28" s="203" t="s">
        <v>30</v>
      </c>
      <c r="F28" s="80" t="s">
        <v>3835</v>
      </c>
      <c r="G28" s="166" t="b">
        <v>1</v>
      </c>
      <c r="H28" s="56" t="s">
        <v>3839</v>
      </c>
      <c r="I28" s="166" t="b">
        <v>1</v>
      </c>
      <c r="J28" s="166" t="b">
        <v>0</v>
      </c>
      <c r="K28" s="166" t="b">
        <v>0</v>
      </c>
      <c r="L28" s="51" t="b">
        <v>0</v>
      </c>
      <c r="M28" s="51" t="b">
        <v>0</v>
      </c>
      <c r="N28" s="156">
        <v>6.828703703703704E-4</v>
      </c>
      <c r="P28" s="56"/>
      <c r="Q28" s="70" t="s">
        <v>3841</v>
      </c>
      <c r="R28" s="56"/>
      <c r="S28" s="56"/>
      <c r="T28" s="56"/>
      <c r="U28" s="56"/>
      <c r="V28" s="56"/>
      <c r="W28" s="56"/>
      <c r="X28" s="56"/>
      <c r="Y28" s="56"/>
      <c r="Z28" s="56"/>
      <c r="AA28" s="56"/>
      <c r="AB28" s="56"/>
    </row>
    <row r="29">
      <c r="A29" s="56" t="str">
        <f>IFERROR(__xludf.DUMMYFUNCTION("""COMPUTED_VALUE"""),"Goodlawyer")</f>
        <v>Goodlawyer</v>
      </c>
      <c r="B29" s="56" t="str">
        <f>IFERROR(__xludf.DUMMYFUNCTION("""COMPUTED_VALUE"""),"Brett")</f>
        <v>Brett</v>
      </c>
      <c r="C29" s="56" t="str">
        <f>IFERROR(__xludf.DUMMYFUNCTION("""COMPUTED_VALUE"""),"Colvin")</f>
        <v>Colvin</v>
      </c>
      <c r="D29" s="56" t="str">
        <f>IFERROR(__xludf.DUMMYFUNCTION("""COMPUTED_VALUE"""),"Goodlawyer is transforming the way legal services are delivered. We’re making professional legal help accessible to a completely new segment of customers, through our exclusive microservices: quick and affordable options like legal advice sessions and per"&amp;" page contract reviews.")</f>
        <v>Goodlawyer is transforming the way legal services are delivered. We’re making professional legal help accessible to a completely new segment of customers, through our exclusive microservices: quick and affordable options like legal advice sessions and per page contract reviews.</v>
      </c>
      <c r="E29" s="203" t="s">
        <v>30</v>
      </c>
      <c r="F29" s="80" t="s">
        <v>3846</v>
      </c>
      <c r="G29" s="166" t="b">
        <v>1</v>
      </c>
      <c r="H29" s="56" t="s">
        <v>3848</v>
      </c>
      <c r="I29" s="166" t="b">
        <v>1</v>
      </c>
      <c r="J29" s="166" t="b">
        <v>0</v>
      </c>
      <c r="K29" s="166" t="b">
        <v>0</v>
      </c>
      <c r="L29" s="51" t="b">
        <v>0</v>
      </c>
      <c r="M29" s="51" t="b">
        <v>0</v>
      </c>
      <c r="N29" s="156">
        <v>0.00125</v>
      </c>
      <c r="P29" s="56"/>
      <c r="Q29" s="70" t="s">
        <v>3851</v>
      </c>
      <c r="R29" s="56"/>
      <c r="S29" s="56"/>
      <c r="T29" s="56"/>
      <c r="U29" s="56"/>
      <c r="V29" s="56"/>
      <c r="W29" s="56"/>
      <c r="X29" s="56"/>
      <c r="Y29" s="56"/>
      <c r="Z29" s="56"/>
      <c r="AA29" s="56"/>
      <c r="AB29" s="56"/>
    </row>
    <row r="30">
      <c r="A30" s="56" t="str">
        <f>IFERROR(__xludf.DUMMYFUNCTION("""COMPUTED_VALUE"""),"Crux OCM")</f>
        <v>Crux OCM</v>
      </c>
      <c r="B30" s="56" t="str">
        <f>IFERROR(__xludf.DUMMYFUNCTION("""COMPUTED_VALUE"""),"Vicki")</f>
        <v>Vicki</v>
      </c>
      <c r="C30" s="56" t="str">
        <f>IFERROR(__xludf.DUMMYFUNCTION("""COMPUTED_VALUE"""),"Knott")</f>
        <v>Knott</v>
      </c>
      <c r="D30" s="56" t="str">
        <f>IFERROR(__xludf.DUMMYFUNCTION("""COMPUTED_VALUE"""),"CRUX OCM enables the autonomous control room in Oil and Gas of tomorrow, operating within the safety constraints of today. Combining advanced physics-based methodologies with machine learning, CRUX software helps clients increase efficiency and improve sa"&amp;"fety, ensuring operators stay safe.")</f>
        <v>CRUX OCM enables the autonomous control room in Oil and Gas of tomorrow, operating within the safety constraints of today. Combining advanced physics-based methodologies with machine learning, CRUX software helps clients increase efficiency and improve safety, ensuring operators stay safe.</v>
      </c>
      <c r="E30" s="203" t="s">
        <v>30</v>
      </c>
      <c r="F30" s="80" t="s">
        <v>3855</v>
      </c>
      <c r="G30" s="166" t="b">
        <v>1</v>
      </c>
      <c r="H30" s="56" t="s">
        <v>3860</v>
      </c>
      <c r="I30" s="166" t="b">
        <v>1</v>
      </c>
      <c r="J30" s="166" t="b">
        <v>0</v>
      </c>
      <c r="K30" s="166" t="b">
        <v>0</v>
      </c>
      <c r="L30" s="51" t="b">
        <v>0</v>
      </c>
      <c r="M30" s="51" t="b">
        <v>0</v>
      </c>
      <c r="N30" s="156">
        <v>0.0013310185185185185</v>
      </c>
      <c r="P30" s="56"/>
      <c r="Q30" s="70" t="s">
        <v>3861</v>
      </c>
      <c r="R30" s="56"/>
      <c r="S30" s="56"/>
      <c r="T30" s="56"/>
      <c r="U30" s="56"/>
      <c r="V30" s="56"/>
      <c r="W30" s="56"/>
      <c r="X30" s="56"/>
      <c r="Y30" s="56"/>
      <c r="Z30" s="56"/>
      <c r="AA30" s="56"/>
      <c r="AB30" s="56"/>
    </row>
    <row r="31">
      <c r="A31" s="56" t="str">
        <f>IFERROR(__xludf.DUMMYFUNCTION("""COMPUTED_VALUE"""),"Hour One")</f>
        <v>Hour One</v>
      </c>
      <c r="B31" s="56" t="str">
        <f>IFERROR(__xludf.DUMMYFUNCTION("""COMPUTED_VALUE"""),"Natalie")</f>
        <v>Natalie</v>
      </c>
      <c r="C31" s="56" t="str">
        <f>IFERROR(__xludf.DUMMYFUNCTION("""COMPUTED_VALUE"""),"Monbiot")</f>
        <v>Monbiot</v>
      </c>
      <c r="D31" s="56" t="str">
        <f>IFERROR(__xludf.DUMMYFUNCTION("""COMPUTED_VALUE"""),"Hour One's AI platform enables businesses to generate video content featuring real humans, at unprecedented speed and scale; unlocking the ability to engage their customers in a more personal and human way across the digital landscape; with proven busines"&amp;"s performance.")</f>
        <v>Hour One's AI platform enables businesses to generate video content featuring real humans, at unprecedented speed and scale; unlocking the ability to engage their customers in a more personal and human way across the digital landscape; with proven business performance.</v>
      </c>
      <c r="E31" s="203" t="s">
        <v>30</v>
      </c>
      <c r="F31" s="80" t="s">
        <v>3866</v>
      </c>
      <c r="G31" s="166" t="b">
        <v>1</v>
      </c>
      <c r="H31" s="56" t="s">
        <v>3869</v>
      </c>
      <c r="I31" s="166" t="b">
        <v>1</v>
      </c>
      <c r="J31" s="166" t="b">
        <v>0</v>
      </c>
      <c r="K31" s="166" t="b">
        <v>0</v>
      </c>
      <c r="L31" s="51" t="b">
        <v>0</v>
      </c>
      <c r="M31" s="51" t="b">
        <v>0</v>
      </c>
      <c r="N31" s="156">
        <v>9.027777777777777E-4</v>
      </c>
      <c r="P31" s="56"/>
      <c r="Q31" s="70" t="s">
        <v>3870</v>
      </c>
      <c r="R31" s="56"/>
      <c r="S31" s="56"/>
      <c r="T31" s="56"/>
      <c r="U31" s="56"/>
      <c r="V31" s="56"/>
      <c r="W31" s="56"/>
      <c r="X31" s="56"/>
      <c r="Y31" s="56"/>
      <c r="Z31" s="56"/>
      <c r="AA31" s="56"/>
      <c r="AB31" s="56"/>
    </row>
    <row r="32">
      <c r="A32" s="56" t="str">
        <f>IFERROR(__xludf.DUMMYFUNCTION("""COMPUTED_VALUE"""),"Fractal Mind")</f>
        <v>Fractal Mind</v>
      </c>
      <c r="B32" s="56" t="str">
        <f>IFERROR(__xludf.DUMMYFUNCTION("""COMPUTED_VALUE"""),"Manuel")</f>
        <v>Manuel</v>
      </c>
      <c r="C32" s="56" t="str">
        <f>IFERROR(__xludf.DUMMYFUNCTION("""COMPUTED_VALUE"""),"Pimenta")</f>
        <v>Pimenta</v>
      </c>
      <c r="D32" s="56" t="str">
        <f>IFERROR(__xludf.DUMMYFUNCTION("""COMPUTED_VALUE"""),"AI ALFRED is the first smart gamification platform that leverages our extensive gamification know-how in the area of employee engagement, topped with a machine learning and AI engine to generate a completely tailored, yet scalable, gamified experience.")</f>
        <v>AI ALFRED is the first smart gamification platform that leverages our extensive gamification know-how in the area of employee engagement, topped with a machine learning and AI engine to generate a completely tailored, yet scalable, gamified experience.</v>
      </c>
      <c r="E32" s="203" t="s">
        <v>30</v>
      </c>
      <c r="F32" s="80" t="s">
        <v>3878</v>
      </c>
      <c r="G32" s="166" t="b">
        <v>1</v>
      </c>
      <c r="H32" s="56" t="s">
        <v>3880</v>
      </c>
      <c r="I32" s="166" t="b">
        <v>1</v>
      </c>
      <c r="J32" s="166" t="b">
        <v>0</v>
      </c>
      <c r="K32" s="166" t="b">
        <v>0</v>
      </c>
      <c r="L32" s="51" t="b">
        <v>0</v>
      </c>
      <c r="M32" s="51" t="b">
        <v>0</v>
      </c>
      <c r="N32" s="156">
        <v>0.0010416666666666667</v>
      </c>
      <c r="P32" s="56"/>
      <c r="Q32" s="70" t="s">
        <v>3883</v>
      </c>
      <c r="R32" s="56"/>
      <c r="S32" s="56"/>
      <c r="T32" s="56"/>
      <c r="U32" s="56"/>
      <c r="V32" s="56"/>
      <c r="W32" s="56"/>
      <c r="X32" s="56"/>
      <c r="Y32" s="56"/>
      <c r="Z32" s="56"/>
      <c r="AA32" s="56"/>
      <c r="AB32" s="56"/>
    </row>
    <row r="33">
      <c r="A33" s="56" t="str">
        <f>IFERROR(__xludf.DUMMYFUNCTION("""COMPUTED_VALUE"""),"Forecast")</f>
        <v>Forecast</v>
      </c>
      <c r="B33" s="56" t="str">
        <f>IFERROR(__xludf.DUMMYFUNCTION("""COMPUTED_VALUE"""),"Dave")</f>
        <v>Dave</v>
      </c>
      <c r="C33" s="56" t="str">
        <f>IFERROR(__xludf.DUMMYFUNCTION("""COMPUTED_VALUE"""),"Schneider")</f>
        <v>Schneider</v>
      </c>
      <c r="D33" s="56" t="str">
        <f>IFERROR(__xludf.DUMMYFUNCTION("""COMPUTED_VALUE"""),"Forecast gives project-based companies intelligent automation so you can predict the future, operate at maximum efficiency, and ensure sustainable finances.   Our AI-powered platform streamlines everything from quote to invoice, and can reduce administrat"&amp;"ive costs up to 50% over your current toolstack.")</f>
        <v>Forecast gives project-based companies intelligent automation so you can predict the future, operate at maximum efficiency, and ensure sustainable finances.   Our AI-powered platform streamlines everything from quote to invoice, and can reduce administrative costs up to 50% over your current toolstack.</v>
      </c>
      <c r="E33" s="203" t="s">
        <v>30</v>
      </c>
      <c r="F33" s="80" t="s">
        <v>3887</v>
      </c>
      <c r="G33" s="166" t="b">
        <v>1</v>
      </c>
      <c r="H33" s="56" t="s">
        <v>3890</v>
      </c>
      <c r="I33" s="166" t="b">
        <v>1</v>
      </c>
      <c r="J33" s="166" t="b">
        <v>0</v>
      </c>
      <c r="K33" s="166" t="b">
        <v>0</v>
      </c>
      <c r="L33" s="51" t="b">
        <v>0</v>
      </c>
      <c r="M33" s="51" t="b">
        <v>0</v>
      </c>
      <c r="N33" s="156">
        <v>0.001400462962962963</v>
      </c>
      <c r="P33" s="56"/>
      <c r="Q33" s="70" t="s">
        <v>3892</v>
      </c>
      <c r="R33" s="56"/>
      <c r="S33" s="56"/>
      <c r="T33" s="56"/>
      <c r="U33" s="56"/>
      <c r="V33" s="56"/>
      <c r="W33" s="56"/>
      <c r="X33" s="56"/>
      <c r="Y33" s="56"/>
      <c r="Z33" s="56"/>
      <c r="AA33" s="56"/>
      <c r="AB33" s="56"/>
    </row>
    <row r="34">
      <c r="A34" s="56" t="str">
        <f>IFERROR(__xludf.DUMMYFUNCTION("""COMPUTED_VALUE"""),"Chatspace")</f>
        <v>Chatspace</v>
      </c>
      <c r="B34" s="56" t="str">
        <f>IFERROR(__xludf.DUMMYFUNCTION("""COMPUTED_VALUE"""),"John")</f>
        <v>John</v>
      </c>
      <c r="C34" s="56" t="str">
        <f>IFERROR(__xludf.DUMMYFUNCTION("""COMPUTED_VALUE"""),"Clancy")</f>
        <v>Clancy</v>
      </c>
      <c r="D34" s="56" t="str">
        <f>IFERROR(__xludf.DUMMYFUNCTION("""COMPUTED_VALUE"""),"We are building the world’s most experienced Virtual Project Manager. An AI that will empower enterprise leaders to focus on growth instead of micro-mgmt.")</f>
        <v>We are building the world’s most experienced Virtual Project Manager. An AI that will empower enterprise leaders to focus on growth instead of micro-mgmt.</v>
      </c>
      <c r="E34" s="203" t="s">
        <v>30</v>
      </c>
      <c r="F34" s="80" t="s">
        <v>3895</v>
      </c>
      <c r="G34" s="166" t="b">
        <v>1</v>
      </c>
      <c r="H34" s="56" t="s">
        <v>3899</v>
      </c>
      <c r="I34" s="166" t="b">
        <v>1</v>
      </c>
      <c r="J34" s="166" t="b">
        <v>0</v>
      </c>
      <c r="K34" s="166" t="b">
        <v>0</v>
      </c>
      <c r="L34" s="51" t="b">
        <v>0</v>
      </c>
      <c r="M34" s="51" t="b">
        <v>0</v>
      </c>
      <c r="N34" s="156">
        <v>0.0010879629629629629</v>
      </c>
      <c r="P34" s="56"/>
      <c r="Q34" s="70" t="s">
        <v>3900</v>
      </c>
      <c r="R34" s="56"/>
      <c r="S34" s="56"/>
      <c r="T34" s="56"/>
      <c r="U34" s="56"/>
      <c r="V34" s="56"/>
      <c r="W34" s="56"/>
      <c r="X34" s="56"/>
      <c r="Y34" s="56"/>
      <c r="Z34" s="56"/>
      <c r="AA34" s="56"/>
      <c r="AB34" s="56"/>
    </row>
    <row r="35">
      <c r="A35" s="56" t="str">
        <f>IFERROR(__xludf.DUMMYFUNCTION("""COMPUTED_VALUE"""),"Betmarkets")</f>
        <v>Betmarkets</v>
      </c>
      <c r="B35" s="56" t="str">
        <f>IFERROR(__xludf.DUMMYFUNCTION("""COMPUTED_VALUE"""),"André")</f>
        <v>André</v>
      </c>
      <c r="C35" s="56" t="str">
        <f>IFERROR(__xludf.DUMMYFUNCTION("""COMPUTED_VALUE"""),"Flórido")</f>
        <v>Flórido</v>
      </c>
      <c r="D35" s="56" t="str">
        <f>IFERROR(__xludf.DUMMYFUNCTION("""COMPUTED_VALUE"""),"Betmarkets is the eToro for sports betting. Our web platform allows anyone to automatically copy professional bettors.")</f>
        <v>Betmarkets is the eToro for sports betting. Our web platform allows anyone to automatically copy professional bettors.</v>
      </c>
      <c r="E35" s="203" t="s">
        <v>30</v>
      </c>
      <c r="F35" s="80" t="s">
        <v>3905</v>
      </c>
      <c r="G35" s="166" t="b">
        <v>1</v>
      </c>
      <c r="H35" s="56" t="s">
        <v>3910</v>
      </c>
      <c r="I35" s="166" t="b">
        <v>1</v>
      </c>
      <c r="J35" s="166" t="b">
        <v>0</v>
      </c>
      <c r="K35" s="166" t="b">
        <v>0</v>
      </c>
      <c r="L35" s="51" t="b">
        <v>0</v>
      </c>
      <c r="M35" s="51" t="b">
        <v>0</v>
      </c>
      <c r="N35" s="156">
        <v>0.0011342592592592593</v>
      </c>
      <c r="P35" s="56"/>
      <c r="Q35" s="70" t="s">
        <v>3912</v>
      </c>
      <c r="R35" s="56"/>
      <c r="S35" s="56"/>
      <c r="T35" s="56"/>
      <c r="U35" s="56"/>
      <c r="V35" s="56"/>
      <c r="W35" s="56"/>
      <c r="X35" s="56"/>
      <c r="Y35" s="56"/>
      <c r="Z35" s="56"/>
      <c r="AA35" s="56"/>
      <c r="AB35" s="56"/>
    </row>
    <row r="36">
      <c r="A36" s="56" t="str">
        <f>IFERROR(__xludf.DUMMYFUNCTION("""COMPUTED_VALUE"""),"Si &amp; Oui")</f>
        <v>Si &amp; Oui</v>
      </c>
      <c r="B36" s="56" t="str">
        <f>IFERROR(__xludf.DUMMYFUNCTION("""COMPUTED_VALUE"""),"Vanessa")</f>
        <v>Vanessa</v>
      </c>
      <c r="C36" s="56" t="str">
        <f>IFERROR(__xludf.DUMMYFUNCTION("""COMPUTED_VALUE"""),"Galle")</f>
        <v>Galle</v>
      </c>
      <c r="D36" s="56" t="str">
        <f>IFERROR(__xludf.DUMMYFUNCTION("""COMPUTED_VALUE"""),"At Si &amp; Oui, we are dedicated to creating unforgettable designs at an exceptional price.")</f>
        <v>At Si &amp; Oui, we are dedicated to creating unforgettable designs at an exceptional price.</v>
      </c>
      <c r="E36" s="203" t="s">
        <v>30</v>
      </c>
      <c r="F36" s="80" t="s">
        <v>3917</v>
      </c>
      <c r="G36" s="166" t="b">
        <v>1</v>
      </c>
      <c r="H36" s="56" t="s">
        <v>3919</v>
      </c>
      <c r="I36" s="166" t="b">
        <v>1</v>
      </c>
      <c r="J36" s="166" t="b">
        <v>0</v>
      </c>
      <c r="K36" s="166" t="b">
        <v>0</v>
      </c>
      <c r="L36" s="51" t="b">
        <v>0</v>
      </c>
      <c r="M36" s="51" t="b">
        <v>0</v>
      </c>
      <c r="N36" s="156">
        <v>0.0012152777777777778</v>
      </c>
      <c r="P36" s="56"/>
      <c r="Q36" s="70" t="s">
        <v>3922</v>
      </c>
      <c r="R36" s="56"/>
      <c r="S36" s="56"/>
      <c r="T36" s="56"/>
      <c r="U36" s="56"/>
      <c r="V36" s="56"/>
      <c r="W36" s="56"/>
      <c r="X36" s="56"/>
      <c r="Y36" s="56"/>
      <c r="Z36" s="56"/>
      <c r="AA36" s="56"/>
      <c r="AB36" s="56"/>
    </row>
    <row r="37">
      <c r="A37" s="56" t="str">
        <f>IFERROR(__xludf.DUMMYFUNCTION("""COMPUTED_VALUE"""),"Origami Labs")</f>
        <v>Origami Labs</v>
      </c>
      <c r="B37" s="56" t="str">
        <f>IFERROR(__xludf.DUMMYFUNCTION("""COMPUTED_VALUE"""),"Emile")</f>
        <v>Emile</v>
      </c>
      <c r="C37" s="56" t="str">
        <f>IFERROR(__xludf.DUMMYFUNCTION("""COMPUTED_VALUE"""),"Chan")</f>
        <v>Chan</v>
      </c>
      <c r="D37" s="56" t="str">
        <f>IFERROR(__xludf.DUMMYFUNCTION("""COMPUTED_VALUE"""),"OFLO is an enterprise team communication solution that empowers frontline staff with the one-click computing, productivity and engagement.")</f>
        <v>OFLO is an enterprise team communication solution that empowers frontline staff with the one-click computing, productivity and engagement.</v>
      </c>
      <c r="E37" s="203" t="s">
        <v>30</v>
      </c>
      <c r="F37" s="80" t="s">
        <v>3926</v>
      </c>
      <c r="G37" s="166" t="b">
        <v>1</v>
      </c>
      <c r="H37" s="56" t="s">
        <v>3929</v>
      </c>
      <c r="I37" s="166" t="b">
        <v>1</v>
      </c>
      <c r="J37" s="166" t="b">
        <v>0</v>
      </c>
      <c r="K37" s="166" t="b">
        <v>0</v>
      </c>
      <c r="L37" s="51" t="b">
        <v>0</v>
      </c>
      <c r="M37" s="51" t="b">
        <v>0</v>
      </c>
      <c r="N37" s="156">
        <v>0.001388888888888889</v>
      </c>
      <c r="P37" s="56"/>
      <c r="Q37" s="70" t="s">
        <v>3930</v>
      </c>
      <c r="R37" s="56"/>
      <c r="S37" s="56"/>
      <c r="T37" s="56"/>
      <c r="U37" s="56"/>
      <c r="V37" s="56"/>
      <c r="W37" s="56"/>
      <c r="X37" s="56"/>
      <c r="Y37" s="56"/>
      <c r="Z37" s="56"/>
      <c r="AA37" s="56"/>
      <c r="AB37" s="56"/>
    </row>
    <row r="38">
      <c r="A38" s="56" t="str">
        <f>IFERROR(__xludf.DUMMYFUNCTION("""COMPUTED_VALUE"""),"EventPlace")</f>
        <v>EventPlace</v>
      </c>
      <c r="B38" s="56" t="str">
        <f>IFERROR(__xludf.DUMMYFUNCTION("""COMPUTED_VALUE"""),"Tal")</f>
        <v>Tal</v>
      </c>
      <c r="C38" s="56" t="str">
        <f>IFERROR(__xludf.DUMMYFUNCTION("""COMPUTED_VALUE"""),"Mor")</f>
        <v>Mor</v>
      </c>
      <c r="D38" s="56" t="str">
        <f>IFERROR(__xludf.DUMMYFUNCTION("""COMPUTED_VALUE"""),"Online Event Platform. Disrupting the event industry with a self-service platform for communities to spread content &amp; connect their audience")</f>
        <v>Online Event Platform. Disrupting the event industry with a self-service platform for communities to spread content &amp; connect their audience</v>
      </c>
      <c r="E38" s="203" t="s">
        <v>30</v>
      </c>
      <c r="F38" s="80" t="s">
        <v>3935</v>
      </c>
      <c r="G38" s="166" t="b">
        <v>1</v>
      </c>
      <c r="H38" s="56" t="s">
        <v>3939</v>
      </c>
      <c r="I38" s="166" t="b">
        <v>1</v>
      </c>
      <c r="J38" s="166" t="b">
        <v>0</v>
      </c>
      <c r="K38" s="166" t="b">
        <v>0</v>
      </c>
      <c r="L38" s="51" t="b">
        <v>0</v>
      </c>
      <c r="M38" s="51" t="b">
        <v>0</v>
      </c>
      <c r="N38" s="156">
        <v>0.001412037037037037</v>
      </c>
      <c r="P38" s="56"/>
      <c r="Q38" s="70" t="s">
        <v>3940</v>
      </c>
      <c r="R38" s="56"/>
      <c r="S38" s="56"/>
      <c r="T38" s="56"/>
      <c r="U38" s="56"/>
      <c r="V38" s="56"/>
      <c r="W38" s="56"/>
      <c r="X38" s="56"/>
      <c r="Y38" s="56"/>
      <c r="Z38" s="56"/>
      <c r="AA38" s="56"/>
      <c r="AB38" s="56"/>
    </row>
    <row r="39">
      <c r="A39" s="56" t="str">
        <f>IFERROR(__xludf.DUMMYFUNCTION("""COMPUTED_VALUE"""),"TechLink Health")</f>
        <v>TechLink Health</v>
      </c>
      <c r="B39" s="56" t="str">
        <f>IFERROR(__xludf.DUMMYFUNCTION("""COMPUTED_VALUE"""),"Anthony")</f>
        <v>Anthony</v>
      </c>
      <c r="C39" s="56" t="str">
        <f>IFERROR(__xludf.DUMMYFUNCTION("""COMPUTED_VALUE"""),"Staten")</f>
        <v>Staten</v>
      </c>
      <c r="D39" s="56" t="str">
        <f>IFERROR(__xludf.DUMMYFUNCTION("""COMPUTED_VALUE"""),"TechLink Health is a healthcare advisory app helping to shape the future of health by making practitioners more accessible to patients, peers, and partners for telehealth, teleadvice, and consulting services.")</f>
        <v>TechLink Health is a healthcare advisory app helping to shape the future of health by making practitioners more accessible to patients, peers, and partners for telehealth, teleadvice, and consulting services.</v>
      </c>
      <c r="E39" s="203" t="s">
        <v>30</v>
      </c>
      <c r="F39" s="80" t="s">
        <v>3946</v>
      </c>
      <c r="G39" s="166" t="b">
        <v>1</v>
      </c>
      <c r="H39" s="56" t="s">
        <v>3950</v>
      </c>
      <c r="I39" s="166" t="b">
        <v>1</v>
      </c>
      <c r="J39" s="166" t="b">
        <v>0</v>
      </c>
      <c r="K39" s="166" t="b">
        <v>0</v>
      </c>
      <c r="L39" s="51" t="b">
        <v>0</v>
      </c>
      <c r="M39" s="51" t="b">
        <v>0</v>
      </c>
      <c r="N39" s="156">
        <v>0.0013194444444444445</v>
      </c>
      <c r="P39" s="56"/>
      <c r="Q39" s="70" t="s">
        <v>3951</v>
      </c>
      <c r="R39" s="56"/>
      <c r="S39" s="56"/>
      <c r="T39" s="56"/>
      <c r="U39" s="56"/>
      <c r="V39" s="56"/>
      <c r="W39" s="56"/>
      <c r="X39" s="56"/>
      <c r="Y39" s="56"/>
      <c r="Z39" s="56"/>
      <c r="AA39" s="56"/>
      <c r="AB39" s="56"/>
    </row>
    <row r="40">
      <c r="A40" s="56" t="str">
        <f>IFERROR(__xludf.DUMMYFUNCTION("""COMPUTED_VALUE"""),"Sym")</f>
        <v>Sym</v>
      </c>
      <c r="B40" s="56" t="str">
        <f>IFERROR(__xludf.DUMMYFUNCTION("""COMPUTED_VALUE"""),"Yasyf")</f>
        <v>Yasyf</v>
      </c>
      <c r="C40" s="56" t="str">
        <f>IFERROR(__xludf.DUMMYFUNCTION("""COMPUTED_VALUE"""),"Mohamedali")</f>
        <v>Mohamedali</v>
      </c>
      <c r="D40" s="56" t="str">
        <f>IFERROR(__xludf.DUMMYFUNCTION("""COMPUTED_VALUE"""),"Sym helps engineers create the perfect security and privacy workflows for their teams. Building security controls that match your team's tools and processes should be easy. We provide building blocks that keep your team compliant without getting in their "&amp;"way.")</f>
        <v>Sym helps engineers create the perfect security and privacy workflows for their teams. Building security controls that match your team's tools and processes should be easy. We provide building blocks that keep your team compliant without getting in their way.</v>
      </c>
      <c r="E40" s="203"/>
      <c r="G40" s="166" t="b">
        <v>0</v>
      </c>
      <c r="H40" s="166"/>
      <c r="I40" s="166" t="b">
        <v>0</v>
      </c>
      <c r="J40" s="166" t="b">
        <v>0</v>
      </c>
      <c r="K40" s="166" t="b">
        <v>0</v>
      </c>
      <c r="L40" s="51" t="b">
        <v>0</v>
      </c>
      <c r="M40" s="51" t="b">
        <v>0</v>
      </c>
      <c r="P40" s="56"/>
      <c r="Q40" s="56"/>
      <c r="R40" s="56"/>
      <c r="S40" s="56"/>
      <c r="T40" s="56"/>
      <c r="U40" s="56"/>
      <c r="V40" s="56"/>
      <c r="W40" s="56"/>
      <c r="X40" s="56"/>
      <c r="Y40" s="56"/>
      <c r="Z40" s="56"/>
      <c r="AA40" s="56"/>
      <c r="AB40" s="56"/>
    </row>
    <row r="41">
      <c r="A41" s="56" t="str">
        <f>IFERROR(__xludf.DUMMYFUNCTION("""COMPUTED_VALUE"""),"Hololink")</f>
        <v>Hololink</v>
      </c>
      <c r="B41" s="56" t="str">
        <f>IFERROR(__xludf.DUMMYFUNCTION("""COMPUTED_VALUE"""),"Lucas")</f>
        <v>Lucas</v>
      </c>
      <c r="C41" s="56" t="str">
        <f>IFERROR(__xludf.DUMMYFUNCTION("""COMPUTED_VALUE"""),"Nygaard")</f>
        <v>Nygaard</v>
      </c>
      <c r="D41" s="56" t="str">
        <f>IFERROR(__xludf.DUMMYFUNCTION("""COMPUTED_VALUE"""),"Hololink is the easiest way to create &amp; distribute interactive augmented reality experiences")</f>
        <v>Hololink is the easiest way to create &amp; distribute interactive augmented reality experiences</v>
      </c>
      <c r="E41" s="203"/>
      <c r="G41" s="166" t="b">
        <v>0</v>
      </c>
      <c r="H41" s="166"/>
      <c r="I41" s="166" t="b">
        <v>0</v>
      </c>
      <c r="J41" s="166" t="b">
        <v>0</v>
      </c>
      <c r="K41" s="166" t="b">
        <v>0</v>
      </c>
      <c r="L41" s="51" t="b">
        <v>0</v>
      </c>
      <c r="M41" s="51" t="b">
        <v>0</v>
      </c>
      <c r="P41" s="56"/>
      <c r="Q41" s="56"/>
      <c r="R41" s="56"/>
      <c r="S41" s="56"/>
      <c r="T41" s="56"/>
      <c r="U41" s="56"/>
      <c r="V41" s="56"/>
      <c r="W41" s="56"/>
      <c r="X41" s="56"/>
      <c r="Y41" s="56"/>
      <c r="Z41" s="56"/>
      <c r="AA41" s="56"/>
      <c r="AB41" s="56"/>
    </row>
    <row r="42">
      <c r="A42" s="56" t="str">
        <f>IFERROR(__xludf.DUMMYFUNCTION("""COMPUTED_VALUE"""),"Brightlobe")</f>
        <v>Brightlobe</v>
      </c>
      <c r="B42" s="56" t="str">
        <f>IFERROR(__xludf.DUMMYFUNCTION("""COMPUTED_VALUE"""),"Shivani")</f>
        <v>Shivani</v>
      </c>
      <c r="C42" s="56" t="str">
        <f>IFERROR(__xludf.DUMMYFUNCTION("""COMPUTED_VALUE"""),"Lamba")</f>
        <v>Lamba</v>
      </c>
      <c r="D42" s="56" t="str">
        <f>IFERROR(__xludf.DUMMYFUNCTION("""COMPUTED_VALUE"""),"We’re Brightlobe, the VC-backed inventors of patent-pending technology that can assess and support a child’s brain development through mobile games and toys. Our vision bridges immersive entertainment, big data and predictive analytics to transform child "&amp;"health.")</f>
        <v>We’re Brightlobe, the VC-backed inventors of patent-pending technology that can assess and support a child’s brain development through mobile games and toys. Our vision bridges immersive entertainment, big data and predictive analytics to transform child health.</v>
      </c>
      <c r="E42" s="203" t="s">
        <v>32</v>
      </c>
      <c r="F42" s="80" t="s">
        <v>3961</v>
      </c>
      <c r="G42" s="166" t="b">
        <v>1</v>
      </c>
      <c r="H42" s="56" t="s">
        <v>3964</v>
      </c>
      <c r="I42" s="166" t="b">
        <v>1</v>
      </c>
      <c r="J42" s="166" t="b">
        <v>0</v>
      </c>
      <c r="K42" s="166" t="b">
        <v>0</v>
      </c>
      <c r="L42" s="51" t="b">
        <v>0</v>
      </c>
      <c r="M42" s="51" t="b">
        <v>0</v>
      </c>
      <c r="N42" s="156">
        <v>0.001388888888888889</v>
      </c>
      <c r="P42" s="56"/>
      <c r="Q42" s="70" t="s">
        <v>3965</v>
      </c>
      <c r="R42" s="56"/>
      <c r="S42" s="56"/>
      <c r="T42" s="56"/>
      <c r="U42" s="56"/>
      <c r="V42" s="56"/>
      <c r="W42" s="56"/>
      <c r="X42" s="56"/>
      <c r="Y42" s="56"/>
      <c r="Z42" s="56"/>
      <c r="AA42" s="56"/>
      <c r="AB42" s="56"/>
    </row>
    <row r="43">
      <c r="A43" s="56" t="str">
        <f>IFERROR(__xludf.DUMMYFUNCTION("""COMPUTED_VALUE"""),"nmodes")</f>
        <v>nmodes</v>
      </c>
      <c r="B43" s="56" t="str">
        <f>IFERROR(__xludf.DUMMYFUNCTION("""COMPUTED_VALUE"""),"Sasha")</f>
        <v>Sasha</v>
      </c>
      <c r="C43" s="56" t="str">
        <f>IFERROR(__xludf.DUMMYFUNCTION("""COMPUTED_VALUE"""),"Uritsky")</f>
        <v>Uritsky</v>
      </c>
      <c r="D43" s="56" t="str">
        <f>IFERROR(__xludf.DUMMYFUNCTION("""COMPUTED_VALUE"""),"Conversational AI platform for sales and customer experience. We disrupt how businesses engage with customers by giving businesses personal AI that knows their product, market, details of their sales process, and grows together with their business.")</f>
        <v>Conversational AI platform for sales and customer experience. We disrupt how businesses engage with customers by giving businesses personal AI that knows their product, market, details of their sales process, and grows together with their business.</v>
      </c>
      <c r="E43" s="203" t="s">
        <v>30</v>
      </c>
      <c r="F43" s="80" t="s">
        <v>3968</v>
      </c>
      <c r="G43" s="166" t="b">
        <v>1</v>
      </c>
      <c r="H43" s="56" t="s">
        <v>3972</v>
      </c>
      <c r="I43" s="166" t="b">
        <v>1</v>
      </c>
      <c r="J43" s="166" t="b">
        <v>0</v>
      </c>
      <c r="K43" s="166" t="b">
        <v>0</v>
      </c>
      <c r="L43" s="51" t="b">
        <v>0</v>
      </c>
      <c r="M43" s="51" t="b">
        <v>0</v>
      </c>
      <c r="N43" s="156">
        <v>0.0013773148148148147</v>
      </c>
      <c r="P43" s="56"/>
      <c r="Q43" s="70" t="s">
        <v>3975</v>
      </c>
      <c r="R43" s="56"/>
      <c r="S43" s="56"/>
      <c r="T43" s="56"/>
      <c r="U43" s="56"/>
      <c r="V43" s="56"/>
      <c r="W43" s="56"/>
      <c r="X43" s="56"/>
      <c r="Y43" s="56"/>
      <c r="Z43" s="56"/>
      <c r="AA43" s="56"/>
      <c r="AB43" s="56"/>
    </row>
    <row r="44">
      <c r="A44" s="56" t="str">
        <f>IFERROR(__xludf.DUMMYFUNCTION("""COMPUTED_VALUE"""),"Central de Materiais")</f>
        <v>Central de Materiais</v>
      </c>
      <c r="B44" s="56" t="str">
        <f>IFERROR(__xludf.DUMMYFUNCTION("""COMPUTED_VALUE"""),"Regina")</f>
        <v>Regina</v>
      </c>
      <c r="C44" s="56" t="str">
        <f>IFERROR(__xludf.DUMMYFUNCTION("""COMPUTED_VALUE"""),"Flandoli")</f>
        <v>Flandoli</v>
      </c>
      <c r="D44" s="56" t="str">
        <f>IFERROR(__xludf.DUMMYFUNCTION("""COMPUTED_VALUE"""),"Sustainable Marketplace for Industry Waste and Reusable Equipment")</f>
        <v>Sustainable Marketplace for Industry Waste and Reusable Equipment</v>
      </c>
      <c r="E44" s="203" t="s">
        <v>30</v>
      </c>
      <c r="F44" s="80" t="s">
        <v>3977</v>
      </c>
      <c r="G44" s="166" t="b">
        <v>1</v>
      </c>
      <c r="H44" s="56" t="s">
        <v>3979</v>
      </c>
      <c r="I44" s="166" t="b">
        <v>1</v>
      </c>
      <c r="J44" s="166" t="b">
        <v>0</v>
      </c>
      <c r="K44" s="166" t="b">
        <v>0</v>
      </c>
      <c r="L44" s="51" t="b">
        <v>0</v>
      </c>
      <c r="M44" s="51" t="b">
        <v>0</v>
      </c>
      <c r="N44" s="156">
        <v>0.001400462962962963</v>
      </c>
      <c r="P44" s="56"/>
      <c r="Q44" s="70" t="s">
        <v>3980</v>
      </c>
      <c r="R44" s="56"/>
      <c r="S44" s="56"/>
      <c r="T44" s="56"/>
      <c r="U44" s="56"/>
      <c r="V44" s="56"/>
      <c r="W44" s="56"/>
      <c r="X44" s="56"/>
      <c r="Y44" s="56"/>
      <c r="Z44" s="56"/>
      <c r="AA44" s="56"/>
      <c r="AB44" s="56"/>
    </row>
    <row r="45">
      <c r="A45" s="56" t="str">
        <f>IFERROR(__xludf.DUMMYFUNCTION("""COMPUTED_VALUE"""),"HILOS")</f>
        <v>HILOS</v>
      </c>
      <c r="B45" s="56" t="str">
        <f>IFERROR(__xludf.DUMMYFUNCTION("""COMPUTED_VALUE"""),"Elias")</f>
        <v>Elias</v>
      </c>
      <c r="C45" s="56" t="str">
        <f>IFERROR(__xludf.DUMMYFUNCTION("""COMPUTED_VALUE"""),"Stahl")</f>
        <v>Stahl</v>
      </c>
      <c r="D45" s="56" t="str">
        <f>IFERROR(__xludf.DUMMYFUNCTION("""COMPUTED_VALUE"""),"Shoes without compromise")</f>
        <v>Shoes without compromise</v>
      </c>
      <c r="E45" s="203"/>
      <c r="G45" s="166" t="b">
        <v>0</v>
      </c>
      <c r="H45" s="166"/>
      <c r="I45" s="166" t="b">
        <v>0</v>
      </c>
      <c r="J45" s="166" t="b">
        <v>0</v>
      </c>
      <c r="K45" s="166" t="b">
        <v>0</v>
      </c>
      <c r="L45" s="51" t="b">
        <v>0</v>
      </c>
      <c r="M45" s="51" t="b">
        <v>0</v>
      </c>
      <c r="P45" s="56"/>
      <c r="Q45" s="56"/>
      <c r="R45" s="56"/>
      <c r="S45" s="56"/>
      <c r="T45" s="56"/>
      <c r="U45" s="56"/>
      <c r="V45" s="56"/>
      <c r="W45" s="56"/>
      <c r="X45" s="56"/>
      <c r="Y45" s="56"/>
      <c r="Z45" s="56"/>
      <c r="AA45" s="56"/>
      <c r="AB45" s="56"/>
    </row>
    <row r="46">
      <c r="A46" s="56" t="str">
        <f>IFERROR(__xludf.DUMMYFUNCTION("""COMPUTED_VALUE"""),"Cyberworks Robotics")</f>
        <v>Cyberworks Robotics</v>
      </c>
      <c r="B46" s="56" t="str">
        <f>IFERROR(__xludf.DUMMYFUNCTION("""COMPUTED_VALUE"""),"Vivek")</f>
        <v>Vivek</v>
      </c>
      <c r="C46" s="56" t="str">
        <f>IFERROR(__xludf.DUMMYFUNCTION("""COMPUTED_VALUE"""),"Burhanpurkar")</f>
        <v>Burhanpurkar</v>
      </c>
      <c r="D46" s="56" t="str">
        <f>IFERROR(__xludf.DUMMYFUNCTION("""COMPUTED_VALUE"""),"Cyberworks Robotics is a cash-positive early stage company that provides a single AI based self-driving platform for multiple applications ranging from power wheelchairs to material handling equipment. We work with the world's leading OEM's, universities "&amp;"and institutions to ensure rapid global scalability.")</f>
        <v>Cyberworks Robotics is a cash-positive early stage company that provides a single AI based self-driving platform for multiple applications ranging from power wheelchairs to material handling equipment. We work with the world's leading OEM's, universities and institutions to ensure rapid global scalability.</v>
      </c>
      <c r="E46" s="203"/>
      <c r="G46" s="166" t="b">
        <v>0</v>
      </c>
      <c r="H46" s="166"/>
      <c r="I46" s="166" t="b">
        <v>0</v>
      </c>
      <c r="J46" s="166" t="b">
        <v>0</v>
      </c>
      <c r="K46" s="166" t="b">
        <v>0</v>
      </c>
      <c r="L46" s="51" t="b">
        <v>0</v>
      </c>
      <c r="M46" s="51" t="b">
        <v>0</v>
      </c>
      <c r="P46" s="56"/>
      <c r="Q46" s="56"/>
      <c r="R46" s="56"/>
      <c r="S46" s="56"/>
      <c r="T46" s="56"/>
      <c r="U46" s="56"/>
      <c r="V46" s="56"/>
      <c r="W46" s="56"/>
      <c r="X46" s="56"/>
      <c r="Y46" s="56"/>
      <c r="Z46" s="56"/>
      <c r="AA46" s="56"/>
      <c r="AB46" s="56"/>
    </row>
    <row r="47">
      <c r="A47" s="56" t="str">
        <f>IFERROR(__xludf.DUMMYFUNCTION("""COMPUTED_VALUE"""),"Inqli Inc.")</f>
        <v>Inqli Inc.</v>
      </c>
      <c r="B47" s="56" t="str">
        <f>IFERROR(__xludf.DUMMYFUNCTION("""COMPUTED_VALUE"""),"Rebecca")</f>
        <v>Rebecca</v>
      </c>
      <c r="C47" s="56" t="str">
        <f>IFERROR(__xludf.DUMMYFUNCTION("""COMPUTED_VALUE"""),"Kirstein")</f>
        <v>Kirstein</v>
      </c>
      <c r="D47" s="56" t="str">
        <f>IFERROR(__xludf.DUMMYFUNCTION("""COMPUTED_VALUE"""),"Inqli bridges the divide between education and work through a continuous process of inquiry, discovery, and wayfinding. Connecting the curious with the experienced isn’t just an engagement strategy. It is the future of work and learning.")</f>
        <v>Inqli bridges the divide between education and work through a continuous process of inquiry, discovery, and wayfinding. Connecting the curious with the experienced isn’t just an engagement strategy. It is the future of work and learning.</v>
      </c>
      <c r="E47" s="203"/>
      <c r="G47" s="166" t="b">
        <v>0</v>
      </c>
      <c r="H47" s="166"/>
      <c r="I47" s="166" t="b">
        <v>0</v>
      </c>
      <c r="J47" s="166" t="b">
        <v>0</v>
      </c>
      <c r="K47" s="166" t="b">
        <v>0</v>
      </c>
      <c r="L47" s="51" t="b">
        <v>0</v>
      </c>
      <c r="M47" s="51" t="b">
        <v>0</v>
      </c>
      <c r="P47" s="56"/>
      <c r="Q47" s="56"/>
      <c r="R47" s="56"/>
      <c r="S47" s="56"/>
      <c r="T47" s="56"/>
      <c r="U47" s="56"/>
      <c r="V47" s="56"/>
      <c r="W47" s="56"/>
      <c r="X47" s="56"/>
      <c r="Y47" s="56"/>
      <c r="Z47" s="56"/>
      <c r="AA47" s="56"/>
      <c r="AB47" s="56"/>
    </row>
    <row r="48">
      <c r="A48" s="56" t="str">
        <f>IFERROR(__xludf.DUMMYFUNCTION("""COMPUTED_VALUE"""),"Cadiat")</f>
        <v>Cadiat</v>
      </c>
      <c r="B48" s="56" t="str">
        <f>IFERROR(__xludf.DUMMYFUNCTION("""COMPUTED_VALUE"""),"Kyle")</f>
        <v>Kyle</v>
      </c>
      <c r="C48" s="56" t="str">
        <f>IFERROR(__xludf.DUMMYFUNCTION("""COMPUTED_VALUE"""),"Scott")</f>
        <v>Scott</v>
      </c>
      <c r="D48" s="56" t="str">
        <f>IFERROR(__xludf.DUMMYFUNCTION("""COMPUTED_VALUE"""),"Electric autonomous trailers. Like trains for the road, emissions-free.")</f>
        <v>Electric autonomous trailers. Like trains for the road, emissions-free.</v>
      </c>
      <c r="E48" s="203"/>
      <c r="G48" s="166" t="b">
        <v>0</v>
      </c>
      <c r="H48" s="166"/>
      <c r="I48" s="166" t="b">
        <v>0</v>
      </c>
      <c r="J48" s="166" t="b">
        <v>0</v>
      </c>
      <c r="K48" s="166" t="b">
        <v>0</v>
      </c>
      <c r="L48" s="51" t="b">
        <v>0</v>
      </c>
      <c r="M48" s="51" t="b">
        <v>0</v>
      </c>
      <c r="P48" s="56"/>
      <c r="Q48" s="56"/>
      <c r="R48" s="56"/>
      <c r="S48" s="56"/>
      <c r="T48" s="56"/>
      <c r="U48" s="56"/>
      <c r="V48" s="56"/>
      <c r="W48" s="56"/>
      <c r="X48" s="56"/>
      <c r="Y48" s="56"/>
      <c r="Z48" s="56"/>
      <c r="AA48" s="56"/>
      <c r="AB48" s="56"/>
    </row>
    <row r="49">
      <c r="A49" s="56"/>
      <c r="B49" s="56"/>
      <c r="C49" s="56"/>
      <c r="D49" s="56"/>
      <c r="E49" s="203"/>
      <c r="G49" s="166" t="b">
        <v>0</v>
      </c>
      <c r="H49" s="166"/>
      <c r="I49" s="166" t="b">
        <v>0</v>
      </c>
      <c r="J49" s="166" t="b">
        <v>0</v>
      </c>
      <c r="K49" s="166" t="b">
        <v>0</v>
      </c>
      <c r="L49" s="51" t="b">
        <v>0</v>
      </c>
      <c r="M49" s="51" t="b">
        <v>0</v>
      </c>
      <c r="P49" s="56"/>
      <c r="Q49" s="56"/>
      <c r="R49" s="56"/>
      <c r="S49" s="56"/>
      <c r="T49" s="56"/>
      <c r="U49" s="56"/>
      <c r="V49" s="56"/>
      <c r="W49" s="56"/>
      <c r="X49" s="56"/>
      <c r="Y49" s="56"/>
      <c r="Z49" s="56"/>
      <c r="AA49" s="56"/>
      <c r="AB49" s="56"/>
    </row>
    <row r="50">
      <c r="A50" s="56"/>
      <c r="B50" s="56"/>
      <c r="C50" s="56"/>
      <c r="D50" s="56"/>
      <c r="E50" s="203"/>
      <c r="G50" s="166" t="b">
        <v>0</v>
      </c>
      <c r="H50" s="166"/>
      <c r="I50" s="166" t="b">
        <v>0</v>
      </c>
      <c r="J50" s="166" t="b">
        <v>0</v>
      </c>
      <c r="K50" s="166" t="b">
        <v>0</v>
      </c>
      <c r="L50" s="51" t="b">
        <v>0</v>
      </c>
      <c r="M50" s="51" t="b">
        <v>0</v>
      </c>
      <c r="P50" s="56"/>
      <c r="Q50" s="56"/>
      <c r="R50" s="56"/>
      <c r="S50" s="56"/>
      <c r="T50" s="56"/>
      <c r="U50" s="56"/>
      <c r="V50" s="56"/>
      <c r="W50" s="56"/>
      <c r="X50" s="56"/>
      <c r="Y50" s="56"/>
      <c r="Z50" s="56"/>
      <c r="AA50" s="56"/>
      <c r="AB50" s="56"/>
    </row>
    <row r="51">
      <c r="A51" s="56"/>
      <c r="B51" s="56"/>
      <c r="C51" s="56"/>
      <c r="D51" s="56"/>
      <c r="E51" s="203"/>
      <c r="G51" s="166" t="b">
        <v>0</v>
      </c>
      <c r="H51" s="166"/>
      <c r="I51" s="166" t="b">
        <v>0</v>
      </c>
      <c r="J51" s="166" t="b">
        <v>0</v>
      </c>
      <c r="K51" s="166" t="b">
        <v>0</v>
      </c>
      <c r="L51" s="51" t="b">
        <v>0</v>
      </c>
      <c r="M51" s="51" t="b">
        <v>0</v>
      </c>
      <c r="P51" s="56"/>
      <c r="Q51" s="56"/>
      <c r="R51" s="56"/>
      <c r="S51" s="56"/>
      <c r="T51" s="56"/>
      <c r="U51" s="56"/>
      <c r="V51" s="56"/>
      <c r="W51" s="56"/>
      <c r="X51" s="56"/>
      <c r="Y51" s="56"/>
      <c r="Z51" s="56"/>
      <c r="AA51" s="56"/>
      <c r="AB51" s="56"/>
    </row>
    <row r="52">
      <c r="A52" s="56"/>
      <c r="B52" s="56"/>
      <c r="C52" s="56"/>
      <c r="D52" s="56"/>
      <c r="E52" s="203"/>
      <c r="G52" s="166" t="b">
        <v>0</v>
      </c>
      <c r="H52" s="166"/>
      <c r="I52" s="166" t="b">
        <v>0</v>
      </c>
      <c r="J52" s="166" t="b">
        <v>0</v>
      </c>
      <c r="K52" s="166" t="b">
        <v>0</v>
      </c>
      <c r="L52" s="51" t="b">
        <v>0</v>
      </c>
      <c r="M52" s="51" t="b">
        <v>0</v>
      </c>
      <c r="P52" s="56"/>
      <c r="Q52" s="56"/>
      <c r="R52" s="56"/>
      <c r="S52" s="56"/>
      <c r="T52" s="56"/>
      <c r="U52" s="56"/>
      <c r="V52" s="56"/>
      <c r="W52" s="56"/>
      <c r="X52" s="56"/>
      <c r="Y52" s="56"/>
      <c r="Z52" s="56"/>
      <c r="AA52" s="56"/>
      <c r="AB52" s="56"/>
    </row>
    <row r="53">
      <c r="A53" s="56"/>
      <c r="B53" s="56"/>
      <c r="C53" s="56"/>
      <c r="D53" s="56"/>
      <c r="E53" s="203"/>
      <c r="G53" s="166" t="b">
        <v>0</v>
      </c>
      <c r="H53" s="166"/>
      <c r="I53" s="166" t="b">
        <v>0</v>
      </c>
      <c r="J53" s="166" t="b">
        <v>0</v>
      </c>
      <c r="K53" s="166" t="b">
        <v>0</v>
      </c>
      <c r="L53" s="51" t="b">
        <v>0</v>
      </c>
      <c r="M53" s="51" t="b">
        <v>0</v>
      </c>
      <c r="P53" s="56"/>
      <c r="Q53" s="56"/>
      <c r="R53" s="56"/>
      <c r="S53" s="56"/>
      <c r="T53" s="56"/>
      <c r="U53" s="56"/>
      <c r="V53" s="56"/>
      <c r="W53" s="56"/>
      <c r="X53" s="56"/>
      <c r="Y53" s="56"/>
      <c r="Z53" s="56"/>
      <c r="AA53" s="56"/>
      <c r="AB53" s="56"/>
    </row>
    <row r="54">
      <c r="A54" s="56"/>
      <c r="B54" s="56"/>
      <c r="C54" s="56"/>
      <c r="D54" s="56"/>
      <c r="E54" s="203"/>
      <c r="G54" s="166" t="b">
        <v>0</v>
      </c>
      <c r="H54" s="166"/>
      <c r="I54" s="166" t="b">
        <v>0</v>
      </c>
      <c r="J54" s="166" t="b">
        <v>0</v>
      </c>
      <c r="K54" s="166" t="b">
        <v>0</v>
      </c>
      <c r="L54" s="51" t="b">
        <v>0</v>
      </c>
      <c r="M54" s="51" t="b">
        <v>0</v>
      </c>
      <c r="P54" s="56"/>
      <c r="Q54" s="56"/>
      <c r="R54" s="56"/>
      <c r="S54" s="56"/>
      <c r="T54" s="56"/>
      <c r="U54" s="56"/>
      <c r="V54" s="56"/>
      <c r="W54" s="56"/>
      <c r="X54" s="56"/>
      <c r="Y54" s="56"/>
      <c r="Z54" s="56"/>
      <c r="AA54" s="56"/>
      <c r="AB54" s="56"/>
    </row>
    <row r="55">
      <c r="A55" s="56"/>
      <c r="B55" s="56"/>
      <c r="C55" s="56"/>
      <c r="D55" s="56"/>
      <c r="E55" s="203"/>
      <c r="G55" s="166" t="b">
        <v>0</v>
      </c>
      <c r="H55" s="166"/>
      <c r="I55" s="166" t="b">
        <v>0</v>
      </c>
      <c r="J55" s="166" t="b">
        <v>0</v>
      </c>
      <c r="K55" s="166" t="b">
        <v>0</v>
      </c>
      <c r="L55" s="51" t="b">
        <v>0</v>
      </c>
      <c r="M55" s="51" t="b">
        <v>0</v>
      </c>
      <c r="P55" s="56"/>
      <c r="Q55" s="56"/>
      <c r="R55" s="56"/>
      <c r="S55" s="56"/>
      <c r="T55" s="56"/>
      <c r="U55" s="56"/>
      <c r="V55" s="56"/>
      <c r="W55" s="56"/>
      <c r="X55" s="56"/>
      <c r="Y55" s="56"/>
      <c r="Z55" s="56"/>
      <c r="AA55" s="56"/>
      <c r="AB55" s="56"/>
    </row>
    <row r="56">
      <c r="A56" s="56"/>
      <c r="B56" s="56"/>
      <c r="C56" s="56"/>
      <c r="D56" s="56"/>
      <c r="E56" s="203"/>
      <c r="G56" s="166" t="b">
        <v>0</v>
      </c>
      <c r="H56" s="166"/>
      <c r="I56" s="166" t="b">
        <v>0</v>
      </c>
      <c r="J56" s="166" t="b">
        <v>0</v>
      </c>
      <c r="K56" s="166" t="b">
        <v>0</v>
      </c>
      <c r="L56" s="51" t="b">
        <v>0</v>
      </c>
      <c r="M56" s="51" t="b">
        <v>0</v>
      </c>
      <c r="P56" s="56"/>
      <c r="Q56" s="56"/>
      <c r="R56" s="56"/>
      <c r="S56" s="56"/>
      <c r="T56" s="56"/>
      <c r="U56" s="56"/>
      <c r="V56" s="56"/>
      <c r="W56" s="56"/>
      <c r="X56" s="56"/>
      <c r="Y56" s="56"/>
      <c r="Z56" s="56"/>
      <c r="AA56" s="56"/>
      <c r="AB56" s="56"/>
    </row>
    <row r="57">
      <c r="A57" s="56"/>
      <c r="B57" s="56"/>
      <c r="C57" s="56"/>
      <c r="D57" s="56"/>
      <c r="E57" s="203"/>
      <c r="G57" s="166" t="b">
        <v>0</v>
      </c>
      <c r="H57" s="166"/>
      <c r="I57" s="166" t="b">
        <v>0</v>
      </c>
      <c r="J57" s="166" t="b">
        <v>0</v>
      </c>
      <c r="K57" s="166" t="b">
        <v>0</v>
      </c>
      <c r="L57" s="51" t="b">
        <v>0</v>
      </c>
      <c r="M57" s="51" t="b">
        <v>0</v>
      </c>
      <c r="P57" s="56"/>
      <c r="Q57" s="56"/>
      <c r="R57" s="56"/>
      <c r="S57" s="56"/>
      <c r="T57" s="56"/>
      <c r="U57" s="56"/>
      <c r="V57" s="56"/>
      <c r="W57" s="56"/>
      <c r="X57" s="56"/>
      <c r="Y57" s="56"/>
      <c r="Z57" s="56"/>
      <c r="AA57" s="56"/>
      <c r="AB57" s="56"/>
    </row>
    <row r="58">
      <c r="A58" s="56"/>
      <c r="B58" s="56"/>
      <c r="C58" s="56"/>
      <c r="D58" s="56"/>
      <c r="E58" s="203"/>
      <c r="G58" s="166" t="b">
        <v>0</v>
      </c>
      <c r="H58" s="166"/>
      <c r="I58" s="166" t="b">
        <v>0</v>
      </c>
      <c r="J58" s="166" t="b">
        <v>0</v>
      </c>
      <c r="K58" s="166" t="b">
        <v>0</v>
      </c>
      <c r="L58" s="51" t="b">
        <v>0</v>
      </c>
      <c r="M58" s="51" t="b">
        <v>0</v>
      </c>
      <c r="P58" s="56"/>
      <c r="Q58" s="56"/>
      <c r="R58" s="56"/>
      <c r="S58" s="56"/>
      <c r="T58" s="56"/>
      <c r="U58" s="56"/>
      <c r="V58" s="56"/>
      <c r="W58" s="56"/>
      <c r="X58" s="56"/>
      <c r="Y58" s="56"/>
      <c r="Z58" s="56"/>
      <c r="AA58" s="56"/>
      <c r="AB58" s="56"/>
    </row>
    <row r="59">
      <c r="A59" s="56"/>
      <c r="B59" s="56"/>
      <c r="C59" s="56"/>
      <c r="D59" s="56"/>
      <c r="E59" s="203"/>
      <c r="G59" s="166" t="b">
        <v>0</v>
      </c>
      <c r="H59" s="166"/>
      <c r="I59" s="166" t="b">
        <v>0</v>
      </c>
      <c r="J59" s="166" t="b">
        <v>0</v>
      </c>
      <c r="K59" s="166" t="b">
        <v>0</v>
      </c>
      <c r="L59" s="51" t="b">
        <v>0</v>
      </c>
      <c r="M59" s="51" t="b">
        <v>0</v>
      </c>
      <c r="P59" s="56"/>
      <c r="Q59" s="56"/>
      <c r="R59" s="56"/>
      <c r="S59" s="56"/>
      <c r="T59" s="56"/>
      <c r="U59" s="56"/>
      <c r="V59" s="56"/>
      <c r="W59" s="56"/>
      <c r="X59" s="56"/>
      <c r="Y59" s="56"/>
      <c r="Z59" s="56"/>
      <c r="AA59" s="56"/>
      <c r="AB59" s="56"/>
    </row>
    <row r="60">
      <c r="A60" s="56"/>
      <c r="B60" s="56"/>
      <c r="C60" s="56"/>
      <c r="D60" s="56"/>
      <c r="E60" s="203"/>
      <c r="G60" s="166" t="b">
        <v>0</v>
      </c>
      <c r="H60" s="166"/>
      <c r="I60" s="166" t="b">
        <v>0</v>
      </c>
      <c r="J60" s="166" t="b">
        <v>0</v>
      </c>
      <c r="K60" s="166" t="b">
        <v>0</v>
      </c>
      <c r="L60" s="51" t="b">
        <v>0</v>
      </c>
      <c r="M60" s="51" t="b">
        <v>0</v>
      </c>
      <c r="P60" s="56"/>
      <c r="Q60" s="56"/>
      <c r="R60" s="56"/>
      <c r="S60" s="56"/>
      <c r="T60" s="56"/>
      <c r="U60" s="56"/>
      <c r="V60" s="56"/>
      <c r="W60" s="56"/>
      <c r="X60" s="56"/>
      <c r="Y60" s="56"/>
      <c r="Z60" s="56"/>
      <c r="AA60" s="56"/>
      <c r="AB60" s="56"/>
    </row>
    <row r="61">
      <c r="A61" s="56"/>
      <c r="B61" s="56"/>
      <c r="C61" s="56"/>
      <c r="D61" s="56"/>
      <c r="E61" s="203"/>
      <c r="G61" s="166" t="b">
        <v>0</v>
      </c>
      <c r="H61" s="166"/>
      <c r="I61" s="166" t="b">
        <v>0</v>
      </c>
      <c r="J61" s="166" t="b">
        <v>0</v>
      </c>
      <c r="K61" s="166" t="b">
        <v>0</v>
      </c>
      <c r="L61" s="51" t="b">
        <v>0</v>
      </c>
      <c r="M61" s="51" t="b">
        <v>0</v>
      </c>
      <c r="P61" s="56"/>
      <c r="Q61" s="56"/>
      <c r="R61" s="56"/>
      <c r="S61" s="56"/>
      <c r="T61" s="56"/>
      <c r="U61" s="56"/>
      <c r="V61" s="56"/>
      <c r="W61" s="56"/>
      <c r="X61" s="56"/>
      <c r="Y61" s="56"/>
      <c r="Z61" s="56"/>
      <c r="AA61" s="56"/>
      <c r="AB61" s="56"/>
    </row>
  </sheetData>
  <mergeCells count="1">
    <mergeCell ref="A1:M1"/>
  </mergeCells>
  <conditionalFormatting sqref="Q3:Q4">
    <cfRule type="expression" dxfId="3" priority="1">
      <formula>$B:$B = "Surplus ch."</formula>
    </cfRule>
  </conditionalFormatting>
  <conditionalFormatting sqref="Q1:Q4">
    <cfRule type="expression" dxfId="4" priority="2">
      <formula>$P:$P = "David"</formula>
    </cfRule>
  </conditionalFormatting>
  <conditionalFormatting sqref="G2:G61 I2:M61 H40:H41 H45:H61">
    <cfRule type="cellIs" dxfId="1" priority="3" operator="equal">
      <formula>"FALSE"</formula>
    </cfRule>
  </conditionalFormatting>
  <conditionalFormatting sqref="G2:G61 I2:M61 H40:H41 H45:H61">
    <cfRule type="containsText" dxfId="2" priority="4" operator="containsText" text="TRUE">
      <formula>NOT(ISERROR(SEARCH(("TRUE"),(G2))))</formula>
    </cfRule>
  </conditionalFormatting>
  <conditionalFormatting sqref="N1:O61 P1:Q4 S1:S2 E2:E61 F2 G2:G61 H2 I2:M61 H40:H41 H45:H61">
    <cfRule type="cellIs" dxfId="0" priority="5" operator="equal">
      <formula>"ID null"</formula>
    </cfRule>
  </conditionalFormatting>
  <dataValidations>
    <dataValidation type="list" allowBlank="1" sqref="E3:E61">
      <formula1>Lists!$B$2:$B$1000</formula1>
    </dataValidation>
  </dataValidations>
  <hyperlinks>
    <hyperlink r:id="rId1" ref="T2"/>
    <hyperlink r:id="rId2" ref="F3"/>
    <hyperlink r:id="rId3" ref="Q3"/>
    <hyperlink r:id="rId4" ref="F4"/>
    <hyperlink r:id="rId5" ref="Q4"/>
    <hyperlink r:id="rId6" ref="F5"/>
    <hyperlink r:id="rId7" ref="Q5"/>
    <hyperlink r:id="rId8" ref="A6"/>
    <hyperlink r:id="rId9" ref="F6"/>
    <hyperlink r:id="rId10" ref="H6"/>
    <hyperlink r:id="rId11" ref="Q6"/>
    <hyperlink r:id="rId12" ref="F7"/>
    <hyperlink r:id="rId13" ref="Q7"/>
    <hyperlink r:id="rId14" ref="F8"/>
    <hyperlink r:id="rId15" ref="Q8"/>
    <hyperlink r:id="rId16" ref="F9"/>
    <hyperlink r:id="rId17" ref="Q9"/>
    <hyperlink r:id="rId18" ref="F10"/>
    <hyperlink r:id="rId19" ref="Q10"/>
    <hyperlink r:id="rId20" ref="F11"/>
    <hyperlink r:id="rId21" ref="Q11"/>
    <hyperlink r:id="rId22" ref="F12"/>
    <hyperlink r:id="rId23" ref="Q12"/>
    <hyperlink r:id="rId24" ref="F13"/>
    <hyperlink r:id="rId25" ref="Q13"/>
    <hyperlink r:id="rId26" ref="F14"/>
    <hyperlink r:id="rId27" ref="Q14"/>
    <hyperlink r:id="rId28" ref="F15"/>
    <hyperlink r:id="rId29" ref="Q15"/>
    <hyperlink r:id="rId30" ref="F16"/>
    <hyperlink r:id="rId31" ref="Q16"/>
    <hyperlink r:id="rId32" ref="F17"/>
    <hyperlink r:id="rId33" ref="Q17"/>
    <hyperlink r:id="rId34" ref="F18"/>
    <hyperlink r:id="rId35" ref="Q18"/>
    <hyperlink r:id="rId36" ref="F19"/>
    <hyperlink r:id="rId37" ref="Q19"/>
    <hyperlink r:id="rId38" ref="F20"/>
    <hyperlink r:id="rId39" ref="Q20"/>
    <hyperlink r:id="rId40" ref="F21"/>
    <hyperlink r:id="rId41" ref="Q21"/>
    <hyperlink r:id="rId42" ref="F22"/>
    <hyperlink r:id="rId43" ref="Q22"/>
    <hyperlink r:id="rId44" ref="F23"/>
    <hyperlink r:id="rId45" ref="Q23"/>
    <hyperlink r:id="rId46" ref="F24"/>
    <hyperlink r:id="rId47" ref="Q24"/>
    <hyperlink r:id="rId48" ref="F25"/>
    <hyperlink r:id="rId49" ref="Q25"/>
    <hyperlink r:id="rId50" ref="F26"/>
    <hyperlink r:id="rId51" ref="Q26"/>
    <hyperlink r:id="rId52" ref="F27"/>
    <hyperlink r:id="rId53" ref="Q27"/>
    <hyperlink r:id="rId54" ref="F28"/>
    <hyperlink r:id="rId55" ref="Q28"/>
    <hyperlink r:id="rId56" ref="F29"/>
    <hyperlink r:id="rId57" ref="Q29"/>
    <hyperlink r:id="rId58" ref="F30"/>
    <hyperlink r:id="rId59" ref="Q30"/>
    <hyperlink r:id="rId60" ref="F31"/>
    <hyperlink r:id="rId61" ref="Q31"/>
    <hyperlink r:id="rId62" ref="F32"/>
    <hyperlink r:id="rId63" ref="Q32"/>
    <hyperlink r:id="rId64" ref="F33"/>
    <hyperlink r:id="rId65" ref="Q33"/>
    <hyperlink r:id="rId66" ref="F34"/>
    <hyperlink r:id="rId67" ref="Q34"/>
    <hyperlink r:id="rId68" ref="F35"/>
    <hyperlink r:id="rId69" ref="Q35"/>
    <hyperlink r:id="rId70" ref="F36"/>
    <hyperlink r:id="rId71" ref="Q36"/>
    <hyperlink r:id="rId72" ref="F37"/>
    <hyperlink r:id="rId73" ref="Q37"/>
    <hyperlink r:id="rId74" ref="F38"/>
    <hyperlink r:id="rId75" ref="Q38"/>
    <hyperlink r:id="rId76" ref="F39"/>
    <hyperlink r:id="rId77" ref="Q39"/>
    <hyperlink r:id="rId78" ref="F42"/>
    <hyperlink r:id="rId79" ref="Q42"/>
    <hyperlink r:id="rId80" ref="F43"/>
    <hyperlink r:id="rId81" ref="Q43"/>
    <hyperlink r:id="rId82" ref="F44"/>
    <hyperlink r:id="rId83" ref="Q44"/>
  </hyperlinks>
  <drawing r:id="rId8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4.43" defaultRowHeight="15.75"/>
  <cols>
    <col customWidth="1" min="1" max="2" width="23.29"/>
    <col customWidth="1" min="3" max="3" width="29.71"/>
    <col customWidth="1" min="4" max="4" width="12.14"/>
    <col customWidth="1" min="5" max="5" width="63.86"/>
    <col customWidth="1" min="7" max="7" width="21.71"/>
  </cols>
  <sheetData>
    <row r="1">
      <c r="A1" s="218" t="str">
        <f>==H2Yyes</f>
        <v>#ERROR!</v>
      </c>
      <c r="B1" s="219" t="s">
        <v>4031</v>
      </c>
      <c r="C1" s="219" t="s">
        <v>51</v>
      </c>
      <c r="D1" s="219" t="s">
        <v>4034</v>
      </c>
      <c r="E1" s="219" t="s">
        <v>4035</v>
      </c>
      <c r="F1" s="218" t="s">
        <v>11</v>
      </c>
      <c r="G1" s="219" t="s">
        <v>547</v>
      </c>
      <c r="H1" s="219" t="s">
        <v>4036</v>
      </c>
      <c r="I1" s="219" t="s">
        <v>4037</v>
      </c>
    </row>
    <row r="2">
      <c r="A2" s="45" t="s">
        <v>4038</v>
      </c>
      <c r="B2" s="45" t="s">
        <v>4039</v>
      </c>
      <c r="C2" s="45" t="s">
        <v>4040</v>
      </c>
      <c r="D2" s="117">
        <v>0.07291666666666667</v>
      </c>
      <c r="E2" s="80" t="s">
        <v>4041</v>
      </c>
      <c r="F2" s="17" t="s">
        <v>23</v>
      </c>
      <c r="G2" s="77" t="s">
        <v>4047</v>
      </c>
      <c r="H2" s="45" t="s">
        <v>3906</v>
      </c>
      <c r="I2" s="45" t="s">
        <v>2082</v>
      </c>
    </row>
    <row r="3">
      <c r="A3" s="45" t="s">
        <v>4050</v>
      </c>
      <c r="B3" s="45" t="s">
        <v>4052</v>
      </c>
      <c r="C3" s="45" t="s">
        <v>4040</v>
      </c>
      <c r="D3" s="117">
        <v>0.043055555555555555</v>
      </c>
      <c r="E3" s="80" t="s">
        <v>4041</v>
      </c>
      <c r="F3" s="17" t="s">
        <v>17</v>
      </c>
      <c r="G3" s="70" t="s">
        <v>4055</v>
      </c>
      <c r="H3" s="45" t="s">
        <v>3906</v>
      </c>
      <c r="I3" s="45" t="s">
        <v>2082</v>
      </c>
    </row>
    <row r="4">
      <c r="A4" s="45" t="s">
        <v>4058</v>
      </c>
      <c r="B4" s="45" t="s">
        <v>4059</v>
      </c>
      <c r="C4" s="45" t="s">
        <v>4040</v>
      </c>
      <c r="D4" s="117">
        <v>0.03680555555555556</v>
      </c>
      <c r="E4" s="80" t="s">
        <v>4041</v>
      </c>
      <c r="F4" s="17" t="s">
        <v>25</v>
      </c>
      <c r="G4" s="80" t="s">
        <v>4062</v>
      </c>
      <c r="H4" s="45" t="s">
        <v>3906</v>
      </c>
      <c r="I4" s="45" t="s">
        <v>2082</v>
      </c>
    </row>
    <row r="5">
      <c r="A5" s="45" t="s">
        <v>4065</v>
      </c>
      <c r="B5" s="45" t="s">
        <v>4066</v>
      </c>
      <c r="C5" s="45" t="s">
        <v>4040</v>
      </c>
      <c r="D5" s="117">
        <v>0.029861111111111113</v>
      </c>
      <c r="E5" s="80" t="s">
        <v>4041</v>
      </c>
      <c r="F5" s="17" t="s">
        <v>25</v>
      </c>
      <c r="G5" s="80" t="s">
        <v>1610</v>
      </c>
      <c r="H5" s="45" t="s">
        <v>3906</v>
      </c>
      <c r="I5" s="45" t="s">
        <v>2082</v>
      </c>
    </row>
    <row r="6">
      <c r="A6" s="45" t="s">
        <v>4070</v>
      </c>
      <c r="B6" s="45" t="s">
        <v>4071</v>
      </c>
      <c r="C6" s="45" t="s">
        <v>4040</v>
      </c>
      <c r="D6" s="220">
        <v>0.0763888888888889</v>
      </c>
      <c r="E6" s="80" t="s">
        <v>4041</v>
      </c>
      <c r="F6" s="17" t="s">
        <v>23</v>
      </c>
      <c r="G6" s="77" t="s">
        <v>4076</v>
      </c>
      <c r="H6" s="45" t="s">
        <v>3906</v>
      </c>
      <c r="I6" s="45" t="s">
        <v>2082</v>
      </c>
    </row>
    <row r="7">
      <c r="A7" s="45" t="s">
        <v>4080</v>
      </c>
      <c r="B7" s="45" t="s">
        <v>4081</v>
      </c>
      <c r="C7" s="45" t="s">
        <v>4040</v>
      </c>
      <c r="D7" s="117">
        <v>0.05625</v>
      </c>
      <c r="E7" s="80" t="s">
        <v>4041</v>
      </c>
      <c r="F7" s="17" t="s">
        <v>17</v>
      </c>
      <c r="G7" s="77" t="s">
        <v>4084</v>
      </c>
      <c r="H7" s="45" t="s">
        <v>3906</v>
      </c>
      <c r="I7" s="45" t="s">
        <v>2082</v>
      </c>
    </row>
    <row r="8">
      <c r="A8" s="45" t="s">
        <v>4087</v>
      </c>
      <c r="B8" s="45" t="s">
        <v>4088</v>
      </c>
      <c r="C8" s="45" t="s">
        <v>4040</v>
      </c>
      <c r="D8" s="117">
        <v>0.11041666666666666</v>
      </c>
      <c r="E8" s="80" t="s">
        <v>4041</v>
      </c>
      <c r="F8" s="17" t="s">
        <v>23</v>
      </c>
      <c r="G8" s="77" t="s">
        <v>4091</v>
      </c>
      <c r="H8" s="45" t="s">
        <v>3906</v>
      </c>
      <c r="I8" s="45" t="s">
        <v>2082</v>
      </c>
    </row>
    <row r="9">
      <c r="A9" s="45" t="s">
        <v>4095</v>
      </c>
      <c r="B9" s="45" t="s">
        <v>4096</v>
      </c>
      <c r="C9" s="45" t="s">
        <v>4040</v>
      </c>
      <c r="D9" s="117">
        <v>0.04027777777777778</v>
      </c>
      <c r="E9" s="111" t="s">
        <v>4041</v>
      </c>
      <c r="F9" s="17" t="s">
        <v>25</v>
      </c>
      <c r="G9" s="80" t="s">
        <v>1635</v>
      </c>
      <c r="H9" s="45" t="s">
        <v>3906</v>
      </c>
      <c r="I9" s="45" t="s">
        <v>2082</v>
      </c>
    </row>
    <row r="10">
      <c r="A10" s="45" t="s">
        <v>4100</v>
      </c>
      <c r="B10" s="45" t="s">
        <v>4101</v>
      </c>
      <c r="C10" s="45" t="s">
        <v>4040</v>
      </c>
      <c r="D10" s="117">
        <v>0.035416666666666666</v>
      </c>
      <c r="E10" s="80" t="s">
        <v>4041</v>
      </c>
      <c r="F10" s="17" t="s">
        <v>30</v>
      </c>
      <c r="G10" s="70" t="s">
        <v>4105</v>
      </c>
      <c r="H10" s="45" t="s">
        <v>3906</v>
      </c>
      <c r="I10" s="45" t="s">
        <v>2082</v>
      </c>
    </row>
    <row r="11">
      <c r="A11" s="45" t="s">
        <v>4107</v>
      </c>
      <c r="B11" s="45" t="s">
        <v>4108</v>
      </c>
      <c r="C11" s="45" t="s">
        <v>4040</v>
      </c>
      <c r="D11" s="117">
        <v>0.034027777777777775</v>
      </c>
      <c r="E11" s="80" t="s">
        <v>4041</v>
      </c>
      <c r="F11" s="17" t="s">
        <v>30</v>
      </c>
      <c r="G11" s="70" t="s">
        <v>4111</v>
      </c>
      <c r="H11" s="45" t="s">
        <v>3906</v>
      </c>
      <c r="I11" s="45" t="s">
        <v>2082</v>
      </c>
    </row>
    <row r="12">
      <c r="A12" s="45" t="s">
        <v>4114</v>
      </c>
      <c r="B12" s="45" t="s">
        <v>4115</v>
      </c>
      <c r="C12" s="45" t="s">
        <v>4040</v>
      </c>
      <c r="D12" s="44"/>
      <c r="E12" s="111" t="s">
        <v>4041</v>
      </c>
      <c r="F12" s="17" t="s">
        <v>20</v>
      </c>
      <c r="G12" s="70" t="s">
        <v>4119</v>
      </c>
      <c r="H12" s="45" t="s">
        <v>3906</v>
      </c>
      <c r="I12" s="45" t="s">
        <v>2082</v>
      </c>
    </row>
    <row r="13">
      <c r="A13" s="45" t="s">
        <v>4121</v>
      </c>
      <c r="B13" s="45" t="s">
        <v>4122</v>
      </c>
      <c r="C13" s="45" t="s">
        <v>4040</v>
      </c>
      <c r="D13" s="117">
        <v>0.03611111111111111</v>
      </c>
      <c r="E13" s="80" t="s">
        <v>4041</v>
      </c>
      <c r="F13" s="17" t="s">
        <v>32</v>
      </c>
      <c r="G13" s="70" t="s">
        <v>4126</v>
      </c>
      <c r="H13" s="45" t="s">
        <v>3906</v>
      </c>
      <c r="I13" s="45" t="s">
        <v>2082</v>
      </c>
    </row>
    <row r="14">
      <c r="A14" s="45" t="s">
        <v>4130</v>
      </c>
      <c r="B14" s="45" t="s">
        <v>4131</v>
      </c>
      <c r="C14" s="45" t="s">
        <v>4040</v>
      </c>
      <c r="D14" s="117">
        <v>0.013194444444444444</v>
      </c>
      <c r="E14" s="80" t="s">
        <v>4041</v>
      </c>
      <c r="F14" s="17" t="s">
        <v>17</v>
      </c>
      <c r="G14" s="70" t="s">
        <v>4136</v>
      </c>
      <c r="H14" s="45" t="s">
        <v>3906</v>
      </c>
      <c r="I14" s="45" t="s">
        <v>2082</v>
      </c>
    </row>
    <row r="15">
      <c r="A15" s="45" t="s">
        <v>4140</v>
      </c>
      <c r="B15" s="45" t="s">
        <v>4141</v>
      </c>
      <c r="C15" s="45" t="s">
        <v>4040</v>
      </c>
      <c r="D15" s="117">
        <v>0.0625</v>
      </c>
      <c r="E15" s="80" t="s">
        <v>4041</v>
      </c>
      <c r="F15" s="17" t="s">
        <v>23</v>
      </c>
      <c r="G15" s="70" t="s">
        <v>4148</v>
      </c>
      <c r="H15" s="45" t="s">
        <v>3906</v>
      </c>
      <c r="I15" s="45" t="s">
        <v>2082</v>
      </c>
    </row>
    <row r="16">
      <c r="A16" s="45"/>
      <c r="B16" s="45"/>
      <c r="C16" s="45"/>
      <c r="D16" s="44"/>
      <c r="E16" s="221"/>
      <c r="F16" s="17"/>
      <c r="G16" s="209"/>
    </row>
    <row r="17">
      <c r="A17" s="45" t="s">
        <v>4154</v>
      </c>
      <c r="B17" s="45" t="s">
        <v>4155</v>
      </c>
      <c r="C17" s="45" t="s">
        <v>4156</v>
      </c>
      <c r="D17" s="44"/>
      <c r="E17" s="222" t="s">
        <v>4158</v>
      </c>
      <c r="F17" s="17" t="s">
        <v>25</v>
      </c>
      <c r="G17" s="70" t="s">
        <v>4163</v>
      </c>
    </row>
    <row r="18">
      <c r="A18" s="45" t="s">
        <v>4167</v>
      </c>
      <c r="B18" s="45" t="s">
        <v>4168</v>
      </c>
      <c r="C18" s="45" t="s">
        <v>4156</v>
      </c>
      <c r="D18" s="44"/>
      <c r="F18" s="17" t="s">
        <v>25</v>
      </c>
      <c r="G18" s="70" t="s">
        <v>4169</v>
      </c>
    </row>
    <row r="19">
      <c r="A19" s="45" t="s">
        <v>4173</v>
      </c>
      <c r="B19" s="45" t="s">
        <v>4174</v>
      </c>
      <c r="C19" s="45" t="s">
        <v>4156</v>
      </c>
      <c r="D19" s="44"/>
      <c r="F19" s="17" t="s">
        <v>25</v>
      </c>
      <c r="G19" s="70" t="s">
        <v>4176</v>
      </c>
    </row>
    <row r="20">
      <c r="A20" s="45"/>
      <c r="B20" s="45"/>
      <c r="C20" s="45"/>
      <c r="D20" s="117"/>
      <c r="E20" s="45"/>
      <c r="F20" s="17"/>
      <c r="G20" s="209"/>
    </row>
    <row r="21">
      <c r="A21" s="45" t="s">
        <v>4180</v>
      </c>
      <c r="B21" s="45" t="s">
        <v>4182</v>
      </c>
      <c r="C21" s="45" t="s">
        <v>4183</v>
      </c>
      <c r="D21" s="117">
        <v>0.020833333333333332</v>
      </c>
      <c r="E21" s="45" t="s">
        <v>4185</v>
      </c>
      <c r="F21" s="17" t="s">
        <v>20</v>
      </c>
      <c r="G21" s="155" t="s">
        <v>4186</v>
      </c>
    </row>
    <row r="22">
      <c r="A22" s="45" t="s">
        <v>4189</v>
      </c>
      <c r="B22" s="45" t="s">
        <v>4190</v>
      </c>
      <c r="C22" s="45" t="s">
        <v>4183</v>
      </c>
      <c r="D22" s="117">
        <v>0.041666666666666664</v>
      </c>
      <c r="E22" s="45" t="s">
        <v>4185</v>
      </c>
      <c r="F22" s="17" t="s">
        <v>20</v>
      </c>
      <c r="G22" s="223" t="s">
        <v>4193</v>
      </c>
    </row>
    <row r="23">
      <c r="G23" s="56"/>
    </row>
    <row r="24">
      <c r="A24" s="45" t="s">
        <v>4198</v>
      </c>
      <c r="B24" s="45" t="s">
        <v>4199</v>
      </c>
      <c r="C24" s="45" t="s">
        <v>4198</v>
      </c>
      <c r="D24" s="156">
        <v>0.0010532407407407407</v>
      </c>
      <c r="F24" s="17" t="s">
        <v>23</v>
      </c>
      <c r="G24" s="77" t="s">
        <v>4202</v>
      </c>
    </row>
    <row r="25">
      <c r="B25" s="45"/>
      <c r="G25" s="56"/>
    </row>
    <row r="26">
      <c r="G26" s="56"/>
    </row>
    <row r="27">
      <c r="G27" s="56"/>
    </row>
  </sheetData>
  <mergeCells count="1">
    <mergeCell ref="E17:E19"/>
  </mergeCells>
  <conditionalFormatting sqref="F2:F22 F24">
    <cfRule type="cellIs" dxfId="0" priority="1" operator="equal">
      <formula>"ID null"</formula>
    </cfRule>
  </conditionalFormatting>
  <conditionalFormatting sqref="A1:I1">
    <cfRule type="cellIs" dxfId="0" priority="2" operator="equal">
      <formula>"ID null"</formula>
    </cfRule>
  </conditionalFormatting>
  <dataValidations>
    <dataValidation type="list" allowBlank="1" sqref="F2:F22 F24">
      <formula1>Lists!$B$2:$B$1000</formula1>
    </dataValidation>
    <dataValidation type="list" allowBlank="1" sqref="H2:I15">
      <formula1>"Yes,No"</formula1>
    </dataValidation>
  </dataValidations>
  <hyperlinks>
    <hyperlink r:id="rId1" ref="E2"/>
    <hyperlink r:id="rId2" ref="G2"/>
    <hyperlink r:id="rId3" ref="E3"/>
    <hyperlink r:id="rId4" ref="G3"/>
    <hyperlink r:id="rId5" ref="E4"/>
    <hyperlink r:id="rId6" ref="G4"/>
    <hyperlink r:id="rId7" ref="E5"/>
    <hyperlink r:id="rId8" ref="G5"/>
    <hyperlink r:id="rId9" ref="E6"/>
    <hyperlink r:id="rId10" ref="G6"/>
    <hyperlink r:id="rId11" ref="E7"/>
    <hyperlink r:id="rId12" ref="G7"/>
    <hyperlink r:id="rId13" ref="E8"/>
    <hyperlink r:id="rId14" ref="G8"/>
    <hyperlink r:id="rId15" ref="E9"/>
    <hyperlink r:id="rId16" ref="G9"/>
    <hyperlink r:id="rId17" ref="E10"/>
    <hyperlink r:id="rId18" ref="G10"/>
    <hyperlink r:id="rId19" ref="E11"/>
    <hyperlink r:id="rId20" ref="G11"/>
    <hyperlink r:id="rId21" ref="E12"/>
    <hyperlink r:id="rId22" ref="G12"/>
    <hyperlink r:id="rId23" ref="E13"/>
    <hyperlink r:id="rId24" ref="G13"/>
    <hyperlink r:id="rId25" ref="E14"/>
    <hyperlink r:id="rId26" ref="G14"/>
    <hyperlink r:id="rId27" ref="E15"/>
    <hyperlink r:id="rId28" ref="G15"/>
    <hyperlink r:id="rId29" ref="E17"/>
    <hyperlink r:id="rId30" ref="G17"/>
    <hyperlink r:id="rId31" ref="G18"/>
    <hyperlink r:id="rId32" ref="G19"/>
    <hyperlink r:id="rId33" ref="G21"/>
    <hyperlink r:id="rId34" ref="G22"/>
    <hyperlink r:id="rId35" ref="G24"/>
  </hyperlinks>
  <drawing r:id="rId3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9.0"/>
    <col customWidth="1" min="3" max="3" width="13.57"/>
    <col customWidth="1" min="4" max="4" width="44.57"/>
    <col customWidth="1" min="5" max="5" width="16.71"/>
  </cols>
  <sheetData>
    <row r="1" ht="22.5" customHeight="1">
      <c r="A1" s="224" t="str">
        <f>IFERROR(__xludf.DUMMYFUNCTION("IF(ISERROR(ImportRange(""https://docs.google.com/spreadsheets/d/1giNx-yVE0ZeqC5AYTzjk_FBmjgA6uCuiQxg9bScgevY/edit#gid=1918136128"",""Channels 1-4 + Surplus!A2:A"")),IF(ISERROR(ImportRange(""https://docs.google.com/spreadsheets/d/1giNx-yVE0ZeqC5AYTzjk_FBmj"&amp;"gA6uCuiQxg9bScgevY/edit#gid=1918136128"", ""Channels 1-4 + Surplus!A2:A"")),ImportRange(""https://docs.google.com/spreadsheets/d/1giNx-yVE0ZeqC5AYTzjk_FBmjgA6uCuiQxg9bScgevY/edit#gid=1918136128"", ""Channels 1-4 + Surplus!A2:A""),ImportRange(""https://doc"&amp;"s.google.com/spreadsheets/d/1giNx-yVE0ZeqC5AYTzjk_FBmjgA6uCuiQxg9bScgevY/edit#gid=1918136128"", ""Channels 1-4 + Surplus!A2:A"")),ImportRange(""https://docs.google.com/spreadsheets/d/1giNx-yVE0ZeqC5AYTzjk_FBmjgA6uCuiQxg9bScgevY/edit#gid=1918136128"", ""Ch"&amp;"annels 1-4 + Surplus!A2:A""))
"),"Index")</f>
        <v>Index</v>
      </c>
      <c r="B1" s="225" t="str">
        <f t="array" ref="B1:E2814">IF(ISNA(VLOOKUP(A1:A2814, 'Channel 1-4'!A1:AD2814, {2,4, 9, 30},FALSE)),"ID null",VLOOKUP(A1:A2814, 'Channel 1-4'!A1:AD2814, {2,4, 9, 30},FALSE))</f>
        <v>Channel</v>
      </c>
      <c r="C1" s="226" t="s">
        <v>47</v>
      </c>
      <c r="D1" s="224" t="s">
        <v>52</v>
      </c>
      <c r="E1" s="227" t="s">
        <v>547</v>
      </c>
    </row>
    <row r="2">
      <c r="A2" s="4" t="str">
        <f>IFERROR(__xludf.DUMMYFUNCTION("""COMPUTED_VALUE"""),"1 - Channel")</f>
        <v>1 - Channel</v>
      </c>
      <c r="B2" s="4" t="s">
        <v>64</v>
      </c>
      <c r="C2" s="6"/>
      <c r="D2" s="4"/>
      <c r="E2" s="56"/>
    </row>
    <row r="3">
      <c r="A3" s="4" t="str">
        <f>IFERROR(__xludf.DUMMYFUNCTION("""COMPUTED_VALUE"""),"2 - Channel")</f>
        <v>2 - Channel</v>
      </c>
      <c r="B3" s="4" t="s">
        <v>65</v>
      </c>
      <c r="C3" s="6"/>
      <c r="D3" s="4"/>
      <c r="E3" s="56"/>
    </row>
    <row r="4">
      <c r="A4" s="4" t="str">
        <f>IFERROR(__xludf.DUMMYFUNCTION("""COMPUTED_VALUE"""),"3 - Channel")</f>
        <v>3 - Channel</v>
      </c>
      <c r="B4" s="4" t="s">
        <v>14</v>
      </c>
      <c r="C4" s="6">
        <v>0.4166666666666667</v>
      </c>
      <c r="D4" s="4" t="s">
        <v>68</v>
      </c>
      <c r="E4" s="56"/>
    </row>
    <row r="5">
      <c r="A5" s="4" t="str">
        <f>IFERROR(__xludf.DUMMYFUNCTION("""COMPUTED_VALUE"""),"4 - Channel")</f>
        <v>4 - Channel</v>
      </c>
      <c r="B5" s="4" t="s">
        <v>14</v>
      </c>
      <c r="C5" s="6">
        <v>0.41770833333333335</v>
      </c>
      <c r="D5" s="4" t="s">
        <v>72</v>
      </c>
      <c r="E5" s="56"/>
    </row>
    <row r="6">
      <c r="A6" s="4" t="str">
        <f>IFERROR(__xludf.DUMMYFUNCTION("""COMPUTED_VALUE"""),"6 - Channel")</f>
        <v>6 - Channel</v>
      </c>
      <c r="B6" s="4" t="s">
        <v>14</v>
      </c>
      <c r="C6" s="6">
        <v>0.41909722222222223</v>
      </c>
      <c r="D6" s="4" t="s">
        <v>75</v>
      </c>
      <c r="E6" s="56"/>
    </row>
    <row r="7">
      <c r="A7" s="4" t="str">
        <f>IFERROR(__xludf.DUMMYFUNCTION("""COMPUTED_VALUE"""),"1819 - Channel")</f>
        <v>1819 - Channel</v>
      </c>
      <c r="B7" s="4" t="s">
        <v>14</v>
      </c>
      <c r="C7" s="6">
        <v>0.42604166666666665</v>
      </c>
      <c r="D7" s="4" t="s">
        <v>78</v>
      </c>
      <c r="E7" s="56"/>
    </row>
    <row r="8">
      <c r="A8" s="4" t="str">
        <f>IFERROR(__xludf.DUMMYFUNCTION("""COMPUTED_VALUE"""),"1611 - Channel")</f>
        <v>1611 - Channel</v>
      </c>
      <c r="B8" s="4" t="s">
        <v>14</v>
      </c>
      <c r="C8" s="6">
        <v>0.4262152777777778</v>
      </c>
      <c r="D8" s="4" t="s">
        <v>80</v>
      </c>
      <c r="E8" s="56"/>
    </row>
    <row r="9">
      <c r="A9" s="4" t="str">
        <f>IFERROR(__xludf.DUMMYFUNCTION("""COMPUTED_VALUE"""),"1532 - Channel")</f>
        <v>1532 - Channel</v>
      </c>
      <c r="B9" s="4" t="s">
        <v>14</v>
      </c>
      <c r="C9" s="6">
        <v>0.42673611111111115</v>
      </c>
      <c r="D9" s="4" t="s">
        <v>82</v>
      </c>
      <c r="E9" s="56"/>
    </row>
    <row r="10">
      <c r="A10" s="4" t="str">
        <f>IFERROR(__xludf.DUMMYFUNCTION("""COMPUTED_VALUE"""),"1364 - Channel")</f>
        <v>1364 - Channel</v>
      </c>
      <c r="B10" s="4" t="s">
        <v>14</v>
      </c>
      <c r="C10" s="6">
        <v>0.42696759259259265</v>
      </c>
      <c r="D10" s="4" t="s">
        <v>84</v>
      </c>
      <c r="E10" s="56"/>
    </row>
    <row r="11">
      <c r="A11" s="4" t="str">
        <f>IFERROR(__xludf.DUMMYFUNCTION("""COMPUTED_VALUE"""),"1713 - Channel")</f>
        <v>1713 - Channel</v>
      </c>
      <c r="B11" s="4" t="s">
        <v>14</v>
      </c>
      <c r="C11" s="6">
        <v>0.429050925925926</v>
      </c>
      <c r="D11" s="4" t="s">
        <v>86</v>
      </c>
      <c r="E11" s="56"/>
    </row>
    <row r="12">
      <c r="A12" s="4" t="str">
        <f>IFERROR(__xludf.DUMMYFUNCTION("""COMPUTED_VALUE"""),"1692 - Channel")</f>
        <v>1692 - Channel</v>
      </c>
      <c r="B12" s="4" t="s">
        <v>14</v>
      </c>
      <c r="C12" s="6">
        <v>0.429050925925926</v>
      </c>
      <c r="D12" s="4" t="s">
        <v>88</v>
      </c>
      <c r="E12" s="56"/>
    </row>
    <row r="13">
      <c r="A13" s="4" t="str">
        <f>IFERROR(__xludf.DUMMYFUNCTION("""COMPUTED_VALUE"""),"1820 - Channel")</f>
        <v>1820 - Channel</v>
      </c>
      <c r="B13" s="4" t="s">
        <v>14</v>
      </c>
      <c r="C13" s="6">
        <v>0.4293981481481482</v>
      </c>
      <c r="D13" s="4" t="s">
        <v>80</v>
      </c>
      <c r="E13" s="56"/>
    </row>
    <row r="14">
      <c r="A14" s="4" t="str">
        <f>IFERROR(__xludf.DUMMYFUNCTION("""COMPUTED_VALUE"""),"7 - Channel")</f>
        <v>7 - Channel</v>
      </c>
      <c r="B14" s="4" t="s">
        <v>14</v>
      </c>
      <c r="C14" s="6">
        <v>0.42991898148148155</v>
      </c>
      <c r="D14" s="4" t="s">
        <v>91</v>
      </c>
      <c r="E14" s="56"/>
    </row>
    <row r="15">
      <c r="A15" s="4" t="str">
        <f>IFERROR(__xludf.DUMMYFUNCTION("""COMPUTED_VALUE"""),"137 - Channel")</f>
        <v>137 - Channel</v>
      </c>
      <c r="B15" s="4" t="s">
        <v>14</v>
      </c>
      <c r="C15" s="6">
        <v>0.43015046296296305</v>
      </c>
      <c r="D15" s="4" t="s">
        <v>95</v>
      </c>
      <c r="E15" s="81" t="s">
        <v>1151</v>
      </c>
    </row>
    <row r="16">
      <c r="A16" s="4" t="str">
        <f>IFERROR(__xludf.DUMMYFUNCTION("""COMPUTED_VALUE"""),"2294 - Channel")</f>
        <v>2294 - Channel</v>
      </c>
      <c r="B16" s="4" t="s">
        <v>14</v>
      </c>
      <c r="C16" s="6">
        <v>0.43917824074074086</v>
      </c>
      <c r="D16" s="4"/>
      <c r="E16" s="56"/>
    </row>
    <row r="17">
      <c r="A17" s="4" t="str">
        <f>IFERROR(__xludf.DUMMYFUNCTION("""COMPUTED_VALUE"""),"2293 - Channel")</f>
        <v>2293 - Channel</v>
      </c>
      <c r="B17" s="4" t="s">
        <v>14</v>
      </c>
      <c r="C17" s="6">
        <v>0.4396990740740742</v>
      </c>
      <c r="D17" s="4"/>
      <c r="E17" s="56"/>
    </row>
    <row r="18">
      <c r="A18" s="4" t="str">
        <f>IFERROR(__xludf.DUMMYFUNCTION("""COMPUTED_VALUE"""),"100 - Channel")</f>
        <v>100 - Channel</v>
      </c>
      <c r="B18" s="4" t="s">
        <v>14</v>
      </c>
      <c r="C18" s="6">
        <v>0.44004629629629644</v>
      </c>
      <c r="D18" s="4" t="s">
        <v>98</v>
      </c>
      <c r="E18" s="56"/>
    </row>
    <row r="19">
      <c r="A19" s="4" t="str">
        <f>IFERROR(__xludf.DUMMYFUNCTION("""COMPUTED_VALUE"""),"101 - Channel")</f>
        <v>101 - Channel</v>
      </c>
      <c r="B19" s="4" t="s">
        <v>14</v>
      </c>
      <c r="C19" s="6">
        <v>0.44027777777777793</v>
      </c>
      <c r="D19" s="4" t="s">
        <v>99</v>
      </c>
      <c r="E19" s="81" t="s">
        <v>1001</v>
      </c>
    </row>
    <row r="20">
      <c r="A20" s="4" t="str">
        <f>IFERROR(__xludf.DUMMYFUNCTION("""COMPUTED_VALUE"""),"2235 - Channel")</f>
        <v>2235 - Channel</v>
      </c>
      <c r="B20" s="4" t="s">
        <v>14</v>
      </c>
      <c r="C20" s="6">
        <v>0.44236111111111126</v>
      </c>
      <c r="D20" s="4" t="s">
        <v>86</v>
      </c>
      <c r="E20" s="56"/>
    </row>
    <row r="21">
      <c r="A21" s="4" t="str">
        <f>IFERROR(__xludf.DUMMYFUNCTION("""COMPUTED_VALUE"""),"53 - Channel")</f>
        <v>53 - Channel</v>
      </c>
      <c r="B21" s="4" t="s">
        <v>14</v>
      </c>
      <c r="C21" s="6">
        <v>0.44259259259259276</v>
      </c>
      <c r="D21" s="4" t="s">
        <v>91</v>
      </c>
      <c r="E21" s="56"/>
    </row>
    <row r="22">
      <c r="A22" s="4" t="str">
        <f>IFERROR(__xludf.DUMMYFUNCTION("""COMPUTED_VALUE"""),"337 - Channel")</f>
        <v>337 - Channel</v>
      </c>
      <c r="B22" s="4" t="s">
        <v>14</v>
      </c>
      <c r="C22" s="6">
        <v>0.44282407407407426</v>
      </c>
      <c r="D22" s="4" t="s">
        <v>100</v>
      </c>
      <c r="E22" s="81" t="s">
        <v>1856</v>
      </c>
    </row>
    <row r="23">
      <c r="A23" s="4" t="str">
        <f>IFERROR(__xludf.DUMMYFUNCTION("""COMPUTED_VALUE"""),"1821 - Channel")</f>
        <v>1821 - Channel</v>
      </c>
      <c r="B23" s="4" t="s">
        <v>14</v>
      </c>
      <c r="C23" s="6">
        <v>0.45671296296296315</v>
      </c>
      <c r="D23" s="4"/>
      <c r="E23" s="56"/>
    </row>
    <row r="24">
      <c r="A24" s="4" t="str">
        <f>IFERROR(__xludf.DUMMYFUNCTION("""COMPUTED_VALUE"""),"21 - Channel")</f>
        <v>21 - Channel</v>
      </c>
      <c r="B24" s="4" t="s">
        <v>14</v>
      </c>
      <c r="C24" s="6"/>
      <c r="D24" s="4"/>
      <c r="E24" s="56"/>
    </row>
    <row r="25">
      <c r="A25" s="4" t="str">
        <f>IFERROR(__xludf.DUMMYFUNCTION("""COMPUTED_VALUE"""),"1901 - Channel")</f>
        <v>1901 - Channel</v>
      </c>
      <c r="B25" s="4" t="s">
        <v>14</v>
      </c>
      <c r="C25" s="6">
        <v>0.45833333333333354</v>
      </c>
      <c r="D25" s="4" t="s">
        <v>104</v>
      </c>
      <c r="E25" s="56"/>
    </row>
    <row r="26">
      <c r="A26" s="4" t="str">
        <f>IFERROR(__xludf.DUMMYFUNCTION("""COMPUTED_VALUE"""),"1822 - Channel")</f>
        <v>1822 - Channel</v>
      </c>
      <c r="B26" s="4" t="s">
        <v>14</v>
      </c>
      <c r="C26" s="6">
        <v>0.459027777777778</v>
      </c>
      <c r="D26" s="4"/>
      <c r="E26" s="56"/>
    </row>
    <row r="27">
      <c r="A27" s="4" t="str">
        <f>IFERROR(__xludf.DUMMYFUNCTION("""COMPUTED_VALUE"""),"23 - Channel")</f>
        <v>23 - Channel</v>
      </c>
      <c r="B27" s="4" t="s">
        <v>14</v>
      </c>
      <c r="C27" s="6">
        <v>0.4593750000000002</v>
      </c>
      <c r="D27" s="4" t="s">
        <v>81</v>
      </c>
      <c r="E27" s="56"/>
    </row>
    <row r="28">
      <c r="A28" s="4" t="str">
        <f>IFERROR(__xludf.DUMMYFUNCTION("""COMPUTED_VALUE"""),"24 - Channel")</f>
        <v>24 - Channel</v>
      </c>
      <c r="B28" s="4" t="s">
        <v>14</v>
      </c>
      <c r="C28" s="6">
        <v>0.4596064814814817</v>
      </c>
      <c r="D28" s="4" t="s">
        <v>108</v>
      </c>
      <c r="E28" s="81" t="s">
        <v>697</v>
      </c>
    </row>
    <row r="29">
      <c r="A29" s="4" t="str">
        <f>IFERROR(__xludf.DUMMYFUNCTION("""COMPUTED_VALUE"""),"1823 - Channel")</f>
        <v>1823 - Channel</v>
      </c>
      <c r="B29" s="4" t="s">
        <v>14</v>
      </c>
      <c r="C29" s="6">
        <v>0.46842592592592613</v>
      </c>
      <c r="D29" s="4"/>
      <c r="E29" s="56"/>
    </row>
    <row r="30">
      <c r="A30" s="4" t="str">
        <f>IFERROR(__xludf.DUMMYFUNCTION("""COMPUTED_VALUE"""),"26 - Channel")</f>
        <v>26 - Channel</v>
      </c>
      <c r="B30" s="4" t="s">
        <v>14</v>
      </c>
      <c r="C30" s="6">
        <v>0.46877314814814836</v>
      </c>
      <c r="D30" s="4" t="s">
        <v>111</v>
      </c>
      <c r="E30" s="56"/>
    </row>
    <row r="31">
      <c r="A31" s="4" t="str">
        <f>IFERROR(__xludf.DUMMYFUNCTION("""COMPUTED_VALUE"""),"27 - Channel")</f>
        <v>27 - Channel</v>
      </c>
      <c r="B31" s="4" t="s">
        <v>14</v>
      </c>
      <c r="C31" s="6">
        <v>0.46900462962962985</v>
      </c>
      <c r="D31" s="4" t="s">
        <v>112</v>
      </c>
      <c r="E31" s="56"/>
    </row>
    <row r="32">
      <c r="A32" s="4" t="str">
        <f>IFERROR(__xludf.DUMMYFUNCTION("""COMPUTED_VALUE"""),"2236 - Channel")</f>
        <v>2236 - Channel</v>
      </c>
      <c r="B32" s="4" t="s">
        <v>14</v>
      </c>
      <c r="C32" s="6">
        <v>0.4710879629629632</v>
      </c>
      <c r="D32" s="4" t="s">
        <v>86</v>
      </c>
      <c r="E32" s="56"/>
    </row>
    <row r="33">
      <c r="A33" s="4" t="str">
        <f>IFERROR(__xludf.DUMMYFUNCTION("""COMPUTED_VALUE"""),"1824 - Channel")</f>
        <v>1824 - Channel</v>
      </c>
      <c r="B33" s="4" t="s">
        <v>14</v>
      </c>
      <c r="C33" s="6">
        <v>0.4713194444444447</v>
      </c>
      <c r="D33" s="4"/>
      <c r="E33" s="56"/>
    </row>
    <row r="34">
      <c r="A34" s="4" t="str">
        <f>IFERROR(__xludf.DUMMYFUNCTION("""COMPUTED_VALUE"""),"30 - Channel")</f>
        <v>30 - Channel</v>
      </c>
      <c r="B34" s="4" t="s">
        <v>14</v>
      </c>
      <c r="C34" s="6">
        <v>0.47184027777777804</v>
      </c>
      <c r="D34" s="4" t="s">
        <v>81</v>
      </c>
      <c r="E34" s="56"/>
    </row>
    <row r="35">
      <c r="A35" s="4" t="str">
        <f>IFERROR(__xludf.DUMMYFUNCTION("""COMPUTED_VALUE"""),"1376 - Channel")</f>
        <v>1376 - Channel</v>
      </c>
      <c r="B35" s="4" t="s">
        <v>14</v>
      </c>
      <c r="C35" s="6">
        <v>0.47207175925925954</v>
      </c>
      <c r="D35" s="4" t="s">
        <v>113</v>
      </c>
      <c r="E35" s="81" t="s">
        <v>4318</v>
      </c>
    </row>
    <row r="36">
      <c r="A36" s="4" t="str">
        <f>IFERROR(__xludf.DUMMYFUNCTION("""COMPUTED_VALUE"""),"33 - Channel")</f>
        <v>33 - Channel</v>
      </c>
      <c r="B36" s="4" t="s">
        <v>14</v>
      </c>
      <c r="C36" s="6">
        <v>0.48011574074074104</v>
      </c>
      <c r="D36" s="4"/>
      <c r="E36" s="56"/>
    </row>
    <row r="37">
      <c r="A37" s="4" t="str">
        <f>IFERROR(__xludf.DUMMYFUNCTION("""COMPUTED_VALUE"""),"34 - Channel")</f>
        <v>34 - Channel</v>
      </c>
      <c r="B37" s="4" t="s">
        <v>14</v>
      </c>
      <c r="C37" s="6">
        <v>0.48046296296296326</v>
      </c>
      <c r="D37" s="4" t="s">
        <v>117</v>
      </c>
      <c r="E37" s="56"/>
    </row>
    <row r="38">
      <c r="A38" s="4" t="str">
        <f>IFERROR(__xludf.DUMMYFUNCTION("""COMPUTED_VALUE"""),"1363 - Channel")</f>
        <v>1363 - Channel</v>
      </c>
      <c r="B38" s="4" t="s">
        <v>14</v>
      </c>
      <c r="C38" s="6">
        <v>0.48069444444444476</v>
      </c>
      <c r="D38" s="4" t="s">
        <v>118</v>
      </c>
      <c r="E38" s="81" t="s">
        <v>4324</v>
      </c>
    </row>
    <row r="39">
      <c r="A39" s="4" t="str">
        <f>IFERROR(__xludf.DUMMYFUNCTION("""COMPUTED_VALUE"""),"2237 - Channel")</f>
        <v>2237 - Channel</v>
      </c>
      <c r="B39" s="4" t="s">
        <v>14</v>
      </c>
      <c r="C39" s="6">
        <v>0.4827777777777781</v>
      </c>
      <c r="D39" s="4" t="s">
        <v>86</v>
      </c>
      <c r="E39" s="56"/>
    </row>
    <row r="40">
      <c r="A40" s="4" t="str">
        <f>IFERROR(__xludf.DUMMYFUNCTION("""COMPUTED_VALUE"""),"1641 - Channel")</f>
        <v>1641 - Channel</v>
      </c>
      <c r="B40" s="4" t="s">
        <v>14</v>
      </c>
      <c r="C40" s="6">
        <v>0.4830092592592596</v>
      </c>
      <c r="D40" s="4" t="s">
        <v>80</v>
      </c>
      <c r="E40" s="56"/>
    </row>
    <row r="41">
      <c r="A41" s="4" t="str">
        <f>IFERROR(__xludf.DUMMYFUNCTION("""COMPUTED_VALUE"""),"1817 - Channel")</f>
        <v>1817 - Channel</v>
      </c>
      <c r="B41" s="4" t="s">
        <v>14</v>
      </c>
      <c r="C41" s="6">
        <v>0.48353009259259294</v>
      </c>
      <c r="D41" s="4"/>
      <c r="E41" s="56"/>
    </row>
    <row r="42">
      <c r="A42" s="4" t="str">
        <f>IFERROR(__xludf.DUMMYFUNCTION("""COMPUTED_VALUE"""),"249 - Channel")</f>
        <v>249 - Channel</v>
      </c>
      <c r="B42" s="4" t="s">
        <v>14</v>
      </c>
      <c r="C42" s="6">
        <v>0.48387731481481516</v>
      </c>
      <c r="D42" s="4" t="s">
        <v>119</v>
      </c>
      <c r="E42" s="56"/>
    </row>
    <row r="43">
      <c r="A43" s="4" t="str">
        <f>IFERROR(__xludf.DUMMYFUNCTION("""COMPUTED_VALUE"""),"233 - Channel")</f>
        <v>233 - Channel</v>
      </c>
      <c r="B43" s="4" t="s">
        <v>14</v>
      </c>
      <c r="C43" s="6">
        <v>0.48410879629629666</v>
      </c>
      <c r="D43" s="4" t="s">
        <v>121</v>
      </c>
      <c r="E43" s="81" t="s">
        <v>1517</v>
      </c>
    </row>
    <row r="44">
      <c r="A44" s="4" t="str">
        <f>IFERROR(__xludf.DUMMYFUNCTION("""COMPUTED_VALUE"""),"1362 - Channel")</f>
        <v>1362 - Channel</v>
      </c>
      <c r="B44" s="4" t="s">
        <v>14</v>
      </c>
      <c r="C44" s="6">
        <v>0.49452546296296335</v>
      </c>
      <c r="D44" s="4" t="s">
        <v>88</v>
      </c>
      <c r="E44" s="56"/>
    </row>
    <row r="45">
      <c r="A45" s="4" t="str">
        <f>IFERROR(__xludf.DUMMYFUNCTION("""COMPUTED_VALUE"""),"1818 - Channel")</f>
        <v>1818 - Channel</v>
      </c>
      <c r="B45" s="4" t="s">
        <v>14</v>
      </c>
      <c r="C45" s="6">
        <v>0.49487268518518557</v>
      </c>
      <c r="D45" s="4"/>
      <c r="E45" s="56"/>
    </row>
    <row r="46">
      <c r="A46" s="4" t="str">
        <f>IFERROR(__xludf.DUMMYFUNCTION("""COMPUTED_VALUE"""),"38 - Channel")</f>
        <v>38 - Channel</v>
      </c>
      <c r="B46" s="4" t="s">
        <v>14</v>
      </c>
      <c r="C46" s="6">
        <v>0.5004282407407411</v>
      </c>
      <c r="D46" s="4" t="s">
        <v>80</v>
      </c>
      <c r="E46" s="56"/>
    </row>
    <row r="47">
      <c r="A47" s="4" t="str">
        <f>IFERROR(__xludf.DUMMYFUNCTION("""COMPUTED_VALUE"""),"1814 - Channel")</f>
        <v>1814 - Channel</v>
      </c>
      <c r="B47" s="4" t="s">
        <v>14</v>
      </c>
      <c r="C47" s="6"/>
      <c r="D47" s="4"/>
      <c r="E47" s="56"/>
    </row>
    <row r="48">
      <c r="A48" s="4" t="str">
        <f>IFERROR(__xludf.DUMMYFUNCTION("""COMPUTED_VALUE"""),"1632 - Channel")</f>
        <v>1632 - Channel</v>
      </c>
      <c r="B48" s="4" t="s">
        <v>14</v>
      </c>
      <c r="C48" s="6">
        <v>0.5009490740740744</v>
      </c>
      <c r="D48" s="4" t="s">
        <v>127</v>
      </c>
      <c r="E48" s="56"/>
    </row>
    <row r="49">
      <c r="A49" s="4" t="str">
        <f>IFERROR(__xludf.DUMMYFUNCTION("""COMPUTED_VALUE"""),"1609 - Channel")</f>
        <v>1609 - Channel</v>
      </c>
      <c r="B49" s="4" t="s">
        <v>14</v>
      </c>
      <c r="C49" s="6">
        <v>0.5016435185185188</v>
      </c>
      <c r="D49" s="4" t="s">
        <v>68</v>
      </c>
      <c r="E49" s="56"/>
    </row>
    <row r="50">
      <c r="A50" s="4" t="str">
        <f>IFERROR(__xludf.DUMMYFUNCTION("""COMPUTED_VALUE"""),"39 - Channel")</f>
        <v>39 - Channel</v>
      </c>
      <c r="B50" s="4" t="s">
        <v>14</v>
      </c>
      <c r="C50" s="6">
        <v>0.5026851851851856</v>
      </c>
      <c r="D50" s="4" t="s">
        <v>119</v>
      </c>
      <c r="E50" s="56"/>
    </row>
    <row r="51">
      <c r="A51" s="4" t="str">
        <f>IFERROR(__xludf.DUMMYFUNCTION("""COMPUTED_VALUE"""),"40 - Channel")</f>
        <v>40 - Channel</v>
      </c>
      <c r="B51" s="4" t="s">
        <v>14</v>
      </c>
      <c r="C51" s="6">
        <v>0.502916666666667</v>
      </c>
      <c r="D51" s="4" t="s">
        <v>130</v>
      </c>
      <c r="E51" s="81" t="s">
        <v>762</v>
      </c>
    </row>
    <row r="52">
      <c r="A52" s="4" t="str">
        <f>IFERROR(__xludf.DUMMYFUNCTION("""COMPUTED_VALUE"""),"1630 - Channel")</f>
        <v>1630 - Channel</v>
      </c>
      <c r="B52" s="4" t="s">
        <v>14</v>
      </c>
      <c r="C52" s="6">
        <v>0.5112500000000003</v>
      </c>
      <c r="D52" s="4" t="s">
        <v>80</v>
      </c>
      <c r="E52" s="56"/>
    </row>
    <row r="53">
      <c r="A53" s="4" t="str">
        <f>IFERROR(__xludf.DUMMYFUNCTION("""COMPUTED_VALUE"""),"42 - Channel")</f>
        <v>42 - Channel</v>
      </c>
      <c r="B53" s="4" t="s">
        <v>14</v>
      </c>
      <c r="C53" s="6">
        <v>0.5124652777777781</v>
      </c>
      <c r="D53" s="4" t="s">
        <v>133</v>
      </c>
      <c r="E53" s="56"/>
    </row>
    <row r="54">
      <c r="A54" s="4" t="str">
        <f>IFERROR(__xludf.DUMMYFUNCTION("""COMPUTED_VALUE"""),"43 - Channel")</f>
        <v>43 - Channel</v>
      </c>
      <c r="B54" s="4" t="s">
        <v>14</v>
      </c>
      <c r="C54" s="6">
        <v>0.5126967592592595</v>
      </c>
      <c r="D54" s="4" t="s">
        <v>134</v>
      </c>
      <c r="E54" s="56"/>
    </row>
    <row r="55">
      <c r="A55" s="4" t="str">
        <f>IFERROR(__xludf.DUMMYFUNCTION("""COMPUTED_VALUE"""),"2239 - Channel")</f>
        <v>2239 - Channel</v>
      </c>
      <c r="B55" s="4" t="s">
        <v>14</v>
      </c>
      <c r="C55" s="6">
        <v>0.5147800925925928</v>
      </c>
      <c r="D55" s="4" t="s">
        <v>86</v>
      </c>
      <c r="E55" s="56"/>
    </row>
    <row r="56">
      <c r="A56" s="4" t="str">
        <f>IFERROR(__xludf.DUMMYFUNCTION("""COMPUTED_VALUE"""),"1610 - Channel")</f>
        <v>1610 - Channel</v>
      </c>
      <c r="B56" s="4" t="s">
        <v>14</v>
      </c>
      <c r="C56" s="6">
        <v>0.5147800925925928</v>
      </c>
      <c r="D56" s="4" t="s">
        <v>80</v>
      </c>
      <c r="E56" s="56"/>
    </row>
    <row r="57">
      <c r="A57" s="4" t="str">
        <f>IFERROR(__xludf.DUMMYFUNCTION("""COMPUTED_VALUE"""),"1608 - Channel")</f>
        <v>1608 - Channel</v>
      </c>
      <c r="B57" s="4" t="s">
        <v>14</v>
      </c>
      <c r="C57" s="6">
        <v>0.5153009259259261</v>
      </c>
      <c r="D57" s="4" t="s">
        <v>88</v>
      </c>
      <c r="E57" s="56"/>
    </row>
    <row r="58">
      <c r="A58" s="4" t="str">
        <f>IFERROR(__xludf.DUMMYFUNCTION("""COMPUTED_VALUE"""),"1425 - Channel")</f>
        <v>1425 - Channel</v>
      </c>
      <c r="B58" s="4" t="s">
        <v>14</v>
      </c>
      <c r="C58" s="6">
        <v>0.5156481481481484</v>
      </c>
      <c r="D58" s="4" t="s">
        <v>91</v>
      </c>
      <c r="E58" s="56"/>
    </row>
    <row r="59">
      <c r="A59" s="4" t="str">
        <f>IFERROR(__xludf.DUMMYFUNCTION("""COMPUTED_VALUE"""),"31 - Channel")</f>
        <v>31 - Channel</v>
      </c>
      <c r="B59" s="4" t="s">
        <v>14</v>
      </c>
      <c r="C59" s="6">
        <v>0.5158796296296299</v>
      </c>
      <c r="D59" s="4" t="s">
        <v>135</v>
      </c>
      <c r="E59" s="81" t="s">
        <v>723</v>
      </c>
    </row>
    <row r="60">
      <c r="A60" s="4" t="str">
        <f>IFERROR(__xludf.DUMMYFUNCTION("""COMPUTED_VALUE"""),"50 - Channel")</f>
        <v>50 - Channel</v>
      </c>
      <c r="B60" s="4" t="s">
        <v>14</v>
      </c>
      <c r="C60" s="6">
        <v>0.5297685185185187</v>
      </c>
      <c r="D60" s="4" t="s">
        <v>138</v>
      </c>
      <c r="E60" s="56"/>
    </row>
    <row r="61">
      <c r="A61" s="4" t="str">
        <f>IFERROR(__xludf.DUMMYFUNCTION("""COMPUTED_VALUE"""),"51 - Channel")</f>
        <v>51 - Channel</v>
      </c>
      <c r="B61" s="4" t="s">
        <v>14</v>
      </c>
      <c r="C61" s="6">
        <v>0.5300000000000001</v>
      </c>
      <c r="D61" s="4" t="s">
        <v>139</v>
      </c>
      <c r="E61" s="56"/>
    </row>
    <row r="62">
      <c r="A62" s="4" t="str">
        <f>IFERROR(__xludf.DUMMYFUNCTION("""COMPUTED_VALUE"""),"2240 - Channel")</f>
        <v>2240 - Channel</v>
      </c>
      <c r="B62" s="4" t="s">
        <v>14</v>
      </c>
      <c r="C62" s="6">
        <v>0.5320833333333335</v>
      </c>
      <c r="D62" s="4" t="s">
        <v>86</v>
      </c>
      <c r="E62" s="56"/>
    </row>
    <row r="63">
      <c r="A63" s="4" t="str">
        <f>IFERROR(__xludf.DUMMYFUNCTION("""COMPUTED_VALUE"""),"52 - Channel")</f>
        <v>52 - Channel</v>
      </c>
      <c r="B63" s="4" t="s">
        <v>14</v>
      </c>
      <c r="C63" s="6">
        <v>0.5323148148148149</v>
      </c>
      <c r="D63" s="4" t="s">
        <v>88</v>
      </c>
      <c r="E63" s="56"/>
    </row>
    <row r="64">
      <c r="A64" s="4" t="str">
        <f>IFERROR(__xludf.DUMMYFUNCTION("""COMPUTED_VALUE"""),"197 - Channel")</f>
        <v>197 - Channel</v>
      </c>
      <c r="B64" s="4" t="s">
        <v>14</v>
      </c>
      <c r="C64" s="6">
        <v>0.5326620370370372</v>
      </c>
      <c r="D64" s="4" t="s">
        <v>119</v>
      </c>
      <c r="E64" s="56"/>
    </row>
    <row r="65">
      <c r="A65" s="4" t="str">
        <f>IFERROR(__xludf.DUMMYFUNCTION("""COMPUTED_VALUE"""),"198 - Channel")</f>
        <v>198 - Channel</v>
      </c>
      <c r="B65" s="4" t="s">
        <v>14</v>
      </c>
      <c r="C65" s="6">
        <v>0.5328935185185186</v>
      </c>
      <c r="D65" s="4" t="s">
        <v>141</v>
      </c>
      <c r="E65" s="81" t="s">
        <v>1394</v>
      </c>
    </row>
    <row r="66">
      <c r="A66" s="4" t="str">
        <f>IFERROR(__xludf.DUMMYFUNCTION("""COMPUTED_VALUE"""),"1810 - Channel")</f>
        <v>1810 - Channel</v>
      </c>
      <c r="B66" s="4" t="s">
        <v>14</v>
      </c>
      <c r="C66" s="6"/>
      <c r="D66" s="4"/>
      <c r="E66" s="56"/>
    </row>
    <row r="67">
      <c r="A67" s="4" t="str">
        <f>IFERROR(__xludf.DUMMYFUNCTION("""COMPUTED_VALUE"""),"57 - Channel")</f>
        <v>57 - Channel</v>
      </c>
      <c r="B67" s="4" t="s">
        <v>14</v>
      </c>
      <c r="C67" s="6">
        <v>0.5433101851851853</v>
      </c>
      <c r="D67" s="4" t="s">
        <v>88</v>
      </c>
      <c r="E67" s="56"/>
    </row>
    <row r="68">
      <c r="A68" s="4" t="str">
        <f>IFERROR(__xludf.DUMMYFUNCTION("""COMPUTED_VALUE"""),"1647 - Channel")</f>
        <v>1647 - Channel</v>
      </c>
      <c r="B68" s="4" t="s">
        <v>14</v>
      </c>
      <c r="C68" s="6">
        <v>0.5436574074074075</v>
      </c>
      <c r="D68" s="4" t="s">
        <v>145</v>
      </c>
      <c r="E68" s="56"/>
    </row>
    <row r="69">
      <c r="A69" s="4" t="str">
        <f>IFERROR(__xludf.DUMMYFUNCTION("""COMPUTED_VALUE"""),"1467 - Channel")</f>
        <v>1467 - Channel</v>
      </c>
      <c r="B69" s="4" t="s">
        <v>14</v>
      </c>
      <c r="C69" s="6">
        <v>0.544351851851852</v>
      </c>
      <c r="D69" s="4" t="s">
        <v>91</v>
      </c>
      <c r="E69" s="56"/>
    </row>
    <row r="70">
      <c r="A70" s="4" t="str">
        <f>IFERROR(__xludf.DUMMYFUNCTION("""COMPUTED_VALUE"""),"830 - Channel")</f>
        <v>830 - Channel</v>
      </c>
      <c r="B70" s="4" t="s">
        <v>14</v>
      </c>
      <c r="C70" s="6">
        <v>0.5445833333333334</v>
      </c>
      <c r="D70" s="4" t="s">
        <v>147</v>
      </c>
      <c r="E70" s="81" t="s">
        <v>2856</v>
      </c>
    </row>
    <row r="71">
      <c r="A71" s="4" t="str">
        <f>IFERROR(__xludf.DUMMYFUNCTION("""COMPUTED_VALUE"""),"61 - Channel")</f>
        <v>61 - Channel</v>
      </c>
      <c r="B71" s="4" t="s">
        <v>14</v>
      </c>
      <c r="C71" s="6">
        <v>0.5553472222222223</v>
      </c>
      <c r="D71" s="4" t="s">
        <v>150</v>
      </c>
      <c r="E71" s="56"/>
    </row>
    <row r="72">
      <c r="A72" s="4" t="str">
        <f>IFERROR(__xludf.DUMMYFUNCTION("""COMPUTED_VALUE"""),"62 - Channel")</f>
        <v>62 - Channel</v>
      </c>
      <c r="B72" s="4" t="s">
        <v>14</v>
      </c>
      <c r="C72" s="6">
        <v>0.5555787037037038</v>
      </c>
      <c r="D72" s="4" t="s">
        <v>152</v>
      </c>
      <c r="E72" s="56"/>
    </row>
    <row r="73">
      <c r="A73" s="4" t="str">
        <f>IFERROR(__xludf.DUMMYFUNCTION("""COMPUTED_VALUE"""),"2241 - Channel")</f>
        <v>2241 - Channel</v>
      </c>
      <c r="B73" s="4" t="s">
        <v>14</v>
      </c>
      <c r="C73" s="6">
        <v>0.5576620370370371</v>
      </c>
      <c r="D73" s="4" t="s">
        <v>86</v>
      </c>
      <c r="E73" s="56"/>
    </row>
    <row r="74">
      <c r="A74" s="4" t="str">
        <f>IFERROR(__xludf.DUMMYFUNCTION("""COMPUTED_VALUE"""),"1815 - Channel")</f>
        <v>1815 - Channel</v>
      </c>
      <c r="B74" s="4" t="s">
        <v>14</v>
      </c>
      <c r="C74" s="6">
        <v>0.5578935185185185</v>
      </c>
      <c r="D74" s="4" t="s">
        <v>153</v>
      </c>
      <c r="E74" s="56"/>
    </row>
    <row r="75">
      <c r="A75" s="4" t="str">
        <f>IFERROR(__xludf.DUMMYFUNCTION("""COMPUTED_VALUE"""),"58 - Channel")</f>
        <v>58 - Channel</v>
      </c>
      <c r="B75" s="4" t="s">
        <v>14</v>
      </c>
      <c r="C75" s="6">
        <v>0.5582407407407408</v>
      </c>
      <c r="D75" s="4" t="s">
        <v>91</v>
      </c>
      <c r="E75" s="56"/>
    </row>
    <row r="76">
      <c r="A76" s="4" t="str">
        <f>IFERROR(__xludf.DUMMYFUNCTION("""COMPUTED_VALUE"""),"59 - Channel")</f>
        <v>59 - Channel</v>
      </c>
      <c r="B76" s="4" t="s">
        <v>14</v>
      </c>
      <c r="C76" s="6">
        <v>0.5584722222222223</v>
      </c>
      <c r="D76" s="4" t="s">
        <v>154</v>
      </c>
      <c r="E76" s="81" t="s">
        <v>843</v>
      </c>
    </row>
    <row r="77">
      <c r="A77" s="4" t="str">
        <f>IFERROR(__xludf.DUMMYFUNCTION("""COMPUTED_VALUE"""),"69 - Channel")</f>
        <v>69 - Channel</v>
      </c>
      <c r="B77" s="4" t="s">
        <v>14</v>
      </c>
      <c r="C77" s="6">
        <v>0.5666550925925926</v>
      </c>
      <c r="D77" s="4" t="s">
        <v>158</v>
      </c>
      <c r="E77" s="56"/>
    </row>
    <row r="78">
      <c r="A78" s="4" t="str">
        <f>IFERROR(__xludf.DUMMYFUNCTION("""COMPUTED_VALUE"""),"1399 - Channel")</f>
        <v>1399 - Channel</v>
      </c>
      <c r="B78" s="4" t="s">
        <v>14</v>
      </c>
      <c r="C78" s="6">
        <v>0.5668865740740741</v>
      </c>
      <c r="D78" s="4" t="s">
        <v>159</v>
      </c>
      <c r="E78" s="81" t="s">
        <v>4373</v>
      </c>
    </row>
    <row r="79">
      <c r="A79" s="4" t="str">
        <f>IFERROR(__xludf.DUMMYFUNCTION("""COMPUTED_VALUE"""),"2242 - Channel")</f>
        <v>2242 - Channel</v>
      </c>
      <c r="B79" s="4" t="s">
        <v>14</v>
      </c>
      <c r="C79" s="6">
        <v>0.5689699074074074</v>
      </c>
      <c r="D79" s="4" t="s">
        <v>86</v>
      </c>
      <c r="E79" s="56"/>
    </row>
    <row r="80">
      <c r="A80" s="4" t="str">
        <f>IFERROR(__xludf.DUMMYFUNCTION("""COMPUTED_VALUE"""),"1395 - Channel")</f>
        <v>1395 - Channel</v>
      </c>
      <c r="B80" s="4" t="s">
        <v>14</v>
      </c>
      <c r="C80" s="6">
        <v>0.5692013888888888</v>
      </c>
      <c r="D80" s="4" t="s">
        <v>80</v>
      </c>
      <c r="E80" s="56"/>
    </row>
    <row r="81">
      <c r="A81" s="4" t="str">
        <f>IFERROR(__xludf.DUMMYFUNCTION("""COMPUTED_VALUE"""),"311 - Channel")</f>
        <v>311 - Channel</v>
      </c>
      <c r="B81" s="4" t="s">
        <v>14</v>
      </c>
      <c r="C81" s="6">
        <v>0.5695486111111111</v>
      </c>
      <c r="D81" s="4" t="s">
        <v>91</v>
      </c>
      <c r="E81" s="56"/>
    </row>
    <row r="82">
      <c r="A82" s="4" t="str">
        <f>IFERROR(__xludf.DUMMYFUNCTION("""COMPUTED_VALUE"""),"312 - Channel")</f>
        <v>312 - Channel</v>
      </c>
      <c r="B82" s="4" t="s">
        <v>14</v>
      </c>
      <c r="C82" s="6">
        <v>0.5697800925925925</v>
      </c>
      <c r="D82" s="4" t="s">
        <v>160</v>
      </c>
      <c r="E82" s="81" t="s">
        <v>1813</v>
      </c>
    </row>
    <row r="83">
      <c r="A83" s="4" t="str">
        <f>IFERROR(__xludf.DUMMYFUNCTION("""COMPUTED_VALUE"""),"1801 - Channel")</f>
        <v>1801 - Channel</v>
      </c>
      <c r="B83" s="4" t="s">
        <v>14</v>
      </c>
      <c r="C83" s="6">
        <v>0.5834374999999999</v>
      </c>
      <c r="D83" s="4" t="s">
        <v>91</v>
      </c>
      <c r="E83" s="56"/>
    </row>
    <row r="84">
      <c r="A84" s="4" t="str">
        <f>IFERROR(__xludf.DUMMYFUNCTION("""COMPUTED_VALUE"""),"93 - Channel")</f>
        <v>93 - Channel</v>
      </c>
      <c r="B84" s="4" t="s">
        <v>14</v>
      </c>
      <c r="C84" s="6">
        <v>0.5836689814814814</v>
      </c>
      <c r="D84" s="4" t="s">
        <v>166</v>
      </c>
      <c r="E84" s="81" t="s">
        <v>971</v>
      </c>
    </row>
    <row r="85">
      <c r="A85" s="4" t="str">
        <f>IFERROR(__xludf.DUMMYFUNCTION("""COMPUTED_VALUE"""),"1377 - Channel")</f>
        <v>1377 - Channel</v>
      </c>
      <c r="B85" s="4" t="s">
        <v>14</v>
      </c>
      <c r="C85" s="6"/>
      <c r="D85" s="4"/>
      <c r="E85" s="56"/>
    </row>
    <row r="86">
      <c r="A86" s="4" t="str">
        <f>IFERROR(__xludf.DUMMYFUNCTION("""COMPUTED_VALUE"""),"78 - Channel")</f>
        <v>78 - Channel</v>
      </c>
      <c r="B86" s="4" t="s">
        <v>14</v>
      </c>
      <c r="C86" s="6">
        <v>0.589710648148148</v>
      </c>
      <c r="D86" s="4" t="s">
        <v>168</v>
      </c>
      <c r="E86" s="56"/>
    </row>
    <row r="87">
      <c r="A87" s="4" t="str">
        <f>IFERROR(__xludf.DUMMYFUNCTION("""COMPUTED_VALUE"""),"1655 - Channel")</f>
        <v>1655 - Channel</v>
      </c>
      <c r="B87" s="4" t="s">
        <v>14</v>
      </c>
      <c r="C87" s="6">
        <v>0.5904050925925924</v>
      </c>
      <c r="D87" s="4" t="s">
        <v>88</v>
      </c>
      <c r="E87" s="56"/>
    </row>
    <row r="88">
      <c r="A88" s="4" t="str">
        <f>IFERROR(__xludf.DUMMYFUNCTION("""COMPUTED_VALUE"""),"18 - Channel")</f>
        <v>18 - Channel</v>
      </c>
      <c r="B88" s="4" t="s">
        <v>14</v>
      </c>
      <c r="C88" s="6">
        <v>0.5907523148148147</v>
      </c>
      <c r="D88" s="4" t="s">
        <v>91</v>
      </c>
      <c r="E88" s="56"/>
    </row>
    <row r="89">
      <c r="A89" s="4" t="str">
        <f>IFERROR(__xludf.DUMMYFUNCTION("""COMPUTED_VALUE"""),"19 - Channel")</f>
        <v>19 - Channel</v>
      </c>
      <c r="B89" s="4" t="s">
        <v>14</v>
      </c>
      <c r="C89" s="6">
        <v>0.5909837962962962</v>
      </c>
      <c r="D89" s="4" t="s">
        <v>169</v>
      </c>
      <c r="E89" s="81" t="s">
        <v>678</v>
      </c>
    </row>
    <row r="90">
      <c r="A90" s="4" t="str">
        <f>IFERROR(__xludf.DUMMYFUNCTION("""COMPUTED_VALUE"""),"81 - Channel")</f>
        <v>81 - Channel</v>
      </c>
      <c r="B90" s="4" t="s">
        <v>14</v>
      </c>
      <c r="C90" s="6">
        <v>0.5972337962962961</v>
      </c>
      <c r="D90" s="4" t="s">
        <v>172</v>
      </c>
      <c r="E90" s="56"/>
    </row>
    <row r="91">
      <c r="A91" s="4" t="str">
        <f>IFERROR(__xludf.DUMMYFUNCTION("""COMPUTED_VALUE"""),"82 - Channel")</f>
        <v>82 - Channel</v>
      </c>
      <c r="B91" s="4" t="s">
        <v>14</v>
      </c>
      <c r="C91" s="6">
        <v>0.5974652777777776</v>
      </c>
      <c r="D91" s="4" t="s">
        <v>173</v>
      </c>
      <c r="E91" s="56"/>
    </row>
    <row r="92">
      <c r="A92" s="4" t="str">
        <f>IFERROR(__xludf.DUMMYFUNCTION("""COMPUTED_VALUE"""),"2243 - Channel")</f>
        <v>2243 - Channel</v>
      </c>
      <c r="B92" s="4" t="s">
        <v>14</v>
      </c>
      <c r="C92" s="6">
        <v>0.5995486111111109</v>
      </c>
      <c r="D92" s="4" t="s">
        <v>86</v>
      </c>
      <c r="E92" s="56"/>
    </row>
    <row r="93">
      <c r="A93" s="4" t="str">
        <f>IFERROR(__xludf.DUMMYFUNCTION("""COMPUTED_VALUE"""),"1435 - Channel")</f>
        <v>1435 - Channel</v>
      </c>
      <c r="B93" s="4" t="s">
        <v>14</v>
      </c>
      <c r="C93" s="6">
        <v>0.5995486111111109</v>
      </c>
      <c r="D93" s="4" t="s">
        <v>80</v>
      </c>
      <c r="E93" s="56"/>
    </row>
    <row r="94">
      <c r="A94" s="4" t="str">
        <f>IFERROR(__xludf.DUMMYFUNCTION("""COMPUTED_VALUE"""),"85 - Channel")</f>
        <v>85 - Channel</v>
      </c>
      <c r="B94" s="4" t="s">
        <v>14</v>
      </c>
      <c r="C94" s="6">
        <v>0.5998958333333332</v>
      </c>
      <c r="D94" s="4" t="s">
        <v>81</v>
      </c>
      <c r="E94" s="56"/>
    </row>
    <row r="95">
      <c r="A95" s="4" t="str">
        <f>IFERROR(__xludf.DUMMYFUNCTION("""COMPUTED_VALUE"""),"86 - Channel")</f>
        <v>86 - Channel</v>
      </c>
      <c r="B95" s="4" t="s">
        <v>14</v>
      </c>
      <c r="C95" s="6">
        <v>0.6001273148148146</v>
      </c>
      <c r="D95" s="4" t="s">
        <v>174</v>
      </c>
      <c r="E95" s="81" t="s">
        <v>945</v>
      </c>
    </row>
    <row r="96">
      <c r="A96" s="4" t="str">
        <f>IFERROR(__xludf.DUMMYFUNCTION("""COMPUTED_VALUE"""),"1649 - Channel")</f>
        <v>1649 - Channel</v>
      </c>
      <c r="B96" s="4" t="s">
        <v>14</v>
      </c>
      <c r="C96" s="6">
        <v>0.6083680555555554</v>
      </c>
      <c r="D96" s="4" t="s">
        <v>88</v>
      </c>
      <c r="E96" s="56"/>
    </row>
    <row r="97">
      <c r="A97" s="4" t="str">
        <f>IFERROR(__xludf.DUMMYFUNCTION("""COMPUTED_VALUE"""),"1607 - Channel")</f>
        <v>1607 - Channel</v>
      </c>
      <c r="B97" s="4" t="s">
        <v>14</v>
      </c>
      <c r="C97" s="6">
        <v>0.6087152777777777</v>
      </c>
      <c r="D97" s="4" t="s">
        <v>80</v>
      </c>
      <c r="E97" s="56"/>
    </row>
    <row r="98">
      <c r="A98" s="4" t="str">
        <f>IFERROR(__xludf.DUMMYFUNCTION("""COMPUTED_VALUE"""),"1412 - Channel")</f>
        <v>1412 - Channel</v>
      </c>
      <c r="B98" s="4" t="s">
        <v>14</v>
      </c>
      <c r="C98" s="6">
        <v>0.609236111111111</v>
      </c>
      <c r="D98" s="4" t="s">
        <v>178</v>
      </c>
      <c r="E98" s="56"/>
    </row>
    <row r="99">
      <c r="A99" s="4" t="str">
        <f>IFERROR(__xludf.DUMMYFUNCTION("""COMPUTED_VALUE"""),"310 - Channel")</f>
        <v>310 - Channel</v>
      </c>
      <c r="B99" s="4" t="s">
        <v>14</v>
      </c>
      <c r="C99" s="6">
        <v>0.6094675925925924</v>
      </c>
      <c r="D99" s="4" t="s">
        <v>179</v>
      </c>
      <c r="E99" s="56"/>
    </row>
    <row r="100">
      <c r="A100" s="4" t="str">
        <f>IFERROR(__xludf.DUMMYFUNCTION("""COMPUTED_VALUE"""),"2244 - Channel")</f>
        <v>2244 - Channel</v>
      </c>
      <c r="B100" s="4" t="s">
        <v>14</v>
      </c>
      <c r="C100" s="6">
        <v>0.6115509259259257</v>
      </c>
      <c r="D100" s="4" t="s">
        <v>86</v>
      </c>
      <c r="E100" s="56"/>
    </row>
    <row r="101">
      <c r="A101" s="4" t="str">
        <f>IFERROR(__xludf.DUMMYFUNCTION("""COMPUTED_VALUE"""),"606 - Channel")</f>
        <v>606 - Channel</v>
      </c>
      <c r="B101" s="4" t="s">
        <v>14</v>
      </c>
      <c r="C101" s="6">
        <v>0.6117824074074072</v>
      </c>
      <c r="D101" s="4" t="s">
        <v>91</v>
      </c>
      <c r="E101" s="56"/>
    </row>
    <row r="102">
      <c r="A102" s="4" t="str">
        <f>IFERROR(__xludf.DUMMYFUNCTION("""COMPUTED_VALUE"""),"446 - Channel")</f>
        <v>446 - Channel</v>
      </c>
      <c r="B102" s="4" t="s">
        <v>14</v>
      </c>
      <c r="C102" s="6">
        <v>0.6120138888888886</v>
      </c>
      <c r="D102" s="4" t="s">
        <v>180</v>
      </c>
      <c r="E102" s="81" t="s">
        <v>2027</v>
      </c>
    </row>
    <row r="103">
      <c r="A103" s="4" t="str">
        <f>IFERROR(__xludf.DUMMYFUNCTION("""COMPUTED_VALUE"""),"327 - Channel")</f>
        <v>327 - Channel</v>
      </c>
      <c r="B103" s="4" t="s">
        <v>14</v>
      </c>
      <c r="C103" s="6">
        <v>0.6220370370370368</v>
      </c>
      <c r="D103" s="4" t="s">
        <v>91</v>
      </c>
      <c r="E103" s="56"/>
    </row>
    <row r="104">
      <c r="A104" s="4" t="str">
        <f>IFERROR(__xludf.DUMMYFUNCTION("""COMPUTED_VALUE"""),"317 - Channel")</f>
        <v>317 - Channel</v>
      </c>
      <c r="B104" s="4" t="s">
        <v>14</v>
      </c>
      <c r="C104" s="6">
        <v>0.6222685185185183</v>
      </c>
      <c r="D104" s="4" t="s">
        <v>185</v>
      </c>
      <c r="E104" s="81" t="s">
        <v>1824</v>
      </c>
    </row>
    <row r="105">
      <c r="A105" s="4" t="str">
        <f>IFERROR(__xludf.DUMMYFUNCTION("""COMPUTED_VALUE"""),"95 - Channel")</f>
        <v>95 - Channel</v>
      </c>
      <c r="B105" s="4" t="s">
        <v>14</v>
      </c>
      <c r="C105" s="6"/>
      <c r="D105" s="4"/>
      <c r="E105" s="56"/>
    </row>
    <row r="106">
      <c r="A106" s="4" t="str">
        <f>IFERROR(__xludf.DUMMYFUNCTION("""COMPUTED_VALUE"""),"1816 - Channel")</f>
        <v>1816 - Channel</v>
      </c>
      <c r="B106" s="4" t="s">
        <v>14</v>
      </c>
      <c r="C106" s="6">
        <v>0.6290162037037035</v>
      </c>
      <c r="D106" s="4" t="s">
        <v>187</v>
      </c>
      <c r="E106" s="56"/>
    </row>
    <row r="107">
      <c r="A107" s="4" t="str">
        <f>IFERROR(__xludf.DUMMYFUNCTION("""COMPUTED_VALUE"""),"1961 - Channel")</f>
        <v>1961 - Channel</v>
      </c>
      <c r="B107" s="4" t="s">
        <v>14</v>
      </c>
      <c r="C107" s="6">
        <v>0.6293634259259258</v>
      </c>
      <c r="D107" s="4" t="s">
        <v>188</v>
      </c>
      <c r="E107" s="56"/>
    </row>
    <row r="108">
      <c r="A108" s="4" t="str">
        <f>IFERROR(__xludf.DUMMYFUNCTION("""COMPUTED_VALUE"""),"115 - Channel")</f>
        <v>115 - Channel</v>
      </c>
      <c r="B108" s="4" t="s">
        <v>14</v>
      </c>
      <c r="C108" s="6">
        <v>0.6300578703703702</v>
      </c>
      <c r="D108" s="4" t="s">
        <v>91</v>
      </c>
      <c r="E108" s="56"/>
    </row>
    <row r="109">
      <c r="A109" s="4" t="str">
        <f>IFERROR(__xludf.DUMMYFUNCTION("""COMPUTED_VALUE"""),"90 - Channel")</f>
        <v>90 - Channel</v>
      </c>
      <c r="B109" s="4" t="s">
        <v>14</v>
      </c>
      <c r="C109" s="6">
        <v>0.6302893518518516</v>
      </c>
      <c r="D109" s="4" t="s">
        <v>190</v>
      </c>
      <c r="E109" s="81" t="s">
        <v>958</v>
      </c>
    </row>
    <row r="110">
      <c r="A110" s="4" t="str">
        <f>IFERROR(__xludf.DUMMYFUNCTION("""COMPUTED_VALUE"""),"15 - Channel")</f>
        <v>15 - Channel</v>
      </c>
      <c r="B110" s="4" t="s">
        <v>14</v>
      </c>
      <c r="C110" s="6">
        <v>0.6389699074074072</v>
      </c>
      <c r="D110" s="4" t="s">
        <v>194</v>
      </c>
      <c r="E110" s="56"/>
    </row>
    <row r="111">
      <c r="A111" s="4" t="str">
        <f>IFERROR(__xludf.DUMMYFUNCTION("""COMPUTED_VALUE"""),"16 - Channel")</f>
        <v>16 - Channel</v>
      </c>
      <c r="B111" s="4" t="s">
        <v>14</v>
      </c>
      <c r="C111" s="6">
        <v>0.6392013888888887</v>
      </c>
      <c r="D111" s="4" t="s">
        <v>196</v>
      </c>
      <c r="E111" s="56"/>
    </row>
    <row r="112">
      <c r="A112" s="4" t="str">
        <f>IFERROR(__xludf.DUMMYFUNCTION("""COMPUTED_VALUE"""),"2245 - Channel")</f>
        <v>2245 - Channel</v>
      </c>
      <c r="B112" s="4" t="s">
        <v>14</v>
      </c>
      <c r="C112" s="6">
        <v>0.641284722222222</v>
      </c>
      <c r="D112" s="4" t="s">
        <v>86</v>
      </c>
      <c r="E112" s="56"/>
    </row>
    <row r="113">
      <c r="A113" s="4" t="str">
        <f>IFERROR(__xludf.DUMMYFUNCTION("""COMPUTED_VALUE"""),"1812 - Channel")</f>
        <v>1812 - Channel</v>
      </c>
      <c r="B113" s="4" t="s">
        <v>14</v>
      </c>
      <c r="C113" s="6">
        <v>0.6415162037037034</v>
      </c>
      <c r="D113" s="4" t="s">
        <v>187</v>
      </c>
      <c r="E113" s="56"/>
    </row>
    <row r="114">
      <c r="A114" s="4" t="str">
        <f>IFERROR(__xludf.DUMMYFUNCTION("""COMPUTED_VALUE"""),"160 - Channel")</f>
        <v>160 - Channel</v>
      </c>
      <c r="B114" s="4" t="s">
        <v>14</v>
      </c>
      <c r="C114" s="6">
        <v>0.6418634259259257</v>
      </c>
      <c r="D114" s="4" t="s">
        <v>91</v>
      </c>
      <c r="E114" s="56"/>
    </row>
    <row r="115">
      <c r="A115" s="4" t="str">
        <f>IFERROR(__xludf.DUMMYFUNCTION("""COMPUTED_VALUE"""),"161 - Channel")</f>
        <v>161 - Channel</v>
      </c>
      <c r="B115" s="4" t="s">
        <v>14</v>
      </c>
      <c r="C115" s="6">
        <v>0.6420949074074072</v>
      </c>
      <c r="D115" s="4" t="s">
        <v>197</v>
      </c>
      <c r="E115" s="81" t="s">
        <v>1238</v>
      </c>
    </row>
    <row r="116">
      <c r="A116" s="4" t="str">
        <f>IFERROR(__xludf.DUMMYFUNCTION("""COMPUTED_VALUE"""),"1954 - Channel")</f>
        <v>1954 - Channel</v>
      </c>
      <c r="B116" s="4" t="s">
        <v>14</v>
      </c>
      <c r="C116" s="6">
        <v>0.6535532407407405</v>
      </c>
      <c r="D116" s="4" t="s">
        <v>80</v>
      </c>
      <c r="E116" s="56"/>
    </row>
    <row r="117">
      <c r="A117" s="4" t="str">
        <f>IFERROR(__xludf.DUMMYFUNCTION("""COMPUTED_VALUE"""),"1808 - Channel")</f>
        <v>1808 - Channel</v>
      </c>
      <c r="B117" s="4" t="s">
        <v>14</v>
      </c>
      <c r="C117" s="6">
        <v>0.6540740740740738</v>
      </c>
      <c r="D117" s="4" t="s">
        <v>68</v>
      </c>
      <c r="E117" s="56"/>
    </row>
    <row r="118">
      <c r="A118" s="4" t="str">
        <f>IFERROR(__xludf.DUMMYFUNCTION("""COMPUTED_VALUE"""),"1807 - Channel")</f>
        <v>1807 - Channel</v>
      </c>
      <c r="B118" s="4" t="s">
        <v>14</v>
      </c>
      <c r="C118" s="6">
        <v>0.6551157407407405</v>
      </c>
      <c r="D118" s="4"/>
      <c r="E118" s="56"/>
    </row>
    <row r="119">
      <c r="A119" s="4" t="str">
        <f>IFERROR(__xludf.DUMMYFUNCTION("""COMPUTED_VALUE"""),"1806 - Channel")</f>
        <v>1806 - Channel</v>
      </c>
      <c r="B119" s="4" t="s">
        <v>14</v>
      </c>
      <c r="C119" s="6">
        <v>0.655347222222222</v>
      </c>
      <c r="D119" s="4" t="s">
        <v>202</v>
      </c>
      <c r="E119" s="56"/>
    </row>
    <row r="120">
      <c r="A120" s="4" t="str">
        <f>IFERROR(__xludf.DUMMYFUNCTION("""COMPUTED_VALUE"""),"1385 - Channel")</f>
        <v>1385 - Channel</v>
      </c>
      <c r="B120" s="4" t="s">
        <v>14</v>
      </c>
      <c r="C120" s="6"/>
      <c r="D120" s="4"/>
      <c r="E120" s="56"/>
    </row>
    <row r="121">
      <c r="A121" s="4" t="str">
        <f>IFERROR(__xludf.DUMMYFUNCTION("""COMPUTED_VALUE"""),"114 - Channel")</f>
        <v>114 - Channel</v>
      </c>
      <c r="B121" s="4" t="s">
        <v>14</v>
      </c>
      <c r="C121" s="6">
        <v>0.6692361111111108</v>
      </c>
      <c r="D121" s="4" t="s">
        <v>205</v>
      </c>
      <c r="E121" s="56"/>
    </row>
    <row r="122">
      <c r="A122" s="4" t="str">
        <f>IFERROR(__xludf.DUMMYFUNCTION("""COMPUTED_VALUE"""),"1957 - Channel")</f>
        <v>1957 - Channel</v>
      </c>
      <c r="B122" s="4" t="s">
        <v>14</v>
      </c>
      <c r="C122" s="6">
        <v>0.6699305555555553</v>
      </c>
      <c r="D122" s="4" t="s">
        <v>80</v>
      </c>
      <c r="E122" s="56"/>
    </row>
    <row r="123">
      <c r="A123" s="4" t="str">
        <f>IFERROR(__xludf.DUMMYFUNCTION("""COMPUTED_VALUE"""),"2281 - Channel")</f>
        <v>2281 - Channel</v>
      </c>
      <c r="B123" s="4" t="s">
        <v>14</v>
      </c>
      <c r="C123" s="6">
        <v>0.6702777777777775</v>
      </c>
      <c r="D123" s="4" t="s">
        <v>91</v>
      </c>
      <c r="E123" s="56"/>
    </row>
    <row r="124">
      <c r="A124" s="4" t="str">
        <f>IFERROR(__xludf.DUMMYFUNCTION("""COMPUTED_VALUE"""),"2279 - Channel")</f>
        <v>2279 - Channel</v>
      </c>
      <c r="B124" s="4" t="s">
        <v>14</v>
      </c>
      <c r="C124" s="6">
        <v>0.670509259259259</v>
      </c>
      <c r="D124" s="4" t="s">
        <v>206</v>
      </c>
      <c r="E124" s="81" t="s">
        <v>4433</v>
      </c>
    </row>
    <row r="125">
      <c r="A125" s="4" t="str">
        <f>IFERROR(__xludf.DUMMYFUNCTION("""COMPUTED_VALUE"""),"119 - Channel")</f>
        <v>119 - Channel</v>
      </c>
      <c r="B125" s="4" t="s">
        <v>14</v>
      </c>
      <c r="C125" s="6">
        <v>0.6849305555555553</v>
      </c>
      <c r="D125" s="4" t="s">
        <v>209</v>
      </c>
      <c r="E125" s="56"/>
    </row>
    <row r="126">
      <c r="A126" s="4" t="str">
        <f>IFERROR(__xludf.DUMMYFUNCTION("""COMPUTED_VALUE"""),"120 - Channel")</f>
        <v>120 - Channel</v>
      </c>
      <c r="B126" s="4" t="s">
        <v>14</v>
      </c>
      <c r="C126" s="6">
        <v>0.6851620370370367</v>
      </c>
      <c r="D126" s="4" t="s">
        <v>211</v>
      </c>
      <c r="E126" s="81" t="s">
        <v>1072</v>
      </c>
    </row>
    <row r="127">
      <c r="A127" s="4" t="str">
        <f>IFERROR(__xludf.DUMMYFUNCTION("""COMPUTED_VALUE"""),"2246 - Channel")</f>
        <v>2246 - Channel</v>
      </c>
      <c r="B127" s="4" t="s">
        <v>14</v>
      </c>
      <c r="C127" s="6">
        <v>0.68724537037037</v>
      </c>
      <c r="D127" s="4" t="s">
        <v>86</v>
      </c>
      <c r="E127" s="56"/>
    </row>
    <row r="128">
      <c r="A128" s="4" t="str">
        <f>IFERROR(__xludf.DUMMYFUNCTION("""COMPUTED_VALUE"""),"1386 - Channel")</f>
        <v>1386 - Channel</v>
      </c>
      <c r="B128" s="4" t="s">
        <v>14</v>
      </c>
      <c r="C128" s="6">
        <v>0.68724537037037</v>
      </c>
      <c r="D128" s="4" t="s">
        <v>88</v>
      </c>
      <c r="E128" s="56"/>
    </row>
    <row r="129">
      <c r="A129" s="4" t="str">
        <f>IFERROR(__xludf.DUMMYFUNCTION("""COMPUTED_VALUE"""),"1471 - Channel")</f>
        <v>1471 - Channel</v>
      </c>
      <c r="B129" s="4" t="s">
        <v>14</v>
      </c>
      <c r="C129" s="6">
        <v>0.6875925925925923</v>
      </c>
      <c r="D129" s="4" t="s">
        <v>91</v>
      </c>
      <c r="E129" s="56"/>
    </row>
    <row r="130">
      <c r="A130" s="4" t="str">
        <f>IFERROR(__xludf.DUMMYFUNCTION("""COMPUTED_VALUE"""),"1472 - Channel")</f>
        <v>1472 - Channel</v>
      </c>
      <c r="B130" s="4" t="s">
        <v>14</v>
      </c>
      <c r="C130" s="6">
        <v>0.6878240740740738</v>
      </c>
      <c r="D130" s="4" t="s">
        <v>212</v>
      </c>
      <c r="E130" s="56"/>
    </row>
    <row r="131">
      <c r="A131" s="4" t="str">
        <f>IFERROR(__xludf.DUMMYFUNCTION("""COMPUTED_VALUE"""),"126 - Channel")</f>
        <v>126 - Channel</v>
      </c>
      <c r="B131" s="4" t="s">
        <v>14</v>
      </c>
      <c r="C131" s="6">
        <v>0.7017129629629626</v>
      </c>
      <c r="D131" s="4" t="s">
        <v>80</v>
      </c>
      <c r="E131" s="56"/>
    </row>
    <row r="132">
      <c r="A132" s="4" t="str">
        <f>IFERROR(__xludf.DUMMYFUNCTION("""COMPUTED_VALUE"""),"1962 - Channel")</f>
        <v>1962 - Channel</v>
      </c>
      <c r="B132" s="4" t="s">
        <v>14</v>
      </c>
      <c r="C132" s="6">
        <v>0.7020601851851849</v>
      </c>
      <c r="D132" s="4" t="s">
        <v>215</v>
      </c>
      <c r="E132" s="56"/>
    </row>
    <row r="133">
      <c r="A133" s="4" t="str">
        <f>IFERROR(__xludf.DUMMYFUNCTION("""COMPUTED_VALUE"""),"1963 - Channel")</f>
        <v>1963 - Channel</v>
      </c>
      <c r="B133" s="4" t="s">
        <v>14</v>
      </c>
      <c r="C133" s="6">
        <v>0.7022916666666663</v>
      </c>
      <c r="D133" s="4" t="s">
        <v>216</v>
      </c>
      <c r="E133" s="81" t="s">
        <v>4437</v>
      </c>
    </row>
    <row r="134">
      <c r="A134" s="4" t="str">
        <f>IFERROR(__xludf.DUMMYFUNCTION("""COMPUTED_VALUE"""),"2247 - Channel")</f>
        <v>2247 - Channel</v>
      </c>
      <c r="B134" s="4" t="s">
        <v>14</v>
      </c>
      <c r="C134" s="6">
        <v>0.7043749999999996</v>
      </c>
      <c r="D134" s="4" t="s">
        <v>86</v>
      </c>
      <c r="E134" s="56"/>
    </row>
    <row r="135">
      <c r="A135" s="4" t="str">
        <f>IFERROR(__xludf.DUMMYFUNCTION("""COMPUTED_VALUE"""),"1388 - Channel")</f>
        <v>1388 - Channel</v>
      </c>
      <c r="B135" s="4" t="s">
        <v>14</v>
      </c>
      <c r="C135" s="6">
        <v>0.7046064814814811</v>
      </c>
      <c r="D135" s="4" t="s">
        <v>80</v>
      </c>
      <c r="E135" s="56"/>
    </row>
    <row r="136">
      <c r="A136" s="4" t="str">
        <f>IFERROR(__xludf.DUMMYFUNCTION("""COMPUTED_VALUE"""),"47 - Channel")</f>
        <v>47 - Channel</v>
      </c>
      <c r="B136" s="4" t="s">
        <v>14</v>
      </c>
      <c r="C136" s="6">
        <v>0.7049537037037034</v>
      </c>
      <c r="D136" s="4" t="s">
        <v>91</v>
      </c>
      <c r="E136" s="56"/>
    </row>
    <row r="137">
      <c r="A137" s="4" t="str">
        <f>IFERROR(__xludf.DUMMYFUNCTION("""COMPUTED_VALUE"""),"1275 - Channel")</f>
        <v>1275 - Channel</v>
      </c>
      <c r="B137" s="4" t="s">
        <v>14</v>
      </c>
      <c r="C137" s="6">
        <v>0.7051851851851848</v>
      </c>
      <c r="D137" s="4" t="s">
        <v>217</v>
      </c>
      <c r="E137" s="56"/>
    </row>
    <row r="138">
      <c r="A138" s="4" t="str">
        <f>IFERROR(__xludf.DUMMYFUNCTION("""COMPUTED_VALUE"""),"131 - Channel")</f>
        <v>131 - Channel</v>
      </c>
      <c r="B138" s="4" t="s">
        <v>14</v>
      </c>
      <c r="C138" s="6">
        <v>0.7156018518518514</v>
      </c>
      <c r="D138" s="4" t="s">
        <v>219</v>
      </c>
      <c r="E138" s="56"/>
    </row>
    <row r="139">
      <c r="A139" s="4" t="str">
        <f>IFERROR(__xludf.DUMMYFUNCTION("""COMPUTED_VALUE"""),"132 - Channel")</f>
        <v>132 - Channel</v>
      </c>
      <c r="B139" s="4" t="s">
        <v>220</v>
      </c>
      <c r="C139" s="6"/>
      <c r="D139" s="4"/>
      <c r="E139" s="56"/>
    </row>
    <row r="140">
      <c r="A140" s="4" t="str">
        <f>IFERROR(__xludf.DUMMYFUNCTION("""COMPUTED_VALUE"""),"133 - Channel")</f>
        <v>133 - Channel</v>
      </c>
      <c r="B140" s="4" t="s">
        <v>14</v>
      </c>
      <c r="C140" s="6"/>
      <c r="D140" s="4"/>
      <c r="E140" s="56"/>
    </row>
    <row r="141">
      <c r="A141" s="4" t="str">
        <f>IFERROR(__xludf.DUMMYFUNCTION("""COMPUTED_VALUE"""),"134 - Channel")</f>
        <v>134 - Channel</v>
      </c>
      <c r="B141" s="4" t="s">
        <v>14</v>
      </c>
      <c r="C141" s="6">
        <v>0.4166666666666667</v>
      </c>
      <c r="D141" s="4" t="s">
        <v>68</v>
      </c>
      <c r="E141" s="56"/>
    </row>
    <row r="142">
      <c r="A142" s="4" t="str">
        <f>IFERROR(__xludf.DUMMYFUNCTION("""COMPUTED_VALUE"""),"135 - Channel")</f>
        <v>135 - Channel</v>
      </c>
      <c r="B142" s="4" t="s">
        <v>14</v>
      </c>
      <c r="C142" s="6">
        <v>0.41770833333333335</v>
      </c>
      <c r="D142" s="4" t="s">
        <v>222</v>
      </c>
      <c r="E142" s="56"/>
    </row>
    <row r="143">
      <c r="A143" s="4" t="str">
        <f>IFERROR(__xludf.DUMMYFUNCTION("""COMPUTED_VALUE"""),"1811 - Channel")</f>
        <v>1811 - Channel</v>
      </c>
      <c r="B143" s="4" t="s">
        <v>14</v>
      </c>
      <c r="C143" s="6">
        <v>0.4184027777777778</v>
      </c>
      <c r="D143" s="4" t="s">
        <v>80</v>
      </c>
      <c r="E143" s="56"/>
    </row>
    <row r="144">
      <c r="A144" s="4" t="str">
        <f>IFERROR(__xludf.DUMMYFUNCTION("""COMPUTED_VALUE"""),"2295 - Channel")</f>
        <v>2295 - Channel</v>
      </c>
      <c r="B144" s="4" t="s">
        <v>14</v>
      </c>
      <c r="C144" s="6">
        <v>0.41875</v>
      </c>
      <c r="D144" s="4" t="s">
        <v>91</v>
      </c>
      <c r="E144" s="56"/>
    </row>
    <row r="145">
      <c r="A145" s="4" t="str">
        <f>IFERROR(__xludf.DUMMYFUNCTION("""COMPUTED_VALUE"""),"2283 - Channel")</f>
        <v>2283 - Channel</v>
      </c>
      <c r="B145" s="4" t="s">
        <v>14</v>
      </c>
      <c r="C145" s="6">
        <v>0.4189814814814815</v>
      </c>
      <c r="D145" s="4" t="s">
        <v>223</v>
      </c>
      <c r="E145" s="56"/>
    </row>
    <row r="146">
      <c r="A146" s="4" t="str">
        <f>IFERROR(__xludf.DUMMYFUNCTION("""COMPUTED_VALUE"""),"139 - Channel")</f>
        <v>139 - Channel</v>
      </c>
      <c r="B146" s="4" t="s">
        <v>14</v>
      </c>
      <c r="C146" s="6">
        <v>0.43009259259259264</v>
      </c>
      <c r="D146" s="4" t="s">
        <v>225</v>
      </c>
      <c r="E146" s="56"/>
    </row>
    <row r="147">
      <c r="A147" s="4" t="str">
        <f>IFERROR(__xludf.DUMMYFUNCTION("""COMPUTED_VALUE"""),"140 - Channel")</f>
        <v>140 - Channel</v>
      </c>
      <c r="B147" s="4" t="s">
        <v>14</v>
      </c>
      <c r="C147" s="6">
        <v>0.43032407407407414</v>
      </c>
      <c r="D147" s="4" t="s">
        <v>226</v>
      </c>
      <c r="E147" s="56"/>
    </row>
    <row r="148">
      <c r="A148" s="4" t="str">
        <f>IFERROR(__xludf.DUMMYFUNCTION("""COMPUTED_VALUE"""),"2248 - Channel")</f>
        <v>2248 - Channel</v>
      </c>
      <c r="B148" s="4" t="s">
        <v>14</v>
      </c>
      <c r="C148" s="6">
        <v>0.43240740740740746</v>
      </c>
      <c r="D148" s="4" t="s">
        <v>86</v>
      </c>
      <c r="E148" s="56"/>
    </row>
    <row r="149">
      <c r="A149" s="4" t="str">
        <f>IFERROR(__xludf.DUMMYFUNCTION("""COMPUTED_VALUE"""),"1606 - Channel")</f>
        <v>1606 - Channel</v>
      </c>
      <c r="B149" s="4" t="s">
        <v>14</v>
      </c>
      <c r="C149" s="6">
        <v>0.43263888888888896</v>
      </c>
      <c r="D149" s="4" t="s">
        <v>80</v>
      </c>
      <c r="E149" s="56"/>
    </row>
    <row r="150">
      <c r="A150" s="4" t="str">
        <f>IFERROR(__xludf.DUMMYFUNCTION("""COMPUTED_VALUE"""),"1536 - Channel")</f>
        <v>1536 - Channel</v>
      </c>
      <c r="B150" s="4" t="s">
        <v>14</v>
      </c>
      <c r="C150" s="6">
        <v>0.4329861111111112</v>
      </c>
      <c r="D150" s="4" t="s">
        <v>119</v>
      </c>
      <c r="E150" s="56"/>
    </row>
    <row r="151">
      <c r="A151" s="4" t="str">
        <f>IFERROR(__xludf.DUMMYFUNCTION("""COMPUTED_VALUE"""),"1436 - Channel")</f>
        <v>1436 - Channel</v>
      </c>
      <c r="B151" s="4" t="s">
        <v>14</v>
      </c>
      <c r="C151" s="6">
        <v>0.4332175925925927</v>
      </c>
      <c r="D151" s="4" t="s">
        <v>227</v>
      </c>
      <c r="E151" s="81" t="s">
        <v>4444</v>
      </c>
    </row>
    <row r="152">
      <c r="A152" s="4" t="str">
        <f>IFERROR(__xludf.DUMMYFUNCTION("""COMPUTED_VALUE"""),"185 - Channel")</f>
        <v>185 - Channel</v>
      </c>
      <c r="B152" s="4" t="s">
        <v>14</v>
      </c>
      <c r="C152" s="6">
        <v>0.4429398148148149</v>
      </c>
      <c r="D152" s="4" t="s">
        <v>91</v>
      </c>
      <c r="E152" s="56"/>
    </row>
    <row r="153">
      <c r="A153" s="4" t="str">
        <f>IFERROR(__xludf.DUMMYFUNCTION("""COMPUTED_VALUE"""),"1365 - Channel")</f>
        <v>1365 - Channel</v>
      </c>
      <c r="B153" s="4" t="s">
        <v>14</v>
      </c>
      <c r="C153" s="6">
        <v>0.4431712962962964</v>
      </c>
      <c r="D153" s="4" t="s">
        <v>231</v>
      </c>
      <c r="E153" s="81" t="s">
        <v>4446</v>
      </c>
    </row>
    <row r="154">
      <c r="A154" s="4" t="str">
        <f>IFERROR(__xludf.DUMMYFUNCTION("""COMPUTED_VALUE"""),"374 - Channel")</f>
        <v>374 - Channel</v>
      </c>
      <c r="B154" s="4" t="s">
        <v>14</v>
      </c>
      <c r="C154" s="6">
        <v>0.44525462962962975</v>
      </c>
      <c r="D154" s="4" t="s">
        <v>233</v>
      </c>
      <c r="E154" s="56"/>
    </row>
    <row r="155">
      <c r="A155" s="4" t="str">
        <f>IFERROR(__xludf.DUMMYFUNCTION("""COMPUTED_VALUE"""),"375 - Channel")</f>
        <v>375 - Channel</v>
      </c>
      <c r="B155" s="4" t="s">
        <v>14</v>
      </c>
      <c r="C155" s="6">
        <v>0.44548611111111125</v>
      </c>
      <c r="D155" s="4" t="s">
        <v>234</v>
      </c>
      <c r="E155" s="56"/>
    </row>
    <row r="156">
      <c r="A156" s="4" t="str">
        <f>IFERROR(__xludf.DUMMYFUNCTION("""COMPUTED_VALUE"""),"2249 - Channel")</f>
        <v>2249 - Channel</v>
      </c>
      <c r="B156" s="4" t="s">
        <v>14</v>
      </c>
      <c r="C156" s="6">
        <v>0.4475694444444446</v>
      </c>
      <c r="D156" s="4" t="s">
        <v>86</v>
      </c>
      <c r="E156" s="56"/>
    </row>
    <row r="157">
      <c r="A157" s="4" t="str">
        <f>IFERROR(__xludf.DUMMYFUNCTION("""COMPUTED_VALUE"""),"1955 - Channel")</f>
        <v>1955 - Channel</v>
      </c>
      <c r="B157" s="4" t="s">
        <v>14</v>
      </c>
      <c r="C157" s="6">
        <v>0.4478009259259261</v>
      </c>
      <c r="D157" s="4" t="s">
        <v>80</v>
      </c>
      <c r="E157" s="56"/>
    </row>
    <row r="158">
      <c r="A158" s="4" t="str">
        <f>IFERROR(__xludf.DUMMYFUNCTION("""COMPUTED_VALUE"""),"275 - Channel")</f>
        <v>275 - Channel</v>
      </c>
      <c r="B158" s="4" t="s">
        <v>14</v>
      </c>
      <c r="C158" s="6">
        <v>0.4481481481481483</v>
      </c>
      <c r="D158" s="4" t="s">
        <v>81</v>
      </c>
      <c r="E158" s="56"/>
    </row>
    <row r="159">
      <c r="A159" s="4" t="str">
        <f>IFERROR(__xludf.DUMMYFUNCTION("""COMPUTED_VALUE"""),"276 - Channel")</f>
        <v>276 - Channel</v>
      </c>
      <c r="B159" s="4" t="s">
        <v>14</v>
      </c>
      <c r="C159" s="6">
        <v>0.4483796296296298</v>
      </c>
      <c r="D159" s="4" t="s">
        <v>235</v>
      </c>
      <c r="E159" s="81" t="s">
        <v>1650</v>
      </c>
    </row>
    <row r="160">
      <c r="A160" s="4" t="str">
        <f>IFERROR(__xludf.DUMMYFUNCTION("""COMPUTED_VALUE"""),"1517 - Channel")</f>
        <v>1517 - Channel</v>
      </c>
      <c r="B160" s="4" t="s">
        <v>14</v>
      </c>
      <c r="C160" s="6"/>
      <c r="D160" s="4"/>
      <c r="E160" s="56"/>
    </row>
    <row r="161">
      <c r="A161" s="4" t="str">
        <f>IFERROR(__xludf.DUMMYFUNCTION("""COMPUTED_VALUE"""),"152 - Channel")</f>
        <v>152 - Channel</v>
      </c>
      <c r="B161" s="4" t="s">
        <v>14</v>
      </c>
      <c r="C161" s="6">
        <v>0.4587962962962965</v>
      </c>
      <c r="D161" s="4" t="s">
        <v>238</v>
      </c>
      <c r="E161" s="56"/>
    </row>
    <row r="162">
      <c r="A162" s="4" t="str">
        <f>IFERROR(__xludf.DUMMYFUNCTION("""COMPUTED_VALUE"""),"1956 - Channel")</f>
        <v>1956 - Channel</v>
      </c>
      <c r="B162" s="4" t="s">
        <v>14</v>
      </c>
      <c r="C162" s="6">
        <v>0.4594907407407409</v>
      </c>
      <c r="D162" s="4" t="s">
        <v>80</v>
      </c>
      <c r="E162" s="56"/>
    </row>
    <row r="163">
      <c r="A163" s="4" t="str">
        <f>IFERROR(__xludf.DUMMYFUNCTION("""COMPUTED_VALUE"""),"65 - Channel")</f>
        <v>65 - Channel</v>
      </c>
      <c r="B163" s="4" t="s">
        <v>14</v>
      </c>
      <c r="C163" s="6">
        <v>0.4594907407407409</v>
      </c>
      <c r="D163" s="4" t="s">
        <v>91</v>
      </c>
      <c r="E163" s="56"/>
    </row>
    <row r="164">
      <c r="A164" s="4" t="str">
        <f>IFERROR(__xludf.DUMMYFUNCTION("""COMPUTED_VALUE"""),"54 - Channel")</f>
        <v>54 - Channel</v>
      </c>
      <c r="B164" s="4" t="s">
        <v>14</v>
      </c>
      <c r="C164" s="6">
        <v>0.4597222222222224</v>
      </c>
      <c r="D164" s="4" t="s">
        <v>239</v>
      </c>
      <c r="E164" s="56"/>
    </row>
    <row r="165">
      <c r="A165" s="4" t="str">
        <f>IFERROR(__xludf.DUMMYFUNCTION("""COMPUTED_VALUE"""),"156 - Channel")</f>
        <v>156 - Channel</v>
      </c>
      <c r="B165" s="4" t="s">
        <v>14</v>
      </c>
      <c r="C165" s="6">
        <v>0.4701388888888891</v>
      </c>
      <c r="D165" s="4" t="s">
        <v>243</v>
      </c>
      <c r="E165" s="56"/>
    </row>
    <row r="166">
      <c r="A166" s="4" t="str">
        <f>IFERROR(__xludf.DUMMYFUNCTION("""COMPUTED_VALUE"""),"157 - Channel")</f>
        <v>157 - Channel</v>
      </c>
      <c r="B166" s="4" t="s">
        <v>14</v>
      </c>
      <c r="C166" s="6">
        <v>0.4703703703703706</v>
      </c>
      <c r="D166" s="4" t="s">
        <v>244</v>
      </c>
      <c r="E166" s="56"/>
    </row>
    <row r="167">
      <c r="A167" s="4" t="str">
        <f>IFERROR(__xludf.DUMMYFUNCTION("""COMPUTED_VALUE"""),"2250 - Channel")</f>
        <v>2250 - Channel</v>
      </c>
      <c r="B167" s="4" t="s">
        <v>14</v>
      </c>
      <c r="C167" s="6">
        <v>0.47245370370370393</v>
      </c>
      <c r="D167" s="4" t="s">
        <v>86</v>
      </c>
      <c r="E167" s="56"/>
    </row>
    <row r="168">
      <c r="A168" s="4" t="str">
        <f>IFERROR(__xludf.DUMMYFUNCTION("""COMPUTED_VALUE"""),"1809 - Channel")</f>
        <v>1809 - Channel</v>
      </c>
      <c r="B168" s="4" t="s">
        <v>14</v>
      </c>
      <c r="C168" s="6">
        <v>0.47268518518518543</v>
      </c>
      <c r="D168" s="4" t="s">
        <v>187</v>
      </c>
      <c r="E168" s="56"/>
    </row>
    <row r="169">
      <c r="A169" s="4" t="str">
        <f>IFERROR(__xludf.DUMMYFUNCTION("""COMPUTED_VALUE"""),"1513 - Channel")</f>
        <v>1513 - Channel</v>
      </c>
      <c r="B169" s="4" t="s">
        <v>14</v>
      </c>
      <c r="C169" s="6">
        <v>0.47303240740740765</v>
      </c>
      <c r="D169" s="4" t="s">
        <v>91</v>
      </c>
      <c r="E169" s="56"/>
    </row>
    <row r="170">
      <c r="A170" s="4" t="str">
        <f>IFERROR(__xludf.DUMMYFUNCTION("""COMPUTED_VALUE"""),"70 - Channel")</f>
        <v>70 - Channel</v>
      </c>
      <c r="B170" s="4" t="s">
        <v>14</v>
      </c>
      <c r="C170" s="6">
        <v>0.47326388888888915</v>
      </c>
      <c r="D170" s="4" t="s">
        <v>246</v>
      </c>
      <c r="E170" s="81" t="s">
        <v>890</v>
      </c>
    </row>
    <row r="171">
      <c r="A171" s="4" t="str">
        <f>IFERROR(__xludf.DUMMYFUNCTION("""COMPUTED_VALUE"""),"163 - Channel")</f>
        <v>163 - Channel</v>
      </c>
      <c r="B171" s="4" t="s">
        <v>14</v>
      </c>
      <c r="C171" s="6">
        <v>0.4754629629629632</v>
      </c>
      <c r="D171" s="4" t="s">
        <v>91</v>
      </c>
      <c r="E171" s="56"/>
    </row>
    <row r="172">
      <c r="A172" s="4" t="str">
        <f>IFERROR(__xludf.DUMMYFUNCTION("""COMPUTED_VALUE"""),"154 - Channel")</f>
        <v>154 - Channel</v>
      </c>
      <c r="B172" s="4" t="s">
        <v>14</v>
      </c>
      <c r="C172" s="6">
        <v>0.4756944444444447</v>
      </c>
      <c r="D172" s="4" t="s">
        <v>249</v>
      </c>
      <c r="E172" s="56"/>
    </row>
    <row r="173">
      <c r="A173" s="4" t="str">
        <f>IFERROR(__xludf.DUMMYFUNCTION("""COMPUTED_VALUE"""),"153 - Channel")</f>
        <v>153 - Channel</v>
      </c>
      <c r="B173" s="4" t="s">
        <v>14</v>
      </c>
      <c r="C173" s="6">
        <v>0.48541666666666694</v>
      </c>
      <c r="D173" s="4" t="s">
        <v>91</v>
      </c>
      <c r="E173" s="56"/>
    </row>
    <row r="174">
      <c r="A174" s="4" t="str">
        <f>IFERROR(__xludf.DUMMYFUNCTION("""COMPUTED_VALUE"""),"148 - Channel")</f>
        <v>148 - Channel</v>
      </c>
      <c r="B174" s="4" t="s">
        <v>14</v>
      </c>
      <c r="C174" s="6">
        <v>0.48564814814814844</v>
      </c>
      <c r="D174" s="4" t="s">
        <v>250</v>
      </c>
      <c r="E174" s="81" t="s">
        <v>1199</v>
      </c>
    </row>
    <row r="175">
      <c r="A175" s="4" t="str">
        <f>IFERROR(__xludf.DUMMYFUNCTION("""COMPUTED_VALUE"""),"1551 - Channel")</f>
        <v>1551 - Channel</v>
      </c>
      <c r="B175" s="4" t="s">
        <v>14</v>
      </c>
      <c r="C175" s="6">
        <v>0.4953703703703707</v>
      </c>
      <c r="D175" s="4" t="s">
        <v>91</v>
      </c>
      <c r="E175" s="56"/>
    </row>
    <row r="176">
      <c r="A176" s="4" t="str">
        <f>IFERROR(__xludf.DUMMYFUNCTION("""COMPUTED_VALUE"""),"1552 - Channel")</f>
        <v>1552 - Channel</v>
      </c>
      <c r="B176" s="4" t="s">
        <v>14</v>
      </c>
      <c r="C176" s="6">
        <v>0.4956018518518522</v>
      </c>
      <c r="D176" s="4" t="s">
        <v>254</v>
      </c>
      <c r="E176" s="56"/>
    </row>
    <row r="177">
      <c r="A177" s="4" t="str">
        <f>IFERROR(__xludf.DUMMYFUNCTION("""COMPUTED_VALUE"""),"1521 - Channel")</f>
        <v>1521 - Channel</v>
      </c>
      <c r="B177" s="4" t="s">
        <v>14</v>
      </c>
      <c r="C177" s="6"/>
      <c r="D177" s="4"/>
      <c r="E177" s="56"/>
    </row>
    <row r="178">
      <c r="A178" s="4" t="str">
        <f>IFERROR(__xludf.DUMMYFUNCTION("""COMPUTED_VALUE"""),"170 - Channel")</f>
        <v>170 - Channel</v>
      </c>
      <c r="B178" s="4" t="s">
        <v>14</v>
      </c>
      <c r="C178" s="6">
        <v>0.5011574074074078</v>
      </c>
      <c r="D178" s="4" t="s">
        <v>88</v>
      </c>
      <c r="E178" s="56"/>
    </row>
    <row r="179">
      <c r="A179" s="4" t="str">
        <f>IFERROR(__xludf.DUMMYFUNCTION("""COMPUTED_VALUE"""),"1726 - Channel")</f>
        <v>1726 - Channel</v>
      </c>
      <c r="B179" s="4" t="s">
        <v>14</v>
      </c>
      <c r="C179" s="6">
        <v>0.50150462962963</v>
      </c>
      <c r="D179" s="4" t="s">
        <v>256</v>
      </c>
      <c r="E179" s="56"/>
    </row>
    <row r="180">
      <c r="A180" s="4" t="str">
        <f>IFERROR(__xludf.DUMMYFUNCTION("""COMPUTED_VALUE"""),"171 - Channel")</f>
        <v>171 - Channel</v>
      </c>
      <c r="B180" s="4" t="s">
        <v>14</v>
      </c>
      <c r="C180" s="6">
        <v>0.5021990740740745</v>
      </c>
      <c r="D180" s="4" t="s">
        <v>91</v>
      </c>
      <c r="E180" s="56"/>
    </row>
    <row r="181">
      <c r="A181" s="4" t="str">
        <f>IFERROR(__xludf.DUMMYFUNCTION("""COMPUTED_VALUE"""),"328 - Channel")</f>
        <v>328 - Channel</v>
      </c>
      <c r="B181" s="4" t="s">
        <v>14</v>
      </c>
      <c r="C181" s="6">
        <v>0.5024305555555559</v>
      </c>
      <c r="D181" s="4" t="s">
        <v>257</v>
      </c>
      <c r="E181" s="81" t="s">
        <v>1845</v>
      </c>
    </row>
    <row r="182">
      <c r="A182" s="4" t="str">
        <f>IFERROR(__xludf.DUMMYFUNCTION("""COMPUTED_VALUE"""),"1390 - Channel")</f>
        <v>1390 - Channel</v>
      </c>
      <c r="B182" s="4" t="s">
        <v>14</v>
      </c>
      <c r="C182" s="6">
        <v>0.5114583333333337</v>
      </c>
      <c r="D182" s="4" t="s">
        <v>80</v>
      </c>
      <c r="E182" s="56"/>
    </row>
    <row r="183">
      <c r="A183" s="4" t="str">
        <f>IFERROR(__xludf.DUMMYFUNCTION("""COMPUTED_VALUE"""),"174 - Channel")</f>
        <v>174 - Channel</v>
      </c>
      <c r="B183" s="4" t="s">
        <v>14</v>
      </c>
      <c r="C183" s="6">
        <v>0.511805555555556</v>
      </c>
      <c r="D183" s="4" t="s">
        <v>261</v>
      </c>
      <c r="E183" s="56"/>
    </row>
    <row r="184">
      <c r="A184" s="4" t="str">
        <f>IFERROR(__xludf.DUMMYFUNCTION("""COMPUTED_VALUE"""),"176 - Channel")</f>
        <v>176 - Channel</v>
      </c>
      <c r="B184" s="4" t="s">
        <v>14</v>
      </c>
      <c r="C184" s="6">
        <v>0.5120370370370374</v>
      </c>
      <c r="D184" s="4" t="s">
        <v>262</v>
      </c>
      <c r="E184" s="81" t="s">
        <v>1310</v>
      </c>
    </row>
    <row r="185">
      <c r="A185" s="4" t="str">
        <f>IFERROR(__xludf.DUMMYFUNCTION("""COMPUTED_VALUE"""),"2251 - Channel")</f>
        <v>2251 - Channel</v>
      </c>
      <c r="B185" s="4" t="s">
        <v>14</v>
      </c>
      <c r="C185" s="6">
        <v>0.5141203703703707</v>
      </c>
      <c r="D185" s="4" t="s">
        <v>86</v>
      </c>
      <c r="E185" s="56"/>
    </row>
    <row r="186">
      <c r="A186" s="4" t="str">
        <f>IFERROR(__xludf.DUMMYFUNCTION("""COMPUTED_VALUE"""),"1396 - Channel")</f>
        <v>1396 - Channel</v>
      </c>
      <c r="B186" s="4" t="s">
        <v>14</v>
      </c>
      <c r="C186" s="6">
        <v>0.5143518518518522</v>
      </c>
      <c r="D186" s="4" t="s">
        <v>80</v>
      </c>
      <c r="E186" s="56"/>
    </row>
    <row r="187">
      <c r="A187" s="4" t="str">
        <f>IFERROR(__xludf.DUMMYFUNCTION("""COMPUTED_VALUE"""),"362 - Channel")</f>
        <v>362 - Channel</v>
      </c>
      <c r="B187" s="4" t="s">
        <v>14</v>
      </c>
      <c r="C187" s="6">
        <v>0.5146990740740744</v>
      </c>
      <c r="D187" s="4" t="s">
        <v>81</v>
      </c>
      <c r="E187" s="56"/>
    </row>
    <row r="188">
      <c r="A188" s="4" t="str">
        <f>IFERROR(__xludf.DUMMYFUNCTION("""COMPUTED_VALUE"""),"348 - Channel")</f>
        <v>348 - Channel</v>
      </c>
      <c r="B188" s="4" t="s">
        <v>14</v>
      </c>
      <c r="C188" s="6">
        <v>0.5149305555555559</v>
      </c>
      <c r="D188" s="4" t="s">
        <v>263</v>
      </c>
      <c r="E188" s="81" t="s">
        <v>1874</v>
      </c>
    </row>
    <row r="189">
      <c r="A189" s="4" t="str">
        <f>IFERROR(__xludf.DUMMYFUNCTION("""COMPUTED_VALUE"""),"1802 - Channel")</f>
        <v>1802 - Channel</v>
      </c>
      <c r="B189" s="4" t="s">
        <v>14</v>
      </c>
      <c r="C189" s="6">
        <v>0.5283333333333337</v>
      </c>
      <c r="D189" s="4" t="s">
        <v>88</v>
      </c>
      <c r="E189" s="56"/>
    </row>
    <row r="190">
      <c r="A190" s="4" t="str">
        <f>IFERROR(__xludf.DUMMYFUNCTION("""COMPUTED_VALUE"""),"111 - Channel")</f>
        <v>111 - Channel</v>
      </c>
      <c r="B190" s="4" t="s">
        <v>14</v>
      </c>
      <c r="C190" s="6">
        <v>0.5286805555555559</v>
      </c>
      <c r="D190" s="4" t="s">
        <v>91</v>
      </c>
      <c r="E190" s="56"/>
    </row>
    <row r="191">
      <c r="A191" s="4" t="str">
        <f>IFERROR(__xludf.DUMMYFUNCTION("""COMPUTED_VALUE"""),"1602 - Channel")</f>
        <v>1602 - Channel</v>
      </c>
      <c r="B191" s="4" t="s">
        <v>14</v>
      </c>
      <c r="C191" s="6">
        <v>0.5289120370370374</v>
      </c>
      <c r="D191" s="4" t="s">
        <v>267</v>
      </c>
      <c r="E191" s="81" t="s">
        <v>4468</v>
      </c>
    </row>
    <row r="192">
      <c r="A192" s="4" t="str">
        <f>IFERROR(__xludf.DUMMYFUNCTION("""COMPUTED_VALUE"""),"1522 - Channel")</f>
        <v>1522 - Channel</v>
      </c>
      <c r="B192" s="4" t="s">
        <v>14</v>
      </c>
      <c r="C192" s="6">
        <v>0.539328703703704</v>
      </c>
      <c r="D192" s="4"/>
      <c r="E192" s="56"/>
    </row>
    <row r="193">
      <c r="A193" s="4" t="str">
        <f>IFERROR(__xludf.DUMMYFUNCTION("""COMPUTED_VALUE"""),"1393 - Channel")</f>
        <v>1393 - Channel</v>
      </c>
      <c r="B193" s="4" t="s">
        <v>14</v>
      </c>
      <c r="C193" s="6"/>
      <c r="D193" s="4"/>
      <c r="E193" s="56"/>
    </row>
    <row r="194">
      <c r="A194" s="4" t="str">
        <f>IFERROR(__xludf.DUMMYFUNCTION("""COMPUTED_VALUE"""),"188 - Channel")</f>
        <v>188 - Channel</v>
      </c>
      <c r="B194" s="4" t="s">
        <v>14</v>
      </c>
      <c r="C194" s="6">
        <v>0.5403703703703707</v>
      </c>
      <c r="D194" s="4" t="s">
        <v>271</v>
      </c>
      <c r="E194" s="56"/>
    </row>
    <row r="195">
      <c r="A195" s="4" t="str">
        <f>IFERROR(__xludf.DUMMYFUNCTION("""COMPUTED_VALUE"""),"1803 - Channel")</f>
        <v>1803 - Channel</v>
      </c>
      <c r="B195" s="4" t="s">
        <v>14</v>
      </c>
      <c r="C195" s="6">
        <v>0.5410648148148152</v>
      </c>
      <c r="D195" s="4" t="s">
        <v>68</v>
      </c>
      <c r="E195" s="56"/>
    </row>
    <row r="196">
      <c r="A196" s="4" t="str">
        <f>IFERROR(__xludf.DUMMYFUNCTION("""COMPUTED_VALUE"""),"220 - Channel")</f>
        <v>220 - Channel</v>
      </c>
      <c r="B196" s="4" t="s">
        <v>14</v>
      </c>
      <c r="C196" s="6">
        <v>0.5421064814814819</v>
      </c>
      <c r="D196" s="4" t="s">
        <v>91</v>
      </c>
      <c r="E196" s="56"/>
    </row>
    <row r="197">
      <c r="A197" s="4" t="str">
        <f>IFERROR(__xludf.DUMMYFUNCTION("""COMPUTED_VALUE"""),"79 - Channel")</f>
        <v>79 - Channel</v>
      </c>
      <c r="B197" s="4" t="s">
        <v>14</v>
      </c>
      <c r="C197" s="6">
        <v>0.5423379629629633</v>
      </c>
      <c r="D197" s="4" t="s">
        <v>272</v>
      </c>
      <c r="E197" s="81" t="s">
        <v>918</v>
      </c>
    </row>
    <row r="198">
      <c r="A198" s="4" t="str">
        <f>IFERROR(__xludf.DUMMYFUNCTION("""COMPUTED_VALUE"""),"193 - Channel")</f>
        <v>193 - Channel</v>
      </c>
      <c r="B198" s="4" t="s">
        <v>14</v>
      </c>
      <c r="C198" s="6">
        <v>0.5513078703703708</v>
      </c>
      <c r="D198" s="4" t="s">
        <v>274</v>
      </c>
      <c r="E198" s="56"/>
    </row>
    <row r="199">
      <c r="A199" s="4" t="str">
        <f>IFERROR(__xludf.DUMMYFUNCTION("""COMPUTED_VALUE"""),"194 - Channel")</f>
        <v>194 - Channel</v>
      </c>
      <c r="B199" s="4" t="s">
        <v>14</v>
      </c>
      <c r="C199" s="6">
        <v>0.5515393518518522</v>
      </c>
      <c r="D199" s="4" t="s">
        <v>276</v>
      </c>
      <c r="E199" s="56"/>
    </row>
    <row r="200">
      <c r="A200" s="4" t="str">
        <f>IFERROR(__xludf.DUMMYFUNCTION("""COMPUTED_VALUE"""),"2252 - Channel")</f>
        <v>2252 - Channel</v>
      </c>
      <c r="B200" s="4" t="s">
        <v>14</v>
      </c>
      <c r="C200" s="6">
        <v>0.5536226851851855</v>
      </c>
      <c r="D200" s="4" t="s">
        <v>86</v>
      </c>
      <c r="E200" s="56"/>
    </row>
    <row r="201">
      <c r="A201" s="4" t="str">
        <f>IFERROR(__xludf.DUMMYFUNCTION("""COMPUTED_VALUE"""),"166 - Channel")</f>
        <v>166 - Channel</v>
      </c>
      <c r="B201" s="4" t="s">
        <v>14</v>
      </c>
      <c r="C201" s="6">
        <v>0.553854166666667</v>
      </c>
      <c r="D201" s="4" t="s">
        <v>91</v>
      </c>
      <c r="E201" s="56"/>
    </row>
    <row r="202">
      <c r="A202" s="4" t="str">
        <f>IFERROR(__xludf.DUMMYFUNCTION("""COMPUTED_VALUE"""),"1485 - Channel")</f>
        <v>1485 - Channel</v>
      </c>
      <c r="B202" s="4" t="s">
        <v>14</v>
      </c>
      <c r="C202" s="6">
        <v>0.5540856481481484</v>
      </c>
      <c r="D202" s="4" t="s">
        <v>277</v>
      </c>
      <c r="E202" s="81" t="s">
        <v>4474</v>
      </c>
    </row>
    <row r="203">
      <c r="A203" s="4" t="str">
        <f>IFERROR(__xludf.DUMMYFUNCTION("""COMPUTED_VALUE"""),"214 - Channel")</f>
        <v>214 - Channel</v>
      </c>
      <c r="B203" s="4" t="s">
        <v>14</v>
      </c>
      <c r="C203" s="6">
        <v>0.5624189814814817</v>
      </c>
      <c r="D203" s="4" t="s">
        <v>119</v>
      </c>
      <c r="E203" s="56"/>
    </row>
    <row r="204">
      <c r="A204" s="4" t="str">
        <f>IFERROR(__xludf.DUMMYFUNCTION("""COMPUTED_VALUE"""),"1056 - Channel")</f>
        <v>1056 - Channel</v>
      </c>
      <c r="B204" s="4" t="s">
        <v>14</v>
      </c>
      <c r="C204" s="6">
        <v>0.5626504629629632</v>
      </c>
      <c r="D204" s="4" t="s">
        <v>281</v>
      </c>
      <c r="E204" s="81" t="s">
        <v>3576</v>
      </c>
    </row>
    <row r="205">
      <c r="A205" s="4" t="str">
        <f>IFERROR(__xludf.DUMMYFUNCTION("""COMPUTED_VALUE"""),"200 - Channel")</f>
        <v>200 - Channel</v>
      </c>
      <c r="B205" s="4" t="s">
        <v>14</v>
      </c>
      <c r="C205" s="6">
        <v>0.5730671296296298</v>
      </c>
      <c r="D205" s="4" t="s">
        <v>80</v>
      </c>
      <c r="E205" s="56"/>
    </row>
    <row r="206">
      <c r="A206" s="4" t="str">
        <f>IFERROR(__xludf.DUMMYFUNCTION("""COMPUTED_VALUE"""),"1428 - Channel")</f>
        <v>1428 - Channel</v>
      </c>
      <c r="B206" s="4" t="s">
        <v>14</v>
      </c>
      <c r="C206" s="6">
        <v>0.5735879629629631</v>
      </c>
      <c r="D206" s="4" t="s">
        <v>286</v>
      </c>
      <c r="E206" s="56"/>
    </row>
    <row r="207">
      <c r="A207" s="4" t="str">
        <f>IFERROR(__xludf.DUMMYFUNCTION("""COMPUTED_VALUE"""),"72 - Channel")</f>
        <v>72 - Channel</v>
      </c>
      <c r="B207" s="4" t="s">
        <v>14</v>
      </c>
      <c r="C207" s="6">
        <v>0.5738194444444445</v>
      </c>
      <c r="D207" s="4" t="s">
        <v>287</v>
      </c>
      <c r="E207" s="56"/>
    </row>
    <row r="208">
      <c r="A208" s="4" t="str">
        <f>IFERROR(__xludf.DUMMYFUNCTION("""COMPUTED_VALUE"""),"2253 - Channel")</f>
        <v>2253 - Channel</v>
      </c>
      <c r="B208" s="4" t="s">
        <v>14</v>
      </c>
      <c r="C208" s="6">
        <v>0.5759027777777779</v>
      </c>
      <c r="D208" s="4" t="s">
        <v>86</v>
      </c>
      <c r="E208" s="56"/>
    </row>
    <row r="209">
      <c r="A209" s="4" t="str">
        <f>IFERROR(__xludf.DUMMYFUNCTION("""COMPUTED_VALUE"""),"1804 - Channel")</f>
        <v>1804 - Channel</v>
      </c>
      <c r="B209" s="4" t="s">
        <v>14</v>
      </c>
      <c r="C209" s="6">
        <v>0.5761342592592593</v>
      </c>
      <c r="D209" s="4"/>
      <c r="E209" s="56"/>
    </row>
    <row r="210">
      <c r="A210" s="4" t="str">
        <f>IFERROR(__xludf.DUMMYFUNCTION("""COMPUTED_VALUE"""),"1805 - Channel")</f>
        <v>1805 - Channel</v>
      </c>
      <c r="B210" s="4" t="s">
        <v>14</v>
      </c>
      <c r="C210" s="6">
        <v>0.5775231481481482</v>
      </c>
      <c r="D210" s="4" t="s">
        <v>88</v>
      </c>
      <c r="E210" s="56"/>
    </row>
    <row r="211">
      <c r="A211" s="4" t="str">
        <f>IFERROR(__xludf.DUMMYFUNCTION("""COMPUTED_VALUE"""),"1371 - Channel")</f>
        <v>1371 - Channel</v>
      </c>
      <c r="B211" s="4" t="s">
        <v>14</v>
      </c>
      <c r="C211" s="6">
        <v>0.5778703703703705</v>
      </c>
      <c r="D211" s="4" t="s">
        <v>91</v>
      </c>
      <c r="E211" s="56"/>
    </row>
    <row r="212">
      <c r="A212" s="4" t="str">
        <f>IFERROR(__xludf.DUMMYFUNCTION("""COMPUTED_VALUE"""),"183 - Channel")</f>
        <v>183 - Channel</v>
      </c>
      <c r="B212" s="4" t="s">
        <v>14</v>
      </c>
      <c r="C212" s="6">
        <v>0.5781018518518519</v>
      </c>
      <c r="D212" s="4" t="s">
        <v>288</v>
      </c>
      <c r="E212" s="56"/>
    </row>
    <row r="213">
      <c r="A213" s="4" t="str">
        <f>IFERROR(__xludf.DUMMYFUNCTION("""COMPUTED_VALUE"""),"347 - Channel")</f>
        <v>347 - Channel</v>
      </c>
      <c r="B213" s="4" t="s">
        <v>14</v>
      </c>
      <c r="C213" s="6">
        <v>0.5864351851851852</v>
      </c>
      <c r="D213" s="4" t="s">
        <v>91</v>
      </c>
      <c r="E213" s="56"/>
    </row>
    <row r="214">
      <c r="A214" s="4" t="str">
        <f>IFERROR(__xludf.DUMMYFUNCTION("""COMPUTED_VALUE"""),"201 - Channel")</f>
        <v>201 - Channel</v>
      </c>
      <c r="B214" s="4" t="s">
        <v>14</v>
      </c>
      <c r="C214" s="6">
        <v>0.5866666666666667</v>
      </c>
      <c r="D214" s="4" t="s">
        <v>290</v>
      </c>
      <c r="E214" s="81" t="s">
        <v>1409</v>
      </c>
    </row>
    <row r="215">
      <c r="A215" s="4" t="str">
        <f>IFERROR(__xludf.DUMMYFUNCTION("""COMPUTED_VALUE"""),"1800 - Channel")</f>
        <v>1800 - Channel</v>
      </c>
      <c r="B215" s="4"/>
      <c r="C215" s="6"/>
      <c r="D215" s="4"/>
      <c r="E215" s="56"/>
    </row>
    <row r="216">
      <c r="A216" s="4" t="str">
        <f>IFERROR(__xludf.DUMMYFUNCTION("""COMPUTED_VALUE"""),"1712 - Channel")</f>
        <v>1712 - Channel</v>
      </c>
      <c r="B216" s="4" t="s">
        <v>14</v>
      </c>
      <c r="C216" s="6">
        <v>0.5915277777777778</v>
      </c>
      <c r="D216" s="4" t="s">
        <v>292</v>
      </c>
      <c r="E216" s="81" t="s">
        <v>4062</v>
      </c>
    </row>
    <row r="217">
      <c r="A217" s="4" t="str">
        <f>IFERROR(__xludf.DUMMYFUNCTION("""COMPUTED_VALUE"""),"207 - Channel")</f>
        <v>207 - Channel</v>
      </c>
      <c r="B217" s="4" t="s">
        <v>14</v>
      </c>
      <c r="C217" s="6">
        <v>0.5921064814814815</v>
      </c>
      <c r="D217" s="4" t="s">
        <v>293</v>
      </c>
      <c r="E217" s="56"/>
    </row>
    <row r="218">
      <c r="A218" s="4" t="str">
        <f>IFERROR(__xludf.DUMMYFUNCTION("""COMPUTED_VALUE"""),"203 - Channel")</f>
        <v>203 - Channel</v>
      </c>
      <c r="B218" s="4" t="s">
        <v>14</v>
      </c>
      <c r="C218" s="6">
        <v>0.5928009259259259</v>
      </c>
      <c r="D218" s="4" t="s">
        <v>81</v>
      </c>
      <c r="E218" s="56"/>
    </row>
    <row r="219">
      <c r="A219" s="4" t="str">
        <f>IFERROR(__xludf.DUMMYFUNCTION("""COMPUTED_VALUE"""),"204 - Channel")</f>
        <v>204 - Channel</v>
      </c>
      <c r="B219" s="4" t="s">
        <v>14</v>
      </c>
      <c r="C219" s="6">
        <v>0.5930324074074074</v>
      </c>
      <c r="D219" s="4" t="s">
        <v>294</v>
      </c>
      <c r="E219" s="81" t="s">
        <v>1422</v>
      </c>
    </row>
    <row r="220">
      <c r="A220" s="4" t="str">
        <f>IFERROR(__xludf.DUMMYFUNCTION("""COMPUTED_VALUE"""),"211 - Channel")</f>
        <v>211 - Channel</v>
      </c>
      <c r="B220" s="4" t="s">
        <v>14</v>
      </c>
      <c r="C220" s="6">
        <v>0.6041435185185184</v>
      </c>
      <c r="D220" s="4" t="s">
        <v>297</v>
      </c>
      <c r="E220" s="56"/>
    </row>
    <row r="221">
      <c r="A221" s="4" t="str">
        <f>IFERROR(__xludf.DUMMYFUNCTION("""COMPUTED_VALUE"""),"212 - Channel")</f>
        <v>212 - Channel</v>
      </c>
      <c r="B221" s="4" t="s">
        <v>14</v>
      </c>
      <c r="C221" s="6">
        <v>0.6043749999999999</v>
      </c>
      <c r="D221" s="4" t="s">
        <v>298</v>
      </c>
      <c r="E221" s="56"/>
    </row>
    <row r="222">
      <c r="A222" s="4" t="str">
        <f>IFERROR(__xludf.DUMMYFUNCTION("""COMPUTED_VALUE"""),"2254 - Channel")</f>
        <v>2254 - Channel</v>
      </c>
      <c r="B222" s="4" t="s">
        <v>14</v>
      </c>
      <c r="C222" s="6">
        <v>0.6064583333333332</v>
      </c>
      <c r="D222" s="4" t="s">
        <v>86</v>
      </c>
      <c r="E222" s="56"/>
    </row>
    <row r="223">
      <c r="A223" s="4" t="str">
        <f>IFERROR(__xludf.DUMMYFUNCTION("""COMPUTED_VALUE"""),"123 - Channel")</f>
        <v>123 - Channel</v>
      </c>
      <c r="B223" s="4" t="s">
        <v>14</v>
      </c>
      <c r="C223" s="6">
        <v>0.6066898148148147</v>
      </c>
      <c r="D223" s="4" t="s">
        <v>81</v>
      </c>
      <c r="E223" s="56"/>
    </row>
    <row r="224">
      <c r="A224" s="4" t="str">
        <f>IFERROR(__xludf.DUMMYFUNCTION("""COMPUTED_VALUE"""),"215 - Channel")</f>
        <v>215 - Channel</v>
      </c>
      <c r="B224" s="4" t="s">
        <v>14</v>
      </c>
      <c r="C224" s="6">
        <v>0.6069212962962961</v>
      </c>
      <c r="D224" s="4" t="s">
        <v>300</v>
      </c>
      <c r="E224" s="81" t="s">
        <v>1468</v>
      </c>
    </row>
    <row r="225">
      <c r="A225" s="4" t="str">
        <f>IFERROR(__xludf.DUMMYFUNCTION("""COMPUTED_VALUE"""),"1708 - Channel")</f>
        <v>1708 - Channel</v>
      </c>
      <c r="B225" s="4" t="s">
        <v>14</v>
      </c>
      <c r="C225" s="6">
        <v>0.6166435185185183</v>
      </c>
      <c r="D225" s="4" t="s">
        <v>88</v>
      </c>
      <c r="E225" s="56"/>
    </row>
    <row r="226">
      <c r="A226" s="4" t="str">
        <f>IFERROR(__xludf.DUMMYFUNCTION("""COMPUTED_VALUE"""),"189 - Channel")</f>
        <v>189 - Channel</v>
      </c>
      <c r="B226" s="4" t="s">
        <v>14</v>
      </c>
      <c r="C226" s="6">
        <v>0.6169907407407406</v>
      </c>
      <c r="D226" s="4" t="s">
        <v>81</v>
      </c>
      <c r="E226" s="56"/>
    </row>
    <row r="227">
      <c r="A227" s="4" t="str">
        <f>IFERROR(__xludf.DUMMYFUNCTION("""COMPUTED_VALUE"""),"172 - Channel")</f>
        <v>172 - Channel</v>
      </c>
      <c r="B227" s="4" t="s">
        <v>14</v>
      </c>
      <c r="C227" s="6">
        <v>0.617222222222222</v>
      </c>
      <c r="D227" s="4" t="s">
        <v>303</v>
      </c>
      <c r="E227" s="81" t="s">
        <v>1292</v>
      </c>
    </row>
    <row r="228">
      <c r="A228" s="4" t="str">
        <f>IFERROR(__xludf.DUMMYFUNCTION("""COMPUTED_VALUE"""),"1370 - Channel")</f>
        <v>1370 - Channel</v>
      </c>
      <c r="B228" s="4" t="s">
        <v>14</v>
      </c>
      <c r="C228" s="6">
        <v>0.6269444444444442</v>
      </c>
      <c r="D228" s="4" t="s">
        <v>307</v>
      </c>
      <c r="E228" s="81" t="s">
        <v>4111</v>
      </c>
    </row>
    <row r="229">
      <c r="A229" s="4" t="str">
        <f>IFERROR(__xludf.DUMMYFUNCTION("""COMPUTED_VALUE"""),"342 - Channel")</f>
        <v>342 - Channel</v>
      </c>
      <c r="B229" s="4" t="s">
        <v>14</v>
      </c>
      <c r="C229" s="6">
        <v>0.6275115740740739</v>
      </c>
      <c r="D229" s="4" t="s">
        <v>91</v>
      </c>
      <c r="E229" s="56"/>
    </row>
    <row r="230">
      <c r="A230" s="4" t="str">
        <f>IFERROR(__xludf.DUMMYFUNCTION("""COMPUTED_VALUE"""),"363 - Channel")</f>
        <v>363 - Channel</v>
      </c>
      <c r="B230" s="4" t="s">
        <v>14</v>
      </c>
      <c r="C230" s="6">
        <v>0.6277430555555553</v>
      </c>
      <c r="D230" s="4" t="s">
        <v>308</v>
      </c>
      <c r="E230" s="81" t="s">
        <v>1901</v>
      </c>
    </row>
    <row r="231">
      <c r="A231" s="4" t="str">
        <f>IFERROR(__xludf.DUMMYFUNCTION("""COMPUTED_VALUE"""),"1516 - Channel")</f>
        <v>1516 - Channel</v>
      </c>
      <c r="B231" s="4" t="s">
        <v>14</v>
      </c>
      <c r="C231" s="6"/>
      <c r="D231" s="4"/>
      <c r="E231" s="56"/>
    </row>
    <row r="232">
      <c r="A232" s="4" t="str">
        <f>IFERROR(__xludf.DUMMYFUNCTION("""COMPUTED_VALUE"""),"1401 - Channel")</f>
        <v>1401 - Channel</v>
      </c>
      <c r="B232" s="4" t="s">
        <v>14</v>
      </c>
      <c r="C232" s="6">
        <v>0.6346874999999997</v>
      </c>
      <c r="D232" s="4" t="s">
        <v>310</v>
      </c>
      <c r="E232" s="56"/>
    </row>
    <row r="233">
      <c r="A233" s="4" t="str">
        <f>IFERROR(__xludf.DUMMYFUNCTION("""COMPUTED_VALUE"""),"89 - Channel")</f>
        <v>89 - Channel</v>
      </c>
      <c r="B233" s="4" t="s">
        <v>14</v>
      </c>
      <c r="C233" s="6">
        <v>0.6353819444444442</v>
      </c>
      <c r="D233" s="4" t="s">
        <v>81</v>
      </c>
      <c r="E233" s="56"/>
    </row>
    <row r="234">
      <c r="A234" s="4" t="str">
        <f>IFERROR(__xludf.DUMMYFUNCTION("""COMPUTED_VALUE"""),"1276 - Channel")</f>
        <v>1276 - Channel</v>
      </c>
      <c r="B234" s="4" t="s">
        <v>14</v>
      </c>
      <c r="C234" s="6">
        <v>0.6356134259259256</v>
      </c>
      <c r="D234" s="4" t="s">
        <v>311</v>
      </c>
      <c r="E234" s="56"/>
    </row>
    <row r="235">
      <c r="A235" s="4" t="str">
        <f>IFERROR(__xludf.DUMMYFUNCTION("""COMPUTED_VALUE"""),"1402 - Channel")</f>
        <v>1402 - Channel</v>
      </c>
      <c r="B235" s="4" t="s">
        <v>14</v>
      </c>
      <c r="C235" s="6">
        <v>0.6460300925925923</v>
      </c>
      <c r="D235" s="4" t="s">
        <v>80</v>
      </c>
      <c r="E235" s="56"/>
    </row>
    <row r="236">
      <c r="A236" s="4" t="str">
        <f>IFERROR(__xludf.DUMMYFUNCTION("""COMPUTED_VALUE"""),"229 - Channel")</f>
        <v>229 - Channel</v>
      </c>
      <c r="B236" s="4" t="s">
        <v>14</v>
      </c>
      <c r="C236" s="6">
        <v>0.6463773148148145</v>
      </c>
      <c r="D236" s="4" t="s">
        <v>315</v>
      </c>
      <c r="E236" s="56"/>
    </row>
    <row r="237">
      <c r="A237" s="4" t="str">
        <f>IFERROR(__xludf.DUMMYFUNCTION("""COMPUTED_VALUE"""),"230 - Channel")</f>
        <v>230 - Channel</v>
      </c>
      <c r="B237" s="4" t="s">
        <v>14</v>
      </c>
      <c r="C237" s="6">
        <v>0.646608796296296</v>
      </c>
      <c r="D237" s="4" t="s">
        <v>316</v>
      </c>
      <c r="E237" s="56"/>
    </row>
    <row r="238">
      <c r="A238" s="4" t="str">
        <f>IFERROR(__xludf.DUMMYFUNCTION("""COMPUTED_VALUE"""),"2255 - Channel")</f>
        <v>2255 - Channel</v>
      </c>
      <c r="B238" s="4" t="s">
        <v>14</v>
      </c>
      <c r="C238" s="6">
        <v>0.6486921296296293</v>
      </c>
      <c r="D238" s="4" t="s">
        <v>86</v>
      </c>
      <c r="E238" s="56"/>
    </row>
    <row r="239">
      <c r="A239" s="4" t="str">
        <f>IFERROR(__xludf.DUMMYFUNCTION("""COMPUTED_VALUE"""),"225 - Channel")</f>
        <v>225 - Channel</v>
      </c>
      <c r="B239" s="4" t="s">
        <v>14</v>
      </c>
      <c r="C239" s="6">
        <v>0.6489236111111107</v>
      </c>
      <c r="D239" s="4" t="s">
        <v>91</v>
      </c>
      <c r="E239" s="56"/>
    </row>
    <row r="240">
      <c r="A240" s="4" t="str">
        <f>IFERROR(__xludf.DUMMYFUNCTION("""COMPUTED_VALUE"""),"226 - Channel")</f>
        <v>226 - Channel</v>
      </c>
      <c r="B240" s="4" t="s">
        <v>14</v>
      </c>
      <c r="C240" s="6">
        <v>0.6491550925925922</v>
      </c>
      <c r="D240" s="4" t="s">
        <v>317</v>
      </c>
      <c r="E240" s="56"/>
    </row>
    <row r="241">
      <c r="A241" s="4" t="str">
        <f>IFERROR(__xludf.DUMMYFUNCTION("""COMPUTED_VALUE"""),"136 - Channel")</f>
        <v>136 - Channel</v>
      </c>
      <c r="B241" s="4" t="s">
        <v>14</v>
      </c>
      <c r="C241" s="6">
        <v>0.6547106481481477</v>
      </c>
      <c r="D241" s="4" t="s">
        <v>91</v>
      </c>
      <c r="E241" s="56"/>
    </row>
    <row r="242">
      <c r="A242" s="4" t="str">
        <f>IFERROR(__xludf.DUMMYFUNCTION("""COMPUTED_VALUE"""),"8 - Channel")</f>
        <v>8 - Channel</v>
      </c>
      <c r="B242" s="4" t="s">
        <v>14</v>
      </c>
      <c r="C242" s="6">
        <v>0.6549421296296292</v>
      </c>
      <c r="D242" s="4" t="s">
        <v>319</v>
      </c>
      <c r="E242" s="81" t="s">
        <v>626</v>
      </c>
    </row>
    <row r="243">
      <c r="A243" s="4" t="str">
        <f>IFERROR(__xludf.DUMMYFUNCTION("""COMPUTED_VALUE"""),"1410 - Channel")</f>
        <v>1410 - Channel</v>
      </c>
      <c r="B243" s="4" t="s">
        <v>14</v>
      </c>
      <c r="C243" s="6">
        <v>0.6644560185185181</v>
      </c>
      <c r="D243" s="4" t="s">
        <v>322</v>
      </c>
      <c r="E243" s="56"/>
    </row>
    <row r="244">
      <c r="A244" s="4" t="str">
        <f>IFERROR(__xludf.DUMMYFUNCTION("""COMPUTED_VALUE"""),"294 - Channel")</f>
        <v>294 - Channel</v>
      </c>
      <c r="B244" s="4" t="s">
        <v>14</v>
      </c>
      <c r="C244" s="6">
        <v>0.6646874999999995</v>
      </c>
      <c r="D244" s="4" t="s">
        <v>323</v>
      </c>
      <c r="E244" s="56"/>
    </row>
    <row r="245">
      <c r="A245" s="4" t="str">
        <f>IFERROR(__xludf.DUMMYFUNCTION("""COMPUTED_VALUE"""),"2256 - Channel")</f>
        <v>2256 - Channel</v>
      </c>
      <c r="B245" s="4" t="s">
        <v>14</v>
      </c>
      <c r="C245" s="6">
        <v>0.6667708333333329</v>
      </c>
      <c r="D245" s="4" t="s">
        <v>86</v>
      </c>
      <c r="E245" s="56"/>
    </row>
    <row r="246">
      <c r="A246" s="4" t="str">
        <f>IFERROR(__xludf.DUMMYFUNCTION("""COMPUTED_VALUE"""),"232 - Channel")</f>
        <v>232 - Channel</v>
      </c>
      <c r="B246" s="4" t="s">
        <v>14</v>
      </c>
      <c r="C246" s="6">
        <v>0.6670023148148143</v>
      </c>
      <c r="D246" s="4" t="s">
        <v>91</v>
      </c>
      <c r="E246" s="56"/>
    </row>
    <row r="247">
      <c r="A247" s="4" t="str">
        <f>IFERROR(__xludf.DUMMYFUNCTION("""COMPUTED_VALUE"""),"217 - Channel")</f>
        <v>217 - Channel</v>
      </c>
      <c r="B247" s="4" t="s">
        <v>14</v>
      </c>
      <c r="C247" s="6">
        <v>0.6672337962962958</v>
      </c>
      <c r="D247" s="4" t="s">
        <v>324</v>
      </c>
      <c r="E247" s="56"/>
    </row>
    <row r="248">
      <c r="A248" s="4" t="str">
        <f>IFERROR(__xludf.DUMMYFUNCTION("""COMPUTED_VALUE"""),"1523 - Channel")</f>
        <v>1523 - Channel</v>
      </c>
      <c r="B248" s="4" t="s">
        <v>14</v>
      </c>
      <c r="C248" s="6"/>
      <c r="D248" s="4"/>
      <c r="E248" s="56"/>
    </row>
    <row r="249">
      <c r="A249" s="4" t="str">
        <f>IFERROR(__xludf.DUMMYFUNCTION("""COMPUTED_VALUE"""),"242 - Channel")</f>
        <v>242 - Channel</v>
      </c>
      <c r="B249" s="4" t="s">
        <v>14</v>
      </c>
      <c r="C249" s="6">
        <v>0.6783449074074068</v>
      </c>
      <c r="D249" s="4" t="s">
        <v>325</v>
      </c>
      <c r="E249" s="56"/>
    </row>
    <row r="250">
      <c r="A250" s="4" t="str">
        <f>IFERROR(__xludf.DUMMYFUNCTION("""COMPUTED_VALUE"""),"243 - Channel")</f>
        <v>243 - Channel</v>
      </c>
      <c r="B250" s="4" t="s">
        <v>14</v>
      </c>
      <c r="C250" s="6">
        <v>0.6790393518518513</v>
      </c>
      <c r="D250" s="4" t="s">
        <v>81</v>
      </c>
      <c r="E250" s="56"/>
    </row>
    <row r="251">
      <c r="A251" s="4" t="str">
        <f>IFERROR(__xludf.DUMMYFUNCTION("""COMPUTED_VALUE"""),"244 - Channel")</f>
        <v>244 - Channel</v>
      </c>
      <c r="B251" s="4" t="s">
        <v>14</v>
      </c>
      <c r="C251" s="6">
        <v>0.6792708333333327</v>
      </c>
      <c r="D251" s="4" t="s">
        <v>326</v>
      </c>
      <c r="E251" s="81" t="s">
        <v>1545</v>
      </c>
    </row>
    <row r="252">
      <c r="A252" s="4" t="str">
        <f>IFERROR(__xludf.DUMMYFUNCTION("""COMPUTED_VALUE"""),"246 - Channel")</f>
        <v>246 - Channel</v>
      </c>
      <c r="B252" s="4" t="s">
        <v>14</v>
      </c>
      <c r="C252" s="6">
        <v>0.6888078703703697</v>
      </c>
      <c r="D252" s="4" t="s">
        <v>330</v>
      </c>
      <c r="E252" s="56"/>
    </row>
    <row r="253">
      <c r="A253" s="4" t="str">
        <f>IFERROR(__xludf.DUMMYFUNCTION("""COMPUTED_VALUE"""),"247 - Channel")</f>
        <v>247 - Channel</v>
      </c>
      <c r="B253" s="4" t="s">
        <v>14</v>
      </c>
      <c r="C253" s="6">
        <v>0.6890393518518512</v>
      </c>
      <c r="D253" s="4" t="s">
        <v>332</v>
      </c>
      <c r="E253" s="81" t="s">
        <v>1550</v>
      </c>
    </row>
    <row r="254">
      <c r="A254" s="4" t="str">
        <f>IFERROR(__xludf.DUMMYFUNCTION("""COMPUTED_VALUE"""),"2257 - Channel")</f>
        <v>2257 - Channel</v>
      </c>
      <c r="B254" s="4" t="s">
        <v>14</v>
      </c>
      <c r="C254" s="6">
        <v>0.6911226851851845</v>
      </c>
      <c r="D254" s="4" t="s">
        <v>86</v>
      </c>
      <c r="E254" s="56"/>
    </row>
    <row r="255">
      <c r="A255" s="4" t="str">
        <f>IFERROR(__xludf.DUMMYFUNCTION("""COMPUTED_VALUE"""),"295 - Channel")</f>
        <v>295 - Channel</v>
      </c>
      <c r="B255" s="4" t="s">
        <v>14</v>
      </c>
      <c r="C255" s="6">
        <v>0.6913541666666659</v>
      </c>
      <c r="D255" s="4" t="s">
        <v>91</v>
      </c>
      <c r="E255" s="56"/>
    </row>
    <row r="256">
      <c r="A256" s="4" t="str">
        <f>IFERROR(__xludf.DUMMYFUNCTION("""COMPUTED_VALUE"""),"296 - Channel")</f>
        <v>296 - Channel</v>
      </c>
      <c r="B256" s="4" t="s">
        <v>14</v>
      </c>
      <c r="C256" s="6">
        <v>0.6915856481481474</v>
      </c>
      <c r="D256" s="4" t="s">
        <v>333</v>
      </c>
      <c r="E256" s="81" t="s">
        <v>1765</v>
      </c>
    </row>
    <row r="257">
      <c r="A257" s="4" t="str">
        <f>IFERROR(__xludf.DUMMYFUNCTION("""COMPUTED_VALUE"""),"253 - Channel")</f>
        <v>253 - Channel</v>
      </c>
      <c r="B257" s="4" t="s">
        <v>14</v>
      </c>
      <c r="C257" s="6">
        <v>0.702002314814814</v>
      </c>
      <c r="D257" s="4" t="s">
        <v>80</v>
      </c>
      <c r="E257" s="56"/>
    </row>
    <row r="258">
      <c r="A258" s="4" t="str">
        <f>IFERROR(__xludf.DUMMYFUNCTION("""COMPUTED_VALUE"""),"145 - Channel")</f>
        <v>145 - Channel</v>
      </c>
      <c r="B258" s="4" t="s">
        <v>14</v>
      </c>
      <c r="C258" s="6">
        <v>0.7023495370370363</v>
      </c>
      <c r="D258" s="4" t="s">
        <v>337</v>
      </c>
      <c r="E258" s="81" t="s">
        <v>1182</v>
      </c>
    </row>
    <row r="259">
      <c r="A259" s="4" t="str">
        <f>IFERROR(__xludf.DUMMYFUNCTION("""COMPUTED_VALUE"""),"252 - Channel")</f>
        <v>252 - Channel</v>
      </c>
      <c r="B259" s="4" t="s">
        <v>14</v>
      </c>
      <c r="C259" s="6">
        <v>0.703391203703703</v>
      </c>
      <c r="D259" s="4" t="s">
        <v>119</v>
      </c>
      <c r="E259" s="56"/>
    </row>
    <row r="260">
      <c r="A260" s="4" t="str">
        <f>IFERROR(__xludf.DUMMYFUNCTION("""COMPUTED_VALUE"""),"235 - Channel")</f>
        <v>235 - Channel</v>
      </c>
      <c r="B260" s="4" t="s">
        <v>14</v>
      </c>
      <c r="C260" s="6">
        <v>0.7036226851851844</v>
      </c>
      <c r="D260" s="4" t="s">
        <v>338</v>
      </c>
      <c r="E260" s="56"/>
    </row>
    <row r="261">
      <c r="A261" s="4" t="str">
        <f>IFERROR(__xludf.DUMMYFUNCTION("""COMPUTED_VALUE"""),"182 - Channel")</f>
        <v>182 - Channel</v>
      </c>
      <c r="B261" s="4" t="s">
        <v>14</v>
      </c>
      <c r="C261" s="6">
        <v>0.7064004629629622</v>
      </c>
      <c r="D261" s="4" t="s">
        <v>91</v>
      </c>
      <c r="E261" s="56"/>
    </row>
    <row r="262">
      <c r="A262" s="4" t="str">
        <f>IFERROR(__xludf.DUMMYFUNCTION("""COMPUTED_VALUE"""),"180 - Channel")</f>
        <v>180 - Channel</v>
      </c>
      <c r="B262" s="4" t="s">
        <v>14</v>
      </c>
      <c r="C262" s="6">
        <v>0.7066319444444437</v>
      </c>
      <c r="D262" s="4" t="s">
        <v>339</v>
      </c>
      <c r="E262" s="81" t="s">
        <v>1326</v>
      </c>
    </row>
    <row r="263">
      <c r="A263" s="4" t="str">
        <f>IFERROR(__xludf.DUMMYFUNCTION("""COMPUTED_VALUE"""),"258 - Channel")</f>
        <v>258 - Channel</v>
      </c>
      <c r="B263" s="4" t="s">
        <v>14</v>
      </c>
      <c r="C263" s="6">
        <v>0.7205208333333325</v>
      </c>
      <c r="D263" s="4" t="s">
        <v>343</v>
      </c>
      <c r="E263" s="56"/>
    </row>
    <row r="264">
      <c r="A264" s="4" t="str">
        <f>IFERROR(__xludf.DUMMYFUNCTION("""COMPUTED_VALUE"""),"260 - Channel")</f>
        <v>260 - Channel</v>
      </c>
      <c r="B264" s="4" t="s">
        <v>344</v>
      </c>
      <c r="C264" s="6"/>
      <c r="D264" s="4"/>
      <c r="E264" s="56"/>
    </row>
    <row r="265">
      <c r="A265" s="4" t="str">
        <f>IFERROR(__xludf.DUMMYFUNCTION("""COMPUTED_VALUE"""),"261 - Channel")</f>
        <v>261 - Channel</v>
      </c>
      <c r="B265" s="4" t="s">
        <v>14</v>
      </c>
      <c r="C265" s="6">
        <v>0.4166666666666667</v>
      </c>
      <c r="D265" s="4" t="s">
        <v>68</v>
      </c>
      <c r="E265" s="56"/>
    </row>
    <row r="266">
      <c r="A266" s="4" t="str">
        <f>IFERROR(__xludf.DUMMYFUNCTION("""COMPUTED_VALUE"""),"262 - Channel")</f>
        <v>262 - Channel</v>
      </c>
      <c r="B266" s="4" t="s">
        <v>14</v>
      </c>
      <c r="C266" s="6">
        <v>0.41770833333333335</v>
      </c>
      <c r="D266" s="4" t="s">
        <v>345</v>
      </c>
      <c r="E266" s="56"/>
    </row>
    <row r="267">
      <c r="A267" s="4" t="str">
        <f>IFERROR(__xludf.DUMMYFUNCTION("""COMPUTED_VALUE"""),"263 - Channel")</f>
        <v>263 - Channel</v>
      </c>
      <c r="B267" s="4" t="s">
        <v>14</v>
      </c>
      <c r="C267" s="6">
        <v>0.4184027777777778</v>
      </c>
      <c r="D267" s="4" t="s">
        <v>81</v>
      </c>
      <c r="E267" s="56"/>
    </row>
    <row r="268">
      <c r="A268" s="4" t="str">
        <f>IFERROR(__xludf.DUMMYFUNCTION("""COMPUTED_VALUE"""),"264 - Channel")</f>
        <v>264 - Channel</v>
      </c>
      <c r="B268" s="4" t="s">
        <v>14</v>
      </c>
      <c r="C268" s="6">
        <v>0.4186342592592593</v>
      </c>
      <c r="D268" s="4" t="s">
        <v>346</v>
      </c>
      <c r="E268" s="81" t="s">
        <v>1594</v>
      </c>
    </row>
    <row r="269">
      <c r="A269" s="4" t="str">
        <f>IFERROR(__xludf.DUMMYFUNCTION("""COMPUTED_VALUE"""),"266 - Channel")</f>
        <v>266 - Channel</v>
      </c>
      <c r="B269" s="4" t="s">
        <v>14</v>
      </c>
      <c r="C269" s="6">
        <v>0.42824074074074076</v>
      </c>
      <c r="D269" s="4" t="s">
        <v>349</v>
      </c>
      <c r="E269" s="56"/>
    </row>
    <row r="270">
      <c r="A270" s="4" t="str">
        <f>IFERROR(__xludf.DUMMYFUNCTION("""COMPUTED_VALUE"""),"267 - Channel")</f>
        <v>267 - Channel</v>
      </c>
      <c r="B270" s="4" t="s">
        <v>14</v>
      </c>
      <c r="C270" s="6">
        <v>0.42847222222222225</v>
      </c>
      <c r="D270" s="4" t="s">
        <v>350</v>
      </c>
      <c r="E270" s="56"/>
    </row>
    <row r="271">
      <c r="A271" s="4" t="str">
        <f>IFERROR(__xludf.DUMMYFUNCTION("""COMPUTED_VALUE"""),"2258 - Channel")</f>
        <v>2258 - Channel</v>
      </c>
      <c r="B271" s="4" t="s">
        <v>14</v>
      </c>
      <c r="C271" s="6">
        <v>0.4305555555555556</v>
      </c>
      <c r="D271" s="4" t="s">
        <v>86</v>
      </c>
      <c r="E271" s="56"/>
    </row>
    <row r="272">
      <c r="A272" s="4" t="str">
        <f>IFERROR(__xludf.DUMMYFUNCTION("""COMPUTED_VALUE"""),"269 - Channel")</f>
        <v>269 - Channel</v>
      </c>
      <c r="B272" s="4" t="s">
        <v>14</v>
      </c>
      <c r="C272" s="6">
        <v>0.4307870370370371</v>
      </c>
      <c r="D272" s="4" t="s">
        <v>351</v>
      </c>
      <c r="E272" s="81" t="s">
        <v>1610</v>
      </c>
    </row>
    <row r="273">
      <c r="A273" s="4" t="str">
        <f>IFERROR(__xludf.DUMMYFUNCTION("""COMPUTED_VALUE"""),"270 - Channel")</f>
        <v>270 - Channel</v>
      </c>
      <c r="B273" s="4" t="s">
        <v>14</v>
      </c>
      <c r="C273" s="6">
        <v>0.43130787037037044</v>
      </c>
      <c r="D273" s="4" t="s">
        <v>80</v>
      </c>
      <c r="E273" s="56"/>
    </row>
    <row r="274">
      <c r="A274" s="4" t="str">
        <f>IFERROR(__xludf.DUMMYFUNCTION("""COMPUTED_VALUE"""),"371 - Channel")</f>
        <v>371 - Channel</v>
      </c>
      <c r="B274" s="4" t="s">
        <v>14</v>
      </c>
      <c r="C274" s="6">
        <v>0.43165509259259266</v>
      </c>
      <c r="D274" s="4" t="s">
        <v>81</v>
      </c>
      <c r="E274" s="56"/>
    </row>
    <row r="275">
      <c r="A275" s="4" t="str">
        <f>IFERROR(__xludf.DUMMYFUNCTION("""COMPUTED_VALUE"""),"372 - Channel")</f>
        <v>372 - Channel</v>
      </c>
      <c r="B275" s="4" t="s">
        <v>14</v>
      </c>
      <c r="C275" s="6">
        <v>0.43188657407407416</v>
      </c>
      <c r="D275" s="4" t="s">
        <v>352</v>
      </c>
      <c r="E275" s="56"/>
    </row>
    <row r="276">
      <c r="A276" s="4" t="str">
        <f>IFERROR(__xludf.DUMMYFUNCTION("""COMPUTED_VALUE"""),"274 - Channel")</f>
        <v>274 - Channel</v>
      </c>
      <c r="B276" s="4" t="s">
        <v>14</v>
      </c>
      <c r="C276" s="6">
        <v>0.4416087962962964</v>
      </c>
      <c r="D276" s="4" t="s">
        <v>355</v>
      </c>
      <c r="E276" s="81" t="s">
        <v>1635</v>
      </c>
    </row>
    <row r="277">
      <c r="A277" s="4" t="str">
        <f>IFERROR(__xludf.DUMMYFUNCTION("""COMPUTED_VALUE"""),"384 - Channel")</f>
        <v>384 - Channel</v>
      </c>
      <c r="B277" s="4" t="s">
        <v>14</v>
      </c>
      <c r="C277" s="6">
        <v>0.4422800925925927</v>
      </c>
      <c r="D277" s="4" t="s">
        <v>119</v>
      </c>
      <c r="E277" s="56"/>
    </row>
    <row r="278">
      <c r="A278" s="4" t="str">
        <f>IFERROR(__xludf.DUMMYFUNCTION("""COMPUTED_VALUE"""),"385 - Channel")</f>
        <v>385 - Channel</v>
      </c>
      <c r="B278" s="4" t="s">
        <v>14</v>
      </c>
      <c r="C278" s="6">
        <v>0.4425115740740742</v>
      </c>
      <c r="D278" s="4" t="s">
        <v>356</v>
      </c>
      <c r="E278" s="81" t="s">
        <v>1937</v>
      </c>
    </row>
    <row r="279">
      <c r="A279" s="4" t="str">
        <f>IFERROR(__xludf.DUMMYFUNCTION("""COMPUTED_VALUE"""),"1720 - Channel")</f>
        <v>1720 - Channel</v>
      </c>
      <c r="B279" s="4" t="s">
        <v>14</v>
      </c>
      <c r="C279" s="6">
        <v>0.4473726851851853</v>
      </c>
      <c r="D279" s="4" t="s">
        <v>91</v>
      </c>
      <c r="E279" s="56"/>
    </row>
    <row r="280">
      <c r="A280" s="4" t="str">
        <f>IFERROR(__xludf.DUMMYFUNCTION("""COMPUTED_VALUE"""),"1715 - Channel")</f>
        <v>1715 - Channel</v>
      </c>
      <c r="B280" s="4" t="s">
        <v>14</v>
      </c>
      <c r="C280" s="6">
        <v>0.4476041666666668</v>
      </c>
      <c r="D280" s="4" t="s">
        <v>81</v>
      </c>
      <c r="E280" s="56"/>
    </row>
    <row r="281">
      <c r="A281" s="4" t="str">
        <f>IFERROR(__xludf.DUMMYFUNCTION("""COMPUTED_VALUE"""),"1716 - Channel")</f>
        <v>1716 - Channel</v>
      </c>
      <c r="B281" s="4" t="s">
        <v>14</v>
      </c>
      <c r="C281" s="6">
        <v>0.4478356481481483</v>
      </c>
      <c r="D281" s="4" t="s">
        <v>359</v>
      </c>
      <c r="E281" s="56"/>
    </row>
    <row r="282">
      <c r="A282" s="4" t="str">
        <f>IFERROR(__xludf.DUMMYFUNCTION("""COMPUTED_VALUE"""),"1796 - Channel")</f>
        <v>1796 - Channel</v>
      </c>
      <c r="B282" s="4" t="s">
        <v>14</v>
      </c>
      <c r="C282" s="6"/>
      <c r="D282" s="4"/>
      <c r="E282" s="56"/>
    </row>
    <row r="283">
      <c r="A283" s="4" t="str">
        <f>IFERROR(__xludf.DUMMYFUNCTION("""COMPUTED_VALUE"""),"290 - Channel")</f>
        <v>290 - Channel</v>
      </c>
      <c r="B283" s="4" t="s">
        <v>14</v>
      </c>
      <c r="C283" s="6">
        <v>0.458252314814815</v>
      </c>
      <c r="D283" s="4" t="s">
        <v>362</v>
      </c>
      <c r="E283" s="56"/>
    </row>
    <row r="284">
      <c r="A284" s="4" t="str">
        <f>IFERROR(__xludf.DUMMYFUNCTION("""COMPUTED_VALUE"""),"1408 - Channel")</f>
        <v>1408 - Channel</v>
      </c>
      <c r="B284" s="4" t="s">
        <v>14</v>
      </c>
      <c r="C284" s="6">
        <v>0.45894675925925943</v>
      </c>
      <c r="D284" s="4" t="s">
        <v>88</v>
      </c>
      <c r="E284" s="56"/>
    </row>
    <row r="285">
      <c r="A285" s="4" t="str">
        <f>IFERROR(__xludf.DUMMYFUNCTION("""COMPUTED_VALUE"""),"287 - Channel")</f>
        <v>287 - Channel</v>
      </c>
      <c r="B285" s="4" t="s">
        <v>14</v>
      </c>
      <c r="C285" s="6">
        <v>0.45929398148148165</v>
      </c>
      <c r="D285" s="4" t="s">
        <v>81</v>
      </c>
      <c r="E285" s="56"/>
    </row>
    <row r="286">
      <c r="A286" s="4" t="str">
        <f>IFERROR(__xludf.DUMMYFUNCTION("""COMPUTED_VALUE"""),"288 - Channel")</f>
        <v>288 - Channel</v>
      </c>
      <c r="B286" s="4" t="s">
        <v>14</v>
      </c>
      <c r="C286" s="6">
        <v>0.45952546296296315</v>
      </c>
      <c r="D286" s="4" t="s">
        <v>363</v>
      </c>
      <c r="E286" s="81" t="s">
        <v>1730</v>
      </c>
    </row>
    <row r="287">
      <c r="A287" s="4" t="str">
        <f>IFERROR(__xludf.DUMMYFUNCTION("""COMPUTED_VALUE"""),"283 - Channel")</f>
        <v>283 - Channel</v>
      </c>
      <c r="B287" s="4" t="s">
        <v>14</v>
      </c>
      <c r="C287" s="6">
        <v>0.46832175925925945</v>
      </c>
      <c r="D287" s="4" t="s">
        <v>367</v>
      </c>
      <c r="E287" s="56"/>
    </row>
    <row r="288">
      <c r="A288" s="4" t="str">
        <f>IFERROR(__xludf.DUMMYFUNCTION("""COMPUTED_VALUE"""),"284 - Channel")</f>
        <v>284 - Channel</v>
      </c>
      <c r="B288" s="4" t="s">
        <v>14</v>
      </c>
      <c r="C288" s="6">
        <v>0.4686689814814817</v>
      </c>
      <c r="D288" s="4" t="s">
        <v>369</v>
      </c>
      <c r="E288" s="56"/>
    </row>
    <row r="289">
      <c r="A289" s="4" t="str">
        <f>IFERROR(__xludf.DUMMYFUNCTION("""COMPUTED_VALUE"""),"2259 - Channel")</f>
        <v>2259 - Channel</v>
      </c>
      <c r="B289" s="4" t="s">
        <v>14</v>
      </c>
      <c r="C289" s="6">
        <v>0.470752314814815</v>
      </c>
      <c r="D289" s="4" t="s">
        <v>86</v>
      </c>
      <c r="E289" s="56"/>
    </row>
    <row r="290">
      <c r="A290" s="4" t="str">
        <f>IFERROR(__xludf.DUMMYFUNCTION("""COMPUTED_VALUE"""),"286 - Channel")</f>
        <v>286 - Channel</v>
      </c>
      <c r="B290" s="4" t="s">
        <v>14</v>
      </c>
      <c r="C290" s="6">
        <v>0.4709837962962965</v>
      </c>
      <c r="D290" s="4" t="s">
        <v>370</v>
      </c>
      <c r="E290" s="56"/>
    </row>
    <row r="291">
      <c r="A291" s="4" t="str">
        <f>IFERROR(__xludf.DUMMYFUNCTION("""COMPUTED_VALUE"""),"291 - Channel")</f>
        <v>291 - Channel</v>
      </c>
      <c r="B291" s="4" t="s">
        <v>14</v>
      </c>
      <c r="C291" s="6">
        <v>0.47150462962962986</v>
      </c>
      <c r="D291" s="4" t="s">
        <v>91</v>
      </c>
      <c r="E291" s="56"/>
    </row>
    <row r="292">
      <c r="A292" s="4" t="str">
        <f>IFERROR(__xludf.DUMMYFUNCTION("""COMPUTED_VALUE"""),"1297 - Channel")</f>
        <v>1297 - Channel</v>
      </c>
      <c r="B292" s="4" t="s">
        <v>14</v>
      </c>
      <c r="C292" s="6">
        <v>0.47173611111111136</v>
      </c>
      <c r="D292" s="4" t="s">
        <v>372</v>
      </c>
      <c r="E292" s="81" t="s">
        <v>4524</v>
      </c>
    </row>
    <row r="293">
      <c r="A293" s="4" t="str">
        <f>IFERROR(__xludf.DUMMYFUNCTION("""COMPUTED_VALUE"""),"255 - Channel")</f>
        <v>255 - Channel</v>
      </c>
      <c r="B293" s="4" t="s">
        <v>14</v>
      </c>
      <c r="C293" s="6">
        <v>0.4738194444444447</v>
      </c>
      <c r="D293" s="4" t="s">
        <v>81</v>
      </c>
      <c r="E293" s="56"/>
    </row>
    <row r="294">
      <c r="A294" s="4" t="str">
        <f>IFERROR(__xludf.DUMMYFUNCTION("""COMPUTED_VALUE"""),"256 - Channel")</f>
        <v>256 - Channel</v>
      </c>
      <c r="B294" s="4" t="s">
        <v>14</v>
      </c>
      <c r="C294" s="6">
        <v>0.4740509259259262</v>
      </c>
      <c r="D294" s="4" t="s">
        <v>374</v>
      </c>
      <c r="E294" s="81" t="s">
        <v>1576</v>
      </c>
    </row>
    <row r="295">
      <c r="A295" s="4" t="str">
        <f>IFERROR(__xludf.DUMMYFUNCTION("""COMPUTED_VALUE"""),"1431 - Channel")</f>
        <v>1431 - Channel</v>
      </c>
      <c r="B295" s="4" t="s">
        <v>14</v>
      </c>
      <c r="C295" s="6">
        <v>0.48442129629629654</v>
      </c>
      <c r="D295" s="4" t="s">
        <v>91</v>
      </c>
      <c r="E295" s="56"/>
    </row>
    <row r="296">
      <c r="A296" s="4" t="str">
        <f>IFERROR(__xludf.DUMMYFUNCTION("""COMPUTED_VALUE"""),"66 - Channel")</f>
        <v>66 - Channel</v>
      </c>
      <c r="B296" s="4" t="s">
        <v>14</v>
      </c>
      <c r="C296" s="6">
        <v>0.48465277777777804</v>
      </c>
      <c r="D296" s="4" t="s">
        <v>379</v>
      </c>
      <c r="E296" s="81" t="s">
        <v>872</v>
      </c>
    </row>
    <row r="297">
      <c r="A297" s="4" t="str">
        <f>IFERROR(__xludf.DUMMYFUNCTION("""COMPUTED_VALUE"""),"1797 - Channel")</f>
        <v>1797 - Channel</v>
      </c>
      <c r="B297" s="4" t="s">
        <v>14</v>
      </c>
      <c r="C297" s="6"/>
      <c r="D297" s="4"/>
      <c r="E297" s="56"/>
    </row>
    <row r="298">
      <c r="A298" s="4" t="str">
        <f>IFERROR(__xludf.DUMMYFUNCTION("""COMPUTED_VALUE"""),"299 - Channel")</f>
        <v>299 - Channel</v>
      </c>
      <c r="B298" s="4" t="s">
        <v>14</v>
      </c>
      <c r="C298" s="6">
        <v>0.49635416666666693</v>
      </c>
      <c r="D298" s="4" t="s">
        <v>68</v>
      </c>
      <c r="E298" s="56"/>
    </row>
    <row r="299">
      <c r="A299" s="4" t="str">
        <f>IFERROR(__xludf.DUMMYFUNCTION("""COMPUTED_VALUE"""),"300 - Channel")</f>
        <v>300 - Channel</v>
      </c>
      <c r="B299" s="4" t="s">
        <v>14</v>
      </c>
      <c r="C299" s="6">
        <v>0.4973958333333336</v>
      </c>
      <c r="D299" s="4" t="s">
        <v>383</v>
      </c>
      <c r="E299" s="56"/>
    </row>
    <row r="300">
      <c r="A300" s="4" t="str">
        <f>IFERROR(__xludf.DUMMYFUNCTION("""COMPUTED_VALUE"""),"1407 - Channel")</f>
        <v>1407 - Channel</v>
      </c>
      <c r="B300" s="4" t="s">
        <v>14</v>
      </c>
      <c r="C300" s="6">
        <v>0.49809027777777803</v>
      </c>
      <c r="D300" s="21" t="s">
        <v>384</v>
      </c>
      <c r="E300" s="56"/>
    </row>
    <row r="301">
      <c r="A301" s="4" t="str">
        <f>IFERROR(__xludf.DUMMYFUNCTION("""COMPUTED_VALUE"""),"307 - Channel")</f>
        <v>307 - Channel</v>
      </c>
      <c r="B301" s="4" t="s">
        <v>14</v>
      </c>
      <c r="C301" s="6">
        <v>0.4991319444444447</v>
      </c>
      <c r="D301" s="4" t="s">
        <v>81</v>
      </c>
      <c r="E301" s="56"/>
    </row>
    <row r="302">
      <c r="A302" s="4" t="str">
        <f>IFERROR(__xludf.DUMMYFUNCTION("""COMPUTED_VALUE"""),"308 - Channel")</f>
        <v>308 - Channel</v>
      </c>
      <c r="B302" s="4" t="s">
        <v>14</v>
      </c>
      <c r="C302" s="6">
        <v>0.4993634259259262</v>
      </c>
      <c r="D302" s="4" t="s">
        <v>385</v>
      </c>
      <c r="E302" s="56"/>
    </row>
    <row r="303">
      <c r="A303" s="4" t="str">
        <f>IFERROR(__xludf.DUMMYFUNCTION("""COMPUTED_VALUE"""),"1600 - Channel")</f>
        <v>1600 - Channel</v>
      </c>
      <c r="B303" s="4" t="s">
        <v>14</v>
      </c>
      <c r="C303" s="6">
        <v>0.5097800925925928</v>
      </c>
      <c r="D303" s="4" t="s">
        <v>80</v>
      </c>
      <c r="E303" s="56"/>
    </row>
    <row r="304">
      <c r="A304" s="4" t="str">
        <f>IFERROR(__xludf.DUMMYFUNCTION("""COMPUTED_VALUE"""),"303 - Channel")</f>
        <v>303 - Channel</v>
      </c>
      <c r="B304" s="4" t="s">
        <v>14</v>
      </c>
      <c r="C304" s="6">
        <v>0.5101273148148151</v>
      </c>
      <c r="D304" s="4" t="s">
        <v>386</v>
      </c>
      <c r="E304" s="56"/>
    </row>
    <row r="305">
      <c r="A305" s="4" t="str">
        <f>IFERROR(__xludf.DUMMYFUNCTION("""COMPUTED_VALUE"""),"304 - Channel")</f>
        <v>304 - Channel</v>
      </c>
      <c r="B305" s="4" t="s">
        <v>14</v>
      </c>
      <c r="C305" s="6">
        <v>0.5103587962962965</v>
      </c>
      <c r="D305" s="4" t="s">
        <v>387</v>
      </c>
      <c r="E305" s="81" t="s">
        <v>1788</v>
      </c>
    </row>
    <row r="306">
      <c r="A306" s="4" t="str">
        <f>IFERROR(__xludf.DUMMYFUNCTION("""COMPUTED_VALUE"""),"2260 - Channel")</f>
        <v>2260 - Channel</v>
      </c>
      <c r="B306" s="4" t="s">
        <v>14</v>
      </c>
      <c r="C306" s="6">
        <v>0.5124421296296299</v>
      </c>
      <c r="D306" s="4" t="s">
        <v>86</v>
      </c>
      <c r="E306" s="56"/>
    </row>
    <row r="307">
      <c r="A307" s="4" t="str">
        <f>IFERROR(__xludf.DUMMYFUNCTION("""COMPUTED_VALUE"""),"306 - Channel")</f>
        <v>306 - Channel</v>
      </c>
      <c r="B307" s="4" t="s">
        <v>14</v>
      </c>
      <c r="C307" s="6">
        <v>0.5126736111111113</v>
      </c>
      <c r="D307" s="4" t="s">
        <v>388</v>
      </c>
      <c r="E307" s="56"/>
    </row>
    <row r="308">
      <c r="A308" s="4" t="str">
        <f>IFERROR(__xludf.DUMMYFUNCTION("""COMPUTED_VALUE"""),"1434 - Channel")</f>
        <v>1434 - Channel</v>
      </c>
      <c r="B308" s="4" t="s">
        <v>14</v>
      </c>
      <c r="C308" s="6">
        <v>0.5130208333333336</v>
      </c>
      <c r="D308" s="4" t="s">
        <v>81</v>
      </c>
      <c r="E308" s="56"/>
    </row>
    <row r="309">
      <c r="A309" s="4" t="str">
        <f>IFERROR(__xludf.DUMMYFUNCTION("""COMPUTED_VALUE"""),"35 - Channel")</f>
        <v>35 - Channel</v>
      </c>
      <c r="B309" s="4" t="s">
        <v>14</v>
      </c>
      <c r="C309" s="6">
        <v>0.513252314814815</v>
      </c>
      <c r="D309" s="4" t="s">
        <v>389</v>
      </c>
      <c r="E309" s="81" t="s">
        <v>741</v>
      </c>
    </row>
    <row r="310">
      <c r="A310" s="4" t="str">
        <f>IFERROR(__xludf.DUMMYFUNCTION("""COMPUTED_VALUE"""),"147 - Channel")</f>
        <v>147 - Channel</v>
      </c>
      <c r="B310" s="4" t="s">
        <v>14</v>
      </c>
      <c r="C310" s="6">
        <v>0.5236689814814817</v>
      </c>
      <c r="D310" s="4" t="s">
        <v>392</v>
      </c>
      <c r="E310" s="56"/>
    </row>
    <row r="311">
      <c r="A311" s="4" t="str">
        <f>IFERROR(__xludf.DUMMYFUNCTION("""COMPUTED_VALUE"""),"1540 - Channel")</f>
        <v>1540 - Channel</v>
      </c>
      <c r="B311" s="4" t="s">
        <v>14</v>
      </c>
      <c r="C311" s="6">
        <v>0.5239004629629631</v>
      </c>
      <c r="D311" s="4" t="s">
        <v>393</v>
      </c>
      <c r="E311" s="81" t="s">
        <v>4538</v>
      </c>
    </row>
    <row r="312">
      <c r="A312" s="4" t="str">
        <f>IFERROR(__xludf.DUMMYFUNCTION("""COMPUTED_VALUE"""),"1737- Channel1 ")</f>
        <v>1737- Channel1 </v>
      </c>
      <c r="B312" s="4" t="s">
        <v>607</v>
      </c>
      <c r="C312" s="6" t="s">
        <v>607</v>
      </c>
      <c r="D312" s="4" t="s">
        <v>607</v>
      </c>
      <c r="E312" s="56" t="s">
        <v>607</v>
      </c>
    </row>
    <row r="313">
      <c r="A313" s="4" t="str">
        <f>IFERROR(__xludf.DUMMYFUNCTION("""COMPUTED_VALUE"""),"1645 - Channel")</f>
        <v>1645 - Channel</v>
      </c>
      <c r="B313" s="4" t="s">
        <v>14</v>
      </c>
      <c r="C313" s="6">
        <v>0.5262152777777779</v>
      </c>
      <c r="D313" s="4" t="s">
        <v>81</v>
      </c>
      <c r="E313" s="56"/>
    </row>
    <row r="314">
      <c r="A314" s="4" t="str">
        <f>IFERROR(__xludf.DUMMYFUNCTION("""COMPUTED_VALUE"""),"221 - Channel")</f>
        <v>221 - Channel</v>
      </c>
      <c r="B314" s="4" t="s">
        <v>14</v>
      </c>
      <c r="C314" s="6">
        <v>0.5264467592592593</v>
      </c>
      <c r="D314" s="4" t="s">
        <v>395</v>
      </c>
      <c r="E314" s="81" t="s">
        <v>1490</v>
      </c>
    </row>
    <row r="315">
      <c r="A315" s="4" t="str">
        <f>IFERROR(__xludf.DUMMYFUNCTION("""COMPUTED_VALUE"""),"316 - Channel")</f>
        <v>316 - Channel</v>
      </c>
      <c r="B315" s="4" t="s">
        <v>14</v>
      </c>
      <c r="C315" s="6">
        <v>0.5345486111111112</v>
      </c>
      <c r="D315" s="4" t="s">
        <v>81</v>
      </c>
      <c r="E315" s="56"/>
    </row>
    <row r="316">
      <c r="A316" s="4" t="str">
        <f>IFERROR(__xludf.DUMMYFUNCTION("""COMPUTED_VALUE"""),"1281 - Channel")</f>
        <v>1281 - Channel</v>
      </c>
      <c r="B316" s="4" t="s">
        <v>14</v>
      </c>
      <c r="C316" s="6">
        <v>0.5347800925925926</v>
      </c>
      <c r="D316" s="4" t="s">
        <v>399</v>
      </c>
      <c r="E316" s="81" t="s">
        <v>4516</v>
      </c>
    </row>
    <row r="317">
      <c r="A317" s="4" t="str">
        <f>IFERROR(__xludf.DUMMYFUNCTION("""COMPUTED_VALUE"""),"1571 - Channel")</f>
        <v>1571 - Channel</v>
      </c>
      <c r="B317" s="4" t="s">
        <v>14</v>
      </c>
      <c r="C317" s="6"/>
      <c r="D317" s="4"/>
      <c r="E317" s="56"/>
    </row>
    <row r="318">
      <c r="A318" s="4" t="str">
        <f>IFERROR(__xludf.DUMMYFUNCTION("""COMPUTED_VALUE"""),"314 - Channel")</f>
        <v>314 - Channel</v>
      </c>
      <c r="B318" s="4" t="s">
        <v>14</v>
      </c>
      <c r="C318" s="6">
        <v>0.5443865740740741</v>
      </c>
      <c r="D318" s="4" t="s">
        <v>88</v>
      </c>
      <c r="E318" s="56"/>
    </row>
    <row r="319">
      <c r="A319" s="4" t="str">
        <f>IFERROR(__xludf.DUMMYFUNCTION("""COMPUTED_VALUE"""),"315 - Channel")</f>
        <v>315 - Channel</v>
      </c>
      <c r="B319" s="4" t="s">
        <v>14</v>
      </c>
      <c r="C319" s="6">
        <v>0.5447337962962964</v>
      </c>
      <c r="D319" s="4" t="s">
        <v>403</v>
      </c>
      <c r="E319" s="56"/>
    </row>
    <row r="320">
      <c r="A320" s="4" t="str">
        <f>IFERROR(__xludf.DUMMYFUNCTION("""COMPUTED_VALUE"""),"2269 - Channel")</f>
        <v>2269 - Channel</v>
      </c>
      <c r="B320" s="4" t="s">
        <v>14</v>
      </c>
      <c r="C320" s="6">
        <v>0.5454282407407408</v>
      </c>
      <c r="D320" s="4" t="s">
        <v>81</v>
      </c>
      <c r="E320" s="56"/>
    </row>
    <row r="321">
      <c r="A321" s="4" t="str">
        <f>IFERROR(__xludf.DUMMYFUNCTION("""COMPUTED_VALUE"""),"2270 - Channel")</f>
        <v>2270 - Channel</v>
      </c>
      <c r="B321" s="4" t="s">
        <v>14</v>
      </c>
      <c r="C321" s="6">
        <v>0.5456597222222223</v>
      </c>
      <c r="D321" s="4" t="s">
        <v>404</v>
      </c>
      <c r="E321" s="81" t="s">
        <v>4544</v>
      </c>
    </row>
    <row r="322">
      <c r="A322" s="4" t="str">
        <f>IFERROR(__xludf.DUMMYFUNCTION("""COMPUTED_VALUE"""),"319 - Channel")</f>
        <v>319 - Channel</v>
      </c>
      <c r="B322" s="4" t="s">
        <v>14</v>
      </c>
      <c r="C322" s="6">
        <v>0.5560763888888889</v>
      </c>
      <c r="D322" s="4" t="s">
        <v>408</v>
      </c>
      <c r="E322" s="56"/>
    </row>
    <row r="323">
      <c r="A323" s="4" t="str">
        <f>IFERROR(__xludf.DUMMYFUNCTION("""COMPUTED_VALUE"""),"320 - Channel")</f>
        <v>320 - Channel</v>
      </c>
      <c r="B323" s="4" t="s">
        <v>14</v>
      </c>
      <c r="C323" s="6">
        <v>0.5563078703703703</v>
      </c>
      <c r="D323" s="4" t="s">
        <v>410</v>
      </c>
      <c r="E323" s="56"/>
    </row>
    <row r="324">
      <c r="A324" s="4" t="str">
        <f>IFERROR(__xludf.DUMMYFUNCTION("""COMPUTED_VALUE"""),"2261 - Channel")</f>
        <v>2261 - Channel</v>
      </c>
      <c r="B324" s="4" t="s">
        <v>14</v>
      </c>
      <c r="C324" s="6">
        <v>0.5583912037037037</v>
      </c>
      <c r="D324" s="4" t="s">
        <v>86</v>
      </c>
      <c r="E324" s="56"/>
    </row>
    <row r="325">
      <c r="A325" s="4" t="str">
        <f>IFERROR(__xludf.DUMMYFUNCTION("""COMPUTED_VALUE"""),"322 - Channel")</f>
        <v>322 - Channel</v>
      </c>
      <c r="B325" s="4" t="s">
        <v>14</v>
      </c>
      <c r="C325" s="6">
        <v>0.5583912037037037</v>
      </c>
      <c r="D325" s="4" t="s">
        <v>411</v>
      </c>
      <c r="E325" s="81" t="s">
        <v>1837</v>
      </c>
    </row>
    <row r="326">
      <c r="A326" s="4" t="str">
        <f>IFERROR(__xludf.DUMMYFUNCTION("""COMPUTED_VALUE"""),"324 - Channel")</f>
        <v>324 - Channel</v>
      </c>
      <c r="B326" s="4" t="s">
        <v>14</v>
      </c>
      <c r="C326" s="6">
        <v>0.5589814814814814</v>
      </c>
      <c r="D326" s="4" t="s">
        <v>81</v>
      </c>
      <c r="E326" s="56"/>
    </row>
    <row r="327">
      <c r="A327" s="4" t="str">
        <f>IFERROR(__xludf.DUMMYFUNCTION("""COMPUTED_VALUE"""),"343 - Channel")</f>
        <v>343 - Channel</v>
      </c>
      <c r="B327" s="4" t="s">
        <v>14</v>
      </c>
      <c r="C327" s="6">
        <v>0.5592129629629629</v>
      </c>
      <c r="D327" s="4" t="s">
        <v>412</v>
      </c>
      <c r="E327" s="81" t="s">
        <v>1866</v>
      </c>
    </row>
    <row r="328">
      <c r="A328" s="4" t="str">
        <f>IFERROR(__xludf.DUMMYFUNCTION("""COMPUTED_VALUE"""),"331 - Channel")</f>
        <v>331 - Channel</v>
      </c>
      <c r="B328" s="4" t="s">
        <v>14</v>
      </c>
      <c r="C328" s="6">
        <v>0.5696296296296295</v>
      </c>
      <c r="D328" s="4" t="s">
        <v>416</v>
      </c>
      <c r="E328" s="56"/>
    </row>
    <row r="329">
      <c r="A329" s="4" t="str">
        <f>IFERROR(__xludf.DUMMYFUNCTION("""COMPUTED_VALUE"""),"254 - Channel")</f>
        <v>254 - Channel</v>
      </c>
      <c r="B329" s="4" t="s">
        <v>14</v>
      </c>
      <c r="C329" s="6">
        <v>0.5698611111111109</v>
      </c>
      <c r="D329" s="4" t="s">
        <v>417</v>
      </c>
      <c r="E329" s="56"/>
    </row>
    <row r="330">
      <c r="A330" s="4" t="str">
        <f>IFERROR(__xludf.DUMMYFUNCTION("""COMPUTED_VALUE"""),"2262 - Channel")</f>
        <v>2262 - Channel</v>
      </c>
      <c r="B330" s="4" t="s">
        <v>14</v>
      </c>
      <c r="C330" s="6">
        <v>0.5719444444444443</v>
      </c>
      <c r="D330" s="4" t="s">
        <v>86</v>
      </c>
      <c r="E330" s="56"/>
    </row>
    <row r="331">
      <c r="A331" s="4" t="str">
        <f>IFERROR(__xludf.DUMMYFUNCTION("""COMPUTED_VALUE"""),"2266 - Channel")</f>
        <v>2266 - Channel</v>
      </c>
      <c r="B331" s="4" t="s">
        <v>14</v>
      </c>
      <c r="C331" s="6">
        <v>0.5719444444444443</v>
      </c>
      <c r="D331" s="4" t="s">
        <v>81</v>
      </c>
      <c r="E331" s="56"/>
    </row>
    <row r="332">
      <c r="A332" s="4" t="str">
        <f>IFERROR(__xludf.DUMMYFUNCTION("""COMPUTED_VALUE"""),"2267 - Channel")</f>
        <v>2267 - Channel</v>
      </c>
      <c r="B332" s="4" t="s">
        <v>14</v>
      </c>
      <c r="C332" s="6">
        <v>0.5721759259259257</v>
      </c>
      <c r="D332" s="4" t="s">
        <v>418</v>
      </c>
      <c r="E332" s="56"/>
    </row>
    <row r="333">
      <c r="A333" s="4" t="str">
        <f>IFERROR(__xludf.DUMMYFUNCTION("""COMPUTED_VALUE"""),"381 - Channel")</f>
        <v>381 - Channel</v>
      </c>
      <c r="B333" s="4" t="s">
        <v>14</v>
      </c>
      <c r="C333" s="6">
        <v>0.580509259259259</v>
      </c>
      <c r="D333" s="4" t="s">
        <v>119</v>
      </c>
      <c r="E333" s="56"/>
    </row>
    <row r="334">
      <c r="A334" s="4" t="str">
        <f>IFERROR(__xludf.DUMMYFUNCTION("""COMPUTED_VALUE"""),"382 - Channel")</f>
        <v>382 - Channel</v>
      </c>
      <c r="B334" s="4" t="s">
        <v>14</v>
      </c>
      <c r="C334" s="6">
        <v>0.5807407407407404</v>
      </c>
      <c r="D334" s="4" t="s">
        <v>420</v>
      </c>
      <c r="E334" s="81" t="s">
        <v>1931</v>
      </c>
    </row>
    <row r="335">
      <c r="A335" s="4" t="str">
        <f>IFERROR(__xludf.DUMMYFUNCTION("""COMPUTED_VALUE"""),"334 - Channel")</f>
        <v>334 - Channel</v>
      </c>
      <c r="B335" s="4" t="s">
        <v>14</v>
      </c>
      <c r="C335" s="6">
        <v>0.586296296296296</v>
      </c>
      <c r="D335" s="4" t="s">
        <v>80</v>
      </c>
      <c r="E335" s="56"/>
    </row>
    <row r="336">
      <c r="A336" s="4" t="str">
        <f>IFERROR(__xludf.DUMMYFUNCTION("""COMPUTED_VALUE"""),"1798 - Channel")</f>
        <v>1798 - Channel</v>
      </c>
      <c r="B336" s="4" t="s">
        <v>14</v>
      </c>
      <c r="C336" s="6"/>
      <c r="D336" s="4"/>
      <c r="E336" s="56"/>
    </row>
    <row r="337">
      <c r="A337" s="4" t="str">
        <f>IFERROR(__xludf.DUMMYFUNCTION("""COMPUTED_VALUE"""),"335 - Channel")</f>
        <v>335 - Channel</v>
      </c>
      <c r="B337" s="4" t="s">
        <v>14</v>
      </c>
      <c r="C337" s="6">
        <v>0.5866435185185183</v>
      </c>
      <c r="D337" s="4" t="s">
        <v>422</v>
      </c>
      <c r="E337" s="56"/>
    </row>
    <row r="338">
      <c r="A338" s="4" t="str">
        <f>IFERROR(__xludf.DUMMYFUNCTION("""COMPUTED_VALUE"""),"1588 - Channel")</f>
        <v>1588 - Channel</v>
      </c>
      <c r="B338" s="4" t="s">
        <v>14</v>
      </c>
      <c r="C338" s="6">
        <v>0.5873379629629627</v>
      </c>
      <c r="D338" s="4" t="s">
        <v>119</v>
      </c>
      <c r="E338" s="56"/>
    </row>
    <row r="339">
      <c r="A339" s="4" t="str">
        <f>IFERROR(__xludf.DUMMYFUNCTION("""COMPUTED_VALUE"""),"1589 - Channel")</f>
        <v>1589 - Channel</v>
      </c>
      <c r="B339" s="4" t="s">
        <v>14</v>
      </c>
      <c r="C339" s="6">
        <v>0.5875694444444441</v>
      </c>
      <c r="D339" s="4" t="s">
        <v>423</v>
      </c>
      <c r="E339" s="56"/>
    </row>
    <row r="340">
      <c r="A340" s="4" t="str">
        <f>IFERROR(__xludf.DUMMYFUNCTION("""COMPUTED_VALUE"""),"1421 - Channel")</f>
        <v>1421 - Channel</v>
      </c>
      <c r="B340" s="4" t="s">
        <v>14</v>
      </c>
      <c r="C340" s="6">
        <v>0.5979861111111108</v>
      </c>
      <c r="D340" s="4" t="s">
        <v>426</v>
      </c>
      <c r="E340" s="81" t="s">
        <v>4047</v>
      </c>
    </row>
    <row r="341">
      <c r="A341" s="4" t="str">
        <f>IFERROR(__xludf.DUMMYFUNCTION("""COMPUTED_VALUE"""),"339 - Channel")</f>
        <v>339 - Channel</v>
      </c>
      <c r="B341" s="4" t="s">
        <v>14</v>
      </c>
      <c r="C341" s="6">
        <v>0.5991898148148145</v>
      </c>
      <c r="D341" s="4" t="s">
        <v>427</v>
      </c>
      <c r="E341" s="56"/>
    </row>
    <row r="342">
      <c r="A342" s="4" t="str">
        <f>IFERROR(__xludf.DUMMYFUNCTION("""COMPUTED_VALUE"""),"340 - Channel")</f>
        <v>340 - Channel</v>
      </c>
      <c r="B342" s="4" t="s">
        <v>14</v>
      </c>
      <c r="C342" s="6">
        <v>0.5994212962962959</v>
      </c>
      <c r="D342" s="4" t="s">
        <v>428</v>
      </c>
      <c r="E342" s="56"/>
    </row>
    <row r="343">
      <c r="A343" s="4" t="str">
        <f>IFERROR(__xludf.DUMMYFUNCTION("""COMPUTED_VALUE"""),"2263 - Channel")</f>
        <v>2263 - Channel</v>
      </c>
      <c r="B343" s="4" t="s">
        <v>14</v>
      </c>
      <c r="C343" s="6">
        <v>0.6015046296296293</v>
      </c>
      <c r="D343" s="4" t="s">
        <v>86</v>
      </c>
      <c r="E343" s="56"/>
    </row>
    <row r="344">
      <c r="A344" s="4" t="str">
        <f>IFERROR(__xludf.DUMMYFUNCTION("""COMPUTED_VALUE"""),"1424 - Channel")</f>
        <v>1424 - Channel</v>
      </c>
      <c r="B344" s="4" t="s">
        <v>14</v>
      </c>
      <c r="C344" s="6">
        <v>0.6017361111111107</v>
      </c>
      <c r="D344" s="4" t="s">
        <v>80</v>
      </c>
      <c r="E344" s="56"/>
    </row>
    <row r="345">
      <c r="A345" s="4" t="str">
        <f>IFERROR(__xludf.DUMMYFUNCTION("""COMPUTED_VALUE"""),"1405 - Channel")</f>
        <v>1405 - Channel</v>
      </c>
      <c r="B345" s="4" t="s">
        <v>14</v>
      </c>
      <c r="C345" s="6">
        <v>0.602256944444444</v>
      </c>
      <c r="D345" s="4" t="s">
        <v>81</v>
      </c>
      <c r="E345" s="56"/>
    </row>
    <row r="346">
      <c r="A346" s="4" t="str">
        <f>IFERROR(__xludf.DUMMYFUNCTION("""COMPUTED_VALUE"""),"1279 - Channel")</f>
        <v>1279 - Channel</v>
      </c>
      <c r="B346" s="4" t="s">
        <v>14</v>
      </c>
      <c r="C346" s="6">
        <v>0.6024884259259254</v>
      </c>
      <c r="D346" s="4" t="s">
        <v>429</v>
      </c>
      <c r="E346" s="81" t="s">
        <v>4510</v>
      </c>
    </row>
    <row r="347">
      <c r="A347" s="4" t="str">
        <f>IFERROR(__xludf.DUMMYFUNCTION("""COMPUTED_VALUE"""),"1427 - Channel")</f>
        <v>1427 - Channel</v>
      </c>
      <c r="B347" s="4" t="s">
        <v>14</v>
      </c>
      <c r="C347" s="6">
        <v>0.6135995370370365</v>
      </c>
      <c r="D347" s="4" t="s">
        <v>434</v>
      </c>
      <c r="E347" s="56"/>
    </row>
    <row r="348">
      <c r="A348" s="4" t="str">
        <f>IFERROR(__xludf.DUMMYFUNCTION("""COMPUTED_VALUE"""),"1429 - Channel")</f>
        <v>1429 - Channel</v>
      </c>
      <c r="B348" s="4" t="s">
        <v>14</v>
      </c>
      <c r="C348" s="6">
        <v>0.613831018518518</v>
      </c>
      <c r="D348" s="4" t="s">
        <v>435</v>
      </c>
      <c r="E348" s="56"/>
    </row>
    <row r="349">
      <c r="A349" s="4" t="str">
        <f>IFERROR(__xludf.DUMMYFUNCTION("""COMPUTED_VALUE"""),"2264 - Channel")</f>
        <v>2264 - Channel</v>
      </c>
      <c r="B349" s="4" t="s">
        <v>14</v>
      </c>
      <c r="C349" s="6">
        <v>0.6159143518518513</v>
      </c>
      <c r="D349" s="4" t="s">
        <v>86</v>
      </c>
      <c r="E349" s="56"/>
    </row>
    <row r="350">
      <c r="A350" s="4" t="str">
        <f>IFERROR(__xludf.DUMMYFUNCTION("""COMPUTED_VALUE"""),"12 - Channel")</f>
        <v>12 - Channel</v>
      </c>
      <c r="B350" s="4" t="s">
        <v>14</v>
      </c>
      <c r="C350" s="6">
        <v>0.6161458333333327</v>
      </c>
      <c r="D350" s="4" t="s">
        <v>81</v>
      </c>
      <c r="E350" s="56"/>
    </row>
    <row r="351">
      <c r="A351" s="4" t="str">
        <f>IFERROR(__xludf.DUMMYFUNCTION("""COMPUTED_VALUE"""),"13 - Channel")</f>
        <v>13 - Channel</v>
      </c>
      <c r="B351" s="4" t="s">
        <v>14</v>
      </c>
      <c r="C351" s="6">
        <v>0.6163773148148142</v>
      </c>
      <c r="D351" s="4" t="s">
        <v>436</v>
      </c>
      <c r="E351" s="81" t="s">
        <v>650</v>
      </c>
    </row>
    <row r="352">
      <c r="A352" s="4" t="str">
        <f>IFERROR(__xludf.DUMMYFUNCTION("""COMPUTED_VALUE"""),"1594 - Channel")</f>
        <v>1594 - Channel</v>
      </c>
      <c r="B352" s="4" t="s">
        <v>14</v>
      </c>
      <c r="C352" s="6">
        <v>0.6267939814814808</v>
      </c>
      <c r="D352" s="4" t="s">
        <v>80</v>
      </c>
      <c r="E352" s="56"/>
    </row>
    <row r="353">
      <c r="A353" s="4" t="str">
        <f>IFERROR(__xludf.DUMMYFUNCTION("""COMPUTED_VALUE"""),"1799 - Channel")</f>
        <v>1799 - Channel</v>
      </c>
      <c r="B353" s="4" t="s">
        <v>14</v>
      </c>
      <c r="C353" s="6"/>
      <c r="D353" s="4"/>
      <c r="E353" s="56"/>
    </row>
    <row r="354">
      <c r="A354" s="4" t="str">
        <f>IFERROR(__xludf.DUMMYFUNCTION("""COMPUTED_VALUE"""),"351 - Channel")</f>
        <v>351 - Channel</v>
      </c>
      <c r="B354" s="4" t="s">
        <v>14</v>
      </c>
      <c r="C354" s="6">
        <v>0.6271412037037031</v>
      </c>
      <c r="D354" s="4" t="s">
        <v>68</v>
      </c>
      <c r="E354" s="56"/>
    </row>
    <row r="355">
      <c r="A355" s="4" t="str">
        <f>IFERROR(__xludf.DUMMYFUNCTION("""COMPUTED_VALUE"""),"352 - Channel")</f>
        <v>352 - Channel</v>
      </c>
      <c r="B355" s="4" t="s">
        <v>14</v>
      </c>
      <c r="C355" s="6">
        <v>0.6281828703703698</v>
      </c>
      <c r="D355" s="4" t="s">
        <v>440</v>
      </c>
      <c r="E355" s="56"/>
    </row>
    <row r="356">
      <c r="A356" s="4" t="str">
        <f>IFERROR(__xludf.DUMMYFUNCTION("""COMPUTED_VALUE"""),"1966 - Channel")</f>
        <v>1966 - Channel</v>
      </c>
      <c r="B356" s="4" t="s">
        <v>14</v>
      </c>
      <c r="C356" s="6">
        <v>0.6288773148148142</v>
      </c>
      <c r="D356" s="4" t="s">
        <v>81</v>
      </c>
      <c r="E356" s="56"/>
    </row>
    <row r="357">
      <c r="A357" s="4" t="str">
        <f>IFERROR(__xludf.DUMMYFUNCTION("""COMPUTED_VALUE"""),"129 - Channel")</f>
        <v>129 - Channel</v>
      </c>
      <c r="B357" s="4" t="s">
        <v>14</v>
      </c>
      <c r="C357" s="6">
        <v>0.6291087962962957</v>
      </c>
      <c r="D357" s="4" t="s">
        <v>442</v>
      </c>
      <c r="E357" s="81" t="s">
        <v>1121</v>
      </c>
    </row>
    <row r="358">
      <c r="A358" s="4" t="str">
        <f>IFERROR(__xludf.DUMMYFUNCTION("""COMPUTED_VALUE"""),"107 - Channel")</f>
        <v>107 - Channel</v>
      </c>
      <c r="B358" s="4" t="s">
        <v>14</v>
      </c>
      <c r="C358" s="6">
        <v>0.642777777777777</v>
      </c>
      <c r="D358" s="4" t="s">
        <v>81</v>
      </c>
      <c r="E358" s="56"/>
    </row>
    <row r="359">
      <c r="A359" s="4" t="str">
        <f>IFERROR(__xludf.DUMMYFUNCTION("""COMPUTED_VALUE"""),"356 - Channel")</f>
        <v>356 - Channel</v>
      </c>
      <c r="B359" s="4" t="s">
        <v>14</v>
      </c>
      <c r="C359" s="6">
        <v>0.6397106481481475</v>
      </c>
      <c r="D359" s="4" t="s">
        <v>445</v>
      </c>
      <c r="E359" s="56"/>
    </row>
    <row r="360">
      <c r="A360" s="4" t="str">
        <f>IFERROR(__xludf.DUMMYFUNCTION("""COMPUTED_VALUE"""),"357 - Channel")</f>
        <v>357 - Channel</v>
      </c>
      <c r="B360" s="4" t="s">
        <v>14</v>
      </c>
      <c r="C360" s="6">
        <v>0.6399421296296289</v>
      </c>
      <c r="D360" s="4" t="s">
        <v>447</v>
      </c>
      <c r="E360" s="81" t="s">
        <v>1888</v>
      </c>
    </row>
    <row r="361">
      <c r="A361" s="4" t="str">
        <f>IFERROR(__xludf.DUMMYFUNCTION("""COMPUTED_VALUE"""),"2265 - Channel")</f>
        <v>2265 - Channel</v>
      </c>
      <c r="B361" s="4" t="s">
        <v>14</v>
      </c>
      <c r="C361" s="6">
        <v>0.6420254629629623</v>
      </c>
      <c r="D361" s="4" t="s">
        <v>86</v>
      </c>
      <c r="E361" s="56"/>
    </row>
    <row r="362">
      <c r="A362" s="4" t="str">
        <f>IFERROR(__xludf.DUMMYFUNCTION("""COMPUTED_VALUE"""),"1591 - Channel")</f>
        <v>1591 - Channel</v>
      </c>
      <c r="B362" s="4" t="s">
        <v>14</v>
      </c>
      <c r="C362" s="6">
        <v>0.6422569444444437</v>
      </c>
      <c r="D362" s="4" t="s">
        <v>80</v>
      </c>
      <c r="E362" s="56"/>
    </row>
    <row r="363">
      <c r="A363" s="4" t="str">
        <f>IFERROR(__xludf.DUMMYFUNCTION("""COMPUTED_VALUE"""),"109 - Channel")</f>
        <v>109 - Channel</v>
      </c>
      <c r="B363" s="4" t="s">
        <v>14</v>
      </c>
      <c r="C363" s="6">
        <v>0.6430092592592584</v>
      </c>
      <c r="D363" s="4" t="s">
        <v>448</v>
      </c>
      <c r="E363" s="56"/>
    </row>
    <row r="364">
      <c r="A364" s="4" t="str">
        <f>IFERROR(__xludf.DUMMYFUNCTION("""COMPUTED_VALUE"""),"2280 - Channel")</f>
        <v>2280 - Channel</v>
      </c>
      <c r="B364" s="4" t="s">
        <v>14</v>
      </c>
      <c r="C364" s="6">
        <v>0.648564814814814</v>
      </c>
      <c r="D364" s="4" t="s">
        <v>81</v>
      </c>
      <c r="E364" s="56"/>
    </row>
    <row r="365">
      <c r="A365" s="4" t="str">
        <f>IFERROR(__xludf.DUMMYFUNCTION("""COMPUTED_VALUE"""),"104 - Channel")</f>
        <v>104 - Channel</v>
      </c>
      <c r="B365" s="4" t="s">
        <v>14</v>
      </c>
      <c r="C365" s="6">
        <v>0.6487962962962954</v>
      </c>
      <c r="D365" s="4" t="s">
        <v>450</v>
      </c>
      <c r="E365" s="56"/>
    </row>
    <row r="366">
      <c r="A366" s="4" t="str">
        <f>IFERROR(__xludf.DUMMYFUNCTION("""COMPUTED_VALUE"""),"97 - Channel")</f>
        <v>97 - Channel</v>
      </c>
      <c r="B366" s="4" t="s">
        <v>14</v>
      </c>
      <c r="C366" s="6">
        <v>0.6599074074074065</v>
      </c>
      <c r="D366" s="4" t="s">
        <v>81</v>
      </c>
      <c r="E366" s="56"/>
    </row>
    <row r="367">
      <c r="A367" s="4" t="str">
        <f>IFERROR(__xludf.DUMMYFUNCTION("""COMPUTED_VALUE"""),"98 - Channel")</f>
        <v>98 - Channel</v>
      </c>
      <c r="B367" s="4" t="s">
        <v>14</v>
      </c>
      <c r="C367" s="6">
        <v>0.6601388888888879</v>
      </c>
      <c r="D367" s="4" t="s">
        <v>454</v>
      </c>
      <c r="E367" s="81" t="s">
        <v>989</v>
      </c>
    </row>
    <row r="368">
      <c r="A368" s="4" t="str">
        <f>IFERROR(__xludf.DUMMYFUNCTION("""COMPUTED_VALUE"""),"1795 - Channel")</f>
        <v>1795 - Channel</v>
      </c>
      <c r="B368" s="4" t="s">
        <v>14</v>
      </c>
      <c r="C368" s="6"/>
      <c r="D368" s="4"/>
      <c r="E368" s="56"/>
    </row>
    <row r="369">
      <c r="A369" s="4" t="str">
        <f>IFERROR(__xludf.DUMMYFUNCTION("""COMPUTED_VALUE"""),"370 - Channel")</f>
        <v>370 - Channel</v>
      </c>
      <c r="B369" s="4" t="s">
        <v>14</v>
      </c>
      <c r="C369" s="6">
        <v>0.6683449074074065</v>
      </c>
      <c r="D369" s="4" t="s">
        <v>456</v>
      </c>
      <c r="E369" s="56"/>
    </row>
    <row r="370">
      <c r="A370" s="4" t="str">
        <f>IFERROR(__xludf.DUMMYFUNCTION("""COMPUTED_VALUE"""),"142 - Channel")</f>
        <v>142 - Channel</v>
      </c>
      <c r="B370" s="4" t="s">
        <v>14</v>
      </c>
      <c r="C370" s="6">
        <v>0.6690393518518509</v>
      </c>
      <c r="D370" s="4" t="s">
        <v>81</v>
      </c>
      <c r="E370" s="56"/>
    </row>
    <row r="371">
      <c r="A371" s="4" t="str">
        <f>IFERROR(__xludf.DUMMYFUNCTION("""COMPUTED_VALUE"""),"143 - Channel")</f>
        <v>143 - Channel</v>
      </c>
      <c r="B371" s="4" t="s">
        <v>14</v>
      </c>
      <c r="C371" s="6">
        <v>0.6692708333333324</v>
      </c>
      <c r="D371" s="4" t="s">
        <v>458</v>
      </c>
      <c r="E371" s="81" t="s">
        <v>1174</v>
      </c>
    </row>
    <row r="372">
      <c r="A372" s="4" t="str">
        <f>IFERROR(__xludf.DUMMYFUNCTION("""COMPUTED_VALUE"""),"377 - Channel")</f>
        <v>377 - Channel</v>
      </c>
      <c r="B372" s="4" t="s">
        <v>14</v>
      </c>
      <c r="C372" s="6">
        <v>0.6804745370370361</v>
      </c>
      <c r="D372" s="4" t="s">
        <v>81</v>
      </c>
      <c r="E372" s="56"/>
    </row>
    <row r="373">
      <c r="A373" s="4" t="str">
        <f>IFERROR(__xludf.DUMMYFUNCTION("""COMPUTED_VALUE"""),"378 - Channel")</f>
        <v>378 - Channel</v>
      </c>
      <c r="B373" s="4" t="s">
        <v>14</v>
      </c>
      <c r="C373" s="6">
        <v>0.6807060185185175</v>
      </c>
      <c r="D373" s="4" t="s">
        <v>462</v>
      </c>
      <c r="E373" s="81" t="s">
        <v>1921</v>
      </c>
    </row>
    <row r="374">
      <c r="A374" s="4" t="str">
        <f>IFERROR(__xludf.DUMMYFUNCTION("""COMPUTED_VALUE"""),"1718 - Channel")</f>
        <v>1718 - Channel</v>
      </c>
      <c r="B374" s="4" t="s">
        <v>14</v>
      </c>
      <c r="C374" s="6">
        <v>0.6911226851851842</v>
      </c>
      <c r="D374" s="4" t="s">
        <v>465</v>
      </c>
      <c r="E374" s="56"/>
    </row>
    <row r="375">
      <c r="A375" s="4" t="str">
        <f>IFERROR(__xludf.DUMMYFUNCTION("""COMPUTED_VALUE"""),"1618 - Channel")</f>
        <v>1618 - Channel</v>
      </c>
      <c r="B375" s="4" t="s">
        <v>14</v>
      </c>
      <c r="C375" s="6">
        <v>0.6921643518518509</v>
      </c>
      <c r="D375" s="4" t="s">
        <v>119</v>
      </c>
      <c r="E375" s="56"/>
    </row>
    <row r="376">
      <c r="A376" s="4" t="str">
        <f>IFERROR(__xludf.DUMMYFUNCTION("""COMPUTED_VALUE"""),"387 - Channel")</f>
        <v>387 - Channel</v>
      </c>
      <c r="B376" s="4" t="s">
        <v>14</v>
      </c>
      <c r="C376" s="6">
        <v>0.6923958333333323</v>
      </c>
      <c r="D376" s="4" t="s">
        <v>466</v>
      </c>
      <c r="E376" s="56"/>
    </row>
    <row r="377">
      <c r="A377" s="4" t="str">
        <f>IFERROR(__xludf.DUMMYFUNCTION("""COMPUTED_VALUE"""),"1612 - Channel")</f>
        <v>1612 - Channel</v>
      </c>
      <c r="B377" s="4" t="s">
        <v>14</v>
      </c>
      <c r="C377" s="6">
        <v>0.696562499999999</v>
      </c>
      <c r="D377" s="4" t="s">
        <v>81</v>
      </c>
      <c r="E377" s="56"/>
    </row>
    <row r="378">
      <c r="A378" s="4" t="str">
        <f>IFERROR(__xludf.DUMMYFUNCTION("""COMPUTED_VALUE"""),"1613 - Channel")</f>
        <v>1613 - Channel</v>
      </c>
      <c r="B378" s="4" t="s">
        <v>14</v>
      </c>
      <c r="C378" s="6">
        <v>0.6967939814814804</v>
      </c>
      <c r="D378" s="4" t="s">
        <v>202</v>
      </c>
      <c r="E378" s="56"/>
    </row>
    <row r="379">
      <c r="A379" s="4" t="str">
        <f>IFERROR(__xludf.DUMMYFUNCTION("""COMPUTED_VALUE"""),"388 - Channel")</f>
        <v>388 - Channel</v>
      </c>
      <c r="B379" s="4" t="s">
        <v>14</v>
      </c>
      <c r="C379" s="6">
        <v>0.7106828703703693</v>
      </c>
      <c r="D379" s="4" t="s">
        <v>468</v>
      </c>
      <c r="E379" s="56"/>
    </row>
    <row r="380">
      <c r="A380" s="4" t="str">
        <f>IFERROR(__xludf.DUMMYFUNCTION("""COMPUTED_VALUE"""),"389 - Channel")</f>
        <v>389 - Channel</v>
      </c>
      <c r="B380" s="4" t="s">
        <v>469</v>
      </c>
      <c r="C380" s="6"/>
      <c r="D380" s="4"/>
      <c r="E380" s="56"/>
    </row>
    <row r="381">
      <c r="A381" s="4" t="str">
        <f>IFERROR(__xludf.DUMMYFUNCTION("""COMPUTED_VALUE"""),"390 - Channel")</f>
        <v>390 - Channel</v>
      </c>
      <c r="B381" s="4" t="s">
        <v>65</v>
      </c>
      <c r="C381" s="6"/>
      <c r="D381" s="4"/>
      <c r="E381" s="56"/>
    </row>
    <row r="382">
      <c r="A382" s="4" t="str">
        <f>IFERROR(__xludf.DUMMYFUNCTION("""COMPUTED_VALUE"""),"391 - Channel")</f>
        <v>391 - Channel</v>
      </c>
      <c r="B382" s="4" t="s">
        <v>16</v>
      </c>
      <c r="C382" s="6">
        <v>0.4166666666666667</v>
      </c>
      <c r="D382" s="4" t="s">
        <v>470</v>
      </c>
      <c r="E382" s="56"/>
    </row>
    <row r="383">
      <c r="A383" s="4" t="str">
        <f>IFERROR(__xludf.DUMMYFUNCTION("""COMPUTED_VALUE"""),"1667 - Channel")</f>
        <v>1667 - Channel</v>
      </c>
      <c r="B383" s="4" t="s">
        <v>16</v>
      </c>
      <c r="C383" s="6">
        <v>0.41770833333333335</v>
      </c>
      <c r="D383" s="4" t="s">
        <v>472</v>
      </c>
      <c r="E383" s="56"/>
    </row>
    <row r="384">
      <c r="A384" s="4" t="str">
        <f>IFERROR(__xludf.DUMMYFUNCTION("""COMPUTED_VALUE"""),"392 - Channel")</f>
        <v>392 - Channel</v>
      </c>
      <c r="B384" s="4" t="s">
        <v>16</v>
      </c>
      <c r="C384" s="6">
        <v>0.41793981481481485</v>
      </c>
      <c r="D384" s="4" t="s">
        <v>81</v>
      </c>
      <c r="E384" s="56"/>
    </row>
    <row r="385">
      <c r="A385" s="4" t="str">
        <f>IFERROR(__xludf.DUMMYFUNCTION("""COMPUTED_VALUE"""),"393 - Channel")</f>
        <v>393 - Channel</v>
      </c>
      <c r="B385" s="4" t="s">
        <v>16</v>
      </c>
      <c r="C385" s="6">
        <v>0.41828703703703707</v>
      </c>
      <c r="D385" s="4" t="s">
        <v>473</v>
      </c>
      <c r="E385" s="56"/>
    </row>
    <row r="386">
      <c r="A386" s="4" t="str">
        <f>IFERROR(__xludf.DUMMYFUNCTION("""COMPUTED_VALUE"""),"394 - Channel")</f>
        <v>394 - Channel</v>
      </c>
      <c r="B386" s="4" t="s">
        <v>16</v>
      </c>
      <c r="C386" s="6">
        <v>0.4252314814814815</v>
      </c>
      <c r="D386" s="4" t="s">
        <v>85</v>
      </c>
      <c r="E386" s="56"/>
    </row>
    <row r="387">
      <c r="A387" s="4" t="str">
        <f>IFERROR(__xludf.DUMMYFUNCTION("""COMPUTED_VALUE"""),"439 - Channel")</f>
        <v>439 - Channel</v>
      </c>
      <c r="B387" s="4" t="s">
        <v>16</v>
      </c>
      <c r="C387" s="6">
        <v>0.4254050925925926</v>
      </c>
      <c r="D387" s="4" t="s">
        <v>475</v>
      </c>
      <c r="E387" s="56"/>
    </row>
    <row r="388">
      <c r="A388" s="4" t="str">
        <f>IFERROR(__xludf.DUMMYFUNCTION("""COMPUTED_VALUE"""),"395 - Channel")</f>
        <v>395 - Channel</v>
      </c>
      <c r="B388" s="4" t="s">
        <v>16</v>
      </c>
      <c r="C388" s="6">
        <v>0.4254050925925926</v>
      </c>
      <c r="D388" s="4" t="s">
        <v>81</v>
      </c>
      <c r="E388" s="56"/>
    </row>
    <row r="389">
      <c r="A389" s="4" t="str">
        <f>IFERROR(__xludf.DUMMYFUNCTION("""COMPUTED_VALUE"""),"396 - Channel")</f>
        <v>396 - Channel</v>
      </c>
      <c r="B389" s="4" t="s">
        <v>16</v>
      </c>
      <c r="C389" s="6">
        <v>0.42574074074074075</v>
      </c>
      <c r="D389" s="4" t="s">
        <v>476</v>
      </c>
      <c r="E389" s="81" t="s">
        <v>1952</v>
      </c>
    </row>
    <row r="390">
      <c r="A390" s="4" t="str">
        <f>IFERROR(__xludf.DUMMYFUNCTION("""COMPUTED_VALUE"""),"397 - Channel")</f>
        <v>397 - Channel</v>
      </c>
      <c r="B390" s="4" t="s">
        <v>16</v>
      </c>
      <c r="C390" s="6">
        <v>0.4355671296296296</v>
      </c>
      <c r="D390" s="4" t="s">
        <v>85</v>
      </c>
      <c r="E390" s="56"/>
    </row>
    <row r="391">
      <c r="A391" s="4" t="str">
        <f>IFERROR(__xludf.DUMMYFUNCTION("""COMPUTED_VALUE"""),"493 - Channel")</f>
        <v>493 - Channel</v>
      </c>
      <c r="B391" s="4" t="s">
        <v>16</v>
      </c>
      <c r="C391" s="6">
        <v>0.43574074074074076</v>
      </c>
      <c r="D391" s="4" t="s">
        <v>81</v>
      </c>
      <c r="E391" s="56"/>
    </row>
    <row r="392">
      <c r="A392" s="4" t="str">
        <f>IFERROR(__xludf.DUMMYFUNCTION("""COMPUTED_VALUE"""),"494 - Channel")</f>
        <v>494 - Channel</v>
      </c>
      <c r="B392" s="4" t="s">
        <v>16</v>
      </c>
      <c r="C392" s="6">
        <v>0.436087962962963</v>
      </c>
      <c r="D392" s="4" t="s">
        <v>482</v>
      </c>
      <c r="E392" s="81" t="s">
        <v>2136</v>
      </c>
    </row>
    <row r="393">
      <c r="A393" s="4" t="str">
        <f>IFERROR(__xludf.DUMMYFUNCTION("""COMPUTED_VALUE"""),"495- Channel")</f>
        <v>495- Channel</v>
      </c>
      <c r="B393" s="4" t="s">
        <v>607</v>
      </c>
      <c r="C393" s="6" t="s">
        <v>607</v>
      </c>
      <c r="D393" s="4" t="s">
        <v>607</v>
      </c>
      <c r="E393" s="56" t="s">
        <v>607</v>
      </c>
    </row>
    <row r="394">
      <c r="A394" s="4" t="str">
        <f>IFERROR(__xludf.DUMMYFUNCTION("""COMPUTED_VALUE"""),"489 - Channel")</f>
        <v>489 - Channel</v>
      </c>
      <c r="B394" s="4" t="s">
        <v>16</v>
      </c>
      <c r="C394" s="6">
        <v>0.4439467592592593</v>
      </c>
      <c r="D394" s="4" t="s">
        <v>81</v>
      </c>
      <c r="E394" s="56"/>
    </row>
    <row r="395">
      <c r="A395" s="4" t="str">
        <f>IFERROR(__xludf.DUMMYFUNCTION("""COMPUTED_VALUE"""),"490 - Channel")</f>
        <v>490 - Channel</v>
      </c>
      <c r="B395" s="4" t="s">
        <v>16</v>
      </c>
      <c r="C395" s="6">
        <v>0.4442939814814815</v>
      </c>
      <c r="D395" s="4" t="s">
        <v>485</v>
      </c>
      <c r="E395" s="81" t="s">
        <v>2122</v>
      </c>
    </row>
    <row r="396">
      <c r="A396" s="4" t="str">
        <f>IFERROR(__xludf.DUMMYFUNCTION("""COMPUTED_VALUE"""),"491 - Channel")</f>
        <v>491 - Channel</v>
      </c>
      <c r="B396" s="4" t="s">
        <v>16</v>
      </c>
      <c r="C396" s="6">
        <v>0.45906250000000004</v>
      </c>
      <c r="D396" s="4" t="s">
        <v>85</v>
      </c>
      <c r="E396" s="56"/>
    </row>
    <row r="397">
      <c r="A397" s="4" t="str">
        <f>IFERROR(__xludf.DUMMYFUNCTION("""COMPUTED_VALUE"""),"1451 - Channel")</f>
        <v>1451 - Channel</v>
      </c>
      <c r="B397" s="4" t="s">
        <v>16</v>
      </c>
      <c r="C397" s="6"/>
      <c r="D397" s="4"/>
      <c r="E397" s="56"/>
    </row>
    <row r="398">
      <c r="A398" s="4" t="str">
        <f>IFERROR(__xludf.DUMMYFUNCTION("""COMPUTED_VALUE"""),"407 - Channel")</f>
        <v>407 - Channel</v>
      </c>
      <c r="B398" s="4" t="s">
        <v>16</v>
      </c>
      <c r="C398" s="6">
        <v>0.4592361111111112</v>
      </c>
      <c r="D398" s="4" t="s">
        <v>81</v>
      </c>
      <c r="E398" s="56"/>
    </row>
    <row r="399">
      <c r="A399" s="4" t="str">
        <f>IFERROR(__xludf.DUMMYFUNCTION("""COMPUTED_VALUE"""),"408 - Channel")</f>
        <v>408 - Channel</v>
      </c>
      <c r="B399" s="4" t="s">
        <v>16</v>
      </c>
      <c r="C399" s="6">
        <v>0.4595833333333334</v>
      </c>
      <c r="D399" s="4" t="s">
        <v>489</v>
      </c>
      <c r="E399" s="81" t="s">
        <v>1969</v>
      </c>
    </row>
    <row r="400">
      <c r="A400" s="4" t="str">
        <f>IFERROR(__xludf.DUMMYFUNCTION("""COMPUTED_VALUE"""),"411 - Channel")</f>
        <v>411 - Channel</v>
      </c>
      <c r="B400" s="4" t="s">
        <v>16</v>
      </c>
      <c r="C400" s="6">
        <v>0.4701967592592593</v>
      </c>
      <c r="D400" s="4" t="s">
        <v>81</v>
      </c>
      <c r="E400" s="56"/>
    </row>
    <row r="401">
      <c r="A401" s="4" t="str">
        <f>IFERROR(__xludf.DUMMYFUNCTION("""COMPUTED_VALUE"""),"412 - Channel")</f>
        <v>412 - Channel</v>
      </c>
      <c r="B401" s="4" t="s">
        <v>16</v>
      </c>
      <c r="C401" s="6">
        <v>0.4705439814814815</v>
      </c>
      <c r="D401" s="4" t="s">
        <v>493</v>
      </c>
      <c r="E401" s="56"/>
    </row>
    <row r="402">
      <c r="A402" s="4" t="str">
        <f>IFERROR(__xludf.DUMMYFUNCTION("""COMPUTED_VALUE"""),"1452 - Channel")</f>
        <v>1452 - Channel</v>
      </c>
      <c r="B402" s="4" t="s">
        <v>16</v>
      </c>
      <c r="C402" s="6">
        <v>0.4844328703703704</v>
      </c>
      <c r="D402" s="4" t="s">
        <v>89</v>
      </c>
      <c r="E402" s="56"/>
    </row>
    <row r="403">
      <c r="A403" s="4" t="str">
        <f>IFERROR(__xludf.DUMMYFUNCTION("""COMPUTED_VALUE"""),"416 - Channel")</f>
        <v>416 - Channel</v>
      </c>
      <c r="B403" s="4" t="s">
        <v>16</v>
      </c>
      <c r="C403" s="6">
        <v>0.48478009259259264</v>
      </c>
      <c r="D403" s="4" t="s">
        <v>81</v>
      </c>
      <c r="E403" s="56"/>
    </row>
    <row r="404">
      <c r="A404" s="4" t="str">
        <f>IFERROR(__xludf.DUMMYFUNCTION("""COMPUTED_VALUE"""),"417 - Channel")</f>
        <v>417 - Channel</v>
      </c>
      <c r="B404" s="4" t="s">
        <v>16</v>
      </c>
      <c r="C404" s="6">
        <v>0.48512731481481486</v>
      </c>
      <c r="D404" s="4" t="s">
        <v>496</v>
      </c>
      <c r="E404" s="81" t="s">
        <v>1983</v>
      </c>
    </row>
    <row r="405">
      <c r="A405" s="4" t="str">
        <f>IFERROR(__xludf.DUMMYFUNCTION("""COMPUTED_VALUE"""),"336 - Channel")</f>
        <v>336 - Channel</v>
      </c>
      <c r="B405" s="4" t="s">
        <v>16</v>
      </c>
      <c r="C405" s="6">
        <v>0.49260416666666673</v>
      </c>
      <c r="D405" s="4" t="s">
        <v>91</v>
      </c>
      <c r="E405" s="56"/>
    </row>
    <row r="406">
      <c r="A406" s="4" t="str">
        <f>IFERROR(__xludf.DUMMYFUNCTION("""COMPUTED_VALUE"""),"116 - Channel")</f>
        <v>116 - Channel</v>
      </c>
      <c r="B406" s="4" t="s">
        <v>16</v>
      </c>
      <c r="C406" s="6">
        <v>0.49295138888888895</v>
      </c>
      <c r="D406" s="4" t="s">
        <v>498</v>
      </c>
      <c r="E406" s="81" t="s">
        <v>1052</v>
      </c>
    </row>
    <row r="407">
      <c r="A407" s="4" t="str">
        <f>IFERROR(__xludf.DUMMYFUNCTION("""COMPUTED_VALUE"""),"338 - Channel")</f>
        <v>338 - Channel</v>
      </c>
      <c r="B407" s="4" t="s">
        <v>16</v>
      </c>
      <c r="C407" s="6">
        <v>0.4998958333333334</v>
      </c>
      <c r="D407" s="4" t="s">
        <v>500</v>
      </c>
      <c r="E407" s="56"/>
    </row>
    <row r="408">
      <c r="A408" s="4" t="str">
        <f>IFERROR(__xludf.DUMMYFUNCTION("""COMPUTED_VALUE"""),"1560 - Channel")</f>
        <v>1560 - Channel</v>
      </c>
      <c r="B408" s="4" t="s">
        <v>16</v>
      </c>
      <c r="C408" s="6">
        <v>0.5000694444444445</v>
      </c>
      <c r="D408" s="4" t="s">
        <v>501</v>
      </c>
      <c r="E408" s="56"/>
    </row>
    <row r="409">
      <c r="A409" s="4" t="str">
        <f>IFERROR(__xludf.DUMMYFUNCTION("""COMPUTED_VALUE"""),"1339 - Channel")</f>
        <v>1339 - Channel</v>
      </c>
      <c r="B409" s="4" t="s">
        <v>16</v>
      </c>
      <c r="C409" s="6"/>
      <c r="D409" s="4"/>
      <c r="E409" s="56"/>
    </row>
    <row r="410">
      <c r="A410" s="4" t="str">
        <f>IFERROR(__xludf.DUMMYFUNCTION("""COMPUTED_VALUE"""),"425 - Channel")</f>
        <v>425 - Channel</v>
      </c>
      <c r="B410" s="4" t="s">
        <v>16</v>
      </c>
      <c r="C410" s="6">
        <v>0.5003009259259259</v>
      </c>
      <c r="D410" s="4" t="s">
        <v>81</v>
      </c>
      <c r="E410" s="56"/>
    </row>
    <row r="411">
      <c r="A411" s="4" t="str">
        <f>IFERROR(__xludf.DUMMYFUNCTION("""COMPUTED_VALUE"""),"426 - Channel")</f>
        <v>426 - Channel</v>
      </c>
      <c r="B411" s="4" t="s">
        <v>16</v>
      </c>
      <c r="C411" s="6">
        <v>0.5006481481481482</v>
      </c>
      <c r="D411" s="4" t="s">
        <v>502</v>
      </c>
      <c r="E411" s="81" t="s">
        <v>1997</v>
      </c>
    </row>
    <row r="412">
      <c r="A412" s="4" t="str">
        <f>IFERROR(__xludf.DUMMYFUNCTION("""COMPUTED_VALUE"""),"428 - Channel")</f>
        <v>428 - Channel</v>
      </c>
      <c r="B412" s="4" t="s">
        <v>16</v>
      </c>
      <c r="C412" s="6">
        <v>0.5084143518518519</v>
      </c>
      <c r="D412" s="4" t="s">
        <v>507</v>
      </c>
      <c r="E412" s="81" t="s">
        <v>2001</v>
      </c>
    </row>
    <row r="413">
      <c r="A413" s="4" t="str">
        <f>IFERROR(__xludf.DUMMYFUNCTION("""COMPUTED_VALUE"""),"429 - Channel")</f>
        <v>429 - Channel</v>
      </c>
      <c r="B413" s="4" t="s">
        <v>16</v>
      </c>
      <c r="C413" s="6">
        <v>0.5086458333333334</v>
      </c>
      <c r="D413" s="4" t="s">
        <v>508</v>
      </c>
      <c r="E413" s="56"/>
    </row>
    <row r="414">
      <c r="A414" s="4" t="str">
        <f>IFERROR(__xludf.DUMMYFUNCTION("""COMPUTED_VALUE"""),"430 - Channel")</f>
        <v>430 - Channel</v>
      </c>
      <c r="B414" s="4" t="s">
        <v>16</v>
      </c>
      <c r="C414" s="6">
        <v>0.5089930555555556</v>
      </c>
      <c r="D414" s="4" t="s">
        <v>509</v>
      </c>
      <c r="E414" s="56"/>
    </row>
    <row r="415">
      <c r="A415" s="4" t="str">
        <f>IFERROR(__xludf.DUMMYFUNCTION("""COMPUTED_VALUE"""),"431 - Channel")</f>
        <v>431 - Channel</v>
      </c>
      <c r="B415" s="4" t="s">
        <v>16</v>
      </c>
      <c r="C415" s="6">
        <v>0.5091666666666668</v>
      </c>
      <c r="D415" s="4" t="s">
        <v>510</v>
      </c>
      <c r="E415" s="56"/>
    </row>
    <row r="416">
      <c r="A416" s="4" t="str">
        <f>IFERROR(__xludf.DUMMYFUNCTION("""COMPUTED_VALUE"""),"432 - Channel")</f>
        <v>432 - Channel</v>
      </c>
      <c r="B416" s="4" t="s">
        <v>16</v>
      </c>
      <c r="C416" s="6">
        <v>0.5093402777777779</v>
      </c>
      <c r="D416" s="4" t="s">
        <v>511</v>
      </c>
      <c r="E416" s="56"/>
    </row>
    <row r="417">
      <c r="A417" s="4" t="str">
        <f>IFERROR(__xludf.DUMMYFUNCTION("""COMPUTED_VALUE"""),"433 - Channel")</f>
        <v>433 - Channel</v>
      </c>
      <c r="B417" s="4" t="s">
        <v>16</v>
      </c>
      <c r="C417" s="6">
        <v>0.5096875000000002</v>
      </c>
      <c r="D417" s="4" t="s">
        <v>81</v>
      </c>
      <c r="E417" s="56"/>
    </row>
    <row r="418">
      <c r="A418" s="4" t="str">
        <f>IFERROR(__xludf.DUMMYFUNCTION("""COMPUTED_VALUE"""),"434 - Channel")</f>
        <v>434 - Channel</v>
      </c>
      <c r="B418" s="4" t="s">
        <v>16</v>
      </c>
      <c r="C418" s="6">
        <v>0.5100347222222225</v>
      </c>
      <c r="D418" s="4" t="s">
        <v>512</v>
      </c>
      <c r="E418" s="56"/>
    </row>
    <row r="419">
      <c r="A419" s="4" t="str">
        <f>IFERROR(__xludf.DUMMYFUNCTION("""COMPUTED_VALUE"""),"435 - Channel")</f>
        <v>435 - Channel</v>
      </c>
      <c r="B419" s="4" t="s">
        <v>16</v>
      </c>
      <c r="C419" s="6">
        <v>0.5239236111111113</v>
      </c>
      <c r="D419" s="4" t="s">
        <v>85</v>
      </c>
      <c r="E419" s="56"/>
    </row>
    <row r="420">
      <c r="A420" s="4" t="str">
        <f>IFERROR(__xludf.DUMMYFUNCTION("""COMPUTED_VALUE"""),"436 - Channel")</f>
        <v>436 - Channel</v>
      </c>
      <c r="B420" s="4" t="s">
        <v>16</v>
      </c>
      <c r="C420" s="6">
        <v>0.5240972222222224</v>
      </c>
      <c r="D420" s="4" t="s">
        <v>81</v>
      </c>
      <c r="E420" s="56"/>
    </row>
    <row r="421">
      <c r="A421" s="4" t="str">
        <f>IFERROR(__xludf.DUMMYFUNCTION("""COMPUTED_VALUE"""),"1293 - Channel")</f>
        <v>1293 - Channel</v>
      </c>
      <c r="B421" s="4" t="s">
        <v>16</v>
      </c>
      <c r="C421" s="6">
        <v>0.5244444444444447</v>
      </c>
      <c r="D421" s="4" t="s">
        <v>515</v>
      </c>
      <c r="E421" s="81" t="s">
        <v>4552</v>
      </c>
    </row>
    <row r="422">
      <c r="A422" s="4" t="str">
        <f>IFERROR(__xludf.DUMMYFUNCTION("""COMPUTED_VALUE"""),"438 - Channel")</f>
        <v>438 - Channel</v>
      </c>
      <c r="B422" s="4" t="s">
        <v>16</v>
      </c>
      <c r="C422" s="6">
        <v>0.526527777777778</v>
      </c>
      <c r="D422" s="4" t="s">
        <v>85</v>
      </c>
      <c r="E422" s="56"/>
    </row>
    <row r="423">
      <c r="A423" s="4" t="str">
        <f>IFERROR(__xludf.DUMMYFUNCTION("""COMPUTED_VALUE"""),"440 - Channel")</f>
        <v>440 - Channel</v>
      </c>
      <c r="B423" s="4" t="s">
        <v>16</v>
      </c>
      <c r="C423" s="6">
        <v>0.5267013888888892</v>
      </c>
      <c r="D423" s="4" t="s">
        <v>81</v>
      </c>
      <c r="E423" s="56"/>
    </row>
    <row r="424">
      <c r="A424" s="4" t="str">
        <f>IFERROR(__xludf.DUMMYFUNCTION("""COMPUTED_VALUE"""),"441 - Channel")</f>
        <v>441 - Channel</v>
      </c>
      <c r="B424" s="4" t="s">
        <v>16</v>
      </c>
      <c r="C424" s="6">
        <v>0.5270486111111115</v>
      </c>
      <c r="D424" s="4" t="s">
        <v>517</v>
      </c>
      <c r="E424" s="56"/>
    </row>
    <row r="425">
      <c r="A425" s="4" t="str">
        <f>IFERROR(__xludf.DUMMYFUNCTION("""COMPUTED_VALUE"""),"442 - Channel")</f>
        <v>442 - Channel</v>
      </c>
      <c r="B425" s="4" t="s">
        <v>16</v>
      </c>
      <c r="C425" s="6">
        <v>0.5395486111111114</v>
      </c>
      <c r="D425" s="4" t="s">
        <v>521</v>
      </c>
      <c r="E425" s="56"/>
    </row>
    <row r="426">
      <c r="A426" s="4" t="str">
        <f>IFERROR(__xludf.DUMMYFUNCTION("""COMPUTED_VALUE"""),"443 - Channel")</f>
        <v>443 - Channel</v>
      </c>
      <c r="B426" s="4" t="s">
        <v>16</v>
      </c>
      <c r="C426" s="6">
        <v>0.5397222222222225</v>
      </c>
      <c r="D426" s="4" t="s">
        <v>89</v>
      </c>
      <c r="E426" s="56"/>
    </row>
    <row r="427">
      <c r="A427" s="4" t="str">
        <f>IFERROR(__xludf.DUMMYFUNCTION("""COMPUTED_VALUE"""),"1505 - Channel")</f>
        <v>1505 - Channel</v>
      </c>
      <c r="B427" s="4" t="s">
        <v>16</v>
      </c>
      <c r="C427" s="6"/>
      <c r="D427" s="4"/>
      <c r="E427" s="56"/>
    </row>
    <row r="428">
      <c r="A428" s="4" t="str">
        <f>IFERROR(__xludf.DUMMYFUNCTION("""COMPUTED_VALUE"""),"445 - Channel")</f>
        <v>445 - Channel</v>
      </c>
      <c r="B428" s="4" t="s">
        <v>16</v>
      </c>
      <c r="C428" s="6">
        <v>0.5400694444444448</v>
      </c>
      <c r="D428" s="4" t="s">
        <v>81</v>
      </c>
      <c r="E428" s="56"/>
    </row>
    <row r="429">
      <c r="A429" s="4" t="str">
        <f>IFERROR(__xludf.DUMMYFUNCTION("""COMPUTED_VALUE"""),"1372 - Channel")</f>
        <v>1372 - Channel</v>
      </c>
      <c r="B429" s="4" t="s">
        <v>16</v>
      </c>
      <c r="C429" s="6">
        <v>0.5404166666666671</v>
      </c>
      <c r="D429" s="4" t="s">
        <v>522</v>
      </c>
      <c r="E429" s="56"/>
    </row>
    <row r="430">
      <c r="A430" s="4" t="str">
        <f>IFERROR(__xludf.DUMMYFUNCTION("""COMPUTED_VALUE"""),"1340 - Channel")</f>
        <v>1340 - Channel</v>
      </c>
      <c r="B430" s="4" t="s">
        <v>16</v>
      </c>
      <c r="C430" s="6">
        <v>0.5508333333333337</v>
      </c>
      <c r="D430" s="4" t="s">
        <v>525</v>
      </c>
      <c r="E430" s="56"/>
    </row>
    <row r="431">
      <c r="A431" s="4" t="str">
        <f>IFERROR(__xludf.DUMMYFUNCTION("""COMPUTED_VALUE"""),"448 - Channel")</f>
        <v>448 - Channel</v>
      </c>
      <c r="B431" s="4" t="s">
        <v>16</v>
      </c>
      <c r="C431" s="6">
        <v>0.551180555555556</v>
      </c>
      <c r="D431" s="4" t="s">
        <v>526</v>
      </c>
      <c r="E431" s="56"/>
    </row>
    <row r="432">
      <c r="A432" s="4" t="str">
        <f>IFERROR(__xludf.DUMMYFUNCTION("""COMPUTED_VALUE"""),"449 - Channel")</f>
        <v>449 - Channel</v>
      </c>
      <c r="B432" s="4" t="s">
        <v>16</v>
      </c>
      <c r="C432" s="6">
        <v>0.5513541666666671</v>
      </c>
      <c r="D432" s="4" t="s">
        <v>81</v>
      </c>
      <c r="E432" s="56"/>
    </row>
    <row r="433">
      <c r="A433" s="4" t="str">
        <f>IFERROR(__xludf.DUMMYFUNCTION("""COMPUTED_VALUE"""),"450 - Channel")</f>
        <v>450 - Channel</v>
      </c>
      <c r="B433" s="4" t="s">
        <v>16</v>
      </c>
      <c r="C433" s="6">
        <v>0.5517013888888894</v>
      </c>
      <c r="D433" s="4" t="s">
        <v>527</v>
      </c>
      <c r="E433" s="81" t="s">
        <v>2033</v>
      </c>
    </row>
    <row r="434">
      <c r="A434" s="4" t="str">
        <f>IFERROR(__xludf.DUMMYFUNCTION("""COMPUTED_VALUE"""),"451 - Channel")</f>
        <v>451 - Channel</v>
      </c>
      <c r="B434" s="4" t="s">
        <v>16</v>
      </c>
      <c r="C434" s="6">
        <v>0.5655902777777783</v>
      </c>
      <c r="D434" s="4" t="s">
        <v>85</v>
      </c>
      <c r="E434" s="56"/>
    </row>
    <row r="435">
      <c r="A435" s="4" t="str">
        <f>IFERROR(__xludf.DUMMYFUNCTION("""COMPUTED_VALUE"""),"452 - Channel")</f>
        <v>452 - Channel</v>
      </c>
      <c r="B435" s="4" t="s">
        <v>16</v>
      </c>
      <c r="C435" s="6">
        <v>0.5657638888888894</v>
      </c>
      <c r="D435" s="4" t="s">
        <v>530</v>
      </c>
      <c r="E435" s="81" t="s">
        <v>2037</v>
      </c>
    </row>
    <row r="436">
      <c r="A436" s="4" t="str">
        <f>IFERROR(__xludf.DUMMYFUNCTION("""COMPUTED_VALUE"""),"453 - Channel")</f>
        <v>453 - Channel</v>
      </c>
      <c r="B436" s="4" t="s">
        <v>16</v>
      </c>
      <c r="C436" s="6">
        <v>0.566018518518519</v>
      </c>
      <c r="D436" s="4" t="s">
        <v>89</v>
      </c>
      <c r="E436" s="56"/>
    </row>
    <row r="437">
      <c r="A437" s="4" t="str">
        <f>IFERROR(__xludf.DUMMYFUNCTION("""COMPUTED_VALUE"""),"454 - Channel")</f>
        <v>454 - Channel</v>
      </c>
      <c r="B437" s="4" t="s">
        <v>16</v>
      </c>
      <c r="C437" s="6">
        <v>0.5663657407407413</v>
      </c>
      <c r="D437" s="4" t="s">
        <v>531</v>
      </c>
      <c r="E437" s="56"/>
    </row>
    <row r="438">
      <c r="A438" s="4" t="str">
        <f>IFERROR(__xludf.DUMMYFUNCTION("""COMPUTED_VALUE"""),"455 - Channel")</f>
        <v>455 - Channel</v>
      </c>
      <c r="B438" s="4" t="s">
        <v>16</v>
      </c>
      <c r="C438" s="6">
        <v>0.5665393518518524</v>
      </c>
      <c r="D438" s="4" t="s">
        <v>81</v>
      </c>
      <c r="E438" s="56"/>
    </row>
    <row r="439">
      <c r="A439" s="4" t="str">
        <f>IFERROR(__xludf.DUMMYFUNCTION("""COMPUTED_VALUE"""),"456 - Channel")</f>
        <v>456 - Channel</v>
      </c>
      <c r="B439" s="4" t="s">
        <v>16</v>
      </c>
      <c r="C439" s="6">
        <v>0.5667129629629636</v>
      </c>
      <c r="D439" s="4" t="s">
        <v>532</v>
      </c>
      <c r="E439" s="81" t="s">
        <v>2043</v>
      </c>
    </row>
    <row r="440">
      <c r="A440" s="4" t="str">
        <f>IFERROR(__xludf.DUMMYFUNCTION("""COMPUTED_VALUE"""),"458 - Channel")</f>
        <v>458 - Channel</v>
      </c>
      <c r="B440" s="4" t="s">
        <v>16</v>
      </c>
      <c r="C440" s="6">
        <v>0.5771296296296302</v>
      </c>
      <c r="D440" s="4" t="s">
        <v>525</v>
      </c>
      <c r="E440" s="56"/>
    </row>
    <row r="441">
      <c r="A441" s="4" t="str">
        <f>IFERROR(__xludf.DUMMYFUNCTION("""COMPUTED_VALUE"""),"459 - Channel")</f>
        <v>459 - Channel</v>
      </c>
      <c r="B441" s="4" t="s">
        <v>16</v>
      </c>
      <c r="C441" s="6">
        <v>0.5774768518518525</v>
      </c>
      <c r="D441" s="4" t="s">
        <v>545</v>
      </c>
      <c r="E441" s="81" t="s">
        <v>2048</v>
      </c>
    </row>
    <row r="442">
      <c r="A442" s="4" t="str">
        <f>IFERROR(__xludf.DUMMYFUNCTION("""COMPUTED_VALUE"""),"460 - Channel")</f>
        <v>460 - Channel</v>
      </c>
      <c r="B442" s="4" t="s">
        <v>16</v>
      </c>
      <c r="C442" s="6">
        <v>0.5776851851851859</v>
      </c>
      <c r="D442" s="4" t="s">
        <v>548</v>
      </c>
      <c r="E442" s="56"/>
    </row>
    <row r="443">
      <c r="A443" s="4" t="str">
        <f>IFERROR(__xludf.DUMMYFUNCTION("""COMPUTED_VALUE"""),"461 - Channel")</f>
        <v>461 - Channel</v>
      </c>
      <c r="B443" s="4" t="s">
        <v>16</v>
      </c>
      <c r="C443" s="6">
        <v>0.5779166666666673</v>
      </c>
      <c r="D443" s="4" t="s">
        <v>81</v>
      </c>
      <c r="E443" s="56"/>
    </row>
    <row r="444">
      <c r="A444" s="4" t="str">
        <f>IFERROR(__xludf.DUMMYFUNCTION("""COMPUTED_VALUE"""),"462 - Channel")</f>
        <v>462 - Channel</v>
      </c>
      <c r="B444" s="4" t="s">
        <v>16</v>
      </c>
      <c r="C444" s="6">
        <v>0.5782638888888896</v>
      </c>
      <c r="D444" s="4" t="s">
        <v>549</v>
      </c>
      <c r="E444" s="81" t="s">
        <v>2054</v>
      </c>
    </row>
    <row r="445">
      <c r="A445" s="4" t="str">
        <f>IFERROR(__xludf.DUMMYFUNCTION("""COMPUTED_VALUE"""),"464 - Channel")</f>
        <v>464 - Channel</v>
      </c>
      <c r="B445" s="4" t="s">
        <v>16</v>
      </c>
      <c r="C445" s="6">
        <v>0.5804050925925933</v>
      </c>
      <c r="D445" s="4" t="s">
        <v>551</v>
      </c>
      <c r="E445" s="56"/>
    </row>
    <row r="446">
      <c r="A446" s="4" t="str">
        <f>IFERROR(__xludf.DUMMYFUNCTION("""COMPUTED_VALUE"""),"465 - Channel")</f>
        <v>465 - Channel</v>
      </c>
      <c r="B446" s="4" t="s">
        <v>16</v>
      </c>
      <c r="C446" s="6">
        <v>0.5805787037037045</v>
      </c>
      <c r="D446" s="4" t="s">
        <v>552</v>
      </c>
      <c r="E446" s="56"/>
    </row>
    <row r="447">
      <c r="A447" s="4" t="str">
        <f>IFERROR(__xludf.DUMMYFUNCTION("""COMPUTED_VALUE"""),"467 - Channel")</f>
        <v>467 - Channel</v>
      </c>
      <c r="B447" s="4" t="s">
        <v>16</v>
      </c>
      <c r="C447" s="6"/>
      <c r="D447" s="4"/>
      <c r="E447" s="56"/>
    </row>
    <row r="448">
      <c r="A448" s="4" t="str">
        <f>IFERROR(__xludf.DUMMYFUNCTION("""COMPUTED_VALUE"""),"468 - Channel")</f>
        <v>468 - Channel</v>
      </c>
      <c r="B448" s="4" t="s">
        <v>16</v>
      </c>
      <c r="C448" s="6">
        <v>0.5809259259259267</v>
      </c>
      <c r="D448" s="4" t="s">
        <v>81</v>
      </c>
      <c r="E448" s="56"/>
    </row>
    <row r="449">
      <c r="A449" s="4" t="str">
        <f>IFERROR(__xludf.DUMMYFUNCTION("""COMPUTED_VALUE"""),"469 - Channel")</f>
        <v>469 - Channel</v>
      </c>
      <c r="B449" s="4" t="s">
        <v>16</v>
      </c>
      <c r="C449" s="6">
        <v>0.581273148148149</v>
      </c>
      <c r="D449" s="4" t="s">
        <v>553</v>
      </c>
      <c r="E449" s="81" t="s">
        <v>2064</v>
      </c>
    </row>
    <row r="450">
      <c r="A450" s="4" t="str">
        <f>IFERROR(__xludf.DUMMYFUNCTION("""COMPUTED_VALUE"""),"470 - Channel")</f>
        <v>470 - Channel</v>
      </c>
      <c r="B450" s="4" t="s">
        <v>16</v>
      </c>
      <c r="C450" s="6">
        <v>0.5929513888888898</v>
      </c>
      <c r="D450" s="4" t="s">
        <v>85</v>
      </c>
      <c r="E450" s="56"/>
    </row>
    <row r="451">
      <c r="A451" s="4" t="str">
        <f>IFERROR(__xludf.DUMMYFUNCTION("""COMPUTED_VALUE"""),"471 - Channel")</f>
        <v>471 - Channel</v>
      </c>
      <c r="B451" s="4" t="s">
        <v>16</v>
      </c>
      <c r="C451" s="6">
        <v>0.5931250000000009</v>
      </c>
      <c r="D451" s="4" t="s">
        <v>89</v>
      </c>
      <c r="E451" s="56"/>
    </row>
    <row r="452">
      <c r="A452" s="4" t="str">
        <f>IFERROR(__xludf.DUMMYFUNCTION("""COMPUTED_VALUE"""),"472 - Channel")</f>
        <v>472 - Channel</v>
      </c>
      <c r="B452" s="4" t="s">
        <v>16</v>
      </c>
      <c r="C452" s="6">
        <v>0.5934722222222232</v>
      </c>
      <c r="D452" s="4" t="s">
        <v>511</v>
      </c>
      <c r="E452" s="56"/>
    </row>
    <row r="453">
      <c r="A453" s="4" t="str">
        <f>IFERROR(__xludf.DUMMYFUNCTION("""COMPUTED_VALUE"""),"473 - Channel")</f>
        <v>473 - Channel</v>
      </c>
      <c r="B453" s="4" t="s">
        <v>16</v>
      </c>
      <c r="C453" s="6">
        <v>0.5938194444444455</v>
      </c>
      <c r="D453" s="4" t="s">
        <v>81</v>
      </c>
      <c r="E453" s="56"/>
    </row>
    <row r="454">
      <c r="A454" s="4" t="str">
        <f>IFERROR(__xludf.DUMMYFUNCTION("""COMPUTED_VALUE"""),"474 - Channel")</f>
        <v>474 - Channel</v>
      </c>
      <c r="B454" s="4" t="s">
        <v>16</v>
      </c>
      <c r="C454" s="6">
        <v>0.5941666666666677</v>
      </c>
      <c r="D454" s="4" t="s">
        <v>558</v>
      </c>
      <c r="E454" s="81" t="s">
        <v>2071</v>
      </c>
    </row>
    <row r="455">
      <c r="A455" s="4" t="str">
        <f>IFERROR(__xludf.DUMMYFUNCTION("""COMPUTED_VALUE"""),"476 - Channel")</f>
        <v>476 - Channel</v>
      </c>
      <c r="B455" s="4" t="s">
        <v>16</v>
      </c>
      <c r="C455" s="6">
        <v>0.602500000000001</v>
      </c>
      <c r="D455" s="4" t="s">
        <v>525</v>
      </c>
      <c r="E455" s="56"/>
    </row>
    <row r="456">
      <c r="A456" s="4" t="str">
        <f>IFERROR(__xludf.DUMMYFUNCTION("""COMPUTED_VALUE"""),"477 - Channel")</f>
        <v>477 - Channel</v>
      </c>
      <c r="B456" s="4" t="s">
        <v>16</v>
      </c>
      <c r="C456" s="6">
        <v>0.6028472222222233</v>
      </c>
      <c r="D456" s="4" t="s">
        <v>81</v>
      </c>
      <c r="E456" s="56"/>
    </row>
    <row r="457">
      <c r="A457" s="4" t="str">
        <f>IFERROR(__xludf.DUMMYFUNCTION("""COMPUTED_VALUE"""),"478 - Channel")</f>
        <v>478 - Channel</v>
      </c>
      <c r="B457" s="4" t="s">
        <v>16</v>
      </c>
      <c r="C457" s="6">
        <v>0.6031944444444456</v>
      </c>
      <c r="D457" s="4" t="s">
        <v>561</v>
      </c>
      <c r="E457" s="81" t="s">
        <v>2077</v>
      </c>
    </row>
    <row r="458">
      <c r="A458" s="4" t="str">
        <f>IFERROR(__xludf.DUMMYFUNCTION("""COMPUTED_VALUE"""),"480 - Channel")</f>
        <v>480 - Channel</v>
      </c>
      <c r="B458" s="4" t="s">
        <v>16</v>
      </c>
      <c r="C458" s="6">
        <v>0.6135416666666678</v>
      </c>
      <c r="D458" s="4" t="s">
        <v>81</v>
      </c>
      <c r="E458" s="56"/>
    </row>
    <row r="459">
      <c r="A459" s="4" t="str">
        <f>IFERROR(__xludf.DUMMYFUNCTION("""COMPUTED_VALUE"""),"481 - Channel")</f>
        <v>481 - Channel</v>
      </c>
      <c r="B459" s="4" t="s">
        <v>16</v>
      </c>
      <c r="C459" s="6">
        <v>0.61388888888889</v>
      </c>
      <c r="D459" s="4" t="s">
        <v>564</v>
      </c>
      <c r="E459" s="81" t="s">
        <v>2087</v>
      </c>
    </row>
    <row r="460">
      <c r="A460" s="4" t="str">
        <f>IFERROR(__xludf.DUMMYFUNCTION("""COMPUTED_VALUE"""),"483 - Channel")</f>
        <v>483 - Channel</v>
      </c>
      <c r="B460" s="4" t="s">
        <v>16</v>
      </c>
      <c r="C460" s="6">
        <v>0.6215046296296308</v>
      </c>
      <c r="D460" s="4" t="s">
        <v>89</v>
      </c>
      <c r="E460" s="56"/>
    </row>
    <row r="461">
      <c r="A461" s="4" t="str">
        <f>IFERROR(__xludf.DUMMYFUNCTION("""COMPUTED_VALUE"""),"484 - Channel")</f>
        <v>484 - Channel</v>
      </c>
      <c r="B461" s="4" t="s">
        <v>16</v>
      </c>
      <c r="C461" s="6"/>
      <c r="D461" s="4"/>
      <c r="E461" s="56"/>
    </row>
    <row r="462">
      <c r="A462" s="4" t="str">
        <f>IFERROR(__xludf.DUMMYFUNCTION("""COMPUTED_VALUE"""),"485 - Channel")</f>
        <v>485 - Channel</v>
      </c>
      <c r="B462" s="4" t="s">
        <v>16</v>
      </c>
      <c r="C462" s="6">
        <v>0.6218518518518531</v>
      </c>
      <c r="D462" s="4" t="s">
        <v>81</v>
      </c>
      <c r="E462" s="56"/>
    </row>
    <row r="463">
      <c r="A463" s="4" t="str">
        <f>IFERROR(__xludf.DUMMYFUNCTION("""COMPUTED_VALUE"""),"486 - Channel")</f>
        <v>486 - Channel</v>
      </c>
      <c r="B463" s="4" t="s">
        <v>16</v>
      </c>
      <c r="C463" s="6">
        <v>0.6221990740740754</v>
      </c>
      <c r="D463" s="4" t="s">
        <v>568</v>
      </c>
      <c r="E463" s="81" t="s">
        <v>2107</v>
      </c>
    </row>
    <row r="464">
      <c r="A464" s="4" t="str">
        <f>IFERROR(__xludf.DUMMYFUNCTION("""COMPUTED_VALUE"""),"487 - Channel")</f>
        <v>487 - Channel</v>
      </c>
      <c r="B464" s="4" t="s">
        <v>16</v>
      </c>
      <c r="C464" s="6">
        <v>0.6343518518518532</v>
      </c>
      <c r="D464" s="4" t="s">
        <v>85</v>
      </c>
      <c r="E464" s="56"/>
    </row>
    <row r="465">
      <c r="A465" s="4" t="str">
        <f>IFERROR(__xludf.DUMMYFUNCTION("""COMPUTED_VALUE"""),"488 - Channel")</f>
        <v>488 - Channel</v>
      </c>
      <c r="B465" s="4" t="s">
        <v>16</v>
      </c>
      <c r="C465" s="6">
        <v>0.6345254629629643</v>
      </c>
      <c r="D465" s="4" t="s">
        <v>573</v>
      </c>
      <c r="E465" s="56"/>
    </row>
    <row r="466">
      <c r="A466" s="4" t="str">
        <f>IFERROR(__xludf.DUMMYFUNCTION("""COMPUTED_VALUE"""),"398 - Channel")</f>
        <v>398 - Channel</v>
      </c>
      <c r="B466" s="4" t="s">
        <v>16</v>
      </c>
      <c r="C466" s="6">
        <v>0.6346990740740754</v>
      </c>
      <c r="D466" s="4" t="s">
        <v>511</v>
      </c>
      <c r="E466" s="56"/>
    </row>
    <row r="467">
      <c r="A467" s="4" t="str">
        <f>IFERROR(__xludf.DUMMYFUNCTION("""COMPUTED_VALUE"""),"402 - Channel")</f>
        <v>402 - Channel</v>
      </c>
      <c r="B467" s="4" t="s">
        <v>16</v>
      </c>
      <c r="C467" s="6">
        <v>0.6346990740740754</v>
      </c>
      <c r="D467" s="4" t="s">
        <v>81</v>
      </c>
      <c r="E467" s="56"/>
    </row>
    <row r="468">
      <c r="A468" s="4" t="str">
        <f>IFERROR(__xludf.DUMMYFUNCTION("""COMPUTED_VALUE"""),"403 - Channel")</f>
        <v>403 - Channel</v>
      </c>
      <c r="B468" s="4" t="s">
        <v>16</v>
      </c>
      <c r="C468" s="6">
        <v>0.6350462962962977</v>
      </c>
      <c r="D468" s="4" t="s">
        <v>574</v>
      </c>
      <c r="E468" s="56"/>
    </row>
    <row r="469">
      <c r="A469" s="4" t="str">
        <f>IFERROR(__xludf.DUMMYFUNCTION("""COMPUTED_VALUE"""),"399 - Channel")</f>
        <v>399 - Channel</v>
      </c>
      <c r="B469" s="4" t="s">
        <v>16</v>
      </c>
      <c r="C469" s="6">
        <v>0.6489351851851866</v>
      </c>
      <c r="D469" s="4" t="s">
        <v>81</v>
      </c>
      <c r="E469" s="56"/>
    </row>
    <row r="470">
      <c r="A470" s="4" t="str">
        <f>IFERROR(__xludf.DUMMYFUNCTION("""COMPUTED_VALUE"""),"400 - Channel")</f>
        <v>400 - Channel</v>
      </c>
      <c r="B470" s="4" t="s">
        <v>16</v>
      </c>
      <c r="C470" s="6">
        <v>0.6492824074074088</v>
      </c>
      <c r="D470" s="4" t="s">
        <v>578</v>
      </c>
      <c r="E470" s="81" t="s">
        <v>1958</v>
      </c>
    </row>
    <row r="471">
      <c r="A471" s="4" t="str">
        <f>IFERROR(__xludf.DUMMYFUNCTION("""COMPUTED_VALUE"""),"401 - Channel")</f>
        <v>401 - Channel</v>
      </c>
      <c r="B471" s="4" t="s">
        <v>16</v>
      </c>
      <c r="C471" s="6">
        <v>0.6576388888888903</v>
      </c>
      <c r="D471" s="4" t="s">
        <v>580</v>
      </c>
      <c r="E471" s="56"/>
    </row>
    <row r="472">
      <c r="A472" s="4" t="str">
        <f>IFERROR(__xludf.DUMMYFUNCTION("""COMPUTED_VALUE"""),"492 - Channel")</f>
        <v>492 - Channel</v>
      </c>
      <c r="B472" s="4" t="s">
        <v>16</v>
      </c>
      <c r="C472" s="6">
        <v>0.6578125000000015</v>
      </c>
      <c r="D472" s="4" t="s">
        <v>581</v>
      </c>
      <c r="E472" s="56"/>
    </row>
    <row r="473">
      <c r="A473" s="4" t="str">
        <f>IFERROR(__xludf.DUMMYFUNCTION("""COMPUTED_VALUE"""),"1449 - Channel")</f>
        <v>1449 - Channel</v>
      </c>
      <c r="B473" s="4" t="s">
        <v>16</v>
      </c>
      <c r="C473" s="6">
        <v>0.6579861111111126</v>
      </c>
      <c r="D473" s="4" t="s">
        <v>582</v>
      </c>
      <c r="E473" s="56"/>
    </row>
    <row r="474">
      <c r="A474" s="4" t="str">
        <f>IFERROR(__xludf.DUMMYFUNCTION("""COMPUTED_VALUE"""),"496 - Channel")</f>
        <v>496 - Channel</v>
      </c>
      <c r="B474" s="4" t="s">
        <v>16</v>
      </c>
      <c r="C474" s="6">
        <v>0.6583333333333349</v>
      </c>
      <c r="D474" s="4" t="s">
        <v>81</v>
      </c>
      <c r="E474" s="56"/>
    </row>
    <row r="475">
      <c r="A475" s="4" t="str">
        <f>IFERROR(__xludf.DUMMYFUNCTION("""COMPUTED_VALUE"""),"497 - Channel")</f>
        <v>497 - Channel</v>
      </c>
      <c r="B475" s="4" t="s">
        <v>16</v>
      </c>
      <c r="C475" s="6">
        <v>0.6586805555555572</v>
      </c>
      <c r="D475" s="4" t="s">
        <v>583</v>
      </c>
      <c r="E475" s="56"/>
    </row>
    <row r="476">
      <c r="A476" s="4" t="str">
        <f>IFERROR(__xludf.DUMMYFUNCTION("""COMPUTED_VALUE"""),"499 - Channel")</f>
        <v>499 - Channel</v>
      </c>
      <c r="B476" s="4" t="s">
        <v>16</v>
      </c>
      <c r="C476" s="6"/>
      <c r="D476" s="4"/>
      <c r="E476" s="56"/>
    </row>
    <row r="477">
      <c r="A477" s="4" t="str">
        <f>IFERROR(__xludf.DUMMYFUNCTION("""COMPUTED_VALUE"""),"501 - Channel")</f>
        <v>501 - Channel</v>
      </c>
      <c r="B477" s="4" t="s">
        <v>16</v>
      </c>
      <c r="C477" s="6">
        <v>0.6642361111111127</v>
      </c>
      <c r="D477" s="4" t="s">
        <v>81</v>
      </c>
      <c r="E477" s="56"/>
    </row>
    <row r="478">
      <c r="A478" s="4" t="str">
        <f>IFERROR(__xludf.DUMMYFUNCTION("""COMPUTED_VALUE"""),"502 - Channel")</f>
        <v>502 - Channel</v>
      </c>
      <c r="B478" s="4" t="s">
        <v>16</v>
      </c>
      <c r="C478" s="6">
        <v>0.664583333333335</v>
      </c>
      <c r="D478" s="4" t="s">
        <v>585</v>
      </c>
      <c r="E478" s="56"/>
    </row>
    <row r="479">
      <c r="A479" s="4" t="str">
        <f>IFERROR(__xludf.DUMMYFUNCTION("""COMPUTED_VALUE"""),"503 - Channel")</f>
        <v>503 - Channel</v>
      </c>
      <c r="B479" s="4" t="s">
        <v>16</v>
      </c>
      <c r="C479" s="6">
        <v>0.6750000000000016</v>
      </c>
      <c r="D479" s="4" t="s">
        <v>484</v>
      </c>
      <c r="E479" s="56"/>
    </row>
    <row r="480">
      <c r="A480" s="4" t="str">
        <f>IFERROR(__xludf.DUMMYFUNCTION("""COMPUTED_VALUE"""),"504 - Channel")</f>
        <v>504 - Channel</v>
      </c>
      <c r="B480" s="4" t="s">
        <v>16</v>
      </c>
      <c r="C480" s="6">
        <v>0.6751736111111127</v>
      </c>
      <c r="D480" s="4" t="s">
        <v>81</v>
      </c>
      <c r="E480" s="56"/>
    </row>
    <row r="481">
      <c r="A481" s="4" t="str">
        <f>IFERROR(__xludf.DUMMYFUNCTION("""COMPUTED_VALUE"""),"505 - Channel")</f>
        <v>505 - Channel</v>
      </c>
      <c r="B481" s="4" t="s">
        <v>16</v>
      </c>
      <c r="C481" s="6">
        <v>0.675520833333335</v>
      </c>
      <c r="D481" s="4" t="s">
        <v>589</v>
      </c>
      <c r="E481" s="81" t="s">
        <v>2173</v>
      </c>
    </row>
    <row r="482">
      <c r="A482" s="4" t="str">
        <f>IFERROR(__xludf.DUMMYFUNCTION("""COMPUTED_VALUE"""),"507 - Channel")</f>
        <v>507 - Channel</v>
      </c>
      <c r="B482" s="4" t="s">
        <v>16</v>
      </c>
      <c r="C482" s="6">
        <v>0.6838773148148165</v>
      </c>
      <c r="D482" s="4" t="s">
        <v>81</v>
      </c>
      <c r="E482" s="56"/>
    </row>
    <row r="483">
      <c r="A483" s="4" t="str">
        <f>IFERROR(__xludf.DUMMYFUNCTION("""COMPUTED_VALUE"""),"508 - Channel")</f>
        <v>508 - Channel</v>
      </c>
      <c r="B483" s="4" t="s">
        <v>16</v>
      </c>
      <c r="C483" s="6">
        <v>0.6840509259259276</v>
      </c>
      <c r="D483" s="4" t="s">
        <v>593</v>
      </c>
      <c r="E483" s="81" t="s">
        <v>2189</v>
      </c>
    </row>
    <row r="484">
      <c r="A484" s="4" t="str">
        <f>IFERROR(__xludf.DUMMYFUNCTION("""COMPUTED_VALUE"""),"509 - Channel")</f>
        <v>509 - Channel</v>
      </c>
      <c r="B484" s="4" t="s">
        <v>16</v>
      </c>
      <c r="C484" s="6">
        <v>0.691597222222224</v>
      </c>
      <c r="D484" s="4" t="s">
        <v>85</v>
      </c>
      <c r="E484" s="56"/>
    </row>
    <row r="485">
      <c r="A485" s="4" t="str">
        <f>IFERROR(__xludf.DUMMYFUNCTION("""COMPUTED_VALUE"""),"510 - Channel")</f>
        <v>510 - Channel</v>
      </c>
      <c r="B485" s="4" t="s">
        <v>16</v>
      </c>
      <c r="C485" s="6">
        <v>0.6917708333333351</v>
      </c>
      <c r="D485" s="4" t="s">
        <v>81</v>
      </c>
      <c r="E485" s="56"/>
    </row>
    <row r="486">
      <c r="A486" s="4" t="str">
        <f>IFERROR(__xludf.DUMMYFUNCTION("""COMPUTED_VALUE"""),"511 - Channel")</f>
        <v>511 - Channel</v>
      </c>
      <c r="B486" s="4" t="s">
        <v>16</v>
      </c>
      <c r="C486" s="6">
        <v>0.6921180555555574</v>
      </c>
      <c r="D486" s="4" t="s">
        <v>595</v>
      </c>
      <c r="E486" s="81" t="s">
        <v>2202</v>
      </c>
    </row>
    <row r="487">
      <c r="A487" s="4" t="str">
        <f>IFERROR(__xludf.DUMMYFUNCTION("""COMPUTED_VALUE"""),"513 - Channel")</f>
        <v>513 - Channel</v>
      </c>
      <c r="B487" s="4" t="s">
        <v>16</v>
      </c>
      <c r="C487" s="6">
        <v>0.7062500000000018</v>
      </c>
      <c r="D487" s="4" t="s">
        <v>598</v>
      </c>
      <c r="E487" s="56"/>
    </row>
    <row r="488">
      <c r="A488" s="4" t="str">
        <f>IFERROR(__xludf.DUMMYFUNCTION("""COMPUTED_VALUE"""),"1666 - Channel")</f>
        <v>1666 - Channel</v>
      </c>
      <c r="B488" s="4"/>
      <c r="C488" s="6"/>
      <c r="D488" s="4"/>
      <c r="E488" s="56"/>
    </row>
    <row r="489">
      <c r="A489" s="4" t="str">
        <f>IFERROR(__xludf.DUMMYFUNCTION("""COMPUTED_VALUE"""),"515 - Channel")</f>
        <v>515 - Channel</v>
      </c>
      <c r="B489" s="4" t="s">
        <v>220</v>
      </c>
      <c r="C489" s="6"/>
      <c r="D489" s="4"/>
      <c r="E489" s="56"/>
    </row>
    <row r="490">
      <c r="A490" s="4" t="str">
        <f>IFERROR(__xludf.DUMMYFUNCTION("""COMPUTED_VALUE"""),"1714 - Channel")</f>
        <v>1714 - Channel</v>
      </c>
      <c r="B490" s="4"/>
      <c r="C490" s="6"/>
      <c r="D490" s="4"/>
      <c r="E490" s="56"/>
    </row>
    <row r="491">
      <c r="A491" s="4" t="str">
        <f>IFERROR(__xludf.DUMMYFUNCTION("""COMPUTED_VALUE"""),"516 - Channel")</f>
        <v>516 - Channel</v>
      </c>
      <c r="B491" s="4" t="s">
        <v>16</v>
      </c>
      <c r="C491" s="6">
        <v>0.4166666666666667</v>
      </c>
      <c r="D491" s="4" t="s">
        <v>67</v>
      </c>
      <c r="E491" s="56"/>
    </row>
    <row r="492">
      <c r="A492" s="4" t="str">
        <f>IFERROR(__xludf.DUMMYFUNCTION("""COMPUTED_VALUE"""),"517 - Channel")</f>
        <v>517 - Channel</v>
      </c>
      <c r="B492" s="4" t="s">
        <v>16</v>
      </c>
      <c r="C492" s="6">
        <v>0.41770833333333335</v>
      </c>
      <c r="D492" s="4" t="s">
        <v>81</v>
      </c>
      <c r="E492" s="56"/>
    </row>
    <row r="493">
      <c r="A493" s="4" t="str">
        <f>IFERROR(__xludf.DUMMYFUNCTION("""COMPUTED_VALUE"""),"518 - Channel")</f>
        <v>518 - Channel</v>
      </c>
      <c r="B493" s="4" t="s">
        <v>16</v>
      </c>
      <c r="C493" s="6">
        <v>0.41805555555555557</v>
      </c>
      <c r="D493" s="4" t="s">
        <v>602</v>
      </c>
      <c r="E493" s="81" t="s">
        <v>2223</v>
      </c>
    </row>
    <row r="494">
      <c r="A494" s="4" t="str">
        <f>IFERROR(__xludf.DUMMYFUNCTION("""COMPUTED_VALUE"""),"519 - Channel")</f>
        <v>519 - Channel</v>
      </c>
      <c r="B494" s="4" t="s">
        <v>16</v>
      </c>
      <c r="C494" s="6">
        <v>0.4264351851851852</v>
      </c>
      <c r="D494" s="4" t="s">
        <v>85</v>
      </c>
      <c r="E494" s="56"/>
    </row>
    <row r="495">
      <c r="A495" s="4" t="str">
        <f>IFERROR(__xludf.DUMMYFUNCTION("""COMPUTED_VALUE"""),"531 - Channel")</f>
        <v>531 - Channel</v>
      </c>
      <c r="B495" s="4" t="s">
        <v>16</v>
      </c>
      <c r="C495" s="6">
        <v>0.42660879629629633</v>
      </c>
      <c r="D495" s="4" t="s">
        <v>608</v>
      </c>
      <c r="E495" s="56"/>
    </row>
    <row r="496">
      <c r="A496" s="4" t="str">
        <f>IFERROR(__xludf.DUMMYFUNCTION("""COMPUTED_VALUE"""),"520 - Channel")</f>
        <v>520 - Channel</v>
      </c>
      <c r="B496" s="4" t="s">
        <v>16</v>
      </c>
      <c r="C496" s="6">
        <v>0.42678240740740747</v>
      </c>
      <c r="D496" s="4" t="s">
        <v>81</v>
      </c>
      <c r="E496" s="56"/>
    </row>
    <row r="497">
      <c r="A497" s="4" t="str">
        <f>IFERROR(__xludf.DUMMYFUNCTION("""COMPUTED_VALUE"""),"521 - Channel")</f>
        <v>521 - Channel</v>
      </c>
      <c r="B497" s="4" t="s">
        <v>16</v>
      </c>
      <c r="C497" s="6">
        <v>0.4271296296296297</v>
      </c>
      <c r="D497" s="4" t="s">
        <v>613</v>
      </c>
      <c r="E497" s="81" t="s">
        <v>2232</v>
      </c>
    </row>
    <row r="498">
      <c r="A498" s="4" t="str">
        <f>IFERROR(__xludf.DUMMYFUNCTION("""COMPUTED_VALUE"""),"522 - Channel")</f>
        <v>522 - Channel</v>
      </c>
      <c r="B498" s="4" t="s">
        <v>16</v>
      </c>
      <c r="C498" s="6">
        <v>0.4396296296296297</v>
      </c>
      <c r="D498" s="4" t="s">
        <v>85</v>
      </c>
      <c r="E498" s="56"/>
    </row>
    <row r="499">
      <c r="A499" s="4" t="str">
        <f>IFERROR(__xludf.DUMMYFUNCTION("""COMPUTED_VALUE"""),"523 - Channel")</f>
        <v>523 - Channel</v>
      </c>
      <c r="B499" s="4" t="s">
        <v>16</v>
      </c>
      <c r="C499" s="6">
        <v>0.43980324074074084</v>
      </c>
      <c r="D499" s="4" t="s">
        <v>81</v>
      </c>
      <c r="E499" s="56"/>
    </row>
    <row r="500">
      <c r="A500" s="4" t="str">
        <f>IFERROR(__xludf.DUMMYFUNCTION("""COMPUTED_VALUE"""),"524 - Channel")</f>
        <v>524 - Channel</v>
      </c>
      <c r="B500" s="4" t="s">
        <v>16</v>
      </c>
      <c r="C500" s="6">
        <v>0.44015046296296306</v>
      </c>
      <c r="D500" s="4" t="s">
        <v>620</v>
      </c>
      <c r="E500" s="81" t="s">
        <v>2245</v>
      </c>
    </row>
    <row r="501">
      <c r="A501" s="4" t="str">
        <f>IFERROR(__xludf.DUMMYFUNCTION("""COMPUTED_VALUE"""),"525 - Channel")</f>
        <v>525 - Channel</v>
      </c>
      <c r="B501" s="4" t="s">
        <v>16</v>
      </c>
      <c r="C501" s="6">
        <v>0.4484837962962964</v>
      </c>
      <c r="D501" s="4" t="s">
        <v>85</v>
      </c>
      <c r="E501" s="56"/>
    </row>
    <row r="502">
      <c r="A502" s="4" t="str">
        <f>IFERROR(__xludf.DUMMYFUNCTION("""COMPUTED_VALUE"""),"815 - Channel")</f>
        <v>815 - Channel</v>
      </c>
      <c r="B502" s="4" t="s">
        <v>16</v>
      </c>
      <c r="C502" s="6">
        <v>0.44865740740740756</v>
      </c>
      <c r="D502" s="4" t="s">
        <v>81</v>
      </c>
      <c r="E502" s="56"/>
    </row>
    <row r="503">
      <c r="A503" s="4" t="str">
        <f>IFERROR(__xludf.DUMMYFUNCTION("""COMPUTED_VALUE"""),"816 - Channel")</f>
        <v>816 - Channel</v>
      </c>
      <c r="B503" s="4" t="s">
        <v>16</v>
      </c>
      <c r="C503" s="6">
        <v>0.4490046296296298</v>
      </c>
      <c r="D503" s="4" t="s">
        <v>623</v>
      </c>
      <c r="E503" s="81" t="s">
        <v>2829</v>
      </c>
    </row>
    <row r="504">
      <c r="A504" s="4" t="str">
        <f>IFERROR(__xludf.DUMMYFUNCTION("""COMPUTED_VALUE"""),"817 - Channel")</f>
        <v>817 - Channel</v>
      </c>
      <c r="B504" s="4" t="s">
        <v>16</v>
      </c>
      <c r="C504" s="6">
        <v>0.4595833333333335</v>
      </c>
      <c r="D504" s="4" t="s">
        <v>85</v>
      </c>
      <c r="E504" s="56"/>
    </row>
    <row r="505">
      <c r="A505" s="4" t="str">
        <f>IFERROR(__xludf.DUMMYFUNCTION("""COMPUTED_VALUE"""),"529 - Channel")</f>
        <v>529 - Channel</v>
      </c>
      <c r="B505" s="4" t="s">
        <v>16</v>
      </c>
      <c r="C505" s="6"/>
      <c r="D505" s="4"/>
      <c r="E505" s="56"/>
    </row>
    <row r="506">
      <c r="A506" s="4" t="str">
        <f>IFERROR(__xludf.DUMMYFUNCTION("""COMPUTED_VALUE"""),"532 - Channel")</f>
        <v>532 - Channel</v>
      </c>
      <c r="B506" s="4" t="s">
        <v>16</v>
      </c>
      <c r="C506" s="6">
        <v>0.45975694444444465</v>
      </c>
      <c r="D506" s="4" t="s">
        <v>81</v>
      </c>
      <c r="E506" s="56"/>
    </row>
    <row r="507">
      <c r="A507" s="4" t="str">
        <f>IFERROR(__xludf.DUMMYFUNCTION("""COMPUTED_VALUE"""),"533 - Channel")</f>
        <v>533 - Channel</v>
      </c>
      <c r="B507" s="4" t="s">
        <v>16</v>
      </c>
      <c r="C507" s="6">
        <v>0.46010416666666687</v>
      </c>
      <c r="D507" s="4" t="s">
        <v>627</v>
      </c>
      <c r="E507" s="81" t="s">
        <v>2276</v>
      </c>
    </row>
    <row r="508">
      <c r="A508" s="4" t="str">
        <f>IFERROR(__xludf.DUMMYFUNCTION("""COMPUTED_VALUE"""),"535 - Channel")</f>
        <v>535 - Channel</v>
      </c>
      <c r="B508" s="4" t="s">
        <v>16</v>
      </c>
      <c r="C508" s="6">
        <v>0.46681712962962985</v>
      </c>
      <c r="D508" s="4" t="s">
        <v>632</v>
      </c>
      <c r="E508" s="81" t="s">
        <v>2285</v>
      </c>
    </row>
    <row r="509">
      <c r="A509" s="4" t="str">
        <f>IFERROR(__xludf.DUMMYFUNCTION("""COMPUTED_VALUE"""),"536 - Channel")</f>
        <v>536 - Channel</v>
      </c>
      <c r="B509" s="4" t="s">
        <v>16</v>
      </c>
      <c r="C509" s="6">
        <v>0.46704861111111134</v>
      </c>
      <c r="D509" s="4" t="s">
        <v>89</v>
      </c>
      <c r="E509" s="56"/>
    </row>
    <row r="510">
      <c r="A510" s="4" t="str">
        <f>IFERROR(__xludf.DUMMYFUNCTION("""COMPUTED_VALUE"""),"537 - Channel")</f>
        <v>537 - Channel</v>
      </c>
      <c r="B510" s="4" t="s">
        <v>16</v>
      </c>
      <c r="C510" s="6">
        <v>0.46739583333333357</v>
      </c>
      <c r="D510" s="4" t="s">
        <v>81</v>
      </c>
      <c r="E510" s="56"/>
    </row>
    <row r="511">
      <c r="A511" s="4" t="str">
        <f>IFERROR(__xludf.DUMMYFUNCTION("""COMPUTED_VALUE"""),"538 - Channel")</f>
        <v>538 - Channel</v>
      </c>
      <c r="B511" s="4" t="s">
        <v>16</v>
      </c>
      <c r="C511" s="6">
        <v>0.4677430555555558</v>
      </c>
      <c r="D511" s="4" t="s">
        <v>634</v>
      </c>
      <c r="E511" s="81" t="s">
        <v>2299</v>
      </c>
    </row>
    <row r="512">
      <c r="A512" s="4" t="str">
        <f>IFERROR(__xludf.DUMMYFUNCTION("""COMPUTED_VALUE"""),"565 - Channel")</f>
        <v>565 - Channel</v>
      </c>
      <c r="B512" s="4" t="s">
        <v>16</v>
      </c>
      <c r="C512" s="6">
        <v>0.47846064814814837</v>
      </c>
      <c r="D512" s="4" t="s">
        <v>638</v>
      </c>
      <c r="E512" s="56"/>
    </row>
    <row r="513">
      <c r="A513" s="4" t="str">
        <f>IFERROR(__xludf.DUMMYFUNCTION("""COMPUTED_VALUE"""),"541 - Channel")</f>
        <v>541 - Channel</v>
      </c>
      <c r="B513" s="4" t="s">
        <v>16</v>
      </c>
      <c r="C513" s="6">
        <v>0.4786342592592595</v>
      </c>
      <c r="D513" s="4" t="s">
        <v>81</v>
      </c>
      <c r="E513" s="56"/>
    </row>
    <row r="514">
      <c r="A514" s="4" t="str">
        <f>IFERROR(__xludf.DUMMYFUNCTION("""COMPUTED_VALUE"""),"542 - Channel")</f>
        <v>542 - Channel</v>
      </c>
      <c r="B514" s="4" t="s">
        <v>16</v>
      </c>
      <c r="C514" s="6">
        <v>0.47898148148148173</v>
      </c>
      <c r="D514" s="4" t="s">
        <v>641</v>
      </c>
      <c r="E514" s="81" t="s">
        <v>2309</v>
      </c>
    </row>
    <row r="515">
      <c r="A515" s="4" t="str">
        <f>IFERROR(__xludf.DUMMYFUNCTION("""COMPUTED_VALUE"""),"543 - Channel")</f>
        <v>543 - Channel</v>
      </c>
      <c r="B515" s="4" t="s">
        <v>16</v>
      </c>
      <c r="C515" s="6">
        <v>0.4860416666666669</v>
      </c>
      <c r="D515" s="4" t="s">
        <v>85</v>
      </c>
      <c r="E515" s="56"/>
    </row>
    <row r="516">
      <c r="A516" s="4" t="str">
        <f>IFERROR(__xludf.DUMMYFUNCTION("""COMPUTED_VALUE"""),"545 - Channel")</f>
        <v>545 - Channel</v>
      </c>
      <c r="B516" s="4" t="s">
        <v>16</v>
      </c>
      <c r="C516" s="6">
        <v>0.48621527777777807</v>
      </c>
      <c r="D516" s="4" t="s">
        <v>81</v>
      </c>
      <c r="E516" s="56"/>
    </row>
    <row r="517">
      <c r="A517" s="4" t="str">
        <f>IFERROR(__xludf.DUMMYFUNCTION("""COMPUTED_VALUE"""),"546 - Channel")</f>
        <v>546 - Channel</v>
      </c>
      <c r="B517" s="4" t="s">
        <v>16</v>
      </c>
      <c r="C517" s="6">
        <v>0.4865625000000003</v>
      </c>
      <c r="D517" s="4" t="s">
        <v>644</v>
      </c>
      <c r="E517" s="81" t="s">
        <v>2326</v>
      </c>
    </row>
    <row r="518">
      <c r="A518" s="4" t="str">
        <f>IFERROR(__xludf.DUMMYFUNCTION("""COMPUTED_VALUE"""),"548 - Channel")</f>
        <v>548 - Channel</v>
      </c>
      <c r="B518" s="4" t="s">
        <v>16</v>
      </c>
      <c r="C518" s="6">
        <v>0.49783564814814846</v>
      </c>
      <c r="D518" s="4" t="s">
        <v>651</v>
      </c>
      <c r="E518" s="81" t="s">
        <v>2340</v>
      </c>
    </row>
    <row r="519">
      <c r="A519" s="4" t="str">
        <f>IFERROR(__xludf.DUMMYFUNCTION("""COMPUTED_VALUE"""),"1585 - Channel")</f>
        <v>1585 - Channel</v>
      </c>
      <c r="B519" s="4" t="s">
        <v>16</v>
      </c>
      <c r="C519" s="6">
        <v>0.498078703703704</v>
      </c>
      <c r="D519" s="4" t="s">
        <v>81</v>
      </c>
      <c r="E519" s="56"/>
    </row>
    <row r="520">
      <c r="A520" s="4" t="str">
        <f>IFERROR(__xludf.DUMMYFUNCTION("""COMPUTED_VALUE"""),"437 - Channel")</f>
        <v>437 - Channel</v>
      </c>
      <c r="B520" s="4" t="s">
        <v>16</v>
      </c>
      <c r="C520" s="6">
        <v>0.4984259259259262</v>
      </c>
      <c r="D520" s="4" t="s">
        <v>655</v>
      </c>
      <c r="E520" s="81" t="s">
        <v>2013</v>
      </c>
    </row>
    <row r="521">
      <c r="A521" s="4" t="str">
        <f>IFERROR(__xludf.DUMMYFUNCTION("""COMPUTED_VALUE"""),"553 - Channel")</f>
        <v>553 - Channel</v>
      </c>
      <c r="B521" s="4" t="s">
        <v>16</v>
      </c>
      <c r="C521" s="6"/>
      <c r="D521" s="4"/>
      <c r="E521" s="56"/>
    </row>
    <row r="522">
      <c r="A522" s="4" t="str">
        <f>IFERROR(__xludf.DUMMYFUNCTION("""COMPUTED_VALUE"""),"562 - Channel")</f>
        <v>562 - Channel</v>
      </c>
      <c r="B522" s="4" t="s">
        <v>16</v>
      </c>
      <c r="C522" s="6">
        <v>0.5005555555555559</v>
      </c>
      <c r="D522" s="4" t="s">
        <v>81</v>
      </c>
      <c r="E522" s="56"/>
    </row>
    <row r="523">
      <c r="A523" s="4" t="str">
        <f>IFERROR(__xludf.DUMMYFUNCTION("""COMPUTED_VALUE"""),"563 - Channel")</f>
        <v>563 - Channel</v>
      </c>
      <c r="B523" s="4" t="s">
        <v>16</v>
      </c>
      <c r="C523" s="6">
        <v>0.5009027777777781</v>
      </c>
      <c r="D523" s="4" t="s">
        <v>660</v>
      </c>
      <c r="E523" s="81" t="s">
        <v>2418</v>
      </c>
    </row>
    <row r="524">
      <c r="A524" s="4" t="str">
        <f>IFERROR(__xludf.DUMMYFUNCTION("""COMPUTED_VALUE"""),"558 - Channel")</f>
        <v>558 - Channel</v>
      </c>
      <c r="B524" s="4" t="s">
        <v>16</v>
      </c>
      <c r="C524" s="6">
        <v>0.511666666666667</v>
      </c>
      <c r="D524" s="4" t="s">
        <v>81</v>
      </c>
      <c r="E524" s="56"/>
    </row>
    <row r="525">
      <c r="A525" s="4" t="str">
        <f>IFERROR(__xludf.DUMMYFUNCTION("""COMPUTED_VALUE"""),"559 - Channel")</f>
        <v>559 - Channel</v>
      </c>
      <c r="B525" s="4" t="s">
        <v>16</v>
      </c>
      <c r="C525" s="6">
        <v>0.5120138888888893</v>
      </c>
      <c r="D525" s="4" t="s">
        <v>664</v>
      </c>
      <c r="E525" s="81" t="s">
        <v>2398</v>
      </c>
    </row>
    <row r="526">
      <c r="A526" s="4" t="str">
        <f>IFERROR(__xludf.DUMMYFUNCTION("""COMPUTED_VALUE"""),"561 - Channel")</f>
        <v>561 - Channel</v>
      </c>
      <c r="B526" s="4" t="s">
        <v>16</v>
      </c>
      <c r="C526" s="6">
        <v>0.5261458333333338</v>
      </c>
      <c r="D526" s="4" t="s">
        <v>667</v>
      </c>
      <c r="E526" s="81" t="s">
        <v>2406</v>
      </c>
    </row>
    <row r="527">
      <c r="A527" s="4" t="str">
        <f>IFERROR(__xludf.DUMMYFUNCTION("""COMPUTED_VALUE"""),"554 - Channel")</f>
        <v>554 - Channel</v>
      </c>
      <c r="B527" s="4" t="s">
        <v>16</v>
      </c>
      <c r="C527" s="6">
        <v>0.5263541666666671</v>
      </c>
      <c r="D527" s="4" t="s">
        <v>81</v>
      </c>
      <c r="E527" s="56"/>
    </row>
    <row r="528">
      <c r="A528" s="4" t="str">
        <f>IFERROR(__xludf.DUMMYFUNCTION("""COMPUTED_VALUE"""),"555 - Channel")</f>
        <v>555 - Channel</v>
      </c>
      <c r="B528" s="4" t="s">
        <v>16</v>
      </c>
      <c r="C528" s="6">
        <v>0.5267013888888894</v>
      </c>
      <c r="D528" s="4" t="s">
        <v>669</v>
      </c>
      <c r="E528" s="81" t="s">
        <v>2377</v>
      </c>
    </row>
    <row r="529">
      <c r="A529" s="4" t="str">
        <f>IFERROR(__xludf.DUMMYFUNCTION("""COMPUTED_VALUE"""),"566 - Channel")</f>
        <v>566 - Channel</v>
      </c>
      <c r="B529" s="4" t="s">
        <v>16</v>
      </c>
      <c r="C529" s="6">
        <v>0.5378240740740746</v>
      </c>
      <c r="D529" s="4" t="s">
        <v>81</v>
      </c>
      <c r="E529" s="56"/>
    </row>
    <row r="530">
      <c r="A530" s="4" t="str">
        <f>IFERROR(__xludf.DUMMYFUNCTION("""COMPUTED_VALUE"""),"567 - Channel")</f>
        <v>567 - Channel</v>
      </c>
      <c r="B530" s="4" t="s">
        <v>16</v>
      </c>
      <c r="C530" s="6">
        <v>0.5381712962962969</v>
      </c>
      <c r="D530" s="4" t="s">
        <v>675</v>
      </c>
      <c r="E530" s="81" t="s">
        <v>2437</v>
      </c>
    </row>
    <row r="531">
      <c r="A531" s="4" t="str">
        <f>IFERROR(__xludf.DUMMYFUNCTION("""COMPUTED_VALUE"""),"568 - Channel")</f>
        <v>568 - Channel</v>
      </c>
      <c r="B531" s="4" t="s">
        <v>16</v>
      </c>
      <c r="C531" s="6">
        <v>0.5402662037037043</v>
      </c>
      <c r="D531" s="4" t="s">
        <v>85</v>
      </c>
      <c r="E531" s="56"/>
    </row>
    <row r="532">
      <c r="A532" s="4" t="str">
        <f>IFERROR(__xludf.DUMMYFUNCTION("""COMPUTED_VALUE"""),"569 - Channel")</f>
        <v>569 - Channel</v>
      </c>
      <c r="B532" s="4" t="s">
        <v>16</v>
      </c>
      <c r="C532" s="6">
        <v>0.5404398148148154</v>
      </c>
      <c r="D532" s="4" t="s">
        <v>679</v>
      </c>
      <c r="E532" s="81" t="s">
        <v>2442</v>
      </c>
    </row>
    <row r="533">
      <c r="A533" s="4" t="str">
        <f>IFERROR(__xludf.DUMMYFUNCTION("""COMPUTED_VALUE"""),"570 - Channel")</f>
        <v>570 - Channel</v>
      </c>
      <c r="B533" s="4" t="s">
        <v>16</v>
      </c>
      <c r="C533" s="6">
        <v>0.5406481481481488</v>
      </c>
      <c r="D533" s="4" t="s">
        <v>681</v>
      </c>
      <c r="E533" s="56"/>
    </row>
    <row r="534">
      <c r="A534" s="4" t="str">
        <f>IFERROR(__xludf.DUMMYFUNCTION("""COMPUTED_VALUE"""),"571 - Channel")</f>
        <v>571 - Channel</v>
      </c>
      <c r="B534" s="4" t="s">
        <v>16</v>
      </c>
      <c r="C534" s="6">
        <v>0.5413425925925932</v>
      </c>
      <c r="D534" s="4" t="s">
        <v>682</v>
      </c>
      <c r="E534" s="56"/>
    </row>
    <row r="535">
      <c r="A535" s="4" t="str">
        <f>IFERROR(__xludf.DUMMYFUNCTION("""COMPUTED_VALUE"""),"572 - Channel")</f>
        <v>572 - Channel</v>
      </c>
      <c r="B535" s="4" t="s">
        <v>16</v>
      </c>
      <c r="C535" s="6"/>
      <c r="D535" s="4"/>
      <c r="E535" s="56"/>
    </row>
    <row r="536">
      <c r="A536" s="4" t="str">
        <f>IFERROR(__xludf.DUMMYFUNCTION("""COMPUTED_VALUE"""),"573 - Channel")</f>
        <v>573 - Channel</v>
      </c>
      <c r="B536" s="4" t="s">
        <v>16</v>
      </c>
      <c r="C536" s="6">
        <v>0.5415162037037043</v>
      </c>
      <c r="D536" s="4" t="s">
        <v>684</v>
      </c>
      <c r="E536" s="56"/>
    </row>
    <row r="537">
      <c r="A537" s="4" t="str">
        <f>IFERROR(__xludf.DUMMYFUNCTION("""COMPUTED_VALUE"""),"574 - Channel")</f>
        <v>574 - Channel</v>
      </c>
      <c r="B537" s="4" t="s">
        <v>16</v>
      </c>
      <c r="C537" s="6">
        <v>0.5416898148148155</v>
      </c>
      <c r="D537" s="4" t="s">
        <v>81</v>
      </c>
      <c r="E537" s="56"/>
    </row>
    <row r="538">
      <c r="A538" s="4" t="str">
        <f>IFERROR(__xludf.DUMMYFUNCTION("""COMPUTED_VALUE"""),"575 - Channel")</f>
        <v>575 - Channel</v>
      </c>
      <c r="B538" s="4" t="s">
        <v>16</v>
      </c>
      <c r="C538" s="6">
        <v>0.5420370370370378</v>
      </c>
      <c r="D538" s="4" t="s">
        <v>686</v>
      </c>
      <c r="E538" s="81" t="s">
        <v>2460</v>
      </c>
    </row>
    <row r="539">
      <c r="A539" s="4" t="str">
        <f>IFERROR(__xludf.DUMMYFUNCTION("""COMPUTED_VALUE"""),"577 - Channel")</f>
        <v>577 - Channel</v>
      </c>
      <c r="B539" s="4" t="s">
        <v>16</v>
      </c>
      <c r="C539" s="6">
        <v>0.5516782407407415</v>
      </c>
      <c r="D539" s="4" t="s">
        <v>81</v>
      </c>
      <c r="E539" s="56"/>
    </row>
    <row r="540">
      <c r="A540" s="4" t="str">
        <f>IFERROR(__xludf.DUMMYFUNCTION("""COMPUTED_VALUE"""),"578 - Channel")</f>
        <v>578 - Channel</v>
      </c>
      <c r="B540" s="4" t="s">
        <v>16</v>
      </c>
      <c r="C540" s="6">
        <v>0.5520254629629637</v>
      </c>
      <c r="D540" s="4" t="s">
        <v>691</v>
      </c>
      <c r="E540" s="81" t="s">
        <v>2465</v>
      </c>
    </row>
    <row r="541">
      <c r="A541" s="4" t="str">
        <f>IFERROR(__xludf.DUMMYFUNCTION("""COMPUTED_VALUE"""),"581 - Channel")</f>
        <v>581 - Channel</v>
      </c>
      <c r="B541" s="4" t="s">
        <v>16</v>
      </c>
      <c r="C541" s="6">
        <v>0.5613657407407415</v>
      </c>
      <c r="D541" s="4" t="s">
        <v>81</v>
      </c>
      <c r="E541" s="56"/>
    </row>
    <row r="542">
      <c r="A542" s="4" t="str">
        <f>IFERROR(__xludf.DUMMYFUNCTION("""COMPUTED_VALUE"""),"582 - Channel")</f>
        <v>582 - Channel</v>
      </c>
      <c r="B542" s="4" t="s">
        <v>16</v>
      </c>
      <c r="C542" s="6">
        <v>0.5617129629629638</v>
      </c>
      <c r="D542" s="4" t="s">
        <v>698</v>
      </c>
      <c r="E542" s="81" t="s">
        <v>2472</v>
      </c>
    </row>
    <row r="543">
      <c r="A543" s="4" t="str">
        <f>IFERROR(__xludf.DUMMYFUNCTION("""COMPUTED_VALUE"""),"584 - Channel")</f>
        <v>584 - Channel</v>
      </c>
      <c r="B543" s="4" t="s">
        <v>16</v>
      </c>
      <c r="C543" s="6">
        <v>0.5700462962962971</v>
      </c>
      <c r="D543" s="4" t="s">
        <v>81</v>
      </c>
      <c r="E543" s="56"/>
    </row>
    <row r="544">
      <c r="A544" s="4" t="str">
        <f>IFERROR(__xludf.DUMMYFUNCTION("""COMPUTED_VALUE"""),"585 - Channel")</f>
        <v>585 - Channel</v>
      </c>
      <c r="B544" s="4" t="s">
        <v>16</v>
      </c>
      <c r="C544" s="6">
        <v>0.5703935185185194</v>
      </c>
      <c r="D544" s="4" t="s">
        <v>704</v>
      </c>
      <c r="E544" s="56"/>
    </row>
    <row r="545">
      <c r="A545" s="4" t="str">
        <f>IFERROR(__xludf.DUMMYFUNCTION("""COMPUTED_VALUE"""),"1669 - Channel")</f>
        <v>1669 - Channel</v>
      </c>
      <c r="B545" s="4"/>
      <c r="C545" s="6"/>
      <c r="D545" s="4"/>
      <c r="E545" s="56"/>
    </row>
    <row r="546">
      <c r="A546" s="4" t="str">
        <f>IFERROR(__xludf.DUMMYFUNCTION("""COMPUTED_VALUE"""),"596 - Channel")</f>
        <v>596 - Channel</v>
      </c>
      <c r="B546" s="4" t="s">
        <v>16</v>
      </c>
      <c r="C546" s="6">
        <v>0.5828935185185193</v>
      </c>
      <c r="D546" s="4" t="s">
        <v>81</v>
      </c>
      <c r="E546" s="56"/>
    </row>
    <row r="547">
      <c r="A547" s="4" t="str">
        <f>IFERROR(__xludf.DUMMYFUNCTION("""COMPUTED_VALUE"""),"597 - Channel")</f>
        <v>597 - Channel</v>
      </c>
      <c r="B547" s="4" t="s">
        <v>16</v>
      </c>
      <c r="C547" s="6">
        <v>0.5832407407407416</v>
      </c>
      <c r="D547" s="4" t="s">
        <v>709</v>
      </c>
      <c r="E547" s="81" t="s">
        <v>2493</v>
      </c>
    </row>
    <row r="548">
      <c r="A548" s="4" t="str">
        <f>IFERROR(__xludf.DUMMYFUNCTION("""COMPUTED_VALUE"""),"591 - Channel")</f>
        <v>591 - Channel</v>
      </c>
      <c r="B548" s="4" t="s">
        <v>16</v>
      </c>
      <c r="C548" s="6">
        <v>0.5934722222222231</v>
      </c>
      <c r="D548" s="4" t="s">
        <v>81</v>
      </c>
      <c r="E548" s="56"/>
    </row>
    <row r="549">
      <c r="A549" s="4" t="str">
        <f>IFERROR(__xludf.DUMMYFUNCTION("""COMPUTED_VALUE"""),"594 - Channel")</f>
        <v>594 - Channel</v>
      </c>
      <c r="B549" s="4" t="s">
        <v>16</v>
      </c>
      <c r="C549" s="6">
        <v>0.5938194444444453</v>
      </c>
      <c r="D549" s="4" t="s">
        <v>713</v>
      </c>
      <c r="E549" s="56"/>
    </row>
    <row r="550">
      <c r="A550" s="4" t="str">
        <f>IFERROR(__xludf.DUMMYFUNCTION("""COMPUTED_VALUE"""),"580 - Channel")</f>
        <v>580 - Channel</v>
      </c>
      <c r="B550" s="4" t="s">
        <v>16</v>
      </c>
      <c r="C550" s="6">
        <v>0.6077083333333342</v>
      </c>
      <c r="D550" s="4" t="s">
        <v>717</v>
      </c>
      <c r="E550" s="56"/>
    </row>
    <row r="551">
      <c r="A551" s="4" t="str">
        <f>IFERROR(__xludf.DUMMYFUNCTION("""COMPUTED_VALUE"""),"662 - Channel")</f>
        <v>662 - Channel</v>
      </c>
      <c r="B551" s="4" t="s">
        <v>16</v>
      </c>
      <c r="C551" s="6">
        <v>0.6078819444444453</v>
      </c>
      <c r="D551" s="4" t="s">
        <v>81</v>
      </c>
      <c r="E551" s="56"/>
    </row>
    <row r="552">
      <c r="A552" s="4" t="str">
        <f>IFERROR(__xludf.DUMMYFUNCTION("""COMPUTED_VALUE"""),"663 - Channel")</f>
        <v>663 - Channel</v>
      </c>
      <c r="B552" s="4" t="s">
        <v>16</v>
      </c>
      <c r="C552" s="6">
        <v>0.6082291666666676</v>
      </c>
      <c r="D552" s="4" t="s">
        <v>719</v>
      </c>
      <c r="E552" s="81" t="s">
        <v>2594</v>
      </c>
    </row>
    <row r="553">
      <c r="A553" s="4" t="str">
        <f>IFERROR(__xludf.DUMMYFUNCTION("""COMPUTED_VALUE"""),"599 - Channel")</f>
        <v>599 - Channel</v>
      </c>
      <c r="B553" s="4" t="s">
        <v>16</v>
      </c>
      <c r="C553" s="6">
        <v>0.615173611111112</v>
      </c>
      <c r="D553" s="4" t="s">
        <v>81</v>
      </c>
      <c r="E553" s="56"/>
    </row>
    <row r="554">
      <c r="A554" s="4" t="str">
        <f>IFERROR(__xludf.DUMMYFUNCTION("""COMPUTED_VALUE"""),"600 - Channel")</f>
        <v>600 - Channel</v>
      </c>
      <c r="B554" s="4" t="s">
        <v>16</v>
      </c>
      <c r="C554" s="6">
        <v>0.6155208333333343</v>
      </c>
      <c r="D554" s="4" t="s">
        <v>724</v>
      </c>
      <c r="E554" s="56"/>
    </row>
    <row r="555">
      <c r="A555" s="4" t="str">
        <f>IFERROR(__xludf.DUMMYFUNCTION("""COMPUTED_VALUE"""),"601 - Channel")</f>
        <v>601 - Channel</v>
      </c>
      <c r="B555" s="4" t="s">
        <v>16</v>
      </c>
      <c r="C555" s="6">
        <v>0.6238541666666676</v>
      </c>
      <c r="D555" s="4" t="s">
        <v>85</v>
      </c>
      <c r="E555" s="56"/>
    </row>
    <row r="556">
      <c r="A556" s="4" t="str">
        <f>IFERROR(__xludf.DUMMYFUNCTION("""COMPUTED_VALUE"""),"602 - Channel")</f>
        <v>602 - Channel</v>
      </c>
      <c r="B556" s="4" t="s">
        <v>16</v>
      </c>
      <c r="C556" s="6"/>
      <c r="D556" s="4"/>
      <c r="E556" s="56"/>
    </row>
    <row r="557">
      <c r="A557" s="4" t="str">
        <f>IFERROR(__xludf.DUMMYFUNCTION("""COMPUTED_VALUE"""),"526 - Channel")</f>
        <v>526 - Channel</v>
      </c>
      <c r="B557" s="4" t="s">
        <v>16</v>
      </c>
      <c r="C557" s="6">
        <v>0.6240277777777787</v>
      </c>
      <c r="D557" s="4" t="s">
        <v>81</v>
      </c>
      <c r="E557" s="56"/>
    </row>
    <row r="558">
      <c r="A558" s="4" t="str">
        <f>IFERROR(__xludf.DUMMYFUNCTION("""COMPUTED_VALUE"""),"527 - Channel")</f>
        <v>527 - Channel</v>
      </c>
      <c r="B558" s="4" t="s">
        <v>16</v>
      </c>
      <c r="C558" s="6">
        <v>0.624375000000001</v>
      </c>
      <c r="D558" s="4" t="s">
        <v>729</v>
      </c>
      <c r="E558" s="56"/>
    </row>
    <row r="559">
      <c r="A559" s="4" t="str">
        <f>IFERROR(__xludf.DUMMYFUNCTION("""COMPUTED_VALUE"""),"528 - Channel")</f>
        <v>528 - Channel</v>
      </c>
      <c r="B559" s="4" t="s">
        <v>16</v>
      </c>
      <c r="C559" s="6">
        <v>0.6327083333333343</v>
      </c>
      <c r="D559" s="4" t="s">
        <v>85</v>
      </c>
      <c r="E559" s="56"/>
    </row>
    <row r="560">
      <c r="A560" s="4" t="str">
        <f>IFERROR(__xludf.DUMMYFUNCTION("""COMPUTED_VALUE"""),"1456 - Channel")</f>
        <v>1456 - Channel</v>
      </c>
      <c r="B560" s="4" t="s">
        <v>16</v>
      </c>
      <c r="C560" s="6">
        <v>0.6328819444444455</v>
      </c>
      <c r="D560" s="4" t="s">
        <v>81</v>
      </c>
      <c r="E560" s="56"/>
    </row>
    <row r="561">
      <c r="A561" s="4" t="str">
        <f>IFERROR(__xludf.DUMMYFUNCTION("""COMPUTED_VALUE"""),"1457 - Channel")</f>
        <v>1457 - Channel</v>
      </c>
      <c r="B561" s="4" t="s">
        <v>16</v>
      </c>
      <c r="C561" s="6">
        <v>0.6332291666666677</v>
      </c>
      <c r="D561" s="4" t="s">
        <v>738</v>
      </c>
      <c r="E561" s="81" t="s">
        <v>4644</v>
      </c>
    </row>
    <row r="562">
      <c r="A562" s="4" t="str">
        <f>IFERROR(__xludf.DUMMYFUNCTION("""COMPUTED_VALUE"""),"659 - Channel")</f>
        <v>659 - Channel</v>
      </c>
      <c r="B562" s="4" t="s">
        <v>16</v>
      </c>
      <c r="C562" s="6">
        <v>0.6422569444444455</v>
      </c>
      <c r="D562" s="4" t="s">
        <v>81</v>
      </c>
      <c r="E562" s="56"/>
    </row>
    <row r="563">
      <c r="A563" s="4" t="str">
        <f>IFERROR(__xludf.DUMMYFUNCTION("""COMPUTED_VALUE"""),"660 - Channel")</f>
        <v>660 - Channel</v>
      </c>
      <c r="B563" s="4" t="s">
        <v>16</v>
      </c>
      <c r="C563" s="6">
        <v>0.6426041666666678</v>
      </c>
      <c r="D563" s="4" t="s">
        <v>745</v>
      </c>
      <c r="E563" s="81" t="s">
        <v>2589</v>
      </c>
    </row>
    <row r="564">
      <c r="A564" s="4" t="str">
        <f>IFERROR(__xludf.DUMMYFUNCTION("""COMPUTED_VALUE"""),"686 - Channel")</f>
        <v>686 - Channel</v>
      </c>
      <c r="B564" s="4" t="s">
        <v>16</v>
      </c>
      <c r="C564" s="6">
        <v>0.6564930555555566</v>
      </c>
      <c r="D564" s="4" t="s">
        <v>81</v>
      </c>
      <c r="E564" s="56"/>
    </row>
    <row r="565">
      <c r="A565" s="4" t="str">
        <f>IFERROR(__xludf.DUMMYFUNCTION("""COMPUTED_VALUE"""),"687 - Channel")</f>
        <v>687 - Channel</v>
      </c>
      <c r="B565" s="4" t="s">
        <v>16</v>
      </c>
      <c r="C565" s="6">
        <v>0.6568402777777789</v>
      </c>
      <c r="D565" s="4" t="s">
        <v>748</v>
      </c>
      <c r="E565" s="56"/>
    </row>
    <row r="566">
      <c r="A566" s="4" t="str">
        <f>IFERROR(__xludf.DUMMYFUNCTION("""COMPUTED_VALUE"""),"615 - Channel")</f>
        <v>615 - Channel</v>
      </c>
      <c r="B566" s="4" t="s">
        <v>16</v>
      </c>
      <c r="C566" s="6"/>
      <c r="D566" s="4"/>
      <c r="E566" s="56"/>
    </row>
    <row r="567">
      <c r="A567" s="4" t="str">
        <f>IFERROR(__xludf.DUMMYFUNCTION("""COMPUTED_VALUE"""),"593 - Channel")</f>
        <v>593 - Channel</v>
      </c>
      <c r="B567" s="4" t="s">
        <v>16</v>
      </c>
      <c r="C567" s="6">
        <v>0.6672569444444455</v>
      </c>
      <c r="D567" s="4" t="s">
        <v>755</v>
      </c>
      <c r="E567" s="56"/>
    </row>
    <row r="568">
      <c r="A568" s="4" t="str">
        <f>IFERROR(__xludf.DUMMYFUNCTION("""COMPUTED_VALUE"""),"617 - Channel")</f>
        <v>617 - Channel</v>
      </c>
      <c r="B568" s="4" t="s">
        <v>16</v>
      </c>
      <c r="C568" s="6">
        <v>0.6676041666666678</v>
      </c>
      <c r="D568" s="4" t="s">
        <v>81</v>
      </c>
      <c r="E568" s="56"/>
    </row>
    <row r="569">
      <c r="A569" s="4" t="str">
        <f>IFERROR(__xludf.DUMMYFUNCTION("""COMPUTED_VALUE"""),"618 - Channel")</f>
        <v>618 - Channel</v>
      </c>
      <c r="B569" s="4" t="s">
        <v>16</v>
      </c>
      <c r="C569" s="6">
        <v>0.66795138888889</v>
      </c>
      <c r="D569" s="4" t="s">
        <v>758</v>
      </c>
      <c r="E569" s="56"/>
    </row>
    <row r="570">
      <c r="A570" s="4" t="str">
        <f>IFERROR(__xludf.DUMMYFUNCTION("""COMPUTED_VALUE"""),"619 - Channel")</f>
        <v>619 - Channel</v>
      </c>
      <c r="B570" s="4" t="s">
        <v>16</v>
      </c>
      <c r="C570" s="6">
        <v>0.6762847222222234</v>
      </c>
      <c r="D570" s="4" t="s">
        <v>85</v>
      </c>
      <c r="E570" s="56"/>
    </row>
    <row r="571">
      <c r="A571" s="4" t="str">
        <f>IFERROR(__xludf.DUMMYFUNCTION("""COMPUTED_VALUE"""),"621 - Channel")</f>
        <v>621 - Channel</v>
      </c>
      <c r="B571" s="4" t="s">
        <v>16</v>
      </c>
      <c r="C571" s="6">
        <v>0.6764583333333345</v>
      </c>
      <c r="D571" s="4" t="s">
        <v>81</v>
      </c>
      <c r="E571" s="56"/>
    </row>
    <row r="572">
      <c r="A572" s="4" t="str">
        <f>IFERROR(__xludf.DUMMYFUNCTION("""COMPUTED_VALUE"""),"622 - Channel")</f>
        <v>622 - Channel</v>
      </c>
      <c r="B572" s="4" t="s">
        <v>16</v>
      </c>
      <c r="C572" s="6">
        <v>0.6768055555555568</v>
      </c>
      <c r="D572" s="4" t="s">
        <v>763</v>
      </c>
      <c r="E572" s="56"/>
    </row>
    <row r="573">
      <c r="A573" s="4" t="str">
        <f>IFERROR(__xludf.DUMMYFUNCTION("""COMPUTED_VALUE"""),"624 - Channel")</f>
        <v>624 - Channel</v>
      </c>
      <c r="B573" s="4" t="s">
        <v>16</v>
      </c>
      <c r="C573" s="6">
        <v>0.6906944444444456</v>
      </c>
      <c r="D573" s="4" t="s">
        <v>81</v>
      </c>
      <c r="E573" s="56"/>
    </row>
    <row r="574">
      <c r="A574" s="4" t="str">
        <f>IFERROR(__xludf.DUMMYFUNCTION("""COMPUTED_VALUE"""),"625 - Channel")</f>
        <v>625 - Channel</v>
      </c>
      <c r="B574" s="4" t="s">
        <v>16</v>
      </c>
      <c r="C574" s="6">
        <v>0.6910416666666679</v>
      </c>
      <c r="D574" s="4" t="s">
        <v>767</v>
      </c>
      <c r="E574" s="81" t="s">
        <v>2537</v>
      </c>
    </row>
    <row r="575">
      <c r="A575" s="4" t="str">
        <f>IFERROR(__xludf.DUMMYFUNCTION("""COMPUTED_VALUE"""),"627 - Channel")</f>
        <v>627 - Channel</v>
      </c>
      <c r="B575" s="4" t="s">
        <v>16</v>
      </c>
      <c r="C575" s="6">
        <v>0.6990162037037049</v>
      </c>
      <c r="D575" s="4" t="s">
        <v>81</v>
      </c>
      <c r="E575" s="56"/>
    </row>
    <row r="576">
      <c r="A576" s="4" t="str">
        <f>IFERROR(__xludf.DUMMYFUNCTION("""COMPUTED_VALUE"""),"628 - Channel")</f>
        <v>628 - Channel</v>
      </c>
      <c r="B576" s="4" t="s">
        <v>16</v>
      </c>
      <c r="C576" s="6">
        <v>0.6993634259259272</v>
      </c>
      <c r="D576" s="4" t="s">
        <v>771</v>
      </c>
      <c r="E576" s="81" t="s">
        <v>2542</v>
      </c>
    </row>
    <row r="577">
      <c r="A577" s="4" t="str">
        <f>IFERROR(__xludf.DUMMYFUNCTION("""COMPUTED_VALUE"""),"631 - Channel")</f>
        <v>631 - Channel</v>
      </c>
      <c r="B577" s="4" t="s">
        <v>16</v>
      </c>
      <c r="C577" s="6">
        <v>0.7074421296296308</v>
      </c>
      <c r="D577" s="4" t="s">
        <v>598</v>
      </c>
      <c r="E577" s="56"/>
    </row>
    <row r="578">
      <c r="A578" s="4" t="str">
        <f>IFERROR(__xludf.DUMMYFUNCTION("""COMPUTED_VALUE"""),"632 - Channel")</f>
        <v>632 - Channel</v>
      </c>
      <c r="B578" s="4" t="s">
        <v>16</v>
      </c>
      <c r="C578" s="6"/>
      <c r="D578" s="4"/>
      <c r="E578" s="56"/>
    </row>
    <row r="579">
      <c r="A579" s="4" t="str">
        <f>IFERROR(__xludf.DUMMYFUNCTION("""COMPUTED_VALUE"""),"633 - Channel")</f>
        <v>633 - Channel</v>
      </c>
      <c r="B579" s="4" t="s">
        <v>16</v>
      </c>
      <c r="C579" s="6"/>
      <c r="D579" s="4"/>
      <c r="E579" s="56"/>
    </row>
    <row r="580">
      <c r="A580" s="4" t="str">
        <f>IFERROR(__xludf.DUMMYFUNCTION("""COMPUTED_VALUE"""),"634 - Channel")</f>
        <v>634 - Channel</v>
      </c>
      <c r="B580" s="4" t="s">
        <v>344</v>
      </c>
      <c r="C580" s="6"/>
      <c r="D580" s="4"/>
      <c r="E580" s="56"/>
    </row>
    <row r="581">
      <c r="A581" s="4" t="str">
        <f>IFERROR(__xludf.DUMMYFUNCTION("""COMPUTED_VALUE"""),"635 - Channel")</f>
        <v>635 - Channel</v>
      </c>
      <c r="B581" s="4" t="s">
        <v>16</v>
      </c>
      <c r="C581" s="6">
        <v>0.4166666666666667</v>
      </c>
      <c r="D581" s="4" t="s">
        <v>67</v>
      </c>
      <c r="E581" s="56"/>
    </row>
    <row r="582">
      <c r="A582" s="4" t="str">
        <f>IFERROR(__xludf.DUMMYFUNCTION("""COMPUTED_VALUE"""),"636 - Channel")</f>
        <v>636 - Channel</v>
      </c>
      <c r="B582" s="4" t="s">
        <v>16</v>
      </c>
      <c r="C582" s="6">
        <v>0.41770833333333335</v>
      </c>
      <c r="D582" s="4" t="s">
        <v>81</v>
      </c>
      <c r="E582" s="56"/>
    </row>
    <row r="583">
      <c r="A583" s="4" t="str">
        <f>IFERROR(__xludf.DUMMYFUNCTION("""COMPUTED_VALUE"""),"637 - Channel")</f>
        <v>637 - Channel</v>
      </c>
      <c r="B583" s="4" t="s">
        <v>16</v>
      </c>
      <c r="C583" s="6">
        <v>0.4178819444444445</v>
      </c>
      <c r="D583" s="4" t="s">
        <v>779</v>
      </c>
      <c r="E583" s="81" t="s">
        <v>2553</v>
      </c>
    </row>
    <row r="584">
      <c r="A584" s="4" t="str">
        <f>IFERROR(__xludf.DUMMYFUNCTION("""COMPUTED_VALUE"""),"638 - Channel")</f>
        <v>638 - Channel</v>
      </c>
      <c r="B584" s="4" t="s">
        <v>16</v>
      </c>
      <c r="C584" s="6">
        <v>0.42931712962962965</v>
      </c>
      <c r="D584" s="4" t="s">
        <v>85</v>
      </c>
      <c r="E584" s="56"/>
    </row>
    <row r="585">
      <c r="A585" s="4" t="str">
        <f>IFERROR(__xludf.DUMMYFUNCTION("""COMPUTED_VALUE"""),"639 - Channel")</f>
        <v>639 - Channel</v>
      </c>
      <c r="B585" s="4" t="s">
        <v>16</v>
      </c>
      <c r="C585" s="6">
        <v>0.4294907407407408</v>
      </c>
      <c r="D585" s="4" t="s">
        <v>81</v>
      </c>
      <c r="E585" s="56"/>
    </row>
    <row r="586">
      <c r="A586" s="4" t="str">
        <f>IFERROR(__xludf.DUMMYFUNCTION("""COMPUTED_VALUE"""),"640 - Channel")</f>
        <v>640 - Channel</v>
      </c>
      <c r="B586" s="4" t="s">
        <v>16</v>
      </c>
      <c r="C586" s="6">
        <v>0.429837962962963</v>
      </c>
      <c r="D586" s="4" t="s">
        <v>792</v>
      </c>
      <c r="E586" s="81" t="s">
        <v>2558</v>
      </c>
    </row>
    <row r="587">
      <c r="A587" s="4" t="str">
        <f>IFERROR(__xludf.DUMMYFUNCTION("""COMPUTED_VALUE"""),"641 - Channel")</f>
        <v>641 - Channel</v>
      </c>
      <c r="B587" s="4" t="s">
        <v>16</v>
      </c>
      <c r="C587" s="6">
        <v>0.44347222222222227</v>
      </c>
      <c r="D587" s="4" t="s">
        <v>796</v>
      </c>
      <c r="E587" s="56"/>
    </row>
    <row r="588">
      <c r="A588" s="4" t="str">
        <f>IFERROR(__xludf.DUMMYFUNCTION("""COMPUTED_VALUE"""),"643 - Channel")</f>
        <v>643 - Channel</v>
      </c>
      <c r="B588" s="4" t="s">
        <v>16</v>
      </c>
      <c r="C588" s="6">
        <v>0.4438194444444445</v>
      </c>
      <c r="D588" s="4" t="s">
        <v>798</v>
      </c>
      <c r="E588" s="56"/>
    </row>
    <row r="589">
      <c r="A589" s="4" t="str">
        <f>IFERROR(__xludf.DUMMYFUNCTION("""COMPUTED_VALUE"""),"644 - Channel")</f>
        <v>644 - Channel</v>
      </c>
      <c r="B589" s="4" t="s">
        <v>16</v>
      </c>
      <c r="C589" s="6">
        <v>0.4439930555555556</v>
      </c>
      <c r="D589" s="4" t="s">
        <v>81</v>
      </c>
      <c r="E589" s="56"/>
    </row>
    <row r="590">
      <c r="A590" s="4" t="str">
        <f>IFERROR(__xludf.DUMMYFUNCTION("""COMPUTED_VALUE"""),"645 - Channel")</f>
        <v>645 - Channel</v>
      </c>
      <c r="B590" s="4" t="s">
        <v>16</v>
      </c>
      <c r="C590" s="6">
        <v>0.44434027777777785</v>
      </c>
      <c r="D590" s="4" t="s">
        <v>801</v>
      </c>
      <c r="E590" s="81" t="s">
        <v>2565</v>
      </c>
    </row>
    <row r="591">
      <c r="A591" s="4" t="str">
        <f>IFERROR(__xludf.DUMMYFUNCTION("""COMPUTED_VALUE"""),"646 - Channel")</f>
        <v>646 - Channel</v>
      </c>
      <c r="B591" s="4" t="s">
        <v>16</v>
      </c>
      <c r="C591" s="6">
        <v>0.44684027777777785</v>
      </c>
      <c r="D591" s="4" t="s">
        <v>85</v>
      </c>
      <c r="E591" s="56"/>
    </row>
    <row r="592">
      <c r="A592" s="4" t="str">
        <f>IFERROR(__xludf.DUMMYFUNCTION("""COMPUTED_VALUE"""),"647 - Channel")</f>
        <v>647 - Channel</v>
      </c>
      <c r="B592" s="4" t="s">
        <v>16</v>
      </c>
      <c r="C592" s="6">
        <v>0.447013888888889</v>
      </c>
      <c r="D592" s="4" t="s">
        <v>755</v>
      </c>
      <c r="E592" s="56"/>
    </row>
    <row r="593">
      <c r="A593" s="4" t="str">
        <f>IFERROR(__xludf.DUMMYFUNCTION("""COMPUTED_VALUE"""),"648 - Channel")</f>
        <v>648 - Channel</v>
      </c>
      <c r="B593" s="4" t="s">
        <v>16</v>
      </c>
      <c r="C593" s="6">
        <v>0.4473611111111112</v>
      </c>
      <c r="D593" s="4" t="s">
        <v>81</v>
      </c>
      <c r="E593" s="56"/>
    </row>
    <row r="594">
      <c r="A594" s="4" t="str">
        <f>IFERROR(__xludf.DUMMYFUNCTION("""COMPUTED_VALUE"""),"649 - Channel")</f>
        <v>649 - Channel</v>
      </c>
      <c r="B594" s="4" t="s">
        <v>16</v>
      </c>
      <c r="C594" s="6">
        <v>0.44770833333333343</v>
      </c>
      <c r="D594" s="4" t="s">
        <v>805</v>
      </c>
      <c r="E594" s="81" t="s">
        <v>2572</v>
      </c>
    </row>
    <row r="595">
      <c r="A595" s="4" t="str">
        <f>IFERROR(__xludf.DUMMYFUNCTION("""COMPUTED_VALUE"""),"650 - Channel")</f>
        <v>650 - Channel</v>
      </c>
      <c r="B595" s="4" t="s">
        <v>16</v>
      </c>
      <c r="C595" s="6">
        <v>0.4552777777777779</v>
      </c>
      <c r="D595" s="4" t="s">
        <v>85</v>
      </c>
      <c r="E595" s="56"/>
    </row>
    <row r="596">
      <c r="A596" s="4" t="str">
        <f>IFERROR(__xludf.DUMMYFUNCTION("""COMPUTED_VALUE"""),"652 - Channel")</f>
        <v>652 - Channel</v>
      </c>
      <c r="B596" s="4" t="s">
        <v>16</v>
      </c>
      <c r="C596" s="6">
        <v>0.45545138888888903</v>
      </c>
      <c r="D596" s="4" t="s">
        <v>810</v>
      </c>
      <c r="E596" s="56"/>
    </row>
    <row r="597">
      <c r="A597" s="4" t="str">
        <f>IFERROR(__xludf.DUMMYFUNCTION("""COMPUTED_VALUE"""),"653 - Channel")</f>
        <v>653 - Channel</v>
      </c>
      <c r="B597" s="4" t="s">
        <v>16</v>
      </c>
      <c r="C597" s="6">
        <v>0.45562500000000017</v>
      </c>
      <c r="D597" s="4" t="s">
        <v>81</v>
      </c>
      <c r="E597" s="56"/>
    </row>
    <row r="598">
      <c r="A598" s="4" t="str">
        <f>IFERROR(__xludf.DUMMYFUNCTION("""COMPUTED_VALUE"""),"654 - Channel")</f>
        <v>654 - Channel</v>
      </c>
      <c r="B598" s="4" t="s">
        <v>16</v>
      </c>
      <c r="C598" s="6">
        <v>0.4559722222222224</v>
      </c>
      <c r="D598" s="4" t="s">
        <v>812</v>
      </c>
      <c r="E598" s="81" t="s">
        <v>2581</v>
      </c>
    </row>
    <row r="599">
      <c r="A599" s="4" t="str">
        <f>IFERROR(__xludf.DUMMYFUNCTION("""COMPUTED_VALUE"""),"655 - Channel")</f>
        <v>655 - Channel</v>
      </c>
      <c r="B599" s="4" t="s">
        <v>16</v>
      </c>
      <c r="C599" s="6">
        <v>0.45807870370370385</v>
      </c>
      <c r="D599" s="4" t="s">
        <v>815</v>
      </c>
      <c r="E599" s="56"/>
    </row>
    <row r="600">
      <c r="A600" s="4" t="str">
        <f>IFERROR(__xludf.DUMMYFUNCTION("""COMPUTED_VALUE"""),"656 - Channel")</f>
        <v>656 - Channel</v>
      </c>
      <c r="B600" s="4" t="s">
        <v>16</v>
      </c>
      <c r="C600" s="6">
        <v>0.4583449074074076</v>
      </c>
      <c r="D600" s="4" t="s">
        <v>755</v>
      </c>
      <c r="E600" s="56"/>
    </row>
    <row r="601">
      <c r="A601" s="4" t="str">
        <f>IFERROR(__xludf.DUMMYFUNCTION("""COMPUTED_VALUE"""),"658 - Channel")</f>
        <v>658 - Channel</v>
      </c>
      <c r="B601" s="4" t="s">
        <v>16</v>
      </c>
      <c r="C601" s="6"/>
      <c r="D601" s="4"/>
      <c r="E601" s="56"/>
    </row>
    <row r="602">
      <c r="A602" s="4" t="str">
        <f>IFERROR(__xludf.DUMMYFUNCTION("""COMPUTED_VALUE"""),"609 - Channel")</f>
        <v>609 - Channel</v>
      </c>
      <c r="B602" s="4" t="s">
        <v>16</v>
      </c>
      <c r="C602" s="6">
        <v>0.4586921296296298</v>
      </c>
      <c r="D602" s="4" t="s">
        <v>81</v>
      </c>
      <c r="E602" s="56"/>
    </row>
    <row r="603">
      <c r="A603" s="4" t="str">
        <f>IFERROR(__xludf.DUMMYFUNCTION("""COMPUTED_VALUE"""),"610 - Channel")</f>
        <v>610 - Channel</v>
      </c>
      <c r="B603" s="4" t="s">
        <v>16</v>
      </c>
      <c r="C603" s="6">
        <v>0.459039351851852</v>
      </c>
      <c r="D603" s="4" t="s">
        <v>817</v>
      </c>
      <c r="E603" s="81" t="s">
        <v>2515</v>
      </c>
    </row>
    <row r="604">
      <c r="A604" s="4" t="str">
        <f>IFERROR(__xludf.DUMMYFUNCTION("""COMPUTED_VALUE"""),"611 - Channel")</f>
        <v>611 - Channel</v>
      </c>
      <c r="B604" s="4" t="s">
        <v>16</v>
      </c>
      <c r="C604" s="6">
        <v>0.47153935185185203</v>
      </c>
      <c r="D604" s="4" t="s">
        <v>85</v>
      </c>
      <c r="E604" s="56"/>
    </row>
    <row r="605">
      <c r="A605" s="4" t="str">
        <f>IFERROR(__xludf.DUMMYFUNCTION("""COMPUTED_VALUE"""),"1391 - Channel")</f>
        <v>1391 - Channel</v>
      </c>
      <c r="B605" s="4" t="s">
        <v>16</v>
      </c>
      <c r="C605" s="6">
        <v>0.47171296296296317</v>
      </c>
      <c r="D605" s="4" t="s">
        <v>81</v>
      </c>
      <c r="E605" s="56"/>
    </row>
    <row r="606">
      <c r="A606" s="4" t="str">
        <f>IFERROR(__xludf.DUMMYFUNCTION("""COMPUTED_VALUE"""),"1294 - Channel")</f>
        <v>1294 - Channel</v>
      </c>
      <c r="B606" s="4" t="s">
        <v>16</v>
      </c>
      <c r="C606" s="6">
        <v>0.4720601851851854</v>
      </c>
      <c r="D606" s="4" t="s">
        <v>822</v>
      </c>
      <c r="E606" s="81" t="s">
        <v>4555</v>
      </c>
    </row>
    <row r="607">
      <c r="A607" s="4" t="str">
        <f>IFERROR(__xludf.DUMMYFUNCTION("""COMPUTED_VALUE"""),"181 - Channel")</f>
        <v>181 - Channel</v>
      </c>
      <c r="B607" s="4" t="s">
        <v>16</v>
      </c>
      <c r="C607" s="6">
        <v>0.4824537037037039</v>
      </c>
      <c r="D607" s="4" t="s">
        <v>85</v>
      </c>
      <c r="E607" s="56"/>
    </row>
    <row r="608">
      <c r="A608" s="4" t="str">
        <f>IFERROR(__xludf.DUMMYFUNCTION("""COMPUTED_VALUE"""),"588 - Channel")</f>
        <v>588 - Channel</v>
      </c>
      <c r="B608" s="4" t="s">
        <v>16</v>
      </c>
      <c r="C608" s="6">
        <v>0.482627314814815</v>
      </c>
      <c r="D608" s="4" t="s">
        <v>81</v>
      </c>
      <c r="E608" s="56"/>
    </row>
    <row r="609">
      <c r="A609" s="4" t="str">
        <f>IFERROR(__xludf.DUMMYFUNCTION("""COMPUTED_VALUE"""),"589 - Channel")</f>
        <v>589 - Channel</v>
      </c>
      <c r="B609" s="4" t="s">
        <v>16</v>
      </c>
      <c r="C609" s="6">
        <v>0.48297453703703724</v>
      </c>
      <c r="D609" s="4" t="s">
        <v>828</v>
      </c>
      <c r="E609" s="81" t="s">
        <v>2483</v>
      </c>
    </row>
    <row r="610">
      <c r="A610" s="4" t="str">
        <f>IFERROR(__xludf.DUMMYFUNCTION("""COMPUTED_VALUE"""),"590 - Channel")</f>
        <v>590 - Channel</v>
      </c>
      <c r="B610" s="4" t="s">
        <v>16</v>
      </c>
      <c r="C610" s="6">
        <v>0.4913078703703706</v>
      </c>
      <c r="D610" s="4" t="s">
        <v>85</v>
      </c>
      <c r="E610" s="56"/>
    </row>
    <row r="611">
      <c r="A611" s="4" t="str">
        <f>IFERROR(__xludf.DUMMYFUNCTION("""COMPUTED_VALUE"""),"668 - Channel")</f>
        <v>668 - Channel</v>
      </c>
      <c r="B611" s="4" t="s">
        <v>16</v>
      </c>
      <c r="C611" s="6">
        <v>0.49148148148148174</v>
      </c>
      <c r="D611" s="4" t="s">
        <v>81</v>
      </c>
      <c r="E611" s="56"/>
    </row>
    <row r="612">
      <c r="A612" s="4" t="str">
        <f>IFERROR(__xludf.DUMMYFUNCTION("""COMPUTED_VALUE"""),"669 - Channel")</f>
        <v>669 - Channel</v>
      </c>
      <c r="B612" s="4" t="s">
        <v>16</v>
      </c>
      <c r="C612" s="6">
        <v>0.49182870370370396</v>
      </c>
      <c r="D612" s="4" t="s">
        <v>834</v>
      </c>
      <c r="E612" s="81" t="s">
        <v>2607</v>
      </c>
    </row>
    <row r="613">
      <c r="A613" s="4" t="str">
        <f>IFERROR(__xludf.DUMMYFUNCTION("""COMPUTED_VALUE"""),"670 - Channel")</f>
        <v>670 - Channel</v>
      </c>
      <c r="B613" s="4" t="s">
        <v>16</v>
      </c>
      <c r="C613" s="6">
        <v>0.49909722222222247</v>
      </c>
      <c r="D613" s="4" t="s">
        <v>85</v>
      </c>
      <c r="E613" s="56"/>
    </row>
    <row r="614">
      <c r="A614" s="4" t="str">
        <f>IFERROR(__xludf.DUMMYFUNCTION("""COMPUTED_VALUE"""),"671 - Channel")</f>
        <v>671 - Channel</v>
      </c>
      <c r="B614" s="4" t="s">
        <v>16</v>
      </c>
      <c r="C614" s="6"/>
      <c r="D614" s="4"/>
      <c r="E614" s="56"/>
    </row>
    <row r="615">
      <c r="A615" s="4" t="str">
        <f>IFERROR(__xludf.DUMMYFUNCTION("""COMPUTED_VALUE"""),"672 - Channel")</f>
        <v>672 - Channel</v>
      </c>
      <c r="B615" s="4" t="s">
        <v>16</v>
      </c>
      <c r="C615" s="6">
        <v>0.4992708333333336</v>
      </c>
      <c r="D615" s="4" t="s">
        <v>81</v>
      </c>
      <c r="E615" s="56"/>
    </row>
    <row r="616">
      <c r="A616" s="4" t="str">
        <f>IFERROR(__xludf.DUMMYFUNCTION("""COMPUTED_VALUE"""),"673 - Channel")</f>
        <v>673 - Channel</v>
      </c>
      <c r="B616" s="4" t="s">
        <v>16</v>
      </c>
      <c r="C616" s="6">
        <v>0.49961805555555583</v>
      </c>
      <c r="D616" s="4" t="s">
        <v>838</v>
      </c>
      <c r="E616" s="81" t="s">
        <v>2614</v>
      </c>
    </row>
    <row r="617">
      <c r="A617" s="4" t="str">
        <f>IFERROR(__xludf.DUMMYFUNCTION("""COMPUTED_VALUE"""),"674 - Channel")</f>
        <v>674 - Channel</v>
      </c>
      <c r="B617" s="4" t="s">
        <v>16</v>
      </c>
      <c r="C617" s="6">
        <v>0.5084722222222225</v>
      </c>
      <c r="D617" s="4" t="s">
        <v>85</v>
      </c>
      <c r="E617" s="56"/>
    </row>
    <row r="618">
      <c r="A618" s="4" t="str">
        <f>IFERROR(__xludf.DUMMYFUNCTION("""COMPUTED_VALUE"""),"675 - Channel")</f>
        <v>675 - Channel</v>
      </c>
      <c r="B618" s="4" t="s">
        <v>16</v>
      </c>
      <c r="C618" s="6">
        <v>0.5086458333333337</v>
      </c>
      <c r="D618" s="4" t="s">
        <v>511</v>
      </c>
      <c r="E618" s="56"/>
    </row>
    <row r="619">
      <c r="A619" s="4" t="str">
        <f>IFERROR(__xludf.DUMMYFUNCTION("""COMPUTED_VALUE"""),"676 - Channel")</f>
        <v>676 - Channel</v>
      </c>
      <c r="B619" s="4" t="s">
        <v>16</v>
      </c>
      <c r="C619" s="6">
        <v>0.508993055555556</v>
      </c>
      <c r="D619" s="4" t="s">
        <v>81</v>
      </c>
      <c r="E619" s="56"/>
    </row>
    <row r="620">
      <c r="A620" s="4" t="str">
        <f>IFERROR(__xludf.DUMMYFUNCTION("""COMPUTED_VALUE"""),"677 - Channel")</f>
        <v>677 - Channel</v>
      </c>
      <c r="B620" s="4" t="s">
        <v>16</v>
      </c>
      <c r="C620" s="6">
        <v>0.5093402777777782</v>
      </c>
      <c r="D620" s="4" t="s">
        <v>844</v>
      </c>
      <c r="E620" s="81" t="s">
        <v>2620</v>
      </c>
    </row>
    <row r="621">
      <c r="A621" s="4" t="str">
        <f>IFERROR(__xludf.DUMMYFUNCTION("""COMPUTED_VALUE"""),"678 - Channel")</f>
        <v>678 - Channel</v>
      </c>
      <c r="B621" s="4" t="s">
        <v>16</v>
      </c>
      <c r="C621" s="6">
        <v>0.5259143518518523</v>
      </c>
      <c r="D621" s="4" t="s">
        <v>85</v>
      </c>
      <c r="E621" s="56"/>
    </row>
    <row r="622">
      <c r="A622" s="4" t="str">
        <f>IFERROR(__xludf.DUMMYFUNCTION("""COMPUTED_VALUE"""),"679 - Channel")</f>
        <v>679 - Channel</v>
      </c>
      <c r="B622" s="4" t="s">
        <v>16</v>
      </c>
      <c r="C622" s="6">
        <v>0.5260879629629635</v>
      </c>
      <c r="D622" s="4" t="s">
        <v>682</v>
      </c>
      <c r="E622" s="56"/>
    </row>
    <row r="623">
      <c r="A623" s="4" t="str">
        <f>IFERROR(__xludf.DUMMYFUNCTION("""COMPUTED_VALUE"""),"681 - Channel")</f>
        <v>681 - Channel</v>
      </c>
      <c r="B623" s="4" t="s">
        <v>16</v>
      </c>
      <c r="C623" s="6">
        <v>0.5262615740740746</v>
      </c>
      <c r="D623" s="4" t="s">
        <v>81</v>
      </c>
      <c r="E623" s="56"/>
    </row>
    <row r="624">
      <c r="A624" s="4" t="str">
        <f>IFERROR(__xludf.DUMMYFUNCTION("""COMPUTED_VALUE"""),"682 - Channel")</f>
        <v>682 - Channel</v>
      </c>
      <c r="B624" s="4" t="s">
        <v>16</v>
      </c>
      <c r="C624" s="6">
        <v>0.5266087962962969</v>
      </c>
      <c r="D624" s="4" t="s">
        <v>850</v>
      </c>
      <c r="E624" s="81" t="s">
        <v>2627</v>
      </c>
    </row>
    <row r="625">
      <c r="A625" s="4" t="str">
        <f>IFERROR(__xludf.DUMMYFUNCTION("""COMPUTED_VALUE"""),"683 - Channel")</f>
        <v>683 - Channel</v>
      </c>
      <c r="B625" s="4" t="s">
        <v>16</v>
      </c>
      <c r="C625" s="6">
        <v>0.5289351851851858</v>
      </c>
      <c r="D625" s="4" t="s">
        <v>85</v>
      </c>
      <c r="E625" s="56"/>
    </row>
    <row r="626">
      <c r="A626" s="4" t="str">
        <f>IFERROR(__xludf.DUMMYFUNCTION("""COMPUTED_VALUE"""),"684 - Channel")</f>
        <v>684 - Channel</v>
      </c>
      <c r="B626" s="4" t="s">
        <v>16</v>
      </c>
      <c r="C626" s="6">
        <v>0.5291087962962969</v>
      </c>
      <c r="D626" s="4" t="s">
        <v>853</v>
      </c>
      <c r="E626" s="56"/>
    </row>
    <row r="627">
      <c r="A627" s="4" t="str">
        <f>IFERROR(__xludf.DUMMYFUNCTION("""COMPUTED_VALUE"""),"685 - Channel")</f>
        <v>685 - Channel</v>
      </c>
      <c r="B627" s="4" t="s">
        <v>16</v>
      </c>
      <c r="C627" s="6">
        <v>0.5292824074074081</v>
      </c>
      <c r="D627" s="4" t="s">
        <v>755</v>
      </c>
      <c r="E627" s="56"/>
    </row>
    <row r="628">
      <c r="A628" s="4" t="str">
        <f>IFERROR(__xludf.DUMMYFUNCTION("""COMPUTED_VALUE"""),"612 - Channel")</f>
        <v>612 - Channel</v>
      </c>
      <c r="B628" s="4" t="s">
        <v>16</v>
      </c>
      <c r="C628" s="6">
        <v>0.5296296296296303</v>
      </c>
      <c r="D628" s="4" t="s">
        <v>81</v>
      </c>
      <c r="E628" s="56"/>
    </row>
    <row r="629">
      <c r="A629" s="4" t="str">
        <f>IFERROR(__xludf.DUMMYFUNCTION("""COMPUTED_VALUE"""),"613 - Channel")</f>
        <v>613 - Channel</v>
      </c>
      <c r="B629" s="4" t="s">
        <v>16</v>
      </c>
      <c r="C629" s="6">
        <v>0.5299768518518526</v>
      </c>
      <c r="D629" s="4" t="s">
        <v>855</v>
      </c>
      <c r="E629" s="81" t="s">
        <v>2521</v>
      </c>
    </row>
    <row r="630">
      <c r="A630" s="4" t="str">
        <f>IFERROR(__xludf.DUMMYFUNCTION("""COMPUTED_VALUE"""),"614 - Channel")</f>
        <v>614 - Channel</v>
      </c>
      <c r="B630" s="4" t="s">
        <v>16</v>
      </c>
      <c r="C630" s="6">
        <v>0.5401157407407415</v>
      </c>
      <c r="D630" s="4" t="s">
        <v>85</v>
      </c>
      <c r="E630" s="56"/>
    </row>
    <row r="631">
      <c r="A631" s="4" t="str">
        <f>IFERROR(__xludf.DUMMYFUNCTION("""COMPUTED_VALUE"""),"691 - Channel")</f>
        <v>691 - Channel</v>
      </c>
      <c r="B631" s="4" t="s">
        <v>16</v>
      </c>
      <c r="C631" s="6"/>
      <c r="D631" s="4"/>
      <c r="E631" s="56"/>
    </row>
    <row r="632">
      <c r="A632" s="4" t="str">
        <f>IFERROR(__xludf.DUMMYFUNCTION("""COMPUTED_VALUE"""),"692 - Channel")</f>
        <v>692 - Channel</v>
      </c>
      <c r="B632" s="4" t="s">
        <v>16</v>
      </c>
      <c r="C632" s="6">
        <v>0.5402893518518527</v>
      </c>
      <c r="D632" s="4" t="s">
        <v>81</v>
      </c>
      <c r="E632" s="56"/>
    </row>
    <row r="633">
      <c r="A633" s="4" t="str">
        <f>IFERROR(__xludf.DUMMYFUNCTION("""COMPUTED_VALUE"""),"693 - Channel")</f>
        <v>693 - Channel</v>
      </c>
      <c r="B633" s="4" t="s">
        <v>16</v>
      </c>
      <c r="C633" s="6">
        <v>0.540636574074075</v>
      </c>
      <c r="D633" s="4" t="s">
        <v>864</v>
      </c>
      <c r="E633" s="81" t="s">
        <v>2642</v>
      </c>
    </row>
    <row r="634">
      <c r="A634" s="4" t="str">
        <f>IFERROR(__xludf.DUMMYFUNCTION("""COMPUTED_VALUE"""),"694 - Channel")</f>
        <v>694 - Channel</v>
      </c>
      <c r="B634" s="4" t="s">
        <v>16</v>
      </c>
      <c r="C634" s="6">
        <v>0.5508796296296306</v>
      </c>
      <c r="D634" s="4" t="s">
        <v>85</v>
      </c>
      <c r="E634" s="56"/>
    </row>
    <row r="635">
      <c r="A635" s="4" t="str">
        <f>IFERROR(__xludf.DUMMYFUNCTION("""COMPUTED_VALUE"""),"695 - Channel")</f>
        <v>695 - Channel</v>
      </c>
      <c r="B635" s="4" t="s">
        <v>16</v>
      </c>
      <c r="C635" s="6">
        <v>0.5510532407407417</v>
      </c>
      <c r="D635" s="4" t="s">
        <v>870</v>
      </c>
      <c r="E635" s="56"/>
    </row>
    <row r="636">
      <c r="A636" s="4" t="str">
        <f>IFERROR(__xludf.DUMMYFUNCTION("""COMPUTED_VALUE"""),"696 - Channel")</f>
        <v>696 - Channel</v>
      </c>
      <c r="B636" s="4" t="s">
        <v>16</v>
      </c>
      <c r="C636" s="6">
        <v>0.5512268518518528</v>
      </c>
      <c r="D636" s="4" t="s">
        <v>81</v>
      </c>
      <c r="E636" s="56"/>
    </row>
    <row r="637">
      <c r="A637" s="4" t="str">
        <f>IFERROR(__xludf.DUMMYFUNCTION("""COMPUTED_VALUE"""),"697 - Channel")</f>
        <v>697 - Channel</v>
      </c>
      <c r="B637" s="4" t="s">
        <v>16</v>
      </c>
      <c r="C637" s="6">
        <v>0.5515740740740751</v>
      </c>
      <c r="D637" s="4" t="s">
        <v>875</v>
      </c>
      <c r="E637" s="56"/>
    </row>
    <row r="638">
      <c r="A638" s="4" t="str">
        <f>IFERROR(__xludf.DUMMYFUNCTION("""COMPUTED_VALUE"""),"698 - Channel")</f>
        <v>698 - Channel</v>
      </c>
      <c r="B638" s="4" t="s">
        <v>16</v>
      </c>
      <c r="C638" s="6">
        <v>0.5654629629629639</v>
      </c>
      <c r="D638" s="4" t="s">
        <v>85</v>
      </c>
      <c r="E638" s="56"/>
    </row>
    <row r="639">
      <c r="A639" s="4" t="str">
        <f>IFERROR(__xludf.DUMMYFUNCTION("""COMPUTED_VALUE"""),"700 - Channel")</f>
        <v>700 - Channel</v>
      </c>
      <c r="B639" s="4" t="s">
        <v>16</v>
      </c>
      <c r="C639" s="6">
        <v>0.5656365740740751</v>
      </c>
      <c r="D639" s="4" t="s">
        <v>879</v>
      </c>
      <c r="E639" s="56"/>
    </row>
    <row r="640">
      <c r="A640" s="4" t="str">
        <f>IFERROR(__xludf.DUMMYFUNCTION("""COMPUTED_VALUE"""),"701 - Channel")</f>
        <v>701 - Channel</v>
      </c>
      <c r="B640" s="4" t="s">
        <v>16</v>
      </c>
      <c r="C640" s="6">
        <v>0.5659027777777788</v>
      </c>
      <c r="D640" s="4" t="s">
        <v>881</v>
      </c>
      <c r="E640" s="81" t="s">
        <v>2653</v>
      </c>
    </row>
    <row r="641">
      <c r="A641" s="4" t="str">
        <f>IFERROR(__xludf.DUMMYFUNCTION("""COMPUTED_VALUE"""),"702 - Channel")</f>
        <v>702 - Channel</v>
      </c>
      <c r="B641" s="4" t="s">
        <v>16</v>
      </c>
      <c r="C641" s="6">
        <v>0.5679976851851861</v>
      </c>
      <c r="D641" s="4" t="s">
        <v>85</v>
      </c>
      <c r="E641" s="56"/>
    </row>
    <row r="642">
      <c r="A642" s="4" t="str">
        <f>IFERROR(__xludf.DUMMYFUNCTION("""COMPUTED_VALUE"""),"703 - Channel")</f>
        <v>703 - Channel</v>
      </c>
      <c r="B642" s="4" t="s">
        <v>16</v>
      </c>
      <c r="C642" s="6">
        <v>0.5681712962962973</v>
      </c>
      <c r="D642" s="4" t="s">
        <v>81</v>
      </c>
      <c r="E642" s="56"/>
    </row>
    <row r="643">
      <c r="A643" s="4" t="str">
        <f>IFERROR(__xludf.DUMMYFUNCTION("""COMPUTED_VALUE"""),"704 - Channel")</f>
        <v>704 - Channel</v>
      </c>
      <c r="B643" s="4" t="s">
        <v>16</v>
      </c>
      <c r="C643" s="6">
        <v>0.5685185185185195</v>
      </c>
      <c r="D643" s="4" t="s">
        <v>886</v>
      </c>
      <c r="E643" s="81" t="s">
        <v>2659</v>
      </c>
    </row>
    <row r="644">
      <c r="A644" s="4" t="str">
        <f>IFERROR(__xludf.DUMMYFUNCTION("""COMPUTED_VALUE"""),"705 - Channel")</f>
        <v>705 - Channel</v>
      </c>
      <c r="B644" s="4" t="s">
        <v>16</v>
      </c>
      <c r="C644" s="6">
        <v>0.5788425925925936</v>
      </c>
      <c r="D644" s="4" t="s">
        <v>85</v>
      </c>
      <c r="E644" s="56"/>
    </row>
    <row r="645">
      <c r="A645" s="4" t="str">
        <f>IFERROR(__xludf.DUMMYFUNCTION("""COMPUTED_VALUE"""),"707 - Channel")</f>
        <v>707 - Channel</v>
      </c>
      <c r="B645" s="4" t="s">
        <v>16</v>
      </c>
      <c r="C645" s="6">
        <v>0.5790162037037048</v>
      </c>
      <c r="D645" s="4" t="s">
        <v>892</v>
      </c>
      <c r="E645" s="56"/>
    </row>
    <row r="646">
      <c r="A646" s="4" t="str">
        <f>IFERROR(__xludf.DUMMYFUNCTION("""COMPUTED_VALUE"""),"708 - Channel")</f>
        <v>708 - Channel</v>
      </c>
      <c r="B646" s="4" t="s">
        <v>16</v>
      </c>
      <c r="C646" s="6">
        <v>0.5792476851851862</v>
      </c>
      <c r="D646" s="4" t="s">
        <v>893</v>
      </c>
      <c r="E646" s="81" t="s">
        <v>2666</v>
      </c>
    </row>
    <row r="647">
      <c r="A647" s="4" t="str">
        <f>IFERROR(__xludf.DUMMYFUNCTION("""COMPUTED_VALUE"""),"709 - Channel")</f>
        <v>709 - Channel</v>
      </c>
      <c r="B647" s="4" t="s">
        <v>16</v>
      </c>
      <c r="C647" s="6">
        <v>0.5816898148148159</v>
      </c>
      <c r="D647" s="4" t="s">
        <v>85</v>
      </c>
      <c r="E647" s="56"/>
    </row>
    <row r="648">
      <c r="A648" s="4" t="str">
        <f>IFERROR(__xludf.DUMMYFUNCTION("""COMPUTED_VALUE"""),"710 - Channel")</f>
        <v>710 - Channel</v>
      </c>
      <c r="B648" s="4" t="s">
        <v>16</v>
      </c>
      <c r="C648" s="6"/>
      <c r="D648" s="4"/>
      <c r="E648" s="56"/>
    </row>
    <row r="649">
      <c r="A649" s="4" t="str">
        <f>IFERROR(__xludf.DUMMYFUNCTION("""COMPUTED_VALUE"""),"712 - Channel")</f>
        <v>712 - Channel</v>
      </c>
      <c r="B649" s="4" t="s">
        <v>16</v>
      </c>
      <c r="C649" s="6">
        <v>0.581863425925927</v>
      </c>
      <c r="D649" s="4" t="s">
        <v>81</v>
      </c>
      <c r="E649" s="56"/>
    </row>
    <row r="650">
      <c r="A650" s="4" t="str">
        <f>IFERROR(__xludf.DUMMYFUNCTION("""COMPUTED_VALUE"""),"713 - Channel")</f>
        <v>713 - Channel</v>
      </c>
      <c r="B650" s="4" t="s">
        <v>16</v>
      </c>
      <c r="C650" s="6">
        <v>0.5822106481481493</v>
      </c>
      <c r="D650" s="4" t="s">
        <v>900</v>
      </c>
      <c r="E650" s="81" t="s">
        <v>2674</v>
      </c>
    </row>
    <row r="651">
      <c r="A651" s="4" t="str">
        <f>IFERROR(__xludf.DUMMYFUNCTION("""COMPUTED_VALUE"""),"714 - Channel")</f>
        <v>714 - Channel</v>
      </c>
      <c r="B651" s="4" t="s">
        <v>16</v>
      </c>
      <c r="C651" s="6">
        <v>0.5918981481481492</v>
      </c>
      <c r="D651" s="4" t="s">
        <v>85</v>
      </c>
      <c r="E651" s="56"/>
    </row>
    <row r="652">
      <c r="A652" s="4" t="str">
        <f>IFERROR(__xludf.DUMMYFUNCTION("""COMPUTED_VALUE"""),"715 - Channel")</f>
        <v>715 - Channel</v>
      </c>
      <c r="B652" s="4" t="s">
        <v>16</v>
      </c>
      <c r="C652" s="6">
        <v>0.5920717592592604</v>
      </c>
      <c r="D652" s="4" t="s">
        <v>81</v>
      </c>
      <c r="E652" s="56"/>
    </row>
    <row r="653">
      <c r="A653" s="4" t="str">
        <f>IFERROR(__xludf.DUMMYFUNCTION("""COMPUTED_VALUE"""),"716 - Channel")</f>
        <v>716 - Channel</v>
      </c>
      <c r="B653" s="4" t="s">
        <v>16</v>
      </c>
      <c r="C653" s="6">
        <v>0.5924189814814826</v>
      </c>
      <c r="D653" s="4" t="s">
        <v>907</v>
      </c>
      <c r="E653" s="81" t="s">
        <v>2679</v>
      </c>
    </row>
    <row r="654">
      <c r="A654" s="4" t="str">
        <f>IFERROR(__xludf.DUMMYFUNCTION("""COMPUTED_VALUE"""),"717 - Channel")</f>
        <v>717 - Channel</v>
      </c>
      <c r="B654" s="4" t="s">
        <v>16</v>
      </c>
      <c r="C654" s="6">
        <v>0.6065046296296308</v>
      </c>
      <c r="D654" s="4" t="s">
        <v>85</v>
      </c>
      <c r="E654" s="56"/>
    </row>
    <row r="655">
      <c r="A655" s="4" t="str">
        <f>IFERROR(__xludf.DUMMYFUNCTION("""COMPUTED_VALUE"""),"718 - Channel")</f>
        <v>718 - Channel</v>
      </c>
      <c r="B655" s="4" t="s">
        <v>16</v>
      </c>
      <c r="C655" s="6">
        <v>0.606678240740742</v>
      </c>
      <c r="D655" s="4" t="s">
        <v>525</v>
      </c>
      <c r="E655" s="56"/>
    </row>
    <row r="656">
      <c r="A656" s="4" t="str">
        <f>IFERROR(__xludf.DUMMYFUNCTION("""COMPUTED_VALUE"""),"719 - Channel")</f>
        <v>719 - Channel</v>
      </c>
      <c r="B656" s="4" t="s">
        <v>16</v>
      </c>
      <c r="C656" s="6">
        <v>0.6070254629629642</v>
      </c>
      <c r="D656" s="4" t="s">
        <v>81</v>
      </c>
      <c r="E656" s="56"/>
    </row>
    <row r="657">
      <c r="A657" s="4" t="str">
        <f>IFERROR(__xludf.DUMMYFUNCTION("""COMPUTED_VALUE"""),"720 - Channel")</f>
        <v>720 - Channel</v>
      </c>
      <c r="B657" s="4" t="s">
        <v>16</v>
      </c>
      <c r="C657" s="6">
        <v>0.6073726851851865</v>
      </c>
      <c r="D657" s="4" t="s">
        <v>915</v>
      </c>
      <c r="E657" s="56"/>
    </row>
    <row r="658">
      <c r="A658" s="4" t="str">
        <f>IFERROR(__xludf.DUMMYFUNCTION("""COMPUTED_VALUE"""),"721 - Channel")</f>
        <v>721 - Channel</v>
      </c>
      <c r="B658" s="4" t="s">
        <v>16</v>
      </c>
      <c r="C658" s="6">
        <v>0.6153587962962976</v>
      </c>
      <c r="D658" s="4" t="s">
        <v>85</v>
      </c>
      <c r="E658" s="56"/>
    </row>
    <row r="659">
      <c r="A659" s="4" t="str">
        <f>IFERROR(__xludf.DUMMYFUNCTION("""COMPUTED_VALUE"""),"722 - Channel")</f>
        <v>722 - Channel</v>
      </c>
      <c r="B659" s="4" t="s">
        <v>16</v>
      </c>
      <c r="C659" s="6">
        <v>0.6155324074074088</v>
      </c>
      <c r="D659" s="4" t="s">
        <v>89</v>
      </c>
      <c r="E659" s="56"/>
    </row>
    <row r="660">
      <c r="A660" s="4" t="str">
        <f>IFERROR(__xludf.DUMMYFUNCTION("""COMPUTED_VALUE"""),"723 - Channel")</f>
        <v>723 - Channel</v>
      </c>
      <c r="B660" s="4" t="s">
        <v>16</v>
      </c>
      <c r="C660" s="6">
        <v>0.615879629629631</v>
      </c>
      <c r="D660" s="4" t="s">
        <v>81</v>
      </c>
      <c r="E660" s="56"/>
    </row>
    <row r="661">
      <c r="A661" s="4" t="str">
        <f>IFERROR(__xludf.DUMMYFUNCTION("""COMPUTED_VALUE"""),"724 - Channel")</f>
        <v>724 - Channel</v>
      </c>
      <c r="B661" s="4" t="s">
        <v>16</v>
      </c>
      <c r="C661" s="6">
        <v>0.6162268518518533</v>
      </c>
      <c r="D661" s="4" t="s">
        <v>921</v>
      </c>
      <c r="E661" s="56"/>
    </row>
    <row r="662">
      <c r="A662" s="4" t="str">
        <f>IFERROR(__xludf.DUMMYFUNCTION("""COMPUTED_VALUE"""),"725 - Channel")</f>
        <v>725 - Channel</v>
      </c>
      <c r="B662" s="4" t="s">
        <v>16</v>
      </c>
      <c r="C662" s="6">
        <v>0.6231712962962977</v>
      </c>
      <c r="D662" s="4" t="s">
        <v>85</v>
      </c>
      <c r="E662" s="56"/>
    </row>
    <row r="663">
      <c r="A663" s="4" t="str">
        <f>IFERROR(__xludf.DUMMYFUNCTION("""COMPUTED_VALUE"""),"1579 - Channel")</f>
        <v>1579 - Channel</v>
      </c>
      <c r="B663" s="4" t="s">
        <v>16</v>
      </c>
      <c r="C663" s="6"/>
      <c r="D663" s="4"/>
      <c r="E663" s="56"/>
    </row>
    <row r="664">
      <c r="A664" s="4" t="str">
        <f>IFERROR(__xludf.DUMMYFUNCTION("""COMPUTED_VALUE"""),"754 - Channel")</f>
        <v>754 - Channel</v>
      </c>
      <c r="B664" s="4" t="s">
        <v>16</v>
      </c>
      <c r="C664" s="6">
        <v>0.6233449074074089</v>
      </c>
      <c r="D664" s="4" t="s">
        <v>81</v>
      </c>
      <c r="E664" s="56"/>
    </row>
    <row r="665">
      <c r="A665" s="4" t="str">
        <f>IFERROR(__xludf.DUMMYFUNCTION("""COMPUTED_VALUE"""),"755 - Channel")</f>
        <v>755 - Channel</v>
      </c>
      <c r="B665" s="4" t="s">
        <v>16</v>
      </c>
      <c r="C665" s="6">
        <v>0.6236921296296312</v>
      </c>
      <c r="D665" s="4" t="s">
        <v>926</v>
      </c>
      <c r="E665" s="81" t="s">
        <v>2734</v>
      </c>
    </row>
    <row r="666">
      <c r="A666" s="4" t="str">
        <f>IFERROR(__xludf.DUMMYFUNCTION("""COMPUTED_VALUE"""),"756 - Channel")</f>
        <v>756 - Channel</v>
      </c>
      <c r="B666" s="4" t="s">
        <v>16</v>
      </c>
      <c r="C666" s="6">
        <v>0.6310995370370386</v>
      </c>
      <c r="D666" s="4" t="s">
        <v>85</v>
      </c>
      <c r="E666" s="56"/>
    </row>
    <row r="667">
      <c r="A667" s="4" t="str">
        <f>IFERROR(__xludf.DUMMYFUNCTION("""COMPUTED_VALUE"""),"757 - Channel")</f>
        <v>757 - Channel</v>
      </c>
      <c r="B667" s="4" t="s">
        <v>16</v>
      </c>
      <c r="C667" s="6">
        <v>0.6312731481481497</v>
      </c>
      <c r="D667" s="4" t="s">
        <v>930</v>
      </c>
      <c r="E667" s="56"/>
    </row>
    <row r="668">
      <c r="A668" s="4" t="str">
        <f>IFERROR(__xludf.DUMMYFUNCTION("""COMPUTED_VALUE"""),"758 - Channel")</f>
        <v>758 - Channel</v>
      </c>
      <c r="B668" s="4" t="s">
        <v>16</v>
      </c>
      <c r="C668" s="6">
        <v>0.6314467592592609</v>
      </c>
      <c r="D668" s="4" t="s">
        <v>89</v>
      </c>
      <c r="E668" s="56"/>
    </row>
    <row r="669">
      <c r="A669" s="4" t="str">
        <f>IFERROR(__xludf.DUMMYFUNCTION("""COMPUTED_VALUE"""),"766 - Channel")</f>
        <v>766 - Channel</v>
      </c>
      <c r="B669" s="4" t="s">
        <v>16</v>
      </c>
      <c r="C669" s="6">
        <v>0.6317939814814831</v>
      </c>
      <c r="D669" s="4" t="s">
        <v>932</v>
      </c>
      <c r="E669" s="56"/>
    </row>
    <row r="670">
      <c r="A670" s="4" t="str">
        <f>IFERROR(__xludf.DUMMYFUNCTION("""COMPUTED_VALUE"""),"759 - Channel")</f>
        <v>759 - Channel</v>
      </c>
      <c r="B670" s="4" t="s">
        <v>16</v>
      </c>
      <c r="C670" s="6">
        <v>0.6317939814814831</v>
      </c>
      <c r="D670" s="4" t="s">
        <v>81</v>
      </c>
      <c r="E670" s="56"/>
    </row>
    <row r="671">
      <c r="A671" s="4" t="str">
        <f>IFERROR(__xludf.DUMMYFUNCTION("""COMPUTED_VALUE"""),"760 - Channel")</f>
        <v>760 - Channel</v>
      </c>
      <c r="B671" s="4" t="s">
        <v>16</v>
      </c>
      <c r="C671" s="6">
        <v>0.6321412037037054</v>
      </c>
      <c r="D671" s="4" t="s">
        <v>934</v>
      </c>
      <c r="E671" s="56"/>
    </row>
    <row r="672">
      <c r="A672" s="4" t="str">
        <f>IFERROR(__xludf.DUMMYFUNCTION("""COMPUTED_VALUE"""),"761 - Channel")</f>
        <v>761 - Channel</v>
      </c>
      <c r="B672" s="4" t="s">
        <v>16</v>
      </c>
      <c r="C672" s="6">
        <v>0.6404745370370387</v>
      </c>
      <c r="D672" s="4" t="s">
        <v>85</v>
      </c>
      <c r="E672" s="56"/>
    </row>
    <row r="673">
      <c r="A673" s="4" t="str">
        <f>IFERROR(__xludf.DUMMYFUNCTION("""COMPUTED_VALUE"""),"762 - Channel")</f>
        <v>762 - Channel</v>
      </c>
      <c r="B673" s="4" t="s">
        <v>16</v>
      </c>
      <c r="C673" s="6">
        <v>0.6406481481481499</v>
      </c>
      <c r="D673" s="4" t="s">
        <v>937</v>
      </c>
      <c r="E673" s="56"/>
    </row>
    <row r="674">
      <c r="A674" s="4" t="str">
        <f>IFERROR(__xludf.DUMMYFUNCTION("""COMPUTED_VALUE"""),"763 - Channel")</f>
        <v>763 - Channel</v>
      </c>
      <c r="B674" s="4" t="s">
        <v>16</v>
      </c>
      <c r="C674" s="6">
        <v>0.6409953703703721</v>
      </c>
      <c r="D674" s="4" t="s">
        <v>81</v>
      </c>
      <c r="E674" s="56"/>
    </row>
    <row r="675">
      <c r="A675" s="4" t="str">
        <f>IFERROR(__xludf.DUMMYFUNCTION("""COMPUTED_VALUE"""),"764 - Channel")</f>
        <v>764 - Channel</v>
      </c>
      <c r="B675" s="4" t="s">
        <v>16</v>
      </c>
      <c r="C675" s="6">
        <v>0.6413425925925944</v>
      </c>
      <c r="D675" s="4" t="s">
        <v>939</v>
      </c>
      <c r="E675" s="81" t="s">
        <v>2746</v>
      </c>
    </row>
    <row r="676">
      <c r="A676" s="4" t="str">
        <f>IFERROR(__xludf.DUMMYFUNCTION("""COMPUTED_VALUE"""),"765 - Channel")</f>
        <v>765 - Channel</v>
      </c>
      <c r="B676" s="4" t="s">
        <v>16</v>
      </c>
      <c r="C676" s="6">
        <v>0.651759259259261</v>
      </c>
      <c r="D676" s="4" t="s">
        <v>85</v>
      </c>
      <c r="E676" s="56"/>
    </row>
    <row r="677">
      <c r="A677" s="4" t="str">
        <f>IFERROR(__xludf.DUMMYFUNCTION("""COMPUTED_VALUE"""),"767 - Channel")</f>
        <v>767 - Channel</v>
      </c>
      <c r="B677" s="4" t="s">
        <v>16</v>
      </c>
      <c r="C677" s="6">
        <v>0.6519328703703722</v>
      </c>
      <c r="D677" s="4" t="s">
        <v>81</v>
      </c>
      <c r="E677" s="56"/>
    </row>
    <row r="678">
      <c r="A678" s="4" t="str">
        <f>IFERROR(__xludf.DUMMYFUNCTION("""COMPUTED_VALUE"""),"768 - Channel")</f>
        <v>768 - Channel</v>
      </c>
      <c r="B678" s="4" t="s">
        <v>16</v>
      </c>
      <c r="C678" s="6">
        <v>0.6522800925925945</v>
      </c>
      <c r="D678" s="4" t="s">
        <v>948</v>
      </c>
      <c r="E678" s="81" t="s">
        <v>2754</v>
      </c>
    </row>
    <row r="679">
      <c r="A679" s="4" t="str">
        <f>IFERROR(__xludf.DUMMYFUNCTION("""COMPUTED_VALUE"""),"769 - Channel")</f>
        <v>769 - Channel</v>
      </c>
      <c r="B679" s="4" t="s">
        <v>16</v>
      </c>
      <c r="C679" s="6">
        <v>0.658310185185187</v>
      </c>
      <c r="D679" s="4" t="s">
        <v>85</v>
      </c>
      <c r="E679" s="56"/>
    </row>
    <row r="680">
      <c r="A680" s="4" t="str">
        <f>IFERROR(__xludf.DUMMYFUNCTION("""COMPUTED_VALUE"""),"1646 - Channel")</f>
        <v>1646 - Channel</v>
      </c>
      <c r="B680" s="4" t="s">
        <v>16</v>
      </c>
      <c r="C680" s="6">
        <v>0.6584837962962982</v>
      </c>
      <c r="D680" s="4" t="s">
        <v>81</v>
      </c>
      <c r="E680" s="56"/>
    </row>
    <row r="681">
      <c r="A681" s="4" t="str">
        <f>IFERROR(__xludf.DUMMYFUNCTION("""COMPUTED_VALUE"""),"770 - Channel")</f>
        <v>770 - Channel</v>
      </c>
      <c r="B681" s="4" t="s">
        <v>16</v>
      </c>
      <c r="C681" s="6">
        <v>0.6588310185185204</v>
      </c>
      <c r="D681" s="4" t="s">
        <v>952</v>
      </c>
      <c r="E681" s="81" t="s">
        <v>2759</v>
      </c>
    </row>
    <row r="682">
      <c r="A682" s="4" t="str">
        <f>IFERROR(__xludf.DUMMYFUNCTION("""COMPUTED_VALUE"""),"1651 - Channel")</f>
        <v>1651 - Channel</v>
      </c>
      <c r="B682" s="4" t="s">
        <v>16</v>
      </c>
      <c r="C682" s="6">
        <v>0.6647453703703723</v>
      </c>
      <c r="D682" s="4" t="s">
        <v>85</v>
      </c>
      <c r="E682" s="56"/>
    </row>
    <row r="683">
      <c r="A683" s="4" t="str">
        <f>IFERROR(__xludf.DUMMYFUNCTION("""COMPUTED_VALUE"""),"727 - Channel")</f>
        <v>727 - Channel</v>
      </c>
      <c r="B683" s="4" t="s">
        <v>16</v>
      </c>
      <c r="C683" s="6"/>
      <c r="D683" s="4"/>
      <c r="E683" s="56"/>
    </row>
    <row r="684">
      <c r="A684" s="4" t="str">
        <f>IFERROR(__xludf.DUMMYFUNCTION("""COMPUTED_VALUE"""),"728 - Channel")</f>
        <v>728 - Channel</v>
      </c>
      <c r="B684" s="4" t="s">
        <v>16</v>
      </c>
      <c r="C684" s="6">
        <v>0.6649189814814834</v>
      </c>
      <c r="D684" s="4" t="s">
        <v>89</v>
      </c>
      <c r="E684" s="56"/>
    </row>
    <row r="685">
      <c r="A685" s="4" t="str">
        <f>IFERROR(__xludf.DUMMYFUNCTION("""COMPUTED_VALUE"""),"729 - Channel")</f>
        <v>729 - Channel</v>
      </c>
      <c r="B685" s="4" t="s">
        <v>16</v>
      </c>
      <c r="C685" s="6">
        <v>0.6652662037037057</v>
      </c>
      <c r="D685" s="4" t="s">
        <v>81</v>
      </c>
      <c r="E685" s="56"/>
    </row>
    <row r="686">
      <c r="A686" s="4" t="str">
        <f>IFERROR(__xludf.DUMMYFUNCTION("""COMPUTED_VALUE"""),"730 - Channel")</f>
        <v>730 - Channel</v>
      </c>
      <c r="B686" s="4" t="s">
        <v>16</v>
      </c>
      <c r="C686" s="6">
        <v>0.665613425925928</v>
      </c>
      <c r="D686" s="4" t="s">
        <v>959</v>
      </c>
      <c r="E686" s="56"/>
    </row>
    <row r="687">
      <c r="A687" s="4" t="str">
        <f>IFERROR(__xludf.DUMMYFUNCTION("""COMPUTED_VALUE"""),"731 - Channel")</f>
        <v>731 - Channel</v>
      </c>
      <c r="B687" s="4" t="s">
        <v>16</v>
      </c>
      <c r="C687" s="6">
        <v>0.6725578703703724</v>
      </c>
      <c r="D687" s="4" t="s">
        <v>85</v>
      </c>
      <c r="E687" s="56"/>
    </row>
    <row r="688">
      <c r="A688" s="4" t="str">
        <f>IFERROR(__xludf.DUMMYFUNCTION("""COMPUTED_VALUE"""),"733 - Channel")</f>
        <v>733 - Channel</v>
      </c>
      <c r="B688" s="4" t="s">
        <v>16</v>
      </c>
      <c r="C688" s="6">
        <v>0.6727314814814835</v>
      </c>
      <c r="D688" s="4" t="s">
        <v>81</v>
      </c>
      <c r="E688" s="56"/>
    </row>
    <row r="689">
      <c r="A689" s="4" t="str">
        <f>IFERROR(__xludf.DUMMYFUNCTION("""COMPUTED_VALUE"""),"734 - Channel")</f>
        <v>734 - Channel</v>
      </c>
      <c r="B689" s="4" t="s">
        <v>16</v>
      </c>
      <c r="C689" s="6">
        <v>0.6730787037037058</v>
      </c>
      <c r="D689" s="4" t="s">
        <v>963</v>
      </c>
      <c r="E689" s="81" t="s">
        <v>2702</v>
      </c>
    </row>
    <row r="690">
      <c r="A690" s="4" t="str">
        <f>IFERROR(__xludf.DUMMYFUNCTION("""COMPUTED_VALUE"""),"735 - Channel")</f>
        <v>735 - Channel</v>
      </c>
      <c r="B690" s="4" t="s">
        <v>16</v>
      </c>
      <c r="C690" s="6">
        <v>0.6818402777777799</v>
      </c>
      <c r="D690" s="4" t="s">
        <v>85</v>
      </c>
      <c r="E690" s="56"/>
    </row>
    <row r="691">
      <c r="A691" s="4" t="str">
        <f>IFERROR(__xludf.DUMMYFUNCTION("""COMPUTED_VALUE"""),"736 - Channel")</f>
        <v>736 - Channel</v>
      </c>
      <c r="B691" s="4" t="s">
        <v>16</v>
      </c>
      <c r="C691" s="6">
        <v>0.682013888888891</v>
      </c>
      <c r="D691" s="4" t="s">
        <v>967</v>
      </c>
      <c r="E691" s="56"/>
    </row>
    <row r="692">
      <c r="A692" s="4" t="str">
        <f>IFERROR(__xludf.DUMMYFUNCTION("""COMPUTED_VALUE"""),"737 - Channel")</f>
        <v>737 - Channel</v>
      </c>
      <c r="B692" s="4" t="s">
        <v>16</v>
      </c>
      <c r="C692" s="6">
        <v>0.6823611111111133</v>
      </c>
      <c r="D692" s="4" t="s">
        <v>81</v>
      </c>
      <c r="E692" s="56"/>
    </row>
    <row r="693">
      <c r="A693" s="4" t="str">
        <f>IFERROR(__xludf.DUMMYFUNCTION("""COMPUTED_VALUE"""),"738 - Channel")</f>
        <v>738 - Channel</v>
      </c>
      <c r="B693" s="4" t="s">
        <v>16</v>
      </c>
      <c r="C693" s="6">
        <v>0.6827083333333356</v>
      </c>
      <c r="D693" s="4" t="s">
        <v>968</v>
      </c>
      <c r="E693" s="56"/>
    </row>
    <row r="694">
      <c r="A694" s="4" t="str">
        <f>IFERROR(__xludf.DUMMYFUNCTION("""COMPUTED_VALUE"""),"739 - Channel")</f>
        <v>739 - Channel</v>
      </c>
      <c r="B694" s="4" t="s">
        <v>16</v>
      </c>
      <c r="C694" s="6">
        <v>0.6861805555555578</v>
      </c>
      <c r="D694" s="4" t="s">
        <v>85</v>
      </c>
      <c r="E694" s="56"/>
    </row>
    <row r="695">
      <c r="A695" s="4" t="str">
        <f>IFERROR(__xludf.DUMMYFUNCTION("""COMPUTED_VALUE"""),"741 - Channel")</f>
        <v>741 - Channel</v>
      </c>
      <c r="B695" s="4" t="s">
        <v>16</v>
      </c>
      <c r="C695" s="6">
        <v>0.6863541666666689</v>
      </c>
      <c r="D695" s="4" t="s">
        <v>81</v>
      </c>
      <c r="E695" s="56"/>
    </row>
    <row r="696">
      <c r="A696" s="4" t="str">
        <f>IFERROR(__xludf.DUMMYFUNCTION("""COMPUTED_VALUE"""),"1446 - Channel")</f>
        <v>1446 - Channel</v>
      </c>
      <c r="B696" s="4" t="s">
        <v>16</v>
      </c>
      <c r="C696" s="6">
        <v>0.6867013888888912</v>
      </c>
      <c r="D696" s="4" t="s">
        <v>975</v>
      </c>
      <c r="E696" s="81" t="s">
        <v>4698</v>
      </c>
    </row>
    <row r="697">
      <c r="A697" s="4" t="str">
        <f>IFERROR(__xludf.DUMMYFUNCTION("""COMPUTED_VALUE"""),"743 - Channel")</f>
        <v>743 - Channel</v>
      </c>
      <c r="B697" s="4" t="s">
        <v>16</v>
      </c>
      <c r="C697" s="6">
        <v>0.6971180555555578</v>
      </c>
      <c r="D697" s="4" t="s">
        <v>85</v>
      </c>
      <c r="E697" s="56"/>
    </row>
    <row r="698">
      <c r="A698" s="4" t="str">
        <f>IFERROR(__xludf.DUMMYFUNCTION("""COMPUTED_VALUE"""),"1447 - Channel")</f>
        <v>1447 - Channel</v>
      </c>
      <c r="B698" s="4" t="s">
        <v>16</v>
      </c>
      <c r="C698" s="6">
        <v>0.7059259259259284</v>
      </c>
      <c r="D698" s="4" t="s">
        <v>979</v>
      </c>
      <c r="E698" s="56"/>
    </row>
    <row r="699">
      <c r="A699" s="4" t="str">
        <f>IFERROR(__xludf.DUMMYFUNCTION("""COMPUTED_VALUE"""),"745 - Channel")</f>
        <v>745 - Channel</v>
      </c>
      <c r="B699" s="4" t="s">
        <v>16</v>
      </c>
      <c r="C699" s="6">
        <v>0.697291666666669</v>
      </c>
      <c r="D699" s="4" t="s">
        <v>81</v>
      </c>
      <c r="E699" s="56"/>
    </row>
    <row r="700">
      <c r="A700" s="4" t="str">
        <f>IFERROR(__xludf.DUMMYFUNCTION("""COMPUTED_VALUE"""),"746 - Channel")</f>
        <v>746 - Channel</v>
      </c>
      <c r="B700" s="4" t="s">
        <v>16</v>
      </c>
      <c r="C700" s="6">
        <v>0.6976388888888913</v>
      </c>
      <c r="D700" s="4" t="s">
        <v>981</v>
      </c>
      <c r="E700" s="81" t="s">
        <v>2719</v>
      </c>
    </row>
    <row r="701">
      <c r="A701" s="4" t="str">
        <f>IFERROR(__xludf.DUMMYFUNCTION("""COMPUTED_VALUE"""),"747 - Channel")</f>
        <v>747 - Channel</v>
      </c>
      <c r="B701" s="4" t="s">
        <v>16</v>
      </c>
      <c r="C701" s="6">
        <v>0.7031944444444468</v>
      </c>
      <c r="D701" s="4" t="s">
        <v>85</v>
      </c>
      <c r="E701" s="56"/>
    </row>
    <row r="702">
      <c r="A702" s="4" t="str">
        <f>IFERROR(__xludf.DUMMYFUNCTION("""COMPUTED_VALUE"""),"749 - Channel")</f>
        <v>749 - Channel</v>
      </c>
      <c r="B702" s="4" t="s">
        <v>16</v>
      </c>
      <c r="C702" s="6">
        <v>0.7033680555555579</v>
      </c>
      <c r="D702" s="4" t="s">
        <v>81</v>
      </c>
      <c r="E702" s="56"/>
    </row>
    <row r="703">
      <c r="A703" s="4" t="str">
        <f>IFERROR(__xludf.DUMMYFUNCTION("""COMPUTED_VALUE"""),"750 - Channel")</f>
        <v>750 - Channel</v>
      </c>
      <c r="B703" s="4" t="s">
        <v>16</v>
      </c>
      <c r="C703" s="6">
        <v>0.7037152777777802</v>
      </c>
      <c r="D703" s="4" t="s">
        <v>984</v>
      </c>
      <c r="E703" s="81" t="s">
        <v>2726</v>
      </c>
    </row>
    <row r="704">
      <c r="A704" s="4" t="str">
        <f>IFERROR(__xludf.DUMMYFUNCTION("""COMPUTED_VALUE"""),"751 - Channel")</f>
        <v>751 - Channel</v>
      </c>
      <c r="B704" s="4" t="s">
        <v>16</v>
      </c>
      <c r="C704" s="6">
        <v>0.7057523148148173</v>
      </c>
      <c r="D704" s="4" t="s">
        <v>85</v>
      </c>
      <c r="E704" s="56"/>
    </row>
    <row r="705">
      <c r="A705" s="4" t="str">
        <f>IFERROR(__xludf.DUMMYFUNCTION("""COMPUTED_VALUE"""),"771 - Channel")</f>
        <v>771 - Channel</v>
      </c>
      <c r="B705" s="4" t="s">
        <v>16</v>
      </c>
      <c r="C705" s="6">
        <v>0.7062731481481507</v>
      </c>
      <c r="D705" s="4" t="s">
        <v>598</v>
      </c>
      <c r="E705" s="56"/>
    </row>
    <row r="706">
      <c r="A706" s="4" t="str">
        <f>IFERROR(__xludf.DUMMYFUNCTION("""COMPUTED_VALUE"""),"772 - Channel")</f>
        <v>772 - Channel</v>
      </c>
      <c r="B706" s="4" t="s">
        <v>16</v>
      </c>
      <c r="C706" s="6"/>
      <c r="D706" s="4"/>
      <c r="E706" s="56"/>
    </row>
    <row r="707">
      <c r="A707" s="4" t="str">
        <f>IFERROR(__xludf.DUMMYFUNCTION("""COMPUTED_VALUE"""),"773 - Channel")</f>
        <v>773 - Channel</v>
      </c>
      <c r="B707" s="4" t="s">
        <v>16</v>
      </c>
      <c r="C707" s="6"/>
      <c r="D707" s="4"/>
      <c r="E707" s="56"/>
    </row>
    <row r="708">
      <c r="A708" s="4" t="str">
        <f>IFERROR(__xludf.DUMMYFUNCTION("""COMPUTED_VALUE"""),"774 - Channel")</f>
        <v>774 - Channel</v>
      </c>
      <c r="B708" s="4" t="s">
        <v>16</v>
      </c>
      <c r="C708" s="6"/>
      <c r="D708" s="4"/>
      <c r="E708" s="56"/>
    </row>
    <row r="709">
      <c r="A709" s="4" t="str">
        <f>IFERROR(__xludf.DUMMYFUNCTION("""COMPUTED_VALUE"""),"775 - Channel")</f>
        <v>775 - Channel</v>
      </c>
      <c r="B709" s="4" t="s">
        <v>990</v>
      </c>
      <c r="C709" s="6"/>
      <c r="D709" s="4"/>
      <c r="E709" s="56"/>
    </row>
    <row r="710">
      <c r="A710" s="4" t="str">
        <f>IFERROR(__xludf.DUMMYFUNCTION("""COMPUTED_VALUE"""),"776 - Channel")</f>
        <v>776 - Channel</v>
      </c>
      <c r="B710" s="4" t="s">
        <v>65</v>
      </c>
      <c r="C710" s="6"/>
      <c r="D710" s="4"/>
      <c r="E710" s="56"/>
    </row>
    <row r="711">
      <c r="A711" s="4" t="str">
        <f>IFERROR(__xludf.DUMMYFUNCTION("""COMPUTED_VALUE"""),"777 - Channel")</f>
        <v>777 - Channel</v>
      </c>
      <c r="B711" s="4" t="s">
        <v>19</v>
      </c>
      <c r="C711" s="6">
        <v>0.4166666666666667</v>
      </c>
      <c r="D711" s="4"/>
      <c r="E711" s="56"/>
    </row>
    <row r="712">
      <c r="A712" s="4" t="str">
        <f>IFERROR(__xludf.DUMMYFUNCTION("""COMPUTED_VALUE"""),"794 - Channel")</f>
        <v>794 - Channel</v>
      </c>
      <c r="B712" s="4" t="s">
        <v>19</v>
      </c>
      <c r="C712" s="6">
        <v>0.41770833333333335</v>
      </c>
      <c r="D712" s="4" t="s">
        <v>993</v>
      </c>
      <c r="E712" s="56"/>
    </row>
    <row r="713">
      <c r="A713" s="4" t="str">
        <f>IFERROR(__xludf.DUMMYFUNCTION("""COMPUTED_VALUE"""),"789 - Channel")</f>
        <v>789 - Channel</v>
      </c>
      <c r="B713" s="4" t="s">
        <v>19</v>
      </c>
      <c r="C713" s="6">
        <v>0.4178819444444445</v>
      </c>
      <c r="D713" s="4" t="s">
        <v>81</v>
      </c>
      <c r="E713" s="56"/>
    </row>
    <row r="714">
      <c r="A714" s="4" t="str">
        <f>IFERROR(__xludf.DUMMYFUNCTION("""COMPUTED_VALUE"""),"790 - Channel")</f>
        <v>790 - Channel</v>
      </c>
      <c r="B714" s="4" t="s">
        <v>19</v>
      </c>
      <c r="C714" s="6">
        <v>0.4182291666666667</v>
      </c>
      <c r="D714" s="4" t="s">
        <v>996</v>
      </c>
      <c r="E714" s="81" t="s">
        <v>2788</v>
      </c>
    </row>
    <row r="715">
      <c r="A715" s="4" t="str">
        <f>IFERROR(__xludf.DUMMYFUNCTION("""COMPUTED_VALUE"""),"782 - Channel")</f>
        <v>782 - Channel</v>
      </c>
      <c r="B715" s="4" t="s">
        <v>19</v>
      </c>
      <c r="C715" s="6">
        <v>0.42802083333333335</v>
      </c>
      <c r="D715" s="4" t="s">
        <v>81</v>
      </c>
      <c r="E715" s="56"/>
    </row>
    <row r="716">
      <c r="A716" s="4" t="str">
        <f>IFERROR(__xludf.DUMMYFUNCTION("""COMPUTED_VALUE"""),"783 - Channel")</f>
        <v>783 - Channel</v>
      </c>
      <c r="B716" s="4" t="s">
        <v>19</v>
      </c>
      <c r="C716" s="6">
        <v>0.42825231481481485</v>
      </c>
      <c r="D716" s="4" t="s">
        <v>999</v>
      </c>
      <c r="E716" s="56"/>
    </row>
    <row r="717">
      <c r="A717" s="4" t="str">
        <f>IFERROR(__xludf.DUMMYFUNCTION("""COMPUTED_VALUE"""),"784 - Channel")</f>
        <v>784 - Channel</v>
      </c>
      <c r="B717" s="4" t="s">
        <v>19</v>
      </c>
      <c r="C717" s="6">
        <v>0.44214120370370374</v>
      </c>
      <c r="D717" s="4" t="s">
        <v>1004</v>
      </c>
      <c r="E717" s="56"/>
    </row>
    <row r="718">
      <c r="A718" s="4" t="str">
        <f>IFERROR(__xludf.DUMMYFUNCTION("""COMPUTED_VALUE"""),"785 - Channel")</f>
        <v>785 - Channel</v>
      </c>
      <c r="B718" s="4" t="s">
        <v>19</v>
      </c>
      <c r="C718" s="6">
        <v>0.4423148148148149</v>
      </c>
      <c r="D718" s="4" t="s">
        <v>81</v>
      </c>
      <c r="E718" s="56"/>
    </row>
    <row r="719">
      <c r="A719" s="4" t="str">
        <f>IFERROR(__xludf.DUMMYFUNCTION("""COMPUTED_VALUE"""),"786 - Channel")</f>
        <v>786 - Channel</v>
      </c>
      <c r="B719" s="4" t="s">
        <v>19</v>
      </c>
      <c r="C719" s="6">
        <v>0.4425462962962964</v>
      </c>
      <c r="D719" s="4" t="s">
        <v>1006</v>
      </c>
      <c r="E719" s="81" t="s">
        <v>2781</v>
      </c>
    </row>
    <row r="720">
      <c r="A720" s="4" t="str">
        <f>IFERROR(__xludf.DUMMYFUNCTION("""COMPUTED_VALUE"""),"793 - Channel")</f>
        <v>793 - Channel</v>
      </c>
      <c r="B720" s="4" t="s">
        <v>19</v>
      </c>
      <c r="C720" s="6">
        <v>0.4443750000000001</v>
      </c>
      <c r="D720" s="4" t="s">
        <v>1009</v>
      </c>
      <c r="E720" s="56"/>
    </row>
    <row r="721">
      <c r="A721" s="4" t="str">
        <f>IFERROR(__xludf.DUMMYFUNCTION("""COMPUTED_VALUE"""),"779 - Channel")</f>
        <v>779 - Channel</v>
      </c>
      <c r="B721" s="4" t="s">
        <v>19</v>
      </c>
      <c r="C721" s="6">
        <v>0.4447222222222223</v>
      </c>
      <c r="D721" s="4" t="s">
        <v>81</v>
      </c>
      <c r="E721" s="56"/>
    </row>
    <row r="722">
      <c r="A722" s="4" t="str">
        <f>IFERROR(__xludf.DUMMYFUNCTION("""COMPUTED_VALUE"""),"780 - Channel")</f>
        <v>780 - Channel</v>
      </c>
      <c r="B722" s="4" t="s">
        <v>19</v>
      </c>
      <c r="C722" s="6">
        <v>0.4449537037037038</v>
      </c>
      <c r="D722" s="4" t="s">
        <v>1011</v>
      </c>
      <c r="E722" s="81" t="s">
        <v>2772</v>
      </c>
    </row>
    <row r="723">
      <c r="A723" s="4" t="str">
        <f>IFERROR(__xludf.DUMMYFUNCTION("""COMPUTED_VALUE"""),"880 - Channel")</f>
        <v>880 - Channel</v>
      </c>
      <c r="B723" s="4" t="s">
        <v>19</v>
      </c>
      <c r="C723" s="6">
        <v>0.4546064814814816</v>
      </c>
      <c r="D723" s="4" t="s">
        <v>1015</v>
      </c>
      <c r="E723" s="81" t="s">
        <v>2948</v>
      </c>
    </row>
    <row r="724">
      <c r="A724" s="4" t="str">
        <f>IFERROR(__xludf.DUMMYFUNCTION("""COMPUTED_VALUE"""),"1039 - Channel")</f>
        <v>1039 - Channel</v>
      </c>
      <c r="B724" s="4" t="s">
        <v>19</v>
      </c>
      <c r="C724" s="6">
        <v>0.4549074074074075</v>
      </c>
      <c r="D724" s="4" t="s">
        <v>81</v>
      </c>
      <c r="E724" s="56"/>
    </row>
    <row r="725">
      <c r="A725" s="4" t="str">
        <f>IFERROR(__xludf.DUMMYFUNCTION("""COMPUTED_VALUE"""),"1040 - Channel")</f>
        <v>1040 - Channel</v>
      </c>
      <c r="B725" s="4" t="s">
        <v>19</v>
      </c>
      <c r="C725" s="6">
        <v>0.455138888888889</v>
      </c>
      <c r="D725" s="4" t="s">
        <v>1018</v>
      </c>
      <c r="E725" s="81" t="s">
        <v>3518</v>
      </c>
    </row>
    <row r="726">
      <c r="A726" s="4" t="str">
        <f>IFERROR(__xludf.DUMMYFUNCTION("""COMPUTED_VALUE"""),"1341 - Channel")</f>
        <v>1341 - Channel</v>
      </c>
      <c r="B726" s="4" t="s">
        <v>19</v>
      </c>
      <c r="C726" s="6"/>
      <c r="D726" s="4"/>
      <c r="E726" s="56"/>
    </row>
    <row r="727">
      <c r="A727" s="4" t="str">
        <f>IFERROR(__xludf.DUMMYFUNCTION("""COMPUTED_VALUE"""),"795 - Channel")</f>
        <v>795 - Channel</v>
      </c>
      <c r="B727" s="4" t="s">
        <v>19</v>
      </c>
      <c r="C727" s="6">
        <v>0.4583333333333333</v>
      </c>
      <c r="D727" s="4" t="s">
        <v>81</v>
      </c>
      <c r="E727" s="56"/>
    </row>
    <row r="728">
      <c r="A728" s="4" t="str">
        <f>IFERROR(__xludf.DUMMYFUNCTION("""COMPUTED_VALUE"""),"796 - Channel")</f>
        <v>796 - Channel</v>
      </c>
      <c r="B728" s="4" t="s">
        <v>19</v>
      </c>
      <c r="C728" s="6">
        <v>0.45868055555555554</v>
      </c>
      <c r="D728" s="4" t="s">
        <v>1022</v>
      </c>
      <c r="E728" s="81" t="s">
        <v>2796</v>
      </c>
    </row>
    <row r="729">
      <c r="A729" s="4" t="str">
        <f>IFERROR(__xludf.DUMMYFUNCTION("""COMPUTED_VALUE"""),"798 - Channel")</f>
        <v>798 - Channel</v>
      </c>
      <c r="B729" s="4" t="s">
        <v>19</v>
      </c>
      <c r="C729" s="6">
        <v>0.4695138888888889</v>
      </c>
      <c r="D729" s="4" t="s">
        <v>81</v>
      </c>
      <c r="E729" s="56"/>
    </row>
    <row r="730">
      <c r="A730" s="4" t="str">
        <f>IFERROR(__xludf.DUMMYFUNCTION("""COMPUTED_VALUE"""),"799 - Channel")</f>
        <v>799 - Channel</v>
      </c>
      <c r="B730" s="4" t="s">
        <v>19</v>
      </c>
      <c r="C730" s="6">
        <v>0.4697453703703704</v>
      </c>
      <c r="D730" s="4" t="s">
        <v>1027</v>
      </c>
      <c r="E730" s="81" t="s">
        <v>2801</v>
      </c>
    </row>
    <row r="731">
      <c r="A731" s="4" t="str">
        <f>IFERROR(__xludf.DUMMYFUNCTION("""COMPUTED_VALUE"""),"803 - Channel")</f>
        <v>803 - Channel</v>
      </c>
      <c r="B731" s="4" t="s">
        <v>19</v>
      </c>
      <c r="C731" s="6">
        <v>0.4768055555555556</v>
      </c>
      <c r="D731" s="4" t="s">
        <v>81</v>
      </c>
      <c r="E731" s="56"/>
    </row>
    <row r="732">
      <c r="A732" s="4" t="str">
        <f>IFERROR(__xludf.DUMMYFUNCTION("""COMPUTED_VALUE"""),"804 - Channel")</f>
        <v>804 - Channel</v>
      </c>
      <c r="B732" s="4" t="s">
        <v>19</v>
      </c>
      <c r="C732" s="6">
        <v>0.4770370370370371</v>
      </c>
      <c r="D732" s="4" t="s">
        <v>511</v>
      </c>
      <c r="E732" s="56"/>
    </row>
    <row r="733">
      <c r="A733" s="4" t="str">
        <f>IFERROR(__xludf.DUMMYFUNCTION("""COMPUTED_VALUE"""),"805 - Channel")</f>
        <v>805 - Channel</v>
      </c>
      <c r="B733" s="4" t="s">
        <v>19</v>
      </c>
      <c r="C733" s="6">
        <v>0.4773842592592593</v>
      </c>
      <c r="D733" s="4" t="s">
        <v>1031</v>
      </c>
      <c r="E733" s="81" t="s">
        <v>2809</v>
      </c>
    </row>
    <row r="734">
      <c r="A734" s="4" t="str">
        <f>IFERROR(__xludf.DUMMYFUNCTION("""COMPUTED_VALUE"""),"806 - Channel")</f>
        <v>806 - Channel</v>
      </c>
      <c r="B734" s="4" t="s">
        <v>19</v>
      </c>
      <c r="C734" s="6">
        <v>0.48884259259259266</v>
      </c>
      <c r="D734" s="4" t="s">
        <v>1004</v>
      </c>
      <c r="E734" s="56"/>
    </row>
    <row r="735">
      <c r="A735" s="4" t="str">
        <f>IFERROR(__xludf.DUMMYFUNCTION("""COMPUTED_VALUE"""),"844 - Channel")</f>
        <v>844 - Channel</v>
      </c>
      <c r="B735" s="4" t="s">
        <v>19</v>
      </c>
      <c r="C735" s="6">
        <v>0.4890162037037038</v>
      </c>
      <c r="D735" s="4" t="s">
        <v>81</v>
      </c>
      <c r="E735" s="56"/>
    </row>
    <row r="736">
      <c r="A736" s="4" t="str">
        <f>IFERROR(__xludf.DUMMYFUNCTION("""COMPUTED_VALUE"""),"1725 - Channel")</f>
        <v>1725 - Channel</v>
      </c>
      <c r="B736" s="4" t="s">
        <v>19</v>
      </c>
      <c r="C736" s="6">
        <v>0.4892476851851853</v>
      </c>
      <c r="D736" s="4" t="s">
        <v>67</v>
      </c>
      <c r="E736" s="56"/>
    </row>
    <row r="737">
      <c r="A737" s="4" t="str">
        <f>IFERROR(__xludf.DUMMYFUNCTION("""COMPUTED_VALUE"""),"845 - Channel")</f>
        <v>845 - Channel</v>
      </c>
      <c r="B737" s="4" t="s">
        <v>19</v>
      </c>
      <c r="C737" s="6">
        <v>0.49028935185185196</v>
      </c>
      <c r="D737" s="4" t="s">
        <v>1037</v>
      </c>
      <c r="E737" s="81" t="s">
        <v>2880</v>
      </c>
    </row>
    <row r="738">
      <c r="A738" s="4" t="str">
        <f>IFERROR(__xludf.DUMMYFUNCTION("""COMPUTED_VALUE"""),"828 - Channel")</f>
        <v>828 - Channel</v>
      </c>
      <c r="B738" s="4" t="s">
        <v>19</v>
      </c>
      <c r="C738" s="6">
        <v>0.4988773148148149</v>
      </c>
      <c r="D738" s="4" t="s">
        <v>1041</v>
      </c>
      <c r="E738" s="81" t="s">
        <v>2851</v>
      </c>
    </row>
    <row r="739">
      <c r="A739" s="4" t="str">
        <f>IFERROR(__xludf.DUMMYFUNCTION("""COMPUTED_VALUE"""),"1342 - Channel")</f>
        <v>1342 - Channel</v>
      </c>
      <c r="B739" s="4" t="s">
        <v>19</v>
      </c>
      <c r="C739" s="6"/>
      <c r="D739" s="4"/>
      <c r="E739" s="56"/>
    </row>
    <row r="740">
      <c r="A740" s="4" t="str">
        <f>IFERROR(__xludf.DUMMYFUNCTION("""COMPUTED_VALUE"""),"811 - Channel")</f>
        <v>811 - Channel</v>
      </c>
      <c r="B740" s="4" t="s">
        <v>19</v>
      </c>
      <c r="C740" s="6">
        <v>0.5</v>
      </c>
      <c r="D740" s="4" t="s">
        <v>81</v>
      </c>
      <c r="E740" s="56"/>
    </row>
    <row r="741">
      <c r="A741" s="4" t="str">
        <f>IFERROR(__xludf.DUMMYFUNCTION("""COMPUTED_VALUE"""),"812 - Channel")</f>
        <v>812 - Channel</v>
      </c>
      <c r="B741" s="4" t="s">
        <v>19</v>
      </c>
      <c r="C741" s="6">
        <v>0.5003472222222223</v>
      </c>
      <c r="D741" s="4" t="s">
        <v>1044</v>
      </c>
      <c r="E741" s="81" t="s">
        <v>2822</v>
      </c>
    </row>
    <row r="742">
      <c r="A742" s="4" t="str">
        <f>IFERROR(__xludf.DUMMYFUNCTION("""COMPUTED_VALUE"""),"1724 - Channel")</f>
        <v>1724 - Channel</v>
      </c>
      <c r="B742" s="4" t="s">
        <v>19</v>
      </c>
      <c r="C742" s="6">
        <v>0.5072916666666667</v>
      </c>
      <c r="D742" s="4" t="s">
        <v>79</v>
      </c>
      <c r="E742" s="56"/>
    </row>
    <row r="743">
      <c r="A743" s="4" t="str">
        <f>IFERROR(__xludf.DUMMYFUNCTION("""COMPUTED_VALUE"""),"665 - Channel")</f>
        <v>665 - Channel</v>
      </c>
      <c r="B743" s="4" t="s">
        <v>19</v>
      </c>
      <c r="C743" s="6">
        <v>0.5078125</v>
      </c>
      <c r="D743" s="4" t="s">
        <v>81</v>
      </c>
      <c r="E743" s="56"/>
    </row>
    <row r="744">
      <c r="A744" s="4" t="str">
        <f>IFERROR(__xludf.DUMMYFUNCTION("""COMPUTED_VALUE"""),"666 - Channel")</f>
        <v>666 - Channel</v>
      </c>
      <c r="B744" s="4" t="s">
        <v>19</v>
      </c>
      <c r="C744" s="6">
        <v>0.5081597222222223</v>
      </c>
      <c r="D744" s="4" t="s">
        <v>1048</v>
      </c>
      <c r="E744" s="81" t="s">
        <v>2601</v>
      </c>
    </row>
    <row r="745">
      <c r="A745" s="4" t="str">
        <f>IFERROR(__xludf.DUMMYFUNCTION("""COMPUTED_VALUE"""),"818 - Channel")</f>
        <v>818 - Channel</v>
      </c>
      <c r="B745" s="4" t="s">
        <v>19</v>
      </c>
      <c r="C745" s="6">
        <v>0.5149652777777778</v>
      </c>
      <c r="D745" s="4" t="s">
        <v>81</v>
      </c>
      <c r="E745" s="56"/>
    </row>
    <row r="746">
      <c r="A746" s="4" t="str">
        <f>IFERROR(__xludf.DUMMYFUNCTION("""COMPUTED_VALUE"""),"819 - Channel")</f>
        <v>819 - Channel</v>
      </c>
      <c r="B746" s="4" t="s">
        <v>19</v>
      </c>
      <c r="C746" s="6">
        <v>0.5151967592592592</v>
      </c>
      <c r="D746" s="4" t="s">
        <v>1053</v>
      </c>
      <c r="E746" s="81" t="s">
        <v>2834</v>
      </c>
    </row>
    <row r="747">
      <c r="A747" s="4" t="str">
        <f>IFERROR(__xludf.DUMMYFUNCTION("""COMPUTED_VALUE"""),"1671 - Channel")</f>
        <v>1671 - Channel</v>
      </c>
      <c r="B747" s="4" t="s">
        <v>19</v>
      </c>
      <c r="C747" s="6">
        <v>0.5221990740740741</v>
      </c>
      <c r="D747" s="4" t="s">
        <v>67</v>
      </c>
      <c r="E747" s="56"/>
    </row>
    <row r="748">
      <c r="A748" s="4" t="str">
        <f>IFERROR(__xludf.DUMMYFUNCTION("""COMPUTED_VALUE"""),"822 - Channel")</f>
        <v>822 - Channel</v>
      </c>
      <c r="B748" s="4" t="s">
        <v>19</v>
      </c>
      <c r="C748" s="6">
        <v>0.5232407407407408</v>
      </c>
      <c r="D748" s="4" t="s">
        <v>81</v>
      </c>
      <c r="E748" s="56"/>
    </row>
    <row r="749">
      <c r="A749" s="4" t="str">
        <f>IFERROR(__xludf.DUMMYFUNCTION("""COMPUTED_VALUE"""),"823 - Channel")</f>
        <v>823 - Channel</v>
      </c>
      <c r="B749" s="4" t="s">
        <v>19</v>
      </c>
      <c r="C749" s="6">
        <v>0.5234722222222222</v>
      </c>
      <c r="D749" s="4" t="s">
        <v>1058</v>
      </c>
      <c r="E749" s="81" t="s">
        <v>2842</v>
      </c>
    </row>
    <row r="750">
      <c r="A750" s="4" t="str">
        <f>IFERROR(__xludf.DUMMYFUNCTION("""COMPUTED_VALUE"""),"825 - Channel")</f>
        <v>825 - Channel</v>
      </c>
      <c r="B750" s="4" t="s">
        <v>19</v>
      </c>
      <c r="C750" s="6">
        <v>0.5309259259259259</v>
      </c>
      <c r="D750" s="4" t="s">
        <v>81</v>
      </c>
      <c r="E750" s="56"/>
    </row>
    <row r="751">
      <c r="A751" s="4" t="str">
        <f>IFERROR(__xludf.DUMMYFUNCTION("""COMPUTED_VALUE"""),"826 - Channel")</f>
        <v>826 - Channel</v>
      </c>
      <c r="B751" s="4" t="s">
        <v>19</v>
      </c>
      <c r="C751" s="6">
        <v>0.5311574074074074</v>
      </c>
      <c r="D751" s="4" t="s">
        <v>1062</v>
      </c>
      <c r="E751" s="81" t="s">
        <v>2847</v>
      </c>
    </row>
    <row r="752">
      <c r="A752" s="4" t="str">
        <f>IFERROR(__xludf.DUMMYFUNCTION("""COMPUTED_VALUE"""),"1343 - Channel")</f>
        <v>1343 - Channel</v>
      </c>
      <c r="B752" s="4" t="s">
        <v>19</v>
      </c>
      <c r="C752" s="6"/>
      <c r="D752" s="4"/>
      <c r="E752" s="56"/>
    </row>
    <row r="753">
      <c r="A753" s="4" t="str">
        <f>IFERROR(__xludf.DUMMYFUNCTION("""COMPUTED_VALUE"""),"836 - Channel")</f>
        <v>836 - Channel</v>
      </c>
      <c r="B753" s="4" t="s">
        <v>19</v>
      </c>
      <c r="C753" s="6">
        <v>0.5416666666666666</v>
      </c>
      <c r="D753" s="4" t="s">
        <v>81</v>
      </c>
      <c r="E753" s="56"/>
    </row>
    <row r="754">
      <c r="A754" s="4" t="str">
        <f>IFERROR(__xludf.DUMMYFUNCTION("""COMPUTED_VALUE"""),"837 - Channel")</f>
        <v>837 - Channel</v>
      </c>
      <c r="B754" s="4" t="s">
        <v>19</v>
      </c>
      <c r="C754" s="6">
        <v>0.5420138888888889</v>
      </c>
      <c r="D754" s="4" t="s">
        <v>1069</v>
      </c>
      <c r="E754" s="81" t="s">
        <v>2865</v>
      </c>
    </row>
    <row r="755">
      <c r="A755" s="4" t="str">
        <f>IFERROR(__xludf.DUMMYFUNCTION("""COMPUTED_VALUE"""),"833 - Channel")</f>
        <v>833 - Channel</v>
      </c>
      <c r="B755" s="4" t="s">
        <v>19</v>
      </c>
      <c r="C755" s="6">
        <v>0.5500810185185185</v>
      </c>
      <c r="D755" s="4" t="s">
        <v>81</v>
      </c>
      <c r="E755" s="56"/>
    </row>
    <row r="756">
      <c r="A756" s="4" t="str">
        <f>IFERROR(__xludf.DUMMYFUNCTION("""COMPUTED_VALUE"""),"834 - Channel")</f>
        <v>834 - Channel</v>
      </c>
      <c r="B756" s="4" t="s">
        <v>19</v>
      </c>
      <c r="C756" s="6">
        <v>0.5503125</v>
      </c>
      <c r="D756" s="4" t="s">
        <v>1073</v>
      </c>
      <c r="E756" s="56"/>
    </row>
    <row r="757">
      <c r="A757" s="4" t="str">
        <f>IFERROR(__xludf.DUMMYFUNCTION("""COMPUTED_VALUE"""),"1382 - Channel")</f>
        <v>1382 - Channel</v>
      </c>
      <c r="B757" s="4" t="s">
        <v>19</v>
      </c>
      <c r="C757" s="6">
        <v>0.5607291666666666</v>
      </c>
      <c r="D757" s="4" t="s">
        <v>81</v>
      </c>
      <c r="E757" s="56"/>
    </row>
    <row r="758">
      <c r="A758" s="4" t="str">
        <f>IFERROR(__xludf.DUMMYFUNCTION("""COMPUTED_VALUE"""),"1383 - Channel")</f>
        <v>1383 - Channel</v>
      </c>
      <c r="B758" s="4" t="s">
        <v>19</v>
      </c>
      <c r="C758" s="6">
        <v>0.5610763888888889</v>
      </c>
      <c r="D758" s="4" t="s">
        <v>1078</v>
      </c>
      <c r="E758" s="81" t="s">
        <v>4664</v>
      </c>
    </row>
    <row r="759">
      <c r="A759" s="4" t="str">
        <f>IFERROR(__xludf.DUMMYFUNCTION("""COMPUTED_VALUE"""),"1384 - Channel ")</f>
        <v>1384 - Channel </v>
      </c>
      <c r="B759" s="4" t="s">
        <v>607</v>
      </c>
      <c r="C759" s="6" t="s">
        <v>607</v>
      </c>
      <c r="D759" s="4" t="s">
        <v>607</v>
      </c>
      <c r="E759" s="56" t="s">
        <v>607</v>
      </c>
    </row>
    <row r="760">
      <c r="A760" s="4" t="str">
        <f>IFERROR(__xludf.DUMMYFUNCTION("""COMPUTED_VALUE"""),"1566 - Channel")</f>
        <v>1566 - Channel</v>
      </c>
      <c r="B760" s="4" t="s">
        <v>19</v>
      </c>
      <c r="C760" s="6">
        <v>0.573275462962963</v>
      </c>
      <c r="D760" s="4" t="s">
        <v>77</v>
      </c>
      <c r="E760" s="56"/>
    </row>
    <row r="761">
      <c r="A761" s="4" t="str">
        <f>IFERROR(__xludf.DUMMYFUNCTION("""COMPUTED_VALUE"""),"839 - Channel")</f>
        <v>839 - Channel</v>
      </c>
      <c r="B761" s="4" t="s">
        <v>19</v>
      </c>
      <c r="C761" s="6">
        <v>0.5734490740740741</v>
      </c>
      <c r="D761" s="4" t="s">
        <v>81</v>
      </c>
      <c r="E761" s="56"/>
    </row>
    <row r="762">
      <c r="A762" s="4" t="str">
        <f>IFERROR(__xludf.DUMMYFUNCTION("""COMPUTED_VALUE"""),"840 - Channel")</f>
        <v>840 - Channel</v>
      </c>
      <c r="B762" s="4" t="s">
        <v>19</v>
      </c>
      <c r="C762" s="6">
        <v>0.5736805555555555</v>
      </c>
      <c r="D762" s="4" t="s">
        <v>1085</v>
      </c>
      <c r="E762" s="81" t="s">
        <v>2870</v>
      </c>
    </row>
    <row r="763">
      <c r="A763" s="4" t="str">
        <f>IFERROR(__xludf.DUMMYFUNCTION("""COMPUTED_VALUE"""),"1561 - Channel")</f>
        <v>1561 - Channel</v>
      </c>
      <c r="B763" s="4" t="s">
        <v>19</v>
      </c>
      <c r="C763" s="6"/>
      <c r="D763" s="4"/>
      <c r="E763" s="56"/>
    </row>
    <row r="764">
      <c r="A764" s="4" t="str">
        <f>IFERROR(__xludf.DUMMYFUNCTION("""COMPUTED_VALUE"""),"843 - Channel")</f>
        <v>843 - Channel</v>
      </c>
      <c r="B764" s="4" t="s">
        <v>19</v>
      </c>
      <c r="C764" s="6">
        <v>0.5833333333333334</v>
      </c>
      <c r="D764" s="4" t="s">
        <v>1093</v>
      </c>
      <c r="E764" s="81" t="s">
        <v>2875</v>
      </c>
    </row>
    <row r="765">
      <c r="A765" s="4" t="str">
        <f>IFERROR(__xludf.DUMMYFUNCTION("""COMPUTED_VALUE"""),"802 - Channel")</f>
        <v>802 - Channel</v>
      </c>
      <c r="B765" s="4" t="s">
        <v>19</v>
      </c>
      <c r="C765" s="6">
        <v>0.5835300925925926</v>
      </c>
      <c r="D765" s="4" t="s">
        <v>1098</v>
      </c>
      <c r="E765" s="56"/>
    </row>
    <row r="766">
      <c r="A766" s="4" t="str">
        <f>IFERROR(__xludf.DUMMYFUNCTION("""COMPUTED_VALUE"""),"808 - Channel")</f>
        <v>808 - Channel</v>
      </c>
      <c r="B766" s="4" t="s">
        <v>19</v>
      </c>
      <c r="C766" s="6">
        <v>0.5837037037037037</v>
      </c>
      <c r="D766" s="4" t="s">
        <v>81</v>
      </c>
      <c r="E766" s="56"/>
    </row>
    <row r="767">
      <c r="A767" s="4" t="str">
        <f>IFERROR(__xludf.DUMMYFUNCTION("""COMPUTED_VALUE"""),"809 - Channel")</f>
        <v>809 - Channel</v>
      </c>
      <c r="B767" s="4" t="s">
        <v>19</v>
      </c>
      <c r="C767" s="6">
        <v>0.5839351851851852</v>
      </c>
      <c r="D767" s="4" t="s">
        <v>1099</v>
      </c>
      <c r="E767" s="81" t="s">
        <v>2816</v>
      </c>
    </row>
    <row r="768">
      <c r="A768" s="4" t="str">
        <f>IFERROR(__xludf.DUMMYFUNCTION("""COMPUTED_VALUE"""),"847 - Channel")</f>
        <v>847 - Channel</v>
      </c>
      <c r="B768" s="4" t="s">
        <v>19</v>
      </c>
      <c r="C768" s="6">
        <v>0.5937268518518518</v>
      </c>
      <c r="D768" s="4" t="s">
        <v>103</v>
      </c>
      <c r="E768" s="56"/>
    </row>
    <row r="769">
      <c r="A769" s="4" t="str">
        <f>IFERROR(__xludf.DUMMYFUNCTION("""COMPUTED_VALUE"""),"848 - Channel")</f>
        <v>848 - Channel</v>
      </c>
      <c r="B769" s="4" t="s">
        <v>19</v>
      </c>
      <c r="C769" s="6">
        <v>0.5944212962962963</v>
      </c>
      <c r="D769" s="4" t="s">
        <v>81</v>
      </c>
      <c r="E769" s="56"/>
    </row>
    <row r="770">
      <c r="A770" s="4" t="str">
        <f>IFERROR(__xludf.DUMMYFUNCTION("""COMPUTED_VALUE"""),"849 - Channel")</f>
        <v>849 - Channel</v>
      </c>
      <c r="B770" s="4" t="s">
        <v>19</v>
      </c>
      <c r="C770" s="6">
        <v>0.5946527777777777</v>
      </c>
      <c r="D770" s="4" t="s">
        <v>1104</v>
      </c>
      <c r="E770" s="81" t="s">
        <v>2887</v>
      </c>
    </row>
    <row r="771">
      <c r="A771" s="4" t="str">
        <f>IFERROR(__xludf.DUMMYFUNCTION("""COMPUTED_VALUE"""),"850 - Channel")</f>
        <v>850 - Channel</v>
      </c>
      <c r="B771" s="4" t="s">
        <v>19</v>
      </c>
      <c r="C771" s="6">
        <v>0.608460648148148</v>
      </c>
      <c r="D771" s="4" t="s">
        <v>1082</v>
      </c>
      <c r="E771" s="56"/>
    </row>
    <row r="772">
      <c r="A772" s="4" t="str">
        <f>IFERROR(__xludf.DUMMYFUNCTION("""COMPUTED_VALUE"""),"1673 - Channel")</f>
        <v>1673 - Channel</v>
      </c>
      <c r="B772" s="4" t="s">
        <v>19</v>
      </c>
      <c r="C772" s="6">
        <v>0.6086342592592592</v>
      </c>
      <c r="D772" s="4" t="s">
        <v>87</v>
      </c>
      <c r="E772" s="56"/>
    </row>
    <row r="773">
      <c r="A773" s="4" t="str">
        <f>IFERROR(__xludf.DUMMYFUNCTION("""COMPUTED_VALUE"""),"864 - Channel")</f>
        <v>864 - Channel</v>
      </c>
      <c r="B773" s="4" t="s">
        <v>19</v>
      </c>
      <c r="C773" s="6">
        <v>0.6089814814814815</v>
      </c>
      <c r="D773" s="4" t="s">
        <v>1112</v>
      </c>
      <c r="E773" s="81" t="s">
        <v>2916</v>
      </c>
    </row>
    <row r="774">
      <c r="A774" s="4" t="str">
        <f>IFERROR(__xludf.DUMMYFUNCTION("""COMPUTED_VALUE"""),"1042 - Channel")</f>
        <v>1042 - Channel</v>
      </c>
      <c r="B774" s="4" t="s">
        <v>19</v>
      </c>
      <c r="C774" s="6">
        <v>0.609224537037037</v>
      </c>
      <c r="D774" s="4" t="s">
        <v>81</v>
      </c>
      <c r="E774" s="56"/>
    </row>
    <row r="775">
      <c r="A775" s="4" t="str">
        <f>IFERROR(__xludf.DUMMYFUNCTION("""COMPUTED_VALUE"""),"1043 - Channel")</f>
        <v>1043 - Channel</v>
      </c>
      <c r="B775" s="4" t="s">
        <v>19</v>
      </c>
      <c r="C775" s="6">
        <v>0.6094560185185185</v>
      </c>
      <c r="D775" s="4" t="s">
        <v>1114</v>
      </c>
      <c r="E775" s="56"/>
    </row>
    <row r="776">
      <c r="A776" s="4" t="str">
        <f>IFERROR(__xludf.DUMMYFUNCTION("""COMPUTED_VALUE"""),"857 - Channel")</f>
        <v>857 - Channel</v>
      </c>
      <c r="B776" s="4" t="s">
        <v>19</v>
      </c>
      <c r="C776" s="6">
        <v>0.6233449074074073</v>
      </c>
      <c r="D776" s="4" t="s">
        <v>79</v>
      </c>
      <c r="E776" s="56"/>
    </row>
    <row r="777">
      <c r="A777" s="4" t="str">
        <f>IFERROR(__xludf.DUMMYFUNCTION("""COMPUTED_VALUE"""),"1574 - Channel")</f>
        <v>1574 - Channel</v>
      </c>
      <c r="B777" s="4" t="s">
        <v>19</v>
      </c>
      <c r="C777" s="6">
        <v>0.6238657407407406</v>
      </c>
      <c r="D777" s="4" t="s">
        <v>1009</v>
      </c>
      <c r="E777" s="56"/>
    </row>
    <row r="778">
      <c r="A778" s="4" t="str">
        <f>IFERROR(__xludf.DUMMYFUNCTION("""COMPUTED_VALUE"""),"1643 - Channel")</f>
        <v>1643 - Channel</v>
      </c>
      <c r="B778" s="4"/>
      <c r="C778" s="6"/>
      <c r="D778" s="4"/>
      <c r="E778" s="56"/>
    </row>
    <row r="779">
      <c r="A779" s="4" t="str">
        <f>IFERROR(__xludf.DUMMYFUNCTION("""COMPUTED_VALUE"""),"858 - Channel")</f>
        <v>858 - Channel</v>
      </c>
      <c r="B779" s="4" t="s">
        <v>19</v>
      </c>
      <c r="C779" s="6">
        <v>0.625</v>
      </c>
      <c r="D779" s="4" t="s">
        <v>81</v>
      </c>
      <c r="E779" s="56"/>
    </row>
    <row r="780">
      <c r="A780" s="4" t="str">
        <f>IFERROR(__xludf.DUMMYFUNCTION("""COMPUTED_VALUE"""),"859 - Channel")</f>
        <v>859 - Channel</v>
      </c>
      <c r="B780" s="4" t="s">
        <v>19</v>
      </c>
      <c r="C780" s="6">
        <v>0.6253472222222223</v>
      </c>
      <c r="D780" s="4" t="s">
        <v>1122</v>
      </c>
      <c r="E780" s="81" t="s">
        <v>2905</v>
      </c>
    </row>
    <row r="781">
      <c r="A781" s="4" t="str">
        <f>IFERROR(__xludf.DUMMYFUNCTION("""COMPUTED_VALUE"""),"861 - Channel")</f>
        <v>861 - Channel</v>
      </c>
      <c r="B781" s="4" t="s">
        <v>19</v>
      </c>
      <c r="C781" s="6">
        <v>0.635300925925926</v>
      </c>
      <c r="D781" s="4" t="s">
        <v>1127</v>
      </c>
      <c r="E781" s="56"/>
    </row>
    <row r="782">
      <c r="A782" s="4" t="str">
        <f>IFERROR(__xludf.DUMMYFUNCTION("""COMPUTED_VALUE"""),"862 - Channel")</f>
        <v>862 - Channel</v>
      </c>
      <c r="B782" s="4" t="s">
        <v>19</v>
      </c>
      <c r="C782" s="6">
        <v>0.6355324074074075</v>
      </c>
      <c r="D782" s="4" t="s">
        <v>1128</v>
      </c>
      <c r="E782" s="81" t="s">
        <v>2911</v>
      </c>
    </row>
    <row r="783">
      <c r="A783" s="4" t="str">
        <f>IFERROR(__xludf.DUMMYFUNCTION("""COMPUTED_VALUE"""),"851 - Channel")</f>
        <v>851 - Channel</v>
      </c>
      <c r="B783" s="4" t="s">
        <v>19</v>
      </c>
      <c r="C783" s="6">
        <v>0.6376851851851852</v>
      </c>
      <c r="D783" s="4" t="s">
        <v>1131</v>
      </c>
      <c r="E783" s="56"/>
    </row>
    <row r="784">
      <c r="A784" s="4" t="str">
        <f>IFERROR(__xludf.DUMMYFUNCTION("""COMPUTED_VALUE"""),"865 - Channel")</f>
        <v>865 - Channel</v>
      </c>
      <c r="B784" s="4" t="s">
        <v>19</v>
      </c>
      <c r="C784" s="6">
        <v>0.6378587962962964</v>
      </c>
      <c r="D784" s="4" t="s">
        <v>81</v>
      </c>
      <c r="E784" s="56"/>
    </row>
    <row r="785">
      <c r="A785" s="4" t="str">
        <f>IFERROR(__xludf.DUMMYFUNCTION("""COMPUTED_VALUE"""),"866 - Channel")</f>
        <v>866 - Channel</v>
      </c>
      <c r="B785" s="4" t="s">
        <v>19</v>
      </c>
      <c r="C785" s="6">
        <v>0.6380902777777778</v>
      </c>
      <c r="D785" s="4" t="s">
        <v>1133</v>
      </c>
      <c r="E785" s="81" t="s">
        <v>2920</v>
      </c>
    </row>
    <row r="786">
      <c r="A786" s="4" t="str">
        <f>IFERROR(__xludf.DUMMYFUNCTION("""COMPUTED_VALUE"""),"1672 - Channel")</f>
        <v>1672 - Channel</v>
      </c>
      <c r="B786" s="4" t="s">
        <v>19</v>
      </c>
      <c r="C786" s="6">
        <v>0.6479282407407407</v>
      </c>
      <c r="D786" s="4" t="s">
        <v>67</v>
      </c>
      <c r="E786" s="56"/>
    </row>
    <row r="787">
      <c r="A787" s="4" t="str">
        <f>IFERROR(__xludf.DUMMYFUNCTION("""COMPUTED_VALUE"""),"868 - Channel")</f>
        <v>868 - Channel</v>
      </c>
      <c r="B787" s="4" t="s">
        <v>19</v>
      </c>
      <c r="C787" s="6">
        <v>0.6489699074074075</v>
      </c>
      <c r="D787" s="4" t="s">
        <v>81</v>
      </c>
      <c r="E787" s="56"/>
    </row>
    <row r="788">
      <c r="A788" s="4" t="str">
        <f>IFERROR(__xludf.DUMMYFUNCTION("""COMPUTED_VALUE"""),"869 - Channel")</f>
        <v>869 - Channel</v>
      </c>
      <c r="B788" s="4" t="s">
        <v>19</v>
      </c>
      <c r="C788" s="6">
        <v>0.6492013888888889</v>
      </c>
      <c r="D788" s="4" t="s">
        <v>1138</v>
      </c>
      <c r="E788" s="81" t="s">
        <v>2926</v>
      </c>
    </row>
    <row r="789">
      <c r="A789" s="4" t="str">
        <f>IFERROR(__xludf.DUMMYFUNCTION("""COMPUTED_VALUE"""),"940 - Channel")</f>
        <v>940 - Channel</v>
      </c>
      <c r="B789" s="4" t="s">
        <v>19</v>
      </c>
      <c r="C789" s="6">
        <v>0.6570949074074074</v>
      </c>
      <c r="D789" s="4" t="s">
        <v>1141</v>
      </c>
      <c r="E789" s="56"/>
    </row>
    <row r="790">
      <c r="A790" s="4" t="str">
        <f>IFERROR(__xludf.DUMMYFUNCTION("""COMPUTED_VALUE"""),"871 - Channel")</f>
        <v>871 - Channel</v>
      </c>
      <c r="B790" s="4" t="s">
        <v>19</v>
      </c>
      <c r="C790" s="6">
        <v>0.6574421296296297</v>
      </c>
      <c r="D790" s="4" t="s">
        <v>81</v>
      </c>
      <c r="E790" s="56"/>
    </row>
    <row r="791">
      <c r="A791" s="4" t="str">
        <f>IFERROR(__xludf.DUMMYFUNCTION("""COMPUTED_VALUE"""),"872 - Channel")</f>
        <v>872 - Channel</v>
      </c>
      <c r="B791" s="4" t="s">
        <v>19</v>
      </c>
      <c r="C791" s="6">
        <v>0.6576736111111111</v>
      </c>
      <c r="D791" s="4" t="s">
        <v>1143</v>
      </c>
      <c r="E791" s="81" t="s">
        <v>2932</v>
      </c>
    </row>
    <row r="792">
      <c r="A792" s="4" t="str">
        <f>IFERROR(__xludf.DUMMYFUNCTION("""COMPUTED_VALUE"""),"856 - Channel")</f>
        <v>856 - Channel</v>
      </c>
      <c r="B792" s="4" t="s">
        <v>19</v>
      </c>
      <c r="C792" s="6">
        <v>0.6661921296296296</v>
      </c>
      <c r="D792" s="4" t="s">
        <v>1146</v>
      </c>
      <c r="E792" s="81" t="s">
        <v>2899</v>
      </c>
    </row>
    <row r="793">
      <c r="A793" s="4" t="str">
        <f>IFERROR(__xludf.DUMMYFUNCTION("""COMPUTED_VALUE"""),"1346 - Channel")</f>
        <v>1346 - Channel</v>
      </c>
      <c r="B793" s="4" t="s">
        <v>19</v>
      </c>
      <c r="C793" s="6"/>
      <c r="D793" s="4"/>
      <c r="E793" s="56"/>
    </row>
    <row r="794">
      <c r="A794" s="4" t="str">
        <f>IFERROR(__xludf.DUMMYFUNCTION("""COMPUTED_VALUE"""),"1512 - Channel")</f>
        <v>1512 - Channel</v>
      </c>
      <c r="B794" s="4" t="s">
        <v>19</v>
      </c>
      <c r="C794" s="6">
        <v>0.6666666666666666</v>
      </c>
      <c r="D794" s="4" t="s">
        <v>1149</v>
      </c>
      <c r="E794" s="56"/>
    </row>
    <row r="795">
      <c r="A795" s="4" t="str">
        <f>IFERROR(__xludf.DUMMYFUNCTION("""COMPUTED_VALUE"""),"874 - Channel")</f>
        <v>874 - Channel</v>
      </c>
      <c r="B795" s="4" t="s">
        <v>19</v>
      </c>
      <c r="C795" s="6">
        <v>0.6668402777777778</v>
      </c>
      <c r="D795" s="4" t="s">
        <v>81</v>
      </c>
      <c r="E795" s="56"/>
    </row>
    <row r="796">
      <c r="A796" s="4" t="str">
        <f>IFERROR(__xludf.DUMMYFUNCTION("""COMPUTED_VALUE"""),"875 - Channel")</f>
        <v>875 - Channel</v>
      </c>
      <c r="B796" s="4" t="s">
        <v>19</v>
      </c>
      <c r="C796" s="6">
        <v>0.6671875</v>
      </c>
      <c r="D796" s="4" t="s">
        <v>1152</v>
      </c>
      <c r="E796" s="81" t="s">
        <v>2939</v>
      </c>
    </row>
    <row r="797">
      <c r="A797" s="4" t="str">
        <f>IFERROR(__xludf.DUMMYFUNCTION("""COMPUTED_VALUE"""),"1510 - Channel")</f>
        <v>1510 - Channel</v>
      </c>
      <c r="B797" s="4" t="s">
        <v>19</v>
      </c>
      <c r="C797" s="6">
        <v>0.6771990740740741</v>
      </c>
      <c r="D797" s="4" t="s">
        <v>1156</v>
      </c>
      <c r="E797" s="56"/>
    </row>
    <row r="798">
      <c r="A798" s="4" t="str">
        <f>IFERROR(__xludf.DUMMYFUNCTION("""COMPUTED_VALUE"""),"877 - Channel")</f>
        <v>877 - Channel</v>
      </c>
      <c r="B798" s="4" t="s">
        <v>19</v>
      </c>
      <c r="C798" s="6">
        <v>0.6773726851851852</v>
      </c>
      <c r="D798" s="4" t="s">
        <v>81</v>
      </c>
      <c r="E798" s="56"/>
    </row>
    <row r="799">
      <c r="A799" s="4" t="str">
        <f>IFERROR(__xludf.DUMMYFUNCTION("""COMPUTED_VALUE"""),"878 - Channel")</f>
        <v>878 - Channel</v>
      </c>
      <c r="B799" s="4" t="s">
        <v>19</v>
      </c>
      <c r="C799" s="6">
        <v>0.6776041666666667</v>
      </c>
      <c r="D799" s="4" t="s">
        <v>1159</v>
      </c>
      <c r="E799" s="81" t="s">
        <v>2944</v>
      </c>
    </row>
    <row r="800">
      <c r="A800" s="4" t="str">
        <f>IFERROR(__xludf.DUMMYFUNCTION("""COMPUTED_VALUE"""),"1674 - Channel")</f>
        <v>1674 - Channel</v>
      </c>
      <c r="B800" s="4" t="s">
        <v>19</v>
      </c>
      <c r="C800" s="6">
        <v>0.6924537037037037</v>
      </c>
      <c r="D800" s="4" t="s">
        <v>89</v>
      </c>
      <c r="E800" s="56"/>
    </row>
    <row r="801">
      <c r="A801" s="4" t="str">
        <f>IFERROR(__xludf.DUMMYFUNCTION("""COMPUTED_VALUE"""),"881 - Channel")</f>
        <v>881 - Channel</v>
      </c>
      <c r="B801" s="4" t="s">
        <v>19</v>
      </c>
      <c r="C801" s="6">
        <v>0.692800925925926</v>
      </c>
      <c r="D801" s="4" t="s">
        <v>81</v>
      </c>
      <c r="E801" s="56"/>
    </row>
    <row r="802">
      <c r="A802" s="4" t="str">
        <f>IFERROR(__xludf.DUMMYFUNCTION("""COMPUTED_VALUE"""),"882 - Channel")</f>
        <v>882 - Channel</v>
      </c>
      <c r="B802" s="4" t="s">
        <v>19</v>
      </c>
      <c r="C802" s="6">
        <v>0.6930324074074075</v>
      </c>
      <c r="D802" s="4" t="s">
        <v>1162</v>
      </c>
      <c r="E802" s="81" t="s">
        <v>2952</v>
      </c>
    </row>
    <row r="803">
      <c r="A803" s="4" t="str">
        <f>IFERROR(__xludf.DUMMYFUNCTION("""COMPUTED_VALUE"""),"1581 - Channel")</f>
        <v>1581 - Channel</v>
      </c>
      <c r="B803" s="4" t="s">
        <v>19</v>
      </c>
      <c r="C803" s="6">
        <v>0.6951273148148148</v>
      </c>
      <c r="D803" s="4" t="s">
        <v>1131</v>
      </c>
      <c r="E803" s="56"/>
    </row>
    <row r="804">
      <c r="A804" s="4" t="str">
        <f>IFERROR(__xludf.DUMMYFUNCTION("""COMPUTED_VALUE"""),"885 - Channel")</f>
        <v>885 - Channel</v>
      </c>
      <c r="B804" s="4" t="s">
        <v>19</v>
      </c>
      <c r="C804" s="6">
        <v>0.695300925925926</v>
      </c>
      <c r="D804" s="4" t="s">
        <v>81</v>
      </c>
      <c r="E804" s="56"/>
    </row>
    <row r="805">
      <c r="A805" s="4" t="str">
        <f>IFERROR(__xludf.DUMMYFUNCTION("""COMPUTED_VALUE"""),"1337 - Channel")</f>
        <v>1337 - Channel</v>
      </c>
      <c r="B805" s="4" t="s">
        <v>19</v>
      </c>
      <c r="C805" s="6">
        <v>0.6955324074074074</v>
      </c>
      <c r="D805" s="4" t="s">
        <v>1166</v>
      </c>
      <c r="E805" s="81" t="s">
        <v>4607</v>
      </c>
    </row>
    <row r="806">
      <c r="A806" s="4" t="str">
        <f>IFERROR(__xludf.DUMMYFUNCTION("""COMPUTED_VALUE"""),"887 - Channel")</f>
        <v>887 - Channel</v>
      </c>
      <c r="B806" s="4" t="s">
        <v>19</v>
      </c>
      <c r="C806" s="6">
        <v>0.7079166666666666</v>
      </c>
      <c r="D806" s="4" t="s">
        <v>85</v>
      </c>
      <c r="E806" s="56"/>
    </row>
    <row r="807">
      <c r="A807" s="4" t="str">
        <f>IFERROR(__xludf.DUMMYFUNCTION("""COMPUTED_VALUE"""),"889 - Channel")</f>
        <v>889 - Channel</v>
      </c>
      <c r="B807" s="4" t="s">
        <v>19</v>
      </c>
      <c r="C807" s="6">
        <v>0.7082060185185185</v>
      </c>
      <c r="D807" s="4" t="s">
        <v>1171</v>
      </c>
      <c r="E807" s="56"/>
    </row>
    <row r="808">
      <c r="A808" s="4" t="str">
        <f>IFERROR(__xludf.DUMMYFUNCTION("""COMPUTED_VALUE"""),"890 - Channel")</f>
        <v>890 - Channel</v>
      </c>
      <c r="B808" s="4" t="s">
        <v>19</v>
      </c>
      <c r="C808" s="6"/>
      <c r="D808" s="4"/>
      <c r="E808" s="56"/>
    </row>
    <row r="809">
      <c r="A809" s="4" t="str">
        <f>IFERROR(__xludf.DUMMYFUNCTION("""COMPUTED_VALUE"""),"891 - Channel")</f>
        <v>891 - Channel</v>
      </c>
      <c r="B809" s="4" t="s">
        <v>19</v>
      </c>
      <c r="C809" s="6"/>
      <c r="D809" s="4"/>
      <c r="E809" s="56"/>
    </row>
    <row r="810">
      <c r="A810" s="4" t="str">
        <f>IFERROR(__xludf.DUMMYFUNCTION("""COMPUTED_VALUE"""),"892 - Channel")</f>
        <v>892 - Channel</v>
      </c>
      <c r="B810" s="4" t="s">
        <v>19</v>
      </c>
      <c r="C810" s="6"/>
      <c r="D810" s="4"/>
      <c r="E810" s="56"/>
    </row>
    <row r="811">
      <c r="A811" s="4" t="str">
        <f>IFERROR(__xludf.DUMMYFUNCTION("""COMPUTED_VALUE"""),"893 - Channel")</f>
        <v>893 - Channel</v>
      </c>
      <c r="B811" s="4" t="s">
        <v>19</v>
      </c>
      <c r="C811" s="6"/>
      <c r="D811" s="4"/>
      <c r="E811" s="56"/>
    </row>
    <row r="812">
      <c r="A812" s="4" t="str">
        <f>IFERROR(__xludf.DUMMYFUNCTION("""COMPUTED_VALUE"""),"894 - Channel")</f>
        <v>894 - Channel</v>
      </c>
      <c r="B812" s="4" t="s">
        <v>220</v>
      </c>
      <c r="C812" s="6"/>
      <c r="D812" s="4"/>
      <c r="E812" s="56"/>
    </row>
    <row r="813">
      <c r="A813" s="4" t="str">
        <f>IFERROR(__xludf.DUMMYFUNCTION("""COMPUTED_VALUE"""),"895 - Channel")</f>
        <v>895 - Channel</v>
      </c>
      <c r="B813" s="4" t="s">
        <v>19</v>
      </c>
      <c r="C813" s="6">
        <v>0.4166666666666667</v>
      </c>
      <c r="D813" s="4" t="s">
        <v>67</v>
      </c>
      <c r="E813" s="56"/>
    </row>
    <row r="814">
      <c r="A814" s="4" t="str">
        <f>IFERROR(__xludf.DUMMYFUNCTION("""COMPUTED_VALUE"""),"896 - Channel")</f>
        <v>896 - Channel</v>
      </c>
      <c r="B814" s="4" t="s">
        <v>19</v>
      </c>
      <c r="C814" s="6">
        <v>0.41770833333333335</v>
      </c>
      <c r="D814" s="4" t="s">
        <v>81</v>
      </c>
      <c r="E814" s="56"/>
    </row>
    <row r="815">
      <c r="A815" s="4" t="str">
        <f>IFERROR(__xludf.DUMMYFUNCTION("""COMPUTED_VALUE"""),"897 - Channel")</f>
        <v>897 - Channel</v>
      </c>
      <c r="B815" s="4" t="s">
        <v>19</v>
      </c>
      <c r="C815" s="6">
        <v>0.41805555555555557</v>
      </c>
      <c r="D815" s="4" t="s">
        <v>1178</v>
      </c>
      <c r="E815" s="56"/>
    </row>
    <row r="816">
      <c r="A816" s="4" t="str">
        <f>IFERROR(__xludf.DUMMYFUNCTION("""COMPUTED_VALUE"""),"1015 - Channel")</f>
        <v>1015 - Channel</v>
      </c>
      <c r="B816" s="4" t="s">
        <v>19</v>
      </c>
      <c r="C816" s="6">
        <v>0.4279513888888889</v>
      </c>
      <c r="D816" s="4" t="s">
        <v>1184</v>
      </c>
      <c r="E816" s="56"/>
    </row>
    <row r="817">
      <c r="A817" s="4" t="str">
        <f>IFERROR(__xludf.DUMMYFUNCTION("""COMPUTED_VALUE"""),"899 - Channel")</f>
        <v>899 - Channel</v>
      </c>
      <c r="B817" s="4" t="s">
        <v>19</v>
      </c>
      <c r="C817" s="6">
        <v>0.42812500000000003</v>
      </c>
      <c r="D817" s="4" t="s">
        <v>81</v>
      </c>
      <c r="E817" s="56"/>
    </row>
    <row r="818">
      <c r="A818" s="4" t="str">
        <f>IFERROR(__xludf.DUMMYFUNCTION("""COMPUTED_VALUE"""),"900 - Channel")</f>
        <v>900 - Channel</v>
      </c>
      <c r="B818" s="4" t="s">
        <v>19</v>
      </c>
      <c r="C818" s="6">
        <v>0.42835648148148153</v>
      </c>
      <c r="D818" s="4" t="s">
        <v>1187</v>
      </c>
      <c r="E818" s="56"/>
    </row>
    <row r="819">
      <c r="A819" s="4" t="str">
        <f>IFERROR(__xludf.DUMMYFUNCTION("""COMPUTED_VALUE"""),"1558 - Channel")</f>
        <v>1558 - Channel</v>
      </c>
      <c r="B819" s="4" t="s">
        <v>19</v>
      </c>
      <c r="C819" s="6">
        <v>0.4422453703703704</v>
      </c>
      <c r="D819" s="4" t="s">
        <v>79</v>
      </c>
      <c r="E819" s="56"/>
    </row>
    <row r="820">
      <c r="A820" s="4" t="str">
        <f>IFERROR(__xludf.DUMMYFUNCTION("""COMPUTED_VALUE"""),"906 - Channel")</f>
        <v>906 - Channel</v>
      </c>
      <c r="B820" s="4" t="s">
        <v>19</v>
      </c>
      <c r="C820" s="6">
        <v>0.44293981481481487</v>
      </c>
      <c r="D820" s="4" t="s">
        <v>1190</v>
      </c>
      <c r="E820" s="56"/>
    </row>
    <row r="821">
      <c r="A821" s="4" t="str">
        <f>IFERROR(__xludf.DUMMYFUNCTION("""COMPUTED_VALUE"""),"902 - Channel")</f>
        <v>902 - Channel</v>
      </c>
      <c r="B821" s="4" t="s">
        <v>19</v>
      </c>
      <c r="C821" s="6">
        <v>0.4431018518518519</v>
      </c>
      <c r="D821" s="4" t="s">
        <v>1191</v>
      </c>
      <c r="E821" s="56"/>
    </row>
    <row r="822">
      <c r="A822" s="4" t="str">
        <f>IFERROR(__xludf.DUMMYFUNCTION("""COMPUTED_VALUE"""),"1108 - Channel")</f>
        <v>1108 - Channel</v>
      </c>
      <c r="B822" s="4" t="s">
        <v>19</v>
      </c>
      <c r="C822" s="6">
        <v>0.44344907407407413</v>
      </c>
      <c r="D822" s="4" t="s">
        <v>81</v>
      </c>
      <c r="E822" s="56"/>
    </row>
    <row r="823">
      <c r="A823" s="4" t="str">
        <f>IFERROR(__xludf.DUMMYFUNCTION("""COMPUTED_VALUE"""),"1109 - Channel")</f>
        <v>1109 - Channel</v>
      </c>
      <c r="B823" s="4" t="s">
        <v>19</v>
      </c>
      <c r="C823" s="6">
        <v>0.44368055555555563</v>
      </c>
      <c r="D823" s="4" t="s">
        <v>1195</v>
      </c>
      <c r="E823" s="56"/>
    </row>
    <row r="824">
      <c r="A824" s="4" t="str">
        <f>IFERROR(__xludf.DUMMYFUNCTION("""COMPUTED_VALUE"""),"1347 - Channel")</f>
        <v>1347 - Channel</v>
      </c>
      <c r="B824" s="4" t="s">
        <v>19</v>
      </c>
      <c r="C824" s="6"/>
      <c r="D824" s="4"/>
      <c r="E824" s="56"/>
    </row>
    <row r="825">
      <c r="A825" s="4" t="str">
        <f>IFERROR(__xludf.DUMMYFUNCTION("""COMPUTED_VALUE"""),"1723 - Channel")</f>
        <v>1723 - Channel</v>
      </c>
      <c r="B825" s="4" t="s">
        <v>19</v>
      </c>
      <c r="C825" s="6">
        <v>0.4583333333333333</v>
      </c>
      <c r="D825" s="4" t="s">
        <v>103</v>
      </c>
      <c r="E825" s="56"/>
    </row>
    <row r="826">
      <c r="A826" s="4" t="str">
        <f>IFERROR(__xludf.DUMMYFUNCTION("""COMPUTED_VALUE"""),"1721 - Channel")</f>
        <v>1721 - Channel</v>
      </c>
      <c r="B826" s="4" t="s">
        <v>19</v>
      </c>
      <c r="C826" s="6">
        <v>0.45902777777777776</v>
      </c>
      <c r="D826" s="4" t="s">
        <v>81</v>
      </c>
      <c r="E826" s="56"/>
    </row>
    <row r="827">
      <c r="A827" s="4" t="str">
        <f>IFERROR(__xludf.DUMMYFUNCTION("""COMPUTED_VALUE"""),"1262 - Channel")</f>
        <v>1262 - Channel</v>
      </c>
      <c r="B827" s="4" t="s">
        <v>19</v>
      </c>
      <c r="C827" s="6">
        <v>0.459375</v>
      </c>
      <c r="D827" s="4" t="s">
        <v>1201</v>
      </c>
      <c r="E827" s="81" t="s">
        <v>4451</v>
      </c>
    </row>
    <row r="828">
      <c r="A828" s="4" t="str">
        <f>IFERROR(__xludf.DUMMYFUNCTION("""COMPUTED_VALUE"""),"1722 - Channel")</f>
        <v>1722 - Channel</v>
      </c>
      <c r="B828" s="4" t="s">
        <v>19</v>
      </c>
      <c r="C828" s="6">
        <v>0.46618055555555554</v>
      </c>
      <c r="D828" s="4" t="s">
        <v>67</v>
      </c>
      <c r="E828" s="56"/>
    </row>
    <row r="829">
      <c r="A829" s="4" t="str">
        <f>IFERROR(__xludf.DUMMYFUNCTION("""COMPUTED_VALUE"""),"910 - Channel")</f>
        <v>910 - Channel</v>
      </c>
      <c r="B829" s="4" t="s">
        <v>19</v>
      </c>
      <c r="C829" s="6">
        <v>0.4672222222222222</v>
      </c>
      <c r="D829" s="4" t="s">
        <v>993</v>
      </c>
      <c r="E829" s="56"/>
    </row>
    <row r="830">
      <c r="A830" s="4" t="str">
        <f>IFERROR(__xludf.DUMMYFUNCTION("""COMPUTED_VALUE"""),"911 - Channel")</f>
        <v>911 - Channel</v>
      </c>
      <c r="B830" s="4" t="s">
        <v>19</v>
      </c>
      <c r="C830" s="6">
        <v>0.46739583333333334</v>
      </c>
      <c r="D830" s="4" t="s">
        <v>81</v>
      </c>
      <c r="E830" s="56"/>
    </row>
    <row r="831">
      <c r="A831" s="4" t="str">
        <f>IFERROR(__xludf.DUMMYFUNCTION("""COMPUTED_VALUE"""),"912 - Channel")</f>
        <v>912 - Channel</v>
      </c>
      <c r="B831" s="4" t="s">
        <v>19</v>
      </c>
      <c r="C831" s="6">
        <v>0.46762731481481484</v>
      </c>
      <c r="D831" s="4" t="s">
        <v>1208</v>
      </c>
      <c r="E831" s="56"/>
    </row>
    <row r="832">
      <c r="A832" s="4" t="str">
        <f>IFERROR(__xludf.DUMMYFUNCTION("""COMPUTED_VALUE"""),"1658 - Channel")</f>
        <v>1658 - Channel</v>
      </c>
      <c r="B832" s="4" t="s">
        <v>19</v>
      </c>
      <c r="C832" s="6">
        <v>0.48151620370370374</v>
      </c>
      <c r="D832" s="4" t="s">
        <v>89</v>
      </c>
      <c r="E832" s="56"/>
    </row>
    <row r="833">
      <c r="A833" s="4" t="str">
        <f>IFERROR(__xludf.DUMMYFUNCTION("""COMPUTED_VALUE"""),"916 - Channel")</f>
        <v>916 - Channel</v>
      </c>
      <c r="B833" s="4" t="s">
        <v>19</v>
      </c>
      <c r="C833" s="6">
        <v>0.48186342592592596</v>
      </c>
      <c r="D833" s="4" t="s">
        <v>81</v>
      </c>
      <c r="E833" s="56"/>
    </row>
    <row r="834">
      <c r="A834" s="4" t="str">
        <f>IFERROR(__xludf.DUMMYFUNCTION("""COMPUTED_VALUE"""),"917 - Channel")</f>
        <v>917 - Channel</v>
      </c>
      <c r="B834" s="4" t="s">
        <v>19</v>
      </c>
      <c r="C834" s="6">
        <v>0.48209490740740746</v>
      </c>
      <c r="D834" s="4" t="s">
        <v>1212</v>
      </c>
      <c r="E834" s="81" t="s">
        <v>2996</v>
      </c>
    </row>
    <row r="835">
      <c r="A835" s="4" t="str">
        <f>IFERROR(__xludf.DUMMYFUNCTION("""COMPUTED_VALUE"""),"919 - Channel")</f>
        <v>919 - Channel</v>
      </c>
      <c r="B835" s="4" t="s">
        <v>19</v>
      </c>
      <c r="C835" s="6">
        <v>0.49642361111111116</v>
      </c>
      <c r="D835" s="4" t="s">
        <v>1009</v>
      </c>
      <c r="E835" s="56"/>
    </row>
    <row r="836">
      <c r="A836" s="4" t="str">
        <f>IFERROR(__xludf.DUMMYFUNCTION("""COMPUTED_VALUE"""),"952 - Channel")</f>
        <v>952 - Channel</v>
      </c>
      <c r="B836" s="4" t="s">
        <v>19</v>
      </c>
      <c r="C836" s="6">
        <v>0.4967708333333334</v>
      </c>
      <c r="D836" s="4" t="s">
        <v>1141</v>
      </c>
      <c r="E836" s="56"/>
    </row>
    <row r="837">
      <c r="A837" s="4" t="str">
        <f>IFERROR(__xludf.DUMMYFUNCTION("""COMPUTED_VALUE"""),"1348 - Channel")</f>
        <v>1348 - Channel</v>
      </c>
      <c r="B837" s="4" t="s">
        <v>19</v>
      </c>
      <c r="C837" s="6"/>
      <c r="D837" s="4"/>
      <c r="E837" s="56"/>
    </row>
    <row r="838">
      <c r="A838" s="4" t="str">
        <f>IFERROR(__xludf.DUMMYFUNCTION("""COMPUTED_VALUE"""),"920 - Channel")</f>
        <v>920 - Channel</v>
      </c>
      <c r="B838" s="4" t="s">
        <v>19</v>
      </c>
      <c r="C838" s="6">
        <v>0.5</v>
      </c>
      <c r="D838" s="4" t="s">
        <v>81</v>
      </c>
      <c r="E838" s="56"/>
    </row>
    <row r="839">
      <c r="A839" s="4" t="str">
        <f>IFERROR(__xludf.DUMMYFUNCTION("""COMPUTED_VALUE"""),"921 - Channel")</f>
        <v>921 - Channel</v>
      </c>
      <c r="B839" s="4" t="s">
        <v>19</v>
      </c>
      <c r="C839" s="6">
        <v>0.5003472222222223</v>
      </c>
      <c r="D839" s="4" t="s">
        <v>1218</v>
      </c>
      <c r="E839" s="81" t="s">
        <v>3002</v>
      </c>
    </row>
    <row r="840">
      <c r="A840" s="4" t="str">
        <f>IFERROR(__xludf.DUMMYFUNCTION("""COMPUTED_VALUE"""),"925 - Channel")</f>
        <v>925 - Channel</v>
      </c>
      <c r="B840" s="4" t="s">
        <v>19</v>
      </c>
      <c r="C840" s="6">
        <v>0.5100347222222222</v>
      </c>
      <c r="D840" s="4" t="s">
        <v>81</v>
      </c>
      <c r="E840" s="56"/>
    </row>
    <row r="841">
      <c r="A841" s="4" t="str">
        <f>IFERROR(__xludf.DUMMYFUNCTION("""COMPUTED_VALUE"""),"926 - Channel")</f>
        <v>926 - Channel</v>
      </c>
      <c r="B841" s="4" t="s">
        <v>19</v>
      </c>
      <c r="C841" s="6">
        <v>0.5102662037037037</v>
      </c>
      <c r="D841" s="4" t="s">
        <v>1222</v>
      </c>
      <c r="E841" s="81" t="s">
        <v>3010</v>
      </c>
    </row>
    <row r="842">
      <c r="A842" s="4" t="str">
        <f>IFERROR(__xludf.DUMMYFUNCTION("""COMPUTED_VALUE"""),"1582 - Channel")</f>
        <v>1582 - Channel</v>
      </c>
      <c r="B842" s="4" t="s">
        <v>19</v>
      </c>
      <c r="C842" s="6">
        <v>0.5234953703703703</v>
      </c>
      <c r="D842" s="4" t="s">
        <v>81</v>
      </c>
      <c r="E842" s="56"/>
    </row>
    <row r="843">
      <c r="A843" s="4" t="str">
        <f>IFERROR(__xludf.DUMMYFUNCTION("""COMPUTED_VALUE"""),"1583 - Channel")</f>
        <v>1583 - Channel</v>
      </c>
      <c r="B843" s="4" t="s">
        <v>19</v>
      </c>
      <c r="C843" s="6">
        <v>0.5237268518518517</v>
      </c>
      <c r="D843" s="4" t="s">
        <v>1226</v>
      </c>
      <c r="E843" s="56"/>
    </row>
    <row r="844">
      <c r="A844" s="4" t="str">
        <f>IFERROR(__xludf.DUMMYFUNCTION("""COMPUTED_VALUE"""),"956 - Channel")</f>
        <v>956 - Channel</v>
      </c>
      <c r="B844" s="4" t="s">
        <v>19</v>
      </c>
      <c r="C844" s="6">
        <v>0.5341435185185184</v>
      </c>
      <c r="D844" s="4" t="s">
        <v>81</v>
      </c>
      <c r="E844" s="56"/>
    </row>
    <row r="845">
      <c r="A845" s="4" t="str">
        <f>IFERROR(__xludf.DUMMYFUNCTION("""COMPUTED_VALUE"""),"957 - Channel")</f>
        <v>957 - Channel</v>
      </c>
      <c r="B845" s="4" t="s">
        <v>19</v>
      </c>
      <c r="C845" s="6">
        <v>0.5343749999999998</v>
      </c>
      <c r="D845" s="4" t="s">
        <v>1229</v>
      </c>
      <c r="E845" s="81" t="s">
        <v>3059</v>
      </c>
    </row>
    <row r="846">
      <c r="A846" s="4" t="str">
        <f>IFERROR(__xludf.DUMMYFUNCTION("""COMPUTED_VALUE"""),"1349 - Channel")</f>
        <v>1349 - Channel</v>
      </c>
      <c r="B846" s="4" t="s">
        <v>19</v>
      </c>
      <c r="C846" s="6"/>
      <c r="D846" s="4"/>
      <c r="E846" s="56"/>
    </row>
    <row r="847">
      <c r="A847" s="4" t="str">
        <f>IFERROR(__xludf.DUMMYFUNCTION("""COMPUTED_VALUE"""),"928 - Channel")</f>
        <v>928 - Channel</v>
      </c>
      <c r="B847" s="4" t="s">
        <v>19</v>
      </c>
      <c r="C847" s="6">
        <v>0.5416666666666666</v>
      </c>
      <c r="D847" s="4" t="s">
        <v>81</v>
      </c>
      <c r="E847" s="56"/>
    </row>
    <row r="848">
      <c r="A848" s="4" t="str">
        <f>IFERROR(__xludf.DUMMYFUNCTION("""COMPUTED_VALUE"""),"929 - Channel")</f>
        <v>929 - Channel</v>
      </c>
      <c r="B848" s="4" t="s">
        <v>19</v>
      </c>
      <c r="C848" s="6">
        <v>0.5420138888888889</v>
      </c>
      <c r="D848" s="4" t="s">
        <v>1232</v>
      </c>
      <c r="E848" s="81" t="s">
        <v>3016</v>
      </c>
    </row>
    <row r="849">
      <c r="A849" s="4" t="str">
        <f>IFERROR(__xludf.DUMMYFUNCTION("""COMPUTED_VALUE"""),"1638 - Channel")</f>
        <v>1638 - Channel</v>
      </c>
      <c r="B849" s="4" t="s">
        <v>19</v>
      </c>
      <c r="C849" s="6">
        <v>0.549675925925926</v>
      </c>
      <c r="D849" s="4" t="s">
        <v>81</v>
      </c>
      <c r="E849" s="56"/>
    </row>
    <row r="850">
      <c r="A850" s="4" t="str">
        <f>IFERROR(__xludf.DUMMYFUNCTION("""COMPUTED_VALUE"""),"1639 - Channel")</f>
        <v>1639 - Channel</v>
      </c>
      <c r="B850" s="4" t="s">
        <v>19</v>
      </c>
      <c r="C850" s="6">
        <v>0.5499074074074074</v>
      </c>
      <c r="D850" s="4" t="s">
        <v>1235</v>
      </c>
      <c r="E850" s="81" t="s">
        <v>4782</v>
      </c>
    </row>
    <row r="851">
      <c r="A851" s="4" t="str">
        <f>IFERROR(__xludf.DUMMYFUNCTION("""COMPUTED_VALUE"""),"1676 - Channel")</f>
        <v>1676 - Channel</v>
      </c>
      <c r="B851" s="4" t="s">
        <v>19</v>
      </c>
      <c r="C851" s="6">
        <v>0.5520486111111111</v>
      </c>
      <c r="D851" s="4" t="s">
        <v>87</v>
      </c>
      <c r="E851" s="56"/>
    </row>
    <row r="852">
      <c r="A852" s="4" t="str">
        <f>IFERROR(__xludf.DUMMYFUNCTION("""COMPUTED_VALUE"""),"942 - Channel")</f>
        <v>942 - Channel</v>
      </c>
      <c r="B852" s="4" t="s">
        <v>19</v>
      </c>
      <c r="C852" s="6">
        <v>0.5523958333333334</v>
      </c>
      <c r="D852" s="4" t="s">
        <v>81</v>
      </c>
      <c r="E852" s="56"/>
    </row>
    <row r="853">
      <c r="A853" s="4" t="str">
        <f>IFERROR(__xludf.DUMMYFUNCTION("""COMPUTED_VALUE"""),"943 - Channel")</f>
        <v>943 - Channel</v>
      </c>
      <c r="B853" s="4" t="s">
        <v>19</v>
      </c>
      <c r="C853" s="6">
        <v>0.5526273148148149</v>
      </c>
      <c r="D853" s="4" t="s">
        <v>1240</v>
      </c>
      <c r="E853" s="81" t="s">
        <v>3037</v>
      </c>
    </row>
    <row r="854">
      <c r="A854" s="4" t="str">
        <f>IFERROR(__xludf.DUMMYFUNCTION("""COMPUTED_VALUE"""),"935 - Channel")</f>
        <v>935 - Channel</v>
      </c>
      <c r="B854" s="4" t="s">
        <v>19</v>
      </c>
      <c r="C854" s="6">
        <v>0.5664930555555556</v>
      </c>
      <c r="D854" s="4" t="s">
        <v>81</v>
      </c>
      <c r="E854" s="56"/>
    </row>
    <row r="855">
      <c r="A855" s="4" t="str">
        <f>IFERROR(__xludf.DUMMYFUNCTION("""COMPUTED_VALUE"""),"936 - Channel")</f>
        <v>936 - Channel</v>
      </c>
      <c r="B855" s="4" t="s">
        <v>19</v>
      </c>
      <c r="C855" s="6">
        <v>0.5667245370370371</v>
      </c>
      <c r="D855" s="4" t="s">
        <v>1243</v>
      </c>
      <c r="E855" s="81" t="s">
        <v>3028</v>
      </c>
    </row>
    <row r="856">
      <c r="A856" s="4" t="str">
        <f>IFERROR(__xludf.DUMMYFUNCTION("""COMPUTED_VALUE"""),"949 - Channel")</f>
        <v>949 - Channel</v>
      </c>
      <c r="B856" s="4" t="s">
        <v>19</v>
      </c>
      <c r="C856" s="6">
        <v>0.575763888888889</v>
      </c>
      <c r="D856" s="4" t="s">
        <v>81</v>
      </c>
      <c r="E856" s="56"/>
    </row>
    <row r="857">
      <c r="A857" s="4" t="str">
        <f>IFERROR(__xludf.DUMMYFUNCTION("""COMPUTED_VALUE"""),"950 - Channel")</f>
        <v>950 - Channel</v>
      </c>
      <c r="B857" s="4" t="s">
        <v>19</v>
      </c>
      <c r="C857" s="6">
        <v>0.5759953703703704</v>
      </c>
      <c r="D857" s="4" t="s">
        <v>1248</v>
      </c>
      <c r="E857" s="81" t="s">
        <v>3046</v>
      </c>
    </row>
    <row r="858">
      <c r="A858" s="4" t="str">
        <f>IFERROR(__xludf.DUMMYFUNCTION("""COMPUTED_VALUE"""),"962 - Channel")</f>
        <v>962 - Channel</v>
      </c>
      <c r="B858" s="4" t="s">
        <v>19</v>
      </c>
      <c r="C858" s="6">
        <v>0.5829282407407408</v>
      </c>
      <c r="D858" s="4" t="s">
        <v>1141</v>
      </c>
      <c r="E858" s="56"/>
    </row>
    <row r="859">
      <c r="A859" s="4" t="str">
        <f>IFERROR(__xludf.DUMMYFUNCTION("""COMPUTED_VALUE"""),"1350 - Channel")</f>
        <v>1350 - Channel</v>
      </c>
      <c r="B859" s="4" t="s">
        <v>19</v>
      </c>
      <c r="C859" s="6"/>
      <c r="D859" s="4"/>
      <c r="E859" s="56"/>
    </row>
    <row r="860">
      <c r="A860" s="4" t="str">
        <f>IFERROR(__xludf.DUMMYFUNCTION("""COMPUTED_VALUE"""),"953 - Channel")</f>
        <v>953 - Channel</v>
      </c>
      <c r="B860" s="4" t="s">
        <v>19</v>
      </c>
      <c r="C860" s="6">
        <v>0.5833333333333334</v>
      </c>
      <c r="D860" s="4" t="s">
        <v>81</v>
      </c>
      <c r="E860" s="56"/>
    </row>
    <row r="861">
      <c r="A861" s="4" t="str">
        <f>IFERROR(__xludf.DUMMYFUNCTION("""COMPUTED_VALUE"""),"954 - Channel")</f>
        <v>954 - Channel</v>
      </c>
      <c r="B861" s="4" t="s">
        <v>19</v>
      </c>
      <c r="C861" s="6">
        <v>0.5836805555555556</v>
      </c>
      <c r="D861" s="4" t="s">
        <v>1255</v>
      </c>
      <c r="E861" s="81" t="s">
        <v>3053</v>
      </c>
    </row>
    <row r="862">
      <c r="A862" s="4" t="str">
        <f>IFERROR(__xludf.DUMMYFUNCTION("""COMPUTED_VALUE"""),"931 - Channel")</f>
        <v>931 - Channel</v>
      </c>
      <c r="B862" s="4" t="s">
        <v>19</v>
      </c>
      <c r="C862" s="6">
        <v>0.5923495370370371</v>
      </c>
      <c r="D862" s="4" t="s">
        <v>81</v>
      </c>
      <c r="E862" s="56"/>
    </row>
    <row r="863">
      <c r="A863" s="4" t="str">
        <f>IFERROR(__xludf.DUMMYFUNCTION("""COMPUTED_VALUE"""),"932 - Channel")</f>
        <v>932 - Channel</v>
      </c>
      <c r="B863" s="4" t="s">
        <v>19</v>
      </c>
      <c r="C863" s="6">
        <v>0.5925810185185185</v>
      </c>
      <c r="D863" s="4" t="s">
        <v>1257</v>
      </c>
      <c r="E863" s="81" t="s">
        <v>3021</v>
      </c>
    </row>
    <row r="864">
      <c r="A864" s="4" t="str">
        <f>IFERROR(__xludf.DUMMYFUNCTION("""COMPUTED_VALUE"""),"959 - Channel")</f>
        <v>959 - Channel</v>
      </c>
      <c r="B864" s="4" t="s">
        <v>19</v>
      </c>
      <c r="C864" s="6">
        <v>0.6018171296296296</v>
      </c>
      <c r="D864" s="4" t="s">
        <v>81</v>
      </c>
      <c r="E864" s="56"/>
    </row>
    <row r="865">
      <c r="A865" s="4" t="str">
        <f>IFERROR(__xludf.DUMMYFUNCTION("""COMPUTED_VALUE"""),"960 - Channel")</f>
        <v>960 - Channel</v>
      </c>
      <c r="B865" s="4" t="s">
        <v>19</v>
      </c>
      <c r="C865" s="6">
        <v>0.6020486111111111</v>
      </c>
      <c r="D865" s="4" t="s">
        <v>1262</v>
      </c>
      <c r="E865" s="81" t="s">
        <v>3066</v>
      </c>
    </row>
    <row r="866">
      <c r="A866" s="4" t="str">
        <f>IFERROR(__xludf.DUMMYFUNCTION("""COMPUTED_VALUE"""),"963 - Channel")</f>
        <v>963 - Channel</v>
      </c>
      <c r="B866" s="4" t="s">
        <v>19</v>
      </c>
      <c r="C866" s="6">
        <v>0.6103124999999999</v>
      </c>
      <c r="D866" s="4" t="s">
        <v>81</v>
      </c>
      <c r="E866" s="56"/>
    </row>
    <row r="867">
      <c r="A867" s="4" t="str">
        <f>IFERROR(__xludf.DUMMYFUNCTION("""COMPUTED_VALUE"""),"964 - Channel")</f>
        <v>964 - Channel</v>
      </c>
      <c r="B867" s="4" t="s">
        <v>19</v>
      </c>
      <c r="C867" s="6">
        <v>0.6105439814814814</v>
      </c>
      <c r="D867" s="4" t="s">
        <v>1266</v>
      </c>
      <c r="E867" s="81" t="s">
        <v>3078</v>
      </c>
    </row>
    <row r="868">
      <c r="A868" s="4" t="str">
        <f>IFERROR(__xludf.DUMMYFUNCTION("""COMPUTED_VALUE"""),"966 - Channel")</f>
        <v>966 - Channel</v>
      </c>
      <c r="B868" s="4" t="s">
        <v>19</v>
      </c>
      <c r="C868" s="6">
        <v>0.6175694444444443</v>
      </c>
      <c r="D868" s="4" t="s">
        <v>81</v>
      </c>
      <c r="E868" s="56"/>
    </row>
    <row r="869">
      <c r="A869" s="4" t="str">
        <f>IFERROR(__xludf.DUMMYFUNCTION("""COMPUTED_VALUE"""),"967 - Channel")</f>
        <v>967 - Channel</v>
      </c>
      <c r="B869" s="4" t="s">
        <v>19</v>
      </c>
      <c r="C869" s="6">
        <v>0.6178009259259257</v>
      </c>
      <c r="D869" s="4" t="s">
        <v>1272</v>
      </c>
      <c r="E869" s="81" t="s">
        <v>3093</v>
      </c>
    </row>
    <row r="870">
      <c r="A870" s="4" t="str">
        <f>IFERROR(__xludf.DUMMYFUNCTION("""COMPUTED_VALUE"""),"1351 - Channel")</f>
        <v>1351 - Channel</v>
      </c>
      <c r="B870" s="4" t="s">
        <v>19</v>
      </c>
      <c r="C870" s="6"/>
      <c r="D870" s="4"/>
      <c r="E870" s="56"/>
    </row>
    <row r="871">
      <c r="A871" s="4" t="str">
        <f>IFERROR(__xludf.DUMMYFUNCTION("""COMPUTED_VALUE"""),"986 - Channel")</f>
        <v>986 - Channel</v>
      </c>
      <c r="B871" s="4" t="s">
        <v>19</v>
      </c>
      <c r="C871" s="6">
        <v>0.625</v>
      </c>
      <c r="D871" s="4" t="s">
        <v>81</v>
      </c>
      <c r="E871" s="56"/>
    </row>
    <row r="872">
      <c r="A872" s="4" t="str">
        <f>IFERROR(__xludf.DUMMYFUNCTION("""COMPUTED_VALUE"""),"987 - Channel")</f>
        <v>987 - Channel</v>
      </c>
      <c r="B872" s="4" t="s">
        <v>19</v>
      </c>
      <c r="C872" s="6">
        <v>0.6253472222222223</v>
      </c>
      <c r="D872" s="4" t="s">
        <v>1276</v>
      </c>
      <c r="E872" s="81" t="s">
        <v>3192</v>
      </c>
    </row>
    <row r="873">
      <c r="A873" s="4" t="str">
        <f>IFERROR(__xludf.DUMMYFUNCTION("""COMPUTED_VALUE"""),"973 - Channel")</f>
        <v>973 - Channel</v>
      </c>
      <c r="B873" s="4" t="s">
        <v>19</v>
      </c>
      <c r="C873" s="6">
        <v>0.6361805555555556</v>
      </c>
      <c r="D873" s="4" t="s">
        <v>81</v>
      </c>
      <c r="E873" s="56"/>
    </row>
    <row r="874">
      <c r="A874" s="4" t="str">
        <f>IFERROR(__xludf.DUMMYFUNCTION("""COMPUTED_VALUE"""),"974 - Channel")</f>
        <v>974 - Channel</v>
      </c>
      <c r="B874" s="4" t="s">
        <v>19</v>
      </c>
      <c r="C874" s="6">
        <v>0.6364120370370371</v>
      </c>
      <c r="D874" s="4" t="s">
        <v>1280</v>
      </c>
      <c r="E874" s="56"/>
    </row>
    <row r="875">
      <c r="A875" s="4" t="str">
        <f>IFERROR(__xludf.DUMMYFUNCTION("""COMPUTED_VALUE"""),"978 - Channel")</f>
        <v>978 - Channel</v>
      </c>
      <c r="B875" s="4" t="s">
        <v>19</v>
      </c>
      <c r="C875" s="6">
        <v>0.6503009259259259</v>
      </c>
      <c r="D875" s="4" t="s">
        <v>81</v>
      </c>
      <c r="E875" s="56"/>
    </row>
    <row r="876">
      <c r="A876" s="4" t="str">
        <f>IFERROR(__xludf.DUMMYFUNCTION("""COMPUTED_VALUE"""),"979 - Channel")</f>
        <v>979 - Channel</v>
      </c>
      <c r="B876" s="4" t="s">
        <v>19</v>
      </c>
      <c r="C876" s="6">
        <v>0.6505324074074074</v>
      </c>
      <c r="D876" s="4" t="s">
        <v>1283</v>
      </c>
      <c r="E876" s="81" t="s">
        <v>3131</v>
      </c>
    </row>
    <row r="877">
      <c r="A877" s="4" t="str">
        <f>IFERROR(__xludf.DUMMYFUNCTION("""COMPUTED_VALUE"""),"1675 - Channel")</f>
        <v>1675 - Channel</v>
      </c>
      <c r="B877" s="4" t="s">
        <v>19</v>
      </c>
      <c r="C877" s="6">
        <v>0.6609722222222222</v>
      </c>
      <c r="D877" s="4" t="s">
        <v>67</v>
      </c>
      <c r="E877" s="56"/>
    </row>
    <row r="878">
      <c r="A878" s="4" t="str">
        <f>IFERROR(__xludf.DUMMYFUNCTION("""COMPUTED_VALUE"""),"990 - Channel")</f>
        <v>990 - Channel</v>
      </c>
      <c r="B878" s="4" t="s">
        <v>19</v>
      </c>
      <c r="C878" s="6">
        <v>0.6620138888888889</v>
      </c>
      <c r="D878" s="4" t="s">
        <v>81</v>
      </c>
      <c r="E878" s="56"/>
    </row>
    <row r="879">
      <c r="A879" s="4" t="str">
        <f>IFERROR(__xludf.DUMMYFUNCTION("""COMPUTED_VALUE"""),"991 - Channel")</f>
        <v>991 - Channel</v>
      </c>
      <c r="B879" s="4" t="s">
        <v>19</v>
      </c>
      <c r="C879" s="6">
        <v>0.6622453703703703</v>
      </c>
      <c r="D879" s="4" t="s">
        <v>1289</v>
      </c>
      <c r="E879" s="81" t="s">
        <v>3214</v>
      </c>
    </row>
    <row r="880">
      <c r="A880" s="4" t="str">
        <f>IFERROR(__xludf.DUMMYFUNCTION("""COMPUTED_VALUE"""),"981 - Channel")</f>
        <v>981 - Channel</v>
      </c>
      <c r="B880" s="4" t="s">
        <v>19</v>
      </c>
      <c r="C880" s="6">
        <v>0.6645254629629629</v>
      </c>
      <c r="D880" s="4" t="s">
        <v>81</v>
      </c>
      <c r="E880" s="56"/>
    </row>
    <row r="881">
      <c r="A881" s="4" t="str">
        <f>IFERROR(__xludf.DUMMYFUNCTION("""COMPUTED_VALUE"""),"982 - Channel")</f>
        <v>982 - Channel</v>
      </c>
      <c r="B881" s="4" t="s">
        <v>19</v>
      </c>
      <c r="C881" s="6">
        <v>0.6647569444444443</v>
      </c>
      <c r="D881" s="4" t="s">
        <v>1294</v>
      </c>
      <c r="E881" s="81" t="s">
        <v>3148</v>
      </c>
    </row>
    <row r="882">
      <c r="A882" s="4" t="str">
        <f>IFERROR(__xludf.DUMMYFUNCTION("""COMPUTED_VALUE"""),"1580 - Channel")</f>
        <v>1580 - Channel</v>
      </c>
      <c r="B882" s="4" t="s">
        <v>19</v>
      </c>
      <c r="C882" s="6"/>
      <c r="D882" s="4"/>
      <c r="E882" s="56"/>
    </row>
    <row r="883">
      <c r="A883" s="4" t="str">
        <f>IFERROR(__xludf.DUMMYFUNCTION("""COMPUTED_VALUE"""),"1562 - Channel")</f>
        <v>1562 - Channel</v>
      </c>
      <c r="B883" s="4" t="s">
        <v>19</v>
      </c>
      <c r="C883" s="6">
        <v>0.6666666666666666</v>
      </c>
      <c r="D883" s="4" t="s">
        <v>1127</v>
      </c>
      <c r="E883" s="56"/>
    </row>
    <row r="884">
      <c r="A884" s="4" t="str">
        <f>IFERROR(__xludf.DUMMYFUNCTION("""COMPUTED_VALUE"""),"1264 - Channel")</f>
        <v>1264 - Channel</v>
      </c>
      <c r="B884" s="4" t="s">
        <v>19</v>
      </c>
      <c r="C884" s="6">
        <v>0.6670138888888889</v>
      </c>
      <c r="D884" s="4" t="s">
        <v>1298</v>
      </c>
      <c r="E884" s="81" t="s">
        <v>4459</v>
      </c>
    </row>
    <row r="885">
      <c r="A885" s="4" t="str">
        <f>IFERROR(__xludf.DUMMYFUNCTION("""COMPUTED_VALUE"""),"994 - Channel")</f>
        <v>994 - Channel</v>
      </c>
      <c r="B885" s="4" t="s">
        <v>19</v>
      </c>
      <c r="C885" s="6">
        <v>0.6774305555555555</v>
      </c>
      <c r="D885" s="4" t="s">
        <v>81</v>
      </c>
      <c r="E885" s="56"/>
    </row>
    <row r="886">
      <c r="A886" s="4" t="str">
        <f>IFERROR(__xludf.DUMMYFUNCTION("""COMPUTED_VALUE"""),"995 - Channel")</f>
        <v>995 - Channel</v>
      </c>
      <c r="B886" s="4" t="s">
        <v>19</v>
      </c>
      <c r="C886" s="6">
        <v>0.677662037037037</v>
      </c>
      <c r="D886" s="4" t="s">
        <v>1302</v>
      </c>
      <c r="E886" s="81" t="s">
        <v>3237</v>
      </c>
    </row>
    <row r="887">
      <c r="A887" s="4" t="str">
        <f>IFERROR(__xludf.DUMMYFUNCTION("""COMPUTED_VALUE"""),"1373 - Channel")</f>
        <v>1373 - Channel</v>
      </c>
      <c r="B887" s="4" t="s">
        <v>19</v>
      </c>
      <c r="C887" s="6">
        <v>0.6917129629629629</v>
      </c>
      <c r="D887" s="4" t="s">
        <v>81</v>
      </c>
      <c r="E887" s="56"/>
    </row>
    <row r="888">
      <c r="A888" s="4" t="str">
        <f>IFERROR(__xludf.DUMMYFUNCTION("""COMPUTED_VALUE"""),"250 - Channel")</f>
        <v>250 - Channel</v>
      </c>
      <c r="B888" s="4" t="s">
        <v>19</v>
      </c>
      <c r="C888" s="6">
        <v>0.6919444444444444</v>
      </c>
      <c r="D888" s="4" t="s">
        <v>1306</v>
      </c>
      <c r="E888" s="81" t="s">
        <v>1557</v>
      </c>
    </row>
    <row r="889">
      <c r="A889" s="4" t="str">
        <f>IFERROR(__xludf.DUMMYFUNCTION("""COMPUTED_VALUE"""),"1659 - Channel")</f>
        <v>1659 - Channel</v>
      </c>
      <c r="B889" s="4" t="s">
        <v>19</v>
      </c>
      <c r="C889" s="6">
        <v>0.7006249999999999</v>
      </c>
      <c r="D889" s="4" t="s">
        <v>1098</v>
      </c>
      <c r="E889" s="56"/>
    </row>
    <row r="890">
      <c r="A890" s="4" t="str">
        <f>IFERROR(__xludf.DUMMYFUNCTION("""COMPUTED_VALUE"""),"1000 - Channel")</f>
        <v>1000 - Channel</v>
      </c>
      <c r="B890" s="4" t="s">
        <v>19</v>
      </c>
      <c r="C890" s="6">
        <v>0.7007986111111111</v>
      </c>
      <c r="D890" s="4" t="s">
        <v>81</v>
      </c>
      <c r="E890" s="56"/>
    </row>
    <row r="891">
      <c r="A891" s="4" t="str">
        <f>IFERROR(__xludf.DUMMYFUNCTION("""COMPUTED_VALUE"""),"1001 - Channel")</f>
        <v>1001 - Channel</v>
      </c>
      <c r="B891" s="4" t="s">
        <v>19</v>
      </c>
      <c r="C891" s="6">
        <v>0.7010300925925925</v>
      </c>
      <c r="D891" s="4" t="s">
        <v>1311</v>
      </c>
      <c r="E891" s="81" t="s">
        <v>3283</v>
      </c>
    </row>
    <row r="892">
      <c r="A892" s="4" t="str">
        <f>IFERROR(__xludf.DUMMYFUNCTION("""COMPUTED_VALUE"""),"1003 - Channel")</f>
        <v>1003 - Channel</v>
      </c>
      <c r="B892" s="4" t="s">
        <v>19</v>
      </c>
      <c r="C892" s="6">
        <v>0.7079166666666666</v>
      </c>
      <c r="D892" s="4" t="s">
        <v>1171</v>
      </c>
      <c r="E892" s="56"/>
    </row>
    <row r="893">
      <c r="A893" s="4" t="str">
        <f>IFERROR(__xludf.DUMMYFUNCTION("""COMPUTED_VALUE"""),"1575 - Channel")</f>
        <v>1575 - Channel</v>
      </c>
      <c r="B893" s="4" t="s">
        <v>19</v>
      </c>
      <c r="C893" s="6"/>
      <c r="D893" s="4"/>
      <c r="E893" s="56"/>
    </row>
    <row r="894">
      <c r="A894" s="4" t="str">
        <f>IFERROR(__xludf.DUMMYFUNCTION("""COMPUTED_VALUE"""),"1004 - Channel")</f>
        <v>1004 - Channel</v>
      </c>
      <c r="B894" s="4" t="s">
        <v>344</v>
      </c>
      <c r="C894" s="6"/>
      <c r="D894" s="4"/>
      <c r="E894" s="56"/>
    </row>
    <row r="895">
      <c r="A895" s="4" t="str">
        <f>IFERROR(__xludf.DUMMYFUNCTION("""COMPUTED_VALUE"""),"1559 - Channel")</f>
        <v>1559 - Channel</v>
      </c>
      <c r="B895" s="4" t="s">
        <v>19</v>
      </c>
      <c r="C895" s="6">
        <v>0.4166666666666667</v>
      </c>
      <c r="D895" s="4" t="s">
        <v>67</v>
      </c>
      <c r="E895" s="56"/>
    </row>
    <row r="896">
      <c r="A896" s="4" t="str">
        <f>IFERROR(__xludf.DUMMYFUNCTION("""COMPUTED_VALUE"""),"1011 - Channel")</f>
        <v>1011 - Channel</v>
      </c>
      <c r="B896" s="4" t="s">
        <v>19</v>
      </c>
      <c r="C896" s="6">
        <v>0.41770833333333335</v>
      </c>
      <c r="D896" s="4" t="s">
        <v>1316</v>
      </c>
      <c r="E896" s="56"/>
    </row>
    <row r="897">
      <c r="A897" s="4" t="str">
        <f>IFERROR(__xludf.DUMMYFUNCTION("""COMPUTED_VALUE"""),"1005 - Channel")</f>
        <v>1005 - Channel</v>
      </c>
      <c r="B897" s="4" t="s">
        <v>19</v>
      </c>
      <c r="C897" s="6">
        <v>0.4178819444444445</v>
      </c>
      <c r="D897" s="4" t="s">
        <v>81</v>
      </c>
      <c r="E897" s="56"/>
    </row>
    <row r="898">
      <c r="A898" s="4" t="str">
        <f>IFERROR(__xludf.DUMMYFUNCTION("""COMPUTED_VALUE"""),"1006 - Channel")</f>
        <v>1006 - Channel</v>
      </c>
      <c r="B898" s="4" t="s">
        <v>19</v>
      </c>
      <c r="C898" s="6">
        <v>0.4182291666666667</v>
      </c>
      <c r="D898" s="4" t="s">
        <v>1319</v>
      </c>
      <c r="E898" s="81" t="s">
        <v>3313</v>
      </c>
    </row>
    <row r="899">
      <c r="A899" s="4" t="str">
        <f>IFERROR(__xludf.DUMMYFUNCTION("""COMPUTED_VALUE"""),"1008 - Channel")</f>
        <v>1008 - Channel</v>
      </c>
      <c r="B899" s="4" t="s">
        <v>19</v>
      </c>
      <c r="C899" s="6">
        <v>0.4233333333333334</v>
      </c>
      <c r="D899" s="4" t="s">
        <v>81</v>
      </c>
      <c r="E899" s="56"/>
    </row>
    <row r="900">
      <c r="A900" s="4" t="str">
        <f>IFERROR(__xludf.DUMMYFUNCTION("""COMPUTED_VALUE"""),"1007 - Channel ")</f>
        <v>1007 - Channel </v>
      </c>
      <c r="B900" s="4" t="s">
        <v>607</v>
      </c>
      <c r="C900" s="6" t="s">
        <v>607</v>
      </c>
      <c r="D900" s="4" t="s">
        <v>607</v>
      </c>
      <c r="E900" s="56" t="s">
        <v>607</v>
      </c>
    </row>
    <row r="901">
      <c r="A901" s="4" t="str">
        <f>IFERROR(__xludf.DUMMYFUNCTION("""COMPUTED_VALUE"""),"1009 - Channel")</f>
        <v>1009 - Channel</v>
      </c>
      <c r="B901" s="4" t="s">
        <v>19</v>
      </c>
      <c r="C901" s="6">
        <v>0.42373842592592603</v>
      </c>
      <c r="D901" s="4" t="s">
        <v>1322</v>
      </c>
      <c r="E901" s="56"/>
    </row>
    <row r="902">
      <c r="A902" s="4" t="str">
        <f>IFERROR(__xludf.DUMMYFUNCTION("""COMPUTED_VALUE"""),"1010 - Channel")</f>
        <v>1010 - Channel</v>
      </c>
      <c r="B902" s="4" t="s">
        <v>19</v>
      </c>
      <c r="C902" s="6">
        <v>0.43222222222222234</v>
      </c>
      <c r="D902" s="4" t="s">
        <v>1327</v>
      </c>
      <c r="E902" s="56"/>
    </row>
    <row r="903">
      <c r="A903" s="4" t="str">
        <f>IFERROR(__xludf.DUMMYFUNCTION("""COMPUTED_VALUE"""),"1012 - Channel")</f>
        <v>1012 - Channel</v>
      </c>
      <c r="B903" s="4" t="s">
        <v>19</v>
      </c>
      <c r="C903" s="6">
        <v>0.4323958333333335</v>
      </c>
      <c r="D903" s="4" t="s">
        <v>81</v>
      </c>
      <c r="E903" s="56"/>
    </row>
    <row r="904">
      <c r="A904" s="4" t="str">
        <f>IFERROR(__xludf.DUMMYFUNCTION("""COMPUTED_VALUE"""),"1013 - Channel")</f>
        <v>1013 - Channel</v>
      </c>
      <c r="B904" s="4" t="s">
        <v>19</v>
      </c>
      <c r="C904" s="6">
        <v>0.432627314814815</v>
      </c>
      <c r="D904" s="4" t="s">
        <v>1329</v>
      </c>
      <c r="E904" s="81" t="s">
        <v>3358</v>
      </c>
    </row>
    <row r="905">
      <c r="A905" s="4" t="str">
        <f>IFERROR(__xludf.DUMMYFUNCTION("""COMPUTED_VALUE"""),"1014 - Channel")</f>
        <v>1014 - Channel</v>
      </c>
      <c r="B905" s="4" t="s">
        <v>19</v>
      </c>
      <c r="C905" s="6">
        <v>0.44353009259259274</v>
      </c>
      <c r="D905" s="4" t="s">
        <v>85</v>
      </c>
      <c r="E905" s="56"/>
    </row>
    <row r="906">
      <c r="A906" s="4" t="str">
        <f>IFERROR(__xludf.DUMMYFUNCTION("""COMPUTED_VALUE"""),"1016 - Channel")</f>
        <v>1016 - Channel</v>
      </c>
      <c r="B906" s="4" t="s">
        <v>19</v>
      </c>
      <c r="C906" s="6">
        <v>0.4437037037037039</v>
      </c>
      <c r="D906" s="4" t="s">
        <v>511</v>
      </c>
      <c r="E906" s="56"/>
    </row>
    <row r="907">
      <c r="A907" s="4" t="str">
        <f>IFERROR(__xludf.DUMMYFUNCTION("""COMPUTED_VALUE"""),"1017 - Channel")</f>
        <v>1017 - Channel</v>
      </c>
      <c r="B907" s="4" t="s">
        <v>19</v>
      </c>
      <c r="C907" s="6">
        <v>0.4440509259259261</v>
      </c>
      <c r="D907" s="4" t="s">
        <v>81</v>
      </c>
      <c r="E907" s="56"/>
    </row>
    <row r="908">
      <c r="A908" s="4" t="str">
        <f>IFERROR(__xludf.DUMMYFUNCTION("""COMPUTED_VALUE"""),"1018 - Channel")</f>
        <v>1018 - Channel</v>
      </c>
      <c r="B908" s="4" t="s">
        <v>19</v>
      </c>
      <c r="C908" s="6">
        <v>0.4442824074074076</v>
      </c>
      <c r="D908" s="4" t="s">
        <v>1334</v>
      </c>
      <c r="E908" s="81" t="s">
        <v>3398</v>
      </c>
    </row>
    <row r="909">
      <c r="A909" s="4" t="str">
        <f>IFERROR(__xludf.DUMMYFUNCTION("""COMPUTED_VALUE"""),"1576 - Channel")</f>
        <v>1576 - Channel</v>
      </c>
      <c r="B909" s="4" t="s">
        <v>19</v>
      </c>
      <c r="C909" s="6">
        <v>0.4522685185185187</v>
      </c>
      <c r="D909" s="4" t="s">
        <v>81</v>
      </c>
      <c r="E909" s="56"/>
    </row>
    <row r="910">
      <c r="A910" s="4" t="str">
        <f>IFERROR(__xludf.DUMMYFUNCTION("""COMPUTED_VALUE"""),"984 - Channel")</f>
        <v>984 - Channel</v>
      </c>
      <c r="B910" s="4" t="s">
        <v>19</v>
      </c>
      <c r="C910" s="6">
        <v>0.4525000000000002</v>
      </c>
      <c r="D910" s="4" t="s">
        <v>1337</v>
      </c>
      <c r="E910" s="81" t="s">
        <v>3167</v>
      </c>
    </row>
    <row r="911">
      <c r="A911" s="4" t="str">
        <f>IFERROR(__xludf.DUMMYFUNCTION("""COMPUTED_VALUE"""),"1353 - Channel")</f>
        <v>1353 - Channel</v>
      </c>
      <c r="B911" s="4" t="s">
        <v>19</v>
      </c>
      <c r="C911" s="6"/>
      <c r="D911" s="4"/>
      <c r="E911" s="56"/>
    </row>
    <row r="912">
      <c r="A912" s="4" t="str">
        <f>IFERROR(__xludf.DUMMYFUNCTION("""COMPUTED_VALUE"""),"1657 - Channel")</f>
        <v>1657 - Channel</v>
      </c>
      <c r="B912" s="4" t="s">
        <v>19</v>
      </c>
      <c r="C912" s="6">
        <v>0.4583333333333333</v>
      </c>
      <c r="D912" s="4" t="s">
        <v>1316</v>
      </c>
      <c r="E912" s="56"/>
    </row>
    <row r="913">
      <c r="A913" s="4" t="str">
        <f>IFERROR(__xludf.DUMMYFUNCTION("""COMPUTED_VALUE"""),"1021 - Channel")</f>
        <v>1021 - Channel</v>
      </c>
      <c r="B913" s="4" t="s">
        <v>19</v>
      </c>
      <c r="C913" s="6">
        <v>0.45850694444444445</v>
      </c>
      <c r="D913" s="4" t="s">
        <v>81</v>
      </c>
      <c r="E913" s="56"/>
    </row>
    <row r="914">
      <c r="A914" s="4" t="str">
        <f>IFERROR(__xludf.DUMMYFUNCTION("""COMPUTED_VALUE"""),"1022 - Channel")</f>
        <v>1022 - Channel</v>
      </c>
      <c r="B914" s="4" t="s">
        <v>19</v>
      </c>
      <c r="C914" s="6">
        <v>0.45873842592592595</v>
      </c>
      <c r="D914" s="4" t="s">
        <v>1341</v>
      </c>
      <c r="E914" s="81" t="s">
        <v>3435</v>
      </c>
    </row>
    <row r="915">
      <c r="A915" s="4" t="str">
        <f>IFERROR(__xludf.DUMMYFUNCTION("""COMPUTED_VALUE"""),"1024 - Channel")</f>
        <v>1024 - Channel</v>
      </c>
      <c r="B915" s="4" t="s">
        <v>19</v>
      </c>
      <c r="C915" s="6">
        <v>0.4673495370370371</v>
      </c>
      <c r="D915" s="4" t="s">
        <v>1009</v>
      </c>
      <c r="E915" s="56"/>
    </row>
    <row r="916">
      <c r="A916" s="4" t="str">
        <f>IFERROR(__xludf.DUMMYFUNCTION("""COMPUTED_VALUE"""),"1070 - Channel")</f>
        <v>1070 - Channel</v>
      </c>
      <c r="B916" s="4" t="s">
        <v>19</v>
      </c>
      <c r="C916" s="6">
        <v>0.4675231481481482</v>
      </c>
      <c r="D916" s="4" t="s">
        <v>1141</v>
      </c>
      <c r="E916" s="56"/>
    </row>
    <row r="917">
      <c r="A917" s="4" t="str">
        <f>IFERROR(__xludf.DUMMYFUNCTION("""COMPUTED_VALUE"""),"1025 - Channel")</f>
        <v>1025 - Channel</v>
      </c>
      <c r="B917" s="4" t="s">
        <v>19</v>
      </c>
      <c r="C917" s="6">
        <v>0.46787037037037044</v>
      </c>
      <c r="D917" s="4" t="s">
        <v>511</v>
      </c>
      <c r="E917" s="56"/>
    </row>
    <row r="918">
      <c r="A918" s="4" t="str">
        <f>IFERROR(__xludf.DUMMYFUNCTION("""COMPUTED_VALUE"""),"1026 - Channel")</f>
        <v>1026 - Channel</v>
      </c>
      <c r="B918" s="4" t="s">
        <v>19</v>
      </c>
      <c r="C918" s="6">
        <v>0.46821759259259266</v>
      </c>
      <c r="D918" s="4" t="s">
        <v>81</v>
      </c>
      <c r="E918" s="56"/>
    </row>
    <row r="919">
      <c r="A919" s="4" t="str">
        <f>IFERROR(__xludf.DUMMYFUNCTION("""COMPUTED_VALUE"""),"1027 - Channel")</f>
        <v>1027 - Channel</v>
      </c>
      <c r="B919" s="4" t="s">
        <v>19</v>
      </c>
      <c r="C919" s="6">
        <v>0.46844907407407416</v>
      </c>
      <c r="D919" s="4" t="s">
        <v>1348</v>
      </c>
      <c r="E919" s="56"/>
    </row>
    <row r="920">
      <c r="A920" s="4" t="str">
        <f>IFERROR(__xludf.DUMMYFUNCTION("""COMPUTED_VALUE"""),"1680 - Channel")</f>
        <v>1680 - Channel</v>
      </c>
      <c r="B920" s="4" t="s">
        <v>19</v>
      </c>
      <c r="C920" s="6">
        <v>0.48233796296296305</v>
      </c>
      <c r="D920" s="4" t="s">
        <v>67</v>
      </c>
      <c r="E920" s="56"/>
    </row>
    <row r="921">
      <c r="A921" s="4" t="str">
        <f>IFERROR(__xludf.DUMMYFUNCTION("""COMPUTED_VALUE"""),"1029 - Channel")</f>
        <v>1029 - Channel</v>
      </c>
      <c r="B921" s="4" t="s">
        <v>19</v>
      </c>
      <c r="C921" s="6">
        <v>0.4833796296296297</v>
      </c>
      <c r="D921" s="4" t="s">
        <v>81</v>
      </c>
      <c r="E921" s="56"/>
    </row>
    <row r="922">
      <c r="A922" s="4" t="str">
        <f>IFERROR(__xludf.DUMMYFUNCTION("""COMPUTED_VALUE"""),"1030 - Channel")</f>
        <v>1030 - Channel</v>
      </c>
      <c r="B922" s="4" t="s">
        <v>19</v>
      </c>
      <c r="C922" s="6">
        <v>0.4836111111111112</v>
      </c>
      <c r="D922" s="4" t="s">
        <v>1354</v>
      </c>
      <c r="E922" s="81" t="s">
        <v>3479</v>
      </c>
    </row>
    <row r="923">
      <c r="A923" s="4" t="str">
        <f>IFERROR(__xludf.DUMMYFUNCTION("""COMPUTED_VALUE"""),"1033 - Channel")</f>
        <v>1033 - Channel</v>
      </c>
      <c r="B923" s="4" t="s">
        <v>19</v>
      </c>
      <c r="C923" s="6">
        <v>0.4926967592592594</v>
      </c>
      <c r="D923" s="4" t="s">
        <v>81</v>
      </c>
      <c r="E923" s="56"/>
    </row>
    <row r="924">
      <c r="A924" s="4" t="str">
        <f>IFERROR(__xludf.DUMMYFUNCTION("""COMPUTED_VALUE"""),"1034 - Channel")</f>
        <v>1034 - Channel</v>
      </c>
      <c r="B924" s="4" t="s">
        <v>19</v>
      </c>
      <c r="C924" s="6">
        <v>0.4929282407407409</v>
      </c>
      <c r="D924" s="4" t="s">
        <v>1359</v>
      </c>
      <c r="E924" s="81" t="s">
        <v>3493</v>
      </c>
    </row>
    <row r="925">
      <c r="A925" s="4" t="str">
        <f>IFERROR(__xludf.DUMMYFUNCTION("""COMPUTED_VALUE"""),"1020 - Channel")</f>
        <v>1020 - Channel</v>
      </c>
      <c r="B925" s="4" t="s">
        <v>19</v>
      </c>
      <c r="C925" s="6">
        <v>0.4995254629629631</v>
      </c>
      <c r="D925" s="4" t="s">
        <v>1361</v>
      </c>
      <c r="E925" s="81" t="s">
        <v>3418</v>
      </c>
    </row>
    <row r="926">
      <c r="A926" s="4" t="str">
        <f>IFERROR(__xludf.DUMMYFUNCTION("""COMPUTED_VALUE"""),"1354 - Channel")</f>
        <v>1354 - Channel</v>
      </c>
      <c r="B926" s="4" t="s">
        <v>19</v>
      </c>
      <c r="C926" s="6"/>
      <c r="D926" s="4"/>
      <c r="E926" s="56"/>
    </row>
    <row r="927">
      <c r="A927" s="4" t="str">
        <f>IFERROR(__xludf.DUMMYFUNCTION("""COMPUTED_VALUE"""),"1670 - Channel")</f>
        <v>1670 - Channel</v>
      </c>
      <c r="B927" s="4" t="s">
        <v>19</v>
      </c>
      <c r="C927" s="6">
        <v>0.5</v>
      </c>
      <c r="D927" s="4" t="s">
        <v>1364</v>
      </c>
      <c r="E927" s="56"/>
    </row>
    <row r="928">
      <c r="A928" s="4" t="str">
        <f>IFERROR(__xludf.DUMMYFUNCTION("""COMPUTED_VALUE"""),"1036 - Channel")</f>
        <v>1036 - Channel</v>
      </c>
      <c r="B928" s="4" t="s">
        <v>19</v>
      </c>
      <c r="C928" s="6">
        <v>0.5001736111111111</v>
      </c>
      <c r="D928" s="4" t="s">
        <v>81</v>
      </c>
      <c r="E928" s="56"/>
    </row>
    <row r="929">
      <c r="A929" s="4" t="str">
        <f>IFERROR(__xludf.DUMMYFUNCTION("""COMPUTED_VALUE"""),"1037 - Channel")</f>
        <v>1037 - Channel</v>
      </c>
      <c r="B929" s="4" t="s">
        <v>19</v>
      </c>
      <c r="C929" s="6">
        <v>0.5005208333333334</v>
      </c>
      <c r="D929" s="4" t="s">
        <v>1366</v>
      </c>
      <c r="E929" s="81" t="s">
        <v>3506</v>
      </c>
    </row>
    <row r="930">
      <c r="A930" s="4" t="str">
        <f>IFERROR(__xludf.DUMMYFUNCTION("""COMPUTED_VALUE"""),"1048 - Channel")</f>
        <v>1048 - Channel</v>
      </c>
      <c r="B930" s="4" t="s">
        <v>19</v>
      </c>
      <c r="C930" s="6">
        <v>0.5095833333333334</v>
      </c>
      <c r="D930" s="4" t="s">
        <v>81</v>
      </c>
      <c r="E930" s="56"/>
    </row>
    <row r="931">
      <c r="A931" s="4" t="str">
        <f>IFERROR(__xludf.DUMMYFUNCTION("""COMPUTED_VALUE"""),"1049 - Channel")</f>
        <v>1049 - Channel</v>
      </c>
      <c r="B931" s="4" t="s">
        <v>19</v>
      </c>
      <c r="C931" s="6">
        <v>0.5098148148148148</v>
      </c>
      <c r="D931" s="4" t="s">
        <v>1372</v>
      </c>
      <c r="E931" s="81" t="s">
        <v>3548</v>
      </c>
    </row>
    <row r="932">
      <c r="A932" s="4" t="str">
        <f>IFERROR(__xludf.DUMMYFUNCTION("""COMPUTED_VALUE"""),"1045 - Channel")</f>
        <v>1045 - Channel</v>
      </c>
      <c r="B932" s="4" t="s">
        <v>19</v>
      </c>
      <c r="C932" s="6">
        <v>0.5175925925925926</v>
      </c>
      <c r="D932" s="4" t="s">
        <v>81</v>
      </c>
      <c r="E932" s="56"/>
    </row>
    <row r="933">
      <c r="A933" s="4" t="str">
        <f>IFERROR(__xludf.DUMMYFUNCTION("""COMPUTED_VALUE"""),"1046 - Channel")</f>
        <v>1046 - Channel</v>
      </c>
      <c r="B933" s="4" t="s">
        <v>19</v>
      </c>
      <c r="C933" s="6">
        <v>0.517824074074074</v>
      </c>
      <c r="D933" s="4" t="s">
        <v>1375</v>
      </c>
      <c r="E933" s="81" t="s">
        <v>3535</v>
      </c>
    </row>
    <row r="934">
      <c r="A934" s="4" t="str">
        <f>IFERROR(__xludf.DUMMYFUNCTION("""COMPUTED_VALUE"""),"903 - Channel")</f>
        <v>903 - Channel</v>
      </c>
      <c r="B934" s="4" t="s">
        <v>19</v>
      </c>
      <c r="C934" s="6">
        <v>0.5256018518518518</v>
      </c>
      <c r="D934" s="4" t="s">
        <v>81</v>
      </c>
      <c r="E934" s="56"/>
    </row>
    <row r="935">
      <c r="A935" s="4" t="str">
        <f>IFERROR(__xludf.DUMMYFUNCTION("""COMPUTED_VALUE"""),"904 - Channel")</f>
        <v>904 - Channel</v>
      </c>
      <c r="B935" s="4" t="s">
        <v>19</v>
      </c>
      <c r="C935" s="6">
        <v>0.5256018518518518</v>
      </c>
      <c r="D935" s="4" t="s">
        <v>1378</v>
      </c>
      <c r="E935" s="81" t="s">
        <v>2980</v>
      </c>
    </row>
    <row r="936">
      <c r="A936" s="4" t="str">
        <f>IFERROR(__xludf.DUMMYFUNCTION("""COMPUTED_VALUE"""),"905 - Channel")</f>
        <v>905 - Channel</v>
      </c>
      <c r="B936" s="4" t="s">
        <v>19</v>
      </c>
      <c r="C936" s="6">
        <v>0.5391550925925925</v>
      </c>
      <c r="D936" s="4" t="s">
        <v>85</v>
      </c>
      <c r="E936" s="56"/>
    </row>
    <row r="937">
      <c r="A937" s="4" t="str">
        <f>IFERROR(__xludf.DUMMYFUNCTION("""COMPUTED_VALUE"""),"1355 - Channel")</f>
        <v>1355 - Channel</v>
      </c>
      <c r="B937" s="4" t="s">
        <v>19</v>
      </c>
      <c r="C937" s="6"/>
      <c r="D937" s="4"/>
      <c r="E937" s="56"/>
    </row>
    <row r="938">
      <c r="A938" s="4" t="str">
        <f>IFERROR(__xludf.DUMMYFUNCTION("""COMPUTED_VALUE"""),"1051 - Channel")</f>
        <v>1051 - Channel</v>
      </c>
      <c r="B938" s="4" t="s">
        <v>19</v>
      </c>
      <c r="C938" s="6">
        <v>0.5416666666666666</v>
      </c>
      <c r="D938" s="4" t="s">
        <v>81</v>
      </c>
      <c r="E938" s="56"/>
    </row>
    <row r="939">
      <c r="A939" s="4" t="str">
        <f>IFERROR(__xludf.DUMMYFUNCTION("""COMPUTED_VALUE"""),"1052 - Channel")</f>
        <v>1052 - Channel</v>
      </c>
      <c r="B939" s="4" t="s">
        <v>19</v>
      </c>
      <c r="C939" s="6">
        <v>0.5420138888888889</v>
      </c>
      <c r="D939" s="4" t="s">
        <v>1385</v>
      </c>
      <c r="E939" s="81" t="s">
        <v>3559</v>
      </c>
    </row>
    <row r="940">
      <c r="A940" s="4" t="str">
        <f>IFERROR(__xludf.DUMMYFUNCTION("""COMPUTED_VALUE"""),"1055 - Channel")</f>
        <v>1055 - Channel</v>
      </c>
      <c r="B940" s="4" t="s">
        <v>19</v>
      </c>
      <c r="C940" s="6">
        <v>0.5527314814814815</v>
      </c>
      <c r="D940" s="4" t="s">
        <v>81</v>
      </c>
      <c r="E940" s="56"/>
    </row>
    <row r="941">
      <c r="A941" s="4" t="str">
        <f>IFERROR(__xludf.DUMMYFUNCTION("""COMPUTED_VALUE"""),"1361 - Channel")</f>
        <v>1361 - Channel</v>
      </c>
      <c r="B941" s="4" t="s">
        <v>19</v>
      </c>
      <c r="C941" s="6">
        <v>0.552962962962963</v>
      </c>
      <c r="D941" s="4" t="s">
        <v>1389</v>
      </c>
      <c r="E941" s="81" t="s">
        <v>4634</v>
      </c>
    </row>
    <row r="942">
      <c r="A942" s="4" t="str">
        <f>IFERROR(__xludf.DUMMYFUNCTION("""COMPUTED_VALUE"""),"1061 - Channel")</f>
        <v>1061 - Channel</v>
      </c>
      <c r="B942" s="4" t="s">
        <v>19</v>
      </c>
      <c r="C942" s="6">
        <v>0.5651157407407408</v>
      </c>
      <c r="D942" s="4" t="s">
        <v>81</v>
      </c>
      <c r="E942" s="56"/>
    </row>
    <row r="943">
      <c r="A943" s="4" t="str">
        <f>IFERROR(__xludf.DUMMYFUNCTION("""COMPUTED_VALUE"""),"1062 - Channel")</f>
        <v>1062 - Channel</v>
      </c>
      <c r="B943" s="4" t="s">
        <v>19</v>
      </c>
      <c r="C943" s="6">
        <v>0.5653472222222222</v>
      </c>
      <c r="D943" s="4" t="s">
        <v>1396</v>
      </c>
      <c r="E943" s="81" t="s">
        <v>3597</v>
      </c>
    </row>
    <row r="944">
      <c r="A944" s="4" t="str">
        <f>IFERROR(__xludf.DUMMYFUNCTION("""COMPUTED_VALUE"""),"1058 - Channel")</f>
        <v>1058 - Channel</v>
      </c>
      <c r="B944" s="4" t="s">
        <v>19</v>
      </c>
      <c r="C944" s="6">
        <v>0.5734259259259259</v>
      </c>
      <c r="D944" s="4" t="s">
        <v>81</v>
      </c>
      <c r="E944" s="56"/>
    </row>
    <row r="945">
      <c r="A945" s="4" t="str">
        <f>IFERROR(__xludf.DUMMYFUNCTION("""COMPUTED_VALUE"""),"1059 - Channel")</f>
        <v>1059 - Channel</v>
      </c>
      <c r="B945" s="4" t="s">
        <v>19</v>
      </c>
      <c r="C945" s="6">
        <v>0.5736574074074073</v>
      </c>
      <c r="D945" s="4" t="s">
        <v>1401</v>
      </c>
      <c r="E945" s="56"/>
    </row>
    <row r="946">
      <c r="A946" s="4" t="str">
        <f>IFERROR(__xludf.DUMMYFUNCTION("""COMPUTED_VALUE"""),"1356 - Channel")</f>
        <v>1356 - Channel</v>
      </c>
      <c r="B946" s="4" t="s">
        <v>19</v>
      </c>
      <c r="C946" s="6"/>
      <c r="D946" s="4"/>
      <c r="E946" s="56"/>
    </row>
    <row r="947">
      <c r="A947" s="4" t="str">
        <f>IFERROR(__xludf.DUMMYFUNCTION("""COMPUTED_VALUE"""),"1564 - Channel")</f>
        <v>1564 - Channel</v>
      </c>
      <c r="B947" s="4" t="s">
        <v>19</v>
      </c>
      <c r="C947" s="6">
        <v>0.5833333333333334</v>
      </c>
      <c r="D947" s="4" t="s">
        <v>81</v>
      </c>
      <c r="E947" s="56"/>
    </row>
    <row r="948">
      <c r="A948" s="4" t="str">
        <f>IFERROR(__xludf.DUMMYFUNCTION("""COMPUTED_VALUE"""),"1261 - Channel")</f>
        <v>1261 - Channel</v>
      </c>
      <c r="B948" s="4" t="s">
        <v>19</v>
      </c>
      <c r="C948" s="6">
        <v>0.5836805555555556</v>
      </c>
      <c r="D948" s="4" t="s">
        <v>1408</v>
      </c>
      <c r="E948" s="81" t="s">
        <v>4445</v>
      </c>
    </row>
    <row r="949">
      <c r="A949" s="4" t="str">
        <f>IFERROR(__xludf.DUMMYFUNCTION("""COMPUTED_VALUE"""),"1067 - Channel")</f>
        <v>1067 - Channel</v>
      </c>
      <c r="B949" s="4" t="s">
        <v>19</v>
      </c>
      <c r="C949" s="6">
        <v>0.5933796296296298</v>
      </c>
      <c r="D949" s="4" t="s">
        <v>81</v>
      </c>
      <c r="E949" s="56"/>
    </row>
    <row r="950">
      <c r="A950" s="4" t="str">
        <f>IFERROR(__xludf.DUMMYFUNCTION("""COMPUTED_VALUE"""),"1068 - Channel")</f>
        <v>1068 - Channel</v>
      </c>
      <c r="B950" s="4" t="s">
        <v>19</v>
      </c>
      <c r="C950" s="6">
        <v>0.5936111111111112</v>
      </c>
      <c r="D950" s="4" t="s">
        <v>1413</v>
      </c>
      <c r="E950" s="81" t="s">
        <v>3627</v>
      </c>
    </row>
    <row r="951">
      <c r="A951" s="4" t="str">
        <f>IFERROR(__xludf.DUMMYFUNCTION("""COMPUTED_VALUE"""),"1071 - Channel")</f>
        <v>1071 - Channel</v>
      </c>
      <c r="B951" s="4" t="s">
        <v>19</v>
      </c>
      <c r="C951" s="6">
        <v>0.5957175925925927</v>
      </c>
      <c r="D951" s="4" t="s">
        <v>81</v>
      </c>
      <c r="E951" s="56"/>
    </row>
    <row r="952">
      <c r="A952" s="4" t="str">
        <f>IFERROR(__xludf.DUMMYFUNCTION("""COMPUTED_VALUE"""),"1072 - Channel")</f>
        <v>1072 - Channel</v>
      </c>
      <c r="B952" s="4" t="s">
        <v>19</v>
      </c>
      <c r="C952" s="6">
        <v>0.5959490740740742</v>
      </c>
      <c r="D952" s="4" t="s">
        <v>1416</v>
      </c>
      <c r="E952" s="81" t="s">
        <v>3644</v>
      </c>
    </row>
    <row r="953">
      <c r="A953" s="4" t="str">
        <f>IFERROR(__xludf.DUMMYFUNCTION("""COMPUTED_VALUE"""),"1074 - Channel")</f>
        <v>1074 - Channel</v>
      </c>
      <c r="B953" s="4" t="s">
        <v>19</v>
      </c>
      <c r="C953" s="6">
        <v>0.6015625000000001</v>
      </c>
      <c r="D953" s="4" t="s">
        <v>81</v>
      </c>
      <c r="E953" s="56"/>
    </row>
    <row r="954">
      <c r="A954" s="4" t="str">
        <f>IFERROR(__xludf.DUMMYFUNCTION("""COMPUTED_VALUE"""),"1075 - Channel")</f>
        <v>1075 - Channel</v>
      </c>
      <c r="B954" s="4" t="s">
        <v>19</v>
      </c>
      <c r="C954" s="6">
        <v>0.6017939814814816</v>
      </c>
      <c r="D954" s="4" t="s">
        <v>1421</v>
      </c>
      <c r="E954" s="81" t="s">
        <v>3661</v>
      </c>
    </row>
    <row r="955">
      <c r="A955" s="4" t="str">
        <f>IFERROR(__xludf.DUMMYFUNCTION("""COMPUTED_VALUE"""),"1077 - Channel")</f>
        <v>1077 - Channel</v>
      </c>
      <c r="B955" s="4" t="s">
        <v>19</v>
      </c>
      <c r="C955" s="6">
        <v>0.6091550925925927</v>
      </c>
      <c r="D955" s="4" t="s">
        <v>81</v>
      </c>
      <c r="E955" s="56"/>
    </row>
    <row r="956">
      <c r="A956" s="4" t="str">
        <f>IFERROR(__xludf.DUMMYFUNCTION("""COMPUTED_VALUE"""),"1078 - Channel")</f>
        <v>1078 - Channel</v>
      </c>
      <c r="B956" s="4" t="s">
        <v>19</v>
      </c>
      <c r="C956" s="6">
        <v>0.6093865740740741</v>
      </c>
      <c r="D956" s="4" t="s">
        <v>1427</v>
      </c>
      <c r="E956" s="56"/>
    </row>
    <row r="957">
      <c r="A957" s="4" t="str">
        <f>IFERROR(__xludf.DUMMYFUNCTION("""COMPUTED_VALUE"""),"1080 - Channel")</f>
        <v>1080 - Channel</v>
      </c>
      <c r="B957" s="4" t="s">
        <v>19</v>
      </c>
      <c r="C957" s="6">
        <v>0.6163310185185186</v>
      </c>
      <c r="D957" s="4" t="s">
        <v>81</v>
      </c>
      <c r="E957" s="56"/>
    </row>
    <row r="958">
      <c r="A958" s="4" t="str">
        <f>IFERROR(__xludf.DUMMYFUNCTION("""COMPUTED_VALUE"""),"1081 - Channel")</f>
        <v>1081 - Channel</v>
      </c>
      <c r="B958" s="4" t="s">
        <v>19</v>
      </c>
      <c r="C958" s="6">
        <v>0.6165625</v>
      </c>
      <c r="D958" s="4" t="s">
        <v>1431</v>
      </c>
      <c r="E958" s="81" t="s">
        <v>3689</v>
      </c>
    </row>
    <row r="959">
      <c r="A959" s="4" t="str">
        <f>IFERROR(__xludf.DUMMYFUNCTION("""COMPUTED_VALUE"""),"1357 - Channel")</f>
        <v>1357 - Channel</v>
      </c>
      <c r="B959" s="4" t="s">
        <v>19</v>
      </c>
      <c r="C959" s="6"/>
      <c r="D959" s="4"/>
      <c r="E959" s="56"/>
    </row>
    <row r="960">
      <c r="A960" s="4" t="str">
        <f>IFERROR(__xludf.DUMMYFUNCTION("""COMPUTED_VALUE"""),"1086 - Channel")</f>
        <v>1086 - Channel</v>
      </c>
      <c r="B960" s="4" t="s">
        <v>19</v>
      </c>
      <c r="C960" s="6">
        <v>0.625</v>
      </c>
      <c r="D960" s="4" t="s">
        <v>81</v>
      </c>
      <c r="E960" s="56"/>
    </row>
    <row r="961">
      <c r="A961" s="4" t="str">
        <f>IFERROR(__xludf.DUMMYFUNCTION("""COMPUTED_VALUE"""),"1087 - Channel")</f>
        <v>1087 - Channel</v>
      </c>
      <c r="B961" s="4" t="s">
        <v>19</v>
      </c>
      <c r="C961" s="6">
        <v>0.6253472222222223</v>
      </c>
      <c r="D961" s="4" t="s">
        <v>1437</v>
      </c>
      <c r="E961" s="56"/>
    </row>
    <row r="962">
      <c r="A962" s="4" t="str">
        <f>IFERROR(__xludf.DUMMYFUNCTION("""COMPUTED_VALUE"""),"1032 - Channel")</f>
        <v>1032 - Channel</v>
      </c>
      <c r="B962" s="4" t="s">
        <v>19</v>
      </c>
      <c r="C962" s="6">
        <v>0.6359375</v>
      </c>
      <c r="D962" s="4" t="s">
        <v>1443</v>
      </c>
      <c r="E962" s="56"/>
    </row>
    <row r="963">
      <c r="A963" s="4" t="str">
        <f>IFERROR(__xludf.DUMMYFUNCTION("""COMPUTED_VALUE"""),"1089 - Channel")</f>
        <v>1089 - Channel</v>
      </c>
      <c r="B963" s="4" t="s">
        <v>19</v>
      </c>
      <c r="C963" s="6">
        <v>0.6361111111111112</v>
      </c>
      <c r="D963" s="4" t="s">
        <v>81</v>
      </c>
      <c r="E963" s="56"/>
    </row>
    <row r="964">
      <c r="A964" s="4" t="str">
        <f>IFERROR(__xludf.DUMMYFUNCTION("""COMPUTED_VALUE"""),"1090 - Channel")</f>
        <v>1090 - Channel</v>
      </c>
      <c r="B964" s="4" t="s">
        <v>19</v>
      </c>
      <c r="C964" s="6">
        <v>0.6363425925925926</v>
      </c>
      <c r="D964" s="4" t="s">
        <v>1447</v>
      </c>
      <c r="E964" s="81" t="s">
        <v>3734</v>
      </c>
    </row>
    <row r="965">
      <c r="A965" s="4" t="str">
        <f>IFERROR(__xludf.DUMMYFUNCTION("""COMPUTED_VALUE"""),"1681 - Channel")</f>
        <v>1681 - Channel</v>
      </c>
      <c r="B965" s="4" t="s">
        <v>19</v>
      </c>
      <c r="C965" s="6">
        <v>0.6502314814814815</v>
      </c>
      <c r="D965" s="4" t="s">
        <v>67</v>
      </c>
      <c r="E965" s="56"/>
    </row>
    <row r="966">
      <c r="A966" s="4" t="str">
        <f>IFERROR(__xludf.DUMMYFUNCTION("""COMPUTED_VALUE"""),"1368 - Channel")</f>
        <v>1368 - Channel</v>
      </c>
      <c r="B966" s="4" t="s">
        <v>19</v>
      </c>
      <c r="C966" s="6">
        <v>0.6512731481481482</v>
      </c>
      <c r="D966" s="4" t="s">
        <v>81</v>
      </c>
      <c r="E966" s="56"/>
    </row>
    <row r="967">
      <c r="A967" s="4" t="str">
        <f>IFERROR(__xludf.DUMMYFUNCTION("""COMPUTED_VALUE"""),"1273 - Channel")</f>
        <v>1273 - Channel</v>
      </c>
      <c r="B967" s="4" t="s">
        <v>19</v>
      </c>
      <c r="C967" s="6">
        <v>0.6515046296296296</v>
      </c>
      <c r="D967" s="4" t="s">
        <v>1452</v>
      </c>
      <c r="E967" s="81" t="s">
        <v>4494</v>
      </c>
    </row>
    <row r="968">
      <c r="A968" s="4" t="str">
        <f>IFERROR(__xludf.DUMMYFUNCTION("""COMPUTED_VALUE"""),"985 - Channel")</f>
        <v>985 - Channel</v>
      </c>
      <c r="B968" s="4" t="s">
        <v>19</v>
      </c>
      <c r="C968" s="6">
        <v>0.653587962962963</v>
      </c>
      <c r="D968" s="4" t="s">
        <v>1454</v>
      </c>
      <c r="E968" s="56"/>
    </row>
    <row r="969">
      <c r="A969" s="4" t="str">
        <f>IFERROR(__xludf.DUMMYFUNCTION("""COMPUTED_VALUE"""),"1098 - Channel")</f>
        <v>1098 - Channel</v>
      </c>
      <c r="B969" s="4" t="s">
        <v>19</v>
      </c>
      <c r="C969" s="6">
        <v>0.6537615740740741</v>
      </c>
      <c r="D969" s="4" t="s">
        <v>81</v>
      </c>
      <c r="E969" s="56"/>
    </row>
    <row r="970">
      <c r="A970" s="4" t="str">
        <f>IFERROR(__xludf.DUMMYFUNCTION("""COMPUTED_VALUE"""),"1099 - Channel")</f>
        <v>1099 - Channel</v>
      </c>
      <c r="B970" s="4" t="s">
        <v>19</v>
      </c>
      <c r="C970" s="6">
        <v>0.6539930555555555</v>
      </c>
      <c r="D970" s="4" t="s">
        <v>1457</v>
      </c>
      <c r="E970" s="81" t="s">
        <v>3775</v>
      </c>
    </row>
    <row r="971">
      <c r="A971" s="4" t="str">
        <f>IFERROR(__xludf.DUMMYFUNCTION("""COMPUTED_VALUE"""),"1101 - Channel")</f>
        <v>1101 - Channel</v>
      </c>
      <c r="B971" s="4" t="s">
        <v>19</v>
      </c>
      <c r="C971" s="6">
        <v>0.6640625</v>
      </c>
      <c r="D971" s="4" t="s">
        <v>1461</v>
      </c>
      <c r="E971" s="81" t="s">
        <v>3788</v>
      </c>
    </row>
    <row r="972">
      <c r="A972" s="4" t="str">
        <f>IFERROR(__xludf.DUMMYFUNCTION("""COMPUTED_VALUE"""),"1083 - Channel")</f>
        <v>1083 - Channel</v>
      </c>
      <c r="B972" s="4" t="s">
        <v>19</v>
      </c>
      <c r="C972" s="6">
        <v>0.6642361111111111</v>
      </c>
      <c r="D972" s="4" t="s">
        <v>81</v>
      </c>
      <c r="E972" s="56"/>
    </row>
    <row r="973">
      <c r="A973" s="4" t="str">
        <f>IFERROR(__xludf.DUMMYFUNCTION("""COMPUTED_VALUE"""),"1084 - Channel")</f>
        <v>1084 - Channel</v>
      </c>
      <c r="B973" s="4" t="s">
        <v>19</v>
      </c>
      <c r="C973" s="6">
        <v>0.6644675925925926</v>
      </c>
      <c r="D973" s="4" t="s">
        <v>1464</v>
      </c>
      <c r="E973" s="81" t="s">
        <v>3703</v>
      </c>
    </row>
    <row r="974">
      <c r="A974" s="4" t="str">
        <f>IFERROR(__xludf.DUMMYFUNCTION("""COMPUTED_VALUE"""),"1358 - Channel")</f>
        <v>1358 - Channel</v>
      </c>
      <c r="B974" s="4" t="s">
        <v>19</v>
      </c>
      <c r="C974" s="6"/>
      <c r="D974" s="4"/>
      <c r="E974" s="56"/>
    </row>
    <row r="975">
      <c r="A975" s="4" t="str">
        <f>IFERROR(__xludf.DUMMYFUNCTION("""COMPUTED_VALUE"""),"1102 - Channel")</f>
        <v>1102 - Channel</v>
      </c>
      <c r="B975" s="4" t="s">
        <v>19</v>
      </c>
      <c r="C975" s="6">
        <v>0.6666666666666666</v>
      </c>
      <c r="D975" s="4" t="s">
        <v>81</v>
      </c>
      <c r="E975" s="56"/>
    </row>
    <row r="976">
      <c r="A976" s="4" t="str">
        <f>IFERROR(__xludf.DUMMYFUNCTION("""COMPUTED_VALUE"""),"1103 - Channel")</f>
        <v>1103 - Channel</v>
      </c>
      <c r="B976" s="4" t="s">
        <v>19</v>
      </c>
      <c r="C976" s="6">
        <v>0.6670138888888889</v>
      </c>
      <c r="D976" s="4" t="s">
        <v>1469</v>
      </c>
      <c r="E976" s="81" t="s">
        <v>3800</v>
      </c>
    </row>
    <row r="977">
      <c r="A977" s="4" t="str">
        <f>IFERROR(__xludf.DUMMYFUNCTION("""COMPUTED_VALUE"""),"1105 - Channel")</f>
        <v>1105 - Channel</v>
      </c>
      <c r="B977" s="4" t="s">
        <v>19</v>
      </c>
      <c r="C977" s="6">
        <v>0.6752314814814815</v>
      </c>
      <c r="D977" s="4" t="s">
        <v>1141</v>
      </c>
      <c r="E977" s="56"/>
    </row>
    <row r="978">
      <c r="A978" s="4" t="str">
        <f>IFERROR(__xludf.DUMMYFUNCTION("""COMPUTED_VALUE"""),"1106 - Channel")</f>
        <v>1106 - Channel</v>
      </c>
      <c r="B978" s="4" t="s">
        <v>19</v>
      </c>
      <c r="C978" s="6">
        <v>0.6754629629629629</v>
      </c>
      <c r="D978" s="4" t="s">
        <v>89</v>
      </c>
      <c r="E978" s="56"/>
    </row>
    <row r="979">
      <c r="A979" s="4" t="str">
        <f>IFERROR(__xludf.DUMMYFUNCTION("""COMPUTED_VALUE"""),"1107 - Channel")</f>
        <v>1107 - Channel</v>
      </c>
      <c r="B979" s="4" t="s">
        <v>19</v>
      </c>
      <c r="C979" s="6">
        <v>0.6758101851851852</v>
      </c>
      <c r="D979" s="4" t="s">
        <v>103</v>
      </c>
      <c r="E979" s="56"/>
    </row>
    <row r="980">
      <c r="A980" s="4" t="str">
        <f>IFERROR(__xludf.DUMMYFUNCTION("""COMPUTED_VALUE"""),"852 - Channel")</f>
        <v>852 - Channel</v>
      </c>
      <c r="B980" s="4" t="s">
        <v>19</v>
      </c>
      <c r="C980" s="6">
        <v>0.6765046296296297</v>
      </c>
      <c r="D980" s="4" t="s">
        <v>81</v>
      </c>
      <c r="E980" s="56"/>
    </row>
    <row r="981">
      <c r="A981" s="4" t="str">
        <f>IFERROR(__xludf.DUMMYFUNCTION("""COMPUTED_VALUE"""),"853 - Channel")</f>
        <v>853 - Channel</v>
      </c>
      <c r="B981" s="4" t="s">
        <v>19</v>
      </c>
      <c r="C981" s="6">
        <v>0.6767361111111111</v>
      </c>
      <c r="D981" s="4" t="s">
        <v>1475</v>
      </c>
      <c r="E981" s="81" t="s">
        <v>2894</v>
      </c>
    </row>
    <row r="982">
      <c r="A982" s="4" t="str">
        <f>IFERROR(__xludf.DUMMYFUNCTION("""COMPUTED_VALUE"""),"1682 - Channel")</f>
        <v>1682 - Channel</v>
      </c>
      <c r="B982" s="4" t="s">
        <v>19</v>
      </c>
      <c r="C982" s="6">
        <v>0.6917476851851851</v>
      </c>
      <c r="D982" s="4" t="s">
        <v>87</v>
      </c>
      <c r="E982" s="56"/>
    </row>
    <row r="983">
      <c r="A983" s="4" t="str">
        <f>IFERROR(__xludf.DUMMYFUNCTION("""COMPUTED_VALUE"""),"1111 - Channel")</f>
        <v>1111 - Channel</v>
      </c>
      <c r="B983" s="4" t="s">
        <v>19</v>
      </c>
      <c r="C983" s="6">
        <v>0.6920949074074074</v>
      </c>
      <c r="D983" s="4" t="s">
        <v>81</v>
      </c>
      <c r="E983" s="56"/>
    </row>
    <row r="984">
      <c r="A984" s="4" t="str">
        <f>IFERROR(__xludf.DUMMYFUNCTION("""COMPUTED_VALUE"""),"1298 - Channel")</f>
        <v>1298 - Channel</v>
      </c>
      <c r="B984" s="4" t="s">
        <v>19</v>
      </c>
      <c r="C984" s="6">
        <v>0.6923263888888889</v>
      </c>
      <c r="D984" s="4" t="s">
        <v>1480</v>
      </c>
      <c r="E984" s="81" t="s">
        <v>4565</v>
      </c>
    </row>
    <row r="985">
      <c r="A985" s="4" t="str">
        <f>IFERROR(__xludf.DUMMYFUNCTION("""COMPUTED_VALUE"""),"1114 - Channel")</f>
        <v>1114 - Channel</v>
      </c>
      <c r="B985" s="4" t="s">
        <v>19</v>
      </c>
      <c r="C985" s="6">
        <v>0.6991087962962963</v>
      </c>
      <c r="D985" s="4" t="s">
        <v>81</v>
      </c>
      <c r="E985" s="56"/>
    </row>
    <row r="986">
      <c r="A986" s="4" t="str">
        <f>IFERROR(__xludf.DUMMYFUNCTION("""COMPUTED_VALUE"""),"1115 - Channel")</f>
        <v>1115 - Channel</v>
      </c>
      <c r="B986" s="4" t="s">
        <v>19</v>
      </c>
      <c r="C986" s="6">
        <v>0.6993402777777777</v>
      </c>
      <c r="D986" s="4" t="s">
        <v>1487</v>
      </c>
      <c r="E986" s="56"/>
    </row>
    <row r="987">
      <c r="A987" s="4" t="str">
        <f>IFERROR(__xludf.DUMMYFUNCTION("""COMPUTED_VALUE"""),"1117 - Channel")</f>
        <v>1117 - Channel</v>
      </c>
      <c r="B987" s="4" t="s">
        <v>19</v>
      </c>
      <c r="C987" s="6">
        <v>0.7071527777777777</v>
      </c>
      <c r="D987" s="4" t="s">
        <v>1171</v>
      </c>
      <c r="E987" s="56"/>
    </row>
    <row r="988">
      <c r="A988" s="4" t="str">
        <f>IFERROR(__xludf.DUMMYFUNCTION("""COMPUTED_VALUE"""),"1118 - Channel")</f>
        <v>1118 - Channel</v>
      </c>
      <c r="B988" s="4" t="s">
        <v>19</v>
      </c>
      <c r="C988" s="6"/>
      <c r="D988" s="4"/>
      <c r="E988" s="56"/>
    </row>
    <row r="989">
      <c r="A989" s="4" t="str">
        <f>IFERROR(__xludf.DUMMYFUNCTION("""COMPUTED_VALUE"""),"1119 - Channel")</f>
        <v>1119 - Channel</v>
      </c>
      <c r="B989" s="4" t="s">
        <v>19</v>
      </c>
      <c r="C989" s="6"/>
      <c r="D989" s="4"/>
      <c r="E989" s="56"/>
    </row>
    <row r="990">
      <c r="A990" s="4" t="str">
        <f>IFERROR(__xludf.DUMMYFUNCTION("""COMPUTED_VALUE"""),"1120 - Channel")</f>
        <v>1120 - Channel</v>
      </c>
      <c r="B990" s="4" t="s">
        <v>19</v>
      </c>
      <c r="C990" s="6"/>
      <c r="D990" s="4"/>
      <c r="E990" s="56"/>
    </row>
    <row r="991">
      <c r="A991" s="4" t="str">
        <f>IFERROR(__xludf.DUMMYFUNCTION("""COMPUTED_VALUE"""),"1121 - Channel")</f>
        <v>1121 - Channel</v>
      </c>
      <c r="B991" s="4" t="s">
        <v>1494</v>
      </c>
      <c r="C991" s="6"/>
      <c r="D991" s="4"/>
      <c r="E991" s="56"/>
    </row>
    <row r="992">
      <c r="A992" s="4" t="str">
        <f>IFERROR(__xludf.DUMMYFUNCTION("""COMPUTED_VALUE"""),"1122 - Channel")</f>
        <v>1122 - Channel</v>
      </c>
      <c r="B992" s="4" t="s">
        <v>65</v>
      </c>
      <c r="C992" s="6"/>
      <c r="D992" s="4"/>
      <c r="E992" s="56"/>
    </row>
    <row r="993">
      <c r="A993" s="4" t="str">
        <f>IFERROR(__xludf.DUMMYFUNCTION("""COMPUTED_VALUE"""),"1123 - Channel")</f>
        <v>1123 - Channel</v>
      </c>
      <c r="B993" s="4" t="s">
        <v>22</v>
      </c>
      <c r="C993" s="6">
        <v>0.4166666666666667</v>
      </c>
      <c r="D993" s="4" t="s">
        <v>1497</v>
      </c>
      <c r="E993" s="56"/>
    </row>
    <row r="994">
      <c r="A994" s="4" t="str">
        <f>IFERROR(__xludf.DUMMYFUNCTION("""COMPUTED_VALUE"""),"1175 - Channel")</f>
        <v>1175 - Channel</v>
      </c>
      <c r="B994" s="4" t="s">
        <v>22</v>
      </c>
      <c r="C994" s="6">
        <v>0.41805555555555557</v>
      </c>
      <c r="D994" s="4" t="s">
        <v>1498</v>
      </c>
      <c r="E994" s="56"/>
    </row>
    <row r="995">
      <c r="A995" s="4" t="str">
        <f>IFERROR(__xludf.DUMMYFUNCTION("""COMPUTED_VALUE"""),"1176 - Channel")</f>
        <v>1176 - Channel</v>
      </c>
      <c r="B995" s="4" t="s">
        <v>22</v>
      </c>
      <c r="C995" s="6">
        <v>0.4184027777777778</v>
      </c>
      <c r="D995" s="4" t="s">
        <v>1502</v>
      </c>
      <c r="E995" s="81" t="s">
        <v>4060</v>
      </c>
    </row>
    <row r="996">
      <c r="A996" s="4" t="str">
        <f>IFERROR(__xludf.DUMMYFUNCTION("""COMPUTED_VALUE"""),"1177 - Channel")</f>
        <v>1177 - Channel</v>
      </c>
      <c r="B996" s="4" t="s">
        <v>22</v>
      </c>
      <c r="C996" s="6">
        <v>0.4512037037037037</v>
      </c>
      <c r="D996" s="4" t="s">
        <v>1497</v>
      </c>
      <c r="E996" s="56"/>
    </row>
    <row r="997">
      <c r="A997" s="4" t="str">
        <f>IFERROR(__xludf.DUMMYFUNCTION("""COMPUTED_VALUE"""),"1145 - Channel")</f>
        <v>1145 - Channel</v>
      </c>
      <c r="B997" s="4" t="s">
        <v>22</v>
      </c>
      <c r="C997" s="6">
        <v>0.4524074074074074</v>
      </c>
      <c r="D997" s="4" t="s">
        <v>1498</v>
      </c>
      <c r="E997" s="56"/>
    </row>
    <row r="998">
      <c r="A998" s="4" t="str">
        <f>IFERROR(__xludf.DUMMYFUNCTION("""COMPUTED_VALUE"""),"1146 - Channel")</f>
        <v>1146 - Channel</v>
      </c>
      <c r="B998" s="4" t="s">
        <v>22</v>
      </c>
      <c r="C998" s="6">
        <v>0.45275462962962965</v>
      </c>
      <c r="D998" s="4" t="s">
        <v>1504</v>
      </c>
      <c r="E998" s="56"/>
    </row>
    <row r="999">
      <c r="A999" s="4" t="str">
        <f>IFERROR(__xludf.DUMMYFUNCTION("""COMPUTED_VALUE"""),"1147 - Channel")</f>
        <v>1147 - Channel</v>
      </c>
      <c r="B999" s="4" t="s">
        <v>22</v>
      </c>
      <c r="C999" s="6">
        <v>0.4790740740740741</v>
      </c>
      <c r="D999" s="4" t="s">
        <v>1497</v>
      </c>
      <c r="E999" s="56"/>
    </row>
    <row r="1000">
      <c r="A1000" s="4" t="str">
        <f>IFERROR(__xludf.DUMMYFUNCTION("""COMPUTED_VALUE"""),"1130 - Channel")</f>
        <v>1130 - Channel</v>
      </c>
      <c r="B1000" s="4" t="s">
        <v>22</v>
      </c>
      <c r="C1000" s="6">
        <v>0.4802777777777778</v>
      </c>
      <c r="D1000" s="4" t="s">
        <v>1498</v>
      </c>
      <c r="E1000" s="56"/>
    </row>
    <row r="1001">
      <c r="A1001" s="4" t="str">
        <f>IFERROR(__xludf.DUMMYFUNCTION("""COMPUTED_VALUE"""),"1131 - Channel")</f>
        <v>1131 - Channel</v>
      </c>
      <c r="B1001" s="4" t="s">
        <v>22</v>
      </c>
      <c r="C1001" s="6">
        <v>0.480625</v>
      </c>
      <c r="D1001" s="4" t="s">
        <v>1508</v>
      </c>
      <c r="E1001" s="81" t="s">
        <v>3909</v>
      </c>
    </row>
    <row r="1002">
      <c r="A1002" s="4" t="str">
        <f>IFERROR(__xludf.DUMMYFUNCTION("""COMPUTED_VALUE"""),"1132 - Channel")</f>
        <v>1132 - Channel</v>
      </c>
      <c r="B1002" s="4" t="s">
        <v>22</v>
      </c>
      <c r="C1002" s="6">
        <v>0.5283680555555555</v>
      </c>
      <c r="D1002" s="4" t="s">
        <v>1497</v>
      </c>
      <c r="E1002" s="56"/>
    </row>
    <row r="1003">
      <c r="A1003" s="4" t="str">
        <f>IFERROR(__xludf.DUMMYFUNCTION("""COMPUTED_VALUE"""),"1222 - Channel")</f>
        <v>1222 - Channel</v>
      </c>
      <c r="B1003" s="4" t="s">
        <v>22</v>
      </c>
      <c r="C1003" s="6">
        <v>0.5295717592592593</v>
      </c>
      <c r="D1003" s="4" t="s">
        <v>1498</v>
      </c>
      <c r="E1003" s="56"/>
    </row>
    <row r="1004">
      <c r="A1004" s="4" t="str">
        <f>IFERROR(__xludf.DUMMYFUNCTION("""COMPUTED_VALUE"""),"1223 - Channel")</f>
        <v>1223 - Channel</v>
      </c>
      <c r="B1004" s="4" t="s">
        <v>22</v>
      </c>
      <c r="C1004" s="6">
        <v>0.5299189814814815</v>
      </c>
      <c r="D1004" s="4" t="s">
        <v>1511</v>
      </c>
      <c r="E1004" s="81" t="s">
        <v>4288</v>
      </c>
    </row>
    <row r="1005">
      <c r="A1005" s="4" t="str">
        <f>IFERROR(__xludf.DUMMYFUNCTION("""COMPUTED_VALUE"""),"1135 - Channel")</f>
        <v>1135 - Channel</v>
      </c>
      <c r="B1005" s="4" t="s">
        <v>22</v>
      </c>
      <c r="C1005" s="6">
        <v>0.5551273148148148</v>
      </c>
      <c r="D1005" s="4" t="s">
        <v>1497</v>
      </c>
      <c r="E1005" s="56"/>
    </row>
    <row r="1006">
      <c r="A1006" s="4" t="str">
        <f>IFERROR(__xludf.DUMMYFUNCTION("""COMPUTED_VALUE"""),"1136 - Channel")</f>
        <v>1136 - Channel</v>
      </c>
      <c r="B1006" s="4" t="s">
        <v>22</v>
      </c>
      <c r="C1006" s="6">
        <v>0.5563310185185185</v>
      </c>
      <c r="D1006" s="4" t="s">
        <v>1498</v>
      </c>
      <c r="E1006" s="56"/>
    </row>
    <row r="1007">
      <c r="A1007" s="4" t="str">
        <f>IFERROR(__xludf.DUMMYFUNCTION("""COMPUTED_VALUE"""),"1137 - Channel")</f>
        <v>1137 - Channel</v>
      </c>
      <c r="B1007" s="4" t="s">
        <v>22</v>
      </c>
      <c r="C1007" s="6">
        <v>0.5566782407407408</v>
      </c>
      <c r="D1007" s="4" t="s">
        <v>1515</v>
      </c>
      <c r="E1007" s="81" t="s">
        <v>3937</v>
      </c>
    </row>
    <row r="1008">
      <c r="A1008" s="4" t="str">
        <f>IFERROR(__xludf.DUMMYFUNCTION("""COMPUTED_VALUE"""),"1138 - Channel")</f>
        <v>1138 - Channel</v>
      </c>
      <c r="B1008" s="4" t="s">
        <v>22</v>
      </c>
      <c r="C1008" s="6">
        <v>0.5983217592592593</v>
      </c>
      <c r="D1008" s="4" t="s">
        <v>1497</v>
      </c>
      <c r="E1008" s="56"/>
    </row>
    <row r="1009">
      <c r="A1009" s="4" t="str">
        <f>IFERROR(__xludf.DUMMYFUNCTION("""COMPUTED_VALUE"""),"1193 - Channel")</f>
        <v>1193 - Channel</v>
      </c>
      <c r="B1009" s="4" t="s">
        <v>22</v>
      </c>
      <c r="C1009" s="6">
        <v>0.599525462962963</v>
      </c>
      <c r="D1009" s="4" t="s">
        <v>1498</v>
      </c>
      <c r="E1009" s="56"/>
    </row>
    <row r="1010">
      <c r="A1010" s="4" t="str">
        <f>IFERROR(__xludf.DUMMYFUNCTION("""COMPUTED_VALUE"""),"1194 - Channel")</f>
        <v>1194 - Channel</v>
      </c>
      <c r="B1010" s="4" t="s">
        <v>22</v>
      </c>
      <c r="C1010" s="6">
        <v>0.5998726851851853</v>
      </c>
      <c r="D1010" s="4" t="s">
        <v>1519</v>
      </c>
      <c r="E1010" s="81" t="s">
        <v>4161</v>
      </c>
    </row>
    <row r="1011">
      <c r="A1011" s="4" t="str">
        <f>IFERROR(__xludf.DUMMYFUNCTION("""COMPUTED_VALUE"""),"1195 - Channel")</f>
        <v>1195 - Channel</v>
      </c>
      <c r="B1011" s="4" t="s">
        <v>22</v>
      </c>
      <c r="C1011" s="6">
        <v>0.632314814814815</v>
      </c>
      <c r="D1011" s="4" t="s">
        <v>1497</v>
      </c>
      <c r="E1011" s="56"/>
    </row>
    <row r="1012">
      <c r="A1012" s="4" t="str">
        <f>IFERROR(__xludf.DUMMYFUNCTION("""COMPUTED_VALUE"""),"1190 - Channel")</f>
        <v>1190 - Channel</v>
      </c>
      <c r="B1012" s="4" t="s">
        <v>22</v>
      </c>
      <c r="C1012" s="6">
        <v>0.6335185185185187</v>
      </c>
      <c r="D1012" s="4" t="s">
        <v>1498</v>
      </c>
      <c r="E1012" s="56"/>
    </row>
    <row r="1013">
      <c r="A1013" s="4" t="str">
        <f>IFERROR(__xludf.DUMMYFUNCTION("""COMPUTED_VALUE"""),"1191 - Channel")</f>
        <v>1191 - Channel</v>
      </c>
      <c r="B1013" s="4" t="s">
        <v>22</v>
      </c>
      <c r="C1013" s="6">
        <v>0.633865740740741</v>
      </c>
      <c r="D1013" s="4" t="s">
        <v>1525</v>
      </c>
      <c r="E1013" s="56"/>
    </row>
    <row r="1014">
      <c r="A1014" s="4" t="str">
        <f>IFERROR(__xludf.DUMMYFUNCTION("""COMPUTED_VALUE"""),"1192 - Channel")</f>
        <v>1192 - Channel</v>
      </c>
      <c r="B1014" s="4" t="s">
        <v>22</v>
      </c>
      <c r="C1014" s="6">
        <v>0.6630324074074077</v>
      </c>
      <c r="D1014" s="4" t="s">
        <v>1497</v>
      </c>
      <c r="E1014" s="56"/>
    </row>
    <row r="1015">
      <c r="A1015" s="4" t="str">
        <f>IFERROR(__xludf.DUMMYFUNCTION("""COMPUTED_VALUE"""),"1127 - Channel")</f>
        <v>1127 - Channel</v>
      </c>
      <c r="B1015" s="4" t="s">
        <v>22</v>
      </c>
      <c r="C1015" s="6">
        <v>0.6642361111111114</v>
      </c>
      <c r="D1015" s="4" t="s">
        <v>1498</v>
      </c>
      <c r="E1015" s="56"/>
    </row>
    <row r="1016">
      <c r="A1016" s="4" t="str">
        <f>IFERROR(__xludf.DUMMYFUNCTION("""COMPUTED_VALUE"""),"1128 - Channel")</f>
        <v>1128 - Channel</v>
      </c>
      <c r="B1016" s="4" t="s">
        <v>22</v>
      </c>
      <c r="C1016" s="6">
        <v>0.6645833333333336</v>
      </c>
      <c r="D1016" s="4" t="s">
        <v>1529</v>
      </c>
      <c r="E1016" s="56"/>
    </row>
    <row r="1017">
      <c r="A1017" s="4" t="str">
        <f>IFERROR(__xludf.DUMMYFUNCTION("""COMPUTED_VALUE"""),"1129 - Channel")</f>
        <v>1129 - Channel</v>
      </c>
      <c r="B1017" s="4" t="s">
        <v>22</v>
      </c>
      <c r="C1017" s="6">
        <v>0.6819097222222226</v>
      </c>
      <c r="D1017" s="4" t="s">
        <v>1497</v>
      </c>
      <c r="E1017" s="56"/>
    </row>
    <row r="1018">
      <c r="A1018" s="4" t="str">
        <f>IFERROR(__xludf.DUMMYFUNCTION("""COMPUTED_VALUE"""),"1663 - Channel")</f>
        <v>1663 - Channel</v>
      </c>
      <c r="B1018" s="4" t="s">
        <v>22</v>
      </c>
      <c r="C1018" s="6">
        <v>0.6831134259259263</v>
      </c>
      <c r="D1018" s="4" t="s">
        <v>1498</v>
      </c>
      <c r="E1018" s="56"/>
    </row>
    <row r="1019">
      <c r="A1019" s="4" t="str">
        <f>IFERROR(__xludf.DUMMYFUNCTION("""COMPUTED_VALUE"""),"1664 - Channel")</f>
        <v>1664 - Channel</v>
      </c>
      <c r="B1019" s="4" t="s">
        <v>22</v>
      </c>
      <c r="C1019" s="6">
        <v>0.6834606481481486</v>
      </c>
      <c r="D1019" s="4" t="s">
        <v>1532</v>
      </c>
      <c r="E1019" s="56"/>
    </row>
    <row r="1020">
      <c r="A1020" s="4" t="str">
        <f>IFERROR(__xludf.DUMMYFUNCTION("""COMPUTED_VALUE"""),"1665 - Channel")</f>
        <v>1665 - Channel</v>
      </c>
      <c r="B1020" s="4" t="s">
        <v>22</v>
      </c>
      <c r="C1020" s="6">
        <v>0.7015162037037042</v>
      </c>
      <c r="D1020" s="4" t="s">
        <v>1497</v>
      </c>
      <c r="E1020" s="56"/>
    </row>
    <row r="1021">
      <c r="A1021" s="4" t="str">
        <f>IFERROR(__xludf.DUMMYFUNCTION("""COMPUTED_VALUE"""),"1151 - Channel")</f>
        <v>1151 - Channel</v>
      </c>
      <c r="B1021" s="4" t="s">
        <v>22</v>
      </c>
      <c r="C1021" s="6">
        <v>0.6831134259259263</v>
      </c>
      <c r="D1021" s="4" t="s">
        <v>1538</v>
      </c>
      <c r="E1021" s="56"/>
    </row>
    <row r="1022">
      <c r="A1022" s="4" t="str">
        <f>IFERROR(__xludf.DUMMYFUNCTION("""COMPUTED_VALUE"""),"1152 - Channel")</f>
        <v>1152 - Channel</v>
      </c>
      <c r="B1022" s="4" t="s">
        <v>22</v>
      </c>
      <c r="C1022" s="6">
        <v>0.6831134259259263</v>
      </c>
      <c r="D1022" s="4"/>
      <c r="E1022" s="56"/>
    </row>
    <row r="1023">
      <c r="A1023" s="4" t="str">
        <f>IFERROR(__xludf.DUMMYFUNCTION("""COMPUTED_VALUE"""),"1153 - Channel")</f>
        <v>1153 - Channel</v>
      </c>
      <c r="B1023" s="4" t="s">
        <v>22</v>
      </c>
      <c r="C1023" s="6">
        <v>0.6831134259259263</v>
      </c>
      <c r="D1023" s="4"/>
      <c r="E1023" s="56"/>
    </row>
    <row r="1024">
      <c r="A1024" s="4" t="str">
        <f>IFERROR(__xludf.DUMMYFUNCTION("""COMPUTED_VALUE"""),"1154 - Channel")</f>
        <v>1154 - Channel</v>
      </c>
      <c r="B1024" s="4" t="s">
        <v>22</v>
      </c>
      <c r="C1024" s="6">
        <v>0.6831134259259263</v>
      </c>
      <c r="D1024" s="4"/>
      <c r="E1024" s="56"/>
    </row>
    <row r="1025">
      <c r="A1025" s="4" t="str">
        <f>IFERROR(__xludf.DUMMYFUNCTION("""COMPUTED_VALUE"""),"1155 - Channel")</f>
        <v>1155 - Channel</v>
      </c>
      <c r="B1025" s="4" t="s">
        <v>22</v>
      </c>
      <c r="C1025" s="6">
        <v>0.6831134259259263</v>
      </c>
      <c r="D1025" s="4"/>
      <c r="E1025" s="56"/>
    </row>
    <row r="1026">
      <c r="A1026" s="4" t="str">
        <f>IFERROR(__xludf.DUMMYFUNCTION("""COMPUTED_VALUE"""),"1156 - Channel")</f>
        <v>1156 - Channel</v>
      </c>
      <c r="B1026" s="4" t="s">
        <v>22</v>
      </c>
      <c r="C1026" s="6">
        <v>0.6831134259259263</v>
      </c>
      <c r="D1026" s="4"/>
      <c r="E1026" s="56"/>
    </row>
    <row r="1027">
      <c r="A1027" s="4" t="str">
        <f>IFERROR(__xludf.DUMMYFUNCTION("""COMPUTED_VALUE"""),"1157 - Channel")</f>
        <v>1157 - Channel</v>
      </c>
      <c r="B1027" s="4" t="s">
        <v>22</v>
      </c>
      <c r="C1027" s="6">
        <v>0.6831134259259263</v>
      </c>
      <c r="D1027" s="4"/>
      <c r="E1027" s="56"/>
    </row>
    <row r="1028">
      <c r="A1028" s="4" t="str">
        <f>IFERROR(__xludf.DUMMYFUNCTION("""COMPUTED_VALUE"""),"1158 - Channel")</f>
        <v>1158 - Channel</v>
      </c>
      <c r="B1028" s="4" t="s">
        <v>22</v>
      </c>
      <c r="C1028" s="6">
        <v>0.6831134259259263</v>
      </c>
      <c r="D1028" s="4"/>
      <c r="E1028" s="56"/>
    </row>
    <row r="1029">
      <c r="A1029" s="4" t="str">
        <f>IFERROR(__xludf.DUMMYFUNCTION("""COMPUTED_VALUE"""),"1159 - Channel")</f>
        <v>1159 - Channel</v>
      </c>
      <c r="B1029" s="4" t="s">
        <v>22</v>
      </c>
      <c r="C1029" s="6">
        <v>0.6831134259259263</v>
      </c>
      <c r="D1029" s="4"/>
      <c r="E1029" s="56"/>
    </row>
    <row r="1030">
      <c r="A1030" s="4" t="str">
        <f>IFERROR(__xludf.DUMMYFUNCTION("""COMPUTED_VALUE"""),"1160 - Channel")</f>
        <v>1160 - Channel</v>
      </c>
      <c r="B1030" s="4" t="s">
        <v>22</v>
      </c>
      <c r="C1030" s="6">
        <v>0.6831134259259263</v>
      </c>
      <c r="D1030" s="4"/>
      <c r="E1030" s="56"/>
    </row>
    <row r="1031">
      <c r="A1031" s="4" t="str">
        <f>IFERROR(__xludf.DUMMYFUNCTION("""COMPUTED_VALUE"""),"1161 - Channel")</f>
        <v>1161 - Channel</v>
      </c>
      <c r="B1031" s="4" t="s">
        <v>22</v>
      </c>
      <c r="C1031" s="6"/>
      <c r="D1031" s="4"/>
      <c r="E1031" s="56"/>
    </row>
    <row r="1032">
      <c r="A1032" s="4" t="str">
        <f>IFERROR(__xludf.DUMMYFUNCTION("""COMPUTED_VALUE"""),"1162 - Channel")</f>
        <v>1162 - Channel</v>
      </c>
      <c r="B1032" s="4" t="s">
        <v>22</v>
      </c>
      <c r="C1032" s="6"/>
      <c r="D1032" s="4"/>
      <c r="E1032" s="56"/>
    </row>
    <row r="1033">
      <c r="A1033" s="4" t="str">
        <f>IFERROR(__xludf.DUMMYFUNCTION("""COMPUTED_VALUE"""),"1163 - Channel")</f>
        <v>1163 - Channel</v>
      </c>
      <c r="B1033" s="4" t="s">
        <v>22</v>
      </c>
      <c r="C1033" s="6"/>
      <c r="D1033" s="4"/>
      <c r="E1033" s="56"/>
    </row>
    <row r="1034">
      <c r="A1034" s="4" t="str">
        <f>IFERROR(__xludf.DUMMYFUNCTION("""COMPUTED_VALUE"""),"1164 - Channel")</f>
        <v>1164 - Channel</v>
      </c>
      <c r="B1034" s="4" t="s">
        <v>22</v>
      </c>
      <c r="C1034" s="6"/>
      <c r="D1034" s="4"/>
      <c r="E1034" s="56"/>
    </row>
    <row r="1035">
      <c r="A1035" s="4" t="str">
        <f>IFERROR(__xludf.DUMMYFUNCTION("""COMPUTED_VALUE"""),"1165 - Channel")</f>
        <v>1165 - Channel</v>
      </c>
      <c r="B1035" s="4" t="s">
        <v>22</v>
      </c>
      <c r="C1035" s="6"/>
      <c r="D1035" s="4"/>
      <c r="E1035" s="56"/>
    </row>
    <row r="1036">
      <c r="A1036" s="4" t="str">
        <f>IFERROR(__xludf.DUMMYFUNCTION("""COMPUTED_VALUE"""),"1166 - Channel")</f>
        <v>1166 - Channel</v>
      </c>
      <c r="B1036" s="4" t="s">
        <v>22</v>
      </c>
      <c r="C1036" s="6"/>
      <c r="D1036" s="4"/>
      <c r="E1036" s="56"/>
    </row>
    <row r="1037">
      <c r="A1037" s="4" t="str">
        <f>IFERROR(__xludf.DUMMYFUNCTION("""COMPUTED_VALUE"""),"1167 - Channel")</f>
        <v>1167 - Channel</v>
      </c>
      <c r="B1037" s="4" t="s">
        <v>22</v>
      </c>
      <c r="C1037" s="6"/>
      <c r="D1037" s="4"/>
      <c r="E1037" s="56"/>
    </row>
    <row r="1038">
      <c r="A1038" s="4" t="str">
        <f>IFERROR(__xludf.DUMMYFUNCTION("""COMPUTED_VALUE"""),"1168 - Channel")</f>
        <v>1168 - Channel</v>
      </c>
      <c r="B1038" s="4" t="s">
        <v>22</v>
      </c>
      <c r="C1038" s="6"/>
      <c r="D1038" s="4"/>
      <c r="E1038" s="56"/>
    </row>
    <row r="1039">
      <c r="A1039" s="4" t="str">
        <f>IFERROR(__xludf.DUMMYFUNCTION("""COMPUTED_VALUE"""),"1169 - Channel")</f>
        <v>1169 - Channel</v>
      </c>
      <c r="B1039" s="4" t="s">
        <v>22</v>
      </c>
      <c r="C1039" s="6"/>
      <c r="D1039" s="4"/>
      <c r="E1039" s="56"/>
    </row>
    <row r="1040">
      <c r="A1040" s="4" t="str">
        <f>IFERROR(__xludf.DUMMYFUNCTION("""COMPUTED_VALUE"""),"1170 - Channel")</f>
        <v>1170 - Channel</v>
      </c>
      <c r="B1040" s="4" t="s">
        <v>22</v>
      </c>
      <c r="C1040" s="6"/>
      <c r="D1040" s="4"/>
      <c r="E1040" s="56"/>
    </row>
    <row r="1041">
      <c r="A1041" s="4" t="str">
        <f>IFERROR(__xludf.DUMMYFUNCTION("""COMPUTED_VALUE"""),"1171 - Channel")</f>
        <v>1171 - Channel</v>
      </c>
      <c r="B1041" s="4" t="s">
        <v>22</v>
      </c>
      <c r="C1041" s="6"/>
      <c r="D1041" s="4"/>
      <c r="E1041" s="56"/>
    </row>
    <row r="1042">
      <c r="A1042" s="4" t="str">
        <f>IFERROR(__xludf.DUMMYFUNCTION("""COMPUTED_VALUE"""),"1172 - Channel")</f>
        <v>1172 - Channel</v>
      </c>
      <c r="B1042" s="4" t="s">
        <v>22</v>
      </c>
      <c r="C1042" s="6"/>
      <c r="D1042" s="4"/>
      <c r="E1042" s="56"/>
    </row>
    <row r="1043">
      <c r="A1043" s="4" t="str">
        <f>IFERROR(__xludf.DUMMYFUNCTION("""COMPUTED_VALUE"""),"1173 - Channel")</f>
        <v>1173 - Channel</v>
      </c>
      <c r="B1043" s="4" t="s">
        <v>220</v>
      </c>
      <c r="C1043" s="6"/>
      <c r="D1043" s="4"/>
      <c r="E1043" s="56"/>
    </row>
    <row r="1044">
      <c r="A1044" s="4" t="str">
        <f>IFERROR(__xludf.DUMMYFUNCTION("""COMPUTED_VALUE"""),"1174 - Channel")</f>
        <v>1174 - Channel</v>
      </c>
      <c r="B1044" s="4" t="s">
        <v>22</v>
      </c>
      <c r="C1044" s="6">
        <v>0.4166666666666667</v>
      </c>
      <c r="D1044" s="4" t="s">
        <v>1497</v>
      </c>
      <c r="E1044" s="56"/>
    </row>
    <row r="1045">
      <c r="A1045" s="4" t="str">
        <f>IFERROR(__xludf.DUMMYFUNCTION("""COMPUTED_VALUE"""),"1124 - Channel")</f>
        <v>1124 - Channel</v>
      </c>
      <c r="B1045" s="4" t="s">
        <v>22</v>
      </c>
      <c r="C1045" s="6">
        <v>0.4178703703703704</v>
      </c>
      <c r="D1045" s="4" t="s">
        <v>1558</v>
      </c>
      <c r="E1045" s="56"/>
    </row>
    <row r="1046">
      <c r="A1046" s="4" t="str">
        <f>IFERROR(__xludf.DUMMYFUNCTION("""COMPUTED_VALUE"""),"1125 - Channel")</f>
        <v>1125 - Channel</v>
      </c>
      <c r="B1046" s="4" t="s">
        <v>22</v>
      </c>
      <c r="C1046" s="6">
        <v>0.4182175925925926</v>
      </c>
      <c r="D1046" s="4" t="s">
        <v>1559</v>
      </c>
      <c r="E1046" s="56"/>
    </row>
    <row r="1047">
      <c r="A1047" s="4" t="str">
        <f>IFERROR(__xludf.DUMMYFUNCTION("""COMPUTED_VALUE"""),"1445 - Channel")</f>
        <v>1445 - Channel</v>
      </c>
      <c r="B1047" s="4" t="s">
        <v>22</v>
      </c>
      <c r="C1047" s="6">
        <v>0.4387037037037037</v>
      </c>
      <c r="D1047" s="4" t="s">
        <v>1497</v>
      </c>
      <c r="E1047" s="56"/>
    </row>
    <row r="1048">
      <c r="A1048" s="4" t="str">
        <f>IFERROR(__xludf.DUMMYFUNCTION("""COMPUTED_VALUE"""),"1181 - Channel")</f>
        <v>1181 - Channel</v>
      </c>
      <c r="B1048" s="4" t="s">
        <v>22</v>
      </c>
      <c r="C1048" s="6">
        <v>0.4399074074074074</v>
      </c>
      <c r="D1048" s="4" t="s">
        <v>1498</v>
      </c>
      <c r="E1048" s="56"/>
    </row>
    <row r="1049">
      <c r="A1049" s="4" t="str">
        <f>IFERROR(__xludf.DUMMYFUNCTION("""COMPUTED_VALUE"""),"1182 - Channel")</f>
        <v>1182 - Channel</v>
      </c>
      <c r="B1049" s="4" t="s">
        <v>22</v>
      </c>
      <c r="C1049" s="6">
        <v>0.44025462962962963</v>
      </c>
      <c r="D1049" s="4" t="s">
        <v>1562</v>
      </c>
      <c r="E1049" s="81" t="s">
        <v>4090</v>
      </c>
    </row>
    <row r="1050">
      <c r="A1050" s="4" t="str">
        <f>IFERROR(__xludf.DUMMYFUNCTION("""COMPUTED_VALUE"""),"1183 - Channel")</f>
        <v>1183 - Channel</v>
      </c>
      <c r="B1050" s="4" t="s">
        <v>22</v>
      </c>
      <c r="C1050" s="6">
        <v>0.47034722222222225</v>
      </c>
      <c r="D1050" s="4" t="s">
        <v>1497</v>
      </c>
      <c r="E1050" s="56"/>
    </row>
    <row r="1051">
      <c r="A1051" s="4" t="str">
        <f>IFERROR(__xludf.DUMMYFUNCTION("""COMPUTED_VALUE"""),"1683 - Channel")</f>
        <v>1683 - Channel</v>
      </c>
      <c r="B1051" s="4" t="s">
        <v>22</v>
      </c>
      <c r="C1051" s="6">
        <v>0.47155092592592596</v>
      </c>
      <c r="D1051" s="4" t="s">
        <v>1498</v>
      </c>
      <c r="E1051" s="56"/>
    </row>
    <row r="1052">
      <c r="A1052" s="4" t="str">
        <f>IFERROR(__xludf.DUMMYFUNCTION("""COMPUTED_VALUE"""),"1684 - Channel")</f>
        <v>1684 - Channel</v>
      </c>
      <c r="B1052" s="4" t="s">
        <v>22</v>
      </c>
      <c r="C1052" s="6">
        <v>0.4718981481481482</v>
      </c>
      <c r="D1052" s="4" t="s">
        <v>797</v>
      </c>
      <c r="E1052" s="56"/>
    </row>
    <row r="1053">
      <c r="A1053" s="4" t="str">
        <f>IFERROR(__xludf.DUMMYFUNCTION("""COMPUTED_VALUE"""),"1685 - Channel")</f>
        <v>1685 - Channel</v>
      </c>
      <c r="B1053" s="4" t="s">
        <v>22</v>
      </c>
      <c r="C1053" s="6">
        <v>0.48444444444444446</v>
      </c>
      <c r="D1053" s="4" t="s">
        <v>1497</v>
      </c>
      <c r="E1053" s="56"/>
    </row>
    <row r="1054">
      <c r="A1054" s="4" t="str">
        <f>IFERROR(__xludf.DUMMYFUNCTION("""COMPUTED_VALUE"""),"1213 - Channel")</f>
        <v>1213 - Channel</v>
      </c>
      <c r="B1054" s="4" t="s">
        <v>22</v>
      </c>
      <c r="C1054" s="6">
        <v>0.48564814814814816</v>
      </c>
      <c r="D1054" s="4" t="s">
        <v>1498</v>
      </c>
      <c r="E1054" s="56"/>
    </row>
    <row r="1055">
      <c r="A1055" s="4" t="str">
        <f>IFERROR(__xludf.DUMMYFUNCTION("""COMPUTED_VALUE"""),"1214 - Channel")</f>
        <v>1214 - Channel</v>
      </c>
      <c r="B1055" s="4" t="s">
        <v>22</v>
      </c>
      <c r="C1055" s="6">
        <v>0.4859953703703704</v>
      </c>
      <c r="D1055" s="4" t="s">
        <v>1567</v>
      </c>
      <c r="E1055" s="81" t="s">
        <v>4256</v>
      </c>
    </row>
    <row r="1056">
      <c r="A1056" s="4" t="str">
        <f>IFERROR(__xludf.DUMMYFUNCTION("""COMPUTED_VALUE"""),"1215 - Channel")</f>
        <v>1215 - Channel</v>
      </c>
      <c r="B1056" s="4" t="s">
        <v>22</v>
      </c>
      <c r="C1056" s="6">
        <v>0.5157060185185185</v>
      </c>
      <c r="D1056" s="4" t="s">
        <v>1497</v>
      </c>
      <c r="E1056" s="56"/>
    </row>
    <row r="1057">
      <c r="A1057" s="4" t="str">
        <f>IFERROR(__xludf.DUMMYFUNCTION("""COMPUTED_VALUE"""),"1187 - Channel")</f>
        <v>1187 - Channel</v>
      </c>
      <c r="B1057" s="4" t="s">
        <v>22</v>
      </c>
      <c r="C1057" s="6">
        <v>0.5169097222222222</v>
      </c>
      <c r="D1057" s="4" t="s">
        <v>1498</v>
      </c>
      <c r="E1057" s="56"/>
    </row>
    <row r="1058">
      <c r="A1058" s="4" t="str">
        <f>IFERROR(__xludf.DUMMYFUNCTION("""COMPUTED_VALUE"""),"1188 - Channel")</f>
        <v>1188 - Channel</v>
      </c>
      <c r="B1058" s="4" t="s">
        <v>22</v>
      </c>
      <c r="C1058" s="6">
        <v>0.5172569444444445</v>
      </c>
      <c r="D1058" s="4" t="s">
        <v>1569</v>
      </c>
      <c r="E1058" s="56"/>
    </row>
    <row r="1059">
      <c r="A1059" s="4" t="str">
        <f>IFERROR(__xludf.DUMMYFUNCTION("""COMPUTED_VALUE"""),"1189 - Channel")</f>
        <v>1189 - Channel</v>
      </c>
      <c r="B1059" s="4" t="s">
        <v>22</v>
      </c>
      <c r="C1059" s="6">
        <v>0.5485069444444445</v>
      </c>
      <c r="D1059" s="4" t="s">
        <v>1497</v>
      </c>
      <c r="E1059" s="56"/>
    </row>
    <row r="1060">
      <c r="A1060" s="4" t="str">
        <f>IFERROR(__xludf.DUMMYFUNCTION("""COMPUTED_VALUE"""),"1142 - Channel")</f>
        <v>1142 - Channel</v>
      </c>
      <c r="B1060" s="4" t="s">
        <v>22</v>
      </c>
      <c r="C1060" s="6">
        <v>0.5497106481481482</v>
      </c>
      <c r="D1060" s="4" t="s">
        <v>1498</v>
      </c>
      <c r="E1060" s="56"/>
    </row>
    <row r="1061">
      <c r="A1061" s="4" t="str">
        <f>IFERROR(__xludf.DUMMYFUNCTION("""COMPUTED_VALUE"""),"1143 - Channel")</f>
        <v>1143 - Channel</v>
      </c>
      <c r="B1061" s="4" t="s">
        <v>22</v>
      </c>
      <c r="C1061" s="6">
        <v>0.5500578703703705</v>
      </c>
      <c r="D1061" s="4" t="s">
        <v>1573</v>
      </c>
      <c r="E1061" s="56"/>
    </row>
    <row r="1062">
      <c r="A1062" s="4" t="str">
        <f>IFERROR(__xludf.DUMMYFUNCTION("""COMPUTED_VALUE"""),"1144 - Channel")</f>
        <v>1144 - Channel</v>
      </c>
      <c r="B1062" s="4" t="s">
        <v>22</v>
      </c>
      <c r="C1062" s="6">
        <v>0.5797337962962964</v>
      </c>
      <c r="D1062" s="4" t="s">
        <v>1577</v>
      </c>
      <c r="E1062" s="56"/>
    </row>
    <row r="1063">
      <c r="A1063" s="4" t="str">
        <f>IFERROR(__xludf.DUMMYFUNCTION("""COMPUTED_VALUE"""),"1139 - Channel")</f>
        <v>1139 - Channel</v>
      </c>
      <c r="B1063" s="4" t="s">
        <v>22</v>
      </c>
      <c r="C1063" s="6">
        <v>0.5809375000000001</v>
      </c>
      <c r="D1063" s="4" t="s">
        <v>1498</v>
      </c>
      <c r="E1063" s="56"/>
    </row>
    <row r="1064">
      <c r="A1064" s="4" t="str">
        <f>IFERROR(__xludf.DUMMYFUNCTION("""COMPUTED_VALUE"""),"1140 - Channel")</f>
        <v>1140 - Channel</v>
      </c>
      <c r="B1064" s="4" t="s">
        <v>22</v>
      </c>
      <c r="C1064" s="6">
        <v>0.5812847222222224</v>
      </c>
      <c r="D1064" s="4" t="s">
        <v>1579</v>
      </c>
      <c r="E1064" s="56"/>
    </row>
    <row r="1065">
      <c r="A1065" s="4" t="str">
        <f>IFERROR(__xludf.DUMMYFUNCTION("""COMPUTED_VALUE"""),"1141 - Channel")</f>
        <v>1141 - Channel</v>
      </c>
      <c r="B1065" s="4" t="s">
        <v>22</v>
      </c>
      <c r="C1065" s="6">
        <v>0.6219560185185187</v>
      </c>
      <c r="D1065" s="4" t="s">
        <v>1497</v>
      </c>
      <c r="E1065" s="56"/>
    </row>
    <row r="1066">
      <c r="A1066" s="4" t="str">
        <f>IFERROR(__xludf.DUMMYFUNCTION("""COMPUTED_VALUE"""),"1196 - Channel")</f>
        <v>1196 - Channel</v>
      </c>
      <c r="B1066" s="4" t="s">
        <v>22</v>
      </c>
      <c r="C1066" s="6">
        <v>0.6231597222222224</v>
      </c>
      <c r="D1066" s="4" t="s">
        <v>1498</v>
      </c>
      <c r="E1066" s="56"/>
    </row>
    <row r="1067">
      <c r="A1067" s="4" t="str">
        <f>IFERROR(__xludf.DUMMYFUNCTION("""COMPUTED_VALUE"""),"1197 - Channel")</f>
        <v>1197 - Channel</v>
      </c>
      <c r="B1067" s="4" t="s">
        <v>22</v>
      </c>
      <c r="C1067" s="6">
        <v>0.6231944444444446</v>
      </c>
      <c r="D1067" s="4" t="s">
        <v>1582</v>
      </c>
      <c r="E1067" s="81" t="s">
        <v>4192</v>
      </c>
    </row>
    <row r="1068">
      <c r="A1068" s="4" t="str">
        <f>IFERROR(__xludf.DUMMYFUNCTION("""COMPUTED_VALUE"""),"1198 - Channel")</f>
        <v>1198 - Channel</v>
      </c>
      <c r="B1068" s="4" t="s">
        <v>22</v>
      </c>
      <c r="C1068" s="6">
        <v>0.6580208333333335</v>
      </c>
      <c r="D1068" s="4" t="s">
        <v>1497</v>
      </c>
      <c r="E1068" s="56"/>
    </row>
    <row r="1069">
      <c r="A1069" s="4" t="str">
        <f>IFERROR(__xludf.DUMMYFUNCTION("""COMPUTED_VALUE"""),"1199 - Channel")</f>
        <v>1199 - Channel</v>
      </c>
      <c r="B1069" s="4" t="s">
        <v>22</v>
      </c>
      <c r="C1069" s="6">
        <v>0.6592245370370372</v>
      </c>
      <c r="D1069" s="4" t="s">
        <v>1498</v>
      </c>
      <c r="E1069" s="56"/>
    </row>
    <row r="1070">
      <c r="A1070" s="4" t="str">
        <f>IFERROR(__xludf.DUMMYFUNCTION("""COMPUTED_VALUE"""),"1200 - Channel")</f>
        <v>1200 - Channel</v>
      </c>
      <c r="B1070" s="4" t="s">
        <v>22</v>
      </c>
      <c r="C1070" s="6">
        <v>0.6595717592592595</v>
      </c>
      <c r="D1070" s="4" t="s">
        <v>1587</v>
      </c>
      <c r="E1070" s="56"/>
    </row>
    <row r="1071">
      <c r="A1071" s="4" t="str">
        <f>IFERROR(__xludf.DUMMYFUNCTION("""COMPUTED_VALUE"""),"1201 - Channel")</f>
        <v>1201 - Channel</v>
      </c>
      <c r="B1071" s="4" t="s">
        <v>22</v>
      </c>
      <c r="C1071" s="6">
        <v>0.6772337962962965</v>
      </c>
      <c r="D1071" s="4" t="s">
        <v>1497</v>
      </c>
      <c r="E1071" s="56"/>
    </row>
    <row r="1072">
      <c r="A1072" s="4" t="str">
        <f>IFERROR(__xludf.DUMMYFUNCTION("""COMPUTED_VALUE"""),"1660 - Channel")</f>
        <v>1660 - Channel</v>
      </c>
      <c r="B1072" s="4" t="s">
        <v>22</v>
      </c>
      <c r="C1072" s="6">
        <v>0.6784375000000002</v>
      </c>
      <c r="D1072" s="4" t="s">
        <v>1498</v>
      </c>
      <c r="E1072" s="56"/>
    </row>
    <row r="1073">
      <c r="A1073" s="4" t="str">
        <f>IFERROR(__xludf.DUMMYFUNCTION("""COMPUTED_VALUE"""),"1661 - Channel")</f>
        <v>1661 - Channel</v>
      </c>
      <c r="B1073" s="4" t="s">
        <v>22</v>
      </c>
      <c r="C1073" s="6">
        <v>0.6787847222222225</v>
      </c>
      <c r="D1073" s="4" t="s">
        <v>1589</v>
      </c>
      <c r="E1073" s="56"/>
    </row>
    <row r="1074">
      <c r="A1074" s="4" t="str">
        <f>IFERROR(__xludf.DUMMYFUNCTION("""COMPUTED_VALUE"""),"1662 - Channel")</f>
        <v>1662 - Channel</v>
      </c>
      <c r="B1074" s="4" t="s">
        <v>22</v>
      </c>
      <c r="C1074" s="6">
        <v>0.7065625000000003</v>
      </c>
      <c r="D1074" s="4" t="s">
        <v>1497</v>
      </c>
      <c r="E1074" s="56"/>
    </row>
    <row r="1075">
      <c r="A1075" s="4" t="str">
        <f>IFERROR(__xludf.DUMMYFUNCTION("""COMPUTED_VALUE"""),"1202 - Channel")</f>
        <v>1202 - Channel</v>
      </c>
      <c r="B1075" s="4" t="s">
        <v>22</v>
      </c>
      <c r="C1075" s="6">
        <v>0.707766203703704</v>
      </c>
      <c r="D1075" s="4" t="s">
        <v>1538</v>
      </c>
      <c r="E1075" s="56"/>
    </row>
    <row r="1076">
      <c r="A1076" s="4" t="str">
        <f>IFERROR(__xludf.DUMMYFUNCTION("""COMPUTED_VALUE"""),"1203 - Channel")</f>
        <v>1203 - Channel</v>
      </c>
      <c r="B1076" s="4" t="s">
        <v>22</v>
      </c>
      <c r="C1076" s="6">
        <v>0.7081134259259263</v>
      </c>
      <c r="D1076" s="4"/>
      <c r="E1076" s="56"/>
    </row>
    <row r="1077">
      <c r="A1077" s="4" t="str">
        <f>IFERROR(__xludf.DUMMYFUNCTION("""COMPUTED_VALUE"""),"1204 - Channel")</f>
        <v>1204 - Channel</v>
      </c>
      <c r="B1077" s="4" t="s">
        <v>22</v>
      </c>
      <c r="C1077" s="6">
        <v>0.7081134259259263</v>
      </c>
      <c r="D1077" s="4"/>
      <c r="E1077" s="56"/>
    </row>
    <row r="1078">
      <c r="A1078" s="4" t="str">
        <f>IFERROR(__xludf.DUMMYFUNCTION("""COMPUTED_VALUE"""),"1205 - Channel")</f>
        <v>1205 - Channel</v>
      </c>
      <c r="B1078" s="4" t="s">
        <v>22</v>
      </c>
      <c r="C1078" s="6">
        <v>0.7081134259259263</v>
      </c>
      <c r="D1078" s="4"/>
      <c r="E1078" s="56"/>
    </row>
    <row r="1079">
      <c r="A1079" s="4" t="str">
        <f>IFERROR(__xludf.DUMMYFUNCTION("""COMPUTED_VALUE"""),"1206 - Channel")</f>
        <v>1206 - Channel</v>
      </c>
      <c r="B1079" s="4" t="s">
        <v>22</v>
      </c>
      <c r="C1079" s="6">
        <v>0.7081134259259263</v>
      </c>
      <c r="D1079" s="4"/>
      <c r="E1079" s="56"/>
    </row>
    <row r="1080">
      <c r="A1080" s="4" t="str">
        <f>IFERROR(__xludf.DUMMYFUNCTION("""COMPUTED_VALUE"""),"1207 - Channel")</f>
        <v>1207 - Channel</v>
      </c>
      <c r="B1080" s="4" t="s">
        <v>22</v>
      </c>
      <c r="C1080" s="6">
        <v>0.7081134259259263</v>
      </c>
      <c r="D1080" s="4"/>
      <c r="E1080" s="56"/>
    </row>
    <row r="1081">
      <c r="A1081" s="4" t="str">
        <f>IFERROR(__xludf.DUMMYFUNCTION("""COMPUTED_VALUE"""),"1208 - Channel")</f>
        <v>1208 - Channel</v>
      </c>
      <c r="B1081" s="4" t="s">
        <v>344</v>
      </c>
      <c r="C1081" s="6"/>
      <c r="D1081" s="4"/>
      <c r="E1081" s="56"/>
    </row>
    <row r="1082">
      <c r="A1082" s="4" t="str">
        <f>IFERROR(__xludf.DUMMYFUNCTION("""COMPUTED_VALUE"""),"1209 - Channel")</f>
        <v>1209 - Channel</v>
      </c>
      <c r="B1082" s="4" t="s">
        <v>22</v>
      </c>
      <c r="C1082" s="6">
        <v>0.4166666666666667</v>
      </c>
      <c r="D1082" s="4" t="s">
        <v>1497</v>
      </c>
      <c r="E1082" s="56"/>
    </row>
    <row r="1083">
      <c r="A1083" s="4" t="str">
        <f>IFERROR(__xludf.DUMMYFUNCTION("""COMPUTED_VALUE"""),"1686 - Channel")</f>
        <v>1686 - Channel</v>
      </c>
      <c r="B1083" s="4" t="s">
        <v>22</v>
      </c>
      <c r="C1083" s="6">
        <v>0.4178703703703704</v>
      </c>
      <c r="D1083" s="4" t="s">
        <v>1498</v>
      </c>
      <c r="E1083" s="56"/>
    </row>
    <row r="1084">
      <c r="A1084" s="4" t="str">
        <f>IFERROR(__xludf.DUMMYFUNCTION("""COMPUTED_VALUE"""),"1687 - Channel")</f>
        <v>1687 - Channel</v>
      </c>
      <c r="B1084" s="4" t="s">
        <v>22</v>
      </c>
      <c r="C1084" s="6">
        <v>0.4182175925925926</v>
      </c>
      <c r="D1084" s="4" t="s">
        <v>1268</v>
      </c>
      <c r="E1084" s="56"/>
    </row>
    <row r="1085">
      <c r="A1085" s="4" t="str">
        <f>IFERROR(__xludf.DUMMYFUNCTION("""COMPUTED_VALUE"""),"1688 - Channel")</f>
        <v>1688 - Channel</v>
      </c>
      <c r="B1085" s="4" t="s">
        <v>22</v>
      </c>
      <c r="C1085" s="6">
        <v>0.4274074074074074</v>
      </c>
      <c r="D1085" s="4" t="s">
        <v>1497</v>
      </c>
      <c r="E1085" s="56"/>
    </row>
    <row r="1086">
      <c r="A1086" s="4" t="str">
        <f>IFERROR(__xludf.DUMMYFUNCTION("""COMPUTED_VALUE"""),"1689 - Channel")</f>
        <v>1689 - Channel</v>
      </c>
      <c r="B1086" s="4" t="s">
        <v>22</v>
      </c>
      <c r="C1086" s="6">
        <v>0.4286111111111111</v>
      </c>
      <c r="D1086" s="4" t="s">
        <v>1498</v>
      </c>
      <c r="E1086" s="56"/>
    </row>
    <row r="1087">
      <c r="A1087" s="4" t="str">
        <f>IFERROR(__xludf.DUMMYFUNCTION("""COMPUTED_VALUE"""),"1690 - Channel")</f>
        <v>1690 - Channel</v>
      </c>
      <c r="B1087" s="4" t="s">
        <v>22</v>
      </c>
      <c r="C1087" s="6">
        <v>0.42895833333333333</v>
      </c>
      <c r="D1087" s="4" t="s">
        <v>1599</v>
      </c>
      <c r="E1087" s="56"/>
    </row>
    <row r="1088">
      <c r="A1088" s="4" t="str">
        <f>IFERROR(__xludf.DUMMYFUNCTION("""COMPUTED_VALUE"""),"1691 - Channel")</f>
        <v>1691 - Channel</v>
      </c>
      <c r="B1088" s="4" t="s">
        <v>22</v>
      </c>
      <c r="C1088" s="6">
        <v>0.439375</v>
      </c>
      <c r="D1088" s="4" t="s">
        <v>1497</v>
      </c>
      <c r="E1088" s="56"/>
    </row>
    <row r="1089">
      <c r="A1089" s="4" t="str">
        <f>IFERROR(__xludf.DUMMYFUNCTION("""COMPUTED_VALUE"""),"1148 - Channel")</f>
        <v>1148 - Channel</v>
      </c>
      <c r="B1089" s="4" t="s">
        <v>22</v>
      </c>
      <c r="C1089" s="6">
        <v>0.4405787037037037</v>
      </c>
      <c r="D1089" s="4" t="s">
        <v>1498</v>
      </c>
      <c r="E1089" s="56"/>
    </row>
    <row r="1090">
      <c r="A1090" s="4" t="str">
        <f>IFERROR(__xludf.DUMMYFUNCTION("""COMPUTED_VALUE"""),"1149 - Channel")</f>
        <v>1149 - Channel</v>
      </c>
      <c r="B1090" s="4" t="s">
        <v>22</v>
      </c>
      <c r="C1090" s="6">
        <v>0.44092592592592594</v>
      </c>
      <c r="D1090" s="4" t="s">
        <v>1605</v>
      </c>
      <c r="E1090" s="56"/>
    </row>
    <row r="1091">
      <c r="A1091" s="4" t="str">
        <f>IFERROR(__xludf.DUMMYFUNCTION("""COMPUTED_VALUE"""),"1150 - Channel")</f>
        <v>1150 - Channel</v>
      </c>
      <c r="B1091" s="4" t="s">
        <v>22</v>
      </c>
      <c r="C1091" s="6">
        <v>0.47217592592592594</v>
      </c>
      <c r="D1091" s="4" t="s">
        <v>1497</v>
      </c>
      <c r="E1091" s="56"/>
    </row>
    <row r="1092">
      <c r="A1092" s="4" t="str">
        <f>IFERROR(__xludf.DUMMYFUNCTION("""COMPUTED_VALUE"""),"1184 - Channel")</f>
        <v>1184 - Channel</v>
      </c>
      <c r="B1092" s="4" t="s">
        <v>22</v>
      </c>
      <c r="C1092" s="6">
        <v>0.4735648148148148</v>
      </c>
      <c r="D1092" s="4" t="s">
        <v>1498</v>
      </c>
      <c r="E1092" s="56"/>
    </row>
    <row r="1093">
      <c r="A1093" s="4" t="str">
        <f>IFERROR(__xludf.DUMMYFUNCTION("""COMPUTED_VALUE"""),"1185 - Channel")</f>
        <v>1185 - Channel</v>
      </c>
      <c r="B1093" s="4" t="s">
        <v>22</v>
      </c>
      <c r="C1093" s="6">
        <v>0.47391203703703705</v>
      </c>
      <c r="D1093" s="4" t="s">
        <v>1608</v>
      </c>
      <c r="E1093" s="81" t="s">
        <v>4109</v>
      </c>
    </row>
    <row r="1094">
      <c r="A1094" s="4" t="str">
        <f>IFERROR(__xludf.DUMMYFUNCTION("""COMPUTED_VALUE"""),"1186 - Channel")</f>
        <v>1186 - Channel</v>
      </c>
      <c r="B1094" s="4" t="s">
        <v>22</v>
      </c>
      <c r="C1094" s="6">
        <v>0.5002662037037037</v>
      </c>
      <c r="D1094" s="4" t="s">
        <v>1497</v>
      </c>
      <c r="E1094" s="56"/>
    </row>
    <row r="1095">
      <c r="A1095" s="4" t="str">
        <f>IFERROR(__xludf.DUMMYFUNCTION("""COMPUTED_VALUE"""),"1219 - Channel")</f>
        <v>1219 - Channel</v>
      </c>
      <c r="B1095" s="4" t="s">
        <v>22</v>
      </c>
      <c r="C1095" s="6">
        <v>0.5016550925925926</v>
      </c>
      <c r="D1095" s="4" t="s">
        <v>1498</v>
      </c>
      <c r="E1095" s="56"/>
    </row>
    <row r="1096">
      <c r="A1096" s="4" t="str">
        <f>IFERROR(__xludf.DUMMYFUNCTION("""COMPUTED_VALUE"""),"1220 - Channel")</f>
        <v>1220 - Channel</v>
      </c>
      <c r="B1096" s="4" t="s">
        <v>22</v>
      </c>
      <c r="C1096" s="6">
        <v>0.5020023148148148</v>
      </c>
      <c r="D1096" s="4" t="s">
        <v>1611</v>
      </c>
      <c r="E1096" s="81" t="s">
        <v>4276</v>
      </c>
    </row>
    <row r="1097">
      <c r="A1097" s="4" t="str">
        <f>IFERROR(__xludf.DUMMYFUNCTION("""COMPUTED_VALUE"""),"1221 - Channel")</f>
        <v>1221 - Channel</v>
      </c>
      <c r="B1097" s="4" t="s">
        <v>22</v>
      </c>
      <c r="C1097" s="6">
        <v>0.5391435185185185</v>
      </c>
      <c r="D1097" s="4" t="s">
        <v>1497</v>
      </c>
      <c r="E1097" s="56"/>
    </row>
    <row r="1098">
      <c r="A1098" s="4" t="str">
        <f>IFERROR(__xludf.DUMMYFUNCTION("""COMPUTED_VALUE"""),"1225 - Channel")</f>
        <v>1225 - Channel</v>
      </c>
      <c r="B1098" s="4" t="s">
        <v>22</v>
      </c>
      <c r="C1098" s="6">
        <v>0.5405324074074074</v>
      </c>
      <c r="D1098" s="4" t="s">
        <v>1498</v>
      </c>
      <c r="E1098" s="56"/>
    </row>
    <row r="1099">
      <c r="A1099" s="4" t="str">
        <f>IFERROR(__xludf.DUMMYFUNCTION("""COMPUTED_VALUE"""),"1226 - Channel")</f>
        <v>1226 - Channel</v>
      </c>
      <c r="B1099" s="4" t="s">
        <v>22</v>
      </c>
      <c r="C1099" s="6">
        <v>0.5408796296296297</v>
      </c>
      <c r="D1099" s="4" t="s">
        <v>1614</v>
      </c>
      <c r="E1099" s="81" t="s">
        <v>4300</v>
      </c>
    </row>
    <row r="1100">
      <c r="A1100" s="4" t="str">
        <f>IFERROR(__xludf.DUMMYFUNCTION("""COMPUTED_VALUE"""),"1227 - Channel")</f>
        <v>1227 - Channel</v>
      </c>
      <c r="B1100" s="4" t="s">
        <v>22</v>
      </c>
      <c r="C1100" s="6">
        <v>0.5683449074074074</v>
      </c>
      <c r="D1100" s="4" t="s">
        <v>1497</v>
      </c>
      <c r="E1100" s="56"/>
    </row>
    <row r="1101">
      <c r="A1101" s="4" t="str">
        <f>IFERROR(__xludf.DUMMYFUNCTION("""COMPUTED_VALUE"""),"1178 - Channel")</f>
        <v>1178 - Channel</v>
      </c>
      <c r="B1101" s="4" t="s">
        <v>22</v>
      </c>
      <c r="C1101" s="6">
        <v>0.5697337962962963</v>
      </c>
      <c r="D1101" s="4" t="s">
        <v>1498</v>
      </c>
      <c r="E1101" s="56"/>
    </row>
    <row r="1102">
      <c r="A1102" s="4" t="str">
        <f>IFERROR(__xludf.DUMMYFUNCTION("""COMPUTED_VALUE"""),"1179 - Channel")</f>
        <v>1179 - Channel</v>
      </c>
      <c r="B1102" s="4" t="s">
        <v>22</v>
      </c>
      <c r="C1102" s="6">
        <v>0.5700810185185186</v>
      </c>
      <c r="D1102" s="4" t="s">
        <v>1625</v>
      </c>
      <c r="E1102" s="56"/>
    </row>
    <row r="1103">
      <c r="A1103" s="4" t="str">
        <f>IFERROR(__xludf.DUMMYFUNCTION("""COMPUTED_VALUE"""),"1180 - Channel")</f>
        <v>1180 - Channel</v>
      </c>
      <c r="B1103" s="4" t="s">
        <v>22</v>
      </c>
      <c r="C1103" s="6">
        <v>0.6013310185185186</v>
      </c>
      <c r="D1103" s="4" t="s">
        <v>1497</v>
      </c>
      <c r="E1103" s="56"/>
    </row>
    <row r="1104">
      <c r="A1104" s="4" t="str">
        <f>IFERROR(__xludf.DUMMYFUNCTION("""COMPUTED_VALUE"""),"1231 - Channel")</f>
        <v>1231 - Channel</v>
      </c>
      <c r="B1104" s="4" t="s">
        <v>22</v>
      </c>
      <c r="C1104" s="6">
        <v>0.6027199074074074</v>
      </c>
      <c r="D1104" s="4" t="s">
        <v>1498</v>
      </c>
      <c r="E1104" s="56"/>
    </row>
    <row r="1105">
      <c r="A1105" s="4" t="str">
        <f>IFERROR(__xludf.DUMMYFUNCTION("""COMPUTED_VALUE"""),"1232 - Channel")</f>
        <v>1232 - Channel</v>
      </c>
      <c r="B1105" s="4" t="s">
        <v>22</v>
      </c>
      <c r="C1105" s="6">
        <v>0.6030671296296297</v>
      </c>
      <c r="D1105" s="4" t="s">
        <v>1630</v>
      </c>
      <c r="E1105" s="56"/>
    </row>
    <row r="1106">
      <c r="A1106" s="4" t="str">
        <f>IFERROR(__xludf.DUMMYFUNCTION("""COMPUTED_VALUE"""),"1233 - Channel")</f>
        <v>1233 - Channel</v>
      </c>
      <c r="B1106" s="4" t="s">
        <v>22</v>
      </c>
      <c r="C1106" s="6">
        <v>0.6241087962962963</v>
      </c>
      <c r="D1106" s="4" t="s">
        <v>1497</v>
      </c>
      <c r="E1106" s="56"/>
    </row>
    <row r="1107">
      <c r="A1107" s="4" t="str">
        <f>IFERROR(__xludf.DUMMYFUNCTION("""COMPUTED_VALUE"""),"1210 - Channel")</f>
        <v>1210 - Channel</v>
      </c>
      <c r="B1107" s="4" t="s">
        <v>22</v>
      </c>
      <c r="C1107" s="6">
        <v>0.6254976851851852</v>
      </c>
      <c r="D1107" s="4" t="s">
        <v>1498</v>
      </c>
      <c r="E1107" s="56"/>
    </row>
    <row r="1108">
      <c r="A1108" s="4" t="str">
        <f>IFERROR(__xludf.DUMMYFUNCTION("""COMPUTED_VALUE"""),"1211 - Channel")</f>
        <v>1211 - Channel</v>
      </c>
      <c r="B1108" s="4" t="s">
        <v>22</v>
      </c>
      <c r="C1108" s="6">
        <v>0.6258449074074075</v>
      </c>
      <c r="D1108" s="4" t="s">
        <v>1634</v>
      </c>
      <c r="E1108" s="81" t="s">
        <v>4243</v>
      </c>
    </row>
    <row r="1109">
      <c r="A1109" s="4" t="str">
        <f>IFERROR(__xludf.DUMMYFUNCTION("""COMPUTED_VALUE"""),"1230 - Channel")</f>
        <v>1230 - Channel</v>
      </c>
      <c r="B1109" s="4" t="s">
        <v>22</v>
      </c>
      <c r="C1109" s="6">
        <v>0.6510300925925927</v>
      </c>
      <c r="D1109" s="4" t="s">
        <v>1497</v>
      </c>
      <c r="E1109" s="56"/>
    </row>
    <row r="1110">
      <c r="A1110" s="4" t="str">
        <f>IFERROR(__xludf.DUMMYFUNCTION("""COMPUTED_VALUE"""),"1693 - Channel")</f>
        <v>1693 - Channel</v>
      </c>
      <c r="B1110" s="4" t="s">
        <v>22</v>
      </c>
      <c r="C1110" s="6">
        <v>0.6524189814814816</v>
      </c>
      <c r="D1110" s="4" t="s">
        <v>1498</v>
      </c>
      <c r="E1110" s="56"/>
    </row>
    <row r="1111">
      <c r="A1111" s="4" t="str">
        <f>IFERROR(__xludf.DUMMYFUNCTION("""COMPUTED_VALUE"""),"1694 - Channel")</f>
        <v>1694 - Channel</v>
      </c>
      <c r="B1111" s="4" t="s">
        <v>22</v>
      </c>
      <c r="C1111" s="6">
        <v>0.6527662037037039</v>
      </c>
      <c r="D1111" s="4" t="s">
        <v>1444</v>
      </c>
      <c r="E1111" s="56"/>
    </row>
    <row r="1112">
      <c r="A1112" s="4" t="str">
        <f>IFERROR(__xludf.DUMMYFUNCTION("""COMPUTED_VALUE"""),"1695 - Channel")</f>
        <v>1695 - Channel</v>
      </c>
      <c r="B1112" s="4" t="s">
        <v>22</v>
      </c>
      <c r="C1112" s="6">
        <v>0.6598958333333335</v>
      </c>
      <c r="D1112" s="4" t="s">
        <v>1497</v>
      </c>
      <c r="E1112" s="56"/>
    </row>
    <row r="1113">
      <c r="A1113" s="4" t="str">
        <f>IFERROR(__xludf.DUMMYFUNCTION("""COMPUTED_VALUE"""),"1696 - Channel")</f>
        <v>1696 - Channel</v>
      </c>
      <c r="B1113" s="4" t="s">
        <v>22</v>
      </c>
      <c r="C1113" s="6">
        <v>0.6610995370370372</v>
      </c>
      <c r="D1113" s="4" t="s">
        <v>1498</v>
      </c>
      <c r="E1113" s="56"/>
    </row>
    <row r="1114">
      <c r="A1114" s="4" t="str">
        <f>IFERROR(__xludf.DUMMYFUNCTION("""COMPUTED_VALUE"""),"1697 - Channel")</f>
        <v>1697 - Channel</v>
      </c>
      <c r="B1114" s="4" t="s">
        <v>22</v>
      </c>
      <c r="C1114" s="6">
        <v>0.6614467592592594</v>
      </c>
      <c r="D1114" s="4" t="s">
        <v>1638</v>
      </c>
      <c r="E1114" s="56"/>
    </row>
    <row r="1115">
      <c r="A1115" s="4" t="str">
        <f>IFERROR(__xludf.DUMMYFUNCTION("""COMPUTED_VALUE"""),"1698 - Channel")</f>
        <v>1698 - Channel</v>
      </c>
      <c r="B1115" s="4" t="s">
        <v>22</v>
      </c>
      <c r="C1115" s="6">
        <v>0.6718634259259261</v>
      </c>
      <c r="D1115" s="4" t="s">
        <v>1497</v>
      </c>
      <c r="E1115" s="56"/>
    </row>
    <row r="1116">
      <c r="A1116" s="4" t="str">
        <f>IFERROR(__xludf.DUMMYFUNCTION("""COMPUTED_VALUE"""),"1699 - Channel")</f>
        <v>1699 - Channel</v>
      </c>
      <c r="B1116" s="4" t="s">
        <v>22</v>
      </c>
      <c r="C1116" s="6">
        <v>0.6730671296296298</v>
      </c>
      <c r="D1116" s="4" t="s">
        <v>1498</v>
      </c>
      <c r="E1116" s="56"/>
    </row>
    <row r="1117">
      <c r="A1117" s="4" t="str">
        <f>IFERROR(__xludf.DUMMYFUNCTION("""COMPUTED_VALUE"""),"1700 - Channel")</f>
        <v>1700 - Channel</v>
      </c>
      <c r="B1117" s="4" t="s">
        <v>22</v>
      </c>
      <c r="C1117" s="6">
        <v>0.673414351851852</v>
      </c>
      <c r="D1117" s="4" t="s">
        <v>1643</v>
      </c>
      <c r="E1117" s="56"/>
    </row>
    <row r="1118">
      <c r="A1118" s="4" t="str">
        <f>IFERROR(__xludf.DUMMYFUNCTION("""COMPUTED_VALUE"""),"1701 - Channel")</f>
        <v>1701 - Channel</v>
      </c>
      <c r="B1118" s="4" t="s">
        <v>22</v>
      </c>
      <c r="C1118" s="6">
        <v>0.6817476851851854</v>
      </c>
      <c r="D1118" s="4" t="s">
        <v>1497</v>
      </c>
      <c r="E1118" s="56"/>
    </row>
    <row r="1119">
      <c r="A1119" s="4" t="str">
        <f>IFERROR(__xludf.DUMMYFUNCTION("""COMPUTED_VALUE"""),"1702 - Channel")</f>
        <v>1702 - Channel</v>
      </c>
      <c r="B1119" s="4" t="s">
        <v>22</v>
      </c>
      <c r="C1119" s="6">
        <v>0.6829513888888891</v>
      </c>
      <c r="D1119" s="4" t="s">
        <v>1498</v>
      </c>
      <c r="E1119" s="56"/>
    </row>
    <row r="1120">
      <c r="A1120" s="4" t="str">
        <f>IFERROR(__xludf.DUMMYFUNCTION("""COMPUTED_VALUE"""),"1703 - Channel")</f>
        <v>1703 - Channel</v>
      </c>
      <c r="B1120" s="4" t="s">
        <v>22</v>
      </c>
      <c r="C1120" s="6">
        <v>0.6832986111111113</v>
      </c>
      <c r="D1120" s="4" t="s">
        <v>1646</v>
      </c>
      <c r="E1120" s="56"/>
    </row>
    <row r="1121">
      <c r="A1121" s="4" t="str">
        <f>IFERROR(__xludf.DUMMYFUNCTION("""COMPUTED_VALUE"""),"1704 - Channel")</f>
        <v>1704 - Channel</v>
      </c>
      <c r="B1121" s="4" t="s">
        <v>22</v>
      </c>
      <c r="C1121" s="6">
        <v>0.693715277777778</v>
      </c>
      <c r="D1121" s="4" t="s">
        <v>1497</v>
      </c>
      <c r="E1121" s="56"/>
    </row>
    <row r="1122">
      <c r="A1122" s="4" t="str">
        <f>IFERROR(__xludf.DUMMYFUNCTION("""COMPUTED_VALUE"""),"1705 - Channel")</f>
        <v>1705 - Channel</v>
      </c>
      <c r="B1122" s="4" t="s">
        <v>22</v>
      </c>
      <c r="C1122" s="6">
        <v>0.6949189814814817</v>
      </c>
      <c r="D1122" s="4" t="s">
        <v>1498</v>
      </c>
      <c r="E1122" s="56"/>
    </row>
    <row r="1123">
      <c r="A1123" s="4" t="str">
        <f>IFERROR(__xludf.DUMMYFUNCTION("""COMPUTED_VALUE"""),"1706 - Channel")</f>
        <v>1706 - Channel</v>
      </c>
      <c r="B1123" s="4" t="s">
        <v>22</v>
      </c>
      <c r="C1123" s="6">
        <v>0.695266203703704</v>
      </c>
      <c r="D1123" s="4" t="s">
        <v>1652</v>
      </c>
      <c r="E1123" s="56"/>
    </row>
    <row r="1124">
      <c r="A1124" s="4" t="str">
        <f>IFERROR(__xludf.DUMMYFUNCTION("""COMPUTED_VALUE"""),"1707 - Channel")</f>
        <v>1707 - Channel</v>
      </c>
      <c r="B1124" s="4" t="s">
        <v>22</v>
      </c>
      <c r="C1124" s="6">
        <v>0.7035995370370373</v>
      </c>
      <c r="D1124" s="4" t="s">
        <v>1497</v>
      </c>
      <c r="E1124" s="56"/>
    </row>
    <row r="1125">
      <c r="A1125" s="4" t="str">
        <f>IFERROR(__xludf.DUMMYFUNCTION("""COMPUTED_VALUE"""),"1246 - Channel")</f>
        <v>1246 - Channel</v>
      </c>
      <c r="B1125" s="4" t="s">
        <v>22</v>
      </c>
      <c r="C1125" s="6">
        <v>0.704803240740741</v>
      </c>
      <c r="D1125" s="4" t="s">
        <v>85</v>
      </c>
      <c r="E1125" s="56"/>
    </row>
    <row r="1126">
      <c r="A1126" s="4" t="str">
        <f>IFERROR(__xludf.DUMMYFUNCTION("""COMPUTED_VALUE"""),"1247 - Channel")</f>
        <v>1247 - Channel</v>
      </c>
      <c r="B1126" s="4" t="s">
        <v>22</v>
      </c>
      <c r="C1126" s="6">
        <v>0.7051504629629632</v>
      </c>
      <c r="D1126" s="4"/>
      <c r="E1126" s="56"/>
    </row>
    <row r="1127">
      <c r="A1127" s="4" t="str">
        <f>IFERROR(__xludf.DUMMYFUNCTION("""COMPUTED_VALUE"""),"1248 - Channel")</f>
        <v>1248 - Channel</v>
      </c>
      <c r="B1127" s="4" t="s">
        <v>22</v>
      </c>
      <c r="C1127" s="6">
        <v>0.7051504629629632</v>
      </c>
      <c r="D1127" s="4"/>
      <c r="E1127" s="56"/>
    </row>
    <row r="1128">
      <c r="A1128" s="4" t="str">
        <f>IFERROR(__xludf.DUMMYFUNCTION("""COMPUTED_VALUE"""),"1249 - Channel")</f>
        <v>1249 - Channel</v>
      </c>
      <c r="B1128" s="4" t="s">
        <v>22</v>
      </c>
      <c r="C1128" s="6">
        <v>0.7051504629629632</v>
      </c>
      <c r="D1128" s="4"/>
      <c r="E1128" s="56"/>
    </row>
    <row r="1129">
      <c r="A1129" s="4" t="str">
        <f>IFERROR(__xludf.DUMMYFUNCTION("""COMPUTED_VALUE"""),"1250 - Channel")</f>
        <v>1250 - Channel</v>
      </c>
      <c r="B1129" s="4" t="s">
        <v>22</v>
      </c>
      <c r="C1129" s="6">
        <v>0.7051504629629632</v>
      </c>
      <c r="D1129" s="4"/>
      <c r="E1129" s="56"/>
    </row>
    <row r="1130">
      <c r="A1130" s="4" t="str">
        <f>IFERROR(__xludf.DUMMYFUNCTION("""COMPUTED_VALUE"""),"1251 - Channel")</f>
        <v>1251 - Channel</v>
      </c>
      <c r="B1130" s="4" t="s">
        <v>22</v>
      </c>
      <c r="C1130" s="6">
        <v>0.7051504629629632</v>
      </c>
      <c r="D1130" s="4"/>
      <c r="E1130" s="56"/>
    </row>
    <row r="1131">
      <c r="A1131" s="4" t="str">
        <f>IFERROR(__xludf.DUMMYFUNCTION("""COMPUTED_VALUE"""),"1252 - Channel")</f>
        <v>1252 - Channel</v>
      </c>
      <c r="B1131" s="4" t="s">
        <v>22</v>
      </c>
      <c r="C1131" s="6">
        <v>0.7051504629629632</v>
      </c>
      <c r="D1131" s="4"/>
      <c r="E1131" s="56"/>
    </row>
    <row r="1132">
      <c r="A1132" s="4" t="str">
        <f>IFERROR(__xludf.DUMMYFUNCTION("""COMPUTED_VALUE"""),"1253 - Channel")</f>
        <v>1253 - Channel</v>
      </c>
      <c r="B1132" s="4" t="s">
        <v>22</v>
      </c>
      <c r="C1132" s="6"/>
      <c r="D1132" s="4"/>
      <c r="E1132" s="56"/>
    </row>
    <row r="1133">
      <c r="A1133" s="4" t="str">
        <f>IFERROR(__xludf.DUMMYFUNCTION("""COMPUTED_VALUE"""),"1254 - Channel")</f>
        <v>1254 - Channel</v>
      </c>
      <c r="B1133" s="4" t="s">
        <v>1667</v>
      </c>
      <c r="C1133" s="6"/>
      <c r="D1133" s="4"/>
      <c r="E1133" s="56"/>
    </row>
    <row r="1134">
      <c r="A1134" s="4" t="str">
        <f>IFERROR(__xludf.DUMMYFUNCTION("""COMPUTED_VALUE"""),"1255 - Channel")</f>
        <v>1255 - Channel</v>
      </c>
      <c r="B1134" s="4"/>
      <c r="C1134" s="6"/>
      <c r="D1134" s="4"/>
      <c r="E1134" s="56"/>
    </row>
    <row r="1135">
      <c r="A1135" s="4" t="str">
        <f>IFERROR(__xludf.DUMMYFUNCTION("""COMPUTED_VALUE"""),"1256 - Channel")</f>
        <v>1256 - Channel</v>
      </c>
      <c r="B1135" s="4" t="s">
        <v>785</v>
      </c>
      <c r="C1135" s="6">
        <v>0.4166666666666667</v>
      </c>
      <c r="D1135" s="4" t="s">
        <v>1671</v>
      </c>
      <c r="E1135" s="81" t="s">
        <v>4425</v>
      </c>
    </row>
    <row r="1136">
      <c r="A1136" s="4" t="str">
        <f>IFERROR(__xludf.DUMMYFUNCTION("""COMPUTED_VALUE"""),"1258 - Channel")</f>
        <v>1258 - Channel</v>
      </c>
      <c r="B1136" s="4" t="s">
        <v>785</v>
      </c>
      <c r="C1136" s="6">
        <v>0.42708333333333337</v>
      </c>
      <c r="D1136" s="4" t="s">
        <v>1675</v>
      </c>
      <c r="E1136" s="81" t="s">
        <v>4434</v>
      </c>
    </row>
    <row r="1137">
      <c r="A1137" s="4" t="str">
        <f>IFERROR(__xludf.DUMMYFUNCTION("""COMPUTED_VALUE"""),"1260 - Channel")</f>
        <v>1260 - Channel</v>
      </c>
      <c r="B1137" s="4" t="s">
        <v>785</v>
      </c>
      <c r="C1137" s="6">
        <v>0.43750000000000006</v>
      </c>
      <c r="D1137" s="4" t="s">
        <v>1677</v>
      </c>
      <c r="E1137" s="81" t="s">
        <v>4440</v>
      </c>
    </row>
    <row r="1138">
      <c r="A1138" s="4" t="str">
        <f>IFERROR(__xludf.DUMMYFUNCTION("""COMPUTED_VALUE"""),"1263 - Channel")</f>
        <v>1263 - Channel</v>
      </c>
      <c r="B1138" s="4" t="s">
        <v>785</v>
      </c>
      <c r="C1138" s="6">
        <v>0.44791666666666674</v>
      </c>
      <c r="D1138" s="4" t="s">
        <v>1681</v>
      </c>
      <c r="E1138" s="81" t="s">
        <v>4455</v>
      </c>
    </row>
    <row r="1139">
      <c r="A1139" s="4" t="str">
        <f>IFERROR(__xludf.DUMMYFUNCTION("""COMPUTED_VALUE"""),"1267 - Channel")</f>
        <v>1267 - Channel</v>
      </c>
      <c r="B1139" s="4" t="s">
        <v>785</v>
      </c>
      <c r="C1139" s="6">
        <v>0.4555555555555556</v>
      </c>
      <c r="D1139" s="4" t="s">
        <v>1685</v>
      </c>
      <c r="E1139" s="56"/>
    </row>
    <row r="1140">
      <c r="A1140" s="4" t="str">
        <f>IFERROR(__xludf.DUMMYFUNCTION("""COMPUTED_VALUE"""),"1268 - Channel")</f>
        <v>1268 - Channel</v>
      </c>
      <c r="B1140" s="4" t="s">
        <v>785</v>
      </c>
      <c r="C1140" s="6">
        <v>0.46111111111111114</v>
      </c>
      <c r="D1140" s="4" t="s">
        <v>1688</v>
      </c>
      <c r="E1140" s="81" t="s">
        <v>4477</v>
      </c>
    </row>
    <row r="1141">
      <c r="A1141" s="4" t="str">
        <f>IFERROR(__xludf.DUMMYFUNCTION("""COMPUTED_VALUE"""),"1269 - Channel")</f>
        <v>1269 - Channel</v>
      </c>
      <c r="B1141" s="4" t="s">
        <v>785</v>
      </c>
      <c r="C1141" s="6">
        <v>0.4694444444444445</v>
      </c>
      <c r="D1141" s="4" t="s">
        <v>1693</v>
      </c>
      <c r="E1141" s="81" t="s">
        <v>4481</v>
      </c>
    </row>
    <row r="1142">
      <c r="A1142" s="4" t="str">
        <f>IFERROR(__xludf.DUMMYFUNCTION("""COMPUTED_VALUE"""),"1270 - Channel")</f>
        <v>1270 - Channel</v>
      </c>
      <c r="B1142" s="4" t="s">
        <v>785</v>
      </c>
      <c r="C1142" s="6">
        <v>0.4798611111111112</v>
      </c>
      <c r="D1142" s="4" t="s">
        <v>1697</v>
      </c>
      <c r="E1142" s="81" t="s">
        <v>4486</v>
      </c>
    </row>
    <row r="1143">
      <c r="A1143" s="4" t="str">
        <f>IFERROR(__xludf.DUMMYFUNCTION("""COMPUTED_VALUE"""),"1271 - Channel")</f>
        <v>1271 - Channel</v>
      </c>
      <c r="B1143" s="4" t="s">
        <v>785</v>
      </c>
      <c r="C1143" s="6">
        <v>0.49027777777777787</v>
      </c>
      <c r="D1143" s="4" t="s">
        <v>1702</v>
      </c>
      <c r="E1143" s="81" t="s">
        <v>4490</v>
      </c>
    </row>
    <row r="1144">
      <c r="A1144" s="4" t="str">
        <f>IFERROR(__xludf.DUMMYFUNCTION("""COMPUTED_VALUE"""),"1274 - Channel")</f>
        <v>1274 - Channel</v>
      </c>
      <c r="B1144" s="4" t="s">
        <v>785</v>
      </c>
      <c r="C1144" s="6">
        <v>0.5006944444444446</v>
      </c>
      <c r="D1144" s="4" t="s">
        <v>1706</v>
      </c>
      <c r="E1144" s="81" t="s">
        <v>4498</v>
      </c>
    </row>
    <row r="1145">
      <c r="A1145" s="4" t="str">
        <f>IFERROR(__xludf.DUMMYFUNCTION("""COMPUTED_VALUE"""),"1278 - Channel")</f>
        <v>1278 - Channel</v>
      </c>
      <c r="B1145" s="4" t="s">
        <v>785</v>
      </c>
      <c r="C1145" s="6">
        <v>0.5090277777777779</v>
      </c>
      <c r="D1145" s="4" t="s">
        <v>1707</v>
      </c>
      <c r="E1145" s="81" t="s">
        <v>4507</v>
      </c>
    </row>
    <row r="1146">
      <c r="A1146" s="4" t="str">
        <f>IFERROR(__xludf.DUMMYFUNCTION("""COMPUTED_VALUE"""),"1282 - Channel")</f>
        <v>1282 - Channel</v>
      </c>
      <c r="B1146" s="4" t="s">
        <v>785</v>
      </c>
      <c r="C1146" s="6">
        <v>0.5194444444444445</v>
      </c>
      <c r="D1146" s="4" t="s">
        <v>1713</v>
      </c>
      <c r="E1146" s="56"/>
    </row>
    <row r="1147">
      <c r="A1147" s="4" t="str">
        <f>IFERROR(__xludf.DUMMYFUNCTION("""COMPUTED_VALUE"""),"1283 - Channel")</f>
        <v>1283 - Channel</v>
      </c>
      <c r="B1147" s="4" t="s">
        <v>785</v>
      </c>
      <c r="C1147" s="6">
        <v>0.5270833333333333</v>
      </c>
      <c r="D1147" s="4" t="s">
        <v>1717</v>
      </c>
      <c r="E1147" s="81" t="s">
        <v>4523</v>
      </c>
    </row>
    <row r="1148">
      <c r="A1148" s="4" t="str">
        <f>IFERROR(__xludf.DUMMYFUNCTION("""COMPUTED_VALUE"""),"1289 - Channel")</f>
        <v>1289 - Channel</v>
      </c>
      <c r="B1148" s="4" t="s">
        <v>785</v>
      </c>
      <c r="C1148" s="6">
        <v>0.5270833333333333</v>
      </c>
      <c r="D1148" s="4" t="s">
        <v>1719</v>
      </c>
      <c r="E1148" s="56"/>
    </row>
    <row r="1149">
      <c r="A1149" s="4" t="str">
        <f>IFERROR(__xludf.DUMMYFUNCTION("""COMPUTED_VALUE"""),"164 - Channel")</f>
        <v>164 - Channel</v>
      </c>
      <c r="B1149" s="4" t="s">
        <v>785</v>
      </c>
      <c r="C1149" s="6">
        <v>0.5375</v>
      </c>
      <c r="D1149" s="4" t="s">
        <v>1246</v>
      </c>
      <c r="E1149" s="81" t="s">
        <v>1252</v>
      </c>
    </row>
    <row r="1150">
      <c r="A1150" s="4" t="str">
        <f>IFERROR(__xludf.DUMMYFUNCTION("""COMPUTED_VALUE"""),"1286 - Channel")</f>
        <v>1286 - Channel</v>
      </c>
      <c r="B1150" s="4" t="s">
        <v>785</v>
      </c>
      <c r="C1150" s="6">
        <v>0.5432291666666667</v>
      </c>
      <c r="D1150" s="4" t="s">
        <v>1724</v>
      </c>
      <c r="E1150" s="81" t="s">
        <v>4532</v>
      </c>
    </row>
    <row r="1151">
      <c r="A1151" s="4" t="str">
        <f>IFERROR(__xludf.DUMMYFUNCTION("""COMPUTED_VALUE"""),"1288 - Channel")</f>
        <v>1288 - Channel</v>
      </c>
      <c r="B1151" s="4" t="s">
        <v>785</v>
      </c>
      <c r="C1151" s="6">
        <v>0.5536458333333333</v>
      </c>
      <c r="D1151" s="4" t="s">
        <v>1731</v>
      </c>
      <c r="E1151" s="56"/>
    </row>
    <row r="1152">
      <c r="A1152" s="4" t="str">
        <f>IFERROR(__xludf.DUMMYFUNCTION("""COMPUTED_VALUE"""),"1290 - Channel")</f>
        <v>1290 - Channel</v>
      </c>
      <c r="B1152" s="4" t="s">
        <v>785</v>
      </c>
      <c r="C1152" s="6">
        <v>0.5375</v>
      </c>
      <c r="D1152" s="4" t="s">
        <v>1736</v>
      </c>
      <c r="E1152" s="81" t="s">
        <v>4541</v>
      </c>
    </row>
    <row r="1153">
      <c r="A1153" s="4" t="str">
        <f>IFERROR(__xludf.DUMMYFUNCTION("""COMPUTED_VALUE"""),"1291 - Channel")</f>
        <v>1291 - Channel</v>
      </c>
      <c r="B1153" s="4" t="s">
        <v>785</v>
      </c>
      <c r="C1153" s="6">
        <v>0.5479166666666666</v>
      </c>
      <c r="D1153" s="4" t="s">
        <v>1740</v>
      </c>
      <c r="E1153" s="81" t="s">
        <v>4548</v>
      </c>
    </row>
    <row r="1154">
      <c r="A1154" s="4" t="str">
        <f>IFERROR(__xludf.DUMMYFUNCTION("""COMPUTED_VALUE"""),"167 - Channel")</f>
        <v>167 - Channel</v>
      </c>
      <c r="B1154" s="4" t="s">
        <v>785</v>
      </c>
      <c r="C1154" s="6">
        <v>0.5590277777777777</v>
      </c>
      <c r="D1154" s="4" t="s">
        <v>1261</v>
      </c>
      <c r="E1154" s="81" t="s">
        <v>1271</v>
      </c>
    </row>
    <row r="1155">
      <c r="A1155" s="4" t="str">
        <f>IFERROR(__xludf.DUMMYFUNCTION("""COMPUTED_VALUE"""),"886 - Channel")</f>
        <v>886 - Channel</v>
      </c>
      <c r="B1155" s="4" t="s">
        <v>785</v>
      </c>
      <c r="C1155" s="6">
        <v>0.5682175925925925</v>
      </c>
      <c r="D1155" s="4" t="s">
        <v>1745</v>
      </c>
      <c r="E1155" s="81" t="s">
        <v>2959</v>
      </c>
    </row>
    <row r="1156">
      <c r="A1156" s="4" t="str">
        <f>IFERROR(__xludf.DUMMYFUNCTION("""COMPUTED_VALUE"""),"1092 - Channel")</f>
        <v>1092 - Channel</v>
      </c>
      <c r="B1156" s="4" t="s">
        <v>785</v>
      </c>
      <c r="C1156" s="6">
        <v>0.5801967592592592</v>
      </c>
      <c r="D1156" s="4" t="s">
        <v>81</v>
      </c>
      <c r="E1156" s="56"/>
    </row>
    <row r="1157">
      <c r="A1157" s="4" t="str">
        <f>IFERROR(__xludf.DUMMYFUNCTION("""COMPUTED_VALUE"""),"1093 - Channel")</f>
        <v>1093 - Channel</v>
      </c>
      <c r="B1157" s="4" t="s">
        <v>785</v>
      </c>
      <c r="C1157" s="6">
        <v>0.5805439814814815</v>
      </c>
      <c r="D1157" s="4" t="s">
        <v>1750</v>
      </c>
      <c r="E1157" s="81" t="s">
        <v>3749</v>
      </c>
    </row>
    <row r="1158">
      <c r="A1158" s="4" t="str">
        <f>IFERROR(__xludf.DUMMYFUNCTION("""COMPUTED_VALUE"""),"1094 - Channel")</f>
        <v>1094 - Channel</v>
      </c>
      <c r="B1158" s="4" t="s">
        <v>785</v>
      </c>
      <c r="C1158" s="6">
        <v>0.5826273148148148</v>
      </c>
      <c r="D1158" s="4" t="s">
        <v>85</v>
      </c>
      <c r="E1158" s="56"/>
    </row>
    <row r="1159">
      <c r="A1159" s="4" t="str">
        <f>IFERROR(__xludf.DUMMYFUNCTION("""COMPUTED_VALUE"""),"209 - Channel")</f>
        <v>209 - Channel</v>
      </c>
      <c r="B1159" s="4" t="s">
        <v>785</v>
      </c>
      <c r="C1159" s="6">
        <v>0.5828009259259259</v>
      </c>
      <c r="D1159" s="4" t="s">
        <v>1436</v>
      </c>
      <c r="E1159" s="81" t="s">
        <v>1446</v>
      </c>
    </row>
    <row r="1160">
      <c r="A1160" s="4" t="str">
        <f>IFERROR(__xludf.DUMMYFUNCTION("""COMPUTED_VALUE"""),"48 - Channel")</f>
        <v>48 - Channel</v>
      </c>
      <c r="B1160" s="4" t="s">
        <v>785</v>
      </c>
      <c r="C1160" s="6">
        <v>0.5899305555555555</v>
      </c>
      <c r="D1160" s="4" t="s">
        <v>786</v>
      </c>
      <c r="E1160" s="81" t="s">
        <v>800</v>
      </c>
    </row>
    <row r="1161">
      <c r="A1161" s="4" t="str">
        <f>IFERROR(__xludf.DUMMYFUNCTION("""COMPUTED_VALUE"""),"124 - Channel")</f>
        <v>124 - Channel</v>
      </c>
      <c r="B1161" s="4" t="s">
        <v>785</v>
      </c>
      <c r="C1161" s="6">
        <v>0.6024768518518518</v>
      </c>
      <c r="D1161" s="4" t="s">
        <v>1088</v>
      </c>
      <c r="E1161" s="81" t="s">
        <v>1097</v>
      </c>
    </row>
    <row r="1162">
      <c r="A1162" s="4" t="str">
        <f>IFERROR(__xludf.DUMMYFUNCTION("""COMPUTED_VALUE"""),"420 - Channel")</f>
        <v>420 - Channel</v>
      </c>
      <c r="B1162" s="4" t="s">
        <v>785</v>
      </c>
      <c r="C1162" s="6">
        <v>0.6128935185185185</v>
      </c>
      <c r="D1162" s="4" t="s">
        <v>1755</v>
      </c>
      <c r="E1162" s="81" t="s">
        <v>1988</v>
      </c>
    </row>
    <row r="1163">
      <c r="A1163" s="4" t="str">
        <f>IFERROR(__xludf.DUMMYFUNCTION("""COMPUTED_VALUE"""),"103 - Channel")</f>
        <v>103 - Channel</v>
      </c>
      <c r="B1163" s="4" t="s">
        <v>785</v>
      </c>
      <c r="C1163" s="6">
        <v>0.618449074074074</v>
      </c>
      <c r="D1163" s="4" t="s">
        <v>81</v>
      </c>
      <c r="E1163" s="56"/>
    </row>
    <row r="1164">
      <c r="A1164" s="4" t="str">
        <f>IFERROR(__xludf.DUMMYFUNCTION("""COMPUTED_VALUE"""),"301 - Channel")</f>
        <v>301 - Channel</v>
      </c>
      <c r="B1164" s="4" t="s">
        <v>785</v>
      </c>
      <c r="C1164" s="6">
        <v>0.618449074074074</v>
      </c>
      <c r="D1164" s="4" t="s">
        <v>1758</v>
      </c>
      <c r="E1164" s="81" t="s">
        <v>1779</v>
      </c>
    </row>
    <row r="1165">
      <c r="A1165" s="4" t="str">
        <f>IFERROR(__xludf.DUMMYFUNCTION("""COMPUTED_VALUE"""),"105 - Channel")</f>
        <v>105 - Channel</v>
      </c>
      <c r="B1165" s="4" t="s">
        <v>785</v>
      </c>
      <c r="C1165" s="6">
        <v>0.6267824074074073</v>
      </c>
      <c r="D1165" s="4" t="s">
        <v>500</v>
      </c>
      <c r="E1165" s="56"/>
    </row>
    <row r="1166">
      <c r="A1166" s="4" t="str">
        <f>IFERROR(__xludf.DUMMYFUNCTION("""COMPUTED_VALUE"""),"271 - Channel")</f>
        <v>271 - Channel</v>
      </c>
      <c r="B1166" s="4" t="s">
        <v>785</v>
      </c>
      <c r="C1166" s="6">
        <v>0.6269560185185185</v>
      </c>
      <c r="D1166" s="4" t="s">
        <v>81</v>
      </c>
      <c r="E1166" s="56"/>
    </row>
    <row r="1167">
      <c r="A1167" s="4" t="str">
        <f>IFERROR(__xludf.DUMMYFUNCTION("""COMPUTED_VALUE"""),"272 - Channel")</f>
        <v>272 - Channel</v>
      </c>
      <c r="B1167" s="4" t="s">
        <v>785</v>
      </c>
      <c r="C1167" s="6">
        <v>0.6273032407407407</v>
      </c>
      <c r="D1167" s="4" t="s">
        <v>1618</v>
      </c>
      <c r="E1167" s="81" t="s">
        <v>1629</v>
      </c>
    </row>
    <row r="1168">
      <c r="A1168" s="4" t="str">
        <f>IFERROR(__xludf.DUMMYFUNCTION("""COMPUTED_VALUE"""),"273 - Channel")</f>
        <v>273 - Channel</v>
      </c>
      <c r="B1168" s="4" t="s">
        <v>785</v>
      </c>
      <c r="C1168" s="6">
        <v>0.6415393518518518</v>
      </c>
      <c r="D1168" s="4" t="s">
        <v>85</v>
      </c>
      <c r="E1168" s="56"/>
    </row>
    <row r="1169">
      <c r="A1169" s="4" t="str">
        <f>IFERROR(__xludf.DUMMYFUNCTION("""COMPUTED_VALUE"""),"607 - Channel")</f>
        <v>607 - Channel</v>
      </c>
      <c r="B1169" s="4" t="s">
        <v>785</v>
      </c>
      <c r="C1169" s="6">
        <v>0.641712962962963</v>
      </c>
      <c r="D1169" s="4" t="s">
        <v>1763</v>
      </c>
      <c r="E1169" s="81" t="s">
        <v>2510</v>
      </c>
    </row>
    <row r="1170">
      <c r="A1170" s="4" t="str">
        <f>IFERROR(__xludf.DUMMYFUNCTION("""COMPUTED_VALUE"""),"1437 - Channel")</f>
        <v>1437 - Channel</v>
      </c>
      <c r="B1170" s="4" t="s">
        <v>785</v>
      </c>
      <c r="C1170" s="6">
        <v>0.6418865740740741</v>
      </c>
      <c r="D1170" s="4" t="s">
        <v>81</v>
      </c>
      <c r="E1170" s="56"/>
    </row>
    <row r="1171">
      <c r="A1171" s="4" t="str">
        <f>IFERROR(__xludf.DUMMYFUNCTION("""COMPUTED_VALUE"""),"127 - Channel")</f>
        <v>127 - Channel</v>
      </c>
      <c r="B1171" s="4" t="s">
        <v>785</v>
      </c>
      <c r="C1171" s="6">
        <v>0.6422337962962964</v>
      </c>
      <c r="D1171" s="4" t="s">
        <v>1105</v>
      </c>
      <c r="E1171" s="81" t="s">
        <v>1111</v>
      </c>
    </row>
    <row r="1172">
      <c r="A1172" s="4" t="str">
        <f>IFERROR(__xludf.DUMMYFUNCTION("""COMPUTED_VALUE"""),"128 - Channel")</f>
        <v>128 - Channel</v>
      </c>
      <c r="B1172" s="4" t="s">
        <v>785</v>
      </c>
      <c r="C1172" s="6">
        <v>0.6443171296296297</v>
      </c>
      <c r="D1172" s="4" t="s">
        <v>974</v>
      </c>
      <c r="E1172" s="56"/>
    </row>
    <row r="1173">
      <c r="A1173" s="4" t="str">
        <f>IFERROR(__xludf.DUMMYFUNCTION("""COMPUTED_VALUE"""),"359 - Channel")</f>
        <v>359 - Channel</v>
      </c>
      <c r="B1173" s="4" t="s">
        <v>785</v>
      </c>
      <c r="C1173" s="6">
        <v>0.644664351851852</v>
      </c>
      <c r="D1173" s="4" t="s">
        <v>81</v>
      </c>
      <c r="E1173" s="56"/>
    </row>
    <row r="1174">
      <c r="A1174" s="4" t="str">
        <f>IFERROR(__xludf.DUMMYFUNCTION("""COMPUTED_VALUE"""),"360 - Channel")</f>
        <v>360 - Channel</v>
      </c>
      <c r="B1174" s="4" t="s">
        <v>785</v>
      </c>
      <c r="C1174" s="6">
        <v>0.6450115740740743</v>
      </c>
      <c r="D1174" s="4" t="s">
        <v>1768</v>
      </c>
      <c r="E1174" s="81" t="s">
        <v>1895</v>
      </c>
    </row>
    <row r="1175">
      <c r="A1175" s="4" t="str">
        <f>IFERROR(__xludf.DUMMYFUNCTION("""COMPUTED_VALUE"""),"361 - Channel")</f>
        <v>361 - Channel</v>
      </c>
      <c r="B1175" s="4" t="s">
        <v>785</v>
      </c>
      <c r="C1175" s="6">
        <v>0.6519560185185187</v>
      </c>
      <c r="D1175" s="4" t="s">
        <v>85</v>
      </c>
      <c r="E1175" s="56"/>
    </row>
    <row r="1176">
      <c r="A1176" s="4" t="str">
        <f>IFERROR(__xludf.DUMMYFUNCTION("""COMPUTED_VALUE"""),"366 - Channel")</f>
        <v>366 - Channel</v>
      </c>
      <c r="B1176" s="4" t="s">
        <v>785</v>
      </c>
      <c r="C1176" s="6">
        <v>0.6521296296296298</v>
      </c>
      <c r="D1176" s="4" t="s">
        <v>81</v>
      </c>
      <c r="E1176" s="56"/>
    </row>
    <row r="1177">
      <c r="A1177" s="4" t="str">
        <f>IFERROR(__xludf.DUMMYFUNCTION("""COMPUTED_VALUE"""),"367 - Channel")</f>
        <v>367 - Channel</v>
      </c>
      <c r="B1177" s="4" t="s">
        <v>785</v>
      </c>
      <c r="C1177" s="6">
        <v>0.6524768518518521</v>
      </c>
      <c r="D1177" s="4" t="s">
        <v>1771</v>
      </c>
      <c r="E1177" s="81" t="s">
        <v>1908</v>
      </c>
    </row>
    <row r="1178">
      <c r="A1178" s="4" t="str">
        <f>IFERROR(__xludf.DUMMYFUNCTION("""COMPUTED_VALUE"""),"368 - Channel")</f>
        <v>368 - Channel</v>
      </c>
      <c r="B1178" s="4" t="s">
        <v>785</v>
      </c>
      <c r="C1178" s="6">
        <v>0.6628935185185187</v>
      </c>
      <c r="D1178" s="4"/>
      <c r="E1178" s="56"/>
    </row>
    <row r="1179">
      <c r="A1179" s="4" t="str">
        <f>IFERROR(__xludf.DUMMYFUNCTION("""COMPUTED_VALUE"""),"92 - Channel")</f>
        <v>92 - Channel</v>
      </c>
      <c r="B1179" s="4" t="s">
        <v>785</v>
      </c>
      <c r="C1179" s="6">
        <v>0.6630671296296299</v>
      </c>
      <c r="D1179" s="4" t="s">
        <v>81</v>
      </c>
      <c r="E1179" s="56"/>
    </row>
    <row r="1180">
      <c r="A1180" s="4" t="str">
        <f>IFERROR(__xludf.DUMMYFUNCTION("""COMPUTED_VALUE"""),"190 - Channel")</f>
        <v>190 - Channel</v>
      </c>
      <c r="B1180" s="4" t="s">
        <v>785</v>
      </c>
      <c r="C1180" s="6">
        <v>0.6634143518518522</v>
      </c>
      <c r="D1180" s="4" t="s">
        <v>1351</v>
      </c>
      <c r="E1180" s="81" t="s">
        <v>1358</v>
      </c>
    </row>
    <row r="1181">
      <c r="A1181" s="4" t="str">
        <f>IFERROR(__xludf.DUMMYFUNCTION("""COMPUTED_VALUE"""),"94 - Channel")</f>
        <v>94 - Channel</v>
      </c>
      <c r="B1181" s="4" t="s">
        <v>785</v>
      </c>
      <c r="C1181" s="6">
        <v>0.6703587962962966</v>
      </c>
      <c r="D1181" s="4" t="s">
        <v>974</v>
      </c>
      <c r="E1181" s="56"/>
    </row>
    <row r="1182">
      <c r="A1182" s="4" t="str">
        <f>IFERROR(__xludf.DUMMYFUNCTION("""COMPUTED_VALUE"""),"280 - Channel")</f>
        <v>280 - Channel</v>
      </c>
      <c r="B1182" s="4" t="s">
        <v>785</v>
      </c>
      <c r="C1182" s="6">
        <v>0.6705324074074077</v>
      </c>
      <c r="D1182" s="4" t="s">
        <v>81</v>
      </c>
      <c r="E1182" s="56"/>
    </row>
    <row r="1183">
      <c r="A1183" s="4" t="str">
        <f>IFERROR(__xludf.DUMMYFUNCTION("""COMPUTED_VALUE"""),"281 - Channel")</f>
        <v>281 - Channel</v>
      </c>
      <c r="B1183" s="4" t="s">
        <v>785</v>
      </c>
      <c r="C1183" s="6">
        <v>0.67087962962963</v>
      </c>
      <c r="D1183" s="4" t="s">
        <v>1661</v>
      </c>
      <c r="E1183" s="81" t="s">
        <v>1669</v>
      </c>
    </row>
    <row r="1184">
      <c r="A1184" s="4" t="str">
        <f>IFERROR(__xludf.DUMMYFUNCTION("""COMPUTED_VALUE"""),"282 - Channel")</f>
        <v>282 - Channel</v>
      </c>
      <c r="B1184" s="4" t="s">
        <v>785</v>
      </c>
      <c r="C1184" s="6">
        <v>0.6789351851851856</v>
      </c>
      <c r="D1184" s="4" t="s">
        <v>85</v>
      </c>
      <c r="E1184" s="56"/>
    </row>
    <row r="1185">
      <c r="A1185" s="4" t="str">
        <f>IFERROR(__xludf.DUMMYFUNCTION("""COMPUTED_VALUE"""),"325 - Channel")</f>
        <v>325 - Channel</v>
      </c>
      <c r="B1185" s="4" t="s">
        <v>785</v>
      </c>
      <c r="C1185" s="6">
        <v>0.6791087962962967</v>
      </c>
      <c r="D1185" s="4" t="s">
        <v>1781</v>
      </c>
      <c r="E1185" s="56"/>
    </row>
    <row r="1186">
      <c r="A1186" s="4" t="str">
        <f>IFERROR(__xludf.DUMMYFUNCTION("""COMPUTED_VALUE"""),"326 - Channel")</f>
        <v>326 - Channel</v>
      </c>
      <c r="B1186" s="4" t="s">
        <v>785</v>
      </c>
      <c r="C1186" s="6">
        <v>0.6860532407407411</v>
      </c>
      <c r="D1186" s="4" t="s">
        <v>85</v>
      </c>
      <c r="E1186" s="56"/>
    </row>
    <row r="1187">
      <c r="A1187" s="4" t="str">
        <f>IFERROR(__xludf.DUMMYFUNCTION("""COMPUTED_VALUE"""),"353 - Channel")</f>
        <v>353 - Channel</v>
      </c>
      <c r="B1187" s="4" t="s">
        <v>785</v>
      </c>
      <c r="C1187" s="6">
        <v>0.6862268518518523</v>
      </c>
      <c r="D1187" s="4" t="s">
        <v>81</v>
      </c>
      <c r="E1187" s="56"/>
    </row>
    <row r="1188">
      <c r="A1188" s="4" t="str">
        <f>IFERROR(__xludf.DUMMYFUNCTION("""COMPUTED_VALUE"""),"354 - Channel")</f>
        <v>354 - Channel</v>
      </c>
      <c r="B1188" s="4" t="s">
        <v>785</v>
      </c>
      <c r="C1188" s="6">
        <v>0.6865740740740746</v>
      </c>
      <c r="D1188" s="4" t="s">
        <v>1785</v>
      </c>
      <c r="E1188" s="81" t="s">
        <v>1883</v>
      </c>
    </row>
    <row r="1189">
      <c r="A1189" s="4" t="str">
        <f>IFERROR(__xludf.DUMMYFUNCTION("""COMPUTED_VALUE"""),"355 - Channel")</f>
        <v>355 - Channel</v>
      </c>
      <c r="B1189" s="4" t="s">
        <v>785</v>
      </c>
      <c r="C1189" s="6">
        <v>0.6949074074074079</v>
      </c>
      <c r="D1189" s="4" t="s">
        <v>85</v>
      </c>
      <c r="E1189" s="56"/>
    </row>
    <row r="1190">
      <c r="A1190" s="4" t="str">
        <f>IFERROR(__xludf.DUMMYFUNCTION("""COMPUTED_VALUE"""),"997 - Channel")</f>
        <v>997 - Channel</v>
      </c>
      <c r="B1190" s="4" t="s">
        <v>785</v>
      </c>
      <c r="C1190" s="6">
        <v>0.695081018518519</v>
      </c>
      <c r="D1190" s="4" t="s">
        <v>81</v>
      </c>
      <c r="E1190" s="56"/>
    </row>
    <row r="1191">
      <c r="A1191" s="4" t="str">
        <f>IFERROR(__xludf.DUMMYFUNCTION("""COMPUTED_VALUE"""),"998 - Channel")</f>
        <v>998 - Channel</v>
      </c>
      <c r="B1191" s="4" t="s">
        <v>785</v>
      </c>
      <c r="C1191" s="6">
        <v>0.6954282407407413</v>
      </c>
      <c r="D1191" s="4" t="s">
        <v>1789</v>
      </c>
      <c r="E1191" s="81" t="s">
        <v>3260</v>
      </c>
    </row>
    <row r="1192">
      <c r="A1192" s="4" t="str">
        <f>IFERROR(__xludf.DUMMYFUNCTION("""COMPUTED_VALUE"""),"999 - Channel")</f>
        <v>999 - Channel</v>
      </c>
      <c r="B1192" s="4" t="s">
        <v>785</v>
      </c>
      <c r="C1192" s="6">
        <v>0.7037615740740746</v>
      </c>
      <c r="D1192" s="4" t="s">
        <v>85</v>
      </c>
      <c r="E1192" s="56"/>
    </row>
    <row r="1193">
      <c r="A1193" s="4" t="str">
        <f>IFERROR(__xludf.DUMMYFUNCTION("""COMPUTED_VALUE"""),"1064 - Channel")</f>
        <v>1064 - Channel</v>
      </c>
      <c r="B1193" s="4" t="s">
        <v>785</v>
      </c>
      <c r="C1193" s="6">
        <v>0.7039351851851857</v>
      </c>
      <c r="D1193" s="4" t="s">
        <v>81</v>
      </c>
      <c r="E1193" s="56"/>
    </row>
    <row r="1194">
      <c r="A1194" s="4" t="str">
        <f>IFERROR(__xludf.DUMMYFUNCTION("""COMPUTED_VALUE"""),"1065 - Channel")</f>
        <v>1065 - Channel</v>
      </c>
      <c r="B1194" s="4" t="s">
        <v>785</v>
      </c>
      <c r="C1194" s="6">
        <v>0.704282407407408</v>
      </c>
      <c r="D1194" s="4" t="s">
        <v>1794</v>
      </c>
      <c r="E1194" s="81" t="s">
        <v>3610</v>
      </c>
    </row>
    <row r="1195">
      <c r="A1195" s="4" t="str">
        <f>IFERROR(__xludf.DUMMYFUNCTION("""COMPUTED_VALUE"""),"1066 - Channel")</f>
        <v>1066 - Channel</v>
      </c>
      <c r="B1195" s="4" t="s">
        <v>785</v>
      </c>
      <c r="C1195" s="6">
        <v>0.7116087962962969</v>
      </c>
      <c r="D1195" s="4" t="s">
        <v>85</v>
      </c>
      <c r="E1195" s="56"/>
    </row>
    <row r="1196">
      <c r="A1196" s="4" t="str">
        <f>IFERROR(__xludf.DUMMYFUNCTION("""COMPUTED_VALUE"""),"945 - Channel")</f>
        <v>945 - Channel</v>
      </c>
      <c r="B1196" s="4" t="s">
        <v>785</v>
      </c>
      <c r="C1196" s="6">
        <v>0.7117824074074081</v>
      </c>
      <c r="D1196" s="4" t="s">
        <v>81</v>
      </c>
      <c r="E1196" s="56"/>
    </row>
    <row r="1197">
      <c r="A1197" s="4" t="str">
        <f>IFERROR(__xludf.DUMMYFUNCTION("""COMPUTED_VALUE"""),"946 - Channel")</f>
        <v>946 - Channel</v>
      </c>
      <c r="B1197" s="4" t="s">
        <v>785</v>
      </c>
      <c r="C1197" s="6">
        <v>0.7121296296296303</v>
      </c>
      <c r="D1197" s="4" t="s">
        <v>1797</v>
      </c>
      <c r="E1197" s="56"/>
    </row>
    <row r="1198">
      <c r="A1198" s="4" t="str">
        <f>IFERROR(__xludf.DUMMYFUNCTION("""COMPUTED_VALUE"""),"947 - Channel")</f>
        <v>947 - Channel</v>
      </c>
      <c r="B1198" s="4" t="s">
        <v>785</v>
      </c>
      <c r="C1198" s="6">
        <v>0.7197685185185192</v>
      </c>
      <c r="D1198" s="4" t="s">
        <v>85</v>
      </c>
      <c r="E1198" s="56"/>
    </row>
    <row r="1199">
      <c r="A1199" s="4" t="str">
        <f>IFERROR(__xludf.DUMMYFUNCTION("""COMPUTED_VALUE"""),"419 - Channel")</f>
        <v>419 - Channel</v>
      </c>
      <c r="B1199" s="4" t="s">
        <v>785</v>
      </c>
      <c r="C1199" s="6">
        <v>0.49224537037037047</v>
      </c>
      <c r="D1199" s="4" t="s">
        <v>81</v>
      </c>
      <c r="E1199" s="56"/>
    </row>
    <row r="1200">
      <c r="A1200" s="4" t="str">
        <f>IFERROR(__xludf.DUMMYFUNCTION("""COMPUTED_VALUE"""),"742 - Channel")</f>
        <v>742 - Channel</v>
      </c>
      <c r="B1200" s="4" t="s">
        <v>785</v>
      </c>
      <c r="C1200" s="6">
        <v>0.4925925925925927</v>
      </c>
      <c r="D1200" s="4" t="s">
        <v>1800</v>
      </c>
      <c r="E1200" s="56"/>
    </row>
    <row r="1201">
      <c r="A1201" s="4" t="str">
        <f>IFERROR(__xludf.DUMMYFUNCTION("""COMPUTED_VALUE"""),"421 - Channel")</f>
        <v>421 - Channel</v>
      </c>
      <c r="B1201" s="4" t="s">
        <v>785</v>
      </c>
      <c r="C1201" s="6">
        <v>0.4995370370370371</v>
      </c>
      <c r="D1201" s="4" t="s">
        <v>85</v>
      </c>
      <c r="E1201" s="56"/>
    </row>
    <row r="1202">
      <c r="A1202" s="4" t="str">
        <f>IFERROR(__xludf.DUMMYFUNCTION("""COMPUTED_VALUE"""),"549 - Channel")</f>
        <v>549 - Channel</v>
      </c>
      <c r="B1202" s="4" t="s">
        <v>785</v>
      </c>
      <c r="C1202" s="6">
        <v>0.498078703703704</v>
      </c>
      <c r="D1202" s="4" t="s">
        <v>81</v>
      </c>
      <c r="E1202" s="56"/>
    </row>
    <row r="1203">
      <c r="A1203" s="4" t="str">
        <f>IFERROR(__xludf.DUMMYFUNCTION("""COMPUTED_VALUE"""),"550 - Channel")</f>
        <v>550 - Channel</v>
      </c>
      <c r="B1203" s="4" t="s">
        <v>785</v>
      </c>
      <c r="C1203" s="6">
        <v>0.4984259259259262</v>
      </c>
      <c r="D1203" s="4" t="s">
        <v>1804</v>
      </c>
      <c r="E1203" s="81" t="s">
        <v>2356</v>
      </c>
    </row>
    <row r="1204">
      <c r="A1204" s="4" t="str">
        <f>IFERROR(__xludf.DUMMYFUNCTION("""COMPUTED_VALUE"""),"551 - Channel")</f>
        <v>551 - Channel</v>
      </c>
      <c r="B1204" s="4" t="s">
        <v>785</v>
      </c>
      <c r="C1204" s="6">
        <v>0.5005092592592596</v>
      </c>
      <c r="D1204" s="4" t="s">
        <v>1807</v>
      </c>
      <c r="E1204" s="56"/>
    </row>
    <row r="1205">
      <c r="A1205" s="4" t="str">
        <f>IFERROR(__xludf.DUMMYFUNCTION("""COMPUTED_VALUE"""),"1234 - Channel")</f>
        <v>1234 - Channel</v>
      </c>
      <c r="B1205" s="4" t="s">
        <v>785</v>
      </c>
      <c r="C1205" s="6">
        <v>0.5007523148148152</v>
      </c>
      <c r="D1205" s="4" t="s">
        <v>1498</v>
      </c>
      <c r="E1205" s="56"/>
    </row>
    <row r="1206">
      <c r="A1206" s="4" t="str">
        <f>IFERROR(__xludf.DUMMYFUNCTION("""COMPUTED_VALUE"""),"1235 - Channel")</f>
        <v>1235 - Channel</v>
      </c>
      <c r="B1206" s="4" t="s">
        <v>785</v>
      </c>
      <c r="C1206" s="6">
        <v>0.5010995370370375</v>
      </c>
      <c r="D1206" s="4" t="s">
        <v>1810</v>
      </c>
      <c r="E1206" s="81" t="s">
        <v>4339</v>
      </c>
    </row>
    <row r="1207">
      <c r="A1207" s="4" t="str">
        <f>IFERROR(__xludf.DUMMYFUNCTION("""COMPUTED_VALUE"""),"1656 - Channel")</f>
        <v>1656 - Channel</v>
      </c>
      <c r="B1207" s="4" t="s">
        <v>785</v>
      </c>
      <c r="C1207" s="6">
        <v>0.5152546296296301</v>
      </c>
      <c r="D1207" s="4" t="s">
        <v>1497</v>
      </c>
      <c r="E1207" s="56"/>
    </row>
    <row r="1208">
      <c r="A1208" s="4" t="str">
        <f>IFERROR(__xludf.DUMMYFUNCTION("""COMPUTED_VALUE"""),"1243 - Channel")</f>
        <v>1243 - Channel</v>
      </c>
      <c r="B1208" s="4" t="s">
        <v>785</v>
      </c>
      <c r="C1208" s="6">
        <v>0.5007523148148152</v>
      </c>
      <c r="D1208" s="4" t="s">
        <v>1498</v>
      </c>
      <c r="E1208" s="56"/>
    </row>
    <row r="1209">
      <c r="A1209" s="4" t="str">
        <f>IFERROR(__xludf.DUMMYFUNCTION("""COMPUTED_VALUE"""),"1244 - Channel")</f>
        <v>1244 - Channel</v>
      </c>
      <c r="B1209" s="4" t="s">
        <v>785</v>
      </c>
      <c r="C1209" s="6">
        <v>0.5010995370370375</v>
      </c>
      <c r="D1209" s="4" t="s">
        <v>1815</v>
      </c>
      <c r="E1209" s="56"/>
    </row>
    <row r="1210">
      <c r="A1210" s="4" t="str">
        <f>IFERROR(__xludf.DUMMYFUNCTION("""COMPUTED_VALUE"""),"1653 - Channel")</f>
        <v>1653 - Channel</v>
      </c>
      <c r="B1210" s="4" t="s">
        <v>785</v>
      </c>
      <c r="C1210" s="6">
        <v>0.5149884259259263</v>
      </c>
      <c r="D1210" s="4" t="s">
        <v>1497</v>
      </c>
      <c r="E1210" s="56"/>
    </row>
    <row r="1211">
      <c r="A1211" s="4" t="str">
        <f>IFERROR(__xludf.DUMMYFUNCTION("""COMPUTED_VALUE"""),"1237 - Channel")</f>
        <v>1237 - Channel</v>
      </c>
      <c r="B1211" s="4" t="s">
        <v>785</v>
      </c>
      <c r="C1211" s="6">
        <v>0.516643518518519</v>
      </c>
      <c r="D1211" s="4" t="s">
        <v>1498</v>
      </c>
      <c r="E1211" s="56"/>
    </row>
    <row r="1212">
      <c r="A1212" s="4" t="str">
        <f>IFERROR(__xludf.DUMMYFUNCTION("""COMPUTED_VALUE"""),"1238 - Channel")</f>
        <v>1238 - Channel</v>
      </c>
      <c r="B1212" s="4" t="s">
        <v>785</v>
      </c>
      <c r="C1212" s="6">
        <v>0.5169907407407413</v>
      </c>
      <c r="D1212" s="4" t="s">
        <v>1817</v>
      </c>
      <c r="E1212" s="56"/>
    </row>
    <row r="1213">
      <c r="A1213" s="4" t="str">
        <f>IFERROR(__xludf.DUMMYFUNCTION("""COMPUTED_VALUE"""),"1239 - Channel")</f>
        <v>1239 - Channel</v>
      </c>
      <c r="B1213" s="4" t="s">
        <v>785</v>
      </c>
      <c r="C1213" s="6">
        <v>0.5308796296296301</v>
      </c>
      <c r="D1213" s="4" t="s">
        <v>1497</v>
      </c>
      <c r="E1213" s="56"/>
    </row>
    <row r="1214">
      <c r="A1214" s="4" t="str">
        <f>IFERROR(__xludf.DUMMYFUNCTION("""COMPUTED_VALUE"""),"1228 - Channel")</f>
        <v>1228 - Channel</v>
      </c>
      <c r="B1214" s="4" t="s">
        <v>785</v>
      </c>
      <c r="C1214" s="6">
        <v>0.41805555555555557</v>
      </c>
      <c r="D1214" s="4" t="s">
        <v>1498</v>
      </c>
      <c r="E1214" s="56"/>
    </row>
    <row r="1215">
      <c r="A1215" s="4" t="str">
        <f>IFERROR(__xludf.DUMMYFUNCTION("""COMPUTED_VALUE"""),"1229 - Channel")</f>
        <v>1229 - Channel</v>
      </c>
      <c r="B1215" s="4" t="s">
        <v>785</v>
      </c>
      <c r="C1215" s="6">
        <v>0.4184027777777778</v>
      </c>
      <c r="D1215" s="4" t="s">
        <v>1821</v>
      </c>
      <c r="E1215" s="56"/>
    </row>
    <row r="1216">
      <c r="A1216" s="4" t="str">
        <f>IFERROR(__xludf.DUMMYFUNCTION("""COMPUTED_VALUE"""),"1212 - Channel")</f>
        <v>1212 - Channel</v>
      </c>
      <c r="B1216" s="4" t="s">
        <v>785</v>
      </c>
      <c r="C1216" s="6">
        <v>0.4322916666666667</v>
      </c>
      <c r="D1216" s="4" t="s">
        <v>1497</v>
      </c>
      <c r="E1216" s="56"/>
    </row>
    <row r="1217">
      <c r="A1217" s="4" t="str">
        <f>IFERROR(__xludf.DUMMYFUNCTION("""COMPUTED_VALUE"""),"1240 - Channel")</f>
        <v>1240 - Channel</v>
      </c>
      <c r="B1217" s="4" t="s">
        <v>785</v>
      </c>
      <c r="C1217" s="6">
        <v>0.43368055555555557</v>
      </c>
      <c r="D1217" s="4" t="s">
        <v>1498</v>
      </c>
      <c r="E1217" s="56"/>
    </row>
    <row r="1218">
      <c r="A1218" s="4" t="str">
        <f>IFERROR(__xludf.DUMMYFUNCTION("""COMPUTED_VALUE"""),"1241 - Channel")</f>
        <v>1241 - Channel</v>
      </c>
      <c r="B1218" s="4" t="s">
        <v>785</v>
      </c>
      <c r="C1218" s="6">
        <v>0.4340277777777778</v>
      </c>
      <c r="D1218" s="4" t="s">
        <v>1825</v>
      </c>
      <c r="E1218" s="56"/>
    </row>
    <row r="1219">
      <c r="A1219" s="4" t="str">
        <f>IFERROR(__xludf.DUMMYFUNCTION("""COMPUTED_VALUE"""),"1654 - Channel")</f>
        <v>1654 - Channel</v>
      </c>
      <c r="B1219" s="4" t="s">
        <v>785</v>
      </c>
      <c r="C1219" s="6">
        <v>0.4479166666666667</v>
      </c>
      <c r="D1219" s="4" t="s">
        <v>1497</v>
      </c>
      <c r="E1219" s="56"/>
    </row>
    <row r="1220">
      <c r="A1220" s="4" t="str">
        <f>IFERROR(__xludf.DUMMYFUNCTION("""COMPUTED_VALUE"""),"1453 - Channel")</f>
        <v>1453 - Channel</v>
      </c>
      <c r="B1220" s="4" t="s">
        <v>785</v>
      </c>
      <c r="C1220" s="6">
        <v>0.44930555555555557</v>
      </c>
      <c r="D1220" s="4" t="s">
        <v>81</v>
      </c>
      <c r="E1220" s="56"/>
    </row>
    <row r="1221">
      <c r="A1221" s="4" t="str">
        <f>IFERROR(__xludf.DUMMYFUNCTION("""COMPUTED_VALUE"""),"604 - Channel")</f>
        <v>604 - Channel</v>
      </c>
      <c r="B1221" s="4" t="s">
        <v>785</v>
      </c>
      <c r="C1221" s="6">
        <v>0.4496412037037037</v>
      </c>
      <c r="D1221" s="4" t="s">
        <v>1829</v>
      </c>
      <c r="E1221" s="81" t="s">
        <v>2504</v>
      </c>
    </row>
    <row r="1222">
      <c r="A1222" s="4" t="str">
        <f>IFERROR(__xludf.DUMMYFUNCTION("""COMPUTED_VALUE"""),"1455 - Channel")</f>
        <v>1455 - Channel</v>
      </c>
      <c r="B1222" s="4" t="s">
        <v>785</v>
      </c>
      <c r="C1222" s="6">
        <v>0.4600578703703704</v>
      </c>
      <c r="D1222" s="4" t="s">
        <v>85</v>
      </c>
      <c r="E1222" s="56"/>
    </row>
    <row r="1223">
      <c r="A1223" s="4" t="str">
        <f>IFERROR(__xludf.DUMMYFUNCTION("""COMPUTED_VALUE"""),"208 - Channel")</f>
        <v>208 - Channel</v>
      </c>
      <c r="B1223" s="4" t="s">
        <v>785</v>
      </c>
      <c r="C1223" s="6">
        <v>0.4602314814814815</v>
      </c>
      <c r="D1223" s="4" t="s">
        <v>91</v>
      </c>
      <c r="E1223" s="56"/>
    </row>
    <row r="1224">
      <c r="A1224" s="4" t="str">
        <f>IFERROR(__xludf.DUMMYFUNCTION("""COMPUTED_VALUE"""),"239 - Channel")</f>
        <v>239 - Channel</v>
      </c>
      <c r="B1224" s="4" t="s">
        <v>785</v>
      </c>
      <c r="C1224" s="6">
        <v>0.460462962962963</v>
      </c>
      <c r="D1224" s="4" t="s">
        <v>1534</v>
      </c>
      <c r="E1224" s="56"/>
    </row>
    <row r="1225">
      <c r="A1225" s="4" t="str">
        <f>IFERROR(__xludf.DUMMYFUNCTION("""COMPUTED_VALUE"""),"1555 - Channel")</f>
        <v>1555 - Channel</v>
      </c>
      <c r="B1225" s="4" t="s">
        <v>785</v>
      </c>
      <c r="C1225" s="6"/>
      <c r="D1225" s="4"/>
      <c r="E1225" s="56"/>
    </row>
    <row r="1226">
      <c r="A1226" s="4" t="str">
        <f>IFERROR(__xludf.DUMMYFUNCTION("""COMPUTED_VALUE"""),"1556 - Channel")</f>
        <v>1556 - Channel</v>
      </c>
      <c r="B1226" s="4" t="s">
        <v>785</v>
      </c>
      <c r="C1226" s="6"/>
      <c r="D1226" s="4"/>
      <c r="E1226" s="56"/>
    </row>
    <row r="1227">
      <c r="A1227" s="4" t="str">
        <f>IFERROR(__xludf.DUMMYFUNCTION("""COMPUTED_VALUE"""),"")</f>
        <v/>
      </c>
      <c r="B1227" s="4" t="s">
        <v>607</v>
      </c>
      <c r="C1227" s="6" t="s">
        <v>607</v>
      </c>
      <c r="D1227" s="4" t="s">
        <v>607</v>
      </c>
      <c r="E1227" s="56" t="s">
        <v>607</v>
      </c>
    </row>
    <row r="1228">
      <c r="A1228" s="4" t="str">
        <f>IFERROR(__xludf.DUMMYFUNCTION("""COMPUTED_VALUE"""),"")</f>
        <v/>
      </c>
      <c r="B1228" s="4" t="s">
        <v>607</v>
      </c>
      <c r="C1228" s="6" t="s">
        <v>607</v>
      </c>
      <c r="D1228" s="4" t="s">
        <v>607</v>
      </c>
      <c r="E1228" s="56" t="s">
        <v>607</v>
      </c>
    </row>
    <row r="1229">
      <c r="A1229" s="4" t="str">
        <f>IFERROR(__xludf.DUMMYFUNCTION("""COMPUTED_VALUE"""),"")</f>
        <v/>
      </c>
      <c r="B1229" s="4" t="s">
        <v>607</v>
      </c>
      <c r="C1229" s="6" t="s">
        <v>607</v>
      </c>
      <c r="D1229" s="4" t="s">
        <v>607</v>
      </c>
      <c r="E1229" s="56" t="s">
        <v>607</v>
      </c>
    </row>
    <row r="1230">
      <c r="A1230" s="4" t="str">
        <f>IFERROR(__xludf.DUMMYFUNCTION("""COMPUTED_VALUE"""),"")</f>
        <v/>
      </c>
      <c r="B1230" s="4" t="s">
        <v>607</v>
      </c>
      <c r="C1230" s="6" t="s">
        <v>607</v>
      </c>
      <c r="D1230" s="4" t="s">
        <v>607</v>
      </c>
      <c r="E1230" s="56" t="s">
        <v>607</v>
      </c>
    </row>
    <row r="1231">
      <c r="A1231" s="4" t="str">
        <f>IFERROR(__xludf.DUMMYFUNCTION("""COMPUTED_VALUE"""),"")</f>
        <v/>
      </c>
      <c r="B1231" s="4" t="s">
        <v>607</v>
      </c>
      <c r="C1231" s="6" t="s">
        <v>607</v>
      </c>
      <c r="D1231" s="4" t="s">
        <v>607</v>
      </c>
      <c r="E1231" s="56" t="s">
        <v>607</v>
      </c>
    </row>
    <row r="1232">
      <c r="A1232" s="4" t="str">
        <f>IFERROR(__xludf.DUMMYFUNCTION("""COMPUTED_VALUE"""),"")</f>
        <v/>
      </c>
      <c r="B1232" s="4" t="s">
        <v>607</v>
      </c>
      <c r="C1232" s="6" t="s">
        <v>607</v>
      </c>
      <c r="D1232" s="4" t="s">
        <v>607</v>
      </c>
      <c r="E1232" s="56" t="s">
        <v>607</v>
      </c>
    </row>
    <row r="1233">
      <c r="A1233" s="4" t="str">
        <f>IFERROR(__xludf.DUMMYFUNCTION("""COMPUTED_VALUE"""),"1732 - Channel")</f>
        <v>1732 - Channel</v>
      </c>
      <c r="B1233" s="4"/>
      <c r="C1233" s="6"/>
      <c r="D1233" s="4"/>
      <c r="E1233" s="56"/>
    </row>
    <row r="1234">
      <c r="A1234" s="4" t="str">
        <f>IFERROR(__xludf.DUMMYFUNCTION("""COMPUTED_VALUE"""),"1733 - Channel")</f>
        <v>1733 - Channel</v>
      </c>
      <c r="B1234" s="4"/>
      <c r="C1234" s="6"/>
      <c r="D1234" s="4"/>
      <c r="E1234" s="56"/>
    </row>
    <row r="1235">
      <c r="A1235" s="4" t="str">
        <f>IFERROR(__xludf.DUMMYFUNCTION("""COMPUTED_VALUE"""),"1734 - Channel")</f>
        <v>1734 - Channel</v>
      </c>
      <c r="B1235" s="4"/>
      <c r="C1235" s="6"/>
      <c r="D1235" s="4"/>
      <c r="E1235" s="56"/>
    </row>
    <row r="1236">
      <c r="A1236" s="4" t="str">
        <f>IFERROR(__xludf.DUMMYFUNCTION("""COMPUTED_VALUE"""),"1735 - Channel")</f>
        <v>1735 - Channel</v>
      </c>
      <c r="B1236" s="4"/>
      <c r="C1236" s="6"/>
      <c r="D1236" s="4"/>
      <c r="E1236" s="56"/>
    </row>
    <row r="1237">
      <c r="A1237" s="4" t="str">
        <f>IFERROR(__xludf.DUMMYFUNCTION("""COMPUTED_VALUE"""),"1736 - Channel")</f>
        <v>1736 - Channel</v>
      </c>
      <c r="B1237" s="4"/>
      <c r="C1237" s="6"/>
      <c r="D1237" s="4"/>
      <c r="E1237" s="56"/>
    </row>
    <row r="1238">
      <c r="A1238" s="4" t="str">
        <f>IFERROR(__xludf.DUMMYFUNCTION("""COMPUTED_VALUE"""),"1737 - Channel")</f>
        <v>1737 - Channel</v>
      </c>
      <c r="B1238" s="4"/>
      <c r="C1238" s="6"/>
      <c r="D1238" s="4"/>
      <c r="E1238" s="56"/>
    </row>
    <row r="1239">
      <c r="A1239" s="4" t="str">
        <f>IFERROR(__xludf.DUMMYFUNCTION("""COMPUTED_VALUE"""),"1738 - Channel")</f>
        <v>1738 - Channel</v>
      </c>
      <c r="B1239" s="4"/>
      <c r="C1239" s="6"/>
      <c r="D1239" s="4"/>
      <c r="E1239" s="56"/>
    </row>
    <row r="1240">
      <c r="A1240" s="4" t="str">
        <f>IFERROR(__xludf.DUMMYFUNCTION("""COMPUTED_VALUE"""),"1739 - Channel")</f>
        <v>1739 - Channel</v>
      </c>
      <c r="B1240" s="4"/>
      <c r="C1240" s="6"/>
      <c r="D1240" s="4"/>
      <c r="E1240" s="56"/>
    </row>
    <row r="1241">
      <c r="A1241" s="4" t="str">
        <f>IFERROR(__xludf.DUMMYFUNCTION("""COMPUTED_VALUE"""),"1740 - Channel")</f>
        <v>1740 - Channel</v>
      </c>
      <c r="B1241" s="4"/>
      <c r="C1241" s="6"/>
      <c r="D1241" s="4"/>
      <c r="E1241" s="56"/>
    </row>
    <row r="1242">
      <c r="A1242" s="4" t="str">
        <f>IFERROR(__xludf.DUMMYFUNCTION("""COMPUTED_VALUE"""),"1741 - Channel")</f>
        <v>1741 - Channel</v>
      </c>
      <c r="B1242" s="4"/>
      <c r="C1242" s="6"/>
      <c r="D1242" s="4"/>
      <c r="E1242" s="56"/>
    </row>
    <row r="1243">
      <c r="A1243" s="4" t="str">
        <f>IFERROR(__xludf.DUMMYFUNCTION("""COMPUTED_VALUE"""),"1742 - Channel")</f>
        <v>1742 - Channel</v>
      </c>
      <c r="B1243" s="4"/>
      <c r="C1243" s="6"/>
      <c r="D1243" s="4"/>
      <c r="E1243" s="56"/>
    </row>
    <row r="1244">
      <c r="A1244" s="4" t="str">
        <f>IFERROR(__xludf.DUMMYFUNCTION("""COMPUTED_VALUE"""),"1743 - Channel")</f>
        <v>1743 - Channel</v>
      </c>
      <c r="B1244" s="4"/>
      <c r="C1244" s="6"/>
      <c r="D1244" s="4"/>
      <c r="E1244" s="56"/>
    </row>
    <row r="1245">
      <c r="A1245" s="4" t="str">
        <f>IFERROR(__xludf.DUMMYFUNCTION("""COMPUTED_VALUE"""),"1744 - Channel")</f>
        <v>1744 - Channel</v>
      </c>
      <c r="B1245" s="4"/>
      <c r="C1245" s="6"/>
      <c r="D1245" s="4"/>
      <c r="E1245" s="56"/>
    </row>
    <row r="1246">
      <c r="A1246" s="4" t="str">
        <f>IFERROR(__xludf.DUMMYFUNCTION("""COMPUTED_VALUE"""),"1745 - Channel")</f>
        <v>1745 - Channel</v>
      </c>
      <c r="B1246" s="4"/>
      <c r="C1246" s="6"/>
      <c r="D1246" s="4"/>
      <c r="E1246" s="56"/>
    </row>
    <row r="1247">
      <c r="A1247" s="4" t="str">
        <f>IFERROR(__xludf.DUMMYFUNCTION("""COMPUTED_VALUE"""),"1746 - Channel")</f>
        <v>1746 - Channel</v>
      </c>
      <c r="B1247" s="4"/>
      <c r="C1247" s="6"/>
      <c r="D1247" s="4"/>
      <c r="E1247" s="56"/>
    </row>
    <row r="1248">
      <c r="A1248" s="4" t="str">
        <f>IFERROR(__xludf.DUMMYFUNCTION("""COMPUTED_VALUE"""),"1747 - Channel")</f>
        <v>1747 - Channel</v>
      </c>
      <c r="B1248" s="4"/>
      <c r="C1248" s="6"/>
      <c r="D1248" s="4"/>
      <c r="E1248" s="56"/>
    </row>
    <row r="1249">
      <c r="A1249" s="4" t="str">
        <f>IFERROR(__xludf.DUMMYFUNCTION("""COMPUTED_VALUE"""),"1748 - Channel")</f>
        <v>1748 - Channel</v>
      </c>
      <c r="B1249" s="4"/>
      <c r="C1249" s="6"/>
      <c r="D1249" s="4"/>
      <c r="E1249" s="56"/>
    </row>
    <row r="1250">
      <c r="A1250" s="4" t="str">
        <f>IFERROR(__xludf.DUMMYFUNCTION("""COMPUTED_VALUE"""),"1749 - Channel")</f>
        <v>1749 - Channel</v>
      </c>
      <c r="B1250" s="4"/>
      <c r="C1250" s="6"/>
      <c r="D1250" s="4"/>
      <c r="E1250" s="56"/>
    </row>
    <row r="1251">
      <c r="A1251" s="4" t="str">
        <f>IFERROR(__xludf.DUMMYFUNCTION("""COMPUTED_VALUE"""),"1750 - Channel")</f>
        <v>1750 - Channel</v>
      </c>
      <c r="B1251" s="4"/>
      <c r="C1251" s="6"/>
      <c r="D1251" s="4"/>
      <c r="E1251" s="56"/>
    </row>
    <row r="1252">
      <c r="A1252" s="4" t="str">
        <f>IFERROR(__xludf.DUMMYFUNCTION("""COMPUTED_VALUE"""),"1751 - Channel")</f>
        <v>1751 - Channel</v>
      </c>
      <c r="B1252" s="4"/>
      <c r="C1252" s="6"/>
      <c r="D1252" s="4"/>
      <c r="E1252" s="56"/>
    </row>
    <row r="1253">
      <c r="A1253" s="4" t="str">
        <f>IFERROR(__xludf.DUMMYFUNCTION("""COMPUTED_VALUE"""),"1752 - Channel")</f>
        <v>1752 - Channel</v>
      </c>
      <c r="B1253" s="4"/>
      <c r="C1253" s="6"/>
      <c r="D1253" s="4"/>
      <c r="E1253" s="56"/>
    </row>
    <row r="1254">
      <c r="A1254" s="4" t="str">
        <f>IFERROR(__xludf.DUMMYFUNCTION("""COMPUTED_VALUE"""),"1753 - Channel")</f>
        <v>1753 - Channel</v>
      </c>
      <c r="B1254" s="4"/>
      <c r="C1254" s="6"/>
      <c r="D1254" s="4"/>
      <c r="E1254" s="56"/>
    </row>
    <row r="1255">
      <c r="A1255" s="4" t="str">
        <f>IFERROR(__xludf.DUMMYFUNCTION("""COMPUTED_VALUE"""),"1754 - Channel")</f>
        <v>1754 - Channel</v>
      </c>
      <c r="B1255" s="4"/>
      <c r="C1255" s="6"/>
      <c r="D1255" s="4"/>
      <c r="E1255" s="56"/>
    </row>
    <row r="1256">
      <c r="A1256" s="4" t="str">
        <f>IFERROR(__xludf.DUMMYFUNCTION("""COMPUTED_VALUE"""),"1755 - Channel")</f>
        <v>1755 - Channel</v>
      </c>
      <c r="B1256" s="4"/>
      <c r="C1256" s="6"/>
      <c r="D1256" s="4"/>
      <c r="E1256" s="56"/>
    </row>
    <row r="1257">
      <c r="A1257" s="4" t="str">
        <f>IFERROR(__xludf.DUMMYFUNCTION("""COMPUTED_VALUE"""),"1756 - Channel")</f>
        <v>1756 - Channel</v>
      </c>
      <c r="B1257" s="4"/>
      <c r="C1257" s="6"/>
      <c r="D1257" s="4"/>
      <c r="E1257" s="56"/>
    </row>
    <row r="1258">
      <c r="A1258" s="4" t="str">
        <f>IFERROR(__xludf.DUMMYFUNCTION("""COMPUTED_VALUE"""),"1757 - Channel")</f>
        <v>1757 - Channel</v>
      </c>
      <c r="B1258" s="4"/>
      <c r="C1258" s="6"/>
      <c r="D1258" s="4"/>
      <c r="E1258" s="56"/>
    </row>
    <row r="1259">
      <c r="A1259" s="4" t="str">
        <f>IFERROR(__xludf.DUMMYFUNCTION("""COMPUTED_VALUE"""),"1758 - Channel")</f>
        <v>1758 - Channel</v>
      </c>
      <c r="B1259" s="4"/>
      <c r="C1259" s="6"/>
      <c r="D1259" s="4"/>
      <c r="E1259" s="56"/>
    </row>
    <row r="1260">
      <c r="A1260" s="4" t="str">
        <f>IFERROR(__xludf.DUMMYFUNCTION("""COMPUTED_VALUE"""),"1759 - Channel")</f>
        <v>1759 - Channel</v>
      </c>
      <c r="B1260" s="4"/>
      <c r="C1260" s="6"/>
      <c r="D1260" s="4"/>
      <c r="E1260" s="56"/>
    </row>
    <row r="1261">
      <c r="A1261" s="4" t="str">
        <f>IFERROR(__xludf.DUMMYFUNCTION("""COMPUTED_VALUE"""),"1760 - Channel")</f>
        <v>1760 - Channel</v>
      </c>
      <c r="B1261" s="4"/>
      <c r="C1261" s="6"/>
      <c r="D1261" s="4"/>
      <c r="E1261" s="56"/>
    </row>
    <row r="1262">
      <c r="A1262" s="4" t="str">
        <f>IFERROR(__xludf.DUMMYFUNCTION("""COMPUTED_VALUE"""),"1761 - Channel")</f>
        <v>1761 - Channel</v>
      </c>
      <c r="B1262" s="4"/>
      <c r="C1262" s="6"/>
      <c r="D1262" s="4"/>
      <c r="E1262" s="56"/>
    </row>
    <row r="1263">
      <c r="A1263" s="4" t="str">
        <f>IFERROR(__xludf.DUMMYFUNCTION("""COMPUTED_VALUE"""),"1762 - Channel")</f>
        <v>1762 - Channel</v>
      </c>
      <c r="B1263" s="4"/>
      <c r="C1263" s="6"/>
      <c r="D1263" s="4"/>
      <c r="E1263" s="56"/>
    </row>
    <row r="1264">
      <c r="A1264" s="4" t="str">
        <f>IFERROR(__xludf.DUMMYFUNCTION("""COMPUTED_VALUE"""),"1763 - Channel")</f>
        <v>1763 - Channel</v>
      </c>
      <c r="B1264" s="4"/>
      <c r="C1264" s="6"/>
      <c r="D1264" s="4"/>
      <c r="E1264" s="56"/>
    </row>
    <row r="1265">
      <c r="A1265" s="4" t="str">
        <f>IFERROR(__xludf.DUMMYFUNCTION("""COMPUTED_VALUE"""),"1764 - Channel")</f>
        <v>1764 - Channel</v>
      </c>
      <c r="B1265" s="4"/>
      <c r="C1265" s="6"/>
      <c r="D1265" s="4"/>
      <c r="E1265" s="56"/>
    </row>
    <row r="1266">
      <c r="A1266" s="4" t="str">
        <f>IFERROR(__xludf.DUMMYFUNCTION("""COMPUTED_VALUE"""),"1765 - Channel")</f>
        <v>1765 - Channel</v>
      </c>
      <c r="B1266" s="4"/>
      <c r="C1266" s="6"/>
      <c r="D1266" s="4"/>
      <c r="E1266" s="56"/>
    </row>
    <row r="1267">
      <c r="A1267" s="4" t="str">
        <f>IFERROR(__xludf.DUMMYFUNCTION("""COMPUTED_VALUE"""),"1766 - Channel")</f>
        <v>1766 - Channel</v>
      </c>
      <c r="B1267" s="4"/>
      <c r="C1267" s="6"/>
      <c r="D1267" s="4"/>
      <c r="E1267" s="56"/>
    </row>
    <row r="1268">
      <c r="A1268" s="4" t="str">
        <f>IFERROR(__xludf.DUMMYFUNCTION("""COMPUTED_VALUE"""),"1767 - Channel")</f>
        <v>1767 - Channel</v>
      </c>
      <c r="B1268" s="4"/>
      <c r="C1268" s="6"/>
      <c r="D1268" s="4"/>
      <c r="E1268" s="56"/>
    </row>
    <row r="1269">
      <c r="A1269" s="4" t="str">
        <f>IFERROR(__xludf.DUMMYFUNCTION("""COMPUTED_VALUE"""),"1768 - Channel")</f>
        <v>1768 - Channel</v>
      </c>
      <c r="B1269" s="4"/>
      <c r="C1269" s="6"/>
      <c r="D1269" s="4"/>
      <c r="E1269" s="56"/>
    </row>
    <row r="1270">
      <c r="A1270" s="4" t="str">
        <f>IFERROR(__xludf.DUMMYFUNCTION("""COMPUTED_VALUE"""),"1769 - Channel")</f>
        <v>1769 - Channel</v>
      </c>
      <c r="B1270" s="4"/>
      <c r="C1270" s="6"/>
      <c r="D1270" s="4"/>
      <c r="E1270" s="56"/>
    </row>
    <row r="1271">
      <c r="A1271" s="4" t="str">
        <f>IFERROR(__xludf.DUMMYFUNCTION("""COMPUTED_VALUE"""),"1770 - Channel")</f>
        <v>1770 - Channel</v>
      </c>
      <c r="B1271" s="4"/>
      <c r="C1271" s="6"/>
      <c r="D1271" s="4"/>
      <c r="E1271" s="56"/>
    </row>
    <row r="1272">
      <c r="A1272" s="4" t="str">
        <f>IFERROR(__xludf.DUMMYFUNCTION("""COMPUTED_VALUE"""),"1771 - Channel")</f>
        <v>1771 - Channel</v>
      </c>
      <c r="B1272" s="4"/>
      <c r="C1272" s="6"/>
      <c r="D1272" s="4"/>
      <c r="E1272" s="56"/>
    </row>
    <row r="1273">
      <c r="A1273" s="4" t="str">
        <f>IFERROR(__xludf.DUMMYFUNCTION("""COMPUTED_VALUE"""),"1772 - Channel")</f>
        <v>1772 - Channel</v>
      </c>
      <c r="B1273" s="4"/>
      <c r="C1273" s="6"/>
      <c r="D1273" s="4"/>
      <c r="E1273" s="56"/>
    </row>
    <row r="1274">
      <c r="A1274" s="4" t="str">
        <f>IFERROR(__xludf.DUMMYFUNCTION("""COMPUTED_VALUE"""),"1773 - Channel")</f>
        <v>1773 - Channel</v>
      </c>
      <c r="B1274" s="4"/>
      <c r="C1274" s="6"/>
      <c r="D1274" s="4"/>
      <c r="E1274" s="56"/>
    </row>
    <row r="1275">
      <c r="A1275" s="4" t="str">
        <f>IFERROR(__xludf.DUMMYFUNCTION("""COMPUTED_VALUE"""),"1774 - Channel")</f>
        <v>1774 - Channel</v>
      </c>
      <c r="B1275" s="4"/>
      <c r="C1275" s="6"/>
      <c r="D1275" s="4"/>
      <c r="E1275" s="56"/>
    </row>
    <row r="1276">
      <c r="A1276" s="4" t="str">
        <f>IFERROR(__xludf.DUMMYFUNCTION("""COMPUTED_VALUE"""),"1775 - Channel")</f>
        <v>1775 - Channel</v>
      </c>
      <c r="B1276" s="4"/>
      <c r="C1276" s="6"/>
      <c r="D1276" s="4"/>
      <c r="E1276" s="56"/>
    </row>
    <row r="1277">
      <c r="A1277" s="4" t="str">
        <f>IFERROR(__xludf.DUMMYFUNCTION("""COMPUTED_VALUE"""),"1776 - Channel")</f>
        <v>1776 - Channel</v>
      </c>
      <c r="B1277" s="4"/>
      <c r="C1277" s="6"/>
      <c r="D1277" s="4"/>
      <c r="E1277" s="56"/>
    </row>
    <row r="1278">
      <c r="A1278" s="4" t="str">
        <f>IFERROR(__xludf.DUMMYFUNCTION("""COMPUTED_VALUE"""),"1777 - Channel")</f>
        <v>1777 - Channel</v>
      </c>
      <c r="B1278" s="4"/>
      <c r="C1278" s="6"/>
      <c r="D1278" s="4"/>
      <c r="E1278" s="56"/>
    </row>
    <row r="1279">
      <c r="A1279" s="4" t="str">
        <f>IFERROR(__xludf.DUMMYFUNCTION("""COMPUTED_VALUE"""),"1778 - Channel")</f>
        <v>1778 - Channel</v>
      </c>
      <c r="B1279" s="4"/>
      <c r="C1279" s="6"/>
      <c r="D1279" s="4"/>
      <c r="E1279" s="56"/>
    </row>
    <row r="1280">
      <c r="A1280" s="4" t="str">
        <f>IFERROR(__xludf.DUMMYFUNCTION("""COMPUTED_VALUE"""),"1779 - Channel")</f>
        <v>1779 - Channel</v>
      </c>
      <c r="B1280" s="4"/>
      <c r="C1280" s="6"/>
      <c r="D1280" s="4"/>
      <c r="E1280" s="56"/>
    </row>
    <row r="1281">
      <c r="A1281" s="4" t="str">
        <f>IFERROR(__xludf.DUMMYFUNCTION("""COMPUTED_VALUE"""),"1780 - Channel")</f>
        <v>1780 - Channel</v>
      </c>
      <c r="B1281" s="4"/>
      <c r="C1281" s="6"/>
      <c r="D1281" s="4"/>
      <c r="E1281" s="56"/>
    </row>
    <row r="1282">
      <c r="A1282" s="4" t="str">
        <f>IFERROR(__xludf.DUMMYFUNCTION("""COMPUTED_VALUE"""),"1781 - Channel")</f>
        <v>1781 - Channel</v>
      </c>
      <c r="B1282" s="4"/>
      <c r="C1282" s="6"/>
      <c r="D1282" s="4"/>
      <c r="E1282" s="56"/>
    </row>
    <row r="1283">
      <c r="A1283" s="4" t="str">
        <f>IFERROR(__xludf.DUMMYFUNCTION("""COMPUTED_VALUE"""),"1782 - Channel")</f>
        <v>1782 - Channel</v>
      </c>
      <c r="B1283" s="4"/>
      <c r="C1283" s="6"/>
      <c r="D1283" s="4"/>
      <c r="E1283" s="56"/>
    </row>
    <row r="1284">
      <c r="A1284" s="4" t="str">
        <f>IFERROR(__xludf.DUMMYFUNCTION("""COMPUTED_VALUE"""),"1783 - Channel")</f>
        <v>1783 - Channel</v>
      </c>
      <c r="B1284" s="4"/>
      <c r="C1284" s="6"/>
      <c r="D1284" s="4"/>
      <c r="E1284" s="56"/>
    </row>
    <row r="1285">
      <c r="A1285" s="4" t="str">
        <f>IFERROR(__xludf.DUMMYFUNCTION("""COMPUTED_VALUE"""),"1784 - Channel")</f>
        <v>1784 - Channel</v>
      </c>
      <c r="B1285" s="4"/>
      <c r="C1285" s="6"/>
      <c r="D1285" s="4"/>
      <c r="E1285" s="56"/>
    </row>
    <row r="1286">
      <c r="A1286" s="4" t="str">
        <f>IFERROR(__xludf.DUMMYFUNCTION("""COMPUTED_VALUE"""),"1785 - Channel")</f>
        <v>1785 - Channel</v>
      </c>
      <c r="B1286" s="4"/>
      <c r="C1286" s="6"/>
      <c r="D1286" s="4"/>
      <c r="E1286" s="56"/>
    </row>
    <row r="1287">
      <c r="A1287" s="4" t="str">
        <f>IFERROR(__xludf.DUMMYFUNCTION("""COMPUTED_VALUE"""),"1786 - Channel")</f>
        <v>1786 - Channel</v>
      </c>
      <c r="B1287" s="4"/>
      <c r="C1287" s="6"/>
      <c r="D1287" s="4"/>
      <c r="E1287" s="56"/>
    </row>
    <row r="1288">
      <c r="A1288" s="4" t="str">
        <f>IFERROR(__xludf.DUMMYFUNCTION("""COMPUTED_VALUE"""),"1787 - Channel")</f>
        <v>1787 - Channel</v>
      </c>
      <c r="B1288" s="4"/>
      <c r="C1288" s="6"/>
      <c r="D1288" s="4"/>
      <c r="E1288" s="56"/>
    </row>
    <row r="1289">
      <c r="A1289" s="4" t="str">
        <f>IFERROR(__xludf.DUMMYFUNCTION("""COMPUTED_VALUE"""),"1788 - Channel")</f>
        <v>1788 - Channel</v>
      </c>
      <c r="B1289" s="4"/>
      <c r="C1289" s="6"/>
      <c r="D1289" s="4"/>
      <c r="E1289" s="56"/>
    </row>
    <row r="1290">
      <c r="A1290" s="4" t="str">
        <f>IFERROR(__xludf.DUMMYFUNCTION("""COMPUTED_VALUE"""),"1789 - Channel")</f>
        <v>1789 - Channel</v>
      </c>
      <c r="B1290" s="4"/>
      <c r="C1290" s="6"/>
      <c r="D1290" s="4"/>
      <c r="E1290" s="56"/>
    </row>
    <row r="1291">
      <c r="A1291" s="4" t="str">
        <f>IFERROR(__xludf.DUMMYFUNCTION("""COMPUTED_VALUE"""),"1790 - Channel")</f>
        <v>1790 - Channel</v>
      </c>
      <c r="B1291" s="4"/>
      <c r="C1291" s="6"/>
      <c r="D1291" s="4"/>
      <c r="E1291" s="56"/>
    </row>
    <row r="1292">
      <c r="A1292" s="4" t="str">
        <f>IFERROR(__xludf.DUMMYFUNCTION("""COMPUTED_VALUE"""),"1791 - Channel")</f>
        <v>1791 - Channel</v>
      </c>
      <c r="B1292" s="4"/>
      <c r="C1292" s="6"/>
      <c r="D1292" s="4"/>
      <c r="E1292" s="56"/>
    </row>
    <row r="1293">
      <c r="A1293" s="4" t="str">
        <f>IFERROR(__xludf.DUMMYFUNCTION("""COMPUTED_VALUE"""),"1792 - Channel")</f>
        <v>1792 - Channel</v>
      </c>
      <c r="B1293" s="4"/>
      <c r="C1293" s="6"/>
      <c r="D1293" s="4"/>
      <c r="E1293" s="56"/>
    </row>
    <row r="1294">
      <c r="A1294" s="4" t="str">
        <f>IFERROR(__xludf.DUMMYFUNCTION("""COMPUTED_VALUE"""),"1793 - Channel")</f>
        <v>1793 - Channel</v>
      </c>
      <c r="B1294" s="4"/>
      <c r="C1294" s="6"/>
      <c r="D1294" s="4"/>
      <c r="E1294" s="56"/>
    </row>
    <row r="1295">
      <c r="A1295" s="4" t="str">
        <f>IFERROR(__xludf.DUMMYFUNCTION("""COMPUTED_VALUE"""),"1794 - Channel")</f>
        <v>1794 - Channel</v>
      </c>
      <c r="B1295" s="4"/>
      <c r="C1295" s="6"/>
      <c r="D1295" s="4"/>
      <c r="E1295" s="56"/>
    </row>
    <row r="1296">
      <c r="A1296" s="4" t="str">
        <f>IFERROR(__xludf.DUMMYFUNCTION("""COMPUTED_VALUE"""),"1825 - Channel")</f>
        <v>1825 - Channel</v>
      </c>
      <c r="B1296" s="4"/>
      <c r="C1296" s="6"/>
      <c r="D1296" s="4"/>
      <c r="E1296" s="56"/>
    </row>
    <row r="1297">
      <c r="A1297" s="4" t="str">
        <f>IFERROR(__xludf.DUMMYFUNCTION("""COMPUTED_VALUE"""),"1826 - Channel")</f>
        <v>1826 - Channel</v>
      </c>
      <c r="B1297" s="4"/>
      <c r="C1297" s="6"/>
      <c r="D1297" s="4"/>
      <c r="E1297" s="56"/>
    </row>
    <row r="1298">
      <c r="A1298" s="4" t="str">
        <f>IFERROR(__xludf.DUMMYFUNCTION("""COMPUTED_VALUE"""),"1827 - Channel")</f>
        <v>1827 - Channel</v>
      </c>
      <c r="B1298" s="4"/>
      <c r="C1298" s="6"/>
      <c r="D1298" s="4"/>
      <c r="E1298" s="56"/>
    </row>
    <row r="1299">
      <c r="A1299" s="4" t="str">
        <f>IFERROR(__xludf.DUMMYFUNCTION("""COMPUTED_VALUE"""),"1828 - Channel")</f>
        <v>1828 - Channel</v>
      </c>
      <c r="B1299" s="4"/>
      <c r="C1299" s="6"/>
      <c r="D1299" s="4"/>
      <c r="E1299" s="56"/>
    </row>
    <row r="1300">
      <c r="A1300" s="4" t="str">
        <f>IFERROR(__xludf.DUMMYFUNCTION("""COMPUTED_VALUE"""),"1829 - Channel")</f>
        <v>1829 - Channel</v>
      </c>
      <c r="B1300" s="4"/>
      <c r="C1300" s="6"/>
      <c r="D1300" s="4"/>
      <c r="E1300" s="56"/>
    </row>
    <row r="1301">
      <c r="A1301" s="4" t="str">
        <f>IFERROR(__xludf.DUMMYFUNCTION("""COMPUTED_VALUE"""),"1830 - Channel")</f>
        <v>1830 - Channel</v>
      </c>
      <c r="B1301" s="4"/>
      <c r="C1301" s="6"/>
      <c r="D1301" s="4"/>
      <c r="E1301" s="56"/>
    </row>
    <row r="1302">
      <c r="A1302" s="4" t="str">
        <f>IFERROR(__xludf.DUMMYFUNCTION("""COMPUTED_VALUE"""),"1831 - Channel")</f>
        <v>1831 - Channel</v>
      </c>
      <c r="B1302" s="4"/>
      <c r="C1302" s="6"/>
      <c r="D1302" s="4"/>
      <c r="E1302" s="56"/>
    </row>
    <row r="1303">
      <c r="A1303" s="4" t="str">
        <f>IFERROR(__xludf.DUMMYFUNCTION("""COMPUTED_VALUE"""),"1832 - Channel")</f>
        <v>1832 - Channel</v>
      </c>
      <c r="B1303" s="4"/>
      <c r="C1303" s="6"/>
      <c r="D1303" s="4"/>
      <c r="E1303" s="56"/>
    </row>
    <row r="1304">
      <c r="A1304" s="4" t="str">
        <f>IFERROR(__xludf.DUMMYFUNCTION("""COMPUTED_VALUE"""),"1833 - Channel")</f>
        <v>1833 - Channel</v>
      </c>
      <c r="B1304" s="4"/>
      <c r="C1304" s="6"/>
      <c r="D1304" s="4"/>
      <c r="E1304" s="56"/>
    </row>
    <row r="1305">
      <c r="A1305" s="4" t="str">
        <f>IFERROR(__xludf.DUMMYFUNCTION("""COMPUTED_VALUE"""),"1835 - Channel")</f>
        <v>1835 - Channel</v>
      </c>
      <c r="B1305" s="4"/>
      <c r="C1305" s="6"/>
      <c r="D1305" s="4"/>
      <c r="E1305" s="56"/>
    </row>
    <row r="1306">
      <c r="A1306" s="4" t="str">
        <f>IFERROR(__xludf.DUMMYFUNCTION("""COMPUTED_VALUE"""),"1836 - Channel")</f>
        <v>1836 - Channel</v>
      </c>
      <c r="B1306" s="4"/>
      <c r="C1306" s="6"/>
      <c r="D1306" s="4"/>
      <c r="E1306" s="56"/>
    </row>
    <row r="1307">
      <c r="A1307" s="4" t="str">
        <f>IFERROR(__xludf.DUMMYFUNCTION("""COMPUTED_VALUE"""),"1837 - Channel")</f>
        <v>1837 - Channel</v>
      </c>
      <c r="B1307" s="4"/>
      <c r="C1307" s="6"/>
      <c r="D1307" s="4"/>
      <c r="E1307" s="56"/>
    </row>
    <row r="1308">
      <c r="A1308" s="4" t="str">
        <f>IFERROR(__xludf.DUMMYFUNCTION("""COMPUTED_VALUE"""),"1838 - Channel")</f>
        <v>1838 - Channel</v>
      </c>
      <c r="B1308" s="4"/>
      <c r="C1308" s="6"/>
      <c r="D1308" s="4"/>
      <c r="E1308" s="56"/>
    </row>
    <row r="1309">
      <c r="A1309" s="4" t="str">
        <f>IFERROR(__xludf.DUMMYFUNCTION("""COMPUTED_VALUE"""),"1839 - Channel")</f>
        <v>1839 - Channel</v>
      </c>
      <c r="B1309" s="4"/>
      <c r="C1309" s="6"/>
      <c r="D1309" s="4"/>
      <c r="E1309" s="56"/>
    </row>
    <row r="1310">
      <c r="A1310" s="4" t="str">
        <f>IFERROR(__xludf.DUMMYFUNCTION("""COMPUTED_VALUE"""),"1840 - Channel")</f>
        <v>1840 - Channel</v>
      </c>
      <c r="B1310" s="4"/>
      <c r="C1310" s="6"/>
      <c r="D1310" s="4"/>
      <c r="E1310" s="56"/>
    </row>
    <row r="1311">
      <c r="A1311" s="4" t="str">
        <f>IFERROR(__xludf.DUMMYFUNCTION("""COMPUTED_VALUE"""),"1841 - Channel")</f>
        <v>1841 - Channel</v>
      </c>
      <c r="B1311" s="4"/>
      <c r="C1311" s="6"/>
      <c r="D1311" s="4"/>
      <c r="E1311" s="56"/>
    </row>
    <row r="1312">
      <c r="A1312" s="4" t="str">
        <f>IFERROR(__xludf.DUMMYFUNCTION("""COMPUTED_VALUE"""),"1842 - Channel")</f>
        <v>1842 - Channel</v>
      </c>
      <c r="B1312" s="4"/>
      <c r="C1312" s="6"/>
      <c r="D1312" s="4"/>
      <c r="E1312" s="56"/>
    </row>
    <row r="1313">
      <c r="A1313" s="4" t="str">
        <f>IFERROR(__xludf.DUMMYFUNCTION("""COMPUTED_VALUE"""),"1843 - Channel")</f>
        <v>1843 - Channel</v>
      </c>
      <c r="B1313" s="4"/>
      <c r="C1313" s="6"/>
      <c r="D1313" s="4"/>
      <c r="E1313" s="56"/>
    </row>
    <row r="1314">
      <c r="A1314" s="4" t="str">
        <f>IFERROR(__xludf.DUMMYFUNCTION("""COMPUTED_VALUE"""),"1844 - Channel")</f>
        <v>1844 - Channel</v>
      </c>
      <c r="B1314" s="4"/>
      <c r="C1314" s="6"/>
      <c r="D1314" s="4"/>
      <c r="E1314" s="56"/>
    </row>
    <row r="1315">
      <c r="A1315" s="4" t="str">
        <f>IFERROR(__xludf.DUMMYFUNCTION("""COMPUTED_VALUE"""),"1845 - Channel")</f>
        <v>1845 - Channel</v>
      </c>
      <c r="B1315" s="4"/>
      <c r="C1315" s="6"/>
      <c r="D1315" s="4"/>
      <c r="E1315" s="56"/>
    </row>
    <row r="1316">
      <c r="A1316" s="4" t="str">
        <f>IFERROR(__xludf.DUMMYFUNCTION("""COMPUTED_VALUE"""),"1846 - Channel")</f>
        <v>1846 - Channel</v>
      </c>
      <c r="B1316" s="4"/>
      <c r="C1316" s="6"/>
      <c r="D1316" s="4"/>
      <c r="E1316" s="56"/>
    </row>
    <row r="1317">
      <c r="A1317" s="4" t="str">
        <f>IFERROR(__xludf.DUMMYFUNCTION("""COMPUTED_VALUE"""),"1847 - Channel")</f>
        <v>1847 - Channel</v>
      </c>
      <c r="B1317" s="4"/>
      <c r="C1317" s="6"/>
      <c r="D1317" s="4"/>
      <c r="E1317" s="56"/>
    </row>
    <row r="1318">
      <c r="A1318" s="4" t="str">
        <f>IFERROR(__xludf.DUMMYFUNCTION("""COMPUTED_VALUE"""),"1848 - Channel")</f>
        <v>1848 - Channel</v>
      </c>
      <c r="B1318" s="4"/>
      <c r="C1318" s="6"/>
      <c r="D1318" s="4"/>
      <c r="E1318" s="56"/>
    </row>
    <row r="1319">
      <c r="A1319" s="4" t="str">
        <f>IFERROR(__xludf.DUMMYFUNCTION("""COMPUTED_VALUE"""),"1849 - Channel")</f>
        <v>1849 - Channel</v>
      </c>
      <c r="B1319" s="4"/>
      <c r="C1319" s="6"/>
      <c r="D1319" s="4"/>
      <c r="E1319" s="56"/>
    </row>
    <row r="1320">
      <c r="A1320" s="4" t="str">
        <f>IFERROR(__xludf.DUMMYFUNCTION("""COMPUTED_VALUE"""),"1850 - Channel")</f>
        <v>1850 - Channel</v>
      </c>
      <c r="B1320" s="4"/>
      <c r="C1320" s="6"/>
      <c r="D1320" s="4"/>
      <c r="E1320" s="56"/>
    </row>
    <row r="1321">
      <c r="A1321" s="4" t="str">
        <f>IFERROR(__xludf.DUMMYFUNCTION("""COMPUTED_VALUE"""),"1851 - Channel")</f>
        <v>1851 - Channel</v>
      </c>
      <c r="B1321" s="4"/>
      <c r="C1321" s="6"/>
      <c r="D1321" s="4"/>
      <c r="E1321" s="56"/>
    </row>
    <row r="1322">
      <c r="A1322" s="4" t="str">
        <f>IFERROR(__xludf.DUMMYFUNCTION("""COMPUTED_VALUE"""),"1852 - Channel")</f>
        <v>1852 - Channel</v>
      </c>
      <c r="B1322" s="4"/>
      <c r="C1322" s="6"/>
      <c r="D1322" s="4"/>
      <c r="E1322" s="56"/>
    </row>
    <row r="1323">
      <c r="A1323" s="4" t="str">
        <f>IFERROR(__xludf.DUMMYFUNCTION("""COMPUTED_VALUE"""),"1853 - Channel")</f>
        <v>1853 - Channel</v>
      </c>
      <c r="B1323" s="4"/>
      <c r="C1323" s="6"/>
      <c r="D1323" s="4"/>
      <c r="E1323" s="56"/>
    </row>
    <row r="1324">
      <c r="A1324" s="4" t="str">
        <f>IFERROR(__xludf.DUMMYFUNCTION("""COMPUTED_VALUE"""),"1854 - Channel")</f>
        <v>1854 - Channel</v>
      </c>
      <c r="B1324" s="4"/>
      <c r="C1324" s="6"/>
      <c r="D1324" s="4"/>
      <c r="E1324" s="56"/>
    </row>
    <row r="1325">
      <c r="A1325" s="4" t="str">
        <f>IFERROR(__xludf.DUMMYFUNCTION("""COMPUTED_VALUE"""),"1855 - Channel")</f>
        <v>1855 - Channel</v>
      </c>
      <c r="B1325" s="4"/>
      <c r="C1325" s="6"/>
      <c r="D1325" s="4"/>
      <c r="E1325" s="56"/>
    </row>
    <row r="1326">
      <c r="A1326" s="4" t="str">
        <f>IFERROR(__xludf.DUMMYFUNCTION("""COMPUTED_VALUE"""),"1856 - Channel")</f>
        <v>1856 - Channel</v>
      </c>
      <c r="B1326" s="4"/>
      <c r="C1326" s="6"/>
      <c r="D1326" s="4"/>
      <c r="E1326" s="56"/>
    </row>
    <row r="1327">
      <c r="A1327" s="4" t="str">
        <f>IFERROR(__xludf.DUMMYFUNCTION("""COMPUTED_VALUE"""),"1857 - Channel")</f>
        <v>1857 - Channel</v>
      </c>
      <c r="B1327" s="4"/>
      <c r="C1327" s="6"/>
      <c r="D1327" s="4"/>
      <c r="E1327" s="56"/>
    </row>
    <row r="1328">
      <c r="A1328" s="4" t="str">
        <f>IFERROR(__xludf.DUMMYFUNCTION("""COMPUTED_VALUE"""),"1858 - Channel")</f>
        <v>1858 - Channel</v>
      </c>
      <c r="B1328" s="4"/>
      <c r="C1328" s="6"/>
      <c r="D1328" s="4"/>
      <c r="E1328" s="56"/>
    </row>
    <row r="1329">
      <c r="A1329" s="4" t="str">
        <f>IFERROR(__xludf.DUMMYFUNCTION("""COMPUTED_VALUE"""),"1859 - Channel")</f>
        <v>1859 - Channel</v>
      </c>
      <c r="B1329" s="4"/>
      <c r="C1329" s="6"/>
      <c r="D1329" s="4"/>
      <c r="E1329" s="56"/>
    </row>
    <row r="1330">
      <c r="A1330" s="4" t="str">
        <f>IFERROR(__xludf.DUMMYFUNCTION("""COMPUTED_VALUE"""),"1860 - Channel")</f>
        <v>1860 - Channel</v>
      </c>
      <c r="B1330" s="4"/>
      <c r="C1330" s="6"/>
      <c r="D1330" s="4"/>
      <c r="E1330" s="56"/>
    </row>
    <row r="1331">
      <c r="A1331" s="4" t="str">
        <f>IFERROR(__xludf.DUMMYFUNCTION("""COMPUTED_VALUE"""),"1861 - Channel")</f>
        <v>1861 - Channel</v>
      </c>
      <c r="B1331" s="4"/>
      <c r="C1331" s="6"/>
      <c r="D1331" s="4"/>
      <c r="E1331" s="56"/>
    </row>
    <row r="1332">
      <c r="A1332" s="4" t="str">
        <f>IFERROR(__xludf.DUMMYFUNCTION("""COMPUTED_VALUE"""),"1862 - Channel")</f>
        <v>1862 - Channel</v>
      </c>
      <c r="B1332" s="4"/>
      <c r="C1332" s="6"/>
      <c r="D1332" s="4"/>
      <c r="E1332" s="56"/>
    </row>
    <row r="1333">
      <c r="A1333" s="4" t="str">
        <f>IFERROR(__xludf.DUMMYFUNCTION("""COMPUTED_VALUE"""),"1863 - Channel")</f>
        <v>1863 - Channel</v>
      </c>
      <c r="B1333" s="4"/>
      <c r="C1333" s="6"/>
      <c r="D1333" s="4"/>
      <c r="E1333" s="56"/>
    </row>
    <row r="1334">
      <c r="A1334" s="4" t="str">
        <f>IFERROR(__xludf.DUMMYFUNCTION("""COMPUTED_VALUE"""),"1864 - Channel")</f>
        <v>1864 - Channel</v>
      </c>
      <c r="B1334" s="4"/>
      <c r="C1334" s="6"/>
      <c r="D1334" s="4"/>
      <c r="E1334" s="56"/>
    </row>
    <row r="1335">
      <c r="A1335" s="4" t="str">
        <f>IFERROR(__xludf.DUMMYFUNCTION("""COMPUTED_VALUE"""),"1865 - Channel")</f>
        <v>1865 - Channel</v>
      </c>
      <c r="B1335" s="4"/>
      <c r="C1335" s="6"/>
      <c r="D1335" s="4"/>
      <c r="E1335" s="56"/>
    </row>
    <row r="1336">
      <c r="A1336" s="4" t="str">
        <f>IFERROR(__xludf.DUMMYFUNCTION("""COMPUTED_VALUE"""),"1866 - Channel")</f>
        <v>1866 - Channel</v>
      </c>
      <c r="B1336" s="4"/>
      <c r="C1336" s="6"/>
      <c r="D1336" s="4"/>
      <c r="E1336" s="56"/>
    </row>
    <row r="1337">
      <c r="A1337" s="4" t="str">
        <f>IFERROR(__xludf.DUMMYFUNCTION("""COMPUTED_VALUE"""),"1867 - Channel")</f>
        <v>1867 - Channel</v>
      </c>
      <c r="B1337" s="4"/>
      <c r="C1337" s="6"/>
      <c r="D1337" s="4"/>
      <c r="E1337" s="56"/>
    </row>
    <row r="1338">
      <c r="A1338" s="4" t="str">
        <f>IFERROR(__xludf.DUMMYFUNCTION("""COMPUTED_VALUE"""),"1868 - Channel")</f>
        <v>1868 - Channel</v>
      </c>
      <c r="B1338" s="4"/>
      <c r="C1338" s="6"/>
      <c r="D1338" s="4"/>
      <c r="E1338" s="56"/>
    </row>
    <row r="1339">
      <c r="A1339" s="4" t="str">
        <f>IFERROR(__xludf.DUMMYFUNCTION("""COMPUTED_VALUE"""),"1869 - Channel")</f>
        <v>1869 - Channel</v>
      </c>
      <c r="B1339" s="4"/>
      <c r="C1339" s="6"/>
      <c r="D1339" s="4"/>
      <c r="E1339" s="56"/>
    </row>
    <row r="1340">
      <c r="A1340" s="4" t="str">
        <f>IFERROR(__xludf.DUMMYFUNCTION("""COMPUTED_VALUE"""),"1870 - Channel")</f>
        <v>1870 - Channel</v>
      </c>
      <c r="B1340" s="4"/>
      <c r="C1340" s="6"/>
      <c r="D1340" s="4"/>
      <c r="E1340" s="56"/>
    </row>
    <row r="1341">
      <c r="A1341" s="4" t="str">
        <f>IFERROR(__xludf.DUMMYFUNCTION("""COMPUTED_VALUE"""),"1871 - Channel")</f>
        <v>1871 - Channel</v>
      </c>
      <c r="B1341" s="4"/>
      <c r="C1341" s="6"/>
      <c r="D1341" s="4"/>
      <c r="E1341" s="56"/>
    </row>
    <row r="1342">
      <c r="A1342" s="4" t="str">
        <f>IFERROR(__xludf.DUMMYFUNCTION("""COMPUTED_VALUE"""),"1872 - Channel")</f>
        <v>1872 - Channel</v>
      </c>
      <c r="B1342" s="4"/>
      <c r="C1342" s="6"/>
      <c r="D1342" s="4"/>
      <c r="E1342" s="56"/>
    </row>
    <row r="1343">
      <c r="A1343" s="4" t="str">
        <f>IFERROR(__xludf.DUMMYFUNCTION("""COMPUTED_VALUE"""),"1873 - Channel")</f>
        <v>1873 - Channel</v>
      </c>
      <c r="B1343" s="4"/>
      <c r="C1343" s="6"/>
      <c r="D1343" s="4"/>
      <c r="E1343" s="56"/>
    </row>
    <row r="1344">
      <c r="A1344" s="4" t="str">
        <f>IFERROR(__xludf.DUMMYFUNCTION("""COMPUTED_VALUE"""),"1874 - Channel")</f>
        <v>1874 - Channel</v>
      </c>
      <c r="B1344" s="4"/>
      <c r="C1344" s="6"/>
      <c r="D1344" s="4"/>
      <c r="E1344" s="56"/>
    </row>
    <row r="1345">
      <c r="A1345" s="4" t="str">
        <f>IFERROR(__xludf.DUMMYFUNCTION("""COMPUTED_VALUE"""),"1875 - Channel")</f>
        <v>1875 - Channel</v>
      </c>
      <c r="B1345" s="4"/>
      <c r="C1345" s="6"/>
      <c r="D1345" s="4"/>
      <c r="E1345" s="56"/>
    </row>
    <row r="1346">
      <c r="A1346" s="4" t="str">
        <f>IFERROR(__xludf.DUMMYFUNCTION("""COMPUTED_VALUE"""),"1876 - Channel")</f>
        <v>1876 - Channel</v>
      </c>
      <c r="B1346" s="4"/>
      <c r="C1346" s="6"/>
      <c r="D1346" s="4"/>
      <c r="E1346" s="56"/>
    </row>
    <row r="1347">
      <c r="A1347" s="4" t="str">
        <f>IFERROR(__xludf.DUMMYFUNCTION("""COMPUTED_VALUE"""),"1877 - Channel")</f>
        <v>1877 - Channel</v>
      </c>
      <c r="B1347" s="4"/>
      <c r="C1347" s="6"/>
      <c r="D1347" s="4"/>
      <c r="E1347" s="56"/>
    </row>
    <row r="1348">
      <c r="A1348" s="4" t="str">
        <f>IFERROR(__xludf.DUMMYFUNCTION("""COMPUTED_VALUE"""),"1878 - Channel")</f>
        <v>1878 - Channel</v>
      </c>
      <c r="B1348" s="4"/>
      <c r="C1348" s="6"/>
      <c r="D1348" s="4"/>
      <c r="E1348" s="56"/>
    </row>
    <row r="1349">
      <c r="A1349" s="4" t="str">
        <f>IFERROR(__xludf.DUMMYFUNCTION("""COMPUTED_VALUE"""),"1879 - Channel")</f>
        <v>1879 - Channel</v>
      </c>
      <c r="B1349" s="4"/>
      <c r="C1349" s="6"/>
      <c r="D1349" s="4"/>
      <c r="E1349" s="56"/>
    </row>
    <row r="1350">
      <c r="A1350" s="4" t="str">
        <f>IFERROR(__xludf.DUMMYFUNCTION("""COMPUTED_VALUE"""),"1880 - Channel")</f>
        <v>1880 - Channel</v>
      </c>
      <c r="B1350" s="4"/>
      <c r="C1350" s="6"/>
      <c r="D1350" s="4"/>
      <c r="E1350" s="56"/>
    </row>
    <row r="1351">
      <c r="A1351" s="4" t="str">
        <f>IFERROR(__xludf.DUMMYFUNCTION("""COMPUTED_VALUE"""),"1881 - Channel")</f>
        <v>1881 - Channel</v>
      </c>
      <c r="B1351" s="4"/>
      <c r="C1351" s="6"/>
      <c r="D1351" s="4"/>
      <c r="E1351" s="56"/>
    </row>
    <row r="1352">
      <c r="A1352" s="4" t="str">
        <f>IFERROR(__xludf.DUMMYFUNCTION("""COMPUTED_VALUE"""),"1882 - Channel")</f>
        <v>1882 - Channel</v>
      </c>
      <c r="B1352" s="4"/>
      <c r="C1352" s="6"/>
      <c r="D1352" s="4"/>
      <c r="E1352" s="56"/>
    </row>
    <row r="1353">
      <c r="A1353" s="4" t="str">
        <f>IFERROR(__xludf.DUMMYFUNCTION("""COMPUTED_VALUE"""),"1883 - Channel")</f>
        <v>1883 - Channel</v>
      </c>
      <c r="B1353" s="4"/>
      <c r="C1353" s="6"/>
      <c r="D1353" s="4"/>
      <c r="E1353" s="56"/>
    </row>
    <row r="1354">
      <c r="A1354" s="4" t="str">
        <f>IFERROR(__xludf.DUMMYFUNCTION("""COMPUTED_VALUE"""),"1884 - Channel")</f>
        <v>1884 - Channel</v>
      </c>
      <c r="B1354" s="4"/>
      <c r="C1354" s="6"/>
      <c r="D1354" s="4"/>
      <c r="E1354" s="56"/>
    </row>
    <row r="1355">
      <c r="A1355" s="4" t="str">
        <f>IFERROR(__xludf.DUMMYFUNCTION("""COMPUTED_VALUE"""),"1885 - Channel")</f>
        <v>1885 - Channel</v>
      </c>
      <c r="B1355" s="4"/>
      <c r="C1355" s="6"/>
      <c r="D1355" s="4"/>
      <c r="E1355" s="56"/>
    </row>
    <row r="1356">
      <c r="A1356" s="4" t="str">
        <f>IFERROR(__xludf.DUMMYFUNCTION("""COMPUTED_VALUE"""),"1886 - Channel")</f>
        <v>1886 - Channel</v>
      </c>
      <c r="B1356" s="4"/>
      <c r="C1356" s="6"/>
      <c r="D1356" s="4"/>
      <c r="E1356" s="56"/>
    </row>
    <row r="1357">
      <c r="A1357" s="4" t="str">
        <f>IFERROR(__xludf.DUMMYFUNCTION("""COMPUTED_VALUE"""),"1887 - Channel")</f>
        <v>1887 - Channel</v>
      </c>
      <c r="B1357" s="4"/>
      <c r="C1357" s="6"/>
      <c r="D1357" s="4"/>
      <c r="E1357" s="56"/>
    </row>
    <row r="1358">
      <c r="A1358" s="4" t="str">
        <f>IFERROR(__xludf.DUMMYFUNCTION("""COMPUTED_VALUE"""),"1888 - Channel")</f>
        <v>1888 - Channel</v>
      </c>
      <c r="B1358" s="4"/>
      <c r="C1358" s="6"/>
      <c r="D1358" s="4"/>
      <c r="E1358" s="56"/>
    </row>
    <row r="1359">
      <c r="A1359" s="4" t="str">
        <f>IFERROR(__xludf.DUMMYFUNCTION("""COMPUTED_VALUE"""),"1889 - Channel")</f>
        <v>1889 - Channel</v>
      </c>
      <c r="B1359" s="4"/>
      <c r="C1359" s="6"/>
      <c r="D1359" s="4"/>
      <c r="E1359" s="56"/>
    </row>
    <row r="1360">
      <c r="A1360" s="4" t="str">
        <f>IFERROR(__xludf.DUMMYFUNCTION("""COMPUTED_VALUE"""),"1890 - Channel")</f>
        <v>1890 - Channel</v>
      </c>
      <c r="B1360" s="4"/>
      <c r="C1360" s="6"/>
      <c r="D1360" s="4"/>
      <c r="E1360" s="56"/>
    </row>
    <row r="1361">
      <c r="A1361" s="4" t="str">
        <f>IFERROR(__xludf.DUMMYFUNCTION("""COMPUTED_VALUE"""),"1891 - Channel")</f>
        <v>1891 - Channel</v>
      </c>
      <c r="B1361" s="4"/>
      <c r="C1361" s="6"/>
      <c r="D1361" s="4"/>
      <c r="E1361" s="56"/>
    </row>
    <row r="1362">
      <c r="A1362" s="4" t="str">
        <f>IFERROR(__xludf.DUMMYFUNCTION("""COMPUTED_VALUE"""),"1892 - Channel")</f>
        <v>1892 - Channel</v>
      </c>
      <c r="B1362" s="4"/>
      <c r="C1362" s="6"/>
      <c r="D1362" s="4"/>
      <c r="E1362" s="56"/>
    </row>
    <row r="1363">
      <c r="A1363" s="4" t="str">
        <f>IFERROR(__xludf.DUMMYFUNCTION("""COMPUTED_VALUE"""),"1893 - Channel")</f>
        <v>1893 - Channel</v>
      </c>
      <c r="B1363" s="4"/>
      <c r="C1363" s="6"/>
      <c r="D1363" s="4"/>
      <c r="E1363" s="56"/>
    </row>
    <row r="1364">
      <c r="A1364" s="4" t="str">
        <f>IFERROR(__xludf.DUMMYFUNCTION("""COMPUTED_VALUE"""),"1894 - Channel")</f>
        <v>1894 - Channel</v>
      </c>
      <c r="B1364" s="4"/>
      <c r="C1364" s="6"/>
      <c r="D1364" s="4"/>
      <c r="E1364" s="56"/>
    </row>
    <row r="1365">
      <c r="A1365" s="4" t="str">
        <f>IFERROR(__xludf.DUMMYFUNCTION("""COMPUTED_VALUE"""),"1895 - Channel")</f>
        <v>1895 - Channel</v>
      </c>
      <c r="B1365" s="4"/>
      <c r="C1365" s="6"/>
      <c r="D1365" s="4"/>
      <c r="E1365" s="56"/>
    </row>
    <row r="1366">
      <c r="A1366" s="4" t="str">
        <f>IFERROR(__xludf.DUMMYFUNCTION("""COMPUTED_VALUE"""),"1896 - Channel")</f>
        <v>1896 - Channel</v>
      </c>
      <c r="B1366" s="4"/>
      <c r="C1366" s="6"/>
      <c r="D1366" s="4"/>
      <c r="E1366" s="56"/>
    </row>
    <row r="1367">
      <c r="A1367" s="4" t="str">
        <f>IFERROR(__xludf.DUMMYFUNCTION("""COMPUTED_VALUE"""),"1897 - Channel")</f>
        <v>1897 - Channel</v>
      </c>
      <c r="B1367" s="4"/>
      <c r="C1367" s="6"/>
      <c r="D1367" s="4"/>
      <c r="E1367" s="56"/>
    </row>
    <row r="1368">
      <c r="A1368" s="4" t="str">
        <f>IFERROR(__xludf.DUMMYFUNCTION("""COMPUTED_VALUE"""),"1898 - Channel")</f>
        <v>1898 - Channel</v>
      </c>
      <c r="B1368" s="4"/>
      <c r="C1368" s="6"/>
      <c r="D1368" s="4"/>
      <c r="E1368" s="56"/>
    </row>
    <row r="1369">
      <c r="A1369" s="4" t="str">
        <f>IFERROR(__xludf.DUMMYFUNCTION("""COMPUTED_VALUE"""),"1899 - Channel")</f>
        <v>1899 - Channel</v>
      </c>
      <c r="B1369" s="4"/>
      <c r="C1369" s="6"/>
      <c r="D1369" s="4"/>
      <c r="E1369" s="56"/>
    </row>
    <row r="1370">
      <c r="A1370" s="4" t="str">
        <f>IFERROR(__xludf.DUMMYFUNCTION("""COMPUTED_VALUE"""),"1900 - Channel")</f>
        <v>1900 - Channel</v>
      </c>
      <c r="B1370" s="4"/>
      <c r="C1370" s="6"/>
      <c r="D1370" s="4"/>
      <c r="E1370" s="56"/>
    </row>
    <row r="1371">
      <c r="A1371" s="4" t="str">
        <f>IFERROR(__xludf.DUMMYFUNCTION("""COMPUTED_VALUE"""),"1902 - Channel")</f>
        <v>1902 - Channel</v>
      </c>
      <c r="B1371" s="4"/>
      <c r="C1371" s="6"/>
      <c r="D1371" s="4"/>
      <c r="E1371" s="56"/>
    </row>
    <row r="1372">
      <c r="A1372" s="4" t="str">
        <f>IFERROR(__xludf.DUMMYFUNCTION("""COMPUTED_VALUE"""),"1903 - Channel")</f>
        <v>1903 - Channel</v>
      </c>
      <c r="B1372" s="4"/>
      <c r="C1372" s="6"/>
      <c r="D1372" s="4"/>
      <c r="E1372" s="56"/>
    </row>
    <row r="1373">
      <c r="A1373" s="4" t="str">
        <f>IFERROR(__xludf.DUMMYFUNCTION("""COMPUTED_VALUE"""),"1904 - Channel")</f>
        <v>1904 - Channel</v>
      </c>
      <c r="B1373" s="4"/>
      <c r="C1373" s="6"/>
      <c r="D1373" s="4"/>
      <c r="E1373" s="56"/>
    </row>
    <row r="1374">
      <c r="A1374" s="4" t="str">
        <f>IFERROR(__xludf.DUMMYFUNCTION("""COMPUTED_VALUE"""),"1905 - Channel")</f>
        <v>1905 - Channel</v>
      </c>
      <c r="B1374" s="4"/>
      <c r="C1374" s="6"/>
      <c r="D1374" s="4"/>
      <c r="E1374" s="56"/>
    </row>
    <row r="1375">
      <c r="A1375" s="4" t="str">
        <f>IFERROR(__xludf.DUMMYFUNCTION("""COMPUTED_VALUE"""),"1906 - Channel")</f>
        <v>1906 - Channel</v>
      </c>
      <c r="B1375" s="4"/>
      <c r="C1375" s="6"/>
      <c r="D1375" s="4"/>
      <c r="E1375" s="56"/>
    </row>
    <row r="1376">
      <c r="A1376" s="4" t="str">
        <f>IFERROR(__xludf.DUMMYFUNCTION("""COMPUTED_VALUE"""),"1907 - Channel")</f>
        <v>1907 - Channel</v>
      </c>
      <c r="B1376" s="4"/>
      <c r="C1376" s="6"/>
      <c r="D1376" s="4"/>
      <c r="E1376" s="56"/>
    </row>
    <row r="1377">
      <c r="A1377" s="4" t="str">
        <f>IFERROR(__xludf.DUMMYFUNCTION("""COMPUTED_VALUE"""),"1908 - Channel")</f>
        <v>1908 - Channel</v>
      </c>
      <c r="B1377" s="4"/>
      <c r="C1377" s="6"/>
      <c r="D1377" s="4"/>
      <c r="E1377" s="56"/>
    </row>
    <row r="1378">
      <c r="A1378" s="4" t="str">
        <f>IFERROR(__xludf.DUMMYFUNCTION("""COMPUTED_VALUE"""),"1909 - Channel")</f>
        <v>1909 - Channel</v>
      </c>
      <c r="B1378" s="4"/>
      <c r="C1378" s="6"/>
      <c r="D1378" s="4"/>
      <c r="E1378" s="56"/>
    </row>
    <row r="1379">
      <c r="A1379" s="4" t="str">
        <f>IFERROR(__xludf.DUMMYFUNCTION("""COMPUTED_VALUE"""),"1910 - Channel")</f>
        <v>1910 - Channel</v>
      </c>
      <c r="B1379" s="4"/>
      <c r="C1379" s="6"/>
      <c r="D1379" s="4"/>
      <c r="E1379" s="56"/>
    </row>
    <row r="1380">
      <c r="A1380" s="4" t="str">
        <f>IFERROR(__xludf.DUMMYFUNCTION("""COMPUTED_VALUE"""),"1911 - Channel")</f>
        <v>1911 - Channel</v>
      </c>
      <c r="B1380" s="4"/>
      <c r="C1380" s="6"/>
      <c r="D1380" s="4"/>
      <c r="E1380" s="56"/>
    </row>
    <row r="1381">
      <c r="A1381" s="4" t="str">
        <f>IFERROR(__xludf.DUMMYFUNCTION("""COMPUTED_VALUE"""),"1912 - Channel")</f>
        <v>1912 - Channel</v>
      </c>
      <c r="B1381" s="4"/>
      <c r="C1381" s="6"/>
      <c r="D1381" s="4"/>
      <c r="E1381" s="56"/>
    </row>
    <row r="1382">
      <c r="A1382" s="4" t="str">
        <f>IFERROR(__xludf.DUMMYFUNCTION("""COMPUTED_VALUE"""),"1913 - Channel")</f>
        <v>1913 - Channel</v>
      </c>
      <c r="B1382" s="4"/>
      <c r="C1382" s="6"/>
      <c r="D1382" s="4"/>
      <c r="E1382" s="56"/>
    </row>
    <row r="1383">
      <c r="A1383" s="4" t="str">
        <f>IFERROR(__xludf.DUMMYFUNCTION("""COMPUTED_VALUE"""),"1914 - Channel")</f>
        <v>1914 - Channel</v>
      </c>
      <c r="B1383" s="4"/>
      <c r="C1383" s="6"/>
      <c r="D1383" s="4"/>
      <c r="E1383" s="56"/>
    </row>
    <row r="1384">
      <c r="A1384" s="4" t="str">
        <f>IFERROR(__xludf.DUMMYFUNCTION("""COMPUTED_VALUE"""),"1915 - Channel")</f>
        <v>1915 - Channel</v>
      </c>
      <c r="B1384" s="4"/>
      <c r="C1384" s="6"/>
      <c r="D1384" s="4"/>
      <c r="E1384" s="56"/>
    </row>
    <row r="1385">
      <c r="A1385" s="4" t="str">
        <f>IFERROR(__xludf.DUMMYFUNCTION("""COMPUTED_VALUE"""),"1916 - Channel")</f>
        <v>1916 - Channel</v>
      </c>
      <c r="B1385" s="4"/>
      <c r="C1385" s="6"/>
      <c r="D1385" s="4"/>
      <c r="E1385" s="56"/>
    </row>
    <row r="1386">
      <c r="A1386" s="4" t="str">
        <f>IFERROR(__xludf.DUMMYFUNCTION("""COMPUTED_VALUE"""),"1917 - Channel")</f>
        <v>1917 - Channel</v>
      </c>
      <c r="B1386" s="4"/>
      <c r="C1386" s="6"/>
      <c r="D1386" s="4"/>
      <c r="E1386" s="56"/>
    </row>
    <row r="1387">
      <c r="A1387" s="4" t="str">
        <f>IFERROR(__xludf.DUMMYFUNCTION("""COMPUTED_VALUE"""),"1918 - Channel")</f>
        <v>1918 - Channel</v>
      </c>
      <c r="B1387" s="4"/>
      <c r="C1387" s="6"/>
      <c r="D1387" s="4"/>
      <c r="E1387" s="56"/>
    </row>
    <row r="1388">
      <c r="A1388" s="4" t="str">
        <f>IFERROR(__xludf.DUMMYFUNCTION("""COMPUTED_VALUE"""),"1919 - Channel")</f>
        <v>1919 - Channel</v>
      </c>
      <c r="B1388" s="4"/>
      <c r="C1388" s="6"/>
      <c r="D1388" s="4"/>
      <c r="E1388" s="56"/>
    </row>
    <row r="1389">
      <c r="A1389" s="4" t="str">
        <f>IFERROR(__xludf.DUMMYFUNCTION("""COMPUTED_VALUE"""),"1920 - Channel")</f>
        <v>1920 - Channel</v>
      </c>
      <c r="B1389" s="4"/>
      <c r="C1389" s="6"/>
      <c r="D1389" s="4"/>
      <c r="E1389" s="56"/>
    </row>
    <row r="1390">
      <c r="A1390" s="4" t="str">
        <f>IFERROR(__xludf.DUMMYFUNCTION("""COMPUTED_VALUE"""),"1921 - Channel")</f>
        <v>1921 - Channel</v>
      </c>
      <c r="B1390" s="4"/>
      <c r="C1390" s="6"/>
      <c r="D1390" s="4"/>
      <c r="E1390" s="56"/>
    </row>
    <row r="1391">
      <c r="A1391" s="4" t="str">
        <f>IFERROR(__xludf.DUMMYFUNCTION("""COMPUTED_VALUE"""),"1922 - Channel")</f>
        <v>1922 - Channel</v>
      </c>
      <c r="B1391" s="4"/>
      <c r="C1391" s="6"/>
      <c r="D1391" s="4"/>
      <c r="E1391" s="56"/>
    </row>
    <row r="1392">
      <c r="A1392" s="4" t="str">
        <f>IFERROR(__xludf.DUMMYFUNCTION("""COMPUTED_VALUE"""),"1923 - Channel")</f>
        <v>1923 - Channel</v>
      </c>
      <c r="B1392" s="4"/>
      <c r="C1392" s="6"/>
      <c r="D1392" s="4"/>
      <c r="E1392" s="56"/>
    </row>
    <row r="1393">
      <c r="A1393" s="4" t="str">
        <f>IFERROR(__xludf.DUMMYFUNCTION("""COMPUTED_VALUE"""),"1924 - Channel")</f>
        <v>1924 - Channel</v>
      </c>
      <c r="B1393" s="4"/>
      <c r="C1393" s="6"/>
      <c r="D1393" s="4"/>
      <c r="E1393" s="56"/>
    </row>
    <row r="1394">
      <c r="A1394" s="4" t="str">
        <f>IFERROR(__xludf.DUMMYFUNCTION("""COMPUTED_VALUE"""),"1925 - Channel")</f>
        <v>1925 - Channel</v>
      </c>
      <c r="B1394" s="4"/>
      <c r="C1394" s="6"/>
      <c r="D1394" s="4"/>
      <c r="E1394" s="56"/>
    </row>
    <row r="1395">
      <c r="A1395" s="4" t="str">
        <f>IFERROR(__xludf.DUMMYFUNCTION("""COMPUTED_VALUE"""),"1926 - Channel")</f>
        <v>1926 - Channel</v>
      </c>
      <c r="B1395" s="4"/>
      <c r="C1395" s="6"/>
      <c r="D1395" s="4"/>
      <c r="E1395" s="56"/>
    </row>
    <row r="1396">
      <c r="A1396" s="4" t="str">
        <f>IFERROR(__xludf.DUMMYFUNCTION("""COMPUTED_VALUE"""),"1927 - Channel")</f>
        <v>1927 - Channel</v>
      </c>
      <c r="B1396" s="4"/>
      <c r="C1396" s="6"/>
      <c r="D1396" s="4"/>
      <c r="E1396" s="56"/>
    </row>
    <row r="1397">
      <c r="A1397" s="4" t="str">
        <f>IFERROR(__xludf.DUMMYFUNCTION("""COMPUTED_VALUE"""),"1928 - Channel")</f>
        <v>1928 - Channel</v>
      </c>
      <c r="B1397" s="4"/>
      <c r="C1397" s="6"/>
      <c r="D1397" s="4"/>
      <c r="E1397" s="56"/>
    </row>
    <row r="1398">
      <c r="A1398" s="4" t="str">
        <f>IFERROR(__xludf.DUMMYFUNCTION("""COMPUTED_VALUE"""),"1929 - Channel")</f>
        <v>1929 - Channel</v>
      </c>
      <c r="B1398" s="4"/>
      <c r="C1398" s="6"/>
      <c r="D1398" s="4"/>
      <c r="E1398" s="56"/>
    </row>
    <row r="1399">
      <c r="A1399" s="4" t="str">
        <f>IFERROR(__xludf.DUMMYFUNCTION("""COMPUTED_VALUE"""),"1930 - Channel")</f>
        <v>1930 - Channel</v>
      </c>
      <c r="B1399" s="4"/>
      <c r="C1399" s="6"/>
      <c r="D1399" s="4"/>
      <c r="E1399" s="56"/>
    </row>
    <row r="1400">
      <c r="A1400" s="4" t="str">
        <f>IFERROR(__xludf.DUMMYFUNCTION("""COMPUTED_VALUE"""),"1931 - Channel")</f>
        <v>1931 - Channel</v>
      </c>
      <c r="B1400" s="4"/>
      <c r="C1400" s="6"/>
      <c r="D1400" s="4"/>
      <c r="E1400" s="56"/>
    </row>
    <row r="1401">
      <c r="A1401" s="4" t="str">
        <f>IFERROR(__xludf.DUMMYFUNCTION("""COMPUTED_VALUE"""),"1932 - Channel")</f>
        <v>1932 - Channel</v>
      </c>
      <c r="B1401" s="4"/>
      <c r="C1401" s="6"/>
      <c r="D1401" s="4"/>
      <c r="E1401" s="56"/>
    </row>
    <row r="1402">
      <c r="A1402" s="4" t="str">
        <f>IFERROR(__xludf.DUMMYFUNCTION("""COMPUTED_VALUE"""),"1933 - Channel")</f>
        <v>1933 - Channel</v>
      </c>
      <c r="B1402" s="4"/>
      <c r="C1402" s="6"/>
      <c r="D1402" s="4"/>
      <c r="E1402" s="56"/>
    </row>
    <row r="1403">
      <c r="A1403" s="4" t="str">
        <f>IFERROR(__xludf.DUMMYFUNCTION("""COMPUTED_VALUE"""),"1934 - Channel")</f>
        <v>1934 - Channel</v>
      </c>
      <c r="B1403" s="4"/>
      <c r="C1403" s="6"/>
      <c r="D1403" s="4"/>
      <c r="E1403" s="56"/>
    </row>
    <row r="1404">
      <c r="A1404" s="4" t="str">
        <f>IFERROR(__xludf.DUMMYFUNCTION("""COMPUTED_VALUE"""),"1935 - Channel")</f>
        <v>1935 - Channel</v>
      </c>
      <c r="B1404" s="4"/>
      <c r="C1404" s="6"/>
      <c r="D1404" s="4"/>
      <c r="E1404" s="56"/>
    </row>
    <row r="1405">
      <c r="A1405" s="4" t="str">
        <f>IFERROR(__xludf.DUMMYFUNCTION("""COMPUTED_VALUE"""),"1936 - Channel")</f>
        <v>1936 - Channel</v>
      </c>
      <c r="B1405" s="4"/>
      <c r="C1405" s="6"/>
      <c r="D1405" s="4"/>
      <c r="E1405" s="56"/>
    </row>
    <row r="1406">
      <c r="A1406" s="4" t="str">
        <f>IFERROR(__xludf.DUMMYFUNCTION("""COMPUTED_VALUE"""),"1937 - Channel")</f>
        <v>1937 - Channel</v>
      </c>
      <c r="B1406" s="4"/>
      <c r="C1406" s="6"/>
      <c r="D1406" s="4"/>
      <c r="E1406" s="56"/>
    </row>
    <row r="1407">
      <c r="A1407" s="4" t="str">
        <f>IFERROR(__xludf.DUMMYFUNCTION("""COMPUTED_VALUE"""),"1938 - Channel")</f>
        <v>1938 - Channel</v>
      </c>
      <c r="B1407" s="4"/>
      <c r="C1407" s="6"/>
      <c r="D1407" s="4"/>
      <c r="E1407" s="56"/>
    </row>
    <row r="1408">
      <c r="A1408" s="4" t="str">
        <f>IFERROR(__xludf.DUMMYFUNCTION("""COMPUTED_VALUE"""),"1939 - Channel")</f>
        <v>1939 - Channel</v>
      </c>
      <c r="B1408" s="4"/>
      <c r="C1408" s="6"/>
      <c r="D1408" s="4"/>
      <c r="E1408" s="56"/>
    </row>
    <row r="1409">
      <c r="A1409" s="4" t="str">
        <f>IFERROR(__xludf.DUMMYFUNCTION("""COMPUTED_VALUE"""),"1940 - Channel")</f>
        <v>1940 - Channel</v>
      </c>
      <c r="B1409" s="4"/>
      <c r="C1409" s="6"/>
      <c r="D1409" s="4"/>
      <c r="E1409" s="56"/>
    </row>
    <row r="1410">
      <c r="A1410" s="4" t="str">
        <f>IFERROR(__xludf.DUMMYFUNCTION("""COMPUTED_VALUE"""),"1941 - Channel")</f>
        <v>1941 - Channel</v>
      </c>
      <c r="B1410" s="4"/>
      <c r="C1410" s="6"/>
      <c r="D1410" s="4"/>
      <c r="E1410" s="56"/>
    </row>
    <row r="1411">
      <c r="A1411" s="4" t="str">
        <f>IFERROR(__xludf.DUMMYFUNCTION("""COMPUTED_VALUE"""),"1942 - Channel")</f>
        <v>1942 - Channel</v>
      </c>
      <c r="B1411" s="4"/>
      <c r="C1411" s="6"/>
      <c r="D1411" s="4"/>
      <c r="E1411" s="56"/>
    </row>
    <row r="1412">
      <c r="A1412" s="4" t="str">
        <f>IFERROR(__xludf.DUMMYFUNCTION("""COMPUTED_VALUE"""),"1943 - Channel")</f>
        <v>1943 - Channel</v>
      </c>
      <c r="B1412" s="4"/>
      <c r="C1412" s="6"/>
      <c r="D1412" s="4"/>
      <c r="E1412" s="56"/>
    </row>
    <row r="1413">
      <c r="A1413" s="4" t="str">
        <f>IFERROR(__xludf.DUMMYFUNCTION("""COMPUTED_VALUE"""),"1944 - Channel")</f>
        <v>1944 - Channel</v>
      </c>
      <c r="B1413" s="4"/>
      <c r="C1413" s="6"/>
      <c r="D1413" s="4"/>
      <c r="E1413" s="56"/>
    </row>
    <row r="1414">
      <c r="A1414" s="4" t="str">
        <f>IFERROR(__xludf.DUMMYFUNCTION("""COMPUTED_VALUE"""),"1945 - Channel")</f>
        <v>1945 - Channel</v>
      </c>
      <c r="B1414" s="4"/>
      <c r="C1414" s="6"/>
      <c r="D1414" s="4"/>
      <c r="E1414" s="56"/>
    </row>
    <row r="1415">
      <c r="A1415" s="4" t="str">
        <f>IFERROR(__xludf.DUMMYFUNCTION("""COMPUTED_VALUE"""),"1946 - Channel")</f>
        <v>1946 - Channel</v>
      </c>
      <c r="B1415" s="4"/>
      <c r="C1415" s="6"/>
      <c r="D1415" s="4"/>
      <c r="E1415" s="56"/>
    </row>
    <row r="1416">
      <c r="A1416" s="4" t="str">
        <f>IFERROR(__xludf.DUMMYFUNCTION("""COMPUTED_VALUE"""),"1947 - Channel")</f>
        <v>1947 - Channel</v>
      </c>
      <c r="B1416" s="4"/>
      <c r="C1416" s="6"/>
      <c r="D1416" s="4"/>
      <c r="E1416" s="56"/>
    </row>
    <row r="1417">
      <c r="A1417" s="4" t="str">
        <f>IFERROR(__xludf.DUMMYFUNCTION("""COMPUTED_VALUE"""),"1948 - Channel")</f>
        <v>1948 - Channel</v>
      </c>
      <c r="B1417" s="4"/>
      <c r="C1417" s="6"/>
      <c r="D1417" s="4"/>
      <c r="E1417" s="56"/>
    </row>
    <row r="1418">
      <c r="A1418" s="4" t="str">
        <f>IFERROR(__xludf.DUMMYFUNCTION("""COMPUTED_VALUE"""),"1949 - Channel")</f>
        <v>1949 - Channel</v>
      </c>
      <c r="B1418" s="4"/>
      <c r="C1418" s="6"/>
      <c r="D1418" s="4"/>
      <c r="E1418" s="56"/>
    </row>
    <row r="1419">
      <c r="A1419" s="4" t="str">
        <f>IFERROR(__xludf.DUMMYFUNCTION("""COMPUTED_VALUE"""),"1950 - Channel")</f>
        <v>1950 - Channel</v>
      </c>
      <c r="B1419" s="4"/>
      <c r="C1419" s="6"/>
      <c r="D1419" s="4"/>
      <c r="E1419" s="56"/>
    </row>
    <row r="1420">
      <c r="A1420" s="4" t="str">
        <f>IFERROR(__xludf.DUMMYFUNCTION("""COMPUTED_VALUE"""),"1951 - Channel")</f>
        <v>1951 - Channel</v>
      </c>
      <c r="B1420" s="4"/>
      <c r="C1420" s="6"/>
      <c r="D1420" s="4"/>
      <c r="E1420" s="56"/>
    </row>
    <row r="1421">
      <c r="A1421" s="4" t="str">
        <f>IFERROR(__xludf.DUMMYFUNCTION("""COMPUTED_VALUE"""),"1953 - Channel")</f>
        <v>1953 - Channel</v>
      </c>
      <c r="B1421" s="4"/>
      <c r="C1421" s="6"/>
      <c r="D1421" s="4"/>
      <c r="E1421" s="56"/>
    </row>
    <row r="1422">
      <c r="A1422" s="4" t="str">
        <f>IFERROR(__xludf.DUMMYFUNCTION("""COMPUTED_VALUE"""),"1970 - Channel")</f>
        <v>1970 - Channel</v>
      </c>
      <c r="B1422" s="4"/>
      <c r="C1422" s="6"/>
      <c r="D1422" s="4"/>
      <c r="E1422" s="56"/>
    </row>
    <row r="1423">
      <c r="A1423" s="4" t="str">
        <f>IFERROR(__xludf.DUMMYFUNCTION("""COMPUTED_VALUE"""),"1971 - Channel")</f>
        <v>1971 - Channel</v>
      </c>
      <c r="B1423" s="4"/>
      <c r="C1423" s="6"/>
      <c r="D1423" s="4"/>
      <c r="E1423" s="56"/>
    </row>
    <row r="1424">
      <c r="A1424" s="4" t="str">
        <f>IFERROR(__xludf.DUMMYFUNCTION("""COMPUTED_VALUE"""),"1972 - Channel")</f>
        <v>1972 - Channel</v>
      </c>
      <c r="B1424" s="4"/>
      <c r="C1424" s="6"/>
      <c r="D1424" s="4"/>
      <c r="E1424" s="56"/>
    </row>
    <row r="1425">
      <c r="A1425" s="4" t="str">
        <f>IFERROR(__xludf.DUMMYFUNCTION("""COMPUTED_VALUE"""),"1973 - Channel")</f>
        <v>1973 - Channel</v>
      </c>
      <c r="B1425" s="4"/>
      <c r="C1425" s="6"/>
      <c r="D1425" s="4"/>
      <c r="E1425" s="56"/>
    </row>
    <row r="1426">
      <c r="A1426" s="4" t="str">
        <f>IFERROR(__xludf.DUMMYFUNCTION("""COMPUTED_VALUE"""),"1974 - Channel")</f>
        <v>1974 - Channel</v>
      </c>
      <c r="B1426" s="4"/>
      <c r="C1426" s="6"/>
      <c r="D1426" s="4"/>
      <c r="E1426" s="56"/>
    </row>
    <row r="1427">
      <c r="A1427" s="4" t="str">
        <f>IFERROR(__xludf.DUMMYFUNCTION("""COMPUTED_VALUE"""),"1975 - Channel")</f>
        <v>1975 - Channel</v>
      </c>
      <c r="B1427" s="4"/>
      <c r="C1427" s="6"/>
      <c r="D1427" s="4"/>
      <c r="E1427" s="56"/>
    </row>
    <row r="1428">
      <c r="A1428" s="4" t="str">
        <f>IFERROR(__xludf.DUMMYFUNCTION("""COMPUTED_VALUE"""),"1976 - Channel")</f>
        <v>1976 - Channel</v>
      </c>
      <c r="B1428" s="4"/>
      <c r="C1428" s="6"/>
      <c r="D1428" s="4"/>
      <c r="E1428" s="56"/>
    </row>
    <row r="1429">
      <c r="A1429" s="4" t="str">
        <f>IFERROR(__xludf.DUMMYFUNCTION("""COMPUTED_VALUE"""),"1977 - Channel")</f>
        <v>1977 - Channel</v>
      </c>
      <c r="B1429" s="4"/>
      <c r="C1429" s="6"/>
      <c r="D1429" s="4"/>
      <c r="E1429" s="56"/>
    </row>
    <row r="1430">
      <c r="A1430" s="4" t="str">
        <f>IFERROR(__xludf.DUMMYFUNCTION("""COMPUTED_VALUE"""),"1978 - Channel")</f>
        <v>1978 - Channel</v>
      </c>
      <c r="B1430" s="4"/>
      <c r="C1430" s="6"/>
      <c r="D1430" s="4"/>
      <c r="E1430" s="56"/>
    </row>
    <row r="1431">
      <c r="A1431" s="4" t="str">
        <f>IFERROR(__xludf.DUMMYFUNCTION("""COMPUTED_VALUE"""),"1979 - Channel")</f>
        <v>1979 - Channel</v>
      </c>
      <c r="B1431" s="4"/>
      <c r="C1431" s="6"/>
      <c r="D1431" s="4"/>
      <c r="E1431" s="56"/>
    </row>
    <row r="1432">
      <c r="A1432" s="4" t="str">
        <f>IFERROR(__xludf.DUMMYFUNCTION("""COMPUTED_VALUE"""),"1980 - Channel")</f>
        <v>1980 - Channel</v>
      </c>
      <c r="B1432" s="4"/>
      <c r="C1432" s="6"/>
      <c r="D1432" s="4"/>
      <c r="E1432" s="56"/>
    </row>
    <row r="1433">
      <c r="A1433" s="4" t="str">
        <f>IFERROR(__xludf.DUMMYFUNCTION("""COMPUTED_VALUE"""),"1981 - Channel")</f>
        <v>1981 - Channel</v>
      </c>
      <c r="B1433" s="4"/>
      <c r="C1433" s="6"/>
      <c r="D1433" s="4"/>
      <c r="E1433" s="56"/>
    </row>
    <row r="1434">
      <c r="A1434" s="4" t="str">
        <f>IFERROR(__xludf.DUMMYFUNCTION("""COMPUTED_VALUE"""),"1982 - Channel")</f>
        <v>1982 - Channel</v>
      </c>
      <c r="B1434" s="4"/>
      <c r="C1434" s="6"/>
      <c r="D1434" s="4"/>
      <c r="E1434" s="56"/>
    </row>
    <row r="1435">
      <c r="A1435" s="4" t="str">
        <f>IFERROR(__xludf.DUMMYFUNCTION("""COMPUTED_VALUE"""),"1983 - Channel")</f>
        <v>1983 - Channel</v>
      </c>
      <c r="B1435" s="4"/>
      <c r="C1435" s="6"/>
      <c r="D1435" s="4"/>
      <c r="E1435" s="56"/>
    </row>
    <row r="1436">
      <c r="A1436" s="4" t="str">
        <f>IFERROR(__xludf.DUMMYFUNCTION("""COMPUTED_VALUE"""),"1984 - Channel")</f>
        <v>1984 - Channel</v>
      </c>
      <c r="B1436" s="4"/>
      <c r="C1436" s="6"/>
      <c r="D1436" s="4"/>
      <c r="E1436" s="56"/>
    </row>
    <row r="1437">
      <c r="A1437" s="4" t="str">
        <f>IFERROR(__xludf.DUMMYFUNCTION("""COMPUTED_VALUE"""),"1985 - Channel")</f>
        <v>1985 - Channel</v>
      </c>
      <c r="B1437" s="4"/>
      <c r="C1437" s="6"/>
      <c r="D1437" s="4"/>
      <c r="E1437" s="56"/>
    </row>
    <row r="1438">
      <c r="A1438" s="4" t="str">
        <f>IFERROR(__xludf.DUMMYFUNCTION("""COMPUTED_VALUE"""),"1986 - Channel")</f>
        <v>1986 - Channel</v>
      </c>
      <c r="B1438" s="4"/>
      <c r="C1438" s="6"/>
      <c r="D1438" s="4"/>
      <c r="E1438" s="56"/>
    </row>
    <row r="1439">
      <c r="A1439" s="4" t="str">
        <f>IFERROR(__xludf.DUMMYFUNCTION("""COMPUTED_VALUE"""),"1987 - Channel")</f>
        <v>1987 - Channel</v>
      </c>
      <c r="B1439" s="4"/>
      <c r="C1439" s="6"/>
      <c r="D1439" s="4"/>
      <c r="E1439" s="56"/>
    </row>
    <row r="1440">
      <c r="A1440" s="4" t="str">
        <f>IFERROR(__xludf.DUMMYFUNCTION("""COMPUTED_VALUE"""),"1988 - Channel")</f>
        <v>1988 - Channel</v>
      </c>
      <c r="B1440" s="4"/>
      <c r="C1440" s="6"/>
      <c r="D1440" s="4"/>
      <c r="E1440" s="56"/>
    </row>
    <row r="1441">
      <c r="A1441" s="4" t="str">
        <f>IFERROR(__xludf.DUMMYFUNCTION("""COMPUTED_VALUE"""),"1989 - Channel")</f>
        <v>1989 - Channel</v>
      </c>
      <c r="B1441" s="4"/>
      <c r="C1441" s="6"/>
      <c r="D1441" s="4"/>
      <c r="E1441" s="56"/>
    </row>
    <row r="1442">
      <c r="A1442" s="4" t="str">
        <f>IFERROR(__xludf.DUMMYFUNCTION("""COMPUTED_VALUE"""),"1990 - Channel")</f>
        <v>1990 - Channel</v>
      </c>
      <c r="B1442" s="4"/>
      <c r="C1442" s="6"/>
      <c r="D1442" s="4"/>
      <c r="E1442" s="56"/>
    </row>
    <row r="1443">
      <c r="A1443" s="4" t="str">
        <f>IFERROR(__xludf.DUMMYFUNCTION("""COMPUTED_VALUE"""),"1991 - Channel")</f>
        <v>1991 - Channel</v>
      </c>
      <c r="B1443" s="4"/>
      <c r="C1443" s="6"/>
      <c r="D1443" s="4"/>
      <c r="E1443" s="56"/>
    </row>
    <row r="1444">
      <c r="A1444" s="4" t="str">
        <f>IFERROR(__xludf.DUMMYFUNCTION("""COMPUTED_VALUE"""),"1992 - Channel")</f>
        <v>1992 - Channel</v>
      </c>
      <c r="B1444" s="4"/>
      <c r="C1444" s="6"/>
      <c r="D1444" s="4"/>
      <c r="E1444" s="56"/>
    </row>
    <row r="1445">
      <c r="A1445" s="4" t="str">
        <f>IFERROR(__xludf.DUMMYFUNCTION("""COMPUTED_VALUE"""),"1993 - Channel")</f>
        <v>1993 - Channel</v>
      </c>
      <c r="B1445" s="4"/>
      <c r="C1445" s="6"/>
      <c r="D1445" s="4"/>
      <c r="E1445" s="56"/>
    </row>
    <row r="1446">
      <c r="A1446" s="4" t="str">
        <f>IFERROR(__xludf.DUMMYFUNCTION("""COMPUTED_VALUE"""),"1994 - Channel")</f>
        <v>1994 - Channel</v>
      </c>
      <c r="B1446" s="4"/>
      <c r="C1446" s="6"/>
      <c r="D1446" s="4"/>
      <c r="E1446" s="56"/>
    </row>
    <row r="1447">
      <c r="A1447" s="4" t="str">
        <f>IFERROR(__xludf.DUMMYFUNCTION("""COMPUTED_VALUE"""),"1995 - Channel")</f>
        <v>1995 - Channel</v>
      </c>
      <c r="B1447" s="4"/>
      <c r="C1447" s="6"/>
      <c r="D1447" s="4"/>
      <c r="E1447" s="56"/>
    </row>
    <row r="1448">
      <c r="A1448" s="4" t="str">
        <f>IFERROR(__xludf.DUMMYFUNCTION("""COMPUTED_VALUE"""),"1996 - Channel")</f>
        <v>1996 - Channel</v>
      </c>
      <c r="B1448" s="4"/>
      <c r="C1448" s="6"/>
      <c r="D1448" s="4"/>
      <c r="E1448" s="56"/>
    </row>
    <row r="1449">
      <c r="A1449" s="4" t="str">
        <f>IFERROR(__xludf.DUMMYFUNCTION("""COMPUTED_VALUE"""),"1997 - Channel")</f>
        <v>1997 - Channel</v>
      </c>
      <c r="B1449" s="4"/>
      <c r="C1449" s="6"/>
      <c r="D1449" s="4"/>
      <c r="E1449" s="56"/>
    </row>
    <row r="1450">
      <c r="A1450" s="4" t="str">
        <f>IFERROR(__xludf.DUMMYFUNCTION("""COMPUTED_VALUE"""),"1998 - Channel")</f>
        <v>1998 - Channel</v>
      </c>
      <c r="B1450" s="4"/>
      <c r="C1450" s="6"/>
      <c r="D1450" s="4"/>
      <c r="E1450" s="56"/>
    </row>
    <row r="1451">
      <c r="A1451" s="4" t="str">
        <f>IFERROR(__xludf.DUMMYFUNCTION("""COMPUTED_VALUE"""),"1999 - Channel")</f>
        <v>1999 - Channel</v>
      </c>
      <c r="B1451" s="4"/>
      <c r="C1451" s="6"/>
      <c r="D1451" s="4"/>
      <c r="E1451" s="56"/>
    </row>
    <row r="1452">
      <c r="A1452" s="4" t="str">
        <f>IFERROR(__xludf.DUMMYFUNCTION("""COMPUTED_VALUE"""),"2000 - Channel")</f>
        <v>2000 - Channel</v>
      </c>
      <c r="B1452" s="4"/>
      <c r="C1452" s="6"/>
      <c r="D1452" s="4"/>
      <c r="E1452" s="56"/>
    </row>
    <row r="1453">
      <c r="A1453" s="4" t="str">
        <f>IFERROR(__xludf.DUMMYFUNCTION("""COMPUTED_VALUE"""),"2001 - Channel")</f>
        <v>2001 - Channel</v>
      </c>
      <c r="B1453" s="4"/>
      <c r="C1453" s="6"/>
      <c r="D1453" s="4"/>
      <c r="E1453" s="56"/>
    </row>
    <row r="1454">
      <c r="A1454" s="4" t="str">
        <f>IFERROR(__xludf.DUMMYFUNCTION("""COMPUTED_VALUE"""),"2002 - Channel")</f>
        <v>2002 - Channel</v>
      </c>
      <c r="B1454" s="4"/>
      <c r="C1454" s="6"/>
      <c r="D1454" s="4"/>
      <c r="E1454" s="56"/>
    </row>
    <row r="1455">
      <c r="A1455" s="4" t="str">
        <f>IFERROR(__xludf.DUMMYFUNCTION("""COMPUTED_VALUE"""),"2003 - Channel")</f>
        <v>2003 - Channel</v>
      </c>
      <c r="B1455" s="4"/>
      <c r="C1455" s="6"/>
      <c r="D1455" s="4"/>
      <c r="E1455" s="56"/>
    </row>
    <row r="1456">
      <c r="A1456" s="4" t="str">
        <f>IFERROR(__xludf.DUMMYFUNCTION("""COMPUTED_VALUE"""),"2004 - Channel")</f>
        <v>2004 - Channel</v>
      </c>
      <c r="B1456" s="4"/>
      <c r="C1456" s="6"/>
      <c r="D1456" s="4"/>
      <c r="E1456" s="56"/>
    </row>
    <row r="1457">
      <c r="A1457" s="4" t="str">
        <f>IFERROR(__xludf.DUMMYFUNCTION("""COMPUTED_VALUE"""),"2005 - Channel")</f>
        <v>2005 - Channel</v>
      </c>
      <c r="B1457" s="4"/>
      <c r="C1457" s="6"/>
      <c r="D1457" s="4"/>
      <c r="E1457" s="56"/>
    </row>
    <row r="1458">
      <c r="A1458" s="4" t="str">
        <f>IFERROR(__xludf.DUMMYFUNCTION("""COMPUTED_VALUE"""),"2006 - Channel")</f>
        <v>2006 - Channel</v>
      </c>
      <c r="B1458" s="4"/>
      <c r="C1458" s="6"/>
      <c r="D1458" s="4"/>
      <c r="E1458" s="56"/>
    </row>
    <row r="1459">
      <c r="A1459" s="4" t="str">
        <f>IFERROR(__xludf.DUMMYFUNCTION("""COMPUTED_VALUE"""),"2007 - Channel")</f>
        <v>2007 - Channel</v>
      </c>
      <c r="B1459" s="4"/>
      <c r="C1459" s="6"/>
      <c r="D1459" s="4"/>
      <c r="E1459" s="56"/>
    </row>
    <row r="1460">
      <c r="A1460" s="4" t="str">
        <f>IFERROR(__xludf.DUMMYFUNCTION("""COMPUTED_VALUE"""),"2008 - Channel")</f>
        <v>2008 - Channel</v>
      </c>
      <c r="B1460" s="4"/>
      <c r="C1460" s="6"/>
      <c r="D1460" s="4"/>
      <c r="E1460" s="56"/>
    </row>
    <row r="1461">
      <c r="A1461" s="4" t="str">
        <f>IFERROR(__xludf.DUMMYFUNCTION("""COMPUTED_VALUE"""),"2009 - Channel")</f>
        <v>2009 - Channel</v>
      </c>
      <c r="B1461" s="4"/>
      <c r="C1461" s="6"/>
      <c r="D1461" s="4"/>
      <c r="E1461" s="56"/>
    </row>
    <row r="1462">
      <c r="A1462" s="4" t="str">
        <f>IFERROR(__xludf.DUMMYFUNCTION("""COMPUTED_VALUE"""),"2010 - Channel")</f>
        <v>2010 - Channel</v>
      </c>
      <c r="B1462" s="4"/>
      <c r="C1462" s="6"/>
      <c r="D1462" s="4"/>
      <c r="E1462" s="56"/>
    </row>
    <row r="1463">
      <c r="A1463" s="4" t="str">
        <f>IFERROR(__xludf.DUMMYFUNCTION("""COMPUTED_VALUE"""),"2011 - Channel")</f>
        <v>2011 - Channel</v>
      </c>
      <c r="B1463" s="4"/>
      <c r="C1463" s="6"/>
      <c r="D1463" s="4"/>
      <c r="E1463" s="56"/>
    </row>
    <row r="1464">
      <c r="A1464" s="4" t="str">
        <f>IFERROR(__xludf.DUMMYFUNCTION("""COMPUTED_VALUE"""),"2012 - Channel")</f>
        <v>2012 - Channel</v>
      </c>
      <c r="B1464" s="4"/>
      <c r="C1464" s="6"/>
      <c r="D1464" s="4"/>
      <c r="E1464" s="56"/>
    </row>
    <row r="1465">
      <c r="A1465" s="4" t="str">
        <f>IFERROR(__xludf.DUMMYFUNCTION("""COMPUTED_VALUE"""),"2013 - Channel")</f>
        <v>2013 - Channel</v>
      </c>
      <c r="B1465" s="4"/>
      <c r="C1465" s="6"/>
      <c r="D1465" s="4"/>
      <c r="E1465" s="56"/>
    </row>
    <row r="1466">
      <c r="A1466" s="4" t="str">
        <f>IFERROR(__xludf.DUMMYFUNCTION("""COMPUTED_VALUE"""),"2014 - Channel")</f>
        <v>2014 - Channel</v>
      </c>
      <c r="B1466" s="4"/>
      <c r="C1466" s="6"/>
      <c r="D1466" s="4"/>
      <c r="E1466" s="56"/>
    </row>
    <row r="1467">
      <c r="A1467" s="4" t="str">
        <f>IFERROR(__xludf.DUMMYFUNCTION("""COMPUTED_VALUE"""),"2015 - Channel")</f>
        <v>2015 - Channel</v>
      </c>
      <c r="B1467" s="4"/>
      <c r="C1467" s="6"/>
      <c r="D1467" s="4"/>
      <c r="E1467" s="56"/>
    </row>
    <row r="1468">
      <c r="A1468" s="4" t="str">
        <f>IFERROR(__xludf.DUMMYFUNCTION("""COMPUTED_VALUE"""),"2016 - Channel")</f>
        <v>2016 - Channel</v>
      </c>
      <c r="B1468" s="4"/>
      <c r="C1468" s="6"/>
      <c r="D1468" s="4"/>
      <c r="E1468" s="56"/>
    </row>
    <row r="1469">
      <c r="A1469" s="4" t="str">
        <f>IFERROR(__xludf.DUMMYFUNCTION("""COMPUTED_VALUE"""),"2017 - Channel")</f>
        <v>2017 - Channel</v>
      </c>
      <c r="B1469" s="4"/>
      <c r="C1469" s="6"/>
      <c r="D1469" s="4"/>
      <c r="E1469" s="56"/>
    </row>
    <row r="1470">
      <c r="A1470" s="4" t="str">
        <f>IFERROR(__xludf.DUMMYFUNCTION("""COMPUTED_VALUE"""),"2018 - Channel")</f>
        <v>2018 - Channel</v>
      </c>
      <c r="B1470" s="4"/>
      <c r="C1470" s="6"/>
      <c r="D1470" s="4"/>
      <c r="E1470" s="56"/>
    </row>
    <row r="1471">
      <c r="A1471" s="4" t="str">
        <f>IFERROR(__xludf.DUMMYFUNCTION("""COMPUTED_VALUE"""),"2019 - Channel")</f>
        <v>2019 - Channel</v>
      </c>
      <c r="B1471" s="4"/>
      <c r="C1471" s="6"/>
      <c r="D1471" s="4"/>
      <c r="E1471" s="56"/>
    </row>
    <row r="1472">
      <c r="A1472" s="4" t="str">
        <f>IFERROR(__xludf.DUMMYFUNCTION("""COMPUTED_VALUE"""),"2020 - Channel")</f>
        <v>2020 - Channel</v>
      </c>
      <c r="B1472" s="4"/>
      <c r="C1472" s="6"/>
      <c r="D1472" s="4"/>
      <c r="E1472" s="56"/>
    </row>
    <row r="1473">
      <c r="A1473" s="4" t="str">
        <f>IFERROR(__xludf.DUMMYFUNCTION("""COMPUTED_VALUE"""),"2021 - Channel")</f>
        <v>2021 - Channel</v>
      </c>
      <c r="B1473" s="4"/>
      <c r="C1473" s="6"/>
      <c r="D1473" s="4"/>
      <c r="E1473" s="56"/>
    </row>
    <row r="1474">
      <c r="A1474" s="4" t="str">
        <f>IFERROR(__xludf.DUMMYFUNCTION("""COMPUTED_VALUE"""),"2022 - Channel")</f>
        <v>2022 - Channel</v>
      </c>
      <c r="B1474" s="4"/>
      <c r="C1474" s="6"/>
      <c r="D1474" s="4"/>
      <c r="E1474" s="56"/>
    </row>
    <row r="1475">
      <c r="A1475" s="4" t="str">
        <f>IFERROR(__xludf.DUMMYFUNCTION("""COMPUTED_VALUE"""),"2023 - Channel")</f>
        <v>2023 - Channel</v>
      </c>
      <c r="B1475" s="4"/>
      <c r="C1475" s="6"/>
      <c r="D1475" s="4"/>
      <c r="E1475" s="56"/>
    </row>
    <row r="1476">
      <c r="A1476" s="4" t="str">
        <f>IFERROR(__xludf.DUMMYFUNCTION("""COMPUTED_VALUE"""),"2024 - Channel")</f>
        <v>2024 - Channel</v>
      </c>
      <c r="B1476" s="4"/>
      <c r="C1476" s="6"/>
      <c r="D1476" s="4"/>
      <c r="E1476" s="56"/>
    </row>
    <row r="1477">
      <c r="A1477" s="4" t="str">
        <f>IFERROR(__xludf.DUMMYFUNCTION("""COMPUTED_VALUE"""),"2025 - Channel")</f>
        <v>2025 - Channel</v>
      </c>
      <c r="B1477" s="4"/>
      <c r="C1477" s="6"/>
      <c r="D1477" s="4"/>
      <c r="E1477" s="56"/>
    </row>
    <row r="1478">
      <c r="A1478" s="4" t="str">
        <f>IFERROR(__xludf.DUMMYFUNCTION("""COMPUTED_VALUE"""),"2026 - Channel")</f>
        <v>2026 - Channel</v>
      </c>
      <c r="B1478" s="4"/>
      <c r="C1478" s="6"/>
      <c r="D1478" s="4"/>
      <c r="E1478" s="56"/>
    </row>
    <row r="1479">
      <c r="A1479" s="4" t="str">
        <f>IFERROR(__xludf.DUMMYFUNCTION("""COMPUTED_VALUE"""),"2027 - Channel")</f>
        <v>2027 - Channel</v>
      </c>
      <c r="B1479" s="4"/>
      <c r="C1479" s="6"/>
      <c r="D1479" s="4"/>
      <c r="E1479" s="56"/>
    </row>
    <row r="1480">
      <c r="A1480" s="4" t="str">
        <f>IFERROR(__xludf.DUMMYFUNCTION("""COMPUTED_VALUE"""),"2028 - Channel")</f>
        <v>2028 - Channel</v>
      </c>
      <c r="B1480" s="4"/>
      <c r="C1480" s="6"/>
      <c r="D1480" s="4"/>
      <c r="E1480" s="56"/>
    </row>
    <row r="1481">
      <c r="A1481" s="4" t="str">
        <f>IFERROR(__xludf.DUMMYFUNCTION("""COMPUTED_VALUE"""),"2029 - Channel")</f>
        <v>2029 - Channel</v>
      </c>
      <c r="B1481" s="4"/>
      <c r="C1481" s="6"/>
      <c r="D1481" s="4"/>
      <c r="E1481" s="56"/>
    </row>
    <row r="1482">
      <c r="A1482" s="4" t="str">
        <f>IFERROR(__xludf.DUMMYFUNCTION("""COMPUTED_VALUE"""),"2030 - Channel")</f>
        <v>2030 - Channel</v>
      </c>
      <c r="B1482" s="4"/>
      <c r="C1482" s="6"/>
      <c r="D1482" s="4"/>
      <c r="E1482" s="56"/>
    </row>
    <row r="1483">
      <c r="A1483" s="4" t="str">
        <f>IFERROR(__xludf.DUMMYFUNCTION("""COMPUTED_VALUE"""),"2031 - Channel")</f>
        <v>2031 - Channel</v>
      </c>
      <c r="B1483" s="4"/>
      <c r="C1483" s="6"/>
      <c r="D1483" s="4"/>
      <c r="E1483" s="56"/>
    </row>
    <row r="1484">
      <c r="A1484" s="4" t="str">
        <f>IFERROR(__xludf.DUMMYFUNCTION("""COMPUTED_VALUE"""),"2032 - Channel")</f>
        <v>2032 - Channel</v>
      </c>
      <c r="B1484" s="4"/>
      <c r="C1484" s="6"/>
      <c r="D1484" s="4"/>
      <c r="E1484" s="56"/>
    </row>
    <row r="1485">
      <c r="A1485" s="4" t="str">
        <f>IFERROR(__xludf.DUMMYFUNCTION("""COMPUTED_VALUE"""),"2033 - Channel")</f>
        <v>2033 - Channel</v>
      </c>
      <c r="B1485" s="4"/>
      <c r="C1485" s="6"/>
      <c r="D1485" s="4"/>
      <c r="E1485" s="56"/>
    </row>
    <row r="1486">
      <c r="A1486" s="4" t="str">
        <f>IFERROR(__xludf.DUMMYFUNCTION("""COMPUTED_VALUE"""),"2034 - Channel")</f>
        <v>2034 - Channel</v>
      </c>
      <c r="B1486" s="4"/>
      <c r="C1486" s="6"/>
      <c r="D1486" s="4"/>
      <c r="E1486" s="56"/>
    </row>
    <row r="1487">
      <c r="A1487" s="4" t="str">
        <f>IFERROR(__xludf.DUMMYFUNCTION("""COMPUTED_VALUE"""),"2035 - Channel")</f>
        <v>2035 - Channel</v>
      </c>
      <c r="B1487" s="4"/>
      <c r="C1487" s="6"/>
      <c r="D1487" s="4"/>
      <c r="E1487" s="56"/>
    </row>
    <row r="1488">
      <c r="A1488" s="4" t="str">
        <f>IFERROR(__xludf.DUMMYFUNCTION("""COMPUTED_VALUE"""),"2036 - Channel")</f>
        <v>2036 - Channel</v>
      </c>
      <c r="B1488" s="4"/>
      <c r="C1488" s="6"/>
      <c r="D1488" s="4"/>
      <c r="E1488" s="56"/>
    </row>
    <row r="1489">
      <c r="A1489" s="4" t="str">
        <f>IFERROR(__xludf.DUMMYFUNCTION("""COMPUTED_VALUE"""),"2037 - Channel")</f>
        <v>2037 - Channel</v>
      </c>
      <c r="B1489" s="4"/>
      <c r="C1489" s="6"/>
      <c r="D1489" s="4"/>
      <c r="E1489" s="56"/>
    </row>
    <row r="1490">
      <c r="A1490" s="4" t="str">
        <f>IFERROR(__xludf.DUMMYFUNCTION("""COMPUTED_VALUE"""),"2038 - Channel")</f>
        <v>2038 - Channel</v>
      </c>
      <c r="B1490" s="4"/>
      <c r="C1490" s="6"/>
      <c r="D1490" s="4"/>
      <c r="E1490" s="56"/>
    </row>
    <row r="1491">
      <c r="A1491" s="4" t="str">
        <f>IFERROR(__xludf.DUMMYFUNCTION("""COMPUTED_VALUE"""),"2039 - Channel")</f>
        <v>2039 - Channel</v>
      </c>
      <c r="B1491" s="4"/>
      <c r="C1491" s="6"/>
      <c r="D1491" s="4"/>
      <c r="E1491" s="56"/>
    </row>
    <row r="1492">
      <c r="A1492" s="4" t="str">
        <f>IFERROR(__xludf.DUMMYFUNCTION("""COMPUTED_VALUE"""),"2040 - Channel")</f>
        <v>2040 - Channel</v>
      </c>
      <c r="B1492" s="4"/>
      <c r="C1492" s="6"/>
      <c r="D1492" s="4"/>
      <c r="E1492" s="56"/>
    </row>
    <row r="1493">
      <c r="A1493" s="4" t="str">
        <f>IFERROR(__xludf.DUMMYFUNCTION("""COMPUTED_VALUE"""),"2041 - Channel")</f>
        <v>2041 - Channel</v>
      </c>
      <c r="B1493" s="4"/>
      <c r="C1493" s="6"/>
      <c r="D1493" s="4"/>
      <c r="E1493" s="56"/>
    </row>
    <row r="1494">
      <c r="A1494" s="4" t="str">
        <f>IFERROR(__xludf.DUMMYFUNCTION("""COMPUTED_VALUE"""),"2042 - Channel")</f>
        <v>2042 - Channel</v>
      </c>
      <c r="B1494" s="4"/>
      <c r="C1494" s="6"/>
      <c r="D1494" s="4"/>
      <c r="E1494" s="56"/>
    </row>
    <row r="1495">
      <c r="A1495" s="4" t="str">
        <f>IFERROR(__xludf.DUMMYFUNCTION("""COMPUTED_VALUE"""),"2043 - Channel")</f>
        <v>2043 - Channel</v>
      </c>
      <c r="B1495" s="4"/>
      <c r="C1495" s="6"/>
      <c r="D1495" s="4"/>
      <c r="E1495" s="56"/>
    </row>
    <row r="1496">
      <c r="A1496" s="4" t="str">
        <f>IFERROR(__xludf.DUMMYFUNCTION("""COMPUTED_VALUE"""),"2044 - Channel")</f>
        <v>2044 - Channel</v>
      </c>
      <c r="B1496" s="4"/>
      <c r="C1496" s="6"/>
      <c r="D1496" s="4"/>
      <c r="E1496" s="56"/>
    </row>
    <row r="1497">
      <c r="A1497" s="4" t="str">
        <f>IFERROR(__xludf.DUMMYFUNCTION("""COMPUTED_VALUE"""),"2045 - Channel")</f>
        <v>2045 - Channel</v>
      </c>
      <c r="B1497" s="4"/>
      <c r="C1497" s="6"/>
      <c r="D1497" s="4"/>
      <c r="E1497" s="56"/>
    </row>
    <row r="1498">
      <c r="A1498" s="4" t="str">
        <f>IFERROR(__xludf.DUMMYFUNCTION("""COMPUTED_VALUE"""),"2046 - Channel")</f>
        <v>2046 - Channel</v>
      </c>
      <c r="B1498" s="4"/>
      <c r="C1498" s="6"/>
      <c r="D1498" s="4"/>
      <c r="E1498" s="56"/>
    </row>
    <row r="1499">
      <c r="A1499" s="4" t="str">
        <f>IFERROR(__xludf.DUMMYFUNCTION("""COMPUTED_VALUE"""),"2047 - Channel")</f>
        <v>2047 - Channel</v>
      </c>
      <c r="B1499" s="4"/>
      <c r="C1499" s="6"/>
      <c r="D1499" s="4"/>
      <c r="E1499" s="56"/>
    </row>
    <row r="1500">
      <c r="A1500" s="4" t="str">
        <f>IFERROR(__xludf.DUMMYFUNCTION("""COMPUTED_VALUE"""),"2048 - Channel")</f>
        <v>2048 - Channel</v>
      </c>
      <c r="B1500" s="4"/>
      <c r="C1500" s="6"/>
      <c r="D1500" s="4"/>
      <c r="E1500" s="56"/>
    </row>
    <row r="1501">
      <c r="A1501" s="4" t="str">
        <f>IFERROR(__xludf.DUMMYFUNCTION("""COMPUTED_VALUE"""),"2049 - Channel")</f>
        <v>2049 - Channel</v>
      </c>
      <c r="B1501" s="4"/>
      <c r="C1501" s="6"/>
      <c r="D1501" s="4"/>
      <c r="E1501" s="56"/>
    </row>
    <row r="1502">
      <c r="A1502" s="4" t="str">
        <f>IFERROR(__xludf.DUMMYFUNCTION("""COMPUTED_VALUE"""),"2050 - Channel")</f>
        <v>2050 - Channel</v>
      </c>
      <c r="B1502" s="4"/>
      <c r="C1502" s="6"/>
      <c r="D1502" s="4"/>
      <c r="E1502" s="56"/>
    </row>
    <row r="1503">
      <c r="A1503" s="4" t="str">
        <f>IFERROR(__xludf.DUMMYFUNCTION("""COMPUTED_VALUE"""),"2051 - Channel")</f>
        <v>2051 - Channel</v>
      </c>
      <c r="B1503" s="4"/>
      <c r="C1503" s="6"/>
      <c r="D1503" s="4"/>
      <c r="E1503" s="56"/>
    </row>
    <row r="1504">
      <c r="A1504" s="4" t="str">
        <f>IFERROR(__xludf.DUMMYFUNCTION("""COMPUTED_VALUE"""),"2052 - Channel")</f>
        <v>2052 - Channel</v>
      </c>
      <c r="B1504" s="4"/>
      <c r="C1504" s="6"/>
      <c r="D1504" s="4"/>
      <c r="E1504" s="56"/>
    </row>
    <row r="1505">
      <c r="A1505" s="4" t="str">
        <f>IFERROR(__xludf.DUMMYFUNCTION("""COMPUTED_VALUE"""),"2053 - Channel")</f>
        <v>2053 - Channel</v>
      </c>
      <c r="B1505" s="4"/>
      <c r="C1505" s="6"/>
      <c r="D1505" s="4"/>
      <c r="E1505" s="56"/>
    </row>
    <row r="1506">
      <c r="A1506" s="4" t="str">
        <f>IFERROR(__xludf.DUMMYFUNCTION("""COMPUTED_VALUE"""),"2054 - Channel")</f>
        <v>2054 - Channel</v>
      </c>
      <c r="B1506" s="4"/>
      <c r="C1506" s="6"/>
      <c r="D1506" s="4"/>
      <c r="E1506" s="56"/>
    </row>
    <row r="1507">
      <c r="A1507" s="4" t="str">
        <f>IFERROR(__xludf.DUMMYFUNCTION("""COMPUTED_VALUE"""),"2055 - Channel")</f>
        <v>2055 - Channel</v>
      </c>
      <c r="B1507" s="4"/>
      <c r="C1507" s="6"/>
      <c r="D1507" s="4"/>
      <c r="E1507" s="56"/>
    </row>
    <row r="1508">
      <c r="A1508" s="4" t="str">
        <f>IFERROR(__xludf.DUMMYFUNCTION("""COMPUTED_VALUE"""),"2056 - Channel")</f>
        <v>2056 - Channel</v>
      </c>
      <c r="B1508" s="4"/>
      <c r="C1508" s="6"/>
      <c r="D1508" s="4"/>
      <c r="E1508" s="56"/>
    </row>
    <row r="1509">
      <c r="A1509" s="4" t="str">
        <f>IFERROR(__xludf.DUMMYFUNCTION("""COMPUTED_VALUE"""),"2057 - Channel")</f>
        <v>2057 - Channel</v>
      </c>
      <c r="B1509" s="4"/>
      <c r="C1509" s="6"/>
      <c r="D1509" s="4"/>
      <c r="E1509" s="56"/>
    </row>
    <row r="1510">
      <c r="A1510" s="4" t="str">
        <f>IFERROR(__xludf.DUMMYFUNCTION("""COMPUTED_VALUE"""),"2058 - Channel")</f>
        <v>2058 - Channel</v>
      </c>
      <c r="B1510" s="4"/>
      <c r="C1510" s="6"/>
      <c r="D1510" s="4"/>
      <c r="E1510" s="56"/>
    </row>
    <row r="1511">
      <c r="A1511" s="4" t="str">
        <f>IFERROR(__xludf.DUMMYFUNCTION("""COMPUTED_VALUE"""),"2059 - Channel")</f>
        <v>2059 - Channel</v>
      </c>
      <c r="B1511" s="4"/>
      <c r="C1511" s="6"/>
      <c r="D1511" s="4"/>
      <c r="E1511" s="56"/>
    </row>
    <row r="1512">
      <c r="A1512" s="4" t="str">
        <f>IFERROR(__xludf.DUMMYFUNCTION("""COMPUTED_VALUE"""),"2060 - Channel")</f>
        <v>2060 - Channel</v>
      </c>
      <c r="B1512" s="4"/>
      <c r="C1512" s="6"/>
      <c r="D1512" s="4"/>
      <c r="E1512" s="56"/>
    </row>
    <row r="1513">
      <c r="A1513" s="4" t="str">
        <f>IFERROR(__xludf.DUMMYFUNCTION("""COMPUTED_VALUE"""),"2061 - Channel")</f>
        <v>2061 - Channel</v>
      </c>
      <c r="B1513" s="4"/>
      <c r="C1513" s="6"/>
      <c r="D1513" s="4"/>
      <c r="E1513" s="56"/>
    </row>
    <row r="1514">
      <c r="A1514" s="4" t="str">
        <f>IFERROR(__xludf.DUMMYFUNCTION("""COMPUTED_VALUE"""),"2062 - Channel")</f>
        <v>2062 - Channel</v>
      </c>
      <c r="B1514" s="4"/>
      <c r="C1514" s="6"/>
      <c r="D1514" s="4"/>
      <c r="E1514" s="56"/>
    </row>
    <row r="1515">
      <c r="A1515" s="4" t="str">
        <f>IFERROR(__xludf.DUMMYFUNCTION("""COMPUTED_VALUE"""),"2063 - Channel")</f>
        <v>2063 - Channel</v>
      </c>
      <c r="B1515" s="4"/>
      <c r="C1515" s="6"/>
      <c r="D1515" s="4"/>
      <c r="E1515" s="56"/>
    </row>
    <row r="1516">
      <c r="A1516" s="4" t="str">
        <f>IFERROR(__xludf.DUMMYFUNCTION("""COMPUTED_VALUE"""),"2064 - Channel")</f>
        <v>2064 - Channel</v>
      </c>
      <c r="B1516" s="4"/>
      <c r="C1516" s="6"/>
      <c r="D1516" s="4"/>
      <c r="E1516" s="56"/>
    </row>
    <row r="1517">
      <c r="A1517" s="4" t="str">
        <f>IFERROR(__xludf.DUMMYFUNCTION("""COMPUTED_VALUE"""),"2065 - Channel")</f>
        <v>2065 - Channel</v>
      </c>
      <c r="B1517" s="4"/>
      <c r="C1517" s="6"/>
      <c r="D1517" s="4"/>
      <c r="E1517" s="56"/>
    </row>
    <row r="1518">
      <c r="A1518" s="4" t="str">
        <f>IFERROR(__xludf.DUMMYFUNCTION("""COMPUTED_VALUE"""),"2066 - Channel")</f>
        <v>2066 - Channel</v>
      </c>
      <c r="B1518" s="4"/>
      <c r="C1518" s="6"/>
      <c r="D1518" s="4"/>
      <c r="E1518" s="56"/>
    </row>
    <row r="1519">
      <c r="A1519" s="4" t="str">
        <f>IFERROR(__xludf.DUMMYFUNCTION("""COMPUTED_VALUE"""),"2067 - Channel")</f>
        <v>2067 - Channel</v>
      </c>
      <c r="B1519" s="4"/>
      <c r="C1519" s="6"/>
      <c r="D1519" s="4"/>
      <c r="E1519" s="56"/>
    </row>
    <row r="1520">
      <c r="A1520" s="4" t="str">
        <f>IFERROR(__xludf.DUMMYFUNCTION("""COMPUTED_VALUE"""),"2068 - Channel")</f>
        <v>2068 - Channel</v>
      </c>
      <c r="B1520" s="4"/>
      <c r="C1520" s="6"/>
      <c r="D1520" s="4"/>
      <c r="E1520" s="56"/>
    </row>
    <row r="1521">
      <c r="A1521" s="4" t="str">
        <f>IFERROR(__xludf.DUMMYFUNCTION("""COMPUTED_VALUE"""),"2069 - Channel")</f>
        <v>2069 - Channel</v>
      </c>
      <c r="B1521" s="4"/>
      <c r="C1521" s="6"/>
      <c r="D1521" s="4"/>
      <c r="E1521" s="56"/>
    </row>
    <row r="1522">
      <c r="A1522" s="4" t="str">
        <f>IFERROR(__xludf.DUMMYFUNCTION("""COMPUTED_VALUE"""),"2070 - Channel")</f>
        <v>2070 - Channel</v>
      </c>
      <c r="B1522" s="4"/>
      <c r="C1522" s="6"/>
      <c r="D1522" s="4"/>
      <c r="E1522" s="56"/>
    </row>
    <row r="1523">
      <c r="A1523" s="4" t="str">
        <f>IFERROR(__xludf.DUMMYFUNCTION("""COMPUTED_VALUE"""),"2071 - Channel")</f>
        <v>2071 - Channel</v>
      </c>
      <c r="B1523" s="4"/>
      <c r="C1523" s="6"/>
      <c r="D1523" s="4"/>
      <c r="E1523" s="56"/>
    </row>
    <row r="1524">
      <c r="A1524" s="4" t="str">
        <f>IFERROR(__xludf.DUMMYFUNCTION("""COMPUTED_VALUE"""),"2072 - Channel")</f>
        <v>2072 - Channel</v>
      </c>
      <c r="B1524" s="4"/>
      <c r="C1524" s="6"/>
      <c r="D1524" s="4"/>
      <c r="E1524" s="56"/>
    </row>
    <row r="1525">
      <c r="A1525" s="4" t="str">
        <f>IFERROR(__xludf.DUMMYFUNCTION("""COMPUTED_VALUE"""),"2073 - Channel")</f>
        <v>2073 - Channel</v>
      </c>
      <c r="B1525" s="4"/>
      <c r="C1525" s="6"/>
      <c r="D1525" s="4"/>
      <c r="E1525" s="56"/>
    </row>
    <row r="1526">
      <c r="A1526" s="4" t="str">
        <f>IFERROR(__xludf.DUMMYFUNCTION("""COMPUTED_VALUE"""),"2074 - Channel")</f>
        <v>2074 - Channel</v>
      </c>
      <c r="B1526" s="4"/>
      <c r="C1526" s="6"/>
      <c r="D1526" s="4"/>
      <c r="E1526" s="56"/>
    </row>
    <row r="1527">
      <c r="A1527" s="4" t="str">
        <f>IFERROR(__xludf.DUMMYFUNCTION("""COMPUTED_VALUE"""),"2075 - Channel")</f>
        <v>2075 - Channel</v>
      </c>
      <c r="B1527" s="4"/>
      <c r="C1527" s="6"/>
      <c r="D1527" s="4"/>
      <c r="E1527" s="56"/>
    </row>
    <row r="1528">
      <c r="A1528" s="4" t="str">
        <f>IFERROR(__xludf.DUMMYFUNCTION("""COMPUTED_VALUE"""),"2076 - Channel")</f>
        <v>2076 - Channel</v>
      </c>
      <c r="B1528" s="4"/>
      <c r="C1528" s="6"/>
      <c r="D1528" s="4"/>
      <c r="E1528" s="56"/>
    </row>
    <row r="1529">
      <c r="A1529" s="4" t="str">
        <f>IFERROR(__xludf.DUMMYFUNCTION("""COMPUTED_VALUE"""),"2077 - Channel")</f>
        <v>2077 - Channel</v>
      </c>
      <c r="B1529" s="4"/>
      <c r="C1529" s="6"/>
      <c r="D1529" s="4"/>
      <c r="E1529" s="56"/>
    </row>
    <row r="1530">
      <c r="A1530" s="4" t="str">
        <f>IFERROR(__xludf.DUMMYFUNCTION("""COMPUTED_VALUE"""),"2078 - Channel")</f>
        <v>2078 - Channel</v>
      </c>
      <c r="B1530" s="4"/>
      <c r="C1530" s="6"/>
      <c r="D1530" s="4"/>
      <c r="E1530" s="56"/>
    </row>
    <row r="1531">
      <c r="A1531" s="4" t="str">
        <f>IFERROR(__xludf.DUMMYFUNCTION("""COMPUTED_VALUE"""),"2079 - Channel")</f>
        <v>2079 - Channel</v>
      </c>
      <c r="B1531" s="4"/>
      <c r="C1531" s="6"/>
      <c r="D1531" s="4"/>
      <c r="E1531" s="56"/>
    </row>
    <row r="1532">
      <c r="A1532" s="4" t="str">
        <f>IFERROR(__xludf.DUMMYFUNCTION("""COMPUTED_VALUE"""),"2080 - Channel")</f>
        <v>2080 - Channel</v>
      </c>
      <c r="B1532" s="4"/>
      <c r="C1532" s="6"/>
      <c r="D1532" s="4"/>
      <c r="E1532" s="56"/>
    </row>
    <row r="1533">
      <c r="A1533" s="4" t="str">
        <f>IFERROR(__xludf.DUMMYFUNCTION("""COMPUTED_VALUE"""),"2081 - Channel")</f>
        <v>2081 - Channel</v>
      </c>
      <c r="B1533" s="4"/>
      <c r="C1533" s="6"/>
      <c r="D1533" s="4"/>
      <c r="E1533" s="56"/>
    </row>
    <row r="1534">
      <c r="A1534" s="4" t="str">
        <f>IFERROR(__xludf.DUMMYFUNCTION("""COMPUTED_VALUE"""),"2082 - Channel")</f>
        <v>2082 - Channel</v>
      </c>
      <c r="B1534" s="4"/>
      <c r="C1534" s="6"/>
      <c r="D1534" s="4"/>
      <c r="E1534" s="56"/>
    </row>
    <row r="1535">
      <c r="A1535" s="4" t="str">
        <f>IFERROR(__xludf.DUMMYFUNCTION("""COMPUTED_VALUE"""),"2083 - Channel")</f>
        <v>2083 - Channel</v>
      </c>
      <c r="B1535" s="4"/>
      <c r="C1535" s="6"/>
      <c r="D1535" s="4"/>
      <c r="E1535" s="56"/>
    </row>
    <row r="1536">
      <c r="A1536" s="4" t="str">
        <f>IFERROR(__xludf.DUMMYFUNCTION("""COMPUTED_VALUE"""),"2084 - Channel")</f>
        <v>2084 - Channel</v>
      </c>
      <c r="B1536" s="4"/>
      <c r="C1536" s="6"/>
      <c r="D1536" s="4"/>
      <c r="E1536" s="56"/>
    </row>
    <row r="1537">
      <c r="A1537" s="4" t="str">
        <f>IFERROR(__xludf.DUMMYFUNCTION("""COMPUTED_VALUE"""),"2085 - Channel")</f>
        <v>2085 - Channel</v>
      </c>
      <c r="B1537" s="4"/>
      <c r="C1537" s="6"/>
      <c r="D1537" s="4"/>
      <c r="E1537" s="56"/>
    </row>
    <row r="1538">
      <c r="A1538" s="4" t="str">
        <f>IFERROR(__xludf.DUMMYFUNCTION("""COMPUTED_VALUE"""),"2086 - Channel")</f>
        <v>2086 - Channel</v>
      </c>
      <c r="B1538" s="4"/>
      <c r="C1538" s="6"/>
      <c r="D1538" s="4"/>
      <c r="E1538" s="56"/>
    </row>
    <row r="1539">
      <c r="A1539" s="4" t="str">
        <f>IFERROR(__xludf.DUMMYFUNCTION("""COMPUTED_VALUE"""),"2087 - Channel")</f>
        <v>2087 - Channel</v>
      </c>
      <c r="B1539" s="4"/>
      <c r="C1539" s="6"/>
      <c r="D1539" s="4"/>
      <c r="E1539" s="56"/>
    </row>
    <row r="1540">
      <c r="A1540" s="4" t="str">
        <f>IFERROR(__xludf.DUMMYFUNCTION("""COMPUTED_VALUE"""),"2088 - Channel")</f>
        <v>2088 - Channel</v>
      </c>
      <c r="B1540" s="4"/>
      <c r="C1540" s="6"/>
      <c r="D1540" s="4"/>
      <c r="E1540" s="56"/>
    </row>
    <row r="1541">
      <c r="A1541" s="4" t="str">
        <f>IFERROR(__xludf.DUMMYFUNCTION("""COMPUTED_VALUE"""),"2089 - Channel")</f>
        <v>2089 - Channel</v>
      </c>
      <c r="B1541" s="4"/>
      <c r="C1541" s="6"/>
      <c r="D1541" s="4"/>
      <c r="E1541" s="56"/>
    </row>
    <row r="1542">
      <c r="A1542" s="4" t="str">
        <f>IFERROR(__xludf.DUMMYFUNCTION("""COMPUTED_VALUE"""),"2090 - Channel")</f>
        <v>2090 - Channel</v>
      </c>
      <c r="B1542" s="4"/>
      <c r="C1542" s="6"/>
      <c r="D1542" s="4"/>
      <c r="E1542" s="56"/>
    </row>
    <row r="1543">
      <c r="A1543" s="4" t="str">
        <f>IFERROR(__xludf.DUMMYFUNCTION("""COMPUTED_VALUE"""),"2091 - Channel")</f>
        <v>2091 - Channel</v>
      </c>
      <c r="B1543" s="4"/>
      <c r="C1543" s="6"/>
      <c r="D1543" s="4"/>
      <c r="E1543" s="56"/>
    </row>
    <row r="1544">
      <c r="A1544" s="4" t="str">
        <f>IFERROR(__xludf.DUMMYFUNCTION("""COMPUTED_VALUE"""),"2095 - Channel")</f>
        <v>2095 - Channel</v>
      </c>
      <c r="B1544" s="4"/>
      <c r="C1544" s="6"/>
      <c r="D1544" s="4"/>
      <c r="E1544" s="56"/>
    </row>
    <row r="1545">
      <c r="A1545" s="4" t="str">
        <f>IFERROR(__xludf.DUMMYFUNCTION("""COMPUTED_VALUE"""),"2096 - Channel")</f>
        <v>2096 - Channel</v>
      </c>
      <c r="B1545" s="4"/>
      <c r="C1545" s="6"/>
      <c r="D1545" s="4"/>
      <c r="E1545" s="56"/>
    </row>
    <row r="1546">
      <c r="A1546" s="4" t="str">
        <f>IFERROR(__xludf.DUMMYFUNCTION("""COMPUTED_VALUE"""),"2097 - Channel")</f>
        <v>2097 - Channel</v>
      </c>
      <c r="B1546" s="4"/>
      <c r="C1546" s="6"/>
      <c r="D1546" s="4"/>
      <c r="E1546" s="56"/>
    </row>
    <row r="1547">
      <c r="A1547" s="4" t="str">
        <f>IFERROR(__xludf.DUMMYFUNCTION("""COMPUTED_VALUE"""),"2098 - Channel")</f>
        <v>2098 - Channel</v>
      </c>
      <c r="B1547" s="4"/>
      <c r="C1547" s="6"/>
      <c r="D1547" s="4"/>
      <c r="E1547" s="56"/>
    </row>
    <row r="1548">
      <c r="A1548" s="4" t="str">
        <f>IFERROR(__xludf.DUMMYFUNCTION("""COMPUTED_VALUE"""),"2099 - Channel")</f>
        <v>2099 - Channel</v>
      </c>
      <c r="B1548" s="4"/>
      <c r="C1548" s="6"/>
      <c r="D1548" s="4"/>
      <c r="E1548" s="56"/>
    </row>
    <row r="1549">
      <c r="A1549" s="4" t="str">
        <f>IFERROR(__xludf.DUMMYFUNCTION("""COMPUTED_VALUE"""),"2100 - Channel")</f>
        <v>2100 - Channel</v>
      </c>
      <c r="B1549" s="4"/>
      <c r="C1549" s="6"/>
      <c r="D1549" s="4"/>
      <c r="E1549" s="56"/>
    </row>
    <row r="1550">
      <c r="A1550" s="4" t="str">
        <f>IFERROR(__xludf.DUMMYFUNCTION("""COMPUTED_VALUE"""),"2101 - Channel")</f>
        <v>2101 - Channel</v>
      </c>
      <c r="B1550" s="4"/>
      <c r="C1550" s="6"/>
      <c r="D1550" s="4"/>
      <c r="E1550" s="56"/>
    </row>
    <row r="1551">
      <c r="A1551" s="4" t="str">
        <f>IFERROR(__xludf.DUMMYFUNCTION("""COMPUTED_VALUE"""),"2102 - Channel")</f>
        <v>2102 - Channel</v>
      </c>
      <c r="B1551" s="4"/>
      <c r="C1551" s="6"/>
      <c r="D1551" s="4"/>
      <c r="E1551" s="56"/>
    </row>
    <row r="1552">
      <c r="A1552" s="4" t="str">
        <f>IFERROR(__xludf.DUMMYFUNCTION("""COMPUTED_VALUE"""),"2103 - Channel")</f>
        <v>2103 - Channel</v>
      </c>
      <c r="B1552" s="4"/>
      <c r="C1552" s="6"/>
      <c r="D1552" s="4"/>
      <c r="E1552" s="56"/>
    </row>
    <row r="1553">
      <c r="A1553" s="4" t="str">
        <f>IFERROR(__xludf.DUMMYFUNCTION("""COMPUTED_VALUE"""),"2104 - Channel")</f>
        <v>2104 - Channel</v>
      </c>
      <c r="B1553" s="4"/>
      <c r="C1553" s="6"/>
      <c r="D1553" s="4"/>
      <c r="E1553" s="56"/>
    </row>
    <row r="1554">
      <c r="A1554" s="4" t="str">
        <f>IFERROR(__xludf.DUMMYFUNCTION("""COMPUTED_VALUE"""),"2105 - Channel")</f>
        <v>2105 - Channel</v>
      </c>
      <c r="B1554" s="4"/>
      <c r="C1554" s="6"/>
      <c r="D1554" s="4"/>
      <c r="E1554" s="56"/>
    </row>
    <row r="1555">
      <c r="A1555" s="4" t="str">
        <f>IFERROR(__xludf.DUMMYFUNCTION("""COMPUTED_VALUE"""),"2106 - Channel")</f>
        <v>2106 - Channel</v>
      </c>
      <c r="B1555" s="4"/>
      <c r="C1555" s="6"/>
      <c r="D1555" s="4"/>
      <c r="E1555" s="56"/>
    </row>
    <row r="1556">
      <c r="A1556" s="4" t="str">
        <f>IFERROR(__xludf.DUMMYFUNCTION("""COMPUTED_VALUE"""),"2107 - Channel")</f>
        <v>2107 - Channel</v>
      </c>
      <c r="B1556" s="4"/>
      <c r="C1556" s="6"/>
      <c r="D1556" s="4"/>
      <c r="E1556" s="56"/>
    </row>
    <row r="1557">
      <c r="A1557" s="4" t="str">
        <f>IFERROR(__xludf.DUMMYFUNCTION("""COMPUTED_VALUE"""),"2108 - Channel")</f>
        <v>2108 - Channel</v>
      </c>
      <c r="B1557" s="4"/>
      <c r="C1557" s="6"/>
      <c r="D1557" s="4"/>
      <c r="E1557" s="56"/>
    </row>
    <row r="1558">
      <c r="A1558" s="4" t="str">
        <f>IFERROR(__xludf.DUMMYFUNCTION("""COMPUTED_VALUE"""),"2109 - Channel")</f>
        <v>2109 - Channel</v>
      </c>
      <c r="B1558" s="4"/>
      <c r="C1558" s="6"/>
      <c r="D1558" s="4"/>
      <c r="E1558" s="56"/>
    </row>
    <row r="1559">
      <c r="A1559" s="4" t="str">
        <f>IFERROR(__xludf.DUMMYFUNCTION("""COMPUTED_VALUE"""),"2110 - Channel")</f>
        <v>2110 - Channel</v>
      </c>
      <c r="B1559" s="4"/>
      <c r="C1559" s="6"/>
      <c r="D1559" s="4"/>
      <c r="E1559" s="56"/>
    </row>
    <row r="1560">
      <c r="A1560" s="4" t="str">
        <f>IFERROR(__xludf.DUMMYFUNCTION("""COMPUTED_VALUE"""),"2111 - Channel")</f>
        <v>2111 - Channel</v>
      </c>
      <c r="B1560" s="4"/>
      <c r="C1560" s="6"/>
      <c r="D1560" s="4"/>
      <c r="E1560" s="56"/>
    </row>
    <row r="1561">
      <c r="A1561" s="4" t="str">
        <f>IFERROR(__xludf.DUMMYFUNCTION("""COMPUTED_VALUE"""),"2112 - Channel")</f>
        <v>2112 - Channel</v>
      </c>
      <c r="B1561" s="4"/>
      <c r="C1561" s="6"/>
      <c r="D1561" s="4"/>
      <c r="E1561" s="56"/>
    </row>
    <row r="1562">
      <c r="A1562" s="4" t="str">
        <f>IFERROR(__xludf.DUMMYFUNCTION("""COMPUTED_VALUE"""),"2113 - Channel")</f>
        <v>2113 - Channel</v>
      </c>
      <c r="B1562" s="4"/>
      <c r="C1562" s="6"/>
      <c r="D1562" s="4"/>
      <c r="E1562" s="56"/>
    </row>
    <row r="1563">
      <c r="A1563" s="4" t="str">
        <f>IFERROR(__xludf.DUMMYFUNCTION("""COMPUTED_VALUE"""),"2114 - Channel")</f>
        <v>2114 - Channel</v>
      </c>
      <c r="B1563" s="4"/>
      <c r="C1563" s="6"/>
      <c r="D1563" s="4"/>
      <c r="E1563" s="56"/>
    </row>
    <row r="1564">
      <c r="A1564" s="4" t="str">
        <f>IFERROR(__xludf.DUMMYFUNCTION("""COMPUTED_VALUE"""),"2115 - Channel")</f>
        <v>2115 - Channel</v>
      </c>
      <c r="B1564" s="4"/>
      <c r="C1564" s="6"/>
      <c r="D1564" s="4"/>
      <c r="E1564" s="56"/>
    </row>
    <row r="1565">
      <c r="A1565" s="4" t="str">
        <f>IFERROR(__xludf.DUMMYFUNCTION("""COMPUTED_VALUE"""),"2116 - Channel")</f>
        <v>2116 - Channel</v>
      </c>
      <c r="B1565" s="4"/>
      <c r="C1565" s="6"/>
      <c r="D1565" s="4"/>
      <c r="E1565" s="56"/>
    </row>
    <row r="1566">
      <c r="A1566" s="4" t="str">
        <f>IFERROR(__xludf.DUMMYFUNCTION("""COMPUTED_VALUE"""),"2117 - Channel")</f>
        <v>2117 - Channel</v>
      </c>
      <c r="B1566" s="4"/>
      <c r="C1566" s="6"/>
      <c r="D1566" s="4"/>
      <c r="E1566" s="56"/>
    </row>
    <row r="1567">
      <c r="A1567" s="4" t="str">
        <f>IFERROR(__xludf.DUMMYFUNCTION("""COMPUTED_VALUE"""),"2118 - Channel")</f>
        <v>2118 - Channel</v>
      </c>
      <c r="B1567" s="4"/>
      <c r="C1567" s="6"/>
      <c r="D1567" s="4"/>
      <c r="E1567" s="56"/>
    </row>
    <row r="1568">
      <c r="A1568" s="4" t="str">
        <f>IFERROR(__xludf.DUMMYFUNCTION("""COMPUTED_VALUE"""),"2119 - Channel")</f>
        <v>2119 - Channel</v>
      </c>
      <c r="B1568" s="4"/>
      <c r="C1568" s="6"/>
      <c r="D1568" s="4"/>
      <c r="E1568" s="56"/>
    </row>
    <row r="1569">
      <c r="A1569" s="4" t="str">
        <f>IFERROR(__xludf.DUMMYFUNCTION("""COMPUTED_VALUE"""),"2120 - Channel")</f>
        <v>2120 - Channel</v>
      </c>
      <c r="B1569" s="4"/>
      <c r="C1569" s="6"/>
      <c r="D1569" s="4"/>
      <c r="E1569" s="56"/>
    </row>
    <row r="1570">
      <c r="A1570" s="4" t="str">
        <f>IFERROR(__xludf.DUMMYFUNCTION("""COMPUTED_VALUE"""),"2121 - Channel")</f>
        <v>2121 - Channel</v>
      </c>
      <c r="B1570" s="4"/>
      <c r="C1570" s="6"/>
      <c r="D1570" s="4"/>
      <c r="E1570" s="56"/>
    </row>
    <row r="1571">
      <c r="A1571" s="4" t="str">
        <f>IFERROR(__xludf.DUMMYFUNCTION("""COMPUTED_VALUE"""),"2122 - Channel")</f>
        <v>2122 - Channel</v>
      </c>
      <c r="B1571" s="4"/>
      <c r="C1571" s="6"/>
      <c r="D1571" s="4"/>
      <c r="E1571" s="56"/>
    </row>
    <row r="1572">
      <c r="A1572" s="4" t="str">
        <f>IFERROR(__xludf.DUMMYFUNCTION("""COMPUTED_VALUE"""),"2123 - Channel")</f>
        <v>2123 - Channel</v>
      </c>
      <c r="B1572" s="4"/>
      <c r="C1572" s="6"/>
      <c r="D1572" s="4"/>
      <c r="E1572" s="56"/>
    </row>
    <row r="1573">
      <c r="A1573" s="4" t="str">
        <f>IFERROR(__xludf.DUMMYFUNCTION("""COMPUTED_VALUE"""),"2124 - Channel")</f>
        <v>2124 - Channel</v>
      </c>
      <c r="B1573" s="4"/>
      <c r="C1573" s="6"/>
      <c r="D1573" s="4"/>
      <c r="E1573" s="56"/>
    </row>
    <row r="1574">
      <c r="A1574" s="4" t="str">
        <f>IFERROR(__xludf.DUMMYFUNCTION("""COMPUTED_VALUE"""),"2125 - Channel")</f>
        <v>2125 - Channel</v>
      </c>
      <c r="B1574" s="4"/>
      <c r="C1574" s="6"/>
      <c r="D1574" s="4"/>
      <c r="E1574" s="56"/>
    </row>
    <row r="1575">
      <c r="A1575" s="4" t="str">
        <f>IFERROR(__xludf.DUMMYFUNCTION("""COMPUTED_VALUE"""),"2126 - Channel")</f>
        <v>2126 - Channel</v>
      </c>
      <c r="B1575" s="4"/>
      <c r="C1575" s="6"/>
      <c r="D1575" s="4"/>
      <c r="E1575" s="56"/>
    </row>
    <row r="1576">
      <c r="A1576" s="4" t="str">
        <f>IFERROR(__xludf.DUMMYFUNCTION("""COMPUTED_VALUE"""),"2127 - Channel")</f>
        <v>2127 - Channel</v>
      </c>
      <c r="B1576" s="4"/>
      <c r="C1576" s="6"/>
      <c r="D1576" s="4"/>
      <c r="E1576" s="56"/>
    </row>
    <row r="1577">
      <c r="A1577" s="4" t="str">
        <f>IFERROR(__xludf.DUMMYFUNCTION("""COMPUTED_VALUE"""),"2128 - Channel")</f>
        <v>2128 - Channel</v>
      </c>
      <c r="B1577" s="4"/>
      <c r="C1577" s="6"/>
      <c r="D1577" s="4"/>
      <c r="E1577" s="56"/>
    </row>
    <row r="1578">
      <c r="A1578" s="4" t="str">
        <f>IFERROR(__xludf.DUMMYFUNCTION("""COMPUTED_VALUE"""),"2129 - Channel")</f>
        <v>2129 - Channel</v>
      </c>
      <c r="B1578" s="4"/>
      <c r="C1578" s="6"/>
      <c r="D1578" s="4"/>
      <c r="E1578" s="56"/>
    </row>
    <row r="1579">
      <c r="A1579" s="4" t="str">
        <f>IFERROR(__xludf.DUMMYFUNCTION("""COMPUTED_VALUE"""),"2130 - Channel")</f>
        <v>2130 - Channel</v>
      </c>
      <c r="B1579" s="4"/>
      <c r="C1579" s="6"/>
      <c r="D1579" s="4"/>
      <c r="E1579" s="56"/>
    </row>
    <row r="1580">
      <c r="A1580" s="4" t="str">
        <f>IFERROR(__xludf.DUMMYFUNCTION("""COMPUTED_VALUE"""),"2131 - Channel")</f>
        <v>2131 - Channel</v>
      </c>
      <c r="B1580" s="4"/>
      <c r="C1580" s="6"/>
      <c r="D1580" s="4"/>
      <c r="E1580" s="56"/>
    </row>
    <row r="1581">
      <c r="A1581" s="4" t="str">
        <f>IFERROR(__xludf.DUMMYFUNCTION("""COMPUTED_VALUE"""),"2132 - Channel")</f>
        <v>2132 - Channel</v>
      </c>
      <c r="B1581" s="4"/>
      <c r="C1581" s="6"/>
      <c r="D1581" s="4"/>
      <c r="E1581" s="56"/>
    </row>
    <row r="1582">
      <c r="A1582" s="4" t="str">
        <f>IFERROR(__xludf.DUMMYFUNCTION("""COMPUTED_VALUE"""),"2133 - Channel")</f>
        <v>2133 - Channel</v>
      </c>
      <c r="B1582" s="4"/>
      <c r="C1582" s="6"/>
      <c r="D1582" s="4"/>
      <c r="E1582" s="56"/>
    </row>
    <row r="1583">
      <c r="A1583" s="4" t="str">
        <f>IFERROR(__xludf.DUMMYFUNCTION("""COMPUTED_VALUE"""),"2134 - Channel")</f>
        <v>2134 - Channel</v>
      </c>
      <c r="B1583" s="4"/>
      <c r="C1583" s="6"/>
      <c r="D1583" s="4"/>
      <c r="E1583" s="56"/>
    </row>
    <row r="1584">
      <c r="A1584" s="4" t="str">
        <f>IFERROR(__xludf.DUMMYFUNCTION("""COMPUTED_VALUE"""),"2135 - Channel")</f>
        <v>2135 - Channel</v>
      </c>
      <c r="B1584" s="4"/>
      <c r="C1584" s="6"/>
      <c r="D1584" s="4"/>
      <c r="E1584" s="56"/>
    </row>
    <row r="1585">
      <c r="A1585" s="4" t="str">
        <f>IFERROR(__xludf.DUMMYFUNCTION("""COMPUTED_VALUE"""),"2136 - Channel")</f>
        <v>2136 - Channel</v>
      </c>
      <c r="B1585" s="4"/>
      <c r="C1585" s="6"/>
      <c r="D1585" s="4"/>
      <c r="E1585" s="56"/>
    </row>
    <row r="1586">
      <c r="A1586" s="4" t="str">
        <f>IFERROR(__xludf.DUMMYFUNCTION("""COMPUTED_VALUE"""),"2137 - Channel")</f>
        <v>2137 - Channel</v>
      </c>
      <c r="B1586" s="4"/>
      <c r="C1586" s="6"/>
      <c r="D1586" s="4"/>
      <c r="E1586" s="56"/>
    </row>
    <row r="1587">
      <c r="A1587" s="4" t="str">
        <f>IFERROR(__xludf.DUMMYFUNCTION("""COMPUTED_VALUE"""),"2138 - Channel")</f>
        <v>2138 - Channel</v>
      </c>
      <c r="B1587" s="4"/>
      <c r="C1587" s="6"/>
      <c r="D1587" s="4"/>
      <c r="E1587" s="56"/>
    </row>
    <row r="1588">
      <c r="A1588" s="4" t="str">
        <f>IFERROR(__xludf.DUMMYFUNCTION("""COMPUTED_VALUE"""),"2139 - Channel")</f>
        <v>2139 - Channel</v>
      </c>
      <c r="B1588" s="4"/>
      <c r="C1588" s="6"/>
      <c r="D1588" s="4"/>
      <c r="E1588" s="56"/>
    </row>
    <row r="1589">
      <c r="A1589" s="4" t="str">
        <f>IFERROR(__xludf.DUMMYFUNCTION("""COMPUTED_VALUE"""),"2140 - Channel")</f>
        <v>2140 - Channel</v>
      </c>
      <c r="B1589" s="4"/>
      <c r="C1589" s="6"/>
      <c r="D1589" s="4"/>
      <c r="E1589" s="56"/>
    </row>
    <row r="1590">
      <c r="A1590" s="4" t="str">
        <f>IFERROR(__xludf.DUMMYFUNCTION("""COMPUTED_VALUE"""),"2141 - Channel")</f>
        <v>2141 - Channel</v>
      </c>
      <c r="B1590" s="4"/>
      <c r="C1590" s="6"/>
      <c r="D1590" s="4"/>
      <c r="E1590" s="56"/>
    </row>
    <row r="1591">
      <c r="A1591" s="4" t="str">
        <f>IFERROR(__xludf.DUMMYFUNCTION("""COMPUTED_VALUE"""),"2142 - Channel")</f>
        <v>2142 - Channel</v>
      </c>
      <c r="B1591" s="4"/>
      <c r="C1591" s="6"/>
      <c r="D1591" s="4"/>
      <c r="E1591" s="56"/>
    </row>
    <row r="1592">
      <c r="A1592" s="4" t="str">
        <f>IFERROR(__xludf.DUMMYFUNCTION("""COMPUTED_VALUE"""),"2143 - Channel")</f>
        <v>2143 - Channel</v>
      </c>
      <c r="B1592" s="4"/>
      <c r="C1592" s="6"/>
      <c r="D1592" s="4"/>
      <c r="E1592" s="56"/>
    </row>
    <row r="1593">
      <c r="A1593" s="4" t="str">
        <f>IFERROR(__xludf.DUMMYFUNCTION("""COMPUTED_VALUE"""),"2144 - Channel")</f>
        <v>2144 - Channel</v>
      </c>
      <c r="B1593" s="4"/>
      <c r="C1593" s="6"/>
      <c r="D1593" s="4"/>
      <c r="E1593" s="56"/>
    </row>
    <row r="1594">
      <c r="A1594" s="4" t="str">
        <f>IFERROR(__xludf.DUMMYFUNCTION("""COMPUTED_VALUE"""),"2145 - Channel")</f>
        <v>2145 - Channel</v>
      </c>
      <c r="B1594" s="4"/>
      <c r="C1594" s="6"/>
      <c r="D1594" s="4"/>
      <c r="E1594" s="56"/>
    </row>
    <row r="1595">
      <c r="A1595" s="4" t="str">
        <f>IFERROR(__xludf.DUMMYFUNCTION("""COMPUTED_VALUE"""),"2146 - Channel")</f>
        <v>2146 - Channel</v>
      </c>
      <c r="B1595" s="4"/>
      <c r="C1595" s="6"/>
      <c r="D1595" s="4"/>
      <c r="E1595" s="56"/>
    </row>
    <row r="1596">
      <c r="A1596" s="4" t="str">
        <f>IFERROR(__xludf.DUMMYFUNCTION("""COMPUTED_VALUE"""),"2147 - Channel")</f>
        <v>2147 - Channel</v>
      </c>
      <c r="B1596" s="4"/>
      <c r="C1596" s="6"/>
      <c r="D1596" s="4"/>
      <c r="E1596" s="56"/>
    </row>
    <row r="1597">
      <c r="A1597" s="4" t="str">
        <f>IFERROR(__xludf.DUMMYFUNCTION("""COMPUTED_VALUE"""),"2148 - Channel")</f>
        <v>2148 - Channel</v>
      </c>
      <c r="B1597" s="4"/>
      <c r="C1597" s="6"/>
      <c r="D1597" s="4"/>
      <c r="E1597" s="56"/>
    </row>
    <row r="1598">
      <c r="A1598" s="4" t="str">
        <f>IFERROR(__xludf.DUMMYFUNCTION("""COMPUTED_VALUE"""),"2149 - Channel")</f>
        <v>2149 - Channel</v>
      </c>
      <c r="B1598" s="4"/>
      <c r="C1598" s="6"/>
      <c r="D1598" s="4"/>
      <c r="E1598" s="56"/>
    </row>
    <row r="1599">
      <c r="A1599" s="4" t="str">
        <f>IFERROR(__xludf.DUMMYFUNCTION("""COMPUTED_VALUE"""),"2150 - Channel")</f>
        <v>2150 - Channel</v>
      </c>
      <c r="B1599" s="4"/>
      <c r="C1599" s="6"/>
      <c r="D1599" s="4"/>
      <c r="E1599" s="56"/>
    </row>
    <row r="1600">
      <c r="A1600" s="4" t="str">
        <f>IFERROR(__xludf.DUMMYFUNCTION("""COMPUTED_VALUE"""),"2151 - Channel")</f>
        <v>2151 - Channel</v>
      </c>
      <c r="B1600" s="4"/>
      <c r="C1600" s="6"/>
      <c r="D1600" s="4"/>
      <c r="E1600" s="56"/>
    </row>
    <row r="1601">
      <c r="A1601" s="4" t="str">
        <f>IFERROR(__xludf.DUMMYFUNCTION("""COMPUTED_VALUE"""),"2152 - Channel")</f>
        <v>2152 - Channel</v>
      </c>
      <c r="B1601" s="4"/>
      <c r="C1601" s="6"/>
      <c r="D1601" s="4"/>
      <c r="E1601" s="56"/>
    </row>
    <row r="1602">
      <c r="A1602" s="4" t="str">
        <f>IFERROR(__xludf.DUMMYFUNCTION("""COMPUTED_VALUE"""),"2153 - Channel")</f>
        <v>2153 - Channel</v>
      </c>
      <c r="B1602" s="4"/>
      <c r="C1602" s="6"/>
      <c r="D1602" s="4"/>
      <c r="E1602" s="56"/>
    </row>
    <row r="1603">
      <c r="A1603" s="4" t="str">
        <f>IFERROR(__xludf.DUMMYFUNCTION("""COMPUTED_VALUE"""),"2154 - Channel")</f>
        <v>2154 - Channel</v>
      </c>
      <c r="B1603" s="4"/>
      <c r="C1603" s="6"/>
      <c r="D1603" s="4"/>
      <c r="E1603" s="56"/>
    </row>
    <row r="1604">
      <c r="A1604" s="4" t="str">
        <f>IFERROR(__xludf.DUMMYFUNCTION("""COMPUTED_VALUE"""),"2155 - Channel")</f>
        <v>2155 - Channel</v>
      </c>
      <c r="B1604" s="4"/>
      <c r="C1604" s="6"/>
      <c r="D1604" s="4"/>
      <c r="E1604" s="56"/>
    </row>
    <row r="1605">
      <c r="A1605" s="4" t="str">
        <f>IFERROR(__xludf.DUMMYFUNCTION("""COMPUTED_VALUE"""),"2156 - Channel")</f>
        <v>2156 - Channel</v>
      </c>
      <c r="B1605" s="4"/>
      <c r="C1605" s="6"/>
      <c r="D1605" s="4"/>
      <c r="E1605" s="56"/>
    </row>
    <row r="1606">
      <c r="A1606" s="4" t="str">
        <f>IFERROR(__xludf.DUMMYFUNCTION("""COMPUTED_VALUE"""),"2157 - Channel")</f>
        <v>2157 - Channel</v>
      </c>
      <c r="B1606" s="4"/>
      <c r="C1606" s="6"/>
      <c r="D1606" s="4"/>
      <c r="E1606" s="56"/>
    </row>
    <row r="1607">
      <c r="A1607" s="4" t="str">
        <f>IFERROR(__xludf.DUMMYFUNCTION("""COMPUTED_VALUE"""),"2158 - Channel")</f>
        <v>2158 - Channel</v>
      </c>
      <c r="B1607" s="4"/>
      <c r="C1607" s="6"/>
      <c r="D1607" s="4"/>
      <c r="E1607" s="56"/>
    </row>
    <row r="1608">
      <c r="A1608" s="4" t="str">
        <f>IFERROR(__xludf.DUMMYFUNCTION("""COMPUTED_VALUE"""),"2159 - Channel")</f>
        <v>2159 - Channel</v>
      </c>
      <c r="B1608" s="4"/>
      <c r="C1608" s="6"/>
      <c r="D1608" s="4"/>
      <c r="E1608" s="56"/>
    </row>
    <row r="1609">
      <c r="A1609" s="4" t="str">
        <f>IFERROR(__xludf.DUMMYFUNCTION("""COMPUTED_VALUE"""),"2160 - Channel")</f>
        <v>2160 - Channel</v>
      </c>
      <c r="B1609" s="4"/>
      <c r="C1609" s="6"/>
      <c r="D1609" s="4"/>
      <c r="E1609" s="56"/>
    </row>
    <row r="1610">
      <c r="A1610" s="4" t="str">
        <f>IFERROR(__xludf.DUMMYFUNCTION("""COMPUTED_VALUE"""),"2161 - Channel")</f>
        <v>2161 - Channel</v>
      </c>
      <c r="B1610" s="4"/>
      <c r="C1610" s="6"/>
      <c r="D1610" s="4"/>
      <c r="E1610" s="56"/>
    </row>
    <row r="1611">
      <c r="A1611" s="4" t="str">
        <f>IFERROR(__xludf.DUMMYFUNCTION("""COMPUTED_VALUE"""),"2162 - Channel")</f>
        <v>2162 - Channel</v>
      </c>
      <c r="B1611" s="4"/>
      <c r="C1611" s="6"/>
      <c r="D1611" s="4"/>
      <c r="E1611" s="56"/>
    </row>
    <row r="1612">
      <c r="A1612" s="4" t="str">
        <f>IFERROR(__xludf.DUMMYFUNCTION("""COMPUTED_VALUE"""),"2163 - Channel")</f>
        <v>2163 - Channel</v>
      </c>
      <c r="B1612" s="4"/>
      <c r="C1612" s="6"/>
      <c r="D1612" s="4"/>
      <c r="E1612" s="56"/>
    </row>
    <row r="1613">
      <c r="A1613" s="4" t="str">
        <f>IFERROR(__xludf.DUMMYFUNCTION("""COMPUTED_VALUE"""),"2164 - Channel")</f>
        <v>2164 - Channel</v>
      </c>
      <c r="B1613" s="4"/>
      <c r="C1613" s="6"/>
      <c r="D1613" s="4"/>
      <c r="E1613" s="56"/>
    </row>
    <row r="1614">
      <c r="A1614" s="4" t="str">
        <f>IFERROR(__xludf.DUMMYFUNCTION("""COMPUTED_VALUE"""),"2165 - Channel")</f>
        <v>2165 - Channel</v>
      </c>
      <c r="B1614" s="4"/>
      <c r="C1614" s="6"/>
      <c r="D1614" s="4"/>
      <c r="E1614" s="56"/>
    </row>
    <row r="1615">
      <c r="A1615" s="4" t="str">
        <f>IFERROR(__xludf.DUMMYFUNCTION("""COMPUTED_VALUE"""),"2166 - Channel")</f>
        <v>2166 - Channel</v>
      </c>
      <c r="B1615" s="4"/>
      <c r="C1615" s="6"/>
      <c r="D1615" s="4"/>
      <c r="E1615" s="56"/>
    </row>
    <row r="1616">
      <c r="A1616" s="4" t="str">
        <f>IFERROR(__xludf.DUMMYFUNCTION("""COMPUTED_VALUE"""),"2167 - Channel")</f>
        <v>2167 - Channel</v>
      </c>
      <c r="B1616" s="4"/>
      <c r="C1616" s="6"/>
      <c r="D1616" s="4"/>
      <c r="E1616" s="56"/>
    </row>
    <row r="1617">
      <c r="A1617" s="4" t="str">
        <f>IFERROR(__xludf.DUMMYFUNCTION("""COMPUTED_VALUE"""),"2168 - Channel")</f>
        <v>2168 - Channel</v>
      </c>
      <c r="B1617" s="4"/>
      <c r="C1617" s="6"/>
      <c r="D1617" s="4"/>
      <c r="E1617" s="56"/>
    </row>
    <row r="1618">
      <c r="A1618" s="4" t="str">
        <f>IFERROR(__xludf.DUMMYFUNCTION("""COMPUTED_VALUE"""),"2169 - Channel")</f>
        <v>2169 - Channel</v>
      </c>
      <c r="B1618" s="4"/>
      <c r="C1618" s="6"/>
      <c r="D1618" s="4"/>
      <c r="E1618" s="56"/>
    </row>
    <row r="1619">
      <c r="A1619" s="4" t="str">
        <f>IFERROR(__xludf.DUMMYFUNCTION("""COMPUTED_VALUE"""),"2170 - Channel")</f>
        <v>2170 - Channel</v>
      </c>
      <c r="B1619" s="4"/>
      <c r="C1619" s="6"/>
      <c r="D1619" s="4"/>
      <c r="E1619" s="56"/>
    </row>
    <row r="1620">
      <c r="A1620" s="4" t="str">
        <f>IFERROR(__xludf.DUMMYFUNCTION("""COMPUTED_VALUE"""),"2171 - Channel")</f>
        <v>2171 - Channel</v>
      </c>
      <c r="B1620" s="4"/>
      <c r="C1620" s="6"/>
      <c r="D1620" s="4"/>
      <c r="E1620" s="56"/>
    </row>
    <row r="1621">
      <c r="A1621" s="4" t="str">
        <f>IFERROR(__xludf.DUMMYFUNCTION("""COMPUTED_VALUE"""),"2172 - Channel")</f>
        <v>2172 - Channel</v>
      </c>
      <c r="B1621" s="4"/>
      <c r="C1621" s="6"/>
      <c r="D1621" s="4"/>
      <c r="E1621" s="56"/>
    </row>
    <row r="1622">
      <c r="A1622" s="4" t="str">
        <f>IFERROR(__xludf.DUMMYFUNCTION("""COMPUTED_VALUE"""),"2173 - Channel")</f>
        <v>2173 - Channel</v>
      </c>
      <c r="B1622" s="4"/>
      <c r="C1622" s="6"/>
      <c r="D1622" s="4"/>
      <c r="E1622" s="56"/>
    </row>
    <row r="1623">
      <c r="A1623" s="4" t="str">
        <f>IFERROR(__xludf.DUMMYFUNCTION("""COMPUTED_VALUE"""),"2174 - Channel")</f>
        <v>2174 - Channel</v>
      </c>
      <c r="B1623" s="4"/>
      <c r="C1623" s="6"/>
      <c r="D1623" s="4"/>
      <c r="E1623" s="56"/>
    </row>
    <row r="1624">
      <c r="A1624" s="4" t="str">
        <f>IFERROR(__xludf.DUMMYFUNCTION("""COMPUTED_VALUE"""),"2175 - Channel")</f>
        <v>2175 - Channel</v>
      </c>
      <c r="B1624" s="4"/>
      <c r="C1624" s="6"/>
      <c r="D1624" s="4"/>
      <c r="E1624" s="56"/>
    </row>
    <row r="1625">
      <c r="A1625" s="4" t="str">
        <f>IFERROR(__xludf.DUMMYFUNCTION("""COMPUTED_VALUE"""),"2176 - Channel")</f>
        <v>2176 - Channel</v>
      </c>
      <c r="B1625" s="4"/>
      <c r="C1625" s="6"/>
      <c r="D1625" s="4"/>
      <c r="E1625" s="56"/>
    </row>
    <row r="1626">
      <c r="A1626" s="4" t="str">
        <f>IFERROR(__xludf.DUMMYFUNCTION("""COMPUTED_VALUE"""),"2177 - Channel")</f>
        <v>2177 - Channel</v>
      </c>
      <c r="B1626" s="4"/>
      <c r="C1626" s="6"/>
      <c r="D1626" s="4"/>
      <c r="E1626" s="56"/>
    </row>
    <row r="1627">
      <c r="A1627" s="4" t="str">
        <f>IFERROR(__xludf.DUMMYFUNCTION("""COMPUTED_VALUE"""),"2178 - Channel")</f>
        <v>2178 - Channel</v>
      </c>
      <c r="B1627" s="4"/>
      <c r="C1627" s="6"/>
      <c r="D1627" s="4"/>
      <c r="E1627" s="56"/>
    </row>
    <row r="1628">
      <c r="A1628" s="4" t="str">
        <f>IFERROR(__xludf.DUMMYFUNCTION("""COMPUTED_VALUE"""),"2179 - Channel")</f>
        <v>2179 - Channel</v>
      </c>
      <c r="B1628" s="4"/>
      <c r="C1628" s="6"/>
      <c r="D1628" s="4"/>
      <c r="E1628" s="56"/>
    </row>
    <row r="1629">
      <c r="A1629" s="4" t="str">
        <f>IFERROR(__xludf.DUMMYFUNCTION("""COMPUTED_VALUE"""),"2180 - Channel")</f>
        <v>2180 - Channel</v>
      </c>
      <c r="B1629" s="4"/>
      <c r="C1629" s="6"/>
      <c r="D1629" s="4"/>
      <c r="E1629" s="56"/>
    </row>
    <row r="1630">
      <c r="A1630" s="4" t="str">
        <f>IFERROR(__xludf.DUMMYFUNCTION("""COMPUTED_VALUE"""),"2181 - Channel")</f>
        <v>2181 - Channel</v>
      </c>
      <c r="B1630" s="4"/>
      <c r="C1630" s="6"/>
      <c r="D1630" s="4"/>
      <c r="E1630" s="56"/>
    </row>
    <row r="1631">
      <c r="A1631" s="4" t="str">
        <f>IFERROR(__xludf.DUMMYFUNCTION("""COMPUTED_VALUE"""),"2182 - Channel")</f>
        <v>2182 - Channel</v>
      </c>
      <c r="B1631" s="4"/>
      <c r="C1631" s="6"/>
      <c r="D1631" s="4"/>
      <c r="E1631" s="56"/>
    </row>
    <row r="1632">
      <c r="A1632" s="4" t="str">
        <f>IFERROR(__xludf.DUMMYFUNCTION("""COMPUTED_VALUE"""),"2183 - Channel")</f>
        <v>2183 - Channel</v>
      </c>
      <c r="B1632" s="4"/>
      <c r="C1632" s="6"/>
      <c r="D1632" s="4"/>
      <c r="E1632" s="56"/>
    </row>
    <row r="1633">
      <c r="A1633" s="4" t="str">
        <f>IFERROR(__xludf.DUMMYFUNCTION("""COMPUTED_VALUE"""),"2184 - Channel")</f>
        <v>2184 - Channel</v>
      </c>
      <c r="B1633" s="4"/>
      <c r="C1633" s="6"/>
      <c r="D1633" s="4"/>
      <c r="E1633" s="56"/>
    </row>
    <row r="1634">
      <c r="A1634" s="4" t="str">
        <f>IFERROR(__xludf.DUMMYFUNCTION("""COMPUTED_VALUE"""),"2185 - Channel")</f>
        <v>2185 - Channel</v>
      </c>
      <c r="B1634" s="4"/>
      <c r="C1634" s="6"/>
      <c r="D1634" s="4"/>
      <c r="E1634" s="56"/>
    </row>
    <row r="1635">
      <c r="A1635" s="4" t="str">
        <f>IFERROR(__xludf.DUMMYFUNCTION("""COMPUTED_VALUE"""),"2186 - Channel")</f>
        <v>2186 - Channel</v>
      </c>
      <c r="B1635" s="4"/>
      <c r="C1635" s="6"/>
      <c r="D1635" s="4"/>
      <c r="E1635" s="56"/>
    </row>
    <row r="1636">
      <c r="A1636" s="4" t="str">
        <f>IFERROR(__xludf.DUMMYFUNCTION("""COMPUTED_VALUE"""),"2187 - Channel")</f>
        <v>2187 - Channel</v>
      </c>
      <c r="B1636" s="4"/>
      <c r="C1636" s="6"/>
      <c r="D1636" s="4"/>
      <c r="E1636" s="56"/>
    </row>
    <row r="1637">
      <c r="A1637" s="4" t="str">
        <f>IFERROR(__xludf.DUMMYFUNCTION("""COMPUTED_VALUE"""),"2188 - Channel")</f>
        <v>2188 - Channel</v>
      </c>
      <c r="B1637" s="4"/>
      <c r="C1637" s="6"/>
      <c r="D1637" s="4"/>
      <c r="E1637" s="56"/>
    </row>
    <row r="1638">
      <c r="A1638" s="4" t="str">
        <f>IFERROR(__xludf.DUMMYFUNCTION("""COMPUTED_VALUE"""),"2189 - Channel")</f>
        <v>2189 - Channel</v>
      </c>
      <c r="B1638" s="4"/>
      <c r="C1638" s="6"/>
      <c r="D1638" s="4"/>
      <c r="E1638" s="56"/>
    </row>
    <row r="1639">
      <c r="A1639" s="4" t="str">
        <f>IFERROR(__xludf.DUMMYFUNCTION("""COMPUTED_VALUE"""),"2190 - Channel")</f>
        <v>2190 - Channel</v>
      </c>
      <c r="B1639" s="4"/>
      <c r="C1639" s="6"/>
      <c r="D1639" s="4"/>
      <c r="E1639" s="56"/>
    </row>
    <row r="1640">
      <c r="A1640" s="4" t="str">
        <f>IFERROR(__xludf.DUMMYFUNCTION("""COMPUTED_VALUE"""),"2191 - Channel")</f>
        <v>2191 - Channel</v>
      </c>
      <c r="B1640" s="4"/>
      <c r="C1640" s="6"/>
      <c r="D1640" s="4"/>
      <c r="E1640" s="56"/>
    </row>
    <row r="1641">
      <c r="A1641" s="4" t="str">
        <f>IFERROR(__xludf.DUMMYFUNCTION("""COMPUTED_VALUE"""),"2192 - Channel")</f>
        <v>2192 - Channel</v>
      </c>
      <c r="B1641" s="4"/>
      <c r="C1641" s="6"/>
      <c r="D1641" s="4"/>
      <c r="E1641" s="56"/>
    </row>
    <row r="1642">
      <c r="A1642" s="4" t="str">
        <f>IFERROR(__xludf.DUMMYFUNCTION("""COMPUTED_VALUE"""),"2193 - Channel")</f>
        <v>2193 - Channel</v>
      </c>
      <c r="B1642" s="4"/>
      <c r="C1642" s="6"/>
      <c r="D1642" s="4"/>
      <c r="E1642" s="56"/>
    </row>
    <row r="1643">
      <c r="A1643" s="4" t="str">
        <f>IFERROR(__xludf.DUMMYFUNCTION("""COMPUTED_VALUE"""),"2194 - Channel")</f>
        <v>2194 - Channel</v>
      </c>
      <c r="B1643" s="4"/>
      <c r="C1643" s="6"/>
      <c r="D1643" s="4"/>
      <c r="E1643" s="56"/>
    </row>
    <row r="1644">
      <c r="A1644" s="4" t="str">
        <f>IFERROR(__xludf.DUMMYFUNCTION("""COMPUTED_VALUE"""),"2195 - Channel")</f>
        <v>2195 - Channel</v>
      </c>
      <c r="B1644" s="4"/>
      <c r="C1644" s="6"/>
      <c r="D1644" s="4"/>
      <c r="E1644" s="56"/>
    </row>
    <row r="1645">
      <c r="A1645" s="4" t="str">
        <f>IFERROR(__xludf.DUMMYFUNCTION("""COMPUTED_VALUE"""),"2196 - Channel")</f>
        <v>2196 - Channel</v>
      </c>
      <c r="B1645" s="4"/>
      <c r="C1645" s="6"/>
      <c r="D1645" s="4"/>
      <c r="E1645" s="56"/>
    </row>
    <row r="1646">
      <c r="A1646" s="4" t="str">
        <f>IFERROR(__xludf.DUMMYFUNCTION("""COMPUTED_VALUE"""),"2197 - Channel")</f>
        <v>2197 - Channel</v>
      </c>
      <c r="B1646" s="4"/>
      <c r="C1646" s="6"/>
      <c r="D1646" s="4"/>
      <c r="E1646" s="56"/>
    </row>
    <row r="1647">
      <c r="A1647" s="4" t="str">
        <f>IFERROR(__xludf.DUMMYFUNCTION("""COMPUTED_VALUE"""),"2198 - Channel")</f>
        <v>2198 - Channel</v>
      </c>
      <c r="B1647" s="4"/>
      <c r="C1647" s="6"/>
      <c r="D1647" s="4"/>
      <c r="E1647" s="56"/>
    </row>
    <row r="1648">
      <c r="A1648" s="4" t="str">
        <f>IFERROR(__xludf.DUMMYFUNCTION("""COMPUTED_VALUE"""),"2199 - Channel")</f>
        <v>2199 - Channel</v>
      </c>
      <c r="B1648" s="4"/>
      <c r="C1648" s="6"/>
      <c r="D1648" s="4"/>
      <c r="E1648" s="56"/>
    </row>
    <row r="1649">
      <c r="A1649" s="4" t="str">
        <f>IFERROR(__xludf.DUMMYFUNCTION("""COMPUTED_VALUE"""),"2200 - Channel")</f>
        <v>2200 - Channel</v>
      </c>
      <c r="B1649" s="4"/>
      <c r="C1649" s="6"/>
      <c r="D1649" s="4"/>
      <c r="E1649" s="56"/>
    </row>
    <row r="1650">
      <c r="A1650" s="4" t="str">
        <f>IFERROR(__xludf.DUMMYFUNCTION("""COMPUTED_VALUE"""),"2201 - Channel")</f>
        <v>2201 - Channel</v>
      </c>
      <c r="B1650" s="4"/>
      <c r="C1650" s="6"/>
      <c r="D1650" s="4"/>
      <c r="E1650" s="56"/>
    </row>
    <row r="1651">
      <c r="A1651" s="4" t="str">
        <f>IFERROR(__xludf.DUMMYFUNCTION("""COMPUTED_VALUE"""),"2202 - Channel")</f>
        <v>2202 - Channel</v>
      </c>
      <c r="B1651" s="4"/>
      <c r="C1651" s="6"/>
      <c r="D1651" s="4"/>
      <c r="E1651" s="56"/>
    </row>
    <row r="1652">
      <c r="A1652" s="4" t="str">
        <f>IFERROR(__xludf.DUMMYFUNCTION("""COMPUTED_VALUE"""),"2203 - Channel")</f>
        <v>2203 - Channel</v>
      </c>
      <c r="B1652" s="4"/>
      <c r="C1652" s="6"/>
      <c r="D1652" s="4"/>
      <c r="E1652" s="56"/>
    </row>
    <row r="1653">
      <c r="A1653" s="4" t="str">
        <f>IFERROR(__xludf.DUMMYFUNCTION("""COMPUTED_VALUE"""),"2204 - Channel")</f>
        <v>2204 - Channel</v>
      </c>
      <c r="B1653" s="4"/>
      <c r="C1653" s="6"/>
      <c r="D1653" s="4"/>
      <c r="E1653" s="56"/>
    </row>
    <row r="1654">
      <c r="A1654" s="4" t="str">
        <f>IFERROR(__xludf.DUMMYFUNCTION("""COMPUTED_VALUE"""),"2205 - Channel")</f>
        <v>2205 - Channel</v>
      </c>
      <c r="B1654" s="4"/>
      <c r="C1654" s="6"/>
      <c r="D1654" s="4"/>
      <c r="E1654" s="56"/>
    </row>
    <row r="1655">
      <c r="A1655" s="4" t="str">
        <f>IFERROR(__xludf.DUMMYFUNCTION("""COMPUTED_VALUE"""),"2206 - Channel")</f>
        <v>2206 - Channel</v>
      </c>
      <c r="B1655" s="4"/>
      <c r="C1655" s="6"/>
      <c r="D1655" s="4"/>
      <c r="E1655" s="56"/>
    </row>
    <row r="1656">
      <c r="A1656" s="4" t="str">
        <f>IFERROR(__xludf.DUMMYFUNCTION("""COMPUTED_VALUE"""),"2207 - Channel")</f>
        <v>2207 - Channel</v>
      </c>
      <c r="B1656" s="4"/>
      <c r="C1656" s="6"/>
      <c r="D1656" s="4"/>
      <c r="E1656" s="56"/>
    </row>
    <row r="1657">
      <c r="A1657" s="4" t="str">
        <f>IFERROR(__xludf.DUMMYFUNCTION("""COMPUTED_VALUE"""),"2208 - Channel")</f>
        <v>2208 - Channel</v>
      </c>
      <c r="B1657" s="4"/>
      <c r="C1657" s="6"/>
      <c r="D1657" s="4"/>
      <c r="E1657" s="56"/>
    </row>
    <row r="1658">
      <c r="A1658" s="4" t="str">
        <f>IFERROR(__xludf.DUMMYFUNCTION("""COMPUTED_VALUE"""),"2209 - Channel")</f>
        <v>2209 - Channel</v>
      </c>
      <c r="B1658" s="4"/>
      <c r="C1658" s="6"/>
      <c r="D1658" s="4"/>
      <c r="E1658" s="56"/>
    </row>
    <row r="1659">
      <c r="A1659" s="4" t="str">
        <f>IFERROR(__xludf.DUMMYFUNCTION("""COMPUTED_VALUE"""),"2210 - Channel")</f>
        <v>2210 - Channel</v>
      </c>
      <c r="B1659" s="4"/>
      <c r="C1659" s="6"/>
      <c r="D1659" s="4"/>
      <c r="E1659" s="56"/>
    </row>
    <row r="1660">
      <c r="A1660" s="4" t="str">
        <f>IFERROR(__xludf.DUMMYFUNCTION("""COMPUTED_VALUE"""),"2211 - Channel")</f>
        <v>2211 - Channel</v>
      </c>
      <c r="B1660" s="4"/>
      <c r="C1660" s="6"/>
      <c r="D1660" s="4"/>
      <c r="E1660" s="56"/>
    </row>
    <row r="1661">
      <c r="A1661" s="4" t="str">
        <f>IFERROR(__xludf.DUMMYFUNCTION("""COMPUTED_VALUE"""),"2212 - Channel")</f>
        <v>2212 - Channel</v>
      </c>
      <c r="B1661" s="4"/>
      <c r="C1661" s="6"/>
      <c r="D1661" s="4"/>
      <c r="E1661" s="56"/>
    </row>
    <row r="1662">
      <c r="A1662" s="4" t="str">
        <f>IFERROR(__xludf.DUMMYFUNCTION("""COMPUTED_VALUE"""),"2213 - Channel")</f>
        <v>2213 - Channel</v>
      </c>
      <c r="B1662" s="4"/>
      <c r="C1662" s="6"/>
      <c r="D1662" s="4"/>
      <c r="E1662" s="56"/>
    </row>
    <row r="1663">
      <c r="A1663" s="4" t="str">
        <f>IFERROR(__xludf.DUMMYFUNCTION("""COMPUTED_VALUE"""),"2214 - Channel")</f>
        <v>2214 - Channel</v>
      </c>
      <c r="B1663" s="4"/>
      <c r="C1663" s="6"/>
      <c r="D1663" s="4"/>
      <c r="E1663" s="56"/>
    </row>
    <row r="1664">
      <c r="A1664" s="4" t="str">
        <f>IFERROR(__xludf.DUMMYFUNCTION("""COMPUTED_VALUE"""),"2215 - Channel")</f>
        <v>2215 - Channel</v>
      </c>
      <c r="B1664" s="4"/>
      <c r="C1664" s="6"/>
      <c r="D1664" s="4"/>
      <c r="E1664" s="56"/>
    </row>
    <row r="1665">
      <c r="A1665" s="4" t="str">
        <f>IFERROR(__xludf.DUMMYFUNCTION("""COMPUTED_VALUE"""),"2216 - Channel")</f>
        <v>2216 - Channel</v>
      </c>
      <c r="B1665" s="4"/>
      <c r="C1665" s="6"/>
      <c r="D1665" s="4"/>
      <c r="E1665" s="56"/>
    </row>
    <row r="1666">
      <c r="A1666" s="4" t="str">
        <f>IFERROR(__xludf.DUMMYFUNCTION("""COMPUTED_VALUE"""),"2217 - Channel")</f>
        <v>2217 - Channel</v>
      </c>
      <c r="B1666" s="4"/>
      <c r="C1666" s="6"/>
      <c r="D1666" s="4"/>
      <c r="E1666" s="56"/>
    </row>
    <row r="1667">
      <c r="A1667" s="4" t="str">
        <f>IFERROR(__xludf.DUMMYFUNCTION("""COMPUTED_VALUE"""),"2218 - Channel")</f>
        <v>2218 - Channel</v>
      </c>
      <c r="B1667" s="4"/>
      <c r="C1667" s="6"/>
      <c r="D1667" s="4"/>
      <c r="E1667" s="56"/>
    </row>
    <row r="1668">
      <c r="A1668" s="4" t="str">
        <f>IFERROR(__xludf.DUMMYFUNCTION("""COMPUTED_VALUE"""),"2219 - Channel")</f>
        <v>2219 - Channel</v>
      </c>
      <c r="B1668" s="4"/>
      <c r="C1668" s="6"/>
      <c r="D1668" s="4"/>
      <c r="E1668" s="56"/>
    </row>
    <row r="1669">
      <c r="A1669" s="4" t="str">
        <f>IFERROR(__xludf.DUMMYFUNCTION("""COMPUTED_VALUE"""),"2220 - Channel")</f>
        <v>2220 - Channel</v>
      </c>
      <c r="B1669" s="4"/>
      <c r="C1669" s="6"/>
      <c r="D1669" s="4"/>
      <c r="E1669" s="56"/>
    </row>
    <row r="1670">
      <c r="A1670" s="4" t="str">
        <f>IFERROR(__xludf.DUMMYFUNCTION("""COMPUTED_VALUE"""),"2221 - Channel")</f>
        <v>2221 - Channel</v>
      </c>
      <c r="B1670" s="4"/>
      <c r="C1670" s="6"/>
      <c r="D1670" s="4"/>
      <c r="E1670" s="56"/>
    </row>
    <row r="1671">
      <c r="A1671" s="4" t="str">
        <f>IFERROR(__xludf.DUMMYFUNCTION("""COMPUTED_VALUE"""),"2222 - Channel")</f>
        <v>2222 - Channel</v>
      </c>
      <c r="B1671" s="4"/>
      <c r="C1671" s="6"/>
      <c r="D1671" s="4"/>
      <c r="E1671" s="56"/>
    </row>
    <row r="1672">
      <c r="A1672" s="4" t="str">
        <f>IFERROR(__xludf.DUMMYFUNCTION("""COMPUTED_VALUE"""),"2223 - Channel")</f>
        <v>2223 - Channel</v>
      </c>
      <c r="B1672" s="4"/>
      <c r="C1672" s="6"/>
      <c r="D1672" s="4"/>
      <c r="E1672" s="56"/>
    </row>
    <row r="1673">
      <c r="A1673" s="4" t="str">
        <f>IFERROR(__xludf.DUMMYFUNCTION("""COMPUTED_VALUE"""),"2224 - Channel")</f>
        <v>2224 - Channel</v>
      </c>
      <c r="B1673" s="4"/>
      <c r="C1673" s="6"/>
      <c r="D1673" s="4"/>
      <c r="E1673" s="56"/>
    </row>
    <row r="1674">
      <c r="A1674" s="4" t="str">
        <f>IFERROR(__xludf.DUMMYFUNCTION("""COMPUTED_VALUE"""),"2225 - Channel")</f>
        <v>2225 - Channel</v>
      </c>
      <c r="B1674" s="4"/>
      <c r="C1674" s="6"/>
      <c r="D1674" s="4"/>
      <c r="E1674" s="56"/>
    </row>
    <row r="1675">
      <c r="A1675" s="4" t="str">
        <f>IFERROR(__xludf.DUMMYFUNCTION("""COMPUTED_VALUE"""),"2226 - Channel")</f>
        <v>2226 - Channel</v>
      </c>
      <c r="B1675" s="4"/>
      <c r="C1675" s="6"/>
      <c r="D1675" s="4"/>
      <c r="E1675" s="56"/>
    </row>
    <row r="1676">
      <c r="A1676" s="4" t="str">
        <f>IFERROR(__xludf.DUMMYFUNCTION("""COMPUTED_VALUE"""),"2227 - Channel")</f>
        <v>2227 - Channel</v>
      </c>
      <c r="B1676" s="4"/>
      <c r="C1676" s="6"/>
      <c r="D1676" s="4"/>
      <c r="E1676" s="56"/>
    </row>
    <row r="1677">
      <c r="A1677" s="4" t="str">
        <f>IFERROR(__xludf.DUMMYFUNCTION("""COMPUTED_VALUE"""),"2228 - Channel")</f>
        <v>2228 - Channel</v>
      </c>
      <c r="B1677" s="4"/>
      <c r="C1677" s="6"/>
      <c r="D1677" s="4"/>
      <c r="E1677" s="56"/>
    </row>
    <row r="1678">
      <c r="A1678" s="4" t="str">
        <f>IFERROR(__xludf.DUMMYFUNCTION("""COMPUTED_VALUE"""),"2229 - Channel")</f>
        <v>2229 - Channel</v>
      </c>
      <c r="B1678" s="4"/>
      <c r="C1678" s="6"/>
      <c r="D1678" s="4"/>
      <c r="E1678" s="56"/>
    </row>
    <row r="1679">
      <c r="A1679" s="4" t="str">
        <f>IFERROR(__xludf.DUMMYFUNCTION("""COMPUTED_VALUE"""),"2230 - Channel")</f>
        <v>2230 - Channel</v>
      </c>
      <c r="B1679" s="4"/>
      <c r="C1679" s="6"/>
      <c r="D1679" s="4"/>
      <c r="E1679" s="56"/>
    </row>
    <row r="1680">
      <c r="A1680" s="4" t="str">
        <f>IFERROR(__xludf.DUMMYFUNCTION("""COMPUTED_VALUE"""),"2231 - Channel")</f>
        <v>2231 - Channel</v>
      </c>
      <c r="B1680" s="4"/>
      <c r="C1680" s="6"/>
      <c r="D1680" s="4"/>
      <c r="E1680" s="56"/>
    </row>
    <row r="1681">
      <c r="A1681" s="4" t="str">
        <f>IFERROR(__xludf.DUMMYFUNCTION("""COMPUTED_VALUE"""),"2232 - Channel")</f>
        <v>2232 - Channel</v>
      </c>
      <c r="B1681" s="4"/>
      <c r="C1681" s="6"/>
      <c r="D1681" s="4"/>
      <c r="E1681" s="56"/>
    </row>
    <row r="1682">
      <c r="A1682" s="4" t="str">
        <f>IFERROR(__xludf.DUMMYFUNCTION("""COMPUTED_VALUE"""),"2233 - Channel")</f>
        <v>2233 - Channel</v>
      </c>
      <c r="B1682" s="4"/>
      <c r="C1682" s="6"/>
      <c r="D1682" s="4"/>
      <c r="E1682" s="56"/>
    </row>
    <row r="1683">
      <c r="A1683" s="4" t="str">
        <f>IFERROR(__xludf.DUMMYFUNCTION("""COMPUTED_VALUE"""),"2234 - Channel")</f>
        <v>2234 - Channel</v>
      </c>
      <c r="B1683" s="4"/>
      <c r="C1683" s="6"/>
      <c r="D1683" s="4"/>
      <c r="E1683" s="56"/>
    </row>
    <row r="1684">
      <c r="B1684" s="4" t="s">
        <v>607</v>
      </c>
      <c r="C1684" s="6" t="s">
        <v>607</v>
      </c>
      <c r="D1684" s="4" t="s">
        <v>607</v>
      </c>
      <c r="E1684" s="56" t="s">
        <v>607</v>
      </c>
    </row>
    <row r="1685">
      <c r="B1685" s="4" t="s">
        <v>607</v>
      </c>
      <c r="C1685" s="6" t="s">
        <v>607</v>
      </c>
      <c r="D1685" s="4" t="s">
        <v>607</v>
      </c>
      <c r="E1685" s="56" t="s">
        <v>607</v>
      </c>
    </row>
    <row r="1686">
      <c r="B1686" s="4" t="s">
        <v>607</v>
      </c>
      <c r="C1686" s="6" t="s">
        <v>607</v>
      </c>
      <c r="D1686" s="4" t="s">
        <v>607</v>
      </c>
      <c r="E1686" s="56" t="s">
        <v>607</v>
      </c>
    </row>
    <row r="1687">
      <c r="B1687" s="4" t="s">
        <v>607</v>
      </c>
      <c r="C1687" s="6" t="s">
        <v>607</v>
      </c>
      <c r="D1687" s="4" t="s">
        <v>607</v>
      </c>
      <c r="E1687" s="56" t="s">
        <v>607</v>
      </c>
    </row>
    <row r="1688">
      <c r="B1688" s="4" t="s">
        <v>607</v>
      </c>
      <c r="C1688" s="6" t="s">
        <v>607</v>
      </c>
      <c r="D1688" s="4" t="s">
        <v>607</v>
      </c>
      <c r="E1688" s="56" t="s">
        <v>607</v>
      </c>
    </row>
    <row r="1689">
      <c r="B1689" s="4" t="s">
        <v>607</v>
      </c>
      <c r="C1689" s="6" t="s">
        <v>607</v>
      </c>
      <c r="D1689" s="4" t="s">
        <v>607</v>
      </c>
      <c r="E1689" s="56" t="s">
        <v>607</v>
      </c>
    </row>
    <row r="1690">
      <c r="B1690" s="4" t="s">
        <v>607</v>
      </c>
      <c r="C1690" s="6" t="s">
        <v>607</v>
      </c>
      <c r="D1690" s="4" t="s">
        <v>607</v>
      </c>
      <c r="E1690" s="56" t="s">
        <v>607</v>
      </c>
    </row>
    <row r="1691">
      <c r="B1691" s="4" t="s">
        <v>607</v>
      </c>
      <c r="C1691" s="6" t="s">
        <v>607</v>
      </c>
      <c r="D1691" s="4" t="s">
        <v>607</v>
      </c>
      <c r="E1691" s="56" t="s">
        <v>607</v>
      </c>
    </row>
    <row r="1692">
      <c r="B1692" s="4" t="s">
        <v>607</v>
      </c>
      <c r="C1692" s="6" t="s">
        <v>607</v>
      </c>
      <c r="D1692" s="4" t="s">
        <v>607</v>
      </c>
      <c r="E1692" s="56" t="s">
        <v>607</v>
      </c>
    </row>
    <row r="1693">
      <c r="B1693" s="4" t="s">
        <v>607</v>
      </c>
      <c r="C1693" s="6" t="s">
        <v>607</v>
      </c>
      <c r="D1693" s="4" t="s">
        <v>607</v>
      </c>
      <c r="E1693" s="56" t="s">
        <v>607</v>
      </c>
    </row>
    <row r="1694">
      <c r="B1694" s="4" t="s">
        <v>607</v>
      </c>
      <c r="C1694" s="6" t="s">
        <v>607</v>
      </c>
      <c r="D1694" s="4" t="s">
        <v>607</v>
      </c>
      <c r="E1694" s="56" t="s">
        <v>607</v>
      </c>
    </row>
    <row r="1695">
      <c r="B1695" s="4" t="s">
        <v>607</v>
      </c>
      <c r="C1695" s="6" t="s">
        <v>607</v>
      </c>
      <c r="D1695" s="4" t="s">
        <v>607</v>
      </c>
      <c r="E1695" s="56" t="s">
        <v>607</v>
      </c>
    </row>
    <row r="1696">
      <c r="B1696" s="4" t="s">
        <v>607</v>
      </c>
      <c r="C1696" s="6" t="s">
        <v>607</v>
      </c>
      <c r="D1696" s="4" t="s">
        <v>607</v>
      </c>
      <c r="E1696" s="56" t="s">
        <v>607</v>
      </c>
    </row>
    <row r="1697">
      <c r="B1697" s="4" t="s">
        <v>607</v>
      </c>
      <c r="C1697" s="6" t="s">
        <v>607</v>
      </c>
      <c r="D1697" s="4" t="s">
        <v>607</v>
      </c>
      <c r="E1697" s="56" t="s">
        <v>607</v>
      </c>
    </row>
    <row r="1698">
      <c r="B1698" s="4" t="s">
        <v>607</v>
      </c>
      <c r="C1698" s="6" t="s">
        <v>607</v>
      </c>
      <c r="D1698" s="4" t="s">
        <v>607</v>
      </c>
      <c r="E1698" s="56" t="s">
        <v>607</v>
      </c>
    </row>
    <row r="1699">
      <c r="B1699" s="4" t="s">
        <v>607</v>
      </c>
      <c r="C1699" s="6" t="s">
        <v>607</v>
      </c>
      <c r="D1699" s="4" t="s">
        <v>607</v>
      </c>
      <c r="E1699" s="56" t="s">
        <v>607</v>
      </c>
    </row>
    <row r="1700">
      <c r="B1700" s="4" t="s">
        <v>607</v>
      </c>
      <c r="C1700" s="6" t="s">
        <v>607</v>
      </c>
      <c r="D1700" s="4" t="s">
        <v>607</v>
      </c>
      <c r="E1700" s="56" t="s">
        <v>607</v>
      </c>
    </row>
    <row r="1701">
      <c r="B1701" s="4" t="s">
        <v>607</v>
      </c>
      <c r="C1701" s="6" t="s">
        <v>607</v>
      </c>
      <c r="D1701" s="4" t="s">
        <v>607</v>
      </c>
      <c r="E1701" s="56" t="s">
        <v>607</v>
      </c>
    </row>
    <row r="1702">
      <c r="B1702" s="4" t="s">
        <v>607</v>
      </c>
      <c r="C1702" s="6" t="s">
        <v>607</v>
      </c>
      <c r="D1702" s="4" t="s">
        <v>607</v>
      </c>
      <c r="E1702" s="56" t="s">
        <v>607</v>
      </c>
    </row>
    <row r="1703">
      <c r="B1703" s="4" t="s">
        <v>607</v>
      </c>
      <c r="C1703" s="6" t="s">
        <v>607</v>
      </c>
      <c r="D1703" s="4" t="s">
        <v>607</v>
      </c>
      <c r="E1703" s="56" t="s">
        <v>607</v>
      </c>
    </row>
    <row r="1704">
      <c r="B1704" s="4" t="s">
        <v>607</v>
      </c>
      <c r="C1704" s="6" t="s">
        <v>607</v>
      </c>
      <c r="D1704" s="4" t="s">
        <v>607</v>
      </c>
      <c r="E1704" s="56" t="s">
        <v>607</v>
      </c>
    </row>
    <row r="1705">
      <c r="B1705" s="4" t="s">
        <v>607</v>
      </c>
      <c r="C1705" s="6" t="s">
        <v>607</v>
      </c>
      <c r="D1705" s="4" t="s">
        <v>607</v>
      </c>
      <c r="E1705" s="56" t="s">
        <v>607</v>
      </c>
    </row>
    <row r="1706">
      <c r="B1706" s="4" t="s">
        <v>607</v>
      </c>
      <c r="C1706" s="6" t="s">
        <v>607</v>
      </c>
      <c r="D1706" s="4" t="s">
        <v>607</v>
      </c>
      <c r="E1706" s="56" t="s">
        <v>607</v>
      </c>
    </row>
    <row r="1707">
      <c r="B1707" s="4" t="s">
        <v>607</v>
      </c>
      <c r="C1707" s="6" t="s">
        <v>607</v>
      </c>
      <c r="D1707" s="4" t="s">
        <v>607</v>
      </c>
      <c r="E1707" s="56" t="s">
        <v>607</v>
      </c>
    </row>
    <row r="1708">
      <c r="B1708" s="4" t="s">
        <v>607</v>
      </c>
      <c r="C1708" s="6" t="s">
        <v>607</v>
      </c>
      <c r="D1708" s="4" t="s">
        <v>607</v>
      </c>
      <c r="E1708" s="56" t="s">
        <v>607</v>
      </c>
    </row>
    <row r="1709">
      <c r="B1709" s="4" t="s">
        <v>607</v>
      </c>
      <c r="C1709" s="6" t="s">
        <v>607</v>
      </c>
      <c r="D1709" s="4" t="s">
        <v>607</v>
      </c>
      <c r="E1709" s="56" t="s">
        <v>607</v>
      </c>
    </row>
    <row r="1710">
      <c r="B1710" s="4" t="s">
        <v>607</v>
      </c>
      <c r="C1710" s="6" t="s">
        <v>607</v>
      </c>
      <c r="D1710" s="4" t="s">
        <v>607</v>
      </c>
      <c r="E1710" s="56" t="s">
        <v>607</v>
      </c>
    </row>
    <row r="1711">
      <c r="B1711" s="4" t="s">
        <v>607</v>
      </c>
      <c r="C1711" s="6" t="s">
        <v>607</v>
      </c>
      <c r="D1711" s="4" t="s">
        <v>607</v>
      </c>
      <c r="E1711" s="56" t="s">
        <v>607</v>
      </c>
    </row>
    <row r="1712">
      <c r="B1712" s="4" t="s">
        <v>607</v>
      </c>
      <c r="C1712" s="6" t="s">
        <v>607</v>
      </c>
      <c r="D1712" s="4" t="s">
        <v>607</v>
      </c>
      <c r="E1712" s="56" t="s">
        <v>607</v>
      </c>
    </row>
    <row r="1713">
      <c r="B1713" s="4" t="s">
        <v>607</v>
      </c>
      <c r="C1713" s="6" t="s">
        <v>607</v>
      </c>
      <c r="D1713" s="4" t="s">
        <v>607</v>
      </c>
      <c r="E1713" s="56" t="s">
        <v>607</v>
      </c>
    </row>
    <row r="1714">
      <c r="B1714" s="4" t="s">
        <v>607</v>
      </c>
      <c r="C1714" s="6" t="s">
        <v>607</v>
      </c>
      <c r="D1714" s="4" t="s">
        <v>607</v>
      </c>
      <c r="E1714" s="56" t="s">
        <v>607</v>
      </c>
    </row>
    <row r="1715">
      <c r="B1715" s="4" t="s">
        <v>607</v>
      </c>
      <c r="C1715" s="6" t="s">
        <v>607</v>
      </c>
      <c r="D1715" s="4" t="s">
        <v>607</v>
      </c>
      <c r="E1715" s="56" t="s">
        <v>607</v>
      </c>
    </row>
    <row r="1716">
      <c r="B1716" s="4" t="s">
        <v>607</v>
      </c>
      <c r="C1716" s="6" t="s">
        <v>607</v>
      </c>
      <c r="D1716" s="4" t="s">
        <v>607</v>
      </c>
      <c r="E1716" s="56" t="s">
        <v>607</v>
      </c>
    </row>
    <row r="1717">
      <c r="B1717" s="4" t="s">
        <v>607</v>
      </c>
      <c r="C1717" s="6" t="s">
        <v>607</v>
      </c>
      <c r="D1717" s="4" t="s">
        <v>607</v>
      </c>
      <c r="E1717" s="56" t="s">
        <v>607</v>
      </c>
    </row>
    <row r="1718">
      <c r="B1718" s="4" t="s">
        <v>607</v>
      </c>
      <c r="C1718" s="6" t="s">
        <v>607</v>
      </c>
      <c r="D1718" s="4" t="s">
        <v>607</v>
      </c>
      <c r="E1718" s="56" t="s">
        <v>607</v>
      </c>
    </row>
    <row r="1719">
      <c r="B1719" s="4" t="s">
        <v>607</v>
      </c>
      <c r="C1719" s="6" t="s">
        <v>607</v>
      </c>
      <c r="D1719" s="4" t="s">
        <v>607</v>
      </c>
      <c r="E1719" s="56" t="s">
        <v>607</v>
      </c>
    </row>
    <row r="1720">
      <c r="B1720" s="4" t="s">
        <v>607</v>
      </c>
      <c r="C1720" s="6" t="s">
        <v>607</v>
      </c>
      <c r="D1720" s="4" t="s">
        <v>607</v>
      </c>
      <c r="E1720" s="56" t="s">
        <v>607</v>
      </c>
    </row>
    <row r="1721">
      <c r="B1721" s="4" t="s">
        <v>607</v>
      </c>
      <c r="C1721" s="6" t="s">
        <v>607</v>
      </c>
      <c r="D1721" s="4" t="s">
        <v>607</v>
      </c>
      <c r="E1721" s="56" t="s">
        <v>607</v>
      </c>
    </row>
    <row r="1722">
      <c r="B1722" s="4" t="s">
        <v>607</v>
      </c>
      <c r="C1722" s="6" t="s">
        <v>607</v>
      </c>
      <c r="D1722" s="4" t="s">
        <v>607</v>
      </c>
      <c r="E1722" s="56" t="s">
        <v>607</v>
      </c>
    </row>
    <row r="1723">
      <c r="B1723" s="4" t="s">
        <v>607</v>
      </c>
      <c r="C1723" s="6" t="s">
        <v>607</v>
      </c>
      <c r="D1723" s="4" t="s">
        <v>607</v>
      </c>
      <c r="E1723" s="56" t="s">
        <v>607</v>
      </c>
    </row>
    <row r="1724">
      <c r="B1724" s="4" t="s">
        <v>607</v>
      </c>
      <c r="C1724" s="6" t="s">
        <v>607</v>
      </c>
      <c r="D1724" s="4" t="s">
        <v>607</v>
      </c>
      <c r="E1724" s="56" t="s">
        <v>607</v>
      </c>
    </row>
    <row r="1725">
      <c r="B1725" s="4" t="s">
        <v>607</v>
      </c>
      <c r="C1725" s="6" t="s">
        <v>607</v>
      </c>
      <c r="D1725" s="4" t="s">
        <v>607</v>
      </c>
      <c r="E1725" s="56" t="s">
        <v>607</v>
      </c>
    </row>
    <row r="1726">
      <c r="B1726" s="4" t="s">
        <v>607</v>
      </c>
      <c r="C1726" s="6" t="s">
        <v>607</v>
      </c>
      <c r="D1726" s="4" t="s">
        <v>607</v>
      </c>
      <c r="E1726" s="56" t="s">
        <v>607</v>
      </c>
    </row>
    <row r="1727">
      <c r="B1727" s="4" t="s">
        <v>607</v>
      </c>
      <c r="C1727" s="6" t="s">
        <v>607</v>
      </c>
      <c r="D1727" s="4" t="s">
        <v>607</v>
      </c>
      <c r="E1727" s="56" t="s">
        <v>607</v>
      </c>
    </row>
    <row r="1728">
      <c r="B1728" s="4" t="s">
        <v>607</v>
      </c>
      <c r="C1728" s="6" t="s">
        <v>607</v>
      </c>
      <c r="D1728" s="4" t="s">
        <v>607</v>
      </c>
      <c r="E1728" s="56" t="s">
        <v>607</v>
      </c>
    </row>
    <row r="1729">
      <c r="B1729" s="4" t="s">
        <v>607</v>
      </c>
      <c r="C1729" s="6" t="s">
        <v>607</v>
      </c>
      <c r="D1729" s="4" t="s">
        <v>607</v>
      </c>
      <c r="E1729" s="56" t="s">
        <v>607</v>
      </c>
    </row>
    <row r="1730">
      <c r="B1730" s="4" t="s">
        <v>607</v>
      </c>
      <c r="C1730" s="6" t="s">
        <v>607</v>
      </c>
      <c r="D1730" s="4" t="s">
        <v>607</v>
      </c>
      <c r="E1730" s="56" t="s">
        <v>607</v>
      </c>
    </row>
    <row r="1731">
      <c r="B1731" s="4" t="s">
        <v>607</v>
      </c>
      <c r="C1731" s="6" t="s">
        <v>607</v>
      </c>
      <c r="D1731" s="4" t="s">
        <v>607</v>
      </c>
      <c r="E1731" s="56" t="s">
        <v>607</v>
      </c>
    </row>
    <row r="1732">
      <c r="B1732" s="4" t="s">
        <v>607</v>
      </c>
      <c r="C1732" s="6" t="s">
        <v>607</v>
      </c>
      <c r="D1732" s="4" t="s">
        <v>607</v>
      </c>
      <c r="E1732" s="56" t="s">
        <v>607</v>
      </c>
    </row>
    <row r="1733">
      <c r="B1733" s="4" t="s">
        <v>607</v>
      </c>
      <c r="C1733" s="6" t="s">
        <v>607</v>
      </c>
      <c r="D1733" s="4" t="s">
        <v>607</v>
      </c>
      <c r="E1733" s="56" t="s">
        <v>607</v>
      </c>
    </row>
    <row r="1734">
      <c r="B1734" s="4" t="s">
        <v>607</v>
      </c>
      <c r="C1734" s="6" t="s">
        <v>607</v>
      </c>
      <c r="D1734" s="4" t="s">
        <v>607</v>
      </c>
      <c r="E1734" s="56" t="s">
        <v>607</v>
      </c>
    </row>
    <row r="1735">
      <c r="B1735" s="4" t="s">
        <v>607</v>
      </c>
      <c r="C1735" s="6" t="s">
        <v>607</v>
      </c>
      <c r="D1735" s="4" t="s">
        <v>607</v>
      </c>
      <c r="E1735" s="56" t="s">
        <v>607</v>
      </c>
    </row>
    <row r="1736">
      <c r="B1736" s="4" t="s">
        <v>607</v>
      </c>
      <c r="C1736" s="6" t="s">
        <v>607</v>
      </c>
      <c r="D1736" s="4" t="s">
        <v>607</v>
      </c>
      <c r="E1736" s="56" t="s">
        <v>607</v>
      </c>
    </row>
    <row r="1737">
      <c r="B1737" s="4" t="s">
        <v>607</v>
      </c>
      <c r="C1737" s="6" t="s">
        <v>607</v>
      </c>
      <c r="D1737" s="4" t="s">
        <v>607</v>
      </c>
      <c r="E1737" s="56" t="s">
        <v>607</v>
      </c>
    </row>
    <row r="1738">
      <c r="B1738" s="4" t="s">
        <v>607</v>
      </c>
      <c r="C1738" s="6" t="s">
        <v>607</v>
      </c>
      <c r="D1738" s="4" t="s">
        <v>607</v>
      </c>
      <c r="E1738" s="56" t="s">
        <v>607</v>
      </c>
    </row>
    <row r="1739">
      <c r="B1739" s="4" t="s">
        <v>607</v>
      </c>
      <c r="C1739" s="6" t="s">
        <v>607</v>
      </c>
      <c r="D1739" s="4" t="s">
        <v>607</v>
      </c>
      <c r="E1739" s="56" t="s">
        <v>607</v>
      </c>
    </row>
    <row r="1740">
      <c r="B1740" s="4" t="s">
        <v>607</v>
      </c>
      <c r="C1740" s="6" t="s">
        <v>607</v>
      </c>
      <c r="D1740" s="4" t="s">
        <v>607</v>
      </c>
      <c r="E1740" s="56" t="s">
        <v>607</v>
      </c>
    </row>
    <row r="1741">
      <c r="B1741" s="4" t="s">
        <v>607</v>
      </c>
      <c r="C1741" s="6" t="s">
        <v>607</v>
      </c>
      <c r="D1741" s="4" t="s">
        <v>607</v>
      </c>
      <c r="E1741" s="56" t="s">
        <v>607</v>
      </c>
    </row>
    <row r="1742">
      <c r="B1742" s="4" t="s">
        <v>607</v>
      </c>
      <c r="C1742" s="6" t="s">
        <v>607</v>
      </c>
      <c r="D1742" s="4" t="s">
        <v>607</v>
      </c>
      <c r="E1742" s="56" t="s">
        <v>607</v>
      </c>
    </row>
    <row r="1743">
      <c r="B1743" s="4" t="s">
        <v>607</v>
      </c>
      <c r="C1743" s="6" t="s">
        <v>607</v>
      </c>
      <c r="D1743" s="4" t="s">
        <v>607</v>
      </c>
      <c r="E1743" s="56" t="s">
        <v>607</v>
      </c>
    </row>
    <row r="1744">
      <c r="B1744" s="4" t="s">
        <v>607</v>
      </c>
      <c r="C1744" s="6" t="s">
        <v>607</v>
      </c>
      <c r="D1744" s="4" t="s">
        <v>607</v>
      </c>
      <c r="E1744" s="56" t="s">
        <v>607</v>
      </c>
    </row>
    <row r="1745">
      <c r="B1745" s="4" t="s">
        <v>607</v>
      </c>
      <c r="C1745" s="6" t="s">
        <v>607</v>
      </c>
      <c r="D1745" s="4" t="s">
        <v>607</v>
      </c>
      <c r="E1745" s="56" t="s">
        <v>607</v>
      </c>
    </row>
    <row r="1746">
      <c r="B1746" s="4" t="s">
        <v>607</v>
      </c>
      <c r="C1746" s="6" t="s">
        <v>607</v>
      </c>
      <c r="D1746" s="4" t="s">
        <v>607</v>
      </c>
      <c r="E1746" s="56" t="s">
        <v>607</v>
      </c>
    </row>
    <row r="1747">
      <c r="B1747" s="4" t="s">
        <v>607</v>
      </c>
      <c r="C1747" s="6" t="s">
        <v>607</v>
      </c>
      <c r="D1747" s="4" t="s">
        <v>607</v>
      </c>
      <c r="E1747" s="56" t="s">
        <v>607</v>
      </c>
    </row>
    <row r="1748">
      <c r="B1748" s="4" t="s">
        <v>607</v>
      </c>
      <c r="C1748" s="6" t="s">
        <v>607</v>
      </c>
      <c r="D1748" s="4" t="s">
        <v>607</v>
      </c>
      <c r="E1748" s="56" t="s">
        <v>607</v>
      </c>
    </row>
    <row r="1749">
      <c r="B1749" s="4" t="s">
        <v>607</v>
      </c>
      <c r="C1749" s="6" t="s">
        <v>607</v>
      </c>
      <c r="D1749" s="4" t="s">
        <v>607</v>
      </c>
      <c r="E1749" s="56" t="s">
        <v>607</v>
      </c>
    </row>
    <row r="1750">
      <c r="B1750" s="4" t="s">
        <v>607</v>
      </c>
      <c r="C1750" s="6" t="s">
        <v>607</v>
      </c>
      <c r="D1750" s="4" t="s">
        <v>607</v>
      </c>
      <c r="E1750" s="56" t="s">
        <v>607</v>
      </c>
    </row>
    <row r="1751">
      <c r="B1751" s="4" t="s">
        <v>607</v>
      </c>
      <c r="C1751" s="6" t="s">
        <v>607</v>
      </c>
      <c r="D1751" s="4" t="s">
        <v>607</v>
      </c>
      <c r="E1751" s="56" t="s">
        <v>607</v>
      </c>
    </row>
    <row r="1752">
      <c r="B1752" s="4" t="s">
        <v>607</v>
      </c>
      <c r="C1752" s="6" t="s">
        <v>607</v>
      </c>
      <c r="D1752" s="4" t="s">
        <v>607</v>
      </c>
      <c r="E1752" s="56" t="s">
        <v>607</v>
      </c>
    </row>
    <row r="1753">
      <c r="B1753" s="4" t="s">
        <v>607</v>
      </c>
      <c r="C1753" s="6" t="s">
        <v>607</v>
      </c>
      <c r="D1753" s="4" t="s">
        <v>607</v>
      </c>
      <c r="E1753" s="56" t="s">
        <v>607</v>
      </c>
    </row>
    <row r="1754">
      <c r="B1754" s="4" t="s">
        <v>607</v>
      </c>
      <c r="C1754" s="6" t="s">
        <v>607</v>
      </c>
      <c r="D1754" s="4" t="s">
        <v>607</v>
      </c>
      <c r="E1754" s="56" t="s">
        <v>607</v>
      </c>
    </row>
    <row r="1755">
      <c r="B1755" s="4" t="s">
        <v>607</v>
      </c>
      <c r="C1755" s="6" t="s">
        <v>607</v>
      </c>
      <c r="D1755" s="4" t="s">
        <v>607</v>
      </c>
      <c r="E1755" s="56" t="s">
        <v>607</v>
      </c>
    </row>
    <row r="1756">
      <c r="B1756" s="4" t="s">
        <v>607</v>
      </c>
      <c r="C1756" s="6" t="s">
        <v>607</v>
      </c>
      <c r="D1756" s="4" t="s">
        <v>607</v>
      </c>
      <c r="E1756" s="56" t="s">
        <v>607</v>
      </c>
    </row>
    <row r="1757">
      <c r="B1757" s="4" t="s">
        <v>607</v>
      </c>
      <c r="C1757" s="6" t="s">
        <v>607</v>
      </c>
      <c r="D1757" s="4" t="s">
        <v>607</v>
      </c>
      <c r="E1757" s="56" t="s">
        <v>607</v>
      </c>
    </row>
    <row r="1758">
      <c r="B1758" s="4" t="s">
        <v>607</v>
      </c>
      <c r="C1758" s="6" t="s">
        <v>607</v>
      </c>
      <c r="D1758" s="4" t="s">
        <v>607</v>
      </c>
      <c r="E1758" s="56" t="s">
        <v>607</v>
      </c>
    </row>
    <row r="1759">
      <c r="B1759" s="4" t="s">
        <v>607</v>
      </c>
      <c r="C1759" s="6" t="s">
        <v>607</v>
      </c>
      <c r="D1759" s="4" t="s">
        <v>607</v>
      </c>
      <c r="E1759" s="56" t="s">
        <v>607</v>
      </c>
    </row>
    <row r="1760">
      <c r="B1760" s="4" t="s">
        <v>607</v>
      </c>
      <c r="C1760" s="6" t="s">
        <v>607</v>
      </c>
      <c r="D1760" s="4" t="s">
        <v>607</v>
      </c>
      <c r="E1760" s="56" t="s">
        <v>607</v>
      </c>
    </row>
    <row r="1761">
      <c r="B1761" s="4" t="s">
        <v>607</v>
      </c>
      <c r="C1761" s="6" t="s">
        <v>607</v>
      </c>
      <c r="D1761" s="4" t="s">
        <v>607</v>
      </c>
      <c r="E1761" s="56" t="s">
        <v>607</v>
      </c>
    </row>
    <row r="1762">
      <c r="B1762" s="4" t="s">
        <v>607</v>
      </c>
      <c r="C1762" s="6" t="s">
        <v>607</v>
      </c>
      <c r="D1762" s="4" t="s">
        <v>607</v>
      </c>
      <c r="E1762" s="56" t="s">
        <v>607</v>
      </c>
    </row>
    <row r="1763">
      <c r="B1763" s="4" t="s">
        <v>607</v>
      </c>
      <c r="C1763" s="6" t="s">
        <v>607</v>
      </c>
      <c r="D1763" s="4" t="s">
        <v>607</v>
      </c>
      <c r="E1763" s="56" t="s">
        <v>607</v>
      </c>
    </row>
    <row r="1764">
      <c r="B1764" s="4" t="s">
        <v>607</v>
      </c>
      <c r="C1764" s="6" t="s">
        <v>607</v>
      </c>
      <c r="D1764" s="4" t="s">
        <v>607</v>
      </c>
      <c r="E1764" s="56" t="s">
        <v>607</v>
      </c>
    </row>
    <row r="1765">
      <c r="B1765" s="4" t="s">
        <v>607</v>
      </c>
      <c r="C1765" s="6" t="s">
        <v>607</v>
      </c>
      <c r="D1765" s="4" t="s">
        <v>607</v>
      </c>
      <c r="E1765" s="56" t="s">
        <v>607</v>
      </c>
    </row>
    <row r="1766">
      <c r="B1766" s="4" t="s">
        <v>607</v>
      </c>
      <c r="C1766" s="6" t="s">
        <v>607</v>
      </c>
      <c r="D1766" s="4" t="s">
        <v>607</v>
      </c>
      <c r="E1766" s="56" t="s">
        <v>607</v>
      </c>
    </row>
    <row r="1767">
      <c r="B1767" s="4" t="s">
        <v>607</v>
      </c>
      <c r="C1767" s="6" t="s">
        <v>607</v>
      </c>
      <c r="D1767" s="4" t="s">
        <v>607</v>
      </c>
      <c r="E1767" s="56" t="s">
        <v>607</v>
      </c>
    </row>
    <row r="1768">
      <c r="B1768" s="4" t="s">
        <v>607</v>
      </c>
      <c r="C1768" s="6" t="s">
        <v>607</v>
      </c>
      <c r="D1768" s="4" t="s">
        <v>607</v>
      </c>
      <c r="E1768" s="56" t="s">
        <v>607</v>
      </c>
    </row>
    <row r="1769">
      <c r="B1769" s="4" t="s">
        <v>607</v>
      </c>
      <c r="C1769" s="6" t="s">
        <v>607</v>
      </c>
      <c r="D1769" s="4" t="s">
        <v>607</v>
      </c>
      <c r="E1769" s="56" t="s">
        <v>607</v>
      </c>
    </row>
    <row r="1770">
      <c r="B1770" s="4" t="s">
        <v>607</v>
      </c>
      <c r="C1770" s="6" t="s">
        <v>607</v>
      </c>
      <c r="D1770" s="4" t="s">
        <v>607</v>
      </c>
      <c r="E1770" s="56" t="s">
        <v>607</v>
      </c>
    </row>
    <row r="1771">
      <c r="B1771" s="4" t="s">
        <v>607</v>
      </c>
      <c r="C1771" s="6" t="s">
        <v>607</v>
      </c>
      <c r="D1771" s="4" t="s">
        <v>607</v>
      </c>
      <c r="E1771" s="56" t="s">
        <v>607</v>
      </c>
    </row>
    <row r="1772">
      <c r="B1772" s="4" t="s">
        <v>607</v>
      </c>
      <c r="C1772" s="6" t="s">
        <v>607</v>
      </c>
      <c r="D1772" s="4" t="s">
        <v>607</v>
      </c>
      <c r="E1772" s="56" t="s">
        <v>607</v>
      </c>
    </row>
    <row r="1773">
      <c r="B1773" s="4" t="s">
        <v>607</v>
      </c>
      <c r="C1773" s="6" t="s">
        <v>607</v>
      </c>
      <c r="D1773" s="4" t="s">
        <v>607</v>
      </c>
      <c r="E1773" s="56" t="s">
        <v>607</v>
      </c>
    </row>
    <row r="1774">
      <c r="B1774" s="4" t="s">
        <v>607</v>
      </c>
      <c r="C1774" s="6" t="s">
        <v>607</v>
      </c>
      <c r="D1774" s="4" t="s">
        <v>607</v>
      </c>
      <c r="E1774" s="56" t="s">
        <v>607</v>
      </c>
    </row>
    <row r="1775">
      <c r="B1775" s="4" t="s">
        <v>607</v>
      </c>
      <c r="C1775" s="6" t="s">
        <v>607</v>
      </c>
      <c r="D1775" s="4" t="s">
        <v>607</v>
      </c>
      <c r="E1775" s="56" t="s">
        <v>607</v>
      </c>
    </row>
    <row r="1776">
      <c r="B1776" s="4" t="s">
        <v>607</v>
      </c>
      <c r="C1776" s="6" t="s">
        <v>607</v>
      </c>
      <c r="D1776" s="4" t="s">
        <v>607</v>
      </c>
      <c r="E1776" s="56" t="s">
        <v>607</v>
      </c>
    </row>
    <row r="1777">
      <c r="B1777" s="4" t="s">
        <v>607</v>
      </c>
      <c r="C1777" s="6" t="s">
        <v>607</v>
      </c>
      <c r="D1777" s="4" t="s">
        <v>607</v>
      </c>
      <c r="E1777" s="56" t="s">
        <v>607</v>
      </c>
    </row>
    <row r="1778">
      <c r="B1778" s="4" t="s">
        <v>607</v>
      </c>
      <c r="C1778" s="6" t="s">
        <v>607</v>
      </c>
      <c r="D1778" s="4" t="s">
        <v>607</v>
      </c>
      <c r="E1778" s="56" t="s">
        <v>607</v>
      </c>
    </row>
    <row r="1779">
      <c r="B1779" s="4" t="s">
        <v>607</v>
      </c>
      <c r="C1779" s="6" t="s">
        <v>607</v>
      </c>
      <c r="D1779" s="4" t="s">
        <v>607</v>
      </c>
      <c r="E1779" s="56" t="s">
        <v>607</v>
      </c>
    </row>
    <row r="1780">
      <c r="B1780" s="4" t="s">
        <v>607</v>
      </c>
      <c r="C1780" s="6" t="s">
        <v>607</v>
      </c>
      <c r="D1780" s="4" t="s">
        <v>607</v>
      </c>
      <c r="E1780" s="56" t="s">
        <v>607</v>
      </c>
    </row>
    <row r="1781">
      <c r="B1781" s="4" t="s">
        <v>607</v>
      </c>
      <c r="C1781" s="6" t="s">
        <v>607</v>
      </c>
      <c r="D1781" s="4" t="s">
        <v>607</v>
      </c>
      <c r="E1781" s="56" t="s">
        <v>607</v>
      </c>
    </row>
    <row r="1782">
      <c r="B1782" s="4" t="s">
        <v>607</v>
      </c>
      <c r="C1782" s="6" t="s">
        <v>607</v>
      </c>
      <c r="D1782" s="4" t="s">
        <v>607</v>
      </c>
      <c r="E1782" s="56" t="s">
        <v>607</v>
      </c>
    </row>
    <row r="1783">
      <c r="B1783" s="4" t="s">
        <v>607</v>
      </c>
      <c r="C1783" s="6" t="s">
        <v>607</v>
      </c>
      <c r="D1783" s="4" t="s">
        <v>607</v>
      </c>
      <c r="E1783" s="56" t="s">
        <v>607</v>
      </c>
    </row>
    <row r="1784">
      <c r="B1784" s="4" t="s">
        <v>607</v>
      </c>
      <c r="C1784" s="6" t="s">
        <v>607</v>
      </c>
      <c r="D1784" s="4" t="s">
        <v>607</v>
      </c>
      <c r="E1784" s="56" t="s">
        <v>607</v>
      </c>
    </row>
    <row r="1785">
      <c r="B1785" s="4" t="s">
        <v>607</v>
      </c>
      <c r="C1785" s="6" t="s">
        <v>607</v>
      </c>
      <c r="D1785" s="4" t="s">
        <v>607</v>
      </c>
      <c r="E1785" s="56" t="s">
        <v>607</v>
      </c>
    </row>
    <row r="1786">
      <c r="B1786" s="4" t="s">
        <v>607</v>
      </c>
      <c r="C1786" s="6" t="s">
        <v>607</v>
      </c>
      <c r="D1786" s="4" t="s">
        <v>607</v>
      </c>
      <c r="E1786" s="56" t="s">
        <v>607</v>
      </c>
    </row>
    <row r="1787">
      <c r="B1787" s="4" t="s">
        <v>607</v>
      </c>
      <c r="C1787" s="6" t="s">
        <v>607</v>
      </c>
      <c r="D1787" s="4" t="s">
        <v>607</v>
      </c>
      <c r="E1787" s="56" t="s">
        <v>607</v>
      </c>
    </row>
    <row r="1788">
      <c r="B1788" s="4" t="s">
        <v>607</v>
      </c>
      <c r="C1788" s="6" t="s">
        <v>607</v>
      </c>
      <c r="D1788" s="4" t="s">
        <v>607</v>
      </c>
      <c r="E1788" s="56" t="s">
        <v>607</v>
      </c>
    </row>
    <row r="1789">
      <c r="B1789" s="4" t="s">
        <v>607</v>
      </c>
      <c r="C1789" s="6" t="s">
        <v>607</v>
      </c>
      <c r="D1789" s="4" t="s">
        <v>607</v>
      </c>
      <c r="E1789" s="56" t="s">
        <v>607</v>
      </c>
    </row>
    <row r="1790">
      <c r="B1790" s="4" t="s">
        <v>607</v>
      </c>
      <c r="C1790" s="6" t="s">
        <v>607</v>
      </c>
      <c r="D1790" s="4" t="s">
        <v>607</v>
      </c>
      <c r="E1790" s="56" t="s">
        <v>607</v>
      </c>
    </row>
    <row r="1791">
      <c r="B1791" s="4" t="s">
        <v>607</v>
      </c>
      <c r="C1791" s="6" t="s">
        <v>607</v>
      </c>
      <c r="D1791" s="4" t="s">
        <v>607</v>
      </c>
      <c r="E1791" s="56" t="s">
        <v>607</v>
      </c>
    </row>
    <row r="1792">
      <c r="B1792" s="4" t="s">
        <v>607</v>
      </c>
      <c r="C1792" s="6" t="s">
        <v>607</v>
      </c>
      <c r="D1792" s="4" t="s">
        <v>607</v>
      </c>
      <c r="E1792" s="56" t="s">
        <v>607</v>
      </c>
    </row>
    <row r="1793">
      <c r="B1793" s="4" t="s">
        <v>607</v>
      </c>
      <c r="C1793" s="6" t="s">
        <v>607</v>
      </c>
      <c r="D1793" s="4" t="s">
        <v>607</v>
      </c>
      <c r="E1793" s="56" t="s">
        <v>607</v>
      </c>
    </row>
    <row r="1794">
      <c r="B1794" s="4" t="s">
        <v>607</v>
      </c>
      <c r="C1794" s="6" t="s">
        <v>607</v>
      </c>
      <c r="D1794" s="4" t="s">
        <v>607</v>
      </c>
      <c r="E1794" s="56" t="s">
        <v>607</v>
      </c>
    </row>
    <row r="1795">
      <c r="B1795" s="4" t="s">
        <v>607</v>
      </c>
      <c r="C1795" s="6" t="s">
        <v>607</v>
      </c>
      <c r="D1795" s="4" t="s">
        <v>607</v>
      </c>
      <c r="E1795" s="56" t="s">
        <v>607</v>
      </c>
    </row>
    <row r="1796">
      <c r="B1796" s="4" t="s">
        <v>607</v>
      </c>
      <c r="C1796" s="6" t="s">
        <v>607</v>
      </c>
      <c r="D1796" s="4" t="s">
        <v>607</v>
      </c>
      <c r="E1796" s="56" t="s">
        <v>607</v>
      </c>
    </row>
    <row r="1797">
      <c r="B1797" s="4" t="s">
        <v>607</v>
      </c>
      <c r="C1797" s="6" t="s">
        <v>607</v>
      </c>
      <c r="D1797" s="4" t="s">
        <v>607</v>
      </c>
      <c r="E1797" s="56" t="s">
        <v>607</v>
      </c>
    </row>
    <row r="1798">
      <c r="B1798" s="4" t="s">
        <v>607</v>
      </c>
      <c r="C1798" s="6" t="s">
        <v>607</v>
      </c>
      <c r="D1798" s="4" t="s">
        <v>607</v>
      </c>
      <c r="E1798" s="56" t="s">
        <v>607</v>
      </c>
    </row>
    <row r="1799">
      <c r="B1799" s="4" t="s">
        <v>607</v>
      </c>
      <c r="C1799" s="6" t="s">
        <v>607</v>
      </c>
      <c r="D1799" s="4" t="s">
        <v>607</v>
      </c>
      <c r="E1799" s="56" t="s">
        <v>607</v>
      </c>
    </row>
    <row r="1800">
      <c r="B1800" s="4" t="s">
        <v>607</v>
      </c>
      <c r="C1800" s="6" t="s">
        <v>607</v>
      </c>
      <c r="D1800" s="4" t="s">
        <v>607</v>
      </c>
      <c r="E1800" s="56" t="s">
        <v>607</v>
      </c>
    </row>
    <row r="1801">
      <c r="B1801" s="4" t="s">
        <v>607</v>
      </c>
      <c r="C1801" s="6" t="s">
        <v>607</v>
      </c>
      <c r="D1801" s="4" t="s">
        <v>607</v>
      </c>
      <c r="E1801" s="56" t="s">
        <v>607</v>
      </c>
    </row>
    <row r="1802">
      <c r="B1802" s="4" t="s">
        <v>607</v>
      </c>
      <c r="C1802" s="6" t="s">
        <v>607</v>
      </c>
      <c r="D1802" s="4" t="s">
        <v>607</v>
      </c>
      <c r="E1802" s="56" t="s">
        <v>607</v>
      </c>
    </row>
    <row r="1803">
      <c r="B1803" s="4" t="s">
        <v>607</v>
      </c>
      <c r="C1803" s="6" t="s">
        <v>607</v>
      </c>
      <c r="D1803" s="4" t="s">
        <v>607</v>
      </c>
      <c r="E1803" s="56" t="s">
        <v>607</v>
      </c>
    </row>
    <row r="1804">
      <c r="B1804" s="4" t="s">
        <v>607</v>
      </c>
      <c r="C1804" s="6" t="s">
        <v>607</v>
      </c>
      <c r="D1804" s="4" t="s">
        <v>607</v>
      </c>
      <c r="E1804" s="56" t="s">
        <v>607</v>
      </c>
    </row>
    <row r="1805">
      <c r="B1805" s="4" t="s">
        <v>607</v>
      </c>
      <c r="C1805" s="6" t="s">
        <v>607</v>
      </c>
      <c r="D1805" s="4" t="s">
        <v>607</v>
      </c>
      <c r="E1805" s="56" t="s">
        <v>607</v>
      </c>
    </row>
    <row r="1806">
      <c r="B1806" s="4" t="s">
        <v>607</v>
      </c>
      <c r="C1806" s="6" t="s">
        <v>607</v>
      </c>
      <c r="D1806" s="4" t="s">
        <v>607</v>
      </c>
      <c r="E1806" s="56" t="s">
        <v>607</v>
      </c>
    </row>
    <row r="1807">
      <c r="B1807" s="4" t="s">
        <v>607</v>
      </c>
      <c r="C1807" s="6" t="s">
        <v>607</v>
      </c>
      <c r="D1807" s="4" t="s">
        <v>607</v>
      </c>
      <c r="E1807" s="56" t="s">
        <v>607</v>
      </c>
    </row>
    <row r="1808">
      <c r="B1808" s="4" t="s">
        <v>607</v>
      </c>
      <c r="C1808" s="6" t="s">
        <v>607</v>
      </c>
      <c r="D1808" s="4" t="s">
        <v>607</v>
      </c>
      <c r="E1808" s="56" t="s">
        <v>607</v>
      </c>
    </row>
    <row r="1809">
      <c r="B1809" s="4" t="s">
        <v>607</v>
      </c>
      <c r="C1809" s="6" t="s">
        <v>607</v>
      </c>
      <c r="D1809" s="4" t="s">
        <v>607</v>
      </c>
      <c r="E1809" s="56" t="s">
        <v>607</v>
      </c>
    </row>
    <row r="1810">
      <c r="B1810" s="4" t="s">
        <v>607</v>
      </c>
      <c r="C1810" s="6" t="s">
        <v>607</v>
      </c>
      <c r="D1810" s="4" t="s">
        <v>607</v>
      </c>
      <c r="E1810" s="56" t="s">
        <v>607</v>
      </c>
    </row>
    <row r="1811">
      <c r="B1811" s="4" t="s">
        <v>607</v>
      </c>
      <c r="C1811" s="6" t="s">
        <v>607</v>
      </c>
      <c r="D1811" s="4" t="s">
        <v>607</v>
      </c>
      <c r="E1811" s="56" t="s">
        <v>607</v>
      </c>
    </row>
    <row r="1812">
      <c r="B1812" s="4" t="s">
        <v>607</v>
      </c>
      <c r="C1812" s="6" t="s">
        <v>607</v>
      </c>
      <c r="D1812" s="4" t="s">
        <v>607</v>
      </c>
      <c r="E1812" s="56" t="s">
        <v>607</v>
      </c>
    </row>
    <row r="1813">
      <c r="B1813" s="4" t="s">
        <v>607</v>
      </c>
      <c r="C1813" s="6" t="s">
        <v>607</v>
      </c>
      <c r="D1813" s="4" t="s">
        <v>607</v>
      </c>
      <c r="E1813" s="56" t="s">
        <v>607</v>
      </c>
    </row>
    <row r="1814">
      <c r="B1814" s="4" t="s">
        <v>607</v>
      </c>
      <c r="C1814" s="6" t="s">
        <v>607</v>
      </c>
      <c r="D1814" s="4" t="s">
        <v>607</v>
      </c>
      <c r="E1814" s="56" t="s">
        <v>607</v>
      </c>
    </row>
    <row r="1815">
      <c r="B1815" s="4" t="s">
        <v>607</v>
      </c>
      <c r="C1815" s="6" t="s">
        <v>607</v>
      </c>
      <c r="D1815" s="4" t="s">
        <v>607</v>
      </c>
      <c r="E1815" s="56" t="s">
        <v>607</v>
      </c>
    </row>
    <row r="1816">
      <c r="B1816" s="4" t="s">
        <v>607</v>
      </c>
      <c r="C1816" s="6" t="s">
        <v>607</v>
      </c>
      <c r="D1816" s="4" t="s">
        <v>607</v>
      </c>
      <c r="E1816" s="56" t="s">
        <v>607</v>
      </c>
    </row>
    <row r="1817">
      <c r="B1817" s="4" t="s">
        <v>607</v>
      </c>
      <c r="C1817" s="6" t="s">
        <v>607</v>
      </c>
      <c r="D1817" s="4" t="s">
        <v>607</v>
      </c>
      <c r="E1817" s="56" t="s">
        <v>607</v>
      </c>
    </row>
    <row r="1818">
      <c r="B1818" s="4" t="s">
        <v>607</v>
      </c>
      <c r="C1818" s="6" t="s">
        <v>607</v>
      </c>
      <c r="D1818" s="4" t="s">
        <v>607</v>
      </c>
      <c r="E1818" s="56" t="s">
        <v>607</v>
      </c>
    </row>
    <row r="1819">
      <c r="B1819" s="4" t="s">
        <v>607</v>
      </c>
      <c r="C1819" s="6" t="s">
        <v>607</v>
      </c>
      <c r="D1819" s="4" t="s">
        <v>607</v>
      </c>
      <c r="E1819" s="56" t="s">
        <v>607</v>
      </c>
    </row>
    <row r="1820">
      <c r="B1820" s="4" t="s">
        <v>607</v>
      </c>
      <c r="C1820" s="6" t="s">
        <v>607</v>
      </c>
      <c r="D1820" s="4" t="s">
        <v>607</v>
      </c>
      <c r="E1820" s="56" t="s">
        <v>607</v>
      </c>
    </row>
    <row r="1821">
      <c r="B1821" s="4" t="s">
        <v>607</v>
      </c>
      <c r="C1821" s="6" t="s">
        <v>607</v>
      </c>
      <c r="D1821" s="4" t="s">
        <v>607</v>
      </c>
      <c r="E1821" s="56" t="s">
        <v>607</v>
      </c>
    </row>
    <row r="1822">
      <c r="B1822" s="4" t="s">
        <v>607</v>
      </c>
      <c r="C1822" s="6" t="s">
        <v>607</v>
      </c>
      <c r="D1822" s="4" t="s">
        <v>607</v>
      </c>
      <c r="E1822" s="56" t="s">
        <v>607</v>
      </c>
    </row>
    <row r="1823">
      <c r="B1823" s="4" t="s">
        <v>607</v>
      </c>
      <c r="C1823" s="6" t="s">
        <v>607</v>
      </c>
      <c r="D1823" s="4" t="s">
        <v>607</v>
      </c>
      <c r="E1823" s="56" t="s">
        <v>607</v>
      </c>
    </row>
    <row r="1824">
      <c r="B1824" s="4" t="s">
        <v>607</v>
      </c>
      <c r="C1824" s="6" t="s">
        <v>607</v>
      </c>
      <c r="D1824" s="4" t="s">
        <v>607</v>
      </c>
      <c r="E1824" s="56" t="s">
        <v>607</v>
      </c>
    </row>
    <row r="1825">
      <c r="B1825" s="4" t="s">
        <v>607</v>
      </c>
      <c r="C1825" s="6" t="s">
        <v>607</v>
      </c>
      <c r="D1825" s="4" t="s">
        <v>607</v>
      </c>
      <c r="E1825" s="56" t="s">
        <v>607</v>
      </c>
    </row>
    <row r="1826">
      <c r="B1826" s="4" t="s">
        <v>607</v>
      </c>
      <c r="C1826" s="6" t="s">
        <v>607</v>
      </c>
      <c r="D1826" s="4" t="s">
        <v>607</v>
      </c>
      <c r="E1826" s="56" t="s">
        <v>607</v>
      </c>
    </row>
    <row r="1827">
      <c r="B1827" s="4" t="s">
        <v>607</v>
      </c>
      <c r="C1827" s="6" t="s">
        <v>607</v>
      </c>
      <c r="D1827" s="4" t="s">
        <v>607</v>
      </c>
      <c r="E1827" s="56" t="s">
        <v>607</v>
      </c>
    </row>
    <row r="1828">
      <c r="B1828" s="4" t="s">
        <v>607</v>
      </c>
      <c r="C1828" s="6" t="s">
        <v>607</v>
      </c>
      <c r="D1828" s="4" t="s">
        <v>607</v>
      </c>
      <c r="E1828" s="56" t="s">
        <v>607</v>
      </c>
    </row>
    <row r="1829">
      <c r="B1829" s="4" t="s">
        <v>607</v>
      </c>
      <c r="C1829" s="6" t="s">
        <v>607</v>
      </c>
      <c r="D1829" s="4" t="s">
        <v>607</v>
      </c>
      <c r="E1829" s="56" t="s">
        <v>607</v>
      </c>
    </row>
    <row r="1830">
      <c r="B1830" s="4" t="s">
        <v>607</v>
      </c>
      <c r="C1830" s="6" t="s">
        <v>607</v>
      </c>
      <c r="D1830" s="4" t="s">
        <v>607</v>
      </c>
      <c r="E1830" s="56" t="s">
        <v>607</v>
      </c>
    </row>
    <row r="1831">
      <c r="B1831" s="4" t="s">
        <v>607</v>
      </c>
      <c r="C1831" s="6" t="s">
        <v>607</v>
      </c>
      <c r="D1831" s="4" t="s">
        <v>607</v>
      </c>
      <c r="E1831" s="56" t="s">
        <v>607</v>
      </c>
    </row>
    <row r="1832">
      <c r="B1832" s="4" t="s">
        <v>607</v>
      </c>
      <c r="C1832" s="6" t="s">
        <v>607</v>
      </c>
      <c r="D1832" s="4" t="s">
        <v>607</v>
      </c>
      <c r="E1832" s="56" t="s">
        <v>607</v>
      </c>
    </row>
    <row r="1833">
      <c r="B1833" s="4" t="s">
        <v>607</v>
      </c>
      <c r="C1833" s="6" t="s">
        <v>607</v>
      </c>
      <c r="D1833" s="4" t="s">
        <v>607</v>
      </c>
      <c r="E1833" s="56" t="s">
        <v>607</v>
      </c>
    </row>
    <row r="1834">
      <c r="B1834" s="4" t="s">
        <v>607</v>
      </c>
      <c r="C1834" s="6" t="s">
        <v>607</v>
      </c>
      <c r="D1834" s="4" t="s">
        <v>607</v>
      </c>
      <c r="E1834" s="56" t="s">
        <v>607</v>
      </c>
    </row>
    <row r="1835">
      <c r="B1835" s="4" t="s">
        <v>607</v>
      </c>
      <c r="C1835" s="6" t="s">
        <v>607</v>
      </c>
      <c r="D1835" s="4" t="s">
        <v>607</v>
      </c>
      <c r="E1835" s="56" t="s">
        <v>607</v>
      </c>
    </row>
    <row r="1836">
      <c r="B1836" s="4" t="s">
        <v>607</v>
      </c>
      <c r="C1836" s="6" t="s">
        <v>607</v>
      </c>
      <c r="D1836" s="4" t="s">
        <v>607</v>
      </c>
      <c r="E1836" s="56" t="s">
        <v>607</v>
      </c>
    </row>
    <row r="1837">
      <c r="B1837" s="4" t="s">
        <v>607</v>
      </c>
      <c r="C1837" s="6" t="s">
        <v>607</v>
      </c>
      <c r="D1837" s="4" t="s">
        <v>607</v>
      </c>
      <c r="E1837" s="56" t="s">
        <v>607</v>
      </c>
    </row>
    <row r="1838">
      <c r="B1838" s="4" t="s">
        <v>607</v>
      </c>
      <c r="C1838" s="6" t="s">
        <v>607</v>
      </c>
      <c r="D1838" s="4" t="s">
        <v>607</v>
      </c>
      <c r="E1838" s="56" t="s">
        <v>607</v>
      </c>
    </row>
    <row r="1839">
      <c r="B1839" s="4" t="s">
        <v>607</v>
      </c>
      <c r="C1839" s="6" t="s">
        <v>607</v>
      </c>
      <c r="D1839" s="4" t="s">
        <v>607</v>
      </c>
      <c r="E1839" s="56" t="s">
        <v>607</v>
      </c>
    </row>
    <row r="1840">
      <c r="B1840" s="4" t="s">
        <v>607</v>
      </c>
      <c r="C1840" s="6" t="s">
        <v>607</v>
      </c>
      <c r="D1840" s="4" t="s">
        <v>607</v>
      </c>
      <c r="E1840" s="56" t="s">
        <v>607</v>
      </c>
    </row>
    <row r="1841">
      <c r="B1841" s="4" t="s">
        <v>607</v>
      </c>
      <c r="C1841" s="6" t="s">
        <v>607</v>
      </c>
      <c r="D1841" s="4" t="s">
        <v>607</v>
      </c>
      <c r="E1841" s="56" t="s">
        <v>607</v>
      </c>
    </row>
    <row r="1842">
      <c r="B1842" s="4" t="s">
        <v>607</v>
      </c>
      <c r="C1842" s="6" t="s">
        <v>607</v>
      </c>
      <c r="D1842" s="4" t="s">
        <v>607</v>
      </c>
      <c r="E1842" s="56" t="s">
        <v>607</v>
      </c>
    </row>
    <row r="1843">
      <c r="B1843" s="4" t="s">
        <v>607</v>
      </c>
      <c r="C1843" s="6" t="s">
        <v>607</v>
      </c>
      <c r="D1843" s="4" t="s">
        <v>607</v>
      </c>
      <c r="E1843" s="56" t="s">
        <v>607</v>
      </c>
    </row>
    <row r="1844">
      <c r="B1844" s="4" t="s">
        <v>607</v>
      </c>
      <c r="C1844" s="6" t="s">
        <v>607</v>
      </c>
      <c r="D1844" s="4" t="s">
        <v>607</v>
      </c>
      <c r="E1844" s="56" t="s">
        <v>607</v>
      </c>
    </row>
    <row r="1845">
      <c r="B1845" s="4" t="s">
        <v>607</v>
      </c>
      <c r="C1845" s="6" t="s">
        <v>607</v>
      </c>
      <c r="D1845" s="4" t="s">
        <v>607</v>
      </c>
      <c r="E1845" s="56" t="s">
        <v>607</v>
      </c>
    </row>
    <row r="1846">
      <c r="B1846" s="4" t="s">
        <v>607</v>
      </c>
      <c r="C1846" s="6" t="s">
        <v>607</v>
      </c>
      <c r="D1846" s="4" t="s">
        <v>607</v>
      </c>
      <c r="E1846" s="56" t="s">
        <v>607</v>
      </c>
    </row>
    <row r="1847">
      <c r="B1847" s="4" t="s">
        <v>607</v>
      </c>
      <c r="C1847" s="6" t="s">
        <v>607</v>
      </c>
      <c r="D1847" s="4" t="s">
        <v>607</v>
      </c>
      <c r="E1847" s="56" t="s">
        <v>607</v>
      </c>
    </row>
    <row r="1848">
      <c r="B1848" s="4" t="s">
        <v>607</v>
      </c>
      <c r="C1848" s="6" t="s">
        <v>607</v>
      </c>
      <c r="D1848" s="4" t="s">
        <v>607</v>
      </c>
      <c r="E1848" s="56" t="s">
        <v>607</v>
      </c>
    </row>
    <row r="1849">
      <c r="B1849" s="4" t="s">
        <v>607</v>
      </c>
      <c r="C1849" s="6" t="s">
        <v>607</v>
      </c>
      <c r="D1849" s="4" t="s">
        <v>607</v>
      </c>
      <c r="E1849" s="56" t="s">
        <v>607</v>
      </c>
    </row>
    <row r="1850">
      <c r="B1850" s="4" t="s">
        <v>607</v>
      </c>
      <c r="C1850" s="6" t="s">
        <v>607</v>
      </c>
      <c r="D1850" s="4" t="s">
        <v>607</v>
      </c>
      <c r="E1850" s="56" t="s">
        <v>607</v>
      </c>
    </row>
    <row r="1851">
      <c r="B1851" s="4" t="s">
        <v>607</v>
      </c>
      <c r="C1851" s="6" t="s">
        <v>607</v>
      </c>
      <c r="D1851" s="4" t="s">
        <v>607</v>
      </c>
      <c r="E1851" s="56" t="s">
        <v>607</v>
      </c>
    </row>
    <row r="1852">
      <c r="B1852" s="4" t="s">
        <v>607</v>
      </c>
      <c r="C1852" s="6" t="s">
        <v>607</v>
      </c>
      <c r="D1852" s="4" t="s">
        <v>607</v>
      </c>
      <c r="E1852" s="56" t="s">
        <v>607</v>
      </c>
    </row>
    <row r="1853">
      <c r="B1853" s="4" t="s">
        <v>607</v>
      </c>
      <c r="C1853" s="6" t="s">
        <v>607</v>
      </c>
      <c r="D1853" s="4" t="s">
        <v>607</v>
      </c>
      <c r="E1853" s="56" t="s">
        <v>607</v>
      </c>
    </row>
    <row r="1854">
      <c r="B1854" s="4" t="s">
        <v>607</v>
      </c>
      <c r="C1854" s="6" t="s">
        <v>607</v>
      </c>
      <c r="D1854" s="4" t="s">
        <v>607</v>
      </c>
      <c r="E1854" s="56" t="s">
        <v>607</v>
      </c>
    </row>
    <row r="1855">
      <c r="B1855" s="4" t="s">
        <v>607</v>
      </c>
      <c r="C1855" s="6" t="s">
        <v>607</v>
      </c>
      <c r="D1855" s="4" t="s">
        <v>607</v>
      </c>
      <c r="E1855" s="56" t="s">
        <v>607</v>
      </c>
    </row>
    <row r="1856">
      <c r="B1856" s="4" t="s">
        <v>607</v>
      </c>
      <c r="C1856" s="6" t="s">
        <v>607</v>
      </c>
      <c r="D1856" s="4" t="s">
        <v>607</v>
      </c>
      <c r="E1856" s="56" t="s">
        <v>607</v>
      </c>
    </row>
    <row r="1857">
      <c r="B1857" s="4" t="s">
        <v>607</v>
      </c>
      <c r="C1857" s="6" t="s">
        <v>607</v>
      </c>
      <c r="D1857" s="4" t="s">
        <v>607</v>
      </c>
      <c r="E1857" s="56" t="s">
        <v>607</v>
      </c>
    </row>
    <row r="1858">
      <c r="B1858" s="4" t="s">
        <v>607</v>
      </c>
      <c r="C1858" s="6" t="s">
        <v>607</v>
      </c>
      <c r="D1858" s="4" t="s">
        <v>607</v>
      </c>
      <c r="E1858" s="56" t="s">
        <v>607</v>
      </c>
    </row>
    <row r="1859">
      <c r="B1859" s="4" t="s">
        <v>607</v>
      </c>
      <c r="C1859" s="6" t="s">
        <v>607</v>
      </c>
      <c r="D1859" s="4" t="s">
        <v>607</v>
      </c>
      <c r="E1859" s="56" t="s">
        <v>607</v>
      </c>
    </row>
    <row r="1860">
      <c r="B1860" s="4" t="s">
        <v>607</v>
      </c>
      <c r="C1860" s="6" t="s">
        <v>607</v>
      </c>
      <c r="D1860" s="4" t="s">
        <v>607</v>
      </c>
      <c r="E1860" s="56" t="s">
        <v>607</v>
      </c>
    </row>
    <row r="1861">
      <c r="B1861" s="4" t="s">
        <v>607</v>
      </c>
      <c r="C1861" s="6" t="s">
        <v>607</v>
      </c>
      <c r="D1861" s="4" t="s">
        <v>607</v>
      </c>
      <c r="E1861" s="56" t="s">
        <v>607</v>
      </c>
    </row>
    <row r="1862">
      <c r="B1862" s="4" t="s">
        <v>607</v>
      </c>
      <c r="C1862" s="6" t="s">
        <v>607</v>
      </c>
      <c r="D1862" s="4" t="s">
        <v>607</v>
      </c>
      <c r="E1862" s="56" t="s">
        <v>607</v>
      </c>
    </row>
    <row r="1863">
      <c r="B1863" s="4" t="s">
        <v>607</v>
      </c>
      <c r="C1863" s="6" t="s">
        <v>607</v>
      </c>
      <c r="D1863" s="4" t="s">
        <v>607</v>
      </c>
      <c r="E1863" s="56" t="s">
        <v>607</v>
      </c>
    </row>
    <row r="1864">
      <c r="B1864" s="4" t="s">
        <v>607</v>
      </c>
      <c r="C1864" s="6" t="s">
        <v>607</v>
      </c>
      <c r="D1864" s="4" t="s">
        <v>607</v>
      </c>
      <c r="E1864" s="56" t="s">
        <v>607</v>
      </c>
    </row>
    <row r="1865">
      <c r="B1865" s="4" t="s">
        <v>607</v>
      </c>
      <c r="C1865" s="6" t="s">
        <v>607</v>
      </c>
      <c r="D1865" s="4" t="s">
        <v>607</v>
      </c>
      <c r="E1865" s="56" t="s">
        <v>607</v>
      </c>
    </row>
    <row r="1866">
      <c r="B1866" s="4" t="s">
        <v>607</v>
      </c>
      <c r="C1866" s="6" t="s">
        <v>607</v>
      </c>
      <c r="D1866" s="4" t="s">
        <v>607</v>
      </c>
      <c r="E1866" s="56" t="s">
        <v>607</v>
      </c>
    </row>
    <row r="1867">
      <c r="B1867" s="4" t="s">
        <v>607</v>
      </c>
      <c r="C1867" s="6" t="s">
        <v>607</v>
      </c>
      <c r="D1867" s="4" t="s">
        <v>607</v>
      </c>
      <c r="E1867" s="56" t="s">
        <v>607</v>
      </c>
    </row>
    <row r="1868">
      <c r="B1868" s="4" t="s">
        <v>607</v>
      </c>
      <c r="C1868" s="6" t="s">
        <v>607</v>
      </c>
      <c r="D1868" s="4" t="s">
        <v>607</v>
      </c>
      <c r="E1868" s="56" t="s">
        <v>607</v>
      </c>
    </row>
    <row r="1869">
      <c r="B1869" s="4" t="s">
        <v>607</v>
      </c>
      <c r="C1869" s="6" t="s">
        <v>607</v>
      </c>
      <c r="D1869" s="4" t="s">
        <v>607</v>
      </c>
      <c r="E1869" s="56" t="s">
        <v>607</v>
      </c>
    </row>
    <row r="1870">
      <c r="B1870" s="4" t="s">
        <v>607</v>
      </c>
      <c r="C1870" s="6" t="s">
        <v>607</v>
      </c>
      <c r="D1870" s="4" t="s">
        <v>607</v>
      </c>
      <c r="E1870" s="56" t="s">
        <v>607</v>
      </c>
    </row>
    <row r="1871">
      <c r="B1871" s="4" t="s">
        <v>607</v>
      </c>
      <c r="C1871" s="6" t="s">
        <v>607</v>
      </c>
      <c r="D1871" s="4" t="s">
        <v>607</v>
      </c>
      <c r="E1871" s="56" t="s">
        <v>607</v>
      </c>
    </row>
    <row r="1872">
      <c r="B1872" s="4" t="s">
        <v>607</v>
      </c>
      <c r="C1872" s="6" t="s">
        <v>607</v>
      </c>
      <c r="D1872" s="4" t="s">
        <v>607</v>
      </c>
      <c r="E1872" s="56" t="s">
        <v>607</v>
      </c>
    </row>
    <row r="1873">
      <c r="B1873" s="4" t="s">
        <v>607</v>
      </c>
      <c r="C1873" s="6" t="s">
        <v>607</v>
      </c>
      <c r="D1873" s="4" t="s">
        <v>607</v>
      </c>
      <c r="E1873" s="56" t="s">
        <v>607</v>
      </c>
    </row>
    <row r="1874">
      <c r="B1874" s="4" t="s">
        <v>607</v>
      </c>
      <c r="C1874" s="6" t="s">
        <v>607</v>
      </c>
      <c r="D1874" s="4" t="s">
        <v>607</v>
      </c>
      <c r="E1874" s="56" t="s">
        <v>607</v>
      </c>
    </row>
    <row r="1875">
      <c r="B1875" s="4" t="s">
        <v>607</v>
      </c>
      <c r="C1875" s="6" t="s">
        <v>607</v>
      </c>
      <c r="D1875" s="4" t="s">
        <v>607</v>
      </c>
      <c r="E1875" s="56" t="s">
        <v>607</v>
      </c>
    </row>
    <row r="1876">
      <c r="B1876" s="4" t="s">
        <v>607</v>
      </c>
      <c r="C1876" s="6" t="s">
        <v>607</v>
      </c>
      <c r="D1876" s="4" t="s">
        <v>607</v>
      </c>
      <c r="E1876" s="56" t="s">
        <v>607</v>
      </c>
    </row>
    <row r="1877">
      <c r="B1877" s="4" t="s">
        <v>607</v>
      </c>
      <c r="C1877" s="6" t="s">
        <v>607</v>
      </c>
      <c r="D1877" s="4" t="s">
        <v>607</v>
      </c>
      <c r="E1877" s="56" t="s">
        <v>607</v>
      </c>
    </row>
    <row r="1878">
      <c r="B1878" s="4" t="s">
        <v>607</v>
      </c>
      <c r="C1878" s="6" t="s">
        <v>607</v>
      </c>
      <c r="D1878" s="4" t="s">
        <v>607</v>
      </c>
      <c r="E1878" s="56" t="s">
        <v>607</v>
      </c>
    </row>
    <row r="1879">
      <c r="B1879" s="4" t="s">
        <v>607</v>
      </c>
      <c r="C1879" s="6" t="s">
        <v>607</v>
      </c>
      <c r="D1879" s="4" t="s">
        <v>607</v>
      </c>
      <c r="E1879" s="56" t="s">
        <v>607</v>
      </c>
    </row>
    <row r="1880">
      <c r="B1880" s="4" t="s">
        <v>607</v>
      </c>
      <c r="C1880" s="6" t="s">
        <v>607</v>
      </c>
      <c r="D1880" s="4" t="s">
        <v>607</v>
      </c>
      <c r="E1880" s="56" t="s">
        <v>607</v>
      </c>
    </row>
    <row r="1881">
      <c r="B1881" s="4" t="s">
        <v>607</v>
      </c>
      <c r="C1881" s="6" t="s">
        <v>607</v>
      </c>
      <c r="D1881" s="4" t="s">
        <v>607</v>
      </c>
      <c r="E1881" s="56" t="s">
        <v>607</v>
      </c>
    </row>
    <row r="1882">
      <c r="B1882" s="4" t="s">
        <v>607</v>
      </c>
      <c r="C1882" s="6" t="s">
        <v>607</v>
      </c>
      <c r="D1882" s="4" t="s">
        <v>607</v>
      </c>
      <c r="E1882" s="56" t="s">
        <v>607</v>
      </c>
    </row>
    <row r="1883">
      <c r="B1883" s="4" t="s">
        <v>607</v>
      </c>
      <c r="C1883" s="6" t="s">
        <v>607</v>
      </c>
      <c r="D1883" s="4" t="s">
        <v>607</v>
      </c>
      <c r="E1883" s="56" t="s">
        <v>607</v>
      </c>
    </row>
    <row r="1884">
      <c r="B1884" s="4" t="s">
        <v>607</v>
      </c>
      <c r="C1884" s="6" t="s">
        <v>607</v>
      </c>
      <c r="D1884" s="4" t="s">
        <v>607</v>
      </c>
      <c r="E1884" s="56" t="s">
        <v>607</v>
      </c>
    </row>
    <row r="1885">
      <c r="B1885" s="4" t="s">
        <v>607</v>
      </c>
      <c r="C1885" s="6" t="s">
        <v>607</v>
      </c>
      <c r="D1885" s="4" t="s">
        <v>607</v>
      </c>
      <c r="E1885" s="56" t="s">
        <v>607</v>
      </c>
    </row>
    <row r="1886">
      <c r="B1886" s="4" t="s">
        <v>607</v>
      </c>
      <c r="C1886" s="6" t="s">
        <v>607</v>
      </c>
      <c r="D1886" s="4" t="s">
        <v>607</v>
      </c>
      <c r="E1886" s="56" t="s">
        <v>607</v>
      </c>
    </row>
    <row r="1887">
      <c r="B1887" s="4" t="s">
        <v>607</v>
      </c>
      <c r="C1887" s="6" t="s">
        <v>607</v>
      </c>
      <c r="D1887" s="4" t="s">
        <v>607</v>
      </c>
      <c r="E1887" s="56" t="s">
        <v>607</v>
      </c>
    </row>
    <row r="1888">
      <c r="B1888" s="4" t="s">
        <v>607</v>
      </c>
      <c r="C1888" s="6" t="s">
        <v>607</v>
      </c>
      <c r="D1888" s="4" t="s">
        <v>607</v>
      </c>
      <c r="E1888" s="56" t="s">
        <v>607</v>
      </c>
    </row>
    <row r="1889">
      <c r="B1889" s="4" t="s">
        <v>607</v>
      </c>
      <c r="C1889" s="6" t="s">
        <v>607</v>
      </c>
      <c r="D1889" s="4" t="s">
        <v>607</v>
      </c>
      <c r="E1889" s="56" t="s">
        <v>607</v>
      </c>
    </row>
    <row r="1890">
      <c r="B1890" s="4" t="s">
        <v>607</v>
      </c>
      <c r="C1890" s="6" t="s">
        <v>607</v>
      </c>
      <c r="D1890" s="4" t="s">
        <v>607</v>
      </c>
      <c r="E1890" s="56" t="s">
        <v>607</v>
      </c>
    </row>
    <row r="1891">
      <c r="B1891" s="4" t="s">
        <v>607</v>
      </c>
      <c r="C1891" s="6" t="s">
        <v>607</v>
      </c>
      <c r="D1891" s="4" t="s">
        <v>607</v>
      </c>
      <c r="E1891" s="56" t="s">
        <v>607</v>
      </c>
    </row>
    <row r="1892">
      <c r="B1892" s="4" t="s">
        <v>607</v>
      </c>
      <c r="C1892" s="6" t="s">
        <v>607</v>
      </c>
      <c r="D1892" s="4" t="s">
        <v>607</v>
      </c>
      <c r="E1892" s="56" t="s">
        <v>607</v>
      </c>
    </row>
    <row r="1893">
      <c r="B1893" s="4" t="s">
        <v>607</v>
      </c>
      <c r="C1893" s="6" t="s">
        <v>607</v>
      </c>
      <c r="D1893" s="4" t="s">
        <v>607</v>
      </c>
      <c r="E1893" s="56" t="s">
        <v>607</v>
      </c>
    </row>
    <row r="1894">
      <c r="B1894" s="4" t="s">
        <v>607</v>
      </c>
      <c r="C1894" s="6" t="s">
        <v>607</v>
      </c>
      <c r="D1894" s="4" t="s">
        <v>607</v>
      </c>
      <c r="E1894" s="56" t="s">
        <v>607</v>
      </c>
    </row>
    <row r="1895">
      <c r="B1895" s="4" t="s">
        <v>607</v>
      </c>
      <c r="C1895" s="6" t="s">
        <v>607</v>
      </c>
      <c r="D1895" s="4" t="s">
        <v>607</v>
      </c>
      <c r="E1895" s="56" t="s">
        <v>607</v>
      </c>
    </row>
    <row r="1896">
      <c r="B1896" s="4" t="s">
        <v>607</v>
      </c>
      <c r="C1896" s="6" t="s">
        <v>607</v>
      </c>
      <c r="D1896" s="4" t="s">
        <v>607</v>
      </c>
      <c r="E1896" s="56" t="s">
        <v>607</v>
      </c>
    </row>
    <row r="1897">
      <c r="B1897" s="4" t="s">
        <v>607</v>
      </c>
      <c r="C1897" s="6" t="s">
        <v>607</v>
      </c>
      <c r="D1897" s="4" t="s">
        <v>607</v>
      </c>
      <c r="E1897" s="56" t="s">
        <v>607</v>
      </c>
    </row>
    <row r="1898">
      <c r="B1898" s="4" t="s">
        <v>607</v>
      </c>
      <c r="C1898" s="6" t="s">
        <v>607</v>
      </c>
      <c r="D1898" s="4" t="s">
        <v>607</v>
      </c>
      <c r="E1898" s="56" t="s">
        <v>607</v>
      </c>
    </row>
    <row r="1899">
      <c r="B1899" s="4" t="s">
        <v>607</v>
      </c>
      <c r="C1899" s="6" t="s">
        <v>607</v>
      </c>
      <c r="D1899" s="4" t="s">
        <v>607</v>
      </c>
      <c r="E1899" s="56" t="s">
        <v>607</v>
      </c>
    </row>
    <row r="1900">
      <c r="B1900" s="4" t="s">
        <v>607</v>
      </c>
      <c r="C1900" s="6" t="s">
        <v>607</v>
      </c>
      <c r="D1900" s="4" t="s">
        <v>607</v>
      </c>
      <c r="E1900" s="56" t="s">
        <v>607</v>
      </c>
    </row>
    <row r="1901">
      <c r="B1901" s="4" t="s">
        <v>607</v>
      </c>
      <c r="C1901" s="6" t="s">
        <v>607</v>
      </c>
      <c r="D1901" s="4" t="s">
        <v>607</v>
      </c>
      <c r="E1901" s="56" t="s">
        <v>607</v>
      </c>
    </row>
    <row r="1902">
      <c r="B1902" s="4" t="s">
        <v>607</v>
      </c>
      <c r="C1902" s="6" t="s">
        <v>607</v>
      </c>
      <c r="D1902" s="4" t="s">
        <v>607</v>
      </c>
      <c r="E1902" s="56" t="s">
        <v>607</v>
      </c>
    </row>
    <row r="1903">
      <c r="B1903" s="4" t="s">
        <v>607</v>
      </c>
      <c r="C1903" s="6" t="s">
        <v>607</v>
      </c>
      <c r="D1903" s="4" t="s">
        <v>607</v>
      </c>
      <c r="E1903" s="56" t="s">
        <v>607</v>
      </c>
    </row>
    <row r="1904">
      <c r="B1904" s="4" t="s">
        <v>607</v>
      </c>
      <c r="C1904" s="6" t="s">
        <v>607</v>
      </c>
      <c r="D1904" s="4" t="s">
        <v>607</v>
      </c>
      <c r="E1904" s="56" t="s">
        <v>607</v>
      </c>
    </row>
    <row r="1905">
      <c r="B1905" s="4" t="s">
        <v>607</v>
      </c>
      <c r="C1905" s="6" t="s">
        <v>607</v>
      </c>
      <c r="D1905" s="4" t="s">
        <v>607</v>
      </c>
      <c r="E1905" s="56" t="s">
        <v>607</v>
      </c>
    </row>
    <row r="1906">
      <c r="B1906" s="4" t="s">
        <v>607</v>
      </c>
      <c r="C1906" s="6" t="s">
        <v>607</v>
      </c>
      <c r="D1906" s="4" t="s">
        <v>607</v>
      </c>
      <c r="E1906" s="56" t="s">
        <v>607</v>
      </c>
    </row>
    <row r="1907">
      <c r="B1907" s="4" t="s">
        <v>607</v>
      </c>
      <c r="C1907" s="6" t="s">
        <v>607</v>
      </c>
      <c r="D1907" s="4" t="s">
        <v>607</v>
      </c>
      <c r="E1907" s="56" t="s">
        <v>607</v>
      </c>
    </row>
    <row r="1908">
      <c r="B1908" s="4" t="s">
        <v>607</v>
      </c>
      <c r="C1908" s="6" t="s">
        <v>607</v>
      </c>
      <c r="D1908" s="4" t="s">
        <v>607</v>
      </c>
      <c r="E1908" s="56" t="s">
        <v>607</v>
      </c>
    </row>
    <row r="1909">
      <c r="B1909" s="4" t="s">
        <v>607</v>
      </c>
      <c r="C1909" s="6" t="s">
        <v>607</v>
      </c>
      <c r="D1909" s="4" t="s">
        <v>607</v>
      </c>
      <c r="E1909" s="56" t="s">
        <v>607</v>
      </c>
    </row>
    <row r="1910">
      <c r="B1910" s="4" t="s">
        <v>607</v>
      </c>
      <c r="C1910" s="6" t="s">
        <v>607</v>
      </c>
      <c r="D1910" s="4" t="s">
        <v>607</v>
      </c>
      <c r="E1910" s="56" t="s">
        <v>607</v>
      </c>
    </row>
    <row r="1911">
      <c r="B1911" s="4" t="s">
        <v>607</v>
      </c>
      <c r="C1911" s="6" t="s">
        <v>607</v>
      </c>
      <c r="D1911" s="4" t="s">
        <v>607</v>
      </c>
      <c r="E1911" s="56" t="s">
        <v>607</v>
      </c>
    </row>
    <row r="1912">
      <c r="B1912" s="4" t="s">
        <v>607</v>
      </c>
      <c r="C1912" s="6" t="s">
        <v>607</v>
      </c>
      <c r="D1912" s="4" t="s">
        <v>607</v>
      </c>
      <c r="E1912" s="56" t="s">
        <v>607</v>
      </c>
    </row>
    <row r="1913">
      <c r="B1913" s="4" t="s">
        <v>607</v>
      </c>
      <c r="C1913" s="6" t="s">
        <v>607</v>
      </c>
      <c r="D1913" s="4" t="s">
        <v>607</v>
      </c>
      <c r="E1913" s="56" t="s">
        <v>607</v>
      </c>
    </row>
    <row r="1914">
      <c r="B1914" s="4" t="s">
        <v>607</v>
      </c>
      <c r="C1914" s="6" t="s">
        <v>607</v>
      </c>
      <c r="D1914" s="4" t="s">
        <v>607</v>
      </c>
      <c r="E1914" s="56" t="s">
        <v>607</v>
      </c>
    </row>
    <row r="1915">
      <c r="B1915" s="4" t="s">
        <v>607</v>
      </c>
      <c r="C1915" s="6" t="s">
        <v>607</v>
      </c>
      <c r="D1915" s="4" t="s">
        <v>607</v>
      </c>
      <c r="E1915" s="56" t="s">
        <v>607</v>
      </c>
    </row>
    <row r="1916">
      <c r="B1916" s="4" t="s">
        <v>607</v>
      </c>
      <c r="C1916" s="6" t="s">
        <v>607</v>
      </c>
      <c r="D1916" s="4" t="s">
        <v>607</v>
      </c>
      <c r="E1916" s="56" t="s">
        <v>607</v>
      </c>
    </row>
    <row r="1917">
      <c r="B1917" s="4" t="s">
        <v>607</v>
      </c>
      <c r="C1917" s="6" t="s">
        <v>607</v>
      </c>
      <c r="D1917" s="4" t="s">
        <v>607</v>
      </c>
      <c r="E1917" s="56" t="s">
        <v>607</v>
      </c>
    </row>
    <row r="1918">
      <c r="B1918" s="4" t="s">
        <v>607</v>
      </c>
      <c r="C1918" s="6" t="s">
        <v>607</v>
      </c>
      <c r="D1918" s="4" t="s">
        <v>607</v>
      </c>
      <c r="E1918" s="56" t="s">
        <v>607</v>
      </c>
    </row>
    <row r="1919">
      <c r="B1919" s="4" t="s">
        <v>607</v>
      </c>
      <c r="C1919" s="6" t="s">
        <v>607</v>
      </c>
      <c r="D1919" s="4" t="s">
        <v>607</v>
      </c>
      <c r="E1919" s="56" t="s">
        <v>607</v>
      </c>
    </row>
    <row r="1920">
      <c r="B1920" s="4" t="s">
        <v>607</v>
      </c>
      <c r="C1920" s="6" t="s">
        <v>607</v>
      </c>
      <c r="D1920" s="4" t="s">
        <v>607</v>
      </c>
      <c r="E1920" s="56" t="s">
        <v>607</v>
      </c>
    </row>
    <row r="1921">
      <c r="B1921" s="4" t="s">
        <v>607</v>
      </c>
      <c r="C1921" s="6" t="s">
        <v>607</v>
      </c>
      <c r="D1921" s="4" t="s">
        <v>607</v>
      </c>
      <c r="E1921" s="56" t="s">
        <v>607</v>
      </c>
    </row>
    <row r="1922">
      <c r="B1922" s="4" t="s">
        <v>607</v>
      </c>
      <c r="C1922" s="6" t="s">
        <v>607</v>
      </c>
      <c r="D1922" s="4" t="s">
        <v>607</v>
      </c>
      <c r="E1922" s="56" t="s">
        <v>607</v>
      </c>
    </row>
    <row r="1923">
      <c r="B1923" s="4" t="s">
        <v>607</v>
      </c>
      <c r="C1923" s="6" t="s">
        <v>607</v>
      </c>
      <c r="D1923" s="4" t="s">
        <v>607</v>
      </c>
      <c r="E1923" s="56" t="s">
        <v>607</v>
      </c>
    </row>
    <row r="1924">
      <c r="B1924" s="4" t="s">
        <v>607</v>
      </c>
      <c r="C1924" s="6" t="s">
        <v>607</v>
      </c>
      <c r="D1924" s="4" t="s">
        <v>607</v>
      </c>
      <c r="E1924" s="56" t="s">
        <v>607</v>
      </c>
    </row>
    <row r="1925">
      <c r="B1925" s="4" t="s">
        <v>607</v>
      </c>
      <c r="C1925" s="6" t="s">
        <v>607</v>
      </c>
      <c r="D1925" s="4" t="s">
        <v>607</v>
      </c>
      <c r="E1925" s="56" t="s">
        <v>607</v>
      </c>
    </row>
    <row r="1926">
      <c r="B1926" s="4" t="s">
        <v>607</v>
      </c>
      <c r="C1926" s="6" t="s">
        <v>607</v>
      </c>
      <c r="D1926" s="4" t="s">
        <v>607</v>
      </c>
      <c r="E1926" s="56" t="s">
        <v>607</v>
      </c>
    </row>
    <row r="1927">
      <c r="B1927" s="4" t="s">
        <v>607</v>
      </c>
      <c r="C1927" s="6" t="s">
        <v>607</v>
      </c>
      <c r="D1927" s="4" t="s">
        <v>607</v>
      </c>
      <c r="E1927" s="56" t="s">
        <v>607</v>
      </c>
    </row>
    <row r="1928">
      <c r="B1928" s="4" t="s">
        <v>607</v>
      </c>
      <c r="C1928" s="6" t="s">
        <v>607</v>
      </c>
      <c r="D1928" s="4" t="s">
        <v>607</v>
      </c>
      <c r="E1928" s="56" t="s">
        <v>607</v>
      </c>
    </row>
    <row r="1929">
      <c r="B1929" s="4" t="s">
        <v>607</v>
      </c>
      <c r="C1929" s="6" t="s">
        <v>607</v>
      </c>
      <c r="D1929" s="4" t="s">
        <v>607</v>
      </c>
      <c r="E1929" s="56" t="s">
        <v>607</v>
      </c>
    </row>
    <row r="1930">
      <c r="B1930" s="4" t="s">
        <v>607</v>
      </c>
      <c r="C1930" s="6" t="s">
        <v>607</v>
      </c>
      <c r="D1930" s="4" t="s">
        <v>607</v>
      </c>
      <c r="E1930" s="56" t="s">
        <v>607</v>
      </c>
    </row>
    <row r="1931">
      <c r="B1931" s="4" t="s">
        <v>607</v>
      </c>
      <c r="C1931" s="6" t="s">
        <v>607</v>
      </c>
      <c r="D1931" s="4" t="s">
        <v>607</v>
      </c>
      <c r="E1931" s="56" t="s">
        <v>607</v>
      </c>
    </row>
    <row r="1932">
      <c r="B1932" s="4" t="s">
        <v>607</v>
      </c>
      <c r="C1932" s="6" t="s">
        <v>607</v>
      </c>
      <c r="D1932" s="4" t="s">
        <v>607</v>
      </c>
      <c r="E1932" s="56" t="s">
        <v>607</v>
      </c>
    </row>
    <row r="1933">
      <c r="B1933" s="4" t="s">
        <v>607</v>
      </c>
      <c r="C1933" s="6" t="s">
        <v>607</v>
      </c>
      <c r="D1933" s="4" t="s">
        <v>607</v>
      </c>
      <c r="E1933" s="56" t="s">
        <v>607</v>
      </c>
    </row>
    <row r="1934">
      <c r="B1934" s="4" t="s">
        <v>607</v>
      </c>
      <c r="C1934" s="6" t="s">
        <v>607</v>
      </c>
      <c r="D1934" s="4" t="s">
        <v>607</v>
      </c>
      <c r="E1934" s="56" t="s">
        <v>607</v>
      </c>
    </row>
    <row r="1935">
      <c r="B1935" s="4" t="s">
        <v>607</v>
      </c>
      <c r="C1935" s="6" t="s">
        <v>607</v>
      </c>
      <c r="D1935" s="4" t="s">
        <v>607</v>
      </c>
      <c r="E1935" s="56" t="s">
        <v>607</v>
      </c>
    </row>
    <row r="1936">
      <c r="B1936" s="4" t="s">
        <v>607</v>
      </c>
      <c r="C1936" s="6" t="s">
        <v>607</v>
      </c>
      <c r="D1936" s="4" t="s">
        <v>607</v>
      </c>
      <c r="E1936" s="56" t="s">
        <v>607</v>
      </c>
    </row>
    <row r="1937">
      <c r="B1937" s="4" t="s">
        <v>607</v>
      </c>
      <c r="C1937" s="6" t="s">
        <v>607</v>
      </c>
      <c r="D1937" s="4" t="s">
        <v>607</v>
      </c>
      <c r="E1937" s="56" t="s">
        <v>607</v>
      </c>
    </row>
    <row r="1938">
      <c r="B1938" s="4" t="s">
        <v>607</v>
      </c>
      <c r="C1938" s="6" t="s">
        <v>607</v>
      </c>
      <c r="D1938" s="4" t="s">
        <v>607</v>
      </c>
      <c r="E1938" s="56" t="s">
        <v>607</v>
      </c>
    </row>
    <row r="1939">
      <c r="B1939" s="4" t="s">
        <v>607</v>
      </c>
      <c r="C1939" s="6" t="s">
        <v>607</v>
      </c>
      <c r="D1939" s="4" t="s">
        <v>607</v>
      </c>
      <c r="E1939" s="56" t="s">
        <v>607</v>
      </c>
    </row>
    <row r="1940">
      <c r="B1940" s="4" t="s">
        <v>607</v>
      </c>
      <c r="C1940" s="6" t="s">
        <v>607</v>
      </c>
      <c r="D1940" s="4" t="s">
        <v>607</v>
      </c>
      <c r="E1940" s="56" t="s">
        <v>607</v>
      </c>
    </row>
    <row r="1941">
      <c r="B1941" s="4" t="s">
        <v>607</v>
      </c>
      <c r="C1941" s="6" t="s">
        <v>607</v>
      </c>
      <c r="D1941" s="4" t="s">
        <v>607</v>
      </c>
      <c r="E1941" s="56" t="s">
        <v>607</v>
      </c>
    </row>
    <row r="1942">
      <c r="B1942" s="4" t="s">
        <v>607</v>
      </c>
      <c r="C1942" s="6" t="s">
        <v>607</v>
      </c>
      <c r="D1942" s="4" t="s">
        <v>607</v>
      </c>
      <c r="E1942" s="56" t="s">
        <v>607</v>
      </c>
    </row>
    <row r="1943">
      <c r="B1943" s="4" t="s">
        <v>607</v>
      </c>
      <c r="C1943" s="6" t="s">
        <v>607</v>
      </c>
      <c r="D1943" s="4" t="s">
        <v>607</v>
      </c>
      <c r="E1943" s="56" t="s">
        <v>607</v>
      </c>
    </row>
    <row r="1944">
      <c r="B1944" s="4" t="s">
        <v>607</v>
      </c>
      <c r="C1944" s="6" t="s">
        <v>607</v>
      </c>
      <c r="D1944" s="4" t="s">
        <v>607</v>
      </c>
      <c r="E1944" s="56" t="s">
        <v>607</v>
      </c>
    </row>
    <row r="1945">
      <c r="B1945" s="4" t="s">
        <v>607</v>
      </c>
      <c r="C1945" s="6" t="s">
        <v>607</v>
      </c>
      <c r="D1945" s="4" t="s">
        <v>607</v>
      </c>
      <c r="E1945" s="56" t="s">
        <v>607</v>
      </c>
    </row>
    <row r="1946">
      <c r="B1946" s="4" t="s">
        <v>607</v>
      </c>
      <c r="C1946" s="6" t="s">
        <v>607</v>
      </c>
      <c r="D1946" s="4" t="s">
        <v>607</v>
      </c>
      <c r="E1946" s="56" t="s">
        <v>607</v>
      </c>
    </row>
    <row r="1947">
      <c r="B1947" s="4" t="s">
        <v>607</v>
      </c>
      <c r="C1947" s="6" t="s">
        <v>607</v>
      </c>
      <c r="D1947" s="4" t="s">
        <v>607</v>
      </c>
      <c r="E1947" s="56" t="s">
        <v>607</v>
      </c>
    </row>
    <row r="1948">
      <c r="B1948" s="4" t="s">
        <v>607</v>
      </c>
      <c r="C1948" s="6" t="s">
        <v>607</v>
      </c>
      <c r="D1948" s="4" t="s">
        <v>607</v>
      </c>
      <c r="E1948" s="56" t="s">
        <v>607</v>
      </c>
    </row>
    <row r="1949">
      <c r="B1949" s="4" t="s">
        <v>607</v>
      </c>
      <c r="C1949" s="6" t="s">
        <v>607</v>
      </c>
      <c r="D1949" s="4" t="s">
        <v>607</v>
      </c>
      <c r="E1949" s="56" t="s">
        <v>607</v>
      </c>
    </row>
    <row r="1950">
      <c r="B1950" s="4" t="s">
        <v>607</v>
      </c>
      <c r="C1950" s="6" t="s">
        <v>607</v>
      </c>
      <c r="D1950" s="4" t="s">
        <v>607</v>
      </c>
      <c r="E1950" s="56" t="s">
        <v>607</v>
      </c>
    </row>
    <row r="1951">
      <c r="B1951" s="4" t="s">
        <v>607</v>
      </c>
      <c r="C1951" s="6" t="s">
        <v>607</v>
      </c>
      <c r="D1951" s="4" t="s">
        <v>607</v>
      </c>
      <c r="E1951" s="56" t="s">
        <v>607</v>
      </c>
    </row>
    <row r="1952">
      <c r="B1952" s="4" t="s">
        <v>607</v>
      </c>
      <c r="C1952" s="6" t="s">
        <v>607</v>
      </c>
      <c r="D1952" s="4" t="s">
        <v>607</v>
      </c>
      <c r="E1952" s="56" t="s">
        <v>607</v>
      </c>
    </row>
    <row r="1953">
      <c r="B1953" s="4" t="s">
        <v>607</v>
      </c>
      <c r="C1953" s="6" t="s">
        <v>607</v>
      </c>
      <c r="D1953" s="4" t="s">
        <v>607</v>
      </c>
      <c r="E1953" s="56" t="s">
        <v>607</v>
      </c>
    </row>
    <row r="1954">
      <c r="B1954" s="4" t="s">
        <v>607</v>
      </c>
      <c r="C1954" s="6" t="s">
        <v>607</v>
      </c>
      <c r="D1954" s="4" t="s">
        <v>607</v>
      </c>
      <c r="E1954" s="56" t="s">
        <v>607</v>
      </c>
    </row>
    <row r="1955">
      <c r="B1955" s="4" t="s">
        <v>607</v>
      </c>
      <c r="C1955" s="6" t="s">
        <v>607</v>
      </c>
      <c r="D1955" s="4" t="s">
        <v>607</v>
      </c>
      <c r="E1955" s="56" t="s">
        <v>607</v>
      </c>
    </row>
    <row r="1956">
      <c r="B1956" s="4" t="s">
        <v>607</v>
      </c>
      <c r="C1956" s="6" t="s">
        <v>607</v>
      </c>
      <c r="D1956" s="4" t="s">
        <v>607</v>
      </c>
      <c r="E1956" s="56" t="s">
        <v>607</v>
      </c>
    </row>
    <row r="1957">
      <c r="B1957" s="4" t="s">
        <v>607</v>
      </c>
      <c r="C1957" s="6" t="s">
        <v>607</v>
      </c>
      <c r="D1957" s="4" t="s">
        <v>607</v>
      </c>
      <c r="E1957" s="56" t="s">
        <v>607</v>
      </c>
    </row>
    <row r="1958">
      <c r="B1958" s="4" t="s">
        <v>607</v>
      </c>
      <c r="C1958" s="6" t="s">
        <v>607</v>
      </c>
      <c r="D1958" s="4" t="s">
        <v>607</v>
      </c>
      <c r="E1958" s="56" t="s">
        <v>607</v>
      </c>
    </row>
    <row r="1959">
      <c r="B1959" s="4" t="s">
        <v>607</v>
      </c>
      <c r="C1959" s="6" t="s">
        <v>607</v>
      </c>
      <c r="D1959" s="4" t="s">
        <v>607</v>
      </c>
      <c r="E1959" s="56" t="s">
        <v>607</v>
      </c>
    </row>
    <row r="1960">
      <c r="B1960" s="4" t="s">
        <v>607</v>
      </c>
      <c r="C1960" s="6" t="s">
        <v>607</v>
      </c>
      <c r="D1960" s="4" t="s">
        <v>607</v>
      </c>
      <c r="E1960" s="56" t="s">
        <v>607</v>
      </c>
    </row>
    <row r="1961">
      <c r="B1961" s="4" t="s">
        <v>607</v>
      </c>
      <c r="C1961" s="6" t="s">
        <v>607</v>
      </c>
      <c r="D1961" s="4" t="s">
        <v>607</v>
      </c>
      <c r="E1961" s="56" t="s">
        <v>607</v>
      </c>
    </row>
    <row r="1962">
      <c r="B1962" s="4" t="s">
        <v>607</v>
      </c>
      <c r="C1962" s="6" t="s">
        <v>607</v>
      </c>
      <c r="D1962" s="4" t="s">
        <v>607</v>
      </c>
      <c r="E1962" s="56" t="s">
        <v>607</v>
      </c>
    </row>
    <row r="1963">
      <c r="B1963" s="4" t="s">
        <v>607</v>
      </c>
      <c r="C1963" s="6" t="s">
        <v>607</v>
      </c>
      <c r="D1963" s="4" t="s">
        <v>607</v>
      </c>
      <c r="E1963" s="56" t="s">
        <v>607</v>
      </c>
    </row>
    <row r="1964">
      <c r="B1964" s="4" t="s">
        <v>607</v>
      </c>
      <c r="C1964" s="6" t="s">
        <v>607</v>
      </c>
      <c r="D1964" s="4" t="s">
        <v>607</v>
      </c>
      <c r="E1964" s="56" t="s">
        <v>607</v>
      </c>
    </row>
    <row r="1965">
      <c r="B1965" s="4" t="s">
        <v>607</v>
      </c>
      <c r="C1965" s="6" t="s">
        <v>607</v>
      </c>
      <c r="D1965" s="4" t="s">
        <v>607</v>
      </c>
      <c r="E1965" s="56" t="s">
        <v>607</v>
      </c>
    </row>
    <row r="1966">
      <c r="B1966" s="4" t="s">
        <v>607</v>
      </c>
      <c r="C1966" s="6" t="s">
        <v>607</v>
      </c>
      <c r="D1966" s="4" t="s">
        <v>607</v>
      </c>
      <c r="E1966" s="56" t="s">
        <v>607</v>
      </c>
    </row>
    <row r="1967">
      <c r="B1967" s="4" t="s">
        <v>607</v>
      </c>
      <c r="C1967" s="6" t="s">
        <v>607</v>
      </c>
      <c r="D1967" s="4" t="s">
        <v>607</v>
      </c>
      <c r="E1967" s="56" t="s">
        <v>607</v>
      </c>
    </row>
    <row r="1968">
      <c r="B1968" s="4" t="s">
        <v>607</v>
      </c>
      <c r="C1968" s="6" t="s">
        <v>607</v>
      </c>
      <c r="D1968" s="4" t="s">
        <v>607</v>
      </c>
      <c r="E1968" s="56" t="s">
        <v>607</v>
      </c>
    </row>
    <row r="1969">
      <c r="B1969" s="4" t="s">
        <v>607</v>
      </c>
      <c r="C1969" s="6" t="s">
        <v>607</v>
      </c>
      <c r="D1969" s="4" t="s">
        <v>607</v>
      </c>
      <c r="E1969" s="56" t="s">
        <v>607</v>
      </c>
    </row>
    <row r="1970">
      <c r="B1970" s="4" t="s">
        <v>607</v>
      </c>
      <c r="C1970" s="6" t="s">
        <v>607</v>
      </c>
      <c r="D1970" s="4" t="s">
        <v>607</v>
      </c>
      <c r="E1970" s="56" t="s">
        <v>607</v>
      </c>
    </row>
    <row r="1971">
      <c r="B1971" s="4" t="s">
        <v>607</v>
      </c>
      <c r="C1971" s="6" t="s">
        <v>607</v>
      </c>
      <c r="D1971" s="4" t="s">
        <v>607</v>
      </c>
      <c r="E1971" s="56" t="s">
        <v>607</v>
      </c>
    </row>
    <row r="1972">
      <c r="B1972" s="4" t="s">
        <v>607</v>
      </c>
      <c r="C1972" s="6" t="s">
        <v>607</v>
      </c>
      <c r="D1972" s="4" t="s">
        <v>607</v>
      </c>
      <c r="E1972" s="56" t="s">
        <v>607</v>
      </c>
    </row>
    <row r="1973">
      <c r="B1973" s="4" t="s">
        <v>607</v>
      </c>
      <c r="C1973" s="6" t="s">
        <v>607</v>
      </c>
      <c r="D1973" s="4" t="s">
        <v>607</v>
      </c>
      <c r="E1973" s="56" t="s">
        <v>607</v>
      </c>
    </row>
    <row r="1974">
      <c r="B1974" s="4" t="s">
        <v>607</v>
      </c>
      <c r="C1974" s="6" t="s">
        <v>607</v>
      </c>
      <c r="D1974" s="4" t="s">
        <v>607</v>
      </c>
      <c r="E1974" s="56" t="s">
        <v>607</v>
      </c>
    </row>
    <row r="1975">
      <c r="B1975" s="4" t="s">
        <v>607</v>
      </c>
      <c r="C1975" s="6" t="s">
        <v>607</v>
      </c>
      <c r="D1975" s="4" t="s">
        <v>607</v>
      </c>
      <c r="E1975" s="56" t="s">
        <v>607</v>
      </c>
    </row>
    <row r="1976">
      <c r="B1976" s="4" t="s">
        <v>607</v>
      </c>
      <c r="C1976" s="6" t="s">
        <v>607</v>
      </c>
      <c r="D1976" s="4" t="s">
        <v>607</v>
      </c>
      <c r="E1976" s="56" t="s">
        <v>607</v>
      </c>
    </row>
    <row r="1977">
      <c r="B1977" s="4" t="s">
        <v>607</v>
      </c>
      <c r="C1977" s="6" t="s">
        <v>607</v>
      </c>
      <c r="D1977" s="4" t="s">
        <v>607</v>
      </c>
      <c r="E1977" s="56" t="s">
        <v>607</v>
      </c>
    </row>
    <row r="1978">
      <c r="B1978" s="4" t="s">
        <v>607</v>
      </c>
      <c r="C1978" s="6" t="s">
        <v>607</v>
      </c>
      <c r="D1978" s="4" t="s">
        <v>607</v>
      </c>
      <c r="E1978" s="56" t="s">
        <v>607</v>
      </c>
    </row>
    <row r="1979">
      <c r="B1979" s="4" t="s">
        <v>607</v>
      </c>
      <c r="C1979" s="6" t="s">
        <v>607</v>
      </c>
      <c r="D1979" s="4" t="s">
        <v>607</v>
      </c>
      <c r="E1979" s="56" t="s">
        <v>607</v>
      </c>
    </row>
    <row r="1980">
      <c r="B1980" s="4" t="s">
        <v>607</v>
      </c>
      <c r="C1980" s="6" t="s">
        <v>607</v>
      </c>
      <c r="D1980" s="4" t="s">
        <v>607</v>
      </c>
      <c r="E1980" s="56" t="s">
        <v>607</v>
      </c>
    </row>
    <row r="1981">
      <c r="B1981" s="4" t="s">
        <v>607</v>
      </c>
      <c r="C1981" s="6" t="s">
        <v>607</v>
      </c>
      <c r="D1981" s="4" t="s">
        <v>607</v>
      </c>
      <c r="E1981" s="56" t="s">
        <v>607</v>
      </c>
    </row>
    <row r="1982">
      <c r="B1982" s="4" t="s">
        <v>607</v>
      </c>
      <c r="C1982" s="6" t="s">
        <v>607</v>
      </c>
      <c r="D1982" s="4" t="s">
        <v>607</v>
      </c>
      <c r="E1982" s="56" t="s">
        <v>607</v>
      </c>
    </row>
    <row r="1983">
      <c r="B1983" s="4" t="s">
        <v>607</v>
      </c>
      <c r="C1983" s="6" t="s">
        <v>607</v>
      </c>
      <c r="D1983" s="4" t="s">
        <v>607</v>
      </c>
      <c r="E1983" s="56" t="s">
        <v>607</v>
      </c>
    </row>
    <row r="1984">
      <c r="B1984" s="4" t="s">
        <v>607</v>
      </c>
      <c r="C1984" s="6" t="s">
        <v>607</v>
      </c>
      <c r="D1984" s="4" t="s">
        <v>607</v>
      </c>
      <c r="E1984" s="56" t="s">
        <v>607</v>
      </c>
    </row>
    <row r="1985">
      <c r="B1985" s="4" t="s">
        <v>607</v>
      </c>
      <c r="C1985" s="6" t="s">
        <v>607</v>
      </c>
      <c r="D1985" s="4" t="s">
        <v>607</v>
      </c>
      <c r="E1985" s="56" t="s">
        <v>607</v>
      </c>
    </row>
    <row r="1986">
      <c r="B1986" s="4" t="s">
        <v>607</v>
      </c>
      <c r="C1986" s="6" t="s">
        <v>607</v>
      </c>
      <c r="D1986" s="4" t="s">
        <v>607</v>
      </c>
      <c r="E1986" s="56" t="s">
        <v>607</v>
      </c>
    </row>
    <row r="1987">
      <c r="B1987" s="4" t="s">
        <v>607</v>
      </c>
      <c r="C1987" s="6" t="s">
        <v>607</v>
      </c>
      <c r="D1987" s="4" t="s">
        <v>607</v>
      </c>
      <c r="E1987" s="56" t="s">
        <v>607</v>
      </c>
    </row>
    <row r="1988">
      <c r="B1988" s="4" t="s">
        <v>607</v>
      </c>
      <c r="C1988" s="6" t="s">
        <v>607</v>
      </c>
      <c r="D1988" s="4" t="s">
        <v>607</v>
      </c>
      <c r="E1988" s="56" t="s">
        <v>607</v>
      </c>
    </row>
    <row r="1989">
      <c r="B1989" s="4" t="s">
        <v>607</v>
      </c>
      <c r="C1989" s="6" t="s">
        <v>607</v>
      </c>
      <c r="D1989" s="4" t="s">
        <v>607</v>
      </c>
      <c r="E1989" s="56" t="s">
        <v>607</v>
      </c>
    </row>
    <row r="1990">
      <c r="B1990" s="4" t="s">
        <v>607</v>
      </c>
      <c r="C1990" s="6" t="s">
        <v>607</v>
      </c>
      <c r="D1990" s="4" t="s">
        <v>607</v>
      </c>
      <c r="E1990" s="56" t="s">
        <v>607</v>
      </c>
    </row>
    <row r="1991">
      <c r="B1991" s="4" t="s">
        <v>607</v>
      </c>
      <c r="C1991" s="6" t="s">
        <v>607</v>
      </c>
      <c r="D1991" s="4" t="s">
        <v>607</v>
      </c>
      <c r="E1991" s="56" t="s">
        <v>607</v>
      </c>
    </row>
    <row r="1992">
      <c r="B1992" s="4" t="s">
        <v>607</v>
      </c>
      <c r="C1992" s="6" t="s">
        <v>607</v>
      </c>
      <c r="D1992" s="4" t="s">
        <v>607</v>
      </c>
      <c r="E1992" s="56" t="s">
        <v>607</v>
      </c>
    </row>
    <row r="1993">
      <c r="B1993" s="4" t="s">
        <v>607</v>
      </c>
      <c r="C1993" s="6" t="s">
        <v>607</v>
      </c>
      <c r="D1993" s="4" t="s">
        <v>607</v>
      </c>
      <c r="E1993" s="56" t="s">
        <v>607</v>
      </c>
    </row>
    <row r="1994">
      <c r="B1994" s="4" t="s">
        <v>607</v>
      </c>
      <c r="C1994" s="6" t="s">
        <v>607</v>
      </c>
      <c r="D1994" s="4" t="s">
        <v>607</v>
      </c>
      <c r="E1994" s="56" t="s">
        <v>607</v>
      </c>
    </row>
    <row r="1995">
      <c r="B1995" s="4" t="s">
        <v>607</v>
      </c>
      <c r="C1995" s="6" t="s">
        <v>607</v>
      </c>
      <c r="D1995" s="4" t="s">
        <v>607</v>
      </c>
      <c r="E1995" s="56" t="s">
        <v>607</v>
      </c>
    </row>
    <row r="1996">
      <c r="B1996" s="4" t="s">
        <v>607</v>
      </c>
      <c r="C1996" s="6" t="s">
        <v>607</v>
      </c>
      <c r="D1996" s="4" t="s">
        <v>607</v>
      </c>
      <c r="E1996" s="56" t="s">
        <v>607</v>
      </c>
    </row>
    <row r="1997">
      <c r="B1997" s="4" t="s">
        <v>607</v>
      </c>
      <c r="C1997" s="6" t="s">
        <v>607</v>
      </c>
      <c r="D1997" s="4" t="s">
        <v>607</v>
      </c>
      <c r="E1997" s="56" t="s">
        <v>607</v>
      </c>
    </row>
    <row r="1998">
      <c r="B1998" s="4" t="s">
        <v>607</v>
      </c>
      <c r="C1998" s="6" t="s">
        <v>607</v>
      </c>
      <c r="D1998" s="4" t="s">
        <v>607</v>
      </c>
      <c r="E1998" s="56" t="s">
        <v>607</v>
      </c>
    </row>
    <row r="1999">
      <c r="B1999" s="4" t="s">
        <v>607</v>
      </c>
      <c r="C1999" s="6" t="s">
        <v>607</v>
      </c>
      <c r="D1999" s="4" t="s">
        <v>607</v>
      </c>
      <c r="E1999" s="56" t="s">
        <v>607</v>
      </c>
    </row>
    <row r="2000">
      <c r="B2000" s="4" t="s">
        <v>607</v>
      </c>
      <c r="C2000" s="6" t="s">
        <v>607</v>
      </c>
      <c r="D2000" s="4" t="s">
        <v>607</v>
      </c>
      <c r="E2000" s="56" t="s">
        <v>607</v>
      </c>
    </row>
    <row r="2001">
      <c r="B2001" s="4" t="s">
        <v>607</v>
      </c>
      <c r="C2001" s="6" t="s">
        <v>607</v>
      </c>
      <c r="D2001" s="4" t="s">
        <v>607</v>
      </c>
      <c r="E2001" s="56" t="s">
        <v>607</v>
      </c>
    </row>
    <row r="2002">
      <c r="B2002" s="4" t="s">
        <v>607</v>
      </c>
      <c r="C2002" s="6" t="s">
        <v>607</v>
      </c>
      <c r="D2002" s="4" t="s">
        <v>607</v>
      </c>
      <c r="E2002" s="56" t="s">
        <v>607</v>
      </c>
    </row>
    <row r="2003">
      <c r="B2003" s="4" t="s">
        <v>607</v>
      </c>
      <c r="C2003" s="6" t="s">
        <v>607</v>
      </c>
      <c r="D2003" s="4" t="s">
        <v>607</v>
      </c>
      <c r="E2003" s="56" t="s">
        <v>607</v>
      </c>
    </row>
    <row r="2004">
      <c r="B2004" s="4" t="s">
        <v>607</v>
      </c>
      <c r="C2004" s="6" t="s">
        <v>607</v>
      </c>
      <c r="D2004" s="4" t="s">
        <v>607</v>
      </c>
      <c r="E2004" s="56" t="s">
        <v>607</v>
      </c>
    </row>
    <row r="2005">
      <c r="B2005" s="4" t="s">
        <v>607</v>
      </c>
      <c r="C2005" s="6" t="s">
        <v>607</v>
      </c>
      <c r="D2005" s="4" t="s">
        <v>607</v>
      </c>
      <c r="E2005" s="56" t="s">
        <v>607</v>
      </c>
    </row>
    <row r="2006">
      <c r="B2006" s="4" t="s">
        <v>607</v>
      </c>
      <c r="C2006" s="6" t="s">
        <v>607</v>
      </c>
      <c r="D2006" s="4" t="s">
        <v>607</v>
      </c>
      <c r="E2006" s="56" t="s">
        <v>607</v>
      </c>
    </row>
    <row r="2007">
      <c r="B2007" s="4" t="s">
        <v>607</v>
      </c>
      <c r="C2007" s="6" t="s">
        <v>607</v>
      </c>
      <c r="D2007" s="4" t="s">
        <v>607</v>
      </c>
      <c r="E2007" s="56" t="s">
        <v>607</v>
      </c>
    </row>
    <row r="2008">
      <c r="B2008" s="4" t="s">
        <v>607</v>
      </c>
      <c r="C2008" s="6" t="s">
        <v>607</v>
      </c>
      <c r="D2008" s="4" t="s">
        <v>607</v>
      </c>
      <c r="E2008" s="56" t="s">
        <v>607</v>
      </c>
    </row>
    <row r="2009">
      <c r="B2009" s="4" t="s">
        <v>607</v>
      </c>
      <c r="C2009" s="6" t="s">
        <v>607</v>
      </c>
      <c r="D2009" s="4" t="s">
        <v>607</v>
      </c>
      <c r="E2009" s="56" t="s">
        <v>607</v>
      </c>
    </row>
    <row r="2010">
      <c r="B2010" s="4" t="s">
        <v>607</v>
      </c>
      <c r="C2010" s="6" t="s">
        <v>607</v>
      </c>
      <c r="D2010" s="4" t="s">
        <v>607</v>
      </c>
      <c r="E2010" s="56" t="s">
        <v>607</v>
      </c>
    </row>
    <row r="2011">
      <c r="B2011" s="4" t="s">
        <v>607</v>
      </c>
      <c r="C2011" s="6" t="s">
        <v>607</v>
      </c>
      <c r="D2011" s="4" t="s">
        <v>607</v>
      </c>
      <c r="E2011" s="56" t="s">
        <v>607</v>
      </c>
    </row>
    <row r="2012">
      <c r="B2012" s="4" t="s">
        <v>607</v>
      </c>
      <c r="C2012" s="6" t="s">
        <v>607</v>
      </c>
      <c r="D2012" s="4" t="s">
        <v>607</v>
      </c>
      <c r="E2012" s="56" t="s">
        <v>607</v>
      </c>
    </row>
    <row r="2013">
      <c r="B2013" s="4" t="s">
        <v>607</v>
      </c>
      <c r="C2013" s="6" t="s">
        <v>607</v>
      </c>
      <c r="D2013" s="4" t="s">
        <v>607</v>
      </c>
      <c r="E2013" s="56" t="s">
        <v>607</v>
      </c>
    </row>
    <row r="2014">
      <c r="B2014" s="4" t="s">
        <v>607</v>
      </c>
      <c r="C2014" s="6" t="s">
        <v>607</v>
      </c>
      <c r="D2014" s="4" t="s">
        <v>607</v>
      </c>
      <c r="E2014" s="56" t="s">
        <v>607</v>
      </c>
    </row>
    <row r="2015">
      <c r="B2015" s="4" t="s">
        <v>607</v>
      </c>
      <c r="C2015" s="6" t="s">
        <v>607</v>
      </c>
      <c r="D2015" s="4" t="s">
        <v>607</v>
      </c>
      <c r="E2015" s="56" t="s">
        <v>607</v>
      </c>
    </row>
    <row r="2016">
      <c r="B2016" s="4" t="s">
        <v>607</v>
      </c>
      <c r="C2016" s="6" t="s">
        <v>607</v>
      </c>
      <c r="D2016" s="4" t="s">
        <v>607</v>
      </c>
      <c r="E2016" s="56" t="s">
        <v>607</v>
      </c>
    </row>
    <row r="2017">
      <c r="B2017" s="4" t="s">
        <v>607</v>
      </c>
      <c r="C2017" s="6" t="s">
        <v>607</v>
      </c>
      <c r="D2017" s="4" t="s">
        <v>607</v>
      </c>
      <c r="E2017" s="56" t="s">
        <v>607</v>
      </c>
    </row>
    <row r="2018">
      <c r="B2018" s="4" t="s">
        <v>607</v>
      </c>
      <c r="C2018" s="6" t="s">
        <v>607</v>
      </c>
      <c r="D2018" s="4" t="s">
        <v>607</v>
      </c>
      <c r="E2018" s="56" t="s">
        <v>607</v>
      </c>
    </row>
    <row r="2019">
      <c r="B2019" s="4" t="s">
        <v>607</v>
      </c>
      <c r="C2019" s="6" t="s">
        <v>607</v>
      </c>
      <c r="D2019" s="4" t="s">
        <v>607</v>
      </c>
      <c r="E2019" s="56" t="s">
        <v>607</v>
      </c>
    </row>
    <row r="2020">
      <c r="B2020" s="4" t="s">
        <v>607</v>
      </c>
      <c r="C2020" s="6" t="s">
        <v>607</v>
      </c>
      <c r="D2020" s="4" t="s">
        <v>607</v>
      </c>
      <c r="E2020" s="56" t="s">
        <v>607</v>
      </c>
    </row>
    <row r="2021">
      <c r="B2021" s="4" t="s">
        <v>607</v>
      </c>
      <c r="C2021" s="6" t="s">
        <v>607</v>
      </c>
      <c r="D2021" s="4" t="s">
        <v>607</v>
      </c>
      <c r="E2021" s="56" t="s">
        <v>607</v>
      </c>
    </row>
    <row r="2022">
      <c r="B2022" s="4" t="s">
        <v>607</v>
      </c>
      <c r="C2022" s="6" t="s">
        <v>607</v>
      </c>
      <c r="D2022" s="4" t="s">
        <v>607</v>
      </c>
      <c r="E2022" s="56" t="s">
        <v>607</v>
      </c>
    </row>
    <row r="2023">
      <c r="B2023" s="4" t="s">
        <v>607</v>
      </c>
      <c r="C2023" s="6" t="s">
        <v>607</v>
      </c>
      <c r="D2023" s="4" t="s">
        <v>607</v>
      </c>
      <c r="E2023" s="56" t="s">
        <v>607</v>
      </c>
    </row>
    <row r="2024">
      <c r="B2024" s="4" t="s">
        <v>607</v>
      </c>
      <c r="C2024" s="6" t="s">
        <v>607</v>
      </c>
      <c r="D2024" s="4" t="s">
        <v>607</v>
      </c>
      <c r="E2024" s="56" t="s">
        <v>607</v>
      </c>
    </row>
    <row r="2025">
      <c r="B2025" s="4" t="s">
        <v>607</v>
      </c>
      <c r="C2025" s="6" t="s">
        <v>607</v>
      </c>
      <c r="D2025" s="4" t="s">
        <v>607</v>
      </c>
      <c r="E2025" s="56" t="s">
        <v>607</v>
      </c>
    </row>
    <row r="2026">
      <c r="B2026" s="4" t="s">
        <v>607</v>
      </c>
      <c r="C2026" s="6" t="s">
        <v>607</v>
      </c>
      <c r="D2026" s="4" t="s">
        <v>607</v>
      </c>
      <c r="E2026" s="56" t="s">
        <v>607</v>
      </c>
    </row>
    <row r="2027">
      <c r="B2027" s="4" t="s">
        <v>607</v>
      </c>
      <c r="C2027" s="6" t="s">
        <v>607</v>
      </c>
      <c r="D2027" s="4" t="s">
        <v>607</v>
      </c>
      <c r="E2027" s="56" t="s">
        <v>607</v>
      </c>
    </row>
    <row r="2028">
      <c r="B2028" s="4" t="s">
        <v>607</v>
      </c>
      <c r="C2028" s="6" t="s">
        <v>607</v>
      </c>
      <c r="D2028" s="4" t="s">
        <v>607</v>
      </c>
      <c r="E2028" s="56" t="s">
        <v>607</v>
      </c>
    </row>
    <row r="2029">
      <c r="B2029" s="4" t="s">
        <v>607</v>
      </c>
      <c r="C2029" s="6" t="s">
        <v>607</v>
      </c>
      <c r="D2029" s="4" t="s">
        <v>607</v>
      </c>
      <c r="E2029" s="56" t="s">
        <v>607</v>
      </c>
    </row>
    <row r="2030">
      <c r="B2030" s="4" t="s">
        <v>607</v>
      </c>
      <c r="C2030" s="6" t="s">
        <v>607</v>
      </c>
      <c r="D2030" s="4" t="s">
        <v>607</v>
      </c>
      <c r="E2030" s="56" t="s">
        <v>607</v>
      </c>
    </row>
    <row r="2031">
      <c r="B2031" s="4" t="s">
        <v>607</v>
      </c>
      <c r="C2031" s="6" t="s">
        <v>607</v>
      </c>
      <c r="D2031" s="4" t="s">
        <v>607</v>
      </c>
      <c r="E2031" s="56" t="s">
        <v>607</v>
      </c>
    </row>
    <row r="2032">
      <c r="B2032" s="4" t="s">
        <v>607</v>
      </c>
      <c r="C2032" s="6" t="s">
        <v>607</v>
      </c>
      <c r="D2032" s="4" t="s">
        <v>607</v>
      </c>
      <c r="E2032" s="56" t="s">
        <v>607</v>
      </c>
    </row>
    <row r="2033">
      <c r="B2033" s="4" t="s">
        <v>607</v>
      </c>
      <c r="C2033" s="6" t="s">
        <v>607</v>
      </c>
      <c r="D2033" s="4" t="s">
        <v>607</v>
      </c>
      <c r="E2033" s="56" t="s">
        <v>607</v>
      </c>
    </row>
    <row r="2034">
      <c r="B2034" s="4" t="s">
        <v>607</v>
      </c>
      <c r="C2034" s="6" t="s">
        <v>607</v>
      </c>
      <c r="D2034" s="4" t="s">
        <v>607</v>
      </c>
      <c r="E2034" s="56" t="s">
        <v>607</v>
      </c>
    </row>
    <row r="2035">
      <c r="B2035" s="4" t="s">
        <v>607</v>
      </c>
      <c r="C2035" s="6" t="s">
        <v>607</v>
      </c>
      <c r="D2035" s="4" t="s">
        <v>607</v>
      </c>
      <c r="E2035" s="56" t="s">
        <v>607</v>
      </c>
    </row>
    <row r="2036">
      <c r="B2036" s="4" t="s">
        <v>607</v>
      </c>
      <c r="C2036" s="6" t="s">
        <v>607</v>
      </c>
      <c r="D2036" s="4" t="s">
        <v>607</v>
      </c>
      <c r="E2036" s="56" t="s">
        <v>607</v>
      </c>
    </row>
    <row r="2037">
      <c r="B2037" s="4" t="s">
        <v>607</v>
      </c>
      <c r="C2037" s="6" t="s">
        <v>607</v>
      </c>
      <c r="D2037" s="4" t="s">
        <v>607</v>
      </c>
      <c r="E2037" s="56" t="s">
        <v>607</v>
      </c>
    </row>
    <row r="2038">
      <c r="B2038" s="4" t="s">
        <v>607</v>
      </c>
      <c r="C2038" s="6" t="s">
        <v>607</v>
      </c>
      <c r="D2038" s="4" t="s">
        <v>607</v>
      </c>
      <c r="E2038" s="56" t="s">
        <v>607</v>
      </c>
    </row>
    <row r="2039">
      <c r="B2039" s="4" t="s">
        <v>607</v>
      </c>
      <c r="C2039" s="6" t="s">
        <v>607</v>
      </c>
      <c r="D2039" s="4" t="s">
        <v>607</v>
      </c>
      <c r="E2039" s="56" t="s">
        <v>607</v>
      </c>
    </row>
    <row r="2040">
      <c r="B2040" s="4" t="s">
        <v>607</v>
      </c>
      <c r="C2040" s="6" t="s">
        <v>607</v>
      </c>
      <c r="D2040" s="4" t="s">
        <v>607</v>
      </c>
      <c r="E2040" s="56" t="s">
        <v>607</v>
      </c>
    </row>
    <row r="2041">
      <c r="B2041" s="4" t="s">
        <v>607</v>
      </c>
      <c r="C2041" s="6" t="s">
        <v>607</v>
      </c>
      <c r="D2041" s="4" t="s">
        <v>607</v>
      </c>
      <c r="E2041" s="56" t="s">
        <v>607</v>
      </c>
    </row>
    <row r="2042">
      <c r="B2042" s="4" t="s">
        <v>607</v>
      </c>
      <c r="C2042" s="6" t="s">
        <v>607</v>
      </c>
      <c r="D2042" s="4" t="s">
        <v>607</v>
      </c>
      <c r="E2042" s="56" t="s">
        <v>607</v>
      </c>
    </row>
    <row r="2043">
      <c r="B2043" s="4" t="s">
        <v>607</v>
      </c>
      <c r="C2043" s="6" t="s">
        <v>607</v>
      </c>
      <c r="D2043" s="4" t="s">
        <v>607</v>
      </c>
      <c r="E2043" s="56" t="s">
        <v>607</v>
      </c>
    </row>
    <row r="2044">
      <c r="B2044" s="4" t="s">
        <v>607</v>
      </c>
      <c r="C2044" s="6" t="s">
        <v>607</v>
      </c>
      <c r="D2044" s="4" t="s">
        <v>607</v>
      </c>
      <c r="E2044" s="56" t="s">
        <v>607</v>
      </c>
    </row>
    <row r="2045">
      <c r="B2045" s="4" t="s">
        <v>607</v>
      </c>
      <c r="C2045" s="6" t="s">
        <v>607</v>
      </c>
      <c r="D2045" s="4" t="s">
        <v>607</v>
      </c>
      <c r="E2045" s="56" t="s">
        <v>607</v>
      </c>
    </row>
    <row r="2046">
      <c r="B2046" s="4" t="s">
        <v>607</v>
      </c>
      <c r="C2046" s="6" t="s">
        <v>607</v>
      </c>
      <c r="D2046" s="4" t="s">
        <v>607</v>
      </c>
      <c r="E2046" s="56" t="s">
        <v>607</v>
      </c>
    </row>
    <row r="2047">
      <c r="B2047" s="4" t="s">
        <v>607</v>
      </c>
      <c r="C2047" s="6" t="s">
        <v>607</v>
      </c>
      <c r="D2047" s="4" t="s">
        <v>607</v>
      </c>
      <c r="E2047" s="56" t="s">
        <v>607</v>
      </c>
    </row>
    <row r="2048">
      <c r="B2048" s="4" t="s">
        <v>607</v>
      </c>
      <c r="C2048" s="6" t="s">
        <v>607</v>
      </c>
      <c r="D2048" s="4" t="s">
        <v>607</v>
      </c>
      <c r="E2048" s="56" t="s">
        <v>607</v>
      </c>
    </row>
    <row r="2049">
      <c r="B2049" s="4" t="s">
        <v>607</v>
      </c>
      <c r="C2049" s="6" t="s">
        <v>607</v>
      </c>
      <c r="D2049" s="4" t="s">
        <v>607</v>
      </c>
      <c r="E2049" s="56" t="s">
        <v>607</v>
      </c>
    </row>
    <row r="2050">
      <c r="B2050" s="4" t="s">
        <v>607</v>
      </c>
      <c r="C2050" s="6" t="s">
        <v>607</v>
      </c>
      <c r="D2050" s="4" t="s">
        <v>607</v>
      </c>
      <c r="E2050" s="56" t="s">
        <v>607</v>
      </c>
    </row>
    <row r="2051">
      <c r="B2051" s="4" t="s">
        <v>607</v>
      </c>
      <c r="C2051" s="6" t="s">
        <v>607</v>
      </c>
      <c r="D2051" s="4" t="s">
        <v>607</v>
      </c>
      <c r="E2051" s="56" t="s">
        <v>607</v>
      </c>
    </row>
    <row r="2052">
      <c r="B2052" s="4" t="s">
        <v>607</v>
      </c>
      <c r="C2052" s="6" t="s">
        <v>607</v>
      </c>
      <c r="D2052" s="4" t="s">
        <v>607</v>
      </c>
      <c r="E2052" s="56" t="s">
        <v>607</v>
      </c>
    </row>
    <row r="2053">
      <c r="B2053" s="4" t="s">
        <v>607</v>
      </c>
      <c r="C2053" s="6" t="s">
        <v>607</v>
      </c>
      <c r="D2053" s="4" t="s">
        <v>607</v>
      </c>
      <c r="E2053" s="56" t="s">
        <v>607</v>
      </c>
    </row>
    <row r="2054">
      <c r="B2054" s="4" t="s">
        <v>607</v>
      </c>
      <c r="C2054" s="6" t="s">
        <v>607</v>
      </c>
      <c r="D2054" s="4" t="s">
        <v>607</v>
      </c>
      <c r="E2054" s="56" t="s">
        <v>607</v>
      </c>
    </row>
    <row r="2055">
      <c r="B2055" s="4" t="s">
        <v>607</v>
      </c>
      <c r="C2055" s="6" t="s">
        <v>607</v>
      </c>
      <c r="D2055" s="4" t="s">
        <v>607</v>
      </c>
      <c r="E2055" s="56" t="s">
        <v>607</v>
      </c>
    </row>
    <row r="2056">
      <c r="B2056" s="4" t="s">
        <v>607</v>
      </c>
      <c r="C2056" s="6" t="s">
        <v>607</v>
      </c>
      <c r="D2056" s="4" t="s">
        <v>607</v>
      </c>
      <c r="E2056" s="56" t="s">
        <v>607</v>
      </c>
    </row>
    <row r="2057">
      <c r="B2057" s="4" t="s">
        <v>607</v>
      </c>
      <c r="C2057" s="6" t="s">
        <v>607</v>
      </c>
      <c r="D2057" s="4" t="s">
        <v>607</v>
      </c>
      <c r="E2057" s="56" t="s">
        <v>607</v>
      </c>
    </row>
    <row r="2058">
      <c r="B2058" s="4" t="s">
        <v>607</v>
      </c>
      <c r="C2058" s="6" t="s">
        <v>607</v>
      </c>
      <c r="D2058" s="4" t="s">
        <v>607</v>
      </c>
      <c r="E2058" s="56" t="s">
        <v>607</v>
      </c>
    </row>
    <row r="2059">
      <c r="B2059" s="4" t="s">
        <v>607</v>
      </c>
      <c r="C2059" s="6" t="s">
        <v>607</v>
      </c>
      <c r="D2059" s="4" t="s">
        <v>607</v>
      </c>
      <c r="E2059" s="56" t="s">
        <v>607</v>
      </c>
    </row>
    <row r="2060">
      <c r="B2060" s="4" t="s">
        <v>607</v>
      </c>
      <c r="C2060" s="6" t="s">
        <v>607</v>
      </c>
      <c r="D2060" s="4" t="s">
        <v>607</v>
      </c>
      <c r="E2060" s="56" t="s">
        <v>607</v>
      </c>
    </row>
    <row r="2061">
      <c r="B2061" s="4" t="s">
        <v>607</v>
      </c>
      <c r="C2061" s="6" t="s">
        <v>607</v>
      </c>
      <c r="D2061" s="4" t="s">
        <v>607</v>
      </c>
      <c r="E2061" s="56" t="s">
        <v>607</v>
      </c>
    </row>
    <row r="2062">
      <c r="B2062" s="4" t="s">
        <v>607</v>
      </c>
      <c r="C2062" s="6" t="s">
        <v>607</v>
      </c>
      <c r="D2062" s="4" t="s">
        <v>607</v>
      </c>
      <c r="E2062" s="56" t="s">
        <v>607</v>
      </c>
    </row>
    <row r="2063">
      <c r="B2063" s="4" t="s">
        <v>607</v>
      </c>
      <c r="C2063" s="6" t="s">
        <v>607</v>
      </c>
      <c r="D2063" s="4" t="s">
        <v>607</v>
      </c>
      <c r="E2063" s="56" t="s">
        <v>607</v>
      </c>
    </row>
    <row r="2064">
      <c r="B2064" s="4" t="s">
        <v>607</v>
      </c>
      <c r="C2064" s="6" t="s">
        <v>607</v>
      </c>
      <c r="D2064" s="4" t="s">
        <v>607</v>
      </c>
      <c r="E2064" s="56" t="s">
        <v>607</v>
      </c>
    </row>
    <row r="2065">
      <c r="B2065" s="4" t="s">
        <v>607</v>
      </c>
      <c r="C2065" s="6" t="s">
        <v>607</v>
      </c>
      <c r="D2065" s="4" t="s">
        <v>607</v>
      </c>
      <c r="E2065" s="56" t="s">
        <v>607</v>
      </c>
    </row>
    <row r="2066">
      <c r="B2066" s="4" t="s">
        <v>607</v>
      </c>
      <c r="C2066" s="6" t="s">
        <v>607</v>
      </c>
      <c r="D2066" s="4" t="s">
        <v>607</v>
      </c>
      <c r="E2066" s="56" t="s">
        <v>607</v>
      </c>
    </row>
    <row r="2067">
      <c r="B2067" s="4" t="s">
        <v>607</v>
      </c>
      <c r="C2067" s="6" t="s">
        <v>607</v>
      </c>
      <c r="D2067" s="4" t="s">
        <v>607</v>
      </c>
      <c r="E2067" s="56" t="s">
        <v>607</v>
      </c>
    </row>
    <row r="2068">
      <c r="B2068" s="4" t="s">
        <v>607</v>
      </c>
      <c r="C2068" s="6" t="s">
        <v>607</v>
      </c>
      <c r="D2068" s="4" t="s">
        <v>607</v>
      </c>
      <c r="E2068" s="56" t="s">
        <v>607</v>
      </c>
    </row>
    <row r="2069">
      <c r="B2069" s="4" t="s">
        <v>607</v>
      </c>
      <c r="C2069" s="6" t="s">
        <v>607</v>
      </c>
      <c r="D2069" s="4" t="s">
        <v>607</v>
      </c>
      <c r="E2069" s="56" t="s">
        <v>607</v>
      </c>
    </row>
    <row r="2070">
      <c r="B2070" s="4" t="s">
        <v>607</v>
      </c>
      <c r="C2070" s="6" t="s">
        <v>607</v>
      </c>
      <c r="D2070" s="4" t="s">
        <v>607</v>
      </c>
      <c r="E2070" s="56" t="s">
        <v>607</v>
      </c>
    </row>
    <row r="2071">
      <c r="B2071" s="4" t="s">
        <v>607</v>
      </c>
      <c r="C2071" s="6" t="s">
        <v>607</v>
      </c>
      <c r="D2071" s="4" t="s">
        <v>607</v>
      </c>
      <c r="E2071" s="56" t="s">
        <v>607</v>
      </c>
    </row>
    <row r="2072">
      <c r="B2072" s="4" t="s">
        <v>607</v>
      </c>
      <c r="C2072" s="6" t="s">
        <v>607</v>
      </c>
      <c r="D2072" s="4" t="s">
        <v>607</v>
      </c>
      <c r="E2072" s="56" t="s">
        <v>607</v>
      </c>
    </row>
    <row r="2073">
      <c r="B2073" s="4" t="s">
        <v>607</v>
      </c>
      <c r="C2073" s="6" t="s">
        <v>607</v>
      </c>
      <c r="D2073" s="4" t="s">
        <v>607</v>
      </c>
      <c r="E2073" s="56" t="s">
        <v>607</v>
      </c>
    </row>
    <row r="2074">
      <c r="B2074" s="4" t="s">
        <v>607</v>
      </c>
      <c r="C2074" s="6" t="s">
        <v>607</v>
      </c>
      <c r="D2074" s="4" t="s">
        <v>607</v>
      </c>
      <c r="E2074" s="56" t="s">
        <v>607</v>
      </c>
    </row>
    <row r="2075">
      <c r="B2075" s="4" t="s">
        <v>607</v>
      </c>
      <c r="C2075" s="6" t="s">
        <v>607</v>
      </c>
      <c r="D2075" s="4" t="s">
        <v>607</v>
      </c>
      <c r="E2075" s="56" t="s">
        <v>607</v>
      </c>
    </row>
    <row r="2076">
      <c r="B2076" s="4" t="s">
        <v>607</v>
      </c>
      <c r="C2076" s="6" t="s">
        <v>607</v>
      </c>
      <c r="D2076" s="4" t="s">
        <v>607</v>
      </c>
      <c r="E2076" s="56" t="s">
        <v>607</v>
      </c>
    </row>
    <row r="2077">
      <c r="B2077" s="4" t="s">
        <v>607</v>
      </c>
      <c r="C2077" s="6" t="s">
        <v>607</v>
      </c>
      <c r="D2077" s="4" t="s">
        <v>607</v>
      </c>
      <c r="E2077" s="56" t="s">
        <v>607</v>
      </c>
    </row>
    <row r="2078">
      <c r="B2078" s="4" t="s">
        <v>607</v>
      </c>
      <c r="C2078" s="6" t="s">
        <v>607</v>
      </c>
      <c r="D2078" s="4" t="s">
        <v>607</v>
      </c>
      <c r="E2078" s="56" t="s">
        <v>607</v>
      </c>
    </row>
    <row r="2079">
      <c r="B2079" s="4" t="s">
        <v>607</v>
      </c>
      <c r="C2079" s="6" t="s">
        <v>607</v>
      </c>
      <c r="D2079" s="4" t="s">
        <v>607</v>
      </c>
      <c r="E2079" s="56" t="s">
        <v>607</v>
      </c>
    </row>
    <row r="2080">
      <c r="B2080" s="4" t="s">
        <v>607</v>
      </c>
      <c r="C2080" s="6" t="s">
        <v>607</v>
      </c>
      <c r="D2080" s="4" t="s">
        <v>607</v>
      </c>
      <c r="E2080" s="56" t="s">
        <v>607</v>
      </c>
    </row>
    <row r="2081">
      <c r="B2081" s="4" t="s">
        <v>607</v>
      </c>
      <c r="C2081" s="6" t="s">
        <v>607</v>
      </c>
      <c r="D2081" s="4" t="s">
        <v>607</v>
      </c>
      <c r="E2081" s="56" t="s">
        <v>607</v>
      </c>
    </row>
    <row r="2082">
      <c r="B2082" s="4" t="s">
        <v>607</v>
      </c>
      <c r="C2082" s="6" t="s">
        <v>607</v>
      </c>
      <c r="D2082" s="4" t="s">
        <v>607</v>
      </c>
      <c r="E2082" s="56" t="s">
        <v>607</v>
      </c>
    </row>
    <row r="2083">
      <c r="B2083" s="4" t="s">
        <v>607</v>
      </c>
      <c r="C2083" s="6" t="s">
        <v>607</v>
      </c>
      <c r="D2083" s="4" t="s">
        <v>607</v>
      </c>
      <c r="E2083" s="56" t="s">
        <v>607</v>
      </c>
    </row>
    <row r="2084">
      <c r="B2084" s="4" t="s">
        <v>607</v>
      </c>
      <c r="C2084" s="6" t="s">
        <v>607</v>
      </c>
      <c r="D2084" s="4" t="s">
        <v>607</v>
      </c>
      <c r="E2084" s="56" t="s">
        <v>607</v>
      </c>
    </row>
    <row r="2085">
      <c r="B2085" s="4" t="s">
        <v>607</v>
      </c>
      <c r="C2085" s="6" t="s">
        <v>607</v>
      </c>
      <c r="D2085" s="4" t="s">
        <v>607</v>
      </c>
      <c r="E2085" s="56" t="s">
        <v>607</v>
      </c>
    </row>
    <row r="2086">
      <c r="B2086" s="4" t="s">
        <v>607</v>
      </c>
      <c r="C2086" s="6" t="s">
        <v>607</v>
      </c>
      <c r="D2086" s="4" t="s">
        <v>607</v>
      </c>
      <c r="E2086" s="56" t="s">
        <v>607</v>
      </c>
    </row>
    <row r="2087">
      <c r="B2087" s="4" t="s">
        <v>607</v>
      </c>
      <c r="C2087" s="6" t="s">
        <v>607</v>
      </c>
      <c r="D2087" s="4" t="s">
        <v>607</v>
      </c>
      <c r="E2087" s="56" t="s">
        <v>607</v>
      </c>
    </row>
    <row r="2088">
      <c r="B2088" s="4" t="s">
        <v>607</v>
      </c>
      <c r="C2088" s="6" t="s">
        <v>607</v>
      </c>
      <c r="D2088" s="4" t="s">
        <v>607</v>
      </c>
      <c r="E2088" s="56" t="s">
        <v>607</v>
      </c>
    </row>
    <row r="2089">
      <c r="B2089" s="4" t="s">
        <v>607</v>
      </c>
      <c r="C2089" s="6" t="s">
        <v>607</v>
      </c>
      <c r="D2089" s="4" t="s">
        <v>607</v>
      </c>
      <c r="E2089" s="56" t="s">
        <v>607</v>
      </c>
    </row>
    <row r="2090">
      <c r="B2090" s="4" t="s">
        <v>607</v>
      </c>
      <c r="C2090" s="6" t="s">
        <v>607</v>
      </c>
      <c r="D2090" s="4" t="s">
        <v>607</v>
      </c>
      <c r="E2090" s="56" t="s">
        <v>607</v>
      </c>
    </row>
    <row r="2091">
      <c r="B2091" s="4" t="s">
        <v>607</v>
      </c>
      <c r="C2091" s="6" t="s">
        <v>607</v>
      </c>
      <c r="D2091" s="4" t="s">
        <v>607</v>
      </c>
      <c r="E2091" s="56" t="s">
        <v>607</v>
      </c>
    </row>
    <row r="2092">
      <c r="B2092" s="4" t="s">
        <v>607</v>
      </c>
      <c r="C2092" s="6" t="s">
        <v>607</v>
      </c>
      <c r="D2092" s="4" t="s">
        <v>607</v>
      </c>
      <c r="E2092" s="56" t="s">
        <v>607</v>
      </c>
    </row>
    <row r="2093">
      <c r="B2093" s="4" t="s">
        <v>607</v>
      </c>
      <c r="C2093" s="6" t="s">
        <v>607</v>
      </c>
      <c r="D2093" s="4" t="s">
        <v>607</v>
      </c>
      <c r="E2093" s="56" t="s">
        <v>607</v>
      </c>
    </row>
    <row r="2094">
      <c r="B2094" s="4" t="s">
        <v>607</v>
      </c>
      <c r="C2094" s="6" t="s">
        <v>607</v>
      </c>
      <c r="D2094" s="4" t="s">
        <v>607</v>
      </c>
      <c r="E2094" s="56" t="s">
        <v>607</v>
      </c>
    </row>
    <row r="2095">
      <c r="B2095" s="4" t="s">
        <v>607</v>
      </c>
      <c r="C2095" s="6" t="s">
        <v>607</v>
      </c>
      <c r="D2095" s="4" t="s">
        <v>607</v>
      </c>
      <c r="E2095" s="56" t="s">
        <v>607</v>
      </c>
    </row>
    <row r="2096">
      <c r="B2096" s="4" t="s">
        <v>607</v>
      </c>
      <c r="C2096" s="6" t="s">
        <v>607</v>
      </c>
      <c r="D2096" s="4" t="s">
        <v>607</v>
      </c>
      <c r="E2096" s="56" t="s">
        <v>607</v>
      </c>
    </row>
    <row r="2097">
      <c r="B2097" s="4" t="s">
        <v>607</v>
      </c>
      <c r="C2097" s="6" t="s">
        <v>607</v>
      </c>
      <c r="D2097" s="4" t="s">
        <v>607</v>
      </c>
      <c r="E2097" s="56" t="s">
        <v>607</v>
      </c>
    </row>
    <row r="2098">
      <c r="B2098" s="4" t="s">
        <v>607</v>
      </c>
      <c r="C2098" s="6" t="s">
        <v>607</v>
      </c>
      <c r="D2098" s="4" t="s">
        <v>607</v>
      </c>
      <c r="E2098" s="56" t="s">
        <v>607</v>
      </c>
    </row>
    <row r="2099">
      <c r="B2099" s="4" t="s">
        <v>607</v>
      </c>
      <c r="C2099" s="6" t="s">
        <v>607</v>
      </c>
      <c r="D2099" s="4" t="s">
        <v>607</v>
      </c>
      <c r="E2099" s="56" t="s">
        <v>607</v>
      </c>
    </row>
    <row r="2100">
      <c r="B2100" s="4" t="s">
        <v>607</v>
      </c>
      <c r="C2100" s="6" t="s">
        <v>607</v>
      </c>
      <c r="D2100" s="4" t="s">
        <v>607</v>
      </c>
      <c r="E2100" s="56" t="s">
        <v>607</v>
      </c>
    </row>
    <row r="2101">
      <c r="B2101" s="4" t="s">
        <v>607</v>
      </c>
      <c r="C2101" s="6" t="s">
        <v>607</v>
      </c>
      <c r="D2101" s="4" t="s">
        <v>607</v>
      </c>
      <c r="E2101" s="56" t="s">
        <v>607</v>
      </c>
    </row>
    <row r="2102">
      <c r="B2102" s="4" t="s">
        <v>607</v>
      </c>
      <c r="C2102" s="6" t="s">
        <v>607</v>
      </c>
      <c r="D2102" s="4" t="s">
        <v>607</v>
      </c>
      <c r="E2102" s="56" t="s">
        <v>607</v>
      </c>
    </row>
    <row r="2103">
      <c r="B2103" s="4" t="s">
        <v>607</v>
      </c>
      <c r="C2103" s="6" t="s">
        <v>607</v>
      </c>
      <c r="D2103" s="4" t="s">
        <v>607</v>
      </c>
      <c r="E2103" s="56" t="s">
        <v>607</v>
      </c>
    </row>
    <row r="2104">
      <c r="B2104" s="4" t="s">
        <v>607</v>
      </c>
      <c r="C2104" s="6" t="s">
        <v>607</v>
      </c>
      <c r="D2104" s="4" t="s">
        <v>607</v>
      </c>
      <c r="E2104" s="56" t="s">
        <v>607</v>
      </c>
    </row>
    <row r="2105">
      <c r="B2105" s="4" t="s">
        <v>607</v>
      </c>
      <c r="C2105" s="6" t="s">
        <v>607</v>
      </c>
      <c r="D2105" s="4" t="s">
        <v>607</v>
      </c>
      <c r="E2105" s="56" t="s">
        <v>607</v>
      </c>
    </row>
    <row r="2106">
      <c r="B2106" s="4" t="s">
        <v>607</v>
      </c>
      <c r="C2106" s="6" t="s">
        <v>607</v>
      </c>
      <c r="D2106" s="4" t="s">
        <v>607</v>
      </c>
      <c r="E2106" s="56" t="s">
        <v>607</v>
      </c>
    </row>
    <row r="2107">
      <c r="B2107" s="4" t="s">
        <v>607</v>
      </c>
      <c r="C2107" s="6" t="s">
        <v>607</v>
      </c>
      <c r="D2107" s="4" t="s">
        <v>607</v>
      </c>
      <c r="E2107" s="56" t="s">
        <v>607</v>
      </c>
    </row>
    <row r="2108">
      <c r="B2108" s="4" t="s">
        <v>607</v>
      </c>
      <c r="C2108" s="6" t="s">
        <v>607</v>
      </c>
      <c r="D2108" s="4" t="s">
        <v>607</v>
      </c>
      <c r="E2108" s="56" t="s">
        <v>607</v>
      </c>
    </row>
    <row r="2109">
      <c r="B2109" s="4" t="s">
        <v>607</v>
      </c>
      <c r="C2109" s="6" t="s">
        <v>607</v>
      </c>
      <c r="D2109" s="4" t="s">
        <v>607</v>
      </c>
      <c r="E2109" s="56" t="s">
        <v>607</v>
      </c>
    </row>
    <row r="2110">
      <c r="B2110" s="4" t="s">
        <v>607</v>
      </c>
      <c r="C2110" s="6" t="s">
        <v>607</v>
      </c>
      <c r="D2110" s="4" t="s">
        <v>607</v>
      </c>
      <c r="E2110" s="56" t="s">
        <v>607</v>
      </c>
    </row>
    <row r="2111">
      <c r="B2111" s="4" t="s">
        <v>607</v>
      </c>
      <c r="C2111" s="6" t="s">
        <v>607</v>
      </c>
      <c r="D2111" s="4" t="s">
        <v>607</v>
      </c>
      <c r="E2111" s="56" t="s">
        <v>607</v>
      </c>
    </row>
    <row r="2112">
      <c r="B2112" s="4" t="s">
        <v>607</v>
      </c>
      <c r="C2112" s="6" t="s">
        <v>607</v>
      </c>
      <c r="D2112" s="4" t="s">
        <v>607</v>
      </c>
      <c r="E2112" s="56" t="s">
        <v>607</v>
      </c>
    </row>
    <row r="2113">
      <c r="B2113" s="4" t="s">
        <v>607</v>
      </c>
      <c r="C2113" s="6" t="s">
        <v>607</v>
      </c>
      <c r="D2113" s="4" t="s">
        <v>607</v>
      </c>
      <c r="E2113" s="56" t="s">
        <v>607</v>
      </c>
    </row>
    <row r="2114">
      <c r="B2114" s="4" t="s">
        <v>607</v>
      </c>
      <c r="C2114" s="6" t="s">
        <v>607</v>
      </c>
      <c r="D2114" s="4" t="s">
        <v>607</v>
      </c>
      <c r="E2114" s="56" t="s">
        <v>607</v>
      </c>
    </row>
    <row r="2115">
      <c r="B2115" s="4" t="s">
        <v>607</v>
      </c>
      <c r="C2115" s="6" t="s">
        <v>607</v>
      </c>
      <c r="D2115" s="4" t="s">
        <v>607</v>
      </c>
      <c r="E2115" s="56" t="s">
        <v>607</v>
      </c>
    </row>
    <row r="2116">
      <c r="B2116" s="4" t="s">
        <v>607</v>
      </c>
      <c r="C2116" s="6" t="s">
        <v>607</v>
      </c>
      <c r="D2116" s="4" t="s">
        <v>607</v>
      </c>
      <c r="E2116" s="56" t="s">
        <v>607</v>
      </c>
    </row>
    <row r="2117">
      <c r="B2117" s="4" t="s">
        <v>607</v>
      </c>
      <c r="C2117" s="6" t="s">
        <v>607</v>
      </c>
      <c r="D2117" s="4" t="s">
        <v>607</v>
      </c>
      <c r="E2117" s="56" t="s">
        <v>607</v>
      </c>
    </row>
    <row r="2118">
      <c r="B2118" s="4" t="s">
        <v>607</v>
      </c>
      <c r="C2118" s="6" t="s">
        <v>607</v>
      </c>
      <c r="D2118" s="4" t="s">
        <v>607</v>
      </c>
      <c r="E2118" s="56" t="s">
        <v>607</v>
      </c>
    </row>
    <row r="2119">
      <c r="B2119" s="4" t="s">
        <v>607</v>
      </c>
      <c r="C2119" s="6" t="s">
        <v>607</v>
      </c>
      <c r="D2119" s="4" t="s">
        <v>607</v>
      </c>
      <c r="E2119" s="56" t="s">
        <v>607</v>
      </c>
    </row>
    <row r="2120">
      <c r="B2120" s="4" t="s">
        <v>607</v>
      </c>
      <c r="C2120" s="6" t="s">
        <v>607</v>
      </c>
      <c r="D2120" s="4" t="s">
        <v>607</v>
      </c>
      <c r="E2120" s="56" t="s">
        <v>607</v>
      </c>
    </row>
    <row r="2121">
      <c r="B2121" s="4" t="s">
        <v>607</v>
      </c>
      <c r="C2121" s="6" t="s">
        <v>607</v>
      </c>
      <c r="D2121" s="4" t="s">
        <v>607</v>
      </c>
      <c r="E2121" s="56" t="s">
        <v>607</v>
      </c>
    </row>
    <row r="2122">
      <c r="B2122" s="4" t="s">
        <v>607</v>
      </c>
      <c r="C2122" s="6" t="s">
        <v>607</v>
      </c>
      <c r="D2122" s="4" t="s">
        <v>607</v>
      </c>
      <c r="E2122" s="56" t="s">
        <v>607</v>
      </c>
    </row>
    <row r="2123">
      <c r="B2123" s="4" t="s">
        <v>607</v>
      </c>
      <c r="C2123" s="6" t="s">
        <v>607</v>
      </c>
      <c r="D2123" s="4" t="s">
        <v>607</v>
      </c>
      <c r="E2123" s="56" t="s">
        <v>607</v>
      </c>
    </row>
    <row r="2124">
      <c r="B2124" s="4" t="s">
        <v>607</v>
      </c>
      <c r="C2124" s="6" t="s">
        <v>607</v>
      </c>
      <c r="D2124" s="4" t="s">
        <v>607</v>
      </c>
      <c r="E2124" s="56" t="s">
        <v>607</v>
      </c>
    </row>
    <row r="2125">
      <c r="B2125" s="4" t="s">
        <v>607</v>
      </c>
      <c r="C2125" s="6" t="s">
        <v>607</v>
      </c>
      <c r="D2125" s="4" t="s">
        <v>607</v>
      </c>
      <c r="E2125" s="56" t="s">
        <v>607</v>
      </c>
    </row>
    <row r="2126">
      <c r="B2126" s="4" t="s">
        <v>607</v>
      </c>
      <c r="C2126" s="6" t="s">
        <v>607</v>
      </c>
      <c r="D2126" s="4" t="s">
        <v>607</v>
      </c>
      <c r="E2126" s="56" t="s">
        <v>607</v>
      </c>
    </row>
    <row r="2127">
      <c r="B2127" s="4" t="s">
        <v>607</v>
      </c>
      <c r="C2127" s="6" t="s">
        <v>607</v>
      </c>
      <c r="D2127" s="4" t="s">
        <v>607</v>
      </c>
      <c r="E2127" s="56" t="s">
        <v>607</v>
      </c>
    </row>
    <row r="2128">
      <c r="B2128" s="4" t="s">
        <v>607</v>
      </c>
      <c r="C2128" s="6" t="s">
        <v>607</v>
      </c>
      <c r="D2128" s="4" t="s">
        <v>607</v>
      </c>
      <c r="E2128" s="56" t="s">
        <v>607</v>
      </c>
    </row>
    <row r="2129">
      <c r="B2129" s="4" t="s">
        <v>607</v>
      </c>
      <c r="C2129" s="6" t="s">
        <v>607</v>
      </c>
      <c r="D2129" s="4" t="s">
        <v>607</v>
      </c>
      <c r="E2129" s="56" t="s">
        <v>607</v>
      </c>
    </row>
    <row r="2130">
      <c r="B2130" s="4" t="s">
        <v>607</v>
      </c>
      <c r="C2130" s="6" t="s">
        <v>607</v>
      </c>
      <c r="D2130" s="4" t="s">
        <v>607</v>
      </c>
      <c r="E2130" s="56" t="s">
        <v>607</v>
      </c>
    </row>
    <row r="2131">
      <c r="B2131" s="4" t="s">
        <v>607</v>
      </c>
      <c r="C2131" s="6" t="s">
        <v>607</v>
      </c>
      <c r="D2131" s="4" t="s">
        <v>607</v>
      </c>
      <c r="E2131" s="56" t="s">
        <v>607</v>
      </c>
    </row>
    <row r="2132">
      <c r="B2132" s="4" t="s">
        <v>607</v>
      </c>
      <c r="C2132" s="6" t="s">
        <v>607</v>
      </c>
      <c r="D2132" s="4" t="s">
        <v>607</v>
      </c>
      <c r="E2132" s="56" t="s">
        <v>607</v>
      </c>
    </row>
    <row r="2133">
      <c r="B2133" s="4" t="s">
        <v>607</v>
      </c>
      <c r="C2133" s="6" t="s">
        <v>607</v>
      </c>
      <c r="D2133" s="4" t="s">
        <v>607</v>
      </c>
      <c r="E2133" s="56" t="s">
        <v>607</v>
      </c>
    </row>
    <row r="2134">
      <c r="B2134" s="4" t="s">
        <v>607</v>
      </c>
      <c r="C2134" s="6" t="s">
        <v>607</v>
      </c>
      <c r="D2134" s="4" t="s">
        <v>607</v>
      </c>
      <c r="E2134" s="56" t="s">
        <v>607</v>
      </c>
    </row>
    <row r="2135">
      <c r="B2135" s="4" t="s">
        <v>607</v>
      </c>
      <c r="C2135" s="6" t="s">
        <v>607</v>
      </c>
      <c r="D2135" s="4" t="s">
        <v>607</v>
      </c>
      <c r="E2135" s="56" t="s">
        <v>607</v>
      </c>
    </row>
    <row r="2136">
      <c r="B2136" s="4" t="s">
        <v>607</v>
      </c>
      <c r="C2136" s="6" t="s">
        <v>607</v>
      </c>
      <c r="D2136" s="4" t="s">
        <v>607</v>
      </c>
      <c r="E2136" s="56" t="s">
        <v>607</v>
      </c>
    </row>
    <row r="2137">
      <c r="B2137" s="4" t="s">
        <v>607</v>
      </c>
      <c r="C2137" s="6" t="s">
        <v>607</v>
      </c>
      <c r="D2137" s="4" t="s">
        <v>607</v>
      </c>
      <c r="E2137" s="56" t="s">
        <v>607</v>
      </c>
    </row>
    <row r="2138">
      <c r="B2138" s="4" t="s">
        <v>607</v>
      </c>
      <c r="C2138" s="6" t="s">
        <v>607</v>
      </c>
      <c r="D2138" s="4" t="s">
        <v>607</v>
      </c>
      <c r="E2138" s="56" t="s">
        <v>607</v>
      </c>
    </row>
    <row r="2139">
      <c r="B2139" s="4" t="s">
        <v>607</v>
      </c>
      <c r="C2139" s="6" t="s">
        <v>607</v>
      </c>
      <c r="D2139" s="4" t="s">
        <v>607</v>
      </c>
      <c r="E2139" s="56" t="s">
        <v>607</v>
      </c>
    </row>
    <row r="2140">
      <c r="B2140" s="4" t="s">
        <v>607</v>
      </c>
      <c r="C2140" s="6" t="s">
        <v>607</v>
      </c>
      <c r="D2140" s="4" t="s">
        <v>607</v>
      </c>
      <c r="E2140" s="56" t="s">
        <v>607</v>
      </c>
    </row>
    <row r="2141">
      <c r="B2141" s="4" t="s">
        <v>607</v>
      </c>
      <c r="C2141" s="6" t="s">
        <v>607</v>
      </c>
      <c r="D2141" s="4" t="s">
        <v>607</v>
      </c>
      <c r="E2141" s="56" t="s">
        <v>607</v>
      </c>
    </row>
    <row r="2142">
      <c r="B2142" s="4" t="s">
        <v>607</v>
      </c>
      <c r="C2142" s="6" t="s">
        <v>607</v>
      </c>
      <c r="D2142" s="4" t="s">
        <v>607</v>
      </c>
      <c r="E2142" s="56" t="s">
        <v>607</v>
      </c>
    </row>
    <row r="2143">
      <c r="B2143" s="4" t="s">
        <v>607</v>
      </c>
      <c r="C2143" s="6" t="s">
        <v>607</v>
      </c>
      <c r="D2143" s="4" t="s">
        <v>607</v>
      </c>
      <c r="E2143" s="56" t="s">
        <v>607</v>
      </c>
    </row>
    <row r="2144">
      <c r="B2144" s="4" t="s">
        <v>607</v>
      </c>
      <c r="C2144" s="6" t="s">
        <v>607</v>
      </c>
      <c r="D2144" s="4" t="s">
        <v>607</v>
      </c>
      <c r="E2144" s="56" t="s">
        <v>607</v>
      </c>
    </row>
    <row r="2145">
      <c r="B2145" s="4" t="s">
        <v>607</v>
      </c>
      <c r="C2145" s="6" t="s">
        <v>607</v>
      </c>
      <c r="D2145" s="4" t="s">
        <v>607</v>
      </c>
      <c r="E2145" s="56" t="s">
        <v>607</v>
      </c>
    </row>
    <row r="2146">
      <c r="B2146" s="4" t="s">
        <v>607</v>
      </c>
      <c r="C2146" s="6" t="s">
        <v>607</v>
      </c>
      <c r="D2146" s="4" t="s">
        <v>607</v>
      </c>
      <c r="E2146" s="56" t="s">
        <v>607</v>
      </c>
    </row>
    <row r="2147">
      <c r="B2147" s="4" t="s">
        <v>607</v>
      </c>
      <c r="C2147" s="6" t="s">
        <v>607</v>
      </c>
      <c r="D2147" s="4" t="s">
        <v>607</v>
      </c>
      <c r="E2147" s="56" t="s">
        <v>607</v>
      </c>
    </row>
    <row r="2148">
      <c r="B2148" s="4" t="s">
        <v>607</v>
      </c>
      <c r="C2148" s="6" t="s">
        <v>607</v>
      </c>
      <c r="D2148" s="4" t="s">
        <v>607</v>
      </c>
      <c r="E2148" s="56" t="s">
        <v>607</v>
      </c>
    </row>
    <row r="2149">
      <c r="B2149" s="4" t="s">
        <v>607</v>
      </c>
      <c r="C2149" s="6" t="s">
        <v>607</v>
      </c>
      <c r="D2149" s="4" t="s">
        <v>607</v>
      </c>
      <c r="E2149" s="56" t="s">
        <v>607</v>
      </c>
    </row>
    <row r="2150">
      <c r="B2150" s="4" t="s">
        <v>607</v>
      </c>
      <c r="C2150" s="6" t="s">
        <v>607</v>
      </c>
      <c r="D2150" s="4" t="s">
        <v>607</v>
      </c>
      <c r="E2150" s="56" t="s">
        <v>607</v>
      </c>
    </row>
    <row r="2151">
      <c r="B2151" s="4" t="s">
        <v>607</v>
      </c>
      <c r="C2151" s="6" t="s">
        <v>607</v>
      </c>
      <c r="D2151" s="4" t="s">
        <v>607</v>
      </c>
      <c r="E2151" s="56" t="s">
        <v>607</v>
      </c>
    </row>
    <row r="2152">
      <c r="B2152" s="4" t="s">
        <v>607</v>
      </c>
      <c r="C2152" s="6" t="s">
        <v>607</v>
      </c>
      <c r="D2152" s="4" t="s">
        <v>607</v>
      </c>
      <c r="E2152" s="56" t="s">
        <v>607</v>
      </c>
    </row>
    <row r="2153">
      <c r="B2153" s="4" t="s">
        <v>607</v>
      </c>
      <c r="C2153" s="6" t="s">
        <v>607</v>
      </c>
      <c r="D2153" s="4" t="s">
        <v>607</v>
      </c>
      <c r="E2153" s="56" t="s">
        <v>607</v>
      </c>
    </row>
    <row r="2154">
      <c r="B2154" s="4" t="s">
        <v>607</v>
      </c>
      <c r="C2154" s="6" t="s">
        <v>607</v>
      </c>
      <c r="D2154" s="4" t="s">
        <v>607</v>
      </c>
      <c r="E2154" s="56" t="s">
        <v>607</v>
      </c>
    </row>
    <row r="2155">
      <c r="B2155" s="4" t="s">
        <v>607</v>
      </c>
      <c r="C2155" s="6" t="s">
        <v>607</v>
      </c>
      <c r="D2155" s="4" t="s">
        <v>607</v>
      </c>
      <c r="E2155" s="56" t="s">
        <v>607</v>
      </c>
    </row>
    <row r="2156">
      <c r="B2156" s="4" t="s">
        <v>607</v>
      </c>
      <c r="C2156" s="6" t="s">
        <v>607</v>
      </c>
      <c r="D2156" s="4" t="s">
        <v>607</v>
      </c>
      <c r="E2156" s="56" t="s">
        <v>607</v>
      </c>
    </row>
    <row r="2157">
      <c r="B2157" s="4" t="s">
        <v>607</v>
      </c>
      <c r="C2157" s="6" t="s">
        <v>607</v>
      </c>
      <c r="D2157" s="4" t="s">
        <v>607</v>
      </c>
      <c r="E2157" s="56" t="s">
        <v>607</v>
      </c>
    </row>
    <row r="2158">
      <c r="B2158" s="4" t="s">
        <v>607</v>
      </c>
      <c r="C2158" s="6" t="s">
        <v>607</v>
      </c>
      <c r="D2158" s="4" t="s">
        <v>607</v>
      </c>
      <c r="E2158" s="56" t="s">
        <v>607</v>
      </c>
    </row>
    <row r="2159">
      <c r="B2159" s="4" t="s">
        <v>607</v>
      </c>
      <c r="C2159" s="6" t="s">
        <v>607</v>
      </c>
      <c r="D2159" s="4" t="s">
        <v>607</v>
      </c>
      <c r="E2159" s="56" t="s">
        <v>607</v>
      </c>
    </row>
    <row r="2160">
      <c r="B2160" s="4" t="s">
        <v>607</v>
      </c>
      <c r="C2160" s="6" t="s">
        <v>607</v>
      </c>
      <c r="D2160" s="4" t="s">
        <v>607</v>
      </c>
      <c r="E2160" s="56" t="s">
        <v>607</v>
      </c>
    </row>
    <row r="2161">
      <c r="B2161" s="4" t="s">
        <v>607</v>
      </c>
      <c r="C2161" s="6" t="s">
        <v>607</v>
      </c>
      <c r="D2161" s="4" t="s">
        <v>607</v>
      </c>
      <c r="E2161" s="56" t="s">
        <v>607</v>
      </c>
    </row>
    <row r="2162">
      <c r="B2162" s="4" t="s">
        <v>607</v>
      </c>
      <c r="C2162" s="6" t="s">
        <v>607</v>
      </c>
      <c r="D2162" s="4" t="s">
        <v>607</v>
      </c>
      <c r="E2162" s="56" t="s">
        <v>607</v>
      </c>
    </row>
    <row r="2163">
      <c r="B2163" s="4" t="s">
        <v>607</v>
      </c>
      <c r="C2163" s="6" t="s">
        <v>607</v>
      </c>
      <c r="D2163" s="4" t="s">
        <v>607</v>
      </c>
      <c r="E2163" s="56" t="s">
        <v>607</v>
      </c>
    </row>
    <row r="2164">
      <c r="B2164" s="4" t="s">
        <v>607</v>
      </c>
      <c r="C2164" s="6" t="s">
        <v>607</v>
      </c>
      <c r="D2164" s="4" t="s">
        <v>607</v>
      </c>
      <c r="E2164" s="56" t="s">
        <v>607</v>
      </c>
    </row>
    <row r="2165">
      <c r="B2165" s="4" t="s">
        <v>607</v>
      </c>
      <c r="C2165" s="6" t="s">
        <v>607</v>
      </c>
      <c r="D2165" s="4" t="s">
        <v>607</v>
      </c>
      <c r="E2165" s="56" t="s">
        <v>607</v>
      </c>
    </row>
    <row r="2166">
      <c r="B2166" s="4" t="s">
        <v>607</v>
      </c>
      <c r="C2166" s="6" t="s">
        <v>607</v>
      </c>
      <c r="D2166" s="4" t="s">
        <v>607</v>
      </c>
      <c r="E2166" s="56" t="s">
        <v>607</v>
      </c>
    </row>
    <row r="2167">
      <c r="B2167" s="4" t="s">
        <v>607</v>
      </c>
      <c r="C2167" s="6" t="s">
        <v>607</v>
      </c>
      <c r="D2167" s="4" t="s">
        <v>607</v>
      </c>
      <c r="E2167" s="56" t="s">
        <v>607</v>
      </c>
    </row>
    <row r="2168">
      <c r="B2168" s="4" t="s">
        <v>607</v>
      </c>
      <c r="C2168" s="6" t="s">
        <v>607</v>
      </c>
      <c r="D2168" s="4" t="s">
        <v>607</v>
      </c>
      <c r="E2168" s="56" t="s">
        <v>607</v>
      </c>
    </row>
    <row r="2169">
      <c r="B2169" s="4" t="s">
        <v>607</v>
      </c>
      <c r="C2169" s="6" t="s">
        <v>607</v>
      </c>
      <c r="D2169" s="4" t="s">
        <v>607</v>
      </c>
      <c r="E2169" s="56" t="s">
        <v>607</v>
      </c>
    </row>
    <row r="2170">
      <c r="B2170" s="4" t="s">
        <v>607</v>
      </c>
      <c r="C2170" s="6" t="s">
        <v>607</v>
      </c>
      <c r="D2170" s="4" t="s">
        <v>607</v>
      </c>
      <c r="E2170" s="56" t="s">
        <v>607</v>
      </c>
    </row>
    <row r="2171">
      <c r="B2171" s="4" t="s">
        <v>607</v>
      </c>
      <c r="C2171" s="6" t="s">
        <v>607</v>
      </c>
      <c r="D2171" s="4" t="s">
        <v>607</v>
      </c>
      <c r="E2171" s="56" t="s">
        <v>607</v>
      </c>
    </row>
    <row r="2172">
      <c r="B2172" s="4" t="s">
        <v>607</v>
      </c>
      <c r="C2172" s="6" t="s">
        <v>607</v>
      </c>
      <c r="D2172" s="4" t="s">
        <v>607</v>
      </c>
      <c r="E2172" s="56" t="s">
        <v>607</v>
      </c>
    </row>
    <row r="2173">
      <c r="B2173" s="4" t="s">
        <v>607</v>
      </c>
      <c r="C2173" s="6" t="s">
        <v>607</v>
      </c>
      <c r="D2173" s="4" t="s">
        <v>607</v>
      </c>
      <c r="E2173" s="56" t="s">
        <v>607</v>
      </c>
    </row>
    <row r="2174">
      <c r="B2174" s="4" t="s">
        <v>607</v>
      </c>
      <c r="C2174" s="6" t="s">
        <v>607</v>
      </c>
      <c r="D2174" s="4" t="s">
        <v>607</v>
      </c>
      <c r="E2174" s="56" t="s">
        <v>607</v>
      </c>
    </row>
    <row r="2175">
      <c r="B2175" s="4" t="s">
        <v>607</v>
      </c>
      <c r="C2175" s="6" t="s">
        <v>607</v>
      </c>
      <c r="D2175" s="4" t="s">
        <v>607</v>
      </c>
      <c r="E2175" s="56" t="s">
        <v>607</v>
      </c>
    </row>
    <row r="2176">
      <c r="B2176" s="4" t="s">
        <v>607</v>
      </c>
      <c r="C2176" s="6" t="s">
        <v>607</v>
      </c>
      <c r="D2176" s="4" t="s">
        <v>607</v>
      </c>
      <c r="E2176" s="56" t="s">
        <v>607</v>
      </c>
    </row>
    <row r="2177">
      <c r="B2177" s="4" t="s">
        <v>607</v>
      </c>
      <c r="C2177" s="6" t="s">
        <v>607</v>
      </c>
      <c r="D2177" s="4" t="s">
        <v>607</v>
      </c>
      <c r="E2177" s="56" t="s">
        <v>607</v>
      </c>
    </row>
    <row r="2178">
      <c r="B2178" s="4" t="s">
        <v>607</v>
      </c>
      <c r="C2178" s="6" t="s">
        <v>607</v>
      </c>
      <c r="D2178" s="4" t="s">
        <v>607</v>
      </c>
      <c r="E2178" s="56" t="s">
        <v>607</v>
      </c>
    </row>
    <row r="2179">
      <c r="B2179" s="4" t="s">
        <v>607</v>
      </c>
      <c r="C2179" s="6" t="s">
        <v>607</v>
      </c>
      <c r="D2179" s="4" t="s">
        <v>607</v>
      </c>
      <c r="E2179" s="56" t="s">
        <v>607</v>
      </c>
    </row>
    <row r="2180">
      <c r="B2180" s="4" t="s">
        <v>607</v>
      </c>
      <c r="C2180" s="6" t="s">
        <v>607</v>
      </c>
      <c r="D2180" s="4" t="s">
        <v>607</v>
      </c>
      <c r="E2180" s="56" t="s">
        <v>607</v>
      </c>
    </row>
    <row r="2181">
      <c r="B2181" s="4" t="s">
        <v>607</v>
      </c>
      <c r="C2181" s="6" t="s">
        <v>607</v>
      </c>
      <c r="D2181" s="4" t="s">
        <v>607</v>
      </c>
      <c r="E2181" s="56" t="s">
        <v>607</v>
      </c>
    </row>
    <row r="2182">
      <c r="B2182" s="4" t="s">
        <v>607</v>
      </c>
      <c r="C2182" s="6" t="s">
        <v>607</v>
      </c>
      <c r="D2182" s="4" t="s">
        <v>607</v>
      </c>
      <c r="E2182" s="56" t="s">
        <v>607</v>
      </c>
    </row>
    <row r="2183">
      <c r="B2183" s="4" t="s">
        <v>607</v>
      </c>
      <c r="C2183" s="6" t="s">
        <v>607</v>
      </c>
      <c r="D2183" s="4" t="s">
        <v>607</v>
      </c>
      <c r="E2183" s="56" t="s">
        <v>607</v>
      </c>
    </row>
    <row r="2184">
      <c r="B2184" s="4" t="s">
        <v>607</v>
      </c>
      <c r="C2184" s="6" t="s">
        <v>607</v>
      </c>
      <c r="D2184" s="4" t="s">
        <v>607</v>
      </c>
      <c r="E2184" s="56" t="s">
        <v>607</v>
      </c>
    </row>
    <row r="2185">
      <c r="B2185" s="4" t="s">
        <v>607</v>
      </c>
      <c r="C2185" s="6" t="s">
        <v>607</v>
      </c>
      <c r="D2185" s="4" t="s">
        <v>607</v>
      </c>
      <c r="E2185" s="56" t="s">
        <v>607</v>
      </c>
    </row>
    <row r="2186">
      <c r="B2186" s="4" t="s">
        <v>607</v>
      </c>
      <c r="C2186" s="6" t="s">
        <v>607</v>
      </c>
      <c r="D2186" s="4" t="s">
        <v>607</v>
      </c>
      <c r="E2186" s="56" t="s">
        <v>607</v>
      </c>
    </row>
    <row r="2187">
      <c r="B2187" s="4" t="s">
        <v>607</v>
      </c>
      <c r="C2187" s="6" t="s">
        <v>607</v>
      </c>
      <c r="D2187" s="4" t="s">
        <v>607</v>
      </c>
      <c r="E2187" s="56" t="s">
        <v>607</v>
      </c>
    </row>
    <row r="2188">
      <c r="B2188" s="4" t="s">
        <v>607</v>
      </c>
      <c r="C2188" s="6" t="s">
        <v>607</v>
      </c>
      <c r="D2188" s="4" t="s">
        <v>607</v>
      </c>
      <c r="E2188" s="56" t="s">
        <v>607</v>
      </c>
    </row>
    <row r="2189">
      <c r="B2189" s="4" t="s">
        <v>607</v>
      </c>
      <c r="C2189" s="6" t="s">
        <v>607</v>
      </c>
      <c r="D2189" s="4" t="s">
        <v>607</v>
      </c>
      <c r="E2189" s="56" t="s">
        <v>607</v>
      </c>
    </row>
    <row r="2190">
      <c r="B2190" s="4" t="s">
        <v>607</v>
      </c>
      <c r="C2190" s="6" t="s">
        <v>607</v>
      </c>
      <c r="D2190" s="4" t="s">
        <v>607</v>
      </c>
      <c r="E2190" s="56" t="s">
        <v>607</v>
      </c>
    </row>
    <row r="2191">
      <c r="B2191" s="4" t="s">
        <v>607</v>
      </c>
      <c r="C2191" s="6" t="s">
        <v>607</v>
      </c>
      <c r="D2191" s="4" t="s">
        <v>607</v>
      </c>
      <c r="E2191" s="56" t="s">
        <v>607</v>
      </c>
    </row>
    <row r="2192">
      <c r="B2192" s="4" t="s">
        <v>607</v>
      </c>
      <c r="C2192" s="6" t="s">
        <v>607</v>
      </c>
      <c r="D2192" s="4" t="s">
        <v>607</v>
      </c>
      <c r="E2192" s="56" t="s">
        <v>607</v>
      </c>
    </row>
    <row r="2193">
      <c r="B2193" s="4" t="s">
        <v>607</v>
      </c>
      <c r="C2193" s="6" t="s">
        <v>607</v>
      </c>
      <c r="D2193" s="4" t="s">
        <v>607</v>
      </c>
      <c r="E2193" s="56" t="s">
        <v>607</v>
      </c>
    </row>
    <row r="2194">
      <c r="B2194" s="4" t="s">
        <v>607</v>
      </c>
      <c r="C2194" s="6" t="s">
        <v>607</v>
      </c>
      <c r="D2194" s="4" t="s">
        <v>607</v>
      </c>
      <c r="E2194" s="56" t="s">
        <v>607</v>
      </c>
    </row>
    <row r="2195">
      <c r="B2195" s="4" t="s">
        <v>607</v>
      </c>
      <c r="C2195" s="6" t="s">
        <v>607</v>
      </c>
      <c r="D2195" s="4" t="s">
        <v>607</v>
      </c>
      <c r="E2195" s="56" t="s">
        <v>607</v>
      </c>
    </row>
    <row r="2196">
      <c r="B2196" s="4" t="s">
        <v>607</v>
      </c>
      <c r="C2196" s="6" t="s">
        <v>607</v>
      </c>
      <c r="D2196" s="4" t="s">
        <v>607</v>
      </c>
      <c r="E2196" s="56" t="s">
        <v>607</v>
      </c>
    </row>
    <row r="2197">
      <c r="B2197" s="4" t="s">
        <v>607</v>
      </c>
      <c r="C2197" s="6" t="s">
        <v>607</v>
      </c>
      <c r="D2197" s="4" t="s">
        <v>607</v>
      </c>
      <c r="E2197" s="56" t="s">
        <v>607</v>
      </c>
    </row>
    <row r="2198">
      <c r="B2198" s="4" t="s">
        <v>607</v>
      </c>
      <c r="C2198" s="6" t="s">
        <v>607</v>
      </c>
      <c r="D2198" s="4" t="s">
        <v>607</v>
      </c>
      <c r="E2198" s="56" t="s">
        <v>607</v>
      </c>
    </row>
    <row r="2199">
      <c r="B2199" s="4" t="s">
        <v>607</v>
      </c>
      <c r="C2199" s="6" t="s">
        <v>607</v>
      </c>
      <c r="D2199" s="4" t="s">
        <v>607</v>
      </c>
      <c r="E2199" s="56" t="s">
        <v>607</v>
      </c>
    </row>
    <row r="2200">
      <c r="B2200" s="4" t="s">
        <v>607</v>
      </c>
      <c r="C2200" s="6" t="s">
        <v>607</v>
      </c>
      <c r="D2200" s="4" t="s">
        <v>607</v>
      </c>
      <c r="E2200" s="56" t="s">
        <v>607</v>
      </c>
    </row>
    <row r="2201">
      <c r="B2201" s="4" t="s">
        <v>607</v>
      </c>
      <c r="C2201" s="6" t="s">
        <v>607</v>
      </c>
      <c r="D2201" s="4" t="s">
        <v>607</v>
      </c>
      <c r="E2201" s="56" t="s">
        <v>607</v>
      </c>
    </row>
    <row r="2202">
      <c r="B2202" s="4" t="s">
        <v>607</v>
      </c>
      <c r="C2202" s="6" t="s">
        <v>607</v>
      </c>
      <c r="D2202" s="4" t="s">
        <v>607</v>
      </c>
      <c r="E2202" s="56" t="s">
        <v>607</v>
      </c>
    </row>
    <row r="2203">
      <c r="B2203" s="4" t="s">
        <v>607</v>
      </c>
      <c r="C2203" s="6" t="s">
        <v>607</v>
      </c>
      <c r="D2203" s="4" t="s">
        <v>607</v>
      </c>
      <c r="E2203" s="56" t="s">
        <v>607</v>
      </c>
    </row>
    <row r="2204">
      <c r="B2204" s="4" t="s">
        <v>607</v>
      </c>
      <c r="C2204" s="6" t="s">
        <v>607</v>
      </c>
      <c r="D2204" s="4" t="s">
        <v>607</v>
      </c>
      <c r="E2204" s="56" t="s">
        <v>607</v>
      </c>
    </row>
    <row r="2205">
      <c r="B2205" s="4" t="s">
        <v>607</v>
      </c>
      <c r="C2205" s="6" t="s">
        <v>607</v>
      </c>
      <c r="D2205" s="4" t="s">
        <v>607</v>
      </c>
      <c r="E2205" s="56" t="s">
        <v>607</v>
      </c>
    </row>
    <row r="2206">
      <c r="B2206" s="4" t="s">
        <v>607</v>
      </c>
      <c r="C2206" s="6" t="s">
        <v>607</v>
      </c>
      <c r="D2206" s="4" t="s">
        <v>607</v>
      </c>
      <c r="E2206" s="56" t="s">
        <v>607</v>
      </c>
    </row>
    <row r="2207">
      <c r="B2207" s="4" t="s">
        <v>607</v>
      </c>
      <c r="C2207" s="6" t="s">
        <v>607</v>
      </c>
      <c r="D2207" s="4" t="s">
        <v>607</v>
      </c>
      <c r="E2207" s="56" t="s">
        <v>607</v>
      </c>
    </row>
    <row r="2208">
      <c r="B2208" s="4" t="s">
        <v>607</v>
      </c>
      <c r="C2208" s="6" t="s">
        <v>607</v>
      </c>
      <c r="D2208" s="4" t="s">
        <v>607</v>
      </c>
      <c r="E2208" s="56" t="s">
        <v>607</v>
      </c>
    </row>
    <row r="2209">
      <c r="B2209" s="4" t="s">
        <v>607</v>
      </c>
      <c r="C2209" s="6" t="s">
        <v>607</v>
      </c>
      <c r="D2209" s="4" t="s">
        <v>607</v>
      </c>
      <c r="E2209" s="56" t="s">
        <v>607</v>
      </c>
    </row>
    <row r="2210">
      <c r="B2210" s="4" t="s">
        <v>607</v>
      </c>
      <c r="C2210" s="6" t="s">
        <v>607</v>
      </c>
      <c r="D2210" s="4" t="s">
        <v>607</v>
      </c>
      <c r="E2210" s="56" t="s">
        <v>607</v>
      </c>
    </row>
    <row r="2211">
      <c r="B2211" s="4" t="s">
        <v>607</v>
      </c>
      <c r="C2211" s="6" t="s">
        <v>607</v>
      </c>
      <c r="D2211" s="4" t="s">
        <v>607</v>
      </c>
      <c r="E2211" s="56" t="s">
        <v>607</v>
      </c>
    </row>
    <row r="2212">
      <c r="B2212" s="4" t="s">
        <v>607</v>
      </c>
      <c r="C2212" s="6" t="s">
        <v>607</v>
      </c>
      <c r="D2212" s="4" t="s">
        <v>607</v>
      </c>
      <c r="E2212" s="56" t="s">
        <v>607</v>
      </c>
    </row>
    <row r="2213">
      <c r="B2213" s="4" t="s">
        <v>607</v>
      </c>
      <c r="C2213" s="6" t="s">
        <v>607</v>
      </c>
      <c r="D2213" s="4" t="s">
        <v>607</v>
      </c>
      <c r="E2213" s="56" t="s">
        <v>607</v>
      </c>
    </row>
    <row r="2214">
      <c r="B2214" s="4" t="s">
        <v>607</v>
      </c>
      <c r="C2214" s="6" t="s">
        <v>607</v>
      </c>
      <c r="D2214" s="4" t="s">
        <v>607</v>
      </c>
      <c r="E2214" s="56" t="s">
        <v>607</v>
      </c>
    </row>
    <row r="2215">
      <c r="B2215" s="4" t="s">
        <v>607</v>
      </c>
      <c r="C2215" s="6" t="s">
        <v>607</v>
      </c>
      <c r="D2215" s="4" t="s">
        <v>607</v>
      </c>
      <c r="E2215" s="56" t="s">
        <v>607</v>
      </c>
    </row>
    <row r="2216">
      <c r="B2216" s="4" t="s">
        <v>607</v>
      </c>
      <c r="C2216" s="6" t="s">
        <v>607</v>
      </c>
      <c r="D2216" s="4" t="s">
        <v>607</v>
      </c>
      <c r="E2216" s="56" t="s">
        <v>607</v>
      </c>
    </row>
    <row r="2217">
      <c r="B2217" s="4" t="s">
        <v>607</v>
      </c>
      <c r="C2217" s="6" t="s">
        <v>607</v>
      </c>
      <c r="D2217" s="4" t="s">
        <v>607</v>
      </c>
      <c r="E2217" s="56" t="s">
        <v>607</v>
      </c>
    </row>
    <row r="2218">
      <c r="B2218" s="4" t="s">
        <v>607</v>
      </c>
      <c r="C2218" s="6" t="s">
        <v>607</v>
      </c>
      <c r="D2218" s="4" t="s">
        <v>607</v>
      </c>
      <c r="E2218" s="56" t="s">
        <v>607</v>
      </c>
    </row>
    <row r="2219">
      <c r="B2219" s="4" t="s">
        <v>607</v>
      </c>
      <c r="C2219" s="6" t="s">
        <v>607</v>
      </c>
      <c r="D2219" s="4" t="s">
        <v>607</v>
      </c>
      <c r="E2219" s="56" t="s">
        <v>607</v>
      </c>
    </row>
    <row r="2220">
      <c r="B2220" s="4" t="s">
        <v>607</v>
      </c>
      <c r="C2220" s="6" t="s">
        <v>607</v>
      </c>
      <c r="D2220" s="4" t="s">
        <v>607</v>
      </c>
      <c r="E2220" s="56" t="s">
        <v>607</v>
      </c>
    </row>
    <row r="2221">
      <c r="B2221" s="4" t="s">
        <v>607</v>
      </c>
      <c r="C2221" s="6" t="s">
        <v>607</v>
      </c>
      <c r="D2221" s="4" t="s">
        <v>607</v>
      </c>
      <c r="E2221" s="56" t="s">
        <v>607</v>
      </c>
    </row>
    <row r="2222">
      <c r="B2222" s="4" t="s">
        <v>607</v>
      </c>
      <c r="C2222" s="6" t="s">
        <v>607</v>
      </c>
      <c r="D2222" s="4" t="s">
        <v>607</v>
      </c>
      <c r="E2222" s="56" t="s">
        <v>607</v>
      </c>
    </row>
    <row r="2223">
      <c r="B2223" s="4" t="s">
        <v>607</v>
      </c>
      <c r="C2223" s="6" t="s">
        <v>607</v>
      </c>
      <c r="D2223" s="4" t="s">
        <v>607</v>
      </c>
      <c r="E2223" s="56" t="s">
        <v>607</v>
      </c>
    </row>
    <row r="2224">
      <c r="B2224" s="4" t="s">
        <v>607</v>
      </c>
      <c r="C2224" s="6" t="s">
        <v>607</v>
      </c>
      <c r="D2224" s="4" t="s">
        <v>607</v>
      </c>
      <c r="E2224" s="56" t="s">
        <v>607</v>
      </c>
    </row>
    <row r="2225">
      <c r="B2225" s="4" t="s">
        <v>607</v>
      </c>
      <c r="C2225" s="6" t="s">
        <v>607</v>
      </c>
      <c r="D2225" s="4" t="s">
        <v>607</v>
      </c>
      <c r="E2225" s="56" t="s">
        <v>607</v>
      </c>
    </row>
    <row r="2226">
      <c r="B2226" s="4" t="s">
        <v>607</v>
      </c>
      <c r="C2226" s="6" t="s">
        <v>607</v>
      </c>
      <c r="D2226" s="4" t="s">
        <v>607</v>
      </c>
      <c r="E2226" s="56" t="s">
        <v>607</v>
      </c>
    </row>
    <row r="2227">
      <c r="B2227" s="4" t="s">
        <v>607</v>
      </c>
      <c r="C2227" s="6" t="s">
        <v>607</v>
      </c>
      <c r="D2227" s="4" t="s">
        <v>607</v>
      </c>
      <c r="E2227" s="56" t="s">
        <v>607</v>
      </c>
    </row>
    <row r="2228">
      <c r="B2228" s="4" t="s">
        <v>607</v>
      </c>
      <c r="C2228" s="6" t="s">
        <v>607</v>
      </c>
      <c r="D2228" s="4" t="s">
        <v>607</v>
      </c>
      <c r="E2228" s="56" t="s">
        <v>607</v>
      </c>
    </row>
    <row r="2229">
      <c r="B2229" s="4" t="s">
        <v>607</v>
      </c>
      <c r="C2229" s="6" t="s">
        <v>607</v>
      </c>
      <c r="D2229" s="4" t="s">
        <v>607</v>
      </c>
      <c r="E2229" s="56" t="s">
        <v>607</v>
      </c>
    </row>
    <row r="2230">
      <c r="B2230" s="4" t="s">
        <v>607</v>
      </c>
      <c r="C2230" s="6" t="s">
        <v>607</v>
      </c>
      <c r="D2230" s="4" t="s">
        <v>607</v>
      </c>
      <c r="E2230" s="56" t="s">
        <v>607</v>
      </c>
    </row>
    <row r="2231">
      <c r="B2231" s="4" t="s">
        <v>607</v>
      </c>
      <c r="C2231" s="6" t="s">
        <v>607</v>
      </c>
      <c r="D2231" s="4" t="s">
        <v>607</v>
      </c>
      <c r="E2231" s="56" t="s">
        <v>607</v>
      </c>
    </row>
    <row r="2232">
      <c r="B2232" s="4" t="s">
        <v>607</v>
      </c>
      <c r="C2232" s="6" t="s">
        <v>607</v>
      </c>
      <c r="D2232" s="4" t="s">
        <v>607</v>
      </c>
      <c r="E2232" s="56" t="s">
        <v>607</v>
      </c>
    </row>
    <row r="2233">
      <c r="B2233" s="4" t="s">
        <v>607</v>
      </c>
      <c r="C2233" s="6" t="s">
        <v>607</v>
      </c>
      <c r="D2233" s="4" t="s">
        <v>607</v>
      </c>
      <c r="E2233" s="56" t="s">
        <v>607</v>
      </c>
    </row>
    <row r="2234">
      <c r="B2234" s="4" t="s">
        <v>607</v>
      </c>
      <c r="C2234" s="6" t="s">
        <v>607</v>
      </c>
      <c r="D2234" s="4" t="s">
        <v>607</v>
      </c>
      <c r="E2234" s="56" t="s">
        <v>607</v>
      </c>
    </row>
    <row r="2235">
      <c r="B2235" s="4" t="s">
        <v>607</v>
      </c>
      <c r="C2235" s="6" t="s">
        <v>607</v>
      </c>
      <c r="D2235" s="4" t="s">
        <v>607</v>
      </c>
      <c r="E2235" s="56" t="s">
        <v>607</v>
      </c>
    </row>
    <row r="2236">
      <c r="B2236" s="4" t="s">
        <v>607</v>
      </c>
      <c r="C2236" s="6" t="s">
        <v>607</v>
      </c>
      <c r="D2236" s="4" t="s">
        <v>607</v>
      </c>
      <c r="E2236" s="56" t="s">
        <v>607</v>
      </c>
    </row>
    <row r="2237">
      <c r="B2237" s="4" t="s">
        <v>607</v>
      </c>
      <c r="C2237" s="6" t="s">
        <v>607</v>
      </c>
      <c r="D2237" s="4" t="s">
        <v>607</v>
      </c>
      <c r="E2237" s="56" t="s">
        <v>607</v>
      </c>
    </row>
    <row r="2238">
      <c r="B2238" s="4" t="s">
        <v>607</v>
      </c>
      <c r="C2238" s="6" t="s">
        <v>607</v>
      </c>
      <c r="D2238" s="4" t="s">
        <v>607</v>
      </c>
      <c r="E2238" s="56" t="s">
        <v>607</v>
      </c>
    </row>
    <row r="2239">
      <c r="B2239" s="4" t="s">
        <v>607</v>
      </c>
      <c r="C2239" s="6" t="s">
        <v>607</v>
      </c>
      <c r="D2239" s="4" t="s">
        <v>607</v>
      </c>
      <c r="E2239" s="56" t="s">
        <v>607</v>
      </c>
    </row>
    <row r="2240">
      <c r="B2240" s="4" t="s">
        <v>607</v>
      </c>
      <c r="C2240" s="6" t="s">
        <v>607</v>
      </c>
      <c r="D2240" s="4" t="s">
        <v>607</v>
      </c>
      <c r="E2240" s="56" t="s">
        <v>607</v>
      </c>
    </row>
    <row r="2241">
      <c r="B2241" s="4" t="s">
        <v>607</v>
      </c>
      <c r="C2241" s="6" t="s">
        <v>607</v>
      </c>
      <c r="D2241" s="4" t="s">
        <v>607</v>
      </c>
      <c r="E2241" s="56" t="s">
        <v>607</v>
      </c>
    </row>
    <row r="2242">
      <c r="B2242" s="4" t="s">
        <v>607</v>
      </c>
      <c r="C2242" s="6" t="s">
        <v>607</v>
      </c>
      <c r="D2242" s="4" t="s">
        <v>607</v>
      </c>
      <c r="E2242" s="56" t="s">
        <v>607</v>
      </c>
    </row>
    <row r="2243">
      <c r="B2243" s="4" t="s">
        <v>607</v>
      </c>
      <c r="C2243" s="6" t="s">
        <v>607</v>
      </c>
      <c r="D2243" s="4" t="s">
        <v>607</v>
      </c>
      <c r="E2243" s="56" t="s">
        <v>607</v>
      </c>
    </row>
    <row r="2244">
      <c r="B2244" s="4" t="s">
        <v>607</v>
      </c>
      <c r="C2244" s="6" t="s">
        <v>607</v>
      </c>
      <c r="D2244" s="4" t="s">
        <v>607</v>
      </c>
      <c r="E2244" s="56" t="s">
        <v>607</v>
      </c>
    </row>
    <row r="2245">
      <c r="B2245" s="4" t="s">
        <v>607</v>
      </c>
      <c r="C2245" s="6" t="s">
        <v>607</v>
      </c>
      <c r="D2245" s="4" t="s">
        <v>607</v>
      </c>
      <c r="E2245" s="56" t="s">
        <v>607</v>
      </c>
    </row>
    <row r="2246">
      <c r="B2246" s="4" t="s">
        <v>607</v>
      </c>
      <c r="C2246" s="6" t="s">
        <v>607</v>
      </c>
      <c r="D2246" s="4" t="s">
        <v>607</v>
      </c>
      <c r="E2246" s="56" t="s">
        <v>607</v>
      </c>
    </row>
    <row r="2247">
      <c r="B2247" s="4" t="s">
        <v>607</v>
      </c>
      <c r="C2247" s="6" t="s">
        <v>607</v>
      </c>
      <c r="D2247" s="4" t="s">
        <v>607</v>
      </c>
      <c r="E2247" s="56" t="s">
        <v>607</v>
      </c>
    </row>
    <row r="2248">
      <c r="B2248" s="4" t="s">
        <v>607</v>
      </c>
      <c r="C2248" s="6" t="s">
        <v>607</v>
      </c>
      <c r="D2248" s="4" t="s">
        <v>607</v>
      </c>
      <c r="E2248" s="56" t="s">
        <v>607</v>
      </c>
    </row>
    <row r="2249">
      <c r="B2249" s="4" t="s">
        <v>607</v>
      </c>
      <c r="C2249" s="6" t="s">
        <v>607</v>
      </c>
      <c r="D2249" s="4" t="s">
        <v>607</v>
      </c>
      <c r="E2249" s="56" t="s">
        <v>607</v>
      </c>
    </row>
    <row r="2250">
      <c r="B2250" s="4" t="s">
        <v>607</v>
      </c>
      <c r="C2250" s="6" t="s">
        <v>607</v>
      </c>
      <c r="D2250" s="4" t="s">
        <v>607</v>
      </c>
      <c r="E2250" s="56" t="s">
        <v>607</v>
      </c>
    </row>
    <row r="2251">
      <c r="B2251" s="4" t="s">
        <v>607</v>
      </c>
      <c r="C2251" s="6" t="s">
        <v>607</v>
      </c>
      <c r="D2251" s="4" t="s">
        <v>607</v>
      </c>
      <c r="E2251" s="56" t="s">
        <v>607</v>
      </c>
    </row>
    <row r="2252">
      <c r="B2252" s="4" t="s">
        <v>607</v>
      </c>
      <c r="C2252" s="6" t="s">
        <v>607</v>
      </c>
      <c r="D2252" s="4" t="s">
        <v>607</v>
      </c>
      <c r="E2252" s="56" t="s">
        <v>607</v>
      </c>
    </row>
    <row r="2253">
      <c r="B2253" s="4" t="s">
        <v>607</v>
      </c>
      <c r="C2253" s="6" t="s">
        <v>607</v>
      </c>
      <c r="D2253" s="4" t="s">
        <v>607</v>
      </c>
      <c r="E2253" s="56" t="s">
        <v>607</v>
      </c>
    </row>
    <row r="2254">
      <c r="B2254" s="4" t="s">
        <v>607</v>
      </c>
      <c r="C2254" s="6" t="s">
        <v>607</v>
      </c>
      <c r="D2254" s="4" t="s">
        <v>607</v>
      </c>
      <c r="E2254" s="56" t="s">
        <v>607</v>
      </c>
    </row>
    <row r="2255">
      <c r="B2255" s="4" t="s">
        <v>607</v>
      </c>
      <c r="C2255" s="6" t="s">
        <v>607</v>
      </c>
      <c r="D2255" s="4" t="s">
        <v>607</v>
      </c>
      <c r="E2255" s="56" t="s">
        <v>607</v>
      </c>
    </row>
    <row r="2256">
      <c r="B2256" s="4" t="s">
        <v>607</v>
      </c>
      <c r="C2256" s="6" t="s">
        <v>607</v>
      </c>
      <c r="D2256" s="4" t="s">
        <v>607</v>
      </c>
      <c r="E2256" s="56" t="s">
        <v>607</v>
      </c>
    </row>
    <row r="2257">
      <c r="B2257" s="4" t="s">
        <v>607</v>
      </c>
      <c r="C2257" s="6" t="s">
        <v>607</v>
      </c>
      <c r="D2257" s="4" t="s">
        <v>607</v>
      </c>
      <c r="E2257" s="56" t="s">
        <v>607</v>
      </c>
    </row>
    <row r="2258">
      <c r="B2258" s="4" t="s">
        <v>607</v>
      </c>
      <c r="C2258" s="6" t="s">
        <v>607</v>
      </c>
      <c r="D2258" s="4" t="s">
        <v>607</v>
      </c>
      <c r="E2258" s="56" t="s">
        <v>607</v>
      </c>
    </row>
    <row r="2259">
      <c r="B2259" s="4" t="s">
        <v>607</v>
      </c>
      <c r="C2259" s="6" t="s">
        <v>607</v>
      </c>
      <c r="D2259" s="4" t="s">
        <v>607</v>
      </c>
      <c r="E2259" s="56" t="s">
        <v>607</v>
      </c>
    </row>
    <row r="2260">
      <c r="B2260" s="4" t="s">
        <v>607</v>
      </c>
      <c r="C2260" s="6" t="s">
        <v>607</v>
      </c>
      <c r="D2260" s="4" t="s">
        <v>607</v>
      </c>
      <c r="E2260" s="56" t="s">
        <v>607</v>
      </c>
    </row>
    <row r="2261">
      <c r="B2261" s="4" t="s">
        <v>607</v>
      </c>
      <c r="C2261" s="6" t="s">
        <v>607</v>
      </c>
      <c r="D2261" s="4" t="s">
        <v>607</v>
      </c>
      <c r="E2261" s="56" t="s">
        <v>607</v>
      </c>
    </row>
    <row r="2262">
      <c r="B2262" s="4" t="s">
        <v>607</v>
      </c>
      <c r="C2262" s="6" t="s">
        <v>607</v>
      </c>
      <c r="D2262" s="4" t="s">
        <v>607</v>
      </c>
      <c r="E2262" s="56" t="s">
        <v>607</v>
      </c>
    </row>
    <row r="2263">
      <c r="B2263" s="4" t="s">
        <v>607</v>
      </c>
      <c r="C2263" s="6" t="s">
        <v>607</v>
      </c>
      <c r="D2263" s="4" t="s">
        <v>607</v>
      </c>
      <c r="E2263" s="56" t="s">
        <v>607</v>
      </c>
    </row>
    <row r="2264">
      <c r="B2264" s="4" t="s">
        <v>607</v>
      </c>
      <c r="C2264" s="6" t="s">
        <v>607</v>
      </c>
      <c r="D2264" s="4" t="s">
        <v>607</v>
      </c>
      <c r="E2264" s="56" t="s">
        <v>607</v>
      </c>
    </row>
    <row r="2265">
      <c r="B2265" s="4" t="s">
        <v>607</v>
      </c>
      <c r="C2265" s="6" t="s">
        <v>607</v>
      </c>
      <c r="D2265" s="4" t="s">
        <v>607</v>
      </c>
      <c r="E2265" s="56" t="s">
        <v>607</v>
      </c>
    </row>
    <row r="2266">
      <c r="B2266" s="4" t="s">
        <v>607</v>
      </c>
      <c r="C2266" s="6" t="s">
        <v>607</v>
      </c>
      <c r="D2266" s="4" t="s">
        <v>607</v>
      </c>
      <c r="E2266" s="56" t="s">
        <v>607</v>
      </c>
    </row>
    <row r="2267">
      <c r="B2267" s="4" t="s">
        <v>607</v>
      </c>
      <c r="C2267" s="6" t="s">
        <v>607</v>
      </c>
      <c r="D2267" s="4" t="s">
        <v>607</v>
      </c>
      <c r="E2267" s="56" t="s">
        <v>607</v>
      </c>
    </row>
    <row r="2268">
      <c r="B2268" s="4" t="s">
        <v>607</v>
      </c>
      <c r="C2268" s="6" t="s">
        <v>607</v>
      </c>
      <c r="D2268" s="4" t="s">
        <v>607</v>
      </c>
      <c r="E2268" s="56" t="s">
        <v>607</v>
      </c>
    </row>
    <row r="2269">
      <c r="B2269" s="4" t="s">
        <v>607</v>
      </c>
      <c r="C2269" s="6" t="s">
        <v>607</v>
      </c>
      <c r="D2269" s="4" t="s">
        <v>607</v>
      </c>
      <c r="E2269" s="56" t="s">
        <v>607</v>
      </c>
    </row>
    <row r="2270">
      <c r="B2270" s="4" t="s">
        <v>607</v>
      </c>
      <c r="C2270" s="6" t="s">
        <v>607</v>
      </c>
      <c r="D2270" s="4" t="s">
        <v>607</v>
      </c>
      <c r="E2270" s="56" t="s">
        <v>607</v>
      </c>
    </row>
    <row r="2271">
      <c r="B2271" s="4" t="s">
        <v>607</v>
      </c>
      <c r="C2271" s="6" t="s">
        <v>607</v>
      </c>
      <c r="D2271" s="4" t="s">
        <v>607</v>
      </c>
      <c r="E2271" s="56" t="s">
        <v>607</v>
      </c>
    </row>
    <row r="2272">
      <c r="B2272" s="4" t="s">
        <v>607</v>
      </c>
      <c r="C2272" s="6" t="s">
        <v>607</v>
      </c>
      <c r="D2272" s="4" t="s">
        <v>607</v>
      </c>
      <c r="E2272" s="56" t="s">
        <v>607</v>
      </c>
    </row>
    <row r="2273">
      <c r="B2273" s="4" t="s">
        <v>607</v>
      </c>
      <c r="C2273" s="6" t="s">
        <v>607</v>
      </c>
      <c r="D2273" s="4" t="s">
        <v>607</v>
      </c>
      <c r="E2273" s="56" t="s">
        <v>607</v>
      </c>
    </row>
    <row r="2274">
      <c r="B2274" s="4" t="s">
        <v>607</v>
      </c>
      <c r="C2274" s="6" t="s">
        <v>607</v>
      </c>
      <c r="D2274" s="4" t="s">
        <v>607</v>
      </c>
      <c r="E2274" s="56" t="s">
        <v>607</v>
      </c>
    </row>
    <row r="2275">
      <c r="B2275" s="4" t="s">
        <v>607</v>
      </c>
      <c r="C2275" s="6" t="s">
        <v>607</v>
      </c>
      <c r="D2275" s="4" t="s">
        <v>607</v>
      </c>
      <c r="E2275" s="56" t="s">
        <v>607</v>
      </c>
    </row>
    <row r="2276">
      <c r="B2276" s="4" t="s">
        <v>607</v>
      </c>
      <c r="C2276" s="6" t="s">
        <v>607</v>
      </c>
      <c r="D2276" s="4" t="s">
        <v>607</v>
      </c>
      <c r="E2276" s="56" t="s">
        <v>607</v>
      </c>
    </row>
    <row r="2277">
      <c r="B2277" s="4" t="s">
        <v>607</v>
      </c>
      <c r="C2277" s="6" t="s">
        <v>607</v>
      </c>
      <c r="D2277" s="4" t="s">
        <v>607</v>
      </c>
      <c r="E2277" s="56" t="s">
        <v>607</v>
      </c>
    </row>
    <row r="2278">
      <c r="B2278" s="4" t="s">
        <v>607</v>
      </c>
      <c r="C2278" s="6" t="s">
        <v>607</v>
      </c>
      <c r="D2278" s="4" t="s">
        <v>607</v>
      </c>
      <c r="E2278" s="56" t="s">
        <v>607</v>
      </c>
    </row>
    <row r="2279">
      <c r="B2279" s="4" t="s">
        <v>607</v>
      </c>
      <c r="C2279" s="6" t="s">
        <v>607</v>
      </c>
      <c r="D2279" s="4" t="s">
        <v>607</v>
      </c>
      <c r="E2279" s="56" t="s">
        <v>607</v>
      </c>
    </row>
    <row r="2280">
      <c r="B2280" s="4" t="s">
        <v>607</v>
      </c>
      <c r="C2280" s="6" t="s">
        <v>607</v>
      </c>
      <c r="D2280" s="4" t="s">
        <v>607</v>
      </c>
      <c r="E2280" s="56" t="s">
        <v>607</v>
      </c>
    </row>
    <row r="2281">
      <c r="B2281" s="4" t="s">
        <v>607</v>
      </c>
      <c r="C2281" s="6" t="s">
        <v>607</v>
      </c>
      <c r="D2281" s="4" t="s">
        <v>607</v>
      </c>
      <c r="E2281" s="56" t="s">
        <v>607</v>
      </c>
    </row>
    <row r="2282">
      <c r="B2282" s="4" t="s">
        <v>607</v>
      </c>
      <c r="C2282" s="6" t="s">
        <v>607</v>
      </c>
      <c r="D2282" s="4" t="s">
        <v>607</v>
      </c>
      <c r="E2282" s="56" t="s">
        <v>607</v>
      </c>
    </row>
    <row r="2283">
      <c r="B2283" s="4" t="s">
        <v>607</v>
      </c>
      <c r="C2283" s="6" t="s">
        <v>607</v>
      </c>
      <c r="D2283" s="4" t="s">
        <v>607</v>
      </c>
      <c r="E2283" s="56" t="s">
        <v>607</v>
      </c>
    </row>
    <row r="2284">
      <c r="B2284" s="4" t="s">
        <v>607</v>
      </c>
      <c r="C2284" s="6" t="s">
        <v>607</v>
      </c>
      <c r="D2284" s="4" t="s">
        <v>607</v>
      </c>
      <c r="E2284" s="56" t="s">
        <v>607</v>
      </c>
    </row>
    <row r="2285">
      <c r="B2285" s="4" t="s">
        <v>607</v>
      </c>
      <c r="C2285" s="6" t="s">
        <v>607</v>
      </c>
      <c r="D2285" s="4" t="s">
        <v>607</v>
      </c>
      <c r="E2285" s="56" t="s">
        <v>607</v>
      </c>
    </row>
    <row r="2286">
      <c r="B2286" s="4" t="s">
        <v>607</v>
      </c>
      <c r="C2286" s="6" t="s">
        <v>607</v>
      </c>
      <c r="D2286" s="4" t="s">
        <v>607</v>
      </c>
      <c r="E2286" s="56" t="s">
        <v>607</v>
      </c>
    </row>
    <row r="2287">
      <c r="B2287" s="4" t="s">
        <v>607</v>
      </c>
      <c r="C2287" s="6" t="s">
        <v>607</v>
      </c>
      <c r="D2287" s="4" t="s">
        <v>607</v>
      </c>
      <c r="E2287" s="56" t="s">
        <v>607</v>
      </c>
    </row>
    <row r="2288">
      <c r="B2288" s="4" t="s">
        <v>607</v>
      </c>
      <c r="C2288" s="6" t="s">
        <v>607</v>
      </c>
      <c r="D2288" s="4" t="s">
        <v>607</v>
      </c>
      <c r="E2288" s="56" t="s">
        <v>607</v>
      </c>
    </row>
    <row r="2289">
      <c r="B2289" s="4" t="s">
        <v>607</v>
      </c>
      <c r="C2289" s="6" t="s">
        <v>607</v>
      </c>
      <c r="D2289" s="4" t="s">
        <v>607</v>
      </c>
      <c r="E2289" s="56" t="s">
        <v>607</v>
      </c>
    </row>
    <row r="2290">
      <c r="B2290" s="4" t="s">
        <v>607</v>
      </c>
      <c r="C2290" s="6" t="s">
        <v>607</v>
      </c>
      <c r="D2290" s="4" t="s">
        <v>607</v>
      </c>
      <c r="E2290" s="56" t="s">
        <v>607</v>
      </c>
    </row>
    <row r="2291">
      <c r="B2291" s="4" t="s">
        <v>607</v>
      </c>
      <c r="C2291" s="6" t="s">
        <v>607</v>
      </c>
      <c r="D2291" s="4" t="s">
        <v>607</v>
      </c>
      <c r="E2291" s="56" t="s">
        <v>607</v>
      </c>
    </row>
    <row r="2292">
      <c r="B2292" s="4" t="s">
        <v>607</v>
      </c>
      <c r="C2292" s="6" t="s">
        <v>607</v>
      </c>
      <c r="D2292" s="4" t="s">
        <v>607</v>
      </c>
      <c r="E2292" s="56" t="s">
        <v>607</v>
      </c>
    </row>
    <row r="2293">
      <c r="B2293" s="4" t="s">
        <v>607</v>
      </c>
      <c r="C2293" s="6" t="s">
        <v>607</v>
      </c>
      <c r="D2293" s="4" t="s">
        <v>607</v>
      </c>
      <c r="E2293" s="56" t="s">
        <v>607</v>
      </c>
    </row>
    <row r="2294">
      <c r="B2294" s="4" t="s">
        <v>607</v>
      </c>
      <c r="C2294" s="6" t="s">
        <v>607</v>
      </c>
      <c r="D2294" s="4" t="s">
        <v>607</v>
      </c>
      <c r="E2294" s="56" t="s">
        <v>607</v>
      </c>
    </row>
    <row r="2295">
      <c r="B2295" s="4" t="s">
        <v>607</v>
      </c>
      <c r="C2295" s="6" t="s">
        <v>607</v>
      </c>
      <c r="D2295" s="4" t="s">
        <v>607</v>
      </c>
      <c r="E2295" s="56" t="s">
        <v>607</v>
      </c>
    </row>
    <row r="2296">
      <c r="B2296" s="4" t="s">
        <v>607</v>
      </c>
      <c r="C2296" s="6" t="s">
        <v>607</v>
      </c>
      <c r="D2296" s="4" t="s">
        <v>607</v>
      </c>
      <c r="E2296" s="56" t="s">
        <v>607</v>
      </c>
    </row>
    <row r="2297">
      <c r="B2297" s="4" t="s">
        <v>607</v>
      </c>
      <c r="C2297" s="6" t="s">
        <v>607</v>
      </c>
      <c r="D2297" s="4" t="s">
        <v>607</v>
      </c>
      <c r="E2297" s="56" t="s">
        <v>607</v>
      </c>
    </row>
    <row r="2298">
      <c r="B2298" s="4" t="s">
        <v>607</v>
      </c>
      <c r="C2298" s="6" t="s">
        <v>607</v>
      </c>
      <c r="D2298" s="4" t="s">
        <v>607</v>
      </c>
      <c r="E2298" s="56" t="s">
        <v>607</v>
      </c>
    </row>
    <row r="2299">
      <c r="B2299" s="4" t="s">
        <v>607</v>
      </c>
      <c r="C2299" s="6" t="s">
        <v>607</v>
      </c>
      <c r="D2299" s="4" t="s">
        <v>607</v>
      </c>
      <c r="E2299" s="56" t="s">
        <v>607</v>
      </c>
    </row>
    <row r="2300">
      <c r="B2300" s="4" t="s">
        <v>607</v>
      </c>
      <c r="C2300" s="6" t="s">
        <v>607</v>
      </c>
      <c r="D2300" s="4" t="s">
        <v>607</v>
      </c>
      <c r="E2300" s="56" t="s">
        <v>607</v>
      </c>
    </row>
    <row r="2301">
      <c r="B2301" s="4" t="s">
        <v>607</v>
      </c>
      <c r="C2301" s="6" t="s">
        <v>607</v>
      </c>
      <c r="D2301" s="4" t="s">
        <v>607</v>
      </c>
      <c r="E2301" s="56" t="s">
        <v>607</v>
      </c>
    </row>
    <row r="2302">
      <c r="B2302" s="4" t="s">
        <v>607</v>
      </c>
      <c r="C2302" s="6" t="s">
        <v>607</v>
      </c>
      <c r="D2302" s="4" t="s">
        <v>607</v>
      </c>
      <c r="E2302" s="56" t="s">
        <v>607</v>
      </c>
    </row>
    <row r="2303">
      <c r="B2303" s="4" t="s">
        <v>607</v>
      </c>
      <c r="C2303" s="6" t="s">
        <v>607</v>
      </c>
      <c r="D2303" s="4" t="s">
        <v>607</v>
      </c>
      <c r="E2303" s="56" t="s">
        <v>607</v>
      </c>
    </row>
    <row r="2304">
      <c r="B2304" s="4" t="s">
        <v>607</v>
      </c>
      <c r="C2304" s="6" t="s">
        <v>607</v>
      </c>
      <c r="D2304" s="4" t="s">
        <v>607</v>
      </c>
      <c r="E2304" s="56" t="s">
        <v>607</v>
      </c>
    </row>
    <row r="2305">
      <c r="B2305" s="4" t="s">
        <v>607</v>
      </c>
      <c r="C2305" s="6" t="s">
        <v>607</v>
      </c>
      <c r="D2305" s="4" t="s">
        <v>607</v>
      </c>
      <c r="E2305" s="56" t="s">
        <v>607</v>
      </c>
    </row>
    <row r="2306">
      <c r="B2306" s="4" t="s">
        <v>607</v>
      </c>
      <c r="C2306" s="6" t="s">
        <v>607</v>
      </c>
      <c r="D2306" s="4" t="s">
        <v>607</v>
      </c>
      <c r="E2306" s="56" t="s">
        <v>607</v>
      </c>
    </row>
    <row r="2307">
      <c r="B2307" s="4" t="s">
        <v>607</v>
      </c>
      <c r="C2307" s="6" t="s">
        <v>607</v>
      </c>
      <c r="D2307" s="4" t="s">
        <v>607</v>
      </c>
      <c r="E2307" s="56" t="s">
        <v>607</v>
      </c>
    </row>
    <row r="2308">
      <c r="B2308" s="4" t="s">
        <v>607</v>
      </c>
      <c r="C2308" s="6" t="s">
        <v>607</v>
      </c>
      <c r="D2308" s="4" t="s">
        <v>607</v>
      </c>
      <c r="E2308" s="56" t="s">
        <v>607</v>
      </c>
    </row>
    <row r="2309">
      <c r="B2309" s="4" t="s">
        <v>607</v>
      </c>
      <c r="C2309" s="6" t="s">
        <v>607</v>
      </c>
      <c r="D2309" s="4" t="s">
        <v>607</v>
      </c>
      <c r="E2309" s="56" t="s">
        <v>607</v>
      </c>
    </row>
    <row r="2310">
      <c r="B2310" s="4" t="s">
        <v>607</v>
      </c>
      <c r="C2310" s="6" t="s">
        <v>607</v>
      </c>
      <c r="D2310" s="4" t="s">
        <v>607</v>
      </c>
      <c r="E2310" s="56" t="s">
        <v>607</v>
      </c>
    </row>
    <row r="2311">
      <c r="B2311" s="4" t="s">
        <v>607</v>
      </c>
      <c r="C2311" s="6" t="s">
        <v>607</v>
      </c>
      <c r="D2311" s="4" t="s">
        <v>607</v>
      </c>
      <c r="E2311" s="56" t="s">
        <v>607</v>
      </c>
    </row>
    <row r="2312">
      <c r="B2312" s="4" t="s">
        <v>607</v>
      </c>
      <c r="C2312" s="6" t="s">
        <v>607</v>
      </c>
      <c r="D2312" s="4" t="s">
        <v>607</v>
      </c>
      <c r="E2312" s="56" t="s">
        <v>607</v>
      </c>
    </row>
    <row r="2313">
      <c r="B2313" s="4" t="s">
        <v>607</v>
      </c>
      <c r="C2313" s="6" t="s">
        <v>607</v>
      </c>
      <c r="D2313" s="4" t="s">
        <v>607</v>
      </c>
      <c r="E2313" s="56" t="s">
        <v>607</v>
      </c>
    </row>
    <row r="2314">
      <c r="B2314" s="4" t="s">
        <v>607</v>
      </c>
      <c r="C2314" s="6" t="s">
        <v>607</v>
      </c>
      <c r="D2314" s="4" t="s">
        <v>607</v>
      </c>
      <c r="E2314" s="56" t="s">
        <v>607</v>
      </c>
    </row>
    <row r="2315">
      <c r="B2315" s="4" t="s">
        <v>607</v>
      </c>
      <c r="C2315" s="6" t="s">
        <v>607</v>
      </c>
      <c r="D2315" s="4" t="s">
        <v>607</v>
      </c>
      <c r="E2315" s="56" t="s">
        <v>607</v>
      </c>
    </row>
    <row r="2316">
      <c r="B2316" s="4" t="s">
        <v>607</v>
      </c>
      <c r="C2316" s="6" t="s">
        <v>607</v>
      </c>
      <c r="D2316" s="4" t="s">
        <v>607</v>
      </c>
      <c r="E2316" s="56" t="s">
        <v>607</v>
      </c>
    </row>
    <row r="2317">
      <c r="B2317" s="4" t="s">
        <v>607</v>
      </c>
      <c r="C2317" s="6" t="s">
        <v>607</v>
      </c>
      <c r="D2317" s="4" t="s">
        <v>607</v>
      </c>
      <c r="E2317" s="56" t="s">
        <v>607</v>
      </c>
    </row>
    <row r="2318">
      <c r="B2318" s="4" t="s">
        <v>607</v>
      </c>
      <c r="C2318" s="6" t="s">
        <v>607</v>
      </c>
      <c r="D2318" s="4" t="s">
        <v>607</v>
      </c>
      <c r="E2318" s="56" t="s">
        <v>607</v>
      </c>
    </row>
    <row r="2319">
      <c r="B2319" s="4" t="s">
        <v>607</v>
      </c>
      <c r="C2319" s="6" t="s">
        <v>607</v>
      </c>
      <c r="D2319" s="4" t="s">
        <v>607</v>
      </c>
      <c r="E2319" s="56" t="s">
        <v>607</v>
      </c>
    </row>
    <row r="2320">
      <c r="B2320" s="4" t="s">
        <v>607</v>
      </c>
      <c r="C2320" s="6" t="s">
        <v>607</v>
      </c>
      <c r="D2320" s="4" t="s">
        <v>607</v>
      </c>
      <c r="E2320" s="56" t="s">
        <v>607</v>
      </c>
    </row>
    <row r="2321">
      <c r="B2321" s="4" t="s">
        <v>607</v>
      </c>
      <c r="C2321" s="6" t="s">
        <v>607</v>
      </c>
      <c r="D2321" s="4" t="s">
        <v>607</v>
      </c>
      <c r="E2321" s="56" t="s">
        <v>607</v>
      </c>
    </row>
    <row r="2322">
      <c r="B2322" s="4" t="s">
        <v>607</v>
      </c>
      <c r="C2322" s="6" t="s">
        <v>607</v>
      </c>
      <c r="D2322" s="4" t="s">
        <v>607</v>
      </c>
      <c r="E2322" s="56" t="s">
        <v>607</v>
      </c>
    </row>
    <row r="2323">
      <c r="B2323" s="4" t="s">
        <v>607</v>
      </c>
      <c r="C2323" s="6" t="s">
        <v>607</v>
      </c>
      <c r="D2323" s="4" t="s">
        <v>607</v>
      </c>
      <c r="E2323" s="56" t="s">
        <v>607</v>
      </c>
    </row>
    <row r="2324">
      <c r="B2324" s="4" t="s">
        <v>607</v>
      </c>
      <c r="C2324" s="6" t="s">
        <v>607</v>
      </c>
      <c r="D2324" s="4" t="s">
        <v>607</v>
      </c>
      <c r="E2324" s="56" t="s">
        <v>607</v>
      </c>
    </row>
    <row r="2325">
      <c r="B2325" s="4" t="s">
        <v>607</v>
      </c>
      <c r="C2325" s="6" t="s">
        <v>607</v>
      </c>
      <c r="D2325" s="4" t="s">
        <v>607</v>
      </c>
      <c r="E2325" s="56" t="s">
        <v>607</v>
      </c>
    </row>
    <row r="2326">
      <c r="B2326" s="4" t="s">
        <v>607</v>
      </c>
      <c r="C2326" s="6" t="s">
        <v>607</v>
      </c>
      <c r="D2326" s="4" t="s">
        <v>607</v>
      </c>
      <c r="E2326" s="56" t="s">
        <v>607</v>
      </c>
    </row>
    <row r="2327">
      <c r="B2327" s="4" t="s">
        <v>607</v>
      </c>
      <c r="C2327" s="6" t="s">
        <v>607</v>
      </c>
      <c r="D2327" s="4" t="s">
        <v>607</v>
      </c>
      <c r="E2327" s="56" t="s">
        <v>607</v>
      </c>
    </row>
    <row r="2328">
      <c r="B2328" s="4" t="s">
        <v>607</v>
      </c>
      <c r="C2328" s="6" t="s">
        <v>607</v>
      </c>
      <c r="D2328" s="4" t="s">
        <v>607</v>
      </c>
      <c r="E2328" s="56" t="s">
        <v>607</v>
      </c>
    </row>
    <row r="2329">
      <c r="B2329" s="4" t="s">
        <v>607</v>
      </c>
      <c r="C2329" s="6" t="s">
        <v>607</v>
      </c>
      <c r="D2329" s="4" t="s">
        <v>607</v>
      </c>
      <c r="E2329" s="56" t="s">
        <v>607</v>
      </c>
    </row>
    <row r="2330">
      <c r="B2330" s="4" t="s">
        <v>607</v>
      </c>
      <c r="C2330" s="6" t="s">
        <v>607</v>
      </c>
      <c r="D2330" s="4" t="s">
        <v>607</v>
      </c>
      <c r="E2330" s="56" t="s">
        <v>607</v>
      </c>
    </row>
    <row r="2331">
      <c r="B2331" s="4" t="s">
        <v>607</v>
      </c>
      <c r="C2331" s="6" t="s">
        <v>607</v>
      </c>
      <c r="D2331" s="4" t="s">
        <v>607</v>
      </c>
      <c r="E2331" s="56" t="s">
        <v>607</v>
      </c>
    </row>
    <row r="2332">
      <c r="B2332" s="4" t="s">
        <v>607</v>
      </c>
      <c r="C2332" s="6" t="s">
        <v>607</v>
      </c>
      <c r="D2332" s="4" t="s">
        <v>607</v>
      </c>
      <c r="E2332" s="56" t="s">
        <v>607</v>
      </c>
    </row>
    <row r="2333">
      <c r="B2333" s="4" t="s">
        <v>607</v>
      </c>
      <c r="C2333" s="6" t="s">
        <v>607</v>
      </c>
      <c r="D2333" s="4" t="s">
        <v>607</v>
      </c>
      <c r="E2333" s="56" t="s">
        <v>607</v>
      </c>
    </row>
    <row r="2334">
      <c r="B2334" s="4" t="s">
        <v>607</v>
      </c>
      <c r="C2334" s="6" t="s">
        <v>607</v>
      </c>
      <c r="D2334" s="4" t="s">
        <v>607</v>
      </c>
      <c r="E2334" s="56" t="s">
        <v>607</v>
      </c>
    </row>
    <row r="2335">
      <c r="B2335" s="4" t="s">
        <v>607</v>
      </c>
      <c r="C2335" s="6" t="s">
        <v>607</v>
      </c>
      <c r="D2335" s="4" t="s">
        <v>607</v>
      </c>
      <c r="E2335" s="56" t="s">
        <v>607</v>
      </c>
    </row>
    <row r="2336">
      <c r="B2336" s="4" t="s">
        <v>607</v>
      </c>
      <c r="C2336" s="6" t="s">
        <v>607</v>
      </c>
      <c r="D2336" s="4" t="s">
        <v>607</v>
      </c>
      <c r="E2336" s="56" t="s">
        <v>607</v>
      </c>
    </row>
    <row r="2337">
      <c r="B2337" s="4" t="s">
        <v>607</v>
      </c>
      <c r="C2337" s="6" t="s">
        <v>607</v>
      </c>
      <c r="D2337" s="4" t="s">
        <v>607</v>
      </c>
      <c r="E2337" s="56" t="s">
        <v>607</v>
      </c>
    </row>
    <row r="2338">
      <c r="B2338" s="4" t="s">
        <v>607</v>
      </c>
      <c r="C2338" s="6" t="s">
        <v>607</v>
      </c>
      <c r="D2338" s="4" t="s">
        <v>607</v>
      </c>
      <c r="E2338" s="56" t="s">
        <v>607</v>
      </c>
    </row>
    <row r="2339">
      <c r="B2339" s="4" t="s">
        <v>607</v>
      </c>
      <c r="C2339" s="6" t="s">
        <v>607</v>
      </c>
      <c r="D2339" s="4" t="s">
        <v>607</v>
      </c>
      <c r="E2339" s="56" t="s">
        <v>607</v>
      </c>
    </row>
    <row r="2340">
      <c r="B2340" s="4" t="s">
        <v>607</v>
      </c>
      <c r="C2340" s="6" t="s">
        <v>607</v>
      </c>
      <c r="D2340" s="4" t="s">
        <v>607</v>
      </c>
      <c r="E2340" s="56" t="s">
        <v>607</v>
      </c>
    </row>
    <row r="2341">
      <c r="B2341" s="4" t="s">
        <v>607</v>
      </c>
      <c r="C2341" s="6" t="s">
        <v>607</v>
      </c>
      <c r="D2341" s="4" t="s">
        <v>607</v>
      </c>
      <c r="E2341" s="56" t="s">
        <v>607</v>
      </c>
    </row>
    <row r="2342">
      <c r="B2342" s="4" t="s">
        <v>607</v>
      </c>
      <c r="C2342" s="6" t="s">
        <v>607</v>
      </c>
      <c r="D2342" s="4" t="s">
        <v>607</v>
      </c>
      <c r="E2342" s="56" t="s">
        <v>607</v>
      </c>
    </row>
    <row r="2343">
      <c r="B2343" s="4" t="s">
        <v>607</v>
      </c>
      <c r="C2343" s="6" t="s">
        <v>607</v>
      </c>
      <c r="D2343" s="4" t="s">
        <v>607</v>
      </c>
      <c r="E2343" s="56" t="s">
        <v>607</v>
      </c>
    </row>
    <row r="2344">
      <c r="B2344" s="4" t="s">
        <v>607</v>
      </c>
      <c r="C2344" s="6" t="s">
        <v>607</v>
      </c>
      <c r="D2344" s="4" t="s">
        <v>607</v>
      </c>
      <c r="E2344" s="56" t="s">
        <v>607</v>
      </c>
    </row>
    <row r="2345">
      <c r="B2345" s="4" t="s">
        <v>607</v>
      </c>
      <c r="C2345" s="6" t="s">
        <v>607</v>
      </c>
      <c r="D2345" s="4" t="s">
        <v>607</v>
      </c>
      <c r="E2345" s="56" t="s">
        <v>607</v>
      </c>
    </row>
    <row r="2346">
      <c r="B2346" s="4" t="s">
        <v>607</v>
      </c>
      <c r="C2346" s="6" t="s">
        <v>607</v>
      </c>
      <c r="D2346" s="4" t="s">
        <v>607</v>
      </c>
      <c r="E2346" s="56" t="s">
        <v>607</v>
      </c>
    </row>
    <row r="2347">
      <c r="B2347" s="4" t="s">
        <v>607</v>
      </c>
      <c r="C2347" s="6" t="s">
        <v>607</v>
      </c>
      <c r="D2347" s="4" t="s">
        <v>607</v>
      </c>
      <c r="E2347" s="56" t="s">
        <v>607</v>
      </c>
    </row>
    <row r="2348">
      <c r="B2348" s="4" t="s">
        <v>607</v>
      </c>
      <c r="C2348" s="6" t="s">
        <v>607</v>
      </c>
      <c r="D2348" s="4" t="s">
        <v>607</v>
      </c>
      <c r="E2348" s="56" t="s">
        <v>607</v>
      </c>
    </row>
    <row r="2349">
      <c r="B2349" s="4" t="s">
        <v>607</v>
      </c>
      <c r="C2349" s="6" t="s">
        <v>607</v>
      </c>
      <c r="D2349" s="4" t="s">
        <v>607</v>
      </c>
      <c r="E2349" s="56" t="s">
        <v>607</v>
      </c>
    </row>
    <row r="2350">
      <c r="B2350" s="4" t="s">
        <v>607</v>
      </c>
      <c r="C2350" s="6" t="s">
        <v>607</v>
      </c>
      <c r="D2350" s="4" t="s">
        <v>607</v>
      </c>
      <c r="E2350" s="56" t="s">
        <v>607</v>
      </c>
    </row>
    <row r="2351">
      <c r="B2351" s="4" t="s">
        <v>607</v>
      </c>
      <c r="C2351" s="6" t="s">
        <v>607</v>
      </c>
      <c r="D2351" s="4" t="s">
        <v>607</v>
      </c>
      <c r="E2351" s="56" t="s">
        <v>607</v>
      </c>
    </row>
    <row r="2352">
      <c r="B2352" s="4" t="s">
        <v>607</v>
      </c>
      <c r="C2352" s="6" t="s">
        <v>607</v>
      </c>
      <c r="D2352" s="4" t="s">
        <v>607</v>
      </c>
      <c r="E2352" s="56" t="s">
        <v>607</v>
      </c>
    </row>
    <row r="2353">
      <c r="B2353" s="4" t="s">
        <v>607</v>
      </c>
      <c r="C2353" s="6" t="s">
        <v>607</v>
      </c>
      <c r="D2353" s="4" t="s">
        <v>607</v>
      </c>
      <c r="E2353" s="56" t="s">
        <v>607</v>
      </c>
    </row>
    <row r="2354">
      <c r="B2354" s="4" t="s">
        <v>607</v>
      </c>
      <c r="C2354" s="6" t="s">
        <v>607</v>
      </c>
      <c r="D2354" s="4" t="s">
        <v>607</v>
      </c>
      <c r="E2354" s="56" t="s">
        <v>607</v>
      </c>
    </row>
    <row r="2355">
      <c r="B2355" s="4" t="s">
        <v>607</v>
      </c>
      <c r="C2355" s="6" t="s">
        <v>607</v>
      </c>
      <c r="D2355" s="4" t="s">
        <v>607</v>
      </c>
      <c r="E2355" s="56" t="s">
        <v>607</v>
      </c>
    </row>
    <row r="2356">
      <c r="B2356" s="4" t="s">
        <v>607</v>
      </c>
      <c r="C2356" s="6" t="s">
        <v>607</v>
      </c>
      <c r="D2356" s="4" t="s">
        <v>607</v>
      </c>
      <c r="E2356" s="56" t="s">
        <v>607</v>
      </c>
    </row>
    <row r="2357">
      <c r="B2357" s="4" t="s">
        <v>607</v>
      </c>
      <c r="C2357" s="6" t="s">
        <v>607</v>
      </c>
      <c r="D2357" s="4" t="s">
        <v>607</v>
      </c>
      <c r="E2357" s="56" t="s">
        <v>607</v>
      </c>
    </row>
    <row r="2358">
      <c r="B2358" s="4" t="s">
        <v>607</v>
      </c>
      <c r="C2358" s="6" t="s">
        <v>607</v>
      </c>
      <c r="D2358" s="4" t="s">
        <v>607</v>
      </c>
      <c r="E2358" s="56" t="s">
        <v>607</v>
      </c>
    </row>
    <row r="2359">
      <c r="B2359" s="4" t="s">
        <v>607</v>
      </c>
      <c r="C2359" s="6" t="s">
        <v>607</v>
      </c>
      <c r="D2359" s="4" t="s">
        <v>607</v>
      </c>
      <c r="E2359" s="56" t="s">
        <v>607</v>
      </c>
    </row>
    <row r="2360">
      <c r="B2360" s="4" t="s">
        <v>607</v>
      </c>
      <c r="C2360" s="6" t="s">
        <v>607</v>
      </c>
      <c r="D2360" s="4" t="s">
        <v>607</v>
      </c>
      <c r="E2360" s="56" t="s">
        <v>607</v>
      </c>
    </row>
    <row r="2361">
      <c r="B2361" s="4" t="s">
        <v>607</v>
      </c>
      <c r="C2361" s="6" t="s">
        <v>607</v>
      </c>
      <c r="D2361" s="4" t="s">
        <v>607</v>
      </c>
      <c r="E2361" s="56" t="s">
        <v>607</v>
      </c>
    </row>
    <row r="2362">
      <c r="B2362" s="4" t="s">
        <v>607</v>
      </c>
      <c r="C2362" s="6" t="s">
        <v>607</v>
      </c>
      <c r="D2362" s="4" t="s">
        <v>607</v>
      </c>
      <c r="E2362" s="56" t="s">
        <v>607</v>
      </c>
    </row>
    <row r="2363">
      <c r="B2363" s="4" t="s">
        <v>607</v>
      </c>
      <c r="C2363" s="6" t="s">
        <v>607</v>
      </c>
      <c r="D2363" s="4" t="s">
        <v>607</v>
      </c>
      <c r="E2363" s="56" t="s">
        <v>607</v>
      </c>
    </row>
    <row r="2364">
      <c r="B2364" s="4" t="s">
        <v>607</v>
      </c>
      <c r="C2364" s="6" t="s">
        <v>607</v>
      </c>
      <c r="D2364" s="4" t="s">
        <v>607</v>
      </c>
      <c r="E2364" s="56" t="s">
        <v>607</v>
      </c>
    </row>
    <row r="2365">
      <c r="B2365" s="4" t="s">
        <v>607</v>
      </c>
      <c r="C2365" s="6" t="s">
        <v>607</v>
      </c>
      <c r="D2365" s="4" t="s">
        <v>607</v>
      </c>
      <c r="E2365" s="56" t="s">
        <v>607</v>
      </c>
    </row>
    <row r="2366">
      <c r="B2366" s="4" t="s">
        <v>607</v>
      </c>
      <c r="C2366" s="6" t="s">
        <v>607</v>
      </c>
      <c r="D2366" s="4" t="s">
        <v>607</v>
      </c>
      <c r="E2366" s="56" t="s">
        <v>607</v>
      </c>
    </row>
    <row r="2367">
      <c r="B2367" s="4" t="s">
        <v>607</v>
      </c>
      <c r="C2367" s="6" t="s">
        <v>607</v>
      </c>
      <c r="D2367" s="4" t="s">
        <v>607</v>
      </c>
      <c r="E2367" s="56" t="s">
        <v>607</v>
      </c>
    </row>
    <row r="2368">
      <c r="B2368" s="4" t="s">
        <v>607</v>
      </c>
      <c r="C2368" s="6" t="s">
        <v>607</v>
      </c>
      <c r="D2368" s="4" t="s">
        <v>607</v>
      </c>
      <c r="E2368" s="56" t="s">
        <v>607</v>
      </c>
    </row>
    <row r="2369">
      <c r="B2369" s="4" t="s">
        <v>607</v>
      </c>
      <c r="C2369" s="6" t="s">
        <v>607</v>
      </c>
      <c r="D2369" s="4" t="s">
        <v>607</v>
      </c>
      <c r="E2369" s="56" t="s">
        <v>607</v>
      </c>
    </row>
    <row r="2370">
      <c r="B2370" s="4" t="s">
        <v>607</v>
      </c>
      <c r="C2370" s="6" t="s">
        <v>607</v>
      </c>
      <c r="D2370" s="4" t="s">
        <v>607</v>
      </c>
      <c r="E2370" s="56" t="s">
        <v>607</v>
      </c>
    </row>
    <row r="2371">
      <c r="B2371" s="4" t="s">
        <v>607</v>
      </c>
      <c r="C2371" s="6" t="s">
        <v>607</v>
      </c>
      <c r="D2371" s="4" t="s">
        <v>607</v>
      </c>
      <c r="E2371" s="56" t="s">
        <v>607</v>
      </c>
    </row>
    <row r="2372">
      <c r="B2372" s="4" t="s">
        <v>607</v>
      </c>
      <c r="C2372" s="6" t="s">
        <v>607</v>
      </c>
      <c r="D2372" s="4" t="s">
        <v>607</v>
      </c>
      <c r="E2372" s="56" t="s">
        <v>607</v>
      </c>
    </row>
    <row r="2373">
      <c r="B2373" s="4" t="s">
        <v>607</v>
      </c>
      <c r="C2373" s="6" t="s">
        <v>607</v>
      </c>
      <c r="D2373" s="4" t="s">
        <v>607</v>
      </c>
      <c r="E2373" s="56" t="s">
        <v>607</v>
      </c>
    </row>
    <row r="2374">
      <c r="B2374" s="4" t="s">
        <v>607</v>
      </c>
      <c r="C2374" s="6" t="s">
        <v>607</v>
      </c>
      <c r="D2374" s="4" t="s">
        <v>607</v>
      </c>
      <c r="E2374" s="56" t="s">
        <v>607</v>
      </c>
    </row>
    <row r="2375">
      <c r="B2375" s="4" t="s">
        <v>607</v>
      </c>
      <c r="C2375" s="6" t="s">
        <v>607</v>
      </c>
      <c r="D2375" s="4" t="s">
        <v>607</v>
      </c>
      <c r="E2375" s="56" t="s">
        <v>607</v>
      </c>
    </row>
    <row r="2376">
      <c r="B2376" s="4" t="s">
        <v>607</v>
      </c>
      <c r="C2376" s="6" t="s">
        <v>607</v>
      </c>
      <c r="D2376" s="4" t="s">
        <v>607</v>
      </c>
      <c r="E2376" s="56" t="s">
        <v>607</v>
      </c>
    </row>
    <row r="2377">
      <c r="B2377" s="4" t="s">
        <v>607</v>
      </c>
      <c r="C2377" s="6" t="s">
        <v>607</v>
      </c>
      <c r="D2377" s="4" t="s">
        <v>607</v>
      </c>
      <c r="E2377" s="56" t="s">
        <v>607</v>
      </c>
    </row>
    <row r="2378">
      <c r="B2378" s="4" t="s">
        <v>607</v>
      </c>
      <c r="C2378" s="6" t="s">
        <v>607</v>
      </c>
      <c r="D2378" s="4" t="s">
        <v>607</v>
      </c>
      <c r="E2378" s="56" t="s">
        <v>607</v>
      </c>
    </row>
    <row r="2379">
      <c r="B2379" s="4" t="s">
        <v>607</v>
      </c>
      <c r="C2379" s="6" t="s">
        <v>607</v>
      </c>
      <c r="D2379" s="4" t="s">
        <v>607</v>
      </c>
      <c r="E2379" s="56" t="s">
        <v>607</v>
      </c>
    </row>
    <row r="2380">
      <c r="B2380" s="4" t="s">
        <v>607</v>
      </c>
      <c r="C2380" s="6" t="s">
        <v>607</v>
      </c>
      <c r="D2380" s="4" t="s">
        <v>607</v>
      </c>
      <c r="E2380" s="56" t="s">
        <v>607</v>
      </c>
    </row>
    <row r="2381">
      <c r="B2381" s="4" t="s">
        <v>607</v>
      </c>
      <c r="C2381" s="6" t="s">
        <v>607</v>
      </c>
      <c r="D2381" s="4" t="s">
        <v>607</v>
      </c>
      <c r="E2381" s="56" t="s">
        <v>607</v>
      </c>
    </row>
    <row r="2382">
      <c r="B2382" s="4" t="s">
        <v>607</v>
      </c>
      <c r="C2382" s="6" t="s">
        <v>607</v>
      </c>
      <c r="D2382" s="4" t="s">
        <v>607</v>
      </c>
      <c r="E2382" s="56" t="s">
        <v>607</v>
      </c>
    </row>
    <row r="2383">
      <c r="B2383" s="4" t="s">
        <v>607</v>
      </c>
      <c r="C2383" s="6" t="s">
        <v>607</v>
      </c>
      <c r="D2383" s="4" t="s">
        <v>607</v>
      </c>
      <c r="E2383" s="56" t="s">
        <v>607</v>
      </c>
    </row>
    <row r="2384">
      <c r="B2384" s="4" t="s">
        <v>607</v>
      </c>
      <c r="C2384" s="6" t="s">
        <v>607</v>
      </c>
      <c r="D2384" s="4" t="s">
        <v>607</v>
      </c>
      <c r="E2384" s="56" t="s">
        <v>607</v>
      </c>
    </row>
    <row r="2385">
      <c r="B2385" s="4" t="s">
        <v>607</v>
      </c>
      <c r="C2385" s="6" t="s">
        <v>607</v>
      </c>
      <c r="D2385" s="4" t="s">
        <v>607</v>
      </c>
      <c r="E2385" s="56" t="s">
        <v>607</v>
      </c>
    </row>
    <row r="2386">
      <c r="B2386" s="4" t="s">
        <v>607</v>
      </c>
      <c r="C2386" s="6" t="s">
        <v>607</v>
      </c>
      <c r="D2386" s="4" t="s">
        <v>607</v>
      </c>
      <c r="E2386" s="56" t="s">
        <v>607</v>
      </c>
    </row>
    <row r="2387">
      <c r="B2387" s="4" t="s">
        <v>607</v>
      </c>
      <c r="C2387" s="6" t="s">
        <v>607</v>
      </c>
      <c r="D2387" s="4" t="s">
        <v>607</v>
      </c>
      <c r="E2387" s="56" t="s">
        <v>607</v>
      </c>
    </row>
    <row r="2388">
      <c r="B2388" s="4" t="s">
        <v>607</v>
      </c>
      <c r="C2388" s="6" t="s">
        <v>607</v>
      </c>
      <c r="D2388" s="4" t="s">
        <v>607</v>
      </c>
      <c r="E2388" s="56" t="s">
        <v>607</v>
      </c>
    </row>
    <row r="2389">
      <c r="B2389" s="4" t="s">
        <v>607</v>
      </c>
      <c r="C2389" s="6" t="s">
        <v>607</v>
      </c>
      <c r="D2389" s="4" t="s">
        <v>607</v>
      </c>
      <c r="E2389" s="56" t="s">
        <v>607</v>
      </c>
    </row>
    <row r="2390">
      <c r="B2390" s="4" t="s">
        <v>607</v>
      </c>
      <c r="C2390" s="6" t="s">
        <v>607</v>
      </c>
      <c r="D2390" s="4" t="s">
        <v>607</v>
      </c>
      <c r="E2390" s="56" t="s">
        <v>607</v>
      </c>
    </row>
    <row r="2391">
      <c r="B2391" s="4" t="s">
        <v>607</v>
      </c>
      <c r="C2391" s="6" t="s">
        <v>607</v>
      </c>
      <c r="D2391" s="4" t="s">
        <v>607</v>
      </c>
      <c r="E2391" s="56" t="s">
        <v>607</v>
      </c>
    </row>
    <row r="2392">
      <c r="B2392" s="4" t="s">
        <v>607</v>
      </c>
      <c r="C2392" s="6" t="s">
        <v>607</v>
      </c>
      <c r="D2392" s="4" t="s">
        <v>607</v>
      </c>
      <c r="E2392" s="56" t="s">
        <v>607</v>
      </c>
    </row>
    <row r="2393">
      <c r="B2393" s="4" t="s">
        <v>607</v>
      </c>
      <c r="C2393" s="6" t="s">
        <v>607</v>
      </c>
      <c r="D2393" s="4" t="s">
        <v>607</v>
      </c>
      <c r="E2393" s="56" t="s">
        <v>607</v>
      </c>
    </row>
    <row r="2394">
      <c r="B2394" s="4" t="s">
        <v>607</v>
      </c>
      <c r="C2394" s="6" t="s">
        <v>607</v>
      </c>
      <c r="D2394" s="4" t="s">
        <v>607</v>
      </c>
      <c r="E2394" s="56" t="s">
        <v>607</v>
      </c>
    </row>
    <row r="2395">
      <c r="B2395" s="4" t="s">
        <v>607</v>
      </c>
      <c r="C2395" s="6" t="s">
        <v>607</v>
      </c>
      <c r="D2395" s="4" t="s">
        <v>607</v>
      </c>
      <c r="E2395" s="56" t="s">
        <v>607</v>
      </c>
    </row>
    <row r="2396">
      <c r="B2396" s="4" t="s">
        <v>607</v>
      </c>
      <c r="C2396" s="6" t="s">
        <v>607</v>
      </c>
      <c r="D2396" s="4" t="s">
        <v>607</v>
      </c>
      <c r="E2396" s="56" t="s">
        <v>607</v>
      </c>
    </row>
    <row r="2397">
      <c r="B2397" s="4" t="s">
        <v>607</v>
      </c>
      <c r="C2397" s="6" t="s">
        <v>607</v>
      </c>
      <c r="D2397" s="4" t="s">
        <v>607</v>
      </c>
      <c r="E2397" s="56" t="s">
        <v>607</v>
      </c>
    </row>
    <row r="2398">
      <c r="B2398" s="4" t="s">
        <v>607</v>
      </c>
      <c r="C2398" s="6" t="s">
        <v>607</v>
      </c>
      <c r="D2398" s="4" t="s">
        <v>607</v>
      </c>
      <c r="E2398" s="56" t="s">
        <v>607</v>
      </c>
    </row>
    <row r="2399">
      <c r="B2399" s="4" t="s">
        <v>607</v>
      </c>
      <c r="C2399" s="6" t="s">
        <v>607</v>
      </c>
      <c r="D2399" s="4" t="s">
        <v>607</v>
      </c>
      <c r="E2399" s="56" t="s">
        <v>607</v>
      </c>
    </row>
    <row r="2400">
      <c r="B2400" s="4" t="s">
        <v>607</v>
      </c>
      <c r="C2400" s="6" t="s">
        <v>607</v>
      </c>
      <c r="D2400" s="4" t="s">
        <v>607</v>
      </c>
      <c r="E2400" s="56" t="s">
        <v>607</v>
      </c>
    </row>
    <row r="2401">
      <c r="B2401" s="4" t="s">
        <v>607</v>
      </c>
      <c r="C2401" s="6" t="s">
        <v>607</v>
      </c>
      <c r="D2401" s="4" t="s">
        <v>607</v>
      </c>
      <c r="E2401" s="56" t="s">
        <v>607</v>
      </c>
    </row>
    <row r="2402">
      <c r="B2402" s="4" t="s">
        <v>607</v>
      </c>
      <c r="C2402" s="6" t="s">
        <v>607</v>
      </c>
      <c r="D2402" s="4" t="s">
        <v>607</v>
      </c>
      <c r="E2402" s="56" t="s">
        <v>607</v>
      </c>
    </row>
    <row r="2403">
      <c r="B2403" s="4" t="s">
        <v>607</v>
      </c>
      <c r="C2403" s="6" t="s">
        <v>607</v>
      </c>
      <c r="D2403" s="4" t="s">
        <v>607</v>
      </c>
      <c r="E2403" s="56" t="s">
        <v>607</v>
      </c>
    </row>
    <row r="2404">
      <c r="B2404" s="4" t="s">
        <v>607</v>
      </c>
      <c r="C2404" s="6" t="s">
        <v>607</v>
      </c>
      <c r="D2404" s="4" t="s">
        <v>607</v>
      </c>
      <c r="E2404" s="56" t="s">
        <v>607</v>
      </c>
    </row>
    <row r="2405">
      <c r="B2405" s="4" t="s">
        <v>607</v>
      </c>
      <c r="C2405" s="6" t="s">
        <v>607</v>
      </c>
      <c r="D2405" s="4" t="s">
        <v>607</v>
      </c>
      <c r="E2405" s="56" t="s">
        <v>607</v>
      </c>
    </row>
    <row r="2406">
      <c r="B2406" s="4" t="s">
        <v>607</v>
      </c>
      <c r="C2406" s="6" t="s">
        <v>607</v>
      </c>
      <c r="D2406" s="4" t="s">
        <v>607</v>
      </c>
      <c r="E2406" s="56" t="s">
        <v>607</v>
      </c>
    </row>
    <row r="2407">
      <c r="B2407" s="4" t="s">
        <v>607</v>
      </c>
      <c r="C2407" s="6" t="s">
        <v>607</v>
      </c>
      <c r="D2407" s="4" t="s">
        <v>607</v>
      </c>
      <c r="E2407" s="56" t="s">
        <v>607</v>
      </c>
    </row>
    <row r="2408">
      <c r="B2408" s="4" t="s">
        <v>607</v>
      </c>
      <c r="C2408" s="6" t="s">
        <v>607</v>
      </c>
      <c r="D2408" s="4" t="s">
        <v>607</v>
      </c>
      <c r="E2408" s="56" t="s">
        <v>607</v>
      </c>
    </row>
    <row r="2409">
      <c r="B2409" s="4" t="s">
        <v>607</v>
      </c>
      <c r="C2409" s="6" t="s">
        <v>607</v>
      </c>
      <c r="D2409" s="4" t="s">
        <v>607</v>
      </c>
      <c r="E2409" s="56" t="s">
        <v>607</v>
      </c>
    </row>
    <row r="2410">
      <c r="B2410" s="4" t="s">
        <v>607</v>
      </c>
      <c r="C2410" s="6" t="s">
        <v>607</v>
      </c>
      <c r="D2410" s="4" t="s">
        <v>607</v>
      </c>
      <c r="E2410" s="56" t="s">
        <v>607</v>
      </c>
    </row>
    <row r="2411">
      <c r="B2411" s="4" t="s">
        <v>607</v>
      </c>
      <c r="C2411" s="6" t="s">
        <v>607</v>
      </c>
      <c r="D2411" s="4" t="s">
        <v>607</v>
      </c>
      <c r="E2411" s="56" t="s">
        <v>607</v>
      </c>
    </row>
    <row r="2412">
      <c r="B2412" s="4" t="s">
        <v>607</v>
      </c>
      <c r="C2412" s="6" t="s">
        <v>607</v>
      </c>
      <c r="D2412" s="4" t="s">
        <v>607</v>
      </c>
      <c r="E2412" s="56" t="s">
        <v>607</v>
      </c>
    </row>
    <row r="2413">
      <c r="B2413" s="4" t="s">
        <v>607</v>
      </c>
      <c r="C2413" s="6" t="s">
        <v>607</v>
      </c>
      <c r="D2413" s="4" t="s">
        <v>607</v>
      </c>
      <c r="E2413" s="56" t="s">
        <v>607</v>
      </c>
    </row>
    <row r="2414">
      <c r="B2414" s="4" t="s">
        <v>607</v>
      </c>
      <c r="C2414" s="6" t="s">
        <v>607</v>
      </c>
      <c r="D2414" s="4" t="s">
        <v>607</v>
      </c>
      <c r="E2414" s="56" t="s">
        <v>607</v>
      </c>
    </row>
    <row r="2415">
      <c r="B2415" s="4" t="s">
        <v>607</v>
      </c>
      <c r="C2415" s="6" t="s">
        <v>607</v>
      </c>
      <c r="D2415" s="4" t="s">
        <v>607</v>
      </c>
      <c r="E2415" s="56" t="s">
        <v>607</v>
      </c>
    </row>
    <row r="2416">
      <c r="B2416" s="4" t="s">
        <v>607</v>
      </c>
      <c r="C2416" s="6" t="s">
        <v>607</v>
      </c>
      <c r="D2416" s="4" t="s">
        <v>607</v>
      </c>
      <c r="E2416" s="56" t="s">
        <v>607</v>
      </c>
    </row>
    <row r="2417">
      <c r="B2417" s="4" t="s">
        <v>607</v>
      </c>
      <c r="C2417" s="6" t="s">
        <v>607</v>
      </c>
      <c r="D2417" s="4" t="s">
        <v>607</v>
      </c>
      <c r="E2417" s="56" t="s">
        <v>607</v>
      </c>
    </row>
    <row r="2418">
      <c r="B2418" s="4" t="s">
        <v>607</v>
      </c>
      <c r="C2418" s="6" t="s">
        <v>607</v>
      </c>
      <c r="D2418" s="4" t="s">
        <v>607</v>
      </c>
      <c r="E2418" s="56" t="s">
        <v>607</v>
      </c>
    </row>
    <row r="2419">
      <c r="B2419" s="4" t="s">
        <v>607</v>
      </c>
      <c r="C2419" s="6" t="s">
        <v>607</v>
      </c>
      <c r="D2419" s="4" t="s">
        <v>607</v>
      </c>
      <c r="E2419" s="56" t="s">
        <v>607</v>
      </c>
    </row>
    <row r="2420">
      <c r="B2420" s="4" t="s">
        <v>607</v>
      </c>
      <c r="C2420" s="6" t="s">
        <v>607</v>
      </c>
      <c r="D2420" s="4" t="s">
        <v>607</v>
      </c>
      <c r="E2420" s="56" t="s">
        <v>607</v>
      </c>
    </row>
    <row r="2421">
      <c r="B2421" s="4" t="s">
        <v>607</v>
      </c>
      <c r="C2421" s="6" t="s">
        <v>607</v>
      </c>
      <c r="D2421" s="4" t="s">
        <v>607</v>
      </c>
      <c r="E2421" s="56" t="s">
        <v>607</v>
      </c>
    </row>
    <row r="2422">
      <c r="B2422" s="4" t="s">
        <v>607</v>
      </c>
      <c r="C2422" s="6" t="s">
        <v>607</v>
      </c>
      <c r="D2422" s="4" t="s">
        <v>607</v>
      </c>
      <c r="E2422" s="56" t="s">
        <v>607</v>
      </c>
    </row>
    <row r="2423">
      <c r="B2423" s="4" t="s">
        <v>607</v>
      </c>
      <c r="C2423" s="6" t="s">
        <v>607</v>
      </c>
      <c r="D2423" s="4" t="s">
        <v>607</v>
      </c>
      <c r="E2423" s="56" t="s">
        <v>607</v>
      </c>
    </row>
    <row r="2424">
      <c r="B2424" s="4" t="s">
        <v>607</v>
      </c>
      <c r="C2424" s="6" t="s">
        <v>607</v>
      </c>
      <c r="D2424" s="4" t="s">
        <v>607</v>
      </c>
      <c r="E2424" s="56" t="s">
        <v>607</v>
      </c>
    </row>
    <row r="2425">
      <c r="B2425" s="4" t="s">
        <v>607</v>
      </c>
      <c r="C2425" s="6" t="s">
        <v>607</v>
      </c>
      <c r="D2425" s="4" t="s">
        <v>607</v>
      </c>
      <c r="E2425" s="56" t="s">
        <v>607</v>
      </c>
    </row>
    <row r="2426">
      <c r="B2426" s="4" t="s">
        <v>607</v>
      </c>
      <c r="C2426" s="6" t="s">
        <v>607</v>
      </c>
      <c r="D2426" s="4" t="s">
        <v>607</v>
      </c>
      <c r="E2426" s="56" t="s">
        <v>607</v>
      </c>
    </row>
    <row r="2427">
      <c r="B2427" s="4" t="s">
        <v>607</v>
      </c>
      <c r="C2427" s="6" t="s">
        <v>607</v>
      </c>
      <c r="D2427" s="4" t="s">
        <v>607</v>
      </c>
      <c r="E2427" s="56" t="s">
        <v>607</v>
      </c>
    </row>
    <row r="2428">
      <c r="B2428" s="4" t="s">
        <v>607</v>
      </c>
      <c r="C2428" s="6" t="s">
        <v>607</v>
      </c>
      <c r="D2428" s="4" t="s">
        <v>607</v>
      </c>
      <c r="E2428" s="56" t="s">
        <v>607</v>
      </c>
    </row>
    <row r="2429">
      <c r="B2429" s="4" t="s">
        <v>607</v>
      </c>
      <c r="C2429" s="6" t="s">
        <v>607</v>
      </c>
      <c r="D2429" s="4" t="s">
        <v>607</v>
      </c>
      <c r="E2429" s="56" t="s">
        <v>607</v>
      </c>
    </row>
    <row r="2430">
      <c r="B2430" s="4" t="s">
        <v>607</v>
      </c>
      <c r="C2430" s="6" t="s">
        <v>607</v>
      </c>
      <c r="D2430" s="4" t="s">
        <v>607</v>
      </c>
      <c r="E2430" s="56" t="s">
        <v>607</v>
      </c>
    </row>
    <row r="2431">
      <c r="B2431" s="4" t="s">
        <v>607</v>
      </c>
      <c r="C2431" s="6" t="s">
        <v>607</v>
      </c>
      <c r="D2431" s="4" t="s">
        <v>607</v>
      </c>
      <c r="E2431" s="56" t="s">
        <v>607</v>
      </c>
    </row>
    <row r="2432">
      <c r="B2432" s="4" t="s">
        <v>607</v>
      </c>
      <c r="C2432" s="6" t="s">
        <v>607</v>
      </c>
      <c r="D2432" s="4" t="s">
        <v>607</v>
      </c>
      <c r="E2432" s="56" t="s">
        <v>607</v>
      </c>
    </row>
    <row r="2433">
      <c r="B2433" s="4" t="s">
        <v>607</v>
      </c>
      <c r="C2433" s="6" t="s">
        <v>607</v>
      </c>
      <c r="D2433" s="4" t="s">
        <v>607</v>
      </c>
      <c r="E2433" s="56" t="s">
        <v>607</v>
      </c>
    </row>
    <row r="2434">
      <c r="B2434" s="4" t="s">
        <v>607</v>
      </c>
      <c r="C2434" s="6" t="s">
        <v>607</v>
      </c>
      <c r="D2434" s="4" t="s">
        <v>607</v>
      </c>
      <c r="E2434" s="56" t="s">
        <v>607</v>
      </c>
    </row>
    <row r="2435">
      <c r="B2435" s="4" t="s">
        <v>607</v>
      </c>
      <c r="C2435" s="6" t="s">
        <v>607</v>
      </c>
      <c r="D2435" s="4" t="s">
        <v>607</v>
      </c>
      <c r="E2435" s="56" t="s">
        <v>607</v>
      </c>
    </row>
    <row r="2436">
      <c r="B2436" s="4" t="s">
        <v>607</v>
      </c>
      <c r="C2436" s="6" t="s">
        <v>607</v>
      </c>
      <c r="D2436" s="4" t="s">
        <v>607</v>
      </c>
      <c r="E2436" s="56" t="s">
        <v>607</v>
      </c>
    </row>
    <row r="2437">
      <c r="B2437" s="4" t="s">
        <v>607</v>
      </c>
      <c r="C2437" s="6" t="s">
        <v>607</v>
      </c>
      <c r="D2437" s="4" t="s">
        <v>607</v>
      </c>
      <c r="E2437" s="56" t="s">
        <v>607</v>
      </c>
    </row>
    <row r="2438">
      <c r="B2438" s="4" t="s">
        <v>607</v>
      </c>
      <c r="C2438" s="6" t="s">
        <v>607</v>
      </c>
      <c r="D2438" s="4" t="s">
        <v>607</v>
      </c>
      <c r="E2438" s="56" t="s">
        <v>607</v>
      </c>
    </row>
    <row r="2439">
      <c r="B2439" s="4" t="s">
        <v>607</v>
      </c>
      <c r="C2439" s="6" t="s">
        <v>607</v>
      </c>
      <c r="D2439" s="4" t="s">
        <v>607</v>
      </c>
      <c r="E2439" s="56" t="s">
        <v>607</v>
      </c>
    </row>
    <row r="2440">
      <c r="B2440" s="4" t="s">
        <v>607</v>
      </c>
      <c r="C2440" s="6" t="s">
        <v>607</v>
      </c>
      <c r="D2440" s="4" t="s">
        <v>607</v>
      </c>
      <c r="E2440" s="56" t="s">
        <v>607</v>
      </c>
    </row>
    <row r="2441">
      <c r="B2441" s="4" t="s">
        <v>607</v>
      </c>
      <c r="C2441" s="6" t="s">
        <v>607</v>
      </c>
      <c r="D2441" s="4" t="s">
        <v>607</v>
      </c>
      <c r="E2441" s="56" t="s">
        <v>607</v>
      </c>
    </row>
    <row r="2442">
      <c r="B2442" s="4" t="s">
        <v>607</v>
      </c>
      <c r="C2442" s="6" t="s">
        <v>607</v>
      </c>
      <c r="D2442" s="4" t="s">
        <v>607</v>
      </c>
      <c r="E2442" s="56" t="s">
        <v>607</v>
      </c>
    </row>
    <row r="2443">
      <c r="B2443" s="4" t="s">
        <v>607</v>
      </c>
      <c r="C2443" s="6" t="s">
        <v>607</v>
      </c>
      <c r="D2443" s="4" t="s">
        <v>607</v>
      </c>
      <c r="E2443" s="56" t="s">
        <v>607</v>
      </c>
    </row>
    <row r="2444">
      <c r="B2444" s="4" t="s">
        <v>607</v>
      </c>
      <c r="C2444" s="6" t="s">
        <v>607</v>
      </c>
      <c r="D2444" s="4" t="s">
        <v>607</v>
      </c>
      <c r="E2444" s="56" t="s">
        <v>607</v>
      </c>
    </row>
    <row r="2445">
      <c r="B2445" s="4" t="s">
        <v>607</v>
      </c>
      <c r="C2445" s="6" t="s">
        <v>607</v>
      </c>
      <c r="D2445" s="4" t="s">
        <v>607</v>
      </c>
      <c r="E2445" s="56" t="s">
        <v>607</v>
      </c>
    </row>
    <row r="2446">
      <c r="B2446" s="4" t="s">
        <v>607</v>
      </c>
      <c r="C2446" s="6" t="s">
        <v>607</v>
      </c>
      <c r="D2446" s="4" t="s">
        <v>607</v>
      </c>
      <c r="E2446" s="56" t="s">
        <v>607</v>
      </c>
    </row>
    <row r="2447">
      <c r="B2447" s="4" t="s">
        <v>607</v>
      </c>
      <c r="C2447" s="6" t="s">
        <v>607</v>
      </c>
      <c r="D2447" s="4" t="s">
        <v>607</v>
      </c>
      <c r="E2447" s="56" t="s">
        <v>607</v>
      </c>
    </row>
    <row r="2448">
      <c r="B2448" s="4" t="s">
        <v>607</v>
      </c>
      <c r="C2448" s="6" t="s">
        <v>607</v>
      </c>
      <c r="D2448" s="4" t="s">
        <v>607</v>
      </c>
      <c r="E2448" s="56" t="s">
        <v>607</v>
      </c>
    </row>
    <row r="2449">
      <c r="B2449" s="4" t="s">
        <v>607</v>
      </c>
      <c r="C2449" s="6" t="s">
        <v>607</v>
      </c>
      <c r="D2449" s="4" t="s">
        <v>607</v>
      </c>
      <c r="E2449" s="56" t="s">
        <v>607</v>
      </c>
    </row>
    <row r="2450">
      <c r="B2450" s="4" t="s">
        <v>607</v>
      </c>
      <c r="C2450" s="6" t="s">
        <v>607</v>
      </c>
      <c r="D2450" s="4" t="s">
        <v>607</v>
      </c>
      <c r="E2450" s="56" t="s">
        <v>607</v>
      </c>
    </row>
    <row r="2451">
      <c r="B2451" s="4" t="s">
        <v>607</v>
      </c>
      <c r="C2451" s="6" t="s">
        <v>607</v>
      </c>
      <c r="D2451" s="4" t="s">
        <v>607</v>
      </c>
      <c r="E2451" s="56" t="s">
        <v>607</v>
      </c>
    </row>
    <row r="2452">
      <c r="B2452" s="4" t="s">
        <v>607</v>
      </c>
      <c r="C2452" s="6" t="s">
        <v>607</v>
      </c>
      <c r="D2452" s="4" t="s">
        <v>607</v>
      </c>
      <c r="E2452" s="56" t="s">
        <v>607</v>
      </c>
    </row>
    <row r="2453">
      <c r="B2453" s="4" t="s">
        <v>607</v>
      </c>
      <c r="C2453" s="6" t="s">
        <v>607</v>
      </c>
      <c r="D2453" s="4" t="s">
        <v>607</v>
      </c>
      <c r="E2453" s="56" t="s">
        <v>607</v>
      </c>
    </row>
    <row r="2454">
      <c r="B2454" s="4" t="s">
        <v>607</v>
      </c>
      <c r="C2454" s="6" t="s">
        <v>607</v>
      </c>
      <c r="D2454" s="4" t="s">
        <v>607</v>
      </c>
      <c r="E2454" s="56" t="s">
        <v>607</v>
      </c>
    </row>
    <row r="2455">
      <c r="B2455" s="4" t="s">
        <v>607</v>
      </c>
      <c r="C2455" s="6" t="s">
        <v>607</v>
      </c>
      <c r="D2455" s="4" t="s">
        <v>607</v>
      </c>
      <c r="E2455" s="56" t="s">
        <v>607</v>
      </c>
    </row>
    <row r="2456">
      <c r="B2456" s="4" t="s">
        <v>607</v>
      </c>
      <c r="C2456" s="6" t="s">
        <v>607</v>
      </c>
      <c r="D2456" s="4" t="s">
        <v>607</v>
      </c>
      <c r="E2456" s="56" t="s">
        <v>607</v>
      </c>
    </row>
    <row r="2457">
      <c r="B2457" s="4" t="s">
        <v>607</v>
      </c>
      <c r="C2457" s="6" t="s">
        <v>607</v>
      </c>
      <c r="D2457" s="4" t="s">
        <v>607</v>
      </c>
      <c r="E2457" s="56" t="s">
        <v>607</v>
      </c>
    </row>
    <row r="2458">
      <c r="B2458" s="4" t="s">
        <v>607</v>
      </c>
      <c r="C2458" s="6" t="s">
        <v>607</v>
      </c>
      <c r="D2458" s="4" t="s">
        <v>607</v>
      </c>
      <c r="E2458" s="56" t="s">
        <v>607</v>
      </c>
    </row>
    <row r="2459">
      <c r="B2459" s="4" t="s">
        <v>607</v>
      </c>
      <c r="C2459" s="6" t="s">
        <v>607</v>
      </c>
      <c r="D2459" s="4" t="s">
        <v>607</v>
      </c>
      <c r="E2459" s="56" t="s">
        <v>607</v>
      </c>
    </row>
    <row r="2460">
      <c r="B2460" s="4" t="s">
        <v>607</v>
      </c>
      <c r="C2460" s="6" t="s">
        <v>607</v>
      </c>
      <c r="D2460" s="4" t="s">
        <v>607</v>
      </c>
      <c r="E2460" s="56" t="s">
        <v>607</v>
      </c>
    </row>
    <row r="2461">
      <c r="B2461" s="4" t="s">
        <v>607</v>
      </c>
      <c r="C2461" s="6" t="s">
        <v>607</v>
      </c>
      <c r="D2461" s="4" t="s">
        <v>607</v>
      </c>
      <c r="E2461" s="56" t="s">
        <v>607</v>
      </c>
    </row>
    <row r="2462">
      <c r="B2462" s="4" t="s">
        <v>607</v>
      </c>
      <c r="C2462" s="6" t="s">
        <v>607</v>
      </c>
      <c r="D2462" s="4" t="s">
        <v>607</v>
      </c>
      <c r="E2462" s="56" t="s">
        <v>607</v>
      </c>
    </row>
    <row r="2463">
      <c r="B2463" s="4" t="s">
        <v>607</v>
      </c>
      <c r="C2463" s="6" t="s">
        <v>607</v>
      </c>
      <c r="D2463" s="4" t="s">
        <v>607</v>
      </c>
      <c r="E2463" s="56" t="s">
        <v>607</v>
      </c>
    </row>
    <row r="2464">
      <c r="B2464" s="4" t="s">
        <v>607</v>
      </c>
      <c r="C2464" s="6" t="s">
        <v>607</v>
      </c>
      <c r="D2464" s="4" t="s">
        <v>607</v>
      </c>
      <c r="E2464" s="56" t="s">
        <v>607</v>
      </c>
    </row>
    <row r="2465">
      <c r="B2465" s="4" t="s">
        <v>607</v>
      </c>
      <c r="C2465" s="6" t="s">
        <v>607</v>
      </c>
      <c r="D2465" s="4" t="s">
        <v>607</v>
      </c>
      <c r="E2465" s="56" t="s">
        <v>607</v>
      </c>
    </row>
    <row r="2466">
      <c r="B2466" s="4" t="s">
        <v>607</v>
      </c>
      <c r="C2466" s="6" t="s">
        <v>607</v>
      </c>
      <c r="D2466" s="4" t="s">
        <v>607</v>
      </c>
      <c r="E2466" s="56" t="s">
        <v>607</v>
      </c>
    </row>
    <row r="2467">
      <c r="B2467" s="4" t="s">
        <v>607</v>
      </c>
      <c r="C2467" s="6" t="s">
        <v>607</v>
      </c>
      <c r="D2467" s="4" t="s">
        <v>607</v>
      </c>
      <c r="E2467" s="56" t="s">
        <v>607</v>
      </c>
    </row>
    <row r="2468">
      <c r="B2468" s="4" t="s">
        <v>607</v>
      </c>
      <c r="C2468" s="6" t="s">
        <v>607</v>
      </c>
      <c r="D2468" s="4" t="s">
        <v>607</v>
      </c>
      <c r="E2468" s="56" t="s">
        <v>607</v>
      </c>
    </row>
    <row r="2469">
      <c r="B2469" s="4" t="s">
        <v>607</v>
      </c>
      <c r="C2469" s="6" t="s">
        <v>607</v>
      </c>
      <c r="D2469" s="4" t="s">
        <v>607</v>
      </c>
      <c r="E2469" s="56" t="s">
        <v>607</v>
      </c>
    </row>
    <row r="2470">
      <c r="B2470" s="4" t="s">
        <v>607</v>
      </c>
      <c r="C2470" s="6" t="s">
        <v>607</v>
      </c>
      <c r="D2470" s="4" t="s">
        <v>607</v>
      </c>
      <c r="E2470" s="56" t="s">
        <v>607</v>
      </c>
    </row>
    <row r="2471">
      <c r="B2471" s="4" t="s">
        <v>607</v>
      </c>
      <c r="C2471" s="6" t="s">
        <v>607</v>
      </c>
      <c r="D2471" s="4" t="s">
        <v>607</v>
      </c>
      <c r="E2471" s="56" t="s">
        <v>607</v>
      </c>
    </row>
    <row r="2472">
      <c r="B2472" s="4" t="s">
        <v>607</v>
      </c>
      <c r="C2472" s="6" t="s">
        <v>607</v>
      </c>
      <c r="D2472" s="4" t="s">
        <v>607</v>
      </c>
      <c r="E2472" s="56" t="s">
        <v>607</v>
      </c>
    </row>
    <row r="2473">
      <c r="B2473" s="4" t="s">
        <v>607</v>
      </c>
      <c r="C2473" s="6" t="s">
        <v>607</v>
      </c>
      <c r="D2473" s="4" t="s">
        <v>607</v>
      </c>
      <c r="E2473" s="56" t="s">
        <v>607</v>
      </c>
    </row>
    <row r="2474">
      <c r="B2474" s="4" t="s">
        <v>607</v>
      </c>
      <c r="C2474" s="6" t="s">
        <v>607</v>
      </c>
      <c r="D2474" s="4" t="s">
        <v>607</v>
      </c>
      <c r="E2474" s="56" t="s">
        <v>607</v>
      </c>
    </row>
    <row r="2475">
      <c r="B2475" s="4" t="s">
        <v>607</v>
      </c>
      <c r="C2475" s="6" t="s">
        <v>607</v>
      </c>
      <c r="D2475" s="4" t="s">
        <v>607</v>
      </c>
      <c r="E2475" s="56" t="s">
        <v>607</v>
      </c>
    </row>
    <row r="2476">
      <c r="B2476" s="4" t="s">
        <v>607</v>
      </c>
      <c r="C2476" s="6" t="s">
        <v>607</v>
      </c>
      <c r="D2476" s="4" t="s">
        <v>607</v>
      </c>
      <c r="E2476" s="56" t="s">
        <v>607</v>
      </c>
    </row>
    <row r="2477">
      <c r="B2477" s="4" t="s">
        <v>607</v>
      </c>
      <c r="C2477" s="6" t="s">
        <v>607</v>
      </c>
      <c r="D2477" s="4" t="s">
        <v>607</v>
      </c>
      <c r="E2477" s="56" t="s">
        <v>607</v>
      </c>
    </row>
    <row r="2478">
      <c r="B2478" s="4" t="s">
        <v>607</v>
      </c>
      <c r="C2478" s="6" t="s">
        <v>607</v>
      </c>
      <c r="D2478" s="4" t="s">
        <v>607</v>
      </c>
      <c r="E2478" s="56" t="s">
        <v>607</v>
      </c>
    </row>
    <row r="2479">
      <c r="B2479" s="4" t="s">
        <v>607</v>
      </c>
      <c r="C2479" s="6" t="s">
        <v>607</v>
      </c>
      <c r="D2479" s="4" t="s">
        <v>607</v>
      </c>
      <c r="E2479" s="56" t="s">
        <v>607</v>
      </c>
    </row>
    <row r="2480">
      <c r="B2480" s="4" t="s">
        <v>607</v>
      </c>
      <c r="C2480" s="6" t="s">
        <v>607</v>
      </c>
      <c r="D2480" s="4" t="s">
        <v>607</v>
      </c>
      <c r="E2480" s="56" t="s">
        <v>607</v>
      </c>
    </row>
    <row r="2481">
      <c r="B2481" s="4" t="s">
        <v>607</v>
      </c>
      <c r="C2481" s="6" t="s">
        <v>607</v>
      </c>
      <c r="D2481" s="4" t="s">
        <v>607</v>
      </c>
      <c r="E2481" s="56" t="s">
        <v>607</v>
      </c>
    </row>
    <row r="2482">
      <c r="B2482" s="4" t="s">
        <v>607</v>
      </c>
      <c r="C2482" s="6" t="s">
        <v>607</v>
      </c>
      <c r="D2482" s="4" t="s">
        <v>607</v>
      </c>
      <c r="E2482" s="56" t="s">
        <v>607</v>
      </c>
    </row>
    <row r="2483">
      <c r="B2483" s="4" t="s">
        <v>607</v>
      </c>
      <c r="C2483" s="6" t="s">
        <v>607</v>
      </c>
      <c r="D2483" s="4" t="s">
        <v>607</v>
      </c>
      <c r="E2483" s="56" t="s">
        <v>607</v>
      </c>
    </row>
    <row r="2484">
      <c r="B2484" s="4" t="s">
        <v>607</v>
      </c>
      <c r="C2484" s="6" t="s">
        <v>607</v>
      </c>
      <c r="D2484" s="4" t="s">
        <v>607</v>
      </c>
      <c r="E2484" s="56" t="s">
        <v>607</v>
      </c>
    </row>
    <row r="2485">
      <c r="B2485" s="4" t="s">
        <v>607</v>
      </c>
      <c r="C2485" s="6" t="s">
        <v>607</v>
      </c>
      <c r="D2485" s="4" t="s">
        <v>607</v>
      </c>
      <c r="E2485" s="56" t="s">
        <v>607</v>
      </c>
    </row>
    <row r="2486">
      <c r="B2486" s="4" t="s">
        <v>607</v>
      </c>
      <c r="C2486" s="6" t="s">
        <v>607</v>
      </c>
      <c r="D2486" s="4" t="s">
        <v>607</v>
      </c>
      <c r="E2486" s="56" t="s">
        <v>607</v>
      </c>
    </row>
    <row r="2487">
      <c r="B2487" s="4" t="s">
        <v>607</v>
      </c>
      <c r="C2487" s="6" t="s">
        <v>607</v>
      </c>
      <c r="D2487" s="4" t="s">
        <v>607</v>
      </c>
      <c r="E2487" s="56" t="s">
        <v>607</v>
      </c>
    </row>
    <row r="2488">
      <c r="B2488" s="4" t="s">
        <v>607</v>
      </c>
      <c r="C2488" s="6" t="s">
        <v>607</v>
      </c>
      <c r="D2488" s="4" t="s">
        <v>607</v>
      </c>
      <c r="E2488" s="56" t="s">
        <v>607</v>
      </c>
    </row>
    <row r="2489">
      <c r="B2489" s="4" t="s">
        <v>607</v>
      </c>
      <c r="C2489" s="6" t="s">
        <v>607</v>
      </c>
      <c r="D2489" s="4" t="s">
        <v>607</v>
      </c>
      <c r="E2489" s="56" t="s">
        <v>607</v>
      </c>
    </row>
    <row r="2490">
      <c r="B2490" s="4" t="s">
        <v>607</v>
      </c>
      <c r="C2490" s="6" t="s">
        <v>607</v>
      </c>
      <c r="D2490" s="4" t="s">
        <v>607</v>
      </c>
      <c r="E2490" s="56" t="s">
        <v>607</v>
      </c>
    </row>
    <row r="2491">
      <c r="B2491" s="4" t="s">
        <v>607</v>
      </c>
      <c r="C2491" s="6" t="s">
        <v>607</v>
      </c>
      <c r="D2491" s="4" t="s">
        <v>607</v>
      </c>
      <c r="E2491" s="56" t="s">
        <v>607</v>
      </c>
    </row>
    <row r="2492">
      <c r="B2492" s="4" t="s">
        <v>607</v>
      </c>
      <c r="C2492" s="6" t="s">
        <v>607</v>
      </c>
      <c r="D2492" s="4" t="s">
        <v>607</v>
      </c>
      <c r="E2492" s="56" t="s">
        <v>607</v>
      </c>
    </row>
    <row r="2493">
      <c r="B2493" s="4" t="s">
        <v>607</v>
      </c>
      <c r="C2493" s="6" t="s">
        <v>607</v>
      </c>
      <c r="D2493" s="4" t="s">
        <v>607</v>
      </c>
      <c r="E2493" s="56" t="s">
        <v>607</v>
      </c>
    </row>
    <row r="2494">
      <c r="B2494" s="4" t="s">
        <v>607</v>
      </c>
      <c r="C2494" s="6" t="s">
        <v>607</v>
      </c>
      <c r="D2494" s="4" t="s">
        <v>607</v>
      </c>
      <c r="E2494" s="56" t="s">
        <v>607</v>
      </c>
    </row>
    <row r="2495">
      <c r="B2495" s="4" t="s">
        <v>607</v>
      </c>
      <c r="C2495" s="6" t="s">
        <v>607</v>
      </c>
      <c r="D2495" s="4" t="s">
        <v>607</v>
      </c>
      <c r="E2495" s="56" t="s">
        <v>607</v>
      </c>
    </row>
    <row r="2496">
      <c r="B2496" s="4" t="s">
        <v>607</v>
      </c>
      <c r="C2496" s="6" t="s">
        <v>607</v>
      </c>
      <c r="D2496" s="4" t="s">
        <v>607</v>
      </c>
      <c r="E2496" s="56" t="s">
        <v>607</v>
      </c>
    </row>
    <row r="2497">
      <c r="B2497" s="4" t="s">
        <v>607</v>
      </c>
      <c r="C2497" s="6" t="s">
        <v>607</v>
      </c>
      <c r="D2497" s="4" t="s">
        <v>607</v>
      </c>
      <c r="E2497" s="56" t="s">
        <v>607</v>
      </c>
    </row>
    <row r="2498">
      <c r="B2498" s="4" t="s">
        <v>607</v>
      </c>
      <c r="C2498" s="6" t="s">
        <v>607</v>
      </c>
      <c r="D2498" s="4" t="s">
        <v>607</v>
      </c>
      <c r="E2498" s="56" t="s">
        <v>607</v>
      </c>
    </row>
    <row r="2499">
      <c r="B2499" s="4" t="s">
        <v>607</v>
      </c>
      <c r="C2499" s="6" t="s">
        <v>607</v>
      </c>
      <c r="D2499" s="4" t="s">
        <v>607</v>
      </c>
      <c r="E2499" s="56" t="s">
        <v>607</v>
      </c>
    </row>
    <row r="2500">
      <c r="B2500" s="4" t="s">
        <v>607</v>
      </c>
      <c r="C2500" s="6" t="s">
        <v>607</v>
      </c>
      <c r="D2500" s="4" t="s">
        <v>607</v>
      </c>
      <c r="E2500" s="56" t="s">
        <v>607</v>
      </c>
    </row>
    <row r="2501">
      <c r="B2501" s="4" t="s">
        <v>607</v>
      </c>
      <c r="C2501" s="6" t="s">
        <v>607</v>
      </c>
      <c r="D2501" s="4" t="s">
        <v>607</v>
      </c>
      <c r="E2501" s="56" t="s">
        <v>607</v>
      </c>
    </row>
    <row r="2502">
      <c r="B2502" s="4" t="s">
        <v>607</v>
      </c>
      <c r="C2502" s="6" t="s">
        <v>607</v>
      </c>
      <c r="D2502" s="4" t="s">
        <v>607</v>
      </c>
      <c r="E2502" s="56" t="s">
        <v>607</v>
      </c>
    </row>
    <row r="2503">
      <c r="B2503" s="4" t="s">
        <v>607</v>
      </c>
      <c r="C2503" s="6" t="s">
        <v>607</v>
      </c>
      <c r="D2503" s="4" t="s">
        <v>607</v>
      </c>
      <c r="E2503" s="56" t="s">
        <v>607</v>
      </c>
    </row>
    <row r="2504">
      <c r="B2504" s="4" t="s">
        <v>607</v>
      </c>
      <c r="C2504" s="6" t="s">
        <v>607</v>
      </c>
      <c r="D2504" s="4" t="s">
        <v>607</v>
      </c>
      <c r="E2504" s="56" t="s">
        <v>607</v>
      </c>
    </row>
    <row r="2505">
      <c r="B2505" s="4" t="s">
        <v>607</v>
      </c>
      <c r="C2505" s="6" t="s">
        <v>607</v>
      </c>
      <c r="D2505" s="4" t="s">
        <v>607</v>
      </c>
      <c r="E2505" s="56" t="s">
        <v>607</v>
      </c>
    </row>
    <row r="2506">
      <c r="B2506" s="4" t="s">
        <v>607</v>
      </c>
      <c r="C2506" s="6" t="s">
        <v>607</v>
      </c>
      <c r="D2506" s="4" t="s">
        <v>607</v>
      </c>
      <c r="E2506" s="56" t="s">
        <v>607</v>
      </c>
    </row>
    <row r="2507">
      <c r="B2507" s="4" t="s">
        <v>607</v>
      </c>
      <c r="C2507" s="6" t="s">
        <v>607</v>
      </c>
      <c r="D2507" s="4" t="s">
        <v>607</v>
      </c>
      <c r="E2507" s="56" t="s">
        <v>607</v>
      </c>
    </row>
    <row r="2508">
      <c r="B2508" s="4" t="s">
        <v>607</v>
      </c>
      <c r="C2508" s="6" t="s">
        <v>607</v>
      </c>
      <c r="D2508" s="4" t="s">
        <v>607</v>
      </c>
      <c r="E2508" s="56" t="s">
        <v>607</v>
      </c>
    </row>
    <row r="2509">
      <c r="B2509" s="4" t="s">
        <v>607</v>
      </c>
      <c r="C2509" s="6" t="s">
        <v>607</v>
      </c>
      <c r="D2509" s="4" t="s">
        <v>607</v>
      </c>
      <c r="E2509" s="56" t="s">
        <v>607</v>
      </c>
    </row>
    <row r="2510">
      <c r="B2510" s="4" t="s">
        <v>607</v>
      </c>
      <c r="C2510" s="6" t="s">
        <v>607</v>
      </c>
      <c r="D2510" s="4" t="s">
        <v>607</v>
      </c>
      <c r="E2510" s="56" t="s">
        <v>607</v>
      </c>
    </row>
    <row r="2511">
      <c r="B2511" s="4" t="s">
        <v>607</v>
      </c>
      <c r="C2511" s="6" t="s">
        <v>607</v>
      </c>
      <c r="D2511" s="4" t="s">
        <v>607</v>
      </c>
      <c r="E2511" s="56" t="s">
        <v>607</v>
      </c>
    </row>
    <row r="2512">
      <c r="B2512" s="4" t="s">
        <v>607</v>
      </c>
      <c r="C2512" s="6" t="s">
        <v>607</v>
      </c>
      <c r="D2512" s="4" t="s">
        <v>607</v>
      </c>
      <c r="E2512" s="56" t="s">
        <v>607</v>
      </c>
    </row>
    <row r="2513">
      <c r="B2513" s="4" t="s">
        <v>607</v>
      </c>
      <c r="C2513" s="6" t="s">
        <v>607</v>
      </c>
      <c r="D2513" s="4" t="s">
        <v>607</v>
      </c>
      <c r="E2513" s="56" t="s">
        <v>607</v>
      </c>
    </row>
    <row r="2514">
      <c r="B2514" s="4" t="s">
        <v>607</v>
      </c>
      <c r="C2514" s="6" t="s">
        <v>607</v>
      </c>
      <c r="D2514" s="4" t="s">
        <v>607</v>
      </c>
      <c r="E2514" s="56" t="s">
        <v>607</v>
      </c>
    </row>
    <row r="2515">
      <c r="B2515" s="4" t="s">
        <v>607</v>
      </c>
      <c r="C2515" s="6" t="s">
        <v>607</v>
      </c>
      <c r="D2515" s="4" t="s">
        <v>607</v>
      </c>
      <c r="E2515" s="56" t="s">
        <v>607</v>
      </c>
    </row>
    <row r="2516">
      <c r="B2516" s="4" t="s">
        <v>607</v>
      </c>
      <c r="C2516" s="6" t="s">
        <v>607</v>
      </c>
      <c r="D2516" s="4" t="s">
        <v>607</v>
      </c>
      <c r="E2516" s="56" t="s">
        <v>607</v>
      </c>
    </row>
    <row r="2517">
      <c r="B2517" s="4" t="s">
        <v>607</v>
      </c>
      <c r="C2517" s="6" t="s">
        <v>607</v>
      </c>
      <c r="D2517" s="4" t="s">
        <v>607</v>
      </c>
      <c r="E2517" s="56" t="s">
        <v>607</v>
      </c>
    </row>
    <row r="2518">
      <c r="B2518" s="4" t="s">
        <v>607</v>
      </c>
      <c r="C2518" s="6" t="s">
        <v>607</v>
      </c>
      <c r="D2518" s="4" t="s">
        <v>607</v>
      </c>
      <c r="E2518" s="56" t="s">
        <v>607</v>
      </c>
    </row>
    <row r="2519">
      <c r="B2519" s="4" t="s">
        <v>607</v>
      </c>
      <c r="C2519" s="6" t="s">
        <v>607</v>
      </c>
      <c r="D2519" s="4" t="s">
        <v>607</v>
      </c>
      <c r="E2519" s="56" t="s">
        <v>607</v>
      </c>
    </row>
    <row r="2520">
      <c r="B2520" s="4" t="s">
        <v>607</v>
      </c>
      <c r="C2520" s="6" t="s">
        <v>607</v>
      </c>
      <c r="D2520" s="4" t="s">
        <v>607</v>
      </c>
      <c r="E2520" s="56" t="s">
        <v>607</v>
      </c>
    </row>
    <row r="2521">
      <c r="B2521" s="4" t="s">
        <v>607</v>
      </c>
      <c r="C2521" s="6" t="s">
        <v>607</v>
      </c>
      <c r="D2521" s="4" t="s">
        <v>607</v>
      </c>
      <c r="E2521" s="56" t="s">
        <v>607</v>
      </c>
    </row>
    <row r="2522">
      <c r="B2522" s="4" t="s">
        <v>607</v>
      </c>
      <c r="C2522" s="6" t="s">
        <v>607</v>
      </c>
      <c r="D2522" s="4" t="s">
        <v>607</v>
      </c>
      <c r="E2522" s="56" t="s">
        <v>607</v>
      </c>
    </row>
    <row r="2523">
      <c r="B2523" s="4" t="s">
        <v>607</v>
      </c>
      <c r="C2523" s="6" t="s">
        <v>607</v>
      </c>
      <c r="D2523" s="4" t="s">
        <v>607</v>
      </c>
      <c r="E2523" s="56" t="s">
        <v>607</v>
      </c>
    </row>
    <row r="2524">
      <c r="B2524" s="4" t="s">
        <v>607</v>
      </c>
      <c r="C2524" s="6" t="s">
        <v>607</v>
      </c>
      <c r="D2524" s="4" t="s">
        <v>607</v>
      </c>
      <c r="E2524" s="56" t="s">
        <v>607</v>
      </c>
    </row>
    <row r="2525">
      <c r="B2525" s="4" t="s">
        <v>607</v>
      </c>
      <c r="C2525" s="6" t="s">
        <v>607</v>
      </c>
      <c r="D2525" s="4" t="s">
        <v>607</v>
      </c>
      <c r="E2525" s="56" t="s">
        <v>607</v>
      </c>
    </row>
    <row r="2526">
      <c r="B2526" s="4" t="s">
        <v>607</v>
      </c>
      <c r="C2526" s="6" t="s">
        <v>607</v>
      </c>
      <c r="D2526" s="4" t="s">
        <v>607</v>
      </c>
      <c r="E2526" s="56" t="s">
        <v>607</v>
      </c>
    </row>
    <row r="2527">
      <c r="B2527" s="4" t="s">
        <v>607</v>
      </c>
      <c r="C2527" s="6" t="s">
        <v>607</v>
      </c>
      <c r="D2527" s="4" t="s">
        <v>607</v>
      </c>
      <c r="E2527" s="56" t="s">
        <v>607</v>
      </c>
    </row>
    <row r="2528">
      <c r="B2528" s="4" t="s">
        <v>607</v>
      </c>
      <c r="C2528" s="6" t="s">
        <v>607</v>
      </c>
      <c r="D2528" s="4" t="s">
        <v>607</v>
      </c>
      <c r="E2528" s="56" t="s">
        <v>607</v>
      </c>
    </row>
    <row r="2529">
      <c r="B2529" s="4" t="s">
        <v>607</v>
      </c>
      <c r="C2529" s="6" t="s">
        <v>607</v>
      </c>
      <c r="D2529" s="4" t="s">
        <v>607</v>
      </c>
      <c r="E2529" s="56" t="s">
        <v>607</v>
      </c>
    </row>
    <row r="2530">
      <c r="B2530" s="4" t="s">
        <v>607</v>
      </c>
      <c r="C2530" s="6" t="s">
        <v>607</v>
      </c>
      <c r="D2530" s="4" t="s">
        <v>607</v>
      </c>
      <c r="E2530" s="56" t="s">
        <v>607</v>
      </c>
    </row>
    <row r="2531">
      <c r="B2531" s="4" t="s">
        <v>607</v>
      </c>
      <c r="C2531" s="6" t="s">
        <v>607</v>
      </c>
      <c r="D2531" s="4" t="s">
        <v>607</v>
      </c>
      <c r="E2531" s="56" t="s">
        <v>607</v>
      </c>
    </row>
    <row r="2532">
      <c r="B2532" s="4" t="s">
        <v>607</v>
      </c>
      <c r="C2532" s="6" t="s">
        <v>607</v>
      </c>
      <c r="D2532" s="4" t="s">
        <v>607</v>
      </c>
      <c r="E2532" s="56" t="s">
        <v>607</v>
      </c>
    </row>
    <row r="2533">
      <c r="B2533" s="4" t="s">
        <v>607</v>
      </c>
      <c r="C2533" s="6" t="s">
        <v>607</v>
      </c>
      <c r="D2533" s="4" t="s">
        <v>607</v>
      </c>
      <c r="E2533" s="56" t="s">
        <v>607</v>
      </c>
    </row>
    <row r="2534">
      <c r="B2534" s="4" t="s">
        <v>607</v>
      </c>
      <c r="C2534" s="6" t="s">
        <v>607</v>
      </c>
      <c r="D2534" s="4" t="s">
        <v>607</v>
      </c>
      <c r="E2534" s="56" t="s">
        <v>607</v>
      </c>
    </row>
    <row r="2535">
      <c r="B2535" s="4" t="s">
        <v>607</v>
      </c>
      <c r="C2535" s="6" t="s">
        <v>607</v>
      </c>
      <c r="D2535" s="4" t="s">
        <v>607</v>
      </c>
      <c r="E2535" s="56" t="s">
        <v>607</v>
      </c>
    </row>
    <row r="2536">
      <c r="B2536" s="4" t="s">
        <v>607</v>
      </c>
      <c r="C2536" s="6" t="s">
        <v>607</v>
      </c>
      <c r="D2536" s="4" t="s">
        <v>607</v>
      </c>
      <c r="E2536" s="56" t="s">
        <v>607</v>
      </c>
    </row>
    <row r="2537">
      <c r="B2537" s="4" t="s">
        <v>607</v>
      </c>
      <c r="C2537" s="6" t="s">
        <v>607</v>
      </c>
      <c r="D2537" s="4" t="s">
        <v>607</v>
      </c>
      <c r="E2537" s="56" t="s">
        <v>607</v>
      </c>
    </row>
    <row r="2538">
      <c r="B2538" s="4" t="s">
        <v>607</v>
      </c>
      <c r="C2538" s="6" t="s">
        <v>607</v>
      </c>
      <c r="D2538" s="4" t="s">
        <v>607</v>
      </c>
      <c r="E2538" s="56" t="s">
        <v>607</v>
      </c>
    </row>
    <row r="2539">
      <c r="B2539" s="4" t="s">
        <v>607</v>
      </c>
      <c r="C2539" s="6" t="s">
        <v>607</v>
      </c>
      <c r="D2539" s="4" t="s">
        <v>607</v>
      </c>
      <c r="E2539" s="56" t="s">
        <v>607</v>
      </c>
    </row>
    <row r="2540">
      <c r="B2540" s="4" t="s">
        <v>607</v>
      </c>
      <c r="C2540" s="6" t="s">
        <v>607</v>
      </c>
      <c r="D2540" s="4" t="s">
        <v>607</v>
      </c>
      <c r="E2540" s="56" t="s">
        <v>607</v>
      </c>
    </row>
    <row r="2541">
      <c r="B2541" s="4" t="s">
        <v>607</v>
      </c>
      <c r="C2541" s="6" t="s">
        <v>607</v>
      </c>
      <c r="D2541" s="4" t="s">
        <v>607</v>
      </c>
      <c r="E2541" s="56" t="s">
        <v>607</v>
      </c>
    </row>
    <row r="2542">
      <c r="B2542" s="4" t="s">
        <v>607</v>
      </c>
      <c r="C2542" s="6" t="s">
        <v>607</v>
      </c>
      <c r="D2542" s="4" t="s">
        <v>607</v>
      </c>
      <c r="E2542" s="56" t="s">
        <v>607</v>
      </c>
    </row>
    <row r="2543">
      <c r="B2543" s="4" t="s">
        <v>607</v>
      </c>
      <c r="C2543" s="6" t="s">
        <v>607</v>
      </c>
      <c r="D2543" s="4" t="s">
        <v>607</v>
      </c>
      <c r="E2543" s="56" t="s">
        <v>607</v>
      </c>
    </row>
    <row r="2544">
      <c r="B2544" s="4" t="s">
        <v>607</v>
      </c>
      <c r="C2544" s="6" t="s">
        <v>607</v>
      </c>
      <c r="D2544" s="4" t="s">
        <v>607</v>
      </c>
      <c r="E2544" s="56" t="s">
        <v>607</v>
      </c>
    </row>
    <row r="2545">
      <c r="B2545" s="4" t="s">
        <v>607</v>
      </c>
      <c r="C2545" s="6" t="s">
        <v>607</v>
      </c>
      <c r="D2545" s="4" t="s">
        <v>607</v>
      </c>
      <c r="E2545" s="56" t="s">
        <v>607</v>
      </c>
    </row>
    <row r="2546">
      <c r="B2546" s="4" t="s">
        <v>607</v>
      </c>
      <c r="C2546" s="6" t="s">
        <v>607</v>
      </c>
      <c r="D2546" s="4" t="s">
        <v>607</v>
      </c>
      <c r="E2546" s="56" t="s">
        <v>607</v>
      </c>
    </row>
    <row r="2547">
      <c r="B2547" s="4" t="s">
        <v>607</v>
      </c>
      <c r="C2547" s="6" t="s">
        <v>607</v>
      </c>
      <c r="D2547" s="4" t="s">
        <v>607</v>
      </c>
      <c r="E2547" s="56" t="s">
        <v>607</v>
      </c>
    </row>
    <row r="2548">
      <c r="B2548" s="4" t="s">
        <v>607</v>
      </c>
      <c r="C2548" s="6" t="s">
        <v>607</v>
      </c>
      <c r="D2548" s="4" t="s">
        <v>607</v>
      </c>
      <c r="E2548" s="56" t="s">
        <v>607</v>
      </c>
    </row>
    <row r="2549">
      <c r="B2549" s="4" t="s">
        <v>607</v>
      </c>
      <c r="C2549" s="6" t="s">
        <v>607</v>
      </c>
      <c r="D2549" s="4" t="s">
        <v>607</v>
      </c>
      <c r="E2549" s="56" t="s">
        <v>607</v>
      </c>
    </row>
    <row r="2550">
      <c r="B2550" s="4" t="s">
        <v>607</v>
      </c>
      <c r="C2550" s="6" t="s">
        <v>607</v>
      </c>
      <c r="D2550" s="4" t="s">
        <v>607</v>
      </c>
      <c r="E2550" s="56" t="s">
        <v>607</v>
      </c>
    </row>
    <row r="2551">
      <c r="B2551" s="4" t="s">
        <v>607</v>
      </c>
      <c r="C2551" s="6" t="s">
        <v>607</v>
      </c>
      <c r="D2551" s="4" t="s">
        <v>607</v>
      </c>
      <c r="E2551" s="56" t="s">
        <v>607</v>
      </c>
    </row>
    <row r="2552">
      <c r="B2552" s="4" t="s">
        <v>607</v>
      </c>
      <c r="C2552" s="6" t="s">
        <v>607</v>
      </c>
      <c r="D2552" s="4" t="s">
        <v>607</v>
      </c>
      <c r="E2552" s="56" t="s">
        <v>607</v>
      </c>
    </row>
    <row r="2553">
      <c r="B2553" s="4" t="s">
        <v>607</v>
      </c>
      <c r="C2553" s="6" t="s">
        <v>607</v>
      </c>
      <c r="D2553" s="4" t="s">
        <v>607</v>
      </c>
      <c r="E2553" s="56" t="s">
        <v>607</v>
      </c>
    </row>
    <row r="2554">
      <c r="B2554" s="4" t="s">
        <v>607</v>
      </c>
      <c r="C2554" s="6" t="s">
        <v>607</v>
      </c>
      <c r="D2554" s="4" t="s">
        <v>607</v>
      </c>
      <c r="E2554" s="56" t="s">
        <v>607</v>
      </c>
    </row>
    <row r="2555">
      <c r="B2555" s="4" t="s">
        <v>607</v>
      </c>
      <c r="C2555" s="6" t="s">
        <v>607</v>
      </c>
      <c r="D2555" s="4" t="s">
        <v>607</v>
      </c>
      <c r="E2555" s="56" t="s">
        <v>607</v>
      </c>
    </row>
    <row r="2556">
      <c r="B2556" s="4" t="s">
        <v>607</v>
      </c>
      <c r="C2556" s="6" t="s">
        <v>607</v>
      </c>
      <c r="D2556" s="4" t="s">
        <v>607</v>
      </c>
      <c r="E2556" s="56" t="s">
        <v>607</v>
      </c>
    </row>
    <row r="2557">
      <c r="B2557" s="4" t="s">
        <v>607</v>
      </c>
      <c r="C2557" s="6" t="s">
        <v>607</v>
      </c>
      <c r="D2557" s="4" t="s">
        <v>607</v>
      </c>
      <c r="E2557" s="56" t="s">
        <v>607</v>
      </c>
    </row>
    <row r="2558">
      <c r="B2558" s="4" t="s">
        <v>607</v>
      </c>
      <c r="C2558" s="6" t="s">
        <v>607</v>
      </c>
      <c r="D2558" s="4" t="s">
        <v>607</v>
      </c>
      <c r="E2558" s="56" t="s">
        <v>607</v>
      </c>
    </row>
    <row r="2559">
      <c r="B2559" s="4" t="s">
        <v>607</v>
      </c>
      <c r="C2559" s="6" t="s">
        <v>607</v>
      </c>
      <c r="D2559" s="4" t="s">
        <v>607</v>
      </c>
      <c r="E2559" s="56" t="s">
        <v>607</v>
      </c>
    </row>
    <row r="2560">
      <c r="B2560" s="4" t="s">
        <v>607</v>
      </c>
      <c r="C2560" s="6" t="s">
        <v>607</v>
      </c>
      <c r="D2560" s="4" t="s">
        <v>607</v>
      </c>
      <c r="E2560" s="56" t="s">
        <v>607</v>
      </c>
    </row>
    <row r="2561">
      <c r="B2561" s="4" t="s">
        <v>607</v>
      </c>
      <c r="C2561" s="6" t="s">
        <v>607</v>
      </c>
      <c r="D2561" s="4" t="s">
        <v>607</v>
      </c>
      <c r="E2561" s="56" t="s">
        <v>607</v>
      </c>
    </row>
    <row r="2562">
      <c r="B2562" s="4" t="s">
        <v>607</v>
      </c>
      <c r="C2562" s="6" t="s">
        <v>607</v>
      </c>
      <c r="D2562" s="4" t="s">
        <v>607</v>
      </c>
      <c r="E2562" s="56" t="s">
        <v>607</v>
      </c>
    </row>
    <row r="2563">
      <c r="B2563" s="4" t="s">
        <v>607</v>
      </c>
      <c r="C2563" s="6" t="s">
        <v>607</v>
      </c>
      <c r="D2563" s="4" t="s">
        <v>607</v>
      </c>
      <c r="E2563" s="56" t="s">
        <v>607</v>
      </c>
    </row>
    <row r="2564">
      <c r="B2564" s="4" t="s">
        <v>607</v>
      </c>
      <c r="C2564" s="6" t="s">
        <v>607</v>
      </c>
      <c r="D2564" s="4" t="s">
        <v>607</v>
      </c>
      <c r="E2564" s="56" t="s">
        <v>607</v>
      </c>
    </row>
    <row r="2565">
      <c r="B2565" s="4" t="s">
        <v>607</v>
      </c>
      <c r="C2565" s="6" t="s">
        <v>607</v>
      </c>
      <c r="D2565" s="4" t="s">
        <v>607</v>
      </c>
      <c r="E2565" s="56" t="s">
        <v>607</v>
      </c>
    </row>
    <row r="2566">
      <c r="B2566" s="4" t="s">
        <v>607</v>
      </c>
      <c r="C2566" s="6" t="s">
        <v>607</v>
      </c>
      <c r="D2566" s="4" t="s">
        <v>607</v>
      </c>
      <c r="E2566" s="56" t="s">
        <v>607</v>
      </c>
    </row>
    <row r="2567">
      <c r="B2567" s="4" t="s">
        <v>607</v>
      </c>
      <c r="C2567" s="6" t="s">
        <v>607</v>
      </c>
      <c r="D2567" s="4" t="s">
        <v>607</v>
      </c>
      <c r="E2567" s="56" t="s">
        <v>607</v>
      </c>
    </row>
    <row r="2568">
      <c r="B2568" s="4" t="s">
        <v>607</v>
      </c>
      <c r="C2568" s="6" t="s">
        <v>607</v>
      </c>
      <c r="D2568" s="4" t="s">
        <v>607</v>
      </c>
      <c r="E2568" s="56" t="s">
        <v>607</v>
      </c>
    </row>
    <row r="2569">
      <c r="B2569" s="4" t="s">
        <v>607</v>
      </c>
      <c r="C2569" s="6" t="s">
        <v>607</v>
      </c>
      <c r="D2569" s="4" t="s">
        <v>607</v>
      </c>
      <c r="E2569" s="56" t="s">
        <v>607</v>
      </c>
    </row>
    <row r="2570">
      <c r="B2570" s="4" t="s">
        <v>607</v>
      </c>
      <c r="C2570" s="6" t="s">
        <v>607</v>
      </c>
      <c r="D2570" s="4" t="s">
        <v>607</v>
      </c>
      <c r="E2570" s="56" t="s">
        <v>607</v>
      </c>
    </row>
    <row r="2571">
      <c r="B2571" s="4" t="s">
        <v>607</v>
      </c>
      <c r="C2571" s="6" t="s">
        <v>607</v>
      </c>
      <c r="D2571" s="4" t="s">
        <v>607</v>
      </c>
      <c r="E2571" s="56" t="s">
        <v>607</v>
      </c>
    </row>
    <row r="2572">
      <c r="B2572" s="4" t="s">
        <v>607</v>
      </c>
      <c r="C2572" s="6" t="s">
        <v>607</v>
      </c>
      <c r="D2572" s="4" t="s">
        <v>607</v>
      </c>
      <c r="E2572" s="56" t="s">
        <v>607</v>
      </c>
    </row>
    <row r="2573">
      <c r="B2573" s="4" t="s">
        <v>607</v>
      </c>
      <c r="C2573" s="6" t="s">
        <v>607</v>
      </c>
      <c r="D2573" s="4" t="s">
        <v>607</v>
      </c>
      <c r="E2573" s="56" t="s">
        <v>607</v>
      </c>
    </row>
    <row r="2574">
      <c r="B2574" s="4" t="s">
        <v>607</v>
      </c>
      <c r="C2574" s="6" t="s">
        <v>607</v>
      </c>
      <c r="D2574" s="4" t="s">
        <v>607</v>
      </c>
      <c r="E2574" s="56" t="s">
        <v>607</v>
      </c>
    </row>
    <row r="2575">
      <c r="B2575" s="4" t="s">
        <v>607</v>
      </c>
      <c r="C2575" s="6" t="s">
        <v>607</v>
      </c>
      <c r="D2575" s="4" t="s">
        <v>607</v>
      </c>
      <c r="E2575" s="56" t="s">
        <v>607</v>
      </c>
    </row>
    <row r="2576">
      <c r="B2576" s="4" t="s">
        <v>607</v>
      </c>
      <c r="C2576" s="6" t="s">
        <v>607</v>
      </c>
      <c r="D2576" s="4" t="s">
        <v>607</v>
      </c>
      <c r="E2576" s="56" t="s">
        <v>607</v>
      </c>
    </row>
    <row r="2577">
      <c r="B2577" s="4" t="s">
        <v>607</v>
      </c>
      <c r="C2577" s="6" t="s">
        <v>607</v>
      </c>
      <c r="D2577" s="4" t="s">
        <v>607</v>
      </c>
      <c r="E2577" s="56" t="s">
        <v>607</v>
      </c>
    </row>
    <row r="2578">
      <c r="B2578" s="4" t="s">
        <v>607</v>
      </c>
      <c r="C2578" s="6" t="s">
        <v>607</v>
      </c>
      <c r="D2578" s="4" t="s">
        <v>607</v>
      </c>
      <c r="E2578" s="56" t="s">
        <v>607</v>
      </c>
    </row>
    <row r="2579">
      <c r="B2579" s="4" t="s">
        <v>607</v>
      </c>
      <c r="C2579" s="6" t="s">
        <v>607</v>
      </c>
      <c r="D2579" s="4" t="s">
        <v>607</v>
      </c>
      <c r="E2579" s="56" t="s">
        <v>607</v>
      </c>
    </row>
    <row r="2580">
      <c r="B2580" s="4" t="s">
        <v>607</v>
      </c>
      <c r="C2580" s="6" t="s">
        <v>607</v>
      </c>
      <c r="D2580" s="4" t="s">
        <v>607</v>
      </c>
      <c r="E2580" s="56" t="s">
        <v>607</v>
      </c>
    </row>
    <row r="2581">
      <c r="B2581" s="4" t="s">
        <v>607</v>
      </c>
      <c r="C2581" s="6" t="s">
        <v>607</v>
      </c>
      <c r="D2581" s="4" t="s">
        <v>607</v>
      </c>
      <c r="E2581" s="56" t="s">
        <v>607</v>
      </c>
    </row>
    <row r="2582">
      <c r="B2582" s="4" t="s">
        <v>607</v>
      </c>
      <c r="C2582" s="6" t="s">
        <v>607</v>
      </c>
      <c r="D2582" s="4" t="s">
        <v>607</v>
      </c>
      <c r="E2582" s="56" t="s">
        <v>607</v>
      </c>
    </row>
    <row r="2583">
      <c r="B2583" s="4" t="s">
        <v>607</v>
      </c>
      <c r="C2583" s="6" t="s">
        <v>607</v>
      </c>
      <c r="D2583" s="4" t="s">
        <v>607</v>
      </c>
      <c r="E2583" s="56" t="s">
        <v>607</v>
      </c>
    </row>
    <row r="2584">
      <c r="B2584" s="4" t="s">
        <v>607</v>
      </c>
      <c r="C2584" s="6" t="s">
        <v>607</v>
      </c>
      <c r="D2584" s="4" t="s">
        <v>607</v>
      </c>
      <c r="E2584" s="56" t="s">
        <v>607</v>
      </c>
    </row>
    <row r="2585">
      <c r="B2585" s="4" t="s">
        <v>607</v>
      </c>
      <c r="C2585" s="6" t="s">
        <v>607</v>
      </c>
      <c r="D2585" s="4" t="s">
        <v>607</v>
      </c>
      <c r="E2585" s="56" t="s">
        <v>607</v>
      </c>
    </row>
    <row r="2586">
      <c r="B2586" s="4" t="s">
        <v>607</v>
      </c>
      <c r="C2586" s="6" t="s">
        <v>607</v>
      </c>
      <c r="D2586" s="4" t="s">
        <v>607</v>
      </c>
      <c r="E2586" s="56" t="s">
        <v>607</v>
      </c>
    </row>
    <row r="2587">
      <c r="B2587" s="4" t="s">
        <v>607</v>
      </c>
      <c r="C2587" s="6" t="s">
        <v>607</v>
      </c>
      <c r="D2587" s="4" t="s">
        <v>607</v>
      </c>
      <c r="E2587" s="56" t="s">
        <v>607</v>
      </c>
    </row>
    <row r="2588">
      <c r="B2588" s="4" t="s">
        <v>607</v>
      </c>
      <c r="C2588" s="6" t="s">
        <v>607</v>
      </c>
      <c r="D2588" s="4" t="s">
        <v>607</v>
      </c>
      <c r="E2588" s="56" t="s">
        <v>607</v>
      </c>
    </row>
    <row r="2589">
      <c r="B2589" s="4" t="s">
        <v>607</v>
      </c>
      <c r="C2589" s="6" t="s">
        <v>607</v>
      </c>
      <c r="D2589" s="4" t="s">
        <v>607</v>
      </c>
      <c r="E2589" s="56" t="s">
        <v>607</v>
      </c>
    </row>
    <row r="2590">
      <c r="B2590" s="4" t="s">
        <v>607</v>
      </c>
      <c r="C2590" s="6" t="s">
        <v>607</v>
      </c>
      <c r="D2590" s="4" t="s">
        <v>607</v>
      </c>
      <c r="E2590" s="56" t="s">
        <v>607</v>
      </c>
    </row>
    <row r="2591">
      <c r="B2591" s="4" t="s">
        <v>607</v>
      </c>
      <c r="C2591" s="6" t="s">
        <v>607</v>
      </c>
      <c r="D2591" s="4" t="s">
        <v>607</v>
      </c>
      <c r="E2591" s="56" t="s">
        <v>607</v>
      </c>
    </row>
    <row r="2592">
      <c r="B2592" s="4" t="s">
        <v>607</v>
      </c>
      <c r="C2592" s="6" t="s">
        <v>607</v>
      </c>
      <c r="D2592" s="4" t="s">
        <v>607</v>
      </c>
      <c r="E2592" s="56" t="s">
        <v>607</v>
      </c>
    </row>
    <row r="2593">
      <c r="B2593" s="4" t="s">
        <v>607</v>
      </c>
      <c r="C2593" s="6" t="s">
        <v>607</v>
      </c>
      <c r="D2593" s="4" t="s">
        <v>607</v>
      </c>
      <c r="E2593" s="56" t="s">
        <v>607</v>
      </c>
    </row>
    <row r="2594">
      <c r="B2594" s="4" t="s">
        <v>607</v>
      </c>
      <c r="C2594" s="6" t="s">
        <v>607</v>
      </c>
      <c r="D2594" s="4" t="s">
        <v>607</v>
      </c>
      <c r="E2594" s="56" t="s">
        <v>607</v>
      </c>
    </row>
    <row r="2595">
      <c r="B2595" s="4" t="s">
        <v>607</v>
      </c>
      <c r="C2595" s="6" t="s">
        <v>607</v>
      </c>
      <c r="D2595" s="4" t="s">
        <v>607</v>
      </c>
      <c r="E2595" s="56" t="s">
        <v>607</v>
      </c>
    </row>
    <row r="2596">
      <c r="B2596" s="4" t="s">
        <v>607</v>
      </c>
      <c r="C2596" s="6" t="s">
        <v>607</v>
      </c>
      <c r="D2596" s="4" t="s">
        <v>607</v>
      </c>
      <c r="E2596" s="56" t="s">
        <v>607</v>
      </c>
    </row>
    <row r="2597">
      <c r="B2597" s="4" t="s">
        <v>607</v>
      </c>
      <c r="C2597" s="6" t="s">
        <v>607</v>
      </c>
      <c r="D2597" s="4" t="s">
        <v>607</v>
      </c>
      <c r="E2597" s="56" t="s">
        <v>607</v>
      </c>
    </row>
    <row r="2598">
      <c r="B2598" s="4" t="s">
        <v>607</v>
      </c>
      <c r="C2598" s="6" t="s">
        <v>607</v>
      </c>
      <c r="D2598" s="4" t="s">
        <v>607</v>
      </c>
      <c r="E2598" s="56" t="s">
        <v>607</v>
      </c>
    </row>
    <row r="2599">
      <c r="B2599" s="4" t="s">
        <v>607</v>
      </c>
      <c r="C2599" s="6" t="s">
        <v>607</v>
      </c>
      <c r="D2599" s="4" t="s">
        <v>607</v>
      </c>
      <c r="E2599" s="56" t="s">
        <v>607</v>
      </c>
    </row>
    <row r="2600">
      <c r="B2600" s="4" t="s">
        <v>607</v>
      </c>
      <c r="C2600" s="6" t="s">
        <v>607</v>
      </c>
      <c r="D2600" s="4" t="s">
        <v>607</v>
      </c>
      <c r="E2600" s="56" t="s">
        <v>607</v>
      </c>
    </row>
    <row r="2601">
      <c r="B2601" s="4" t="s">
        <v>607</v>
      </c>
      <c r="C2601" s="6" t="s">
        <v>607</v>
      </c>
      <c r="D2601" s="4" t="s">
        <v>607</v>
      </c>
      <c r="E2601" s="56" t="s">
        <v>607</v>
      </c>
    </row>
    <row r="2602">
      <c r="B2602" s="4" t="s">
        <v>607</v>
      </c>
      <c r="C2602" s="6" t="s">
        <v>607</v>
      </c>
      <c r="D2602" s="4" t="s">
        <v>607</v>
      </c>
      <c r="E2602" s="56" t="s">
        <v>607</v>
      </c>
    </row>
    <row r="2603">
      <c r="B2603" s="4" t="s">
        <v>607</v>
      </c>
      <c r="C2603" s="6" t="s">
        <v>607</v>
      </c>
      <c r="D2603" s="4" t="s">
        <v>607</v>
      </c>
      <c r="E2603" s="56" t="s">
        <v>607</v>
      </c>
    </row>
    <row r="2604">
      <c r="B2604" s="4" t="s">
        <v>607</v>
      </c>
      <c r="C2604" s="6" t="s">
        <v>607</v>
      </c>
      <c r="D2604" s="4" t="s">
        <v>607</v>
      </c>
      <c r="E2604" s="56" t="s">
        <v>607</v>
      </c>
    </row>
    <row r="2605">
      <c r="B2605" s="4" t="s">
        <v>607</v>
      </c>
      <c r="C2605" s="6" t="s">
        <v>607</v>
      </c>
      <c r="D2605" s="4" t="s">
        <v>607</v>
      </c>
      <c r="E2605" s="56" t="s">
        <v>607</v>
      </c>
    </row>
    <row r="2606">
      <c r="B2606" s="4" t="s">
        <v>607</v>
      </c>
      <c r="C2606" s="6" t="s">
        <v>607</v>
      </c>
      <c r="D2606" s="4" t="s">
        <v>607</v>
      </c>
      <c r="E2606" s="56" t="s">
        <v>607</v>
      </c>
    </row>
    <row r="2607">
      <c r="B2607" s="4" t="s">
        <v>607</v>
      </c>
      <c r="C2607" s="6" t="s">
        <v>607</v>
      </c>
      <c r="D2607" s="4" t="s">
        <v>607</v>
      </c>
      <c r="E2607" s="56" t="s">
        <v>607</v>
      </c>
    </row>
    <row r="2608">
      <c r="B2608" s="4" t="s">
        <v>607</v>
      </c>
      <c r="C2608" s="6" t="s">
        <v>607</v>
      </c>
      <c r="D2608" s="4" t="s">
        <v>607</v>
      </c>
      <c r="E2608" s="56" t="s">
        <v>607</v>
      </c>
    </row>
    <row r="2609">
      <c r="B2609" s="4" t="s">
        <v>607</v>
      </c>
      <c r="C2609" s="6" t="s">
        <v>607</v>
      </c>
      <c r="D2609" s="4" t="s">
        <v>607</v>
      </c>
      <c r="E2609" s="56" t="s">
        <v>607</v>
      </c>
    </row>
    <row r="2610">
      <c r="B2610" s="4" t="s">
        <v>607</v>
      </c>
      <c r="C2610" s="6" t="s">
        <v>607</v>
      </c>
      <c r="D2610" s="4" t="s">
        <v>607</v>
      </c>
      <c r="E2610" s="56" t="s">
        <v>607</v>
      </c>
    </row>
    <row r="2611">
      <c r="B2611" s="4" t="s">
        <v>607</v>
      </c>
      <c r="C2611" s="6" t="s">
        <v>607</v>
      </c>
      <c r="D2611" s="4" t="s">
        <v>607</v>
      </c>
      <c r="E2611" s="56" t="s">
        <v>607</v>
      </c>
    </row>
    <row r="2612">
      <c r="B2612" s="4" t="s">
        <v>607</v>
      </c>
      <c r="C2612" s="6" t="s">
        <v>607</v>
      </c>
      <c r="D2612" s="4" t="s">
        <v>607</v>
      </c>
      <c r="E2612" s="56" t="s">
        <v>607</v>
      </c>
    </row>
    <row r="2613">
      <c r="B2613" s="4" t="s">
        <v>607</v>
      </c>
      <c r="C2613" s="6" t="s">
        <v>607</v>
      </c>
      <c r="D2613" s="4" t="s">
        <v>607</v>
      </c>
      <c r="E2613" s="56" t="s">
        <v>607</v>
      </c>
    </row>
    <row r="2614">
      <c r="B2614" s="4" t="s">
        <v>607</v>
      </c>
      <c r="C2614" s="6" t="s">
        <v>607</v>
      </c>
      <c r="D2614" s="4" t="s">
        <v>607</v>
      </c>
      <c r="E2614" s="56" t="s">
        <v>607</v>
      </c>
    </row>
    <row r="2615">
      <c r="B2615" s="4" t="s">
        <v>607</v>
      </c>
      <c r="C2615" s="6" t="s">
        <v>607</v>
      </c>
      <c r="D2615" s="4" t="s">
        <v>607</v>
      </c>
      <c r="E2615" s="56" t="s">
        <v>607</v>
      </c>
    </row>
    <row r="2616">
      <c r="B2616" s="4" t="s">
        <v>607</v>
      </c>
      <c r="C2616" s="6" t="s">
        <v>607</v>
      </c>
      <c r="D2616" s="4" t="s">
        <v>607</v>
      </c>
      <c r="E2616" s="56" t="s">
        <v>607</v>
      </c>
    </row>
    <row r="2617">
      <c r="B2617" s="4" t="s">
        <v>607</v>
      </c>
      <c r="C2617" s="6" t="s">
        <v>607</v>
      </c>
      <c r="D2617" s="4" t="s">
        <v>607</v>
      </c>
      <c r="E2617" s="56" t="s">
        <v>607</v>
      </c>
    </row>
    <row r="2618">
      <c r="B2618" s="4" t="s">
        <v>607</v>
      </c>
      <c r="C2618" s="6" t="s">
        <v>607</v>
      </c>
      <c r="D2618" s="4" t="s">
        <v>607</v>
      </c>
      <c r="E2618" s="56" t="s">
        <v>607</v>
      </c>
    </row>
    <row r="2619">
      <c r="B2619" s="4" t="s">
        <v>607</v>
      </c>
      <c r="C2619" s="6" t="s">
        <v>607</v>
      </c>
      <c r="D2619" s="4" t="s">
        <v>607</v>
      </c>
      <c r="E2619" s="56" t="s">
        <v>607</v>
      </c>
    </row>
    <row r="2620">
      <c r="B2620" s="4" t="s">
        <v>607</v>
      </c>
      <c r="C2620" s="6" t="s">
        <v>607</v>
      </c>
      <c r="D2620" s="4" t="s">
        <v>607</v>
      </c>
      <c r="E2620" s="56" t="s">
        <v>607</v>
      </c>
    </row>
    <row r="2621">
      <c r="B2621" s="4" t="s">
        <v>607</v>
      </c>
      <c r="C2621" s="6" t="s">
        <v>607</v>
      </c>
      <c r="D2621" s="4" t="s">
        <v>607</v>
      </c>
      <c r="E2621" s="56" t="s">
        <v>607</v>
      </c>
    </row>
    <row r="2622">
      <c r="B2622" s="4" t="s">
        <v>607</v>
      </c>
      <c r="C2622" s="6" t="s">
        <v>607</v>
      </c>
      <c r="D2622" s="4" t="s">
        <v>607</v>
      </c>
      <c r="E2622" s="56" t="s">
        <v>607</v>
      </c>
    </row>
    <row r="2623">
      <c r="B2623" s="4" t="s">
        <v>607</v>
      </c>
      <c r="C2623" s="6" t="s">
        <v>607</v>
      </c>
      <c r="D2623" s="4" t="s">
        <v>607</v>
      </c>
      <c r="E2623" s="56" t="s">
        <v>607</v>
      </c>
    </row>
    <row r="2624">
      <c r="B2624" s="4" t="s">
        <v>607</v>
      </c>
      <c r="C2624" s="6" t="s">
        <v>607</v>
      </c>
      <c r="D2624" s="4" t="s">
        <v>607</v>
      </c>
      <c r="E2624" s="56" t="s">
        <v>607</v>
      </c>
    </row>
    <row r="2625">
      <c r="B2625" s="4" t="s">
        <v>607</v>
      </c>
      <c r="C2625" s="6" t="s">
        <v>607</v>
      </c>
      <c r="D2625" s="4" t="s">
        <v>607</v>
      </c>
      <c r="E2625" s="56" t="s">
        <v>607</v>
      </c>
    </row>
    <row r="2626">
      <c r="B2626" s="4" t="s">
        <v>607</v>
      </c>
      <c r="C2626" s="6" t="s">
        <v>607</v>
      </c>
      <c r="D2626" s="4" t="s">
        <v>607</v>
      </c>
      <c r="E2626" s="56" t="s">
        <v>607</v>
      </c>
    </row>
    <row r="2627">
      <c r="B2627" s="4" t="s">
        <v>607</v>
      </c>
      <c r="C2627" s="6" t="s">
        <v>607</v>
      </c>
      <c r="D2627" s="4" t="s">
        <v>607</v>
      </c>
      <c r="E2627" s="56" t="s">
        <v>607</v>
      </c>
    </row>
    <row r="2628">
      <c r="B2628" s="4" t="s">
        <v>607</v>
      </c>
      <c r="C2628" s="6" t="s">
        <v>607</v>
      </c>
      <c r="D2628" s="4" t="s">
        <v>607</v>
      </c>
      <c r="E2628" s="56" t="s">
        <v>607</v>
      </c>
    </row>
    <row r="2629">
      <c r="B2629" s="4" t="s">
        <v>607</v>
      </c>
      <c r="C2629" s="6" t="s">
        <v>607</v>
      </c>
      <c r="D2629" s="4" t="s">
        <v>607</v>
      </c>
      <c r="E2629" s="56" t="s">
        <v>607</v>
      </c>
    </row>
    <row r="2630">
      <c r="B2630" s="4" t="s">
        <v>607</v>
      </c>
      <c r="C2630" s="6" t="s">
        <v>607</v>
      </c>
      <c r="D2630" s="4" t="s">
        <v>607</v>
      </c>
      <c r="E2630" s="56" t="s">
        <v>607</v>
      </c>
    </row>
    <row r="2631">
      <c r="B2631" s="4" t="s">
        <v>607</v>
      </c>
      <c r="C2631" s="6" t="s">
        <v>607</v>
      </c>
      <c r="D2631" s="4" t="s">
        <v>607</v>
      </c>
      <c r="E2631" s="56" t="s">
        <v>607</v>
      </c>
    </row>
    <row r="2632">
      <c r="B2632" s="4" t="s">
        <v>607</v>
      </c>
      <c r="C2632" s="6" t="s">
        <v>607</v>
      </c>
      <c r="D2632" s="4" t="s">
        <v>607</v>
      </c>
      <c r="E2632" s="56" t="s">
        <v>607</v>
      </c>
    </row>
    <row r="2633">
      <c r="B2633" s="4" t="s">
        <v>607</v>
      </c>
      <c r="C2633" s="6" t="s">
        <v>607</v>
      </c>
      <c r="D2633" s="4" t="s">
        <v>607</v>
      </c>
      <c r="E2633" s="56" t="s">
        <v>607</v>
      </c>
    </row>
    <row r="2634">
      <c r="B2634" s="4" t="s">
        <v>607</v>
      </c>
      <c r="C2634" s="6" t="s">
        <v>607</v>
      </c>
      <c r="D2634" s="4" t="s">
        <v>607</v>
      </c>
      <c r="E2634" s="56" t="s">
        <v>607</v>
      </c>
    </row>
    <row r="2635">
      <c r="B2635" s="4" t="s">
        <v>607</v>
      </c>
      <c r="C2635" s="6" t="s">
        <v>607</v>
      </c>
      <c r="D2635" s="4" t="s">
        <v>607</v>
      </c>
      <c r="E2635" s="56" t="s">
        <v>607</v>
      </c>
    </row>
    <row r="2636">
      <c r="B2636" s="4" t="s">
        <v>607</v>
      </c>
      <c r="C2636" s="6" t="s">
        <v>607</v>
      </c>
      <c r="D2636" s="4" t="s">
        <v>607</v>
      </c>
      <c r="E2636" s="56" t="s">
        <v>607</v>
      </c>
    </row>
    <row r="2637">
      <c r="B2637" s="4" t="s">
        <v>607</v>
      </c>
      <c r="C2637" s="6" t="s">
        <v>607</v>
      </c>
      <c r="D2637" s="4" t="s">
        <v>607</v>
      </c>
      <c r="E2637" s="56" t="s">
        <v>607</v>
      </c>
    </row>
    <row r="2638">
      <c r="B2638" s="4" t="s">
        <v>607</v>
      </c>
      <c r="C2638" s="6" t="s">
        <v>607</v>
      </c>
      <c r="D2638" s="4" t="s">
        <v>607</v>
      </c>
      <c r="E2638" s="56" t="s">
        <v>607</v>
      </c>
    </row>
    <row r="2639">
      <c r="B2639" s="4" t="s">
        <v>607</v>
      </c>
      <c r="C2639" s="6" t="s">
        <v>607</v>
      </c>
      <c r="D2639" s="4" t="s">
        <v>607</v>
      </c>
      <c r="E2639" s="56" t="s">
        <v>607</v>
      </c>
    </row>
    <row r="2640">
      <c r="B2640" s="4" t="s">
        <v>607</v>
      </c>
      <c r="C2640" s="6" t="s">
        <v>607</v>
      </c>
      <c r="D2640" s="4" t="s">
        <v>607</v>
      </c>
      <c r="E2640" s="56" t="s">
        <v>607</v>
      </c>
    </row>
    <row r="2641">
      <c r="B2641" s="4" t="s">
        <v>607</v>
      </c>
      <c r="C2641" s="6" t="s">
        <v>607</v>
      </c>
      <c r="D2641" s="4" t="s">
        <v>607</v>
      </c>
      <c r="E2641" s="56" t="s">
        <v>607</v>
      </c>
    </row>
    <row r="2642">
      <c r="B2642" s="4" t="s">
        <v>607</v>
      </c>
      <c r="C2642" s="6" t="s">
        <v>607</v>
      </c>
      <c r="D2642" s="4" t="s">
        <v>607</v>
      </c>
      <c r="E2642" s="56" t="s">
        <v>607</v>
      </c>
    </row>
    <row r="2643">
      <c r="B2643" s="4" t="s">
        <v>607</v>
      </c>
      <c r="C2643" s="6" t="s">
        <v>607</v>
      </c>
      <c r="D2643" s="4" t="s">
        <v>607</v>
      </c>
      <c r="E2643" s="56" t="s">
        <v>607</v>
      </c>
    </row>
    <row r="2644">
      <c r="B2644" s="4" t="s">
        <v>607</v>
      </c>
      <c r="C2644" s="6" t="s">
        <v>607</v>
      </c>
      <c r="D2644" s="4" t="s">
        <v>607</v>
      </c>
      <c r="E2644" s="56" t="s">
        <v>607</v>
      </c>
    </row>
    <row r="2645">
      <c r="B2645" s="4" t="s">
        <v>607</v>
      </c>
      <c r="C2645" s="6" t="s">
        <v>607</v>
      </c>
      <c r="D2645" s="4" t="s">
        <v>607</v>
      </c>
      <c r="E2645" s="56" t="s">
        <v>607</v>
      </c>
    </row>
    <row r="2646">
      <c r="B2646" s="4" t="s">
        <v>607</v>
      </c>
      <c r="C2646" s="6" t="s">
        <v>607</v>
      </c>
      <c r="D2646" s="4" t="s">
        <v>607</v>
      </c>
      <c r="E2646" s="56" t="s">
        <v>607</v>
      </c>
    </row>
    <row r="2647">
      <c r="B2647" s="4" t="s">
        <v>607</v>
      </c>
      <c r="C2647" s="6" t="s">
        <v>607</v>
      </c>
      <c r="D2647" s="4" t="s">
        <v>607</v>
      </c>
      <c r="E2647" s="56" t="s">
        <v>607</v>
      </c>
    </row>
    <row r="2648">
      <c r="B2648" s="4" t="s">
        <v>607</v>
      </c>
      <c r="C2648" s="6" t="s">
        <v>607</v>
      </c>
      <c r="D2648" s="4" t="s">
        <v>607</v>
      </c>
      <c r="E2648" s="56" t="s">
        <v>607</v>
      </c>
    </row>
    <row r="2649">
      <c r="B2649" s="4" t="s">
        <v>607</v>
      </c>
      <c r="C2649" s="6" t="s">
        <v>607</v>
      </c>
      <c r="D2649" s="4" t="s">
        <v>607</v>
      </c>
      <c r="E2649" s="56" t="s">
        <v>607</v>
      </c>
    </row>
    <row r="2650">
      <c r="B2650" s="4" t="s">
        <v>607</v>
      </c>
      <c r="C2650" s="6" t="s">
        <v>607</v>
      </c>
      <c r="D2650" s="4" t="s">
        <v>607</v>
      </c>
      <c r="E2650" s="56" t="s">
        <v>607</v>
      </c>
    </row>
    <row r="2651">
      <c r="B2651" s="4" t="s">
        <v>607</v>
      </c>
      <c r="C2651" s="6" t="s">
        <v>607</v>
      </c>
      <c r="D2651" s="4" t="s">
        <v>607</v>
      </c>
      <c r="E2651" s="56" t="s">
        <v>607</v>
      </c>
    </row>
    <row r="2652">
      <c r="B2652" s="4" t="s">
        <v>607</v>
      </c>
      <c r="C2652" s="6" t="s">
        <v>607</v>
      </c>
      <c r="D2652" s="4" t="s">
        <v>607</v>
      </c>
      <c r="E2652" s="56" t="s">
        <v>607</v>
      </c>
    </row>
    <row r="2653">
      <c r="B2653" s="4" t="s">
        <v>607</v>
      </c>
      <c r="C2653" s="6" t="s">
        <v>607</v>
      </c>
      <c r="D2653" s="4" t="s">
        <v>607</v>
      </c>
      <c r="E2653" s="56" t="s">
        <v>607</v>
      </c>
    </row>
    <row r="2654">
      <c r="B2654" s="4" t="s">
        <v>607</v>
      </c>
      <c r="C2654" s="6" t="s">
        <v>607</v>
      </c>
      <c r="D2654" s="4" t="s">
        <v>607</v>
      </c>
      <c r="E2654" s="56" t="s">
        <v>607</v>
      </c>
    </row>
    <row r="2655">
      <c r="B2655" s="4" t="s">
        <v>607</v>
      </c>
      <c r="C2655" s="6" t="s">
        <v>607</v>
      </c>
      <c r="D2655" s="4" t="s">
        <v>607</v>
      </c>
      <c r="E2655" s="56" t="s">
        <v>607</v>
      </c>
    </row>
    <row r="2656">
      <c r="B2656" s="4" t="s">
        <v>607</v>
      </c>
      <c r="C2656" s="6" t="s">
        <v>607</v>
      </c>
      <c r="D2656" s="4" t="s">
        <v>607</v>
      </c>
      <c r="E2656" s="56" t="s">
        <v>607</v>
      </c>
    </row>
    <row r="2657">
      <c r="B2657" s="4" t="s">
        <v>607</v>
      </c>
      <c r="C2657" s="6" t="s">
        <v>607</v>
      </c>
      <c r="D2657" s="4" t="s">
        <v>607</v>
      </c>
      <c r="E2657" s="56" t="s">
        <v>607</v>
      </c>
    </row>
    <row r="2658">
      <c r="B2658" s="4" t="s">
        <v>607</v>
      </c>
      <c r="C2658" s="6" t="s">
        <v>607</v>
      </c>
      <c r="D2658" s="4" t="s">
        <v>607</v>
      </c>
      <c r="E2658" s="56" t="s">
        <v>607</v>
      </c>
    </row>
    <row r="2659">
      <c r="B2659" s="4" t="s">
        <v>607</v>
      </c>
      <c r="C2659" s="6" t="s">
        <v>607</v>
      </c>
      <c r="D2659" s="4" t="s">
        <v>607</v>
      </c>
      <c r="E2659" s="56" t="s">
        <v>607</v>
      </c>
    </row>
    <row r="2660">
      <c r="B2660" s="4" t="s">
        <v>607</v>
      </c>
      <c r="C2660" s="6" t="s">
        <v>607</v>
      </c>
      <c r="D2660" s="4" t="s">
        <v>607</v>
      </c>
      <c r="E2660" s="56" t="s">
        <v>607</v>
      </c>
    </row>
    <row r="2661">
      <c r="B2661" s="4" t="s">
        <v>607</v>
      </c>
      <c r="C2661" s="6" t="s">
        <v>607</v>
      </c>
      <c r="D2661" s="4" t="s">
        <v>607</v>
      </c>
      <c r="E2661" s="56" t="s">
        <v>607</v>
      </c>
    </row>
    <row r="2662">
      <c r="B2662" s="4" t="s">
        <v>607</v>
      </c>
      <c r="C2662" s="6" t="s">
        <v>607</v>
      </c>
      <c r="D2662" s="4" t="s">
        <v>607</v>
      </c>
      <c r="E2662" s="56" t="s">
        <v>607</v>
      </c>
    </row>
    <row r="2663">
      <c r="B2663" s="4" t="s">
        <v>607</v>
      </c>
      <c r="C2663" s="6" t="s">
        <v>607</v>
      </c>
      <c r="D2663" s="4" t="s">
        <v>607</v>
      </c>
      <c r="E2663" s="56" t="s">
        <v>607</v>
      </c>
    </row>
    <row r="2664">
      <c r="B2664" s="4" t="s">
        <v>607</v>
      </c>
      <c r="C2664" s="6" t="s">
        <v>607</v>
      </c>
      <c r="D2664" s="4" t="s">
        <v>607</v>
      </c>
      <c r="E2664" s="56" t="s">
        <v>607</v>
      </c>
    </row>
    <row r="2665">
      <c r="B2665" s="4" t="s">
        <v>607</v>
      </c>
      <c r="C2665" s="6" t="s">
        <v>607</v>
      </c>
      <c r="D2665" s="4" t="s">
        <v>607</v>
      </c>
      <c r="E2665" s="56" t="s">
        <v>607</v>
      </c>
    </row>
    <row r="2666">
      <c r="B2666" s="4" t="s">
        <v>607</v>
      </c>
      <c r="C2666" s="6" t="s">
        <v>607</v>
      </c>
      <c r="D2666" s="4" t="s">
        <v>607</v>
      </c>
      <c r="E2666" s="56" t="s">
        <v>607</v>
      </c>
    </row>
    <row r="2667">
      <c r="B2667" s="4" t="s">
        <v>607</v>
      </c>
      <c r="C2667" s="6" t="s">
        <v>607</v>
      </c>
      <c r="D2667" s="4" t="s">
        <v>607</v>
      </c>
      <c r="E2667" s="56" t="s">
        <v>607</v>
      </c>
    </row>
    <row r="2668">
      <c r="B2668" s="4" t="s">
        <v>607</v>
      </c>
      <c r="C2668" s="6" t="s">
        <v>607</v>
      </c>
      <c r="D2668" s="4" t="s">
        <v>607</v>
      </c>
      <c r="E2668" s="56" t="s">
        <v>607</v>
      </c>
    </row>
    <row r="2669">
      <c r="B2669" s="4" t="s">
        <v>607</v>
      </c>
      <c r="C2669" s="6" t="s">
        <v>607</v>
      </c>
      <c r="D2669" s="4" t="s">
        <v>607</v>
      </c>
      <c r="E2669" s="56" t="s">
        <v>607</v>
      </c>
    </row>
    <row r="2670">
      <c r="B2670" s="4" t="s">
        <v>607</v>
      </c>
      <c r="C2670" s="6" t="s">
        <v>607</v>
      </c>
      <c r="D2670" s="4" t="s">
        <v>607</v>
      </c>
      <c r="E2670" s="56" t="s">
        <v>607</v>
      </c>
    </row>
    <row r="2671">
      <c r="B2671" s="4" t="s">
        <v>607</v>
      </c>
      <c r="C2671" s="6" t="s">
        <v>607</v>
      </c>
      <c r="D2671" s="4" t="s">
        <v>607</v>
      </c>
      <c r="E2671" s="56" t="s">
        <v>607</v>
      </c>
    </row>
    <row r="2672">
      <c r="B2672" s="4" t="s">
        <v>607</v>
      </c>
      <c r="C2672" s="6" t="s">
        <v>607</v>
      </c>
      <c r="D2672" s="4" t="s">
        <v>607</v>
      </c>
      <c r="E2672" s="56" t="s">
        <v>607</v>
      </c>
    </row>
    <row r="2673">
      <c r="B2673" s="4" t="s">
        <v>607</v>
      </c>
      <c r="C2673" s="6" t="s">
        <v>607</v>
      </c>
      <c r="D2673" s="4" t="s">
        <v>607</v>
      </c>
      <c r="E2673" s="56" t="s">
        <v>607</v>
      </c>
    </row>
    <row r="2674">
      <c r="B2674" s="4" t="s">
        <v>607</v>
      </c>
      <c r="C2674" s="6" t="s">
        <v>607</v>
      </c>
      <c r="D2674" s="4" t="s">
        <v>607</v>
      </c>
      <c r="E2674" s="56" t="s">
        <v>607</v>
      </c>
    </row>
    <row r="2675">
      <c r="B2675" s="4" t="s">
        <v>607</v>
      </c>
      <c r="C2675" s="6" t="s">
        <v>607</v>
      </c>
      <c r="D2675" s="4" t="s">
        <v>607</v>
      </c>
      <c r="E2675" s="56" t="s">
        <v>607</v>
      </c>
    </row>
    <row r="2676">
      <c r="B2676" s="4" t="s">
        <v>607</v>
      </c>
      <c r="C2676" s="6" t="s">
        <v>607</v>
      </c>
      <c r="D2676" s="4" t="s">
        <v>607</v>
      </c>
      <c r="E2676" s="56" t="s">
        <v>607</v>
      </c>
    </row>
    <row r="2677">
      <c r="B2677" s="4" t="s">
        <v>607</v>
      </c>
      <c r="C2677" s="6" t="s">
        <v>607</v>
      </c>
      <c r="D2677" s="4" t="s">
        <v>607</v>
      </c>
      <c r="E2677" s="56" t="s">
        <v>607</v>
      </c>
    </row>
    <row r="2678">
      <c r="B2678" s="4" t="s">
        <v>607</v>
      </c>
      <c r="C2678" s="6" t="s">
        <v>607</v>
      </c>
      <c r="D2678" s="4" t="s">
        <v>607</v>
      </c>
      <c r="E2678" s="56" t="s">
        <v>607</v>
      </c>
    </row>
    <row r="2679">
      <c r="B2679" s="4" t="s">
        <v>607</v>
      </c>
      <c r="C2679" s="6" t="s">
        <v>607</v>
      </c>
      <c r="D2679" s="4" t="s">
        <v>607</v>
      </c>
      <c r="E2679" s="56" t="s">
        <v>607</v>
      </c>
    </row>
    <row r="2680">
      <c r="B2680" s="4" t="s">
        <v>607</v>
      </c>
      <c r="C2680" s="6" t="s">
        <v>607</v>
      </c>
      <c r="D2680" s="4" t="s">
        <v>607</v>
      </c>
      <c r="E2680" s="56" t="s">
        <v>607</v>
      </c>
    </row>
    <row r="2681">
      <c r="B2681" s="4" t="s">
        <v>607</v>
      </c>
      <c r="C2681" s="6" t="s">
        <v>607</v>
      </c>
      <c r="D2681" s="4" t="s">
        <v>607</v>
      </c>
      <c r="E2681" s="56" t="s">
        <v>607</v>
      </c>
    </row>
    <row r="2682">
      <c r="B2682" s="4" t="s">
        <v>607</v>
      </c>
      <c r="C2682" s="6" t="s">
        <v>607</v>
      </c>
      <c r="D2682" s="4" t="s">
        <v>607</v>
      </c>
      <c r="E2682" s="56" t="s">
        <v>607</v>
      </c>
    </row>
    <row r="2683">
      <c r="B2683" s="4" t="s">
        <v>607</v>
      </c>
      <c r="C2683" s="6" t="s">
        <v>607</v>
      </c>
      <c r="D2683" s="4" t="s">
        <v>607</v>
      </c>
      <c r="E2683" s="56" t="s">
        <v>607</v>
      </c>
    </row>
    <row r="2684">
      <c r="B2684" s="4" t="s">
        <v>607</v>
      </c>
      <c r="C2684" s="6" t="s">
        <v>607</v>
      </c>
      <c r="D2684" s="4" t="s">
        <v>607</v>
      </c>
      <c r="E2684" s="56" t="s">
        <v>607</v>
      </c>
    </row>
    <row r="2685">
      <c r="B2685" s="4" t="s">
        <v>607</v>
      </c>
      <c r="C2685" s="6" t="s">
        <v>607</v>
      </c>
      <c r="D2685" s="4" t="s">
        <v>607</v>
      </c>
      <c r="E2685" s="56" t="s">
        <v>607</v>
      </c>
    </row>
    <row r="2686">
      <c r="B2686" s="4" t="s">
        <v>607</v>
      </c>
      <c r="C2686" s="6" t="s">
        <v>607</v>
      </c>
      <c r="D2686" s="4" t="s">
        <v>607</v>
      </c>
      <c r="E2686" s="56" t="s">
        <v>607</v>
      </c>
    </row>
    <row r="2687">
      <c r="B2687" s="4" t="s">
        <v>607</v>
      </c>
      <c r="C2687" s="6" t="s">
        <v>607</v>
      </c>
      <c r="D2687" s="4" t="s">
        <v>607</v>
      </c>
      <c r="E2687" s="56" t="s">
        <v>607</v>
      </c>
    </row>
    <row r="2688">
      <c r="B2688" s="4" t="s">
        <v>607</v>
      </c>
      <c r="C2688" s="6" t="s">
        <v>607</v>
      </c>
      <c r="D2688" s="4" t="s">
        <v>607</v>
      </c>
      <c r="E2688" s="56" t="s">
        <v>607</v>
      </c>
    </row>
    <row r="2689">
      <c r="B2689" s="4" t="s">
        <v>607</v>
      </c>
      <c r="C2689" s="6" t="s">
        <v>607</v>
      </c>
      <c r="D2689" s="4" t="s">
        <v>607</v>
      </c>
      <c r="E2689" s="56" t="s">
        <v>607</v>
      </c>
    </row>
    <row r="2690">
      <c r="B2690" s="4" t="s">
        <v>607</v>
      </c>
      <c r="C2690" s="6" t="s">
        <v>607</v>
      </c>
      <c r="D2690" s="4" t="s">
        <v>607</v>
      </c>
      <c r="E2690" s="56" t="s">
        <v>607</v>
      </c>
    </row>
    <row r="2691">
      <c r="B2691" s="4" t="s">
        <v>607</v>
      </c>
      <c r="C2691" s="6" t="s">
        <v>607</v>
      </c>
      <c r="D2691" s="4" t="s">
        <v>607</v>
      </c>
      <c r="E2691" s="56" t="s">
        <v>607</v>
      </c>
    </row>
    <row r="2692">
      <c r="B2692" s="4" t="s">
        <v>607</v>
      </c>
      <c r="C2692" s="6" t="s">
        <v>607</v>
      </c>
      <c r="D2692" s="4" t="s">
        <v>607</v>
      </c>
      <c r="E2692" s="56" t="s">
        <v>607</v>
      </c>
    </row>
    <row r="2693">
      <c r="B2693" s="4" t="s">
        <v>607</v>
      </c>
      <c r="C2693" s="6" t="s">
        <v>607</v>
      </c>
      <c r="D2693" s="4" t="s">
        <v>607</v>
      </c>
      <c r="E2693" s="56" t="s">
        <v>607</v>
      </c>
    </row>
    <row r="2694">
      <c r="B2694" s="4" t="s">
        <v>607</v>
      </c>
      <c r="C2694" s="6" t="s">
        <v>607</v>
      </c>
      <c r="D2694" s="4" t="s">
        <v>607</v>
      </c>
      <c r="E2694" s="56" t="s">
        <v>607</v>
      </c>
    </row>
    <row r="2695">
      <c r="B2695" s="4" t="s">
        <v>607</v>
      </c>
      <c r="C2695" s="6" t="s">
        <v>607</v>
      </c>
      <c r="D2695" s="4" t="s">
        <v>607</v>
      </c>
      <c r="E2695" s="56" t="s">
        <v>607</v>
      </c>
    </row>
    <row r="2696">
      <c r="B2696" s="4" t="s">
        <v>607</v>
      </c>
      <c r="C2696" s="6" t="s">
        <v>607</v>
      </c>
      <c r="D2696" s="4" t="s">
        <v>607</v>
      </c>
      <c r="E2696" s="56" t="s">
        <v>607</v>
      </c>
    </row>
    <row r="2697">
      <c r="B2697" s="4" t="s">
        <v>607</v>
      </c>
      <c r="C2697" s="6" t="s">
        <v>607</v>
      </c>
      <c r="D2697" s="4" t="s">
        <v>607</v>
      </c>
      <c r="E2697" s="56" t="s">
        <v>607</v>
      </c>
    </row>
    <row r="2698">
      <c r="B2698" s="4" t="s">
        <v>607</v>
      </c>
      <c r="C2698" s="6" t="s">
        <v>607</v>
      </c>
      <c r="D2698" s="4" t="s">
        <v>607</v>
      </c>
      <c r="E2698" s="56" t="s">
        <v>607</v>
      </c>
    </row>
    <row r="2699">
      <c r="B2699" s="4" t="s">
        <v>607</v>
      </c>
      <c r="C2699" s="6" t="s">
        <v>607</v>
      </c>
      <c r="D2699" s="4" t="s">
        <v>607</v>
      </c>
      <c r="E2699" s="56" t="s">
        <v>607</v>
      </c>
    </row>
    <row r="2700">
      <c r="B2700" s="4" t="s">
        <v>607</v>
      </c>
      <c r="C2700" s="6" t="s">
        <v>607</v>
      </c>
      <c r="D2700" s="4" t="s">
        <v>607</v>
      </c>
      <c r="E2700" s="56" t="s">
        <v>607</v>
      </c>
    </row>
    <row r="2701">
      <c r="B2701" s="4" t="s">
        <v>607</v>
      </c>
      <c r="C2701" s="6" t="s">
        <v>607</v>
      </c>
      <c r="D2701" s="4" t="s">
        <v>607</v>
      </c>
      <c r="E2701" s="56" t="s">
        <v>607</v>
      </c>
    </row>
    <row r="2702">
      <c r="B2702" s="4" t="s">
        <v>607</v>
      </c>
      <c r="C2702" s="6" t="s">
        <v>607</v>
      </c>
      <c r="D2702" s="4" t="s">
        <v>607</v>
      </c>
      <c r="E2702" s="56" t="s">
        <v>607</v>
      </c>
    </row>
    <row r="2703">
      <c r="B2703" s="4" t="s">
        <v>607</v>
      </c>
      <c r="C2703" s="6" t="s">
        <v>607</v>
      </c>
      <c r="D2703" s="4" t="s">
        <v>607</v>
      </c>
      <c r="E2703" s="56" t="s">
        <v>607</v>
      </c>
    </row>
    <row r="2704">
      <c r="B2704" s="4" t="s">
        <v>607</v>
      </c>
      <c r="C2704" s="6" t="s">
        <v>607</v>
      </c>
      <c r="D2704" s="4" t="s">
        <v>607</v>
      </c>
      <c r="E2704" s="56" t="s">
        <v>607</v>
      </c>
    </row>
    <row r="2705">
      <c r="B2705" s="4" t="s">
        <v>607</v>
      </c>
      <c r="C2705" s="6" t="s">
        <v>607</v>
      </c>
      <c r="D2705" s="4" t="s">
        <v>607</v>
      </c>
      <c r="E2705" s="56" t="s">
        <v>607</v>
      </c>
    </row>
    <row r="2706">
      <c r="B2706" s="4" t="s">
        <v>607</v>
      </c>
      <c r="C2706" s="6" t="s">
        <v>607</v>
      </c>
      <c r="D2706" s="4" t="s">
        <v>607</v>
      </c>
      <c r="E2706" s="56" t="s">
        <v>607</v>
      </c>
    </row>
    <row r="2707">
      <c r="B2707" s="4" t="s">
        <v>607</v>
      </c>
      <c r="C2707" s="6" t="s">
        <v>607</v>
      </c>
      <c r="D2707" s="4" t="s">
        <v>607</v>
      </c>
      <c r="E2707" s="56" t="s">
        <v>607</v>
      </c>
    </row>
    <row r="2708">
      <c r="B2708" s="4" t="s">
        <v>607</v>
      </c>
      <c r="C2708" s="6" t="s">
        <v>607</v>
      </c>
      <c r="D2708" s="4" t="s">
        <v>607</v>
      </c>
      <c r="E2708" s="56" t="s">
        <v>607</v>
      </c>
    </row>
    <row r="2709">
      <c r="B2709" s="4" t="s">
        <v>607</v>
      </c>
      <c r="C2709" s="6" t="s">
        <v>607</v>
      </c>
      <c r="D2709" s="4" t="s">
        <v>607</v>
      </c>
      <c r="E2709" s="56" t="s">
        <v>607</v>
      </c>
    </row>
    <row r="2710">
      <c r="B2710" s="4" t="s">
        <v>607</v>
      </c>
      <c r="C2710" s="6" t="s">
        <v>607</v>
      </c>
      <c r="D2710" s="4" t="s">
        <v>607</v>
      </c>
      <c r="E2710" s="56" t="s">
        <v>607</v>
      </c>
    </row>
    <row r="2711">
      <c r="B2711" s="4" t="s">
        <v>607</v>
      </c>
      <c r="C2711" s="6" t="s">
        <v>607</v>
      </c>
      <c r="D2711" s="4" t="s">
        <v>607</v>
      </c>
      <c r="E2711" s="56" t="s">
        <v>607</v>
      </c>
    </row>
    <row r="2712">
      <c r="B2712" s="4" t="s">
        <v>607</v>
      </c>
      <c r="C2712" s="6" t="s">
        <v>607</v>
      </c>
      <c r="D2712" s="4" t="s">
        <v>607</v>
      </c>
      <c r="E2712" s="56" t="s">
        <v>607</v>
      </c>
    </row>
    <row r="2713">
      <c r="B2713" s="4" t="s">
        <v>607</v>
      </c>
      <c r="C2713" s="6" t="s">
        <v>607</v>
      </c>
      <c r="D2713" s="4" t="s">
        <v>607</v>
      </c>
      <c r="E2713" s="56" t="s">
        <v>607</v>
      </c>
    </row>
    <row r="2714">
      <c r="B2714" s="4" t="s">
        <v>607</v>
      </c>
      <c r="C2714" s="6" t="s">
        <v>607</v>
      </c>
      <c r="D2714" s="4" t="s">
        <v>607</v>
      </c>
      <c r="E2714" s="56" t="s">
        <v>607</v>
      </c>
    </row>
    <row r="2715">
      <c r="B2715" s="4" t="s">
        <v>607</v>
      </c>
      <c r="C2715" s="6" t="s">
        <v>607</v>
      </c>
      <c r="D2715" s="4" t="s">
        <v>607</v>
      </c>
      <c r="E2715" s="56" t="s">
        <v>607</v>
      </c>
    </row>
    <row r="2716">
      <c r="B2716" s="4" t="s">
        <v>607</v>
      </c>
      <c r="C2716" s="6" t="s">
        <v>607</v>
      </c>
      <c r="D2716" s="4" t="s">
        <v>607</v>
      </c>
      <c r="E2716" s="56" t="s">
        <v>607</v>
      </c>
    </row>
    <row r="2717">
      <c r="B2717" s="4" t="s">
        <v>607</v>
      </c>
      <c r="C2717" s="6" t="s">
        <v>607</v>
      </c>
      <c r="D2717" s="4" t="s">
        <v>607</v>
      </c>
      <c r="E2717" s="56" t="s">
        <v>607</v>
      </c>
    </row>
    <row r="2718">
      <c r="B2718" s="4" t="s">
        <v>607</v>
      </c>
      <c r="C2718" s="6" t="s">
        <v>607</v>
      </c>
      <c r="D2718" s="4" t="s">
        <v>607</v>
      </c>
      <c r="E2718" s="56" t="s">
        <v>607</v>
      </c>
    </row>
    <row r="2719">
      <c r="B2719" s="4" t="s">
        <v>607</v>
      </c>
      <c r="C2719" s="6" t="s">
        <v>607</v>
      </c>
      <c r="D2719" s="4" t="s">
        <v>607</v>
      </c>
      <c r="E2719" s="56" t="s">
        <v>607</v>
      </c>
    </row>
    <row r="2720">
      <c r="B2720" s="4" t="s">
        <v>607</v>
      </c>
      <c r="C2720" s="6" t="s">
        <v>607</v>
      </c>
      <c r="D2720" s="4" t="s">
        <v>607</v>
      </c>
      <c r="E2720" s="56" t="s">
        <v>607</v>
      </c>
    </row>
    <row r="2721">
      <c r="B2721" s="4" t="s">
        <v>607</v>
      </c>
      <c r="C2721" s="6" t="s">
        <v>607</v>
      </c>
      <c r="D2721" s="4" t="s">
        <v>607</v>
      </c>
      <c r="E2721" s="56" t="s">
        <v>607</v>
      </c>
    </row>
    <row r="2722">
      <c r="B2722" s="4" t="s">
        <v>607</v>
      </c>
      <c r="C2722" s="6" t="s">
        <v>607</v>
      </c>
      <c r="D2722" s="4" t="s">
        <v>607</v>
      </c>
      <c r="E2722" s="56" t="s">
        <v>607</v>
      </c>
    </row>
    <row r="2723">
      <c r="B2723" s="4" t="s">
        <v>607</v>
      </c>
      <c r="C2723" s="6" t="s">
        <v>607</v>
      </c>
      <c r="D2723" s="4" t="s">
        <v>607</v>
      </c>
      <c r="E2723" s="56" t="s">
        <v>607</v>
      </c>
    </row>
    <row r="2724">
      <c r="B2724" s="4" t="s">
        <v>607</v>
      </c>
      <c r="C2724" s="6" t="s">
        <v>607</v>
      </c>
      <c r="D2724" s="4" t="s">
        <v>607</v>
      </c>
      <c r="E2724" s="56" t="s">
        <v>607</v>
      </c>
    </row>
    <row r="2725">
      <c r="B2725" s="4" t="s">
        <v>607</v>
      </c>
      <c r="C2725" s="6" t="s">
        <v>607</v>
      </c>
      <c r="D2725" s="4" t="s">
        <v>607</v>
      </c>
      <c r="E2725" s="56" t="s">
        <v>607</v>
      </c>
    </row>
    <row r="2726">
      <c r="B2726" s="4" t="s">
        <v>607</v>
      </c>
      <c r="C2726" s="6" t="s">
        <v>607</v>
      </c>
      <c r="D2726" s="4" t="s">
        <v>607</v>
      </c>
      <c r="E2726" s="56" t="s">
        <v>607</v>
      </c>
    </row>
    <row r="2727">
      <c r="B2727" s="4" t="s">
        <v>607</v>
      </c>
      <c r="C2727" s="6" t="s">
        <v>607</v>
      </c>
      <c r="D2727" s="4" t="s">
        <v>607</v>
      </c>
      <c r="E2727" s="56" t="s">
        <v>607</v>
      </c>
    </row>
    <row r="2728">
      <c r="B2728" s="4" t="s">
        <v>607</v>
      </c>
      <c r="C2728" s="6" t="s">
        <v>607</v>
      </c>
      <c r="D2728" s="4" t="s">
        <v>607</v>
      </c>
      <c r="E2728" s="56" t="s">
        <v>607</v>
      </c>
    </row>
    <row r="2729">
      <c r="B2729" s="4" t="s">
        <v>607</v>
      </c>
      <c r="C2729" s="6" t="s">
        <v>607</v>
      </c>
      <c r="D2729" s="4" t="s">
        <v>607</v>
      </c>
      <c r="E2729" s="56" t="s">
        <v>607</v>
      </c>
    </row>
    <row r="2730">
      <c r="B2730" s="4" t="s">
        <v>607</v>
      </c>
      <c r="C2730" s="6" t="s">
        <v>607</v>
      </c>
      <c r="D2730" s="4" t="s">
        <v>607</v>
      </c>
      <c r="E2730" s="56" t="s">
        <v>607</v>
      </c>
    </row>
    <row r="2731">
      <c r="B2731" s="4" t="s">
        <v>607</v>
      </c>
      <c r="C2731" s="6" t="s">
        <v>607</v>
      </c>
      <c r="D2731" s="4" t="s">
        <v>607</v>
      </c>
      <c r="E2731" s="56" t="s">
        <v>607</v>
      </c>
    </row>
    <row r="2732">
      <c r="B2732" s="4" t="s">
        <v>607</v>
      </c>
      <c r="C2732" s="6" t="s">
        <v>607</v>
      </c>
      <c r="D2732" s="4" t="s">
        <v>607</v>
      </c>
      <c r="E2732" s="56" t="s">
        <v>607</v>
      </c>
    </row>
    <row r="2733">
      <c r="B2733" s="4" t="s">
        <v>607</v>
      </c>
      <c r="C2733" s="6" t="s">
        <v>607</v>
      </c>
      <c r="D2733" s="4" t="s">
        <v>607</v>
      </c>
      <c r="E2733" s="56" t="s">
        <v>607</v>
      </c>
    </row>
    <row r="2734">
      <c r="B2734" s="4" t="s">
        <v>607</v>
      </c>
      <c r="C2734" s="6" t="s">
        <v>607</v>
      </c>
      <c r="D2734" s="4" t="s">
        <v>607</v>
      </c>
      <c r="E2734" s="56" t="s">
        <v>607</v>
      </c>
    </row>
    <row r="2735">
      <c r="B2735" s="4" t="s">
        <v>607</v>
      </c>
      <c r="C2735" s="6" t="s">
        <v>607</v>
      </c>
      <c r="D2735" s="4" t="s">
        <v>607</v>
      </c>
      <c r="E2735" s="56" t="s">
        <v>607</v>
      </c>
    </row>
    <row r="2736">
      <c r="B2736" s="4" t="s">
        <v>607</v>
      </c>
      <c r="C2736" s="6" t="s">
        <v>607</v>
      </c>
      <c r="D2736" s="4" t="s">
        <v>607</v>
      </c>
      <c r="E2736" s="56" t="s">
        <v>607</v>
      </c>
    </row>
    <row r="2737">
      <c r="B2737" s="4" t="s">
        <v>607</v>
      </c>
      <c r="C2737" s="6" t="s">
        <v>607</v>
      </c>
      <c r="D2737" s="4" t="s">
        <v>607</v>
      </c>
      <c r="E2737" s="56" t="s">
        <v>607</v>
      </c>
    </row>
    <row r="2738">
      <c r="B2738" s="4" t="s">
        <v>607</v>
      </c>
      <c r="C2738" s="6" t="s">
        <v>607</v>
      </c>
      <c r="D2738" s="4" t="s">
        <v>607</v>
      </c>
      <c r="E2738" s="56" t="s">
        <v>607</v>
      </c>
    </row>
    <row r="2739">
      <c r="B2739" s="4" t="s">
        <v>607</v>
      </c>
      <c r="C2739" s="6" t="s">
        <v>607</v>
      </c>
      <c r="D2739" s="4" t="s">
        <v>607</v>
      </c>
      <c r="E2739" s="56" t="s">
        <v>607</v>
      </c>
    </row>
    <row r="2740">
      <c r="B2740" s="4" t="s">
        <v>607</v>
      </c>
      <c r="C2740" s="6" t="s">
        <v>607</v>
      </c>
      <c r="D2740" s="4" t="s">
        <v>607</v>
      </c>
      <c r="E2740" s="56" t="s">
        <v>607</v>
      </c>
    </row>
    <row r="2741">
      <c r="B2741" s="4" t="s">
        <v>607</v>
      </c>
      <c r="C2741" s="6" t="s">
        <v>607</v>
      </c>
      <c r="D2741" s="4" t="s">
        <v>607</v>
      </c>
      <c r="E2741" s="56" t="s">
        <v>607</v>
      </c>
    </row>
    <row r="2742">
      <c r="B2742" s="4" t="s">
        <v>607</v>
      </c>
      <c r="C2742" s="6" t="s">
        <v>607</v>
      </c>
      <c r="D2742" s="4" t="s">
        <v>607</v>
      </c>
      <c r="E2742" s="56" t="s">
        <v>607</v>
      </c>
    </row>
    <row r="2743">
      <c r="B2743" s="4" t="s">
        <v>607</v>
      </c>
      <c r="C2743" s="6" t="s">
        <v>607</v>
      </c>
      <c r="D2743" s="4" t="s">
        <v>607</v>
      </c>
      <c r="E2743" s="56" t="s">
        <v>607</v>
      </c>
    </row>
    <row r="2744">
      <c r="B2744" s="4" t="s">
        <v>607</v>
      </c>
      <c r="C2744" s="6" t="s">
        <v>607</v>
      </c>
      <c r="D2744" s="4" t="s">
        <v>607</v>
      </c>
      <c r="E2744" s="56" t="s">
        <v>607</v>
      </c>
    </row>
    <row r="2745">
      <c r="B2745" s="4" t="s">
        <v>607</v>
      </c>
      <c r="C2745" s="6" t="s">
        <v>607</v>
      </c>
      <c r="D2745" s="4" t="s">
        <v>607</v>
      </c>
      <c r="E2745" s="56" t="s">
        <v>607</v>
      </c>
    </row>
    <row r="2746">
      <c r="B2746" s="4" t="s">
        <v>607</v>
      </c>
      <c r="C2746" s="6" t="s">
        <v>607</v>
      </c>
      <c r="D2746" s="4" t="s">
        <v>607</v>
      </c>
      <c r="E2746" s="56" t="s">
        <v>607</v>
      </c>
    </row>
    <row r="2747">
      <c r="B2747" s="4" t="s">
        <v>607</v>
      </c>
      <c r="C2747" s="6" t="s">
        <v>607</v>
      </c>
      <c r="D2747" s="4" t="s">
        <v>607</v>
      </c>
      <c r="E2747" s="56" t="s">
        <v>607</v>
      </c>
    </row>
    <row r="2748">
      <c r="B2748" s="4" t="s">
        <v>607</v>
      </c>
      <c r="C2748" s="6" t="s">
        <v>607</v>
      </c>
      <c r="D2748" s="4" t="s">
        <v>607</v>
      </c>
      <c r="E2748" s="56" t="s">
        <v>607</v>
      </c>
    </row>
    <row r="2749">
      <c r="B2749" s="4" t="s">
        <v>607</v>
      </c>
      <c r="C2749" s="6" t="s">
        <v>607</v>
      </c>
      <c r="D2749" s="4" t="s">
        <v>607</v>
      </c>
      <c r="E2749" s="56" t="s">
        <v>607</v>
      </c>
    </row>
    <row r="2750">
      <c r="B2750" s="4" t="s">
        <v>607</v>
      </c>
      <c r="C2750" s="6" t="s">
        <v>607</v>
      </c>
      <c r="D2750" s="4" t="s">
        <v>607</v>
      </c>
      <c r="E2750" s="56" t="s">
        <v>607</v>
      </c>
    </row>
    <row r="2751">
      <c r="B2751" s="4" t="s">
        <v>607</v>
      </c>
      <c r="C2751" s="6" t="s">
        <v>607</v>
      </c>
      <c r="D2751" s="4" t="s">
        <v>607</v>
      </c>
      <c r="E2751" s="56" t="s">
        <v>607</v>
      </c>
    </row>
    <row r="2752">
      <c r="B2752" s="4" t="s">
        <v>607</v>
      </c>
      <c r="C2752" s="6" t="s">
        <v>607</v>
      </c>
      <c r="D2752" s="4" t="s">
        <v>607</v>
      </c>
      <c r="E2752" s="56" t="s">
        <v>607</v>
      </c>
    </row>
    <row r="2753">
      <c r="B2753" s="4" t="s">
        <v>607</v>
      </c>
      <c r="C2753" s="6" t="s">
        <v>607</v>
      </c>
      <c r="D2753" s="4" t="s">
        <v>607</v>
      </c>
      <c r="E2753" s="56" t="s">
        <v>607</v>
      </c>
    </row>
    <row r="2754">
      <c r="B2754" s="4" t="s">
        <v>607</v>
      </c>
      <c r="C2754" s="6" t="s">
        <v>607</v>
      </c>
      <c r="D2754" s="4" t="s">
        <v>607</v>
      </c>
      <c r="E2754" s="56" t="s">
        <v>607</v>
      </c>
    </row>
    <row r="2755">
      <c r="B2755" s="4" t="s">
        <v>607</v>
      </c>
      <c r="C2755" s="6" t="s">
        <v>607</v>
      </c>
      <c r="D2755" s="4" t="s">
        <v>607</v>
      </c>
      <c r="E2755" s="56" t="s">
        <v>607</v>
      </c>
    </row>
    <row r="2756">
      <c r="B2756" s="4" t="s">
        <v>607</v>
      </c>
      <c r="C2756" s="6" t="s">
        <v>607</v>
      </c>
      <c r="D2756" s="4" t="s">
        <v>607</v>
      </c>
      <c r="E2756" s="56" t="s">
        <v>607</v>
      </c>
    </row>
    <row r="2757">
      <c r="B2757" s="4" t="s">
        <v>607</v>
      </c>
      <c r="C2757" s="6" t="s">
        <v>607</v>
      </c>
      <c r="D2757" s="4" t="s">
        <v>607</v>
      </c>
      <c r="E2757" s="56" t="s">
        <v>607</v>
      </c>
    </row>
    <row r="2758">
      <c r="B2758" s="4" t="s">
        <v>607</v>
      </c>
      <c r="C2758" s="6" t="s">
        <v>607</v>
      </c>
      <c r="D2758" s="4" t="s">
        <v>607</v>
      </c>
      <c r="E2758" s="56" t="s">
        <v>607</v>
      </c>
    </row>
    <row r="2759">
      <c r="B2759" s="4" t="s">
        <v>607</v>
      </c>
      <c r="C2759" s="6" t="s">
        <v>607</v>
      </c>
      <c r="D2759" s="4" t="s">
        <v>607</v>
      </c>
      <c r="E2759" s="56" t="s">
        <v>607</v>
      </c>
    </row>
    <row r="2760">
      <c r="B2760" s="4" t="s">
        <v>607</v>
      </c>
      <c r="C2760" s="6" t="s">
        <v>607</v>
      </c>
      <c r="D2760" s="4" t="s">
        <v>607</v>
      </c>
      <c r="E2760" s="56" t="s">
        <v>607</v>
      </c>
    </row>
    <row r="2761">
      <c r="B2761" s="4" t="s">
        <v>607</v>
      </c>
      <c r="C2761" s="6" t="s">
        <v>607</v>
      </c>
      <c r="D2761" s="4" t="s">
        <v>607</v>
      </c>
      <c r="E2761" s="56" t="s">
        <v>607</v>
      </c>
    </row>
    <row r="2762">
      <c r="B2762" s="4" t="s">
        <v>607</v>
      </c>
      <c r="C2762" s="6" t="s">
        <v>607</v>
      </c>
      <c r="D2762" s="4" t="s">
        <v>607</v>
      </c>
      <c r="E2762" s="56" t="s">
        <v>607</v>
      </c>
    </row>
    <row r="2763">
      <c r="B2763" s="4" t="s">
        <v>607</v>
      </c>
      <c r="C2763" s="6" t="s">
        <v>607</v>
      </c>
      <c r="D2763" s="4" t="s">
        <v>607</v>
      </c>
      <c r="E2763" s="56" t="s">
        <v>607</v>
      </c>
    </row>
    <row r="2764">
      <c r="B2764" s="4" t="s">
        <v>607</v>
      </c>
      <c r="C2764" s="6" t="s">
        <v>607</v>
      </c>
      <c r="D2764" s="4" t="s">
        <v>607</v>
      </c>
      <c r="E2764" s="56" t="s">
        <v>607</v>
      </c>
    </row>
    <row r="2765">
      <c r="B2765" s="4" t="s">
        <v>607</v>
      </c>
      <c r="C2765" s="6" t="s">
        <v>607</v>
      </c>
      <c r="D2765" s="4" t="s">
        <v>607</v>
      </c>
      <c r="E2765" s="56" t="s">
        <v>607</v>
      </c>
    </row>
    <row r="2766">
      <c r="B2766" s="4" t="s">
        <v>607</v>
      </c>
      <c r="C2766" s="6" t="s">
        <v>607</v>
      </c>
      <c r="D2766" s="4" t="s">
        <v>607</v>
      </c>
      <c r="E2766" s="56" t="s">
        <v>607</v>
      </c>
    </row>
    <row r="2767">
      <c r="B2767" s="4" t="s">
        <v>607</v>
      </c>
      <c r="C2767" s="6" t="s">
        <v>607</v>
      </c>
      <c r="D2767" s="4" t="s">
        <v>607</v>
      </c>
      <c r="E2767" s="56" t="s">
        <v>607</v>
      </c>
    </row>
    <row r="2768">
      <c r="B2768" s="4" t="s">
        <v>607</v>
      </c>
      <c r="C2768" s="6" t="s">
        <v>607</v>
      </c>
      <c r="D2768" s="4" t="s">
        <v>607</v>
      </c>
      <c r="E2768" s="56" t="s">
        <v>607</v>
      </c>
    </row>
    <row r="2769">
      <c r="B2769" s="4" t="s">
        <v>607</v>
      </c>
      <c r="C2769" s="6" t="s">
        <v>607</v>
      </c>
      <c r="D2769" s="4" t="s">
        <v>607</v>
      </c>
      <c r="E2769" s="56" t="s">
        <v>607</v>
      </c>
    </row>
    <row r="2770">
      <c r="B2770" s="4" t="s">
        <v>607</v>
      </c>
      <c r="C2770" s="6" t="s">
        <v>607</v>
      </c>
      <c r="D2770" s="4" t="s">
        <v>607</v>
      </c>
      <c r="E2770" s="56" t="s">
        <v>607</v>
      </c>
    </row>
    <row r="2771">
      <c r="B2771" s="4" t="s">
        <v>607</v>
      </c>
      <c r="C2771" s="6" t="s">
        <v>607</v>
      </c>
      <c r="D2771" s="4" t="s">
        <v>607</v>
      </c>
      <c r="E2771" s="56" t="s">
        <v>607</v>
      </c>
    </row>
    <row r="2772">
      <c r="B2772" s="4" t="s">
        <v>607</v>
      </c>
      <c r="C2772" s="6" t="s">
        <v>607</v>
      </c>
      <c r="D2772" s="4" t="s">
        <v>607</v>
      </c>
      <c r="E2772" s="56" t="s">
        <v>607</v>
      </c>
    </row>
    <row r="2773">
      <c r="B2773" s="4" t="s">
        <v>607</v>
      </c>
      <c r="C2773" s="6" t="s">
        <v>607</v>
      </c>
      <c r="D2773" s="4" t="s">
        <v>607</v>
      </c>
      <c r="E2773" s="56" t="s">
        <v>607</v>
      </c>
    </row>
    <row r="2774">
      <c r="B2774" s="4" t="s">
        <v>607</v>
      </c>
      <c r="C2774" s="6" t="s">
        <v>607</v>
      </c>
      <c r="D2774" s="4" t="s">
        <v>607</v>
      </c>
      <c r="E2774" s="56" t="s">
        <v>607</v>
      </c>
    </row>
    <row r="2775">
      <c r="B2775" s="4" t="s">
        <v>607</v>
      </c>
      <c r="C2775" s="6" t="s">
        <v>607</v>
      </c>
      <c r="D2775" s="4" t="s">
        <v>607</v>
      </c>
      <c r="E2775" s="56" t="s">
        <v>607</v>
      </c>
    </row>
    <row r="2776">
      <c r="B2776" s="4" t="s">
        <v>607</v>
      </c>
      <c r="C2776" s="6" t="s">
        <v>607</v>
      </c>
      <c r="D2776" s="4" t="s">
        <v>607</v>
      </c>
      <c r="E2776" s="56" t="s">
        <v>607</v>
      </c>
    </row>
    <row r="2777">
      <c r="B2777" s="4" t="s">
        <v>607</v>
      </c>
      <c r="C2777" s="6" t="s">
        <v>607</v>
      </c>
      <c r="D2777" s="4" t="s">
        <v>607</v>
      </c>
      <c r="E2777" s="56" t="s">
        <v>607</v>
      </c>
    </row>
    <row r="2778">
      <c r="B2778" s="4" t="s">
        <v>607</v>
      </c>
      <c r="C2778" s="6" t="s">
        <v>607</v>
      </c>
      <c r="D2778" s="4" t="s">
        <v>607</v>
      </c>
      <c r="E2778" s="56" t="s">
        <v>607</v>
      </c>
    </row>
    <row r="2779">
      <c r="B2779" s="4" t="s">
        <v>607</v>
      </c>
      <c r="C2779" s="6" t="s">
        <v>607</v>
      </c>
      <c r="D2779" s="4" t="s">
        <v>607</v>
      </c>
      <c r="E2779" s="56" t="s">
        <v>607</v>
      </c>
    </row>
    <row r="2780">
      <c r="B2780" s="4" t="s">
        <v>607</v>
      </c>
      <c r="C2780" s="6" t="s">
        <v>607</v>
      </c>
      <c r="D2780" s="4" t="s">
        <v>607</v>
      </c>
      <c r="E2780" s="56" t="s">
        <v>607</v>
      </c>
    </row>
    <row r="2781">
      <c r="B2781" s="4" t="s">
        <v>607</v>
      </c>
      <c r="C2781" s="6" t="s">
        <v>607</v>
      </c>
      <c r="D2781" s="4" t="s">
        <v>607</v>
      </c>
      <c r="E2781" s="56" t="s">
        <v>607</v>
      </c>
    </row>
    <row r="2782">
      <c r="B2782" s="4" t="s">
        <v>607</v>
      </c>
      <c r="C2782" s="6" t="s">
        <v>607</v>
      </c>
      <c r="D2782" s="4" t="s">
        <v>607</v>
      </c>
      <c r="E2782" s="56" t="s">
        <v>607</v>
      </c>
    </row>
    <row r="2783">
      <c r="B2783" s="4" t="s">
        <v>607</v>
      </c>
      <c r="C2783" s="6" t="s">
        <v>607</v>
      </c>
      <c r="D2783" s="4" t="s">
        <v>607</v>
      </c>
      <c r="E2783" s="56" t="s">
        <v>607</v>
      </c>
    </row>
    <row r="2784">
      <c r="B2784" s="4" t="s">
        <v>607</v>
      </c>
      <c r="C2784" s="6" t="s">
        <v>607</v>
      </c>
      <c r="D2784" s="4" t="s">
        <v>607</v>
      </c>
      <c r="E2784" s="56" t="s">
        <v>607</v>
      </c>
    </row>
    <row r="2785">
      <c r="B2785" s="4" t="s">
        <v>607</v>
      </c>
      <c r="C2785" s="6" t="s">
        <v>607</v>
      </c>
      <c r="D2785" s="4" t="s">
        <v>607</v>
      </c>
      <c r="E2785" s="56" t="s">
        <v>607</v>
      </c>
    </row>
    <row r="2786">
      <c r="B2786" s="4" t="s">
        <v>607</v>
      </c>
      <c r="C2786" s="6" t="s">
        <v>607</v>
      </c>
      <c r="D2786" s="4" t="s">
        <v>607</v>
      </c>
      <c r="E2786" s="56" t="s">
        <v>607</v>
      </c>
    </row>
    <row r="2787">
      <c r="B2787" s="4" t="s">
        <v>607</v>
      </c>
      <c r="C2787" s="6" t="s">
        <v>607</v>
      </c>
      <c r="D2787" s="4" t="s">
        <v>607</v>
      </c>
      <c r="E2787" s="56" t="s">
        <v>607</v>
      </c>
    </row>
    <row r="2788">
      <c r="B2788" s="4" t="s">
        <v>607</v>
      </c>
      <c r="C2788" s="6" t="s">
        <v>607</v>
      </c>
      <c r="D2788" s="4" t="s">
        <v>607</v>
      </c>
      <c r="E2788" s="56" t="s">
        <v>607</v>
      </c>
    </row>
    <row r="2789">
      <c r="B2789" s="4" t="s">
        <v>607</v>
      </c>
      <c r="C2789" s="6" t="s">
        <v>607</v>
      </c>
      <c r="D2789" s="4" t="s">
        <v>607</v>
      </c>
      <c r="E2789" s="56" t="s">
        <v>607</v>
      </c>
    </row>
    <row r="2790">
      <c r="B2790" s="4" t="s">
        <v>607</v>
      </c>
      <c r="C2790" s="6" t="s">
        <v>607</v>
      </c>
      <c r="D2790" s="4" t="s">
        <v>607</v>
      </c>
      <c r="E2790" s="56" t="s">
        <v>607</v>
      </c>
    </row>
    <row r="2791">
      <c r="B2791" s="4" t="s">
        <v>607</v>
      </c>
      <c r="C2791" s="6" t="s">
        <v>607</v>
      </c>
      <c r="D2791" s="4" t="s">
        <v>607</v>
      </c>
      <c r="E2791" s="56" t="s">
        <v>607</v>
      </c>
    </row>
    <row r="2792">
      <c r="B2792" s="4" t="s">
        <v>607</v>
      </c>
      <c r="C2792" s="6" t="s">
        <v>607</v>
      </c>
      <c r="D2792" s="4" t="s">
        <v>607</v>
      </c>
      <c r="E2792" s="56" t="s">
        <v>607</v>
      </c>
    </row>
    <row r="2793">
      <c r="B2793" s="4" t="s">
        <v>607</v>
      </c>
      <c r="C2793" s="6" t="s">
        <v>607</v>
      </c>
      <c r="D2793" s="4" t="s">
        <v>607</v>
      </c>
      <c r="E2793" s="56" t="s">
        <v>607</v>
      </c>
    </row>
    <row r="2794">
      <c r="B2794" s="4" t="s">
        <v>607</v>
      </c>
      <c r="C2794" s="6" t="s">
        <v>607</v>
      </c>
      <c r="D2794" s="4" t="s">
        <v>607</v>
      </c>
      <c r="E2794" s="56" t="s">
        <v>607</v>
      </c>
    </row>
    <row r="2795">
      <c r="B2795" s="4" t="s">
        <v>607</v>
      </c>
      <c r="C2795" s="6" t="s">
        <v>607</v>
      </c>
      <c r="D2795" s="4" t="s">
        <v>607</v>
      </c>
      <c r="E2795" s="56" t="s">
        <v>607</v>
      </c>
    </row>
    <row r="2796">
      <c r="B2796" s="4" t="s">
        <v>607</v>
      </c>
      <c r="C2796" s="6" t="s">
        <v>607</v>
      </c>
      <c r="D2796" s="4" t="s">
        <v>607</v>
      </c>
      <c r="E2796" s="56" t="s">
        <v>607</v>
      </c>
    </row>
    <row r="2797">
      <c r="B2797" s="4" t="s">
        <v>607</v>
      </c>
      <c r="C2797" s="6" t="s">
        <v>607</v>
      </c>
      <c r="D2797" s="4" t="s">
        <v>607</v>
      </c>
      <c r="E2797" s="56" t="s">
        <v>607</v>
      </c>
    </row>
    <row r="2798">
      <c r="B2798" s="4" t="s">
        <v>607</v>
      </c>
      <c r="C2798" s="6" t="s">
        <v>607</v>
      </c>
      <c r="D2798" s="4" t="s">
        <v>607</v>
      </c>
      <c r="E2798" s="56" t="s">
        <v>607</v>
      </c>
    </row>
    <row r="2799">
      <c r="B2799" s="4" t="s">
        <v>607</v>
      </c>
      <c r="C2799" s="6" t="s">
        <v>607</v>
      </c>
      <c r="D2799" s="4" t="s">
        <v>607</v>
      </c>
      <c r="E2799" s="56" t="s">
        <v>607</v>
      </c>
    </row>
    <row r="2800">
      <c r="B2800" s="4" t="s">
        <v>607</v>
      </c>
      <c r="C2800" s="6" t="s">
        <v>607</v>
      </c>
      <c r="D2800" s="4" t="s">
        <v>607</v>
      </c>
      <c r="E2800" s="56" t="s">
        <v>607</v>
      </c>
    </row>
    <row r="2801">
      <c r="B2801" s="4" t="s">
        <v>607</v>
      </c>
      <c r="C2801" s="6" t="s">
        <v>607</v>
      </c>
      <c r="D2801" s="4" t="s">
        <v>607</v>
      </c>
      <c r="E2801" s="56" t="s">
        <v>607</v>
      </c>
    </row>
    <row r="2802">
      <c r="B2802" s="4" t="s">
        <v>607</v>
      </c>
      <c r="C2802" s="6" t="s">
        <v>607</v>
      </c>
      <c r="D2802" s="4" t="s">
        <v>607</v>
      </c>
      <c r="E2802" s="56" t="s">
        <v>607</v>
      </c>
    </row>
    <row r="2803">
      <c r="B2803" s="4" t="s">
        <v>607</v>
      </c>
      <c r="C2803" s="6" t="s">
        <v>607</v>
      </c>
      <c r="D2803" s="4" t="s">
        <v>607</v>
      </c>
      <c r="E2803" s="56" t="s">
        <v>607</v>
      </c>
    </row>
    <row r="2804">
      <c r="B2804" s="4" t="s">
        <v>607</v>
      </c>
      <c r="C2804" s="6" t="s">
        <v>607</v>
      </c>
      <c r="D2804" s="4" t="s">
        <v>607</v>
      </c>
      <c r="E2804" s="56" t="s">
        <v>607</v>
      </c>
    </row>
    <row r="2805">
      <c r="B2805" s="4" t="s">
        <v>607</v>
      </c>
      <c r="C2805" s="6" t="s">
        <v>607</v>
      </c>
      <c r="D2805" s="4" t="s">
        <v>607</v>
      </c>
      <c r="E2805" s="56" t="s">
        <v>607</v>
      </c>
    </row>
    <row r="2806">
      <c r="B2806" s="4" t="s">
        <v>607</v>
      </c>
      <c r="C2806" s="6" t="s">
        <v>607</v>
      </c>
      <c r="D2806" s="4" t="s">
        <v>607</v>
      </c>
      <c r="E2806" s="56" t="s">
        <v>607</v>
      </c>
    </row>
    <row r="2807">
      <c r="B2807" s="4" t="s">
        <v>607</v>
      </c>
      <c r="C2807" s="6" t="s">
        <v>607</v>
      </c>
      <c r="D2807" s="4" t="s">
        <v>607</v>
      </c>
      <c r="E2807" s="56" t="s">
        <v>607</v>
      </c>
    </row>
    <row r="2808">
      <c r="B2808" s="4" t="s">
        <v>607</v>
      </c>
      <c r="C2808" s="6" t="s">
        <v>607</v>
      </c>
      <c r="D2808" s="4" t="s">
        <v>607</v>
      </c>
      <c r="E2808" s="56" t="s">
        <v>607</v>
      </c>
    </row>
    <row r="2809">
      <c r="B2809" s="4" t="s">
        <v>607</v>
      </c>
      <c r="C2809" s="6" t="s">
        <v>607</v>
      </c>
      <c r="D2809" s="4" t="s">
        <v>607</v>
      </c>
      <c r="E2809" s="56" t="s">
        <v>607</v>
      </c>
    </row>
    <row r="2810">
      <c r="B2810" s="4" t="s">
        <v>607</v>
      </c>
      <c r="C2810" s="6" t="s">
        <v>607</v>
      </c>
      <c r="D2810" s="4" t="s">
        <v>607</v>
      </c>
      <c r="E2810" s="56" t="s">
        <v>607</v>
      </c>
    </row>
    <row r="2811">
      <c r="B2811" s="4" t="s">
        <v>607</v>
      </c>
      <c r="C2811" s="6" t="s">
        <v>607</v>
      </c>
      <c r="D2811" s="4" t="s">
        <v>607</v>
      </c>
      <c r="E2811" s="56" t="s">
        <v>607</v>
      </c>
    </row>
    <row r="2812">
      <c r="B2812" s="4" t="s">
        <v>607</v>
      </c>
      <c r="C2812" s="6" t="s">
        <v>607</v>
      </c>
      <c r="D2812" s="4" t="s">
        <v>607</v>
      </c>
      <c r="E2812" s="56" t="s">
        <v>607</v>
      </c>
    </row>
    <row r="2813">
      <c r="B2813" s="4" t="s">
        <v>607</v>
      </c>
      <c r="C2813" s="6" t="s">
        <v>607</v>
      </c>
      <c r="D2813" s="4" t="s">
        <v>607</v>
      </c>
      <c r="E2813" s="56" t="s">
        <v>607</v>
      </c>
    </row>
    <row r="2814">
      <c r="B2814" s="4" t="s">
        <v>607</v>
      </c>
      <c r="C2814" s="6" t="s">
        <v>607</v>
      </c>
      <c r="D2814" s="4" t="s">
        <v>607</v>
      </c>
      <c r="E2814" s="56" t="s">
        <v>607</v>
      </c>
    </row>
  </sheetData>
  <conditionalFormatting sqref="B1">
    <cfRule type="cellIs" dxfId="0" priority="1" operator="equal">
      <formula>"ID null"</formula>
    </cfRule>
  </conditionalFormatting>
  <hyperlinks>
    <hyperlink r:id="rId1" ref="E15"/>
    <hyperlink r:id="rId2" ref="E19"/>
    <hyperlink r:id="rId3" ref="E22"/>
    <hyperlink r:id="rId4" ref="E28"/>
    <hyperlink r:id="rId5" ref="E35"/>
    <hyperlink r:id="rId6" ref="E38"/>
    <hyperlink r:id="rId7" ref="E43"/>
    <hyperlink r:id="rId8" ref="E51"/>
    <hyperlink r:id="rId9" ref="E59"/>
    <hyperlink r:id="rId10" ref="E65"/>
    <hyperlink r:id="rId11" ref="E70"/>
    <hyperlink r:id="rId12" ref="E76"/>
    <hyperlink r:id="rId13" ref="E78"/>
    <hyperlink r:id="rId14" ref="E82"/>
    <hyperlink r:id="rId15" ref="E84"/>
    <hyperlink r:id="rId16" ref="E89"/>
    <hyperlink r:id="rId17" ref="E95"/>
    <hyperlink r:id="rId18" ref="E102"/>
    <hyperlink r:id="rId19" ref="E104"/>
    <hyperlink r:id="rId20" ref="E109"/>
    <hyperlink r:id="rId21" ref="E115"/>
    <hyperlink r:id="rId22" ref="E124"/>
    <hyperlink r:id="rId23" ref="E126"/>
    <hyperlink r:id="rId24" ref="E133"/>
    <hyperlink r:id="rId25" ref="E151"/>
    <hyperlink r:id="rId26" ref="E153"/>
    <hyperlink r:id="rId27" ref="E159"/>
    <hyperlink r:id="rId28" ref="E170"/>
    <hyperlink r:id="rId29" ref="E174"/>
    <hyperlink r:id="rId30" ref="E181"/>
    <hyperlink r:id="rId31" ref="E184"/>
    <hyperlink r:id="rId32" ref="E188"/>
    <hyperlink r:id="rId33" ref="E191"/>
    <hyperlink r:id="rId34" ref="E197"/>
    <hyperlink r:id="rId35" ref="E202"/>
    <hyperlink r:id="rId36" ref="E204"/>
    <hyperlink r:id="rId37" ref="E214"/>
    <hyperlink r:id="rId38" ref="E216"/>
    <hyperlink r:id="rId39" ref="E219"/>
    <hyperlink r:id="rId40" ref="E224"/>
    <hyperlink r:id="rId41" ref="E227"/>
    <hyperlink r:id="rId42" ref="E228"/>
    <hyperlink r:id="rId43" ref="E230"/>
    <hyperlink r:id="rId44" ref="E242"/>
    <hyperlink r:id="rId45" ref="E251"/>
    <hyperlink r:id="rId46" ref="E253"/>
    <hyperlink r:id="rId47" ref="E256"/>
    <hyperlink r:id="rId48" ref="E258"/>
    <hyperlink r:id="rId49" ref="E262"/>
    <hyperlink r:id="rId50" ref="E268"/>
    <hyperlink r:id="rId51" ref="E272"/>
    <hyperlink r:id="rId52" ref="E276"/>
    <hyperlink r:id="rId53" ref="E278"/>
    <hyperlink r:id="rId54" ref="E286"/>
    <hyperlink r:id="rId55" ref="E292"/>
    <hyperlink r:id="rId56" ref="E294"/>
    <hyperlink r:id="rId57" ref="E296"/>
    <hyperlink r:id="rId58" ref="D300"/>
    <hyperlink r:id="rId59" ref="E305"/>
    <hyperlink r:id="rId60" ref="E309"/>
    <hyperlink r:id="rId61" ref="E311"/>
    <hyperlink r:id="rId62" ref="E314"/>
    <hyperlink r:id="rId63" ref="E316"/>
    <hyperlink r:id="rId64" ref="E321"/>
    <hyperlink r:id="rId65" ref="E325"/>
    <hyperlink r:id="rId66" ref="E327"/>
    <hyperlink r:id="rId67" ref="E334"/>
    <hyperlink r:id="rId68" ref="E340"/>
    <hyperlink r:id="rId69" ref="E346"/>
    <hyperlink r:id="rId70" ref="E351"/>
    <hyperlink r:id="rId71" ref="E357"/>
    <hyperlink r:id="rId72" ref="E360"/>
    <hyperlink r:id="rId73" ref="E367"/>
    <hyperlink r:id="rId74" ref="E371"/>
    <hyperlink r:id="rId75" ref="E373"/>
    <hyperlink r:id="rId76" ref="E389"/>
    <hyperlink r:id="rId77" ref="E392"/>
    <hyperlink r:id="rId78" ref="E395"/>
    <hyperlink r:id="rId79" ref="E399"/>
    <hyperlink r:id="rId80" ref="E404"/>
    <hyperlink r:id="rId81" ref="E406"/>
    <hyperlink r:id="rId82" ref="E411"/>
    <hyperlink r:id="rId83" ref="E412"/>
    <hyperlink r:id="rId84" ref="E421"/>
    <hyperlink r:id="rId85" ref="E433"/>
    <hyperlink r:id="rId86" ref="E435"/>
    <hyperlink r:id="rId87" ref="E439"/>
    <hyperlink r:id="rId88" ref="E441"/>
    <hyperlink r:id="rId89" ref="E444"/>
    <hyperlink r:id="rId90" ref="E449"/>
    <hyperlink r:id="rId91" ref="E454"/>
    <hyperlink r:id="rId92" ref="E457"/>
    <hyperlink r:id="rId93" ref="E459"/>
    <hyperlink r:id="rId94" ref="E463"/>
    <hyperlink r:id="rId95" ref="E470"/>
    <hyperlink r:id="rId96" ref="E481"/>
    <hyperlink r:id="rId97" ref="E483"/>
    <hyperlink r:id="rId98" ref="E486"/>
    <hyperlink r:id="rId99" ref="E493"/>
    <hyperlink r:id="rId100" ref="E497"/>
    <hyperlink r:id="rId101" ref="E500"/>
    <hyperlink r:id="rId102" ref="E503"/>
    <hyperlink r:id="rId103" ref="E507"/>
    <hyperlink r:id="rId104" ref="E508"/>
    <hyperlink r:id="rId105" ref="E511"/>
    <hyperlink r:id="rId106" ref="E514"/>
    <hyperlink r:id="rId107" ref="E517"/>
    <hyperlink r:id="rId108" ref="E518"/>
    <hyperlink r:id="rId109" ref="E520"/>
    <hyperlink r:id="rId110" ref="E523"/>
    <hyperlink r:id="rId111" ref="E525"/>
    <hyperlink r:id="rId112" ref="E526"/>
    <hyperlink r:id="rId113" ref="E528"/>
    <hyperlink r:id="rId114" ref="E530"/>
    <hyperlink r:id="rId115" ref="E532"/>
    <hyperlink r:id="rId116" ref="E538"/>
    <hyperlink r:id="rId117" ref="E540"/>
    <hyperlink r:id="rId118" ref="E542"/>
    <hyperlink r:id="rId119" ref="E547"/>
    <hyperlink r:id="rId120" ref="E552"/>
    <hyperlink r:id="rId121" ref="E561"/>
    <hyperlink r:id="rId122" ref="E563"/>
    <hyperlink r:id="rId123" ref="E574"/>
    <hyperlink r:id="rId124" ref="E576"/>
    <hyperlink r:id="rId125" ref="E583"/>
    <hyperlink r:id="rId126" ref="E586"/>
    <hyperlink r:id="rId127" ref="E590"/>
    <hyperlink r:id="rId128" ref="E594"/>
    <hyperlink r:id="rId129" ref="E598"/>
    <hyperlink r:id="rId130" ref="E603"/>
    <hyperlink r:id="rId131" ref="E606"/>
    <hyperlink r:id="rId132" ref="E609"/>
    <hyperlink r:id="rId133" ref="E612"/>
    <hyperlink r:id="rId134" ref="E616"/>
    <hyperlink r:id="rId135" ref="E620"/>
    <hyperlink r:id="rId136" ref="E624"/>
    <hyperlink r:id="rId137" ref="E629"/>
    <hyperlink r:id="rId138" ref="E633"/>
    <hyperlink r:id="rId139" ref="E640"/>
    <hyperlink r:id="rId140" ref="E643"/>
    <hyperlink r:id="rId141" ref="E646"/>
    <hyperlink r:id="rId142" ref="E650"/>
    <hyperlink r:id="rId143" ref="E653"/>
    <hyperlink r:id="rId144" ref="E665"/>
    <hyperlink r:id="rId145" ref="E675"/>
    <hyperlink r:id="rId146" ref="E678"/>
    <hyperlink r:id="rId147" ref="E681"/>
    <hyperlink r:id="rId148" ref="E689"/>
    <hyperlink r:id="rId149" ref="E696"/>
    <hyperlink r:id="rId150" ref="E700"/>
    <hyperlink r:id="rId151" ref="E703"/>
    <hyperlink r:id="rId152" ref="E714"/>
    <hyperlink r:id="rId153" ref="E719"/>
    <hyperlink r:id="rId154" ref="E722"/>
    <hyperlink r:id="rId155" ref="E723"/>
    <hyperlink r:id="rId156" ref="E725"/>
    <hyperlink r:id="rId157" ref="E728"/>
    <hyperlink r:id="rId158" ref="E730"/>
    <hyperlink r:id="rId159" ref="E733"/>
    <hyperlink r:id="rId160" ref="E737"/>
    <hyperlink r:id="rId161" ref="E738"/>
    <hyperlink r:id="rId162" ref="E741"/>
    <hyperlink r:id="rId163" ref="E744"/>
    <hyperlink r:id="rId164" ref="E746"/>
    <hyperlink r:id="rId165" ref="E749"/>
    <hyperlink r:id="rId166" ref="E751"/>
    <hyperlink r:id="rId167" ref="E754"/>
    <hyperlink r:id="rId168" ref="E758"/>
    <hyperlink r:id="rId169" ref="E762"/>
    <hyperlink r:id="rId170" ref="E764"/>
    <hyperlink r:id="rId171" ref="E767"/>
    <hyperlink r:id="rId172" ref="E770"/>
    <hyperlink r:id="rId173" ref="E773"/>
    <hyperlink r:id="rId174" ref="E780"/>
    <hyperlink r:id="rId175" ref="E782"/>
    <hyperlink r:id="rId176" ref="E785"/>
    <hyperlink r:id="rId177" ref="E788"/>
    <hyperlink r:id="rId178" ref="E791"/>
    <hyperlink r:id="rId179" ref="E792"/>
    <hyperlink r:id="rId180" ref="E796"/>
    <hyperlink r:id="rId181" ref="E799"/>
    <hyperlink r:id="rId182" ref="E802"/>
    <hyperlink r:id="rId183" ref="E805"/>
    <hyperlink r:id="rId184" ref="E827"/>
    <hyperlink r:id="rId185" ref="E834"/>
    <hyperlink r:id="rId186" ref="E839"/>
    <hyperlink r:id="rId187" ref="E841"/>
    <hyperlink r:id="rId188" ref="E845"/>
    <hyperlink r:id="rId189" ref="E848"/>
    <hyperlink r:id="rId190" ref="E850"/>
    <hyperlink r:id="rId191" ref="E853"/>
    <hyperlink r:id="rId192" ref="E855"/>
    <hyperlink r:id="rId193" ref="E857"/>
    <hyperlink r:id="rId194" ref="E861"/>
    <hyperlink r:id="rId195" ref="E863"/>
    <hyperlink r:id="rId196" ref="E865"/>
    <hyperlink r:id="rId197" ref="E867"/>
    <hyperlink r:id="rId198" ref="E869"/>
    <hyperlink r:id="rId199" ref="E872"/>
    <hyperlink r:id="rId200" ref="E876"/>
    <hyperlink r:id="rId201" ref="E879"/>
    <hyperlink r:id="rId202" ref="E881"/>
    <hyperlink r:id="rId203" ref="E884"/>
    <hyperlink r:id="rId204" ref="E886"/>
    <hyperlink r:id="rId205" ref="E888"/>
    <hyperlink r:id="rId206" ref="E891"/>
    <hyperlink r:id="rId207" ref="E898"/>
    <hyperlink r:id="rId208" ref="E904"/>
    <hyperlink r:id="rId209" ref="E908"/>
    <hyperlink r:id="rId210" ref="E910"/>
    <hyperlink r:id="rId211" ref="E914"/>
    <hyperlink r:id="rId212" ref="E922"/>
    <hyperlink r:id="rId213" ref="E924"/>
    <hyperlink r:id="rId214" ref="E925"/>
    <hyperlink r:id="rId215" ref="E929"/>
    <hyperlink r:id="rId216" ref="E931"/>
    <hyperlink r:id="rId217" ref="E933"/>
    <hyperlink r:id="rId218" ref="E935"/>
    <hyperlink r:id="rId219" ref="E939"/>
    <hyperlink r:id="rId220" ref="E941"/>
    <hyperlink r:id="rId221" ref="E943"/>
    <hyperlink r:id="rId222" ref="E948"/>
    <hyperlink r:id="rId223" ref="E950"/>
    <hyperlink r:id="rId224" ref="E952"/>
    <hyperlink r:id="rId225" ref="E954"/>
    <hyperlink r:id="rId226" ref="E958"/>
    <hyperlink r:id="rId227" ref="E964"/>
    <hyperlink r:id="rId228" ref="E967"/>
    <hyperlink r:id="rId229" ref="E970"/>
    <hyperlink r:id="rId230" ref="E971"/>
    <hyperlink r:id="rId231" ref="E973"/>
    <hyperlink r:id="rId232" ref="E976"/>
    <hyperlink r:id="rId233" ref="E981"/>
    <hyperlink r:id="rId234" ref="E984"/>
    <hyperlink r:id="rId235" ref="E995"/>
    <hyperlink r:id="rId236" ref="E1001"/>
    <hyperlink r:id="rId237" ref="E1004"/>
    <hyperlink r:id="rId238" ref="E1007"/>
    <hyperlink r:id="rId239" ref="E1010"/>
    <hyperlink r:id="rId240" ref="E1049"/>
    <hyperlink r:id="rId241" ref="E1055"/>
    <hyperlink r:id="rId242" ref="E1067"/>
    <hyperlink r:id="rId243" ref="E1093"/>
    <hyperlink r:id="rId244" ref="E1096"/>
    <hyperlink r:id="rId245" ref="E1099"/>
    <hyperlink r:id="rId246" ref="E1108"/>
    <hyperlink r:id="rId247" ref="E1135"/>
    <hyperlink r:id="rId248" ref="E1136"/>
    <hyperlink r:id="rId249" ref="E1137"/>
    <hyperlink r:id="rId250" ref="E1138"/>
    <hyperlink r:id="rId251" ref="E1140"/>
    <hyperlink r:id="rId252" ref="E1141"/>
    <hyperlink r:id="rId253" ref="E1142"/>
    <hyperlink r:id="rId254" ref="E1143"/>
    <hyperlink r:id="rId255" ref="E1144"/>
    <hyperlink r:id="rId256" ref="E1145"/>
    <hyperlink r:id="rId257" ref="E1147"/>
    <hyperlink r:id="rId258" ref="E1149"/>
    <hyperlink r:id="rId259" ref="E1150"/>
    <hyperlink r:id="rId260" ref="E1152"/>
    <hyperlink r:id="rId261" ref="E1153"/>
    <hyperlink r:id="rId262" ref="E1154"/>
    <hyperlink r:id="rId263" ref="E1155"/>
    <hyperlink r:id="rId264" ref="E1157"/>
    <hyperlink r:id="rId265" ref="E1159"/>
    <hyperlink r:id="rId266" ref="E1160"/>
    <hyperlink r:id="rId267" ref="E1161"/>
    <hyperlink r:id="rId268" ref="E1162"/>
    <hyperlink r:id="rId269" ref="E1164"/>
    <hyperlink r:id="rId270" ref="E1167"/>
    <hyperlink r:id="rId271" ref="E1169"/>
    <hyperlink r:id="rId272" ref="E1171"/>
    <hyperlink r:id="rId273" ref="E1174"/>
    <hyperlink r:id="rId274" ref="E1177"/>
    <hyperlink r:id="rId275" ref="E1180"/>
    <hyperlink r:id="rId276" ref="E1183"/>
    <hyperlink r:id="rId277" ref="E1188"/>
    <hyperlink r:id="rId278" ref="E1191"/>
    <hyperlink r:id="rId279" ref="E1194"/>
    <hyperlink r:id="rId280" ref="E1203"/>
    <hyperlink r:id="rId281" ref="E1206"/>
    <hyperlink r:id="rId282" ref="E1221"/>
  </hyperlinks>
  <drawing r:id="rId28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3.14"/>
    <col customWidth="1" min="2" max="3" width="11.43"/>
    <col customWidth="1" min="4" max="5" width="40.29"/>
    <col customWidth="1" min="6" max="7" width="19.57"/>
    <col customWidth="1" min="8" max="8" width="17.43"/>
    <col customWidth="1" min="9" max="9" width="19.0"/>
    <col customWidth="1" min="10" max="10" width="55.14"/>
    <col customWidth="1" min="11" max="11" width="29.14"/>
  </cols>
  <sheetData>
    <row r="1" ht="22.5" customHeight="1">
      <c r="A1" s="241" t="s">
        <v>5685</v>
      </c>
      <c r="J1" s="242"/>
      <c r="K1" s="243"/>
    </row>
    <row r="2" ht="33.75" customHeight="1">
      <c r="A2" s="243" t="s">
        <v>5689</v>
      </c>
      <c r="B2" s="243"/>
      <c r="C2" s="243"/>
      <c r="D2" s="243"/>
      <c r="E2" s="244" t="s">
        <v>5691</v>
      </c>
      <c r="F2" s="242"/>
      <c r="G2" s="242"/>
      <c r="H2" s="245"/>
      <c r="I2" s="245"/>
      <c r="J2" s="242"/>
      <c r="K2" s="243" t="s">
        <v>5693</v>
      </c>
    </row>
    <row r="3">
      <c r="A3" s="246" t="s">
        <v>5695</v>
      </c>
      <c r="B3" s="246" t="s">
        <v>5696</v>
      </c>
      <c r="C3" s="246" t="s">
        <v>5697</v>
      </c>
      <c r="D3" s="246" t="s">
        <v>3147</v>
      </c>
      <c r="E3" s="247" t="s">
        <v>5699</v>
      </c>
      <c r="F3" s="248" t="s">
        <v>5700</v>
      </c>
      <c r="G3" s="246" t="s">
        <v>5702</v>
      </c>
      <c r="H3" s="249" t="s">
        <v>5703</v>
      </c>
      <c r="I3" s="249" t="s">
        <v>5704</v>
      </c>
      <c r="J3" s="250" t="s">
        <v>3071</v>
      </c>
      <c r="K3" s="251" t="s">
        <v>5706</v>
      </c>
    </row>
    <row r="4" hidden="1">
      <c r="A4" s="252" t="s">
        <v>5712</v>
      </c>
      <c r="B4" s="253" t="s">
        <v>4047</v>
      </c>
      <c r="C4" s="254">
        <v>1.44</v>
      </c>
      <c r="D4" s="255" t="s">
        <v>5717</v>
      </c>
      <c r="E4" s="256" t="s">
        <v>907</v>
      </c>
      <c r="F4" s="257">
        <v>2.0</v>
      </c>
      <c r="G4" s="258" t="s">
        <v>5719</v>
      </c>
      <c r="H4" s="259" t="s">
        <v>5722</v>
      </c>
      <c r="I4" s="259" t="s">
        <v>5724</v>
      </c>
      <c r="J4" s="260" t="s">
        <v>5725</v>
      </c>
    </row>
    <row r="5" hidden="1">
      <c r="A5" s="252" t="s">
        <v>5712</v>
      </c>
      <c r="B5" s="253" t="s">
        <v>4047</v>
      </c>
      <c r="C5" s="254">
        <v>1.44</v>
      </c>
      <c r="D5" s="261" t="s">
        <v>584</v>
      </c>
      <c r="E5" s="256" t="s">
        <v>583</v>
      </c>
      <c r="F5" s="257">
        <v>2.0</v>
      </c>
      <c r="G5" s="258" t="s">
        <v>2150</v>
      </c>
      <c r="H5" s="259" t="s">
        <v>5731</v>
      </c>
      <c r="I5" s="259" t="s">
        <v>5732</v>
      </c>
      <c r="J5" s="260" t="s">
        <v>5733</v>
      </c>
    </row>
    <row r="6" hidden="1">
      <c r="A6" s="252" t="s">
        <v>5712</v>
      </c>
      <c r="B6" s="253" t="s">
        <v>4047</v>
      </c>
      <c r="C6" s="254">
        <v>1.44</v>
      </c>
      <c r="D6" s="255" t="s">
        <v>5736</v>
      </c>
      <c r="E6" s="256" t="s">
        <v>5737</v>
      </c>
      <c r="F6" s="257">
        <v>3.0</v>
      </c>
      <c r="G6" s="253" t="s">
        <v>5738</v>
      </c>
      <c r="H6" s="259" t="s">
        <v>5741</v>
      </c>
      <c r="I6" s="259" t="s">
        <v>5742</v>
      </c>
      <c r="J6" s="261"/>
    </row>
    <row r="7" hidden="1">
      <c r="A7" s="252" t="s">
        <v>5743</v>
      </c>
      <c r="B7" s="262" t="s">
        <v>5745</v>
      </c>
      <c r="C7" s="254">
        <v>1.49</v>
      </c>
      <c r="D7" s="255" t="s">
        <v>687</v>
      </c>
      <c r="E7" s="256" t="s">
        <v>686</v>
      </c>
      <c r="F7" s="257">
        <v>2.0</v>
      </c>
      <c r="G7" s="253" t="s">
        <v>5748</v>
      </c>
      <c r="H7" s="259" t="s">
        <v>5751</v>
      </c>
      <c r="I7" s="259" t="s">
        <v>5752</v>
      </c>
      <c r="J7" s="255" t="s">
        <v>5753</v>
      </c>
    </row>
    <row r="8" hidden="1">
      <c r="A8" s="252" t="s">
        <v>5743</v>
      </c>
      <c r="B8" s="262" t="s">
        <v>5745</v>
      </c>
      <c r="C8" s="254">
        <v>1.49</v>
      </c>
      <c r="D8" s="255" t="s">
        <v>5756</v>
      </c>
      <c r="E8" s="256" t="s">
        <v>5737</v>
      </c>
      <c r="F8" s="257">
        <v>3.0</v>
      </c>
      <c r="G8" s="253" t="s">
        <v>5738</v>
      </c>
      <c r="H8" s="259" t="s">
        <v>5759</v>
      </c>
      <c r="I8" s="259" t="s">
        <v>5760</v>
      </c>
      <c r="J8" s="255" t="s">
        <v>5761</v>
      </c>
    </row>
    <row r="9" hidden="1">
      <c r="A9" s="252" t="s">
        <v>5743</v>
      </c>
      <c r="B9" s="262" t="s">
        <v>5745</v>
      </c>
      <c r="C9" s="254">
        <v>1.49</v>
      </c>
      <c r="D9" s="255" t="s">
        <v>237</v>
      </c>
      <c r="E9" s="256" t="s">
        <v>235</v>
      </c>
      <c r="F9" s="257">
        <v>1.0</v>
      </c>
      <c r="G9" s="263" t="s">
        <v>5764</v>
      </c>
      <c r="H9" s="259" t="s">
        <v>5767</v>
      </c>
      <c r="I9" s="259" t="s">
        <v>5768</v>
      </c>
      <c r="J9" s="255" t="s">
        <v>5769</v>
      </c>
      <c r="K9" s="254"/>
    </row>
    <row r="10" hidden="1">
      <c r="A10" s="252" t="s">
        <v>5770</v>
      </c>
      <c r="B10" s="253" t="s">
        <v>5771</v>
      </c>
      <c r="C10" s="255">
        <v>2.39</v>
      </c>
      <c r="D10" s="255" t="s">
        <v>596</v>
      </c>
      <c r="E10" s="264" t="s">
        <v>5774</v>
      </c>
      <c r="F10" s="257">
        <v>2.0</v>
      </c>
      <c r="G10" s="253" t="s">
        <v>2195</v>
      </c>
      <c r="H10" s="259" t="s">
        <v>5779</v>
      </c>
      <c r="I10" s="259" t="s">
        <v>5780</v>
      </c>
      <c r="J10" s="255"/>
      <c r="K10" s="254"/>
    </row>
    <row r="11" hidden="1">
      <c r="A11" s="252" t="s">
        <v>5770</v>
      </c>
      <c r="B11" s="258" t="s">
        <v>5771</v>
      </c>
      <c r="C11" s="255">
        <v>2.39</v>
      </c>
      <c r="D11" s="255" t="s">
        <v>794</v>
      </c>
      <c r="E11" s="265" t="s">
        <v>792</v>
      </c>
      <c r="F11" s="257">
        <v>2.0</v>
      </c>
      <c r="G11" s="253" t="s">
        <v>1598</v>
      </c>
      <c r="H11" s="259" t="s">
        <v>5785</v>
      </c>
      <c r="I11" s="259" t="s">
        <v>5787</v>
      </c>
      <c r="J11" s="255" t="s">
        <v>5788</v>
      </c>
      <c r="K11" s="254"/>
    </row>
    <row r="12" hidden="1">
      <c r="A12" s="252" t="s">
        <v>5770</v>
      </c>
      <c r="B12" s="253" t="s">
        <v>5771</v>
      </c>
      <c r="C12" s="255">
        <v>2.39</v>
      </c>
      <c r="D12" s="255" t="s">
        <v>1045</v>
      </c>
      <c r="E12" s="266" t="s">
        <v>1044</v>
      </c>
      <c r="F12" s="257">
        <v>3.0</v>
      </c>
      <c r="G12" s="253" t="s">
        <v>5792</v>
      </c>
      <c r="H12" s="259" t="s">
        <v>5795</v>
      </c>
      <c r="I12" s="259" t="s">
        <v>5797</v>
      </c>
      <c r="J12" s="255" t="s">
        <v>5798</v>
      </c>
      <c r="K12" s="254"/>
    </row>
    <row r="13">
      <c r="A13" s="255" t="s">
        <v>5800</v>
      </c>
      <c r="B13" s="254"/>
      <c r="C13" s="254"/>
      <c r="D13" s="255" t="s">
        <v>5801</v>
      </c>
      <c r="E13" s="264" t="s">
        <v>190</v>
      </c>
      <c r="F13" s="257">
        <v>1.0</v>
      </c>
      <c r="G13" s="253" t="s">
        <v>956</v>
      </c>
      <c r="H13" s="267" t="s">
        <v>5804</v>
      </c>
      <c r="I13" s="267" t="s">
        <v>5805</v>
      </c>
      <c r="J13" s="268" t="s">
        <v>5806</v>
      </c>
      <c r="K13" s="261"/>
    </row>
    <row r="14">
      <c r="A14" s="255" t="s">
        <v>5800</v>
      </c>
      <c r="B14" s="254"/>
      <c r="C14" s="254"/>
      <c r="D14" s="255" t="s">
        <v>528</v>
      </c>
      <c r="E14" s="264" t="s">
        <v>527</v>
      </c>
      <c r="F14" s="257">
        <v>2.0</v>
      </c>
      <c r="G14" s="258" t="s">
        <v>5809</v>
      </c>
      <c r="H14" s="267" t="s">
        <v>5811</v>
      </c>
      <c r="I14" s="267" t="s">
        <v>5812</v>
      </c>
      <c r="J14" s="268" t="s">
        <v>5813</v>
      </c>
      <c r="K14" s="261"/>
    </row>
    <row r="15">
      <c r="A15" s="269"/>
      <c r="B15" s="270"/>
      <c r="C15" s="270"/>
      <c r="D15" s="271" t="s">
        <v>1379</v>
      </c>
      <c r="E15" s="272" t="s">
        <v>1378</v>
      </c>
      <c r="F15" s="273">
        <v>3.0</v>
      </c>
      <c r="G15" s="274" t="s">
        <v>2978</v>
      </c>
      <c r="H15" s="275"/>
      <c r="I15" s="275"/>
      <c r="J15" s="275"/>
      <c r="K15" s="270"/>
    </row>
    <row r="16">
      <c r="A16" s="269" t="s">
        <v>5818</v>
      </c>
      <c r="B16" s="270"/>
      <c r="C16" s="270"/>
      <c r="D16" s="276" t="s">
        <v>5819</v>
      </c>
      <c r="E16" s="277" t="s">
        <v>613</v>
      </c>
      <c r="F16" s="273">
        <v>2.0</v>
      </c>
      <c r="G16" s="278" t="s">
        <v>2230</v>
      </c>
      <c r="H16" s="275"/>
      <c r="I16" s="275"/>
      <c r="J16" s="275"/>
      <c r="K16" s="270"/>
    </row>
    <row r="17">
      <c r="A17" s="269" t="s">
        <v>5818</v>
      </c>
      <c r="B17" s="270"/>
      <c r="C17" s="270"/>
      <c r="D17" s="279" t="s">
        <v>518</v>
      </c>
      <c r="E17" s="277" t="s">
        <v>517</v>
      </c>
      <c r="F17" s="280">
        <v>2.0</v>
      </c>
      <c r="G17" s="278" t="s">
        <v>2018</v>
      </c>
      <c r="H17" s="275"/>
      <c r="I17" s="275"/>
      <c r="J17" s="275"/>
      <c r="K17" s="270"/>
    </row>
    <row r="18">
      <c r="A18" s="255" t="s">
        <v>5827</v>
      </c>
      <c r="B18" s="254"/>
      <c r="C18" s="254"/>
      <c r="D18" s="255" t="s">
        <v>5828</v>
      </c>
      <c r="E18" s="281" t="s">
        <v>817</v>
      </c>
      <c r="F18" s="282">
        <v>2.0</v>
      </c>
      <c r="G18" s="253" t="s">
        <v>2514</v>
      </c>
      <c r="H18" s="259"/>
      <c r="I18" s="259"/>
      <c r="J18" s="260" t="s">
        <v>5832</v>
      </c>
      <c r="K18" s="261"/>
    </row>
    <row r="19">
      <c r="A19" s="255" t="s">
        <v>5827</v>
      </c>
      <c r="B19" s="254"/>
      <c r="C19" s="254"/>
      <c r="D19" s="255" t="s">
        <v>1284</v>
      </c>
      <c r="E19" s="264" t="s">
        <v>1283</v>
      </c>
      <c r="F19" s="257">
        <v>3.0</v>
      </c>
      <c r="G19" s="258" t="s">
        <v>5834</v>
      </c>
      <c r="H19" s="259"/>
      <c r="I19" s="259"/>
      <c r="J19" s="260"/>
      <c r="K19" s="261"/>
    </row>
    <row r="20" hidden="1">
      <c r="A20" s="254"/>
      <c r="B20" s="254"/>
      <c r="C20" s="254"/>
      <c r="D20" s="255" t="s">
        <v>1065</v>
      </c>
      <c r="E20" s="264" t="s">
        <v>5837</v>
      </c>
      <c r="F20" s="257">
        <v>3.0</v>
      </c>
      <c r="G20" s="258" t="s">
        <v>2846</v>
      </c>
      <c r="H20" s="259" t="s">
        <v>5840</v>
      </c>
      <c r="I20" s="259" t="s">
        <v>5841</v>
      </c>
      <c r="J20" s="260"/>
      <c r="K20" s="261"/>
    </row>
    <row r="21" hidden="1">
      <c r="A21" s="254"/>
      <c r="B21" s="254"/>
      <c r="C21" s="254"/>
      <c r="D21" s="255" t="s">
        <v>1064</v>
      </c>
      <c r="E21" s="264" t="s">
        <v>5837</v>
      </c>
      <c r="F21" s="257">
        <v>3.0</v>
      </c>
      <c r="G21" s="258" t="s">
        <v>2846</v>
      </c>
      <c r="H21" s="259" t="s">
        <v>5844</v>
      </c>
      <c r="I21" s="259" t="s">
        <v>5845</v>
      </c>
      <c r="J21" s="260"/>
      <c r="K21" s="261"/>
    </row>
    <row r="22" hidden="1">
      <c r="A22" s="254"/>
      <c r="B22" s="254"/>
      <c r="C22" s="254"/>
      <c r="D22" s="255" t="s">
        <v>5847</v>
      </c>
      <c r="E22" s="264" t="s">
        <v>627</v>
      </c>
      <c r="F22" s="257">
        <v>2.0</v>
      </c>
      <c r="G22" s="258" t="s">
        <v>2273</v>
      </c>
      <c r="H22" s="259" t="s">
        <v>5849</v>
      </c>
      <c r="I22" s="259" t="s">
        <v>5850</v>
      </c>
      <c r="J22" s="283"/>
      <c r="K22" s="261"/>
    </row>
    <row r="23" hidden="1">
      <c r="A23" s="254"/>
      <c r="B23" s="261"/>
      <c r="C23" s="261"/>
      <c r="D23" s="261" t="s">
        <v>688</v>
      </c>
      <c r="E23" s="284" t="s">
        <v>686</v>
      </c>
      <c r="F23" s="257">
        <v>2.0</v>
      </c>
      <c r="G23" s="258" t="s">
        <v>5748</v>
      </c>
      <c r="H23" s="259" t="s">
        <v>5855</v>
      </c>
      <c r="I23" s="259" t="s">
        <v>5856</v>
      </c>
      <c r="J23" s="255" t="s">
        <v>5857</v>
      </c>
      <c r="K23" s="261"/>
    </row>
    <row r="24" hidden="1">
      <c r="A24" s="254"/>
      <c r="B24" s="261"/>
      <c r="C24" s="261"/>
      <c r="D24" s="261" t="s">
        <v>5858</v>
      </c>
      <c r="E24" s="284" t="s">
        <v>686</v>
      </c>
      <c r="F24" s="257">
        <v>2.0</v>
      </c>
      <c r="G24" s="258" t="s">
        <v>5748</v>
      </c>
      <c r="H24" s="259" t="s">
        <v>5861</v>
      </c>
      <c r="I24" s="259" t="s">
        <v>5862</v>
      </c>
      <c r="J24" s="255" t="s">
        <v>5863</v>
      </c>
      <c r="K24" s="261"/>
    </row>
    <row r="25" hidden="1">
      <c r="A25" s="254"/>
      <c r="B25" s="254"/>
      <c r="C25" s="254"/>
      <c r="D25" s="255" t="s">
        <v>5864</v>
      </c>
      <c r="E25" s="264" t="s">
        <v>5737</v>
      </c>
      <c r="F25" s="257">
        <v>3.0</v>
      </c>
      <c r="G25" s="253" t="s">
        <v>5738</v>
      </c>
      <c r="H25" s="259" t="s">
        <v>5868</v>
      </c>
      <c r="I25" s="259" t="s">
        <v>5869</v>
      </c>
      <c r="J25" s="261"/>
      <c r="K25" s="261"/>
    </row>
    <row r="26" hidden="1">
      <c r="A26" s="254"/>
      <c r="B26" s="254"/>
      <c r="C26" s="254"/>
      <c r="D26" s="255" t="s">
        <v>5871</v>
      </c>
      <c r="E26" s="264" t="s">
        <v>1022</v>
      </c>
      <c r="F26" s="257">
        <v>3.0</v>
      </c>
      <c r="G26" s="258" t="s">
        <v>2795</v>
      </c>
      <c r="H26" s="259" t="s">
        <v>5874</v>
      </c>
      <c r="I26" s="259" t="s">
        <v>5875</v>
      </c>
      <c r="J26" s="261"/>
      <c r="K26" s="261"/>
    </row>
    <row r="27" hidden="1">
      <c r="A27" s="254"/>
      <c r="B27" s="254"/>
      <c r="C27" s="254"/>
      <c r="D27" s="255" t="s">
        <v>5876</v>
      </c>
      <c r="E27" s="264" t="s">
        <v>1022</v>
      </c>
      <c r="F27" s="257">
        <v>3.0</v>
      </c>
      <c r="G27" s="258" t="s">
        <v>2795</v>
      </c>
      <c r="H27" s="259" t="s">
        <v>5879</v>
      </c>
      <c r="I27" s="259" t="s">
        <v>5875</v>
      </c>
      <c r="J27" s="261"/>
      <c r="K27" s="261"/>
    </row>
    <row r="28" hidden="1">
      <c r="A28" s="254"/>
      <c r="B28" s="261"/>
      <c r="C28" s="261"/>
      <c r="D28" s="255" t="s">
        <v>5881</v>
      </c>
      <c r="E28" s="264" t="s">
        <v>5882</v>
      </c>
      <c r="F28" s="257">
        <v>2.0</v>
      </c>
      <c r="G28" s="258" t="s">
        <v>2700</v>
      </c>
      <c r="H28" s="259" t="s">
        <v>5885</v>
      </c>
      <c r="I28" s="259" t="s">
        <v>5886</v>
      </c>
      <c r="J28" s="255" t="s">
        <v>5887</v>
      </c>
      <c r="K28" s="261"/>
    </row>
    <row r="29" hidden="1">
      <c r="A29" s="254"/>
      <c r="B29" s="261"/>
      <c r="C29" s="261"/>
      <c r="D29" s="255" t="s">
        <v>964</v>
      </c>
      <c r="E29" s="264" t="s">
        <v>5882</v>
      </c>
      <c r="F29" s="257">
        <v>2.0</v>
      </c>
      <c r="G29" s="258" t="s">
        <v>2700</v>
      </c>
      <c r="H29" s="259" t="s">
        <v>5890</v>
      </c>
      <c r="I29" s="259" t="s">
        <v>5891</v>
      </c>
      <c r="J29" s="255" t="s">
        <v>5887</v>
      </c>
      <c r="K29" s="261"/>
    </row>
    <row r="30" hidden="1">
      <c r="A30" s="254"/>
      <c r="B30" s="254"/>
      <c r="C30" s="254"/>
      <c r="D30" s="255" t="s">
        <v>5893</v>
      </c>
      <c r="E30" s="264" t="s">
        <v>5882</v>
      </c>
      <c r="F30" s="257">
        <v>2.0</v>
      </c>
      <c r="G30" s="258" t="s">
        <v>2700</v>
      </c>
      <c r="H30" s="259" t="s">
        <v>5895</v>
      </c>
      <c r="I30" s="259" t="s">
        <v>5896</v>
      </c>
      <c r="J30" s="255" t="s">
        <v>5887</v>
      </c>
      <c r="K30" s="261"/>
    </row>
    <row r="31">
      <c r="A31" s="255"/>
      <c r="B31" s="254"/>
      <c r="C31" s="254"/>
      <c r="D31" s="285" t="s">
        <v>529</v>
      </c>
      <c r="E31" s="281" t="s">
        <v>527</v>
      </c>
      <c r="F31" s="282">
        <v>2.0</v>
      </c>
      <c r="G31" s="258" t="s">
        <v>5809</v>
      </c>
      <c r="H31" s="267" t="s">
        <v>5901</v>
      </c>
      <c r="I31" s="267" t="s">
        <v>5902</v>
      </c>
      <c r="J31" s="285" t="s">
        <v>5903</v>
      </c>
      <c r="K31" s="261"/>
    </row>
    <row r="32">
      <c r="A32" s="255"/>
      <c r="B32" s="254"/>
      <c r="C32" s="254"/>
      <c r="D32" s="255" t="s">
        <v>161</v>
      </c>
      <c r="E32" s="256" t="s">
        <v>5904</v>
      </c>
      <c r="F32" s="257">
        <v>1.0</v>
      </c>
      <c r="G32" s="258" t="s">
        <v>5905</v>
      </c>
      <c r="H32" s="259" t="s">
        <v>5908</v>
      </c>
      <c r="I32" s="259" t="s">
        <v>5909</v>
      </c>
      <c r="J32" s="261"/>
      <c r="K32" s="261"/>
    </row>
    <row r="33" hidden="1">
      <c r="A33" s="255"/>
      <c r="B33" s="254"/>
      <c r="C33" s="254"/>
      <c r="D33" s="255" t="s">
        <v>5910</v>
      </c>
      <c r="E33" s="277" t="s">
        <v>326</v>
      </c>
      <c r="F33" s="257">
        <v>1.0</v>
      </c>
      <c r="G33" s="258" t="s">
        <v>1543</v>
      </c>
      <c r="H33" s="259" t="s">
        <v>5913</v>
      </c>
      <c r="I33" s="259" t="s">
        <v>5914</v>
      </c>
      <c r="J33" s="255" t="s">
        <v>5915</v>
      </c>
      <c r="K33" s="261"/>
    </row>
    <row r="34" hidden="1">
      <c r="A34" s="255"/>
      <c r="B34" s="254"/>
      <c r="C34" s="254"/>
      <c r="D34" s="255" t="s">
        <v>5917</v>
      </c>
      <c r="E34" s="264" t="s">
        <v>1262</v>
      </c>
      <c r="F34" s="257">
        <v>3.0</v>
      </c>
      <c r="G34" s="258" t="s">
        <v>5918</v>
      </c>
      <c r="H34" s="259" t="s">
        <v>5921</v>
      </c>
      <c r="I34" s="259" t="s">
        <v>5922</v>
      </c>
      <c r="J34" s="255" t="s">
        <v>5923</v>
      </c>
      <c r="K34" s="261"/>
    </row>
    <row r="35" hidden="1">
      <c r="A35" s="255"/>
      <c r="B35" s="254"/>
      <c r="C35" s="254"/>
      <c r="D35" s="255" t="s">
        <v>624</v>
      </c>
      <c r="E35" s="286" t="s">
        <v>623</v>
      </c>
      <c r="F35" s="257">
        <v>2.0</v>
      </c>
      <c r="G35" s="253" t="s">
        <v>2827</v>
      </c>
      <c r="H35" s="259" t="s">
        <v>5927</v>
      </c>
      <c r="I35" s="259" t="s">
        <v>5928</v>
      </c>
      <c r="J35" s="255" t="s">
        <v>5929</v>
      </c>
      <c r="K35" s="261"/>
    </row>
    <row r="36">
      <c r="A36" s="255"/>
      <c r="B36" s="254"/>
      <c r="C36" s="254"/>
      <c r="D36" s="254" t="s">
        <v>710</v>
      </c>
      <c r="E36" s="265" t="s">
        <v>709</v>
      </c>
      <c r="F36" s="257">
        <v>2.0</v>
      </c>
      <c r="G36" s="253" t="s">
        <v>2492</v>
      </c>
      <c r="H36" s="287"/>
      <c r="I36" s="287"/>
      <c r="J36" s="261"/>
      <c r="K36" s="261"/>
    </row>
    <row r="37" hidden="1">
      <c r="A37" s="255"/>
      <c r="B37" s="254"/>
      <c r="C37" s="254"/>
      <c r="D37" s="255" t="s">
        <v>497</v>
      </c>
      <c r="E37" s="265" t="s">
        <v>496</v>
      </c>
      <c r="F37" s="257">
        <v>2.0</v>
      </c>
      <c r="G37" s="258" t="s">
        <v>1981</v>
      </c>
      <c r="H37" s="259" t="s">
        <v>5938</v>
      </c>
      <c r="I37" s="259" t="s">
        <v>5939</v>
      </c>
      <c r="J37" s="255" t="s">
        <v>5940</v>
      </c>
      <c r="K37" s="261"/>
    </row>
    <row r="38">
      <c r="A38" s="255"/>
      <c r="B38" s="254"/>
      <c r="C38" s="254"/>
      <c r="D38" s="255" t="s">
        <v>904</v>
      </c>
      <c r="E38" s="265" t="s">
        <v>900</v>
      </c>
      <c r="F38" s="257">
        <v>2.0</v>
      </c>
      <c r="G38" s="258" t="s">
        <v>2672</v>
      </c>
      <c r="H38" s="287"/>
      <c r="I38" s="287"/>
      <c r="J38" s="261"/>
      <c r="K38" s="261"/>
    </row>
    <row r="39">
      <c r="A39" s="255"/>
      <c r="B39" s="254"/>
      <c r="C39" s="254"/>
      <c r="D39" s="254"/>
      <c r="E39" s="265"/>
      <c r="F39" s="257"/>
      <c r="G39" s="253"/>
      <c r="H39" s="287"/>
      <c r="I39" s="287"/>
      <c r="J39" s="261"/>
      <c r="K39" s="261"/>
    </row>
    <row r="40">
      <c r="A40" s="255"/>
      <c r="B40" s="254"/>
      <c r="C40" s="254"/>
      <c r="D40" s="254"/>
      <c r="E40" s="265"/>
      <c r="F40" s="257"/>
      <c r="G40" s="253"/>
      <c r="H40" s="287"/>
      <c r="I40" s="287"/>
      <c r="J40" s="261"/>
      <c r="K40" s="261"/>
    </row>
    <row r="41">
      <c r="A41" s="255"/>
      <c r="B41" s="254"/>
      <c r="C41" s="254"/>
      <c r="D41" s="254"/>
      <c r="E41" s="265"/>
      <c r="F41" s="257"/>
      <c r="G41" s="253"/>
      <c r="H41" s="287"/>
      <c r="I41" s="287"/>
      <c r="J41" s="261"/>
      <c r="K41" s="261"/>
    </row>
    <row r="42">
      <c r="A42" s="255"/>
      <c r="B42" s="254"/>
      <c r="C42" s="254"/>
      <c r="D42" s="254"/>
      <c r="E42" s="265"/>
      <c r="F42" s="257"/>
      <c r="G42" s="253"/>
      <c r="H42" s="287"/>
      <c r="I42" s="287"/>
      <c r="J42" s="261"/>
      <c r="K42" s="261"/>
    </row>
    <row r="43">
      <c r="A43" s="255"/>
      <c r="B43" s="254"/>
      <c r="C43" s="254"/>
      <c r="D43" s="254"/>
      <c r="E43" s="286"/>
      <c r="F43" s="257"/>
      <c r="G43" s="261"/>
      <c r="H43" s="287"/>
      <c r="I43" s="287"/>
      <c r="J43" s="261"/>
      <c r="K43" s="261"/>
    </row>
    <row r="44" ht="33.75" customHeight="1">
      <c r="A44" s="243" t="s">
        <v>5689</v>
      </c>
      <c r="B44" s="243"/>
      <c r="C44" s="288"/>
      <c r="D44" s="289"/>
      <c r="E44" s="290" t="s">
        <v>5954</v>
      </c>
      <c r="F44" s="291"/>
      <c r="G44" s="289"/>
      <c r="H44" s="292"/>
      <c r="I44" s="292"/>
      <c r="J44" s="289"/>
      <c r="K44" s="289"/>
    </row>
    <row r="45">
      <c r="A45" s="246" t="s">
        <v>5695</v>
      </c>
      <c r="B45" s="246" t="s">
        <v>5696</v>
      </c>
      <c r="C45" s="293" t="s">
        <v>5697</v>
      </c>
      <c r="D45" s="246" t="s">
        <v>3147</v>
      </c>
      <c r="E45" s="247" t="s">
        <v>5699</v>
      </c>
      <c r="F45" s="248" t="s">
        <v>5700</v>
      </c>
      <c r="G45" s="246" t="s">
        <v>5702</v>
      </c>
      <c r="H45" s="249" t="s">
        <v>5703</v>
      </c>
      <c r="I45" s="249" t="s">
        <v>5704</v>
      </c>
      <c r="J45" s="250" t="s">
        <v>3071</v>
      </c>
      <c r="K45" s="251"/>
    </row>
    <row r="46" hidden="1">
      <c r="A46" s="252" t="s">
        <v>5959</v>
      </c>
      <c r="B46" s="262" t="s">
        <v>5960</v>
      </c>
      <c r="C46" s="254">
        <v>0.53</v>
      </c>
      <c r="D46" s="276" t="s">
        <v>790</v>
      </c>
      <c r="E46" s="256" t="s">
        <v>797</v>
      </c>
      <c r="F46" s="280" t="s">
        <v>5963</v>
      </c>
      <c r="G46" s="258" t="s">
        <v>793</v>
      </c>
      <c r="H46" s="294" t="s">
        <v>5966</v>
      </c>
      <c r="I46" s="294" t="s">
        <v>5968</v>
      </c>
      <c r="J46" s="295" t="s">
        <v>5969</v>
      </c>
      <c r="K46" s="283"/>
    </row>
    <row r="47" hidden="1">
      <c r="A47" s="252" t="s">
        <v>5959</v>
      </c>
      <c r="B47" s="262" t="s">
        <v>5960</v>
      </c>
      <c r="C47" s="254">
        <v>0.53</v>
      </c>
      <c r="D47" s="255" t="s">
        <v>5972</v>
      </c>
      <c r="E47" s="256" t="s">
        <v>5973</v>
      </c>
      <c r="F47" s="257">
        <v>1.0</v>
      </c>
      <c r="G47" s="258" t="s">
        <v>1571</v>
      </c>
      <c r="H47" s="259" t="s">
        <v>5976</v>
      </c>
      <c r="I47" s="259" t="s">
        <v>5977</v>
      </c>
      <c r="J47" s="260" t="s">
        <v>5978</v>
      </c>
      <c r="K47" s="283"/>
    </row>
    <row r="48">
      <c r="A48" s="252" t="s">
        <v>5959</v>
      </c>
      <c r="B48" s="262" t="s">
        <v>5960</v>
      </c>
      <c r="C48" s="254">
        <v>0.53</v>
      </c>
      <c r="D48" s="255" t="s">
        <v>161</v>
      </c>
      <c r="E48" s="256" t="s">
        <v>5904</v>
      </c>
      <c r="F48" s="257">
        <v>1.0</v>
      </c>
      <c r="G48" s="258" t="s">
        <v>5983</v>
      </c>
      <c r="H48" s="259" t="s">
        <v>5908</v>
      </c>
      <c r="I48" s="259" t="s">
        <v>5909</v>
      </c>
      <c r="J48" s="268"/>
      <c r="K48" s="283"/>
    </row>
    <row r="49" hidden="1">
      <c r="A49" s="252" t="s">
        <v>5987</v>
      </c>
      <c r="B49" s="262" t="s">
        <v>5988</v>
      </c>
      <c r="C49" s="254">
        <v>0.44</v>
      </c>
      <c r="D49" s="296" t="s">
        <v>788</v>
      </c>
      <c r="E49" s="256" t="s">
        <v>797</v>
      </c>
      <c r="F49" s="280" t="s">
        <v>5963</v>
      </c>
      <c r="G49" s="258" t="s">
        <v>793</v>
      </c>
      <c r="H49" s="297" t="s">
        <v>5996</v>
      </c>
      <c r="I49" s="297" t="s">
        <v>5998</v>
      </c>
      <c r="J49" s="298" t="s">
        <v>5999</v>
      </c>
      <c r="K49" s="283"/>
    </row>
    <row r="50" hidden="1">
      <c r="A50" s="252" t="s">
        <v>5987</v>
      </c>
      <c r="B50" s="262" t="s">
        <v>5988</v>
      </c>
      <c r="C50" s="254">
        <v>0.44</v>
      </c>
      <c r="D50" s="255" t="s">
        <v>6005</v>
      </c>
      <c r="E50" s="256" t="s">
        <v>5973</v>
      </c>
      <c r="F50" s="257">
        <v>1.0</v>
      </c>
      <c r="G50" s="258" t="s">
        <v>1571</v>
      </c>
      <c r="H50" s="259" t="s">
        <v>6010</v>
      </c>
      <c r="I50" s="259" t="s">
        <v>6011</v>
      </c>
      <c r="J50" s="255" t="s">
        <v>6012</v>
      </c>
      <c r="K50" s="254"/>
    </row>
    <row r="51" hidden="1">
      <c r="A51" s="252" t="s">
        <v>5987</v>
      </c>
      <c r="B51" s="262" t="s">
        <v>5988</v>
      </c>
      <c r="C51" s="254">
        <v>0.44</v>
      </c>
      <c r="D51" s="255" t="s">
        <v>5910</v>
      </c>
      <c r="E51" s="277" t="s">
        <v>326</v>
      </c>
      <c r="F51" s="257">
        <v>1.0</v>
      </c>
      <c r="G51" s="258" t="s">
        <v>1543</v>
      </c>
      <c r="H51" s="259" t="s">
        <v>6019</v>
      </c>
      <c r="I51" s="259" t="s">
        <v>6020</v>
      </c>
      <c r="J51" s="255" t="s">
        <v>6021</v>
      </c>
      <c r="K51" s="254"/>
    </row>
    <row r="52" hidden="1">
      <c r="A52" s="252" t="s">
        <v>6022</v>
      </c>
      <c r="B52" s="258" t="s">
        <v>1635</v>
      </c>
      <c r="C52" s="255">
        <v>0.58</v>
      </c>
      <c r="D52" s="255" t="s">
        <v>596</v>
      </c>
      <c r="E52" s="264" t="s">
        <v>5774</v>
      </c>
      <c r="F52" s="257">
        <v>2.0</v>
      </c>
      <c r="G52" s="253" t="s">
        <v>2195</v>
      </c>
      <c r="H52" s="259" t="s">
        <v>6028</v>
      </c>
      <c r="I52" s="259" t="s">
        <v>6029</v>
      </c>
      <c r="J52" s="255" t="s">
        <v>6030</v>
      </c>
      <c r="K52" s="254"/>
    </row>
    <row r="53" hidden="1">
      <c r="A53" s="252" t="s">
        <v>6022</v>
      </c>
      <c r="B53" s="258" t="s">
        <v>1635</v>
      </c>
      <c r="C53" s="255">
        <v>0.58</v>
      </c>
      <c r="D53" s="255" t="s">
        <v>5917</v>
      </c>
      <c r="E53" s="264" t="s">
        <v>1262</v>
      </c>
      <c r="F53" s="257">
        <v>3.0</v>
      </c>
      <c r="G53" s="258" t="s">
        <v>5918</v>
      </c>
      <c r="H53" s="259" t="s">
        <v>6036</v>
      </c>
      <c r="I53" s="259" t="s">
        <v>6037</v>
      </c>
      <c r="J53" s="255" t="s">
        <v>6038</v>
      </c>
      <c r="K53" s="254"/>
    </row>
    <row r="54" hidden="1">
      <c r="A54" s="252" t="s">
        <v>6022</v>
      </c>
      <c r="B54" s="258" t="s">
        <v>1635</v>
      </c>
      <c r="C54" s="255">
        <v>0.58</v>
      </c>
      <c r="D54" s="255" t="s">
        <v>497</v>
      </c>
      <c r="E54" s="265" t="s">
        <v>496</v>
      </c>
      <c r="F54" s="257">
        <v>2.0</v>
      </c>
      <c r="G54" s="258" t="s">
        <v>1981</v>
      </c>
      <c r="H54" s="259" t="s">
        <v>6045</v>
      </c>
      <c r="I54" s="259" t="s">
        <v>6046</v>
      </c>
      <c r="J54" s="255" t="s">
        <v>6047</v>
      </c>
      <c r="K54" s="283"/>
    </row>
    <row r="55">
      <c r="A55" s="166" t="s">
        <v>6049</v>
      </c>
      <c r="B55" s="270"/>
      <c r="C55" s="270"/>
      <c r="D55" s="271" t="s">
        <v>1379</v>
      </c>
      <c r="E55" s="272" t="s">
        <v>1378</v>
      </c>
      <c r="F55" s="273">
        <v>3.0</v>
      </c>
      <c r="G55" s="274" t="s">
        <v>2978</v>
      </c>
      <c r="H55" s="267"/>
      <c r="I55" s="267"/>
      <c r="J55" s="268"/>
      <c r="K55" s="270"/>
    </row>
    <row r="56">
      <c r="A56" s="270"/>
      <c r="B56" s="270"/>
      <c r="C56" s="270"/>
      <c r="D56" s="279" t="s">
        <v>528</v>
      </c>
      <c r="E56" s="299" t="s">
        <v>527</v>
      </c>
      <c r="F56" s="300">
        <v>2.0</v>
      </c>
      <c r="G56" s="301" t="s">
        <v>5809</v>
      </c>
      <c r="H56" s="267" t="s">
        <v>5812</v>
      </c>
      <c r="I56" s="267" t="s">
        <v>6057</v>
      </c>
      <c r="J56" s="260" t="s">
        <v>6059</v>
      </c>
      <c r="K56" s="270"/>
    </row>
    <row r="57">
      <c r="A57" s="270"/>
      <c r="B57" s="270"/>
      <c r="C57" s="270"/>
      <c r="D57" s="271" t="s">
        <v>740</v>
      </c>
      <c r="E57" s="272" t="s">
        <v>738</v>
      </c>
      <c r="F57" s="273">
        <v>2.0</v>
      </c>
      <c r="G57" s="274" t="s">
        <v>4743</v>
      </c>
      <c r="H57" s="267"/>
      <c r="I57" s="267"/>
      <c r="J57" s="268"/>
      <c r="K57" s="270"/>
    </row>
    <row r="58">
      <c r="A58" s="166" t="s">
        <v>6049</v>
      </c>
      <c r="B58" s="270"/>
      <c r="C58" s="270"/>
      <c r="D58" s="276" t="s">
        <v>6061</v>
      </c>
      <c r="E58" s="277" t="s">
        <v>6062</v>
      </c>
      <c r="F58" s="273">
        <v>3.0</v>
      </c>
      <c r="G58" s="274" t="s">
        <v>4457</v>
      </c>
      <c r="H58" s="267"/>
      <c r="I58" s="267"/>
      <c r="J58" s="268"/>
      <c r="K58" s="270"/>
    </row>
    <row r="59">
      <c r="A59" s="270"/>
      <c r="B59" s="270"/>
      <c r="C59" s="270"/>
      <c r="D59" s="302" t="s">
        <v>5801</v>
      </c>
      <c r="E59" s="303" t="s">
        <v>190</v>
      </c>
      <c r="F59" s="304">
        <v>1.0</v>
      </c>
      <c r="G59" s="301" t="s">
        <v>956</v>
      </c>
      <c r="H59" s="267" t="s">
        <v>6067</v>
      </c>
      <c r="I59" s="267" t="s">
        <v>6068</v>
      </c>
      <c r="J59" s="268" t="s">
        <v>6069</v>
      </c>
      <c r="K59" s="270"/>
    </row>
    <row r="60">
      <c r="A60" s="254"/>
      <c r="B60" s="254"/>
      <c r="C60" s="254"/>
      <c r="D60" s="285" t="s">
        <v>529</v>
      </c>
      <c r="E60" s="264" t="s">
        <v>527</v>
      </c>
      <c r="F60" s="257">
        <v>2.0</v>
      </c>
      <c r="G60" s="258" t="s">
        <v>5809</v>
      </c>
      <c r="H60" s="267" t="s">
        <v>6072</v>
      </c>
      <c r="I60" s="267" t="s">
        <v>6073</v>
      </c>
      <c r="J60" s="268" t="s">
        <v>6074</v>
      </c>
      <c r="K60" s="261"/>
    </row>
    <row r="61" hidden="1">
      <c r="A61" s="255"/>
      <c r="B61" s="254"/>
      <c r="C61" s="254"/>
      <c r="D61" s="255" t="s">
        <v>1063</v>
      </c>
      <c r="E61" s="264" t="s">
        <v>5837</v>
      </c>
      <c r="F61" s="257">
        <v>3.0</v>
      </c>
      <c r="G61" s="258" t="s">
        <v>2846</v>
      </c>
      <c r="H61" s="259" t="s">
        <v>6078</v>
      </c>
      <c r="I61" s="259" t="s">
        <v>6079</v>
      </c>
      <c r="J61" s="260"/>
      <c r="K61" s="254"/>
    </row>
    <row r="62" hidden="1">
      <c r="A62" s="255"/>
      <c r="B62" s="254"/>
      <c r="C62" s="254"/>
      <c r="D62" s="255" t="s">
        <v>1065</v>
      </c>
      <c r="E62" s="264" t="s">
        <v>5837</v>
      </c>
      <c r="F62" s="257">
        <v>3.0</v>
      </c>
      <c r="G62" s="258" t="s">
        <v>2846</v>
      </c>
      <c r="H62" s="259" t="s">
        <v>6082</v>
      </c>
      <c r="I62" s="259" t="s">
        <v>6083</v>
      </c>
      <c r="J62" s="260"/>
      <c r="K62" s="283"/>
    </row>
    <row r="63" hidden="1">
      <c r="A63" s="255"/>
      <c r="B63" s="254"/>
      <c r="C63" s="254"/>
      <c r="D63" s="255" t="s">
        <v>1064</v>
      </c>
      <c r="E63" s="264" t="s">
        <v>5837</v>
      </c>
      <c r="F63" s="257">
        <v>3.0</v>
      </c>
      <c r="G63" s="258" t="s">
        <v>2846</v>
      </c>
      <c r="H63" s="259" t="s">
        <v>6088</v>
      </c>
      <c r="I63" s="259" t="s">
        <v>6089</v>
      </c>
      <c r="J63" s="260" t="s">
        <v>6091</v>
      </c>
      <c r="K63" s="283"/>
    </row>
    <row r="64" hidden="1">
      <c r="A64" s="255"/>
      <c r="B64" s="254"/>
      <c r="C64" s="254"/>
      <c r="D64" s="255" t="s">
        <v>1662</v>
      </c>
      <c r="E64" s="264" t="s">
        <v>6092</v>
      </c>
      <c r="F64" s="257">
        <v>1.0</v>
      </c>
      <c r="G64" s="258" t="s">
        <v>1665</v>
      </c>
      <c r="H64" s="259" t="s">
        <v>6095</v>
      </c>
      <c r="I64" s="259" t="s">
        <v>6096</v>
      </c>
      <c r="J64" s="260" t="s">
        <v>6097</v>
      </c>
      <c r="K64" s="283"/>
    </row>
    <row r="65" hidden="1">
      <c r="A65" s="255"/>
      <c r="B65" s="254"/>
      <c r="C65" s="254"/>
      <c r="D65" s="255" t="s">
        <v>1663</v>
      </c>
      <c r="E65" s="264" t="s">
        <v>6092</v>
      </c>
      <c r="F65" s="257">
        <v>1.0</v>
      </c>
      <c r="G65" s="258" t="s">
        <v>1665</v>
      </c>
      <c r="H65" s="259" t="s">
        <v>6100</v>
      </c>
      <c r="I65" s="259" t="s">
        <v>6102</v>
      </c>
      <c r="J65" s="255" t="s">
        <v>6103</v>
      </c>
      <c r="K65" s="254"/>
    </row>
    <row r="66" hidden="1">
      <c r="A66" s="255"/>
      <c r="B66" s="254"/>
      <c r="C66" s="254"/>
      <c r="D66" s="255" t="s">
        <v>1664</v>
      </c>
      <c r="E66" s="264" t="s">
        <v>6092</v>
      </c>
      <c r="F66" s="257">
        <v>1.0</v>
      </c>
      <c r="G66" s="258" t="s">
        <v>1665</v>
      </c>
      <c r="H66" s="259" t="s">
        <v>6106</v>
      </c>
      <c r="I66" s="259" t="s">
        <v>6107</v>
      </c>
      <c r="J66" s="255" t="s">
        <v>6108</v>
      </c>
      <c r="K66" s="254"/>
    </row>
    <row r="67" hidden="1">
      <c r="A67" s="255"/>
      <c r="B67" s="254"/>
      <c r="C67" s="254"/>
      <c r="D67" s="255" t="s">
        <v>1748</v>
      </c>
      <c r="E67" s="264" t="s">
        <v>6110</v>
      </c>
      <c r="F67" s="257">
        <v>3.0</v>
      </c>
      <c r="G67" s="253" t="s">
        <v>6111</v>
      </c>
      <c r="H67" s="259" t="s">
        <v>6114</v>
      </c>
      <c r="I67" s="259" t="s">
        <v>6115</v>
      </c>
      <c r="J67" s="255" t="s">
        <v>6116</v>
      </c>
      <c r="K67" s="283"/>
    </row>
    <row r="68" hidden="1">
      <c r="A68" s="255"/>
      <c r="B68" s="254"/>
      <c r="C68" s="254"/>
      <c r="D68" s="255" t="s">
        <v>1747</v>
      </c>
      <c r="E68" s="264" t="s">
        <v>6110</v>
      </c>
      <c r="F68" s="257">
        <v>3.0</v>
      </c>
      <c r="G68" s="253" t="s">
        <v>6111</v>
      </c>
      <c r="H68" s="259" t="s">
        <v>6120</v>
      </c>
      <c r="I68" s="259" t="s">
        <v>6121</v>
      </c>
      <c r="J68" s="255" t="s">
        <v>6122</v>
      </c>
      <c r="K68" s="283"/>
    </row>
    <row r="69" hidden="1">
      <c r="A69" s="255"/>
      <c r="B69" s="254"/>
      <c r="C69" s="254"/>
      <c r="D69" s="255" t="s">
        <v>1749</v>
      </c>
      <c r="E69" s="264" t="s">
        <v>6110</v>
      </c>
      <c r="F69" s="257">
        <v>3.0</v>
      </c>
      <c r="G69" s="253" t="s">
        <v>6111</v>
      </c>
      <c r="H69" s="259" t="s">
        <v>6125</v>
      </c>
      <c r="I69" s="259" t="s">
        <v>6126</v>
      </c>
      <c r="J69" s="260" t="s">
        <v>6127</v>
      </c>
      <c r="K69" s="254"/>
    </row>
    <row r="70" hidden="1">
      <c r="A70" s="255"/>
      <c r="B70" s="254"/>
      <c r="C70" s="254"/>
      <c r="D70" s="255" t="s">
        <v>1746</v>
      </c>
      <c r="E70" s="264" t="s">
        <v>6110</v>
      </c>
      <c r="F70" s="257">
        <v>3.0</v>
      </c>
      <c r="G70" s="253" t="s">
        <v>6111</v>
      </c>
      <c r="H70" s="259" t="s">
        <v>6131</v>
      </c>
      <c r="I70" s="259" t="s">
        <v>6133</v>
      </c>
      <c r="J70" s="255" t="s">
        <v>6134</v>
      </c>
      <c r="K70" s="283"/>
    </row>
    <row r="71" hidden="1">
      <c r="A71" s="255"/>
      <c r="B71" s="254"/>
      <c r="C71" s="254"/>
      <c r="D71" s="296" t="s">
        <v>789</v>
      </c>
      <c r="E71" s="256" t="s">
        <v>797</v>
      </c>
      <c r="F71" s="280" t="s">
        <v>5963</v>
      </c>
      <c r="G71" s="258" t="s">
        <v>793</v>
      </c>
      <c r="H71" s="297" t="s">
        <v>6138</v>
      </c>
      <c r="I71" s="297" t="s">
        <v>6140</v>
      </c>
      <c r="J71" s="305" t="s">
        <v>6141</v>
      </c>
      <c r="K71" s="283"/>
    </row>
    <row r="72" hidden="1">
      <c r="A72" s="255"/>
      <c r="B72" s="254"/>
      <c r="C72" s="254"/>
      <c r="D72" s="276" t="s">
        <v>787</v>
      </c>
      <c r="E72" s="256" t="s">
        <v>797</v>
      </c>
      <c r="F72" s="280" t="s">
        <v>5963</v>
      </c>
      <c r="G72" s="258" t="s">
        <v>793</v>
      </c>
      <c r="H72" s="297" t="s">
        <v>6145</v>
      </c>
      <c r="I72" s="297" t="s">
        <v>6146</v>
      </c>
      <c r="J72" s="276" t="s">
        <v>6147</v>
      </c>
      <c r="K72" s="283"/>
    </row>
    <row r="73" hidden="1">
      <c r="A73" s="255"/>
      <c r="B73" s="254"/>
      <c r="C73" s="254"/>
      <c r="D73" s="255" t="s">
        <v>1091</v>
      </c>
      <c r="E73" s="264" t="s">
        <v>1094</v>
      </c>
      <c r="F73" s="257">
        <v>1.0</v>
      </c>
      <c r="G73" s="258" t="s">
        <v>1092</v>
      </c>
      <c r="H73" s="259" t="s">
        <v>6151</v>
      </c>
      <c r="I73" s="259" t="s">
        <v>6152</v>
      </c>
      <c r="J73" s="255" t="s">
        <v>6153</v>
      </c>
      <c r="K73" s="283"/>
    </row>
    <row r="74" hidden="1">
      <c r="A74" s="255"/>
      <c r="B74" s="254"/>
      <c r="C74" s="254"/>
      <c r="D74" s="255" t="s">
        <v>1090</v>
      </c>
      <c r="E74" s="264" t="s">
        <v>1094</v>
      </c>
      <c r="F74" s="257">
        <v>1.0</v>
      </c>
      <c r="G74" s="258" t="s">
        <v>1092</v>
      </c>
      <c r="H74" s="259" t="s">
        <v>6157</v>
      </c>
      <c r="I74" s="259" t="s">
        <v>6159</v>
      </c>
      <c r="J74" s="260" t="s">
        <v>6160</v>
      </c>
      <c r="K74" s="261"/>
    </row>
    <row r="75" hidden="1">
      <c r="A75" s="255"/>
      <c r="B75" s="254"/>
      <c r="C75" s="254"/>
      <c r="D75" s="255" t="s">
        <v>1089</v>
      </c>
      <c r="E75" s="264" t="s">
        <v>1094</v>
      </c>
      <c r="F75" s="257">
        <v>1.0</v>
      </c>
      <c r="G75" s="258" t="s">
        <v>1092</v>
      </c>
      <c r="H75" s="259" t="s">
        <v>6163</v>
      </c>
      <c r="I75" s="259" t="s">
        <v>6164</v>
      </c>
      <c r="J75" s="260" t="s">
        <v>6165</v>
      </c>
      <c r="K75" s="261"/>
    </row>
    <row r="76" hidden="1">
      <c r="A76" s="255"/>
      <c r="B76" s="254"/>
      <c r="C76" s="254"/>
      <c r="D76" s="255" t="s">
        <v>5847</v>
      </c>
      <c r="E76" s="264" t="s">
        <v>627</v>
      </c>
      <c r="F76" s="257">
        <v>2.0</v>
      </c>
      <c r="G76" s="258" t="s">
        <v>2273</v>
      </c>
      <c r="H76" s="259" t="s">
        <v>6170</v>
      </c>
      <c r="I76" s="259" t="s">
        <v>6171</v>
      </c>
      <c r="J76" s="255" t="s">
        <v>6172</v>
      </c>
      <c r="K76" s="261"/>
    </row>
    <row r="77" hidden="1">
      <c r="A77" s="255"/>
      <c r="B77" s="261"/>
      <c r="C77" s="261"/>
      <c r="D77" s="261" t="s">
        <v>584</v>
      </c>
      <c r="E77" s="284" t="s">
        <v>583</v>
      </c>
      <c r="F77" s="257">
        <v>2.0</v>
      </c>
      <c r="G77" s="258" t="s">
        <v>2150</v>
      </c>
      <c r="H77" s="259" t="s">
        <v>6177</v>
      </c>
      <c r="I77" s="259" t="s">
        <v>6178</v>
      </c>
      <c r="J77" s="260" t="s">
        <v>6179</v>
      </c>
      <c r="K77" s="283"/>
    </row>
    <row r="78" hidden="1">
      <c r="A78" s="255"/>
      <c r="B78" s="261"/>
      <c r="C78" s="261"/>
      <c r="D78" s="261" t="s">
        <v>688</v>
      </c>
      <c r="E78" s="264" t="s">
        <v>686</v>
      </c>
      <c r="F78" s="257">
        <v>2.0</v>
      </c>
      <c r="G78" s="258" t="s">
        <v>5748</v>
      </c>
      <c r="H78" s="259" t="s">
        <v>6183</v>
      </c>
      <c r="I78" s="259" t="s">
        <v>6184</v>
      </c>
      <c r="J78" s="283"/>
      <c r="K78" s="283"/>
    </row>
    <row r="79" hidden="1">
      <c r="A79" s="255"/>
      <c r="B79" s="261"/>
      <c r="C79" s="261"/>
      <c r="D79" s="261" t="s">
        <v>5858</v>
      </c>
      <c r="E79" s="264" t="s">
        <v>686</v>
      </c>
      <c r="F79" s="257">
        <v>2.0</v>
      </c>
      <c r="G79" s="258" t="s">
        <v>5748</v>
      </c>
      <c r="H79" s="259" t="s">
        <v>6188</v>
      </c>
      <c r="I79" s="259" t="s">
        <v>6189</v>
      </c>
      <c r="J79" s="260" t="s">
        <v>6190</v>
      </c>
      <c r="K79" s="257"/>
    </row>
    <row r="80" hidden="1">
      <c r="A80" s="255"/>
      <c r="B80" s="261"/>
      <c r="C80" s="261"/>
      <c r="D80" s="261" t="s">
        <v>687</v>
      </c>
      <c r="E80" s="264" t="s">
        <v>686</v>
      </c>
      <c r="F80" s="257">
        <v>2.0</v>
      </c>
      <c r="G80" s="258" t="s">
        <v>5748</v>
      </c>
      <c r="H80" s="259" t="s">
        <v>6195</v>
      </c>
      <c r="I80" s="259" t="s">
        <v>6196</v>
      </c>
      <c r="J80" s="260" t="s">
        <v>6197</v>
      </c>
      <c r="K80" s="257"/>
    </row>
    <row r="81" hidden="1">
      <c r="A81" s="255"/>
      <c r="B81" s="254"/>
      <c r="C81" s="254"/>
      <c r="D81" s="255" t="s">
        <v>5756</v>
      </c>
      <c r="E81" s="264" t="s">
        <v>5737</v>
      </c>
      <c r="F81" s="257">
        <v>3.0</v>
      </c>
      <c r="G81" s="253" t="s">
        <v>5738</v>
      </c>
      <c r="H81" s="259" t="s">
        <v>6201</v>
      </c>
      <c r="I81" s="259" t="s">
        <v>6202</v>
      </c>
      <c r="J81" s="261"/>
      <c r="K81" s="257"/>
    </row>
    <row r="82" hidden="1">
      <c r="A82" s="255"/>
      <c r="B82" s="254"/>
      <c r="C82" s="254"/>
      <c r="D82" s="255" t="s">
        <v>5864</v>
      </c>
      <c r="E82" s="264" t="s">
        <v>5737</v>
      </c>
      <c r="F82" s="257">
        <v>3.0</v>
      </c>
      <c r="G82" s="253" t="s">
        <v>5738</v>
      </c>
      <c r="H82" s="259" t="s">
        <v>6207</v>
      </c>
      <c r="I82" s="259" t="s">
        <v>6208</v>
      </c>
      <c r="J82" s="261"/>
      <c r="K82" s="257"/>
    </row>
    <row r="83" hidden="1">
      <c r="A83" s="255"/>
      <c r="B83" s="254"/>
      <c r="C83" s="254"/>
      <c r="D83" s="255" t="s">
        <v>5736</v>
      </c>
      <c r="E83" s="264" t="s">
        <v>5737</v>
      </c>
      <c r="F83" s="257">
        <v>3.0</v>
      </c>
      <c r="G83" s="253" t="s">
        <v>5738</v>
      </c>
      <c r="H83" s="259" t="s">
        <v>6213</v>
      </c>
      <c r="I83" s="259" t="s">
        <v>6214</v>
      </c>
      <c r="J83" s="261"/>
      <c r="K83" s="261"/>
    </row>
    <row r="84" hidden="1">
      <c r="A84" s="255"/>
      <c r="B84" s="254"/>
      <c r="C84" s="254"/>
      <c r="D84" s="255" t="s">
        <v>5871</v>
      </c>
      <c r="E84" s="264" t="s">
        <v>1022</v>
      </c>
      <c r="F84" s="257">
        <v>3.0</v>
      </c>
      <c r="G84" s="258" t="s">
        <v>2795</v>
      </c>
      <c r="H84" s="259" t="s">
        <v>6217</v>
      </c>
      <c r="I84" s="259" t="s">
        <v>5875</v>
      </c>
      <c r="J84" s="260"/>
      <c r="K84" s="302"/>
    </row>
    <row r="85" hidden="1">
      <c r="A85" s="255"/>
      <c r="B85" s="254"/>
      <c r="C85" s="254"/>
      <c r="D85" s="255" t="s">
        <v>794</v>
      </c>
      <c r="E85" s="286" t="s">
        <v>792</v>
      </c>
      <c r="F85" s="304">
        <v>2.0</v>
      </c>
      <c r="G85" s="301" t="s">
        <v>1598</v>
      </c>
      <c r="H85" s="297" t="s">
        <v>6221</v>
      </c>
      <c r="I85" s="297" t="s">
        <v>6222</v>
      </c>
      <c r="J85" s="276" t="s">
        <v>6223</v>
      </c>
      <c r="K85" s="261"/>
    </row>
    <row r="86" hidden="1">
      <c r="A86" s="255"/>
      <c r="B86" s="254"/>
      <c r="C86" s="254"/>
      <c r="D86" s="255" t="s">
        <v>1045</v>
      </c>
      <c r="E86" s="266" t="s">
        <v>1044</v>
      </c>
      <c r="F86" s="257">
        <v>3.0</v>
      </c>
      <c r="G86" s="253" t="s">
        <v>5792</v>
      </c>
      <c r="H86" s="259" t="s">
        <v>6227</v>
      </c>
      <c r="I86" s="259" t="s">
        <v>6228</v>
      </c>
      <c r="J86" s="255" t="s">
        <v>6229</v>
      </c>
      <c r="K86" s="261"/>
    </row>
    <row r="87" hidden="1">
      <c r="A87" s="255"/>
      <c r="B87" s="254"/>
      <c r="C87" s="254"/>
      <c r="D87" s="255" t="s">
        <v>624</v>
      </c>
      <c r="E87" s="286" t="s">
        <v>623</v>
      </c>
      <c r="F87" s="257">
        <v>2.0</v>
      </c>
      <c r="G87" s="253" t="s">
        <v>2827</v>
      </c>
      <c r="H87" s="259" t="s">
        <v>6234</v>
      </c>
      <c r="I87" s="259" t="s">
        <v>6235</v>
      </c>
      <c r="J87" s="255" t="s">
        <v>6236</v>
      </c>
      <c r="K87" s="261"/>
    </row>
    <row r="88">
      <c r="A88" s="255"/>
      <c r="B88" s="254"/>
      <c r="C88" s="254"/>
      <c r="D88" s="254" t="s">
        <v>710</v>
      </c>
      <c r="E88" s="265" t="s">
        <v>709</v>
      </c>
      <c r="F88" s="257">
        <v>2.0</v>
      </c>
      <c r="G88" s="253" t="s">
        <v>2492</v>
      </c>
      <c r="H88" s="267"/>
      <c r="I88" s="267"/>
      <c r="J88" s="268"/>
      <c r="K88" s="261"/>
    </row>
    <row r="89">
      <c r="A89" s="255"/>
      <c r="B89" s="254"/>
      <c r="C89" s="254"/>
      <c r="D89" s="255" t="s">
        <v>904</v>
      </c>
      <c r="E89" s="265" t="s">
        <v>900</v>
      </c>
      <c r="F89" s="257">
        <v>2.0</v>
      </c>
      <c r="G89" s="258" t="s">
        <v>2672</v>
      </c>
      <c r="H89" s="267"/>
      <c r="I89" s="267"/>
      <c r="J89" s="268"/>
      <c r="K89" s="261"/>
    </row>
    <row r="90">
      <c r="A90" s="255"/>
      <c r="B90" s="254"/>
      <c r="C90" s="254"/>
      <c r="D90" s="254"/>
      <c r="E90" s="265"/>
      <c r="F90" s="257"/>
      <c r="G90" s="253"/>
      <c r="H90" s="267"/>
      <c r="I90" s="267"/>
      <c r="J90" s="268"/>
      <c r="K90" s="261"/>
    </row>
    <row r="91">
      <c r="A91" s="255"/>
      <c r="B91" s="254"/>
      <c r="C91" s="254"/>
      <c r="D91" s="254"/>
      <c r="E91" s="265"/>
      <c r="F91" s="257"/>
      <c r="G91" s="253"/>
      <c r="H91" s="267"/>
      <c r="I91" s="267"/>
      <c r="J91" s="268"/>
      <c r="K91" s="261"/>
    </row>
    <row r="92">
      <c r="A92" s="255"/>
      <c r="B92" s="254"/>
      <c r="C92" s="254"/>
      <c r="D92" s="254"/>
      <c r="E92" s="265"/>
      <c r="F92" s="257"/>
      <c r="G92" s="253"/>
      <c r="H92" s="287"/>
      <c r="I92" s="287"/>
      <c r="J92" s="268"/>
      <c r="K92" s="261"/>
    </row>
    <row r="93">
      <c r="A93" s="255"/>
      <c r="B93" s="254"/>
      <c r="C93" s="254"/>
      <c r="D93" s="255"/>
      <c r="E93" s="266"/>
      <c r="F93" s="257"/>
      <c r="G93" s="253"/>
      <c r="H93" s="287"/>
      <c r="I93" s="287"/>
      <c r="J93" s="261"/>
      <c r="K93" s="261"/>
    </row>
    <row r="94" ht="33.75" customHeight="1">
      <c r="A94" s="243" t="s">
        <v>5689</v>
      </c>
      <c r="B94" s="243"/>
      <c r="C94" s="288"/>
      <c r="D94" s="243"/>
      <c r="E94" s="244" t="s">
        <v>6246</v>
      </c>
      <c r="F94" s="242"/>
      <c r="G94" s="242"/>
      <c r="H94" s="245"/>
      <c r="I94" s="245"/>
      <c r="J94" s="242"/>
      <c r="K94" s="306"/>
    </row>
    <row r="95">
      <c r="A95" s="246" t="s">
        <v>5695</v>
      </c>
      <c r="B95" s="246" t="s">
        <v>6249</v>
      </c>
      <c r="C95" s="293" t="s">
        <v>5697</v>
      </c>
      <c r="D95" s="246" t="s">
        <v>3147</v>
      </c>
      <c r="E95" s="247" t="s">
        <v>5699</v>
      </c>
      <c r="F95" s="248" t="s">
        <v>5700</v>
      </c>
      <c r="G95" s="246" t="s">
        <v>5702</v>
      </c>
      <c r="H95" s="249" t="s">
        <v>5703</v>
      </c>
      <c r="I95" s="249" t="s">
        <v>5704</v>
      </c>
      <c r="J95" s="250" t="s">
        <v>3071</v>
      </c>
      <c r="K95" s="251"/>
    </row>
    <row r="96" hidden="1">
      <c r="A96" s="252" t="s">
        <v>6252</v>
      </c>
      <c r="B96" s="253" t="s">
        <v>4111</v>
      </c>
      <c r="C96" s="255">
        <v>0.49</v>
      </c>
      <c r="D96" s="255" t="s">
        <v>5917</v>
      </c>
      <c r="E96" s="264" t="s">
        <v>1262</v>
      </c>
      <c r="F96" s="257">
        <v>3.0</v>
      </c>
      <c r="G96" s="258" t="s">
        <v>5918</v>
      </c>
      <c r="H96" s="259" t="s">
        <v>6260</v>
      </c>
      <c r="I96" s="259" t="s">
        <v>6261</v>
      </c>
      <c r="J96" s="255" t="s">
        <v>6262</v>
      </c>
      <c r="K96" s="261"/>
    </row>
    <row r="97" hidden="1">
      <c r="A97" s="252" t="s">
        <v>6252</v>
      </c>
      <c r="B97" s="80" t="s">
        <v>4111</v>
      </c>
      <c r="C97" s="255">
        <v>0.49</v>
      </c>
      <c r="D97" s="255" t="s">
        <v>794</v>
      </c>
      <c r="E97" s="307" t="s">
        <v>792</v>
      </c>
      <c r="F97" s="308">
        <v>2.0</v>
      </c>
      <c r="G97" s="309" t="s">
        <v>1598</v>
      </c>
      <c r="H97" s="297" t="s">
        <v>6269</v>
      </c>
      <c r="I97" s="297" t="s">
        <v>6270</v>
      </c>
      <c r="J97" s="276" t="s">
        <v>6272</v>
      </c>
      <c r="K97" s="296"/>
    </row>
    <row r="98" hidden="1">
      <c r="A98" s="252" t="s">
        <v>6252</v>
      </c>
      <c r="B98" s="258" t="s">
        <v>4111</v>
      </c>
      <c r="C98" s="255">
        <v>0.49</v>
      </c>
      <c r="D98" s="254" t="s">
        <v>710</v>
      </c>
      <c r="E98" s="265" t="s">
        <v>709</v>
      </c>
      <c r="F98" s="257">
        <v>2.0</v>
      </c>
      <c r="G98" s="253" t="s">
        <v>2492</v>
      </c>
      <c r="H98" s="259" t="s">
        <v>6279</v>
      </c>
      <c r="I98" s="259" t="s">
        <v>6280</v>
      </c>
      <c r="J98" s="255" t="s">
        <v>6281</v>
      </c>
      <c r="K98" s="261"/>
    </row>
    <row r="99" hidden="1">
      <c r="A99" s="252" t="s">
        <v>6283</v>
      </c>
      <c r="B99" s="258" t="s">
        <v>4119</v>
      </c>
      <c r="C99" s="310">
        <v>0.05694444444444444</v>
      </c>
      <c r="D99" s="254" t="s">
        <v>6288</v>
      </c>
      <c r="E99" s="266" t="s">
        <v>6289</v>
      </c>
      <c r="F99" s="257">
        <v>2.0</v>
      </c>
      <c r="G99" s="253" t="s">
        <v>1787</v>
      </c>
      <c r="H99" s="259" t="s">
        <v>6293</v>
      </c>
      <c r="I99" s="259" t="s">
        <v>6294</v>
      </c>
      <c r="J99" s="255" t="s">
        <v>6295</v>
      </c>
      <c r="K99" s="261"/>
    </row>
    <row r="100" hidden="1">
      <c r="A100" s="252" t="s">
        <v>6283</v>
      </c>
      <c r="B100" s="258" t="s">
        <v>4119</v>
      </c>
      <c r="C100" s="310">
        <v>0.05694444444444444</v>
      </c>
      <c r="D100" s="255" t="s">
        <v>6299</v>
      </c>
      <c r="E100" s="266" t="s">
        <v>6300</v>
      </c>
      <c r="F100" s="257">
        <v>1.0</v>
      </c>
      <c r="G100" s="253" t="s">
        <v>6302</v>
      </c>
      <c r="H100" s="259" t="s">
        <v>6306</v>
      </c>
      <c r="I100" s="259" t="s">
        <v>6308</v>
      </c>
      <c r="J100" s="255" t="s">
        <v>6309</v>
      </c>
      <c r="K100" s="261"/>
    </row>
    <row r="101" hidden="1">
      <c r="A101" s="252" t="s">
        <v>6283</v>
      </c>
      <c r="B101" s="258" t="s">
        <v>4119</v>
      </c>
      <c r="C101" s="310">
        <v>0.05694444444444444</v>
      </c>
      <c r="D101" s="254" t="s">
        <v>6313</v>
      </c>
      <c r="E101" s="266" t="s">
        <v>6314</v>
      </c>
      <c r="F101" s="257">
        <v>1.0</v>
      </c>
      <c r="G101" s="253" t="s">
        <v>6315</v>
      </c>
      <c r="H101" s="259" t="s">
        <v>6318</v>
      </c>
      <c r="I101" s="259" t="s">
        <v>6319</v>
      </c>
      <c r="J101" s="311" t="s">
        <v>6320</v>
      </c>
      <c r="K101" s="261"/>
    </row>
    <row r="102" hidden="1">
      <c r="A102" s="252" t="s">
        <v>6322</v>
      </c>
      <c r="B102" s="262" t="s">
        <v>6323</v>
      </c>
      <c r="C102" s="255">
        <v>1.02</v>
      </c>
      <c r="D102" s="255" t="s">
        <v>1063</v>
      </c>
      <c r="E102" s="264" t="s">
        <v>5837</v>
      </c>
      <c r="F102" s="257">
        <v>3.0</v>
      </c>
      <c r="G102" s="258" t="s">
        <v>2846</v>
      </c>
      <c r="H102" s="259" t="s">
        <v>6330</v>
      </c>
      <c r="I102" s="259" t="s">
        <v>6332</v>
      </c>
      <c r="J102" s="260" t="s">
        <v>6333</v>
      </c>
      <c r="K102" s="283"/>
    </row>
    <row r="103" hidden="1">
      <c r="A103" s="252" t="s">
        <v>6322</v>
      </c>
      <c r="B103" s="262" t="s">
        <v>6323</v>
      </c>
      <c r="C103" s="255">
        <v>1.02</v>
      </c>
      <c r="D103" s="255" t="s">
        <v>1090</v>
      </c>
      <c r="E103" s="264" t="s">
        <v>1094</v>
      </c>
      <c r="F103" s="257">
        <v>1.0</v>
      </c>
      <c r="G103" s="258" t="s">
        <v>1092</v>
      </c>
      <c r="H103" s="259" t="s">
        <v>6340</v>
      </c>
      <c r="I103" s="259" t="s">
        <v>6341</v>
      </c>
      <c r="J103" s="260" t="s">
        <v>6342</v>
      </c>
      <c r="K103" s="283"/>
    </row>
    <row r="104" hidden="1">
      <c r="A104" s="252" t="s">
        <v>6322</v>
      </c>
      <c r="B104" s="262" t="s">
        <v>6323</v>
      </c>
      <c r="C104" s="255">
        <v>1.02</v>
      </c>
      <c r="D104" s="255" t="s">
        <v>5717</v>
      </c>
      <c r="E104" s="264" t="s">
        <v>907</v>
      </c>
      <c r="F104" s="257">
        <v>2.0</v>
      </c>
      <c r="G104" s="258" t="s">
        <v>5719</v>
      </c>
      <c r="H104" s="259" t="s">
        <v>6347</v>
      </c>
      <c r="I104" s="259" t="s">
        <v>6349</v>
      </c>
      <c r="J104" s="255" t="s">
        <v>6350</v>
      </c>
      <c r="K104" s="254"/>
    </row>
    <row r="105" hidden="1">
      <c r="A105" s="252" t="s">
        <v>6351</v>
      </c>
      <c r="B105" s="258" t="s">
        <v>6352</v>
      </c>
      <c r="C105" s="255">
        <v>1.21</v>
      </c>
      <c r="D105" s="261" t="s">
        <v>687</v>
      </c>
      <c r="E105" s="264" t="s">
        <v>686</v>
      </c>
      <c r="F105" s="257">
        <v>2.0</v>
      </c>
      <c r="G105" s="258" t="s">
        <v>5748</v>
      </c>
      <c r="H105" s="259" t="s">
        <v>6359</v>
      </c>
      <c r="I105" s="259" t="s">
        <v>6360</v>
      </c>
      <c r="J105" s="255" t="s">
        <v>6361</v>
      </c>
      <c r="K105" s="254"/>
    </row>
    <row r="106" hidden="1">
      <c r="A106" s="252" t="s">
        <v>6351</v>
      </c>
      <c r="B106" s="258" t="s">
        <v>6352</v>
      </c>
      <c r="C106" s="255">
        <v>1.21</v>
      </c>
      <c r="D106" s="255" t="s">
        <v>5736</v>
      </c>
      <c r="E106" s="264" t="s">
        <v>5737</v>
      </c>
      <c r="F106" s="257">
        <v>3.0</v>
      </c>
      <c r="G106" s="253" t="s">
        <v>5738</v>
      </c>
      <c r="H106" s="259" t="s">
        <v>6367</v>
      </c>
      <c r="I106" s="259" t="s">
        <v>6368</v>
      </c>
      <c r="J106" s="261"/>
      <c r="K106" s="261"/>
    </row>
    <row r="107" hidden="1">
      <c r="A107" s="252" t="s">
        <v>6351</v>
      </c>
      <c r="B107" s="258" t="s">
        <v>6352</v>
      </c>
      <c r="C107" s="255">
        <v>1.21</v>
      </c>
      <c r="D107" s="255" t="s">
        <v>6372</v>
      </c>
      <c r="E107" s="264" t="s">
        <v>1268</v>
      </c>
      <c r="F107" s="257" t="s">
        <v>5963</v>
      </c>
      <c r="G107" s="258" t="s">
        <v>1265</v>
      </c>
      <c r="H107" s="259" t="s">
        <v>6376</v>
      </c>
      <c r="I107" s="259" t="s">
        <v>6377</v>
      </c>
      <c r="J107" s="261"/>
      <c r="K107" s="261"/>
    </row>
    <row r="108" hidden="1">
      <c r="A108" s="252" t="s">
        <v>6378</v>
      </c>
      <c r="B108" s="258" t="s">
        <v>4105</v>
      </c>
      <c r="C108" s="255">
        <v>0.51</v>
      </c>
      <c r="D108" s="255" t="s">
        <v>5910</v>
      </c>
      <c r="E108" s="277" t="s">
        <v>326</v>
      </c>
      <c r="F108" s="257">
        <v>1.0</v>
      </c>
      <c r="G108" s="258" t="s">
        <v>1543</v>
      </c>
      <c r="H108" s="259" t="s">
        <v>6385</v>
      </c>
      <c r="I108" s="259" t="s">
        <v>6386</v>
      </c>
      <c r="J108" s="255" t="s">
        <v>6387</v>
      </c>
      <c r="K108" s="261"/>
    </row>
    <row r="109" hidden="1">
      <c r="A109" s="252" t="s">
        <v>6378</v>
      </c>
      <c r="B109" s="258" t="s">
        <v>4105</v>
      </c>
      <c r="C109" s="255">
        <v>0.51</v>
      </c>
      <c r="D109" s="255" t="s">
        <v>596</v>
      </c>
      <c r="E109" s="264" t="s">
        <v>5774</v>
      </c>
      <c r="F109" s="257">
        <v>2.0</v>
      </c>
      <c r="G109" s="253" t="s">
        <v>2195</v>
      </c>
      <c r="H109" s="259" t="s">
        <v>6397</v>
      </c>
      <c r="I109" s="259" t="s">
        <v>6398</v>
      </c>
      <c r="J109" s="255" t="s">
        <v>6399</v>
      </c>
      <c r="K109" s="261"/>
    </row>
    <row r="110" hidden="1">
      <c r="A110" s="252" t="s">
        <v>6378</v>
      </c>
      <c r="B110" s="258" t="s">
        <v>4105</v>
      </c>
      <c r="C110" s="255">
        <v>0.51</v>
      </c>
      <c r="D110" s="255" t="s">
        <v>624</v>
      </c>
      <c r="E110" s="286" t="s">
        <v>623</v>
      </c>
      <c r="F110" s="257">
        <v>2.0</v>
      </c>
      <c r="G110" s="253" t="s">
        <v>2827</v>
      </c>
      <c r="H110" s="294" t="s">
        <v>6403</v>
      </c>
      <c r="I110" s="294" t="s">
        <v>6404</v>
      </c>
      <c r="J110" s="296" t="s">
        <v>6405</v>
      </c>
      <c r="K110" s="261"/>
    </row>
    <row r="111" hidden="1">
      <c r="A111" s="255" t="s">
        <v>6406</v>
      </c>
      <c r="B111" s="253" t="s">
        <v>4148</v>
      </c>
      <c r="C111" s="255">
        <v>1.3</v>
      </c>
      <c r="D111" s="255" t="s">
        <v>1054</v>
      </c>
      <c r="E111" s="264" t="s">
        <v>1053</v>
      </c>
      <c r="F111" s="257">
        <v>3.0</v>
      </c>
      <c r="G111" s="258" t="s">
        <v>6410</v>
      </c>
      <c r="H111" s="259" t="s">
        <v>6412</v>
      </c>
      <c r="I111" s="259" t="s">
        <v>6413</v>
      </c>
      <c r="J111" s="260" t="s">
        <v>6414</v>
      </c>
      <c r="K111" s="283"/>
    </row>
    <row r="112" hidden="1">
      <c r="A112" s="255" t="s">
        <v>6406</v>
      </c>
      <c r="B112" s="253" t="s">
        <v>4148</v>
      </c>
      <c r="C112" s="255">
        <v>1.3</v>
      </c>
      <c r="D112" s="255" t="s">
        <v>1089</v>
      </c>
      <c r="E112" s="264" t="s">
        <v>1094</v>
      </c>
      <c r="F112" s="257">
        <v>1.0</v>
      </c>
      <c r="G112" s="258" t="s">
        <v>1092</v>
      </c>
      <c r="H112" s="259" t="s">
        <v>6418</v>
      </c>
      <c r="I112" s="259" t="s">
        <v>6420</v>
      </c>
      <c r="J112" s="260" t="s">
        <v>6421</v>
      </c>
      <c r="K112" s="283"/>
    </row>
    <row r="113">
      <c r="A113" s="270"/>
      <c r="B113" s="270"/>
      <c r="C113" s="270"/>
      <c r="D113" s="302" t="s">
        <v>5801</v>
      </c>
      <c r="E113" s="303" t="s">
        <v>190</v>
      </c>
      <c r="F113" s="304">
        <v>1.0</v>
      </c>
      <c r="G113" s="301" t="s">
        <v>956</v>
      </c>
      <c r="H113" s="275"/>
      <c r="I113" s="275"/>
      <c r="J113" s="275"/>
      <c r="K113" s="275"/>
    </row>
    <row r="114">
      <c r="A114" s="255"/>
      <c r="B114" s="254"/>
      <c r="C114" s="254"/>
      <c r="D114" s="255" t="s">
        <v>5828</v>
      </c>
      <c r="E114" s="264"/>
      <c r="F114" s="257"/>
      <c r="G114" s="255"/>
      <c r="H114" s="259"/>
      <c r="I114" s="259"/>
      <c r="J114" s="260"/>
      <c r="K114" s="283"/>
    </row>
    <row r="115">
      <c r="A115" s="255"/>
      <c r="B115" s="254"/>
      <c r="C115" s="254"/>
      <c r="D115" s="255" t="s">
        <v>6425</v>
      </c>
      <c r="E115" s="264"/>
      <c r="F115" s="257"/>
      <c r="G115" s="255"/>
      <c r="H115" s="259"/>
      <c r="I115" s="259"/>
      <c r="J115" s="260"/>
      <c r="K115" s="283"/>
    </row>
    <row r="116">
      <c r="A116" s="255"/>
      <c r="B116" s="254"/>
      <c r="C116" s="254"/>
      <c r="D116" s="285" t="s">
        <v>6427</v>
      </c>
      <c r="E116" s="264"/>
      <c r="F116" s="257"/>
      <c r="G116" s="255"/>
      <c r="H116" s="259"/>
      <c r="I116" s="259"/>
      <c r="J116" s="260"/>
      <c r="K116" s="283"/>
    </row>
    <row r="117">
      <c r="A117" s="255"/>
      <c r="B117" s="254"/>
      <c r="C117" s="254"/>
      <c r="D117" s="255" t="s">
        <v>830</v>
      </c>
      <c r="E117" s="264" t="s">
        <v>828</v>
      </c>
      <c r="F117" s="257">
        <v>2.0</v>
      </c>
      <c r="G117" s="258" t="s">
        <v>2481</v>
      </c>
      <c r="H117" s="259"/>
      <c r="I117" s="259"/>
      <c r="J117" s="260"/>
      <c r="K117" s="283"/>
    </row>
    <row r="118" hidden="1">
      <c r="A118" s="255"/>
      <c r="B118" s="254"/>
      <c r="C118" s="254"/>
      <c r="D118" s="255" t="s">
        <v>1065</v>
      </c>
      <c r="E118" s="264" t="s">
        <v>5837</v>
      </c>
      <c r="F118" s="257">
        <v>3.0</v>
      </c>
      <c r="G118" s="258" t="s">
        <v>2846</v>
      </c>
      <c r="H118" s="259" t="s">
        <v>6431</v>
      </c>
      <c r="I118" s="259" t="s">
        <v>6432</v>
      </c>
      <c r="J118" s="260"/>
      <c r="K118" s="283"/>
    </row>
    <row r="119" hidden="1">
      <c r="A119" s="255"/>
      <c r="B119" s="254"/>
      <c r="C119" s="254"/>
      <c r="D119" s="255" t="s">
        <v>1064</v>
      </c>
      <c r="E119" s="264" t="s">
        <v>5837</v>
      </c>
      <c r="F119" s="257">
        <v>3.0</v>
      </c>
      <c r="G119" s="258" t="s">
        <v>2846</v>
      </c>
      <c r="H119" s="259" t="s">
        <v>6435</v>
      </c>
      <c r="I119" s="259" t="s">
        <v>6436</v>
      </c>
      <c r="J119" s="260" t="s">
        <v>6437</v>
      </c>
      <c r="K119" s="283"/>
    </row>
    <row r="120" hidden="1">
      <c r="A120" s="255"/>
      <c r="B120" s="254"/>
      <c r="C120" s="254"/>
      <c r="D120" s="255" t="s">
        <v>1662</v>
      </c>
      <c r="E120" s="264" t="s">
        <v>6092</v>
      </c>
      <c r="F120" s="257">
        <v>1.0</v>
      </c>
      <c r="G120" s="258" t="s">
        <v>1665</v>
      </c>
      <c r="H120" s="259" t="s">
        <v>6308</v>
      </c>
      <c r="I120" s="259" t="s">
        <v>6439</v>
      </c>
      <c r="J120" s="312"/>
      <c r="K120" s="283"/>
    </row>
    <row r="121" hidden="1">
      <c r="A121" s="255"/>
      <c r="B121" s="254"/>
      <c r="C121" s="254"/>
      <c r="D121" s="255" t="s">
        <v>1663</v>
      </c>
      <c r="E121" s="264" t="s">
        <v>6092</v>
      </c>
      <c r="F121" s="257">
        <v>1.0</v>
      </c>
      <c r="G121" s="258" t="s">
        <v>1665</v>
      </c>
      <c r="H121" s="259" t="s">
        <v>6443</v>
      </c>
      <c r="I121" s="259" t="s">
        <v>6444</v>
      </c>
      <c r="J121" s="260" t="s">
        <v>6445</v>
      </c>
      <c r="K121" s="283"/>
    </row>
    <row r="122" hidden="1">
      <c r="A122" s="255"/>
      <c r="B122" s="254"/>
      <c r="C122" s="254"/>
      <c r="D122" s="255" t="s">
        <v>1664</v>
      </c>
      <c r="E122" s="264" t="s">
        <v>6092</v>
      </c>
      <c r="F122" s="257">
        <v>1.0</v>
      </c>
      <c r="G122" s="258" t="s">
        <v>1665</v>
      </c>
      <c r="H122" s="259" t="s">
        <v>6446</v>
      </c>
      <c r="I122" s="259" t="s">
        <v>6447</v>
      </c>
      <c r="J122" s="260" t="s">
        <v>6448</v>
      </c>
      <c r="K122" s="283"/>
    </row>
    <row r="123" hidden="1">
      <c r="A123" s="255"/>
      <c r="B123" s="254"/>
      <c r="C123" s="254"/>
      <c r="D123" s="255" t="s">
        <v>6450</v>
      </c>
      <c r="E123" s="264" t="s">
        <v>6451</v>
      </c>
      <c r="F123" s="257">
        <v>3.0</v>
      </c>
      <c r="G123" s="253" t="s">
        <v>6111</v>
      </c>
      <c r="H123" s="259" t="s">
        <v>6453</v>
      </c>
      <c r="I123" s="259" t="s">
        <v>6454</v>
      </c>
      <c r="J123" s="283"/>
      <c r="K123" s="283"/>
    </row>
    <row r="124" hidden="1">
      <c r="A124" s="255"/>
      <c r="B124" s="254"/>
      <c r="C124" s="254"/>
      <c r="D124" s="255" t="s">
        <v>1748</v>
      </c>
      <c r="E124" s="264" t="s">
        <v>6110</v>
      </c>
      <c r="F124" s="257">
        <v>3.0</v>
      </c>
      <c r="G124" s="253" t="s">
        <v>6111</v>
      </c>
      <c r="H124" s="259" t="s">
        <v>6457</v>
      </c>
      <c r="I124" s="259" t="s">
        <v>6458</v>
      </c>
      <c r="J124" s="260" t="s">
        <v>6459</v>
      </c>
      <c r="K124" s="283"/>
    </row>
    <row r="125" hidden="1">
      <c r="A125" s="255"/>
      <c r="B125" s="254"/>
      <c r="C125" s="254"/>
      <c r="D125" s="255" t="s">
        <v>1747</v>
      </c>
      <c r="E125" s="264" t="s">
        <v>6110</v>
      </c>
      <c r="F125" s="257">
        <v>3.0</v>
      </c>
      <c r="G125" s="253" t="s">
        <v>6111</v>
      </c>
      <c r="H125" s="259" t="s">
        <v>6462</v>
      </c>
      <c r="I125" s="259" t="s">
        <v>6463</v>
      </c>
      <c r="J125" s="260" t="s">
        <v>6464</v>
      </c>
      <c r="K125" s="283"/>
    </row>
    <row r="126" hidden="1">
      <c r="A126" s="255"/>
      <c r="B126" s="254"/>
      <c r="C126" s="254"/>
      <c r="D126" s="255" t="s">
        <v>1749</v>
      </c>
      <c r="E126" s="264" t="s">
        <v>6110</v>
      </c>
      <c r="F126" s="257">
        <v>3.0</v>
      </c>
      <c r="G126" s="253" t="s">
        <v>6111</v>
      </c>
      <c r="H126" s="259" t="s">
        <v>6466</v>
      </c>
      <c r="I126" s="259" t="s">
        <v>6467</v>
      </c>
      <c r="J126" s="260" t="s">
        <v>6468</v>
      </c>
      <c r="K126" s="283"/>
    </row>
    <row r="127" hidden="1">
      <c r="A127" s="255"/>
      <c r="B127" s="254"/>
      <c r="C127" s="254"/>
      <c r="D127" s="255" t="s">
        <v>1746</v>
      </c>
      <c r="E127" s="264" t="s">
        <v>6110</v>
      </c>
      <c r="F127" s="257">
        <v>3.0</v>
      </c>
      <c r="G127" s="253" t="s">
        <v>6111</v>
      </c>
      <c r="H127" s="259" t="s">
        <v>6471</v>
      </c>
      <c r="I127" s="259" t="s">
        <v>6472</v>
      </c>
      <c r="J127" s="260" t="s">
        <v>6473</v>
      </c>
      <c r="K127" s="283"/>
    </row>
    <row r="128" hidden="1">
      <c r="A128" s="255"/>
      <c r="B128" s="261"/>
      <c r="C128" s="261"/>
      <c r="D128" s="296" t="s">
        <v>788</v>
      </c>
      <c r="E128" s="256" t="s">
        <v>797</v>
      </c>
      <c r="F128" s="308">
        <v>1.0</v>
      </c>
      <c r="G128" s="258" t="s">
        <v>793</v>
      </c>
      <c r="H128" s="297" t="s">
        <v>6476</v>
      </c>
      <c r="I128" s="297" t="s">
        <v>6477</v>
      </c>
      <c r="J128" s="305" t="s">
        <v>6478</v>
      </c>
      <c r="K128" s="283"/>
    </row>
    <row r="129" hidden="1">
      <c r="A129" s="255"/>
      <c r="B129" s="261"/>
      <c r="C129" s="261"/>
      <c r="D129" s="296" t="s">
        <v>789</v>
      </c>
      <c r="E129" s="256" t="s">
        <v>797</v>
      </c>
      <c r="F129" s="308">
        <v>1.0</v>
      </c>
      <c r="G129" s="258" t="s">
        <v>793</v>
      </c>
      <c r="H129" s="297" t="s">
        <v>6480</v>
      </c>
      <c r="I129" s="297" t="s">
        <v>6481</v>
      </c>
      <c r="J129" s="305" t="s">
        <v>6483</v>
      </c>
      <c r="K129" s="283"/>
    </row>
    <row r="130" hidden="1">
      <c r="A130" s="255"/>
      <c r="B130" s="254"/>
      <c r="C130" s="254"/>
      <c r="D130" s="255" t="s">
        <v>1091</v>
      </c>
      <c r="E130" s="264" t="s">
        <v>1094</v>
      </c>
      <c r="F130" s="257">
        <v>1.0</v>
      </c>
      <c r="G130" s="258" t="s">
        <v>1092</v>
      </c>
      <c r="H130" s="259" t="s">
        <v>6485</v>
      </c>
      <c r="I130" s="259" t="s">
        <v>6486</v>
      </c>
      <c r="J130" s="255" t="s">
        <v>6487</v>
      </c>
      <c r="K130" s="254"/>
    </row>
    <row r="131" hidden="1">
      <c r="A131" s="255"/>
      <c r="B131" s="254"/>
      <c r="C131" s="254"/>
      <c r="D131" s="255" t="s">
        <v>5847</v>
      </c>
      <c r="E131" s="264" t="s">
        <v>627</v>
      </c>
      <c r="F131" s="257">
        <v>2.0</v>
      </c>
      <c r="G131" s="258" t="s">
        <v>2273</v>
      </c>
      <c r="H131" s="259" t="s">
        <v>6489</v>
      </c>
      <c r="I131" s="259" t="s">
        <v>6490</v>
      </c>
      <c r="J131" s="255" t="s">
        <v>6491</v>
      </c>
      <c r="K131" s="254"/>
    </row>
    <row r="132" hidden="1">
      <c r="A132" s="255"/>
      <c r="B132" s="254"/>
      <c r="C132" s="254"/>
      <c r="D132" s="255" t="s">
        <v>6492</v>
      </c>
      <c r="E132" s="264" t="s">
        <v>6494</v>
      </c>
      <c r="F132" s="257">
        <v>2.0</v>
      </c>
      <c r="G132" s="253" t="s">
        <v>2684</v>
      </c>
      <c r="H132" s="259" t="s">
        <v>6496</v>
      </c>
      <c r="I132" s="259" t="s">
        <v>6497</v>
      </c>
      <c r="J132" s="255" t="s">
        <v>6498</v>
      </c>
      <c r="K132" s="255" t="s">
        <v>6499</v>
      </c>
    </row>
    <row r="133" hidden="1">
      <c r="A133" s="255"/>
      <c r="B133" s="254"/>
      <c r="C133" s="254"/>
      <c r="D133" s="261" t="s">
        <v>584</v>
      </c>
      <c r="E133" s="284" t="s">
        <v>583</v>
      </c>
      <c r="F133" s="257">
        <v>2.0</v>
      </c>
      <c r="G133" s="258" t="s">
        <v>2150</v>
      </c>
      <c r="H133" s="259" t="s">
        <v>6500</v>
      </c>
      <c r="I133" s="259" t="s">
        <v>6501</v>
      </c>
      <c r="J133" s="255" t="s">
        <v>6502</v>
      </c>
      <c r="K133" s="254"/>
    </row>
    <row r="134" hidden="1">
      <c r="A134" s="255"/>
      <c r="B134" s="261"/>
      <c r="C134" s="261"/>
      <c r="D134" s="261" t="s">
        <v>688</v>
      </c>
      <c r="E134" s="264" t="s">
        <v>686</v>
      </c>
      <c r="F134" s="257">
        <v>2.0</v>
      </c>
      <c r="G134" s="258" t="s">
        <v>5748</v>
      </c>
      <c r="H134" s="259" t="s">
        <v>6505</v>
      </c>
      <c r="I134" s="259" t="s">
        <v>6506</v>
      </c>
      <c r="J134" s="255" t="s">
        <v>6507</v>
      </c>
      <c r="K134" s="254"/>
    </row>
    <row r="135" hidden="1">
      <c r="A135" s="255"/>
      <c r="B135" s="261"/>
      <c r="C135" s="261"/>
      <c r="D135" s="261" t="s">
        <v>5858</v>
      </c>
      <c r="E135" s="264" t="s">
        <v>686</v>
      </c>
      <c r="F135" s="257">
        <v>2.0</v>
      </c>
      <c r="G135" s="258" t="s">
        <v>5748</v>
      </c>
      <c r="H135" s="259" t="s">
        <v>6511</v>
      </c>
      <c r="I135" s="259" t="s">
        <v>6512</v>
      </c>
      <c r="J135" s="255" t="s">
        <v>6513</v>
      </c>
      <c r="K135" s="254"/>
    </row>
    <row r="136" hidden="1">
      <c r="A136" s="255"/>
      <c r="B136" s="254"/>
      <c r="C136" s="254"/>
      <c r="D136" s="255" t="s">
        <v>5756</v>
      </c>
      <c r="E136" s="264" t="s">
        <v>5737</v>
      </c>
      <c r="F136" s="257">
        <v>3.0</v>
      </c>
      <c r="G136" s="253" t="s">
        <v>5738</v>
      </c>
      <c r="H136" s="259" t="s">
        <v>6516</v>
      </c>
      <c r="I136" s="259" t="s">
        <v>6517</v>
      </c>
      <c r="J136" s="255"/>
      <c r="K136" s="254"/>
    </row>
    <row r="137" hidden="1">
      <c r="A137" s="255"/>
      <c r="B137" s="254"/>
      <c r="C137" s="254"/>
      <c r="D137" s="255" t="s">
        <v>5864</v>
      </c>
      <c r="E137" s="264" t="s">
        <v>5737</v>
      </c>
      <c r="F137" s="257">
        <v>3.0</v>
      </c>
      <c r="G137" s="253" t="s">
        <v>5738</v>
      </c>
      <c r="H137" s="259" t="s">
        <v>6520</v>
      </c>
      <c r="I137" s="259" t="s">
        <v>6521</v>
      </c>
      <c r="J137" s="261"/>
      <c r="K137" s="261"/>
    </row>
    <row r="138" hidden="1">
      <c r="A138" s="255"/>
      <c r="B138" s="254"/>
      <c r="C138" s="254"/>
      <c r="D138" s="255" t="s">
        <v>5871</v>
      </c>
      <c r="E138" s="264" t="s">
        <v>1022</v>
      </c>
      <c r="F138" s="257">
        <v>3.0</v>
      </c>
      <c r="G138" s="258" t="s">
        <v>2795</v>
      </c>
      <c r="H138" s="259" t="s">
        <v>6202</v>
      </c>
      <c r="I138" s="259" t="s">
        <v>6524</v>
      </c>
      <c r="J138" s="261"/>
      <c r="K138" s="261"/>
    </row>
    <row r="139" hidden="1">
      <c r="A139" s="255"/>
      <c r="B139" s="261"/>
      <c r="C139" s="261"/>
      <c r="D139" s="255" t="s">
        <v>6525</v>
      </c>
      <c r="E139" s="264" t="s">
        <v>1444</v>
      </c>
      <c r="F139" s="257" t="s">
        <v>5963</v>
      </c>
      <c r="G139" s="258" t="s">
        <v>6526</v>
      </c>
      <c r="H139" s="259" t="s">
        <v>6528</v>
      </c>
      <c r="I139" s="259" t="s">
        <v>6529</v>
      </c>
      <c r="J139" s="255" t="s">
        <v>6530</v>
      </c>
      <c r="K139" s="261"/>
    </row>
    <row r="140">
      <c r="A140" s="255"/>
      <c r="B140" s="261"/>
      <c r="C140" s="261"/>
      <c r="D140" s="255" t="s">
        <v>161</v>
      </c>
      <c r="E140" s="256" t="s">
        <v>5904</v>
      </c>
      <c r="F140" s="257">
        <v>1.0</v>
      </c>
      <c r="G140" s="253" t="s">
        <v>6532</v>
      </c>
      <c r="H140" s="259" t="s">
        <v>6534</v>
      </c>
      <c r="I140" s="259" t="s">
        <v>6534</v>
      </c>
      <c r="J140" s="261"/>
      <c r="K140" s="261"/>
    </row>
    <row r="141">
      <c r="A141" s="255"/>
      <c r="B141" s="261"/>
      <c r="C141" s="261"/>
      <c r="D141" s="255" t="s">
        <v>1284</v>
      </c>
      <c r="E141" s="264" t="s">
        <v>1283</v>
      </c>
      <c r="F141" s="257">
        <v>3.0</v>
      </c>
      <c r="G141" s="258" t="s">
        <v>5834</v>
      </c>
      <c r="H141" s="287"/>
      <c r="I141" s="287"/>
      <c r="J141" s="261"/>
      <c r="K141" s="261"/>
    </row>
    <row r="142" hidden="1">
      <c r="A142" s="255"/>
      <c r="B142" s="254"/>
      <c r="C142" s="254"/>
      <c r="D142" s="255" t="s">
        <v>1045</v>
      </c>
      <c r="E142" s="266" t="s">
        <v>1044</v>
      </c>
      <c r="F142" s="257">
        <v>3.0</v>
      </c>
      <c r="G142" s="253" t="s">
        <v>5792</v>
      </c>
      <c r="H142" s="259" t="s">
        <v>6539</v>
      </c>
      <c r="I142" s="259" t="s">
        <v>6540</v>
      </c>
      <c r="J142" s="261"/>
      <c r="K142" s="261"/>
    </row>
    <row r="143" hidden="1">
      <c r="A143" s="255"/>
      <c r="B143" s="254"/>
      <c r="C143" s="254"/>
      <c r="D143" s="255" t="s">
        <v>497</v>
      </c>
      <c r="E143" s="265" t="s">
        <v>496</v>
      </c>
      <c r="F143" s="257">
        <v>2.0</v>
      </c>
      <c r="G143" s="258" t="s">
        <v>1981</v>
      </c>
      <c r="H143" s="259" t="s">
        <v>5845</v>
      </c>
      <c r="I143" s="259" t="s">
        <v>6543</v>
      </c>
      <c r="J143" s="255" t="s">
        <v>6544</v>
      </c>
      <c r="K143" s="261"/>
    </row>
    <row r="144">
      <c r="A144" s="255"/>
      <c r="B144" s="254"/>
      <c r="C144" s="254"/>
      <c r="D144" s="255" t="s">
        <v>904</v>
      </c>
      <c r="E144" s="265" t="s">
        <v>900</v>
      </c>
      <c r="F144" s="257">
        <v>2.0</v>
      </c>
      <c r="G144" s="258" t="s">
        <v>2672</v>
      </c>
      <c r="H144" s="287"/>
      <c r="I144" s="287"/>
      <c r="J144" s="261"/>
      <c r="K144" s="261"/>
    </row>
    <row r="145">
      <c r="A145" s="255"/>
      <c r="B145" s="254"/>
      <c r="C145" s="254"/>
      <c r="D145" s="255"/>
      <c r="E145" s="266"/>
      <c r="F145" s="257"/>
      <c r="G145" s="253"/>
      <c r="H145" s="287"/>
      <c r="I145" s="287"/>
      <c r="J145" s="261"/>
      <c r="K145" s="261"/>
    </row>
    <row r="146">
      <c r="A146" s="255"/>
      <c r="B146" s="254"/>
      <c r="C146" s="254"/>
      <c r="D146" s="255"/>
      <c r="E146" s="266"/>
      <c r="F146" s="257"/>
      <c r="G146" s="253"/>
      <c r="H146" s="287"/>
      <c r="I146" s="287"/>
      <c r="J146" s="261"/>
      <c r="K146" s="261"/>
    </row>
    <row r="147">
      <c r="A147" s="255"/>
      <c r="B147" s="254"/>
      <c r="C147" s="254"/>
      <c r="D147" s="255"/>
      <c r="E147" s="266"/>
      <c r="F147" s="257"/>
      <c r="G147" s="253"/>
      <c r="H147" s="287"/>
      <c r="I147" s="287"/>
      <c r="J147" s="261"/>
      <c r="K147" s="261"/>
    </row>
    <row r="148">
      <c r="A148" s="255"/>
      <c r="B148" s="254"/>
      <c r="C148" s="254"/>
      <c r="D148" s="255"/>
      <c r="E148" s="266"/>
      <c r="F148" s="257"/>
      <c r="G148" s="253"/>
      <c r="H148" s="287"/>
      <c r="I148" s="287"/>
      <c r="J148" s="261"/>
      <c r="K148" s="261"/>
    </row>
    <row r="149">
      <c r="A149" s="255"/>
      <c r="B149" s="254"/>
      <c r="C149" s="254"/>
      <c r="D149" s="255"/>
      <c r="E149" s="266"/>
      <c r="F149" s="257"/>
      <c r="G149" s="253"/>
      <c r="H149" s="287"/>
      <c r="I149" s="287"/>
      <c r="J149" s="261"/>
      <c r="K149" s="261"/>
    </row>
    <row r="150">
      <c r="A150" s="255"/>
      <c r="B150" s="254"/>
      <c r="C150" s="254"/>
      <c r="D150" s="255"/>
      <c r="E150" s="266"/>
      <c r="F150" s="257"/>
      <c r="G150" s="253"/>
      <c r="H150" s="287"/>
      <c r="I150" s="287"/>
      <c r="J150" s="261"/>
      <c r="K150" s="261"/>
    </row>
    <row r="151" ht="33.75" customHeight="1">
      <c r="A151" s="243" t="s">
        <v>5689</v>
      </c>
      <c r="B151" s="243"/>
      <c r="C151" s="243"/>
      <c r="D151" s="243"/>
      <c r="E151" s="244" t="s">
        <v>6548</v>
      </c>
      <c r="F151" s="242"/>
      <c r="G151" s="242"/>
      <c r="H151" s="245"/>
      <c r="I151" s="245"/>
      <c r="J151" s="242"/>
      <c r="K151" s="306"/>
    </row>
    <row r="152">
      <c r="A152" s="246" t="s">
        <v>5695</v>
      </c>
      <c r="B152" s="313" t="s">
        <v>5696</v>
      </c>
      <c r="C152" s="313"/>
      <c r="D152" s="246" t="s">
        <v>3147</v>
      </c>
      <c r="E152" s="247" t="s">
        <v>5699</v>
      </c>
      <c r="F152" s="248" t="s">
        <v>5700</v>
      </c>
      <c r="G152" s="246" t="s">
        <v>5702</v>
      </c>
      <c r="H152" s="249" t="s">
        <v>5703</v>
      </c>
      <c r="I152" s="249" t="s">
        <v>5704</v>
      </c>
      <c r="J152" s="250" t="s">
        <v>3071</v>
      </c>
      <c r="K152" s="251"/>
    </row>
    <row r="153" hidden="1">
      <c r="A153" s="252" t="s">
        <v>6551</v>
      </c>
      <c r="B153" s="70" t="s">
        <v>4126</v>
      </c>
      <c r="C153" s="314"/>
      <c r="D153" s="255" t="s">
        <v>1662</v>
      </c>
      <c r="E153" s="264" t="s">
        <v>6092</v>
      </c>
      <c r="F153" s="257">
        <v>1.0</v>
      </c>
      <c r="G153" s="258" t="s">
        <v>1665</v>
      </c>
      <c r="H153" s="259" t="s">
        <v>6439</v>
      </c>
      <c r="I153" s="259" t="s">
        <v>6095</v>
      </c>
      <c r="J153" s="260" t="s">
        <v>6558</v>
      </c>
      <c r="K153" s="283"/>
    </row>
    <row r="154" hidden="1">
      <c r="A154" s="252" t="s">
        <v>6551</v>
      </c>
      <c r="B154" s="70" t="s">
        <v>4126</v>
      </c>
      <c r="C154" s="315"/>
      <c r="D154" s="296" t="s">
        <v>789</v>
      </c>
      <c r="E154" s="256" t="s">
        <v>797</v>
      </c>
      <c r="F154" s="308">
        <v>1.0</v>
      </c>
      <c r="G154" s="258" t="s">
        <v>793</v>
      </c>
      <c r="H154" s="297" t="s">
        <v>6561</v>
      </c>
      <c r="I154" s="297" t="s">
        <v>6562</v>
      </c>
      <c r="J154" s="305" t="s">
        <v>6563</v>
      </c>
      <c r="K154" s="283"/>
    </row>
    <row r="155" hidden="1">
      <c r="A155" s="252" t="s">
        <v>6551</v>
      </c>
      <c r="B155" s="70" t="s">
        <v>4126</v>
      </c>
      <c r="C155" s="314"/>
      <c r="D155" s="255" t="s">
        <v>1089</v>
      </c>
      <c r="E155" s="264" t="s">
        <v>1094</v>
      </c>
      <c r="F155" s="257">
        <v>1.0</v>
      </c>
      <c r="G155" s="258" t="s">
        <v>1092</v>
      </c>
      <c r="H155" s="259" t="s">
        <v>6567</v>
      </c>
      <c r="I155" s="259" t="s">
        <v>6568</v>
      </c>
      <c r="J155" s="260" t="s">
        <v>6569</v>
      </c>
      <c r="K155" s="283"/>
    </row>
    <row r="156" hidden="1">
      <c r="A156" s="316" t="s">
        <v>6571</v>
      </c>
      <c r="B156" s="70" t="s">
        <v>4136</v>
      </c>
      <c r="C156" s="317">
        <v>0.22</v>
      </c>
      <c r="D156" s="255" t="s">
        <v>6288</v>
      </c>
      <c r="E156" s="264" t="s">
        <v>6574</v>
      </c>
      <c r="F156" s="257">
        <v>2.0</v>
      </c>
      <c r="G156" s="253" t="s">
        <v>1787</v>
      </c>
      <c r="H156" s="259" t="s">
        <v>6576</v>
      </c>
      <c r="I156" s="259" t="s">
        <v>6577</v>
      </c>
      <c r="J156" s="260" t="s">
        <v>6578</v>
      </c>
      <c r="K156" s="283"/>
    </row>
    <row r="157" hidden="1">
      <c r="A157" s="255"/>
      <c r="B157" s="314"/>
      <c r="C157" s="314"/>
      <c r="D157" s="255" t="s">
        <v>1664</v>
      </c>
      <c r="E157" s="264" t="s">
        <v>6092</v>
      </c>
      <c r="F157" s="257">
        <v>1.0</v>
      </c>
      <c r="G157" s="258" t="s">
        <v>1665</v>
      </c>
      <c r="H157" s="259" t="s">
        <v>6581</v>
      </c>
      <c r="I157" s="259" t="s">
        <v>6582</v>
      </c>
      <c r="J157" s="260" t="s">
        <v>6583</v>
      </c>
      <c r="K157" s="283"/>
    </row>
    <row r="158" hidden="1">
      <c r="A158" s="255"/>
      <c r="B158" s="314"/>
      <c r="C158" s="314"/>
      <c r="D158" s="255" t="s">
        <v>1663</v>
      </c>
      <c r="E158" s="264" t="s">
        <v>6092</v>
      </c>
      <c r="F158" s="257">
        <v>1.0</v>
      </c>
      <c r="G158" s="258" t="s">
        <v>1665</v>
      </c>
      <c r="H158" s="259" t="s">
        <v>6444</v>
      </c>
      <c r="I158" s="259" t="s">
        <v>6585</v>
      </c>
      <c r="J158" s="260" t="s">
        <v>6586</v>
      </c>
      <c r="K158" s="283"/>
    </row>
    <row r="159" hidden="1">
      <c r="A159" s="255"/>
      <c r="B159" s="314"/>
      <c r="C159" s="314"/>
      <c r="D159" s="255" t="s">
        <v>1748</v>
      </c>
      <c r="E159" s="264" t="s">
        <v>6110</v>
      </c>
      <c r="F159" s="257">
        <v>3.0</v>
      </c>
      <c r="G159" s="253" t="s">
        <v>6111</v>
      </c>
      <c r="H159" s="259" t="s">
        <v>6589</v>
      </c>
      <c r="I159" s="259" t="s">
        <v>6590</v>
      </c>
      <c r="J159" s="260" t="s">
        <v>6591</v>
      </c>
      <c r="K159" s="283"/>
    </row>
    <row r="160" hidden="1">
      <c r="A160" s="255"/>
      <c r="B160" s="314"/>
      <c r="C160" s="314"/>
      <c r="D160" s="255" t="s">
        <v>1747</v>
      </c>
      <c r="E160" s="264" t="s">
        <v>6110</v>
      </c>
      <c r="F160" s="257">
        <v>3.0</v>
      </c>
      <c r="G160" s="253" t="s">
        <v>6111</v>
      </c>
      <c r="H160" s="259" t="s">
        <v>6592</v>
      </c>
      <c r="I160" s="259" t="s">
        <v>6593</v>
      </c>
      <c r="J160" s="283"/>
      <c r="K160" s="283"/>
    </row>
    <row r="161" hidden="1">
      <c r="A161" s="255"/>
      <c r="B161" s="314"/>
      <c r="C161" s="314"/>
      <c r="D161" s="255" t="s">
        <v>1749</v>
      </c>
      <c r="E161" s="264" t="s">
        <v>6110</v>
      </c>
      <c r="F161" s="257">
        <v>3.0</v>
      </c>
      <c r="G161" s="253" t="s">
        <v>6111</v>
      </c>
      <c r="H161" s="259" t="s">
        <v>6596</v>
      </c>
      <c r="I161" s="259" t="s">
        <v>6597</v>
      </c>
      <c r="J161" s="283"/>
      <c r="K161" s="283"/>
    </row>
    <row r="162" hidden="1">
      <c r="A162" s="255"/>
      <c r="B162" s="314"/>
      <c r="C162" s="314"/>
      <c r="D162" s="255" t="s">
        <v>1746</v>
      </c>
      <c r="E162" s="264" t="s">
        <v>6110</v>
      </c>
      <c r="F162" s="257">
        <v>3.0</v>
      </c>
      <c r="G162" s="253" t="s">
        <v>6111</v>
      </c>
      <c r="H162" s="259" t="s">
        <v>6600</v>
      </c>
      <c r="I162" s="259" t="s">
        <v>6601</v>
      </c>
      <c r="J162" s="260" t="s">
        <v>6602</v>
      </c>
      <c r="K162" s="283"/>
    </row>
    <row r="163" hidden="1">
      <c r="A163" s="255"/>
      <c r="B163" s="315"/>
      <c r="C163" s="315"/>
      <c r="D163" s="296" t="s">
        <v>788</v>
      </c>
      <c r="E163" s="256" t="s">
        <v>797</v>
      </c>
      <c r="F163" s="308">
        <v>1.0</v>
      </c>
      <c r="G163" s="258" t="s">
        <v>793</v>
      </c>
      <c r="H163" s="297" t="s">
        <v>6605</v>
      </c>
      <c r="I163" s="297" t="s">
        <v>6606</v>
      </c>
      <c r="J163" s="305" t="s">
        <v>6607</v>
      </c>
      <c r="K163" s="283"/>
    </row>
    <row r="164" hidden="1">
      <c r="A164" s="255"/>
      <c r="B164" s="314"/>
      <c r="C164" s="314"/>
      <c r="D164" s="255" t="s">
        <v>1090</v>
      </c>
      <c r="E164" s="264" t="s">
        <v>1094</v>
      </c>
      <c r="F164" s="257">
        <v>1.0</v>
      </c>
      <c r="G164" s="258" t="s">
        <v>1092</v>
      </c>
      <c r="H164" s="259" t="s">
        <v>6608</v>
      </c>
      <c r="I164" s="259" t="s">
        <v>6157</v>
      </c>
      <c r="J164" s="260" t="s">
        <v>6610</v>
      </c>
      <c r="K164" s="283"/>
    </row>
    <row r="165" hidden="1">
      <c r="A165" s="255"/>
      <c r="B165" s="318"/>
      <c r="C165" s="318"/>
      <c r="D165" s="261" t="s">
        <v>584</v>
      </c>
      <c r="E165" s="284" t="s">
        <v>583</v>
      </c>
      <c r="F165" s="257">
        <v>2.0</v>
      </c>
      <c r="G165" s="258" t="s">
        <v>2150</v>
      </c>
      <c r="H165" s="259" t="s">
        <v>6613</v>
      </c>
      <c r="I165" s="259" t="s">
        <v>6615</v>
      </c>
      <c r="J165" s="260" t="s">
        <v>6616</v>
      </c>
      <c r="K165" s="283"/>
    </row>
    <row r="166">
      <c r="A166" s="255"/>
      <c r="B166" s="318"/>
      <c r="C166" s="318"/>
      <c r="D166" s="255"/>
      <c r="E166" s="284"/>
      <c r="F166" s="319"/>
      <c r="G166" s="261"/>
      <c r="H166" s="287"/>
      <c r="I166" s="287"/>
      <c r="J166" s="283"/>
      <c r="K166" s="283"/>
    </row>
    <row r="167">
      <c r="A167" s="255"/>
      <c r="B167" s="318"/>
      <c r="C167" s="318"/>
      <c r="D167" s="261"/>
      <c r="E167" s="284"/>
      <c r="F167" s="319"/>
      <c r="G167" s="261"/>
      <c r="H167" s="287"/>
      <c r="I167" s="287"/>
      <c r="J167" s="283"/>
      <c r="K167" s="283"/>
    </row>
    <row r="168">
      <c r="A168" s="255"/>
      <c r="B168" s="318"/>
      <c r="C168" s="318"/>
      <c r="D168" s="261"/>
      <c r="E168" s="284"/>
      <c r="F168" s="319"/>
      <c r="G168" s="261"/>
      <c r="H168" s="287"/>
      <c r="I168" s="287"/>
      <c r="J168" s="283"/>
      <c r="K168" s="283"/>
    </row>
    <row r="169">
      <c r="A169" s="255"/>
      <c r="B169" s="318"/>
      <c r="C169" s="318"/>
      <c r="D169" s="261"/>
      <c r="E169" s="284"/>
      <c r="F169" s="319"/>
      <c r="G169" s="261"/>
      <c r="H169" s="287"/>
      <c r="I169" s="287"/>
      <c r="J169" s="283"/>
      <c r="K169" s="283"/>
    </row>
    <row r="170">
      <c r="A170" s="255"/>
      <c r="B170" s="318"/>
      <c r="C170" s="318"/>
      <c r="D170" s="261"/>
      <c r="E170" s="284"/>
      <c r="F170" s="319"/>
      <c r="G170" s="261"/>
      <c r="H170" s="287"/>
      <c r="I170" s="287"/>
      <c r="J170" s="283"/>
      <c r="K170" s="283"/>
    </row>
    <row r="171" ht="33.75" hidden="1" customHeight="1">
      <c r="A171" s="243" t="s">
        <v>5689</v>
      </c>
      <c r="B171" s="243"/>
      <c r="C171" s="243"/>
      <c r="D171" s="243"/>
      <c r="E171" s="320"/>
      <c r="F171" s="242"/>
      <c r="G171" s="243"/>
      <c r="H171" s="245"/>
      <c r="I171" s="245"/>
      <c r="J171" s="242"/>
      <c r="K171" s="306"/>
    </row>
    <row r="172" hidden="1">
      <c r="A172" s="246" t="s">
        <v>5695</v>
      </c>
      <c r="B172" s="313" t="s">
        <v>5696</v>
      </c>
      <c r="C172" s="313"/>
      <c r="D172" s="246" t="s">
        <v>3147</v>
      </c>
      <c r="E172" s="247" t="s">
        <v>5699</v>
      </c>
      <c r="F172" s="248" t="s">
        <v>5700</v>
      </c>
      <c r="G172" s="246" t="s">
        <v>5702</v>
      </c>
      <c r="H172" s="249" t="s">
        <v>5703</v>
      </c>
      <c r="I172" s="249" t="s">
        <v>5704</v>
      </c>
      <c r="J172" s="250" t="s">
        <v>3071</v>
      </c>
      <c r="K172" s="251"/>
    </row>
    <row r="173" hidden="1">
      <c r="A173" s="254"/>
      <c r="B173" s="314"/>
      <c r="C173" s="314"/>
      <c r="D173" s="255" t="s">
        <v>6623</v>
      </c>
      <c r="E173" s="264" t="s">
        <v>1341</v>
      </c>
      <c r="F173" s="257">
        <v>3.0</v>
      </c>
      <c r="G173" s="253" t="s">
        <v>6111</v>
      </c>
      <c r="H173" s="259" t="s">
        <v>6626</v>
      </c>
      <c r="I173" s="259" t="s">
        <v>6627</v>
      </c>
      <c r="J173" s="283"/>
      <c r="K173" s="283"/>
    </row>
    <row r="174" hidden="1">
      <c r="A174" s="254"/>
      <c r="B174" s="314"/>
      <c r="C174" s="314"/>
      <c r="D174" s="255" t="s">
        <v>6492</v>
      </c>
      <c r="E174" s="264" t="s">
        <v>6494</v>
      </c>
      <c r="F174" s="257">
        <v>2.0</v>
      </c>
      <c r="G174" s="253" t="s">
        <v>2684</v>
      </c>
      <c r="H174" s="259" t="s">
        <v>6630</v>
      </c>
      <c r="I174" s="259" t="s">
        <v>6496</v>
      </c>
      <c r="J174" s="283"/>
      <c r="K174" s="283"/>
    </row>
    <row r="175" hidden="1">
      <c r="A175" s="261"/>
      <c r="B175" s="318"/>
      <c r="C175" s="318"/>
      <c r="D175" s="261"/>
      <c r="E175" s="284"/>
      <c r="F175" s="319"/>
      <c r="G175" s="261"/>
      <c r="H175" s="287"/>
      <c r="I175" s="287"/>
      <c r="J175" s="283"/>
      <c r="K175" s="283"/>
    </row>
    <row r="176" hidden="1">
      <c r="A176" s="261"/>
      <c r="B176" s="318"/>
      <c r="C176" s="318"/>
      <c r="D176" s="261"/>
      <c r="E176" s="284"/>
      <c r="F176" s="319"/>
      <c r="G176" s="261"/>
      <c r="H176" s="287"/>
      <c r="I176" s="287"/>
      <c r="J176" s="283"/>
      <c r="K176" s="283"/>
    </row>
    <row r="177" hidden="1">
      <c r="A177" s="261"/>
      <c r="B177" s="318"/>
      <c r="C177" s="318"/>
      <c r="D177" s="261"/>
      <c r="E177" s="284"/>
      <c r="F177" s="319"/>
      <c r="G177" s="261"/>
      <c r="H177" s="287"/>
      <c r="I177" s="287"/>
      <c r="J177" s="283"/>
      <c r="K177" s="283"/>
    </row>
    <row r="178" hidden="1">
      <c r="A178" s="261"/>
      <c r="B178" s="318"/>
      <c r="C178" s="318"/>
      <c r="D178" s="261"/>
      <c r="E178" s="284"/>
      <c r="F178" s="319"/>
      <c r="G178" s="261"/>
      <c r="H178" s="287"/>
      <c r="I178" s="287"/>
      <c r="J178" s="283"/>
      <c r="K178" s="283"/>
    </row>
    <row r="179" hidden="1">
      <c r="A179" s="261"/>
      <c r="B179" s="318"/>
      <c r="C179" s="318"/>
      <c r="D179" s="261"/>
      <c r="E179" s="284"/>
      <c r="F179" s="319"/>
      <c r="G179" s="261"/>
      <c r="H179" s="287"/>
      <c r="I179" s="287"/>
      <c r="J179" s="283"/>
      <c r="K179" s="283"/>
    </row>
    <row r="180" hidden="1">
      <c r="A180" s="261"/>
      <c r="B180" s="318"/>
      <c r="C180" s="318"/>
      <c r="D180" s="261"/>
      <c r="E180" s="284"/>
      <c r="F180" s="319"/>
      <c r="G180" s="261"/>
      <c r="H180" s="287"/>
      <c r="I180" s="287"/>
      <c r="J180" s="283"/>
      <c r="K180" s="283"/>
    </row>
    <row r="181" hidden="1">
      <c r="A181" s="261"/>
      <c r="B181" s="318"/>
      <c r="C181" s="318"/>
      <c r="D181" s="261"/>
      <c r="E181" s="284"/>
      <c r="F181" s="319"/>
      <c r="G181" s="261"/>
      <c r="H181" s="287"/>
      <c r="I181" s="287"/>
      <c r="J181" s="283"/>
      <c r="K181" s="283"/>
    </row>
    <row r="182" hidden="1">
      <c r="A182" s="261"/>
      <c r="B182" s="318"/>
      <c r="C182" s="318"/>
      <c r="D182" s="261"/>
      <c r="E182" s="284"/>
      <c r="F182" s="319"/>
      <c r="G182" s="261"/>
      <c r="H182" s="287"/>
      <c r="I182" s="287"/>
      <c r="J182" s="283"/>
      <c r="K182" s="283"/>
    </row>
    <row r="183" hidden="1">
      <c r="A183" s="261"/>
      <c r="B183" s="318"/>
      <c r="C183" s="318"/>
      <c r="D183" s="261"/>
      <c r="E183" s="284"/>
      <c r="F183" s="319"/>
      <c r="G183" s="261"/>
      <c r="H183" s="287"/>
      <c r="I183" s="287"/>
      <c r="J183" s="283"/>
      <c r="K183" s="283"/>
    </row>
    <row r="184" hidden="1">
      <c r="A184" s="261"/>
      <c r="B184" s="318"/>
      <c r="C184" s="318"/>
      <c r="D184" s="261"/>
      <c r="E184" s="284"/>
      <c r="F184" s="319"/>
      <c r="G184" s="261"/>
      <c r="H184" s="287"/>
      <c r="I184" s="287"/>
      <c r="J184" s="283"/>
      <c r="K184" s="283"/>
    </row>
    <row r="185" hidden="1">
      <c r="A185" s="261"/>
      <c r="B185" s="318"/>
      <c r="C185" s="318"/>
      <c r="D185" s="261"/>
      <c r="E185" s="284"/>
      <c r="F185" s="319"/>
      <c r="G185" s="261"/>
      <c r="H185" s="287"/>
      <c r="I185" s="287"/>
      <c r="J185" s="283"/>
      <c r="K185" s="283"/>
    </row>
    <row r="186" ht="33.75" hidden="1" customHeight="1">
      <c r="A186" s="243" t="s">
        <v>5689</v>
      </c>
      <c r="B186" s="243"/>
      <c r="C186" s="243"/>
      <c r="D186" s="243"/>
      <c r="E186" s="244" t="s">
        <v>6636</v>
      </c>
      <c r="F186" s="242"/>
      <c r="G186" s="242"/>
      <c r="H186" s="245"/>
      <c r="I186" s="245"/>
      <c r="J186" s="242"/>
      <c r="K186" s="306"/>
    </row>
    <row r="187" hidden="1">
      <c r="A187" s="246" t="s">
        <v>5695</v>
      </c>
      <c r="B187" s="313" t="s">
        <v>5696</v>
      </c>
      <c r="C187" s="313"/>
      <c r="D187" s="246" t="s">
        <v>3147</v>
      </c>
      <c r="E187" s="247" t="s">
        <v>5699</v>
      </c>
      <c r="F187" s="248" t="s">
        <v>5700</v>
      </c>
      <c r="G187" s="246" t="s">
        <v>5702</v>
      </c>
      <c r="H187" s="249" t="s">
        <v>5703</v>
      </c>
      <c r="I187" s="249" t="s">
        <v>5704</v>
      </c>
      <c r="J187" s="250" t="s">
        <v>3071</v>
      </c>
      <c r="K187" s="251"/>
    </row>
    <row r="188" hidden="1">
      <c r="A188" s="254"/>
      <c r="B188" s="314"/>
      <c r="C188" s="314"/>
      <c r="D188" s="255" t="s">
        <v>6623</v>
      </c>
      <c r="E188" s="264" t="s">
        <v>1341</v>
      </c>
      <c r="F188" s="257">
        <v>3.0</v>
      </c>
      <c r="G188" s="253" t="s">
        <v>6111</v>
      </c>
      <c r="H188" s="259" t="s">
        <v>6454</v>
      </c>
      <c r="I188" s="259" t="s">
        <v>6639</v>
      </c>
      <c r="J188" s="283"/>
      <c r="K188" s="283"/>
    </row>
    <row r="189" hidden="1">
      <c r="A189" s="254"/>
      <c r="B189" s="314"/>
      <c r="C189" s="314"/>
      <c r="D189" s="255" t="s">
        <v>6492</v>
      </c>
      <c r="E189" s="264" t="s">
        <v>6494</v>
      </c>
      <c r="F189" s="257">
        <v>2.0</v>
      </c>
      <c r="G189" s="253" t="s">
        <v>2684</v>
      </c>
      <c r="H189" s="259" t="s">
        <v>6642</v>
      </c>
      <c r="I189" s="259" t="s">
        <v>6643</v>
      </c>
      <c r="J189" s="260" t="s">
        <v>6644</v>
      </c>
      <c r="K189" s="283"/>
    </row>
    <row r="190" hidden="1">
      <c r="A190" s="261"/>
      <c r="B190" s="318"/>
      <c r="C190" s="318"/>
      <c r="D190" s="261"/>
      <c r="E190" s="284"/>
      <c r="F190" s="319"/>
      <c r="G190" s="261"/>
      <c r="H190" s="287"/>
      <c r="I190" s="287"/>
      <c r="J190" s="283"/>
      <c r="K190" s="283"/>
    </row>
    <row r="191" hidden="1">
      <c r="A191" s="261"/>
      <c r="B191" s="318"/>
      <c r="C191" s="318"/>
      <c r="D191" s="261"/>
      <c r="E191" s="284"/>
      <c r="F191" s="319"/>
      <c r="G191" s="261"/>
      <c r="H191" s="287"/>
      <c r="I191" s="287"/>
      <c r="J191" s="283"/>
      <c r="K191" s="283"/>
    </row>
    <row r="192" hidden="1">
      <c r="A192" s="261"/>
      <c r="B192" s="318"/>
      <c r="C192" s="318"/>
      <c r="D192" s="261"/>
      <c r="E192" s="284"/>
      <c r="F192" s="319"/>
      <c r="G192" s="261"/>
      <c r="H192" s="287"/>
      <c r="I192" s="287"/>
      <c r="J192" s="283"/>
      <c r="K192" s="283"/>
    </row>
    <row r="193" hidden="1">
      <c r="A193" s="261"/>
      <c r="B193" s="318"/>
      <c r="C193" s="318"/>
      <c r="D193" s="261"/>
      <c r="E193" s="284"/>
      <c r="F193" s="319"/>
      <c r="G193" s="261"/>
      <c r="H193" s="287"/>
      <c r="I193" s="287"/>
      <c r="J193" s="283"/>
      <c r="K193" s="283"/>
    </row>
    <row r="194" hidden="1">
      <c r="A194" s="261"/>
      <c r="B194" s="318"/>
      <c r="C194" s="318"/>
      <c r="D194" s="261"/>
      <c r="E194" s="284"/>
      <c r="F194" s="319"/>
      <c r="G194" s="261"/>
      <c r="H194" s="287"/>
      <c r="I194" s="287"/>
      <c r="J194" s="283"/>
      <c r="K194" s="283"/>
    </row>
    <row r="195" hidden="1">
      <c r="A195" s="261"/>
      <c r="B195" s="318"/>
      <c r="C195" s="318"/>
      <c r="D195" s="261"/>
      <c r="E195" s="284"/>
      <c r="F195" s="319"/>
      <c r="G195" s="261"/>
      <c r="H195" s="287"/>
      <c r="I195" s="287"/>
      <c r="J195" s="283"/>
      <c r="K195" s="283"/>
    </row>
    <row r="196" hidden="1">
      <c r="A196" s="261"/>
      <c r="B196" s="318"/>
      <c r="C196" s="318"/>
      <c r="D196" s="261"/>
      <c r="E196" s="284"/>
      <c r="F196" s="319"/>
      <c r="G196" s="261"/>
      <c r="H196" s="287"/>
      <c r="I196" s="287"/>
      <c r="J196" s="283"/>
      <c r="K196" s="283"/>
    </row>
    <row r="197" hidden="1">
      <c r="A197" s="261"/>
      <c r="B197" s="318"/>
      <c r="C197" s="318"/>
      <c r="D197" s="261"/>
      <c r="E197" s="284"/>
      <c r="F197" s="319"/>
      <c r="G197" s="261"/>
      <c r="H197" s="287"/>
      <c r="I197" s="287"/>
      <c r="J197" s="283"/>
      <c r="K197" s="283"/>
    </row>
    <row r="198" hidden="1">
      <c r="A198" s="261"/>
      <c r="B198" s="318"/>
      <c r="C198" s="318"/>
      <c r="D198" s="261"/>
      <c r="E198" s="284"/>
      <c r="F198" s="319"/>
      <c r="G198" s="261"/>
      <c r="H198" s="287"/>
      <c r="I198" s="287"/>
      <c r="J198" s="283"/>
      <c r="K198" s="283"/>
    </row>
    <row r="199" hidden="1">
      <c r="A199" s="261"/>
      <c r="B199" s="318"/>
      <c r="C199" s="318"/>
      <c r="D199" s="261"/>
      <c r="E199" s="284"/>
      <c r="F199" s="319"/>
      <c r="G199" s="261"/>
      <c r="H199" s="287"/>
      <c r="I199" s="287"/>
      <c r="J199" s="283"/>
      <c r="K199" s="283"/>
    </row>
    <row r="200" hidden="1">
      <c r="A200" s="261"/>
      <c r="B200" s="318"/>
      <c r="C200" s="318"/>
      <c r="D200" s="261"/>
      <c r="E200" s="284"/>
      <c r="F200" s="319"/>
      <c r="G200" s="261"/>
      <c r="H200" s="287"/>
      <c r="I200" s="287"/>
      <c r="J200" s="283"/>
      <c r="K200" s="283"/>
    </row>
    <row r="201" hidden="1">
      <c r="A201" s="261"/>
      <c r="B201" s="318"/>
      <c r="C201" s="318"/>
      <c r="D201" s="261"/>
      <c r="E201" s="284"/>
      <c r="F201" s="319"/>
      <c r="G201" s="261"/>
      <c r="H201" s="287"/>
      <c r="I201" s="287"/>
      <c r="J201" s="283"/>
      <c r="K201" s="283"/>
    </row>
    <row r="202" hidden="1">
      <c r="A202" s="261"/>
      <c r="B202" s="318"/>
      <c r="C202" s="318"/>
      <c r="D202" s="261"/>
      <c r="E202" s="284"/>
      <c r="F202" s="319"/>
      <c r="G202" s="261"/>
      <c r="H202" s="287"/>
      <c r="I202" s="287"/>
      <c r="J202" s="283"/>
      <c r="K202" s="283"/>
    </row>
    <row r="203" hidden="1">
      <c r="A203" s="261"/>
      <c r="B203" s="318"/>
      <c r="C203" s="318"/>
      <c r="D203" s="261"/>
      <c r="E203" s="284"/>
      <c r="F203" s="319"/>
      <c r="G203" s="261"/>
      <c r="H203" s="287"/>
      <c r="I203" s="287"/>
      <c r="J203" s="283"/>
      <c r="K203" s="283"/>
    </row>
    <row r="204" hidden="1">
      <c r="A204" s="261"/>
      <c r="B204" s="318"/>
      <c r="C204" s="318"/>
      <c r="D204" s="261"/>
      <c r="E204" s="284"/>
      <c r="F204" s="319"/>
      <c r="G204" s="261"/>
      <c r="H204" s="287"/>
      <c r="I204" s="287"/>
      <c r="J204" s="283"/>
      <c r="K204" s="283"/>
    </row>
    <row r="205" hidden="1">
      <c r="A205" s="261"/>
      <c r="B205" s="318"/>
      <c r="C205" s="318"/>
      <c r="D205" s="261"/>
      <c r="E205" s="284"/>
      <c r="F205" s="319"/>
      <c r="G205" s="261"/>
      <c r="H205" s="287"/>
      <c r="I205" s="287"/>
      <c r="J205" s="283"/>
      <c r="K205" s="283"/>
    </row>
    <row r="206" hidden="1">
      <c r="A206" s="261"/>
      <c r="B206" s="318"/>
      <c r="C206" s="318"/>
      <c r="D206" s="261"/>
      <c r="E206" s="284"/>
      <c r="F206" s="319"/>
      <c r="G206" s="261"/>
      <c r="H206" s="287"/>
      <c r="I206" s="287"/>
      <c r="J206" s="283"/>
      <c r="K206" s="283"/>
    </row>
  </sheetData>
  <autoFilter ref="$A$1:$J$206">
    <filterColumn colId="7">
      <filters blank="1">
        <filter val="13.21"/>
        <filter val="35.22"/>
        <filter val="Full Clip"/>
        <filter val="12.47"/>
        <filter val="12.11"/>
        <filter val="37.37"/>
        <filter val="11.48"/>
        <filter val="Full clip"/>
        <filter val="Time stamp start"/>
      </filters>
    </filterColumn>
  </autoFilter>
  <customSheetViews>
    <customSheetView guid="{72C50BA2-F192-4542-8284-5B36BE79410D}" filter="1" showAutoFilter="1">
      <autoFilter ref="$A$2:$J$206">
        <filterColumn colId="0">
          <filters>
            <filter val="MTS_7"/>
            <filter val="MTS_8"/>
            <filter val="MTS_9"/>
            <filter val="MTS_3"/>
            <filter val="MTS_4"/>
            <filter val="MTS_5"/>
            <filter val="MTS_6"/>
            <filter val="FEATURE PACKAGE _NAME"/>
            <filter val="MTS_16"/>
            <filter val="MTS_17"/>
            <filter val="MTS_18"/>
            <filter val="MTS_12"/>
            <filter val="MTS_13"/>
            <filter val="MTS_1"/>
            <filter val="Question"/>
            <filter val="MTS_14"/>
            <filter val="MTS_15"/>
            <filter val="MTS_2"/>
            <filter val="MTS_10"/>
            <filter val="MTS_11"/>
          </filters>
        </filterColumn>
      </autoFilter>
    </customSheetView>
  </customSheetViews>
  <mergeCells count="2">
    <mergeCell ref="A1:I1"/>
    <mergeCell ref="K3:K8"/>
  </mergeCells>
  <conditionalFormatting sqref="A4:A43 A46:A93 A96:A150 A153:A170 C153:C170 B157:B170 A173:C185 A188:C206">
    <cfRule type="cellIs" dxfId="6" priority="1" operator="equal">
      <formula>"MTS_1"</formula>
    </cfRule>
  </conditionalFormatting>
  <conditionalFormatting sqref="A4:A43 A46:A93 A96:A150 A153:A170 C153:C170 B157:B170 A173:C185 A188:C206">
    <cfRule type="containsText" dxfId="7" priority="2" operator="containsText" text="2">
      <formula>NOT(ISERROR(SEARCH(("2"),(A4))))</formula>
    </cfRule>
  </conditionalFormatting>
  <conditionalFormatting sqref="A4:A43 A46:A93 A96:A150 A153:A170 C153:C170 B157:B170 A173:C185 A188:C206">
    <cfRule type="containsText" dxfId="8" priority="3" operator="containsText" text="3">
      <formula>NOT(ISERROR(SEARCH(("3"),(A4))))</formula>
    </cfRule>
  </conditionalFormatting>
  <conditionalFormatting sqref="A4:A43 A46:A93 A96:A150 A153:A170 C153:C170 B157:B170 A173:C185 A188:C206">
    <cfRule type="containsText" dxfId="9" priority="4" operator="containsText" text="4">
      <formula>NOT(ISERROR(SEARCH(("4"),(A4))))</formula>
    </cfRule>
  </conditionalFormatting>
  <conditionalFormatting sqref="A4:A43 A46:A93 A96:A150 A153:A170 C153:C170 B157:B170 A173:C185 A188:C206">
    <cfRule type="containsText" dxfId="10" priority="5" operator="containsText" text="5">
      <formula>NOT(ISERROR(SEARCH(("5"),(A4))))</formula>
    </cfRule>
  </conditionalFormatting>
  <conditionalFormatting sqref="A4:A43 A46:A93 A96:A150 A153:A170 C153:C170 B157:B170 A173:C185 A188:C206">
    <cfRule type="containsText" dxfId="11" priority="6" operator="containsText" text="6">
      <formula>NOT(ISERROR(SEARCH(("6"),(A4))))</formula>
    </cfRule>
  </conditionalFormatting>
  <conditionalFormatting sqref="A1:A206">
    <cfRule type="containsText" dxfId="12" priority="7" operator="containsText" text="8">
      <formula>NOT(ISERROR(SEARCH(("8"),(A1))))</formula>
    </cfRule>
  </conditionalFormatting>
  <conditionalFormatting sqref="A1:A206">
    <cfRule type="containsText" dxfId="13" priority="8" operator="containsText" text="7">
      <formula>NOT(ISERROR(SEARCH(("7"),(A1))))</formula>
    </cfRule>
  </conditionalFormatting>
  <conditionalFormatting sqref="A1:A206">
    <cfRule type="containsText" dxfId="14" priority="9" operator="containsText" text="9">
      <formula>NOT(ISERROR(SEARCH(("9"),(A1))))</formula>
    </cfRule>
  </conditionalFormatting>
  <conditionalFormatting sqref="A4:A187">
    <cfRule type="cellIs" dxfId="15" priority="10" operator="equal">
      <formula>"MTS_13"</formula>
    </cfRule>
  </conditionalFormatting>
  <conditionalFormatting sqref="A1:A206">
    <cfRule type="cellIs" dxfId="16" priority="11" operator="equal">
      <formula>"MTS_11"</formula>
    </cfRule>
  </conditionalFormatting>
  <dataValidations>
    <dataValidation type="list" allowBlank="1" sqref="A173:A185 A188:A206">
      <formula1>"MTS_1,MTS_2,MTS_3,MTS_4,MTS_5,MTS_6,MTS_7,MTS_8,MTS_9,MTS_10"</formula1>
    </dataValidation>
    <dataValidation type="list" allowBlank="1" sqref="A4:A43 A46:A93 A96:A150 A153:A170">
      <formula1>"MTS_1,MTS_2,MTS_3,MTS_4,MTS_5,MTS_6,MTS_7,MTS_8,MTS_9,MTS_10,MTS_11,MTS_12,MTS_13,MTS_14,MTS_15,MTS_16,MTS_17,MTS_18,MTS_19,MTS_20"</formula1>
    </dataValidation>
  </dataValidations>
  <hyperlinks>
    <hyperlink r:id="rId1" ref="K3"/>
    <hyperlink r:id="rId2" ref="B4"/>
    <hyperlink r:id="rId3" ref="G4"/>
    <hyperlink r:id="rId4" ref="B5"/>
    <hyperlink r:id="rId5" ref="G5"/>
    <hyperlink r:id="rId6" ref="B6"/>
    <hyperlink r:id="rId7" ref="G6"/>
    <hyperlink r:id="rId8" ref="B7"/>
    <hyperlink r:id="rId9" ref="G7"/>
    <hyperlink r:id="rId10" ref="B8"/>
    <hyperlink r:id="rId11" ref="G8"/>
    <hyperlink r:id="rId12" ref="B9"/>
    <hyperlink r:id="rId13" ref="G9"/>
    <hyperlink r:id="rId14" ref="B10"/>
    <hyperlink r:id="rId15" ref="G10"/>
    <hyperlink r:id="rId16" ref="B11"/>
    <hyperlink r:id="rId17" ref="G11"/>
    <hyperlink r:id="rId18" ref="B12"/>
    <hyperlink r:id="rId19" ref="G12"/>
    <hyperlink r:id="rId20" ref="G13"/>
    <hyperlink r:id="rId21" ref="G14"/>
    <hyperlink r:id="rId22" ref="G16"/>
    <hyperlink r:id="rId23" ref="G17"/>
    <hyperlink r:id="rId24" ref="G18"/>
    <hyperlink r:id="rId25" ref="G19"/>
    <hyperlink r:id="rId26" ref="G20"/>
    <hyperlink r:id="rId27" ref="G21"/>
    <hyperlink r:id="rId28" ref="G22"/>
    <hyperlink r:id="rId29" ref="G23"/>
    <hyperlink r:id="rId30" ref="G24"/>
    <hyperlink r:id="rId31" ref="G25"/>
    <hyperlink r:id="rId32" ref="G26"/>
    <hyperlink r:id="rId33" ref="G27"/>
    <hyperlink r:id="rId34" ref="G28"/>
    <hyperlink r:id="rId35" ref="G29"/>
    <hyperlink r:id="rId36" ref="G30"/>
    <hyperlink r:id="rId37" ref="G31"/>
    <hyperlink r:id="rId38" ref="G32"/>
    <hyperlink r:id="rId39" ref="G33"/>
    <hyperlink r:id="rId40" ref="G34"/>
    <hyperlink r:id="rId41" ref="G35"/>
    <hyperlink r:id="rId42" ref="G36"/>
    <hyperlink r:id="rId43" ref="G37"/>
    <hyperlink r:id="rId44" ref="G38"/>
    <hyperlink r:id="rId45" ref="B46"/>
    <hyperlink r:id="rId46" ref="G46"/>
    <hyperlink r:id="rId47" ref="B47"/>
    <hyperlink r:id="rId48" ref="G47"/>
    <hyperlink r:id="rId49" ref="B48"/>
    <hyperlink r:id="rId50" ref="G48"/>
    <hyperlink r:id="rId51" ref="B49"/>
    <hyperlink r:id="rId52" ref="G49"/>
    <hyperlink r:id="rId53" ref="B50"/>
    <hyperlink r:id="rId54" ref="G50"/>
    <hyperlink r:id="rId55" ref="B51"/>
    <hyperlink r:id="rId56" ref="G51"/>
    <hyperlink r:id="rId57" ref="B52"/>
    <hyperlink r:id="rId58" ref="G52"/>
    <hyperlink r:id="rId59" ref="B53"/>
    <hyperlink r:id="rId60" ref="G53"/>
    <hyperlink r:id="rId61" ref="B54"/>
    <hyperlink r:id="rId62" ref="G54"/>
    <hyperlink r:id="rId63" ref="G56"/>
    <hyperlink r:id="rId64" ref="G59"/>
    <hyperlink r:id="rId65" ref="G60"/>
    <hyperlink r:id="rId66" ref="G61"/>
    <hyperlink r:id="rId67" ref="G62"/>
    <hyperlink r:id="rId68" ref="G63"/>
    <hyperlink r:id="rId69" ref="G64"/>
    <hyperlink r:id="rId70" ref="G65"/>
    <hyperlink r:id="rId71" ref="G66"/>
    <hyperlink r:id="rId72" ref="G67"/>
    <hyperlink r:id="rId73" ref="G68"/>
    <hyperlink r:id="rId74" ref="G69"/>
    <hyperlink r:id="rId75" ref="G70"/>
    <hyperlink r:id="rId76" ref="G71"/>
    <hyperlink r:id="rId77" ref="G72"/>
    <hyperlink r:id="rId78" ref="G73"/>
    <hyperlink r:id="rId79" ref="G74"/>
    <hyperlink r:id="rId80" ref="G75"/>
    <hyperlink r:id="rId81" ref="G76"/>
    <hyperlink r:id="rId82" ref="G77"/>
    <hyperlink r:id="rId83" ref="G78"/>
    <hyperlink r:id="rId84" ref="G79"/>
    <hyperlink r:id="rId85" ref="G80"/>
    <hyperlink r:id="rId86" ref="G81"/>
    <hyperlink r:id="rId87" ref="G82"/>
    <hyperlink r:id="rId88" ref="G83"/>
    <hyperlink r:id="rId89" ref="G84"/>
    <hyperlink r:id="rId90" ref="G85"/>
    <hyperlink r:id="rId91" ref="G86"/>
    <hyperlink r:id="rId92" ref="G87"/>
    <hyperlink r:id="rId93" ref="G88"/>
    <hyperlink r:id="rId94" ref="G89"/>
    <hyperlink r:id="rId95" ref="B96"/>
    <hyperlink r:id="rId96" ref="G96"/>
    <hyperlink r:id="rId97" ref="B97"/>
    <hyperlink r:id="rId98" ref="G97"/>
    <hyperlink r:id="rId99" ref="B98"/>
    <hyperlink r:id="rId100" ref="G98"/>
    <hyperlink r:id="rId101" ref="B99"/>
    <hyperlink r:id="rId102" ref="G99"/>
    <hyperlink r:id="rId103" ref="B100"/>
    <hyperlink r:id="rId104" ref="G100"/>
    <hyperlink r:id="rId105" ref="B101"/>
    <hyperlink r:id="rId106" ref="G101"/>
    <hyperlink r:id="rId107" ref="B102"/>
    <hyperlink r:id="rId108" ref="G102"/>
    <hyperlink r:id="rId109" ref="B103"/>
    <hyperlink r:id="rId110" ref="G103"/>
    <hyperlink r:id="rId111" ref="B104"/>
    <hyperlink r:id="rId112" ref="G104"/>
    <hyperlink r:id="rId113" ref="B105"/>
    <hyperlink r:id="rId114" ref="G105"/>
    <hyperlink r:id="rId115" ref="B106"/>
    <hyperlink r:id="rId116" ref="G106"/>
    <hyperlink r:id="rId117" ref="B107"/>
    <hyperlink r:id="rId118" ref="G107"/>
    <hyperlink r:id="rId119" ref="B108"/>
    <hyperlink r:id="rId120" ref="G108"/>
    <hyperlink r:id="rId121" ref="B109"/>
    <hyperlink r:id="rId122" ref="G109"/>
    <hyperlink r:id="rId123" ref="B110"/>
    <hyperlink r:id="rId124" ref="G110"/>
    <hyperlink r:id="rId125" ref="B111"/>
    <hyperlink r:id="rId126" ref="G111"/>
    <hyperlink r:id="rId127" ref="B112"/>
    <hyperlink r:id="rId128" ref="G112"/>
    <hyperlink r:id="rId129" ref="G113"/>
    <hyperlink r:id="rId130" ref="G117"/>
    <hyperlink r:id="rId131" ref="G118"/>
    <hyperlink r:id="rId132" ref="G119"/>
    <hyperlink r:id="rId133" ref="G120"/>
    <hyperlink r:id="rId134" ref="G121"/>
    <hyperlink r:id="rId135" ref="G122"/>
    <hyperlink r:id="rId136" ref="G123"/>
    <hyperlink r:id="rId137" ref="G124"/>
    <hyperlink r:id="rId138" ref="G125"/>
    <hyperlink r:id="rId139" ref="G126"/>
    <hyperlink r:id="rId140" ref="G127"/>
    <hyperlink r:id="rId141" ref="G128"/>
    <hyperlink r:id="rId142" ref="G129"/>
    <hyperlink r:id="rId143" ref="G130"/>
    <hyperlink r:id="rId144" ref="G131"/>
    <hyperlink r:id="rId145" ref="G132"/>
    <hyperlink r:id="rId146" ref="G133"/>
    <hyperlink r:id="rId147" ref="G134"/>
    <hyperlink r:id="rId148" ref="G135"/>
    <hyperlink r:id="rId149" ref="G136"/>
    <hyperlink r:id="rId150" ref="G137"/>
    <hyperlink r:id="rId151" ref="G138"/>
    <hyperlink r:id="rId152" ref="G139"/>
    <hyperlink r:id="rId153" ref="G140"/>
    <hyperlink r:id="rId154" ref="G141"/>
    <hyperlink r:id="rId155" ref="G142"/>
    <hyperlink r:id="rId156" ref="G143"/>
    <hyperlink r:id="rId157" ref="G144"/>
    <hyperlink r:id="rId158" ref="B153"/>
    <hyperlink r:id="rId159" ref="G153"/>
    <hyperlink r:id="rId160" ref="B154"/>
    <hyperlink r:id="rId161" ref="G154"/>
    <hyperlink r:id="rId162" ref="B155"/>
    <hyperlink r:id="rId163" ref="G155"/>
    <hyperlink r:id="rId164" ref="B156"/>
    <hyperlink r:id="rId165" ref="G156"/>
    <hyperlink r:id="rId166" ref="G157"/>
    <hyperlink r:id="rId167" ref="G158"/>
    <hyperlink r:id="rId168" ref="G159"/>
    <hyperlink r:id="rId169" ref="G160"/>
    <hyperlink r:id="rId170" ref="G161"/>
    <hyperlink r:id="rId171" ref="G162"/>
    <hyperlink r:id="rId172" ref="G163"/>
    <hyperlink r:id="rId173" ref="G164"/>
    <hyperlink r:id="rId174" ref="G165"/>
    <hyperlink r:id="rId175" ref="G173"/>
    <hyperlink r:id="rId176" ref="G174"/>
    <hyperlink r:id="rId177" ref="G188"/>
    <hyperlink r:id="rId178" ref="G189"/>
  </hyperlinks>
  <drawing r:id="rId17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2.14"/>
    <col customWidth="1" min="2" max="2" width="18.29"/>
    <col customWidth="1" min="3" max="3" width="39.29"/>
    <col customWidth="1" min="4" max="4" width="13.86"/>
    <col customWidth="1" min="6" max="6" width="13.43"/>
    <col customWidth="1" min="7" max="7" width="12.57"/>
    <col customWidth="1" min="9" max="9" width="18.57"/>
  </cols>
  <sheetData>
    <row r="1">
      <c r="A1" s="321" t="s">
        <v>6672</v>
      </c>
      <c r="B1" s="321" t="s">
        <v>6675</v>
      </c>
      <c r="C1" s="321" t="s">
        <v>6677</v>
      </c>
      <c r="D1" s="321" t="s">
        <v>6678</v>
      </c>
      <c r="E1" s="321" t="s">
        <v>6679</v>
      </c>
      <c r="F1" s="321" t="s">
        <v>6680</v>
      </c>
      <c r="G1" s="322" t="s">
        <v>6681</v>
      </c>
      <c r="H1" s="323" t="s">
        <v>6683</v>
      </c>
      <c r="I1" s="324" t="s">
        <v>6685</v>
      </c>
    </row>
    <row r="2" ht="22.5" customHeight="1">
      <c r="A2" s="325" t="s">
        <v>6689</v>
      </c>
      <c r="B2" s="326" t="s">
        <v>112</v>
      </c>
      <c r="C2" s="327" t="s">
        <v>493</v>
      </c>
      <c r="D2" s="328" t="s">
        <v>16</v>
      </c>
      <c r="E2" s="329"/>
      <c r="F2" s="330">
        <v>43987.0</v>
      </c>
      <c r="G2" s="331"/>
      <c r="H2" s="332"/>
      <c r="I2" s="333"/>
    </row>
    <row r="3" ht="22.5" customHeight="1">
      <c r="A3" s="325" t="s">
        <v>6702</v>
      </c>
      <c r="B3" s="326" t="s">
        <v>134</v>
      </c>
      <c r="C3" s="327" t="s">
        <v>512</v>
      </c>
      <c r="D3" s="328" t="s">
        <v>16</v>
      </c>
      <c r="E3" s="329"/>
      <c r="F3" s="330">
        <v>43994.0</v>
      </c>
      <c r="G3" s="331"/>
      <c r="H3" s="334"/>
      <c r="I3" s="335"/>
    </row>
    <row r="4" ht="22.5" customHeight="1">
      <c r="A4" s="326" t="s">
        <v>6689</v>
      </c>
      <c r="B4" s="325" t="s">
        <v>139</v>
      </c>
      <c r="C4" s="327" t="s">
        <v>517</v>
      </c>
      <c r="D4" s="328" t="s">
        <v>16</v>
      </c>
      <c r="E4" s="329"/>
      <c r="F4" s="330">
        <v>43987.0</v>
      </c>
      <c r="G4" s="331"/>
      <c r="H4" s="336"/>
      <c r="I4" s="337"/>
    </row>
    <row r="5" ht="22.5" hidden="1" customHeight="1">
      <c r="A5" s="325" t="s">
        <v>6689</v>
      </c>
      <c r="B5" s="326" t="s">
        <v>152</v>
      </c>
      <c r="C5" s="327" t="s">
        <v>6710</v>
      </c>
      <c r="D5" s="328" t="s">
        <v>16</v>
      </c>
      <c r="E5" s="328" t="s">
        <v>6711</v>
      </c>
      <c r="F5" s="330">
        <v>43984.0</v>
      </c>
      <c r="G5" s="80" t="s">
        <v>854</v>
      </c>
      <c r="H5" s="338" t="s">
        <v>6716</v>
      </c>
      <c r="I5" s="335"/>
    </row>
    <row r="6" ht="22.5" hidden="1" customHeight="1">
      <c r="A6" s="339" t="s">
        <v>6720</v>
      </c>
      <c r="B6" s="340" t="s">
        <v>99</v>
      </c>
      <c r="C6" s="341" t="s">
        <v>6723</v>
      </c>
      <c r="D6" s="342" t="s">
        <v>16</v>
      </c>
      <c r="E6" s="342" t="s">
        <v>6711</v>
      </c>
      <c r="F6" s="343"/>
      <c r="G6" s="344" t="s">
        <v>995</v>
      </c>
      <c r="H6" s="345" t="s">
        <v>6731</v>
      </c>
      <c r="I6" s="346" t="s">
        <v>6733</v>
      </c>
    </row>
    <row r="7" ht="22.5" hidden="1" customHeight="1">
      <c r="A7" s="325" t="s">
        <v>6689</v>
      </c>
      <c r="B7" s="326" t="s">
        <v>262</v>
      </c>
      <c r="C7" s="327" t="s">
        <v>664</v>
      </c>
      <c r="D7" s="328" t="s">
        <v>16</v>
      </c>
      <c r="E7" s="328" t="s">
        <v>6711</v>
      </c>
      <c r="F7" s="330">
        <v>43983.0</v>
      </c>
      <c r="G7" s="101" t="s">
        <v>1303</v>
      </c>
      <c r="H7" s="338" t="s">
        <v>6731</v>
      </c>
      <c r="I7" s="347" t="s">
        <v>6744</v>
      </c>
    </row>
    <row r="8" ht="22.5" customHeight="1">
      <c r="A8" s="325" t="s">
        <v>6689</v>
      </c>
      <c r="B8" s="326" t="s">
        <v>6748</v>
      </c>
      <c r="C8" s="327" t="s">
        <v>713</v>
      </c>
      <c r="D8" s="328" t="s">
        <v>16</v>
      </c>
      <c r="E8" s="329"/>
      <c r="F8" s="330">
        <v>43990.0</v>
      </c>
      <c r="G8" s="331"/>
      <c r="H8" s="336"/>
      <c r="I8" s="337"/>
    </row>
    <row r="9" ht="22.5" hidden="1" customHeight="1">
      <c r="A9" s="339" t="s">
        <v>6749</v>
      </c>
      <c r="B9" s="340" t="s">
        <v>6750</v>
      </c>
      <c r="C9" s="341" t="s">
        <v>5774</v>
      </c>
      <c r="D9" s="342" t="s">
        <v>16</v>
      </c>
      <c r="E9" s="342" t="s">
        <v>6711</v>
      </c>
      <c r="F9" s="342" t="s">
        <v>6751</v>
      </c>
      <c r="G9" s="348" t="s">
        <v>2195</v>
      </c>
      <c r="H9" s="338" t="s">
        <v>6731</v>
      </c>
      <c r="I9" s="207" t="s">
        <v>6752</v>
      </c>
    </row>
    <row r="10" ht="22.5" hidden="1" customHeight="1">
      <c r="A10" s="339" t="s">
        <v>6749</v>
      </c>
      <c r="B10" s="340" t="s">
        <v>350</v>
      </c>
      <c r="C10" s="341" t="s">
        <v>792</v>
      </c>
      <c r="D10" s="342" t="s">
        <v>16</v>
      </c>
      <c r="E10" s="342" t="s">
        <v>6711</v>
      </c>
      <c r="F10" s="342" t="s">
        <v>6753</v>
      </c>
      <c r="G10" s="344" t="s">
        <v>1598</v>
      </c>
      <c r="H10" s="345" t="s">
        <v>6731</v>
      </c>
      <c r="I10" s="349" t="s">
        <v>6754</v>
      </c>
    </row>
    <row r="11" ht="22.5" hidden="1" customHeight="1">
      <c r="A11" s="325" t="s">
        <v>6755</v>
      </c>
      <c r="B11" s="326" t="s">
        <v>387</v>
      </c>
      <c r="C11" s="327" t="s">
        <v>844</v>
      </c>
      <c r="D11" s="328" t="s">
        <v>16</v>
      </c>
      <c r="E11" s="328" t="s">
        <v>6711</v>
      </c>
      <c r="F11" s="328" t="s">
        <v>6756</v>
      </c>
      <c r="G11" s="80" t="s">
        <v>1787</v>
      </c>
      <c r="H11" s="338" t="s">
        <v>6716</v>
      </c>
      <c r="I11" s="335"/>
    </row>
    <row r="12" ht="22.5" customHeight="1">
      <c r="A12" s="325" t="s">
        <v>6702</v>
      </c>
      <c r="B12" s="326" t="s">
        <v>410</v>
      </c>
      <c r="C12" s="327" t="s">
        <v>875</v>
      </c>
      <c r="D12" s="328" t="s">
        <v>16</v>
      </c>
      <c r="E12" s="329"/>
      <c r="F12" s="330">
        <v>43991.0</v>
      </c>
      <c r="G12" s="331"/>
      <c r="H12" s="336"/>
      <c r="I12" s="337"/>
    </row>
    <row r="13" ht="22.5" hidden="1" customHeight="1">
      <c r="A13" s="339" t="s">
        <v>6720</v>
      </c>
      <c r="B13" s="340" t="s">
        <v>428</v>
      </c>
      <c r="C13" s="341" t="s">
        <v>907</v>
      </c>
      <c r="D13" s="342" t="s">
        <v>16</v>
      </c>
      <c r="E13" s="342" t="s">
        <v>6711</v>
      </c>
      <c r="F13" s="343"/>
      <c r="G13" s="350" t="s">
        <v>1860</v>
      </c>
      <c r="H13" s="338" t="s">
        <v>6731</v>
      </c>
      <c r="I13" s="347" t="s">
        <v>6757</v>
      </c>
    </row>
    <row r="14" ht="22.5" customHeight="1">
      <c r="A14" s="325" t="s">
        <v>6702</v>
      </c>
      <c r="B14" s="326" t="s">
        <v>196</v>
      </c>
      <c r="C14" s="327" t="s">
        <v>574</v>
      </c>
      <c r="D14" s="328" t="s">
        <v>6758</v>
      </c>
      <c r="E14" s="329"/>
      <c r="F14" s="330">
        <v>43986.0</v>
      </c>
      <c r="G14" s="331"/>
      <c r="H14" s="336"/>
      <c r="I14" s="337"/>
    </row>
    <row r="15" ht="22.5" hidden="1" customHeight="1">
      <c r="A15" s="325" t="s">
        <v>6689</v>
      </c>
      <c r="B15" s="326" t="s">
        <v>287</v>
      </c>
      <c r="C15" s="327" t="s">
        <v>6759</v>
      </c>
      <c r="D15" s="328" t="s">
        <v>6758</v>
      </c>
      <c r="E15" s="328" t="s">
        <v>6711</v>
      </c>
      <c r="F15" s="330">
        <v>43985.0</v>
      </c>
      <c r="G15" s="80" t="s">
        <v>896</v>
      </c>
      <c r="H15" s="338" t="s">
        <v>6716</v>
      </c>
      <c r="I15" s="335"/>
    </row>
    <row r="16" ht="22.5" hidden="1" customHeight="1">
      <c r="A16" s="339" t="s">
        <v>6755</v>
      </c>
      <c r="B16" s="342" t="s">
        <v>118</v>
      </c>
      <c r="C16" s="341" t="s">
        <v>496</v>
      </c>
      <c r="D16" s="342" t="s">
        <v>6758</v>
      </c>
      <c r="E16" s="342" t="s">
        <v>6711</v>
      </c>
      <c r="F16" s="351" t="s">
        <v>6753</v>
      </c>
      <c r="G16" s="352" t="s">
        <v>1981</v>
      </c>
      <c r="H16" s="353" t="s">
        <v>6731</v>
      </c>
      <c r="I16" s="354" t="s">
        <v>6760</v>
      </c>
    </row>
    <row r="17" ht="22.5" customHeight="1">
      <c r="A17" s="355" t="s">
        <v>6689</v>
      </c>
      <c r="B17" s="356" t="s">
        <v>6761</v>
      </c>
      <c r="C17" s="327" t="s">
        <v>745</v>
      </c>
      <c r="D17" s="356" t="s">
        <v>16</v>
      </c>
      <c r="E17" s="45" t="s">
        <v>4345</v>
      </c>
      <c r="F17" s="330">
        <v>43987.0</v>
      </c>
      <c r="G17" s="261"/>
      <c r="H17" s="334"/>
      <c r="I17" s="335"/>
    </row>
    <row r="18" ht="22.5" customHeight="1">
      <c r="A18" s="325" t="s">
        <v>6755</v>
      </c>
      <c r="B18" s="326" t="s">
        <v>84</v>
      </c>
      <c r="C18" s="327" t="s">
        <v>999</v>
      </c>
      <c r="D18" s="328" t="s">
        <v>19</v>
      </c>
      <c r="E18" s="328" t="s">
        <v>62</v>
      </c>
      <c r="F18" s="328" t="s">
        <v>6762</v>
      </c>
      <c r="G18" s="331"/>
      <c r="H18" s="336"/>
      <c r="I18" s="337"/>
    </row>
    <row r="19" ht="22.5" hidden="1" customHeight="1">
      <c r="A19" s="325" t="s">
        <v>6689</v>
      </c>
      <c r="B19" s="326" t="s">
        <v>6763</v>
      </c>
      <c r="C19" s="327" t="s">
        <v>6764</v>
      </c>
      <c r="D19" s="328" t="s">
        <v>19</v>
      </c>
      <c r="E19" s="328" t="s">
        <v>6711</v>
      </c>
      <c r="F19" s="330">
        <v>43985.0</v>
      </c>
      <c r="G19" s="80" t="s">
        <v>925</v>
      </c>
      <c r="H19" s="338" t="s">
        <v>6716</v>
      </c>
      <c r="I19" s="335"/>
    </row>
    <row r="20" ht="22.5" hidden="1" customHeight="1">
      <c r="A20" s="339" t="s">
        <v>6755</v>
      </c>
      <c r="B20" s="342" t="s">
        <v>211</v>
      </c>
      <c r="C20" s="357" t="s">
        <v>1159</v>
      </c>
      <c r="D20" s="342" t="s">
        <v>19</v>
      </c>
      <c r="E20" s="342" t="s">
        <v>6711</v>
      </c>
      <c r="F20" s="342" t="s">
        <v>6756</v>
      </c>
      <c r="G20" s="358" t="s">
        <v>1068</v>
      </c>
      <c r="H20" s="353" t="s">
        <v>6731</v>
      </c>
      <c r="I20" s="359" t="s">
        <v>6765</v>
      </c>
    </row>
    <row r="21" ht="22.5" customHeight="1">
      <c r="A21" s="325" t="s">
        <v>6702</v>
      </c>
      <c r="B21" s="326" t="s">
        <v>226</v>
      </c>
      <c r="C21" s="327" t="s">
        <v>1187</v>
      </c>
      <c r="D21" s="328" t="s">
        <v>19</v>
      </c>
      <c r="E21" s="329"/>
      <c r="F21" s="330">
        <v>43994.0</v>
      </c>
      <c r="G21" s="331"/>
      <c r="H21" s="334"/>
      <c r="I21" s="335"/>
    </row>
    <row r="22" ht="22.5" customHeight="1">
      <c r="A22" s="325" t="s">
        <v>6702</v>
      </c>
      <c r="B22" s="326" t="s">
        <v>244</v>
      </c>
      <c r="C22" s="327" t="s">
        <v>6766</v>
      </c>
      <c r="D22" s="328" t="s">
        <v>19</v>
      </c>
      <c r="E22" s="329"/>
      <c r="F22" s="330">
        <v>43993.0</v>
      </c>
      <c r="G22" s="331"/>
      <c r="H22" s="336"/>
      <c r="I22" s="337"/>
    </row>
    <row r="23" ht="22.5" hidden="1" customHeight="1">
      <c r="A23" s="339" t="s">
        <v>6749</v>
      </c>
      <c r="B23" s="340" t="s">
        <v>276</v>
      </c>
      <c r="C23" s="341" t="s">
        <v>1240</v>
      </c>
      <c r="D23" s="342" t="s">
        <v>19</v>
      </c>
      <c r="E23" s="342" t="s">
        <v>6711</v>
      </c>
      <c r="F23" s="342" t="s">
        <v>6753</v>
      </c>
      <c r="G23" s="360" t="s">
        <v>1373</v>
      </c>
      <c r="H23" s="338" t="s">
        <v>6731</v>
      </c>
      <c r="I23" s="349" t="s">
        <v>6767</v>
      </c>
    </row>
    <row r="24" ht="22.5" customHeight="1">
      <c r="A24" s="325" t="s">
        <v>6702</v>
      </c>
      <c r="B24" s="326" t="s">
        <v>316</v>
      </c>
      <c r="C24" s="327" t="s">
        <v>1280</v>
      </c>
      <c r="D24" s="328" t="s">
        <v>19</v>
      </c>
      <c r="E24" s="329"/>
      <c r="F24" s="330">
        <v>43990.0</v>
      </c>
      <c r="G24" s="331"/>
      <c r="H24" s="336"/>
      <c r="I24" s="337"/>
    </row>
    <row r="25" ht="22.5" hidden="1" customHeight="1">
      <c r="A25" s="339" t="s">
        <v>6755</v>
      </c>
      <c r="B25" s="340" t="s">
        <v>332</v>
      </c>
      <c r="C25" s="341" t="s">
        <v>1302</v>
      </c>
      <c r="D25" s="342" t="s">
        <v>19</v>
      </c>
      <c r="E25" s="342" t="s">
        <v>6711</v>
      </c>
      <c r="F25" s="342" t="s">
        <v>6768</v>
      </c>
      <c r="G25" s="358" t="s">
        <v>1549</v>
      </c>
      <c r="H25" s="353" t="s">
        <v>6731</v>
      </c>
      <c r="I25" s="359" t="s">
        <v>6769</v>
      </c>
    </row>
    <row r="26" ht="22.5" customHeight="1">
      <c r="A26" s="325" t="s">
        <v>6702</v>
      </c>
      <c r="B26" s="326" t="s">
        <v>369</v>
      </c>
      <c r="C26" s="327" t="s">
        <v>1348</v>
      </c>
      <c r="D26" s="328" t="s">
        <v>19</v>
      </c>
      <c r="E26" s="329"/>
      <c r="F26" s="330">
        <v>43991.0</v>
      </c>
      <c r="G26" s="331"/>
      <c r="H26" s="336"/>
      <c r="I26" s="337"/>
    </row>
    <row r="27" ht="22.5" hidden="1" customHeight="1">
      <c r="A27" s="325" t="s">
        <v>6689</v>
      </c>
      <c r="B27" s="326" t="s">
        <v>447</v>
      </c>
      <c r="C27" s="327" t="s">
        <v>1447</v>
      </c>
      <c r="D27" s="328" t="s">
        <v>19</v>
      </c>
      <c r="E27" s="328" t="s">
        <v>6711</v>
      </c>
      <c r="F27" s="330"/>
      <c r="G27" s="80" t="s">
        <v>1887</v>
      </c>
      <c r="H27" s="338" t="s">
        <v>6716</v>
      </c>
      <c r="I27" s="335"/>
    </row>
    <row r="28" ht="22.5" customHeight="1">
      <c r="A28" s="325" t="s">
        <v>6689</v>
      </c>
      <c r="B28" s="326" t="s">
        <v>234</v>
      </c>
      <c r="C28" s="327" t="s">
        <v>1195</v>
      </c>
      <c r="D28" s="328" t="s">
        <v>19</v>
      </c>
      <c r="E28" s="329"/>
      <c r="F28" s="330">
        <v>43992.0</v>
      </c>
      <c r="G28" s="331"/>
      <c r="H28" s="336"/>
      <c r="I28" s="337"/>
    </row>
    <row r="29" ht="22.5" hidden="1" customHeight="1">
      <c r="A29" s="325" t="s">
        <v>6702</v>
      </c>
      <c r="B29" s="328" t="s">
        <v>393</v>
      </c>
      <c r="C29" s="361" t="s">
        <v>6770</v>
      </c>
      <c r="D29" s="328" t="s">
        <v>19</v>
      </c>
      <c r="E29" s="328" t="s">
        <v>6711</v>
      </c>
      <c r="F29" s="330">
        <v>43986.0</v>
      </c>
      <c r="G29" s="80" t="s">
        <v>4830</v>
      </c>
      <c r="H29" s="338" t="s">
        <v>6716</v>
      </c>
      <c r="I29" s="335"/>
    </row>
    <row r="30" ht="22.5" hidden="1" customHeight="1">
      <c r="A30" s="325" t="s">
        <v>6689</v>
      </c>
      <c r="B30" s="326" t="s">
        <v>159</v>
      </c>
      <c r="C30" s="362" t="s">
        <v>6771</v>
      </c>
      <c r="D30" s="328" t="s">
        <v>19</v>
      </c>
      <c r="E30" s="326" t="s">
        <v>6711</v>
      </c>
      <c r="F30" s="330"/>
      <c r="G30" s="80" t="s">
        <v>4681</v>
      </c>
      <c r="H30" s="345" t="s">
        <v>6716</v>
      </c>
      <c r="I30" s="363"/>
    </row>
    <row r="31" ht="22.5" customHeight="1">
      <c r="A31" s="325" t="s">
        <v>6702</v>
      </c>
      <c r="B31" s="328" t="s">
        <v>6772</v>
      </c>
      <c r="C31" s="364" t="s">
        <v>1114</v>
      </c>
      <c r="D31" s="328" t="s">
        <v>19</v>
      </c>
      <c r="E31" s="329"/>
      <c r="F31" s="330">
        <v>43994.0</v>
      </c>
      <c r="G31" s="331"/>
      <c r="H31" s="334"/>
      <c r="I31" s="335"/>
    </row>
    <row r="32" ht="22.5" customHeight="1">
      <c r="A32" s="325" t="s">
        <v>6689</v>
      </c>
      <c r="B32" s="326" t="s">
        <v>6773</v>
      </c>
      <c r="C32" s="327" t="s">
        <v>1427</v>
      </c>
      <c r="D32" s="328" t="s">
        <v>19</v>
      </c>
      <c r="E32" s="325"/>
      <c r="F32" s="330">
        <v>43992.0</v>
      </c>
      <c r="G32" s="331"/>
      <c r="H32" s="336"/>
      <c r="I32" s="363"/>
    </row>
    <row r="33" ht="22.5" hidden="1" customHeight="1">
      <c r="A33" s="325" t="s">
        <v>6689</v>
      </c>
      <c r="B33" s="326" t="s">
        <v>417</v>
      </c>
      <c r="C33" s="364" t="s">
        <v>1389</v>
      </c>
      <c r="D33" s="328" t="s">
        <v>19</v>
      </c>
      <c r="E33" s="326" t="s">
        <v>6711</v>
      </c>
      <c r="F33" s="330"/>
      <c r="G33" s="80" t="s">
        <v>1565</v>
      </c>
      <c r="H33" s="338" t="s">
        <v>6716</v>
      </c>
      <c r="I33" s="365"/>
    </row>
    <row r="34" ht="22.5" customHeight="1">
      <c r="A34" s="329"/>
      <c r="B34" s="326"/>
      <c r="C34" s="366"/>
      <c r="D34" s="328"/>
      <c r="E34" s="325"/>
      <c r="F34" s="329"/>
      <c r="G34" s="331"/>
      <c r="H34" s="336"/>
      <c r="I34" s="363"/>
    </row>
  </sheetData>
  <autoFilter ref="$A$1:$I$34">
    <filterColumn colId="7">
      <filters blank="1"/>
    </filterColumn>
  </autoFilter>
  <conditionalFormatting sqref="G5">
    <cfRule type="cellIs" dxfId="0" priority="1" operator="equal">
      <formula>"ID null"</formula>
    </cfRule>
  </conditionalFormatting>
  <conditionalFormatting sqref="E2:E34">
    <cfRule type="containsText" dxfId="17" priority="2" operator="containsText" text="Recorded">
      <formula>NOT(ISERROR(SEARCH(("Recorded"),(E2))))</formula>
    </cfRule>
  </conditionalFormatting>
  <conditionalFormatting sqref="E1:E34">
    <cfRule type="containsText" dxfId="3" priority="3" operator="containsText" text="Re-record">
      <formula>NOT(ISERROR(SEARCH(("Re-record"),(E1))))</formula>
    </cfRule>
  </conditionalFormatting>
  <conditionalFormatting sqref="E2:E34">
    <cfRule type="containsText" dxfId="9" priority="4" operator="containsText" text="Cancelled">
      <formula>NOT(ISERROR(SEARCH(("Cancelled"),(E2))))</formula>
    </cfRule>
  </conditionalFormatting>
  <conditionalFormatting sqref="H2:H34">
    <cfRule type="containsText" dxfId="18" priority="5" operator="containsText" text="to">
      <formula>NOT(ISERROR(SEARCH(("to"),(H2))))</formula>
    </cfRule>
  </conditionalFormatting>
  <conditionalFormatting sqref="H2:H34">
    <cfRule type="containsText" dxfId="19" priority="6" operator="containsText" text="In progress">
      <formula>NOT(ISERROR(SEARCH(("In progress"),(H2))))</formula>
    </cfRule>
  </conditionalFormatting>
  <conditionalFormatting sqref="H2:H34">
    <cfRule type="containsText" dxfId="20" priority="7" operator="containsText" text="Done">
      <formula>NOT(ISERROR(SEARCH(("Done"),(H2))))</formula>
    </cfRule>
  </conditionalFormatting>
  <dataValidations>
    <dataValidation type="list" allowBlank="1" sqref="E2:E34">
      <formula1>"Recorded &amp; uploaded,Re-record,TBC,Cancelled,Scheduled"</formula1>
    </dataValidation>
    <dataValidation type="list" allowBlank="1" sqref="H2:H34">
      <formula1>"Done,In progress,To do"</formula1>
    </dataValidation>
  </dataValidations>
  <hyperlinks>
    <hyperlink r:id="rId1" ref="G5"/>
    <hyperlink r:id="rId2" ref="G6"/>
    <hyperlink r:id="rId3" ref="I6"/>
    <hyperlink r:id="rId4" ref="G7"/>
    <hyperlink r:id="rId5" ref="I7"/>
    <hyperlink r:id="rId6" ref="G9"/>
    <hyperlink r:id="rId7" ref="I9"/>
    <hyperlink r:id="rId8" ref="G10"/>
    <hyperlink r:id="rId9" ref="I10"/>
    <hyperlink r:id="rId10" ref="G11"/>
    <hyperlink r:id="rId11" ref="G13"/>
    <hyperlink r:id="rId12" ref="I13"/>
    <hyperlink r:id="rId13" ref="G15"/>
    <hyperlink r:id="rId14" ref="G16"/>
    <hyperlink r:id="rId15" ref="I16"/>
    <hyperlink r:id="rId16" ref="G19"/>
    <hyperlink r:id="rId17" ref="G20"/>
    <hyperlink r:id="rId18" ref="I20"/>
    <hyperlink r:id="rId19" ref="I23"/>
    <hyperlink r:id="rId20" ref="G25"/>
    <hyperlink r:id="rId21" ref="I25"/>
    <hyperlink r:id="rId22" ref="G27"/>
    <hyperlink r:id="rId23" ref="G29"/>
    <hyperlink r:id="rId24" ref="G30"/>
    <hyperlink r:id="rId25" ref="G33"/>
  </hyperlinks>
  <drawing r:id="rId2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8.0"/>
    <col customWidth="1" min="2" max="2" width="43.0"/>
    <col customWidth="1" min="3" max="3" width="41.86"/>
    <col customWidth="1" min="4" max="4" width="16.43"/>
    <col customWidth="1" min="5" max="5" width="20.0"/>
    <col customWidth="1" min="6" max="7" width="27.29"/>
  </cols>
  <sheetData>
    <row r="1" ht="22.5" customHeight="1">
      <c r="A1" s="367" t="s">
        <v>6774</v>
      </c>
    </row>
    <row r="2">
      <c r="A2" s="368" t="s">
        <v>6775</v>
      </c>
      <c r="B2" s="368" t="s">
        <v>6776</v>
      </c>
      <c r="C2" s="368" t="s">
        <v>6777</v>
      </c>
      <c r="D2" s="368" t="s">
        <v>6778</v>
      </c>
      <c r="E2" s="368" t="s">
        <v>6779</v>
      </c>
      <c r="F2" s="369" t="s">
        <v>6780</v>
      </c>
      <c r="G2" s="369" t="s">
        <v>6781</v>
      </c>
    </row>
    <row r="3">
      <c r="A3" s="370"/>
      <c r="B3" s="370" t="s">
        <v>6782</v>
      </c>
      <c r="C3" s="370" t="s">
        <v>6783</v>
      </c>
      <c r="D3" s="370" t="s">
        <v>6783</v>
      </c>
      <c r="E3" s="370"/>
      <c r="F3" s="371"/>
      <c r="G3" s="371"/>
    </row>
    <row r="4">
      <c r="A4" s="372" t="s">
        <v>6784</v>
      </c>
      <c r="B4" s="373" t="s">
        <v>6785</v>
      </c>
      <c r="C4" s="374" t="s">
        <v>1608</v>
      </c>
      <c r="D4" s="373" t="s">
        <v>3906</v>
      </c>
      <c r="E4" s="375" t="s">
        <v>6786</v>
      </c>
      <c r="F4" s="4"/>
      <c r="G4" s="376"/>
    </row>
    <row r="5">
      <c r="A5" s="372" t="s">
        <v>6787</v>
      </c>
      <c r="B5" s="373" t="s">
        <v>6788</v>
      </c>
      <c r="C5" s="376"/>
      <c r="D5" s="376"/>
      <c r="E5" s="376"/>
      <c r="F5" s="376"/>
      <c r="G5" s="376"/>
    </row>
    <row r="6">
      <c r="A6" s="372" t="s">
        <v>6789</v>
      </c>
      <c r="B6" s="373" t="s">
        <v>6790</v>
      </c>
      <c r="C6" s="376"/>
      <c r="D6" s="376"/>
      <c r="E6" s="376"/>
      <c r="F6" s="376"/>
      <c r="G6" s="376"/>
    </row>
    <row r="7">
      <c r="A7" s="372" t="s">
        <v>6791</v>
      </c>
      <c r="B7" s="373" t="s">
        <v>6792</v>
      </c>
      <c r="C7" s="376"/>
      <c r="D7" s="376"/>
      <c r="E7" s="376"/>
      <c r="F7" s="376"/>
      <c r="G7" s="376"/>
    </row>
    <row r="8">
      <c r="A8" s="372" t="s">
        <v>6793</v>
      </c>
      <c r="B8" s="373" t="s">
        <v>6794</v>
      </c>
      <c r="C8" s="376"/>
      <c r="D8" s="376"/>
      <c r="E8" s="376"/>
      <c r="F8" s="376"/>
      <c r="G8" s="376"/>
    </row>
    <row r="9">
      <c r="A9" s="372" t="s">
        <v>6795</v>
      </c>
      <c r="B9" s="373" t="s">
        <v>6796</v>
      </c>
      <c r="C9" s="376"/>
      <c r="D9" s="376"/>
      <c r="E9" s="376"/>
      <c r="F9" s="376"/>
      <c r="G9" s="376"/>
    </row>
    <row r="10">
      <c r="A10" s="372" t="s">
        <v>6797</v>
      </c>
      <c r="B10" s="373" t="s">
        <v>6798</v>
      </c>
      <c r="C10" s="376"/>
      <c r="D10" s="376"/>
      <c r="E10" s="376"/>
      <c r="F10" s="376"/>
      <c r="G10" s="376"/>
    </row>
    <row r="11">
      <c r="A11" s="372" t="s">
        <v>6799</v>
      </c>
      <c r="B11" s="373" t="s">
        <v>6800</v>
      </c>
      <c r="C11" s="376"/>
      <c r="D11" s="376"/>
      <c r="E11" s="376"/>
      <c r="F11" s="376"/>
      <c r="G11" s="376"/>
    </row>
    <row r="12">
      <c r="A12" s="372" t="s">
        <v>6801</v>
      </c>
      <c r="B12" s="373" t="s">
        <v>6802</v>
      </c>
      <c r="C12" s="376"/>
      <c r="D12" s="376"/>
      <c r="E12" s="376"/>
      <c r="F12" s="376"/>
      <c r="G12" s="376"/>
    </row>
    <row r="13">
      <c r="A13" s="372" t="s">
        <v>6803</v>
      </c>
      <c r="B13" s="373" t="s">
        <v>6804</v>
      </c>
      <c r="C13" s="376"/>
      <c r="D13" s="376"/>
      <c r="E13" s="376"/>
      <c r="F13" s="376"/>
      <c r="G13" s="376"/>
    </row>
    <row r="14">
      <c r="A14" s="372" t="s">
        <v>6805</v>
      </c>
      <c r="B14" s="373" t="s">
        <v>6804</v>
      </c>
      <c r="C14" s="376"/>
      <c r="D14" s="376"/>
      <c r="E14" s="376"/>
      <c r="F14" s="376"/>
      <c r="G14" s="376"/>
    </row>
    <row r="15">
      <c r="A15" s="372" t="s">
        <v>6806</v>
      </c>
      <c r="B15" s="373" t="s">
        <v>6804</v>
      </c>
      <c r="C15" s="376"/>
      <c r="D15" s="376"/>
      <c r="E15" s="376"/>
      <c r="F15" s="376"/>
      <c r="G15" s="376"/>
    </row>
    <row r="16">
      <c r="A16" s="372" t="s">
        <v>6807</v>
      </c>
      <c r="B16" s="373" t="s">
        <v>6804</v>
      </c>
      <c r="C16" s="376"/>
      <c r="D16" s="376"/>
      <c r="E16" s="376"/>
      <c r="F16" s="376"/>
      <c r="G16" s="376"/>
    </row>
    <row r="17">
      <c r="A17" s="372" t="s">
        <v>6808</v>
      </c>
      <c r="B17" s="373" t="s">
        <v>6804</v>
      </c>
      <c r="C17" s="376"/>
      <c r="D17" s="376"/>
      <c r="E17" s="376"/>
      <c r="F17" s="376"/>
      <c r="G17" s="376"/>
    </row>
    <row r="18">
      <c r="A18" s="372" t="s">
        <v>6809</v>
      </c>
      <c r="B18" s="373" t="s">
        <v>6804</v>
      </c>
      <c r="C18" s="376"/>
      <c r="D18" s="376"/>
      <c r="E18" s="376"/>
      <c r="F18" s="376"/>
      <c r="G18" s="376"/>
    </row>
    <row r="19">
      <c r="A19" s="372" t="s">
        <v>6810</v>
      </c>
      <c r="B19" s="373" t="s">
        <v>6804</v>
      </c>
      <c r="C19" s="376"/>
      <c r="D19" s="376"/>
      <c r="E19" s="376"/>
      <c r="F19" s="376"/>
      <c r="G19" s="376"/>
    </row>
    <row r="20">
      <c r="A20" s="372" t="s">
        <v>6811</v>
      </c>
      <c r="B20" s="373" t="s">
        <v>6804</v>
      </c>
      <c r="C20" s="376"/>
      <c r="D20" s="376"/>
      <c r="E20" s="376"/>
      <c r="F20" s="376"/>
      <c r="G20" s="376"/>
    </row>
    <row r="21">
      <c r="A21" s="372" t="s">
        <v>6812</v>
      </c>
      <c r="B21" s="373" t="s">
        <v>6804</v>
      </c>
      <c r="C21" s="376"/>
      <c r="D21" s="376"/>
      <c r="E21" s="376"/>
      <c r="F21" s="376"/>
      <c r="G21" s="376"/>
    </row>
    <row r="22">
      <c r="A22" s="372" t="s">
        <v>6813</v>
      </c>
      <c r="B22" s="373" t="s">
        <v>6804</v>
      </c>
      <c r="C22" s="376"/>
      <c r="D22" s="376"/>
      <c r="E22" s="376"/>
      <c r="F22" s="376"/>
      <c r="G22" s="376"/>
    </row>
    <row r="23">
      <c r="A23" s="372" t="s">
        <v>6814</v>
      </c>
      <c r="B23" s="373" t="s">
        <v>6804</v>
      </c>
      <c r="C23" s="376"/>
      <c r="D23" s="376"/>
      <c r="E23" s="376"/>
      <c r="F23" s="376"/>
      <c r="G23" s="376"/>
    </row>
    <row r="24">
      <c r="A24" s="372" t="s">
        <v>6815</v>
      </c>
      <c r="B24" s="373" t="s">
        <v>6804</v>
      </c>
      <c r="C24" s="376"/>
      <c r="D24" s="376"/>
      <c r="E24" s="376"/>
      <c r="F24" s="376"/>
      <c r="G24" s="376"/>
    </row>
    <row r="25">
      <c r="A25" s="372" t="s">
        <v>6816</v>
      </c>
      <c r="B25" s="373" t="s">
        <v>6804</v>
      </c>
      <c r="C25" s="376"/>
      <c r="D25" s="376"/>
      <c r="E25" s="376"/>
      <c r="F25" s="376"/>
      <c r="G25" s="376"/>
    </row>
    <row r="26">
      <c r="A26" s="377"/>
      <c r="C26" s="376"/>
      <c r="D26" s="376"/>
      <c r="E26" s="376"/>
      <c r="F26" s="376"/>
      <c r="G26" s="376"/>
    </row>
    <row r="27">
      <c r="A27" s="377"/>
      <c r="B27" s="376"/>
      <c r="C27" s="376"/>
      <c r="D27" s="376"/>
      <c r="E27" s="376"/>
      <c r="F27" s="376"/>
      <c r="G27" s="376"/>
    </row>
    <row r="28">
      <c r="A28" s="377"/>
      <c r="B28" s="376"/>
      <c r="C28" s="376"/>
      <c r="D28" s="376"/>
      <c r="E28" s="376"/>
      <c r="F28" s="376"/>
      <c r="G28" s="376"/>
    </row>
    <row r="29">
      <c r="A29" s="377"/>
      <c r="B29" s="376"/>
      <c r="C29" s="376"/>
      <c r="D29" s="376"/>
      <c r="E29" s="376"/>
      <c r="F29" s="376"/>
      <c r="G29" s="376"/>
    </row>
    <row r="30">
      <c r="A30" s="377"/>
      <c r="B30" s="376"/>
      <c r="C30" s="376"/>
      <c r="D30" s="376"/>
      <c r="E30" s="376"/>
      <c r="F30" s="376"/>
      <c r="G30" s="376"/>
    </row>
    <row r="31">
      <c r="A31" s="377"/>
      <c r="B31" s="376"/>
      <c r="C31" s="376"/>
      <c r="D31" s="376"/>
      <c r="E31" s="376"/>
      <c r="F31" s="376"/>
      <c r="G31" s="376"/>
    </row>
    <row r="32">
      <c r="B32" s="376"/>
      <c r="C32" s="376"/>
      <c r="D32" s="376"/>
      <c r="E32" s="376"/>
      <c r="F32" s="376"/>
      <c r="G32" s="376"/>
    </row>
  </sheetData>
  <mergeCells count="1">
    <mergeCell ref="A1:G1"/>
  </mergeCells>
  <conditionalFormatting sqref="F4">
    <cfRule type="cellIs" dxfId="0" priority="1" operator="equal">
      <formula>"ID null"</formula>
    </cfRule>
  </conditionalFormatting>
  <conditionalFormatting sqref="C4:E32">
    <cfRule type="containsText" dxfId="20" priority="2" operator="containsText" text="Yes">
      <formula>NOT(ISERROR(SEARCH(("Yes"),(C4))))</formula>
    </cfRule>
  </conditionalFormatting>
  <dataValidations>
    <dataValidation type="list" allowBlank="1" sqref="F4:F32">
      <formula1>Lists!$B$2:$B$1000</formula1>
    </dataValidation>
    <dataValidation type="list" allowBlank="1" sqref="D4:D32">
      <formula1>"Yes,No,TBC"</formula1>
    </dataValidation>
    <dataValidation type="list" allowBlank="1" sqref="G4:G32">
      <formula1>"Done,In progress,TBC"</formula1>
    </dataValidation>
  </dataValidations>
  <hyperlinks>
    <hyperlink r:id="rId1" ref="E4"/>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4.43" defaultRowHeight="15.75"/>
  <cols>
    <col customWidth="1" min="1" max="1" width="11.0"/>
    <col customWidth="1" min="4" max="4" width="22.57"/>
    <col customWidth="1" min="6" max="6" width="18.43"/>
    <col customWidth="1" min="7" max="7" width="12.29"/>
    <col customWidth="1" min="8" max="8" width="22.57"/>
    <col customWidth="1" min="9" max="9" width="10.0"/>
    <col customWidth="1" min="10" max="10" width="10.86"/>
    <col customWidth="1" min="11" max="11" width="10.71"/>
    <col customWidth="1" min="13" max="13" width="19.86"/>
  </cols>
  <sheetData>
    <row r="1" ht="19.5" customHeight="1">
      <c r="A1" s="3" t="s">
        <v>6817</v>
      </c>
      <c r="B1" s="3" t="s">
        <v>6818</v>
      </c>
      <c r="C1" s="3" t="s">
        <v>3147</v>
      </c>
      <c r="D1" s="3" t="s">
        <v>536</v>
      </c>
      <c r="E1" s="3" t="s">
        <v>11</v>
      </c>
      <c r="F1" s="164" t="s">
        <v>537</v>
      </c>
      <c r="G1" s="164" t="s">
        <v>58</v>
      </c>
      <c r="H1" s="165" t="s">
        <v>538</v>
      </c>
      <c r="I1" s="162" t="s">
        <v>38</v>
      </c>
      <c r="J1" s="162" t="s">
        <v>541</v>
      </c>
      <c r="K1" s="162" t="s">
        <v>9</v>
      </c>
      <c r="L1" s="3" t="s">
        <v>3071</v>
      </c>
      <c r="M1" s="162" t="s">
        <v>547</v>
      </c>
    </row>
    <row r="2">
      <c r="D2" s="4"/>
      <c r="E2" s="203"/>
      <c r="G2" s="166"/>
      <c r="H2" s="166"/>
      <c r="I2" s="166"/>
      <c r="J2" s="166"/>
      <c r="K2" s="166"/>
    </row>
    <row r="3">
      <c r="D3" s="4"/>
      <c r="E3" s="4"/>
      <c r="G3" s="166"/>
      <c r="H3" s="166"/>
      <c r="I3" s="166"/>
      <c r="J3" s="166"/>
      <c r="K3" s="166"/>
    </row>
    <row r="4">
      <c r="D4" s="4"/>
      <c r="E4" s="4"/>
      <c r="G4" s="166"/>
      <c r="H4" s="166"/>
      <c r="I4" s="166"/>
      <c r="J4" s="166"/>
      <c r="K4" s="166"/>
    </row>
    <row r="5">
      <c r="D5" s="4"/>
      <c r="E5" s="4"/>
      <c r="G5" s="166"/>
      <c r="H5" s="166"/>
      <c r="I5" s="166"/>
      <c r="J5" s="166"/>
      <c r="K5" s="166"/>
    </row>
    <row r="6">
      <c r="D6" s="4"/>
      <c r="E6" s="4"/>
      <c r="G6" s="166"/>
      <c r="H6" s="166"/>
      <c r="I6" s="166"/>
      <c r="J6" s="166"/>
      <c r="K6" s="166"/>
    </row>
    <row r="7">
      <c r="D7" s="4"/>
      <c r="E7" s="4"/>
      <c r="G7" s="166"/>
      <c r="H7" s="166"/>
      <c r="I7" s="166"/>
      <c r="J7" s="166"/>
      <c r="K7" s="166"/>
    </row>
    <row r="8">
      <c r="D8" s="4"/>
      <c r="E8" s="4"/>
      <c r="G8" s="166"/>
      <c r="H8" s="166"/>
      <c r="I8" s="166"/>
      <c r="J8" s="166"/>
      <c r="K8" s="166"/>
    </row>
    <row r="9">
      <c r="D9" s="4"/>
      <c r="E9" s="4"/>
      <c r="G9" s="166"/>
      <c r="H9" s="166"/>
      <c r="I9" s="166"/>
      <c r="J9" s="166"/>
      <c r="K9" s="166"/>
    </row>
    <row r="10">
      <c r="D10" s="4"/>
      <c r="E10" s="4"/>
      <c r="G10" s="166"/>
      <c r="H10" s="166"/>
      <c r="I10" s="166"/>
      <c r="J10" s="166"/>
      <c r="K10" s="166"/>
    </row>
    <row r="11" ht="15.0" customHeight="1">
      <c r="D11" s="4"/>
      <c r="E11" s="4"/>
      <c r="G11" s="166"/>
      <c r="H11" s="166"/>
      <c r="I11" s="166"/>
      <c r="J11" s="166"/>
      <c r="K11" s="166"/>
    </row>
    <row r="12">
      <c r="D12" s="4"/>
      <c r="E12" s="4"/>
      <c r="G12" s="166"/>
      <c r="H12" s="166"/>
      <c r="I12" s="166"/>
      <c r="J12" s="166"/>
      <c r="K12" s="166"/>
    </row>
    <row r="13">
      <c r="D13" s="4"/>
      <c r="E13" s="4"/>
      <c r="G13" s="166"/>
      <c r="H13" s="166"/>
      <c r="I13" s="166"/>
      <c r="J13" s="166"/>
      <c r="K13" s="166"/>
    </row>
    <row r="14">
      <c r="D14" s="4"/>
      <c r="E14" s="4"/>
      <c r="G14" s="166"/>
      <c r="H14" s="166"/>
      <c r="I14" s="166"/>
      <c r="J14" s="166"/>
      <c r="K14" s="166"/>
    </row>
    <row r="15">
      <c r="D15" s="4"/>
      <c r="E15" s="4"/>
      <c r="G15" s="166"/>
      <c r="H15" s="166"/>
      <c r="I15" s="166"/>
      <c r="J15" s="166"/>
      <c r="K15" s="166"/>
    </row>
    <row r="16">
      <c r="D16" s="4"/>
      <c r="E16" s="4"/>
      <c r="G16" s="166"/>
      <c r="H16" s="166"/>
      <c r="I16" s="166"/>
      <c r="J16" s="166"/>
      <c r="K16" s="166"/>
    </row>
    <row r="17">
      <c r="D17" s="4"/>
      <c r="E17" s="4"/>
      <c r="G17" s="166"/>
      <c r="H17" s="166"/>
      <c r="I17" s="166"/>
      <c r="J17" s="166"/>
      <c r="K17" s="166"/>
    </row>
    <row r="18">
      <c r="D18" s="4"/>
      <c r="E18" s="4"/>
      <c r="G18" s="166"/>
      <c r="H18" s="166"/>
      <c r="I18" s="166"/>
      <c r="J18" s="166"/>
      <c r="K18" s="166"/>
    </row>
    <row r="19">
      <c r="D19" s="4"/>
      <c r="E19" s="4"/>
      <c r="G19" s="166"/>
      <c r="H19" s="166"/>
      <c r="I19" s="166"/>
      <c r="J19" s="166"/>
      <c r="K19" s="166"/>
    </row>
    <row r="20">
      <c r="D20" s="4"/>
      <c r="E20" s="4"/>
      <c r="G20" s="166"/>
      <c r="H20" s="166"/>
      <c r="I20" s="166"/>
      <c r="J20" s="166"/>
      <c r="K20" s="166"/>
    </row>
    <row r="21">
      <c r="D21" s="4"/>
      <c r="E21" s="4"/>
      <c r="G21" s="166"/>
      <c r="H21" s="166"/>
      <c r="I21" s="166"/>
      <c r="J21" s="166"/>
      <c r="K21" s="166"/>
    </row>
    <row r="22">
      <c r="D22" s="4"/>
      <c r="E22" s="4"/>
      <c r="G22" s="166"/>
      <c r="H22" s="166"/>
      <c r="I22" s="166"/>
      <c r="J22" s="166"/>
      <c r="K22" s="166"/>
    </row>
    <row r="23">
      <c r="D23" s="4"/>
      <c r="E23" s="4"/>
      <c r="G23" s="166"/>
      <c r="H23" s="166"/>
      <c r="I23" s="166"/>
      <c r="J23" s="166"/>
      <c r="K23" s="166"/>
    </row>
    <row r="24">
      <c r="D24" s="4"/>
      <c r="E24" s="4"/>
      <c r="G24" s="166"/>
      <c r="H24" s="166"/>
      <c r="I24" s="166"/>
      <c r="J24" s="166"/>
      <c r="K24" s="166"/>
    </row>
    <row r="25">
      <c r="D25" s="4"/>
      <c r="E25" s="4"/>
      <c r="G25" s="166"/>
      <c r="H25" s="166"/>
      <c r="I25" s="166"/>
      <c r="J25" s="166"/>
      <c r="K25" s="166"/>
    </row>
    <row r="26">
      <c r="D26" s="4"/>
      <c r="E26" s="4"/>
      <c r="G26" s="166"/>
      <c r="H26" s="166"/>
      <c r="I26" s="166"/>
      <c r="J26" s="166"/>
      <c r="K26" s="166"/>
    </row>
    <row r="27">
      <c r="D27" s="4"/>
      <c r="E27" s="4"/>
      <c r="G27" s="166"/>
      <c r="H27" s="166"/>
      <c r="I27" s="166"/>
      <c r="J27" s="166"/>
      <c r="K27" s="166"/>
    </row>
    <row r="28">
      <c r="D28" s="4"/>
      <c r="E28" s="4"/>
      <c r="G28" s="166"/>
      <c r="H28" s="166"/>
      <c r="I28" s="166"/>
      <c r="J28" s="166"/>
      <c r="K28" s="166"/>
    </row>
    <row r="29">
      <c r="D29" s="4"/>
      <c r="E29" s="4"/>
      <c r="G29" s="166"/>
      <c r="H29" s="166"/>
      <c r="I29" s="166"/>
      <c r="J29" s="166"/>
      <c r="K29" s="166"/>
    </row>
    <row r="30">
      <c r="D30" s="4"/>
      <c r="E30" s="4"/>
      <c r="G30" s="166"/>
      <c r="H30" s="166"/>
      <c r="I30" s="166"/>
      <c r="J30" s="166"/>
      <c r="K30" s="166"/>
    </row>
    <row r="31">
      <c r="D31" s="4"/>
      <c r="E31" s="4"/>
      <c r="G31" s="166"/>
      <c r="H31" s="166"/>
      <c r="I31" s="166"/>
      <c r="J31" s="166"/>
      <c r="K31" s="166"/>
    </row>
    <row r="32">
      <c r="G32" s="166"/>
      <c r="H32" s="166"/>
      <c r="I32" s="166"/>
      <c r="J32" s="166"/>
      <c r="K32" s="166"/>
    </row>
    <row r="33">
      <c r="D33" s="4"/>
      <c r="E33" s="4"/>
      <c r="G33" s="166"/>
      <c r="H33" s="166"/>
      <c r="I33" s="166"/>
      <c r="J33" s="166"/>
      <c r="K33" s="166"/>
    </row>
    <row r="34">
      <c r="D34" s="4"/>
      <c r="E34" s="4"/>
      <c r="G34" s="166"/>
      <c r="H34" s="166"/>
      <c r="I34" s="166"/>
      <c r="J34" s="166"/>
      <c r="K34" s="166"/>
    </row>
    <row r="35">
      <c r="D35" s="4"/>
      <c r="E35" s="4"/>
      <c r="G35" s="166"/>
      <c r="H35" s="166"/>
      <c r="I35" s="166"/>
      <c r="J35" s="166"/>
      <c r="K35" s="166"/>
    </row>
    <row r="36">
      <c r="D36" s="4"/>
      <c r="E36" s="4"/>
      <c r="G36" s="166"/>
      <c r="H36" s="166"/>
      <c r="I36" s="166"/>
      <c r="J36" s="166"/>
      <c r="K36" s="166"/>
    </row>
    <row r="37">
      <c r="D37" s="4"/>
      <c r="E37" s="4"/>
      <c r="G37" s="166"/>
      <c r="H37" s="166"/>
      <c r="I37" s="166"/>
      <c r="J37" s="166"/>
      <c r="K37" s="166"/>
    </row>
    <row r="38">
      <c r="D38" s="4"/>
      <c r="E38" s="4"/>
      <c r="G38" s="166"/>
      <c r="H38" s="166"/>
      <c r="I38" s="166"/>
      <c r="J38" s="166"/>
      <c r="K38" s="166"/>
    </row>
    <row r="39">
      <c r="D39" s="4"/>
      <c r="E39" s="4"/>
      <c r="G39" s="166"/>
      <c r="H39" s="166"/>
      <c r="I39" s="166"/>
      <c r="J39" s="166"/>
      <c r="K39" s="166"/>
    </row>
    <row r="40">
      <c r="D40" s="4"/>
      <c r="E40" s="4"/>
      <c r="G40" s="166"/>
      <c r="H40" s="166"/>
      <c r="I40" s="166"/>
      <c r="J40" s="166"/>
      <c r="K40" s="166"/>
    </row>
    <row r="41">
      <c r="D41" s="4"/>
      <c r="E41" s="4"/>
      <c r="G41" s="166"/>
      <c r="H41" s="166"/>
      <c r="I41" s="166"/>
      <c r="J41" s="166"/>
      <c r="K41" s="166"/>
    </row>
    <row r="42">
      <c r="D42" s="4"/>
      <c r="E42" s="4"/>
      <c r="G42" s="166"/>
      <c r="H42" s="166"/>
      <c r="I42" s="166"/>
      <c r="J42" s="166"/>
      <c r="K42" s="166"/>
    </row>
    <row r="43">
      <c r="D43" s="4"/>
      <c r="E43" s="4"/>
      <c r="G43" s="166"/>
      <c r="H43" s="166"/>
      <c r="I43" s="166"/>
      <c r="J43" s="166"/>
      <c r="K43" s="166"/>
    </row>
    <row r="44">
      <c r="D44" s="4"/>
      <c r="E44" s="4"/>
      <c r="G44" s="166"/>
      <c r="H44" s="166"/>
      <c r="I44" s="166"/>
      <c r="J44" s="166"/>
      <c r="K44" s="166"/>
    </row>
    <row r="45">
      <c r="D45" s="4"/>
      <c r="E45" s="4"/>
      <c r="G45" s="166"/>
      <c r="H45" s="166"/>
      <c r="I45" s="166"/>
      <c r="J45" s="166"/>
      <c r="K45" s="166"/>
    </row>
    <row r="46">
      <c r="D46" s="4"/>
      <c r="E46" s="4"/>
      <c r="G46" s="166"/>
      <c r="H46" s="166"/>
      <c r="I46" s="166"/>
      <c r="J46" s="166"/>
      <c r="K46" s="166"/>
    </row>
    <row r="47">
      <c r="D47" s="4"/>
      <c r="E47" s="4"/>
      <c r="G47" s="166"/>
      <c r="H47" s="166"/>
      <c r="I47" s="166"/>
      <c r="J47" s="166"/>
      <c r="K47" s="166"/>
    </row>
    <row r="48">
      <c r="D48" s="4"/>
      <c r="E48" s="4"/>
      <c r="G48" s="166"/>
      <c r="H48" s="166"/>
      <c r="I48" s="166"/>
      <c r="J48" s="166"/>
      <c r="K48" s="166"/>
    </row>
    <row r="49">
      <c r="D49" s="4"/>
      <c r="E49" s="4"/>
      <c r="G49" s="166"/>
      <c r="H49" s="166"/>
      <c r="I49" s="166"/>
      <c r="J49" s="166"/>
      <c r="K49" s="166"/>
    </row>
    <row r="50">
      <c r="D50" s="4"/>
      <c r="E50" s="4"/>
      <c r="G50" s="166"/>
      <c r="H50" s="166"/>
      <c r="I50" s="166"/>
      <c r="J50" s="166"/>
      <c r="K50" s="166"/>
    </row>
    <row r="51">
      <c r="D51" s="4"/>
      <c r="E51" s="4"/>
      <c r="G51" s="166"/>
      <c r="H51" s="166"/>
      <c r="I51" s="166"/>
      <c r="J51" s="166"/>
      <c r="K51" s="166"/>
    </row>
    <row r="52">
      <c r="G52" s="166"/>
      <c r="H52" s="166"/>
      <c r="I52" s="166"/>
      <c r="J52" s="166"/>
      <c r="K52" s="166"/>
    </row>
    <row r="54">
      <c r="D54" s="4"/>
      <c r="E54" s="4"/>
      <c r="G54" s="166"/>
      <c r="H54" s="166"/>
      <c r="I54" s="166"/>
      <c r="J54" s="166"/>
      <c r="K54" s="166"/>
    </row>
    <row r="55">
      <c r="D55" s="4"/>
      <c r="E55" s="4"/>
      <c r="G55" s="166"/>
      <c r="H55" s="166"/>
      <c r="I55" s="166"/>
      <c r="J55" s="166"/>
      <c r="K55" s="166"/>
    </row>
    <row r="56">
      <c r="D56" s="4"/>
      <c r="E56" s="4"/>
      <c r="G56" s="166"/>
      <c r="H56" s="166"/>
      <c r="I56" s="166"/>
      <c r="J56" s="166"/>
      <c r="K56" s="166"/>
    </row>
    <row r="57">
      <c r="D57" s="4"/>
      <c r="E57" s="4"/>
      <c r="G57" s="166"/>
      <c r="H57" s="166"/>
      <c r="I57" s="166"/>
      <c r="J57" s="166"/>
      <c r="K57" s="166"/>
    </row>
    <row r="58">
      <c r="D58" s="4"/>
      <c r="E58" s="4"/>
      <c r="G58" s="166"/>
      <c r="H58" s="166"/>
      <c r="I58" s="166"/>
      <c r="J58" s="166"/>
      <c r="K58" s="166"/>
    </row>
    <row r="59">
      <c r="D59" s="4"/>
      <c r="E59" s="4"/>
      <c r="G59" s="166"/>
      <c r="H59" s="166"/>
      <c r="I59" s="166"/>
      <c r="J59" s="166"/>
      <c r="K59" s="166"/>
    </row>
    <row r="60">
      <c r="D60" s="4"/>
      <c r="E60" s="4"/>
      <c r="G60" s="166"/>
      <c r="H60" s="166"/>
      <c r="I60" s="166"/>
      <c r="J60" s="166"/>
      <c r="K60" s="166"/>
    </row>
    <row r="61">
      <c r="D61" s="4"/>
      <c r="E61" s="4"/>
      <c r="G61" s="166"/>
      <c r="H61" s="166"/>
      <c r="I61" s="166"/>
      <c r="J61" s="166"/>
      <c r="K61" s="166"/>
    </row>
    <row r="62">
      <c r="D62" s="4"/>
      <c r="E62" s="4"/>
      <c r="G62" s="166"/>
      <c r="H62" s="166"/>
      <c r="I62" s="166"/>
      <c r="J62" s="166"/>
      <c r="K62" s="166"/>
    </row>
    <row r="63">
      <c r="D63" s="4"/>
      <c r="E63" s="4"/>
      <c r="G63" s="166"/>
      <c r="H63" s="166"/>
      <c r="I63" s="166"/>
      <c r="J63" s="166"/>
      <c r="K63" s="166"/>
    </row>
    <row r="64">
      <c r="G64" s="166"/>
      <c r="H64" s="166"/>
      <c r="I64" s="166"/>
      <c r="J64" s="166"/>
      <c r="K64" s="166"/>
    </row>
    <row r="65">
      <c r="D65" s="4"/>
      <c r="E65" s="4"/>
      <c r="G65" s="166"/>
      <c r="H65" s="166"/>
      <c r="I65" s="166"/>
      <c r="J65" s="166"/>
      <c r="K65" s="166"/>
    </row>
    <row r="66">
      <c r="D66" s="4"/>
      <c r="E66" s="4"/>
      <c r="G66" s="166"/>
      <c r="H66" s="166"/>
      <c r="I66" s="166"/>
      <c r="J66" s="166"/>
      <c r="K66" s="166"/>
    </row>
    <row r="67">
      <c r="G67" s="166"/>
      <c r="H67" s="166"/>
      <c r="I67" s="166"/>
      <c r="J67" s="166"/>
      <c r="K67" s="166"/>
    </row>
    <row r="68">
      <c r="G68" s="166"/>
      <c r="H68" s="166"/>
      <c r="I68" s="166"/>
      <c r="J68" s="166"/>
      <c r="K68" s="166"/>
    </row>
    <row r="69">
      <c r="G69" s="166"/>
      <c r="H69" s="166"/>
      <c r="I69" s="166"/>
      <c r="J69" s="166"/>
      <c r="K69" s="166"/>
    </row>
    <row r="70">
      <c r="G70" s="166"/>
      <c r="H70" s="166"/>
      <c r="I70" s="166"/>
      <c r="J70" s="166"/>
      <c r="K70" s="166"/>
    </row>
    <row r="71">
      <c r="G71" s="166"/>
      <c r="H71" s="166"/>
      <c r="I71" s="166"/>
      <c r="J71" s="166"/>
      <c r="K71" s="166"/>
    </row>
    <row r="72">
      <c r="G72" s="166"/>
      <c r="H72" s="166"/>
      <c r="I72" s="166"/>
      <c r="J72" s="166"/>
      <c r="K72" s="166"/>
    </row>
    <row r="73">
      <c r="G73" s="166"/>
      <c r="H73" s="166"/>
      <c r="I73" s="166"/>
      <c r="J73" s="166"/>
      <c r="K73" s="166"/>
    </row>
    <row r="74">
      <c r="G74" s="166"/>
      <c r="H74" s="166"/>
      <c r="I74" s="166"/>
      <c r="J74" s="166"/>
      <c r="K74" s="166"/>
    </row>
    <row r="75">
      <c r="G75" s="166"/>
      <c r="H75" s="166"/>
      <c r="I75" s="166"/>
      <c r="J75" s="166"/>
      <c r="K75" s="166"/>
    </row>
    <row r="76">
      <c r="G76" s="166"/>
      <c r="H76" s="166"/>
      <c r="I76" s="166"/>
      <c r="J76" s="166"/>
      <c r="K76" s="166"/>
    </row>
  </sheetData>
  <conditionalFormatting sqref="G1:G52 I1:K52 H2:H52 G54:K76">
    <cfRule type="cellIs" dxfId="1" priority="1" operator="equal">
      <formula>"FALSE"</formula>
    </cfRule>
  </conditionalFormatting>
  <conditionalFormatting sqref="G1:G52 I1:K52 H2:H52 G54:K76">
    <cfRule type="containsText" dxfId="2" priority="2" operator="containsText" text="TRUE">
      <formula>NOT(ISERROR(SEARCH(("TRUE"),(G1))))</formula>
    </cfRule>
  </conditionalFormatting>
  <conditionalFormatting sqref="A1:D1 E1:E52 F1 G1:M52 F3:F52 E54:M76">
    <cfRule type="cellIs" dxfId="0" priority="3" operator="equal">
      <formula>"ID null"</formula>
    </cfRule>
  </conditionalFormatting>
  <dataValidations>
    <dataValidation type="list" allowBlank="1" sqref="D2:D31 D33:D51 D54:D63 D65:D66">
      <formula1>Lists!$A$2:$A76</formula1>
    </dataValidation>
    <dataValidation type="list" allowBlank="1" sqref="E2:E31 E33:E51 E54:E63 E65:E66">
      <formula1>Lists!$B$2:$B$1000</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4.43" defaultRowHeight="15.75"/>
  <cols>
    <col customWidth="1" min="5" max="5" width="18.0"/>
    <col customWidth="1" min="10" max="10" width="31.29"/>
  </cols>
  <sheetData>
    <row r="1" ht="28.5" customHeight="1">
      <c r="A1" s="3" t="s">
        <v>6818</v>
      </c>
      <c r="B1" s="3" t="s">
        <v>3147</v>
      </c>
      <c r="C1" s="3" t="s">
        <v>536</v>
      </c>
      <c r="D1" s="3" t="s">
        <v>11</v>
      </c>
      <c r="E1" s="164" t="s">
        <v>537</v>
      </c>
      <c r="F1" s="185" t="s">
        <v>58</v>
      </c>
      <c r="G1" s="186" t="s">
        <v>38</v>
      </c>
      <c r="H1" s="162" t="s">
        <v>547</v>
      </c>
      <c r="I1" s="3" t="s">
        <v>3071</v>
      </c>
      <c r="J1" s="186" t="s">
        <v>6822</v>
      </c>
    </row>
    <row r="2">
      <c r="C2" s="4"/>
      <c r="D2" s="203"/>
      <c r="F2" s="166" t="b">
        <v>0</v>
      </c>
      <c r="G2" s="166" t="b">
        <v>0</v>
      </c>
      <c r="J2" s="166" t="b">
        <v>0</v>
      </c>
    </row>
    <row r="3">
      <c r="C3" s="4"/>
      <c r="D3" s="4"/>
      <c r="F3" s="166" t="b">
        <v>0</v>
      </c>
      <c r="G3" s="166" t="b">
        <v>0</v>
      </c>
      <c r="J3" s="166" t="b">
        <v>0</v>
      </c>
    </row>
  </sheetData>
  <conditionalFormatting sqref="F1:G3 J1:J3">
    <cfRule type="cellIs" dxfId="1" priority="1" operator="equal">
      <formula>"FALSE"</formula>
    </cfRule>
  </conditionalFormatting>
  <conditionalFormatting sqref="F1:G3 J1:J3">
    <cfRule type="containsText" dxfId="2" priority="2" operator="containsText" text="TRUE">
      <formula>NOT(ISERROR(SEARCH(("TRUE"),(F1))))</formula>
    </cfRule>
  </conditionalFormatting>
  <conditionalFormatting sqref="A1:C1 D1:D3 E1 F1:J3 E3">
    <cfRule type="cellIs" dxfId="0" priority="3" operator="equal">
      <formula>"ID null"</formula>
    </cfRule>
  </conditionalFormatting>
  <dataValidations>
    <dataValidation type="list" allowBlank="1" sqref="C2:C3">
      <formula1>Lists!$A$2:$A1000</formula1>
    </dataValidation>
    <dataValidation type="list" allowBlank="1" sqref="D2:D3">
      <formula1>Lists!$B$2:$B$1000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14"/>
    <col customWidth="1" min="2" max="2" width="20.86"/>
    <col customWidth="1" min="3" max="3" width="15.71"/>
    <col customWidth="1" min="4" max="4" width="17.29"/>
    <col customWidth="1" min="6" max="6" width="17.86"/>
  </cols>
  <sheetData>
    <row r="1" ht="31.5" customHeight="1">
      <c r="A1" s="378" t="s">
        <v>6818</v>
      </c>
      <c r="B1" s="378" t="s">
        <v>6830</v>
      </c>
      <c r="C1" s="378" t="s">
        <v>6833</v>
      </c>
      <c r="D1" s="379" t="s">
        <v>537</v>
      </c>
      <c r="E1" s="380" t="s">
        <v>58</v>
      </c>
      <c r="F1" s="381" t="s">
        <v>6839</v>
      </c>
      <c r="G1" s="381" t="s">
        <v>4037</v>
      </c>
    </row>
    <row r="2">
      <c r="A2" s="45" t="s">
        <v>6842</v>
      </c>
      <c r="B2" s="45" t="s">
        <v>6844</v>
      </c>
      <c r="C2" s="45" t="s">
        <v>6845</v>
      </c>
      <c r="D2" s="111" t="s">
        <v>6846</v>
      </c>
      <c r="E2" s="51" t="b">
        <v>1</v>
      </c>
      <c r="F2" s="51"/>
      <c r="G2" s="51" t="b">
        <v>0</v>
      </c>
    </row>
    <row r="3">
      <c r="A3" s="45" t="s">
        <v>6863</v>
      </c>
      <c r="B3" s="45" t="s">
        <v>6844</v>
      </c>
      <c r="C3" s="45" t="s">
        <v>6845</v>
      </c>
      <c r="D3" s="80" t="s">
        <v>6865</v>
      </c>
      <c r="E3" s="51" t="b">
        <v>1</v>
      </c>
      <c r="F3" s="51"/>
      <c r="G3" s="51" t="b">
        <v>0</v>
      </c>
    </row>
    <row r="4">
      <c r="A4" s="45" t="s">
        <v>6874</v>
      </c>
      <c r="B4" s="45" t="s">
        <v>6875</v>
      </c>
      <c r="C4" s="45" t="s">
        <v>6845</v>
      </c>
      <c r="D4" s="80" t="s">
        <v>6876</v>
      </c>
      <c r="E4" s="51" t="b">
        <v>1</v>
      </c>
      <c r="F4" s="51"/>
      <c r="G4" s="51" t="b">
        <v>0</v>
      </c>
    </row>
    <row r="5">
      <c r="E5" s="51" t="b">
        <v>0</v>
      </c>
      <c r="F5" s="51"/>
      <c r="G5" s="51" t="b">
        <v>0</v>
      </c>
    </row>
    <row r="6">
      <c r="E6" s="51" t="b">
        <v>0</v>
      </c>
      <c r="F6" s="51"/>
      <c r="G6" s="51" t="b">
        <v>0</v>
      </c>
    </row>
    <row r="7">
      <c r="E7" s="51" t="b">
        <v>0</v>
      </c>
      <c r="F7" s="51"/>
      <c r="G7" s="51" t="b">
        <v>0</v>
      </c>
    </row>
    <row r="8">
      <c r="E8" s="51" t="b">
        <v>0</v>
      </c>
      <c r="F8" s="51"/>
      <c r="G8" s="51" t="b">
        <v>0</v>
      </c>
    </row>
    <row r="9">
      <c r="E9" s="51" t="b">
        <v>0</v>
      </c>
      <c r="F9" s="51"/>
      <c r="G9" s="51" t="b">
        <v>0</v>
      </c>
    </row>
    <row r="10">
      <c r="E10" s="51" t="b">
        <v>0</v>
      </c>
      <c r="F10" s="51"/>
      <c r="G10" s="51" t="b">
        <v>0</v>
      </c>
    </row>
    <row r="11">
      <c r="E11" s="51" t="b">
        <v>0</v>
      </c>
      <c r="F11" s="51"/>
      <c r="G11" s="51" t="b">
        <v>0</v>
      </c>
    </row>
    <row r="12">
      <c r="E12" s="51" t="b">
        <v>0</v>
      </c>
      <c r="F12" s="51"/>
      <c r="G12" s="51" t="b">
        <v>0</v>
      </c>
    </row>
    <row r="13">
      <c r="E13" s="51" t="b">
        <v>0</v>
      </c>
      <c r="F13" s="51"/>
      <c r="G13" s="51" t="b">
        <v>0</v>
      </c>
    </row>
    <row r="14">
      <c r="F14" s="4"/>
    </row>
    <row r="15">
      <c r="F15" s="4"/>
    </row>
    <row r="16">
      <c r="F16" s="4"/>
    </row>
    <row r="17">
      <c r="F17" s="4"/>
    </row>
    <row r="18">
      <c r="F18" s="4"/>
    </row>
    <row r="19">
      <c r="F19" s="4"/>
    </row>
    <row r="20">
      <c r="F20" s="4"/>
    </row>
    <row r="21">
      <c r="F21" s="4"/>
    </row>
    <row r="22">
      <c r="F22" s="4"/>
    </row>
    <row r="23">
      <c r="F23" s="4"/>
    </row>
    <row r="24">
      <c r="F24" s="4"/>
    </row>
    <row r="25">
      <c r="F25" s="4"/>
    </row>
    <row r="26">
      <c r="F26" s="4"/>
    </row>
    <row r="27">
      <c r="F27" s="4"/>
    </row>
    <row r="28">
      <c r="F28" s="4"/>
    </row>
    <row r="29">
      <c r="F29" s="4"/>
    </row>
    <row r="30">
      <c r="F30" s="4"/>
    </row>
    <row r="31">
      <c r="F31" s="4"/>
    </row>
    <row r="32">
      <c r="F32" s="4"/>
    </row>
    <row r="33">
      <c r="F33" s="4"/>
    </row>
    <row r="34">
      <c r="F34" s="4"/>
    </row>
    <row r="35">
      <c r="F35" s="4"/>
    </row>
    <row r="36">
      <c r="F36" s="4"/>
    </row>
    <row r="37">
      <c r="F37" s="4"/>
    </row>
    <row r="38">
      <c r="F38" s="4"/>
    </row>
    <row r="39">
      <c r="F39" s="4"/>
    </row>
    <row r="40">
      <c r="F40" s="4"/>
    </row>
    <row r="41">
      <c r="F41" s="4"/>
    </row>
    <row r="42">
      <c r="F42" s="4"/>
    </row>
    <row r="43">
      <c r="F43" s="4"/>
    </row>
    <row r="44">
      <c r="F44" s="4"/>
    </row>
    <row r="45">
      <c r="F45" s="4"/>
    </row>
    <row r="46">
      <c r="F46" s="4"/>
    </row>
    <row r="47">
      <c r="F47" s="4"/>
    </row>
    <row r="48">
      <c r="F48" s="4"/>
    </row>
    <row r="49">
      <c r="F49" s="4"/>
    </row>
    <row r="50">
      <c r="F50" s="4"/>
    </row>
    <row r="51">
      <c r="F51" s="4"/>
    </row>
    <row r="52">
      <c r="F52" s="4"/>
    </row>
    <row r="53">
      <c r="F53" s="4"/>
    </row>
    <row r="54">
      <c r="F54" s="4"/>
    </row>
    <row r="55">
      <c r="F55" s="4"/>
    </row>
    <row r="56">
      <c r="F56" s="4"/>
    </row>
    <row r="57">
      <c r="F57" s="4"/>
    </row>
    <row r="58">
      <c r="F58" s="4"/>
    </row>
    <row r="59">
      <c r="F59" s="4"/>
    </row>
    <row r="60">
      <c r="F60" s="4"/>
    </row>
    <row r="61">
      <c r="F61" s="4"/>
    </row>
    <row r="62">
      <c r="F62" s="4"/>
    </row>
    <row r="63">
      <c r="F63" s="4"/>
    </row>
    <row r="64">
      <c r="F64" s="4"/>
    </row>
    <row r="65">
      <c r="F65" s="4"/>
    </row>
    <row r="66">
      <c r="F66" s="4"/>
    </row>
    <row r="67">
      <c r="F67" s="4"/>
    </row>
    <row r="68">
      <c r="F68" s="4"/>
    </row>
    <row r="69">
      <c r="F69" s="4"/>
    </row>
    <row r="70">
      <c r="F70" s="4"/>
    </row>
    <row r="71">
      <c r="F71" s="4"/>
    </row>
    <row r="72">
      <c r="F72" s="4"/>
    </row>
    <row r="73">
      <c r="F73" s="4"/>
    </row>
    <row r="74">
      <c r="F74" s="4"/>
    </row>
    <row r="75">
      <c r="F75" s="4"/>
    </row>
    <row r="76">
      <c r="F76" s="4"/>
    </row>
    <row r="77">
      <c r="F77" s="4"/>
    </row>
    <row r="78">
      <c r="F78" s="4"/>
    </row>
    <row r="79">
      <c r="F79" s="4"/>
    </row>
    <row r="80">
      <c r="F80" s="4"/>
    </row>
    <row r="81">
      <c r="F81" s="4"/>
    </row>
    <row r="82">
      <c r="F82" s="4"/>
    </row>
    <row r="83">
      <c r="F83" s="4"/>
    </row>
    <row r="84">
      <c r="F84" s="4"/>
    </row>
    <row r="85">
      <c r="F85" s="4"/>
    </row>
    <row r="86">
      <c r="F86" s="4"/>
    </row>
    <row r="87">
      <c r="F87" s="4"/>
    </row>
    <row r="88">
      <c r="F88" s="4"/>
    </row>
    <row r="89">
      <c r="F89" s="4"/>
    </row>
    <row r="90">
      <c r="F90" s="4"/>
    </row>
    <row r="91">
      <c r="F91" s="4"/>
    </row>
    <row r="92">
      <c r="F92" s="4"/>
    </row>
    <row r="93">
      <c r="F93" s="4"/>
    </row>
    <row r="94">
      <c r="F94" s="4"/>
    </row>
    <row r="95">
      <c r="F95" s="4"/>
    </row>
    <row r="96">
      <c r="F96" s="4"/>
    </row>
    <row r="97">
      <c r="F97" s="4"/>
    </row>
    <row r="98">
      <c r="F98" s="4"/>
    </row>
    <row r="99">
      <c r="F99" s="4"/>
    </row>
    <row r="100">
      <c r="F100" s="4"/>
    </row>
    <row r="101">
      <c r="F101" s="4"/>
    </row>
    <row r="102">
      <c r="F102" s="4"/>
    </row>
    <row r="103">
      <c r="F103" s="4"/>
    </row>
    <row r="104">
      <c r="F104" s="4"/>
    </row>
    <row r="105">
      <c r="F105" s="4"/>
    </row>
    <row r="106">
      <c r="F106" s="4"/>
    </row>
    <row r="107">
      <c r="F107" s="4"/>
    </row>
    <row r="108">
      <c r="F108" s="4"/>
    </row>
    <row r="109">
      <c r="F109" s="4"/>
    </row>
    <row r="110">
      <c r="F110" s="4"/>
    </row>
    <row r="111">
      <c r="F111" s="4"/>
    </row>
    <row r="112">
      <c r="F112" s="4"/>
    </row>
    <row r="113">
      <c r="F113" s="4"/>
    </row>
    <row r="114">
      <c r="F114" s="4"/>
    </row>
    <row r="115">
      <c r="F115" s="4"/>
    </row>
    <row r="116">
      <c r="F116" s="4"/>
    </row>
    <row r="117">
      <c r="F117" s="4"/>
    </row>
    <row r="118">
      <c r="F118" s="4"/>
    </row>
    <row r="119">
      <c r="F119" s="4"/>
    </row>
    <row r="120">
      <c r="F120" s="4"/>
    </row>
    <row r="121">
      <c r="F121" s="4"/>
    </row>
    <row r="122">
      <c r="F122" s="4"/>
    </row>
    <row r="123">
      <c r="F123" s="4"/>
    </row>
    <row r="124">
      <c r="F124" s="4"/>
    </row>
    <row r="125">
      <c r="F125" s="4"/>
    </row>
    <row r="126">
      <c r="F126" s="4"/>
    </row>
    <row r="127">
      <c r="F127" s="4"/>
    </row>
    <row r="128">
      <c r="F128" s="4"/>
    </row>
    <row r="129">
      <c r="F129" s="4"/>
    </row>
    <row r="130">
      <c r="F130" s="4"/>
    </row>
    <row r="131">
      <c r="F131" s="4"/>
    </row>
    <row r="132">
      <c r="F132" s="4"/>
    </row>
    <row r="133">
      <c r="F133" s="4"/>
    </row>
    <row r="134">
      <c r="F134" s="4"/>
    </row>
    <row r="135">
      <c r="F135" s="4"/>
    </row>
    <row r="136">
      <c r="F136" s="4"/>
    </row>
    <row r="137">
      <c r="F137" s="4"/>
    </row>
    <row r="138">
      <c r="F138" s="4"/>
    </row>
    <row r="139">
      <c r="F139" s="4"/>
    </row>
    <row r="140">
      <c r="F140" s="4"/>
    </row>
    <row r="141">
      <c r="F141" s="4"/>
    </row>
    <row r="142">
      <c r="F142" s="4"/>
    </row>
    <row r="143">
      <c r="F143" s="4"/>
    </row>
    <row r="144">
      <c r="F144" s="4"/>
    </row>
    <row r="145">
      <c r="F145" s="4"/>
    </row>
    <row r="146">
      <c r="F146" s="4"/>
    </row>
    <row r="147">
      <c r="F147" s="4"/>
    </row>
    <row r="148">
      <c r="F148" s="4"/>
    </row>
    <row r="149">
      <c r="F149" s="4"/>
    </row>
    <row r="150">
      <c r="F150" s="4"/>
    </row>
    <row r="151">
      <c r="F151" s="4"/>
    </row>
    <row r="152">
      <c r="F152" s="4"/>
    </row>
    <row r="153">
      <c r="F153" s="4"/>
    </row>
    <row r="154">
      <c r="F154" s="4"/>
    </row>
    <row r="155">
      <c r="F155" s="4"/>
    </row>
    <row r="156">
      <c r="F156" s="4"/>
    </row>
    <row r="157">
      <c r="F157" s="4"/>
    </row>
    <row r="158">
      <c r="F158" s="4"/>
    </row>
    <row r="159">
      <c r="F159" s="4"/>
    </row>
    <row r="160">
      <c r="F160" s="4"/>
    </row>
    <row r="161">
      <c r="F161" s="4"/>
    </row>
    <row r="162">
      <c r="F162" s="4"/>
    </row>
    <row r="163">
      <c r="F163" s="4"/>
    </row>
    <row r="164">
      <c r="F164" s="4"/>
    </row>
    <row r="165">
      <c r="F165" s="4"/>
    </row>
    <row r="166">
      <c r="F166" s="4"/>
    </row>
    <row r="167">
      <c r="F167" s="4"/>
    </row>
    <row r="168">
      <c r="F168" s="4"/>
    </row>
    <row r="169">
      <c r="F169" s="4"/>
    </row>
    <row r="170">
      <c r="F170" s="4"/>
    </row>
    <row r="171">
      <c r="F171" s="4"/>
    </row>
    <row r="172">
      <c r="F172" s="4"/>
    </row>
    <row r="173">
      <c r="F173" s="4"/>
    </row>
    <row r="174">
      <c r="F174" s="4"/>
    </row>
    <row r="175">
      <c r="F175" s="4"/>
    </row>
    <row r="176">
      <c r="F176" s="4"/>
    </row>
    <row r="177">
      <c r="F177" s="4"/>
    </row>
    <row r="178">
      <c r="F178" s="4"/>
    </row>
    <row r="179">
      <c r="F179" s="4"/>
    </row>
    <row r="180">
      <c r="F180" s="4"/>
    </row>
    <row r="181">
      <c r="F181" s="4"/>
    </row>
    <row r="182">
      <c r="F182" s="4"/>
    </row>
    <row r="183">
      <c r="F183" s="4"/>
    </row>
    <row r="184">
      <c r="F184" s="4"/>
    </row>
    <row r="185">
      <c r="F185" s="4"/>
    </row>
    <row r="186">
      <c r="F186" s="4"/>
    </row>
    <row r="187">
      <c r="F187" s="4"/>
    </row>
    <row r="188">
      <c r="F188" s="4"/>
    </row>
    <row r="189">
      <c r="F189" s="4"/>
    </row>
    <row r="190">
      <c r="F190" s="4"/>
    </row>
    <row r="191">
      <c r="F191" s="4"/>
    </row>
    <row r="192">
      <c r="F192" s="4"/>
    </row>
    <row r="193">
      <c r="F193" s="4"/>
    </row>
    <row r="194">
      <c r="F194" s="4"/>
    </row>
    <row r="195">
      <c r="F195" s="4"/>
    </row>
    <row r="196">
      <c r="F196" s="4"/>
    </row>
    <row r="197">
      <c r="F197" s="4"/>
    </row>
    <row r="198">
      <c r="F198" s="4"/>
    </row>
    <row r="199">
      <c r="F199" s="4"/>
    </row>
    <row r="200">
      <c r="F200" s="4"/>
    </row>
    <row r="201">
      <c r="F201" s="4"/>
    </row>
    <row r="202">
      <c r="F202" s="4"/>
    </row>
    <row r="203">
      <c r="F203" s="4"/>
    </row>
    <row r="204">
      <c r="F204" s="4"/>
    </row>
    <row r="205">
      <c r="F205" s="4"/>
    </row>
    <row r="206">
      <c r="F206" s="4"/>
    </row>
    <row r="207">
      <c r="F207" s="4"/>
    </row>
    <row r="208">
      <c r="F208" s="4"/>
    </row>
    <row r="209">
      <c r="F209" s="4"/>
    </row>
    <row r="210">
      <c r="F210" s="4"/>
    </row>
    <row r="211">
      <c r="F211" s="4"/>
    </row>
    <row r="212">
      <c r="F212" s="4"/>
    </row>
    <row r="213">
      <c r="F213" s="4"/>
    </row>
    <row r="214">
      <c r="F214" s="4"/>
    </row>
    <row r="215">
      <c r="F215" s="4"/>
    </row>
    <row r="216">
      <c r="F216" s="4"/>
    </row>
    <row r="217">
      <c r="F217" s="4"/>
    </row>
    <row r="218">
      <c r="F218" s="4"/>
    </row>
    <row r="219">
      <c r="F219" s="4"/>
    </row>
    <row r="220">
      <c r="F220" s="4"/>
    </row>
    <row r="221">
      <c r="F221" s="4"/>
    </row>
    <row r="222">
      <c r="F222" s="4"/>
    </row>
    <row r="223">
      <c r="F223" s="4"/>
    </row>
    <row r="224">
      <c r="F224" s="4"/>
    </row>
    <row r="225">
      <c r="F225" s="4"/>
    </row>
    <row r="226">
      <c r="F226" s="4"/>
    </row>
    <row r="227">
      <c r="F227" s="4"/>
    </row>
    <row r="228">
      <c r="F228" s="4"/>
    </row>
    <row r="229">
      <c r="F229" s="4"/>
    </row>
    <row r="230">
      <c r="F230" s="4"/>
    </row>
    <row r="231">
      <c r="F231" s="4"/>
    </row>
    <row r="232">
      <c r="F232" s="4"/>
    </row>
    <row r="233">
      <c r="F233" s="4"/>
    </row>
    <row r="234">
      <c r="F234" s="4"/>
    </row>
    <row r="235">
      <c r="F235" s="4"/>
    </row>
    <row r="236">
      <c r="F236" s="4"/>
    </row>
    <row r="237">
      <c r="F237" s="4"/>
    </row>
    <row r="238">
      <c r="F238" s="4"/>
    </row>
    <row r="239">
      <c r="F239" s="4"/>
    </row>
    <row r="240">
      <c r="F240" s="4"/>
    </row>
    <row r="241">
      <c r="F241" s="4"/>
    </row>
    <row r="242">
      <c r="F242" s="4"/>
    </row>
    <row r="243">
      <c r="F243" s="4"/>
    </row>
    <row r="244">
      <c r="F244" s="4"/>
    </row>
    <row r="245">
      <c r="F245" s="4"/>
    </row>
    <row r="246">
      <c r="F246" s="4"/>
    </row>
    <row r="247">
      <c r="F247" s="4"/>
    </row>
    <row r="248">
      <c r="F248" s="4"/>
    </row>
    <row r="249">
      <c r="F249" s="4"/>
    </row>
    <row r="250">
      <c r="F250" s="4"/>
    </row>
    <row r="251">
      <c r="F251" s="4"/>
    </row>
    <row r="252">
      <c r="F252" s="4"/>
    </row>
    <row r="253">
      <c r="F253" s="4"/>
    </row>
    <row r="254">
      <c r="F254" s="4"/>
    </row>
    <row r="255">
      <c r="F255" s="4"/>
    </row>
    <row r="256">
      <c r="F256" s="4"/>
    </row>
    <row r="257">
      <c r="F257" s="4"/>
    </row>
    <row r="258">
      <c r="F258" s="4"/>
    </row>
    <row r="259">
      <c r="F259" s="4"/>
    </row>
    <row r="260">
      <c r="F260" s="4"/>
    </row>
    <row r="261">
      <c r="F261" s="4"/>
    </row>
    <row r="262">
      <c r="F262" s="4"/>
    </row>
    <row r="263">
      <c r="F263" s="4"/>
    </row>
    <row r="264">
      <c r="F264" s="4"/>
    </row>
    <row r="265">
      <c r="F265" s="4"/>
    </row>
    <row r="266">
      <c r="F266" s="4"/>
    </row>
    <row r="267">
      <c r="F267" s="4"/>
    </row>
    <row r="268">
      <c r="F268" s="4"/>
    </row>
    <row r="269">
      <c r="F269" s="4"/>
    </row>
    <row r="270">
      <c r="F270" s="4"/>
    </row>
    <row r="271">
      <c r="F271" s="4"/>
    </row>
    <row r="272">
      <c r="F272" s="4"/>
    </row>
    <row r="273">
      <c r="F273" s="4"/>
    </row>
    <row r="274">
      <c r="F274" s="4"/>
    </row>
    <row r="275">
      <c r="F275" s="4"/>
    </row>
    <row r="276">
      <c r="F276" s="4"/>
    </row>
    <row r="277">
      <c r="F277" s="4"/>
    </row>
    <row r="278">
      <c r="F278" s="4"/>
    </row>
    <row r="279">
      <c r="F279" s="4"/>
    </row>
    <row r="280">
      <c r="F280" s="4"/>
    </row>
    <row r="281">
      <c r="F281" s="4"/>
    </row>
    <row r="282">
      <c r="F282" s="4"/>
    </row>
    <row r="283">
      <c r="F283" s="4"/>
    </row>
    <row r="284">
      <c r="F284" s="4"/>
    </row>
    <row r="285">
      <c r="F285" s="4"/>
    </row>
    <row r="286">
      <c r="F286" s="4"/>
    </row>
    <row r="287">
      <c r="F287" s="4"/>
    </row>
    <row r="288">
      <c r="F288" s="4"/>
    </row>
    <row r="289">
      <c r="F289" s="4"/>
    </row>
    <row r="290">
      <c r="F290" s="4"/>
    </row>
    <row r="291">
      <c r="F291" s="4"/>
    </row>
    <row r="292">
      <c r="F292" s="4"/>
    </row>
    <row r="293">
      <c r="F293" s="4"/>
    </row>
    <row r="294">
      <c r="F294" s="4"/>
    </row>
    <row r="295">
      <c r="F295" s="4"/>
    </row>
    <row r="296">
      <c r="F296" s="4"/>
    </row>
    <row r="297">
      <c r="F297" s="4"/>
    </row>
    <row r="298">
      <c r="F298" s="4"/>
    </row>
    <row r="299">
      <c r="F299" s="4"/>
    </row>
    <row r="300">
      <c r="F300" s="4"/>
    </row>
    <row r="301">
      <c r="F301" s="4"/>
    </row>
    <row r="302">
      <c r="F302" s="4"/>
    </row>
    <row r="303">
      <c r="F303" s="4"/>
    </row>
    <row r="304">
      <c r="F304" s="4"/>
    </row>
    <row r="305">
      <c r="F305" s="4"/>
    </row>
    <row r="306">
      <c r="F306" s="4"/>
    </row>
    <row r="307">
      <c r="F307" s="4"/>
    </row>
    <row r="308">
      <c r="F308" s="4"/>
    </row>
    <row r="309">
      <c r="F309" s="4"/>
    </row>
    <row r="310">
      <c r="F310" s="4"/>
    </row>
    <row r="311">
      <c r="F311" s="4"/>
    </row>
    <row r="312">
      <c r="F312" s="4"/>
    </row>
    <row r="313">
      <c r="F313" s="4"/>
    </row>
    <row r="314">
      <c r="F314" s="4"/>
    </row>
    <row r="315">
      <c r="F315" s="4"/>
    </row>
    <row r="316">
      <c r="F316" s="4"/>
    </row>
    <row r="317">
      <c r="F317" s="4"/>
    </row>
    <row r="318">
      <c r="F318" s="4"/>
    </row>
    <row r="319">
      <c r="F319" s="4"/>
    </row>
    <row r="320">
      <c r="F320" s="4"/>
    </row>
    <row r="321">
      <c r="F321" s="4"/>
    </row>
    <row r="322">
      <c r="F322" s="4"/>
    </row>
    <row r="323">
      <c r="F323" s="4"/>
    </row>
    <row r="324">
      <c r="F324" s="4"/>
    </row>
    <row r="325">
      <c r="F325" s="4"/>
    </row>
    <row r="326">
      <c r="F326" s="4"/>
    </row>
    <row r="327">
      <c r="F327" s="4"/>
    </row>
    <row r="328">
      <c r="F328" s="4"/>
    </row>
    <row r="329">
      <c r="F329" s="4"/>
    </row>
    <row r="330">
      <c r="F330" s="4"/>
    </row>
    <row r="331">
      <c r="F331" s="4"/>
    </row>
    <row r="332">
      <c r="F332" s="4"/>
    </row>
    <row r="333">
      <c r="F333" s="4"/>
    </row>
    <row r="334">
      <c r="F334" s="4"/>
    </row>
    <row r="335">
      <c r="F335" s="4"/>
    </row>
    <row r="336">
      <c r="F336" s="4"/>
    </row>
    <row r="337">
      <c r="F337" s="4"/>
    </row>
    <row r="338">
      <c r="F338" s="4"/>
    </row>
    <row r="339">
      <c r="F339" s="4"/>
    </row>
    <row r="340">
      <c r="F340" s="4"/>
    </row>
    <row r="341">
      <c r="F341" s="4"/>
    </row>
    <row r="342">
      <c r="F342" s="4"/>
    </row>
    <row r="343">
      <c r="F343" s="4"/>
    </row>
    <row r="344">
      <c r="F344" s="4"/>
    </row>
    <row r="345">
      <c r="F345" s="4"/>
    </row>
    <row r="346">
      <c r="F346" s="4"/>
    </row>
    <row r="347">
      <c r="F347" s="4"/>
    </row>
    <row r="348">
      <c r="F348" s="4"/>
    </row>
    <row r="349">
      <c r="F349" s="4"/>
    </row>
    <row r="350">
      <c r="F350" s="4"/>
    </row>
    <row r="351">
      <c r="F351" s="4"/>
    </row>
    <row r="352">
      <c r="F352" s="4"/>
    </row>
    <row r="353">
      <c r="F353" s="4"/>
    </row>
    <row r="354">
      <c r="F354" s="4"/>
    </row>
    <row r="355">
      <c r="F355" s="4"/>
    </row>
    <row r="356">
      <c r="F356" s="4"/>
    </row>
    <row r="357">
      <c r="F357" s="4"/>
    </row>
    <row r="358">
      <c r="F358" s="4"/>
    </row>
    <row r="359">
      <c r="F359" s="4"/>
    </row>
    <row r="360">
      <c r="F360" s="4"/>
    </row>
    <row r="361">
      <c r="F361" s="4"/>
    </row>
    <row r="362">
      <c r="F362" s="4"/>
    </row>
    <row r="363">
      <c r="F363" s="4"/>
    </row>
    <row r="364">
      <c r="F364" s="4"/>
    </row>
    <row r="365">
      <c r="F365" s="4"/>
    </row>
    <row r="366">
      <c r="F366" s="4"/>
    </row>
    <row r="367">
      <c r="F367" s="4"/>
    </row>
    <row r="368">
      <c r="F368" s="4"/>
    </row>
    <row r="369">
      <c r="F369" s="4"/>
    </row>
    <row r="370">
      <c r="F370" s="4"/>
    </row>
    <row r="371">
      <c r="F371" s="4"/>
    </row>
    <row r="372">
      <c r="F372" s="4"/>
    </row>
    <row r="373">
      <c r="F373" s="4"/>
    </row>
    <row r="374">
      <c r="F374" s="4"/>
    </row>
    <row r="375">
      <c r="F375" s="4"/>
    </row>
    <row r="376">
      <c r="F376" s="4"/>
    </row>
    <row r="377">
      <c r="F377" s="4"/>
    </row>
    <row r="378">
      <c r="F378" s="4"/>
    </row>
    <row r="379">
      <c r="F379" s="4"/>
    </row>
    <row r="380">
      <c r="F380" s="4"/>
    </row>
    <row r="381">
      <c r="F381" s="4"/>
    </row>
    <row r="382">
      <c r="F382" s="4"/>
    </row>
    <row r="383">
      <c r="F383" s="4"/>
    </row>
    <row r="384">
      <c r="F384" s="4"/>
    </row>
    <row r="385">
      <c r="F385" s="4"/>
    </row>
    <row r="386">
      <c r="F386" s="4"/>
    </row>
    <row r="387">
      <c r="F387" s="4"/>
    </row>
    <row r="388">
      <c r="F388" s="4"/>
    </row>
    <row r="389">
      <c r="F389" s="4"/>
    </row>
    <row r="390">
      <c r="F390" s="4"/>
    </row>
    <row r="391">
      <c r="F391" s="4"/>
    </row>
    <row r="392">
      <c r="F392" s="4"/>
    </row>
    <row r="393">
      <c r="F393" s="4"/>
    </row>
    <row r="394">
      <c r="F394" s="4"/>
    </row>
    <row r="395">
      <c r="F395" s="4"/>
    </row>
    <row r="396">
      <c r="F396" s="4"/>
    </row>
    <row r="397">
      <c r="F397" s="4"/>
    </row>
    <row r="398">
      <c r="F398" s="4"/>
    </row>
    <row r="399">
      <c r="F399" s="4"/>
    </row>
    <row r="400">
      <c r="F400" s="4"/>
    </row>
    <row r="401">
      <c r="F401" s="4"/>
    </row>
    <row r="402">
      <c r="F402" s="4"/>
    </row>
    <row r="403">
      <c r="F403" s="4"/>
    </row>
    <row r="404">
      <c r="F404" s="4"/>
    </row>
    <row r="405">
      <c r="F405" s="4"/>
    </row>
    <row r="406">
      <c r="F406" s="4"/>
    </row>
    <row r="407">
      <c r="F407" s="4"/>
    </row>
    <row r="408">
      <c r="F408" s="4"/>
    </row>
    <row r="409">
      <c r="F409" s="4"/>
    </row>
    <row r="410">
      <c r="F410" s="4"/>
    </row>
    <row r="411">
      <c r="F411" s="4"/>
    </row>
    <row r="412">
      <c r="F412" s="4"/>
    </row>
    <row r="413">
      <c r="F413" s="4"/>
    </row>
    <row r="414">
      <c r="F414" s="4"/>
    </row>
    <row r="415">
      <c r="F415" s="4"/>
    </row>
    <row r="416">
      <c r="F416" s="4"/>
    </row>
    <row r="417">
      <c r="F417" s="4"/>
    </row>
    <row r="418">
      <c r="F418" s="4"/>
    </row>
    <row r="419">
      <c r="F419" s="4"/>
    </row>
    <row r="420">
      <c r="F420" s="4"/>
    </row>
    <row r="421">
      <c r="F421" s="4"/>
    </row>
    <row r="422">
      <c r="F422" s="4"/>
    </row>
    <row r="423">
      <c r="F423" s="4"/>
    </row>
    <row r="424">
      <c r="F424" s="4"/>
    </row>
    <row r="425">
      <c r="F425" s="4"/>
    </row>
    <row r="426">
      <c r="F426" s="4"/>
    </row>
    <row r="427">
      <c r="F427" s="4"/>
    </row>
    <row r="428">
      <c r="F428" s="4"/>
    </row>
    <row r="429">
      <c r="F429" s="4"/>
    </row>
    <row r="430">
      <c r="F430" s="4"/>
    </row>
    <row r="431">
      <c r="F431" s="4"/>
    </row>
    <row r="432">
      <c r="F432" s="4"/>
    </row>
    <row r="433">
      <c r="F433" s="4"/>
    </row>
    <row r="434">
      <c r="F434" s="4"/>
    </row>
    <row r="435">
      <c r="F435" s="4"/>
    </row>
    <row r="436">
      <c r="F436" s="4"/>
    </row>
    <row r="437">
      <c r="F437" s="4"/>
    </row>
    <row r="438">
      <c r="F438" s="4"/>
    </row>
    <row r="439">
      <c r="F439" s="4"/>
    </row>
    <row r="440">
      <c r="F440" s="4"/>
    </row>
    <row r="441">
      <c r="F441" s="4"/>
    </row>
    <row r="442">
      <c r="F442" s="4"/>
    </row>
    <row r="443">
      <c r="F443" s="4"/>
    </row>
    <row r="444">
      <c r="F444" s="4"/>
    </row>
    <row r="445">
      <c r="F445" s="4"/>
    </row>
    <row r="446">
      <c r="F446" s="4"/>
    </row>
    <row r="447">
      <c r="F447" s="4"/>
    </row>
    <row r="448">
      <c r="F448" s="4"/>
    </row>
    <row r="449">
      <c r="F449" s="4"/>
    </row>
    <row r="450">
      <c r="F450" s="4"/>
    </row>
    <row r="451">
      <c r="F451" s="4"/>
    </row>
    <row r="452">
      <c r="F452" s="4"/>
    </row>
    <row r="453">
      <c r="F453" s="4"/>
    </row>
    <row r="454">
      <c r="F454" s="4"/>
    </row>
    <row r="455">
      <c r="F455" s="4"/>
    </row>
    <row r="456">
      <c r="F456" s="4"/>
    </row>
    <row r="457">
      <c r="F457" s="4"/>
    </row>
    <row r="458">
      <c r="F458" s="4"/>
    </row>
    <row r="459">
      <c r="F459" s="4"/>
    </row>
    <row r="460">
      <c r="F460" s="4"/>
    </row>
    <row r="461">
      <c r="F461" s="4"/>
    </row>
    <row r="462">
      <c r="F462" s="4"/>
    </row>
    <row r="463">
      <c r="F463" s="4"/>
    </row>
    <row r="464">
      <c r="F464" s="4"/>
    </row>
    <row r="465">
      <c r="F465" s="4"/>
    </row>
    <row r="466">
      <c r="F466" s="4"/>
    </row>
    <row r="467">
      <c r="F467" s="4"/>
    </row>
    <row r="468">
      <c r="F468" s="4"/>
    </row>
    <row r="469">
      <c r="F469" s="4"/>
    </row>
    <row r="470">
      <c r="F470" s="4"/>
    </row>
    <row r="471">
      <c r="F471" s="4"/>
    </row>
    <row r="472">
      <c r="F472" s="4"/>
    </row>
    <row r="473">
      <c r="F473" s="4"/>
    </row>
    <row r="474">
      <c r="F474" s="4"/>
    </row>
    <row r="475">
      <c r="F475" s="4"/>
    </row>
    <row r="476">
      <c r="F476" s="4"/>
    </row>
    <row r="477">
      <c r="F477" s="4"/>
    </row>
    <row r="478">
      <c r="F478" s="4"/>
    </row>
    <row r="479">
      <c r="F479" s="4"/>
    </row>
    <row r="480">
      <c r="F480" s="4"/>
    </row>
    <row r="481">
      <c r="F481" s="4"/>
    </row>
    <row r="482">
      <c r="F482" s="4"/>
    </row>
    <row r="483">
      <c r="F483" s="4"/>
    </row>
    <row r="484">
      <c r="F484" s="4"/>
    </row>
    <row r="485">
      <c r="F485" s="4"/>
    </row>
    <row r="486">
      <c r="F486" s="4"/>
    </row>
    <row r="487">
      <c r="F487" s="4"/>
    </row>
    <row r="488">
      <c r="F488" s="4"/>
    </row>
    <row r="489">
      <c r="F489" s="4"/>
    </row>
    <row r="490">
      <c r="F490" s="4"/>
    </row>
    <row r="491">
      <c r="F491" s="4"/>
    </row>
    <row r="492">
      <c r="F492" s="4"/>
    </row>
    <row r="493">
      <c r="F493" s="4"/>
    </row>
    <row r="494">
      <c r="F494" s="4"/>
    </row>
    <row r="495">
      <c r="F495" s="4"/>
    </row>
    <row r="496">
      <c r="F496" s="4"/>
    </row>
    <row r="497">
      <c r="F497" s="4"/>
    </row>
    <row r="498">
      <c r="F498" s="4"/>
    </row>
    <row r="499">
      <c r="F499" s="4"/>
    </row>
    <row r="500">
      <c r="F500" s="4"/>
    </row>
    <row r="501">
      <c r="F501" s="4"/>
    </row>
    <row r="502">
      <c r="F502" s="4"/>
    </row>
    <row r="503">
      <c r="F503" s="4"/>
    </row>
    <row r="504">
      <c r="F504" s="4"/>
    </row>
    <row r="505">
      <c r="F505" s="4"/>
    </row>
    <row r="506">
      <c r="F506" s="4"/>
    </row>
    <row r="507">
      <c r="F507" s="4"/>
    </row>
    <row r="508">
      <c r="F508" s="4"/>
    </row>
    <row r="509">
      <c r="F509" s="4"/>
    </row>
    <row r="510">
      <c r="F510" s="4"/>
    </row>
    <row r="511">
      <c r="F511" s="4"/>
    </row>
    <row r="512">
      <c r="F512" s="4"/>
    </row>
    <row r="513">
      <c r="F513" s="4"/>
    </row>
    <row r="514">
      <c r="F514" s="4"/>
    </row>
    <row r="515">
      <c r="F515" s="4"/>
    </row>
    <row r="516">
      <c r="F516" s="4"/>
    </row>
    <row r="517">
      <c r="F517" s="4"/>
    </row>
    <row r="518">
      <c r="F518" s="4"/>
    </row>
    <row r="519">
      <c r="F519" s="4"/>
    </row>
    <row r="520">
      <c r="F520" s="4"/>
    </row>
    <row r="521">
      <c r="F521" s="4"/>
    </row>
    <row r="522">
      <c r="F522" s="4"/>
    </row>
    <row r="523">
      <c r="F523" s="4"/>
    </row>
    <row r="524">
      <c r="F524" s="4"/>
    </row>
    <row r="525">
      <c r="F525" s="4"/>
    </row>
    <row r="526">
      <c r="F526" s="4"/>
    </row>
    <row r="527">
      <c r="F527" s="4"/>
    </row>
    <row r="528">
      <c r="F528" s="4"/>
    </row>
    <row r="529">
      <c r="F529" s="4"/>
    </row>
    <row r="530">
      <c r="F530" s="4"/>
    </row>
    <row r="531">
      <c r="F531" s="4"/>
    </row>
    <row r="532">
      <c r="F532" s="4"/>
    </row>
    <row r="533">
      <c r="F533" s="4"/>
    </row>
    <row r="534">
      <c r="F534" s="4"/>
    </row>
    <row r="535">
      <c r="F535" s="4"/>
    </row>
    <row r="536">
      <c r="F536" s="4"/>
    </row>
    <row r="537">
      <c r="F537" s="4"/>
    </row>
    <row r="538">
      <c r="F538" s="4"/>
    </row>
    <row r="539">
      <c r="F539" s="4"/>
    </row>
    <row r="540">
      <c r="F540" s="4"/>
    </row>
    <row r="541">
      <c r="F541" s="4"/>
    </row>
    <row r="542">
      <c r="F542" s="4"/>
    </row>
    <row r="543">
      <c r="F543" s="4"/>
    </row>
    <row r="544">
      <c r="F544" s="4"/>
    </row>
    <row r="545">
      <c r="F545" s="4"/>
    </row>
    <row r="546">
      <c r="F546" s="4"/>
    </row>
    <row r="547">
      <c r="F547" s="4"/>
    </row>
    <row r="548">
      <c r="F548" s="4"/>
    </row>
    <row r="549">
      <c r="F549" s="4"/>
    </row>
    <row r="550">
      <c r="F550" s="4"/>
    </row>
    <row r="551">
      <c r="F551" s="4"/>
    </row>
    <row r="552">
      <c r="F552" s="4"/>
    </row>
    <row r="553">
      <c r="F553" s="4"/>
    </row>
    <row r="554">
      <c r="F554" s="4"/>
    </row>
    <row r="555">
      <c r="F555" s="4"/>
    </row>
    <row r="556">
      <c r="F556" s="4"/>
    </row>
    <row r="557">
      <c r="F557" s="4"/>
    </row>
    <row r="558">
      <c r="F558" s="4"/>
    </row>
    <row r="559">
      <c r="F559" s="4"/>
    </row>
    <row r="560">
      <c r="F560" s="4"/>
    </row>
    <row r="561">
      <c r="F561" s="4"/>
    </row>
    <row r="562">
      <c r="F562" s="4"/>
    </row>
    <row r="563">
      <c r="F563" s="4"/>
    </row>
    <row r="564">
      <c r="F564" s="4"/>
    </row>
    <row r="565">
      <c r="F565" s="4"/>
    </row>
    <row r="566">
      <c r="F566" s="4"/>
    </row>
    <row r="567">
      <c r="F567" s="4"/>
    </row>
    <row r="568">
      <c r="F568" s="4"/>
    </row>
    <row r="569">
      <c r="F569" s="4"/>
    </row>
    <row r="570">
      <c r="F570" s="4"/>
    </row>
    <row r="571">
      <c r="F571" s="4"/>
    </row>
    <row r="572">
      <c r="F572" s="4"/>
    </row>
    <row r="573">
      <c r="F573" s="4"/>
    </row>
    <row r="574">
      <c r="F574" s="4"/>
    </row>
    <row r="575">
      <c r="F575" s="4"/>
    </row>
    <row r="576">
      <c r="F576" s="4"/>
    </row>
    <row r="577">
      <c r="F577" s="4"/>
    </row>
    <row r="578">
      <c r="F578" s="4"/>
    </row>
    <row r="579">
      <c r="F579" s="4"/>
    </row>
    <row r="580">
      <c r="F580" s="4"/>
    </row>
    <row r="581">
      <c r="F581" s="4"/>
    </row>
    <row r="582">
      <c r="F582" s="4"/>
    </row>
    <row r="583">
      <c r="F583" s="4"/>
    </row>
    <row r="584">
      <c r="F584" s="4"/>
    </row>
    <row r="585">
      <c r="F585" s="4"/>
    </row>
    <row r="586">
      <c r="F586" s="4"/>
    </row>
    <row r="587">
      <c r="F587" s="4"/>
    </row>
    <row r="588">
      <c r="F588" s="4"/>
    </row>
    <row r="589">
      <c r="F589" s="4"/>
    </row>
    <row r="590">
      <c r="F590" s="4"/>
    </row>
    <row r="591">
      <c r="F591" s="4"/>
    </row>
    <row r="592">
      <c r="F592" s="4"/>
    </row>
    <row r="593">
      <c r="F593" s="4"/>
    </row>
    <row r="594">
      <c r="F594" s="4"/>
    </row>
    <row r="595">
      <c r="F595" s="4"/>
    </row>
    <row r="596">
      <c r="F596" s="4"/>
    </row>
    <row r="597">
      <c r="F597" s="4"/>
    </row>
    <row r="598">
      <c r="F598" s="4"/>
    </row>
    <row r="599">
      <c r="F599" s="4"/>
    </row>
    <row r="600">
      <c r="F600" s="4"/>
    </row>
    <row r="601">
      <c r="F601" s="4"/>
    </row>
    <row r="602">
      <c r="F602" s="4"/>
    </row>
    <row r="603">
      <c r="F603" s="4"/>
    </row>
    <row r="604">
      <c r="F604" s="4"/>
    </row>
    <row r="605">
      <c r="F605" s="4"/>
    </row>
    <row r="606">
      <c r="F606" s="4"/>
    </row>
    <row r="607">
      <c r="F607" s="4"/>
    </row>
    <row r="608">
      <c r="F608" s="4"/>
    </row>
    <row r="609">
      <c r="F609" s="4"/>
    </row>
    <row r="610">
      <c r="F610" s="4"/>
    </row>
    <row r="611">
      <c r="F611" s="4"/>
    </row>
    <row r="612">
      <c r="F612" s="4"/>
    </row>
    <row r="613">
      <c r="F613" s="4"/>
    </row>
    <row r="614">
      <c r="F614" s="4"/>
    </row>
    <row r="615">
      <c r="F615" s="4"/>
    </row>
    <row r="616">
      <c r="F616" s="4"/>
    </row>
    <row r="617">
      <c r="F617" s="4"/>
    </row>
    <row r="618">
      <c r="F618" s="4"/>
    </row>
    <row r="619">
      <c r="F619" s="4"/>
    </row>
    <row r="620">
      <c r="F620" s="4"/>
    </row>
    <row r="621">
      <c r="F621" s="4"/>
    </row>
    <row r="622">
      <c r="F622" s="4"/>
    </row>
    <row r="623">
      <c r="F623" s="4"/>
    </row>
    <row r="624">
      <c r="F624" s="4"/>
    </row>
    <row r="625">
      <c r="F625" s="4"/>
    </row>
    <row r="626">
      <c r="F626" s="4"/>
    </row>
    <row r="627">
      <c r="F627" s="4"/>
    </row>
    <row r="628">
      <c r="F628" s="4"/>
    </row>
    <row r="629">
      <c r="F629" s="4"/>
    </row>
    <row r="630">
      <c r="F630" s="4"/>
    </row>
    <row r="631">
      <c r="F631" s="4"/>
    </row>
    <row r="632">
      <c r="F632" s="4"/>
    </row>
    <row r="633">
      <c r="F633" s="4"/>
    </row>
    <row r="634">
      <c r="F634" s="4"/>
    </row>
    <row r="635">
      <c r="F635" s="4"/>
    </row>
    <row r="636">
      <c r="F636" s="4"/>
    </row>
    <row r="637">
      <c r="F637" s="4"/>
    </row>
    <row r="638">
      <c r="F638" s="4"/>
    </row>
    <row r="639">
      <c r="F639" s="4"/>
    </row>
    <row r="640">
      <c r="F640" s="4"/>
    </row>
    <row r="641">
      <c r="F641" s="4"/>
    </row>
    <row r="642">
      <c r="F642" s="4"/>
    </row>
    <row r="643">
      <c r="F643" s="4"/>
    </row>
    <row r="644">
      <c r="F644" s="4"/>
    </row>
    <row r="645">
      <c r="F645" s="4"/>
    </row>
    <row r="646">
      <c r="F646" s="4"/>
    </row>
    <row r="647">
      <c r="F647" s="4"/>
    </row>
    <row r="648">
      <c r="F648" s="4"/>
    </row>
    <row r="649">
      <c r="F649" s="4"/>
    </row>
    <row r="650">
      <c r="F650" s="4"/>
    </row>
    <row r="651">
      <c r="F651" s="4"/>
    </row>
    <row r="652">
      <c r="F652" s="4"/>
    </row>
    <row r="653">
      <c r="F653" s="4"/>
    </row>
    <row r="654">
      <c r="F654" s="4"/>
    </row>
    <row r="655">
      <c r="F655" s="4"/>
    </row>
    <row r="656">
      <c r="F656" s="4"/>
    </row>
    <row r="657">
      <c r="F657" s="4"/>
    </row>
    <row r="658">
      <c r="F658" s="4"/>
    </row>
    <row r="659">
      <c r="F659" s="4"/>
    </row>
    <row r="660">
      <c r="F660" s="4"/>
    </row>
    <row r="661">
      <c r="F661" s="4"/>
    </row>
    <row r="662">
      <c r="F662" s="4"/>
    </row>
    <row r="663">
      <c r="F663" s="4"/>
    </row>
    <row r="664">
      <c r="F664" s="4"/>
    </row>
    <row r="665">
      <c r="F665" s="4"/>
    </row>
    <row r="666">
      <c r="F666" s="4"/>
    </row>
    <row r="667">
      <c r="F667" s="4"/>
    </row>
    <row r="668">
      <c r="F668" s="4"/>
    </row>
    <row r="669">
      <c r="F669" s="4"/>
    </row>
    <row r="670">
      <c r="F670" s="4"/>
    </row>
    <row r="671">
      <c r="F671" s="4"/>
    </row>
    <row r="672">
      <c r="F672" s="4"/>
    </row>
    <row r="673">
      <c r="F673" s="4"/>
    </row>
    <row r="674">
      <c r="F674" s="4"/>
    </row>
    <row r="675">
      <c r="F675" s="4"/>
    </row>
    <row r="676">
      <c r="F676" s="4"/>
    </row>
    <row r="677">
      <c r="F677" s="4"/>
    </row>
    <row r="678">
      <c r="F678" s="4"/>
    </row>
    <row r="679">
      <c r="F679" s="4"/>
    </row>
    <row r="680">
      <c r="F680" s="4"/>
    </row>
    <row r="681">
      <c r="F681" s="4"/>
    </row>
    <row r="682">
      <c r="F682" s="4"/>
    </row>
    <row r="683">
      <c r="F683" s="4"/>
    </row>
    <row r="684">
      <c r="F684" s="4"/>
    </row>
    <row r="685">
      <c r="F685" s="4"/>
    </row>
    <row r="686">
      <c r="F686" s="4"/>
    </row>
    <row r="687">
      <c r="F687" s="4"/>
    </row>
    <row r="688">
      <c r="F688" s="4"/>
    </row>
    <row r="689">
      <c r="F689" s="4"/>
    </row>
    <row r="690">
      <c r="F690" s="4"/>
    </row>
    <row r="691">
      <c r="F691" s="4"/>
    </row>
    <row r="692">
      <c r="F692" s="4"/>
    </row>
    <row r="693">
      <c r="F693" s="4"/>
    </row>
    <row r="694">
      <c r="F694" s="4"/>
    </row>
    <row r="695">
      <c r="F695" s="4"/>
    </row>
    <row r="696">
      <c r="F696" s="4"/>
    </row>
    <row r="697">
      <c r="F697" s="4"/>
    </row>
    <row r="698">
      <c r="F698" s="4"/>
    </row>
    <row r="699">
      <c r="F699" s="4"/>
    </row>
    <row r="700">
      <c r="F700" s="4"/>
    </row>
    <row r="701">
      <c r="F701" s="4"/>
    </row>
    <row r="702">
      <c r="F702" s="4"/>
    </row>
    <row r="703">
      <c r="F703" s="4"/>
    </row>
    <row r="704">
      <c r="F704" s="4"/>
    </row>
    <row r="705">
      <c r="F705" s="4"/>
    </row>
    <row r="706">
      <c r="F706" s="4"/>
    </row>
    <row r="707">
      <c r="F707" s="4"/>
    </row>
    <row r="708">
      <c r="F708" s="4"/>
    </row>
    <row r="709">
      <c r="F709" s="4"/>
    </row>
    <row r="710">
      <c r="F710" s="4"/>
    </row>
    <row r="711">
      <c r="F711" s="4"/>
    </row>
    <row r="712">
      <c r="F712" s="4"/>
    </row>
    <row r="713">
      <c r="F713" s="4"/>
    </row>
    <row r="714">
      <c r="F714" s="4"/>
    </row>
    <row r="715">
      <c r="F715" s="4"/>
    </row>
    <row r="716">
      <c r="F716" s="4"/>
    </row>
    <row r="717">
      <c r="F717" s="4"/>
    </row>
    <row r="718">
      <c r="F718" s="4"/>
    </row>
    <row r="719">
      <c r="F719" s="4"/>
    </row>
    <row r="720">
      <c r="F720" s="4"/>
    </row>
    <row r="721">
      <c r="F721" s="4"/>
    </row>
    <row r="722">
      <c r="F722" s="4"/>
    </row>
    <row r="723">
      <c r="F723" s="4"/>
    </row>
    <row r="724">
      <c r="F724" s="4"/>
    </row>
    <row r="725">
      <c r="F725" s="4"/>
    </row>
    <row r="726">
      <c r="F726" s="4"/>
    </row>
    <row r="727">
      <c r="F727" s="4"/>
    </row>
    <row r="728">
      <c r="F728" s="4"/>
    </row>
    <row r="729">
      <c r="F729" s="4"/>
    </row>
    <row r="730">
      <c r="F730" s="4"/>
    </row>
    <row r="731">
      <c r="F731" s="4"/>
    </row>
    <row r="732">
      <c r="F732" s="4"/>
    </row>
    <row r="733">
      <c r="F733" s="4"/>
    </row>
    <row r="734">
      <c r="F734" s="4"/>
    </row>
    <row r="735">
      <c r="F735" s="4"/>
    </row>
    <row r="736">
      <c r="F736" s="4"/>
    </row>
    <row r="737">
      <c r="F737" s="4"/>
    </row>
    <row r="738">
      <c r="F738" s="4"/>
    </row>
    <row r="739">
      <c r="F739" s="4"/>
    </row>
    <row r="740">
      <c r="F740" s="4"/>
    </row>
    <row r="741">
      <c r="F741" s="4"/>
    </row>
    <row r="742">
      <c r="F742" s="4"/>
    </row>
    <row r="743">
      <c r="F743" s="4"/>
    </row>
    <row r="744">
      <c r="F744" s="4"/>
    </row>
    <row r="745">
      <c r="F745" s="4"/>
    </row>
    <row r="746">
      <c r="F746" s="4"/>
    </row>
    <row r="747">
      <c r="F747" s="4"/>
    </row>
    <row r="748">
      <c r="F748" s="4"/>
    </row>
    <row r="749">
      <c r="F749" s="4"/>
    </row>
    <row r="750">
      <c r="F750" s="4"/>
    </row>
    <row r="751">
      <c r="F751" s="4"/>
    </row>
    <row r="752">
      <c r="F752" s="4"/>
    </row>
    <row r="753">
      <c r="F753" s="4"/>
    </row>
    <row r="754">
      <c r="F754" s="4"/>
    </row>
    <row r="755">
      <c r="F755" s="4"/>
    </row>
    <row r="756">
      <c r="F756" s="4"/>
    </row>
    <row r="757">
      <c r="F757" s="4"/>
    </row>
    <row r="758">
      <c r="F758" s="4"/>
    </row>
    <row r="759">
      <c r="F759" s="4"/>
    </row>
    <row r="760">
      <c r="F760" s="4"/>
    </row>
    <row r="761">
      <c r="F761" s="4"/>
    </row>
    <row r="762">
      <c r="F762" s="4"/>
    </row>
    <row r="763">
      <c r="F763" s="4"/>
    </row>
    <row r="764">
      <c r="F764" s="4"/>
    </row>
    <row r="765">
      <c r="F765" s="4"/>
    </row>
    <row r="766">
      <c r="F766" s="4"/>
    </row>
    <row r="767">
      <c r="F767" s="4"/>
    </row>
    <row r="768">
      <c r="F768" s="4"/>
    </row>
    <row r="769">
      <c r="F769" s="4"/>
    </row>
    <row r="770">
      <c r="F770" s="4"/>
    </row>
    <row r="771">
      <c r="F771" s="4"/>
    </row>
    <row r="772">
      <c r="F772" s="4"/>
    </row>
    <row r="773">
      <c r="F773" s="4"/>
    </row>
    <row r="774">
      <c r="F774" s="4"/>
    </row>
    <row r="775">
      <c r="F775" s="4"/>
    </row>
    <row r="776">
      <c r="F776" s="4"/>
    </row>
    <row r="777">
      <c r="F777" s="4"/>
    </row>
    <row r="778">
      <c r="F778" s="4"/>
    </row>
    <row r="779">
      <c r="F779" s="4"/>
    </row>
    <row r="780">
      <c r="F780" s="4"/>
    </row>
    <row r="781">
      <c r="F781" s="4"/>
    </row>
    <row r="782">
      <c r="F782" s="4"/>
    </row>
    <row r="783">
      <c r="F783" s="4"/>
    </row>
    <row r="784">
      <c r="F784" s="4"/>
    </row>
    <row r="785">
      <c r="F785" s="4"/>
    </row>
    <row r="786">
      <c r="F786" s="4"/>
    </row>
    <row r="787">
      <c r="F787" s="4"/>
    </row>
    <row r="788">
      <c r="F788" s="4"/>
    </row>
    <row r="789">
      <c r="F789" s="4"/>
    </row>
    <row r="790">
      <c r="F790" s="4"/>
    </row>
    <row r="791">
      <c r="F791" s="4"/>
    </row>
    <row r="792">
      <c r="F792" s="4"/>
    </row>
    <row r="793">
      <c r="F793" s="4"/>
    </row>
    <row r="794">
      <c r="F794" s="4"/>
    </row>
    <row r="795">
      <c r="F795" s="4"/>
    </row>
    <row r="796">
      <c r="F796" s="4"/>
    </row>
    <row r="797">
      <c r="F797" s="4"/>
    </row>
    <row r="798">
      <c r="F798" s="4"/>
    </row>
    <row r="799">
      <c r="F799" s="4"/>
    </row>
    <row r="800">
      <c r="F800" s="4"/>
    </row>
    <row r="801">
      <c r="F801" s="4"/>
    </row>
    <row r="802">
      <c r="F802" s="4"/>
    </row>
    <row r="803">
      <c r="F803" s="4"/>
    </row>
    <row r="804">
      <c r="F804" s="4"/>
    </row>
    <row r="805">
      <c r="F805" s="4"/>
    </row>
    <row r="806">
      <c r="F806" s="4"/>
    </row>
    <row r="807">
      <c r="F807" s="4"/>
    </row>
    <row r="808">
      <c r="F808" s="4"/>
    </row>
    <row r="809">
      <c r="F809" s="4"/>
    </row>
    <row r="810">
      <c r="F810" s="4"/>
    </row>
    <row r="811">
      <c r="F811" s="4"/>
    </row>
    <row r="812">
      <c r="F812" s="4"/>
    </row>
    <row r="813">
      <c r="F813" s="4"/>
    </row>
    <row r="814">
      <c r="F814" s="4"/>
    </row>
    <row r="815">
      <c r="F815" s="4"/>
    </row>
    <row r="816">
      <c r="F816" s="4"/>
    </row>
    <row r="817">
      <c r="F817" s="4"/>
    </row>
    <row r="818">
      <c r="F818" s="4"/>
    </row>
    <row r="819">
      <c r="F819" s="4"/>
    </row>
    <row r="820">
      <c r="F820" s="4"/>
    </row>
    <row r="821">
      <c r="F821" s="4"/>
    </row>
    <row r="822">
      <c r="F822" s="4"/>
    </row>
    <row r="823">
      <c r="F823" s="4"/>
    </row>
    <row r="824">
      <c r="F824" s="4"/>
    </row>
    <row r="825">
      <c r="F825" s="4"/>
    </row>
    <row r="826">
      <c r="F826" s="4"/>
    </row>
    <row r="827">
      <c r="F827" s="4"/>
    </row>
    <row r="828">
      <c r="F828" s="4"/>
    </row>
    <row r="829">
      <c r="F829" s="4"/>
    </row>
    <row r="830">
      <c r="F830" s="4"/>
    </row>
    <row r="831">
      <c r="F831" s="4"/>
    </row>
    <row r="832">
      <c r="F832" s="4"/>
    </row>
    <row r="833">
      <c r="F833" s="4"/>
    </row>
    <row r="834">
      <c r="F834" s="4"/>
    </row>
    <row r="835">
      <c r="F835" s="4"/>
    </row>
    <row r="836">
      <c r="F836" s="4"/>
    </row>
    <row r="837">
      <c r="F837" s="4"/>
    </row>
    <row r="838">
      <c r="F838" s="4"/>
    </row>
    <row r="839">
      <c r="F839" s="4"/>
    </row>
    <row r="840">
      <c r="F840" s="4"/>
    </row>
    <row r="841">
      <c r="F841" s="4"/>
    </row>
    <row r="842">
      <c r="F842" s="4"/>
    </row>
    <row r="843">
      <c r="F843" s="4"/>
    </row>
    <row r="844">
      <c r="F844" s="4"/>
    </row>
    <row r="845">
      <c r="F845" s="4"/>
    </row>
    <row r="846">
      <c r="F846" s="4"/>
    </row>
    <row r="847">
      <c r="F847" s="4"/>
    </row>
    <row r="848">
      <c r="F848" s="4"/>
    </row>
    <row r="849">
      <c r="F849" s="4"/>
    </row>
    <row r="850">
      <c r="F850" s="4"/>
    </row>
    <row r="851">
      <c r="F851" s="4"/>
    </row>
    <row r="852">
      <c r="F852" s="4"/>
    </row>
    <row r="853">
      <c r="F853" s="4"/>
    </row>
    <row r="854">
      <c r="F854" s="4"/>
    </row>
    <row r="855">
      <c r="F855" s="4"/>
    </row>
    <row r="856">
      <c r="F856" s="4"/>
    </row>
    <row r="857">
      <c r="F857" s="4"/>
    </row>
    <row r="858">
      <c r="F858" s="4"/>
    </row>
    <row r="859">
      <c r="F859" s="4"/>
    </row>
    <row r="860">
      <c r="F860" s="4"/>
    </row>
    <row r="861">
      <c r="F861" s="4"/>
    </row>
    <row r="862">
      <c r="F862" s="4"/>
    </row>
    <row r="863">
      <c r="F863" s="4"/>
    </row>
    <row r="864">
      <c r="F864" s="4"/>
    </row>
    <row r="865">
      <c r="F865" s="4"/>
    </row>
    <row r="866">
      <c r="F866" s="4"/>
    </row>
    <row r="867">
      <c r="F867" s="4"/>
    </row>
    <row r="868">
      <c r="F868" s="4"/>
    </row>
    <row r="869">
      <c r="F869" s="4"/>
    </row>
    <row r="870">
      <c r="F870" s="4"/>
    </row>
    <row r="871">
      <c r="F871" s="4"/>
    </row>
    <row r="872">
      <c r="F872" s="4"/>
    </row>
    <row r="873">
      <c r="F873" s="4"/>
    </row>
    <row r="874">
      <c r="F874" s="4"/>
    </row>
    <row r="875">
      <c r="F875" s="4"/>
    </row>
    <row r="876">
      <c r="F876" s="4"/>
    </row>
    <row r="877">
      <c r="F877" s="4"/>
    </row>
    <row r="878">
      <c r="F878" s="4"/>
    </row>
    <row r="879">
      <c r="F879" s="4"/>
    </row>
    <row r="880">
      <c r="F880" s="4"/>
    </row>
    <row r="881">
      <c r="F881" s="4"/>
    </row>
    <row r="882">
      <c r="F882" s="4"/>
    </row>
    <row r="883">
      <c r="F883" s="4"/>
    </row>
    <row r="884">
      <c r="F884" s="4"/>
    </row>
    <row r="885">
      <c r="F885" s="4"/>
    </row>
    <row r="886">
      <c r="F886" s="4"/>
    </row>
    <row r="887">
      <c r="F887" s="4"/>
    </row>
    <row r="888">
      <c r="F888" s="4"/>
    </row>
    <row r="889">
      <c r="F889" s="4"/>
    </row>
    <row r="890">
      <c r="F890" s="4"/>
    </row>
    <row r="891">
      <c r="F891" s="4"/>
    </row>
    <row r="892">
      <c r="F892" s="4"/>
    </row>
    <row r="893">
      <c r="F893" s="4"/>
    </row>
    <row r="894">
      <c r="F894" s="4"/>
    </row>
    <row r="895">
      <c r="F895" s="4"/>
    </row>
    <row r="896">
      <c r="F896" s="4"/>
    </row>
    <row r="897">
      <c r="F897" s="4"/>
    </row>
    <row r="898">
      <c r="F898" s="4"/>
    </row>
    <row r="899">
      <c r="F899" s="4"/>
    </row>
    <row r="900">
      <c r="F900" s="4"/>
    </row>
    <row r="901">
      <c r="F901" s="4"/>
    </row>
    <row r="902">
      <c r="F902" s="4"/>
    </row>
    <row r="903">
      <c r="F903" s="4"/>
    </row>
    <row r="904">
      <c r="F904" s="4"/>
    </row>
    <row r="905">
      <c r="F905" s="4"/>
    </row>
    <row r="906">
      <c r="F906" s="4"/>
    </row>
    <row r="907">
      <c r="F907" s="4"/>
    </row>
    <row r="908">
      <c r="F908" s="4"/>
    </row>
    <row r="909">
      <c r="F909" s="4"/>
    </row>
    <row r="910">
      <c r="F910" s="4"/>
    </row>
    <row r="911">
      <c r="F911" s="4"/>
    </row>
    <row r="912">
      <c r="F912" s="4"/>
    </row>
    <row r="913">
      <c r="F913" s="4"/>
    </row>
    <row r="914">
      <c r="F914" s="4"/>
    </row>
    <row r="915">
      <c r="F915" s="4"/>
    </row>
    <row r="916">
      <c r="F916" s="4"/>
    </row>
    <row r="917">
      <c r="F917" s="4"/>
    </row>
    <row r="918">
      <c r="F918" s="4"/>
    </row>
    <row r="919">
      <c r="F919" s="4"/>
    </row>
    <row r="920">
      <c r="F920" s="4"/>
    </row>
    <row r="921">
      <c r="F921" s="4"/>
    </row>
    <row r="922">
      <c r="F922" s="4"/>
    </row>
    <row r="923">
      <c r="F923" s="4"/>
    </row>
    <row r="924">
      <c r="F924" s="4"/>
    </row>
    <row r="925">
      <c r="F925" s="4"/>
    </row>
    <row r="926">
      <c r="F926" s="4"/>
    </row>
    <row r="927">
      <c r="F927" s="4"/>
    </row>
    <row r="928">
      <c r="F928" s="4"/>
    </row>
    <row r="929">
      <c r="F929" s="4"/>
    </row>
    <row r="930">
      <c r="F930" s="4"/>
    </row>
    <row r="931">
      <c r="F931" s="4"/>
    </row>
    <row r="932">
      <c r="F932" s="4"/>
    </row>
    <row r="933">
      <c r="F933" s="4"/>
    </row>
    <row r="934">
      <c r="F934" s="4"/>
    </row>
    <row r="935">
      <c r="F935" s="4"/>
    </row>
    <row r="936">
      <c r="F936" s="4"/>
    </row>
    <row r="937">
      <c r="F937" s="4"/>
    </row>
    <row r="938">
      <c r="F938" s="4"/>
    </row>
    <row r="939">
      <c r="F939" s="4"/>
    </row>
    <row r="940">
      <c r="F940" s="4"/>
    </row>
    <row r="941">
      <c r="F941" s="4"/>
    </row>
    <row r="942">
      <c r="F942" s="4"/>
    </row>
    <row r="943">
      <c r="F943" s="4"/>
    </row>
    <row r="944">
      <c r="F944" s="4"/>
    </row>
    <row r="945">
      <c r="F945" s="4"/>
    </row>
    <row r="946">
      <c r="F946" s="4"/>
    </row>
    <row r="947">
      <c r="F947" s="4"/>
    </row>
    <row r="948">
      <c r="F948" s="4"/>
    </row>
    <row r="949">
      <c r="F949" s="4"/>
    </row>
    <row r="950">
      <c r="F950" s="4"/>
    </row>
    <row r="951">
      <c r="F951" s="4"/>
    </row>
    <row r="952">
      <c r="F952" s="4"/>
    </row>
    <row r="953">
      <c r="F953" s="4"/>
    </row>
    <row r="954">
      <c r="F954" s="4"/>
    </row>
    <row r="955">
      <c r="F955" s="4"/>
    </row>
    <row r="956">
      <c r="F956" s="4"/>
    </row>
    <row r="957">
      <c r="F957" s="4"/>
    </row>
    <row r="958">
      <c r="F958" s="4"/>
    </row>
    <row r="959">
      <c r="F959" s="4"/>
    </row>
    <row r="960">
      <c r="F960" s="4"/>
    </row>
    <row r="961">
      <c r="F961" s="4"/>
    </row>
    <row r="962">
      <c r="F962" s="4"/>
    </row>
    <row r="963">
      <c r="F963" s="4"/>
    </row>
    <row r="964">
      <c r="F964" s="4"/>
    </row>
    <row r="965">
      <c r="F965" s="4"/>
    </row>
    <row r="966">
      <c r="F966" s="4"/>
    </row>
    <row r="967">
      <c r="F967" s="4"/>
    </row>
    <row r="968">
      <c r="F968" s="4"/>
    </row>
    <row r="969">
      <c r="F969" s="4"/>
    </row>
    <row r="970">
      <c r="F970" s="4"/>
    </row>
    <row r="971">
      <c r="F971" s="4"/>
    </row>
    <row r="972">
      <c r="F972" s="4"/>
    </row>
    <row r="973">
      <c r="F973" s="4"/>
    </row>
    <row r="974">
      <c r="F974" s="4"/>
    </row>
    <row r="975">
      <c r="F975" s="4"/>
    </row>
    <row r="976">
      <c r="F976" s="4"/>
    </row>
    <row r="977">
      <c r="F977" s="4"/>
    </row>
    <row r="978">
      <c r="F978" s="4"/>
    </row>
    <row r="979">
      <c r="F979" s="4"/>
    </row>
    <row r="980">
      <c r="F980" s="4"/>
    </row>
    <row r="981">
      <c r="F981" s="4"/>
    </row>
    <row r="982">
      <c r="F982" s="4"/>
    </row>
    <row r="983">
      <c r="F983" s="4"/>
    </row>
    <row r="984">
      <c r="F984" s="4"/>
    </row>
    <row r="985">
      <c r="F985" s="4"/>
    </row>
    <row r="986">
      <c r="F986" s="4"/>
    </row>
    <row r="987">
      <c r="F987" s="4"/>
    </row>
    <row r="988">
      <c r="F988" s="4"/>
    </row>
    <row r="989">
      <c r="F989" s="4"/>
    </row>
    <row r="990">
      <c r="F990" s="4"/>
    </row>
    <row r="991">
      <c r="F991" s="4"/>
    </row>
    <row r="992">
      <c r="F992" s="4"/>
    </row>
    <row r="993">
      <c r="F993" s="4"/>
    </row>
    <row r="994">
      <c r="F994" s="4"/>
    </row>
    <row r="995">
      <c r="F995" s="4"/>
    </row>
    <row r="996">
      <c r="F996" s="4"/>
    </row>
    <row r="997">
      <c r="F997" s="4"/>
    </row>
    <row r="998">
      <c r="F998" s="4"/>
    </row>
    <row r="999">
      <c r="F999" s="4"/>
    </row>
    <row r="1000">
      <c r="F1000" s="4"/>
    </row>
  </sheetData>
  <conditionalFormatting sqref="E2:G13">
    <cfRule type="cellIs" dxfId="1" priority="1" operator="equal">
      <formula>"FALSE"</formula>
    </cfRule>
  </conditionalFormatting>
  <conditionalFormatting sqref="E2:G13">
    <cfRule type="containsText" dxfId="2" priority="2" operator="containsText" text="TRUE">
      <formula>NOT(ISERROR(SEARCH(("TRUE"),(E2))))</formula>
    </cfRule>
  </conditionalFormatting>
  <conditionalFormatting sqref="E2:G13">
    <cfRule type="cellIs" dxfId="0" priority="3" operator="equal">
      <formula>"ID null"</formula>
    </cfRule>
  </conditionalFormatting>
  <dataValidations>
    <dataValidation type="list" allowBlank="1" sqref="F2:F1000">
      <formula1>"No,Yes"</formula1>
    </dataValidation>
  </dataValidations>
  <hyperlinks>
    <hyperlink r:id="rId1" ref="D2"/>
    <hyperlink r:id="rId2" ref="D3"/>
    <hyperlink r:id="rId3" ref="D4"/>
  </hyperlinks>
  <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 t="s">
        <v>45</v>
      </c>
      <c r="B1" s="3" t="s">
        <v>5700</v>
      </c>
      <c r="C1" s="3" t="s">
        <v>6823</v>
      </c>
      <c r="D1" s="3" t="s">
        <v>46</v>
      </c>
      <c r="E1" s="3" t="s">
        <v>47</v>
      </c>
      <c r="F1" s="3" t="s">
        <v>48</v>
      </c>
      <c r="G1" s="3" t="s">
        <v>49</v>
      </c>
      <c r="H1" s="3" t="s">
        <v>6824</v>
      </c>
      <c r="I1" s="3" t="s">
        <v>6825</v>
      </c>
      <c r="J1" s="3" t="s">
        <v>6826</v>
      </c>
      <c r="K1" s="3" t="s">
        <v>50</v>
      </c>
      <c r="L1" s="3" t="s">
        <v>51</v>
      </c>
      <c r="M1" s="3" t="s">
        <v>6827</v>
      </c>
      <c r="N1" s="3" t="s">
        <v>6828</v>
      </c>
      <c r="O1" s="3" t="s">
        <v>52</v>
      </c>
      <c r="P1" s="3" t="s">
        <v>53</v>
      </c>
      <c r="Q1" s="3" t="s">
        <v>54</v>
      </c>
      <c r="R1" s="3" t="s">
        <v>55</v>
      </c>
      <c r="S1" s="3" t="s">
        <v>56</v>
      </c>
      <c r="T1" s="3" t="s">
        <v>57</v>
      </c>
      <c r="U1" s="3" t="s">
        <v>6829</v>
      </c>
      <c r="V1" s="3" t="s">
        <v>3069</v>
      </c>
      <c r="W1" s="3" t="s">
        <v>6831</v>
      </c>
      <c r="X1" s="3" t="s">
        <v>6832</v>
      </c>
      <c r="Y1" s="3" t="s">
        <v>6834</v>
      </c>
      <c r="Z1" s="3" t="s">
        <v>6835</v>
      </c>
      <c r="AA1" s="3" t="s">
        <v>6836</v>
      </c>
      <c r="AB1" s="3"/>
      <c r="AC1" s="3"/>
      <c r="AD1" s="3"/>
      <c r="AE1" s="3"/>
      <c r="AF1" s="3"/>
      <c r="AG1" s="3"/>
      <c r="AH1" s="3"/>
      <c r="AI1" s="3"/>
      <c r="AJ1" s="3"/>
      <c r="AK1" s="3"/>
    </row>
    <row r="2">
      <c r="A2" s="4"/>
      <c r="B2" s="4" t="s">
        <v>64</v>
      </c>
      <c r="C2" s="4"/>
      <c r="D2" s="4"/>
      <c r="E2" s="4"/>
      <c r="F2" s="4"/>
      <c r="G2" s="4"/>
      <c r="H2" s="4"/>
      <c r="I2" s="4"/>
      <c r="J2" s="4"/>
      <c r="K2" s="4"/>
      <c r="L2" s="4"/>
      <c r="M2" s="4"/>
      <c r="N2" s="4"/>
      <c r="O2" s="4"/>
      <c r="P2" s="4"/>
      <c r="Q2" s="4"/>
      <c r="R2" s="4"/>
      <c r="S2" s="4"/>
      <c r="T2" s="4"/>
      <c r="U2" s="4"/>
      <c r="V2" s="4"/>
      <c r="W2" s="4"/>
      <c r="X2" s="4"/>
      <c r="Y2" s="4"/>
      <c r="Z2" s="4"/>
      <c r="AA2" s="4"/>
    </row>
    <row r="3">
      <c r="A3" s="4"/>
      <c r="B3" s="4" t="s">
        <v>65</v>
      </c>
      <c r="C3" s="4"/>
      <c r="D3" s="4"/>
      <c r="E3" s="4"/>
      <c r="F3" s="4"/>
      <c r="G3" s="4"/>
      <c r="H3" s="4"/>
      <c r="I3" s="4"/>
      <c r="J3" s="4"/>
      <c r="K3" s="4"/>
      <c r="L3" s="4"/>
      <c r="M3" s="4"/>
      <c r="N3" s="4"/>
      <c r="O3" s="4"/>
      <c r="P3" s="4"/>
      <c r="Q3" s="4"/>
      <c r="R3" s="4"/>
      <c r="S3" s="4"/>
      <c r="T3" s="4"/>
      <c r="U3" s="4"/>
      <c r="V3" s="4"/>
      <c r="W3" s="4"/>
      <c r="X3" s="4"/>
      <c r="Y3" s="4"/>
      <c r="Z3" s="4"/>
      <c r="AA3" s="4"/>
    </row>
    <row r="4">
      <c r="A4" s="4" t="s">
        <v>6837</v>
      </c>
      <c r="B4" s="4" t="s">
        <v>14</v>
      </c>
      <c r="C4" s="4" t="s">
        <v>6838</v>
      </c>
      <c r="D4" s="4">
        <v>44005.0</v>
      </c>
      <c r="E4" s="4">
        <v>0.4166666666666667</v>
      </c>
      <c r="F4" s="4">
        <v>6.944444444444445E-4</v>
      </c>
      <c r="G4" s="4">
        <v>0.4173611111111111</v>
      </c>
      <c r="H4" s="4"/>
      <c r="I4" s="4"/>
      <c r="J4" s="4"/>
      <c r="K4" s="4"/>
      <c r="L4" s="4"/>
      <c r="M4" s="4"/>
      <c r="N4" s="4"/>
      <c r="O4" s="4" t="s">
        <v>6840</v>
      </c>
      <c r="P4" s="4"/>
      <c r="Q4" s="4"/>
      <c r="R4" s="4"/>
      <c r="S4" s="4"/>
      <c r="T4" s="4"/>
      <c r="U4" s="4"/>
      <c r="V4" s="4"/>
      <c r="W4" s="4"/>
      <c r="X4" s="4"/>
      <c r="Y4" s="4"/>
      <c r="Z4" s="4"/>
      <c r="AA4" s="4"/>
    </row>
    <row r="5">
      <c r="A5" s="4" t="s">
        <v>6841</v>
      </c>
      <c r="B5" s="4" t="s">
        <v>14</v>
      </c>
      <c r="C5" s="4" t="s">
        <v>6838</v>
      </c>
      <c r="D5" s="4">
        <v>44005.0</v>
      </c>
      <c r="E5" s="4">
        <v>0.4173611111111111</v>
      </c>
      <c r="F5" s="4">
        <v>3.4722222222222224E-4</v>
      </c>
      <c r="G5" s="4">
        <v>0.41770833333333335</v>
      </c>
      <c r="H5" s="4"/>
      <c r="I5" s="4"/>
      <c r="J5" s="4"/>
      <c r="K5" s="4"/>
      <c r="L5" s="4"/>
      <c r="M5" s="4"/>
      <c r="N5" s="4"/>
      <c r="O5" s="4" t="s">
        <v>370</v>
      </c>
      <c r="P5" s="4"/>
      <c r="Q5" s="4"/>
      <c r="R5" s="4"/>
      <c r="S5" s="4"/>
      <c r="T5" s="4"/>
      <c r="U5" s="4"/>
      <c r="V5" s="4"/>
      <c r="W5" s="4"/>
      <c r="X5" s="4"/>
      <c r="Y5" s="4"/>
      <c r="Z5" s="4"/>
      <c r="AA5" s="4"/>
    </row>
    <row r="6">
      <c r="A6" s="4" t="s">
        <v>6843</v>
      </c>
      <c r="B6" s="4" t="s">
        <v>14</v>
      </c>
      <c r="C6" s="4" t="s">
        <v>6838</v>
      </c>
      <c r="D6" s="4">
        <v>44005.0</v>
      </c>
      <c r="E6" s="4">
        <v>0.41770833333333335</v>
      </c>
      <c r="F6" s="4">
        <v>0.003472222222222222</v>
      </c>
      <c r="G6" s="4">
        <v>0.42118055555555556</v>
      </c>
      <c r="H6" s="4"/>
      <c r="I6" s="4"/>
      <c r="J6" s="4"/>
      <c r="K6" s="4"/>
      <c r="L6" s="4"/>
      <c r="M6" s="4"/>
      <c r="N6" s="4"/>
      <c r="O6" s="4" t="s">
        <v>6847</v>
      </c>
      <c r="P6" s="4" t="s">
        <v>73</v>
      </c>
      <c r="Q6" s="4" t="s">
        <v>128</v>
      </c>
      <c r="R6" s="4"/>
      <c r="S6" s="4"/>
      <c r="T6" s="4"/>
      <c r="U6" s="4">
        <v>2.0</v>
      </c>
      <c r="V6" s="4" t="s">
        <v>6848</v>
      </c>
      <c r="W6" s="4"/>
      <c r="X6" s="4"/>
      <c r="Y6" s="4"/>
      <c r="Z6" s="4"/>
      <c r="AA6" s="4"/>
    </row>
    <row r="7">
      <c r="A7" s="4" t="s">
        <v>6849</v>
      </c>
      <c r="B7" s="4" t="s">
        <v>14</v>
      </c>
      <c r="C7" s="4" t="s">
        <v>6838</v>
      </c>
      <c r="D7" s="4">
        <v>44005.0</v>
      </c>
      <c r="E7" s="4">
        <v>0.42118055555555556</v>
      </c>
      <c r="F7" s="4">
        <v>0.0020833333333333333</v>
      </c>
      <c r="G7" s="4">
        <v>0.4232638888888889</v>
      </c>
      <c r="H7" s="4"/>
      <c r="I7" s="4"/>
      <c r="J7" s="4"/>
      <c r="K7" s="4"/>
      <c r="L7" s="4" t="s">
        <v>83</v>
      </c>
      <c r="M7" s="4"/>
      <c r="N7" s="4"/>
      <c r="O7" s="4" t="s">
        <v>6850</v>
      </c>
      <c r="P7" s="4" t="s">
        <v>69</v>
      </c>
      <c r="Q7" s="4"/>
      <c r="R7" s="4"/>
      <c r="S7" s="4"/>
      <c r="T7" s="4"/>
      <c r="U7" s="4"/>
      <c r="V7" s="4" t="s">
        <v>6851</v>
      </c>
      <c r="W7" s="4"/>
      <c r="X7" s="4"/>
      <c r="Y7" s="4"/>
      <c r="Z7" s="4"/>
      <c r="AA7" s="4"/>
    </row>
    <row r="8">
      <c r="A8" s="4" t="s">
        <v>6852</v>
      </c>
      <c r="B8" s="4" t="s">
        <v>14</v>
      </c>
      <c r="C8" s="4" t="s">
        <v>6838</v>
      </c>
      <c r="D8" s="4">
        <v>44005.0</v>
      </c>
      <c r="E8" s="4">
        <v>0.4232638888888889</v>
      </c>
      <c r="F8" s="4">
        <v>0.005555555555555556</v>
      </c>
      <c r="G8" s="4">
        <v>0.4288194444444444</v>
      </c>
      <c r="H8" s="4" t="s">
        <v>653</v>
      </c>
      <c r="I8" s="4"/>
      <c r="J8" s="4" t="s">
        <v>6853</v>
      </c>
      <c r="K8" s="4"/>
      <c r="L8" s="4" t="s">
        <v>74</v>
      </c>
      <c r="M8" s="4"/>
      <c r="N8" s="4" t="s">
        <v>6689</v>
      </c>
      <c r="O8" s="4" t="s">
        <v>75</v>
      </c>
      <c r="P8" s="4" t="s">
        <v>76</v>
      </c>
      <c r="Q8" s="4" t="s">
        <v>73</v>
      </c>
      <c r="R8" s="4" t="s">
        <v>128</v>
      </c>
      <c r="S8" s="4"/>
      <c r="T8" s="4"/>
      <c r="U8" s="4">
        <v>3.0</v>
      </c>
      <c r="V8" s="4" t="s">
        <v>6854</v>
      </c>
      <c r="W8" s="4" t="s">
        <v>6855</v>
      </c>
      <c r="X8" s="4"/>
      <c r="Y8" s="4"/>
      <c r="Z8" s="4"/>
      <c r="AA8" s="4"/>
    </row>
    <row r="9">
      <c r="A9" s="4" t="s">
        <v>6856</v>
      </c>
      <c r="B9" s="4" t="s">
        <v>14</v>
      </c>
      <c r="C9" s="4" t="s">
        <v>6838</v>
      </c>
      <c r="D9" s="4">
        <v>44005.0</v>
      </c>
      <c r="E9" s="4">
        <v>0.4288194444444444</v>
      </c>
      <c r="F9" s="4">
        <v>3.4722222222222224E-4</v>
      </c>
      <c r="G9" s="4">
        <v>0.42916666666666664</v>
      </c>
      <c r="H9" s="4"/>
      <c r="I9" s="4"/>
      <c r="J9" s="4"/>
      <c r="K9" s="4"/>
      <c r="L9" s="4"/>
      <c r="M9" s="4"/>
      <c r="N9" s="4"/>
      <c r="O9" s="4" t="s">
        <v>91</v>
      </c>
      <c r="P9" s="4" t="s">
        <v>105</v>
      </c>
      <c r="Q9" s="4"/>
      <c r="R9" s="4"/>
      <c r="S9" s="4"/>
      <c r="T9" s="4"/>
      <c r="U9" s="4"/>
      <c r="V9" s="4"/>
      <c r="W9" s="4"/>
      <c r="X9" s="4"/>
      <c r="Y9" s="4"/>
      <c r="Z9" s="4"/>
      <c r="AA9" s="4"/>
    </row>
    <row r="10">
      <c r="A10" s="4" t="s">
        <v>6857</v>
      </c>
      <c r="B10" s="4" t="s">
        <v>14</v>
      </c>
      <c r="C10" s="4" t="s">
        <v>6838</v>
      </c>
      <c r="D10" s="4">
        <v>44005.0</v>
      </c>
      <c r="E10" s="4">
        <v>0.42916666666666664</v>
      </c>
      <c r="F10" s="4">
        <v>0.008333333333333333</v>
      </c>
      <c r="G10" s="4">
        <v>0.4375</v>
      </c>
      <c r="H10" s="4" t="s">
        <v>630</v>
      </c>
      <c r="I10" s="4" t="s">
        <v>4142</v>
      </c>
      <c r="J10" s="4" t="s">
        <v>15</v>
      </c>
      <c r="K10" s="4" t="s">
        <v>151</v>
      </c>
      <c r="L10" s="4" t="s">
        <v>94</v>
      </c>
      <c r="M10" s="4"/>
      <c r="N10" s="4" t="s">
        <v>6858</v>
      </c>
      <c r="O10" s="4" t="s">
        <v>319</v>
      </c>
      <c r="P10" s="4" t="s">
        <v>320</v>
      </c>
      <c r="Q10" s="4"/>
      <c r="R10" s="4"/>
      <c r="S10" s="4"/>
      <c r="T10" s="4" t="s">
        <v>321</v>
      </c>
      <c r="U10" s="4">
        <v>1.0</v>
      </c>
      <c r="V10" s="4" t="s">
        <v>6859</v>
      </c>
      <c r="W10" s="4" t="s">
        <v>6860</v>
      </c>
      <c r="X10" s="4">
        <v>43964.708333333336</v>
      </c>
      <c r="Y10" s="4" t="s">
        <v>6861</v>
      </c>
      <c r="Z10" s="4" t="s">
        <v>630</v>
      </c>
      <c r="AA10" s="4"/>
    </row>
    <row r="11">
      <c r="A11" s="4" t="s">
        <v>6862</v>
      </c>
      <c r="B11" s="4" t="s">
        <v>14</v>
      </c>
      <c r="C11" s="4" t="s">
        <v>6838</v>
      </c>
      <c r="D11" s="4">
        <v>44005.0</v>
      </c>
      <c r="E11" s="4">
        <v>0.4375</v>
      </c>
      <c r="F11" s="4">
        <v>1.7361111111111112E-4</v>
      </c>
      <c r="G11" s="4">
        <v>0.43767361111111114</v>
      </c>
      <c r="H11" s="4"/>
      <c r="I11" s="4"/>
      <c r="J11" s="4"/>
      <c r="K11" s="4"/>
      <c r="L11" s="4"/>
      <c r="M11" s="4"/>
      <c r="N11" s="4"/>
      <c r="O11" s="4" t="s">
        <v>85</v>
      </c>
      <c r="P11" s="4"/>
      <c r="Q11" s="4"/>
      <c r="R11" s="4"/>
      <c r="S11" s="4"/>
      <c r="T11" s="4"/>
      <c r="U11" s="4">
        <v>0.0</v>
      </c>
      <c r="V11" s="4"/>
      <c r="W11" s="4"/>
      <c r="X11" s="4"/>
      <c r="Y11" s="4"/>
      <c r="Z11" s="4"/>
      <c r="AA11" s="4"/>
    </row>
    <row r="12">
      <c r="A12" s="4" t="s">
        <v>6864</v>
      </c>
      <c r="B12" s="4" t="s">
        <v>14</v>
      </c>
      <c r="C12" s="4" t="s">
        <v>6838</v>
      </c>
      <c r="D12" s="4">
        <v>44005.0</v>
      </c>
      <c r="E12" s="4">
        <v>0.43767361111111114</v>
      </c>
      <c r="F12" s="4">
        <v>0.0012152777777777778</v>
      </c>
      <c r="G12" s="4">
        <v>0.43888888888888894</v>
      </c>
      <c r="H12" s="4"/>
      <c r="I12" s="4"/>
      <c r="J12" s="4"/>
      <c r="K12" s="4"/>
      <c r="L12" s="4"/>
      <c r="M12" s="4"/>
      <c r="N12" s="4"/>
      <c r="O12" s="4" t="s">
        <v>370</v>
      </c>
      <c r="P12" s="4"/>
      <c r="Q12" s="4"/>
      <c r="R12" s="4"/>
      <c r="S12" s="4"/>
      <c r="T12" s="4"/>
      <c r="U12" s="4">
        <v>0.0</v>
      </c>
      <c r="V12" s="4"/>
      <c r="W12" s="4"/>
      <c r="X12" s="4"/>
      <c r="Y12" s="4"/>
      <c r="Z12" s="4"/>
      <c r="AA12" s="4"/>
    </row>
    <row r="13">
      <c r="A13" s="4" t="s">
        <v>6866</v>
      </c>
      <c r="B13" s="4" t="s">
        <v>14</v>
      </c>
      <c r="C13" s="4" t="s">
        <v>6838</v>
      </c>
      <c r="D13" s="4">
        <v>44005.0</v>
      </c>
      <c r="E13" s="4">
        <v>0.43888888888888894</v>
      </c>
      <c r="F13" s="4">
        <v>6.944444444444445E-4</v>
      </c>
      <c r="G13" s="4">
        <v>0.4395833333333334</v>
      </c>
      <c r="H13" s="4"/>
      <c r="I13" s="4"/>
      <c r="J13" s="4"/>
      <c r="K13" s="4"/>
      <c r="L13" s="4"/>
      <c r="M13" s="4"/>
      <c r="N13" s="4"/>
      <c r="O13" s="4" t="s">
        <v>6867</v>
      </c>
      <c r="P13" s="4" t="s">
        <v>128</v>
      </c>
      <c r="Q13" s="4"/>
      <c r="R13" s="4"/>
      <c r="S13" s="4"/>
      <c r="T13" s="4"/>
      <c r="U13" s="4">
        <v>1.0</v>
      </c>
      <c r="V13" s="4"/>
      <c r="W13" s="4"/>
      <c r="X13" s="4"/>
      <c r="Y13" s="4"/>
      <c r="Z13" s="4"/>
      <c r="AA13" s="4"/>
    </row>
    <row r="14">
      <c r="A14" s="4" t="s">
        <v>6868</v>
      </c>
      <c r="B14" s="4" t="s">
        <v>14</v>
      </c>
      <c r="C14" s="4" t="s">
        <v>6838</v>
      </c>
      <c r="D14" s="4">
        <v>44005.0</v>
      </c>
      <c r="E14" s="4">
        <v>0.4395833333333334</v>
      </c>
      <c r="F14" s="4">
        <v>3.4722222222222224E-4</v>
      </c>
      <c r="G14" s="4">
        <v>0.4399305555555556</v>
      </c>
      <c r="H14" s="4"/>
      <c r="I14" s="4"/>
      <c r="J14" s="4"/>
      <c r="K14" s="4"/>
      <c r="L14" s="4"/>
      <c r="M14" s="4"/>
      <c r="N14" s="4"/>
      <c r="O14" s="4" t="s">
        <v>81</v>
      </c>
      <c r="P14" s="4" t="s">
        <v>128</v>
      </c>
      <c r="Q14" s="4"/>
      <c r="R14" s="4"/>
      <c r="S14" s="4"/>
      <c r="T14" s="4"/>
      <c r="U14" s="4">
        <v>1.0</v>
      </c>
      <c r="V14" s="4"/>
      <c r="W14" s="4"/>
      <c r="X14" s="4"/>
      <c r="Y14" s="4"/>
      <c r="Z14" s="4"/>
      <c r="AA14" s="4"/>
    </row>
    <row r="15">
      <c r="A15" s="4" t="s">
        <v>6869</v>
      </c>
      <c r="B15" s="4" t="s">
        <v>14</v>
      </c>
      <c r="C15" s="4" t="s">
        <v>6838</v>
      </c>
      <c r="D15" s="4">
        <v>44005.0</v>
      </c>
      <c r="E15" s="4">
        <v>0.4399305555555556</v>
      </c>
      <c r="F15" s="4">
        <v>0.010416666666666666</v>
      </c>
      <c r="G15" s="4">
        <v>0.4503472222222223</v>
      </c>
      <c r="H15" s="4" t="s">
        <v>653</v>
      </c>
      <c r="I15" s="4" t="s">
        <v>4142</v>
      </c>
      <c r="J15" s="4" t="s">
        <v>6870</v>
      </c>
      <c r="K15" s="4" t="s">
        <v>151</v>
      </c>
      <c r="L15" s="4" t="s">
        <v>107</v>
      </c>
      <c r="M15" s="4"/>
      <c r="N15" s="4" t="s">
        <v>6858</v>
      </c>
      <c r="O15" s="4" t="s">
        <v>436</v>
      </c>
      <c r="P15" s="4" t="s">
        <v>437</v>
      </c>
      <c r="Q15" s="4" t="s">
        <v>438</v>
      </c>
      <c r="R15" s="4"/>
      <c r="S15" s="4"/>
      <c r="T15" s="4" t="s">
        <v>439</v>
      </c>
      <c r="U15" s="4">
        <v>3.0</v>
      </c>
      <c r="V15" s="4" t="s">
        <v>6871</v>
      </c>
      <c r="W15" s="4" t="s">
        <v>6872</v>
      </c>
      <c r="X15" s="4"/>
      <c r="Y15" s="4"/>
      <c r="Z15" s="4"/>
      <c r="AA15" s="4"/>
    </row>
    <row r="16">
      <c r="A16" s="4" t="s">
        <v>6873</v>
      </c>
      <c r="B16" s="4" t="s">
        <v>14</v>
      </c>
      <c r="C16" s="4" t="s">
        <v>6838</v>
      </c>
      <c r="D16" s="4">
        <v>44005.0</v>
      </c>
      <c r="E16" s="4">
        <v>0.4503472222222223</v>
      </c>
      <c r="F16" s="4">
        <v>1.7361111111111112E-4</v>
      </c>
      <c r="G16" s="4">
        <v>0.4505208333333334</v>
      </c>
      <c r="H16" s="4"/>
      <c r="I16" s="4"/>
      <c r="J16" s="4"/>
      <c r="K16" s="4"/>
      <c r="L16" s="4"/>
      <c r="M16" s="4"/>
      <c r="N16" s="4"/>
      <c r="O16" s="4" t="s">
        <v>85</v>
      </c>
      <c r="P16" s="4"/>
      <c r="Q16" s="4"/>
      <c r="R16" s="4"/>
      <c r="S16" s="4"/>
      <c r="T16" s="4"/>
      <c r="U16" s="4">
        <v>0.0</v>
      </c>
      <c r="V16" s="4"/>
      <c r="W16" s="4"/>
      <c r="X16" s="4"/>
      <c r="Y16" s="4"/>
      <c r="Z16" s="4"/>
      <c r="AA16" s="4"/>
    </row>
    <row r="17">
      <c r="A17" s="4" t="s">
        <v>6877</v>
      </c>
      <c r="B17" s="4" t="s">
        <v>14</v>
      </c>
      <c r="C17" s="4" t="s">
        <v>6838</v>
      </c>
      <c r="D17" s="4">
        <v>44005.0</v>
      </c>
      <c r="E17" s="4">
        <v>0.4505208333333334</v>
      </c>
      <c r="F17" s="4">
        <v>3.4722222222222224E-4</v>
      </c>
      <c r="G17" s="4">
        <v>0.45086805555555565</v>
      </c>
      <c r="H17" s="4"/>
      <c r="I17" s="4"/>
      <c r="J17" s="4"/>
      <c r="K17" s="4"/>
      <c r="L17" s="4"/>
      <c r="M17" s="4"/>
      <c r="N17" s="4"/>
      <c r="O17" s="4" t="s">
        <v>6878</v>
      </c>
      <c r="P17" s="4" t="s">
        <v>128</v>
      </c>
      <c r="Q17" s="4"/>
      <c r="R17" s="4"/>
      <c r="S17" s="4"/>
      <c r="T17" s="4"/>
      <c r="U17" s="4">
        <v>1.0</v>
      </c>
      <c r="V17" s="4"/>
      <c r="W17" s="4"/>
      <c r="X17" s="4"/>
      <c r="Y17" s="4"/>
      <c r="Z17" s="4"/>
      <c r="AA17" s="4"/>
    </row>
    <row r="18">
      <c r="A18" s="4" t="s">
        <v>6879</v>
      </c>
      <c r="B18" s="4" t="s">
        <v>14</v>
      </c>
      <c r="C18" s="4" t="s">
        <v>6838</v>
      </c>
      <c r="D18" s="4">
        <v>44005.0</v>
      </c>
      <c r="E18" s="4">
        <v>0.45086805555555565</v>
      </c>
      <c r="F18" s="4">
        <v>0.0020833333333333333</v>
      </c>
      <c r="G18" s="4">
        <v>0.452951388888889</v>
      </c>
      <c r="H18" s="4"/>
      <c r="I18" s="4"/>
      <c r="J18" s="4"/>
      <c r="K18" s="4"/>
      <c r="L18" s="4"/>
      <c r="M18" s="4"/>
      <c r="N18" s="4"/>
      <c r="O18" s="4" t="s">
        <v>6880</v>
      </c>
      <c r="P18" s="4" t="s">
        <v>69</v>
      </c>
      <c r="Q18" s="4"/>
      <c r="R18" s="4"/>
      <c r="S18" s="4"/>
      <c r="T18" s="4"/>
      <c r="U18" s="4">
        <v>1.0</v>
      </c>
      <c r="V18" s="4"/>
      <c r="W18" s="4"/>
      <c r="X18" s="4"/>
      <c r="Y18" s="4"/>
      <c r="Z18" s="4"/>
      <c r="AA18" s="4"/>
    </row>
    <row r="19">
      <c r="A19" s="4" t="s">
        <v>6881</v>
      </c>
      <c r="B19" s="4" t="s">
        <v>14</v>
      </c>
      <c r="C19" s="4" t="s">
        <v>6838</v>
      </c>
      <c r="D19" s="4">
        <v>44005.0</v>
      </c>
      <c r="E19" s="4">
        <v>0.452951388888889</v>
      </c>
      <c r="F19" s="4">
        <v>1.7361111111111112E-4</v>
      </c>
      <c r="G19" s="4">
        <v>0.4531250000000001</v>
      </c>
      <c r="H19" s="4"/>
      <c r="I19" s="4"/>
      <c r="J19" s="4"/>
      <c r="K19" s="4"/>
      <c r="L19" s="4"/>
      <c r="M19" s="4"/>
      <c r="N19" s="4"/>
      <c r="O19" s="4" t="s">
        <v>85</v>
      </c>
      <c r="P19" s="4"/>
      <c r="Q19" s="4"/>
      <c r="R19" s="4"/>
      <c r="S19" s="4"/>
      <c r="T19" s="4"/>
      <c r="U19" s="4">
        <v>0.0</v>
      </c>
      <c r="V19" s="4"/>
      <c r="W19" s="4"/>
      <c r="X19" s="4"/>
      <c r="Y19" s="4"/>
      <c r="Z19" s="4"/>
      <c r="AA19" s="4"/>
    </row>
    <row r="20">
      <c r="A20" s="4" t="s">
        <v>6882</v>
      </c>
      <c r="B20" s="4" t="s">
        <v>14</v>
      </c>
      <c r="C20" s="4" t="s">
        <v>6838</v>
      </c>
      <c r="D20" s="4">
        <v>44005.0</v>
      </c>
      <c r="E20" s="4">
        <v>0.4531250000000001</v>
      </c>
      <c r="F20" s="4">
        <v>3.4722222222222224E-4</v>
      </c>
      <c r="G20" s="4">
        <v>0.45347222222222233</v>
      </c>
      <c r="H20" s="4"/>
      <c r="I20" s="4"/>
      <c r="J20" s="4"/>
      <c r="K20" s="4"/>
      <c r="L20" s="4"/>
      <c r="M20" s="4"/>
      <c r="N20" s="4"/>
      <c r="O20" s="4" t="s">
        <v>6867</v>
      </c>
      <c r="P20" s="4" t="s">
        <v>128</v>
      </c>
      <c r="Q20" s="4"/>
      <c r="R20" s="4"/>
      <c r="S20" s="4"/>
      <c r="T20" s="4"/>
      <c r="U20" s="4">
        <v>1.0</v>
      </c>
      <c r="V20" s="4"/>
      <c r="W20" s="4"/>
      <c r="X20" s="4"/>
      <c r="Y20" s="4"/>
      <c r="Z20" s="4"/>
      <c r="AA20" s="4"/>
    </row>
    <row r="21">
      <c r="A21" s="4" t="s">
        <v>6883</v>
      </c>
      <c r="B21" s="4" t="s">
        <v>14</v>
      </c>
      <c r="C21" s="4" t="s">
        <v>6838</v>
      </c>
      <c r="D21" s="4">
        <v>44005.0</v>
      </c>
      <c r="E21" s="4">
        <v>0.45347222222222233</v>
      </c>
      <c r="F21" s="4">
        <v>0.006944444444444444</v>
      </c>
      <c r="G21" s="4">
        <v>0.46041666666666675</v>
      </c>
      <c r="H21" s="4" t="s">
        <v>653</v>
      </c>
      <c r="I21" s="4" t="s">
        <v>4142</v>
      </c>
      <c r="J21" s="4"/>
      <c r="K21" s="4"/>
      <c r="L21" s="4"/>
      <c r="M21" s="4"/>
      <c r="N21" s="4"/>
      <c r="O21" s="4" t="s">
        <v>370</v>
      </c>
      <c r="P21" s="4" t="s">
        <v>69</v>
      </c>
      <c r="Q21" s="4"/>
      <c r="R21" s="4"/>
      <c r="S21" s="4"/>
      <c r="T21" s="4"/>
      <c r="U21" s="4">
        <v>1.0</v>
      </c>
      <c r="V21" s="4"/>
      <c r="W21" s="4"/>
      <c r="X21" s="4" t="s">
        <v>314</v>
      </c>
      <c r="Y21" s="4"/>
      <c r="Z21" s="4"/>
      <c r="AA21" s="4"/>
    </row>
    <row r="22">
      <c r="A22" s="4" t="s">
        <v>6884</v>
      </c>
      <c r="B22" s="4" t="s">
        <v>14</v>
      </c>
      <c r="C22" s="4" t="s">
        <v>6838</v>
      </c>
      <c r="D22" s="4">
        <v>44005.0</v>
      </c>
      <c r="E22" s="4">
        <v>0.46041666666666675</v>
      </c>
      <c r="F22" s="4">
        <v>1.7361111111111112E-4</v>
      </c>
      <c r="G22" s="4">
        <v>0.4605902777777779</v>
      </c>
      <c r="H22" s="4"/>
      <c r="I22" s="4"/>
      <c r="J22" s="4"/>
      <c r="K22" s="4"/>
      <c r="L22" s="4"/>
      <c r="M22" s="4"/>
      <c r="N22" s="4"/>
      <c r="O22" s="4"/>
      <c r="P22" s="4"/>
      <c r="Q22" s="4"/>
      <c r="R22" s="4"/>
      <c r="S22" s="4"/>
      <c r="T22" s="4"/>
      <c r="U22" s="4"/>
      <c r="V22" s="4"/>
      <c r="W22" s="4"/>
      <c r="X22" s="4" t="s">
        <v>6885</v>
      </c>
      <c r="Y22" s="4"/>
      <c r="Z22" s="4" t="s">
        <v>630</v>
      </c>
      <c r="AA22" s="4"/>
    </row>
    <row r="23">
      <c r="A23" s="4" t="s">
        <v>6886</v>
      </c>
      <c r="B23" s="4" t="s">
        <v>14</v>
      </c>
      <c r="C23" s="4" t="s">
        <v>6838</v>
      </c>
      <c r="D23" s="4">
        <v>44005.0</v>
      </c>
      <c r="E23" s="4">
        <v>0.4605902777777779</v>
      </c>
      <c r="F23" s="4">
        <v>1.7361111111111112E-4</v>
      </c>
      <c r="G23" s="4">
        <v>0.46076388888888903</v>
      </c>
      <c r="H23" s="4"/>
      <c r="I23" s="4"/>
      <c r="J23" s="4"/>
      <c r="K23" s="4"/>
      <c r="L23" s="4"/>
      <c r="M23" s="4"/>
      <c r="N23" s="4"/>
      <c r="O23" s="4" t="s">
        <v>85</v>
      </c>
      <c r="P23" s="4"/>
      <c r="Q23" s="4"/>
      <c r="R23" s="4"/>
      <c r="S23" s="4"/>
      <c r="T23" s="4"/>
      <c r="U23" s="4"/>
      <c r="V23" s="4"/>
      <c r="W23" s="4"/>
      <c r="X23" s="4"/>
      <c r="Y23" s="4"/>
      <c r="Z23" s="4"/>
      <c r="AA23" s="4"/>
    </row>
    <row r="24">
      <c r="A24" s="4" t="s">
        <v>6887</v>
      </c>
      <c r="B24" s="4" t="s">
        <v>14</v>
      </c>
      <c r="C24" s="4" t="s">
        <v>6838</v>
      </c>
      <c r="D24" s="4">
        <v>44005.0</v>
      </c>
      <c r="E24" s="4">
        <v>0.46076388888888903</v>
      </c>
      <c r="F24" s="4">
        <v>5.208333333333333E-4</v>
      </c>
      <c r="G24" s="4">
        <v>0.4612847222222224</v>
      </c>
      <c r="H24" s="4"/>
      <c r="I24" s="4"/>
      <c r="J24" s="4"/>
      <c r="K24" s="4"/>
      <c r="L24" s="4"/>
      <c r="M24" s="4"/>
      <c r="N24" s="4"/>
      <c r="O24" s="4" t="s">
        <v>370</v>
      </c>
      <c r="P24" s="4" t="s">
        <v>69</v>
      </c>
      <c r="Q24" s="4"/>
      <c r="R24" s="4"/>
      <c r="S24" s="4"/>
      <c r="T24" s="4"/>
      <c r="U24" s="4">
        <v>1.0</v>
      </c>
      <c r="V24" s="4"/>
      <c r="W24" s="4"/>
      <c r="X24" s="4" t="s">
        <v>314</v>
      </c>
      <c r="Y24" s="4"/>
      <c r="Z24" s="4"/>
      <c r="AA24" s="4"/>
    </row>
    <row r="25">
      <c r="A25" s="4" t="s">
        <v>6888</v>
      </c>
      <c r="B25" s="4" t="s">
        <v>14</v>
      </c>
      <c r="C25" s="4" t="s">
        <v>6838</v>
      </c>
      <c r="D25" s="4">
        <v>44005.0</v>
      </c>
      <c r="E25" s="4"/>
      <c r="F25" s="4"/>
      <c r="G25" s="4"/>
      <c r="H25" s="4" t="s">
        <v>630</v>
      </c>
      <c r="I25" s="4"/>
      <c r="J25" s="4" t="s">
        <v>15</v>
      </c>
      <c r="K25" s="4" t="s">
        <v>245</v>
      </c>
      <c r="L25" s="4" t="s">
        <v>165</v>
      </c>
      <c r="M25" s="4"/>
      <c r="N25" s="4" t="s">
        <v>6858</v>
      </c>
      <c r="O25" s="4" t="s">
        <v>246</v>
      </c>
      <c r="P25" s="4" t="s">
        <v>247</v>
      </c>
      <c r="Q25" s="4"/>
      <c r="R25" s="4"/>
      <c r="S25" s="4"/>
      <c r="T25" s="4"/>
      <c r="U25" s="4">
        <v>1.0</v>
      </c>
      <c r="V25" s="4" t="s">
        <v>6889</v>
      </c>
      <c r="W25" s="4" t="s">
        <v>6890</v>
      </c>
      <c r="X25" s="4"/>
      <c r="Y25" s="4"/>
      <c r="Z25" s="4"/>
      <c r="AA25" s="4"/>
    </row>
    <row r="26">
      <c r="A26" s="4" t="s">
        <v>6891</v>
      </c>
      <c r="B26" s="4" t="s">
        <v>14</v>
      </c>
      <c r="C26" s="4" t="s">
        <v>6838</v>
      </c>
      <c r="D26" s="4">
        <v>44005.0</v>
      </c>
      <c r="E26" s="4">
        <v>0.4612847222222224</v>
      </c>
      <c r="F26" s="4">
        <v>0.0020833333333333333</v>
      </c>
      <c r="G26" s="4">
        <v>0.4633680555555557</v>
      </c>
      <c r="H26" s="4"/>
      <c r="I26" s="4"/>
      <c r="J26" s="4"/>
      <c r="K26" s="4"/>
      <c r="L26" s="4"/>
      <c r="M26" s="4"/>
      <c r="N26" s="4"/>
      <c r="O26" s="4" t="s">
        <v>6892</v>
      </c>
      <c r="P26" s="4" t="s">
        <v>73</v>
      </c>
      <c r="Q26" s="4"/>
      <c r="R26" s="4"/>
      <c r="S26" s="4"/>
      <c r="T26" s="4"/>
      <c r="U26" s="4">
        <v>1.0</v>
      </c>
      <c r="V26" s="4"/>
      <c r="W26" s="4"/>
      <c r="X26" s="4"/>
      <c r="Y26" s="4"/>
      <c r="Z26" s="4"/>
      <c r="AA26" s="4"/>
    </row>
    <row r="27">
      <c r="A27" s="4" t="s">
        <v>6893</v>
      </c>
      <c r="B27" s="4" t="s">
        <v>14</v>
      </c>
      <c r="C27" s="4" t="s">
        <v>6838</v>
      </c>
      <c r="D27" s="4">
        <v>44005.0</v>
      </c>
      <c r="E27" s="4">
        <v>0.4633680555555557</v>
      </c>
      <c r="F27" s="4">
        <v>3.4722222222222224E-4</v>
      </c>
      <c r="G27" s="4">
        <v>0.46371527777777793</v>
      </c>
      <c r="H27" s="4"/>
      <c r="I27" s="4"/>
      <c r="J27" s="4"/>
      <c r="K27" s="4"/>
      <c r="L27" s="4"/>
      <c r="M27" s="4"/>
      <c r="N27" s="4"/>
      <c r="O27" s="4" t="s">
        <v>81</v>
      </c>
      <c r="P27" s="4" t="s">
        <v>105</v>
      </c>
      <c r="Q27" s="4"/>
      <c r="R27" s="4"/>
      <c r="S27" s="4"/>
      <c r="T27" s="4"/>
      <c r="U27" s="4">
        <v>1.0</v>
      </c>
      <c r="V27" s="4"/>
      <c r="W27" s="4"/>
      <c r="X27" s="4"/>
      <c r="Y27" s="4"/>
      <c r="Z27" s="4"/>
      <c r="AA27" s="4"/>
    </row>
    <row r="28">
      <c r="A28" s="4" t="s">
        <v>6894</v>
      </c>
      <c r="B28" s="4" t="s">
        <v>14</v>
      </c>
      <c r="C28" s="4" t="s">
        <v>6838</v>
      </c>
      <c r="D28" s="4">
        <v>44005.0</v>
      </c>
      <c r="E28" s="4">
        <v>0.4720486111111113</v>
      </c>
      <c r="F28" s="4">
        <v>1.7361111111111112E-4</v>
      </c>
      <c r="G28" s="4">
        <v>0.47222222222222243</v>
      </c>
      <c r="H28" s="4"/>
      <c r="I28" s="4"/>
      <c r="J28" s="4"/>
      <c r="K28" s="4"/>
      <c r="L28" s="4"/>
      <c r="M28" s="4"/>
      <c r="N28" s="4"/>
      <c r="O28" s="4" t="s">
        <v>500</v>
      </c>
      <c r="P28" s="4" t="s">
        <v>128</v>
      </c>
      <c r="Q28" s="4"/>
      <c r="R28" s="4"/>
      <c r="S28" s="4"/>
      <c r="T28" s="4"/>
      <c r="U28" s="4">
        <v>1.0</v>
      </c>
      <c r="V28" s="4"/>
      <c r="W28" s="4"/>
      <c r="X28" s="4"/>
      <c r="Y28" s="4"/>
      <c r="Z28" s="4"/>
      <c r="AA28" s="4"/>
    </row>
    <row r="29">
      <c r="A29" s="4" t="s">
        <v>6895</v>
      </c>
      <c r="B29" s="4" t="s">
        <v>14</v>
      </c>
      <c r="C29" s="4" t="s">
        <v>6838</v>
      </c>
      <c r="D29" s="4">
        <v>44005.0</v>
      </c>
      <c r="E29" s="4">
        <v>0.47222222222222243</v>
      </c>
      <c r="F29" s="4">
        <v>3.4722222222222224E-4</v>
      </c>
      <c r="G29" s="4">
        <v>0.47256944444444465</v>
      </c>
      <c r="H29" s="4"/>
      <c r="I29" s="4"/>
      <c r="J29" s="4"/>
      <c r="K29" s="4"/>
      <c r="L29" s="4"/>
      <c r="M29" s="4"/>
      <c r="N29" s="4"/>
      <c r="O29" s="4" t="s">
        <v>6878</v>
      </c>
      <c r="P29" s="4" t="s">
        <v>105</v>
      </c>
      <c r="Q29" s="4"/>
      <c r="R29" s="4"/>
      <c r="S29" s="4"/>
      <c r="T29" s="4"/>
      <c r="U29" s="4">
        <v>1.0</v>
      </c>
      <c r="V29" s="4"/>
      <c r="W29" s="4"/>
      <c r="X29" s="4"/>
      <c r="Y29" s="4"/>
      <c r="Z29" s="4"/>
      <c r="AA29" s="4"/>
    </row>
    <row r="30">
      <c r="A30" s="4" t="s">
        <v>6896</v>
      </c>
      <c r="B30" s="4" t="s">
        <v>14</v>
      </c>
      <c r="C30" s="4" t="s">
        <v>6838</v>
      </c>
      <c r="D30" s="4">
        <v>44005.0</v>
      </c>
      <c r="E30" s="4">
        <v>0.47256944444444465</v>
      </c>
      <c r="F30" s="4">
        <v>0.0020833333333333333</v>
      </c>
      <c r="G30" s="4">
        <v>0.474652777777778</v>
      </c>
      <c r="H30" s="4"/>
      <c r="I30" s="4"/>
      <c r="J30" s="4"/>
      <c r="K30" s="4"/>
      <c r="L30" s="4" t="s">
        <v>83</v>
      </c>
      <c r="M30" s="4"/>
      <c r="N30" s="4"/>
      <c r="O30" s="4" t="s">
        <v>6897</v>
      </c>
      <c r="P30" s="4" t="s">
        <v>69</v>
      </c>
      <c r="Q30" s="4"/>
      <c r="R30" s="4"/>
      <c r="S30" s="4"/>
      <c r="T30" s="4"/>
      <c r="U30" s="4">
        <v>1.0</v>
      </c>
      <c r="V30" s="4" t="s">
        <v>6898</v>
      </c>
      <c r="W30" s="4"/>
      <c r="X30" s="4"/>
      <c r="Y30" s="4"/>
      <c r="Z30" s="4"/>
      <c r="AA30" s="4"/>
    </row>
    <row r="31">
      <c r="A31" s="4" t="s">
        <v>6899</v>
      </c>
      <c r="B31" s="4" t="s">
        <v>14</v>
      </c>
      <c r="C31" s="4" t="s">
        <v>6838</v>
      </c>
      <c r="D31" s="4">
        <v>44005.0</v>
      </c>
      <c r="E31" s="4">
        <v>0.474652777777778</v>
      </c>
      <c r="F31" s="4">
        <v>1.7361111111111112E-4</v>
      </c>
      <c r="G31" s="4">
        <v>0.4748263888888891</v>
      </c>
      <c r="H31" s="4"/>
      <c r="I31" s="4"/>
      <c r="J31" s="4"/>
      <c r="K31" s="4"/>
      <c r="L31" s="4"/>
      <c r="M31" s="4"/>
      <c r="N31" s="4"/>
      <c r="O31" s="4" t="s">
        <v>500</v>
      </c>
      <c r="P31" s="4" t="s">
        <v>128</v>
      </c>
      <c r="Q31" s="4"/>
      <c r="R31" s="4"/>
      <c r="S31" s="4"/>
      <c r="T31" s="4"/>
      <c r="U31" s="4">
        <v>1.0</v>
      </c>
      <c r="V31" s="4"/>
      <c r="W31" s="4"/>
      <c r="X31" s="4"/>
      <c r="Y31" s="4"/>
      <c r="Z31" s="4"/>
      <c r="AA31" s="4"/>
    </row>
    <row r="32">
      <c r="A32" s="4" t="s">
        <v>6900</v>
      </c>
      <c r="B32" s="4" t="s">
        <v>14</v>
      </c>
      <c r="C32" s="4" t="s">
        <v>6838</v>
      </c>
      <c r="D32" s="4">
        <v>44005.0</v>
      </c>
      <c r="E32" s="4">
        <v>0.4748263888888891</v>
      </c>
      <c r="F32" s="4">
        <v>6.944444444444445E-4</v>
      </c>
      <c r="G32" s="4">
        <v>0.47552083333333356</v>
      </c>
      <c r="H32" s="4"/>
      <c r="I32" s="4"/>
      <c r="J32" s="4"/>
      <c r="K32" s="4"/>
      <c r="L32" s="4"/>
      <c r="M32" s="4"/>
      <c r="N32" s="4"/>
      <c r="O32" s="4" t="s">
        <v>6867</v>
      </c>
      <c r="P32" s="4" t="s">
        <v>128</v>
      </c>
      <c r="Q32" s="4"/>
      <c r="R32" s="4"/>
      <c r="S32" s="4"/>
      <c r="T32" s="4"/>
      <c r="U32" s="4">
        <v>1.0</v>
      </c>
      <c r="V32" s="4"/>
      <c r="W32" s="4"/>
      <c r="X32" s="4"/>
      <c r="Y32" s="4"/>
      <c r="Z32" s="4"/>
      <c r="AA32" s="4"/>
    </row>
    <row r="33">
      <c r="A33" s="4" t="s">
        <v>6901</v>
      </c>
      <c r="B33" s="4" t="s">
        <v>14</v>
      </c>
      <c r="C33" s="4" t="s">
        <v>6838</v>
      </c>
      <c r="D33" s="4">
        <v>44005.0</v>
      </c>
      <c r="E33" s="4">
        <v>0.47552083333333356</v>
      </c>
      <c r="F33" s="4">
        <v>3.4722222222222224E-4</v>
      </c>
      <c r="G33" s="4">
        <v>0.4758680555555558</v>
      </c>
      <c r="H33" s="4"/>
      <c r="I33" s="4"/>
      <c r="J33" s="4"/>
      <c r="K33" s="4"/>
      <c r="L33" s="4"/>
      <c r="M33" s="4"/>
      <c r="N33" s="4"/>
      <c r="O33" s="4" t="s">
        <v>6878</v>
      </c>
      <c r="P33" s="4" t="s">
        <v>92</v>
      </c>
      <c r="Q33" s="4"/>
      <c r="R33" s="4"/>
      <c r="S33" s="4"/>
      <c r="T33" s="4"/>
      <c r="U33" s="4">
        <v>1.0</v>
      </c>
      <c r="V33" s="4"/>
      <c r="W33" s="4"/>
      <c r="X33" s="4"/>
      <c r="Y33" s="4"/>
      <c r="Z33" s="4"/>
      <c r="AA33" s="4"/>
    </row>
    <row r="34">
      <c r="A34" s="4" t="s">
        <v>6902</v>
      </c>
      <c r="B34" s="4" t="s">
        <v>14</v>
      </c>
      <c r="C34" s="4" t="s">
        <v>6838</v>
      </c>
      <c r="D34" s="4">
        <v>44005.0</v>
      </c>
      <c r="E34" s="4">
        <v>0.4758680555555558</v>
      </c>
      <c r="F34" s="4">
        <v>0.013888888888888888</v>
      </c>
      <c r="G34" s="4">
        <v>0.4897569444444447</v>
      </c>
      <c r="H34" s="4" t="s">
        <v>726</v>
      </c>
      <c r="I34" s="4" t="s">
        <v>4142</v>
      </c>
      <c r="J34" s="4" t="s">
        <v>6903</v>
      </c>
      <c r="K34" s="4"/>
      <c r="L34" s="4"/>
      <c r="M34" s="4"/>
      <c r="N34" s="4" t="s">
        <v>6755</v>
      </c>
      <c r="O34" s="4" t="s">
        <v>6904</v>
      </c>
      <c r="P34" s="4" t="s">
        <v>136</v>
      </c>
      <c r="Q34" s="4"/>
      <c r="R34" s="4"/>
      <c r="S34" s="4"/>
      <c r="T34" s="4" t="s">
        <v>361</v>
      </c>
      <c r="U34" s="4"/>
      <c r="V34" s="4" t="s">
        <v>6905</v>
      </c>
      <c r="W34" s="4"/>
      <c r="X34" s="4"/>
      <c r="Y34" s="4"/>
      <c r="Z34" s="4"/>
      <c r="AA34" s="4"/>
    </row>
    <row r="35">
      <c r="A35" s="4" t="s">
        <v>6906</v>
      </c>
      <c r="B35" s="4" t="s">
        <v>14</v>
      </c>
      <c r="C35" s="4" t="s">
        <v>6838</v>
      </c>
      <c r="D35" s="4">
        <v>44005.0</v>
      </c>
      <c r="E35" s="4">
        <v>0.4897569444444447</v>
      </c>
      <c r="F35" s="4">
        <v>1.7361111111111112E-4</v>
      </c>
      <c r="G35" s="4">
        <v>0.4899305555555558</v>
      </c>
      <c r="H35" s="4"/>
      <c r="I35" s="4"/>
      <c r="J35" s="4"/>
      <c r="K35" s="4"/>
      <c r="L35" s="4"/>
      <c r="M35" s="4"/>
      <c r="N35" s="4"/>
      <c r="O35" s="4" t="s">
        <v>974</v>
      </c>
      <c r="P35" s="4" t="s">
        <v>128</v>
      </c>
      <c r="Q35" s="4"/>
      <c r="R35" s="4"/>
      <c r="S35" s="4"/>
      <c r="T35" s="4"/>
      <c r="U35" s="4">
        <v>1.0</v>
      </c>
      <c r="V35" s="4"/>
      <c r="W35" s="4"/>
      <c r="X35" s="4"/>
      <c r="Y35" s="4"/>
      <c r="Z35" s="4"/>
      <c r="AA35" s="4"/>
    </row>
    <row r="36">
      <c r="A36" s="4" t="s">
        <v>6907</v>
      </c>
      <c r="B36" s="4" t="s">
        <v>14</v>
      </c>
      <c r="C36" s="4" t="s">
        <v>6838</v>
      </c>
      <c r="D36" s="4">
        <v>44005.0</v>
      </c>
      <c r="E36" s="4">
        <v>0.4911458333333336</v>
      </c>
      <c r="F36" s="4">
        <v>3.4722222222222224E-4</v>
      </c>
      <c r="G36" s="4">
        <v>0.49149305555555584</v>
      </c>
      <c r="H36" s="4"/>
      <c r="I36" s="4"/>
      <c r="J36" s="4"/>
      <c r="K36" s="4"/>
      <c r="L36" s="4"/>
      <c r="M36" s="4"/>
      <c r="N36" s="4"/>
      <c r="O36" s="4" t="s">
        <v>81</v>
      </c>
      <c r="P36" s="4" t="s">
        <v>128</v>
      </c>
      <c r="Q36" s="4"/>
      <c r="R36" s="4"/>
      <c r="S36" s="4"/>
      <c r="T36" s="4"/>
      <c r="U36" s="4"/>
      <c r="V36" s="4"/>
      <c r="W36" s="4"/>
      <c r="X36" s="4"/>
      <c r="Y36" s="4"/>
      <c r="Z36" s="4"/>
      <c r="AA36" s="4"/>
    </row>
    <row r="37">
      <c r="A37" s="4" t="s">
        <v>6908</v>
      </c>
      <c r="B37" s="4" t="s">
        <v>14</v>
      </c>
      <c r="C37" s="4" t="s">
        <v>6838</v>
      </c>
      <c r="D37" s="4">
        <v>44005.0</v>
      </c>
      <c r="E37" s="4">
        <v>0.49149305555555584</v>
      </c>
      <c r="F37" s="4">
        <v>0.011111111111111112</v>
      </c>
      <c r="G37" s="4">
        <v>0.502604166666667</v>
      </c>
      <c r="H37" s="4" t="s">
        <v>726</v>
      </c>
      <c r="I37" s="4" t="s">
        <v>4142</v>
      </c>
      <c r="J37" s="4" t="s">
        <v>6903</v>
      </c>
      <c r="K37" s="4" t="s">
        <v>358</v>
      </c>
      <c r="L37" s="4" t="s">
        <v>107</v>
      </c>
      <c r="M37" s="4"/>
      <c r="N37" s="4" t="s">
        <v>6749</v>
      </c>
      <c r="O37" s="4" t="s">
        <v>6909</v>
      </c>
      <c r="P37" s="4" t="s">
        <v>390</v>
      </c>
      <c r="Q37" s="4" t="s">
        <v>391</v>
      </c>
      <c r="R37" s="4"/>
      <c r="S37" s="4"/>
      <c r="T37" s="4" t="s">
        <v>321</v>
      </c>
      <c r="U37" s="4">
        <v>3.0</v>
      </c>
      <c r="V37" s="4" t="s">
        <v>6910</v>
      </c>
      <c r="W37" s="4" t="s">
        <v>6911</v>
      </c>
      <c r="X37" s="4">
        <v>43971.75</v>
      </c>
      <c r="Y37" s="4"/>
      <c r="Z37" s="4"/>
      <c r="AA37" s="4"/>
    </row>
    <row r="38">
      <c r="A38" s="4" t="s">
        <v>6912</v>
      </c>
      <c r="B38" s="4" t="s">
        <v>14</v>
      </c>
      <c r="C38" s="4" t="s">
        <v>6838</v>
      </c>
      <c r="D38" s="4">
        <v>44005.0</v>
      </c>
      <c r="E38" s="4">
        <v>0.502604166666667</v>
      </c>
      <c r="F38" s="4">
        <v>1.7361111111111112E-4</v>
      </c>
      <c r="G38" s="4">
        <v>0.5027777777777781</v>
      </c>
      <c r="H38" s="4"/>
      <c r="I38" s="4"/>
      <c r="J38" s="4"/>
      <c r="K38" s="4"/>
      <c r="L38" s="4"/>
      <c r="M38" s="4"/>
      <c r="N38" s="4"/>
      <c r="O38" s="4" t="s">
        <v>974</v>
      </c>
      <c r="P38" s="4" t="s">
        <v>128</v>
      </c>
      <c r="Q38" s="4"/>
      <c r="R38" s="4"/>
      <c r="S38" s="4"/>
      <c r="T38" s="4"/>
      <c r="U38" s="4"/>
      <c r="V38" s="4"/>
      <c r="W38" s="4"/>
      <c r="X38" s="4"/>
      <c r="Y38" s="4"/>
      <c r="Z38" s="4"/>
      <c r="AA38" s="4"/>
    </row>
    <row r="39">
      <c r="A39" s="4" t="s">
        <v>6913</v>
      </c>
      <c r="B39" s="4" t="s">
        <v>14</v>
      </c>
      <c r="C39" s="4"/>
      <c r="D39" s="4"/>
      <c r="E39" s="4"/>
      <c r="F39" s="4"/>
      <c r="G39" s="4"/>
      <c r="H39" s="4"/>
      <c r="I39" s="4"/>
      <c r="J39" s="4"/>
      <c r="K39" s="4"/>
      <c r="L39" s="4"/>
      <c r="M39" s="4"/>
      <c r="N39" s="4"/>
      <c r="O39" s="4"/>
      <c r="P39" s="4"/>
      <c r="Q39" s="4"/>
      <c r="R39" s="4"/>
      <c r="S39" s="4"/>
      <c r="T39" s="4"/>
      <c r="U39" s="4"/>
      <c r="V39" s="4"/>
      <c r="W39" s="4"/>
      <c r="X39" s="4"/>
      <c r="Y39" s="4"/>
      <c r="Z39" s="4"/>
      <c r="AA39" s="4"/>
    </row>
    <row r="40">
      <c r="A40" s="4" t="s">
        <v>6914</v>
      </c>
      <c r="B40" s="4" t="s">
        <v>14</v>
      </c>
      <c r="C40" s="4" t="s">
        <v>6838</v>
      </c>
      <c r="D40" s="4">
        <v>44005.0</v>
      </c>
      <c r="E40" s="4">
        <v>0.5027777777777781</v>
      </c>
      <c r="F40" s="4">
        <v>0.003472222222222222</v>
      </c>
      <c r="G40" s="4">
        <v>0.5062500000000003</v>
      </c>
      <c r="H40" s="4"/>
      <c r="I40" s="4"/>
      <c r="J40" s="4"/>
      <c r="K40" s="4"/>
      <c r="L40" s="4"/>
      <c r="M40" s="4"/>
      <c r="N40" s="4"/>
      <c r="O40" s="4" t="s">
        <v>6915</v>
      </c>
      <c r="P40" s="4" t="s">
        <v>92</v>
      </c>
      <c r="Q40" s="4"/>
      <c r="R40" s="4"/>
      <c r="S40" s="4"/>
      <c r="T40" s="4"/>
      <c r="U40" s="4">
        <v>1.0</v>
      </c>
      <c r="V40" s="4"/>
      <c r="W40" s="4"/>
      <c r="X40" s="4"/>
      <c r="Y40" s="4"/>
      <c r="Z40" s="4"/>
      <c r="AA40" s="4"/>
    </row>
    <row r="41">
      <c r="A41" s="4" t="s">
        <v>6916</v>
      </c>
      <c r="B41" s="4" t="s">
        <v>14</v>
      </c>
      <c r="C41" s="4" t="s">
        <v>6838</v>
      </c>
      <c r="D41" s="4">
        <v>44005.0</v>
      </c>
      <c r="E41" s="4">
        <v>0.5062500000000003</v>
      </c>
      <c r="F41" s="4">
        <v>3.4722222222222224E-4</v>
      </c>
      <c r="G41" s="4">
        <v>0.5065972222222226</v>
      </c>
      <c r="H41" s="4"/>
      <c r="I41" s="4"/>
      <c r="J41" s="4"/>
      <c r="K41" s="4"/>
      <c r="L41" s="4"/>
      <c r="M41" s="4"/>
      <c r="N41" s="4"/>
      <c r="O41" s="4" t="s">
        <v>119</v>
      </c>
      <c r="P41" s="4" t="s">
        <v>73</v>
      </c>
      <c r="Q41" s="4"/>
      <c r="R41" s="4"/>
      <c r="S41" s="4"/>
      <c r="T41" s="4"/>
      <c r="U41" s="4">
        <v>1.0</v>
      </c>
      <c r="V41" s="4"/>
      <c r="W41" s="4"/>
      <c r="X41" s="4"/>
      <c r="Y41" s="4"/>
      <c r="Z41" s="4"/>
      <c r="AA41" s="4"/>
    </row>
    <row r="42">
      <c r="A42" s="4" t="s">
        <v>6917</v>
      </c>
      <c r="B42" s="4" t="s">
        <v>14</v>
      </c>
      <c r="C42" s="4" t="s">
        <v>6838</v>
      </c>
      <c r="D42" s="4">
        <v>44005.0</v>
      </c>
      <c r="E42" s="4">
        <v>0.5065972222222226</v>
      </c>
      <c r="F42" s="4">
        <v>0.008333333333333333</v>
      </c>
      <c r="G42" s="4">
        <v>0.5149305555555559</v>
      </c>
      <c r="H42" s="4" t="s">
        <v>726</v>
      </c>
      <c r="I42" s="4" t="s">
        <v>4142</v>
      </c>
      <c r="J42" s="4" t="s">
        <v>6903</v>
      </c>
      <c r="K42" s="4" t="s">
        <v>129</v>
      </c>
      <c r="L42" s="4" t="s">
        <v>94</v>
      </c>
      <c r="M42" s="4" t="s">
        <v>6918</v>
      </c>
      <c r="N42" s="4" t="s">
        <v>6755</v>
      </c>
      <c r="O42" s="4" t="s">
        <v>130</v>
      </c>
      <c r="P42" s="4" t="s">
        <v>131</v>
      </c>
      <c r="Q42" s="4"/>
      <c r="R42" s="4"/>
      <c r="S42" s="4"/>
      <c r="T42" s="4" t="s">
        <v>137</v>
      </c>
      <c r="U42" s="4">
        <v>2.0</v>
      </c>
      <c r="V42" s="4" t="s">
        <v>6919</v>
      </c>
      <c r="W42" s="4" t="s">
        <v>6920</v>
      </c>
      <c r="X42" s="4">
        <v>43983.875</v>
      </c>
      <c r="Y42" s="4"/>
      <c r="Z42" s="4"/>
      <c r="AA42" s="4"/>
    </row>
    <row r="43">
      <c r="A43" s="4" t="s">
        <v>6921</v>
      </c>
      <c r="B43" s="4" t="s">
        <v>14</v>
      </c>
      <c r="C43" s="4" t="s">
        <v>6838</v>
      </c>
      <c r="D43" s="4">
        <v>44005.0</v>
      </c>
      <c r="E43" s="4">
        <v>0.5149305555555559</v>
      </c>
      <c r="F43" s="4">
        <v>1.7361111111111112E-4</v>
      </c>
      <c r="G43" s="4">
        <v>0.515104166666667</v>
      </c>
      <c r="H43" s="4"/>
      <c r="I43" s="4"/>
      <c r="J43" s="4"/>
      <c r="K43" s="4"/>
      <c r="L43" s="4" t="s">
        <v>85</v>
      </c>
      <c r="M43" s="4" t="s">
        <v>1944</v>
      </c>
      <c r="N43" s="4"/>
      <c r="O43" s="4" t="s">
        <v>974</v>
      </c>
      <c r="P43" s="4" t="s">
        <v>128</v>
      </c>
      <c r="Q43" s="4"/>
      <c r="R43" s="4"/>
      <c r="S43" s="4"/>
      <c r="T43" s="4"/>
      <c r="U43" s="4">
        <v>1.0</v>
      </c>
      <c r="V43" s="4"/>
      <c r="W43" s="4"/>
      <c r="X43" s="4"/>
      <c r="Y43" s="4"/>
      <c r="Z43" s="4"/>
      <c r="AA43" s="4"/>
    </row>
    <row r="44">
      <c r="A44" s="4" t="s">
        <v>6922</v>
      </c>
      <c r="B44" s="4" t="s">
        <v>14</v>
      </c>
      <c r="C44" s="4" t="s">
        <v>6838</v>
      </c>
      <c r="D44" s="4">
        <v>44005.0</v>
      </c>
      <c r="E44" s="4">
        <v>0.515104166666667</v>
      </c>
      <c r="F44" s="4">
        <v>3.4722222222222224E-4</v>
      </c>
      <c r="G44" s="4">
        <v>0.5154513888888893</v>
      </c>
      <c r="H44" s="4"/>
      <c r="I44" s="4"/>
      <c r="J44" s="4"/>
      <c r="K44" s="4"/>
      <c r="L44" s="4" t="s">
        <v>81</v>
      </c>
      <c r="M44" s="4" t="s">
        <v>6923</v>
      </c>
      <c r="N44" s="4"/>
      <c r="O44" s="4" t="s">
        <v>119</v>
      </c>
      <c r="P44" s="4" t="s">
        <v>92</v>
      </c>
      <c r="Q44" s="4"/>
      <c r="R44" s="4"/>
      <c r="S44" s="4"/>
      <c r="T44" s="4"/>
      <c r="U44" s="4">
        <v>1.0</v>
      </c>
      <c r="V44" s="4"/>
      <c r="W44" s="4"/>
      <c r="X44" s="4"/>
      <c r="Y44" s="4"/>
      <c r="Z44" s="4"/>
      <c r="AA44" s="4"/>
    </row>
    <row r="45">
      <c r="A45" s="4" t="s">
        <v>6924</v>
      </c>
      <c r="B45" s="4" t="s">
        <v>14</v>
      </c>
      <c r="C45" s="4" t="s">
        <v>6838</v>
      </c>
      <c r="D45" s="4">
        <v>44005.0</v>
      </c>
      <c r="E45" s="4">
        <v>0.5154513888888893</v>
      </c>
      <c r="F45" s="4">
        <v>0.0020833333333333333</v>
      </c>
      <c r="G45" s="4">
        <v>0.5175347222222226</v>
      </c>
      <c r="H45" s="4"/>
      <c r="I45" s="4"/>
      <c r="J45" s="4" t="s">
        <v>6870</v>
      </c>
      <c r="K45" s="4"/>
      <c r="L45" s="4" t="s">
        <v>83</v>
      </c>
      <c r="M45" s="4"/>
      <c r="N45" s="4"/>
      <c r="O45" s="4" t="s">
        <v>6925</v>
      </c>
      <c r="P45" s="4"/>
      <c r="Q45" s="4"/>
      <c r="R45" s="4"/>
      <c r="S45" s="4"/>
      <c r="T45" s="4"/>
      <c r="U45" s="4">
        <v>0.0</v>
      </c>
      <c r="V45" s="4" t="s">
        <v>6926</v>
      </c>
      <c r="W45" s="4"/>
      <c r="X45" s="4"/>
      <c r="Y45" s="4"/>
      <c r="Z45" s="4"/>
      <c r="AA45" s="4"/>
    </row>
    <row r="46">
      <c r="A46" s="4" t="s">
        <v>6927</v>
      </c>
      <c r="B46" s="4" t="s">
        <v>14</v>
      </c>
      <c r="C46" s="4" t="s">
        <v>6838</v>
      </c>
      <c r="D46" s="4">
        <v>44005.0</v>
      </c>
      <c r="E46" s="4">
        <v>0.5175347222222226</v>
      </c>
      <c r="F46" s="4">
        <v>1.7361111111111112E-4</v>
      </c>
      <c r="G46" s="4">
        <v>0.5177083333333338</v>
      </c>
      <c r="H46" s="4"/>
      <c r="I46" s="4"/>
      <c r="J46" s="4"/>
      <c r="K46" s="4"/>
      <c r="L46" s="4" t="s">
        <v>85</v>
      </c>
      <c r="M46" s="4" t="s">
        <v>1944</v>
      </c>
      <c r="N46" s="4"/>
      <c r="O46" s="4" t="s">
        <v>974</v>
      </c>
      <c r="P46" s="4" t="s">
        <v>128</v>
      </c>
      <c r="Q46" s="4"/>
      <c r="R46" s="4"/>
      <c r="S46" s="4"/>
      <c r="T46" s="4"/>
      <c r="U46" s="4">
        <v>1.0</v>
      </c>
      <c r="V46" s="4"/>
      <c r="W46" s="4"/>
      <c r="X46" s="4"/>
      <c r="Y46" s="4"/>
      <c r="Z46" s="4"/>
      <c r="AA46" s="4"/>
    </row>
    <row r="47">
      <c r="A47" s="4" t="s">
        <v>6928</v>
      </c>
      <c r="B47" s="4" t="s">
        <v>14</v>
      </c>
      <c r="C47" s="4" t="s">
        <v>6838</v>
      </c>
      <c r="D47" s="4">
        <v>44005.0</v>
      </c>
      <c r="E47" s="4">
        <v>0.5177083333333338</v>
      </c>
      <c r="F47" s="4">
        <v>0.0012152777777777778</v>
      </c>
      <c r="G47" s="4">
        <v>0.5189236111111115</v>
      </c>
      <c r="H47" s="4"/>
      <c r="I47" s="4"/>
      <c r="J47" s="4"/>
      <c r="K47" s="4"/>
      <c r="L47" s="4" t="s">
        <v>79</v>
      </c>
      <c r="M47" s="4"/>
      <c r="N47" s="4"/>
      <c r="O47" s="4" t="s">
        <v>6929</v>
      </c>
      <c r="P47" s="4"/>
      <c r="Q47" s="4"/>
      <c r="R47" s="4"/>
      <c r="S47" s="4"/>
      <c r="T47" s="4"/>
      <c r="U47" s="4"/>
      <c r="V47" s="4"/>
      <c r="W47" s="4"/>
      <c r="X47" s="4"/>
      <c r="Y47" s="4"/>
      <c r="Z47" s="4"/>
      <c r="AA47" s="4"/>
    </row>
    <row r="48">
      <c r="A48" s="4" t="s">
        <v>6930</v>
      </c>
      <c r="B48" s="4" t="s">
        <v>14</v>
      </c>
      <c r="C48" s="4" t="s">
        <v>6838</v>
      </c>
      <c r="D48" s="4">
        <v>44005.0</v>
      </c>
      <c r="E48" s="4">
        <v>0.5189236111111115</v>
      </c>
      <c r="F48" s="4">
        <v>6.944444444444445E-4</v>
      </c>
      <c r="G48" s="4">
        <v>0.519618055555556</v>
      </c>
      <c r="H48" s="4"/>
      <c r="I48" s="4"/>
      <c r="J48" s="4"/>
      <c r="K48" s="4"/>
      <c r="L48" s="4" t="s">
        <v>71</v>
      </c>
      <c r="M48" s="4" t="s">
        <v>6923</v>
      </c>
      <c r="N48" s="4"/>
      <c r="O48" s="4" t="s">
        <v>6867</v>
      </c>
      <c r="P48" s="4" t="s">
        <v>92</v>
      </c>
      <c r="Q48" s="4"/>
      <c r="R48" s="4"/>
      <c r="S48" s="4"/>
      <c r="T48" s="4"/>
      <c r="U48" s="4">
        <v>1.0</v>
      </c>
      <c r="V48" s="4"/>
      <c r="W48" s="4"/>
      <c r="X48" s="4"/>
      <c r="Y48" s="4"/>
      <c r="Z48" s="4"/>
      <c r="AA48" s="4"/>
    </row>
    <row r="49">
      <c r="A49" s="4" t="s">
        <v>6931</v>
      </c>
      <c r="B49" s="4" t="s">
        <v>14</v>
      </c>
      <c r="C49" s="4" t="s">
        <v>6838</v>
      </c>
      <c r="D49" s="4">
        <v>44005.0</v>
      </c>
      <c r="E49" s="4">
        <v>0.519618055555556</v>
      </c>
      <c r="F49" s="4">
        <v>3.4722222222222224E-4</v>
      </c>
      <c r="G49" s="4">
        <v>0.5199652777777782</v>
      </c>
      <c r="H49" s="4"/>
      <c r="I49" s="4"/>
      <c r="J49" s="4"/>
      <c r="K49" s="4"/>
      <c r="L49" s="4" t="s">
        <v>81</v>
      </c>
      <c r="M49" s="4" t="s">
        <v>6923</v>
      </c>
      <c r="N49" s="4"/>
      <c r="O49" s="4" t="s">
        <v>91</v>
      </c>
      <c r="P49" s="4" t="s">
        <v>92</v>
      </c>
      <c r="Q49" s="4"/>
      <c r="R49" s="4"/>
      <c r="S49" s="4"/>
      <c r="T49" s="4"/>
      <c r="U49" s="4">
        <v>1.0</v>
      </c>
      <c r="V49" s="4"/>
      <c r="W49" s="4"/>
      <c r="X49" s="4"/>
      <c r="Y49" s="4"/>
      <c r="Z49" s="4"/>
      <c r="AA49" s="4"/>
    </row>
    <row r="50">
      <c r="A50" s="4" t="s">
        <v>6932</v>
      </c>
      <c r="B50" s="4" t="s">
        <v>14</v>
      </c>
      <c r="C50" s="4" t="s">
        <v>6838</v>
      </c>
      <c r="D50" s="4">
        <v>44005.0</v>
      </c>
      <c r="E50" s="4">
        <v>0.5199652777777782</v>
      </c>
      <c r="F50" s="4">
        <v>0.013888888888888888</v>
      </c>
      <c r="G50" s="4">
        <v>0.5338541666666671</v>
      </c>
      <c r="H50" s="4" t="s">
        <v>803</v>
      </c>
      <c r="I50" s="4" t="s">
        <v>6933</v>
      </c>
      <c r="J50" s="4" t="s">
        <v>15</v>
      </c>
      <c r="K50" s="4"/>
      <c r="L50" s="4" t="s">
        <v>74</v>
      </c>
      <c r="M50" s="4"/>
      <c r="N50" s="4" t="s">
        <v>6720</v>
      </c>
      <c r="O50" s="4" t="s">
        <v>797</v>
      </c>
      <c r="P50" s="4" t="s">
        <v>787</v>
      </c>
      <c r="Q50" s="4" t="s">
        <v>788</v>
      </c>
      <c r="R50" s="4" t="s">
        <v>789</v>
      </c>
      <c r="S50" s="4"/>
      <c r="T50" s="4" t="s">
        <v>790</v>
      </c>
      <c r="U50" s="4">
        <v>4.0</v>
      </c>
      <c r="V50" s="4" t="s">
        <v>6934</v>
      </c>
      <c r="W50" s="4" t="s">
        <v>6860</v>
      </c>
      <c r="X50" s="4">
        <v>43958.625</v>
      </c>
      <c r="Y50" s="4" t="s">
        <v>6935</v>
      </c>
      <c r="Z50" s="4" t="s">
        <v>803</v>
      </c>
      <c r="AA50" s="4"/>
    </row>
    <row r="51">
      <c r="A51" s="4" t="s">
        <v>6936</v>
      </c>
      <c r="B51" s="4" t="s">
        <v>14</v>
      </c>
      <c r="C51" s="4" t="s">
        <v>6838</v>
      </c>
      <c r="D51" s="4">
        <v>44005.0</v>
      </c>
      <c r="E51" s="4">
        <v>0.5338541666666671</v>
      </c>
      <c r="F51" s="4">
        <v>1.7361111111111112E-4</v>
      </c>
      <c r="G51" s="4">
        <v>0.5340277777777782</v>
      </c>
      <c r="H51" s="4"/>
      <c r="I51" s="4"/>
      <c r="J51" s="4"/>
      <c r="K51" s="4"/>
      <c r="L51" s="4" t="s">
        <v>85</v>
      </c>
      <c r="M51" s="4" t="s">
        <v>1944</v>
      </c>
      <c r="N51" s="4"/>
      <c r="O51" s="4" t="s">
        <v>974</v>
      </c>
      <c r="P51" s="4"/>
      <c r="Q51" s="4"/>
      <c r="R51" s="4"/>
      <c r="S51" s="4"/>
      <c r="T51" s="4"/>
      <c r="U51" s="4">
        <v>0.0</v>
      </c>
      <c r="V51" s="4"/>
      <c r="W51" s="4"/>
      <c r="X51" s="4"/>
      <c r="Y51" s="4"/>
      <c r="Z51" s="4"/>
      <c r="AA51" s="4"/>
    </row>
    <row r="52">
      <c r="A52" s="4" t="s">
        <v>6937</v>
      </c>
      <c r="B52" s="4" t="s">
        <v>14</v>
      </c>
      <c r="C52" s="4" t="s">
        <v>6838</v>
      </c>
      <c r="D52" s="4">
        <v>44005.0</v>
      </c>
      <c r="E52" s="4">
        <v>0.5340277777777782</v>
      </c>
      <c r="F52" s="4">
        <v>3.4722222222222224E-4</v>
      </c>
      <c r="G52" s="4">
        <v>0.5343750000000005</v>
      </c>
      <c r="H52" s="4"/>
      <c r="I52" s="4" t="s">
        <v>17</v>
      </c>
      <c r="J52" s="4" t="s">
        <v>6938</v>
      </c>
      <c r="K52" s="4"/>
      <c r="L52" s="4" t="s">
        <v>81</v>
      </c>
      <c r="M52" s="4" t="s">
        <v>6939</v>
      </c>
      <c r="N52" s="4"/>
      <c r="O52" s="4" t="s">
        <v>91</v>
      </c>
      <c r="P52" s="4" t="s">
        <v>128</v>
      </c>
      <c r="Q52" s="4"/>
      <c r="R52" s="4"/>
      <c r="S52" s="4"/>
      <c r="T52" s="4"/>
      <c r="U52" s="4">
        <v>1.0</v>
      </c>
      <c r="V52" s="4"/>
      <c r="W52" s="4"/>
      <c r="X52" s="4"/>
      <c r="Y52" s="4"/>
      <c r="Z52" s="4"/>
      <c r="AA52" s="4"/>
    </row>
    <row r="53">
      <c r="A53" s="4" t="s">
        <v>6940</v>
      </c>
      <c r="B53" s="4" t="s">
        <v>14</v>
      </c>
      <c r="C53" s="4" t="s">
        <v>6838</v>
      </c>
      <c r="D53" s="4">
        <v>44005.0</v>
      </c>
      <c r="E53" s="4">
        <v>0.5343750000000005</v>
      </c>
      <c r="F53" s="4">
        <v>0.009722222222222222</v>
      </c>
      <c r="G53" s="4">
        <v>0.5440972222222227</v>
      </c>
      <c r="H53" s="4"/>
      <c r="I53" s="4"/>
      <c r="J53" s="4"/>
      <c r="K53" s="4"/>
      <c r="L53" s="4" t="s">
        <v>126</v>
      </c>
      <c r="M53" s="4" t="s">
        <v>1944</v>
      </c>
      <c r="N53" s="4"/>
      <c r="O53" s="4" t="s">
        <v>6941</v>
      </c>
      <c r="P53" s="4" t="s">
        <v>69</v>
      </c>
      <c r="Q53" s="4"/>
      <c r="R53" s="4"/>
      <c r="S53" s="4"/>
      <c r="T53" s="4"/>
      <c r="U53" s="4">
        <v>1.0</v>
      </c>
      <c r="V53" s="4"/>
      <c r="W53" s="4"/>
      <c r="X53" s="4"/>
      <c r="Y53" s="4"/>
      <c r="Z53" s="4"/>
      <c r="AA53" s="4"/>
    </row>
    <row r="54">
      <c r="A54" s="4" t="s">
        <v>6942</v>
      </c>
      <c r="B54" s="4" t="s">
        <v>14</v>
      </c>
      <c r="C54" s="4" t="s">
        <v>6838</v>
      </c>
      <c r="D54" s="4">
        <v>44005.0</v>
      </c>
      <c r="E54" s="4">
        <v>0.5440972222222227</v>
      </c>
      <c r="F54" s="4">
        <v>6.944444444444445E-4</v>
      </c>
      <c r="G54" s="4">
        <v>0.5447916666666671</v>
      </c>
      <c r="H54" s="4"/>
      <c r="I54" s="4"/>
      <c r="J54" s="4"/>
      <c r="K54" s="4"/>
      <c r="L54" s="4" t="s">
        <v>79</v>
      </c>
      <c r="M54" s="4" t="s">
        <v>1944</v>
      </c>
      <c r="N54" s="4"/>
      <c r="O54" s="4" t="s">
        <v>6929</v>
      </c>
      <c r="P54" s="4" t="s">
        <v>69</v>
      </c>
      <c r="Q54" s="4"/>
      <c r="R54" s="4"/>
      <c r="S54" s="4"/>
      <c r="T54" s="4"/>
      <c r="U54" s="4">
        <v>1.0</v>
      </c>
      <c r="V54" s="4"/>
      <c r="W54" s="4"/>
      <c r="X54" s="4"/>
      <c r="Y54" s="4"/>
      <c r="Z54" s="4"/>
      <c r="AA54" s="4"/>
    </row>
    <row r="55">
      <c r="A55" s="4" t="s">
        <v>6943</v>
      </c>
      <c r="B55" s="4" t="s">
        <v>14</v>
      </c>
      <c r="C55" s="4"/>
      <c r="D55" s="4"/>
      <c r="E55" s="4"/>
      <c r="F55" s="4"/>
      <c r="G55" s="4"/>
      <c r="H55" s="4"/>
      <c r="I55" s="4"/>
      <c r="J55" s="4"/>
      <c r="K55" s="4"/>
      <c r="L55" s="4"/>
      <c r="M55" s="4"/>
      <c r="N55" s="4"/>
      <c r="O55" s="4"/>
      <c r="P55" s="4"/>
      <c r="Q55" s="4"/>
      <c r="R55" s="4"/>
      <c r="S55" s="4"/>
      <c r="T55" s="4"/>
      <c r="U55" s="4">
        <v>0.0</v>
      </c>
      <c r="V55" s="4"/>
      <c r="W55" s="4"/>
      <c r="X55" s="4"/>
      <c r="Y55" s="4"/>
      <c r="Z55" s="4"/>
      <c r="AA55" s="4"/>
    </row>
    <row r="56">
      <c r="A56" s="4" t="s">
        <v>6944</v>
      </c>
      <c r="B56" s="4" t="s">
        <v>14</v>
      </c>
      <c r="C56" s="4" t="s">
        <v>6838</v>
      </c>
      <c r="D56" s="4">
        <v>44005.0</v>
      </c>
      <c r="E56" s="4">
        <v>0.5447916666666671</v>
      </c>
      <c r="F56" s="4">
        <v>0.0020833333333333333</v>
      </c>
      <c r="G56" s="4">
        <v>0.5468750000000004</v>
      </c>
      <c r="H56" s="4"/>
      <c r="I56" s="4"/>
      <c r="J56" s="4"/>
      <c r="K56" s="4"/>
      <c r="L56" s="4"/>
      <c r="M56" s="4" t="s">
        <v>6923</v>
      </c>
      <c r="N56" s="4"/>
      <c r="O56" s="4" t="s">
        <v>6915</v>
      </c>
      <c r="P56" s="4" t="s">
        <v>105</v>
      </c>
      <c r="Q56" s="4"/>
      <c r="R56" s="4"/>
      <c r="S56" s="4"/>
      <c r="T56" s="4"/>
      <c r="U56" s="4">
        <v>1.0</v>
      </c>
      <c r="V56" s="4"/>
      <c r="W56" s="4"/>
      <c r="X56" s="4"/>
      <c r="Y56" s="4"/>
      <c r="Z56" s="4"/>
      <c r="AA56" s="4"/>
    </row>
    <row r="57">
      <c r="A57" s="4" t="s">
        <v>6945</v>
      </c>
      <c r="B57" s="4" t="s">
        <v>14</v>
      </c>
      <c r="C57" s="4" t="s">
        <v>6838</v>
      </c>
      <c r="D57" s="4">
        <v>44005.0</v>
      </c>
      <c r="E57" s="4">
        <v>0.5468750000000004</v>
      </c>
      <c r="F57" s="4">
        <v>3.4722222222222224E-4</v>
      </c>
      <c r="G57" s="4">
        <v>0.5472222222222227</v>
      </c>
      <c r="H57" s="4"/>
      <c r="I57" s="4"/>
      <c r="J57" s="4"/>
      <c r="K57" s="4"/>
      <c r="L57" s="4"/>
      <c r="M57" s="4" t="s">
        <v>6923</v>
      </c>
      <c r="N57" s="4"/>
      <c r="O57" s="4" t="s">
        <v>91</v>
      </c>
      <c r="P57" s="4" t="s">
        <v>105</v>
      </c>
      <c r="Q57" s="4"/>
      <c r="R57" s="4"/>
      <c r="S57" s="4"/>
      <c r="T57" s="4"/>
      <c r="U57" s="4">
        <v>1.0</v>
      </c>
      <c r="V57" s="4"/>
      <c r="W57" s="4"/>
      <c r="X57" s="4"/>
      <c r="Y57" s="4"/>
      <c r="Z57" s="4"/>
      <c r="AA57" s="4"/>
    </row>
    <row r="58">
      <c r="A58" s="4" t="s">
        <v>6946</v>
      </c>
      <c r="B58" s="4" t="s">
        <v>14</v>
      </c>
      <c r="C58" s="4" t="s">
        <v>6838</v>
      </c>
      <c r="D58" s="4">
        <v>44005.0</v>
      </c>
      <c r="E58" s="4">
        <v>0.5472222222222227</v>
      </c>
      <c r="F58" s="4">
        <v>0.008333333333333333</v>
      </c>
      <c r="G58" s="4">
        <v>0.555555555555556</v>
      </c>
      <c r="H58" s="4" t="s">
        <v>847</v>
      </c>
      <c r="I58" s="4" t="s">
        <v>6947</v>
      </c>
      <c r="J58" s="4" t="s">
        <v>6948</v>
      </c>
      <c r="K58" s="4" t="s">
        <v>140</v>
      </c>
      <c r="L58" s="4" t="s">
        <v>107</v>
      </c>
      <c r="M58" s="4" t="s">
        <v>6918</v>
      </c>
      <c r="N58" s="4" t="s">
        <v>6858</v>
      </c>
      <c r="O58" s="4" t="s">
        <v>6949</v>
      </c>
      <c r="P58" s="4" t="s">
        <v>155</v>
      </c>
      <c r="Q58" s="4" t="s">
        <v>156</v>
      </c>
      <c r="R58" s="4"/>
      <c r="S58" s="4"/>
      <c r="T58" s="4" t="s">
        <v>157</v>
      </c>
      <c r="U58" s="4">
        <v>3.0</v>
      </c>
      <c r="V58" s="4" t="s">
        <v>6950</v>
      </c>
      <c r="W58" s="4" t="s">
        <v>6855</v>
      </c>
      <c r="X58" s="4"/>
      <c r="Y58" s="4"/>
      <c r="Z58" s="4"/>
      <c r="AA58" s="4"/>
    </row>
    <row r="59">
      <c r="A59" s="4" t="s">
        <v>6951</v>
      </c>
      <c r="B59" s="4" t="s">
        <v>14</v>
      </c>
      <c r="C59" s="4" t="s">
        <v>6838</v>
      </c>
      <c r="D59" s="4">
        <v>44005.0</v>
      </c>
      <c r="E59" s="4">
        <v>0.555555555555556</v>
      </c>
      <c r="F59" s="4">
        <v>1.7361111111111112E-4</v>
      </c>
      <c r="G59" s="4">
        <v>0.5557291666666672</v>
      </c>
      <c r="H59" s="4"/>
      <c r="I59" s="4"/>
      <c r="J59" s="4"/>
      <c r="K59" s="4"/>
      <c r="L59" s="4"/>
      <c r="M59" s="4" t="s">
        <v>1944</v>
      </c>
      <c r="N59" s="4"/>
      <c r="O59" s="4" t="s">
        <v>974</v>
      </c>
      <c r="P59" s="4" t="s">
        <v>128</v>
      </c>
      <c r="Q59" s="4"/>
      <c r="R59" s="4"/>
      <c r="S59" s="4"/>
      <c r="T59" s="4"/>
      <c r="U59" s="4">
        <v>1.0</v>
      </c>
      <c r="V59" s="4"/>
      <c r="W59" s="4"/>
      <c r="X59" s="4"/>
      <c r="Y59" s="4"/>
      <c r="Z59" s="4"/>
      <c r="AA59" s="4"/>
    </row>
    <row r="60">
      <c r="A60" s="4" t="s">
        <v>6952</v>
      </c>
      <c r="B60" s="4" t="s">
        <v>14</v>
      </c>
      <c r="C60" s="4" t="s">
        <v>6838</v>
      </c>
      <c r="D60" s="4">
        <v>44005.0</v>
      </c>
      <c r="E60" s="4">
        <v>0.5557291666666672</v>
      </c>
      <c r="F60" s="4">
        <v>3.4722222222222224E-4</v>
      </c>
      <c r="G60" s="4">
        <v>0.5560763888888894</v>
      </c>
      <c r="H60" s="4"/>
      <c r="I60" s="4"/>
      <c r="J60" s="4"/>
      <c r="K60" s="4"/>
      <c r="L60" s="4"/>
      <c r="M60" s="4" t="s">
        <v>6923</v>
      </c>
      <c r="N60" s="4"/>
      <c r="O60" s="4" t="s">
        <v>91</v>
      </c>
      <c r="P60" s="4" t="s">
        <v>105</v>
      </c>
      <c r="Q60" s="4"/>
      <c r="R60" s="4"/>
      <c r="S60" s="4"/>
      <c r="T60" s="4"/>
      <c r="U60" s="4">
        <v>1.0</v>
      </c>
      <c r="V60" s="4"/>
      <c r="W60" s="4"/>
      <c r="X60" s="4"/>
      <c r="Y60" s="4"/>
      <c r="Z60" s="4"/>
      <c r="AA60" s="4"/>
    </row>
    <row r="61">
      <c r="A61" s="4" t="s">
        <v>6953</v>
      </c>
      <c r="B61" s="4" t="s">
        <v>14</v>
      </c>
      <c r="C61" s="4" t="s">
        <v>6838</v>
      </c>
      <c r="D61" s="4">
        <v>44005.0</v>
      </c>
      <c r="E61" s="4">
        <v>0.5560763888888894</v>
      </c>
      <c r="F61" s="4">
        <v>0.0020833333333333333</v>
      </c>
      <c r="G61" s="4">
        <v>0.5581597222222228</v>
      </c>
      <c r="H61" s="4"/>
      <c r="I61" s="4"/>
      <c r="J61" s="4"/>
      <c r="K61" s="4"/>
      <c r="L61" s="4" t="s">
        <v>83</v>
      </c>
      <c r="M61" s="4"/>
      <c r="N61" s="4"/>
      <c r="O61" s="4" t="s">
        <v>6954</v>
      </c>
      <c r="P61" s="4"/>
      <c r="Q61" s="4"/>
      <c r="R61" s="4"/>
      <c r="S61" s="4"/>
      <c r="T61" s="4"/>
      <c r="U61" s="4">
        <v>0.0</v>
      </c>
      <c r="V61" s="4" t="s">
        <v>6955</v>
      </c>
      <c r="W61" s="4"/>
      <c r="X61" s="4"/>
      <c r="Y61" s="4"/>
      <c r="Z61" s="4"/>
      <c r="AA61" s="4"/>
    </row>
    <row r="62">
      <c r="A62" s="4" t="s">
        <v>6956</v>
      </c>
      <c r="B62" s="4" t="s">
        <v>14</v>
      </c>
      <c r="C62" s="4" t="s">
        <v>6838</v>
      </c>
      <c r="D62" s="4">
        <v>44005.0</v>
      </c>
      <c r="E62" s="4">
        <v>0.5581597222222228</v>
      </c>
      <c r="F62" s="4">
        <v>1.7361111111111112E-4</v>
      </c>
      <c r="G62" s="4">
        <v>0.5583333333333339</v>
      </c>
      <c r="H62" s="4"/>
      <c r="I62" s="4"/>
      <c r="J62" s="4"/>
      <c r="K62" s="4"/>
      <c r="L62" s="4"/>
      <c r="M62" s="4"/>
      <c r="N62" s="4"/>
      <c r="O62" s="4" t="s">
        <v>974</v>
      </c>
      <c r="P62" s="4" t="s">
        <v>128</v>
      </c>
      <c r="Q62" s="4"/>
      <c r="R62" s="4"/>
      <c r="S62" s="4"/>
      <c r="T62" s="4"/>
      <c r="U62" s="4"/>
      <c r="V62" s="4"/>
      <c r="W62" s="4"/>
      <c r="X62" s="4"/>
      <c r="Y62" s="4"/>
      <c r="Z62" s="4"/>
      <c r="AA62" s="4"/>
    </row>
    <row r="63">
      <c r="A63" s="4" t="s">
        <v>6957</v>
      </c>
      <c r="B63" s="4" t="s">
        <v>14</v>
      </c>
      <c r="C63" s="4" t="s">
        <v>6838</v>
      </c>
      <c r="D63" s="4">
        <v>44005.0</v>
      </c>
      <c r="E63" s="4">
        <v>0.5583333333333339</v>
      </c>
      <c r="F63" s="4">
        <v>6.944444444444445E-4</v>
      </c>
      <c r="G63" s="4">
        <v>0.5590277777777783</v>
      </c>
      <c r="H63" s="4"/>
      <c r="I63" s="4"/>
      <c r="J63" s="4"/>
      <c r="K63" s="4"/>
      <c r="L63" s="4"/>
      <c r="M63" s="4" t="s">
        <v>6923</v>
      </c>
      <c r="N63" s="4"/>
      <c r="O63" s="4" t="s">
        <v>6867</v>
      </c>
      <c r="P63" s="4" t="s">
        <v>105</v>
      </c>
      <c r="Q63" s="4"/>
      <c r="R63" s="4"/>
      <c r="S63" s="4"/>
      <c r="T63" s="4"/>
      <c r="U63" s="4">
        <v>1.0</v>
      </c>
      <c r="V63" s="4"/>
      <c r="W63" s="4"/>
      <c r="X63" s="4"/>
      <c r="Y63" s="4"/>
      <c r="Z63" s="4"/>
      <c r="AA63" s="4"/>
    </row>
    <row r="64">
      <c r="A64" s="4" t="s">
        <v>6958</v>
      </c>
      <c r="B64" s="4" t="s">
        <v>14</v>
      </c>
      <c r="C64" s="4" t="s">
        <v>6838</v>
      </c>
      <c r="D64" s="4">
        <v>44005.0</v>
      </c>
      <c r="E64" s="4">
        <v>0.5590277777777783</v>
      </c>
      <c r="F64" s="4">
        <v>3.4722222222222224E-4</v>
      </c>
      <c r="G64" s="4">
        <v>0.5593750000000006</v>
      </c>
      <c r="H64" s="4"/>
      <c r="I64" s="4"/>
      <c r="J64" s="4"/>
      <c r="K64" s="4"/>
      <c r="L64" s="4"/>
      <c r="M64" s="4" t="s">
        <v>6923</v>
      </c>
      <c r="N64" s="4"/>
      <c r="O64" s="4" t="s">
        <v>6878</v>
      </c>
      <c r="P64" s="4" t="s">
        <v>105</v>
      </c>
      <c r="Q64" s="4"/>
      <c r="R64" s="4"/>
      <c r="S64" s="4"/>
      <c r="T64" s="4"/>
      <c r="U64" s="4">
        <v>1.0</v>
      </c>
      <c r="V64" s="4"/>
      <c r="W64" s="4"/>
      <c r="X64" s="4"/>
      <c r="Y64" s="4"/>
      <c r="Z64" s="4"/>
      <c r="AA64" s="4"/>
    </row>
    <row r="65">
      <c r="A65" s="4" t="s">
        <v>6959</v>
      </c>
      <c r="B65" s="4" t="s">
        <v>14</v>
      </c>
      <c r="C65" s="4" t="s">
        <v>6838</v>
      </c>
      <c r="D65" s="4">
        <v>44005.0</v>
      </c>
      <c r="E65" s="4">
        <v>0.5593750000000006</v>
      </c>
      <c r="F65" s="4">
        <v>0.011805555555555555</v>
      </c>
      <c r="G65" s="4">
        <v>0.5711805555555561</v>
      </c>
      <c r="H65" s="4" t="s">
        <v>873</v>
      </c>
      <c r="I65" s="4" t="s">
        <v>6960</v>
      </c>
      <c r="J65" s="4" t="s">
        <v>6948</v>
      </c>
      <c r="K65" s="4" t="s">
        <v>151</v>
      </c>
      <c r="L65" s="4" t="s">
        <v>107</v>
      </c>
      <c r="M65" s="4" t="s">
        <v>6918</v>
      </c>
      <c r="N65" s="4" t="s">
        <v>6858</v>
      </c>
      <c r="O65" s="4" t="s">
        <v>379</v>
      </c>
      <c r="P65" s="4" t="s">
        <v>380</v>
      </c>
      <c r="Q65" s="4" t="s">
        <v>381</v>
      </c>
      <c r="R65" s="4"/>
      <c r="S65" s="4"/>
      <c r="T65" s="4" t="s">
        <v>382</v>
      </c>
      <c r="U65" s="4">
        <v>3.0</v>
      </c>
      <c r="V65" s="4" t="s">
        <v>6961</v>
      </c>
      <c r="W65" s="4" t="s">
        <v>6962</v>
      </c>
      <c r="X65" s="4" t="s">
        <v>6963</v>
      </c>
      <c r="Y65" s="4" t="s">
        <v>6964</v>
      </c>
      <c r="Z65" s="4" t="s">
        <v>873</v>
      </c>
      <c r="AA65" s="4"/>
    </row>
    <row r="66">
      <c r="A66" s="4" t="s">
        <v>6965</v>
      </c>
      <c r="B66" s="4" t="s">
        <v>14</v>
      </c>
      <c r="C66" s="4" t="s">
        <v>6838</v>
      </c>
      <c r="D66" s="4">
        <v>44005.0</v>
      </c>
      <c r="E66" s="4">
        <v>0.5711805555555561</v>
      </c>
      <c r="F66" s="4">
        <v>1.7361111111111112E-4</v>
      </c>
      <c r="G66" s="4">
        <v>0.5713541666666673</v>
      </c>
      <c r="H66" s="4"/>
      <c r="I66" s="4"/>
      <c r="J66" s="4"/>
      <c r="K66" s="4"/>
      <c r="L66" s="4"/>
      <c r="M66" s="4" t="s">
        <v>1944</v>
      </c>
      <c r="N66" s="4"/>
      <c r="O66" s="4" t="s">
        <v>974</v>
      </c>
      <c r="P66" s="4" t="s">
        <v>128</v>
      </c>
      <c r="Q66" s="4"/>
      <c r="R66" s="4"/>
      <c r="S66" s="4"/>
      <c r="T66" s="4"/>
      <c r="U66" s="4">
        <v>1.0</v>
      </c>
      <c r="V66" s="4"/>
      <c r="W66" s="4"/>
      <c r="X66" s="4"/>
      <c r="Y66" s="4"/>
      <c r="Z66" s="4"/>
      <c r="AA66" s="4"/>
    </row>
    <row r="67">
      <c r="A67" s="4" t="s">
        <v>6966</v>
      </c>
      <c r="B67" s="4" t="s">
        <v>14</v>
      </c>
      <c r="C67" s="4" t="s">
        <v>6838</v>
      </c>
      <c r="D67" s="4">
        <v>44005.0</v>
      </c>
      <c r="E67" s="4">
        <v>0.5713541666666673</v>
      </c>
      <c r="F67" s="4">
        <v>0.0012152777777777778</v>
      </c>
      <c r="G67" s="4">
        <v>0.572569444444445</v>
      </c>
      <c r="H67" s="4" t="s">
        <v>1185</v>
      </c>
      <c r="I67" s="4"/>
      <c r="J67" s="4"/>
      <c r="K67" s="4"/>
      <c r="L67" s="4"/>
      <c r="M67" s="4" t="s">
        <v>1944</v>
      </c>
      <c r="N67" s="4"/>
      <c r="O67" s="4" t="s">
        <v>370</v>
      </c>
      <c r="P67" s="4" t="s">
        <v>69</v>
      </c>
      <c r="Q67" s="4"/>
      <c r="R67" s="4"/>
      <c r="S67" s="4"/>
      <c r="T67" s="4"/>
      <c r="U67" s="4">
        <v>1.0</v>
      </c>
      <c r="V67" s="4"/>
      <c r="W67" s="4"/>
      <c r="X67" s="4" t="s">
        <v>314</v>
      </c>
      <c r="Y67" s="4"/>
      <c r="Z67" s="4"/>
      <c r="AA67" s="4"/>
    </row>
    <row r="68">
      <c r="A68" s="4" t="s">
        <v>6967</v>
      </c>
      <c r="B68" s="4" t="s">
        <v>14</v>
      </c>
      <c r="C68" s="4" t="s">
        <v>6838</v>
      </c>
      <c r="D68" s="4">
        <v>44005.0</v>
      </c>
      <c r="E68" s="4">
        <v>0.572569444444445</v>
      </c>
      <c r="F68" s="4">
        <v>3.4722222222222224E-4</v>
      </c>
      <c r="G68" s="4">
        <v>0.5729166666666673</v>
      </c>
      <c r="H68" s="4"/>
      <c r="I68" s="4"/>
      <c r="J68" s="4"/>
      <c r="K68" s="4"/>
      <c r="L68" s="4"/>
      <c r="M68" s="4" t="s">
        <v>6923</v>
      </c>
      <c r="N68" s="4"/>
      <c r="O68" s="4" t="s">
        <v>6878</v>
      </c>
      <c r="P68" s="4" t="s">
        <v>105</v>
      </c>
      <c r="Q68" s="4"/>
      <c r="R68" s="4"/>
      <c r="S68" s="4"/>
      <c r="T68" s="4"/>
      <c r="U68" s="4">
        <v>1.0</v>
      </c>
      <c r="V68" s="4"/>
      <c r="W68" s="4"/>
      <c r="X68" s="4"/>
      <c r="Y68" s="4"/>
      <c r="Z68" s="4"/>
      <c r="AA68" s="4"/>
    </row>
    <row r="69">
      <c r="A69" s="4" t="s">
        <v>6968</v>
      </c>
      <c r="B69" s="4" t="s">
        <v>14</v>
      </c>
      <c r="C69" s="4" t="s">
        <v>6838</v>
      </c>
      <c r="D69" s="4">
        <v>44005.0</v>
      </c>
      <c r="E69" s="4">
        <v>0.5729166666666673</v>
      </c>
      <c r="F69" s="4">
        <v>0.0020833333333333333</v>
      </c>
      <c r="G69" s="4">
        <v>0.5750000000000006</v>
      </c>
      <c r="H69" s="4"/>
      <c r="I69" s="4"/>
      <c r="J69" s="4"/>
      <c r="K69" s="4"/>
      <c r="L69" s="4"/>
      <c r="M69" s="4"/>
      <c r="N69" s="4"/>
      <c r="O69" s="4" t="s">
        <v>6941</v>
      </c>
      <c r="P69" s="4"/>
      <c r="Q69" s="4"/>
      <c r="R69" s="4"/>
      <c r="S69" s="4"/>
      <c r="T69" s="4"/>
      <c r="U69" s="4">
        <v>0.0</v>
      </c>
      <c r="V69" s="4" t="s">
        <v>6889</v>
      </c>
      <c r="W69" s="4" t="s">
        <v>6890</v>
      </c>
      <c r="X69" s="4"/>
      <c r="Y69" s="4"/>
      <c r="Z69" s="4" t="s">
        <v>630</v>
      </c>
      <c r="AA69" s="4"/>
    </row>
    <row r="70">
      <c r="A70" s="4" t="s">
        <v>6969</v>
      </c>
      <c r="B70" s="4" t="s">
        <v>14</v>
      </c>
      <c r="C70" s="4" t="s">
        <v>6838</v>
      </c>
      <c r="D70" s="4">
        <v>44005.0</v>
      </c>
      <c r="E70" s="4">
        <v>0.5750000000000006</v>
      </c>
      <c r="F70" s="4">
        <v>1.7361111111111112E-4</v>
      </c>
      <c r="G70" s="4">
        <v>0.5751736111111118</v>
      </c>
      <c r="H70" s="4"/>
      <c r="I70" s="4"/>
      <c r="J70" s="4"/>
      <c r="K70" s="4"/>
      <c r="L70" s="4"/>
      <c r="M70" s="4"/>
      <c r="N70" s="4"/>
      <c r="O70" s="4" t="s">
        <v>974</v>
      </c>
      <c r="P70" s="4" t="s">
        <v>128</v>
      </c>
      <c r="Q70" s="4"/>
      <c r="R70" s="4"/>
      <c r="S70" s="4"/>
      <c r="T70" s="4"/>
      <c r="U70" s="4">
        <v>1.0</v>
      </c>
      <c r="V70" s="4"/>
      <c r="W70" s="4"/>
      <c r="X70" s="4"/>
      <c r="Y70" s="4"/>
      <c r="Z70" s="4"/>
      <c r="AA70" s="4"/>
    </row>
    <row r="71">
      <c r="A71" s="4" t="s">
        <v>6970</v>
      </c>
      <c r="B71" s="4" t="s">
        <v>14</v>
      </c>
      <c r="C71" s="4" t="s">
        <v>6838</v>
      </c>
      <c r="D71" s="4">
        <v>44005.0</v>
      </c>
      <c r="E71" s="4">
        <v>0.5751736111111118</v>
      </c>
      <c r="F71" s="4">
        <v>3.4722222222222224E-4</v>
      </c>
      <c r="G71" s="4">
        <v>0.575520833333334</v>
      </c>
      <c r="H71" s="4" t="s">
        <v>1944</v>
      </c>
      <c r="I71" s="4"/>
      <c r="J71" s="4"/>
      <c r="K71" s="4"/>
      <c r="L71" s="4"/>
      <c r="M71" s="4"/>
      <c r="N71" s="4"/>
      <c r="O71" s="4" t="s">
        <v>370</v>
      </c>
      <c r="P71" s="4" t="s">
        <v>69</v>
      </c>
      <c r="Q71" s="4"/>
      <c r="R71" s="4"/>
      <c r="S71" s="4"/>
      <c r="T71" s="4"/>
      <c r="U71" s="4">
        <v>1.0</v>
      </c>
      <c r="V71" s="4"/>
      <c r="W71" s="4"/>
      <c r="X71" s="4"/>
      <c r="Y71" s="4"/>
      <c r="Z71" s="4"/>
      <c r="AA71" s="4"/>
    </row>
    <row r="72">
      <c r="A72" s="4" t="s">
        <v>6971</v>
      </c>
      <c r="B72" s="4" t="s">
        <v>14</v>
      </c>
      <c r="C72" s="4" t="s">
        <v>6838</v>
      </c>
      <c r="D72" s="4">
        <v>44005.0</v>
      </c>
      <c r="E72" s="4">
        <v>0.575520833333334</v>
      </c>
      <c r="F72" s="4">
        <v>3.4722222222222224E-4</v>
      </c>
      <c r="G72" s="4">
        <v>0.5758680555555563</v>
      </c>
      <c r="H72" s="4"/>
      <c r="I72" s="4"/>
      <c r="J72" s="4"/>
      <c r="K72" s="4"/>
      <c r="L72" s="4"/>
      <c r="M72" s="4" t="s">
        <v>6923</v>
      </c>
      <c r="N72" s="4"/>
      <c r="O72" s="4" t="s">
        <v>6878</v>
      </c>
      <c r="P72" s="4" t="s">
        <v>92</v>
      </c>
      <c r="Q72" s="4"/>
      <c r="R72" s="4"/>
      <c r="S72" s="4"/>
      <c r="T72" s="4"/>
      <c r="U72" s="4">
        <v>1.0</v>
      </c>
      <c r="V72" s="4"/>
      <c r="W72" s="4"/>
      <c r="X72" s="4"/>
      <c r="Y72" s="4"/>
      <c r="Z72" s="4"/>
      <c r="AA72" s="4"/>
    </row>
    <row r="73">
      <c r="A73" s="4" t="s">
        <v>6972</v>
      </c>
      <c r="B73" s="4" t="s">
        <v>14</v>
      </c>
      <c r="C73" s="4" t="s">
        <v>6838</v>
      </c>
      <c r="D73" s="4">
        <v>44005.0</v>
      </c>
      <c r="E73" s="4">
        <v>0.5758680555555563</v>
      </c>
      <c r="F73" s="4">
        <v>0.010416666666666666</v>
      </c>
      <c r="G73" s="4">
        <v>0.5862847222222229</v>
      </c>
      <c r="H73" s="4" t="s">
        <v>803</v>
      </c>
      <c r="I73" s="4" t="s">
        <v>6960</v>
      </c>
      <c r="J73" s="4" t="s">
        <v>15</v>
      </c>
      <c r="K73" s="4" t="s">
        <v>151</v>
      </c>
      <c r="L73" s="4" t="s">
        <v>74</v>
      </c>
      <c r="M73" s="4" t="s">
        <v>6918</v>
      </c>
      <c r="N73" s="4" t="s">
        <v>6858</v>
      </c>
      <c r="O73" s="4" t="s">
        <v>6973</v>
      </c>
      <c r="P73" s="4" t="s">
        <v>6974</v>
      </c>
      <c r="Q73" s="4" t="s">
        <v>1155</v>
      </c>
      <c r="R73" s="4" t="s">
        <v>6975</v>
      </c>
      <c r="S73" s="4"/>
      <c r="T73" s="4" t="s">
        <v>1205</v>
      </c>
      <c r="U73" s="4">
        <v>4.0</v>
      </c>
      <c r="V73" s="4" t="s">
        <v>6976</v>
      </c>
      <c r="W73" s="4" t="s">
        <v>6860</v>
      </c>
      <c r="X73" s="4">
        <v>43963.625</v>
      </c>
      <c r="Y73" s="4" t="s">
        <v>6977</v>
      </c>
      <c r="Z73" s="4" t="s">
        <v>803</v>
      </c>
      <c r="AA73" s="4"/>
    </row>
    <row r="74">
      <c r="A74" s="4" t="s">
        <v>6978</v>
      </c>
      <c r="B74" s="4" t="s">
        <v>14</v>
      </c>
      <c r="C74" s="4" t="s">
        <v>6838</v>
      </c>
      <c r="D74" s="4">
        <v>44005.0</v>
      </c>
      <c r="E74" s="4">
        <v>0.5862847222222229</v>
      </c>
      <c r="F74" s="4">
        <v>1.7361111111111112E-4</v>
      </c>
      <c r="G74" s="4">
        <v>0.5864583333333341</v>
      </c>
      <c r="H74" s="4"/>
      <c r="I74" s="4"/>
      <c r="J74" s="4"/>
      <c r="K74" s="4"/>
      <c r="L74" s="4"/>
      <c r="M74" s="4" t="s">
        <v>1944</v>
      </c>
      <c r="N74" s="4"/>
      <c r="O74" s="4" t="s">
        <v>974</v>
      </c>
      <c r="P74" s="4" t="s">
        <v>128</v>
      </c>
      <c r="Q74" s="4"/>
      <c r="R74" s="4"/>
      <c r="S74" s="4"/>
      <c r="T74" s="4"/>
      <c r="U74" s="4">
        <v>1.0</v>
      </c>
      <c r="V74" s="4"/>
      <c r="W74" s="4"/>
      <c r="X74" s="4"/>
      <c r="Y74" s="4"/>
      <c r="Z74" s="4"/>
      <c r="AA74" s="4"/>
    </row>
    <row r="75">
      <c r="A75" s="4" t="s">
        <v>6979</v>
      </c>
      <c r="B75" s="4" t="s">
        <v>14</v>
      </c>
      <c r="C75" s="4"/>
      <c r="D75" s="4"/>
      <c r="E75" s="4"/>
      <c r="F75" s="4"/>
      <c r="G75" s="4"/>
      <c r="H75" s="4"/>
      <c r="I75" s="4"/>
      <c r="J75" s="4"/>
      <c r="K75" s="4"/>
      <c r="L75" s="4"/>
      <c r="M75" s="4"/>
      <c r="N75" s="4"/>
      <c r="O75" s="4"/>
      <c r="P75" s="4"/>
      <c r="Q75" s="4"/>
      <c r="R75" s="4"/>
      <c r="S75" s="4"/>
      <c r="T75" s="4"/>
      <c r="U75" s="4"/>
      <c r="V75" s="4"/>
      <c r="W75" s="4"/>
      <c r="X75" s="4"/>
      <c r="Y75" s="4"/>
      <c r="Z75" s="4"/>
      <c r="AA75" s="4"/>
    </row>
    <row r="76">
      <c r="A76" s="4" t="s">
        <v>6980</v>
      </c>
      <c r="B76" s="4" t="s">
        <v>14</v>
      </c>
      <c r="C76" s="4" t="s">
        <v>6838</v>
      </c>
      <c r="D76" s="4">
        <v>44005.0</v>
      </c>
      <c r="E76" s="4">
        <v>0.5864583333333341</v>
      </c>
      <c r="F76" s="4">
        <v>0.003472222222222222</v>
      </c>
      <c r="G76" s="4">
        <v>0.5899305555555563</v>
      </c>
      <c r="H76" s="4"/>
      <c r="I76" s="4"/>
      <c r="J76" s="4"/>
      <c r="K76" s="4"/>
      <c r="L76" s="4"/>
      <c r="M76" s="4"/>
      <c r="N76" s="4"/>
      <c r="O76" s="4" t="s">
        <v>6915</v>
      </c>
      <c r="P76" s="4" t="s">
        <v>128</v>
      </c>
      <c r="Q76" s="4"/>
      <c r="R76" s="4"/>
      <c r="S76" s="4"/>
      <c r="T76" s="4"/>
      <c r="U76" s="4">
        <v>1.0</v>
      </c>
      <c r="V76" s="4"/>
      <c r="W76" s="4"/>
      <c r="X76" s="4"/>
      <c r="Y76" s="4"/>
      <c r="Z76" s="4"/>
      <c r="AA76" s="4"/>
    </row>
    <row r="77">
      <c r="A77" s="4" t="s">
        <v>6981</v>
      </c>
      <c r="B77" s="4" t="s">
        <v>14</v>
      </c>
      <c r="C77" s="4" t="s">
        <v>6838</v>
      </c>
      <c r="D77" s="4">
        <v>44005.0</v>
      </c>
      <c r="E77" s="4">
        <v>0.5899305555555563</v>
      </c>
      <c r="F77" s="4">
        <v>3.4722222222222224E-4</v>
      </c>
      <c r="G77" s="4">
        <v>0.5902777777777786</v>
      </c>
      <c r="H77" s="4"/>
      <c r="I77" s="4"/>
      <c r="J77" s="4"/>
      <c r="K77" s="4"/>
      <c r="L77" s="4"/>
      <c r="M77" s="4"/>
      <c r="N77" s="4"/>
      <c r="O77" s="4" t="s">
        <v>1127</v>
      </c>
      <c r="P77" s="4" t="s">
        <v>128</v>
      </c>
      <c r="Q77" s="4"/>
      <c r="R77" s="4"/>
      <c r="S77" s="4"/>
      <c r="T77" s="4"/>
      <c r="U77" s="4">
        <v>1.0</v>
      </c>
      <c r="V77" s="4"/>
      <c r="W77" s="4"/>
      <c r="X77" s="4"/>
      <c r="Y77" s="4"/>
      <c r="Z77" s="4"/>
      <c r="AA77" s="4"/>
    </row>
    <row r="78">
      <c r="A78" s="4" t="s">
        <v>6982</v>
      </c>
      <c r="B78" s="4" t="s">
        <v>14</v>
      </c>
      <c r="C78" s="4" t="s">
        <v>6838</v>
      </c>
      <c r="D78" s="4">
        <v>44005.0</v>
      </c>
      <c r="E78" s="4">
        <v>0.5902777777777786</v>
      </c>
      <c r="F78" s="4">
        <v>0.006944444444444444</v>
      </c>
      <c r="G78" s="4">
        <v>0.597222222222223</v>
      </c>
      <c r="H78" s="4" t="s">
        <v>653</v>
      </c>
      <c r="I78" s="4"/>
      <c r="J78" s="4" t="s">
        <v>6938</v>
      </c>
      <c r="K78" s="4"/>
      <c r="L78" s="4" t="s">
        <v>165</v>
      </c>
      <c r="M78" s="4"/>
      <c r="N78" s="4" t="s">
        <v>6755</v>
      </c>
      <c r="O78" s="4" t="s">
        <v>6983</v>
      </c>
      <c r="P78" s="4" t="s">
        <v>273</v>
      </c>
      <c r="Q78" s="4"/>
      <c r="R78" s="4"/>
      <c r="S78" s="4"/>
      <c r="T78" s="4"/>
      <c r="U78" s="4">
        <v>1.0</v>
      </c>
      <c r="V78" s="4" t="s">
        <v>6984</v>
      </c>
      <c r="W78" s="4" t="s">
        <v>6890</v>
      </c>
      <c r="X78" s="4"/>
      <c r="Y78" s="4"/>
      <c r="Z78" s="4"/>
      <c r="AA78" s="4"/>
    </row>
    <row r="79">
      <c r="A79" s="4" t="s">
        <v>6985</v>
      </c>
      <c r="B79" s="4" t="s">
        <v>14</v>
      </c>
      <c r="C79" s="4" t="s">
        <v>6838</v>
      </c>
      <c r="D79" s="4">
        <v>44005.0</v>
      </c>
      <c r="E79" s="4">
        <v>0.597222222222223</v>
      </c>
      <c r="F79" s="4">
        <v>1.7361111111111112E-4</v>
      </c>
      <c r="G79" s="4">
        <v>0.5973958333333341</v>
      </c>
      <c r="H79" s="4"/>
      <c r="I79" s="4"/>
      <c r="J79" s="4"/>
      <c r="K79" s="4"/>
      <c r="L79" s="4"/>
      <c r="M79" s="4"/>
      <c r="N79" s="4"/>
      <c r="O79" s="4" t="s">
        <v>974</v>
      </c>
      <c r="P79" s="4" t="s">
        <v>128</v>
      </c>
      <c r="Q79" s="4"/>
      <c r="R79" s="4"/>
      <c r="S79" s="4"/>
      <c r="T79" s="4"/>
      <c r="U79" s="4">
        <v>1.0</v>
      </c>
      <c r="V79" s="4"/>
      <c r="W79" s="4"/>
      <c r="X79" s="4"/>
      <c r="Y79" s="4"/>
      <c r="Z79" s="4"/>
      <c r="AA79" s="4"/>
    </row>
    <row r="80">
      <c r="A80" s="4" t="s">
        <v>6986</v>
      </c>
      <c r="B80" s="4" t="s">
        <v>14</v>
      </c>
      <c r="C80" s="4" t="s">
        <v>6838</v>
      </c>
      <c r="D80" s="4">
        <v>44005.0</v>
      </c>
      <c r="E80" s="4">
        <v>0.5973958333333341</v>
      </c>
      <c r="F80" s="4">
        <v>3.4722222222222224E-4</v>
      </c>
      <c r="G80" s="4">
        <v>0.5977430555555564</v>
      </c>
      <c r="H80" s="4"/>
      <c r="I80" s="4"/>
      <c r="J80" s="4"/>
      <c r="K80" s="4"/>
      <c r="L80" s="4"/>
      <c r="M80" s="4"/>
      <c r="N80" s="4"/>
      <c r="O80" s="4" t="s">
        <v>1127</v>
      </c>
      <c r="P80" s="4" t="s">
        <v>128</v>
      </c>
      <c r="Q80" s="4"/>
      <c r="R80" s="4"/>
      <c r="S80" s="4"/>
      <c r="T80" s="4"/>
      <c r="U80" s="4">
        <v>1.0</v>
      </c>
      <c r="V80" s="4"/>
      <c r="W80" s="4"/>
      <c r="X80" s="4"/>
      <c r="Y80" s="4"/>
      <c r="Z80" s="4"/>
      <c r="AA80" s="4"/>
    </row>
    <row r="81">
      <c r="A81" s="4" t="s">
        <v>6987</v>
      </c>
      <c r="B81" s="4" t="s">
        <v>14</v>
      </c>
      <c r="C81" s="4" t="s">
        <v>6838</v>
      </c>
      <c r="D81" s="4">
        <v>44005.0</v>
      </c>
      <c r="E81" s="4">
        <v>0.5977430555555564</v>
      </c>
      <c r="F81" s="4">
        <v>0.0020833333333333333</v>
      </c>
      <c r="G81" s="4">
        <v>0.5998263888888897</v>
      </c>
      <c r="H81" s="4"/>
      <c r="I81" s="4"/>
      <c r="J81" s="4" t="s">
        <v>6870</v>
      </c>
      <c r="K81" s="4"/>
      <c r="L81" s="4" t="s">
        <v>83</v>
      </c>
      <c r="M81" s="4"/>
      <c r="N81" s="4"/>
      <c r="O81" s="4" t="s">
        <v>6988</v>
      </c>
      <c r="P81" s="4"/>
      <c r="Q81" s="4"/>
      <c r="R81" s="4"/>
      <c r="S81" s="4"/>
      <c r="T81" s="4"/>
      <c r="U81" s="4">
        <v>0.0</v>
      </c>
      <c r="V81" s="4"/>
      <c r="W81" s="4"/>
      <c r="X81" s="4"/>
      <c r="Y81" s="4"/>
      <c r="Z81" s="4"/>
      <c r="AA81" s="4"/>
    </row>
    <row r="82">
      <c r="A82" s="4" t="s">
        <v>6989</v>
      </c>
      <c r="B82" s="4" t="s">
        <v>14</v>
      </c>
      <c r="C82" s="4" t="s">
        <v>6838</v>
      </c>
      <c r="D82" s="4">
        <v>44005.0</v>
      </c>
      <c r="E82" s="4">
        <v>0.5998263888888897</v>
      </c>
      <c r="F82" s="4">
        <v>1.7361111111111112E-4</v>
      </c>
      <c r="G82" s="4">
        <v>0.6000000000000009</v>
      </c>
      <c r="H82" s="4"/>
      <c r="I82" s="4"/>
      <c r="J82" s="4"/>
      <c r="K82" s="4"/>
      <c r="L82" s="4"/>
      <c r="M82" s="4"/>
      <c r="N82" s="4"/>
      <c r="O82" s="4" t="s">
        <v>500</v>
      </c>
      <c r="P82" s="4" t="s">
        <v>128</v>
      </c>
      <c r="Q82" s="4"/>
      <c r="R82" s="4"/>
      <c r="S82" s="4"/>
      <c r="T82" s="4"/>
      <c r="U82" s="4">
        <v>1.0</v>
      </c>
      <c r="V82" s="4"/>
      <c r="W82" s="4"/>
      <c r="X82" s="4"/>
      <c r="Y82" s="4"/>
      <c r="Z82" s="4"/>
      <c r="AA82" s="4"/>
    </row>
    <row r="83">
      <c r="A83" s="4" t="s">
        <v>6990</v>
      </c>
      <c r="B83" s="4" t="s">
        <v>14</v>
      </c>
      <c r="C83" s="4" t="s">
        <v>6838</v>
      </c>
      <c r="D83" s="4">
        <v>44005.0</v>
      </c>
      <c r="E83" s="4">
        <v>0.6000000000000009</v>
      </c>
      <c r="F83" s="4">
        <v>3.4722222222222224E-4</v>
      </c>
      <c r="G83" s="4">
        <v>0.6003472222222231</v>
      </c>
      <c r="H83" s="4"/>
      <c r="I83" s="4"/>
      <c r="J83" s="4"/>
      <c r="K83" s="4"/>
      <c r="L83" s="4"/>
      <c r="M83" s="4"/>
      <c r="N83" s="4"/>
      <c r="O83" s="4" t="s">
        <v>6867</v>
      </c>
      <c r="P83" s="4" t="s">
        <v>92</v>
      </c>
      <c r="Q83" s="4"/>
      <c r="R83" s="4"/>
      <c r="S83" s="4"/>
      <c r="T83" s="4"/>
      <c r="U83" s="4"/>
      <c r="V83" s="4"/>
      <c r="W83" s="4"/>
      <c r="X83" s="4"/>
      <c r="Y83" s="4"/>
      <c r="Z83" s="4"/>
      <c r="AA83" s="4"/>
    </row>
    <row r="84">
      <c r="A84" s="4" t="s">
        <v>6991</v>
      </c>
      <c r="B84" s="4" t="s">
        <v>14</v>
      </c>
      <c r="C84" s="4" t="s">
        <v>6838</v>
      </c>
      <c r="D84" s="4">
        <v>44005.0</v>
      </c>
      <c r="E84" s="4">
        <v>0.6003472222222231</v>
      </c>
      <c r="F84" s="4">
        <v>3.4722222222222224E-4</v>
      </c>
      <c r="G84" s="4">
        <v>0.6006944444444454</v>
      </c>
      <c r="H84" s="4"/>
      <c r="I84" s="4"/>
      <c r="J84" s="4"/>
      <c r="K84" s="4"/>
      <c r="L84" s="4"/>
      <c r="M84" s="4"/>
      <c r="N84" s="4"/>
      <c r="O84" s="4" t="s">
        <v>1127</v>
      </c>
      <c r="P84" s="4" t="s">
        <v>92</v>
      </c>
      <c r="Q84" s="4"/>
      <c r="R84" s="4"/>
      <c r="S84" s="4"/>
      <c r="T84" s="4"/>
      <c r="U84" s="4">
        <v>1.0</v>
      </c>
      <c r="V84" s="4"/>
      <c r="W84" s="4"/>
      <c r="X84" s="4"/>
      <c r="Y84" s="4"/>
      <c r="Z84" s="4"/>
      <c r="AA84" s="4"/>
    </row>
    <row r="85">
      <c r="A85" s="4" t="s">
        <v>6992</v>
      </c>
      <c r="B85" s="4" t="s">
        <v>14</v>
      </c>
      <c r="C85" s="4" t="s">
        <v>6838</v>
      </c>
      <c r="D85" s="4">
        <v>44005.0</v>
      </c>
      <c r="E85" s="4">
        <v>0.6006944444444454</v>
      </c>
      <c r="F85" s="4">
        <v>0.010416666666666666</v>
      </c>
      <c r="G85" s="4">
        <v>0.611111111111112</v>
      </c>
      <c r="H85" s="4" t="s">
        <v>946</v>
      </c>
      <c r="I85" s="4" t="s">
        <v>6993</v>
      </c>
      <c r="J85" s="4" t="s">
        <v>15</v>
      </c>
      <c r="K85" s="4" t="s">
        <v>164</v>
      </c>
      <c r="L85" s="4" t="s">
        <v>107</v>
      </c>
      <c r="M85" s="4"/>
      <c r="N85" s="4" t="s">
        <v>6755</v>
      </c>
      <c r="O85" s="4" t="s">
        <v>174</v>
      </c>
      <c r="P85" s="4" t="s">
        <v>175</v>
      </c>
      <c r="Q85" s="4" t="s">
        <v>176</v>
      </c>
      <c r="R85" s="4"/>
      <c r="S85" s="4"/>
      <c r="T85" s="4" t="s">
        <v>177</v>
      </c>
      <c r="U85" s="4">
        <v>3.0</v>
      </c>
      <c r="V85" s="4" t="s">
        <v>6994</v>
      </c>
      <c r="W85" s="4" t="s">
        <v>6860</v>
      </c>
      <c r="X85" s="4"/>
      <c r="Y85" s="4"/>
      <c r="Z85" s="4"/>
      <c r="AA85" s="4"/>
    </row>
    <row r="86">
      <c r="A86" s="4" t="s">
        <v>6995</v>
      </c>
      <c r="B86" s="4" t="s">
        <v>14</v>
      </c>
      <c r="C86" s="4" t="s">
        <v>6838</v>
      </c>
      <c r="D86" s="4">
        <v>44005.0</v>
      </c>
      <c r="E86" s="4">
        <v>0.611111111111112</v>
      </c>
      <c r="F86" s="4">
        <v>1.7361111111111112E-4</v>
      </c>
      <c r="G86" s="4">
        <v>0.6112847222222232</v>
      </c>
      <c r="H86" s="4"/>
      <c r="I86" s="4"/>
      <c r="J86" s="4"/>
      <c r="K86" s="4"/>
      <c r="L86" s="4"/>
      <c r="M86" s="4"/>
      <c r="N86" s="4"/>
      <c r="O86" s="4" t="s">
        <v>974</v>
      </c>
      <c r="P86" s="4" t="s">
        <v>128</v>
      </c>
      <c r="Q86" s="4"/>
      <c r="R86" s="4"/>
      <c r="S86" s="4"/>
      <c r="T86" s="4"/>
      <c r="U86" s="4">
        <v>1.0</v>
      </c>
      <c r="V86" s="4"/>
      <c r="W86" s="4"/>
      <c r="X86" s="4"/>
      <c r="Y86" s="4"/>
      <c r="Z86" s="4"/>
      <c r="AA86" s="4"/>
    </row>
    <row r="87">
      <c r="A87" s="4" t="s">
        <v>6996</v>
      </c>
      <c r="B87" s="4" t="s">
        <v>14</v>
      </c>
      <c r="C87" s="4" t="s">
        <v>6838</v>
      </c>
      <c r="D87" s="4">
        <v>44005.0</v>
      </c>
      <c r="E87" s="4">
        <v>0.6112847222222232</v>
      </c>
      <c r="F87" s="4">
        <v>1.7361111111111112E-4</v>
      </c>
      <c r="G87" s="4">
        <v>0.6114583333333343</v>
      </c>
      <c r="H87" s="4"/>
      <c r="I87" s="4"/>
      <c r="J87" s="4"/>
      <c r="K87" s="4"/>
      <c r="L87" s="4"/>
      <c r="M87" s="4"/>
      <c r="N87" s="4"/>
      <c r="O87" s="4" t="s">
        <v>6997</v>
      </c>
      <c r="P87" s="4"/>
      <c r="Q87" s="4"/>
      <c r="R87" s="4"/>
      <c r="S87" s="4"/>
      <c r="T87" s="4"/>
      <c r="U87" s="4"/>
      <c r="V87" s="4"/>
      <c r="W87" s="4"/>
      <c r="X87" s="4"/>
      <c r="Y87" s="4"/>
      <c r="Z87" s="4"/>
      <c r="AA87" s="4"/>
    </row>
    <row r="88">
      <c r="A88" s="4" t="s">
        <v>6998</v>
      </c>
      <c r="B88" s="4" t="s">
        <v>14</v>
      </c>
      <c r="C88" s="4" t="s">
        <v>6838</v>
      </c>
      <c r="D88" s="4">
        <v>44005.0</v>
      </c>
      <c r="E88" s="4">
        <v>0.6114583333333343</v>
      </c>
      <c r="F88" s="4">
        <v>3.4722222222222224E-4</v>
      </c>
      <c r="G88" s="4">
        <v>0.6118055555555566</v>
      </c>
      <c r="H88" s="4"/>
      <c r="I88" s="4"/>
      <c r="J88" s="4"/>
      <c r="K88" s="4"/>
      <c r="L88" s="4"/>
      <c r="M88" s="4"/>
      <c r="N88" s="4"/>
      <c r="O88" s="4" t="s">
        <v>1127</v>
      </c>
      <c r="P88" s="4" t="s">
        <v>105</v>
      </c>
      <c r="Q88" s="4"/>
      <c r="R88" s="4"/>
      <c r="S88" s="4"/>
      <c r="T88" s="4"/>
      <c r="U88" s="4">
        <v>1.0</v>
      </c>
      <c r="V88" s="4"/>
      <c r="W88" s="4"/>
      <c r="X88" s="4"/>
      <c r="Y88" s="4"/>
      <c r="Z88" s="4"/>
      <c r="AA88" s="4"/>
    </row>
    <row r="89">
      <c r="A89" s="4" t="s">
        <v>6999</v>
      </c>
      <c r="B89" s="4" t="s">
        <v>14</v>
      </c>
      <c r="C89" s="4" t="s">
        <v>6838</v>
      </c>
      <c r="D89" s="4">
        <v>44005.0</v>
      </c>
      <c r="E89" s="4">
        <v>0.6118055555555566</v>
      </c>
      <c r="F89" s="4">
        <v>0.008333333333333333</v>
      </c>
      <c r="G89" s="4">
        <v>0.6201388888888899</v>
      </c>
      <c r="H89" s="4" t="s">
        <v>946</v>
      </c>
      <c r="I89" s="4"/>
      <c r="J89" s="4" t="s">
        <v>15</v>
      </c>
      <c r="K89" s="4" t="s">
        <v>189</v>
      </c>
      <c r="L89" s="4" t="s">
        <v>165</v>
      </c>
      <c r="M89" s="4"/>
      <c r="N89" s="4" t="s">
        <v>6858</v>
      </c>
      <c r="O89" s="4" t="s">
        <v>7000</v>
      </c>
      <c r="P89" s="4" t="s">
        <v>192</v>
      </c>
      <c r="Q89" s="4"/>
      <c r="R89" s="4"/>
      <c r="S89" s="4"/>
      <c r="T89" s="4"/>
      <c r="U89" s="4">
        <v>1.0</v>
      </c>
      <c r="V89" s="4" t="s">
        <v>7001</v>
      </c>
      <c r="W89" s="4" t="s">
        <v>6911</v>
      </c>
      <c r="X89" s="4">
        <v>43963.625</v>
      </c>
      <c r="Y89" s="4" t="s">
        <v>7002</v>
      </c>
      <c r="Z89" s="4" t="s">
        <v>946</v>
      </c>
      <c r="AA89" s="4"/>
    </row>
    <row r="90">
      <c r="A90" s="4" t="s">
        <v>7003</v>
      </c>
      <c r="B90" s="4" t="s">
        <v>14</v>
      </c>
      <c r="C90" s="4" t="s">
        <v>6838</v>
      </c>
      <c r="D90" s="4">
        <v>44005.0</v>
      </c>
      <c r="E90" s="4">
        <v>0.6201388888888899</v>
      </c>
      <c r="F90" s="4">
        <v>1.7361111111111112E-4</v>
      </c>
      <c r="G90" s="4">
        <v>0.620312500000001</v>
      </c>
      <c r="H90" s="4"/>
      <c r="I90" s="4"/>
      <c r="J90" s="4"/>
      <c r="K90" s="4"/>
      <c r="L90" s="4"/>
      <c r="M90" s="4"/>
      <c r="N90" s="4"/>
      <c r="O90" s="4" t="s">
        <v>974</v>
      </c>
      <c r="P90" s="4" t="s">
        <v>128</v>
      </c>
      <c r="Q90" s="4"/>
      <c r="R90" s="4"/>
      <c r="S90" s="4"/>
      <c r="T90" s="4"/>
      <c r="U90" s="4">
        <v>1.0</v>
      </c>
      <c r="V90" s="4"/>
      <c r="W90" s="4"/>
      <c r="X90" s="4"/>
      <c r="Y90" s="4"/>
      <c r="Z90" s="4"/>
      <c r="AA90" s="4"/>
    </row>
    <row r="91">
      <c r="A91" s="4" t="s">
        <v>7004</v>
      </c>
      <c r="B91" s="4" t="s">
        <v>14</v>
      </c>
      <c r="C91" s="4" t="s">
        <v>6838</v>
      </c>
      <c r="D91" s="4">
        <v>44005.0</v>
      </c>
      <c r="E91" s="4">
        <v>0.620312500000001</v>
      </c>
      <c r="F91" s="4">
        <v>3.4722222222222224E-4</v>
      </c>
      <c r="G91" s="4">
        <v>0.6206597222222233</v>
      </c>
      <c r="H91" s="4"/>
      <c r="I91" s="4"/>
      <c r="J91" s="4"/>
      <c r="K91" s="4"/>
      <c r="L91" s="4"/>
      <c r="M91" s="4"/>
      <c r="N91" s="4"/>
      <c r="O91" s="4" t="s">
        <v>1127</v>
      </c>
      <c r="P91" s="4" t="s">
        <v>105</v>
      </c>
      <c r="Q91" s="4"/>
      <c r="R91" s="4"/>
      <c r="S91" s="4"/>
      <c r="T91" s="4"/>
      <c r="U91" s="4">
        <v>1.0</v>
      </c>
      <c r="V91" s="4"/>
      <c r="W91" s="4"/>
      <c r="X91" s="4"/>
      <c r="Y91" s="4"/>
      <c r="Z91" s="4"/>
      <c r="AA91" s="4"/>
    </row>
    <row r="92">
      <c r="A92" s="4" t="s">
        <v>7005</v>
      </c>
      <c r="B92" s="4" t="s">
        <v>14</v>
      </c>
      <c r="C92" s="4" t="s">
        <v>6838</v>
      </c>
      <c r="D92" s="4">
        <v>44005.0</v>
      </c>
      <c r="E92" s="4">
        <v>0.6206597222222233</v>
      </c>
      <c r="F92" s="4">
        <v>0.006944444444444444</v>
      </c>
      <c r="G92" s="4">
        <v>0.6276041666666677</v>
      </c>
      <c r="H92" s="4" t="s">
        <v>972</v>
      </c>
      <c r="I92" s="4"/>
      <c r="J92" s="4" t="s">
        <v>6938</v>
      </c>
      <c r="K92" s="4" t="s">
        <v>164</v>
      </c>
      <c r="L92" s="4" t="s">
        <v>165</v>
      </c>
      <c r="M92" s="4"/>
      <c r="N92" s="4" t="s">
        <v>6755</v>
      </c>
      <c r="O92" s="4" t="s">
        <v>166</v>
      </c>
      <c r="P92" s="4" t="s">
        <v>167</v>
      </c>
      <c r="Q92" s="4"/>
      <c r="R92" s="4"/>
      <c r="S92" s="4"/>
      <c r="T92" s="4"/>
      <c r="U92" s="4">
        <v>1.0</v>
      </c>
      <c r="V92" s="4" t="s">
        <v>7006</v>
      </c>
      <c r="W92" s="4" t="s">
        <v>6890</v>
      </c>
      <c r="X92" s="4" t="s">
        <v>7007</v>
      </c>
      <c r="Y92" s="4" t="s">
        <v>7008</v>
      </c>
      <c r="Z92" s="4" t="s">
        <v>972</v>
      </c>
      <c r="AA92" s="4"/>
    </row>
    <row r="93">
      <c r="A93" s="4" t="s">
        <v>7009</v>
      </c>
      <c r="B93" s="4" t="s">
        <v>14</v>
      </c>
      <c r="C93" s="4" t="s">
        <v>6838</v>
      </c>
      <c r="D93" s="4">
        <v>44005.0</v>
      </c>
      <c r="E93" s="4">
        <v>0.6276041666666677</v>
      </c>
      <c r="F93" s="4">
        <v>1.7361111111111112E-4</v>
      </c>
      <c r="G93" s="4">
        <v>0.6277777777777789</v>
      </c>
      <c r="H93" s="4"/>
      <c r="I93" s="4"/>
      <c r="J93" s="4"/>
      <c r="K93" s="4"/>
      <c r="L93" s="4"/>
      <c r="M93" s="4"/>
      <c r="N93" s="4"/>
      <c r="O93" s="4" t="s">
        <v>974</v>
      </c>
      <c r="P93" s="4" t="s">
        <v>128</v>
      </c>
      <c r="Q93" s="4"/>
      <c r="R93" s="4"/>
      <c r="S93" s="4"/>
      <c r="T93" s="4"/>
      <c r="U93" s="4">
        <v>1.0</v>
      </c>
      <c r="V93" s="4"/>
      <c r="W93" s="4"/>
      <c r="X93" s="4"/>
      <c r="Y93" s="4"/>
      <c r="Z93" s="4"/>
      <c r="AA93" s="4"/>
    </row>
    <row r="94">
      <c r="A94" s="4" t="s">
        <v>7010</v>
      </c>
      <c r="B94" s="4" t="s">
        <v>14</v>
      </c>
      <c r="C94" s="4" t="s">
        <v>6838</v>
      </c>
      <c r="D94" s="4">
        <v>44005.0</v>
      </c>
      <c r="E94" s="4"/>
      <c r="F94" s="4"/>
      <c r="G94" s="4"/>
      <c r="H94" s="4"/>
      <c r="I94" s="4"/>
      <c r="J94" s="4"/>
      <c r="K94" s="4"/>
      <c r="L94" s="4"/>
      <c r="M94" s="4"/>
      <c r="N94" s="4"/>
      <c r="O94" s="4"/>
      <c r="P94" s="4"/>
      <c r="Q94" s="4"/>
      <c r="R94" s="4"/>
      <c r="S94" s="4"/>
      <c r="T94" s="4"/>
      <c r="U94" s="4"/>
      <c r="V94" s="4"/>
      <c r="W94" s="4"/>
      <c r="X94" s="4"/>
      <c r="Y94" s="4"/>
      <c r="Z94" s="4"/>
      <c r="AA94" s="4"/>
    </row>
    <row r="95">
      <c r="A95" s="4" t="s">
        <v>7011</v>
      </c>
      <c r="B95" s="4" t="s">
        <v>14</v>
      </c>
      <c r="C95" s="4" t="s">
        <v>6838</v>
      </c>
      <c r="D95" s="4">
        <v>44005.0</v>
      </c>
      <c r="E95" s="4">
        <v>0.6277777777777789</v>
      </c>
      <c r="F95" s="4">
        <v>0.0020833333333333333</v>
      </c>
      <c r="G95" s="4">
        <v>0.6298611111111122</v>
      </c>
      <c r="H95" s="4"/>
      <c r="I95" s="4"/>
      <c r="J95" s="4"/>
      <c r="K95" s="4"/>
      <c r="L95" s="4"/>
      <c r="M95" s="4" t="s">
        <v>6923</v>
      </c>
      <c r="N95" s="4"/>
      <c r="O95" s="4" t="s">
        <v>6915</v>
      </c>
      <c r="P95" s="4" t="s">
        <v>92</v>
      </c>
      <c r="Q95" s="4"/>
      <c r="R95" s="4"/>
      <c r="S95" s="4"/>
      <c r="T95" s="4"/>
      <c r="U95" s="4">
        <v>1.0</v>
      </c>
      <c r="V95" s="4"/>
      <c r="W95" s="4"/>
      <c r="X95" s="4"/>
      <c r="Y95" s="4"/>
      <c r="Z95" s="4"/>
      <c r="AA95" s="4"/>
    </row>
    <row r="96">
      <c r="A96" s="4" t="s">
        <v>7012</v>
      </c>
      <c r="B96" s="4" t="s">
        <v>14</v>
      </c>
      <c r="C96" s="4" t="s">
        <v>6838</v>
      </c>
      <c r="D96" s="4">
        <v>44005.0</v>
      </c>
      <c r="E96" s="4">
        <v>0.6298611111111122</v>
      </c>
      <c r="F96" s="4">
        <v>3.4722222222222224E-4</v>
      </c>
      <c r="G96" s="4">
        <v>0.6302083333333345</v>
      </c>
      <c r="H96" s="4"/>
      <c r="I96" s="4"/>
      <c r="J96" s="4"/>
      <c r="K96" s="4"/>
      <c r="L96" s="4"/>
      <c r="M96" s="4" t="s">
        <v>6939</v>
      </c>
      <c r="N96" s="4"/>
      <c r="O96" s="4" t="s">
        <v>6878</v>
      </c>
      <c r="P96" s="4" t="s">
        <v>128</v>
      </c>
      <c r="Q96" s="4"/>
      <c r="R96" s="4"/>
      <c r="S96" s="4"/>
      <c r="T96" s="4"/>
      <c r="U96" s="4">
        <v>1.0</v>
      </c>
      <c r="V96" s="4" t="s">
        <v>7013</v>
      </c>
      <c r="W96" s="4"/>
      <c r="X96" s="4"/>
      <c r="Y96" s="4"/>
      <c r="Z96" s="4"/>
      <c r="AA96" s="4"/>
    </row>
    <row r="97">
      <c r="A97" s="4" t="s">
        <v>7014</v>
      </c>
      <c r="B97" s="4" t="s">
        <v>14</v>
      </c>
      <c r="C97" s="4" t="s">
        <v>6838</v>
      </c>
      <c r="D97" s="4">
        <v>44005.0</v>
      </c>
      <c r="E97" s="4">
        <v>0.6302083333333345</v>
      </c>
      <c r="F97" s="4">
        <v>0.008333333333333333</v>
      </c>
      <c r="G97" s="4">
        <v>0.6385416666666678</v>
      </c>
      <c r="H97" s="4" t="s">
        <v>653</v>
      </c>
      <c r="I97" s="4" t="s">
        <v>4142</v>
      </c>
      <c r="J97" s="4" t="s">
        <v>6870</v>
      </c>
      <c r="K97" s="4" t="s">
        <v>358</v>
      </c>
      <c r="L97" s="4" t="s">
        <v>107</v>
      </c>
      <c r="M97" s="4" t="s">
        <v>6918</v>
      </c>
      <c r="N97" s="4" t="s">
        <v>6749</v>
      </c>
      <c r="O97" s="4" t="s">
        <v>454</v>
      </c>
      <c r="P97" s="4" t="s">
        <v>102</v>
      </c>
      <c r="Q97" s="4" t="s">
        <v>455</v>
      </c>
      <c r="R97" s="4"/>
      <c r="S97" s="4"/>
      <c r="T97" s="4" t="s">
        <v>752</v>
      </c>
      <c r="U97" s="4">
        <v>3.0</v>
      </c>
      <c r="V97" s="4" t="s">
        <v>7015</v>
      </c>
      <c r="W97" s="4" t="s">
        <v>6872</v>
      </c>
      <c r="X97" s="4"/>
      <c r="Y97" s="4"/>
      <c r="Z97" s="4"/>
      <c r="AA97" s="4"/>
    </row>
    <row r="98">
      <c r="A98" s="4" t="s">
        <v>7016</v>
      </c>
      <c r="B98" s="4" t="s">
        <v>14</v>
      </c>
      <c r="C98" s="4" t="s">
        <v>6838</v>
      </c>
      <c r="D98" s="4">
        <v>44005.0</v>
      </c>
      <c r="E98" s="4">
        <v>0.6385416666666678</v>
      </c>
      <c r="F98" s="4">
        <v>1.7361111111111112E-4</v>
      </c>
      <c r="G98" s="4">
        <v>0.6387152777777789</v>
      </c>
      <c r="H98" s="4"/>
      <c r="I98" s="4"/>
      <c r="J98" s="4"/>
      <c r="K98" s="4"/>
      <c r="L98" s="4"/>
      <c r="M98" s="4" t="s">
        <v>1944</v>
      </c>
      <c r="N98" s="4"/>
      <c r="O98" s="4" t="s">
        <v>974</v>
      </c>
      <c r="P98" s="4" t="s">
        <v>128</v>
      </c>
      <c r="Q98" s="4"/>
      <c r="R98" s="4"/>
      <c r="S98" s="4"/>
      <c r="T98" s="4"/>
      <c r="U98" s="4">
        <v>1.0</v>
      </c>
      <c r="V98" s="4"/>
      <c r="W98" s="4"/>
      <c r="X98" s="4"/>
      <c r="Y98" s="4"/>
      <c r="Z98" s="4"/>
      <c r="AA98" s="4"/>
    </row>
    <row r="99">
      <c r="A99" s="4" t="s">
        <v>7017</v>
      </c>
      <c r="B99" s="4" t="s">
        <v>14</v>
      </c>
      <c r="C99" s="4" t="s">
        <v>6838</v>
      </c>
      <c r="D99" s="4">
        <v>44005.0</v>
      </c>
      <c r="E99" s="4">
        <v>0.6387152777777789</v>
      </c>
      <c r="F99" s="4">
        <v>3.4722222222222224E-4</v>
      </c>
      <c r="G99" s="4">
        <v>0.6390625000000012</v>
      </c>
      <c r="H99" s="4"/>
      <c r="I99" s="4"/>
      <c r="J99" s="4"/>
      <c r="K99" s="4"/>
      <c r="L99" s="4"/>
      <c r="M99" s="4" t="s">
        <v>6923</v>
      </c>
      <c r="N99" s="4"/>
      <c r="O99" s="4" t="s">
        <v>1127</v>
      </c>
      <c r="P99" s="4" t="s">
        <v>105</v>
      </c>
      <c r="Q99" s="4"/>
      <c r="R99" s="4"/>
      <c r="S99" s="4"/>
      <c r="T99" s="4"/>
      <c r="U99" s="4">
        <v>1.0</v>
      </c>
      <c r="V99" s="4"/>
      <c r="W99" s="4"/>
      <c r="X99" s="4"/>
      <c r="Y99" s="4"/>
      <c r="Z99" s="4"/>
      <c r="AA99" s="4"/>
    </row>
    <row r="100">
      <c r="A100" s="4" t="s">
        <v>7018</v>
      </c>
      <c r="B100" s="4" t="s">
        <v>14</v>
      </c>
      <c r="C100" s="4" t="s">
        <v>6838</v>
      </c>
      <c r="D100" s="4">
        <v>44005.0</v>
      </c>
      <c r="E100" s="4">
        <v>0.6390625000000012</v>
      </c>
      <c r="F100" s="4">
        <v>0.0020833333333333333</v>
      </c>
      <c r="G100" s="4">
        <v>0.6411458333333345</v>
      </c>
      <c r="H100" s="4"/>
      <c r="I100" s="4"/>
      <c r="J100" s="4"/>
      <c r="K100" s="4"/>
      <c r="L100" s="4" t="s">
        <v>83</v>
      </c>
      <c r="M100" s="4"/>
      <c r="N100" s="4"/>
      <c r="O100" s="4" t="s">
        <v>7019</v>
      </c>
      <c r="P100" s="4"/>
      <c r="Q100" s="4"/>
      <c r="R100" s="4"/>
      <c r="S100" s="4"/>
      <c r="T100" s="4"/>
      <c r="U100" s="4">
        <v>0.0</v>
      </c>
      <c r="V100" s="4"/>
      <c r="W100" s="4"/>
      <c r="X100" s="4"/>
      <c r="Y100" s="4"/>
      <c r="Z100" s="4"/>
      <c r="AA100" s="4"/>
    </row>
    <row r="101">
      <c r="A101" s="4" t="s">
        <v>7020</v>
      </c>
      <c r="B101" s="4" t="s">
        <v>14</v>
      </c>
      <c r="C101" s="4" t="s">
        <v>6838</v>
      </c>
      <c r="D101" s="4">
        <v>44005.0</v>
      </c>
      <c r="E101" s="4">
        <v>0.6411458333333345</v>
      </c>
      <c r="F101" s="4">
        <v>1.7361111111111112E-4</v>
      </c>
      <c r="G101" s="4">
        <v>0.6413194444444457</v>
      </c>
      <c r="H101" s="4"/>
      <c r="I101" s="4"/>
      <c r="J101" s="4"/>
      <c r="K101" s="4"/>
      <c r="L101" s="4"/>
      <c r="M101" s="4"/>
      <c r="N101" s="4"/>
      <c r="O101" s="4" t="s">
        <v>974</v>
      </c>
      <c r="P101" s="4" t="s">
        <v>128</v>
      </c>
      <c r="Q101" s="4"/>
      <c r="R101" s="4"/>
      <c r="S101" s="4"/>
      <c r="T101" s="4"/>
      <c r="U101" s="4"/>
      <c r="V101" s="4"/>
      <c r="W101" s="4"/>
      <c r="X101" s="4"/>
      <c r="Y101" s="4"/>
      <c r="Z101" s="4"/>
      <c r="AA101" s="4"/>
    </row>
    <row r="102">
      <c r="A102" s="4" t="s">
        <v>7021</v>
      </c>
      <c r="B102" s="4" t="s">
        <v>14</v>
      </c>
      <c r="C102" s="4" t="s">
        <v>6838</v>
      </c>
      <c r="D102" s="4">
        <v>44005.0</v>
      </c>
      <c r="E102" s="4">
        <v>0.6413194444444457</v>
      </c>
      <c r="F102" s="4">
        <v>3.4722222222222224E-4</v>
      </c>
      <c r="G102" s="4">
        <v>0.6416666666666679</v>
      </c>
      <c r="H102" s="4"/>
      <c r="I102" s="4"/>
      <c r="J102" s="4"/>
      <c r="K102" s="4"/>
      <c r="L102" s="4"/>
      <c r="M102" s="4"/>
      <c r="N102" s="4"/>
      <c r="O102" s="4" t="s">
        <v>1127</v>
      </c>
      <c r="P102" s="4" t="s">
        <v>92</v>
      </c>
      <c r="Q102" s="4"/>
      <c r="R102" s="4"/>
      <c r="S102" s="4"/>
      <c r="T102" s="4"/>
      <c r="U102" s="4">
        <v>1.0</v>
      </c>
      <c r="V102" s="4"/>
      <c r="W102" s="4"/>
      <c r="X102" s="4"/>
      <c r="Y102" s="4"/>
      <c r="Z102" s="4"/>
      <c r="AA102" s="4"/>
    </row>
    <row r="103">
      <c r="A103" s="4" t="s">
        <v>7022</v>
      </c>
      <c r="B103" s="4" t="s">
        <v>14</v>
      </c>
      <c r="C103" s="4" t="s">
        <v>6838</v>
      </c>
      <c r="D103" s="4">
        <v>44005.0</v>
      </c>
      <c r="E103" s="4">
        <v>0.6416666666666679</v>
      </c>
      <c r="F103" s="4">
        <v>0.010416666666666666</v>
      </c>
      <c r="G103" s="4">
        <v>0.6520833333333346</v>
      </c>
      <c r="H103" s="4" t="s">
        <v>653</v>
      </c>
      <c r="I103" s="4" t="s">
        <v>17</v>
      </c>
      <c r="J103" s="4" t="s">
        <v>6938</v>
      </c>
      <c r="K103" s="4"/>
      <c r="L103" s="4" t="s">
        <v>74</v>
      </c>
      <c r="M103" s="4" t="s">
        <v>6918</v>
      </c>
      <c r="N103" s="4" t="s">
        <v>6749</v>
      </c>
      <c r="O103" s="4" t="s">
        <v>450</v>
      </c>
      <c r="P103" s="4" t="s">
        <v>451</v>
      </c>
      <c r="Q103" s="4" t="s">
        <v>452</v>
      </c>
      <c r="R103" s="4"/>
      <c r="S103" s="4"/>
      <c r="T103" s="4" t="s">
        <v>761</v>
      </c>
      <c r="U103" s="4">
        <v>3.0</v>
      </c>
      <c r="V103" s="4" t="s">
        <v>7023</v>
      </c>
      <c r="W103" s="4" t="s">
        <v>6855</v>
      </c>
      <c r="X103" s="4"/>
      <c r="Y103" s="4" t="s">
        <v>7008</v>
      </c>
      <c r="Z103" s="4" t="s">
        <v>972</v>
      </c>
      <c r="AA103" s="4"/>
    </row>
    <row r="104">
      <c r="A104" s="4" t="s">
        <v>7024</v>
      </c>
      <c r="B104" s="4" t="s">
        <v>14</v>
      </c>
      <c r="C104" s="4" t="s">
        <v>6838</v>
      </c>
      <c r="D104" s="4">
        <v>44005.0</v>
      </c>
      <c r="E104" s="4">
        <v>0.6520833333333346</v>
      </c>
      <c r="F104" s="4">
        <v>1.7361111111111112E-4</v>
      </c>
      <c r="G104" s="4">
        <v>0.6522569444444457</v>
      </c>
      <c r="H104" s="4"/>
      <c r="I104" s="4"/>
      <c r="J104" s="4"/>
      <c r="K104" s="4"/>
      <c r="L104" s="4"/>
      <c r="M104" s="4"/>
      <c r="N104" s="4"/>
      <c r="O104" s="4" t="s">
        <v>974</v>
      </c>
      <c r="P104" s="4" t="s">
        <v>128</v>
      </c>
      <c r="Q104" s="4"/>
      <c r="R104" s="4"/>
      <c r="S104" s="4"/>
      <c r="T104" s="4"/>
      <c r="U104" s="4">
        <v>1.0</v>
      </c>
      <c r="V104" s="4"/>
      <c r="W104" s="4"/>
      <c r="X104" s="4"/>
      <c r="Y104" s="4"/>
      <c r="Z104" s="4"/>
      <c r="AA104" s="4"/>
    </row>
    <row r="105">
      <c r="A105" s="4" t="s">
        <v>7025</v>
      </c>
      <c r="B105" s="4" t="s">
        <v>14</v>
      </c>
      <c r="C105" s="4" t="s">
        <v>6838</v>
      </c>
      <c r="D105" s="4">
        <v>44005.0</v>
      </c>
      <c r="E105" s="4">
        <v>0.6522569444444457</v>
      </c>
      <c r="F105" s="4">
        <v>3.4722222222222224E-4</v>
      </c>
      <c r="G105" s="4">
        <v>0.652604166666668</v>
      </c>
      <c r="H105" s="4"/>
      <c r="I105" s="4"/>
      <c r="J105" s="4"/>
      <c r="K105" s="4"/>
      <c r="L105" s="4"/>
      <c r="M105" s="4"/>
      <c r="N105" s="4"/>
      <c r="O105" s="4" t="s">
        <v>6997</v>
      </c>
      <c r="P105" s="4" t="s">
        <v>105</v>
      </c>
      <c r="Q105" s="4"/>
      <c r="R105" s="4"/>
      <c r="S105" s="4"/>
      <c r="T105" s="4"/>
      <c r="U105" s="4"/>
      <c r="V105" s="4"/>
      <c r="W105" s="4"/>
      <c r="X105" s="4"/>
      <c r="Y105" s="4"/>
      <c r="Z105" s="4"/>
      <c r="AA105" s="4"/>
    </row>
    <row r="106">
      <c r="A106" s="4" t="s">
        <v>7026</v>
      </c>
      <c r="B106" s="4" t="s">
        <v>14</v>
      </c>
      <c r="C106" s="4" t="s">
        <v>6838</v>
      </c>
      <c r="D106" s="4">
        <v>44005.0</v>
      </c>
      <c r="E106" s="4">
        <v>0.652604166666668</v>
      </c>
      <c r="F106" s="4">
        <v>1.7361111111111112E-4</v>
      </c>
      <c r="G106" s="4">
        <v>0.6527777777777791</v>
      </c>
      <c r="H106" s="4"/>
      <c r="I106" s="4"/>
      <c r="J106" s="4"/>
      <c r="K106" s="4"/>
      <c r="L106" s="4"/>
      <c r="M106" s="4"/>
      <c r="N106" s="4"/>
      <c r="O106" s="4" t="s">
        <v>974</v>
      </c>
      <c r="P106" s="4" t="s">
        <v>69</v>
      </c>
      <c r="Q106" s="4"/>
      <c r="R106" s="4"/>
      <c r="S106" s="4"/>
      <c r="T106" s="4"/>
      <c r="U106" s="4"/>
      <c r="V106" s="4"/>
      <c r="W106" s="4"/>
      <c r="X106" s="4"/>
      <c r="Y106" s="4"/>
      <c r="Z106" s="4"/>
      <c r="AA106" s="4"/>
    </row>
    <row r="107">
      <c r="A107" s="4" t="s">
        <v>7027</v>
      </c>
      <c r="B107" s="4" t="s">
        <v>14</v>
      </c>
      <c r="C107" s="4" t="s">
        <v>6838</v>
      </c>
      <c r="D107" s="4">
        <v>44005.0</v>
      </c>
      <c r="E107" s="4">
        <v>0.6527777777777791</v>
      </c>
      <c r="F107" s="4">
        <v>0.0012152777777777778</v>
      </c>
      <c r="G107" s="4">
        <v>0.6539930555555569</v>
      </c>
      <c r="H107" s="4"/>
      <c r="I107" s="4"/>
      <c r="J107" s="4"/>
      <c r="K107" s="4"/>
      <c r="L107" s="4"/>
      <c r="M107" s="4"/>
      <c r="N107" s="4"/>
      <c r="O107" s="4" t="s">
        <v>370</v>
      </c>
      <c r="P107" s="4" t="s">
        <v>69</v>
      </c>
      <c r="Q107" s="4"/>
      <c r="R107" s="4"/>
      <c r="S107" s="4"/>
      <c r="T107" s="4"/>
      <c r="U107" s="4">
        <v>1.0</v>
      </c>
      <c r="V107" s="4"/>
      <c r="W107" s="4"/>
      <c r="X107" s="4"/>
      <c r="Y107" s="4"/>
      <c r="Z107" s="4"/>
      <c r="AA107" s="4"/>
    </row>
    <row r="108">
      <c r="A108" s="4" t="s">
        <v>7028</v>
      </c>
      <c r="B108" s="4" t="s">
        <v>14</v>
      </c>
      <c r="C108" s="4" t="s">
        <v>6838</v>
      </c>
      <c r="D108" s="4">
        <v>44005.0</v>
      </c>
      <c r="E108" s="4">
        <v>0.6539930555555569</v>
      </c>
      <c r="F108" s="4">
        <v>0.003472222222222222</v>
      </c>
      <c r="G108" s="4">
        <v>0.6574652777777791</v>
      </c>
      <c r="H108" s="4"/>
      <c r="I108" s="4"/>
      <c r="J108" s="4"/>
      <c r="K108" s="4"/>
      <c r="L108" s="4"/>
      <c r="M108" s="4"/>
      <c r="N108" s="4" t="s">
        <v>6702</v>
      </c>
      <c r="O108" s="4" t="s">
        <v>448</v>
      </c>
      <c r="P108" s="4" t="s">
        <v>449</v>
      </c>
      <c r="Q108" s="4" t="s">
        <v>105</v>
      </c>
      <c r="R108" s="4" t="s">
        <v>92</v>
      </c>
      <c r="S108" s="4"/>
      <c r="T108" s="4"/>
      <c r="U108" s="4"/>
      <c r="V108" s="4"/>
      <c r="W108" s="4"/>
      <c r="X108" s="4"/>
      <c r="Y108" s="4"/>
      <c r="Z108" s="4"/>
      <c r="AA108" s="4"/>
    </row>
    <row r="109">
      <c r="A109" s="4" t="s">
        <v>7029</v>
      </c>
      <c r="B109" s="4" t="s">
        <v>14</v>
      </c>
      <c r="C109" s="4" t="s">
        <v>6838</v>
      </c>
      <c r="D109" s="4">
        <v>44005.0</v>
      </c>
      <c r="E109" s="4">
        <v>0.6574652777777791</v>
      </c>
      <c r="F109" s="4">
        <v>3.4722222222222224E-4</v>
      </c>
      <c r="G109" s="4">
        <v>0.6578125000000014</v>
      </c>
      <c r="H109" s="4"/>
      <c r="I109" s="4"/>
      <c r="J109" s="4"/>
      <c r="K109" s="4"/>
      <c r="L109" s="4"/>
      <c r="M109" s="4"/>
      <c r="N109" s="4"/>
      <c r="O109" s="4" t="s">
        <v>1127</v>
      </c>
      <c r="P109" s="4" t="s">
        <v>92</v>
      </c>
      <c r="Q109" s="4"/>
      <c r="R109" s="4"/>
      <c r="S109" s="4"/>
      <c r="T109" s="4"/>
      <c r="U109" s="4">
        <v>1.0</v>
      </c>
      <c r="V109" s="4"/>
      <c r="W109" s="4"/>
      <c r="X109" s="4"/>
      <c r="Y109" s="4"/>
      <c r="Z109" s="4"/>
      <c r="AA109" s="4"/>
    </row>
    <row r="110">
      <c r="A110" s="4" t="s">
        <v>7030</v>
      </c>
      <c r="B110" s="4" t="s">
        <v>14</v>
      </c>
      <c r="C110" s="4" t="s">
        <v>6838</v>
      </c>
      <c r="D110" s="4">
        <v>44005.0</v>
      </c>
      <c r="E110" s="4">
        <v>0.6578125000000014</v>
      </c>
      <c r="F110" s="4">
        <v>0.011805555555555555</v>
      </c>
      <c r="G110" s="4">
        <v>0.6696180555555569</v>
      </c>
      <c r="H110" s="4" t="s">
        <v>653</v>
      </c>
      <c r="I110" s="4" t="s">
        <v>6947</v>
      </c>
      <c r="J110" s="4" t="s">
        <v>6938</v>
      </c>
      <c r="K110" s="4"/>
      <c r="L110" s="4" t="s">
        <v>74</v>
      </c>
      <c r="M110" s="4"/>
      <c r="N110" s="4" t="s">
        <v>6720</v>
      </c>
      <c r="O110" s="4" t="s">
        <v>267</v>
      </c>
      <c r="P110" s="4" t="s">
        <v>268</v>
      </c>
      <c r="Q110" s="4" t="s">
        <v>7031</v>
      </c>
      <c r="R110" s="4" t="s">
        <v>200</v>
      </c>
      <c r="S110" s="4"/>
      <c r="T110" s="4" t="s">
        <v>7032</v>
      </c>
      <c r="U110" s="4">
        <v>4.0</v>
      </c>
      <c r="V110" s="4" t="s">
        <v>7033</v>
      </c>
      <c r="W110" s="4" t="s">
        <v>6860</v>
      </c>
      <c r="X110" s="4" t="s">
        <v>7034</v>
      </c>
      <c r="Y110" s="4" t="s">
        <v>7035</v>
      </c>
      <c r="Z110" s="4" t="s">
        <v>1253</v>
      </c>
      <c r="AA110" s="4"/>
    </row>
    <row r="111">
      <c r="A111" s="4" t="s">
        <v>7036</v>
      </c>
      <c r="B111" s="4" t="s">
        <v>14</v>
      </c>
      <c r="C111" s="4" t="s">
        <v>6838</v>
      </c>
      <c r="D111" s="4">
        <v>44005.0</v>
      </c>
      <c r="E111" s="4">
        <v>0.6696180555555569</v>
      </c>
      <c r="F111" s="4">
        <v>1.7361111111111112E-4</v>
      </c>
      <c r="G111" s="4">
        <v>0.669791666666668</v>
      </c>
      <c r="H111" s="4"/>
      <c r="I111" s="4"/>
      <c r="J111" s="4"/>
      <c r="K111" s="4"/>
      <c r="L111" s="4"/>
      <c r="M111" s="4"/>
      <c r="N111" s="4"/>
      <c r="O111" s="4" t="s">
        <v>974</v>
      </c>
      <c r="P111" s="4" t="s">
        <v>128</v>
      </c>
      <c r="Q111" s="4"/>
      <c r="R111" s="4"/>
      <c r="S111" s="4"/>
      <c r="T111" s="4"/>
      <c r="U111" s="4">
        <v>1.0</v>
      </c>
      <c r="V111" s="4"/>
      <c r="W111" s="4"/>
      <c r="X111" s="4"/>
      <c r="Y111" s="4"/>
      <c r="Z111" s="4"/>
      <c r="AA111" s="4"/>
    </row>
    <row r="112">
      <c r="A112" s="4" t="s">
        <v>7037</v>
      </c>
      <c r="B112" s="4" t="s">
        <v>14</v>
      </c>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c r="A113" s="4" t="s">
        <v>7038</v>
      </c>
      <c r="B113" s="4" t="s">
        <v>14</v>
      </c>
      <c r="C113" s="4" t="s">
        <v>6838</v>
      </c>
      <c r="D113" s="4">
        <v>44005.0</v>
      </c>
      <c r="E113" s="4">
        <v>0.669791666666668</v>
      </c>
      <c r="F113" s="4">
        <v>0.0020833333333333333</v>
      </c>
      <c r="G113" s="4">
        <v>0.6718750000000013</v>
      </c>
      <c r="H113" s="4"/>
      <c r="I113" s="4"/>
      <c r="J113" s="4"/>
      <c r="K113" s="4"/>
      <c r="L113" s="4"/>
      <c r="M113" s="4"/>
      <c r="N113" s="4"/>
      <c r="O113" s="4" t="s">
        <v>6915</v>
      </c>
      <c r="P113" s="4" t="s">
        <v>128</v>
      </c>
      <c r="Q113" s="4"/>
      <c r="R113" s="4"/>
      <c r="S113" s="4"/>
      <c r="T113" s="4"/>
      <c r="U113" s="4">
        <v>1.0</v>
      </c>
      <c r="V113" s="4"/>
      <c r="W113" s="4"/>
      <c r="X113" s="4"/>
      <c r="Y113" s="4"/>
      <c r="Z113" s="4"/>
      <c r="AA113" s="4"/>
    </row>
    <row r="114">
      <c r="A114" s="4" t="s">
        <v>7039</v>
      </c>
      <c r="B114" s="4" t="s">
        <v>14</v>
      </c>
      <c r="C114" s="4" t="s">
        <v>6838</v>
      </c>
      <c r="D114" s="4">
        <v>44005.0</v>
      </c>
      <c r="E114" s="4">
        <v>0.6718750000000013</v>
      </c>
      <c r="F114" s="4">
        <v>3.4722222222222224E-4</v>
      </c>
      <c r="G114" s="4">
        <v>0.6722222222222236</v>
      </c>
      <c r="H114" s="4"/>
      <c r="I114" s="4"/>
      <c r="J114" s="4"/>
      <c r="K114" s="4"/>
      <c r="L114" s="4"/>
      <c r="M114" s="4"/>
      <c r="N114" s="4"/>
      <c r="O114" s="4" t="s">
        <v>6878</v>
      </c>
      <c r="P114" s="4" t="s">
        <v>128</v>
      </c>
      <c r="Q114" s="4"/>
      <c r="R114" s="4"/>
      <c r="S114" s="4"/>
      <c r="T114" s="4"/>
      <c r="U114" s="4">
        <v>1.0</v>
      </c>
      <c r="V114" s="4"/>
      <c r="W114" s="4"/>
      <c r="X114" s="4"/>
      <c r="Y114" s="4"/>
      <c r="Z114" s="4"/>
      <c r="AA114" s="4"/>
    </row>
    <row r="115">
      <c r="A115" s="4" t="s">
        <v>7040</v>
      </c>
      <c r="B115" s="4" t="s">
        <v>14</v>
      </c>
      <c r="C115" s="4" t="s">
        <v>6838</v>
      </c>
      <c r="D115" s="4">
        <v>44005.0</v>
      </c>
      <c r="E115" s="4">
        <v>0.6722222222222236</v>
      </c>
      <c r="F115" s="4">
        <v>0.006944444444444444</v>
      </c>
      <c r="G115" s="4">
        <v>0.679166666666668</v>
      </c>
      <c r="H115" s="4" t="s">
        <v>1055</v>
      </c>
      <c r="I115" s="4"/>
      <c r="J115" s="4" t="s">
        <v>6903</v>
      </c>
      <c r="K115" s="4" t="s">
        <v>195</v>
      </c>
      <c r="L115" s="4" t="s">
        <v>165</v>
      </c>
      <c r="M115" s="4" t="s">
        <v>6918</v>
      </c>
      <c r="N115" s="4" t="s">
        <v>6858</v>
      </c>
      <c r="O115" s="4" t="s">
        <v>498</v>
      </c>
      <c r="P115" s="4" t="s">
        <v>499</v>
      </c>
      <c r="Q115" s="4"/>
      <c r="R115" s="4"/>
      <c r="S115" s="4"/>
      <c r="T115" s="4"/>
      <c r="U115" s="4">
        <v>1.0</v>
      </c>
      <c r="V115" s="4" t="s">
        <v>7041</v>
      </c>
      <c r="W115" s="4" t="s">
        <v>6890</v>
      </c>
      <c r="X115" s="4" t="s">
        <v>7042</v>
      </c>
      <c r="Y115" s="4" t="s">
        <v>7043</v>
      </c>
      <c r="Z115" s="4" t="s">
        <v>4345</v>
      </c>
      <c r="AA115" s="4"/>
    </row>
    <row r="116">
      <c r="A116" s="4" t="s">
        <v>7044</v>
      </c>
      <c r="B116" s="4" t="s">
        <v>14</v>
      </c>
      <c r="C116" s="4" t="s">
        <v>6838</v>
      </c>
      <c r="D116" s="4">
        <v>44005.0</v>
      </c>
      <c r="E116" s="4">
        <v>0.679166666666668</v>
      </c>
      <c r="F116" s="4">
        <v>1.7361111111111112E-4</v>
      </c>
      <c r="G116" s="4">
        <v>0.6793402777777792</v>
      </c>
      <c r="H116" s="4"/>
      <c r="I116" s="4"/>
      <c r="J116" s="4"/>
      <c r="K116" s="4"/>
      <c r="L116" s="4"/>
      <c r="M116" s="4"/>
      <c r="N116" s="4"/>
      <c r="O116" s="4" t="s">
        <v>974</v>
      </c>
      <c r="P116" s="4" t="s">
        <v>128</v>
      </c>
      <c r="Q116" s="4"/>
      <c r="R116" s="4"/>
      <c r="S116" s="4"/>
      <c r="T116" s="4"/>
      <c r="U116" s="4">
        <v>1.0</v>
      </c>
      <c r="V116" s="4"/>
      <c r="W116" s="4"/>
      <c r="X116" s="4"/>
      <c r="Y116" s="4"/>
      <c r="Z116" s="4"/>
      <c r="AA116" s="4"/>
    </row>
    <row r="117">
      <c r="A117" s="4" t="s">
        <v>7045</v>
      </c>
      <c r="B117" s="4" t="s">
        <v>14</v>
      </c>
      <c r="C117" s="4" t="s">
        <v>6838</v>
      </c>
      <c r="D117" s="4">
        <v>44005.0</v>
      </c>
      <c r="E117" s="4">
        <v>0.6793402777777792</v>
      </c>
      <c r="F117" s="4">
        <v>0.0012152777777777778</v>
      </c>
      <c r="G117" s="4">
        <v>0.6805555555555569</v>
      </c>
      <c r="H117" s="4"/>
      <c r="I117" s="4"/>
      <c r="J117" s="4"/>
      <c r="K117" s="4"/>
      <c r="L117" s="4"/>
      <c r="M117" s="4"/>
      <c r="N117" s="4"/>
      <c r="O117" s="4" t="s">
        <v>370</v>
      </c>
      <c r="P117" s="4" t="s">
        <v>69</v>
      </c>
      <c r="Q117" s="4"/>
      <c r="R117" s="4"/>
      <c r="S117" s="4"/>
      <c r="T117" s="4"/>
      <c r="U117" s="4">
        <v>1.0</v>
      </c>
      <c r="V117" s="4"/>
      <c r="W117" s="4"/>
      <c r="X117" s="4"/>
      <c r="Y117" s="4"/>
      <c r="Z117" s="4"/>
      <c r="AA117" s="4"/>
    </row>
    <row r="118">
      <c r="A118" s="4" t="s">
        <v>7046</v>
      </c>
      <c r="B118" s="4" t="s">
        <v>14</v>
      </c>
      <c r="C118" s="4" t="s">
        <v>6838</v>
      </c>
      <c r="D118" s="4">
        <v>44005.0</v>
      </c>
      <c r="E118" s="4">
        <v>0.6805555555555569</v>
      </c>
      <c r="F118" s="4">
        <v>3.4722222222222224E-4</v>
      </c>
      <c r="G118" s="4">
        <v>0.6809027777777792</v>
      </c>
      <c r="H118" s="4"/>
      <c r="I118" s="4"/>
      <c r="J118" s="4"/>
      <c r="K118" s="4"/>
      <c r="L118" s="4"/>
      <c r="M118" s="4"/>
      <c r="N118" s="4"/>
      <c r="O118" s="4" t="s">
        <v>1127</v>
      </c>
      <c r="P118" s="4" t="s">
        <v>105</v>
      </c>
      <c r="Q118" s="4"/>
      <c r="R118" s="4"/>
      <c r="S118" s="4"/>
      <c r="T118" s="4"/>
      <c r="U118" s="4">
        <v>1.0</v>
      </c>
      <c r="V118" s="4"/>
      <c r="W118" s="4"/>
      <c r="X118" s="4"/>
      <c r="Y118" s="4"/>
      <c r="Z118" s="4"/>
      <c r="AA118" s="4"/>
    </row>
    <row r="119">
      <c r="A119" s="4" t="s">
        <v>7047</v>
      </c>
      <c r="B119" s="4" t="s">
        <v>14</v>
      </c>
      <c r="C119" s="4" t="s">
        <v>6838</v>
      </c>
      <c r="D119" s="4">
        <v>44005.0</v>
      </c>
      <c r="E119" s="4">
        <v>0.6809027777777792</v>
      </c>
      <c r="F119" s="4">
        <v>0.0020833333333333333</v>
      </c>
      <c r="G119" s="4">
        <v>0.6829861111111125</v>
      </c>
      <c r="H119" s="4"/>
      <c r="I119" s="4"/>
      <c r="J119" s="4"/>
      <c r="K119" s="4"/>
      <c r="L119" s="4" t="s">
        <v>83</v>
      </c>
      <c r="M119" s="4"/>
      <c r="N119" s="4"/>
      <c r="O119" s="4" t="s">
        <v>7048</v>
      </c>
      <c r="P119" s="4"/>
      <c r="Q119" s="4"/>
      <c r="R119" s="4"/>
      <c r="S119" s="4"/>
      <c r="T119" s="4"/>
      <c r="U119" s="4">
        <v>0.0</v>
      </c>
      <c r="V119" s="4"/>
      <c r="W119" s="4"/>
      <c r="X119" s="4"/>
      <c r="Y119" s="4"/>
      <c r="Z119" s="4"/>
      <c r="AA119" s="4"/>
    </row>
    <row r="120">
      <c r="A120" s="4" t="s">
        <v>7049</v>
      </c>
      <c r="B120" s="4" t="s">
        <v>14</v>
      </c>
      <c r="C120" s="4" t="s">
        <v>6838</v>
      </c>
      <c r="D120" s="4">
        <v>44005.0</v>
      </c>
      <c r="E120" s="4">
        <v>0.6829861111111125</v>
      </c>
      <c r="F120" s="4">
        <v>1.7361111111111112E-4</v>
      </c>
      <c r="G120" s="4">
        <v>0.6831597222222237</v>
      </c>
      <c r="H120" s="4"/>
      <c r="I120" s="4"/>
      <c r="J120" s="4"/>
      <c r="K120" s="4"/>
      <c r="L120" s="4"/>
      <c r="M120" s="4"/>
      <c r="N120" s="4"/>
      <c r="O120" s="4" t="s">
        <v>974</v>
      </c>
      <c r="P120" s="4" t="s">
        <v>69</v>
      </c>
      <c r="Q120" s="4"/>
      <c r="R120" s="4"/>
      <c r="S120" s="4"/>
      <c r="T120" s="4"/>
      <c r="U120" s="4">
        <v>1.0</v>
      </c>
      <c r="V120" s="4"/>
      <c r="W120" s="4"/>
      <c r="X120" s="4"/>
      <c r="Y120" s="4"/>
      <c r="Z120" s="4"/>
      <c r="AA120" s="4"/>
    </row>
    <row r="121">
      <c r="A121" s="4" t="s">
        <v>7050</v>
      </c>
      <c r="B121" s="4" t="s">
        <v>14</v>
      </c>
      <c r="C121" s="4" t="s">
        <v>6838</v>
      </c>
      <c r="D121" s="4">
        <v>44005.0</v>
      </c>
      <c r="E121" s="4">
        <v>0.6831597222222237</v>
      </c>
      <c r="F121" s="4">
        <v>6.944444444444445E-4</v>
      </c>
      <c r="G121" s="4">
        <v>0.6838541666666681</v>
      </c>
      <c r="H121" s="4"/>
      <c r="I121" s="4"/>
      <c r="J121" s="4"/>
      <c r="K121" s="4"/>
      <c r="L121" s="4"/>
      <c r="M121" s="4"/>
      <c r="N121" s="4"/>
      <c r="O121" s="4" t="s">
        <v>6867</v>
      </c>
      <c r="P121" s="4" t="s">
        <v>105</v>
      </c>
      <c r="Q121" s="4"/>
      <c r="R121" s="4"/>
      <c r="S121" s="4"/>
      <c r="T121" s="4"/>
      <c r="U121" s="4"/>
      <c r="V121" s="4"/>
      <c r="W121" s="4"/>
      <c r="X121" s="4"/>
      <c r="Y121" s="4"/>
      <c r="Z121" s="4"/>
      <c r="AA121" s="4"/>
    </row>
    <row r="122">
      <c r="A122" s="4" t="s">
        <v>7051</v>
      </c>
      <c r="B122" s="4" t="s">
        <v>14</v>
      </c>
      <c r="C122" s="4" t="s">
        <v>6838</v>
      </c>
      <c r="D122" s="4">
        <v>44005.0</v>
      </c>
      <c r="E122" s="4">
        <v>0.6838541666666681</v>
      </c>
      <c r="F122" s="4">
        <v>3.4722222222222224E-4</v>
      </c>
      <c r="G122" s="4">
        <v>0.6842013888888904</v>
      </c>
      <c r="H122" s="4"/>
      <c r="I122" s="4"/>
      <c r="J122" s="4"/>
      <c r="K122" s="4"/>
      <c r="L122" s="4"/>
      <c r="M122" s="4"/>
      <c r="N122" s="4"/>
      <c r="O122" s="4" t="s">
        <v>6878</v>
      </c>
      <c r="P122" s="4" t="s">
        <v>128</v>
      </c>
      <c r="Q122" s="4"/>
      <c r="R122" s="4"/>
      <c r="S122" s="4"/>
      <c r="T122" s="4"/>
      <c r="U122" s="4">
        <v>1.0</v>
      </c>
      <c r="V122" s="4"/>
      <c r="W122" s="4"/>
      <c r="X122" s="4"/>
      <c r="Y122" s="4"/>
      <c r="Z122" s="4"/>
      <c r="AA122" s="4"/>
    </row>
    <row r="123">
      <c r="A123" s="4" t="s">
        <v>7052</v>
      </c>
      <c r="B123" s="4" t="s">
        <v>14</v>
      </c>
      <c r="C123" s="4" t="s">
        <v>6838</v>
      </c>
      <c r="D123" s="4">
        <v>44005.0</v>
      </c>
      <c r="E123" s="4">
        <v>0.6842013888888904</v>
      </c>
      <c r="F123" s="4">
        <v>0.010416666666666666</v>
      </c>
      <c r="G123" s="4">
        <v>0.694618055555557</v>
      </c>
      <c r="H123" s="4" t="s">
        <v>972</v>
      </c>
      <c r="I123" s="4" t="s">
        <v>4142</v>
      </c>
      <c r="J123" s="4" t="s">
        <v>6938</v>
      </c>
      <c r="K123" s="4" t="s">
        <v>93</v>
      </c>
      <c r="L123" s="4" t="s">
        <v>107</v>
      </c>
      <c r="M123" s="4"/>
      <c r="N123" s="4" t="s">
        <v>6749</v>
      </c>
      <c r="O123" s="4" t="s">
        <v>1094</v>
      </c>
      <c r="P123" s="4" t="s">
        <v>1089</v>
      </c>
      <c r="Q123" s="4" t="s">
        <v>1090</v>
      </c>
      <c r="R123" s="4"/>
      <c r="S123" s="4"/>
      <c r="T123" s="4" t="s">
        <v>1091</v>
      </c>
      <c r="U123" s="4">
        <v>3.0</v>
      </c>
      <c r="V123" s="4" t="s">
        <v>7053</v>
      </c>
      <c r="W123" s="4" t="s">
        <v>6911</v>
      </c>
      <c r="X123" s="4">
        <v>43963.0</v>
      </c>
      <c r="Y123" s="4"/>
      <c r="Z123" s="4" t="s">
        <v>972</v>
      </c>
      <c r="AA123" s="4"/>
    </row>
    <row r="124">
      <c r="A124" s="4" t="s">
        <v>7054</v>
      </c>
      <c r="B124" s="4" t="s">
        <v>14</v>
      </c>
      <c r="C124" s="4" t="s">
        <v>6838</v>
      </c>
      <c r="D124" s="4">
        <v>44005.0</v>
      </c>
      <c r="E124" s="4">
        <v>0.694618055555557</v>
      </c>
      <c r="F124" s="4">
        <v>1.7361111111111112E-4</v>
      </c>
      <c r="G124" s="4">
        <v>0.6947916666666681</v>
      </c>
      <c r="H124" s="4"/>
      <c r="I124" s="4"/>
      <c r="J124" s="4"/>
      <c r="K124" s="4"/>
      <c r="L124" s="4"/>
      <c r="M124" s="4"/>
      <c r="N124" s="4"/>
      <c r="O124" s="4" t="s">
        <v>974</v>
      </c>
      <c r="P124" s="4" t="s">
        <v>128</v>
      </c>
      <c r="Q124" s="4"/>
      <c r="R124" s="4"/>
      <c r="S124" s="4"/>
      <c r="T124" s="4"/>
      <c r="U124" s="4">
        <v>1.0</v>
      </c>
      <c r="V124" s="4"/>
      <c r="W124" s="4"/>
      <c r="X124" s="4"/>
      <c r="Y124" s="4"/>
      <c r="Z124" s="4"/>
      <c r="AA124" s="4"/>
    </row>
    <row r="125">
      <c r="A125" s="4" t="s">
        <v>7055</v>
      </c>
      <c r="B125" s="4" t="s">
        <v>14</v>
      </c>
      <c r="C125" s="4" t="s">
        <v>6838</v>
      </c>
      <c r="D125" s="4">
        <v>44005.0</v>
      </c>
      <c r="E125" s="4">
        <v>0.6947916666666681</v>
      </c>
      <c r="F125" s="4">
        <v>3.4722222222222224E-4</v>
      </c>
      <c r="G125" s="4">
        <v>0.6951388888888904</v>
      </c>
      <c r="H125" s="4"/>
      <c r="I125" s="4"/>
      <c r="J125" s="4"/>
      <c r="K125" s="4"/>
      <c r="L125" s="4"/>
      <c r="M125" s="4"/>
      <c r="N125" s="4"/>
      <c r="O125" s="4" t="s">
        <v>6878</v>
      </c>
      <c r="P125" s="4" t="s">
        <v>128</v>
      </c>
      <c r="Q125" s="4"/>
      <c r="R125" s="4"/>
      <c r="S125" s="4"/>
      <c r="T125" s="4"/>
      <c r="U125" s="4">
        <v>1.0</v>
      </c>
      <c r="V125" s="4"/>
      <c r="W125" s="4"/>
      <c r="X125" s="4"/>
      <c r="Y125" s="4"/>
      <c r="Z125" s="4"/>
      <c r="AA125" s="4"/>
    </row>
    <row r="126">
      <c r="A126" s="4" t="s">
        <v>7056</v>
      </c>
      <c r="B126" s="4" t="s">
        <v>14</v>
      </c>
      <c r="C126" s="4" t="s">
        <v>6838</v>
      </c>
      <c r="D126" s="4">
        <v>44005.0</v>
      </c>
      <c r="E126" s="4">
        <v>0.6951388888888904</v>
      </c>
      <c r="F126" s="4">
        <v>0.0020833333333333333</v>
      </c>
      <c r="G126" s="4">
        <v>0.6972222222222237</v>
      </c>
      <c r="H126" s="4"/>
      <c r="I126" s="4"/>
      <c r="J126" s="4"/>
      <c r="K126" s="4"/>
      <c r="L126" s="4"/>
      <c r="M126" s="4"/>
      <c r="N126" s="4"/>
      <c r="O126" s="4" t="s">
        <v>6941</v>
      </c>
      <c r="P126" s="4" t="s">
        <v>69</v>
      </c>
      <c r="Q126" s="4"/>
      <c r="R126" s="4"/>
      <c r="S126" s="4"/>
      <c r="T126" s="4"/>
      <c r="U126" s="4"/>
      <c r="V126" s="4"/>
      <c r="W126" s="4"/>
      <c r="X126" s="4"/>
      <c r="Y126" s="4"/>
      <c r="Z126" s="4"/>
      <c r="AA126" s="4"/>
    </row>
    <row r="127">
      <c r="A127" s="4" t="s">
        <v>7057</v>
      </c>
      <c r="B127" s="4" t="s">
        <v>14</v>
      </c>
      <c r="C127" s="4" t="s">
        <v>6838</v>
      </c>
      <c r="D127" s="4">
        <v>44005.0</v>
      </c>
      <c r="E127" s="4">
        <v>0.6972222222222237</v>
      </c>
      <c r="F127" s="4">
        <v>3.4722222222222224E-4</v>
      </c>
      <c r="G127" s="4">
        <v>0.697569444444446</v>
      </c>
      <c r="H127" s="4"/>
      <c r="I127" s="4"/>
      <c r="J127" s="4"/>
      <c r="K127" s="4"/>
      <c r="L127" s="4"/>
      <c r="M127" s="4"/>
      <c r="N127" s="4"/>
      <c r="O127" s="4" t="s">
        <v>6878</v>
      </c>
      <c r="P127" s="4" t="s">
        <v>73</v>
      </c>
      <c r="Q127" s="4"/>
      <c r="R127" s="4"/>
      <c r="S127" s="4"/>
      <c r="T127" s="4"/>
      <c r="U127" s="4">
        <v>1.0</v>
      </c>
      <c r="V127" s="4"/>
      <c r="W127" s="4"/>
      <c r="X127" s="4"/>
      <c r="Y127" s="4"/>
      <c r="Z127" s="4"/>
      <c r="AA127" s="4"/>
    </row>
    <row r="128">
      <c r="A128" s="4" t="s">
        <v>7058</v>
      </c>
      <c r="B128" s="4" t="s">
        <v>14</v>
      </c>
      <c r="C128" s="4" t="s">
        <v>6838</v>
      </c>
      <c r="D128" s="4">
        <v>44005.0</v>
      </c>
      <c r="E128" s="4">
        <v>0.697569444444446</v>
      </c>
      <c r="F128" s="4">
        <v>0.010416666666666666</v>
      </c>
      <c r="G128" s="4">
        <v>0.7079861111111126</v>
      </c>
      <c r="H128" s="4" t="s">
        <v>1125</v>
      </c>
      <c r="I128" s="4" t="s">
        <v>17</v>
      </c>
      <c r="J128" s="4" t="s">
        <v>7059</v>
      </c>
      <c r="K128" s="4" t="s">
        <v>441</v>
      </c>
      <c r="L128" s="4" t="s">
        <v>74</v>
      </c>
      <c r="M128" s="4"/>
      <c r="N128" s="4" t="s">
        <v>6720</v>
      </c>
      <c r="O128" s="4" t="s">
        <v>1119</v>
      </c>
      <c r="P128" s="4" t="s">
        <v>443</v>
      </c>
      <c r="Q128" s="4" t="s">
        <v>444</v>
      </c>
      <c r="R128" s="4"/>
      <c r="S128" s="4"/>
      <c r="T128" s="4" t="s">
        <v>306</v>
      </c>
      <c r="U128" s="4">
        <v>3.0</v>
      </c>
      <c r="V128" s="4" t="s">
        <v>7060</v>
      </c>
      <c r="W128" s="4" t="s">
        <v>6920</v>
      </c>
      <c r="X128" s="4" t="s">
        <v>7061</v>
      </c>
      <c r="Y128" s="4" t="s">
        <v>7062</v>
      </c>
      <c r="Z128" s="4"/>
      <c r="AA128" s="4"/>
    </row>
    <row r="129">
      <c r="A129" s="4" t="s">
        <v>7063</v>
      </c>
      <c r="B129" s="4" t="s">
        <v>14</v>
      </c>
      <c r="C129" s="4" t="s">
        <v>6838</v>
      </c>
      <c r="D129" s="4">
        <v>44005.0</v>
      </c>
      <c r="E129" s="4">
        <v>0.7079861111111126</v>
      </c>
      <c r="F129" s="4">
        <v>1.7361111111111112E-4</v>
      </c>
      <c r="G129" s="4">
        <v>0.7081597222222238</v>
      </c>
      <c r="H129" s="4"/>
      <c r="I129" s="4"/>
      <c r="J129" s="4"/>
      <c r="K129" s="4"/>
      <c r="L129" s="4"/>
      <c r="M129" s="4"/>
      <c r="N129" s="4"/>
      <c r="O129" s="4" t="s">
        <v>974</v>
      </c>
      <c r="P129" s="4" t="s">
        <v>128</v>
      </c>
      <c r="Q129" s="4"/>
      <c r="R129" s="4"/>
      <c r="S129" s="4"/>
      <c r="T129" s="4"/>
      <c r="U129" s="4">
        <v>1.0</v>
      </c>
      <c r="V129" s="4"/>
      <c r="W129" s="4"/>
      <c r="X129" s="4"/>
      <c r="Y129" s="4"/>
      <c r="Z129" s="4"/>
      <c r="AA129" s="4"/>
    </row>
    <row r="130">
      <c r="A130" s="4" t="s">
        <v>7064</v>
      </c>
      <c r="B130" s="4" t="s">
        <v>14</v>
      </c>
      <c r="C130" s="4" t="s">
        <v>6838</v>
      </c>
      <c r="D130" s="4">
        <v>44005.0</v>
      </c>
      <c r="E130" s="4">
        <v>0.7081597222222238</v>
      </c>
      <c r="F130" s="4">
        <v>0.003472222222222222</v>
      </c>
      <c r="G130" s="4">
        <v>0.711631944444446</v>
      </c>
      <c r="H130" s="4"/>
      <c r="I130" s="4"/>
      <c r="J130" s="4"/>
      <c r="K130" s="4"/>
      <c r="L130" s="4"/>
      <c r="M130" s="4"/>
      <c r="N130" s="4"/>
      <c r="O130" s="4" t="s">
        <v>7065</v>
      </c>
      <c r="P130" s="4" t="s">
        <v>73</v>
      </c>
      <c r="Q130" s="4"/>
      <c r="R130" s="4"/>
      <c r="S130" s="4"/>
      <c r="T130" s="4"/>
      <c r="U130" s="4"/>
      <c r="V130" s="4"/>
      <c r="W130" s="4"/>
      <c r="X130" s="4"/>
      <c r="Y130" s="4"/>
      <c r="Z130" s="4"/>
      <c r="AA130" s="4"/>
    </row>
    <row r="131">
      <c r="A131" s="4" t="s">
        <v>7066</v>
      </c>
      <c r="B131" s="4" t="s">
        <v>220</v>
      </c>
      <c r="C131" s="4"/>
      <c r="D131" s="4"/>
      <c r="E131" s="4"/>
      <c r="F131" s="4"/>
      <c r="G131" s="4"/>
      <c r="H131" s="4"/>
      <c r="I131" s="4"/>
      <c r="J131" s="4"/>
      <c r="K131" s="4"/>
      <c r="L131" s="4"/>
      <c r="M131" s="4"/>
      <c r="N131" s="4"/>
      <c r="O131" s="4"/>
      <c r="P131" s="4"/>
      <c r="Q131" s="4"/>
      <c r="R131" s="4"/>
      <c r="S131" s="4"/>
      <c r="T131" s="4"/>
      <c r="U131" s="4">
        <v>0.0</v>
      </c>
      <c r="V131" s="4"/>
      <c r="W131" s="4"/>
      <c r="X131" s="4"/>
      <c r="Y131" s="4"/>
      <c r="Z131" s="4"/>
      <c r="AA131" s="4"/>
    </row>
    <row r="132">
      <c r="A132" s="4" t="s">
        <v>7067</v>
      </c>
      <c r="B132" s="4" t="s">
        <v>14</v>
      </c>
      <c r="C132" s="4"/>
      <c r="D132" s="4"/>
      <c r="E132" s="4"/>
      <c r="F132" s="4"/>
      <c r="G132" s="4"/>
      <c r="H132" s="4"/>
      <c r="I132" s="4"/>
      <c r="J132" s="4"/>
      <c r="K132" s="4"/>
      <c r="L132" s="4"/>
      <c r="M132" s="4"/>
      <c r="N132" s="4"/>
      <c r="O132" s="4"/>
      <c r="P132" s="4"/>
      <c r="Q132" s="4"/>
      <c r="R132" s="4"/>
      <c r="S132" s="4"/>
      <c r="T132" s="4"/>
      <c r="U132" s="4"/>
      <c r="V132" s="4"/>
      <c r="W132" s="4" t="s">
        <v>6855</v>
      </c>
      <c r="X132" s="4" t="s">
        <v>7068</v>
      </c>
      <c r="Y132" s="4"/>
      <c r="Z132" s="4"/>
      <c r="AA132" s="4"/>
    </row>
    <row r="133">
      <c r="A133" s="4" t="s">
        <v>7069</v>
      </c>
      <c r="B133" s="4" t="s">
        <v>14</v>
      </c>
      <c r="C133" s="4" t="s">
        <v>7070</v>
      </c>
      <c r="D133" s="4">
        <v>44006.0</v>
      </c>
      <c r="E133" s="4">
        <v>0.4166666666666667</v>
      </c>
      <c r="F133" s="4">
        <v>6.944444444444445E-4</v>
      </c>
      <c r="G133" s="4">
        <v>0.4173611111111111</v>
      </c>
      <c r="H133" s="4"/>
      <c r="I133" s="4"/>
      <c r="J133" s="4"/>
      <c r="K133" s="4"/>
      <c r="L133" s="4"/>
      <c r="M133" s="4"/>
      <c r="N133" s="4"/>
      <c r="O133" s="4" t="s">
        <v>68</v>
      </c>
      <c r="P133" s="4" t="s">
        <v>69</v>
      </c>
      <c r="Q133" s="4"/>
      <c r="R133" s="4"/>
      <c r="S133" s="4"/>
      <c r="T133" s="4"/>
      <c r="U133" s="4">
        <v>1.0</v>
      </c>
      <c r="V133" s="4"/>
      <c r="W133" s="4"/>
      <c r="X133" s="4"/>
      <c r="Y133" s="4"/>
      <c r="Z133" s="4"/>
      <c r="AA133" s="4"/>
    </row>
    <row r="134">
      <c r="A134" s="4" t="s">
        <v>7071</v>
      </c>
      <c r="B134" s="4" t="s">
        <v>14</v>
      </c>
      <c r="C134" s="4" t="s">
        <v>7070</v>
      </c>
      <c r="D134" s="4">
        <v>44006.0</v>
      </c>
      <c r="E134" s="4">
        <v>0.4173611111111111</v>
      </c>
      <c r="F134" s="4">
        <v>0.001736111111111111</v>
      </c>
      <c r="G134" s="4">
        <v>0.41909722222222223</v>
      </c>
      <c r="H134" s="4"/>
      <c r="I134" s="4"/>
      <c r="J134" s="4"/>
      <c r="K134" s="4"/>
      <c r="L134" s="4"/>
      <c r="M134" s="4"/>
      <c r="N134" s="4"/>
      <c r="O134" s="4" t="s">
        <v>6915</v>
      </c>
      <c r="P134" s="4" t="s">
        <v>128</v>
      </c>
      <c r="Q134" s="4"/>
      <c r="R134" s="4"/>
      <c r="S134" s="4"/>
      <c r="T134" s="4"/>
      <c r="U134" s="4">
        <v>1.0</v>
      </c>
      <c r="V134" s="4"/>
      <c r="W134" s="4"/>
      <c r="X134" s="4"/>
      <c r="Y134" s="4"/>
      <c r="Z134" s="4"/>
      <c r="AA134" s="4"/>
    </row>
    <row r="135">
      <c r="A135" s="4" t="s">
        <v>7072</v>
      </c>
      <c r="B135" s="4" t="s">
        <v>14</v>
      </c>
      <c r="C135" s="4" t="s">
        <v>7070</v>
      </c>
      <c r="D135" s="4">
        <v>44006.0</v>
      </c>
      <c r="E135" s="4">
        <v>0.41909722222222223</v>
      </c>
      <c r="F135" s="4">
        <v>3.4722222222222224E-4</v>
      </c>
      <c r="G135" s="4">
        <v>0.41944444444444445</v>
      </c>
      <c r="H135" s="4"/>
      <c r="I135" s="4"/>
      <c r="J135" s="4"/>
      <c r="K135" s="4"/>
      <c r="L135" s="4"/>
      <c r="M135" s="4"/>
      <c r="N135" s="4"/>
      <c r="O135" s="4" t="s">
        <v>7073</v>
      </c>
      <c r="P135" s="4" t="s">
        <v>128</v>
      </c>
      <c r="Q135" s="4"/>
      <c r="R135" s="4"/>
      <c r="S135" s="4"/>
      <c r="T135" s="4"/>
      <c r="U135" s="4">
        <v>1.0</v>
      </c>
      <c r="V135" s="4"/>
      <c r="W135" s="4"/>
      <c r="X135" s="4"/>
      <c r="Y135" s="4"/>
      <c r="Z135" s="4"/>
      <c r="AA135" s="4"/>
    </row>
    <row r="136">
      <c r="A136" s="4" t="s">
        <v>7074</v>
      </c>
      <c r="B136" s="4" t="s">
        <v>14</v>
      </c>
      <c r="C136" s="4" t="s">
        <v>7070</v>
      </c>
      <c r="D136" s="4">
        <v>44006.0</v>
      </c>
      <c r="E136" s="4">
        <v>0.41944444444444445</v>
      </c>
      <c r="F136" s="4">
        <v>0.008333333333333333</v>
      </c>
      <c r="G136" s="4">
        <v>0.4277777777777778</v>
      </c>
      <c r="H136" s="4" t="s">
        <v>653</v>
      </c>
      <c r="I136" s="4" t="s">
        <v>4142</v>
      </c>
      <c r="J136" s="4" t="s">
        <v>6870</v>
      </c>
      <c r="K136" s="4" t="s">
        <v>93</v>
      </c>
      <c r="L136" s="4" t="s">
        <v>94</v>
      </c>
      <c r="M136" s="4"/>
      <c r="N136" s="4" t="s">
        <v>6755</v>
      </c>
      <c r="O136" s="4" t="s">
        <v>95</v>
      </c>
      <c r="P136" s="4" t="s">
        <v>96</v>
      </c>
      <c r="Q136" s="4"/>
      <c r="R136" s="4"/>
      <c r="S136" s="4"/>
      <c r="T136" s="4" t="s">
        <v>97</v>
      </c>
      <c r="U136" s="4">
        <v>2.0</v>
      </c>
      <c r="V136" s="4" t="s">
        <v>7075</v>
      </c>
      <c r="W136" s="4" t="s">
        <v>6855</v>
      </c>
      <c r="X136" s="4"/>
      <c r="Y136" s="4"/>
      <c r="Z136" s="4"/>
      <c r="AA136" s="4"/>
    </row>
    <row r="137">
      <c r="A137" s="4" t="s">
        <v>7076</v>
      </c>
      <c r="B137" s="4" t="s">
        <v>14</v>
      </c>
      <c r="C137" s="4" t="s">
        <v>7070</v>
      </c>
      <c r="D137" s="4">
        <v>44006.0</v>
      </c>
      <c r="E137" s="4">
        <v>0.4277777777777778</v>
      </c>
      <c r="F137" s="4">
        <v>1.7361111111111112E-4</v>
      </c>
      <c r="G137" s="4">
        <v>0.42795138888888895</v>
      </c>
      <c r="H137" s="4"/>
      <c r="I137" s="4"/>
      <c r="J137" s="4"/>
      <c r="K137" s="4"/>
      <c r="L137" s="4"/>
      <c r="M137" s="4"/>
      <c r="N137" s="4"/>
      <c r="O137" s="4" t="s">
        <v>7077</v>
      </c>
      <c r="P137" s="4" t="s">
        <v>128</v>
      </c>
      <c r="Q137" s="4"/>
      <c r="R137" s="4"/>
      <c r="S137" s="4"/>
      <c r="T137" s="4"/>
      <c r="U137" s="4">
        <v>1.0</v>
      </c>
      <c r="V137" s="4"/>
      <c r="W137" s="4"/>
      <c r="X137" s="4"/>
      <c r="Y137" s="4"/>
      <c r="Z137" s="4"/>
      <c r="AA137" s="4"/>
    </row>
    <row r="138">
      <c r="A138" s="4" t="s">
        <v>7078</v>
      </c>
      <c r="B138" s="4" t="s">
        <v>14</v>
      </c>
      <c r="C138" s="4" t="s">
        <v>7070</v>
      </c>
      <c r="D138" s="4">
        <v>44006.0</v>
      </c>
      <c r="E138" s="4">
        <v>0.42795138888888895</v>
      </c>
      <c r="F138" s="4">
        <v>3.4722222222222224E-4</v>
      </c>
      <c r="G138" s="4">
        <v>0.42829861111111117</v>
      </c>
      <c r="H138" s="4"/>
      <c r="I138" s="4"/>
      <c r="J138" s="4"/>
      <c r="K138" s="4"/>
      <c r="L138" s="4"/>
      <c r="M138" s="4"/>
      <c r="N138" s="4"/>
      <c r="O138" s="4" t="s">
        <v>7079</v>
      </c>
      <c r="P138" s="4" t="s">
        <v>128</v>
      </c>
      <c r="Q138" s="4"/>
      <c r="R138" s="4"/>
      <c r="S138" s="4"/>
      <c r="T138" s="4"/>
      <c r="U138" s="4">
        <v>1.0</v>
      </c>
      <c r="V138" s="4"/>
      <c r="W138" s="4"/>
      <c r="X138" s="4"/>
      <c r="Y138" s="4"/>
      <c r="Z138" s="4"/>
      <c r="AA138" s="4"/>
    </row>
    <row r="139">
      <c r="A139" s="4" t="s">
        <v>7080</v>
      </c>
      <c r="B139" s="4" t="s">
        <v>14</v>
      </c>
      <c r="C139" s="4" t="s">
        <v>7070</v>
      </c>
      <c r="D139" s="4">
        <v>44006.0</v>
      </c>
      <c r="E139" s="4">
        <v>0.42829861111111117</v>
      </c>
      <c r="F139" s="4">
        <v>0.0020833333333333333</v>
      </c>
      <c r="G139" s="4">
        <v>0.4303819444444445</v>
      </c>
      <c r="H139" s="4"/>
      <c r="I139" s="4"/>
      <c r="J139" s="4" t="s">
        <v>6870</v>
      </c>
      <c r="K139" s="4"/>
      <c r="L139" s="4" t="s">
        <v>83</v>
      </c>
      <c r="M139" s="4"/>
      <c r="N139" s="4"/>
      <c r="O139" s="4" t="s">
        <v>7081</v>
      </c>
      <c r="P139" s="4"/>
      <c r="Q139" s="4"/>
      <c r="R139" s="4"/>
      <c r="S139" s="4"/>
      <c r="T139" s="4"/>
      <c r="U139" s="4">
        <v>0.0</v>
      </c>
      <c r="V139" s="4"/>
      <c r="W139" s="4"/>
      <c r="X139" s="4"/>
      <c r="Y139" s="4"/>
      <c r="Z139" s="4"/>
      <c r="AA139" s="4"/>
    </row>
    <row r="140">
      <c r="A140" s="4" t="s">
        <v>7082</v>
      </c>
      <c r="B140" s="4" t="s">
        <v>14</v>
      </c>
      <c r="C140" s="4" t="s">
        <v>7070</v>
      </c>
      <c r="D140" s="4">
        <v>44006.0</v>
      </c>
      <c r="E140" s="4">
        <v>0.4303819444444445</v>
      </c>
      <c r="F140" s="4">
        <v>1.7361111111111112E-4</v>
      </c>
      <c r="G140" s="4">
        <v>0.43055555555555564</v>
      </c>
      <c r="H140" s="4"/>
      <c r="I140" s="4"/>
      <c r="J140" s="4"/>
      <c r="K140" s="4"/>
      <c r="L140" s="4"/>
      <c r="M140" s="4" t="s">
        <v>1944</v>
      </c>
      <c r="N140" s="4"/>
      <c r="O140" s="4" t="s">
        <v>7083</v>
      </c>
      <c r="P140" s="4" t="s">
        <v>69</v>
      </c>
      <c r="Q140" s="4"/>
      <c r="R140" s="4"/>
      <c r="S140" s="4"/>
      <c r="T140" s="4"/>
      <c r="U140" s="4">
        <v>1.0</v>
      </c>
      <c r="V140" s="4"/>
      <c r="W140" s="4"/>
      <c r="X140" s="4"/>
      <c r="Y140" s="4"/>
      <c r="Z140" s="4"/>
      <c r="AA140" s="4"/>
    </row>
    <row r="141">
      <c r="A141" s="4" t="s">
        <v>7084</v>
      </c>
      <c r="B141" s="4" t="s">
        <v>14</v>
      </c>
      <c r="C141" s="4" t="s">
        <v>7070</v>
      </c>
      <c r="D141" s="4">
        <v>44006.0</v>
      </c>
      <c r="E141" s="4">
        <v>0.43055555555555564</v>
      </c>
      <c r="F141" s="4">
        <v>3.4722222222222224E-4</v>
      </c>
      <c r="G141" s="4">
        <v>0.43090277777777786</v>
      </c>
      <c r="H141" s="4"/>
      <c r="I141" s="4"/>
      <c r="J141" s="4"/>
      <c r="K141" s="4"/>
      <c r="L141" s="4"/>
      <c r="M141" s="4" t="s">
        <v>6923</v>
      </c>
      <c r="N141" s="4"/>
      <c r="O141" s="4" t="s">
        <v>1127</v>
      </c>
      <c r="P141" s="4" t="s">
        <v>105</v>
      </c>
      <c r="Q141" s="4"/>
      <c r="R141" s="4"/>
      <c r="S141" s="4"/>
      <c r="T141" s="4"/>
      <c r="U141" s="4">
        <v>1.0</v>
      </c>
      <c r="V141" s="4"/>
      <c r="W141" s="4"/>
      <c r="X141" s="4"/>
      <c r="Y141" s="4"/>
      <c r="Z141" s="4"/>
      <c r="AA141" s="4"/>
    </row>
    <row r="142">
      <c r="A142" s="4" t="s">
        <v>7085</v>
      </c>
      <c r="B142" s="4" t="s">
        <v>14</v>
      </c>
      <c r="C142" s="4" t="s">
        <v>7070</v>
      </c>
      <c r="D142" s="4">
        <v>44006.0</v>
      </c>
      <c r="E142" s="4">
        <v>0.43090277777777786</v>
      </c>
      <c r="F142" s="4">
        <v>0.010416666666666666</v>
      </c>
      <c r="G142" s="4">
        <v>0.44131944444444454</v>
      </c>
      <c r="H142" s="4" t="s">
        <v>1076</v>
      </c>
      <c r="I142" s="4" t="s">
        <v>6933</v>
      </c>
      <c r="J142" s="4" t="s">
        <v>7086</v>
      </c>
      <c r="K142" s="4"/>
      <c r="L142" s="4" t="s">
        <v>107</v>
      </c>
      <c r="M142" s="4" t="s">
        <v>6918</v>
      </c>
      <c r="N142" s="4" t="s">
        <v>6858</v>
      </c>
      <c r="O142" s="4" t="s">
        <v>458</v>
      </c>
      <c r="P142" s="4" t="s">
        <v>459</v>
      </c>
      <c r="Q142" s="4" t="s">
        <v>460</v>
      </c>
      <c r="R142" s="4"/>
      <c r="S142" s="4"/>
      <c r="T142" s="4" t="s">
        <v>461</v>
      </c>
      <c r="U142" s="4">
        <v>3.0</v>
      </c>
      <c r="V142" s="4" t="s">
        <v>7087</v>
      </c>
      <c r="W142" s="4" t="s">
        <v>7088</v>
      </c>
      <c r="X142" s="4" t="s">
        <v>7089</v>
      </c>
      <c r="Y142" s="4" t="s">
        <v>7090</v>
      </c>
      <c r="Z142" s="4" t="s">
        <v>4345</v>
      </c>
      <c r="AA142" s="4"/>
    </row>
    <row r="143">
      <c r="A143" s="4" t="s">
        <v>7091</v>
      </c>
      <c r="B143" s="4" t="s">
        <v>14</v>
      </c>
      <c r="C143" s="4" t="s">
        <v>7070</v>
      </c>
      <c r="D143" s="4">
        <v>44006.0</v>
      </c>
      <c r="E143" s="4">
        <v>0.44131944444444454</v>
      </c>
      <c r="F143" s="4">
        <v>1.7361111111111112E-4</v>
      </c>
      <c r="G143" s="4">
        <v>0.4414930555555557</v>
      </c>
      <c r="H143" s="4"/>
      <c r="I143" s="4"/>
      <c r="J143" s="4"/>
      <c r="K143" s="4"/>
      <c r="L143" s="4"/>
      <c r="M143" s="4" t="s">
        <v>1944</v>
      </c>
      <c r="N143" s="4"/>
      <c r="O143" s="4" t="s">
        <v>7077</v>
      </c>
      <c r="P143" s="4" t="s">
        <v>128</v>
      </c>
      <c r="Q143" s="4"/>
      <c r="R143" s="4"/>
      <c r="S143" s="4"/>
      <c r="T143" s="4"/>
      <c r="U143" s="4">
        <v>1.0</v>
      </c>
      <c r="V143" s="4"/>
      <c r="W143" s="4"/>
      <c r="X143" s="4"/>
      <c r="Y143" s="4"/>
      <c r="Z143" s="4"/>
      <c r="AA143" s="4"/>
    </row>
    <row r="144">
      <c r="A144" s="4" t="s">
        <v>7092</v>
      </c>
      <c r="B144" s="4" t="s">
        <v>14</v>
      </c>
      <c r="C144" s="4" t="s">
        <v>7070</v>
      </c>
      <c r="D144" s="4">
        <v>44006.0</v>
      </c>
      <c r="E144" s="4">
        <v>0.4414930555555557</v>
      </c>
      <c r="F144" s="4">
        <v>0.003472222222222222</v>
      </c>
      <c r="G144" s="4">
        <v>0.4449652777777779</v>
      </c>
      <c r="H144" s="4"/>
      <c r="I144" s="4"/>
      <c r="J144" s="4"/>
      <c r="K144" s="4"/>
      <c r="L144" s="4"/>
      <c r="M144" s="4" t="s">
        <v>1944</v>
      </c>
      <c r="N144" s="4"/>
      <c r="O144" s="4" t="s">
        <v>6941</v>
      </c>
      <c r="P144" s="4" t="s">
        <v>69</v>
      </c>
      <c r="Q144" s="4"/>
      <c r="R144" s="4"/>
      <c r="S144" s="4"/>
      <c r="T144" s="4"/>
      <c r="U144" s="4">
        <v>1.0</v>
      </c>
      <c r="V144" s="4"/>
      <c r="W144" s="4"/>
      <c r="X144" s="4" t="s">
        <v>314</v>
      </c>
      <c r="Y144" s="4"/>
      <c r="Z144" s="4"/>
      <c r="AA144" s="4"/>
    </row>
    <row r="145">
      <c r="A145" s="4" t="s">
        <v>7093</v>
      </c>
      <c r="B145" s="4" t="s">
        <v>14</v>
      </c>
      <c r="C145" s="4" t="s">
        <v>7070</v>
      </c>
      <c r="D145" s="4">
        <v>44006.0</v>
      </c>
      <c r="E145" s="4">
        <v>0.4449652777777779</v>
      </c>
      <c r="F145" s="4">
        <v>0.001388888888888889</v>
      </c>
      <c r="G145" s="4">
        <v>0.4463541666666668</v>
      </c>
      <c r="H145" s="4"/>
      <c r="I145" s="4"/>
      <c r="J145" s="4"/>
      <c r="K145" s="4"/>
      <c r="L145" s="4"/>
      <c r="M145" s="4" t="s">
        <v>6939</v>
      </c>
      <c r="N145" s="4"/>
      <c r="O145" s="4" t="s">
        <v>7094</v>
      </c>
      <c r="P145" s="4" t="s">
        <v>128</v>
      </c>
      <c r="Q145" s="4"/>
      <c r="R145" s="4"/>
      <c r="S145" s="4"/>
      <c r="T145" s="4"/>
      <c r="U145" s="4">
        <v>1.0</v>
      </c>
      <c r="V145" s="4"/>
      <c r="W145" s="4"/>
      <c r="X145" s="4"/>
      <c r="Y145" s="4"/>
      <c r="Z145" s="4"/>
      <c r="AA145" s="4"/>
    </row>
    <row r="146">
      <c r="A146" s="4" t="s">
        <v>7095</v>
      </c>
      <c r="B146" s="4" t="s">
        <v>14</v>
      </c>
      <c r="C146" s="4" t="s">
        <v>7070</v>
      </c>
      <c r="D146" s="4">
        <v>44006.0</v>
      </c>
      <c r="E146" s="4">
        <v>0.4463541666666668</v>
      </c>
      <c r="F146" s="4">
        <v>3.4722222222222224E-4</v>
      </c>
      <c r="G146" s="4">
        <v>0.446701388888889</v>
      </c>
      <c r="H146" s="4"/>
      <c r="I146" s="4"/>
      <c r="J146" s="4"/>
      <c r="K146" s="4"/>
      <c r="L146" s="4"/>
      <c r="M146" s="4" t="s">
        <v>6939</v>
      </c>
      <c r="N146" s="4"/>
      <c r="O146" s="4" t="s">
        <v>6878</v>
      </c>
      <c r="P146" s="4" t="s">
        <v>128</v>
      </c>
      <c r="Q146" s="4"/>
      <c r="R146" s="4"/>
      <c r="S146" s="4"/>
      <c r="T146" s="4"/>
      <c r="U146" s="4">
        <v>1.0</v>
      </c>
      <c r="V146" s="4"/>
      <c r="W146" s="4"/>
      <c r="X146" s="4"/>
      <c r="Y146" s="4"/>
      <c r="Z146" s="4"/>
      <c r="AA146" s="4"/>
    </row>
    <row r="147">
      <c r="A147" s="4" t="s">
        <v>7096</v>
      </c>
      <c r="B147" s="4" t="s">
        <v>14</v>
      </c>
      <c r="C147" s="4" t="s">
        <v>7070</v>
      </c>
      <c r="D147" s="4">
        <v>44006.0</v>
      </c>
      <c r="E147" s="4">
        <v>0.446701388888889</v>
      </c>
      <c r="F147" s="4">
        <v>0.010416666666666666</v>
      </c>
      <c r="G147" s="4">
        <v>0.4571180555555557</v>
      </c>
      <c r="H147" s="4" t="s">
        <v>847</v>
      </c>
      <c r="I147" s="4" t="s">
        <v>6947</v>
      </c>
      <c r="J147" s="4" t="s">
        <v>6948</v>
      </c>
      <c r="K147" s="4"/>
      <c r="L147" s="4" t="s">
        <v>107</v>
      </c>
      <c r="M147" s="4" t="s">
        <v>6918</v>
      </c>
      <c r="N147" s="4" t="s">
        <v>6755</v>
      </c>
      <c r="O147" s="4" t="s">
        <v>250</v>
      </c>
      <c r="P147" s="4" t="s">
        <v>251</v>
      </c>
      <c r="Q147" s="4" t="s">
        <v>252</v>
      </c>
      <c r="R147" s="4"/>
      <c r="S147" s="4"/>
      <c r="T147" s="4" t="s">
        <v>7097</v>
      </c>
      <c r="U147" s="4">
        <v>3.0</v>
      </c>
      <c r="V147" s="4" t="s">
        <v>7098</v>
      </c>
      <c r="W147" s="4" t="s">
        <v>6872</v>
      </c>
      <c r="X147" s="4"/>
      <c r="Y147" s="4"/>
      <c r="Z147" s="4"/>
      <c r="AA147" s="4"/>
    </row>
    <row r="148">
      <c r="A148" s="4" t="s">
        <v>7099</v>
      </c>
      <c r="B148" s="4" t="s">
        <v>14</v>
      </c>
      <c r="C148" s="4" t="s">
        <v>7070</v>
      </c>
      <c r="D148" s="4">
        <v>44006.0</v>
      </c>
      <c r="E148" s="4">
        <v>0.4571180555555557</v>
      </c>
      <c r="F148" s="4">
        <v>1.7361111111111112E-4</v>
      </c>
      <c r="G148" s="4">
        <v>0.4572916666666668</v>
      </c>
      <c r="H148" s="4"/>
      <c r="I148" s="4"/>
      <c r="J148" s="4"/>
      <c r="K148" s="4"/>
      <c r="L148" s="4"/>
      <c r="M148" s="4" t="s">
        <v>1944</v>
      </c>
      <c r="N148" s="4"/>
      <c r="O148" s="4" t="s">
        <v>7077</v>
      </c>
      <c r="P148" s="4" t="s">
        <v>128</v>
      </c>
      <c r="Q148" s="4"/>
      <c r="R148" s="4"/>
      <c r="S148" s="4"/>
      <c r="T148" s="4"/>
      <c r="U148" s="4">
        <v>1.0</v>
      </c>
      <c r="V148" s="4"/>
      <c r="W148" s="4"/>
      <c r="X148" s="4"/>
      <c r="Y148" s="4"/>
      <c r="Z148" s="4"/>
      <c r="AA148" s="4"/>
    </row>
    <row r="149">
      <c r="A149" s="4" t="s">
        <v>7100</v>
      </c>
      <c r="B149" s="4" t="s">
        <v>14</v>
      </c>
      <c r="C149" s="4" t="s">
        <v>7070</v>
      </c>
      <c r="D149" s="4">
        <v>44006.0</v>
      </c>
      <c r="E149" s="4">
        <v>0.4572916666666668</v>
      </c>
      <c r="F149" s="4">
        <v>0.0010416666666666667</v>
      </c>
      <c r="G149" s="4">
        <v>0.4583333333333335</v>
      </c>
      <c r="H149" s="4"/>
      <c r="I149" s="4"/>
      <c r="J149" s="4"/>
      <c r="K149" s="4"/>
      <c r="L149" s="4"/>
      <c r="M149" s="4"/>
      <c r="N149" s="4"/>
      <c r="O149" s="4" t="s">
        <v>80</v>
      </c>
      <c r="P149" s="4"/>
      <c r="Q149" s="4"/>
      <c r="R149" s="4"/>
      <c r="S149" s="4"/>
      <c r="T149" s="4"/>
      <c r="U149" s="4"/>
      <c r="V149" s="4"/>
      <c r="W149" s="4"/>
      <c r="X149" s="4"/>
      <c r="Y149" s="4"/>
      <c r="Z149" s="4"/>
      <c r="AA149" s="4"/>
    </row>
    <row r="150">
      <c r="A150" s="4" t="s">
        <v>7101</v>
      </c>
      <c r="B150" s="4" t="s">
        <v>14</v>
      </c>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t="s">
        <v>7102</v>
      </c>
      <c r="B151" s="4" t="s">
        <v>14</v>
      </c>
      <c r="C151" s="4" t="s">
        <v>7070</v>
      </c>
      <c r="D151" s="4">
        <v>44006.0</v>
      </c>
      <c r="E151" s="4">
        <v>0.4583333333333335</v>
      </c>
      <c r="F151" s="4">
        <v>0.0020833333333333333</v>
      </c>
      <c r="G151" s="4">
        <v>0.4604166666666668</v>
      </c>
      <c r="H151" s="4"/>
      <c r="I151" s="4"/>
      <c r="J151" s="4"/>
      <c r="K151" s="4"/>
      <c r="L151" s="4" t="s">
        <v>71</v>
      </c>
      <c r="M151" s="4" t="s">
        <v>6939</v>
      </c>
      <c r="N151" s="4"/>
      <c r="O151" s="4" t="s">
        <v>6915</v>
      </c>
      <c r="P151" s="4" t="s">
        <v>128</v>
      </c>
      <c r="Q151" s="4"/>
      <c r="R151" s="4"/>
      <c r="S151" s="4"/>
      <c r="T151" s="4"/>
      <c r="U151" s="4">
        <v>1.0</v>
      </c>
      <c r="V151" s="4"/>
      <c r="W151" s="4"/>
      <c r="X151" s="4"/>
      <c r="Y151" s="4"/>
      <c r="Z151" s="4"/>
      <c r="AA151" s="4"/>
    </row>
    <row r="152">
      <c r="A152" s="4" t="s">
        <v>7103</v>
      </c>
      <c r="B152" s="4" t="s">
        <v>14</v>
      </c>
      <c r="C152" s="4" t="s">
        <v>7070</v>
      </c>
      <c r="D152" s="4">
        <v>44006.0</v>
      </c>
      <c r="E152" s="4">
        <v>0.4604166666666668</v>
      </c>
      <c r="F152" s="4">
        <v>3.4722222222222224E-4</v>
      </c>
      <c r="G152" s="4">
        <v>0.46076388888888903</v>
      </c>
      <c r="H152" s="4"/>
      <c r="I152" s="4"/>
      <c r="J152" s="4"/>
      <c r="K152" s="4" t="s">
        <v>394</v>
      </c>
      <c r="L152" s="4" t="s">
        <v>81</v>
      </c>
      <c r="M152" s="4" t="s">
        <v>6939</v>
      </c>
      <c r="N152" s="4"/>
      <c r="O152" s="4" t="s">
        <v>6878</v>
      </c>
      <c r="P152" s="4" t="s">
        <v>128</v>
      </c>
      <c r="Q152" s="4"/>
      <c r="R152" s="4"/>
      <c r="S152" s="4"/>
      <c r="T152" s="4"/>
      <c r="U152" s="4">
        <v>1.0</v>
      </c>
      <c r="V152" s="4"/>
      <c r="W152" s="4"/>
      <c r="X152" s="4"/>
      <c r="Y152" s="4"/>
      <c r="Z152" s="4"/>
      <c r="AA152" s="4"/>
    </row>
    <row r="153">
      <c r="A153" s="4" t="s">
        <v>7104</v>
      </c>
      <c r="B153" s="4" t="s">
        <v>14</v>
      </c>
      <c r="C153" s="4" t="s">
        <v>7070</v>
      </c>
      <c r="D153" s="4">
        <v>44006.0</v>
      </c>
      <c r="E153" s="4">
        <v>0.46076388888888903</v>
      </c>
      <c r="F153" s="4">
        <v>0.008333333333333333</v>
      </c>
      <c r="G153" s="4">
        <v>0.4690972222222224</v>
      </c>
      <c r="H153" s="4"/>
      <c r="I153" s="4"/>
      <c r="J153" s="4"/>
      <c r="K153" s="4"/>
      <c r="L153" s="4" t="s">
        <v>248</v>
      </c>
      <c r="M153" s="4"/>
      <c r="N153" s="4"/>
      <c r="O153" s="4" t="s">
        <v>249</v>
      </c>
      <c r="P153" s="4" t="s">
        <v>69</v>
      </c>
      <c r="Q153" s="4"/>
      <c r="R153" s="4"/>
      <c r="S153" s="4"/>
      <c r="T153" s="4"/>
      <c r="U153" s="4"/>
      <c r="V153" s="4"/>
      <c r="W153" s="4"/>
      <c r="X153" s="4"/>
      <c r="Y153" s="4"/>
      <c r="Z153" s="4"/>
      <c r="AA153" s="4"/>
    </row>
    <row r="154">
      <c r="A154" s="4" t="s">
        <v>7105</v>
      </c>
      <c r="B154" s="4" t="s">
        <v>14</v>
      </c>
      <c r="C154" s="4" t="s">
        <v>7070</v>
      </c>
      <c r="D154" s="4">
        <v>44006.0</v>
      </c>
      <c r="E154" s="4">
        <v>0.4690972222222224</v>
      </c>
      <c r="F154" s="4">
        <v>1.7361111111111112E-4</v>
      </c>
      <c r="G154" s="4">
        <v>0.4692708333333335</v>
      </c>
      <c r="H154" s="4"/>
      <c r="I154" s="4"/>
      <c r="J154" s="4"/>
      <c r="K154" s="4"/>
      <c r="L154" s="4" t="s">
        <v>85</v>
      </c>
      <c r="M154" s="4" t="s">
        <v>1944</v>
      </c>
      <c r="N154" s="4"/>
      <c r="O154" s="4" t="s">
        <v>7077</v>
      </c>
      <c r="P154" s="4" t="s">
        <v>128</v>
      </c>
      <c r="Q154" s="4"/>
      <c r="R154" s="4"/>
      <c r="S154" s="4"/>
      <c r="T154" s="4"/>
      <c r="U154" s="4">
        <v>1.0</v>
      </c>
      <c r="V154" s="4"/>
      <c r="W154" s="4"/>
      <c r="X154" s="4"/>
      <c r="Y154" s="4"/>
      <c r="Z154" s="4"/>
      <c r="AA154" s="4"/>
    </row>
    <row r="155">
      <c r="A155" s="4" t="s">
        <v>7106</v>
      </c>
      <c r="B155" s="4" t="s">
        <v>14</v>
      </c>
      <c r="C155" s="4" t="s">
        <v>7070</v>
      </c>
      <c r="D155" s="4">
        <v>44006.0</v>
      </c>
      <c r="E155" s="4">
        <v>0.4692708333333335</v>
      </c>
      <c r="F155" s="4">
        <v>3.4722222222222224E-4</v>
      </c>
      <c r="G155" s="4">
        <v>0.46961805555555575</v>
      </c>
      <c r="H155" s="4"/>
      <c r="I155" s="4"/>
      <c r="J155" s="4"/>
      <c r="K155" s="4" t="s">
        <v>394</v>
      </c>
      <c r="L155" s="4" t="s">
        <v>81</v>
      </c>
      <c r="M155" s="4" t="s">
        <v>6939</v>
      </c>
      <c r="N155" s="4"/>
      <c r="O155" s="4" t="s">
        <v>6878</v>
      </c>
      <c r="P155" s="4" t="s">
        <v>128</v>
      </c>
      <c r="Q155" s="4"/>
      <c r="R155" s="4"/>
      <c r="S155" s="4"/>
      <c r="T155" s="4"/>
      <c r="U155" s="4">
        <v>1.0</v>
      </c>
      <c r="V155" s="4"/>
      <c r="W155" s="4"/>
      <c r="X155" s="4"/>
      <c r="Y155" s="4"/>
      <c r="Z155" s="4"/>
      <c r="AA155" s="4"/>
    </row>
    <row r="156">
      <c r="A156" s="4" t="s">
        <v>7107</v>
      </c>
      <c r="B156" s="4" t="s">
        <v>14</v>
      </c>
      <c r="C156" s="4" t="s">
        <v>7070</v>
      </c>
      <c r="D156" s="4">
        <v>44006.0</v>
      </c>
      <c r="E156" s="4">
        <v>0.46961805555555575</v>
      </c>
      <c r="F156" s="4">
        <v>0.0020833333333333333</v>
      </c>
      <c r="G156" s="4">
        <v>0.4717013888888891</v>
      </c>
      <c r="H156" s="4"/>
      <c r="I156" s="4"/>
      <c r="J156" s="4"/>
      <c r="K156" s="4"/>
      <c r="L156" s="4" t="s">
        <v>83</v>
      </c>
      <c r="M156" s="4"/>
      <c r="N156" s="4"/>
      <c r="O156" s="4" t="s">
        <v>7108</v>
      </c>
      <c r="P156" s="4"/>
      <c r="Q156" s="4"/>
      <c r="R156" s="4"/>
      <c r="S156" s="4"/>
      <c r="T156" s="4"/>
      <c r="U156" s="4">
        <v>0.0</v>
      </c>
      <c r="V156" s="4"/>
      <c r="W156" s="4"/>
      <c r="X156" s="4"/>
      <c r="Y156" s="4"/>
      <c r="Z156" s="4"/>
      <c r="AA156" s="4"/>
    </row>
    <row r="157">
      <c r="A157" s="4" t="s">
        <v>7109</v>
      </c>
      <c r="B157" s="4" t="s">
        <v>14</v>
      </c>
      <c r="C157" s="4" t="s">
        <v>7070</v>
      </c>
      <c r="D157" s="4">
        <v>44006.0</v>
      </c>
      <c r="E157" s="4">
        <v>0.4717013888888891</v>
      </c>
      <c r="F157" s="4">
        <v>1.7361111111111112E-4</v>
      </c>
      <c r="G157" s="4">
        <v>0.4718750000000002</v>
      </c>
      <c r="H157" s="4"/>
      <c r="I157" s="4"/>
      <c r="J157" s="4"/>
      <c r="K157" s="4"/>
      <c r="L157" s="4" t="s">
        <v>471</v>
      </c>
      <c r="M157" s="4" t="s">
        <v>1944</v>
      </c>
      <c r="N157" s="4"/>
      <c r="O157" s="4" t="s">
        <v>7083</v>
      </c>
      <c r="P157" s="4"/>
      <c r="Q157" s="4"/>
      <c r="R157" s="4"/>
      <c r="S157" s="4"/>
      <c r="T157" s="4" t="s">
        <v>361</v>
      </c>
      <c r="U157" s="4">
        <v>1.0</v>
      </c>
      <c r="V157" s="4"/>
      <c r="W157" s="4"/>
      <c r="X157" s="4"/>
      <c r="Y157" s="4"/>
      <c r="Z157" s="4"/>
      <c r="AA157" s="4"/>
    </row>
    <row r="158">
      <c r="A158" s="4" t="s">
        <v>7110</v>
      </c>
      <c r="B158" s="4" t="s">
        <v>14</v>
      </c>
      <c r="C158" s="4" t="s">
        <v>7070</v>
      </c>
      <c r="D158" s="4">
        <v>44006.0</v>
      </c>
      <c r="E158" s="4">
        <v>0.4718750000000002</v>
      </c>
      <c r="F158" s="4">
        <v>1.7361111111111112E-4</v>
      </c>
      <c r="G158" s="4">
        <v>0.47204861111111135</v>
      </c>
      <c r="H158" s="4"/>
      <c r="I158" s="4"/>
      <c r="J158" s="4"/>
      <c r="K158" s="4"/>
      <c r="L158" s="4" t="s">
        <v>89</v>
      </c>
      <c r="M158" s="4" t="s">
        <v>1944</v>
      </c>
      <c r="N158" s="4"/>
      <c r="O158" s="4" t="s">
        <v>370</v>
      </c>
      <c r="P158" s="4"/>
      <c r="Q158" s="4"/>
      <c r="R158" s="4"/>
      <c r="S158" s="4"/>
      <c r="T158" s="4"/>
      <c r="U158" s="4">
        <v>0.0</v>
      </c>
      <c r="V158" s="4"/>
      <c r="W158" s="4"/>
      <c r="X158" s="4"/>
      <c r="Y158" s="4"/>
      <c r="Z158" s="4"/>
      <c r="AA158" s="4"/>
    </row>
    <row r="159">
      <c r="A159" s="4" t="s">
        <v>7111</v>
      </c>
      <c r="B159" s="4" t="s">
        <v>14</v>
      </c>
      <c r="C159" s="4" t="s">
        <v>7070</v>
      </c>
      <c r="D159" s="4">
        <v>44006.0</v>
      </c>
      <c r="E159" s="4">
        <v>0.47204861111111135</v>
      </c>
      <c r="F159" s="4">
        <v>3.4722222222222224E-4</v>
      </c>
      <c r="G159" s="4">
        <v>0.47239583333333357</v>
      </c>
      <c r="H159" s="4"/>
      <c r="I159" s="4"/>
      <c r="J159" s="4"/>
      <c r="K159" s="4"/>
      <c r="L159" s="4" t="s">
        <v>81</v>
      </c>
      <c r="M159" s="4" t="s">
        <v>6923</v>
      </c>
      <c r="N159" s="4"/>
      <c r="O159" s="4" t="s">
        <v>6878</v>
      </c>
      <c r="P159" s="4" t="s">
        <v>92</v>
      </c>
      <c r="Q159" s="4"/>
      <c r="R159" s="4"/>
      <c r="S159" s="4"/>
      <c r="T159" s="4"/>
      <c r="U159" s="4">
        <v>1.0</v>
      </c>
      <c r="V159" s="4"/>
      <c r="W159" s="4"/>
      <c r="X159" s="4"/>
      <c r="Y159" s="4"/>
      <c r="Z159" s="4"/>
      <c r="AA159" s="4"/>
    </row>
    <row r="160">
      <c r="A160" s="4" t="s">
        <v>7112</v>
      </c>
      <c r="B160" s="4" t="s">
        <v>14</v>
      </c>
      <c r="C160" s="4" t="s">
        <v>7070</v>
      </c>
      <c r="D160" s="4">
        <v>44006.0</v>
      </c>
      <c r="E160" s="4">
        <v>0.47239583333333357</v>
      </c>
      <c r="F160" s="4">
        <v>0.010416666666666666</v>
      </c>
      <c r="G160" s="4">
        <v>0.48281250000000026</v>
      </c>
      <c r="H160" s="4" t="s">
        <v>630</v>
      </c>
      <c r="I160" s="4" t="s">
        <v>4142</v>
      </c>
      <c r="J160" s="4" t="s">
        <v>15</v>
      </c>
      <c r="K160" s="4"/>
      <c r="L160" s="4" t="s">
        <v>74</v>
      </c>
      <c r="M160" s="4" t="s">
        <v>6918</v>
      </c>
      <c r="N160" s="4" t="s">
        <v>6749</v>
      </c>
      <c r="O160" s="4" t="s">
        <v>197</v>
      </c>
      <c r="P160" s="4" t="s">
        <v>7113</v>
      </c>
      <c r="Q160" s="4" t="s">
        <v>199</v>
      </c>
      <c r="R160" s="4"/>
      <c r="S160" s="4"/>
      <c r="T160" s="4" t="s">
        <v>201</v>
      </c>
      <c r="U160" s="4">
        <v>3.0</v>
      </c>
      <c r="V160" s="4" t="s">
        <v>7114</v>
      </c>
      <c r="W160" s="4" t="s">
        <v>7115</v>
      </c>
      <c r="X160" s="4"/>
      <c r="Y160" s="4"/>
      <c r="Z160" s="4" t="s">
        <v>630</v>
      </c>
      <c r="AA160" s="4"/>
    </row>
    <row r="161">
      <c r="A161" s="4" t="s">
        <v>7116</v>
      </c>
      <c r="B161" s="4" t="s">
        <v>14</v>
      </c>
      <c r="C161" s="4" t="s">
        <v>7070</v>
      </c>
      <c r="D161" s="4">
        <v>44006.0</v>
      </c>
      <c r="E161" s="4">
        <v>0.48281250000000026</v>
      </c>
      <c r="F161" s="4">
        <v>1.7361111111111112E-4</v>
      </c>
      <c r="G161" s="4">
        <v>0.4829861111111114</v>
      </c>
      <c r="H161" s="4"/>
      <c r="I161" s="4"/>
      <c r="J161" s="4"/>
      <c r="K161" s="4"/>
      <c r="L161" s="4" t="s">
        <v>85</v>
      </c>
      <c r="M161" s="4" t="s">
        <v>1944</v>
      </c>
      <c r="N161" s="4"/>
      <c r="O161" s="4" t="s">
        <v>7077</v>
      </c>
      <c r="P161" s="4" t="s">
        <v>128</v>
      </c>
      <c r="Q161" s="4"/>
      <c r="R161" s="4"/>
      <c r="S161" s="4"/>
      <c r="T161" s="4"/>
      <c r="U161" s="4">
        <v>1.0</v>
      </c>
      <c r="V161" s="4"/>
      <c r="W161" s="4"/>
      <c r="X161" s="4"/>
      <c r="Y161" s="4"/>
      <c r="Z161" s="4"/>
      <c r="AA161" s="4"/>
    </row>
    <row r="162">
      <c r="A162" s="4" t="s">
        <v>7117</v>
      </c>
      <c r="B162" s="4" t="s">
        <v>14</v>
      </c>
      <c r="C162" s="4" t="s">
        <v>7070</v>
      </c>
      <c r="D162" s="4">
        <v>44006.0</v>
      </c>
      <c r="E162" s="4">
        <v>0.4829861111111114</v>
      </c>
      <c r="F162" s="4">
        <v>3.4722222222222224E-4</v>
      </c>
      <c r="G162" s="4">
        <v>0.4833333333333336</v>
      </c>
      <c r="H162" s="4"/>
      <c r="I162" s="4"/>
      <c r="J162" s="4"/>
      <c r="K162" s="4"/>
      <c r="L162" s="4" t="s">
        <v>81</v>
      </c>
      <c r="M162" s="4" t="s">
        <v>6923</v>
      </c>
      <c r="N162" s="4"/>
      <c r="O162" s="4" t="s">
        <v>91</v>
      </c>
      <c r="P162" s="4" t="s">
        <v>128</v>
      </c>
      <c r="Q162" s="4"/>
      <c r="R162" s="4"/>
      <c r="S162" s="4"/>
      <c r="T162" s="4"/>
      <c r="U162" s="4">
        <v>1.0</v>
      </c>
      <c r="V162" s="4"/>
      <c r="W162" s="4"/>
      <c r="X162" s="4"/>
      <c r="Y162" s="4"/>
      <c r="Z162" s="4"/>
      <c r="AA162" s="4"/>
    </row>
    <row r="163">
      <c r="A163" s="4" t="s">
        <v>7118</v>
      </c>
      <c r="B163" s="4" t="s">
        <v>14</v>
      </c>
      <c r="C163" s="4" t="s">
        <v>7070</v>
      </c>
      <c r="D163" s="4">
        <v>44006.0</v>
      </c>
      <c r="E163" s="4">
        <v>0.4833333333333336</v>
      </c>
      <c r="F163" s="4">
        <v>0.006944444444444444</v>
      </c>
      <c r="G163" s="4">
        <v>0.49027777777777803</v>
      </c>
      <c r="H163" s="4" t="s">
        <v>1253</v>
      </c>
      <c r="I163" s="4"/>
      <c r="J163" s="4" t="s">
        <v>6938</v>
      </c>
      <c r="K163" s="4" t="s">
        <v>106</v>
      </c>
      <c r="L163" s="4" t="s">
        <v>165</v>
      </c>
      <c r="M163" s="4" t="s">
        <v>7119</v>
      </c>
      <c r="N163" s="4" t="s">
        <v>6720</v>
      </c>
      <c r="O163" s="4" t="s">
        <v>7120</v>
      </c>
      <c r="P163" s="4" t="s">
        <v>1247</v>
      </c>
      <c r="Q163" s="4"/>
      <c r="R163" s="4"/>
      <c r="S163" s="4"/>
      <c r="T163" s="4"/>
      <c r="U163" s="4">
        <v>1.0</v>
      </c>
      <c r="V163" s="4" t="s">
        <v>7121</v>
      </c>
      <c r="W163" s="4" t="s">
        <v>6890</v>
      </c>
      <c r="X163" s="4">
        <v>43958.0</v>
      </c>
      <c r="Y163" s="4" t="s">
        <v>7122</v>
      </c>
      <c r="Z163" s="4" t="s">
        <v>1253</v>
      </c>
      <c r="AA163" s="4"/>
    </row>
    <row r="164">
      <c r="A164" s="4" t="s">
        <v>7123</v>
      </c>
      <c r="B164" s="4" t="s">
        <v>14</v>
      </c>
      <c r="C164" s="4" t="s">
        <v>7070</v>
      </c>
      <c r="D164" s="4">
        <v>44006.0</v>
      </c>
      <c r="E164" s="4">
        <v>0.49027777777777803</v>
      </c>
      <c r="F164" s="4">
        <v>1.7361111111111112E-4</v>
      </c>
      <c r="G164" s="4">
        <v>0.4904513888888892</v>
      </c>
      <c r="H164" s="4"/>
      <c r="I164" s="4"/>
      <c r="J164" s="4"/>
      <c r="K164" s="4"/>
      <c r="L164" s="4" t="s">
        <v>81</v>
      </c>
      <c r="M164" s="4" t="s">
        <v>1944</v>
      </c>
      <c r="N164" s="4"/>
      <c r="O164" s="4" t="s">
        <v>6878</v>
      </c>
      <c r="P164" s="4" t="s">
        <v>69</v>
      </c>
      <c r="Q164" s="4"/>
      <c r="R164" s="4"/>
      <c r="S164" s="4"/>
      <c r="T164" s="4"/>
      <c r="U164" s="4">
        <v>1.0</v>
      </c>
      <c r="V164" s="4"/>
      <c r="W164" s="4"/>
      <c r="X164" s="4" t="s">
        <v>314</v>
      </c>
      <c r="Y164" s="4"/>
      <c r="Z164" s="4"/>
      <c r="AA164" s="4"/>
    </row>
    <row r="165">
      <c r="A165" s="4" t="s">
        <v>7124</v>
      </c>
      <c r="B165" s="4" t="s">
        <v>14</v>
      </c>
      <c r="C165" s="4" t="s">
        <v>7070</v>
      </c>
      <c r="D165" s="4">
        <v>44006.0</v>
      </c>
      <c r="E165" s="4">
        <v>0.4904513888888892</v>
      </c>
      <c r="F165" s="4">
        <v>3.4722222222222224E-4</v>
      </c>
      <c r="G165" s="4">
        <v>0.4907986111111114</v>
      </c>
      <c r="H165" s="4"/>
      <c r="I165" s="4"/>
      <c r="J165" s="4"/>
      <c r="K165" s="4"/>
      <c r="L165" s="4" t="s">
        <v>81</v>
      </c>
      <c r="M165" s="4" t="s">
        <v>6923</v>
      </c>
      <c r="N165" s="4"/>
      <c r="O165" s="4" t="s">
        <v>6878</v>
      </c>
      <c r="P165" s="4" t="s">
        <v>105</v>
      </c>
      <c r="Q165" s="4"/>
      <c r="R165" s="4"/>
      <c r="S165" s="4"/>
      <c r="T165" s="4"/>
      <c r="U165" s="4">
        <v>1.0</v>
      </c>
      <c r="V165" s="4"/>
      <c r="W165" s="4"/>
      <c r="X165" s="4"/>
      <c r="Y165" s="4"/>
      <c r="Z165" s="4"/>
      <c r="AA165" s="4"/>
    </row>
    <row r="166">
      <c r="A166" s="4" t="s">
        <v>7125</v>
      </c>
      <c r="B166" s="4" t="s">
        <v>14</v>
      </c>
      <c r="C166" s="4" t="s">
        <v>7070</v>
      </c>
      <c r="D166" s="4">
        <v>44006.0</v>
      </c>
      <c r="E166" s="4">
        <v>0.4907986111111114</v>
      </c>
      <c r="F166" s="4">
        <v>0.009027777777777777</v>
      </c>
      <c r="G166" s="4">
        <v>0.4998263888888892</v>
      </c>
      <c r="H166" s="4" t="s">
        <v>972</v>
      </c>
      <c r="I166" s="4" t="s">
        <v>4142</v>
      </c>
      <c r="J166" s="4" t="s">
        <v>6938</v>
      </c>
      <c r="K166" s="4" t="s">
        <v>93</v>
      </c>
      <c r="L166" s="4" t="s">
        <v>107</v>
      </c>
      <c r="M166" s="4" t="s">
        <v>7126</v>
      </c>
      <c r="N166" s="4" t="s">
        <v>6858</v>
      </c>
      <c r="O166" s="4" t="s">
        <v>1268</v>
      </c>
      <c r="P166" s="4" t="s">
        <v>765</v>
      </c>
      <c r="Q166" s="4" t="s">
        <v>1263</v>
      </c>
      <c r="R166" s="4"/>
      <c r="S166" s="4"/>
      <c r="T166" s="4" t="s">
        <v>1264</v>
      </c>
      <c r="U166" s="4">
        <v>3.0</v>
      </c>
      <c r="V166" s="4" t="s">
        <v>7127</v>
      </c>
      <c r="W166" s="4" t="s">
        <v>6920</v>
      </c>
      <c r="X166" s="4" t="s">
        <v>7128</v>
      </c>
      <c r="Y166" s="4"/>
      <c r="Z166" s="4"/>
      <c r="AA166" s="4"/>
    </row>
    <row r="167">
      <c r="A167" s="4" t="s">
        <v>7129</v>
      </c>
      <c r="B167" s="4" t="s">
        <v>14</v>
      </c>
      <c r="C167" s="4" t="s">
        <v>7070</v>
      </c>
      <c r="D167" s="4">
        <v>44006.0</v>
      </c>
      <c r="E167" s="4">
        <v>0.4998263888888892</v>
      </c>
      <c r="F167" s="4">
        <v>1.7361111111111112E-4</v>
      </c>
      <c r="G167" s="4">
        <v>0.5000000000000003</v>
      </c>
      <c r="H167" s="4"/>
      <c r="I167" s="4"/>
      <c r="J167" s="4"/>
      <c r="K167" s="4"/>
      <c r="L167" s="4" t="s">
        <v>85</v>
      </c>
      <c r="M167" s="4" t="s">
        <v>1944</v>
      </c>
      <c r="N167" s="4"/>
      <c r="O167" s="4" t="s">
        <v>7077</v>
      </c>
      <c r="P167" s="4" t="s">
        <v>128</v>
      </c>
      <c r="Q167" s="4"/>
      <c r="R167" s="4"/>
      <c r="S167" s="4"/>
      <c r="T167" s="4"/>
      <c r="U167" s="4">
        <v>1.0</v>
      </c>
      <c r="V167" s="4"/>
      <c r="W167" s="4"/>
      <c r="X167" s="4"/>
      <c r="Y167" s="4"/>
      <c r="Z167" s="4"/>
      <c r="AA167" s="4"/>
    </row>
    <row r="168">
      <c r="A168" s="4" t="s">
        <v>7130</v>
      </c>
      <c r="B168" s="4" t="s">
        <v>14</v>
      </c>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t="s">
        <v>7131</v>
      </c>
      <c r="B169" s="4" t="s">
        <v>14</v>
      </c>
      <c r="C169" s="4" t="s">
        <v>7070</v>
      </c>
      <c r="D169" s="4">
        <v>44006.0</v>
      </c>
      <c r="E169" s="4">
        <v>0.5000000000000003</v>
      </c>
      <c r="F169" s="4">
        <v>0.001388888888888889</v>
      </c>
      <c r="G169" s="4">
        <v>0.5013888888888892</v>
      </c>
      <c r="H169" s="4"/>
      <c r="I169" s="4"/>
      <c r="J169" s="4"/>
      <c r="K169" s="4"/>
      <c r="L169" s="4" t="s">
        <v>103</v>
      </c>
      <c r="M169" s="4" t="s">
        <v>6923</v>
      </c>
      <c r="N169" s="4"/>
      <c r="O169" s="4" t="s">
        <v>6915</v>
      </c>
      <c r="P169" s="4" t="s">
        <v>92</v>
      </c>
      <c r="Q169" s="4"/>
      <c r="R169" s="4"/>
      <c r="S169" s="4"/>
      <c r="T169" s="4"/>
      <c r="U169" s="4">
        <v>1.0</v>
      </c>
      <c r="V169" s="4"/>
      <c r="W169" s="4"/>
      <c r="X169" s="4"/>
      <c r="Y169" s="4"/>
      <c r="Z169" s="4"/>
      <c r="AA169" s="4"/>
    </row>
    <row r="170">
      <c r="A170" s="4" t="s">
        <v>7132</v>
      </c>
      <c r="B170" s="4" t="s">
        <v>14</v>
      </c>
      <c r="C170" s="4" t="s">
        <v>7070</v>
      </c>
      <c r="D170" s="4">
        <v>44006.0</v>
      </c>
      <c r="E170" s="4">
        <v>0.5013888888888892</v>
      </c>
      <c r="F170" s="4">
        <v>3.4722222222222224E-4</v>
      </c>
      <c r="G170" s="4">
        <v>0.5017361111111115</v>
      </c>
      <c r="H170" s="4"/>
      <c r="I170" s="4"/>
      <c r="J170" s="4"/>
      <c r="K170" s="4"/>
      <c r="L170" s="4" t="s">
        <v>81</v>
      </c>
      <c r="M170" s="4" t="s">
        <v>6923</v>
      </c>
      <c r="N170" s="4"/>
      <c r="O170" s="4" t="s">
        <v>6878</v>
      </c>
      <c r="P170" s="4" t="s">
        <v>92</v>
      </c>
      <c r="Q170" s="4"/>
      <c r="R170" s="4"/>
      <c r="S170" s="4"/>
      <c r="T170" s="4"/>
      <c r="U170" s="4">
        <v>1.0</v>
      </c>
      <c r="V170" s="4"/>
      <c r="W170" s="4"/>
      <c r="X170" s="4"/>
      <c r="Y170" s="4"/>
      <c r="Z170" s="4"/>
      <c r="AA170" s="4"/>
    </row>
    <row r="171">
      <c r="A171" s="4" t="s">
        <v>7133</v>
      </c>
      <c r="B171" s="4" t="s">
        <v>14</v>
      </c>
      <c r="C171" s="4" t="s">
        <v>7070</v>
      </c>
      <c r="D171" s="4">
        <v>44006.0</v>
      </c>
      <c r="E171" s="4">
        <v>0.5017361111111115</v>
      </c>
      <c r="F171" s="4">
        <v>0.008333333333333333</v>
      </c>
      <c r="G171" s="4">
        <v>0.5100694444444448</v>
      </c>
      <c r="H171" s="4" t="s">
        <v>860</v>
      </c>
      <c r="I171" s="4" t="s">
        <v>6993</v>
      </c>
      <c r="J171" s="4" t="s">
        <v>6938</v>
      </c>
      <c r="K171" s="4" t="s">
        <v>280</v>
      </c>
      <c r="L171" s="4" t="s">
        <v>107</v>
      </c>
      <c r="M171" s="4" t="s">
        <v>6918</v>
      </c>
      <c r="N171" s="4" t="s">
        <v>6749</v>
      </c>
      <c r="O171" s="4" t="s">
        <v>303</v>
      </c>
      <c r="P171" s="4" t="s">
        <v>304</v>
      </c>
      <c r="Q171" s="4" t="s">
        <v>361</v>
      </c>
      <c r="R171" s="4"/>
      <c r="S171" s="4"/>
      <c r="T171" s="4" t="s">
        <v>7134</v>
      </c>
      <c r="U171" s="4">
        <v>3.0</v>
      </c>
      <c r="V171" s="4" t="s">
        <v>7135</v>
      </c>
      <c r="W171" s="4" t="s">
        <v>7136</v>
      </c>
      <c r="X171" s="4"/>
      <c r="Y171" s="4"/>
      <c r="Z171" s="4"/>
      <c r="AA171" s="4"/>
    </row>
    <row r="172">
      <c r="A172" s="4" t="s">
        <v>7137</v>
      </c>
      <c r="B172" s="4" t="s">
        <v>14</v>
      </c>
      <c r="C172" s="4" t="s">
        <v>7070</v>
      </c>
      <c r="D172" s="4">
        <v>44006.0</v>
      </c>
      <c r="E172" s="4">
        <v>0.5100694444444448</v>
      </c>
      <c r="F172" s="4">
        <v>1.7361111111111112E-4</v>
      </c>
      <c r="G172" s="4">
        <v>0.5102430555555559</v>
      </c>
      <c r="H172" s="4"/>
      <c r="I172" s="4"/>
      <c r="J172" s="4"/>
      <c r="K172" s="4"/>
      <c r="L172" s="4" t="s">
        <v>85</v>
      </c>
      <c r="M172" s="4" t="s">
        <v>1944</v>
      </c>
      <c r="N172" s="4"/>
      <c r="O172" s="4" t="s">
        <v>7077</v>
      </c>
      <c r="P172" s="4"/>
      <c r="Q172" s="4"/>
      <c r="R172" s="4"/>
      <c r="S172" s="4"/>
      <c r="T172" s="4"/>
      <c r="U172" s="4">
        <v>0.0</v>
      </c>
      <c r="V172" s="4"/>
      <c r="W172" s="4"/>
      <c r="X172" s="4"/>
      <c r="Y172" s="4"/>
      <c r="Z172" s="4"/>
      <c r="AA172" s="4"/>
    </row>
    <row r="173">
      <c r="A173" s="4" t="s">
        <v>7138</v>
      </c>
      <c r="B173" s="4" t="s">
        <v>14</v>
      </c>
      <c r="C173" s="4" t="s">
        <v>7070</v>
      </c>
      <c r="D173" s="4">
        <v>44006.0</v>
      </c>
      <c r="E173" s="4">
        <v>0.5102430555555559</v>
      </c>
      <c r="F173" s="4">
        <v>3.4722222222222224E-4</v>
      </c>
      <c r="G173" s="4">
        <v>0.5105902777777782</v>
      </c>
      <c r="H173" s="4"/>
      <c r="I173" s="4"/>
      <c r="J173" s="4"/>
      <c r="K173" s="4"/>
      <c r="L173" s="4" t="s">
        <v>81</v>
      </c>
      <c r="M173" s="4" t="s">
        <v>6923</v>
      </c>
      <c r="N173" s="4"/>
      <c r="O173" s="4" t="s">
        <v>6878</v>
      </c>
      <c r="P173" s="4"/>
      <c r="Q173" s="4"/>
      <c r="R173" s="4"/>
      <c r="S173" s="4"/>
      <c r="T173" s="4"/>
      <c r="U173" s="4">
        <v>0.0</v>
      </c>
      <c r="V173" s="4"/>
      <c r="W173" s="4"/>
      <c r="X173" s="4"/>
      <c r="Y173" s="4"/>
      <c r="Z173" s="4"/>
      <c r="AA173" s="4"/>
    </row>
    <row r="174">
      <c r="A174" s="4" t="s">
        <v>7139</v>
      </c>
      <c r="B174" s="4" t="s">
        <v>14</v>
      </c>
      <c r="C174" s="4" t="s">
        <v>7070</v>
      </c>
      <c r="D174" s="4">
        <v>44006.0</v>
      </c>
      <c r="E174" s="4">
        <v>0.5105902777777782</v>
      </c>
      <c r="F174" s="4">
        <v>6.944444444444445E-4</v>
      </c>
      <c r="G174" s="4">
        <v>0.5112847222222227</v>
      </c>
      <c r="H174" s="4"/>
      <c r="I174" s="4"/>
      <c r="J174" s="4"/>
      <c r="K174" s="4"/>
      <c r="L174" s="4"/>
      <c r="M174" s="4"/>
      <c r="N174" s="4"/>
      <c r="O174" s="4" t="s">
        <v>370</v>
      </c>
      <c r="P174" s="4"/>
      <c r="Q174" s="4"/>
      <c r="R174" s="4"/>
      <c r="S174" s="4"/>
      <c r="T174" s="4"/>
      <c r="U174" s="4"/>
      <c r="V174" s="4"/>
      <c r="W174" s="4"/>
      <c r="X174" s="4"/>
      <c r="Y174" s="4"/>
      <c r="Z174" s="4"/>
      <c r="AA174" s="4"/>
    </row>
    <row r="175">
      <c r="A175" s="4" t="s">
        <v>7140</v>
      </c>
      <c r="B175" s="4" t="s">
        <v>14</v>
      </c>
      <c r="C175" s="4" t="s">
        <v>7070</v>
      </c>
      <c r="D175" s="4">
        <v>44006.0</v>
      </c>
      <c r="E175" s="4">
        <v>0.5112847222222227</v>
      </c>
      <c r="F175" s="4">
        <v>0.0020833333333333333</v>
      </c>
      <c r="G175" s="4">
        <v>0.513368055555556</v>
      </c>
      <c r="H175" s="4"/>
      <c r="I175" s="4"/>
      <c r="J175" s="4"/>
      <c r="K175" s="4"/>
      <c r="L175" s="4" t="s">
        <v>83</v>
      </c>
      <c r="M175" s="4"/>
      <c r="N175" s="4"/>
      <c r="O175" s="4" t="s">
        <v>7141</v>
      </c>
      <c r="P175" s="4"/>
      <c r="Q175" s="4"/>
      <c r="R175" s="4"/>
      <c r="S175" s="4"/>
      <c r="T175" s="4"/>
      <c r="U175" s="4">
        <v>0.0</v>
      </c>
      <c r="V175" s="4"/>
      <c r="W175" s="4"/>
      <c r="X175" s="4"/>
      <c r="Y175" s="4"/>
      <c r="Z175" s="4"/>
      <c r="AA175" s="4"/>
    </row>
    <row r="176">
      <c r="A176" s="4" t="s">
        <v>7142</v>
      </c>
      <c r="B176" s="4" t="s">
        <v>14</v>
      </c>
      <c r="C176" s="4" t="s">
        <v>7070</v>
      </c>
      <c r="D176" s="4">
        <v>44006.0</v>
      </c>
      <c r="E176" s="4">
        <v>0.513368055555556</v>
      </c>
      <c r="F176" s="4">
        <v>1.7361111111111112E-4</v>
      </c>
      <c r="G176" s="4">
        <v>0.5135416666666671</v>
      </c>
      <c r="H176" s="4"/>
      <c r="I176" s="4"/>
      <c r="J176" s="4"/>
      <c r="K176" s="4"/>
      <c r="L176" s="4" t="s">
        <v>471</v>
      </c>
      <c r="M176" s="4" t="s">
        <v>1944</v>
      </c>
      <c r="N176" s="4"/>
      <c r="O176" s="4" t="s">
        <v>500</v>
      </c>
      <c r="P176" s="4" t="s">
        <v>69</v>
      </c>
      <c r="Q176" s="4"/>
      <c r="R176" s="4"/>
      <c r="S176" s="4"/>
      <c r="T176" s="4"/>
      <c r="U176" s="4">
        <v>1.0</v>
      </c>
      <c r="V176" s="4"/>
      <c r="W176" s="4"/>
      <c r="X176" s="4"/>
      <c r="Y176" s="4"/>
      <c r="Z176" s="4"/>
      <c r="AA176" s="4"/>
    </row>
    <row r="177">
      <c r="A177" s="4" t="s">
        <v>7143</v>
      </c>
      <c r="B177" s="4" t="s">
        <v>14</v>
      </c>
      <c r="C177" s="4" t="s">
        <v>7070</v>
      </c>
      <c r="D177" s="4">
        <v>44006.0</v>
      </c>
      <c r="E177" s="4">
        <v>0.5135416666666671</v>
      </c>
      <c r="F177" s="4">
        <v>6.944444444444445E-4</v>
      </c>
      <c r="G177" s="4">
        <v>0.5142361111111116</v>
      </c>
      <c r="H177" s="4"/>
      <c r="I177" s="4"/>
      <c r="J177" s="4"/>
      <c r="K177" s="4"/>
      <c r="L177" s="4"/>
      <c r="M177" s="4"/>
      <c r="N177" s="4"/>
      <c r="O177" s="4" t="s">
        <v>370</v>
      </c>
      <c r="P177" s="4"/>
      <c r="Q177" s="4"/>
      <c r="R177" s="4"/>
      <c r="S177" s="4"/>
      <c r="T177" s="4"/>
      <c r="U177" s="4"/>
      <c r="V177" s="4"/>
      <c r="W177" s="4"/>
      <c r="X177" s="4"/>
      <c r="Y177" s="4"/>
      <c r="Z177" s="4"/>
      <c r="AA177" s="4"/>
    </row>
    <row r="178">
      <c r="A178" s="4" t="s">
        <v>7144</v>
      </c>
      <c r="B178" s="4" t="s">
        <v>14</v>
      </c>
      <c r="C178" s="4" t="s">
        <v>7070</v>
      </c>
      <c r="D178" s="4">
        <v>44006.0</v>
      </c>
      <c r="E178" s="4">
        <v>0.5142361111111116</v>
      </c>
      <c r="F178" s="4">
        <v>3.4722222222222224E-4</v>
      </c>
      <c r="G178" s="4">
        <v>0.5145833333333338</v>
      </c>
      <c r="H178" s="4"/>
      <c r="I178" s="4"/>
      <c r="J178" s="4"/>
      <c r="K178" s="4"/>
      <c r="L178" s="4" t="s">
        <v>81</v>
      </c>
      <c r="M178" s="4" t="s">
        <v>6923</v>
      </c>
      <c r="N178" s="4"/>
      <c r="O178" s="4" t="s">
        <v>119</v>
      </c>
      <c r="P178" s="4" t="s">
        <v>92</v>
      </c>
      <c r="Q178" s="4"/>
      <c r="R178" s="4"/>
      <c r="S178" s="4"/>
      <c r="T178" s="4"/>
      <c r="U178" s="4">
        <v>1.0</v>
      </c>
      <c r="V178" s="4"/>
      <c r="W178" s="4"/>
      <c r="X178" s="4"/>
      <c r="Y178" s="4"/>
      <c r="Z178" s="4"/>
      <c r="AA178" s="4"/>
    </row>
    <row r="179">
      <c r="A179" s="4" t="s">
        <v>7145</v>
      </c>
      <c r="B179" s="4" t="s">
        <v>14</v>
      </c>
      <c r="C179" s="4" t="s">
        <v>7070</v>
      </c>
      <c r="D179" s="4">
        <v>44006.0</v>
      </c>
      <c r="E179" s="4">
        <v>0.5145833333333338</v>
      </c>
      <c r="F179" s="4">
        <v>0.013888888888888888</v>
      </c>
      <c r="G179" s="4">
        <v>0.5284722222222227</v>
      </c>
      <c r="H179" s="4" t="s">
        <v>847</v>
      </c>
      <c r="I179" s="4" t="s">
        <v>6947</v>
      </c>
      <c r="J179" s="4" t="s">
        <v>6853</v>
      </c>
      <c r="K179" s="4"/>
      <c r="L179" s="4" t="s">
        <v>107</v>
      </c>
      <c r="M179" s="4"/>
      <c r="N179" s="4"/>
      <c r="O179" s="4" t="s">
        <v>7146</v>
      </c>
      <c r="P179" s="4" t="s">
        <v>340</v>
      </c>
      <c r="Q179" s="4" t="s">
        <v>341</v>
      </c>
      <c r="R179" s="4"/>
      <c r="S179" s="4"/>
      <c r="T179" s="4" t="s">
        <v>270</v>
      </c>
      <c r="U179" s="4">
        <v>3.0</v>
      </c>
      <c r="V179" s="4" t="s">
        <v>7147</v>
      </c>
      <c r="W179" s="4" t="s">
        <v>6872</v>
      </c>
      <c r="X179" s="4" t="s">
        <v>7148</v>
      </c>
      <c r="Y179" s="4"/>
      <c r="Z179" s="4"/>
      <c r="AA179" s="4"/>
    </row>
    <row r="180">
      <c r="A180" s="4" t="s">
        <v>7149</v>
      </c>
      <c r="B180" s="4" t="s">
        <v>14</v>
      </c>
      <c r="C180" s="4" t="s">
        <v>7070</v>
      </c>
      <c r="D180" s="4">
        <v>44006.0</v>
      </c>
      <c r="E180" s="4">
        <v>0.5284722222222227</v>
      </c>
      <c r="F180" s="4">
        <v>1.7361111111111112E-4</v>
      </c>
      <c r="G180" s="4">
        <v>0.5286458333333338</v>
      </c>
      <c r="H180" s="4"/>
      <c r="I180" s="4"/>
      <c r="J180" s="4"/>
      <c r="K180" s="4"/>
      <c r="L180" s="4" t="s">
        <v>85</v>
      </c>
      <c r="M180" s="4" t="s">
        <v>1944</v>
      </c>
      <c r="N180" s="4"/>
      <c r="O180" s="4" t="s">
        <v>7077</v>
      </c>
      <c r="P180" s="4"/>
      <c r="Q180" s="4"/>
      <c r="R180" s="4"/>
      <c r="S180" s="4"/>
      <c r="T180" s="4"/>
      <c r="U180" s="4">
        <v>0.0</v>
      </c>
      <c r="V180" s="4"/>
      <c r="W180" s="4"/>
      <c r="X180" s="4"/>
      <c r="Y180" s="4"/>
      <c r="Z180" s="4"/>
      <c r="AA180" s="4"/>
    </row>
    <row r="181">
      <c r="A181" s="4" t="s">
        <v>7150</v>
      </c>
      <c r="B181" s="4" t="s">
        <v>14</v>
      </c>
      <c r="C181" s="4" t="s">
        <v>7070</v>
      </c>
      <c r="D181" s="4">
        <v>44006.0</v>
      </c>
      <c r="E181" s="4">
        <v>0.5286458333333338</v>
      </c>
      <c r="F181" s="4">
        <v>3.4722222222222224E-4</v>
      </c>
      <c r="G181" s="4">
        <v>0.5289930555555561</v>
      </c>
      <c r="H181" s="4"/>
      <c r="I181" s="4"/>
      <c r="J181" s="4"/>
      <c r="K181" s="4"/>
      <c r="L181" s="4" t="s">
        <v>81</v>
      </c>
      <c r="M181" s="4" t="s">
        <v>6923</v>
      </c>
      <c r="N181" s="4"/>
      <c r="O181" s="4" t="s">
        <v>119</v>
      </c>
      <c r="P181" s="4"/>
      <c r="Q181" s="4"/>
      <c r="R181" s="4"/>
      <c r="S181" s="4"/>
      <c r="T181" s="4"/>
      <c r="U181" s="4"/>
      <c r="V181" s="4"/>
      <c r="W181" s="4"/>
      <c r="X181" s="4"/>
      <c r="Y181" s="4"/>
      <c r="Z181" s="4"/>
      <c r="AA181" s="4"/>
    </row>
    <row r="182">
      <c r="A182" s="4" t="s">
        <v>7151</v>
      </c>
      <c r="B182" s="4" t="s">
        <v>14</v>
      </c>
      <c r="C182" s="4" t="s">
        <v>7070</v>
      </c>
      <c r="D182" s="4">
        <v>44006.0</v>
      </c>
      <c r="E182" s="4">
        <v>0.5286458333333338</v>
      </c>
      <c r="F182" s="4">
        <v>0.009722222222222222</v>
      </c>
      <c r="G182" s="4">
        <v>0.538368055555556</v>
      </c>
      <c r="H182" s="4" t="s">
        <v>1215</v>
      </c>
      <c r="I182" s="4"/>
      <c r="J182" s="4"/>
      <c r="K182" s="4"/>
      <c r="L182" s="4" t="s">
        <v>248</v>
      </c>
      <c r="M182" s="4" t="s">
        <v>1944</v>
      </c>
      <c r="N182" s="4"/>
      <c r="O182" s="4" t="s">
        <v>288</v>
      </c>
      <c r="P182" s="4" t="s">
        <v>69</v>
      </c>
      <c r="Q182" s="4"/>
      <c r="R182" s="4"/>
      <c r="S182" s="4"/>
      <c r="T182" s="4"/>
      <c r="U182" s="4">
        <v>1.0</v>
      </c>
      <c r="V182" s="4"/>
      <c r="W182" s="4"/>
      <c r="X182" s="4" t="s">
        <v>314</v>
      </c>
      <c r="Y182" s="4"/>
      <c r="Z182" s="4"/>
      <c r="AA182" s="4"/>
    </row>
    <row r="183">
      <c r="A183" s="4" t="s">
        <v>7152</v>
      </c>
      <c r="B183" s="4" t="s">
        <v>14</v>
      </c>
      <c r="C183" s="4" t="s">
        <v>7070</v>
      </c>
      <c r="D183" s="4">
        <v>44006.0</v>
      </c>
      <c r="E183" s="4">
        <v>0.538368055555556</v>
      </c>
      <c r="F183" s="4">
        <v>1.7361111111111112E-4</v>
      </c>
      <c r="G183" s="4">
        <v>0.5385416666666671</v>
      </c>
      <c r="H183" s="4"/>
      <c r="I183" s="4"/>
      <c r="J183" s="4"/>
      <c r="K183" s="4"/>
      <c r="L183" s="4" t="s">
        <v>85</v>
      </c>
      <c r="M183" s="4" t="s">
        <v>1944</v>
      </c>
      <c r="N183" s="4"/>
      <c r="O183" s="4" t="s">
        <v>7077</v>
      </c>
      <c r="P183" s="4"/>
      <c r="Q183" s="4"/>
      <c r="R183" s="4"/>
      <c r="S183" s="4"/>
      <c r="T183" s="4"/>
      <c r="U183" s="4"/>
      <c r="V183" s="4"/>
      <c r="W183" s="4"/>
      <c r="X183" s="4"/>
      <c r="Y183" s="4"/>
      <c r="Z183" s="4"/>
      <c r="AA183" s="4"/>
    </row>
    <row r="184">
      <c r="A184" s="4" t="s">
        <v>7153</v>
      </c>
      <c r="B184" s="4" t="s">
        <v>14</v>
      </c>
      <c r="C184" s="4" t="s">
        <v>7070</v>
      </c>
      <c r="D184" s="4">
        <v>44006.0</v>
      </c>
      <c r="E184" s="4">
        <v>0.5385416666666671</v>
      </c>
      <c r="F184" s="4">
        <v>6.944444444444445E-4</v>
      </c>
      <c r="G184" s="4">
        <v>0.5392361111111116</v>
      </c>
      <c r="H184" s="4"/>
      <c r="I184" s="4"/>
      <c r="J184" s="4"/>
      <c r="K184" s="4"/>
      <c r="L184" s="4" t="s">
        <v>7154</v>
      </c>
      <c r="M184" s="4" t="s">
        <v>1944</v>
      </c>
      <c r="N184" s="4"/>
      <c r="O184" s="4" t="s">
        <v>370</v>
      </c>
      <c r="P184" s="4" t="s">
        <v>69</v>
      </c>
      <c r="Q184" s="4"/>
      <c r="R184" s="4"/>
      <c r="S184" s="4"/>
      <c r="T184" s="4" t="s">
        <v>7155</v>
      </c>
      <c r="U184" s="4">
        <v>2.0</v>
      </c>
      <c r="V184" s="4"/>
      <c r="W184" s="4"/>
      <c r="X184" s="4"/>
      <c r="Y184" s="4"/>
      <c r="Z184" s="4"/>
      <c r="AA184" s="4"/>
    </row>
    <row r="185">
      <c r="A185" s="4" t="s">
        <v>7156</v>
      </c>
      <c r="B185" s="4" t="s">
        <v>14</v>
      </c>
      <c r="C185" s="4" t="s">
        <v>7070</v>
      </c>
      <c r="D185" s="4">
        <v>44006.0</v>
      </c>
      <c r="E185" s="4">
        <v>0.5392361111111116</v>
      </c>
      <c r="F185" s="4">
        <v>0.0026041666666666665</v>
      </c>
      <c r="G185" s="4">
        <v>0.5418402777777782</v>
      </c>
      <c r="H185" s="4"/>
      <c r="I185" s="4"/>
      <c r="J185" s="4"/>
      <c r="K185" s="4"/>
      <c r="L185" s="4"/>
      <c r="M185" s="4"/>
      <c r="N185" s="4"/>
      <c r="O185" s="4" t="s">
        <v>6941</v>
      </c>
      <c r="P185" s="4"/>
      <c r="Q185" s="4"/>
      <c r="R185" s="4"/>
      <c r="S185" s="4"/>
      <c r="T185" s="4"/>
      <c r="U185" s="4"/>
      <c r="V185" s="4"/>
      <c r="W185" s="4"/>
      <c r="X185" s="4"/>
      <c r="Y185" s="4"/>
      <c r="Z185" s="4"/>
      <c r="AA185" s="4"/>
    </row>
    <row r="186">
      <c r="A186" s="4" t="s">
        <v>7157</v>
      </c>
      <c r="B186" s="4" t="s">
        <v>14</v>
      </c>
      <c r="C186" s="4" t="s">
        <v>7070</v>
      </c>
      <c r="D186" s="4">
        <v>44006.0</v>
      </c>
      <c r="E186" s="4"/>
      <c r="F186" s="4"/>
      <c r="G186" s="4"/>
      <c r="H186" s="4"/>
      <c r="I186" s="4"/>
      <c r="J186" s="4"/>
      <c r="K186" s="4"/>
      <c r="L186" s="4"/>
      <c r="M186" s="4"/>
      <c r="N186" s="4"/>
      <c r="O186" s="4"/>
      <c r="P186" s="4"/>
      <c r="Q186" s="4"/>
      <c r="R186" s="4"/>
      <c r="S186" s="4"/>
      <c r="T186" s="4"/>
      <c r="U186" s="4"/>
      <c r="V186" s="4"/>
      <c r="W186" s="4"/>
      <c r="X186" s="4"/>
      <c r="Y186" s="4"/>
      <c r="Z186" s="4"/>
      <c r="AA186" s="4"/>
    </row>
    <row r="187">
      <c r="A187" s="4" t="s">
        <v>7158</v>
      </c>
      <c r="B187" s="4" t="s">
        <v>14</v>
      </c>
      <c r="C187" s="4" t="s">
        <v>7070</v>
      </c>
      <c r="D187" s="4">
        <v>44006.0</v>
      </c>
      <c r="E187" s="4">
        <v>0.5418402777777782</v>
      </c>
      <c r="F187" s="4">
        <v>0.0020833333333333333</v>
      </c>
      <c r="G187" s="4">
        <v>0.5439236111111115</v>
      </c>
      <c r="H187" s="4"/>
      <c r="I187" s="4"/>
      <c r="J187" s="4"/>
      <c r="K187" s="4"/>
      <c r="L187" s="4"/>
      <c r="M187" s="4" t="s">
        <v>6939</v>
      </c>
      <c r="N187" s="4"/>
      <c r="O187" s="4" t="s">
        <v>6915</v>
      </c>
      <c r="P187" s="4" t="s">
        <v>128</v>
      </c>
      <c r="Q187" s="4"/>
      <c r="R187" s="4"/>
      <c r="S187" s="4"/>
      <c r="T187" s="4"/>
      <c r="U187" s="4">
        <v>1.0</v>
      </c>
      <c r="V187" s="4"/>
      <c r="W187" s="4"/>
      <c r="X187" s="4"/>
      <c r="Y187" s="4"/>
      <c r="Z187" s="4"/>
      <c r="AA187" s="4"/>
    </row>
    <row r="188">
      <c r="A188" s="4" t="s">
        <v>7159</v>
      </c>
      <c r="B188" s="4" t="s">
        <v>14</v>
      </c>
      <c r="C188" s="4" t="s">
        <v>7070</v>
      </c>
      <c r="D188" s="4">
        <v>44006.0</v>
      </c>
      <c r="E188" s="4">
        <v>0.5439236111111115</v>
      </c>
      <c r="F188" s="4">
        <v>3.4722222222222224E-4</v>
      </c>
      <c r="G188" s="4">
        <v>0.5442708333333338</v>
      </c>
      <c r="H188" s="4"/>
      <c r="I188" s="4"/>
      <c r="J188" s="4"/>
      <c r="K188" s="4"/>
      <c r="L188" s="4"/>
      <c r="M188" s="4" t="s">
        <v>6939</v>
      </c>
      <c r="N188" s="4"/>
      <c r="O188" s="4" t="s">
        <v>1127</v>
      </c>
      <c r="P188" s="4" t="s">
        <v>128</v>
      </c>
      <c r="Q188" s="4"/>
      <c r="R188" s="4"/>
      <c r="S188" s="4"/>
      <c r="T188" s="4"/>
      <c r="U188" s="4">
        <v>1.0</v>
      </c>
      <c r="V188" s="4"/>
      <c r="W188" s="4"/>
      <c r="X188" s="4"/>
      <c r="Y188" s="4"/>
      <c r="Z188" s="4"/>
      <c r="AA188" s="4"/>
    </row>
    <row r="189">
      <c r="A189" s="4" t="s">
        <v>7160</v>
      </c>
      <c r="B189" s="4" t="s">
        <v>14</v>
      </c>
      <c r="C189" s="4" t="s">
        <v>7070</v>
      </c>
      <c r="D189" s="4">
        <v>44006.0</v>
      </c>
      <c r="E189" s="4">
        <v>0.5442708333333338</v>
      </c>
      <c r="F189" s="4">
        <v>0.006944444444444444</v>
      </c>
      <c r="G189" s="4">
        <v>0.5512152777777782</v>
      </c>
      <c r="H189" s="4" t="s">
        <v>1362</v>
      </c>
      <c r="I189" s="4"/>
      <c r="J189" s="4" t="s">
        <v>6938</v>
      </c>
      <c r="K189" s="4"/>
      <c r="L189" s="4" t="s">
        <v>165</v>
      </c>
      <c r="M189" s="4" t="s">
        <v>6918</v>
      </c>
      <c r="N189" s="4" t="s">
        <v>6755</v>
      </c>
      <c r="O189" s="4" t="s">
        <v>7161</v>
      </c>
      <c r="P189" s="4" t="s">
        <v>1352</v>
      </c>
      <c r="Q189" s="4"/>
      <c r="R189" s="4"/>
      <c r="S189" s="4"/>
      <c r="T189" s="4"/>
      <c r="U189" s="4">
        <v>1.0</v>
      </c>
      <c r="V189" s="4" t="s">
        <v>7162</v>
      </c>
      <c r="W189" s="4" t="s">
        <v>7088</v>
      </c>
      <c r="X189" s="4"/>
      <c r="Y189" s="4" t="s">
        <v>7163</v>
      </c>
      <c r="Z189" s="4" t="s">
        <v>1362</v>
      </c>
      <c r="AA189" s="4"/>
    </row>
    <row r="190">
      <c r="A190" s="4" t="s">
        <v>7164</v>
      </c>
      <c r="B190" s="4" t="s">
        <v>14</v>
      </c>
      <c r="C190" s="4" t="s">
        <v>7070</v>
      </c>
      <c r="D190" s="4">
        <v>44006.0</v>
      </c>
      <c r="E190" s="4">
        <v>0.5512152777777782</v>
      </c>
      <c r="F190" s="4">
        <v>1.7361111111111112E-4</v>
      </c>
      <c r="G190" s="4">
        <v>0.5513888888888894</v>
      </c>
      <c r="H190" s="4"/>
      <c r="I190" s="4"/>
      <c r="J190" s="4"/>
      <c r="K190" s="4"/>
      <c r="L190" s="4"/>
      <c r="M190" s="4" t="s">
        <v>1944</v>
      </c>
      <c r="N190" s="4"/>
      <c r="O190" s="4" t="s">
        <v>7077</v>
      </c>
      <c r="P190" s="4" t="s">
        <v>128</v>
      </c>
      <c r="Q190" s="4"/>
      <c r="R190" s="4"/>
      <c r="S190" s="4"/>
      <c r="T190" s="4"/>
      <c r="U190" s="4">
        <v>1.0</v>
      </c>
      <c r="V190" s="4"/>
      <c r="W190" s="4"/>
      <c r="X190" s="4"/>
      <c r="Y190" s="4"/>
      <c r="Z190" s="4"/>
      <c r="AA190" s="4"/>
    </row>
    <row r="191">
      <c r="A191" s="4" t="s">
        <v>7165</v>
      </c>
      <c r="B191" s="4" t="s">
        <v>14</v>
      </c>
      <c r="C191" s="4" t="s">
        <v>7070</v>
      </c>
      <c r="D191" s="4">
        <v>44006.0</v>
      </c>
      <c r="E191" s="4">
        <v>0.5513888888888894</v>
      </c>
      <c r="F191" s="4">
        <v>0.0012152777777777778</v>
      </c>
      <c r="G191" s="4">
        <v>0.5526041666666671</v>
      </c>
      <c r="H191" s="4"/>
      <c r="I191" s="4"/>
      <c r="J191" s="4"/>
      <c r="K191" s="4"/>
      <c r="L191" s="4"/>
      <c r="M191" s="4"/>
      <c r="N191" s="4"/>
      <c r="O191" s="4" t="s">
        <v>370</v>
      </c>
      <c r="P191" s="4"/>
      <c r="Q191" s="4"/>
      <c r="R191" s="4"/>
      <c r="S191" s="4"/>
      <c r="T191" s="4"/>
      <c r="U191" s="4"/>
      <c r="V191" s="4"/>
      <c r="W191" s="4"/>
      <c r="X191" s="4"/>
      <c r="Y191" s="4"/>
      <c r="Z191" s="4"/>
      <c r="AA191" s="4"/>
    </row>
    <row r="192">
      <c r="A192" s="4" t="s">
        <v>7166</v>
      </c>
      <c r="B192" s="4" t="s">
        <v>14</v>
      </c>
      <c r="C192" s="4" t="s">
        <v>7070</v>
      </c>
      <c r="D192" s="4">
        <v>44006.0</v>
      </c>
      <c r="E192" s="4">
        <v>0.5526041666666671</v>
      </c>
      <c r="F192" s="4">
        <v>3.4722222222222224E-4</v>
      </c>
      <c r="G192" s="4">
        <v>0.5529513888888894</v>
      </c>
      <c r="H192" s="4"/>
      <c r="I192" s="4"/>
      <c r="J192" s="4"/>
      <c r="K192" s="4"/>
      <c r="L192" s="4"/>
      <c r="M192" s="4" t="s">
        <v>6939</v>
      </c>
      <c r="N192" s="4"/>
      <c r="O192" s="4" t="s">
        <v>1127</v>
      </c>
      <c r="P192" s="4" t="s">
        <v>128</v>
      </c>
      <c r="Q192" s="4"/>
      <c r="R192" s="4"/>
      <c r="S192" s="4"/>
      <c r="T192" s="4"/>
      <c r="U192" s="4">
        <v>1.0</v>
      </c>
      <c r="V192" s="4"/>
      <c r="W192" s="4"/>
      <c r="X192" s="4"/>
      <c r="Y192" s="4"/>
      <c r="Z192" s="4"/>
      <c r="AA192" s="4"/>
    </row>
    <row r="193">
      <c r="A193" s="4" t="s">
        <v>7167</v>
      </c>
      <c r="B193" s="4" t="s">
        <v>14</v>
      </c>
      <c r="C193" s="4" t="s">
        <v>7070</v>
      </c>
      <c r="D193" s="4">
        <v>44006.0</v>
      </c>
      <c r="E193" s="4">
        <v>0.5529513888888894</v>
      </c>
      <c r="F193" s="4">
        <v>0.0020833333333333333</v>
      </c>
      <c r="G193" s="4">
        <v>0.5550347222222227</v>
      </c>
      <c r="H193" s="4"/>
      <c r="I193" s="4"/>
      <c r="J193" s="4"/>
      <c r="K193" s="4"/>
      <c r="L193" s="4" t="s">
        <v>83</v>
      </c>
      <c r="M193" s="4"/>
      <c r="N193" s="4"/>
      <c r="O193" s="4" t="s">
        <v>7168</v>
      </c>
      <c r="P193" s="4"/>
      <c r="Q193" s="4"/>
      <c r="R193" s="4"/>
      <c r="S193" s="4"/>
      <c r="T193" s="4"/>
      <c r="U193" s="4">
        <v>0.0</v>
      </c>
      <c r="V193" s="4"/>
      <c r="W193" s="4"/>
      <c r="X193" s="4"/>
      <c r="Y193" s="4"/>
      <c r="Z193" s="4"/>
      <c r="AA193" s="4"/>
    </row>
    <row r="194">
      <c r="A194" s="4" t="s">
        <v>7169</v>
      </c>
      <c r="B194" s="4" t="s">
        <v>14</v>
      </c>
      <c r="C194" s="4" t="s">
        <v>7070</v>
      </c>
      <c r="D194" s="4">
        <v>44006.0</v>
      </c>
      <c r="E194" s="4">
        <v>0.5550347222222227</v>
      </c>
      <c r="F194" s="4">
        <v>1.7361111111111112E-4</v>
      </c>
      <c r="G194" s="4">
        <v>0.5552083333333339</v>
      </c>
      <c r="H194" s="4"/>
      <c r="I194" s="4"/>
      <c r="J194" s="4"/>
      <c r="K194" s="4"/>
      <c r="L194" s="4"/>
      <c r="M194" s="4" t="s">
        <v>1944</v>
      </c>
      <c r="N194" s="4"/>
      <c r="O194" s="4" t="s">
        <v>7077</v>
      </c>
      <c r="P194" s="4" t="s">
        <v>69</v>
      </c>
      <c r="Q194" s="4"/>
      <c r="R194" s="4"/>
      <c r="S194" s="4"/>
      <c r="T194" s="4"/>
      <c r="U194" s="4">
        <v>1.0</v>
      </c>
      <c r="V194" s="4"/>
      <c r="W194" s="4"/>
      <c r="X194" s="4"/>
      <c r="Y194" s="4"/>
      <c r="Z194" s="4"/>
      <c r="AA194" s="4"/>
    </row>
    <row r="195">
      <c r="A195" s="4" t="s">
        <v>7170</v>
      </c>
      <c r="B195" s="4" t="s">
        <v>14</v>
      </c>
      <c r="C195" s="4" t="s">
        <v>7070</v>
      </c>
      <c r="D195" s="4">
        <v>44006.0</v>
      </c>
      <c r="E195" s="4">
        <v>0.5552083333333339</v>
      </c>
      <c r="F195" s="4">
        <v>6.944444444444445E-4</v>
      </c>
      <c r="G195" s="4">
        <v>0.5552083333333339</v>
      </c>
      <c r="H195" s="4"/>
      <c r="I195" s="4"/>
      <c r="J195" s="4"/>
      <c r="K195" s="4"/>
      <c r="L195" s="4"/>
      <c r="M195" s="4"/>
      <c r="N195" s="4"/>
      <c r="O195" s="4" t="s">
        <v>7171</v>
      </c>
      <c r="P195" s="4" t="s">
        <v>92</v>
      </c>
      <c r="Q195" s="4"/>
      <c r="R195" s="4"/>
      <c r="S195" s="4"/>
      <c r="T195" s="4"/>
      <c r="U195" s="4"/>
      <c r="V195" s="4"/>
      <c r="W195" s="4"/>
      <c r="X195" s="4"/>
      <c r="Y195" s="4"/>
      <c r="Z195" s="4"/>
      <c r="AA195" s="4"/>
    </row>
    <row r="196">
      <c r="A196" s="4" t="s">
        <v>7172</v>
      </c>
      <c r="B196" s="4" t="s">
        <v>14</v>
      </c>
      <c r="C196" s="4" t="s">
        <v>7070</v>
      </c>
      <c r="D196" s="4">
        <v>44006.0</v>
      </c>
      <c r="E196" s="4">
        <v>0.5552083333333339</v>
      </c>
      <c r="F196" s="4">
        <v>3.4722222222222224E-4</v>
      </c>
      <c r="G196" s="4">
        <v>0.5555555555555561</v>
      </c>
      <c r="H196" s="4"/>
      <c r="I196" s="4"/>
      <c r="J196" s="4"/>
      <c r="K196" s="4"/>
      <c r="L196" s="4"/>
      <c r="M196" s="4" t="s">
        <v>6939</v>
      </c>
      <c r="N196" s="4"/>
      <c r="O196" s="4" t="s">
        <v>119</v>
      </c>
      <c r="P196" s="4" t="s">
        <v>128</v>
      </c>
      <c r="Q196" s="4"/>
      <c r="R196" s="4"/>
      <c r="S196" s="4"/>
      <c r="T196" s="4"/>
      <c r="U196" s="4">
        <v>1.0</v>
      </c>
      <c r="V196" s="4"/>
      <c r="W196" s="4"/>
      <c r="X196" s="4"/>
      <c r="Y196" s="4"/>
      <c r="Z196" s="4"/>
      <c r="AA196" s="4"/>
    </row>
    <row r="197">
      <c r="A197" s="4" t="s">
        <v>7173</v>
      </c>
      <c r="B197" s="4" t="s">
        <v>14</v>
      </c>
      <c r="C197" s="4" t="s">
        <v>7070</v>
      </c>
      <c r="D197" s="4">
        <v>44006.0</v>
      </c>
      <c r="E197" s="4">
        <v>0.5555555555555561</v>
      </c>
      <c r="F197" s="4">
        <v>0.010416666666666666</v>
      </c>
      <c r="G197" s="4">
        <v>0.5659722222222228</v>
      </c>
      <c r="H197" s="4" t="s">
        <v>972</v>
      </c>
      <c r="I197" s="4" t="s">
        <v>4142</v>
      </c>
      <c r="J197" s="4" t="s">
        <v>6938</v>
      </c>
      <c r="K197" s="4"/>
      <c r="L197" s="4" t="s">
        <v>107</v>
      </c>
      <c r="M197" s="4"/>
      <c r="N197" s="4" t="s">
        <v>6689</v>
      </c>
      <c r="O197" s="4" t="s">
        <v>141</v>
      </c>
      <c r="P197" s="4" t="s">
        <v>7174</v>
      </c>
      <c r="Q197" s="4" t="s">
        <v>143</v>
      </c>
      <c r="R197" s="4"/>
      <c r="S197" s="4"/>
      <c r="T197" s="4" t="s">
        <v>7175</v>
      </c>
      <c r="U197" s="4">
        <v>3.0</v>
      </c>
      <c r="V197" s="4" t="s">
        <v>7176</v>
      </c>
      <c r="W197" s="4" t="s">
        <v>7088</v>
      </c>
      <c r="X197" s="4" t="s">
        <v>7177</v>
      </c>
      <c r="Y197" s="4" t="s">
        <v>7178</v>
      </c>
      <c r="Z197" s="4" t="s">
        <v>873</v>
      </c>
      <c r="AA197" s="4"/>
    </row>
    <row r="198">
      <c r="A198" s="4" t="s">
        <v>7179</v>
      </c>
      <c r="B198" s="4" t="s">
        <v>14</v>
      </c>
      <c r="C198" s="4" t="s">
        <v>7070</v>
      </c>
      <c r="D198" s="4">
        <v>44006.0</v>
      </c>
      <c r="E198" s="4">
        <v>0.5659722222222228</v>
      </c>
      <c r="F198" s="4">
        <v>3.4722222222222224E-4</v>
      </c>
      <c r="G198" s="4">
        <v>0.566319444444445</v>
      </c>
      <c r="H198" s="4"/>
      <c r="I198" s="4"/>
      <c r="J198" s="4"/>
      <c r="K198" s="4"/>
      <c r="L198" s="4"/>
      <c r="M198" s="4"/>
      <c r="N198" s="4"/>
      <c r="O198" s="4" t="s">
        <v>7077</v>
      </c>
      <c r="P198" s="4" t="s">
        <v>128</v>
      </c>
      <c r="Q198" s="4"/>
      <c r="R198" s="4"/>
      <c r="S198" s="4"/>
      <c r="T198" s="4"/>
      <c r="U198" s="4">
        <v>1.0</v>
      </c>
      <c r="V198" s="4"/>
      <c r="W198" s="4"/>
      <c r="X198" s="4"/>
      <c r="Y198" s="4"/>
      <c r="Z198" s="4"/>
      <c r="AA198" s="4"/>
    </row>
    <row r="199">
      <c r="A199" s="4" t="s">
        <v>7180</v>
      </c>
      <c r="B199" s="4" t="s">
        <v>14</v>
      </c>
      <c r="C199" s="4" t="s">
        <v>7070</v>
      </c>
      <c r="D199" s="4">
        <v>44006.0</v>
      </c>
      <c r="E199" s="4">
        <v>0.566319444444445</v>
      </c>
      <c r="F199" s="4">
        <v>0.0012152777777777778</v>
      </c>
      <c r="G199" s="4">
        <v>0.5675347222222228</v>
      </c>
      <c r="H199" s="4"/>
      <c r="I199" s="4"/>
      <c r="J199" s="4"/>
      <c r="K199" s="4"/>
      <c r="L199" s="4"/>
      <c r="M199" s="4"/>
      <c r="N199" s="4"/>
      <c r="O199" s="4" t="s">
        <v>370</v>
      </c>
      <c r="P199" s="4" t="s">
        <v>69</v>
      </c>
      <c r="Q199" s="4"/>
      <c r="R199" s="4"/>
      <c r="S199" s="4"/>
      <c r="T199" s="4"/>
      <c r="U199" s="4"/>
      <c r="V199" s="4"/>
      <c r="W199" s="4"/>
      <c r="X199" s="4"/>
      <c r="Y199" s="4"/>
      <c r="Z199" s="4"/>
      <c r="AA199" s="4"/>
    </row>
    <row r="200">
      <c r="A200" s="4" t="s">
        <v>7181</v>
      </c>
      <c r="B200" s="4" t="s">
        <v>14</v>
      </c>
      <c r="C200" s="4" t="s">
        <v>7070</v>
      </c>
      <c r="D200" s="4">
        <v>44006.0</v>
      </c>
      <c r="E200" s="4">
        <v>0.5675347222222228</v>
      </c>
      <c r="F200" s="4">
        <v>0.0010416666666666667</v>
      </c>
      <c r="G200" s="4">
        <v>0.5685763888888895</v>
      </c>
      <c r="H200" s="4"/>
      <c r="I200" s="4"/>
      <c r="J200" s="4"/>
      <c r="K200" s="4"/>
      <c r="L200" s="4"/>
      <c r="M200" s="4" t="s">
        <v>6923</v>
      </c>
      <c r="N200" s="4"/>
      <c r="O200" s="4" t="s">
        <v>7171</v>
      </c>
      <c r="P200" s="4" t="s">
        <v>105</v>
      </c>
      <c r="Q200" s="4"/>
      <c r="R200" s="4"/>
      <c r="S200" s="4"/>
      <c r="T200" s="4"/>
      <c r="U200" s="4">
        <v>1.0</v>
      </c>
      <c r="V200" s="4"/>
      <c r="W200" s="4"/>
      <c r="X200" s="4"/>
      <c r="Y200" s="4"/>
      <c r="Z200" s="4"/>
      <c r="AA200" s="4"/>
    </row>
    <row r="201">
      <c r="A201" s="4" t="s">
        <v>7182</v>
      </c>
      <c r="B201" s="4" t="s">
        <v>14</v>
      </c>
      <c r="C201" s="4" t="s">
        <v>7070</v>
      </c>
      <c r="D201" s="4">
        <v>44006.0</v>
      </c>
      <c r="E201" s="4">
        <v>0.5685763888888895</v>
      </c>
      <c r="F201" s="4">
        <v>3.4722222222222224E-4</v>
      </c>
      <c r="G201" s="4">
        <v>0.5689236111111118</v>
      </c>
      <c r="H201" s="4"/>
      <c r="I201" s="4"/>
      <c r="J201" s="4"/>
      <c r="K201" s="4"/>
      <c r="L201" s="4"/>
      <c r="M201" s="4" t="s">
        <v>6923</v>
      </c>
      <c r="N201" s="4"/>
      <c r="O201" s="4" t="s">
        <v>119</v>
      </c>
      <c r="P201" s="4" t="s">
        <v>105</v>
      </c>
      <c r="Q201" s="4"/>
      <c r="R201" s="4"/>
      <c r="S201" s="4"/>
      <c r="T201" s="4"/>
      <c r="U201" s="4">
        <v>1.0</v>
      </c>
      <c r="V201" s="4"/>
      <c r="W201" s="4"/>
      <c r="X201" s="4"/>
      <c r="Y201" s="4"/>
      <c r="Z201" s="4"/>
      <c r="AA201" s="4"/>
    </row>
    <row r="202">
      <c r="A202" s="4" t="s">
        <v>7183</v>
      </c>
      <c r="B202" s="4" t="s">
        <v>14</v>
      </c>
      <c r="C202" s="4" t="s">
        <v>7070</v>
      </c>
      <c r="D202" s="4">
        <v>44006.0</v>
      </c>
      <c r="E202" s="4">
        <v>0.5689236111111118</v>
      </c>
      <c r="F202" s="4">
        <v>0.003472222222222222</v>
      </c>
      <c r="G202" s="4">
        <v>0.572395833333334</v>
      </c>
      <c r="H202" s="4"/>
      <c r="I202" s="4"/>
      <c r="J202" s="4"/>
      <c r="K202" s="4"/>
      <c r="L202" s="4"/>
      <c r="M202" s="4"/>
      <c r="N202" s="4"/>
      <c r="O202" s="4" t="s">
        <v>6941</v>
      </c>
      <c r="P202" s="4" t="s">
        <v>69</v>
      </c>
      <c r="Q202" s="4"/>
      <c r="R202" s="4"/>
      <c r="S202" s="4"/>
      <c r="T202" s="4"/>
      <c r="U202" s="4">
        <v>1.0</v>
      </c>
      <c r="V202" s="4"/>
      <c r="W202" s="4"/>
      <c r="X202" s="4"/>
      <c r="Y202" s="4"/>
      <c r="Z202" s="4"/>
      <c r="AA202" s="4"/>
    </row>
    <row r="203">
      <c r="A203" s="4" t="s">
        <v>7184</v>
      </c>
      <c r="B203" s="4" t="s">
        <v>14</v>
      </c>
      <c r="C203" s="4" t="s">
        <v>7070</v>
      </c>
      <c r="D203" s="4">
        <v>44006.0</v>
      </c>
      <c r="E203" s="4">
        <v>0.572395833333334</v>
      </c>
      <c r="F203" s="4">
        <v>1.7361111111111112E-4</v>
      </c>
      <c r="G203" s="4">
        <v>0.5725694444444451</v>
      </c>
      <c r="H203" s="4"/>
      <c r="I203" s="4"/>
      <c r="J203" s="4"/>
      <c r="K203" s="4"/>
      <c r="L203" s="4"/>
      <c r="M203" s="4"/>
      <c r="N203" s="4"/>
      <c r="O203" s="4" t="s">
        <v>7077</v>
      </c>
      <c r="P203" s="4" t="s">
        <v>69</v>
      </c>
      <c r="Q203" s="4"/>
      <c r="R203" s="4"/>
      <c r="S203" s="4"/>
      <c r="T203" s="4"/>
      <c r="U203" s="4"/>
      <c r="V203" s="4"/>
      <c r="W203" s="4"/>
      <c r="X203" s="4"/>
      <c r="Y203" s="4"/>
      <c r="Z203" s="4"/>
      <c r="AA203" s="4"/>
    </row>
    <row r="204">
      <c r="A204" s="4" t="s">
        <v>7185</v>
      </c>
      <c r="B204" s="4" t="s">
        <v>14</v>
      </c>
      <c r="C204" s="4" t="s">
        <v>7070</v>
      </c>
      <c r="D204" s="4">
        <v>44006.0</v>
      </c>
      <c r="E204" s="4">
        <v>0.5725694444444451</v>
      </c>
      <c r="F204" s="4">
        <v>3.4722222222222224E-4</v>
      </c>
      <c r="G204" s="4">
        <v>0.5729166666666674</v>
      </c>
      <c r="H204" s="4"/>
      <c r="I204" s="4"/>
      <c r="J204" s="4"/>
      <c r="K204" s="4"/>
      <c r="L204" s="4"/>
      <c r="M204" s="4" t="s">
        <v>6939</v>
      </c>
      <c r="N204" s="4"/>
      <c r="O204" s="4" t="s">
        <v>1127</v>
      </c>
      <c r="P204" s="4" t="s">
        <v>128</v>
      </c>
      <c r="Q204" s="4"/>
      <c r="R204" s="4"/>
      <c r="S204" s="4"/>
      <c r="T204" s="4"/>
      <c r="U204" s="4">
        <v>1.0</v>
      </c>
      <c r="V204" s="4"/>
      <c r="W204" s="4"/>
      <c r="X204" s="4"/>
      <c r="Y204" s="4"/>
      <c r="Z204" s="4"/>
      <c r="AA204" s="4"/>
    </row>
    <row r="205">
      <c r="A205" s="4" t="s">
        <v>7186</v>
      </c>
      <c r="B205" s="4" t="s">
        <v>14</v>
      </c>
      <c r="C205" s="4" t="s">
        <v>7070</v>
      </c>
      <c r="D205" s="4">
        <v>44006.0</v>
      </c>
      <c r="E205" s="4">
        <v>0.5729166666666674</v>
      </c>
      <c r="F205" s="4">
        <v>0.010416666666666666</v>
      </c>
      <c r="G205" s="4">
        <v>0.583333333333334</v>
      </c>
      <c r="H205" s="4" t="s">
        <v>972</v>
      </c>
      <c r="I205" s="4" t="s">
        <v>4142</v>
      </c>
      <c r="J205" s="4" t="s">
        <v>6938</v>
      </c>
      <c r="K205" s="4" t="s">
        <v>140</v>
      </c>
      <c r="L205" s="4" t="s">
        <v>94</v>
      </c>
      <c r="M205" s="4"/>
      <c r="N205" s="4" t="s">
        <v>6702</v>
      </c>
      <c r="O205" s="4" t="s">
        <v>294</v>
      </c>
      <c r="P205" s="4" t="s">
        <v>295</v>
      </c>
      <c r="Q205" s="4"/>
      <c r="R205" s="4"/>
      <c r="S205" s="4"/>
      <c r="T205" s="4" t="s">
        <v>296</v>
      </c>
      <c r="U205" s="4">
        <v>2.0</v>
      </c>
      <c r="V205" s="4" t="s">
        <v>7187</v>
      </c>
      <c r="W205" s="4" t="s">
        <v>7136</v>
      </c>
      <c r="X205" s="4" t="s">
        <v>7188</v>
      </c>
      <c r="Y205" s="4" t="s">
        <v>7189</v>
      </c>
      <c r="Z205" s="4" t="s">
        <v>972</v>
      </c>
      <c r="AA205" s="4"/>
    </row>
    <row r="206">
      <c r="A206" s="4" t="s">
        <v>7190</v>
      </c>
      <c r="B206" s="4" t="s">
        <v>14</v>
      </c>
      <c r="C206" s="4" t="s">
        <v>7070</v>
      </c>
      <c r="D206" s="4">
        <v>44006.0</v>
      </c>
      <c r="E206" s="4">
        <v>0.583333333333334</v>
      </c>
      <c r="F206" s="4">
        <v>1.7361111111111112E-4</v>
      </c>
      <c r="G206" s="4">
        <v>0.5835069444444452</v>
      </c>
      <c r="H206" s="4"/>
      <c r="I206" s="4"/>
      <c r="J206" s="4"/>
      <c r="K206" s="4"/>
      <c r="L206" s="4"/>
      <c r="M206" s="4"/>
      <c r="N206" s="4"/>
      <c r="O206" s="4" t="s">
        <v>7077</v>
      </c>
      <c r="P206" s="4" t="s">
        <v>128</v>
      </c>
      <c r="Q206" s="4"/>
      <c r="R206" s="4"/>
      <c r="S206" s="4"/>
      <c r="T206" s="4"/>
      <c r="U206" s="4">
        <v>1.0</v>
      </c>
      <c r="V206" s="4"/>
      <c r="W206" s="4"/>
      <c r="X206" s="4"/>
      <c r="Y206" s="4"/>
      <c r="Z206" s="4"/>
      <c r="AA206" s="4"/>
    </row>
    <row r="207">
      <c r="A207" s="4" t="s">
        <v>7191</v>
      </c>
      <c r="B207" s="4" t="s">
        <v>14</v>
      </c>
      <c r="C207" s="4" t="s">
        <v>7070</v>
      </c>
      <c r="D207" s="4">
        <v>44006.0</v>
      </c>
      <c r="E207" s="4"/>
      <c r="F207" s="4"/>
      <c r="G207" s="4"/>
      <c r="H207" s="4"/>
      <c r="I207" s="4"/>
      <c r="J207" s="4"/>
      <c r="K207" s="4"/>
      <c r="L207" s="4"/>
      <c r="M207" s="4"/>
      <c r="N207" s="4"/>
      <c r="O207" s="4"/>
      <c r="P207" s="4"/>
      <c r="Q207" s="4"/>
      <c r="R207" s="4"/>
      <c r="S207" s="4"/>
      <c r="T207" s="4"/>
      <c r="U207" s="4"/>
      <c r="V207" s="4"/>
      <c r="W207" s="4"/>
      <c r="X207" s="4"/>
      <c r="Y207" s="4"/>
      <c r="Z207" s="4"/>
      <c r="AA207" s="4"/>
    </row>
    <row r="208">
      <c r="A208" s="4" t="s">
        <v>7192</v>
      </c>
      <c r="B208" s="4" t="s">
        <v>14</v>
      </c>
      <c r="C208" s="4" t="s">
        <v>7070</v>
      </c>
      <c r="D208" s="4">
        <v>44006.0</v>
      </c>
      <c r="E208" s="4">
        <v>0.5835069444444452</v>
      </c>
      <c r="F208" s="4">
        <v>0.0020833333333333333</v>
      </c>
      <c r="G208" s="4">
        <v>0.5855902777777785</v>
      </c>
      <c r="H208" s="4"/>
      <c r="I208" s="4"/>
      <c r="J208" s="4"/>
      <c r="K208" s="4"/>
      <c r="L208" s="4"/>
      <c r="M208" s="4"/>
      <c r="N208" s="4"/>
      <c r="O208" s="4" t="s">
        <v>6915</v>
      </c>
      <c r="P208" s="4" t="s">
        <v>128</v>
      </c>
      <c r="Q208" s="4"/>
      <c r="R208" s="4"/>
      <c r="S208" s="4"/>
      <c r="T208" s="4"/>
      <c r="U208" s="4">
        <v>1.0</v>
      </c>
      <c r="V208" s="4"/>
      <c r="W208" s="4"/>
      <c r="X208" s="4"/>
      <c r="Y208" s="4"/>
      <c r="Z208" s="4"/>
      <c r="AA208" s="4"/>
    </row>
    <row r="209">
      <c r="A209" s="4" t="s">
        <v>7193</v>
      </c>
      <c r="B209" s="4" t="s">
        <v>14</v>
      </c>
      <c r="C209" s="4" t="s">
        <v>7070</v>
      </c>
      <c r="D209" s="4">
        <v>44006.0</v>
      </c>
      <c r="E209" s="4">
        <v>0.5855902777777785</v>
      </c>
      <c r="F209" s="4">
        <v>3.4722222222222224E-4</v>
      </c>
      <c r="G209" s="4">
        <v>0.5859375000000008</v>
      </c>
      <c r="H209" s="4"/>
      <c r="I209" s="4"/>
      <c r="J209" s="4"/>
      <c r="K209" s="4"/>
      <c r="L209" s="4"/>
      <c r="M209" s="4"/>
      <c r="N209" s="4"/>
      <c r="O209" s="4" t="s">
        <v>7073</v>
      </c>
      <c r="P209" s="4" t="s">
        <v>128</v>
      </c>
      <c r="Q209" s="4"/>
      <c r="R209" s="4"/>
      <c r="S209" s="4"/>
      <c r="T209" s="4"/>
      <c r="U209" s="4">
        <v>1.0</v>
      </c>
      <c r="V209" s="4"/>
      <c r="W209" s="4"/>
      <c r="X209" s="4"/>
      <c r="Y209" s="4"/>
      <c r="Z209" s="4"/>
      <c r="AA209" s="4"/>
    </row>
    <row r="210">
      <c r="A210" s="4" t="s">
        <v>7194</v>
      </c>
      <c r="B210" s="4" t="s">
        <v>14</v>
      </c>
      <c r="C210" s="4" t="s">
        <v>7070</v>
      </c>
      <c r="D210" s="4">
        <v>44006.0</v>
      </c>
      <c r="E210" s="4">
        <v>0.5859375000000008</v>
      </c>
      <c r="F210" s="4">
        <v>0.008333333333333333</v>
      </c>
      <c r="G210" s="4">
        <v>0.5942708333333341</v>
      </c>
      <c r="H210" s="4" t="s">
        <v>1253</v>
      </c>
      <c r="I210" s="4"/>
      <c r="J210" s="4" t="s">
        <v>6938</v>
      </c>
      <c r="K210" s="4" t="s">
        <v>129</v>
      </c>
      <c r="L210" s="4" t="s">
        <v>94</v>
      </c>
      <c r="M210" s="4" t="s">
        <v>6918</v>
      </c>
      <c r="N210" s="4" t="s">
        <v>7195</v>
      </c>
      <c r="O210" s="4" t="s">
        <v>1444</v>
      </c>
      <c r="P210" s="4" t="s">
        <v>1438</v>
      </c>
      <c r="Q210" s="4"/>
      <c r="R210" s="4"/>
      <c r="S210" s="4"/>
      <c r="T210" s="4" t="s">
        <v>1440</v>
      </c>
      <c r="U210" s="4">
        <v>2.0</v>
      </c>
      <c r="V210" s="4" t="s">
        <v>7196</v>
      </c>
      <c r="W210" s="4" t="s">
        <v>7197</v>
      </c>
      <c r="X210" s="4" t="s">
        <v>7198</v>
      </c>
      <c r="Y210" s="4" t="s">
        <v>7199</v>
      </c>
      <c r="Z210" s="4" t="s">
        <v>1253</v>
      </c>
      <c r="AA210" s="4"/>
    </row>
    <row r="211">
      <c r="A211" s="4" t="s">
        <v>7200</v>
      </c>
      <c r="B211" s="4" t="s">
        <v>14</v>
      </c>
      <c r="C211" s="4" t="s">
        <v>7070</v>
      </c>
      <c r="D211" s="4">
        <v>44006.0</v>
      </c>
      <c r="E211" s="4">
        <v>0.5942708333333341</v>
      </c>
      <c r="F211" s="4">
        <v>1.7361111111111112E-4</v>
      </c>
      <c r="G211" s="4">
        <v>0.5944444444444452</v>
      </c>
      <c r="H211" s="4"/>
      <c r="I211" s="4"/>
      <c r="J211" s="4"/>
      <c r="K211" s="4"/>
      <c r="L211" s="4"/>
      <c r="M211" s="4"/>
      <c r="N211" s="4"/>
      <c r="O211" s="4" t="s">
        <v>7077</v>
      </c>
      <c r="P211" s="4" t="s">
        <v>128</v>
      </c>
      <c r="Q211" s="4"/>
      <c r="R211" s="4"/>
      <c r="S211" s="4"/>
      <c r="T211" s="4"/>
      <c r="U211" s="4">
        <v>1.0</v>
      </c>
      <c r="V211" s="4"/>
      <c r="W211" s="4"/>
      <c r="X211" s="4"/>
      <c r="Y211" s="4"/>
      <c r="Z211" s="4"/>
      <c r="AA211" s="4"/>
    </row>
    <row r="212">
      <c r="A212" s="4" t="s">
        <v>7201</v>
      </c>
      <c r="B212" s="4" t="s">
        <v>14</v>
      </c>
      <c r="C212" s="4" t="s">
        <v>7070</v>
      </c>
      <c r="D212" s="4">
        <v>44006.0</v>
      </c>
      <c r="E212" s="4">
        <v>0.5944444444444452</v>
      </c>
      <c r="F212" s="4">
        <v>3.4722222222222224E-4</v>
      </c>
      <c r="G212" s="4">
        <v>0.5947916666666675</v>
      </c>
      <c r="H212" s="4"/>
      <c r="I212" s="4"/>
      <c r="J212" s="4"/>
      <c r="K212" s="4"/>
      <c r="L212" s="4"/>
      <c r="M212" s="4"/>
      <c r="N212" s="4"/>
      <c r="O212" s="4" t="s">
        <v>7079</v>
      </c>
      <c r="P212" s="4" t="s">
        <v>128</v>
      </c>
      <c r="Q212" s="4"/>
      <c r="R212" s="4"/>
      <c r="S212" s="4"/>
      <c r="T212" s="4"/>
      <c r="U212" s="4">
        <v>1.0</v>
      </c>
      <c r="V212" s="4"/>
      <c r="W212" s="4"/>
      <c r="X212" s="4"/>
      <c r="Y212" s="4"/>
      <c r="Z212" s="4"/>
      <c r="AA212" s="4"/>
    </row>
    <row r="213">
      <c r="A213" s="4" t="s">
        <v>7202</v>
      </c>
      <c r="B213" s="4" t="s">
        <v>14</v>
      </c>
      <c r="C213" s="4" t="s">
        <v>7070</v>
      </c>
      <c r="D213" s="4">
        <v>44006.0</v>
      </c>
      <c r="E213" s="4">
        <v>0.5947916666666675</v>
      </c>
      <c r="F213" s="4">
        <v>0.0020833333333333333</v>
      </c>
      <c r="G213" s="4">
        <v>0.5968750000000008</v>
      </c>
      <c r="H213" s="4"/>
      <c r="I213" s="4"/>
      <c r="J213" s="4"/>
      <c r="K213" s="4"/>
      <c r="L213" s="4" t="s">
        <v>83</v>
      </c>
      <c r="M213" s="4"/>
      <c r="N213" s="4"/>
      <c r="O213" s="4" t="s">
        <v>7203</v>
      </c>
      <c r="P213" s="4"/>
      <c r="Q213" s="4"/>
      <c r="R213" s="4"/>
      <c r="S213" s="4"/>
      <c r="T213" s="4"/>
      <c r="U213" s="4">
        <v>0.0</v>
      </c>
      <c r="V213" s="4"/>
      <c r="W213" s="4"/>
      <c r="X213" s="4"/>
      <c r="Y213" s="4"/>
      <c r="Z213" s="4"/>
      <c r="AA213" s="4"/>
    </row>
    <row r="214">
      <c r="A214" s="4" t="s">
        <v>7204</v>
      </c>
      <c r="B214" s="4" t="s">
        <v>14</v>
      </c>
      <c r="C214" s="4" t="s">
        <v>7070</v>
      </c>
      <c r="D214" s="4">
        <v>44006.0</v>
      </c>
      <c r="E214" s="4">
        <v>0.5968750000000008</v>
      </c>
      <c r="F214" s="4">
        <v>1.7361111111111112E-4</v>
      </c>
      <c r="G214" s="4">
        <v>0.597048611111112</v>
      </c>
      <c r="H214" s="4"/>
      <c r="I214" s="4"/>
      <c r="J214" s="4"/>
      <c r="K214" s="4"/>
      <c r="L214" s="4"/>
      <c r="M214" s="4"/>
      <c r="N214" s="4"/>
      <c r="O214" s="4" t="s">
        <v>7083</v>
      </c>
      <c r="P214" s="4" t="s">
        <v>69</v>
      </c>
      <c r="Q214" s="4"/>
      <c r="R214" s="4"/>
      <c r="S214" s="4"/>
      <c r="T214" s="4"/>
      <c r="U214" s="4">
        <v>1.0</v>
      </c>
      <c r="V214" s="4"/>
      <c r="W214" s="4"/>
      <c r="X214" s="4"/>
      <c r="Y214" s="4"/>
      <c r="Z214" s="4"/>
      <c r="AA214" s="4"/>
    </row>
    <row r="215">
      <c r="A215" s="4" t="s">
        <v>7205</v>
      </c>
      <c r="B215" s="4" t="s">
        <v>14</v>
      </c>
      <c r="C215" s="4" t="s">
        <v>7070</v>
      </c>
      <c r="D215" s="4">
        <v>44006.0</v>
      </c>
      <c r="E215" s="4">
        <v>0.597048611111112</v>
      </c>
      <c r="F215" s="4">
        <v>0.0</v>
      </c>
      <c r="G215" s="4">
        <v>0.597048611111112</v>
      </c>
      <c r="H215" s="4"/>
      <c r="I215" s="4"/>
      <c r="J215" s="4"/>
      <c r="K215" s="4"/>
      <c r="L215" s="4"/>
      <c r="M215" s="4"/>
      <c r="N215" s="4"/>
      <c r="O215" s="4" t="s">
        <v>7206</v>
      </c>
      <c r="P215" s="4" t="s">
        <v>105</v>
      </c>
      <c r="Q215" s="4"/>
      <c r="R215" s="4"/>
      <c r="S215" s="4"/>
      <c r="T215" s="4"/>
      <c r="U215" s="4"/>
      <c r="V215" s="4"/>
      <c r="W215" s="4"/>
      <c r="X215" s="4"/>
      <c r="Y215" s="4"/>
      <c r="Z215" s="4"/>
      <c r="AA215" s="4"/>
    </row>
    <row r="216">
      <c r="A216" s="4" t="s">
        <v>7207</v>
      </c>
      <c r="B216" s="4" t="s">
        <v>14</v>
      </c>
      <c r="C216" s="4" t="s">
        <v>7070</v>
      </c>
      <c r="D216" s="4">
        <v>44006.0</v>
      </c>
      <c r="E216" s="4">
        <v>0.597048611111112</v>
      </c>
      <c r="F216" s="4">
        <v>3.4722222222222224E-4</v>
      </c>
      <c r="G216" s="4">
        <v>0.5973958333333342</v>
      </c>
      <c r="H216" s="4"/>
      <c r="I216" s="4"/>
      <c r="J216" s="4"/>
      <c r="K216" s="4"/>
      <c r="L216" s="4"/>
      <c r="M216" s="4"/>
      <c r="N216" s="4"/>
      <c r="O216" s="4" t="s">
        <v>119</v>
      </c>
      <c r="P216" s="4" t="s">
        <v>128</v>
      </c>
      <c r="Q216" s="4"/>
      <c r="R216" s="4"/>
      <c r="S216" s="4"/>
      <c r="T216" s="4"/>
      <c r="U216" s="4">
        <v>1.0</v>
      </c>
      <c r="V216" s="4"/>
      <c r="W216" s="4"/>
      <c r="X216" s="4"/>
      <c r="Y216" s="4"/>
      <c r="Z216" s="4"/>
      <c r="AA216" s="4"/>
    </row>
    <row r="217">
      <c r="A217" s="4" t="s">
        <v>7208</v>
      </c>
      <c r="B217" s="4" t="s">
        <v>14</v>
      </c>
      <c r="C217" s="4" t="s">
        <v>7070</v>
      </c>
      <c r="D217" s="4">
        <v>44006.0</v>
      </c>
      <c r="E217" s="4">
        <v>0.5973958333333342</v>
      </c>
      <c r="F217" s="4">
        <v>0.010416666666666666</v>
      </c>
      <c r="G217" s="4">
        <v>0.6078125000000009</v>
      </c>
      <c r="H217" s="4" t="s">
        <v>1125</v>
      </c>
      <c r="I217" s="4" t="s">
        <v>4142</v>
      </c>
      <c r="J217" s="4" t="s">
        <v>7059</v>
      </c>
      <c r="K217" s="4" t="s">
        <v>299</v>
      </c>
      <c r="L217" s="4" t="s">
        <v>107</v>
      </c>
      <c r="M217" s="4"/>
      <c r="N217" s="4" t="s">
        <v>6749</v>
      </c>
      <c r="O217" s="4" t="s">
        <v>300</v>
      </c>
      <c r="P217" s="4" t="s">
        <v>301</v>
      </c>
      <c r="Q217" s="4" t="s">
        <v>302</v>
      </c>
      <c r="R217" s="4"/>
      <c r="S217" s="4"/>
      <c r="T217" s="4" t="s">
        <v>132</v>
      </c>
      <c r="U217" s="4">
        <v>3.0</v>
      </c>
      <c r="V217" s="4" t="s">
        <v>7209</v>
      </c>
      <c r="W217" s="4"/>
      <c r="X217" s="4"/>
      <c r="Y217" s="4"/>
      <c r="Z217" s="4"/>
      <c r="AA217" s="4"/>
    </row>
    <row r="218">
      <c r="A218" s="4" t="s">
        <v>7210</v>
      </c>
      <c r="B218" s="4" t="s">
        <v>14</v>
      </c>
      <c r="C218" s="4" t="s">
        <v>7070</v>
      </c>
      <c r="D218" s="4">
        <v>44006.0</v>
      </c>
      <c r="E218" s="4">
        <v>0.6078125000000009</v>
      </c>
      <c r="F218" s="4">
        <v>1.7361111111111112E-4</v>
      </c>
      <c r="G218" s="4">
        <v>0.607986111111112</v>
      </c>
      <c r="H218" s="4"/>
      <c r="I218" s="4"/>
      <c r="J218" s="4"/>
      <c r="K218" s="4"/>
      <c r="L218" s="4"/>
      <c r="M218" s="4"/>
      <c r="N218" s="4"/>
      <c r="O218" s="4" t="s">
        <v>7077</v>
      </c>
      <c r="P218" s="4" t="s">
        <v>128</v>
      </c>
      <c r="Q218" s="4"/>
      <c r="R218" s="4"/>
      <c r="S218" s="4"/>
      <c r="T218" s="4"/>
      <c r="U218" s="4">
        <v>1.0</v>
      </c>
      <c r="V218" s="4"/>
      <c r="W218" s="4"/>
      <c r="X218" s="4"/>
      <c r="Y218" s="4"/>
      <c r="Z218" s="4"/>
      <c r="AA218" s="4"/>
    </row>
    <row r="219">
      <c r="A219" s="4" t="s">
        <v>7211</v>
      </c>
      <c r="B219" s="4" t="s">
        <v>14</v>
      </c>
      <c r="C219" s="4" t="s">
        <v>7070</v>
      </c>
      <c r="D219" s="4">
        <v>44006.0</v>
      </c>
      <c r="E219" s="4">
        <v>0.607986111111112</v>
      </c>
      <c r="F219" s="4">
        <v>0.006944444444444444</v>
      </c>
      <c r="G219" s="4">
        <v>0.6149305555555564</v>
      </c>
      <c r="H219" s="4"/>
      <c r="I219" s="4"/>
      <c r="J219" s="4"/>
      <c r="K219" s="4"/>
      <c r="L219" s="4"/>
      <c r="M219" s="4"/>
      <c r="N219" s="4"/>
      <c r="O219" s="4" t="s">
        <v>7212</v>
      </c>
      <c r="P219" s="4" t="s">
        <v>69</v>
      </c>
      <c r="Q219" s="4"/>
      <c r="R219" s="4"/>
      <c r="S219" s="4"/>
      <c r="T219" s="4"/>
      <c r="U219" s="4">
        <v>1.0</v>
      </c>
      <c r="V219" s="4"/>
      <c r="W219" s="4"/>
      <c r="X219" s="4" t="s">
        <v>314</v>
      </c>
      <c r="Y219" s="4"/>
      <c r="Z219" s="4"/>
      <c r="AA219" s="4"/>
    </row>
    <row r="220">
      <c r="A220" s="4" t="s">
        <v>7213</v>
      </c>
      <c r="B220" s="4" t="s">
        <v>14</v>
      </c>
      <c r="C220" s="4" t="s">
        <v>7070</v>
      </c>
      <c r="D220" s="4">
        <v>44006.0</v>
      </c>
      <c r="E220" s="4">
        <v>0.6149305555555564</v>
      </c>
      <c r="F220" s="4">
        <v>1.7361111111111112E-4</v>
      </c>
      <c r="G220" s="4">
        <v>0.6151041666666676</v>
      </c>
      <c r="H220" s="4"/>
      <c r="I220" s="4"/>
      <c r="J220" s="4"/>
      <c r="K220" s="4"/>
      <c r="L220" s="4"/>
      <c r="M220" s="4"/>
      <c r="N220" s="4"/>
      <c r="O220" s="4" t="s">
        <v>7077</v>
      </c>
      <c r="P220" s="4"/>
      <c r="Q220" s="4"/>
      <c r="R220" s="4"/>
      <c r="S220" s="4"/>
      <c r="T220" s="4"/>
      <c r="U220" s="4"/>
      <c r="V220" s="4"/>
      <c r="W220" s="4"/>
      <c r="X220" s="4"/>
      <c r="Y220" s="4"/>
      <c r="Z220" s="4"/>
      <c r="AA220" s="4"/>
    </row>
    <row r="221">
      <c r="A221" s="4" t="s">
        <v>7214</v>
      </c>
      <c r="B221" s="4" t="s">
        <v>14</v>
      </c>
      <c r="C221" s="4" t="s">
        <v>7070</v>
      </c>
      <c r="D221" s="4">
        <v>44006.0</v>
      </c>
      <c r="E221" s="4">
        <v>0.6151041666666676</v>
      </c>
      <c r="F221" s="4">
        <v>0.0010416666666666667</v>
      </c>
      <c r="G221" s="4">
        <v>0.6161458333333343</v>
      </c>
      <c r="H221" s="4"/>
      <c r="I221" s="4"/>
      <c r="J221" s="4"/>
      <c r="K221" s="4"/>
      <c r="L221" s="4"/>
      <c r="M221" s="4"/>
      <c r="N221" s="4"/>
      <c r="O221" s="4" t="s">
        <v>370</v>
      </c>
      <c r="P221" s="4" t="s">
        <v>69</v>
      </c>
      <c r="Q221" s="4"/>
      <c r="R221" s="4"/>
      <c r="S221" s="4"/>
      <c r="T221" s="4"/>
      <c r="U221" s="4">
        <v>1.0</v>
      </c>
      <c r="V221" s="4"/>
      <c r="W221" s="4"/>
      <c r="X221" s="4"/>
      <c r="Y221" s="4"/>
      <c r="Z221" s="4"/>
      <c r="AA221" s="4"/>
    </row>
    <row r="222">
      <c r="A222" s="4" t="s">
        <v>7215</v>
      </c>
      <c r="B222" s="4" t="s">
        <v>14</v>
      </c>
      <c r="C222" s="4" t="s">
        <v>7070</v>
      </c>
      <c r="D222" s="4">
        <v>44006.0</v>
      </c>
      <c r="E222" s="4">
        <v>0.6161458333333343</v>
      </c>
      <c r="F222" s="4">
        <v>3.4722222222222224E-4</v>
      </c>
      <c r="G222" s="4">
        <v>0.6164930555555566</v>
      </c>
      <c r="H222" s="4"/>
      <c r="I222" s="4"/>
      <c r="J222" s="4"/>
      <c r="K222" s="4"/>
      <c r="L222" s="4"/>
      <c r="M222" s="4"/>
      <c r="N222" s="4"/>
      <c r="O222" s="4" t="s">
        <v>119</v>
      </c>
      <c r="P222" s="4" t="s">
        <v>128</v>
      </c>
      <c r="Q222" s="4"/>
      <c r="R222" s="4"/>
      <c r="S222" s="4"/>
      <c r="T222" s="4"/>
      <c r="U222" s="4">
        <v>1.0</v>
      </c>
      <c r="V222" s="4"/>
      <c r="W222" s="4"/>
      <c r="X222" s="4"/>
      <c r="Y222" s="4"/>
      <c r="Z222" s="4"/>
      <c r="AA222" s="4"/>
    </row>
    <row r="223">
      <c r="A223" s="4" t="s">
        <v>7216</v>
      </c>
      <c r="B223" s="4" t="s">
        <v>14</v>
      </c>
      <c r="C223" s="4" t="s">
        <v>7070</v>
      </c>
      <c r="D223" s="4">
        <v>44006.0</v>
      </c>
      <c r="E223" s="4">
        <v>0.6164930555555566</v>
      </c>
      <c r="F223" s="4">
        <v>0.008333333333333333</v>
      </c>
      <c r="G223" s="4">
        <v>0.6248263888888899</v>
      </c>
      <c r="H223" s="4" t="s">
        <v>847</v>
      </c>
      <c r="I223" s="4" t="s">
        <v>6947</v>
      </c>
      <c r="J223" s="4" t="s">
        <v>6948</v>
      </c>
      <c r="K223" s="4" t="s">
        <v>394</v>
      </c>
      <c r="L223" s="4" t="s">
        <v>74</v>
      </c>
      <c r="M223" s="4"/>
      <c r="N223" s="4" t="s">
        <v>6755</v>
      </c>
      <c r="O223" s="4" t="s">
        <v>395</v>
      </c>
      <c r="P223" s="4" t="s">
        <v>396</v>
      </c>
      <c r="Q223" s="4"/>
      <c r="R223" s="4"/>
      <c r="S223" s="4"/>
      <c r="T223" s="4" t="s">
        <v>397</v>
      </c>
      <c r="U223" s="4">
        <v>2.0</v>
      </c>
      <c r="V223" s="4" t="s">
        <v>7217</v>
      </c>
      <c r="W223" s="4" t="s">
        <v>6860</v>
      </c>
      <c r="X223" s="4"/>
      <c r="Y223" s="4"/>
      <c r="Z223" s="4"/>
      <c r="AA223" s="4"/>
    </row>
    <row r="224">
      <c r="A224" s="4" t="s">
        <v>7218</v>
      </c>
      <c r="B224" s="4" t="s">
        <v>14</v>
      </c>
      <c r="C224" s="4" t="s">
        <v>7070</v>
      </c>
      <c r="D224" s="4">
        <v>44006.0</v>
      </c>
      <c r="E224" s="4">
        <v>0.6248263888888899</v>
      </c>
      <c r="F224" s="4">
        <v>1.7361111111111112E-4</v>
      </c>
      <c r="G224" s="4">
        <v>0.625000000000001</v>
      </c>
      <c r="H224" s="4"/>
      <c r="I224" s="4"/>
      <c r="J224" s="4"/>
      <c r="K224" s="4"/>
      <c r="L224" s="4"/>
      <c r="M224" s="4"/>
      <c r="N224" s="4"/>
      <c r="O224" s="4"/>
      <c r="P224" s="4"/>
      <c r="Q224" s="4"/>
      <c r="R224" s="4"/>
      <c r="S224" s="4"/>
      <c r="T224" s="4"/>
      <c r="U224" s="4"/>
      <c r="V224" s="4"/>
      <c r="W224" s="4"/>
      <c r="X224" s="4"/>
      <c r="Y224" s="4"/>
      <c r="Z224" s="4"/>
      <c r="AA224" s="4"/>
    </row>
    <row r="225">
      <c r="A225" s="4" t="s">
        <v>7219</v>
      </c>
      <c r="B225" s="4" t="s">
        <v>14</v>
      </c>
      <c r="C225" s="4" t="s">
        <v>7070</v>
      </c>
      <c r="D225" s="4">
        <v>44006.0</v>
      </c>
      <c r="E225" s="4"/>
      <c r="F225" s="4"/>
      <c r="G225" s="4"/>
      <c r="H225" s="4"/>
      <c r="I225" s="4"/>
      <c r="J225" s="4"/>
      <c r="K225" s="4"/>
      <c r="L225" s="4"/>
      <c r="M225" s="4"/>
      <c r="N225" s="4"/>
      <c r="O225" s="4"/>
      <c r="P225" s="4"/>
      <c r="Q225" s="4"/>
      <c r="R225" s="4"/>
      <c r="S225" s="4"/>
      <c r="T225" s="4"/>
      <c r="U225" s="4"/>
      <c r="V225" s="4"/>
      <c r="W225" s="4"/>
      <c r="X225" s="4"/>
      <c r="Y225" s="4"/>
      <c r="Z225" s="4"/>
      <c r="AA225" s="4"/>
    </row>
    <row r="226">
      <c r="A226" s="4" t="s">
        <v>7220</v>
      </c>
      <c r="B226" s="4" t="s">
        <v>14</v>
      </c>
      <c r="C226" s="4" t="s">
        <v>7070</v>
      </c>
      <c r="D226" s="4">
        <v>44006.0</v>
      </c>
      <c r="E226" s="4">
        <v>0.625000000000001</v>
      </c>
      <c r="F226" s="4">
        <v>0.002777777777777778</v>
      </c>
      <c r="G226" s="4">
        <v>0.6277777777777788</v>
      </c>
      <c r="H226" s="4"/>
      <c r="I226" s="4"/>
      <c r="J226" s="4"/>
      <c r="K226" s="4"/>
      <c r="L226" s="4"/>
      <c r="M226" s="4"/>
      <c r="N226" s="4"/>
      <c r="O226" s="4" t="s">
        <v>6915</v>
      </c>
      <c r="P226" s="4" t="s">
        <v>128</v>
      </c>
      <c r="Q226" s="4"/>
      <c r="R226" s="4"/>
      <c r="S226" s="4"/>
      <c r="T226" s="4"/>
      <c r="U226" s="4">
        <v>1.0</v>
      </c>
      <c r="V226" s="4"/>
      <c r="W226" s="4"/>
      <c r="X226" s="4"/>
      <c r="Y226" s="4"/>
      <c r="Z226" s="4"/>
      <c r="AA226" s="4"/>
    </row>
    <row r="227">
      <c r="A227" s="4" t="s">
        <v>7221</v>
      </c>
      <c r="B227" s="4" t="s">
        <v>14</v>
      </c>
      <c r="C227" s="4" t="s">
        <v>7070</v>
      </c>
      <c r="D227" s="4">
        <v>44006.0</v>
      </c>
      <c r="E227" s="4">
        <v>0.6277777777777788</v>
      </c>
      <c r="F227" s="4">
        <v>3.4722222222222224E-4</v>
      </c>
      <c r="G227" s="4">
        <v>0.628125000000001</v>
      </c>
      <c r="H227" s="4"/>
      <c r="I227" s="4"/>
      <c r="J227" s="4"/>
      <c r="K227" s="4"/>
      <c r="L227" s="4"/>
      <c r="M227" s="4"/>
      <c r="N227" s="4"/>
      <c r="O227" s="4" t="s">
        <v>91</v>
      </c>
      <c r="P227" s="4" t="s">
        <v>128</v>
      </c>
      <c r="Q227" s="4"/>
      <c r="R227" s="4"/>
      <c r="S227" s="4"/>
      <c r="T227" s="4"/>
      <c r="U227" s="4">
        <v>1.0</v>
      </c>
      <c r="V227" s="4"/>
      <c r="W227" s="4"/>
      <c r="X227" s="4"/>
      <c r="Y227" s="4"/>
      <c r="Z227" s="4"/>
      <c r="AA227" s="4"/>
    </row>
    <row r="228">
      <c r="A228" s="4" t="s">
        <v>7222</v>
      </c>
      <c r="B228" s="4" t="s">
        <v>14</v>
      </c>
      <c r="C228" s="4" t="s">
        <v>7070</v>
      </c>
      <c r="D228" s="4">
        <v>44006.0</v>
      </c>
      <c r="E228" s="4">
        <v>0.628125000000001</v>
      </c>
      <c r="F228" s="4">
        <v>0.006944444444444444</v>
      </c>
      <c r="G228" s="4">
        <v>0.6350694444444455</v>
      </c>
      <c r="H228" s="4" t="s">
        <v>1362</v>
      </c>
      <c r="I228" s="4"/>
      <c r="J228" s="4" t="s">
        <v>6938</v>
      </c>
      <c r="K228" s="4"/>
      <c r="L228" s="4" t="s">
        <v>94</v>
      </c>
      <c r="M228" s="4"/>
      <c r="N228" s="4" t="s">
        <v>6749</v>
      </c>
      <c r="O228" s="4" t="s">
        <v>317</v>
      </c>
      <c r="P228" s="4" t="s">
        <v>318</v>
      </c>
      <c r="Q228" s="4" t="s">
        <v>128</v>
      </c>
      <c r="R228" s="4"/>
      <c r="S228" s="4"/>
      <c r="T228" s="4"/>
      <c r="U228" s="4">
        <v>2.0</v>
      </c>
      <c r="V228" s="4" t="s">
        <v>7223</v>
      </c>
      <c r="W228" s="4" t="s">
        <v>7088</v>
      </c>
      <c r="X228" s="4"/>
      <c r="Y228" s="4"/>
      <c r="Z228" s="4"/>
      <c r="AA228" s="4"/>
    </row>
    <row r="229">
      <c r="A229" s="4" t="s">
        <v>7224</v>
      </c>
      <c r="B229" s="4" t="s">
        <v>14</v>
      </c>
      <c r="C229" s="4" t="s">
        <v>7070</v>
      </c>
      <c r="D229" s="4">
        <v>44006.0</v>
      </c>
      <c r="E229" s="4">
        <v>0.6350694444444455</v>
      </c>
      <c r="F229" s="4">
        <v>1.7361111111111112E-4</v>
      </c>
      <c r="G229" s="4">
        <v>0.6352430555555566</v>
      </c>
      <c r="H229" s="4"/>
      <c r="I229" s="4"/>
      <c r="J229" s="4"/>
      <c r="K229" s="4"/>
      <c r="L229" s="4"/>
      <c r="M229" s="4"/>
      <c r="N229" s="4"/>
      <c r="O229" s="4" t="s">
        <v>7077</v>
      </c>
      <c r="P229" s="4" t="s">
        <v>128</v>
      </c>
      <c r="Q229" s="4"/>
      <c r="R229" s="4"/>
      <c r="S229" s="4"/>
      <c r="T229" s="4"/>
      <c r="U229" s="4">
        <v>1.0</v>
      </c>
      <c r="V229" s="4"/>
      <c r="W229" s="4"/>
      <c r="X229" s="4"/>
      <c r="Y229" s="4"/>
      <c r="Z229" s="4"/>
      <c r="AA229" s="4"/>
    </row>
    <row r="230">
      <c r="A230" s="4" t="s">
        <v>7225</v>
      </c>
      <c r="B230" s="4" t="s">
        <v>14</v>
      </c>
      <c r="C230" s="4" t="s">
        <v>7070</v>
      </c>
      <c r="D230" s="4">
        <v>44006.0</v>
      </c>
      <c r="E230" s="4">
        <v>0.6352430555555566</v>
      </c>
      <c r="F230" s="4">
        <v>5.208333333333333E-4</v>
      </c>
      <c r="G230" s="4">
        <v>0.6357638888888899</v>
      </c>
      <c r="H230" s="4"/>
      <c r="I230" s="4"/>
      <c r="J230" s="4"/>
      <c r="K230" s="4"/>
      <c r="L230" s="4"/>
      <c r="M230" s="4"/>
      <c r="N230" s="4"/>
      <c r="O230" s="4" t="s">
        <v>370</v>
      </c>
      <c r="P230" s="4"/>
      <c r="Q230" s="4"/>
      <c r="R230" s="4"/>
      <c r="S230" s="4"/>
      <c r="T230" s="4"/>
      <c r="U230" s="4"/>
      <c r="V230" s="4"/>
      <c r="W230" s="4"/>
      <c r="X230" s="4"/>
      <c r="Y230" s="4"/>
      <c r="Z230" s="4"/>
      <c r="AA230" s="4"/>
    </row>
    <row r="231">
      <c r="A231" s="4" t="s">
        <v>7226</v>
      </c>
      <c r="B231" s="4" t="s">
        <v>14</v>
      </c>
      <c r="C231" s="4" t="s">
        <v>7070</v>
      </c>
      <c r="D231" s="4">
        <v>44006.0</v>
      </c>
      <c r="E231" s="4">
        <v>0.6357638888888899</v>
      </c>
      <c r="F231" s="4">
        <v>3.4722222222222224E-4</v>
      </c>
      <c r="G231" s="4">
        <v>0.6361111111111122</v>
      </c>
      <c r="H231" s="4"/>
      <c r="I231" s="4"/>
      <c r="J231" s="4"/>
      <c r="K231" s="4"/>
      <c r="L231" s="4"/>
      <c r="M231" s="4"/>
      <c r="N231" s="4"/>
      <c r="O231" s="4" t="s">
        <v>7079</v>
      </c>
      <c r="P231" s="4" t="s">
        <v>128</v>
      </c>
      <c r="Q231" s="4"/>
      <c r="R231" s="4"/>
      <c r="S231" s="4"/>
      <c r="T231" s="4"/>
      <c r="U231" s="4">
        <v>1.0</v>
      </c>
      <c r="V231" s="4"/>
      <c r="W231" s="4"/>
      <c r="X231" s="4"/>
      <c r="Y231" s="4"/>
      <c r="Z231" s="4"/>
      <c r="AA231" s="4"/>
    </row>
    <row r="232">
      <c r="A232" s="4" t="s">
        <v>7227</v>
      </c>
      <c r="B232" s="4" t="s">
        <v>14</v>
      </c>
      <c r="C232" s="4" t="s">
        <v>7070</v>
      </c>
      <c r="D232" s="4">
        <v>44006.0</v>
      </c>
      <c r="E232" s="4">
        <v>0.6361111111111122</v>
      </c>
      <c r="F232" s="4">
        <v>0.0020833333333333333</v>
      </c>
      <c r="G232" s="4">
        <v>0.6381944444444455</v>
      </c>
      <c r="H232" s="4" t="s">
        <v>600</v>
      </c>
      <c r="I232" s="4"/>
      <c r="J232" s="4"/>
      <c r="K232" s="4"/>
      <c r="L232" s="4" t="s">
        <v>83</v>
      </c>
      <c r="M232" s="4"/>
      <c r="N232" s="4"/>
      <c r="O232" s="4" t="s">
        <v>7228</v>
      </c>
      <c r="P232" s="4"/>
      <c r="Q232" s="4"/>
      <c r="R232" s="4"/>
      <c r="S232" s="4"/>
      <c r="T232" s="4"/>
      <c r="U232" s="4">
        <v>0.0</v>
      </c>
      <c r="V232" s="4"/>
      <c r="W232" s="4"/>
      <c r="X232" s="4"/>
      <c r="Y232" s="4"/>
      <c r="Z232" s="4"/>
      <c r="AA232" s="4"/>
    </row>
    <row r="233">
      <c r="A233" s="4" t="s">
        <v>7229</v>
      </c>
      <c r="B233" s="4" t="s">
        <v>14</v>
      </c>
      <c r="C233" s="4" t="s">
        <v>7070</v>
      </c>
      <c r="D233" s="4">
        <v>44006.0</v>
      </c>
      <c r="E233" s="4">
        <v>0.6381944444444455</v>
      </c>
      <c r="F233" s="4">
        <v>1.7361111111111112E-4</v>
      </c>
      <c r="G233" s="4">
        <v>0.6383680555555566</v>
      </c>
      <c r="H233" s="4" t="s">
        <v>600</v>
      </c>
      <c r="I233" s="4"/>
      <c r="J233" s="4"/>
      <c r="K233" s="4"/>
      <c r="L233" s="4"/>
      <c r="M233" s="4"/>
      <c r="N233" s="4"/>
      <c r="O233" s="4" t="s">
        <v>7083</v>
      </c>
      <c r="P233" s="4" t="s">
        <v>69</v>
      </c>
      <c r="Q233" s="4"/>
      <c r="R233" s="4"/>
      <c r="S233" s="4"/>
      <c r="T233" s="4"/>
      <c r="U233" s="4">
        <v>1.0</v>
      </c>
      <c r="V233" s="4"/>
      <c r="W233" s="4"/>
      <c r="X233" s="4"/>
      <c r="Y233" s="4"/>
      <c r="Z233" s="4"/>
      <c r="AA233" s="4"/>
    </row>
    <row r="234">
      <c r="A234" s="4" t="s">
        <v>7230</v>
      </c>
      <c r="B234" s="4" t="s">
        <v>14</v>
      </c>
      <c r="C234" s="4" t="s">
        <v>7070</v>
      </c>
      <c r="D234" s="4">
        <v>44006.0</v>
      </c>
      <c r="E234" s="4">
        <v>0.6383680555555566</v>
      </c>
      <c r="F234" s="4">
        <v>3.4722222222222224E-4</v>
      </c>
      <c r="G234" s="4">
        <v>0.6387152777777789</v>
      </c>
      <c r="H234" s="4"/>
      <c r="I234" s="4"/>
      <c r="J234" s="4"/>
      <c r="K234" s="4"/>
      <c r="L234" s="4"/>
      <c r="M234" s="4"/>
      <c r="N234" s="4"/>
      <c r="O234" s="4" t="s">
        <v>1127</v>
      </c>
      <c r="P234" s="4" t="s">
        <v>128</v>
      </c>
      <c r="Q234" s="4"/>
      <c r="R234" s="4"/>
      <c r="S234" s="4"/>
      <c r="T234" s="4"/>
      <c r="U234" s="4">
        <v>1.0</v>
      </c>
      <c r="V234" s="4"/>
      <c r="W234" s="4"/>
      <c r="X234" s="4"/>
      <c r="Y234" s="4"/>
      <c r="Z234" s="4"/>
      <c r="AA234" s="4"/>
    </row>
    <row r="235">
      <c r="A235" s="4" t="s">
        <v>7231</v>
      </c>
      <c r="B235" s="4" t="s">
        <v>14</v>
      </c>
      <c r="C235" s="4" t="s">
        <v>7070</v>
      </c>
      <c r="D235" s="4">
        <v>44006.0</v>
      </c>
      <c r="E235" s="4">
        <v>0.6387152777777789</v>
      </c>
      <c r="F235" s="4">
        <v>0.0125</v>
      </c>
      <c r="G235" s="4">
        <v>0.6512152777777789</v>
      </c>
      <c r="H235" s="4" t="s">
        <v>873</v>
      </c>
      <c r="I235" s="4" t="s">
        <v>6947</v>
      </c>
      <c r="J235" s="4" t="s">
        <v>6948</v>
      </c>
      <c r="K235" s="4" t="s">
        <v>120</v>
      </c>
      <c r="L235" s="4" t="s">
        <v>74</v>
      </c>
      <c r="M235" s="4"/>
      <c r="N235" s="4" t="s">
        <v>6749</v>
      </c>
      <c r="O235" s="4" t="s">
        <v>121</v>
      </c>
      <c r="P235" s="4" t="s">
        <v>122</v>
      </c>
      <c r="Q235" s="4" t="s">
        <v>123</v>
      </c>
      <c r="R235" s="4" t="s">
        <v>124</v>
      </c>
      <c r="S235" s="4"/>
      <c r="T235" s="4" t="s">
        <v>125</v>
      </c>
      <c r="U235" s="4">
        <v>4.0</v>
      </c>
      <c r="V235" s="4" t="s">
        <v>7232</v>
      </c>
      <c r="W235" s="4" t="s">
        <v>7136</v>
      </c>
      <c r="X235" s="4" t="s">
        <v>7177</v>
      </c>
      <c r="Y235" s="4" t="s">
        <v>7178</v>
      </c>
      <c r="Z235" s="4" t="s">
        <v>873</v>
      </c>
      <c r="AA235" s="4"/>
    </row>
    <row r="236">
      <c r="A236" s="4" t="s">
        <v>7233</v>
      </c>
      <c r="B236" s="4" t="s">
        <v>14</v>
      </c>
      <c r="C236" s="4" t="s">
        <v>7070</v>
      </c>
      <c r="D236" s="4">
        <v>44006.0</v>
      </c>
      <c r="E236" s="4">
        <v>0.6512152777777789</v>
      </c>
      <c r="F236" s="4">
        <v>1.7361111111111112E-4</v>
      </c>
      <c r="G236" s="4">
        <v>0.65138888888889</v>
      </c>
      <c r="H236" s="4"/>
      <c r="I236" s="4"/>
      <c r="J236" s="4"/>
      <c r="K236" s="4"/>
      <c r="L236" s="4"/>
      <c r="M236" s="4"/>
      <c r="N236" s="4"/>
      <c r="O236" s="4" t="s">
        <v>7077</v>
      </c>
      <c r="P236" s="4" t="s">
        <v>128</v>
      </c>
      <c r="Q236" s="4"/>
      <c r="R236" s="4"/>
      <c r="S236" s="4"/>
      <c r="T236" s="4"/>
      <c r="U236" s="4">
        <v>1.0</v>
      </c>
      <c r="V236" s="4"/>
      <c r="W236" s="4"/>
      <c r="X236" s="4"/>
      <c r="Y236" s="4"/>
      <c r="Z236" s="4"/>
      <c r="AA236" s="4"/>
    </row>
    <row r="237">
      <c r="A237" s="4" t="s">
        <v>7234</v>
      </c>
      <c r="B237" s="4" t="s">
        <v>14</v>
      </c>
      <c r="C237" s="4" t="s">
        <v>7070</v>
      </c>
      <c r="D237" s="4">
        <v>44006.0</v>
      </c>
      <c r="E237" s="4">
        <v>0.65138888888889</v>
      </c>
      <c r="F237" s="4">
        <v>0.003472222222222222</v>
      </c>
      <c r="G237" s="4">
        <v>0.6548611111111122</v>
      </c>
      <c r="H237" s="4" t="s">
        <v>1185</v>
      </c>
      <c r="I237" s="4"/>
      <c r="J237" s="4"/>
      <c r="K237" s="4"/>
      <c r="L237" s="4"/>
      <c r="M237" s="4"/>
      <c r="N237" s="4"/>
      <c r="O237" s="4" t="s">
        <v>338</v>
      </c>
      <c r="P237" s="4" t="s">
        <v>69</v>
      </c>
      <c r="Q237" s="4"/>
      <c r="R237" s="4"/>
      <c r="S237" s="4"/>
      <c r="T237" s="4"/>
      <c r="U237" s="4">
        <v>1.0</v>
      </c>
      <c r="V237" s="4"/>
      <c r="W237" s="4"/>
      <c r="X237" s="4"/>
      <c r="Y237" s="4"/>
      <c r="Z237" s="4"/>
      <c r="AA237" s="4"/>
    </row>
    <row r="238">
      <c r="A238" s="4" t="s">
        <v>7235</v>
      </c>
      <c r="B238" s="4" t="s">
        <v>14</v>
      </c>
      <c r="C238" s="4" t="s">
        <v>7070</v>
      </c>
      <c r="D238" s="4">
        <v>44006.0</v>
      </c>
      <c r="E238" s="4">
        <v>0.6548611111111122</v>
      </c>
      <c r="F238" s="4">
        <v>3.4722222222222224E-4</v>
      </c>
      <c r="G238" s="4">
        <v>0.6552083333333345</v>
      </c>
      <c r="H238" s="4" t="s">
        <v>441</v>
      </c>
      <c r="I238" s="4"/>
      <c r="J238" s="4"/>
      <c r="K238" s="4"/>
      <c r="L238" s="4"/>
      <c r="M238" s="4"/>
      <c r="N238" s="4"/>
      <c r="O238" s="4" t="s">
        <v>370</v>
      </c>
      <c r="P238" s="4" t="s">
        <v>69</v>
      </c>
      <c r="Q238" s="4"/>
      <c r="R238" s="4"/>
      <c r="S238" s="4"/>
      <c r="T238" s="4"/>
      <c r="U238" s="4">
        <v>1.0</v>
      </c>
      <c r="V238" s="4"/>
      <c r="W238" s="4"/>
      <c r="X238" s="4"/>
      <c r="Y238" s="4"/>
      <c r="Z238" s="4"/>
      <c r="AA238" s="4"/>
    </row>
    <row r="239">
      <c r="A239" s="4" t="s">
        <v>7236</v>
      </c>
      <c r="B239" s="4" t="s">
        <v>14</v>
      </c>
      <c r="C239" s="4" t="s">
        <v>7070</v>
      </c>
      <c r="D239" s="4">
        <v>44006.0</v>
      </c>
      <c r="E239" s="4">
        <v>0.6552083333333345</v>
      </c>
      <c r="F239" s="4">
        <v>6.944444444444445E-4</v>
      </c>
      <c r="G239" s="4">
        <v>0.655902777777779</v>
      </c>
      <c r="H239" s="4"/>
      <c r="I239" s="4"/>
      <c r="J239" s="4"/>
      <c r="K239" s="4"/>
      <c r="L239" s="4"/>
      <c r="M239" s="4"/>
      <c r="N239" s="4"/>
      <c r="O239" s="4" t="s">
        <v>7171</v>
      </c>
      <c r="P239" s="4" t="s">
        <v>105</v>
      </c>
      <c r="Q239" s="4"/>
      <c r="R239" s="4"/>
      <c r="S239" s="4"/>
      <c r="T239" s="4"/>
      <c r="U239" s="4">
        <v>1.0</v>
      </c>
      <c r="V239" s="4"/>
      <c r="W239" s="4"/>
      <c r="X239" s="4"/>
      <c r="Y239" s="4"/>
      <c r="Z239" s="4"/>
      <c r="AA239" s="4"/>
    </row>
    <row r="240">
      <c r="A240" s="4" t="s">
        <v>7237</v>
      </c>
      <c r="B240" s="4" t="s">
        <v>14</v>
      </c>
      <c r="C240" s="4" t="s">
        <v>7070</v>
      </c>
      <c r="D240" s="4">
        <v>44006.0</v>
      </c>
      <c r="E240" s="4">
        <v>0.655902777777779</v>
      </c>
      <c r="F240" s="4">
        <v>3.4722222222222224E-4</v>
      </c>
      <c r="G240" s="4">
        <v>0.6562500000000012</v>
      </c>
      <c r="H240" s="4"/>
      <c r="I240" s="4"/>
      <c r="J240" s="4"/>
      <c r="K240" s="4"/>
      <c r="L240" s="4"/>
      <c r="M240" s="4"/>
      <c r="N240" s="4"/>
      <c r="O240" s="4" t="s">
        <v>6878</v>
      </c>
      <c r="P240" s="4" t="s">
        <v>105</v>
      </c>
      <c r="Q240" s="4"/>
      <c r="R240" s="4"/>
      <c r="S240" s="4"/>
      <c r="T240" s="4"/>
      <c r="U240" s="4">
        <v>1.0</v>
      </c>
      <c r="V240" s="4"/>
      <c r="W240" s="4"/>
      <c r="X240" s="4"/>
      <c r="Y240" s="4"/>
      <c r="Z240" s="4"/>
      <c r="AA240" s="4"/>
    </row>
    <row r="241">
      <c r="A241" s="4" t="s">
        <v>7238</v>
      </c>
      <c r="B241" s="4" t="s">
        <v>14</v>
      </c>
      <c r="C241" s="4" t="s">
        <v>7070</v>
      </c>
      <c r="D241" s="4">
        <v>44006.0</v>
      </c>
      <c r="E241" s="4">
        <v>0.6562500000000012</v>
      </c>
      <c r="F241" s="4">
        <v>0.010416666666666666</v>
      </c>
      <c r="G241" s="4">
        <v>0.6666666666666679</v>
      </c>
      <c r="H241" s="4" t="s">
        <v>1185</v>
      </c>
      <c r="I241" s="4"/>
      <c r="J241" s="4" t="s">
        <v>6948</v>
      </c>
      <c r="K241" s="4"/>
      <c r="L241" s="4" t="s">
        <v>107</v>
      </c>
      <c r="M241" s="4"/>
      <c r="N241" s="4"/>
      <c r="O241" s="4" t="s">
        <v>1534</v>
      </c>
      <c r="P241" s="4" t="s">
        <v>1535</v>
      </c>
      <c r="Q241" s="4"/>
      <c r="R241" s="4"/>
      <c r="S241" s="4"/>
      <c r="T241" s="4"/>
      <c r="U241" s="4"/>
      <c r="V241" s="4" t="s">
        <v>7239</v>
      </c>
      <c r="W241" s="4"/>
      <c r="X241" s="4"/>
      <c r="Y241" s="4"/>
      <c r="Z241" s="4"/>
      <c r="AA241" s="4"/>
    </row>
    <row r="242">
      <c r="A242" s="4" t="s">
        <v>7240</v>
      </c>
      <c r="B242" s="4" t="s">
        <v>14</v>
      </c>
      <c r="C242" s="4" t="s">
        <v>7070</v>
      </c>
      <c r="D242" s="4">
        <v>44006.0</v>
      </c>
      <c r="E242" s="4">
        <v>0.6666666666666679</v>
      </c>
      <c r="F242" s="4">
        <v>1.7361111111111112E-4</v>
      </c>
      <c r="G242" s="4">
        <v>0.666840277777779</v>
      </c>
      <c r="H242" s="4"/>
      <c r="I242" s="4"/>
      <c r="J242" s="4"/>
      <c r="K242" s="4"/>
      <c r="L242" s="4"/>
      <c r="M242" s="4"/>
      <c r="N242" s="4"/>
      <c r="O242" s="4" t="s">
        <v>7241</v>
      </c>
      <c r="P242" s="4" t="s">
        <v>128</v>
      </c>
      <c r="Q242" s="4"/>
      <c r="R242" s="4"/>
      <c r="S242" s="4"/>
      <c r="T242" s="4"/>
      <c r="U242" s="4">
        <v>1.0</v>
      </c>
      <c r="V242" s="4"/>
      <c r="W242" s="4"/>
      <c r="X242" s="4"/>
      <c r="Y242" s="4"/>
      <c r="Z242" s="4"/>
      <c r="AA242" s="4"/>
    </row>
    <row r="243">
      <c r="A243" s="4" t="s">
        <v>7242</v>
      </c>
      <c r="B243" s="4" t="s">
        <v>14</v>
      </c>
      <c r="C243" s="4" t="s">
        <v>7070</v>
      </c>
      <c r="D243" s="4">
        <v>44006.0</v>
      </c>
      <c r="E243" s="4"/>
      <c r="F243" s="4"/>
      <c r="G243" s="4"/>
      <c r="H243" s="4"/>
      <c r="I243" s="4"/>
      <c r="J243" s="4"/>
      <c r="K243" s="4"/>
      <c r="L243" s="4"/>
      <c r="M243" s="4"/>
      <c r="N243" s="4"/>
      <c r="O243" s="4"/>
      <c r="P243" s="4"/>
      <c r="Q243" s="4"/>
      <c r="R243" s="4"/>
      <c r="S243" s="4"/>
      <c r="T243" s="4"/>
      <c r="U243" s="4"/>
      <c r="V243" s="4"/>
      <c r="W243" s="4"/>
      <c r="X243" s="4"/>
      <c r="Y243" s="4"/>
      <c r="Z243" s="4"/>
      <c r="AA243" s="4"/>
    </row>
    <row r="244">
      <c r="A244" s="4" t="s">
        <v>7243</v>
      </c>
      <c r="B244" s="4" t="s">
        <v>14</v>
      </c>
      <c r="C244" s="4" t="s">
        <v>7070</v>
      </c>
      <c r="D244" s="4">
        <v>44006.0</v>
      </c>
      <c r="E244" s="4">
        <v>0.666840277777779</v>
      </c>
      <c r="F244" s="4">
        <v>0.0020833333333333333</v>
      </c>
      <c r="G244" s="4">
        <v>0.6689236111111123</v>
      </c>
      <c r="H244" s="4"/>
      <c r="I244" s="4"/>
      <c r="J244" s="4"/>
      <c r="K244" s="4"/>
      <c r="L244" s="4"/>
      <c r="M244" s="4"/>
      <c r="N244" s="4"/>
      <c r="O244" s="4" t="s">
        <v>6915</v>
      </c>
      <c r="P244" s="4" t="s">
        <v>105</v>
      </c>
      <c r="Q244" s="4"/>
      <c r="R244" s="4"/>
      <c r="S244" s="4"/>
      <c r="T244" s="4"/>
      <c r="U244" s="4">
        <v>1.0</v>
      </c>
      <c r="V244" s="4"/>
      <c r="W244" s="4"/>
      <c r="X244" s="4"/>
      <c r="Y244" s="4"/>
      <c r="Z244" s="4"/>
      <c r="AA244" s="4"/>
    </row>
    <row r="245">
      <c r="A245" s="4" t="s">
        <v>7244</v>
      </c>
      <c r="B245" s="4" t="s">
        <v>14</v>
      </c>
      <c r="C245" s="4" t="s">
        <v>7070</v>
      </c>
      <c r="D245" s="4">
        <v>44006.0</v>
      </c>
      <c r="E245" s="4">
        <v>0.6689236111111123</v>
      </c>
      <c r="F245" s="4">
        <v>3.4722222222222224E-4</v>
      </c>
      <c r="G245" s="4">
        <v>0.6692708333333346</v>
      </c>
      <c r="H245" s="4"/>
      <c r="I245" s="4"/>
      <c r="J245" s="4"/>
      <c r="K245" s="4"/>
      <c r="L245" s="4"/>
      <c r="M245" s="4"/>
      <c r="N245" s="4"/>
      <c r="O245" s="4" t="s">
        <v>1127</v>
      </c>
      <c r="P245" s="4" t="s">
        <v>105</v>
      </c>
      <c r="Q245" s="4"/>
      <c r="R245" s="4"/>
      <c r="S245" s="4"/>
      <c r="T245" s="4"/>
      <c r="U245" s="4">
        <v>1.0</v>
      </c>
      <c r="V245" s="4"/>
      <c r="W245" s="4"/>
      <c r="X245" s="4"/>
      <c r="Y245" s="4"/>
      <c r="Z245" s="4"/>
      <c r="AA245" s="4"/>
    </row>
    <row r="246">
      <c r="A246" s="4" t="s">
        <v>7245</v>
      </c>
      <c r="B246" s="4" t="s">
        <v>14</v>
      </c>
      <c r="C246" s="4" t="s">
        <v>7070</v>
      </c>
      <c r="D246" s="4">
        <v>44006.0</v>
      </c>
      <c r="E246" s="4">
        <v>0.6692708333333346</v>
      </c>
      <c r="F246" s="4">
        <v>0.008333333333333333</v>
      </c>
      <c r="G246" s="4">
        <v>0.6776041666666679</v>
      </c>
      <c r="H246" s="4" t="s">
        <v>847</v>
      </c>
      <c r="I246" s="4" t="s">
        <v>6947</v>
      </c>
      <c r="J246" s="4" t="s">
        <v>6948</v>
      </c>
      <c r="K246" s="4" t="s">
        <v>120</v>
      </c>
      <c r="L246" s="4" t="s">
        <v>107</v>
      </c>
      <c r="M246" s="4"/>
      <c r="N246" s="4" t="s">
        <v>6720</v>
      </c>
      <c r="O246" s="4" t="s">
        <v>326</v>
      </c>
      <c r="P246" s="4" t="s">
        <v>327</v>
      </c>
      <c r="Q246" s="4" t="s">
        <v>328</v>
      </c>
      <c r="R246" s="4"/>
      <c r="S246" s="4"/>
      <c r="T246" s="4" t="s">
        <v>329</v>
      </c>
      <c r="U246" s="4">
        <v>3.0</v>
      </c>
      <c r="V246" s="4" t="s">
        <v>7246</v>
      </c>
      <c r="W246" s="4" t="s">
        <v>6962</v>
      </c>
      <c r="X246" s="4" t="s">
        <v>7247</v>
      </c>
      <c r="Y246" s="4"/>
      <c r="Z246" s="4"/>
      <c r="AA246" s="4"/>
    </row>
    <row r="247">
      <c r="A247" s="4" t="s">
        <v>7248</v>
      </c>
      <c r="B247" s="4" t="s">
        <v>14</v>
      </c>
      <c r="C247" s="4" t="s">
        <v>7070</v>
      </c>
      <c r="D247" s="4">
        <v>44006.0</v>
      </c>
      <c r="E247" s="4">
        <v>0.6776041666666679</v>
      </c>
      <c r="F247" s="4">
        <v>1.7361111111111112E-4</v>
      </c>
      <c r="G247" s="4">
        <v>0.677777777777779</v>
      </c>
      <c r="H247" s="4"/>
      <c r="I247" s="4"/>
      <c r="J247" s="4"/>
      <c r="K247" s="4"/>
      <c r="L247" s="4"/>
      <c r="M247" s="4"/>
      <c r="N247" s="4"/>
      <c r="O247" s="4" t="s">
        <v>7077</v>
      </c>
      <c r="P247" s="4" t="s">
        <v>128</v>
      </c>
      <c r="Q247" s="4"/>
      <c r="R247" s="4"/>
      <c r="S247" s="4"/>
      <c r="T247" s="4"/>
      <c r="U247" s="4">
        <v>1.0</v>
      </c>
      <c r="V247" s="4"/>
      <c r="W247" s="4"/>
      <c r="X247" s="4"/>
      <c r="Y247" s="4"/>
      <c r="Z247" s="4"/>
      <c r="AA247" s="4"/>
    </row>
    <row r="248">
      <c r="A248" s="4" t="s">
        <v>7249</v>
      </c>
      <c r="B248" s="4" t="s">
        <v>14</v>
      </c>
      <c r="C248" s="4" t="s">
        <v>7070</v>
      </c>
      <c r="D248" s="4">
        <v>44006.0</v>
      </c>
      <c r="E248" s="4">
        <v>0.677777777777779</v>
      </c>
      <c r="F248" s="4">
        <v>3.4722222222222224E-4</v>
      </c>
      <c r="G248" s="4">
        <v>0.6781250000000013</v>
      </c>
      <c r="H248" s="4"/>
      <c r="I248" s="4"/>
      <c r="J248" s="4"/>
      <c r="K248" s="4"/>
      <c r="L248" s="4"/>
      <c r="M248" s="4"/>
      <c r="N248" s="4"/>
      <c r="O248" s="4" t="s">
        <v>7079</v>
      </c>
      <c r="P248" s="4" t="s">
        <v>105</v>
      </c>
      <c r="Q248" s="4"/>
      <c r="R248" s="4"/>
      <c r="S248" s="4"/>
      <c r="T248" s="4"/>
      <c r="U248" s="4">
        <v>1.0</v>
      </c>
      <c r="V248" s="4"/>
      <c r="W248" s="4"/>
      <c r="X248" s="4"/>
      <c r="Y248" s="4"/>
      <c r="Z248" s="4"/>
      <c r="AA248" s="4"/>
    </row>
    <row r="249">
      <c r="A249" s="4" t="s">
        <v>7250</v>
      </c>
      <c r="B249" s="4" t="s">
        <v>14</v>
      </c>
      <c r="C249" s="4" t="s">
        <v>7070</v>
      </c>
      <c r="D249" s="4">
        <v>44006.0</v>
      </c>
      <c r="E249" s="4">
        <v>0.6781250000000013</v>
      </c>
      <c r="F249" s="4">
        <v>0.0020833333333333333</v>
      </c>
      <c r="G249" s="4">
        <v>0.6802083333333346</v>
      </c>
      <c r="H249" s="4"/>
      <c r="I249" s="4"/>
      <c r="J249" s="4"/>
      <c r="K249" s="4"/>
      <c r="L249" s="4" t="s">
        <v>83</v>
      </c>
      <c r="M249" s="4"/>
      <c r="N249" s="4"/>
      <c r="O249" s="4" t="s">
        <v>7251</v>
      </c>
      <c r="P249" s="4"/>
      <c r="Q249" s="4"/>
      <c r="R249" s="4"/>
      <c r="S249" s="4"/>
      <c r="T249" s="4"/>
      <c r="U249" s="4">
        <v>0.0</v>
      </c>
      <c r="V249" s="4"/>
      <c r="W249" s="4"/>
      <c r="X249" s="4"/>
      <c r="Y249" s="4"/>
      <c r="Z249" s="4"/>
      <c r="AA249" s="4"/>
    </row>
    <row r="250">
      <c r="A250" s="4" t="s">
        <v>7252</v>
      </c>
      <c r="B250" s="4" t="s">
        <v>14</v>
      </c>
      <c r="C250" s="4" t="s">
        <v>7070</v>
      </c>
      <c r="D250" s="4">
        <v>44006.0</v>
      </c>
      <c r="E250" s="4">
        <v>0.6802083333333346</v>
      </c>
      <c r="F250" s="4">
        <v>1.7361111111111112E-4</v>
      </c>
      <c r="G250" s="4">
        <v>0.6803819444444458</v>
      </c>
      <c r="H250" s="4"/>
      <c r="I250" s="4"/>
      <c r="J250" s="4"/>
      <c r="K250" s="4"/>
      <c r="L250" s="4"/>
      <c r="M250" s="4"/>
      <c r="N250" s="4"/>
      <c r="O250" s="4" t="s">
        <v>7083</v>
      </c>
      <c r="P250" s="4" t="s">
        <v>69</v>
      </c>
      <c r="Q250" s="4"/>
      <c r="R250" s="4"/>
      <c r="S250" s="4"/>
      <c r="T250" s="4"/>
      <c r="U250" s="4">
        <v>1.0</v>
      </c>
      <c r="V250" s="4"/>
      <c r="W250" s="4"/>
      <c r="X250" s="4"/>
      <c r="Y250" s="4"/>
      <c r="Z250" s="4"/>
      <c r="AA250" s="4"/>
    </row>
    <row r="251">
      <c r="A251" s="4" t="s">
        <v>7253</v>
      </c>
      <c r="B251" s="4" t="s">
        <v>14</v>
      </c>
      <c r="C251" s="4" t="s">
        <v>7070</v>
      </c>
      <c r="D251" s="4">
        <v>44006.0</v>
      </c>
      <c r="E251" s="4">
        <v>0.6803819444444458</v>
      </c>
      <c r="F251" s="4">
        <v>3.4722222222222224E-4</v>
      </c>
      <c r="G251" s="4">
        <v>0.680729166666668</v>
      </c>
      <c r="H251" s="4"/>
      <c r="I251" s="4"/>
      <c r="J251" s="4"/>
      <c r="K251" s="4"/>
      <c r="L251" s="4"/>
      <c r="M251" s="4"/>
      <c r="N251" s="4"/>
      <c r="O251" s="4" t="s">
        <v>7254</v>
      </c>
      <c r="P251" s="4" t="s">
        <v>105</v>
      </c>
      <c r="Q251" s="4"/>
      <c r="R251" s="4"/>
      <c r="S251" s="4"/>
      <c r="T251" s="4"/>
      <c r="U251" s="4">
        <v>1.0</v>
      </c>
      <c r="V251" s="4"/>
      <c r="W251" s="4"/>
      <c r="X251" s="4"/>
      <c r="Y251" s="4"/>
      <c r="Z251" s="4"/>
      <c r="AA251" s="4"/>
    </row>
    <row r="252">
      <c r="A252" s="4" t="s">
        <v>7255</v>
      </c>
      <c r="B252" s="4" t="s">
        <v>14</v>
      </c>
      <c r="C252" s="4" t="s">
        <v>7070</v>
      </c>
      <c r="D252" s="4">
        <v>44006.0</v>
      </c>
      <c r="E252" s="4">
        <v>0.680729166666668</v>
      </c>
      <c r="F252" s="4">
        <v>0.010416666666666666</v>
      </c>
      <c r="G252" s="4">
        <v>0.6911458333333347</v>
      </c>
      <c r="H252" s="4" t="s">
        <v>860</v>
      </c>
      <c r="I252" s="4" t="s">
        <v>6933</v>
      </c>
      <c r="J252" s="4" t="s">
        <v>6938</v>
      </c>
      <c r="K252" s="4" t="s">
        <v>129</v>
      </c>
      <c r="L252" s="4" t="s">
        <v>107</v>
      </c>
      <c r="M252" s="4"/>
      <c r="N252" s="4" t="s">
        <v>6858</v>
      </c>
      <c r="O252" s="4" t="s">
        <v>1306</v>
      </c>
      <c r="P252" s="4" t="s">
        <v>1307</v>
      </c>
      <c r="Q252" s="4" t="s">
        <v>1308</v>
      </c>
      <c r="R252" s="4"/>
      <c r="S252" s="4"/>
      <c r="T252" s="4" t="s">
        <v>1309</v>
      </c>
      <c r="U252" s="4">
        <v>3.0</v>
      </c>
      <c r="V252" s="4" t="s">
        <v>7256</v>
      </c>
      <c r="W252" s="4" t="s">
        <v>7136</v>
      </c>
      <c r="X252" s="4"/>
      <c r="Y252" s="4"/>
      <c r="Z252" s="4"/>
      <c r="AA252" s="4"/>
    </row>
    <row r="253">
      <c r="A253" s="4" t="s">
        <v>7257</v>
      </c>
      <c r="B253" s="4" t="s">
        <v>14</v>
      </c>
      <c r="C253" s="4" t="s">
        <v>7070</v>
      </c>
      <c r="D253" s="4">
        <v>44006.0</v>
      </c>
      <c r="E253" s="4">
        <v>0.6911458333333347</v>
      </c>
      <c r="F253" s="4">
        <v>1.7361111111111112E-4</v>
      </c>
      <c r="G253" s="4">
        <v>0.6913194444444458</v>
      </c>
      <c r="H253" s="4"/>
      <c r="I253" s="4"/>
      <c r="J253" s="4"/>
      <c r="K253" s="4"/>
      <c r="L253" s="4"/>
      <c r="M253" s="4"/>
      <c r="N253" s="4"/>
      <c r="O253" s="4" t="s">
        <v>7077</v>
      </c>
      <c r="P253" s="4" t="s">
        <v>128</v>
      </c>
      <c r="Q253" s="4"/>
      <c r="R253" s="4"/>
      <c r="S253" s="4"/>
      <c r="T253" s="4"/>
      <c r="U253" s="4">
        <v>1.0</v>
      </c>
      <c r="V253" s="4"/>
      <c r="W253" s="4"/>
      <c r="X253" s="4"/>
      <c r="Y253" s="4"/>
      <c r="Z253" s="4"/>
      <c r="AA253" s="4"/>
    </row>
    <row r="254">
      <c r="A254" s="4" t="s">
        <v>7258</v>
      </c>
      <c r="B254" s="4" t="s">
        <v>14</v>
      </c>
      <c r="C254" s="4" t="s">
        <v>7070</v>
      </c>
      <c r="D254" s="4">
        <v>44006.0</v>
      </c>
      <c r="E254" s="4">
        <v>0.6913194444444458</v>
      </c>
      <c r="F254" s="4">
        <v>0.0020833333333333333</v>
      </c>
      <c r="G254" s="4">
        <v>0.6934027777777791</v>
      </c>
      <c r="H254" s="4"/>
      <c r="I254" s="4"/>
      <c r="J254" s="4"/>
      <c r="K254" s="4"/>
      <c r="L254" s="4"/>
      <c r="M254" s="4"/>
      <c r="N254" s="4"/>
      <c r="O254" s="4" t="s">
        <v>6941</v>
      </c>
      <c r="P254" s="4" t="s">
        <v>69</v>
      </c>
      <c r="Q254" s="4"/>
      <c r="R254" s="4"/>
      <c r="S254" s="4"/>
      <c r="T254" s="4"/>
      <c r="U254" s="4">
        <v>1.0</v>
      </c>
      <c r="V254" s="4"/>
      <c r="W254" s="4"/>
      <c r="X254" s="4"/>
      <c r="Y254" s="4"/>
      <c r="Z254" s="4"/>
      <c r="AA254" s="4"/>
    </row>
    <row r="255">
      <c r="A255" s="4" t="s">
        <v>7259</v>
      </c>
      <c r="B255" s="4" t="s">
        <v>14</v>
      </c>
      <c r="C255" s="4" t="s">
        <v>7070</v>
      </c>
      <c r="D255" s="4">
        <v>44006.0</v>
      </c>
      <c r="E255" s="4">
        <v>0.6934027777777791</v>
      </c>
      <c r="F255" s="4">
        <v>3.4722222222222224E-4</v>
      </c>
      <c r="G255" s="4">
        <v>0.6937500000000014</v>
      </c>
      <c r="H255" s="4"/>
      <c r="I255" s="4"/>
      <c r="J255" s="4"/>
      <c r="K255" s="4"/>
      <c r="L255" s="4"/>
      <c r="M255" s="4"/>
      <c r="N255" s="4"/>
      <c r="O255" s="4" t="s">
        <v>7260</v>
      </c>
      <c r="P255" s="4" t="s">
        <v>92</v>
      </c>
      <c r="Q255" s="4"/>
      <c r="R255" s="4"/>
      <c r="S255" s="4"/>
      <c r="T255" s="4"/>
      <c r="U255" s="4">
        <v>1.0</v>
      </c>
      <c r="V255" s="4"/>
      <c r="W255" s="4"/>
      <c r="X255" s="4"/>
      <c r="Y255" s="4"/>
      <c r="Z255" s="4"/>
      <c r="AA255" s="4"/>
    </row>
    <row r="256">
      <c r="A256" s="4" t="s">
        <v>7261</v>
      </c>
      <c r="B256" s="4" t="s">
        <v>14</v>
      </c>
      <c r="C256" s="4" t="s">
        <v>7070</v>
      </c>
      <c r="D256" s="4">
        <v>44006.0</v>
      </c>
      <c r="E256" s="4">
        <v>0.6937500000000014</v>
      </c>
      <c r="F256" s="4">
        <v>3.4722222222222224E-4</v>
      </c>
      <c r="G256" s="4">
        <v>0.6940972222222237</v>
      </c>
      <c r="H256" s="4"/>
      <c r="I256" s="4"/>
      <c r="J256" s="4"/>
      <c r="K256" s="4"/>
      <c r="L256" s="4"/>
      <c r="M256" s="4"/>
      <c r="N256" s="4"/>
      <c r="O256" s="4" t="s">
        <v>6878</v>
      </c>
      <c r="P256" s="4" t="s">
        <v>92</v>
      </c>
      <c r="Q256" s="4"/>
      <c r="R256" s="4"/>
      <c r="S256" s="4"/>
      <c r="T256" s="4"/>
      <c r="U256" s="4">
        <v>1.0</v>
      </c>
      <c r="V256" s="4"/>
      <c r="W256" s="4"/>
      <c r="X256" s="4"/>
      <c r="Y256" s="4"/>
      <c r="Z256" s="4"/>
      <c r="AA256" s="4"/>
    </row>
    <row r="257">
      <c r="A257" s="4" t="s">
        <v>7262</v>
      </c>
      <c r="B257" s="4" t="s">
        <v>14</v>
      </c>
      <c r="C257" s="4" t="s">
        <v>7070</v>
      </c>
      <c r="D257" s="4">
        <v>44006.0</v>
      </c>
      <c r="E257" s="4">
        <v>0.6940972222222237</v>
      </c>
      <c r="F257" s="4">
        <v>0.0125</v>
      </c>
      <c r="G257" s="4">
        <v>0.7065972222222237</v>
      </c>
      <c r="H257" s="4"/>
      <c r="I257" s="4"/>
      <c r="J257" s="4"/>
      <c r="K257" s="4"/>
      <c r="L257" s="4"/>
      <c r="M257" s="4"/>
      <c r="N257" s="4"/>
      <c r="O257" s="4"/>
      <c r="P257" s="4"/>
      <c r="Q257" s="4"/>
      <c r="R257" s="4"/>
      <c r="S257" s="4"/>
      <c r="T257" s="4"/>
      <c r="U257" s="4"/>
      <c r="V257" s="4"/>
      <c r="W257" s="4"/>
      <c r="X257" s="4"/>
      <c r="Y257" s="4"/>
      <c r="Z257" s="4"/>
      <c r="AA257" s="4"/>
    </row>
    <row r="258">
      <c r="A258" s="4" t="s">
        <v>7263</v>
      </c>
      <c r="B258" s="4" t="s">
        <v>14</v>
      </c>
      <c r="C258" s="4" t="s">
        <v>7070</v>
      </c>
      <c r="D258" s="4">
        <v>44006.0</v>
      </c>
      <c r="E258" s="4">
        <v>0.7065972222222237</v>
      </c>
      <c r="F258" s="4">
        <v>1.7361111111111112E-4</v>
      </c>
      <c r="G258" s="4">
        <v>0.7067708333333348</v>
      </c>
      <c r="H258" s="4"/>
      <c r="I258" s="4"/>
      <c r="J258" s="4"/>
      <c r="K258" s="4"/>
      <c r="L258" s="4"/>
      <c r="M258" s="4"/>
      <c r="N258" s="4"/>
      <c r="O258" s="4" t="s">
        <v>7241</v>
      </c>
      <c r="P258" s="4" t="s">
        <v>128</v>
      </c>
      <c r="Q258" s="4"/>
      <c r="R258" s="4"/>
      <c r="S258" s="4"/>
      <c r="T258" s="4"/>
      <c r="U258" s="4">
        <v>1.0</v>
      </c>
      <c r="V258" s="4"/>
      <c r="W258" s="4"/>
      <c r="X258" s="4"/>
      <c r="Y258" s="4"/>
      <c r="Z258" s="4"/>
      <c r="AA258" s="4"/>
    </row>
    <row r="259">
      <c r="A259" s="4" t="s">
        <v>7264</v>
      </c>
      <c r="B259" s="4" t="s">
        <v>14</v>
      </c>
      <c r="C259" s="4" t="s">
        <v>7070</v>
      </c>
      <c r="D259" s="4">
        <v>44006.0</v>
      </c>
      <c r="E259" s="4">
        <v>0.7067708333333348</v>
      </c>
      <c r="F259" s="4">
        <v>0.0020833333333333333</v>
      </c>
      <c r="G259" s="4">
        <v>0.7088541666666681</v>
      </c>
      <c r="H259" s="4"/>
      <c r="I259" s="4"/>
      <c r="J259" s="4"/>
      <c r="K259" s="4"/>
      <c r="L259" s="4"/>
      <c r="M259" s="4"/>
      <c r="N259" s="4"/>
      <c r="O259" s="4" t="s">
        <v>7265</v>
      </c>
      <c r="P259" s="4"/>
      <c r="Q259" s="4"/>
      <c r="R259" s="4"/>
      <c r="S259" s="4"/>
      <c r="T259" s="4"/>
      <c r="U259" s="4"/>
      <c r="V259" s="4"/>
      <c r="W259" s="4"/>
      <c r="X259" s="4"/>
      <c r="Y259" s="4"/>
      <c r="Z259" s="4"/>
      <c r="AA259" s="4"/>
    </row>
    <row r="260">
      <c r="A260" s="4" t="s">
        <v>7266</v>
      </c>
      <c r="B260" s="4" t="s">
        <v>14</v>
      </c>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c r="A261" s="4" t="s">
        <v>7267</v>
      </c>
      <c r="B261" s="4" t="s">
        <v>344</v>
      </c>
      <c r="C261" s="4"/>
      <c r="D261" s="4"/>
      <c r="E261" s="4"/>
      <c r="F261" s="4"/>
      <c r="G261" s="4"/>
      <c r="H261" s="4"/>
      <c r="I261" s="4"/>
      <c r="J261" s="4"/>
      <c r="K261" s="4"/>
      <c r="L261" s="4"/>
      <c r="M261" s="4"/>
      <c r="N261" s="4"/>
      <c r="O261" s="4"/>
      <c r="P261" s="4"/>
      <c r="Q261" s="4"/>
      <c r="R261" s="4"/>
      <c r="S261" s="4"/>
      <c r="T261" s="4"/>
      <c r="U261" s="4">
        <v>0.0</v>
      </c>
      <c r="V261" s="4"/>
      <c r="W261" s="4"/>
      <c r="X261" s="4"/>
      <c r="Y261" s="4"/>
      <c r="Z261" s="4"/>
      <c r="AA261" s="4"/>
    </row>
    <row r="262">
      <c r="A262" s="4" t="s">
        <v>7268</v>
      </c>
      <c r="B262" s="4" t="s">
        <v>14</v>
      </c>
      <c r="C262" s="4" t="s">
        <v>7269</v>
      </c>
      <c r="D262" s="4">
        <v>44007.0</v>
      </c>
      <c r="E262" s="4">
        <v>0.4166666666666667</v>
      </c>
      <c r="F262" s="4">
        <v>6.944444444444445E-4</v>
      </c>
      <c r="G262" s="4">
        <v>0.4173611111111111</v>
      </c>
      <c r="H262" s="4"/>
      <c r="I262" s="4"/>
      <c r="J262" s="4"/>
      <c r="K262" s="4"/>
      <c r="L262" s="4"/>
      <c r="M262" s="4"/>
      <c r="N262" s="4"/>
      <c r="O262" s="4" t="s">
        <v>6840</v>
      </c>
      <c r="P262" s="4" t="s">
        <v>69</v>
      </c>
      <c r="Q262" s="4"/>
      <c r="R262" s="4"/>
      <c r="S262" s="4"/>
      <c r="T262" s="4"/>
      <c r="U262" s="4"/>
      <c r="V262" s="4"/>
      <c r="W262" s="4"/>
      <c r="X262" s="4"/>
      <c r="Y262" s="4"/>
      <c r="Z262" s="4"/>
      <c r="AA262" s="4"/>
    </row>
    <row r="263">
      <c r="A263" s="4" t="s">
        <v>7270</v>
      </c>
      <c r="B263" s="4" t="s">
        <v>14</v>
      </c>
      <c r="C263" s="4" t="s">
        <v>7269</v>
      </c>
      <c r="D263" s="4">
        <v>44007.0</v>
      </c>
      <c r="E263" s="4">
        <v>0.4173611111111111</v>
      </c>
      <c r="F263" s="4">
        <v>0.001736111111111111</v>
      </c>
      <c r="G263" s="4">
        <v>0.41909722222222223</v>
      </c>
      <c r="H263" s="4"/>
      <c r="I263" s="4"/>
      <c r="J263" s="4"/>
      <c r="K263" s="4"/>
      <c r="L263" s="4"/>
      <c r="M263" s="4" t="s">
        <v>6923</v>
      </c>
      <c r="N263" s="4"/>
      <c r="O263" s="4" t="s">
        <v>6915</v>
      </c>
      <c r="P263" s="4" t="s">
        <v>105</v>
      </c>
      <c r="Q263" s="4"/>
      <c r="R263" s="4"/>
      <c r="S263" s="4"/>
      <c r="T263" s="4"/>
      <c r="U263" s="4">
        <v>1.0</v>
      </c>
      <c r="V263" s="4"/>
      <c r="W263" s="4"/>
      <c r="X263" s="4"/>
      <c r="Y263" s="4"/>
      <c r="Z263" s="4"/>
      <c r="AA263" s="4"/>
    </row>
    <row r="264">
      <c r="A264" s="4" t="s">
        <v>7271</v>
      </c>
      <c r="B264" s="4" t="s">
        <v>14</v>
      </c>
      <c r="C264" s="4" t="s">
        <v>7269</v>
      </c>
      <c r="D264" s="4">
        <v>44007.0</v>
      </c>
      <c r="E264" s="4">
        <v>0.41909722222222223</v>
      </c>
      <c r="F264" s="4">
        <v>3.4722222222222224E-4</v>
      </c>
      <c r="G264" s="4">
        <v>0.41944444444444445</v>
      </c>
      <c r="H264" s="4"/>
      <c r="I264" s="4"/>
      <c r="J264" s="4"/>
      <c r="K264" s="4"/>
      <c r="L264" s="4"/>
      <c r="M264" s="4" t="s">
        <v>6923</v>
      </c>
      <c r="N264" s="4"/>
      <c r="O264" s="4" t="s">
        <v>1127</v>
      </c>
      <c r="P264" s="4" t="s">
        <v>105</v>
      </c>
      <c r="Q264" s="4"/>
      <c r="R264" s="4"/>
      <c r="S264" s="4"/>
      <c r="T264" s="4"/>
      <c r="U264" s="4">
        <v>1.0</v>
      </c>
      <c r="V264" s="4"/>
      <c r="W264" s="4"/>
      <c r="X264" s="4"/>
      <c r="Y264" s="4"/>
      <c r="Z264" s="4"/>
      <c r="AA264" s="4"/>
    </row>
    <row r="265">
      <c r="A265" s="4" t="s">
        <v>7272</v>
      </c>
      <c r="B265" s="4" t="s">
        <v>14</v>
      </c>
      <c r="C265" s="4" t="s">
        <v>7269</v>
      </c>
      <c r="D265" s="4">
        <v>44007.0</v>
      </c>
      <c r="E265" s="4">
        <v>0.41944444444444445</v>
      </c>
      <c r="F265" s="4">
        <v>0.008333333333333333</v>
      </c>
      <c r="G265" s="4">
        <v>0.4277777777777778</v>
      </c>
      <c r="H265" s="4" t="s">
        <v>1125</v>
      </c>
      <c r="I265" s="4" t="s">
        <v>4142</v>
      </c>
      <c r="J265" s="4" t="s">
        <v>7086</v>
      </c>
      <c r="K265" s="4"/>
      <c r="L265" s="4" t="s">
        <v>94</v>
      </c>
      <c r="M265" s="4" t="s">
        <v>6918</v>
      </c>
      <c r="N265" s="4" t="s">
        <v>6858</v>
      </c>
      <c r="O265" s="4" t="s">
        <v>1593</v>
      </c>
      <c r="P265" s="4" t="s">
        <v>347</v>
      </c>
      <c r="Q265" s="4"/>
      <c r="R265" s="4"/>
      <c r="S265" s="4"/>
      <c r="T265" s="4" t="s">
        <v>7273</v>
      </c>
      <c r="U265" s="4">
        <v>1.0</v>
      </c>
      <c r="V265" s="4"/>
      <c r="W265" s="4" t="s">
        <v>6872</v>
      </c>
      <c r="X265" s="4">
        <v>43963.625</v>
      </c>
      <c r="Y265" s="4" t="s">
        <v>7002</v>
      </c>
      <c r="Z265" s="4" t="s">
        <v>946</v>
      </c>
      <c r="AA265" s="4"/>
    </row>
    <row r="266">
      <c r="A266" s="4" t="s">
        <v>7274</v>
      </c>
      <c r="B266" s="4" t="s">
        <v>14</v>
      </c>
      <c r="C266" s="4" t="s">
        <v>7269</v>
      </c>
      <c r="D266" s="4">
        <v>44007.0</v>
      </c>
      <c r="E266" s="4">
        <v>0.4277777777777778</v>
      </c>
      <c r="F266" s="4">
        <v>1.7361111111111112E-4</v>
      </c>
      <c r="G266" s="4">
        <v>0.42795138888888895</v>
      </c>
      <c r="H266" s="4"/>
      <c r="I266" s="4"/>
      <c r="J266" s="4"/>
      <c r="K266" s="4"/>
      <c r="L266" s="4"/>
      <c r="M266" s="4"/>
      <c r="N266" s="4"/>
      <c r="O266" s="4" t="s">
        <v>7077</v>
      </c>
      <c r="P266" s="4"/>
      <c r="Q266" s="4"/>
      <c r="R266" s="4"/>
      <c r="S266" s="4"/>
      <c r="T266" s="4"/>
      <c r="U266" s="4"/>
      <c r="V266" s="4"/>
      <c r="W266" s="4"/>
      <c r="X266" s="4"/>
      <c r="Y266" s="4"/>
      <c r="Z266" s="4"/>
      <c r="AA266" s="4"/>
    </row>
    <row r="267">
      <c r="A267" s="4" t="s">
        <v>7275</v>
      </c>
      <c r="B267" s="4" t="s">
        <v>14</v>
      </c>
      <c r="C267" s="4" t="s">
        <v>7269</v>
      </c>
      <c r="D267" s="4">
        <v>44007.0</v>
      </c>
      <c r="E267" s="4">
        <v>0.42795138888888895</v>
      </c>
      <c r="F267" s="4">
        <v>3.4722222222222224E-4</v>
      </c>
      <c r="G267" s="4">
        <v>0.42829861111111117</v>
      </c>
      <c r="H267" s="4"/>
      <c r="I267" s="4"/>
      <c r="J267" s="4"/>
      <c r="K267" s="4"/>
      <c r="L267" s="4"/>
      <c r="M267" s="4" t="s">
        <v>6923</v>
      </c>
      <c r="N267" s="4"/>
      <c r="O267" s="4" t="s">
        <v>1127</v>
      </c>
      <c r="P267" s="4" t="s">
        <v>128</v>
      </c>
      <c r="Q267" s="4"/>
      <c r="R267" s="4"/>
      <c r="S267" s="4"/>
      <c r="T267" s="4"/>
      <c r="U267" s="4">
        <v>1.0</v>
      </c>
      <c r="V267" s="4"/>
      <c r="W267" s="4"/>
      <c r="X267" s="4"/>
      <c r="Y267" s="4"/>
      <c r="Z267" s="4"/>
      <c r="AA267" s="4"/>
    </row>
    <row r="268">
      <c r="A268" s="4" t="s">
        <v>7276</v>
      </c>
      <c r="B268" s="4" t="s">
        <v>14</v>
      </c>
      <c r="C268" s="4" t="s">
        <v>7269</v>
      </c>
      <c r="D268" s="4">
        <v>44007.0</v>
      </c>
      <c r="E268" s="4">
        <v>0.42829861111111117</v>
      </c>
      <c r="F268" s="4">
        <v>0.0020833333333333333</v>
      </c>
      <c r="G268" s="4">
        <v>0.4303819444444445</v>
      </c>
      <c r="H268" s="4"/>
      <c r="I268" s="4"/>
      <c r="J268" s="4"/>
      <c r="K268" s="4"/>
      <c r="L268" s="4" t="s">
        <v>83</v>
      </c>
      <c r="M268" s="4"/>
      <c r="N268" s="4"/>
      <c r="O268" s="4" t="s">
        <v>7277</v>
      </c>
      <c r="P268" s="4"/>
      <c r="Q268" s="4"/>
      <c r="R268" s="4"/>
      <c r="S268" s="4"/>
      <c r="T268" s="4"/>
      <c r="U268" s="4">
        <v>0.0</v>
      </c>
      <c r="V268" s="4"/>
      <c r="W268" s="4"/>
      <c r="X268" s="4"/>
      <c r="Y268" s="4"/>
      <c r="Z268" s="4"/>
      <c r="AA268" s="4"/>
    </row>
    <row r="269">
      <c r="A269" s="4" t="s">
        <v>7278</v>
      </c>
      <c r="B269" s="4" t="s">
        <v>14</v>
      </c>
      <c r="C269" s="4" t="s">
        <v>7269</v>
      </c>
      <c r="D269" s="4">
        <v>44007.0</v>
      </c>
      <c r="E269" s="4">
        <v>0.4303819444444445</v>
      </c>
      <c r="F269" s="4">
        <v>3.4722222222222224E-4</v>
      </c>
      <c r="G269" s="4">
        <v>0.4307291666666667</v>
      </c>
      <c r="H269" s="4"/>
      <c r="I269" s="4"/>
      <c r="J269" s="4"/>
      <c r="K269" s="4"/>
      <c r="L269" s="4"/>
      <c r="M269" s="4" t="s">
        <v>6923</v>
      </c>
      <c r="N269" s="4"/>
      <c r="O269" s="4" t="s">
        <v>7077</v>
      </c>
      <c r="P269" s="4" t="s">
        <v>128</v>
      </c>
      <c r="Q269" s="4"/>
      <c r="R269" s="4"/>
      <c r="S269" s="4"/>
      <c r="T269" s="4"/>
      <c r="U269" s="4">
        <v>1.0</v>
      </c>
      <c r="V269" s="4"/>
      <c r="W269" s="4"/>
      <c r="X269" s="4"/>
      <c r="Y269" s="4"/>
      <c r="Z269" s="4"/>
      <c r="AA269" s="4"/>
    </row>
    <row r="270">
      <c r="A270" s="4" t="s">
        <v>7279</v>
      </c>
      <c r="B270" s="4" t="s">
        <v>14</v>
      </c>
      <c r="C270" s="4" t="s">
        <v>7269</v>
      </c>
      <c r="D270" s="4">
        <v>44007.0</v>
      </c>
      <c r="E270" s="4">
        <v>0.4307291666666667</v>
      </c>
      <c r="F270" s="4">
        <v>6.944444444444445E-4</v>
      </c>
      <c r="G270" s="4">
        <v>0.43142361111111116</v>
      </c>
      <c r="H270" s="4"/>
      <c r="I270" s="4"/>
      <c r="J270" s="4"/>
      <c r="K270" s="4"/>
      <c r="L270" s="4"/>
      <c r="M270" s="4" t="s">
        <v>6923</v>
      </c>
      <c r="N270" s="4"/>
      <c r="O270" s="4" t="s">
        <v>7260</v>
      </c>
      <c r="P270" s="4" t="s">
        <v>92</v>
      </c>
      <c r="Q270" s="4"/>
      <c r="R270" s="4"/>
      <c r="S270" s="4"/>
      <c r="T270" s="4"/>
      <c r="U270" s="4"/>
      <c r="V270" s="4"/>
      <c r="W270" s="4"/>
      <c r="X270" s="4"/>
      <c r="Y270" s="4"/>
      <c r="Z270" s="4"/>
      <c r="AA270" s="4"/>
    </row>
    <row r="271">
      <c r="A271" s="4" t="s">
        <v>7280</v>
      </c>
      <c r="B271" s="4" t="s">
        <v>14</v>
      </c>
      <c r="C271" s="4" t="s">
        <v>7269</v>
      </c>
      <c r="D271" s="4">
        <v>44007.0</v>
      </c>
      <c r="E271" s="4">
        <v>0.43142361111111116</v>
      </c>
      <c r="F271" s="4">
        <v>6.944444444444445E-4</v>
      </c>
      <c r="G271" s="4">
        <v>0.4321180555555556</v>
      </c>
      <c r="H271" s="4"/>
      <c r="I271" s="4"/>
      <c r="J271" s="4"/>
      <c r="K271" s="4"/>
      <c r="L271" s="4"/>
      <c r="M271" s="4"/>
      <c r="N271" s="4"/>
      <c r="O271" s="4" t="s">
        <v>370</v>
      </c>
      <c r="P271" s="4" t="s">
        <v>69</v>
      </c>
      <c r="Q271" s="4"/>
      <c r="R271" s="4"/>
      <c r="S271" s="4"/>
      <c r="T271" s="4"/>
      <c r="U271" s="4"/>
      <c r="V271" s="4"/>
      <c r="W271" s="4"/>
      <c r="X271" s="4"/>
      <c r="Y271" s="4"/>
      <c r="Z271" s="4"/>
      <c r="AA271" s="4"/>
    </row>
    <row r="272">
      <c r="A272" s="4" t="s">
        <v>7281</v>
      </c>
      <c r="B272" s="4" t="s">
        <v>14</v>
      </c>
      <c r="C272" s="4" t="s">
        <v>7269</v>
      </c>
      <c r="D272" s="4">
        <v>44007.0</v>
      </c>
      <c r="E272" s="4">
        <v>0.4321180555555556</v>
      </c>
      <c r="F272" s="4">
        <v>3.4722222222222224E-4</v>
      </c>
      <c r="G272" s="4">
        <v>0.4324652777777778</v>
      </c>
      <c r="H272" s="4"/>
      <c r="I272" s="4"/>
      <c r="J272" s="4"/>
      <c r="K272" s="4"/>
      <c r="L272" s="4"/>
      <c r="M272" s="4"/>
      <c r="N272" s="4"/>
      <c r="O272" s="4" t="s">
        <v>1127</v>
      </c>
      <c r="P272" s="4" t="s">
        <v>92</v>
      </c>
      <c r="Q272" s="4"/>
      <c r="R272" s="4"/>
      <c r="S272" s="4"/>
      <c r="T272" s="4"/>
      <c r="U272" s="4"/>
      <c r="V272" s="4"/>
      <c r="W272" s="4"/>
      <c r="X272" s="4"/>
      <c r="Y272" s="4"/>
      <c r="Z272" s="4"/>
      <c r="AA272" s="4"/>
    </row>
    <row r="273">
      <c r="A273" s="4" t="s">
        <v>7282</v>
      </c>
      <c r="B273" s="4" t="s">
        <v>14</v>
      </c>
      <c r="C273" s="4" t="s">
        <v>7269</v>
      </c>
      <c r="D273" s="4">
        <v>44007.0</v>
      </c>
      <c r="E273" s="4">
        <v>0.4324652777777778</v>
      </c>
      <c r="F273" s="4">
        <v>0.013888888888888888</v>
      </c>
      <c r="G273" s="4">
        <v>0.4463541666666667</v>
      </c>
      <c r="H273" s="4" t="s">
        <v>1631</v>
      </c>
      <c r="I273" s="4" t="s">
        <v>6947</v>
      </c>
      <c r="J273" s="4" t="s">
        <v>7059</v>
      </c>
      <c r="K273" s="4" t="s">
        <v>658</v>
      </c>
      <c r="L273" s="4" t="s">
        <v>74</v>
      </c>
      <c r="M273" s="4" t="s">
        <v>6918</v>
      </c>
      <c r="N273" s="4" t="s">
        <v>7195</v>
      </c>
      <c r="O273" s="4" t="s">
        <v>1627</v>
      </c>
      <c r="P273" s="4" t="s">
        <v>1619</v>
      </c>
      <c r="Q273" s="4" t="s">
        <v>1620</v>
      </c>
      <c r="R273" s="4" t="s">
        <v>1621</v>
      </c>
      <c r="S273" s="4" t="s">
        <v>1622</v>
      </c>
      <c r="T273" s="4" t="s">
        <v>1623</v>
      </c>
      <c r="U273" s="4">
        <v>5.0</v>
      </c>
      <c r="V273" s="4" t="s">
        <v>7283</v>
      </c>
      <c r="W273" s="4" t="s">
        <v>7284</v>
      </c>
      <c r="X273" s="4" t="s">
        <v>7285</v>
      </c>
      <c r="Y273" s="4" t="s">
        <v>7199</v>
      </c>
      <c r="Z273" s="4"/>
      <c r="AA273" s="4"/>
    </row>
    <row r="274">
      <c r="A274" s="4" t="s">
        <v>7286</v>
      </c>
      <c r="B274" s="4" t="s">
        <v>14</v>
      </c>
      <c r="C274" s="4" t="s">
        <v>7269</v>
      </c>
      <c r="D274" s="4">
        <v>44007.0</v>
      </c>
      <c r="E274" s="4">
        <v>0.4463541666666667</v>
      </c>
      <c r="F274" s="4">
        <v>1.7361111111111112E-4</v>
      </c>
      <c r="G274" s="4">
        <v>0.44652777777777786</v>
      </c>
      <c r="H274" s="4"/>
      <c r="I274" s="4"/>
      <c r="J274" s="4"/>
      <c r="K274" s="4"/>
      <c r="L274" s="4"/>
      <c r="M274" s="4"/>
      <c r="N274" s="4"/>
      <c r="O274" s="4" t="s">
        <v>7077</v>
      </c>
      <c r="P274" s="4" t="s">
        <v>128</v>
      </c>
      <c r="Q274" s="4"/>
      <c r="R274" s="4"/>
      <c r="S274" s="4"/>
      <c r="T274" s="4"/>
      <c r="U274" s="4"/>
      <c r="V274" s="4"/>
      <c r="W274" s="4"/>
      <c r="X274" s="4"/>
      <c r="Y274" s="4"/>
      <c r="Z274" s="4"/>
      <c r="AA274" s="4"/>
    </row>
    <row r="275">
      <c r="A275" s="4" t="s">
        <v>7287</v>
      </c>
      <c r="B275" s="4" t="s">
        <v>14</v>
      </c>
      <c r="C275" s="4" t="s">
        <v>7269</v>
      </c>
      <c r="D275" s="4">
        <v>44007.0</v>
      </c>
      <c r="E275" s="4">
        <v>0.44652777777777786</v>
      </c>
      <c r="F275" s="4">
        <v>0.0012152777777777778</v>
      </c>
      <c r="G275" s="4">
        <v>0.44774305555555566</v>
      </c>
      <c r="H275" s="4"/>
      <c r="I275" s="4"/>
      <c r="J275" s="4"/>
      <c r="K275" s="4"/>
      <c r="L275" s="4"/>
      <c r="M275" s="4" t="s">
        <v>1944</v>
      </c>
      <c r="N275" s="4"/>
      <c r="O275" s="4" t="s">
        <v>370</v>
      </c>
      <c r="P275" s="4" t="s">
        <v>69</v>
      </c>
      <c r="Q275" s="4"/>
      <c r="R275" s="4"/>
      <c r="S275" s="4"/>
      <c r="T275" s="4"/>
      <c r="U275" s="4">
        <v>1.0</v>
      </c>
      <c r="V275" s="4"/>
      <c r="W275" s="4"/>
      <c r="X275" s="4"/>
      <c r="Y275" s="4"/>
      <c r="Z275" s="4"/>
      <c r="AA275" s="4"/>
    </row>
    <row r="276">
      <c r="A276" s="4" t="s">
        <v>7288</v>
      </c>
      <c r="B276" s="4" t="s">
        <v>14</v>
      </c>
      <c r="C276" s="4" t="s">
        <v>7269</v>
      </c>
      <c r="D276" s="4">
        <v>44007.0</v>
      </c>
      <c r="E276" s="4">
        <v>0.44774305555555566</v>
      </c>
      <c r="F276" s="4">
        <v>3.4722222222222224E-4</v>
      </c>
      <c r="G276" s="4">
        <v>0.4480902777777779</v>
      </c>
      <c r="H276" s="4"/>
      <c r="I276" s="4"/>
      <c r="J276" s="4"/>
      <c r="K276" s="4"/>
      <c r="L276" s="4"/>
      <c r="M276" s="4" t="s">
        <v>6923</v>
      </c>
      <c r="N276" s="4"/>
      <c r="O276" s="4" t="s">
        <v>6878</v>
      </c>
      <c r="P276" s="4" t="s">
        <v>92</v>
      </c>
      <c r="Q276" s="4"/>
      <c r="R276" s="4"/>
      <c r="S276" s="4"/>
      <c r="T276" s="4"/>
      <c r="U276" s="4">
        <v>1.0</v>
      </c>
      <c r="V276" s="4"/>
      <c r="W276" s="4"/>
      <c r="X276" s="4"/>
      <c r="Y276" s="4"/>
      <c r="Z276" s="4"/>
      <c r="AA276" s="4"/>
    </row>
    <row r="277">
      <c r="A277" s="4" t="s">
        <v>7289</v>
      </c>
      <c r="B277" s="4" t="s">
        <v>14</v>
      </c>
      <c r="C277" s="4" t="s">
        <v>7269</v>
      </c>
      <c r="D277" s="4">
        <v>44007.0</v>
      </c>
      <c r="E277" s="4">
        <v>0.4480902777777779</v>
      </c>
      <c r="F277" s="4">
        <v>0.010416666666666666</v>
      </c>
      <c r="G277" s="4">
        <v>0.45850694444444456</v>
      </c>
      <c r="H277" s="4" t="s">
        <v>1076</v>
      </c>
      <c r="I277" s="4"/>
      <c r="J277" s="4" t="s">
        <v>7290</v>
      </c>
      <c r="K277" s="4"/>
      <c r="L277" s="4" t="s">
        <v>94</v>
      </c>
      <c r="M277" s="4" t="s">
        <v>6918</v>
      </c>
      <c r="N277" s="4" t="s">
        <v>6720</v>
      </c>
      <c r="O277" s="4" t="s">
        <v>235</v>
      </c>
      <c r="P277" s="4" t="s">
        <v>236</v>
      </c>
      <c r="Q277" s="4"/>
      <c r="R277" s="4"/>
      <c r="S277" s="4"/>
      <c r="T277" s="4" t="s">
        <v>237</v>
      </c>
      <c r="U277" s="4">
        <v>2.0</v>
      </c>
      <c r="V277" s="4" t="s">
        <v>7291</v>
      </c>
      <c r="W277" s="4" t="s">
        <v>6962</v>
      </c>
      <c r="X277" s="4" t="s">
        <v>7292</v>
      </c>
      <c r="Y277" s="4" t="s">
        <v>7293</v>
      </c>
      <c r="Z277" s="4" t="s">
        <v>1076</v>
      </c>
      <c r="AA277" s="4"/>
    </row>
    <row r="278">
      <c r="A278" s="4" t="s">
        <v>7294</v>
      </c>
      <c r="B278" s="4" t="s">
        <v>14</v>
      </c>
      <c r="C278" s="4" t="s">
        <v>7269</v>
      </c>
      <c r="D278" s="4">
        <v>44007.0</v>
      </c>
      <c r="E278" s="4">
        <v>0.45850694444444456</v>
      </c>
      <c r="F278" s="4">
        <v>1.7361111111111112E-4</v>
      </c>
      <c r="G278" s="4">
        <v>0.4586805555555557</v>
      </c>
      <c r="H278" s="4"/>
      <c r="I278" s="4"/>
      <c r="J278" s="4"/>
      <c r="K278" s="4"/>
      <c r="L278" s="4"/>
      <c r="M278" s="4" t="s">
        <v>6923</v>
      </c>
      <c r="N278" s="4"/>
      <c r="O278" s="4" t="s">
        <v>7241</v>
      </c>
      <c r="P278" s="4" t="s">
        <v>128</v>
      </c>
      <c r="Q278" s="4"/>
      <c r="R278" s="4"/>
      <c r="S278" s="4"/>
      <c r="T278" s="4"/>
      <c r="U278" s="4">
        <v>1.0</v>
      </c>
      <c r="V278" s="4"/>
      <c r="W278" s="4"/>
      <c r="X278" s="4"/>
      <c r="Y278" s="4"/>
      <c r="Z278" s="4"/>
      <c r="AA278" s="4"/>
    </row>
    <row r="279">
      <c r="A279" s="4" t="s">
        <v>7295</v>
      </c>
      <c r="B279" s="4" t="s">
        <v>14</v>
      </c>
      <c r="C279" s="4" t="s">
        <v>7070</v>
      </c>
      <c r="D279" s="4">
        <v>44006.0</v>
      </c>
      <c r="E279" s="4"/>
      <c r="F279" s="4"/>
      <c r="G279" s="4"/>
      <c r="H279" s="4"/>
      <c r="I279" s="4"/>
      <c r="J279" s="4"/>
      <c r="K279" s="4"/>
      <c r="L279" s="4"/>
      <c r="M279" s="4"/>
      <c r="N279" s="4"/>
      <c r="O279" s="4"/>
      <c r="P279" s="4"/>
      <c r="Q279" s="4"/>
      <c r="R279" s="4"/>
      <c r="S279" s="4"/>
      <c r="T279" s="4"/>
      <c r="U279" s="4"/>
      <c r="V279" s="4"/>
      <c r="W279" s="4"/>
      <c r="X279" s="4"/>
      <c r="Y279" s="4"/>
      <c r="Z279" s="4"/>
      <c r="AA279" s="4"/>
    </row>
    <row r="280">
      <c r="A280" s="4" t="s">
        <v>7296</v>
      </c>
      <c r="B280" s="4" t="s">
        <v>14</v>
      </c>
      <c r="C280" s="4" t="s">
        <v>7269</v>
      </c>
      <c r="D280" s="4">
        <v>44007.0</v>
      </c>
      <c r="E280" s="4">
        <v>0.4586805555555557</v>
      </c>
      <c r="F280" s="4">
        <v>0.0020833333333333333</v>
      </c>
      <c r="G280" s="4">
        <v>0.46076388888888903</v>
      </c>
      <c r="H280" s="4"/>
      <c r="I280" s="4"/>
      <c r="J280" s="4"/>
      <c r="K280" s="4"/>
      <c r="L280" s="4"/>
      <c r="M280" s="4"/>
      <c r="N280" s="4"/>
      <c r="O280" s="4" t="s">
        <v>6915</v>
      </c>
      <c r="P280" s="4" t="s">
        <v>128</v>
      </c>
      <c r="Q280" s="4"/>
      <c r="R280" s="4"/>
      <c r="S280" s="4"/>
      <c r="T280" s="4"/>
      <c r="U280" s="4">
        <v>1.0</v>
      </c>
      <c r="V280" s="4"/>
      <c r="W280" s="4"/>
      <c r="X280" s="4"/>
      <c r="Y280" s="4"/>
      <c r="Z280" s="4"/>
      <c r="AA280" s="4"/>
    </row>
    <row r="281">
      <c r="A281" s="4" t="s">
        <v>7297</v>
      </c>
      <c r="B281" s="4" t="s">
        <v>14</v>
      </c>
      <c r="C281" s="4" t="s">
        <v>7269</v>
      </c>
      <c r="D281" s="4">
        <v>44007.0</v>
      </c>
      <c r="E281" s="4">
        <v>0.46076388888888903</v>
      </c>
      <c r="F281" s="4">
        <v>3.4722222222222224E-4</v>
      </c>
      <c r="G281" s="4">
        <v>0.46111111111111125</v>
      </c>
      <c r="H281" s="4"/>
      <c r="I281" s="4"/>
      <c r="J281" s="4"/>
      <c r="K281" s="4"/>
      <c r="L281" s="4"/>
      <c r="M281" s="4"/>
      <c r="N281" s="4"/>
      <c r="O281" s="4" t="s">
        <v>6878</v>
      </c>
      <c r="P281" s="4" t="s">
        <v>128</v>
      </c>
      <c r="Q281" s="4"/>
      <c r="R281" s="4"/>
      <c r="S281" s="4"/>
      <c r="T281" s="4"/>
      <c r="U281" s="4">
        <v>1.0</v>
      </c>
      <c r="V281" s="4"/>
      <c r="W281" s="4"/>
      <c r="X281" s="4"/>
      <c r="Y281" s="4"/>
      <c r="Z281" s="4"/>
      <c r="AA281" s="4"/>
    </row>
    <row r="282">
      <c r="A282" s="4" t="s">
        <v>7298</v>
      </c>
      <c r="B282" s="4" t="s">
        <v>14</v>
      </c>
      <c r="C282" s="4" t="s">
        <v>7269</v>
      </c>
      <c r="D282" s="4">
        <v>44007.0</v>
      </c>
      <c r="E282" s="4">
        <v>0.46111111111111125</v>
      </c>
      <c r="F282" s="4">
        <v>0.008333333333333333</v>
      </c>
      <c r="G282" s="4">
        <v>0.4694444444444446</v>
      </c>
      <c r="H282" s="4" t="s">
        <v>803</v>
      </c>
      <c r="I282" s="4" t="s">
        <v>4142</v>
      </c>
      <c r="J282" s="4" t="s">
        <v>15</v>
      </c>
      <c r="K282" s="4" t="s">
        <v>1040</v>
      </c>
      <c r="L282" s="4" t="s">
        <v>107</v>
      </c>
      <c r="M282" s="4"/>
      <c r="N282" s="4" t="s">
        <v>6720</v>
      </c>
      <c r="O282" s="4" t="s">
        <v>1666</v>
      </c>
      <c r="P282" s="4" t="s">
        <v>1662</v>
      </c>
      <c r="Q282" s="4" t="s">
        <v>1663</v>
      </c>
      <c r="R282" s="4"/>
      <c r="S282" s="4"/>
      <c r="T282" s="4" t="s">
        <v>1664</v>
      </c>
      <c r="U282" s="4">
        <v>3.0</v>
      </c>
      <c r="V282" s="4" t="s">
        <v>7299</v>
      </c>
      <c r="W282" s="4" t="s">
        <v>6962</v>
      </c>
      <c r="X282" s="4">
        <v>43958.75</v>
      </c>
      <c r="Y282" s="4" t="s">
        <v>7300</v>
      </c>
      <c r="Z282" s="4" t="s">
        <v>803</v>
      </c>
      <c r="AA282" s="4"/>
    </row>
    <row r="283">
      <c r="A283" s="4" t="s">
        <v>7301</v>
      </c>
      <c r="B283" s="4" t="s">
        <v>14</v>
      </c>
      <c r="C283" s="4" t="s">
        <v>7269</v>
      </c>
      <c r="D283" s="4">
        <v>44007.0</v>
      </c>
      <c r="E283" s="4">
        <v>0.4694444444444446</v>
      </c>
      <c r="F283" s="4">
        <v>1.7361111111111112E-4</v>
      </c>
      <c r="G283" s="4">
        <v>0.46961805555555575</v>
      </c>
      <c r="H283" s="4"/>
      <c r="I283" s="4"/>
      <c r="J283" s="4"/>
      <c r="K283" s="4"/>
      <c r="L283" s="4"/>
      <c r="M283" s="4"/>
      <c r="N283" s="4"/>
      <c r="O283" s="4" t="s">
        <v>7077</v>
      </c>
      <c r="P283" s="4" t="s">
        <v>128</v>
      </c>
      <c r="Q283" s="4"/>
      <c r="R283" s="4"/>
      <c r="S283" s="4"/>
      <c r="T283" s="4"/>
      <c r="U283" s="4"/>
      <c r="V283" s="4"/>
      <c r="W283" s="4"/>
      <c r="X283" s="4"/>
      <c r="Y283" s="4"/>
      <c r="Z283" s="4"/>
      <c r="AA283" s="4"/>
    </row>
    <row r="284">
      <c r="A284" s="4" t="s">
        <v>7302</v>
      </c>
      <c r="B284" s="4" t="s">
        <v>14</v>
      </c>
      <c r="C284" s="4" t="s">
        <v>7269</v>
      </c>
      <c r="D284" s="4">
        <v>44007.0</v>
      </c>
      <c r="E284" s="4">
        <v>0.46961805555555575</v>
      </c>
      <c r="F284" s="4">
        <v>3.4722222222222224E-4</v>
      </c>
      <c r="G284" s="4">
        <v>0.46996527777777797</v>
      </c>
      <c r="H284" s="4"/>
      <c r="I284" s="4"/>
      <c r="J284" s="4"/>
      <c r="K284" s="4"/>
      <c r="L284" s="4"/>
      <c r="M284" s="4"/>
      <c r="N284" s="4"/>
      <c r="O284" s="4" t="s">
        <v>91</v>
      </c>
      <c r="P284" s="4" t="s">
        <v>128</v>
      </c>
      <c r="Q284" s="4"/>
      <c r="R284" s="4"/>
      <c r="S284" s="4"/>
      <c r="T284" s="4"/>
      <c r="U284" s="4">
        <v>1.0</v>
      </c>
      <c r="V284" s="4"/>
      <c r="W284" s="4"/>
      <c r="X284" s="4"/>
      <c r="Y284" s="4"/>
      <c r="Z284" s="4"/>
      <c r="AA284" s="4"/>
    </row>
    <row r="285">
      <c r="A285" s="4" t="s">
        <v>7303</v>
      </c>
      <c r="B285" s="4" t="s">
        <v>14</v>
      </c>
      <c r="C285" s="4" t="s">
        <v>7269</v>
      </c>
      <c r="D285" s="4">
        <v>44007.0</v>
      </c>
      <c r="E285" s="4">
        <v>0.46996527777777797</v>
      </c>
      <c r="F285" s="4">
        <v>0.0020833333333333333</v>
      </c>
      <c r="G285" s="4">
        <v>0.4720486111111113</v>
      </c>
      <c r="H285" s="4"/>
      <c r="I285" s="4"/>
      <c r="J285" s="4"/>
      <c r="K285" s="4"/>
      <c r="L285" s="4" t="s">
        <v>83</v>
      </c>
      <c r="M285" s="4"/>
      <c r="N285" s="4"/>
      <c r="O285" s="4" t="s">
        <v>7304</v>
      </c>
      <c r="P285" s="4"/>
      <c r="Q285" s="4"/>
      <c r="R285" s="4"/>
      <c r="S285" s="4"/>
      <c r="T285" s="4"/>
      <c r="U285" s="4">
        <v>0.0</v>
      </c>
      <c r="V285" s="4"/>
      <c r="W285" s="4"/>
      <c r="X285" s="4"/>
      <c r="Y285" s="4"/>
      <c r="Z285" s="4"/>
      <c r="AA285" s="4"/>
    </row>
    <row r="286">
      <c r="A286" s="4" t="s">
        <v>7305</v>
      </c>
      <c r="B286" s="4" t="s">
        <v>14</v>
      </c>
      <c r="C286" s="4" t="s">
        <v>7269</v>
      </c>
      <c r="D286" s="4">
        <v>44007.0</v>
      </c>
      <c r="E286" s="4">
        <v>0.4720486111111113</v>
      </c>
      <c r="F286" s="4">
        <v>1.7361111111111112E-4</v>
      </c>
      <c r="G286" s="4">
        <v>0.47222222222222243</v>
      </c>
      <c r="H286" s="4"/>
      <c r="I286" s="4"/>
      <c r="J286" s="4"/>
      <c r="K286" s="4"/>
      <c r="L286" s="4"/>
      <c r="M286" s="4"/>
      <c r="N286" s="4"/>
      <c r="O286" s="4" t="s">
        <v>7077</v>
      </c>
      <c r="P286" s="4" t="s">
        <v>128</v>
      </c>
      <c r="Q286" s="4"/>
      <c r="R286" s="4"/>
      <c r="S286" s="4"/>
      <c r="T286" s="4"/>
      <c r="U286" s="4"/>
      <c r="V286" s="4"/>
      <c r="W286" s="4"/>
      <c r="X286" s="4"/>
      <c r="Y286" s="4"/>
      <c r="Z286" s="4"/>
      <c r="AA286" s="4"/>
    </row>
    <row r="287">
      <c r="A287" s="4" t="s">
        <v>7306</v>
      </c>
      <c r="B287" s="4" t="s">
        <v>14</v>
      </c>
      <c r="C287" s="4" t="s">
        <v>7269</v>
      </c>
      <c r="D287" s="4">
        <v>44007.0</v>
      </c>
      <c r="E287" s="4">
        <v>0.47222222222222243</v>
      </c>
      <c r="F287" s="4">
        <v>6.944444444444445E-4</v>
      </c>
      <c r="G287" s="4">
        <v>0.4729166666666669</v>
      </c>
      <c r="H287" s="4"/>
      <c r="I287" s="4"/>
      <c r="J287" s="4"/>
      <c r="K287" s="4"/>
      <c r="L287" s="4"/>
      <c r="M287" s="4"/>
      <c r="N287" s="4"/>
      <c r="O287" s="4" t="s">
        <v>6867</v>
      </c>
      <c r="P287" s="4" t="s">
        <v>128</v>
      </c>
      <c r="Q287" s="4"/>
      <c r="R287" s="4"/>
      <c r="S287" s="4"/>
      <c r="T287" s="4"/>
      <c r="U287" s="4"/>
      <c r="V287" s="4"/>
      <c r="W287" s="4"/>
      <c r="X287" s="4"/>
      <c r="Y287" s="4"/>
      <c r="Z287" s="4"/>
      <c r="AA287" s="4"/>
    </row>
    <row r="288">
      <c r="A288" s="4" t="s">
        <v>7307</v>
      </c>
      <c r="B288" s="4" t="s">
        <v>14</v>
      </c>
      <c r="C288" s="4" t="s">
        <v>7269</v>
      </c>
      <c r="D288" s="4">
        <v>44007.0</v>
      </c>
      <c r="E288" s="4">
        <v>0.4729166666666669</v>
      </c>
      <c r="F288" s="4">
        <v>3.4722222222222224E-4</v>
      </c>
      <c r="G288" s="4">
        <v>0.4732638888888891</v>
      </c>
      <c r="H288" s="4"/>
      <c r="I288" s="4"/>
      <c r="J288" s="4"/>
      <c r="K288" s="4"/>
      <c r="L288" s="4"/>
      <c r="M288" s="4"/>
      <c r="N288" s="4"/>
      <c r="O288" s="4" t="s">
        <v>1127</v>
      </c>
      <c r="P288" s="4" t="s">
        <v>128</v>
      </c>
      <c r="Q288" s="4"/>
      <c r="R288" s="4"/>
      <c r="S288" s="4"/>
      <c r="T288" s="4"/>
      <c r="U288" s="4">
        <v>1.0</v>
      </c>
      <c r="V288" s="4"/>
      <c r="W288" s="4"/>
      <c r="X288" s="4"/>
      <c r="Y288" s="4"/>
      <c r="Z288" s="4"/>
      <c r="AA288" s="4"/>
    </row>
    <row r="289">
      <c r="A289" s="4" t="s">
        <v>7308</v>
      </c>
      <c r="B289" s="4" t="s">
        <v>14</v>
      </c>
      <c r="C289" s="4" t="s">
        <v>7269</v>
      </c>
      <c r="D289" s="4">
        <v>44007.0</v>
      </c>
      <c r="E289" s="4">
        <v>0.4732638888888891</v>
      </c>
      <c r="F289" s="4">
        <v>0.010416666666666666</v>
      </c>
      <c r="G289" s="4">
        <v>0.4836805555555558</v>
      </c>
      <c r="H289" s="4" t="s">
        <v>972</v>
      </c>
      <c r="I289" s="4" t="s">
        <v>6933</v>
      </c>
      <c r="J289" s="4" t="s">
        <v>6938</v>
      </c>
      <c r="K289" s="4" t="s">
        <v>140</v>
      </c>
      <c r="L289" s="4" t="s">
        <v>107</v>
      </c>
      <c r="M289" s="4"/>
      <c r="N289" s="4" t="s">
        <v>6755</v>
      </c>
      <c r="O289" s="4" t="s">
        <v>363</v>
      </c>
      <c r="P289" s="4" t="s">
        <v>364</v>
      </c>
      <c r="Q289" s="4" t="s">
        <v>365</v>
      </c>
      <c r="R289" s="4"/>
      <c r="S289" s="4"/>
      <c r="T289" s="4" t="s">
        <v>366</v>
      </c>
      <c r="U289" s="4">
        <v>3.0</v>
      </c>
      <c r="V289" s="4" t="s">
        <v>7309</v>
      </c>
      <c r="W289" s="4" t="s">
        <v>6911</v>
      </c>
      <c r="X289" s="4"/>
      <c r="Y289" s="4"/>
      <c r="Z289" s="4"/>
      <c r="AA289" s="4"/>
    </row>
    <row r="290">
      <c r="A290" s="4" t="s">
        <v>7310</v>
      </c>
      <c r="B290" s="4" t="s">
        <v>14</v>
      </c>
      <c r="C290" s="4" t="s">
        <v>7269</v>
      </c>
      <c r="D290" s="4">
        <v>44007.0</v>
      </c>
      <c r="E290" s="4">
        <v>0.4836805555555558</v>
      </c>
      <c r="F290" s="4">
        <v>1.7361111111111112E-4</v>
      </c>
      <c r="G290" s="4">
        <v>0.4838541666666669</v>
      </c>
      <c r="H290" s="4"/>
      <c r="I290" s="4"/>
      <c r="J290" s="4"/>
      <c r="K290" s="4"/>
      <c r="L290" s="4"/>
      <c r="M290" s="4"/>
      <c r="N290" s="4"/>
      <c r="O290" s="4" t="s">
        <v>7077</v>
      </c>
      <c r="P290" s="4" t="s">
        <v>128</v>
      </c>
      <c r="Q290" s="4"/>
      <c r="R290" s="4"/>
      <c r="S290" s="4"/>
      <c r="T290" s="4"/>
      <c r="U290" s="4"/>
      <c r="V290" s="4"/>
      <c r="W290" s="4"/>
      <c r="X290" s="4"/>
      <c r="Y290" s="4"/>
      <c r="Z290" s="4"/>
      <c r="AA290" s="4"/>
    </row>
    <row r="291">
      <c r="A291" s="4" t="s">
        <v>7311</v>
      </c>
      <c r="B291" s="4" t="s">
        <v>14</v>
      </c>
      <c r="C291" s="4" t="s">
        <v>7269</v>
      </c>
      <c r="D291" s="4">
        <v>44007.0</v>
      </c>
      <c r="E291" s="4">
        <v>0.4838541666666669</v>
      </c>
      <c r="F291" s="4">
        <v>0.0012152777777777778</v>
      </c>
      <c r="G291" s="4">
        <v>0.4850694444444447</v>
      </c>
      <c r="H291" s="4"/>
      <c r="I291" s="4"/>
      <c r="J291" s="4"/>
      <c r="K291" s="4"/>
      <c r="L291" s="4"/>
      <c r="M291" s="4"/>
      <c r="N291" s="4"/>
      <c r="O291" s="4" t="s">
        <v>370</v>
      </c>
      <c r="P291" s="4" t="s">
        <v>69</v>
      </c>
      <c r="Q291" s="4"/>
      <c r="R291" s="4"/>
      <c r="S291" s="4"/>
      <c r="T291" s="4"/>
      <c r="U291" s="4"/>
      <c r="V291" s="4"/>
      <c r="W291" s="4"/>
      <c r="X291" s="4"/>
      <c r="Y291" s="4"/>
      <c r="Z291" s="4"/>
      <c r="AA291" s="4"/>
    </row>
    <row r="292">
      <c r="A292" s="4" t="s">
        <v>7312</v>
      </c>
      <c r="B292" s="4" t="s">
        <v>14</v>
      </c>
      <c r="C292" s="4" t="s">
        <v>7269</v>
      </c>
      <c r="D292" s="4">
        <v>44007.0</v>
      </c>
      <c r="E292" s="4">
        <v>0.4850694444444447</v>
      </c>
      <c r="F292" s="4">
        <v>3.4722222222222224E-4</v>
      </c>
      <c r="G292" s="4">
        <v>0.48541666666666694</v>
      </c>
      <c r="H292" s="4"/>
      <c r="I292" s="4"/>
      <c r="J292" s="4"/>
      <c r="K292" s="4"/>
      <c r="L292" s="4"/>
      <c r="M292" s="4"/>
      <c r="N292" s="4"/>
      <c r="O292" s="4" t="s">
        <v>91</v>
      </c>
      <c r="P292" s="4" t="s">
        <v>92</v>
      </c>
      <c r="Q292" s="4"/>
      <c r="R292" s="4"/>
      <c r="S292" s="4"/>
      <c r="T292" s="4"/>
      <c r="U292" s="4">
        <v>1.0</v>
      </c>
      <c r="V292" s="4"/>
      <c r="W292" s="4"/>
      <c r="X292" s="4" t="s">
        <v>314</v>
      </c>
      <c r="Y292" s="4"/>
      <c r="Z292" s="4"/>
      <c r="AA292" s="4"/>
    </row>
    <row r="293">
      <c r="A293" s="4" t="s">
        <v>7313</v>
      </c>
      <c r="B293" s="4" t="s">
        <v>14</v>
      </c>
      <c r="C293" s="4" t="s">
        <v>7269</v>
      </c>
      <c r="D293" s="4">
        <v>44007.0</v>
      </c>
      <c r="E293" s="4">
        <v>0.48541666666666694</v>
      </c>
      <c r="F293" s="4">
        <v>0.002777777777777778</v>
      </c>
      <c r="G293" s="4">
        <v>0.4881944444444447</v>
      </c>
      <c r="H293" s="4"/>
      <c r="I293" s="4"/>
      <c r="J293" s="4"/>
      <c r="K293" s="4"/>
      <c r="L293" s="4"/>
      <c r="M293" s="4"/>
      <c r="N293" s="4"/>
      <c r="O293" s="4" t="s">
        <v>6941</v>
      </c>
      <c r="P293" s="4" t="s">
        <v>69</v>
      </c>
      <c r="Q293" s="4"/>
      <c r="R293" s="4"/>
      <c r="S293" s="4"/>
      <c r="T293" s="4"/>
      <c r="U293" s="4">
        <v>1.0</v>
      </c>
      <c r="V293" s="4"/>
      <c r="W293" s="4"/>
      <c r="X293" s="4"/>
      <c r="Y293" s="4"/>
      <c r="Z293" s="4"/>
      <c r="AA293" s="4"/>
    </row>
    <row r="294">
      <c r="A294" s="4" t="s">
        <v>7314</v>
      </c>
      <c r="B294" s="4" t="s">
        <v>14</v>
      </c>
      <c r="C294" s="4" t="s">
        <v>7269</v>
      </c>
      <c r="D294" s="4">
        <v>44007.0</v>
      </c>
      <c r="E294" s="4">
        <v>0.4881944444444447</v>
      </c>
      <c r="F294" s="4">
        <v>1.7361111111111112E-4</v>
      </c>
      <c r="G294" s="4">
        <v>0.48836805555555585</v>
      </c>
      <c r="H294" s="4"/>
      <c r="I294" s="4"/>
      <c r="J294" s="4"/>
      <c r="K294" s="4"/>
      <c r="L294" s="4"/>
      <c r="M294" s="4"/>
      <c r="N294" s="4"/>
      <c r="O294" s="4" t="s">
        <v>7077</v>
      </c>
      <c r="P294" s="4" t="s">
        <v>128</v>
      </c>
      <c r="Q294" s="4"/>
      <c r="R294" s="4"/>
      <c r="S294" s="4"/>
      <c r="T294" s="4"/>
      <c r="U294" s="4"/>
      <c r="V294" s="4"/>
      <c r="W294" s="4"/>
      <c r="X294" s="4"/>
      <c r="Y294" s="4"/>
      <c r="Z294" s="4"/>
      <c r="AA294" s="4"/>
    </row>
    <row r="295">
      <c r="A295" s="4" t="s">
        <v>7315</v>
      </c>
      <c r="B295" s="4" t="s">
        <v>14</v>
      </c>
      <c r="C295" s="4" t="s">
        <v>7269</v>
      </c>
      <c r="D295" s="4">
        <v>44007.0</v>
      </c>
      <c r="E295" s="4">
        <v>0.48836805555555585</v>
      </c>
      <c r="F295" s="4">
        <v>0.0010416666666666667</v>
      </c>
      <c r="G295" s="4">
        <v>0.4894097222222225</v>
      </c>
      <c r="H295" s="4"/>
      <c r="I295" s="4"/>
      <c r="J295" s="4"/>
      <c r="K295" s="4"/>
      <c r="L295" s="4"/>
      <c r="M295" s="4"/>
      <c r="N295" s="4"/>
      <c r="O295" s="4" t="s">
        <v>6867</v>
      </c>
      <c r="P295" s="4" t="s">
        <v>92</v>
      </c>
      <c r="Q295" s="4"/>
      <c r="R295" s="4"/>
      <c r="S295" s="4"/>
      <c r="T295" s="4"/>
      <c r="U295" s="4"/>
      <c r="V295" s="4"/>
      <c r="W295" s="4"/>
      <c r="X295" s="4"/>
      <c r="Y295" s="4"/>
      <c r="Z295" s="4"/>
      <c r="AA295" s="4"/>
    </row>
    <row r="296">
      <c r="A296" s="4" t="s">
        <v>7316</v>
      </c>
      <c r="B296" s="4" t="s">
        <v>14</v>
      </c>
      <c r="C296" s="4" t="s">
        <v>7269</v>
      </c>
      <c r="D296" s="4">
        <v>44007.0</v>
      </c>
      <c r="E296" s="4">
        <v>0.4894097222222225</v>
      </c>
      <c r="F296" s="4">
        <v>3.4722222222222224E-4</v>
      </c>
      <c r="G296" s="4">
        <v>0.48975694444444473</v>
      </c>
      <c r="H296" s="4"/>
      <c r="I296" s="4"/>
      <c r="J296" s="4"/>
      <c r="K296" s="4"/>
      <c r="L296" s="4"/>
      <c r="M296" s="4"/>
      <c r="N296" s="4"/>
      <c r="O296" s="4" t="s">
        <v>91</v>
      </c>
      <c r="P296" s="4" t="s">
        <v>92</v>
      </c>
      <c r="Q296" s="4"/>
      <c r="R296" s="4"/>
      <c r="S296" s="4"/>
      <c r="T296" s="4"/>
      <c r="U296" s="4"/>
      <c r="V296" s="4"/>
      <c r="W296" s="4"/>
      <c r="X296" s="4"/>
      <c r="Y296" s="4"/>
      <c r="Z296" s="4"/>
      <c r="AA296" s="4"/>
    </row>
    <row r="297">
      <c r="A297" s="4" t="s">
        <v>7317</v>
      </c>
      <c r="B297" s="4" t="s">
        <v>14</v>
      </c>
      <c r="C297" s="4" t="s">
        <v>7269</v>
      </c>
      <c r="D297" s="4">
        <v>44007.0</v>
      </c>
      <c r="E297" s="4">
        <v>0.48975694444444473</v>
      </c>
      <c r="F297" s="4">
        <v>0.010416666666666666</v>
      </c>
      <c r="G297" s="4">
        <v>0.5001736111111114</v>
      </c>
      <c r="H297" s="4" t="s">
        <v>1362</v>
      </c>
      <c r="I297" s="4" t="s">
        <v>6993</v>
      </c>
      <c r="J297" s="4" t="s">
        <v>6938</v>
      </c>
      <c r="K297" s="4"/>
      <c r="L297" s="4" t="s">
        <v>107</v>
      </c>
      <c r="M297" s="4"/>
      <c r="N297" s="4" t="s">
        <v>6749</v>
      </c>
      <c r="O297" s="4" t="s">
        <v>7318</v>
      </c>
      <c r="P297" s="4" t="s">
        <v>334</v>
      </c>
      <c r="Q297" s="4" t="s">
        <v>335</v>
      </c>
      <c r="R297" s="4"/>
      <c r="S297" s="4"/>
      <c r="T297" s="4" t="s">
        <v>361</v>
      </c>
      <c r="U297" s="4"/>
      <c r="V297" s="4" t="s">
        <v>7319</v>
      </c>
      <c r="W297" s="4" t="s">
        <v>7320</v>
      </c>
      <c r="X297" s="4"/>
      <c r="Y297" s="4"/>
      <c r="Z297" s="4"/>
      <c r="AA297" s="4"/>
    </row>
    <row r="298">
      <c r="A298" s="4" t="s">
        <v>7321</v>
      </c>
      <c r="B298" s="4" t="s">
        <v>14</v>
      </c>
      <c r="C298" s="4" t="s">
        <v>7269</v>
      </c>
      <c r="D298" s="4">
        <v>44007.0</v>
      </c>
      <c r="E298" s="4">
        <v>0.5001736111111114</v>
      </c>
      <c r="F298" s="4">
        <v>1.7361111111111112E-4</v>
      </c>
      <c r="G298" s="4">
        <v>0.5003472222222225</v>
      </c>
      <c r="H298" s="4"/>
      <c r="I298" s="4"/>
      <c r="J298" s="4"/>
      <c r="K298" s="4"/>
      <c r="L298" s="4"/>
      <c r="M298" s="4"/>
      <c r="N298" s="4"/>
      <c r="O298" s="4" t="s">
        <v>7077</v>
      </c>
      <c r="P298" s="4" t="s">
        <v>128</v>
      </c>
      <c r="Q298" s="4"/>
      <c r="R298" s="4"/>
      <c r="S298" s="4"/>
      <c r="T298" s="4"/>
      <c r="U298" s="4"/>
      <c r="V298" s="4"/>
      <c r="W298" s="4"/>
      <c r="X298" s="4"/>
      <c r="Y298" s="4"/>
      <c r="Z298" s="4"/>
      <c r="AA298" s="4"/>
    </row>
    <row r="299">
      <c r="A299" s="4" t="s">
        <v>7322</v>
      </c>
      <c r="B299" s="4" t="s">
        <v>14</v>
      </c>
      <c r="C299" s="4" t="s">
        <v>7070</v>
      </c>
      <c r="D299" s="4">
        <v>44006.0</v>
      </c>
      <c r="E299" s="4"/>
      <c r="F299" s="4"/>
      <c r="G299" s="4"/>
      <c r="H299" s="4"/>
      <c r="I299" s="4"/>
      <c r="J299" s="4"/>
      <c r="K299" s="4"/>
      <c r="L299" s="4"/>
      <c r="M299" s="4"/>
      <c r="N299" s="4"/>
      <c r="O299" s="4"/>
      <c r="P299" s="4"/>
      <c r="Q299" s="4"/>
      <c r="R299" s="4"/>
      <c r="S299" s="4"/>
      <c r="T299" s="4"/>
      <c r="U299" s="4"/>
      <c r="V299" s="4"/>
      <c r="W299" s="4"/>
      <c r="X299" s="4"/>
      <c r="Y299" s="4"/>
      <c r="Z299" s="4"/>
      <c r="AA299" s="4"/>
    </row>
    <row r="300">
      <c r="A300" s="4" t="s">
        <v>7323</v>
      </c>
      <c r="B300" s="4" t="s">
        <v>14</v>
      </c>
      <c r="C300" s="4" t="s">
        <v>7269</v>
      </c>
      <c r="D300" s="4">
        <v>44007.0</v>
      </c>
      <c r="E300" s="4">
        <v>0.5003472222222225</v>
      </c>
      <c r="F300" s="4">
        <v>0.0020833333333333333</v>
      </c>
      <c r="G300" s="4">
        <v>0.5024305555555558</v>
      </c>
      <c r="H300" s="4"/>
      <c r="I300" s="4"/>
      <c r="J300" s="4"/>
      <c r="K300" s="4"/>
      <c r="L300" s="4"/>
      <c r="M300" s="4"/>
      <c r="N300" s="4"/>
      <c r="O300" s="4" t="s">
        <v>6915</v>
      </c>
      <c r="P300" s="4" t="s">
        <v>128</v>
      </c>
      <c r="Q300" s="4"/>
      <c r="R300" s="4"/>
      <c r="S300" s="4"/>
      <c r="T300" s="4"/>
      <c r="U300" s="4">
        <v>1.0</v>
      </c>
      <c r="V300" s="4"/>
      <c r="W300" s="4"/>
      <c r="X300" s="4"/>
      <c r="Y300" s="4"/>
      <c r="Z300" s="4"/>
      <c r="AA300" s="4"/>
    </row>
    <row r="301">
      <c r="A301" s="4" t="s">
        <v>7324</v>
      </c>
      <c r="B301" s="4" t="s">
        <v>14</v>
      </c>
      <c r="C301" s="4" t="s">
        <v>7269</v>
      </c>
      <c r="D301" s="4">
        <v>44007.0</v>
      </c>
      <c r="E301" s="4">
        <v>0.5024305555555558</v>
      </c>
      <c r="F301" s="4">
        <v>3.4722222222222224E-4</v>
      </c>
      <c r="G301" s="4">
        <v>0.5027777777777781</v>
      </c>
      <c r="H301" s="4"/>
      <c r="I301" s="4"/>
      <c r="J301" s="4"/>
      <c r="K301" s="4"/>
      <c r="L301" s="4"/>
      <c r="M301" s="4"/>
      <c r="N301" s="4"/>
      <c r="O301" s="4" t="s">
        <v>1127</v>
      </c>
      <c r="P301" s="4" t="s">
        <v>128</v>
      </c>
      <c r="Q301" s="4"/>
      <c r="R301" s="4"/>
      <c r="S301" s="4"/>
      <c r="T301" s="4"/>
      <c r="U301" s="4">
        <v>1.0</v>
      </c>
      <c r="V301" s="4"/>
      <c r="W301" s="4"/>
      <c r="X301" s="4"/>
      <c r="Y301" s="4"/>
      <c r="Z301" s="4"/>
      <c r="AA301" s="4"/>
    </row>
    <row r="302">
      <c r="A302" s="4" t="s">
        <v>7325</v>
      </c>
      <c r="B302" s="4" t="s">
        <v>14</v>
      </c>
      <c r="C302" s="4" t="s">
        <v>7269</v>
      </c>
      <c r="D302" s="4">
        <v>44007.0</v>
      </c>
      <c r="E302" s="4">
        <v>0.5027777777777781</v>
      </c>
      <c r="F302" s="4">
        <v>0.008333333333333333</v>
      </c>
      <c r="G302" s="4">
        <v>0.5111111111111114</v>
      </c>
      <c r="H302" s="4" t="s">
        <v>1185</v>
      </c>
      <c r="I302" s="4" t="s">
        <v>4142</v>
      </c>
      <c r="J302" s="4" t="s">
        <v>6948</v>
      </c>
      <c r="K302" s="4"/>
      <c r="L302" s="4" t="s">
        <v>94</v>
      </c>
      <c r="M302" s="4"/>
      <c r="N302" s="4"/>
      <c r="O302" s="4" t="s">
        <v>1643</v>
      </c>
      <c r="P302" s="4" t="s">
        <v>1759</v>
      </c>
      <c r="Q302" s="4"/>
      <c r="R302" s="4"/>
      <c r="S302" s="4"/>
      <c r="T302" s="4" t="s">
        <v>1071</v>
      </c>
      <c r="U302" s="4"/>
      <c r="V302" s="4" t="s">
        <v>7326</v>
      </c>
      <c r="W302" s="4" t="s">
        <v>7136</v>
      </c>
      <c r="X302" s="4"/>
      <c r="Y302" s="4"/>
      <c r="Z302" s="4"/>
      <c r="AA302" s="4"/>
    </row>
    <row r="303">
      <c r="A303" s="4" t="s">
        <v>7327</v>
      </c>
      <c r="B303" s="4" t="s">
        <v>14</v>
      </c>
      <c r="C303" s="4" t="s">
        <v>7269</v>
      </c>
      <c r="D303" s="4">
        <v>44007.0</v>
      </c>
      <c r="E303" s="4">
        <v>0.5111111111111114</v>
      </c>
      <c r="F303" s="4">
        <v>1.7361111111111112E-4</v>
      </c>
      <c r="G303" s="4">
        <v>0.5112847222222225</v>
      </c>
      <c r="H303" s="4"/>
      <c r="I303" s="4"/>
      <c r="J303" s="4"/>
      <c r="K303" s="4"/>
      <c r="L303" s="4"/>
      <c r="M303" s="4"/>
      <c r="N303" s="4"/>
      <c r="O303" s="4" t="s">
        <v>7077</v>
      </c>
      <c r="P303" s="4"/>
      <c r="Q303" s="4"/>
      <c r="R303" s="4"/>
      <c r="S303" s="4"/>
      <c r="T303" s="4"/>
      <c r="U303" s="4"/>
      <c r="V303" s="4"/>
      <c r="W303" s="4"/>
      <c r="X303" s="4"/>
      <c r="Y303" s="4"/>
      <c r="Z303" s="4"/>
      <c r="AA303" s="4"/>
    </row>
    <row r="304">
      <c r="A304" s="4" t="s">
        <v>7328</v>
      </c>
      <c r="B304" s="4" t="s">
        <v>14</v>
      </c>
      <c r="C304" s="4" t="s">
        <v>7269</v>
      </c>
      <c r="D304" s="4">
        <v>44007.0</v>
      </c>
      <c r="E304" s="4">
        <v>0.5112847222222225</v>
      </c>
      <c r="F304" s="4">
        <v>3.4722222222222224E-4</v>
      </c>
      <c r="G304" s="4">
        <v>0.5116319444444448</v>
      </c>
      <c r="H304" s="4"/>
      <c r="I304" s="4"/>
      <c r="J304" s="4"/>
      <c r="K304" s="4"/>
      <c r="L304" s="4"/>
      <c r="M304" s="4"/>
      <c r="N304" s="4"/>
      <c r="O304" s="4" t="s">
        <v>1127</v>
      </c>
      <c r="P304" s="4" t="s">
        <v>92</v>
      </c>
      <c r="Q304" s="4"/>
      <c r="R304" s="4"/>
      <c r="S304" s="4"/>
      <c r="T304" s="4"/>
      <c r="U304" s="4">
        <v>1.0</v>
      </c>
      <c r="V304" s="4"/>
      <c r="W304" s="4"/>
      <c r="X304" s="4"/>
      <c r="Y304" s="4"/>
      <c r="Z304" s="4"/>
      <c r="AA304" s="4"/>
    </row>
    <row r="305">
      <c r="A305" s="4" t="s">
        <v>7329</v>
      </c>
      <c r="B305" s="4" t="s">
        <v>14</v>
      </c>
      <c r="C305" s="4" t="s">
        <v>7269</v>
      </c>
      <c r="D305" s="4">
        <v>44007.0</v>
      </c>
      <c r="E305" s="4">
        <v>0.5116319444444448</v>
      </c>
      <c r="F305" s="4">
        <v>0.0020833333333333333</v>
      </c>
      <c r="G305" s="4">
        <v>0.5137152777777781</v>
      </c>
      <c r="H305" s="4"/>
      <c r="I305" s="4"/>
      <c r="J305" s="4"/>
      <c r="K305" s="4"/>
      <c r="L305" s="4" t="s">
        <v>83</v>
      </c>
      <c r="M305" s="4"/>
      <c r="N305" s="4"/>
      <c r="O305" s="4" t="s">
        <v>7330</v>
      </c>
      <c r="P305" s="4" t="s">
        <v>128</v>
      </c>
      <c r="Q305" s="4"/>
      <c r="R305" s="4"/>
      <c r="S305" s="4"/>
      <c r="T305" s="4"/>
      <c r="U305" s="4">
        <v>1.0</v>
      </c>
      <c r="V305" s="4"/>
      <c r="W305" s="4"/>
      <c r="X305" s="4"/>
      <c r="Y305" s="4"/>
      <c r="Z305" s="4"/>
      <c r="AA305" s="4"/>
    </row>
    <row r="306">
      <c r="A306" s="4" t="s">
        <v>7331</v>
      </c>
      <c r="B306" s="4" t="s">
        <v>14</v>
      </c>
      <c r="C306" s="4" t="s">
        <v>7269</v>
      </c>
      <c r="D306" s="4">
        <v>44007.0</v>
      </c>
      <c r="E306" s="4">
        <v>0.5137152777777781</v>
      </c>
      <c r="F306" s="4">
        <v>1.7361111111111112E-4</v>
      </c>
      <c r="G306" s="4">
        <v>0.5138888888888893</v>
      </c>
      <c r="H306" s="4"/>
      <c r="I306" s="4"/>
      <c r="J306" s="4"/>
      <c r="K306" s="4"/>
      <c r="L306" s="4"/>
      <c r="M306" s="4"/>
      <c r="N306" s="4"/>
      <c r="O306" s="4" t="s">
        <v>7077</v>
      </c>
      <c r="P306" s="4" t="s">
        <v>128</v>
      </c>
      <c r="Q306" s="4"/>
      <c r="R306" s="4"/>
      <c r="S306" s="4"/>
      <c r="T306" s="4"/>
      <c r="U306" s="4">
        <v>1.0</v>
      </c>
      <c r="V306" s="4"/>
      <c r="W306" s="4"/>
      <c r="X306" s="4"/>
      <c r="Y306" s="4"/>
      <c r="Z306" s="4"/>
      <c r="AA306" s="4"/>
    </row>
    <row r="307">
      <c r="A307" s="4" t="s">
        <v>7332</v>
      </c>
      <c r="B307" s="4" t="s">
        <v>14</v>
      </c>
      <c r="C307" s="4" t="s">
        <v>7269</v>
      </c>
      <c r="D307" s="4">
        <v>44007.0</v>
      </c>
      <c r="E307" s="4">
        <v>0.5138888888888893</v>
      </c>
      <c r="F307" s="4">
        <v>0.0010416666666666667</v>
      </c>
      <c r="G307" s="4">
        <v>0.514930555555556</v>
      </c>
      <c r="H307" s="4"/>
      <c r="I307" s="4"/>
      <c r="J307" s="4"/>
      <c r="K307" s="4"/>
      <c r="L307" s="4"/>
      <c r="M307" s="4"/>
      <c r="N307" s="4"/>
      <c r="O307" s="4" t="s">
        <v>6867</v>
      </c>
      <c r="P307" s="4" t="s">
        <v>92</v>
      </c>
      <c r="Q307" s="4"/>
      <c r="R307" s="4"/>
      <c r="S307" s="4"/>
      <c r="T307" s="4"/>
      <c r="U307" s="4"/>
      <c r="V307" s="4"/>
      <c r="W307" s="4"/>
      <c r="X307" s="4"/>
      <c r="Y307" s="4"/>
      <c r="Z307" s="4"/>
      <c r="AA307" s="4"/>
    </row>
    <row r="308">
      <c r="A308" s="4" t="s">
        <v>7333</v>
      </c>
      <c r="B308" s="4" t="s">
        <v>14</v>
      </c>
      <c r="C308" s="4" t="s">
        <v>7269</v>
      </c>
      <c r="D308" s="4">
        <v>44007.0</v>
      </c>
      <c r="E308" s="4">
        <v>0.514930555555556</v>
      </c>
      <c r="F308" s="4">
        <v>3.4722222222222224E-4</v>
      </c>
      <c r="G308" s="4">
        <v>0.5152777777777783</v>
      </c>
      <c r="H308" s="4"/>
      <c r="I308" s="4"/>
      <c r="J308" s="4"/>
      <c r="K308" s="4"/>
      <c r="L308" s="4"/>
      <c r="M308" s="4"/>
      <c r="N308" s="4"/>
      <c r="O308" s="4" t="s">
        <v>1127</v>
      </c>
      <c r="P308" s="4" t="s">
        <v>105</v>
      </c>
      <c r="Q308" s="4" t="s">
        <v>92</v>
      </c>
      <c r="R308" s="4"/>
      <c r="S308" s="4"/>
      <c r="T308" s="4"/>
      <c r="U308" s="4"/>
      <c r="V308" s="4"/>
      <c r="W308" s="4"/>
      <c r="X308" s="4"/>
      <c r="Y308" s="4"/>
      <c r="Z308" s="4"/>
      <c r="AA308" s="4"/>
    </row>
    <row r="309">
      <c r="A309" s="4" t="s">
        <v>7334</v>
      </c>
      <c r="B309" s="4" t="s">
        <v>14</v>
      </c>
      <c r="C309" s="4" t="s">
        <v>7269</v>
      </c>
      <c r="D309" s="4">
        <v>44007.0</v>
      </c>
      <c r="E309" s="4">
        <v>0.5138888888888893</v>
      </c>
      <c r="F309" s="4">
        <v>0.010416666666666666</v>
      </c>
      <c r="G309" s="4">
        <v>0.5243055555555559</v>
      </c>
      <c r="H309" s="4"/>
      <c r="I309" s="4"/>
      <c r="J309" s="4"/>
      <c r="K309" s="4"/>
      <c r="L309" s="4"/>
      <c r="M309" s="4"/>
      <c r="N309" s="4"/>
      <c r="O309" s="4" t="s">
        <v>385</v>
      </c>
      <c r="P309" s="4" t="s">
        <v>69</v>
      </c>
      <c r="Q309" s="4"/>
      <c r="R309" s="4"/>
      <c r="S309" s="4"/>
      <c r="T309" s="4"/>
      <c r="U309" s="4"/>
      <c r="V309" s="4"/>
      <c r="W309" s="4"/>
      <c r="X309" s="4"/>
      <c r="Y309" s="4"/>
      <c r="Z309" s="4"/>
      <c r="AA309" s="4"/>
    </row>
    <row r="310">
      <c r="A310" s="4" t="s">
        <v>7335</v>
      </c>
      <c r="B310" s="4" t="s">
        <v>14</v>
      </c>
      <c r="C310" s="4" t="s">
        <v>7269</v>
      </c>
      <c r="D310" s="4">
        <v>44007.0</v>
      </c>
      <c r="E310" s="4">
        <v>0.5243055555555559</v>
      </c>
      <c r="F310" s="4">
        <v>1.7361111111111112E-4</v>
      </c>
      <c r="G310" s="4">
        <v>0.524479166666667</v>
      </c>
      <c r="H310" s="4"/>
      <c r="I310" s="4"/>
      <c r="J310" s="4"/>
      <c r="K310" s="4"/>
      <c r="L310" s="4"/>
      <c r="M310" s="4"/>
      <c r="N310" s="4"/>
      <c r="O310" s="4" t="s">
        <v>7077</v>
      </c>
      <c r="P310" s="4" t="s">
        <v>128</v>
      </c>
      <c r="Q310" s="4"/>
      <c r="R310" s="4"/>
      <c r="S310" s="4"/>
      <c r="T310" s="4"/>
      <c r="U310" s="4"/>
      <c r="V310" s="4"/>
      <c r="W310" s="4"/>
      <c r="X310" s="4"/>
      <c r="Y310" s="4"/>
      <c r="Z310" s="4"/>
      <c r="AA310" s="4"/>
    </row>
    <row r="311">
      <c r="A311" s="4" t="s">
        <v>7336</v>
      </c>
      <c r="B311" s="4" t="s">
        <v>14</v>
      </c>
      <c r="C311" s="4" t="s">
        <v>7269</v>
      </c>
      <c r="D311" s="4">
        <v>44007.0</v>
      </c>
      <c r="E311" s="4">
        <v>0.524479166666667</v>
      </c>
      <c r="F311" s="4">
        <v>0.003125</v>
      </c>
      <c r="G311" s="4">
        <v>0.5276041666666671</v>
      </c>
      <c r="H311" s="4"/>
      <c r="I311" s="4"/>
      <c r="J311" s="4"/>
      <c r="K311" s="4"/>
      <c r="L311" s="4"/>
      <c r="M311" s="4"/>
      <c r="N311" s="4"/>
      <c r="O311" s="4" t="s">
        <v>6941</v>
      </c>
      <c r="P311" s="4" t="s">
        <v>69</v>
      </c>
      <c r="Q311" s="4"/>
      <c r="R311" s="4"/>
      <c r="S311" s="4"/>
      <c r="T311" s="4"/>
      <c r="U311" s="4"/>
      <c r="V311" s="4"/>
      <c r="W311" s="4"/>
      <c r="X311" s="4"/>
      <c r="Y311" s="4"/>
      <c r="Z311" s="4"/>
      <c r="AA311" s="4"/>
    </row>
    <row r="312">
      <c r="A312" s="4" t="s">
        <v>7337</v>
      </c>
      <c r="B312" s="4" t="s">
        <v>14</v>
      </c>
      <c r="C312" s="4" t="s">
        <v>7269</v>
      </c>
      <c r="D312" s="4">
        <v>44007.0</v>
      </c>
      <c r="E312" s="4">
        <v>0.5276041666666671</v>
      </c>
      <c r="F312" s="4">
        <v>3.4722222222222224E-4</v>
      </c>
      <c r="G312" s="4">
        <v>0.5279513888888894</v>
      </c>
      <c r="H312" s="4"/>
      <c r="I312" s="4"/>
      <c r="J312" s="4"/>
      <c r="K312" s="4"/>
      <c r="L312" s="4"/>
      <c r="M312" s="4"/>
      <c r="N312" s="4"/>
      <c r="O312" s="4" t="s">
        <v>1127</v>
      </c>
      <c r="P312" s="4" t="s">
        <v>128</v>
      </c>
      <c r="Q312" s="4"/>
      <c r="R312" s="4"/>
      <c r="S312" s="4"/>
      <c r="T312" s="4"/>
      <c r="U312" s="4"/>
      <c r="V312" s="4"/>
      <c r="W312" s="4"/>
      <c r="X312" s="4"/>
      <c r="Y312" s="4"/>
      <c r="Z312" s="4"/>
      <c r="AA312" s="4"/>
    </row>
    <row r="313">
      <c r="A313" s="4" t="s">
        <v>7338</v>
      </c>
      <c r="B313" s="4" t="s">
        <v>14</v>
      </c>
      <c r="C313" s="4" t="s">
        <v>7269</v>
      </c>
      <c r="D313" s="4">
        <v>44007.0</v>
      </c>
      <c r="E313" s="4">
        <v>0.5279513888888894</v>
      </c>
      <c r="F313" s="4">
        <v>0.013888888888888888</v>
      </c>
      <c r="G313" s="4">
        <v>0.5418402777777782</v>
      </c>
      <c r="H313" s="4" t="s">
        <v>653</v>
      </c>
      <c r="I313" s="4"/>
      <c r="J313" s="4" t="s">
        <v>7339</v>
      </c>
      <c r="K313" s="4"/>
      <c r="L313" s="4" t="s">
        <v>74</v>
      </c>
      <c r="M313" s="4"/>
      <c r="N313" s="4" t="s">
        <v>6720</v>
      </c>
      <c r="O313" s="4" t="s">
        <v>7340</v>
      </c>
      <c r="P313" s="4" t="s">
        <v>161</v>
      </c>
      <c r="Q313" s="4" t="s">
        <v>162</v>
      </c>
      <c r="R313" s="4"/>
      <c r="S313" s="4"/>
      <c r="T313" s="4" t="s">
        <v>163</v>
      </c>
      <c r="U313" s="4">
        <v>3.0</v>
      </c>
      <c r="V313" s="4" t="s">
        <v>7341</v>
      </c>
      <c r="W313" s="4" t="s">
        <v>6962</v>
      </c>
      <c r="X313" s="4" t="s">
        <v>7342</v>
      </c>
      <c r="Y313" s="4"/>
      <c r="Z313" s="4"/>
      <c r="AA313" s="4"/>
    </row>
    <row r="314">
      <c r="A314" s="4" t="s">
        <v>7343</v>
      </c>
      <c r="B314" s="4" t="s">
        <v>14</v>
      </c>
      <c r="C314" s="4" t="s">
        <v>7269</v>
      </c>
      <c r="D314" s="4">
        <v>44007.0</v>
      </c>
      <c r="E314" s="4">
        <v>0.5418402777777782</v>
      </c>
      <c r="F314" s="4">
        <v>1.7361111111111112E-4</v>
      </c>
      <c r="G314" s="4">
        <v>0.5420138888888894</v>
      </c>
      <c r="H314" s="4"/>
      <c r="I314" s="4"/>
      <c r="J314" s="4"/>
      <c r="K314" s="4"/>
      <c r="L314" s="4"/>
      <c r="M314" s="4"/>
      <c r="N314" s="4"/>
      <c r="O314" s="4" t="s">
        <v>7077</v>
      </c>
      <c r="P314" s="4" t="s">
        <v>128</v>
      </c>
      <c r="Q314" s="4"/>
      <c r="R314" s="4"/>
      <c r="S314" s="4"/>
      <c r="T314" s="4"/>
      <c r="U314" s="4"/>
      <c r="V314" s="4"/>
      <c r="W314" s="4"/>
      <c r="X314" s="4"/>
      <c r="Y314" s="4"/>
      <c r="Z314" s="4"/>
      <c r="AA314" s="4"/>
    </row>
    <row r="315">
      <c r="A315" s="4" t="s">
        <v>7344</v>
      </c>
      <c r="B315" s="4" t="s">
        <v>14</v>
      </c>
      <c r="C315" s="4" t="s">
        <v>7070</v>
      </c>
      <c r="D315" s="4">
        <v>44006.0</v>
      </c>
      <c r="E315" s="4"/>
      <c r="F315" s="4"/>
      <c r="G315" s="4"/>
      <c r="H315" s="4"/>
      <c r="I315" s="4"/>
      <c r="J315" s="4"/>
      <c r="K315" s="4"/>
      <c r="L315" s="4"/>
      <c r="M315" s="4"/>
      <c r="N315" s="4"/>
      <c r="O315" s="4"/>
      <c r="P315" s="4"/>
      <c r="Q315" s="4"/>
      <c r="R315" s="4"/>
      <c r="S315" s="4"/>
      <c r="T315" s="4"/>
      <c r="U315" s="4"/>
      <c r="V315" s="4"/>
      <c r="W315" s="4"/>
      <c r="X315" s="4"/>
      <c r="Y315" s="4"/>
      <c r="Z315" s="4"/>
      <c r="AA315" s="4"/>
    </row>
    <row r="316">
      <c r="A316" s="4" t="s">
        <v>7345</v>
      </c>
      <c r="B316" s="4" t="s">
        <v>14</v>
      </c>
      <c r="C316" s="4" t="s">
        <v>7269</v>
      </c>
      <c r="D316" s="4">
        <v>44007.0</v>
      </c>
      <c r="E316" s="4">
        <v>0.5420138888888894</v>
      </c>
      <c r="F316" s="4">
        <v>0.003472222222222222</v>
      </c>
      <c r="G316" s="4">
        <v>0.5454861111111116</v>
      </c>
      <c r="H316" s="4"/>
      <c r="I316" s="4"/>
      <c r="J316" s="4"/>
      <c r="K316" s="4"/>
      <c r="L316" s="4"/>
      <c r="M316" s="4"/>
      <c r="N316" s="4"/>
      <c r="O316" s="4" t="s">
        <v>6915</v>
      </c>
      <c r="P316" s="4" t="s">
        <v>128</v>
      </c>
      <c r="Q316" s="4"/>
      <c r="R316" s="4"/>
      <c r="S316" s="4"/>
      <c r="T316" s="4"/>
      <c r="U316" s="4">
        <v>1.0</v>
      </c>
      <c r="V316" s="4"/>
      <c r="W316" s="4"/>
      <c r="X316" s="4"/>
      <c r="Y316" s="4"/>
      <c r="Z316" s="4"/>
      <c r="AA316" s="4"/>
    </row>
    <row r="317">
      <c r="A317" s="4" t="s">
        <v>7346</v>
      </c>
      <c r="B317" s="4" t="s">
        <v>14</v>
      </c>
      <c r="C317" s="4" t="s">
        <v>7269</v>
      </c>
      <c r="D317" s="4">
        <v>44007.0</v>
      </c>
      <c r="E317" s="4">
        <v>0.5454861111111116</v>
      </c>
      <c r="F317" s="4">
        <v>3.4722222222222224E-4</v>
      </c>
      <c r="G317" s="4">
        <v>0.5458333333333338</v>
      </c>
      <c r="H317" s="4"/>
      <c r="I317" s="4"/>
      <c r="J317" s="4"/>
      <c r="K317" s="4"/>
      <c r="L317" s="4"/>
      <c r="M317" s="4"/>
      <c r="N317" s="4"/>
      <c r="O317" s="4" t="s">
        <v>91</v>
      </c>
      <c r="P317" s="4" t="s">
        <v>105</v>
      </c>
      <c r="Q317" s="4"/>
      <c r="R317" s="4"/>
      <c r="S317" s="4"/>
      <c r="T317" s="4"/>
      <c r="U317" s="4">
        <v>1.0</v>
      </c>
      <c r="V317" s="4"/>
      <c r="W317" s="4"/>
      <c r="X317" s="4"/>
      <c r="Y317" s="4"/>
      <c r="Z317" s="4"/>
      <c r="AA317" s="4"/>
    </row>
    <row r="318">
      <c r="A318" s="4" t="s">
        <v>7347</v>
      </c>
      <c r="B318" s="4" t="s">
        <v>14</v>
      </c>
      <c r="C318" s="4" t="s">
        <v>7269</v>
      </c>
      <c r="D318" s="4">
        <v>44007.0</v>
      </c>
      <c r="E318" s="4">
        <v>0.5458333333333338</v>
      </c>
      <c r="F318" s="4">
        <v>0.006944444444444444</v>
      </c>
      <c r="G318" s="4">
        <v>0.5527777777777783</v>
      </c>
      <c r="H318" s="4" t="s">
        <v>946</v>
      </c>
      <c r="I318" s="4"/>
      <c r="J318" s="4" t="s">
        <v>15</v>
      </c>
      <c r="K318" s="4"/>
      <c r="L318" s="4"/>
      <c r="M318" s="4"/>
      <c r="N318" s="4" t="s">
        <v>6720</v>
      </c>
      <c r="O318" s="4" t="s">
        <v>1823</v>
      </c>
      <c r="P318" s="4" t="s">
        <v>186</v>
      </c>
      <c r="Q318" s="4"/>
      <c r="R318" s="4"/>
      <c r="S318" s="4"/>
      <c r="T318" s="4"/>
      <c r="U318" s="4">
        <v>1.0</v>
      </c>
      <c r="V318" s="4" t="s">
        <v>7348</v>
      </c>
      <c r="W318" s="4" t="s">
        <v>6911</v>
      </c>
      <c r="X318" s="4">
        <v>43962.458333333336</v>
      </c>
      <c r="Y318" s="4" t="s">
        <v>7349</v>
      </c>
      <c r="Z318" s="4" t="s">
        <v>946</v>
      </c>
      <c r="AA318" s="4"/>
    </row>
    <row r="319">
      <c r="A319" s="4" t="s">
        <v>7350</v>
      </c>
      <c r="B319" s="4" t="s">
        <v>14</v>
      </c>
      <c r="C319" s="4" t="s">
        <v>7269</v>
      </c>
      <c r="D319" s="4">
        <v>44007.0</v>
      </c>
      <c r="E319" s="4">
        <v>0.5527777777777783</v>
      </c>
      <c r="F319" s="4">
        <v>1.7361111111111112E-4</v>
      </c>
      <c r="G319" s="4">
        <v>0.5529513888888894</v>
      </c>
      <c r="H319" s="4"/>
      <c r="I319" s="4"/>
      <c r="J319" s="4"/>
      <c r="K319" s="4"/>
      <c r="L319" s="4"/>
      <c r="M319" s="4"/>
      <c r="N319" s="4"/>
      <c r="O319" s="4" t="s">
        <v>7077</v>
      </c>
      <c r="P319" s="4"/>
      <c r="Q319" s="4"/>
      <c r="R319" s="4"/>
      <c r="S319" s="4"/>
      <c r="T319" s="4"/>
      <c r="U319" s="4">
        <v>0.0</v>
      </c>
      <c r="V319" s="4"/>
      <c r="W319" s="4"/>
      <c r="X319" s="4"/>
      <c r="Y319" s="4"/>
      <c r="Z319" s="4"/>
      <c r="AA319" s="4"/>
    </row>
    <row r="320">
      <c r="A320" s="4" t="s">
        <v>7351</v>
      </c>
      <c r="B320" s="4" t="s">
        <v>14</v>
      </c>
      <c r="C320" s="4" t="s">
        <v>7269</v>
      </c>
      <c r="D320" s="4">
        <v>44007.0</v>
      </c>
      <c r="E320" s="4">
        <v>0.5529513888888894</v>
      </c>
      <c r="F320" s="4">
        <v>3.4722222222222224E-4</v>
      </c>
      <c r="G320" s="4">
        <v>0.5532986111111117</v>
      </c>
      <c r="H320" s="4"/>
      <c r="I320" s="4"/>
      <c r="J320" s="4"/>
      <c r="K320" s="4"/>
      <c r="L320" s="4"/>
      <c r="M320" s="4"/>
      <c r="N320" s="4"/>
      <c r="O320" s="4" t="s">
        <v>1127</v>
      </c>
      <c r="P320" s="4" t="s">
        <v>105</v>
      </c>
      <c r="Q320" s="4"/>
      <c r="R320" s="4"/>
      <c r="S320" s="4"/>
      <c r="T320" s="4"/>
      <c r="U320" s="4"/>
      <c r="V320" s="4"/>
      <c r="W320" s="4"/>
      <c r="X320" s="4"/>
      <c r="Y320" s="4"/>
      <c r="Z320" s="4"/>
      <c r="AA320" s="4"/>
    </row>
    <row r="321">
      <c r="A321" s="4" t="s">
        <v>7352</v>
      </c>
      <c r="B321" s="4" t="s">
        <v>14</v>
      </c>
      <c r="C321" s="4" t="s">
        <v>7269</v>
      </c>
      <c r="D321" s="4">
        <v>44007.0</v>
      </c>
      <c r="E321" s="4">
        <v>0.5532986111111117</v>
      </c>
      <c r="F321" s="4">
        <v>0.0020833333333333333</v>
      </c>
      <c r="G321" s="4">
        <v>0.555381944444445</v>
      </c>
      <c r="H321" s="4"/>
      <c r="I321" s="4"/>
      <c r="J321" s="4" t="s">
        <v>6870</v>
      </c>
      <c r="K321" s="4"/>
      <c r="L321" s="4" t="s">
        <v>83</v>
      </c>
      <c r="M321" s="4"/>
      <c r="N321" s="4"/>
      <c r="O321" s="4" t="s">
        <v>7353</v>
      </c>
      <c r="P321" s="4" t="s">
        <v>69</v>
      </c>
      <c r="Q321" s="4"/>
      <c r="R321" s="4"/>
      <c r="S321" s="4"/>
      <c r="T321" s="4"/>
      <c r="U321" s="4"/>
      <c r="V321" s="4"/>
      <c r="W321" s="4"/>
      <c r="X321" s="4"/>
      <c r="Y321" s="4"/>
      <c r="Z321" s="4"/>
      <c r="AA321" s="4"/>
    </row>
    <row r="322">
      <c r="A322" s="4" t="s">
        <v>7354</v>
      </c>
      <c r="B322" s="4" t="s">
        <v>14</v>
      </c>
      <c r="C322" s="4" t="s">
        <v>7269</v>
      </c>
      <c r="D322" s="4">
        <v>44007.0</v>
      </c>
      <c r="E322" s="4">
        <v>0.555381944444445</v>
      </c>
      <c r="F322" s="4">
        <v>1.7361111111111112E-4</v>
      </c>
      <c r="G322" s="4">
        <v>0.5555555555555561</v>
      </c>
      <c r="H322" s="4"/>
      <c r="I322" s="4"/>
      <c r="J322" s="4"/>
      <c r="K322" s="4"/>
      <c r="L322" s="4"/>
      <c r="M322" s="4"/>
      <c r="N322" s="4"/>
      <c r="O322" s="4" t="s">
        <v>7077</v>
      </c>
      <c r="P322" s="4"/>
      <c r="Q322" s="4"/>
      <c r="R322" s="4"/>
      <c r="S322" s="4"/>
      <c r="T322" s="4"/>
      <c r="U322" s="4">
        <v>0.0</v>
      </c>
      <c r="V322" s="4"/>
      <c r="W322" s="4"/>
      <c r="X322" s="4"/>
      <c r="Y322" s="4"/>
      <c r="Z322" s="4"/>
      <c r="AA322" s="4"/>
    </row>
    <row r="323">
      <c r="A323" s="4" t="s">
        <v>7355</v>
      </c>
      <c r="B323" s="4" t="s">
        <v>14</v>
      </c>
      <c r="C323" s="4" t="s">
        <v>7269</v>
      </c>
      <c r="D323" s="4">
        <v>44007.0</v>
      </c>
      <c r="E323" s="4">
        <v>0.5555555555555561</v>
      </c>
      <c r="F323" s="4">
        <v>3.4722222222222224E-4</v>
      </c>
      <c r="G323" s="4">
        <v>0.5559027777777784</v>
      </c>
      <c r="H323" s="4"/>
      <c r="I323" s="4"/>
      <c r="J323" s="4"/>
      <c r="K323" s="4"/>
      <c r="L323" s="4"/>
      <c r="M323" s="4"/>
      <c r="N323" s="4"/>
      <c r="O323" s="4" t="s">
        <v>1127</v>
      </c>
      <c r="P323" s="4" t="s">
        <v>92</v>
      </c>
      <c r="Q323" s="4"/>
      <c r="R323" s="4"/>
      <c r="S323" s="4"/>
      <c r="T323" s="4"/>
      <c r="U323" s="4">
        <v>1.0</v>
      </c>
      <c r="V323" s="4"/>
      <c r="W323" s="4"/>
      <c r="X323" s="4"/>
      <c r="Y323" s="4"/>
      <c r="Z323" s="4"/>
      <c r="AA323" s="4"/>
    </row>
    <row r="324">
      <c r="A324" s="4" t="s">
        <v>7356</v>
      </c>
      <c r="B324" s="4" t="s">
        <v>14</v>
      </c>
      <c r="C324" s="4" t="s">
        <v>7269</v>
      </c>
      <c r="D324" s="4">
        <v>44007.0</v>
      </c>
      <c r="E324" s="4">
        <v>0.5559027777777784</v>
      </c>
      <c r="F324" s="4">
        <v>6.944444444444445E-4</v>
      </c>
      <c r="G324" s="4">
        <v>0.5565972222222229</v>
      </c>
      <c r="H324" s="4"/>
      <c r="I324" s="4"/>
      <c r="J324" s="4"/>
      <c r="K324" s="4"/>
      <c r="L324" s="4"/>
      <c r="M324" s="4"/>
      <c r="N324" s="4"/>
      <c r="O324" s="4" t="s">
        <v>7077</v>
      </c>
      <c r="P324" s="4"/>
      <c r="Q324" s="4"/>
      <c r="R324" s="4"/>
      <c r="S324" s="4"/>
      <c r="T324" s="4"/>
      <c r="U324" s="4"/>
      <c r="V324" s="4"/>
      <c r="W324" s="4"/>
      <c r="X324" s="4"/>
      <c r="Y324" s="4"/>
      <c r="Z324" s="4"/>
      <c r="AA324" s="4"/>
    </row>
    <row r="325">
      <c r="A325" s="4" t="s">
        <v>7357</v>
      </c>
      <c r="B325" s="4" t="s">
        <v>14</v>
      </c>
      <c r="C325" s="4" t="s">
        <v>7269</v>
      </c>
      <c r="D325" s="4">
        <v>44007.0</v>
      </c>
      <c r="E325" s="4">
        <v>0.5565972222222229</v>
      </c>
      <c r="F325" s="4">
        <v>3.4722222222222224E-4</v>
      </c>
      <c r="G325" s="4">
        <v>0.5569444444444451</v>
      </c>
      <c r="H325" s="4"/>
      <c r="I325" s="4"/>
      <c r="J325" s="4"/>
      <c r="K325" s="4"/>
      <c r="L325" s="4"/>
      <c r="M325" s="4"/>
      <c r="N325" s="4"/>
      <c r="O325" s="4" t="s">
        <v>1127</v>
      </c>
      <c r="P325" s="4" t="s">
        <v>92</v>
      </c>
      <c r="Q325" s="4"/>
      <c r="R325" s="4"/>
      <c r="S325" s="4"/>
      <c r="T325" s="4"/>
      <c r="U325" s="4"/>
      <c r="V325" s="4"/>
      <c r="W325" s="4"/>
      <c r="X325" s="4"/>
      <c r="Y325" s="4"/>
      <c r="Z325" s="4"/>
      <c r="AA325" s="4"/>
    </row>
    <row r="326">
      <c r="A326" s="4" t="s">
        <v>7358</v>
      </c>
      <c r="B326" s="4" t="s">
        <v>14</v>
      </c>
      <c r="C326" s="4" t="s">
        <v>7269</v>
      </c>
      <c r="D326" s="4">
        <v>44007.0</v>
      </c>
      <c r="E326" s="4">
        <v>0.5565972222222229</v>
      </c>
      <c r="F326" s="4">
        <v>0.006944444444444444</v>
      </c>
      <c r="G326" s="4">
        <v>0.5635416666666673</v>
      </c>
      <c r="H326" s="4" t="s">
        <v>1253</v>
      </c>
      <c r="I326" s="4"/>
      <c r="J326" s="4" t="s">
        <v>6938</v>
      </c>
      <c r="K326" s="4"/>
      <c r="L326" s="4" t="s">
        <v>165</v>
      </c>
      <c r="M326" s="4"/>
      <c r="N326" s="4" t="s">
        <v>6755</v>
      </c>
      <c r="O326" s="4" t="s">
        <v>7359</v>
      </c>
      <c r="P326" s="4" t="s">
        <v>1782</v>
      </c>
      <c r="Q326" s="4"/>
      <c r="R326" s="4"/>
      <c r="S326" s="4"/>
      <c r="T326" s="4"/>
      <c r="U326" s="4">
        <v>1.0</v>
      </c>
      <c r="V326" s="4" t="s">
        <v>7360</v>
      </c>
      <c r="W326" s="4" t="s">
        <v>6890</v>
      </c>
      <c r="X326" s="4" t="s">
        <v>7122</v>
      </c>
      <c r="Y326" s="4" t="s">
        <v>7122</v>
      </c>
      <c r="Z326" s="4"/>
      <c r="AA326" s="4"/>
    </row>
    <row r="327">
      <c r="A327" s="4" t="s">
        <v>7361</v>
      </c>
      <c r="B327" s="4" t="s">
        <v>14</v>
      </c>
      <c r="C327" s="4" t="s">
        <v>7269</v>
      </c>
      <c r="D327" s="4">
        <v>44007.0</v>
      </c>
      <c r="E327" s="4">
        <v>0.5635416666666673</v>
      </c>
      <c r="F327" s="4">
        <v>1.7361111111111112E-4</v>
      </c>
      <c r="G327" s="4">
        <v>0.5637152777777784</v>
      </c>
      <c r="H327" s="4"/>
      <c r="I327" s="4"/>
      <c r="J327" s="4"/>
      <c r="K327" s="4"/>
      <c r="L327" s="4"/>
      <c r="M327" s="4"/>
      <c r="N327" s="4"/>
      <c r="O327" s="4" t="s">
        <v>7077</v>
      </c>
      <c r="P327" s="4"/>
      <c r="Q327" s="4"/>
      <c r="R327" s="4"/>
      <c r="S327" s="4"/>
      <c r="T327" s="4"/>
      <c r="U327" s="4">
        <v>0.0</v>
      </c>
      <c r="V327" s="4"/>
      <c r="W327" s="4"/>
      <c r="X327" s="4"/>
      <c r="Y327" s="4"/>
      <c r="Z327" s="4"/>
      <c r="AA327" s="4"/>
    </row>
    <row r="328">
      <c r="A328" s="4" t="s">
        <v>7362</v>
      </c>
      <c r="B328" s="4" t="s">
        <v>14</v>
      </c>
      <c r="C328" s="4" t="s">
        <v>7269</v>
      </c>
      <c r="D328" s="4">
        <v>44007.0</v>
      </c>
      <c r="E328" s="4">
        <v>0.5637152777777784</v>
      </c>
      <c r="F328" s="4">
        <v>3.4722222222222224E-4</v>
      </c>
      <c r="G328" s="4">
        <v>0.5640625000000007</v>
      </c>
      <c r="H328" s="4"/>
      <c r="I328" s="4"/>
      <c r="J328" s="4"/>
      <c r="K328" s="4"/>
      <c r="L328" s="4"/>
      <c r="M328" s="4"/>
      <c r="N328" s="4"/>
      <c r="O328" s="4" t="s">
        <v>1127</v>
      </c>
      <c r="P328" s="4" t="s">
        <v>128</v>
      </c>
      <c r="Q328" s="4"/>
      <c r="R328" s="4"/>
      <c r="S328" s="4"/>
      <c r="T328" s="4"/>
      <c r="U328" s="4"/>
      <c r="V328" s="4"/>
      <c r="W328" s="4"/>
      <c r="X328" s="4"/>
      <c r="Y328" s="4"/>
      <c r="Z328" s="4"/>
      <c r="AA328" s="4"/>
    </row>
    <row r="329">
      <c r="A329" s="4" t="s">
        <v>7363</v>
      </c>
      <c r="B329" s="4" t="s">
        <v>14</v>
      </c>
      <c r="C329" s="4" t="s">
        <v>7269</v>
      </c>
      <c r="D329" s="4">
        <v>44007.0</v>
      </c>
      <c r="E329" s="4">
        <v>0.5640625000000007</v>
      </c>
      <c r="F329" s="4">
        <v>0.008333333333333333</v>
      </c>
      <c r="G329" s="4">
        <v>0.572395833333334</v>
      </c>
      <c r="H329" s="4" t="s">
        <v>847</v>
      </c>
      <c r="I329" s="4" t="s">
        <v>6947</v>
      </c>
      <c r="J329" s="4" t="s">
        <v>7339</v>
      </c>
      <c r="K329" s="4"/>
      <c r="L329" s="4"/>
      <c r="M329" s="4" t="s">
        <v>6918</v>
      </c>
      <c r="N329" s="4" t="s">
        <v>6720</v>
      </c>
      <c r="O329" s="4" t="s">
        <v>7364</v>
      </c>
      <c r="P329" s="4" t="s">
        <v>258</v>
      </c>
      <c r="Q329" s="4" t="s">
        <v>259</v>
      </c>
      <c r="R329" s="4"/>
      <c r="S329" s="4"/>
      <c r="T329" s="4" t="s">
        <v>7365</v>
      </c>
      <c r="U329" s="4">
        <v>3.0</v>
      </c>
      <c r="V329" s="4" t="s">
        <v>7366</v>
      </c>
      <c r="W329" s="4" t="s">
        <v>6872</v>
      </c>
      <c r="X329" s="4" t="s">
        <v>7247</v>
      </c>
      <c r="Y329" s="4"/>
      <c r="Z329" s="4"/>
      <c r="AA329" s="4"/>
    </row>
    <row r="330">
      <c r="A330" s="4" t="s">
        <v>7367</v>
      </c>
      <c r="B330" s="4" t="s">
        <v>14</v>
      </c>
      <c r="C330" s="4" t="s">
        <v>7269</v>
      </c>
      <c r="D330" s="4">
        <v>44007.0</v>
      </c>
      <c r="E330" s="4">
        <v>0.572395833333334</v>
      </c>
      <c r="F330" s="4">
        <v>1.7361111111111112E-4</v>
      </c>
      <c r="G330" s="4">
        <v>0.5725694444444451</v>
      </c>
      <c r="H330" s="4"/>
      <c r="I330" s="4"/>
      <c r="J330" s="4"/>
      <c r="K330" s="4"/>
      <c r="L330" s="4"/>
      <c r="M330" s="4"/>
      <c r="N330" s="4"/>
      <c r="O330" s="4" t="s">
        <v>7077</v>
      </c>
      <c r="P330" s="4" t="s">
        <v>128</v>
      </c>
      <c r="Q330" s="4"/>
      <c r="R330" s="4"/>
      <c r="S330" s="4"/>
      <c r="T330" s="4"/>
      <c r="U330" s="4"/>
      <c r="V330" s="4"/>
      <c r="W330" s="4"/>
      <c r="X330" s="4"/>
      <c r="Y330" s="4"/>
      <c r="Z330" s="4"/>
      <c r="AA330" s="4"/>
    </row>
    <row r="331">
      <c r="A331" s="4" t="s">
        <v>7368</v>
      </c>
      <c r="B331" s="4" t="s">
        <v>14</v>
      </c>
      <c r="C331" s="4" t="s">
        <v>7269</v>
      </c>
      <c r="D331" s="4">
        <v>44007.0</v>
      </c>
      <c r="E331" s="4">
        <v>0.5725694444444451</v>
      </c>
      <c r="F331" s="4">
        <v>0.003472222222222222</v>
      </c>
      <c r="G331" s="4">
        <v>0.5760416666666673</v>
      </c>
      <c r="H331" s="4"/>
      <c r="I331" s="4"/>
      <c r="J331" s="4"/>
      <c r="K331" s="4"/>
      <c r="L331" s="4"/>
      <c r="M331" s="4"/>
      <c r="N331" s="4"/>
      <c r="O331" s="4" t="s">
        <v>6941</v>
      </c>
      <c r="P331" s="4" t="s">
        <v>69</v>
      </c>
      <c r="Q331" s="4"/>
      <c r="R331" s="4"/>
      <c r="S331" s="4"/>
      <c r="T331" s="4"/>
      <c r="U331" s="4"/>
      <c r="V331" s="4"/>
      <c r="W331" s="4"/>
      <c r="X331" s="4"/>
      <c r="Y331" s="4"/>
      <c r="Z331" s="4"/>
      <c r="AA331" s="4"/>
    </row>
    <row r="332">
      <c r="A332" s="4" t="s">
        <v>7369</v>
      </c>
      <c r="B332" s="4" t="s">
        <v>14</v>
      </c>
      <c r="C332" s="4" t="s">
        <v>7269</v>
      </c>
      <c r="D332" s="4">
        <v>44007.0</v>
      </c>
      <c r="E332" s="4">
        <v>0.5760416666666673</v>
      </c>
      <c r="F332" s="4">
        <v>3.4722222222222224E-4</v>
      </c>
      <c r="G332" s="4">
        <v>0.5763888888888896</v>
      </c>
      <c r="H332" s="4"/>
      <c r="I332" s="4"/>
      <c r="J332" s="4"/>
      <c r="K332" s="4"/>
      <c r="L332" s="4"/>
      <c r="M332" s="4"/>
      <c r="N332" s="4"/>
      <c r="O332" s="4" t="s">
        <v>7077</v>
      </c>
      <c r="P332" s="4"/>
      <c r="Q332" s="4"/>
      <c r="R332" s="4"/>
      <c r="S332" s="4"/>
      <c r="T332" s="4"/>
      <c r="U332" s="4"/>
      <c r="V332" s="4"/>
      <c r="W332" s="4"/>
      <c r="X332" s="4"/>
      <c r="Y332" s="4"/>
      <c r="Z332" s="4"/>
      <c r="AA332" s="4"/>
    </row>
    <row r="333">
      <c r="A333" s="4" t="s">
        <v>7370</v>
      </c>
      <c r="B333" s="4" t="s">
        <v>14</v>
      </c>
      <c r="C333" s="4" t="s">
        <v>7269</v>
      </c>
      <c r="D333" s="4">
        <v>44007.0</v>
      </c>
      <c r="E333" s="4">
        <v>0.5763888888888896</v>
      </c>
      <c r="F333" s="4">
        <v>0.006944444444444444</v>
      </c>
      <c r="G333" s="4">
        <v>0.583333333333334</v>
      </c>
      <c r="H333" s="4"/>
      <c r="I333" s="4"/>
      <c r="J333" s="4"/>
      <c r="K333" s="4"/>
      <c r="L333" s="4" t="s">
        <v>165</v>
      </c>
      <c r="M333" s="4"/>
      <c r="N333" s="4" t="s">
        <v>6755</v>
      </c>
      <c r="O333" s="4" t="s">
        <v>7371</v>
      </c>
      <c r="P333" s="4" t="s">
        <v>840</v>
      </c>
      <c r="Q333" s="4"/>
      <c r="R333" s="4"/>
      <c r="S333" s="4"/>
      <c r="T333" s="4"/>
      <c r="U333" s="4"/>
      <c r="V333" s="4"/>
      <c r="W333" s="4"/>
      <c r="X333" s="4"/>
      <c r="Y333" s="4"/>
      <c r="Z333" s="4"/>
      <c r="AA333" s="4"/>
    </row>
    <row r="334">
      <c r="A334" s="4" t="s">
        <v>7372</v>
      </c>
      <c r="B334" s="4" t="s">
        <v>14</v>
      </c>
      <c r="C334" s="4" t="s">
        <v>7269</v>
      </c>
      <c r="D334" s="4">
        <v>44007.0</v>
      </c>
      <c r="E334" s="4">
        <v>0.583333333333334</v>
      </c>
      <c r="F334" s="4">
        <v>1.7361111111111112E-4</v>
      </c>
      <c r="G334" s="4">
        <v>0.5835069444444452</v>
      </c>
      <c r="H334" s="4"/>
      <c r="I334" s="4"/>
      <c r="J334" s="4"/>
      <c r="K334" s="4"/>
      <c r="L334" s="4"/>
      <c r="M334" s="4"/>
      <c r="N334" s="4"/>
      <c r="O334" s="4" t="s">
        <v>1127</v>
      </c>
      <c r="P334" s="4"/>
      <c r="Q334" s="4"/>
      <c r="R334" s="4"/>
      <c r="S334" s="4"/>
      <c r="T334" s="4"/>
      <c r="U334" s="4"/>
      <c r="V334" s="4"/>
      <c r="W334" s="4"/>
      <c r="X334" s="4"/>
      <c r="Y334" s="4"/>
      <c r="Z334" s="4"/>
      <c r="AA334" s="4"/>
    </row>
    <row r="335">
      <c r="A335" s="4" t="s">
        <v>7373</v>
      </c>
      <c r="B335" s="4" t="s">
        <v>14</v>
      </c>
      <c r="C335" s="4" t="s">
        <v>7269</v>
      </c>
      <c r="D335" s="4">
        <v>44007.0</v>
      </c>
      <c r="E335" s="4"/>
      <c r="F335" s="4"/>
      <c r="G335" s="4"/>
      <c r="H335" s="4"/>
      <c r="I335" s="4"/>
      <c r="J335" s="4"/>
      <c r="K335" s="4"/>
      <c r="L335" s="4"/>
      <c r="M335" s="4"/>
      <c r="N335" s="4"/>
      <c r="O335" s="4"/>
      <c r="P335" s="4"/>
      <c r="Q335" s="4"/>
      <c r="R335" s="4"/>
      <c r="S335" s="4"/>
      <c r="T335" s="4"/>
      <c r="U335" s="4"/>
      <c r="V335" s="4"/>
      <c r="W335" s="4"/>
      <c r="X335" s="4"/>
      <c r="Y335" s="4"/>
      <c r="Z335" s="4"/>
      <c r="AA335" s="4"/>
    </row>
    <row r="336">
      <c r="A336" s="4" t="s">
        <v>7374</v>
      </c>
      <c r="B336" s="4" t="s">
        <v>14</v>
      </c>
      <c r="C336" s="4" t="s">
        <v>7269</v>
      </c>
      <c r="D336" s="4">
        <v>44007.0</v>
      </c>
      <c r="E336" s="4">
        <v>0.5835069444444452</v>
      </c>
      <c r="F336" s="4">
        <v>0.003472222222222222</v>
      </c>
      <c r="G336" s="4">
        <v>0.5869791666666674</v>
      </c>
      <c r="H336" s="4"/>
      <c r="I336" s="4"/>
      <c r="J336" s="4"/>
      <c r="K336" s="4"/>
      <c r="L336" s="4"/>
      <c r="M336" s="4"/>
      <c r="N336" s="4"/>
      <c r="O336" s="4" t="s">
        <v>6915</v>
      </c>
      <c r="P336" s="4" t="s">
        <v>92</v>
      </c>
      <c r="Q336" s="4"/>
      <c r="R336" s="4"/>
      <c r="S336" s="4"/>
      <c r="T336" s="4"/>
      <c r="U336" s="4">
        <v>1.0</v>
      </c>
      <c r="V336" s="4"/>
      <c r="W336" s="4"/>
      <c r="X336" s="4"/>
      <c r="Y336" s="4"/>
      <c r="Z336" s="4"/>
      <c r="AA336" s="4"/>
    </row>
    <row r="337">
      <c r="A337" s="4" t="s">
        <v>7375</v>
      </c>
      <c r="B337" s="4" t="s">
        <v>14</v>
      </c>
      <c r="C337" s="4" t="s">
        <v>7269</v>
      </c>
      <c r="D337" s="4">
        <v>44007.0</v>
      </c>
      <c r="E337" s="4">
        <v>0.5869791666666674</v>
      </c>
      <c r="F337" s="4">
        <v>3.4722222222222224E-4</v>
      </c>
      <c r="G337" s="4">
        <v>0.5873263888888897</v>
      </c>
      <c r="H337" s="4"/>
      <c r="I337" s="4"/>
      <c r="J337" s="4"/>
      <c r="K337" s="4"/>
      <c r="L337" s="4"/>
      <c r="M337" s="4"/>
      <c r="N337" s="4"/>
      <c r="O337" s="4" t="s">
        <v>91</v>
      </c>
      <c r="P337" s="4"/>
      <c r="Q337" s="4"/>
      <c r="R337" s="4"/>
      <c r="S337" s="4"/>
      <c r="T337" s="4"/>
      <c r="U337" s="4">
        <v>0.0</v>
      </c>
      <c r="V337" s="4"/>
      <c r="W337" s="4"/>
      <c r="X337" s="4"/>
      <c r="Y337" s="4"/>
      <c r="Z337" s="4"/>
      <c r="AA337" s="4"/>
    </row>
    <row r="338">
      <c r="A338" s="4" t="s">
        <v>7376</v>
      </c>
      <c r="B338" s="4" t="s">
        <v>14</v>
      </c>
      <c r="C338" s="4" t="s">
        <v>7269</v>
      </c>
      <c r="D338" s="4">
        <v>44007.0</v>
      </c>
      <c r="E338" s="4">
        <v>0.5873263888888897</v>
      </c>
      <c r="F338" s="4">
        <v>0.006944444444444444</v>
      </c>
      <c r="G338" s="4">
        <v>0.5942708333333341</v>
      </c>
      <c r="H338" s="4"/>
      <c r="I338" s="4"/>
      <c r="J338" s="4"/>
      <c r="K338" s="4"/>
      <c r="L338" s="4"/>
      <c r="M338" s="4"/>
      <c r="N338" s="4"/>
      <c r="O338" s="4"/>
      <c r="P338" s="4"/>
      <c r="Q338" s="4"/>
      <c r="R338" s="4"/>
      <c r="S338" s="4"/>
      <c r="T338" s="4"/>
      <c r="U338" s="4">
        <v>1.0</v>
      </c>
      <c r="V338" s="4"/>
      <c r="W338" s="4" t="s">
        <v>7115</v>
      </c>
      <c r="X338" s="4"/>
      <c r="Y338" s="4"/>
      <c r="Z338" s="4"/>
      <c r="AA338" s="4"/>
    </row>
    <row r="339">
      <c r="A339" s="4" t="s">
        <v>7377</v>
      </c>
      <c r="B339" s="4" t="s">
        <v>14</v>
      </c>
      <c r="C339" s="4" t="s">
        <v>7269</v>
      </c>
      <c r="D339" s="4">
        <v>44007.0</v>
      </c>
      <c r="E339" s="4">
        <v>0.5942708333333341</v>
      </c>
      <c r="F339" s="4">
        <v>1.7361111111111112E-4</v>
      </c>
      <c r="G339" s="4">
        <v>0.5944444444444452</v>
      </c>
      <c r="H339" s="4"/>
      <c r="I339" s="4"/>
      <c r="J339" s="4"/>
      <c r="K339" s="4"/>
      <c r="L339" s="4"/>
      <c r="M339" s="4"/>
      <c r="N339" s="4"/>
      <c r="O339" s="4" t="s">
        <v>500</v>
      </c>
      <c r="P339" s="4"/>
      <c r="Q339" s="4"/>
      <c r="R339" s="4"/>
      <c r="S339" s="4"/>
      <c r="T339" s="4"/>
      <c r="U339" s="4"/>
      <c r="V339" s="4"/>
      <c r="W339" s="4"/>
      <c r="X339" s="4"/>
      <c r="Y339" s="4"/>
      <c r="Z339" s="4"/>
      <c r="AA339" s="4"/>
    </row>
    <row r="340">
      <c r="A340" s="4" t="s">
        <v>7378</v>
      </c>
      <c r="B340" s="4" t="s">
        <v>14</v>
      </c>
      <c r="C340" s="4" t="s">
        <v>7269</v>
      </c>
      <c r="D340" s="4">
        <v>44007.0</v>
      </c>
      <c r="E340" s="4">
        <v>0.5944444444444452</v>
      </c>
      <c r="F340" s="4">
        <v>3.4722222222222224E-4</v>
      </c>
      <c r="G340" s="4">
        <v>0.5947916666666675</v>
      </c>
      <c r="H340" s="4"/>
      <c r="I340" s="4"/>
      <c r="J340" s="4"/>
      <c r="K340" s="4"/>
      <c r="L340" s="4"/>
      <c r="M340" s="4"/>
      <c r="N340" s="4"/>
      <c r="O340" s="4" t="s">
        <v>91</v>
      </c>
      <c r="P340" s="4"/>
      <c r="Q340" s="4"/>
      <c r="R340" s="4"/>
      <c r="S340" s="4"/>
      <c r="T340" s="4"/>
      <c r="U340" s="4">
        <v>0.0</v>
      </c>
      <c r="V340" s="4"/>
      <c r="W340" s="4"/>
      <c r="X340" s="4"/>
      <c r="Y340" s="4"/>
      <c r="Z340" s="4"/>
      <c r="AA340" s="4"/>
    </row>
    <row r="341">
      <c r="A341" s="4" t="s">
        <v>7379</v>
      </c>
      <c r="B341" s="4" t="s">
        <v>14</v>
      </c>
      <c r="C341" s="4" t="s">
        <v>7269</v>
      </c>
      <c r="D341" s="4">
        <v>44007.0</v>
      </c>
      <c r="E341" s="4">
        <v>0.5947916666666675</v>
      </c>
      <c r="F341" s="4">
        <v>0.0020833333333333333</v>
      </c>
      <c r="G341" s="4">
        <v>0.5968750000000008</v>
      </c>
      <c r="H341" s="4"/>
      <c r="I341" s="4"/>
      <c r="J341" s="4" t="s">
        <v>6870</v>
      </c>
      <c r="K341" s="4"/>
      <c r="L341" s="4" t="s">
        <v>83</v>
      </c>
      <c r="M341" s="4"/>
      <c r="N341" s="4"/>
      <c r="O341" s="4" t="s">
        <v>7380</v>
      </c>
      <c r="P341" s="4"/>
      <c r="Q341" s="4"/>
      <c r="R341" s="4"/>
      <c r="S341" s="4"/>
      <c r="T341" s="4"/>
      <c r="U341" s="4">
        <v>0.0</v>
      </c>
      <c r="V341" s="4"/>
      <c r="W341" s="4"/>
      <c r="X341" s="4"/>
      <c r="Y341" s="4"/>
      <c r="Z341" s="4"/>
      <c r="AA341" s="4"/>
    </row>
    <row r="342">
      <c r="A342" s="4" t="s">
        <v>7381</v>
      </c>
      <c r="B342" s="4" t="s">
        <v>14</v>
      </c>
      <c r="C342" s="4" t="s">
        <v>7269</v>
      </c>
      <c r="D342" s="4">
        <v>44007.0</v>
      </c>
      <c r="E342" s="4">
        <v>0.5968750000000008</v>
      </c>
      <c r="F342" s="4">
        <v>1.7361111111111112E-4</v>
      </c>
      <c r="G342" s="4">
        <v>0.597048611111112</v>
      </c>
      <c r="H342" s="4"/>
      <c r="I342" s="4"/>
      <c r="J342" s="4"/>
      <c r="K342" s="4"/>
      <c r="L342" s="4"/>
      <c r="M342" s="4"/>
      <c r="N342" s="4"/>
      <c r="O342" s="4" t="s">
        <v>500</v>
      </c>
      <c r="P342" s="4"/>
      <c r="Q342" s="4"/>
      <c r="R342" s="4"/>
      <c r="S342" s="4"/>
      <c r="T342" s="4"/>
      <c r="U342" s="4">
        <v>0.0</v>
      </c>
      <c r="V342" s="4"/>
      <c r="W342" s="4"/>
      <c r="X342" s="4"/>
      <c r="Y342" s="4"/>
      <c r="Z342" s="4"/>
      <c r="AA342" s="4"/>
    </row>
    <row r="343">
      <c r="A343" s="4" t="s">
        <v>7382</v>
      </c>
      <c r="B343" s="4" t="s">
        <v>14</v>
      </c>
      <c r="C343" s="4" t="s">
        <v>7269</v>
      </c>
      <c r="D343" s="4">
        <v>44007.0</v>
      </c>
      <c r="E343" s="4">
        <v>0.597048611111112</v>
      </c>
      <c r="F343" s="4">
        <v>3.4722222222222224E-4</v>
      </c>
      <c r="G343" s="4">
        <v>0.5973958333333342</v>
      </c>
      <c r="H343" s="4"/>
      <c r="I343" s="4"/>
      <c r="J343" s="4"/>
      <c r="K343" s="4"/>
      <c r="L343" s="4"/>
      <c r="M343" s="4"/>
      <c r="N343" s="4"/>
      <c r="O343" s="4" t="s">
        <v>91</v>
      </c>
      <c r="P343" s="4"/>
      <c r="Q343" s="4"/>
      <c r="R343" s="4"/>
      <c r="S343" s="4"/>
      <c r="T343" s="4"/>
      <c r="U343" s="4"/>
      <c r="V343" s="4"/>
      <c r="W343" s="4"/>
      <c r="X343" s="4"/>
      <c r="Y343" s="4"/>
      <c r="Z343" s="4"/>
      <c r="AA343" s="4"/>
    </row>
    <row r="344">
      <c r="A344" s="4" t="s">
        <v>7383</v>
      </c>
      <c r="B344" s="4" t="s">
        <v>14</v>
      </c>
      <c r="C344" s="4" t="s">
        <v>7269</v>
      </c>
      <c r="D344" s="4">
        <v>44007.0</v>
      </c>
      <c r="E344" s="4">
        <v>0.5973958333333342</v>
      </c>
      <c r="F344" s="4">
        <v>0.010416666666666666</v>
      </c>
      <c r="G344" s="4">
        <v>0.6078125000000009</v>
      </c>
      <c r="H344" s="4" t="s">
        <v>860</v>
      </c>
      <c r="I344" s="4" t="s">
        <v>17</v>
      </c>
      <c r="J344" s="4" t="s">
        <v>6938</v>
      </c>
      <c r="K344" s="4"/>
      <c r="L344" s="4" t="s">
        <v>107</v>
      </c>
      <c r="M344" s="4"/>
      <c r="N344" s="4" t="s">
        <v>6858</v>
      </c>
      <c r="O344" s="4" t="s">
        <v>412</v>
      </c>
      <c r="P344" s="4" t="s">
        <v>413</v>
      </c>
      <c r="Q344" s="4" t="s">
        <v>414</v>
      </c>
      <c r="R344" s="4"/>
      <c r="S344" s="4"/>
      <c r="T344" s="4" t="s">
        <v>415</v>
      </c>
      <c r="U344" s="4">
        <v>3.0</v>
      </c>
      <c r="V344" s="4" t="s">
        <v>7384</v>
      </c>
      <c r="W344" s="4" t="s">
        <v>7136</v>
      </c>
      <c r="X344" s="4"/>
      <c r="Y344" s="4"/>
      <c r="Z344" s="4"/>
      <c r="AA344" s="4"/>
    </row>
    <row r="345">
      <c r="A345" s="4" t="s">
        <v>7385</v>
      </c>
      <c r="B345" s="4" t="s">
        <v>14</v>
      </c>
      <c r="C345" s="4" t="s">
        <v>7269</v>
      </c>
      <c r="D345" s="4">
        <v>44007.0</v>
      </c>
      <c r="E345" s="4">
        <v>0.6078125000000009</v>
      </c>
      <c r="F345" s="4">
        <v>1.7361111111111112E-4</v>
      </c>
      <c r="G345" s="4">
        <v>0.607986111111112</v>
      </c>
      <c r="H345" s="4"/>
      <c r="I345" s="4"/>
      <c r="J345" s="4"/>
      <c r="K345" s="4"/>
      <c r="L345" s="4"/>
      <c r="M345" s="4"/>
      <c r="N345" s="4"/>
      <c r="O345" s="4" t="s">
        <v>7241</v>
      </c>
      <c r="P345" s="4"/>
      <c r="Q345" s="4"/>
      <c r="R345" s="4"/>
      <c r="S345" s="4"/>
      <c r="T345" s="4"/>
      <c r="U345" s="4"/>
      <c r="V345" s="4"/>
      <c r="W345" s="4"/>
      <c r="X345" s="4"/>
      <c r="Y345" s="4"/>
      <c r="Z345" s="4"/>
      <c r="AA345" s="4"/>
    </row>
    <row r="346">
      <c r="A346" s="4" t="s">
        <v>7386</v>
      </c>
      <c r="B346" s="4" t="s">
        <v>14</v>
      </c>
      <c r="C346" s="4" t="s">
        <v>7269</v>
      </c>
      <c r="D346" s="4">
        <v>44007.0</v>
      </c>
      <c r="E346" s="4">
        <v>0.607986111111112</v>
      </c>
      <c r="F346" s="4">
        <v>0.003472222222222222</v>
      </c>
      <c r="G346" s="4">
        <v>0.6114583333333342</v>
      </c>
      <c r="H346" s="4"/>
      <c r="I346" s="4"/>
      <c r="J346" s="4"/>
      <c r="K346" s="4"/>
      <c r="L346" s="4"/>
      <c r="M346" s="4"/>
      <c r="N346" s="4"/>
      <c r="O346" s="4" t="s">
        <v>6941</v>
      </c>
      <c r="P346" s="4"/>
      <c r="Q346" s="4"/>
      <c r="R346" s="4"/>
      <c r="S346" s="4"/>
      <c r="T346" s="4"/>
      <c r="U346" s="4">
        <v>0.0</v>
      </c>
      <c r="V346" s="4"/>
      <c r="W346" s="4"/>
      <c r="X346" s="4" t="s">
        <v>314</v>
      </c>
      <c r="Y346" s="4"/>
      <c r="Z346" s="4"/>
      <c r="AA346" s="4"/>
    </row>
    <row r="347">
      <c r="A347" s="4" t="s">
        <v>7387</v>
      </c>
      <c r="B347" s="4" t="s">
        <v>14</v>
      </c>
      <c r="C347" s="4" t="s">
        <v>7269</v>
      </c>
      <c r="D347" s="4">
        <v>44007.0</v>
      </c>
      <c r="E347" s="4">
        <v>0.6114583333333342</v>
      </c>
      <c r="F347" s="4">
        <v>0.0010416666666666667</v>
      </c>
      <c r="G347" s="4">
        <v>0.6125000000000009</v>
      </c>
      <c r="H347" s="4"/>
      <c r="I347" s="4"/>
      <c r="J347" s="4"/>
      <c r="K347" s="4"/>
      <c r="L347" s="4"/>
      <c r="M347" s="4"/>
      <c r="N347" s="4"/>
      <c r="O347" s="4" t="s">
        <v>370</v>
      </c>
      <c r="P347" s="4"/>
      <c r="Q347" s="4"/>
      <c r="R347" s="4"/>
      <c r="S347" s="4"/>
      <c r="T347" s="4"/>
      <c r="U347" s="4">
        <v>0.0</v>
      </c>
      <c r="V347" s="4"/>
      <c r="W347" s="4"/>
      <c r="X347" s="4"/>
      <c r="Y347" s="4"/>
      <c r="Z347" s="4"/>
      <c r="AA347" s="4"/>
    </row>
    <row r="348">
      <c r="A348" s="4" t="s">
        <v>7388</v>
      </c>
      <c r="B348" s="4" t="s">
        <v>14</v>
      </c>
      <c r="C348" s="4" t="s">
        <v>7269</v>
      </c>
      <c r="D348" s="4">
        <v>44007.0</v>
      </c>
      <c r="E348" s="4">
        <v>0.6125000000000009</v>
      </c>
      <c r="F348" s="4">
        <v>3.4722222222222224E-4</v>
      </c>
      <c r="G348" s="4">
        <v>0.6128472222222232</v>
      </c>
      <c r="H348" s="4"/>
      <c r="I348" s="4"/>
      <c r="J348" s="4"/>
      <c r="K348" s="4"/>
      <c r="L348" s="4"/>
      <c r="M348" s="4"/>
      <c r="N348" s="4"/>
      <c r="O348" s="4" t="s">
        <v>91</v>
      </c>
      <c r="P348" s="4"/>
      <c r="Q348" s="4"/>
      <c r="R348" s="4"/>
      <c r="S348" s="4"/>
      <c r="T348" s="4"/>
      <c r="U348" s="4"/>
      <c r="V348" s="4"/>
      <c r="W348" s="4"/>
      <c r="X348" s="4"/>
      <c r="Y348" s="4"/>
      <c r="Z348" s="4"/>
      <c r="AA348" s="4"/>
    </row>
    <row r="349">
      <c r="A349" s="4" t="s">
        <v>7389</v>
      </c>
      <c r="B349" s="4" t="s">
        <v>14</v>
      </c>
      <c r="C349" s="4" t="s">
        <v>7269</v>
      </c>
      <c r="D349" s="4">
        <v>44007.0</v>
      </c>
      <c r="E349" s="4">
        <v>0.6128472222222232</v>
      </c>
      <c r="F349" s="4">
        <v>0.010416666666666666</v>
      </c>
      <c r="G349" s="4">
        <v>0.6232638888888898</v>
      </c>
      <c r="H349" s="4" t="s">
        <v>1362</v>
      </c>
      <c r="I349" s="4" t="s">
        <v>4142</v>
      </c>
      <c r="J349" s="4" t="s">
        <v>6938</v>
      </c>
      <c r="K349" s="4"/>
      <c r="L349" s="4" t="s">
        <v>107</v>
      </c>
      <c r="M349" s="4"/>
      <c r="N349" s="4" t="s">
        <v>6858</v>
      </c>
      <c r="O349" s="4" t="s">
        <v>7390</v>
      </c>
      <c r="P349" s="4" t="s">
        <v>264</v>
      </c>
      <c r="Q349" s="4" t="s">
        <v>265</v>
      </c>
      <c r="R349" s="4"/>
      <c r="S349" s="4"/>
      <c r="T349" s="4" t="s">
        <v>266</v>
      </c>
      <c r="U349" s="4"/>
      <c r="V349" s="4" t="s">
        <v>7391</v>
      </c>
      <c r="W349" s="4" t="s">
        <v>7088</v>
      </c>
      <c r="X349" s="4"/>
      <c r="Y349" s="4"/>
      <c r="Z349" s="4"/>
      <c r="AA349" s="4"/>
    </row>
    <row r="350">
      <c r="A350" s="4" t="s">
        <v>7392</v>
      </c>
      <c r="B350" s="4" t="s">
        <v>14</v>
      </c>
      <c r="C350" s="4" t="s">
        <v>7269</v>
      </c>
      <c r="D350" s="4">
        <v>44007.0</v>
      </c>
      <c r="E350" s="4">
        <v>0.6232638888888898</v>
      </c>
      <c r="F350" s="4">
        <v>1.7361111111111112E-4</v>
      </c>
      <c r="G350" s="4">
        <v>0.623437500000001</v>
      </c>
      <c r="H350" s="4"/>
      <c r="I350" s="4"/>
      <c r="J350" s="4"/>
      <c r="K350" s="4"/>
      <c r="L350" s="4" t="s">
        <v>85</v>
      </c>
      <c r="M350" s="4"/>
      <c r="N350" s="4"/>
      <c r="O350" s="4" t="s">
        <v>7077</v>
      </c>
      <c r="P350" s="4"/>
      <c r="Q350" s="4"/>
      <c r="R350" s="4"/>
      <c r="S350" s="4"/>
      <c r="T350" s="4"/>
      <c r="U350" s="4">
        <v>0.0</v>
      </c>
      <c r="V350" s="4"/>
      <c r="W350" s="4"/>
      <c r="X350" s="4"/>
      <c r="Y350" s="4"/>
      <c r="Z350" s="4"/>
      <c r="AA350" s="4"/>
    </row>
    <row r="351">
      <c r="A351" s="4" t="s">
        <v>7393</v>
      </c>
      <c r="B351" s="4" t="s">
        <v>14</v>
      </c>
      <c r="C351" s="4" t="s">
        <v>7269</v>
      </c>
      <c r="D351" s="4">
        <v>44007.0</v>
      </c>
      <c r="E351" s="4">
        <v>0.623437500000001</v>
      </c>
      <c r="F351" s="4">
        <v>0.0015625</v>
      </c>
      <c r="G351" s="4">
        <v>0.625000000000001</v>
      </c>
      <c r="H351" s="4"/>
      <c r="I351" s="4"/>
      <c r="J351" s="4"/>
      <c r="K351" s="4"/>
      <c r="L351" s="4"/>
      <c r="M351" s="4"/>
      <c r="N351" s="4"/>
      <c r="O351" s="4"/>
      <c r="P351" s="4"/>
      <c r="Q351" s="4"/>
      <c r="R351" s="4"/>
      <c r="S351" s="4"/>
      <c r="T351" s="4"/>
      <c r="U351" s="4"/>
      <c r="V351" s="4"/>
      <c r="W351" s="4"/>
      <c r="X351" s="4"/>
      <c r="Y351" s="4"/>
      <c r="Z351" s="4"/>
      <c r="AA351" s="4"/>
    </row>
    <row r="352">
      <c r="A352" s="4" t="s">
        <v>7394</v>
      </c>
      <c r="B352" s="4" t="s">
        <v>14</v>
      </c>
      <c r="C352" s="4" t="s">
        <v>7269</v>
      </c>
      <c r="D352" s="4">
        <v>44007.0</v>
      </c>
      <c r="E352" s="4"/>
      <c r="F352" s="4"/>
      <c r="G352" s="4"/>
      <c r="H352" s="4"/>
      <c r="I352" s="4"/>
      <c r="J352" s="4"/>
      <c r="K352" s="4"/>
      <c r="L352" s="4"/>
      <c r="M352" s="4"/>
      <c r="N352" s="4"/>
      <c r="O352" s="4"/>
      <c r="P352" s="4"/>
      <c r="Q352" s="4"/>
      <c r="R352" s="4"/>
      <c r="S352" s="4"/>
      <c r="T352" s="4"/>
      <c r="U352" s="4"/>
      <c r="V352" s="4"/>
      <c r="W352" s="4"/>
      <c r="X352" s="4"/>
      <c r="Y352" s="4"/>
      <c r="Z352" s="4"/>
      <c r="AA352" s="4"/>
    </row>
    <row r="353">
      <c r="A353" s="4" t="s">
        <v>7395</v>
      </c>
      <c r="B353" s="4" t="s">
        <v>14</v>
      </c>
      <c r="C353" s="4" t="s">
        <v>7269</v>
      </c>
      <c r="D353" s="4">
        <v>44007.0</v>
      </c>
      <c r="E353" s="4">
        <v>0.625000000000001</v>
      </c>
      <c r="F353" s="4">
        <v>0.0020833333333333333</v>
      </c>
      <c r="G353" s="4">
        <v>0.6270833333333343</v>
      </c>
      <c r="H353" s="4"/>
      <c r="I353" s="4"/>
      <c r="J353" s="4"/>
      <c r="K353" s="4"/>
      <c r="L353" s="4"/>
      <c r="M353" s="4"/>
      <c r="N353" s="4"/>
      <c r="O353" s="4" t="s">
        <v>6915</v>
      </c>
      <c r="P353" s="4"/>
      <c r="Q353" s="4"/>
      <c r="R353" s="4"/>
      <c r="S353" s="4"/>
      <c r="T353" s="4"/>
      <c r="U353" s="4">
        <v>0.0</v>
      </c>
      <c r="V353" s="4"/>
      <c r="W353" s="4"/>
      <c r="X353" s="4"/>
      <c r="Y353" s="4"/>
      <c r="Z353" s="4"/>
      <c r="AA353" s="4"/>
    </row>
    <row r="354">
      <c r="A354" s="4" t="s">
        <v>7396</v>
      </c>
      <c r="B354" s="4" t="s">
        <v>14</v>
      </c>
      <c r="C354" s="4" t="s">
        <v>7269</v>
      </c>
      <c r="D354" s="4">
        <v>44007.0</v>
      </c>
      <c r="E354" s="4">
        <v>0.6270833333333343</v>
      </c>
      <c r="F354" s="4">
        <v>3.4722222222222224E-4</v>
      </c>
      <c r="G354" s="4">
        <v>0.6274305555555566</v>
      </c>
      <c r="H354" s="4"/>
      <c r="I354" s="4"/>
      <c r="J354" s="4"/>
      <c r="K354" s="4"/>
      <c r="L354" s="4"/>
      <c r="M354" s="4"/>
      <c r="N354" s="4"/>
      <c r="O354" s="4" t="s">
        <v>1127</v>
      </c>
      <c r="P354" s="4" t="s">
        <v>128</v>
      </c>
      <c r="Q354" s="4"/>
      <c r="R354" s="4"/>
      <c r="S354" s="4"/>
      <c r="T354" s="4"/>
      <c r="U354" s="4">
        <v>1.0</v>
      </c>
      <c r="V354" s="4"/>
      <c r="W354" s="4"/>
      <c r="X354" s="4"/>
      <c r="Y354" s="4"/>
      <c r="Z354" s="4"/>
      <c r="AA354" s="4"/>
    </row>
    <row r="355">
      <c r="A355" s="4" t="s">
        <v>7397</v>
      </c>
      <c r="B355" s="4" t="s">
        <v>14</v>
      </c>
      <c r="C355" s="4" t="s">
        <v>7269</v>
      </c>
      <c r="D355" s="4">
        <v>44007.0</v>
      </c>
      <c r="E355" s="4">
        <v>0.6274305555555566</v>
      </c>
      <c r="F355" s="4">
        <v>0.008333333333333333</v>
      </c>
      <c r="G355" s="4">
        <v>0.6357638888888899</v>
      </c>
      <c r="H355" s="4" t="s">
        <v>873</v>
      </c>
      <c r="I355" s="4"/>
      <c r="J355" s="4" t="s">
        <v>6948</v>
      </c>
      <c r="K355" s="4" t="s">
        <v>481</v>
      </c>
      <c r="L355" s="4" t="s">
        <v>165</v>
      </c>
      <c r="M355" s="4"/>
      <c r="N355" s="4" t="s">
        <v>6858</v>
      </c>
      <c r="O355" s="4" t="s">
        <v>1882</v>
      </c>
      <c r="P355" s="4" t="s">
        <v>1786</v>
      </c>
      <c r="Q355" s="4"/>
      <c r="R355" s="4"/>
      <c r="S355" s="4"/>
      <c r="T355" s="4"/>
      <c r="U355" s="4">
        <v>1.0</v>
      </c>
      <c r="V355" s="4" t="s">
        <v>7398</v>
      </c>
      <c r="W355" s="4" t="s">
        <v>6890</v>
      </c>
      <c r="X355" s="4" t="s">
        <v>7399</v>
      </c>
      <c r="Y355" s="4" t="s">
        <v>7400</v>
      </c>
      <c r="Z355" s="4" t="s">
        <v>873</v>
      </c>
      <c r="AA355" s="4"/>
    </row>
    <row r="356">
      <c r="A356" s="4" t="s">
        <v>7401</v>
      </c>
      <c r="B356" s="4" t="s">
        <v>14</v>
      </c>
      <c r="C356" s="4" t="s">
        <v>7269</v>
      </c>
      <c r="D356" s="4">
        <v>44007.0</v>
      </c>
      <c r="E356" s="4">
        <v>0.6357638888888899</v>
      </c>
      <c r="F356" s="4">
        <v>1.7361111111111112E-4</v>
      </c>
      <c r="G356" s="4">
        <v>0.635937500000001</v>
      </c>
      <c r="H356" s="4"/>
      <c r="I356" s="4"/>
      <c r="J356" s="4"/>
      <c r="K356" s="4"/>
      <c r="L356" s="4"/>
      <c r="M356" s="4"/>
      <c r="N356" s="4"/>
      <c r="O356" s="4" t="s">
        <v>7077</v>
      </c>
      <c r="P356" s="4"/>
      <c r="Q356" s="4"/>
      <c r="R356" s="4"/>
      <c r="S356" s="4"/>
      <c r="T356" s="4"/>
      <c r="U356" s="4"/>
      <c r="V356" s="4"/>
      <c r="W356" s="4"/>
      <c r="X356" s="4"/>
      <c r="Y356" s="4"/>
      <c r="Z356" s="4"/>
      <c r="AA356" s="4"/>
    </row>
    <row r="357">
      <c r="A357" s="4" t="s">
        <v>7402</v>
      </c>
      <c r="B357" s="4" t="s">
        <v>14</v>
      </c>
      <c r="C357" s="4" t="s">
        <v>7269</v>
      </c>
      <c r="D357" s="4">
        <v>44007.0</v>
      </c>
      <c r="E357" s="4">
        <v>0.6357638888888899</v>
      </c>
      <c r="F357" s="4">
        <v>3.4722222222222224E-4</v>
      </c>
      <c r="G357" s="4">
        <v>0.6361111111111122</v>
      </c>
      <c r="H357" s="4"/>
      <c r="I357" s="4"/>
      <c r="J357" s="4"/>
      <c r="K357" s="4"/>
      <c r="L357" s="4"/>
      <c r="M357" s="4"/>
      <c r="N357" s="4"/>
      <c r="O357" s="4" t="s">
        <v>1127</v>
      </c>
      <c r="P357" s="4"/>
      <c r="Q357" s="4"/>
      <c r="R357" s="4"/>
      <c r="S357" s="4"/>
      <c r="T357" s="4"/>
      <c r="U357" s="4">
        <v>0.0</v>
      </c>
      <c r="V357" s="4"/>
      <c r="W357" s="4"/>
      <c r="X357" s="4"/>
      <c r="Y357" s="4"/>
      <c r="Z357" s="4"/>
      <c r="AA357" s="4"/>
    </row>
    <row r="358">
      <c r="A358" s="4" t="s">
        <v>7403</v>
      </c>
      <c r="B358" s="4" t="s">
        <v>14</v>
      </c>
      <c r="C358" s="4" t="s">
        <v>7269</v>
      </c>
      <c r="D358" s="4">
        <v>44007.0</v>
      </c>
      <c r="E358" s="4">
        <v>0.6361111111111122</v>
      </c>
      <c r="F358" s="4">
        <v>0.0020833333333333333</v>
      </c>
      <c r="G358" s="4">
        <v>0.6381944444444455</v>
      </c>
      <c r="H358" s="4"/>
      <c r="I358" s="4"/>
      <c r="J358" s="4"/>
      <c r="K358" s="4"/>
      <c r="L358" s="4" t="s">
        <v>83</v>
      </c>
      <c r="M358" s="4"/>
      <c r="N358" s="4"/>
      <c r="O358" s="4" t="s">
        <v>7404</v>
      </c>
      <c r="P358" s="4"/>
      <c r="Q358" s="4"/>
      <c r="R358" s="4"/>
      <c r="S358" s="4"/>
      <c r="T358" s="4"/>
      <c r="U358" s="4">
        <v>0.0</v>
      </c>
      <c r="V358" s="4"/>
      <c r="W358" s="4"/>
      <c r="X358" s="4"/>
      <c r="Y358" s="4"/>
      <c r="Z358" s="4"/>
      <c r="AA358" s="4"/>
    </row>
    <row r="359">
      <c r="A359" s="4" t="s">
        <v>7405</v>
      </c>
      <c r="B359" s="4" t="s">
        <v>14</v>
      </c>
      <c r="C359" s="4" t="s">
        <v>7269</v>
      </c>
      <c r="D359" s="4">
        <v>44007.0</v>
      </c>
      <c r="E359" s="4">
        <v>0.6381944444444455</v>
      </c>
      <c r="F359" s="4">
        <v>1.7361111111111112E-4</v>
      </c>
      <c r="G359" s="4">
        <v>0.6383680555555566</v>
      </c>
      <c r="H359" s="4"/>
      <c r="I359" s="4"/>
      <c r="J359" s="4"/>
      <c r="K359" s="4"/>
      <c r="L359" s="4"/>
      <c r="M359" s="4"/>
      <c r="N359" s="4"/>
      <c r="O359" s="4" t="s">
        <v>7077</v>
      </c>
      <c r="P359" s="4"/>
      <c r="Q359" s="4"/>
      <c r="R359" s="4"/>
      <c r="S359" s="4"/>
      <c r="T359" s="4"/>
      <c r="U359" s="4"/>
      <c r="V359" s="4"/>
      <c r="W359" s="4"/>
      <c r="X359" s="4"/>
      <c r="Y359" s="4"/>
      <c r="Z359" s="4"/>
      <c r="AA359" s="4"/>
    </row>
    <row r="360">
      <c r="A360" s="4" t="s">
        <v>7406</v>
      </c>
      <c r="B360" s="4" t="s">
        <v>14</v>
      </c>
      <c r="C360" s="4" t="s">
        <v>7269</v>
      </c>
      <c r="D360" s="4">
        <v>44007.0</v>
      </c>
      <c r="E360" s="4">
        <v>0.6383680555555566</v>
      </c>
      <c r="F360" s="4">
        <v>3.4722222222222224E-4</v>
      </c>
      <c r="G360" s="4">
        <v>0.6387152777777789</v>
      </c>
      <c r="H360" s="4"/>
      <c r="I360" s="4"/>
      <c r="J360" s="4"/>
      <c r="K360" s="4"/>
      <c r="L360" s="4"/>
      <c r="M360" s="4"/>
      <c r="N360" s="4"/>
      <c r="O360" s="4" t="s">
        <v>1127</v>
      </c>
      <c r="P360" s="4"/>
      <c r="Q360" s="4"/>
      <c r="R360" s="4"/>
      <c r="S360" s="4"/>
      <c r="T360" s="4"/>
      <c r="U360" s="4"/>
      <c r="V360" s="4"/>
      <c r="W360" s="4"/>
      <c r="X360" s="4"/>
      <c r="Y360" s="4"/>
      <c r="Z360" s="4"/>
      <c r="AA360" s="4"/>
    </row>
    <row r="361">
      <c r="A361" s="4" t="s">
        <v>7407</v>
      </c>
      <c r="B361" s="4" t="s">
        <v>14</v>
      </c>
      <c r="C361" s="4" t="s">
        <v>7269</v>
      </c>
      <c r="D361" s="4">
        <v>44007.0</v>
      </c>
      <c r="E361" s="4">
        <v>0.6387152777777789</v>
      </c>
      <c r="F361" s="4">
        <v>0.006944444444444444</v>
      </c>
      <c r="G361" s="4">
        <v>0.6456597222222233</v>
      </c>
      <c r="H361" s="4" t="s">
        <v>1253</v>
      </c>
      <c r="I361" s="4"/>
      <c r="J361" s="4" t="s">
        <v>6938</v>
      </c>
      <c r="K361" s="4"/>
      <c r="L361" s="4" t="s">
        <v>165</v>
      </c>
      <c r="M361" s="4"/>
      <c r="N361" s="4" t="s">
        <v>6749</v>
      </c>
      <c r="O361" s="4" t="s">
        <v>1768</v>
      </c>
      <c r="P361" s="4" t="s">
        <v>1769</v>
      </c>
      <c r="Q361" s="4"/>
      <c r="R361" s="4"/>
      <c r="S361" s="4"/>
      <c r="T361" s="4"/>
      <c r="U361" s="4">
        <v>1.0</v>
      </c>
      <c r="V361" s="4" t="s">
        <v>7408</v>
      </c>
      <c r="W361" s="4" t="s">
        <v>6890</v>
      </c>
      <c r="X361" s="4" t="s">
        <v>7122</v>
      </c>
      <c r="Y361" s="4" t="s">
        <v>7122</v>
      </c>
      <c r="Z361" s="4" t="s">
        <v>1253</v>
      </c>
      <c r="AA361" s="4"/>
    </row>
    <row r="362">
      <c r="A362" s="4" t="s">
        <v>7409</v>
      </c>
      <c r="B362" s="4" t="s">
        <v>14</v>
      </c>
      <c r="C362" s="4" t="s">
        <v>7269</v>
      </c>
      <c r="D362" s="4">
        <v>44007.0</v>
      </c>
      <c r="E362" s="4">
        <v>0.6456597222222233</v>
      </c>
      <c r="F362" s="4">
        <v>1.7361111111111112E-4</v>
      </c>
      <c r="G362" s="4">
        <v>0.6458333333333345</v>
      </c>
      <c r="H362" s="4"/>
      <c r="I362" s="4"/>
      <c r="J362" s="4"/>
      <c r="K362" s="4"/>
      <c r="L362" s="4"/>
      <c r="M362" s="4"/>
      <c r="N362" s="4"/>
      <c r="O362" s="4" t="s">
        <v>7077</v>
      </c>
      <c r="P362" s="4"/>
      <c r="Q362" s="4"/>
      <c r="R362" s="4"/>
      <c r="S362" s="4"/>
      <c r="T362" s="4"/>
      <c r="U362" s="4"/>
      <c r="V362" s="4"/>
      <c r="W362" s="4"/>
      <c r="X362" s="4"/>
      <c r="Y362" s="4"/>
      <c r="Z362" s="4"/>
      <c r="AA362" s="4"/>
    </row>
    <row r="363">
      <c r="A363" s="4" t="s">
        <v>7410</v>
      </c>
      <c r="B363" s="4" t="s">
        <v>14</v>
      </c>
      <c r="C363" s="4" t="s">
        <v>7269</v>
      </c>
      <c r="D363" s="4">
        <v>44007.0</v>
      </c>
      <c r="E363" s="4">
        <v>0.6458333333333345</v>
      </c>
      <c r="F363" s="4">
        <v>3.4722222222222224E-4</v>
      </c>
      <c r="G363" s="4">
        <v>0.6461805555555568</v>
      </c>
      <c r="H363" s="4"/>
      <c r="I363" s="4"/>
      <c r="J363" s="4"/>
      <c r="K363" s="4"/>
      <c r="L363" s="4"/>
      <c r="M363" s="4"/>
      <c r="N363" s="4"/>
      <c r="O363" s="4" t="s">
        <v>1127</v>
      </c>
      <c r="P363" s="4"/>
      <c r="Q363" s="4"/>
      <c r="R363" s="4"/>
      <c r="S363" s="4"/>
      <c r="T363" s="4"/>
      <c r="U363" s="4">
        <v>0.0</v>
      </c>
      <c r="V363" s="4"/>
      <c r="W363" s="4"/>
      <c r="X363" s="4"/>
      <c r="Y363" s="4"/>
      <c r="Z363" s="4"/>
      <c r="AA363" s="4"/>
    </row>
    <row r="364">
      <c r="A364" s="4" t="s">
        <v>7411</v>
      </c>
      <c r="B364" s="4" t="s">
        <v>14</v>
      </c>
      <c r="C364" s="4" t="s">
        <v>7269</v>
      </c>
      <c r="D364" s="4">
        <v>44007.0</v>
      </c>
      <c r="E364" s="4">
        <v>0.6461805555555568</v>
      </c>
      <c r="F364" s="4">
        <v>0.006944444444444444</v>
      </c>
      <c r="G364" s="4">
        <v>0.6531250000000012</v>
      </c>
      <c r="H364" s="4" t="s">
        <v>873</v>
      </c>
      <c r="I364" s="4"/>
      <c r="J364" s="4" t="s">
        <v>6948</v>
      </c>
      <c r="K364" s="4" t="s">
        <v>245</v>
      </c>
      <c r="L364" s="4" t="s">
        <v>165</v>
      </c>
      <c r="M364" s="4"/>
      <c r="N364" s="4" t="s">
        <v>6858</v>
      </c>
      <c r="O364" s="4" t="s">
        <v>308</v>
      </c>
      <c r="P364" s="4" t="s">
        <v>309</v>
      </c>
      <c r="Q364" s="4"/>
      <c r="R364" s="4"/>
      <c r="S364" s="4"/>
      <c r="T364" s="4"/>
      <c r="U364" s="4">
        <v>1.0</v>
      </c>
      <c r="V364" s="4" t="s">
        <v>7412</v>
      </c>
      <c r="W364" s="4" t="s">
        <v>6911</v>
      </c>
      <c r="X364" s="4" t="s">
        <v>7413</v>
      </c>
      <c r="Y364" s="4" t="s">
        <v>7414</v>
      </c>
      <c r="Z364" s="4" t="s">
        <v>873</v>
      </c>
      <c r="AA364" s="4"/>
    </row>
    <row r="365">
      <c r="A365" s="4" t="s">
        <v>7415</v>
      </c>
      <c r="B365" s="4" t="s">
        <v>14</v>
      </c>
      <c r="C365" s="4" t="s">
        <v>7269</v>
      </c>
      <c r="D365" s="4">
        <v>44007.0</v>
      </c>
      <c r="E365" s="4">
        <v>0.6531250000000012</v>
      </c>
      <c r="F365" s="4">
        <v>1.7361111111111112E-4</v>
      </c>
      <c r="G365" s="4">
        <v>0.6532986111111123</v>
      </c>
      <c r="H365" s="4"/>
      <c r="I365" s="4"/>
      <c r="J365" s="4"/>
      <c r="K365" s="4"/>
      <c r="L365" s="4"/>
      <c r="M365" s="4"/>
      <c r="N365" s="4"/>
      <c r="O365" s="4" t="s">
        <v>7077</v>
      </c>
      <c r="P365" s="4"/>
      <c r="Q365" s="4"/>
      <c r="R365" s="4"/>
      <c r="S365" s="4"/>
      <c r="T365" s="4"/>
      <c r="U365" s="4"/>
      <c r="V365" s="4"/>
      <c r="W365" s="4"/>
      <c r="X365" s="4"/>
      <c r="Y365" s="4"/>
      <c r="Z365" s="4"/>
      <c r="AA365" s="4"/>
    </row>
    <row r="366">
      <c r="A366" s="4" t="s">
        <v>7416</v>
      </c>
      <c r="B366" s="4" t="s">
        <v>14</v>
      </c>
      <c r="C366" s="4" t="s">
        <v>7269</v>
      </c>
      <c r="D366" s="4">
        <v>44007.0</v>
      </c>
      <c r="E366" s="4">
        <v>0.6532986111111123</v>
      </c>
      <c r="F366" s="4">
        <v>0.0026041666666666665</v>
      </c>
      <c r="G366" s="4">
        <v>0.655902777777779</v>
      </c>
      <c r="H366" s="4"/>
      <c r="I366" s="4"/>
      <c r="J366" s="4"/>
      <c r="K366" s="4"/>
      <c r="L366" s="4"/>
      <c r="M366" s="4"/>
      <c r="N366" s="4"/>
      <c r="O366" s="4" t="s">
        <v>7417</v>
      </c>
      <c r="P366" s="4"/>
      <c r="Q366" s="4"/>
      <c r="R366" s="4"/>
      <c r="S366" s="4"/>
      <c r="T366" s="4"/>
      <c r="U366" s="4"/>
      <c r="V366" s="4"/>
      <c r="W366" s="4"/>
      <c r="X366" s="4"/>
      <c r="Y366" s="4"/>
      <c r="Z366" s="4"/>
      <c r="AA366" s="4"/>
    </row>
    <row r="367">
      <c r="A367" s="4" t="s">
        <v>7418</v>
      </c>
      <c r="B367" s="4" t="s">
        <v>14</v>
      </c>
      <c r="C367" s="4" t="s">
        <v>7269</v>
      </c>
      <c r="D367" s="4">
        <v>44007.0</v>
      </c>
      <c r="E367" s="4">
        <v>0.655902777777779</v>
      </c>
      <c r="F367" s="4">
        <v>3.4722222222222224E-4</v>
      </c>
      <c r="G367" s="4">
        <v>0.6562500000000012</v>
      </c>
      <c r="H367" s="4"/>
      <c r="I367" s="4"/>
      <c r="J367" s="4"/>
      <c r="K367" s="4"/>
      <c r="L367" s="4"/>
      <c r="M367" s="4"/>
      <c r="N367" s="4"/>
      <c r="O367" s="4" t="s">
        <v>1127</v>
      </c>
      <c r="P367" s="4"/>
      <c r="Q367" s="4"/>
      <c r="R367" s="4"/>
      <c r="S367" s="4"/>
      <c r="T367" s="4"/>
      <c r="U367" s="4"/>
      <c r="V367" s="4"/>
      <c r="W367" s="4"/>
      <c r="X367" s="4"/>
      <c r="Y367" s="4"/>
      <c r="Z367" s="4"/>
      <c r="AA367" s="4"/>
    </row>
    <row r="368">
      <c r="A368" s="4" t="s">
        <v>7419</v>
      </c>
      <c r="B368" s="4" t="s">
        <v>14</v>
      </c>
      <c r="C368" s="4" t="s">
        <v>7070</v>
      </c>
      <c r="D368" s="4">
        <v>44006.0</v>
      </c>
      <c r="E368" s="4">
        <v>0.6562500000000012</v>
      </c>
      <c r="F368" s="4">
        <v>0.010416666666666666</v>
      </c>
      <c r="G368" s="4">
        <v>0.6666666666666679</v>
      </c>
      <c r="H368" s="4" t="s">
        <v>1055</v>
      </c>
      <c r="I368" s="4" t="s">
        <v>6947</v>
      </c>
      <c r="J368" s="4" t="s">
        <v>6903</v>
      </c>
      <c r="K368" s="4" t="s">
        <v>140</v>
      </c>
      <c r="L368" s="4" t="s">
        <v>74</v>
      </c>
      <c r="M368" s="4"/>
      <c r="N368" s="4" t="s">
        <v>6720</v>
      </c>
      <c r="O368" s="4" t="s">
        <v>1907</v>
      </c>
      <c r="P368" s="4" t="s">
        <v>1772</v>
      </c>
      <c r="Q368" s="4" t="s">
        <v>1773</v>
      </c>
      <c r="R368" s="4" t="s">
        <v>1774</v>
      </c>
      <c r="S368" s="4"/>
      <c r="T368" s="4" t="s">
        <v>1775</v>
      </c>
      <c r="U368" s="4">
        <v>4.0</v>
      </c>
      <c r="V368" s="4" t="s">
        <v>7420</v>
      </c>
      <c r="W368" s="4" t="s">
        <v>7421</v>
      </c>
      <c r="X368" s="4" t="s">
        <v>7422</v>
      </c>
      <c r="Y368" s="4" t="s">
        <v>7423</v>
      </c>
      <c r="Z368" s="4" t="s">
        <v>4345</v>
      </c>
      <c r="AA368" s="4"/>
    </row>
    <row r="369">
      <c r="A369" s="4" t="s">
        <v>7424</v>
      </c>
      <c r="B369" s="4" t="s">
        <v>14</v>
      </c>
      <c r="C369" s="4"/>
      <c r="D369" s="4"/>
      <c r="E369" s="4">
        <v>0.6666666666666679</v>
      </c>
      <c r="F369" s="4">
        <v>1.7361111111111112E-4</v>
      </c>
      <c r="G369" s="4">
        <v>0.666840277777779</v>
      </c>
      <c r="H369" s="4"/>
      <c r="I369" s="4"/>
      <c r="J369" s="4"/>
      <c r="K369" s="4"/>
      <c r="L369" s="4"/>
      <c r="M369" s="4"/>
      <c r="N369" s="4"/>
      <c r="O369" s="4"/>
      <c r="P369" s="4"/>
      <c r="Q369" s="4"/>
      <c r="R369" s="4"/>
      <c r="S369" s="4"/>
      <c r="T369" s="4"/>
      <c r="U369" s="4"/>
      <c r="V369" s="4"/>
      <c r="W369" s="4"/>
      <c r="X369" s="4"/>
      <c r="Y369" s="4"/>
      <c r="Z369" s="4"/>
      <c r="AA369" s="4"/>
    </row>
    <row r="370">
      <c r="A370" s="4" t="s">
        <v>7425</v>
      </c>
      <c r="B370" s="4" t="s">
        <v>14</v>
      </c>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c r="A371" s="4" t="s">
        <v>7426</v>
      </c>
      <c r="B371" s="4" t="s">
        <v>14</v>
      </c>
      <c r="C371" s="4" t="s">
        <v>7269</v>
      </c>
      <c r="D371" s="4">
        <v>44007.0</v>
      </c>
      <c r="E371" s="4">
        <v>0.666840277777779</v>
      </c>
      <c r="F371" s="4">
        <v>0.0020833333333333333</v>
      </c>
      <c r="G371" s="4">
        <v>0.6689236111111123</v>
      </c>
      <c r="H371" s="4"/>
      <c r="I371" s="4"/>
      <c r="J371" s="4"/>
      <c r="K371" s="4"/>
      <c r="L371" s="4"/>
      <c r="M371" s="4"/>
      <c r="N371" s="4"/>
      <c r="O371" s="4" t="s">
        <v>6915</v>
      </c>
      <c r="P371" s="4"/>
      <c r="Q371" s="4"/>
      <c r="R371" s="4"/>
      <c r="S371" s="4"/>
      <c r="T371" s="4"/>
      <c r="U371" s="4">
        <v>0.0</v>
      </c>
      <c r="V371" s="4"/>
      <c r="W371" s="4"/>
      <c r="X371" s="4"/>
      <c r="Y371" s="4"/>
      <c r="Z371" s="4"/>
      <c r="AA371" s="4"/>
    </row>
    <row r="372">
      <c r="A372" s="4" t="s">
        <v>7427</v>
      </c>
      <c r="B372" s="4" t="s">
        <v>14</v>
      </c>
      <c r="C372" s="4" t="s">
        <v>7269</v>
      </c>
      <c r="D372" s="4">
        <v>44007.0</v>
      </c>
      <c r="E372" s="4">
        <v>0.6689236111111123</v>
      </c>
      <c r="F372" s="4">
        <v>3.4722222222222224E-4</v>
      </c>
      <c r="G372" s="4">
        <v>0.6692708333333346</v>
      </c>
      <c r="H372" s="4"/>
      <c r="I372" s="4"/>
      <c r="J372" s="4"/>
      <c r="K372" s="4"/>
      <c r="L372" s="4"/>
      <c r="M372" s="4"/>
      <c r="N372" s="4"/>
      <c r="O372" s="4" t="s">
        <v>6878</v>
      </c>
      <c r="P372" s="4"/>
      <c r="Q372" s="4"/>
      <c r="R372" s="4"/>
      <c r="S372" s="4"/>
      <c r="T372" s="4"/>
      <c r="U372" s="4">
        <v>0.0</v>
      </c>
      <c r="V372" s="4"/>
      <c r="W372" s="4"/>
      <c r="X372" s="4"/>
      <c r="Y372" s="4"/>
      <c r="Z372" s="4"/>
      <c r="AA372" s="4"/>
    </row>
    <row r="373">
      <c r="A373" s="4" t="s">
        <v>7428</v>
      </c>
      <c r="B373" s="4" t="s">
        <v>14</v>
      </c>
      <c r="C373" s="4" t="s">
        <v>7269</v>
      </c>
      <c r="D373" s="4">
        <v>44007.0</v>
      </c>
      <c r="E373" s="4">
        <v>0.6692708333333346</v>
      </c>
      <c r="F373" s="4">
        <v>0.008333333333333333</v>
      </c>
      <c r="G373" s="4">
        <v>0.6776041666666679</v>
      </c>
      <c r="H373" s="4"/>
      <c r="I373" s="4"/>
      <c r="J373" s="4"/>
      <c r="K373" s="4"/>
      <c r="L373" s="4"/>
      <c r="M373" s="4"/>
      <c r="N373" s="4"/>
      <c r="O373" s="4" t="s">
        <v>4345</v>
      </c>
      <c r="P373" s="4"/>
      <c r="Q373" s="4"/>
      <c r="R373" s="4"/>
      <c r="S373" s="4"/>
      <c r="T373" s="4"/>
      <c r="U373" s="4"/>
      <c r="V373" s="4"/>
      <c r="W373" s="4"/>
      <c r="X373" s="4"/>
      <c r="Y373" s="4"/>
      <c r="Z373" s="4"/>
      <c r="AA373" s="4"/>
    </row>
    <row r="374">
      <c r="A374" s="4" t="s">
        <v>7429</v>
      </c>
      <c r="B374" s="4" t="s">
        <v>14</v>
      </c>
      <c r="C374" s="4" t="s">
        <v>7269</v>
      </c>
      <c r="D374" s="4">
        <v>44007.0</v>
      </c>
      <c r="E374" s="4">
        <v>0.6776041666666679</v>
      </c>
      <c r="F374" s="4">
        <v>3.4722222222222224E-4</v>
      </c>
      <c r="G374" s="4">
        <v>0.6779513888888902</v>
      </c>
      <c r="H374" s="4"/>
      <c r="I374" s="4"/>
      <c r="J374" s="4"/>
      <c r="K374" s="4"/>
      <c r="L374" s="4"/>
      <c r="M374" s="4"/>
      <c r="N374" s="4"/>
      <c r="O374" s="4" t="s">
        <v>974</v>
      </c>
      <c r="P374" s="4"/>
      <c r="Q374" s="4"/>
      <c r="R374" s="4"/>
      <c r="S374" s="4"/>
      <c r="T374" s="4"/>
      <c r="U374" s="4">
        <v>0.0</v>
      </c>
      <c r="V374" s="4"/>
      <c r="W374" s="4"/>
      <c r="X374" s="4"/>
      <c r="Y374" s="4"/>
      <c r="Z374" s="4"/>
      <c r="AA374" s="4"/>
    </row>
    <row r="375">
      <c r="A375" s="4" t="s">
        <v>7430</v>
      </c>
      <c r="B375" s="4" t="s">
        <v>14</v>
      </c>
      <c r="C375" s="4" t="s">
        <v>7269</v>
      </c>
      <c r="D375" s="4">
        <v>44007.0</v>
      </c>
      <c r="E375" s="4">
        <v>0.6779513888888902</v>
      </c>
      <c r="F375" s="4">
        <v>3.4722222222222224E-4</v>
      </c>
      <c r="G375" s="4">
        <v>0.6782986111111124</v>
      </c>
      <c r="H375" s="4"/>
      <c r="I375" s="4"/>
      <c r="J375" s="4"/>
      <c r="K375" s="4"/>
      <c r="L375" s="4"/>
      <c r="M375" s="4"/>
      <c r="N375" s="4"/>
      <c r="O375" s="4" t="s">
        <v>119</v>
      </c>
      <c r="P375" s="4"/>
      <c r="Q375" s="4"/>
      <c r="R375" s="4"/>
      <c r="S375" s="4"/>
      <c r="T375" s="4"/>
      <c r="U375" s="4"/>
      <c r="V375" s="4"/>
      <c r="W375" s="4"/>
      <c r="X375" s="4"/>
      <c r="Y375" s="4"/>
      <c r="Z375" s="4"/>
      <c r="AA375" s="4"/>
    </row>
    <row r="376">
      <c r="A376" s="4" t="s">
        <v>7431</v>
      </c>
      <c r="B376" s="4" t="s">
        <v>14</v>
      </c>
      <c r="C376" s="4" t="s">
        <v>7269</v>
      </c>
      <c r="D376" s="4">
        <v>44007.0</v>
      </c>
      <c r="E376" s="4">
        <v>0.6782986111111124</v>
      </c>
      <c r="F376" s="4">
        <v>0.0020833333333333333</v>
      </c>
      <c r="G376" s="4">
        <v>0.6803819444444458</v>
      </c>
      <c r="H376" s="4"/>
      <c r="I376" s="4"/>
      <c r="J376" s="4"/>
      <c r="K376" s="4"/>
      <c r="L376" s="4" t="s">
        <v>83</v>
      </c>
      <c r="M376" s="4"/>
      <c r="N376" s="4"/>
      <c r="O376" s="4" t="s">
        <v>7432</v>
      </c>
      <c r="P376" s="4"/>
      <c r="Q376" s="4"/>
      <c r="R376" s="4"/>
      <c r="S376" s="4"/>
      <c r="T376" s="4"/>
      <c r="U376" s="4">
        <v>0.0</v>
      </c>
      <c r="V376" s="4"/>
      <c r="W376" s="4"/>
      <c r="X376" s="4"/>
      <c r="Y376" s="4"/>
      <c r="Z376" s="4"/>
      <c r="AA376" s="4"/>
    </row>
    <row r="377">
      <c r="A377" s="4" t="s">
        <v>7433</v>
      </c>
      <c r="B377" s="4" t="s">
        <v>14</v>
      </c>
      <c r="C377" s="4" t="s">
        <v>7269</v>
      </c>
      <c r="D377" s="4">
        <v>44007.0</v>
      </c>
      <c r="E377" s="4">
        <v>0.6803819444444458</v>
      </c>
      <c r="F377" s="4">
        <v>1.7361111111111112E-4</v>
      </c>
      <c r="G377" s="4">
        <v>0.6805555555555569</v>
      </c>
      <c r="H377" s="4"/>
      <c r="I377" s="4"/>
      <c r="J377" s="4"/>
      <c r="K377" s="4"/>
      <c r="L377" s="4"/>
      <c r="M377" s="4"/>
      <c r="N377" s="4"/>
      <c r="O377" s="4" t="s">
        <v>974</v>
      </c>
      <c r="P377" s="4"/>
      <c r="Q377" s="4"/>
      <c r="R377" s="4"/>
      <c r="S377" s="4"/>
      <c r="T377" s="4"/>
      <c r="U377" s="4">
        <v>0.0</v>
      </c>
      <c r="V377" s="4"/>
      <c r="W377" s="4"/>
      <c r="X377" s="4"/>
      <c r="Y377" s="4"/>
      <c r="Z377" s="4"/>
      <c r="AA377" s="4"/>
    </row>
    <row r="378">
      <c r="A378" s="4" t="s">
        <v>7434</v>
      </c>
      <c r="B378" s="4" t="s">
        <v>14</v>
      </c>
      <c r="C378" s="4" t="s">
        <v>7269</v>
      </c>
      <c r="D378" s="4">
        <v>44007.0</v>
      </c>
      <c r="E378" s="4">
        <v>0.6805555555555569</v>
      </c>
      <c r="F378" s="4">
        <v>3.4722222222222224E-4</v>
      </c>
      <c r="G378" s="4">
        <v>0.6809027777777792</v>
      </c>
      <c r="H378" s="4"/>
      <c r="I378" s="4"/>
      <c r="J378" s="4"/>
      <c r="K378" s="4"/>
      <c r="L378" s="4"/>
      <c r="M378" s="4"/>
      <c r="N378" s="4"/>
      <c r="O378" s="4" t="s">
        <v>1127</v>
      </c>
      <c r="P378" s="4"/>
      <c r="Q378" s="4"/>
      <c r="R378" s="4"/>
      <c r="S378" s="4"/>
      <c r="T378" s="4"/>
      <c r="U378" s="4"/>
      <c r="V378" s="4"/>
      <c r="W378" s="4"/>
      <c r="X378" s="4"/>
      <c r="Y378" s="4"/>
      <c r="Z378" s="4"/>
      <c r="AA378" s="4"/>
    </row>
    <row r="379">
      <c r="A379" s="4" t="s">
        <v>7435</v>
      </c>
      <c r="B379" s="4" t="s">
        <v>14</v>
      </c>
      <c r="C379" s="4" t="s">
        <v>7269</v>
      </c>
      <c r="D379" s="4">
        <v>44007.0</v>
      </c>
      <c r="E379" s="4">
        <v>0.6809027777777792</v>
      </c>
      <c r="F379" s="4">
        <v>0.010416666666666666</v>
      </c>
      <c r="G379" s="4">
        <v>0.6913194444444458</v>
      </c>
      <c r="H379" s="4" t="s">
        <v>873</v>
      </c>
      <c r="I379" s="4" t="s">
        <v>6960</v>
      </c>
      <c r="J379" s="4" t="s">
        <v>6948</v>
      </c>
      <c r="K379" s="4" t="s">
        <v>140</v>
      </c>
      <c r="L379" s="4"/>
      <c r="M379" s="4"/>
      <c r="N379" s="4" t="s">
        <v>6702</v>
      </c>
      <c r="O379" s="4" t="s">
        <v>462</v>
      </c>
      <c r="P379" s="4" t="s">
        <v>463</v>
      </c>
      <c r="Q379" s="4"/>
      <c r="R379" s="4"/>
      <c r="S379" s="4"/>
      <c r="T379" s="4" t="s">
        <v>464</v>
      </c>
      <c r="U379" s="4">
        <v>2.0</v>
      </c>
      <c r="V379" s="4" t="s">
        <v>7436</v>
      </c>
      <c r="W379" s="4" t="s">
        <v>7115</v>
      </c>
      <c r="X379" s="4" t="s">
        <v>7437</v>
      </c>
      <c r="Y379" s="4" t="s">
        <v>7438</v>
      </c>
      <c r="Z379" s="4" t="s">
        <v>873</v>
      </c>
      <c r="AA379" s="4"/>
    </row>
    <row r="380">
      <c r="A380" s="4" t="s">
        <v>7439</v>
      </c>
      <c r="B380" s="4" t="s">
        <v>14</v>
      </c>
      <c r="C380" s="4" t="s">
        <v>7269</v>
      </c>
      <c r="D380" s="4">
        <v>44007.0</v>
      </c>
      <c r="E380" s="4">
        <v>0.6913194444444458</v>
      </c>
      <c r="F380" s="4">
        <v>1.7361111111111112E-4</v>
      </c>
      <c r="G380" s="4">
        <v>0.691493055555557</v>
      </c>
      <c r="H380" s="4"/>
      <c r="I380" s="4"/>
      <c r="J380" s="4"/>
      <c r="K380" s="4"/>
      <c r="L380" s="4"/>
      <c r="M380" s="4"/>
      <c r="N380" s="4"/>
      <c r="O380" s="4" t="s">
        <v>974</v>
      </c>
      <c r="P380" s="4"/>
      <c r="Q380" s="4"/>
      <c r="R380" s="4"/>
      <c r="S380" s="4"/>
      <c r="T380" s="4"/>
      <c r="U380" s="4"/>
      <c r="V380" s="4"/>
      <c r="W380" s="4"/>
      <c r="X380" s="4"/>
      <c r="Y380" s="4"/>
      <c r="Z380" s="4"/>
      <c r="AA380" s="4"/>
    </row>
    <row r="381">
      <c r="A381" s="4" t="s">
        <v>7440</v>
      </c>
      <c r="B381" s="4" t="s">
        <v>14</v>
      </c>
      <c r="C381" s="4" t="s">
        <v>7269</v>
      </c>
      <c r="D381" s="4">
        <v>44007.0</v>
      </c>
      <c r="E381" s="4">
        <v>0.691493055555557</v>
      </c>
      <c r="F381" s="4">
        <v>0.002777777777777778</v>
      </c>
      <c r="G381" s="4">
        <v>0.6942708333333347</v>
      </c>
      <c r="H381" s="4"/>
      <c r="I381" s="4"/>
      <c r="J381" s="4"/>
      <c r="K381" s="4"/>
      <c r="L381" s="4"/>
      <c r="M381" s="4"/>
      <c r="N381" s="4"/>
      <c r="O381" s="4" t="s">
        <v>7441</v>
      </c>
      <c r="P381" s="4"/>
      <c r="Q381" s="4"/>
      <c r="R381" s="4"/>
      <c r="S381" s="4"/>
      <c r="T381" s="4"/>
      <c r="U381" s="4">
        <v>0.0</v>
      </c>
      <c r="V381" s="4"/>
      <c r="W381" s="4"/>
      <c r="X381" s="4" t="s">
        <v>314</v>
      </c>
      <c r="Y381" s="4"/>
      <c r="Z381" s="4"/>
      <c r="AA381" s="4"/>
    </row>
    <row r="382">
      <c r="A382" s="4" t="s">
        <v>7442</v>
      </c>
      <c r="B382" s="4" t="s">
        <v>14</v>
      </c>
      <c r="C382" s="4" t="s">
        <v>7269</v>
      </c>
      <c r="D382" s="4">
        <v>44007.0</v>
      </c>
      <c r="E382" s="4">
        <v>0.6942708333333347</v>
      </c>
      <c r="F382" s="4">
        <v>6.944444444444445E-4</v>
      </c>
      <c r="G382" s="4">
        <v>0.6949652777777792</v>
      </c>
      <c r="H382" s="4"/>
      <c r="I382" s="4"/>
      <c r="J382" s="4"/>
      <c r="K382" s="4"/>
      <c r="L382" s="4"/>
      <c r="M382" s="4"/>
      <c r="N382" s="4"/>
      <c r="O382" s="4" t="s">
        <v>370</v>
      </c>
      <c r="P382" s="4"/>
      <c r="Q382" s="4"/>
      <c r="R382" s="4"/>
      <c r="S382" s="4"/>
      <c r="T382" s="4"/>
      <c r="U382" s="4">
        <v>0.0</v>
      </c>
      <c r="V382" s="4"/>
      <c r="W382" s="4"/>
      <c r="X382" s="4"/>
      <c r="Y382" s="4"/>
      <c r="Z382" s="4"/>
      <c r="AA382" s="4"/>
    </row>
    <row r="383">
      <c r="A383" s="4" t="s">
        <v>7443</v>
      </c>
      <c r="B383" s="4" t="s">
        <v>14</v>
      </c>
      <c r="C383" s="4" t="s">
        <v>7269</v>
      </c>
      <c r="D383" s="4">
        <v>44007.0</v>
      </c>
      <c r="E383" s="4">
        <v>0.6949652777777792</v>
      </c>
      <c r="F383" s="4">
        <v>0.004166666666666667</v>
      </c>
      <c r="G383" s="4">
        <v>0.6991319444444458</v>
      </c>
      <c r="H383" s="4" t="s">
        <v>1215</v>
      </c>
      <c r="I383" s="4"/>
      <c r="J383" s="4"/>
      <c r="K383" s="4"/>
      <c r="L383" s="4"/>
      <c r="M383" s="4"/>
      <c r="N383" s="4"/>
      <c r="O383" s="4" t="s">
        <v>466</v>
      </c>
      <c r="P383" s="4"/>
      <c r="Q383" s="4"/>
      <c r="R383" s="4"/>
      <c r="S383" s="4"/>
      <c r="T383" s="4"/>
      <c r="U383" s="4">
        <v>0.0</v>
      </c>
      <c r="V383" s="4"/>
      <c r="W383" s="4"/>
      <c r="X383" s="4"/>
      <c r="Y383" s="4"/>
      <c r="Z383" s="4"/>
      <c r="AA383" s="4"/>
    </row>
    <row r="384">
      <c r="A384" s="4" t="s">
        <v>7444</v>
      </c>
      <c r="B384" s="4" t="s">
        <v>14</v>
      </c>
      <c r="C384" s="4" t="s">
        <v>7269</v>
      </c>
      <c r="D384" s="4">
        <v>44007.0</v>
      </c>
      <c r="E384" s="4">
        <v>0.6991319444444458</v>
      </c>
      <c r="F384" s="4">
        <v>3.4722222222222224E-4</v>
      </c>
      <c r="G384" s="4">
        <v>0.6994791666666681</v>
      </c>
      <c r="H384" s="4"/>
      <c r="I384" s="4"/>
      <c r="J384" s="4"/>
      <c r="K384" s="4"/>
      <c r="L384" s="4"/>
      <c r="M384" s="4"/>
      <c r="N384" s="4"/>
      <c r="O384" s="4" t="s">
        <v>119</v>
      </c>
      <c r="P384" s="4"/>
      <c r="Q384" s="4"/>
      <c r="R384" s="4"/>
      <c r="S384" s="4"/>
      <c r="T384" s="4"/>
      <c r="U384" s="4"/>
      <c r="V384" s="4"/>
      <c r="W384" s="4"/>
      <c r="X384" s="4"/>
      <c r="Y384" s="4"/>
      <c r="Z384" s="4"/>
      <c r="AA384" s="4"/>
    </row>
    <row r="385">
      <c r="A385" s="4" t="s">
        <v>7445</v>
      </c>
      <c r="B385" s="4" t="s">
        <v>14</v>
      </c>
      <c r="C385" s="4" t="s">
        <v>7269</v>
      </c>
      <c r="D385" s="4">
        <v>44007.0</v>
      </c>
      <c r="E385" s="4">
        <v>0.6991319444444458</v>
      </c>
      <c r="F385" s="4">
        <v>0.006944444444444444</v>
      </c>
      <c r="G385" s="4">
        <v>0.7060763888888902</v>
      </c>
      <c r="H385" s="4" t="s">
        <v>946</v>
      </c>
      <c r="I385" s="4"/>
      <c r="J385" s="4" t="s">
        <v>15</v>
      </c>
      <c r="K385" s="4" t="s">
        <v>164</v>
      </c>
      <c r="L385" s="4" t="s">
        <v>165</v>
      </c>
      <c r="M385" s="4" t="s">
        <v>7446</v>
      </c>
      <c r="N385" s="4" t="s">
        <v>6749</v>
      </c>
      <c r="O385" s="4" t="s">
        <v>356</v>
      </c>
      <c r="P385" s="4" t="s">
        <v>357</v>
      </c>
      <c r="Q385" s="4"/>
      <c r="R385" s="4"/>
      <c r="S385" s="4"/>
      <c r="T385" s="4"/>
      <c r="U385" s="4">
        <v>1.0</v>
      </c>
      <c r="V385" s="4" t="s">
        <v>7447</v>
      </c>
      <c r="W385" s="4" t="s">
        <v>6890</v>
      </c>
      <c r="X385" s="4"/>
      <c r="Y385" s="4"/>
      <c r="Z385" s="4"/>
      <c r="AA385" s="4"/>
    </row>
    <row r="386">
      <c r="A386" s="4" t="s">
        <v>7448</v>
      </c>
      <c r="B386" s="4" t="s">
        <v>14</v>
      </c>
      <c r="C386" s="4" t="s">
        <v>7269</v>
      </c>
      <c r="D386" s="4">
        <v>44007.0</v>
      </c>
      <c r="E386" s="4">
        <v>0.7060763888888902</v>
      </c>
      <c r="F386" s="4">
        <v>1.7361111111111112E-4</v>
      </c>
      <c r="G386" s="4">
        <v>0.7062500000000014</v>
      </c>
      <c r="H386" s="4"/>
      <c r="I386" s="4"/>
      <c r="J386" s="4"/>
      <c r="K386" s="4"/>
      <c r="L386" s="4"/>
      <c r="M386" s="4"/>
      <c r="N386" s="4"/>
      <c r="O386" s="4" t="s">
        <v>974</v>
      </c>
      <c r="P386" s="4"/>
      <c r="Q386" s="4"/>
      <c r="R386" s="4"/>
      <c r="S386" s="4"/>
      <c r="T386" s="4"/>
      <c r="U386" s="4"/>
      <c r="V386" s="4"/>
      <c r="W386" s="4"/>
      <c r="X386" s="4"/>
      <c r="Y386" s="4"/>
      <c r="Z386" s="4"/>
      <c r="AA386" s="4"/>
    </row>
    <row r="387">
      <c r="A387" s="4" t="s">
        <v>7449</v>
      </c>
      <c r="B387" s="4" t="s">
        <v>14</v>
      </c>
      <c r="C387" s="4" t="s">
        <v>7269</v>
      </c>
      <c r="D387" s="4">
        <v>44007.0</v>
      </c>
      <c r="E387" s="4">
        <v>0.7062500000000014</v>
      </c>
      <c r="F387" s="4">
        <v>0.0020833333333333333</v>
      </c>
      <c r="G387" s="4">
        <v>0.7083333333333347</v>
      </c>
      <c r="H387" s="4"/>
      <c r="I387" s="4"/>
      <c r="J387" s="4"/>
      <c r="K387" s="4"/>
      <c r="L387" s="4"/>
      <c r="M387" s="4"/>
      <c r="N387" s="4"/>
      <c r="O387" s="4" t="s">
        <v>7065</v>
      </c>
      <c r="P387" s="4"/>
      <c r="Q387" s="4"/>
      <c r="R387" s="4"/>
      <c r="S387" s="4"/>
      <c r="T387" s="4"/>
      <c r="U387" s="4">
        <v>0.0</v>
      </c>
      <c r="V387" s="4"/>
      <c r="W387" s="4"/>
      <c r="X387" s="4"/>
      <c r="Y387" s="4"/>
      <c r="Z387" s="4"/>
      <c r="AA387" s="4"/>
    </row>
    <row r="388">
      <c r="A388" s="4" t="s">
        <v>7450</v>
      </c>
      <c r="B388" s="4" t="s">
        <v>14</v>
      </c>
      <c r="C388" s="4" t="s">
        <v>7269</v>
      </c>
      <c r="D388" s="4">
        <v>44007.0</v>
      </c>
      <c r="E388" s="4"/>
      <c r="F388" s="4"/>
      <c r="G388" s="4"/>
      <c r="H388" s="4"/>
      <c r="I388" s="4"/>
      <c r="J388" s="4"/>
      <c r="K388" s="4"/>
      <c r="L388" s="4"/>
      <c r="M388" s="4"/>
      <c r="N388" s="4"/>
      <c r="O388" s="4"/>
      <c r="P388" s="4"/>
      <c r="Q388" s="4"/>
      <c r="R388" s="4"/>
      <c r="S388" s="4"/>
      <c r="T388" s="4"/>
      <c r="U388" s="4">
        <v>0.0</v>
      </c>
      <c r="V388" s="4"/>
      <c r="W388" s="4"/>
      <c r="X388" s="4"/>
      <c r="Y388" s="4"/>
      <c r="Z388" s="4"/>
      <c r="AA388" s="4"/>
    </row>
    <row r="389">
      <c r="A389" s="4" t="s">
        <v>7451</v>
      </c>
      <c r="B389" s="4" t="s">
        <v>469</v>
      </c>
      <c r="C389" s="4"/>
      <c r="D389" s="4"/>
      <c r="E389" s="4"/>
      <c r="F389" s="4"/>
      <c r="G389" s="4"/>
      <c r="H389" s="4"/>
      <c r="I389" s="4"/>
      <c r="J389" s="4"/>
      <c r="K389" s="4"/>
      <c r="L389" s="4"/>
      <c r="M389" s="4"/>
      <c r="N389" s="4"/>
      <c r="O389" s="4"/>
      <c r="P389" s="4"/>
      <c r="Q389" s="4"/>
      <c r="R389" s="4"/>
      <c r="S389" s="4"/>
      <c r="T389" s="4"/>
      <c r="U389" s="4">
        <v>0.0</v>
      </c>
      <c r="V389" s="4"/>
      <c r="W389" s="4"/>
      <c r="X389" s="4"/>
      <c r="Y389" s="4"/>
      <c r="Z389" s="4"/>
      <c r="AA389" s="4"/>
    </row>
    <row r="390">
      <c r="A390" s="4" t="s">
        <v>7452</v>
      </c>
      <c r="B390" s="4" t="s">
        <v>65</v>
      </c>
      <c r="C390" s="4"/>
      <c r="D390" s="4"/>
      <c r="E390" s="4"/>
      <c r="F390" s="4"/>
      <c r="G390" s="4"/>
      <c r="H390" s="4"/>
      <c r="I390" s="4"/>
      <c r="J390" s="4"/>
      <c r="K390" s="4"/>
      <c r="L390" s="4"/>
      <c r="M390" s="4"/>
      <c r="N390" s="4"/>
      <c r="O390" s="4"/>
      <c r="P390" s="4"/>
      <c r="Q390" s="4"/>
      <c r="R390" s="4"/>
      <c r="S390" s="4"/>
      <c r="T390" s="4"/>
      <c r="U390" s="4">
        <v>0.0</v>
      </c>
      <c r="V390" s="4"/>
      <c r="W390" s="4"/>
      <c r="X390" s="4"/>
      <c r="Y390" s="4"/>
      <c r="Z390" s="4"/>
      <c r="AA390" s="4"/>
    </row>
    <row r="391">
      <c r="A391" s="4" t="s">
        <v>7453</v>
      </c>
      <c r="B391" s="4" t="s">
        <v>16</v>
      </c>
      <c r="C391" s="4" t="s">
        <v>6838</v>
      </c>
      <c r="D391" s="4">
        <v>44005.0</v>
      </c>
      <c r="E391" s="4">
        <v>0.4166666666666667</v>
      </c>
      <c r="F391" s="4">
        <v>3.4722222222222224E-4</v>
      </c>
      <c r="G391" s="4">
        <v>0.4170138888888889</v>
      </c>
      <c r="H391" s="4" t="s">
        <v>1944</v>
      </c>
      <c r="I391" s="4"/>
      <c r="J391" s="4"/>
      <c r="K391" s="4" t="s">
        <v>195</v>
      </c>
      <c r="L391" s="4" t="s">
        <v>67</v>
      </c>
      <c r="M391" s="4"/>
      <c r="N391" s="4"/>
      <c r="O391" s="4" t="s">
        <v>67</v>
      </c>
      <c r="P391" s="4"/>
      <c r="Q391" s="4"/>
      <c r="R391" s="4"/>
      <c r="S391" s="4"/>
      <c r="T391" s="4"/>
      <c r="U391" s="4"/>
      <c r="V391" s="4"/>
      <c r="W391" s="4"/>
      <c r="X391" s="4"/>
      <c r="Y391" s="4"/>
      <c r="Z391" s="4"/>
      <c r="AA391" s="4"/>
    </row>
    <row r="392">
      <c r="A392" s="4" t="s">
        <v>7454</v>
      </c>
      <c r="B392" s="4" t="s">
        <v>16</v>
      </c>
      <c r="C392" s="4" t="s">
        <v>6838</v>
      </c>
      <c r="D392" s="4">
        <v>44005.0</v>
      </c>
      <c r="E392" s="4">
        <v>0.4170138888888889</v>
      </c>
      <c r="F392" s="4">
        <v>3.4722222222222224E-4</v>
      </c>
      <c r="G392" s="4">
        <v>0.4173611111111111</v>
      </c>
      <c r="H392" s="4" t="s">
        <v>1944</v>
      </c>
      <c r="I392" s="4"/>
      <c r="J392" s="4"/>
      <c r="K392" s="4" t="s">
        <v>195</v>
      </c>
      <c r="L392" s="4" t="s">
        <v>81</v>
      </c>
      <c r="M392" s="4"/>
      <c r="N392" s="4"/>
      <c r="O392" s="4" t="s">
        <v>81</v>
      </c>
      <c r="P392" s="4"/>
      <c r="Q392" s="4"/>
      <c r="R392" s="4"/>
      <c r="S392" s="4"/>
      <c r="T392" s="4"/>
      <c r="U392" s="4">
        <v>0.0</v>
      </c>
      <c r="V392" s="4"/>
      <c r="W392" s="4"/>
      <c r="X392" s="4"/>
      <c r="Y392" s="4"/>
      <c r="Z392" s="4"/>
      <c r="AA392" s="4"/>
    </row>
    <row r="393">
      <c r="A393" s="4" t="s">
        <v>7455</v>
      </c>
      <c r="B393" s="4" t="s">
        <v>16</v>
      </c>
      <c r="C393" s="4" t="s">
        <v>6838</v>
      </c>
      <c r="D393" s="4">
        <v>44005.0</v>
      </c>
      <c r="E393" s="4">
        <v>0.4173611111111111</v>
      </c>
      <c r="F393" s="4">
        <v>0.006944444444444444</v>
      </c>
      <c r="G393" s="4">
        <v>0.42430555555555555</v>
      </c>
      <c r="H393" s="4" t="s">
        <v>803</v>
      </c>
      <c r="I393" s="4" t="s">
        <v>314</v>
      </c>
      <c r="J393" s="4" t="s">
        <v>6853</v>
      </c>
      <c r="K393" s="4" t="s">
        <v>195</v>
      </c>
      <c r="L393" s="4" t="s">
        <v>165</v>
      </c>
      <c r="M393" s="4" t="s">
        <v>7456</v>
      </c>
      <c r="N393" s="4" t="s">
        <v>6689</v>
      </c>
      <c r="O393" s="4" t="s">
        <v>7457</v>
      </c>
      <c r="P393" s="4" t="s">
        <v>474</v>
      </c>
      <c r="Q393" s="4"/>
      <c r="R393" s="4"/>
      <c r="S393" s="4"/>
      <c r="T393" s="4"/>
      <c r="U393" s="4">
        <v>1.0</v>
      </c>
      <c r="V393" s="4" t="s">
        <v>7458</v>
      </c>
      <c r="W393" s="4" t="s">
        <v>6890</v>
      </c>
      <c r="X393" s="4"/>
      <c r="Y393" s="4"/>
      <c r="Z393" s="4"/>
      <c r="AA393" s="4"/>
    </row>
    <row r="394">
      <c r="A394" s="4" t="s">
        <v>7459</v>
      </c>
      <c r="B394" s="4" t="s">
        <v>16</v>
      </c>
      <c r="C394" s="4" t="s">
        <v>6838</v>
      </c>
      <c r="D394" s="4">
        <v>44005.0</v>
      </c>
      <c r="E394" s="4">
        <v>0.42430555555555555</v>
      </c>
      <c r="F394" s="4">
        <v>1.7361111111111112E-4</v>
      </c>
      <c r="G394" s="4">
        <v>0.4244791666666667</v>
      </c>
      <c r="H394" s="4" t="s">
        <v>1944</v>
      </c>
      <c r="I394" s="4"/>
      <c r="J394" s="4"/>
      <c r="K394" s="4" t="s">
        <v>195</v>
      </c>
      <c r="L394" s="4" t="s">
        <v>85</v>
      </c>
      <c r="M394" s="4"/>
      <c r="N394" s="4"/>
      <c r="O394" s="4" t="s">
        <v>85</v>
      </c>
      <c r="P394" s="4"/>
      <c r="Q394" s="4"/>
      <c r="R394" s="4"/>
      <c r="S394" s="4"/>
      <c r="T394" s="4"/>
      <c r="U394" s="4">
        <v>0.0</v>
      </c>
      <c r="V394" s="4"/>
      <c r="W394" s="4"/>
      <c r="X394" s="4"/>
      <c r="Y394" s="4"/>
      <c r="Z394" s="4"/>
      <c r="AA394" s="4"/>
    </row>
    <row r="395">
      <c r="A395" s="4" t="s">
        <v>7460</v>
      </c>
      <c r="B395" s="4" t="s">
        <v>16</v>
      </c>
      <c r="C395" s="4" t="s">
        <v>6838</v>
      </c>
      <c r="D395" s="4">
        <v>44005.0</v>
      </c>
      <c r="E395" s="4">
        <v>0.4244791666666667</v>
      </c>
      <c r="F395" s="4">
        <v>3.4722222222222224E-4</v>
      </c>
      <c r="G395" s="4">
        <v>0.4248263888888889</v>
      </c>
      <c r="H395" s="4" t="s">
        <v>1944</v>
      </c>
      <c r="I395" s="4"/>
      <c r="J395" s="4"/>
      <c r="K395" s="4" t="s">
        <v>195</v>
      </c>
      <c r="L395" s="4" t="s">
        <v>81</v>
      </c>
      <c r="M395" s="4"/>
      <c r="N395" s="4"/>
      <c r="O395" s="4" t="s">
        <v>81</v>
      </c>
      <c r="P395" s="4"/>
      <c r="Q395" s="4"/>
      <c r="R395" s="4"/>
      <c r="S395" s="4"/>
      <c r="T395" s="4"/>
      <c r="U395" s="4">
        <v>0.0</v>
      </c>
      <c r="V395" s="4"/>
      <c r="W395" s="4"/>
      <c r="X395" s="4"/>
      <c r="Y395" s="4"/>
      <c r="Z395" s="4"/>
      <c r="AA395" s="4"/>
    </row>
    <row r="396">
      <c r="A396" s="4" t="s">
        <v>7461</v>
      </c>
      <c r="B396" s="4" t="s">
        <v>16</v>
      </c>
      <c r="C396" s="4" t="s">
        <v>6838</v>
      </c>
      <c r="D396" s="4">
        <v>44005.0</v>
      </c>
      <c r="E396" s="4">
        <v>0.4248263888888889</v>
      </c>
      <c r="F396" s="4">
        <v>0.009722222222222222</v>
      </c>
      <c r="G396" s="4">
        <v>0.43454861111111115</v>
      </c>
      <c r="H396" s="4" t="s">
        <v>803</v>
      </c>
      <c r="I396" s="4" t="s">
        <v>17</v>
      </c>
      <c r="J396" s="4" t="s">
        <v>6903</v>
      </c>
      <c r="K396" s="4" t="s">
        <v>195</v>
      </c>
      <c r="L396" s="4" t="s">
        <v>74</v>
      </c>
      <c r="M396" s="4" t="s">
        <v>7462</v>
      </c>
      <c r="N396" s="4" t="s">
        <v>6749</v>
      </c>
      <c r="O396" s="4" t="s">
        <v>476</v>
      </c>
      <c r="P396" s="4" t="s">
        <v>477</v>
      </c>
      <c r="Q396" s="4" t="s">
        <v>478</v>
      </c>
      <c r="R396" s="4" t="s">
        <v>479</v>
      </c>
      <c r="S396" s="4"/>
      <c r="T396" s="4" t="s">
        <v>7463</v>
      </c>
      <c r="U396" s="4">
        <v>4.0</v>
      </c>
      <c r="V396" s="4" t="s">
        <v>7464</v>
      </c>
      <c r="W396" s="4" t="s">
        <v>7115</v>
      </c>
      <c r="X396" s="4"/>
      <c r="Y396" s="4"/>
      <c r="Z396" s="4"/>
      <c r="AA396" s="4"/>
    </row>
    <row r="397">
      <c r="A397" s="4" t="s">
        <v>7465</v>
      </c>
      <c r="B397" s="4" t="s">
        <v>16</v>
      </c>
      <c r="C397" s="4" t="s">
        <v>6838</v>
      </c>
      <c r="D397" s="4">
        <v>44005.0</v>
      </c>
      <c r="E397" s="4">
        <v>0.43454861111111115</v>
      </c>
      <c r="F397" s="4">
        <v>1.7361111111111112E-4</v>
      </c>
      <c r="G397" s="4">
        <v>0.4347222222222223</v>
      </c>
      <c r="H397" s="4" t="s">
        <v>1944</v>
      </c>
      <c r="I397" s="4"/>
      <c r="J397" s="4"/>
      <c r="K397" s="4" t="s">
        <v>195</v>
      </c>
      <c r="L397" s="4" t="s">
        <v>85</v>
      </c>
      <c r="M397" s="4"/>
      <c r="N397" s="4"/>
      <c r="O397" s="4" t="s">
        <v>85</v>
      </c>
      <c r="P397" s="4"/>
      <c r="Q397" s="4"/>
      <c r="R397" s="4"/>
      <c r="S397" s="4"/>
      <c r="T397" s="4"/>
      <c r="U397" s="4">
        <v>0.0</v>
      </c>
      <c r="V397" s="4"/>
      <c r="W397" s="4"/>
      <c r="X397" s="4"/>
      <c r="Y397" s="4"/>
      <c r="Z397" s="4"/>
      <c r="AA397" s="4"/>
    </row>
    <row r="398">
      <c r="A398" s="4" t="s">
        <v>7466</v>
      </c>
      <c r="B398" s="4" t="s">
        <v>16</v>
      </c>
      <c r="C398" s="4" t="s">
        <v>6838</v>
      </c>
      <c r="D398" s="4">
        <v>44005.0</v>
      </c>
      <c r="E398" s="4">
        <v>0.4347222222222223</v>
      </c>
      <c r="F398" s="4">
        <v>3.4722222222222224E-4</v>
      </c>
      <c r="G398" s="4">
        <v>0.4350694444444445</v>
      </c>
      <c r="H398" s="4" t="s">
        <v>1944</v>
      </c>
      <c r="I398" s="4"/>
      <c r="J398" s="4"/>
      <c r="K398" s="4" t="s">
        <v>195</v>
      </c>
      <c r="L398" s="4" t="s">
        <v>511</v>
      </c>
      <c r="M398" s="4"/>
      <c r="N398" s="4"/>
      <c r="O398" s="4" t="s">
        <v>511</v>
      </c>
      <c r="P398" s="4"/>
      <c r="Q398" s="4"/>
      <c r="R398" s="4"/>
      <c r="S398" s="4"/>
      <c r="T398" s="4"/>
      <c r="U398" s="4">
        <v>0.0</v>
      </c>
      <c r="V398" s="4"/>
      <c r="W398" s="4"/>
      <c r="X398" s="4"/>
      <c r="Y398" s="4"/>
      <c r="Z398" s="4"/>
      <c r="AA398" s="4"/>
    </row>
    <row r="399">
      <c r="A399" s="4" t="s">
        <v>7467</v>
      </c>
      <c r="B399" s="4" t="s">
        <v>16</v>
      </c>
      <c r="C399" s="4" t="s">
        <v>6838</v>
      </c>
      <c r="D399" s="4">
        <v>44005.0</v>
      </c>
      <c r="E399" s="4">
        <v>0.4350694444444445</v>
      </c>
      <c r="F399" s="4">
        <v>3.4722222222222224E-4</v>
      </c>
      <c r="G399" s="4">
        <v>0.43541666666666673</v>
      </c>
      <c r="H399" s="4" t="s">
        <v>1944</v>
      </c>
      <c r="I399" s="4"/>
      <c r="J399" s="4"/>
      <c r="K399" s="4" t="s">
        <v>195</v>
      </c>
      <c r="L399" s="4" t="s">
        <v>81</v>
      </c>
      <c r="M399" s="4"/>
      <c r="N399" s="4"/>
      <c r="O399" s="4" t="s">
        <v>81</v>
      </c>
      <c r="P399" s="4"/>
      <c r="Q399" s="4"/>
      <c r="R399" s="4"/>
      <c r="S399" s="4"/>
      <c r="T399" s="4"/>
      <c r="U399" s="4">
        <v>0.0</v>
      </c>
      <c r="V399" s="4"/>
      <c r="W399" s="4"/>
      <c r="X399" s="4"/>
      <c r="Y399" s="4"/>
      <c r="Z399" s="4"/>
      <c r="AA399" s="4"/>
    </row>
    <row r="400">
      <c r="A400" s="4" t="s">
        <v>7468</v>
      </c>
      <c r="B400" s="4" t="s">
        <v>16</v>
      </c>
      <c r="C400" s="4" t="s">
        <v>6838</v>
      </c>
      <c r="D400" s="4">
        <v>44005.0</v>
      </c>
      <c r="E400" s="4">
        <v>0.43541666666666673</v>
      </c>
      <c r="F400" s="4">
        <v>0.013888888888888888</v>
      </c>
      <c r="G400" s="4">
        <v>0.4493055555555556</v>
      </c>
      <c r="H400" s="4" t="s">
        <v>726</v>
      </c>
      <c r="I400" s="4" t="s">
        <v>314</v>
      </c>
      <c r="J400" s="4" t="s">
        <v>6870</v>
      </c>
      <c r="K400" s="4" t="s">
        <v>195</v>
      </c>
      <c r="L400" s="4" t="s">
        <v>165</v>
      </c>
      <c r="M400" s="4" t="s">
        <v>7126</v>
      </c>
      <c r="N400" s="4" t="s">
        <v>6702</v>
      </c>
      <c r="O400" s="4" t="s">
        <v>574</v>
      </c>
      <c r="P400" s="4" t="s">
        <v>575</v>
      </c>
      <c r="Q400" s="4"/>
      <c r="R400" s="4"/>
      <c r="S400" s="4"/>
      <c r="T400" s="4"/>
      <c r="U400" s="4">
        <v>1.0</v>
      </c>
      <c r="V400" s="4" t="s">
        <v>7469</v>
      </c>
      <c r="W400" s="4" t="s">
        <v>6911</v>
      </c>
      <c r="X400" s="4" t="s">
        <v>7470</v>
      </c>
      <c r="Y400" s="4" t="s">
        <v>7470</v>
      </c>
      <c r="Z400" s="4" t="s">
        <v>7470</v>
      </c>
      <c r="AA400" s="4"/>
    </row>
    <row r="401">
      <c r="A401" s="4" t="s">
        <v>7471</v>
      </c>
      <c r="B401" s="4" t="s">
        <v>16</v>
      </c>
      <c r="C401" s="4" t="s">
        <v>6838</v>
      </c>
      <c r="D401" s="4">
        <v>44005.0</v>
      </c>
      <c r="E401" s="4">
        <v>0.4493055555555556</v>
      </c>
      <c r="F401" s="4">
        <v>1.7361111111111112E-4</v>
      </c>
      <c r="G401" s="4">
        <v>0.44947916666666676</v>
      </c>
      <c r="H401" s="4" t="s">
        <v>1944</v>
      </c>
      <c r="I401" s="4"/>
      <c r="J401" s="4"/>
      <c r="K401" s="4" t="s">
        <v>195</v>
      </c>
      <c r="L401" s="4" t="s">
        <v>85</v>
      </c>
      <c r="M401" s="4"/>
      <c r="N401" s="4"/>
      <c r="O401" s="4" t="s">
        <v>85</v>
      </c>
      <c r="P401" s="4"/>
      <c r="Q401" s="4"/>
      <c r="R401" s="4"/>
      <c r="S401" s="4"/>
      <c r="T401" s="4"/>
      <c r="U401" s="4">
        <v>0.0</v>
      </c>
      <c r="V401" s="4"/>
      <c r="W401" s="4"/>
      <c r="X401" s="4"/>
      <c r="Y401" s="4"/>
      <c r="Z401" s="4"/>
      <c r="AA401" s="4"/>
    </row>
    <row r="402">
      <c r="A402" s="4" t="s">
        <v>7472</v>
      </c>
      <c r="B402" s="4" t="s">
        <v>16</v>
      </c>
      <c r="C402" s="4" t="s">
        <v>6838</v>
      </c>
      <c r="D402" s="4">
        <v>44005.0</v>
      </c>
      <c r="E402" s="4">
        <v>0.44947916666666676</v>
      </c>
      <c r="F402" s="4">
        <v>3.4722222222222224E-4</v>
      </c>
      <c r="G402" s="4">
        <v>0.449826388888889</v>
      </c>
      <c r="H402" s="4" t="s">
        <v>1944</v>
      </c>
      <c r="I402" s="4"/>
      <c r="J402" s="4"/>
      <c r="K402" s="4" t="s">
        <v>195</v>
      </c>
      <c r="L402" s="4" t="s">
        <v>81</v>
      </c>
      <c r="M402" s="4"/>
      <c r="N402" s="4"/>
      <c r="O402" s="4" t="s">
        <v>81</v>
      </c>
      <c r="P402" s="4"/>
      <c r="Q402" s="4"/>
      <c r="R402" s="4"/>
      <c r="S402" s="4"/>
      <c r="T402" s="4"/>
      <c r="U402" s="4">
        <v>0.0</v>
      </c>
      <c r="V402" s="4"/>
      <c r="W402" s="4"/>
      <c r="X402" s="4"/>
      <c r="Y402" s="4"/>
      <c r="Z402" s="4"/>
      <c r="AA402" s="4"/>
    </row>
    <row r="403">
      <c r="A403" s="4" t="s">
        <v>7473</v>
      </c>
      <c r="B403" s="4" t="s">
        <v>16</v>
      </c>
      <c r="C403" s="4" t="s">
        <v>6838</v>
      </c>
      <c r="D403" s="4">
        <v>44005.0</v>
      </c>
      <c r="E403" s="4">
        <v>0.449826388888889</v>
      </c>
      <c r="F403" s="4">
        <v>0.008333333333333333</v>
      </c>
      <c r="G403" s="4">
        <v>0.45815972222222234</v>
      </c>
      <c r="H403" s="4" t="s">
        <v>803</v>
      </c>
      <c r="I403" s="4" t="s">
        <v>314</v>
      </c>
      <c r="J403" s="4" t="s">
        <v>15</v>
      </c>
      <c r="K403" s="4" t="s">
        <v>195</v>
      </c>
      <c r="L403" s="4" t="s">
        <v>165</v>
      </c>
      <c r="M403" s="4" t="s">
        <v>7474</v>
      </c>
      <c r="N403" s="4" t="s">
        <v>7475</v>
      </c>
      <c r="O403" s="4" t="s">
        <v>578</v>
      </c>
      <c r="P403" s="4" t="s">
        <v>579</v>
      </c>
      <c r="Q403" s="4"/>
      <c r="R403" s="4"/>
      <c r="S403" s="4"/>
      <c r="T403" s="4"/>
      <c r="U403" s="4">
        <v>1.0</v>
      </c>
      <c r="V403" s="4" t="s">
        <v>7476</v>
      </c>
      <c r="W403" s="4" t="s">
        <v>7197</v>
      </c>
      <c r="X403" s="4">
        <v>43945.791666666664</v>
      </c>
      <c r="Y403" s="4" t="s">
        <v>7477</v>
      </c>
      <c r="Z403" s="4" t="s">
        <v>803</v>
      </c>
      <c r="AA403" s="4"/>
    </row>
    <row r="404">
      <c r="A404" s="4" t="s">
        <v>7478</v>
      </c>
      <c r="B404" s="4" t="s">
        <v>16</v>
      </c>
      <c r="C404" s="4" t="s">
        <v>6838</v>
      </c>
      <c r="D404" s="4">
        <v>44005.0</v>
      </c>
      <c r="E404" s="4">
        <v>0.45815972222222234</v>
      </c>
      <c r="F404" s="4">
        <v>1.7361111111111112E-4</v>
      </c>
      <c r="G404" s="4">
        <v>0.4583333333333335</v>
      </c>
      <c r="H404" s="4" t="s">
        <v>1944</v>
      </c>
      <c r="I404" s="4"/>
      <c r="J404" s="4"/>
      <c r="K404" s="4" t="s">
        <v>195</v>
      </c>
      <c r="L404" s="4" t="s">
        <v>85</v>
      </c>
      <c r="M404" s="4"/>
      <c r="N404" s="4"/>
      <c r="O404" s="4" t="s">
        <v>85</v>
      </c>
      <c r="P404" s="4"/>
      <c r="Q404" s="4"/>
      <c r="R404" s="4"/>
      <c r="S404" s="4"/>
      <c r="T404" s="4"/>
      <c r="U404" s="4">
        <v>0.0</v>
      </c>
      <c r="V404" s="4"/>
      <c r="W404" s="4"/>
      <c r="X404" s="4"/>
      <c r="Y404" s="4"/>
      <c r="Z404" s="4"/>
      <c r="AA404" s="4"/>
    </row>
    <row r="405">
      <c r="A405" s="4" t="s">
        <v>7479</v>
      </c>
      <c r="B405" s="4" t="s">
        <v>16</v>
      </c>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c r="A406" s="4" t="s">
        <v>7480</v>
      </c>
      <c r="B406" s="4" t="s">
        <v>16</v>
      </c>
      <c r="C406" s="4" t="s">
        <v>6838</v>
      </c>
      <c r="D406" s="4">
        <v>44005.0</v>
      </c>
      <c r="E406" s="4">
        <v>0.4583333333333335</v>
      </c>
      <c r="F406" s="4">
        <v>3.4722222222222224E-4</v>
      </c>
      <c r="G406" s="4">
        <v>0.4586805555555557</v>
      </c>
      <c r="H406" s="4" t="s">
        <v>1944</v>
      </c>
      <c r="I406" s="4" t="s">
        <v>314</v>
      </c>
      <c r="J406" s="4"/>
      <c r="K406" s="4" t="s">
        <v>106</v>
      </c>
      <c r="L406" s="4" t="s">
        <v>81</v>
      </c>
      <c r="M406" s="4"/>
      <c r="N406" s="4"/>
      <c r="O406" s="4" t="s">
        <v>81</v>
      </c>
      <c r="P406" s="4"/>
      <c r="Q406" s="4"/>
      <c r="R406" s="4"/>
      <c r="S406" s="4"/>
      <c r="T406" s="4"/>
      <c r="U406" s="4">
        <v>0.0</v>
      </c>
      <c r="V406" s="4"/>
      <c r="W406" s="4"/>
      <c r="X406" s="4"/>
      <c r="Y406" s="4"/>
      <c r="Z406" s="4"/>
      <c r="AA406" s="4"/>
    </row>
    <row r="407">
      <c r="A407" s="4" t="s">
        <v>7481</v>
      </c>
      <c r="B407" s="4" t="s">
        <v>16</v>
      </c>
      <c r="C407" s="4" t="s">
        <v>6838</v>
      </c>
      <c r="D407" s="4">
        <v>44005.0</v>
      </c>
      <c r="E407" s="4">
        <v>0.4586805555555557</v>
      </c>
      <c r="F407" s="4">
        <v>0.010416666666666666</v>
      </c>
      <c r="G407" s="4">
        <v>0.4690972222222224</v>
      </c>
      <c r="H407" s="4" t="s">
        <v>1253</v>
      </c>
      <c r="I407" s="4" t="s">
        <v>17</v>
      </c>
      <c r="J407" s="4" t="s">
        <v>6938</v>
      </c>
      <c r="K407" s="4" t="s">
        <v>106</v>
      </c>
      <c r="L407" s="4" t="s">
        <v>107</v>
      </c>
      <c r="M407" s="4" t="s">
        <v>7482</v>
      </c>
      <c r="N407" s="4" t="s">
        <v>6858</v>
      </c>
      <c r="O407" s="4" t="s">
        <v>489</v>
      </c>
      <c r="P407" s="4" t="s">
        <v>490</v>
      </c>
      <c r="Q407" s="4" t="s">
        <v>7483</v>
      </c>
      <c r="R407" s="4"/>
      <c r="S407" s="4"/>
      <c r="T407" s="4" t="s">
        <v>492</v>
      </c>
      <c r="U407" s="4">
        <v>3.0</v>
      </c>
      <c r="V407" s="4" t="s">
        <v>7484</v>
      </c>
      <c r="W407" s="4" t="s">
        <v>6920</v>
      </c>
      <c r="X407" s="4" t="s">
        <v>7485</v>
      </c>
      <c r="Y407" s="4"/>
      <c r="Z407" s="4" t="s">
        <v>1253</v>
      </c>
      <c r="AA407" s="4"/>
    </row>
    <row r="408">
      <c r="A408" s="4" t="s">
        <v>7486</v>
      </c>
      <c r="B408" s="4" t="s">
        <v>16</v>
      </c>
      <c r="C408" s="4" t="s">
        <v>6838</v>
      </c>
      <c r="D408" s="4">
        <v>44005.0</v>
      </c>
      <c r="E408" s="4">
        <v>0.4690972222222224</v>
      </c>
      <c r="F408" s="4">
        <v>1.7361111111111112E-4</v>
      </c>
      <c r="G408" s="4">
        <v>0.4692708333333335</v>
      </c>
      <c r="H408" s="4" t="s">
        <v>1944</v>
      </c>
      <c r="I408" s="4"/>
      <c r="J408" s="4"/>
      <c r="K408" s="4" t="s">
        <v>106</v>
      </c>
      <c r="L408" s="4" t="s">
        <v>85</v>
      </c>
      <c r="M408" s="4"/>
      <c r="N408" s="4"/>
      <c r="O408" s="4" t="s">
        <v>85</v>
      </c>
      <c r="P408" s="4"/>
      <c r="Q408" s="4"/>
      <c r="R408" s="4"/>
      <c r="S408" s="4"/>
      <c r="T408" s="4"/>
      <c r="U408" s="4">
        <v>0.0</v>
      </c>
      <c r="V408" s="4"/>
      <c r="W408" s="4"/>
      <c r="X408" s="4"/>
      <c r="Y408" s="4"/>
      <c r="Z408" s="4"/>
      <c r="AA408" s="4"/>
    </row>
    <row r="409">
      <c r="A409" s="4" t="s">
        <v>7487</v>
      </c>
      <c r="B409" s="4" t="s">
        <v>16</v>
      </c>
      <c r="C409" s="4" t="s">
        <v>6838</v>
      </c>
      <c r="D409" s="4">
        <v>44005.0</v>
      </c>
      <c r="E409" s="4">
        <v>0.4692708333333335</v>
      </c>
      <c r="F409" s="4">
        <v>1.7361111111111112E-4</v>
      </c>
      <c r="G409" s="4">
        <v>0.46944444444444466</v>
      </c>
      <c r="H409" s="4" t="s">
        <v>2004</v>
      </c>
      <c r="I409" s="4"/>
      <c r="J409" s="4"/>
      <c r="K409" s="4" t="s">
        <v>106</v>
      </c>
      <c r="L409" s="4" t="s">
        <v>77</v>
      </c>
      <c r="M409" s="4"/>
      <c r="N409" s="4"/>
      <c r="O409" s="4" t="s">
        <v>798</v>
      </c>
      <c r="P409" s="4"/>
      <c r="Q409" s="4"/>
      <c r="R409" s="4"/>
      <c r="S409" s="4"/>
      <c r="T409" s="4"/>
      <c r="U409" s="4"/>
      <c r="V409" s="4"/>
      <c r="W409" s="4"/>
      <c r="X409" s="4"/>
      <c r="Y409" s="4"/>
      <c r="Z409" s="4"/>
      <c r="AA409" s="4"/>
    </row>
    <row r="410">
      <c r="A410" s="4" t="s">
        <v>7488</v>
      </c>
      <c r="B410" s="4" t="s">
        <v>16</v>
      </c>
      <c r="C410" s="4" t="s">
        <v>6838</v>
      </c>
      <c r="D410" s="4">
        <v>44005.0</v>
      </c>
      <c r="E410" s="4">
        <v>0.46944444444444466</v>
      </c>
      <c r="F410" s="4">
        <v>3.4722222222222224E-4</v>
      </c>
      <c r="G410" s="4">
        <v>0.4697916666666669</v>
      </c>
      <c r="H410" s="4" t="s">
        <v>1944</v>
      </c>
      <c r="I410" s="4"/>
      <c r="J410" s="4"/>
      <c r="K410" s="4" t="s">
        <v>106</v>
      </c>
      <c r="L410" s="4" t="s">
        <v>81</v>
      </c>
      <c r="M410" s="4"/>
      <c r="N410" s="4"/>
      <c r="O410" s="4" t="s">
        <v>81</v>
      </c>
      <c r="P410" s="4"/>
      <c r="Q410" s="4"/>
      <c r="R410" s="4"/>
      <c r="S410" s="4"/>
      <c r="T410" s="4"/>
      <c r="U410" s="4">
        <v>0.0</v>
      </c>
      <c r="V410" s="4"/>
      <c r="W410" s="4"/>
      <c r="X410" s="4"/>
      <c r="Y410" s="4"/>
      <c r="Z410" s="4"/>
      <c r="AA410" s="4"/>
    </row>
    <row r="411">
      <c r="A411" s="4" t="s">
        <v>7489</v>
      </c>
      <c r="B411" s="4" t="s">
        <v>16</v>
      </c>
      <c r="C411" s="4" t="s">
        <v>6838</v>
      </c>
      <c r="D411" s="4">
        <v>44005.0</v>
      </c>
      <c r="E411" s="4">
        <v>0.4697916666666669</v>
      </c>
      <c r="F411" s="4">
        <v>0.013888888888888888</v>
      </c>
      <c r="G411" s="4">
        <v>0.4836805555555558</v>
      </c>
      <c r="H411" s="4" t="s">
        <v>1253</v>
      </c>
      <c r="I411" s="4" t="s">
        <v>17</v>
      </c>
      <c r="J411" s="4" t="s">
        <v>7339</v>
      </c>
      <c r="K411" s="4" t="s">
        <v>106</v>
      </c>
      <c r="L411" s="4" t="s">
        <v>94</v>
      </c>
      <c r="M411" s="4" t="s">
        <v>7126</v>
      </c>
      <c r="N411" s="4" t="s">
        <v>6689</v>
      </c>
      <c r="O411" s="4" t="s">
        <v>493</v>
      </c>
      <c r="P411" s="4" t="s">
        <v>494</v>
      </c>
      <c r="Q411" s="4"/>
      <c r="R411" s="4"/>
      <c r="S411" s="4"/>
      <c r="T411" s="4" t="s">
        <v>279</v>
      </c>
      <c r="U411" s="4">
        <v>2.0</v>
      </c>
      <c r="V411" s="4" t="s">
        <v>7490</v>
      </c>
      <c r="W411" s="4" t="s">
        <v>6855</v>
      </c>
      <c r="X411" s="4" t="s">
        <v>7491</v>
      </c>
      <c r="Y411" s="4" t="s">
        <v>4345</v>
      </c>
      <c r="Z411" s="4" t="s">
        <v>1253</v>
      </c>
      <c r="AA411" s="4"/>
    </row>
    <row r="412">
      <c r="A412" s="4" t="s">
        <v>7492</v>
      </c>
      <c r="B412" s="4" t="s">
        <v>16</v>
      </c>
      <c r="C412" s="4" t="s">
        <v>6838</v>
      </c>
      <c r="D412" s="4">
        <v>44005.0</v>
      </c>
      <c r="E412" s="4">
        <v>0.4836805555555558</v>
      </c>
      <c r="F412" s="4">
        <v>1.7361111111111112E-4</v>
      </c>
      <c r="G412" s="4">
        <v>0.4838541666666669</v>
      </c>
      <c r="H412" s="4" t="s">
        <v>1944</v>
      </c>
      <c r="I412" s="4"/>
      <c r="J412" s="4"/>
      <c r="K412" s="4" t="s">
        <v>106</v>
      </c>
      <c r="L412" s="4" t="s">
        <v>85</v>
      </c>
      <c r="M412" s="4"/>
      <c r="N412" s="4"/>
      <c r="O412" s="4" t="s">
        <v>85</v>
      </c>
      <c r="P412" s="4"/>
      <c r="Q412" s="4"/>
      <c r="R412" s="4"/>
      <c r="S412" s="4"/>
      <c r="T412" s="4"/>
      <c r="U412" s="4">
        <v>0.0</v>
      </c>
      <c r="V412" s="4"/>
      <c r="W412" s="4"/>
      <c r="X412" s="4"/>
      <c r="Y412" s="4"/>
      <c r="Z412" s="4"/>
      <c r="AA412" s="4"/>
    </row>
    <row r="413">
      <c r="A413" s="4" t="s">
        <v>7493</v>
      </c>
      <c r="B413" s="4" t="s">
        <v>16</v>
      </c>
      <c r="C413" s="4" t="s">
        <v>6838</v>
      </c>
      <c r="D413" s="4">
        <v>44005.0</v>
      </c>
      <c r="E413" s="4">
        <v>0.4838541666666669</v>
      </c>
      <c r="F413" s="4">
        <v>3.4722222222222224E-4</v>
      </c>
      <c r="G413" s="4">
        <v>0.48420138888888914</v>
      </c>
      <c r="H413" s="4" t="s">
        <v>1944</v>
      </c>
      <c r="I413" s="4"/>
      <c r="J413" s="4"/>
      <c r="K413" s="4" t="s">
        <v>106</v>
      </c>
      <c r="L413" s="4" t="s">
        <v>89</v>
      </c>
      <c r="M413" s="4"/>
      <c r="N413" s="4"/>
      <c r="O413" s="4" t="s">
        <v>89</v>
      </c>
      <c r="P413" s="4"/>
      <c r="Q413" s="4"/>
      <c r="R413" s="4"/>
      <c r="S413" s="4"/>
      <c r="T413" s="4"/>
      <c r="U413" s="4"/>
      <c r="V413" s="4"/>
      <c r="W413" s="4"/>
      <c r="X413" s="4"/>
      <c r="Y413" s="4"/>
      <c r="Z413" s="4"/>
      <c r="AA413" s="4"/>
    </row>
    <row r="414">
      <c r="A414" s="4" t="s">
        <v>7494</v>
      </c>
      <c r="B414" s="4" t="s">
        <v>16</v>
      </c>
      <c r="C414" s="4" t="s">
        <v>6838</v>
      </c>
      <c r="D414" s="4">
        <v>44005.0</v>
      </c>
      <c r="E414" s="4">
        <v>0.48420138888888914</v>
      </c>
      <c r="F414" s="4">
        <v>3.4722222222222224E-4</v>
      </c>
      <c r="G414" s="4">
        <v>0.48454861111111136</v>
      </c>
      <c r="H414" s="4" t="s">
        <v>1215</v>
      </c>
      <c r="I414" s="4"/>
      <c r="J414" s="4"/>
      <c r="K414" s="4" t="s">
        <v>106</v>
      </c>
      <c r="L414" s="4" t="s">
        <v>506</v>
      </c>
      <c r="M414" s="4"/>
      <c r="N414" s="4"/>
      <c r="O414" s="4" t="s">
        <v>7495</v>
      </c>
      <c r="P414" s="4"/>
      <c r="Q414" s="4"/>
      <c r="R414" s="4"/>
      <c r="S414" s="4"/>
      <c r="T414" s="4"/>
      <c r="U414" s="4"/>
      <c r="V414" s="4"/>
      <c r="W414" s="4"/>
      <c r="X414" s="4"/>
      <c r="Y414" s="4"/>
      <c r="Z414" s="4"/>
      <c r="AA414" s="4"/>
    </row>
    <row r="415">
      <c r="A415" s="4" t="s">
        <v>7496</v>
      </c>
      <c r="B415" s="4" t="s">
        <v>16</v>
      </c>
      <c r="C415" s="4" t="s">
        <v>6838</v>
      </c>
      <c r="D415" s="4">
        <v>44005.0</v>
      </c>
      <c r="E415" s="4">
        <v>0.48454861111111136</v>
      </c>
      <c r="F415" s="4">
        <v>3.4722222222222224E-4</v>
      </c>
      <c r="G415" s="4">
        <v>0.4848958333333336</v>
      </c>
      <c r="H415" s="4" t="s">
        <v>1944</v>
      </c>
      <c r="I415" s="4"/>
      <c r="J415" s="4"/>
      <c r="K415" s="4" t="s">
        <v>106</v>
      </c>
      <c r="L415" s="4" t="s">
        <v>81</v>
      </c>
      <c r="M415" s="4"/>
      <c r="N415" s="4"/>
      <c r="O415" s="4" t="s">
        <v>81</v>
      </c>
      <c r="P415" s="4"/>
      <c r="Q415" s="4"/>
      <c r="R415" s="4"/>
      <c r="S415" s="4"/>
      <c r="T415" s="4"/>
      <c r="U415" s="4">
        <v>0.0</v>
      </c>
      <c r="V415" s="4"/>
      <c r="W415" s="4"/>
      <c r="X415" s="4"/>
      <c r="Y415" s="4"/>
      <c r="Z415" s="4"/>
      <c r="AA415" s="4"/>
    </row>
    <row r="416">
      <c r="A416" s="4" t="s">
        <v>7497</v>
      </c>
      <c r="B416" s="4" t="s">
        <v>16</v>
      </c>
      <c r="C416" s="4" t="s">
        <v>6838</v>
      </c>
      <c r="D416" s="4">
        <v>44005.0</v>
      </c>
      <c r="E416" s="4">
        <v>0.4848958333333336</v>
      </c>
      <c r="F416" s="4">
        <v>0.006944444444444444</v>
      </c>
      <c r="G416" s="4">
        <v>0.491840277777778</v>
      </c>
      <c r="H416" s="4" t="s">
        <v>1253</v>
      </c>
      <c r="I416" s="4" t="s">
        <v>314</v>
      </c>
      <c r="J416" s="4" t="s">
        <v>6938</v>
      </c>
      <c r="K416" s="4" t="s">
        <v>106</v>
      </c>
      <c r="L416" s="4" t="s">
        <v>165</v>
      </c>
      <c r="M416" s="4" t="s">
        <v>7498</v>
      </c>
      <c r="N416" s="4" t="s">
        <v>6858</v>
      </c>
      <c r="O416" s="4" t="s">
        <v>7499</v>
      </c>
      <c r="P416" s="4" t="s">
        <v>1756</v>
      </c>
      <c r="Q416" s="4"/>
      <c r="R416" s="4"/>
      <c r="S416" s="4"/>
      <c r="T416" s="4"/>
      <c r="U416" s="4">
        <v>1.0</v>
      </c>
      <c r="V416" s="4" t="s">
        <v>7500</v>
      </c>
      <c r="W416" s="4" t="s">
        <v>6890</v>
      </c>
      <c r="X416" s="4" t="s">
        <v>7122</v>
      </c>
      <c r="Y416" s="4" t="s">
        <v>7122</v>
      </c>
      <c r="Z416" s="4"/>
      <c r="AA416" s="4"/>
    </row>
    <row r="417">
      <c r="A417" s="4" t="s">
        <v>7501</v>
      </c>
      <c r="B417" s="4" t="s">
        <v>16</v>
      </c>
      <c r="C417" s="4" t="s">
        <v>6838</v>
      </c>
      <c r="D417" s="4">
        <v>44005.0</v>
      </c>
      <c r="E417" s="4">
        <v>0.491840277777778</v>
      </c>
      <c r="F417" s="4">
        <v>1.7361111111111112E-4</v>
      </c>
      <c r="G417" s="4">
        <v>0.49201388888888914</v>
      </c>
      <c r="H417" s="4" t="s">
        <v>1944</v>
      </c>
      <c r="I417" s="4"/>
      <c r="J417" s="4"/>
      <c r="K417" s="4" t="s">
        <v>106</v>
      </c>
      <c r="L417" s="4" t="s">
        <v>85</v>
      </c>
      <c r="M417" s="4"/>
      <c r="N417" s="4"/>
      <c r="O417" s="4" t="s">
        <v>85</v>
      </c>
      <c r="P417" s="4"/>
      <c r="Q417" s="4"/>
      <c r="R417" s="4"/>
      <c r="S417" s="4"/>
      <c r="T417" s="4"/>
      <c r="U417" s="4">
        <v>0.0</v>
      </c>
      <c r="V417" s="4"/>
      <c r="W417" s="4"/>
      <c r="X417" s="4"/>
      <c r="Y417" s="4"/>
      <c r="Z417" s="4"/>
      <c r="AA417" s="4"/>
    </row>
    <row r="418">
      <c r="A418" s="4" t="s">
        <v>7502</v>
      </c>
      <c r="B418" s="4" t="s">
        <v>16</v>
      </c>
      <c r="C418" s="4" t="s">
        <v>6838</v>
      </c>
      <c r="D418" s="4">
        <v>44005.0</v>
      </c>
      <c r="E418" s="4">
        <v>0.49201388888888914</v>
      </c>
      <c r="F418" s="4">
        <v>3.4722222222222224E-4</v>
      </c>
      <c r="G418" s="4">
        <v>0.49236111111111136</v>
      </c>
      <c r="H418" s="4" t="s">
        <v>1944</v>
      </c>
      <c r="I418" s="4"/>
      <c r="J418" s="4"/>
      <c r="K418" s="4" t="s">
        <v>106</v>
      </c>
      <c r="L418" s="4" t="s">
        <v>89</v>
      </c>
      <c r="M418" s="4"/>
      <c r="N418" s="4"/>
      <c r="O418" s="4" t="s">
        <v>89</v>
      </c>
      <c r="P418" s="4"/>
      <c r="Q418" s="4"/>
      <c r="R418" s="4"/>
      <c r="S418" s="4"/>
      <c r="T418" s="4"/>
      <c r="U418" s="4"/>
      <c r="V418" s="4"/>
      <c r="W418" s="4"/>
      <c r="X418" s="4"/>
      <c r="Y418" s="4"/>
      <c r="Z418" s="4"/>
      <c r="AA418" s="4"/>
    </row>
    <row r="419">
      <c r="A419" s="4" t="s">
        <v>7503</v>
      </c>
      <c r="B419" s="4" t="s">
        <v>16</v>
      </c>
      <c r="C419" s="4" t="s">
        <v>6838</v>
      </c>
      <c r="D419" s="4">
        <v>44005.0</v>
      </c>
      <c r="E419" s="4">
        <v>0.49236111111111136</v>
      </c>
      <c r="F419" s="4">
        <v>3.4722222222222224E-4</v>
      </c>
      <c r="G419" s="4">
        <v>0.4927083333333336</v>
      </c>
      <c r="H419" s="4" t="s">
        <v>1944</v>
      </c>
      <c r="I419" s="4"/>
      <c r="J419" s="4"/>
      <c r="K419" s="4" t="s">
        <v>106</v>
      </c>
      <c r="L419" s="4" t="s">
        <v>81</v>
      </c>
      <c r="M419" s="4"/>
      <c r="N419" s="4"/>
      <c r="O419" s="4" t="s">
        <v>81</v>
      </c>
      <c r="P419" s="4"/>
      <c r="Q419" s="4"/>
      <c r="R419" s="4"/>
      <c r="S419" s="4"/>
      <c r="T419" s="4"/>
      <c r="U419" s="4">
        <v>0.0</v>
      </c>
      <c r="V419" s="4"/>
      <c r="W419" s="4"/>
      <c r="X419" s="4"/>
      <c r="Y419" s="4"/>
      <c r="Z419" s="4"/>
      <c r="AA419" s="4"/>
    </row>
    <row r="420">
      <c r="A420" s="4" t="s">
        <v>7504</v>
      </c>
      <c r="B420" s="4" t="s">
        <v>16</v>
      </c>
      <c r="C420" s="4" t="s">
        <v>6838</v>
      </c>
      <c r="D420" s="4">
        <v>44005.0</v>
      </c>
      <c r="E420" s="4">
        <v>0.4927083333333336</v>
      </c>
      <c r="F420" s="4">
        <v>0.006944444444444444</v>
      </c>
      <c r="G420" s="4">
        <v>0.499652777777778</v>
      </c>
      <c r="H420" s="4" t="s">
        <v>1253</v>
      </c>
      <c r="I420" s="4" t="s">
        <v>17</v>
      </c>
      <c r="J420" s="4" t="s">
        <v>6938</v>
      </c>
      <c r="K420" s="4" t="s">
        <v>106</v>
      </c>
      <c r="L420" s="4" t="s">
        <v>107</v>
      </c>
      <c r="M420" s="4" t="s">
        <v>7505</v>
      </c>
      <c r="N420" s="4" t="s">
        <v>6858</v>
      </c>
      <c r="O420" s="4" t="s">
        <v>7506</v>
      </c>
      <c r="P420" s="4" t="s">
        <v>7507</v>
      </c>
      <c r="Q420" s="4" t="s">
        <v>361</v>
      </c>
      <c r="R420" s="4"/>
      <c r="S420" s="4"/>
      <c r="T420" s="4" t="s">
        <v>1440</v>
      </c>
      <c r="U420" s="4">
        <v>3.0</v>
      </c>
      <c r="V420" s="4" t="s">
        <v>7508</v>
      </c>
      <c r="W420" s="4" t="s">
        <v>7136</v>
      </c>
      <c r="X420" s="4"/>
      <c r="Y420" s="4"/>
      <c r="Z420" s="4" t="s">
        <v>1253</v>
      </c>
      <c r="AA420" s="4"/>
    </row>
    <row r="421">
      <c r="A421" s="4" t="s">
        <v>7509</v>
      </c>
      <c r="B421" s="4" t="s">
        <v>16</v>
      </c>
      <c r="C421" s="4" t="s">
        <v>6838</v>
      </c>
      <c r="D421" s="4">
        <v>44005.0</v>
      </c>
      <c r="E421" s="4">
        <v>0.499652777777778</v>
      </c>
      <c r="F421" s="4">
        <v>1.7361111111111112E-4</v>
      </c>
      <c r="G421" s="4">
        <v>0.49982638888888914</v>
      </c>
      <c r="H421" s="4" t="s">
        <v>1944</v>
      </c>
      <c r="I421" s="4"/>
      <c r="J421" s="4"/>
      <c r="K421" s="4" t="s">
        <v>106</v>
      </c>
      <c r="L421" s="4" t="s">
        <v>85</v>
      </c>
      <c r="M421" s="4"/>
      <c r="N421" s="4"/>
      <c r="O421" s="4" t="s">
        <v>85</v>
      </c>
      <c r="P421" s="4"/>
      <c r="Q421" s="4"/>
      <c r="R421" s="4"/>
      <c r="S421" s="4"/>
      <c r="T421" s="4"/>
      <c r="U421" s="4">
        <v>0.0</v>
      </c>
      <c r="V421" s="4"/>
      <c r="W421" s="4"/>
      <c r="X421" s="4"/>
      <c r="Y421" s="4"/>
      <c r="Z421" s="4"/>
      <c r="AA421" s="4"/>
    </row>
    <row r="422">
      <c r="A422" s="4" t="s">
        <v>7510</v>
      </c>
      <c r="B422" s="4" t="s">
        <v>16</v>
      </c>
      <c r="C422" s="4" t="s">
        <v>6838</v>
      </c>
      <c r="D422" s="4">
        <v>44005.0</v>
      </c>
      <c r="E422" s="4">
        <v>0.49982638888888914</v>
      </c>
      <c r="F422" s="4">
        <v>1.7361111111111112E-4</v>
      </c>
      <c r="G422" s="4">
        <v>0.5000000000000002</v>
      </c>
      <c r="H422" s="4" t="s">
        <v>1944</v>
      </c>
      <c r="I422" s="4" t="s">
        <v>314</v>
      </c>
      <c r="J422" s="4"/>
      <c r="K422" s="4" t="s">
        <v>106</v>
      </c>
      <c r="L422" s="4" t="s">
        <v>77</v>
      </c>
      <c r="M422" s="4"/>
      <c r="N422" s="4"/>
      <c r="O422" s="4" t="s">
        <v>810</v>
      </c>
      <c r="P422" s="4"/>
      <c r="Q422" s="4"/>
      <c r="R422" s="4"/>
      <c r="S422" s="4"/>
      <c r="T422" s="4"/>
      <c r="U422" s="4"/>
      <c r="V422" s="4"/>
      <c r="W422" s="4"/>
      <c r="X422" s="4"/>
      <c r="Y422" s="4"/>
      <c r="Z422" s="4"/>
      <c r="AA422" s="4"/>
    </row>
    <row r="423">
      <c r="A423" s="4" t="s">
        <v>7511</v>
      </c>
      <c r="B423" s="4" t="s">
        <v>16</v>
      </c>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c r="A424" s="4" t="s">
        <v>7512</v>
      </c>
      <c r="B424" s="4" t="s">
        <v>16</v>
      </c>
      <c r="C424" s="4" t="s">
        <v>6838</v>
      </c>
      <c r="D424" s="4">
        <v>44005.0</v>
      </c>
      <c r="E424" s="4">
        <v>0.5000000000000002</v>
      </c>
      <c r="F424" s="4">
        <v>3.4722222222222224E-4</v>
      </c>
      <c r="G424" s="4">
        <v>0.5003472222222225</v>
      </c>
      <c r="H424" s="4" t="s">
        <v>1944</v>
      </c>
      <c r="I424" s="4"/>
      <c r="J424" s="4"/>
      <c r="K424" s="4" t="s">
        <v>129</v>
      </c>
      <c r="L424" s="4" t="s">
        <v>81</v>
      </c>
      <c r="M424" s="4"/>
      <c r="N424" s="4"/>
      <c r="O424" s="4" t="s">
        <v>81</v>
      </c>
      <c r="P424" s="4"/>
      <c r="Q424" s="4"/>
      <c r="R424" s="4"/>
      <c r="S424" s="4"/>
      <c r="T424" s="4"/>
      <c r="U424" s="4">
        <v>0.0</v>
      </c>
      <c r="V424" s="4"/>
      <c r="W424" s="4"/>
      <c r="X424" s="4"/>
      <c r="Y424" s="4"/>
      <c r="Z424" s="4"/>
      <c r="AA424" s="4"/>
    </row>
    <row r="425">
      <c r="A425" s="4" t="s">
        <v>7513</v>
      </c>
      <c r="B425" s="4" t="s">
        <v>16</v>
      </c>
      <c r="C425" s="4" t="s">
        <v>6838</v>
      </c>
      <c r="D425" s="4">
        <v>44005.0</v>
      </c>
      <c r="E425" s="4">
        <v>0.5003472222222225</v>
      </c>
      <c r="F425" s="4">
        <v>0.008333333333333333</v>
      </c>
      <c r="G425" s="4">
        <v>0.5086805555555558</v>
      </c>
      <c r="H425" s="4" t="s">
        <v>860</v>
      </c>
      <c r="I425" s="4" t="s">
        <v>6933</v>
      </c>
      <c r="J425" s="4" t="s">
        <v>6938</v>
      </c>
      <c r="K425" s="4" t="s">
        <v>129</v>
      </c>
      <c r="L425" s="4" t="s">
        <v>107</v>
      </c>
      <c r="M425" s="4" t="s">
        <v>7462</v>
      </c>
      <c r="N425" s="4" t="s">
        <v>6749</v>
      </c>
      <c r="O425" s="4" t="s">
        <v>7514</v>
      </c>
      <c r="P425" s="4" t="s">
        <v>503</v>
      </c>
      <c r="Q425" s="4" t="s">
        <v>7515</v>
      </c>
      <c r="R425" s="4"/>
      <c r="S425" s="4"/>
      <c r="T425" s="4" t="s">
        <v>7516</v>
      </c>
      <c r="U425" s="4">
        <v>3.0</v>
      </c>
      <c r="V425" s="4" t="s">
        <v>7517</v>
      </c>
      <c r="W425" s="4" t="s">
        <v>7115</v>
      </c>
      <c r="X425" s="4"/>
      <c r="Y425" s="4"/>
      <c r="Z425" s="4"/>
      <c r="AA425" s="4"/>
    </row>
    <row r="426">
      <c r="A426" s="4" t="s">
        <v>7518</v>
      </c>
      <c r="B426" s="4" t="s">
        <v>16</v>
      </c>
      <c r="C426" s="4" t="s">
        <v>6838</v>
      </c>
      <c r="D426" s="4">
        <v>44005.0</v>
      </c>
      <c r="E426" s="4">
        <v>0.5086805555555558</v>
      </c>
      <c r="F426" s="4">
        <v>1.7361111111111112E-4</v>
      </c>
      <c r="G426" s="4">
        <v>0.5088541666666669</v>
      </c>
      <c r="H426" s="4" t="s">
        <v>1944</v>
      </c>
      <c r="I426" s="4"/>
      <c r="J426" s="4"/>
      <c r="K426" s="4" t="s">
        <v>129</v>
      </c>
      <c r="L426" s="4" t="s">
        <v>85</v>
      </c>
      <c r="M426" s="4"/>
      <c r="N426" s="4"/>
      <c r="O426" s="4" t="s">
        <v>85</v>
      </c>
      <c r="P426" s="4"/>
      <c r="Q426" s="4"/>
      <c r="R426" s="4"/>
      <c r="S426" s="4"/>
      <c r="T426" s="4"/>
      <c r="U426" s="4">
        <v>0.0</v>
      </c>
      <c r="V426" s="4"/>
      <c r="W426" s="4"/>
      <c r="X426" s="4"/>
      <c r="Y426" s="4"/>
      <c r="Z426" s="4"/>
      <c r="AA426" s="4"/>
    </row>
    <row r="427">
      <c r="A427" s="4" t="s">
        <v>7519</v>
      </c>
      <c r="B427" s="4" t="s">
        <v>16</v>
      </c>
      <c r="C427" s="4" t="s">
        <v>6838</v>
      </c>
      <c r="D427" s="4">
        <v>44005.0</v>
      </c>
      <c r="E427" s="4">
        <v>0.5088541666666669</v>
      </c>
      <c r="F427" s="4">
        <v>3.4722222222222224E-4</v>
      </c>
      <c r="G427" s="4">
        <v>0.5092013888888892</v>
      </c>
      <c r="H427" s="4" t="s">
        <v>1215</v>
      </c>
      <c r="I427" s="4"/>
      <c r="J427" s="4"/>
      <c r="K427" s="4" t="s">
        <v>129</v>
      </c>
      <c r="L427" s="4" t="s">
        <v>506</v>
      </c>
      <c r="M427" s="4"/>
      <c r="N427" s="4"/>
      <c r="O427" s="4" t="s">
        <v>7520</v>
      </c>
      <c r="P427" s="4"/>
      <c r="Q427" s="4"/>
      <c r="R427" s="4"/>
      <c r="S427" s="4"/>
      <c r="T427" s="4"/>
      <c r="U427" s="4">
        <v>0.0</v>
      </c>
      <c r="V427" s="4"/>
      <c r="W427" s="4"/>
      <c r="X427" s="4"/>
      <c r="Y427" s="4"/>
      <c r="Z427" s="4"/>
      <c r="AA427" s="4"/>
    </row>
    <row r="428">
      <c r="A428" s="4" t="s">
        <v>7521</v>
      </c>
      <c r="B428" s="4" t="s">
        <v>16</v>
      </c>
      <c r="C428" s="4" t="s">
        <v>6838</v>
      </c>
      <c r="D428" s="4">
        <v>44005.0</v>
      </c>
      <c r="E428" s="4">
        <v>0.5092013888888892</v>
      </c>
      <c r="F428" s="4">
        <v>0.0012152777777777778</v>
      </c>
      <c r="G428" s="4">
        <v>0.510416666666667</v>
      </c>
      <c r="H428" s="4" t="s">
        <v>1944</v>
      </c>
      <c r="I428" s="4"/>
      <c r="J428" s="4"/>
      <c r="K428" s="4" t="s">
        <v>129</v>
      </c>
      <c r="L428" s="4" t="s">
        <v>79</v>
      </c>
      <c r="M428" s="4"/>
      <c r="N428" s="4"/>
      <c r="O428" s="4" t="s">
        <v>79</v>
      </c>
      <c r="P428" s="4"/>
      <c r="Q428" s="4"/>
      <c r="R428" s="4"/>
      <c r="S428" s="4"/>
      <c r="T428" s="4"/>
      <c r="U428" s="4"/>
      <c r="V428" s="4"/>
      <c r="W428" s="4"/>
      <c r="X428" s="4"/>
      <c r="Y428" s="4"/>
      <c r="Z428" s="4"/>
      <c r="AA428" s="4"/>
    </row>
    <row r="429">
      <c r="A429" s="4" t="s">
        <v>7522</v>
      </c>
      <c r="B429" s="4" t="s">
        <v>16</v>
      </c>
      <c r="C429" s="4" t="s">
        <v>6838</v>
      </c>
      <c r="D429" s="4">
        <v>44005.0</v>
      </c>
      <c r="E429" s="4">
        <v>0.510416666666667</v>
      </c>
      <c r="F429" s="4">
        <v>1.7361111111111112E-4</v>
      </c>
      <c r="G429" s="4">
        <v>0.5105902777777781</v>
      </c>
      <c r="H429" s="4" t="s">
        <v>2004</v>
      </c>
      <c r="I429" s="4"/>
      <c r="J429" s="4"/>
      <c r="K429" s="4" t="s">
        <v>129</v>
      </c>
      <c r="L429" s="4" t="s">
        <v>77</v>
      </c>
      <c r="M429" s="4"/>
      <c r="N429" s="4"/>
      <c r="O429" s="4" t="s">
        <v>7523</v>
      </c>
      <c r="P429" s="4"/>
      <c r="Q429" s="4"/>
      <c r="R429" s="4"/>
      <c r="S429" s="4"/>
      <c r="T429" s="4"/>
      <c r="U429" s="4"/>
      <c r="V429" s="4"/>
      <c r="W429" s="4"/>
      <c r="X429" s="4"/>
      <c r="Y429" s="4"/>
      <c r="Z429" s="4"/>
      <c r="AA429" s="4"/>
    </row>
    <row r="430">
      <c r="A430" s="4" t="s">
        <v>7524</v>
      </c>
      <c r="B430" s="4" t="s">
        <v>16</v>
      </c>
      <c r="C430" s="4" t="s">
        <v>6838</v>
      </c>
      <c r="D430" s="4">
        <v>44005.0</v>
      </c>
      <c r="E430" s="4">
        <v>0.5105902777777781</v>
      </c>
      <c r="F430" s="4">
        <v>1.7361111111111112E-4</v>
      </c>
      <c r="G430" s="4">
        <v>0.5107638888888892</v>
      </c>
      <c r="H430" s="4" t="s">
        <v>2004</v>
      </c>
      <c r="I430" s="4"/>
      <c r="J430" s="4"/>
      <c r="K430" s="4" t="s">
        <v>129</v>
      </c>
      <c r="L430" s="4" t="s">
        <v>77</v>
      </c>
      <c r="M430" s="4"/>
      <c r="N430" s="4"/>
      <c r="O430" s="4" t="s">
        <v>684</v>
      </c>
      <c r="P430" s="4"/>
      <c r="Q430" s="4"/>
      <c r="R430" s="4"/>
      <c r="S430" s="4"/>
      <c r="T430" s="4"/>
      <c r="U430" s="4"/>
      <c r="V430" s="4"/>
      <c r="W430" s="4"/>
      <c r="X430" s="4"/>
      <c r="Y430" s="4"/>
      <c r="Z430" s="4"/>
      <c r="AA430" s="4"/>
    </row>
    <row r="431">
      <c r="A431" s="4" t="s">
        <v>7525</v>
      </c>
      <c r="B431" s="4" t="s">
        <v>16</v>
      </c>
      <c r="C431" s="4" t="s">
        <v>6838</v>
      </c>
      <c r="D431" s="4">
        <v>44005.0</v>
      </c>
      <c r="E431" s="4">
        <v>0.5107638888888892</v>
      </c>
      <c r="F431" s="4">
        <v>3.4722222222222224E-4</v>
      </c>
      <c r="G431" s="4">
        <v>0.5111111111111115</v>
      </c>
      <c r="H431" s="4" t="s">
        <v>860</v>
      </c>
      <c r="I431" s="4"/>
      <c r="J431" s="4"/>
      <c r="K431" s="4" t="s">
        <v>129</v>
      </c>
      <c r="L431" s="4" t="s">
        <v>511</v>
      </c>
      <c r="M431" s="4"/>
      <c r="N431" s="4"/>
      <c r="O431" s="4" t="s">
        <v>511</v>
      </c>
      <c r="P431" s="4"/>
      <c r="Q431" s="4"/>
      <c r="R431" s="4"/>
      <c r="S431" s="4"/>
      <c r="T431" s="4"/>
      <c r="U431" s="4"/>
      <c r="V431" s="4"/>
      <c r="W431" s="4"/>
      <c r="X431" s="4"/>
      <c r="Y431" s="4"/>
      <c r="Z431" s="4"/>
      <c r="AA431" s="4"/>
    </row>
    <row r="432">
      <c r="A432" s="4" t="s">
        <v>7526</v>
      </c>
      <c r="B432" s="4" t="s">
        <v>16</v>
      </c>
      <c r="C432" s="4" t="s">
        <v>6838</v>
      </c>
      <c r="D432" s="4">
        <v>44005.0</v>
      </c>
      <c r="E432" s="4">
        <v>0.5111111111111115</v>
      </c>
      <c r="F432" s="4">
        <v>3.4722222222222224E-4</v>
      </c>
      <c r="G432" s="4">
        <v>0.5114583333333338</v>
      </c>
      <c r="H432" s="4" t="s">
        <v>1944</v>
      </c>
      <c r="I432" s="4"/>
      <c r="J432" s="4"/>
      <c r="K432" s="4" t="s">
        <v>129</v>
      </c>
      <c r="L432" s="4" t="s">
        <v>81</v>
      </c>
      <c r="M432" s="4"/>
      <c r="N432" s="4"/>
      <c r="O432" s="4" t="s">
        <v>81</v>
      </c>
      <c r="P432" s="4"/>
      <c r="Q432" s="4"/>
      <c r="R432" s="4"/>
      <c r="S432" s="4"/>
      <c r="T432" s="4"/>
      <c r="U432" s="4">
        <v>0.0</v>
      </c>
      <c r="V432" s="4"/>
      <c r="W432" s="4"/>
      <c r="X432" s="4"/>
      <c r="Y432" s="4"/>
      <c r="Z432" s="4"/>
      <c r="AA432" s="4"/>
    </row>
    <row r="433">
      <c r="A433" s="4" t="s">
        <v>7527</v>
      </c>
      <c r="B433" s="4" t="s">
        <v>16</v>
      </c>
      <c r="C433" s="4" t="s">
        <v>6838</v>
      </c>
      <c r="D433" s="4">
        <v>44005.0</v>
      </c>
      <c r="E433" s="4">
        <v>0.5114583333333338</v>
      </c>
      <c r="F433" s="4">
        <v>0.013888888888888888</v>
      </c>
      <c r="G433" s="4">
        <v>0.5253472222222226</v>
      </c>
      <c r="H433" s="4" t="s">
        <v>860</v>
      </c>
      <c r="I433" s="4" t="s">
        <v>4142</v>
      </c>
      <c r="J433" s="4" t="s">
        <v>6870</v>
      </c>
      <c r="K433" s="4" t="s">
        <v>129</v>
      </c>
      <c r="L433" s="4" t="s">
        <v>94</v>
      </c>
      <c r="M433" s="4" t="s">
        <v>7505</v>
      </c>
      <c r="N433" s="4" t="s">
        <v>6689</v>
      </c>
      <c r="O433" s="4" t="s">
        <v>512</v>
      </c>
      <c r="P433" s="4" t="s">
        <v>513</v>
      </c>
      <c r="Q433" s="4"/>
      <c r="R433" s="4"/>
      <c r="S433" s="4"/>
      <c r="T433" s="4" t="s">
        <v>514</v>
      </c>
      <c r="U433" s="4">
        <v>2.0</v>
      </c>
      <c r="V433" s="4" t="s">
        <v>7528</v>
      </c>
      <c r="W433" s="4" t="s">
        <v>6855</v>
      </c>
      <c r="X433" s="4" t="s">
        <v>7529</v>
      </c>
      <c r="Y433" s="4"/>
      <c r="Z433" s="4"/>
      <c r="AA433" s="4"/>
    </row>
    <row r="434">
      <c r="A434" s="4" t="s">
        <v>7530</v>
      </c>
      <c r="B434" s="4" t="s">
        <v>16</v>
      </c>
      <c r="C434" s="4" t="s">
        <v>6838</v>
      </c>
      <c r="D434" s="4">
        <v>44005.0</v>
      </c>
      <c r="E434" s="4">
        <v>0.5253472222222226</v>
      </c>
      <c r="F434" s="4">
        <v>1.7361111111111112E-4</v>
      </c>
      <c r="G434" s="4">
        <v>0.5255208333333338</v>
      </c>
      <c r="H434" s="4" t="s">
        <v>1944</v>
      </c>
      <c r="I434" s="4"/>
      <c r="J434" s="4"/>
      <c r="K434" s="4" t="s">
        <v>129</v>
      </c>
      <c r="L434" s="4" t="s">
        <v>85</v>
      </c>
      <c r="M434" s="4"/>
      <c r="N434" s="4"/>
      <c r="O434" s="4" t="s">
        <v>85</v>
      </c>
      <c r="P434" s="4"/>
      <c r="Q434" s="4"/>
      <c r="R434" s="4"/>
      <c r="S434" s="4"/>
      <c r="T434" s="4"/>
      <c r="U434" s="4">
        <v>0.0</v>
      </c>
      <c r="V434" s="4"/>
      <c r="W434" s="4"/>
      <c r="X434" s="4"/>
      <c r="Y434" s="4"/>
      <c r="Z434" s="4"/>
      <c r="AA434" s="4"/>
    </row>
    <row r="435">
      <c r="A435" s="4" t="s">
        <v>7531</v>
      </c>
      <c r="B435" s="4" t="s">
        <v>16</v>
      </c>
      <c r="C435" s="4" t="s">
        <v>6838</v>
      </c>
      <c r="D435" s="4">
        <v>44005.0</v>
      </c>
      <c r="E435" s="4">
        <v>0.5255208333333338</v>
      </c>
      <c r="F435" s="4">
        <v>3.4722222222222224E-4</v>
      </c>
      <c r="G435" s="4">
        <v>0.525868055555556</v>
      </c>
      <c r="H435" s="4" t="s">
        <v>1944</v>
      </c>
      <c r="I435" s="4"/>
      <c r="J435" s="4"/>
      <c r="K435" s="4" t="s">
        <v>129</v>
      </c>
      <c r="L435" s="4" t="s">
        <v>81</v>
      </c>
      <c r="M435" s="4"/>
      <c r="N435" s="4"/>
      <c r="O435" s="4" t="s">
        <v>81</v>
      </c>
      <c r="P435" s="4"/>
      <c r="Q435" s="4"/>
      <c r="R435" s="4"/>
      <c r="S435" s="4"/>
      <c r="T435" s="4"/>
      <c r="U435" s="4">
        <v>0.0</v>
      </c>
      <c r="V435" s="4"/>
      <c r="W435" s="4"/>
      <c r="X435" s="4"/>
      <c r="Y435" s="4"/>
      <c r="Z435" s="4"/>
      <c r="AA435" s="4"/>
    </row>
    <row r="436">
      <c r="A436" s="4" t="s">
        <v>7532</v>
      </c>
      <c r="B436" s="4" t="s">
        <v>16</v>
      </c>
      <c r="C436" s="4" t="s">
        <v>6838</v>
      </c>
      <c r="D436" s="4">
        <v>44005.0</v>
      </c>
      <c r="E436" s="4">
        <v>0.525868055555556</v>
      </c>
      <c r="F436" s="4">
        <v>0.0020833333333333333</v>
      </c>
      <c r="G436" s="4">
        <v>0.5279513888888894</v>
      </c>
      <c r="H436" s="4" t="s">
        <v>630</v>
      </c>
      <c r="I436" s="4" t="s">
        <v>314</v>
      </c>
      <c r="J436" s="4" t="s">
        <v>15</v>
      </c>
      <c r="K436" s="4" t="s">
        <v>129</v>
      </c>
      <c r="L436" s="4" t="s">
        <v>165</v>
      </c>
      <c r="M436" s="4" t="s">
        <v>7505</v>
      </c>
      <c r="N436" s="4" t="s">
        <v>7475</v>
      </c>
      <c r="O436" s="4" t="s">
        <v>7533</v>
      </c>
      <c r="P436" s="4" t="s">
        <v>7534</v>
      </c>
      <c r="Q436" s="4"/>
      <c r="R436" s="4"/>
      <c r="S436" s="4"/>
      <c r="T436" s="4"/>
      <c r="U436" s="4">
        <v>1.0</v>
      </c>
      <c r="V436" s="4" t="s">
        <v>7535</v>
      </c>
      <c r="W436" s="4" t="s">
        <v>6890</v>
      </c>
      <c r="X436" s="4"/>
      <c r="Y436" s="4"/>
      <c r="Z436" s="4" t="s">
        <v>630</v>
      </c>
      <c r="AA436" s="4"/>
    </row>
    <row r="437">
      <c r="A437" s="4" t="s">
        <v>7536</v>
      </c>
      <c r="B437" s="4" t="s">
        <v>16</v>
      </c>
      <c r="C437" s="4" t="s">
        <v>6838</v>
      </c>
      <c r="D437" s="4">
        <v>44005.0</v>
      </c>
      <c r="E437" s="4">
        <v>0.5279513888888894</v>
      </c>
      <c r="F437" s="4">
        <v>1.7361111111111112E-4</v>
      </c>
      <c r="G437" s="4">
        <v>0.5281250000000005</v>
      </c>
      <c r="H437" s="4" t="s">
        <v>1944</v>
      </c>
      <c r="I437" s="4"/>
      <c r="J437" s="4"/>
      <c r="K437" s="4" t="s">
        <v>129</v>
      </c>
      <c r="L437" s="4" t="s">
        <v>85</v>
      </c>
      <c r="M437" s="4"/>
      <c r="N437" s="4"/>
      <c r="O437" s="4" t="s">
        <v>85</v>
      </c>
      <c r="P437" s="4"/>
      <c r="Q437" s="4"/>
      <c r="R437" s="4"/>
      <c r="S437" s="4"/>
      <c r="T437" s="4"/>
      <c r="U437" s="4">
        <v>0.0</v>
      </c>
      <c r="V437" s="4"/>
      <c r="W437" s="4"/>
      <c r="X437" s="4"/>
      <c r="Y437" s="4"/>
      <c r="Z437" s="4"/>
      <c r="AA437" s="4"/>
    </row>
    <row r="438">
      <c r="A438" s="4"/>
      <c r="B438" s="4" t="s">
        <v>16</v>
      </c>
      <c r="C438" s="4" t="s">
        <v>6838</v>
      </c>
      <c r="D438" s="4">
        <v>44005.0</v>
      </c>
      <c r="E438" s="4">
        <v>0.5281250000000005</v>
      </c>
      <c r="F438" s="4">
        <v>1.7361111111111112E-4</v>
      </c>
      <c r="G438" s="4">
        <v>0.5282986111111116</v>
      </c>
      <c r="H438" s="4" t="s">
        <v>2004</v>
      </c>
      <c r="I438" s="4"/>
      <c r="J438" s="4"/>
      <c r="K438" s="4" t="s">
        <v>129</v>
      </c>
      <c r="L438" s="4" t="s">
        <v>77</v>
      </c>
      <c r="M438" s="4"/>
      <c r="N438" s="4"/>
      <c r="O438" s="4" t="s">
        <v>7537</v>
      </c>
      <c r="P438" s="4"/>
      <c r="Q438" s="4"/>
      <c r="R438" s="4"/>
      <c r="S438" s="4"/>
      <c r="T438" s="4"/>
      <c r="U438" s="4"/>
      <c r="V438" s="4"/>
      <c r="W438" s="4"/>
      <c r="X438" s="4"/>
      <c r="Y438" s="4"/>
      <c r="Z438" s="4"/>
      <c r="AA438" s="4"/>
    </row>
    <row r="439">
      <c r="A439" s="4"/>
      <c r="B439" s="4" t="s">
        <v>16</v>
      </c>
      <c r="C439" s="4" t="s">
        <v>6838</v>
      </c>
      <c r="D439" s="4">
        <v>44005.0</v>
      </c>
      <c r="E439" s="4">
        <v>0.5282986111111116</v>
      </c>
      <c r="F439" s="4">
        <v>3.4722222222222224E-4</v>
      </c>
      <c r="G439" s="4">
        <v>0.5286458333333339</v>
      </c>
      <c r="H439" s="4" t="s">
        <v>1944</v>
      </c>
      <c r="I439" s="4"/>
      <c r="J439" s="4"/>
      <c r="K439" s="4" t="s">
        <v>129</v>
      </c>
      <c r="L439" s="4" t="s">
        <v>81</v>
      </c>
      <c r="M439" s="4"/>
      <c r="N439" s="4"/>
      <c r="O439" s="4" t="s">
        <v>81</v>
      </c>
      <c r="P439" s="4"/>
      <c r="Q439" s="4"/>
      <c r="R439" s="4"/>
      <c r="S439" s="4"/>
      <c r="T439" s="4"/>
      <c r="U439" s="4"/>
      <c r="V439" s="4"/>
      <c r="W439" s="4"/>
      <c r="X439" s="4"/>
      <c r="Y439" s="4"/>
      <c r="Z439" s="4"/>
      <c r="AA439" s="4"/>
    </row>
    <row r="440">
      <c r="A440" s="4" t="s">
        <v>7538</v>
      </c>
      <c r="B440" s="4" t="s">
        <v>16</v>
      </c>
      <c r="C440" s="4" t="s">
        <v>6838</v>
      </c>
      <c r="D440" s="4">
        <v>44005.0</v>
      </c>
      <c r="E440" s="4">
        <v>0.5286458333333339</v>
      </c>
      <c r="F440" s="4">
        <v>0.0125</v>
      </c>
      <c r="G440" s="4">
        <v>0.5411458333333339</v>
      </c>
      <c r="H440" s="4" t="s">
        <v>860</v>
      </c>
      <c r="I440" s="4" t="s">
        <v>6933</v>
      </c>
      <c r="J440" s="4" t="s">
        <v>6938</v>
      </c>
      <c r="K440" s="4" t="s">
        <v>129</v>
      </c>
      <c r="L440" s="4" t="s">
        <v>107</v>
      </c>
      <c r="M440" s="4" t="s">
        <v>7539</v>
      </c>
      <c r="N440" s="4" t="s">
        <v>6749</v>
      </c>
      <c r="O440" s="4" t="s">
        <v>7540</v>
      </c>
      <c r="P440" s="4" t="s">
        <v>518</v>
      </c>
      <c r="Q440" s="4" t="s">
        <v>519</v>
      </c>
      <c r="R440" s="4"/>
      <c r="S440" s="4"/>
      <c r="T440" s="4" t="s">
        <v>520</v>
      </c>
      <c r="U440" s="4">
        <v>3.0</v>
      </c>
      <c r="V440" s="4" t="s">
        <v>7541</v>
      </c>
      <c r="W440" s="4" t="s">
        <v>6855</v>
      </c>
      <c r="X440" s="4"/>
      <c r="Y440" s="4"/>
      <c r="Z440" s="4"/>
      <c r="AA440" s="4"/>
    </row>
    <row r="441">
      <c r="A441" s="4" t="s">
        <v>7542</v>
      </c>
      <c r="B441" s="4" t="s">
        <v>16</v>
      </c>
      <c r="C441" s="4" t="s">
        <v>6838</v>
      </c>
      <c r="D441" s="4">
        <v>44005.0</v>
      </c>
      <c r="E441" s="4">
        <v>0.5411458333333339</v>
      </c>
      <c r="F441" s="4">
        <v>1.7361111111111112E-4</v>
      </c>
      <c r="G441" s="4">
        <v>0.541319444444445</v>
      </c>
      <c r="H441" s="4" t="s">
        <v>1944</v>
      </c>
      <c r="I441" s="4"/>
      <c r="J441" s="4"/>
      <c r="K441" s="4" t="s">
        <v>129</v>
      </c>
      <c r="L441" s="4" t="s">
        <v>85</v>
      </c>
      <c r="M441" s="4"/>
      <c r="N441" s="4"/>
      <c r="O441" s="4" t="s">
        <v>85</v>
      </c>
      <c r="P441" s="4"/>
      <c r="Q441" s="4"/>
      <c r="R441" s="4"/>
      <c r="S441" s="4"/>
      <c r="T441" s="4"/>
      <c r="U441" s="4">
        <v>0.0</v>
      </c>
      <c r="V441" s="4"/>
      <c r="W441" s="4"/>
      <c r="X441" s="4"/>
      <c r="Y441" s="4"/>
      <c r="Z441" s="4"/>
      <c r="AA441" s="4"/>
    </row>
    <row r="442">
      <c r="A442" s="4" t="s">
        <v>7543</v>
      </c>
      <c r="B442" s="4" t="s">
        <v>16</v>
      </c>
      <c r="C442" s="4" t="s">
        <v>6838</v>
      </c>
      <c r="D442" s="4">
        <v>44005.0</v>
      </c>
      <c r="E442" s="4">
        <v>0.541319444444445</v>
      </c>
      <c r="F442" s="4">
        <v>3.4722222222222224E-4</v>
      </c>
      <c r="G442" s="4">
        <v>0.5416666666666673</v>
      </c>
      <c r="H442" s="4" t="s">
        <v>1944</v>
      </c>
      <c r="I442" s="4"/>
      <c r="J442" s="4"/>
      <c r="K442" s="4" t="s">
        <v>129</v>
      </c>
      <c r="L442" s="4" t="s">
        <v>89</v>
      </c>
      <c r="M442" s="4"/>
      <c r="N442" s="4"/>
      <c r="O442" s="4" t="s">
        <v>89</v>
      </c>
      <c r="P442" s="4"/>
      <c r="Q442" s="4"/>
      <c r="R442" s="4"/>
      <c r="S442" s="4"/>
      <c r="T442" s="4"/>
      <c r="U442" s="4"/>
      <c r="V442" s="4"/>
      <c r="W442" s="4"/>
      <c r="X442" s="4"/>
      <c r="Y442" s="4"/>
      <c r="Z442" s="4"/>
      <c r="AA442" s="4"/>
    </row>
    <row r="443">
      <c r="A443" s="4" t="s">
        <v>7544</v>
      </c>
      <c r="B443" s="4" t="s">
        <v>16</v>
      </c>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c r="A444" s="4" t="s">
        <v>7545</v>
      </c>
      <c r="B444" s="4" t="s">
        <v>16</v>
      </c>
      <c r="C444" s="4" t="s">
        <v>6838</v>
      </c>
      <c r="D444" s="4">
        <v>44005.0</v>
      </c>
      <c r="E444" s="4">
        <v>0.5416666666666673</v>
      </c>
      <c r="F444" s="4">
        <v>3.4722222222222224E-4</v>
      </c>
      <c r="G444" s="4">
        <v>0.5420138888888896</v>
      </c>
      <c r="H444" s="4" t="s">
        <v>1944</v>
      </c>
      <c r="I444" s="4"/>
      <c r="J444" s="4"/>
      <c r="K444" s="4" t="s">
        <v>151</v>
      </c>
      <c r="L444" s="4" t="s">
        <v>81</v>
      </c>
      <c r="M444" s="4"/>
      <c r="N444" s="4"/>
      <c r="O444" s="4" t="s">
        <v>81</v>
      </c>
      <c r="P444" s="4"/>
      <c r="Q444" s="4"/>
      <c r="R444" s="4"/>
      <c r="S444" s="4"/>
      <c r="T444" s="4"/>
      <c r="U444" s="4">
        <v>0.0</v>
      </c>
      <c r="V444" s="4"/>
      <c r="W444" s="4"/>
      <c r="X444" s="4"/>
      <c r="Y444" s="4"/>
      <c r="Z444" s="4"/>
      <c r="AA444" s="4"/>
    </row>
    <row r="445">
      <c r="A445" s="4" t="s">
        <v>7546</v>
      </c>
      <c r="B445" s="4" t="s">
        <v>16</v>
      </c>
      <c r="C445" s="4" t="s">
        <v>6838</v>
      </c>
      <c r="D445" s="4">
        <v>44005.0</v>
      </c>
      <c r="E445" s="4">
        <v>0.5420138888888896</v>
      </c>
      <c r="F445" s="4">
        <v>0.010416666666666666</v>
      </c>
      <c r="G445" s="4">
        <v>0.5524305555555562</v>
      </c>
      <c r="H445" s="4" t="s">
        <v>1076</v>
      </c>
      <c r="I445" s="4" t="s">
        <v>6933</v>
      </c>
      <c r="J445" s="4" t="s">
        <v>7086</v>
      </c>
      <c r="K445" s="4" t="s">
        <v>151</v>
      </c>
      <c r="L445" s="4" t="s">
        <v>74</v>
      </c>
      <c r="M445" s="4" t="s">
        <v>7505</v>
      </c>
      <c r="N445" s="4" t="s">
        <v>6858</v>
      </c>
      <c r="O445" s="4" t="s">
        <v>180</v>
      </c>
      <c r="P445" s="4" t="s">
        <v>181</v>
      </c>
      <c r="Q445" s="4" t="s">
        <v>182</v>
      </c>
      <c r="R445" s="4" t="s">
        <v>183</v>
      </c>
      <c r="S445" s="4"/>
      <c r="T445" s="4" t="s">
        <v>184</v>
      </c>
      <c r="U445" s="4">
        <v>4.0</v>
      </c>
      <c r="V445" s="4" t="s">
        <v>7547</v>
      </c>
      <c r="W445" s="4" t="s">
        <v>6920</v>
      </c>
      <c r="X445" s="4" t="s">
        <v>7548</v>
      </c>
      <c r="Y445" s="4" t="s">
        <v>7549</v>
      </c>
      <c r="Z445" s="4" t="s">
        <v>1076</v>
      </c>
      <c r="AA445" s="4"/>
    </row>
    <row r="446">
      <c r="A446" s="4" t="s">
        <v>7550</v>
      </c>
      <c r="B446" s="4" t="s">
        <v>16</v>
      </c>
      <c r="C446" s="4" t="s">
        <v>6838</v>
      </c>
      <c r="D446" s="4">
        <v>44005.0</v>
      </c>
      <c r="E446" s="4">
        <v>0.5524305555555562</v>
      </c>
      <c r="F446" s="4">
        <v>1.7361111111111112E-4</v>
      </c>
      <c r="G446" s="4">
        <v>0.5526041666666673</v>
      </c>
      <c r="H446" s="4" t="s">
        <v>1944</v>
      </c>
      <c r="I446" s="4"/>
      <c r="J446" s="4"/>
      <c r="K446" s="4" t="s">
        <v>151</v>
      </c>
      <c r="L446" s="4" t="s">
        <v>85</v>
      </c>
      <c r="M446" s="4"/>
      <c r="N446" s="4"/>
      <c r="O446" s="4" t="s">
        <v>85</v>
      </c>
      <c r="P446" s="4"/>
      <c r="Q446" s="4"/>
      <c r="R446" s="4"/>
      <c r="S446" s="4"/>
      <c r="T446" s="4"/>
      <c r="U446" s="4">
        <v>0.0</v>
      </c>
      <c r="V446" s="4"/>
      <c r="W446" s="4"/>
      <c r="X446" s="4"/>
      <c r="Y446" s="4"/>
      <c r="Z446" s="4"/>
      <c r="AA446" s="4"/>
    </row>
    <row r="447">
      <c r="A447" s="4" t="s">
        <v>7551</v>
      </c>
      <c r="B447" s="4" t="s">
        <v>16</v>
      </c>
      <c r="C447" s="4" t="s">
        <v>6838</v>
      </c>
      <c r="D447" s="4">
        <v>44005.0</v>
      </c>
      <c r="E447" s="4">
        <v>0.5526041666666673</v>
      </c>
      <c r="F447" s="4">
        <v>1.7361111111111112E-4</v>
      </c>
      <c r="G447" s="4">
        <v>0.5527777777777785</v>
      </c>
      <c r="H447" s="4" t="s">
        <v>2004</v>
      </c>
      <c r="I447" s="4"/>
      <c r="J447" s="4"/>
      <c r="K447" s="4" t="s">
        <v>151</v>
      </c>
      <c r="L447" s="4" t="s">
        <v>77</v>
      </c>
      <c r="M447" s="4"/>
      <c r="N447" s="4"/>
      <c r="O447" s="4" t="s">
        <v>7552</v>
      </c>
      <c r="P447" s="4"/>
      <c r="Q447" s="4"/>
      <c r="R447" s="4"/>
      <c r="S447" s="4"/>
      <c r="T447" s="4"/>
      <c r="U447" s="4">
        <v>0.0</v>
      </c>
      <c r="V447" s="4"/>
      <c r="W447" s="4"/>
      <c r="X447" s="4"/>
      <c r="Y447" s="4"/>
      <c r="Z447" s="4"/>
      <c r="AA447" s="4"/>
    </row>
    <row r="448">
      <c r="A448" s="4" t="s">
        <v>7553</v>
      </c>
      <c r="B448" s="4" t="s">
        <v>16</v>
      </c>
      <c r="C448" s="4" t="s">
        <v>6838</v>
      </c>
      <c r="D448" s="4">
        <v>44005.0</v>
      </c>
      <c r="E448" s="4">
        <v>0.5527777777777785</v>
      </c>
      <c r="F448" s="4">
        <v>3.4722222222222224E-4</v>
      </c>
      <c r="G448" s="4">
        <v>0.5531250000000008</v>
      </c>
      <c r="H448" s="4" t="s">
        <v>1944</v>
      </c>
      <c r="I448" s="4"/>
      <c r="J448" s="4"/>
      <c r="K448" s="4" t="s">
        <v>151</v>
      </c>
      <c r="L448" s="4" t="s">
        <v>81</v>
      </c>
      <c r="M448" s="4"/>
      <c r="N448" s="4"/>
      <c r="O448" s="4" t="s">
        <v>81</v>
      </c>
      <c r="P448" s="4"/>
      <c r="Q448" s="4"/>
      <c r="R448" s="4"/>
      <c r="S448" s="4"/>
      <c r="T448" s="4"/>
      <c r="U448" s="4">
        <v>0.0</v>
      </c>
      <c r="V448" s="4"/>
      <c r="W448" s="4"/>
      <c r="X448" s="4"/>
      <c r="Y448" s="4"/>
      <c r="Z448" s="4"/>
      <c r="AA448" s="4"/>
    </row>
    <row r="449">
      <c r="A449" s="4" t="s">
        <v>7554</v>
      </c>
      <c r="B449" s="4" t="s">
        <v>16</v>
      </c>
      <c r="C449" s="4" t="s">
        <v>6838</v>
      </c>
      <c r="D449" s="4">
        <v>44005.0</v>
      </c>
      <c r="E449" s="4">
        <v>0.5531250000000008</v>
      </c>
      <c r="F449" s="4">
        <v>0.013888888888888888</v>
      </c>
      <c r="G449" s="4">
        <v>0.5670138888888896</v>
      </c>
      <c r="H449" s="4" t="s">
        <v>860</v>
      </c>
      <c r="I449" s="4" t="s">
        <v>6993</v>
      </c>
      <c r="J449" s="4" t="s">
        <v>6853</v>
      </c>
      <c r="K449" s="4" t="s">
        <v>151</v>
      </c>
      <c r="L449" s="4" t="s">
        <v>107</v>
      </c>
      <c r="M449" s="4" t="s">
        <v>7462</v>
      </c>
      <c r="N449" s="4" t="s">
        <v>6689</v>
      </c>
      <c r="O449" s="4" t="s">
        <v>7555</v>
      </c>
      <c r="P449" s="4" t="s">
        <v>528</v>
      </c>
      <c r="Q449" s="4" t="s">
        <v>529</v>
      </c>
      <c r="R449" s="4"/>
      <c r="S449" s="4"/>
      <c r="T449" s="4" t="s">
        <v>214</v>
      </c>
      <c r="U449" s="4">
        <v>3.0</v>
      </c>
      <c r="V449" s="4" t="s">
        <v>7556</v>
      </c>
      <c r="W449" s="4" t="s">
        <v>6855</v>
      </c>
      <c r="X449" s="4"/>
      <c r="Y449" s="4"/>
      <c r="Z449" s="4"/>
      <c r="AA449" s="4"/>
    </row>
    <row r="450">
      <c r="A450" s="4" t="s">
        <v>7557</v>
      </c>
      <c r="B450" s="4" t="s">
        <v>16</v>
      </c>
      <c r="C450" s="4" t="s">
        <v>6838</v>
      </c>
      <c r="D450" s="4">
        <v>44005.0</v>
      </c>
      <c r="E450" s="4">
        <v>0.5670138888888896</v>
      </c>
      <c r="F450" s="4">
        <v>1.7361111111111112E-4</v>
      </c>
      <c r="G450" s="4">
        <v>0.5671875000000007</v>
      </c>
      <c r="H450" s="4" t="s">
        <v>1944</v>
      </c>
      <c r="I450" s="4"/>
      <c r="J450" s="4"/>
      <c r="K450" s="4" t="s">
        <v>151</v>
      </c>
      <c r="L450" s="4" t="s">
        <v>85</v>
      </c>
      <c r="M450" s="4"/>
      <c r="N450" s="4"/>
      <c r="O450" s="4" t="s">
        <v>85</v>
      </c>
      <c r="P450" s="4"/>
      <c r="Q450" s="4"/>
      <c r="R450" s="4"/>
      <c r="S450" s="4"/>
      <c r="T450" s="4"/>
      <c r="U450" s="4">
        <v>0.0</v>
      </c>
      <c r="V450" s="4"/>
      <c r="W450" s="4"/>
      <c r="X450" s="4"/>
      <c r="Y450" s="4"/>
      <c r="Z450" s="4"/>
      <c r="AA450" s="4"/>
    </row>
    <row r="451">
      <c r="A451" s="4" t="s">
        <v>7558</v>
      </c>
      <c r="B451" s="4" t="s">
        <v>16</v>
      </c>
      <c r="C451" s="4" t="s">
        <v>6838</v>
      </c>
      <c r="D451" s="4">
        <v>44005.0</v>
      </c>
      <c r="E451" s="4">
        <v>0.5671875000000007</v>
      </c>
      <c r="F451" s="4">
        <v>3.4722222222222224E-4</v>
      </c>
      <c r="G451" s="4">
        <v>0.567534722222223</v>
      </c>
      <c r="H451" s="4" t="s">
        <v>1215</v>
      </c>
      <c r="I451" s="4"/>
      <c r="J451" s="4"/>
      <c r="K451" s="4" t="s">
        <v>151</v>
      </c>
      <c r="L451" s="4" t="s">
        <v>506</v>
      </c>
      <c r="M451" s="4"/>
      <c r="N451" s="4"/>
      <c r="O451" s="4" t="s">
        <v>7559</v>
      </c>
      <c r="P451" s="4"/>
      <c r="Q451" s="4"/>
      <c r="R451" s="4"/>
      <c r="S451" s="4"/>
      <c r="T451" s="4"/>
      <c r="U451" s="4">
        <v>0.0</v>
      </c>
      <c r="V451" s="4"/>
      <c r="W451" s="4"/>
      <c r="X451" s="4"/>
      <c r="Y451" s="4"/>
      <c r="Z451" s="4"/>
      <c r="AA451" s="4"/>
    </row>
    <row r="452">
      <c r="A452" s="4" t="s">
        <v>7560</v>
      </c>
      <c r="B452" s="4" t="s">
        <v>16</v>
      </c>
      <c r="C452" s="4" t="s">
        <v>6838</v>
      </c>
      <c r="D452" s="4">
        <v>44005.0</v>
      </c>
      <c r="E452" s="4">
        <v>0.567534722222223</v>
      </c>
      <c r="F452" s="4">
        <v>3.4722222222222224E-4</v>
      </c>
      <c r="G452" s="4">
        <v>0.5678819444444453</v>
      </c>
      <c r="H452" s="4" t="s">
        <v>1944</v>
      </c>
      <c r="I452" s="4"/>
      <c r="J452" s="4"/>
      <c r="K452" s="4" t="s">
        <v>151</v>
      </c>
      <c r="L452" s="4" t="s">
        <v>89</v>
      </c>
      <c r="M452" s="4"/>
      <c r="N452" s="4"/>
      <c r="O452" s="4" t="s">
        <v>89</v>
      </c>
      <c r="P452" s="4"/>
      <c r="Q452" s="4"/>
      <c r="R452" s="4"/>
      <c r="S452" s="4"/>
      <c r="T452" s="4"/>
      <c r="U452" s="4"/>
      <c r="V452" s="4"/>
      <c r="W452" s="4"/>
      <c r="X452" s="4"/>
      <c r="Y452" s="4"/>
      <c r="Z452" s="4"/>
      <c r="AA452" s="4"/>
    </row>
    <row r="453">
      <c r="A453" s="4" t="s">
        <v>7561</v>
      </c>
      <c r="B453" s="4" t="s">
        <v>16</v>
      </c>
      <c r="C453" s="4" t="s">
        <v>6838</v>
      </c>
      <c r="D453" s="4">
        <v>44005.0</v>
      </c>
      <c r="E453" s="4">
        <v>0.5678819444444453</v>
      </c>
      <c r="F453" s="4">
        <v>1.7361111111111112E-4</v>
      </c>
      <c r="G453" s="4">
        <v>0.5680555555555564</v>
      </c>
      <c r="H453" s="4" t="s">
        <v>2004</v>
      </c>
      <c r="I453" s="4"/>
      <c r="J453" s="4"/>
      <c r="K453" s="4" t="s">
        <v>151</v>
      </c>
      <c r="L453" s="4" t="s">
        <v>77</v>
      </c>
      <c r="M453" s="4"/>
      <c r="N453" s="4"/>
      <c r="O453" s="4" t="s">
        <v>7562</v>
      </c>
      <c r="P453" s="4"/>
      <c r="Q453" s="4"/>
      <c r="R453" s="4"/>
      <c r="S453" s="4"/>
      <c r="T453" s="4"/>
      <c r="U453" s="4">
        <v>0.0</v>
      </c>
      <c r="V453" s="4"/>
      <c r="W453" s="4"/>
      <c r="X453" s="4"/>
      <c r="Y453" s="4"/>
      <c r="Z453" s="4"/>
      <c r="AA453" s="4"/>
    </row>
    <row r="454">
      <c r="A454" s="4" t="s">
        <v>7563</v>
      </c>
      <c r="B454" s="4" t="s">
        <v>16</v>
      </c>
      <c r="C454" s="4" t="s">
        <v>6838</v>
      </c>
      <c r="D454" s="4">
        <v>44005.0</v>
      </c>
      <c r="E454" s="4">
        <v>0.5680555555555564</v>
      </c>
      <c r="F454" s="4">
        <v>1.7361111111111112E-4</v>
      </c>
      <c r="G454" s="4">
        <v>0.5682291666666676</v>
      </c>
      <c r="H454" s="4" t="s">
        <v>1944</v>
      </c>
      <c r="I454" s="4"/>
      <c r="J454" s="4"/>
      <c r="K454" s="4" t="s">
        <v>151</v>
      </c>
      <c r="L454" s="4" t="s">
        <v>81</v>
      </c>
      <c r="M454" s="4"/>
      <c r="N454" s="4"/>
      <c r="O454" s="4" t="s">
        <v>81</v>
      </c>
      <c r="P454" s="4"/>
      <c r="Q454" s="4"/>
      <c r="R454" s="4"/>
      <c r="S454" s="4"/>
      <c r="T454" s="4"/>
      <c r="U454" s="4"/>
      <c r="V454" s="4"/>
      <c r="W454" s="4"/>
      <c r="X454" s="4"/>
      <c r="Y454" s="4"/>
      <c r="Z454" s="4"/>
      <c r="AA454" s="4"/>
    </row>
    <row r="455">
      <c r="A455" s="4" t="s">
        <v>7564</v>
      </c>
      <c r="B455" s="4" t="s">
        <v>16</v>
      </c>
      <c r="C455" s="4" t="s">
        <v>6838</v>
      </c>
      <c r="D455" s="4">
        <v>44005.0</v>
      </c>
      <c r="E455" s="4">
        <v>0.5682291666666676</v>
      </c>
      <c r="F455" s="4">
        <v>0.010416666666666666</v>
      </c>
      <c r="G455" s="4">
        <v>0.5786458333333342</v>
      </c>
      <c r="H455" s="4" t="s">
        <v>1631</v>
      </c>
      <c r="I455" s="4" t="s">
        <v>6960</v>
      </c>
      <c r="J455" s="4" t="s">
        <v>7059</v>
      </c>
      <c r="K455" s="4" t="s">
        <v>151</v>
      </c>
      <c r="L455" s="4" t="s">
        <v>74</v>
      </c>
      <c r="M455" s="4" t="s">
        <v>7505</v>
      </c>
      <c r="N455" s="4" t="s">
        <v>6749</v>
      </c>
      <c r="O455" s="4" t="s">
        <v>532</v>
      </c>
      <c r="P455" s="4" t="s">
        <v>533</v>
      </c>
      <c r="Q455" s="4" t="s">
        <v>361</v>
      </c>
      <c r="R455" s="4" t="s">
        <v>361</v>
      </c>
      <c r="S455" s="4"/>
      <c r="T455" s="4" t="s">
        <v>7565</v>
      </c>
      <c r="U455" s="4">
        <v>4.0</v>
      </c>
      <c r="V455" s="4" t="s">
        <v>7566</v>
      </c>
      <c r="W455" s="4" t="s">
        <v>7136</v>
      </c>
      <c r="X455" s="4"/>
      <c r="Y455" s="4"/>
      <c r="Z455" s="4"/>
      <c r="AA455" s="4"/>
    </row>
    <row r="456">
      <c r="A456" s="4" t="s">
        <v>7567</v>
      </c>
      <c r="B456" s="4" t="s">
        <v>16</v>
      </c>
      <c r="C456" s="4" t="s">
        <v>6838</v>
      </c>
      <c r="D456" s="4">
        <v>44005.0</v>
      </c>
      <c r="E456" s="4">
        <v>0.5786458333333342</v>
      </c>
      <c r="F456" s="4">
        <v>1.7361111111111112E-4</v>
      </c>
      <c r="G456" s="4">
        <v>0.5788194444444453</v>
      </c>
      <c r="H456" s="4" t="s">
        <v>1944</v>
      </c>
      <c r="I456" s="4"/>
      <c r="J456" s="4"/>
      <c r="K456" s="4" t="s">
        <v>151</v>
      </c>
      <c r="L456" s="4" t="s">
        <v>85</v>
      </c>
      <c r="M456" s="4"/>
      <c r="N456" s="4"/>
      <c r="O456" s="4" t="s">
        <v>85</v>
      </c>
      <c r="P456" s="4"/>
      <c r="Q456" s="4"/>
      <c r="R456" s="4"/>
      <c r="S456" s="4"/>
      <c r="T456" s="4"/>
      <c r="U456" s="4">
        <v>0.0</v>
      </c>
      <c r="V456" s="4"/>
      <c r="W456" s="4"/>
      <c r="X456" s="4"/>
      <c r="Y456" s="4"/>
      <c r="Z456" s="4"/>
      <c r="AA456" s="4"/>
    </row>
    <row r="457">
      <c r="A457" s="4" t="s">
        <v>7568</v>
      </c>
      <c r="B457" s="4" t="s">
        <v>16</v>
      </c>
      <c r="C457" s="4" t="s">
        <v>6838</v>
      </c>
      <c r="D457" s="4">
        <v>44005.0</v>
      </c>
      <c r="E457" s="4">
        <v>0.5788194444444453</v>
      </c>
      <c r="F457" s="4">
        <v>3.4722222222222224E-4</v>
      </c>
      <c r="G457" s="4">
        <v>0.5791666666666676</v>
      </c>
      <c r="H457" s="4" t="s">
        <v>1944</v>
      </c>
      <c r="I457" s="4"/>
      <c r="J457" s="4"/>
      <c r="K457" s="4" t="s">
        <v>151</v>
      </c>
      <c r="L457" s="4" t="s">
        <v>89</v>
      </c>
      <c r="M457" s="4"/>
      <c r="N457" s="4"/>
      <c r="O457" s="4" t="s">
        <v>89</v>
      </c>
      <c r="P457" s="4"/>
      <c r="Q457" s="4"/>
      <c r="R457" s="4"/>
      <c r="S457" s="4"/>
      <c r="T457" s="4"/>
      <c r="U457" s="4"/>
      <c r="V457" s="4"/>
      <c r="W457" s="4"/>
      <c r="X457" s="4"/>
      <c r="Y457" s="4"/>
      <c r="Z457" s="4"/>
      <c r="AA457" s="4"/>
    </row>
    <row r="458">
      <c r="A458" s="4"/>
      <c r="B458" s="4" t="s">
        <v>16</v>
      </c>
      <c r="C458" s="4" t="s">
        <v>6838</v>
      </c>
      <c r="D458" s="4">
        <v>44005.0</v>
      </c>
      <c r="E458" s="4">
        <v>0.5791666666666676</v>
      </c>
      <c r="F458" s="4">
        <v>3.4722222222222224E-4</v>
      </c>
      <c r="G458" s="4">
        <v>0.5795138888888899</v>
      </c>
      <c r="H458" s="4" t="s">
        <v>1215</v>
      </c>
      <c r="I458" s="4"/>
      <c r="J458" s="4"/>
      <c r="K458" s="4" t="s">
        <v>151</v>
      </c>
      <c r="L458" s="4" t="s">
        <v>506</v>
      </c>
      <c r="M458" s="4"/>
      <c r="N458" s="4"/>
      <c r="O458" s="4" t="s">
        <v>7569</v>
      </c>
      <c r="P458" s="4"/>
      <c r="Q458" s="4"/>
      <c r="R458" s="4"/>
      <c r="S458" s="4"/>
      <c r="T458" s="4"/>
      <c r="U458" s="4"/>
      <c r="V458" s="4"/>
      <c r="W458" s="4"/>
      <c r="X458" s="4"/>
      <c r="Y458" s="4"/>
      <c r="Z458" s="4"/>
      <c r="AA458" s="4"/>
    </row>
    <row r="459">
      <c r="A459" s="4" t="s">
        <v>7570</v>
      </c>
      <c r="B459" s="4" t="s">
        <v>16</v>
      </c>
      <c r="C459" s="4" t="s">
        <v>6838</v>
      </c>
      <c r="D459" s="4">
        <v>44005.0</v>
      </c>
      <c r="E459" s="4">
        <v>0.5795138888888899</v>
      </c>
      <c r="F459" s="4">
        <v>3.4722222222222224E-4</v>
      </c>
      <c r="G459" s="4">
        <v>0.5798611111111122</v>
      </c>
      <c r="H459" s="4" t="s">
        <v>1215</v>
      </c>
      <c r="I459" s="4"/>
      <c r="J459" s="4"/>
      <c r="K459" s="4" t="s">
        <v>151</v>
      </c>
      <c r="L459" s="4" t="s">
        <v>506</v>
      </c>
      <c r="M459" s="4"/>
      <c r="N459" s="4"/>
      <c r="O459" s="4" t="s">
        <v>7571</v>
      </c>
      <c r="P459" s="4"/>
      <c r="Q459" s="4"/>
      <c r="R459" s="4"/>
      <c r="S459" s="4"/>
      <c r="T459" s="4"/>
      <c r="U459" s="4">
        <v>0.0</v>
      </c>
      <c r="V459" s="4"/>
      <c r="W459" s="4"/>
      <c r="X459" s="4"/>
      <c r="Y459" s="4"/>
      <c r="Z459" s="4"/>
      <c r="AA459" s="4"/>
    </row>
    <row r="460">
      <c r="A460" s="4" t="s">
        <v>7572</v>
      </c>
      <c r="B460" s="4" t="s">
        <v>16</v>
      </c>
      <c r="C460" s="4" t="s">
        <v>6838</v>
      </c>
      <c r="D460" s="4">
        <v>44005.0</v>
      </c>
      <c r="E460" s="4">
        <v>0.5798611111111122</v>
      </c>
      <c r="F460" s="4">
        <v>3.4722222222222224E-4</v>
      </c>
      <c r="G460" s="4">
        <v>0.5802083333333344</v>
      </c>
      <c r="H460" s="4" t="s">
        <v>1944</v>
      </c>
      <c r="I460" s="4"/>
      <c r="J460" s="4"/>
      <c r="K460" s="4" t="s">
        <v>151</v>
      </c>
      <c r="L460" s="4" t="s">
        <v>81</v>
      </c>
      <c r="M460" s="4"/>
      <c r="N460" s="4"/>
      <c r="O460" s="4" t="s">
        <v>81</v>
      </c>
      <c r="P460" s="4"/>
      <c r="Q460" s="4"/>
      <c r="R460" s="4"/>
      <c r="S460" s="4"/>
      <c r="T460" s="4"/>
      <c r="U460" s="4">
        <v>0.0</v>
      </c>
      <c r="V460" s="4"/>
      <c r="W460" s="4"/>
      <c r="X460" s="4"/>
      <c r="Y460" s="4"/>
      <c r="Z460" s="4"/>
      <c r="AA460" s="4"/>
    </row>
    <row r="461">
      <c r="A461" s="4" t="s">
        <v>7573</v>
      </c>
      <c r="B461" s="4" t="s">
        <v>16</v>
      </c>
      <c r="C461" s="4" t="s">
        <v>6838</v>
      </c>
      <c r="D461" s="4">
        <v>44005.0</v>
      </c>
      <c r="E461" s="4">
        <v>0.5802083333333344</v>
      </c>
      <c r="F461" s="4">
        <v>0.0020833333333333333</v>
      </c>
      <c r="G461" s="4">
        <v>0.5822916666666678</v>
      </c>
      <c r="H461" s="4" t="s">
        <v>630</v>
      </c>
      <c r="I461" s="4" t="s">
        <v>314</v>
      </c>
      <c r="J461" s="4" t="s">
        <v>15</v>
      </c>
      <c r="K461" s="4" t="s">
        <v>151</v>
      </c>
      <c r="L461" s="4" t="s">
        <v>165</v>
      </c>
      <c r="M461" s="4" t="s">
        <v>7574</v>
      </c>
      <c r="N461" s="4" t="s">
        <v>7195</v>
      </c>
      <c r="O461" s="4" t="s">
        <v>549</v>
      </c>
      <c r="P461" s="4" t="s">
        <v>550</v>
      </c>
      <c r="Q461" s="4"/>
      <c r="R461" s="4"/>
      <c r="S461" s="4"/>
      <c r="T461" s="4"/>
      <c r="U461" s="4">
        <v>1.0</v>
      </c>
      <c r="V461" s="4" t="s">
        <v>7575</v>
      </c>
      <c r="W461" s="4" t="s">
        <v>7197</v>
      </c>
      <c r="X461" s="4" t="s">
        <v>7576</v>
      </c>
      <c r="Y461" s="4" t="s">
        <v>7199</v>
      </c>
      <c r="Z461" s="4" t="s">
        <v>630</v>
      </c>
      <c r="AA461" s="4"/>
    </row>
    <row r="462">
      <c r="A462" s="4" t="s">
        <v>7577</v>
      </c>
      <c r="B462" s="4" t="s">
        <v>16</v>
      </c>
      <c r="C462" s="4" t="s">
        <v>6838</v>
      </c>
      <c r="D462" s="4">
        <v>44005.0</v>
      </c>
      <c r="E462" s="4">
        <v>0.5822916666666678</v>
      </c>
      <c r="F462" s="4">
        <v>1.7361111111111112E-4</v>
      </c>
      <c r="G462" s="4">
        <v>0.5824652777777789</v>
      </c>
      <c r="H462" s="4" t="s">
        <v>1944</v>
      </c>
      <c r="I462" s="4"/>
      <c r="J462" s="4"/>
      <c r="K462" s="4" t="s">
        <v>151</v>
      </c>
      <c r="L462" s="4" t="s">
        <v>85</v>
      </c>
      <c r="M462" s="4"/>
      <c r="N462" s="4"/>
      <c r="O462" s="4" t="s">
        <v>85</v>
      </c>
      <c r="P462" s="4"/>
      <c r="Q462" s="4"/>
      <c r="R462" s="4"/>
      <c r="S462" s="4"/>
      <c r="T462" s="4"/>
      <c r="U462" s="4">
        <v>0.0</v>
      </c>
      <c r="V462" s="4"/>
      <c r="W462" s="4"/>
      <c r="X462" s="4"/>
      <c r="Y462" s="4"/>
      <c r="Z462" s="4"/>
      <c r="AA462" s="4"/>
    </row>
    <row r="463">
      <c r="A463" s="4" t="s">
        <v>7578</v>
      </c>
      <c r="B463" s="4" t="s">
        <v>16</v>
      </c>
      <c r="C463" s="4" t="s">
        <v>6838</v>
      </c>
      <c r="D463" s="4">
        <v>44005.0</v>
      </c>
      <c r="E463" s="4">
        <v>0.5824652777777789</v>
      </c>
      <c r="F463" s="4">
        <v>1.7361111111111112E-4</v>
      </c>
      <c r="G463" s="4">
        <v>0.58263888888889</v>
      </c>
      <c r="H463" s="4" t="s">
        <v>2004</v>
      </c>
      <c r="I463" s="4"/>
      <c r="J463" s="4"/>
      <c r="K463" s="4" t="s">
        <v>151</v>
      </c>
      <c r="L463" s="4" t="s">
        <v>77</v>
      </c>
      <c r="M463" s="4"/>
      <c r="N463" s="4"/>
      <c r="O463" s="4" t="s">
        <v>7579</v>
      </c>
      <c r="P463" s="4"/>
      <c r="Q463" s="4"/>
      <c r="R463" s="4"/>
      <c r="S463" s="4"/>
      <c r="T463" s="4"/>
      <c r="U463" s="4"/>
      <c r="V463" s="4"/>
      <c r="W463" s="4"/>
      <c r="X463" s="4"/>
      <c r="Y463" s="4"/>
      <c r="Z463" s="4"/>
      <c r="AA463" s="4"/>
    </row>
    <row r="464">
      <c r="A464" s="4" t="s">
        <v>7580</v>
      </c>
      <c r="B464" s="4" t="s">
        <v>16</v>
      </c>
      <c r="C464" s="4" t="s">
        <v>6838</v>
      </c>
      <c r="D464" s="4">
        <v>44005.0</v>
      </c>
      <c r="E464" s="4">
        <v>0.58263888888889</v>
      </c>
      <c r="F464" s="4">
        <v>3.4722222222222224E-4</v>
      </c>
      <c r="G464" s="4">
        <v>0.5829861111111123</v>
      </c>
      <c r="H464" s="4" t="s">
        <v>1215</v>
      </c>
      <c r="I464" s="4"/>
      <c r="J464" s="4"/>
      <c r="K464" s="4" t="s">
        <v>151</v>
      </c>
      <c r="L464" s="4" t="s">
        <v>506</v>
      </c>
      <c r="M464" s="4"/>
      <c r="N464" s="4"/>
      <c r="O464" s="4" t="s">
        <v>7581</v>
      </c>
      <c r="P464" s="4"/>
      <c r="Q464" s="4"/>
      <c r="R464" s="4"/>
      <c r="S464" s="4"/>
      <c r="T464" s="4"/>
      <c r="U464" s="4"/>
      <c r="V464" s="4"/>
      <c r="W464" s="4"/>
      <c r="X464" s="4"/>
      <c r="Y464" s="4"/>
      <c r="Z464" s="4"/>
      <c r="AA464" s="4"/>
    </row>
    <row r="465">
      <c r="A465" s="4" t="s">
        <v>7582</v>
      </c>
      <c r="B465" s="4" t="s">
        <v>16</v>
      </c>
      <c r="C465" s="4" t="s">
        <v>6838</v>
      </c>
      <c r="D465" s="4">
        <v>44005.0</v>
      </c>
      <c r="E465" s="4">
        <v>0.5829861111111123</v>
      </c>
      <c r="F465" s="4">
        <v>3.4722222222222224E-4</v>
      </c>
      <c r="G465" s="4">
        <v>0.5833333333333346</v>
      </c>
      <c r="H465" s="4" t="s">
        <v>1944</v>
      </c>
      <c r="I465" s="4"/>
      <c r="J465" s="4"/>
      <c r="K465" s="4" t="s">
        <v>151</v>
      </c>
      <c r="L465" s="4" t="s">
        <v>89</v>
      </c>
      <c r="M465" s="4"/>
      <c r="N465" s="4"/>
      <c r="O465" s="4" t="s">
        <v>89</v>
      </c>
      <c r="P465" s="4"/>
      <c r="Q465" s="4"/>
      <c r="R465" s="4"/>
      <c r="S465" s="4"/>
      <c r="T465" s="4"/>
      <c r="U465" s="4"/>
      <c r="V465" s="4"/>
      <c r="W465" s="4"/>
      <c r="X465" s="4"/>
      <c r="Y465" s="4"/>
      <c r="Z465" s="4"/>
      <c r="AA465" s="4"/>
    </row>
    <row r="466">
      <c r="A466" s="4" t="s">
        <v>7583</v>
      </c>
      <c r="B466" s="4" t="s">
        <v>16</v>
      </c>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c r="A467" s="4" t="s">
        <v>7584</v>
      </c>
      <c r="B467" s="4" t="s">
        <v>16</v>
      </c>
      <c r="C467" s="4" t="s">
        <v>6838</v>
      </c>
      <c r="D467" s="4">
        <v>44005.0</v>
      </c>
      <c r="E467" s="4">
        <v>0.5833333333333346</v>
      </c>
      <c r="F467" s="4">
        <v>3.4722222222222224E-4</v>
      </c>
      <c r="G467" s="4">
        <v>0.5836805555555569</v>
      </c>
      <c r="H467" s="4" t="s">
        <v>1944</v>
      </c>
      <c r="I467" s="4"/>
      <c r="J467" s="4"/>
      <c r="K467" s="4" t="s">
        <v>93</v>
      </c>
      <c r="L467" s="4" t="s">
        <v>81</v>
      </c>
      <c r="M467" s="4"/>
      <c r="N467" s="4"/>
      <c r="O467" s="4" t="s">
        <v>81</v>
      </c>
      <c r="P467" s="4"/>
      <c r="Q467" s="4"/>
      <c r="R467" s="4"/>
      <c r="S467" s="4"/>
      <c r="T467" s="4"/>
      <c r="U467" s="4">
        <v>0.0</v>
      </c>
      <c r="V467" s="4"/>
      <c r="W467" s="4"/>
      <c r="X467" s="4"/>
      <c r="Y467" s="4"/>
      <c r="Z467" s="4"/>
      <c r="AA467" s="4"/>
    </row>
    <row r="468">
      <c r="A468" s="4" t="s">
        <v>7585</v>
      </c>
      <c r="B468" s="4" t="s">
        <v>16</v>
      </c>
      <c r="C468" s="4" t="s">
        <v>6838</v>
      </c>
      <c r="D468" s="4">
        <v>44005.0</v>
      </c>
      <c r="E468" s="4">
        <v>0.5836805555555569</v>
      </c>
      <c r="F468" s="4">
        <v>0.011111111111111112</v>
      </c>
      <c r="G468" s="4">
        <v>0.5947916666666679</v>
      </c>
      <c r="H468" s="4" t="s">
        <v>972</v>
      </c>
      <c r="I468" s="4" t="s">
        <v>4142</v>
      </c>
      <c r="J468" s="4" t="s">
        <v>6870</v>
      </c>
      <c r="K468" s="4" t="s">
        <v>93</v>
      </c>
      <c r="L468" s="4" t="s">
        <v>74</v>
      </c>
      <c r="M468" s="4" t="s">
        <v>7126</v>
      </c>
      <c r="N468" s="4" t="s">
        <v>6702</v>
      </c>
      <c r="O468" s="4" t="s">
        <v>553</v>
      </c>
      <c r="P468" s="4" t="s">
        <v>554</v>
      </c>
      <c r="Q468" s="4" t="s">
        <v>555</v>
      </c>
      <c r="R468" s="4" t="s">
        <v>556</v>
      </c>
      <c r="S468" s="4"/>
      <c r="T468" s="4" t="s">
        <v>557</v>
      </c>
      <c r="U468" s="4">
        <v>4.0</v>
      </c>
      <c r="V468" s="4" t="s">
        <v>7586</v>
      </c>
      <c r="W468" s="4" t="s">
        <v>6872</v>
      </c>
      <c r="X468" s="4"/>
      <c r="Y468" s="4"/>
      <c r="Z468" s="4" t="s">
        <v>972</v>
      </c>
      <c r="AA468" s="4"/>
    </row>
    <row r="469">
      <c r="A469" s="4" t="s">
        <v>7587</v>
      </c>
      <c r="B469" s="4" t="s">
        <v>16</v>
      </c>
      <c r="C469" s="4" t="s">
        <v>6838</v>
      </c>
      <c r="D469" s="4">
        <v>44005.0</v>
      </c>
      <c r="E469" s="4">
        <v>0.5947916666666679</v>
      </c>
      <c r="F469" s="4">
        <v>1.7361111111111112E-4</v>
      </c>
      <c r="G469" s="4">
        <v>0.5949652777777791</v>
      </c>
      <c r="H469" s="4" t="s">
        <v>1944</v>
      </c>
      <c r="I469" s="4"/>
      <c r="J469" s="4"/>
      <c r="K469" s="4" t="s">
        <v>93</v>
      </c>
      <c r="L469" s="4" t="s">
        <v>85</v>
      </c>
      <c r="M469" s="4"/>
      <c r="N469" s="4"/>
      <c r="O469" s="4" t="s">
        <v>85</v>
      </c>
      <c r="P469" s="4"/>
      <c r="Q469" s="4"/>
      <c r="R469" s="4"/>
      <c r="S469" s="4"/>
      <c r="T469" s="4"/>
      <c r="U469" s="4">
        <v>0.0</v>
      </c>
      <c r="V469" s="4"/>
      <c r="W469" s="4"/>
      <c r="X469" s="4"/>
      <c r="Y469" s="4"/>
      <c r="Z469" s="4"/>
      <c r="AA469" s="4"/>
    </row>
    <row r="470">
      <c r="A470" s="4"/>
      <c r="B470" s="4" t="s">
        <v>16</v>
      </c>
      <c r="C470" s="4" t="s">
        <v>6838</v>
      </c>
      <c r="D470" s="4">
        <v>44005.0</v>
      </c>
      <c r="E470" s="4">
        <v>0.5949652777777791</v>
      </c>
      <c r="F470" s="4">
        <v>3.4722222222222224E-4</v>
      </c>
      <c r="G470" s="4">
        <v>0.5953125000000014</v>
      </c>
      <c r="H470" s="4" t="s">
        <v>1944</v>
      </c>
      <c r="I470" s="4"/>
      <c r="J470" s="4"/>
      <c r="K470" s="4"/>
      <c r="L470" s="4" t="s">
        <v>89</v>
      </c>
      <c r="M470" s="4"/>
      <c r="N470" s="4"/>
      <c r="O470" s="4" t="s">
        <v>89</v>
      </c>
      <c r="P470" s="4"/>
      <c r="Q470" s="4"/>
      <c r="R470" s="4"/>
      <c r="S470" s="4"/>
      <c r="T470" s="4"/>
      <c r="U470" s="4"/>
      <c r="V470" s="4"/>
      <c r="W470" s="4"/>
      <c r="X470" s="4"/>
      <c r="Y470" s="4"/>
      <c r="Z470" s="4"/>
      <c r="AA470" s="4"/>
    </row>
    <row r="471">
      <c r="A471" s="4" t="s">
        <v>7588</v>
      </c>
      <c r="B471" s="4" t="s">
        <v>16</v>
      </c>
      <c r="C471" s="4" t="s">
        <v>6838</v>
      </c>
      <c r="D471" s="4">
        <v>44005.0</v>
      </c>
      <c r="E471" s="4">
        <v>0.5953125000000014</v>
      </c>
      <c r="F471" s="4">
        <v>3.4722222222222224E-4</v>
      </c>
      <c r="G471" s="4">
        <v>0.5956597222222236</v>
      </c>
      <c r="H471" s="4" t="s">
        <v>1944</v>
      </c>
      <c r="I471" s="4"/>
      <c r="J471" s="4"/>
      <c r="K471" s="4" t="s">
        <v>93</v>
      </c>
      <c r="L471" s="4" t="s">
        <v>511</v>
      </c>
      <c r="M471" s="4"/>
      <c r="N471" s="4"/>
      <c r="O471" s="4" t="s">
        <v>511</v>
      </c>
      <c r="P471" s="4"/>
      <c r="Q471" s="4"/>
      <c r="R471" s="4"/>
      <c r="S471" s="4"/>
      <c r="T471" s="4"/>
      <c r="U471" s="4">
        <v>0.0</v>
      </c>
      <c r="V471" s="4"/>
      <c r="W471" s="4"/>
      <c r="X471" s="4"/>
      <c r="Y471" s="4"/>
      <c r="Z471" s="4"/>
      <c r="AA471" s="4"/>
    </row>
    <row r="472">
      <c r="A472" s="4" t="s">
        <v>7589</v>
      </c>
      <c r="B472" s="4" t="s">
        <v>16</v>
      </c>
      <c r="C472" s="4" t="s">
        <v>6838</v>
      </c>
      <c r="D472" s="4">
        <v>44005.0</v>
      </c>
      <c r="E472" s="4">
        <v>0.5956597222222236</v>
      </c>
      <c r="F472" s="4">
        <v>3.4722222222222224E-4</v>
      </c>
      <c r="G472" s="4">
        <v>0.5960069444444459</v>
      </c>
      <c r="H472" s="4" t="s">
        <v>1944</v>
      </c>
      <c r="I472" s="4"/>
      <c r="J472" s="4"/>
      <c r="K472" s="4" t="s">
        <v>93</v>
      </c>
      <c r="L472" s="4" t="s">
        <v>81</v>
      </c>
      <c r="M472" s="4"/>
      <c r="N472" s="4"/>
      <c r="O472" s="4" t="s">
        <v>81</v>
      </c>
      <c r="P472" s="4"/>
      <c r="Q472" s="4"/>
      <c r="R472" s="4"/>
      <c r="S472" s="4"/>
      <c r="T472" s="4"/>
      <c r="U472" s="4">
        <v>0.0</v>
      </c>
      <c r="V472" s="4"/>
      <c r="W472" s="4"/>
      <c r="X472" s="4"/>
      <c r="Y472" s="4"/>
      <c r="Z472" s="4"/>
      <c r="AA472" s="4"/>
    </row>
    <row r="473">
      <c r="A473" s="4" t="s">
        <v>7590</v>
      </c>
      <c r="B473" s="4" t="s">
        <v>16</v>
      </c>
      <c r="C473" s="4" t="s">
        <v>6838</v>
      </c>
      <c r="D473" s="4">
        <v>44005.0</v>
      </c>
      <c r="E473" s="4">
        <v>0.5960069444444459</v>
      </c>
      <c r="F473" s="4">
        <v>0.008333333333333333</v>
      </c>
      <c r="G473" s="4">
        <v>0.6043402777777792</v>
      </c>
      <c r="H473" s="4" t="s">
        <v>972</v>
      </c>
      <c r="I473" s="4" t="s">
        <v>4142</v>
      </c>
      <c r="J473" s="4" t="s">
        <v>6870</v>
      </c>
      <c r="K473" s="4" t="s">
        <v>93</v>
      </c>
      <c r="L473" s="4" t="s">
        <v>94</v>
      </c>
      <c r="M473" s="4" t="s">
        <v>7446</v>
      </c>
      <c r="N473" s="4" t="s">
        <v>6755</v>
      </c>
      <c r="O473" s="4" t="s">
        <v>7591</v>
      </c>
      <c r="P473" s="4" t="s">
        <v>559</v>
      </c>
      <c r="Q473" s="4"/>
      <c r="R473" s="4"/>
      <c r="S473" s="4"/>
      <c r="T473" s="4" t="s">
        <v>560</v>
      </c>
      <c r="U473" s="4">
        <v>2.0</v>
      </c>
      <c r="V473" s="4" t="s">
        <v>7592</v>
      </c>
      <c r="W473" s="4" t="s">
        <v>6855</v>
      </c>
      <c r="X473" s="4" t="s">
        <v>7593</v>
      </c>
      <c r="Y473" s="4" t="s">
        <v>7594</v>
      </c>
      <c r="Z473" s="4" t="s">
        <v>972</v>
      </c>
      <c r="AA473" s="4"/>
    </row>
    <row r="474">
      <c r="A474" s="4" t="s">
        <v>7595</v>
      </c>
      <c r="B474" s="4" t="s">
        <v>16</v>
      </c>
      <c r="C474" s="4" t="s">
        <v>6838</v>
      </c>
      <c r="D474" s="4">
        <v>44005.0</v>
      </c>
      <c r="E474" s="4">
        <v>0.6043402777777792</v>
      </c>
      <c r="F474" s="4">
        <v>1.7361111111111112E-4</v>
      </c>
      <c r="G474" s="4">
        <v>0.6045138888888903</v>
      </c>
      <c r="H474" s="4" t="s">
        <v>1944</v>
      </c>
      <c r="I474" s="4"/>
      <c r="J474" s="4"/>
      <c r="K474" s="4" t="s">
        <v>93</v>
      </c>
      <c r="L474" s="4" t="s">
        <v>85</v>
      </c>
      <c r="M474" s="4"/>
      <c r="N474" s="4"/>
      <c r="O474" s="4" t="s">
        <v>85</v>
      </c>
      <c r="P474" s="4"/>
      <c r="Q474" s="4"/>
      <c r="R474" s="4"/>
      <c r="S474" s="4"/>
      <c r="T474" s="4"/>
      <c r="U474" s="4">
        <v>0.0</v>
      </c>
      <c r="V474" s="4"/>
      <c r="W474" s="4"/>
      <c r="X474" s="4"/>
      <c r="Y474" s="4"/>
      <c r="Z474" s="4"/>
      <c r="AA474" s="4"/>
    </row>
    <row r="475">
      <c r="A475" s="4"/>
      <c r="B475" s="4" t="s">
        <v>16</v>
      </c>
      <c r="C475" s="4" t="s">
        <v>6838</v>
      </c>
      <c r="D475" s="4">
        <v>44005.0</v>
      </c>
      <c r="E475" s="4">
        <v>0.6045138888888903</v>
      </c>
      <c r="F475" s="4">
        <v>3.4722222222222224E-4</v>
      </c>
      <c r="G475" s="4">
        <v>0.6048611111111126</v>
      </c>
      <c r="H475" s="4" t="s">
        <v>1944</v>
      </c>
      <c r="I475" s="4"/>
      <c r="J475" s="4"/>
      <c r="K475" s="4" t="s">
        <v>93</v>
      </c>
      <c r="L475" s="4" t="s">
        <v>89</v>
      </c>
      <c r="M475" s="4"/>
      <c r="N475" s="4"/>
      <c r="O475" s="4" t="s">
        <v>89</v>
      </c>
      <c r="P475" s="4"/>
      <c r="Q475" s="4"/>
      <c r="R475" s="4"/>
      <c r="S475" s="4"/>
      <c r="T475" s="4"/>
      <c r="U475" s="4"/>
      <c r="V475" s="4"/>
      <c r="W475" s="4"/>
      <c r="X475" s="4"/>
      <c r="Y475" s="4"/>
      <c r="Z475" s="4"/>
      <c r="AA475" s="4"/>
    </row>
    <row r="476">
      <c r="A476" s="4" t="s">
        <v>7596</v>
      </c>
      <c r="B476" s="4" t="s">
        <v>16</v>
      </c>
      <c r="C476" s="4" t="s">
        <v>6838</v>
      </c>
      <c r="D476" s="4">
        <v>44005.0</v>
      </c>
      <c r="E476" s="4">
        <v>0.6048611111111126</v>
      </c>
      <c r="F476" s="4">
        <v>3.4722222222222224E-4</v>
      </c>
      <c r="G476" s="4">
        <v>0.6052083333333349</v>
      </c>
      <c r="H476" s="4" t="s">
        <v>1944</v>
      </c>
      <c r="I476" s="4"/>
      <c r="J476" s="4"/>
      <c r="K476" s="4" t="s">
        <v>93</v>
      </c>
      <c r="L476" s="4" t="s">
        <v>81</v>
      </c>
      <c r="M476" s="4"/>
      <c r="N476" s="4"/>
      <c r="O476" s="4" t="s">
        <v>81</v>
      </c>
      <c r="P476" s="4"/>
      <c r="Q476" s="4"/>
      <c r="R476" s="4"/>
      <c r="S476" s="4"/>
      <c r="T476" s="4"/>
      <c r="U476" s="4">
        <v>0.0</v>
      </c>
      <c r="V476" s="4"/>
      <c r="W476" s="4"/>
      <c r="X476" s="4"/>
      <c r="Y476" s="4"/>
      <c r="Z476" s="4"/>
      <c r="AA476" s="4"/>
    </row>
    <row r="477">
      <c r="A477" s="4" t="s">
        <v>7597</v>
      </c>
      <c r="B477" s="4" t="s">
        <v>16</v>
      </c>
      <c r="C477" s="4" t="s">
        <v>6838</v>
      </c>
      <c r="D477" s="4">
        <v>44005.0</v>
      </c>
      <c r="E477" s="4">
        <v>0.6052083333333349</v>
      </c>
      <c r="F477" s="4">
        <v>0.010416666666666666</v>
      </c>
      <c r="G477" s="4">
        <v>0.6156250000000015</v>
      </c>
      <c r="H477" s="4" t="s">
        <v>972</v>
      </c>
      <c r="I477" s="4" t="s">
        <v>4142</v>
      </c>
      <c r="J477" s="4" t="s">
        <v>6938</v>
      </c>
      <c r="K477" s="4" t="s">
        <v>93</v>
      </c>
      <c r="L477" s="4" t="s">
        <v>74</v>
      </c>
      <c r="M477" s="4" t="s">
        <v>7598</v>
      </c>
      <c r="N477" s="4" t="s">
        <v>6702</v>
      </c>
      <c r="O477" s="4" t="s">
        <v>561</v>
      </c>
      <c r="P477" s="4" t="s">
        <v>433</v>
      </c>
      <c r="Q477" s="4" t="s">
        <v>562</v>
      </c>
      <c r="R477" s="4" t="s">
        <v>7565</v>
      </c>
      <c r="S477" s="4"/>
      <c r="T477" s="4" t="s">
        <v>7599</v>
      </c>
      <c r="U477" s="4">
        <v>4.0</v>
      </c>
      <c r="V477" s="4" t="s">
        <v>7600</v>
      </c>
      <c r="W477" s="4" t="s">
        <v>6911</v>
      </c>
      <c r="X477" s="4">
        <v>43973.0</v>
      </c>
      <c r="Y477" s="4"/>
      <c r="Z477" s="4" t="s">
        <v>972</v>
      </c>
      <c r="AA477" s="4"/>
    </row>
    <row r="478">
      <c r="A478" s="4" t="s">
        <v>7601</v>
      </c>
      <c r="B478" s="4" t="s">
        <v>16</v>
      </c>
      <c r="C478" s="4" t="s">
        <v>6838</v>
      </c>
      <c r="D478" s="4">
        <v>44005.0</v>
      </c>
      <c r="E478" s="4">
        <v>0.6156250000000015</v>
      </c>
      <c r="F478" s="4">
        <v>1.7361111111111112E-4</v>
      </c>
      <c r="G478" s="4">
        <v>0.6157986111111127</v>
      </c>
      <c r="H478" s="4" t="s">
        <v>1944</v>
      </c>
      <c r="I478" s="4"/>
      <c r="J478" s="4"/>
      <c r="K478" s="4" t="s">
        <v>93</v>
      </c>
      <c r="L478" s="4" t="s">
        <v>85</v>
      </c>
      <c r="M478" s="4"/>
      <c r="N478" s="4"/>
      <c r="O478" s="4" t="s">
        <v>85</v>
      </c>
      <c r="P478" s="4"/>
      <c r="Q478" s="4"/>
      <c r="R478" s="4"/>
      <c r="S478" s="4"/>
      <c r="T478" s="4"/>
      <c r="U478" s="4">
        <v>0.0</v>
      </c>
      <c r="V478" s="4"/>
      <c r="W478" s="4"/>
      <c r="X478" s="4"/>
      <c r="Y478" s="4"/>
      <c r="Z478" s="4"/>
      <c r="AA478" s="4"/>
    </row>
    <row r="479">
      <c r="A479" s="4" t="s">
        <v>7602</v>
      </c>
      <c r="B479" s="4" t="s">
        <v>16</v>
      </c>
      <c r="C479" s="4" t="s">
        <v>6838</v>
      </c>
      <c r="D479" s="4">
        <v>44005.0</v>
      </c>
      <c r="E479" s="4">
        <v>0.6157986111111127</v>
      </c>
      <c r="F479" s="4">
        <v>3.4722222222222224E-4</v>
      </c>
      <c r="G479" s="4">
        <v>0.616145833333335</v>
      </c>
      <c r="H479" s="4" t="s">
        <v>1944</v>
      </c>
      <c r="I479" s="4"/>
      <c r="J479" s="4"/>
      <c r="K479" s="4" t="s">
        <v>93</v>
      </c>
      <c r="L479" s="4" t="s">
        <v>81</v>
      </c>
      <c r="M479" s="4"/>
      <c r="N479" s="4"/>
      <c r="O479" s="4" t="s">
        <v>81</v>
      </c>
      <c r="P479" s="4"/>
      <c r="Q479" s="4"/>
      <c r="R479" s="4"/>
      <c r="S479" s="4"/>
      <c r="T479" s="4"/>
      <c r="U479" s="4">
        <v>0.0</v>
      </c>
      <c r="V479" s="4"/>
      <c r="W479" s="4"/>
      <c r="X479" s="4"/>
      <c r="Y479" s="4"/>
      <c r="Z479" s="4"/>
      <c r="AA479" s="4"/>
    </row>
    <row r="480">
      <c r="A480" s="4" t="s">
        <v>7603</v>
      </c>
      <c r="B480" s="4" t="s">
        <v>16</v>
      </c>
      <c r="C480" s="4" t="s">
        <v>6838</v>
      </c>
      <c r="D480" s="4">
        <v>44005.0</v>
      </c>
      <c r="E480" s="4">
        <v>0.616145833333335</v>
      </c>
      <c r="F480" s="4">
        <v>0.008333333333333333</v>
      </c>
      <c r="G480" s="4">
        <v>0.6244791666666683</v>
      </c>
      <c r="H480" s="4" t="s">
        <v>972</v>
      </c>
      <c r="I480" s="4" t="s">
        <v>4142</v>
      </c>
      <c r="J480" s="4" t="s">
        <v>6870</v>
      </c>
      <c r="K480" s="4" t="s">
        <v>93</v>
      </c>
      <c r="L480" s="4" t="s">
        <v>107</v>
      </c>
      <c r="M480" s="4" t="s">
        <v>7462</v>
      </c>
      <c r="N480" s="4" t="s">
        <v>6749</v>
      </c>
      <c r="O480" s="4" t="s">
        <v>564</v>
      </c>
      <c r="P480" s="4" t="s">
        <v>565</v>
      </c>
      <c r="Q480" s="4" t="s">
        <v>566</v>
      </c>
      <c r="R480" s="4"/>
      <c r="S480" s="4"/>
      <c r="T480" s="4" t="s">
        <v>567</v>
      </c>
      <c r="U480" s="4">
        <v>3.0</v>
      </c>
      <c r="V480" s="4" t="s">
        <v>7604</v>
      </c>
      <c r="W480" s="4" t="s">
        <v>7088</v>
      </c>
      <c r="X480" s="4"/>
      <c r="Y480" s="4"/>
      <c r="Z480" s="4" t="s">
        <v>972</v>
      </c>
      <c r="AA480" s="4"/>
    </row>
    <row r="481">
      <c r="A481" s="4" t="s">
        <v>7605</v>
      </c>
      <c r="B481" s="4" t="s">
        <v>16</v>
      </c>
      <c r="C481" s="4" t="s">
        <v>6838</v>
      </c>
      <c r="D481" s="4">
        <v>44005.0</v>
      </c>
      <c r="E481" s="4">
        <v>0.6244791666666683</v>
      </c>
      <c r="F481" s="4">
        <v>1.7361111111111112E-4</v>
      </c>
      <c r="G481" s="4">
        <v>0.6246527777777794</v>
      </c>
      <c r="H481" s="4" t="s">
        <v>1944</v>
      </c>
      <c r="I481" s="4"/>
      <c r="J481" s="4"/>
      <c r="K481" s="4" t="s">
        <v>93</v>
      </c>
      <c r="L481" s="4" t="s">
        <v>85</v>
      </c>
      <c r="M481" s="4"/>
      <c r="N481" s="4"/>
      <c r="O481" s="4" t="s">
        <v>85</v>
      </c>
      <c r="P481" s="4"/>
      <c r="Q481" s="4"/>
      <c r="R481" s="4"/>
      <c r="S481" s="4"/>
      <c r="T481" s="4"/>
      <c r="U481" s="4">
        <v>0.0</v>
      </c>
      <c r="V481" s="4"/>
      <c r="W481" s="4"/>
      <c r="X481" s="4"/>
      <c r="Y481" s="4"/>
      <c r="Z481" s="4"/>
      <c r="AA481" s="4"/>
    </row>
    <row r="482">
      <c r="A482" s="4" t="s">
        <v>7606</v>
      </c>
      <c r="B482" s="4" t="s">
        <v>16</v>
      </c>
      <c r="C482" s="4" t="s">
        <v>6838</v>
      </c>
      <c r="D482" s="4">
        <v>44005.0</v>
      </c>
      <c r="E482" s="4">
        <v>0.6246527777777794</v>
      </c>
      <c r="F482" s="4">
        <v>3.4722222222222224E-4</v>
      </c>
      <c r="G482" s="4">
        <v>0.6250000000000017</v>
      </c>
      <c r="H482" s="4" t="s">
        <v>1944</v>
      </c>
      <c r="I482" s="4"/>
      <c r="J482" s="4"/>
      <c r="K482" s="4" t="s">
        <v>93</v>
      </c>
      <c r="L482" s="4" t="s">
        <v>89</v>
      </c>
      <c r="M482" s="4"/>
      <c r="N482" s="4"/>
      <c r="O482" s="4" t="s">
        <v>89</v>
      </c>
      <c r="P482" s="4"/>
      <c r="Q482" s="4"/>
      <c r="R482" s="4"/>
      <c r="S482" s="4"/>
      <c r="T482" s="4"/>
      <c r="U482" s="4">
        <v>0.0</v>
      </c>
      <c r="V482" s="4"/>
      <c r="W482" s="4"/>
      <c r="X482" s="4"/>
      <c r="Y482" s="4"/>
      <c r="Z482" s="4"/>
      <c r="AA482" s="4"/>
    </row>
    <row r="483">
      <c r="A483" s="4" t="s">
        <v>7607</v>
      </c>
      <c r="B483" s="4" t="s">
        <v>16</v>
      </c>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c r="A484" s="4" t="s">
        <v>7608</v>
      </c>
      <c r="B484" s="4" t="s">
        <v>16</v>
      </c>
      <c r="C484" s="4" t="s">
        <v>6838</v>
      </c>
      <c r="D484" s="4">
        <v>44005.0</v>
      </c>
      <c r="E484" s="4">
        <v>0.6250000000000017</v>
      </c>
      <c r="F484" s="4">
        <v>3.4722222222222224E-4</v>
      </c>
      <c r="G484" s="4">
        <v>0.6253472222222239</v>
      </c>
      <c r="H484" s="4" t="s">
        <v>1944</v>
      </c>
      <c r="I484" s="4"/>
      <c r="J484" s="4"/>
      <c r="K484" s="4" t="s">
        <v>481</v>
      </c>
      <c r="L484" s="4" t="s">
        <v>81</v>
      </c>
      <c r="M484" s="4"/>
      <c r="N484" s="4"/>
      <c r="O484" s="4" t="s">
        <v>81</v>
      </c>
      <c r="P484" s="4"/>
      <c r="Q484" s="4"/>
      <c r="R484" s="4"/>
      <c r="S484" s="4"/>
      <c r="T484" s="4"/>
      <c r="U484" s="4">
        <v>0.0</v>
      </c>
      <c r="V484" s="4"/>
      <c r="W484" s="4"/>
      <c r="X484" s="4"/>
      <c r="Y484" s="4"/>
      <c r="Z484" s="4"/>
      <c r="AA484" s="4"/>
    </row>
    <row r="485">
      <c r="A485" s="4" t="s">
        <v>7609</v>
      </c>
      <c r="B485" s="4" t="s">
        <v>16</v>
      </c>
      <c r="C485" s="4" t="s">
        <v>6838</v>
      </c>
      <c r="D485" s="4">
        <v>44005.0</v>
      </c>
      <c r="E485" s="4">
        <v>0.6253472222222239</v>
      </c>
      <c r="F485" s="4">
        <v>0.010416666666666666</v>
      </c>
      <c r="G485" s="4">
        <v>0.6357638888888906</v>
      </c>
      <c r="H485" s="4" t="s">
        <v>1631</v>
      </c>
      <c r="I485" s="4" t="s">
        <v>6947</v>
      </c>
      <c r="J485" s="4" t="s">
        <v>7059</v>
      </c>
      <c r="K485" s="4" t="s">
        <v>481</v>
      </c>
      <c r="L485" s="4" t="s">
        <v>74</v>
      </c>
      <c r="M485" s="4" t="s">
        <v>7610</v>
      </c>
      <c r="N485" s="4" t="s">
        <v>6755</v>
      </c>
      <c r="O485" s="4" t="s">
        <v>568</v>
      </c>
      <c r="P485" s="4" t="s">
        <v>569</v>
      </c>
      <c r="Q485" s="4" t="s">
        <v>570</v>
      </c>
      <c r="R485" s="4" t="s">
        <v>571</v>
      </c>
      <c r="S485" s="4"/>
      <c r="T485" s="4" t="s">
        <v>572</v>
      </c>
      <c r="U485" s="4">
        <v>4.0</v>
      </c>
      <c r="V485" s="4" t="s">
        <v>7611</v>
      </c>
      <c r="W485" s="4" t="s">
        <v>7115</v>
      </c>
      <c r="X485" s="4"/>
      <c r="Y485" s="4"/>
      <c r="Z485" s="4"/>
      <c r="AA485" s="4"/>
    </row>
    <row r="486">
      <c r="A486" s="4" t="s">
        <v>7612</v>
      </c>
      <c r="B486" s="4" t="s">
        <v>16</v>
      </c>
      <c r="C486" s="4" t="s">
        <v>6838</v>
      </c>
      <c r="D486" s="4">
        <v>44005.0</v>
      </c>
      <c r="E486" s="4">
        <v>0.6357638888888906</v>
      </c>
      <c r="F486" s="4">
        <v>1.7361111111111112E-4</v>
      </c>
      <c r="G486" s="4">
        <v>0.6359375000000017</v>
      </c>
      <c r="H486" s="4" t="s">
        <v>1944</v>
      </c>
      <c r="I486" s="4"/>
      <c r="J486" s="4"/>
      <c r="K486" s="4" t="s">
        <v>481</v>
      </c>
      <c r="L486" s="4" t="s">
        <v>85</v>
      </c>
      <c r="M486" s="4"/>
      <c r="N486" s="4"/>
      <c r="O486" s="4" t="s">
        <v>85</v>
      </c>
      <c r="P486" s="4"/>
      <c r="Q486" s="4"/>
      <c r="R486" s="4"/>
      <c r="S486" s="4"/>
      <c r="T486" s="4"/>
      <c r="U486" s="4">
        <v>0.0</v>
      </c>
      <c r="V486" s="4"/>
      <c r="W486" s="4"/>
      <c r="X486" s="4"/>
      <c r="Y486" s="4"/>
      <c r="Z486" s="4"/>
      <c r="AA486" s="4"/>
    </row>
    <row r="487">
      <c r="A487" s="4" t="s">
        <v>7613</v>
      </c>
      <c r="B487" s="4" t="s">
        <v>16</v>
      </c>
      <c r="C487" s="4" t="s">
        <v>6838</v>
      </c>
      <c r="D487" s="4">
        <v>44005.0</v>
      </c>
      <c r="E487" s="4">
        <v>0.6359375000000017</v>
      </c>
      <c r="F487" s="4">
        <v>1.7361111111111112E-4</v>
      </c>
      <c r="G487" s="4">
        <v>0.6361111111111128</v>
      </c>
      <c r="H487" s="4" t="s">
        <v>2004</v>
      </c>
      <c r="I487" s="4"/>
      <c r="J487" s="4"/>
      <c r="K487" s="4" t="s">
        <v>481</v>
      </c>
      <c r="L487" s="4" t="s">
        <v>77</v>
      </c>
      <c r="M487" s="4"/>
      <c r="N487" s="4"/>
      <c r="O487" s="4" t="s">
        <v>7614</v>
      </c>
      <c r="P487" s="4"/>
      <c r="Q487" s="4"/>
      <c r="R487" s="4"/>
      <c r="S487" s="4"/>
      <c r="T487" s="4"/>
      <c r="U487" s="4"/>
      <c r="V487" s="4"/>
      <c r="W487" s="4"/>
      <c r="X487" s="4"/>
      <c r="Y487" s="4"/>
      <c r="Z487" s="4"/>
      <c r="AA487" s="4"/>
    </row>
    <row r="488">
      <c r="A488" s="4" t="s">
        <v>7615</v>
      </c>
      <c r="B488" s="4" t="s">
        <v>16</v>
      </c>
      <c r="C488" s="4" t="s">
        <v>6838</v>
      </c>
      <c r="D488" s="4">
        <v>44005.0</v>
      </c>
      <c r="E488" s="4">
        <v>0.6361111111111128</v>
      </c>
      <c r="F488" s="4">
        <v>3.4722222222222224E-4</v>
      </c>
      <c r="G488" s="4">
        <v>0.6364583333333351</v>
      </c>
      <c r="H488" s="4" t="s">
        <v>1944</v>
      </c>
      <c r="I488" s="4"/>
      <c r="J488" s="4"/>
      <c r="K488" s="4" t="s">
        <v>481</v>
      </c>
      <c r="L488" s="4" t="s">
        <v>81</v>
      </c>
      <c r="M488" s="4"/>
      <c r="N488" s="4"/>
      <c r="O488" s="4" t="s">
        <v>81</v>
      </c>
      <c r="P488" s="4"/>
      <c r="Q488" s="4"/>
      <c r="R488" s="4"/>
      <c r="S488" s="4"/>
      <c r="T488" s="4"/>
      <c r="U488" s="4">
        <v>0.0</v>
      </c>
      <c r="V488" s="4"/>
      <c r="W488" s="4"/>
      <c r="X488" s="4"/>
      <c r="Y488" s="4"/>
      <c r="Z488" s="4"/>
      <c r="AA488" s="4"/>
    </row>
    <row r="489">
      <c r="A489" s="4" t="s">
        <v>7616</v>
      </c>
      <c r="B489" s="4" t="s">
        <v>16</v>
      </c>
      <c r="C489" s="4" t="s">
        <v>6838</v>
      </c>
      <c r="D489" s="4">
        <v>44005.0</v>
      </c>
      <c r="E489" s="4">
        <v>0.6364583333333351</v>
      </c>
      <c r="F489" s="4">
        <v>0.013888888888888888</v>
      </c>
      <c r="G489" s="4">
        <v>0.650347222222224</v>
      </c>
      <c r="H489" s="4" t="s">
        <v>1631</v>
      </c>
      <c r="I489" s="4" t="s">
        <v>6960</v>
      </c>
      <c r="J489" s="4" t="s">
        <v>7339</v>
      </c>
      <c r="K489" s="4" t="s">
        <v>481</v>
      </c>
      <c r="L489" s="4" t="s">
        <v>107</v>
      </c>
      <c r="M489" s="4" t="s">
        <v>7462</v>
      </c>
      <c r="N489" s="4" t="s">
        <v>6720</v>
      </c>
      <c r="O489" s="4" t="s">
        <v>6723</v>
      </c>
      <c r="P489" s="4" t="s">
        <v>486</v>
      </c>
      <c r="Q489" s="4" t="s">
        <v>487</v>
      </c>
      <c r="R489" s="4"/>
      <c r="S489" s="4"/>
      <c r="T489" s="4" t="s">
        <v>488</v>
      </c>
      <c r="U489" s="4">
        <v>3.0</v>
      </c>
      <c r="V489" s="4" t="s">
        <v>7617</v>
      </c>
      <c r="W489" s="4" t="s">
        <v>6962</v>
      </c>
      <c r="X489" s="4" t="s">
        <v>7618</v>
      </c>
      <c r="Y489" s="4" t="s">
        <v>7619</v>
      </c>
      <c r="Z489" s="4" t="s">
        <v>726</v>
      </c>
      <c r="AA489" s="4"/>
    </row>
    <row r="490">
      <c r="A490" s="4" t="s">
        <v>7620</v>
      </c>
      <c r="B490" s="4" t="s">
        <v>16</v>
      </c>
      <c r="C490" s="4" t="s">
        <v>6838</v>
      </c>
      <c r="D490" s="4">
        <v>44005.0</v>
      </c>
      <c r="E490" s="4">
        <v>0.650347222222224</v>
      </c>
      <c r="F490" s="4">
        <v>1.7361111111111112E-4</v>
      </c>
      <c r="G490" s="4">
        <v>0.6505208333333351</v>
      </c>
      <c r="H490" s="4" t="s">
        <v>1944</v>
      </c>
      <c r="I490" s="4"/>
      <c r="J490" s="4"/>
      <c r="K490" s="4" t="s">
        <v>481</v>
      </c>
      <c r="L490" s="4" t="s">
        <v>85</v>
      </c>
      <c r="M490" s="4"/>
      <c r="N490" s="4"/>
      <c r="O490" s="4" t="s">
        <v>85</v>
      </c>
      <c r="P490" s="4"/>
      <c r="Q490" s="4"/>
      <c r="R490" s="4"/>
      <c r="S490" s="4"/>
      <c r="T490" s="4"/>
      <c r="U490" s="4">
        <v>0.0</v>
      </c>
      <c r="V490" s="4"/>
      <c r="W490" s="4"/>
      <c r="X490" s="4"/>
      <c r="Y490" s="4"/>
      <c r="Z490" s="4"/>
      <c r="AA490" s="4"/>
    </row>
    <row r="491">
      <c r="A491" s="4" t="s">
        <v>7621</v>
      </c>
      <c r="B491" s="4" t="s">
        <v>16</v>
      </c>
      <c r="C491" s="4" t="s">
        <v>6838</v>
      </c>
      <c r="D491" s="4">
        <v>44005.0</v>
      </c>
      <c r="E491" s="4">
        <v>0.6505208333333351</v>
      </c>
      <c r="F491" s="4">
        <v>1.7361111111111112E-4</v>
      </c>
      <c r="G491" s="4">
        <v>0.6506944444444462</v>
      </c>
      <c r="H491" s="4" t="s">
        <v>2004</v>
      </c>
      <c r="I491" s="4"/>
      <c r="J491" s="4"/>
      <c r="K491" s="4" t="s">
        <v>481</v>
      </c>
      <c r="L491" s="4" t="s">
        <v>77</v>
      </c>
      <c r="M491" s="4"/>
      <c r="N491" s="4"/>
      <c r="O491" s="4" t="s">
        <v>7622</v>
      </c>
      <c r="P491" s="4"/>
      <c r="Q491" s="4"/>
      <c r="R491" s="4"/>
      <c r="S491" s="4"/>
      <c r="T491" s="4"/>
      <c r="U491" s="4"/>
      <c r="V491" s="4"/>
      <c r="W491" s="4"/>
      <c r="X491" s="4"/>
      <c r="Y491" s="4"/>
      <c r="Z491" s="4"/>
      <c r="AA491" s="4"/>
    </row>
    <row r="492">
      <c r="A492" s="4" t="s">
        <v>7623</v>
      </c>
      <c r="B492" s="4" t="s">
        <v>16</v>
      </c>
      <c r="C492" s="4" t="s">
        <v>6838</v>
      </c>
      <c r="D492" s="4">
        <v>44005.0</v>
      </c>
      <c r="E492" s="4">
        <v>0.6506944444444462</v>
      </c>
      <c r="F492" s="4">
        <v>3.4722222222222224E-4</v>
      </c>
      <c r="G492" s="4">
        <v>0.6510416666666685</v>
      </c>
      <c r="H492" s="4" t="s">
        <v>1944</v>
      </c>
      <c r="I492" s="4"/>
      <c r="J492" s="4"/>
      <c r="K492" s="4" t="s">
        <v>481</v>
      </c>
      <c r="L492" s="4" t="s">
        <v>81</v>
      </c>
      <c r="M492" s="4"/>
      <c r="N492" s="4"/>
      <c r="O492" s="4" t="s">
        <v>81</v>
      </c>
      <c r="P492" s="4"/>
      <c r="Q492" s="4"/>
      <c r="R492" s="4"/>
      <c r="S492" s="4"/>
      <c r="T492" s="4"/>
      <c r="U492" s="4">
        <v>0.0</v>
      </c>
      <c r="V492" s="4"/>
      <c r="W492" s="4"/>
      <c r="X492" s="4"/>
      <c r="Y492" s="4"/>
      <c r="Z492" s="4"/>
      <c r="AA492" s="4"/>
    </row>
    <row r="493">
      <c r="A493" s="4" t="s">
        <v>7624</v>
      </c>
      <c r="B493" s="4" t="s">
        <v>16</v>
      </c>
      <c r="C493" s="4" t="s">
        <v>6838</v>
      </c>
      <c r="D493" s="4">
        <v>44005.0</v>
      </c>
      <c r="E493" s="4">
        <v>0.6510416666666685</v>
      </c>
      <c r="F493" s="4">
        <v>0.00798611111111111</v>
      </c>
      <c r="G493" s="4">
        <v>0.6590277777777797</v>
      </c>
      <c r="H493" s="4" t="s">
        <v>847</v>
      </c>
      <c r="I493" s="4" t="s">
        <v>314</v>
      </c>
      <c r="J493" s="4" t="s">
        <v>7339</v>
      </c>
      <c r="K493" s="4" t="s">
        <v>481</v>
      </c>
      <c r="L493" s="4" t="s">
        <v>165</v>
      </c>
      <c r="M493" s="4" t="s">
        <v>7505</v>
      </c>
      <c r="N493" s="4" t="s">
        <v>6755</v>
      </c>
      <c r="O493" s="4" t="s">
        <v>482</v>
      </c>
      <c r="P493" s="4" t="s">
        <v>7625</v>
      </c>
      <c r="Q493" s="4"/>
      <c r="R493" s="4"/>
      <c r="S493" s="4"/>
      <c r="T493" s="4"/>
      <c r="U493" s="4">
        <v>1.0</v>
      </c>
      <c r="V493" s="4" t="s">
        <v>7626</v>
      </c>
      <c r="W493" s="4" t="s">
        <v>6890</v>
      </c>
      <c r="X493" s="4" t="s">
        <v>7627</v>
      </c>
      <c r="Y493" s="4" t="s">
        <v>4345</v>
      </c>
      <c r="Z493" s="4" t="s">
        <v>847</v>
      </c>
      <c r="AA493" s="4"/>
    </row>
    <row r="494">
      <c r="A494" s="4" t="s">
        <v>7628</v>
      </c>
      <c r="B494" s="4" t="s">
        <v>16</v>
      </c>
      <c r="C494" s="4" t="s">
        <v>6838</v>
      </c>
      <c r="D494" s="4">
        <v>44005.0</v>
      </c>
      <c r="E494" s="4">
        <v>0.6590277777777797</v>
      </c>
      <c r="F494" s="4">
        <v>1.7361111111111112E-4</v>
      </c>
      <c r="G494" s="4">
        <v>0.6592013888888908</v>
      </c>
      <c r="H494" s="4" t="s">
        <v>1944</v>
      </c>
      <c r="I494" s="4"/>
      <c r="J494" s="4"/>
      <c r="K494" s="4" t="s">
        <v>481</v>
      </c>
      <c r="L494" s="4" t="s">
        <v>85</v>
      </c>
      <c r="M494" s="4"/>
      <c r="N494" s="4"/>
      <c r="O494" s="4" t="s">
        <v>85</v>
      </c>
      <c r="P494" s="4"/>
      <c r="Q494" s="4"/>
      <c r="R494" s="4"/>
      <c r="S494" s="4"/>
      <c r="T494" s="4"/>
      <c r="U494" s="4">
        <v>0.0</v>
      </c>
      <c r="V494" s="4"/>
      <c r="W494" s="4"/>
      <c r="X494" s="4"/>
      <c r="Y494" s="4" t="s">
        <v>4345</v>
      </c>
      <c r="Z494" s="4"/>
      <c r="AA494" s="4"/>
    </row>
    <row r="495">
      <c r="A495" s="4" t="s">
        <v>7629</v>
      </c>
      <c r="B495" s="4" t="s">
        <v>16</v>
      </c>
      <c r="C495" s="4" t="s">
        <v>6838</v>
      </c>
      <c r="D495" s="4">
        <v>44005.0</v>
      </c>
      <c r="E495" s="4">
        <v>0.6592013888888908</v>
      </c>
      <c r="F495" s="4">
        <v>3.4722222222222224E-4</v>
      </c>
      <c r="G495" s="4">
        <v>0.6595486111111131</v>
      </c>
      <c r="H495" s="4" t="s">
        <v>1944</v>
      </c>
      <c r="I495" s="4"/>
      <c r="J495" s="4"/>
      <c r="K495" s="4" t="s">
        <v>481</v>
      </c>
      <c r="L495" s="4" t="s">
        <v>81</v>
      </c>
      <c r="M495" s="4"/>
      <c r="N495" s="4"/>
      <c r="O495" s="4" t="s">
        <v>81</v>
      </c>
      <c r="P495" s="4"/>
      <c r="Q495" s="4"/>
      <c r="R495" s="4"/>
      <c r="S495" s="4"/>
      <c r="T495" s="4"/>
      <c r="U495" s="4">
        <v>0.0</v>
      </c>
      <c r="V495" s="4"/>
      <c r="W495" s="4"/>
      <c r="X495" s="4"/>
      <c r="Y495" s="4"/>
      <c r="Z495" s="4"/>
      <c r="AA495" s="4"/>
    </row>
    <row r="496">
      <c r="A496" s="4" t="s">
        <v>7630</v>
      </c>
      <c r="B496" s="4" t="s">
        <v>16</v>
      </c>
      <c r="C496" s="4" t="s">
        <v>6838</v>
      </c>
      <c r="D496" s="4">
        <v>44005.0</v>
      </c>
      <c r="E496" s="4">
        <v>0.6595486111111131</v>
      </c>
      <c r="F496" s="4">
        <v>0.006944444444444444</v>
      </c>
      <c r="G496" s="4">
        <v>0.6664930555555575</v>
      </c>
      <c r="H496" s="4" t="s">
        <v>946</v>
      </c>
      <c r="I496" s="4" t="s">
        <v>314</v>
      </c>
      <c r="J496" s="4" t="s">
        <v>15</v>
      </c>
      <c r="K496" s="4" t="s">
        <v>481</v>
      </c>
      <c r="L496" s="4" t="s">
        <v>165</v>
      </c>
      <c r="M496" s="4" t="s">
        <v>7126</v>
      </c>
      <c r="N496" s="4" t="s">
        <v>6858</v>
      </c>
      <c r="O496" s="4" t="s">
        <v>583</v>
      </c>
      <c r="P496" s="4" t="s">
        <v>584</v>
      </c>
      <c r="Q496" s="4"/>
      <c r="R496" s="4"/>
      <c r="S496" s="4"/>
      <c r="T496" s="4"/>
      <c r="U496" s="4">
        <v>1.0</v>
      </c>
      <c r="V496" s="4" t="s">
        <v>7631</v>
      </c>
      <c r="W496" s="4" t="s">
        <v>6911</v>
      </c>
      <c r="X496" s="4">
        <v>43957.708333333336</v>
      </c>
      <c r="Y496" s="4"/>
      <c r="Z496" s="4" t="s">
        <v>946</v>
      </c>
      <c r="AA496" s="4"/>
    </row>
    <row r="497">
      <c r="A497" s="4" t="s">
        <v>7632</v>
      </c>
      <c r="B497" s="4" t="s">
        <v>16</v>
      </c>
      <c r="C497" s="4" t="s">
        <v>6838</v>
      </c>
      <c r="D497" s="4">
        <v>44005.0</v>
      </c>
      <c r="E497" s="4">
        <v>0.6664930555555575</v>
      </c>
      <c r="F497" s="4">
        <v>1.7361111111111112E-4</v>
      </c>
      <c r="G497" s="4">
        <v>0.6666666666666686</v>
      </c>
      <c r="H497" s="4" t="s">
        <v>1944</v>
      </c>
      <c r="I497" s="4"/>
      <c r="J497" s="4"/>
      <c r="K497" s="4" t="s">
        <v>481</v>
      </c>
      <c r="L497" s="4" t="s">
        <v>85</v>
      </c>
      <c r="M497" s="4"/>
      <c r="N497" s="4"/>
      <c r="O497" s="4" t="s">
        <v>85</v>
      </c>
      <c r="P497" s="4"/>
      <c r="Q497" s="4"/>
      <c r="R497" s="4"/>
      <c r="S497" s="4"/>
      <c r="T497" s="4"/>
      <c r="U497" s="4">
        <v>0.0</v>
      </c>
      <c r="V497" s="4"/>
      <c r="W497" s="4"/>
      <c r="X497" s="4"/>
      <c r="Y497" s="4" t="s">
        <v>4345</v>
      </c>
      <c r="Z497" s="4"/>
      <c r="AA497" s="4"/>
    </row>
    <row r="498">
      <c r="A498" s="4" t="s">
        <v>7633</v>
      </c>
      <c r="B498" s="4" t="s">
        <v>16</v>
      </c>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c r="A499" s="4" t="s">
        <v>7634</v>
      </c>
      <c r="B499" s="4" t="s">
        <v>16</v>
      </c>
      <c r="C499" s="4" t="s">
        <v>6838</v>
      </c>
      <c r="D499" s="4">
        <v>44005.0</v>
      </c>
      <c r="E499" s="4">
        <v>0.6666666666666686</v>
      </c>
      <c r="F499" s="4">
        <v>1.7361111111111112E-4</v>
      </c>
      <c r="G499" s="4">
        <v>0.6668402777777798</v>
      </c>
      <c r="H499" s="4" t="s">
        <v>1944</v>
      </c>
      <c r="I499" s="4"/>
      <c r="J499" s="4"/>
      <c r="K499" s="4" t="s">
        <v>140</v>
      </c>
      <c r="L499" s="4" t="s">
        <v>77</v>
      </c>
      <c r="M499" s="4"/>
      <c r="N499" s="4"/>
      <c r="O499" s="4" t="s">
        <v>7635</v>
      </c>
      <c r="P499" s="4"/>
      <c r="Q499" s="4"/>
      <c r="R499" s="4"/>
      <c r="S499" s="4"/>
      <c r="T499" s="4"/>
      <c r="U499" s="4"/>
      <c r="V499" s="4"/>
      <c r="W499" s="4"/>
      <c r="X499" s="4"/>
      <c r="Y499" s="4"/>
      <c r="Z499" s="4"/>
      <c r="AA499" s="4"/>
    </row>
    <row r="500">
      <c r="A500" s="4" t="s">
        <v>7636</v>
      </c>
      <c r="B500" s="4" t="s">
        <v>16</v>
      </c>
      <c r="C500" s="4" t="s">
        <v>6838</v>
      </c>
      <c r="D500" s="4">
        <v>44005.0</v>
      </c>
      <c r="E500" s="4">
        <v>0.6668402777777798</v>
      </c>
      <c r="F500" s="4">
        <v>1.7361111111111112E-4</v>
      </c>
      <c r="G500" s="4">
        <v>0.6670138888888909</v>
      </c>
      <c r="H500" s="4" t="s">
        <v>1944</v>
      </c>
      <c r="I500" s="4"/>
      <c r="J500" s="4"/>
      <c r="K500" s="4" t="s">
        <v>140</v>
      </c>
      <c r="L500" s="4" t="s">
        <v>81</v>
      </c>
      <c r="M500" s="4"/>
      <c r="N500" s="4"/>
      <c r="O500" s="4" t="s">
        <v>81</v>
      </c>
      <c r="P500" s="4"/>
      <c r="Q500" s="4"/>
      <c r="R500" s="4"/>
      <c r="S500" s="4"/>
      <c r="T500" s="4"/>
      <c r="U500" s="4">
        <v>0.0</v>
      </c>
      <c r="V500" s="4"/>
      <c r="W500" s="4"/>
      <c r="X500" s="4"/>
      <c r="Y500" s="4"/>
      <c r="Z500" s="4"/>
      <c r="AA500" s="4"/>
    </row>
    <row r="501">
      <c r="A501" s="4" t="s">
        <v>7637</v>
      </c>
      <c r="B501" s="4" t="s">
        <v>16</v>
      </c>
      <c r="C501" s="4" t="s">
        <v>6838</v>
      </c>
      <c r="D501" s="4">
        <v>44005.0</v>
      </c>
      <c r="E501" s="4">
        <v>0.6670138888888909</v>
      </c>
      <c r="F501" s="4">
        <v>0.010416666666666666</v>
      </c>
      <c r="G501" s="4">
        <v>0.6774305555555575</v>
      </c>
      <c r="H501" s="4" t="s">
        <v>972</v>
      </c>
      <c r="I501" s="4"/>
      <c r="J501" s="4" t="s">
        <v>6938</v>
      </c>
      <c r="K501" s="4" t="s">
        <v>140</v>
      </c>
      <c r="L501" s="4" t="s">
        <v>74</v>
      </c>
      <c r="M501" s="4" t="s">
        <v>7462</v>
      </c>
      <c r="N501" s="4" t="s">
        <v>6689</v>
      </c>
      <c r="O501" s="4" t="s">
        <v>585</v>
      </c>
      <c r="P501" s="4" t="s">
        <v>586</v>
      </c>
      <c r="Q501" s="4" t="s">
        <v>587</v>
      </c>
      <c r="R501" s="4"/>
      <c r="S501" s="4"/>
      <c r="T501" s="4" t="s">
        <v>588</v>
      </c>
      <c r="U501" s="4">
        <v>3.0</v>
      </c>
      <c r="V501" s="4" t="s">
        <v>7638</v>
      </c>
      <c r="W501" s="4" t="s">
        <v>7088</v>
      </c>
      <c r="X501" s="4"/>
      <c r="Y501" s="4"/>
      <c r="Z501" s="4" t="s">
        <v>972</v>
      </c>
      <c r="AA501" s="4"/>
    </row>
    <row r="502">
      <c r="A502" s="4" t="s">
        <v>7639</v>
      </c>
      <c r="B502" s="4" t="s">
        <v>16</v>
      </c>
      <c r="C502" s="4" t="s">
        <v>6838</v>
      </c>
      <c r="D502" s="4">
        <v>44005.0</v>
      </c>
      <c r="E502" s="4">
        <v>0.6774305555555575</v>
      </c>
      <c r="F502" s="4">
        <v>1.7361111111111112E-4</v>
      </c>
      <c r="G502" s="4">
        <v>0.6776041666666687</v>
      </c>
      <c r="H502" s="4" t="s">
        <v>1944</v>
      </c>
      <c r="I502" s="4"/>
      <c r="J502" s="4"/>
      <c r="K502" s="4" t="s">
        <v>140</v>
      </c>
      <c r="L502" s="4" t="s">
        <v>85</v>
      </c>
      <c r="M502" s="4"/>
      <c r="N502" s="4"/>
      <c r="O502" s="4" t="s">
        <v>85</v>
      </c>
      <c r="P502" s="4"/>
      <c r="Q502" s="4"/>
      <c r="R502" s="4"/>
      <c r="S502" s="4"/>
      <c r="T502" s="4"/>
      <c r="U502" s="4">
        <v>0.0</v>
      </c>
      <c r="V502" s="4"/>
      <c r="W502" s="4"/>
      <c r="X502" s="4"/>
      <c r="Y502" s="4"/>
      <c r="Z502" s="4"/>
      <c r="AA502" s="4"/>
    </row>
    <row r="503">
      <c r="A503" s="4" t="s">
        <v>7640</v>
      </c>
      <c r="B503" s="4" t="s">
        <v>16</v>
      </c>
      <c r="C503" s="4" t="s">
        <v>6838</v>
      </c>
      <c r="D503" s="4">
        <v>44005.0</v>
      </c>
      <c r="E503" s="4">
        <v>0.6776041666666687</v>
      </c>
      <c r="F503" s="4">
        <v>3.4722222222222224E-4</v>
      </c>
      <c r="G503" s="4">
        <v>0.677951388888891</v>
      </c>
      <c r="H503" s="4" t="s">
        <v>1944</v>
      </c>
      <c r="I503" s="4"/>
      <c r="J503" s="4"/>
      <c r="K503" s="4" t="s">
        <v>140</v>
      </c>
      <c r="L503" s="4" t="s">
        <v>81</v>
      </c>
      <c r="M503" s="4"/>
      <c r="N503" s="4"/>
      <c r="O503" s="4" t="s">
        <v>81</v>
      </c>
      <c r="P503" s="4"/>
      <c r="Q503" s="4"/>
      <c r="R503" s="4"/>
      <c r="S503" s="4"/>
      <c r="T503" s="4"/>
      <c r="U503" s="4">
        <v>0.0</v>
      </c>
      <c r="V503" s="4"/>
      <c r="W503" s="4"/>
      <c r="X503" s="4"/>
      <c r="Y503" s="4"/>
      <c r="Z503" s="4"/>
      <c r="AA503" s="4"/>
    </row>
    <row r="504">
      <c r="A504" s="4" t="s">
        <v>7641</v>
      </c>
      <c r="B504" s="4" t="s">
        <v>16</v>
      </c>
      <c r="C504" s="4" t="s">
        <v>6838</v>
      </c>
      <c r="D504" s="4">
        <v>44005.0</v>
      </c>
      <c r="E504" s="4">
        <v>0.677951388888891</v>
      </c>
      <c r="F504" s="4">
        <v>0.008333333333333333</v>
      </c>
      <c r="G504" s="4">
        <v>0.6862847222222243</v>
      </c>
      <c r="H504" s="4" t="s">
        <v>972</v>
      </c>
      <c r="I504" s="4" t="s">
        <v>6933</v>
      </c>
      <c r="J504" s="4" t="s">
        <v>6938</v>
      </c>
      <c r="K504" s="4" t="s">
        <v>140</v>
      </c>
      <c r="L504" s="4" t="s">
        <v>107</v>
      </c>
      <c r="M504" s="4" t="s">
        <v>7462</v>
      </c>
      <c r="N504" s="4" t="s">
        <v>6689</v>
      </c>
      <c r="O504" s="4" t="s">
        <v>691</v>
      </c>
      <c r="P504" s="4" t="s">
        <v>7642</v>
      </c>
      <c r="Q504" s="4" t="s">
        <v>694</v>
      </c>
      <c r="R504" s="4"/>
      <c r="S504" s="4"/>
      <c r="T504" s="4" t="s">
        <v>144</v>
      </c>
      <c r="U504" s="4">
        <v>3.0</v>
      </c>
      <c r="V504" s="4" t="s">
        <v>7643</v>
      </c>
      <c r="W504" s="4" t="s">
        <v>7088</v>
      </c>
      <c r="X504" s="4"/>
      <c r="Y504" s="4"/>
      <c r="Z504" s="4" t="s">
        <v>972</v>
      </c>
      <c r="AA504" s="4"/>
    </row>
    <row r="505">
      <c r="A505" s="4" t="s">
        <v>7644</v>
      </c>
      <c r="B505" s="4" t="s">
        <v>16</v>
      </c>
      <c r="C505" s="4" t="s">
        <v>6838</v>
      </c>
      <c r="D505" s="4">
        <v>44005.0</v>
      </c>
      <c r="E505" s="4">
        <v>0.6862847222222243</v>
      </c>
      <c r="F505" s="4">
        <v>1.7361111111111112E-4</v>
      </c>
      <c r="G505" s="4">
        <v>0.6864583333333354</v>
      </c>
      <c r="H505" s="4" t="s">
        <v>1944</v>
      </c>
      <c r="I505" s="4"/>
      <c r="J505" s="4"/>
      <c r="K505" s="4" t="s">
        <v>140</v>
      </c>
      <c r="L505" s="4" t="s">
        <v>85</v>
      </c>
      <c r="M505" s="4"/>
      <c r="N505" s="4"/>
      <c r="O505" s="4" t="s">
        <v>85</v>
      </c>
      <c r="P505" s="4"/>
      <c r="Q505" s="4"/>
      <c r="R505" s="4"/>
      <c r="S505" s="4"/>
      <c r="T505" s="4"/>
      <c r="U505" s="4">
        <v>0.0</v>
      </c>
      <c r="V505" s="4"/>
      <c r="W505" s="4"/>
      <c r="X505" s="4"/>
      <c r="Y505" s="4"/>
      <c r="Z505" s="4"/>
      <c r="AA505" s="4"/>
    </row>
    <row r="506">
      <c r="A506" s="4" t="s">
        <v>7645</v>
      </c>
      <c r="B506" s="4" t="s">
        <v>16</v>
      </c>
      <c r="C506" s="4" t="s">
        <v>6838</v>
      </c>
      <c r="D506" s="4">
        <v>44005.0</v>
      </c>
      <c r="E506" s="4">
        <v>0.6864583333333354</v>
      </c>
      <c r="F506" s="4">
        <v>3.4722222222222224E-4</v>
      </c>
      <c r="G506" s="4">
        <v>0.6868055555555577</v>
      </c>
      <c r="H506" s="4" t="s">
        <v>2004</v>
      </c>
      <c r="I506" s="4"/>
      <c r="J506" s="4"/>
      <c r="K506" s="4" t="s">
        <v>140</v>
      </c>
      <c r="L506" s="4" t="s">
        <v>506</v>
      </c>
      <c r="M506" s="4"/>
      <c r="N506" s="4"/>
      <c r="O506" s="4" t="s">
        <v>7646</v>
      </c>
      <c r="P506" s="4"/>
      <c r="Q506" s="4"/>
      <c r="R506" s="4"/>
      <c r="S506" s="4"/>
      <c r="T506" s="4"/>
      <c r="U506" s="4">
        <v>0.0</v>
      </c>
      <c r="V506" s="4"/>
      <c r="W506" s="4"/>
      <c r="X506" s="4"/>
      <c r="Y506" s="4"/>
      <c r="Z506" s="4"/>
      <c r="AA506" s="4"/>
    </row>
    <row r="507">
      <c r="A507" s="4" t="s">
        <v>7647</v>
      </c>
      <c r="B507" s="4" t="s">
        <v>16</v>
      </c>
      <c r="C507" s="4" t="s">
        <v>6838</v>
      </c>
      <c r="D507" s="4">
        <v>44005.0</v>
      </c>
      <c r="E507" s="4">
        <v>0.6868055555555577</v>
      </c>
      <c r="F507" s="4">
        <v>3.4722222222222224E-4</v>
      </c>
      <c r="G507" s="4">
        <v>0.6871527777777799</v>
      </c>
      <c r="H507" s="4" t="s">
        <v>1944</v>
      </c>
      <c r="I507" s="4"/>
      <c r="J507" s="4"/>
      <c r="K507" s="4" t="s">
        <v>140</v>
      </c>
      <c r="L507" s="4" t="s">
        <v>81</v>
      </c>
      <c r="M507" s="4"/>
      <c r="N507" s="4"/>
      <c r="O507" s="4" t="s">
        <v>81</v>
      </c>
      <c r="P507" s="4"/>
      <c r="Q507" s="4"/>
      <c r="R507" s="4"/>
      <c r="S507" s="4"/>
      <c r="T507" s="4"/>
      <c r="U507" s="4">
        <v>0.0</v>
      </c>
      <c r="V507" s="4"/>
      <c r="W507" s="4"/>
      <c r="X507" s="4"/>
      <c r="Y507" s="4"/>
      <c r="Z507" s="4"/>
      <c r="AA507" s="4"/>
    </row>
    <row r="508">
      <c r="A508" s="4" t="s">
        <v>7648</v>
      </c>
      <c r="B508" s="4" t="s">
        <v>16</v>
      </c>
      <c r="C508" s="4" t="s">
        <v>6838</v>
      </c>
      <c r="D508" s="4">
        <v>44005.0</v>
      </c>
      <c r="E508" s="4">
        <v>0.6871527777777799</v>
      </c>
      <c r="F508" s="4">
        <v>0.010416666666666666</v>
      </c>
      <c r="G508" s="4">
        <v>0.6975694444444466</v>
      </c>
      <c r="H508" s="4" t="s">
        <v>972</v>
      </c>
      <c r="I508" s="4" t="s">
        <v>6933</v>
      </c>
      <c r="J508" s="4" t="s">
        <v>6938</v>
      </c>
      <c r="K508" s="4" t="s">
        <v>140</v>
      </c>
      <c r="L508" s="4" t="s">
        <v>74</v>
      </c>
      <c r="M508" s="4"/>
      <c r="N508" s="4" t="s">
        <v>6720</v>
      </c>
      <c r="O508" s="4" t="s">
        <v>686</v>
      </c>
      <c r="P508" s="4" t="s">
        <v>687</v>
      </c>
      <c r="Q508" s="4" t="s">
        <v>688</v>
      </c>
      <c r="R508" s="4" t="s">
        <v>5858</v>
      </c>
      <c r="S508" s="4"/>
      <c r="T508" s="4" t="s">
        <v>689</v>
      </c>
      <c r="U508" s="4">
        <v>4.0</v>
      </c>
      <c r="V508" s="4" t="s">
        <v>7649</v>
      </c>
      <c r="W508" s="4" t="s">
        <v>6911</v>
      </c>
      <c r="X508" s="4" t="s">
        <v>7650</v>
      </c>
      <c r="Y508" s="4" t="s">
        <v>7651</v>
      </c>
      <c r="Z508" s="4" t="s">
        <v>972</v>
      </c>
      <c r="AA508" s="4"/>
    </row>
    <row r="509">
      <c r="A509" s="4" t="s">
        <v>7652</v>
      </c>
      <c r="B509" s="4" t="s">
        <v>16</v>
      </c>
      <c r="C509" s="4" t="s">
        <v>6838</v>
      </c>
      <c r="D509" s="4">
        <v>44005.0</v>
      </c>
      <c r="E509" s="4">
        <v>0.6975694444444466</v>
      </c>
      <c r="F509" s="4">
        <v>1.7361111111111112E-4</v>
      </c>
      <c r="G509" s="4">
        <v>0.6977430555555577</v>
      </c>
      <c r="H509" s="4" t="s">
        <v>1944</v>
      </c>
      <c r="I509" s="4"/>
      <c r="J509" s="4"/>
      <c r="K509" s="4" t="s">
        <v>140</v>
      </c>
      <c r="L509" s="4" t="s">
        <v>85</v>
      </c>
      <c r="M509" s="4"/>
      <c r="N509" s="4"/>
      <c r="O509" s="4" t="s">
        <v>85</v>
      </c>
      <c r="P509" s="4"/>
      <c r="Q509" s="4"/>
      <c r="R509" s="4"/>
      <c r="S509" s="4"/>
      <c r="T509" s="4"/>
      <c r="U509" s="4">
        <v>0.0</v>
      </c>
      <c r="V509" s="4"/>
      <c r="W509" s="4"/>
      <c r="X509" s="4"/>
      <c r="Y509" s="4"/>
      <c r="Z509" s="4"/>
      <c r="AA509" s="4"/>
    </row>
    <row r="510">
      <c r="A510" s="4" t="s">
        <v>7653</v>
      </c>
      <c r="B510" s="4" t="s">
        <v>16</v>
      </c>
      <c r="C510" s="4" t="s">
        <v>6838</v>
      </c>
      <c r="D510" s="4">
        <v>44005.0</v>
      </c>
      <c r="E510" s="4">
        <v>0.6977430555555577</v>
      </c>
      <c r="F510" s="4">
        <v>3.4722222222222224E-4</v>
      </c>
      <c r="G510" s="4">
        <v>0.69809027777778</v>
      </c>
      <c r="H510" s="4" t="s">
        <v>2004</v>
      </c>
      <c r="I510" s="4"/>
      <c r="J510" s="4"/>
      <c r="K510" s="4" t="s">
        <v>140</v>
      </c>
      <c r="L510" s="4" t="s">
        <v>77</v>
      </c>
      <c r="M510" s="4"/>
      <c r="N510" s="4"/>
      <c r="O510" s="4" t="s">
        <v>7635</v>
      </c>
      <c r="P510" s="4"/>
      <c r="Q510" s="4"/>
      <c r="R510" s="4"/>
      <c r="S510" s="4"/>
      <c r="T510" s="4"/>
      <c r="U510" s="4"/>
      <c r="V510" s="4"/>
      <c r="W510" s="4"/>
      <c r="X510" s="4"/>
      <c r="Y510" s="4"/>
      <c r="Z510" s="4"/>
      <c r="AA510" s="4"/>
    </row>
    <row r="511">
      <c r="A511" s="4" t="s">
        <v>7654</v>
      </c>
      <c r="B511" s="4" t="s">
        <v>16</v>
      </c>
      <c r="C511" s="4" t="s">
        <v>6838</v>
      </c>
      <c r="D511" s="4">
        <v>44005.0</v>
      </c>
      <c r="E511" s="4">
        <v>0.69809027777778</v>
      </c>
      <c r="F511" s="4">
        <v>1.7361111111111112E-4</v>
      </c>
      <c r="G511" s="4">
        <v>0.6982638888888911</v>
      </c>
      <c r="H511" s="4" t="s">
        <v>1944</v>
      </c>
      <c r="I511" s="4"/>
      <c r="J511" s="4"/>
      <c r="K511" s="4" t="s">
        <v>140</v>
      </c>
      <c r="L511" s="4" t="s">
        <v>81</v>
      </c>
      <c r="M511" s="4"/>
      <c r="N511" s="4"/>
      <c r="O511" s="4" t="s">
        <v>81</v>
      </c>
      <c r="P511" s="4"/>
      <c r="Q511" s="4"/>
      <c r="R511" s="4"/>
      <c r="S511" s="4"/>
      <c r="T511" s="4"/>
      <c r="U511" s="4">
        <v>0.0</v>
      </c>
      <c r="V511" s="4"/>
      <c r="W511" s="4"/>
      <c r="X511" s="4"/>
      <c r="Y511" s="4"/>
      <c r="Z511" s="4"/>
      <c r="AA511" s="4"/>
    </row>
    <row r="512">
      <c r="A512" s="4" t="s">
        <v>7655</v>
      </c>
      <c r="B512" s="4" t="s">
        <v>16</v>
      </c>
      <c r="C512" s="4" t="s">
        <v>6838</v>
      </c>
      <c r="D512" s="4">
        <v>44005.0</v>
      </c>
      <c r="E512" s="4">
        <v>0.6982638888888911</v>
      </c>
      <c r="F512" s="4">
        <v>0.006944444444444444</v>
      </c>
      <c r="G512" s="4">
        <v>0.7052083333333355</v>
      </c>
      <c r="H512" s="4" t="s">
        <v>972</v>
      </c>
      <c r="I512" s="4" t="s">
        <v>314</v>
      </c>
      <c r="J512" s="4" t="s">
        <v>6938</v>
      </c>
      <c r="K512" s="4" t="s">
        <v>140</v>
      </c>
      <c r="L512" s="4" t="s">
        <v>165</v>
      </c>
      <c r="M512" s="4"/>
      <c r="N512" s="4" t="s">
        <v>6858</v>
      </c>
      <c r="O512" s="4" t="s">
        <v>7656</v>
      </c>
      <c r="P512" s="4" t="s">
        <v>594</v>
      </c>
      <c r="Q512" s="4"/>
      <c r="R512" s="4"/>
      <c r="S512" s="4"/>
      <c r="T512" s="4"/>
      <c r="U512" s="4">
        <v>1.0</v>
      </c>
      <c r="V512" s="4" t="s">
        <v>7657</v>
      </c>
      <c r="W512" s="4" t="s">
        <v>6890</v>
      </c>
      <c r="X512" s="4">
        <v>43966.0</v>
      </c>
      <c r="Y512" s="4"/>
      <c r="Z512" s="4" t="s">
        <v>972</v>
      </c>
      <c r="AA512" s="4"/>
    </row>
    <row r="513">
      <c r="A513" s="4" t="s">
        <v>7658</v>
      </c>
      <c r="B513" s="4" t="s">
        <v>16</v>
      </c>
      <c r="C513" s="4" t="s">
        <v>6838</v>
      </c>
      <c r="D513" s="4">
        <v>44005.0</v>
      </c>
      <c r="E513" s="4">
        <v>0.7052083333333355</v>
      </c>
      <c r="F513" s="4">
        <v>1.7361111111111112E-4</v>
      </c>
      <c r="G513" s="4">
        <v>0.7053819444444467</v>
      </c>
      <c r="H513" s="4" t="s">
        <v>1944</v>
      </c>
      <c r="I513" s="4"/>
      <c r="J513" s="4"/>
      <c r="K513" s="4" t="s">
        <v>140</v>
      </c>
      <c r="L513" s="4" t="s">
        <v>85</v>
      </c>
      <c r="M513" s="4"/>
      <c r="N513" s="4"/>
      <c r="O513" s="4" t="s">
        <v>85</v>
      </c>
      <c r="P513" s="4"/>
      <c r="Q513" s="4"/>
      <c r="R513" s="4"/>
      <c r="S513" s="4"/>
      <c r="T513" s="4"/>
      <c r="U513" s="4">
        <v>0.0</v>
      </c>
      <c r="V513" s="4"/>
      <c r="W513" s="4"/>
      <c r="X513" s="4"/>
      <c r="Y513" s="4"/>
      <c r="Z513" s="4"/>
      <c r="AA513" s="4"/>
    </row>
    <row r="514">
      <c r="A514" s="4" t="s">
        <v>7659</v>
      </c>
      <c r="B514" s="4" t="s">
        <v>16</v>
      </c>
      <c r="C514" s="4" t="s">
        <v>6838</v>
      </c>
      <c r="D514" s="4">
        <v>44005.0</v>
      </c>
      <c r="E514" s="4">
        <v>0.7053819444444467</v>
      </c>
      <c r="F514" s="4">
        <v>3.4722222222222224E-4</v>
      </c>
      <c r="G514" s="4">
        <v>0.705729166666669</v>
      </c>
      <c r="H514" s="4" t="s">
        <v>1944</v>
      </c>
      <c r="I514" s="4"/>
      <c r="J514" s="4"/>
      <c r="K514" s="4" t="s">
        <v>140</v>
      </c>
      <c r="L514" s="4" t="s">
        <v>81</v>
      </c>
      <c r="M514" s="4"/>
      <c r="N514" s="4"/>
      <c r="O514" s="4" t="s">
        <v>81</v>
      </c>
      <c r="P514" s="4"/>
      <c r="Q514" s="4"/>
      <c r="R514" s="4"/>
      <c r="S514" s="4"/>
      <c r="T514" s="4"/>
      <c r="U514" s="4">
        <v>0.0</v>
      </c>
      <c r="V514" s="4"/>
      <c r="W514" s="4"/>
      <c r="X514" s="4"/>
      <c r="Y514" s="4"/>
      <c r="Z514" s="4"/>
      <c r="AA514" s="4"/>
    </row>
    <row r="515">
      <c r="A515" s="4" t="s">
        <v>7660</v>
      </c>
      <c r="B515" s="4" t="s">
        <v>16</v>
      </c>
      <c r="C515" s="4" t="s">
        <v>6838</v>
      </c>
      <c r="D515" s="4">
        <v>44005.0</v>
      </c>
      <c r="E515" s="4">
        <v>0.705729166666669</v>
      </c>
      <c r="F515" s="4">
        <v>0.0020833333333333333</v>
      </c>
      <c r="G515" s="4">
        <v>0.7078125000000023</v>
      </c>
      <c r="H515" s="4" t="s">
        <v>630</v>
      </c>
      <c r="I515" s="4" t="s">
        <v>314</v>
      </c>
      <c r="J515" s="4" t="s">
        <v>15</v>
      </c>
      <c r="K515" s="4" t="s">
        <v>140</v>
      </c>
      <c r="L515" s="4" t="s">
        <v>165</v>
      </c>
      <c r="M515" s="4" t="s">
        <v>7661</v>
      </c>
      <c r="N515" s="4" t="s">
        <v>7475</v>
      </c>
      <c r="O515" s="4" t="s">
        <v>968</v>
      </c>
      <c r="P515" s="4" t="s">
        <v>969</v>
      </c>
      <c r="Q515" s="4"/>
      <c r="R515" s="4"/>
      <c r="S515" s="4"/>
      <c r="T515" s="4"/>
      <c r="U515" s="4">
        <v>1.0</v>
      </c>
      <c r="V515" s="4" t="s">
        <v>7662</v>
      </c>
      <c r="W515" s="4" t="s">
        <v>7197</v>
      </c>
      <c r="X515" s="4" t="s">
        <v>7663</v>
      </c>
      <c r="Y515" s="4" t="s">
        <v>7199</v>
      </c>
      <c r="Z515" s="4" t="s">
        <v>630</v>
      </c>
      <c r="AA515" s="4"/>
    </row>
    <row r="516">
      <c r="A516" s="4" t="s">
        <v>7664</v>
      </c>
      <c r="B516" s="4" t="s">
        <v>16</v>
      </c>
      <c r="C516" s="4" t="s">
        <v>6838</v>
      </c>
      <c r="D516" s="4">
        <v>44005.0</v>
      </c>
      <c r="E516" s="4">
        <v>0.7078125000000023</v>
      </c>
      <c r="F516" s="4">
        <v>1.7361111111111112E-4</v>
      </c>
      <c r="G516" s="4">
        <v>0.7079861111111134</v>
      </c>
      <c r="H516" s="4" t="s">
        <v>1944</v>
      </c>
      <c r="I516" s="4"/>
      <c r="J516" s="4"/>
      <c r="K516" s="4" t="s">
        <v>140</v>
      </c>
      <c r="L516" s="4" t="s">
        <v>85</v>
      </c>
      <c r="M516" s="4"/>
      <c r="N516" s="4"/>
      <c r="O516" s="4" t="s">
        <v>85</v>
      </c>
      <c r="P516" s="4"/>
      <c r="Q516" s="4"/>
      <c r="R516" s="4"/>
      <c r="S516" s="4"/>
      <c r="T516" s="4"/>
      <c r="U516" s="4">
        <v>0.0</v>
      </c>
      <c r="V516" s="4"/>
      <c r="W516" s="4"/>
      <c r="X516" s="4"/>
      <c r="Y516" s="4"/>
      <c r="Z516" s="4"/>
      <c r="AA516" s="4"/>
    </row>
    <row r="517">
      <c r="A517" s="4" t="s">
        <v>7665</v>
      </c>
      <c r="B517" s="4" t="s">
        <v>16</v>
      </c>
      <c r="C517" s="4" t="s">
        <v>6838</v>
      </c>
      <c r="D517" s="4">
        <v>44005.0</v>
      </c>
      <c r="E517" s="4">
        <v>0.7079861111111134</v>
      </c>
      <c r="F517" s="4">
        <v>3.4722222222222224E-4</v>
      </c>
      <c r="G517" s="4">
        <v>0.7083333333333357</v>
      </c>
      <c r="H517" s="4" t="s">
        <v>1944</v>
      </c>
      <c r="I517" s="4"/>
      <c r="J517" s="4"/>
      <c r="K517" s="4" t="s">
        <v>140</v>
      </c>
      <c r="L517" s="4"/>
      <c r="M517" s="4"/>
      <c r="N517" s="4"/>
      <c r="O517" s="4" t="s">
        <v>598</v>
      </c>
      <c r="P517" s="4"/>
      <c r="Q517" s="4"/>
      <c r="R517" s="4"/>
      <c r="S517" s="4"/>
      <c r="T517" s="4"/>
      <c r="U517" s="4"/>
      <c r="V517" s="4"/>
      <c r="W517" s="4"/>
      <c r="X517" s="4"/>
      <c r="Y517" s="4"/>
      <c r="Z517" s="4"/>
      <c r="AA517" s="4"/>
    </row>
    <row r="518">
      <c r="A518" s="4" t="s">
        <v>7666</v>
      </c>
      <c r="B518" s="4" t="s">
        <v>16</v>
      </c>
      <c r="C518" s="4" t="s">
        <v>6838</v>
      </c>
      <c r="D518" s="4">
        <v>44005.0</v>
      </c>
      <c r="E518" s="4"/>
      <c r="F518" s="4"/>
      <c r="G518" s="4"/>
      <c r="H518" s="4"/>
      <c r="I518" s="4"/>
      <c r="J518" s="4"/>
      <c r="K518" s="4"/>
      <c r="L518" s="4"/>
      <c r="M518" s="4"/>
      <c r="N518" s="4"/>
      <c r="O518" s="4"/>
      <c r="P518" s="4"/>
      <c r="Q518" s="4"/>
      <c r="R518" s="4"/>
      <c r="S518" s="4"/>
      <c r="T518" s="4"/>
      <c r="U518" s="4">
        <v>0.0</v>
      </c>
      <c r="V518" s="4"/>
      <c r="W518" s="4"/>
      <c r="X518" s="4"/>
      <c r="Y518" s="4"/>
      <c r="Z518" s="4"/>
      <c r="AA518" s="4"/>
    </row>
    <row r="519">
      <c r="A519" s="4" t="s">
        <v>7667</v>
      </c>
      <c r="B519" s="4" t="s">
        <v>220</v>
      </c>
      <c r="C519" s="4"/>
      <c r="D519" s="4"/>
      <c r="E519" s="4"/>
      <c r="F519" s="4"/>
      <c r="G519" s="4"/>
      <c r="H519" s="4"/>
      <c r="I519" s="4"/>
      <c r="J519" s="4"/>
      <c r="K519" s="4"/>
      <c r="L519" s="4"/>
      <c r="M519" s="4"/>
      <c r="N519" s="4"/>
      <c r="O519" s="4"/>
      <c r="P519" s="4"/>
      <c r="Q519" s="4"/>
      <c r="R519" s="4"/>
      <c r="S519" s="4"/>
      <c r="T519" s="4"/>
      <c r="U519" s="4">
        <v>0.0</v>
      </c>
      <c r="V519" s="4"/>
      <c r="W519" s="4"/>
      <c r="X519" s="4"/>
      <c r="Y519" s="4"/>
      <c r="Z519" s="4"/>
      <c r="AA519" s="4"/>
    </row>
    <row r="520">
      <c r="A520" s="4" t="s">
        <v>7668</v>
      </c>
      <c r="B520" s="4" t="s">
        <v>16</v>
      </c>
      <c r="C520" s="4" t="s">
        <v>7070</v>
      </c>
      <c r="D520" s="4">
        <v>44006.0</v>
      </c>
      <c r="E520" s="4">
        <v>0.4166666666666667</v>
      </c>
      <c r="F520" s="4">
        <v>3.4722222222222224E-4</v>
      </c>
      <c r="G520" s="4">
        <v>0.4170138888888889</v>
      </c>
      <c r="H520" s="4" t="s">
        <v>1944</v>
      </c>
      <c r="I520" s="4"/>
      <c r="J520" s="4"/>
      <c r="K520" s="4" t="s">
        <v>394</v>
      </c>
      <c r="L520" s="4" t="s">
        <v>67</v>
      </c>
      <c r="M520" s="4"/>
      <c r="N520" s="4"/>
      <c r="O520" s="4" t="s">
        <v>67</v>
      </c>
      <c r="P520" s="4"/>
      <c r="Q520" s="4"/>
      <c r="R520" s="4"/>
      <c r="S520" s="4"/>
      <c r="T520" s="4"/>
      <c r="U520" s="4"/>
      <c r="V520" s="4"/>
      <c r="W520" s="4"/>
      <c r="X520" s="4"/>
      <c r="Y520" s="4"/>
      <c r="Z520" s="4"/>
      <c r="AA520" s="4"/>
    </row>
    <row r="521">
      <c r="A521" s="4" t="s">
        <v>7669</v>
      </c>
      <c r="B521" s="4" t="s">
        <v>16</v>
      </c>
      <c r="C521" s="4" t="s">
        <v>7070</v>
      </c>
      <c r="D521" s="4">
        <v>44006.0</v>
      </c>
      <c r="E521" s="4">
        <v>0.4170138888888889</v>
      </c>
      <c r="F521" s="4">
        <v>3.4722222222222224E-4</v>
      </c>
      <c r="G521" s="4">
        <v>0.4173611111111111</v>
      </c>
      <c r="H521" s="4" t="s">
        <v>1944</v>
      </c>
      <c r="I521" s="4"/>
      <c r="J521" s="4"/>
      <c r="K521" s="4" t="s">
        <v>394</v>
      </c>
      <c r="L521" s="4" t="s">
        <v>81</v>
      </c>
      <c r="M521" s="4"/>
      <c r="N521" s="4"/>
      <c r="O521" s="4" t="s">
        <v>81</v>
      </c>
      <c r="P521" s="4"/>
      <c r="Q521" s="4"/>
      <c r="R521" s="4"/>
      <c r="S521" s="4"/>
      <c r="T521" s="4"/>
      <c r="U521" s="4">
        <v>0.0</v>
      </c>
      <c r="V521" s="4"/>
      <c r="W521" s="4"/>
      <c r="X521" s="4"/>
      <c r="Y521" s="4"/>
      <c r="Z521" s="4"/>
      <c r="AA521" s="4"/>
    </row>
    <row r="522">
      <c r="A522" s="4" t="s">
        <v>7670</v>
      </c>
      <c r="B522" s="4" t="s">
        <v>16</v>
      </c>
      <c r="C522" s="4" t="s">
        <v>7070</v>
      </c>
      <c r="D522" s="4">
        <v>44006.0</v>
      </c>
      <c r="E522" s="4">
        <v>0.4173611111111111</v>
      </c>
      <c r="F522" s="4">
        <v>0.010416666666666666</v>
      </c>
      <c r="G522" s="4">
        <v>0.4277777777777778</v>
      </c>
      <c r="H522" s="4" t="s">
        <v>847</v>
      </c>
      <c r="I522" s="4" t="s">
        <v>6947</v>
      </c>
      <c r="J522" s="4" t="s">
        <v>6948</v>
      </c>
      <c r="K522" s="4" t="s">
        <v>394</v>
      </c>
      <c r="L522" s="4" t="s">
        <v>74</v>
      </c>
      <c r="M522" s="4" t="s">
        <v>7598</v>
      </c>
      <c r="N522" s="4" t="s">
        <v>6749</v>
      </c>
      <c r="O522" s="4" t="s">
        <v>602</v>
      </c>
      <c r="P522" s="4" t="s">
        <v>603</v>
      </c>
      <c r="Q522" s="4" t="s">
        <v>604</v>
      </c>
      <c r="R522" s="4" t="s">
        <v>361</v>
      </c>
      <c r="S522" s="4"/>
      <c r="T522" s="4" t="s">
        <v>605</v>
      </c>
      <c r="U522" s="4">
        <v>4.0</v>
      </c>
      <c r="V522" s="4" t="s">
        <v>7671</v>
      </c>
      <c r="W522" s="4" t="s">
        <v>6872</v>
      </c>
      <c r="X522" s="4"/>
      <c r="Y522" s="4"/>
      <c r="Z522" s="4"/>
      <c r="AA522" s="4"/>
    </row>
    <row r="523">
      <c r="A523" s="4" t="s">
        <v>7672</v>
      </c>
      <c r="B523" s="4" t="s">
        <v>16</v>
      </c>
      <c r="C523" s="4" t="s">
        <v>7070</v>
      </c>
      <c r="D523" s="4">
        <v>44006.0</v>
      </c>
      <c r="E523" s="4">
        <v>0.4277777777777778</v>
      </c>
      <c r="F523" s="4">
        <v>1.7361111111111112E-4</v>
      </c>
      <c r="G523" s="4">
        <v>0.42795138888888895</v>
      </c>
      <c r="H523" s="4" t="s">
        <v>1944</v>
      </c>
      <c r="I523" s="4"/>
      <c r="J523" s="4"/>
      <c r="K523" s="4" t="s">
        <v>394</v>
      </c>
      <c r="L523" s="4" t="s">
        <v>85</v>
      </c>
      <c r="M523" s="4"/>
      <c r="N523" s="4"/>
      <c r="O523" s="4" t="s">
        <v>85</v>
      </c>
      <c r="P523" s="4"/>
      <c r="Q523" s="4"/>
      <c r="R523" s="4"/>
      <c r="S523" s="4"/>
      <c r="T523" s="4"/>
      <c r="U523" s="4">
        <v>0.0</v>
      </c>
      <c r="V523" s="4"/>
      <c r="W523" s="4"/>
      <c r="X523" s="4"/>
      <c r="Y523" s="4"/>
      <c r="Z523" s="4"/>
      <c r="AA523" s="4"/>
    </row>
    <row r="524">
      <c r="A524" s="4" t="s">
        <v>7673</v>
      </c>
      <c r="B524" s="4" t="s">
        <v>16</v>
      </c>
      <c r="C524" s="4" t="s">
        <v>7070</v>
      </c>
      <c r="D524" s="4">
        <v>44006.0</v>
      </c>
      <c r="E524" s="4">
        <v>0.42795138888888895</v>
      </c>
      <c r="F524" s="4">
        <v>3.4722222222222224E-4</v>
      </c>
      <c r="G524" s="4">
        <v>0.42829861111111117</v>
      </c>
      <c r="H524" s="4" t="s">
        <v>1944</v>
      </c>
      <c r="I524" s="4"/>
      <c r="J524" s="4"/>
      <c r="K524" s="4" t="s">
        <v>394</v>
      </c>
      <c r="L524" s="4" t="s">
        <v>81</v>
      </c>
      <c r="M524" s="4"/>
      <c r="N524" s="4"/>
      <c r="O524" s="4" t="s">
        <v>81</v>
      </c>
      <c r="P524" s="4"/>
      <c r="Q524" s="4"/>
      <c r="R524" s="4"/>
      <c r="S524" s="4"/>
      <c r="T524" s="4"/>
      <c r="U524" s="4">
        <v>0.0</v>
      </c>
      <c r="V524" s="4"/>
      <c r="W524" s="4"/>
      <c r="X524" s="4"/>
      <c r="Y524" s="4"/>
      <c r="Z524" s="4"/>
      <c r="AA524" s="4"/>
    </row>
    <row r="525">
      <c r="A525" s="4" t="s">
        <v>7674</v>
      </c>
      <c r="B525" s="4" t="s">
        <v>16</v>
      </c>
      <c r="C525" s="4" t="s">
        <v>7070</v>
      </c>
      <c r="D525" s="4">
        <v>44006.0</v>
      </c>
      <c r="E525" s="4">
        <v>0.42829861111111117</v>
      </c>
      <c r="F525" s="4">
        <v>0.012152777777777778</v>
      </c>
      <c r="G525" s="4">
        <v>0.44045138888888896</v>
      </c>
      <c r="H525" s="4" t="s">
        <v>847</v>
      </c>
      <c r="I525" s="4" t="s">
        <v>6947</v>
      </c>
      <c r="J525" s="4" t="s">
        <v>6853</v>
      </c>
      <c r="K525" s="4" t="s">
        <v>394</v>
      </c>
      <c r="L525" s="4" t="s">
        <v>107</v>
      </c>
      <c r="M525" s="4" t="s">
        <v>7598</v>
      </c>
      <c r="N525" s="4" t="s">
        <v>6749</v>
      </c>
      <c r="O525" s="4" t="s">
        <v>7675</v>
      </c>
      <c r="P525" s="4" t="s">
        <v>614</v>
      </c>
      <c r="Q525" s="4" t="s">
        <v>7676</v>
      </c>
      <c r="R525" s="4"/>
      <c r="S525" s="4"/>
      <c r="T525" s="4" t="s">
        <v>7677</v>
      </c>
      <c r="U525" s="4">
        <v>3.0</v>
      </c>
      <c r="V525" s="4" t="s">
        <v>7678</v>
      </c>
      <c r="W525" s="4" t="s">
        <v>6872</v>
      </c>
      <c r="X525" s="4"/>
      <c r="Y525" s="4"/>
      <c r="Z525" s="4"/>
      <c r="AA525" s="4"/>
    </row>
    <row r="526">
      <c r="A526" s="4" t="s">
        <v>7679</v>
      </c>
      <c r="B526" s="4" t="s">
        <v>16</v>
      </c>
      <c r="C526" s="4" t="s">
        <v>7070</v>
      </c>
      <c r="D526" s="4">
        <v>44006.0</v>
      </c>
      <c r="E526" s="4">
        <v>0.44045138888888896</v>
      </c>
      <c r="F526" s="4">
        <v>1.7361111111111112E-4</v>
      </c>
      <c r="G526" s="4">
        <v>0.4406250000000001</v>
      </c>
      <c r="H526" s="4" t="s">
        <v>1944</v>
      </c>
      <c r="I526" s="4"/>
      <c r="J526" s="4"/>
      <c r="K526" s="4" t="s">
        <v>394</v>
      </c>
      <c r="L526" s="4" t="s">
        <v>85</v>
      </c>
      <c r="M526" s="4"/>
      <c r="N526" s="4"/>
      <c r="O526" s="4" t="s">
        <v>85</v>
      </c>
      <c r="P526" s="4"/>
      <c r="Q526" s="4"/>
      <c r="R526" s="4"/>
      <c r="S526" s="4"/>
      <c r="T526" s="4"/>
      <c r="U526" s="4">
        <v>0.0</v>
      </c>
      <c r="V526" s="4"/>
      <c r="W526" s="4"/>
      <c r="X526" s="4"/>
      <c r="Y526" s="4"/>
      <c r="Z526" s="4"/>
      <c r="AA526" s="4"/>
    </row>
    <row r="527">
      <c r="A527" s="4" t="s">
        <v>7680</v>
      </c>
      <c r="B527" s="4" t="s">
        <v>16</v>
      </c>
      <c r="C527" s="4" t="s">
        <v>7070</v>
      </c>
      <c r="D527" s="4">
        <v>44006.0</v>
      </c>
      <c r="E527" s="4">
        <v>0.4406250000000001</v>
      </c>
      <c r="F527" s="4">
        <v>3.4722222222222224E-4</v>
      </c>
      <c r="G527" s="4">
        <v>0.4409722222222223</v>
      </c>
      <c r="H527" s="4" t="s">
        <v>1944</v>
      </c>
      <c r="I527" s="4"/>
      <c r="J527" s="4"/>
      <c r="K527" s="4" t="s">
        <v>394</v>
      </c>
      <c r="L527" s="4" t="s">
        <v>81</v>
      </c>
      <c r="M527" s="4"/>
      <c r="N527" s="4"/>
      <c r="O527" s="4" t="s">
        <v>81</v>
      </c>
      <c r="P527" s="4"/>
      <c r="Q527" s="4"/>
      <c r="R527" s="4"/>
      <c r="S527" s="4"/>
      <c r="T527" s="4"/>
      <c r="U527" s="4">
        <v>0.0</v>
      </c>
      <c r="V527" s="4"/>
      <c r="W527" s="4"/>
      <c r="X527" s="4"/>
      <c r="Y527" s="4"/>
      <c r="Z527" s="4"/>
      <c r="AA527" s="4"/>
    </row>
    <row r="528">
      <c r="A528" s="4" t="s">
        <v>7681</v>
      </c>
      <c r="B528" s="4" t="s">
        <v>16</v>
      </c>
      <c r="C528" s="4" t="s">
        <v>7070</v>
      </c>
      <c r="D528" s="4">
        <v>44006.0</v>
      </c>
      <c r="E528" s="4">
        <v>0.4409722222222223</v>
      </c>
      <c r="F528" s="4">
        <v>0.008333333333333333</v>
      </c>
      <c r="G528" s="4">
        <v>0.4493055555555557</v>
      </c>
      <c r="H528" s="4" t="s">
        <v>847</v>
      </c>
      <c r="I528" s="4" t="s">
        <v>6947</v>
      </c>
      <c r="J528" s="4" t="s">
        <v>6948</v>
      </c>
      <c r="K528" s="4" t="s">
        <v>394</v>
      </c>
      <c r="L528" s="4" t="s">
        <v>107</v>
      </c>
      <c r="M528" s="4" t="s">
        <v>7462</v>
      </c>
      <c r="N528" s="4" t="s">
        <v>6858</v>
      </c>
      <c r="O528" s="4" t="s">
        <v>620</v>
      </c>
      <c r="P528" s="4" t="s">
        <v>621</v>
      </c>
      <c r="Q528" s="4" t="s">
        <v>622</v>
      </c>
      <c r="R528" s="4"/>
      <c r="S528" s="4"/>
      <c r="T528" s="4" t="s">
        <v>605</v>
      </c>
      <c r="U528" s="4">
        <v>3.0</v>
      </c>
      <c r="V528" s="4" t="s">
        <v>7682</v>
      </c>
      <c r="W528" s="4" t="s">
        <v>6920</v>
      </c>
      <c r="X528" s="4" t="s">
        <v>7683</v>
      </c>
      <c r="Y528" s="4"/>
      <c r="Z528" s="4"/>
      <c r="AA528" s="4"/>
    </row>
    <row r="529">
      <c r="A529" s="4" t="s">
        <v>7684</v>
      </c>
      <c r="B529" s="4" t="s">
        <v>16</v>
      </c>
      <c r="C529" s="4" t="s">
        <v>7070</v>
      </c>
      <c r="D529" s="4">
        <v>44006.0</v>
      </c>
      <c r="E529" s="4">
        <v>0.4493055555555557</v>
      </c>
      <c r="F529" s="4">
        <v>1.7361111111111112E-4</v>
      </c>
      <c r="G529" s="4">
        <v>0.4494791666666668</v>
      </c>
      <c r="H529" s="4" t="s">
        <v>1944</v>
      </c>
      <c r="I529" s="4"/>
      <c r="J529" s="4"/>
      <c r="K529" s="4" t="s">
        <v>394</v>
      </c>
      <c r="L529" s="4" t="s">
        <v>85</v>
      </c>
      <c r="M529" s="4"/>
      <c r="N529" s="4"/>
      <c r="O529" s="4" t="s">
        <v>85</v>
      </c>
      <c r="P529" s="4"/>
      <c r="Q529" s="4"/>
      <c r="R529" s="4"/>
      <c r="S529" s="4"/>
      <c r="T529" s="4"/>
      <c r="U529" s="4">
        <v>0.0</v>
      </c>
      <c r="V529" s="4"/>
      <c r="W529" s="4"/>
      <c r="X529" s="4"/>
      <c r="Y529" s="4"/>
      <c r="Z529" s="4"/>
      <c r="AA529" s="4"/>
    </row>
    <row r="530">
      <c r="A530" s="4" t="s">
        <v>7685</v>
      </c>
      <c r="B530" s="4" t="s">
        <v>16</v>
      </c>
      <c r="C530" s="4" t="s">
        <v>7070</v>
      </c>
      <c r="D530" s="4">
        <v>44006.0</v>
      </c>
      <c r="E530" s="4">
        <v>0.4494791666666668</v>
      </c>
      <c r="F530" s="4">
        <v>3.4722222222222224E-4</v>
      </c>
      <c r="G530" s="4">
        <v>0.44982638888888904</v>
      </c>
      <c r="H530" s="4" t="s">
        <v>1944</v>
      </c>
      <c r="I530" s="4"/>
      <c r="J530" s="4"/>
      <c r="K530" s="4" t="s">
        <v>394</v>
      </c>
      <c r="L530" s="4" t="s">
        <v>81</v>
      </c>
      <c r="M530" s="4"/>
      <c r="N530" s="4"/>
      <c r="O530" s="4" t="s">
        <v>81</v>
      </c>
      <c r="P530" s="4"/>
      <c r="Q530" s="4"/>
      <c r="R530" s="4"/>
      <c r="S530" s="4"/>
      <c r="T530" s="4"/>
      <c r="U530" s="4">
        <v>0.0</v>
      </c>
      <c r="V530" s="4"/>
      <c r="W530" s="4"/>
      <c r="X530" s="4"/>
      <c r="Y530" s="4"/>
      <c r="Z530" s="4"/>
      <c r="AA530" s="4"/>
    </row>
    <row r="531">
      <c r="A531" s="4" t="s">
        <v>7686</v>
      </c>
      <c r="B531" s="4" t="s">
        <v>16</v>
      </c>
      <c r="C531" s="4" t="s">
        <v>7070</v>
      </c>
      <c r="D531" s="4">
        <v>44006.0</v>
      </c>
      <c r="E531" s="4">
        <v>0.44982638888888904</v>
      </c>
      <c r="F531" s="4">
        <v>0.008333333333333333</v>
      </c>
      <c r="G531" s="4">
        <v>0.4581597222222224</v>
      </c>
      <c r="H531" s="4" t="s">
        <v>847</v>
      </c>
      <c r="I531" s="4" t="s">
        <v>6947</v>
      </c>
      <c r="J531" s="4" t="s">
        <v>6948</v>
      </c>
      <c r="K531" s="4" t="s">
        <v>394</v>
      </c>
      <c r="L531" s="4" t="s">
        <v>107</v>
      </c>
      <c r="M531" s="4" t="s">
        <v>7598</v>
      </c>
      <c r="N531" s="4" t="s">
        <v>6689</v>
      </c>
      <c r="O531" s="4" t="s">
        <v>729</v>
      </c>
      <c r="P531" s="4" t="s">
        <v>730</v>
      </c>
      <c r="Q531" s="4" t="s">
        <v>361</v>
      </c>
      <c r="R531" s="4"/>
      <c r="S531" s="4"/>
      <c r="T531" s="4" t="s">
        <v>733</v>
      </c>
      <c r="U531" s="4">
        <v>3.0</v>
      </c>
      <c r="V531" s="4" t="s">
        <v>7687</v>
      </c>
      <c r="W531" s="4" t="s">
        <v>7197</v>
      </c>
      <c r="X531" s="4"/>
      <c r="Y531" s="4"/>
      <c r="Z531" s="4"/>
      <c r="AA531" s="4"/>
    </row>
    <row r="532">
      <c r="A532" s="4" t="s">
        <v>7688</v>
      </c>
      <c r="B532" s="4" t="s">
        <v>16</v>
      </c>
      <c r="C532" s="4" t="s">
        <v>7070</v>
      </c>
      <c r="D532" s="4">
        <v>44006.0</v>
      </c>
      <c r="E532" s="4">
        <v>0.4581597222222224</v>
      </c>
      <c r="F532" s="4">
        <v>1.7361111111111112E-4</v>
      </c>
      <c r="G532" s="4">
        <v>0.45833333333333354</v>
      </c>
      <c r="H532" s="4" t="s">
        <v>1944</v>
      </c>
      <c r="I532" s="4"/>
      <c r="J532" s="4"/>
      <c r="K532" s="4" t="s">
        <v>394</v>
      </c>
      <c r="L532" s="4" t="s">
        <v>85</v>
      </c>
      <c r="M532" s="4"/>
      <c r="N532" s="4"/>
      <c r="O532" s="4" t="s">
        <v>85</v>
      </c>
      <c r="P532" s="4"/>
      <c r="Q532" s="4"/>
      <c r="R532" s="4"/>
      <c r="S532" s="4"/>
      <c r="T532" s="4"/>
      <c r="U532" s="4">
        <v>0.0</v>
      </c>
      <c r="V532" s="4"/>
      <c r="W532" s="4"/>
      <c r="X532" s="4"/>
      <c r="Y532" s="4"/>
      <c r="Z532" s="4"/>
      <c r="AA532" s="4"/>
    </row>
    <row r="533">
      <c r="A533" s="4" t="s">
        <v>7689</v>
      </c>
      <c r="B533" s="4" t="s">
        <v>16</v>
      </c>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c r="A534" s="4" t="s">
        <v>7690</v>
      </c>
      <c r="B534" s="4" t="s">
        <v>16</v>
      </c>
      <c r="C534" s="4" t="s">
        <v>7070</v>
      </c>
      <c r="D534" s="4">
        <v>44006.0</v>
      </c>
      <c r="E534" s="4">
        <v>0.45833333333333354</v>
      </c>
      <c r="F534" s="4">
        <v>3.4722222222222224E-4</v>
      </c>
      <c r="G534" s="4">
        <v>0.45868055555555576</v>
      </c>
      <c r="H534" s="4" t="s">
        <v>1944</v>
      </c>
      <c r="I534" s="4"/>
      <c r="J534" s="4"/>
      <c r="K534" s="4" t="s">
        <v>195</v>
      </c>
      <c r="L534" s="4" t="s">
        <v>89</v>
      </c>
      <c r="M534" s="4"/>
      <c r="N534" s="4"/>
      <c r="O534" s="4" t="s">
        <v>89</v>
      </c>
      <c r="P534" s="4"/>
      <c r="Q534" s="4"/>
      <c r="R534" s="4"/>
      <c r="S534" s="4"/>
      <c r="T534" s="4"/>
      <c r="U534" s="4">
        <v>0.0</v>
      </c>
      <c r="V534" s="4"/>
      <c r="W534" s="4"/>
      <c r="X534" s="4"/>
      <c r="Y534" s="4"/>
      <c r="Z534" s="4"/>
      <c r="AA534" s="4"/>
    </row>
    <row r="535">
      <c r="A535" s="4" t="s">
        <v>7691</v>
      </c>
      <c r="B535" s="4" t="s">
        <v>16</v>
      </c>
      <c r="C535" s="4" t="s">
        <v>7070</v>
      </c>
      <c r="D535" s="4">
        <v>44006.0</v>
      </c>
      <c r="E535" s="4">
        <v>0.45868055555555576</v>
      </c>
      <c r="F535" s="4">
        <v>1.7361111111111112E-4</v>
      </c>
      <c r="G535" s="4">
        <v>0.4588541666666669</v>
      </c>
      <c r="H535" s="4" t="s">
        <v>2004</v>
      </c>
      <c r="I535" s="4"/>
      <c r="J535" s="4"/>
      <c r="K535" s="4" t="s">
        <v>195</v>
      </c>
      <c r="L535" s="4" t="s">
        <v>77</v>
      </c>
      <c r="M535" s="4"/>
      <c r="N535" s="4"/>
      <c r="O535" s="4" t="s">
        <v>7692</v>
      </c>
      <c r="P535" s="4"/>
      <c r="Q535" s="4"/>
      <c r="R535" s="4"/>
      <c r="S535" s="4"/>
      <c r="T535" s="4"/>
      <c r="U535" s="4"/>
      <c r="V535" s="4"/>
      <c r="W535" s="4"/>
      <c r="X535" s="4"/>
      <c r="Y535" s="4"/>
      <c r="Z535" s="4"/>
      <c r="AA535" s="4"/>
    </row>
    <row r="536">
      <c r="A536" s="4" t="s">
        <v>7693</v>
      </c>
      <c r="B536" s="4" t="s">
        <v>16</v>
      </c>
      <c r="C536" s="4" t="s">
        <v>7070</v>
      </c>
      <c r="D536" s="4">
        <v>44006.0</v>
      </c>
      <c r="E536" s="4">
        <v>0.4588541666666669</v>
      </c>
      <c r="F536" s="4">
        <v>3.4722222222222224E-4</v>
      </c>
      <c r="G536" s="4">
        <v>0.4592013888888891</v>
      </c>
      <c r="H536" s="4" t="s">
        <v>1944</v>
      </c>
      <c r="I536" s="4"/>
      <c r="J536" s="4"/>
      <c r="K536" s="4" t="s">
        <v>195</v>
      </c>
      <c r="L536" s="4" t="s">
        <v>81</v>
      </c>
      <c r="M536" s="4"/>
      <c r="N536" s="4"/>
      <c r="O536" s="4" t="s">
        <v>81</v>
      </c>
      <c r="P536" s="4"/>
      <c r="Q536" s="4"/>
      <c r="R536" s="4"/>
      <c r="S536" s="4"/>
      <c r="T536" s="4"/>
      <c r="U536" s="4"/>
      <c r="V536" s="4"/>
      <c r="W536" s="4"/>
      <c r="X536" s="4"/>
      <c r="Y536" s="4"/>
      <c r="Z536" s="4"/>
      <c r="AA536" s="4"/>
    </row>
    <row r="537">
      <c r="A537" s="4" t="s">
        <v>7694</v>
      </c>
      <c r="B537" s="4" t="s">
        <v>16</v>
      </c>
      <c r="C537" s="4" t="s">
        <v>7070</v>
      </c>
      <c r="D537" s="4">
        <v>44006.0</v>
      </c>
      <c r="E537" s="4">
        <v>0.4592013888888891</v>
      </c>
      <c r="F537" s="4">
        <v>0.006944444444444444</v>
      </c>
      <c r="G537" s="4">
        <v>0.46614583333333354</v>
      </c>
      <c r="H537" s="4" t="s">
        <v>946</v>
      </c>
      <c r="I537" s="4" t="s">
        <v>314</v>
      </c>
      <c r="J537" s="4" t="s">
        <v>15</v>
      </c>
      <c r="K537" s="4" t="s">
        <v>195</v>
      </c>
      <c r="L537" s="4" t="s">
        <v>165</v>
      </c>
      <c r="M537" s="4" t="s">
        <v>7126</v>
      </c>
      <c r="N537" s="4" t="s">
        <v>6858</v>
      </c>
      <c r="O537" s="4" t="s">
        <v>627</v>
      </c>
      <c r="P537" s="4" t="s">
        <v>628</v>
      </c>
      <c r="Q537" s="4"/>
      <c r="R537" s="4"/>
      <c r="S537" s="4"/>
      <c r="T537" s="4"/>
      <c r="U537" s="4">
        <v>1.0</v>
      </c>
      <c r="V537" s="4" t="s">
        <v>7695</v>
      </c>
      <c r="W537" s="4" t="s">
        <v>6890</v>
      </c>
      <c r="X537" s="4">
        <v>43962.6875</v>
      </c>
      <c r="Y537" s="4" t="s">
        <v>7696</v>
      </c>
      <c r="Z537" s="4" t="s">
        <v>946</v>
      </c>
      <c r="AA537" s="4"/>
    </row>
    <row r="538">
      <c r="A538" s="4" t="s">
        <v>7697</v>
      </c>
      <c r="B538" s="4" t="s">
        <v>16</v>
      </c>
      <c r="C538" s="4" t="s">
        <v>7070</v>
      </c>
      <c r="D538" s="4">
        <v>44006.0</v>
      </c>
      <c r="E538" s="4">
        <v>0.46614583333333354</v>
      </c>
      <c r="F538" s="4">
        <v>1.7361111111111112E-4</v>
      </c>
      <c r="G538" s="4">
        <v>0.4663194444444447</v>
      </c>
      <c r="H538" s="4" t="s">
        <v>1944</v>
      </c>
      <c r="I538" s="4"/>
      <c r="J538" s="4"/>
      <c r="K538" s="4" t="s">
        <v>195</v>
      </c>
      <c r="L538" s="4" t="s">
        <v>85</v>
      </c>
      <c r="M538" s="4"/>
      <c r="N538" s="4"/>
      <c r="O538" s="4" t="s">
        <v>85</v>
      </c>
      <c r="P538" s="4"/>
      <c r="Q538" s="4"/>
      <c r="R538" s="4"/>
      <c r="S538" s="4"/>
      <c r="T538" s="4"/>
      <c r="U538" s="4">
        <v>0.0</v>
      </c>
      <c r="V538" s="4"/>
      <c r="W538" s="4"/>
      <c r="X538" s="4"/>
      <c r="Y538" s="4"/>
      <c r="Z538" s="4"/>
      <c r="AA538" s="4"/>
    </row>
    <row r="539">
      <c r="A539" s="4" t="s">
        <v>7698</v>
      </c>
      <c r="B539" s="4" t="s">
        <v>16</v>
      </c>
      <c r="C539" s="4" t="s">
        <v>7070</v>
      </c>
      <c r="D539" s="4">
        <v>44006.0</v>
      </c>
      <c r="E539" s="4">
        <v>0.4663194444444447</v>
      </c>
      <c r="F539" s="4">
        <v>1.7361111111111112E-4</v>
      </c>
      <c r="G539" s="4">
        <v>0.4664930555555558</v>
      </c>
      <c r="H539" s="4" t="s">
        <v>2004</v>
      </c>
      <c r="I539" s="4"/>
      <c r="J539" s="4"/>
      <c r="K539" s="4" t="s">
        <v>195</v>
      </c>
      <c r="L539" s="4" t="s">
        <v>506</v>
      </c>
      <c r="M539" s="4"/>
      <c r="N539" s="4"/>
      <c r="O539" s="4" t="s">
        <v>7699</v>
      </c>
      <c r="P539" s="4"/>
      <c r="Q539" s="4"/>
      <c r="R539" s="4"/>
      <c r="S539" s="4"/>
      <c r="T539" s="4"/>
      <c r="U539" s="4"/>
      <c r="V539" s="4"/>
      <c r="W539" s="4"/>
      <c r="X539" s="4"/>
      <c r="Y539" s="4"/>
      <c r="Z539" s="4"/>
      <c r="AA539" s="4"/>
    </row>
    <row r="540">
      <c r="A540" s="4" t="s">
        <v>7700</v>
      </c>
      <c r="B540" s="4" t="s">
        <v>16</v>
      </c>
      <c r="C540" s="4" t="s">
        <v>7070</v>
      </c>
      <c r="D540" s="4">
        <v>44006.0</v>
      </c>
      <c r="E540" s="4">
        <v>0.4664930555555558</v>
      </c>
      <c r="F540" s="4">
        <v>3.4722222222222224E-4</v>
      </c>
      <c r="G540" s="4">
        <v>0.46684027777777803</v>
      </c>
      <c r="H540" s="4"/>
      <c r="I540" s="4"/>
      <c r="J540" s="4"/>
      <c r="K540" s="4" t="s">
        <v>195</v>
      </c>
      <c r="L540" s="4" t="s">
        <v>89</v>
      </c>
      <c r="M540" s="4"/>
      <c r="N540" s="4"/>
      <c r="O540" s="4" t="s">
        <v>89</v>
      </c>
      <c r="P540" s="4"/>
      <c r="Q540" s="4"/>
      <c r="R540" s="4"/>
      <c r="S540" s="4"/>
      <c r="T540" s="4"/>
      <c r="U540" s="4"/>
      <c r="V540" s="4"/>
      <c r="W540" s="4"/>
      <c r="X540" s="4"/>
      <c r="Y540" s="4"/>
      <c r="Z540" s="4"/>
      <c r="AA540" s="4"/>
    </row>
    <row r="541">
      <c r="A541" s="4" t="s">
        <v>7701</v>
      </c>
      <c r="B541" s="4" t="s">
        <v>16</v>
      </c>
      <c r="C541" s="4" t="s">
        <v>7070</v>
      </c>
      <c r="D541" s="4">
        <v>44006.0</v>
      </c>
      <c r="E541" s="4">
        <v>0.46684027777777803</v>
      </c>
      <c r="F541" s="4">
        <v>3.4722222222222224E-4</v>
      </c>
      <c r="G541" s="4">
        <v>0.46718750000000026</v>
      </c>
      <c r="H541" s="4" t="s">
        <v>1944</v>
      </c>
      <c r="I541" s="4"/>
      <c r="J541" s="4"/>
      <c r="K541" s="4" t="s">
        <v>195</v>
      </c>
      <c r="L541" s="4" t="s">
        <v>81</v>
      </c>
      <c r="M541" s="4"/>
      <c r="N541" s="4"/>
      <c r="O541" s="4" t="s">
        <v>81</v>
      </c>
      <c r="P541" s="4"/>
      <c r="Q541" s="4"/>
      <c r="R541" s="4"/>
      <c r="S541" s="4"/>
      <c r="T541" s="4"/>
      <c r="U541" s="4">
        <v>0.0</v>
      </c>
      <c r="V541" s="4"/>
      <c r="W541" s="4"/>
      <c r="X541" s="4"/>
      <c r="Y541" s="4"/>
      <c r="Z541" s="4"/>
      <c r="AA541" s="4"/>
    </row>
    <row r="542">
      <c r="A542" s="4" t="s">
        <v>7702</v>
      </c>
      <c r="B542" s="4" t="s">
        <v>16</v>
      </c>
      <c r="C542" s="4" t="s">
        <v>7070</v>
      </c>
      <c r="D542" s="4">
        <v>44006.0</v>
      </c>
      <c r="E542" s="4">
        <v>0.46718750000000026</v>
      </c>
      <c r="F542" s="4">
        <v>0.010416666666666666</v>
      </c>
      <c r="G542" s="4">
        <v>0.47760416666666694</v>
      </c>
      <c r="H542" s="4" t="s">
        <v>1055</v>
      </c>
      <c r="I542" s="4" t="s">
        <v>6947</v>
      </c>
      <c r="J542" s="4" t="s">
        <v>6903</v>
      </c>
      <c r="K542" s="4" t="s">
        <v>195</v>
      </c>
      <c r="L542" s="4" t="s">
        <v>94</v>
      </c>
      <c r="M542" s="4" t="s">
        <v>7462</v>
      </c>
      <c r="N542" s="4" t="s">
        <v>6755</v>
      </c>
      <c r="O542" s="4" t="s">
        <v>634</v>
      </c>
      <c r="P542" s="4" t="s">
        <v>635</v>
      </c>
      <c r="Q542" s="4"/>
      <c r="R542" s="4"/>
      <c r="S542" s="4"/>
      <c r="T542" s="4" t="s">
        <v>637</v>
      </c>
      <c r="U542" s="4">
        <v>2.0</v>
      </c>
      <c r="V542" s="4" t="s">
        <v>7703</v>
      </c>
      <c r="W542" s="4" t="s">
        <v>6920</v>
      </c>
      <c r="X542" s="4" t="s">
        <v>7704</v>
      </c>
      <c r="Y542" s="4"/>
      <c r="Z542" s="4" t="s">
        <v>4345</v>
      </c>
      <c r="AA542" s="4"/>
    </row>
    <row r="543">
      <c r="A543" s="4" t="s">
        <v>7705</v>
      </c>
      <c r="B543" s="4" t="s">
        <v>16</v>
      </c>
      <c r="C543" s="4" t="s">
        <v>7070</v>
      </c>
      <c r="D543" s="4">
        <v>44006.0</v>
      </c>
      <c r="E543" s="4">
        <v>0.47760416666666694</v>
      </c>
      <c r="F543" s="4">
        <v>1.7361111111111112E-4</v>
      </c>
      <c r="G543" s="4">
        <v>0.4777777777777781</v>
      </c>
      <c r="H543" s="4" t="s">
        <v>1944</v>
      </c>
      <c r="I543" s="4"/>
      <c r="J543" s="4"/>
      <c r="K543" s="4" t="s">
        <v>195</v>
      </c>
      <c r="L543" s="4" t="s">
        <v>85</v>
      </c>
      <c r="M543" s="4"/>
      <c r="N543" s="4"/>
      <c r="O543" s="4" t="s">
        <v>85</v>
      </c>
      <c r="P543" s="4"/>
      <c r="Q543" s="4"/>
      <c r="R543" s="4"/>
      <c r="S543" s="4"/>
      <c r="T543" s="4"/>
      <c r="U543" s="4">
        <v>0.0</v>
      </c>
      <c r="V543" s="4"/>
      <c r="W543" s="4"/>
      <c r="X543" s="4"/>
      <c r="Y543" s="4"/>
      <c r="Z543" s="4"/>
      <c r="AA543" s="4"/>
    </row>
    <row r="544">
      <c r="A544" s="4" t="s">
        <v>7706</v>
      </c>
      <c r="B544" s="4" t="s">
        <v>16</v>
      </c>
      <c r="C544" s="4" t="s">
        <v>7070</v>
      </c>
      <c r="D544" s="4">
        <v>44006.0</v>
      </c>
      <c r="E544" s="4">
        <v>0.4777777777777781</v>
      </c>
      <c r="F544" s="4">
        <v>1.7361111111111112E-4</v>
      </c>
      <c r="G544" s="4">
        <v>0.4779513888888892</v>
      </c>
      <c r="H544" s="4" t="s">
        <v>2004</v>
      </c>
      <c r="I544" s="4"/>
      <c r="J544" s="4"/>
      <c r="K544" s="4" t="s">
        <v>195</v>
      </c>
      <c r="L544" s="4" t="s">
        <v>77</v>
      </c>
      <c r="M544" s="4"/>
      <c r="N544" s="4"/>
      <c r="O544" s="4" t="s">
        <v>7707</v>
      </c>
      <c r="P544" s="4"/>
      <c r="Q544" s="4"/>
      <c r="R544" s="4"/>
      <c r="S544" s="4"/>
      <c r="T544" s="4"/>
      <c r="U544" s="4"/>
      <c r="V544" s="4"/>
      <c r="W544" s="4"/>
      <c r="X544" s="4"/>
      <c r="Y544" s="4"/>
      <c r="Z544" s="4"/>
      <c r="AA544" s="4"/>
    </row>
    <row r="545">
      <c r="A545" s="4" t="s">
        <v>7708</v>
      </c>
      <c r="B545" s="4" t="s">
        <v>16</v>
      </c>
      <c r="C545" s="4" t="s">
        <v>7070</v>
      </c>
      <c r="D545" s="4">
        <v>44006.0</v>
      </c>
      <c r="E545" s="4">
        <v>0.4779513888888892</v>
      </c>
      <c r="F545" s="4">
        <v>3.4722222222222224E-4</v>
      </c>
      <c r="G545" s="4">
        <v>0.47829861111111144</v>
      </c>
      <c r="H545" s="4" t="s">
        <v>1944</v>
      </c>
      <c r="I545" s="4"/>
      <c r="J545" s="4"/>
      <c r="K545" s="4" t="s">
        <v>195</v>
      </c>
      <c r="L545" s="4" t="s">
        <v>81</v>
      </c>
      <c r="M545" s="4"/>
      <c r="N545" s="4"/>
      <c r="O545" s="4" t="s">
        <v>81</v>
      </c>
      <c r="P545" s="4"/>
      <c r="Q545" s="4"/>
      <c r="R545" s="4"/>
      <c r="S545" s="4"/>
      <c r="T545" s="4"/>
      <c r="U545" s="4">
        <v>0.0</v>
      </c>
      <c r="V545" s="4"/>
      <c r="W545" s="4"/>
      <c r="X545" s="4"/>
      <c r="Y545" s="4"/>
      <c r="Z545" s="4"/>
      <c r="AA545" s="4"/>
    </row>
    <row r="546">
      <c r="A546" s="4" t="s">
        <v>7709</v>
      </c>
      <c r="B546" s="4" t="s">
        <v>16</v>
      </c>
      <c r="C546" s="4" t="s">
        <v>7070</v>
      </c>
      <c r="D546" s="4">
        <v>44006.0</v>
      </c>
      <c r="E546" s="4">
        <v>0.47829861111111144</v>
      </c>
      <c r="F546" s="4">
        <v>0.006944444444444444</v>
      </c>
      <c r="G546" s="4">
        <v>0.48524305555555586</v>
      </c>
      <c r="H546" s="4" t="s">
        <v>1631</v>
      </c>
      <c r="I546" s="4" t="s">
        <v>314</v>
      </c>
      <c r="J546" s="4" t="s">
        <v>7059</v>
      </c>
      <c r="K546" s="4" t="s">
        <v>195</v>
      </c>
      <c r="L546" s="4" t="s">
        <v>165</v>
      </c>
      <c r="M546" s="4" t="s">
        <v>7505</v>
      </c>
      <c r="N546" s="4" t="s">
        <v>7475</v>
      </c>
      <c r="O546" s="4" t="s">
        <v>641</v>
      </c>
      <c r="P546" s="4" t="s">
        <v>642</v>
      </c>
      <c r="Q546" s="4"/>
      <c r="R546" s="4"/>
      <c r="S546" s="4"/>
      <c r="T546" s="4"/>
      <c r="U546" s="4">
        <v>1.0</v>
      </c>
      <c r="V546" s="4" t="s">
        <v>7710</v>
      </c>
      <c r="W546" s="4" t="s">
        <v>7197</v>
      </c>
      <c r="X546" s="4" t="s">
        <v>7711</v>
      </c>
      <c r="Y546" s="4" t="s">
        <v>7712</v>
      </c>
      <c r="Z546" s="4" t="s">
        <v>1631</v>
      </c>
      <c r="AA546" s="4"/>
    </row>
    <row r="547">
      <c r="A547" s="4" t="s">
        <v>7713</v>
      </c>
      <c r="B547" s="4" t="s">
        <v>16</v>
      </c>
      <c r="C547" s="4" t="s">
        <v>7070</v>
      </c>
      <c r="D547" s="4">
        <v>44006.0</v>
      </c>
      <c r="E547" s="4">
        <v>0.48524305555555586</v>
      </c>
      <c r="F547" s="4">
        <v>1.7361111111111112E-4</v>
      </c>
      <c r="G547" s="4">
        <v>0.485416666666667</v>
      </c>
      <c r="H547" s="4" t="s">
        <v>1944</v>
      </c>
      <c r="I547" s="4"/>
      <c r="J547" s="4"/>
      <c r="K547" s="4" t="s">
        <v>195</v>
      </c>
      <c r="L547" s="4" t="s">
        <v>85</v>
      </c>
      <c r="M547" s="4"/>
      <c r="N547" s="4"/>
      <c r="O547" s="4" t="s">
        <v>85</v>
      </c>
      <c r="P547" s="4"/>
      <c r="Q547" s="4"/>
      <c r="R547" s="4"/>
      <c r="S547" s="4"/>
      <c r="T547" s="4"/>
      <c r="U547" s="4">
        <v>0.0</v>
      </c>
      <c r="V547" s="4"/>
      <c r="W547" s="4"/>
      <c r="X547" s="4"/>
      <c r="Y547" s="4"/>
      <c r="Z547" s="4"/>
      <c r="AA547" s="4"/>
    </row>
    <row r="548">
      <c r="A548" s="4" t="s">
        <v>7714</v>
      </c>
      <c r="B548" s="4" t="s">
        <v>16</v>
      </c>
      <c r="C548" s="4" t="s">
        <v>7070</v>
      </c>
      <c r="D548" s="4">
        <v>44006.0</v>
      </c>
      <c r="E548" s="4">
        <v>0.485416666666667</v>
      </c>
      <c r="F548" s="4">
        <v>3.4722222222222224E-4</v>
      </c>
      <c r="G548" s="4">
        <v>0.4857638888888892</v>
      </c>
      <c r="H548" s="4" t="s">
        <v>1944</v>
      </c>
      <c r="I548" s="4"/>
      <c r="J548" s="4"/>
      <c r="K548" s="4" t="s">
        <v>195</v>
      </c>
      <c r="L548" s="4" t="s">
        <v>89</v>
      </c>
      <c r="M548" s="4"/>
      <c r="N548" s="4"/>
      <c r="O548" s="4" t="s">
        <v>89</v>
      </c>
      <c r="P548" s="4"/>
      <c r="Q548" s="4"/>
      <c r="R548" s="4"/>
      <c r="S548" s="4"/>
      <c r="T548" s="4"/>
      <c r="U548" s="4"/>
      <c r="V548" s="4"/>
      <c r="W548" s="4"/>
      <c r="X548" s="4"/>
      <c r="Y548" s="4"/>
      <c r="Z548" s="4"/>
      <c r="AA548" s="4"/>
    </row>
    <row r="549">
      <c r="A549" s="4" t="s">
        <v>7715</v>
      </c>
      <c r="B549" s="4" t="s">
        <v>16</v>
      </c>
      <c r="C549" s="4" t="s">
        <v>7070</v>
      </c>
      <c r="D549" s="4">
        <v>44006.0</v>
      </c>
      <c r="E549" s="4">
        <v>0.4857638888888892</v>
      </c>
      <c r="F549" s="4">
        <v>3.4722222222222224E-4</v>
      </c>
      <c r="G549" s="4">
        <v>0.48611111111111144</v>
      </c>
      <c r="H549" s="4" t="s">
        <v>1944</v>
      </c>
      <c r="I549" s="4"/>
      <c r="J549" s="4"/>
      <c r="K549" s="4" t="s">
        <v>195</v>
      </c>
      <c r="L549" s="4" t="s">
        <v>81</v>
      </c>
      <c r="M549" s="4"/>
      <c r="N549" s="4"/>
      <c r="O549" s="4" t="s">
        <v>81</v>
      </c>
      <c r="P549" s="4"/>
      <c r="Q549" s="4"/>
      <c r="R549" s="4"/>
      <c r="S549" s="4"/>
      <c r="T549" s="4"/>
      <c r="U549" s="4">
        <v>0.0</v>
      </c>
      <c r="V549" s="4"/>
      <c r="W549" s="4"/>
      <c r="X549" s="4"/>
      <c r="Y549" s="4"/>
      <c r="Z549" s="4"/>
      <c r="AA549" s="4"/>
    </row>
    <row r="550">
      <c r="A550" s="4" t="s">
        <v>7716</v>
      </c>
      <c r="B550" s="4" t="s">
        <v>16</v>
      </c>
      <c r="C550" s="4" t="s">
        <v>7070</v>
      </c>
      <c r="D550" s="4">
        <v>44006.0</v>
      </c>
      <c r="E550" s="4">
        <v>0.48611111111111144</v>
      </c>
      <c r="F550" s="4">
        <v>0.010416666666666666</v>
      </c>
      <c r="G550" s="4">
        <v>0.4965277777777781</v>
      </c>
      <c r="H550" s="4" t="s">
        <v>860</v>
      </c>
      <c r="I550" s="4" t="s">
        <v>6993</v>
      </c>
      <c r="J550" s="4" t="s">
        <v>6938</v>
      </c>
      <c r="K550" s="4" t="s">
        <v>195</v>
      </c>
      <c r="L550" s="4" t="s">
        <v>74</v>
      </c>
      <c r="M550" s="4" t="s">
        <v>7462</v>
      </c>
      <c r="N550" s="4" t="s">
        <v>6858</v>
      </c>
      <c r="O550" s="4" t="s">
        <v>644</v>
      </c>
      <c r="P550" s="4" t="s">
        <v>646</v>
      </c>
      <c r="Q550" s="4" t="s">
        <v>647</v>
      </c>
      <c r="R550" s="4" t="s">
        <v>648</v>
      </c>
      <c r="S550" s="4"/>
      <c r="T550" s="4" t="s">
        <v>649</v>
      </c>
      <c r="U550" s="4">
        <v>4.0</v>
      </c>
      <c r="V550" s="4" t="s">
        <v>7717</v>
      </c>
      <c r="W550" s="4" t="s">
        <v>6855</v>
      </c>
      <c r="X550" s="4"/>
      <c r="Y550" s="4"/>
      <c r="Z550" s="4"/>
      <c r="AA550" s="4"/>
    </row>
    <row r="551">
      <c r="A551" s="4" t="s">
        <v>7718</v>
      </c>
      <c r="B551" s="4" t="s">
        <v>16</v>
      </c>
      <c r="C551" s="4" t="s">
        <v>7070</v>
      </c>
      <c r="D551" s="4">
        <v>44006.0</v>
      </c>
      <c r="E551" s="4">
        <v>0.4965277777777781</v>
      </c>
      <c r="F551" s="4">
        <v>1.7361111111111112E-4</v>
      </c>
      <c r="G551" s="4">
        <v>0.49670138888888926</v>
      </c>
      <c r="H551" s="4" t="s">
        <v>1944</v>
      </c>
      <c r="I551" s="4"/>
      <c r="J551" s="4"/>
      <c r="K551" s="4" t="s">
        <v>195</v>
      </c>
      <c r="L551" s="4"/>
      <c r="M551" s="4"/>
      <c r="N551" s="4"/>
      <c r="O551" s="4" t="s">
        <v>85</v>
      </c>
      <c r="P551" s="4"/>
      <c r="Q551" s="4"/>
      <c r="R551" s="4"/>
      <c r="S551" s="4"/>
      <c r="T551" s="4"/>
      <c r="U551" s="4">
        <v>0.0</v>
      </c>
      <c r="V551" s="4"/>
      <c r="W551" s="4"/>
      <c r="X551" s="4"/>
      <c r="Y551" s="4"/>
      <c r="Z551" s="4"/>
      <c r="AA551" s="4"/>
    </row>
    <row r="552">
      <c r="A552" s="4" t="s">
        <v>7719</v>
      </c>
      <c r="B552" s="4" t="s">
        <v>16</v>
      </c>
      <c r="C552" s="4" t="s">
        <v>7070</v>
      </c>
      <c r="D552" s="4">
        <v>44006.0</v>
      </c>
      <c r="E552" s="4">
        <v>0.49670138888888926</v>
      </c>
      <c r="F552" s="4">
        <v>3.4722222222222224E-4</v>
      </c>
      <c r="G552" s="4">
        <v>0.4970486111111115</v>
      </c>
      <c r="H552" s="4" t="s">
        <v>2004</v>
      </c>
      <c r="I552" s="4"/>
      <c r="J552" s="4"/>
      <c r="K552" s="4" t="s">
        <v>195</v>
      </c>
      <c r="L552" s="4"/>
      <c r="M552" s="4"/>
      <c r="N552" s="4"/>
      <c r="O552" s="4" t="s">
        <v>7720</v>
      </c>
      <c r="P552" s="4"/>
      <c r="Q552" s="4"/>
      <c r="R552" s="4"/>
      <c r="S552" s="4"/>
      <c r="T552" s="4"/>
      <c r="U552" s="4">
        <v>0.0</v>
      </c>
      <c r="V552" s="4"/>
      <c r="W552" s="4"/>
      <c r="X552" s="4"/>
      <c r="Y552" s="4"/>
      <c r="Z552" s="4"/>
      <c r="AA552" s="4"/>
    </row>
    <row r="553">
      <c r="A553" s="4" t="s">
        <v>7721</v>
      </c>
      <c r="B553" s="4" t="s">
        <v>16</v>
      </c>
      <c r="C553" s="4" t="s">
        <v>7070</v>
      </c>
      <c r="D553" s="4">
        <v>44006.0</v>
      </c>
      <c r="E553" s="4">
        <v>0.4970486111111115</v>
      </c>
      <c r="F553" s="4">
        <v>3.4722222222222224E-4</v>
      </c>
      <c r="G553" s="4">
        <v>0.4973958333333337</v>
      </c>
      <c r="H553" s="4" t="s">
        <v>1944</v>
      </c>
      <c r="I553" s="4"/>
      <c r="J553" s="4"/>
      <c r="K553" s="4" t="s">
        <v>195</v>
      </c>
      <c r="L553" s="4"/>
      <c r="M553" s="4"/>
      <c r="N553" s="4"/>
      <c r="O553" s="4" t="s">
        <v>81</v>
      </c>
      <c r="P553" s="4"/>
      <c r="Q553" s="4"/>
      <c r="R553" s="4"/>
      <c r="S553" s="4"/>
      <c r="T553" s="4"/>
      <c r="U553" s="4">
        <v>0.0</v>
      </c>
      <c r="V553" s="4"/>
      <c r="W553" s="4"/>
      <c r="X553" s="4"/>
      <c r="Y553" s="4"/>
      <c r="Z553" s="4"/>
      <c r="AA553" s="4"/>
    </row>
    <row r="554">
      <c r="A554" s="4" t="s">
        <v>7722</v>
      </c>
      <c r="B554" s="4" t="s">
        <v>16</v>
      </c>
      <c r="C554" s="4" t="s">
        <v>7070</v>
      </c>
      <c r="D554" s="4">
        <v>44006.0</v>
      </c>
      <c r="E554" s="4">
        <v>0.4973958333333337</v>
      </c>
      <c r="F554" s="4">
        <v>0.0020833333333333333</v>
      </c>
      <c r="G554" s="4">
        <v>0.49947916666666703</v>
      </c>
      <c r="H554" s="4" t="s">
        <v>630</v>
      </c>
      <c r="I554" s="4" t="s">
        <v>314</v>
      </c>
      <c r="J554" s="4" t="s">
        <v>15</v>
      </c>
      <c r="K554" s="4" t="s">
        <v>195</v>
      </c>
      <c r="L554" s="4" t="s">
        <v>165</v>
      </c>
      <c r="M554" s="4" t="s">
        <v>7505</v>
      </c>
      <c r="N554" s="4" t="s">
        <v>6720</v>
      </c>
      <c r="O554" s="4" t="s">
        <v>2353</v>
      </c>
      <c r="P554" s="4" t="s">
        <v>1805</v>
      </c>
      <c r="Q554" s="4"/>
      <c r="R554" s="4"/>
      <c r="S554" s="4"/>
      <c r="T554" s="4"/>
      <c r="U554" s="4">
        <v>1.0</v>
      </c>
      <c r="V554" s="4" t="s">
        <v>7723</v>
      </c>
      <c r="W554" s="4" t="s">
        <v>7197</v>
      </c>
      <c r="X554" s="4">
        <v>43956.666666666664</v>
      </c>
      <c r="Y554" s="4" t="s">
        <v>7199</v>
      </c>
      <c r="Z554" s="4" t="s">
        <v>630</v>
      </c>
      <c r="AA554" s="4"/>
    </row>
    <row r="555">
      <c r="A555" s="4" t="s">
        <v>7724</v>
      </c>
      <c r="B555" s="4" t="s">
        <v>16</v>
      </c>
      <c r="C555" s="4" t="s">
        <v>7070</v>
      </c>
      <c r="D555" s="4">
        <v>44006.0</v>
      </c>
      <c r="E555" s="4">
        <v>0.49947916666666703</v>
      </c>
      <c r="F555" s="4">
        <v>1.7361111111111112E-4</v>
      </c>
      <c r="G555" s="4">
        <v>0.49965277777777817</v>
      </c>
      <c r="H555" s="4" t="s">
        <v>1944</v>
      </c>
      <c r="I555" s="4"/>
      <c r="J555" s="4"/>
      <c r="K555" s="4" t="s">
        <v>195</v>
      </c>
      <c r="L555" s="4"/>
      <c r="M555" s="4"/>
      <c r="N555" s="4"/>
      <c r="O555" s="4" t="s">
        <v>85</v>
      </c>
      <c r="P555" s="4"/>
      <c r="Q555" s="4"/>
      <c r="R555" s="4"/>
      <c r="S555" s="4"/>
      <c r="T555" s="4"/>
      <c r="U555" s="4">
        <v>0.0</v>
      </c>
      <c r="V555" s="4"/>
      <c r="W555" s="4"/>
      <c r="X555" s="4"/>
      <c r="Y555" s="4"/>
      <c r="Z555" s="4"/>
      <c r="AA555" s="4"/>
    </row>
    <row r="556">
      <c r="A556" s="4" t="s">
        <v>7725</v>
      </c>
      <c r="B556" s="4" t="s">
        <v>16</v>
      </c>
      <c r="C556" s="4" t="s">
        <v>7070</v>
      </c>
      <c r="D556" s="4">
        <v>44006.0</v>
      </c>
      <c r="E556" s="4">
        <v>0.49965277777777817</v>
      </c>
      <c r="F556" s="4">
        <v>3.4722222222222224E-4</v>
      </c>
      <c r="G556" s="4">
        <v>0.5000000000000004</v>
      </c>
      <c r="H556" s="4" t="s">
        <v>1944</v>
      </c>
      <c r="I556" s="4"/>
      <c r="J556" s="4"/>
      <c r="K556" s="4" t="s">
        <v>195</v>
      </c>
      <c r="L556" s="4"/>
      <c r="M556" s="4"/>
      <c r="N556" s="4"/>
      <c r="O556" s="4" t="s">
        <v>89</v>
      </c>
      <c r="P556" s="4"/>
      <c r="Q556" s="4"/>
      <c r="R556" s="4"/>
      <c r="S556" s="4"/>
      <c r="T556" s="4"/>
      <c r="U556" s="4"/>
      <c r="V556" s="4"/>
      <c r="W556" s="4"/>
      <c r="X556" s="4"/>
      <c r="Y556" s="4"/>
      <c r="Z556" s="4"/>
      <c r="AA556" s="4"/>
    </row>
    <row r="557">
      <c r="A557" s="4" t="s">
        <v>7726</v>
      </c>
      <c r="B557" s="4" t="s">
        <v>16</v>
      </c>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c r="A558" s="4" t="s">
        <v>7727</v>
      </c>
      <c r="B558" s="4" t="s">
        <v>16</v>
      </c>
      <c r="C558" s="4" t="s">
        <v>7070</v>
      </c>
      <c r="D558" s="4">
        <v>44006.0</v>
      </c>
      <c r="E558" s="4">
        <v>0.5000000000000004</v>
      </c>
      <c r="F558" s="4">
        <v>3.4722222222222224E-4</v>
      </c>
      <c r="G558" s="4">
        <v>0.5003472222222227</v>
      </c>
      <c r="H558" s="4" t="s">
        <v>1944</v>
      </c>
      <c r="I558" s="4"/>
      <c r="J558" s="4"/>
      <c r="K558" s="4" t="s">
        <v>658</v>
      </c>
      <c r="L558" s="4"/>
      <c r="M558" s="4"/>
      <c r="N558" s="4"/>
      <c r="O558" s="4" t="s">
        <v>81</v>
      </c>
      <c r="P558" s="4"/>
      <c r="Q558" s="4"/>
      <c r="R558" s="4"/>
      <c r="S558" s="4"/>
      <c r="T558" s="4"/>
      <c r="U558" s="4">
        <v>0.0</v>
      </c>
      <c r="V558" s="4"/>
      <c r="W558" s="4"/>
      <c r="X558" s="4"/>
      <c r="Y558" s="4"/>
      <c r="Z558" s="4"/>
      <c r="AA558" s="4"/>
    </row>
    <row r="559">
      <c r="A559" s="4" t="s">
        <v>7728</v>
      </c>
      <c r="B559" s="4" t="s">
        <v>16</v>
      </c>
      <c r="C559" s="4" t="s">
        <v>7070</v>
      </c>
      <c r="D559" s="4">
        <v>44006.0</v>
      </c>
      <c r="E559" s="4">
        <v>0.5003472222222227</v>
      </c>
      <c r="F559" s="4">
        <v>0.010416666666666666</v>
      </c>
      <c r="G559" s="4">
        <v>0.5107638888888894</v>
      </c>
      <c r="H559" s="4" t="s">
        <v>1631</v>
      </c>
      <c r="I559" s="4" t="s">
        <v>6947</v>
      </c>
      <c r="J559" s="4" t="s">
        <v>7059</v>
      </c>
      <c r="K559" s="4" t="s">
        <v>658</v>
      </c>
      <c r="L559" s="4" t="s">
        <v>107</v>
      </c>
      <c r="M559" s="4" t="s">
        <v>7462</v>
      </c>
      <c r="N559" s="4" t="s">
        <v>6858</v>
      </c>
      <c r="O559" s="4" t="s">
        <v>669</v>
      </c>
      <c r="P559" s="4" t="s">
        <v>7729</v>
      </c>
      <c r="Q559" s="4" t="s">
        <v>671</v>
      </c>
      <c r="R559" s="4" t="s">
        <v>672</v>
      </c>
      <c r="S559" s="4"/>
      <c r="T559" s="4" t="s">
        <v>673</v>
      </c>
      <c r="U559" s="4">
        <v>4.0</v>
      </c>
      <c r="V559" s="4" t="s">
        <v>7730</v>
      </c>
      <c r="W559" s="4" t="s">
        <v>7136</v>
      </c>
      <c r="X559" s="4"/>
      <c r="Y559" s="4"/>
      <c r="Z559" s="4"/>
      <c r="AA559" s="4"/>
    </row>
    <row r="560">
      <c r="A560" s="4" t="s">
        <v>7731</v>
      </c>
      <c r="B560" s="4" t="s">
        <v>16</v>
      </c>
      <c r="C560" s="4" t="s">
        <v>7070</v>
      </c>
      <c r="D560" s="4">
        <v>44006.0</v>
      </c>
      <c r="E560" s="4">
        <v>0.5107638888888894</v>
      </c>
      <c r="F560" s="4">
        <v>1.7361111111111112E-4</v>
      </c>
      <c r="G560" s="4">
        <v>0.5109375000000005</v>
      </c>
      <c r="H560" s="4" t="s">
        <v>1944</v>
      </c>
      <c r="I560" s="4"/>
      <c r="J560" s="4"/>
      <c r="K560" s="4" t="s">
        <v>658</v>
      </c>
      <c r="L560" s="4"/>
      <c r="M560" s="4"/>
      <c r="N560" s="4"/>
      <c r="O560" s="4" t="s">
        <v>85</v>
      </c>
      <c r="P560" s="4"/>
      <c r="Q560" s="4"/>
      <c r="R560" s="4"/>
      <c r="S560" s="4"/>
      <c r="T560" s="4"/>
      <c r="U560" s="4">
        <v>0.0</v>
      </c>
      <c r="V560" s="4"/>
      <c r="W560" s="4"/>
      <c r="X560" s="4"/>
      <c r="Y560" s="4"/>
      <c r="Z560" s="4"/>
      <c r="AA560" s="4"/>
    </row>
    <row r="561">
      <c r="A561" s="4" t="s">
        <v>7732</v>
      </c>
      <c r="B561" s="4" t="s">
        <v>16</v>
      </c>
      <c r="C561" s="4" t="s">
        <v>7070</v>
      </c>
      <c r="D561" s="4">
        <v>44006.0</v>
      </c>
      <c r="E561" s="4">
        <v>0.5109375000000005</v>
      </c>
      <c r="F561" s="4">
        <v>3.4722222222222224E-4</v>
      </c>
      <c r="G561" s="4">
        <v>0.5112847222222228</v>
      </c>
      <c r="H561" s="4" t="s">
        <v>726</v>
      </c>
      <c r="I561" s="4"/>
      <c r="J561" s="4"/>
      <c r="K561" s="4" t="s">
        <v>658</v>
      </c>
      <c r="L561" s="4"/>
      <c r="M561" s="4"/>
      <c r="N561" s="4"/>
      <c r="O561" s="4" t="s">
        <v>511</v>
      </c>
      <c r="P561" s="4"/>
      <c r="Q561" s="4"/>
      <c r="R561" s="4"/>
      <c r="S561" s="4"/>
      <c r="T561" s="4"/>
      <c r="U561" s="4"/>
      <c r="V561" s="4"/>
      <c r="W561" s="4"/>
      <c r="X561" s="4"/>
      <c r="Y561" s="4"/>
      <c r="Z561" s="4"/>
      <c r="AA561" s="4"/>
    </row>
    <row r="562">
      <c r="A562" s="4" t="s">
        <v>7733</v>
      </c>
      <c r="B562" s="4" t="s">
        <v>16</v>
      </c>
      <c r="C562" s="4" t="s">
        <v>7070</v>
      </c>
      <c r="D562" s="4">
        <v>44006.0</v>
      </c>
      <c r="E562" s="4">
        <v>0.5112847222222228</v>
      </c>
      <c r="F562" s="4">
        <v>3.4722222222222224E-4</v>
      </c>
      <c r="G562" s="4">
        <v>0.511631944444445</v>
      </c>
      <c r="H562" s="4" t="s">
        <v>1944</v>
      </c>
      <c r="I562" s="4"/>
      <c r="J562" s="4"/>
      <c r="K562" s="4" t="s">
        <v>658</v>
      </c>
      <c r="L562" s="4"/>
      <c r="M562" s="4"/>
      <c r="N562" s="4"/>
      <c r="O562" s="4" t="s">
        <v>81</v>
      </c>
      <c r="P562" s="4"/>
      <c r="Q562" s="4"/>
      <c r="R562" s="4"/>
      <c r="S562" s="4"/>
      <c r="T562" s="4"/>
      <c r="U562" s="4">
        <v>0.0</v>
      </c>
      <c r="V562" s="4"/>
      <c r="W562" s="4"/>
      <c r="X562" s="4"/>
      <c r="Y562" s="4"/>
      <c r="Z562" s="4"/>
      <c r="AA562" s="4"/>
    </row>
    <row r="563">
      <c r="A563" s="4" t="s">
        <v>7734</v>
      </c>
      <c r="B563" s="4" t="s">
        <v>16</v>
      </c>
      <c r="C563" s="4" t="s">
        <v>7070</v>
      </c>
      <c r="D563" s="4">
        <v>44006.0</v>
      </c>
      <c r="E563" s="4">
        <v>0.511631944444445</v>
      </c>
      <c r="F563" s="4">
        <v>0.013888888888888888</v>
      </c>
      <c r="G563" s="4">
        <v>0.5255208333333339</v>
      </c>
      <c r="H563" s="4" t="s">
        <v>726</v>
      </c>
      <c r="I563" s="4" t="s">
        <v>4142</v>
      </c>
      <c r="J563" s="4" t="s">
        <v>6903</v>
      </c>
      <c r="K563" s="4" t="s">
        <v>658</v>
      </c>
      <c r="L563" s="4" t="s">
        <v>94</v>
      </c>
      <c r="M563" s="4" t="s">
        <v>7126</v>
      </c>
      <c r="N563" s="4" t="s">
        <v>6689</v>
      </c>
      <c r="O563" s="4" t="s">
        <v>664</v>
      </c>
      <c r="P563" s="4" t="s">
        <v>665</v>
      </c>
      <c r="Q563" s="4"/>
      <c r="R563" s="4"/>
      <c r="S563" s="4"/>
      <c r="T563" s="4" t="s">
        <v>662</v>
      </c>
      <c r="U563" s="4">
        <v>2.0</v>
      </c>
      <c r="V563" s="4" t="s">
        <v>7735</v>
      </c>
      <c r="W563" s="4" t="s">
        <v>6920</v>
      </c>
      <c r="X563" s="4">
        <v>43983.604166666664</v>
      </c>
      <c r="Y563" s="4"/>
      <c r="Z563" s="4" t="s">
        <v>726</v>
      </c>
      <c r="AA563" s="4"/>
    </row>
    <row r="564">
      <c r="A564" s="4" t="s">
        <v>7736</v>
      </c>
      <c r="B564" s="4" t="s">
        <v>16</v>
      </c>
      <c r="C564" s="4" t="s">
        <v>7070</v>
      </c>
      <c r="D564" s="4">
        <v>44006.0</v>
      </c>
      <c r="E564" s="4">
        <v>0.5255208333333339</v>
      </c>
      <c r="F564" s="4">
        <v>1.7361111111111112E-4</v>
      </c>
      <c r="G564" s="4">
        <v>0.525694444444445</v>
      </c>
      <c r="H564" s="4" t="s">
        <v>1944</v>
      </c>
      <c r="I564" s="4"/>
      <c r="J564" s="4"/>
      <c r="K564" s="4" t="s">
        <v>658</v>
      </c>
      <c r="L564" s="4"/>
      <c r="M564" s="4"/>
      <c r="N564" s="4"/>
      <c r="O564" s="4" t="s">
        <v>85</v>
      </c>
      <c r="P564" s="4"/>
      <c r="Q564" s="4"/>
      <c r="R564" s="4"/>
      <c r="S564" s="4"/>
      <c r="T564" s="4"/>
      <c r="U564" s="4">
        <v>0.0</v>
      </c>
      <c r="V564" s="4"/>
      <c r="W564" s="4"/>
      <c r="X564" s="4"/>
      <c r="Y564" s="4"/>
      <c r="Z564" s="4"/>
      <c r="AA564" s="4"/>
    </row>
    <row r="565">
      <c r="A565" s="4" t="s">
        <v>7737</v>
      </c>
      <c r="B565" s="4" t="s">
        <v>16</v>
      </c>
      <c r="C565" s="4" t="s">
        <v>7070</v>
      </c>
      <c r="D565" s="4">
        <v>44006.0</v>
      </c>
      <c r="E565" s="4">
        <v>0.525694444444445</v>
      </c>
      <c r="F565" s="4">
        <v>3.4722222222222224E-4</v>
      </c>
      <c r="G565" s="4">
        <v>0.5260416666666673</v>
      </c>
      <c r="H565" s="4" t="s">
        <v>1944</v>
      </c>
      <c r="I565" s="4"/>
      <c r="J565" s="4"/>
      <c r="K565" s="4" t="s">
        <v>658</v>
      </c>
      <c r="L565" s="4"/>
      <c r="M565" s="4"/>
      <c r="N565" s="4"/>
      <c r="O565" s="4" t="s">
        <v>89</v>
      </c>
      <c r="P565" s="4"/>
      <c r="Q565" s="4"/>
      <c r="R565" s="4"/>
      <c r="S565" s="4"/>
      <c r="T565" s="4"/>
      <c r="U565" s="4"/>
      <c r="V565" s="4"/>
      <c r="W565" s="4"/>
      <c r="X565" s="4"/>
      <c r="Y565" s="4"/>
      <c r="Z565" s="4"/>
      <c r="AA565" s="4"/>
    </row>
    <row r="566">
      <c r="A566" s="4" t="s">
        <v>7738</v>
      </c>
      <c r="B566" s="4" t="s">
        <v>16</v>
      </c>
      <c r="C566" s="4" t="s">
        <v>7070</v>
      </c>
      <c r="D566" s="4">
        <v>44006.0</v>
      </c>
      <c r="E566" s="4">
        <v>0.5260416666666673</v>
      </c>
      <c r="F566" s="4">
        <v>3.4722222222222224E-4</v>
      </c>
      <c r="G566" s="4">
        <v>0.5263888888888896</v>
      </c>
      <c r="H566" s="4" t="s">
        <v>2004</v>
      </c>
      <c r="I566" s="4"/>
      <c r="J566" s="4"/>
      <c r="K566" s="4" t="s">
        <v>658</v>
      </c>
      <c r="L566" s="4"/>
      <c r="M566" s="4"/>
      <c r="N566" s="4"/>
      <c r="O566" s="4" t="s">
        <v>7739</v>
      </c>
      <c r="P566" s="4"/>
      <c r="Q566" s="4"/>
      <c r="R566" s="4"/>
      <c r="S566" s="4"/>
      <c r="T566" s="4"/>
      <c r="U566" s="4"/>
      <c r="V566" s="4"/>
      <c r="W566" s="4"/>
      <c r="X566" s="4"/>
      <c r="Y566" s="4"/>
      <c r="Z566" s="4"/>
      <c r="AA566" s="4"/>
    </row>
    <row r="567">
      <c r="A567" s="4" t="s">
        <v>7740</v>
      </c>
      <c r="B567" s="4" t="s">
        <v>16</v>
      </c>
      <c r="C567" s="4" t="s">
        <v>7070</v>
      </c>
      <c r="D567" s="4">
        <v>44006.0</v>
      </c>
      <c r="E567" s="4">
        <v>0.5263888888888896</v>
      </c>
      <c r="F567" s="4">
        <v>3.4722222222222224E-4</v>
      </c>
      <c r="G567" s="4">
        <v>0.5267361111111118</v>
      </c>
      <c r="H567" s="4" t="s">
        <v>1944</v>
      </c>
      <c r="I567" s="4"/>
      <c r="J567" s="4"/>
      <c r="K567" s="4" t="s">
        <v>658</v>
      </c>
      <c r="L567" s="4"/>
      <c r="M567" s="4"/>
      <c r="N567" s="4"/>
      <c r="O567" s="4" t="s">
        <v>81</v>
      </c>
      <c r="P567" s="4"/>
      <c r="Q567" s="4"/>
      <c r="R567" s="4"/>
      <c r="S567" s="4"/>
      <c r="T567" s="4"/>
      <c r="U567" s="4">
        <v>0.0</v>
      </c>
      <c r="V567" s="4"/>
      <c r="W567" s="4"/>
      <c r="X567" s="4"/>
      <c r="Y567" s="4"/>
      <c r="Z567" s="4"/>
      <c r="AA567" s="4"/>
    </row>
    <row r="568">
      <c r="A568" s="4" t="s">
        <v>7741</v>
      </c>
      <c r="B568" s="4" t="s">
        <v>16</v>
      </c>
      <c r="C568" s="4" t="s">
        <v>7070</v>
      </c>
      <c r="D568" s="4">
        <v>44006.0</v>
      </c>
      <c r="E568" s="4">
        <v>0.5267361111111118</v>
      </c>
      <c r="F568" s="4">
        <v>0.010416666666666666</v>
      </c>
      <c r="G568" s="4">
        <v>0.5371527777777785</v>
      </c>
      <c r="H568" s="4" t="s">
        <v>1185</v>
      </c>
      <c r="I568" s="4" t="s">
        <v>6947</v>
      </c>
      <c r="J568" s="4" t="s">
        <v>6948</v>
      </c>
      <c r="K568" s="4" t="s">
        <v>658</v>
      </c>
      <c r="L568" s="4" t="s">
        <v>94</v>
      </c>
      <c r="M568" s="4" t="s">
        <v>7505</v>
      </c>
      <c r="N568" s="4" t="s">
        <v>6720</v>
      </c>
      <c r="O568" s="4" t="s">
        <v>660</v>
      </c>
      <c r="P568" s="4" t="s">
        <v>661</v>
      </c>
      <c r="Q568" s="4"/>
      <c r="R568" s="4"/>
      <c r="S568" s="4"/>
      <c r="T568" s="4" t="s">
        <v>662</v>
      </c>
      <c r="U568" s="4">
        <v>2.0</v>
      </c>
      <c r="V568" s="4" t="s">
        <v>7742</v>
      </c>
      <c r="W568" s="4" t="s">
        <v>6855</v>
      </c>
      <c r="X568" s="4" t="s">
        <v>4345</v>
      </c>
      <c r="Y568" s="4"/>
      <c r="Z568" s="4"/>
      <c r="AA568" s="4"/>
    </row>
    <row r="569">
      <c r="A569" s="4" t="s">
        <v>7743</v>
      </c>
      <c r="B569" s="4" t="s">
        <v>16</v>
      </c>
      <c r="C569" s="4" t="s">
        <v>7070</v>
      </c>
      <c r="D569" s="4">
        <v>44006.0</v>
      </c>
      <c r="E569" s="4">
        <v>0.5371527777777785</v>
      </c>
      <c r="F569" s="4">
        <v>1.7361111111111112E-4</v>
      </c>
      <c r="G569" s="4">
        <v>0.5373263888888896</v>
      </c>
      <c r="H569" s="4" t="s">
        <v>1944</v>
      </c>
      <c r="I569" s="4"/>
      <c r="J569" s="4"/>
      <c r="K569" s="4" t="s">
        <v>658</v>
      </c>
      <c r="L569" s="4"/>
      <c r="M569" s="4"/>
      <c r="N569" s="4"/>
      <c r="O569" s="4" t="s">
        <v>85</v>
      </c>
      <c r="P569" s="4"/>
      <c r="Q569" s="4"/>
      <c r="R569" s="4"/>
      <c r="S569" s="4"/>
      <c r="T569" s="4"/>
      <c r="U569" s="4">
        <v>0.0</v>
      </c>
      <c r="V569" s="4"/>
      <c r="W569" s="4"/>
      <c r="X569" s="4"/>
      <c r="Y569" s="4"/>
      <c r="Z569" s="4"/>
      <c r="AA569" s="4"/>
    </row>
    <row r="570">
      <c r="A570" s="4" t="s">
        <v>7744</v>
      </c>
      <c r="B570" s="4" t="s">
        <v>16</v>
      </c>
      <c r="C570" s="4" t="s">
        <v>7070</v>
      </c>
      <c r="D570" s="4">
        <v>44006.0</v>
      </c>
      <c r="E570" s="4">
        <v>0.5373263888888896</v>
      </c>
      <c r="F570" s="4">
        <v>3.4722222222222224E-4</v>
      </c>
      <c r="G570" s="4">
        <v>0.5376736111111119</v>
      </c>
      <c r="H570" s="4" t="s">
        <v>1944</v>
      </c>
      <c r="I570" s="4"/>
      <c r="J570" s="4"/>
      <c r="K570" s="4" t="s">
        <v>658</v>
      </c>
      <c r="L570" s="4"/>
      <c r="M570" s="4"/>
      <c r="N570" s="4"/>
      <c r="O570" s="4" t="s">
        <v>89</v>
      </c>
      <c r="P570" s="4"/>
      <c r="Q570" s="4"/>
      <c r="R570" s="4"/>
      <c r="S570" s="4"/>
      <c r="T570" s="4"/>
      <c r="U570" s="4"/>
      <c r="V570" s="4"/>
      <c r="W570" s="4"/>
      <c r="X570" s="4"/>
      <c r="Y570" s="4"/>
      <c r="Z570" s="4"/>
      <c r="AA570" s="4"/>
    </row>
    <row r="571">
      <c r="A571" s="4" t="s">
        <v>7745</v>
      </c>
      <c r="B571" s="4" t="s">
        <v>16</v>
      </c>
      <c r="C571" s="4" t="s">
        <v>7070</v>
      </c>
      <c r="D571" s="4">
        <v>44006.0</v>
      </c>
      <c r="E571" s="4">
        <v>0.5376736111111119</v>
      </c>
      <c r="F571" s="4">
        <v>1.7361111111111112E-4</v>
      </c>
      <c r="G571" s="4">
        <v>0.537847222222223</v>
      </c>
      <c r="H571" s="4" t="s">
        <v>2004</v>
      </c>
      <c r="I571" s="4"/>
      <c r="J571" s="4"/>
      <c r="K571" s="4" t="s">
        <v>658</v>
      </c>
      <c r="L571" s="4"/>
      <c r="M571" s="4"/>
      <c r="N571" s="4"/>
      <c r="O571" s="4" t="s">
        <v>684</v>
      </c>
      <c r="P571" s="4"/>
      <c r="Q571" s="4"/>
      <c r="R571" s="4"/>
      <c r="S571" s="4"/>
      <c r="T571" s="4"/>
      <c r="U571" s="4"/>
      <c r="V571" s="4"/>
      <c r="W571" s="4"/>
      <c r="X571" s="4"/>
      <c r="Y571" s="4"/>
      <c r="Z571" s="4"/>
      <c r="AA571" s="4"/>
    </row>
    <row r="572">
      <c r="A572" s="4" t="s">
        <v>7746</v>
      </c>
      <c r="B572" s="4" t="s">
        <v>16</v>
      </c>
      <c r="C572" s="4" t="s">
        <v>7070</v>
      </c>
      <c r="D572" s="4">
        <v>44006.0</v>
      </c>
      <c r="E572" s="4">
        <v>0.537847222222223</v>
      </c>
      <c r="F572" s="4">
        <v>3.4722222222222224E-4</v>
      </c>
      <c r="G572" s="4">
        <v>0.5381944444444453</v>
      </c>
      <c r="H572" s="4" t="s">
        <v>1944</v>
      </c>
      <c r="I572" s="4"/>
      <c r="J572" s="4"/>
      <c r="K572" s="4" t="s">
        <v>658</v>
      </c>
      <c r="L572" s="4"/>
      <c r="M572" s="4"/>
      <c r="N572" s="4"/>
      <c r="O572" s="4" t="s">
        <v>81</v>
      </c>
      <c r="P572" s="4"/>
      <c r="Q572" s="4"/>
      <c r="R572" s="4"/>
      <c r="S572" s="4"/>
      <c r="T572" s="4"/>
      <c r="U572" s="4">
        <v>0.0</v>
      </c>
      <c r="V572" s="4"/>
      <c r="W572" s="4"/>
      <c r="X572" s="4"/>
      <c r="Y572" s="4"/>
      <c r="Z572" s="4"/>
      <c r="AA572" s="4"/>
    </row>
    <row r="573">
      <c r="A573" s="4" t="s">
        <v>7747</v>
      </c>
      <c r="B573" s="4" t="s">
        <v>16</v>
      </c>
      <c r="C573" s="4" t="s">
        <v>7070</v>
      </c>
      <c r="D573" s="4">
        <v>44006.0</v>
      </c>
      <c r="E573" s="4">
        <v>0.5381944444444453</v>
      </c>
      <c r="F573" s="4">
        <v>0.0020833333333333333</v>
      </c>
      <c r="G573" s="4">
        <v>0.5402777777777786</v>
      </c>
      <c r="H573" s="4" t="s">
        <v>630</v>
      </c>
      <c r="I573" s="4" t="s">
        <v>314</v>
      </c>
      <c r="J573" s="4" t="s">
        <v>15</v>
      </c>
      <c r="K573" s="4" t="s">
        <v>658</v>
      </c>
      <c r="L573" s="4" t="s">
        <v>165</v>
      </c>
      <c r="M573" s="4"/>
      <c r="N573" s="4" t="s">
        <v>6720</v>
      </c>
      <c r="O573" s="4" t="s">
        <v>7748</v>
      </c>
      <c r="P573" s="4" t="s">
        <v>7749</v>
      </c>
      <c r="Q573" s="4"/>
      <c r="R573" s="4"/>
      <c r="S573" s="4"/>
      <c r="T573" s="4"/>
      <c r="U573" s="4">
        <v>1.0</v>
      </c>
      <c r="V573" s="4" t="s">
        <v>7750</v>
      </c>
      <c r="W573" s="4" t="s">
        <v>6890</v>
      </c>
      <c r="X573" s="4"/>
      <c r="Y573" s="4"/>
      <c r="Z573" s="4" t="s">
        <v>630</v>
      </c>
      <c r="AA573" s="4"/>
    </row>
    <row r="574">
      <c r="A574" s="4" t="s">
        <v>7751</v>
      </c>
      <c r="B574" s="4" t="s">
        <v>16</v>
      </c>
      <c r="C574" s="4" t="s">
        <v>7070</v>
      </c>
      <c r="D574" s="4">
        <v>44006.0</v>
      </c>
      <c r="E574" s="4">
        <v>0.5402777777777786</v>
      </c>
      <c r="F574" s="4">
        <v>1.7361111111111112E-4</v>
      </c>
      <c r="G574" s="4">
        <v>0.5404513888888898</v>
      </c>
      <c r="H574" s="4" t="s">
        <v>1944</v>
      </c>
      <c r="I574" s="4"/>
      <c r="J574" s="4"/>
      <c r="K574" s="4" t="s">
        <v>658</v>
      </c>
      <c r="L574" s="4"/>
      <c r="M574" s="4"/>
      <c r="N574" s="4"/>
      <c r="O574" s="4" t="s">
        <v>85</v>
      </c>
      <c r="P574" s="4"/>
      <c r="Q574" s="4"/>
      <c r="R574" s="4"/>
      <c r="S574" s="4"/>
      <c r="T574" s="4"/>
      <c r="U574" s="4">
        <v>0.0</v>
      </c>
      <c r="V574" s="4"/>
      <c r="W574" s="4"/>
      <c r="X574" s="4"/>
      <c r="Y574" s="4"/>
      <c r="Z574" s="4"/>
      <c r="AA574" s="4"/>
    </row>
    <row r="575">
      <c r="A575" s="4" t="s">
        <v>7752</v>
      </c>
      <c r="B575" s="4" t="s">
        <v>16</v>
      </c>
      <c r="C575" s="4" t="s">
        <v>7070</v>
      </c>
      <c r="D575" s="4">
        <v>44006.0</v>
      </c>
      <c r="E575" s="4">
        <v>0.5404513888888898</v>
      </c>
      <c r="F575" s="4">
        <v>3.4722222222222224E-4</v>
      </c>
      <c r="G575" s="4">
        <v>0.540798611111112</v>
      </c>
      <c r="H575" s="4" t="s">
        <v>2004</v>
      </c>
      <c r="I575" s="4"/>
      <c r="J575" s="4"/>
      <c r="K575" s="4" t="s">
        <v>658</v>
      </c>
      <c r="L575" s="4"/>
      <c r="M575" s="4"/>
      <c r="N575" s="4"/>
      <c r="O575" s="4" t="s">
        <v>7753</v>
      </c>
      <c r="P575" s="4"/>
      <c r="Q575" s="4"/>
      <c r="R575" s="4"/>
      <c r="S575" s="4"/>
      <c r="T575" s="4"/>
      <c r="U575" s="4">
        <v>0.0</v>
      </c>
      <c r="V575" s="4"/>
      <c r="W575" s="4"/>
      <c r="X575" s="4"/>
      <c r="Y575" s="4"/>
      <c r="Z575" s="4"/>
      <c r="AA575" s="4"/>
    </row>
    <row r="576">
      <c r="A576" s="4" t="s">
        <v>7754</v>
      </c>
      <c r="B576" s="4" t="s">
        <v>16</v>
      </c>
      <c r="C576" s="4" t="s">
        <v>7070</v>
      </c>
      <c r="D576" s="4">
        <v>44006.0</v>
      </c>
      <c r="E576" s="4">
        <v>0.540798611111112</v>
      </c>
      <c r="F576" s="4">
        <v>6.944444444444445E-4</v>
      </c>
      <c r="G576" s="4">
        <v>0.5414930555555565</v>
      </c>
      <c r="H576" s="4" t="s">
        <v>1944</v>
      </c>
      <c r="I576" s="4"/>
      <c r="J576" s="4"/>
      <c r="K576" s="4" t="s">
        <v>658</v>
      </c>
      <c r="L576" s="4"/>
      <c r="M576" s="4"/>
      <c r="N576" s="4"/>
      <c r="O576" s="4" t="s">
        <v>681</v>
      </c>
      <c r="P576" s="4"/>
      <c r="Q576" s="4"/>
      <c r="R576" s="4"/>
      <c r="S576" s="4"/>
      <c r="T576" s="4"/>
      <c r="U576" s="4">
        <v>0.0</v>
      </c>
      <c r="V576" s="4"/>
      <c r="W576" s="4"/>
      <c r="X576" s="4"/>
      <c r="Y576" s="4"/>
      <c r="Z576" s="4"/>
      <c r="AA576" s="4"/>
    </row>
    <row r="577">
      <c r="A577" s="4" t="s">
        <v>7755</v>
      </c>
      <c r="B577" s="4" t="s">
        <v>16</v>
      </c>
      <c r="C577" s="4" t="s">
        <v>7070</v>
      </c>
      <c r="D577" s="4">
        <v>44006.0</v>
      </c>
      <c r="E577" s="4">
        <v>0.5414930555555565</v>
      </c>
      <c r="F577" s="4">
        <v>1.7361111111111112E-4</v>
      </c>
      <c r="G577" s="4">
        <v>0.5416666666666676</v>
      </c>
      <c r="H577" s="4" t="s">
        <v>2004</v>
      </c>
      <c r="I577" s="4"/>
      <c r="J577" s="4"/>
      <c r="K577" s="4" t="s">
        <v>658</v>
      </c>
      <c r="L577" s="4"/>
      <c r="M577" s="4"/>
      <c r="N577" s="4"/>
      <c r="O577" s="4" t="s">
        <v>682</v>
      </c>
      <c r="P577" s="4"/>
      <c r="Q577" s="4"/>
      <c r="R577" s="4"/>
      <c r="S577" s="4"/>
      <c r="T577" s="4"/>
      <c r="U577" s="4"/>
      <c r="V577" s="4"/>
      <c r="W577" s="4"/>
      <c r="X577" s="4"/>
      <c r="Y577" s="4"/>
      <c r="Z577" s="4"/>
      <c r="AA577" s="4"/>
    </row>
    <row r="578">
      <c r="A578" s="4" t="s">
        <v>7756</v>
      </c>
      <c r="B578" s="4" t="s">
        <v>16</v>
      </c>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c r="A579" s="4" t="s">
        <v>7757</v>
      </c>
      <c r="B579" s="4" t="s">
        <v>16</v>
      </c>
      <c r="C579" s="4" t="s">
        <v>7070</v>
      </c>
      <c r="D579" s="4">
        <v>44006.0</v>
      </c>
      <c r="E579" s="4">
        <v>0.5416666666666676</v>
      </c>
      <c r="F579" s="4">
        <v>3.4722222222222224E-4</v>
      </c>
      <c r="G579" s="4">
        <v>0.5420138888888899</v>
      </c>
      <c r="H579" s="4" t="s">
        <v>1944</v>
      </c>
      <c r="I579" s="4"/>
      <c r="J579" s="4"/>
      <c r="K579" s="4" t="s">
        <v>140</v>
      </c>
      <c r="L579" s="4"/>
      <c r="M579" s="4"/>
      <c r="N579" s="4"/>
      <c r="O579" s="4" t="s">
        <v>81</v>
      </c>
      <c r="P579" s="4"/>
      <c r="Q579" s="4"/>
      <c r="R579" s="4"/>
      <c r="S579" s="4"/>
      <c r="T579" s="4"/>
      <c r="U579" s="4">
        <v>0.0</v>
      </c>
      <c r="V579" s="4"/>
      <c r="W579" s="4"/>
      <c r="X579" s="4"/>
      <c r="Y579" s="4"/>
      <c r="Z579" s="4"/>
      <c r="AA579" s="4"/>
    </row>
    <row r="580">
      <c r="A580" s="4" t="s">
        <v>7758</v>
      </c>
      <c r="B580" s="4" t="s">
        <v>16</v>
      </c>
      <c r="C580" s="4" t="s">
        <v>7070</v>
      </c>
      <c r="D580" s="4">
        <v>44006.0</v>
      </c>
      <c r="E580" s="4">
        <v>0.5420138888888899</v>
      </c>
      <c r="F580" s="4">
        <v>0.010416666666666666</v>
      </c>
      <c r="G580" s="4">
        <v>0.5524305555555565</v>
      </c>
      <c r="H580" s="4" t="s">
        <v>972</v>
      </c>
      <c r="I580" s="4" t="s">
        <v>6933</v>
      </c>
      <c r="J580" s="4" t="s">
        <v>6938</v>
      </c>
      <c r="K580" s="4" t="s">
        <v>140</v>
      </c>
      <c r="L580" s="4" t="s">
        <v>74</v>
      </c>
      <c r="M580" s="4" t="s">
        <v>7462</v>
      </c>
      <c r="N580" s="4" t="s">
        <v>6720</v>
      </c>
      <c r="O580" s="4" t="s">
        <v>4439</v>
      </c>
      <c r="P580" s="4" t="s">
        <v>1678</v>
      </c>
      <c r="Q580" s="4" t="s">
        <v>1679</v>
      </c>
      <c r="R580" s="4" t="s">
        <v>1680</v>
      </c>
      <c r="S580" s="4"/>
      <c r="T580" s="4" t="s">
        <v>144</v>
      </c>
      <c r="U580" s="4">
        <v>4.0</v>
      </c>
      <c r="V580" s="4" t="s">
        <v>7759</v>
      </c>
      <c r="W580" s="4" t="s">
        <v>6962</v>
      </c>
      <c r="X580" s="4">
        <v>43956.0</v>
      </c>
      <c r="Y580" s="4" t="s">
        <v>7760</v>
      </c>
      <c r="Z580" s="4" t="s">
        <v>972</v>
      </c>
      <c r="AA580" s="4"/>
    </row>
    <row r="581">
      <c r="A581" s="4" t="s">
        <v>7761</v>
      </c>
      <c r="B581" s="4" t="s">
        <v>16</v>
      </c>
      <c r="C581" s="4" t="s">
        <v>7070</v>
      </c>
      <c r="D581" s="4">
        <v>44006.0</v>
      </c>
      <c r="E581" s="4">
        <v>0.5524305555555565</v>
      </c>
      <c r="F581" s="4">
        <v>1.7361111111111112E-4</v>
      </c>
      <c r="G581" s="4">
        <v>0.5526041666666677</v>
      </c>
      <c r="H581" s="4" t="s">
        <v>972</v>
      </c>
      <c r="I581" s="4"/>
      <c r="J581" s="4"/>
      <c r="K581" s="4" t="s">
        <v>140</v>
      </c>
      <c r="L581" s="4"/>
      <c r="M581" s="4"/>
      <c r="N581" s="4"/>
      <c r="O581" s="4" t="s">
        <v>85</v>
      </c>
      <c r="P581" s="4"/>
      <c r="Q581" s="4"/>
      <c r="R581" s="4"/>
      <c r="S581" s="4"/>
      <c r="T581" s="4"/>
      <c r="U581" s="4">
        <v>0.0</v>
      </c>
      <c r="V581" s="4"/>
      <c r="W581" s="4"/>
      <c r="X581" s="4"/>
      <c r="Y581" s="4"/>
      <c r="Z581" s="4"/>
      <c r="AA581" s="4"/>
    </row>
    <row r="582">
      <c r="A582" s="4" t="s">
        <v>7762</v>
      </c>
      <c r="B582" s="4" t="s">
        <v>16</v>
      </c>
      <c r="C582" s="4" t="s">
        <v>7070</v>
      </c>
      <c r="D582" s="4">
        <v>44006.0</v>
      </c>
      <c r="E582" s="4">
        <v>0.5526041666666677</v>
      </c>
      <c r="F582" s="4">
        <v>1.7361111111111112E-4</v>
      </c>
      <c r="G582" s="4">
        <v>0.5527777777777788</v>
      </c>
      <c r="H582" s="4" t="s">
        <v>2004</v>
      </c>
      <c r="I582" s="4"/>
      <c r="J582" s="4"/>
      <c r="K582" s="4" t="s">
        <v>140</v>
      </c>
      <c r="L582" s="4"/>
      <c r="M582" s="4"/>
      <c r="N582" s="4"/>
      <c r="O582" s="4" t="s">
        <v>7763</v>
      </c>
      <c r="P582" s="4"/>
      <c r="Q582" s="4"/>
      <c r="R582" s="4"/>
      <c r="S582" s="4"/>
      <c r="T582" s="4"/>
      <c r="U582" s="4"/>
      <c r="V582" s="4"/>
      <c r="W582" s="4"/>
      <c r="X582" s="4"/>
      <c r="Y582" s="4"/>
      <c r="Z582" s="4"/>
      <c r="AA582" s="4"/>
    </row>
    <row r="583">
      <c r="A583" s="4" t="s">
        <v>7764</v>
      </c>
      <c r="B583" s="4" t="s">
        <v>16</v>
      </c>
      <c r="C583" s="4" t="s">
        <v>7070</v>
      </c>
      <c r="D583" s="4">
        <v>44006.0</v>
      </c>
      <c r="E583" s="4">
        <v>0.5527777777777788</v>
      </c>
      <c r="F583" s="4">
        <v>3.4722222222222224E-4</v>
      </c>
      <c r="G583" s="4">
        <v>0.5531250000000011</v>
      </c>
      <c r="H583" s="4" t="s">
        <v>1944</v>
      </c>
      <c r="I583" s="4"/>
      <c r="J583" s="4"/>
      <c r="K583" s="4" t="s">
        <v>140</v>
      </c>
      <c r="L583" s="4"/>
      <c r="M583" s="4"/>
      <c r="N583" s="4"/>
      <c r="O583" s="4" t="s">
        <v>81</v>
      </c>
      <c r="P583" s="4"/>
      <c r="Q583" s="4"/>
      <c r="R583" s="4"/>
      <c r="S583" s="4"/>
      <c r="T583" s="4"/>
      <c r="U583" s="4">
        <v>0.0</v>
      </c>
      <c r="V583" s="4"/>
      <c r="W583" s="4"/>
      <c r="X583" s="4"/>
      <c r="Y583" s="4"/>
      <c r="Z583" s="4"/>
      <c r="AA583" s="4"/>
    </row>
    <row r="584">
      <c r="A584" s="4" t="s">
        <v>7765</v>
      </c>
      <c r="B584" s="4" t="s">
        <v>16</v>
      </c>
      <c r="C584" s="4" t="s">
        <v>7070</v>
      </c>
      <c r="D584" s="4">
        <v>44006.0</v>
      </c>
      <c r="E584" s="4">
        <v>0.5531250000000011</v>
      </c>
      <c r="F584" s="4">
        <v>0.006944444444444444</v>
      </c>
      <c r="G584" s="4">
        <v>0.5600694444444455</v>
      </c>
      <c r="H584" s="4" t="s">
        <v>972</v>
      </c>
      <c r="I584" s="4" t="s">
        <v>314</v>
      </c>
      <c r="J584" s="4" t="s">
        <v>6938</v>
      </c>
      <c r="K584" s="4" t="s">
        <v>140</v>
      </c>
      <c r="L584" s="4" t="s">
        <v>165</v>
      </c>
      <c r="M584" s="4" t="s">
        <v>7766</v>
      </c>
      <c r="N584" s="4" t="s">
        <v>6720</v>
      </c>
      <c r="O584" s="4" t="s">
        <v>981</v>
      </c>
      <c r="P584" s="4" t="s">
        <v>982</v>
      </c>
      <c r="Q584" s="4"/>
      <c r="R584" s="4"/>
      <c r="S584" s="4"/>
      <c r="T584" s="4"/>
      <c r="U584" s="4">
        <v>1.0</v>
      </c>
      <c r="V584" s="4" t="s">
        <v>7767</v>
      </c>
      <c r="W584" s="4" t="s">
        <v>7197</v>
      </c>
      <c r="X584" s="4" t="s">
        <v>7768</v>
      </c>
      <c r="Y584" s="4" t="s">
        <v>7768</v>
      </c>
      <c r="Z584" s="4" t="s">
        <v>972</v>
      </c>
      <c r="AA584" s="4"/>
    </row>
    <row r="585">
      <c r="A585" s="4" t="s">
        <v>7769</v>
      </c>
      <c r="B585" s="4" t="s">
        <v>16</v>
      </c>
      <c r="C585" s="4" t="s">
        <v>7070</v>
      </c>
      <c r="D585" s="4">
        <v>44006.0</v>
      </c>
      <c r="E585" s="4">
        <v>0.5600694444444455</v>
      </c>
      <c r="F585" s="4">
        <v>1.7361111111111112E-4</v>
      </c>
      <c r="G585" s="4">
        <v>0.5602430555555566</v>
      </c>
      <c r="H585" s="4" t="s">
        <v>1944</v>
      </c>
      <c r="I585" s="4"/>
      <c r="J585" s="4"/>
      <c r="K585" s="4" t="s">
        <v>140</v>
      </c>
      <c r="L585" s="4"/>
      <c r="M585" s="4"/>
      <c r="N585" s="4"/>
      <c r="O585" s="4" t="s">
        <v>85</v>
      </c>
      <c r="P585" s="4"/>
      <c r="Q585" s="4"/>
      <c r="R585" s="4"/>
      <c r="S585" s="4"/>
      <c r="T585" s="4"/>
      <c r="U585" s="4">
        <v>0.0</v>
      </c>
      <c r="V585" s="4"/>
      <c r="W585" s="4"/>
      <c r="X585" s="4"/>
      <c r="Y585" s="4"/>
      <c r="Z585" s="4"/>
      <c r="AA585" s="4"/>
    </row>
    <row r="586">
      <c r="A586" s="4" t="s">
        <v>7770</v>
      </c>
      <c r="B586" s="4" t="s">
        <v>16</v>
      </c>
      <c r="C586" s="4" t="s">
        <v>7070</v>
      </c>
      <c r="D586" s="4">
        <v>44006.0</v>
      </c>
      <c r="E586" s="4">
        <v>0.5602430555555566</v>
      </c>
      <c r="F586" s="4">
        <v>3.4722222222222224E-4</v>
      </c>
      <c r="G586" s="4">
        <v>0.5605902777777789</v>
      </c>
      <c r="H586" s="4" t="s">
        <v>1944</v>
      </c>
      <c r="I586" s="4"/>
      <c r="J586" s="4"/>
      <c r="K586" s="4" t="s">
        <v>140</v>
      </c>
      <c r="L586" s="4"/>
      <c r="M586" s="4"/>
      <c r="N586" s="4"/>
      <c r="O586" s="4" t="s">
        <v>81</v>
      </c>
      <c r="P586" s="4"/>
      <c r="Q586" s="4"/>
      <c r="R586" s="4"/>
      <c r="S586" s="4"/>
      <c r="T586" s="4"/>
      <c r="U586" s="4">
        <v>0.0</v>
      </c>
      <c r="V586" s="4"/>
      <c r="W586" s="4"/>
      <c r="X586" s="4"/>
      <c r="Y586" s="4"/>
      <c r="Z586" s="4"/>
      <c r="AA586" s="4"/>
    </row>
    <row r="587">
      <c r="A587" s="4" t="s">
        <v>7771</v>
      </c>
      <c r="B587" s="4" t="s">
        <v>16</v>
      </c>
      <c r="C587" s="4" t="s">
        <v>7070</v>
      </c>
      <c r="D587" s="4">
        <v>44006.0</v>
      </c>
      <c r="E587" s="4">
        <v>0.5605902777777789</v>
      </c>
      <c r="F587" s="4">
        <v>0.010416666666666666</v>
      </c>
      <c r="G587" s="4">
        <v>0.5710069444444456</v>
      </c>
      <c r="H587" s="4" t="s">
        <v>972</v>
      </c>
      <c r="I587" s="4" t="s">
        <v>6933</v>
      </c>
      <c r="J587" s="4" t="s">
        <v>6938</v>
      </c>
      <c r="K587" s="4" t="s">
        <v>140</v>
      </c>
      <c r="L587" s="4" t="s">
        <v>74</v>
      </c>
      <c r="M587" s="4" t="s">
        <v>7598</v>
      </c>
      <c r="N587" s="4" t="s">
        <v>6749</v>
      </c>
      <c r="O587" s="4" t="s">
        <v>7772</v>
      </c>
      <c r="P587" s="4" t="s">
        <v>143</v>
      </c>
      <c r="Q587" s="4" t="s">
        <v>5881</v>
      </c>
      <c r="R587" s="4" t="s">
        <v>964</v>
      </c>
      <c r="S587" s="4"/>
      <c r="T587" s="4" t="s">
        <v>594</v>
      </c>
      <c r="U587" s="4">
        <v>4.0</v>
      </c>
      <c r="V587" s="4" t="s">
        <v>7773</v>
      </c>
      <c r="W587" s="4" t="s">
        <v>6911</v>
      </c>
      <c r="X587" s="4">
        <v>43966.0</v>
      </c>
      <c r="Y587" s="4" t="s">
        <v>7774</v>
      </c>
      <c r="Z587" s="4" t="s">
        <v>972</v>
      </c>
      <c r="AA587" s="4"/>
    </row>
    <row r="588">
      <c r="A588" s="4" t="s">
        <v>7775</v>
      </c>
      <c r="B588" s="4" t="s">
        <v>16</v>
      </c>
      <c r="C588" s="4" t="s">
        <v>7070</v>
      </c>
      <c r="D588" s="4">
        <v>44006.0</v>
      </c>
      <c r="E588" s="4">
        <v>0.5710069444444456</v>
      </c>
      <c r="F588" s="4">
        <v>1.7361111111111112E-4</v>
      </c>
      <c r="G588" s="4">
        <v>0.5711805555555567</v>
      </c>
      <c r="H588" s="4" t="s">
        <v>1944</v>
      </c>
      <c r="I588" s="4"/>
      <c r="J588" s="4"/>
      <c r="K588" s="4" t="s">
        <v>140</v>
      </c>
      <c r="L588" s="4"/>
      <c r="M588" s="4"/>
      <c r="N588" s="4"/>
      <c r="O588" s="4" t="s">
        <v>85</v>
      </c>
      <c r="P588" s="4"/>
      <c r="Q588" s="4"/>
      <c r="R588" s="4"/>
      <c r="S588" s="4"/>
      <c r="T588" s="4"/>
      <c r="U588" s="4">
        <v>0.0</v>
      </c>
      <c r="V588" s="4"/>
      <c r="W588" s="4"/>
      <c r="X588" s="4"/>
      <c r="Y588" s="4"/>
      <c r="Z588" s="4"/>
      <c r="AA588" s="4"/>
    </row>
    <row r="589">
      <c r="A589" s="4" t="s">
        <v>7776</v>
      </c>
      <c r="B589" s="4" t="s">
        <v>16</v>
      </c>
      <c r="C589" s="4" t="s">
        <v>7070</v>
      </c>
      <c r="D589" s="4">
        <v>44006.0</v>
      </c>
      <c r="E589" s="4">
        <v>0.5711805555555567</v>
      </c>
      <c r="F589" s="4">
        <v>3.4722222222222224E-4</v>
      </c>
      <c r="G589" s="4">
        <v>0.571527777777779</v>
      </c>
      <c r="H589" s="4" t="s">
        <v>2004</v>
      </c>
      <c r="I589" s="4"/>
      <c r="J589" s="4"/>
      <c r="K589" s="4" t="s">
        <v>140</v>
      </c>
      <c r="L589" s="4"/>
      <c r="M589" s="4"/>
      <c r="N589" s="4"/>
      <c r="O589" s="4" t="s">
        <v>89</v>
      </c>
      <c r="P589" s="4"/>
      <c r="Q589" s="4"/>
      <c r="R589" s="4"/>
      <c r="S589" s="4"/>
      <c r="T589" s="4"/>
      <c r="U589" s="4"/>
      <c r="V589" s="4"/>
      <c r="W589" s="4"/>
      <c r="X589" s="4"/>
      <c r="Y589" s="4"/>
      <c r="Z589" s="4"/>
      <c r="AA589" s="4"/>
    </row>
    <row r="590">
      <c r="A590" s="4" t="s">
        <v>7777</v>
      </c>
      <c r="B590" s="4" t="s">
        <v>16</v>
      </c>
      <c r="C590" s="4" t="s">
        <v>7070</v>
      </c>
      <c r="D590" s="4">
        <v>44006.0</v>
      </c>
      <c r="E590" s="4">
        <v>0.571527777777779</v>
      </c>
      <c r="F590" s="4">
        <v>3.4722222222222224E-4</v>
      </c>
      <c r="G590" s="4">
        <v>0.5718750000000012</v>
      </c>
      <c r="H590" s="4" t="s">
        <v>1944</v>
      </c>
      <c r="I590" s="4"/>
      <c r="J590" s="4"/>
      <c r="K590" s="4" t="s">
        <v>140</v>
      </c>
      <c r="L590" s="4"/>
      <c r="M590" s="4"/>
      <c r="N590" s="4"/>
      <c r="O590" s="4" t="s">
        <v>81</v>
      </c>
      <c r="P590" s="4"/>
      <c r="Q590" s="4"/>
      <c r="R590" s="4"/>
      <c r="S590" s="4"/>
      <c r="T590" s="4"/>
      <c r="U590" s="4">
        <v>0.0</v>
      </c>
      <c r="V590" s="4"/>
      <c r="W590" s="4"/>
      <c r="X590" s="4"/>
      <c r="Y590" s="4"/>
      <c r="Z590" s="4"/>
      <c r="AA590" s="4"/>
    </row>
    <row r="591">
      <c r="A591" s="4" t="s">
        <v>7778</v>
      </c>
      <c r="B591" s="4" t="s">
        <v>16</v>
      </c>
      <c r="C591" s="4" t="s">
        <v>7070</v>
      </c>
      <c r="D591" s="4">
        <v>44006.0</v>
      </c>
      <c r="E591" s="4">
        <v>0.5718750000000012</v>
      </c>
      <c r="F591" s="4">
        <v>0.0020833333333333333</v>
      </c>
      <c r="G591" s="4">
        <v>0.5739583333333346</v>
      </c>
      <c r="H591" s="4" t="s">
        <v>630</v>
      </c>
      <c r="I591" s="4" t="s">
        <v>314</v>
      </c>
      <c r="J591" s="4" t="s">
        <v>15</v>
      </c>
      <c r="K591" s="4" t="s">
        <v>140</v>
      </c>
      <c r="L591" s="4" t="s">
        <v>165</v>
      </c>
      <c r="M591" s="4" t="s">
        <v>7119</v>
      </c>
      <c r="N591" s="4" t="s">
        <v>7475</v>
      </c>
      <c r="O591" s="4" t="s">
        <v>812</v>
      </c>
      <c r="P591" s="4" t="s">
        <v>813</v>
      </c>
      <c r="Q591" s="4"/>
      <c r="R591" s="4"/>
      <c r="S591" s="4"/>
      <c r="T591" s="4"/>
      <c r="U591" s="4">
        <v>1.0</v>
      </c>
      <c r="V591" s="4" t="s">
        <v>7779</v>
      </c>
      <c r="W591" s="4" t="s">
        <v>7197</v>
      </c>
      <c r="X591" s="4" t="s">
        <v>7780</v>
      </c>
      <c r="Y591" s="4" t="s">
        <v>7199</v>
      </c>
      <c r="Z591" s="4" t="s">
        <v>630</v>
      </c>
      <c r="AA591" s="4"/>
    </row>
    <row r="592">
      <c r="A592" s="4" t="s">
        <v>7781</v>
      </c>
      <c r="B592" s="4" t="s">
        <v>16</v>
      </c>
      <c r="C592" s="4" t="s">
        <v>7070</v>
      </c>
      <c r="D592" s="4">
        <v>44006.0</v>
      </c>
      <c r="E592" s="4">
        <v>0.5739583333333346</v>
      </c>
      <c r="F592" s="4">
        <v>1.7361111111111112E-4</v>
      </c>
      <c r="G592" s="4">
        <v>0.5741319444444457</v>
      </c>
      <c r="H592" s="4" t="s">
        <v>1944</v>
      </c>
      <c r="I592" s="4"/>
      <c r="J592" s="4"/>
      <c r="K592" s="4" t="s">
        <v>140</v>
      </c>
      <c r="L592" s="4"/>
      <c r="M592" s="4"/>
      <c r="N592" s="4"/>
      <c r="O592" s="4" t="s">
        <v>85</v>
      </c>
      <c r="P592" s="4"/>
      <c r="Q592" s="4"/>
      <c r="R592" s="4"/>
      <c r="S592" s="4"/>
      <c r="T592" s="4"/>
      <c r="U592" s="4">
        <v>0.0</v>
      </c>
      <c r="V592" s="4"/>
      <c r="W592" s="4"/>
      <c r="X592" s="4"/>
      <c r="Y592" s="4"/>
      <c r="Z592" s="4"/>
      <c r="AA592" s="4"/>
    </row>
    <row r="593">
      <c r="A593" s="4" t="s">
        <v>7782</v>
      </c>
      <c r="B593" s="4" t="s">
        <v>16</v>
      </c>
      <c r="C593" s="4" t="s">
        <v>7070</v>
      </c>
      <c r="D593" s="4">
        <v>44006.0</v>
      </c>
      <c r="E593" s="4">
        <v>0.5741319444444457</v>
      </c>
      <c r="F593" s="4">
        <v>1.7361111111111112E-4</v>
      </c>
      <c r="G593" s="4">
        <v>0.5743055555555568</v>
      </c>
      <c r="H593" s="4" t="s">
        <v>2004</v>
      </c>
      <c r="I593" s="4"/>
      <c r="J593" s="4"/>
      <c r="K593" s="4" t="s">
        <v>140</v>
      </c>
      <c r="L593" s="4"/>
      <c r="M593" s="4"/>
      <c r="N593" s="4"/>
      <c r="O593" s="4" t="s">
        <v>7562</v>
      </c>
      <c r="P593" s="4"/>
      <c r="Q593" s="4"/>
      <c r="R593" s="4"/>
      <c r="S593" s="4"/>
      <c r="T593" s="4"/>
      <c r="U593" s="4"/>
      <c r="V593" s="4"/>
      <c r="W593" s="4"/>
      <c r="X593" s="4"/>
      <c r="Y593" s="4"/>
      <c r="Z593" s="4"/>
      <c r="AA593" s="4"/>
    </row>
    <row r="594">
      <c r="A594" s="4" t="s">
        <v>7783</v>
      </c>
      <c r="B594" s="4" t="s">
        <v>16</v>
      </c>
      <c r="C594" s="4" t="s">
        <v>7070</v>
      </c>
      <c r="D594" s="4">
        <v>44006.0</v>
      </c>
      <c r="E594" s="4">
        <v>0.5743055555555568</v>
      </c>
      <c r="F594" s="4">
        <v>3.4722222222222224E-4</v>
      </c>
      <c r="G594" s="4">
        <v>0.5746527777777791</v>
      </c>
      <c r="H594" s="4" t="s">
        <v>1944</v>
      </c>
      <c r="I594" s="4"/>
      <c r="J594" s="4"/>
      <c r="K594" s="4" t="s">
        <v>140</v>
      </c>
      <c r="L594" s="4"/>
      <c r="M594" s="4"/>
      <c r="N594" s="4"/>
      <c r="O594" s="4" t="s">
        <v>81</v>
      </c>
      <c r="P594" s="4"/>
      <c r="Q594" s="4"/>
      <c r="R594" s="4"/>
      <c r="S594" s="4"/>
      <c r="T594" s="4"/>
      <c r="U594" s="4">
        <v>0.0</v>
      </c>
      <c r="V594" s="4"/>
      <c r="W594" s="4"/>
      <c r="X594" s="4"/>
      <c r="Y594" s="4"/>
      <c r="Z594" s="4"/>
      <c r="AA594" s="4"/>
    </row>
    <row r="595">
      <c r="A595" s="4" t="s">
        <v>7784</v>
      </c>
      <c r="B595" s="4" t="s">
        <v>16</v>
      </c>
      <c r="C595" s="4" t="s">
        <v>7070</v>
      </c>
      <c r="D595" s="4">
        <v>44006.0</v>
      </c>
      <c r="E595" s="4">
        <v>0.5746527777777791</v>
      </c>
      <c r="F595" s="4">
        <v>0.008333333333333333</v>
      </c>
      <c r="G595" s="4">
        <v>0.5829861111111124</v>
      </c>
      <c r="H595" s="4" t="s">
        <v>972</v>
      </c>
      <c r="I595" s="4" t="s">
        <v>6933</v>
      </c>
      <c r="J595" s="4" t="s">
        <v>6938</v>
      </c>
      <c r="K595" s="4" t="s">
        <v>140</v>
      </c>
      <c r="L595" s="4" t="s">
        <v>107</v>
      </c>
      <c r="M595" s="4" t="s">
        <v>7505</v>
      </c>
      <c r="N595" s="4" t="s">
        <v>6702</v>
      </c>
      <c r="O595" s="4" t="s">
        <v>698</v>
      </c>
      <c r="P595" s="4" t="s">
        <v>699</v>
      </c>
      <c r="Q595" s="4" t="s">
        <v>700</v>
      </c>
      <c r="R595" s="4"/>
      <c r="S595" s="4"/>
      <c r="T595" s="4" t="s">
        <v>701</v>
      </c>
      <c r="U595" s="4">
        <v>3.0</v>
      </c>
      <c r="V595" s="4" t="s">
        <v>7785</v>
      </c>
      <c r="W595" s="4" t="s">
        <v>6860</v>
      </c>
      <c r="X595" s="4" t="s">
        <v>7786</v>
      </c>
      <c r="Y595" s="4"/>
      <c r="Z595" s="4" t="s">
        <v>972</v>
      </c>
      <c r="AA595" s="4"/>
    </row>
    <row r="596">
      <c r="A596" s="4" t="s">
        <v>7787</v>
      </c>
      <c r="B596" s="4" t="s">
        <v>16</v>
      </c>
      <c r="C596" s="4" t="s">
        <v>7070</v>
      </c>
      <c r="D596" s="4">
        <v>44006.0</v>
      </c>
      <c r="E596" s="4">
        <v>0.5829861111111124</v>
      </c>
      <c r="F596" s="4">
        <v>1.7361111111111112E-4</v>
      </c>
      <c r="G596" s="4">
        <v>0.5831597222222236</v>
      </c>
      <c r="H596" s="4" t="s">
        <v>1944</v>
      </c>
      <c r="I596" s="4"/>
      <c r="J596" s="4"/>
      <c r="K596" s="4" t="s">
        <v>140</v>
      </c>
      <c r="L596" s="4"/>
      <c r="M596" s="4"/>
      <c r="N596" s="4"/>
      <c r="O596" s="4" t="s">
        <v>85</v>
      </c>
      <c r="P596" s="4"/>
      <c r="Q596" s="4"/>
      <c r="R596" s="4"/>
      <c r="S596" s="4"/>
      <c r="T596" s="4"/>
      <c r="U596" s="4">
        <v>0.0</v>
      </c>
      <c r="V596" s="4"/>
      <c r="W596" s="4"/>
      <c r="X596" s="4"/>
      <c r="Y596" s="4"/>
      <c r="Z596" s="4"/>
      <c r="AA596" s="4"/>
    </row>
    <row r="597">
      <c r="A597" s="4" t="s">
        <v>7788</v>
      </c>
      <c r="B597" s="4" t="s">
        <v>16</v>
      </c>
      <c r="C597" s="4" t="s">
        <v>7070</v>
      </c>
      <c r="D597" s="4">
        <v>44006.0</v>
      </c>
      <c r="E597" s="4">
        <v>0.5831597222222236</v>
      </c>
      <c r="F597" s="4">
        <v>1.7361111111111112E-4</v>
      </c>
      <c r="G597" s="4">
        <v>0.5833333333333347</v>
      </c>
      <c r="H597" s="4" t="s">
        <v>2004</v>
      </c>
      <c r="I597" s="4"/>
      <c r="J597" s="4"/>
      <c r="K597" s="4" t="s">
        <v>140</v>
      </c>
      <c r="L597" s="4"/>
      <c r="M597" s="4"/>
      <c r="N597" s="4"/>
      <c r="O597" s="4" t="s">
        <v>7789</v>
      </c>
      <c r="P597" s="4"/>
      <c r="Q597" s="4"/>
      <c r="R597" s="4"/>
      <c r="S597" s="4"/>
      <c r="T597" s="4"/>
      <c r="U597" s="4"/>
      <c r="V597" s="4"/>
      <c r="W597" s="4"/>
      <c r="X597" s="4"/>
      <c r="Y597" s="4"/>
      <c r="Z597" s="4"/>
      <c r="AA597" s="4"/>
    </row>
    <row r="598">
      <c r="A598" s="4" t="s">
        <v>7790</v>
      </c>
      <c r="B598" s="4" t="s">
        <v>16</v>
      </c>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c r="A599" s="4" t="s">
        <v>7791</v>
      </c>
      <c r="B599" s="4" t="s">
        <v>16</v>
      </c>
      <c r="C599" s="4" t="s">
        <v>7070</v>
      </c>
      <c r="D599" s="4">
        <v>44006.0</v>
      </c>
      <c r="E599" s="4">
        <v>0.5833333333333347</v>
      </c>
      <c r="F599" s="4">
        <v>3.4722222222222224E-4</v>
      </c>
      <c r="G599" s="4">
        <v>0.583680555555557</v>
      </c>
      <c r="H599" s="4" t="s">
        <v>1944</v>
      </c>
      <c r="I599" s="4"/>
      <c r="J599" s="4"/>
      <c r="K599" s="4" t="s">
        <v>189</v>
      </c>
      <c r="L599" s="4"/>
      <c r="M599" s="4"/>
      <c r="N599" s="4"/>
      <c r="O599" s="4" t="s">
        <v>81</v>
      </c>
      <c r="P599" s="4"/>
      <c r="Q599" s="4"/>
      <c r="R599" s="4"/>
      <c r="S599" s="4"/>
      <c r="T599" s="4"/>
      <c r="U599" s="4">
        <v>0.0</v>
      </c>
      <c r="V599" s="4"/>
      <c r="W599" s="4"/>
      <c r="X599" s="4"/>
      <c r="Y599" s="4"/>
      <c r="Z599" s="4"/>
      <c r="AA599" s="4"/>
    </row>
    <row r="600">
      <c r="A600" s="4" t="s">
        <v>7792</v>
      </c>
      <c r="B600" s="4" t="s">
        <v>16</v>
      </c>
      <c r="C600" s="4" t="s">
        <v>7070</v>
      </c>
      <c r="D600" s="4">
        <v>44006.0</v>
      </c>
      <c r="E600" s="4">
        <v>0.583680555555557</v>
      </c>
      <c r="F600" s="4">
        <v>0.009722222222222222</v>
      </c>
      <c r="G600" s="4">
        <v>0.5934027777777792</v>
      </c>
      <c r="H600" s="4" t="s">
        <v>946</v>
      </c>
      <c r="I600" s="4" t="s">
        <v>17</v>
      </c>
      <c r="J600" s="4" t="s">
        <v>15</v>
      </c>
      <c r="K600" s="4" t="s">
        <v>189</v>
      </c>
      <c r="L600" s="4" t="s">
        <v>107</v>
      </c>
      <c r="M600" s="4" t="s">
        <v>7126</v>
      </c>
      <c r="N600" s="4" t="s">
        <v>6755</v>
      </c>
      <c r="O600" s="4" t="s">
        <v>828</v>
      </c>
      <c r="P600" s="4" t="s">
        <v>829</v>
      </c>
      <c r="Q600" s="4" t="s">
        <v>830</v>
      </c>
      <c r="R600" s="4" t="s">
        <v>361</v>
      </c>
      <c r="S600" s="4"/>
      <c r="T600" s="4" t="s">
        <v>831</v>
      </c>
      <c r="U600" s="4">
        <v>4.0</v>
      </c>
      <c r="V600" s="4" t="s">
        <v>7793</v>
      </c>
      <c r="W600" s="4" t="s">
        <v>6872</v>
      </c>
      <c r="X600" s="4"/>
      <c r="Y600" s="4"/>
      <c r="Z600" s="4" t="s">
        <v>946</v>
      </c>
      <c r="AA600" s="4"/>
    </row>
    <row r="601">
      <c r="A601" s="4" t="s">
        <v>7794</v>
      </c>
      <c r="B601" s="4" t="s">
        <v>16</v>
      </c>
      <c r="C601" s="4" t="s">
        <v>7070</v>
      </c>
      <c r="D601" s="4">
        <v>44006.0</v>
      </c>
      <c r="E601" s="4">
        <v>0.5934027777777792</v>
      </c>
      <c r="F601" s="4">
        <v>1.7361111111111112E-4</v>
      </c>
      <c r="G601" s="4">
        <v>0.5935763888888903</v>
      </c>
      <c r="H601" s="4" t="s">
        <v>1944</v>
      </c>
      <c r="I601" s="4"/>
      <c r="J601" s="4"/>
      <c r="K601" s="4" t="s">
        <v>189</v>
      </c>
      <c r="L601" s="4"/>
      <c r="M601" s="4"/>
      <c r="N601" s="4"/>
      <c r="O601" s="4" t="s">
        <v>85</v>
      </c>
      <c r="P601" s="4"/>
      <c r="Q601" s="4"/>
      <c r="R601" s="4"/>
      <c r="S601" s="4"/>
      <c r="T601" s="4"/>
      <c r="U601" s="4">
        <v>0.0</v>
      </c>
      <c r="V601" s="4"/>
      <c r="W601" s="4"/>
      <c r="X601" s="4"/>
      <c r="Y601" s="4"/>
      <c r="Z601" s="4"/>
      <c r="AA601" s="4"/>
    </row>
    <row r="602">
      <c r="A602" s="4" t="s">
        <v>7795</v>
      </c>
      <c r="B602" s="4" t="s">
        <v>16</v>
      </c>
      <c r="C602" s="4" t="s">
        <v>7070</v>
      </c>
      <c r="D602" s="4">
        <v>44006.0</v>
      </c>
      <c r="E602" s="4">
        <v>0.5935763888888903</v>
      </c>
      <c r="F602" s="4">
        <v>3.4722222222222224E-4</v>
      </c>
      <c r="G602" s="4">
        <v>0.5939236111111126</v>
      </c>
      <c r="H602" s="4" t="s">
        <v>1944</v>
      </c>
      <c r="I602" s="4"/>
      <c r="J602" s="4"/>
      <c r="K602" s="4" t="s">
        <v>189</v>
      </c>
      <c r="L602" s="4"/>
      <c r="M602" s="4"/>
      <c r="N602" s="4"/>
      <c r="O602" s="4" t="s">
        <v>81</v>
      </c>
      <c r="P602" s="4"/>
      <c r="Q602" s="4"/>
      <c r="R602" s="4"/>
      <c r="S602" s="4"/>
      <c r="T602" s="4"/>
      <c r="U602" s="4"/>
      <c r="V602" s="4"/>
      <c r="W602" s="4"/>
      <c r="X602" s="4"/>
      <c r="Y602" s="4"/>
      <c r="Z602" s="4"/>
      <c r="AA602" s="4"/>
    </row>
    <row r="603">
      <c r="A603" s="4" t="s">
        <v>7796</v>
      </c>
      <c r="B603" s="4" t="s">
        <v>16</v>
      </c>
      <c r="C603" s="4" t="s">
        <v>7070</v>
      </c>
      <c r="D603" s="4">
        <v>44006.0</v>
      </c>
      <c r="E603" s="4">
        <v>0.5939236111111126</v>
      </c>
      <c r="F603" s="4">
        <v>0.013888888888888888</v>
      </c>
      <c r="G603" s="4">
        <v>0.6078125000000014</v>
      </c>
      <c r="H603" s="4" t="s">
        <v>726</v>
      </c>
      <c r="I603" s="4"/>
      <c r="J603" s="4" t="s">
        <v>7339</v>
      </c>
      <c r="K603" s="4" t="s">
        <v>189</v>
      </c>
      <c r="L603" s="4" t="s">
        <v>107</v>
      </c>
      <c r="M603" s="4"/>
      <c r="N603" s="4" t="s">
        <v>6689</v>
      </c>
      <c r="O603" s="4" t="s">
        <v>7797</v>
      </c>
      <c r="P603" s="4" t="s">
        <v>714</v>
      </c>
      <c r="Q603" s="4" t="s">
        <v>7798</v>
      </c>
      <c r="R603" s="4"/>
      <c r="S603" s="4"/>
      <c r="T603" s="4"/>
      <c r="U603" s="4"/>
      <c r="V603" s="4" t="s">
        <v>7799</v>
      </c>
      <c r="W603" s="4"/>
      <c r="X603" s="4" t="s">
        <v>4345</v>
      </c>
      <c r="Y603" s="4"/>
      <c r="Z603" s="4"/>
      <c r="AA603" s="4"/>
    </row>
    <row r="604">
      <c r="A604" s="4" t="s">
        <v>7800</v>
      </c>
      <c r="B604" s="4" t="s">
        <v>16</v>
      </c>
      <c r="C604" s="4" t="s">
        <v>7070</v>
      </c>
      <c r="D604" s="4">
        <v>44006.0</v>
      </c>
      <c r="E604" s="4">
        <v>0.6078125000000014</v>
      </c>
      <c r="F604" s="4">
        <v>1.7361111111111112E-4</v>
      </c>
      <c r="G604" s="4">
        <v>0.6079861111111126</v>
      </c>
      <c r="H604" s="4" t="s">
        <v>1944</v>
      </c>
      <c r="I604" s="4"/>
      <c r="J604" s="4"/>
      <c r="K604" s="4" t="s">
        <v>189</v>
      </c>
      <c r="L604" s="4"/>
      <c r="M604" s="4"/>
      <c r="N604" s="4"/>
      <c r="O604" s="4" t="s">
        <v>85</v>
      </c>
      <c r="P604" s="4"/>
      <c r="Q604" s="4"/>
      <c r="R604" s="4"/>
      <c r="S604" s="4"/>
      <c r="T604" s="4"/>
      <c r="U604" s="4">
        <v>0.0</v>
      </c>
      <c r="V604" s="4"/>
      <c r="W604" s="4"/>
      <c r="X604" s="4"/>
      <c r="Y604" s="4"/>
      <c r="Z604" s="4"/>
      <c r="AA604" s="4"/>
    </row>
    <row r="605">
      <c r="A605" s="4" t="s">
        <v>7801</v>
      </c>
      <c r="B605" s="4" t="s">
        <v>16</v>
      </c>
      <c r="C605" s="4" t="s">
        <v>7070</v>
      </c>
      <c r="D605" s="4">
        <v>44006.0</v>
      </c>
      <c r="E605" s="4">
        <v>0.6079861111111126</v>
      </c>
      <c r="F605" s="4">
        <v>3.4722222222222224E-4</v>
      </c>
      <c r="G605" s="4">
        <v>0.6083333333333348</v>
      </c>
      <c r="H605" s="4" t="s">
        <v>2004</v>
      </c>
      <c r="I605" s="4"/>
      <c r="J605" s="4"/>
      <c r="K605" s="4" t="s">
        <v>189</v>
      </c>
      <c r="L605" s="4"/>
      <c r="M605" s="4"/>
      <c r="N605" s="4"/>
      <c r="O605" s="4" t="s">
        <v>7802</v>
      </c>
      <c r="P605" s="4"/>
      <c r="Q605" s="4"/>
      <c r="R605" s="4"/>
      <c r="S605" s="4"/>
      <c r="T605" s="4"/>
      <c r="U605" s="4"/>
      <c r="V605" s="4"/>
      <c r="W605" s="4"/>
      <c r="X605" s="4"/>
      <c r="Y605" s="4"/>
      <c r="Z605" s="4"/>
      <c r="AA605" s="4"/>
    </row>
    <row r="606">
      <c r="A606" s="4" t="s">
        <v>7803</v>
      </c>
      <c r="B606" s="4" t="s">
        <v>16</v>
      </c>
      <c r="C606" s="4" t="s">
        <v>7070</v>
      </c>
      <c r="D606" s="4">
        <v>44006.0</v>
      </c>
      <c r="E606" s="4">
        <v>0.6083333333333348</v>
      </c>
      <c r="F606" s="4">
        <v>3.4722222222222224E-4</v>
      </c>
      <c r="G606" s="4">
        <v>0.6086805555555571</v>
      </c>
      <c r="H606" s="4" t="s">
        <v>1944</v>
      </c>
      <c r="I606" s="4"/>
      <c r="J606" s="4"/>
      <c r="K606" s="4" t="s">
        <v>189</v>
      </c>
      <c r="L606" s="4"/>
      <c r="M606" s="4"/>
      <c r="N606" s="4"/>
      <c r="O606" s="4" t="s">
        <v>81</v>
      </c>
      <c r="P606" s="4"/>
      <c r="Q606" s="4"/>
      <c r="R606" s="4"/>
      <c r="S606" s="4"/>
      <c r="T606" s="4"/>
      <c r="U606" s="4">
        <v>0.0</v>
      </c>
      <c r="V606" s="4"/>
      <c r="W606" s="4"/>
      <c r="X606" s="4"/>
      <c r="Y606" s="4"/>
      <c r="Z606" s="4"/>
      <c r="AA606" s="4"/>
    </row>
    <row r="607">
      <c r="A607" s="4" t="s">
        <v>7804</v>
      </c>
      <c r="B607" s="4" t="s">
        <v>16</v>
      </c>
      <c r="C607" s="4" t="s">
        <v>7070</v>
      </c>
      <c r="D607" s="4">
        <v>44006.0</v>
      </c>
      <c r="E607" s="4">
        <v>0.6086805555555571</v>
      </c>
      <c r="F607" s="4">
        <v>0.006944444444444444</v>
      </c>
      <c r="G607" s="4">
        <v>0.6156250000000015</v>
      </c>
      <c r="H607" s="4" t="s">
        <v>946</v>
      </c>
      <c r="I607" s="4" t="s">
        <v>314</v>
      </c>
      <c r="J607" s="4" t="s">
        <v>15</v>
      </c>
      <c r="K607" s="4" t="s">
        <v>189</v>
      </c>
      <c r="L607" s="4" t="s">
        <v>165</v>
      </c>
      <c r="M607" s="4" t="s">
        <v>7126</v>
      </c>
      <c r="N607" s="4" t="s">
        <v>6720</v>
      </c>
      <c r="O607" s="4" t="s">
        <v>709</v>
      </c>
      <c r="P607" s="4" t="s">
        <v>710</v>
      </c>
      <c r="Q607" s="4"/>
      <c r="R607" s="4"/>
      <c r="S607" s="4"/>
      <c r="T607" s="4"/>
      <c r="U607" s="4">
        <v>1.0</v>
      </c>
      <c r="V607" s="4" t="s">
        <v>7805</v>
      </c>
      <c r="W607" s="4" t="s">
        <v>6890</v>
      </c>
      <c r="X607" s="4">
        <v>43959.625</v>
      </c>
      <c r="Y607" s="4" t="s">
        <v>7806</v>
      </c>
      <c r="Z607" s="4" t="s">
        <v>946</v>
      </c>
      <c r="AA607" s="4"/>
    </row>
    <row r="608">
      <c r="A608" s="4" t="s">
        <v>7807</v>
      </c>
      <c r="B608" s="4" t="s">
        <v>16</v>
      </c>
      <c r="C608" s="4" t="s">
        <v>7070</v>
      </c>
      <c r="D608" s="4">
        <v>44006.0</v>
      </c>
      <c r="E608" s="4">
        <v>0.6156250000000015</v>
      </c>
      <c r="F608" s="4">
        <v>1.7361111111111112E-4</v>
      </c>
      <c r="G608" s="4">
        <v>0.6157986111111127</v>
      </c>
      <c r="H608" s="4" t="s">
        <v>1944</v>
      </c>
      <c r="I608" s="4"/>
      <c r="J608" s="4"/>
      <c r="K608" s="4" t="s">
        <v>189</v>
      </c>
      <c r="L608" s="4"/>
      <c r="M608" s="4"/>
      <c r="N608" s="4"/>
      <c r="O608" s="4" t="s">
        <v>85</v>
      </c>
      <c r="P608" s="4"/>
      <c r="Q608" s="4"/>
      <c r="R608" s="4"/>
      <c r="S608" s="4"/>
      <c r="T608" s="4"/>
      <c r="U608" s="4">
        <v>0.0</v>
      </c>
      <c r="V608" s="4"/>
      <c r="W608" s="4"/>
      <c r="X608" s="4"/>
      <c r="Y608" s="4"/>
      <c r="Z608" s="4"/>
      <c r="AA608" s="4"/>
    </row>
    <row r="609">
      <c r="A609" s="4" t="s">
        <v>7808</v>
      </c>
      <c r="B609" s="4" t="s">
        <v>16</v>
      </c>
      <c r="C609" s="4" t="s">
        <v>7070</v>
      </c>
      <c r="D609" s="4">
        <v>44006.0</v>
      </c>
      <c r="E609" s="4">
        <v>0.6157986111111127</v>
      </c>
      <c r="F609" s="4">
        <v>3.4722222222222224E-4</v>
      </c>
      <c r="G609" s="4">
        <v>0.616145833333335</v>
      </c>
      <c r="H609" s="4" t="s">
        <v>1944</v>
      </c>
      <c r="I609" s="4"/>
      <c r="J609" s="4"/>
      <c r="K609" s="4" t="s">
        <v>189</v>
      </c>
      <c r="L609" s="4"/>
      <c r="M609" s="4"/>
      <c r="N609" s="4"/>
      <c r="O609" s="4" t="s">
        <v>81</v>
      </c>
      <c r="P609" s="4"/>
      <c r="Q609" s="4"/>
      <c r="R609" s="4"/>
      <c r="S609" s="4"/>
      <c r="T609" s="4"/>
      <c r="U609" s="4">
        <v>0.0</v>
      </c>
      <c r="V609" s="4"/>
      <c r="W609" s="4"/>
      <c r="X609" s="4"/>
      <c r="Y609" s="4"/>
      <c r="Z609" s="4"/>
      <c r="AA609" s="4"/>
    </row>
    <row r="610">
      <c r="A610" s="4" t="s">
        <v>7809</v>
      </c>
      <c r="B610" s="4" t="s">
        <v>16</v>
      </c>
      <c r="C610" s="4" t="s">
        <v>7070</v>
      </c>
      <c r="D610" s="4">
        <v>44006.0</v>
      </c>
      <c r="E610" s="4">
        <v>0.616145833333335</v>
      </c>
      <c r="F610" s="4">
        <v>0.008333333333333333</v>
      </c>
      <c r="G610" s="4">
        <v>0.6244791666666683</v>
      </c>
      <c r="H610" s="4" t="s">
        <v>630</v>
      </c>
      <c r="I610" s="4" t="s">
        <v>6993</v>
      </c>
      <c r="J610" s="4" t="s">
        <v>15</v>
      </c>
      <c r="K610" s="4" t="s">
        <v>189</v>
      </c>
      <c r="L610" s="4" t="s">
        <v>94</v>
      </c>
      <c r="M610" s="4" t="s">
        <v>7126</v>
      </c>
      <c r="N610" s="4" t="s">
        <v>6720</v>
      </c>
      <c r="O610" s="4" t="s">
        <v>724</v>
      </c>
      <c r="P610" s="4" t="s">
        <v>725</v>
      </c>
      <c r="Q610" s="4"/>
      <c r="R610" s="4"/>
      <c r="S610" s="4"/>
      <c r="T610" s="4" t="s">
        <v>321</v>
      </c>
      <c r="U610" s="4">
        <v>2.0</v>
      </c>
      <c r="V610" s="4" t="s">
        <v>7810</v>
      </c>
      <c r="W610" s="4" t="s">
        <v>6855</v>
      </c>
      <c r="X610" s="4"/>
      <c r="Y610" s="4"/>
      <c r="Z610" s="4" t="s">
        <v>630</v>
      </c>
      <c r="AA610" s="4"/>
    </row>
    <row r="611">
      <c r="A611" s="4" t="s">
        <v>7811</v>
      </c>
      <c r="B611" s="4" t="s">
        <v>16</v>
      </c>
      <c r="C611" s="4" t="s">
        <v>7070</v>
      </c>
      <c r="D611" s="4">
        <v>44006.0</v>
      </c>
      <c r="E611" s="4">
        <v>0.6244791666666683</v>
      </c>
      <c r="F611" s="4">
        <v>1.7361111111111112E-4</v>
      </c>
      <c r="G611" s="4">
        <v>0.6246527777777794</v>
      </c>
      <c r="H611" s="4" t="s">
        <v>1944</v>
      </c>
      <c r="I611" s="4"/>
      <c r="J611" s="4"/>
      <c r="K611" s="4" t="s">
        <v>189</v>
      </c>
      <c r="L611" s="4"/>
      <c r="M611" s="4"/>
      <c r="N611" s="4"/>
      <c r="O611" s="4" t="s">
        <v>85</v>
      </c>
      <c r="P611" s="4"/>
      <c r="Q611" s="4"/>
      <c r="R611" s="4"/>
      <c r="S611" s="4"/>
      <c r="T611" s="4"/>
      <c r="U611" s="4">
        <v>0.0</v>
      </c>
      <c r="V611" s="4"/>
      <c r="W611" s="4"/>
      <c r="X611" s="4"/>
      <c r="Y611" s="4"/>
      <c r="Z611" s="4"/>
      <c r="AA611" s="4"/>
    </row>
    <row r="612">
      <c r="A612" s="4" t="s">
        <v>7812</v>
      </c>
      <c r="B612" s="4" t="s">
        <v>16</v>
      </c>
      <c r="C612" s="4" t="s">
        <v>7070</v>
      </c>
      <c r="D612" s="4">
        <v>44006.0</v>
      </c>
      <c r="E612" s="4">
        <v>0.6246527777777794</v>
      </c>
      <c r="F612" s="4">
        <v>3.4722222222222224E-4</v>
      </c>
      <c r="G612" s="4">
        <v>0.6250000000000017</v>
      </c>
      <c r="H612" s="4" t="s">
        <v>1944</v>
      </c>
      <c r="I612" s="4"/>
      <c r="J612" s="4"/>
      <c r="K612" s="4" t="s">
        <v>189</v>
      </c>
      <c r="L612" s="4"/>
      <c r="M612" s="4"/>
      <c r="N612" s="4"/>
      <c r="O612" s="4" t="s">
        <v>89</v>
      </c>
      <c r="P612" s="4"/>
      <c r="Q612" s="4"/>
      <c r="R612" s="4"/>
      <c r="S612" s="4"/>
      <c r="T612" s="4"/>
      <c r="U612" s="4">
        <v>0.0</v>
      </c>
      <c r="V612" s="4"/>
      <c r="W612" s="4"/>
      <c r="X612" s="4"/>
      <c r="Y612" s="4"/>
      <c r="Z612" s="4"/>
      <c r="AA612" s="4"/>
    </row>
    <row r="613">
      <c r="A613" s="4" t="s">
        <v>7813</v>
      </c>
      <c r="B613" s="4" t="s">
        <v>16</v>
      </c>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c r="A614" s="4" t="s">
        <v>7814</v>
      </c>
      <c r="B614" s="4" t="s">
        <v>16</v>
      </c>
      <c r="C614" s="4" t="s">
        <v>7070</v>
      </c>
      <c r="D614" s="4">
        <v>44006.0</v>
      </c>
      <c r="E614" s="4">
        <v>0.6250000000000017</v>
      </c>
      <c r="F614" s="4">
        <v>3.4722222222222224E-4</v>
      </c>
      <c r="G614" s="4">
        <v>0.6253472222222239</v>
      </c>
      <c r="H614" s="4"/>
      <c r="I614" s="4"/>
      <c r="J614" s="4"/>
      <c r="K614" s="4" t="s">
        <v>737</v>
      </c>
      <c r="L614" s="4"/>
      <c r="M614" s="4"/>
      <c r="N614" s="4"/>
      <c r="O614" s="4" t="s">
        <v>81</v>
      </c>
      <c r="P614" s="4"/>
      <c r="Q614" s="4"/>
      <c r="R614" s="4"/>
      <c r="S614" s="4"/>
      <c r="T614" s="4"/>
      <c r="U614" s="4">
        <v>0.0</v>
      </c>
      <c r="V614" s="4"/>
      <c r="W614" s="4"/>
      <c r="X614" s="4"/>
      <c r="Y614" s="4"/>
      <c r="Z614" s="4"/>
      <c r="AA614" s="4"/>
    </row>
    <row r="615">
      <c r="A615" s="4" t="s">
        <v>7815</v>
      </c>
      <c r="B615" s="4" t="s">
        <v>16</v>
      </c>
      <c r="C615" s="4" t="s">
        <v>7070</v>
      </c>
      <c r="D615" s="4">
        <v>44006.0</v>
      </c>
      <c r="E615" s="4">
        <v>0.6253472222222239</v>
      </c>
      <c r="F615" s="4">
        <v>0.010416666666666666</v>
      </c>
      <c r="G615" s="4">
        <v>0.6357638888888906</v>
      </c>
      <c r="H615" s="4" t="s">
        <v>1076</v>
      </c>
      <c r="I615" s="4" t="s">
        <v>6933</v>
      </c>
      <c r="J615" s="4" t="s">
        <v>7290</v>
      </c>
      <c r="K615" s="4" t="s">
        <v>737</v>
      </c>
      <c r="L615" s="4" t="s">
        <v>74</v>
      </c>
      <c r="M615" s="4" t="s">
        <v>7462</v>
      </c>
      <c r="N615" s="4" t="s">
        <v>6749</v>
      </c>
      <c r="O615" s="4" t="s">
        <v>1829</v>
      </c>
      <c r="P615" s="4" t="s">
        <v>1830</v>
      </c>
      <c r="Q615" s="4" t="s">
        <v>1831</v>
      </c>
      <c r="R615" s="4" t="s">
        <v>1832</v>
      </c>
      <c r="S615" s="4"/>
      <c r="T615" s="4" t="s">
        <v>184</v>
      </c>
      <c r="U615" s="4">
        <v>4.0</v>
      </c>
      <c r="V615" s="4" t="s">
        <v>7816</v>
      </c>
      <c r="W615" s="4" t="s">
        <v>7115</v>
      </c>
      <c r="X615" s="4"/>
      <c r="Y615" s="4"/>
      <c r="Z615" s="4"/>
      <c r="AA615" s="4"/>
    </row>
    <row r="616">
      <c r="A616" s="4" t="s">
        <v>7817</v>
      </c>
      <c r="B616" s="4" t="s">
        <v>16</v>
      </c>
      <c r="C616" s="4" t="s">
        <v>7070</v>
      </c>
      <c r="D616" s="4">
        <v>44006.0</v>
      </c>
      <c r="E616" s="4">
        <v>0.6357638888888906</v>
      </c>
      <c r="F616" s="4">
        <v>1.7361111111111112E-4</v>
      </c>
      <c r="G616" s="4">
        <v>0.6359375000000017</v>
      </c>
      <c r="H616" s="4"/>
      <c r="I616" s="4"/>
      <c r="J616" s="4"/>
      <c r="K616" s="4" t="s">
        <v>737</v>
      </c>
      <c r="L616" s="4"/>
      <c r="M616" s="4"/>
      <c r="N616" s="4"/>
      <c r="O616" s="4" t="s">
        <v>85</v>
      </c>
      <c r="P616" s="4"/>
      <c r="Q616" s="4"/>
      <c r="R616" s="4"/>
      <c r="S616" s="4"/>
      <c r="T616" s="4"/>
      <c r="U616" s="4">
        <v>0.0</v>
      </c>
      <c r="V616" s="4"/>
      <c r="W616" s="4"/>
      <c r="X616" s="4"/>
      <c r="Y616" s="4"/>
      <c r="Z616" s="4"/>
      <c r="AA616" s="4"/>
    </row>
    <row r="617">
      <c r="A617" s="4" t="s">
        <v>7818</v>
      </c>
      <c r="B617" s="4" t="s">
        <v>16</v>
      </c>
      <c r="C617" s="4" t="s">
        <v>7070</v>
      </c>
      <c r="D617" s="4">
        <v>44006.0</v>
      </c>
      <c r="E617" s="4">
        <v>0.6359375000000017</v>
      </c>
      <c r="F617" s="4">
        <v>3.4722222222222224E-4</v>
      </c>
      <c r="G617" s="4">
        <v>0.636284722222224</v>
      </c>
      <c r="H617" s="4"/>
      <c r="I617" s="4"/>
      <c r="J617" s="4"/>
      <c r="K617" s="4" t="s">
        <v>737</v>
      </c>
      <c r="L617" s="4"/>
      <c r="M617" s="4"/>
      <c r="N617" s="4"/>
      <c r="O617" s="4" t="s">
        <v>81</v>
      </c>
      <c r="P617" s="4"/>
      <c r="Q617" s="4"/>
      <c r="R617" s="4"/>
      <c r="S617" s="4"/>
      <c r="T617" s="4"/>
      <c r="U617" s="4">
        <v>0.0</v>
      </c>
      <c r="V617" s="4"/>
      <c r="W617" s="4"/>
      <c r="X617" s="4"/>
      <c r="Y617" s="4"/>
      <c r="Z617" s="4"/>
      <c r="AA617" s="4"/>
    </row>
    <row r="618">
      <c r="A618" s="4" t="s">
        <v>7819</v>
      </c>
      <c r="B618" s="4" t="s">
        <v>16</v>
      </c>
      <c r="C618" s="4" t="s">
        <v>7070</v>
      </c>
      <c r="D618" s="4">
        <v>44006.0</v>
      </c>
      <c r="E618" s="4">
        <v>0.636284722222224</v>
      </c>
      <c r="F618" s="4">
        <v>0.010416666666666666</v>
      </c>
      <c r="G618" s="4">
        <v>0.6467013888888906</v>
      </c>
      <c r="H618" s="4" t="s">
        <v>1076</v>
      </c>
      <c r="I618" s="4" t="s">
        <v>6933</v>
      </c>
      <c r="J618" s="4" t="s">
        <v>7290</v>
      </c>
      <c r="K618" s="4" t="s">
        <v>737</v>
      </c>
      <c r="L618" s="4" t="s">
        <v>74</v>
      </c>
      <c r="M618" s="4" t="s">
        <v>7126</v>
      </c>
      <c r="N618" s="4" t="s">
        <v>6720</v>
      </c>
      <c r="O618" s="4" t="s">
        <v>1646</v>
      </c>
      <c r="P618" s="4" t="s">
        <v>1647</v>
      </c>
      <c r="Q618" s="4" t="s">
        <v>1648</v>
      </c>
      <c r="R618" s="4" t="s">
        <v>1649</v>
      </c>
      <c r="S618" s="4"/>
      <c r="T618" s="4" t="s">
        <v>7820</v>
      </c>
      <c r="U618" s="4">
        <v>4.0</v>
      </c>
      <c r="V618" s="4" t="s">
        <v>7821</v>
      </c>
      <c r="W618" s="4" t="s">
        <v>7115</v>
      </c>
      <c r="X618" s="4"/>
      <c r="Y618" s="4"/>
      <c r="Z618" s="4"/>
      <c r="AA618" s="4"/>
    </row>
    <row r="619">
      <c r="A619" s="4" t="s">
        <v>7822</v>
      </c>
      <c r="B619" s="4" t="s">
        <v>16</v>
      </c>
      <c r="C619" s="4" t="s">
        <v>7070</v>
      </c>
      <c r="D619" s="4">
        <v>44006.0</v>
      </c>
      <c r="E619" s="4">
        <v>0.6467013888888906</v>
      </c>
      <c r="F619" s="4">
        <v>1.7361111111111112E-4</v>
      </c>
      <c r="G619" s="4">
        <v>0.6468750000000018</v>
      </c>
      <c r="H619" s="4"/>
      <c r="I619" s="4"/>
      <c r="J619" s="4"/>
      <c r="K619" s="4" t="s">
        <v>737</v>
      </c>
      <c r="L619" s="4"/>
      <c r="M619" s="4"/>
      <c r="N619" s="4"/>
      <c r="O619" s="4" t="s">
        <v>85</v>
      </c>
      <c r="P619" s="4"/>
      <c r="Q619" s="4"/>
      <c r="R619" s="4"/>
      <c r="S619" s="4"/>
      <c r="T619" s="4"/>
      <c r="U619" s="4">
        <v>0.0</v>
      </c>
      <c r="V619" s="4"/>
      <c r="W619" s="4"/>
      <c r="X619" s="4"/>
      <c r="Y619" s="4"/>
      <c r="Z619" s="4"/>
      <c r="AA619" s="4"/>
    </row>
    <row r="620">
      <c r="A620" s="4" t="s">
        <v>7823</v>
      </c>
      <c r="B620" s="4" t="s">
        <v>16</v>
      </c>
      <c r="C620" s="4" t="s">
        <v>7070</v>
      </c>
      <c r="D620" s="4">
        <v>44006.0</v>
      </c>
      <c r="E620" s="4">
        <v>0.6468750000000018</v>
      </c>
      <c r="F620" s="4">
        <v>3.4722222222222224E-4</v>
      </c>
      <c r="G620" s="4">
        <v>0.647222222222224</v>
      </c>
      <c r="H620" s="4"/>
      <c r="I620" s="4"/>
      <c r="J620" s="4"/>
      <c r="K620" s="4" t="s">
        <v>737</v>
      </c>
      <c r="L620" s="4"/>
      <c r="M620" s="4"/>
      <c r="N620" s="4"/>
      <c r="O620" s="4" t="s">
        <v>81</v>
      </c>
      <c r="P620" s="4"/>
      <c r="Q620" s="4"/>
      <c r="R620" s="4"/>
      <c r="S620" s="4"/>
      <c r="T620" s="4"/>
      <c r="U620" s="4">
        <v>0.0</v>
      </c>
      <c r="V620" s="4"/>
      <c r="W620" s="4"/>
      <c r="X620" s="4"/>
      <c r="Y620" s="4"/>
      <c r="Z620" s="4"/>
      <c r="AA620" s="4"/>
    </row>
    <row r="621">
      <c r="A621" s="4" t="s">
        <v>7824</v>
      </c>
      <c r="B621" s="4" t="s">
        <v>16</v>
      </c>
      <c r="C621" s="4" t="s">
        <v>7070</v>
      </c>
      <c r="D621" s="4">
        <v>44006.0</v>
      </c>
      <c r="E621" s="4">
        <v>0.647222222222224</v>
      </c>
      <c r="F621" s="4">
        <v>0.010416666666666666</v>
      </c>
      <c r="G621" s="4">
        <v>0.6576388888888907</v>
      </c>
      <c r="H621" s="4" t="s">
        <v>1076</v>
      </c>
      <c r="I621" s="4" t="s">
        <v>6933</v>
      </c>
      <c r="J621" s="4" t="s">
        <v>7290</v>
      </c>
      <c r="K621" s="4" t="s">
        <v>737</v>
      </c>
      <c r="L621" s="4" t="s">
        <v>74</v>
      </c>
      <c r="M621" s="4" t="s">
        <v>7462</v>
      </c>
      <c r="N621" s="4" t="s">
        <v>7195</v>
      </c>
      <c r="O621" s="4" t="s">
        <v>4504</v>
      </c>
      <c r="P621" s="4" t="s">
        <v>1708</v>
      </c>
      <c r="Q621" s="4" t="s">
        <v>1709</v>
      </c>
      <c r="R621" s="4" t="s">
        <v>1710</v>
      </c>
      <c r="S621" s="4"/>
      <c r="T621" s="4" t="s">
        <v>1711</v>
      </c>
      <c r="U621" s="4">
        <v>4.0</v>
      </c>
      <c r="V621" s="4" t="s">
        <v>7825</v>
      </c>
      <c r="W621" s="4" t="s">
        <v>7284</v>
      </c>
      <c r="X621" s="4" t="s">
        <v>7826</v>
      </c>
      <c r="Y621" s="4" t="s">
        <v>7199</v>
      </c>
      <c r="Z621" s="4" t="s">
        <v>1076</v>
      </c>
      <c r="AA621" s="4"/>
    </row>
    <row r="622">
      <c r="A622" s="4" t="s">
        <v>7827</v>
      </c>
      <c r="B622" s="4" t="s">
        <v>16</v>
      </c>
      <c r="C622" s="4" t="s">
        <v>7070</v>
      </c>
      <c r="D622" s="4">
        <v>44006.0</v>
      </c>
      <c r="E622" s="4">
        <v>0.6576388888888907</v>
      </c>
      <c r="F622" s="4">
        <v>1.7361111111111112E-4</v>
      </c>
      <c r="G622" s="4">
        <v>0.6578125000000018</v>
      </c>
      <c r="H622" s="4"/>
      <c r="I622" s="4"/>
      <c r="J622" s="4"/>
      <c r="K622" s="4" t="s">
        <v>737</v>
      </c>
      <c r="L622" s="4"/>
      <c r="M622" s="4"/>
      <c r="N622" s="4"/>
      <c r="O622" s="4" t="s">
        <v>85</v>
      </c>
      <c r="P622" s="4"/>
      <c r="Q622" s="4"/>
      <c r="R622" s="4"/>
      <c r="S622" s="4"/>
      <c r="T622" s="4"/>
      <c r="U622" s="4">
        <v>0.0</v>
      </c>
      <c r="V622" s="4"/>
      <c r="W622" s="4"/>
      <c r="X622" s="4"/>
      <c r="Y622" s="4"/>
      <c r="Z622" s="4"/>
      <c r="AA622" s="4"/>
    </row>
    <row r="623">
      <c r="A623" s="4" t="s">
        <v>7828</v>
      </c>
      <c r="B623" s="4" t="s">
        <v>16</v>
      </c>
      <c r="C623" s="4" t="s">
        <v>7070</v>
      </c>
      <c r="D623" s="4">
        <v>44006.0</v>
      </c>
      <c r="E623" s="4">
        <v>0.6578125000000018</v>
      </c>
      <c r="F623" s="4">
        <v>3.4722222222222224E-4</v>
      </c>
      <c r="G623" s="4">
        <v>0.6581597222222241</v>
      </c>
      <c r="H623" s="4"/>
      <c r="I623" s="4"/>
      <c r="J623" s="4"/>
      <c r="K623" s="4" t="s">
        <v>737</v>
      </c>
      <c r="L623" s="4"/>
      <c r="M623" s="4"/>
      <c r="N623" s="4"/>
      <c r="O623" s="4" t="s">
        <v>81</v>
      </c>
      <c r="P623" s="4"/>
      <c r="Q623" s="4"/>
      <c r="R623" s="4"/>
      <c r="S623" s="4"/>
      <c r="T623" s="4"/>
      <c r="U623" s="4">
        <v>0.0</v>
      </c>
      <c r="V623" s="4"/>
      <c r="W623" s="4"/>
      <c r="X623" s="4"/>
      <c r="Y623" s="4"/>
      <c r="Z623" s="4"/>
      <c r="AA623" s="4"/>
    </row>
    <row r="624">
      <c r="A624" s="4" t="s">
        <v>7829</v>
      </c>
      <c r="B624" s="4" t="s">
        <v>16</v>
      </c>
      <c r="C624" s="4" t="s">
        <v>7070</v>
      </c>
      <c r="D624" s="4">
        <v>44006.0</v>
      </c>
      <c r="E624" s="4">
        <v>0.6581597222222241</v>
      </c>
      <c r="F624" s="4">
        <v>0.008333333333333333</v>
      </c>
      <c r="G624" s="4">
        <v>0.6664930555555574</v>
      </c>
      <c r="H624" s="4" t="s">
        <v>1076</v>
      </c>
      <c r="I624" s="4" t="s">
        <v>6933</v>
      </c>
      <c r="J624" s="4" t="s">
        <v>7086</v>
      </c>
      <c r="K624" s="4" t="s">
        <v>737</v>
      </c>
      <c r="L624" s="4" t="s">
        <v>107</v>
      </c>
      <c r="M624" s="4" t="s">
        <v>7505</v>
      </c>
      <c r="N624" s="4" t="s">
        <v>6749</v>
      </c>
      <c r="O624" s="4" t="s">
        <v>855</v>
      </c>
      <c r="P624" s="4" t="s">
        <v>856</v>
      </c>
      <c r="Q624" s="4" t="s">
        <v>857</v>
      </c>
      <c r="R624" s="4"/>
      <c r="S624" s="4"/>
      <c r="T624" s="4" t="s">
        <v>859</v>
      </c>
      <c r="U624" s="4"/>
      <c r="V624" s="4" t="s">
        <v>7830</v>
      </c>
      <c r="W624" s="4" t="s">
        <v>6920</v>
      </c>
      <c r="X624" s="4" t="s">
        <v>7831</v>
      </c>
      <c r="Y624" s="4" t="s">
        <v>7832</v>
      </c>
      <c r="Z624" s="4" t="s">
        <v>1076</v>
      </c>
      <c r="AA624" s="4"/>
    </row>
    <row r="625">
      <c r="A625" s="4" t="s">
        <v>7833</v>
      </c>
      <c r="B625" s="4" t="s">
        <v>16</v>
      </c>
      <c r="C625" s="4" t="s">
        <v>7070</v>
      </c>
      <c r="D625" s="4">
        <v>44006.0</v>
      </c>
      <c r="E625" s="4">
        <v>0.6664930555555574</v>
      </c>
      <c r="F625" s="4">
        <v>1.7361111111111112E-4</v>
      </c>
      <c r="G625" s="4">
        <v>0.6666666666666685</v>
      </c>
      <c r="H625" s="4"/>
      <c r="I625" s="4"/>
      <c r="J625" s="4"/>
      <c r="K625" s="4" t="s">
        <v>737</v>
      </c>
      <c r="L625" s="4"/>
      <c r="M625" s="4"/>
      <c r="N625" s="4"/>
      <c r="O625" s="4" t="s">
        <v>85</v>
      </c>
      <c r="P625" s="4"/>
      <c r="Q625" s="4"/>
      <c r="R625" s="4"/>
      <c r="S625" s="4"/>
      <c r="T625" s="4"/>
      <c r="U625" s="4">
        <v>0.0</v>
      </c>
      <c r="V625" s="4"/>
      <c r="W625" s="4"/>
      <c r="X625" s="4"/>
      <c r="Y625" s="4"/>
      <c r="Z625" s="4"/>
      <c r="AA625" s="4"/>
    </row>
    <row r="626">
      <c r="A626" s="4" t="s">
        <v>7834</v>
      </c>
      <c r="B626" s="4" t="s">
        <v>16</v>
      </c>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c r="A627" s="4" t="s">
        <v>7835</v>
      </c>
      <c r="B627" s="4" t="s">
        <v>16</v>
      </c>
      <c r="C627" s="4" t="s">
        <v>7070</v>
      </c>
      <c r="D627" s="4">
        <v>44006.0</v>
      </c>
      <c r="E627" s="4">
        <v>0.6666666666666685</v>
      </c>
      <c r="F627" s="4">
        <v>3.4722222222222224E-4</v>
      </c>
      <c r="G627" s="4">
        <v>0.6670138888888908</v>
      </c>
      <c r="H627" s="4" t="s">
        <v>1944</v>
      </c>
      <c r="I627" s="4"/>
      <c r="J627" s="4"/>
      <c r="K627" s="4" t="s">
        <v>754</v>
      </c>
      <c r="L627" s="4"/>
      <c r="M627" s="4"/>
      <c r="N627" s="4"/>
      <c r="O627" s="4" t="s">
        <v>89</v>
      </c>
      <c r="P627" s="4"/>
      <c r="Q627" s="4"/>
      <c r="R627" s="4"/>
      <c r="S627" s="4"/>
      <c r="T627" s="4"/>
      <c r="U627" s="4"/>
      <c r="V627" s="4"/>
      <c r="W627" s="4"/>
      <c r="X627" s="4"/>
      <c r="Y627" s="4"/>
      <c r="Z627" s="4"/>
      <c r="AA627" s="4"/>
    </row>
    <row r="628">
      <c r="A628" s="4" t="s">
        <v>7836</v>
      </c>
      <c r="B628" s="4" t="s">
        <v>16</v>
      </c>
      <c r="C628" s="4" t="s">
        <v>7070</v>
      </c>
      <c r="D628" s="4">
        <v>44006.0</v>
      </c>
      <c r="E628" s="4">
        <v>0.6670138888888908</v>
      </c>
      <c r="F628" s="4">
        <v>3.4722222222222224E-4</v>
      </c>
      <c r="G628" s="4">
        <v>0.6673611111111131</v>
      </c>
      <c r="H628" s="4" t="s">
        <v>1944</v>
      </c>
      <c r="I628" s="4"/>
      <c r="J628" s="4"/>
      <c r="K628" s="4" t="s">
        <v>754</v>
      </c>
      <c r="L628" s="4"/>
      <c r="M628" s="4"/>
      <c r="N628" s="4"/>
      <c r="O628" s="4" t="s">
        <v>81</v>
      </c>
      <c r="P628" s="4"/>
      <c r="Q628" s="4"/>
      <c r="R628" s="4"/>
      <c r="S628" s="4"/>
      <c r="T628" s="4"/>
      <c r="U628" s="4">
        <v>0.0</v>
      </c>
      <c r="V628" s="4"/>
      <c r="W628" s="4"/>
      <c r="X628" s="4"/>
      <c r="Y628" s="4"/>
      <c r="Z628" s="4"/>
      <c r="AA628" s="4"/>
    </row>
    <row r="629">
      <c r="A629" s="4" t="s">
        <v>7837</v>
      </c>
      <c r="B629" s="4" t="s">
        <v>16</v>
      </c>
      <c r="C629" s="4" t="s">
        <v>7070</v>
      </c>
      <c r="D629" s="4">
        <v>44006.0</v>
      </c>
      <c r="E629" s="4">
        <v>0.6673611111111131</v>
      </c>
      <c r="F629" s="4">
        <v>0.008333333333333333</v>
      </c>
      <c r="G629" s="4">
        <v>0.6756944444444464</v>
      </c>
      <c r="H629" s="4" t="s">
        <v>1631</v>
      </c>
      <c r="I629" s="4" t="s">
        <v>6960</v>
      </c>
      <c r="J629" s="4" t="s">
        <v>7059</v>
      </c>
      <c r="K629" s="4" t="s">
        <v>754</v>
      </c>
      <c r="L629" s="4" t="s">
        <v>107</v>
      </c>
      <c r="M629" s="4" t="s">
        <v>7598</v>
      </c>
      <c r="N629" s="4" t="s">
        <v>6755</v>
      </c>
      <c r="O629" s="4" t="s">
        <v>758</v>
      </c>
      <c r="P629" s="4" t="s">
        <v>759</v>
      </c>
      <c r="Q629" s="4" t="s">
        <v>760</v>
      </c>
      <c r="R629" s="4"/>
      <c r="S629" s="4"/>
      <c r="T629" s="4" t="s">
        <v>761</v>
      </c>
      <c r="U629" s="4">
        <v>3.0</v>
      </c>
      <c r="V629" s="4" t="s">
        <v>7838</v>
      </c>
      <c r="W629" s="4" t="s">
        <v>7115</v>
      </c>
      <c r="X629" s="4"/>
      <c r="Y629" s="4"/>
      <c r="Z629" s="4"/>
      <c r="AA629" s="4"/>
    </row>
    <row r="630">
      <c r="A630" s="4" t="s">
        <v>7839</v>
      </c>
      <c r="B630" s="4" t="s">
        <v>16</v>
      </c>
      <c r="C630" s="4" t="s">
        <v>7070</v>
      </c>
      <c r="D630" s="4">
        <v>44006.0</v>
      </c>
      <c r="E630" s="4">
        <v>0.6756944444444464</v>
      </c>
      <c r="F630" s="4">
        <v>1.7361111111111112E-4</v>
      </c>
      <c r="G630" s="4">
        <v>0.6758680555555575</v>
      </c>
      <c r="H630" s="4" t="s">
        <v>1944</v>
      </c>
      <c r="I630" s="4"/>
      <c r="J630" s="4"/>
      <c r="K630" s="4" t="s">
        <v>754</v>
      </c>
      <c r="L630" s="4"/>
      <c r="M630" s="4"/>
      <c r="N630" s="4"/>
      <c r="O630" s="4" t="s">
        <v>85</v>
      </c>
      <c r="P630" s="4"/>
      <c r="Q630" s="4"/>
      <c r="R630" s="4"/>
      <c r="S630" s="4"/>
      <c r="T630" s="4"/>
      <c r="U630" s="4">
        <v>0.0</v>
      </c>
      <c r="V630" s="4"/>
      <c r="W630" s="4"/>
      <c r="X630" s="4"/>
      <c r="Y630" s="4"/>
      <c r="Z630" s="4"/>
      <c r="AA630" s="4"/>
    </row>
    <row r="631">
      <c r="A631" s="4" t="s">
        <v>7840</v>
      </c>
      <c r="B631" s="4" t="s">
        <v>16</v>
      </c>
      <c r="C631" s="4" t="s">
        <v>7070</v>
      </c>
      <c r="D631" s="4">
        <v>44006.0</v>
      </c>
      <c r="E631" s="4">
        <v>0.6758680555555575</v>
      </c>
      <c r="F631" s="4">
        <v>1.7361111111111112E-4</v>
      </c>
      <c r="G631" s="4">
        <v>0.6760416666666687</v>
      </c>
      <c r="H631" s="4" t="s">
        <v>2004</v>
      </c>
      <c r="I631" s="4"/>
      <c r="J631" s="4"/>
      <c r="K631" s="4" t="s">
        <v>754</v>
      </c>
      <c r="L631" s="4"/>
      <c r="M631" s="4"/>
      <c r="N631" s="4"/>
      <c r="O631" s="4" t="s">
        <v>7614</v>
      </c>
      <c r="P631" s="4"/>
      <c r="Q631" s="4"/>
      <c r="R631" s="4"/>
      <c r="S631" s="4"/>
      <c r="T631" s="4"/>
      <c r="U631" s="4">
        <v>0.0</v>
      </c>
      <c r="V631" s="4"/>
      <c r="W631" s="4"/>
      <c r="X631" s="4"/>
      <c r="Y631" s="4"/>
      <c r="Z631" s="4"/>
      <c r="AA631" s="4"/>
    </row>
    <row r="632">
      <c r="A632" s="4"/>
      <c r="B632" s="4" t="s">
        <v>16</v>
      </c>
      <c r="C632" s="4" t="s">
        <v>7070</v>
      </c>
      <c r="D632" s="4">
        <v>44006.0</v>
      </c>
      <c r="E632" s="4">
        <v>0.6760416666666687</v>
      </c>
      <c r="F632" s="4">
        <v>3.4722222222222224E-4</v>
      </c>
      <c r="G632" s="4">
        <v>0.6763888888888909</v>
      </c>
      <c r="H632" s="4" t="s">
        <v>1944</v>
      </c>
      <c r="I632" s="4"/>
      <c r="J632" s="4"/>
      <c r="K632" s="4" t="s">
        <v>754</v>
      </c>
      <c r="L632" s="4"/>
      <c r="M632" s="4"/>
      <c r="N632" s="4"/>
      <c r="O632" s="4" t="s">
        <v>81</v>
      </c>
      <c r="P632" s="4"/>
      <c r="Q632" s="4"/>
      <c r="R632" s="4"/>
      <c r="S632" s="4"/>
      <c r="T632" s="4"/>
      <c r="U632" s="4"/>
      <c r="V632" s="4"/>
      <c r="W632" s="4"/>
      <c r="X632" s="4"/>
      <c r="Y632" s="4"/>
      <c r="Z632" s="4"/>
      <c r="AA632" s="4"/>
    </row>
    <row r="633">
      <c r="A633" s="4"/>
      <c r="B633" s="4" t="s">
        <v>16</v>
      </c>
      <c r="C633" s="4" t="s">
        <v>7070</v>
      </c>
      <c r="D633" s="4">
        <v>44006.0</v>
      </c>
      <c r="E633" s="4">
        <v>0.6763888888888909</v>
      </c>
      <c r="F633" s="4">
        <v>0.013888888888888888</v>
      </c>
      <c r="G633" s="4">
        <v>0.6902777777777798</v>
      </c>
      <c r="H633" s="4" t="s">
        <v>726</v>
      </c>
      <c r="I633" s="4"/>
      <c r="J633" s="4"/>
      <c r="K633" s="4" t="s">
        <v>754</v>
      </c>
      <c r="L633" s="4"/>
      <c r="M633" s="4"/>
      <c r="N633" s="4" t="s">
        <v>6689</v>
      </c>
      <c r="O633" s="4" t="s">
        <v>4345</v>
      </c>
      <c r="P633" s="4" t="s">
        <v>764</v>
      </c>
      <c r="Q633" s="4"/>
      <c r="R633" s="4"/>
      <c r="S633" s="4"/>
      <c r="T633" s="4" t="s">
        <v>361</v>
      </c>
      <c r="U633" s="4"/>
      <c r="V633" s="4" t="s">
        <v>4345</v>
      </c>
      <c r="W633" s="4" t="s">
        <v>7115</v>
      </c>
      <c r="X633" s="4"/>
      <c r="Y633" s="4"/>
      <c r="Z633" s="4"/>
      <c r="AA633" s="4"/>
    </row>
    <row r="634">
      <c r="A634" s="4"/>
      <c r="B634" s="4" t="s">
        <v>16</v>
      </c>
      <c r="C634" s="4" t="s">
        <v>7070</v>
      </c>
      <c r="D634" s="4">
        <v>44006.0</v>
      </c>
      <c r="E634" s="4">
        <v>0.6902777777777798</v>
      </c>
      <c r="F634" s="4">
        <v>1.7361111111111112E-4</v>
      </c>
      <c r="G634" s="4">
        <v>0.6904513888888909</v>
      </c>
      <c r="H634" s="4" t="s">
        <v>1944</v>
      </c>
      <c r="I634" s="4"/>
      <c r="J634" s="4"/>
      <c r="K634" s="4" t="s">
        <v>754</v>
      </c>
      <c r="L634" s="4"/>
      <c r="M634" s="4"/>
      <c r="N634" s="4"/>
      <c r="O634" s="4" t="s">
        <v>85</v>
      </c>
      <c r="P634" s="4"/>
      <c r="Q634" s="4"/>
      <c r="R634" s="4"/>
      <c r="S634" s="4"/>
      <c r="T634" s="4"/>
      <c r="U634" s="4"/>
      <c r="V634" s="4"/>
      <c r="W634" s="4"/>
      <c r="X634" s="4"/>
      <c r="Y634" s="4"/>
      <c r="Z634" s="4"/>
      <c r="AA634" s="4"/>
    </row>
    <row r="635">
      <c r="A635" s="4" t="s">
        <v>7841</v>
      </c>
      <c r="B635" s="4" t="s">
        <v>16</v>
      </c>
      <c r="C635" s="4" t="s">
        <v>7070</v>
      </c>
      <c r="D635" s="4">
        <v>44006.0</v>
      </c>
      <c r="E635" s="4">
        <v>0.6904513888888909</v>
      </c>
      <c r="F635" s="4">
        <v>3.4722222222222224E-4</v>
      </c>
      <c r="G635" s="4">
        <v>0.6907986111111132</v>
      </c>
      <c r="H635" s="4" t="s">
        <v>1944</v>
      </c>
      <c r="I635" s="4"/>
      <c r="J635" s="4"/>
      <c r="K635" s="4" t="s">
        <v>754</v>
      </c>
      <c r="L635" s="4"/>
      <c r="M635" s="4"/>
      <c r="N635" s="4"/>
      <c r="O635" s="4" t="s">
        <v>81</v>
      </c>
      <c r="P635" s="4"/>
      <c r="Q635" s="4"/>
      <c r="R635" s="4"/>
      <c r="S635" s="4"/>
      <c r="T635" s="4"/>
      <c r="U635" s="4">
        <v>0.0</v>
      </c>
      <c r="V635" s="4"/>
      <c r="W635" s="4"/>
      <c r="X635" s="4"/>
      <c r="Y635" s="4"/>
      <c r="Z635" s="4"/>
      <c r="AA635" s="4"/>
    </row>
    <row r="636">
      <c r="A636" s="4" t="s">
        <v>7842</v>
      </c>
      <c r="B636" s="4" t="s">
        <v>16</v>
      </c>
      <c r="C636" s="4" t="s">
        <v>7070</v>
      </c>
      <c r="D636" s="4">
        <v>44006.0</v>
      </c>
      <c r="E636" s="4">
        <v>0.6907986111111132</v>
      </c>
      <c r="F636" s="4">
        <v>0.008333333333333333</v>
      </c>
      <c r="G636" s="4">
        <v>0.6991319444444465</v>
      </c>
      <c r="H636" s="4" t="s">
        <v>1055</v>
      </c>
      <c r="I636" s="4" t="s">
        <v>6947</v>
      </c>
      <c r="J636" s="4" t="s">
        <v>6903</v>
      </c>
      <c r="K636" s="4" t="s">
        <v>754</v>
      </c>
      <c r="L636" s="4" t="s">
        <v>94</v>
      </c>
      <c r="M636" s="4" t="s">
        <v>7462</v>
      </c>
      <c r="N636" s="4" t="s">
        <v>6858</v>
      </c>
      <c r="O636" s="4" t="s">
        <v>767</v>
      </c>
      <c r="P636" s="4" t="s">
        <v>768</v>
      </c>
      <c r="Q636" s="4"/>
      <c r="R636" s="4"/>
      <c r="S636" s="4"/>
      <c r="T636" s="4" t="s">
        <v>769</v>
      </c>
      <c r="U636" s="4">
        <v>2.0</v>
      </c>
      <c r="V636" s="4" t="s">
        <v>7843</v>
      </c>
      <c r="W636" s="4" t="s">
        <v>6962</v>
      </c>
      <c r="X636" s="4">
        <v>43962.708333333336</v>
      </c>
      <c r="Y636" s="4" t="s">
        <v>7844</v>
      </c>
      <c r="Z636" s="4" t="s">
        <v>4345</v>
      </c>
      <c r="AA636" s="4"/>
    </row>
    <row r="637">
      <c r="A637" s="4" t="s">
        <v>7845</v>
      </c>
      <c r="B637" s="4" t="s">
        <v>16</v>
      </c>
      <c r="C637" s="4" t="s">
        <v>7070</v>
      </c>
      <c r="D637" s="4">
        <v>44006.0</v>
      </c>
      <c r="E637" s="4">
        <v>0.6991319444444465</v>
      </c>
      <c r="F637" s="4">
        <v>1.7361111111111112E-4</v>
      </c>
      <c r="G637" s="4">
        <v>0.6993055555555576</v>
      </c>
      <c r="H637" s="4" t="s">
        <v>1944</v>
      </c>
      <c r="I637" s="4"/>
      <c r="J637" s="4"/>
      <c r="K637" s="4" t="s">
        <v>754</v>
      </c>
      <c r="L637" s="4"/>
      <c r="M637" s="4"/>
      <c r="N637" s="4"/>
      <c r="O637" s="4" t="s">
        <v>85</v>
      </c>
      <c r="P637" s="4"/>
      <c r="Q637" s="4"/>
      <c r="R637" s="4"/>
      <c r="S637" s="4"/>
      <c r="T637" s="4"/>
      <c r="U637" s="4">
        <v>0.0</v>
      </c>
      <c r="V637" s="4"/>
      <c r="W637" s="4"/>
      <c r="X637" s="4"/>
      <c r="Y637" s="4"/>
      <c r="Z637" s="4"/>
      <c r="AA637" s="4"/>
    </row>
    <row r="638">
      <c r="A638" s="4" t="s">
        <v>7846</v>
      </c>
      <c r="B638" s="4" t="s">
        <v>16</v>
      </c>
      <c r="C638" s="4" t="s">
        <v>7070</v>
      </c>
      <c r="D638" s="4">
        <v>44006.0</v>
      </c>
      <c r="E638" s="4">
        <v>0.6993055555555576</v>
      </c>
      <c r="F638" s="4">
        <v>3.4722222222222224E-4</v>
      </c>
      <c r="G638" s="4">
        <v>0.6996527777777799</v>
      </c>
      <c r="H638" s="4" t="s">
        <v>1944</v>
      </c>
      <c r="I638" s="4"/>
      <c r="J638" s="4"/>
      <c r="K638" s="4" t="s">
        <v>754</v>
      </c>
      <c r="L638" s="4"/>
      <c r="M638" s="4"/>
      <c r="N638" s="4"/>
      <c r="O638" s="4" t="s">
        <v>81</v>
      </c>
      <c r="P638" s="4"/>
      <c r="Q638" s="4"/>
      <c r="R638" s="4"/>
      <c r="S638" s="4"/>
      <c r="T638" s="4"/>
      <c r="U638" s="4">
        <v>0.0</v>
      </c>
      <c r="V638" s="4"/>
      <c r="W638" s="4"/>
      <c r="X638" s="4"/>
      <c r="Y638" s="4"/>
      <c r="Z638" s="4"/>
      <c r="AA638" s="4"/>
    </row>
    <row r="639">
      <c r="A639" s="4" t="s">
        <v>7847</v>
      </c>
      <c r="B639" s="4" t="s">
        <v>16</v>
      </c>
      <c r="C639" s="4" t="s">
        <v>7070</v>
      </c>
      <c r="D639" s="4">
        <v>44006.0</v>
      </c>
      <c r="E639" s="4">
        <v>0.6996527777777799</v>
      </c>
      <c r="F639" s="4">
        <v>0.008333333333333333</v>
      </c>
      <c r="G639" s="4">
        <v>0.7079861111111132</v>
      </c>
      <c r="H639" s="4" t="s">
        <v>847</v>
      </c>
      <c r="I639" s="4" t="s">
        <v>6947</v>
      </c>
      <c r="J639" s="4" t="s">
        <v>6870</v>
      </c>
      <c r="K639" s="4" t="s">
        <v>754</v>
      </c>
      <c r="L639" s="4" t="s">
        <v>107</v>
      </c>
      <c r="M639" s="4" t="s">
        <v>7462</v>
      </c>
      <c r="N639" s="4" t="s">
        <v>6689</v>
      </c>
      <c r="O639" s="4" t="s">
        <v>7848</v>
      </c>
      <c r="P639" s="4" t="s">
        <v>772</v>
      </c>
      <c r="Q639" s="4" t="s">
        <v>773</v>
      </c>
      <c r="R639" s="4"/>
      <c r="S639" s="4"/>
      <c r="T639" s="4" t="s">
        <v>102</v>
      </c>
      <c r="U639" s="4">
        <v>3.0</v>
      </c>
      <c r="V639" s="4" t="s">
        <v>7849</v>
      </c>
      <c r="W639" s="4" t="s">
        <v>6855</v>
      </c>
      <c r="X639" s="4"/>
      <c r="Y639" s="4"/>
      <c r="Z639" s="4"/>
      <c r="AA639" s="4"/>
    </row>
    <row r="640">
      <c r="A640" s="4" t="s">
        <v>7850</v>
      </c>
      <c r="B640" s="4" t="s">
        <v>16</v>
      </c>
      <c r="C640" s="4" t="s">
        <v>7070</v>
      </c>
      <c r="D640" s="4">
        <v>44006.0</v>
      </c>
      <c r="E640" s="4">
        <v>0.7079861111111132</v>
      </c>
      <c r="F640" s="4">
        <v>1.7361111111111112E-4</v>
      </c>
      <c r="G640" s="4">
        <v>0.7081597222222243</v>
      </c>
      <c r="H640" s="4" t="s">
        <v>1944</v>
      </c>
      <c r="I640" s="4"/>
      <c r="J640" s="4"/>
      <c r="K640" s="4" t="s">
        <v>754</v>
      </c>
      <c r="L640" s="4"/>
      <c r="M640" s="4"/>
      <c r="N640" s="4"/>
      <c r="O640" s="4" t="s">
        <v>85</v>
      </c>
      <c r="P640" s="4"/>
      <c r="Q640" s="4"/>
      <c r="R640" s="4"/>
      <c r="S640" s="4"/>
      <c r="T640" s="4"/>
      <c r="U640" s="4">
        <v>0.0</v>
      </c>
      <c r="V640" s="4"/>
      <c r="W640" s="4"/>
      <c r="X640" s="4"/>
      <c r="Y640" s="4"/>
      <c r="Z640" s="4"/>
      <c r="AA640" s="4"/>
    </row>
    <row r="641">
      <c r="A641" s="4" t="s">
        <v>7851</v>
      </c>
      <c r="B641" s="4" t="s">
        <v>16</v>
      </c>
      <c r="C641" s="4" t="s">
        <v>7070</v>
      </c>
      <c r="D641" s="4">
        <v>44006.0</v>
      </c>
      <c r="E641" s="4">
        <v>0.7081597222222243</v>
      </c>
      <c r="F641" s="4">
        <v>1.7361111111111112E-4</v>
      </c>
      <c r="G641" s="4">
        <v>0.7083333333333355</v>
      </c>
      <c r="H641" s="4" t="s">
        <v>2004</v>
      </c>
      <c r="I641" s="4"/>
      <c r="J641" s="4"/>
      <c r="K641" s="4" t="s">
        <v>754</v>
      </c>
      <c r="L641" s="4"/>
      <c r="M641" s="4"/>
      <c r="N641" s="4"/>
      <c r="O641" s="4" t="s">
        <v>7852</v>
      </c>
      <c r="P641" s="4"/>
      <c r="Q641" s="4"/>
      <c r="R641" s="4"/>
      <c r="S641" s="4"/>
      <c r="T641" s="4"/>
      <c r="U641" s="4"/>
      <c r="V641" s="4"/>
      <c r="W641" s="4"/>
      <c r="X641" s="4"/>
      <c r="Y641" s="4"/>
      <c r="Z641" s="4"/>
      <c r="AA641" s="4"/>
    </row>
    <row r="642">
      <c r="A642" s="4" t="s">
        <v>7853</v>
      </c>
      <c r="B642" s="4" t="s">
        <v>16</v>
      </c>
      <c r="C642" s="4" t="s">
        <v>7070</v>
      </c>
      <c r="D642" s="4">
        <v>44006.0</v>
      </c>
      <c r="E642" s="4">
        <v>0.7083333333333355</v>
      </c>
      <c r="F642" s="4">
        <v>3.4722222222222224E-4</v>
      </c>
      <c r="G642" s="4">
        <v>0.7086805555555578</v>
      </c>
      <c r="H642" s="4" t="s">
        <v>1944</v>
      </c>
      <c r="I642" s="4"/>
      <c r="J642" s="4"/>
      <c r="K642" s="4"/>
      <c r="L642" s="4"/>
      <c r="M642" s="4"/>
      <c r="N642" s="4"/>
      <c r="O642" s="4" t="s">
        <v>598</v>
      </c>
      <c r="P642" s="4"/>
      <c r="Q642" s="4"/>
      <c r="R642" s="4"/>
      <c r="S642" s="4"/>
      <c r="T642" s="4"/>
      <c r="U642" s="4"/>
      <c r="V642" s="4"/>
      <c r="W642" s="4"/>
      <c r="X642" s="4"/>
      <c r="Y642" s="4"/>
      <c r="Z642" s="4"/>
      <c r="AA642" s="4"/>
    </row>
    <row r="643">
      <c r="A643" s="4" t="s">
        <v>7854</v>
      </c>
      <c r="B643" s="4" t="s">
        <v>16</v>
      </c>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c r="A644" s="4" t="s">
        <v>7855</v>
      </c>
      <c r="B644" s="4" t="s">
        <v>16</v>
      </c>
      <c r="C644" s="4"/>
      <c r="D644" s="4"/>
      <c r="E644" s="4"/>
      <c r="F644" s="4"/>
      <c r="G644" s="4"/>
      <c r="H644" s="4"/>
      <c r="I644" s="4"/>
      <c r="J644" s="4"/>
      <c r="K644" s="4"/>
      <c r="L644" s="4"/>
      <c r="M644" s="4"/>
      <c r="N644" s="4"/>
      <c r="O644" s="4"/>
      <c r="P644" s="4"/>
      <c r="Q644" s="4"/>
      <c r="R644" s="4"/>
      <c r="S644" s="4"/>
      <c r="T644" s="4"/>
      <c r="U644" s="4">
        <v>0.0</v>
      </c>
      <c r="V644" s="4"/>
      <c r="W644" s="4"/>
      <c r="X644" s="4"/>
      <c r="Y644" s="4"/>
      <c r="Z644" s="4"/>
      <c r="AA644" s="4"/>
    </row>
    <row r="645">
      <c r="A645" s="4" t="s">
        <v>7856</v>
      </c>
      <c r="B645" s="4" t="s">
        <v>344</v>
      </c>
      <c r="C645" s="4"/>
      <c r="D645" s="4"/>
      <c r="E645" s="4"/>
      <c r="F645" s="4"/>
      <c r="G645" s="4"/>
      <c r="H645" s="4"/>
      <c r="I645" s="4"/>
      <c r="J645" s="4"/>
      <c r="K645" s="4"/>
      <c r="L645" s="4"/>
      <c r="M645" s="4"/>
      <c r="N645" s="4"/>
      <c r="O645" s="4"/>
      <c r="P645" s="4"/>
      <c r="Q645" s="4"/>
      <c r="R645" s="4"/>
      <c r="S645" s="4"/>
      <c r="T645" s="4"/>
      <c r="U645" s="4">
        <v>0.0</v>
      </c>
      <c r="V645" s="4"/>
      <c r="W645" s="4"/>
      <c r="X645" s="4"/>
      <c r="Y645" s="4"/>
      <c r="Z645" s="4"/>
      <c r="AA645" s="4"/>
    </row>
    <row r="646">
      <c r="A646" s="4" t="s">
        <v>7857</v>
      </c>
      <c r="B646" s="4" t="s">
        <v>16</v>
      </c>
      <c r="C646" s="4" t="s">
        <v>7269</v>
      </c>
      <c r="D646" s="4">
        <v>44007.0</v>
      </c>
      <c r="E646" s="4">
        <v>0.4166666666666667</v>
      </c>
      <c r="F646" s="4">
        <v>3.4722222222222224E-4</v>
      </c>
      <c r="G646" s="4">
        <v>0.4170138888888889</v>
      </c>
      <c r="H646" s="4" t="s">
        <v>1944</v>
      </c>
      <c r="I646" s="4"/>
      <c r="J646" s="4"/>
      <c r="K646" s="4"/>
      <c r="L646" s="4"/>
      <c r="M646" s="4"/>
      <c r="N646" s="4"/>
      <c r="O646" s="4" t="s">
        <v>67</v>
      </c>
      <c r="P646" s="4"/>
      <c r="Q646" s="4"/>
      <c r="R646" s="4"/>
      <c r="S646" s="4"/>
      <c r="T646" s="4"/>
      <c r="U646" s="4">
        <v>0.0</v>
      </c>
      <c r="V646" s="4"/>
      <c r="W646" s="4"/>
      <c r="X646" s="4"/>
      <c r="Y646" s="4"/>
      <c r="Z646" s="4"/>
      <c r="AA646" s="4"/>
    </row>
    <row r="647">
      <c r="A647" s="4" t="s">
        <v>7858</v>
      </c>
      <c r="B647" s="4" t="s">
        <v>16</v>
      </c>
      <c r="C647" s="4" t="s">
        <v>7269</v>
      </c>
      <c r="D647" s="4">
        <v>44007.0</v>
      </c>
      <c r="E647" s="4">
        <v>0.4170138888888889</v>
      </c>
      <c r="F647" s="4">
        <v>1.7361111111111112E-4</v>
      </c>
      <c r="G647" s="4">
        <v>0.41718750000000004</v>
      </c>
      <c r="H647" s="4" t="s">
        <v>1944</v>
      </c>
      <c r="I647" s="4"/>
      <c r="J647" s="4"/>
      <c r="K647" s="4" t="s">
        <v>120</v>
      </c>
      <c r="L647" s="4"/>
      <c r="M647" s="4"/>
      <c r="N647" s="4"/>
      <c r="O647" s="4" t="s">
        <v>81</v>
      </c>
      <c r="P647" s="4"/>
      <c r="Q647" s="4"/>
      <c r="R647" s="4"/>
      <c r="S647" s="4"/>
      <c r="T647" s="4"/>
      <c r="U647" s="4">
        <v>0.0</v>
      </c>
      <c r="V647" s="4"/>
      <c r="W647" s="4"/>
      <c r="X647" s="4"/>
      <c r="Y647" s="4"/>
      <c r="Z647" s="4"/>
      <c r="AA647" s="4"/>
    </row>
    <row r="648">
      <c r="A648" s="4" t="s">
        <v>7859</v>
      </c>
      <c r="B648" s="4" t="s">
        <v>16</v>
      </c>
      <c r="C648" s="4" t="s">
        <v>7269</v>
      </c>
      <c r="D648" s="4">
        <v>44007.0</v>
      </c>
      <c r="E648" s="4">
        <v>0.41718750000000004</v>
      </c>
      <c r="F648" s="4">
        <v>0.010416666666666666</v>
      </c>
      <c r="G648" s="4">
        <v>0.42760416666666673</v>
      </c>
      <c r="H648" s="4" t="s">
        <v>1631</v>
      </c>
      <c r="I648" s="4" t="s">
        <v>6960</v>
      </c>
      <c r="J648" s="4" t="s">
        <v>7059</v>
      </c>
      <c r="K648" s="4" t="s">
        <v>120</v>
      </c>
      <c r="L648" s="4" t="s">
        <v>74</v>
      </c>
      <c r="M648" s="4" t="s">
        <v>7860</v>
      </c>
      <c r="N648" s="4" t="s">
        <v>6749</v>
      </c>
      <c r="O648" s="4" t="s">
        <v>779</v>
      </c>
      <c r="P648" s="4" t="s">
        <v>780</v>
      </c>
      <c r="Q648" s="4" t="s">
        <v>781</v>
      </c>
      <c r="R648" s="4" t="s">
        <v>782</v>
      </c>
      <c r="S648" s="4"/>
      <c r="T648" s="4" t="s">
        <v>783</v>
      </c>
      <c r="U648" s="4">
        <v>4.0</v>
      </c>
      <c r="V648" s="4" t="s">
        <v>7861</v>
      </c>
      <c r="W648" s="4" t="s">
        <v>7115</v>
      </c>
      <c r="X648" s="4"/>
      <c r="Y648" s="4"/>
      <c r="Z648" s="4"/>
      <c r="AA648" s="4"/>
    </row>
    <row r="649">
      <c r="A649" s="4" t="s">
        <v>7862</v>
      </c>
      <c r="B649" s="4" t="s">
        <v>16</v>
      </c>
      <c r="C649" s="4" t="s">
        <v>7269</v>
      </c>
      <c r="D649" s="4">
        <v>44007.0</v>
      </c>
      <c r="E649" s="4">
        <v>0.42760416666666673</v>
      </c>
      <c r="F649" s="4">
        <v>1.7361111111111112E-4</v>
      </c>
      <c r="G649" s="4">
        <v>0.42777777777777787</v>
      </c>
      <c r="H649" s="4" t="s">
        <v>1944</v>
      </c>
      <c r="I649" s="4"/>
      <c r="J649" s="4"/>
      <c r="K649" s="4" t="s">
        <v>120</v>
      </c>
      <c r="L649" s="4"/>
      <c r="M649" s="4"/>
      <c r="N649" s="4"/>
      <c r="O649" s="4" t="s">
        <v>85</v>
      </c>
      <c r="P649" s="4"/>
      <c r="Q649" s="4"/>
      <c r="R649" s="4"/>
      <c r="S649" s="4"/>
      <c r="T649" s="4"/>
      <c r="U649" s="4">
        <v>0.0</v>
      </c>
      <c r="V649" s="4"/>
      <c r="W649" s="4"/>
      <c r="X649" s="4"/>
      <c r="Y649" s="4"/>
      <c r="Z649" s="4"/>
      <c r="AA649" s="4"/>
    </row>
    <row r="650">
      <c r="A650" s="4" t="s">
        <v>7863</v>
      </c>
      <c r="B650" s="4" t="s">
        <v>16</v>
      </c>
      <c r="C650" s="4" t="s">
        <v>7269</v>
      </c>
      <c r="D650" s="4">
        <v>44007.0</v>
      </c>
      <c r="E650" s="4">
        <v>0.42777777777777787</v>
      </c>
      <c r="F650" s="4">
        <v>3.4722222222222224E-4</v>
      </c>
      <c r="G650" s="4">
        <v>0.4281250000000001</v>
      </c>
      <c r="H650" s="4" t="s">
        <v>1944</v>
      </c>
      <c r="I650" s="4"/>
      <c r="J650" s="4"/>
      <c r="K650" s="4" t="s">
        <v>120</v>
      </c>
      <c r="L650" s="4"/>
      <c r="M650" s="4"/>
      <c r="N650" s="4"/>
      <c r="O650" s="4" t="s">
        <v>81</v>
      </c>
      <c r="P650" s="4"/>
      <c r="Q650" s="4"/>
      <c r="R650" s="4"/>
      <c r="S650" s="4"/>
      <c r="T650" s="4"/>
      <c r="U650" s="4">
        <v>0.0</v>
      </c>
      <c r="V650" s="4"/>
      <c r="W650" s="4"/>
      <c r="X650" s="4"/>
      <c r="Y650" s="4"/>
      <c r="Z650" s="4"/>
      <c r="AA650" s="4"/>
    </row>
    <row r="651">
      <c r="A651" s="4" t="s">
        <v>7864</v>
      </c>
      <c r="B651" s="4" t="s">
        <v>16</v>
      </c>
      <c r="C651" s="4" t="s">
        <v>7269</v>
      </c>
      <c r="D651" s="4">
        <v>44007.0</v>
      </c>
      <c r="E651" s="4">
        <v>0.4281250000000001</v>
      </c>
      <c r="F651" s="4">
        <v>0.013888888888888888</v>
      </c>
      <c r="G651" s="4">
        <v>0.442013888888889</v>
      </c>
      <c r="H651" s="4" t="s">
        <v>653</v>
      </c>
      <c r="I651" s="4" t="s">
        <v>4142</v>
      </c>
      <c r="J651" s="4" t="s">
        <v>7086</v>
      </c>
      <c r="K651" s="4" t="s">
        <v>120</v>
      </c>
      <c r="L651" s="4" t="s">
        <v>94</v>
      </c>
      <c r="M651" s="4" t="s">
        <v>7482</v>
      </c>
      <c r="N651" s="4" t="s">
        <v>6749</v>
      </c>
      <c r="O651" s="4" t="s">
        <v>792</v>
      </c>
      <c r="P651" s="4" t="s">
        <v>794</v>
      </c>
      <c r="Q651" s="4"/>
      <c r="R651" s="4"/>
      <c r="S651" s="4"/>
      <c r="T651" s="4" t="s">
        <v>795</v>
      </c>
      <c r="U651" s="4">
        <v>2.0</v>
      </c>
      <c r="V651" s="4" t="s">
        <v>7865</v>
      </c>
      <c r="W651" s="4" t="s">
        <v>6920</v>
      </c>
      <c r="X651" s="4" t="s">
        <v>7866</v>
      </c>
      <c r="Y651" s="4"/>
      <c r="Z651" s="4" t="s">
        <v>653</v>
      </c>
      <c r="AA651" s="4"/>
    </row>
    <row r="652">
      <c r="A652" s="4" t="s">
        <v>7867</v>
      </c>
      <c r="B652" s="4" t="s">
        <v>16</v>
      </c>
      <c r="C652" s="4" t="s">
        <v>7269</v>
      </c>
      <c r="D652" s="4">
        <v>44007.0</v>
      </c>
      <c r="E652" s="4">
        <v>0.442013888888889</v>
      </c>
      <c r="F652" s="4">
        <v>1.7361111111111112E-4</v>
      </c>
      <c r="G652" s="4">
        <v>0.4421875000000001</v>
      </c>
      <c r="H652" s="4" t="s">
        <v>1944</v>
      </c>
      <c r="I652" s="4"/>
      <c r="J652" s="4"/>
      <c r="K652" s="4" t="s">
        <v>120</v>
      </c>
      <c r="L652" s="4"/>
      <c r="M652" s="4"/>
      <c r="N652" s="4"/>
      <c r="O652" s="4" t="s">
        <v>85</v>
      </c>
      <c r="P652" s="4"/>
      <c r="Q652" s="4"/>
      <c r="R652" s="4"/>
      <c r="S652" s="4"/>
      <c r="T652" s="4"/>
      <c r="U652" s="4">
        <v>0.0</v>
      </c>
      <c r="V652" s="4"/>
      <c r="W652" s="4"/>
      <c r="X652" s="4"/>
      <c r="Y652" s="4"/>
      <c r="Z652" s="4"/>
      <c r="AA652" s="4"/>
    </row>
    <row r="653">
      <c r="A653" s="4" t="s">
        <v>7868</v>
      </c>
      <c r="B653" s="4" t="s">
        <v>16</v>
      </c>
      <c r="C653" s="4" t="s">
        <v>7269</v>
      </c>
      <c r="D653" s="4">
        <v>44007.0</v>
      </c>
      <c r="E653" s="4">
        <v>0.4421875000000001</v>
      </c>
      <c r="F653" s="4">
        <v>3.4722222222222224E-4</v>
      </c>
      <c r="G653" s="4">
        <v>0.44253472222222234</v>
      </c>
      <c r="H653" s="4" t="s">
        <v>1944</v>
      </c>
      <c r="I653" s="4"/>
      <c r="J653" s="4"/>
      <c r="K653" s="4" t="s">
        <v>120</v>
      </c>
      <c r="L653" s="4"/>
      <c r="M653" s="4"/>
      <c r="N653" s="4"/>
      <c r="O653" s="4" t="s">
        <v>89</v>
      </c>
      <c r="P653" s="4"/>
      <c r="Q653" s="4"/>
      <c r="R653" s="4"/>
      <c r="S653" s="4"/>
      <c r="T653" s="4"/>
      <c r="U653" s="4"/>
      <c r="V653" s="4"/>
      <c r="W653" s="4"/>
      <c r="X653" s="4"/>
      <c r="Y653" s="4"/>
      <c r="Z653" s="4"/>
      <c r="AA653" s="4"/>
    </row>
    <row r="654">
      <c r="A654" s="4" t="s">
        <v>7869</v>
      </c>
      <c r="B654" s="4" t="s">
        <v>16</v>
      </c>
      <c r="C654" s="4" t="s">
        <v>7269</v>
      </c>
      <c r="D654" s="4">
        <v>44007.0</v>
      </c>
      <c r="E654" s="4">
        <v>0.44253472222222234</v>
      </c>
      <c r="F654" s="4">
        <v>1.7361111111111112E-4</v>
      </c>
      <c r="G654" s="4">
        <v>0.4427083333333335</v>
      </c>
      <c r="H654" s="4" t="s">
        <v>2004</v>
      </c>
      <c r="I654" s="4"/>
      <c r="J654" s="4"/>
      <c r="K654" s="4" t="s">
        <v>120</v>
      </c>
      <c r="L654" s="4"/>
      <c r="M654" s="4"/>
      <c r="N654" s="4"/>
      <c r="O654" s="4" t="s">
        <v>798</v>
      </c>
      <c r="P654" s="4"/>
      <c r="Q654" s="4"/>
      <c r="R654" s="4"/>
      <c r="S654" s="4"/>
      <c r="T654" s="4"/>
      <c r="U654" s="4"/>
      <c r="V654" s="4"/>
      <c r="W654" s="4"/>
      <c r="X654" s="4"/>
      <c r="Y654" s="4"/>
      <c r="Z654" s="4"/>
      <c r="AA654" s="4"/>
    </row>
    <row r="655">
      <c r="A655" s="4" t="s">
        <v>7870</v>
      </c>
      <c r="B655" s="4" t="s">
        <v>16</v>
      </c>
      <c r="C655" s="4" t="s">
        <v>7269</v>
      </c>
      <c r="D655" s="4">
        <v>44007.0</v>
      </c>
      <c r="E655" s="4">
        <v>0.4427083333333335</v>
      </c>
      <c r="F655" s="4">
        <v>3.4722222222222224E-4</v>
      </c>
      <c r="G655" s="4">
        <v>0.4430555555555557</v>
      </c>
      <c r="H655" s="4" t="s">
        <v>1944</v>
      </c>
      <c r="I655" s="4"/>
      <c r="J655" s="4"/>
      <c r="K655" s="4" t="s">
        <v>120</v>
      </c>
      <c r="L655" s="4"/>
      <c r="M655" s="4"/>
      <c r="N655" s="4"/>
      <c r="O655" s="4" t="s">
        <v>81</v>
      </c>
      <c r="P655" s="4"/>
      <c r="Q655" s="4"/>
      <c r="R655" s="4"/>
      <c r="S655" s="4"/>
      <c r="T655" s="4"/>
      <c r="U655" s="4">
        <v>0.0</v>
      </c>
      <c r="V655" s="4"/>
      <c r="W655" s="4"/>
      <c r="X655" s="4"/>
      <c r="Y655" s="4"/>
      <c r="Z655" s="4"/>
      <c r="AA655" s="4"/>
    </row>
    <row r="656">
      <c r="A656" s="4" t="s">
        <v>7871</v>
      </c>
      <c r="B656" s="4" t="s">
        <v>16</v>
      </c>
      <c r="C656" s="4" t="s">
        <v>7269</v>
      </c>
      <c r="D656" s="4">
        <v>44007.0</v>
      </c>
      <c r="E656" s="4">
        <v>0.4430555555555557</v>
      </c>
      <c r="F656" s="4">
        <v>0.0020833333333333333</v>
      </c>
      <c r="G656" s="4">
        <v>0.44513888888888903</v>
      </c>
      <c r="H656" s="4" t="s">
        <v>630</v>
      </c>
      <c r="I656" s="4" t="s">
        <v>314</v>
      </c>
      <c r="J656" s="4" t="s">
        <v>15</v>
      </c>
      <c r="K656" s="4" t="s">
        <v>120</v>
      </c>
      <c r="L656" s="4" t="s">
        <v>165</v>
      </c>
      <c r="M656" s="4" t="s">
        <v>7505</v>
      </c>
      <c r="N656" s="4" t="s">
        <v>7195</v>
      </c>
      <c r="O656" s="4" t="s">
        <v>801</v>
      </c>
      <c r="P656" s="4" t="s">
        <v>802</v>
      </c>
      <c r="Q656" s="4"/>
      <c r="R656" s="4"/>
      <c r="S656" s="4"/>
      <c r="T656" s="4"/>
      <c r="U656" s="4">
        <v>1.0</v>
      </c>
      <c r="V656" s="4" t="s">
        <v>7872</v>
      </c>
      <c r="W656" s="4" t="s">
        <v>7197</v>
      </c>
      <c r="X656" s="4" t="s">
        <v>7873</v>
      </c>
      <c r="Y656" s="4" t="s">
        <v>7199</v>
      </c>
      <c r="Z656" s="4" t="s">
        <v>630</v>
      </c>
      <c r="AA656" s="4"/>
    </row>
    <row r="657">
      <c r="A657" s="4" t="s">
        <v>7874</v>
      </c>
      <c r="B657" s="4" t="s">
        <v>16</v>
      </c>
      <c r="C657" s="4" t="s">
        <v>7269</v>
      </c>
      <c r="D657" s="4">
        <v>44007.0</v>
      </c>
      <c r="E657" s="4">
        <v>0.44513888888888903</v>
      </c>
      <c r="F657" s="4">
        <v>1.7361111111111112E-4</v>
      </c>
      <c r="G657" s="4">
        <v>0.44531250000000017</v>
      </c>
      <c r="H657" s="4" t="s">
        <v>1944</v>
      </c>
      <c r="I657" s="4"/>
      <c r="J657" s="4"/>
      <c r="K657" s="4" t="s">
        <v>120</v>
      </c>
      <c r="L657" s="4"/>
      <c r="M657" s="4"/>
      <c r="N657" s="4"/>
      <c r="O657" s="4" t="s">
        <v>85</v>
      </c>
      <c r="P657" s="4"/>
      <c r="Q657" s="4"/>
      <c r="R657" s="4"/>
      <c r="S657" s="4"/>
      <c r="T657" s="4"/>
      <c r="U657" s="4">
        <v>0.0</v>
      </c>
      <c r="V657" s="4"/>
      <c r="W657" s="4"/>
      <c r="X657" s="4"/>
      <c r="Y657" s="4"/>
      <c r="Z657" s="4" t="s">
        <v>630</v>
      </c>
      <c r="AA657" s="4"/>
    </row>
    <row r="658">
      <c r="A658" s="4" t="s">
        <v>7875</v>
      </c>
      <c r="B658" s="4" t="s">
        <v>16</v>
      </c>
      <c r="C658" s="4" t="s">
        <v>7269</v>
      </c>
      <c r="D658" s="4">
        <v>44007.0</v>
      </c>
      <c r="E658" s="4">
        <v>0.44531250000000017</v>
      </c>
      <c r="F658" s="4">
        <v>3.4722222222222224E-4</v>
      </c>
      <c r="G658" s="4">
        <v>0.4456597222222224</v>
      </c>
      <c r="H658" s="4" t="s">
        <v>2004</v>
      </c>
      <c r="I658" s="4"/>
      <c r="J658" s="4"/>
      <c r="K658" s="4" t="s">
        <v>120</v>
      </c>
      <c r="L658" s="4"/>
      <c r="M658" s="4"/>
      <c r="N658" s="4"/>
      <c r="O658" s="4" t="s">
        <v>7699</v>
      </c>
      <c r="P658" s="4"/>
      <c r="Q658" s="4"/>
      <c r="R658" s="4"/>
      <c r="S658" s="4"/>
      <c r="T658" s="4"/>
      <c r="U658" s="4">
        <v>0.0</v>
      </c>
      <c r="V658" s="4"/>
      <c r="W658" s="4"/>
      <c r="X658" s="4"/>
      <c r="Y658" s="4"/>
      <c r="Z658" s="4"/>
      <c r="AA658" s="4"/>
    </row>
    <row r="659">
      <c r="A659" s="4" t="s">
        <v>7876</v>
      </c>
      <c r="B659" s="4" t="s">
        <v>16</v>
      </c>
      <c r="C659" s="4" t="s">
        <v>7269</v>
      </c>
      <c r="D659" s="4">
        <v>44007.0</v>
      </c>
      <c r="E659" s="4">
        <v>0.4456597222222224</v>
      </c>
      <c r="F659" s="4">
        <v>3.4722222222222224E-4</v>
      </c>
      <c r="G659" s="4">
        <v>0.4460069444444446</v>
      </c>
      <c r="H659" s="4" t="s">
        <v>1944</v>
      </c>
      <c r="I659" s="4"/>
      <c r="J659" s="4"/>
      <c r="K659" s="4" t="s">
        <v>120</v>
      </c>
      <c r="L659" s="4"/>
      <c r="M659" s="4"/>
      <c r="N659" s="4"/>
      <c r="O659" s="4" t="s">
        <v>81</v>
      </c>
      <c r="P659" s="4"/>
      <c r="Q659" s="4"/>
      <c r="R659" s="4"/>
      <c r="S659" s="4"/>
      <c r="T659" s="4"/>
      <c r="U659" s="4">
        <v>0.0</v>
      </c>
      <c r="V659" s="4"/>
      <c r="W659" s="4"/>
      <c r="X659" s="4"/>
      <c r="Y659" s="4"/>
      <c r="Z659" s="4"/>
      <c r="AA659" s="4"/>
    </row>
    <row r="660">
      <c r="A660" s="4" t="s">
        <v>7877</v>
      </c>
      <c r="B660" s="4" t="s">
        <v>16</v>
      </c>
      <c r="C660" s="4" t="s">
        <v>7269</v>
      </c>
      <c r="D660" s="4">
        <v>44007.0</v>
      </c>
      <c r="E660" s="4">
        <v>0.4460069444444446</v>
      </c>
      <c r="F660" s="4">
        <v>0.008333333333333333</v>
      </c>
      <c r="G660" s="4">
        <v>0.45434027777777797</v>
      </c>
      <c r="H660" s="4" t="s">
        <v>1055</v>
      </c>
      <c r="I660" s="4" t="s">
        <v>17</v>
      </c>
      <c r="J660" s="4" t="s">
        <v>6903</v>
      </c>
      <c r="K660" s="4" t="s">
        <v>120</v>
      </c>
      <c r="L660" s="4" t="s">
        <v>107</v>
      </c>
      <c r="M660" s="4" t="s">
        <v>7462</v>
      </c>
      <c r="N660" s="4" t="s">
        <v>6858</v>
      </c>
      <c r="O660" s="4" t="s">
        <v>805</v>
      </c>
      <c r="P660" s="4" t="s">
        <v>806</v>
      </c>
      <c r="Q660" s="4" t="s">
        <v>807</v>
      </c>
      <c r="R660" s="4"/>
      <c r="S660" s="4"/>
      <c r="T660" s="4" t="s">
        <v>808</v>
      </c>
      <c r="U660" s="4">
        <v>3.0</v>
      </c>
      <c r="V660" s="4" t="s">
        <v>7878</v>
      </c>
      <c r="W660" s="4" t="s">
        <v>6855</v>
      </c>
      <c r="X660" s="4">
        <v>43965.625</v>
      </c>
      <c r="Y660" s="4"/>
      <c r="Z660" s="4" t="s">
        <v>4345</v>
      </c>
      <c r="AA660" s="4"/>
    </row>
    <row r="661">
      <c r="A661" s="4" t="s">
        <v>7879</v>
      </c>
      <c r="B661" s="4" t="s">
        <v>16</v>
      </c>
      <c r="C661" s="4" t="s">
        <v>7269</v>
      </c>
      <c r="D661" s="4">
        <v>44007.0</v>
      </c>
      <c r="E661" s="4">
        <v>0.45434027777777797</v>
      </c>
      <c r="F661" s="4">
        <v>1.7361111111111112E-4</v>
      </c>
      <c r="G661" s="4">
        <v>0.4545138888888891</v>
      </c>
      <c r="H661" s="4" t="s">
        <v>1944</v>
      </c>
      <c r="I661" s="4"/>
      <c r="J661" s="4"/>
      <c r="K661" s="4" t="s">
        <v>120</v>
      </c>
      <c r="L661" s="4"/>
      <c r="M661" s="4"/>
      <c r="N661" s="4"/>
      <c r="O661" s="4" t="s">
        <v>85</v>
      </c>
      <c r="P661" s="4"/>
      <c r="Q661" s="4"/>
      <c r="R661" s="4"/>
      <c r="S661" s="4"/>
      <c r="T661" s="4"/>
      <c r="U661" s="4">
        <v>0.0</v>
      </c>
      <c r="V661" s="4"/>
      <c r="W661" s="4"/>
      <c r="X661" s="4"/>
      <c r="Y661" s="4" t="s">
        <v>7880</v>
      </c>
      <c r="Z661" s="4"/>
      <c r="AA661" s="4"/>
    </row>
    <row r="662">
      <c r="A662" s="4"/>
      <c r="B662" s="4" t="s">
        <v>16</v>
      </c>
      <c r="C662" s="4" t="s">
        <v>7269</v>
      </c>
      <c r="D662" s="4">
        <v>44007.0</v>
      </c>
      <c r="E662" s="4">
        <v>0.4545138888888891</v>
      </c>
      <c r="F662" s="4">
        <v>3.4722222222222224E-4</v>
      </c>
      <c r="G662" s="4">
        <v>0.4548611111111113</v>
      </c>
      <c r="H662" s="4" t="s">
        <v>1944</v>
      </c>
      <c r="I662" s="4"/>
      <c r="J662" s="4"/>
      <c r="K662" s="4" t="s">
        <v>120</v>
      </c>
      <c r="L662" s="4"/>
      <c r="M662" s="4"/>
      <c r="N662" s="4"/>
      <c r="O662" s="4" t="s">
        <v>89</v>
      </c>
      <c r="P662" s="4"/>
      <c r="Q662" s="4"/>
      <c r="R662" s="4"/>
      <c r="S662" s="4"/>
      <c r="T662" s="4"/>
      <c r="U662" s="4"/>
      <c r="V662" s="4"/>
      <c r="W662" s="4"/>
      <c r="X662" s="4"/>
      <c r="Y662" s="4"/>
      <c r="Z662" s="4"/>
      <c r="AA662" s="4"/>
    </row>
    <row r="663">
      <c r="A663" s="4" t="s">
        <v>7881</v>
      </c>
      <c r="B663" s="4" t="s">
        <v>16</v>
      </c>
      <c r="C663" s="4" t="s">
        <v>7269</v>
      </c>
      <c r="D663" s="4">
        <v>44007.0</v>
      </c>
      <c r="E663" s="4">
        <v>0.4548611111111113</v>
      </c>
      <c r="F663" s="4">
        <v>1.7361111111111112E-4</v>
      </c>
      <c r="G663" s="4">
        <v>0.45503472222222247</v>
      </c>
      <c r="H663" s="4" t="s">
        <v>2004</v>
      </c>
      <c r="I663" s="4"/>
      <c r="J663" s="4"/>
      <c r="K663" s="4" t="s">
        <v>120</v>
      </c>
      <c r="L663" s="4"/>
      <c r="M663" s="4"/>
      <c r="N663" s="4"/>
      <c r="O663" s="4" t="s">
        <v>810</v>
      </c>
      <c r="P663" s="4"/>
      <c r="Q663" s="4"/>
      <c r="R663" s="4"/>
      <c r="S663" s="4"/>
      <c r="T663" s="4"/>
      <c r="U663" s="4">
        <v>0.0</v>
      </c>
      <c r="V663" s="4"/>
      <c r="W663" s="4"/>
      <c r="X663" s="4"/>
      <c r="Y663" s="4"/>
      <c r="Z663" s="4"/>
      <c r="AA663" s="4"/>
    </row>
    <row r="664">
      <c r="A664" s="4" t="s">
        <v>7882</v>
      </c>
      <c r="B664" s="4" t="s">
        <v>16</v>
      </c>
      <c r="C664" s="4" t="s">
        <v>7269</v>
      </c>
      <c r="D664" s="4">
        <v>44007.0</v>
      </c>
      <c r="E664" s="4">
        <v>0.45503472222222247</v>
      </c>
      <c r="F664" s="4">
        <v>3.4722222222222224E-4</v>
      </c>
      <c r="G664" s="4">
        <v>0.4553819444444447</v>
      </c>
      <c r="H664" s="4" t="s">
        <v>1944</v>
      </c>
      <c r="I664" s="4"/>
      <c r="J664" s="4"/>
      <c r="K664" s="4" t="s">
        <v>120</v>
      </c>
      <c r="L664" s="4"/>
      <c r="M664" s="4"/>
      <c r="N664" s="4"/>
      <c r="O664" s="4" t="s">
        <v>81</v>
      </c>
      <c r="P664" s="4"/>
      <c r="Q664" s="4"/>
      <c r="R664" s="4"/>
      <c r="S664" s="4"/>
      <c r="T664" s="4"/>
      <c r="U664" s="4">
        <v>0.0</v>
      </c>
      <c r="V664" s="4"/>
      <c r="W664" s="4"/>
      <c r="X664" s="4"/>
      <c r="Y664" s="4"/>
      <c r="Z664" s="4"/>
      <c r="AA664" s="4"/>
    </row>
    <row r="665">
      <c r="A665" s="4" t="s">
        <v>7883</v>
      </c>
      <c r="B665" s="4" t="s">
        <v>16</v>
      </c>
      <c r="C665" s="4" t="s">
        <v>7269</v>
      </c>
      <c r="D665" s="4">
        <v>44007.0</v>
      </c>
      <c r="E665" s="4">
        <v>0.4553819444444447</v>
      </c>
      <c r="F665" s="4">
        <v>0.0020833333333333333</v>
      </c>
      <c r="G665" s="4">
        <v>0.457465277777778</v>
      </c>
      <c r="H665" s="4" t="s">
        <v>630</v>
      </c>
      <c r="I665" s="4" t="s">
        <v>314</v>
      </c>
      <c r="J665" s="4"/>
      <c r="K665" s="4" t="s">
        <v>120</v>
      </c>
      <c r="L665" s="4" t="s">
        <v>165</v>
      </c>
      <c r="M665" s="4"/>
      <c r="N665" s="4" t="s">
        <v>7884</v>
      </c>
      <c r="O665" s="4" t="s">
        <v>7885</v>
      </c>
      <c r="P665" s="4" t="s">
        <v>361</v>
      </c>
      <c r="Q665" s="4"/>
      <c r="R665" s="4"/>
      <c r="S665" s="4"/>
      <c r="T665" s="4"/>
      <c r="U665" s="4">
        <v>1.0</v>
      </c>
      <c r="V665" s="4" t="s">
        <v>4345</v>
      </c>
      <c r="W665" s="4"/>
      <c r="X665" s="4"/>
      <c r="Y665" s="4"/>
      <c r="Z665" s="4"/>
      <c r="AA665" s="4"/>
    </row>
    <row r="666">
      <c r="A666" s="4" t="s">
        <v>7886</v>
      </c>
      <c r="B666" s="4" t="s">
        <v>16</v>
      </c>
      <c r="C666" s="4" t="s">
        <v>7269</v>
      </c>
      <c r="D666" s="4">
        <v>44007.0</v>
      </c>
      <c r="E666" s="4">
        <v>0.457465277777778</v>
      </c>
      <c r="F666" s="4">
        <v>1.7361111111111112E-4</v>
      </c>
      <c r="G666" s="4">
        <v>0.45763888888888915</v>
      </c>
      <c r="H666" s="4" t="s">
        <v>1944</v>
      </c>
      <c r="I666" s="4"/>
      <c r="J666" s="4"/>
      <c r="K666" s="4" t="s">
        <v>120</v>
      </c>
      <c r="L666" s="4"/>
      <c r="M666" s="4"/>
      <c r="N666" s="4"/>
      <c r="O666" s="4" t="s">
        <v>85</v>
      </c>
      <c r="P666" s="4"/>
      <c r="Q666" s="4"/>
      <c r="R666" s="4"/>
      <c r="S666" s="4"/>
      <c r="T666" s="4"/>
      <c r="U666" s="4">
        <v>0.0</v>
      </c>
      <c r="V666" s="4"/>
      <c r="W666" s="4"/>
      <c r="X666" s="4"/>
      <c r="Y666" s="4"/>
      <c r="Z666" s="4"/>
      <c r="AA666" s="4"/>
    </row>
    <row r="667">
      <c r="A667" s="4" t="s">
        <v>7887</v>
      </c>
      <c r="B667" s="4" t="s">
        <v>16</v>
      </c>
      <c r="C667" s="4" t="s">
        <v>7269</v>
      </c>
      <c r="D667" s="4">
        <v>44007.0</v>
      </c>
      <c r="E667" s="4">
        <v>0.45763888888888915</v>
      </c>
      <c r="F667" s="4">
        <v>3.4722222222222224E-4</v>
      </c>
      <c r="G667" s="4">
        <v>0.45798611111111137</v>
      </c>
      <c r="H667" s="4" t="s">
        <v>1944</v>
      </c>
      <c r="I667" s="4"/>
      <c r="J667" s="4"/>
      <c r="K667" s="4" t="s">
        <v>120</v>
      </c>
      <c r="L667" s="4"/>
      <c r="M667" s="4"/>
      <c r="N667" s="4"/>
      <c r="O667" s="4" t="s">
        <v>7720</v>
      </c>
      <c r="P667" s="4"/>
      <c r="Q667" s="4"/>
      <c r="R667" s="4"/>
      <c r="S667" s="4"/>
      <c r="T667" s="4"/>
      <c r="U667" s="4">
        <v>0.0</v>
      </c>
      <c r="V667" s="4"/>
      <c r="W667" s="4"/>
      <c r="X667" s="4"/>
      <c r="Y667" s="4"/>
      <c r="Z667" s="4"/>
      <c r="AA667" s="4"/>
    </row>
    <row r="668">
      <c r="A668" s="4" t="s">
        <v>7888</v>
      </c>
      <c r="B668" s="4" t="s">
        <v>16</v>
      </c>
      <c r="C668" s="4" t="s">
        <v>7269</v>
      </c>
      <c r="D668" s="4">
        <v>44007.0</v>
      </c>
      <c r="E668" s="4">
        <v>0.45798611111111137</v>
      </c>
      <c r="F668" s="4">
        <v>3.4722222222222224E-4</v>
      </c>
      <c r="G668" s="4">
        <v>0.4583333333333336</v>
      </c>
      <c r="H668" s="4" t="s">
        <v>2004</v>
      </c>
      <c r="I668" s="4"/>
      <c r="J668" s="4"/>
      <c r="K668" s="4" t="s">
        <v>120</v>
      </c>
      <c r="L668" s="4"/>
      <c r="M668" s="4"/>
      <c r="N668" s="4"/>
      <c r="O668" s="4" t="s">
        <v>89</v>
      </c>
      <c r="P668" s="4"/>
      <c r="Q668" s="4"/>
      <c r="R668" s="4"/>
      <c r="S668" s="4"/>
      <c r="T668" s="4"/>
      <c r="U668" s="4">
        <v>0.0</v>
      </c>
      <c r="V668" s="4"/>
      <c r="W668" s="4"/>
      <c r="X668" s="4"/>
      <c r="Y668" s="4"/>
      <c r="Z668" s="4"/>
      <c r="AA668" s="4"/>
    </row>
    <row r="669">
      <c r="A669" s="4" t="s">
        <v>7889</v>
      </c>
      <c r="B669" s="4" t="s">
        <v>16</v>
      </c>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c r="A670" s="4" t="s">
        <v>7890</v>
      </c>
      <c r="B670" s="4" t="s">
        <v>16</v>
      </c>
      <c r="C670" s="4" t="s">
        <v>7269</v>
      </c>
      <c r="D670" s="4">
        <v>44007.0</v>
      </c>
      <c r="E670" s="4">
        <v>0.4583333333333336</v>
      </c>
      <c r="F670" s="4">
        <v>1.7361111111111112E-4</v>
      </c>
      <c r="G670" s="4">
        <v>0.45850694444444473</v>
      </c>
      <c r="H670" s="4" t="s">
        <v>2004</v>
      </c>
      <c r="I670" s="4" t="s">
        <v>314</v>
      </c>
      <c r="J670" s="4"/>
      <c r="K670" s="4" t="s">
        <v>195</v>
      </c>
      <c r="L670" s="4"/>
      <c r="M670" s="4"/>
      <c r="N670" s="4"/>
      <c r="O670" s="4" t="s">
        <v>7891</v>
      </c>
      <c r="P670" s="4"/>
      <c r="Q670" s="4"/>
      <c r="R670" s="4"/>
      <c r="S670" s="4"/>
      <c r="T670" s="4"/>
      <c r="U670" s="4">
        <v>0.0</v>
      </c>
      <c r="V670" s="4"/>
      <c r="W670" s="4"/>
      <c r="X670" s="4"/>
      <c r="Y670" s="4"/>
      <c r="Z670" s="4"/>
      <c r="AA670" s="4"/>
    </row>
    <row r="671">
      <c r="A671" s="4" t="s">
        <v>7892</v>
      </c>
      <c r="B671" s="4" t="s">
        <v>16</v>
      </c>
      <c r="C671" s="4" t="s">
        <v>7269</v>
      </c>
      <c r="D671" s="4">
        <v>44007.0</v>
      </c>
      <c r="E671" s="4">
        <v>0.45850694444444473</v>
      </c>
      <c r="F671" s="4">
        <v>3.4722222222222224E-4</v>
      </c>
      <c r="G671" s="4">
        <v>0.45885416666666695</v>
      </c>
      <c r="H671" s="4" t="s">
        <v>1944</v>
      </c>
      <c r="I671" s="4"/>
      <c r="J671" s="4"/>
      <c r="K671" s="4" t="s">
        <v>195</v>
      </c>
      <c r="L671" s="4"/>
      <c r="M671" s="4"/>
      <c r="N671" s="4"/>
      <c r="O671" s="4" t="s">
        <v>81</v>
      </c>
      <c r="P671" s="4"/>
      <c r="Q671" s="4"/>
      <c r="R671" s="4"/>
      <c r="S671" s="4"/>
      <c r="T671" s="4"/>
      <c r="U671" s="4">
        <v>0.0</v>
      </c>
      <c r="V671" s="4"/>
      <c r="W671" s="4"/>
      <c r="X671" s="4"/>
      <c r="Y671" s="4"/>
      <c r="Z671" s="4"/>
      <c r="AA671" s="4"/>
    </row>
    <row r="672">
      <c r="A672" s="4" t="s">
        <v>7893</v>
      </c>
      <c r="B672" s="4" t="s">
        <v>16</v>
      </c>
      <c r="C672" s="4" t="s">
        <v>7269</v>
      </c>
      <c r="D672" s="4">
        <v>44007.0</v>
      </c>
      <c r="E672" s="4">
        <v>0.45885416666666695</v>
      </c>
      <c r="F672" s="4">
        <v>0.010416666666666666</v>
      </c>
      <c r="G672" s="4">
        <v>0.46927083333333364</v>
      </c>
      <c r="H672" s="4" t="s">
        <v>1076</v>
      </c>
      <c r="I672" s="4" t="s">
        <v>6933</v>
      </c>
      <c r="J672" s="4" t="s">
        <v>7086</v>
      </c>
      <c r="K672" s="4" t="s">
        <v>195</v>
      </c>
      <c r="L672" s="4" t="s">
        <v>74</v>
      </c>
      <c r="M672" s="4" t="s">
        <v>7505</v>
      </c>
      <c r="N672" s="4" t="s">
        <v>7475</v>
      </c>
      <c r="O672" s="4" t="s">
        <v>822</v>
      </c>
      <c r="P672" s="4" t="s">
        <v>823</v>
      </c>
      <c r="Q672" s="4" t="s">
        <v>824</v>
      </c>
      <c r="R672" s="4" t="s">
        <v>825</v>
      </c>
      <c r="S672" s="4"/>
      <c r="T672" s="4" t="s">
        <v>826</v>
      </c>
      <c r="U672" s="4">
        <v>4.0</v>
      </c>
      <c r="V672" s="4" t="s">
        <v>7894</v>
      </c>
      <c r="W672" s="4" t="s">
        <v>7284</v>
      </c>
      <c r="X672" s="4" t="s">
        <v>7895</v>
      </c>
      <c r="Y672" s="4" t="s">
        <v>7199</v>
      </c>
      <c r="Z672" s="4" t="s">
        <v>1076</v>
      </c>
      <c r="AA672" s="4"/>
    </row>
    <row r="673">
      <c r="A673" s="4" t="s">
        <v>7896</v>
      </c>
      <c r="B673" s="4" t="s">
        <v>16</v>
      </c>
      <c r="C673" s="4" t="s">
        <v>7269</v>
      </c>
      <c r="D673" s="4">
        <v>44007.0</v>
      </c>
      <c r="E673" s="4">
        <v>0.46927083333333364</v>
      </c>
      <c r="F673" s="4">
        <v>1.7361111111111112E-4</v>
      </c>
      <c r="G673" s="4">
        <v>0.4694444444444448</v>
      </c>
      <c r="H673" s="4" t="s">
        <v>1944</v>
      </c>
      <c r="I673" s="4"/>
      <c r="J673" s="4"/>
      <c r="K673" s="4" t="s">
        <v>195</v>
      </c>
      <c r="L673" s="4"/>
      <c r="M673" s="4"/>
      <c r="N673" s="4"/>
      <c r="O673" s="4" t="s">
        <v>85</v>
      </c>
      <c r="P673" s="4"/>
      <c r="Q673" s="4"/>
      <c r="R673" s="4"/>
      <c r="S673" s="4"/>
      <c r="T673" s="4"/>
      <c r="U673" s="4">
        <v>0.0</v>
      </c>
      <c r="V673" s="4"/>
      <c r="W673" s="4"/>
      <c r="X673" s="4"/>
      <c r="Y673" s="4"/>
      <c r="Z673" s="4"/>
      <c r="AA673" s="4"/>
    </row>
    <row r="674">
      <c r="A674" s="4" t="s">
        <v>7897</v>
      </c>
      <c r="B674" s="4" t="s">
        <v>16</v>
      </c>
      <c r="C674" s="4" t="s">
        <v>7269</v>
      </c>
      <c r="D674" s="4">
        <v>44007.0</v>
      </c>
      <c r="E674" s="4">
        <v>0.4694444444444448</v>
      </c>
      <c r="F674" s="4">
        <v>3.4722222222222224E-4</v>
      </c>
      <c r="G674" s="4">
        <v>0.469791666666667</v>
      </c>
      <c r="H674" s="4" t="s">
        <v>1944</v>
      </c>
      <c r="I674" s="4"/>
      <c r="J674" s="4"/>
      <c r="K674" s="4" t="s">
        <v>195</v>
      </c>
      <c r="L674" s="4"/>
      <c r="M674" s="4"/>
      <c r="N674" s="4"/>
      <c r="O674" s="4" t="s">
        <v>81</v>
      </c>
      <c r="P674" s="4"/>
      <c r="Q674" s="4"/>
      <c r="R674" s="4"/>
      <c r="S674" s="4"/>
      <c r="T674" s="4"/>
      <c r="U674" s="4">
        <v>0.0</v>
      </c>
      <c r="V674" s="4"/>
      <c r="W674" s="4"/>
      <c r="X674" s="4"/>
      <c r="Y674" s="4"/>
      <c r="Z674" s="4"/>
      <c r="AA674" s="4"/>
    </row>
    <row r="675">
      <c r="A675" s="4" t="s">
        <v>7898</v>
      </c>
      <c r="B675" s="4" t="s">
        <v>16</v>
      </c>
      <c r="C675" s="4" t="s">
        <v>7269</v>
      </c>
      <c r="D675" s="4">
        <v>44007.0</v>
      </c>
      <c r="E675" s="4">
        <v>0.469791666666667</v>
      </c>
      <c r="F675" s="4">
        <v>0.0020833333333333333</v>
      </c>
      <c r="G675" s="4">
        <v>0.4718750000000003</v>
      </c>
      <c r="H675" s="4" t="s">
        <v>630</v>
      </c>
      <c r="I675" s="4" t="s">
        <v>314</v>
      </c>
      <c r="J675" s="4" t="s">
        <v>15</v>
      </c>
      <c r="K675" s="4" t="s">
        <v>195</v>
      </c>
      <c r="L675" s="4" t="s">
        <v>165</v>
      </c>
      <c r="M675" s="4" t="s">
        <v>7899</v>
      </c>
      <c r="N675" s="4" t="s">
        <v>7475</v>
      </c>
      <c r="O675" s="4" t="s">
        <v>515</v>
      </c>
      <c r="P675" s="4" t="s">
        <v>516</v>
      </c>
      <c r="Q675" s="4"/>
      <c r="R675" s="4"/>
      <c r="S675" s="4"/>
      <c r="T675" s="4"/>
      <c r="U675" s="4">
        <v>1.0</v>
      </c>
      <c r="V675" s="4" t="s">
        <v>7900</v>
      </c>
      <c r="W675" s="4" t="s">
        <v>7197</v>
      </c>
      <c r="X675" s="4" t="s">
        <v>7901</v>
      </c>
      <c r="Y675" s="4" t="s">
        <v>7199</v>
      </c>
      <c r="Z675" s="4" t="s">
        <v>630</v>
      </c>
      <c r="AA675" s="4"/>
    </row>
    <row r="676">
      <c r="A676" s="4" t="s">
        <v>7902</v>
      </c>
      <c r="B676" s="4" t="s">
        <v>16</v>
      </c>
      <c r="C676" s="4" t="s">
        <v>7269</v>
      </c>
      <c r="D676" s="4">
        <v>44007.0</v>
      </c>
      <c r="E676" s="4">
        <v>0.4718750000000003</v>
      </c>
      <c r="F676" s="4">
        <v>1.7361111111111112E-4</v>
      </c>
      <c r="G676" s="4">
        <v>0.47204861111111146</v>
      </c>
      <c r="H676" s="4" t="s">
        <v>1944</v>
      </c>
      <c r="I676" s="4"/>
      <c r="J676" s="4"/>
      <c r="K676" s="4" t="s">
        <v>195</v>
      </c>
      <c r="L676" s="4"/>
      <c r="M676" s="4"/>
      <c r="N676" s="4"/>
      <c r="O676" s="4" t="s">
        <v>85</v>
      </c>
      <c r="P676" s="4"/>
      <c r="Q676" s="4"/>
      <c r="R676" s="4"/>
      <c r="S676" s="4"/>
      <c r="T676" s="4"/>
      <c r="U676" s="4">
        <v>0.0</v>
      </c>
      <c r="V676" s="4"/>
      <c r="W676" s="4"/>
      <c r="X676" s="4"/>
      <c r="Y676" s="4"/>
      <c r="Z676" s="4"/>
      <c r="AA676" s="4"/>
    </row>
    <row r="677">
      <c r="A677" s="4" t="s">
        <v>7903</v>
      </c>
      <c r="B677" s="4" t="s">
        <v>16</v>
      </c>
      <c r="C677" s="4" t="s">
        <v>7269</v>
      </c>
      <c r="D677" s="4">
        <v>44007.0</v>
      </c>
      <c r="E677" s="4">
        <v>0.47204861111111146</v>
      </c>
      <c r="F677" s="4">
        <v>3.4722222222222224E-4</v>
      </c>
      <c r="G677" s="4">
        <v>0.4723958333333337</v>
      </c>
      <c r="H677" s="4" t="s">
        <v>1944</v>
      </c>
      <c r="I677" s="4"/>
      <c r="J677" s="4"/>
      <c r="K677" s="4" t="s">
        <v>195</v>
      </c>
      <c r="L677" s="4"/>
      <c r="M677" s="4"/>
      <c r="N677" s="4"/>
      <c r="O677" s="4" t="s">
        <v>81</v>
      </c>
      <c r="P677" s="4"/>
      <c r="Q677" s="4"/>
      <c r="R677" s="4"/>
      <c r="S677" s="4"/>
      <c r="T677" s="4"/>
      <c r="U677" s="4">
        <v>0.0</v>
      </c>
      <c r="V677" s="4"/>
      <c r="W677" s="4"/>
      <c r="X677" s="4"/>
      <c r="Y677" s="4"/>
      <c r="Z677" s="4"/>
      <c r="AA677" s="4"/>
    </row>
    <row r="678">
      <c r="A678" s="4" t="s">
        <v>7904</v>
      </c>
      <c r="B678" s="4" t="s">
        <v>16</v>
      </c>
      <c r="C678" s="4" t="s">
        <v>7269</v>
      </c>
      <c r="D678" s="4">
        <v>44007.0</v>
      </c>
      <c r="E678" s="4">
        <v>0.4723958333333337</v>
      </c>
      <c r="F678" s="4">
        <v>0.006944444444444444</v>
      </c>
      <c r="G678" s="4">
        <v>0.4793402777777781</v>
      </c>
      <c r="H678" s="4" t="s">
        <v>1055</v>
      </c>
      <c r="I678" s="4" t="s">
        <v>314</v>
      </c>
      <c r="J678" s="4" t="s">
        <v>7339</v>
      </c>
      <c r="K678" s="4" t="s">
        <v>195</v>
      </c>
      <c r="L678" s="4" t="s">
        <v>165</v>
      </c>
      <c r="M678" s="4" t="s">
        <v>7905</v>
      </c>
      <c r="N678" s="4" t="s">
        <v>6720</v>
      </c>
      <c r="O678" s="4" t="s">
        <v>719</v>
      </c>
      <c r="P678" s="4" t="s">
        <v>720</v>
      </c>
      <c r="Q678" s="4"/>
      <c r="R678" s="4"/>
      <c r="S678" s="4"/>
      <c r="T678" s="4"/>
      <c r="U678" s="4">
        <v>1.0</v>
      </c>
      <c r="V678" s="4" t="s">
        <v>7906</v>
      </c>
      <c r="W678" s="4" t="s">
        <v>7197</v>
      </c>
      <c r="X678" s="4" t="s">
        <v>7907</v>
      </c>
      <c r="Y678" s="4" t="s">
        <v>7908</v>
      </c>
      <c r="Z678" s="4" t="s">
        <v>1055</v>
      </c>
      <c r="AA678" s="4" t="s">
        <v>1631</v>
      </c>
    </row>
    <row r="679">
      <c r="A679" s="4" t="s">
        <v>7909</v>
      </c>
      <c r="B679" s="4" t="s">
        <v>16</v>
      </c>
      <c r="C679" s="4" t="s">
        <v>7269</v>
      </c>
      <c r="D679" s="4">
        <v>44007.0</v>
      </c>
      <c r="E679" s="4">
        <v>0.4793402777777781</v>
      </c>
      <c r="F679" s="4">
        <v>1.7361111111111112E-4</v>
      </c>
      <c r="G679" s="4">
        <v>0.47951388888888924</v>
      </c>
      <c r="H679" s="4" t="s">
        <v>1944</v>
      </c>
      <c r="I679" s="4"/>
      <c r="J679" s="4"/>
      <c r="K679" s="4" t="s">
        <v>195</v>
      </c>
      <c r="L679" s="4"/>
      <c r="M679" s="4"/>
      <c r="N679" s="4"/>
      <c r="O679" s="4" t="s">
        <v>85</v>
      </c>
      <c r="P679" s="4"/>
      <c r="Q679" s="4"/>
      <c r="R679" s="4"/>
      <c r="S679" s="4"/>
      <c r="T679" s="4"/>
      <c r="U679" s="4">
        <v>0.0</v>
      </c>
      <c r="V679" s="4"/>
      <c r="W679" s="4"/>
      <c r="X679" s="4"/>
      <c r="Y679" s="4"/>
      <c r="Z679" s="4"/>
      <c r="AA679" s="4"/>
    </row>
    <row r="680">
      <c r="A680" s="4" t="s">
        <v>7910</v>
      </c>
      <c r="B680" s="4" t="s">
        <v>16</v>
      </c>
      <c r="C680" s="4" t="s">
        <v>7269</v>
      </c>
      <c r="D680" s="4">
        <v>44007.0</v>
      </c>
      <c r="E680" s="4">
        <v>0.47951388888888924</v>
      </c>
      <c r="F680" s="4">
        <v>1.7361111111111112E-4</v>
      </c>
      <c r="G680" s="4">
        <v>0.4796875000000004</v>
      </c>
      <c r="H680" s="4" t="s">
        <v>2004</v>
      </c>
      <c r="I680" s="4"/>
      <c r="J680" s="4"/>
      <c r="K680" s="4" t="s">
        <v>195</v>
      </c>
      <c r="L680" s="4"/>
      <c r="M680" s="4"/>
      <c r="N680" s="4"/>
      <c r="O680" s="4" t="s">
        <v>7911</v>
      </c>
      <c r="P680" s="4"/>
      <c r="Q680" s="4"/>
      <c r="R680" s="4"/>
      <c r="S680" s="4"/>
      <c r="T680" s="4"/>
      <c r="U680" s="4"/>
      <c r="V680" s="4"/>
      <c r="W680" s="4"/>
      <c r="X680" s="4"/>
      <c r="Y680" s="4"/>
      <c r="Z680" s="4"/>
      <c r="AA680" s="4"/>
    </row>
    <row r="681">
      <c r="A681" s="4" t="s">
        <v>7912</v>
      </c>
      <c r="B681" s="4" t="s">
        <v>16</v>
      </c>
      <c r="C681" s="4" t="s">
        <v>7269</v>
      </c>
      <c r="D681" s="4">
        <v>44007.0</v>
      </c>
      <c r="E681" s="4">
        <v>0.4796875000000004</v>
      </c>
      <c r="F681" s="4">
        <v>3.4722222222222224E-4</v>
      </c>
      <c r="G681" s="4">
        <v>0.4800347222222226</v>
      </c>
      <c r="H681" s="4" t="s">
        <v>1944</v>
      </c>
      <c r="I681" s="4"/>
      <c r="J681" s="4"/>
      <c r="K681" s="4" t="s">
        <v>195</v>
      </c>
      <c r="L681" s="4"/>
      <c r="M681" s="4"/>
      <c r="N681" s="4"/>
      <c r="O681" s="4" t="s">
        <v>81</v>
      </c>
      <c r="P681" s="4"/>
      <c r="Q681" s="4"/>
      <c r="R681" s="4"/>
      <c r="S681" s="4"/>
      <c r="T681" s="4"/>
      <c r="U681" s="4">
        <v>0.0</v>
      </c>
      <c r="V681" s="4"/>
      <c r="W681" s="4"/>
      <c r="X681" s="4"/>
      <c r="Y681" s="4"/>
      <c r="Z681" s="4"/>
      <c r="AA681" s="4"/>
    </row>
    <row r="682">
      <c r="A682" s="4" t="s">
        <v>7913</v>
      </c>
      <c r="B682" s="4" t="s">
        <v>16</v>
      </c>
      <c r="C682" s="4" t="s">
        <v>7269</v>
      </c>
      <c r="D682" s="4">
        <v>44007.0</v>
      </c>
      <c r="E682" s="4">
        <v>0.4800347222222226</v>
      </c>
      <c r="F682" s="4">
        <v>0.008333333333333333</v>
      </c>
      <c r="G682" s="4">
        <v>0.48836805555555596</v>
      </c>
      <c r="H682" s="4" t="s">
        <v>946</v>
      </c>
      <c r="I682" s="4" t="s">
        <v>6993</v>
      </c>
      <c r="J682" s="4" t="s">
        <v>15</v>
      </c>
      <c r="K682" s="4" t="s">
        <v>195</v>
      </c>
      <c r="L682" s="4" t="s">
        <v>107</v>
      </c>
      <c r="M682" s="4" t="s">
        <v>7126</v>
      </c>
      <c r="N682" s="4" t="s">
        <v>6858</v>
      </c>
      <c r="O682" s="4" t="s">
        <v>1048</v>
      </c>
      <c r="P682" s="4" t="s">
        <v>1049</v>
      </c>
      <c r="Q682" s="4" t="s">
        <v>1050</v>
      </c>
      <c r="R682" s="4"/>
      <c r="S682" s="4"/>
      <c r="T682" s="4" t="s">
        <v>7914</v>
      </c>
      <c r="U682" s="4">
        <v>3.0</v>
      </c>
      <c r="V682" s="4" t="s">
        <v>7915</v>
      </c>
      <c r="W682" s="4" t="s">
        <v>6962</v>
      </c>
      <c r="X682" s="4">
        <v>43963.708333333336</v>
      </c>
      <c r="Y682" s="4"/>
      <c r="Z682" s="4" t="s">
        <v>946</v>
      </c>
      <c r="AA682" s="4"/>
    </row>
    <row r="683">
      <c r="A683" s="4" t="s">
        <v>7916</v>
      </c>
      <c r="B683" s="4" t="s">
        <v>16</v>
      </c>
      <c r="C683" s="4" t="s">
        <v>7269</v>
      </c>
      <c r="D683" s="4">
        <v>44007.0</v>
      </c>
      <c r="E683" s="4">
        <v>0.48836805555555596</v>
      </c>
      <c r="F683" s="4">
        <v>1.7361111111111112E-4</v>
      </c>
      <c r="G683" s="4">
        <v>0.4885416666666671</v>
      </c>
      <c r="H683" s="4" t="s">
        <v>1944</v>
      </c>
      <c r="I683" s="4"/>
      <c r="J683" s="4"/>
      <c r="K683" s="4" t="s">
        <v>195</v>
      </c>
      <c r="L683" s="4"/>
      <c r="M683" s="4"/>
      <c r="N683" s="4"/>
      <c r="O683" s="4" t="s">
        <v>85</v>
      </c>
      <c r="P683" s="4"/>
      <c r="Q683" s="4"/>
      <c r="R683" s="4"/>
      <c r="S683" s="4"/>
      <c r="T683" s="4"/>
      <c r="U683" s="4">
        <v>0.0</v>
      </c>
      <c r="V683" s="4"/>
      <c r="W683" s="4"/>
      <c r="X683" s="4"/>
      <c r="Y683" s="4"/>
      <c r="Z683" s="4"/>
      <c r="AA683" s="4"/>
    </row>
    <row r="684">
      <c r="A684" s="4" t="s">
        <v>7917</v>
      </c>
      <c r="B684" s="4" t="s">
        <v>16</v>
      </c>
      <c r="C684" s="4" t="s">
        <v>7269</v>
      </c>
      <c r="D684" s="4">
        <v>44007.0</v>
      </c>
      <c r="E684" s="4">
        <v>0.4885416666666671</v>
      </c>
      <c r="F684" s="4">
        <v>3.4722222222222224E-4</v>
      </c>
      <c r="G684" s="4">
        <v>0.4888888888888893</v>
      </c>
      <c r="H684" s="4" t="s">
        <v>1944</v>
      </c>
      <c r="I684" s="4"/>
      <c r="J684" s="4"/>
      <c r="K684" s="4" t="s">
        <v>195</v>
      </c>
      <c r="L684" s="4"/>
      <c r="M684" s="4"/>
      <c r="N684" s="4"/>
      <c r="O684" s="4" t="s">
        <v>81</v>
      </c>
      <c r="P684" s="4"/>
      <c r="Q684" s="4"/>
      <c r="R684" s="4"/>
      <c r="S684" s="4"/>
      <c r="T684" s="4"/>
      <c r="U684" s="4">
        <v>0.0</v>
      </c>
      <c r="V684" s="4"/>
      <c r="W684" s="4"/>
      <c r="X684" s="4"/>
      <c r="Y684" s="4"/>
      <c r="Z684" s="4"/>
      <c r="AA684" s="4"/>
    </row>
    <row r="685">
      <c r="A685" s="4" t="s">
        <v>7918</v>
      </c>
      <c r="B685" s="4" t="s">
        <v>16</v>
      </c>
      <c r="C685" s="4" t="s">
        <v>7269</v>
      </c>
      <c r="D685" s="4">
        <v>44007.0</v>
      </c>
      <c r="E685" s="4">
        <v>0.4888888888888893</v>
      </c>
      <c r="F685" s="4">
        <v>0.010416666666666666</v>
      </c>
      <c r="G685" s="4">
        <v>0.499305555555556</v>
      </c>
      <c r="H685" s="4" t="s">
        <v>1055</v>
      </c>
      <c r="I685" s="4" t="s">
        <v>314</v>
      </c>
      <c r="J685" s="4" t="s">
        <v>6903</v>
      </c>
      <c r="K685" s="4" t="s">
        <v>195</v>
      </c>
      <c r="L685" s="4" t="s">
        <v>165</v>
      </c>
      <c r="M685" s="4" t="s">
        <v>7126</v>
      </c>
      <c r="N685" s="4" t="s">
        <v>6858</v>
      </c>
      <c r="O685" s="4" t="s">
        <v>834</v>
      </c>
      <c r="P685" s="4" t="s">
        <v>835</v>
      </c>
      <c r="Q685" s="4"/>
      <c r="R685" s="4"/>
      <c r="S685" s="4"/>
      <c r="T685" s="4"/>
      <c r="U685" s="4">
        <v>1.0</v>
      </c>
      <c r="V685" s="4" t="s">
        <v>7919</v>
      </c>
      <c r="W685" s="4" t="s">
        <v>7088</v>
      </c>
      <c r="X685" s="4" t="s">
        <v>7920</v>
      </c>
      <c r="Y685" s="4"/>
      <c r="Z685" s="4"/>
      <c r="AA685" s="4"/>
    </row>
    <row r="686">
      <c r="A686" s="4" t="s">
        <v>7921</v>
      </c>
      <c r="B686" s="4" t="s">
        <v>16</v>
      </c>
      <c r="C686" s="4" t="s">
        <v>7269</v>
      </c>
      <c r="D686" s="4">
        <v>44007.0</v>
      </c>
      <c r="E686" s="4">
        <v>0.499305555555556</v>
      </c>
      <c r="F686" s="4">
        <v>1.7361111111111112E-4</v>
      </c>
      <c r="G686" s="4">
        <v>0.49947916666666714</v>
      </c>
      <c r="H686" s="4" t="s">
        <v>1944</v>
      </c>
      <c r="I686" s="4"/>
      <c r="J686" s="4"/>
      <c r="K686" s="4" t="s">
        <v>195</v>
      </c>
      <c r="L686" s="4"/>
      <c r="M686" s="4"/>
      <c r="N686" s="4"/>
      <c r="O686" s="4" t="s">
        <v>85</v>
      </c>
      <c r="P686" s="4"/>
      <c r="Q686" s="4"/>
      <c r="R686" s="4"/>
      <c r="S686" s="4"/>
      <c r="T686" s="4"/>
      <c r="U686" s="4">
        <v>0.0</v>
      </c>
      <c r="V686" s="4"/>
      <c r="W686" s="4"/>
      <c r="X686" s="4"/>
      <c r="Y686" s="4"/>
      <c r="Z686" s="4"/>
      <c r="AA686" s="4"/>
    </row>
    <row r="687">
      <c r="A687" s="4" t="s">
        <v>7922</v>
      </c>
      <c r="B687" s="4" t="s">
        <v>16</v>
      </c>
      <c r="C687" s="4" t="s">
        <v>7269</v>
      </c>
      <c r="D687" s="4">
        <v>44007.0</v>
      </c>
      <c r="E687" s="4">
        <v>0.49947916666666714</v>
      </c>
      <c r="F687" s="4">
        <v>5.208333333333333E-4</v>
      </c>
      <c r="G687" s="4">
        <v>0.5000000000000004</v>
      </c>
      <c r="H687" s="4" t="s">
        <v>2004</v>
      </c>
      <c r="I687" s="4"/>
      <c r="J687" s="4"/>
      <c r="K687" s="4" t="s">
        <v>195</v>
      </c>
      <c r="L687" s="4"/>
      <c r="M687" s="4"/>
      <c r="N687" s="4"/>
      <c r="O687" s="4" t="s">
        <v>89</v>
      </c>
      <c r="P687" s="4"/>
      <c r="Q687" s="4"/>
      <c r="R687" s="4"/>
      <c r="S687" s="4"/>
      <c r="T687" s="4"/>
      <c r="U687" s="4">
        <v>0.0</v>
      </c>
      <c r="V687" s="4"/>
      <c r="W687" s="4"/>
      <c r="X687" s="4"/>
      <c r="Y687" s="4"/>
      <c r="Z687" s="4"/>
      <c r="AA687" s="4"/>
    </row>
    <row r="688">
      <c r="A688" s="4" t="s">
        <v>7923</v>
      </c>
      <c r="B688" s="4" t="s">
        <v>16</v>
      </c>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c r="A689" s="4" t="s">
        <v>7924</v>
      </c>
      <c r="B689" s="4" t="s">
        <v>16</v>
      </c>
      <c r="C689" s="4" t="s">
        <v>7269</v>
      </c>
      <c r="D689" s="4">
        <v>44007.0</v>
      </c>
      <c r="E689" s="4">
        <v>0.5000000000000004</v>
      </c>
      <c r="F689" s="4">
        <v>3.4722222222222224E-4</v>
      </c>
      <c r="G689" s="4">
        <v>0.5003472222222227</v>
      </c>
      <c r="H689" s="4" t="s">
        <v>1944</v>
      </c>
      <c r="I689" s="4"/>
      <c r="J689" s="4"/>
      <c r="K689" s="4" t="s">
        <v>151</v>
      </c>
      <c r="L689" s="4"/>
      <c r="M689" s="4"/>
      <c r="N689" s="4"/>
      <c r="O689" s="4" t="s">
        <v>81</v>
      </c>
      <c r="P689" s="4"/>
      <c r="Q689" s="4"/>
      <c r="R689" s="4"/>
      <c r="S689" s="4"/>
      <c r="T689" s="4"/>
      <c r="U689" s="4">
        <v>0.0</v>
      </c>
      <c r="V689" s="4"/>
      <c r="W689" s="4"/>
      <c r="X689" s="4"/>
      <c r="Y689" s="4"/>
      <c r="Z689" s="4"/>
      <c r="AA689" s="4"/>
    </row>
    <row r="690">
      <c r="A690" s="4" t="s">
        <v>7925</v>
      </c>
      <c r="B690" s="4" t="s">
        <v>16</v>
      </c>
      <c r="C690" s="4" t="s">
        <v>7269</v>
      </c>
      <c r="D690" s="4">
        <v>44007.0</v>
      </c>
      <c r="E690" s="4">
        <v>0.5003472222222227</v>
      </c>
      <c r="F690" s="4">
        <v>0.010416666666666666</v>
      </c>
      <c r="G690" s="4">
        <v>0.5107638888888894</v>
      </c>
      <c r="H690" s="4" t="s">
        <v>1631</v>
      </c>
      <c r="I690" s="4" t="s">
        <v>6947</v>
      </c>
      <c r="J690" s="4" t="s">
        <v>7059</v>
      </c>
      <c r="K690" s="4" t="s">
        <v>151</v>
      </c>
      <c r="L690" s="4" t="s">
        <v>74</v>
      </c>
      <c r="M690" s="4" t="s">
        <v>7610</v>
      </c>
      <c r="N690" s="4" t="s">
        <v>6755</v>
      </c>
      <c r="O690" s="4" t="s">
        <v>838</v>
      </c>
      <c r="P690" s="4" t="s">
        <v>839</v>
      </c>
      <c r="Q690" s="4" t="s">
        <v>7926</v>
      </c>
      <c r="R690" s="4" t="s">
        <v>361</v>
      </c>
      <c r="S690" s="4"/>
      <c r="T690" s="4" t="s">
        <v>841</v>
      </c>
      <c r="U690" s="4">
        <v>4.0</v>
      </c>
      <c r="V690" s="4" t="s">
        <v>7927</v>
      </c>
      <c r="W690" s="4" t="s">
        <v>6855</v>
      </c>
      <c r="X690" s="4"/>
      <c r="Y690" s="4"/>
      <c r="Z690" s="4"/>
      <c r="AA690" s="4"/>
    </row>
    <row r="691">
      <c r="A691" s="4" t="s">
        <v>7928</v>
      </c>
      <c r="B691" s="4" t="s">
        <v>16</v>
      </c>
      <c r="C691" s="4" t="s">
        <v>7269</v>
      </c>
      <c r="D691" s="4">
        <v>44007.0</v>
      </c>
      <c r="E691" s="4">
        <v>0.5107638888888894</v>
      </c>
      <c r="F691" s="4">
        <v>1.7361111111111112E-4</v>
      </c>
      <c r="G691" s="4">
        <v>0.5109375000000005</v>
      </c>
      <c r="H691" s="4" t="s">
        <v>1944</v>
      </c>
      <c r="I691" s="4"/>
      <c r="J691" s="4"/>
      <c r="K691" s="4" t="s">
        <v>151</v>
      </c>
      <c r="L691" s="4"/>
      <c r="M691" s="4"/>
      <c r="N691" s="4"/>
      <c r="O691" s="4" t="s">
        <v>85</v>
      </c>
      <c r="P691" s="4"/>
      <c r="Q691" s="4"/>
      <c r="R691" s="4"/>
      <c r="S691" s="4"/>
      <c r="T691" s="4"/>
      <c r="U691" s="4">
        <v>0.0</v>
      </c>
      <c r="V691" s="4"/>
      <c r="W691" s="4"/>
      <c r="X691" s="4"/>
      <c r="Y691" s="4"/>
      <c r="Z691" s="4"/>
      <c r="AA691" s="4"/>
    </row>
    <row r="692">
      <c r="A692" s="4" t="s">
        <v>7929</v>
      </c>
      <c r="B692" s="4" t="s">
        <v>16</v>
      </c>
      <c r="C692" s="4" t="s">
        <v>7269</v>
      </c>
      <c r="D692" s="4">
        <v>44007.0</v>
      </c>
      <c r="E692" s="4">
        <v>0.5109375000000005</v>
      </c>
      <c r="F692" s="4">
        <v>3.4722222222222224E-4</v>
      </c>
      <c r="G692" s="4">
        <v>0.5112847222222228</v>
      </c>
      <c r="H692" s="4"/>
      <c r="I692" s="4"/>
      <c r="J692" s="4"/>
      <c r="K692" s="4" t="s">
        <v>151</v>
      </c>
      <c r="L692" s="4"/>
      <c r="M692" s="4"/>
      <c r="N692" s="4"/>
      <c r="O692" s="4" t="s">
        <v>511</v>
      </c>
      <c r="P692" s="4"/>
      <c r="Q692" s="4"/>
      <c r="R692" s="4"/>
      <c r="S692" s="4"/>
      <c r="T692" s="4"/>
      <c r="U692" s="4">
        <v>0.0</v>
      </c>
      <c r="V692" s="4"/>
      <c r="W692" s="4"/>
      <c r="X692" s="4"/>
      <c r="Y692" s="4"/>
      <c r="Z692" s="4"/>
      <c r="AA692" s="4"/>
    </row>
    <row r="693">
      <c r="A693" s="4" t="s">
        <v>7930</v>
      </c>
      <c r="B693" s="4" t="s">
        <v>16</v>
      </c>
      <c r="C693" s="4" t="s">
        <v>7269</v>
      </c>
      <c r="D693" s="4">
        <v>44007.0</v>
      </c>
      <c r="E693" s="4">
        <v>0.5112847222222228</v>
      </c>
      <c r="F693" s="4">
        <v>3.4722222222222224E-4</v>
      </c>
      <c r="G693" s="4">
        <v>0.511631944444445</v>
      </c>
      <c r="H693" s="4" t="s">
        <v>1944</v>
      </c>
      <c r="I693" s="4"/>
      <c r="J693" s="4"/>
      <c r="K693" s="4" t="s">
        <v>151</v>
      </c>
      <c r="L693" s="4"/>
      <c r="M693" s="4"/>
      <c r="N693" s="4"/>
      <c r="O693" s="4" t="s">
        <v>81</v>
      </c>
      <c r="P693" s="4"/>
      <c r="Q693" s="4"/>
      <c r="R693" s="4"/>
      <c r="S693" s="4"/>
      <c r="T693" s="4"/>
      <c r="U693" s="4">
        <v>0.0</v>
      </c>
      <c r="V693" s="4"/>
      <c r="W693" s="4"/>
      <c r="X693" s="4"/>
      <c r="Y693" s="4"/>
      <c r="Z693" s="4"/>
      <c r="AA693" s="4"/>
    </row>
    <row r="694">
      <c r="A694" s="4" t="s">
        <v>7931</v>
      </c>
      <c r="B694" s="4" t="s">
        <v>16</v>
      </c>
      <c r="C694" s="4" t="s">
        <v>7269</v>
      </c>
      <c r="D694" s="4">
        <v>44007.0</v>
      </c>
      <c r="E694" s="4">
        <v>0.511631944444445</v>
      </c>
      <c r="F694" s="4">
        <v>0.013888888888888888</v>
      </c>
      <c r="G694" s="4">
        <v>0.5255208333333339</v>
      </c>
      <c r="H694" s="4" t="s">
        <v>653</v>
      </c>
      <c r="I694" s="4" t="s">
        <v>4142</v>
      </c>
      <c r="J694" s="4" t="s">
        <v>7339</v>
      </c>
      <c r="K694" s="4" t="s">
        <v>151</v>
      </c>
      <c r="L694" s="4" t="s">
        <v>94</v>
      </c>
      <c r="M694" s="4" t="s">
        <v>7610</v>
      </c>
      <c r="N694" s="4" t="s">
        <v>6749</v>
      </c>
      <c r="O694" s="4" t="s">
        <v>844</v>
      </c>
      <c r="P694" s="4" t="s">
        <v>845</v>
      </c>
      <c r="Q694" s="4"/>
      <c r="R694" s="4"/>
      <c r="S694" s="4"/>
      <c r="T694" s="4" t="s">
        <v>846</v>
      </c>
      <c r="U694" s="4">
        <v>2.0</v>
      </c>
      <c r="V694" s="4" t="s">
        <v>7932</v>
      </c>
      <c r="W694" s="4" t="s">
        <v>6872</v>
      </c>
      <c r="X694" s="4"/>
      <c r="Y694" s="4"/>
      <c r="Z694" s="4"/>
      <c r="AA694" s="4"/>
    </row>
    <row r="695">
      <c r="A695" s="4" t="s">
        <v>7933</v>
      </c>
      <c r="B695" s="4" t="s">
        <v>16</v>
      </c>
      <c r="C695" s="4" t="s">
        <v>7269</v>
      </c>
      <c r="D695" s="4">
        <v>44007.0</v>
      </c>
      <c r="E695" s="4">
        <v>0.5255208333333339</v>
      </c>
      <c r="F695" s="4">
        <v>1.7361111111111112E-4</v>
      </c>
      <c r="G695" s="4">
        <v>0.525694444444445</v>
      </c>
      <c r="H695" s="4" t="s">
        <v>1944</v>
      </c>
      <c r="I695" s="4"/>
      <c r="J695" s="4"/>
      <c r="K695" s="4" t="s">
        <v>151</v>
      </c>
      <c r="L695" s="4"/>
      <c r="M695" s="4"/>
      <c r="N695" s="4"/>
      <c r="O695" s="4" t="s">
        <v>85</v>
      </c>
      <c r="P695" s="4"/>
      <c r="Q695" s="4"/>
      <c r="R695" s="4"/>
      <c r="S695" s="4"/>
      <c r="T695" s="4"/>
      <c r="U695" s="4">
        <v>0.0</v>
      </c>
      <c r="V695" s="4"/>
      <c r="W695" s="4"/>
      <c r="X695" s="4"/>
      <c r="Y695" s="4"/>
      <c r="Z695" s="4"/>
      <c r="AA695" s="4"/>
    </row>
    <row r="696">
      <c r="A696" s="4" t="s">
        <v>7934</v>
      </c>
      <c r="B696" s="4" t="s">
        <v>16</v>
      </c>
      <c r="C696" s="4" t="s">
        <v>7269</v>
      </c>
      <c r="D696" s="4">
        <v>44007.0</v>
      </c>
      <c r="E696" s="4">
        <v>0.525694444444445</v>
      </c>
      <c r="F696" s="4">
        <v>1.7361111111111112E-4</v>
      </c>
      <c r="G696" s="4">
        <v>0.5258680555555562</v>
      </c>
      <c r="H696" s="4" t="s">
        <v>1944</v>
      </c>
      <c r="I696" s="4"/>
      <c r="J696" s="4"/>
      <c r="K696" s="4" t="s">
        <v>151</v>
      </c>
      <c r="L696" s="4"/>
      <c r="M696" s="4"/>
      <c r="N696" s="4"/>
      <c r="O696" s="4" t="s">
        <v>7763</v>
      </c>
      <c r="P696" s="4"/>
      <c r="Q696" s="4"/>
      <c r="R696" s="4"/>
      <c r="S696" s="4"/>
      <c r="T696" s="4"/>
      <c r="U696" s="4">
        <v>0.0</v>
      </c>
      <c r="V696" s="4"/>
      <c r="W696" s="4" t="s">
        <v>314</v>
      </c>
      <c r="X696" s="4"/>
      <c r="Y696" s="4"/>
      <c r="Z696" s="4"/>
      <c r="AA696" s="4"/>
    </row>
    <row r="697">
      <c r="A697" s="4" t="s">
        <v>7935</v>
      </c>
      <c r="B697" s="4" t="s">
        <v>16</v>
      </c>
      <c r="C697" s="4" t="s">
        <v>7269</v>
      </c>
      <c r="D697" s="4">
        <v>44007.0</v>
      </c>
      <c r="E697" s="4">
        <v>0.5258680555555562</v>
      </c>
      <c r="F697" s="4">
        <v>3.4722222222222224E-4</v>
      </c>
      <c r="G697" s="4">
        <v>0.5262152777777784</v>
      </c>
      <c r="H697" s="4" t="s">
        <v>1944</v>
      </c>
      <c r="I697" s="4"/>
      <c r="J697" s="4"/>
      <c r="K697" s="4" t="s">
        <v>151</v>
      </c>
      <c r="L697" s="4"/>
      <c r="M697" s="4"/>
      <c r="N697" s="4"/>
      <c r="O697" s="4" t="s">
        <v>89</v>
      </c>
      <c r="P697" s="4"/>
      <c r="Q697" s="4"/>
      <c r="R697" s="4"/>
      <c r="S697" s="4"/>
      <c r="T697" s="4"/>
      <c r="U697" s="4">
        <v>0.0</v>
      </c>
      <c r="V697" s="4"/>
      <c r="W697" s="4"/>
      <c r="X697" s="4"/>
      <c r="Y697" s="4"/>
      <c r="Z697" s="4"/>
      <c r="AA697" s="4"/>
    </row>
    <row r="698">
      <c r="A698" s="4" t="s">
        <v>7936</v>
      </c>
      <c r="B698" s="4" t="s">
        <v>16</v>
      </c>
      <c r="C698" s="4" t="s">
        <v>7269</v>
      </c>
      <c r="D698" s="4">
        <v>44007.0</v>
      </c>
      <c r="E698" s="4">
        <v>0.5262152777777784</v>
      </c>
      <c r="F698" s="4">
        <v>3.4722222222222224E-4</v>
      </c>
      <c r="G698" s="4">
        <v>0.5265625000000007</v>
      </c>
      <c r="H698" s="4" t="s">
        <v>1944</v>
      </c>
      <c r="I698" s="4"/>
      <c r="J698" s="4"/>
      <c r="K698" s="4" t="s">
        <v>151</v>
      </c>
      <c r="L698" s="4"/>
      <c r="M698" s="4"/>
      <c r="N698" s="4"/>
      <c r="O698" s="4" t="s">
        <v>81</v>
      </c>
      <c r="P698" s="4"/>
      <c r="Q698" s="4"/>
      <c r="R698" s="4"/>
      <c r="S698" s="4"/>
      <c r="T698" s="4"/>
      <c r="U698" s="4">
        <v>0.0</v>
      </c>
      <c r="V698" s="4"/>
      <c r="W698" s="4"/>
      <c r="X698" s="4"/>
      <c r="Y698" s="4"/>
      <c r="Z698" s="4"/>
      <c r="AA698" s="4"/>
    </row>
    <row r="699">
      <c r="A699" s="4" t="s">
        <v>7937</v>
      </c>
      <c r="B699" s="4" t="s">
        <v>16</v>
      </c>
      <c r="C699" s="4" t="s">
        <v>7269</v>
      </c>
      <c r="D699" s="4">
        <v>44007.0</v>
      </c>
      <c r="E699" s="4">
        <v>0.5265625000000007</v>
      </c>
      <c r="F699" s="4">
        <v>0.0020833333333333333</v>
      </c>
      <c r="G699" s="4">
        <v>0.528645833333334</v>
      </c>
      <c r="H699" s="4" t="s">
        <v>630</v>
      </c>
      <c r="I699" s="4" t="s">
        <v>314</v>
      </c>
      <c r="J699" s="4" t="s">
        <v>15</v>
      </c>
      <c r="K699" s="4" t="s">
        <v>151</v>
      </c>
      <c r="L699" s="4" t="s">
        <v>165</v>
      </c>
      <c r="M699" s="4" t="s">
        <v>7126</v>
      </c>
      <c r="N699" s="4" t="s">
        <v>6720</v>
      </c>
      <c r="O699" s="4" t="s">
        <v>7938</v>
      </c>
      <c r="P699" s="4" t="s">
        <v>851</v>
      </c>
      <c r="Q699" s="4"/>
      <c r="R699" s="4"/>
      <c r="S699" s="4"/>
      <c r="T699" s="4"/>
      <c r="U699" s="4">
        <v>1.0</v>
      </c>
      <c r="V699" s="4" t="s">
        <v>7939</v>
      </c>
      <c r="W699" s="4" t="s">
        <v>7197</v>
      </c>
      <c r="X699" s="4" t="s">
        <v>7940</v>
      </c>
      <c r="Y699" s="4" t="s">
        <v>7199</v>
      </c>
      <c r="Z699" s="4" t="s">
        <v>630</v>
      </c>
      <c r="AA699" s="4"/>
    </row>
    <row r="700">
      <c r="A700" s="4" t="s">
        <v>7941</v>
      </c>
      <c r="B700" s="4" t="s">
        <v>16</v>
      </c>
      <c r="C700" s="4" t="s">
        <v>7269</v>
      </c>
      <c r="D700" s="4">
        <v>44007.0</v>
      </c>
      <c r="E700" s="4">
        <v>0.528645833333334</v>
      </c>
      <c r="F700" s="4">
        <v>1.7361111111111112E-4</v>
      </c>
      <c r="G700" s="4">
        <v>0.5288194444444452</v>
      </c>
      <c r="H700" s="4" t="s">
        <v>1944</v>
      </c>
      <c r="I700" s="4"/>
      <c r="J700" s="4"/>
      <c r="K700" s="4" t="s">
        <v>151</v>
      </c>
      <c r="L700" s="4"/>
      <c r="M700" s="4"/>
      <c r="N700" s="4"/>
      <c r="O700" s="4" t="s">
        <v>85</v>
      </c>
      <c r="P700" s="4"/>
      <c r="Q700" s="4"/>
      <c r="R700" s="4"/>
      <c r="S700" s="4"/>
      <c r="T700" s="4"/>
      <c r="U700" s="4">
        <v>0.0</v>
      </c>
      <c r="V700" s="4"/>
      <c r="W700" s="4"/>
      <c r="X700" s="4"/>
      <c r="Y700" s="4"/>
      <c r="Z700" s="4"/>
      <c r="AA700" s="4"/>
    </row>
    <row r="701">
      <c r="A701" s="4" t="s">
        <v>7942</v>
      </c>
      <c r="B701" s="4" t="s">
        <v>16</v>
      </c>
      <c r="C701" s="4" t="s">
        <v>7269</v>
      </c>
      <c r="D701" s="4">
        <v>44007.0</v>
      </c>
      <c r="E701" s="4">
        <v>0.5288194444444452</v>
      </c>
      <c r="F701" s="4">
        <v>1.7361111111111112E-4</v>
      </c>
      <c r="G701" s="4">
        <v>0.5289930555555563</v>
      </c>
      <c r="H701" s="4" t="s">
        <v>2004</v>
      </c>
      <c r="I701" s="4"/>
      <c r="J701" s="4"/>
      <c r="K701" s="4" t="s">
        <v>151</v>
      </c>
      <c r="L701" s="4"/>
      <c r="M701" s="4"/>
      <c r="N701" s="4"/>
      <c r="O701" s="4" t="s">
        <v>7562</v>
      </c>
      <c r="P701" s="4"/>
      <c r="Q701" s="4"/>
      <c r="R701" s="4"/>
      <c r="S701" s="4"/>
      <c r="T701" s="4"/>
      <c r="U701" s="4">
        <v>0.0</v>
      </c>
      <c r="V701" s="4"/>
      <c r="W701" s="4"/>
      <c r="X701" s="4"/>
      <c r="Y701" s="4"/>
      <c r="Z701" s="4"/>
      <c r="AA701" s="4"/>
    </row>
    <row r="702">
      <c r="A702" s="4" t="s">
        <v>7943</v>
      </c>
      <c r="B702" s="4" t="s">
        <v>16</v>
      </c>
      <c r="C702" s="4" t="s">
        <v>7269</v>
      </c>
      <c r="D702" s="4">
        <v>44007.0</v>
      </c>
      <c r="E702" s="4">
        <v>0.5289930555555563</v>
      </c>
      <c r="F702" s="4">
        <v>3.4722222222222224E-4</v>
      </c>
      <c r="G702" s="4">
        <v>0.5293402777777786</v>
      </c>
      <c r="H702" s="4" t="s">
        <v>2004</v>
      </c>
      <c r="I702" s="4"/>
      <c r="J702" s="4"/>
      <c r="K702" s="4" t="s">
        <v>151</v>
      </c>
      <c r="L702" s="4"/>
      <c r="M702" s="4"/>
      <c r="N702" s="4"/>
      <c r="O702" s="4" t="s">
        <v>7739</v>
      </c>
      <c r="P702" s="4"/>
      <c r="Q702" s="4"/>
      <c r="R702" s="4"/>
      <c r="S702" s="4"/>
      <c r="T702" s="4"/>
      <c r="U702" s="4">
        <v>0.0</v>
      </c>
      <c r="V702" s="4"/>
      <c r="W702" s="4"/>
      <c r="X702" s="4"/>
      <c r="Y702" s="4"/>
      <c r="Z702" s="4"/>
      <c r="AA702" s="4"/>
    </row>
    <row r="703">
      <c r="A703" s="4" t="s">
        <v>7944</v>
      </c>
      <c r="B703" s="4" t="s">
        <v>16</v>
      </c>
      <c r="C703" s="4" t="s">
        <v>7269</v>
      </c>
      <c r="D703" s="4">
        <v>44007.0</v>
      </c>
      <c r="E703" s="4">
        <v>0.5293402777777786</v>
      </c>
      <c r="F703" s="4">
        <v>3.4722222222222224E-4</v>
      </c>
      <c r="G703" s="4">
        <v>0.5296875000000009</v>
      </c>
      <c r="H703" s="4" t="s">
        <v>1944</v>
      </c>
      <c r="I703" s="4"/>
      <c r="J703" s="4"/>
      <c r="K703" s="4" t="s">
        <v>151</v>
      </c>
      <c r="L703" s="4"/>
      <c r="M703" s="4"/>
      <c r="N703" s="4"/>
      <c r="O703" s="4" t="s">
        <v>81</v>
      </c>
      <c r="P703" s="4"/>
      <c r="Q703" s="4"/>
      <c r="R703" s="4"/>
      <c r="S703" s="4"/>
      <c r="T703" s="4"/>
      <c r="U703" s="4">
        <v>0.0</v>
      </c>
      <c r="V703" s="4"/>
      <c r="W703" s="4"/>
      <c r="X703" s="4"/>
      <c r="Y703" s="4"/>
      <c r="Z703" s="4"/>
      <c r="AA703" s="4"/>
    </row>
    <row r="704">
      <c r="A704" s="4" t="s">
        <v>7945</v>
      </c>
      <c r="B704" s="4" t="s">
        <v>16</v>
      </c>
      <c r="C704" s="4" t="s">
        <v>7269</v>
      </c>
      <c r="D704" s="4">
        <v>44007.0</v>
      </c>
      <c r="E704" s="4">
        <v>0.5296875000000009</v>
      </c>
      <c r="F704" s="4">
        <v>0.011111111111111112</v>
      </c>
      <c r="G704" s="4">
        <v>0.5407986111111119</v>
      </c>
      <c r="H704" s="4" t="s">
        <v>1631</v>
      </c>
      <c r="I704" s="4" t="s">
        <v>6947</v>
      </c>
      <c r="J704" s="4" t="s">
        <v>7059</v>
      </c>
      <c r="K704" s="4" t="s">
        <v>151</v>
      </c>
      <c r="L704" s="4" t="s">
        <v>74</v>
      </c>
      <c r="M704" s="4" t="s">
        <v>7946</v>
      </c>
      <c r="N704" s="4" t="s">
        <v>7195</v>
      </c>
      <c r="O704" s="4" t="s">
        <v>4545</v>
      </c>
      <c r="P704" s="4" t="s">
        <v>1741</v>
      </c>
      <c r="Q704" s="4" t="s">
        <v>1742</v>
      </c>
      <c r="R704" s="4" t="s">
        <v>1264</v>
      </c>
      <c r="S704" s="4"/>
      <c r="T704" s="4" t="s">
        <v>1743</v>
      </c>
      <c r="U704" s="4">
        <v>4.0</v>
      </c>
      <c r="V704" s="4" t="s">
        <v>7947</v>
      </c>
      <c r="W704" s="4" t="s">
        <v>7284</v>
      </c>
      <c r="X704" s="4" t="s">
        <v>7948</v>
      </c>
      <c r="Y704" s="4" t="s">
        <v>7199</v>
      </c>
      <c r="Z704" s="4"/>
      <c r="AA704" s="4"/>
    </row>
    <row r="705">
      <c r="A705" s="4" t="s">
        <v>7949</v>
      </c>
      <c r="B705" s="4" t="s">
        <v>16</v>
      </c>
      <c r="C705" s="4" t="s">
        <v>7269</v>
      </c>
      <c r="D705" s="4">
        <v>44007.0</v>
      </c>
      <c r="E705" s="4">
        <v>0.5407986111111119</v>
      </c>
      <c r="F705" s="4">
        <v>1.7361111111111112E-4</v>
      </c>
      <c r="G705" s="4">
        <v>0.5409722222222231</v>
      </c>
      <c r="H705" s="4" t="s">
        <v>1944</v>
      </c>
      <c r="I705" s="4"/>
      <c r="J705" s="4"/>
      <c r="K705" s="4" t="s">
        <v>151</v>
      </c>
      <c r="L705" s="4"/>
      <c r="M705" s="4"/>
      <c r="N705" s="4"/>
      <c r="O705" s="4" t="s">
        <v>85</v>
      </c>
      <c r="P705" s="4"/>
      <c r="Q705" s="4"/>
      <c r="R705" s="4"/>
      <c r="S705" s="4"/>
      <c r="T705" s="4"/>
      <c r="U705" s="4">
        <v>0.0</v>
      </c>
      <c r="V705" s="4"/>
      <c r="W705" s="4"/>
      <c r="X705" s="4"/>
      <c r="Y705" s="4"/>
      <c r="Z705" s="4"/>
      <c r="AA705" s="4"/>
    </row>
    <row r="706">
      <c r="A706" s="4" t="s">
        <v>7950</v>
      </c>
      <c r="B706" s="4" t="s">
        <v>16</v>
      </c>
      <c r="C706" s="4" t="s">
        <v>7269</v>
      </c>
      <c r="D706" s="4">
        <v>44007.0</v>
      </c>
      <c r="E706" s="4">
        <v>0.5409722222222231</v>
      </c>
      <c r="F706" s="4">
        <v>3.4722222222222224E-4</v>
      </c>
      <c r="G706" s="4">
        <v>0.5413194444444454</v>
      </c>
      <c r="H706" s="4" t="s">
        <v>2004</v>
      </c>
      <c r="I706" s="4"/>
      <c r="J706" s="4"/>
      <c r="K706" s="4" t="s">
        <v>151</v>
      </c>
      <c r="L706" s="4"/>
      <c r="M706" s="4"/>
      <c r="N706" s="4"/>
      <c r="O706" s="4" t="s">
        <v>7753</v>
      </c>
      <c r="P706" s="4"/>
      <c r="Q706" s="4"/>
      <c r="R706" s="4"/>
      <c r="S706" s="4"/>
      <c r="T706" s="4"/>
      <c r="U706" s="4">
        <v>0.0</v>
      </c>
      <c r="V706" s="4"/>
      <c r="W706" s="4"/>
      <c r="X706" s="4"/>
      <c r="Y706" s="4"/>
      <c r="Z706" s="4"/>
      <c r="AA706" s="4"/>
    </row>
    <row r="707">
      <c r="A707" s="4" t="s">
        <v>7951</v>
      </c>
      <c r="B707" s="4" t="s">
        <v>16</v>
      </c>
      <c r="C707" s="4" t="s">
        <v>7269</v>
      </c>
      <c r="D707" s="4">
        <v>44007.0</v>
      </c>
      <c r="E707" s="4">
        <v>0.5413194444444454</v>
      </c>
      <c r="F707" s="4">
        <v>3.4722222222222224E-4</v>
      </c>
      <c r="G707" s="4">
        <v>0.5416666666666676</v>
      </c>
      <c r="H707" s="4" t="s">
        <v>2004</v>
      </c>
      <c r="I707" s="4"/>
      <c r="J707" s="4"/>
      <c r="K707" s="4" t="s">
        <v>151</v>
      </c>
      <c r="L707" s="4"/>
      <c r="M707" s="4"/>
      <c r="N707" s="4"/>
      <c r="O707" s="4" t="s">
        <v>89</v>
      </c>
      <c r="P707" s="4"/>
      <c r="Q707" s="4"/>
      <c r="R707" s="4"/>
      <c r="S707" s="4"/>
      <c r="T707" s="4"/>
      <c r="U707" s="4"/>
      <c r="V707" s="4"/>
      <c r="W707" s="4"/>
      <c r="X707" s="4"/>
      <c r="Y707" s="4"/>
      <c r="Z707" s="4"/>
      <c r="AA707" s="4"/>
    </row>
    <row r="708">
      <c r="A708" s="4" t="s">
        <v>7952</v>
      </c>
      <c r="B708" s="4" t="s">
        <v>16</v>
      </c>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c r="A709" s="4" t="s">
        <v>7953</v>
      </c>
      <c r="B709" s="4" t="s">
        <v>16</v>
      </c>
      <c r="C709" s="4" t="s">
        <v>7269</v>
      </c>
      <c r="D709" s="4">
        <v>44007.0</v>
      </c>
      <c r="E709" s="4">
        <v>0.5416666666666676</v>
      </c>
      <c r="F709" s="4">
        <v>3.4722222222222224E-4</v>
      </c>
      <c r="G709" s="4">
        <v>0.5420138888888899</v>
      </c>
      <c r="H709" s="4" t="s">
        <v>1944</v>
      </c>
      <c r="I709" s="4"/>
      <c r="J709" s="4"/>
      <c r="K709" s="4" t="s">
        <v>409</v>
      </c>
      <c r="L709" s="4"/>
      <c r="M709" s="4"/>
      <c r="N709" s="4"/>
      <c r="O709" s="4" t="s">
        <v>81</v>
      </c>
      <c r="P709" s="4"/>
      <c r="Q709" s="4"/>
      <c r="R709" s="4"/>
      <c r="S709" s="4"/>
      <c r="T709" s="4"/>
      <c r="U709" s="4">
        <v>0.0</v>
      </c>
      <c r="V709" s="4"/>
      <c r="W709" s="4"/>
      <c r="X709" s="4"/>
      <c r="Y709" s="4"/>
      <c r="Z709" s="4"/>
      <c r="AA709" s="4"/>
    </row>
    <row r="710">
      <c r="A710" s="4" t="s">
        <v>7954</v>
      </c>
      <c r="B710" s="4" t="s">
        <v>16</v>
      </c>
      <c r="C710" s="4" t="s">
        <v>7269</v>
      </c>
      <c r="D710" s="4">
        <v>44007.0</v>
      </c>
      <c r="E710" s="4">
        <v>0.5420138888888899</v>
      </c>
      <c r="F710" s="4">
        <v>0.010416666666666666</v>
      </c>
      <c r="G710" s="4">
        <v>0.5524305555555565</v>
      </c>
      <c r="H710" s="4" t="s">
        <v>803</v>
      </c>
      <c r="I710" s="4" t="s">
        <v>6993</v>
      </c>
      <c r="J710" s="4" t="s">
        <v>15</v>
      </c>
      <c r="K710" s="4" t="s">
        <v>409</v>
      </c>
      <c r="L710" s="4" t="s">
        <v>107</v>
      </c>
      <c r="M710" s="4" t="s">
        <v>7462</v>
      </c>
      <c r="N710" s="4" t="s">
        <v>6749</v>
      </c>
      <c r="O710" s="4" t="s">
        <v>864</v>
      </c>
      <c r="P710" s="4" t="s">
        <v>865</v>
      </c>
      <c r="Q710" s="4" t="s">
        <v>866</v>
      </c>
      <c r="R710" s="4"/>
      <c r="S710" s="4"/>
      <c r="T710" s="4" t="s">
        <v>868</v>
      </c>
      <c r="U710" s="4">
        <v>3.0</v>
      </c>
      <c r="V710" s="4" t="s">
        <v>7955</v>
      </c>
      <c r="W710" s="4" t="s">
        <v>7421</v>
      </c>
      <c r="X710" s="4">
        <v>43970.375</v>
      </c>
      <c r="Y710" s="4" t="s">
        <v>7956</v>
      </c>
      <c r="Z710" s="4" t="s">
        <v>803</v>
      </c>
      <c r="AA710" s="4"/>
    </row>
    <row r="711">
      <c r="A711" s="4" t="s">
        <v>7957</v>
      </c>
      <c r="B711" s="4" t="s">
        <v>16</v>
      </c>
      <c r="C711" s="4" t="s">
        <v>7269</v>
      </c>
      <c r="D711" s="4">
        <v>44007.0</v>
      </c>
      <c r="E711" s="4">
        <v>0.5524305555555565</v>
      </c>
      <c r="F711" s="4">
        <v>1.7361111111111112E-4</v>
      </c>
      <c r="G711" s="4">
        <v>0.5526041666666677</v>
      </c>
      <c r="H711" s="4" t="s">
        <v>1944</v>
      </c>
      <c r="I711" s="4"/>
      <c r="J711" s="4"/>
      <c r="K711" s="4" t="s">
        <v>409</v>
      </c>
      <c r="L711" s="4"/>
      <c r="M711" s="4"/>
      <c r="N711" s="4"/>
      <c r="O711" s="4" t="s">
        <v>85</v>
      </c>
      <c r="P711" s="4"/>
      <c r="Q711" s="4"/>
      <c r="R711" s="4"/>
      <c r="S711" s="4"/>
      <c r="T711" s="4"/>
      <c r="U711" s="4">
        <v>0.0</v>
      </c>
      <c r="V711" s="4"/>
      <c r="W711" s="4"/>
      <c r="X711" s="4"/>
      <c r="Y711" s="4"/>
      <c r="Z711" s="4"/>
      <c r="AA711" s="4"/>
    </row>
    <row r="712">
      <c r="A712" s="4"/>
      <c r="B712" s="4" t="s">
        <v>16</v>
      </c>
      <c r="C712" s="4" t="s">
        <v>7269</v>
      </c>
      <c r="D712" s="4">
        <v>44007.0</v>
      </c>
      <c r="E712" s="4">
        <v>0.5526041666666677</v>
      </c>
      <c r="F712" s="4">
        <v>1.7361111111111112E-4</v>
      </c>
      <c r="G712" s="4">
        <v>0.5527777777777788</v>
      </c>
      <c r="H712" s="4" t="s">
        <v>2004</v>
      </c>
      <c r="I712" s="4"/>
      <c r="J712" s="4"/>
      <c r="K712" s="4"/>
      <c r="L712" s="4"/>
      <c r="M712" s="4"/>
      <c r="N712" s="4"/>
      <c r="O712" s="4" t="s">
        <v>7579</v>
      </c>
      <c r="P712" s="4"/>
      <c r="Q712" s="4"/>
      <c r="R712" s="4"/>
      <c r="S712" s="4"/>
      <c r="T712" s="4"/>
      <c r="U712" s="4"/>
      <c r="V712" s="4"/>
      <c r="W712" s="4"/>
      <c r="X712" s="4"/>
      <c r="Y712" s="4"/>
      <c r="Z712" s="4"/>
      <c r="AA712" s="4"/>
    </row>
    <row r="713">
      <c r="A713" s="4" t="s">
        <v>7958</v>
      </c>
      <c r="B713" s="4" t="s">
        <v>16</v>
      </c>
      <c r="C713" s="4" t="s">
        <v>7269</v>
      </c>
      <c r="D713" s="4">
        <v>44007.0</v>
      </c>
      <c r="E713" s="4">
        <v>0.5527777777777788</v>
      </c>
      <c r="F713" s="4">
        <v>3.4722222222222224E-4</v>
      </c>
      <c r="G713" s="4">
        <v>0.5531250000000011</v>
      </c>
      <c r="H713" s="4" t="s">
        <v>1944</v>
      </c>
      <c r="I713" s="4"/>
      <c r="J713" s="4"/>
      <c r="K713" s="4" t="s">
        <v>409</v>
      </c>
      <c r="L713" s="4"/>
      <c r="M713" s="4"/>
      <c r="N713" s="4"/>
      <c r="O713" s="4" t="s">
        <v>81</v>
      </c>
      <c r="P713" s="4"/>
      <c r="Q713" s="4"/>
      <c r="R713" s="4"/>
      <c r="S713" s="4"/>
      <c r="T713" s="4"/>
      <c r="U713" s="4">
        <v>0.0</v>
      </c>
      <c r="V713" s="4"/>
      <c r="W713" s="4"/>
      <c r="X713" s="4"/>
      <c r="Y713" s="4"/>
      <c r="Z713" s="4"/>
      <c r="AA713" s="4"/>
    </row>
    <row r="714">
      <c r="A714" s="4" t="s">
        <v>7959</v>
      </c>
      <c r="B714" s="4" t="s">
        <v>16</v>
      </c>
      <c r="C714" s="4" t="s">
        <v>7269</v>
      </c>
      <c r="D714" s="4">
        <v>44007.0</v>
      </c>
      <c r="E714" s="4">
        <v>0.5531250000000011</v>
      </c>
      <c r="F714" s="4">
        <v>0.013888888888888888</v>
      </c>
      <c r="G714" s="4">
        <v>0.5670138888888899</v>
      </c>
      <c r="H714" s="4" t="s">
        <v>653</v>
      </c>
      <c r="I714" s="4" t="s">
        <v>4142</v>
      </c>
      <c r="J714" s="4" t="s">
        <v>6870</v>
      </c>
      <c r="K714" s="4" t="s">
        <v>409</v>
      </c>
      <c r="L714" s="4" t="s">
        <v>94</v>
      </c>
      <c r="M714" s="4" t="s">
        <v>7505</v>
      </c>
      <c r="N714" s="4" t="s">
        <v>6702</v>
      </c>
      <c r="O714" s="4" t="s">
        <v>875</v>
      </c>
      <c r="P714" s="4" t="s">
        <v>876</v>
      </c>
      <c r="Q714" s="4"/>
      <c r="R714" s="4"/>
      <c r="S714" s="4"/>
      <c r="T714" s="4" t="s">
        <v>877</v>
      </c>
      <c r="U714" s="4">
        <v>2.0</v>
      </c>
      <c r="V714" s="4" t="s">
        <v>7960</v>
      </c>
      <c r="W714" s="4" t="s">
        <v>6872</v>
      </c>
      <c r="X714" s="4"/>
      <c r="Y714" s="4"/>
      <c r="Z714" s="4"/>
      <c r="AA714" s="4"/>
    </row>
    <row r="715">
      <c r="A715" s="4" t="s">
        <v>7961</v>
      </c>
      <c r="B715" s="4" t="s">
        <v>16</v>
      </c>
      <c r="C715" s="4" t="s">
        <v>7269</v>
      </c>
      <c r="D715" s="4">
        <v>44007.0</v>
      </c>
      <c r="E715" s="4">
        <v>0.5670138888888899</v>
      </c>
      <c r="F715" s="4">
        <v>1.7361111111111112E-4</v>
      </c>
      <c r="G715" s="4">
        <v>0.5671875000000011</v>
      </c>
      <c r="H715" s="4" t="s">
        <v>1944</v>
      </c>
      <c r="I715" s="4"/>
      <c r="J715" s="4"/>
      <c r="K715" s="4" t="s">
        <v>409</v>
      </c>
      <c r="L715" s="4"/>
      <c r="M715" s="4"/>
      <c r="N715" s="4"/>
      <c r="O715" s="4" t="s">
        <v>85</v>
      </c>
      <c r="P715" s="4"/>
      <c r="Q715" s="4"/>
      <c r="R715" s="4"/>
      <c r="S715" s="4"/>
      <c r="T715" s="4"/>
      <c r="U715" s="4">
        <v>0.0</v>
      </c>
      <c r="V715" s="4"/>
      <c r="W715" s="4"/>
      <c r="X715" s="4"/>
      <c r="Y715" s="4"/>
      <c r="Z715" s="4"/>
      <c r="AA715" s="4"/>
    </row>
    <row r="716">
      <c r="A716" s="4" t="s">
        <v>7962</v>
      </c>
      <c r="B716" s="4" t="s">
        <v>16</v>
      </c>
      <c r="C716" s="4" t="s">
        <v>7269</v>
      </c>
      <c r="D716" s="4">
        <v>44007.0</v>
      </c>
      <c r="E716" s="4">
        <v>0.5671875000000011</v>
      </c>
      <c r="F716" s="4">
        <v>3.4722222222222224E-4</v>
      </c>
      <c r="G716" s="4">
        <v>0.5675347222222233</v>
      </c>
      <c r="H716" s="4" t="s">
        <v>1944</v>
      </c>
      <c r="I716" s="4"/>
      <c r="J716" s="4"/>
      <c r="K716" s="4" t="s">
        <v>409</v>
      </c>
      <c r="L716" s="4"/>
      <c r="M716" s="4"/>
      <c r="N716" s="4"/>
      <c r="O716" s="4" t="s">
        <v>89</v>
      </c>
      <c r="P716" s="4"/>
      <c r="Q716" s="4"/>
      <c r="R716" s="4"/>
      <c r="S716" s="4"/>
      <c r="T716" s="4"/>
      <c r="U716" s="4"/>
      <c r="V716" s="4"/>
      <c r="W716" s="4"/>
      <c r="X716" s="4"/>
      <c r="Y716" s="4"/>
      <c r="Z716" s="4"/>
      <c r="AA716" s="4"/>
    </row>
    <row r="717">
      <c r="A717" s="4"/>
      <c r="B717" s="4" t="s">
        <v>16</v>
      </c>
      <c r="C717" s="4" t="s">
        <v>7269</v>
      </c>
      <c r="D717" s="4">
        <v>44007.0</v>
      </c>
      <c r="E717" s="4">
        <v>0.5675347222222233</v>
      </c>
      <c r="F717" s="4">
        <v>3.4722222222222224E-4</v>
      </c>
      <c r="G717" s="4">
        <v>0.5678819444444456</v>
      </c>
      <c r="H717" s="4" t="s">
        <v>1944</v>
      </c>
      <c r="I717" s="4"/>
      <c r="J717" s="4"/>
      <c r="K717" s="4"/>
      <c r="L717" s="4"/>
      <c r="M717" s="4"/>
      <c r="N717" s="4"/>
      <c r="O717" s="4" t="s">
        <v>81</v>
      </c>
      <c r="P717" s="4"/>
      <c r="Q717" s="4"/>
      <c r="R717" s="4"/>
      <c r="S717" s="4"/>
      <c r="T717" s="4"/>
      <c r="U717" s="4"/>
      <c r="V717" s="4"/>
      <c r="W717" s="4"/>
      <c r="X717" s="4"/>
      <c r="Y717" s="4"/>
      <c r="Z717" s="4"/>
      <c r="AA717" s="4"/>
    </row>
    <row r="718">
      <c r="A718" s="4" t="s">
        <v>7963</v>
      </c>
      <c r="B718" s="4" t="s">
        <v>16</v>
      </c>
      <c r="C718" s="4" t="s">
        <v>7269</v>
      </c>
      <c r="D718" s="4">
        <v>44007.0</v>
      </c>
      <c r="E718" s="4">
        <v>0.5678819444444456</v>
      </c>
      <c r="F718" s="4">
        <v>0.0020833333333333333</v>
      </c>
      <c r="G718" s="4">
        <v>0.569965277777779</v>
      </c>
      <c r="H718" s="4" t="s">
        <v>630</v>
      </c>
      <c r="I718" s="4" t="s">
        <v>314</v>
      </c>
      <c r="J718" s="4" t="s">
        <v>15</v>
      </c>
      <c r="K718" s="4" t="s">
        <v>409</v>
      </c>
      <c r="L718" s="4" t="s">
        <v>165</v>
      </c>
      <c r="M718" s="4" t="s">
        <v>7505</v>
      </c>
      <c r="N718" s="4" t="s">
        <v>7475</v>
      </c>
      <c r="O718" s="4" t="s">
        <v>881</v>
      </c>
      <c r="P718" s="4" t="s">
        <v>882</v>
      </c>
      <c r="Q718" s="4"/>
      <c r="R718" s="4"/>
      <c r="S718" s="4"/>
      <c r="T718" s="4"/>
      <c r="U718" s="4">
        <v>1.0</v>
      </c>
      <c r="V718" s="4" t="s">
        <v>7964</v>
      </c>
      <c r="W718" s="4" t="s">
        <v>7197</v>
      </c>
      <c r="X718" s="4" t="s">
        <v>7965</v>
      </c>
      <c r="Y718" s="4" t="s">
        <v>7199</v>
      </c>
      <c r="Z718" s="4" t="s">
        <v>630</v>
      </c>
      <c r="AA718" s="4"/>
    </row>
    <row r="719">
      <c r="A719" s="4" t="s">
        <v>7966</v>
      </c>
      <c r="B719" s="4" t="s">
        <v>16</v>
      </c>
      <c r="C719" s="4" t="s">
        <v>7269</v>
      </c>
      <c r="D719" s="4">
        <v>44007.0</v>
      </c>
      <c r="E719" s="4">
        <v>0.569965277777779</v>
      </c>
      <c r="F719" s="4">
        <v>1.7361111111111112E-4</v>
      </c>
      <c r="G719" s="4">
        <v>0.5701388888888901</v>
      </c>
      <c r="H719" s="4" t="s">
        <v>1944</v>
      </c>
      <c r="I719" s="4"/>
      <c r="J719" s="4"/>
      <c r="K719" s="4" t="s">
        <v>409</v>
      </c>
      <c r="L719" s="4"/>
      <c r="M719" s="4"/>
      <c r="N719" s="4"/>
      <c r="O719" s="4" t="s">
        <v>85</v>
      </c>
      <c r="P719" s="4"/>
      <c r="Q719" s="4"/>
      <c r="R719" s="4"/>
      <c r="S719" s="4"/>
      <c r="T719" s="4"/>
      <c r="U719" s="4">
        <v>0.0</v>
      </c>
      <c r="V719" s="4"/>
      <c r="W719" s="4"/>
      <c r="X719" s="4"/>
      <c r="Y719" s="4"/>
      <c r="Z719" s="4"/>
      <c r="AA719" s="4"/>
    </row>
    <row r="720">
      <c r="A720" s="4" t="s">
        <v>7967</v>
      </c>
      <c r="B720" s="4" t="s">
        <v>16</v>
      </c>
      <c r="C720" s="4" t="s">
        <v>7269</v>
      </c>
      <c r="D720" s="4">
        <v>44007.0</v>
      </c>
      <c r="E720" s="4">
        <v>0.5701388888888901</v>
      </c>
      <c r="F720" s="4">
        <v>3.4722222222222224E-4</v>
      </c>
      <c r="G720" s="4">
        <v>0.5704861111111124</v>
      </c>
      <c r="H720" s="4" t="s">
        <v>1944</v>
      </c>
      <c r="I720" s="4"/>
      <c r="J720" s="4"/>
      <c r="K720" s="4" t="s">
        <v>409</v>
      </c>
      <c r="L720" s="4"/>
      <c r="M720" s="4"/>
      <c r="N720" s="4"/>
      <c r="O720" s="4" t="s">
        <v>81</v>
      </c>
      <c r="P720" s="4"/>
      <c r="Q720" s="4"/>
      <c r="R720" s="4"/>
      <c r="S720" s="4"/>
      <c r="T720" s="4"/>
      <c r="U720" s="4">
        <v>0.0</v>
      </c>
      <c r="V720" s="4"/>
      <c r="W720" s="4"/>
      <c r="X720" s="4"/>
      <c r="Y720" s="4"/>
      <c r="Z720" s="4"/>
      <c r="AA720" s="4"/>
    </row>
    <row r="721">
      <c r="A721" s="4" t="s">
        <v>7968</v>
      </c>
      <c r="B721" s="4" t="s">
        <v>16</v>
      </c>
      <c r="C721" s="4" t="s">
        <v>7269</v>
      </c>
      <c r="D721" s="4">
        <v>44007.0</v>
      </c>
      <c r="E721" s="4">
        <v>0.5704861111111124</v>
      </c>
      <c r="F721" s="4">
        <v>0.009722222222222222</v>
      </c>
      <c r="G721" s="4">
        <v>0.5802083333333345</v>
      </c>
      <c r="H721" s="4" t="s">
        <v>1362</v>
      </c>
      <c r="I721" s="4" t="s">
        <v>6993</v>
      </c>
      <c r="J721" s="4" t="s">
        <v>6938</v>
      </c>
      <c r="K721" s="4" t="s">
        <v>409</v>
      </c>
      <c r="L721" s="4" t="s">
        <v>94</v>
      </c>
      <c r="M721" s="4"/>
      <c r="N721" s="4" t="s">
        <v>6720</v>
      </c>
      <c r="O721" s="4" t="s">
        <v>886</v>
      </c>
      <c r="P721" s="4" t="s">
        <v>887</v>
      </c>
      <c r="Q721" s="4"/>
      <c r="R721" s="4"/>
      <c r="S721" s="4"/>
      <c r="T721" s="4" t="s">
        <v>888</v>
      </c>
      <c r="U721" s="4">
        <v>2.0</v>
      </c>
      <c r="V721" s="4" t="s">
        <v>7969</v>
      </c>
      <c r="W721" s="4" t="s">
        <v>7284</v>
      </c>
      <c r="X721" s="4" t="s">
        <v>7970</v>
      </c>
      <c r="Y721" s="4" t="s">
        <v>7971</v>
      </c>
      <c r="Z721" s="4" t="s">
        <v>1362</v>
      </c>
      <c r="AA721" s="4"/>
    </row>
    <row r="722">
      <c r="A722" s="4" t="s">
        <v>7972</v>
      </c>
      <c r="B722" s="4" t="s">
        <v>16</v>
      </c>
      <c r="C722" s="4" t="s">
        <v>7269</v>
      </c>
      <c r="D722" s="4">
        <v>44007.0</v>
      </c>
      <c r="E722" s="4">
        <v>0.5802083333333345</v>
      </c>
      <c r="F722" s="4">
        <v>1.7361111111111112E-4</v>
      </c>
      <c r="G722" s="4">
        <v>0.5803819444444457</v>
      </c>
      <c r="H722" s="4" t="s">
        <v>1944</v>
      </c>
      <c r="I722" s="4"/>
      <c r="J722" s="4"/>
      <c r="K722" s="4" t="s">
        <v>409</v>
      </c>
      <c r="L722" s="4"/>
      <c r="M722" s="4"/>
      <c r="N722" s="4"/>
      <c r="O722" s="4" t="s">
        <v>85</v>
      </c>
      <c r="P722" s="4"/>
      <c r="Q722" s="4"/>
      <c r="R722" s="4"/>
      <c r="S722" s="4"/>
      <c r="T722" s="4"/>
      <c r="U722" s="4">
        <v>0.0</v>
      </c>
      <c r="V722" s="4"/>
      <c r="W722" s="4"/>
      <c r="X722" s="4"/>
      <c r="Y722" s="4"/>
      <c r="Z722" s="4"/>
      <c r="AA722" s="4"/>
    </row>
    <row r="723">
      <c r="A723" s="4" t="s">
        <v>7962</v>
      </c>
      <c r="B723" s="4" t="s">
        <v>16</v>
      </c>
      <c r="C723" s="4" t="s">
        <v>7269</v>
      </c>
      <c r="D723" s="4">
        <v>44007.0</v>
      </c>
      <c r="E723" s="4">
        <v>0.5803819444444457</v>
      </c>
      <c r="F723" s="4">
        <v>3.4722222222222224E-4</v>
      </c>
      <c r="G723" s="4">
        <v>0.580729166666668</v>
      </c>
      <c r="H723" s="4" t="s">
        <v>1944</v>
      </c>
      <c r="I723" s="4"/>
      <c r="J723" s="4"/>
      <c r="K723" s="4" t="s">
        <v>409</v>
      </c>
      <c r="L723" s="4"/>
      <c r="M723" s="4"/>
      <c r="N723" s="4"/>
      <c r="O723" s="4" t="s">
        <v>89</v>
      </c>
      <c r="P723" s="4"/>
      <c r="Q723" s="4"/>
      <c r="R723" s="4"/>
      <c r="S723" s="4"/>
      <c r="T723" s="4"/>
      <c r="U723" s="4"/>
      <c r="V723" s="4"/>
      <c r="W723" s="4"/>
      <c r="X723" s="4"/>
      <c r="Y723" s="4"/>
      <c r="Z723" s="4"/>
      <c r="AA723" s="4"/>
    </row>
    <row r="724">
      <c r="A724" s="4" t="s">
        <v>7973</v>
      </c>
      <c r="B724" s="4" t="s">
        <v>16</v>
      </c>
      <c r="C724" s="4" t="s">
        <v>7269</v>
      </c>
      <c r="D724" s="4">
        <v>44007.0</v>
      </c>
      <c r="E724" s="4">
        <v>0.580729166666668</v>
      </c>
      <c r="F724" s="4">
        <v>3.4722222222222224E-4</v>
      </c>
      <c r="G724" s="4">
        <v>0.5810763888888902</v>
      </c>
      <c r="H724" s="4" t="s">
        <v>1944</v>
      </c>
      <c r="I724" s="4"/>
      <c r="J724" s="4"/>
      <c r="K724" s="4" t="s">
        <v>409</v>
      </c>
      <c r="L724" s="4"/>
      <c r="M724" s="4"/>
      <c r="N724" s="4"/>
      <c r="O724" s="4" t="s">
        <v>81</v>
      </c>
      <c r="P724" s="4"/>
      <c r="Q724" s="4"/>
      <c r="R724" s="4"/>
      <c r="S724" s="4"/>
      <c r="T724" s="4"/>
      <c r="U724" s="4">
        <v>0.0</v>
      </c>
      <c r="V724" s="4"/>
      <c r="W724" s="4"/>
      <c r="X724" s="4"/>
      <c r="Y724" s="4"/>
      <c r="Z724" s="4"/>
      <c r="AA724" s="4"/>
    </row>
    <row r="725">
      <c r="A725" s="4" t="s">
        <v>7974</v>
      </c>
      <c r="B725" s="4" t="s">
        <v>16</v>
      </c>
      <c r="C725" s="4" t="s">
        <v>7269</v>
      </c>
      <c r="D725" s="4">
        <v>44007.0</v>
      </c>
      <c r="E725" s="4">
        <v>0.5810763888888902</v>
      </c>
      <c r="F725" s="4">
        <v>0.0020833333333333333</v>
      </c>
      <c r="G725" s="4">
        <v>0.5831597222222236</v>
      </c>
      <c r="H725" s="4" t="s">
        <v>630</v>
      </c>
      <c r="I725" s="4" t="s">
        <v>314</v>
      </c>
      <c r="J725" s="4" t="s">
        <v>15</v>
      </c>
      <c r="K725" s="4" t="s">
        <v>409</v>
      </c>
      <c r="L725" s="4" t="s">
        <v>165</v>
      </c>
      <c r="M725" s="4" t="s">
        <v>7610</v>
      </c>
      <c r="N725" s="4" t="s">
        <v>6720</v>
      </c>
      <c r="O725" s="4" t="s">
        <v>893</v>
      </c>
      <c r="P725" s="4" t="s">
        <v>894</v>
      </c>
      <c r="Q725" s="4"/>
      <c r="R725" s="4"/>
      <c r="S725" s="4"/>
      <c r="T725" s="4"/>
      <c r="U725" s="4">
        <v>1.0</v>
      </c>
      <c r="V725" s="4" t="s">
        <v>7975</v>
      </c>
      <c r="W725" s="4" t="s">
        <v>7197</v>
      </c>
      <c r="X725" s="4" t="s">
        <v>7976</v>
      </c>
      <c r="Y725" s="4" t="s">
        <v>7199</v>
      </c>
      <c r="Z725" s="4" t="s">
        <v>630</v>
      </c>
      <c r="AA725" s="4"/>
    </row>
    <row r="726">
      <c r="A726" s="4" t="s">
        <v>7977</v>
      </c>
      <c r="B726" s="4" t="s">
        <v>16</v>
      </c>
      <c r="C726" s="4" t="s">
        <v>7269</v>
      </c>
      <c r="D726" s="4">
        <v>44007.0</v>
      </c>
      <c r="E726" s="4">
        <v>0.5831597222222236</v>
      </c>
      <c r="F726" s="4">
        <v>1.7361111111111112E-4</v>
      </c>
      <c r="G726" s="4">
        <v>0.5833333333333347</v>
      </c>
      <c r="H726" s="4" t="s">
        <v>1944</v>
      </c>
      <c r="I726" s="4"/>
      <c r="J726" s="4"/>
      <c r="K726" s="4" t="s">
        <v>409</v>
      </c>
      <c r="L726" s="4"/>
      <c r="M726" s="4"/>
      <c r="N726" s="4"/>
      <c r="O726" s="4" t="s">
        <v>85</v>
      </c>
      <c r="P726" s="4"/>
      <c r="Q726" s="4"/>
      <c r="R726" s="4"/>
      <c r="S726" s="4"/>
      <c r="T726" s="4"/>
      <c r="U726" s="4">
        <v>0.0</v>
      </c>
      <c r="V726" s="4"/>
      <c r="W726" s="4"/>
      <c r="X726" s="4"/>
      <c r="Y726" s="4"/>
      <c r="Z726" s="4"/>
      <c r="AA726" s="4"/>
    </row>
    <row r="727">
      <c r="A727" s="4" t="s">
        <v>7978</v>
      </c>
      <c r="B727" s="4" t="s">
        <v>16</v>
      </c>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c r="A728" s="4" t="s">
        <v>7979</v>
      </c>
      <c r="B728" s="4" t="s">
        <v>16</v>
      </c>
      <c r="C728" s="4" t="s">
        <v>7269</v>
      </c>
      <c r="D728" s="4">
        <v>44007.0</v>
      </c>
      <c r="E728" s="4">
        <v>0.5833333333333347</v>
      </c>
      <c r="F728" s="4">
        <v>3.4722222222222224E-4</v>
      </c>
      <c r="G728" s="4">
        <v>0.583680555555557</v>
      </c>
      <c r="H728" s="4" t="s">
        <v>2004</v>
      </c>
      <c r="I728" s="4"/>
      <c r="J728" s="4"/>
      <c r="K728" s="4" t="s">
        <v>245</v>
      </c>
      <c r="L728" s="4"/>
      <c r="M728" s="4"/>
      <c r="N728" s="4"/>
      <c r="O728" s="4" t="s">
        <v>7980</v>
      </c>
      <c r="P728" s="4"/>
      <c r="Q728" s="4"/>
      <c r="R728" s="4"/>
      <c r="S728" s="4"/>
      <c r="T728" s="4"/>
      <c r="U728" s="4"/>
      <c r="V728" s="4"/>
      <c r="W728" s="4"/>
      <c r="X728" s="4"/>
      <c r="Y728" s="4"/>
      <c r="Z728" s="4"/>
      <c r="AA728" s="4"/>
    </row>
    <row r="729">
      <c r="A729" s="4" t="s">
        <v>7981</v>
      </c>
      <c r="B729" s="4" t="s">
        <v>16</v>
      </c>
      <c r="C729" s="4" t="s">
        <v>7269</v>
      </c>
      <c r="D729" s="4">
        <v>44007.0</v>
      </c>
      <c r="E729" s="4">
        <v>0.583680555555557</v>
      </c>
      <c r="F729" s="4">
        <v>3.4722222222222224E-4</v>
      </c>
      <c r="G729" s="4">
        <v>0.5840277777777793</v>
      </c>
      <c r="H729" s="4" t="s">
        <v>1944</v>
      </c>
      <c r="I729" s="4"/>
      <c r="J729" s="4"/>
      <c r="K729" s="4" t="s">
        <v>245</v>
      </c>
      <c r="L729" s="4"/>
      <c r="M729" s="4"/>
      <c r="N729" s="4"/>
      <c r="O729" s="4" t="s">
        <v>81</v>
      </c>
      <c r="P729" s="4"/>
      <c r="Q729" s="4"/>
      <c r="R729" s="4"/>
      <c r="S729" s="4"/>
      <c r="T729" s="4"/>
      <c r="U729" s="4">
        <v>0.0</v>
      </c>
      <c r="V729" s="4"/>
      <c r="W729" s="4"/>
      <c r="X729" s="4"/>
      <c r="Y729" s="4"/>
      <c r="Z729" s="4"/>
      <c r="AA729" s="4"/>
    </row>
    <row r="730">
      <c r="A730" s="4" t="s">
        <v>7982</v>
      </c>
      <c r="B730" s="4" t="s">
        <v>16</v>
      </c>
      <c r="C730" s="4" t="s">
        <v>7269</v>
      </c>
      <c r="D730" s="4">
        <v>44007.0</v>
      </c>
      <c r="E730" s="4">
        <v>0.5840277777777793</v>
      </c>
      <c r="F730" s="4">
        <v>0.010416666666666666</v>
      </c>
      <c r="G730" s="4">
        <v>0.5944444444444459</v>
      </c>
      <c r="H730" s="4" t="s">
        <v>946</v>
      </c>
      <c r="I730" s="4" t="s">
        <v>6993</v>
      </c>
      <c r="J730" s="4" t="s">
        <v>15</v>
      </c>
      <c r="K730" s="4" t="s">
        <v>245</v>
      </c>
      <c r="L730" s="4" t="s">
        <v>74</v>
      </c>
      <c r="M730" s="4" t="s">
        <v>7505</v>
      </c>
      <c r="N730" s="4" t="s">
        <v>6749</v>
      </c>
      <c r="O730" s="4" t="s">
        <v>900</v>
      </c>
      <c r="P730" s="4" t="s">
        <v>901</v>
      </c>
      <c r="Q730" s="4" t="s">
        <v>902</v>
      </c>
      <c r="R730" s="4" t="s">
        <v>903</v>
      </c>
      <c r="S730" s="4"/>
      <c r="T730" s="4" t="s">
        <v>904</v>
      </c>
      <c r="U730" s="4">
        <v>4.0</v>
      </c>
      <c r="V730" s="4" t="s">
        <v>7983</v>
      </c>
      <c r="W730" s="4" t="s">
        <v>6962</v>
      </c>
      <c r="X730" s="4"/>
      <c r="Y730" s="4"/>
      <c r="Z730" s="4" t="s">
        <v>946</v>
      </c>
      <c r="AA730" s="4"/>
    </row>
    <row r="731">
      <c r="A731" s="4" t="s">
        <v>7984</v>
      </c>
      <c r="B731" s="4" t="s">
        <v>16</v>
      </c>
      <c r="C731" s="4" t="s">
        <v>7269</v>
      </c>
      <c r="D731" s="4">
        <v>44007.0</v>
      </c>
      <c r="E731" s="4">
        <v>0.5944444444444459</v>
      </c>
      <c r="F731" s="4">
        <v>1.7361111111111112E-4</v>
      </c>
      <c r="G731" s="4">
        <v>0.594618055555557</v>
      </c>
      <c r="H731" s="4" t="s">
        <v>1944</v>
      </c>
      <c r="I731" s="4"/>
      <c r="J731" s="4"/>
      <c r="K731" s="4" t="s">
        <v>245</v>
      </c>
      <c r="L731" s="4"/>
      <c r="M731" s="4"/>
      <c r="N731" s="4"/>
      <c r="O731" s="4" t="s">
        <v>85</v>
      </c>
      <c r="P731" s="4"/>
      <c r="Q731" s="4"/>
      <c r="R731" s="4"/>
      <c r="S731" s="4"/>
      <c r="T731" s="4"/>
      <c r="U731" s="4">
        <v>0.0</v>
      </c>
      <c r="V731" s="4"/>
      <c r="W731" s="4"/>
      <c r="X731" s="4"/>
      <c r="Y731" s="4"/>
      <c r="Z731" s="4"/>
      <c r="AA731" s="4"/>
    </row>
    <row r="732">
      <c r="A732" s="4" t="s">
        <v>7985</v>
      </c>
      <c r="B732" s="4" t="s">
        <v>16</v>
      </c>
      <c r="C732" s="4" t="s">
        <v>7269</v>
      </c>
      <c r="D732" s="4">
        <v>44007.0</v>
      </c>
      <c r="E732" s="4">
        <v>0.594618055555557</v>
      </c>
      <c r="F732" s="4">
        <v>3.4722222222222224E-4</v>
      </c>
      <c r="G732" s="4">
        <v>0.5949652777777793</v>
      </c>
      <c r="H732" s="4" t="s">
        <v>1944</v>
      </c>
      <c r="I732" s="4"/>
      <c r="J732" s="4"/>
      <c r="K732" s="4" t="s">
        <v>245</v>
      </c>
      <c r="L732" s="4"/>
      <c r="M732" s="4"/>
      <c r="N732" s="4"/>
      <c r="O732" s="4" t="s">
        <v>81</v>
      </c>
      <c r="P732" s="4"/>
      <c r="Q732" s="4"/>
      <c r="R732" s="4"/>
      <c r="S732" s="4"/>
      <c r="T732" s="4"/>
      <c r="U732" s="4">
        <v>0.0</v>
      </c>
      <c r="V732" s="4"/>
      <c r="W732" s="4"/>
      <c r="X732" s="4"/>
      <c r="Y732" s="4"/>
      <c r="Z732" s="4"/>
      <c r="AA732" s="4"/>
    </row>
    <row r="733">
      <c r="A733" s="4" t="s">
        <v>7986</v>
      </c>
      <c r="B733" s="4" t="s">
        <v>16</v>
      </c>
      <c r="C733" s="4" t="s">
        <v>7269</v>
      </c>
      <c r="D733" s="4">
        <v>44007.0</v>
      </c>
      <c r="E733" s="4">
        <v>0.5949652777777793</v>
      </c>
      <c r="F733" s="4">
        <v>0.013888888888888888</v>
      </c>
      <c r="G733" s="4">
        <v>0.6088541666666681</v>
      </c>
      <c r="H733" s="4" t="s">
        <v>1125</v>
      </c>
      <c r="I733" s="4" t="s">
        <v>6947</v>
      </c>
      <c r="J733" s="4" t="s">
        <v>6870</v>
      </c>
      <c r="K733" s="4" t="s">
        <v>245</v>
      </c>
      <c r="L733" s="4" t="s">
        <v>107</v>
      </c>
      <c r="M733" s="4" t="s">
        <v>7505</v>
      </c>
      <c r="N733" s="4" t="s">
        <v>6720</v>
      </c>
      <c r="O733" s="4" t="s">
        <v>907</v>
      </c>
      <c r="P733" s="4" t="s">
        <v>908</v>
      </c>
      <c r="Q733" s="4" t="s">
        <v>909</v>
      </c>
      <c r="R733" s="4"/>
      <c r="S733" s="4"/>
      <c r="T733" s="4" t="s">
        <v>910</v>
      </c>
      <c r="U733" s="4">
        <v>3.0</v>
      </c>
      <c r="V733" s="4" t="s">
        <v>7987</v>
      </c>
      <c r="W733" s="4" t="s">
        <v>6920</v>
      </c>
      <c r="X733" s="4" t="s">
        <v>7988</v>
      </c>
      <c r="Y733" s="4" t="s">
        <v>7989</v>
      </c>
      <c r="Z733" s="4" t="s">
        <v>1125</v>
      </c>
      <c r="AA733" s="4" t="s">
        <v>1253</v>
      </c>
    </row>
    <row r="734">
      <c r="A734" s="4" t="s">
        <v>7990</v>
      </c>
      <c r="B734" s="4" t="s">
        <v>16</v>
      </c>
      <c r="C734" s="4" t="s">
        <v>7269</v>
      </c>
      <c r="D734" s="4">
        <v>44007.0</v>
      </c>
      <c r="E734" s="4">
        <v>0.6088541666666681</v>
      </c>
      <c r="F734" s="4">
        <v>1.7361111111111112E-4</v>
      </c>
      <c r="G734" s="4">
        <v>0.6090277777777793</v>
      </c>
      <c r="H734" s="4" t="s">
        <v>1944</v>
      </c>
      <c r="I734" s="4"/>
      <c r="J734" s="4"/>
      <c r="K734" s="4" t="s">
        <v>245</v>
      </c>
      <c r="L734" s="4"/>
      <c r="M734" s="4"/>
      <c r="N734" s="4"/>
      <c r="O734" s="4" t="s">
        <v>85</v>
      </c>
      <c r="P734" s="4"/>
      <c r="Q734" s="4"/>
      <c r="R734" s="4"/>
      <c r="S734" s="4"/>
      <c r="T734" s="4"/>
      <c r="U734" s="4">
        <v>0.0</v>
      </c>
      <c r="V734" s="4"/>
      <c r="W734" s="4"/>
      <c r="X734" s="4"/>
      <c r="Y734" s="4"/>
      <c r="Z734" s="4"/>
      <c r="AA734" s="4"/>
    </row>
    <row r="735">
      <c r="A735" s="4" t="s">
        <v>7991</v>
      </c>
      <c r="B735" s="4" t="s">
        <v>16</v>
      </c>
      <c r="C735" s="4" t="s">
        <v>7269</v>
      </c>
      <c r="D735" s="4">
        <v>44007.0</v>
      </c>
      <c r="E735" s="4">
        <v>0.6090277777777793</v>
      </c>
      <c r="F735" s="4">
        <v>3.4722222222222224E-4</v>
      </c>
      <c r="G735" s="4">
        <v>0.6093750000000016</v>
      </c>
      <c r="H735" s="4"/>
      <c r="I735" s="4"/>
      <c r="J735" s="4"/>
      <c r="K735" s="4" t="s">
        <v>245</v>
      </c>
      <c r="L735" s="4"/>
      <c r="M735" s="4"/>
      <c r="N735" s="4"/>
      <c r="O735" s="4" t="s">
        <v>89</v>
      </c>
      <c r="P735" s="4"/>
      <c r="Q735" s="4"/>
      <c r="R735" s="4"/>
      <c r="S735" s="4"/>
      <c r="T735" s="4"/>
      <c r="U735" s="4"/>
      <c r="V735" s="4"/>
      <c r="W735" s="4"/>
      <c r="X735" s="4"/>
      <c r="Y735" s="4"/>
      <c r="Z735" s="4"/>
      <c r="AA735" s="4"/>
    </row>
    <row r="736">
      <c r="A736" s="4" t="s">
        <v>7992</v>
      </c>
      <c r="B736" s="4" t="s">
        <v>16</v>
      </c>
      <c r="C736" s="4" t="s">
        <v>7269</v>
      </c>
      <c r="D736" s="4">
        <v>44007.0</v>
      </c>
      <c r="E736" s="4">
        <v>0.6093750000000016</v>
      </c>
      <c r="F736" s="4">
        <v>3.4722222222222224E-4</v>
      </c>
      <c r="G736" s="4">
        <v>0.6097222222222238</v>
      </c>
      <c r="H736" s="4" t="s">
        <v>1944</v>
      </c>
      <c r="I736" s="4"/>
      <c r="J736" s="4"/>
      <c r="K736" s="4" t="s">
        <v>245</v>
      </c>
      <c r="L736" s="4"/>
      <c r="M736" s="4"/>
      <c r="N736" s="4"/>
      <c r="O736" s="4" t="s">
        <v>81</v>
      </c>
      <c r="P736" s="4"/>
      <c r="Q736" s="4"/>
      <c r="R736" s="4"/>
      <c r="S736" s="4"/>
      <c r="T736" s="4"/>
      <c r="U736" s="4">
        <v>0.0</v>
      </c>
      <c r="V736" s="4"/>
      <c r="W736" s="4"/>
      <c r="X736" s="4"/>
      <c r="Y736" s="4"/>
      <c r="Z736" s="4"/>
      <c r="AA736" s="4"/>
    </row>
    <row r="737">
      <c r="A737" s="4" t="s">
        <v>7993</v>
      </c>
      <c r="B737" s="4" t="s">
        <v>16</v>
      </c>
      <c r="C737" s="4" t="s">
        <v>7269</v>
      </c>
      <c r="D737" s="4">
        <v>44007.0</v>
      </c>
      <c r="E737" s="4">
        <v>0.6097222222222238</v>
      </c>
      <c r="F737" s="4">
        <v>0.006944444444444444</v>
      </c>
      <c r="G737" s="4">
        <v>0.6166666666666683</v>
      </c>
      <c r="H737" s="4" t="s">
        <v>1185</v>
      </c>
      <c r="I737" s="4" t="s">
        <v>314</v>
      </c>
      <c r="J737" s="4" t="s">
        <v>6948</v>
      </c>
      <c r="K737" s="4" t="s">
        <v>245</v>
      </c>
      <c r="L737" s="4" t="s">
        <v>165</v>
      </c>
      <c r="M737" s="4" t="s">
        <v>7505</v>
      </c>
      <c r="N737" s="4" t="s">
        <v>6720</v>
      </c>
      <c r="O737" s="4" t="s">
        <v>6494</v>
      </c>
      <c r="P737" s="4" t="s">
        <v>916</v>
      </c>
      <c r="Q737" s="4"/>
      <c r="R737" s="4"/>
      <c r="S737" s="4"/>
      <c r="T737" s="4"/>
      <c r="U737" s="4">
        <v>1.0</v>
      </c>
      <c r="V737" s="4" t="s">
        <v>7994</v>
      </c>
      <c r="W737" s="4" t="s">
        <v>7995</v>
      </c>
      <c r="X737" s="4" t="s">
        <v>4345</v>
      </c>
      <c r="Y737" s="4"/>
      <c r="Z737" s="4"/>
      <c r="AA737" s="4"/>
    </row>
    <row r="738">
      <c r="A738" s="4" t="s">
        <v>7996</v>
      </c>
      <c r="B738" s="4" t="s">
        <v>16</v>
      </c>
      <c r="C738" s="4" t="s">
        <v>7269</v>
      </c>
      <c r="D738" s="4">
        <v>44007.0</v>
      </c>
      <c r="E738" s="4">
        <v>0.6166666666666683</v>
      </c>
      <c r="F738" s="4">
        <v>1.7361111111111112E-4</v>
      </c>
      <c r="G738" s="4">
        <v>0.6168402777777794</v>
      </c>
      <c r="H738" s="4" t="s">
        <v>1944</v>
      </c>
      <c r="I738" s="4"/>
      <c r="J738" s="4"/>
      <c r="K738" s="4" t="s">
        <v>245</v>
      </c>
      <c r="L738" s="4"/>
      <c r="M738" s="4"/>
      <c r="N738" s="4"/>
      <c r="O738" s="4" t="s">
        <v>85</v>
      </c>
      <c r="P738" s="4"/>
      <c r="Q738" s="4"/>
      <c r="R738" s="4"/>
      <c r="S738" s="4"/>
      <c r="T738" s="4"/>
      <c r="U738" s="4">
        <v>0.0</v>
      </c>
      <c r="V738" s="4"/>
      <c r="W738" s="4"/>
      <c r="X738" s="4"/>
      <c r="Y738" s="4"/>
      <c r="Z738" s="4"/>
      <c r="AA738" s="4"/>
    </row>
    <row r="739">
      <c r="A739" s="4" t="s">
        <v>7997</v>
      </c>
      <c r="B739" s="4" t="s">
        <v>16</v>
      </c>
      <c r="C739" s="4" t="s">
        <v>7269</v>
      </c>
      <c r="D739" s="4">
        <v>44007.0</v>
      </c>
      <c r="E739" s="4">
        <v>0.6168402777777794</v>
      </c>
      <c r="F739" s="4">
        <v>3.4722222222222224E-4</v>
      </c>
      <c r="G739" s="4">
        <v>0.6171875000000017</v>
      </c>
      <c r="H739" s="4"/>
      <c r="I739" s="4"/>
      <c r="J739" s="4"/>
      <c r="K739" s="4" t="s">
        <v>245</v>
      </c>
      <c r="L739" s="4"/>
      <c r="M739" s="4"/>
      <c r="N739" s="4"/>
      <c r="O739" s="4" t="s">
        <v>89</v>
      </c>
      <c r="P739" s="4"/>
      <c r="Q739" s="4"/>
      <c r="R739" s="4"/>
      <c r="S739" s="4"/>
      <c r="T739" s="4"/>
      <c r="U739" s="4"/>
      <c r="V739" s="4"/>
      <c r="W739" s="4"/>
      <c r="X739" s="4"/>
      <c r="Y739" s="4"/>
      <c r="Z739" s="4"/>
      <c r="AA739" s="4"/>
    </row>
    <row r="740">
      <c r="A740" s="4" t="s">
        <v>7998</v>
      </c>
      <c r="B740" s="4" t="s">
        <v>16</v>
      </c>
      <c r="C740" s="4" t="s">
        <v>7269</v>
      </c>
      <c r="D740" s="4">
        <v>44007.0</v>
      </c>
      <c r="E740" s="4">
        <v>0.6171875000000017</v>
      </c>
      <c r="F740" s="4">
        <v>3.4722222222222224E-4</v>
      </c>
      <c r="G740" s="4">
        <v>0.6175347222222239</v>
      </c>
      <c r="H740" s="4" t="s">
        <v>1944</v>
      </c>
      <c r="I740" s="4"/>
      <c r="J740" s="4"/>
      <c r="K740" s="4" t="s">
        <v>245</v>
      </c>
      <c r="L740" s="4"/>
      <c r="M740" s="4"/>
      <c r="N740" s="4"/>
      <c r="O740" s="4" t="s">
        <v>81</v>
      </c>
      <c r="P740" s="4"/>
      <c r="Q740" s="4"/>
      <c r="R740" s="4"/>
      <c r="S740" s="4"/>
      <c r="T740" s="4"/>
      <c r="U740" s="4">
        <v>0.0</v>
      </c>
      <c r="V740" s="4"/>
      <c r="W740" s="4"/>
      <c r="X740" s="4"/>
      <c r="Y740" s="4"/>
      <c r="Z740" s="4"/>
      <c r="AA740" s="4"/>
    </row>
    <row r="741">
      <c r="A741" s="4" t="s">
        <v>7999</v>
      </c>
      <c r="B741" s="4" t="s">
        <v>16</v>
      </c>
      <c r="C741" s="4" t="s">
        <v>7269</v>
      </c>
      <c r="D741" s="4">
        <v>44007.0</v>
      </c>
      <c r="E741" s="4">
        <v>0.6175347222222239</v>
      </c>
      <c r="F741" s="4">
        <v>0.006944444444444444</v>
      </c>
      <c r="G741" s="4">
        <v>0.6244791666666684</v>
      </c>
      <c r="H741" s="4" t="s">
        <v>873</v>
      </c>
      <c r="I741" s="4" t="s">
        <v>314</v>
      </c>
      <c r="J741" s="4" t="s">
        <v>6948</v>
      </c>
      <c r="K741" s="4" t="s">
        <v>245</v>
      </c>
      <c r="L741" s="4" t="s">
        <v>165</v>
      </c>
      <c r="M741" s="4" t="s">
        <v>7505</v>
      </c>
      <c r="N741" s="4" t="s">
        <v>6858</v>
      </c>
      <c r="O741" s="4" t="s">
        <v>921</v>
      </c>
      <c r="P741" s="4" t="s">
        <v>922</v>
      </c>
      <c r="Q741" s="4"/>
      <c r="R741" s="4"/>
      <c r="S741" s="4"/>
      <c r="T741" s="4"/>
      <c r="U741" s="4">
        <v>1.0</v>
      </c>
      <c r="V741" s="4" t="s">
        <v>8000</v>
      </c>
      <c r="W741" s="4" t="s">
        <v>8001</v>
      </c>
      <c r="X741" s="4" t="s">
        <v>8002</v>
      </c>
      <c r="Y741" s="4" t="s">
        <v>8003</v>
      </c>
      <c r="Z741" s="4" t="s">
        <v>873</v>
      </c>
      <c r="AA741" s="4"/>
    </row>
    <row r="742">
      <c r="A742" s="4" t="s">
        <v>8004</v>
      </c>
      <c r="B742" s="4" t="s">
        <v>16</v>
      </c>
      <c r="C742" s="4" t="s">
        <v>7269</v>
      </c>
      <c r="D742" s="4">
        <v>44007.0</v>
      </c>
      <c r="E742" s="4">
        <v>0.6244791666666684</v>
      </c>
      <c r="F742" s="4">
        <v>1.7361111111111112E-4</v>
      </c>
      <c r="G742" s="4">
        <v>0.6246527777777795</v>
      </c>
      <c r="H742" s="4" t="s">
        <v>1944</v>
      </c>
      <c r="I742" s="4"/>
      <c r="J742" s="4"/>
      <c r="K742" s="4" t="s">
        <v>245</v>
      </c>
      <c r="L742" s="4"/>
      <c r="M742" s="4"/>
      <c r="N742" s="4"/>
      <c r="O742" s="4" t="s">
        <v>85</v>
      </c>
      <c r="P742" s="4"/>
      <c r="Q742" s="4"/>
      <c r="R742" s="4"/>
      <c r="S742" s="4"/>
      <c r="T742" s="4"/>
      <c r="U742" s="4">
        <v>0.0</v>
      </c>
      <c r="V742" s="4"/>
      <c r="W742" s="4"/>
      <c r="X742" s="4"/>
      <c r="Y742" s="4"/>
      <c r="Z742" s="4"/>
      <c r="AA742" s="4"/>
    </row>
    <row r="743">
      <c r="A743" s="4"/>
      <c r="B743" s="4" t="s">
        <v>16</v>
      </c>
      <c r="C743" s="4" t="s">
        <v>7269</v>
      </c>
      <c r="D743" s="4">
        <v>44007.0</v>
      </c>
      <c r="E743" s="4">
        <v>0.6246527777777795</v>
      </c>
      <c r="F743" s="4">
        <v>3.4722222222222224E-4</v>
      </c>
      <c r="G743" s="4">
        <v>0.6250000000000018</v>
      </c>
      <c r="H743" s="4" t="s">
        <v>1944</v>
      </c>
      <c r="I743" s="4"/>
      <c r="J743" s="4"/>
      <c r="K743" s="4" t="s">
        <v>245</v>
      </c>
      <c r="L743" s="4"/>
      <c r="M743" s="4"/>
      <c r="N743" s="4"/>
      <c r="O743" s="4" t="s">
        <v>8005</v>
      </c>
      <c r="P743" s="4"/>
      <c r="Q743" s="4"/>
      <c r="R743" s="4"/>
      <c r="S743" s="4"/>
      <c r="T743" s="4"/>
      <c r="U743" s="4"/>
      <c r="V743" s="4"/>
      <c r="W743" s="4"/>
      <c r="X743" s="4"/>
      <c r="Y743" s="4"/>
      <c r="Z743" s="4"/>
      <c r="AA743" s="4"/>
    </row>
    <row r="744">
      <c r="A744" s="4" t="s">
        <v>8006</v>
      </c>
      <c r="B744" s="4" t="s">
        <v>16</v>
      </c>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c r="A745" s="4" t="s">
        <v>8007</v>
      </c>
      <c r="B745" s="4" t="s">
        <v>16</v>
      </c>
      <c r="C745" s="4" t="s">
        <v>7269</v>
      </c>
      <c r="D745" s="4">
        <v>44007.0</v>
      </c>
      <c r="E745" s="4">
        <v>0.6250000000000013</v>
      </c>
      <c r="F745" s="4">
        <v>3.4722222222222224E-4</v>
      </c>
      <c r="G745" s="4">
        <v>0.6253472222222236</v>
      </c>
      <c r="H745" s="4" t="s">
        <v>1944</v>
      </c>
      <c r="I745" s="4"/>
      <c r="J745" s="4"/>
      <c r="K745" s="4" t="s">
        <v>140</v>
      </c>
      <c r="L745" s="4"/>
      <c r="M745" s="4"/>
      <c r="N745" s="4"/>
      <c r="O745" s="4" t="s">
        <v>89</v>
      </c>
      <c r="P745" s="4"/>
      <c r="Q745" s="4"/>
      <c r="R745" s="4"/>
      <c r="S745" s="4"/>
      <c r="T745" s="4"/>
      <c r="U745" s="4"/>
      <c r="V745" s="4"/>
      <c r="W745" s="4"/>
      <c r="X745" s="4"/>
      <c r="Y745" s="4"/>
      <c r="Z745" s="4"/>
      <c r="AA745" s="4"/>
    </row>
    <row r="746">
      <c r="A746" s="4" t="s">
        <v>8008</v>
      </c>
      <c r="B746" s="4" t="s">
        <v>16</v>
      </c>
      <c r="C746" s="4" t="s">
        <v>7269</v>
      </c>
      <c r="D746" s="4">
        <v>44007.0</v>
      </c>
      <c r="E746" s="4">
        <v>0.6253472222222236</v>
      </c>
      <c r="F746" s="4">
        <v>0.006944444444444444</v>
      </c>
      <c r="G746" s="4">
        <v>0.632291666666668</v>
      </c>
      <c r="H746" s="4" t="s">
        <v>972</v>
      </c>
      <c r="I746" s="4" t="s">
        <v>314</v>
      </c>
      <c r="J746" s="4" t="s">
        <v>6938</v>
      </c>
      <c r="K746" s="4" t="s">
        <v>140</v>
      </c>
      <c r="L746" s="4" t="s">
        <v>165</v>
      </c>
      <c r="M746" s="4" t="s">
        <v>7446</v>
      </c>
      <c r="N746" s="4" t="s">
        <v>6858</v>
      </c>
      <c r="O746" s="4" t="s">
        <v>959</v>
      </c>
      <c r="P746" s="4" t="s">
        <v>960</v>
      </c>
      <c r="Q746" s="4"/>
      <c r="R746" s="4"/>
      <c r="S746" s="4"/>
      <c r="T746" s="4"/>
      <c r="U746" s="4">
        <v>1.0</v>
      </c>
      <c r="V746" s="4" t="s">
        <v>8009</v>
      </c>
      <c r="W746" s="4" t="s">
        <v>6890</v>
      </c>
      <c r="X746" s="4"/>
      <c r="Y746" s="4"/>
      <c r="Z746" s="4"/>
      <c r="AA746" s="4"/>
    </row>
    <row r="747">
      <c r="A747" s="4" t="s">
        <v>8010</v>
      </c>
      <c r="B747" s="4" t="s">
        <v>16</v>
      </c>
      <c r="C747" s="4" t="s">
        <v>7269</v>
      </c>
      <c r="D747" s="4">
        <v>44007.0</v>
      </c>
      <c r="E747" s="4">
        <v>0.632291666666668</v>
      </c>
      <c r="F747" s="4">
        <v>1.7361111111111112E-4</v>
      </c>
      <c r="G747" s="4">
        <v>0.6324652777777792</v>
      </c>
      <c r="H747" s="4" t="s">
        <v>1944</v>
      </c>
      <c r="I747" s="4"/>
      <c r="J747" s="4"/>
      <c r="K747" s="4" t="s">
        <v>140</v>
      </c>
      <c r="L747" s="4"/>
      <c r="M747" s="4"/>
      <c r="N747" s="4"/>
      <c r="O747" s="4" t="s">
        <v>85</v>
      </c>
      <c r="P747" s="4"/>
      <c r="Q747" s="4"/>
      <c r="R747" s="4"/>
      <c r="S747" s="4"/>
      <c r="T747" s="4"/>
      <c r="U747" s="4">
        <v>0.0</v>
      </c>
      <c r="V747" s="4"/>
      <c r="W747" s="4"/>
      <c r="X747" s="4"/>
      <c r="Y747" s="4"/>
      <c r="Z747" s="4"/>
      <c r="AA747" s="4"/>
    </row>
    <row r="748">
      <c r="A748" s="4" t="s">
        <v>8011</v>
      </c>
      <c r="B748" s="4" t="s">
        <v>16</v>
      </c>
      <c r="C748" s="4" t="s">
        <v>7269</v>
      </c>
      <c r="D748" s="4">
        <v>44007.0</v>
      </c>
      <c r="E748" s="4">
        <v>0.6324652777777792</v>
      </c>
      <c r="F748" s="4">
        <v>3.4722222222222224E-4</v>
      </c>
      <c r="G748" s="4">
        <v>0.6328125000000014</v>
      </c>
      <c r="H748" s="4" t="s">
        <v>1944</v>
      </c>
      <c r="I748" s="4"/>
      <c r="J748" s="4"/>
      <c r="K748" s="4" t="s">
        <v>140</v>
      </c>
      <c r="L748" s="4"/>
      <c r="M748" s="4"/>
      <c r="N748" s="4"/>
      <c r="O748" s="4" t="s">
        <v>81</v>
      </c>
      <c r="P748" s="4"/>
      <c r="Q748" s="4"/>
      <c r="R748" s="4"/>
      <c r="S748" s="4"/>
      <c r="T748" s="4"/>
      <c r="U748" s="4">
        <v>0.0</v>
      </c>
      <c r="V748" s="4"/>
      <c r="W748" s="4"/>
      <c r="X748" s="4"/>
      <c r="Y748" s="4"/>
      <c r="Z748" s="4"/>
      <c r="AA748" s="4"/>
    </row>
    <row r="749">
      <c r="A749" s="4" t="s">
        <v>8012</v>
      </c>
      <c r="B749" s="4" t="s">
        <v>16</v>
      </c>
      <c r="C749" s="4" t="s">
        <v>7269</v>
      </c>
      <c r="D749" s="4">
        <v>44007.0</v>
      </c>
      <c r="E749" s="4">
        <v>0.6328125000000014</v>
      </c>
      <c r="F749" s="4">
        <v>0.008333333333333333</v>
      </c>
      <c r="G749" s="4">
        <v>0.6411458333333347</v>
      </c>
      <c r="H749" s="4" t="s">
        <v>972</v>
      </c>
      <c r="I749" s="4" t="s">
        <v>6933</v>
      </c>
      <c r="J749" s="4" t="s">
        <v>6938</v>
      </c>
      <c r="K749" s="4" t="s">
        <v>140</v>
      </c>
      <c r="L749" s="4" t="s">
        <v>94</v>
      </c>
      <c r="M749" s="4" t="s">
        <v>7446</v>
      </c>
      <c r="N749" s="4" t="s">
        <v>7475</v>
      </c>
      <c r="O749" s="4" t="s">
        <v>589</v>
      </c>
      <c r="P749" s="4" t="s">
        <v>590</v>
      </c>
      <c r="Q749" s="4"/>
      <c r="R749" s="4"/>
      <c r="S749" s="4"/>
      <c r="T749" s="4" t="s">
        <v>591</v>
      </c>
      <c r="U749" s="4">
        <v>2.0</v>
      </c>
      <c r="V749" s="4" t="s">
        <v>8013</v>
      </c>
      <c r="W749" s="4" t="s">
        <v>7284</v>
      </c>
      <c r="X749" s="4">
        <v>43944.0</v>
      </c>
      <c r="Y749" s="4" t="s">
        <v>8014</v>
      </c>
      <c r="Z749" s="4" t="s">
        <v>972</v>
      </c>
      <c r="AA749" s="4"/>
    </row>
    <row r="750">
      <c r="A750" s="4" t="s">
        <v>8015</v>
      </c>
      <c r="B750" s="4" t="s">
        <v>16</v>
      </c>
      <c r="C750" s="4" t="s">
        <v>7269</v>
      </c>
      <c r="D750" s="4">
        <v>44007.0</v>
      </c>
      <c r="E750" s="4">
        <v>0.6411458333333347</v>
      </c>
      <c r="F750" s="4">
        <v>1.7361111111111112E-4</v>
      </c>
      <c r="G750" s="4">
        <v>0.6413194444444459</v>
      </c>
      <c r="H750" s="4" t="s">
        <v>1944</v>
      </c>
      <c r="I750" s="4"/>
      <c r="J750" s="4"/>
      <c r="K750" s="4" t="s">
        <v>140</v>
      </c>
      <c r="L750" s="4"/>
      <c r="M750" s="4"/>
      <c r="N750" s="4"/>
      <c r="O750" s="4" t="s">
        <v>85</v>
      </c>
      <c r="P750" s="4"/>
      <c r="Q750" s="4"/>
      <c r="R750" s="4"/>
      <c r="S750" s="4"/>
      <c r="T750" s="4"/>
      <c r="U750" s="4">
        <v>0.0</v>
      </c>
      <c r="V750" s="4"/>
      <c r="W750" s="4"/>
      <c r="X750" s="4"/>
      <c r="Y750" s="4"/>
      <c r="Z750" s="4"/>
      <c r="AA750" s="4"/>
    </row>
    <row r="751">
      <c r="A751" s="4" t="s">
        <v>8016</v>
      </c>
      <c r="B751" s="4" t="s">
        <v>16</v>
      </c>
      <c r="C751" s="4" t="s">
        <v>7269</v>
      </c>
      <c r="D751" s="4">
        <v>44007.0</v>
      </c>
      <c r="E751" s="4">
        <v>0.6413194444444459</v>
      </c>
      <c r="F751" s="4">
        <v>3.4722222222222224E-4</v>
      </c>
      <c r="G751" s="4">
        <v>0.6416666666666682</v>
      </c>
      <c r="H751" s="4"/>
      <c r="I751" s="4"/>
      <c r="J751" s="4"/>
      <c r="K751" s="4" t="s">
        <v>140</v>
      </c>
      <c r="L751" s="4"/>
      <c r="M751" s="4"/>
      <c r="N751" s="4"/>
      <c r="O751" s="4" t="s">
        <v>7980</v>
      </c>
      <c r="P751" s="4"/>
      <c r="Q751" s="4"/>
      <c r="R751" s="4"/>
      <c r="S751" s="4"/>
      <c r="T751" s="4"/>
      <c r="U751" s="4"/>
      <c r="V751" s="4"/>
      <c r="W751" s="4"/>
      <c r="X751" s="4"/>
      <c r="Y751" s="4"/>
      <c r="Z751" s="4"/>
      <c r="AA751" s="4"/>
    </row>
    <row r="752">
      <c r="A752" s="4" t="s">
        <v>8017</v>
      </c>
      <c r="B752" s="4" t="s">
        <v>16</v>
      </c>
      <c r="C752" s="4" t="s">
        <v>7269</v>
      </c>
      <c r="D752" s="4">
        <v>44007.0</v>
      </c>
      <c r="E752" s="4">
        <v>0.6416666666666682</v>
      </c>
      <c r="F752" s="4">
        <v>3.4722222222222224E-4</v>
      </c>
      <c r="G752" s="4">
        <v>0.6420138888888904</v>
      </c>
      <c r="H752" s="4" t="s">
        <v>1944</v>
      </c>
      <c r="I752" s="4"/>
      <c r="J752" s="4"/>
      <c r="K752" s="4" t="s">
        <v>140</v>
      </c>
      <c r="L752" s="4"/>
      <c r="M752" s="4"/>
      <c r="N752" s="4"/>
      <c r="O752" s="4" t="s">
        <v>81</v>
      </c>
      <c r="P752" s="4"/>
      <c r="Q752" s="4"/>
      <c r="R752" s="4"/>
      <c r="S752" s="4"/>
      <c r="T752" s="4"/>
      <c r="U752" s="4">
        <v>0.0</v>
      </c>
      <c r="V752" s="4"/>
      <c r="W752" s="4"/>
      <c r="X752" s="4"/>
      <c r="Y752" s="4"/>
      <c r="Z752" s="4"/>
      <c r="AA752" s="4"/>
    </row>
    <row r="753">
      <c r="A753" s="4" t="s">
        <v>8018</v>
      </c>
      <c r="B753" s="4" t="s">
        <v>16</v>
      </c>
      <c r="C753" s="4" t="s">
        <v>7269</v>
      </c>
      <c r="D753" s="4">
        <v>44007.0</v>
      </c>
      <c r="E753" s="4">
        <v>0.6420138888888904</v>
      </c>
      <c r="F753" s="4">
        <v>0.0020833333333333333</v>
      </c>
      <c r="G753" s="4">
        <v>0.6440972222222238</v>
      </c>
      <c r="H753" s="4" t="s">
        <v>630</v>
      </c>
      <c r="I753" s="4" t="s">
        <v>314</v>
      </c>
      <c r="J753" s="4" t="s">
        <v>15</v>
      </c>
      <c r="K753" s="4" t="s">
        <v>140</v>
      </c>
      <c r="L753" s="4" t="s">
        <v>165</v>
      </c>
      <c r="M753" s="4"/>
      <c r="N753" s="4" t="s">
        <v>7195</v>
      </c>
      <c r="O753" s="4" t="s">
        <v>1452</v>
      </c>
      <c r="P753" s="4" t="s">
        <v>1453</v>
      </c>
      <c r="Q753" s="4"/>
      <c r="R753" s="4"/>
      <c r="S753" s="4"/>
      <c r="T753" s="4"/>
      <c r="U753" s="4">
        <v>1.0</v>
      </c>
      <c r="V753" s="4" t="s">
        <v>8019</v>
      </c>
      <c r="W753" s="4" t="s">
        <v>7197</v>
      </c>
      <c r="X753" s="4" t="s">
        <v>8020</v>
      </c>
      <c r="Y753" s="4" t="s">
        <v>7199</v>
      </c>
      <c r="Z753" s="4" t="s">
        <v>630</v>
      </c>
      <c r="AA753" s="4"/>
    </row>
    <row r="754">
      <c r="A754" s="4" t="s">
        <v>8021</v>
      </c>
      <c r="B754" s="4" t="s">
        <v>16</v>
      </c>
      <c r="C754" s="4" t="s">
        <v>7269</v>
      </c>
      <c r="D754" s="4">
        <v>44007.0</v>
      </c>
      <c r="E754" s="4">
        <v>0.6440972222222238</v>
      </c>
      <c r="F754" s="4">
        <v>1.7361111111111112E-4</v>
      </c>
      <c r="G754" s="4">
        <v>0.6442708333333349</v>
      </c>
      <c r="H754" s="4" t="s">
        <v>1944</v>
      </c>
      <c r="I754" s="4"/>
      <c r="J754" s="4"/>
      <c r="K754" s="4" t="s">
        <v>140</v>
      </c>
      <c r="L754" s="4"/>
      <c r="M754" s="4"/>
      <c r="N754" s="4"/>
      <c r="O754" s="4" t="s">
        <v>85</v>
      </c>
      <c r="P754" s="4"/>
      <c r="Q754" s="4"/>
      <c r="R754" s="4"/>
      <c r="S754" s="4"/>
      <c r="T754" s="4"/>
      <c r="U754" s="4">
        <v>0.0</v>
      </c>
      <c r="V754" s="4"/>
      <c r="W754" s="4"/>
      <c r="X754" s="4"/>
      <c r="Y754" s="4"/>
      <c r="Z754" s="4"/>
      <c r="AA754" s="4"/>
    </row>
    <row r="755">
      <c r="A755" s="4" t="s">
        <v>8022</v>
      </c>
      <c r="B755" s="4" t="s">
        <v>16</v>
      </c>
      <c r="C755" s="4" t="s">
        <v>7269</v>
      </c>
      <c r="D755" s="4">
        <v>44007.0</v>
      </c>
      <c r="E755" s="4">
        <v>0.6442708333333349</v>
      </c>
      <c r="F755" s="4">
        <v>3.4722222222222224E-4</v>
      </c>
      <c r="G755" s="4">
        <v>0.6446180555555572</v>
      </c>
      <c r="H755" s="4" t="s">
        <v>1944</v>
      </c>
      <c r="I755" s="4"/>
      <c r="J755" s="4"/>
      <c r="K755" s="4" t="s">
        <v>140</v>
      </c>
      <c r="L755" s="4"/>
      <c r="M755" s="4"/>
      <c r="N755" s="4"/>
      <c r="O755" s="4" t="s">
        <v>81</v>
      </c>
      <c r="P755" s="4"/>
      <c r="Q755" s="4"/>
      <c r="R755" s="4"/>
      <c r="S755" s="4"/>
      <c r="T755" s="4"/>
      <c r="U755" s="4">
        <v>0.0</v>
      </c>
      <c r="V755" s="4"/>
      <c r="W755" s="4"/>
      <c r="X755" s="4"/>
      <c r="Y755" s="4"/>
      <c r="Z755" s="4"/>
      <c r="AA755" s="4"/>
    </row>
    <row r="756">
      <c r="A756" s="4" t="s">
        <v>8023</v>
      </c>
      <c r="B756" s="4" t="s">
        <v>16</v>
      </c>
      <c r="C756" s="4" t="s">
        <v>7269</v>
      </c>
      <c r="D756" s="4">
        <v>44007.0</v>
      </c>
      <c r="E756" s="4">
        <v>0.6446180555555572</v>
      </c>
      <c r="F756" s="4">
        <v>0.006944444444444444</v>
      </c>
      <c r="G756" s="4">
        <v>0.6515625000000016</v>
      </c>
      <c r="H756" s="4" t="s">
        <v>972</v>
      </c>
      <c r="I756" s="4" t="s">
        <v>314</v>
      </c>
      <c r="J756" s="4" t="s">
        <v>6938</v>
      </c>
      <c r="K756" s="4" t="s">
        <v>140</v>
      </c>
      <c r="L756" s="4" t="s">
        <v>165</v>
      </c>
      <c r="M756" s="4" t="s">
        <v>8024</v>
      </c>
      <c r="N756" s="4" t="s">
        <v>6858</v>
      </c>
      <c r="O756" s="4" t="s">
        <v>1800</v>
      </c>
      <c r="P756" s="4" t="s">
        <v>1801</v>
      </c>
      <c r="Q756" s="4"/>
      <c r="R756" s="4"/>
      <c r="S756" s="4"/>
      <c r="T756" s="4"/>
      <c r="U756" s="4">
        <v>1.0</v>
      </c>
      <c r="V756" s="4" t="s">
        <v>8025</v>
      </c>
      <c r="W756" s="4" t="s">
        <v>6911</v>
      </c>
      <c r="X756" s="4" t="s">
        <v>8026</v>
      </c>
      <c r="Y756" s="4"/>
      <c r="Z756" s="4" t="s">
        <v>972</v>
      </c>
      <c r="AA756" s="4"/>
    </row>
    <row r="757">
      <c r="A757" s="4" t="s">
        <v>8027</v>
      </c>
      <c r="B757" s="4" t="s">
        <v>16</v>
      </c>
      <c r="C757" s="4" t="s">
        <v>7269</v>
      </c>
      <c r="D757" s="4">
        <v>44007.0</v>
      </c>
      <c r="E757" s="4">
        <v>0.6515625000000016</v>
      </c>
      <c r="F757" s="4">
        <v>1.7361111111111112E-4</v>
      </c>
      <c r="G757" s="4">
        <v>0.6517361111111127</v>
      </c>
      <c r="H757" s="4" t="s">
        <v>1944</v>
      </c>
      <c r="I757" s="4"/>
      <c r="J757" s="4"/>
      <c r="K757" s="4" t="s">
        <v>140</v>
      </c>
      <c r="L757" s="4"/>
      <c r="M757" s="4"/>
      <c r="N757" s="4"/>
      <c r="O757" s="4" t="s">
        <v>85</v>
      </c>
      <c r="P757" s="4"/>
      <c r="Q757" s="4"/>
      <c r="R757" s="4"/>
      <c r="S757" s="4"/>
      <c r="T757" s="4"/>
      <c r="U757" s="4">
        <v>0.0</v>
      </c>
      <c r="V757" s="4"/>
      <c r="W757" s="4"/>
      <c r="X757" s="4"/>
      <c r="Y757" s="4"/>
      <c r="Z757" s="4"/>
      <c r="AA757" s="4"/>
    </row>
    <row r="758">
      <c r="A758" s="4" t="s">
        <v>8028</v>
      </c>
      <c r="B758" s="4" t="s">
        <v>16</v>
      </c>
      <c r="C758" s="4" t="s">
        <v>7269</v>
      </c>
      <c r="D758" s="4">
        <v>44007.0</v>
      </c>
      <c r="E758" s="4">
        <v>0.6517361111111127</v>
      </c>
      <c r="F758" s="4">
        <v>0.0012152777777777778</v>
      </c>
      <c r="G758" s="4">
        <v>0.6529513888888905</v>
      </c>
      <c r="H758" s="4" t="s">
        <v>1944</v>
      </c>
      <c r="I758" s="4"/>
      <c r="J758" s="4"/>
      <c r="K758" s="4" t="s">
        <v>140</v>
      </c>
      <c r="L758" s="4"/>
      <c r="M758" s="4"/>
      <c r="N758" s="4"/>
      <c r="O758" s="4" t="s">
        <v>89</v>
      </c>
      <c r="P758" s="4"/>
      <c r="Q758" s="4"/>
      <c r="R758" s="4"/>
      <c r="S758" s="4"/>
      <c r="T758" s="4"/>
      <c r="U758" s="4"/>
      <c r="V758" s="4"/>
      <c r="W758" s="4"/>
      <c r="X758" s="4"/>
      <c r="Y758" s="4"/>
      <c r="Z758" s="4"/>
      <c r="AA758" s="4"/>
    </row>
    <row r="759">
      <c r="A759" s="4" t="s">
        <v>8029</v>
      </c>
      <c r="B759" s="4" t="s">
        <v>16</v>
      </c>
      <c r="C759" s="4" t="s">
        <v>7269</v>
      </c>
      <c r="D759" s="4">
        <v>44007.0</v>
      </c>
      <c r="E759" s="4">
        <v>0.6529513888888905</v>
      </c>
      <c r="F759" s="4">
        <v>3.4722222222222224E-4</v>
      </c>
      <c r="G759" s="4">
        <v>0.6532986111111128</v>
      </c>
      <c r="H759" s="4" t="s">
        <v>1944</v>
      </c>
      <c r="I759" s="4"/>
      <c r="J759" s="4"/>
      <c r="K759" s="4" t="s">
        <v>140</v>
      </c>
      <c r="L759" s="4"/>
      <c r="M759" s="4"/>
      <c r="N759" s="4"/>
      <c r="O759" s="4" t="s">
        <v>81</v>
      </c>
      <c r="P759" s="4"/>
      <c r="Q759" s="4"/>
      <c r="R759" s="4"/>
      <c r="S759" s="4"/>
      <c r="T759" s="4"/>
      <c r="U759" s="4"/>
      <c r="V759" s="4"/>
      <c r="W759" s="4"/>
      <c r="X759" s="4"/>
      <c r="Y759" s="4"/>
      <c r="Z759" s="4"/>
      <c r="AA759" s="4"/>
    </row>
    <row r="760">
      <c r="A760" s="4" t="s">
        <v>8030</v>
      </c>
      <c r="B760" s="4" t="s">
        <v>16</v>
      </c>
      <c r="C760" s="4" t="s">
        <v>7269</v>
      </c>
      <c r="D760" s="4">
        <v>44007.0</v>
      </c>
      <c r="E760" s="4">
        <v>0.6532986111111128</v>
      </c>
      <c r="F760" s="4">
        <v>0.010416666666666666</v>
      </c>
      <c r="G760" s="4">
        <v>0.6637152777777794</v>
      </c>
      <c r="H760" s="4" t="s">
        <v>860</v>
      </c>
      <c r="I760" s="4" t="s">
        <v>6933</v>
      </c>
      <c r="J760" s="4" t="s">
        <v>6853</v>
      </c>
      <c r="K760" s="4" t="s">
        <v>140</v>
      </c>
      <c r="L760" s="4" t="s">
        <v>94</v>
      </c>
      <c r="M760" s="4"/>
      <c r="N760" s="4"/>
      <c r="O760" s="4" t="s">
        <v>704</v>
      </c>
      <c r="P760" s="4" t="s">
        <v>705</v>
      </c>
      <c r="Q760" s="4"/>
      <c r="R760" s="4"/>
      <c r="S760" s="4"/>
      <c r="T760" s="4" t="s">
        <v>8031</v>
      </c>
      <c r="U760" s="4">
        <v>2.0</v>
      </c>
      <c r="V760" s="4" t="s">
        <v>8032</v>
      </c>
      <c r="W760" s="4" t="s">
        <v>7115</v>
      </c>
      <c r="X760" s="4"/>
      <c r="Y760" s="4"/>
      <c r="Z760" s="4"/>
      <c r="AA760" s="4"/>
    </row>
    <row r="761">
      <c r="A761" s="4" t="s">
        <v>8033</v>
      </c>
      <c r="B761" s="4" t="s">
        <v>16</v>
      </c>
      <c r="C761" s="4" t="s">
        <v>7269</v>
      </c>
      <c r="D761" s="4">
        <v>44007.0</v>
      </c>
      <c r="E761" s="4">
        <v>0.6637152777777794</v>
      </c>
      <c r="F761" s="4">
        <v>1.7361111111111112E-4</v>
      </c>
      <c r="G761" s="4">
        <v>0.6638888888888905</v>
      </c>
      <c r="H761" s="4" t="s">
        <v>1944</v>
      </c>
      <c r="I761" s="4"/>
      <c r="J761" s="4"/>
      <c r="K761" s="4" t="s">
        <v>140</v>
      </c>
      <c r="L761" s="4"/>
      <c r="M761" s="4"/>
      <c r="N761" s="4"/>
      <c r="O761" s="4" t="s">
        <v>85</v>
      </c>
      <c r="P761" s="4"/>
      <c r="Q761" s="4"/>
      <c r="R761" s="4"/>
      <c r="S761" s="4"/>
      <c r="T761" s="4"/>
      <c r="U761" s="4">
        <v>0.0</v>
      </c>
      <c r="V761" s="4"/>
      <c r="W761" s="4"/>
      <c r="X761" s="4"/>
      <c r="Y761" s="4"/>
      <c r="Z761" s="4"/>
      <c r="AA761" s="4"/>
    </row>
    <row r="762">
      <c r="A762" s="4" t="s">
        <v>8034</v>
      </c>
      <c r="B762" s="4" t="s">
        <v>16</v>
      </c>
      <c r="C762" s="4" t="s">
        <v>7269</v>
      </c>
      <c r="D762" s="4">
        <v>44007.0</v>
      </c>
      <c r="E762" s="4">
        <v>0.6638888888888905</v>
      </c>
      <c r="F762" s="4">
        <v>1.7361111111111112E-4</v>
      </c>
      <c r="G762" s="4">
        <v>0.6640625000000017</v>
      </c>
      <c r="H762" s="4"/>
      <c r="I762" s="4"/>
      <c r="J762" s="4"/>
      <c r="K762" s="4" t="s">
        <v>140</v>
      </c>
      <c r="L762" s="4"/>
      <c r="M762" s="4"/>
      <c r="N762" s="4"/>
      <c r="O762" s="4" t="s">
        <v>8035</v>
      </c>
      <c r="P762" s="4"/>
      <c r="Q762" s="4"/>
      <c r="R762" s="4"/>
      <c r="S762" s="4"/>
      <c r="T762" s="4"/>
      <c r="U762" s="4"/>
      <c r="V762" s="4"/>
      <c r="W762" s="4"/>
      <c r="X762" s="4"/>
      <c r="Y762" s="4"/>
      <c r="Z762" s="4"/>
      <c r="AA762" s="4"/>
    </row>
    <row r="763">
      <c r="A763" s="4" t="s">
        <v>8036</v>
      </c>
      <c r="B763" s="4" t="s">
        <v>16</v>
      </c>
      <c r="C763" s="4" t="s">
        <v>7269</v>
      </c>
      <c r="D763" s="4">
        <v>44007.0</v>
      </c>
      <c r="E763" s="4">
        <v>0.6640625000000017</v>
      </c>
      <c r="F763" s="4">
        <v>3.4722222222222224E-4</v>
      </c>
      <c r="G763" s="4">
        <v>0.6644097222222239</v>
      </c>
      <c r="H763" s="4" t="s">
        <v>1944</v>
      </c>
      <c r="I763" s="4"/>
      <c r="J763" s="4"/>
      <c r="K763" s="4" t="s">
        <v>140</v>
      </c>
      <c r="L763" s="4"/>
      <c r="M763" s="4"/>
      <c r="N763" s="4"/>
      <c r="O763" s="4" t="s">
        <v>81</v>
      </c>
      <c r="P763" s="4"/>
      <c r="Q763" s="4"/>
      <c r="R763" s="4"/>
      <c r="S763" s="4"/>
      <c r="T763" s="4"/>
      <c r="U763" s="4">
        <v>0.0</v>
      </c>
      <c r="V763" s="4"/>
      <c r="W763" s="4"/>
      <c r="X763" s="4"/>
      <c r="Y763" s="4"/>
      <c r="Z763" s="4"/>
      <c r="AA763" s="4"/>
    </row>
    <row r="764">
      <c r="A764" s="4" t="s">
        <v>8037</v>
      </c>
      <c r="B764" s="4" t="s">
        <v>16</v>
      </c>
      <c r="C764" s="4" t="s">
        <v>7269</v>
      </c>
      <c r="D764" s="4">
        <v>44007.0</v>
      </c>
      <c r="E764" s="4">
        <v>0.6644097222222239</v>
      </c>
      <c r="F764" s="4">
        <v>0.0020833333333333333</v>
      </c>
      <c r="G764" s="4">
        <v>0.6664930555555573</v>
      </c>
      <c r="H764" s="4" t="s">
        <v>630</v>
      </c>
      <c r="I764" s="4" t="s">
        <v>314</v>
      </c>
      <c r="J764" s="4" t="s">
        <v>15</v>
      </c>
      <c r="K764" s="4" t="s">
        <v>140</v>
      </c>
      <c r="L764" s="4" t="s">
        <v>165</v>
      </c>
      <c r="M764" s="4" t="s">
        <v>7505</v>
      </c>
      <c r="N764" s="4" t="s">
        <v>7195</v>
      </c>
      <c r="O764" s="4" t="s">
        <v>984</v>
      </c>
      <c r="P764" s="4" t="s">
        <v>985</v>
      </c>
      <c r="Q764" s="4"/>
      <c r="R764" s="4"/>
      <c r="S764" s="4"/>
      <c r="T764" s="4"/>
      <c r="U764" s="4">
        <v>1.0</v>
      </c>
      <c r="V764" s="4" t="s">
        <v>8038</v>
      </c>
      <c r="W764" s="4" t="s">
        <v>7197</v>
      </c>
      <c r="X764" s="4" t="s">
        <v>7940</v>
      </c>
      <c r="Y764" s="4" t="s">
        <v>7199</v>
      </c>
      <c r="Z764" s="4" t="s">
        <v>630</v>
      </c>
      <c r="AA764" s="4"/>
    </row>
    <row r="765">
      <c r="A765" s="4" t="s">
        <v>8039</v>
      </c>
      <c r="B765" s="4" t="s">
        <v>16</v>
      </c>
      <c r="C765" s="4" t="s">
        <v>7269</v>
      </c>
      <c r="D765" s="4">
        <v>44007.0</v>
      </c>
      <c r="E765" s="4">
        <v>0.6664930555555573</v>
      </c>
      <c r="F765" s="4">
        <v>1.7361111111111112E-4</v>
      </c>
      <c r="G765" s="4">
        <v>0.6666666666666684</v>
      </c>
      <c r="H765" s="4" t="s">
        <v>1944</v>
      </c>
      <c r="I765" s="4"/>
      <c r="J765" s="4"/>
      <c r="K765" s="4" t="s">
        <v>140</v>
      </c>
      <c r="L765" s="4"/>
      <c r="M765" s="4"/>
      <c r="N765" s="4"/>
      <c r="O765" s="4" t="s">
        <v>85</v>
      </c>
      <c r="P765" s="4"/>
      <c r="Q765" s="4"/>
      <c r="R765" s="4"/>
      <c r="S765" s="4"/>
      <c r="T765" s="4"/>
      <c r="U765" s="4">
        <v>0.0</v>
      </c>
      <c r="V765" s="4"/>
      <c r="W765" s="4"/>
      <c r="X765" s="4"/>
      <c r="Y765" s="4"/>
      <c r="Z765" s="4"/>
      <c r="AA765" s="4"/>
    </row>
    <row r="766">
      <c r="A766" s="4" t="s">
        <v>8040</v>
      </c>
      <c r="B766" s="4" t="s">
        <v>16</v>
      </c>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c r="A767" s="4" t="s">
        <v>8041</v>
      </c>
      <c r="B767" s="4" t="s">
        <v>16</v>
      </c>
      <c r="C767" s="4" t="s">
        <v>7269</v>
      </c>
      <c r="D767" s="4">
        <v>44007.0</v>
      </c>
      <c r="E767" s="4">
        <v>0.6666666666666684</v>
      </c>
      <c r="F767" s="4">
        <v>3.4722222222222224E-4</v>
      </c>
      <c r="G767" s="4">
        <v>0.6670138888888907</v>
      </c>
      <c r="H767" s="4" t="s">
        <v>1944</v>
      </c>
      <c r="I767" s="4"/>
      <c r="J767" s="4"/>
      <c r="K767" s="4" t="s">
        <v>924</v>
      </c>
      <c r="L767" s="4"/>
      <c r="M767" s="4"/>
      <c r="N767" s="4"/>
      <c r="O767" s="4" t="s">
        <v>81</v>
      </c>
      <c r="P767" s="4"/>
      <c r="Q767" s="4"/>
      <c r="R767" s="4"/>
      <c r="S767" s="4"/>
      <c r="T767" s="4"/>
      <c r="U767" s="4">
        <v>0.0</v>
      </c>
      <c r="V767" s="4"/>
      <c r="W767" s="4"/>
      <c r="X767" s="4"/>
      <c r="Y767" s="4"/>
      <c r="Z767" s="4"/>
      <c r="AA767" s="4"/>
    </row>
    <row r="768">
      <c r="A768" s="4" t="s">
        <v>8042</v>
      </c>
      <c r="B768" s="4" t="s">
        <v>16</v>
      </c>
      <c r="C768" s="4" t="s">
        <v>7269</v>
      </c>
      <c r="D768" s="4">
        <v>44007.0</v>
      </c>
      <c r="E768" s="4">
        <v>0.6670138888888907</v>
      </c>
      <c r="F768" s="4">
        <v>0.006944444444444444</v>
      </c>
      <c r="G768" s="4">
        <v>0.6739583333333351</v>
      </c>
      <c r="H768" s="4" t="s">
        <v>1185</v>
      </c>
      <c r="I768" s="4" t="s">
        <v>314</v>
      </c>
      <c r="J768" s="4" t="s">
        <v>6948</v>
      </c>
      <c r="K768" s="4" t="s">
        <v>924</v>
      </c>
      <c r="L768" s="4" t="s">
        <v>165</v>
      </c>
      <c r="M768" s="4" t="s">
        <v>7505</v>
      </c>
      <c r="N768" s="4" t="s">
        <v>6858</v>
      </c>
      <c r="O768" s="4" t="s">
        <v>926</v>
      </c>
      <c r="P768" s="4" t="s">
        <v>927</v>
      </c>
      <c r="Q768" s="4"/>
      <c r="R768" s="4"/>
      <c r="S768" s="4"/>
      <c r="T768" s="4"/>
      <c r="U768" s="4">
        <v>1.0</v>
      </c>
      <c r="V768" s="4" t="s">
        <v>8043</v>
      </c>
      <c r="W768" s="4" t="s">
        <v>6890</v>
      </c>
      <c r="X768" s="4"/>
      <c r="Y768" s="4"/>
      <c r="Z768" s="4"/>
      <c r="AA768" s="4"/>
    </row>
    <row r="769">
      <c r="A769" s="4" t="s">
        <v>8044</v>
      </c>
      <c r="B769" s="4" t="s">
        <v>16</v>
      </c>
      <c r="C769" s="4" t="s">
        <v>7269</v>
      </c>
      <c r="D769" s="4">
        <v>44007.0</v>
      </c>
      <c r="E769" s="4">
        <v>0.6739583333333351</v>
      </c>
      <c r="F769" s="4">
        <v>1.7361111111111112E-4</v>
      </c>
      <c r="G769" s="4">
        <v>0.6741319444444462</v>
      </c>
      <c r="H769" s="4" t="s">
        <v>1944</v>
      </c>
      <c r="I769" s="4"/>
      <c r="J769" s="4"/>
      <c r="K769" s="4" t="s">
        <v>924</v>
      </c>
      <c r="L769" s="4"/>
      <c r="M769" s="4"/>
      <c r="N769" s="4"/>
      <c r="O769" s="4" t="s">
        <v>85</v>
      </c>
      <c r="P769" s="4"/>
      <c r="Q769" s="4"/>
      <c r="R769" s="4"/>
      <c r="S769" s="4"/>
      <c r="T769" s="4"/>
      <c r="U769" s="4">
        <v>0.0</v>
      </c>
      <c r="V769" s="4"/>
      <c r="W769" s="4"/>
      <c r="X769" s="4"/>
      <c r="Y769" s="4"/>
      <c r="Z769" s="4"/>
      <c r="AA769" s="4"/>
    </row>
    <row r="770">
      <c r="A770" s="4" t="s">
        <v>8045</v>
      </c>
      <c r="B770" s="4" t="s">
        <v>16</v>
      </c>
      <c r="C770" s="4" t="s">
        <v>7269</v>
      </c>
      <c r="D770" s="4">
        <v>44007.0</v>
      </c>
      <c r="E770" s="4">
        <v>0.6741319444444462</v>
      </c>
      <c r="F770" s="4">
        <v>1.7361111111111112E-4</v>
      </c>
      <c r="G770" s="4">
        <v>0.6743055555555574</v>
      </c>
      <c r="H770" s="4" t="s">
        <v>2004</v>
      </c>
      <c r="I770" s="4"/>
      <c r="J770" s="4"/>
      <c r="K770" s="4" t="s">
        <v>924</v>
      </c>
      <c r="L770" s="4"/>
      <c r="M770" s="4"/>
      <c r="N770" s="4"/>
      <c r="O770" s="4" t="s">
        <v>8035</v>
      </c>
      <c r="P770" s="4"/>
      <c r="Q770" s="4"/>
      <c r="R770" s="4"/>
      <c r="S770" s="4"/>
      <c r="T770" s="4"/>
      <c r="U770" s="4">
        <v>0.0</v>
      </c>
      <c r="V770" s="4"/>
      <c r="W770" s="4"/>
      <c r="X770" s="4"/>
      <c r="Y770" s="4"/>
      <c r="Z770" s="4"/>
      <c r="AA770" s="4"/>
    </row>
    <row r="771">
      <c r="A771" s="4" t="s">
        <v>8046</v>
      </c>
      <c r="B771" s="4" t="s">
        <v>16</v>
      </c>
      <c r="C771" s="4" t="s">
        <v>7269</v>
      </c>
      <c r="D771" s="4">
        <v>44007.0</v>
      </c>
      <c r="E771" s="4">
        <v>0.6743055555555574</v>
      </c>
      <c r="F771" s="4">
        <v>3.4722222222222224E-4</v>
      </c>
      <c r="G771" s="4">
        <v>0.6746527777777797</v>
      </c>
      <c r="H771" s="4"/>
      <c r="I771" s="4"/>
      <c r="J771" s="4"/>
      <c r="K771" s="4" t="s">
        <v>924</v>
      </c>
      <c r="L771" s="4"/>
      <c r="M771" s="4"/>
      <c r="N771" s="4"/>
      <c r="O771" s="4" t="s">
        <v>89</v>
      </c>
      <c r="P771" s="4"/>
      <c r="Q771" s="4"/>
      <c r="R771" s="4"/>
      <c r="S771" s="4"/>
      <c r="T771" s="4"/>
      <c r="U771" s="4"/>
      <c r="V771" s="4"/>
      <c r="W771" s="4"/>
      <c r="X771" s="4"/>
      <c r="Y771" s="4"/>
      <c r="Z771" s="4"/>
      <c r="AA771" s="4"/>
    </row>
    <row r="772">
      <c r="A772" s="4" t="s">
        <v>8047</v>
      </c>
      <c r="B772" s="4" t="s">
        <v>16</v>
      </c>
      <c r="C772" s="4" t="s">
        <v>7269</v>
      </c>
      <c r="D772" s="4">
        <v>44007.0</v>
      </c>
      <c r="E772" s="4">
        <v>0.6746527777777797</v>
      </c>
      <c r="F772" s="4">
        <v>3.4722222222222224E-4</v>
      </c>
      <c r="G772" s="4">
        <v>0.6750000000000019</v>
      </c>
      <c r="H772" s="4" t="s">
        <v>1944</v>
      </c>
      <c r="I772" s="4"/>
      <c r="J772" s="4"/>
      <c r="K772" s="4" t="s">
        <v>924</v>
      </c>
      <c r="L772" s="4"/>
      <c r="M772" s="4"/>
      <c r="N772" s="4"/>
      <c r="O772" s="4" t="s">
        <v>81</v>
      </c>
      <c r="P772" s="4"/>
      <c r="Q772" s="4"/>
      <c r="R772" s="4"/>
      <c r="S772" s="4"/>
      <c r="T772" s="4"/>
      <c r="U772" s="4">
        <v>0.0</v>
      </c>
      <c r="V772" s="4"/>
      <c r="W772" s="4"/>
      <c r="X772" s="4"/>
      <c r="Y772" s="4"/>
      <c r="Z772" s="4"/>
      <c r="AA772" s="4"/>
    </row>
    <row r="773">
      <c r="A773" s="4" t="s">
        <v>8048</v>
      </c>
      <c r="B773" s="4" t="s">
        <v>16</v>
      </c>
      <c r="C773" s="4" t="s">
        <v>7269</v>
      </c>
      <c r="D773" s="4">
        <v>44007.0</v>
      </c>
      <c r="E773" s="4">
        <v>0.6750000000000019</v>
      </c>
      <c r="F773" s="4">
        <v>0.006944444444444444</v>
      </c>
      <c r="G773" s="4">
        <v>0.6819444444444464</v>
      </c>
      <c r="H773" s="4" t="s">
        <v>1185</v>
      </c>
      <c r="I773" s="4" t="s">
        <v>314</v>
      </c>
      <c r="J773" s="4" t="s">
        <v>6948</v>
      </c>
      <c r="K773" s="4" t="s">
        <v>924</v>
      </c>
      <c r="L773" s="4" t="s">
        <v>165</v>
      </c>
      <c r="M773" s="4" t="s">
        <v>7946</v>
      </c>
      <c r="N773" s="4" t="s">
        <v>4345</v>
      </c>
      <c r="O773" s="4" t="s">
        <v>8049</v>
      </c>
      <c r="P773" s="4" t="s">
        <v>361</v>
      </c>
      <c r="Q773" s="4"/>
      <c r="R773" s="4"/>
      <c r="S773" s="4"/>
      <c r="T773" s="4"/>
      <c r="U773" s="4">
        <v>1.0</v>
      </c>
      <c r="V773" s="4" t="s">
        <v>4345</v>
      </c>
      <c r="W773" s="4" t="s">
        <v>8001</v>
      </c>
      <c r="X773" s="4"/>
      <c r="Y773" s="4"/>
      <c r="Z773" s="4"/>
      <c r="AA773" s="4"/>
    </row>
    <row r="774">
      <c r="A774" s="4" t="s">
        <v>8050</v>
      </c>
      <c r="B774" s="4" t="s">
        <v>16</v>
      </c>
      <c r="C774" s="4" t="s">
        <v>7269</v>
      </c>
      <c r="D774" s="4">
        <v>44007.0</v>
      </c>
      <c r="E774" s="4">
        <v>0.6819444444444464</v>
      </c>
      <c r="F774" s="4">
        <v>1.7361111111111112E-4</v>
      </c>
      <c r="G774" s="4">
        <v>0.6821180555555575</v>
      </c>
      <c r="H774" s="4" t="s">
        <v>1944</v>
      </c>
      <c r="I774" s="4"/>
      <c r="J774" s="4"/>
      <c r="K774" s="4" t="s">
        <v>924</v>
      </c>
      <c r="L774" s="4"/>
      <c r="M774" s="4"/>
      <c r="N774" s="4"/>
      <c r="O774" s="4" t="s">
        <v>85</v>
      </c>
      <c r="P774" s="4"/>
      <c r="Q774" s="4"/>
      <c r="R774" s="4"/>
      <c r="S774" s="4"/>
      <c r="T774" s="4"/>
      <c r="U774" s="4">
        <v>0.0</v>
      </c>
      <c r="V774" s="4"/>
      <c r="W774" s="4"/>
      <c r="X774" s="4"/>
      <c r="Y774" s="4"/>
      <c r="Z774" s="4"/>
      <c r="AA774" s="4"/>
    </row>
    <row r="775">
      <c r="A775" s="4" t="s">
        <v>8051</v>
      </c>
      <c r="B775" s="4" t="s">
        <v>16</v>
      </c>
      <c r="C775" s="4" t="s">
        <v>7269</v>
      </c>
      <c r="D775" s="4">
        <v>44007.0</v>
      </c>
      <c r="E775" s="4">
        <v>0.6821180555555575</v>
      </c>
      <c r="F775" s="4">
        <v>3.4722222222222224E-4</v>
      </c>
      <c r="G775" s="4">
        <v>0.6824652777777798</v>
      </c>
      <c r="H775" s="4"/>
      <c r="I775" s="4"/>
      <c r="J775" s="4"/>
      <c r="K775" s="4" t="s">
        <v>924</v>
      </c>
      <c r="L775" s="4"/>
      <c r="M775" s="4"/>
      <c r="N775" s="4"/>
      <c r="O775" s="4" t="s">
        <v>8052</v>
      </c>
      <c r="P775" s="4"/>
      <c r="Q775" s="4"/>
      <c r="R775" s="4"/>
      <c r="S775" s="4"/>
      <c r="T775" s="4"/>
      <c r="U775" s="4"/>
      <c r="V775" s="4"/>
      <c r="W775" s="4"/>
      <c r="X775" s="4"/>
      <c r="Y775" s="4"/>
      <c r="Z775" s="4"/>
      <c r="AA775" s="4"/>
    </row>
    <row r="776">
      <c r="A776" s="4" t="s">
        <v>8053</v>
      </c>
      <c r="B776" s="4" t="s">
        <v>16</v>
      </c>
      <c r="C776" s="4" t="s">
        <v>7269</v>
      </c>
      <c r="D776" s="4">
        <v>44007.0</v>
      </c>
      <c r="E776" s="4">
        <v>0.6824652777777798</v>
      </c>
      <c r="F776" s="4">
        <v>3.4722222222222224E-4</v>
      </c>
      <c r="G776" s="4">
        <v>0.682812500000002</v>
      </c>
      <c r="H776" s="4" t="s">
        <v>1944</v>
      </c>
      <c r="I776" s="4"/>
      <c r="J776" s="4"/>
      <c r="K776" s="4" t="s">
        <v>924</v>
      </c>
      <c r="L776" s="4"/>
      <c r="M776" s="4"/>
      <c r="N776" s="4"/>
      <c r="O776" s="4" t="s">
        <v>81</v>
      </c>
      <c r="P776" s="4"/>
      <c r="Q776" s="4"/>
      <c r="R776" s="4"/>
      <c r="S776" s="4"/>
      <c r="T776" s="4"/>
      <c r="U776" s="4">
        <v>0.0</v>
      </c>
      <c r="V776" s="4"/>
      <c r="W776" s="4"/>
      <c r="X776" s="4"/>
      <c r="Y776" s="4"/>
      <c r="Z776" s="4"/>
      <c r="AA776" s="4"/>
    </row>
    <row r="777">
      <c r="A777" s="4" t="s">
        <v>8054</v>
      </c>
      <c r="B777" s="4" t="s">
        <v>16</v>
      </c>
      <c r="C777" s="4" t="s">
        <v>7269</v>
      </c>
      <c r="D777" s="4">
        <v>44007.0</v>
      </c>
      <c r="E777" s="4">
        <v>0.682812500000002</v>
      </c>
      <c r="F777" s="4">
        <v>0.010416666666666666</v>
      </c>
      <c r="G777" s="4">
        <v>0.6932291666666687</v>
      </c>
      <c r="H777" s="4" t="s">
        <v>1185</v>
      </c>
      <c r="I777" s="4" t="s">
        <v>6947</v>
      </c>
      <c r="J777" s="4" t="s">
        <v>6948</v>
      </c>
      <c r="K777" s="4" t="s">
        <v>924</v>
      </c>
      <c r="L777" s="4" t="s">
        <v>74</v>
      </c>
      <c r="M777" s="4" t="s">
        <v>7126</v>
      </c>
      <c r="N777" s="4" t="s">
        <v>6720</v>
      </c>
      <c r="O777" s="4" t="s">
        <v>939</v>
      </c>
      <c r="P777" s="4" t="s">
        <v>940</v>
      </c>
      <c r="Q777" s="4" t="s">
        <v>941</v>
      </c>
      <c r="R777" s="4" t="s">
        <v>942</v>
      </c>
      <c r="S777" s="4"/>
      <c r="T777" s="4" t="s">
        <v>943</v>
      </c>
      <c r="U777" s="4">
        <v>4.0</v>
      </c>
      <c r="V777" s="4" t="s">
        <v>8055</v>
      </c>
      <c r="W777" s="4" t="s">
        <v>7197</v>
      </c>
      <c r="X777" s="4"/>
      <c r="Y777" s="4"/>
      <c r="Z777" s="4"/>
      <c r="AA777" s="4"/>
    </row>
    <row r="778">
      <c r="A778" s="4" t="s">
        <v>8056</v>
      </c>
      <c r="B778" s="4" t="s">
        <v>16</v>
      </c>
      <c r="C778" s="4" t="s">
        <v>7269</v>
      </c>
      <c r="D778" s="4">
        <v>44007.0</v>
      </c>
      <c r="E778" s="4">
        <v>0.6932291666666687</v>
      </c>
      <c r="F778" s="4">
        <v>1.7361111111111112E-4</v>
      </c>
      <c r="G778" s="4">
        <v>0.6934027777777798</v>
      </c>
      <c r="H778" s="4" t="s">
        <v>1944</v>
      </c>
      <c r="I778" s="4"/>
      <c r="J778" s="4"/>
      <c r="K778" s="4" t="s">
        <v>924</v>
      </c>
      <c r="L778" s="4"/>
      <c r="M778" s="4"/>
      <c r="N778" s="4"/>
      <c r="O778" s="4" t="s">
        <v>85</v>
      </c>
      <c r="P778" s="4"/>
      <c r="Q778" s="4"/>
      <c r="R778" s="4"/>
      <c r="S778" s="4"/>
      <c r="T778" s="4"/>
      <c r="U778" s="4">
        <v>0.0</v>
      </c>
      <c r="V778" s="4"/>
      <c r="W778" s="4"/>
      <c r="X778" s="4"/>
      <c r="Y778" s="4"/>
      <c r="Z778" s="4"/>
      <c r="AA778" s="4"/>
    </row>
    <row r="779">
      <c r="A779" s="4" t="s">
        <v>8057</v>
      </c>
      <c r="B779" s="4" t="s">
        <v>16</v>
      </c>
      <c r="C779" s="4" t="s">
        <v>7269</v>
      </c>
      <c r="D779" s="4">
        <v>44007.0</v>
      </c>
      <c r="E779" s="4">
        <v>0.6934027777777798</v>
      </c>
      <c r="F779" s="4">
        <v>1.7361111111111112E-4</v>
      </c>
      <c r="G779" s="4">
        <v>0.693576388888891</v>
      </c>
      <c r="H779" s="4" t="s">
        <v>2004</v>
      </c>
      <c r="I779" s="4"/>
      <c r="J779" s="4"/>
      <c r="K779" s="4" t="s">
        <v>924</v>
      </c>
      <c r="L779" s="4"/>
      <c r="M779" s="4"/>
      <c r="N779" s="4"/>
      <c r="O779" s="4" t="s">
        <v>8035</v>
      </c>
      <c r="P779" s="4"/>
      <c r="Q779" s="4"/>
      <c r="R779" s="4"/>
      <c r="S779" s="4"/>
      <c r="T779" s="4"/>
      <c r="U779" s="4">
        <v>0.0</v>
      </c>
      <c r="V779" s="4"/>
      <c r="W779" s="4"/>
      <c r="X779" s="4"/>
      <c r="Y779" s="4"/>
      <c r="Z779" s="4"/>
      <c r="AA779" s="4"/>
    </row>
    <row r="780">
      <c r="A780" s="4" t="s">
        <v>8058</v>
      </c>
      <c r="B780" s="4" t="s">
        <v>16</v>
      </c>
      <c r="C780" s="4" t="s">
        <v>7269</v>
      </c>
      <c r="D780" s="4">
        <v>44007.0</v>
      </c>
      <c r="E780" s="4">
        <v>0.693576388888891</v>
      </c>
      <c r="F780" s="4">
        <v>3.4722222222222224E-4</v>
      </c>
      <c r="G780" s="4">
        <v>0.6939236111111132</v>
      </c>
      <c r="H780" s="4" t="s">
        <v>1944</v>
      </c>
      <c r="I780" s="4"/>
      <c r="J780" s="4"/>
      <c r="K780" s="4" t="s">
        <v>924</v>
      </c>
      <c r="L780" s="4"/>
      <c r="M780" s="4"/>
      <c r="N780" s="4"/>
      <c r="O780" s="4" t="s">
        <v>81</v>
      </c>
      <c r="P780" s="4"/>
      <c r="Q780" s="4"/>
      <c r="R780" s="4"/>
      <c r="S780" s="4"/>
      <c r="T780" s="4"/>
      <c r="U780" s="4">
        <v>0.0</v>
      </c>
      <c r="V780" s="4"/>
      <c r="W780" s="4"/>
      <c r="X780" s="4"/>
      <c r="Y780" s="4"/>
      <c r="Z780" s="4"/>
      <c r="AA780" s="4"/>
    </row>
    <row r="781">
      <c r="A781" s="4" t="s">
        <v>8059</v>
      </c>
      <c r="B781" s="4" t="s">
        <v>16</v>
      </c>
      <c r="C781" s="4" t="s">
        <v>7269</v>
      </c>
      <c r="D781" s="4">
        <v>44007.0</v>
      </c>
      <c r="E781" s="4">
        <v>0.6939236111111132</v>
      </c>
      <c r="F781" s="4">
        <v>0.006944444444444444</v>
      </c>
      <c r="G781" s="4">
        <v>0.7008680555555576</v>
      </c>
      <c r="H781" s="4" t="s">
        <v>1185</v>
      </c>
      <c r="I781" s="4" t="s">
        <v>314</v>
      </c>
      <c r="J781" s="4" t="s">
        <v>6948</v>
      </c>
      <c r="K781" s="4" t="s">
        <v>924</v>
      </c>
      <c r="L781" s="4" t="s">
        <v>165</v>
      </c>
      <c r="M781" s="4" t="s">
        <v>7126</v>
      </c>
      <c r="N781" s="4" t="s">
        <v>6755</v>
      </c>
      <c r="O781" s="4" t="s">
        <v>948</v>
      </c>
      <c r="P781" s="4" t="s">
        <v>949</v>
      </c>
      <c r="Q781" s="4"/>
      <c r="R781" s="4"/>
      <c r="S781" s="4"/>
      <c r="T781" s="4"/>
      <c r="U781" s="4">
        <v>1.0</v>
      </c>
      <c r="V781" s="4" t="s">
        <v>8060</v>
      </c>
      <c r="W781" s="4" t="s">
        <v>6890</v>
      </c>
      <c r="X781" s="4"/>
      <c r="Y781" s="4"/>
      <c r="Z781" s="4"/>
      <c r="AA781" s="4"/>
    </row>
    <row r="782">
      <c r="A782" s="4" t="s">
        <v>8061</v>
      </c>
      <c r="B782" s="4" t="s">
        <v>16</v>
      </c>
      <c r="C782" s="4" t="s">
        <v>7269</v>
      </c>
      <c r="D782" s="4">
        <v>44007.0</v>
      </c>
      <c r="E782" s="4">
        <v>0.7008680555555576</v>
      </c>
      <c r="F782" s="4">
        <v>1.7361111111111112E-4</v>
      </c>
      <c r="G782" s="4">
        <v>0.7010416666666688</v>
      </c>
      <c r="H782" s="4" t="s">
        <v>1944</v>
      </c>
      <c r="I782" s="4"/>
      <c r="J782" s="4"/>
      <c r="K782" s="4" t="s">
        <v>924</v>
      </c>
      <c r="L782" s="4"/>
      <c r="M782" s="4"/>
      <c r="N782" s="4"/>
      <c r="O782" s="4" t="s">
        <v>85</v>
      </c>
      <c r="P782" s="4"/>
      <c r="Q782" s="4"/>
      <c r="R782" s="4"/>
      <c r="S782" s="4"/>
      <c r="T782" s="4"/>
      <c r="U782" s="4">
        <v>0.0</v>
      </c>
      <c r="V782" s="4"/>
      <c r="W782" s="4"/>
      <c r="X782" s="4"/>
      <c r="Y782" s="4"/>
      <c r="Z782" s="4"/>
      <c r="AA782" s="4"/>
    </row>
    <row r="783">
      <c r="A783" s="4" t="s">
        <v>8062</v>
      </c>
      <c r="B783" s="4" t="s">
        <v>16</v>
      </c>
      <c r="C783" s="4" t="s">
        <v>7269</v>
      </c>
      <c r="D783" s="4">
        <v>44007.0</v>
      </c>
      <c r="E783" s="4">
        <v>0.7010416666666688</v>
      </c>
      <c r="F783" s="4">
        <v>0.006944444444444444</v>
      </c>
      <c r="G783" s="4">
        <v>0.7079861111111132</v>
      </c>
      <c r="H783" s="4" t="s">
        <v>803</v>
      </c>
      <c r="I783" s="4" t="s">
        <v>314</v>
      </c>
      <c r="J783" s="4" t="s">
        <v>6948</v>
      </c>
      <c r="K783" s="4" t="s">
        <v>924</v>
      </c>
      <c r="L783" s="4" t="s">
        <v>165</v>
      </c>
      <c r="M783" s="4" t="s">
        <v>7126</v>
      </c>
      <c r="N783" s="4" t="s">
        <v>6755</v>
      </c>
      <c r="O783" s="4" t="s">
        <v>952</v>
      </c>
      <c r="P783" s="4" t="s">
        <v>953</v>
      </c>
      <c r="Q783" s="4"/>
      <c r="R783" s="4"/>
      <c r="S783" s="4"/>
      <c r="T783" s="4"/>
      <c r="U783" s="4">
        <v>1.0</v>
      </c>
      <c r="V783" s="4" t="s">
        <v>8063</v>
      </c>
      <c r="W783" s="4" t="s">
        <v>8001</v>
      </c>
      <c r="X783" s="4"/>
      <c r="Y783" s="4"/>
      <c r="Z783" s="4"/>
      <c r="AA783" s="4"/>
    </row>
    <row r="784">
      <c r="A784" s="4" t="s">
        <v>8064</v>
      </c>
      <c r="B784" s="4" t="s">
        <v>16</v>
      </c>
      <c r="C784" s="4" t="s">
        <v>7269</v>
      </c>
      <c r="D784" s="4">
        <v>44007.0</v>
      </c>
      <c r="E784" s="4">
        <v>0.7079861111111132</v>
      </c>
      <c r="F784" s="4">
        <v>3.4722222222222224E-4</v>
      </c>
      <c r="G784" s="4">
        <v>0.7083333333333355</v>
      </c>
      <c r="H784" s="4" t="s">
        <v>1944</v>
      </c>
      <c r="I784" s="4"/>
      <c r="J784" s="4"/>
      <c r="K784" s="4" t="s">
        <v>924</v>
      </c>
      <c r="L784" s="4"/>
      <c r="M784" s="4"/>
      <c r="N784" s="4"/>
      <c r="O784" s="4" t="s">
        <v>89</v>
      </c>
      <c r="P784" s="4"/>
      <c r="Q784" s="4"/>
      <c r="R784" s="4"/>
      <c r="S784" s="4"/>
      <c r="T784" s="4"/>
      <c r="U784" s="4">
        <v>0.0</v>
      </c>
      <c r="V784" s="4"/>
      <c r="W784" s="4"/>
      <c r="X784" s="4"/>
      <c r="Y784" s="4"/>
      <c r="Z784" s="4"/>
      <c r="AA784" s="4"/>
    </row>
    <row r="785">
      <c r="A785" s="4" t="s">
        <v>8065</v>
      </c>
      <c r="B785" s="4" t="s">
        <v>16</v>
      </c>
      <c r="C785" s="4" t="s">
        <v>7269</v>
      </c>
      <c r="D785" s="4">
        <v>44007.0</v>
      </c>
      <c r="E785" s="4">
        <v>0.7079861111111132</v>
      </c>
      <c r="F785" s="4">
        <v>3.4722222222222224E-4</v>
      </c>
      <c r="G785" s="4">
        <v>0.7083333333333355</v>
      </c>
      <c r="H785" s="4" t="s">
        <v>1944</v>
      </c>
      <c r="I785" s="4"/>
      <c r="J785" s="4"/>
      <c r="K785" s="4" t="s">
        <v>924</v>
      </c>
      <c r="L785" s="4"/>
      <c r="M785" s="4"/>
      <c r="N785" s="4"/>
      <c r="O785" s="4" t="s">
        <v>598</v>
      </c>
      <c r="P785" s="4"/>
      <c r="Q785" s="4"/>
      <c r="R785" s="4"/>
      <c r="S785" s="4"/>
      <c r="T785" s="4"/>
      <c r="U785" s="4">
        <v>0.0</v>
      </c>
      <c r="V785" s="4"/>
      <c r="W785" s="4"/>
      <c r="X785" s="4"/>
      <c r="Y785" s="4"/>
      <c r="Z785" s="4"/>
      <c r="AA785" s="4"/>
    </row>
    <row r="786">
      <c r="A786" s="4" t="s">
        <v>8066</v>
      </c>
      <c r="B786" s="4" t="s">
        <v>16</v>
      </c>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c r="A787" s="4" t="s">
        <v>8067</v>
      </c>
      <c r="B787" s="4" t="s">
        <v>16</v>
      </c>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c r="A788" s="4" t="s">
        <v>8068</v>
      </c>
      <c r="B788" s="4" t="s">
        <v>16</v>
      </c>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c r="A789" s="4" t="s">
        <v>8069</v>
      </c>
      <c r="B789" s="4" t="s">
        <v>990</v>
      </c>
      <c r="C789" s="4"/>
      <c r="D789" s="4"/>
      <c r="E789" s="4"/>
      <c r="F789" s="4"/>
      <c r="G789" s="4"/>
      <c r="H789" s="4"/>
      <c r="I789" s="4"/>
      <c r="J789" s="4"/>
      <c r="K789" s="4"/>
      <c r="L789" s="4"/>
      <c r="M789" s="4"/>
      <c r="N789" s="4"/>
      <c r="O789" s="4"/>
      <c r="P789" s="4"/>
      <c r="Q789" s="4"/>
      <c r="R789" s="4"/>
      <c r="S789" s="4"/>
      <c r="T789" s="4"/>
      <c r="U789" s="4">
        <v>0.0</v>
      </c>
      <c r="V789" s="4"/>
      <c r="W789" s="4"/>
      <c r="X789" s="4"/>
      <c r="Y789" s="4"/>
      <c r="Z789" s="4"/>
      <c r="AA789" s="4"/>
    </row>
    <row r="790">
      <c r="A790" s="4" t="s">
        <v>8070</v>
      </c>
      <c r="B790" s="4" t="s">
        <v>65</v>
      </c>
      <c r="C790" s="4"/>
      <c r="D790" s="4"/>
      <c r="E790" s="4"/>
      <c r="F790" s="4"/>
      <c r="G790" s="4"/>
      <c r="H790" s="4"/>
      <c r="I790" s="4"/>
      <c r="J790" s="4"/>
      <c r="K790" s="4"/>
      <c r="L790" s="4"/>
      <c r="M790" s="4"/>
      <c r="N790" s="4"/>
      <c r="O790" s="4"/>
      <c r="P790" s="4"/>
      <c r="Q790" s="4"/>
      <c r="R790" s="4"/>
      <c r="S790" s="4"/>
      <c r="T790" s="4"/>
      <c r="U790" s="4">
        <v>0.0</v>
      </c>
      <c r="V790" s="4"/>
      <c r="W790" s="4"/>
      <c r="X790" s="4"/>
      <c r="Y790" s="4"/>
      <c r="Z790" s="4"/>
      <c r="AA790" s="4"/>
    </row>
    <row r="791">
      <c r="A791" s="4" t="s">
        <v>8071</v>
      </c>
      <c r="B791" s="4" t="s">
        <v>19</v>
      </c>
      <c r="C791" s="4"/>
      <c r="D791" s="4"/>
      <c r="E791" s="4">
        <v>0.4166666666666667</v>
      </c>
      <c r="F791" s="4">
        <v>6.944444444444445E-4</v>
      </c>
      <c r="G791" s="4">
        <v>0.4173611111111111</v>
      </c>
      <c r="H791" s="4"/>
      <c r="I791" s="4"/>
      <c r="J791" s="4"/>
      <c r="K791" s="4"/>
      <c r="L791" s="4" t="s">
        <v>67</v>
      </c>
      <c r="M791" s="4"/>
      <c r="N791" s="4"/>
      <c r="O791" s="4"/>
      <c r="P791" s="4"/>
      <c r="Q791" s="4"/>
      <c r="R791" s="4"/>
      <c r="S791" s="4"/>
      <c r="T791" s="4"/>
      <c r="U791" s="4"/>
      <c r="V791" s="4"/>
      <c r="W791" s="4"/>
      <c r="X791" s="4"/>
      <c r="Y791" s="4"/>
      <c r="Z791" s="4"/>
      <c r="AA791" s="4"/>
    </row>
    <row r="792">
      <c r="A792" s="4" t="s">
        <v>8072</v>
      </c>
      <c r="B792" s="4" t="s">
        <v>19</v>
      </c>
      <c r="C792" s="4" t="s">
        <v>6838</v>
      </c>
      <c r="D792" s="4">
        <v>44005.0</v>
      </c>
      <c r="E792" s="4">
        <v>0.4173611111111111</v>
      </c>
      <c r="F792" s="4">
        <v>1.7361111111111112E-4</v>
      </c>
      <c r="G792" s="4">
        <v>0.41753472222222227</v>
      </c>
      <c r="H792" s="4" t="s">
        <v>2004</v>
      </c>
      <c r="I792" s="4" t="s">
        <v>314</v>
      </c>
      <c r="J792" s="4" t="s">
        <v>314</v>
      </c>
      <c r="K792" s="4" t="s">
        <v>120</v>
      </c>
      <c r="L792" s="4" t="s">
        <v>77</v>
      </c>
      <c r="M792" s="4"/>
      <c r="N792" s="4"/>
      <c r="O792" s="4" t="s">
        <v>77</v>
      </c>
      <c r="P792" s="4"/>
      <c r="Q792" s="4"/>
      <c r="R792" s="4"/>
      <c r="S792" s="4"/>
      <c r="T792" s="4"/>
      <c r="U792" s="4"/>
      <c r="V792" s="4"/>
      <c r="W792" s="4"/>
      <c r="X792" s="4"/>
      <c r="Y792" s="4"/>
      <c r="Z792" s="4"/>
      <c r="AA792" s="4"/>
    </row>
    <row r="793">
      <c r="A793" s="4" t="s">
        <v>8073</v>
      </c>
      <c r="B793" s="4" t="s">
        <v>19</v>
      </c>
      <c r="C793" s="4" t="s">
        <v>6838</v>
      </c>
      <c r="D793" s="4">
        <v>44005.0</v>
      </c>
      <c r="E793" s="4">
        <v>0.41753472222222227</v>
      </c>
      <c r="F793" s="4">
        <v>3.4722222222222224E-4</v>
      </c>
      <c r="G793" s="4">
        <v>0.4178819444444445</v>
      </c>
      <c r="H793" s="4" t="s">
        <v>1944</v>
      </c>
      <c r="I793" s="4" t="s">
        <v>314</v>
      </c>
      <c r="J793" s="4" t="s">
        <v>314</v>
      </c>
      <c r="K793" s="4" t="s">
        <v>120</v>
      </c>
      <c r="L793" s="4" t="s">
        <v>81</v>
      </c>
      <c r="M793" s="4"/>
      <c r="N793" s="4"/>
      <c r="O793" s="4" t="s">
        <v>81</v>
      </c>
      <c r="P793" s="4"/>
      <c r="Q793" s="4"/>
      <c r="R793" s="4"/>
      <c r="S793" s="4"/>
      <c r="T793" s="4"/>
      <c r="U793" s="4">
        <v>0.0</v>
      </c>
      <c r="V793" s="4"/>
      <c r="W793" s="4"/>
      <c r="X793" s="4"/>
      <c r="Y793" s="4"/>
      <c r="Z793" s="4"/>
      <c r="AA793" s="4"/>
    </row>
    <row r="794">
      <c r="A794" s="4" t="s">
        <v>8074</v>
      </c>
      <c r="B794" s="4" t="s">
        <v>19</v>
      </c>
      <c r="C794" s="4" t="s">
        <v>6838</v>
      </c>
      <c r="D794" s="4">
        <v>44005.0</v>
      </c>
      <c r="E794" s="4">
        <v>0.4178819444444445</v>
      </c>
      <c r="F794" s="4">
        <v>0.009722222222222222</v>
      </c>
      <c r="G794" s="4">
        <v>0.42760416666666673</v>
      </c>
      <c r="H794" s="4" t="s">
        <v>1076</v>
      </c>
      <c r="I794" s="4" t="s">
        <v>6933</v>
      </c>
      <c r="J794" s="4" t="s">
        <v>7086</v>
      </c>
      <c r="K794" s="4" t="s">
        <v>120</v>
      </c>
      <c r="L794" s="4" t="s">
        <v>107</v>
      </c>
      <c r="M794" s="4" t="s">
        <v>7505</v>
      </c>
      <c r="N794" s="4" t="s">
        <v>6755</v>
      </c>
      <c r="O794" s="4" t="s">
        <v>8075</v>
      </c>
      <c r="P794" s="4" t="s">
        <v>1012</v>
      </c>
      <c r="Q794" s="4" t="s">
        <v>1013</v>
      </c>
      <c r="R794" s="4"/>
      <c r="S794" s="4"/>
      <c r="T794" s="4" t="s">
        <v>1002</v>
      </c>
      <c r="U794" s="4">
        <v>3.0</v>
      </c>
      <c r="V794" s="4" t="s">
        <v>8076</v>
      </c>
      <c r="W794" s="4" t="s">
        <v>6855</v>
      </c>
      <c r="X794" s="4"/>
      <c r="Y794" s="4"/>
      <c r="Z794" s="4"/>
      <c r="AA794" s="4"/>
    </row>
    <row r="795">
      <c r="A795" s="4" t="s">
        <v>8077</v>
      </c>
      <c r="B795" s="4" t="s">
        <v>19</v>
      </c>
      <c r="C795" s="4" t="s">
        <v>6838</v>
      </c>
      <c r="D795" s="4">
        <v>44005.0</v>
      </c>
      <c r="E795" s="4">
        <v>0.42760416666666673</v>
      </c>
      <c r="F795" s="4">
        <v>1.7361111111111112E-4</v>
      </c>
      <c r="G795" s="4">
        <v>0.42777777777777787</v>
      </c>
      <c r="H795" s="4" t="s">
        <v>1944</v>
      </c>
      <c r="I795" s="4" t="s">
        <v>314</v>
      </c>
      <c r="J795" s="4" t="s">
        <v>314</v>
      </c>
      <c r="K795" s="4" t="s">
        <v>120</v>
      </c>
      <c r="L795" s="4" t="s">
        <v>85</v>
      </c>
      <c r="M795" s="4"/>
      <c r="N795" s="4"/>
      <c r="O795" s="4" t="s">
        <v>85</v>
      </c>
      <c r="P795" s="4"/>
      <c r="Q795" s="4"/>
      <c r="R795" s="4"/>
      <c r="S795" s="4"/>
      <c r="T795" s="4"/>
      <c r="U795" s="4">
        <v>0.0</v>
      </c>
      <c r="V795" s="4"/>
      <c r="W795" s="4"/>
      <c r="X795" s="4"/>
      <c r="Y795" s="4"/>
      <c r="Z795" s="4"/>
      <c r="AA795" s="4"/>
    </row>
    <row r="796">
      <c r="A796" s="4" t="s">
        <v>8078</v>
      </c>
      <c r="B796" s="4" t="s">
        <v>19</v>
      </c>
      <c r="C796" s="4" t="s">
        <v>6838</v>
      </c>
      <c r="D796" s="4">
        <v>44005.0</v>
      </c>
      <c r="E796" s="4">
        <v>0.42777777777777787</v>
      </c>
      <c r="F796" s="4">
        <v>3.4722222222222224E-4</v>
      </c>
      <c r="G796" s="4">
        <v>0.4281250000000001</v>
      </c>
      <c r="H796" s="4" t="s">
        <v>1944</v>
      </c>
      <c r="I796" s="4"/>
      <c r="J796" s="4"/>
      <c r="K796" s="4" t="s">
        <v>120</v>
      </c>
      <c r="L796" s="4" t="s">
        <v>81</v>
      </c>
      <c r="M796" s="4"/>
      <c r="N796" s="4"/>
      <c r="O796" s="4" t="s">
        <v>6878</v>
      </c>
      <c r="P796" s="4"/>
      <c r="Q796" s="4"/>
      <c r="R796" s="4"/>
      <c r="S796" s="4"/>
      <c r="T796" s="4"/>
      <c r="U796" s="4"/>
      <c r="V796" s="4"/>
      <c r="W796" s="4"/>
      <c r="X796" s="4"/>
      <c r="Y796" s="4"/>
      <c r="Z796" s="4"/>
      <c r="AA796" s="4"/>
    </row>
    <row r="797">
      <c r="A797" s="4" t="s">
        <v>8079</v>
      </c>
      <c r="B797" s="4" t="s">
        <v>19</v>
      </c>
      <c r="C797" s="4" t="s">
        <v>6838</v>
      </c>
      <c r="D797" s="4">
        <v>44005.0</v>
      </c>
      <c r="E797" s="4">
        <v>0.4281250000000001</v>
      </c>
      <c r="F797" s="4">
        <v>0.013888888888888888</v>
      </c>
      <c r="G797" s="4">
        <v>0.442013888888889</v>
      </c>
      <c r="H797" s="4" t="s">
        <v>873</v>
      </c>
      <c r="I797" s="4" t="s">
        <v>6947</v>
      </c>
      <c r="J797" s="4" t="s">
        <v>6948</v>
      </c>
      <c r="K797" s="4" t="s">
        <v>120</v>
      </c>
      <c r="L797" s="4" t="s">
        <v>94</v>
      </c>
      <c r="M797" s="4" t="s">
        <v>7462</v>
      </c>
      <c r="N797" s="4" t="s">
        <v>6755</v>
      </c>
      <c r="O797" s="4" t="s">
        <v>999</v>
      </c>
      <c r="P797" s="4" t="s">
        <v>1000</v>
      </c>
      <c r="Q797" s="4"/>
      <c r="R797" s="4"/>
      <c r="S797" s="4"/>
      <c r="T797" s="4" t="s">
        <v>1002</v>
      </c>
      <c r="U797" s="4">
        <v>2.0</v>
      </c>
      <c r="V797" s="4" t="s">
        <v>8080</v>
      </c>
      <c r="W797" s="4" t="s">
        <v>6855</v>
      </c>
      <c r="X797" s="4" t="s">
        <v>8081</v>
      </c>
      <c r="Y797" s="4" t="s">
        <v>8082</v>
      </c>
      <c r="Z797" s="4" t="s">
        <v>873</v>
      </c>
      <c r="AA797" s="4"/>
    </row>
    <row r="798">
      <c r="A798" s="4" t="s">
        <v>8083</v>
      </c>
      <c r="B798" s="4" t="s">
        <v>19</v>
      </c>
      <c r="C798" s="4" t="s">
        <v>6838</v>
      </c>
      <c r="D798" s="4">
        <v>44005.0</v>
      </c>
      <c r="E798" s="4">
        <v>0.442013888888889</v>
      </c>
      <c r="F798" s="4">
        <v>1.7361111111111112E-4</v>
      </c>
      <c r="G798" s="4">
        <v>0.4421875000000001</v>
      </c>
      <c r="H798" s="4" t="s">
        <v>1944</v>
      </c>
      <c r="I798" s="4"/>
      <c r="J798" s="4"/>
      <c r="K798" s="4" t="s">
        <v>120</v>
      </c>
      <c r="L798" s="4" t="s">
        <v>85</v>
      </c>
      <c r="M798" s="4"/>
      <c r="N798" s="4"/>
      <c r="O798" s="4" t="s">
        <v>85</v>
      </c>
      <c r="P798" s="4"/>
      <c r="Q798" s="4"/>
      <c r="R798" s="4"/>
      <c r="S798" s="4"/>
      <c r="T798" s="4"/>
      <c r="U798" s="4"/>
      <c r="V798" s="4"/>
      <c r="W798" s="4"/>
      <c r="X798" s="4"/>
      <c r="Y798" s="4"/>
      <c r="Z798" s="4"/>
      <c r="AA798" s="4"/>
    </row>
    <row r="799">
      <c r="A799" s="4" t="s">
        <v>8084</v>
      </c>
      <c r="B799" s="4" t="s">
        <v>19</v>
      </c>
      <c r="C799" s="4" t="s">
        <v>6838</v>
      </c>
      <c r="D799" s="4">
        <v>44005.0</v>
      </c>
      <c r="E799" s="4">
        <v>0.4421875000000001</v>
      </c>
      <c r="F799" s="4">
        <v>3.4722222222222224E-4</v>
      </c>
      <c r="G799" s="4">
        <v>0.44253472222222234</v>
      </c>
      <c r="H799" s="4" t="s">
        <v>1944</v>
      </c>
      <c r="I799" s="4" t="s">
        <v>314</v>
      </c>
      <c r="J799" s="4" t="s">
        <v>314</v>
      </c>
      <c r="K799" s="4" t="s">
        <v>120</v>
      </c>
      <c r="L799" s="4" t="s">
        <v>81</v>
      </c>
      <c r="M799" s="4"/>
      <c r="N799" s="4"/>
      <c r="O799" s="4" t="s">
        <v>81</v>
      </c>
      <c r="P799" s="4"/>
      <c r="Q799" s="4"/>
      <c r="R799" s="4"/>
      <c r="S799" s="4"/>
      <c r="T799" s="4"/>
      <c r="U799" s="4">
        <v>0.0</v>
      </c>
      <c r="V799" s="4"/>
      <c r="W799" s="4"/>
      <c r="X799" s="4"/>
      <c r="Y799" s="4"/>
      <c r="Z799" s="4"/>
      <c r="AA799" s="4"/>
    </row>
    <row r="800">
      <c r="A800" s="4" t="s">
        <v>8085</v>
      </c>
      <c r="B800" s="4" t="s">
        <v>19</v>
      </c>
      <c r="C800" s="4" t="s">
        <v>6838</v>
      </c>
      <c r="D800" s="4">
        <v>44005.0</v>
      </c>
      <c r="E800" s="4">
        <v>0.44253472222222234</v>
      </c>
      <c r="F800" s="4">
        <v>0.0020833333333333333</v>
      </c>
      <c r="G800" s="4">
        <v>0.44461805555555567</v>
      </c>
      <c r="H800" s="4" t="s">
        <v>630</v>
      </c>
      <c r="I800" s="4" t="s">
        <v>314</v>
      </c>
      <c r="J800" s="4" t="s">
        <v>15</v>
      </c>
      <c r="K800" s="4" t="s">
        <v>120</v>
      </c>
      <c r="L800" s="4" t="s">
        <v>165</v>
      </c>
      <c r="M800" s="4"/>
      <c r="N800" s="4"/>
      <c r="O800" s="4" t="s">
        <v>8086</v>
      </c>
      <c r="P800" s="4" t="s">
        <v>1007</v>
      </c>
      <c r="Q800" s="4"/>
      <c r="R800" s="4"/>
      <c r="S800" s="4"/>
      <c r="T800" s="4"/>
      <c r="U800" s="4">
        <v>1.0</v>
      </c>
      <c r="V800" s="4" t="s">
        <v>8087</v>
      </c>
      <c r="W800" s="4"/>
      <c r="X800" s="4"/>
      <c r="Y800" s="4"/>
      <c r="Z800" s="4"/>
      <c r="AA800" s="4"/>
    </row>
    <row r="801">
      <c r="A801" s="4" t="s">
        <v>8088</v>
      </c>
      <c r="B801" s="4" t="s">
        <v>19</v>
      </c>
      <c r="C801" s="4" t="s">
        <v>6838</v>
      </c>
      <c r="D801" s="4">
        <v>44005.0</v>
      </c>
      <c r="E801" s="4">
        <v>0.44461805555555567</v>
      </c>
      <c r="F801" s="4">
        <v>1.7361111111111112E-4</v>
      </c>
      <c r="G801" s="4">
        <v>0.4447916666666668</v>
      </c>
      <c r="H801" s="4" t="s">
        <v>1944</v>
      </c>
      <c r="I801" s="4" t="s">
        <v>314</v>
      </c>
      <c r="J801" s="4" t="s">
        <v>314</v>
      </c>
      <c r="K801" s="4" t="s">
        <v>120</v>
      </c>
      <c r="L801" s="4" t="s">
        <v>85</v>
      </c>
      <c r="M801" s="4"/>
      <c r="N801" s="4"/>
      <c r="O801" s="4" t="s">
        <v>85</v>
      </c>
      <c r="P801" s="4"/>
      <c r="Q801" s="4"/>
      <c r="R801" s="4"/>
      <c r="S801" s="4"/>
      <c r="T801" s="4"/>
      <c r="U801" s="4">
        <v>0.0</v>
      </c>
      <c r="V801" s="4"/>
      <c r="W801" s="4"/>
      <c r="X801" s="4"/>
      <c r="Y801" s="4"/>
      <c r="Z801" s="4"/>
      <c r="AA801" s="4"/>
    </row>
    <row r="802">
      <c r="A802" s="4" t="s">
        <v>8089</v>
      </c>
      <c r="B802" s="4" t="s">
        <v>19</v>
      </c>
      <c r="C802" s="4" t="s">
        <v>6838</v>
      </c>
      <c r="D802" s="4">
        <v>44005.0</v>
      </c>
      <c r="E802" s="4">
        <v>0.4447916666666668</v>
      </c>
      <c r="F802" s="4">
        <v>5.208333333333333E-4</v>
      </c>
      <c r="G802" s="4">
        <v>0.44531250000000017</v>
      </c>
      <c r="H802" s="4" t="s">
        <v>1944</v>
      </c>
      <c r="I802" s="4"/>
      <c r="J802" s="4"/>
      <c r="K802" s="4" t="s">
        <v>120</v>
      </c>
      <c r="L802" s="4" t="s">
        <v>103</v>
      </c>
      <c r="M802" s="4"/>
      <c r="N802" s="4"/>
      <c r="O802" s="4" t="s">
        <v>103</v>
      </c>
      <c r="P802" s="4"/>
      <c r="Q802" s="4"/>
      <c r="R802" s="4"/>
      <c r="S802" s="4"/>
      <c r="T802" s="4"/>
      <c r="U802" s="4"/>
      <c r="V802" s="4"/>
      <c r="W802" s="4"/>
      <c r="X802" s="4"/>
      <c r="Y802" s="4"/>
      <c r="Z802" s="4"/>
      <c r="AA802" s="4"/>
    </row>
    <row r="803">
      <c r="A803" s="4" t="s">
        <v>8090</v>
      </c>
      <c r="B803" s="4" t="s">
        <v>19</v>
      </c>
      <c r="C803" s="4" t="s">
        <v>6838</v>
      </c>
      <c r="D803" s="4">
        <v>44005.0</v>
      </c>
      <c r="E803" s="4">
        <v>0.44531250000000017</v>
      </c>
      <c r="F803" s="4">
        <v>3.4722222222222224E-4</v>
      </c>
      <c r="G803" s="4">
        <v>0.4456597222222224</v>
      </c>
      <c r="H803" s="4" t="s">
        <v>1944</v>
      </c>
      <c r="I803" s="4" t="s">
        <v>314</v>
      </c>
      <c r="J803" s="4" t="s">
        <v>314</v>
      </c>
      <c r="K803" s="4" t="s">
        <v>120</v>
      </c>
      <c r="L803" s="4" t="s">
        <v>81</v>
      </c>
      <c r="M803" s="4"/>
      <c r="N803" s="4"/>
      <c r="O803" s="4" t="s">
        <v>81</v>
      </c>
      <c r="P803" s="4"/>
      <c r="Q803" s="4"/>
      <c r="R803" s="4"/>
      <c r="S803" s="4"/>
      <c r="T803" s="4"/>
      <c r="U803" s="4">
        <v>0.0</v>
      </c>
      <c r="V803" s="4"/>
      <c r="W803" s="4"/>
      <c r="X803" s="4"/>
      <c r="Y803" s="4"/>
      <c r="Z803" s="4"/>
      <c r="AA803" s="4"/>
    </row>
    <row r="804">
      <c r="A804" s="4" t="s">
        <v>8091</v>
      </c>
      <c r="B804" s="4" t="s">
        <v>19</v>
      </c>
      <c r="C804" s="4" t="s">
        <v>6838</v>
      </c>
      <c r="D804" s="4">
        <v>44005.0</v>
      </c>
      <c r="E804" s="4">
        <v>0.4456597222222224</v>
      </c>
      <c r="F804" s="4">
        <v>0.010416666666666666</v>
      </c>
      <c r="G804" s="4">
        <v>0.4560763888888891</v>
      </c>
      <c r="H804" s="4" t="s">
        <v>873</v>
      </c>
      <c r="I804" s="4" t="s">
        <v>6947</v>
      </c>
      <c r="J804" s="4" t="s">
        <v>6948</v>
      </c>
      <c r="K804" s="4" t="s">
        <v>120</v>
      </c>
      <c r="L804" s="4" t="s">
        <v>94</v>
      </c>
      <c r="M804" s="4" t="s">
        <v>7505</v>
      </c>
      <c r="N804" s="4" t="s">
        <v>6755</v>
      </c>
      <c r="O804" s="4" t="s">
        <v>996</v>
      </c>
      <c r="P804" s="4" t="s">
        <v>997</v>
      </c>
      <c r="Q804" s="4"/>
      <c r="R804" s="4"/>
      <c r="S804" s="4"/>
      <c r="T804" s="4" t="s">
        <v>8092</v>
      </c>
      <c r="U804" s="4">
        <v>2.0</v>
      </c>
      <c r="V804" s="4" t="s">
        <v>8093</v>
      </c>
      <c r="W804" s="4" t="s">
        <v>6920</v>
      </c>
      <c r="X804" s="4" t="s">
        <v>8094</v>
      </c>
      <c r="Y804" s="4" t="s">
        <v>8095</v>
      </c>
      <c r="Z804" s="4" t="s">
        <v>873</v>
      </c>
      <c r="AA804" s="4"/>
    </row>
    <row r="805">
      <c r="A805" s="4" t="s">
        <v>8096</v>
      </c>
      <c r="B805" s="4" t="s">
        <v>19</v>
      </c>
      <c r="C805" s="4" t="s">
        <v>6838</v>
      </c>
      <c r="D805" s="4">
        <v>44005.0</v>
      </c>
      <c r="E805" s="4">
        <v>0.4560763888888891</v>
      </c>
      <c r="F805" s="4">
        <v>1.7361111111111112E-4</v>
      </c>
      <c r="G805" s="4">
        <v>0.4562500000000002</v>
      </c>
      <c r="H805" s="4" t="s">
        <v>1944</v>
      </c>
      <c r="I805" s="4" t="s">
        <v>314</v>
      </c>
      <c r="J805" s="4" t="s">
        <v>314</v>
      </c>
      <c r="K805" s="4" t="s">
        <v>120</v>
      </c>
      <c r="L805" s="4" t="s">
        <v>85</v>
      </c>
      <c r="M805" s="4"/>
      <c r="N805" s="4"/>
      <c r="O805" s="4" t="s">
        <v>85</v>
      </c>
      <c r="P805" s="4"/>
      <c r="Q805" s="4"/>
      <c r="R805" s="4"/>
      <c r="S805" s="4"/>
      <c r="T805" s="4"/>
      <c r="U805" s="4">
        <v>0.0</v>
      </c>
      <c r="V805" s="4"/>
      <c r="W805" s="4"/>
      <c r="X805" s="4"/>
      <c r="Y805" s="4"/>
      <c r="Z805" s="4"/>
      <c r="AA805" s="4"/>
    </row>
    <row r="806">
      <c r="A806" s="4" t="s">
        <v>8097</v>
      </c>
      <c r="B806" s="4" t="s">
        <v>19</v>
      </c>
      <c r="C806" s="4" t="s">
        <v>6838</v>
      </c>
      <c r="D806" s="4">
        <v>44005.0</v>
      </c>
      <c r="E806" s="4">
        <v>0.4562500000000002</v>
      </c>
      <c r="F806" s="4">
        <v>6.944444444444445E-4</v>
      </c>
      <c r="G806" s="4">
        <v>0.45694444444444465</v>
      </c>
      <c r="H806" s="4" t="s">
        <v>1944</v>
      </c>
      <c r="I806" s="4"/>
      <c r="J806" s="4"/>
      <c r="K806" s="4" t="s">
        <v>120</v>
      </c>
      <c r="L806" s="4" t="s">
        <v>103</v>
      </c>
      <c r="M806" s="4"/>
      <c r="N806" s="4"/>
      <c r="O806" s="4" t="s">
        <v>103</v>
      </c>
      <c r="P806" s="4"/>
      <c r="Q806" s="4"/>
      <c r="R806" s="4"/>
      <c r="S806" s="4"/>
      <c r="T806" s="4"/>
      <c r="U806" s="4"/>
      <c r="V806" s="4"/>
      <c r="W806" s="4"/>
      <c r="X806" s="4"/>
      <c r="Y806" s="4"/>
      <c r="Z806" s="4"/>
      <c r="AA806" s="4"/>
    </row>
    <row r="807">
      <c r="A807" s="4" t="s">
        <v>8098</v>
      </c>
      <c r="B807" s="4" t="s">
        <v>19</v>
      </c>
      <c r="C807" s="4" t="s">
        <v>6838</v>
      </c>
      <c r="D807" s="4">
        <v>44005.0</v>
      </c>
      <c r="E807" s="4">
        <v>0.45694444444444465</v>
      </c>
      <c r="F807" s="4">
        <v>0.0012152777777777778</v>
      </c>
      <c r="G807" s="4">
        <v>0.45815972222222245</v>
      </c>
      <c r="H807" s="4" t="s">
        <v>1944</v>
      </c>
      <c r="I807" s="4"/>
      <c r="J807" s="4"/>
      <c r="K807" s="4" t="s">
        <v>120</v>
      </c>
      <c r="L807" s="4" t="s">
        <v>79</v>
      </c>
      <c r="M807" s="4"/>
      <c r="N807" s="4"/>
      <c r="O807" s="4" t="s">
        <v>79</v>
      </c>
      <c r="P807" s="4"/>
      <c r="Q807" s="4"/>
      <c r="R807" s="4"/>
      <c r="S807" s="4"/>
      <c r="T807" s="4"/>
      <c r="U807" s="4"/>
      <c r="V807" s="4"/>
      <c r="W807" s="4"/>
      <c r="X807" s="4"/>
      <c r="Y807" s="4"/>
      <c r="Z807" s="4"/>
      <c r="AA807" s="4"/>
    </row>
    <row r="808">
      <c r="A808" s="4" t="s">
        <v>8099</v>
      </c>
      <c r="B808" s="4" t="s">
        <v>19</v>
      </c>
      <c r="C808" s="4" t="s">
        <v>6838</v>
      </c>
      <c r="D808" s="4">
        <v>44005.0</v>
      </c>
      <c r="E808" s="4">
        <v>0.45815972222222245</v>
      </c>
      <c r="F808" s="4">
        <v>1.7361111111111112E-4</v>
      </c>
      <c r="G808" s="4">
        <v>0.4583333333333336</v>
      </c>
      <c r="H808" s="4" t="s">
        <v>2004</v>
      </c>
      <c r="I808" s="4" t="s">
        <v>314</v>
      </c>
      <c r="J808" s="4" t="s">
        <v>314</v>
      </c>
      <c r="K808" s="4" t="s">
        <v>120</v>
      </c>
      <c r="L808" s="4" t="s">
        <v>77</v>
      </c>
      <c r="M808" s="4"/>
      <c r="N808" s="4"/>
      <c r="O808" s="4" t="s">
        <v>77</v>
      </c>
      <c r="P808" s="4"/>
      <c r="Q808" s="4"/>
      <c r="R808" s="4"/>
      <c r="S808" s="4"/>
      <c r="T808" s="4"/>
      <c r="U808" s="4">
        <v>0.0</v>
      </c>
      <c r="V808" s="4"/>
      <c r="W808" s="4"/>
      <c r="X808" s="4"/>
      <c r="Y808" s="4"/>
      <c r="Z808" s="4"/>
      <c r="AA808" s="4"/>
    </row>
    <row r="809">
      <c r="A809" s="4" t="s">
        <v>8100</v>
      </c>
      <c r="B809" s="4" t="s">
        <v>19</v>
      </c>
      <c r="C809" s="4" t="s">
        <v>6838</v>
      </c>
      <c r="D809" s="4">
        <v>44005.0</v>
      </c>
      <c r="E809" s="4">
        <v>0.4583333333333336</v>
      </c>
      <c r="F809" s="4">
        <v>3.4722222222222224E-4</v>
      </c>
      <c r="G809" s="4">
        <v>0.4586805555555558</v>
      </c>
      <c r="H809" s="4" t="s">
        <v>1944</v>
      </c>
      <c r="I809" s="4" t="s">
        <v>314</v>
      </c>
      <c r="J809" s="4" t="s">
        <v>314</v>
      </c>
      <c r="K809" s="4" t="s">
        <v>441</v>
      </c>
      <c r="L809" s="4" t="s">
        <v>81</v>
      </c>
      <c r="M809" s="4"/>
      <c r="N809" s="4"/>
      <c r="O809" s="4" t="s">
        <v>6878</v>
      </c>
      <c r="P809" s="4"/>
      <c r="Q809" s="4"/>
      <c r="R809" s="4"/>
      <c r="S809" s="4"/>
      <c r="T809" s="4"/>
      <c r="U809" s="4">
        <v>0.0</v>
      </c>
      <c r="V809" s="4"/>
      <c r="W809" s="4"/>
      <c r="X809" s="4"/>
      <c r="Y809" s="4"/>
      <c r="Z809" s="4"/>
      <c r="AA809" s="4"/>
    </row>
    <row r="810">
      <c r="A810" s="4" t="s">
        <v>8101</v>
      </c>
      <c r="B810" s="4" t="s">
        <v>19</v>
      </c>
      <c r="C810" s="4" t="s">
        <v>6838</v>
      </c>
      <c r="D810" s="4">
        <v>44005.0</v>
      </c>
      <c r="E810" s="4">
        <v>0.4586805555555558</v>
      </c>
      <c r="F810" s="4">
        <v>0.010590277777777778</v>
      </c>
      <c r="G810" s="4">
        <v>0.4692708333333336</v>
      </c>
      <c r="H810" s="4" t="s">
        <v>1125</v>
      </c>
      <c r="I810" s="4" t="s">
        <v>17</v>
      </c>
      <c r="J810" s="4" t="s">
        <v>7059</v>
      </c>
      <c r="K810" s="4" t="s">
        <v>441</v>
      </c>
      <c r="L810" s="4" t="s">
        <v>107</v>
      </c>
      <c r="M810" s="4" t="s">
        <v>7505</v>
      </c>
      <c r="N810" s="4" t="s">
        <v>6720</v>
      </c>
      <c r="O810" s="4" t="s">
        <v>1022</v>
      </c>
      <c r="P810" s="4" t="s">
        <v>1023</v>
      </c>
      <c r="Q810" s="4" t="s">
        <v>1024</v>
      </c>
      <c r="R810" s="4"/>
      <c r="S810" s="4"/>
      <c r="T810" s="4" t="s">
        <v>514</v>
      </c>
      <c r="U810" s="4">
        <v>3.0</v>
      </c>
      <c r="V810" s="4" t="s">
        <v>8102</v>
      </c>
      <c r="W810" s="4" t="s">
        <v>6855</v>
      </c>
      <c r="X810" s="4"/>
      <c r="Y810" s="4"/>
      <c r="Z810" s="4"/>
      <c r="AA810" s="4"/>
    </row>
    <row r="811">
      <c r="A811" s="4" t="s">
        <v>8103</v>
      </c>
      <c r="B811" s="4" t="s">
        <v>19</v>
      </c>
      <c r="C811" s="4" t="s">
        <v>6838</v>
      </c>
      <c r="D811" s="4">
        <v>44005.0</v>
      </c>
      <c r="E811" s="4">
        <v>0.4692708333333336</v>
      </c>
      <c r="F811" s="4">
        <v>1.7361111111111112E-4</v>
      </c>
      <c r="G811" s="4">
        <v>0.4694444444444447</v>
      </c>
      <c r="H811" s="4" t="s">
        <v>1125</v>
      </c>
      <c r="I811" s="4" t="s">
        <v>314</v>
      </c>
      <c r="J811" s="4" t="s">
        <v>314</v>
      </c>
      <c r="K811" s="4" t="s">
        <v>441</v>
      </c>
      <c r="L811" s="4" t="s">
        <v>85</v>
      </c>
      <c r="M811" s="4"/>
      <c r="N811" s="4"/>
      <c r="O811" s="4" t="s">
        <v>7241</v>
      </c>
      <c r="P811" s="4"/>
      <c r="Q811" s="4"/>
      <c r="R811" s="4"/>
      <c r="S811" s="4"/>
      <c r="T811" s="4"/>
      <c r="U811" s="4">
        <v>0.0</v>
      </c>
      <c r="V811" s="4"/>
      <c r="W811" s="4"/>
      <c r="X811" s="4"/>
      <c r="Y811" s="4"/>
      <c r="Z811" s="4"/>
      <c r="AA811" s="4"/>
    </row>
    <row r="812">
      <c r="A812" s="4" t="s">
        <v>8104</v>
      </c>
      <c r="B812" s="4" t="s">
        <v>19</v>
      </c>
      <c r="C812" s="4" t="s">
        <v>6838</v>
      </c>
      <c r="D812" s="4">
        <v>44005.0</v>
      </c>
      <c r="E812" s="4">
        <v>0.4694444444444447</v>
      </c>
      <c r="F812" s="4">
        <v>3.4722222222222224E-4</v>
      </c>
      <c r="G812" s="4">
        <v>0.46979166666666694</v>
      </c>
      <c r="H812" s="4" t="s">
        <v>1944</v>
      </c>
      <c r="I812" s="4"/>
      <c r="J812" s="4"/>
      <c r="K812" s="4" t="s">
        <v>441</v>
      </c>
      <c r="L812" s="4" t="s">
        <v>81</v>
      </c>
      <c r="M812" s="4"/>
      <c r="N812" s="4"/>
      <c r="O812" s="4" t="s">
        <v>1127</v>
      </c>
      <c r="P812" s="4"/>
      <c r="Q812" s="4"/>
      <c r="R812" s="4"/>
      <c r="S812" s="4"/>
      <c r="T812" s="4"/>
      <c r="U812" s="4"/>
      <c r="V812" s="4"/>
      <c r="W812" s="4"/>
      <c r="X812" s="4"/>
      <c r="Y812" s="4"/>
      <c r="Z812" s="4"/>
      <c r="AA812" s="4"/>
    </row>
    <row r="813">
      <c r="A813" s="4" t="s">
        <v>8105</v>
      </c>
      <c r="B813" s="4" t="s">
        <v>19</v>
      </c>
      <c r="C813" s="4" t="s">
        <v>6838</v>
      </c>
      <c r="D813" s="4">
        <v>44005.0</v>
      </c>
      <c r="E813" s="4">
        <v>0.46979166666666694</v>
      </c>
      <c r="F813" s="4">
        <v>0.006944444444444444</v>
      </c>
      <c r="G813" s="4">
        <v>0.47673611111111136</v>
      </c>
      <c r="H813" s="4" t="s">
        <v>1125</v>
      </c>
      <c r="I813" s="4" t="s">
        <v>314</v>
      </c>
      <c r="J813" s="4" t="s">
        <v>7059</v>
      </c>
      <c r="K813" s="4" t="s">
        <v>441</v>
      </c>
      <c r="L813" s="4" t="s">
        <v>165</v>
      </c>
      <c r="M813" s="4" t="s">
        <v>7126</v>
      </c>
      <c r="N813" s="4" t="s">
        <v>6858</v>
      </c>
      <c r="O813" s="4" t="s">
        <v>1027</v>
      </c>
      <c r="P813" s="4" t="s">
        <v>1028</v>
      </c>
      <c r="Q813" s="4"/>
      <c r="R813" s="4"/>
      <c r="S813" s="4"/>
      <c r="T813" s="4"/>
      <c r="U813" s="4">
        <v>1.0</v>
      </c>
      <c r="V813" s="4" t="s">
        <v>8106</v>
      </c>
      <c r="W813" s="4" t="s">
        <v>8001</v>
      </c>
      <c r="X813" s="4" t="s">
        <v>8107</v>
      </c>
      <c r="Y813" s="4"/>
      <c r="Z813" s="4"/>
      <c r="AA813" s="4"/>
    </row>
    <row r="814">
      <c r="A814" s="4" t="s">
        <v>8108</v>
      </c>
      <c r="B814" s="4" t="s">
        <v>19</v>
      </c>
      <c r="C814" s="4" t="s">
        <v>6838</v>
      </c>
      <c r="D814" s="4">
        <v>44005.0</v>
      </c>
      <c r="E814" s="4">
        <v>0.47673611111111136</v>
      </c>
      <c r="F814" s="4">
        <v>1.7361111111111112E-4</v>
      </c>
      <c r="G814" s="4">
        <v>0.4769097222222225</v>
      </c>
      <c r="H814" s="4" t="s">
        <v>1944</v>
      </c>
      <c r="I814" s="4"/>
      <c r="J814" s="4"/>
      <c r="K814" s="4" t="s">
        <v>441</v>
      </c>
      <c r="L814" s="4" t="s">
        <v>85</v>
      </c>
      <c r="M814" s="4"/>
      <c r="N814" s="4"/>
      <c r="O814" s="4" t="s">
        <v>7077</v>
      </c>
      <c r="P814" s="4"/>
      <c r="Q814" s="4"/>
      <c r="R814" s="4"/>
      <c r="S814" s="4"/>
      <c r="T814" s="4"/>
      <c r="U814" s="4"/>
      <c r="V814" s="4"/>
      <c r="W814" s="4"/>
      <c r="X814" s="4"/>
      <c r="Y814" s="4"/>
      <c r="Z814" s="4"/>
      <c r="AA814" s="4"/>
    </row>
    <row r="815">
      <c r="A815" s="4" t="s">
        <v>8109</v>
      </c>
      <c r="B815" s="4" t="s">
        <v>19</v>
      </c>
      <c r="C815" s="4" t="s">
        <v>6838</v>
      </c>
      <c r="D815" s="4">
        <v>44005.0</v>
      </c>
      <c r="E815" s="4">
        <v>0.4769097222222225</v>
      </c>
      <c r="F815" s="4">
        <v>3.4722222222222224E-4</v>
      </c>
      <c r="G815" s="4">
        <v>0.4772569444444447</v>
      </c>
      <c r="H815" s="4" t="s">
        <v>1944</v>
      </c>
      <c r="I815" s="4" t="s">
        <v>314</v>
      </c>
      <c r="J815" s="4" t="s">
        <v>314</v>
      </c>
      <c r="K815" s="4" t="s">
        <v>441</v>
      </c>
      <c r="L815" s="4" t="s">
        <v>89</v>
      </c>
      <c r="M815" s="4"/>
      <c r="N815" s="4"/>
      <c r="O815" s="4" t="s">
        <v>89</v>
      </c>
      <c r="P815" s="4"/>
      <c r="Q815" s="4"/>
      <c r="R815" s="4"/>
      <c r="S815" s="4"/>
      <c r="T815" s="4"/>
      <c r="U815" s="4">
        <v>0.0</v>
      </c>
      <c r="V815" s="4"/>
      <c r="W815" s="4"/>
      <c r="X815" s="4"/>
      <c r="Y815" s="4"/>
      <c r="Z815" s="4"/>
      <c r="AA815" s="4"/>
    </row>
    <row r="816">
      <c r="A816" s="4" t="s">
        <v>8110</v>
      </c>
      <c r="B816" s="4" t="s">
        <v>19</v>
      </c>
      <c r="C816" s="4" t="s">
        <v>6838</v>
      </c>
      <c r="D816" s="4">
        <v>44005.0</v>
      </c>
      <c r="E816" s="4">
        <v>0.4772569444444447</v>
      </c>
      <c r="F816" s="4">
        <v>1.7361111111111112E-4</v>
      </c>
      <c r="G816" s="4">
        <v>0.47743055555555586</v>
      </c>
      <c r="H816" s="4" t="s">
        <v>2004</v>
      </c>
      <c r="I816" s="4" t="s">
        <v>314</v>
      </c>
      <c r="J816" s="4" t="s">
        <v>314</v>
      </c>
      <c r="K816" s="4" t="s">
        <v>441</v>
      </c>
      <c r="L816" s="4" t="s">
        <v>77</v>
      </c>
      <c r="M816" s="4"/>
      <c r="N816" s="4"/>
      <c r="O816" s="4" t="s">
        <v>77</v>
      </c>
      <c r="P816" s="4"/>
      <c r="Q816" s="4"/>
      <c r="R816" s="4"/>
      <c r="S816" s="4"/>
      <c r="T816" s="4"/>
      <c r="U816" s="4">
        <v>0.0</v>
      </c>
      <c r="V816" s="4"/>
      <c r="W816" s="4"/>
      <c r="X816" s="4"/>
      <c r="Y816" s="4"/>
      <c r="Z816" s="4"/>
      <c r="AA816" s="4"/>
    </row>
    <row r="817">
      <c r="A817" s="4" t="s">
        <v>8111</v>
      </c>
      <c r="B817" s="4" t="s">
        <v>19</v>
      </c>
      <c r="C817" s="4" t="s">
        <v>6838</v>
      </c>
      <c r="D817" s="4">
        <v>44005.0</v>
      </c>
      <c r="E817" s="4">
        <v>0.47743055555555586</v>
      </c>
      <c r="F817" s="4">
        <v>3.4722222222222224E-4</v>
      </c>
      <c r="G817" s="4">
        <v>0.4777777777777781</v>
      </c>
      <c r="H817" s="4" t="s">
        <v>1944</v>
      </c>
      <c r="I817" s="4" t="s">
        <v>314</v>
      </c>
      <c r="J817" s="4" t="s">
        <v>314</v>
      </c>
      <c r="K817" s="4" t="s">
        <v>441</v>
      </c>
      <c r="L817" s="4" t="s">
        <v>81</v>
      </c>
      <c r="M817" s="4"/>
      <c r="N817" s="4"/>
      <c r="O817" s="4" t="s">
        <v>6878</v>
      </c>
      <c r="P817" s="4"/>
      <c r="Q817" s="4"/>
      <c r="R817" s="4"/>
      <c r="S817" s="4"/>
      <c r="T817" s="4"/>
      <c r="U817" s="4">
        <v>0.0</v>
      </c>
      <c r="V817" s="4"/>
      <c r="W817" s="4"/>
      <c r="X817" s="4"/>
      <c r="Y817" s="4"/>
      <c r="Z817" s="4"/>
      <c r="AA817" s="4"/>
    </row>
    <row r="818">
      <c r="A818" s="4" t="s">
        <v>8112</v>
      </c>
      <c r="B818" s="4" t="s">
        <v>19</v>
      </c>
      <c r="C818" s="4" t="s">
        <v>6838</v>
      </c>
      <c r="D818" s="4">
        <v>44005.0</v>
      </c>
      <c r="E818" s="4">
        <v>0.4777777777777781</v>
      </c>
      <c r="F818" s="4">
        <v>3.4722222222222224E-4</v>
      </c>
      <c r="G818" s="4">
        <v>0.4781250000000003</v>
      </c>
      <c r="H818" s="4" t="s">
        <v>1944</v>
      </c>
      <c r="I818" s="4"/>
      <c r="J818" s="4"/>
      <c r="K818" s="4" t="s">
        <v>441</v>
      </c>
      <c r="L818" s="4" t="s">
        <v>511</v>
      </c>
      <c r="M818" s="4"/>
      <c r="N818" s="4"/>
      <c r="O818" s="4" t="s">
        <v>511</v>
      </c>
      <c r="P818" s="4"/>
      <c r="Q818" s="4"/>
      <c r="R818" s="4"/>
      <c r="S818" s="4"/>
      <c r="T818" s="4"/>
      <c r="U818" s="4"/>
      <c r="V818" s="4"/>
      <c r="W818" s="4"/>
      <c r="X818" s="4"/>
      <c r="Y818" s="4"/>
      <c r="Z818" s="4"/>
      <c r="AA818" s="4"/>
    </row>
    <row r="819">
      <c r="A819" s="4" t="s">
        <v>8113</v>
      </c>
      <c r="B819" s="4" t="s">
        <v>19</v>
      </c>
      <c r="C819" s="4" t="s">
        <v>6838</v>
      </c>
      <c r="D819" s="4">
        <v>44005.0</v>
      </c>
      <c r="E819" s="4">
        <v>0.4781250000000003</v>
      </c>
      <c r="F819" s="4">
        <v>0.013888888888888888</v>
      </c>
      <c r="G819" s="4">
        <v>0.4920138888888892</v>
      </c>
      <c r="H819" s="4" t="s">
        <v>1125</v>
      </c>
      <c r="I819" s="4" t="s">
        <v>314</v>
      </c>
      <c r="J819" s="4" t="s">
        <v>6870</v>
      </c>
      <c r="K819" s="4" t="s">
        <v>441</v>
      </c>
      <c r="L819" s="4" t="s">
        <v>165</v>
      </c>
      <c r="M819" s="4" t="s">
        <v>7126</v>
      </c>
      <c r="N819" s="4" t="s">
        <v>6755</v>
      </c>
      <c r="O819" s="4" t="s">
        <v>8114</v>
      </c>
      <c r="P819" s="4" t="s">
        <v>1032</v>
      </c>
      <c r="Q819" s="4" t="s">
        <v>1033</v>
      </c>
      <c r="R819" s="4"/>
      <c r="S819" s="4"/>
      <c r="T819" s="4"/>
      <c r="U819" s="4">
        <v>2.0</v>
      </c>
      <c r="V819" s="4" t="s">
        <v>8115</v>
      </c>
      <c r="W819" s="4" t="s">
        <v>6890</v>
      </c>
      <c r="X819" s="4"/>
      <c r="Y819" s="4"/>
      <c r="Z819" s="4"/>
      <c r="AA819" s="4"/>
    </row>
    <row r="820">
      <c r="A820" s="4" t="s">
        <v>8116</v>
      </c>
      <c r="B820" s="4" t="s">
        <v>19</v>
      </c>
      <c r="C820" s="4" t="s">
        <v>6838</v>
      </c>
      <c r="D820" s="4">
        <v>44005.0</v>
      </c>
      <c r="E820" s="4">
        <v>0.4920138888888892</v>
      </c>
      <c r="F820" s="4">
        <v>1.7361111111111112E-4</v>
      </c>
      <c r="G820" s="4">
        <v>0.49218750000000033</v>
      </c>
      <c r="H820" s="4" t="s">
        <v>1944</v>
      </c>
      <c r="I820" s="4"/>
      <c r="J820" s="4"/>
      <c r="K820" s="4" t="s">
        <v>441</v>
      </c>
      <c r="L820" s="4" t="s">
        <v>85</v>
      </c>
      <c r="M820" s="4"/>
      <c r="N820" s="4"/>
      <c r="O820" s="4" t="s">
        <v>7241</v>
      </c>
      <c r="P820" s="4"/>
      <c r="Q820" s="4"/>
      <c r="R820" s="4"/>
      <c r="S820" s="4"/>
      <c r="T820" s="4"/>
      <c r="U820" s="4"/>
      <c r="V820" s="4"/>
      <c r="W820" s="4"/>
      <c r="X820" s="4"/>
      <c r="Y820" s="4"/>
      <c r="Z820" s="4"/>
      <c r="AA820" s="4"/>
    </row>
    <row r="821">
      <c r="A821" s="4" t="s">
        <v>8117</v>
      </c>
      <c r="B821" s="4" t="s">
        <v>19</v>
      </c>
      <c r="C821" s="4" t="s">
        <v>6838</v>
      </c>
      <c r="D821" s="4">
        <v>44005.0</v>
      </c>
      <c r="E821" s="4">
        <v>0.49218750000000033</v>
      </c>
      <c r="F821" s="4">
        <v>3.4722222222222224E-4</v>
      </c>
      <c r="G821" s="4">
        <v>0.49253472222222255</v>
      </c>
      <c r="H821" s="4" t="s">
        <v>2004</v>
      </c>
      <c r="I821" s="4" t="s">
        <v>314</v>
      </c>
      <c r="J821" s="4" t="s">
        <v>314</v>
      </c>
      <c r="K821" s="4" t="s">
        <v>441</v>
      </c>
      <c r="L821" s="4" t="s">
        <v>77</v>
      </c>
      <c r="M821" s="4"/>
      <c r="N821" s="4"/>
      <c r="O821" s="4" t="s">
        <v>77</v>
      </c>
      <c r="P821" s="4"/>
      <c r="Q821" s="4"/>
      <c r="R821" s="4"/>
      <c r="S821" s="4"/>
      <c r="T821" s="4"/>
      <c r="U821" s="4">
        <v>0.0</v>
      </c>
      <c r="V821" s="4"/>
      <c r="W821" s="4"/>
      <c r="X821" s="4"/>
      <c r="Y821" s="4"/>
      <c r="Z821" s="4"/>
      <c r="AA821" s="4"/>
    </row>
    <row r="822">
      <c r="A822" s="4" t="s">
        <v>8118</v>
      </c>
      <c r="B822" s="4" t="s">
        <v>19</v>
      </c>
      <c r="C822" s="4" t="s">
        <v>6838</v>
      </c>
      <c r="D822" s="4">
        <v>44005.0</v>
      </c>
      <c r="E822" s="4">
        <v>0.49253472222222255</v>
      </c>
      <c r="F822" s="4">
        <v>3.4722222222222224E-4</v>
      </c>
      <c r="G822" s="4">
        <v>0.4928819444444448</v>
      </c>
      <c r="H822" s="4" t="s">
        <v>1944</v>
      </c>
      <c r="I822" s="4" t="s">
        <v>314</v>
      </c>
      <c r="J822" s="4" t="s">
        <v>314</v>
      </c>
      <c r="K822" s="4" t="s">
        <v>441</v>
      </c>
      <c r="L822" s="4" t="s">
        <v>81</v>
      </c>
      <c r="M822" s="4"/>
      <c r="N822" s="4"/>
      <c r="O822" s="4" t="s">
        <v>6878</v>
      </c>
      <c r="P822" s="4"/>
      <c r="Q822" s="4"/>
      <c r="R822" s="4"/>
      <c r="S822" s="4"/>
      <c r="T822" s="4"/>
      <c r="U822" s="4">
        <v>0.0</v>
      </c>
      <c r="V822" s="4"/>
      <c r="W822" s="4"/>
      <c r="X822" s="4"/>
      <c r="Y822" s="4"/>
      <c r="Z822" s="4"/>
      <c r="AA822" s="4"/>
    </row>
    <row r="823">
      <c r="A823" s="4" t="s">
        <v>8119</v>
      </c>
      <c r="B823" s="4" t="s">
        <v>19</v>
      </c>
      <c r="C823" s="4" t="s">
        <v>6838</v>
      </c>
      <c r="D823" s="4">
        <v>44005.0</v>
      </c>
      <c r="E823" s="4">
        <v>0.4928819444444448</v>
      </c>
      <c r="F823" s="4">
        <v>0.006944444444444444</v>
      </c>
      <c r="G823" s="4">
        <v>0.4998263888888892</v>
      </c>
      <c r="H823" s="4" t="s">
        <v>1125</v>
      </c>
      <c r="I823" s="4" t="s">
        <v>314</v>
      </c>
      <c r="J823" s="4" t="s">
        <v>7059</v>
      </c>
      <c r="K823" s="4" t="s">
        <v>441</v>
      </c>
      <c r="L823" s="4" t="s">
        <v>165</v>
      </c>
      <c r="M823" s="4" t="s">
        <v>7126</v>
      </c>
      <c r="N823" s="4" t="s">
        <v>6689</v>
      </c>
      <c r="O823" s="4" t="s">
        <v>1099</v>
      </c>
      <c r="P823" s="4" t="s">
        <v>1100</v>
      </c>
      <c r="Q823" s="4"/>
      <c r="R823" s="4"/>
      <c r="S823" s="4"/>
      <c r="T823" s="4"/>
      <c r="U823" s="4">
        <v>1.0</v>
      </c>
      <c r="V823" s="4" t="s">
        <v>8120</v>
      </c>
      <c r="W823" s="4" t="s">
        <v>6890</v>
      </c>
      <c r="X823" s="4"/>
      <c r="Y823" s="4"/>
      <c r="Z823" s="4"/>
      <c r="AA823" s="4"/>
    </row>
    <row r="824">
      <c r="A824" s="4" t="s">
        <v>8121</v>
      </c>
      <c r="B824" s="4" t="s">
        <v>19</v>
      </c>
      <c r="C824" s="4" t="s">
        <v>6838</v>
      </c>
      <c r="D824" s="4">
        <v>44005.0</v>
      </c>
      <c r="E824" s="4">
        <v>0.4998263888888892</v>
      </c>
      <c r="F824" s="4">
        <v>1.7361111111111112E-4</v>
      </c>
      <c r="G824" s="4">
        <v>0.5000000000000003</v>
      </c>
      <c r="H824" s="4" t="s">
        <v>1944</v>
      </c>
      <c r="I824" s="4" t="s">
        <v>314</v>
      </c>
      <c r="J824" s="4" t="s">
        <v>314</v>
      </c>
      <c r="K824" s="4" t="s">
        <v>441</v>
      </c>
      <c r="L824" s="4" t="s">
        <v>85</v>
      </c>
      <c r="M824" s="4"/>
      <c r="N824" s="4"/>
      <c r="O824" s="4" t="s">
        <v>7241</v>
      </c>
      <c r="P824" s="4"/>
      <c r="Q824" s="4"/>
      <c r="R824" s="4"/>
      <c r="S824" s="4"/>
      <c r="T824" s="4"/>
      <c r="U824" s="4">
        <v>0.0</v>
      </c>
      <c r="V824" s="4"/>
      <c r="W824" s="4"/>
      <c r="X824" s="4"/>
      <c r="Y824" s="4"/>
      <c r="Z824" s="4"/>
      <c r="AA824" s="4"/>
    </row>
    <row r="825">
      <c r="A825" s="4" t="s">
        <v>8122</v>
      </c>
      <c r="B825" s="4" t="s">
        <v>19</v>
      </c>
      <c r="C825" s="4" t="s">
        <v>6838</v>
      </c>
      <c r="D825" s="4">
        <v>44005.0</v>
      </c>
      <c r="E825" s="4">
        <v>0.5000000000000003</v>
      </c>
      <c r="F825" s="4">
        <v>3.4722222222222224E-4</v>
      </c>
      <c r="G825" s="4">
        <v>0.5003472222222226</v>
      </c>
      <c r="H825" s="4" t="s">
        <v>1944</v>
      </c>
      <c r="I825" s="4" t="s">
        <v>314</v>
      </c>
      <c r="J825" s="4" t="s">
        <v>314</v>
      </c>
      <c r="K825" s="4" t="s">
        <v>164</v>
      </c>
      <c r="L825" s="4" t="s">
        <v>81</v>
      </c>
      <c r="M825" s="4"/>
      <c r="N825" s="4"/>
      <c r="O825" s="4" t="s">
        <v>6878</v>
      </c>
      <c r="P825" s="4"/>
      <c r="Q825" s="4"/>
      <c r="R825" s="4"/>
      <c r="S825" s="4"/>
      <c r="T825" s="4"/>
      <c r="U825" s="4">
        <v>0.0</v>
      </c>
      <c r="V825" s="4"/>
      <c r="W825" s="4"/>
      <c r="X825" s="4"/>
      <c r="Y825" s="4"/>
      <c r="Z825" s="4"/>
      <c r="AA825" s="4"/>
    </row>
    <row r="826">
      <c r="A826" s="4" t="s">
        <v>8123</v>
      </c>
      <c r="B826" s="4" t="s">
        <v>19</v>
      </c>
      <c r="C826" s="4" t="s">
        <v>6838</v>
      </c>
      <c r="D826" s="4">
        <v>44005.0</v>
      </c>
      <c r="E826" s="4">
        <v>0.5003472222222226</v>
      </c>
      <c r="F826" s="4">
        <v>0.006944444444444444</v>
      </c>
      <c r="G826" s="4">
        <v>0.507291666666667</v>
      </c>
      <c r="H826" s="4" t="s">
        <v>946</v>
      </c>
      <c r="I826" s="4" t="s">
        <v>6993</v>
      </c>
      <c r="J826" s="4" t="s">
        <v>15</v>
      </c>
      <c r="K826" s="4" t="s">
        <v>164</v>
      </c>
      <c r="L826" s="4" t="s">
        <v>94</v>
      </c>
      <c r="M826" s="4" t="s">
        <v>7446</v>
      </c>
      <c r="N826" s="4" t="s">
        <v>6749</v>
      </c>
      <c r="O826" s="4" t="s">
        <v>1044</v>
      </c>
      <c r="P826" s="4" t="s">
        <v>8124</v>
      </c>
      <c r="Q826" s="4"/>
      <c r="R826" s="4"/>
      <c r="S826" s="4"/>
      <c r="T826" s="4" t="s">
        <v>8125</v>
      </c>
      <c r="U826" s="4">
        <v>2.0</v>
      </c>
      <c r="V826" s="4" t="s">
        <v>8126</v>
      </c>
      <c r="W826" s="4" t="s">
        <v>6962</v>
      </c>
      <c r="X826" s="4"/>
      <c r="Y826" s="4"/>
      <c r="Z826" s="4" t="s">
        <v>946</v>
      </c>
      <c r="AA826" s="4"/>
    </row>
    <row r="827">
      <c r="A827" s="4" t="s">
        <v>8127</v>
      </c>
      <c r="B827" s="4" t="s">
        <v>19</v>
      </c>
      <c r="C827" s="4" t="s">
        <v>6838</v>
      </c>
      <c r="D827" s="4">
        <v>44005.0</v>
      </c>
      <c r="E827" s="4">
        <v>0.507291666666667</v>
      </c>
      <c r="F827" s="4">
        <v>1.7361111111111112E-4</v>
      </c>
      <c r="G827" s="4">
        <v>0.5074652777777782</v>
      </c>
      <c r="H827" s="4" t="s">
        <v>1944</v>
      </c>
      <c r="I827" s="4" t="s">
        <v>314</v>
      </c>
      <c r="J827" s="4" t="s">
        <v>314</v>
      </c>
      <c r="K827" s="4" t="s">
        <v>164</v>
      </c>
      <c r="L827" s="4" t="s">
        <v>85</v>
      </c>
      <c r="M827" s="4"/>
      <c r="N827" s="4"/>
      <c r="O827" s="4" t="s">
        <v>7241</v>
      </c>
      <c r="P827" s="4"/>
      <c r="Q827" s="4"/>
      <c r="R827" s="4"/>
      <c r="S827" s="4"/>
      <c r="T827" s="4"/>
      <c r="U827" s="4">
        <v>0.0</v>
      </c>
      <c r="V827" s="4"/>
      <c r="W827" s="4"/>
      <c r="X827" s="4"/>
      <c r="Y827" s="4"/>
      <c r="Z827" s="4"/>
      <c r="AA827" s="4"/>
    </row>
    <row r="828">
      <c r="A828" s="4" t="s">
        <v>8128</v>
      </c>
      <c r="B828" s="4" t="s">
        <v>19</v>
      </c>
      <c r="C828" s="4" t="s">
        <v>6838</v>
      </c>
      <c r="D828" s="4">
        <v>44005.0</v>
      </c>
      <c r="E828" s="4">
        <v>0.5074652777777782</v>
      </c>
      <c r="F828" s="4">
        <v>1.7361111111111112E-4</v>
      </c>
      <c r="G828" s="4">
        <v>0.5076388888888893</v>
      </c>
      <c r="H828" s="4" t="s">
        <v>1944</v>
      </c>
      <c r="I828" s="4" t="s">
        <v>314</v>
      </c>
      <c r="J828" s="4" t="s">
        <v>314</v>
      </c>
      <c r="K828" s="4" t="s">
        <v>164</v>
      </c>
      <c r="L828" s="4" t="s">
        <v>77</v>
      </c>
      <c r="M828" s="4"/>
      <c r="N828" s="4"/>
      <c r="O828" s="4" t="s">
        <v>77</v>
      </c>
      <c r="P828" s="4"/>
      <c r="Q828" s="4"/>
      <c r="R828" s="4"/>
      <c r="S828" s="4"/>
      <c r="T828" s="4"/>
      <c r="U828" s="4">
        <v>0.0</v>
      </c>
      <c r="V828" s="4"/>
      <c r="W828" s="4"/>
      <c r="X828" s="4"/>
      <c r="Y828" s="4"/>
      <c r="Z828" s="4"/>
      <c r="AA828" s="4"/>
    </row>
    <row r="829">
      <c r="A829" s="4" t="s">
        <v>8129</v>
      </c>
      <c r="B829" s="4" t="s">
        <v>19</v>
      </c>
      <c r="C829" s="4" t="s">
        <v>6838</v>
      </c>
      <c r="D829" s="4">
        <v>44005.0</v>
      </c>
      <c r="E829" s="4">
        <v>0.5076388888888893</v>
      </c>
      <c r="F829" s="4">
        <v>3.4722222222222224E-4</v>
      </c>
      <c r="G829" s="4">
        <v>0.5079861111111116</v>
      </c>
      <c r="H829" s="4" t="s">
        <v>1944</v>
      </c>
      <c r="I829" s="4" t="s">
        <v>314</v>
      </c>
      <c r="J829" s="4" t="s">
        <v>314</v>
      </c>
      <c r="K829" s="4" t="s">
        <v>164</v>
      </c>
      <c r="L829" s="4" t="s">
        <v>81</v>
      </c>
      <c r="M829" s="4"/>
      <c r="N829" s="4"/>
      <c r="O829" s="4" t="s">
        <v>6878</v>
      </c>
      <c r="P829" s="4"/>
      <c r="Q829" s="4"/>
      <c r="R829" s="4"/>
      <c r="S829" s="4"/>
      <c r="T829" s="4"/>
      <c r="U829" s="4">
        <v>0.0</v>
      </c>
      <c r="V829" s="4"/>
      <c r="W829" s="4"/>
      <c r="X829" s="4"/>
      <c r="Y829" s="4"/>
      <c r="Z829" s="4"/>
      <c r="AA829" s="4"/>
    </row>
    <row r="830">
      <c r="A830" s="4" t="s">
        <v>8130</v>
      </c>
      <c r="B830" s="4" t="s">
        <v>19</v>
      </c>
      <c r="C830" s="4" t="s">
        <v>6838</v>
      </c>
      <c r="D830" s="4">
        <v>44005.0</v>
      </c>
      <c r="E830" s="4">
        <v>0.5079861111111116</v>
      </c>
      <c r="F830" s="4">
        <v>0.006944444444444444</v>
      </c>
      <c r="G830" s="4">
        <v>0.514930555555556</v>
      </c>
      <c r="H830" s="4" t="s">
        <v>946</v>
      </c>
      <c r="I830" s="4" t="s">
        <v>314</v>
      </c>
      <c r="J830" s="4" t="s">
        <v>15</v>
      </c>
      <c r="K830" s="4" t="s">
        <v>164</v>
      </c>
      <c r="L830" s="4" t="s">
        <v>165</v>
      </c>
      <c r="M830" s="4" t="s">
        <v>7126</v>
      </c>
      <c r="N830" s="4" t="s">
        <v>6749</v>
      </c>
      <c r="O830" s="4" t="s">
        <v>623</v>
      </c>
      <c r="P830" s="4" t="s">
        <v>624</v>
      </c>
      <c r="Q830" s="4"/>
      <c r="R830" s="4"/>
      <c r="S830" s="4"/>
      <c r="T830" s="4"/>
      <c r="U830" s="4">
        <v>1.0</v>
      </c>
      <c r="V830" s="4" t="s">
        <v>8131</v>
      </c>
      <c r="W830" s="4" t="s">
        <v>6890</v>
      </c>
      <c r="X830" s="4">
        <v>43973.625</v>
      </c>
      <c r="Y830" s="4"/>
      <c r="Z830" s="4" t="s">
        <v>946</v>
      </c>
      <c r="AA830" s="4"/>
    </row>
    <row r="831">
      <c r="A831" s="4" t="s">
        <v>8132</v>
      </c>
      <c r="B831" s="4" t="s">
        <v>19</v>
      </c>
      <c r="C831" s="4" t="s">
        <v>6838</v>
      </c>
      <c r="D831" s="4">
        <v>44005.0</v>
      </c>
      <c r="E831" s="4">
        <v>0.514930555555556</v>
      </c>
      <c r="F831" s="4">
        <v>1.7361111111111112E-4</v>
      </c>
      <c r="G831" s="4">
        <v>0.5151041666666671</v>
      </c>
      <c r="H831" s="4" t="s">
        <v>1944</v>
      </c>
      <c r="I831" s="4" t="s">
        <v>314</v>
      </c>
      <c r="J831" s="4" t="s">
        <v>314</v>
      </c>
      <c r="K831" s="4" t="s">
        <v>164</v>
      </c>
      <c r="L831" s="4" t="s">
        <v>85</v>
      </c>
      <c r="M831" s="4"/>
      <c r="N831" s="4"/>
      <c r="O831" s="4" t="s">
        <v>7241</v>
      </c>
      <c r="P831" s="4"/>
      <c r="Q831" s="4"/>
      <c r="R831" s="4"/>
      <c r="S831" s="4"/>
      <c r="T831" s="4"/>
      <c r="U831" s="4">
        <v>0.0</v>
      </c>
      <c r="V831" s="4"/>
      <c r="W831" s="4"/>
      <c r="X831" s="4"/>
      <c r="Y831" s="4"/>
      <c r="Z831" s="4"/>
      <c r="AA831" s="4"/>
    </row>
    <row r="832">
      <c r="A832" s="4" t="s">
        <v>8133</v>
      </c>
      <c r="B832" s="4" t="s">
        <v>19</v>
      </c>
      <c r="C832" s="4" t="s">
        <v>6838</v>
      </c>
      <c r="D832" s="4">
        <v>44005.0</v>
      </c>
      <c r="E832" s="4">
        <v>0.5151041666666671</v>
      </c>
      <c r="F832" s="4">
        <v>3.4722222222222224E-4</v>
      </c>
      <c r="G832" s="4">
        <v>0.5154513888888894</v>
      </c>
      <c r="H832" s="4" t="s">
        <v>1944</v>
      </c>
      <c r="I832" s="4" t="s">
        <v>314</v>
      </c>
      <c r="J832" s="4" t="s">
        <v>314</v>
      </c>
      <c r="K832" s="4" t="s">
        <v>164</v>
      </c>
      <c r="L832" s="4" t="s">
        <v>81</v>
      </c>
      <c r="M832" s="4"/>
      <c r="N832" s="4"/>
      <c r="O832" s="4" t="s">
        <v>6878</v>
      </c>
      <c r="P832" s="4"/>
      <c r="Q832" s="4"/>
      <c r="R832" s="4"/>
      <c r="S832" s="4"/>
      <c r="T832" s="4"/>
      <c r="U832" s="4">
        <v>0.0</v>
      </c>
      <c r="V832" s="4"/>
      <c r="W832" s="4"/>
      <c r="X832" s="4"/>
      <c r="Y832" s="4"/>
      <c r="Z832" s="4"/>
      <c r="AA832" s="4"/>
    </row>
    <row r="833">
      <c r="A833" s="4" t="s">
        <v>8134</v>
      </c>
      <c r="B833" s="4" t="s">
        <v>19</v>
      </c>
      <c r="C833" s="4" t="s">
        <v>6838</v>
      </c>
      <c r="D833" s="4">
        <v>44005.0</v>
      </c>
      <c r="E833" s="4">
        <v>0.5154513888888894</v>
      </c>
      <c r="F833" s="4">
        <v>0.006944444444444444</v>
      </c>
      <c r="G833" s="4">
        <v>0.5223958333333338</v>
      </c>
      <c r="H833" s="4" t="s">
        <v>946</v>
      </c>
      <c r="I833" s="4" t="s">
        <v>314</v>
      </c>
      <c r="J833" s="4" t="s">
        <v>15</v>
      </c>
      <c r="K833" s="4" t="s">
        <v>164</v>
      </c>
      <c r="L833" s="4" t="s">
        <v>165</v>
      </c>
      <c r="M833" s="4"/>
      <c r="N833" s="4" t="s">
        <v>6749</v>
      </c>
      <c r="O833" s="4" t="s">
        <v>8135</v>
      </c>
      <c r="P833" s="4" t="s">
        <v>1054</v>
      </c>
      <c r="Q833" s="4"/>
      <c r="R833" s="4"/>
      <c r="S833" s="4"/>
      <c r="T833" s="4"/>
      <c r="U833" s="4">
        <v>1.0</v>
      </c>
      <c r="V833" s="4" t="s">
        <v>8136</v>
      </c>
      <c r="W833" s="4" t="s">
        <v>6890</v>
      </c>
      <c r="X833" s="4"/>
      <c r="Y833" s="4"/>
      <c r="Z833" s="4" t="s">
        <v>946</v>
      </c>
      <c r="AA833" s="4"/>
    </row>
    <row r="834">
      <c r="A834" s="4" t="s">
        <v>8137</v>
      </c>
      <c r="B834" s="4" t="s">
        <v>19</v>
      </c>
      <c r="C834" s="4" t="s">
        <v>6838</v>
      </c>
      <c r="D834" s="4">
        <v>44005.0</v>
      </c>
      <c r="E834" s="4">
        <v>0.5223958333333338</v>
      </c>
      <c r="F834" s="4">
        <v>1.7361111111111112E-4</v>
      </c>
      <c r="G834" s="4">
        <v>0.522569444444445</v>
      </c>
      <c r="H834" s="4" t="s">
        <v>1944</v>
      </c>
      <c r="I834" s="4" t="s">
        <v>314</v>
      </c>
      <c r="J834" s="4" t="s">
        <v>314</v>
      </c>
      <c r="K834" s="4" t="s">
        <v>164</v>
      </c>
      <c r="L834" s="4" t="s">
        <v>85</v>
      </c>
      <c r="M834" s="4"/>
      <c r="N834" s="4"/>
      <c r="O834" s="4" t="s">
        <v>7241</v>
      </c>
      <c r="P834" s="4"/>
      <c r="Q834" s="4"/>
      <c r="R834" s="4"/>
      <c r="S834" s="4"/>
      <c r="T834" s="4"/>
      <c r="U834" s="4">
        <v>0.0</v>
      </c>
      <c r="V834" s="4"/>
      <c r="W834" s="4"/>
      <c r="X834" s="4"/>
      <c r="Y834" s="4"/>
      <c r="Z834" s="4"/>
      <c r="AA834" s="4"/>
    </row>
    <row r="835">
      <c r="A835" s="4" t="s">
        <v>8138</v>
      </c>
      <c r="B835" s="4" t="s">
        <v>19</v>
      </c>
      <c r="C835" s="4" t="s">
        <v>6838</v>
      </c>
      <c r="D835" s="4">
        <v>44005.0</v>
      </c>
      <c r="E835" s="4">
        <v>0.522569444444445</v>
      </c>
      <c r="F835" s="4">
        <v>1.7361111111111112E-4</v>
      </c>
      <c r="G835" s="4">
        <v>0.5227430555555561</v>
      </c>
      <c r="H835" s="4" t="s">
        <v>1944</v>
      </c>
      <c r="I835" s="4" t="s">
        <v>314</v>
      </c>
      <c r="J835" s="4" t="s">
        <v>314</v>
      </c>
      <c r="K835" s="4" t="s">
        <v>164</v>
      </c>
      <c r="L835" s="4" t="s">
        <v>77</v>
      </c>
      <c r="M835" s="4"/>
      <c r="N835" s="4"/>
      <c r="O835" s="4" t="s">
        <v>77</v>
      </c>
      <c r="P835" s="4"/>
      <c r="Q835" s="4"/>
      <c r="R835" s="4"/>
      <c r="S835" s="4"/>
      <c r="T835" s="4"/>
      <c r="U835" s="4">
        <v>0.0</v>
      </c>
      <c r="V835" s="4"/>
      <c r="W835" s="4"/>
      <c r="X835" s="4"/>
      <c r="Y835" s="4"/>
      <c r="Z835" s="4"/>
      <c r="AA835" s="4"/>
    </row>
    <row r="836">
      <c r="A836" s="4" t="s">
        <v>8139</v>
      </c>
      <c r="B836" s="4" t="s">
        <v>19</v>
      </c>
      <c r="C836" s="4" t="s">
        <v>6838</v>
      </c>
      <c r="D836" s="4">
        <v>44005.0</v>
      </c>
      <c r="E836" s="4">
        <v>0.5227430555555561</v>
      </c>
      <c r="F836" s="4">
        <v>3.4722222222222224E-4</v>
      </c>
      <c r="G836" s="4">
        <v>0.5230902777777784</v>
      </c>
      <c r="H836" s="4" t="s">
        <v>1944</v>
      </c>
      <c r="I836" s="4" t="s">
        <v>314</v>
      </c>
      <c r="J836" s="4" t="s">
        <v>314</v>
      </c>
      <c r="K836" s="4" t="s">
        <v>164</v>
      </c>
      <c r="L836" s="4" t="s">
        <v>81</v>
      </c>
      <c r="M836" s="4"/>
      <c r="N836" s="4"/>
      <c r="O836" s="4" t="s">
        <v>6878</v>
      </c>
      <c r="P836" s="4"/>
      <c r="Q836" s="4"/>
      <c r="R836" s="4"/>
      <c r="S836" s="4"/>
      <c r="T836" s="4"/>
      <c r="U836" s="4">
        <v>0.0</v>
      </c>
      <c r="V836" s="4"/>
      <c r="W836" s="4"/>
      <c r="X836" s="4"/>
      <c r="Y836" s="4"/>
      <c r="Z836" s="4"/>
      <c r="AA836" s="4"/>
    </row>
    <row r="837">
      <c r="A837" s="4" t="s">
        <v>8140</v>
      </c>
      <c r="B837" s="4" t="s">
        <v>19</v>
      </c>
      <c r="C837" s="4" t="s">
        <v>6838</v>
      </c>
      <c r="D837" s="4">
        <v>44005.0</v>
      </c>
      <c r="E837" s="4">
        <v>0.5230902777777784</v>
      </c>
      <c r="F837" s="4">
        <v>0.006944444444444444</v>
      </c>
      <c r="G837" s="4">
        <v>0.5300347222222228</v>
      </c>
      <c r="H837" s="4" t="s">
        <v>946</v>
      </c>
      <c r="I837" s="4" t="s">
        <v>6993</v>
      </c>
      <c r="J837" s="4" t="s">
        <v>15</v>
      </c>
      <c r="K837" s="4" t="s">
        <v>164</v>
      </c>
      <c r="L837" s="4" t="s">
        <v>107</v>
      </c>
      <c r="M837" s="4" t="s">
        <v>7462</v>
      </c>
      <c r="N837" s="4" t="s">
        <v>6720</v>
      </c>
      <c r="O837" s="4" t="s">
        <v>8141</v>
      </c>
      <c r="P837" s="4" t="s">
        <v>1059</v>
      </c>
      <c r="Q837" s="4" t="s">
        <v>1060</v>
      </c>
      <c r="R837" s="4"/>
      <c r="S837" s="4"/>
      <c r="T837" s="4" t="s">
        <v>439</v>
      </c>
      <c r="U837" s="4">
        <v>3.0</v>
      </c>
      <c r="V837" s="4" t="s">
        <v>8142</v>
      </c>
      <c r="W837" s="4" t="s">
        <v>6962</v>
      </c>
      <c r="X837" s="4"/>
      <c r="Y837" s="4"/>
      <c r="Z837" s="4" t="s">
        <v>946</v>
      </c>
      <c r="AA837" s="4"/>
    </row>
    <row r="838">
      <c r="A838" s="4" t="s">
        <v>8143</v>
      </c>
      <c r="B838" s="4" t="s">
        <v>19</v>
      </c>
      <c r="C838" s="4" t="s">
        <v>6838</v>
      </c>
      <c r="D838" s="4">
        <v>44005.0</v>
      </c>
      <c r="E838" s="4">
        <v>0.5300347222222228</v>
      </c>
      <c r="F838" s="4">
        <v>1.7361111111111112E-4</v>
      </c>
      <c r="G838" s="4">
        <v>0.530208333333334</v>
      </c>
      <c r="H838" s="4" t="s">
        <v>1944</v>
      </c>
      <c r="I838" s="4" t="s">
        <v>314</v>
      </c>
      <c r="J838" s="4" t="s">
        <v>314</v>
      </c>
      <c r="K838" s="4" t="s">
        <v>164</v>
      </c>
      <c r="L838" s="4" t="s">
        <v>85</v>
      </c>
      <c r="M838" s="4"/>
      <c r="N838" s="4"/>
      <c r="O838" s="4" t="s">
        <v>7241</v>
      </c>
      <c r="P838" s="4"/>
      <c r="Q838" s="4"/>
      <c r="R838" s="4"/>
      <c r="S838" s="4"/>
      <c r="T838" s="4"/>
      <c r="U838" s="4">
        <v>0.0</v>
      </c>
      <c r="V838" s="4"/>
      <c r="W838" s="4"/>
      <c r="X838" s="4"/>
      <c r="Y838" s="4"/>
      <c r="Z838" s="4"/>
      <c r="AA838" s="4"/>
    </row>
    <row r="839">
      <c r="A839" s="4" t="s">
        <v>8144</v>
      </c>
      <c r="B839" s="4" t="s">
        <v>19</v>
      </c>
      <c r="C839" s="4" t="s">
        <v>6838</v>
      </c>
      <c r="D839" s="4">
        <v>44005.0</v>
      </c>
      <c r="E839" s="4">
        <v>0.530208333333334</v>
      </c>
      <c r="F839" s="4">
        <v>3.4722222222222224E-4</v>
      </c>
      <c r="G839" s="4">
        <v>0.5305555555555562</v>
      </c>
      <c r="H839" s="4" t="s">
        <v>1944</v>
      </c>
      <c r="I839" s="4" t="s">
        <v>314</v>
      </c>
      <c r="J839" s="4" t="s">
        <v>314</v>
      </c>
      <c r="K839" s="4" t="s">
        <v>164</v>
      </c>
      <c r="L839" s="4" t="s">
        <v>81</v>
      </c>
      <c r="M839" s="4"/>
      <c r="N839" s="4"/>
      <c r="O839" s="4" t="s">
        <v>6878</v>
      </c>
      <c r="P839" s="4"/>
      <c r="Q839" s="4"/>
      <c r="R839" s="4"/>
      <c r="S839" s="4"/>
      <c r="T839" s="4"/>
      <c r="U839" s="4">
        <v>0.0</v>
      </c>
      <c r="V839" s="4"/>
      <c r="W839" s="4"/>
      <c r="X839" s="4"/>
      <c r="Y839" s="4"/>
      <c r="Z839" s="4"/>
      <c r="AA839" s="4"/>
    </row>
    <row r="840">
      <c r="A840" s="4" t="s">
        <v>8145</v>
      </c>
      <c r="B840" s="4" t="s">
        <v>19</v>
      </c>
      <c r="C840" s="4" t="s">
        <v>6838</v>
      </c>
      <c r="D840" s="4">
        <v>44005.0</v>
      </c>
      <c r="E840" s="4">
        <v>0.5305555555555562</v>
      </c>
      <c r="F840" s="4">
        <v>0.0109375</v>
      </c>
      <c r="G840" s="4">
        <v>0.5414930555555563</v>
      </c>
      <c r="H840" s="4" t="s">
        <v>946</v>
      </c>
      <c r="I840" s="4" t="s">
        <v>6993</v>
      </c>
      <c r="J840" s="4" t="s">
        <v>15</v>
      </c>
      <c r="K840" s="4" t="s">
        <v>164</v>
      </c>
      <c r="L840" s="4" t="s">
        <v>74</v>
      </c>
      <c r="M840" s="4" t="s">
        <v>8146</v>
      </c>
      <c r="N840" s="4" t="s">
        <v>6720</v>
      </c>
      <c r="O840" s="4" t="s">
        <v>1062</v>
      </c>
      <c r="P840" s="4" t="s">
        <v>1063</v>
      </c>
      <c r="Q840" s="4" t="s">
        <v>1064</v>
      </c>
      <c r="R840" s="4" t="s">
        <v>1065</v>
      </c>
      <c r="S840" s="4"/>
      <c r="T840" s="4" t="s">
        <v>8147</v>
      </c>
      <c r="U840" s="4">
        <v>4.0</v>
      </c>
      <c r="V840" s="4" t="s">
        <v>8148</v>
      </c>
      <c r="W840" s="4" t="s">
        <v>6962</v>
      </c>
      <c r="X840" s="4">
        <v>43959.75</v>
      </c>
      <c r="Y840" s="4"/>
      <c r="Z840" s="4" t="s">
        <v>946</v>
      </c>
      <c r="AA840" s="4"/>
    </row>
    <row r="841">
      <c r="A841" s="4" t="s">
        <v>8149</v>
      </c>
      <c r="B841" s="4" t="s">
        <v>19</v>
      </c>
      <c r="C841" s="4" t="s">
        <v>6838</v>
      </c>
      <c r="D841" s="4">
        <v>44005.0</v>
      </c>
      <c r="E841" s="4">
        <v>0.5414930555555563</v>
      </c>
      <c r="F841" s="4">
        <v>1.7361111111111112E-4</v>
      </c>
      <c r="G841" s="4">
        <v>0.5416666666666674</v>
      </c>
      <c r="H841" s="4" t="s">
        <v>1944</v>
      </c>
      <c r="I841" s="4" t="s">
        <v>314</v>
      </c>
      <c r="J841" s="4" t="s">
        <v>314</v>
      </c>
      <c r="K841" s="4" t="s">
        <v>164</v>
      </c>
      <c r="L841" s="4" t="s">
        <v>85</v>
      </c>
      <c r="M841" s="4"/>
      <c r="N841" s="4"/>
      <c r="O841" s="4" t="s">
        <v>7241</v>
      </c>
      <c r="P841" s="4"/>
      <c r="Q841" s="4"/>
      <c r="R841" s="4"/>
      <c r="S841" s="4"/>
      <c r="T841" s="4"/>
      <c r="U841" s="4">
        <v>0.0</v>
      </c>
      <c r="V841" s="4"/>
      <c r="W841" s="4"/>
      <c r="X841" s="4"/>
      <c r="Y841" s="4"/>
      <c r="Z841" s="4"/>
      <c r="AA841" s="4"/>
    </row>
    <row r="842">
      <c r="A842" s="4" t="s">
        <v>8150</v>
      </c>
      <c r="B842" s="4" t="s">
        <v>19</v>
      </c>
      <c r="C842" s="4" t="s">
        <v>6838</v>
      </c>
      <c r="D842" s="4">
        <v>44005.0</v>
      </c>
      <c r="E842" s="4">
        <v>0.5416666666666674</v>
      </c>
      <c r="F842" s="4">
        <v>3.4722222222222224E-4</v>
      </c>
      <c r="G842" s="4">
        <v>0.5420138888888897</v>
      </c>
      <c r="H842" s="4" t="s">
        <v>1215</v>
      </c>
      <c r="I842" s="4" t="s">
        <v>314</v>
      </c>
      <c r="J842" s="4" t="s">
        <v>314</v>
      </c>
      <c r="K842" s="4" t="s">
        <v>146</v>
      </c>
      <c r="L842" s="4" t="s">
        <v>506</v>
      </c>
      <c r="M842" s="4"/>
      <c r="N842" s="4"/>
      <c r="O842" s="4" t="s">
        <v>8151</v>
      </c>
      <c r="P842" s="4"/>
      <c r="Q842" s="4"/>
      <c r="R842" s="4"/>
      <c r="S842" s="4"/>
      <c r="T842" s="4"/>
      <c r="U842" s="4">
        <v>0.0</v>
      </c>
      <c r="V842" s="4"/>
      <c r="W842" s="4"/>
      <c r="X842" s="4"/>
      <c r="Y842" s="4"/>
      <c r="Z842" s="4"/>
      <c r="AA842" s="4"/>
    </row>
    <row r="843">
      <c r="A843" s="4" t="s">
        <v>8152</v>
      </c>
      <c r="B843" s="4" t="s">
        <v>19</v>
      </c>
      <c r="C843" s="4" t="s">
        <v>6838</v>
      </c>
      <c r="D843" s="4">
        <v>44005.0</v>
      </c>
      <c r="E843" s="4">
        <v>0.5420138888888897</v>
      </c>
      <c r="F843" s="4">
        <v>3.4722222222222224E-4</v>
      </c>
      <c r="G843" s="4">
        <v>0.542361111111112</v>
      </c>
      <c r="H843" s="4" t="s">
        <v>1944</v>
      </c>
      <c r="I843" s="4" t="s">
        <v>314</v>
      </c>
      <c r="J843" s="4" t="s">
        <v>314</v>
      </c>
      <c r="K843" s="4" t="s">
        <v>146</v>
      </c>
      <c r="L843" s="4" t="s">
        <v>81</v>
      </c>
      <c r="M843" s="4"/>
      <c r="N843" s="4"/>
      <c r="O843" s="4" t="s">
        <v>81</v>
      </c>
      <c r="P843" s="4"/>
      <c r="Q843" s="4"/>
      <c r="R843" s="4"/>
      <c r="S843" s="4"/>
      <c r="T843" s="4"/>
      <c r="U843" s="4">
        <v>0.0</v>
      </c>
      <c r="V843" s="4"/>
      <c r="W843" s="4"/>
      <c r="X843" s="4"/>
      <c r="Y843" s="4"/>
      <c r="Z843" s="4"/>
      <c r="AA843" s="4"/>
    </row>
    <row r="844">
      <c r="A844" s="4" t="s">
        <v>8153</v>
      </c>
      <c r="B844" s="4" t="s">
        <v>19</v>
      </c>
      <c r="C844" s="4" t="s">
        <v>6838</v>
      </c>
      <c r="D844" s="4">
        <v>44005.0</v>
      </c>
      <c r="E844" s="4">
        <v>0.542361111111112</v>
      </c>
      <c r="F844" s="4">
        <v>0.010763888888888889</v>
      </c>
      <c r="G844" s="4">
        <v>0.5531250000000009</v>
      </c>
      <c r="H844" s="4" t="s">
        <v>726</v>
      </c>
      <c r="I844" s="4" t="s">
        <v>4142</v>
      </c>
      <c r="J844" s="4" t="s">
        <v>6903</v>
      </c>
      <c r="K844" s="4" t="s">
        <v>146</v>
      </c>
      <c r="L844" s="4" t="s">
        <v>94</v>
      </c>
      <c r="M844" s="4" t="s">
        <v>7505</v>
      </c>
      <c r="N844" s="4" t="s">
        <v>7195</v>
      </c>
      <c r="O844" s="4" t="s">
        <v>147</v>
      </c>
      <c r="P844" s="4" t="s">
        <v>148</v>
      </c>
      <c r="Q844" s="4"/>
      <c r="R844" s="4"/>
      <c r="S844" s="4"/>
      <c r="T844" s="4" t="s">
        <v>149</v>
      </c>
      <c r="U844" s="4">
        <v>2.0</v>
      </c>
      <c r="V844" s="4" t="s">
        <v>8154</v>
      </c>
      <c r="W844" s="4" t="s">
        <v>7197</v>
      </c>
      <c r="X844" s="4">
        <v>43981.791666666664</v>
      </c>
      <c r="Y844" s="4" t="s">
        <v>7199</v>
      </c>
      <c r="Z844" s="4" t="s">
        <v>726</v>
      </c>
      <c r="AA844" s="4"/>
    </row>
    <row r="845">
      <c r="A845" s="4" t="s">
        <v>8155</v>
      </c>
      <c r="B845" s="4" t="s">
        <v>19</v>
      </c>
      <c r="C845" s="4" t="s">
        <v>6838</v>
      </c>
      <c r="D845" s="4">
        <v>44005.0</v>
      </c>
      <c r="E845" s="4">
        <v>0.5531250000000009</v>
      </c>
      <c r="F845" s="4">
        <v>1.7361111111111112E-4</v>
      </c>
      <c r="G845" s="4">
        <v>0.553298611111112</v>
      </c>
      <c r="H845" s="4" t="s">
        <v>1944</v>
      </c>
      <c r="I845" s="4" t="s">
        <v>314</v>
      </c>
      <c r="J845" s="4" t="s">
        <v>314</v>
      </c>
      <c r="K845" s="4" t="s">
        <v>146</v>
      </c>
      <c r="L845" s="4" t="s">
        <v>85</v>
      </c>
      <c r="M845" s="4"/>
      <c r="N845" s="4"/>
      <c r="O845" s="4" t="s">
        <v>85</v>
      </c>
      <c r="P845" s="4"/>
      <c r="Q845" s="4"/>
      <c r="R845" s="4"/>
      <c r="S845" s="4"/>
      <c r="T845" s="4"/>
      <c r="U845" s="4">
        <v>0.0</v>
      </c>
      <c r="V845" s="4"/>
      <c r="W845" s="4"/>
      <c r="X845" s="4"/>
      <c r="Y845" s="4"/>
      <c r="Z845" s="4"/>
      <c r="AA845" s="4"/>
    </row>
    <row r="846">
      <c r="A846" s="4" t="s">
        <v>8156</v>
      </c>
      <c r="B846" s="4" t="s">
        <v>19</v>
      </c>
      <c r="C846" s="4" t="s">
        <v>6838</v>
      </c>
      <c r="D846" s="4">
        <v>44005.0</v>
      </c>
      <c r="E846" s="4">
        <v>0.553298611111112</v>
      </c>
      <c r="F846" s="4">
        <v>6.944444444444445E-4</v>
      </c>
      <c r="G846" s="4">
        <v>0.5539930555555564</v>
      </c>
      <c r="H846" s="4" t="s">
        <v>1944</v>
      </c>
      <c r="I846" s="4" t="s">
        <v>314</v>
      </c>
      <c r="J846" s="4" t="s">
        <v>314</v>
      </c>
      <c r="K846" s="4" t="s">
        <v>146</v>
      </c>
      <c r="L846" s="4" t="s">
        <v>103</v>
      </c>
      <c r="M846" s="4"/>
      <c r="N846" s="4"/>
      <c r="O846" s="4" t="s">
        <v>103</v>
      </c>
      <c r="P846" s="4"/>
      <c r="Q846" s="4"/>
      <c r="R846" s="4"/>
      <c r="S846" s="4"/>
      <c r="T846" s="4"/>
      <c r="U846" s="4">
        <v>0.0</v>
      </c>
      <c r="V846" s="4"/>
      <c r="W846" s="4"/>
      <c r="X846" s="4"/>
      <c r="Y846" s="4"/>
      <c r="Z846" s="4"/>
      <c r="AA846" s="4"/>
    </row>
    <row r="847">
      <c r="A847" s="4" t="s">
        <v>8157</v>
      </c>
      <c r="B847" s="4" t="s">
        <v>19</v>
      </c>
      <c r="C847" s="4" t="s">
        <v>6838</v>
      </c>
      <c r="D847" s="4">
        <v>44005.0</v>
      </c>
      <c r="E847" s="4">
        <v>0.5539930555555564</v>
      </c>
      <c r="F847" s="4">
        <v>3.4722222222222224E-4</v>
      </c>
      <c r="G847" s="4">
        <v>0.5543402777777787</v>
      </c>
      <c r="H847" s="4" t="s">
        <v>1944</v>
      </c>
      <c r="I847" s="4" t="s">
        <v>314</v>
      </c>
      <c r="J847" s="4" t="s">
        <v>314</v>
      </c>
      <c r="K847" s="4" t="s">
        <v>146</v>
      </c>
      <c r="L847" s="4" t="s">
        <v>81</v>
      </c>
      <c r="M847" s="4"/>
      <c r="N847" s="4"/>
      <c r="O847" s="4" t="s">
        <v>81</v>
      </c>
      <c r="P847" s="4"/>
      <c r="Q847" s="4"/>
      <c r="R847" s="4"/>
      <c r="S847" s="4"/>
      <c r="T847" s="4"/>
      <c r="U847" s="4">
        <v>0.0</v>
      </c>
      <c r="V847" s="4"/>
      <c r="W847" s="4"/>
      <c r="X847" s="4"/>
      <c r="Y847" s="4"/>
      <c r="Z847" s="4"/>
      <c r="AA847" s="4"/>
    </row>
    <row r="848">
      <c r="A848" s="4" t="s">
        <v>8158</v>
      </c>
      <c r="B848" s="4" t="s">
        <v>19</v>
      </c>
      <c r="C848" s="4" t="s">
        <v>6838</v>
      </c>
      <c r="D848" s="4">
        <v>44005.0</v>
      </c>
      <c r="E848" s="4">
        <v>0.5543402777777787</v>
      </c>
      <c r="F848" s="4">
        <v>0.010416666666666666</v>
      </c>
      <c r="G848" s="4">
        <v>0.5647569444444454</v>
      </c>
      <c r="H848" s="4" t="s">
        <v>1185</v>
      </c>
      <c r="I848" s="4"/>
      <c r="J848" s="4" t="s">
        <v>6948</v>
      </c>
      <c r="K848" s="4" t="s">
        <v>146</v>
      </c>
      <c r="L848" s="4" t="s">
        <v>94</v>
      </c>
      <c r="M848" s="4"/>
      <c r="N848" s="4" t="s">
        <v>6749</v>
      </c>
      <c r="O848" s="4" t="s">
        <v>1073</v>
      </c>
      <c r="P848" s="4" t="s">
        <v>8159</v>
      </c>
      <c r="Q848" s="4"/>
      <c r="R848" s="4"/>
      <c r="S848" s="4"/>
      <c r="T848" s="4" t="s">
        <v>361</v>
      </c>
      <c r="U848" s="4">
        <v>2.0</v>
      </c>
      <c r="V848" s="4"/>
      <c r="W848" s="4" t="s">
        <v>6890</v>
      </c>
      <c r="X848" s="4"/>
      <c r="Y848" s="4"/>
      <c r="Z848" s="4"/>
      <c r="AA848" s="4"/>
    </row>
    <row r="849">
      <c r="A849" s="4" t="s">
        <v>8160</v>
      </c>
      <c r="B849" s="4" t="s">
        <v>19</v>
      </c>
      <c r="C849" s="4" t="s">
        <v>6838</v>
      </c>
      <c r="D849" s="4">
        <v>44005.0</v>
      </c>
      <c r="E849" s="4">
        <v>0.5647569444444454</v>
      </c>
      <c r="F849" s="4">
        <v>1.7361111111111112E-4</v>
      </c>
      <c r="G849" s="4">
        <v>0.5649305555555565</v>
      </c>
      <c r="H849" s="4" t="s">
        <v>1944</v>
      </c>
      <c r="I849" s="4" t="s">
        <v>314</v>
      </c>
      <c r="J849" s="4" t="s">
        <v>314</v>
      </c>
      <c r="K849" s="4" t="s">
        <v>146</v>
      </c>
      <c r="L849" s="4" t="s">
        <v>85</v>
      </c>
      <c r="M849" s="4"/>
      <c r="N849" s="4"/>
      <c r="O849" s="4" t="s">
        <v>85</v>
      </c>
      <c r="P849" s="4"/>
      <c r="Q849" s="4"/>
      <c r="R849" s="4"/>
      <c r="S849" s="4"/>
      <c r="T849" s="4"/>
      <c r="U849" s="4">
        <v>0.0</v>
      </c>
      <c r="V849" s="4"/>
      <c r="W849" s="4"/>
      <c r="X849" s="4"/>
      <c r="Y849" s="4"/>
      <c r="Z849" s="4"/>
      <c r="AA849" s="4"/>
    </row>
    <row r="850">
      <c r="A850" s="4" t="s">
        <v>8161</v>
      </c>
      <c r="B850" s="4" t="s">
        <v>19</v>
      </c>
      <c r="C850" s="4" t="s">
        <v>6838</v>
      </c>
      <c r="D850" s="4">
        <v>44005.0</v>
      </c>
      <c r="E850" s="4">
        <v>0.5649305555555565</v>
      </c>
      <c r="F850" s="4">
        <v>3.4722222222222224E-4</v>
      </c>
      <c r="G850" s="4">
        <v>0.5652777777777788</v>
      </c>
      <c r="H850" s="4" t="s">
        <v>1944</v>
      </c>
      <c r="I850" s="4" t="s">
        <v>314</v>
      </c>
      <c r="J850" s="4" t="s">
        <v>314</v>
      </c>
      <c r="K850" s="4" t="s">
        <v>146</v>
      </c>
      <c r="L850" s="4" t="s">
        <v>81</v>
      </c>
      <c r="M850" s="4"/>
      <c r="N850" s="4"/>
      <c r="O850" s="4" t="s">
        <v>81</v>
      </c>
      <c r="P850" s="4"/>
      <c r="Q850" s="4"/>
      <c r="R850" s="4"/>
      <c r="S850" s="4"/>
      <c r="T850" s="4"/>
      <c r="U850" s="4">
        <v>0.0</v>
      </c>
      <c r="V850" s="4"/>
      <c r="W850" s="4"/>
      <c r="X850" s="4"/>
      <c r="Y850" s="4"/>
      <c r="Z850" s="4"/>
      <c r="AA850" s="4"/>
    </row>
    <row r="851">
      <c r="A851" s="4" t="s">
        <v>8162</v>
      </c>
      <c r="B851" s="4" t="s">
        <v>19</v>
      </c>
      <c r="C851" s="4" t="s">
        <v>6838</v>
      </c>
      <c r="D851" s="4">
        <v>44005.0</v>
      </c>
      <c r="E851" s="4">
        <v>0.5652777777777788</v>
      </c>
      <c r="F851" s="4">
        <v>0.008333333333333333</v>
      </c>
      <c r="G851" s="4">
        <v>0.5736111111111121</v>
      </c>
      <c r="H851" s="4" t="s">
        <v>1631</v>
      </c>
      <c r="I851" s="4" t="s">
        <v>4142</v>
      </c>
      <c r="J851" s="4" t="s">
        <v>6870</v>
      </c>
      <c r="K851" s="4" t="s">
        <v>146</v>
      </c>
      <c r="L851" s="4" t="s">
        <v>94</v>
      </c>
      <c r="M851" s="4" t="s">
        <v>7505</v>
      </c>
      <c r="N851" s="4" t="s">
        <v>6755</v>
      </c>
      <c r="O851" s="4" t="s">
        <v>1069</v>
      </c>
      <c r="P851" s="4" t="s">
        <v>1070</v>
      </c>
      <c r="Q851" s="4"/>
      <c r="R851" s="4"/>
      <c r="S851" s="4"/>
      <c r="T851" s="4" t="s">
        <v>1071</v>
      </c>
      <c r="U851" s="4">
        <v>2.0</v>
      </c>
      <c r="V851" s="4" t="s">
        <v>8163</v>
      </c>
      <c r="W851" s="4" t="s">
        <v>6855</v>
      </c>
      <c r="X851" s="4"/>
      <c r="Y851" s="4"/>
      <c r="Z851" s="4"/>
      <c r="AA851" s="4"/>
    </row>
    <row r="852">
      <c r="A852" s="4" t="s">
        <v>8164</v>
      </c>
      <c r="B852" s="4" t="s">
        <v>19</v>
      </c>
      <c r="C852" s="4" t="s">
        <v>6838</v>
      </c>
      <c r="D852" s="4">
        <v>44005.0</v>
      </c>
      <c r="E852" s="4">
        <v>0.5736111111111121</v>
      </c>
      <c r="F852" s="4">
        <v>1.7361111111111112E-4</v>
      </c>
      <c r="G852" s="4">
        <v>0.5737847222222232</v>
      </c>
      <c r="H852" s="4" t="s">
        <v>1944</v>
      </c>
      <c r="I852" s="4" t="s">
        <v>314</v>
      </c>
      <c r="J852" s="4" t="s">
        <v>314</v>
      </c>
      <c r="K852" s="4" t="s">
        <v>146</v>
      </c>
      <c r="L852" s="4" t="s">
        <v>85</v>
      </c>
      <c r="M852" s="4"/>
      <c r="N852" s="4"/>
      <c r="O852" s="4" t="s">
        <v>85</v>
      </c>
      <c r="P852" s="4"/>
      <c r="Q852" s="4"/>
      <c r="R852" s="4"/>
      <c r="S852" s="4"/>
      <c r="T852" s="4"/>
      <c r="U852" s="4">
        <v>0.0</v>
      </c>
      <c r="V852" s="4"/>
      <c r="W852" s="4"/>
      <c r="X852" s="4"/>
      <c r="Y852" s="4"/>
      <c r="Z852" s="4"/>
      <c r="AA852" s="4"/>
    </row>
    <row r="853">
      <c r="A853" s="4" t="s">
        <v>8165</v>
      </c>
      <c r="B853" s="4" t="s">
        <v>19</v>
      </c>
      <c r="C853" s="4" t="s">
        <v>6838</v>
      </c>
      <c r="D853" s="4">
        <v>44005.0</v>
      </c>
      <c r="E853" s="4">
        <v>0.5737847222222232</v>
      </c>
      <c r="F853" s="4">
        <v>3.4722222222222224E-4</v>
      </c>
      <c r="G853" s="4">
        <v>0.5741319444444455</v>
      </c>
      <c r="H853" s="4" t="s">
        <v>1944</v>
      </c>
      <c r="I853" s="4" t="s">
        <v>314</v>
      </c>
      <c r="J853" s="4" t="s">
        <v>314</v>
      </c>
      <c r="K853" s="4" t="s">
        <v>146</v>
      </c>
      <c r="L853" s="4" t="s">
        <v>81</v>
      </c>
      <c r="M853" s="4"/>
      <c r="N853" s="4"/>
      <c r="O853" s="4" t="s">
        <v>81</v>
      </c>
      <c r="P853" s="4"/>
      <c r="Q853" s="4"/>
      <c r="R853" s="4"/>
      <c r="S853" s="4"/>
      <c r="T853" s="4"/>
      <c r="U853" s="4">
        <v>0.0</v>
      </c>
      <c r="V853" s="4"/>
      <c r="W853" s="4"/>
      <c r="X853" s="4"/>
      <c r="Y853" s="4"/>
      <c r="Z853" s="4"/>
      <c r="AA853" s="4"/>
    </row>
    <row r="854">
      <c r="A854" s="4" t="s">
        <v>8166</v>
      </c>
      <c r="B854" s="4" t="s">
        <v>19</v>
      </c>
      <c r="C854" s="4" t="s">
        <v>6838</v>
      </c>
      <c r="D854" s="4">
        <v>44005.0</v>
      </c>
      <c r="E854" s="4">
        <v>0.5741319444444455</v>
      </c>
      <c r="F854" s="4">
        <v>0.008333333333333333</v>
      </c>
      <c r="G854" s="4">
        <v>0.5824652777777788</v>
      </c>
      <c r="H854" s="4" t="s">
        <v>873</v>
      </c>
      <c r="I854" s="4" t="s">
        <v>6960</v>
      </c>
      <c r="J854" s="4" t="s">
        <v>6948</v>
      </c>
      <c r="K854" s="4" t="s">
        <v>146</v>
      </c>
      <c r="L854" s="4" t="s">
        <v>94</v>
      </c>
      <c r="M854" s="4" t="s">
        <v>8167</v>
      </c>
      <c r="N854" s="4" t="s">
        <v>6755</v>
      </c>
      <c r="O854" s="4" t="s">
        <v>1085</v>
      </c>
      <c r="P854" s="4" t="s">
        <v>1086</v>
      </c>
      <c r="Q854" s="4"/>
      <c r="R854" s="4"/>
      <c r="S854" s="4"/>
      <c r="T854" s="4" t="s">
        <v>1087</v>
      </c>
      <c r="U854" s="4">
        <v>2.0</v>
      </c>
      <c r="V854" s="4" t="s">
        <v>8168</v>
      </c>
      <c r="W854" s="4" t="s">
        <v>7115</v>
      </c>
      <c r="X854" s="4">
        <v>43978.75</v>
      </c>
      <c r="Y854" s="4"/>
      <c r="Z854" s="4" t="s">
        <v>873</v>
      </c>
      <c r="AA854" s="4"/>
    </row>
    <row r="855">
      <c r="A855" s="4" t="s">
        <v>8169</v>
      </c>
      <c r="B855" s="4" t="s">
        <v>19</v>
      </c>
      <c r="C855" s="4" t="s">
        <v>6838</v>
      </c>
      <c r="D855" s="4">
        <v>44005.0</v>
      </c>
      <c r="E855" s="4">
        <v>0.5824652777777788</v>
      </c>
      <c r="F855" s="4">
        <v>1.7361111111111112E-4</v>
      </c>
      <c r="G855" s="4">
        <v>0.5826388888888899</v>
      </c>
      <c r="H855" s="4" t="s">
        <v>1944</v>
      </c>
      <c r="I855" s="4" t="s">
        <v>314</v>
      </c>
      <c r="J855" s="4" t="s">
        <v>314</v>
      </c>
      <c r="K855" s="4" t="s">
        <v>146</v>
      </c>
      <c r="L855" s="4" t="s">
        <v>85</v>
      </c>
      <c r="M855" s="4"/>
      <c r="N855" s="4"/>
      <c r="O855" s="4" t="s">
        <v>85</v>
      </c>
      <c r="P855" s="4"/>
      <c r="Q855" s="4"/>
      <c r="R855" s="4"/>
      <c r="S855" s="4"/>
      <c r="T855" s="4"/>
      <c r="U855" s="4">
        <v>0.0</v>
      </c>
      <c r="V855" s="4"/>
      <c r="W855" s="4"/>
      <c r="X855" s="4"/>
      <c r="Y855" s="4"/>
      <c r="Z855" s="4"/>
      <c r="AA855" s="4"/>
    </row>
    <row r="856">
      <c r="A856" s="4" t="s">
        <v>8170</v>
      </c>
      <c r="B856" s="4" t="s">
        <v>19</v>
      </c>
      <c r="C856" s="4" t="s">
        <v>6838</v>
      </c>
      <c r="D856" s="4">
        <v>44005.0</v>
      </c>
      <c r="E856" s="4">
        <v>0.5826388888888899</v>
      </c>
      <c r="F856" s="4">
        <v>6.944444444444445E-4</v>
      </c>
      <c r="G856" s="4">
        <v>0.5833333333333344</v>
      </c>
      <c r="H856" s="4" t="s">
        <v>1944</v>
      </c>
      <c r="I856" s="4"/>
      <c r="J856" s="4"/>
      <c r="K856" s="4" t="s">
        <v>146</v>
      </c>
      <c r="L856" s="4" t="s">
        <v>103</v>
      </c>
      <c r="M856" s="4"/>
      <c r="N856" s="4"/>
      <c r="O856" s="4" t="s">
        <v>103</v>
      </c>
      <c r="P856" s="4"/>
      <c r="Q856" s="4"/>
      <c r="R856" s="4"/>
      <c r="S856" s="4"/>
      <c r="T856" s="4"/>
      <c r="U856" s="4"/>
      <c r="V856" s="4"/>
      <c r="W856" s="4"/>
      <c r="X856" s="4"/>
      <c r="Y856" s="4"/>
      <c r="Z856" s="4"/>
      <c r="AA856" s="4"/>
    </row>
    <row r="857">
      <c r="A857" s="4" t="s">
        <v>8171</v>
      </c>
      <c r="B857" s="4" t="s">
        <v>19</v>
      </c>
      <c r="C857" s="4" t="s">
        <v>6838</v>
      </c>
      <c r="D857" s="4">
        <v>44005.0</v>
      </c>
      <c r="E857" s="4">
        <v>0.5833333333333344</v>
      </c>
      <c r="F857" s="4">
        <v>3.4722222222222224E-4</v>
      </c>
      <c r="G857" s="4">
        <v>0.5836805555555566</v>
      </c>
      <c r="H857" s="4" t="s">
        <v>1215</v>
      </c>
      <c r="I857" s="4" t="s">
        <v>314</v>
      </c>
      <c r="J857" s="4" t="s">
        <v>314</v>
      </c>
      <c r="K857" s="4" t="s">
        <v>245</v>
      </c>
      <c r="L857" s="4" t="s">
        <v>506</v>
      </c>
      <c r="M857" s="4"/>
      <c r="N857" s="4"/>
      <c r="O857" s="4" t="s">
        <v>8172</v>
      </c>
      <c r="P857" s="4"/>
      <c r="Q857" s="4"/>
      <c r="R857" s="4"/>
      <c r="S857" s="4"/>
      <c r="T857" s="4"/>
      <c r="U857" s="4">
        <v>0.0</v>
      </c>
      <c r="V857" s="4"/>
      <c r="W857" s="4"/>
      <c r="X857" s="4"/>
      <c r="Y857" s="4"/>
      <c r="Z857" s="4"/>
      <c r="AA857" s="4"/>
    </row>
    <row r="858">
      <c r="A858" s="4" t="s">
        <v>8173</v>
      </c>
      <c r="B858" s="4" t="s">
        <v>19</v>
      </c>
      <c r="C858" s="4" t="s">
        <v>6838</v>
      </c>
      <c r="D858" s="4">
        <v>44005.0</v>
      </c>
      <c r="E858" s="4">
        <v>0.5836805555555566</v>
      </c>
      <c r="F858" s="4">
        <v>3.4722222222222224E-4</v>
      </c>
      <c r="G858" s="4">
        <v>0.5840277777777789</v>
      </c>
      <c r="H858" s="4" t="s">
        <v>1944</v>
      </c>
      <c r="I858" s="4" t="s">
        <v>314</v>
      </c>
      <c r="J858" s="4" t="s">
        <v>314</v>
      </c>
      <c r="K858" s="4" t="s">
        <v>245</v>
      </c>
      <c r="L858" s="4" t="s">
        <v>81</v>
      </c>
      <c r="M858" s="4"/>
      <c r="N858" s="4"/>
      <c r="O858" s="4" t="s">
        <v>81</v>
      </c>
      <c r="P858" s="4"/>
      <c r="Q858" s="4"/>
      <c r="R858" s="4"/>
      <c r="S858" s="4"/>
      <c r="T858" s="4"/>
      <c r="U858" s="4">
        <v>0.0</v>
      </c>
      <c r="V858" s="4"/>
      <c r="W858" s="4"/>
      <c r="X858" s="4"/>
      <c r="Y858" s="4"/>
      <c r="Z858" s="4"/>
      <c r="AA858" s="4"/>
    </row>
    <row r="859">
      <c r="A859" s="4" t="s">
        <v>8174</v>
      </c>
      <c r="B859" s="4" t="s">
        <v>19</v>
      </c>
      <c r="C859" s="4" t="s">
        <v>6838</v>
      </c>
      <c r="D859" s="4">
        <v>44005.0</v>
      </c>
      <c r="E859" s="4">
        <v>0.5840277777777789</v>
      </c>
      <c r="F859" s="4">
        <v>0.009548611111111112</v>
      </c>
      <c r="G859" s="4">
        <v>0.5935763888888901</v>
      </c>
      <c r="H859" s="4" t="s">
        <v>873</v>
      </c>
      <c r="I859" s="4" t="s">
        <v>6947</v>
      </c>
      <c r="J859" s="4" t="s">
        <v>6948</v>
      </c>
      <c r="K859" s="4" t="s">
        <v>245</v>
      </c>
      <c r="L859" s="4" t="s">
        <v>94</v>
      </c>
      <c r="M859" s="4" t="s">
        <v>7446</v>
      </c>
      <c r="N859" s="4" t="s">
        <v>6755</v>
      </c>
      <c r="O859" s="4" t="s">
        <v>8175</v>
      </c>
      <c r="P859" s="4" t="s">
        <v>1038</v>
      </c>
      <c r="Q859" s="4"/>
      <c r="R859" s="4"/>
      <c r="S859" s="4"/>
      <c r="T859" s="4" t="s">
        <v>1039</v>
      </c>
      <c r="U859" s="4">
        <v>2.0</v>
      </c>
      <c r="V859" s="4" t="s">
        <v>8176</v>
      </c>
      <c r="W859" s="4" t="s">
        <v>7115</v>
      </c>
      <c r="X859" s="4" t="s">
        <v>8177</v>
      </c>
      <c r="Y859" s="4"/>
      <c r="Z859" s="4" t="s">
        <v>873</v>
      </c>
      <c r="AA859" s="4"/>
    </row>
    <row r="860">
      <c r="A860" s="4" t="s">
        <v>8178</v>
      </c>
      <c r="B860" s="4" t="s">
        <v>19</v>
      </c>
      <c r="C860" s="4" t="s">
        <v>6838</v>
      </c>
      <c r="D860" s="4">
        <v>44005.0</v>
      </c>
      <c r="E860" s="4">
        <v>0.5935763888888901</v>
      </c>
      <c r="F860" s="4">
        <v>1.7361111111111112E-4</v>
      </c>
      <c r="G860" s="4">
        <v>0.5937500000000012</v>
      </c>
      <c r="H860" s="4" t="s">
        <v>1944</v>
      </c>
      <c r="I860" s="4" t="s">
        <v>314</v>
      </c>
      <c r="J860" s="4" t="s">
        <v>314</v>
      </c>
      <c r="K860" s="4" t="s">
        <v>245</v>
      </c>
      <c r="L860" s="4" t="s">
        <v>85</v>
      </c>
      <c r="M860" s="4"/>
      <c r="N860" s="4"/>
      <c r="O860" s="4" t="s">
        <v>85</v>
      </c>
      <c r="P860" s="4"/>
      <c r="Q860" s="4"/>
      <c r="R860" s="4"/>
      <c r="S860" s="4"/>
      <c r="T860" s="4"/>
      <c r="U860" s="4">
        <v>0.0</v>
      </c>
      <c r="V860" s="4"/>
      <c r="W860" s="4"/>
      <c r="X860" s="4"/>
      <c r="Y860" s="4"/>
      <c r="Z860" s="4"/>
      <c r="AA860" s="4"/>
    </row>
    <row r="861">
      <c r="A861" s="4" t="s">
        <v>8179</v>
      </c>
      <c r="B861" s="4" t="s">
        <v>19</v>
      </c>
      <c r="C861" s="4" t="s">
        <v>6838</v>
      </c>
      <c r="D861" s="4">
        <v>44005.0</v>
      </c>
      <c r="E861" s="4">
        <v>0.5937500000000012</v>
      </c>
      <c r="F861" s="4">
        <v>6.944444444444445E-4</v>
      </c>
      <c r="G861" s="4">
        <v>0.5944444444444457</v>
      </c>
      <c r="H861" s="4" t="s">
        <v>1944</v>
      </c>
      <c r="I861" s="4"/>
      <c r="J861" s="4"/>
      <c r="K861" s="4" t="s">
        <v>245</v>
      </c>
      <c r="L861" s="4" t="s">
        <v>103</v>
      </c>
      <c r="M861" s="4"/>
      <c r="N861" s="4"/>
      <c r="O861" s="4" t="s">
        <v>103</v>
      </c>
      <c r="P861" s="4"/>
      <c r="Q861" s="4"/>
      <c r="R861" s="4"/>
      <c r="S861" s="4"/>
      <c r="T861" s="4"/>
      <c r="U861" s="4"/>
      <c r="V861" s="4"/>
      <c r="W861" s="4"/>
      <c r="X861" s="4"/>
      <c r="Y861" s="4"/>
      <c r="Z861" s="4"/>
      <c r="AA861" s="4"/>
    </row>
    <row r="862">
      <c r="A862" s="4" t="s">
        <v>8180</v>
      </c>
      <c r="B862" s="4" t="s">
        <v>19</v>
      </c>
      <c r="C862" s="4" t="s">
        <v>6838</v>
      </c>
      <c r="D862" s="4">
        <v>44005.0</v>
      </c>
      <c r="E862" s="4">
        <v>0.5944444444444457</v>
      </c>
      <c r="F862" s="4">
        <v>3.4722222222222224E-4</v>
      </c>
      <c r="G862" s="4">
        <v>0.5947916666666679</v>
      </c>
      <c r="H862" s="4" t="s">
        <v>1944</v>
      </c>
      <c r="I862" s="4" t="s">
        <v>314</v>
      </c>
      <c r="J862" s="4" t="s">
        <v>314</v>
      </c>
      <c r="K862" s="4" t="s">
        <v>245</v>
      </c>
      <c r="L862" s="4" t="s">
        <v>81</v>
      </c>
      <c r="M862" s="4"/>
      <c r="N862" s="4"/>
      <c r="O862" s="4" t="s">
        <v>6878</v>
      </c>
      <c r="P862" s="4"/>
      <c r="Q862" s="4"/>
      <c r="R862" s="4"/>
      <c r="S862" s="4"/>
      <c r="T862" s="4"/>
      <c r="U862" s="4"/>
      <c r="V862" s="4"/>
      <c r="W862" s="4"/>
      <c r="X862" s="4"/>
      <c r="Y862" s="4"/>
      <c r="Z862" s="4"/>
      <c r="AA862" s="4"/>
    </row>
    <row r="863">
      <c r="A863" s="4" t="s">
        <v>8181</v>
      </c>
      <c r="B863" s="4" t="s">
        <v>19</v>
      </c>
      <c r="C863" s="4" t="s">
        <v>6838</v>
      </c>
      <c r="D863" s="4">
        <v>44005.0</v>
      </c>
      <c r="E863" s="4">
        <v>0.5947916666666679</v>
      </c>
      <c r="F863" s="4">
        <v>0.013888888888888888</v>
      </c>
      <c r="G863" s="4">
        <v>0.6086805555555568</v>
      </c>
      <c r="H863" s="4" t="s">
        <v>873</v>
      </c>
      <c r="I863" s="4" t="s">
        <v>6947</v>
      </c>
      <c r="J863" s="4" t="s">
        <v>6870</v>
      </c>
      <c r="K863" s="4" t="s">
        <v>245</v>
      </c>
      <c r="L863" s="4" t="s">
        <v>94</v>
      </c>
      <c r="M863" s="4" t="s">
        <v>7482</v>
      </c>
      <c r="N863" s="4" t="s">
        <v>6755</v>
      </c>
      <c r="O863" s="4" t="s">
        <v>6764</v>
      </c>
      <c r="P863" s="4" t="s">
        <v>1106</v>
      </c>
      <c r="Q863" s="4"/>
      <c r="R863" s="4"/>
      <c r="S863" s="4"/>
      <c r="T863" s="4" t="s">
        <v>1108</v>
      </c>
      <c r="U863" s="4">
        <v>2.0</v>
      </c>
      <c r="V863" s="4" t="s">
        <v>8182</v>
      </c>
      <c r="W863" s="4" t="s">
        <v>6855</v>
      </c>
      <c r="X863" s="4"/>
      <c r="Y863" s="4"/>
      <c r="Z863" s="4" t="s">
        <v>873</v>
      </c>
      <c r="AA863" s="4"/>
    </row>
    <row r="864">
      <c r="A864" s="4" t="s">
        <v>8183</v>
      </c>
      <c r="B864" s="4" t="s">
        <v>19</v>
      </c>
      <c r="C864" s="4" t="s">
        <v>6838</v>
      </c>
      <c r="D864" s="4">
        <v>44005.0</v>
      </c>
      <c r="E864" s="4">
        <v>0.6086805555555568</v>
      </c>
      <c r="F864" s="4">
        <v>1.7361111111111112E-4</v>
      </c>
      <c r="G864" s="4">
        <v>0.6088541666666679</v>
      </c>
      <c r="H864" s="4" t="s">
        <v>1944</v>
      </c>
      <c r="I864" s="4" t="s">
        <v>314</v>
      </c>
      <c r="J864" s="4" t="s">
        <v>314</v>
      </c>
      <c r="K864" s="4" t="s">
        <v>245</v>
      </c>
      <c r="L864" s="4" t="s">
        <v>85</v>
      </c>
      <c r="M864" s="4"/>
      <c r="N864" s="4"/>
      <c r="O864" s="4" t="s">
        <v>85</v>
      </c>
      <c r="P864" s="4"/>
      <c r="Q864" s="4"/>
      <c r="R864" s="4"/>
      <c r="S864" s="4"/>
      <c r="T864" s="4"/>
      <c r="U864" s="4">
        <v>0.0</v>
      </c>
      <c r="V864" s="4"/>
      <c r="W864" s="4"/>
      <c r="X864" s="4"/>
      <c r="Y864" s="4"/>
      <c r="Z864" s="4"/>
      <c r="AA864" s="4"/>
    </row>
    <row r="865">
      <c r="A865" s="4" t="s">
        <v>8184</v>
      </c>
      <c r="B865" s="4" t="s">
        <v>19</v>
      </c>
      <c r="C865" s="4" t="s">
        <v>6838</v>
      </c>
      <c r="D865" s="4">
        <v>44005.0</v>
      </c>
      <c r="E865" s="4">
        <v>0.6088541666666679</v>
      </c>
      <c r="F865" s="4">
        <v>1.7361111111111112E-4</v>
      </c>
      <c r="G865" s="4">
        <v>0.6090277777777791</v>
      </c>
      <c r="H865" s="4" t="s">
        <v>2004</v>
      </c>
      <c r="I865" s="4" t="s">
        <v>314</v>
      </c>
      <c r="J865" s="4" t="s">
        <v>314</v>
      </c>
      <c r="K865" s="4" t="s">
        <v>245</v>
      </c>
      <c r="L865" s="4" t="s">
        <v>77</v>
      </c>
      <c r="M865" s="4"/>
      <c r="N865" s="4"/>
      <c r="O865" s="4" t="s">
        <v>77</v>
      </c>
      <c r="P865" s="4"/>
      <c r="Q865" s="4"/>
      <c r="R865" s="4"/>
      <c r="S865" s="4"/>
      <c r="T865" s="4"/>
      <c r="U865" s="4"/>
      <c r="V865" s="4"/>
      <c r="W865" s="4"/>
      <c r="X865" s="4"/>
      <c r="Y865" s="4"/>
      <c r="Z865" s="4"/>
      <c r="AA865" s="4"/>
    </row>
    <row r="866">
      <c r="A866" s="4" t="s">
        <v>8185</v>
      </c>
      <c r="B866" s="4" t="s">
        <v>19</v>
      </c>
      <c r="C866" s="4" t="s">
        <v>6838</v>
      </c>
      <c r="D866" s="4">
        <v>44005.0</v>
      </c>
      <c r="E866" s="4">
        <v>0.6090277777777791</v>
      </c>
      <c r="F866" s="4">
        <v>3.4722222222222224E-4</v>
      </c>
      <c r="G866" s="4">
        <v>0.6093750000000013</v>
      </c>
      <c r="H866" s="4" t="s">
        <v>1944</v>
      </c>
      <c r="I866" s="4" t="s">
        <v>314</v>
      </c>
      <c r="J866" s="4" t="s">
        <v>314</v>
      </c>
      <c r="K866" s="4" t="s">
        <v>245</v>
      </c>
      <c r="L866" s="4" t="s">
        <v>81</v>
      </c>
      <c r="M866" s="4"/>
      <c r="N866" s="4"/>
      <c r="O866" s="4" t="s">
        <v>81</v>
      </c>
      <c r="P866" s="4"/>
      <c r="Q866" s="4"/>
      <c r="R866" s="4"/>
      <c r="S866" s="4"/>
      <c r="T866" s="4"/>
      <c r="U866" s="4">
        <v>0.0</v>
      </c>
      <c r="V866" s="4"/>
      <c r="W866" s="4"/>
      <c r="X866" s="4"/>
      <c r="Y866" s="4"/>
      <c r="Z866" s="4"/>
      <c r="AA866" s="4"/>
    </row>
    <row r="867">
      <c r="A867" s="4" t="s">
        <v>8186</v>
      </c>
      <c r="B867" s="4" t="s">
        <v>19</v>
      </c>
      <c r="C867" s="4" t="s">
        <v>6838</v>
      </c>
      <c r="D867" s="4">
        <v>44005.0</v>
      </c>
      <c r="E867" s="4">
        <v>0.6093750000000013</v>
      </c>
      <c r="F867" s="4">
        <v>0.013715277777777778</v>
      </c>
      <c r="G867" s="4">
        <v>0.6230902777777791</v>
      </c>
      <c r="H867" s="4" t="s">
        <v>873</v>
      </c>
      <c r="I867" s="4" t="s">
        <v>6947</v>
      </c>
      <c r="J867" s="4" t="s">
        <v>6948</v>
      </c>
      <c r="K867" s="4" t="s">
        <v>245</v>
      </c>
      <c r="L867" s="4" t="s">
        <v>94</v>
      </c>
      <c r="M867" s="4" t="s">
        <v>7126</v>
      </c>
      <c r="N867" s="4" t="s">
        <v>6749</v>
      </c>
      <c r="O867" s="4" t="s">
        <v>4345</v>
      </c>
      <c r="P867" s="4" t="s">
        <v>1476</v>
      </c>
      <c r="Q867" s="4"/>
      <c r="R867" s="4"/>
      <c r="S867" s="4"/>
      <c r="T867" s="4"/>
      <c r="U867" s="4">
        <v>1.0</v>
      </c>
      <c r="V867" s="4"/>
      <c r="W867" s="4" t="s">
        <v>7136</v>
      </c>
      <c r="X867" s="4"/>
      <c r="Y867" s="4"/>
      <c r="Z867" s="4" t="s">
        <v>873</v>
      </c>
      <c r="AA867" s="4"/>
    </row>
    <row r="868">
      <c r="A868" s="4" t="s">
        <v>8187</v>
      </c>
      <c r="B868" s="4" t="s">
        <v>19</v>
      </c>
      <c r="C868" s="4" t="s">
        <v>6838</v>
      </c>
      <c r="D868" s="4">
        <v>44005.0</v>
      </c>
      <c r="E868" s="4">
        <v>0.6230902777777791</v>
      </c>
      <c r="F868" s="4">
        <v>1.7361111111111112E-4</v>
      </c>
      <c r="G868" s="4">
        <v>0.6232638888888903</v>
      </c>
      <c r="H868" s="4" t="s">
        <v>1944</v>
      </c>
      <c r="I868" s="4"/>
      <c r="J868" s="4"/>
      <c r="K868" s="4" t="s">
        <v>245</v>
      </c>
      <c r="L868" s="4" t="s">
        <v>85</v>
      </c>
      <c r="M868" s="4"/>
      <c r="N868" s="4"/>
      <c r="O868" s="4" t="s">
        <v>7077</v>
      </c>
      <c r="P868" s="4"/>
      <c r="Q868" s="4"/>
      <c r="R868" s="4"/>
      <c r="S868" s="4"/>
      <c r="T868" s="4"/>
      <c r="U868" s="4"/>
      <c r="V868" s="4"/>
      <c r="W868" s="4"/>
      <c r="X868" s="4"/>
      <c r="Y868" s="4"/>
      <c r="Z868" s="4"/>
      <c r="AA868" s="4"/>
    </row>
    <row r="869">
      <c r="A869" s="4" t="s">
        <v>8188</v>
      </c>
      <c r="B869" s="4" t="s">
        <v>19</v>
      </c>
      <c r="C869" s="4" t="s">
        <v>6838</v>
      </c>
      <c r="D869" s="4">
        <v>44005.0</v>
      </c>
      <c r="E869" s="4">
        <v>0.6232638888888903</v>
      </c>
      <c r="F869" s="4">
        <v>1.7361111111111112E-4</v>
      </c>
      <c r="G869" s="4">
        <v>0.6234375000000014</v>
      </c>
      <c r="H869" s="4" t="s">
        <v>2004</v>
      </c>
      <c r="I869" s="4"/>
      <c r="J869" s="4"/>
      <c r="K869" s="4" t="s">
        <v>245</v>
      </c>
      <c r="L869" s="4" t="s">
        <v>77</v>
      </c>
      <c r="M869" s="4"/>
      <c r="N869" s="4"/>
      <c r="O869" s="4" t="s">
        <v>77</v>
      </c>
      <c r="P869" s="4"/>
      <c r="Q869" s="4"/>
      <c r="R869" s="4"/>
      <c r="S869" s="4"/>
      <c r="T869" s="4"/>
      <c r="U869" s="4"/>
      <c r="V869" s="4"/>
      <c r="W869" s="4"/>
      <c r="X869" s="4"/>
      <c r="Y869" s="4"/>
      <c r="Z869" s="4"/>
      <c r="AA869" s="4"/>
    </row>
    <row r="870">
      <c r="A870" s="4" t="s">
        <v>8189</v>
      </c>
      <c r="B870" s="4" t="s">
        <v>19</v>
      </c>
      <c r="C870" s="4" t="s">
        <v>6838</v>
      </c>
      <c r="D870" s="4">
        <v>44005.0</v>
      </c>
      <c r="E870" s="4">
        <v>0.6234375000000014</v>
      </c>
      <c r="F870" s="4">
        <v>3.4722222222222224E-4</v>
      </c>
      <c r="G870" s="4">
        <v>0.6237847222222237</v>
      </c>
      <c r="H870" s="4" t="s">
        <v>1215</v>
      </c>
      <c r="I870" s="4"/>
      <c r="J870" s="4"/>
      <c r="K870" s="4" t="s">
        <v>245</v>
      </c>
      <c r="L870" s="4" t="s">
        <v>506</v>
      </c>
      <c r="M870" s="4"/>
      <c r="N870" s="4"/>
      <c r="O870" s="4" t="s">
        <v>8190</v>
      </c>
      <c r="P870" s="4"/>
      <c r="Q870" s="4"/>
      <c r="R870" s="4"/>
      <c r="S870" s="4"/>
      <c r="T870" s="4"/>
      <c r="U870" s="4"/>
      <c r="V870" s="4"/>
      <c r="W870" s="4"/>
      <c r="X870" s="4"/>
      <c r="Y870" s="4"/>
      <c r="Z870" s="4"/>
      <c r="AA870" s="4"/>
    </row>
    <row r="871">
      <c r="A871" s="4" t="s">
        <v>8191</v>
      </c>
      <c r="B871" s="4" t="s">
        <v>19</v>
      </c>
      <c r="C871" s="4" t="s">
        <v>6838</v>
      </c>
      <c r="D871" s="4">
        <v>44005.0</v>
      </c>
      <c r="E871" s="4">
        <v>0.6237847222222237</v>
      </c>
      <c r="F871" s="4">
        <v>0.0012152777777777778</v>
      </c>
      <c r="G871" s="4">
        <v>0.6250000000000014</v>
      </c>
      <c r="H871" s="4" t="s">
        <v>1944</v>
      </c>
      <c r="I871" s="4"/>
      <c r="J871" s="4"/>
      <c r="K871" s="4" t="s">
        <v>245</v>
      </c>
      <c r="L871" s="4" t="s">
        <v>79</v>
      </c>
      <c r="M871" s="4"/>
      <c r="N871" s="4"/>
      <c r="O871" s="4" t="s">
        <v>79</v>
      </c>
      <c r="P871" s="4"/>
      <c r="Q871" s="4"/>
      <c r="R871" s="4"/>
      <c r="S871" s="4"/>
      <c r="T871" s="4"/>
      <c r="U871" s="4"/>
      <c r="V871" s="4"/>
      <c r="W871" s="4"/>
      <c r="X871" s="4"/>
      <c r="Y871" s="4"/>
      <c r="Z871" s="4"/>
      <c r="AA871" s="4"/>
    </row>
    <row r="872">
      <c r="A872" s="4" t="s">
        <v>8192</v>
      </c>
      <c r="B872" s="4" t="s">
        <v>19</v>
      </c>
      <c r="C872" s="4" t="s">
        <v>6838</v>
      </c>
      <c r="D872" s="4">
        <v>44005.0</v>
      </c>
      <c r="E872" s="4">
        <v>0.6250000000000014</v>
      </c>
      <c r="F872" s="4">
        <v>3.4722222222222224E-4</v>
      </c>
      <c r="G872" s="4">
        <v>0.6253472222222237</v>
      </c>
      <c r="H872" s="4" t="s">
        <v>1944</v>
      </c>
      <c r="I872" s="4" t="s">
        <v>314</v>
      </c>
      <c r="J872" s="4" t="s">
        <v>314</v>
      </c>
      <c r="K872" s="4" t="s">
        <v>1040</v>
      </c>
      <c r="L872" s="4" t="s">
        <v>81</v>
      </c>
      <c r="M872" s="4"/>
      <c r="N872" s="4"/>
      <c r="O872" s="4" t="s">
        <v>81</v>
      </c>
      <c r="P872" s="4"/>
      <c r="Q872" s="4"/>
      <c r="R872" s="4"/>
      <c r="S872" s="4"/>
      <c r="T872" s="4"/>
      <c r="U872" s="4">
        <v>0.0</v>
      </c>
      <c r="V872" s="4"/>
      <c r="W872" s="4"/>
      <c r="X872" s="4"/>
      <c r="Y872" s="4"/>
      <c r="Z872" s="4"/>
      <c r="AA872" s="4"/>
    </row>
    <row r="873">
      <c r="A873" s="4" t="s">
        <v>8193</v>
      </c>
      <c r="B873" s="4" t="s">
        <v>19</v>
      </c>
      <c r="C873" s="4" t="s">
        <v>6838</v>
      </c>
      <c r="D873" s="4">
        <v>44005.0</v>
      </c>
      <c r="E873" s="4">
        <v>0.6253472222222237</v>
      </c>
      <c r="F873" s="4">
        <v>0.009027777777777777</v>
      </c>
      <c r="G873" s="4">
        <v>0.6343750000000015</v>
      </c>
      <c r="H873" s="4" t="s">
        <v>1055</v>
      </c>
      <c r="I873" s="4" t="s">
        <v>4142</v>
      </c>
      <c r="J873" s="4" t="s">
        <v>6903</v>
      </c>
      <c r="K873" s="4" t="s">
        <v>1040</v>
      </c>
      <c r="L873" s="4" t="s">
        <v>107</v>
      </c>
      <c r="M873" s="4" t="s">
        <v>7462</v>
      </c>
      <c r="N873" s="4" t="s">
        <v>7475</v>
      </c>
      <c r="O873" s="4" t="s">
        <v>1122</v>
      </c>
      <c r="P873" s="4" t="s">
        <v>1123</v>
      </c>
      <c r="Q873" s="4" t="s">
        <v>1124</v>
      </c>
      <c r="R873" s="4"/>
      <c r="S873" s="4"/>
      <c r="T873" s="4" t="s">
        <v>689</v>
      </c>
      <c r="U873" s="4">
        <v>3.0</v>
      </c>
      <c r="V873" s="4" t="s">
        <v>8194</v>
      </c>
      <c r="W873" s="4" t="s">
        <v>7284</v>
      </c>
      <c r="X873" s="4">
        <v>43944.0</v>
      </c>
      <c r="Y873" s="4" t="s">
        <v>7199</v>
      </c>
      <c r="Z873" s="4" t="s">
        <v>1362</v>
      </c>
      <c r="AA873" s="4"/>
    </row>
    <row r="874">
      <c r="A874" s="4" t="s">
        <v>8195</v>
      </c>
      <c r="B874" s="4" t="s">
        <v>19</v>
      </c>
      <c r="C874" s="4" t="s">
        <v>6838</v>
      </c>
      <c r="D874" s="4">
        <v>44005.0</v>
      </c>
      <c r="E874" s="4">
        <v>0.6343750000000015</v>
      </c>
      <c r="F874" s="4">
        <v>1.7361111111111112E-4</v>
      </c>
      <c r="G874" s="4">
        <v>0.6345486111111126</v>
      </c>
      <c r="H874" s="4" t="s">
        <v>1944</v>
      </c>
      <c r="I874" s="4" t="s">
        <v>314</v>
      </c>
      <c r="J874" s="4" t="s">
        <v>314</v>
      </c>
      <c r="K874" s="4" t="s">
        <v>1040</v>
      </c>
      <c r="L874" s="4" t="s">
        <v>85</v>
      </c>
      <c r="M874" s="4"/>
      <c r="N874" s="4"/>
      <c r="O874" s="4" t="s">
        <v>85</v>
      </c>
      <c r="P874" s="4"/>
      <c r="Q874" s="4"/>
      <c r="R874" s="4"/>
      <c r="S874" s="4"/>
      <c r="T874" s="4"/>
      <c r="U874" s="4">
        <v>0.0</v>
      </c>
      <c r="V874" s="4"/>
      <c r="W874" s="4"/>
      <c r="X874" s="4"/>
      <c r="Y874" s="4"/>
      <c r="Z874" s="4"/>
      <c r="AA874" s="4"/>
    </row>
    <row r="875">
      <c r="A875" s="4" t="s">
        <v>8196</v>
      </c>
      <c r="B875" s="4" t="s">
        <v>19</v>
      </c>
      <c r="C875" s="4" t="s">
        <v>6838</v>
      </c>
      <c r="D875" s="4">
        <v>44005.0</v>
      </c>
      <c r="E875" s="4">
        <v>0.6345486111111126</v>
      </c>
      <c r="F875" s="4">
        <v>3.4722222222222224E-4</v>
      </c>
      <c r="G875" s="4">
        <v>0.6348958333333349</v>
      </c>
      <c r="H875" s="4" t="s">
        <v>1944</v>
      </c>
      <c r="I875" s="4" t="s">
        <v>314</v>
      </c>
      <c r="J875" s="4" t="s">
        <v>314</v>
      </c>
      <c r="K875" s="4" t="s">
        <v>1040</v>
      </c>
      <c r="L875" s="4" t="s">
        <v>85</v>
      </c>
      <c r="M875" s="4"/>
      <c r="N875" s="4"/>
      <c r="O875" s="4" t="s">
        <v>85</v>
      </c>
      <c r="P875" s="4"/>
      <c r="Q875" s="4"/>
      <c r="R875" s="4"/>
      <c r="S875" s="4"/>
      <c r="T875" s="4"/>
      <c r="U875" s="4">
        <v>0.0</v>
      </c>
      <c r="V875" s="4"/>
      <c r="W875" s="4"/>
      <c r="X875" s="4"/>
      <c r="Y875" s="4"/>
      <c r="Z875" s="4"/>
      <c r="AA875" s="4"/>
    </row>
    <row r="876">
      <c r="A876" s="4" t="s">
        <v>8197</v>
      </c>
      <c r="B876" s="4" t="s">
        <v>19</v>
      </c>
      <c r="C876" s="4" t="s">
        <v>6838</v>
      </c>
      <c r="D876" s="4">
        <v>44005.0</v>
      </c>
      <c r="E876" s="4">
        <v>0.6348958333333349</v>
      </c>
      <c r="F876" s="4">
        <v>0.0020833333333333333</v>
      </c>
      <c r="G876" s="4">
        <v>0.6369791666666682</v>
      </c>
      <c r="H876" s="4" t="s">
        <v>630</v>
      </c>
      <c r="I876" s="4" t="s">
        <v>314</v>
      </c>
      <c r="J876" s="4" t="s">
        <v>15</v>
      </c>
      <c r="K876" s="4" t="s">
        <v>1040</v>
      </c>
      <c r="L876" s="4" t="s">
        <v>165</v>
      </c>
      <c r="M876" s="4" t="s">
        <v>7126</v>
      </c>
      <c r="N876" s="4" t="s">
        <v>7475</v>
      </c>
      <c r="O876" s="4" t="s">
        <v>1128</v>
      </c>
      <c r="P876" s="4" t="s">
        <v>1129</v>
      </c>
      <c r="Q876" s="4"/>
      <c r="R876" s="4"/>
      <c r="S876" s="4"/>
      <c r="T876" s="4"/>
      <c r="U876" s="4">
        <v>1.0</v>
      </c>
      <c r="V876" s="4" t="s">
        <v>8198</v>
      </c>
      <c r="W876" s="4" t="s">
        <v>7197</v>
      </c>
      <c r="X876" s="4" t="s">
        <v>8199</v>
      </c>
      <c r="Y876" s="4" t="s">
        <v>7199</v>
      </c>
      <c r="Z876" s="4" t="s">
        <v>630</v>
      </c>
      <c r="AA876" s="4"/>
    </row>
    <row r="877">
      <c r="A877" s="4" t="s">
        <v>8200</v>
      </c>
      <c r="B877" s="4" t="s">
        <v>19</v>
      </c>
      <c r="C877" s="4" t="s">
        <v>6838</v>
      </c>
      <c r="D877" s="4">
        <v>44005.0</v>
      </c>
      <c r="E877" s="4">
        <v>0.6369791666666682</v>
      </c>
      <c r="F877" s="4">
        <v>1.7361111111111112E-4</v>
      </c>
      <c r="G877" s="4">
        <v>0.6371527777777793</v>
      </c>
      <c r="H877" s="4" t="s">
        <v>1944</v>
      </c>
      <c r="I877" s="4" t="s">
        <v>314</v>
      </c>
      <c r="J877" s="4" t="s">
        <v>314</v>
      </c>
      <c r="K877" s="4" t="s">
        <v>1040</v>
      </c>
      <c r="L877" s="4" t="s">
        <v>85</v>
      </c>
      <c r="M877" s="4"/>
      <c r="N877" s="4"/>
      <c r="O877" s="4" t="s">
        <v>85</v>
      </c>
      <c r="P877" s="4"/>
      <c r="Q877" s="4"/>
      <c r="R877" s="4"/>
      <c r="S877" s="4"/>
      <c r="T877" s="4"/>
      <c r="U877" s="4">
        <v>0.0</v>
      </c>
      <c r="V877" s="4"/>
      <c r="W877" s="4"/>
      <c r="X877" s="4"/>
      <c r="Y877" s="4"/>
      <c r="Z877" s="4"/>
      <c r="AA877" s="4"/>
    </row>
    <row r="878">
      <c r="A878" s="4" t="s">
        <v>8201</v>
      </c>
      <c r="B878" s="4" t="s">
        <v>19</v>
      </c>
      <c r="C878" s="4" t="s">
        <v>6838</v>
      </c>
      <c r="D878" s="4">
        <v>44005.0</v>
      </c>
      <c r="E878" s="4">
        <v>0.6371527777777793</v>
      </c>
      <c r="F878" s="4">
        <v>3.4722222222222224E-4</v>
      </c>
      <c r="G878" s="4">
        <v>0.6375000000000016</v>
      </c>
      <c r="H878" s="4" t="s">
        <v>1215</v>
      </c>
      <c r="I878" s="4" t="s">
        <v>314</v>
      </c>
      <c r="J878" s="4" t="s">
        <v>314</v>
      </c>
      <c r="K878" s="4" t="s">
        <v>1040</v>
      </c>
      <c r="L878" s="4" t="s">
        <v>506</v>
      </c>
      <c r="M878" s="4"/>
      <c r="N878" s="4"/>
      <c r="O878" s="4" t="s">
        <v>8202</v>
      </c>
      <c r="P878" s="4"/>
      <c r="Q878" s="4"/>
      <c r="R878" s="4"/>
      <c r="S878" s="4"/>
      <c r="T878" s="4"/>
      <c r="U878" s="4">
        <v>0.0</v>
      </c>
      <c r="V878" s="4"/>
      <c r="W878" s="4"/>
      <c r="X878" s="4"/>
      <c r="Y878" s="4"/>
      <c r="Z878" s="4"/>
      <c r="AA878" s="4"/>
    </row>
    <row r="879">
      <c r="A879" s="4" t="s">
        <v>8203</v>
      </c>
      <c r="B879" s="4" t="s">
        <v>19</v>
      </c>
      <c r="C879" s="4" t="s">
        <v>6838</v>
      </c>
      <c r="D879" s="4">
        <v>44005.0</v>
      </c>
      <c r="E879" s="4">
        <v>0.6375000000000016</v>
      </c>
      <c r="F879" s="4">
        <v>3.4722222222222224E-4</v>
      </c>
      <c r="G879" s="4">
        <v>0.6378472222222239</v>
      </c>
      <c r="H879" s="4" t="s">
        <v>1944</v>
      </c>
      <c r="I879" s="4" t="s">
        <v>314</v>
      </c>
      <c r="J879" s="4" t="s">
        <v>314</v>
      </c>
      <c r="K879" s="4" t="s">
        <v>1040</v>
      </c>
      <c r="L879" s="4" t="s">
        <v>81</v>
      </c>
      <c r="M879" s="4"/>
      <c r="N879" s="4"/>
      <c r="O879" s="4" t="s">
        <v>81</v>
      </c>
      <c r="P879" s="4"/>
      <c r="Q879" s="4"/>
      <c r="R879" s="4"/>
      <c r="S879" s="4"/>
      <c r="T879" s="4"/>
      <c r="U879" s="4">
        <v>0.0</v>
      </c>
      <c r="V879" s="4"/>
      <c r="W879" s="4"/>
      <c r="X879" s="4"/>
      <c r="Y879" s="4"/>
      <c r="Z879" s="4"/>
      <c r="AA879" s="4"/>
    </row>
    <row r="880">
      <c r="A880" s="4" t="s">
        <v>8204</v>
      </c>
      <c r="B880" s="4" t="s">
        <v>19</v>
      </c>
      <c r="C880" s="4" t="s">
        <v>6838</v>
      </c>
      <c r="D880" s="4">
        <v>44005.0</v>
      </c>
      <c r="E880" s="4">
        <v>0.6378472222222239</v>
      </c>
      <c r="F880" s="4">
        <v>0.011631944444444445</v>
      </c>
      <c r="G880" s="4">
        <v>0.6494791666666684</v>
      </c>
      <c r="H880" s="4" t="s">
        <v>847</v>
      </c>
      <c r="I880" s="4" t="s">
        <v>4142</v>
      </c>
      <c r="J880" s="4" t="s">
        <v>6870</v>
      </c>
      <c r="K880" s="4" t="s">
        <v>1040</v>
      </c>
      <c r="L880" s="4" t="s">
        <v>94</v>
      </c>
      <c r="M880" s="4" t="s">
        <v>7474</v>
      </c>
      <c r="N880" s="4" t="s">
        <v>6755</v>
      </c>
      <c r="O880" s="4" t="s">
        <v>8205</v>
      </c>
      <c r="P880" s="4" t="s">
        <v>1134</v>
      </c>
      <c r="Q880" s="4"/>
      <c r="R880" s="4"/>
      <c r="S880" s="4"/>
      <c r="T880" s="4" t="s">
        <v>342</v>
      </c>
      <c r="U880" s="4">
        <v>2.0</v>
      </c>
      <c r="V880" s="4" t="s">
        <v>8206</v>
      </c>
      <c r="W880" s="4" t="s">
        <v>6962</v>
      </c>
      <c r="X880" s="4" t="s">
        <v>8207</v>
      </c>
      <c r="Y880" s="4" t="s">
        <v>8208</v>
      </c>
      <c r="Z880" s="4" t="s">
        <v>847</v>
      </c>
      <c r="AA880" s="4"/>
    </row>
    <row r="881">
      <c r="A881" s="4" t="s">
        <v>8209</v>
      </c>
      <c r="B881" s="4" t="s">
        <v>19</v>
      </c>
      <c r="C881" s="4" t="s">
        <v>6838</v>
      </c>
      <c r="D881" s="4">
        <v>44005.0</v>
      </c>
      <c r="E881" s="4">
        <v>0.6494791666666684</v>
      </c>
      <c r="F881" s="4">
        <v>1.7361111111111112E-4</v>
      </c>
      <c r="G881" s="4">
        <v>0.6496527777777795</v>
      </c>
      <c r="H881" s="4" t="s">
        <v>1944</v>
      </c>
      <c r="I881" s="4" t="s">
        <v>314</v>
      </c>
      <c r="J881" s="4" t="s">
        <v>314</v>
      </c>
      <c r="K881" s="4" t="s">
        <v>1040</v>
      </c>
      <c r="L881" s="4" t="s">
        <v>85</v>
      </c>
      <c r="M881" s="4"/>
      <c r="N881" s="4"/>
      <c r="O881" s="4" t="s">
        <v>85</v>
      </c>
      <c r="P881" s="4"/>
      <c r="Q881" s="4"/>
      <c r="R881" s="4"/>
      <c r="S881" s="4"/>
      <c r="T881" s="4"/>
      <c r="U881" s="4">
        <v>0.0</v>
      </c>
      <c r="V881" s="4"/>
      <c r="W881" s="4"/>
      <c r="X881" s="4"/>
      <c r="Y881" s="4"/>
      <c r="Z881" s="4"/>
      <c r="AA881" s="4"/>
    </row>
    <row r="882">
      <c r="A882" s="4" t="s">
        <v>8210</v>
      </c>
      <c r="B882" s="4" t="s">
        <v>19</v>
      </c>
      <c r="C882" s="4" t="s">
        <v>6838</v>
      </c>
      <c r="D882" s="4">
        <v>44005.0</v>
      </c>
      <c r="E882" s="4">
        <v>0.6496527777777795</v>
      </c>
      <c r="F882" s="4">
        <v>3.4722222222222224E-4</v>
      </c>
      <c r="G882" s="4">
        <v>0.6500000000000018</v>
      </c>
      <c r="H882" s="4" t="s">
        <v>1944</v>
      </c>
      <c r="I882" s="4" t="s">
        <v>314</v>
      </c>
      <c r="J882" s="4" t="s">
        <v>314</v>
      </c>
      <c r="K882" s="4" t="s">
        <v>1040</v>
      </c>
      <c r="L882" s="4" t="s">
        <v>81</v>
      </c>
      <c r="M882" s="4"/>
      <c r="N882" s="4"/>
      <c r="O882" s="4" t="s">
        <v>81</v>
      </c>
      <c r="P882" s="4"/>
      <c r="Q882" s="4"/>
      <c r="R882" s="4"/>
      <c r="S882" s="4"/>
      <c r="T882" s="4"/>
      <c r="U882" s="4">
        <v>0.0</v>
      </c>
      <c r="V882" s="4"/>
      <c r="W882" s="4"/>
      <c r="X882" s="4"/>
      <c r="Y882" s="4"/>
      <c r="Z882" s="4"/>
      <c r="AA882" s="4"/>
    </row>
    <row r="883">
      <c r="A883" s="4" t="s">
        <v>8211</v>
      </c>
      <c r="B883" s="4" t="s">
        <v>19</v>
      </c>
      <c r="C883" s="4" t="s">
        <v>6838</v>
      </c>
      <c r="D883" s="4">
        <v>44005.0</v>
      </c>
      <c r="E883" s="4">
        <v>0.6500000000000018</v>
      </c>
      <c r="F883" s="4">
        <v>0.007638888888888889</v>
      </c>
      <c r="G883" s="4">
        <v>0.6576388888888907</v>
      </c>
      <c r="H883" s="4" t="s">
        <v>873</v>
      </c>
      <c r="I883" s="4" t="s">
        <v>6960</v>
      </c>
      <c r="J883" s="4" t="s">
        <v>6948</v>
      </c>
      <c r="K883" s="4" t="s">
        <v>1040</v>
      </c>
      <c r="L883" s="4" t="s">
        <v>94</v>
      </c>
      <c r="M883" s="4" t="s">
        <v>7126</v>
      </c>
      <c r="N883" s="4" t="s">
        <v>6749</v>
      </c>
      <c r="O883" s="4" t="s">
        <v>1138</v>
      </c>
      <c r="P883" s="4" t="s">
        <v>1139</v>
      </c>
      <c r="Q883" s="4"/>
      <c r="R883" s="4"/>
      <c r="S883" s="4"/>
      <c r="T883" s="4" t="s">
        <v>132</v>
      </c>
      <c r="U883" s="4">
        <v>2.0</v>
      </c>
      <c r="V883" s="4" t="s">
        <v>8212</v>
      </c>
      <c r="W883" s="4" t="s">
        <v>7115</v>
      </c>
      <c r="X883" s="4" t="s">
        <v>8213</v>
      </c>
      <c r="Y883" s="4" t="s">
        <v>8214</v>
      </c>
      <c r="Z883" s="4" t="s">
        <v>873</v>
      </c>
      <c r="AA883" s="4"/>
    </row>
    <row r="884">
      <c r="A884" s="4" t="s">
        <v>8215</v>
      </c>
      <c r="B884" s="4" t="s">
        <v>19</v>
      </c>
      <c r="C884" s="4" t="s">
        <v>6838</v>
      </c>
      <c r="D884" s="4">
        <v>44005.0</v>
      </c>
      <c r="E884" s="4">
        <v>0.6576388888888907</v>
      </c>
      <c r="F884" s="4">
        <v>1.7361111111111112E-4</v>
      </c>
      <c r="G884" s="4">
        <v>0.6578125000000018</v>
      </c>
      <c r="H884" s="4" t="s">
        <v>1944</v>
      </c>
      <c r="I884" s="4" t="s">
        <v>314</v>
      </c>
      <c r="J884" s="4" t="s">
        <v>314</v>
      </c>
      <c r="K884" s="4" t="s">
        <v>1040</v>
      </c>
      <c r="L884" s="4" t="s">
        <v>85</v>
      </c>
      <c r="M884" s="4"/>
      <c r="N884" s="4"/>
      <c r="O884" s="4" t="s">
        <v>85</v>
      </c>
      <c r="P884" s="4"/>
      <c r="Q884" s="4"/>
      <c r="R884" s="4"/>
      <c r="S884" s="4"/>
      <c r="T884" s="4"/>
      <c r="U884" s="4">
        <v>0.0</v>
      </c>
      <c r="V884" s="4"/>
      <c r="W884" s="4"/>
      <c r="X884" s="4"/>
      <c r="Y884" s="4"/>
      <c r="Z884" s="4"/>
      <c r="AA884" s="4"/>
    </row>
    <row r="885">
      <c r="A885" s="4" t="s">
        <v>8216</v>
      </c>
      <c r="B885" s="4" t="s">
        <v>19</v>
      </c>
      <c r="C885" s="4" t="s">
        <v>6838</v>
      </c>
      <c r="D885" s="4">
        <v>44005.0</v>
      </c>
      <c r="E885" s="4">
        <v>0.6578125000000018</v>
      </c>
      <c r="F885" s="4">
        <v>3.4722222222222224E-4</v>
      </c>
      <c r="G885" s="4">
        <v>0.6581597222222241</v>
      </c>
      <c r="H885" s="4" t="s">
        <v>1944</v>
      </c>
      <c r="I885" s="4" t="s">
        <v>314</v>
      </c>
      <c r="J885" s="4" t="s">
        <v>314</v>
      </c>
      <c r="K885" s="4" t="s">
        <v>1040</v>
      </c>
      <c r="L885" s="4" t="s">
        <v>81</v>
      </c>
      <c r="M885" s="4"/>
      <c r="N885" s="4"/>
      <c r="O885" s="4" t="s">
        <v>81</v>
      </c>
      <c r="P885" s="4"/>
      <c r="Q885" s="4"/>
      <c r="R885" s="4"/>
      <c r="S885" s="4"/>
      <c r="T885" s="4"/>
      <c r="U885" s="4">
        <v>0.0</v>
      </c>
      <c r="V885" s="4"/>
      <c r="W885" s="4"/>
      <c r="X885" s="4"/>
      <c r="Y885" s="4"/>
      <c r="Z885" s="4"/>
      <c r="AA885" s="4"/>
    </row>
    <row r="886">
      <c r="A886" s="4" t="s">
        <v>8217</v>
      </c>
      <c r="B886" s="4" t="s">
        <v>19</v>
      </c>
      <c r="C886" s="4" t="s">
        <v>6838</v>
      </c>
      <c r="D886" s="4">
        <v>44005.0</v>
      </c>
      <c r="E886" s="4">
        <v>0.6581597222222241</v>
      </c>
      <c r="F886" s="4">
        <v>0.008333333333333333</v>
      </c>
      <c r="G886" s="4">
        <v>0.6664930555555574</v>
      </c>
      <c r="H886" s="4" t="s">
        <v>1055</v>
      </c>
      <c r="I886" s="4" t="s">
        <v>17</v>
      </c>
      <c r="J886" s="4" t="s">
        <v>6903</v>
      </c>
      <c r="K886" s="4" t="s">
        <v>1040</v>
      </c>
      <c r="L886" s="4" t="s">
        <v>94</v>
      </c>
      <c r="M886" s="4" t="s">
        <v>7462</v>
      </c>
      <c r="N886" s="4" t="s">
        <v>6755</v>
      </c>
      <c r="O886" s="4" t="s">
        <v>1143</v>
      </c>
      <c r="P886" s="4" t="s">
        <v>1144</v>
      </c>
      <c r="Q886" s="4"/>
      <c r="R886" s="4"/>
      <c r="S886" s="4"/>
      <c r="T886" s="4" t="s">
        <v>1145</v>
      </c>
      <c r="U886" s="4">
        <v>2.0</v>
      </c>
      <c r="V886" s="4" t="s">
        <v>8218</v>
      </c>
      <c r="W886" s="4" t="s">
        <v>6855</v>
      </c>
      <c r="X886" s="4" t="s">
        <v>8219</v>
      </c>
      <c r="Y886" s="4"/>
      <c r="Z886" s="4" t="s">
        <v>4345</v>
      </c>
      <c r="AA886" s="4"/>
    </row>
    <row r="887">
      <c r="A887" s="4" t="s">
        <v>8220</v>
      </c>
      <c r="B887" s="4" t="s">
        <v>19</v>
      </c>
      <c r="C887" s="4" t="s">
        <v>6838</v>
      </c>
      <c r="D887" s="4">
        <v>44005.0</v>
      </c>
      <c r="E887" s="4">
        <v>0.6664930555555574</v>
      </c>
      <c r="F887" s="4">
        <v>1.7361111111111112E-4</v>
      </c>
      <c r="G887" s="4">
        <v>0.6666666666666685</v>
      </c>
      <c r="H887" s="4" t="s">
        <v>1944</v>
      </c>
      <c r="I887" s="4" t="s">
        <v>314</v>
      </c>
      <c r="J887" s="4" t="s">
        <v>314</v>
      </c>
      <c r="K887" s="4" t="s">
        <v>1040</v>
      </c>
      <c r="L887" s="4" t="s">
        <v>85</v>
      </c>
      <c r="M887" s="4"/>
      <c r="N887" s="4"/>
      <c r="O887" s="4" t="s">
        <v>85</v>
      </c>
      <c r="P887" s="4"/>
      <c r="Q887" s="4"/>
      <c r="R887" s="4"/>
      <c r="S887" s="4"/>
      <c r="T887" s="4"/>
      <c r="U887" s="4">
        <v>0.0</v>
      </c>
      <c r="V887" s="4"/>
      <c r="W887" s="4"/>
      <c r="X887" s="4"/>
      <c r="Y887" s="4"/>
      <c r="Z887" s="4"/>
      <c r="AA887" s="4"/>
    </row>
    <row r="888">
      <c r="A888" s="4" t="s">
        <v>8221</v>
      </c>
      <c r="B888" s="4" t="s">
        <v>19</v>
      </c>
      <c r="C888" s="4" t="s">
        <v>6838</v>
      </c>
      <c r="D888" s="4">
        <v>44005.0</v>
      </c>
      <c r="E888" s="4">
        <v>0.6666666666666685</v>
      </c>
      <c r="F888" s="4">
        <v>3.4722222222222224E-4</v>
      </c>
      <c r="G888" s="4">
        <v>0.6670138888888908</v>
      </c>
      <c r="H888" s="4" t="s">
        <v>1944</v>
      </c>
      <c r="I888" s="4" t="s">
        <v>314</v>
      </c>
      <c r="J888" s="4" t="s">
        <v>314</v>
      </c>
      <c r="K888" s="4" t="s">
        <v>210</v>
      </c>
      <c r="L888" s="4" t="s">
        <v>81</v>
      </c>
      <c r="M888" s="4"/>
      <c r="N888" s="4"/>
      <c r="O888" s="4" t="s">
        <v>81</v>
      </c>
      <c r="P888" s="4"/>
      <c r="Q888" s="4"/>
      <c r="R888" s="4"/>
      <c r="S888" s="4"/>
      <c r="T888" s="4"/>
      <c r="U888" s="4">
        <v>0.0</v>
      </c>
      <c r="V888" s="4"/>
      <c r="W888" s="4"/>
      <c r="X888" s="4"/>
      <c r="Y888" s="4"/>
      <c r="Z888" s="4"/>
      <c r="AA888" s="4"/>
    </row>
    <row r="889">
      <c r="A889" s="4" t="s">
        <v>8222</v>
      </c>
      <c r="B889" s="4" t="s">
        <v>19</v>
      </c>
      <c r="C889" s="4" t="s">
        <v>6838</v>
      </c>
      <c r="D889" s="4">
        <v>44005.0</v>
      </c>
      <c r="E889" s="4">
        <v>0.6670138888888908</v>
      </c>
      <c r="F889" s="4">
        <v>0.010590277777777778</v>
      </c>
      <c r="G889" s="4">
        <v>0.6776041666666686</v>
      </c>
      <c r="H889" s="4" t="s">
        <v>1076</v>
      </c>
      <c r="I889" s="4" t="s">
        <v>6933</v>
      </c>
      <c r="J889" s="4" t="s">
        <v>7086</v>
      </c>
      <c r="K889" s="4" t="s">
        <v>210</v>
      </c>
      <c r="L889" s="4" t="s">
        <v>107</v>
      </c>
      <c r="M889" s="4" t="s">
        <v>7505</v>
      </c>
      <c r="N889" s="4" t="s">
        <v>6858</v>
      </c>
      <c r="O889" s="4" t="s">
        <v>1152</v>
      </c>
      <c r="P889" s="4" t="s">
        <v>1153</v>
      </c>
      <c r="Q889" s="4" t="s">
        <v>1154</v>
      </c>
      <c r="R889" s="4"/>
      <c r="S889" s="4"/>
      <c r="T889" s="4" t="s">
        <v>8223</v>
      </c>
      <c r="U889" s="4">
        <v>3.0</v>
      </c>
      <c r="V889" s="4" t="s">
        <v>8224</v>
      </c>
      <c r="W889" s="4" t="s">
        <v>6920</v>
      </c>
      <c r="X889" s="4" t="s">
        <v>8225</v>
      </c>
      <c r="Y889" s="4" t="s">
        <v>8226</v>
      </c>
      <c r="Z889" s="4"/>
      <c r="AA889" s="4"/>
    </row>
    <row r="890">
      <c r="A890" s="4" t="s">
        <v>8227</v>
      </c>
      <c r="B890" s="4" t="s">
        <v>19</v>
      </c>
      <c r="C890" s="4" t="s">
        <v>6838</v>
      </c>
      <c r="D890" s="4">
        <v>44005.0</v>
      </c>
      <c r="E890" s="4">
        <v>0.6776041666666686</v>
      </c>
      <c r="F890" s="4">
        <v>1.7361111111111112E-4</v>
      </c>
      <c r="G890" s="4">
        <v>0.6777777777777797</v>
      </c>
      <c r="H890" s="4" t="s">
        <v>1944</v>
      </c>
      <c r="I890" s="4" t="s">
        <v>314</v>
      </c>
      <c r="J890" s="4" t="s">
        <v>314</v>
      </c>
      <c r="K890" s="4" t="s">
        <v>210</v>
      </c>
      <c r="L890" s="4" t="s">
        <v>85</v>
      </c>
      <c r="M890" s="4"/>
      <c r="N890" s="4"/>
      <c r="O890" s="4" t="s">
        <v>85</v>
      </c>
      <c r="P890" s="4"/>
      <c r="Q890" s="4"/>
      <c r="R890" s="4"/>
      <c r="S890" s="4"/>
      <c r="T890" s="4"/>
      <c r="U890" s="4">
        <v>0.0</v>
      </c>
      <c r="V890" s="4"/>
      <c r="W890" s="4"/>
      <c r="X890" s="4"/>
      <c r="Y890" s="4"/>
      <c r="Z890" s="4"/>
      <c r="AA890" s="4"/>
    </row>
    <row r="891">
      <c r="A891" s="4" t="s">
        <v>8228</v>
      </c>
      <c r="B891" s="4" t="s">
        <v>19</v>
      </c>
      <c r="C891" s="4" t="s">
        <v>6838</v>
      </c>
      <c r="D891" s="4">
        <v>44005.0</v>
      </c>
      <c r="E891" s="4">
        <v>0.6777777777777797</v>
      </c>
      <c r="F891" s="4">
        <v>3.4722222222222224E-4</v>
      </c>
      <c r="G891" s="4">
        <v>0.678125000000002</v>
      </c>
      <c r="H891" s="4" t="s">
        <v>1944</v>
      </c>
      <c r="I891" s="4" t="s">
        <v>314</v>
      </c>
      <c r="J891" s="4" t="s">
        <v>314</v>
      </c>
      <c r="K891" s="4" t="s">
        <v>210</v>
      </c>
      <c r="L891" s="4" t="s">
        <v>81</v>
      </c>
      <c r="M891" s="4"/>
      <c r="N891" s="4"/>
      <c r="O891" s="4" t="s">
        <v>81</v>
      </c>
      <c r="P891" s="4"/>
      <c r="Q891" s="4"/>
      <c r="R891" s="4"/>
      <c r="S891" s="4"/>
      <c r="T891" s="4"/>
      <c r="U891" s="4">
        <v>0.0</v>
      </c>
      <c r="V891" s="4"/>
      <c r="W891" s="4"/>
      <c r="X891" s="4"/>
      <c r="Y891" s="4"/>
      <c r="Z891" s="4"/>
      <c r="AA891" s="4"/>
    </row>
    <row r="892">
      <c r="A892" s="4" t="s">
        <v>8229</v>
      </c>
      <c r="B892" s="4" t="s">
        <v>19</v>
      </c>
      <c r="C892" s="4" t="s">
        <v>6838</v>
      </c>
      <c r="D892" s="4">
        <v>44005.0</v>
      </c>
      <c r="E892" s="4">
        <v>0.678125000000002</v>
      </c>
      <c r="F892" s="4">
        <v>0.013888888888888888</v>
      </c>
      <c r="G892" s="4">
        <v>0.6920138888888908</v>
      </c>
      <c r="H892" s="4" t="s">
        <v>1076</v>
      </c>
      <c r="I892" s="4" t="s">
        <v>4142</v>
      </c>
      <c r="J892" s="4" t="s">
        <v>7086</v>
      </c>
      <c r="K892" s="4" t="s">
        <v>210</v>
      </c>
      <c r="L892" s="4" t="s">
        <v>94</v>
      </c>
      <c r="M892" s="4" t="s">
        <v>7505</v>
      </c>
      <c r="N892" s="4" t="s">
        <v>6755</v>
      </c>
      <c r="O892" s="4" t="s">
        <v>1159</v>
      </c>
      <c r="P892" s="4" t="s">
        <v>1160</v>
      </c>
      <c r="Q892" s="4"/>
      <c r="R892" s="4"/>
      <c r="S892" s="4"/>
      <c r="T892" s="4" t="s">
        <v>96</v>
      </c>
      <c r="U892" s="4">
        <v>2.0</v>
      </c>
      <c r="V892" s="4" t="s">
        <v>8230</v>
      </c>
      <c r="W892" s="4" t="s">
        <v>6855</v>
      </c>
      <c r="X892" s="4" t="s">
        <v>8231</v>
      </c>
      <c r="Y892" s="4"/>
      <c r="Z892" s="4"/>
      <c r="AA892" s="4"/>
    </row>
    <row r="893">
      <c r="A893" s="4" t="s">
        <v>8232</v>
      </c>
      <c r="B893" s="4" t="s">
        <v>19</v>
      </c>
      <c r="C893" s="4" t="s">
        <v>6838</v>
      </c>
      <c r="D893" s="4">
        <v>44005.0</v>
      </c>
      <c r="E893" s="4">
        <v>0.6920138888888908</v>
      </c>
      <c r="F893" s="4">
        <v>1.7361111111111112E-4</v>
      </c>
      <c r="G893" s="4">
        <v>0.692187500000002</v>
      </c>
      <c r="H893" s="4" t="s">
        <v>1944</v>
      </c>
      <c r="I893" s="4" t="s">
        <v>314</v>
      </c>
      <c r="J893" s="4" t="s">
        <v>15</v>
      </c>
      <c r="K893" s="4" t="s">
        <v>210</v>
      </c>
      <c r="L893" s="4" t="s">
        <v>85</v>
      </c>
      <c r="M893" s="4"/>
      <c r="N893" s="4"/>
      <c r="O893" s="4" t="s">
        <v>7241</v>
      </c>
      <c r="P893" s="4"/>
      <c r="Q893" s="4"/>
      <c r="R893" s="4"/>
      <c r="S893" s="4"/>
      <c r="T893" s="4"/>
      <c r="U893" s="4"/>
      <c r="V893" s="4"/>
      <c r="W893" s="4"/>
      <c r="X893" s="4"/>
      <c r="Y893" s="4"/>
      <c r="Z893" s="4"/>
      <c r="AA893" s="4"/>
    </row>
    <row r="894">
      <c r="A894" s="4" t="s">
        <v>8233</v>
      </c>
      <c r="B894" s="4" t="s">
        <v>19</v>
      </c>
      <c r="C894" s="4" t="s">
        <v>6838</v>
      </c>
      <c r="D894" s="4">
        <v>44005.0</v>
      </c>
      <c r="E894" s="4">
        <v>0.692187500000002</v>
      </c>
      <c r="F894" s="4">
        <v>3.4722222222222224E-4</v>
      </c>
      <c r="G894" s="4">
        <v>0.6925347222222242</v>
      </c>
      <c r="H894" s="4" t="s">
        <v>1215</v>
      </c>
      <c r="I894" s="4" t="s">
        <v>314</v>
      </c>
      <c r="J894" s="4" t="s">
        <v>314</v>
      </c>
      <c r="K894" s="4" t="s">
        <v>210</v>
      </c>
      <c r="L894" s="4" t="s">
        <v>506</v>
      </c>
      <c r="M894" s="4"/>
      <c r="N894" s="4"/>
      <c r="O894" s="4" t="s">
        <v>8234</v>
      </c>
      <c r="P894" s="4"/>
      <c r="Q894" s="4"/>
      <c r="R894" s="4"/>
      <c r="S894" s="4"/>
      <c r="T894" s="4"/>
      <c r="U894" s="4">
        <v>0.0</v>
      </c>
      <c r="V894" s="4"/>
      <c r="W894" s="4"/>
      <c r="X894" s="4"/>
      <c r="Y894" s="4"/>
      <c r="Z894" s="4"/>
      <c r="AA894" s="4"/>
    </row>
    <row r="895">
      <c r="A895" s="4" t="s">
        <v>8235</v>
      </c>
      <c r="B895" s="4" t="s">
        <v>19</v>
      </c>
      <c r="C895" s="4" t="s">
        <v>6838</v>
      </c>
      <c r="D895" s="4">
        <v>44005.0</v>
      </c>
      <c r="E895" s="4">
        <v>0.6925347222222242</v>
      </c>
      <c r="F895" s="4">
        <v>3.4722222222222224E-4</v>
      </c>
      <c r="G895" s="4">
        <v>0.6928819444444465</v>
      </c>
      <c r="H895" s="4" t="s">
        <v>1944</v>
      </c>
      <c r="I895" s="4" t="s">
        <v>314</v>
      </c>
      <c r="J895" s="4" t="s">
        <v>314</v>
      </c>
      <c r="K895" s="4" t="s">
        <v>210</v>
      </c>
      <c r="L895" s="4" t="s">
        <v>81</v>
      </c>
      <c r="M895" s="4"/>
      <c r="N895" s="4"/>
      <c r="O895" s="4" t="s">
        <v>81</v>
      </c>
      <c r="P895" s="4"/>
      <c r="Q895" s="4"/>
      <c r="R895" s="4"/>
      <c r="S895" s="4"/>
      <c r="T895" s="4"/>
      <c r="U895" s="4">
        <v>0.0</v>
      </c>
      <c r="V895" s="4"/>
      <c r="W895" s="4"/>
      <c r="X895" s="4"/>
      <c r="Y895" s="4"/>
      <c r="Z895" s="4"/>
      <c r="AA895" s="4"/>
    </row>
    <row r="896">
      <c r="A896" s="4" t="s">
        <v>8236</v>
      </c>
      <c r="B896" s="4" t="s">
        <v>19</v>
      </c>
      <c r="C896" s="4" t="s">
        <v>6838</v>
      </c>
      <c r="D896" s="4">
        <v>44005.0</v>
      </c>
      <c r="E896" s="4">
        <v>0.6928819444444465</v>
      </c>
      <c r="F896" s="4">
        <v>0.0020833333333333333</v>
      </c>
      <c r="G896" s="4">
        <v>0.6949652777777798</v>
      </c>
      <c r="H896" s="4" t="s">
        <v>630</v>
      </c>
      <c r="I896" s="4" t="s">
        <v>314</v>
      </c>
      <c r="J896" s="4" t="s">
        <v>15</v>
      </c>
      <c r="K896" s="4" t="s">
        <v>210</v>
      </c>
      <c r="L896" s="4" t="s">
        <v>165</v>
      </c>
      <c r="M896" s="4" t="s">
        <v>7505</v>
      </c>
      <c r="N896" s="4" t="s">
        <v>7475</v>
      </c>
      <c r="O896" s="4" t="s">
        <v>1162</v>
      </c>
      <c r="P896" s="4" t="s">
        <v>1164</v>
      </c>
      <c r="Q896" s="4"/>
      <c r="R896" s="4"/>
      <c r="S896" s="4"/>
      <c r="T896" s="4"/>
      <c r="U896" s="4">
        <v>1.0</v>
      </c>
      <c r="V896" s="4" t="s">
        <v>8237</v>
      </c>
      <c r="W896" s="4" t="s">
        <v>7197</v>
      </c>
      <c r="X896" s="4" t="s">
        <v>8238</v>
      </c>
      <c r="Y896" s="4" t="s">
        <v>7199</v>
      </c>
      <c r="Z896" s="4" t="s">
        <v>630</v>
      </c>
      <c r="AA896" s="4"/>
    </row>
    <row r="897">
      <c r="A897" s="4" t="s">
        <v>8239</v>
      </c>
      <c r="B897" s="4" t="s">
        <v>19</v>
      </c>
      <c r="C897" s="4" t="s">
        <v>6838</v>
      </c>
      <c r="D897" s="4">
        <v>44005.0</v>
      </c>
      <c r="E897" s="4">
        <v>0.6949652777777798</v>
      </c>
      <c r="F897" s="4">
        <v>1.7361111111111112E-4</v>
      </c>
      <c r="G897" s="4">
        <v>0.695138888888891</v>
      </c>
      <c r="H897" s="4" t="s">
        <v>1944</v>
      </c>
      <c r="I897" s="4" t="s">
        <v>314</v>
      </c>
      <c r="J897" s="4" t="s">
        <v>314</v>
      </c>
      <c r="K897" s="4" t="s">
        <v>210</v>
      </c>
      <c r="L897" s="4" t="s">
        <v>85</v>
      </c>
      <c r="M897" s="4"/>
      <c r="N897" s="4"/>
      <c r="O897" s="4" t="s">
        <v>85</v>
      </c>
      <c r="P897" s="4"/>
      <c r="Q897" s="4"/>
      <c r="R897" s="4"/>
      <c r="S897" s="4"/>
      <c r="T897" s="4"/>
      <c r="U897" s="4">
        <v>0.0</v>
      </c>
      <c r="V897" s="4"/>
      <c r="W897" s="4"/>
      <c r="X897" s="4"/>
      <c r="Y897" s="4"/>
      <c r="Z897" s="4"/>
      <c r="AA897" s="4"/>
    </row>
    <row r="898">
      <c r="A898" s="4" t="s">
        <v>8240</v>
      </c>
      <c r="B898" s="4" t="s">
        <v>19</v>
      </c>
      <c r="C898" s="4" t="s">
        <v>6838</v>
      </c>
      <c r="D898" s="4">
        <v>44005.0</v>
      </c>
      <c r="E898" s="4">
        <v>0.695138888888891</v>
      </c>
      <c r="F898" s="4">
        <v>3.4722222222222224E-4</v>
      </c>
      <c r="G898" s="4">
        <v>0.6954861111111132</v>
      </c>
      <c r="H898" s="4" t="s">
        <v>1944</v>
      </c>
      <c r="I898" s="4" t="s">
        <v>314</v>
      </c>
      <c r="J898" s="4" t="s">
        <v>314</v>
      </c>
      <c r="K898" s="4" t="s">
        <v>210</v>
      </c>
      <c r="L898" s="4" t="s">
        <v>89</v>
      </c>
      <c r="M898" s="4"/>
      <c r="N898" s="4"/>
      <c r="O898" s="4" t="s">
        <v>89</v>
      </c>
      <c r="P898" s="4"/>
      <c r="Q898" s="4"/>
      <c r="R898" s="4"/>
      <c r="S898" s="4"/>
      <c r="T898" s="4"/>
      <c r="U898" s="4">
        <v>0.0</v>
      </c>
      <c r="V898" s="4"/>
      <c r="W898" s="4"/>
      <c r="X898" s="4"/>
      <c r="Y898" s="4"/>
      <c r="Z898" s="4"/>
      <c r="AA898" s="4"/>
    </row>
    <row r="899">
      <c r="A899" s="4" t="s">
        <v>8241</v>
      </c>
      <c r="B899" s="4" t="s">
        <v>19</v>
      </c>
      <c r="C899" s="4" t="s">
        <v>6838</v>
      </c>
      <c r="D899" s="4">
        <v>44005.0</v>
      </c>
      <c r="E899" s="4">
        <v>0.6954861111111132</v>
      </c>
      <c r="F899" s="4">
        <v>3.4722222222222224E-4</v>
      </c>
      <c r="G899" s="4">
        <v>0.6958333333333355</v>
      </c>
      <c r="H899" s="4" t="s">
        <v>1944</v>
      </c>
      <c r="I899" s="4" t="s">
        <v>314</v>
      </c>
      <c r="J899" s="4" t="s">
        <v>314</v>
      </c>
      <c r="K899" s="4" t="s">
        <v>210</v>
      </c>
      <c r="L899" s="4" t="s">
        <v>81</v>
      </c>
      <c r="M899" s="4"/>
      <c r="N899" s="4"/>
      <c r="O899" s="4" t="s">
        <v>81</v>
      </c>
      <c r="P899" s="4"/>
      <c r="Q899" s="4"/>
      <c r="R899" s="4"/>
      <c r="S899" s="4"/>
      <c r="T899" s="4"/>
      <c r="U899" s="4">
        <v>0.0</v>
      </c>
      <c r="V899" s="4"/>
      <c r="W899" s="4"/>
      <c r="X899" s="4"/>
      <c r="Y899" s="4"/>
      <c r="Z899" s="4"/>
      <c r="AA899" s="4"/>
    </row>
    <row r="900">
      <c r="A900" s="4" t="s">
        <v>8242</v>
      </c>
      <c r="B900" s="4" t="s">
        <v>19</v>
      </c>
      <c r="C900" s="4" t="s">
        <v>6838</v>
      </c>
      <c r="D900" s="4">
        <v>44005.0</v>
      </c>
      <c r="E900" s="4">
        <v>0.6958333333333355</v>
      </c>
      <c r="F900" s="4">
        <v>0.011979166666666667</v>
      </c>
      <c r="G900" s="4">
        <v>0.7078125000000022</v>
      </c>
      <c r="H900" s="4" t="s">
        <v>803</v>
      </c>
      <c r="I900" s="4" t="s">
        <v>6933</v>
      </c>
      <c r="J900" s="4" t="s">
        <v>7290</v>
      </c>
      <c r="K900" s="4" t="s">
        <v>210</v>
      </c>
      <c r="L900" s="4" t="s">
        <v>74</v>
      </c>
      <c r="M900" s="4" t="s">
        <v>7505</v>
      </c>
      <c r="N900" s="4" t="s">
        <v>6720</v>
      </c>
      <c r="O900" s="4" t="s">
        <v>2958</v>
      </c>
      <c r="P900" s="4" t="s">
        <v>1746</v>
      </c>
      <c r="Q900" s="4" t="s">
        <v>1747</v>
      </c>
      <c r="R900" s="4" t="s">
        <v>1748</v>
      </c>
      <c r="S900" s="4"/>
      <c r="T900" s="4" t="s">
        <v>1749</v>
      </c>
      <c r="U900" s="4">
        <v>4.0</v>
      </c>
      <c r="V900" s="4" t="s">
        <v>8243</v>
      </c>
      <c r="W900" s="4" t="s">
        <v>6855</v>
      </c>
      <c r="X900" s="4"/>
      <c r="Y900" s="4"/>
      <c r="Z900" s="4"/>
      <c r="AA900" s="4"/>
    </row>
    <row r="901">
      <c r="A901" s="4" t="s">
        <v>8244</v>
      </c>
      <c r="B901" s="4" t="s">
        <v>19</v>
      </c>
      <c r="C901" s="4" t="s">
        <v>6838</v>
      </c>
      <c r="D901" s="4">
        <v>44005.0</v>
      </c>
      <c r="E901" s="4">
        <v>0.7078125000000022</v>
      </c>
      <c r="F901" s="4">
        <v>1.7361111111111112E-4</v>
      </c>
      <c r="G901" s="4">
        <v>0.7079861111111133</v>
      </c>
      <c r="H901" s="4" t="s">
        <v>1944</v>
      </c>
      <c r="I901" s="4" t="s">
        <v>314</v>
      </c>
      <c r="J901" s="4" t="s">
        <v>314</v>
      </c>
      <c r="K901" s="4" t="s">
        <v>210</v>
      </c>
      <c r="L901" s="4" t="s">
        <v>85</v>
      </c>
      <c r="M901" s="4"/>
      <c r="N901" s="4"/>
      <c r="O901" s="4" t="s">
        <v>85</v>
      </c>
      <c r="P901" s="4"/>
      <c r="Q901" s="4"/>
      <c r="R901" s="4"/>
      <c r="S901" s="4"/>
      <c r="T901" s="4"/>
      <c r="U901" s="4">
        <v>0.0</v>
      </c>
      <c r="V901" s="4"/>
      <c r="W901" s="4"/>
      <c r="X901" s="4"/>
      <c r="Y901" s="4"/>
      <c r="Z901" s="4"/>
      <c r="AA901" s="4"/>
    </row>
    <row r="902">
      <c r="A902" s="4" t="s">
        <v>8245</v>
      </c>
      <c r="B902" s="4" t="s">
        <v>19</v>
      </c>
      <c r="C902" s="4" t="s">
        <v>6838</v>
      </c>
      <c r="D902" s="4">
        <v>44005.0</v>
      </c>
      <c r="E902" s="4">
        <v>0.7079861111111133</v>
      </c>
      <c r="F902" s="4">
        <v>3.4722222222222224E-4</v>
      </c>
      <c r="G902" s="4">
        <v>0.7083333333333356</v>
      </c>
      <c r="H902" s="4" t="s">
        <v>1944</v>
      </c>
      <c r="I902" s="4" t="s">
        <v>314</v>
      </c>
      <c r="J902" s="4" t="s">
        <v>314</v>
      </c>
      <c r="K902" s="4" t="s">
        <v>210</v>
      </c>
      <c r="L902" s="4" t="s">
        <v>89</v>
      </c>
      <c r="M902" s="4"/>
      <c r="N902" s="4"/>
      <c r="O902" s="4" t="s">
        <v>89</v>
      </c>
      <c r="P902" s="4"/>
      <c r="Q902" s="4"/>
      <c r="R902" s="4"/>
      <c r="S902" s="4"/>
      <c r="T902" s="4"/>
      <c r="U902" s="4">
        <v>0.0</v>
      </c>
      <c r="V902" s="4"/>
      <c r="W902" s="4"/>
      <c r="X902" s="4"/>
      <c r="Y902" s="4"/>
      <c r="Z902" s="4"/>
      <c r="AA902" s="4"/>
    </row>
    <row r="903">
      <c r="A903" s="4" t="s">
        <v>8246</v>
      </c>
      <c r="B903" s="4" t="s">
        <v>19</v>
      </c>
      <c r="C903" s="4" t="s">
        <v>6838</v>
      </c>
      <c r="D903" s="4">
        <v>44005.0</v>
      </c>
      <c r="E903" s="4">
        <v>0.7083333333333356</v>
      </c>
      <c r="F903" s="4">
        <v>3.4722222222222224E-4</v>
      </c>
      <c r="G903" s="4">
        <v>0.7086805555555579</v>
      </c>
      <c r="H903" s="4"/>
      <c r="I903" s="4"/>
      <c r="J903" s="4"/>
      <c r="K903" s="4"/>
      <c r="L903" s="4"/>
      <c r="M903" s="4"/>
      <c r="N903" s="4"/>
      <c r="O903" s="4" t="s">
        <v>1171</v>
      </c>
      <c r="P903" s="4"/>
      <c r="Q903" s="4"/>
      <c r="R903" s="4"/>
      <c r="S903" s="4"/>
      <c r="T903" s="4"/>
      <c r="U903" s="4">
        <v>0.0</v>
      </c>
      <c r="V903" s="4"/>
      <c r="W903" s="4"/>
      <c r="X903" s="4"/>
      <c r="Y903" s="4"/>
      <c r="Z903" s="4"/>
      <c r="AA903" s="4"/>
    </row>
    <row r="904">
      <c r="A904" s="4" t="s">
        <v>8247</v>
      </c>
      <c r="B904" s="4" t="s">
        <v>19</v>
      </c>
      <c r="C904" s="4" t="s">
        <v>6838</v>
      </c>
      <c r="D904" s="4">
        <v>44005.0</v>
      </c>
      <c r="E904" s="4"/>
      <c r="F904" s="4"/>
      <c r="G904" s="4"/>
      <c r="H904" s="4"/>
      <c r="I904" s="4"/>
      <c r="J904" s="4"/>
      <c r="K904" s="4"/>
      <c r="L904" s="4"/>
      <c r="M904" s="4"/>
      <c r="N904" s="4"/>
      <c r="O904" s="4"/>
      <c r="P904" s="4"/>
      <c r="Q904" s="4"/>
      <c r="R904" s="4"/>
      <c r="S904" s="4"/>
      <c r="T904" s="4"/>
      <c r="U904" s="4">
        <v>0.0</v>
      </c>
      <c r="V904" s="4"/>
      <c r="W904" s="4"/>
      <c r="X904" s="4"/>
      <c r="Y904" s="4"/>
      <c r="Z904" s="4"/>
      <c r="AA904" s="4"/>
    </row>
    <row r="905">
      <c r="A905" s="4" t="s">
        <v>8248</v>
      </c>
      <c r="B905" s="4" t="s">
        <v>19</v>
      </c>
      <c r="C905" s="4" t="s">
        <v>6838</v>
      </c>
      <c r="D905" s="4">
        <v>44005.0</v>
      </c>
      <c r="E905" s="4"/>
      <c r="F905" s="4"/>
      <c r="G905" s="4"/>
      <c r="H905" s="4"/>
      <c r="I905" s="4"/>
      <c r="J905" s="4"/>
      <c r="K905" s="4"/>
      <c r="L905" s="4"/>
      <c r="M905" s="4"/>
      <c r="N905" s="4"/>
      <c r="O905" s="4"/>
      <c r="P905" s="4"/>
      <c r="Q905" s="4"/>
      <c r="R905" s="4"/>
      <c r="S905" s="4"/>
      <c r="T905" s="4"/>
      <c r="U905" s="4">
        <v>0.0</v>
      </c>
      <c r="V905" s="4"/>
      <c r="W905" s="4"/>
      <c r="X905" s="4"/>
      <c r="Y905" s="4"/>
      <c r="Z905" s="4"/>
      <c r="AA905" s="4"/>
    </row>
    <row r="906">
      <c r="A906" s="4" t="s">
        <v>8249</v>
      </c>
      <c r="B906" s="4" t="s">
        <v>19</v>
      </c>
      <c r="C906" s="4" t="s">
        <v>6838</v>
      </c>
      <c r="D906" s="4">
        <v>44005.0</v>
      </c>
      <c r="E906" s="4"/>
      <c r="F906" s="4"/>
      <c r="G906" s="4"/>
      <c r="H906" s="4"/>
      <c r="I906" s="4"/>
      <c r="J906" s="4"/>
      <c r="K906" s="4"/>
      <c r="L906" s="4"/>
      <c r="M906" s="4"/>
      <c r="N906" s="4"/>
      <c r="O906" s="4"/>
      <c r="P906" s="4"/>
      <c r="Q906" s="4"/>
      <c r="R906" s="4"/>
      <c r="S906" s="4"/>
      <c r="T906" s="4"/>
      <c r="U906" s="4">
        <v>0.0</v>
      </c>
      <c r="V906" s="4"/>
      <c r="W906" s="4"/>
      <c r="X906" s="4"/>
      <c r="Y906" s="4"/>
      <c r="Z906" s="4"/>
      <c r="AA906" s="4"/>
    </row>
    <row r="907">
      <c r="A907" s="4" t="s">
        <v>8250</v>
      </c>
      <c r="B907" s="4" t="s">
        <v>19</v>
      </c>
      <c r="C907" s="4" t="s">
        <v>6838</v>
      </c>
      <c r="D907" s="4">
        <v>44005.0</v>
      </c>
      <c r="E907" s="4"/>
      <c r="F907" s="4"/>
      <c r="G907" s="4"/>
      <c r="H907" s="4"/>
      <c r="I907" s="4"/>
      <c r="J907" s="4"/>
      <c r="K907" s="4"/>
      <c r="L907" s="4"/>
      <c r="M907" s="4"/>
      <c r="N907" s="4"/>
      <c r="O907" s="4"/>
      <c r="P907" s="4"/>
      <c r="Q907" s="4"/>
      <c r="R907" s="4"/>
      <c r="S907" s="4"/>
      <c r="T907" s="4"/>
      <c r="U907" s="4">
        <v>0.0</v>
      </c>
      <c r="V907" s="4"/>
      <c r="W907" s="4"/>
      <c r="X907" s="4"/>
      <c r="Y907" s="4"/>
      <c r="Z907" s="4"/>
      <c r="AA907" s="4"/>
    </row>
    <row r="908">
      <c r="A908" s="4" t="s">
        <v>8251</v>
      </c>
      <c r="B908" s="4" t="s">
        <v>220</v>
      </c>
      <c r="C908" s="4"/>
      <c r="D908" s="4"/>
      <c r="E908" s="4"/>
      <c r="F908" s="4"/>
      <c r="G908" s="4"/>
      <c r="H908" s="4"/>
      <c r="I908" s="4"/>
      <c r="J908" s="4"/>
      <c r="K908" s="4"/>
      <c r="L908" s="4"/>
      <c r="M908" s="4"/>
      <c r="N908" s="4"/>
      <c r="O908" s="4"/>
      <c r="P908" s="4"/>
      <c r="Q908" s="4"/>
      <c r="R908" s="4"/>
      <c r="S908" s="4"/>
      <c r="T908" s="4"/>
      <c r="U908" s="4">
        <v>0.0</v>
      </c>
      <c r="V908" s="4"/>
      <c r="W908" s="4"/>
      <c r="X908" s="4"/>
      <c r="Y908" s="4"/>
      <c r="Z908" s="4"/>
      <c r="AA908" s="4"/>
    </row>
    <row r="909">
      <c r="A909" s="4" t="s">
        <v>8252</v>
      </c>
      <c r="B909" s="4" t="s">
        <v>19</v>
      </c>
      <c r="C909" s="4" t="s">
        <v>7070</v>
      </c>
      <c r="D909" s="4"/>
      <c r="E909" s="4">
        <v>0.4166666666666667</v>
      </c>
      <c r="F909" s="4">
        <v>6.944444444444445E-4</v>
      </c>
      <c r="G909" s="4">
        <v>0.4173611111111111</v>
      </c>
      <c r="H909" s="4"/>
      <c r="I909" s="4"/>
      <c r="J909" s="4"/>
      <c r="K909" s="4" t="s">
        <v>106</v>
      </c>
      <c r="L909" s="4" t="s">
        <v>67</v>
      </c>
      <c r="M909" s="4"/>
      <c r="N909" s="4"/>
      <c r="O909" s="4" t="s">
        <v>67</v>
      </c>
      <c r="P909" s="4"/>
      <c r="Q909" s="4"/>
      <c r="R909" s="4"/>
      <c r="S909" s="4"/>
      <c r="T909" s="4"/>
      <c r="U909" s="4"/>
      <c r="V909" s="4"/>
      <c r="W909" s="4"/>
      <c r="X909" s="4"/>
      <c r="Y909" s="4"/>
      <c r="Z909" s="4"/>
      <c r="AA909" s="4"/>
    </row>
    <row r="910">
      <c r="A910" s="4" t="s">
        <v>8253</v>
      </c>
      <c r="B910" s="4" t="s">
        <v>19</v>
      </c>
      <c r="C910" s="4" t="s">
        <v>7070</v>
      </c>
      <c r="D910" s="4">
        <v>44006.0</v>
      </c>
      <c r="E910" s="4">
        <v>0.4173611111111111</v>
      </c>
      <c r="F910" s="4">
        <v>3.4722222222222224E-4</v>
      </c>
      <c r="G910" s="4">
        <v>0.41770833333333335</v>
      </c>
      <c r="H910" s="4" t="s">
        <v>1944</v>
      </c>
      <c r="I910" s="4" t="s">
        <v>314</v>
      </c>
      <c r="J910" s="4" t="s">
        <v>314</v>
      </c>
      <c r="K910" s="4" t="s">
        <v>106</v>
      </c>
      <c r="L910" s="4" t="s">
        <v>81</v>
      </c>
      <c r="M910" s="4"/>
      <c r="N910" s="4"/>
      <c r="O910" s="4" t="s">
        <v>81</v>
      </c>
      <c r="P910" s="4"/>
      <c r="Q910" s="4"/>
      <c r="R910" s="4"/>
      <c r="S910" s="4"/>
      <c r="T910" s="4"/>
      <c r="U910" s="4">
        <v>0.0</v>
      </c>
      <c r="V910" s="4"/>
      <c r="W910" s="4"/>
      <c r="X910" s="4"/>
      <c r="Y910" s="4"/>
      <c r="Z910" s="4"/>
      <c r="AA910" s="4"/>
    </row>
    <row r="911">
      <c r="A911" s="4" t="s">
        <v>8254</v>
      </c>
      <c r="B911" s="4" t="s">
        <v>19</v>
      </c>
      <c r="C911" s="4" t="s">
        <v>7070</v>
      </c>
      <c r="D911" s="4">
        <v>44006.0</v>
      </c>
      <c r="E911" s="4">
        <v>0.41770833333333335</v>
      </c>
      <c r="F911" s="4">
        <v>0.009895833333333333</v>
      </c>
      <c r="G911" s="4">
        <v>0.4276041666666667</v>
      </c>
      <c r="H911" s="4" t="s">
        <v>1253</v>
      </c>
      <c r="I911" s="4" t="s">
        <v>17</v>
      </c>
      <c r="J911" s="4" t="s">
        <v>6938</v>
      </c>
      <c r="K911" s="4" t="s">
        <v>106</v>
      </c>
      <c r="L911" s="4" t="s">
        <v>107</v>
      </c>
      <c r="M911" s="4" t="s">
        <v>8255</v>
      </c>
      <c r="N911" s="4" t="s">
        <v>6702</v>
      </c>
      <c r="O911" s="4" t="s">
        <v>1178</v>
      </c>
      <c r="P911" s="4" t="s">
        <v>1179</v>
      </c>
      <c r="Q911" s="4" t="s">
        <v>1180</v>
      </c>
      <c r="R911" s="4"/>
      <c r="S911" s="4"/>
      <c r="T911" s="4" t="s">
        <v>1183</v>
      </c>
      <c r="U911" s="4">
        <v>3.0</v>
      </c>
      <c r="V911" s="4" t="s">
        <v>8256</v>
      </c>
      <c r="W911" s="4" t="s">
        <v>6855</v>
      </c>
      <c r="X911" s="4" t="s">
        <v>8257</v>
      </c>
      <c r="Y911" s="4"/>
      <c r="Z911" s="4" t="s">
        <v>1253</v>
      </c>
      <c r="AA911" s="4"/>
    </row>
    <row r="912">
      <c r="A912" s="4" t="s">
        <v>8258</v>
      </c>
      <c r="B912" s="4" t="s">
        <v>19</v>
      </c>
      <c r="C912" s="4" t="s">
        <v>7070</v>
      </c>
      <c r="D912" s="4">
        <v>44006.0</v>
      </c>
      <c r="E912" s="4">
        <v>0.4276041666666667</v>
      </c>
      <c r="F912" s="4">
        <v>1.7361111111111112E-4</v>
      </c>
      <c r="G912" s="4">
        <v>0.4277777777777778</v>
      </c>
      <c r="H912" s="4" t="s">
        <v>1944</v>
      </c>
      <c r="I912" s="4"/>
      <c r="J912" s="4"/>
      <c r="K912" s="4" t="s">
        <v>106</v>
      </c>
      <c r="L912" s="4" t="s">
        <v>85</v>
      </c>
      <c r="M912" s="4"/>
      <c r="N912" s="4"/>
      <c r="O912" s="4" t="s">
        <v>7241</v>
      </c>
      <c r="P912" s="4"/>
      <c r="Q912" s="4"/>
      <c r="R912" s="4"/>
      <c r="S912" s="4"/>
      <c r="T912" s="4"/>
      <c r="U912" s="4"/>
      <c r="V912" s="4"/>
      <c r="W912" s="4"/>
      <c r="X912" s="4"/>
      <c r="Y912" s="4"/>
      <c r="Z912" s="4"/>
      <c r="AA912" s="4"/>
    </row>
    <row r="913">
      <c r="A913" s="4" t="s">
        <v>8259</v>
      </c>
      <c r="B913" s="4" t="s">
        <v>19</v>
      </c>
      <c r="C913" s="4" t="s">
        <v>7070</v>
      </c>
      <c r="D913" s="4">
        <v>44006.0</v>
      </c>
      <c r="E913" s="4">
        <v>0.4277777777777778</v>
      </c>
      <c r="F913" s="4">
        <v>3.4722222222222224E-4</v>
      </c>
      <c r="G913" s="4">
        <v>0.42812500000000003</v>
      </c>
      <c r="H913" s="4" t="s">
        <v>1944</v>
      </c>
      <c r="I913" s="4"/>
      <c r="J913" s="4"/>
      <c r="K913" s="4" t="s">
        <v>106</v>
      </c>
      <c r="L913" s="4" t="s">
        <v>81</v>
      </c>
      <c r="M913" s="4"/>
      <c r="N913" s="4"/>
      <c r="O913" s="4" t="s">
        <v>81</v>
      </c>
      <c r="P913" s="4"/>
      <c r="Q913" s="4"/>
      <c r="R913" s="4"/>
      <c r="S913" s="4"/>
      <c r="T913" s="4"/>
      <c r="U913" s="4"/>
      <c r="V913" s="4"/>
      <c r="W913" s="4"/>
      <c r="X913" s="4"/>
      <c r="Y913" s="4"/>
      <c r="Z913" s="4"/>
      <c r="AA913" s="4"/>
    </row>
    <row r="914">
      <c r="A914" s="4" t="s">
        <v>8260</v>
      </c>
      <c r="B914" s="4" t="s">
        <v>19</v>
      </c>
      <c r="C914" s="4" t="s">
        <v>7070</v>
      </c>
      <c r="D914" s="4">
        <v>44006.0</v>
      </c>
      <c r="E914" s="4">
        <v>0.42812500000000003</v>
      </c>
      <c r="F914" s="4">
        <v>0.013888888888888888</v>
      </c>
      <c r="G914" s="4">
        <v>0.44201388888888893</v>
      </c>
      <c r="H914" s="4" t="s">
        <v>726</v>
      </c>
      <c r="I914" s="4" t="s">
        <v>17</v>
      </c>
      <c r="J914" s="4" t="s">
        <v>6870</v>
      </c>
      <c r="K914" s="4" t="s">
        <v>106</v>
      </c>
      <c r="L914" s="4" t="s">
        <v>94</v>
      </c>
      <c r="M914" s="4"/>
      <c r="N914" s="4" t="s">
        <v>6689</v>
      </c>
      <c r="O914" s="4" t="s">
        <v>1187</v>
      </c>
      <c r="P914" s="4" t="s">
        <v>1188</v>
      </c>
      <c r="Q914" s="4"/>
      <c r="R914" s="4"/>
      <c r="S914" s="4"/>
      <c r="T914" s="4" t="s">
        <v>279</v>
      </c>
      <c r="U914" s="4">
        <v>2.0</v>
      </c>
      <c r="V914" s="4" t="s">
        <v>8261</v>
      </c>
      <c r="W914" s="4" t="s">
        <v>6920</v>
      </c>
      <c r="X914" s="4" t="s">
        <v>8262</v>
      </c>
      <c r="Y914" s="4" t="s">
        <v>8263</v>
      </c>
      <c r="Z914" s="4" t="s">
        <v>726</v>
      </c>
      <c r="AA914" s="4"/>
    </row>
    <row r="915">
      <c r="A915" s="4" t="s">
        <v>8264</v>
      </c>
      <c r="B915" s="4" t="s">
        <v>19</v>
      </c>
      <c r="C915" s="4" t="s">
        <v>7070</v>
      </c>
      <c r="D915" s="4">
        <v>44006.0</v>
      </c>
      <c r="E915" s="4">
        <v>0.44201388888888893</v>
      </c>
      <c r="F915" s="4">
        <v>1.7361111111111112E-4</v>
      </c>
      <c r="G915" s="4">
        <v>0.44218750000000007</v>
      </c>
      <c r="H915" s="4" t="s">
        <v>1944</v>
      </c>
      <c r="I915" s="4" t="s">
        <v>314</v>
      </c>
      <c r="J915" s="4" t="s">
        <v>314</v>
      </c>
      <c r="K915" s="4" t="s">
        <v>106</v>
      </c>
      <c r="L915" s="4" t="s">
        <v>85</v>
      </c>
      <c r="M915" s="4"/>
      <c r="N915" s="4"/>
      <c r="O915" s="4" t="s">
        <v>85</v>
      </c>
      <c r="P915" s="4"/>
      <c r="Q915" s="4"/>
      <c r="R915" s="4"/>
      <c r="S915" s="4"/>
      <c r="T915" s="4"/>
      <c r="U915" s="4">
        <v>0.0</v>
      </c>
      <c r="V915" s="4"/>
      <c r="W915" s="4"/>
      <c r="X915" s="4"/>
      <c r="Y915" s="4"/>
      <c r="Z915" s="4"/>
      <c r="AA915" s="4"/>
    </row>
    <row r="916">
      <c r="A916" s="4" t="s">
        <v>8265</v>
      </c>
      <c r="B916" s="4" t="s">
        <v>19</v>
      </c>
      <c r="C916" s="4" t="s">
        <v>7070</v>
      </c>
      <c r="D916" s="4">
        <v>44006.0</v>
      </c>
      <c r="E916" s="4">
        <v>0.44218750000000007</v>
      </c>
      <c r="F916" s="4">
        <v>0.0012152777777777778</v>
      </c>
      <c r="G916" s="4">
        <v>0.44340277777777787</v>
      </c>
      <c r="H916" s="4" t="s">
        <v>1944</v>
      </c>
      <c r="I916" s="4" t="s">
        <v>314</v>
      </c>
      <c r="J916" s="4" t="s">
        <v>314</v>
      </c>
      <c r="K916" s="4" t="s">
        <v>106</v>
      </c>
      <c r="L916" s="4" t="s">
        <v>79</v>
      </c>
      <c r="M916" s="4"/>
      <c r="N916" s="4"/>
      <c r="O916" s="4" t="s">
        <v>79</v>
      </c>
      <c r="P916" s="4"/>
      <c r="Q916" s="4"/>
      <c r="R916" s="4"/>
      <c r="S916" s="4"/>
      <c r="T916" s="4"/>
      <c r="U916" s="4"/>
      <c r="V916" s="4"/>
      <c r="W916" s="4"/>
      <c r="X916" s="4"/>
      <c r="Y916" s="4"/>
      <c r="Z916" s="4"/>
      <c r="AA916" s="4"/>
    </row>
    <row r="917">
      <c r="A917" s="4" t="s">
        <v>8266</v>
      </c>
      <c r="B917" s="4" t="s">
        <v>19</v>
      </c>
      <c r="C917" s="4" t="s">
        <v>7070</v>
      </c>
      <c r="D917" s="4">
        <v>44006.0</v>
      </c>
      <c r="E917" s="4">
        <v>0.44340277777777787</v>
      </c>
      <c r="F917" s="4">
        <v>3.4722222222222224E-4</v>
      </c>
      <c r="G917" s="4">
        <v>0.4437500000000001</v>
      </c>
      <c r="H917" s="4" t="s">
        <v>1944</v>
      </c>
      <c r="I917" s="4"/>
      <c r="J917" s="4"/>
      <c r="K917" s="4" t="s">
        <v>106</v>
      </c>
      <c r="L917" s="4" t="s">
        <v>81</v>
      </c>
      <c r="M917" s="4"/>
      <c r="N917" s="4"/>
      <c r="O917" s="4" t="s">
        <v>81</v>
      </c>
      <c r="P917" s="4"/>
      <c r="Q917" s="4"/>
      <c r="R917" s="4"/>
      <c r="S917" s="4"/>
      <c r="T917" s="4"/>
      <c r="U917" s="4"/>
      <c r="V917" s="4"/>
      <c r="W917" s="4"/>
      <c r="X917" s="4"/>
      <c r="Y917" s="4"/>
      <c r="Z917" s="4"/>
      <c r="AA917" s="4"/>
    </row>
    <row r="918">
      <c r="A918" s="4" t="s">
        <v>8267</v>
      </c>
      <c r="B918" s="4" t="s">
        <v>19</v>
      </c>
      <c r="C918" s="4" t="s">
        <v>7070</v>
      </c>
      <c r="D918" s="4">
        <v>44006.0</v>
      </c>
      <c r="E918" s="4">
        <v>0.4437500000000001</v>
      </c>
      <c r="F918" s="4">
        <v>0.0140625</v>
      </c>
      <c r="G918" s="4">
        <v>0.45781250000000007</v>
      </c>
      <c r="H918" s="4" t="s">
        <v>1076</v>
      </c>
      <c r="I918" s="4" t="s">
        <v>4142</v>
      </c>
      <c r="J918" s="4" t="s">
        <v>7086</v>
      </c>
      <c r="K918" s="4" t="s">
        <v>106</v>
      </c>
      <c r="L918" s="4" t="s">
        <v>94</v>
      </c>
      <c r="M918" s="4" t="s">
        <v>7126</v>
      </c>
      <c r="N918" s="4" t="s">
        <v>6702</v>
      </c>
      <c r="O918" s="4" t="s">
        <v>6770</v>
      </c>
      <c r="P918" s="4" t="s">
        <v>1379</v>
      </c>
      <c r="Q918" s="4"/>
      <c r="R918" s="4"/>
      <c r="S918" s="4"/>
      <c r="T918" s="4" t="s">
        <v>1380</v>
      </c>
      <c r="U918" s="4">
        <v>2.0</v>
      </c>
      <c r="V918" s="4" t="s">
        <v>8268</v>
      </c>
      <c r="W918" s="4" t="s">
        <v>6855</v>
      </c>
      <c r="X918" s="4"/>
      <c r="Y918" s="4"/>
      <c r="Z918" s="4"/>
      <c r="AA918" s="4"/>
    </row>
    <row r="919">
      <c r="A919" s="4" t="s">
        <v>8269</v>
      </c>
      <c r="B919" s="4" t="s">
        <v>19</v>
      </c>
      <c r="C919" s="4" t="s">
        <v>7070</v>
      </c>
      <c r="D919" s="4">
        <v>44006.0</v>
      </c>
      <c r="E919" s="4">
        <v>0.45781250000000007</v>
      </c>
      <c r="F919" s="4">
        <v>1.7361111111111112E-4</v>
      </c>
      <c r="G919" s="4">
        <v>0.4579861111111112</v>
      </c>
      <c r="H919" s="4" t="s">
        <v>1944</v>
      </c>
      <c r="I919" s="4" t="s">
        <v>314</v>
      </c>
      <c r="J919" s="4" t="s">
        <v>314</v>
      </c>
      <c r="K919" s="4" t="s">
        <v>106</v>
      </c>
      <c r="L919" s="4" t="s">
        <v>85</v>
      </c>
      <c r="M919" s="4"/>
      <c r="N919" s="4"/>
      <c r="O919" s="4" t="s">
        <v>85</v>
      </c>
      <c r="P919" s="4"/>
      <c r="Q919" s="4"/>
      <c r="R919" s="4"/>
      <c r="S919" s="4"/>
      <c r="T919" s="4"/>
      <c r="U919" s="4">
        <v>0.0</v>
      </c>
      <c r="V919" s="4"/>
      <c r="W919" s="4"/>
      <c r="X919" s="4"/>
      <c r="Y919" s="4"/>
      <c r="Z919" s="4"/>
      <c r="AA919" s="4"/>
    </row>
    <row r="920">
      <c r="A920" s="4" t="s">
        <v>8270</v>
      </c>
      <c r="B920" s="4" t="s">
        <v>19</v>
      </c>
      <c r="C920" s="4" t="s">
        <v>7070</v>
      </c>
      <c r="D920" s="4">
        <v>44006.0</v>
      </c>
      <c r="E920" s="4">
        <v>0.4579861111111112</v>
      </c>
      <c r="F920" s="4">
        <v>3.4722222222222224E-4</v>
      </c>
      <c r="G920" s="4">
        <v>0.4583333333333334</v>
      </c>
      <c r="H920" s="4" t="s">
        <v>1215</v>
      </c>
      <c r="I920" s="4" t="s">
        <v>314</v>
      </c>
      <c r="J920" s="4" t="s">
        <v>314</v>
      </c>
      <c r="K920" s="4" t="s">
        <v>106</v>
      </c>
      <c r="L920" s="4" t="s">
        <v>506</v>
      </c>
      <c r="M920" s="4"/>
      <c r="N920" s="4"/>
      <c r="O920" s="4" t="s">
        <v>8234</v>
      </c>
      <c r="P920" s="4"/>
      <c r="Q920" s="4"/>
      <c r="R920" s="4"/>
      <c r="S920" s="4"/>
      <c r="T920" s="4"/>
      <c r="U920" s="4">
        <v>0.0</v>
      </c>
      <c r="V920" s="4"/>
      <c r="W920" s="4"/>
      <c r="X920" s="4"/>
      <c r="Y920" s="4"/>
      <c r="Z920" s="4"/>
      <c r="AA920" s="4"/>
    </row>
    <row r="921">
      <c r="A921" s="4" t="s">
        <v>8271</v>
      </c>
      <c r="B921" s="4" t="s">
        <v>19</v>
      </c>
      <c r="C921" s="4" t="s">
        <v>7070</v>
      </c>
      <c r="D921" s="4">
        <v>44006.0</v>
      </c>
      <c r="E921" s="4">
        <v>0.4583333333333334</v>
      </c>
      <c r="F921" s="4">
        <v>3.4722222222222224E-4</v>
      </c>
      <c r="G921" s="4">
        <v>0.45868055555555565</v>
      </c>
      <c r="H921" s="4" t="s">
        <v>1944</v>
      </c>
      <c r="I921" s="4" t="s">
        <v>314</v>
      </c>
      <c r="J921" s="4" t="s">
        <v>314</v>
      </c>
      <c r="K921" s="4" t="s">
        <v>358</v>
      </c>
      <c r="L921" s="4" t="s">
        <v>81</v>
      </c>
      <c r="M921" s="4"/>
      <c r="N921" s="4"/>
      <c r="O921" s="4" t="s">
        <v>81</v>
      </c>
      <c r="P921" s="4"/>
      <c r="Q921" s="4"/>
      <c r="R921" s="4"/>
      <c r="S921" s="4"/>
      <c r="T921" s="4"/>
      <c r="U921" s="4">
        <v>0.0</v>
      </c>
      <c r="V921" s="4"/>
      <c r="W921" s="4"/>
      <c r="X921" s="4"/>
      <c r="Y921" s="4"/>
      <c r="Z921" s="4"/>
      <c r="AA921" s="4"/>
    </row>
    <row r="922">
      <c r="A922" s="4" t="s">
        <v>8272</v>
      </c>
      <c r="B922" s="4" t="s">
        <v>19</v>
      </c>
      <c r="C922" s="4" t="s">
        <v>7070</v>
      </c>
      <c r="D922" s="4">
        <v>44006.0</v>
      </c>
      <c r="E922" s="4">
        <v>0.45868055555555565</v>
      </c>
      <c r="F922" s="4">
        <v>0.010416666666666666</v>
      </c>
      <c r="G922" s="4">
        <v>0.46909722222222233</v>
      </c>
      <c r="H922" s="4" t="s">
        <v>1076</v>
      </c>
      <c r="I922" s="4" t="s">
        <v>6947</v>
      </c>
      <c r="J922" s="4" t="s">
        <v>6948</v>
      </c>
      <c r="K922" s="4" t="s">
        <v>358</v>
      </c>
      <c r="L922" s="4" t="s">
        <v>94</v>
      </c>
      <c r="M922" s="4" t="s">
        <v>7126</v>
      </c>
      <c r="N922" s="4" t="s">
        <v>6749</v>
      </c>
      <c r="O922" s="4" t="s">
        <v>8273</v>
      </c>
      <c r="P922" s="4" t="s">
        <v>8274</v>
      </c>
      <c r="Q922" s="4"/>
      <c r="R922" s="4"/>
      <c r="S922" s="4"/>
      <c r="T922" s="4" t="s">
        <v>361</v>
      </c>
      <c r="U922" s="4">
        <v>2.0</v>
      </c>
      <c r="V922" s="4" t="s">
        <v>8275</v>
      </c>
      <c r="W922" s="4" t="s">
        <v>7136</v>
      </c>
      <c r="X922" s="4"/>
      <c r="Y922" s="4"/>
      <c r="Z922" s="4"/>
      <c r="AA922" s="4"/>
    </row>
    <row r="923">
      <c r="A923" s="4" t="s">
        <v>8276</v>
      </c>
      <c r="B923" s="4" t="s">
        <v>19</v>
      </c>
      <c r="C923" s="4" t="s">
        <v>7070</v>
      </c>
      <c r="D923" s="4">
        <v>44006.0</v>
      </c>
      <c r="E923" s="4">
        <v>0.46909722222222233</v>
      </c>
      <c r="F923" s="4">
        <v>1.7361111111111112E-4</v>
      </c>
      <c r="G923" s="4">
        <v>0.46927083333333347</v>
      </c>
      <c r="H923" s="4" t="s">
        <v>1944</v>
      </c>
      <c r="I923" s="4" t="s">
        <v>314</v>
      </c>
      <c r="J923" s="4" t="s">
        <v>314</v>
      </c>
      <c r="K923" s="4" t="s">
        <v>358</v>
      </c>
      <c r="L923" s="4" t="s">
        <v>85</v>
      </c>
      <c r="M923" s="4"/>
      <c r="N923" s="4"/>
      <c r="O923" s="4" t="s">
        <v>7241</v>
      </c>
      <c r="P923" s="4"/>
      <c r="Q923" s="4"/>
      <c r="R923" s="4"/>
      <c r="S923" s="4"/>
      <c r="T923" s="4"/>
      <c r="U923" s="4">
        <v>0.0</v>
      </c>
      <c r="V923" s="4"/>
      <c r="W923" s="4"/>
      <c r="X923" s="4"/>
      <c r="Y923" s="4"/>
      <c r="Z923" s="4"/>
      <c r="AA923" s="4"/>
    </row>
    <row r="924">
      <c r="A924" s="4" t="s">
        <v>8277</v>
      </c>
      <c r="B924" s="4" t="s">
        <v>19</v>
      </c>
      <c r="C924" s="4" t="s">
        <v>7070</v>
      </c>
      <c r="D924" s="4">
        <v>44006.0</v>
      </c>
      <c r="E924" s="4">
        <v>0.46927083333333347</v>
      </c>
      <c r="F924" s="4">
        <v>1.7361111111111112E-4</v>
      </c>
      <c r="G924" s="4">
        <v>0.4694444444444446</v>
      </c>
      <c r="H924" s="4" t="s">
        <v>2004</v>
      </c>
      <c r="I924" s="4" t="s">
        <v>314</v>
      </c>
      <c r="J924" s="4" t="s">
        <v>314</v>
      </c>
      <c r="K924" s="4" t="s">
        <v>358</v>
      </c>
      <c r="L924" s="4" t="s">
        <v>77</v>
      </c>
      <c r="M924" s="4"/>
      <c r="N924" s="4"/>
      <c r="O924" s="4" t="s">
        <v>77</v>
      </c>
      <c r="P924" s="4"/>
      <c r="Q924" s="4"/>
      <c r="R924" s="4"/>
      <c r="S924" s="4"/>
      <c r="T924" s="4"/>
      <c r="U924" s="4">
        <v>0.0</v>
      </c>
      <c r="V924" s="4"/>
      <c r="W924" s="4"/>
      <c r="X924" s="4"/>
      <c r="Y924" s="4"/>
      <c r="Z924" s="4"/>
      <c r="AA924" s="4"/>
    </row>
    <row r="925">
      <c r="A925" s="4" t="s">
        <v>8278</v>
      </c>
      <c r="B925" s="4" t="s">
        <v>19</v>
      </c>
      <c r="C925" s="4" t="s">
        <v>7070</v>
      </c>
      <c r="D925" s="4">
        <v>44006.0</v>
      </c>
      <c r="E925" s="4">
        <v>0.4694444444444446</v>
      </c>
      <c r="F925" s="4">
        <v>3.4722222222222224E-4</v>
      </c>
      <c r="G925" s="4">
        <v>0.46979166666666683</v>
      </c>
      <c r="H925" s="4" t="s">
        <v>1944</v>
      </c>
      <c r="I925" s="4" t="s">
        <v>314</v>
      </c>
      <c r="J925" s="4" t="s">
        <v>314</v>
      </c>
      <c r="K925" s="4" t="s">
        <v>358</v>
      </c>
      <c r="L925" s="4" t="s">
        <v>81</v>
      </c>
      <c r="M925" s="4"/>
      <c r="N925" s="4"/>
      <c r="O925" s="4" t="s">
        <v>6878</v>
      </c>
      <c r="P925" s="4"/>
      <c r="Q925" s="4"/>
      <c r="R925" s="4"/>
      <c r="S925" s="4"/>
      <c r="T925" s="4"/>
      <c r="U925" s="4">
        <v>0.0</v>
      </c>
      <c r="V925" s="4"/>
      <c r="W925" s="4"/>
      <c r="X925" s="4"/>
      <c r="Y925" s="4"/>
      <c r="Z925" s="4"/>
      <c r="AA925" s="4"/>
    </row>
    <row r="926">
      <c r="A926" s="4" t="s">
        <v>8279</v>
      </c>
      <c r="B926" s="4" t="s">
        <v>19</v>
      </c>
      <c r="C926" s="4" t="s">
        <v>7070</v>
      </c>
      <c r="D926" s="4">
        <v>44006.0</v>
      </c>
      <c r="E926" s="4">
        <v>0.46979166666666683</v>
      </c>
      <c r="F926" s="4">
        <v>0.013888888888888888</v>
      </c>
      <c r="G926" s="4">
        <v>0.4836805555555557</v>
      </c>
      <c r="H926" s="4" t="s">
        <v>726</v>
      </c>
      <c r="I926" s="4" t="s">
        <v>314</v>
      </c>
      <c r="J926" s="4" t="s">
        <v>7339</v>
      </c>
      <c r="K926" s="4" t="s">
        <v>358</v>
      </c>
      <c r="L926" s="4" t="s">
        <v>165</v>
      </c>
      <c r="M926" s="4" t="s">
        <v>7905</v>
      </c>
      <c r="N926" s="4" t="s">
        <v>6702</v>
      </c>
      <c r="O926" s="4" t="s">
        <v>6766</v>
      </c>
      <c r="P926" s="4" t="s">
        <v>1209</v>
      </c>
      <c r="Q926" s="4"/>
      <c r="R926" s="4"/>
      <c r="S926" s="4"/>
      <c r="T926" s="4"/>
      <c r="U926" s="4">
        <v>1.0</v>
      </c>
      <c r="V926" s="4" t="s">
        <v>8280</v>
      </c>
      <c r="W926" s="4" t="s">
        <v>8001</v>
      </c>
      <c r="X926" s="4" t="s">
        <v>7470</v>
      </c>
      <c r="Y926" s="4" t="s">
        <v>7470</v>
      </c>
      <c r="Z926" s="4" t="s">
        <v>7470</v>
      </c>
      <c r="AA926" s="4"/>
    </row>
    <row r="927">
      <c r="A927" s="4" t="s">
        <v>8281</v>
      </c>
      <c r="B927" s="4" t="s">
        <v>19</v>
      </c>
      <c r="C927" s="4" t="s">
        <v>7070</v>
      </c>
      <c r="D927" s="4">
        <v>44006.0</v>
      </c>
      <c r="E927" s="4">
        <v>0.4836805555555557</v>
      </c>
      <c r="F927" s="4">
        <v>1.7361111111111112E-4</v>
      </c>
      <c r="G927" s="4">
        <v>0.48385416666666686</v>
      </c>
      <c r="H927" s="4" t="s">
        <v>1944</v>
      </c>
      <c r="I927" s="4" t="s">
        <v>314</v>
      </c>
      <c r="J927" s="4" t="s">
        <v>314</v>
      </c>
      <c r="K927" s="4" t="s">
        <v>358</v>
      </c>
      <c r="L927" s="4" t="s">
        <v>85</v>
      </c>
      <c r="M927" s="4"/>
      <c r="N927" s="4"/>
      <c r="O927" s="4" t="s">
        <v>7241</v>
      </c>
      <c r="P927" s="4"/>
      <c r="Q927" s="4"/>
      <c r="R927" s="4"/>
      <c r="S927" s="4"/>
      <c r="T927" s="4"/>
      <c r="U927" s="4">
        <v>0.0</v>
      </c>
      <c r="V927" s="4"/>
      <c r="W927" s="4"/>
      <c r="X927" s="4"/>
      <c r="Y927" s="4"/>
      <c r="Z927" s="4"/>
      <c r="AA927" s="4"/>
    </row>
    <row r="928">
      <c r="A928" s="4" t="s">
        <v>8282</v>
      </c>
      <c r="B928" s="4" t="s">
        <v>19</v>
      </c>
      <c r="C928" s="4" t="s">
        <v>7070</v>
      </c>
      <c r="D928" s="4">
        <v>44006.0</v>
      </c>
      <c r="E928" s="4">
        <v>0.48385416666666686</v>
      </c>
      <c r="F928" s="4">
        <v>3.4722222222222224E-4</v>
      </c>
      <c r="G928" s="4">
        <v>0.4842013888888891</v>
      </c>
      <c r="H928" s="4" t="s">
        <v>1944</v>
      </c>
      <c r="I928" s="4"/>
      <c r="J928" s="4"/>
      <c r="K928" s="4" t="s">
        <v>358</v>
      </c>
      <c r="L928" s="4" t="s">
        <v>89</v>
      </c>
      <c r="M928" s="4"/>
      <c r="N928" s="4"/>
      <c r="O928" s="4" t="s">
        <v>89</v>
      </c>
      <c r="P928" s="4"/>
      <c r="Q928" s="4"/>
      <c r="R928" s="4"/>
      <c r="S928" s="4"/>
      <c r="T928" s="4"/>
      <c r="U928" s="4"/>
      <c r="V928" s="4"/>
      <c r="W928" s="4"/>
      <c r="X928" s="4"/>
      <c r="Y928" s="4"/>
      <c r="Z928" s="4"/>
      <c r="AA928" s="4"/>
    </row>
    <row r="929">
      <c r="A929" s="4" t="s">
        <v>8283</v>
      </c>
      <c r="B929" s="4" t="s">
        <v>19</v>
      </c>
      <c r="C929" s="4" t="s">
        <v>7070</v>
      </c>
      <c r="D929" s="4">
        <v>44006.0</v>
      </c>
      <c r="E929" s="4">
        <v>0.4842013888888891</v>
      </c>
      <c r="F929" s="4">
        <v>1.7361111111111112E-4</v>
      </c>
      <c r="G929" s="4">
        <v>0.4843750000000002</v>
      </c>
      <c r="H929" s="4" t="s">
        <v>2004</v>
      </c>
      <c r="I929" s="4" t="s">
        <v>314</v>
      </c>
      <c r="J929" s="4" t="s">
        <v>314</v>
      </c>
      <c r="K929" s="4" t="s">
        <v>358</v>
      </c>
      <c r="L929" s="4" t="s">
        <v>77</v>
      </c>
      <c r="M929" s="4"/>
      <c r="N929" s="4"/>
      <c r="O929" s="4" t="s">
        <v>77</v>
      </c>
      <c r="P929" s="4"/>
      <c r="Q929" s="4"/>
      <c r="R929" s="4"/>
      <c r="S929" s="4"/>
      <c r="T929" s="4"/>
      <c r="U929" s="4">
        <v>0.0</v>
      </c>
      <c r="V929" s="4"/>
      <c r="W929" s="4"/>
      <c r="X929" s="4"/>
      <c r="Y929" s="4"/>
      <c r="Z929" s="4"/>
      <c r="AA929" s="4"/>
    </row>
    <row r="930">
      <c r="A930" s="4" t="s">
        <v>8284</v>
      </c>
      <c r="B930" s="4" t="s">
        <v>19</v>
      </c>
      <c r="C930" s="4" t="s">
        <v>7070</v>
      </c>
      <c r="D930" s="4">
        <v>44006.0</v>
      </c>
      <c r="E930" s="4">
        <v>0.4843750000000002</v>
      </c>
      <c r="F930" s="4">
        <v>3.4722222222222224E-4</v>
      </c>
      <c r="G930" s="4">
        <v>0.48472222222222244</v>
      </c>
      <c r="H930" s="4" t="s">
        <v>1944</v>
      </c>
      <c r="I930" s="4" t="s">
        <v>314</v>
      </c>
      <c r="J930" s="4" t="s">
        <v>314</v>
      </c>
      <c r="K930" s="4" t="s">
        <v>358</v>
      </c>
      <c r="L930" s="4" t="s">
        <v>81</v>
      </c>
      <c r="M930" s="4"/>
      <c r="N930" s="4"/>
      <c r="O930" s="4" t="s">
        <v>6878</v>
      </c>
      <c r="P930" s="4"/>
      <c r="Q930" s="4"/>
      <c r="R930" s="4"/>
      <c r="S930" s="4"/>
      <c r="T930" s="4"/>
      <c r="U930" s="4">
        <v>0.0</v>
      </c>
      <c r="V930" s="4"/>
      <c r="W930" s="4"/>
      <c r="X930" s="4"/>
      <c r="Y930" s="4"/>
      <c r="Z930" s="4"/>
      <c r="AA930" s="4"/>
    </row>
    <row r="931">
      <c r="A931" s="4" t="s">
        <v>8285</v>
      </c>
      <c r="B931" s="4" t="s">
        <v>19</v>
      </c>
      <c r="C931" s="4" t="s">
        <v>7070</v>
      </c>
      <c r="D931" s="4">
        <v>44006.0</v>
      </c>
      <c r="E931" s="4">
        <v>0.48472222222222244</v>
      </c>
      <c r="F931" s="4">
        <v>0.013888888888888888</v>
      </c>
      <c r="G931" s="4">
        <v>0.49861111111111134</v>
      </c>
      <c r="H931" s="4" t="s">
        <v>1253</v>
      </c>
      <c r="I931" s="4" t="s">
        <v>314</v>
      </c>
      <c r="J931" s="4" t="s">
        <v>6870</v>
      </c>
      <c r="K931" s="4" t="s">
        <v>358</v>
      </c>
      <c r="L931" s="4" t="s">
        <v>94</v>
      </c>
      <c r="M931" s="4" t="s">
        <v>7462</v>
      </c>
      <c r="N931" s="4" t="s">
        <v>6749</v>
      </c>
      <c r="O931" s="4" t="s">
        <v>1212</v>
      </c>
      <c r="P931" s="4" t="s">
        <v>1213</v>
      </c>
      <c r="Q931" s="4" t="s">
        <v>320</v>
      </c>
      <c r="R931" s="4"/>
      <c r="S931" s="4"/>
      <c r="T931" s="4"/>
      <c r="U931" s="4">
        <v>2.0</v>
      </c>
      <c r="V931" s="4" t="s">
        <v>8286</v>
      </c>
      <c r="W931" s="4" t="s">
        <v>6855</v>
      </c>
      <c r="X931" s="4" t="s">
        <v>8287</v>
      </c>
      <c r="Y931" s="4"/>
      <c r="Z931" s="4" t="s">
        <v>1253</v>
      </c>
      <c r="AA931" s="4"/>
    </row>
    <row r="932">
      <c r="A932" s="4" t="s">
        <v>8288</v>
      </c>
      <c r="B932" s="4" t="s">
        <v>19</v>
      </c>
      <c r="C932" s="4" t="s">
        <v>7070</v>
      </c>
      <c r="D932" s="4">
        <v>44006.0</v>
      </c>
      <c r="E932" s="4">
        <v>0.49861111111111134</v>
      </c>
      <c r="F932" s="4">
        <v>1.7361111111111112E-4</v>
      </c>
      <c r="G932" s="4">
        <v>0.4987847222222225</v>
      </c>
      <c r="H932" s="4" t="s">
        <v>1944</v>
      </c>
      <c r="I932" s="4" t="s">
        <v>314</v>
      </c>
      <c r="J932" s="4" t="s">
        <v>314</v>
      </c>
      <c r="K932" s="4" t="s">
        <v>358</v>
      </c>
      <c r="L932" s="4" t="s">
        <v>85</v>
      </c>
      <c r="M932" s="4"/>
      <c r="N932" s="4"/>
      <c r="O932" s="4" t="s">
        <v>7241</v>
      </c>
      <c r="P932" s="4"/>
      <c r="Q932" s="4"/>
      <c r="R932" s="4"/>
      <c r="S932" s="4"/>
      <c r="T932" s="4"/>
      <c r="U932" s="4">
        <v>0.0</v>
      </c>
      <c r="V932" s="4"/>
      <c r="W932" s="4"/>
      <c r="X932" s="4"/>
      <c r="Y932" s="4"/>
      <c r="Z932" s="4"/>
      <c r="AA932" s="4"/>
    </row>
    <row r="933">
      <c r="A933" s="4" t="s">
        <v>8289</v>
      </c>
      <c r="B933" s="4" t="s">
        <v>19</v>
      </c>
      <c r="C933" s="4" t="s">
        <v>7070</v>
      </c>
      <c r="D933" s="4">
        <v>44006.0</v>
      </c>
      <c r="E933" s="4">
        <v>0.4987847222222225</v>
      </c>
      <c r="F933" s="4">
        <v>0.0012152777777777778</v>
      </c>
      <c r="G933" s="4">
        <v>0.5000000000000002</v>
      </c>
      <c r="H933" s="4" t="s">
        <v>1944</v>
      </c>
      <c r="I933" s="4"/>
      <c r="J933" s="4"/>
      <c r="K933" s="4" t="s">
        <v>358</v>
      </c>
      <c r="L933" s="4" t="s">
        <v>79</v>
      </c>
      <c r="M933" s="4"/>
      <c r="N933" s="4"/>
      <c r="O933" s="4" t="s">
        <v>79</v>
      </c>
      <c r="P933" s="4"/>
      <c r="Q933" s="4"/>
      <c r="R933" s="4"/>
      <c r="S933" s="4"/>
      <c r="T933" s="4"/>
      <c r="U933" s="4"/>
      <c r="V933" s="4"/>
      <c r="W933" s="4"/>
      <c r="X933" s="4"/>
      <c r="Y933" s="4"/>
      <c r="Z933" s="4"/>
      <c r="AA933" s="4"/>
    </row>
    <row r="934">
      <c r="A934" s="4" t="s">
        <v>8290</v>
      </c>
      <c r="B934" s="4" t="s">
        <v>19</v>
      </c>
      <c r="C934" s="4" t="s">
        <v>7070</v>
      </c>
      <c r="D934" s="4">
        <v>44006.0</v>
      </c>
      <c r="E934" s="4">
        <v>0.5000000000000002</v>
      </c>
      <c r="F934" s="4">
        <v>3.4722222222222224E-4</v>
      </c>
      <c r="G934" s="4">
        <v>0.5003472222222225</v>
      </c>
      <c r="H934" s="4" t="s">
        <v>1944</v>
      </c>
      <c r="I934" s="4" t="s">
        <v>314</v>
      </c>
      <c r="J934" s="4" t="s">
        <v>314</v>
      </c>
      <c r="K934" s="4" t="s">
        <v>441</v>
      </c>
      <c r="L934" s="4" t="s">
        <v>81</v>
      </c>
      <c r="M934" s="4"/>
      <c r="N934" s="4"/>
      <c r="O934" s="4" t="s">
        <v>81</v>
      </c>
      <c r="P934" s="4"/>
      <c r="Q934" s="4"/>
      <c r="R934" s="4"/>
      <c r="S934" s="4"/>
      <c r="T934" s="4"/>
      <c r="U934" s="4">
        <v>0.0</v>
      </c>
      <c r="V934" s="4"/>
      <c r="W934" s="4"/>
      <c r="X934" s="4"/>
      <c r="Y934" s="4"/>
      <c r="Z934" s="4"/>
      <c r="AA934" s="4"/>
    </row>
    <row r="935">
      <c r="A935" s="4" t="s">
        <v>8291</v>
      </c>
      <c r="B935" s="4" t="s">
        <v>19</v>
      </c>
      <c r="C935" s="4" t="s">
        <v>7070</v>
      </c>
      <c r="D935" s="4">
        <v>44006.0</v>
      </c>
      <c r="E935" s="4">
        <v>0.5003472222222225</v>
      </c>
      <c r="F935" s="4">
        <v>0.010416666666666666</v>
      </c>
      <c r="G935" s="4">
        <v>0.5107638888888891</v>
      </c>
      <c r="H935" s="4" t="s">
        <v>1185</v>
      </c>
      <c r="I935" s="4" t="s">
        <v>17</v>
      </c>
      <c r="J935" s="4" t="s">
        <v>6948</v>
      </c>
      <c r="K935" s="4" t="s">
        <v>441</v>
      </c>
      <c r="L935" s="4" t="s">
        <v>107</v>
      </c>
      <c r="M935" s="4" t="s">
        <v>8292</v>
      </c>
      <c r="N935" s="4" t="s">
        <v>6720</v>
      </c>
      <c r="O935" s="4" t="s">
        <v>1218</v>
      </c>
      <c r="P935" s="4" t="s">
        <v>1219</v>
      </c>
      <c r="Q935" s="4" t="s">
        <v>1220</v>
      </c>
      <c r="R935" s="4"/>
      <c r="S935" s="4"/>
      <c r="T935" s="4" t="s">
        <v>402</v>
      </c>
      <c r="U935" s="4">
        <v>3.0</v>
      </c>
      <c r="V935" s="4" t="s">
        <v>8293</v>
      </c>
      <c r="W935" s="4" t="s">
        <v>6962</v>
      </c>
      <c r="X935" s="4">
        <v>43956.708333333336</v>
      </c>
      <c r="Y935" s="4"/>
      <c r="Z935" s="4" t="s">
        <v>1185</v>
      </c>
      <c r="AA935" s="4"/>
    </row>
    <row r="936">
      <c r="A936" s="4" t="s">
        <v>8294</v>
      </c>
      <c r="B936" s="4" t="s">
        <v>19</v>
      </c>
      <c r="C936" s="4" t="s">
        <v>7070</v>
      </c>
      <c r="D936" s="4">
        <v>44006.0</v>
      </c>
      <c r="E936" s="4">
        <v>0.5107638888888891</v>
      </c>
      <c r="F936" s="4">
        <v>1.7361111111111112E-4</v>
      </c>
      <c r="G936" s="4">
        <v>0.5109375000000003</v>
      </c>
      <c r="H936" s="4" t="s">
        <v>1944</v>
      </c>
      <c r="I936" s="4" t="s">
        <v>314</v>
      </c>
      <c r="J936" s="4" t="s">
        <v>314</v>
      </c>
      <c r="K936" s="4" t="s">
        <v>441</v>
      </c>
      <c r="L936" s="4" t="s">
        <v>85</v>
      </c>
      <c r="M936" s="4"/>
      <c r="N936" s="4"/>
      <c r="O936" s="4" t="s">
        <v>85</v>
      </c>
      <c r="P936" s="4"/>
      <c r="Q936" s="4"/>
      <c r="R936" s="4"/>
      <c r="S936" s="4"/>
      <c r="T936" s="4"/>
      <c r="U936" s="4">
        <v>0.0</v>
      </c>
      <c r="V936" s="4"/>
      <c r="W936" s="4"/>
      <c r="X936" s="4"/>
      <c r="Y936" s="4"/>
      <c r="Z936" s="4"/>
      <c r="AA936" s="4"/>
    </row>
    <row r="937">
      <c r="A937" s="4" t="s">
        <v>8295</v>
      </c>
      <c r="B937" s="4" t="s">
        <v>19</v>
      </c>
      <c r="C937" s="4" t="s">
        <v>7070</v>
      </c>
      <c r="D937" s="4">
        <v>44006.0</v>
      </c>
      <c r="E937" s="4">
        <v>0.5109375000000003</v>
      </c>
      <c r="F937" s="4">
        <v>0.0</v>
      </c>
      <c r="G937" s="4">
        <v>0.5109375000000003</v>
      </c>
      <c r="H937" s="4" t="s">
        <v>1944</v>
      </c>
      <c r="I937" s="4" t="s">
        <v>314</v>
      </c>
      <c r="J937" s="4" t="s">
        <v>314</v>
      </c>
      <c r="K937" s="4" t="s">
        <v>441</v>
      </c>
      <c r="L937" s="4" t="s">
        <v>103</v>
      </c>
      <c r="M937" s="4"/>
      <c r="N937" s="4"/>
      <c r="O937" s="4" t="s">
        <v>8296</v>
      </c>
      <c r="P937" s="4"/>
      <c r="Q937" s="4"/>
      <c r="R937" s="4"/>
      <c r="S937" s="4"/>
      <c r="T937" s="4"/>
      <c r="U937" s="4">
        <v>0.0</v>
      </c>
      <c r="V937" s="4"/>
      <c r="W937" s="4"/>
      <c r="X937" s="4"/>
      <c r="Y937" s="4"/>
      <c r="Z937" s="4"/>
      <c r="AA937" s="4"/>
    </row>
    <row r="938">
      <c r="A938" s="4" t="s">
        <v>8297</v>
      </c>
      <c r="B938" s="4" t="s">
        <v>19</v>
      </c>
      <c r="C938" s="4" t="s">
        <v>7070</v>
      </c>
      <c r="D938" s="4">
        <v>44006.0</v>
      </c>
      <c r="E938" s="4">
        <v>0.5109375000000003</v>
      </c>
      <c r="F938" s="4">
        <v>1.7361111111111112E-4</v>
      </c>
      <c r="G938" s="4">
        <v>0.5111111111111114</v>
      </c>
      <c r="H938" s="4" t="s">
        <v>2004</v>
      </c>
      <c r="I938" s="4" t="s">
        <v>314</v>
      </c>
      <c r="J938" s="4" t="s">
        <v>314</v>
      </c>
      <c r="K938" s="4" t="s">
        <v>441</v>
      </c>
      <c r="L938" s="4" t="s">
        <v>77</v>
      </c>
      <c r="M938" s="4"/>
      <c r="N938" s="4"/>
      <c r="O938" s="4" t="s">
        <v>77</v>
      </c>
      <c r="P938" s="4"/>
      <c r="Q938" s="4"/>
      <c r="R938" s="4"/>
      <c r="S938" s="4"/>
      <c r="T938" s="4"/>
      <c r="U938" s="4">
        <v>0.0</v>
      </c>
      <c r="V938" s="4"/>
      <c r="W938" s="4"/>
      <c r="X938" s="4"/>
      <c r="Y938" s="4"/>
      <c r="Z938" s="4"/>
      <c r="AA938" s="4"/>
    </row>
    <row r="939">
      <c r="A939" s="4" t="s">
        <v>8298</v>
      </c>
      <c r="B939" s="4" t="s">
        <v>19</v>
      </c>
      <c r="C939" s="4" t="s">
        <v>7070</v>
      </c>
      <c r="D939" s="4">
        <v>44006.0</v>
      </c>
      <c r="E939" s="4">
        <v>0.5111111111111114</v>
      </c>
      <c r="F939" s="4">
        <v>3.4722222222222224E-4</v>
      </c>
      <c r="G939" s="4">
        <v>0.5114583333333337</v>
      </c>
      <c r="H939" s="4" t="s">
        <v>1944</v>
      </c>
      <c r="I939" s="4" t="s">
        <v>314</v>
      </c>
      <c r="J939" s="4" t="s">
        <v>314</v>
      </c>
      <c r="K939" s="4" t="s">
        <v>441</v>
      </c>
      <c r="L939" s="4" t="s">
        <v>81</v>
      </c>
      <c r="M939" s="4"/>
      <c r="N939" s="4"/>
      <c r="O939" s="4" t="s">
        <v>81</v>
      </c>
      <c r="P939" s="4"/>
      <c r="Q939" s="4"/>
      <c r="R939" s="4"/>
      <c r="S939" s="4"/>
      <c r="T939" s="4"/>
      <c r="U939" s="4">
        <v>0.0</v>
      </c>
      <c r="V939" s="4"/>
      <c r="W939" s="4"/>
      <c r="X939" s="4"/>
      <c r="Y939" s="4"/>
      <c r="Z939" s="4"/>
      <c r="AA939" s="4"/>
    </row>
    <row r="940">
      <c r="A940" s="4" t="s">
        <v>8299</v>
      </c>
      <c r="B940" s="4" t="s">
        <v>19</v>
      </c>
      <c r="C940" s="4" t="s">
        <v>7070</v>
      </c>
      <c r="D940" s="4">
        <v>44006.0</v>
      </c>
      <c r="E940" s="4">
        <v>0.5114583333333337</v>
      </c>
      <c r="F940" s="4">
        <v>0.011111111111111112</v>
      </c>
      <c r="G940" s="4">
        <v>0.5225694444444448</v>
      </c>
      <c r="H940" s="4" t="s">
        <v>1362</v>
      </c>
      <c r="I940" s="4" t="s">
        <v>17</v>
      </c>
      <c r="J940" s="4" t="s">
        <v>6938</v>
      </c>
      <c r="K940" s="4" t="s">
        <v>441</v>
      </c>
      <c r="L940" s="4" t="s">
        <v>94</v>
      </c>
      <c r="M940" s="4" t="s">
        <v>8255</v>
      </c>
      <c r="N940" s="4" t="s">
        <v>6858</v>
      </c>
      <c r="O940" s="4" t="s">
        <v>1222</v>
      </c>
      <c r="P940" s="4" t="s">
        <v>1223</v>
      </c>
      <c r="Q940" s="4"/>
      <c r="R940" s="4"/>
      <c r="S940" s="4"/>
      <c r="T940" s="4" t="s">
        <v>1183</v>
      </c>
      <c r="U940" s="4">
        <v>2.0</v>
      </c>
      <c r="V940" s="4" t="s">
        <v>8300</v>
      </c>
      <c r="W940" s="4" t="s">
        <v>6911</v>
      </c>
      <c r="X940" s="4">
        <v>43964.375</v>
      </c>
      <c r="Y940" s="4" t="s">
        <v>8301</v>
      </c>
      <c r="Z940" s="4" t="s">
        <v>1362</v>
      </c>
      <c r="AA940" s="4"/>
    </row>
    <row r="941">
      <c r="A941" s="4" t="s">
        <v>8302</v>
      </c>
      <c r="B941" s="4" t="s">
        <v>19</v>
      </c>
      <c r="C941" s="4" t="s">
        <v>7070</v>
      </c>
      <c r="D941" s="4">
        <v>44006.0</v>
      </c>
      <c r="E941" s="4">
        <v>0.5225694444444448</v>
      </c>
      <c r="F941" s="4">
        <v>1.7361111111111112E-4</v>
      </c>
      <c r="G941" s="4">
        <v>0.5227430555555559</v>
      </c>
      <c r="H941" s="4" t="s">
        <v>1944</v>
      </c>
      <c r="I941" s="4" t="s">
        <v>314</v>
      </c>
      <c r="J941" s="4" t="s">
        <v>314</v>
      </c>
      <c r="K941" s="4" t="s">
        <v>441</v>
      </c>
      <c r="L941" s="4" t="s">
        <v>85</v>
      </c>
      <c r="M941" s="4"/>
      <c r="N941" s="4"/>
      <c r="O941" s="4" t="s">
        <v>85</v>
      </c>
      <c r="P941" s="4"/>
      <c r="Q941" s="4"/>
      <c r="R941" s="4"/>
      <c r="S941" s="4"/>
      <c r="T941" s="4"/>
      <c r="U941" s="4">
        <v>0.0</v>
      </c>
      <c r="V941" s="4"/>
      <c r="W941" s="4"/>
      <c r="X941" s="4"/>
      <c r="Y941" s="4"/>
      <c r="Z941" s="4"/>
      <c r="AA941" s="4"/>
    </row>
    <row r="942">
      <c r="A942" s="4" t="s">
        <v>8303</v>
      </c>
      <c r="B942" s="4" t="s">
        <v>19</v>
      </c>
      <c r="C942" s="4" t="s">
        <v>7070</v>
      </c>
      <c r="D942" s="4">
        <v>44006.0</v>
      </c>
      <c r="E942" s="4">
        <v>0.5227430555555559</v>
      </c>
      <c r="F942" s="4">
        <v>3.4722222222222224E-4</v>
      </c>
      <c r="G942" s="4">
        <v>0.5230902777777782</v>
      </c>
      <c r="H942" s="4" t="s">
        <v>1944</v>
      </c>
      <c r="I942" s="4" t="s">
        <v>314</v>
      </c>
      <c r="J942" s="4" t="s">
        <v>314</v>
      </c>
      <c r="K942" s="4" t="s">
        <v>441</v>
      </c>
      <c r="L942" s="4" t="s">
        <v>81</v>
      </c>
      <c r="M942" s="4"/>
      <c r="N942" s="4"/>
      <c r="O942" s="4" t="s">
        <v>81</v>
      </c>
      <c r="P942" s="4"/>
      <c r="Q942" s="4"/>
      <c r="R942" s="4"/>
      <c r="S942" s="4"/>
      <c r="T942" s="4"/>
      <c r="U942" s="4">
        <v>0.0</v>
      </c>
      <c r="V942" s="4"/>
      <c r="W942" s="4"/>
      <c r="X942" s="4"/>
      <c r="Y942" s="4"/>
      <c r="Z942" s="4"/>
      <c r="AA942" s="4"/>
    </row>
    <row r="943">
      <c r="A943" s="4" t="s">
        <v>8304</v>
      </c>
      <c r="B943" s="4" t="s">
        <v>19</v>
      </c>
      <c r="C943" s="4" t="s">
        <v>7070</v>
      </c>
      <c r="D943" s="4">
        <v>44006.0</v>
      </c>
      <c r="E943" s="4">
        <v>0.5230902777777782</v>
      </c>
      <c r="F943" s="4">
        <v>0.008333333333333333</v>
      </c>
      <c r="G943" s="4">
        <v>0.5314236111111115</v>
      </c>
      <c r="H943" s="4" t="s">
        <v>1125</v>
      </c>
      <c r="I943" s="4" t="s">
        <v>17</v>
      </c>
      <c r="J943" s="4" t="s">
        <v>7059</v>
      </c>
      <c r="K943" s="4" t="s">
        <v>441</v>
      </c>
      <c r="L943" s="4" t="s">
        <v>94</v>
      </c>
      <c r="M943" s="4" t="s">
        <v>7899</v>
      </c>
      <c r="N943" s="4" t="s">
        <v>6749</v>
      </c>
      <c r="O943" s="4" t="s">
        <v>1232</v>
      </c>
      <c r="P943" s="4" t="s">
        <v>1233</v>
      </c>
      <c r="Q943" s="4"/>
      <c r="R943" s="4"/>
      <c r="S943" s="4"/>
      <c r="T943" s="4" t="s">
        <v>415</v>
      </c>
      <c r="U943" s="4">
        <v>2.0</v>
      </c>
      <c r="V943" s="4" t="s">
        <v>8305</v>
      </c>
      <c r="W943" s="4" t="s">
        <v>7115</v>
      </c>
      <c r="X943" s="4"/>
      <c r="Y943" s="4"/>
      <c r="Z943" s="4"/>
      <c r="AA943" s="4"/>
    </row>
    <row r="944">
      <c r="A944" s="4" t="s">
        <v>8306</v>
      </c>
      <c r="B944" s="4" t="s">
        <v>19</v>
      </c>
      <c r="C944" s="4" t="s">
        <v>7070</v>
      </c>
      <c r="D944" s="4">
        <v>44006.0</v>
      </c>
      <c r="E944" s="4">
        <v>0.5314236111111115</v>
      </c>
      <c r="F944" s="4">
        <v>1.7361111111111112E-4</v>
      </c>
      <c r="G944" s="4">
        <v>0.5315972222222226</v>
      </c>
      <c r="H944" s="4" t="s">
        <v>1944</v>
      </c>
      <c r="I944" s="4" t="s">
        <v>314</v>
      </c>
      <c r="J944" s="4" t="s">
        <v>314</v>
      </c>
      <c r="K944" s="4" t="s">
        <v>441</v>
      </c>
      <c r="L944" s="4" t="s">
        <v>85</v>
      </c>
      <c r="M944" s="4"/>
      <c r="N944" s="4"/>
      <c r="O944" s="4" t="s">
        <v>85</v>
      </c>
      <c r="P944" s="4"/>
      <c r="Q944" s="4"/>
      <c r="R944" s="4"/>
      <c r="S944" s="4"/>
      <c r="T944" s="4"/>
      <c r="U944" s="4">
        <v>0.0</v>
      </c>
      <c r="V944" s="4"/>
      <c r="W944" s="4"/>
      <c r="X944" s="4"/>
      <c r="Y944" s="4"/>
      <c r="Z944" s="4"/>
      <c r="AA944" s="4"/>
    </row>
    <row r="945">
      <c r="A945" s="4" t="s">
        <v>8307</v>
      </c>
      <c r="B945" s="4" t="s">
        <v>19</v>
      </c>
      <c r="C945" s="4" t="s">
        <v>7070</v>
      </c>
      <c r="D945" s="4">
        <v>44006.0</v>
      </c>
      <c r="E945" s="4">
        <v>0.5315972222222226</v>
      </c>
      <c r="F945" s="4">
        <v>3.4722222222222224E-4</v>
      </c>
      <c r="G945" s="4">
        <v>0.5319444444444449</v>
      </c>
      <c r="H945" s="4" t="s">
        <v>1944</v>
      </c>
      <c r="I945" s="4" t="s">
        <v>314</v>
      </c>
      <c r="J945" s="4" t="s">
        <v>314</v>
      </c>
      <c r="K945" s="4" t="s">
        <v>441</v>
      </c>
      <c r="L945" s="4" t="s">
        <v>81</v>
      </c>
      <c r="M945" s="4"/>
      <c r="N945" s="4"/>
      <c r="O945" s="4" t="s">
        <v>81</v>
      </c>
      <c r="P945" s="4"/>
      <c r="Q945" s="4"/>
      <c r="R945" s="4"/>
      <c r="S945" s="4"/>
      <c r="T945" s="4"/>
      <c r="U945" s="4">
        <v>0.0</v>
      </c>
      <c r="V945" s="4"/>
      <c r="W945" s="4"/>
      <c r="X945" s="4"/>
      <c r="Y945" s="4"/>
      <c r="Z945" s="4"/>
      <c r="AA945" s="4"/>
    </row>
    <row r="946">
      <c r="A946" s="4" t="s">
        <v>8308</v>
      </c>
      <c r="B946" s="4" t="s">
        <v>19</v>
      </c>
      <c r="C946" s="4" t="s">
        <v>7070</v>
      </c>
      <c r="D946" s="4">
        <v>44006.0</v>
      </c>
      <c r="E946" s="4">
        <v>0.5319444444444449</v>
      </c>
      <c r="F946" s="4">
        <v>0.009375</v>
      </c>
      <c r="G946" s="4">
        <v>0.5413194444444449</v>
      </c>
      <c r="H946" s="4" t="s">
        <v>1125</v>
      </c>
      <c r="I946" s="4" t="s">
        <v>17</v>
      </c>
      <c r="J946" s="4" t="s">
        <v>7059</v>
      </c>
      <c r="K946" s="4" t="s">
        <v>441</v>
      </c>
      <c r="L946" s="4" t="s">
        <v>94</v>
      </c>
      <c r="M946" s="4" t="s">
        <v>7126</v>
      </c>
      <c r="N946" s="4" t="s">
        <v>6755</v>
      </c>
      <c r="O946" s="4" t="s">
        <v>1257</v>
      </c>
      <c r="P946" s="4" t="s">
        <v>1258</v>
      </c>
      <c r="Q946" s="4"/>
      <c r="R946" s="4"/>
      <c r="S946" s="4"/>
      <c r="T946" s="4" t="s">
        <v>8309</v>
      </c>
      <c r="U946" s="4">
        <v>2.0</v>
      </c>
      <c r="V946" s="4" t="s">
        <v>8310</v>
      </c>
      <c r="W946" s="4"/>
      <c r="X946" s="4"/>
      <c r="Y946" s="4"/>
      <c r="Z946" s="4"/>
      <c r="AA946" s="4"/>
    </row>
    <row r="947">
      <c r="A947" s="4" t="s">
        <v>8311</v>
      </c>
      <c r="B947" s="4" t="s">
        <v>19</v>
      </c>
      <c r="C947" s="4" t="s">
        <v>7070</v>
      </c>
      <c r="D947" s="4">
        <v>44006.0</v>
      </c>
      <c r="E947" s="4">
        <v>0.5413194444444449</v>
      </c>
      <c r="F947" s="4">
        <v>1.7361111111111112E-4</v>
      </c>
      <c r="G947" s="4">
        <v>0.541493055555556</v>
      </c>
      <c r="H947" s="4" t="s">
        <v>1944</v>
      </c>
      <c r="I947" s="4" t="s">
        <v>314</v>
      </c>
      <c r="J947" s="4" t="s">
        <v>314</v>
      </c>
      <c r="K947" s="4" t="s">
        <v>441</v>
      </c>
      <c r="L947" s="4" t="s">
        <v>85</v>
      </c>
      <c r="M947" s="4"/>
      <c r="N947" s="4"/>
      <c r="O947" s="4" t="s">
        <v>85</v>
      </c>
      <c r="P947" s="4"/>
      <c r="Q947" s="4"/>
      <c r="R947" s="4"/>
      <c r="S947" s="4"/>
      <c r="T947" s="4"/>
      <c r="U947" s="4">
        <v>0.0</v>
      </c>
      <c r="V947" s="4"/>
      <c r="W947" s="4"/>
      <c r="X947" s="4"/>
      <c r="Y947" s="4"/>
      <c r="Z947" s="4"/>
      <c r="AA947" s="4"/>
    </row>
    <row r="948">
      <c r="A948" s="4" t="s">
        <v>8312</v>
      </c>
      <c r="B948" s="4" t="s">
        <v>19</v>
      </c>
      <c r="C948" s="4" t="s">
        <v>7070</v>
      </c>
      <c r="D948" s="4">
        <v>44006.0</v>
      </c>
      <c r="E948" s="4">
        <v>0.541493055555556</v>
      </c>
      <c r="F948" s="4">
        <v>1.7361111111111112E-4</v>
      </c>
      <c r="G948" s="4">
        <v>0.5416666666666672</v>
      </c>
      <c r="H948" s="4" t="s">
        <v>2004</v>
      </c>
      <c r="I948" s="4" t="s">
        <v>314</v>
      </c>
      <c r="J948" s="4" t="s">
        <v>314</v>
      </c>
      <c r="K948" s="4" t="s">
        <v>441</v>
      </c>
      <c r="L948" s="4" t="s">
        <v>77</v>
      </c>
      <c r="M948" s="4"/>
      <c r="N948" s="4"/>
      <c r="O948" s="4" t="s">
        <v>77</v>
      </c>
      <c r="P948" s="4"/>
      <c r="Q948" s="4"/>
      <c r="R948" s="4"/>
      <c r="S948" s="4"/>
      <c r="T948" s="4"/>
      <c r="U948" s="4">
        <v>0.0</v>
      </c>
      <c r="V948" s="4"/>
      <c r="W948" s="4"/>
      <c r="X948" s="4"/>
      <c r="Y948" s="4"/>
      <c r="Z948" s="4"/>
      <c r="AA948" s="4"/>
    </row>
    <row r="949">
      <c r="A949" s="4" t="s">
        <v>8313</v>
      </c>
      <c r="B949" s="4" t="s">
        <v>19</v>
      </c>
      <c r="C949" s="4" t="s">
        <v>7070</v>
      </c>
      <c r="D949" s="4">
        <v>44006.0</v>
      </c>
      <c r="E949" s="4">
        <v>0.5416666666666672</v>
      </c>
      <c r="F949" s="4">
        <v>3.4722222222222224E-4</v>
      </c>
      <c r="G949" s="4">
        <v>0.5420138888888895</v>
      </c>
      <c r="H949" s="4" t="s">
        <v>1944</v>
      </c>
      <c r="I949" s="4" t="s">
        <v>314</v>
      </c>
      <c r="J949" s="4" t="s">
        <v>314</v>
      </c>
      <c r="K949" s="4" t="s">
        <v>275</v>
      </c>
      <c r="L949" s="4" t="s">
        <v>81</v>
      </c>
      <c r="M949" s="4"/>
      <c r="N949" s="4"/>
      <c r="O949" s="4" t="s">
        <v>81</v>
      </c>
      <c r="P949" s="4"/>
      <c r="Q949" s="4"/>
      <c r="R949" s="4"/>
      <c r="S949" s="4"/>
      <c r="T949" s="4"/>
      <c r="U949" s="4">
        <v>0.0</v>
      </c>
      <c r="V949" s="4"/>
      <c r="W949" s="4"/>
      <c r="X949" s="4"/>
      <c r="Y949" s="4"/>
      <c r="Z949" s="4"/>
      <c r="AA949" s="4"/>
    </row>
    <row r="950">
      <c r="A950" s="4" t="s">
        <v>8314</v>
      </c>
      <c r="B950" s="4" t="s">
        <v>19</v>
      </c>
      <c r="C950" s="4" t="s">
        <v>7070</v>
      </c>
      <c r="D950" s="4">
        <v>44007.0</v>
      </c>
      <c r="E950" s="4">
        <v>0.5416666666666672</v>
      </c>
      <c r="F950" s="4">
        <v>0.008680555555555556</v>
      </c>
      <c r="G950" s="4">
        <v>0.5503472222222228</v>
      </c>
      <c r="H950" s="4" t="s">
        <v>873</v>
      </c>
      <c r="I950" s="4" t="s">
        <v>314</v>
      </c>
      <c r="J950" s="4" t="s">
        <v>6948</v>
      </c>
      <c r="K950" s="4" t="s">
        <v>275</v>
      </c>
      <c r="L950" s="4" t="s">
        <v>165</v>
      </c>
      <c r="M950" s="4" t="s">
        <v>7505</v>
      </c>
      <c r="N950" s="4" t="s">
        <v>6755</v>
      </c>
      <c r="O950" s="4" t="s">
        <v>1243</v>
      </c>
      <c r="P950" s="4" t="s">
        <v>1244</v>
      </c>
      <c r="Q950" s="4"/>
      <c r="R950" s="4"/>
      <c r="S950" s="4"/>
      <c r="T950" s="4"/>
      <c r="U950" s="4">
        <v>1.0</v>
      </c>
      <c r="V950" s="4" t="s">
        <v>8315</v>
      </c>
      <c r="W950" s="4" t="s">
        <v>6890</v>
      </c>
      <c r="X950" s="4"/>
      <c r="Y950" s="4"/>
      <c r="Z950" s="4" t="s">
        <v>873</v>
      </c>
      <c r="AA950" s="4"/>
    </row>
    <row r="951">
      <c r="A951" s="4" t="s">
        <v>8316</v>
      </c>
      <c r="B951" s="4" t="s">
        <v>19</v>
      </c>
      <c r="C951" s="4" t="s">
        <v>7070</v>
      </c>
      <c r="D951" s="4">
        <v>44006.0</v>
      </c>
      <c r="E951" s="4">
        <v>0.5503472222222228</v>
      </c>
      <c r="F951" s="4">
        <v>1.7361111111111112E-4</v>
      </c>
      <c r="G951" s="4">
        <v>0.5505208333333339</v>
      </c>
      <c r="H951" s="4" t="s">
        <v>1944</v>
      </c>
      <c r="I951" s="4" t="s">
        <v>314</v>
      </c>
      <c r="J951" s="4" t="s">
        <v>314</v>
      </c>
      <c r="K951" s="4" t="s">
        <v>275</v>
      </c>
      <c r="L951" s="4" t="s">
        <v>85</v>
      </c>
      <c r="M951" s="4"/>
      <c r="N951" s="4"/>
      <c r="O951" s="4" t="s">
        <v>85</v>
      </c>
      <c r="P951" s="4"/>
      <c r="Q951" s="4"/>
      <c r="R951" s="4"/>
      <c r="S951" s="4"/>
      <c r="T951" s="4"/>
      <c r="U951" s="4">
        <v>0.0</v>
      </c>
      <c r="V951" s="4"/>
      <c r="W951" s="4"/>
      <c r="X951" s="4"/>
      <c r="Y951" s="4"/>
      <c r="Z951" s="4"/>
      <c r="AA951" s="4"/>
    </row>
    <row r="952">
      <c r="A952" s="4" t="s">
        <v>8317</v>
      </c>
      <c r="B952" s="4" t="s">
        <v>19</v>
      </c>
      <c r="C952" s="4" t="s">
        <v>7070</v>
      </c>
      <c r="D952" s="4">
        <v>44006.0</v>
      </c>
      <c r="E952" s="4">
        <v>0.5505208333333339</v>
      </c>
      <c r="F952" s="4">
        <v>1.7361111111111112E-4</v>
      </c>
      <c r="G952" s="4">
        <v>0.550694444444445</v>
      </c>
      <c r="H952" s="4" t="s">
        <v>2004</v>
      </c>
      <c r="I952" s="4" t="s">
        <v>314</v>
      </c>
      <c r="J952" s="4" t="s">
        <v>314</v>
      </c>
      <c r="K952" s="4" t="s">
        <v>275</v>
      </c>
      <c r="L952" s="4" t="s">
        <v>77</v>
      </c>
      <c r="M952" s="4"/>
      <c r="N952" s="4"/>
      <c r="O952" s="4" t="s">
        <v>77</v>
      </c>
      <c r="P952" s="4"/>
      <c r="Q952" s="4"/>
      <c r="R952" s="4"/>
      <c r="S952" s="4"/>
      <c r="T952" s="4"/>
      <c r="U952" s="4">
        <v>0.0</v>
      </c>
      <c r="V952" s="4"/>
      <c r="W952" s="4" t="s">
        <v>314</v>
      </c>
      <c r="X952" s="4" t="s">
        <v>314</v>
      </c>
      <c r="Y952" s="4"/>
      <c r="Z952" s="4"/>
      <c r="AA952" s="4"/>
    </row>
    <row r="953">
      <c r="A953" s="4" t="s">
        <v>8318</v>
      </c>
      <c r="B953" s="4" t="s">
        <v>19</v>
      </c>
      <c r="C953" s="4" t="s">
        <v>7070</v>
      </c>
      <c r="D953" s="4">
        <v>44006.0</v>
      </c>
      <c r="E953" s="4">
        <v>0.5505208333333339</v>
      </c>
      <c r="F953" s="4">
        <v>6.944444444444445E-4</v>
      </c>
      <c r="G953" s="4">
        <v>0.5512152777777783</v>
      </c>
      <c r="H953" s="4" t="s">
        <v>1944</v>
      </c>
      <c r="I953" s="4"/>
      <c r="J953" s="4"/>
      <c r="K953" s="4" t="s">
        <v>275</v>
      </c>
      <c r="L953" s="4" t="s">
        <v>103</v>
      </c>
      <c r="M953" s="4"/>
      <c r="N953" s="4"/>
      <c r="O953" s="4" t="s">
        <v>103</v>
      </c>
      <c r="P953" s="4"/>
      <c r="Q953" s="4"/>
      <c r="R953" s="4"/>
      <c r="S953" s="4"/>
      <c r="T953" s="4"/>
      <c r="U953" s="4"/>
      <c r="V953" s="4"/>
      <c r="W953" s="4"/>
      <c r="X953" s="4"/>
      <c r="Y953" s="4"/>
      <c r="Z953" s="4"/>
      <c r="AA953" s="4"/>
    </row>
    <row r="954">
      <c r="A954" s="4" t="s">
        <v>8319</v>
      </c>
      <c r="B954" s="4" t="s">
        <v>19</v>
      </c>
      <c r="C954" s="4" t="s">
        <v>7070</v>
      </c>
      <c r="D954" s="4">
        <v>44006.0</v>
      </c>
      <c r="E954" s="4">
        <v>0.5512152777777783</v>
      </c>
      <c r="F954" s="4">
        <v>3.4722222222222224E-4</v>
      </c>
      <c r="G954" s="4">
        <v>0.5515625000000006</v>
      </c>
      <c r="H954" s="4" t="s">
        <v>1215</v>
      </c>
      <c r="I954" s="4"/>
      <c r="J954" s="4"/>
      <c r="K954" s="4" t="s">
        <v>275</v>
      </c>
      <c r="L954" s="4" t="s">
        <v>506</v>
      </c>
      <c r="M954" s="4"/>
      <c r="N954" s="4"/>
      <c r="O954" s="4" t="s">
        <v>506</v>
      </c>
      <c r="P954" s="4"/>
      <c r="Q954" s="4"/>
      <c r="R954" s="4"/>
      <c r="S954" s="4"/>
      <c r="T954" s="4"/>
      <c r="U954" s="4"/>
      <c r="V954" s="4"/>
      <c r="W954" s="4"/>
      <c r="X954" s="4"/>
      <c r="Y954" s="4"/>
      <c r="Z954" s="4"/>
      <c r="AA954" s="4"/>
    </row>
    <row r="955">
      <c r="A955" s="4" t="s">
        <v>8320</v>
      </c>
      <c r="B955" s="4" t="s">
        <v>19</v>
      </c>
      <c r="C955" s="4" t="s">
        <v>7070</v>
      </c>
      <c r="D955" s="4">
        <v>44006.0</v>
      </c>
      <c r="E955" s="4">
        <v>0.5515625000000006</v>
      </c>
      <c r="F955" s="4">
        <v>0.0012152777777777778</v>
      </c>
      <c r="G955" s="4">
        <v>0.5527777777777784</v>
      </c>
      <c r="H955" s="4" t="s">
        <v>1944</v>
      </c>
      <c r="I955" s="4"/>
      <c r="J955" s="4"/>
      <c r="K955" s="4" t="s">
        <v>275</v>
      </c>
      <c r="L955" s="4" t="s">
        <v>79</v>
      </c>
      <c r="M955" s="4"/>
      <c r="N955" s="4"/>
      <c r="O955" s="4" t="s">
        <v>79</v>
      </c>
      <c r="P955" s="4"/>
      <c r="Q955" s="4"/>
      <c r="R955" s="4"/>
      <c r="S955" s="4"/>
      <c r="T955" s="4"/>
      <c r="U955" s="4"/>
      <c r="V955" s="4"/>
      <c r="W955" s="4"/>
      <c r="X955" s="4"/>
      <c r="Y955" s="4"/>
      <c r="Z955" s="4"/>
      <c r="AA955" s="4"/>
    </row>
    <row r="956">
      <c r="A956" s="4" t="s">
        <v>8321</v>
      </c>
      <c r="B956" s="4" t="s">
        <v>19</v>
      </c>
      <c r="C956" s="4" t="s">
        <v>7070</v>
      </c>
      <c r="D956" s="4">
        <v>44006.0</v>
      </c>
      <c r="E956" s="4">
        <v>0.5527777777777784</v>
      </c>
      <c r="F956" s="4">
        <v>3.4722222222222224E-4</v>
      </c>
      <c r="G956" s="4">
        <v>0.5531250000000006</v>
      </c>
      <c r="H956" s="4" t="s">
        <v>1944</v>
      </c>
      <c r="I956" s="4" t="s">
        <v>314</v>
      </c>
      <c r="J956" s="4" t="s">
        <v>314</v>
      </c>
      <c r="K956" s="4" t="s">
        <v>275</v>
      </c>
      <c r="L956" s="4" t="s">
        <v>81</v>
      </c>
      <c r="M956" s="4"/>
      <c r="N956" s="4"/>
      <c r="O956" s="4" t="s">
        <v>81</v>
      </c>
      <c r="P956" s="4"/>
      <c r="Q956" s="4"/>
      <c r="R956" s="4"/>
      <c r="S956" s="4"/>
      <c r="T956" s="4"/>
      <c r="U956" s="4">
        <v>0.0</v>
      </c>
      <c r="V956" s="4"/>
      <c r="W956" s="4"/>
      <c r="X956" s="4"/>
      <c r="Y956" s="4"/>
      <c r="Z956" s="4"/>
      <c r="AA956" s="4"/>
    </row>
    <row r="957">
      <c r="A957" s="4" t="s">
        <v>8322</v>
      </c>
      <c r="B957" s="4" t="s">
        <v>19</v>
      </c>
      <c r="C957" s="4" t="s">
        <v>7070</v>
      </c>
      <c r="D957" s="4">
        <v>44006.0</v>
      </c>
      <c r="E957" s="4">
        <v>0.5531250000000006</v>
      </c>
      <c r="F957" s="4">
        <v>0.013888888888888888</v>
      </c>
      <c r="G957" s="4">
        <v>0.5670138888888895</v>
      </c>
      <c r="H957" s="4" t="s">
        <v>1253</v>
      </c>
      <c r="I957" s="4" t="s">
        <v>17</v>
      </c>
      <c r="J957" s="4" t="s">
        <v>6938</v>
      </c>
      <c r="K957" s="4" t="s">
        <v>275</v>
      </c>
      <c r="L957" s="4" t="s">
        <v>94</v>
      </c>
      <c r="M957" s="4"/>
      <c r="N957" s="4" t="s">
        <v>6749</v>
      </c>
      <c r="O957" s="4" t="s">
        <v>1240</v>
      </c>
      <c r="P957" s="4" t="s">
        <v>1241</v>
      </c>
      <c r="Q957" s="4"/>
      <c r="R957" s="4"/>
      <c r="S957" s="4"/>
      <c r="T957" s="4" t="s">
        <v>378</v>
      </c>
      <c r="U957" s="4">
        <v>2.0</v>
      </c>
      <c r="V957" s="4" t="s">
        <v>8323</v>
      </c>
      <c r="W957" s="4" t="s">
        <v>7136</v>
      </c>
      <c r="X957" s="4" t="s">
        <v>8324</v>
      </c>
      <c r="Y957" s="4" t="s">
        <v>4345</v>
      </c>
      <c r="Z957" s="4" t="s">
        <v>1253</v>
      </c>
      <c r="AA957" s="4"/>
    </row>
    <row r="958">
      <c r="A958" s="4" t="s">
        <v>8325</v>
      </c>
      <c r="B958" s="4" t="s">
        <v>19</v>
      </c>
      <c r="C958" s="4" t="s">
        <v>7070</v>
      </c>
      <c r="D958" s="4">
        <v>44006.0</v>
      </c>
      <c r="E958" s="4">
        <v>0.5670138888888895</v>
      </c>
      <c r="F958" s="4">
        <v>1.7361111111111112E-4</v>
      </c>
      <c r="G958" s="4">
        <v>0.5671875000000006</v>
      </c>
      <c r="H958" s="4" t="s">
        <v>1944</v>
      </c>
      <c r="I958" s="4" t="s">
        <v>314</v>
      </c>
      <c r="J958" s="4" t="s">
        <v>314</v>
      </c>
      <c r="K958" s="4" t="s">
        <v>275</v>
      </c>
      <c r="L958" s="4" t="s">
        <v>85</v>
      </c>
      <c r="M958" s="4"/>
      <c r="N958" s="4"/>
      <c r="O958" s="4" t="s">
        <v>85</v>
      </c>
      <c r="P958" s="4"/>
      <c r="Q958" s="4"/>
      <c r="R958" s="4"/>
      <c r="S958" s="4"/>
      <c r="T958" s="4"/>
      <c r="U958" s="4">
        <v>0.0</v>
      </c>
      <c r="V958" s="4"/>
      <c r="W958" s="4"/>
      <c r="X958" s="4"/>
      <c r="Y958" s="4"/>
      <c r="Z958" s="4"/>
      <c r="AA958" s="4"/>
    </row>
    <row r="959">
      <c r="A959" s="4" t="s">
        <v>8326</v>
      </c>
      <c r="B959" s="4" t="s">
        <v>19</v>
      </c>
      <c r="C959" s="4" t="s">
        <v>7070</v>
      </c>
      <c r="D959" s="4">
        <v>44006.0</v>
      </c>
      <c r="E959" s="4">
        <v>0.5671875000000006</v>
      </c>
      <c r="F959" s="4">
        <v>3.4722222222222224E-4</v>
      </c>
      <c r="G959" s="4">
        <v>0.5675347222222229</v>
      </c>
      <c r="H959" s="4" t="s">
        <v>1944</v>
      </c>
      <c r="I959" s="4" t="s">
        <v>314</v>
      </c>
      <c r="J959" s="4" t="s">
        <v>314</v>
      </c>
      <c r="K959" s="4" t="s">
        <v>275</v>
      </c>
      <c r="L959" s="4" t="s">
        <v>81</v>
      </c>
      <c r="M959" s="4"/>
      <c r="N959" s="4"/>
      <c r="O959" s="4" t="s">
        <v>85</v>
      </c>
      <c r="P959" s="4"/>
      <c r="Q959" s="4"/>
      <c r="R959" s="4"/>
      <c r="S959" s="4"/>
      <c r="T959" s="4"/>
      <c r="U959" s="4">
        <v>0.0</v>
      </c>
      <c r="V959" s="4"/>
      <c r="W959" s="4"/>
      <c r="X959" s="4"/>
      <c r="Y959" s="4"/>
      <c r="Z959" s="4"/>
      <c r="AA959" s="4"/>
    </row>
    <row r="960">
      <c r="A960" s="4" t="s">
        <v>8327</v>
      </c>
      <c r="B960" s="4" t="s">
        <v>19</v>
      </c>
      <c r="C960" s="4" t="s">
        <v>7070</v>
      </c>
      <c r="D960" s="4">
        <v>44006.0</v>
      </c>
      <c r="E960" s="4">
        <v>0.5675347222222229</v>
      </c>
      <c r="F960" s="4">
        <v>0.007638888888888889</v>
      </c>
      <c r="G960" s="4">
        <v>0.5751736111111118</v>
      </c>
      <c r="H960" s="4" t="s">
        <v>1185</v>
      </c>
      <c r="I960" s="4" t="s">
        <v>314</v>
      </c>
      <c r="J960" s="4" t="s">
        <v>6948</v>
      </c>
      <c r="K960" s="4" t="s">
        <v>275</v>
      </c>
      <c r="L960" s="4" t="s">
        <v>165</v>
      </c>
      <c r="M960" s="4" t="s">
        <v>8328</v>
      </c>
      <c r="N960" s="4" t="s">
        <v>6720</v>
      </c>
      <c r="O960" s="4" t="s">
        <v>1797</v>
      </c>
      <c r="P960" s="4" t="s">
        <v>1798</v>
      </c>
      <c r="Q960" s="4"/>
      <c r="R960" s="4"/>
      <c r="S960" s="4"/>
      <c r="T960" s="4"/>
      <c r="U960" s="4">
        <v>1.0</v>
      </c>
      <c r="V960" s="4" t="s">
        <v>8329</v>
      </c>
      <c r="W960" s="4" t="s">
        <v>7995</v>
      </c>
      <c r="X960" s="4" t="s">
        <v>8330</v>
      </c>
      <c r="Y960" s="4"/>
      <c r="Z960" s="4" t="s">
        <v>1185</v>
      </c>
      <c r="AA960" s="4"/>
    </row>
    <row r="961">
      <c r="A961" s="4" t="s">
        <v>8331</v>
      </c>
      <c r="B961" s="4" t="s">
        <v>19</v>
      </c>
      <c r="C961" s="4" t="s">
        <v>7070</v>
      </c>
      <c r="D961" s="4">
        <v>44006.0</v>
      </c>
      <c r="E961" s="4">
        <v>0.5751736111111118</v>
      </c>
      <c r="F961" s="4">
        <v>1.7361111111111112E-4</v>
      </c>
      <c r="G961" s="4">
        <v>0.5753472222222229</v>
      </c>
      <c r="H961" s="4" t="s">
        <v>1944</v>
      </c>
      <c r="I961" s="4"/>
      <c r="J961" s="4"/>
      <c r="K961" s="4" t="s">
        <v>275</v>
      </c>
      <c r="L961" s="4" t="s">
        <v>85</v>
      </c>
      <c r="M961" s="4"/>
      <c r="N961" s="4"/>
      <c r="O961" s="4" t="s">
        <v>7241</v>
      </c>
      <c r="P961" s="4"/>
      <c r="Q961" s="4"/>
      <c r="R961" s="4"/>
      <c r="S961" s="4"/>
      <c r="T961" s="4"/>
      <c r="U961" s="4"/>
      <c r="V961" s="4"/>
      <c r="W961" s="4"/>
      <c r="X961" s="4"/>
      <c r="Y961" s="4"/>
      <c r="Z961" s="4"/>
      <c r="AA961" s="4"/>
    </row>
    <row r="962">
      <c r="A962" s="4" t="s">
        <v>8332</v>
      </c>
      <c r="B962" s="4" t="s">
        <v>19</v>
      </c>
      <c r="C962" s="4" t="s">
        <v>7070</v>
      </c>
      <c r="D962" s="4">
        <v>44006.0</v>
      </c>
      <c r="E962" s="4">
        <v>0.5753472222222229</v>
      </c>
      <c r="F962" s="4">
        <v>1.7361111111111112E-4</v>
      </c>
      <c r="G962" s="4">
        <v>0.575520833333334</v>
      </c>
      <c r="H962" s="4" t="s">
        <v>1944</v>
      </c>
      <c r="I962" s="4"/>
      <c r="J962" s="4"/>
      <c r="K962" s="4" t="s">
        <v>275</v>
      </c>
      <c r="L962" s="4" t="s">
        <v>77</v>
      </c>
      <c r="M962" s="4"/>
      <c r="N962" s="4"/>
      <c r="O962" s="4" t="s">
        <v>77</v>
      </c>
      <c r="P962" s="4"/>
      <c r="Q962" s="4"/>
      <c r="R962" s="4"/>
      <c r="S962" s="4"/>
      <c r="T962" s="4"/>
      <c r="U962" s="4"/>
      <c r="V962" s="4"/>
      <c r="W962" s="4"/>
      <c r="X962" s="4"/>
      <c r="Y962" s="4"/>
      <c r="Z962" s="4"/>
      <c r="AA962" s="4"/>
    </row>
    <row r="963">
      <c r="A963" s="4" t="s">
        <v>8333</v>
      </c>
      <c r="B963" s="4" t="s">
        <v>19</v>
      </c>
      <c r="C963" s="4" t="s">
        <v>7070</v>
      </c>
      <c r="D963" s="4">
        <v>44006.0</v>
      </c>
      <c r="E963" s="4">
        <v>0.575520833333334</v>
      </c>
      <c r="F963" s="4">
        <v>3.4722222222222224E-4</v>
      </c>
      <c r="G963" s="4">
        <v>0.5758680555555563</v>
      </c>
      <c r="H963" s="4" t="s">
        <v>1944</v>
      </c>
      <c r="I963" s="4" t="s">
        <v>314</v>
      </c>
      <c r="J963" s="4" t="s">
        <v>314</v>
      </c>
      <c r="K963" s="4" t="s">
        <v>275</v>
      </c>
      <c r="L963" s="4" t="s">
        <v>81</v>
      </c>
      <c r="M963" s="4"/>
      <c r="N963" s="4"/>
      <c r="O963" s="4" t="s">
        <v>81</v>
      </c>
      <c r="P963" s="4"/>
      <c r="Q963" s="4"/>
      <c r="R963" s="4"/>
      <c r="S963" s="4"/>
      <c r="T963" s="4"/>
      <c r="U963" s="4">
        <v>0.0</v>
      </c>
      <c r="V963" s="4"/>
      <c r="W963" s="4"/>
      <c r="X963" s="4"/>
      <c r="Y963" s="4"/>
      <c r="Z963" s="4"/>
      <c r="AA963" s="4"/>
    </row>
    <row r="964">
      <c r="A964" s="4" t="s">
        <v>8334</v>
      </c>
      <c r="B964" s="4" t="s">
        <v>19</v>
      </c>
      <c r="C964" s="4" t="s">
        <v>7070</v>
      </c>
      <c r="D964" s="4">
        <v>44006.0</v>
      </c>
      <c r="E964" s="4">
        <v>0.5758680555555563</v>
      </c>
      <c r="F964" s="4">
        <v>0.006944444444444444</v>
      </c>
      <c r="G964" s="4">
        <v>0.5828125000000007</v>
      </c>
      <c r="H964" s="4" t="s">
        <v>946</v>
      </c>
      <c r="I964" s="4" t="s">
        <v>314</v>
      </c>
      <c r="J964" s="4" t="s">
        <v>15</v>
      </c>
      <c r="K964" s="4" t="s">
        <v>275</v>
      </c>
      <c r="L964" s="4" t="s">
        <v>165</v>
      </c>
      <c r="M964" s="4" t="s">
        <v>8335</v>
      </c>
      <c r="N964" s="4" t="s">
        <v>6755</v>
      </c>
      <c r="O964" s="4" t="s">
        <v>1248</v>
      </c>
      <c r="P964" s="4" t="s">
        <v>1249</v>
      </c>
      <c r="Q964" s="4"/>
      <c r="R964" s="4"/>
      <c r="S964" s="4"/>
      <c r="T964" s="4"/>
      <c r="U964" s="4">
        <v>1.0</v>
      </c>
      <c r="V964" s="4" t="s">
        <v>8336</v>
      </c>
      <c r="W964" s="4" t="s">
        <v>6911</v>
      </c>
      <c r="X964" s="4" t="s">
        <v>8337</v>
      </c>
      <c r="Y964" s="4" t="s">
        <v>314</v>
      </c>
      <c r="Z964" s="4" t="s">
        <v>314</v>
      </c>
      <c r="AA964" s="4"/>
    </row>
    <row r="965">
      <c r="A965" s="4" t="s">
        <v>8338</v>
      </c>
      <c r="B965" s="4" t="s">
        <v>19</v>
      </c>
      <c r="C965" s="4" t="s">
        <v>7070</v>
      </c>
      <c r="D965" s="4">
        <v>44006.0</v>
      </c>
      <c r="E965" s="4">
        <v>0.5828125000000007</v>
      </c>
      <c r="F965" s="4">
        <v>1.7361111111111112E-4</v>
      </c>
      <c r="G965" s="4">
        <v>0.5829861111111119</v>
      </c>
      <c r="H965" s="4" t="s">
        <v>1944</v>
      </c>
      <c r="I965" s="4" t="s">
        <v>314</v>
      </c>
      <c r="J965" s="4" t="s">
        <v>314</v>
      </c>
      <c r="K965" s="4" t="s">
        <v>275</v>
      </c>
      <c r="L965" s="4" t="s">
        <v>85</v>
      </c>
      <c r="M965" s="4"/>
      <c r="N965" s="4"/>
      <c r="O965" s="4" t="s">
        <v>85</v>
      </c>
      <c r="P965" s="4"/>
      <c r="Q965" s="4"/>
      <c r="R965" s="4"/>
      <c r="S965" s="4"/>
      <c r="T965" s="4"/>
      <c r="U965" s="4">
        <v>0.0</v>
      </c>
      <c r="V965" s="4"/>
      <c r="W965" s="4"/>
      <c r="X965" s="4"/>
      <c r="Y965" s="4"/>
      <c r="Z965" s="4"/>
      <c r="AA965" s="4"/>
    </row>
    <row r="966">
      <c r="A966" s="4" t="s">
        <v>8339</v>
      </c>
      <c r="B966" s="4" t="s">
        <v>19</v>
      </c>
      <c r="C966" s="4" t="s">
        <v>7070</v>
      </c>
      <c r="D966" s="4">
        <v>44006.0</v>
      </c>
      <c r="E966" s="4">
        <v>0.5829861111111119</v>
      </c>
      <c r="F966" s="4">
        <v>3.4722222222222224E-4</v>
      </c>
      <c r="G966" s="4">
        <v>0.5833333333333341</v>
      </c>
      <c r="H966" s="4" t="s">
        <v>1215</v>
      </c>
      <c r="I966" s="4"/>
      <c r="J966" s="4"/>
      <c r="K966" s="4" t="s">
        <v>275</v>
      </c>
      <c r="L966" s="4" t="s">
        <v>506</v>
      </c>
      <c r="M966" s="4"/>
      <c r="N966" s="4"/>
      <c r="O966" s="4" t="s">
        <v>8151</v>
      </c>
      <c r="P966" s="4"/>
      <c r="Q966" s="4"/>
      <c r="R966" s="4"/>
      <c r="S966" s="4"/>
      <c r="T966" s="4"/>
      <c r="U966" s="4">
        <v>0.0</v>
      </c>
      <c r="V966" s="4"/>
      <c r="W966" s="4"/>
      <c r="X966" s="4"/>
      <c r="Y966" s="4"/>
      <c r="Z966" s="4"/>
      <c r="AA966" s="4"/>
    </row>
    <row r="967">
      <c r="A967" s="4" t="s">
        <v>8340</v>
      </c>
      <c r="B967" s="4" t="s">
        <v>19</v>
      </c>
      <c r="C967" s="4" t="s">
        <v>7070</v>
      </c>
      <c r="D967" s="4">
        <v>44006.0</v>
      </c>
      <c r="E967" s="4">
        <v>0.5833333333333341</v>
      </c>
      <c r="F967" s="4">
        <v>3.4722222222222224E-4</v>
      </c>
      <c r="G967" s="4">
        <v>0.5836805555555564</v>
      </c>
      <c r="H967" s="4" t="s">
        <v>1944</v>
      </c>
      <c r="I967" s="4" t="s">
        <v>314</v>
      </c>
      <c r="J967" s="4" t="s">
        <v>314</v>
      </c>
      <c r="K967" s="4" t="s">
        <v>93</v>
      </c>
      <c r="L967" s="4" t="s">
        <v>81</v>
      </c>
      <c r="M967" s="4"/>
      <c r="N967" s="4"/>
      <c r="O967" s="4" t="s">
        <v>81</v>
      </c>
      <c r="P967" s="4"/>
      <c r="Q967" s="4"/>
      <c r="R967" s="4"/>
      <c r="S967" s="4"/>
      <c r="T967" s="4"/>
      <c r="U967" s="4">
        <v>0.0</v>
      </c>
      <c r="V967" s="4"/>
      <c r="W967" s="4"/>
      <c r="X967" s="4"/>
      <c r="Y967" s="4"/>
      <c r="Z967" s="4"/>
      <c r="AA967" s="4"/>
    </row>
    <row r="968">
      <c r="A968" s="4" t="s">
        <v>8341</v>
      </c>
      <c r="B968" s="4" t="s">
        <v>19</v>
      </c>
      <c r="C968" s="4" t="s">
        <v>7070</v>
      </c>
      <c r="D968" s="4">
        <v>44006.0</v>
      </c>
      <c r="E968" s="4">
        <v>0.5836805555555564</v>
      </c>
      <c r="F968" s="4">
        <v>0.008333333333333333</v>
      </c>
      <c r="G968" s="4">
        <v>0.5920138888888897</v>
      </c>
      <c r="H968" s="4" t="s">
        <v>972</v>
      </c>
      <c r="I968" s="4" t="s">
        <v>4142</v>
      </c>
      <c r="J968" s="4" t="s">
        <v>6870</v>
      </c>
      <c r="K968" s="4" t="s">
        <v>93</v>
      </c>
      <c r="L968" s="4" t="s">
        <v>94</v>
      </c>
      <c r="M968" s="4" t="s">
        <v>7126</v>
      </c>
      <c r="N968" s="4" t="s">
        <v>6689</v>
      </c>
      <c r="O968" s="4" t="s">
        <v>1255</v>
      </c>
      <c r="P968" s="4" t="s">
        <v>1210</v>
      </c>
      <c r="Q968" s="4"/>
      <c r="R968" s="4"/>
      <c r="S968" s="4"/>
      <c r="T968" s="4" t="s">
        <v>7599</v>
      </c>
      <c r="U968" s="4">
        <v>2.0</v>
      </c>
      <c r="V968" s="4" t="s">
        <v>8342</v>
      </c>
      <c r="W968" s="4" t="s">
        <v>6911</v>
      </c>
      <c r="X968" s="4"/>
      <c r="Y968" s="4"/>
      <c r="Z968" s="4" t="s">
        <v>972</v>
      </c>
      <c r="AA968" s="4"/>
    </row>
    <row r="969">
      <c r="A969" s="4" t="s">
        <v>8343</v>
      </c>
      <c r="B969" s="4" t="s">
        <v>19</v>
      </c>
      <c r="C969" s="4" t="s">
        <v>7070</v>
      </c>
      <c r="D969" s="4">
        <v>44006.0</v>
      </c>
      <c r="E969" s="4">
        <v>0.5920138888888897</v>
      </c>
      <c r="F969" s="4">
        <v>1.7361111111111112E-4</v>
      </c>
      <c r="G969" s="4">
        <v>0.5921875000000009</v>
      </c>
      <c r="H969" s="4" t="s">
        <v>1944</v>
      </c>
      <c r="I969" s="4" t="s">
        <v>314</v>
      </c>
      <c r="J969" s="4" t="s">
        <v>314</v>
      </c>
      <c r="K969" s="4" t="s">
        <v>93</v>
      </c>
      <c r="L969" s="4" t="s">
        <v>85</v>
      </c>
      <c r="M969" s="4"/>
      <c r="N969" s="4"/>
      <c r="O969" s="4" t="s">
        <v>85</v>
      </c>
      <c r="P969" s="4"/>
      <c r="Q969" s="4"/>
      <c r="R969" s="4"/>
      <c r="S969" s="4"/>
      <c r="T969" s="4" t="s">
        <v>8344</v>
      </c>
      <c r="U969" s="4">
        <v>1.0</v>
      </c>
      <c r="V969" s="4"/>
      <c r="W969" s="4"/>
      <c r="X969" s="4"/>
      <c r="Y969" s="4"/>
      <c r="Z969" s="4"/>
      <c r="AA969" s="4"/>
    </row>
    <row r="970">
      <c r="A970" s="4" t="s">
        <v>8345</v>
      </c>
      <c r="B970" s="4" t="s">
        <v>19</v>
      </c>
      <c r="C970" s="4" t="s">
        <v>7070</v>
      </c>
      <c r="D970" s="4">
        <v>44006.0</v>
      </c>
      <c r="E970" s="4">
        <v>0.5921875000000009</v>
      </c>
      <c r="F970" s="4">
        <v>3.4722222222222224E-4</v>
      </c>
      <c r="G970" s="4">
        <v>0.5925347222222231</v>
      </c>
      <c r="H970" s="4" t="s">
        <v>1944</v>
      </c>
      <c r="I970" s="4" t="s">
        <v>314</v>
      </c>
      <c r="J970" s="4" t="s">
        <v>314</v>
      </c>
      <c r="K970" s="4" t="s">
        <v>93</v>
      </c>
      <c r="L970" s="4" t="s">
        <v>81</v>
      </c>
      <c r="M970" s="4"/>
      <c r="N970" s="4"/>
      <c r="O970" s="4" t="s">
        <v>81</v>
      </c>
      <c r="P970" s="4"/>
      <c r="Q970" s="4"/>
      <c r="R970" s="4"/>
      <c r="S970" s="4"/>
      <c r="T970" s="4"/>
      <c r="U970" s="4">
        <v>0.0</v>
      </c>
      <c r="V970" s="4"/>
      <c r="W970" s="4"/>
      <c r="X970" s="4"/>
      <c r="Y970" s="4"/>
      <c r="Z970" s="4"/>
      <c r="AA970" s="4"/>
    </row>
    <row r="971">
      <c r="A971" s="4" t="s">
        <v>8346</v>
      </c>
      <c r="B971" s="4" t="s">
        <v>19</v>
      </c>
      <c r="C971" s="4" t="s">
        <v>7070</v>
      </c>
      <c r="D971" s="4">
        <v>44006.0</v>
      </c>
      <c r="E971" s="4">
        <v>0.5925347222222231</v>
      </c>
      <c r="F971" s="4">
        <v>0.006944444444444444</v>
      </c>
      <c r="G971" s="4">
        <v>0.5994791666666676</v>
      </c>
      <c r="H971" s="4" t="s">
        <v>972</v>
      </c>
      <c r="I971" s="4" t="s">
        <v>4142</v>
      </c>
      <c r="J971" s="4" t="s">
        <v>6938</v>
      </c>
      <c r="K971" s="4" t="s">
        <v>93</v>
      </c>
      <c r="L971" s="4" t="s">
        <v>165</v>
      </c>
      <c r="M971" s="4" t="s">
        <v>7446</v>
      </c>
      <c r="N971" s="4" t="s">
        <v>6689</v>
      </c>
      <c r="O971" s="4" t="s">
        <v>1229</v>
      </c>
      <c r="P971" s="4" t="s">
        <v>557</v>
      </c>
      <c r="Q971" s="4"/>
      <c r="R971" s="4"/>
      <c r="S971" s="4"/>
      <c r="T971" s="4"/>
      <c r="U971" s="4">
        <v>1.0</v>
      </c>
      <c r="V971" s="4" t="s">
        <v>8347</v>
      </c>
      <c r="W971" s="4" t="s">
        <v>6890</v>
      </c>
      <c r="X971" s="4"/>
      <c r="Y971" s="4"/>
      <c r="Z971" s="4" t="s">
        <v>972</v>
      </c>
      <c r="AA971" s="4"/>
    </row>
    <row r="972">
      <c r="A972" s="4" t="s">
        <v>8348</v>
      </c>
      <c r="B972" s="4" t="s">
        <v>19</v>
      </c>
      <c r="C972" s="4" t="s">
        <v>7070</v>
      </c>
      <c r="D972" s="4">
        <v>44006.0</v>
      </c>
      <c r="E972" s="4">
        <v>0.5994791666666676</v>
      </c>
      <c r="F972" s="4">
        <v>1.7361111111111112E-4</v>
      </c>
      <c r="G972" s="4">
        <v>0.5996527777777787</v>
      </c>
      <c r="H972" s="4" t="s">
        <v>1944</v>
      </c>
      <c r="I972" s="4" t="s">
        <v>314</v>
      </c>
      <c r="J972" s="4" t="s">
        <v>314</v>
      </c>
      <c r="K972" s="4" t="s">
        <v>93</v>
      </c>
      <c r="L972" s="4" t="s">
        <v>85</v>
      </c>
      <c r="M972" s="4"/>
      <c r="N972" s="4"/>
      <c r="O972" s="4" t="s">
        <v>85</v>
      </c>
      <c r="P972" s="4"/>
      <c r="Q972" s="4"/>
      <c r="R972" s="4"/>
      <c r="S972" s="4"/>
      <c r="T972" s="4"/>
      <c r="U972" s="4">
        <v>0.0</v>
      </c>
      <c r="V972" s="4"/>
      <c r="W972" s="4"/>
      <c r="X972" s="4"/>
      <c r="Y972" s="4"/>
      <c r="Z972" s="4"/>
      <c r="AA972" s="4"/>
    </row>
    <row r="973">
      <c r="A973" s="4" t="s">
        <v>8349</v>
      </c>
      <c r="B973" s="4" t="s">
        <v>19</v>
      </c>
      <c r="C973" s="4" t="s">
        <v>7070</v>
      </c>
      <c r="D973" s="4">
        <v>44006.0</v>
      </c>
      <c r="E973" s="4">
        <v>0.5996527777777787</v>
      </c>
      <c r="F973" s="4">
        <v>3.4722222222222224E-4</v>
      </c>
      <c r="G973" s="4">
        <v>0.600000000000001</v>
      </c>
      <c r="H973" s="4" t="s">
        <v>1944</v>
      </c>
      <c r="I973" s="4" t="s">
        <v>314</v>
      </c>
      <c r="J973" s="4" t="s">
        <v>314</v>
      </c>
      <c r="K973" s="4" t="s">
        <v>93</v>
      </c>
      <c r="L973" s="4" t="s">
        <v>81</v>
      </c>
      <c r="M973" s="4"/>
      <c r="N973" s="4"/>
      <c r="O973" s="4" t="s">
        <v>81</v>
      </c>
      <c r="P973" s="4"/>
      <c r="Q973" s="4"/>
      <c r="R973" s="4"/>
      <c r="S973" s="4"/>
      <c r="T973" s="4"/>
      <c r="U973" s="4">
        <v>0.0</v>
      </c>
      <c r="V973" s="4"/>
      <c r="W973" s="4"/>
      <c r="X973" s="4"/>
      <c r="Y973" s="4"/>
      <c r="Z973" s="4"/>
      <c r="AA973" s="4"/>
    </row>
    <row r="974">
      <c r="A974" s="4" t="s">
        <v>8350</v>
      </c>
      <c r="B974" s="4" t="s">
        <v>19</v>
      </c>
      <c r="C974" s="4" t="s">
        <v>7070</v>
      </c>
      <c r="D974" s="4">
        <v>44006.0</v>
      </c>
      <c r="E974" s="4">
        <v>0.600000000000001</v>
      </c>
      <c r="F974" s="4">
        <v>0.006944444444444444</v>
      </c>
      <c r="G974" s="4">
        <v>0.6069444444444454</v>
      </c>
      <c r="H974" s="4" t="s">
        <v>972</v>
      </c>
      <c r="I974" s="4" t="s">
        <v>4142</v>
      </c>
      <c r="J974" s="4" t="s">
        <v>6870</v>
      </c>
      <c r="K974" s="4" t="s">
        <v>93</v>
      </c>
      <c r="L974" s="4" t="s">
        <v>94</v>
      </c>
      <c r="M974" s="4" t="s">
        <v>7505</v>
      </c>
      <c r="N974" s="4" t="s">
        <v>6689</v>
      </c>
      <c r="O974" s="4" t="s">
        <v>1262</v>
      </c>
      <c r="P974" s="4" t="s">
        <v>96</v>
      </c>
      <c r="Q974" s="4"/>
      <c r="R974" s="4"/>
      <c r="S974" s="4"/>
      <c r="T974" s="4" t="s">
        <v>591</v>
      </c>
      <c r="U974" s="4">
        <v>2.0</v>
      </c>
      <c r="V974" s="4" t="s">
        <v>8351</v>
      </c>
      <c r="W974" s="4" t="s">
        <v>7088</v>
      </c>
      <c r="X974" s="4"/>
      <c r="Y974" s="4"/>
      <c r="Z974" s="4" t="s">
        <v>972</v>
      </c>
      <c r="AA974" s="4"/>
    </row>
    <row r="975">
      <c r="A975" s="4" t="s">
        <v>8352</v>
      </c>
      <c r="B975" s="4" t="s">
        <v>19</v>
      </c>
      <c r="C975" s="4" t="s">
        <v>7070</v>
      </c>
      <c r="D975" s="4">
        <v>44006.0</v>
      </c>
      <c r="E975" s="4">
        <v>0.6069444444444454</v>
      </c>
      <c r="F975" s="4">
        <v>1.7361111111111112E-4</v>
      </c>
      <c r="G975" s="4">
        <v>0.6071180555555565</v>
      </c>
      <c r="H975" s="4" t="s">
        <v>1944</v>
      </c>
      <c r="I975" s="4" t="s">
        <v>314</v>
      </c>
      <c r="J975" s="4" t="s">
        <v>314</v>
      </c>
      <c r="K975" s="4" t="s">
        <v>93</v>
      </c>
      <c r="L975" s="4" t="s">
        <v>85</v>
      </c>
      <c r="M975" s="4"/>
      <c r="N975" s="4"/>
      <c r="O975" s="4" t="s">
        <v>85</v>
      </c>
      <c r="P975" s="4"/>
      <c r="Q975" s="4"/>
      <c r="R975" s="4"/>
      <c r="S975" s="4"/>
      <c r="T975" s="4"/>
      <c r="U975" s="4">
        <v>0.0</v>
      </c>
      <c r="V975" s="4"/>
      <c r="W975" s="4"/>
      <c r="X975" s="4"/>
      <c r="Y975" s="4"/>
      <c r="Z975" s="4"/>
      <c r="AA975" s="4"/>
    </row>
    <row r="976">
      <c r="A976" s="4" t="s">
        <v>8353</v>
      </c>
      <c r="B976" s="4" t="s">
        <v>19</v>
      </c>
      <c r="C976" s="4" t="s">
        <v>7070</v>
      </c>
      <c r="D976" s="4">
        <v>44006.0</v>
      </c>
      <c r="E976" s="4">
        <v>0.6071180555555565</v>
      </c>
      <c r="F976" s="4">
        <v>3.4722222222222224E-4</v>
      </c>
      <c r="G976" s="4">
        <v>0.6074652777777788</v>
      </c>
      <c r="H976" s="4" t="s">
        <v>1215</v>
      </c>
      <c r="I976" s="4" t="s">
        <v>314</v>
      </c>
      <c r="J976" s="4" t="s">
        <v>314</v>
      </c>
      <c r="K976" s="4" t="s">
        <v>93</v>
      </c>
      <c r="L976" s="4" t="s">
        <v>506</v>
      </c>
      <c r="M976" s="4"/>
      <c r="N976" s="4"/>
      <c r="O976" s="4" t="s">
        <v>8172</v>
      </c>
      <c r="P976" s="4"/>
      <c r="Q976" s="4"/>
      <c r="R976" s="4"/>
      <c r="S976" s="4"/>
      <c r="T976" s="4"/>
      <c r="U976" s="4">
        <v>0.0</v>
      </c>
      <c r="V976" s="4"/>
      <c r="W976" s="4"/>
      <c r="X976" s="4"/>
      <c r="Y976" s="4"/>
      <c r="Z976" s="4"/>
      <c r="AA976" s="4"/>
    </row>
    <row r="977">
      <c r="A977" s="4" t="s">
        <v>8354</v>
      </c>
      <c r="B977" s="4" t="s">
        <v>19</v>
      </c>
      <c r="C977" s="4" t="s">
        <v>7070</v>
      </c>
      <c r="D977" s="4">
        <v>44006.0</v>
      </c>
      <c r="E977" s="4">
        <v>0.6074652777777788</v>
      </c>
      <c r="F977" s="4">
        <v>3.4722222222222224E-4</v>
      </c>
      <c r="G977" s="4">
        <v>0.6078125000000011</v>
      </c>
      <c r="H977" s="4" t="s">
        <v>1944</v>
      </c>
      <c r="I977" s="4" t="s">
        <v>314</v>
      </c>
      <c r="J977" s="4" t="s">
        <v>314</v>
      </c>
      <c r="K977" s="4" t="s">
        <v>93</v>
      </c>
      <c r="L977" s="4" t="s">
        <v>81</v>
      </c>
      <c r="M977" s="4"/>
      <c r="N977" s="4"/>
      <c r="O977" s="4" t="s">
        <v>81</v>
      </c>
      <c r="P977" s="4"/>
      <c r="Q977" s="4"/>
      <c r="R977" s="4"/>
      <c r="S977" s="4"/>
      <c r="T977" s="4"/>
      <c r="U977" s="4">
        <v>0.0</v>
      </c>
      <c r="V977" s="4"/>
      <c r="W977" s="4"/>
      <c r="X977" s="4"/>
      <c r="Y977" s="4"/>
      <c r="Z977" s="4"/>
      <c r="AA977" s="4"/>
    </row>
    <row r="978">
      <c r="A978" s="4" t="s">
        <v>8355</v>
      </c>
      <c r="B978" s="4" t="s">
        <v>19</v>
      </c>
      <c r="C978" s="4" t="s">
        <v>7070</v>
      </c>
      <c r="D978" s="4">
        <v>44006.0</v>
      </c>
      <c r="E978" s="4">
        <v>0.6078125000000011</v>
      </c>
      <c r="F978" s="4">
        <v>0.006944444444444444</v>
      </c>
      <c r="G978" s="4">
        <v>0.6147569444444455</v>
      </c>
      <c r="H978" s="4" t="s">
        <v>972</v>
      </c>
      <c r="I978" s="4" t="s">
        <v>4142</v>
      </c>
      <c r="J978" s="4" t="s">
        <v>6938</v>
      </c>
      <c r="K978" s="4" t="s">
        <v>93</v>
      </c>
      <c r="L978" s="4" t="s">
        <v>94</v>
      </c>
      <c r="M978" s="4" t="s">
        <v>8024</v>
      </c>
      <c r="N978" s="4" t="s">
        <v>6689</v>
      </c>
      <c r="O978" s="4" t="s">
        <v>1266</v>
      </c>
      <c r="P978" s="4" t="s">
        <v>1267</v>
      </c>
      <c r="Q978" s="4"/>
      <c r="R978" s="4"/>
      <c r="S978" s="4"/>
      <c r="T978" s="4" t="s">
        <v>1269</v>
      </c>
      <c r="U978" s="4">
        <v>2.0</v>
      </c>
      <c r="V978" s="4" t="s">
        <v>8356</v>
      </c>
      <c r="W978" s="4" t="s">
        <v>6911</v>
      </c>
      <c r="X978" s="4" t="s">
        <v>8357</v>
      </c>
      <c r="Y978" s="4" t="s">
        <v>8358</v>
      </c>
      <c r="Z978" s="4" t="s">
        <v>972</v>
      </c>
      <c r="AA978" s="4"/>
    </row>
    <row r="979">
      <c r="A979" s="4" t="s">
        <v>8359</v>
      </c>
      <c r="B979" s="4" t="s">
        <v>19</v>
      </c>
      <c r="C979" s="4" t="s">
        <v>7070</v>
      </c>
      <c r="D979" s="4">
        <v>44006.0</v>
      </c>
      <c r="E979" s="4">
        <v>0.6147569444444455</v>
      </c>
      <c r="F979" s="4">
        <v>1.7361111111111112E-4</v>
      </c>
      <c r="G979" s="4">
        <v>0.6149305555555566</v>
      </c>
      <c r="H979" s="4" t="s">
        <v>1944</v>
      </c>
      <c r="I979" s="4" t="s">
        <v>314</v>
      </c>
      <c r="J979" s="4" t="s">
        <v>314</v>
      </c>
      <c r="K979" s="4" t="s">
        <v>93</v>
      </c>
      <c r="L979" s="4" t="s">
        <v>85</v>
      </c>
      <c r="M979" s="4"/>
      <c r="N979" s="4"/>
      <c r="O979" s="4" t="s">
        <v>85</v>
      </c>
      <c r="P979" s="4"/>
      <c r="Q979" s="4"/>
      <c r="R979" s="4"/>
      <c r="S979" s="4"/>
      <c r="T979" s="4"/>
      <c r="U979" s="4">
        <v>0.0</v>
      </c>
      <c r="V979" s="4"/>
      <c r="W979" s="4"/>
      <c r="X979" s="4"/>
      <c r="Y979" s="4"/>
      <c r="Z979" s="4"/>
      <c r="AA979" s="4"/>
    </row>
    <row r="980">
      <c r="A980" s="4" t="s">
        <v>8360</v>
      </c>
      <c r="B980" s="4" t="s">
        <v>19</v>
      </c>
      <c r="C980" s="4" t="s">
        <v>7070</v>
      </c>
      <c r="D980" s="4">
        <v>44006.0</v>
      </c>
      <c r="E980" s="4">
        <v>0.6149305555555566</v>
      </c>
      <c r="F980" s="4">
        <v>3.4722222222222224E-4</v>
      </c>
      <c r="G980" s="4">
        <v>0.6152777777777789</v>
      </c>
      <c r="H980" s="4" t="s">
        <v>1944</v>
      </c>
      <c r="I980" s="4" t="s">
        <v>314</v>
      </c>
      <c r="J980" s="4" t="s">
        <v>314</v>
      </c>
      <c r="K980" s="4" t="s">
        <v>93</v>
      </c>
      <c r="L980" s="4" t="s">
        <v>81</v>
      </c>
      <c r="M980" s="4"/>
      <c r="N980" s="4"/>
      <c r="O980" s="4" t="s">
        <v>81</v>
      </c>
      <c r="P980" s="4"/>
      <c r="Q980" s="4"/>
      <c r="R980" s="4"/>
      <c r="S980" s="4"/>
      <c r="T980" s="4"/>
      <c r="U980" s="4">
        <v>0.0</v>
      </c>
      <c r="V980" s="4"/>
      <c r="W980" s="4"/>
      <c r="X980" s="4"/>
      <c r="Y980" s="4"/>
      <c r="Z980" s="4"/>
      <c r="AA980" s="4"/>
    </row>
    <row r="981">
      <c r="A981" s="4" t="s">
        <v>8361</v>
      </c>
      <c r="B981" s="4" t="s">
        <v>19</v>
      </c>
      <c r="C981" s="4" t="s">
        <v>7070</v>
      </c>
      <c r="D981" s="4">
        <v>44006.0</v>
      </c>
      <c r="E981" s="4">
        <v>0.6152777777777789</v>
      </c>
      <c r="F981" s="4">
        <v>0.009548611111111112</v>
      </c>
      <c r="G981" s="4">
        <v>0.6248263888888901</v>
      </c>
      <c r="H981" s="4" t="s">
        <v>972</v>
      </c>
      <c r="I981" s="4" t="s">
        <v>4142</v>
      </c>
      <c r="J981" s="4" t="s">
        <v>6938</v>
      </c>
      <c r="K981" s="4" t="s">
        <v>93</v>
      </c>
      <c r="L981" s="4" t="s">
        <v>107</v>
      </c>
      <c r="M981" s="4" t="s">
        <v>7126</v>
      </c>
      <c r="N981" s="4" t="s">
        <v>6689</v>
      </c>
      <c r="O981" s="4" t="s">
        <v>1272</v>
      </c>
      <c r="P981" s="4" t="s">
        <v>795</v>
      </c>
      <c r="Q981" s="4" t="s">
        <v>1273</v>
      </c>
      <c r="R981" s="4"/>
      <c r="S981" s="4"/>
      <c r="T981" s="4" t="s">
        <v>1274</v>
      </c>
      <c r="U981" s="4">
        <v>3.0</v>
      </c>
      <c r="V981" s="4" t="s">
        <v>8362</v>
      </c>
      <c r="W981" s="4" t="s">
        <v>6911</v>
      </c>
      <c r="X981" s="4" t="s">
        <v>8363</v>
      </c>
      <c r="Y981" s="4" t="s">
        <v>8364</v>
      </c>
      <c r="Z981" s="4" t="s">
        <v>972</v>
      </c>
      <c r="AA981" s="4"/>
    </row>
    <row r="982">
      <c r="A982" s="4" t="s">
        <v>8365</v>
      </c>
      <c r="B982" s="4" t="s">
        <v>19</v>
      </c>
      <c r="C982" s="4" t="s">
        <v>7070</v>
      </c>
      <c r="D982" s="4">
        <v>44006.0</v>
      </c>
      <c r="E982" s="4">
        <v>0.6248263888888901</v>
      </c>
      <c r="F982" s="4">
        <v>1.7361111111111112E-4</v>
      </c>
      <c r="G982" s="4">
        <v>0.6250000000000012</v>
      </c>
      <c r="H982" s="4" t="s">
        <v>1944</v>
      </c>
      <c r="I982" s="4" t="s">
        <v>314</v>
      </c>
      <c r="J982" s="4" t="s">
        <v>314</v>
      </c>
      <c r="K982" s="4" t="s">
        <v>93</v>
      </c>
      <c r="L982" s="4" t="s">
        <v>85</v>
      </c>
      <c r="M982" s="4"/>
      <c r="N982" s="4"/>
      <c r="O982" s="4" t="s">
        <v>85</v>
      </c>
      <c r="P982" s="4"/>
      <c r="Q982" s="4"/>
      <c r="R982" s="4"/>
      <c r="S982" s="4"/>
      <c r="T982" s="4"/>
      <c r="U982" s="4">
        <v>0.0</v>
      </c>
      <c r="V982" s="4"/>
      <c r="W982" s="4"/>
      <c r="X982" s="4"/>
      <c r="Y982" s="4"/>
      <c r="Z982" s="4"/>
      <c r="AA982" s="4"/>
    </row>
    <row r="983">
      <c r="A983" s="4" t="s">
        <v>8366</v>
      </c>
      <c r="B983" s="4" t="s">
        <v>19</v>
      </c>
      <c r="C983" s="4" t="s">
        <v>7070</v>
      </c>
      <c r="D983" s="4">
        <v>44006.0</v>
      </c>
      <c r="E983" s="4">
        <v>0.6250000000000012</v>
      </c>
      <c r="F983" s="4">
        <v>3.4722222222222224E-4</v>
      </c>
      <c r="G983" s="4">
        <v>0.6253472222222235</v>
      </c>
      <c r="H983" s="4" t="s">
        <v>1944</v>
      </c>
      <c r="I983" s="4" t="s">
        <v>314</v>
      </c>
      <c r="J983" s="4" t="s">
        <v>314</v>
      </c>
      <c r="K983" s="4" t="s">
        <v>398</v>
      </c>
      <c r="L983" s="4" t="s">
        <v>81</v>
      </c>
      <c r="M983" s="4"/>
      <c r="N983" s="4"/>
      <c r="O983" s="4" t="s">
        <v>6878</v>
      </c>
      <c r="P983" s="4"/>
      <c r="Q983" s="4"/>
      <c r="R983" s="4"/>
      <c r="S983" s="4"/>
      <c r="T983" s="4"/>
      <c r="U983" s="4">
        <v>0.0</v>
      </c>
      <c r="V983" s="4"/>
      <c r="W983" s="4"/>
      <c r="X983" s="4"/>
      <c r="Y983" s="4"/>
      <c r="Z983" s="4"/>
      <c r="AA983" s="4"/>
    </row>
    <row r="984">
      <c r="A984" s="4" t="s">
        <v>8367</v>
      </c>
      <c r="B984" s="4" t="s">
        <v>19</v>
      </c>
      <c r="C984" s="4" t="s">
        <v>7070</v>
      </c>
      <c r="D984" s="4">
        <v>44006.0</v>
      </c>
      <c r="E984" s="4">
        <v>0.6253472222222235</v>
      </c>
      <c r="F984" s="4">
        <v>0.010416666666666666</v>
      </c>
      <c r="G984" s="4">
        <v>0.6357638888888901</v>
      </c>
      <c r="H984" s="4" t="s">
        <v>860</v>
      </c>
      <c r="I984" s="4" t="s">
        <v>6933</v>
      </c>
      <c r="J984" s="4" t="s">
        <v>6938</v>
      </c>
      <c r="K984" s="4" t="s">
        <v>398</v>
      </c>
      <c r="L984" s="4" t="s">
        <v>107</v>
      </c>
      <c r="M984" s="4" t="s">
        <v>7462</v>
      </c>
      <c r="N984" s="4" t="s">
        <v>6755</v>
      </c>
      <c r="O984" s="4" t="s">
        <v>8368</v>
      </c>
      <c r="P984" s="4" t="s">
        <v>421</v>
      </c>
      <c r="Q984" s="4" t="s">
        <v>8369</v>
      </c>
      <c r="R984" s="4"/>
      <c r="S984" s="4"/>
      <c r="T984" s="4" t="s">
        <v>8370</v>
      </c>
      <c r="U984" s="4">
        <v>3.0</v>
      </c>
      <c r="V984" s="4" t="s">
        <v>8371</v>
      </c>
      <c r="W984" s="4" t="s">
        <v>6855</v>
      </c>
      <c r="X984" s="4"/>
      <c r="Y984" s="4"/>
      <c r="Z984" s="4"/>
      <c r="AA984" s="4"/>
    </row>
    <row r="985">
      <c r="A985" s="4" t="s">
        <v>8372</v>
      </c>
      <c r="B985" s="4" t="s">
        <v>19</v>
      </c>
      <c r="C985" s="4" t="s">
        <v>7070</v>
      </c>
      <c r="D985" s="4">
        <v>44006.0</v>
      </c>
      <c r="E985" s="4">
        <v>0.6357638888888901</v>
      </c>
      <c r="F985" s="4">
        <v>1.7361111111111112E-4</v>
      </c>
      <c r="G985" s="4">
        <v>0.6359375000000013</v>
      </c>
      <c r="H985" s="4" t="s">
        <v>1944</v>
      </c>
      <c r="I985" s="4" t="s">
        <v>314</v>
      </c>
      <c r="J985" s="4" t="s">
        <v>314</v>
      </c>
      <c r="K985" s="4" t="s">
        <v>398</v>
      </c>
      <c r="L985" s="4" t="s">
        <v>85</v>
      </c>
      <c r="M985" s="4"/>
      <c r="N985" s="4"/>
      <c r="O985" s="4" t="s">
        <v>85</v>
      </c>
      <c r="P985" s="4"/>
      <c r="Q985" s="4"/>
      <c r="R985" s="4"/>
      <c r="S985" s="4"/>
      <c r="T985" s="4"/>
      <c r="U985" s="4">
        <v>0.0</v>
      </c>
      <c r="V985" s="4"/>
      <c r="W985" s="4"/>
      <c r="X985" s="4"/>
      <c r="Y985" s="4"/>
      <c r="Z985" s="4"/>
      <c r="AA985" s="4"/>
    </row>
    <row r="986">
      <c r="A986" s="4" t="s">
        <v>8373</v>
      </c>
      <c r="B986" s="4" t="s">
        <v>19</v>
      </c>
      <c r="C986" s="4" t="s">
        <v>7070</v>
      </c>
      <c r="D986" s="4">
        <v>44006.0</v>
      </c>
      <c r="E986" s="4">
        <v>0.6359375000000013</v>
      </c>
      <c r="F986" s="4">
        <v>1.7361111111111112E-4</v>
      </c>
      <c r="G986" s="4">
        <v>0.6361111111111124</v>
      </c>
      <c r="H986" s="4" t="s">
        <v>2004</v>
      </c>
      <c r="I986" s="4" t="s">
        <v>314</v>
      </c>
      <c r="J986" s="4" t="s">
        <v>314</v>
      </c>
      <c r="K986" s="4" t="s">
        <v>398</v>
      </c>
      <c r="L986" s="4" t="s">
        <v>77</v>
      </c>
      <c r="M986" s="4"/>
      <c r="N986" s="4"/>
      <c r="O986" s="4" t="s">
        <v>77</v>
      </c>
      <c r="P986" s="4"/>
      <c r="Q986" s="4"/>
      <c r="R986" s="4"/>
      <c r="S986" s="4"/>
      <c r="T986" s="4"/>
      <c r="U986" s="4">
        <v>0.0</v>
      </c>
      <c r="V986" s="4"/>
      <c r="W986" s="4"/>
      <c r="X986" s="4"/>
      <c r="Y986" s="4"/>
      <c r="Z986" s="4"/>
      <c r="AA986" s="4"/>
    </row>
    <row r="987">
      <c r="A987" s="4" t="s">
        <v>8374</v>
      </c>
      <c r="B987" s="4" t="s">
        <v>19</v>
      </c>
      <c r="C987" s="4" t="s">
        <v>7070</v>
      </c>
      <c r="D987" s="4">
        <v>44006.0</v>
      </c>
      <c r="E987" s="4">
        <v>0.6361111111111124</v>
      </c>
      <c r="F987" s="4">
        <v>3.4722222222222224E-4</v>
      </c>
      <c r="G987" s="4">
        <v>0.6364583333333347</v>
      </c>
      <c r="H987" s="4" t="s">
        <v>1944</v>
      </c>
      <c r="I987" s="4" t="s">
        <v>314</v>
      </c>
      <c r="J987" s="4" t="s">
        <v>314</v>
      </c>
      <c r="K987" s="4" t="s">
        <v>398</v>
      </c>
      <c r="L987" s="4" t="s">
        <v>81</v>
      </c>
      <c r="M987" s="4"/>
      <c r="N987" s="4"/>
      <c r="O987" s="4" t="s">
        <v>81</v>
      </c>
      <c r="P987" s="4"/>
      <c r="Q987" s="4"/>
      <c r="R987" s="4"/>
      <c r="S987" s="4"/>
      <c r="T987" s="4"/>
      <c r="U987" s="4">
        <v>0.0</v>
      </c>
      <c r="V987" s="4"/>
      <c r="W987" s="4"/>
      <c r="X987" s="4"/>
      <c r="Y987" s="4"/>
      <c r="Z987" s="4"/>
      <c r="AA987" s="4"/>
    </row>
    <row r="988">
      <c r="A988" s="4" t="s">
        <v>8375</v>
      </c>
      <c r="B988" s="4" t="s">
        <v>19</v>
      </c>
      <c r="C988" s="4" t="s">
        <v>7070</v>
      </c>
      <c r="D988" s="4">
        <v>44006.0</v>
      </c>
      <c r="E988" s="4">
        <v>0.6364583333333347</v>
      </c>
      <c r="F988" s="4">
        <v>0.013888888888888888</v>
      </c>
      <c r="G988" s="4">
        <v>0.6503472222222235</v>
      </c>
      <c r="H988" s="4" t="s">
        <v>630</v>
      </c>
      <c r="I988" s="4" t="s">
        <v>4142</v>
      </c>
      <c r="J988" s="4" t="s">
        <v>6853</v>
      </c>
      <c r="K988" s="4" t="s">
        <v>398</v>
      </c>
      <c r="L988" s="4" t="s">
        <v>94</v>
      </c>
      <c r="M988" s="4"/>
      <c r="N988" s="4" t="s">
        <v>6689</v>
      </c>
      <c r="O988" s="4" t="s">
        <v>8376</v>
      </c>
      <c r="P988" s="4" t="s">
        <v>1281</v>
      </c>
      <c r="Q988" s="4"/>
      <c r="R988" s="4"/>
      <c r="S988" s="4"/>
      <c r="T988" s="4" t="s">
        <v>520</v>
      </c>
      <c r="U988" s="4">
        <v>2.0</v>
      </c>
      <c r="V988" s="4" t="s">
        <v>8377</v>
      </c>
      <c r="W988" s="4" t="s">
        <v>6855</v>
      </c>
      <c r="X988" s="4"/>
      <c r="Y988" s="4"/>
      <c r="Z988" s="4"/>
      <c r="AA988" s="4"/>
    </row>
    <row r="989">
      <c r="A989" s="4" t="s">
        <v>8378</v>
      </c>
      <c r="B989" s="4" t="s">
        <v>19</v>
      </c>
      <c r="C989" s="4" t="s">
        <v>7070</v>
      </c>
      <c r="D989" s="4">
        <v>44006.0</v>
      </c>
      <c r="E989" s="4">
        <v>0.6503472222222235</v>
      </c>
      <c r="F989" s="4">
        <v>1.7361111111111112E-4</v>
      </c>
      <c r="G989" s="4">
        <v>0.6505208333333347</v>
      </c>
      <c r="H989" s="4" t="s">
        <v>1944</v>
      </c>
      <c r="I989" s="4" t="s">
        <v>314</v>
      </c>
      <c r="J989" s="4" t="s">
        <v>314</v>
      </c>
      <c r="K989" s="4" t="s">
        <v>398</v>
      </c>
      <c r="L989" s="4" t="s">
        <v>85</v>
      </c>
      <c r="M989" s="4"/>
      <c r="N989" s="4"/>
      <c r="O989" s="4" t="s">
        <v>85</v>
      </c>
      <c r="P989" s="4"/>
      <c r="Q989" s="4"/>
      <c r="R989" s="4"/>
      <c r="S989" s="4"/>
      <c r="T989" s="4"/>
      <c r="U989" s="4">
        <v>0.0</v>
      </c>
      <c r="V989" s="4"/>
      <c r="W989" s="4"/>
      <c r="X989" s="4"/>
      <c r="Y989" s="4"/>
      <c r="Z989" s="4"/>
      <c r="AA989" s="4"/>
    </row>
    <row r="990">
      <c r="A990" s="4" t="s">
        <v>8379</v>
      </c>
      <c r="B990" s="4" t="s">
        <v>19</v>
      </c>
      <c r="C990" s="4" t="s">
        <v>7070</v>
      </c>
      <c r="D990" s="4">
        <v>44006.0</v>
      </c>
      <c r="E990" s="4">
        <v>0.6505208333333347</v>
      </c>
      <c r="F990" s="4">
        <v>1.7361111111111112E-4</v>
      </c>
      <c r="G990" s="4">
        <v>0.6506944444444458</v>
      </c>
      <c r="H990" s="4" t="s">
        <v>1944</v>
      </c>
      <c r="I990" s="4" t="s">
        <v>314</v>
      </c>
      <c r="J990" s="4" t="s">
        <v>314</v>
      </c>
      <c r="K990" s="4" t="s">
        <v>398</v>
      </c>
      <c r="L990" s="4" t="s">
        <v>77</v>
      </c>
      <c r="M990" s="4"/>
      <c r="N990" s="4"/>
      <c r="O990" s="4" t="s">
        <v>77</v>
      </c>
      <c r="P990" s="4"/>
      <c r="Q990" s="4"/>
      <c r="R990" s="4"/>
      <c r="S990" s="4"/>
      <c r="T990" s="4"/>
      <c r="U990" s="4">
        <v>0.0</v>
      </c>
      <c r="V990" s="4"/>
      <c r="W990" s="4"/>
      <c r="X990" s="4"/>
      <c r="Y990" s="4"/>
      <c r="Z990" s="4"/>
      <c r="AA990" s="4"/>
    </row>
    <row r="991">
      <c r="A991" s="4" t="s">
        <v>8380</v>
      </c>
      <c r="B991" s="4" t="s">
        <v>19</v>
      </c>
      <c r="C991" s="4" t="s">
        <v>7070</v>
      </c>
      <c r="D991" s="4">
        <v>44006.0</v>
      </c>
      <c r="E991" s="4">
        <v>0.6506944444444458</v>
      </c>
      <c r="F991" s="4">
        <v>1.7361111111111112E-4</v>
      </c>
      <c r="G991" s="4">
        <v>0.6508680555555569</v>
      </c>
      <c r="H991" s="4" t="s">
        <v>1215</v>
      </c>
      <c r="I991" s="4"/>
      <c r="J991" s="4"/>
      <c r="K991" s="4" t="s">
        <v>398</v>
      </c>
      <c r="L991" s="4" t="s">
        <v>506</v>
      </c>
      <c r="M991" s="4"/>
      <c r="N991" s="4"/>
      <c r="O991" s="4" t="s">
        <v>8381</v>
      </c>
      <c r="P991" s="4"/>
      <c r="Q991" s="4"/>
      <c r="R991" s="4"/>
      <c r="S991" s="4"/>
      <c r="T991" s="4"/>
      <c r="U991" s="4"/>
      <c r="V991" s="4"/>
      <c r="W991" s="4"/>
      <c r="X991" s="4"/>
      <c r="Y991" s="4"/>
      <c r="Z991" s="4"/>
      <c r="AA991" s="4"/>
    </row>
    <row r="992">
      <c r="A992" s="4" t="s">
        <v>8382</v>
      </c>
      <c r="B992" s="4" t="s">
        <v>19</v>
      </c>
      <c r="C992" s="4" t="s">
        <v>7070</v>
      </c>
      <c r="D992" s="4">
        <v>44006.0</v>
      </c>
      <c r="E992" s="4">
        <v>0.6508680555555569</v>
      </c>
      <c r="F992" s="4">
        <v>3.4722222222222224E-4</v>
      </c>
      <c r="G992" s="4">
        <v>0.6512152777777792</v>
      </c>
      <c r="H992" s="4" t="s">
        <v>1944</v>
      </c>
      <c r="I992" s="4" t="s">
        <v>314</v>
      </c>
      <c r="J992" s="4" t="s">
        <v>314</v>
      </c>
      <c r="K992" s="4" t="s">
        <v>398</v>
      </c>
      <c r="L992" s="4" t="s">
        <v>81</v>
      </c>
      <c r="M992" s="4"/>
      <c r="N992" s="4"/>
      <c r="O992" s="4" t="s">
        <v>81</v>
      </c>
      <c r="P992" s="4"/>
      <c r="Q992" s="4"/>
      <c r="R992" s="4"/>
      <c r="S992" s="4"/>
      <c r="T992" s="4"/>
      <c r="U992" s="4">
        <v>0.0</v>
      </c>
      <c r="V992" s="4"/>
      <c r="W992" s="4"/>
      <c r="X992" s="4"/>
      <c r="Y992" s="4"/>
      <c r="Z992" s="4"/>
      <c r="AA992" s="4"/>
    </row>
    <row r="993">
      <c r="A993" s="4" t="s">
        <v>8383</v>
      </c>
      <c r="B993" s="4" t="s">
        <v>19</v>
      </c>
      <c r="C993" s="4" t="s">
        <v>7070</v>
      </c>
      <c r="D993" s="4">
        <v>44006.0</v>
      </c>
      <c r="E993" s="4">
        <v>0.6512152777777792</v>
      </c>
      <c r="F993" s="4">
        <v>0.011458333333333333</v>
      </c>
      <c r="G993" s="4">
        <v>0.6626736111111126</v>
      </c>
      <c r="H993" s="4" t="s">
        <v>1125</v>
      </c>
      <c r="I993" s="4" t="s">
        <v>4142</v>
      </c>
      <c r="J993" s="4" t="s">
        <v>7086</v>
      </c>
      <c r="K993" s="4" t="s">
        <v>398</v>
      </c>
      <c r="L993" s="4" t="s">
        <v>94</v>
      </c>
      <c r="M993" s="4"/>
      <c r="N993" s="4" t="s">
        <v>6749</v>
      </c>
      <c r="O993" s="4" t="s">
        <v>1283</v>
      </c>
      <c r="P993" s="4" t="s">
        <v>1284</v>
      </c>
      <c r="Q993" s="4"/>
      <c r="R993" s="4"/>
      <c r="S993" s="4"/>
      <c r="T993" s="4" t="s">
        <v>8384</v>
      </c>
      <c r="U993" s="4"/>
      <c r="V993" s="4" t="s">
        <v>8385</v>
      </c>
      <c r="W993" s="4" t="s">
        <v>7115</v>
      </c>
      <c r="X993" s="4"/>
      <c r="Y993" s="4"/>
      <c r="Z993" s="4"/>
      <c r="AA993" s="4"/>
    </row>
    <row r="994">
      <c r="A994" s="4" t="s">
        <v>8386</v>
      </c>
      <c r="B994" s="4" t="s">
        <v>19</v>
      </c>
      <c r="C994" s="4" t="s">
        <v>7070</v>
      </c>
      <c r="D994" s="4">
        <v>44006.0</v>
      </c>
      <c r="E994" s="4">
        <v>0.6626736111111126</v>
      </c>
      <c r="F994" s="4">
        <v>1.7361111111111112E-4</v>
      </c>
      <c r="G994" s="4">
        <v>0.6628472222222237</v>
      </c>
      <c r="H994" s="4" t="s">
        <v>1944</v>
      </c>
      <c r="I994" s="4"/>
      <c r="J994" s="4"/>
      <c r="K994" s="4" t="s">
        <v>398</v>
      </c>
      <c r="L994" s="4" t="s">
        <v>85</v>
      </c>
      <c r="M994" s="4"/>
      <c r="N994" s="4"/>
      <c r="O994" s="4" t="s">
        <v>7077</v>
      </c>
      <c r="P994" s="4"/>
      <c r="Q994" s="4"/>
      <c r="R994" s="4"/>
      <c r="S994" s="4"/>
      <c r="T994" s="4"/>
      <c r="U994" s="4"/>
      <c r="V994" s="4"/>
      <c r="W994" s="4"/>
      <c r="X994" s="4"/>
      <c r="Y994" s="4"/>
      <c r="Z994" s="4"/>
      <c r="AA994" s="4"/>
    </row>
    <row r="995">
      <c r="A995" s="4" t="s">
        <v>8387</v>
      </c>
      <c r="B995" s="4" t="s">
        <v>19</v>
      </c>
      <c r="C995" s="4" t="s">
        <v>7070</v>
      </c>
      <c r="D995" s="4">
        <v>44006.0</v>
      </c>
      <c r="E995" s="4">
        <v>0.6628472222222237</v>
      </c>
      <c r="F995" s="4">
        <v>3.4722222222222224E-4</v>
      </c>
      <c r="G995" s="4">
        <v>0.663194444444446</v>
      </c>
      <c r="H995" s="4" t="s">
        <v>1944</v>
      </c>
      <c r="I995" s="4"/>
      <c r="J995" s="4"/>
      <c r="K995" s="4" t="s">
        <v>398</v>
      </c>
      <c r="L995" s="4" t="s">
        <v>81</v>
      </c>
      <c r="M995" s="4"/>
      <c r="N995" s="4"/>
      <c r="O995" s="4" t="s">
        <v>6878</v>
      </c>
      <c r="P995" s="4"/>
      <c r="Q995" s="4"/>
      <c r="R995" s="4"/>
      <c r="S995" s="4"/>
      <c r="T995" s="4"/>
      <c r="U995" s="4"/>
      <c r="V995" s="4"/>
      <c r="W995" s="4"/>
      <c r="X995" s="4"/>
      <c r="Y995" s="4"/>
      <c r="Z995" s="4"/>
      <c r="AA995" s="4"/>
    </row>
    <row r="996">
      <c r="A996" s="4" t="s">
        <v>8388</v>
      </c>
      <c r="B996" s="4" t="s">
        <v>19</v>
      </c>
      <c r="C996" s="4" t="s">
        <v>6838</v>
      </c>
      <c r="D996" s="4">
        <v>44005.0</v>
      </c>
      <c r="E996" s="4">
        <v>0.663194444444446</v>
      </c>
      <c r="F996" s="4">
        <v>0.0020833333333333333</v>
      </c>
      <c r="G996" s="4">
        <v>0.6652777777777793</v>
      </c>
      <c r="H996" s="4" t="s">
        <v>630</v>
      </c>
      <c r="I996" s="4" t="s">
        <v>314</v>
      </c>
      <c r="J996" s="4" t="s">
        <v>15</v>
      </c>
      <c r="K996" s="4" t="s">
        <v>398</v>
      </c>
      <c r="L996" s="4" t="s">
        <v>165</v>
      </c>
      <c r="M996" s="4" t="s">
        <v>7505</v>
      </c>
      <c r="N996" s="4" t="s">
        <v>6720</v>
      </c>
      <c r="O996" s="4" t="s">
        <v>1294</v>
      </c>
      <c r="P996" s="4" t="s">
        <v>1295</v>
      </c>
      <c r="Q996" s="4"/>
      <c r="R996" s="4"/>
      <c r="S996" s="4"/>
      <c r="T996" s="4"/>
      <c r="U996" s="4">
        <v>1.0</v>
      </c>
      <c r="V996" s="4" t="s">
        <v>8389</v>
      </c>
      <c r="W996" s="4" t="s">
        <v>6890</v>
      </c>
      <c r="X996" s="4">
        <v>43957.0</v>
      </c>
      <c r="Y996" s="4"/>
      <c r="Z996" s="4" t="s">
        <v>630</v>
      </c>
      <c r="AA996" s="4"/>
    </row>
    <row r="997">
      <c r="A997" s="4" t="s">
        <v>8390</v>
      </c>
      <c r="B997" s="4" t="s">
        <v>19</v>
      </c>
      <c r="C997" s="4" t="s">
        <v>7070</v>
      </c>
      <c r="D997" s="4">
        <v>44006.0</v>
      </c>
      <c r="E997" s="4">
        <v>0.6652777777777793</v>
      </c>
      <c r="F997" s="4">
        <v>1.7361111111111112E-4</v>
      </c>
      <c r="G997" s="4">
        <v>0.6654513888888904</v>
      </c>
      <c r="H997" s="4" t="s">
        <v>1944</v>
      </c>
      <c r="I997" s="4" t="s">
        <v>314</v>
      </c>
      <c r="J997" s="4" t="s">
        <v>314</v>
      </c>
      <c r="K997" s="4" t="s">
        <v>398</v>
      </c>
      <c r="L997" s="4" t="s">
        <v>85</v>
      </c>
      <c r="M997" s="4"/>
      <c r="N997" s="4"/>
      <c r="O997" s="4" t="s">
        <v>7241</v>
      </c>
      <c r="P997" s="4"/>
      <c r="Q997" s="4"/>
      <c r="R997" s="4"/>
      <c r="S997" s="4"/>
      <c r="T997" s="4"/>
      <c r="U997" s="4">
        <v>0.0</v>
      </c>
      <c r="V997" s="4"/>
      <c r="W997" s="4"/>
      <c r="X997" s="4"/>
      <c r="Y997" s="4"/>
      <c r="Z997" s="4"/>
      <c r="AA997" s="4"/>
    </row>
    <row r="998">
      <c r="A998" s="4" t="s">
        <v>8391</v>
      </c>
      <c r="B998" s="4" t="s">
        <v>19</v>
      </c>
      <c r="C998" s="4" t="s">
        <v>7070</v>
      </c>
      <c r="D998" s="4">
        <v>44006.0</v>
      </c>
      <c r="E998" s="4">
        <v>0.6654513888888904</v>
      </c>
      <c r="F998" s="4">
        <v>0.0012152777777777778</v>
      </c>
      <c r="G998" s="4">
        <v>0.6666666666666682</v>
      </c>
      <c r="H998" s="4" t="s">
        <v>1944</v>
      </c>
      <c r="I998" s="4"/>
      <c r="J998" s="4"/>
      <c r="K998" s="4" t="s">
        <v>398</v>
      </c>
      <c r="L998" s="4" t="s">
        <v>79</v>
      </c>
      <c r="M998" s="4"/>
      <c r="N998" s="4"/>
      <c r="O998" s="4" t="s">
        <v>79</v>
      </c>
      <c r="P998" s="4"/>
      <c r="Q998" s="4"/>
      <c r="R998" s="4"/>
      <c r="S998" s="4"/>
      <c r="T998" s="4"/>
      <c r="U998" s="4"/>
      <c r="V998" s="4"/>
      <c r="W998" s="4"/>
      <c r="X998" s="4"/>
      <c r="Y998" s="4"/>
      <c r="Z998" s="4"/>
      <c r="AA998" s="4"/>
    </row>
    <row r="999">
      <c r="A999" s="4" t="s">
        <v>8392</v>
      </c>
      <c r="B999" s="4" t="s">
        <v>19</v>
      </c>
      <c r="C999" s="4" t="s">
        <v>7070</v>
      </c>
      <c r="D999" s="4">
        <v>44006.0</v>
      </c>
      <c r="E999" s="4">
        <v>0.6666666666666682</v>
      </c>
      <c r="F999" s="4">
        <v>1.7361111111111112E-4</v>
      </c>
      <c r="G999" s="4">
        <v>0.6668402777777793</v>
      </c>
      <c r="H999" s="4" t="s">
        <v>2004</v>
      </c>
      <c r="I999" s="4"/>
      <c r="J999" s="4"/>
      <c r="K999" s="4" t="s">
        <v>331</v>
      </c>
      <c r="L999" s="4" t="s">
        <v>77</v>
      </c>
      <c r="M999" s="4"/>
      <c r="N999" s="4"/>
      <c r="O999" s="4" t="s">
        <v>77</v>
      </c>
      <c r="P999" s="4"/>
      <c r="Q999" s="4"/>
      <c r="R999" s="4"/>
      <c r="S999" s="4"/>
      <c r="T999" s="4"/>
      <c r="U999" s="4"/>
      <c r="V999" s="4"/>
      <c r="W999" s="4"/>
      <c r="X999" s="4"/>
      <c r="Y999" s="4"/>
      <c r="Z999" s="4"/>
      <c r="AA999" s="4"/>
    </row>
    <row r="1000">
      <c r="A1000" s="4" t="s">
        <v>8393</v>
      </c>
      <c r="B1000" s="4" t="s">
        <v>19</v>
      </c>
      <c r="C1000" s="4" t="s">
        <v>7070</v>
      </c>
      <c r="D1000" s="4">
        <v>44006.0</v>
      </c>
      <c r="E1000" s="4">
        <v>0.6668402777777793</v>
      </c>
      <c r="F1000" s="4">
        <v>3.4722222222222224E-4</v>
      </c>
      <c r="G1000" s="4">
        <v>0.6671875000000016</v>
      </c>
      <c r="H1000" s="4" t="s">
        <v>1944</v>
      </c>
      <c r="I1000" s="4"/>
      <c r="J1000" s="4"/>
      <c r="K1000" s="4" t="s">
        <v>331</v>
      </c>
      <c r="L1000" s="4" t="s">
        <v>81</v>
      </c>
      <c r="M1000" s="4"/>
      <c r="N1000" s="4"/>
      <c r="O1000" s="4" t="s">
        <v>6878</v>
      </c>
      <c r="P1000" s="4"/>
      <c r="Q1000" s="4"/>
      <c r="R1000" s="4"/>
      <c r="S1000" s="4"/>
      <c r="T1000" s="4"/>
      <c r="U1000" s="4"/>
      <c r="V1000" s="4"/>
      <c r="W1000" s="4"/>
      <c r="X1000" s="4"/>
      <c r="Y1000" s="4"/>
      <c r="Z1000" s="4"/>
      <c r="AA1000" s="4"/>
    </row>
    <row r="1001">
      <c r="A1001" s="4" t="s">
        <v>8394</v>
      </c>
      <c r="B1001" s="4" t="s">
        <v>19</v>
      </c>
      <c r="C1001" s="4" t="s">
        <v>7070</v>
      </c>
      <c r="D1001" s="4">
        <v>44006.0</v>
      </c>
      <c r="E1001" s="4">
        <v>0.6671875000000016</v>
      </c>
      <c r="F1001" s="4">
        <v>0.007638888888888889</v>
      </c>
      <c r="G1001" s="4">
        <v>0.6748263888888905</v>
      </c>
      <c r="H1001" s="4" t="s">
        <v>1362</v>
      </c>
      <c r="I1001" s="4" t="s">
        <v>6993</v>
      </c>
      <c r="J1001" s="4" t="s">
        <v>6938</v>
      </c>
      <c r="K1001" s="4" t="s">
        <v>331</v>
      </c>
      <c r="L1001" s="4" t="s">
        <v>94</v>
      </c>
      <c r="M1001" s="4" t="s">
        <v>7505</v>
      </c>
      <c r="N1001" s="4" t="s">
        <v>6720</v>
      </c>
      <c r="O1001" s="4" t="s">
        <v>1276</v>
      </c>
      <c r="P1001" s="4" t="s">
        <v>1277</v>
      </c>
      <c r="Q1001" s="4"/>
      <c r="R1001" s="4"/>
      <c r="S1001" s="4"/>
      <c r="T1001" s="4" t="s">
        <v>1278</v>
      </c>
      <c r="U1001" s="4">
        <v>2.0</v>
      </c>
      <c r="V1001" s="4" t="s">
        <v>8395</v>
      </c>
      <c r="W1001" s="4" t="s">
        <v>6962</v>
      </c>
      <c r="X1001" s="4" t="s">
        <v>8396</v>
      </c>
      <c r="Y1001" s="4" t="s">
        <v>8397</v>
      </c>
      <c r="Z1001" s="4" t="s">
        <v>1362</v>
      </c>
      <c r="AA1001" s="4"/>
    </row>
    <row r="1002">
      <c r="A1002" s="4" t="s">
        <v>8398</v>
      </c>
      <c r="B1002" s="4" t="s">
        <v>19</v>
      </c>
      <c r="C1002" s="4" t="s">
        <v>7070</v>
      </c>
      <c r="D1002" s="4">
        <v>44006.0</v>
      </c>
      <c r="E1002" s="4">
        <v>0.6748263888888905</v>
      </c>
      <c r="F1002" s="4">
        <v>1.7361111111111112E-4</v>
      </c>
      <c r="G1002" s="4">
        <v>0.6750000000000016</v>
      </c>
      <c r="H1002" s="4" t="s">
        <v>1944</v>
      </c>
      <c r="I1002" s="4" t="s">
        <v>314</v>
      </c>
      <c r="J1002" s="4" t="s">
        <v>314</v>
      </c>
      <c r="K1002" s="4" t="s">
        <v>331</v>
      </c>
      <c r="L1002" s="4" t="s">
        <v>85</v>
      </c>
      <c r="M1002" s="4"/>
      <c r="N1002" s="4"/>
      <c r="O1002" s="4" t="s">
        <v>85</v>
      </c>
      <c r="P1002" s="4"/>
      <c r="Q1002" s="4"/>
      <c r="R1002" s="4"/>
      <c r="S1002" s="4"/>
      <c r="T1002" s="4"/>
      <c r="U1002" s="4">
        <v>0.0</v>
      </c>
      <c r="V1002" s="4"/>
      <c r="W1002" s="4"/>
      <c r="X1002" s="4"/>
      <c r="Y1002" s="4"/>
      <c r="Z1002" s="4"/>
      <c r="AA1002" s="4"/>
    </row>
    <row r="1003">
      <c r="A1003" s="4" t="s">
        <v>8399</v>
      </c>
      <c r="B1003" s="4" t="s">
        <v>19</v>
      </c>
      <c r="C1003" s="4" t="s">
        <v>7070</v>
      </c>
      <c r="D1003" s="4">
        <v>44006.0</v>
      </c>
      <c r="E1003" s="4">
        <v>0.6750000000000016</v>
      </c>
      <c r="F1003" s="4">
        <v>0.0</v>
      </c>
      <c r="G1003" s="4">
        <v>0.6750000000000016</v>
      </c>
      <c r="H1003" s="4" t="s">
        <v>1215</v>
      </c>
      <c r="I1003" s="4"/>
      <c r="J1003" s="4"/>
      <c r="K1003" s="4" t="s">
        <v>331</v>
      </c>
      <c r="L1003" s="4" t="s">
        <v>506</v>
      </c>
      <c r="M1003" s="4"/>
      <c r="N1003" s="4"/>
      <c r="O1003" s="4" t="s">
        <v>8202</v>
      </c>
      <c r="P1003" s="4"/>
      <c r="Q1003" s="4"/>
      <c r="R1003" s="4"/>
      <c r="S1003" s="4"/>
      <c r="T1003" s="4"/>
      <c r="U1003" s="4"/>
      <c r="V1003" s="4"/>
      <c r="W1003" s="4"/>
      <c r="X1003" s="4"/>
      <c r="Y1003" s="4"/>
      <c r="Z1003" s="4"/>
      <c r="AA1003" s="4"/>
    </row>
    <row r="1004">
      <c r="A1004" s="4" t="s">
        <v>8400</v>
      </c>
      <c r="B1004" s="4" t="s">
        <v>19</v>
      </c>
      <c r="C1004" s="4" t="s">
        <v>7070</v>
      </c>
      <c r="D1004" s="4">
        <v>44006.0</v>
      </c>
      <c r="E1004" s="4">
        <v>0.6750000000000016</v>
      </c>
      <c r="F1004" s="4">
        <v>3.4722222222222224E-4</v>
      </c>
      <c r="G1004" s="4">
        <v>0.6753472222222239</v>
      </c>
      <c r="H1004" s="4" t="s">
        <v>1944</v>
      </c>
      <c r="I1004" s="4" t="s">
        <v>314</v>
      </c>
      <c r="J1004" s="4" t="s">
        <v>314</v>
      </c>
      <c r="K1004" s="4" t="s">
        <v>331</v>
      </c>
      <c r="L1004" s="4" t="s">
        <v>81</v>
      </c>
      <c r="M1004" s="4"/>
      <c r="N1004" s="4"/>
      <c r="O1004" s="4" t="s">
        <v>81</v>
      </c>
      <c r="P1004" s="4"/>
      <c r="Q1004" s="4"/>
      <c r="R1004" s="4"/>
      <c r="S1004" s="4"/>
      <c r="T1004" s="4"/>
      <c r="U1004" s="4">
        <v>0.0</v>
      </c>
      <c r="V1004" s="4"/>
      <c r="W1004" s="4"/>
      <c r="X1004" s="4"/>
      <c r="Y1004" s="4"/>
      <c r="Z1004" s="4"/>
      <c r="AA1004" s="4"/>
    </row>
    <row r="1005">
      <c r="A1005" s="4" t="s">
        <v>8401</v>
      </c>
      <c r="B1005" s="4" t="s">
        <v>19</v>
      </c>
      <c r="C1005" s="4" t="s">
        <v>7070</v>
      </c>
      <c r="D1005" s="4">
        <v>44006.0</v>
      </c>
      <c r="E1005" s="4">
        <v>0.6753472222222239</v>
      </c>
      <c r="F1005" s="4">
        <v>0.0020833333333333333</v>
      </c>
      <c r="G1005" s="4">
        <v>0.6774305555555572</v>
      </c>
      <c r="H1005" s="4" t="s">
        <v>630</v>
      </c>
      <c r="I1005" s="4" t="s">
        <v>314</v>
      </c>
      <c r="J1005" s="4" t="s">
        <v>15</v>
      </c>
      <c r="K1005" s="4" t="s">
        <v>331</v>
      </c>
      <c r="L1005" s="4" t="s">
        <v>165</v>
      </c>
      <c r="M1005" s="4" t="s">
        <v>7505</v>
      </c>
      <c r="N1005" s="4" t="s">
        <v>7475</v>
      </c>
      <c r="O1005" s="4" t="s">
        <v>1289</v>
      </c>
      <c r="P1005" s="4" t="s">
        <v>1290</v>
      </c>
      <c r="Q1005" s="4"/>
      <c r="R1005" s="4"/>
      <c r="S1005" s="4"/>
      <c r="T1005" s="4"/>
      <c r="U1005" s="4">
        <v>1.0</v>
      </c>
      <c r="V1005" s="4" t="s">
        <v>8402</v>
      </c>
      <c r="W1005" s="4" t="s">
        <v>7197</v>
      </c>
      <c r="X1005" s="4" t="s">
        <v>8403</v>
      </c>
      <c r="Y1005" s="4" t="s">
        <v>7199</v>
      </c>
      <c r="Z1005" s="4" t="s">
        <v>630</v>
      </c>
      <c r="AA1005" s="4"/>
    </row>
    <row r="1006">
      <c r="A1006" s="4" t="s">
        <v>8404</v>
      </c>
      <c r="B1006" s="4" t="s">
        <v>19</v>
      </c>
      <c r="C1006" s="4" t="s">
        <v>7070</v>
      </c>
      <c r="D1006" s="4">
        <v>44006.0</v>
      </c>
      <c r="E1006" s="4">
        <v>0.6774305555555572</v>
      </c>
      <c r="F1006" s="4">
        <v>1.7361111111111112E-4</v>
      </c>
      <c r="G1006" s="4">
        <v>0.6776041666666683</v>
      </c>
      <c r="H1006" s="4" t="s">
        <v>1944</v>
      </c>
      <c r="I1006" s="4" t="s">
        <v>314</v>
      </c>
      <c r="J1006" s="4" t="s">
        <v>314</v>
      </c>
      <c r="K1006" s="4" t="s">
        <v>331</v>
      </c>
      <c r="L1006" s="4" t="s">
        <v>85</v>
      </c>
      <c r="M1006" s="4"/>
      <c r="N1006" s="4"/>
      <c r="O1006" s="4" t="s">
        <v>85</v>
      </c>
      <c r="P1006" s="4"/>
      <c r="Q1006" s="4"/>
      <c r="R1006" s="4"/>
      <c r="S1006" s="4"/>
      <c r="T1006" s="4"/>
      <c r="U1006" s="4">
        <v>0.0</v>
      </c>
      <c r="V1006" s="4"/>
      <c r="W1006" s="4"/>
      <c r="X1006" s="4"/>
      <c r="Y1006" s="4"/>
      <c r="Z1006" s="4"/>
      <c r="AA1006" s="4"/>
    </row>
    <row r="1007">
      <c r="A1007" s="4" t="s">
        <v>8405</v>
      </c>
      <c r="B1007" s="4" t="s">
        <v>19</v>
      </c>
      <c r="C1007" s="4" t="s">
        <v>7070</v>
      </c>
      <c r="D1007" s="4">
        <v>44006.0</v>
      </c>
      <c r="E1007" s="4">
        <v>0.6776041666666683</v>
      </c>
      <c r="F1007" s="4">
        <v>1.7361111111111112E-4</v>
      </c>
      <c r="G1007" s="4">
        <v>0.6777777777777795</v>
      </c>
      <c r="H1007" s="4" t="s">
        <v>2004</v>
      </c>
      <c r="I1007" s="4" t="s">
        <v>314</v>
      </c>
      <c r="J1007" s="4" t="s">
        <v>314</v>
      </c>
      <c r="K1007" s="4" t="s">
        <v>331</v>
      </c>
      <c r="L1007" s="4" t="s">
        <v>77</v>
      </c>
      <c r="M1007" s="4"/>
      <c r="N1007" s="4"/>
      <c r="O1007" s="4" t="s">
        <v>77</v>
      </c>
      <c r="P1007" s="4"/>
      <c r="Q1007" s="4"/>
      <c r="R1007" s="4"/>
      <c r="S1007" s="4"/>
      <c r="T1007" s="4"/>
      <c r="U1007" s="4">
        <v>0.0</v>
      </c>
      <c r="V1007" s="4"/>
      <c r="W1007" s="4"/>
      <c r="X1007" s="4"/>
      <c r="Y1007" s="4"/>
      <c r="Z1007" s="4"/>
      <c r="AA1007" s="4"/>
    </row>
    <row r="1008">
      <c r="A1008" s="4" t="s">
        <v>8406</v>
      </c>
      <c r="B1008" s="4" t="s">
        <v>19</v>
      </c>
      <c r="C1008" s="4" t="s">
        <v>7070</v>
      </c>
      <c r="D1008" s="4">
        <v>44006.0</v>
      </c>
      <c r="E1008" s="4">
        <v>0.6777777777777795</v>
      </c>
      <c r="F1008" s="4">
        <v>3.4722222222222224E-4</v>
      </c>
      <c r="G1008" s="4">
        <v>0.6781250000000018</v>
      </c>
      <c r="H1008" s="4" t="s">
        <v>1944</v>
      </c>
      <c r="I1008" s="4" t="s">
        <v>314</v>
      </c>
      <c r="J1008" s="4" t="s">
        <v>314</v>
      </c>
      <c r="K1008" s="4" t="s">
        <v>331</v>
      </c>
      <c r="L1008" s="4" t="s">
        <v>81</v>
      </c>
      <c r="M1008" s="4"/>
      <c r="N1008" s="4"/>
      <c r="O1008" s="4" t="s">
        <v>81</v>
      </c>
      <c r="P1008" s="4"/>
      <c r="Q1008" s="4"/>
      <c r="R1008" s="4"/>
      <c r="S1008" s="4"/>
      <c r="T1008" s="4"/>
      <c r="U1008" s="4">
        <v>0.0</v>
      </c>
      <c r="V1008" s="4"/>
      <c r="W1008" s="4"/>
      <c r="X1008" s="4"/>
      <c r="Y1008" s="4"/>
      <c r="Z1008" s="4"/>
      <c r="AA1008" s="4"/>
    </row>
    <row r="1009">
      <c r="A1009" s="4" t="s">
        <v>8407</v>
      </c>
      <c r="B1009" s="4" t="s">
        <v>19</v>
      </c>
      <c r="C1009" s="4" t="s">
        <v>7070</v>
      </c>
      <c r="D1009" s="4">
        <v>44006.0</v>
      </c>
      <c r="E1009" s="4">
        <v>0.6781250000000018</v>
      </c>
      <c r="F1009" s="4">
        <v>0.0125</v>
      </c>
      <c r="G1009" s="4">
        <v>0.6906250000000017</v>
      </c>
      <c r="H1009" s="4" t="s">
        <v>1362</v>
      </c>
      <c r="I1009" s="4" t="s">
        <v>6993</v>
      </c>
      <c r="J1009" s="4" t="s">
        <v>7086</v>
      </c>
      <c r="K1009" s="4" t="s">
        <v>331</v>
      </c>
      <c r="L1009" s="4" t="s">
        <v>94</v>
      </c>
      <c r="M1009" s="4" t="s">
        <v>7505</v>
      </c>
      <c r="N1009" s="4" t="s">
        <v>6755</v>
      </c>
      <c r="O1009" s="4" t="s">
        <v>1302</v>
      </c>
      <c r="P1009" s="4" t="s">
        <v>1304</v>
      </c>
      <c r="Q1009" s="4"/>
      <c r="R1009" s="4"/>
      <c r="S1009" s="4"/>
      <c r="T1009" s="4" t="s">
        <v>1305</v>
      </c>
      <c r="U1009" s="4">
        <v>2.0</v>
      </c>
      <c r="V1009" s="4" t="s">
        <v>8408</v>
      </c>
      <c r="W1009" s="4" t="s">
        <v>6962</v>
      </c>
      <c r="X1009" s="4" t="s">
        <v>8409</v>
      </c>
      <c r="Y1009" s="4" t="s">
        <v>8410</v>
      </c>
      <c r="Z1009" s="4" t="s">
        <v>1362</v>
      </c>
      <c r="AA1009" s="4"/>
    </row>
    <row r="1010">
      <c r="A1010" s="4" t="s">
        <v>8411</v>
      </c>
      <c r="B1010" s="4" t="s">
        <v>19</v>
      </c>
      <c r="C1010" s="4" t="s">
        <v>7070</v>
      </c>
      <c r="D1010" s="4">
        <v>44006.0</v>
      </c>
      <c r="E1010" s="4">
        <v>0.6906250000000017</v>
      </c>
      <c r="F1010" s="4">
        <v>1.7361111111111112E-4</v>
      </c>
      <c r="G1010" s="4">
        <v>0.6907986111111128</v>
      </c>
      <c r="H1010" s="4" t="s">
        <v>1944</v>
      </c>
      <c r="I1010" s="4" t="s">
        <v>314</v>
      </c>
      <c r="J1010" s="4" t="s">
        <v>314</v>
      </c>
      <c r="K1010" s="4" t="s">
        <v>331</v>
      </c>
      <c r="L1010" s="4" t="s">
        <v>85</v>
      </c>
      <c r="M1010" s="4"/>
      <c r="N1010" s="4"/>
      <c r="O1010" s="4" t="s">
        <v>85</v>
      </c>
      <c r="P1010" s="4"/>
      <c r="Q1010" s="4"/>
      <c r="R1010" s="4"/>
      <c r="S1010" s="4"/>
      <c r="T1010" s="4"/>
      <c r="U1010" s="4">
        <v>0.0</v>
      </c>
      <c r="V1010" s="4"/>
      <c r="W1010" s="4"/>
      <c r="X1010" s="4"/>
      <c r="Y1010" s="4"/>
      <c r="Z1010" s="4"/>
      <c r="AA1010" s="4"/>
    </row>
    <row r="1011">
      <c r="A1011" s="4" t="s">
        <v>8412</v>
      </c>
      <c r="B1011" s="4" t="s">
        <v>19</v>
      </c>
      <c r="C1011" s="4" t="s">
        <v>7070</v>
      </c>
      <c r="D1011" s="4">
        <v>44006.0</v>
      </c>
      <c r="E1011" s="4">
        <v>0.6907986111111128</v>
      </c>
      <c r="F1011" s="4">
        <v>3.4722222222222224E-4</v>
      </c>
      <c r="G1011" s="4">
        <v>0.6911458333333351</v>
      </c>
      <c r="H1011" s="4" t="s">
        <v>1944</v>
      </c>
      <c r="I1011" s="4" t="s">
        <v>314</v>
      </c>
      <c r="J1011" s="4" t="s">
        <v>314</v>
      </c>
      <c r="K1011" s="4" t="s">
        <v>331</v>
      </c>
      <c r="L1011" s="4" t="s">
        <v>81</v>
      </c>
      <c r="M1011" s="4"/>
      <c r="N1011" s="4"/>
      <c r="O1011" s="4" t="s">
        <v>81</v>
      </c>
      <c r="P1011" s="4"/>
      <c r="Q1011" s="4"/>
      <c r="R1011" s="4"/>
      <c r="S1011" s="4"/>
      <c r="T1011" s="4"/>
      <c r="U1011" s="4">
        <v>0.0</v>
      </c>
      <c r="V1011" s="4"/>
      <c r="W1011" s="4"/>
      <c r="X1011" s="4"/>
      <c r="Y1011" s="4"/>
      <c r="Z1011" s="4"/>
      <c r="AA1011" s="4"/>
    </row>
    <row r="1012">
      <c r="A1012" s="4" t="s">
        <v>8413</v>
      </c>
      <c r="B1012" s="4" t="s">
        <v>19</v>
      </c>
      <c r="C1012" s="4" t="s">
        <v>7070</v>
      </c>
      <c r="D1012" s="4">
        <v>44006.0</v>
      </c>
      <c r="E1012" s="4">
        <v>0.6911458333333351</v>
      </c>
      <c r="F1012" s="4">
        <v>0.008333333333333333</v>
      </c>
      <c r="G1012" s="4">
        <v>0.6994791666666684</v>
      </c>
      <c r="H1012" s="4" t="s">
        <v>1362</v>
      </c>
      <c r="I1012" s="4" t="s">
        <v>6993</v>
      </c>
      <c r="J1012" s="4" t="s">
        <v>6938</v>
      </c>
      <c r="K1012" s="4" t="s">
        <v>331</v>
      </c>
      <c r="L1012" s="4" t="s">
        <v>107</v>
      </c>
      <c r="M1012" s="4" t="s">
        <v>7126</v>
      </c>
      <c r="N1012" s="4" t="s">
        <v>7195</v>
      </c>
      <c r="O1012" s="4" t="s">
        <v>8414</v>
      </c>
      <c r="P1012" s="4" t="s">
        <v>1790</v>
      </c>
      <c r="Q1012" s="4" t="s">
        <v>1791</v>
      </c>
      <c r="R1012" s="4"/>
      <c r="S1012" s="4"/>
      <c r="T1012" s="4" t="s">
        <v>1775</v>
      </c>
      <c r="U1012" s="4">
        <v>3.0</v>
      </c>
      <c r="V1012" s="4" t="s">
        <v>8415</v>
      </c>
      <c r="W1012" s="4" t="s">
        <v>7197</v>
      </c>
      <c r="X1012" s="4" t="s">
        <v>8416</v>
      </c>
      <c r="Y1012" s="4" t="s">
        <v>8417</v>
      </c>
      <c r="Z1012" s="4" t="s">
        <v>1362</v>
      </c>
      <c r="AA1012" s="4"/>
    </row>
    <row r="1013">
      <c r="A1013" s="4" t="s">
        <v>8418</v>
      </c>
      <c r="B1013" s="4" t="s">
        <v>19</v>
      </c>
      <c r="C1013" s="4" t="s">
        <v>7070</v>
      </c>
      <c r="D1013" s="4">
        <v>44006.0</v>
      </c>
      <c r="E1013" s="4">
        <v>0.6994791666666684</v>
      </c>
      <c r="F1013" s="4">
        <v>1.7361111111111112E-4</v>
      </c>
      <c r="G1013" s="4">
        <v>0.6996527777777796</v>
      </c>
      <c r="H1013" s="4" t="s">
        <v>1944</v>
      </c>
      <c r="I1013" s="4" t="s">
        <v>314</v>
      </c>
      <c r="J1013" s="4" t="s">
        <v>314</v>
      </c>
      <c r="K1013" s="4" t="s">
        <v>331</v>
      </c>
      <c r="L1013" s="4" t="s">
        <v>85</v>
      </c>
      <c r="M1013" s="4"/>
      <c r="N1013" s="4"/>
      <c r="O1013" s="4" t="s">
        <v>85</v>
      </c>
      <c r="P1013" s="4"/>
      <c r="Q1013" s="4"/>
      <c r="R1013" s="4"/>
      <c r="S1013" s="4"/>
      <c r="T1013" s="4"/>
      <c r="U1013" s="4">
        <v>0.0</v>
      </c>
      <c r="V1013" s="4"/>
      <c r="W1013" s="4"/>
      <c r="X1013" s="4"/>
      <c r="Y1013" s="4"/>
      <c r="Z1013" s="4"/>
      <c r="AA1013" s="4"/>
    </row>
    <row r="1014">
      <c r="A1014" s="4" t="s">
        <v>8419</v>
      </c>
      <c r="B1014" s="4" t="s">
        <v>19</v>
      </c>
      <c r="C1014" s="4" t="s">
        <v>7070</v>
      </c>
      <c r="D1014" s="4">
        <v>44006.0</v>
      </c>
      <c r="E1014" s="4">
        <v>0.6996527777777796</v>
      </c>
      <c r="F1014" s="4">
        <v>3.4722222222222224E-4</v>
      </c>
      <c r="G1014" s="4">
        <v>0.7000000000000018</v>
      </c>
      <c r="H1014" s="4" t="s">
        <v>1944</v>
      </c>
      <c r="I1014" s="4" t="s">
        <v>314</v>
      </c>
      <c r="J1014" s="4" t="s">
        <v>314</v>
      </c>
      <c r="K1014" s="4" t="s">
        <v>331</v>
      </c>
      <c r="L1014" s="4" t="s">
        <v>81</v>
      </c>
      <c r="M1014" s="4"/>
      <c r="N1014" s="4"/>
      <c r="O1014" s="4" t="s">
        <v>81</v>
      </c>
      <c r="P1014" s="4"/>
      <c r="Q1014" s="4"/>
      <c r="R1014" s="4"/>
      <c r="S1014" s="4"/>
      <c r="T1014" s="4"/>
      <c r="U1014" s="4">
        <v>0.0</v>
      </c>
      <c r="V1014" s="4"/>
      <c r="W1014" s="4"/>
      <c r="X1014" s="4"/>
      <c r="Y1014" s="4"/>
      <c r="Z1014" s="4"/>
      <c r="AA1014" s="4"/>
    </row>
    <row r="1015">
      <c r="A1015" s="4" t="s">
        <v>8420</v>
      </c>
      <c r="B1015" s="4" t="s">
        <v>19</v>
      </c>
      <c r="C1015" s="4" t="s">
        <v>7070</v>
      </c>
      <c r="D1015" s="4">
        <v>44006.0</v>
      </c>
      <c r="E1015" s="4">
        <v>0.7000000000000018</v>
      </c>
      <c r="F1015" s="4">
        <v>0.008159722222222223</v>
      </c>
      <c r="G1015" s="4">
        <v>0.7081597222222241</v>
      </c>
      <c r="H1015" s="4" t="s">
        <v>1362</v>
      </c>
      <c r="I1015" s="4" t="s">
        <v>6993</v>
      </c>
      <c r="J1015" s="4" t="s">
        <v>6938</v>
      </c>
      <c r="K1015" s="4" t="s">
        <v>331</v>
      </c>
      <c r="L1015" s="4" t="s">
        <v>94</v>
      </c>
      <c r="M1015" s="4" t="s">
        <v>8421</v>
      </c>
      <c r="N1015" s="4" t="s">
        <v>6858</v>
      </c>
      <c r="O1015" s="4" t="s">
        <v>1311</v>
      </c>
      <c r="P1015" s="4" t="s">
        <v>1312</v>
      </c>
      <c r="Q1015" s="4"/>
      <c r="R1015" s="4"/>
      <c r="S1015" s="4"/>
      <c r="T1015" s="4" t="s">
        <v>1313</v>
      </c>
      <c r="U1015" s="4">
        <v>2.0</v>
      </c>
      <c r="V1015" s="4" t="s">
        <v>8422</v>
      </c>
      <c r="W1015" s="4" t="s">
        <v>6962</v>
      </c>
      <c r="X1015" s="4" t="s">
        <v>8423</v>
      </c>
      <c r="Y1015" s="4" t="s">
        <v>8424</v>
      </c>
      <c r="Z1015" s="4" t="s">
        <v>1362</v>
      </c>
      <c r="AA1015" s="4"/>
    </row>
    <row r="1016">
      <c r="A1016" s="4" t="s">
        <v>8425</v>
      </c>
      <c r="B1016" s="4" t="s">
        <v>19</v>
      </c>
      <c r="C1016" s="4" t="s">
        <v>7070</v>
      </c>
      <c r="D1016" s="4">
        <v>44006.0</v>
      </c>
      <c r="E1016" s="4">
        <v>0.7081597222222241</v>
      </c>
      <c r="F1016" s="4">
        <v>1.7361111111111112E-4</v>
      </c>
      <c r="G1016" s="4">
        <v>0.7083333333333353</v>
      </c>
      <c r="H1016" s="4" t="s">
        <v>1944</v>
      </c>
      <c r="I1016" s="4" t="s">
        <v>314</v>
      </c>
      <c r="J1016" s="4" t="s">
        <v>314</v>
      </c>
      <c r="K1016" s="4" t="s">
        <v>331</v>
      </c>
      <c r="L1016" s="4" t="s">
        <v>85</v>
      </c>
      <c r="M1016" s="4"/>
      <c r="N1016" s="4"/>
      <c r="O1016" s="4" t="s">
        <v>85</v>
      </c>
      <c r="P1016" s="4"/>
      <c r="Q1016" s="4"/>
      <c r="R1016" s="4"/>
      <c r="S1016" s="4"/>
      <c r="T1016" s="4"/>
      <c r="U1016" s="4">
        <v>0.0</v>
      </c>
      <c r="V1016" s="4"/>
      <c r="W1016" s="4"/>
      <c r="X1016" s="4"/>
      <c r="Y1016" s="4"/>
      <c r="Z1016" s="4"/>
      <c r="AA1016" s="4"/>
    </row>
    <row r="1017">
      <c r="A1017" s="4" t="s">
        <v>8426</v>
      </c>
      <c r="B1017" s="4" t="s">
        <v>19</v>
      </c>
      <c r="C1017" s="4" t="s">
        <v>7070</v>
      </c>
      <c r="D1017" s="4">
        <v>44006.0</v>
      </c>
      <c r="E1017" s="4">
        <v>0.7083333333333353</v>
      </c>
      <c r="F1017" s="4">
        <v>3.4722222222222224E-4</v>
      </c>
      <c r="G1017" s="4">
        <v>0.7086805555555575</v>
      </c>
      <c r="H1017" s="4"/>
      <c r="I1017" s="4"/>
      <c r="J1017" s="4"/>
      <c r="K1017" s="4"/>
      <c r="L1017" s="4"/>
      <c r="M1017" s="4"/>
      <c r="N1017" s="4"/>
      <c r="O1017" s="4" t="s">
        <v>1171</v>
      </c>
      <c r="P1017" s="4"/>
      <c r="Q1017" s="4"/>
      <c r="R1017" s="4"/>
      <c r="S1017" s="4"/>
      <c r="T1017" s="4"/>
      <c r="U1017" s="4"/>
      <c r="V1017" s="4"/>
      <c r="W1017" s="4"/>
      <c r="X1017" s="4"/>
      <c r="Y1017" s="4"/>
      <c r="Z1017" s="4"/>
      <c r="AA1017" s="4"/>
    </row>
    <row r="1018">
      <c r="A1018" s="4" t="s">
        <v>8427</v>
      </c>
      <c r="B1018" s="4" t="s">
        <v>344</v>
      </c>
      <c r="C1018" s="4"/>
      <c r="D1018" s="4"/>
      <c r="E1018" s="4"/>
      <c r="F1018" s="4"/>
      <c r="G1018" s="4"/>
      <c r="H1018" s="4"/>
      <c r="I1018" s="4"/>
      <c r="J1018" s="4"/>
      <c r="K1018" s="4"/>
      <c r="L1018" s="4"/>
      <c r="M1018" s="4"/>
      <c r="N1018" s="4"/>
      <c r="O1018" s="4"/>
      <c r="P1018" s="4"/>
      <c r="Q1018" s="4"/>
      <c r="R1018" s="4"/>
      <c r="S1018" s="4"/>
      <c r="T1018" s="4"/>
      <c r="U1018" s="4">
        <v>0.0</v>
      </c>
      <c r="V1018" s="4"/>
      <c r="W1018" s="4"/>
      <c r="X1018" s="4"/>
      <c r="Y1018" s="4"/>
      <c r="Z1018" s="4"/>
      <c r="AA1018" s="4"/>
    </row>
    <row r="1019">
      <c r="A1019" s="4" t="s">
        <v>8428</v>
      </c>
      <c r="B1019" s="4" t="s">
        <v>19</v>
      </c>
      <c r="C1019" s="4" t="s">
        <v>7269</v>
      </c>
      <c r="D1019" s="4">
        <v>44007.0</v>
      </c>
      <c r="E1019" s="4">
        <v>0.4166666666666667</v>
      </c>
      <c r="F1019" s="4">
        <v>6.944444444444445E-4</v>
      </c>
      <c r="G1019" s="4">
        <v>0.4173611111111111</v>
      </c>
      <c r="H1019" s="4" t="s">
        <v>1944</v>
      </c>
      <c r="I1019" s="4" t="s">
        <v>314</v>
      </c>
      <c r="J1019" s="4" t="s">
        <v>314</v>
      </c>
      <c r="K1019" s="4" t="s">
        <v>299</v>
      </c>
      <c r="L1019" s="4" t="s">
        <v>81</v>
      </c>
      <c r="M1019" s="4"/>
      <c r="N1019" s="4"/>
      <c r="O1019" s="4" t="s">
        <v>1127</v>
      </c>
      <c r="P1019" s="4"/>
      <c r="Q1019" s="4"/>
      <c r="R1019" s="4"/>
      <c r="S1019" s="4"/>
      <c r="T1019" s="4"/>
      <c r="U1019" s="4">
        <v>0.0</v>
      </c>
      <c r="V1019" s="4"/>
      <c r="W1019" s="4"/>
      <c r="X1019" s="4"/>
      <c r="Y1019" s="4"/>
      <c r="Z1019" s="4"/>
      <c r="AA1019" s="4"/>
    </row>
    <row r="1020">
      <c r="A1020" s="4" t="s">
        <v>8429</v>
      </c>
      <c r="B1020" s="4" t="s">
        <v>19</v>
      </c>
      <c r="C1020" s="4" t="s">
        <v>7269</v>
      </c>
      <c r="D1020" s="4">
        <v>44007.0</v>
      </c>
      <c r="E1020" s="4">
        <v>0.4173611111111111</v>
      </c>
      <c r="F1020" s="4">
        <v>0.009027777777777777</v>
      </c>
      <c r="G1020" s="4">
        <v>0.42638888888888893</v>
      </c>
      <c r="H1020" s="4" t="s">
        <v>653</v>
      </c>
      <c r="I1020" s="4" t="s">
        <v>314</v>
      </c>
      <c r="J1020" s="4" t="s">
        <v>7339</v>
      </c>
      <c r="K1020" s="4" t="s">
        <v>299</v>
      </c>
      <c r="L1020" s="4" t="s">
        <v>165</v>
      </c>
      <c r="M1020" s="4" t="s">
        <v>7482</v>
      </c>
      <c r="N1020" s="4" t="s">
        <v>6755</v>
      </c>
      <c r="O1020" s="4" t="s">
        <v>1319</v>
      </c>
      <c r="P1020" s="4" t="s">
        <v>163</v>
      </c>
      <c r="Q1020" s="4"/>
      <c r="R1020" s="4"/>
      <c r="S1020" s="4"/>
      <c r="T1020" s="4"/>
      <c r="U1020" s="4">
        <v>1.0</v>
      </c>
      <c r="V1020" s="4" t="s">
        <v>8430</v>
      </c>
      <c r="W1020" s="4" t="s">
        <v>6890</v>
      </c>
      <c r="X1020" s="4"/>
      <c r="Y1020" s="4"/>
      <c r="Z1020" s="4"/>
      <c r="AA1020" s="4"/>
    </row>
    <row r="1021">
      <c r="A1021" s="4" t="s">
        <v>8431</v>
      </c>
      <c r="B1021" s="4" t="s">
        <v>19</v>
      </c>
      <c r="C1021" s="4" t="s">
        <v>7269</v>
      </c>
      <c r="D1021" s="4">
        <v>44007.0</v>
      </c>
      <c r="E1021" s="4">
        <v>0.42638888888888893</v>
      </c>
      <c r="F1021" s="4">
        <v>1.7361111111111112E-4</v>
      </c>
      <c r="G1021" s="4">
        <v>0.42656250000000007</v>
      </c>
      <c r="H1021" s="4" t="s">
        <v>1944</v>
      </c>
      <c r="I1021" s="4" t="s">
        <v>314</v>
      </c>
      <c r="J1021" s="4" t="s">
        <v>314</v>
      </c>
      <c r="K1021" s="4" t="s">
        <v>299</v>
      </c>
      <c r="L1021" s="4" t="s">
        <v>85</v>
      </c>
      <c r="M1021" s="4"/>
      <c r="N1021" s="4"/>
      <c r="O1021" s="4" t="s">
        <v>85</v>
      </c>
      <c r="P1021" s="4"/>
      <c r="Q1021" s="4"/>
      <c r="R1021" s="4"/>
      <c r="S1021" s="4"/>
      <c r="T1021" s="4"/>
      <c r="U1021" s="4">
        <v>0.0</v>
      </c>
      <c r="V1021" s="4"/>
      <c r="W1021" s="4"/>
      <c r="X1021" s="4"/>
      <c r="Y1021" s="4"/>
      <c r="Z1021" s="4"/>
      <c r="AA1021" s="4"/>
    </row>
    <row r="1022">
      <c r="A1022" s="4" t="s">
        <v>8432</v>
      </c>
      <c r="B1022" s="4" t="s">
        <v>19</v>
      </c>
      <c r="C1022" s="4" t="s">
        <v>7269</v>
      </c>
      <c r="D1022" s="4">
        <v>44007.0</v>
      </c>
      <c r="E1022" s="4">
        <v>0.42656250000000007</v>
      </c>
      <c r="F1022" s="4">
        <v>3.4722222222222224E-4</v>
      </c>
      <c r="G1022" s="4">
        <v>0.4269097222222223</v>
      </c>
      <c r="H1022" s="4" t="s">
        <v>1944</v>
      </c>
      <c r="I1022" s="4" t="s">
        <v>314</v>
      </c>
      <c r="J1022" s="4" t="s">
        <v>314</v>
      </c>
      <c r="K1022" s="4" t="s">
        <v>299</v>
      </c>
      <c r="L1022" s="4" t="s">
        <v>81</v>
      </c>
      <c r="M1022" s="4"/>
      <c r="N1022" s="4"/>
      <c r="O1022" s="4" t="s">
        <v>1127</v>
      </c>
      <c r="P1022" s="4"/>
      <c r="Q1022" s="4"/>
      <c r="R1022" s="4"/>
      <c r="S1022" s="4"/>
      <c r="T1022" s="4"/>
      <c r="U1022" s="4">
        <v>0.0</v>
      </c>
      <c r="V1022" s="4"/>
      <c r="W1022" s="4"/>
      <c r="X1022" s="4"/>
      <c r="Y1022" s="4"/>
      <c r="Z1022" s="4"/>
      <c r="AA1022" s="4"/>
    </row>
    <row r="1023">
      <c r="A1023" s="4" t="s">
        <v>8433</v>
      </c>
      <c r="B1023" s="4" t="s">
        <v>19</v>
      </c>
      <c r="C1023" s="4" t="s">
        <v>7269</v>
      </c>
      <c r="D1023" s="4">
        <v>44007.0</v>
      </c>
      <c r="E1023" s="4">
        <v>0.4269097222222223</v>
      </c>
      <c r="F1023" s="4">
        <v>0.008333333333333333</v>
      </c>
      <c r="G1023" s="4">
        <v>0.43524305555555565</v>
      </c>
      <c r="H1023" s="4" t="s">
        <v>653</v>
      </c>
      <c r="I1023" s="4" t="s">
        <v>314</v>
      </c>
      <c r="J1023" s="4" t="s">
        <v>6938</v>
      </c>
      <c r="K1023" s="4" t="s">
        <v>299</v>
      </c>
      <c r="L1023" s="4" t="s">
        <v>165</v>
      </c>
      <c r="M1023" s="4" t="s">
        <v>7446</v>
      </c>
      <c r="N1023" s="4" t="s">
        <v>6755</v>
      </c>
      <c r="O1023" s="4" t="s">
        <v>1322</v>
      </c>
      <c r="P1023" s="4" t="s">
        <v>1323</v>
      </c>
      <c r="Q1023" s="4"/>
      <c r="R1023" s="4"/>
      <c r="S1023" s="4"/>
      <c r="T1023" s="4"/>
      <c r="U1023" s="4">
        <v>1.0</v>
      </c>
      <c r="V1023" s="4" t="s">
        <v>8434</v>
      </c>
      <c r="W1023" s="4" t="s">
        <v>6890</v>
      </c>
      <c r="X1023" s="4" t="s">
        <v>8435</v>
      </c>
      <c r="Y1023" s="4" t="s">
        <v>7163</v>
      </c>
      <c r="Z1023" s="4"/>
      <c r="AA1023" s="4"/>
    </row>
    <row r="1024">
      <c r="A1024" s="4" t="s">
        <v>8436</v>
      </c>
      <c r="B1024" s="4" t="s">
        <v>19</v>
      </c>
      <c r="C1024" s="4" t="s">
        <v>7269</v>
      </c>
      <c r="D1024" s="4">
        <v>44007.0</v>
      </c>
      <c r="E1024" s="4">
        <v>0.43524305555555565</v>
      </c>
      <c r="F1024" s="4">
        <v>1.7361111111111112E-4</v>
      </c>
      <c r="G1024" s="4">
        <v>0.4354166666666668</v>
      </c>
      <c r="H1024" s="4" t="s">
        <v>1944</v>
      </c>
      <c r="I1024" s="4" t="s">
        <v>314</v>
      </c>
      <c r="J1024" s="4" t="s">
        <v>314</v>
      </c>
      <c r="K1024" s="4" t="s">
        <v>299</v>
      </c>
      <c r="L1024" s="4" t="s">
        <v>85</v>
      </c>
      <c r="M1024" s="4"/>
      <c r="N1024" s="4"/>
      <c r="O1024" s="4" t="s">
        <v>85</v>
      </c>
      <c r="P1024" s="4"/>
      <c r="Q1024" s="4"/>
      <c r="R1024" s="4"/>
      <c r="S1024" s="4"/>
      <c r="T1024" s="4"/>
      <c r="U1024" s="4">
        <v>0.0</v>
      </c>
      <c r="V1024" s="4"/>
      <c r="W1024" s="4"/>
      <c r="X1024" s="4"/>
      <c r="Y1024" s="4"/>
      <c r="Z1024" s="4"/>
      <c r="AA1024" s="4"/>
    </row>
    <row r="1025">
      <c r="A1025" s="4" t="s">
        <v>8437</v>
      </c>
      <c r="B1025" s="4" t="s">
        <v>19</v>
      </c>
      <c r="C1025" s="4" t="s">
        <v>7269</v>
      </c>
      <c r="D1025" s="4">
        <v>44007.0</v>
      </c>
      <c r="E1025" s="4">
        <v>0.4354166666666668</v>
      </c>
      <c r="F1025" s="4">
        <v>1.7361111111111112E-4</v>
      </c>
      <c r="G1025" s="4">
        <v>0.4355902777777779</v>
      </c>
      <c r="H1025" s="4" t="s">
        <v>2004</v>
      </c>
      <c r="I1025" s="4" t="s">
        <v>314</v>
      </c>
      <c r="J1025" s="4" t="s">
        <v>314</v>
      </c>
      <c r="K1025" s="4" t="s">
        <v>299</v>
      </c>
      <c r="L1025" s="4" t="s">
        <v>77</v>
      </c>
      <c r="M1025" s="4"/>
      <c r="N1025" s="4"/>
      <c r="O1025" s="4" t="s">
        <v>77</v>
      </c>
      <c r="P1025" s="4"/>
      <c r="Q1025" s="4"/>
      <c r="R1025" s="4"/>
      <c r="S1025" s="4"/>
      <c r="T1025" s="4"/>
      <c r="U1025" s="4"/>
      <c r="V1025" s="4"/>
      <c r="W1025" s="4"/>
      <c r="X1025" s="4"/>
      <c r="Y1025" s="4"/>
      <c r="Z1025" s="4"/>
      <c r="AA1025" s="4"/>
    </row>
    <row r="1026">
      <c r="A1026" s="4" t="s">
        <v>8438</v>
      </c>
      <c r="B1026" s="4" t="s">
        <v>19</v>
      </c>
      <c r="C1026" s="4" t="s">
        <v>7269</v>
      </c>
      <c r="D1026" s="4">
        <v>44007.0</v>
      </c>
      <c r="E1026" s="4">
        <v>0.4355902777777779</v>
      </c>
      <c r="F1026" s="4">
        <v>3.4722222222222224E-4</v>
      </c>
      <c r="G1026" s="4">
        <v>0.43593750000000014</v>
      </c>
      <c r="H1026" s="4" t="s">
        <v>1944</v>
      </c>
      <c r="I1026" s="4" t="s">
        <v>314</v>
      </c>
      <c r="J1026" s="4" t="s">
        <v>314</v>
      </c>
      <c r="K1026" s="4" t="s">
        <v>299</v>
      </c>
      <c r="L1026" s="4" t="s">
        <v>81</v>
      </c>
      <c r="M1026" s="4"/>
      <c r="N1026" s="4"/>
      <c r="O1026" s="4" t="s">
        <v>1127</v>
      </c>
      <c r="P1026" s="4"/>
      <c r="Q1026" s="4"/>
      <c r="R1026" s="4"/>
      <c r="S1026" s="4"/>
      <c r="T1026" s="4"/>
      <c r="U1026" s="4">
        <v>0.0</v>
      </c>
      <c r="V1026" s="4"/>
      <c r="W1026" s="4"/>
      <c r="X1026" s="4"/>
      <c r="Y1026" s="4"/>
      <c r="Z1026" s="4"/>
      <c r="AA1026" s="4"/>
    </row>
    <row r="1027">
      <c r="A1027" s="4" t="s">
        <v>8439</v>
      </c>
      <c r="B1027" s="4" t="s">
        <v>19</v>
      </c>
      <c r="C1027" s="4" t="s">
        <v>7269</v>
      </c>
      <c r="D1027" s="4">
        <v>44007.0</v>
      </c>
      <c r="E1027" s="4">
        <v>0.43593750000000014</v>
      </c>
      <c r="F1027" s="4">
        <v>0.012847222222222222</v>
      </c>
      <c r="G1027" s="4">
        <v>0.4487847222222224</v>
      </c>
      <c r="H1027" s="4" t="s">
        <v>860</v>
      </c>
      <c r="I1027" s="4" t="s">
        <v>4142</v>
      </c>
      <c r="J1027" s="4" t="s">
        <v>6870</v>
      </c>
      <c r="K1027" s="4" t="s">
        <v>299</v>
      </c>
      <c r="L1027" s="4" t="s">
        <v>107</v>
      </c>
      <c r="M1027" s="4" t="s">
        <v>7126</v>
      </c>
      <c r="N1027" s="4" t="s">
        <v>6858</v>
      </c>
      <c r="O1027" s="4" t="s">
        <v>1329</v>
      </c>
      <c r="P1027" s="4" t="s">
        <v>1331</v>
      </c>
      <c r="Q1027" s="4" t="s">
        <v>1332</v>
      </c>
      <c r="R1027" s="4"/>
      <c r="S1027" s="4"/>
      <c r="T1027" s="4" t="s">
        <v>102</v>
      </c>
      <c r="U1027" s="4">
        <v>3.0</v>
      </c>
      <c r="V1027" s="4" t="s">
        <v>8440</v>
      </c>
      <c r="W1027" s="4" t="s">
        <v>6855</v>
      </c>
      <c r="X1027" s="4"/>
      <c r="Y1027" s="4"/>
      <c r="Z1027" s="4"/>
      <c r="AA1027" s="4"/>
    </row>
    <row r="1028">
      <c r="A1028" s="4" t="s">
        <v>8441</v>
      </c>
      <c r="B1028" s="4" t="s">
        <v>19</v>
      </c>
      <c r="C1028" s="4" t="s">
        <v>7269</v>
      </c>
      <c r="D1028" s="4">
        <v>44007.0</v>
      </c>
      <c r="E1028" s="4">
        <v>0.4487847222222224</v>
      </c>
      <c r="F1028" s="4">
        <v>1.7361111111111112E-4</v>
      </c>
      <c r="G1028" s="4">
        <v>0.4489583333333335</v>
      </c>
      <c r="H1028" s="4" t="s">
        <v>1944</v>
      </c>
      <c r="I1028" s="4" t="s">
        <v>314</v>
      </c>
      <c r="J1028" s="4" t="s">
        <v>314</v>
      </c>
      <c r="K1028" s="4" t="s">
        <v>299</v>
      </c>
      <c r="L1028" s="4" t="s">
        <v>85</v>
      </c>
      <c r="M1028" s="4"/>
      <c r="N1028" s="4"/>
      <c r="O1028" s="4" t="s">
        <v>85</v>
      </c>
      <c r="P1028" s="4"/>
      <c r="Q1028" s="4"/>
      <c r="R1028" s="4"/>
      <c r="S1028" s="4"/>
      <c r="T1028" s="4"/>
      <c r="U1028" s="4">
        <v>0.0</v>
      </c>
      <c r="V1028" s="4"/>
      <c r="W1028" s="4"/>
      <c r="X1028" s="4"/>
      <c r="Y1028" s="4"/>
      <c r="Z1028" s="4"/>
      <c r="AA1028" s="4"/>
    </row>
    <row r="1029">
      <c r="A1029" s="4" t="s">
        <v>8442</v>
      </c>
      <c r="B1029" s="4" t="s">
        <v>19</v>
      </c>
      <c r="C1029" s="4" t="s">
        <v>7269</v>
      </c>
      <c r="D1029" s="4">
        <v>44007.0</v>
      </c>
      <c r="E1029" s="4">
        <v>0.4489583333333335</v>
      </c>
      <c r="F1029" s="4">
        <v>1.7361111111111112E-4</v>
      </c>
      <c r="G1029" s="4">
        <v>0.44913194444444465</v>
      </c>
      <c r="H1029" s="4" t="s">
        <v>2004</v>
      </c>
      <c r="I1029" s="4" t="s">
        <v>314</v>
      </c>
      <c r="J1029" s="4" t="s">
        <v>314</v>
      </c>
      <c r="K1029" s="4" t="s">
        <v>299</v>
      </c>
      <c r="L1029" s="4" t="s">
        <v>77</v>
      </c>
      <c r="M1029" s="4"/>
      <c r="N1029" s="4"/>
      <c r="O1029" s="4" t="s">
        <v>77</v>
      </c>
      <c r="P1029" s="4"/>
      <c r="Q1029" s="4"/>
      <c r="R1029" s="4"/>
      <c r="S1029" s="4"/>
      <c r="T1029" s="4"/>
      <c r="U1029" s="4"/>
      <c r="V1029" s="4"/>
      <c r="W1029" s="4"/>
      <c r="X1029" s="4"/>
      <c r="Y1029" s="4"/>
      <c r="Z1029" s="4"/>
      <c r="AA1029" s="4"/>
    </row>
    <row r="1030">
      <c r="A1030" s="4" t="s">
        <v>8443</v>
      </c>
      <c r="B1030" s="4" t="s">
        <v>19</v>
      </c>
      <c r="C1030" s="4" t="s">
        <v>7269</v>
      </c>
      <c r="D1030" s="4">
        <v>44007.0</v>
      </c>
      <c r="E1030" s="4">
        <v>0.44913194444444465</v>
      </c>
      <c r="F1030" s="4">
        <v>3.4722222222222224E-4</v>
      </c>
      <c r="G1030" s="4">
        <v>0.4494791666666669</v>
      </c>
      <c r="H1030" s="4" t="s">
        <v>1944</v>
      </c>
      <c r="I1030" s="4" t="s">
        <v>314</v>
      </c>
      <c r="J1030" s="4" t="s">
        <v>314</v>
      </c>
      <c r="K1030" s="4" t="s">
        <v>299</v>
      </c>
      <c r="L1030" s="4" t="s">
        <v>511</v>
      </c>
      <c r="M1030" s="4"/>
      <c r="N1030" s="4"/>
      <c r="O1030" s="4" t="s">
        <v>8444</v>
      </c>
      <c r="P1030" s="4"/>
      <c r="Q1030" s="4"/>
      <c r="R1030" s="4"/>
      <c r="S1030" s="4"/>
      <c r="T1030" s="4"/>
      <c r="U1030" s="4"/>
      <c r="V1030" s="4"/>
      <c r="W1030" s="4"/>
      <c r="X1030" s="4"/>
      <c r="Y1030" s="4"/>
      <c r="Z1030" s="4"/>
      <c r="AA1030" s="4"/>
    </row>
    <row r="1031">
      <c r="A1031" s="4" t="s">
        <v>8445</v>
      </c>
      <c r="B1031" s="4" t="s">
        <v>19</v>
      </c>
      <c r="C1031" s="4" t="s">
        <v>7269</v>
      </c>
      <c r="D1031" s="4">
        <v>44007.0</v>
      </c>
      <c r="E1031" s="4">
        <v>0.4494791666666669</v>
      </c>
      <c r="F1031" s="4">
        <v>3.4722222222222224E-4</v>
      </c>
      <c r="G1031" s="4">
        <v>0.4498263888888891</v>
      </c>
      <c r="H1031" s="4" t="s">
        <v>1944</v>
      </c>
      <c r="I1031" s="4" t="s">
        <v>314</v>
      </c>
      <c r="J1031" s="4" t="s">
        <v>314</v>
      </c>
      <c r="K1031" s="4" t="s">
        <v>299</v>
      </c>
      <c r="L1031" s="4" t="s">
        <v>81</v>
      </c>
      <c r="M1031" s="4"/>
      <c r="N1031" s="4"/>
      <c r="O1031" s="4" t="s">
        <v>1127</v>
      </c>
      <c r="P1031" s="4"/>
      <c r="Q1031" s="4"/>
      <c r="R1031" s="4"/>
      <c r="S1031" s="4"/>
      <c r="T1031" s="4"/>
      <c r="U1031" s="4">
        <v>0.0</v>
      </c>
      <c r="V1031" s="4"/>
      <c r="W1031" s="4"/>
      <c r="X1031" s="4"/>
      <c r="Y1031" s="4"/>
      <c r="Z1031" s="4"/>
      <c r="AA1031" s="4"/>
    </row>
    <row r="1032">
      <c r="A1032" s="4" t="s">
        <v>8446</v>
      </c>
      <c r="B1032" s="4" t="s">
        <v>19</v>
      </c>
      <c r="C1032" s="4" t="s">
        <v>7269</v>
      </c>
      <c r="D1032" s="4">
        <v>44007.0</v>
      </c>
      <c r="E1032" s="4">
        <v>0.4498263888888891</v>
      </c>
      <c r="F1032" s="4">
        <v>0.008333333333333333</v>
      </c>
      <c r="G1032" s="4">
        <v>0.45815972222222245</v>
      </c>
      <c r="H1032" s="4" t="s">
        <v>1362</v>
      </c>
      <c r="I1032" s="4"/>
      <c r="J1032" s="4" t="s">
        <v>6938</v>
      </c>
      <c r="K1032" s="4" t="s">
        <v>299</v>
      </c>
      <c r="L1032" s="4" t="s">
        <v>94</v>
      </c>
      <c r="M1032" s="4" t="s">
        <v>7446</v>
      </c>
      <c r="N1032" s="4" t="s">
        <v>6755</v>
      </c>
      <c r="O1032" s="4" t="s">
        <v>1334</v>
      </c>
      <c r="P1032" s="4" t="s">
        <v>1335</v>
      </c>
      <c r="Q1032" s="4"/>
      <c r="R1032" s="4"/>
      <c r="S1032" s="4"/>
      <c r="T1032" s="4" t="s">
        <v>1269</v>
      </c>
      <c r="U1032" s="4">
        <v>2.0</v>
      </c>
      <c r="V1032" s="4" t="s">
        <v>8447</v>
      </c>
      <c r="W1032" s="4" t="s">
        <v>6860</v>
      </c>
      <c r="X1032" s="4"/>
      <c r="Y1032" s="4"/>
      <c r="Z1032" s="4"/>
      <c r="AA1032" s="4"/>
    </row>
    <row r="1033">
      <c r="A1033" s="4" t="s">
        <v>8448</v>
      </c>
      <c r="B1033" s="4" t="s">
        <v>19</v>
      </c>
      <c r="C1033" s="4" t="s">
        <v>7269</v>
      </c>
      <c r="D1033" s="4">
        <v>44007.0</v>
      </c>
      <c r="E1033" s="4">
        <v>0.45815972222222245</v>
      </c>
      <c r="F1033" s="4">
        <v>1.7361111111111112E-4</v>
      </c>
      <c r="G1033" s="4">
        <v>0.4583333333333336</v>
      </c>
      <c r="H1033" s="4" t="s">
        <v>1944</v>
      </c>
      <c r="I1033" s="4" t="s">
        <v>314</v>
      </c>
      <c r="J1033" s="4" t="s">
        <v>314</v>
      </c>
      <c r="K1033" s="4" t="s">
        <v>299</v>
      </c>
      <c r="L1033" s="4" t="s">
        <v>85</v>
      </c>
      <c r="M1033" s="4"/>
      <c r="N1033" s="4"/>
      <c r="O1033" s="4" t="s">
        <v>85</v>
      </c>
      <c r="P1033" s="4"/>
      <c r="Q1033" s="4"/>
      <c r="R1033" s="4"/>
      <c r="S1033" s="4"/>
      <c r="T1033" s="4"/>
      <c r="U1033" s="4">
        <v>0.0</v>
      </c>
      <c r="V1033" s="4"/>
      <c r="W1033" s="4"/>
      <c r="X1033" s="4"/>
      <c r="Y1033" s="4"/>
      <c r="Z1033" s="4"/>
      <c r="AA1033" s="4"/>
    </row>
    <row r="1034">
      <c r="A1034" s="4" t="s">
        <v>8449</v>
      </c>
      <c r="B1034" s="4" t="s">
        <v>19</v>
      </c>
      <c r="C1034" s="4" t="s">
        <v>7269</v>
      </c>
      <c r="D1034" s="4">
        <v>44007.0</v>
      </c>
      <c r="E1034" s="4">
        <v>0.4583333333333336</v>
      </c>
      <c r="F1034" s="4">
        <v>3.4722222222222224E-4</v>
      </c>
      <c r="G1034" s="4">
        <v>0.4586805555555558</v>
      </c>
      <c r="H1034" s="4" t="s">
        <v>1215</v>
      </c>
      <c r="I1034" s="4" t="s">
        <v>314</v>
      </c>
      <c r="J1034" s="4" t="s">
        <v>314</v>
      </c>
      <c r="K1034" s="4" t="s">
        <v>368</v>
      </c>
      <c r="L1034" s="4" t="s">
        <v>506</v>
      </c>
      <c r="M1034" s="4"/>
      <c r="N1034" s="4"/>
      <c r="O1034" s="4" t="s">
        <v>506</v>
      </c>
      <c r="P1034" s="4"/>
      <c r="Q1034" s="4"/>
      <c r="R1034" s="4"/>
      <c r="S1034" s="4"/>
      <c r="T1034" s="4"/>
      <c r="U1034" s="4">
        <v>0.0</v>
      </c>
      <c r="V1034" s="4"/>
      <c r="W1034" s="4"/>
      <c r="X1034" s="4"/>
      <c r="Y1034" s="4"/>
      <c r="Z1034" s="4"/>
      <c r="AA1034" s="4"/>
    </row>
    <row r="1035">
      <c r="A1035" s="4" t="s">
        <v>8450</v>
      </c>
      <c r="B1035" s="4" t="s">
        <v>19</v>
      </c>
      <c r="C1035" s="4" t="s">
        <v>7269</v>
      </c>
      <c r="D1035" s="4">
        <v>44007.0</v>
      </c>
      <c r="E1035" s="4">
        <v>0.4586805555555558</v>
      </c>
      <c r="F1035" s="4">
        <v>3.4722222222222224E-4</v>
      </c>
      <c r="G1035" s="4">
        <v>0.45902777777777803</v>
      </c>
      <c r="H1035" s="4" t="s">
        <v>1944</v>
      </c>
      <c r="I1035" s="4" t="s">
        <v>314</v>
      </c>
      <c r="J1035" s="4" t="s">
        <v>314</v>
      </c>
      <c r="K1035" s="4" t="s">
        <v>368</v>
      </c>
      <c r="L1035" s="4" t="s">
        <v>81</v>
      </c>
      <c r="M1035" s="4"/>
      <c r="N1035" s="4"/>
      <c r="O1035" s="4" t="s">
        <v>81</v>
      </c>
      <c r="P1035" s="4"/>
      <c r="Q1035" s="4"/>
      <c r="R1035" s="4"/>
      <c r="S1035" s="4"/>
      <c r="T1035" s="4"/>
      <c r="U1035" s="4">
        <v>0.0</v>
      </c>
      <c r="V1035" s="4"/>
      <c r="W1035" s="4"/>
      <c r="X1035" s="4"/>
      <c r="Y1035" s="4"/>
      <c r="Z1035" s="4"/>
      <c r="AA1035" s="4"/>
    </row>
    <row r="1036">
      <c r="A1036" s="4" t="s">
        <v>8451</v>
      </c>
      <c r="B1036" s="4" t="s">
        <v>19</v>
      </c>
      <c r="C1036" s="4" t="s">
        <v>7269</v>
      </c>
      <c r="D1036" s="4">
        <v>44007.0</v>
      </c>
      <c r="E1036" s="4">
        <v>0.45902777777777803</v>
      </c>
      <c r="F1036" s="4">
        <v>0.009722222222222222</v>
      </c>
      <c r="G1036" s="4">
        <v>0.4687500000000003</v>
      </c>
      <c r="H1036" s="4" t="s">
        <v>1185</v>
      </c>
      <c r="I1036" s="4"/>
      <c r="J1036" s="4" t="s">
        <v>6948</v>
      </c>
      <c r="K1036" s="4" t="s">
        <v>368</v>
      </c>
      <c r="L1036" s="4" t="s">
        <v>94</v>
      </c>
      <c r="M1036" s="4"/>
      <c r="N1036" s="4" t="s">
        <v>6720</v>
      </c>
      <c r="O1036" s="4" t="s">
        <v>1341</v>
      </c>
      <c r="P1036" s="4" t="s">
        <v>1342</v>
      </c>
      <c r="Q1036" s="4" t="s">
        <v>1343</v>
      </c>
      <c r="R1036" s="4"/>
      <c r="S1036" s="4"/>
      <c r="T1036" s="4"/>
      <c r="U1036" s="4">
        <v>2.0</v>
      </c>
      <c r="V1036" s="4" t="s">
        <v>8452</v>
      </c>
      <c r="W1036" s="4" t="s">
        <v>6962</v>
      </c>
      <c r="X1036" s="4">
        <v>43957.375</v>
      </c>
      <c r="Y1036" s="4"/>
      <c r="Z1036" s="4" t="s">
        <v>1185</v>
      </c>
      <c r="AA1036" s="4"/>
    </row>
    <row r="1037">
      <c r="A1037" s="4" t="s">
        <v>8453</v>
      </c>
      <c r="B1037" s="4" t="s">
        <v>19</v>
      </c>
      <c r="C1037" s="4" t="s">
        <v>7269</v>
      </c>
      <c r="D1037" s="4">
        <v>44007.0</v>
      </c>
      <c r="E1037" s="4">
        <v>0.4687500000000003</v>
      </c>
      <c r="F1037" s="4">
        <v>1.7361111111111112E-4</v>
      </c>
      <c r="G1037" s="4">
        <v>0.4689236111111114</v>
      </c>
      <c r="H1037" s="4" t="s">
        <v>1944</v>
      </c>
      <c r="I1037" s="4" t="s">
        <v>314</v>
      </c>
      <c r="J1037" s="4" t="s">
        <v>314</v>
      </c>
      <c r="K1037" s="4" t="s">
        <v>368</v>
      </c>
      <c r="L1037" s="4" t="s">
        <v>85</v>
      </c>
      <c r="M1037" s="4"/>
      <c r="N1037" s="4"/>
      <c r="O1037" s="4" t="s">
        <v>85</v>
      </c>
      <c r="P1037" s="4"/>
      <c r="Q1037" s="4"/>
      <c r="R1037" s="4"/>
      <c r="S1037" s="4"/>
      <c r="T1037" s="4"/>
      <c r="U1037" s="4">
        <v>0.0</v>
      </c>
      <c r="V1037" s="4"/>
      <c r="W1037" s="4"/>
      <c r="X1037" s="4"/>
      <c r="Y1037" s="4"/>
      <c r="Z1037" s="4"/>
      <c r="AA1037" s="4"/>
    </row>
    <row r="1038">
      <c r="A1038" s="4" t="s">
        <v>8454</v>
      </c>
      <c r="B1038" s="4" t="s">
        <v>19</v>
      </c>
      <c r="C1038" s="4" t="s">
        <v>7269</v>
      </c>
      <c r="D1038" s="4">
        <v>44007.0</v>
      </c>
      <c r="E1038" s="4">
        <v>0.4689236111111114</v>
      </c>
      <c r="F1038" s="4">
        <v>1.7361111111111112E-4</v>
      </c>
      <c r="G1038" s="4">
        <v>0.46909722222222255</v>
      </c>
      <c r="H1038" s="4" t="s">
        <v>2004</v>
      </c>
      <c r="I1038" s="4" t="s">
        <v>314</v>
      </c>
      <c r="J1038" s="4" t="s">
        <v>314</v>
      </c>
      <c r="K1038" s="4" t="s">
        <v>368</v>
      </c>
      <c r="L1038" s="4" t="s">
        <v>77</v>
      </c>
      <c r="M1038" s="4"/>
      <c r="N1038" s="4"/>
      <c r="O1038" s="4" t="s">
        <v>77</v>
      </c>
      <c r="P1038" s="4"/>
      <c r="Q1038" s="4"/>
      <c r="R1038" s="4"/>
      <c r="S1038" s="4"/>
      <c r="T1038" s="4"/>
      <c r="U1038" s="4">
        <v>0.0</v>
      </c>
      <c r="V1038" s="4"/>
      <c r="W1038" s="4"/>
      <c r="X1038" s="4"/>
      <c r="Y1038" s="4"/>
      <c r="Z1038" s="4"/>
      <c r="AA1038" s="4"/>
    </row>
    <row r="1039">
      <c r="A1039" s="4" t="s">
        <v>8455</v>
      </c>
      <c r="B1039" s="4" t="s">
        <v>19</v>
      </c>
      <c r="C1039" s="4" t="s">
        <v>7269</v>
      </c>
      <c r="D1039" s="4">
        <v>44007.0</v>
      </c>
      <c r="E1039" s="4">
        <v>0.46909722222222255</v>
      </c>
      <c r="F1039" s="4">
        <v>3.4722222222222224E-4</v>
      </c>
      <c r="G1039" s="4">
        <v>0.4694444444444448</v>
      </c>
      <c r="H1039" s="4" t="s">
        <v>1944</v>
      </c>
      <c r="I1039" s="4" t="s">
        <v>314</v>
      </c>
      <c r="J1039" s="4" t="s">
        <v>314</v>
      </c>
      <c r="K1039" s="4" t="s">
        <v>368</v>
      </c>
      <c r="L1039" s="4" t="s">
        <v>511</v>
      </c>
      <c r="M1039" s="4"/>
      <c r="N1039" s="4"/>
      <c r="O1039" s="4" t="s">
        <v>511</v>
      </c>
      <c r="P1039" s="4"/>
      <c r="Q1039" s="4"/>
      <c r="R1039" s="4"/>
      <c r="S1039" s="4"/>
      <c r="T1039" s="4"/>
      <c r="U1039" s="4">
        <v>0.0</v>
      </c>
      <c r="V1039" s="4"/>
      <c r="W1039" s="4"/>
      <c r="X1039" s="4"/>
      <c r="Y1039" s="4"/>
      <c r="Z1039" s="4"/>
      <c r="AA1039" s="4"/>
    </row>
    <row r="1040">
      <c r="A1040" s="4" t="s">
        <v>8456</v>
      </c>
      <c r="B1040" s="4" t="s">
        <v>19</v>
      </c>
      <c r="C1040" s="4" t="s">
        <v>7269</v>
      </c>
      <c r="D1040" s="4">
        <v>44007.0</v>
      </c>
      <c r="E1040" s="4">
        <v>0.4694444444444448</v>
      </c>
      <c r="F1040" s="4">
        <v>3.4722222222222224E-4</v>
      </c>
      <c r="G1040" s="4">
        <v>0.469791666666667</v>
      </c>
      <c r="H1040" s="4" t="s">
        <v>1944</v>
      </c>
      <c r="I1040" s="4" t="s">
        <v>314</v>
      </c>
      <c r="J1040" s="4" t="s">
        <v>314</v>
      </c>
      <c r="K1040" s="4" t="s">
        <v>368</v>
      </c>
      <c r="L1040" s="4" t="s">
        <v>81</v>
      </c>
      <c r="M1040" s="4"/>
      <c r="N1040" s="4"/>
      <c r="O1040" s="4" t="s">
        <v>81</v>
      </c>
      <c r="P1040" s="4"/>
      <c r="Q1040" s="4"/>
      <c r="R1040" s="4"/>
      <c r="S1040" s="4"/>
      <c r="T1040" s="4"/>
      <c r="U1040" s="4">
        <v>0.0</v>
      </c>
      <c r="V1040" s="4"/>
      <c r="W1040" s="4"/>
      <c r="X1040" s="4"/>
      <c r="Y1040" s="4"/>
      <c r="Z1040" s="4"/>
      <c r="AA1040" s="4"/>
    </row>
    <row r="1041">
      <c r="A1041" s="4" t="s">
        <v>8457</v>
      </c>
      <c r="B1041" s="4" t="s">
        <v>19</v>
      </c>
      <c r="C1041" s="4" t="s">
        <v>7269</v>
      </c>
      <c r="D1041" s="4">
        <v>44007.0</v>
      </c>
      <c r="E1041" s="4">
        <v>0.469791666666667</v>
      </c>
      <c r="F1041" s="4">
        <v>0.013888888888888888</v>
      </c>
      <c r="G1041" s="4">
        <v>0.4836805555555559</v>
      </c>
      <c r="H1041" s="4" t="s">
        <v>1185</v>
      </c>
      <c r="I1041" s="4" t="s">
        <v>314</v>
      </c>
      <c r="J1041" s="4" t="s">
        <v>6948</v>
      </c>
      <c r="K1041" s="4" t="s">
        <v>368</v>
      </c>
      <c r="L1041" s="4" t="s">
        <v>165</v>
      </c>
      <c r="M1041" s="4"/>
      <c r="N1041" s="4" t="s">
        <v>6702</v>
      </c>
      <c r="O1041" s="4" t="s">
        <v>1348</v>
      </c>
      <c r="P1041" s="4" t="s">
        <v>1349</v>
      </c>
      <c r="Q1041" s="4"/>
      <c r="R1041" s="4"/>
      <c r="S1041" s="4"/>
      <c r="T1041" s="4"/>
      <c r="U1041" s="4">
        <v>1.0</v>
      </c>
      <c r="V1041" s="4" t="s">
        <v>8458</v>
      </c>
      <c r="W1041" s="4" t="s">
        <v>7320</v>
      </c>
      <c r="X1041" s="4"/>
      <c r="Y1041" s="4"/>
      <c r="Z1041" s="4"/>
      <c r="AA1041" s="4"/>
    </row>
    <row r="1042">
      <c r="A1042" s="4" t="s">
        <v>8459</v>
      </c>
      <c r="B1042" s="4" t="s">
        <v>19</v>
      </c>
      <c r="C1042" s="4" t="s">
        <v>7269</v>
      </c>
      <c r="D1042" s="4">
        <v>44007.0</v>
      </c>
      <c r="E1042" s="4">
        <v>0.4836805555555559</v>
      </c>
      <c r="F1042" s="4">
        <v>1.7361111111111112E-4</v>
      </c>
      <c r="G1042" s="4">
        <v>0.48385416666666703</v>
      </c>
      <c r="H1042" s="4" t="s">
        <v>1944</v>
      </c>
      <c r="I1042" s="4" t="s">
        <v>314</v>
      </c>
      <c r="J1042" s="4" t="s">
        <v>314</v>
      </c>
      <c r="K1042" s="4" t="s">
        <v>368</v>
      </c>
      <c r="L1042" s="4" t="s">
        <v>85</v>
      </c>
      <c r="M1042" s="4"/>
      <c r="N1042" s="4"/>
      <c r="O1042" s="4" t="s">
        <v>85</v>
      </c>
      <c r="P1042" s="4"/>
      <c r="Q1042" s="4"/>
      <c r="R1042" s="4"/>
      <c r="S1042" s="4"/>
      <c r="T1042" s="4"/>
      <c r="U1042" s="4">
        <v>0.0</v>
      </c>
      <c r="V1042" s="4"/>
      <c r="W1042" s="4"/>
      <c r="X1042" s="4"/>
      <c r="Y1042" s="4"/>
      <c r="Z1042" s="4"/>
      <c r="AA1042" s="4"/>
    </row>
    <row r="1043">
      <c r="A1043" s="4" t="s">
        <v>8460</v>
      </c>
      <c r="B1043" s="4" t="s">
        <v>19</v>
      </c>
      <c r="C1043" s="4" t="s">
        <v>7269</v>
      </c>
      <c r="D1043" s="4">
        <v>44007.0</v>
      </c>
      <c r="E1043" s="4">
        <v>0.48385416666666703</v>
      </c>
      <c r="F1043" s="4">
        <v>3.4722222222222224E-4</v>
      </c>
      <c r="G1043" s="4">
        <v>0.48420138888888925</v>
      </c>
      <c r="H1043" s="4" t="s">
        <v>1944</v>
      </c>
      <c r="I1043" s="4" t="s">
        <v>314</v>
      </c>
      <c r="J1043" s="4" t="s">
        <v>314</v>
      </c>
      <c r="K1043" s="4" t="s">
        <v>368</v>
      </c>
      <c r="L1043" s="4" t="s">
        <v>81</v>
      </c>
      <c r="M1043" s="4"/>
      <c r="N1043" s="4"/>
      <c r="O1043" s="4" t="s">
        <v>81</v>
      </c>
      <c r="P1043" s="4"/>
      <c r="Q1043" s="4"/>
      <c r="R1043" s="4"/>
      <c r="S1043" s="4"/>
      <c r="T1043" s="4"/>
      <c r="U1043" s="4">
        <v>0.0</v>
      </c>
      <c r="V1043" s="4"/>
      <c r="W1043" s="4"/>
      <c r="X1043" s="4"/>
      <c r="Y1043" s="4"/>
      <c r="Z1043" s="4"/>
      <c r="AA1043" s="4"/>
    </row>
    <row r="1044">
      <c r="A1044" s="4" t="s">
        <v>8461</v>
      </c>
      <c r="B1044" s="4" t="s">
        <v>19</v>
      </c>
      <c r="C1044" s="4" t="s">
        <v>7269</v>
      </c>
      <c r="D1044" s="4">
        <v>44007.0</v>
      </c>
      <c r="E1044" s="4">
        <v>0.48420138888888925</v>
      </c>
      <c r="F1044" s="4">
        <v>0.00798611111111111</v>
      </c>
      <c r="G1044" s="4">
        <v>0.49218750000000033</v>
      </c>
      <c r="H1044" s="4" t="s">
        <v>1185</v>
      </c>
      <c r="I1044" s="4" t="s">
        <v>6947</v>
      </c>
      <c r="J1044" s="4" t="s">
        <v>6948</v>
      </c>
      <c r="K1044" s="4" t="s">
        <v>368</v>
      </c>
      <c r="L1044" s="4" t="s">
        <v>94</v>
      </c>
      <c r="M1044" s="4"/>
      <c r="N1044" s="4" t="s">
        <v>6858</v>
      </c>
      <c r="O1044" s="4" t="s">
        <v>1354</v>
      </c>
      <c r="P1044" s="4" t="s">
        <v>1355</v>
      </c>
      <c r="Q1044" s="4"/>
      <c r="R1044" s="4"/>
      <c r="S1044" s="4"/>
      <c r="T1044" s="4" t="s">
        <v>1356</v>
      </c>
      <c r="U1044" s="4">
        <v>2.0</v>
      </c>
      <c r="V1044" s="4" t="s">
        <v>8462</v>
      </c>
      <c r="W1044" s="4" t="s">
        <v>6872</v>
      </c>
      <c r="X1044" s="4"/>
      <c r="Y1044" s="4"/>
      <c r="Z1044" s="4"/>
      <c r="AA1044" s="4"/>
    </row>
    <row r="1045">
      <c r="A1045" s="4" t="s">
        <v>8463</v>
      </c>
      <c r="B1045" s="4" t="s">
        <v>19</v>
      </c>
      <c r="C1045" s="4" t="s">
        <v>7269</v>
      </c>
      <c r="D1045" s="4">
        <v>44007.0</v>
      </c>
      <c r="E1045" s="4">
        <v>0.49218750000000033</v>
      </c>
      <c r="F1045" s="4">
        <v>1.7361111111111112E-4</v>
      </c>
      <c r="G1045" s="4">
        <v>0.49236111111111147</v>
      </c>
      <c r="H1045" s="4" t="s">
        <v>1944</v>
      </c>
      <c r="I1045" s="4" t="s">
        <v>314</v>
      </c>
      <c r="J1045" s="4" t="s">
        <v>314</v>
      </c>
      <c r="K1045" s="4" t="s">
        <v>368</v>
      </c>
      <c r="L1045" s="4" t="s">
        <v>85</v>
      </c>
      <c r="M1045" s="4"/>
      <c r="N1045" s="4"/>
      <c r="O1045" s="4" t="s">
        <v>85</v>
      </c>
      <c r="P1045" s="4"/>
      <c r="Q1045" s="4"/>
      <c r="R1045" s="4"/>
      <c r="S1045" s="4"/>
      <c r="T1045" s="4"/>
      <c r="U1045" s="4">
        <v>0.0</v>
      </c>
      <c r="V1045" s="4"/>
      <c r="W1045" s="4"/>
      <c r="X1045" s="4"/>
      <c r="Y1045" s="4"/>
      <c r="Z1045" s="4"/>
      <c r="AA1045" s="4"/>
    </row>
    <row r="1046">
      <c r="A1046" s="4" t="s">
        <v>8464</v>
      </c>
      <c r="B1046" s="4" t="s">
        <v>19</v>
      </c>
      <c r="C1046" s="4" t="s">
        <v>7269</v>
      </c>
      <c r="D1046" s="4">
        <v>44007.0</v>
      </c>
      <c r="E1046" s="4">
        <v>0.49236111111111147</v>
      </c>
      <c r="F1046" s="4">
        <v>1.7361111111111112E-4</v>
      </c>
      <c r="G1046" s="4">
        <v>0.4925347222222226</v>
      </c>
      <c r="H1046" s="4" t="s">
        <v>2004</v>
      </c>
      <c r="I1046" s="4" t="s">
        <v>314</v>
      </c>
      <c r="J1046" s="4" t="s">
        <v>314</v>
      </c>
      <c r="K1046" s="4" t="s">
        <v>368</v>
      </c>
      <c r="L1046" s="4" t="s">
        <v>77</v>
      </c>
      <c r="M1046" s="4"/>
      <c r="N1046" s="4"/>
      <c r="O1046" s="4" t="s">
        <v>77</v>
      </c>
      <c r="P1046" s="4"/>
      <c r="Q1046" s="4"/>
      <c r="R1046" s="4"/>
      <c r="S1046" s="4"/>
      <c r="T1046" s="4"/>
      <c r="U1046" s="4">
        <v>0.0</v>
      </c>
      <c r="V1046" s="4"/>
      <c r="W1046" s="4"/>
      <c r="X1046" s="4"/>
      <c r="Y1046" s="4"/>
      <c r="Z1046" s="4"/>
      <c r="AA1046" s="4"/>
    </row>
    <row r="1047">
      <c r="A1047" s="4" t="s">
        <v>8465</v>
      </c>
      <c r="B1047" s="4" t="s">
        <v>19</v>
      </c>
      <c r="C1047" s="4" t="s">
        <v>7269</v>
      </c>
      <c r="D1047" s="4">
        <v>44007.0</v>
      </c>
      <c r="E1047" s="4">
        <v>0.4925347222222226</v>
      </c>
      <c r="F1047" s="4">
        <v>3.4722222222222224E-4</v>
      </c>
      <c r="G1047" s="4">
        <v>0.49288194444444483</v>
      </c>
      <c r="H1047" s="4" t="s">
        <v>1944</v>
      </c>
      <c r="I1047" s="4" t="s">
        <v>314</v>
      </c>
      <c r="J1047" s="4" t="s">
        <v>314</v>
      </c>
      <c r="K1047" s="4" t="s">
        <v>368</v>
      </c>
      <c r="L1047" s="4" t="s">
        <v>81</v>
      </c>
      <c r="M1047" s="4"/>
      <c r="N1047" s="4"/>
      <c r="O1047" s="4" t="s">
        <v>81</v>
      </c>
      <c r="P1047" s="4"/>
      <c r="Q1047" s="4"/>
      <c r="R1047" s="4"/>
      <c r="S1047" s="4"/>
      <c r="T1047" s="4"/>
      <c r="U1047" s="4">
        <v>0.0</v>
      </c>
      <c r="V1047" s="4"/>
      <c r="W1047" s="4"/>
      <c r="X1047" s="4"/>
      <c r="Y1047" s="4"/>
      <c r="Z1047" s="4"/>
      <c r="AA1047" s="4"/>
    </row>
    <row r="1048">
      <c r="A1048" s="4" t="s">
        <v>8466</v>
      </c>
      <c r="B1048" s="4" t="s">
        <v>19</v>
      </c>
      <c r="C1048" s="4" t="s">
        <v>7269</v>
      </c>
      <c r="D1048" s="4">
        <v>44007.0</v>
      </c>
      <c r="E1048" s="4">
        <v>0.49288194444444483</v>
      </c>
      <c r="F1048" s="4">
        <v>0.006944444444444444</v>
      </c>
      <c r="G1048" s="4">
        <v>0.49982638888888925</v>
      </c>
      <c r="H1048" s="4" t="s">
        <v>803</v>
      </c>
      <c r="I1048" s="4" t="s">
        <v>314</v>
      </c>
      <c r="J1048" s="4" t="s">
        <v>15</v>
      </c>
      <c r="K1048" s="4" t="s">
        <v>368</v>
      </c>
      <c r="L1048" s="4" t="s">
        <v>165</v>
      </c>
      <c r="M1048" s="4"/>
      <c r="N1048" s="4" t="s">
        <v>6858</v>
      </c>
      <c r="O1048" s="4" t="s">
        <v>1359</v>
      </c>
      <c r="P1048" s="4" t="s">
        <v>1360</v>
      </c>
      <c r="Q1048" s="4"/>
      <c r="R1048" s="4"/>
      <c r="S1048" s="4"/>
      <c r="T1048" s="4"/>
      <c r="U1048" s="4">
        <v>1.0</v>
      </c>
      <c r="V1048" s="4" t="s">
        <v>8467</v>
      </c>
      <c r="W1048" s="4" t="s">
        <v>6890</v>
      </c>
      <c r="X1048" s="4" t="s">
        <v>8468</v>
      </c>
      <c r="Y1048" s="4"/>
      <c r="Z1048" s="4" t="s">
        <v>803</v>
      </c>
      <c r="AA1048" s="4"/>
    </row>
    <row r="1049">
      <c r="A1049" s="4" t="s">
        <v>8469</v>
      </c>
      <c r="B1049" s="4" t="s">
        <v>19</v>
      </c>
      <c r="C1049" s="4" t="s">
        <v>7269</v>
      </c>
      <c r="D1049" s="4">
        <v>44007.0</v>
      </c>
      <c r="E1049" s="4">
        <v>0.49982638888888925</v>
      </c>
      <c r="F1049" s="4">
        <v>1.7361111111111112E-4</v>
      </c>
      <c r="G1049" s="4">
        <v>0.5000000000000003</v>
      </c>
      <c r="H1049" s="4" t="s">
        <v>1944</v>
      </c>
      <c r="I1049" s="4" t="s">
        <v>314</v>
      </c>
      <c r="J1049" s="4" t="s">
        <v>314</v>
      </c>
      <c r="K1049" s="4" t="s">
        <v>368</v>
      </c>
      <c r="L1049" s="4" t="s">
        <v>85</v>
      </c>
      <c r="M1049" s="4"/>
      <c r="N1049" s="4"/>
      <c r="O1049" s="4" t="s">
        <v>85</v>
      </c>
      <c r="P1049" s="4"/>
      <c r="Q1049" s="4"/>
      <c r="R1049" s="4"/>
      <c r="S1049" s="4"/>
      <c r="T1049" s="4"/>
      <c r="U1049" s="4">
        <v>0.0</v>
      </c>
      <c r="V1049" s="4"/>
      <c r="W1049" s="4"/>
      <c r="X1049" s="4"/>
      <c r="Y1049" s="4"/>
      <c r="Z1049" s="4"/>
      <c r="AA1049" s="4"/>
    </row>
    <row r="1050">
      <c r="A1050" s="4" t="s">
        <v>8470</v>
      </c>
      <c r="B1050" s="4" t="s">
        <v>19</v>
      </c>
      <c r="C1050" s="4" t="s">
        <v>7269</v>
      </c>
      <c r="D1050" s="4">
        <v>44007.0</v>
      </c>
      <c r="E1050" s="4">
        <v>0.5000000000000003</v>
      </c>
      <c r="F1050" s="4">
        <v>3.4722222222222224E-4</v>
      </c>
      <c r="G1050" s="4">
        <v>0.5003472222222226</v>
      </c>
      <c r="H1050" s="4" t="s">
        <v>1944</v>
      </c>
      <c r="I1050" s="4" t="s">
        <v>314</v>
      </c>
      <c r="J1050" s="4" t="s">
        <v>314</v>
      </c>
      <c r="K1050" s="4" t="s">
        <v>1017</v>
      </c>
      <c r="L1050" s="4" t="s">
        <v>81</v>
      </c>
      <c r="M1050" s="4"/>
      <c r="N1050" s="4"/>
      <c r="O1050" s="4" t="s">
        <v>6878</v>
      </c>
      <c r="P1050" s="4"/>
      <c r="Q1050" s="4"/>
      <c r="R1050" s="4"/>
      <c r="S1050" s="4"/>
      <c r="T1050" s="4"/>
      <c r="U1050" s="4">
        <v>0.0</v>
      </c>
      <c r="V1050" s="4"/>
      <c r="W1050" s="4"/>
      <c r="X1050" s="4"/>
      <c r="Y1050" s="4"/>
      <c r="Z1050" s="4"/>
      <c r="AA1050" s="4"/>
    </row>
    <row r="1051">
      <c r="A1051" s="4" t="s">
        <v>8471</v>
      </c>
      <c r="B1051" s="4" t="s">
        <v>19</v>
      </c>
      <c r="C1051" s="4" t="s">
        <v>7269</v>
      </c>
      <c r="D1051" s="4">
        <v>44007.0</v>
      </c>
      <c r="E1051" s="4">
        <v>0.5003472222222226</v>
      </c>
      <c r="F1051" s="4">
        <v>0.008333333333333333</v>
      </c>
      <c r="G1051" s="4">
        <v>0.5086805555555559</v>
      </c>
      <c r="H1051" s="4" t="s">
        <v>873</v>
      </c>
      <c r="I1051" s="4" t="s">
        <v>6960</v>
      </c>
      <c r="J1051" s="4" t="s">
        <v>6948</v>
      </c>
      <c r="K1051" s="4" t="s">
        <v>1017</v>
      </c>
      <c r="L1051" s="4" t="s">
        <v>107</v>
      </c>
      <c r="M1051" s="4" t="s">
        <v>7462</v>
      </c>
      <c r="N1051" s="4" t="s">
        <v>6755</v>
      </c>
      <c r="O1051" s="4" t="s">
        <v>1366</v>
      </c>
      <c r="P1051" s="4" t="s">
        <v>1367</v>
      </c>
      <c r="Q1051" s="4" t="s">
        <v>1368</v>
      </c>
      <c r="R1051" s="4"/>
      <c r="S1051" s="4"/>
      <c r="T1051" s="4" t="s">
        <v>1369</v>
      </c>
      <c r="U1051" s="4">
        <v>3.0</v>
      </c>
      <c r="V1051" s="4" t="s">
        <v>8472</v>
      </c>
      <c r="W1051" s="4" t="s">
        <v>7115</v>
      </c>
      <c r="X1051" s="4">
        <v>43980.71875</v>
      </c>
      <c r="Y1051" s="4" t="s">
        <v>8473</v>
      </c>
      <c r="Z1051" s="4" t="s">
        <v>873</v>
      </c>
      <c r="AA1051" s="4"/>
    </row>
    <row r="1052">
      <c r="A1052" s="4" t="s">
        <v>8474</v>
      </c>
      <c r="B1052" s="4" t="s">
        <v>19</v>
      </c>
      <c r="C1052" s="4" t="s">
        <v>7269</v>
      </c>
      <c r="D1052" s="4">
        <v>44007.0</v>
      </c>
      <c r="E1052" s="4">
        <v>0.5086805555555559</v>
      </c>
      <c r="F1052" s="4">
        <v>1.7361111111111112E-4</v>
      </c>
      <c r="G1052" s="4">
        <v>0.508854166666667</v>
      </c>
      <c r="H1052" s="4" t="s">
        <v>1944</v>
      </c>
      <c r="I1052" s="4" t="s">
        <v>314</v>
      </c>
      <c r="J1052" s="4" t="s">
        <v>314</v>
      </c>
      <c r="K1052" s="4" t="s">
        <v>1017</v>
      </c>
      <c r="L1052" s="4" t="s">
        <v>85</v>
      </c>
      <c r="M1052" s="4"/>
      <c r="N1052" s="4"/>
      <c r="O1052" s="4" t="s">
        <v>85</v>
      </c>
      <c r="P1052" s="4"/>
      <c r="Q1052" s="4"/>
      <c r="R1052" s="4"/>
      <c r="S1052" s="4"/>
      <c r="T1052" s="4"/>
      <c r="U1052" s="4">
        <v>0.0</v>
      </c>
      <c r="V1052" s="4"/>
      <c r="W1052" s="4"/>
      <c r="X1052" s="4"/>
      <c r="Y1052" s="4"/>
      <c r="Z1052" s="4"/>
      <c r="AA1052" s="4"/>
    </row>
    <row r="1053">
      <c r="A1053" s="4" t="s">
        <v>8475</v>
      </c>
      <c r="B1053" s="4" t="s">
        <v>19</v>
      </c>
      <c r="C1053" s="4" t="s">
        <v>7269</v>
      </c>
      <c r="D1053" s="4">
        <v>44007.0</v>
      </c>
      <c r="E1053" s="4">
        <v>0.508854166666667</v>
      </c>
      <c r="F1053" s="4">
        <v>3.4722222222222224E-4</v>
      </c>
      <c r="G1053" s="4">
        <v>0.5092013888888893</v>
      </c>
      <c r="H1053" s="4" t="s">
        <v>1944</v>
      </c>
      <c r="I1053" s="4" t="s">
        <v>314</v>
      </c>
      <c r="J1053" s="4" t="s">
        <v>314</v>
      </c>
      <c r="K1053" s="4" t="s">
        <v>1017</v>
      </c>
      <c r="L1053" s="4" t="s">
        <v>81</v>
      </c>
      <c r="M1053" s="4"/>
      <c r="N1053" s="4"/>
      <c r="O1053" s="4" t="s">
        <v>81</v>
      </c>
      <c r="P1053" s="4"/>
      <c r="Q1053" s="4"/>
      <c r="R1053" s="4"/>
      <c r="S1053" s="4"/>
      <c r="T1053" s="4"/>
      <c r="U1053" s="4">
        <v>0.0</v>
      </c>
      <c r="V1053" s="4"/>
      <c r="W1053" s="4"/>
      <c r="X1053" s="4"/>
      <c r="Y1053" s="4"/>
      <c r="Z1053" s="4"/>
      <c r="AA1053" s="4"/>
    </row>
    <row r="1054">
      <c r="A1054" s="4" t="s">
        <v>8476</v>
      </c>
      <c r="B1054" s="4" t="s">
        <v>19</v>
      </c>
      <c r="C1054" s="4" t="s">
        <v>7269</v>
      </c>
      <c r="D1054" s="4">
        <v>44007.0</v>
      </c>
      <c r="E1054" s="4">
        <v>0.5092013888888893</v>
      </c>
      <c r="F1054" s="4">
        <v>0.0020833333333333333</v>
      </c>
      <c r="G1054" s="4">
        <v>0.5112847222222227</v>
      </c>
      <c r="H1054" s="4" t="s">
        <v>630</v>
      </c>
      <c r="I1054" s="4" t="s">
        <v>314</v>
      </c>
      <c r="J1054" s="4" t="s">
        <v>15</v>
      </c>
      <c r="K1054" s="4" t="s">
        <v>1017</v>
      </c>
      <c r="L1054" s="4" t="s">
        <v>165</v>
      </c>
      <c r="M1054" s="4"/>
      <c r="N1054" s="4"/>
      <c r="O1054" s="4" t="s">
        <v>1018</v>
      </c>
      <c r="P1054" s="4" t="s">
        <v>1019</v>
      </c>
      <c r="Q1054" s="4"/>
      <c r="R1054" s="4"/>
      <c r="S1054" s="4"/>
      <c r="T1054" s="4"/>
      <c r="U1054" s="4">
        <v>1.0</v>
      </c>
      <c r="V1054" s="4" t="s">
        <v>4345</v>
      </c>
      <c r="W1054" s="4"/>
      <c r="X1054" s="4"/>
      <c r="Y1054" s="4"/>
      <c r="Z1054" s="4"/>
      <c r="AA1054" s="4"/>
    </row>
    <row r="1055">
      <c r="A1055" s="4" t="s">
        <v>8477</v>
      </c>
      <c r="B1055" s="4" t="s">
        <v>19</v>
      </c>
      <c r="C1055" s="4" t="s">
        <v>7269</v>
      </c>
      <c r="D1055" s="4">
        <v>44007.0</v>
      </c>
      <c r="E1055" s="4">
        <v>0.5112847222222227</v>
      </c>
      <c r="F1055" s="4">
        <v>1.7361111111111112E-4</v>
      </c>
      <c r="G1055" s="4">
        <v>0.5114583333333338</v>
      </c>
      <c r="H1055" s="4" t="s">
        <v>1944</v>
      </c>
      <c r="I1055" s="4" t="s">
        <v>314</v>
      </c>
      <c r="J1055" s="4" t="s">
        <v>314</v>
      </c>
      <c r="K1055" s="4" t="s">
        <v>1017</v>
      </c>
      <c r="L1055" s="4" t="s">
        <v>85</v>
      </c>
      <c r="M1055" s="4"/>
      <c r="N1055" s="4"/>
      <c r="O1055" s="4" t="s">
        <v>85</v>
      </c>
      <c r="P1055" s="4"/>
      <c r="Q1055" s="4"/>
      <c r="R1055" s="4"/>
      <c r="S1055" s="4"/>
      <c r="T1055" s="4"/>
      <c r="U1055" s="4">
        <v>0.0</v>
      </c>
      <c r="V1055" s="4"/>
      <c r="W1055" s="4"/>
      <c r="X1055" s="4"/>
      <c r="Y1055" s="4"/>
      <c r="Z1055" s="4"/>
      <c r="AA1055" s="4"/>
    </row>
    <row r="1056">
      <c r="A1056" s="4" t="s">
        <v>8478</v>
      </c>
      <c r="B1056" s="4" t="s">
        <v>19</v>
      </c>
      <c r="C1056" s="4" t="s">
        <v>7269</v>
      </c>
      <c r="D1056" s="4">
        <v>44007.0</v>
      </c>
      <c r="E1056" s="4">
        <v>0.5114583333333338</v>
      </c>
      <c r="F1056" s="4">
        <v>3.4722222222222224E-4</v>
      </c>
      <c r="G1056" s="4">
        <v>0.5118055555555561</v>
      </c>
      <c r="H1056" s="4" t="s">
        <v>1944</v>
      </c>
      <c r="I1056" s="4" t="s">
        <v>314</v>
      </c>
      <c r="J1056" s="4" t="s">
        <v>314</v>
      </c>
      <c r="K1056" s="4" t="s">
        <v>1017</v>
      </c>
      <c r="L1056" s="4" t="s">
        <v>81</v>
      </c>
      <c r="M1056" s="4"/>
      <c r="N1056" s="4"/>
      <c r="O1056" s="4" t="s">
        <v>81</v>
      </c>
      <c r="P1056" s="4"/>
      <c r="Q1056" s="4"/>
      <c r="R1056" s="4"/>
      <c r="S1056" s="4"/>
      <c r="T1056" s="4"/>
      <c r="U1056" s="4">
        <v>0.0</v>
      </c>
      <c r="V1056" s="4"/>
      <c r="W1056" s="4"/>
      <c r="X1056" s="4"/>
      <c r="Y1056" s="4"/>
      <c r="Z1056" s="4"/>
      <c r="AA1056" s="4"/>
    </row>
    <row r="1057">
      <c r="A1057" s="4" t="s">
        <v>8479</v>
      </c>
      <c r="B1057" s="4" t="s">
        <v>19</v>
      </c>
      <c r="C1057" s="4" t="s">
        <v>7269</v>
      </c>
      <c r="D1057" s="4">
        <v>44007.0</v>
      </c>
      <c r="E1057" s="4">
        <v>0.5118055555555561</v>
      </c>
      <c r="F1057" s="4">
        <v>0.013368055555555555</v>
      </c>
      <c r="G1057" s="4">
        <v>0.5251736111111116</v>
      </c>
      <c r="H1057" s="4" t="s">
        <v>873</v>
      </c>
      <c r="I1057" s="4" t="s">
        <v>6993</v>
      </c>
      <c r="J1057" s="4" t="s">
        <v>6948</v>
      </c>
      <c r="K1057" s="4" t="s">
        <v>1017</v>
      </c>
      <c r="L1057" s="4" t="s">
        <v>94</v>
      </c>
      <c r="M1057" s="4" t="s">
        <v>7505</v>
      </c>
      <c r="N1057" s="4"/>
      <c r="O1057" s="4" t="s">
        <v>1114</v>
      </c>
      <c r="P1057" s="4" t="s">
        <v>8480</v>
      </c>
      <c r="Q1057" s="4"/>
      <c r="R1057" s="4"/>
      <c r="S1057" s="4"/>
      <c r="T1057" s="4" t="s">
        <v>1116</v>
      </c>
      <c r="U1057" s="4">
        <v>2.0</v>
      </c>
      <c r="V1057" s="4" t="s">
        <v>8481</v>
      </c>
      <c r="W1057" s="4"/>
      <c r="X1057" s="4"/>
      <c r="Y1057" s="4"/>
      <c r="Z1057" s="4" t="s">
        <v>873</v>
      </c>
      <c r="AA1057" s="4"/>
    </row>
    <row r="1058">
      <c r="A1058" s="4" t="s">
        <v>8482</v>
      </c>
      <c r="B1058" s="4" t="s">
        <v>19</v>
      </c>
      <c r="C1058" s="4" t="s">
        <v>7269</v>
      </c>
      <c r="D1058" s="4">
        <v>44007.0</v>
      </c>
      <c r="E1058" s="4">
        <v>0.5251736111111116</v>
      </c>
      <c r="F1058" s="4">
        <v>1.7361111111111112E-4</v>
      </c>
      <c r="G1058" s="4">
        <v>0.5253472222222227</v>
      </c>
      <c r="H1058" s="4" t="s">
        <v>1944</v>
      </c>
      <c r="I1058" s="4" t="s">
        <v>314</v>
      </c>
      <c r="J1058" s="4" t="s">
        <v>314</v>
      </c>
      <c r="K1058" s="4" t="s">
        <v>1017</v>
      </c>
      <c r="L1058" s="4" t="s">
        <v>85</v>
      </c>
      <c r="M1058" s="4"/>
      <c r="N1058" s="4"/>
      <c r="O1058" s="4" t="s">
        <v>85</v>
      </c>
      <c r="P1058" s="4"/>
      <c r="Q1058" s="4"/>
      <c r="R1058" s="4"/>
      <c r="S1058" s="4"/>
      <c r="T1058" s="4"/>
      <c r="U1058" s="4">
        <v>0.0</v>
      </c>
      <c r="V1058" s="4"/>
      <c r="W1058" s="4"/>
      <c r="X1058" s="4"/>
      <c r="Y1058" s="4"/>
      <c r="Z1058" s="4"/>
      <c r="AA1058" s="4"/>
    </row>
    <row r="1059">
      <c r="A1059" s="4" t="s">
        <v>8483</v>
      </c>
      <c r="B1059" s="4" t="s">
        <v>19</v>
      </c>
      <c r="C1059" s="4" t="s">
        <v>7269</v>
      </c>
      <c r="D1059" s="4">
        <v>44007.0</v>
      </c>
      <c r="E1059" s="4">
        <v>0.5253472222222227</v>
      </c>
      <c r="F1059" s="4">
        <v>3.4722222222222224E-4</v>
      </c>
      <c r="G1059" s="4">
        <v>0.525694444444445</v>
      </c>
      <c r="H1059" s="4" t="s">
        <v>1944</v>
      </c>
      <c r="I1059" s="4" t="s">
        <v>314</v>
      </c>
      <c r="J1059" s="4" t="s">
        <v>314</v>
      </c>
      <c r="K1059" s="4" t="s">
        <v>1017</v>
      </c>
      <c r="L1059" s="4" t="s">
        <v>81</v>
      </c>
      <c r="M1059" s="4"/>
      <c r="N1059" s="4"/>
      <c r="O1059" s="4" t="s">
        <v>81</v>
      </c>
      <c r="P1059" s="4"/>
      <c r="Q1059" s="4"/>
      <c r="R1059" s="4"/>
      <c r="S1059" s="4"/>
      <c r="T1059" s="4"/>
      <c r="U1059" s="4">
        <v>0.0</v>
      </c>
      <c r="V1059" s="4"/>
      <c r="W1059" s="4"/>
      <c r="X1059" s="4"/>
      <c r="Y1059" s="4"/>
      <c r="Z1059" s="4"/>
      <c r="AA1059" s="4"/>
    </row>
    <row r="1060">
      <c r="A1060" s="4" t="s">
        <v>8484</v>
      </c>
      <c r="B1060" s="4" t="s">
        <v>19</v>
      </c>
      <c r="C1060" s="4" t="s">
        <v>7269</v>
      </c>
      <c r="D1060" s="4">
        <v>44007.0</v>
      </c>
      <c r="E1060" s="4">
        <v>0.525694444444445</v>
      </c>
      <c r="F1060" s="4">
        <v>0.007638888888888889</v>
      </c>
      <c r="G1060" s="4">
        <v>0.5333333333333339</v>
      </c>
      <c r="H1060" s="4" t="s">
        <v>873</v>
      </c>
      <c r="I1060" s="4" t="s">
        <v>6960</v>
      </c>
      <c r="J1060" s="4" t="s">
        <v>6948</v>
      </c>
      <c r="K1060" s="4" t="s">
        <v>1017</v>
      </c>
      <c r="L1060" s="4" t="s">
        <v>94</v>
      </c>
      <c r="M1060" s="4" t="s">
        <v>7462</v>
      </c>
      <c r="N1060" s="4" t="s">
        <v>6689</v>
      </c>
      <c r="O1060" s="4" t="s">
        <v>1375</v>
      </c>
      <c r="P1060" s="4" t="s">
        <v>1376</v>
      </c>
      <c r="Q1060" s="4"/>
      <c r="R1060" s="4"/>
      <c r="S1060" s="4"/>
      <c r="T1060" s="4" t="s">
        <v>464</v>
      </c>
      <c r="U1060" s="4">
        <v>2.0</v>
      </c>
      <c r="V1060" s="4" t="s">
        <v>8485</v>
      </c>
      <c r="W1060" s="4" t="s">
        <v>7115</v>
      </c>
      <c r="X1060" s="4">
        <v>43978.791666666664</v>
      </c>
      <c r="Y1060" s="4" t="s">
        <v>8486</v>
      </c>
      <c r="Z1060" s="4" t="s">
        <v>873</v>
      </c>
      <c r="AA1060" s="4"/>
    </row>
    <row r="1061">
      <c r="A1061" s="4" t="s">
        <v>8487</v>
      </c>
      <c r="B1061" s="4" t="s">
        <v>19</v>
      </c>
      <c r="C1061" s="4" t="s">
        <v>7269</v>
      </c>
      <c r="D1061" s="4">
        <v>44007.0</v>
      </c>
      <c r="E1061" s="4">
        <v>0.5333333333333339</v>
      </c>
      <c r="F1061" s="4">
        <v>1.7361111111111112E-4</v>
      </c>
      <c r="G1061" s="4">
        <v>0.533506944444445</v>
      </c>
      <c r="H1061" s="4" t="s">
        <v>1944</v>
      </c>
      <c r="I1061" s="4" t="s">
        <v>314</v>
      </c>
      <c r="J1061" s="4" t="s">
        <v>314</v>
      </c>
      <c r="K1061" s="4" t="s">
        <v>1017</v>
      </c>
      <c r="L1061" s="4" t="s">
        <v>85</v>
      </c>
      <c r="M1061" s="4"/>
      <c r="N1061" s="4"/>
      <c r="O1061" s="4" t="s">
        <v>85</v>
      </c>
      <c r="P1061" s="4"/>
      <c r="Q1061" s="4"/>
      <c r="R1061" s="4"/>
      <c r="S1061" s="4"/>
      <c r="T1061" s="4"/>
      <c r="U1061" s="4">
        <v>0.0</v>
      </c>
      <c r="V1061" s="4"/>
      <c r="W1061" s="4"/>
      <c r="X1061" s="4"/>
      <c r="Y1061" s="4"/>
      <c r="Z1061" s="4"/>
      <c r="AA1061" s="4"/>
    </row>
    <row r="1062">
      <c r="A1062" s="4" t="s">
        <v>8488</v>
      </c>
      <c r="B1062" s="4" t="s">
        <v>19</v>
      </c>
      <c r="C1062" s="4" t="s">
        <v>7269</v>
      </c>
      <c r="D1062" s="4">
        <v>44007.0</v>
      </c>
      <c r="E1062" s="4">
        <v>0.533506944444445</v>
      </c>
      <c r="F1062" s="4">
        <v>3.4722222222222224E-4</v>
      </c>
      <c r="G1062" s="4">
        <v>0.5338541666666673</v>
      </c>
      <c r="H1062" s="4" t="s">
        <v>1944</v>
      </c>
      <c r="I1062" s="4" t="s">
        <v>314</v>
      </c>
      <c r="J1062" s="4" t="s">
        <v>314</v>
      </c>
      <c r="K1062" s="4" t="s">
        <v>1017</v>
      </c>
      <c r="L1062" s="4" t="s">
        <v>81</v>
      </c>
      <c r="M1062" s="4"/>
      <c r="N1062" s="4"/>
      <c r="O1062" s="4" t="s">
        <v>81</v>
      </c>
      <c r="P1062" s="4"/>
      <c r="Q1062" s="4"/>
      <c r="R1062" s="4"/>
      <c r="S1062" s="4"/>
      <c r="T1062" s="4"/>
      <c r="U1062" s="4">
        <v>0.0</v>
      </c>
      <c r="V1062" s="4"/>
      <c r="W1062" s="4"/>
      <c r="X1062" s="4"/>
      <c r="Y1062" s="4"/>
      <c r="Z1062" s="4"/>
      <c r="AA1062" s="4"/>
    </row>
    <row r="1063">
      <c r="A1063" s="4" t="s">
        <v>8489</v>
      </c>
      <c r="B1063" s="4" t="s">
        <v>19</v>
      </c>
      <c r="C1063" s="4" t="s">
        <v>7269</v>
      </c>
      <c r="D1063" s="4">
        <v>44007.0</v>
      </c>
      <c r="E1063" s="4">
        <v>0.5338541666666673</v>
      </c>
      <c r="F1063" s="4">
        <v>0.007638888888888889</v>
      </c>
      <c r="G1063" s="4">
        <v>0.5414930555555562</v>
      </c>
      <c r="H1063" s="4" t="s">
        <v>873</v>
      </c>
      <c r="I1063" s="4" t="s">
        <v>314</v>
      </c>
      <c r="J1063" s="4" t="s">
        <v>6948</v>
      </c>
      <c r="K1063" s="4" t="s">
        <v>1017</v>
      </c>
      <c r="L1063" s="4" t="s">
        <v>165</v>
      </c>
      <c r="M1063" s="4" t="s">
        <v>7505</v>
      </c>
      <c r="N1063" s="4" t="s">
        <v>7195</v>
      </c>
      <c r="O1063" s="4" t="s">
        <v>1372</v>
      </c>
      <c r="P1063" s="4" t="s">
        <v>1374</v>
      </c>
      <c r="Q1063" s="4"/>
      <c r="R1063" s="4"/>
      <c r="S1063" s="4"/>
      <c r="T1063" s="4"/>
      <c r="U1063" s="4">
        <v>1.0</v>
      </c>
      <c r="V1063" s="4" t="s">
        <v>8490</v>
      </c>
      <c r="W1063" s="4" t="s">
        <v>7197</v>
      </c>
      <c r="X1063" s="4">
        <v>43952.833333333336</v>
      </c>
      <c r="Y1063" s="4" t="s">
        <v>8491</v>
      </c>
      <c r="Z1063" s="4" t="s">
        <v>873</v>
      </c>
      <c r="AA1063" s="4"/>
    </row>
    <row r="1064">
      <c r="A1064" s="4" t="s">
        <v>8492</v>
      </c>
      <c r="B1064" s="4" t="s">
        <v>19</v>
      </c>
      <c r="C1064" s="4" t="s">
        <v>7269</v>
      </c>
      <c r="D1064" s="4">
        <v>44007.0</v>
      </c>
      <c r="E1064" s="4">
        <v>0.5414930555555562</v>
      </c>
      <c r="F1064" s="4">
        <v>1.7361111111111112E-4</v>
      </c>
      <c r="G1064" s="4">
        <v>0.5416666666666673</v>
      </c>
      <c r="H1064" s="4" t="s">
        <v>1944</v>
      </c>
      <c r="I1064" s="4" t="s">
        <v>314</v>
      </c>
      <c r="J1064" s="4" t="s">
        <v>314</v>
      </c>
      <c r="K1064" s="4" t="s">
        <v>1017</v>
      </c>
      <c r="L1064" s="4" t="s">
        <v>85</v>
      </c>
      <c r="M1064" s="4"/>
      <c r="N1064" s="4"/>
      <c r="O1064" s="4" t="s">
        <v>85</v>
      </c>
      <c r="P1064" s="4"/>
      <c r="Q1064" s="4"/>
      <c r="R1064" s="4"/>
      <c r="S1064" s="4"/>
      <c r="T1064" s="4"/>
      <c r="U1064" s="4">
        <v>0.0</v>
      </c>
      <c r="V1064" s="4"/>
      <c r="W1064" s="4"/>
      <c r="X1064" s="4"/>
      <c r="Y1064" s="4"/>
      <c r="Z1064" s="4"/>
      <c r="AA1064" s="4"/>
    </row>
    <row r="1065">
      <c r="A1065" s="4" t="s">
        <v>8493</v>
      </c>
      <c r="B1065" s="4" t="s">
        <v>19</v>
      </c>
      <c r="C1065" s="4" t="s">
        <v>7269</v>
      </c>
      <c r="D1065" s="4">
        <v>44007.0</v>
      </c>
      <c r="E1065" s="4">
        <v>0.5416666666666673</v>
      </c>
      <c r="F1065" s="4">
        <v>3.4722222222222224E-4</v>
      </c>
      <c r="G1065" s="4">
        <v>0.5420138888888896</v>
      </c>
      <c r="H1065" s="4" t="s">
        <v>1944</v>
      </c>
      <c r="I1065" s="4"/>
      <c r="J1065" s="4"/>
      <c r="K1065" s="4" t="s">
        <v>280</v>
      </c>
      <c r="L1065" s="4" t="s">
        <v>81</v>
      </c>
      <c r="M1065" s="4"/>
      <c r="N1065" s="4"/>
      <c r="O1065" s="4" t="s">
        <v>81</v>
      </c>
      <c r="P1065" s="4"/>
      <c r="Q1065" s="4"/>
      <c r="R1065" s="4"/>
      <c r="S1065" s="4"/>
      <c r="T1065" s="4"/>
      <c r="U1065" s="4"/>
      <c r="V1065" s="4"/>
      <c r="W1065" s="4"/>
      <c r="X1065" s="4"/>
      <c r="Y1065" s="4"/>
      <c r="Z1065" s="4"/>
      <c r="AA1065" s="4"/>
    </row>
    <row r="1066">
      <c r="A1066" s="4" t="s">
        <v>8494</v>
      </c>
      <c r="B1066" s="4" t="s">
        <v>19</v>
      </c>
      <c r="C1066" s="4" t="s">
        <v>7269</v>
      </c>
      <c r="D1066" s="4">
        <v>44007.0</v>
      </c>
      <c r="E1066" s="4">
        <v>0.5420138888888896</v>
      </c>
      <c r="F1066" s="4">
        <v>0.010763888888888889</v>
      </c>
      <c r="G1066" s="4">
        <v>0.5527777777777785</v>
      </c>
      <c r="H1066" s="4" t="s">
        <v>860</v>
      </c>
      <c r="I1066" s="4" t="s">
        <v>6993</v>
      </c>
      <c r="J1066" s="4" t="s">
        <v>6938</v>
      </c>
      <c r="K1066" s="4" t="s">
        <v>280</v>
      </c>
      <c r="L1066" s="4" t="s">
        <v>94</v>
      </c>
      <c r="M1066" s="4"/>
      <c r="N1066" s="4" t="s">
        <v>6858</v>
      </c>
      <c r="O1066" s="4" t="s">
        <v>1385</v>
      </c>
      <c r="P1066" s="4" t="s">
        <v>1386</v>
      </c>
      <c r="Q1066" s="4"/>
      <c r="R1066" s="4"/>
      <c r="S1066" s="4"/>
      <c r="T1066" s="4" t="s">
        <v>1387</v>
      </c>
      <c r="U1066" s="4"/>
      <c r="V1066" s="4" t="s">
        <v>8495</v>
      </c>
      <c r="W1066" s="4"/>
      <c r="X1066" s="4"/>
      <c r="Y1066" s="4"/>
      <c r="Z1066" s="4"/>
      <c r="AA1066" s="4"/>
    </row>
    <row r="1067">
      <c r="A1067" s="4" t="s">
        <v>8496</v>
      </c>
      <c r="B1067" s="4" t="s">
        <v>19</v>
      </c>
      <c r="C1067" s="4" t="s">
        <v>7269</v>
      </c>
      <c r="D1067" s="4">
        <v>44007.0</v>
      </c>
      <c r="E1067" s="4">
        <v>0.5527777777777785</v>
      </c>
      <c r="F1067" s="4">
        <v>1.7361111111111112E-4</v>
      </c>
      <c r="G1067" s="4">
        <v>0.5529513888888896</v>
      </c>
      <c r="H1067" s="4" t="s">
        <v>1944</v>
      </c>
      <c r="I1067" s="4"/>
      <c r="J1067" s="4"/>
      <c r="K1067" s="4" t="s">
        <v>280</v>
      </c>
      <c r="L1067" s="4" t="s">
        <v>85</v>
      </c>
      <c r="M1067" s="4"/>
      <c r="N1067" s="4"/>
      <c r="O1067" s="4" t="s">
        <v>85</v>
      </c>
      <c r="P1067" s="4"/>
      <c r="Q1067" s="4"/>
      <c r="R1067" s="4"/>
      <c r="S1067" s="4"/>
      <c r="T1067" s="4"/>
      <c r="U1067" s="4"/>
      <c r="V1067" s="4"/>
      <c r="W1067" s="4"/>
      <c r="X1067" s="4"/>
      <c r="Y1067" s="4"/>
      <c r="Z1067" s="4"/>
      <c r="AA1067" s="4"/>
    </row>
    <row r="1068">
      <c r="A1068" s="4" t="s">
        <v>8497</v>
      </c>
      <c r="B1068" s="4" t="s">
        <v>19</v>
      </c>
      <c r="C1068" s="4" t="s">
        <v>7269</v>
      </c>
      <c r="D1068" s="4">
        <v>44007.0</v>
      </c>
      <c r="E1068" s="4">
        <v>0.5529513888888896</v>
      </c>
      <c r="F1068" s="4">
        <v>0.0012152777777777778</v>
      </c>
      <c r="G1068" s="4">
        <v>0.5541666666666674</v>
      </c>
      <c r="H1068" s="4" t="s">
        <v>1944</v>
      </c>
      <c r="I1068" s="4"/>
      <c r="J1068" s="4"/>
      <c r="K1068" s="4" t="s">
        <v>280</v>
      </c>
      <c r="L1068" s="4" t="s">
        <v>79</v>
      </c>
      <c r="M1068" s="4"/>
      <c r="N1068" s="4"/>
      <c r="O1068" s="4" t="s">
        <v>79</v>
      </c>
      <c r="P1068" s="4"/>
      <c r="Q1068" s="4"/>
      <c r="R1068" s="4"/>
      <c r="S1068" s="4"/>
      <c r="T1068" s="4"/>
      <c r="U1068" s="4"/>
      <c r="V1068" s="4"/>
      <c r="W1068" s="4"/>
      <c r="X1068" s="4"/>
      <c r="Y1068" s="4"/>
      <c r="Z1068" s="4"/>
      <c r="AA1068" s="4"/>
    </row>
    <row r="1069">
      <c r="A1069" s="4" t="s">
        <v>8498</v>
      </c>
      <c r="B1069" s="4" t="s">
        <v>19</v>
      </c>
      <c r="C1069" s="4" t="s">
        <v>7269</v>
      </c>
      <c r="D1069" s="4">
        <v>44007.0</v>
      </c>
      <c r="E1069" s="4">
        <v>0.5541666666666674</v>
      </c>
      <c r="F1069" s="4">
        <v>3.4722222222222224E-4</v>
      </c>
      <c r="G1069" s="4">
        <v>0.5545138888888896</v>
      </c>
      <c r="H1069" s="4" t="s">
        <v>1944</v>
      </c>
      <c r="I1069" s="4" t="s">
        <v>314</v>
      </c>
      <c r="J1069" s="4" t="s">
        <v>314</v>
      </c>
      <c r="K1069" s="4" t="s">
        <v>280</v>
      </c>
      <c r="L1069" s="4" t="s">
        <v>81</v>
      </c>
      <c r="M1069" s="4"/>
      <c r="N1069" s="4"/>
      <c r="O1069" s="4" t="s">
        <v>81</v>
      </c>
      <c r="P1069" s="4"/>
      <c r="Q1069" s="4"/>
      <c r="R1069" s="4"/>
      <c r="S1069" s="4"/>
      <c r="T1069" s="4"/>
      <c r="U1069" s="4">
        <v>0.0</v>
      </c>
      <c r="V1069" s="4"/>
      <c r="W1069" s="4"/>
      <c r="X1069" s="4"/>
      <c r="Y1069" s="4"/>
      <c r="Z1069" s="4"/>
      <c r="AA1069" s="4"/>
    </row>
    <row r="1070">
      <c r="A1070" s="4" t="s">
        <v>8499</v>
      </c>
      <c r="B1070" s="4" t="s">
        <v>19</v>
      </c>
      <c r="C1070" s="4" t="s">
        <v>7269</v>
      </c>
      <c r="D1070" s="4">
        <v>44007.0</v>
      </c>
      <c r="E1070" s="4">
        <v>0.5545138888888896</v>
      </c>
      <c r="F1070" s="4">
        <v>0.010416666666666666</v>
      </c>
      <c r="G1070" s="4">
        <v>0.5649305555555563</v>
      </c>
      <c r="H1070" s="4" t="s">
        <v>860</v>
      </c>
      <c r="I1070" s="4" t="s">
        <v>6993</v>
      </c>
      <c r="J1070" s="4" t="s">
        <v>6938</v>
      </c>
      <c r="K1070" s="4" t="s">
        <v>280</v>
      </c>
      <c r="L1070" s="4" t="s">
        <v>94</v>
      </c>
      <c r="M1070" s="4" t="s">
        <v>7474</v>
      </c>
      <c r="N1070" s="4" t="s">
        <v>6702</v>
      </c>
      <c r="O1070" s="4" t="s">
        <v>4345</v>
      </c>
      <c r="P1070" s="4" t="s">
        <v>361</v>
      </c>
      <c r="Q1070" s="4"/>
      <c r="R1070" s="4"/>
      <c r="S1070" s="4"/>
      <c r="T1070" s="4" t="s">
        <v>361</v>
      </c>
      <c r="U1070" s="4"/>
      <c r="V1070" s="4" t="s">
        <v>4345</v>
      </c>
      <c r="W1070" s="4"/>
      <c r="X1070" s="4"/>
      <c r="Y1070" s="4"/>
      <c r="Z1070" s="4"/>
      <c r="AA1070" s="4"/>
    </row>
    <row r="1071">
      <c r="A1071" s="4" t="s">
        <v>8500</v>
      </c>
      <c r="B1071" s="4" t="s">
        <v>19</v>
      </c>
      <c r="C1071" s="4" t="s">
        <v>7269</v>
      </c>
      <c r="D1071" s="4">
        <v>44007.0</v>
      </c>
      <c r="E1071" s="4">
        <v>0.5649305555555563</v>
      </c>
      <c r="F1071" s="4">
        <v>3.4722222222222224E-4</v>
      </c>
      <c r="G1071" s="4">
        <v>0.5652777777777785</v>
      </c>
      <c r="H1071" s="4" t="s">
        <v>1944</v>
      </c>
      <c r="I1071" s="4" t="s">
        <v>314</v>
      </c>
      <c r="J1071" s="4" t="s">
        <v>314</v>
      </c>
      <c r="K1071" s="4" t="s">
        <v>280</v>
      </c>
      <c r="L1071" s="4" t="s">
        <v>85</v>
      </c>
      <c r="M1071" s="4"/>
      <c r="N1071" s="4"/>
      <c r="O1071" s="4" t="s">
        <v>85</v>
      </c>
      <c r="P1071" s="4"/>
      <c r="Q1071" s="4"/>
      <c r="R1071" s="4"/>
      <c r="S1071" s="4"/>
      <c r="T1071" s="4"/>
      <c r="U1071" s="4">
        <v>0.0</v>
      </c>
      <c r="V1071" s="4"/>
      <c r="W1071" s="4"/>
      <c r="X1071" s="4"/>
      <c r="Y1071" s="4"/>
      <c r="Z1071" s="4"/>
      <c r="AA1071" s="4"/>
    </row>
    <row r="1072">
      <c r="A1072" s="4" t="s">
        <v>8501</v>
      </c>
      <c r="B1072" s="4" t="s">
        <v>19</v>
      </c>
      <c r="C1072" s="4" t="s">
        <v>7269</v>
      </c>
      <c r="D1072" s="4">
        <v>44007.0</v>
      </c>
      <c r="E1072" s="4">
        <v>0.5652777777777785</v>
      </c>
      <c r="F1072" s="4">
        <v>3.4722222222222224E-4</v>
      </c>
      <c r="G1072" s="4">
        <v>0.5656250000000008</v>
      </c>
      <c r="H1072" s="4" t="s">
        <v>1944</v>
      </c>
      <c r="I1072" s="4" t="s">
        <v>314</v>
      </c>
      <c r="J1072" s="4" t="s">
        <v>314</v>
      </c>
      <c r="K1072" s="4" t="s">
        <v>280</v>
      </c>
      <c r="L1072" s="4" t="s">
        <v>81</v>
      </c>
      <c r="M1072" s="4"/>
      <c r="N1072" s="4"/>
      <c r="O1072" s="4" t="s">
        <v>1127</v>
      </c>
      <c r="P1072" s="4"/>
      <c r="Q1072" s="4"/>
      <c r="R1072" s="4"/>
      <c r="S1072" s="4"/>
      <c r="T1072" s="4"/>
      <c r="U1072" s="4">
        <v>0.0</v>
      </c>
      <c r="V1072" s="4"/>
      <c r="W1072" s="4"/>
      <c r="X1072" s="4"/>
      <c r="Y1072" s="4"/>
      <c r="Z1072" s="4"/>
      <c r="AA1072" s="4"/>
    </row>
    <row r="1073">
      <c r="A1073" s="4" t="s">
        <v>8502</v>
      </c>
      <c r="B1073" s="4" t="s">
        <v>19</v>
      </c>
      <c r="C1073" s="4" t="s">
        <v>7269</v>
      </c>
      <c r="D1073" s="4">
        <v>44007.0</v>
      </c>
      <c r="E1073" s="4">
        <v>0.5656250000000008</v>
      </c>
      <c r="F1073" s="4">
        <v>0.008333333333333333</v>
      </c>
      <c r="G1073" s="4">
        <v>0.5739583333333341</v>
      </c>
      <c r="H1073" s="4" t="s">
        <v>860</v>
      </c>
      <c r="I1073" s="4" t="s">
        <v>6993</v>
      </c>
      <c r="J1073" s="4" t="s">
        <v>6938</v>
      </c>
      <c r="K1073" s="4" t="s">
        <v>280</v>
      </c>
      <c r="L1073" s="4" t="s">
        <v>94</v>
      </c>
      <c r="M1073" s="4" t="s">
        <v>7474</v>
      </c>
      <c r="N1073" s="4" t="s">
        <v>6702</v>
      </c>
      <c r="O1073" s="4" t="s">
        <v>8503</v>
      </c>
      <c r="P1073" s="4" t="s">
        <v>1402</v>
      </c>
      <c r="Q1073" s="4"/>
      <c r="R1073" s="4"/>
      <c r="S1073" s="4"/>
      <c r="T1073" s="4" t="s">
        <v>425</v>
      </c>
      <c r="U1073" s="4">
        <v>2.0</v>
      </c>
      <c r="V1073" s="4" t="s">
        <v>8504</v>
      </c>
      <c r="W1073" s="4" t="s">
        <v>6855</v>
      </c>
      <c r="X1073" s="4"/>
      <c r="Y1073" s="4"/>
      <c r="Z1073" s="4"/>
      <c r="AA1073" s="4"/>
    </row>
    <row r="1074">
      <c r="A1074" s="4" t="s">
        <v>8505</v>
      </c>
      <c r="B1074" s="4" t="s">
        <v>19</v>
      </c>
      <c r="C1074" s="4" t="s">
        <v>7269</v>
      </c>
      <c r="D1074" s="4">
        <v>44007.0</v>
      </c>
      <c r="E1074" s="4">
        <v>0.5739583333333341</v>
      </c>
      <c r="F1074" s="4">
        <v>1.7361111111111112E-4</v>
      </c>
      <c r="G1074" s="4">
        <v>0.5741319444444453</v>
      </c>
      <c r="H1074" s="4" t="s">
        <v>1944</v>
      </c>
      <c r="I1074" s="4" t="s">
        <v>314</v>
      </c>
      <c r="J1074" s="4" t="s">
        <v>314</v>
      </c>
      <c r="K1074" s="4" t="s">
        <v>280</v>
      </c>
      <c r="L1074" s="4" t="s">
        <v>85</v>
      </c>
      <c r="M1074" s="4"/>
      <c r="N1074" s="4"/>
      <c r="O1074" s="4" t="s">
        <v>85</v>
      </c>
      <c r="P1074" s="4"/>
      <c r="Q1074" s="4"/>
      <c r="R1074" s="4"/>
      <c r="S1074" s="4"/>
      <c r="T1074" s="4"/>
      <c r="U1074" s="4">
        <v>0.0</v>
      </c>
      <c r="V1074" s="4"/>
      <c r="W1074" s="4"/>
      <c r="X1074" s="4"/>
      <c r="Y1074" s="4"/>
      <c r="Z1074" s="4"/>
      <c r="AA1074" s="4"/>
    </row>
    <row r="1075">
      <c r="A1075" s="4" t="s">
        <v>8506</v>
      </c>
      <c r="B1075" s="4" t="s">
        <v>19</v>
      </c>
      <c r="C1075" s="4" t="s">
        <v>7269</v>
      </c>
      <c r="D1075" s="4">
        <v>44007.0</v>
      </c>
      <c r="E1075" s="4">
        <v>0.5741319444444453</v>
      </c>
      <c r="F1075" s="4">
        <v>3.4722222222222224E-4</v>
      </c>
      <c r="G1075" s="4">
        <v>0.5744791666666675</v>
      </c>
      <c r="H1075" s="4" t="s">
        <v>1944</v>
      </c>
      <c r="I1075" s="4" t="s">
        <v>314</v>
      </c>
      <c r="J1075" s="4" t="s">
        <v>314</v>
      </c>
      <c r="K1075" s="4" t="s">
        <v>280</v>
      </c>
      <c r="L1075" s="4" t="s">
        <v>81</v>
      </c>
      <c r="M1075" s="4"/>
      <c r="N1075" s="4"/>
      <c r="O1075" s="4" t="s">
        <v>1127</v>
      </c>
      <c r="P1075" s="4"/>
      <c r="Q1075" s="4"/>
      <c r="R1075" s="4"/>
      <c r="S1075" s="4"/>
      <c r="T1075" s="4"/>
      <c r="U1075" s="4">
        <v>0.0</v>
      </c>
      <c r="V1075" s="4"/>
      <c r="W1075" s="4"/>
      <c r="X1075" s="4"/>
      <c r="Y1075" s="4"/>
      <c r="Z1075" s="4"/>
      <c r="AA1075" s="4"/>
    </row>
    <row r="1076">
      <c r="A1076" s="4" t="s">
        <v>8507</v>
      </c>
      <c r="B1076" s="4" t="s">
        <v>19</v>
      </c>
      <c r="C1076" s="4" t="s">
        <v>7269</v>
      </c>
      <c r="D1076" s="4">
        <v>44007.0</v>
      </c>
      <c r="E1076" s="4">
        <v>0.5744791666666675</v>
      </c>
      <c r="F1076" s="4">
        <v>0.008680555555555556</v>
      </c>
      <c r="G1076" s="4">
        <v>0.5831597222222231</v>
      </c>
      <c r="H1076" s="4" t="s">
        <v>860</v>
      </c>
      <c r="I1076" s="4" t="s">
        <v>6993</v>
      </c>
      <c r="J1076" s="4" t="s">
        <v>6938</v>
      </c>
      <c r="K1076" s="4" t="s">
        <v>280</v>
      </c>
      <c r="L1076" s="4" t="s">
        <v>107</v>
      </c>
      <c r="M1076" s="4" t="s">
        <v>7482</v>
      </c>
      <c r="N1076" s="4" t="s">
        <v>6749</v>
      </c>
      <c r="O1076" s="4" t="s">
        <v>1396</v>
      </c>
      <c r="P1076" s="4" t="s">
        <v>1397</v>
      </c>
      <c r="Q1076" s="4" t="s">
        <v>1398</v>
      </c>
      <c r="R1076" s="4"/>
      <c r="S1076" s="4"/>
      <c r="T1076" s="4" t="s">
        <v>1399</v>
      </c>
      <c r="U1076" s="4">
        <v>3.0</v>
      </c>
      <c r="V1076" s="4" t="s">
        <v>8508</v>
      </c>
      <c r="W1076" s="4" t="s">
        <v>6855</v>
      </c>
      <c r="X1076" s="4"/>
      <c r="Y1076" s="4"/>
      <c r="Z1076" s="4"/>
      <c r="AA1076" s="4"/>
    </row>
    <row r="1077">
      <c r="A1077" s="4" t="s">
        <v>8509</v>
      </c>
      <c r="B1077" s="4" t="s">
        <v>19</v>
      </c>
      <c r="C1077" s="4" t="s">
        <v>7269</v>
      </c>
      <c r="D1077" s="4">
        <v>44007.0</v>
      </c>
      <c r="E1077" s="4">
        <v>0.5831597222222231</v>
      </c>
      <c r="F1077" s="4">
        <v>1.7361111111111112E-4</v>
      </c>
      <c r="G1077" s="4">
        <v>0.5833333333333343</v>
      </c>
      <c r="H1077" s="4" t="s">
        <v>1944</v>
      </c>
      <c r="I1077" s="4" t="s">
        <v>314</v>
      </c>
      <c r="J1077" s="4" t="s">
        <v>314</v>
      </c>
      <c r="K1077" s="4" t="s">
        <v>280</v>
      </c>
      <c r="L1077" s="4" t="s">
        <v>85</v>
      </c>
      <c r="M1077" s="4"/>
      <c r="N1077" s="4"/>
      <c r="O1077" s="4" t="s">
        <v>85</v>
      </c>
      <c r="P1077" s="4"/>
      <c r="Q1077" s="4"/>
      <c r="R1077" s="4"/>
      <c r="S1077" s="4"/>
      <c r="T1077" s="4"/>
      <c r="U1077" s="4">
        <v>0.0</v>
      </c>
      <c r="V1077" s="4"/>
      <c r="W1077" s="4"/>
      <c r="X1077" s="4"/>
      <c r="Y1077" s="4"/>
      <c r="Z1077" s="4"/>
      <c r="AA1077" s="4"/>
    </row>
    <row r="1078">
      <c r="A1078" s="4" t="s">
        <v>8510</v>
      </c>
      <c r="B1078" s="4" t="s">
        <v>19</v>
      </c>
      <c r="C1078" s="4" t="s">
        <v>7269</v>
      </c>
      <c r="D1078" s="4">
        <v>44007.0</v>
      </c>
      <c r="E1078" s="4">
        <v>0.5833333333333343</v>
      </c>
      <c r="F1078" s="4">
        <v>3.4722222222222224E-4</v>
      </c>
      <c r="G1078" s="4">
        <v>0.5836805555555565</v>
      </c>
      <c r="H1078" s="4" t="s">
        <v>1944</v>
      </c>
      <c r="I1078" s="4" t="s">
        <v>314</v>
      </c>
      <c r="J1078" s="4" t="s">
        <v>314</v>
      </c>
      <c r="K1078" s="4" t="s">
        <v>1345</v>
      </c>
      <c r="L1078" s="4" t="s">
        <v>81</v>
      </c>
      <c r="M1078" s="4"/>
      <c r="N1078" s="4"/>
      <c r="O1078" s="4" t="s">
        <v>81</v>
      </c>
      <c r="P1078" s="4"/>
      <c r="Q1078" s="4"/>
      <c r="R1078" s="4"/>
      <c r="S1078" s="4"/>
      <c r="T1078" s="4"/>
      <c r="U1078" s="4">
        <v>0.0</v>
      </c>
      <c r="V1078" s="4"/>
      <c r="W1078" s="4"/>
      <c r="X1078" s="4"/>
      <c r="Y1078" s="4"/>
      <c r="Z1078" s="4"/>
      <c r="AA1078" s="4"/>
    </row>
    <row r="1079">
      <c r="A1079" s="4" t="s">
        <v>8511</v>
      </c>
      <c r="B1079" s="4" t="s">
        <v>19</v>
      </c>
      <c r="C1079" s="4" t="s">
        <v>7269</v>
      </c>
      <c r="D1079" s="4">
        <v>44007.0</v>
      </c>
      <c r="E1079" s="4">
        <v>0.5836805555555565</v>
      </c>
      <c r="F1079" s="4">
        <v>0.006944444444444444</v>
      </c>
      <c r="G1079" s="4">
        <v>0.590625000000001</v>
      </c>
      <c r="H1079" s="4" t="s">
        <v>1055</v>
      </c>
      <c r="I1079" s="4" t="s">
        <v>314</v>
      </c>
      <c r="J1079" s="4" t="s">
        <v>6903</v>
      </c>
      <c r="K1079" s="4" t="s">
        <v>1345</v>
      </c>
      <c r="L1079" s="4" t="s">
        <v>165</v>
      </c>
      <c r="M1079" s="4" t="s">
        <v>7905</v>
      </c>
      <c r="N1079" s="4" t="s">
        <v>7475</v>
      </c>
      <c r="O1079" s="4" t="s">
        <v>3609</v>
      </c>
      <c r="P1079" s="4" t="s">
        <v>1795</v>
      </c>
      <c r="Q1079" s="4"/>
      <c r="R1079" s="4"/>
      <c r="S1079" s="4"/>
      <c r="T1079" s="4"/>
      <c r="U1079" s="4">
        <v>1.0</v>
      </c>
      <c r="V1079" s="4" t="s">
        <v>8512</v>
      </c>
      <c r="W1079" s="4" t="s">
        <v>7284</v>
      </c>
      <c r="X1079" s="4">
        <v>43945.625</v>
      </c>
      <c r="Y1079" s="4" t="s">
        <v>8513</v>
      </c>
      <c r="Z1079" s="4" t="s">
        <v>860</v>
      </c>
      <c r="AA1079" s="4"/>
    </row>
    <row r="1080">
      <c r="A1080" s="4" t="s">
        <v>8514</v>
      </c>
      <c r="B1080" s="4" t="s">
        <v>19</v>
      </c>
      <c r="C1080" s="4" t="s">
        <v>7269</v>
      </c>
      <c r="D1080" s="4">
        <v>44007.0</v>
      </c>
      <c r="E1080" s="4">
        <v>0.590625000000001</v>
      </c>
      <c r="F1080" s="4">
        <v>1.7361111111111112E-4</v>
      </c>
      <c r="G1080" s="4">
        <v>0.5907986111111121</v>
      </c>
      <c r="H1080" s="4" t="s">
        <v>1944</v>
      </c>
      <c r="I1080" s="4" t="s">
        <v>314</v>
      </c>
      <c r="J1080" s="4" t="s">
        <v>314</v>
      </c>
      <c r="K1080" s="4" t="s">
        <v>1345</v>
      </c>
      <c r="L1080" s="4" t="s">
        <v>85</v>
      </c>
      <c r="M1080" s="4"/>
      <c r="N1080" s="4"/>
      <c r="O1080" s="4" t="s">
        <v>7241</v>
      </c>
      <c r="P1080" s="4"/>
      <c r="Q1080" s="4"/>
      <c r="R1080" s="4"/>
      <c r="S1080" s="4"/>
      <c r="T1080" s="4"/>
      <c r="U1080" s="4">
        <v>0.0</v>
      </c>
      <c r="V1080" s="4"/>
      <c r="W1080" s="4"/>
      <c r="X1080" s="4"/>
      <c r="Y1080" s="4"/>
      <c r="Z1080" s="4"/>
      <c r="AA1080" s="4"/>
    </row>
    <row r="1081">
      <c r="A1081" s="4" t="s">
        <v>8515</v>
      </c>
      <c r="B1081" s="4" t="s">
        <v>19</v>
      </c>
      <c r="C1081" s="4" t="s">
        <v>7269</v>
      </c>
      <c r="D1081" s="4">
        <v>44007.0</v>
      </c>
      <c r="E1081" s="4">
        <v>0.5907986111111121</v>
      </c>
      <c r="F1081" s="4">
        <v>3.4722222222222224E-4</v>
      </c>
      <c r="G1081" s="4">
        <v>0.5911458333333344</v>
      </c>
      <c r="H1081" s="4" t="s">
        <v>1944</v>
      </c>
      <c r="I1081" s="4" t="s">
        <v>314</v>
      </c>
      <c r="J1081" s="4" t="s">
        <v>314</v>
      </c>
      <c r="K1081" s="4" t="s">
        <v>1345</v>
      </c>
      <c r="L1081" s="4" t="s">
        <v>81</v>
      </c>
      <c r="M1081" s="4"/>
      <c r="N1081" s="4"/>
      <c r="O1081" s="4" t="s">
        <v>6878</v>
      </c>
      <c r="P1081" s="4"/>
      <c r="Q1081" s="4"/>
      <c r="R1081" s="4"/>
      <c r="S1081" s="4"/>
      <c r="T1081" s="4"/>
      <c r="U1081" s="4">
        <v>0.0</v>
      </c>
      <c r="V1081" s="4"/>
      <c r="W1081" s="4"/>
      <c r="X1081" s="4"/>
      <c r="Y1081" s="4"/>
      <c r="Z1081" s="4"/>
      <c r="AA1081" s="4"/>
    </row>
    <row r="1082">
      <c r="A1082" s="4" t="s">
        <v>8516</v>
      </c>
      <c r="B1082" s="4" t="s">
        <v>19</v>
      </c>
      <c r="C1082" s="4" t="s">
        <v>7269</v>
      </c>
      <c r="D1082" s="4">
        <v>44007.0</v>
      </c>
      <c r="E1082" s="4">
        <v>0.5911458333333344</v>
      </c>
      <c r="F1082" s="4">
        <v>0.0020833333333333333</v>
      </c>
      <c r="G1082" s="4">
        <v>0.5932291666666677</v>
      </c>
      <c r="H1082" s="4" t="s">
        <v>630</v>
      </c>
      <c r="I1082" s="4" t="s">
        <v>314</v>
      </c>
      <c r="J1082" s="4" t="s">
        <v>15</v>
      </c>
      <c r="K1082" s="4" t="s">
        <v>1345</v>
      </c>
      <c r="L1082" s="4" t="s">
        <v>165</v>
      </c>
      <c r="M1082" s="4" t="s">
        <v>7505</v>
      </c>
      <c r="N1082" s="4" t="s">
        <v>6720</v>
      </c>
      <c r="O1082" s="4" t="s">
        <v>1413</v>
      </c>
      <c r="P1082" s="4" t="s">
        <v>1414</v>
      </c>
      <c r="Q1082" s="4"/>
      <c r="R1082" s="4"/>
      <c r="S1082" s="4"/>
      <c r="T1082" s="4"/>
      <c r="U1082" s="4">
        <v>1.0</v>
      </c>
      <c r="V1082" s="4" t="s">
        <v>8517</v>
      </c>
      <c r="W1082" s="4" t="s">
        <v>6890</v>
      </c>
      <c r="X1082" s="4">
        <v>43957.0</v>
      </c>
      <c r="Y1082" s="4"/>
      <c r="Z1082" s="4" t="s">
        <v>630</v>
      </c>
      <c r="AA1082" s="4"/>
    </row>
    <row r="1083">
      <c r="A1083" s="4" t="s">
        <v>8518</v>
      </c>
      <c r="B1083" s="4" t="s">
        <v>19</v>
      </c>
      <c r="C1083" s="4" t="s">
        <v>7269</v>
      </c>
      <c r="D1083" s="4">
        <v>44007.0</v>
      </c>
      <c r="E1083" s="4">
        <v>0.5932291666666677</v>
      </c>
      <c r="F1083" s="4">
        <v>1.7361111111111112E-4</v>
      </c>
      <c r="G1083" s="4">
        <v>0.5934027777777788</v>
      </c>
      <c r="H1083" s="4" t="s">
        <v>1944</v>
      </c>
      <c r="I1083" s="4" t="s">
        <v>314</v>
      </c>
      <c r="J1083" s="4" t="s">
        <v>314</v>
      </c>
      <c r="K1083" s="4" t="s">
        <v>1345</v>
      </c>
      <c r="L1083" s="4" t="s">
        <v>85</v>
      </c>
      <c r="M1083" s="4"/>
      <c r="N1083" s="4"/>
      <c r="O1083" s="4" t="s">
        <v>7241</v>
      </c>
      <c r="P1083" s="4"/>
      <c r="Q1083" s="4"/>
      <c r="R1083" s="4"/>
      <c r="S1083" s="4"/>
      <c r="T1083" s="4"/>
      <c r="U1083" s="4">
        <v>0.0</v>
      </c>
      <c r="V1083" s="4"/>
      <c r="W1083" s="4"/>
      <c r="X1083" s="4"/>
      <c r="Y1083" s="4"/>
      <c r="Z1083" s="4"/>
      <c r="AA1083" s="4"/>
    </row>
    <row r="1084">
      <c r="A1084" s="4" t="s">
        <v>8519</v>
      </c>
      <c r="B1084" s="4" t="s">
        <v>19</v>
      </c>
      <c r="C1084" s="4" t="s">
        <v>7269</v>
      </c>
      <c r="D1084" s="4">
        <v>44007.0</v>
      </c>
      <c r="E1084" s="4">
        <v>0.5934027777777788</v>
      </c>
      <c r="F1084" s="4">
        <v>3.4722222222222224E-4</v>
      </c>
      <c r="G1084" s="4">
        <v>0.5937500000000011</v>
      </c>
      <c r="H1084" s="4" t="s">
        <v>1215</v>
      </c>
      <c r="I1084" s="4"/>
      <c r="J1084" s="4"/>
      <c r="K1084" s="4" t="s">
        <v>1345</v>
      </c>
      <c r="L1084" s="4" t="s">
        <v>506</v>
      </c>
      <c r="M1084" s="4"/>
      <c r="N1084" s="4"/>
      <c r="O1084" s="4" t="s">
        <v>506</v>
      </c>
      <c r="P1084" s="4"/>
      <c r="Q1084" s="4"/>
      <c r="R1084" s="4"/>
      <c r="S1084" s="4"/>
      <c r="T1084" s="4"/>
      <c r="U1084" s="4"/>
      <c r="V1084" s="4"/>
      <c r="W1084" s="4"/>
      <c r="X1084" s="4"/>
      <c r="Y1084" s="4"/>
      <c r="Z1084" s="4"/>
      <c r="AA1084" s="4"/>
    </row>
    <row r="1085">
      <c r="A1085" s="4" t="s">
        <v>8520</v>
      </c>
      <c r="B1085" s="4" t="s">
        <v>19</v>
      </c>
      <c r="C1085" s="4" t="s">
        <v>7269</v>
      </c>
      <c r="D1085" s="4">
        <v>44007.0</v>
      </c>
      <c r="E1085" s="4">
        <v>0.5937500000000011</v>
      </c>
      <c r="F1085" s="4">
        <v>3.4722222222222224E-4</v>
      </c>
      <c r="G1085" s="4">
        <v>0.5940972222222234</v>
      </c>
      <c r="H1085" s="4" t="s">
        <v>1944</v>
      </c>
      <c r="I1085" s="4" t="s">
        <v>314</v>
      </c>
      <c r="J1085" s="4" t="s">
        <v>314</v>
      </c>
      <c r="K1085" s="4" t="s">
        <v>1345</v>
      </c>
      <c r="L1085" s="4" t="s">
        <v>81</v>
      </c>
      <c r="M1085" s="4"/>
      <c r="N1085" s="4"/>
      <c r="O1085" s="4" t="s">
        <v>6878</v>
      </c>
      <c r="P1085" s="4"/>
      <c r="Q1085" s="4"/>
      <c r="R1085" s="4"/>
      <c r="S1085" s="4"/>
      <c r="T1085" s="4"/>
      <c r="U1085" s="4">
        <v>0.0</v>
      </c>
      <c r="V1085" s="4"/>
      <c r="W1085" s="4"/>
      <c r="X1085" s="4"/>
      <c r="Y1085" s="4"/>
      <c r="Z1085" s="4"/>
      <c r="AA1085" s="4"/>
    </row>
    <row r="1086">
      <c r="A1086" s="4" t="s">
        <v>8521</v>
      </c>
      <c r="B1086" s="4" t="s">
        <v>19</v>
      </c>
      <c r="C1086" s="4" t="s">
        <v>7269</v>
      </c>
      <c r="D1086" s="4">
        <v>44007.0</v>
      </c>
      <c r="E1086" s="4">
        <v>0.5940972222222234</v>
      </c>
      <c r="F1086" s="4">
        <v>0.006944444444444444</v>
      </c>
      <c r="G1086" s="4">
        <v>0.6010416666666678</v>
      </c>
      <c r="H1086" s="4" t="s">
        <v>1055</v>
      </c>
      <c r="I1086" s="4" t="s">
        <v>314</v>
      </c>
      <c r="J1086" s="4" t="s">
        <v>6903</v>
      </c>
      <c r="K1086" s="4" t="s">
        <v>1345</v>
      </c>
      <c r="L1086" s="4" t="s">
        <v>165</v>
      </c>
      <c r="M1086" s="4" t="s">
        <v>7905</v>
      </c>
      <c r="N1086" s="4" t="s">
        <v>6720</v>
      </c>
      <c r="O1086" s="4" t="s">
        <v>8522</v>
      </c>
      <c r="P1086" s="4" t="s">
        <v>1418</v>
      </c>
      <c r="Q1086" s="4"/>
      <c r="R1086" s="4"/>
      <c r="S1086" s="4"/>
      <c r="T1086" s="4"/>
      <c r="U1086" s="4">
        <v>1.0</v>
      </c>
      <c r="V1086" s="4" t="s">
        <v>8523</v>
      </c>
      <c r="W1086" s="4" t="s">
        <v>6911</v>
      </c>
      <c r="X1086" s="4">
        <v>43958.708333333336</v>
      </c>
      <c r="Y1086" s="4" t="s">
        <v>8524</v>
      </c>
      <c r="Z1086" s="4" t="s">
        <v>4345</v>
      </c>
      <c r="AA1086" s="4"/>
    </row>
    <row r="1087">
      <c r="A1087" s="4" t="s">
        <v>8525</v>
      </c>
      <c r="B1087" s="4" t="s">
        <v>19</v>
      </c>
      <c r="C1087" s="4" t="s">
        <v>7269</v>
      </c>
      <c r="D1087" s="4">
        <v>44007.0</v>
      </c>
      <c r="E1087" s="4">
        <v>0.6010416666666678</v>
      </c>
      <c r="F1087" s="4">
        <v>1.7361111111111112E-4</v>
      </c>
      <c r="G1087" s="4">
        <v>0.601215277777779</v>
      </c>
      <c r="H1087" s="4" t="s">
        <v>1944</v>
      </c>
      <c r="I1087" s="4" t="s">
        <v>314</v>
      </c>
      <c r="J1087" s="4" t="s">
        <v>314</v>
      </c>
      <c r="K1087" s="4" t="s">
        <v>1345</v>
      </c>
      <c r="L1087" s="4" t="s">
        <v>85</v>
      </c>
      <c r="M1087" s="4"/>
      <c r="N1087" s="4"/>
      <c r="O1087" s="4" t="s">
        <v>7241</v>
      </c>
      <c r="P1087" s="4"/>
      <c r="Q1087" s="4"/>
      <c r="R1087" s="4"/>
      <c r="S1087" s="4"/>
      <c r="T1087" s="4"/>
      <c r="U1087" s="4">
        <v>0.0</v>
      </c>
      <c r="V1087" s="4"/>
      <c r="W1087" s="4"/>
      <c r="X1087" s="4"/>
      <c r="Y1087" s="4"/>
      <c r="Z1087" s="4"/>
      <c r="AA1087" s="4"/>
    </row>
    <row r="1088">
      <c r="A1088" s="4" t="s">
        <v>8526</v>
      </c>
      <c r="B1088" s="4" t="s">
        <v>19</v>
      </c>
      <c r="C1088" s="4" t="s">
        <v>7269</v>
      </c>
      <c r="D1088" s="4">
        <v>44007.0</v>
      </c>
      <c r="E1088" s="4">
        <v>0.601215277777779</v>
      </c>
      <c r="F1088" s="4">
        <v>3.4722222222222224E-4</v>
      </c>
      <c r="G1088" s="4">
        <v>0.6015625000000012</v>
      </c>
      <c r="H1088" s="4" t="s">
        <v>1944</v>
      </c>
      <c r="I1088" s="4" t="s">
        <v>314</v>
      </c>
      <c r="J1088" s="4" t="s">
        <v>314</v>
      </c>
      <c r="K1088" s="4" t="s">
        <v>1345</v>
      </c>
      <c r="L1088" s="4" t="s">
        <v>81</v>
      </c>
      <c r="M1088" s="4"/>
      <c r="N1088" s="4"/>
      <c r="O1088" s="4" t="s">
        <v>81</v>
      </c>
      <c r="P1088" s="4"/>
      <c r="Q1088" s="4"/>
      <c r="R1088" s="4"/>
      <c r="S1088" s="4"/>
      <c r="T1088" s="4"/>
      <c r="U1088" s="4">
        <v>0.0</v>
      </c>
      <c r="V1088" s="4"/>
      <c r="W1088" s="4"/>
      <c r="X1088" s="4"/>
      <c r="Y1088" s="4"/>
      <c r="Z1088" s="4"/>
      <c r="AA1088" s="4"/>
    </row>
    <row r="1089">
      <c r="A1089" s="4" t="s">
        <v>8527</v>
      </c>
      <c r="B1089" s="4" t="s">
        <v>19</v>
      </c>
      <c r="C1089" s="4" t="s">
        <v>7269</v>
      </c>
      <c r="D1089" s="4">
        <v>44007.0</v>
      </c>
      <c r="E1089" s="4">
        <v>0.6015625000000012</v>
      </c>
      <c r="F1089" s="4">
        <v>0.007638888888888889</v>
      </c>
      <c r="G1089" s="4">
        <v>0.6092013888888901</v>
      </c>
      <c r="H1089" s="4" t="s">
        <v>1055</v>
      </c>
      <c r="I1089" s="4" t="s">
        <v>17</v>
      </c>
      <c r="J1089" s="4" t="s">
        <v>6903</v>
      </c>
      <c r="K1089" s="4" t="s">
        <v>1345</v>
      </c>
      <c r="L1089" s="4" t="s">
        <v>107</v>
      </c>
      <c r="M1089" s="4" t="s">
        <v>7126</v>
      </c>
      <c r="N1089" s="4" t="s">
        <v>6858</v>
      </c>
      <c r="O1089" s="4" t="s">
        <v>1421</v>
      </c>
      <c r="P1089" s="4" t="s">
        <v>1423</v>
      </c>
      <c r="Q1089" s="4" t="s">
        <v>8528</v>
      </c>
      <c r="R1089" s="4"/>
      <c r="S1089" s="4"/>
      <c r="T1089" s="4" t="s">
        <v>8529</v>
      </c>
      <c r="U1089" s="4">
        <v>3.0</v>
      </c>
      <c r="V1089" s="4" t="s">
        <v>8530</v>
      </c>
      <c r="W1089" s="4" t="s">
        <v>6872</v>
      </c>
      <c r="X1089" s="4" t="s">
        <v>8531</v>
      </c>
      <c r="Y1089" s="4"/>
      <c r="Z1089" s="4" t="s">
        <v>4345</v>
      </c>
      <c r="AA1089" s="4"/>
    </row>
    <row r="1090">
      <c r="A1090" s="4" t="s">
        <v>8532</v>
      </c>
      <c r="B1090" s="4" t="s">
        <v>19</v>
      </c>
      <c r="C1090" s="4" t="s">
        <v>7269</v>
      </c>
      <c r="D1090" s="4">
        <v>44007.0</v>
      </c>
      <c r="E1090" s="4">
        <v>0.6092013888888901</v>
      </c>
      <c r="F1090" s="4">
        <v>1.7361111111111112E-4</v>
      </c>
      <c r="G1090" s="4">
        <v>0.6093750000000012</v>
      </c>
      <c r="H1090" s="4" t="s">
        <v>1944</v>
      </c>
      <c r="I1090" s="4" t="s">
        <v>314</v>
      </c>
      <c r="J1090" s="4" t="s">
        <v>314</v>
      </c>
      <c r="K1090" s="4" t="s">
        <v>1345</v>
      </c>
      <c r="L1090" s="4" t="s">
        <v>85</v>
      </c>
      <c r="M1090" s="4"/>
      <c r="N1090" s="4"/>
      <c r="O1090" s="4" t="s">
        <v>85</v>
      </c>
      <c r="P1090" s="4"/>
      <c r="Q1090" s="4"/>
      <c r="R1090" s="4"/>
      <c r="S1090" s="4"/>
      <c r="T1090" s="4"/>
      <c r="U1090" s="4">
        <v>0.0</v>
      </c>
      <c r="V1090" s="4"/>
      <c r="W1090" s="4"/>
      <c r="X1090" s="4"/>
      <c r="Y1090" s="4"/>
      <c r="Z1090" s="4"/>
      <c r="AA1090" s="4"/>
    </row>
    <row r="1091">
      <c r="A1091" s="4" t="s">
        <v>8533</v>
      </c>
      <c r="B1091" s="4" t="s">
        <v>19</v>
      </c>
      <c r="C1091" s="4" t="s">
        <v>7269</v>
      </c>
      <c r="D1091" s="4">
        <v>44007.0</v>
      </c>
      <c r="E1091" s="4">
        <v>0.6093750000000012</v>
      </c>
      <c r="F1091" s="4">
        <v>3.4722222222222224E-4</v>
      </c>
      <c r="G1091" s="4">
        <v>0.6097222222222235</v>
      </c>
      <c r="H1091" s="4" t="s">
        <v>1944</v>
      </c>
      <c r="I1091" s="4" t="s">
        <v>314</v>
      </c>
      <c r="J1091" s="4" t="s">
        <v>314</v>
      </c>
      <c r="K1091" s="4" t="s">
        <v>1345</v>
      </c>
      <c r="L1091" s="4" t="s">
        <v>81</v>
      </c>
      <c r="M1091" s="4"/>
      <c r="N1091" s="4"/>
      <c r="O1091" s="4" t="s">
        <v>81</v>
      </c>
      <c r="P1091" s="4"/>
      <c r="Q1091" s="4"/>
      <c r="R1091" s="4"/>
      <c r="S1091" s="4"/>
      <c r="T1091" s="4"/>
      <c r="U1091" s="4">
        <v>0.0</v>
      </c>
      <c r="V1091" s="4"/>
      <c r="W1091" s="4"/>
      <c r="X1091" s="4"/>
      <c r="Y1091" s="4"/>
      <c r="Z1091" s="4"/>
      <c r="AA1091" s="4"/>
    </row>
    <row r="1092">
      <c r="A1092" s="4" t="s">
        <v>8534</v>
      </c>
      <c r="B1092" s="4" t="s">
        <v>19</v>
      </c>
      <c r="C1092" s="4" t="s">
        <v>7269</v>
      </c>
      <c r="D1092" s="4">
        <v>44007.0</v>
      </c>
      <c r="E1092" s="4">
        <v>0.6097222222222235</v>
      </c>
      <c r="F1092" s="4">
        <v>0.006944444444444444</v>
      </c>
      <c r="G1092" s="4">
        <v>0.6166666666666679</v>
      </c>
      <c r="H1092" s="4" t="s">
        <v>803</v>
      </c>
      <c r="I1092" s="4" t="s">
        <v>314</v>
      </c>
      <c r="J1092" s="4" t="s">
        <v>15</v>
      </c>
      <c r="K1092" s="4" t="s">
        <v>1345</v>
      </c>
      <c r="L1092" s="4" t="s">
        <v>165</v>
      </c>
      <c r="M1092" s="4"/>
      <c r="N1092" s="4" t="s">
        <v>6689</v>
      </c>
      <c r="O1092" s="4" t="s">
        <v>8535</v>
      </c>
      <c r="P1092" s="4" t="s">
        <v>1428</v>
      </c>
      <c r="Q1092" s="4"/>
      <c r="R1092" s="4"/>
      <c r="S1092" s="4"/>
      <c r="T1092" s="4"/>
      <c r="U1092" s="4">
        <v>1.0</v>
      </c>
      <c r="V1092" s="4" t="s">
        <v>4345</v>
      </c>
      <c r="W1092" s="4" t="s">
        <v>6890</v>
      </c>
      <c r="X1092" s="4">
        <v>43986.708333333336</v>
      </c>
      <c r="Y1092" s="4"/>
      <c r="Z1092" s="4" t="s">
        <v>803</v>
      </c>
      <c r="AA1092" s="4" t="s">
        <v>873</v>
      </c>
    </row>
    <row r="1093">
      <c r="A1093" s="4" t="s">
        <v>8536</v>
      </c>
      <c r="B1093" s="4" t="s">
        <v>19</v>
      </c>
      <c r="C1093" s="4" t="s">
        <v>7269</v>
      </c>
      <c r="D1093" s="4">
        <v>44007.0</v>
      </c>
      <c r="E1093" s="4">
        <v>0.6166666666666679</v>
      </c>
      <c r="F1093" s="4">
        <v>1.7361111111111112E-4</v>
      </c>
      <c r="G1093" s="4">
        <v>0.6168402777777791</v>
      </c>
      <c r="H1093" s="4" t="s">
        <v>1944</v>
      </c>
      <c r="I1093" s="4" t="s">
        <v>314</v>
      </c>
      <c r="J1093" s="4" t="s">
        <v>314</v>
      </c>
      <c r="K1093" s="4" t="s">
        <v>1345</v>
      </c>
      <c r="L1093" s="4" t="s">
        <v>85</v>
      </c>
      <c r="M1093" s="4"/>
      <c r="N1093" s="4"/>
      <c r="O1093" s="4" t="s">
        <v>85</v>
      </c>
      <c r="P1093" s="4"/>
      <c r="Q1093" s="4"/>
      <c r="R1093" s="4"/>
      <c r="S1093" s="4"/>
      <c r="T1093" s="4"/>
      <c r="U1093" s="4">
        <v>0.0</v>
      </c>
      <c r="V1093" s="4"/>
      <c r="W1093" s="4"/>
      <c r="X1093" s="4"/>
      <c r="Y1093" s="4"/>
      <c r="Z1093" s="4"/>
      <c r="AA1093" s="4"/>
    </row>
    <row r="1094">
      <c r="A1094" s="4" t="s">
        <v>8537</v>
      </c>
      <c r="B1094" s="4" t="s">
        <v>19</v>
      </c>
      <c r="C1094" s="4" t="s">
        <v>7269</v>
      </c>
      <c r="D1094" s="4">
        <v>44007.0</v>
      </c>
      <c r="E1094" s="4">
        <v>0.6168402777777791</v>
      </c>
      <c r="F1094" s="4">
        <v>3.4722222222222224E-4</v>
      </c>
      <c r="G1094" s="4">
        <v>0.6171875000000013</v>
      </c>
      <c r="H1094" s="4" t="s">
        <v>1944</v>
      </c>
      <c r="I1094" s="4" t="s">
        <v>314</v>
      </c>
      <c r="J1094" s="4" t="s">
        <v>314</v>
      </c>
      <c r="K1094" s="4" t="s">
        <v>1345</v>
      </c>
      <c r="L1094" s="4" t="s">
        <v>81</v>
      </c>
      <c r="M1094" s="4"/>
      <c r="N1094" s="4"/>
      <c r="O1094" s="4" t="s">
        <v>81</v>
      </c>
      <c r="P1094" s="4"/>
      <c r="Q1094" s="4"/>
      <c r="R1094" s="4"/>
      <c r="S1094" s="4"/>
      <c r="T1094" s="4"/>
      <c r="U1094" s="4">
        <v>0.0</v>
      </c>
      <c r="V1094" s="4"/>
      <c r="W1094" s="4"/>
      <c r="X1094" s="4"/>
      <c r="Y1094" s="4"/>
      <c r="Z1094" s="4"/>
      <c r="AA1094" s="4"/>
    </row>
    <row r="1095">
      <c r="A1095" s="4" t="s">
        <v>8538</v>
      </c>
      <c r="B1095" s="4" t="s">
        <v>19</v>
      </c>
      <c r="C1095" s="4" t="s">
        <v>7269</v>
      </c>
      <c r="D1095" s="4">
        <v>44007.0</v>
      </c>
      <c r="E1095" s="4">
        <v>0.6171875000000013</v>
      </c>
      <c r="F1095" s="4">
        <v>0.007638888888888889</v>
      </c>
      <c r="G1095" s="4">
        <v>0.6248263888888902</v>
      </c>
      <c r="H1095" s="4" t="s">
        <v>1055</v>
      </c>
      <c r="I1095" s="4"/>
      <c r="J1095" s="4" t="s">
        <v>6903</v>
      </c>
      <c r="K1095" s="4" t="s">
        <v>1345</v>
      </c>
      <c r="L1095" s="4" t="s">
        <v>94</v>
      </c>
      <c r="M1095" s="4" t="s">
        <v>7505</v>
      </c>
      <c r="N1095" s="4" t="s">
        <v>7195</v>
      </c>
      <c r="O1095" s="4" t="s">
        <v>1431</v>
      </c>
      <c r="P1095" s="4" t="s">
        <v>1432</v>
      </c>
      <c r="Q1095" s="4"/>
      <c r="R1095" s="4"/>
      <c r="S1095" s="4"/>
      <c r="T1095" s="4" t="s">
        <v>8539</v>
      </c>
      <c r="U1095" s="4">
        <v>2.0</v>
      </c>
      <c r="V1095" s="4" t="s">
        <v>8540</v>
      </c>
      <c r="W1095" s="4" t="s">
        <v>7284</v>
      </c>
      <c r="X1095" s="4" t="s">
        <v>8541</v>
      </c>
      <c r="Y1095" s="4" t="s">
        <v>8542</v>
      </c>
      <c r="Z1095" s="4" t="s">
        <v>4345</v>
      </c>
      <c r="AA1095" s="4"/>
    </row>
    <row r="1096">
      <c r="A1096" s="4" t="s">
        <v>8543</v>
      </c>
      <c r="B1096" s="4" t="s">
        <v>19</v>
      </c>
      <c r="C1096" s="4" t="s">
        <v>7269</v>
      </c>
      <c r="D1096" s="4">
        <v>44007.0</v>
      </c>
      <c r="E1096" s="4">
        <v>0.6248263888888902</v>
      </c>
      <c r="F1096" s="4">
        <v>1.7361111111111112E-4</v>
      </c>
      <c r="G1096" s="4">
        <v>0.6250000000000013</v>
      </c>
      <c r="H1096" s="4" t="s">
        <v>1944</v>
      </c>
      <c r="I1096" s="4" t="s">
        <v>314</v>
      </c>
      <c r="J1096" s="4" t="s">
        <v>314</v>
      </c>
      <c r="K1096" s="4" t="s">
        <v>1345</v>
      </c>
      <c r="L1096" s="4" t="s">
        <v>85</v>
      </c>
      <c r="M1096" s="4"/>
      <c r="N1096" s="4"/>
      <c r="O1096" s="4" t="s">
        <v>85</v>
      </c>
      <c r="P1096" s="4"/>
      <c r="Q1096" s="4"/>
      <c r="R1096" s="4"/>
      <c r="S1096" s="4"/>
      <c r="T1096" s="4"/>
      <c r="U1096" s="4">
        <v>0.0</v>
      </c>
      <c r="V1096" s="4"/>
      <c r="W1096" s="4"/>
      <c r="X1096" s="4"/>
      <c r="Y1096" s="4"/>
      <c r="Z1096" s="4"/>
      <c r="AA1096" s="4"/>
    </row>
    <row r="1097">
      <c r="A1097" s="4" t="s">
        <v>8544</v>
      </c>
      <c r="B1097" s="4" t="s">
        <v>19</v>
      </c>
      <c r="C1097" s="4" t="s">
        <v>7269</v>
      </c>
      <c r="D1097" s="4">
        <v>44007.0</v>
      </c>
      <c r="E1097" s="4">
        <v>0.6250000000000013</v>
      </c>
      <c r="F1097" s="4">
        <v>3.4722222222222224E-4</v>
      </c>
      <c r="G1097" s="4">
        <v>0.6253472222222236</v>
      </c>
      <c r="H1097" s="4" t="s">
        <v>1944</v>
      </c>
      <c r="I1097" s="4" t="s">
        <v>314</v>
      </c>
      <c r="J1097" s="4" t="s">
        <v>314</v>
      </c>
      <c r="K1097" s="4" t="s">
        <v>446</v>
      </c>
      <c r="L1097" s="4" t="s">
        <v>81</v>
      </c>
      <c r="M1097" s="4"/>
      <c r="N1097" s="4"/>
      <c r="O1097" s="4" t="s">
        <v>81</v>
      </c>
      <c r="P1097" s="4"/>
      <c r="Q1097" s="4"/>
      <c r="R1097" s="4"/>
      <c r="S1097" s="4"/>
      <c r="T1097" s="4"/>
      <c r="U1097" s="4">
        <v>0.0</v>
      </c>
      <c r="V1097" s="4"/>
      <c r="W1097" s="4"/>
      <c r="X1097" s="4"/>
      <c r="Y1097" s="4"/>
      <c r="Z1097" s="4"/>
      <c r="AA1097" s="4"/>
    </row>
    <row r="1098">
      <c r="A1098" s="4" t="s">
        <v>8545</v>
      </c>
      <c r="B1098" s="4" t="s">
        <v>19</v>
      </c>
      <c r="C1098" s="4" t="s">
        <v>7269</v>
      </c>
      <c r="D1098" s="4">
        <v>44007.0</v>
      </c>
      <c r="E1098" s="4">
        <v>0.6253472222222236</v>
      </c>
      <c r="F1098" s="4">
        <v>0.0020833333333333333</v>
      </c>
      <c r="G1098" s="4">
        <v>0.6274305555555569</v>
      </c>
      <c r="H1098" s="4" t="s">
        <v>630</v>
      </c>
      <c r="I1098" s="4" t="s">
        <v>314</v>
      </c>
      <c r="J1098" s="4" t="s">
        <v>15</v>
      </c>
      <c r="K1098" s="4" t="s">
        <v>446</v>
      </c>
      <c r="L1098" s="4" t="s">
        <v>165</v>
      </c>
      <c r="M1098" s="4" t="s">
        <v>8146</v>
      </c>
      <c r="N1098" s="4" t="s">
        <v>6720</v>
      </c>
      <c r="O1098" s="4" t="s">
        <v>1464</v>
      </c>
      <c r="P1098" s="4" t="s">
        <v>1465</v>
      </c>
      <c r="Q1098" s="4"/>
      <c r="R1098" s="4"/>
      <c r="S1098" s="4"/>
      <c r="T1098" s="4"/>
      <c r="U1098" s="4">
        <v>1.0</v>
      </c>
      <c r="V1098" s="4" t="s">
        <v>8546</v>
      </c>
      <c r="W1098" s="4" t="s">
        <v>6890</v>
      </c>
      <c r="X1098" s="4" t="s">
        <v>4345</v>
      </c>
      <c r="Y1098" s="4"/>
      <c r="Z1098" s="4" t="s">
        <v>630</v>
      </c>
      <c r="AA1098" s="4"/>
    </row>
    <row r="1099">
      <c r="A1099" s="4" t="s">
        <v>8547</v>
      </c>
      <c r="B1099" s="4" t="s">
        <v>19</v>
      </c>
      <c r="C1099" s="4" t="s">
        <v>7269</v>
      </c>
      <c r="D1099" s="4">
        <v>44007.0</v>
      </c>
      <c r="E1099" s="4">
        <v>0.6274305555555569</v>
      </c>
      <c r="F1099" s="4">
        <v>1.7361111111111112E-4</v>
      </c>
      <c r="G1099" s="4">
        <v>0.6276041666666681</v>
      </c>
      <c r="H1099" s="4" t="s">
        <v>1944</v>
      </c>
      <c r="I1099" s="4" t="s">
        <v>314</v>
      </c>
      <c r="J1099" s="4" t="s">
        <v>314</v>
      </c>
      <c r="K1099" s="4" t="s">
        <v>446</v>
      </c>
      <c r="L1099" s="4" t="s">
        <v>85</v>
      </c>
      <c r="M1099" s="4"/>
      <c r="N1099" s="4"/>
      <c r="O1099" s="4" t="s">
        <v>85</v>
      </c>
      <c r="P1099" s="4"/>
      <c r="Q1099" s="4"/>
      <c r="R1099" s="4"/>
      <c r="S1099" s="4"/>
      <c r="T1099" s="4"/>
      <c r="U1099" s="4">
        <v>0.0</v>
      </c>
      <c r="V1099" s="4"/>
      <c r="W1099" s="4"/>
      <c r="X1099" s="4"/>
      <c r="Y1099" s="4"/>
      <c r="Z1099" s="4"/>
      <c r="AA1099" s="4"/>
    </row>
    <row r="1100">
      <c r="A1100" s="4" t="s">
        <v>8548</v>
      </c>
      <c r="B1100" s="4" t="s">
        <v>19</v>
      </c>
      <c r="C1100" s="4" t="s">
        <v>7269</v>
      </c>
      <c r="D1100" s="4">
        <v>44007.0</v>
      </c>
      <c r="E1100" s="4">
        <v>0.6276041666666681</v>
      </c>
      <c r="F1100" s="4">
        <v>3.4722222222222224E-4</v>
      </c>
      <c r="G1100" s="4">
        <v>0.6279513888888903</v>
      </c>
      <c r="H1100" s="4" t="s">
        <v>1944</v>
      </c>
      <c r="I1100" s="4"/>
      <c r="J1100" s="4"/>
      <c r="K1100" s="4" t="s">
        <v>446</v>
      </c>
      <c r="L1100" s="4" t="s">
        <v>81</v>
      </c>
      <c r="M1100" s="4"/>
      <c r="N1100" s="4"/>
      <c r="O1100" s="4" t="s">
        <v>1127</v>
      </c>
      <c r="P1100" s="4"/>
      <c r="Q1100" s="4"/>
      <c r="R1100" s="4"/>
      <c r="S1100" s="4"/>
      <c r="T1100" s="4"/>
      <c r="U1100" s="4"/>
      <c r="V1100" s="4"/>
      <c r="W1100" s="4"/>
      <c r="X1100" s="4"/>
      <c r="Y1100" s="4"/>
      <c r="Z1100" s="4"/>
      <c r="AA1100" s="4"/>
    </row>
    <row r="1101">
      <c r="A1101" s="4" t="s">
        <v>8549</v>
      </c>
      <c r="B1101" s="4" t="s">
        <v>19</v>
      </c>
      <c r="C1101" s="4" t="s">
        <v>7269</v>
      </c>
      <c r="D1101" s="4">
        <v>44007.0</v>
      </c>
      <c r="E1101" s="4">
        <v>0.6279513888888903</v>
      </c>
      <c r="F1101" s="4">
        <v>0.00798611111111111</v>
      </c>
      <c r="G1101" s="4">
        <v>0.6359375000000015</v>
      </c>
      <c r="H1101" s="4" t="s">
        <v>847</v>
      </c>
      <c r="I1101" s="4" t="s">
        <v>4142</v>
      </c>
      <c r="J1101" s="4" t="s">
        <v>6948</v>
      </c>
      <c r="K1101" s="4" t="s">
        <v>446</v>
      </c>
      <c r="L1101" s="4" t="s">
        <v>94</v>
      </c>
      <c r="M1101" s="4" t="s">
        <v>7446</v>
      </c>
      <c r="N1101" s="4" t="s">
        <v>6689</v>
      </c>
      <c r="O1101" s="4" t="s">
        <v>1437</v>
      </c>
      <c r="P1101" s="4" t="s">
        <v>1439</v>
      </c>
      <c r="Q1101" s="4"/>
      <c r="R1101" s="4"/>
      <c r="S1101" s="4"/>
      <c r="T1101" s="4" t="s">
        <v>1441</v>
      </c>
      <c r="U1101" s="4">
        <v>2.0</v>
      </c>
      <c r="V1101" s="4" t="s">
        <v>8550</v>
      </c>
      <c r="W1101" s="4" t="s">
        <v>6920</v>
      </c>
      <c r="X1101" s="4"/>
      <c r="Y1101" s="4"/>
      <c r="Z1101" s="4"/>
      <c r="AA1101" s="4"/>
    </row>
    <row r="1102">
      <c r="A1102" s="4" t="s">
        <v>8551</v>
      </c>
      <c r="B1102" s="4" t="s">
        <v>19</v>
      </c>
      <c r="C1102" s="4" t="s">
        <v>7269</v>
      </c>
      <c r="D1102" s="4">
        <v>44007.0</v>
      </c>
      <c r="E1102" s="4">
        <v>0.6359375000000015</v>
      </c>
      <c r="F1102" s="4">
        <v>1.7361111111111112E-4</v>
      </c>
      <c r="G1102" s="4">
        <v>0.6361111111111126</v>
      </c>
      <c r="H1102" s="4" t="s">
        <v>1944</v>
      </c>
      <c r="I1102" s="4"/>
      <c r="J1102" s="4"/>
      <c r="K1102" s="4" t="s">
        <v>446</v>
      </c>
      <c r="L1102" s="4" t="s">
        <v>85</v>
      </c>
      <c r="M1102" s="4"/>
      <c r="N1102" s="4"/>
      <c r="O1102" s="4" t="s">
        <v>7077</v>
      </c>
      <c r="P1102" s="4"/>
      <c r="Q1102" s="4"/>
      <c r="R1102" s="4"/>
      <c r="S1102" s="4"/>
      <c r="T1102" s="4"/>
      <c r="U1102" s="4"/>
      <c r="V1102" s="4"/>
      <c r="W1102" s="4"/>
      <c r="X1102" s="4"/>
      <c r="Y1102" s="4"/>
      <c r="Z1102" s="4"/>
      <c r="AA1102" s="4"/>
    </row>
    <row r="1103">
      <c r="A1103" s="4" t="s">
        <v>8552</v>
      </c>
      <c r="B1103" s="4" t="s">
        <v>19</v>
      </c>
      <c r="C1103" s="4" t="s">
        <v>7269</v>
      </c>
      <c r="D1103" s="4">
        <v>44007.0</v>
      </c>
      <c r="E1103" s="4">
        <v>0.6361111111111126</v>
      </c>
      <c r="F1103" s="4">
        <v>3.4722222222222224E-4</v>
      </c>
      <c r="G1103" s="4">
        <v>0.6364583333333349</v>
      </c>
      <c r="H1103" s="4" t="s">
        <v>1944</v>
      </c>
      <c r="I1103" s="4" t="s">
        <v>314</v>
      </c>
      <c r="J1103" s="4" t="s">
        <v>314</v>
      </c>
      <c r="K1103" s="4" t="s">
        <v>446</v>
      </c>
      <c r="L1103" s="4" t="s">
        <v>81</v>
      </c>
      <c r="M1103" s="4"/>
      <c r="N1103" s="4"/>
      <c r="O1103" s="4" t="s">
        <v>1127</v>
      </c>
      <c r="P1103" s="4"/>
      <c r="Q1103" s="4"/>
      <c r="R1103" s="4"/>
      <c r="S1103" s="4"/>
      <c r="T1103" s="4"/>
      <c r="U1103" s="4">
        <v>0.0</v>
      </c>
      <c r="V1103" s="4"/>
      <c r="W1103" s="4"/>
      <c r="X1103" s="4"/>
      <c r="Y1103" s="4"/>
      <c r="Z1103" s="4"/>
      <c r="AA1103" s="4"/>
    </row>
    <row r="1104">
      <c r="A1104" s="4" t="s">
        <v>8553</v>
      </c>
      <c r="B1104" s="4" t="s">
        <v>19</v>
      </c>
      <c r="C1104" s="4" t="s">
        <v>7269</v>
      </c>
      <c r="D1104" s="4">
        <v>44007.0</v>
      </c>
      <c r="E1104" s="4">
        <v>0.6364583333333349</v>
      </c>
      <c r="F1104" s="4">
        <v>0.010763888888888889</v>
      </c>
      <c r="G1104" s="4">
        <v>0.6472222222222238</v>
      </c>
      <c r="H1104" s="4" t="s">
        <v>847</v>
      </c>
      <c r="I1104" s="4" t="s">
        <v>6947</v>
      </c>
      <c r="J1104" s="4" t="s">
        <v>6870</v>
      </c>
      <c r="K1104" s="4" t="s">
        <v>446</v>
      </c>
      <c r="L1104" s="4" t="s">
        <v>107</v>
      </c>
      <c r="M1104" s="4" t="s">
        <v>7462</v>
      </c>
      <c r="N1104" s="4" t="s">
        <v>6689</v>
      </c>
      <c r="O1104" s="4" t="s">
        <v>8554</v>
      </c>
      <c r="P1104" s="4" t="s">
        <v>1448</v>
      </c>
      <c r="Q1104" s="4" t="s">
        <v>1449</v>
      </c>
      <c r="R1104" s="4"/>
      <c r="S1104" s="4"/>
      <c r="T1104" s="4" t="s">
        <v>733</v>
      </c>
      <c r="U1104" s="4">
        <v>3.0</v>
      </c>
      <c r="V1104" s="4" t="s">
        <v>8555</v>
      </c>
      <c r="W1104" s="4" t="s">
        <v>6855</v>
      </c>
      <c r="X1104" s="4"/>
      <c r="Y1104" s="4"/>
      <c r="Z1104" s="4"/>
      <c r="AA1104" s="4"/>
    </row>
    <row r="1105">
      <c r="A1105" s="4" t="s">
        <v>8556</v>
      </c>
      <c r="B1105" s="4" t="s">
        <v>19</v>
      </c>
      <c r="C1105" s="4" t="s">
        <v>7269</v>
      </c>
      <c r="D1105" s="4">
        <v>44007.0</v>
      </c>
      <c r="E1105" s="4">
        <v>0.6472222222222238</v>
      </c>
      <c r="F1105" s="4">
        <v>1.7361111111111112E-4</v>
      </c>
      <c r="G1105" s="4">
        <v>0.647395833333335</v>
      </c>
      <c r="H1105" s="4" t="s">
        <v>1944</v>
      </c>
      <c r="I1105" s="4" t="s">
        <v>314</v>
      </c>
      <c r="J1105" s="4" t="s">
        <v>314</v>
      </c>
      <c r="K1105" s="4" t="s">
        <v>446</v>
      </c>
      <c r="L1105" s="4" t="s">
        <v>85</v>
      </c>
      <c r="M1105" s="4"/>
      <c r="N1105" s="4"/>
      <c r="O1105" s="4" t="s">
        <v>85</v>
      </c>
      <c r="P1105" s="4"/>
      <c r="Q1105" s="4"/>
      <c r="R1105" s="4"/>
      <c r="S1105" s="4"/>
      <c r="T1105" s="4"/>
      <c r="U1105" s="4">
        <v>0.0</v>
      </c>
      <c r="V1105" s="4"/>
      <c r="W1105" s="4"/>
      <c r="X1105" s="4"/>
      <c r="Y1105" s="4"/>
      <c r="Z1105" s="4"/>
      <c r="AA1105" s="4"/>
    </row>
    <row r="1106">
      <c r="A1106" s="4" t="s">
        <v>8557</v>
      </c>
      <c r="B1106" s="4" t="s">
        <v>19</v>
      </c>
      <c r="C1106" s="4" t="s">
        <v>7269</v>
      </c>
      <c r="D1106" s="4">
        <v>44007.0</v>
      </c>
      <c r="E1106" s="4">
        <v>0.647395833333335</v>
      </c>
      <c r="F1106" s="4">
        <v>3.4722222222222224E-4</v>
      </c>
      <c r="G1106" s="4">
        <v>0.6477430555555572</v>
      </c>
      <c r="H1106" s="4" t="s">
        <v>1944</v>
      </c>
      <c r="I1106" s="4"/>
      <c r="J1106" s="4"/>
      <c r="K1106" s="4" t="s">
        <v>446</v>
      </c>
      <c r="L1106" s="4" t="s">
        <v>81</v>
      </c>
      <c r="M1106" s="4"/>
      <c r="N1106" s="4"/>
      <c r="O1106" s="4" t="s">
        <v>1127</v>
      </c>
      <c r="P1106" s="4"/>
      <c r="Q1106" s="4"/>
      <c r="R1106" s="4"/>
      <c r="S1106" s="4"/>
      <c r="T1106" s="4"/>
      <c r="U1106" s="4"/>
      <c r="V1106" s="4"/>
      <c r="W1106" s="4"/>
      <c r="X1106" s="4"/>
      <c r="Y1106" s="4"/>
      <c r="Z1106" s="4"/>
      <c r="AA1106" s="4"/>
    </row>
    <row r="1107">
      <c r="A1107" s="4" t="s">
        <v>8558</v>
      </c>
      <c r="B1107" s="4" t="s">
        <v>19</v>
      </c>
      <c r="C1107" s="4" t="s">
        <v>7269</v>
      </c>
      <c r="D1107" s="4">
        <v>44007.0</v>
      </c>
      <c r="E1107" s="4">
        <v>0.6477430555555572</v>
      </c>
      <c r="F1107" s="4">
        <v>0.0020833333333333333</v>
      </c>
      <c r="G1107" s="4">
        <v>0.6498263888888905</v>
      </c>
      <c r="H1107" s="4" t="s">
        <v>630</v>
      </c>
      <c r="I1107" s="4" t="s">
        <v>314</v>
      </c>
      <c r="J1107" s="4" t="s">
        <v>15</v>
      </c>
      <c r="K1107" s="4" t="s">
        <v>446</v>
      </c>
      <c r="L1107" s="4" t="s">
        <v>165</v>
      </c>
      <c r="M1107" s="4" t="s">
        <v>7899</v>
      </c>
      <c r="N1107" s="4" t="s">
        <v>7475</v>
      </c>
      <c r="O1107" s="4" t="s">
        <v>3746</v>
      </c>
      <c r="P1107" s="4" t="s">
        <v>1751</v>
      </c>
      <c r="Q1107" s="4"/>
      <c r="R1107" s="4"/>
      <c r="S1107" s="4"/>
      <c r="T1107" s="4"/>
      <c r="U1107" s="4">
        <v>1.0</v>
      </c>
      <c r="V1107" s="4" t="s">
        <v>8559</v>
      </c>
      <c r="W1107" s="4" t="s">
        <v>7197</v>
      </c>
      <c r="X1107" s="4" t="s">
        <v>8560</v>
      </c>
      <c r="Y1107" s="4" t="s">
        <v>7199</v>
      </c>
      <c r="Z1107" s="4" t="s">
        <v>630</v>
      </c>
      <c r="AA1107" s="4"/>
    </row>
    <row r="1108">
      <c r="A1108" s="4" t="s">
        <v>8561</v>
      </c>
      <c r="B1108" s="4" t="s">
        <v>19</v>
      </c>
      <c r="C1108" s="4" t="s">
        <v>7269</v>
      </c>
      <c r="D1108" s="4">
        <v>44007.0</v>
      </c>
      <c r="E1108" s="4">
        <v>0.6498263888888905</v>
      </c>
      <c r="F1108" s="4">
        <v>1.7361111111111112E-4</v>
      </c>
      <c r="G1108" s="4">
        <v>0.6500000000000017</v>
      </c>
      <c r="H1108" s="4" t="s">
        <v>1944</v>
      </c>
      <c r="I1108" s="4"/>
      <c r="J1108" s="4"/>
      <c r="K1108" s="4" t="s">
        <v>446</v>
      </c>
      <c r="L1108" s="4" t="s">
        <v>85</v>
      </c>
      <c r="M1108" s="4"/>
      <c r="N1108" s="4"/>
      <c r="O1108" s="4" t="s">
        <v>7077</v>
      </c>
      <c r="P1108" s="4"/>
      <c r="Q1108" s="4"/>
      <c r="R1108" s="4"/>
      <c r="S1108" s="4"/>
      <c r="T1108" s="4"/>
      <c r="U1108" s="4"/>
      <c r="V1108" s="4"/>
      <c r="W1108" s="4"/>
      <c r="X1108" s="4"/>
      <c r="Y1108" s="4"/>
      <c r="Z1108" s="4"/>
      <c r="AA1108" s="4"/>
    </row>
    <row r="1109">
      <c r="A1109" s="4" t="s">
        <v>8562</v>
      </c>
      <c r="B1109" s="4" t="s">
        <v>19</v>
      </c>
      <c r="C1109" s="4" t="s">
        <v>7269</v>
      </c>
      <c r="D1109" s="4">
        <v>44007.0</v>
      </c>
      <c r="E1109" s="4">
        <v>0.6500000000000017</v>
      </c>
      <c r="F1109" s="4">
        <v>3.4722222222222224E-4</v>
      </c>
      <c r="G1109" s="4">
        <v>0.650347222222224</v>
      </c>
      <c r="H1109" s="4" t="s">
        <v>1944</v>
      </c>
      <c r="I1109" s="4"/>
      <c r="J1109" s="4"/>
      <c r="K1109" s="4" t="s">
        <v>446</v>
      </c>
      <c r="L1109" s="4" t="s">
        <v>81</v>
      </c>
      <c r="M1109" s="4"/>
      <c r="N1109" s="4"/>
      <c r="O1109" s="4" t="s">
        <v>1127</v>
      </c>
      <c r="P1109" s="4"/>
      <c r="Q1109" s="4"/>
      <c r="R1109" s="4"/>
      <c r="S1109" s="4"/>
      <c r="T1109" s="4"/>
      <c r="U1109" s="4"/>
      <c r="V1109" s="4"/>
      <c r="W1109" s="4"/>
      <c r="X1109" s="4"/>
      <c r="Y1109" s="4"/>
      <c r="Z1109" s="4"/>
      <c r="AA1109" s="4"/>
    </row>
    <row r="1110">
      <c r="A1110" s="4" t="s">
        <v>8563</v>
      </c>
      <c r="B1110" s="4" t="s">
        <v>19</v>
      </c>
      <c r="C1110" s="4" t="s">
        <v>7269</v>
      </c>
      <c r="D1110" s="4">
        <v>44007.0</v>
      </c>
      <c r="E1110" s="4">
        <v>0.650347222222224</v>
      </c>
      <c r="F1110" s="4">
        <v>0.006944444444444444</v>
      </c>
      <c r="G1110" s="4">
        <v>0.6572916666666684</v>
      </c>
      <c r="H1110" s="4" t="s">
        <v>803</v>
      </c>
      <c r="I1110" s="4" t="s">
        <v>17</v>
      </c>
      <c r="J1110" s="4" t="s">
        <v>7086</v>
      </c>
      <c r="K1110" s="4" t="s">
        <v>446</v>
      </c>
      <c r="L1110" s="4" t="s">
        <v>94</v>
      </c>
      <c r="M1110" s="4" t="s">
        <v>7456</v>
      </c>
      <c r="N1110" s="4" t="s">
        <v>6689</v>
      </c>
      <c r="O1110" s="4" t="s">
        <v>8564</v>
      </c>
      <c r="P1110" s="4" t="s">
        <v>8565</v>
      </c>
      <c r="Q1110" s="4"/>
      <c r="R1110" s="4"/>
      <c r="S1110" s="4"/>
      <c r="T1110" s="4" t="s">
        <v>253</v>
      </c>
      <c r="U1110" s="4">
        <v>2.0</v>
      </c>
      <c r="V1110" s="4" t="s">
        <v>8566</v>
      </c>
      <c r="W1110" s="4" t="s">
        <v>8001</v>
      </c>
      <c r="X1110" s="4"/>
      <c r="Y1110" s="4"/>
      <c r="Z1110" s="4"/>
      <c r="AA1110" s="4"/>
    </row>
    <row r="1111">
      <c r="A1111" s="4" t="s">
        <v>8567</v>
      </c>
      <c r="B1111" s="4" t="s">
        <v>19</v>
      </c>
      <c r="C1111" s="4" t="s">
        <v>7269</v>
      </c>
      <c r="D1111" s="4">
        <v>44007.0</v>
      </c>
      <c r="E1111" s="4">
        <v>0.6572916666666684</v>
      </c>
      <c r="F1111" s="4">
        <v>1.7361111111111112E-4</v>
      </c>
      <c r="G1111" s="4">
        <v>0.6574652777777795</v>
      </c>
      <c r="H1111" s="4" t="s">
        <v>1944</v>
      </c>
      <c r="I1111" s="4"/>
      <c r="J1111" s="4"/>
      <c r="K1111" s="4" t="s">
        <v>446</v>
      </c>
      <c r="L1111" s="4" t="s">
        <v>85</v>
      </c>
      <c r="M1111" s="4"/>
      <c r="N1111" s="4"/>
      <c r="O1111" s="4" t="s">
        <v>7077</v>
      </c>
      <c r="P1111" s="4"/>
      <c r="Q1111" s="4"/>
      <c r="R1111" s="4"/>
      <c r="S1111" s="4"/>
      <c r="T1111" s="4"/>
      <c r="U1111" s="4"/>
      <c r="V1111" s="4"/>
      <c r="W1111" s="4"/>
      <c r="X1111" s="4"/>
      <c r="Y1111" s="4"/>
      <c r="Z1111" s="4"/>
      <c r="AA1111" s="4"/>
    </row>
    <row r="1112">
      <c r="A1112" s="4" t="s">
        <v>8568</v>
      </c>
      <c r="B1112" s="4" t="s">
        <v>19</v>
      </c>
      <c r="C1112" s="4" t="s">
        <v>7269</v>
      </c>
      <c r="D1112" s="4">
        <v>44007.0</v>
      </c>
      <c r="E1112" s="4">
        <v>0.6574652777777795</v>
      </c>
      <c r="F1112" s="4">
        <v>3.4722222222222224E-4</v>
      </c>
      <c r="G1112" s="4">
        <v>0.6578125000000018</v>
      </c>
      <c r="H1112" s="4" t="s">
        <v>1944</v>
      </c>
      <c r="I1112" s="4" t="s">
        <v>314</v>
      </c>
      <c r="J1112" s="4" t="s">
        <v>314</v>
      </c>
      <c r="K1112" s="4" t="s">
        <v>446</v>
      </c>
      <c r="L1112" s="4" t="s">
        <v>81</v>
      </c>
      <c r="M1112" s="4"/>
      <c r="N1112" s="4"/>
      <c r="O1112" s="4" t="s">
        <v>81</v>
      </c>
      <c r="P1112" s="4"/>
      <c r="Q1112" s="4"/>
      <c r="R1112" s="4"/>
      <c r="S1112" s="4"/>
      <c r="T1112" s="4"/>
      <c r="U1112" s="4">
        <v>0.0</v>
      </c>
      <c r="V1112" s="4"/>
      <c r="W1112" s="4"/>
      <c r="X1112" s="4"/>
      <c r="Y1112" s="4"/>
      <c r="Z1112" s="4"/>
      <c r="AA1112" s="4"/>
    </row>
    <row r="1113">
      <c r="A1113" s="4" t="s">
        <v>8569</v>
      </c>
      <c r="B1113" s="4" t="s">
        <v>19</v>
      </c>
      <c r="C1113" s="4" t="s">
        <v>7269</v>
      </c>
      <c r="D1113" s="4">
        <v>44007.0</v>
      </c>
      <c r="E1113" s="4">
        <v>0.6578125000000018</v>
      </c>
      <c r="F1113" s="4">
        <v>0.008333333333333333</v>
      </c>
      <c r="G1113" s="4">
        <v>0.6661458333333351</v>
      </c>
      <c r="H1113" s="4" t="s">
        <v>847</v>
      </c>
      <c r="I1113" s="4" t="s">
        <v>6947</v>
      </c>
      <c r="J1113" s="4" t="s">
        <v>6948</v>
      </c>
      <c r="K1113" s="4" t="s">
        <v>446</v>
      </c>
      <c r="L1113" s="4" t="s">
        <v>107</v>
      </c>
      <c r="M1113" s="4" t="s">
        <v>7598</v>
      </c>
      <c r="N1113" s="4" t="s">
        <v>6689</v>
      </c>
      <c r="O1113" s="4" t="s">
        <v>1457</v>
      </c>
      <c r="P1113" s="4" t="s">
        <v>1458</v>
      </c>
      <c r="Q1113" s="4" t="s">
        <v>1459</v>
      </c>
      <c r="R1113" s="4"/>
      <c r="S1113" s="4"/>
      <c r="T1113" s="4" t="s">
        <v>8570</v>
      </c>
      <c r="U1113" s="4">
        <v>3.0</v>
      </c>
      <c r="V1113" s="4" t="s">
        <v>8571</v>
      </c>
      <c r="W1113" s="4" t="s">
        <v>6872</v>
      </c>
      <c r="X1113" s="4"/>
      <c r="Y1113" s="4"/>
      <c r="Z1113" s="4"/>
      <c r="AA1113" s="4"/>
    </row>
    <row r="1114">
      <c r="A1114" s="4" t="s">
        <v>8572</v>
      </c>
      <c r="B1114" s="4" t="s">
        <v>19</v>
      </c>
      <c r="C1114" s="4" t="s">
        <v>7269</v>
      </c>
      <c r="D1114" s="4">
        <v>44007.0</v>
      </c>
      <c r="E1114" s="4">
        <v>0.6661458333333351</v>
      </c>
      <c r="F1114" s="4">
        <v>1.7361111111111112E-4</v>
      </c>
      <c r="G1114" s="4">
        <v>0.6663194444444462</v>
      </c>
      <c r="H1114" s="4" t="s">
        <v>1944</v>
      </c>
      <c r="I1114" s="4" t="s">
        <v>314</v>
      </c>
      <c r="J1114" s="4" t="s">
        <v>314</v>
      </c>
      <c r="K1114" s="4" t="s">
        <v>446</v>
      </c>
      <c r="L1114" s="4" t="s">
        <v>85</v>
      </c>
      <c r="M1114" s="4"/>
      <c r="N1114" s="4"/>
      <c r="O1114" s="4" t="s">
        <v>85</v>
      </c>
      <c r="P1114" s="4"/>
      <c r="Q1114" s="4"/>
      <c r="R1114" s="4"/>
      <c r="S1114" s="4"/>
      <c r="T1114" s="4"/>
      <c r="U1114" s="4">
        <v>0.0</v>
      </c>
      <c r="V1114" s="4"/>
      <c r="W1114" s="4"/>
      <c r="X1114" s="4"/>
      <c r="Y1114" s="4"/>
      <c r="Z1114" s="4"/>
      <c r="AA1114" s="4"/>
    </row>
    <row r="1115">
      <c r="A1115" s="4" t="s">
        <v>8573</v>
      </c>
      <c r="B1115" s="4" t="s">
        <v>19</v>
      </c>
      <c r="C1115" s="4" t="s">
        <v>7269</v>
      </c>
      <c r="D1115" s="4">
        <v>44007.0</v>
      </c>
      <c r="E1115" s="4">
        <v>0.6663194444444462</v>
      </c>
      <c r="F1115" s="4">
        <v>3.4722222222222224E-4</v>
      </c>
      <c r="G1115" s="4">
        <v>0.6666666666666685</v>
      </c>
      <c r="H1115" s="4" t="s">
        <v>1215</v>
      </c>
      <c r="I1115" s="4" t="s">
        <v>314</v>
      </c>
      <c r="J1115" s="4" t="s">
        <v>314</v>
      </c>
      <c r="K1115" s="4" t="s">
        <v>446</v>
      </c>
      <c r="L1115" s="4" t="s">
        <v>506</v>
      </c>
      <c r="M1115" s="4"/>
      <c r="N1115" s="4"/>
      <c r="O1115" s="4" t="s">
        <v>8574</v>
      </c>
      <c r="P1115" s="4"/>
      <c r="Q1115" s="4"/>
      <c r="R1115" s="4"/>
      <c r="S1115" s="4"/>
      <c r="T1115" s="4"/>
      <c r="U1115" s="4">
        <v>0.0</v>
      </c>
      <c r="V1115" s="4"/>
      <c r="W1115" s="4"/>
      <c r="X1115" s="4"/>
      <c r="Y1115" s="4"/>
      <c r="Z1115" s="4"/>
      <c r="AA1115" s="4"/>
    </row>
    <row r="1116">
      <c r="A1116" s="4" t="s">
        <v>8575</v>
      </c>
      <c r="B1116" s="4" t="s">
        <v>19</v>
      </c>
      <c r="C1116" s="4" t="s">
        <v>7269</v>
      </c>
      <c r="D1116" s="4">
        <v>44007.0</v>
      </c>
      <c r="E1116" s="4">
        <v>0.6666666666666685</v>
      </c>
      <c r="F1116" s="4">
        <v>3.4722222222222224E-4</v>
      </c>
      <c r="G1116" s="4">
        <v>0.6670138888888908</v>
      </c>
      <c r="H1116" s="4" t="s">
        <v>1944</v>
      </c>
      <c r="I1116" s="4" t="s">
        <v>314</v>
      </c>
      <c r="J1116" s="4" t="s">
        <v>314</v>
      </c>
      <c r="K1116" s="4" t="s">
        <v>1193</v>
      </c>
      <c r="L1116" s="4" t="s">
        <v>81</v>
      </c>
      <c r="M1116" s="4"/>
      <c r="N1116" s="4"/>
      <c r="O1116" s="4" t="s">
        <v>6878</v>
      </c>
      <c r="P1116" s="4"/>
      <c r="Q1116" s="4"/>
      <c r="R1116" s="4"/>
      <c r="S1116" s="4"/>
      <c r="T1116" s="4"/>
      <c r="U1116" s="4">
        <v>0.0</v>
      </c>
      <c r="V1116" s="4"/>
      <c r="W1116" s="4"/>
      <c r="X1116" s="4"/>
      <c r="Y1116" s="4"/>
      <c r="Z1116" s="4"/>
      <c r="AA1116" s="4"/>
    </row>
    <row r="1117">
      <c r="A1117" s="4" t="s">
        <v>8576</v>
      </c>
      <c r="B1117" s="4" t="s">
        <v>19</v>
      </c>
      <c r="C1117" s="4" t="s">
        <v>7269</v>
      </c>
      <c r="D1117" s="4">
        <v>44007.0</v>
      </c>
      <c r="E1117" s="4">
        <v>0.6670138888888908</v>
      </c>
      <c r="F1117" s="4">
        <v>0.008333333333333333</v>
      </c>
      <c r="G1117" s="4">
        <v>0.6753472222222241</v>
      </c>
      <c r="H1117" s="4" t="s">
        <v>1185</v>
      </c>
      <c r="I1117" s="4" t="s">
        <v>6947</v>
      </c>
      <c r="J1117" s="4" t="s">
        <v>6948</v>
      </c>
      <c r="K1117" s="4" t="s">
        <v>1193</v>
      </c>
      <c r="L1117" s="4" t="s">
        <v>94</v>
      </c>
      <c r="M1117" s="4" t="s">
        <v>7946</v>
      </c>
      <c r="N1117" s="4" t="s">
        <v>6720</v>
      </c>
      <c r="O1117" s="4" t="s">
        <v>1469</v>
      </c>
      <c r="P1117" s="4" t="s">
        <v>1470</v>
      </c>
      <c r="Q1117" s="4"/>
      <c r="R1117" s="4"/>
      <c r="S1117" s="4"/>
      <c r="T1117" s="4" t="s">
        <v>1471</v>
      </c>
      <c r="U1117" s="4">
        <v>2.0</v>
      </c>
      <c r="V1117" s="4" t="s">
        <v>8577</v>
      </c>
      <c r="W1117" s="4" t="s">
        <v>7115</v>
      </c>
      <c r="X1117" s="4"/>
      <c r="Y1117" s="4"/>
      <c r="Z1117" s="4"/>
      <c r="AA1117" s="4"/>
    </row>
    <row r="1118">
      <c r="A1118" s="4" t="s">
        <v>8578</v>
      </c>
      <c r="B1118" s="4" t="s">
        <v>19</v>
      </c>
      <c r="C1118" s="4" t="s">
        <v>7269</v>
      </c>
      <c r="D1118" s="4">
        <v>44007.0</v>
      </c>
      <c r="E1118" s="4">
        <v>0.6753472222222241</v>
      </c>
      <c r="F1118" s="4">
        <v>1.7361111111111112E-4</v>
      </c>
      <c r="G1118" s="4">
        <v>0.6755208333333352</v>
      </c>
      <c r="H1118" s="4" t="s">
        <v>1944</v>
      </c>
      <c r="I1118" s="4" t="s">
        <v>314</v>
      </c>
      <c r="J1118" s="4" t="s">
        <v>314</v>
      </c>
      <c r="K1118" s="4" t="s">
        <v>1193</v>
      </c>
      <c r="L1118" s="4" t="s">
        <v>85</v>
      </c>
      <c r="M1118" s="4"/>
      <c r="N1118" s="4"/>
      <c r="O1118" s="4" t="s">
        <v>85</v>
      </c>
      <c r="P1118" s="4"/>
      <c r="Q1118" s="4"/>
      <c r="R1118" s="4"/>
      <c r="S1118" s="4"/>
      <c r="T1118" s="4"/>
      <c r="U1118" s="4">
        <v>0.0</v>
      </c>
      <c r="V1118" s="4"/>
      <c r="W1118" s="4"/>
      <c r="X1118" s="4"/>
      <c r="Y1118" s="4"/>
      <c r="Z1118" s="4"/>
      <c r="AA1118" s="4"/>
    </row>
    <row r="1119">
      <c r="A1119" s="4" t="s">
        <v>8579</v>
      </c>
      <c r="B1119" s="4" t="s">
        <v>19</v>
      </c>
      <c r="C1119" s="4" t="s">
        <v>7269</v>
      </c>
      <c r="D1119" s="4">
        <v>44007.0</v>
      </c>
      <c r="E1119" s="4">
        <v>0.6755208333333352</v>
      </c>
      <c r="F1119" s="4">
        <v>3.4722222222222224E-4</v>
      </c>
      <c r="G1119" s="4">
        <v>0.6758680555555575</v>
      </c>
      <c r="H1119" s="4" t="s">
        <v>1215</v>
      </c>
      <c r="I1119" s="4" t="s">
        <v>314</v>
      </c>
      <c r="J1119" s="4" t="s">
        <v>314</v>
      </c>
      <c r="K1119" s="4" t="s">
        <v>1193</v>
      </c>
      <c r="L1119" s="4" t="s">
        <v>506</v>
      </c>
      <c r="M1119" s="4"/>
      <c r="N1119" s="4"/>
      <c r="O1119" s="4" t="s">
        <v>506</v>
      </c>
      <c r="P1119" s="4"/>
      <c r="Q1119" s="4"/>
      <c r="R1119" s="4"/>
      <c r="S1119" s="4"/>
      <c r="T1119" s="4"/>
      <c r="U1119" s="4">
        <v>0.0</v>
      </c>
      <c r="V1119" s="4"/>
      <c r="W1119" s="4"/>
      <c r="X1119" s="4"/>
      <c r="Y1119" s="4"/>
      <c r="Z1119" s="4"/>
      <c r="AA1119" s="4"/>
    </row>
    <row r="1120">
      <c r="A1120" s="4" t="s">
        <v>8580</v>
      </c>
      <c r="B1120" s="4" t="s">
        <v>19</v>
      </c>
      <c r="C1120" s="4" t="s">
        <v>7269</v>
      </c>
      <c r="D1120" s="4">
        <v>44007.0</v>
      </c>
      <c r="E1120" s="4">
        <v>0.6758680555555575</v>
      </c>
      <c r="F1120" s="4">
        <v>0.0012152777777777778</v>
      </c>
      <c r="G1120" s="4">
        <v>0.6770833333333353</v>
      </c>
      <c r="H1120" s="4" t="s">
        <v>1944</v>
      </c>
      <c r="I1120" s="4"/>
      <c r="J1120" s="4"/>
      <c r="K1120" s="4" t="s">
        <v>1193</v>
      </c>
      <c r="L1120" s="4" t="s">
        <v>79</v>
      </c>
      <c r="M1120" s="4"/>
      <c r="N1120" s="4"/>
      <c r="O1120" s="4" t="s">
        <v>79</v>
      </c>
      <c r="P1120" s="4"/>
      <c r="Q1120" s="4"/>
      <c r="R1120" s="4"/>
      <c r="S1120" s="4"/>
      <c r="T1120" s="4"/>
      <c r="U1120" s="4"/>
      <c r="V1120" s="4"/>
      <c r="W1120" s="4"/>
      <c r="X1120" s="4"/>
      <c r="Y1120" s="4"/>
      <c r="Z1120" s="4"/>
      <c r="AA1120" s="4"/>
    </row>
    <row r="1121">
      <c r="A1121" s="4" t="s">
        <v>8581</v>
      </c>
      <c r="B1121" s="4" t="s">
        <v>19</v>
      </c>
      <c r="C1121" s="4" t="s">
        <v>7269</v>
      </c>
      <c r="D1121" s="4">
        <v>44007.0</v>
      </c>
      <c r="E1121" s="4">
        <v>0.6770833333333353</v>
      </c>
      <c r="F1121" s="4">
        <v>6.944444444444445E-4</v>
      </c>
      <c r="G1121" s="4">
        <v>0.6777777777777797</v>
      </c>
      <c r="H1121" s="4" t="s">
        <v>1944</v>
      </c>
      <c r="I1121" s="4" t="s">
        <v>314</v>
      </c>
      <c r="J1121" s="4" t="s">
        <v>314</v>
      </c>
      <c r="K1121" s="4" t="s">
        <v>1193</v>
      </c>
      <c r="L1121" s="4" t="s">
        <v>103</v>
      </c>
      <c r="M1121" s="4"/>
      <c r="N1121" s="4"/>
      <c r="O1121" s="4" t="s">
        <v>103</v>
      </c>
      <c r="P1121" s="4"/>
      <c r="Q1121" s="4"/>
      <c r="R1121" s="4"/>
      <c r="S1121" s="4"/>
      <c r="T1121" s="4"/>
      <c r="U1121" s="4"/>
      <c r="V1121" s="4"/>
      <c r="W1121" s="4"/>
      <c r="X1121" s="4"/>
      <c r="Y1121" s="4"/>
      <c r="Z1121" s="4"/>
      <c r="AA1121" s="4"/>
    </row>
    <row r="1122">
      <c r="A1122" s="4" t="s">
        <v>8582</v>
      </c>
      <c r="B1122" s="4" t="s">
        <v>19</v>
      </c>
      <c r="C1122" s="4" t="s">
        <v>7269</v>
      </c>
      <c r="D1122" s="4">
        <v>44007.0</v>
      </c>
      <c r="E1122" s="4">
        <v>0.6777777777777797</v>
      </c>
      <c r="F1122" s="4">
        <v>3.4722222222222224E-4</v>
      </c>
      <c r="G1122" s="4">
        <v>0.678125000000002</v>
      </c>
      <c r="H1122" s="4" t="s">
        <v>1944</v>
      </c>
      <c r="I1122" s="4" t="s">
        <v>314</v>
      </c>
      <c r="J1122" s="4" t="s">
        <v>314</v>
      </c>
      <c r="K1122" s="4" t="s">
        <v>1193</v>
      </c>
      <c r="L1122" s="4" t="s">
        <v>81</v>
      </c>
      <c r="M1122" s="4"/>
      <c r="N1122" s="4"/>
      <c r="O1122" s="4" t="s">
        <v>81</v>
      </c>
      <c r="P1122" s="4"/>
      <c r="Q1122" s="4"/>
      <c r="R1122" s="4"/>
      <c r="S1122" s="4"/>
      <c r="T1122" s="4"/>
      <c r="U1122" s="4">
        <v>0.0</v>
      </c>
      <c r="V1122" s="4"/>
      <c r="W1122" s="4"/>
      <c r="X1122" s="4"/>
      <c r="Y1122" s="4"/>
      <c r="Z1122" s="4"/>
      <c r="AA1122" s="4"/>
    </row>
    <row r="1123">
      <c r="A1123" s="4" t="s">
        <v>8583</v>
      </c>
      <c r="B1123" s="4" t="s">
        <v>19</v>
      </c>
      <c r="C1123" s="4" t="s">
        <v>7269</v>
      </c>
      <c r="D1123" s="4">
        <v>44007.0</v>
      </c>
      <c r="E1123" s="4">
        <v>0.678125000000002</v>
      </c>
      <c r="F1123" s="4">
        <v>0.013888888888888888</v>
      </c>
      <c r="G1123" s="4">
        <v>0.6920138888888908</v>
      </c>
      <c r="H1123" s="4" t="s">
        <v>653</v>
      </c>
      <c r="I1123" s="4" t="s">
        <v>17</v>
      </c>
      <c r="J1123" s="4" t="s">
        <v>6853</v>
      </c>
      <c r="K1123" s="4" t="s">
        <v>1193</v>
      </c>
      <c r="L1123" s="4" t="s">
        <v>94</v>
      </c>
      <c r="M1123" s="4" t="s">
        <v>7446</v>
      </c>
      <c r="N1123" s="4" t="s">
        <v>6689</v>
      </c>
      <c r="O1123" s="4" t="s">
        <v>8584</v>
      </c>
      <c r="P1123" s="4" t="s">
        <v>8585</v>
      </c>
      <c r="Q1123" s="4"/>
      <c r="R1123" s="4"/>
      <c r="S1123" s="4"/>
      <c r="T1123" s="4" t="s">
        <v>7599</v>
      </c>
      <c r="U1123" s="4">
        <v>2.0</v>
      </c>
      <c r="V1123" s="4" t="s">
        <v>8586</v>
      </c>
      <c r="W1123" s="4" t="s">
        <v>6855</v>
      </c>
      <c r="X1123" s="4"/>
      <c r="Y1123" s="4"/>
      <c r="Z1123" s="4"/>
      <c r="AA1123" s="4"/>
    </row>
    <row r="1124">
      <c r="A1124" s="4" t="s">
        <v>8587</v>
      </c>
      <c r="B1124" s="4" t="s">
        <v>19</v>
      </c>
      <c r="C1124" s="4" t="s">
        <v>7269</v>
      </c>
      <c r="D1124" s="4">
        <v>44007.0</v>
      </c>
      <c r="E1124" s="4">
        <v>0.6920138888888908</v>
      </c>
      <c r="F1124" s="4">
        <v>1.7361111111111112E-4</v>
      </c>
      <c r="G1124" s="4">
        <v>0.692187500000002</v>
      </c>
      <c r="H1124" s="4" t="s">
        <v>1944</v>
      </c>
      <c r="I1124" s="4" t="s">
        <v>314</v>
      </c>
      <c r="J1124" s="4" t="s">
        <v>314</v>
      </c>
      <c r="K1124" s="4" t="s">
        <v>1193</v>
      </c>
      <c r="L1124" s="4" t="s">
        <v>85</v>
      </c>
      <c r="M1124" s="4"/>
      <c r="N1124" s="4"/>
      <c r="O1124" s="4" t="s">
        <v>85</v>
      </c>
      <c r="P1124" s="4"/>
      <c r="Q1124" s="4"/>
      <c r="R1124" s="4"/>
      <c r="S1124" s="4"/>
      <c r="T1124" s="4"/>
      <c r="U1124" s="4">
        <v>0.0</v>
      </c>
      <c r="V1124" s="4"/>
      <c r="W1124" s="4"/>
      <c r="X1124" s="4"/>
      <c r="Y1124" s="4"/>
      <c r="Z1124" s="4"/>
      <c r="AA1124" s="4"/>
    </row>
    <row r="1125">
      <c r="A1125" s="4" t="s">
        <v>8588</v>
      </c>
      <c r="B1125" s="4" t="s">
        <v>19</v>
      </c>
      <c r="C1125" s="4" t="s">
        <v>7269</v>
      </c>
      <c r="D1125" s="4">
        <v>44007.0</v>
      </c>
      <c r="E1125" s="4">
        <v>0.692187500000002</v>
      </c>
      <c r="F1125" s="4">
        <v>3.4722222222222224E-4</v>
      </c>
      <c r="G1125" s="4">
        <v>0.6925347222222242</v>
      </c>
      <c r="H1125" s="4" t="s">
        <v>1944</v>
      </c>
      <c r="I1125" s="4" t="s">
        <v>314</v>
      </c>
      <c r="J1125" s="4" t="s">
        <v>314</v>
      </c>
      <c r="K1125" s="4" t="s">
        <v>1193</v>
      </c>
      <c r="L1125" s="4" t="s">
        <v>81</v>
      </c>
      <c r="M1125" s="4"/>
      <c r="N1125" s="4"/>
      <c r="O1125" s="4" t="s">
        <v>81</v>
      </c>
      <c r="P1125" s="4"/>
      <c r="Q1125" s="4"/>
      <c r="R1125" s="4"/>
      <c r="S1125" s="4"/>
      <c r="T1125" s="4"/>
      <c r="U1125" s="4">
        <v>0.0</v>
      </c>
      <c r="V1125" s="4"/>
      <c r="W1125" s="4"/>
      <c r="X1125" s="4"/>
      <c r="Y1125" s="4"/>
      <c r="Z1125" s="4"/>
      <c r="AA1125" s="4"/>
    </row>
    <row r="1126">
      <c r="A1126" s="4" t="s">
        <v>8589</v>
      </c>
      <c r="B1126" s="4" t="s">
        <v>19</v>
      </c>
      <c r="C1126" s="4" t="s">
        <v>7269</v>
      </c>
      <c r="D1126" s="4">
        <v>44007.0</v>
      </c>
      <c r="E1126" s="4">
        <v>0.6925347222222242</v>
      </c>
      <c r="F1126" s="4">
        <v>0.006944444444444444</v>
      </c>
      <c r="G1126" s="4">
        <v>0.6994791666666687</v>
      </c>
      <c r="H1126" s="4" t="s">
        <v>1185</v>
      </c>
      <c r="I1126" s="4" t="s">
        <v>314</v>
      </c>
      <c r="J1126" s="4" t="s">
        <v>6948</v>
      </c>
      <c r="K1126" s="4" t="s">
        <v>1193</v>
      </c>
      <c r="L1126" s="4" t="s">
        <v>165</v>
      </c>
      <c r="M1126" s="4" t="s">
        <v>8292</v>
      </c>
      <c r="N1126" s="4" t="s">
        <v>6720</v>
      </c>
      <c r="O1126" s="4" t="s">
        <v>8590</v>
      </c>
      <c r="P1126" s="4" t="s">
        <v>8591</v>
      </c>
      <c r="Q1126" s="4"/>
      <c r="R1126" s="4"/>
      <c r="S1126" s="4"/>
      <c r="T1126" s="4"/>
      <c r="U1126" s="4">
        <v>1.0</v>
      </c>
      <c r="V1126" s="4" t="s">
        <v>8592</v>
      </c>
      <c r="W1126" s="4" t="s">
        <v>6890</v>
      </c>
      <c r="X1126" s="4"/>
      <c r="Y1126" s="4"/>
      <c r="Z1126" s="4"/>
      <c r="AA1126" s="4"/>
    </row>
    <row r="1127">
      <c r="A1127" s="4" t="s">
        <v>8593</v>
      </c>
      <c r="B1127" s="4" t="s">
        <v>19</v>
      </c>
      <c r="C1127" s="4" t="s">
        <v>7269</v>
      </c>
      <c r="D1127" s="4">
        <v>44007.0</v>
      </c>
      <c r="E1127" s="4">
        <v>0.6994791666666687</v>
      </c>
      <c r="F1127" s="4">
        <v>1.7361111111111112E-4</v>
      </c>
      <c r="G1127" s="4">
        <v>0.6996527777777798</v>
      </c>
      <c r="H1127" s="4" t="s">
        <v>1944</v>
      </c>
      <c r="I1127" s="4" t="s">
        <v>314</v>
      </c>
      <c r="J1127" s="4" t="s">
        <v>314</v>
      </c>
      <c r="K1127" s="4" t="s">
        <v>1193</v>
      </c>
      <c r="L1127" s="4" t="s">
        <v>85</v>
      </c>
      <c r="M1127" s="4"/>
      <c r="N1127" s="4"/>
      <c r="O1127" s="4" t="s">
        <v>85</v>
      </c>
      <c r="P1127" s="4"/>
      <c r="Q1127" s="4"/>
      <c r="R1127" s="4"/>
      <c r="S1127" s="4"/>
      <c r="T1127" s="4"/>
      <c r="U1127" s="4">
        <v>0.0</v>
      </c>
      <c r="V1127" s="4"/>
      <c r="W1127" s="4"/>
      <c r="X1127" s="4"/>
      <c r="Y1127" s="4"/>
      <c r="Z1127" s="4"/>
      <c r="AA1127" s="4"/>
    </row>
    <row r="1128">
      <c r="A1128" s="4" t="s">
        <v>8594</v>
      </c>
      <c r="B1128" s="4" t="s">
        <v>19</v>
      </c>
      <c r="C1128" s="4" t="s">
        <v>7269</v>
      </c>
      <c r="D1128" s="4">
        <v>44007.0</v>
      </c>
      <c r="E1128" s="4">
        <v>0.6996527777777798</v>
      </c>
      <c r="F1128" s="4">
        <v>3.4722222222222224E-4</v>
      </c>
      <c r="G1128" s="4">
        <v>0.7000000000000021</v>
      </c>
      <c r="H1128" s="4" t="s">
        <v>1944</v>
      </c>
      <c r="I1128" s="4" t="s">
        <v>314</v>
      </c>
      <c r="J1128" s="4" t="s">
        <v>314</v>
      </c>
      <c r="K1128" s="4" t="s">
        <v>1193</v>
      </c>
      <c r="L1128" s="4" t="s">
        <v>81</v>
      </c>
      <c r="M1128" s="4"/>
      <c r="N1128" s="4"/>
      <c r="O1128" s="4" t="s">
        <v>81</v>
      </c>
      <c r="P1128" s="4"/>
      <c r="Q1128" s="4"/>
      <c r="R1128" s="4"/>
      <c r="S1128" s="4"/>
      <c r="T1128" s="4"/>
      <c r="U1128" s="4">
        <v>0.0</v>
      </c>
      <c r="V1128" s="4"/>
      <c r="W1128" s="4"/>
      <c r="X1128" s="4"/>
      <c r="Y1128" s="4"/>
      <c r="Z1128" s="4"/>
      <c r="AA1128" s="4"/>
    </row>
    <row r="1129">
      <c r="A1129" s="4" t="s">
        <v>8595</v>
      </c>
      <c r="B1129" s="4" t="s">
        <v>19</v>
      </c>
      <c r="C1129" s="4" t="s">
        <v>7269</v>
      </c>
      <c r="D1129" s="4">
        <v>44007.0</v>
      </c>
      <c r="E1129" s="4">
        <v>0.7000000000000021</v>
      </c>
      <c r="F1129" s="4">
        <v>0.0078125</v>
      </c>
      <c r="G1129" s="4">
        <v>0.7078125000000021</v>
      </c>
      <c r="H1129" s="4" t="s">
        <v>1185</v>
      </c>
      <c r="I1129" s="4" t="s">
        <v>6947</v>
      </c>
      <c r="J1129" s="4" t="s">
        <v>6948</v>
      </c>
      <c r="K1129" s="4" t="s">
        <v>1193</v>
      </c>
      <c r="L1129" s="4" t="s">
        <v>94</v>
      </c>
      <c r="M1129" s="4" t="s">
        <v>8146</v>
      </c>
      <c r="N1129" s="4" t="s">
        <v>6749</v>
      </c>
      <c r="O1129" s="4" t="s">
        <v>8596</v>
      </c>
      <c r="P1129" s="4" t="s">
        <v>1488</v>
      </c>
      <c r="Q1129" s="4"/>
      <c r="R1129" s="4"/>
      <c r="S1129" s="4"/>
      <c r="T1129" s="4" t="s">
        <v>1471</v>
      </c>
      <c r="U1129" s="4">
        <v>2.0</v>
      </c>
      <c r="V1129" s="4" t="s">
        <v>8597</v>
      </c>
      <c r="W1129" s="4" t="s">
        <v>7136</v>
      </c>
      <c r="X1129" s="4"/>
      <c r="Y1129" s="4"/>
      <c r="Z1129" s="4"/>
      <c r="AA1129" s="4"/>
    </row>
    <row r="1130">
      <c r="A1130" s="4" t="s">
        <v>8598</v>
      </c>
      <c r="B1130" s="4" t="s">
        <v>19</v>
      </c>
      <c r="C1130" s="4" t="s">
        <v>7269</v>
      </c>
      <c r="D1130" s="4">
        <v>44007.0</v>
      </c>
      <c r="E1130" s="4">
        <v>0.7078125000000021</v>
      </c>
      <c r="F1130" s="4">
        <v>1.7361111111111112E-4</v>
      </c>
      <c r="G1130" s="4">
        <v>0.7079861111111132</v>
      </c>
      <c r="H1130" s="4" t="s">
        <v>1944</v>
      </c>
      <c r="I1130" s="4" t="s">
        <v>314</v>
      </c>
      <c r="J1130" s="4" t="s">
        <v>314</v>
      </c>
      <c r="K1130" s="4" t="s">
        <v>1193</v>
      </c>
      <c r="L1130" s="4" t="s">
        <v>85</v>
      </c>
      <c r="M1130" s="4"/>
      <c r="N1130" s="4"/>
      <c r="O1130" s="4" t="s">
        <v>85</v>
      </c>
      <c r="P1130" s="4"/>
      <c r="Q1130" s="4"/>
      <c r="R1130" s="4"/>
      <c r="S1130" s="4"/>
      <c r="T1130" s="4"/>
      <c r="U1130" s="4">
        <v>0.0</v>
      </c>
      <c r="V1130" s="4"/>
      <c r="W1130" s="4"/>
      <c r="X1130" s="4"/>
      <c r="Y1130" s="4"/>
      <c r="Z1130" s="4"/>
      <c r="AA1130" s="4"/>
    </row>
    <row r="1131">
      <c r="A1131" s="4" t="s">
        <v>8599</v>
      </c>
      <c r="B1131" s="4" t="s">
        <v>19</v>
      </c>
      <c r="C1131" s="4" t="s">
        <v>7269</v>
      </c>
      <c r="D1131" s="4">
        <v>44007.0</v>
      </c>
      <c r="E1131" s="4">
        <v>0.7079861111111132</v>
      </c>
      <c r="F1131" s="4">
        <v>3.4722222222222224E-4</v>
      </c>
      <c r="G1131" s="4">
        <v>0.7083333333333355</v>
      </c>
      <c r="H1131" s="4"/>
      <c r="I1131" s="4"/>
      <c r="J1131" s="4"/>
      <c r="K1131" s="4" t="s">
        <v>1193</v>
      </c>
      <c r="L1131" s="4"/>
      <c r="M1131" s="4"/>
      <c r="N1131" s="4"/>
      <c r="O1131" s="4" t="s">
        <v>1171</v>
      </c>
      <c r="P1131" s="4"/>
      <c r="Q1131" s="4"/>
      <c r="R1131" s="4"/>
      <c r="S1131" s="4"/>
      <c r="T1131" s="4"/>
      <c r="U1131" s="4">
        <v>0.0</v>
      </c>
      <c r="V1131" s="4"/>
      <c r="W1131" s="4"/>
      <c r="X1131" s="4"/>
      <c r="Y1131" s="4"/>
      <c r="Z1131" s="4"/>
      <c r="AA1131" s="4"/>
    </row>
    <row r="1132">
      <c r="A1132" s="4" t="s">
        <v>8600</v>
      </c>
      <c r="B1132" s="4" t="s">
        <v>19</v>
      </c>
      <c r="C1132" s="4" t="s">
        <v>7269</v>
      </c>
      <c r="D1132" s="4">
        <v>44007.0</v>
      </c>
      <c r="E1132" s="4"/>
      <c r="F1132" s="4"/>
      <c r="G1132" s="4"/>
      <c r="H1132" s="4"/>
      <c r="I1132" s="4"/>
      <c r="J1132" s="4"/>
      <c r="K1132" s="4"/>
      <c r="L1132" s="4"/>
      <c r="M1132" s="4"/>
      <c r="N1132" s="4"/>
      <c r="O1132" s="4"/>
      <c r="P1132" s="4"/>
      <c r="Q1132" s="4"/>
      <c r="R1132" s="4"/>
      <c r="S1132" s="4"/>
      <c r="T1132" s="4"/>
      <c r="U1132" s="4">
        <v>0.0</v>
      </c>
      <c r="V1132" s="4"/>
      <c r="W1132" s="4"/>
      <c r="X1132" s="4"/>
      <c r="Y1132" s="4"/>
      <c r="Z1132" s="4"/>
      <c r="AA1132" s="4"/>
    </row>
    <row r="1133">
      <c r="A1133" s="4" t="s">
        <v>8601</v>
      </c>
      <c r="B1133" s="4"/>
      <c r="C1133" s="4"/>
      <c r="D1133" s="4">
        <v>44007.0</v>
      </c>
      <c r="E1133" s="4"/>
      <c r="F1133" s="4"/>
      <c r="G1133" s="4"/>
      <c r="H1133" s="4"/>
      <c r="I1133" s="4"/>
      <c r="J1133" s="4"/>
      <c r="K1133" s="4"/>
      <c r="L1133" s="4"/>
      <c r="M1133" s="4"/>
      <c r="N1133" s="4"/>
      <c r="O1133" s="4"/>
      <c r="P1133" s="4"/>
      <c r="Q1133" s="4"/>
      <c r="R1133" s="4"/>
      <c r="S1133" s="4"/>
      <c r="T1133" s="4"/>
      <c r="U1133" s="4"/>
      <c r="V1133" s="4"/>
      <c r="W1133" s="4"/>
      <c r="X1133" s="4"/>
      <c r="Y1133" s="4"/>
      <c r="Z1133" s="4"/>
      <c r="AA1133" s="4"/>
    </row>
    <row r="1134">
      <c r="A1134" s="4" t="s">
        <v>8602</v>
      </c>
      <c r="B1134" s="4" t="s">
        <v>19</v>
      </c>
      <c r="C1134" s="4" t="s">
        <v>7269</v>
      </c>
      <c r="D1134" s="4">
        <v>44007.0</v>
      </c>
      <c r="E1134" s="4"/>
      <c r="F1134" s="4"/>
      <c r="G1134" s="4"/>
      <c r="H1134" s="4"/>
      <c r="I1134" s="4"/>
      <c r="J1134" s="4"/>
      <c r="K1134" s="4"/>
      <c r="L1134" s="4"/>
      <c r="M1134" s="4"/>
      <c r="N1134" s="4"/>
      <c r="O1134" s="4"/>
      <c r="P1134" s="4"/>
      <c r="Q1134" s="4"/>
      <c r="R1134" s="4"/>
      <c r="S1134" s="4"/>
      <c r="T1134" s="4"/>
      <c r="U1134" s="4">
        <v>0.0</v>
      </c>
      <c r="V1134" s="4"/>
      <c r="W1134" s="4"/>
      <c r="X1134" s="4"/>
      <c r="Y1134" s="4"/>
      <c r="Z1134" s="4"/>
      <c r="AA1134" s="4"/>
    </row>
    <row r="1135">
      <c r="A1135" s="4" t="s">
        <v>8603</v>
      </c>
      <c r="B1135" s="4" t="s">
        <v>1494</v>
      </c>
      <c r="C1135" s="4"/>
      <c r="D1135" s="4"/>
      <c r="E1135" s="4"/>
      <c r="F1135" s="4"/>
      <c r="G1135" s="4"/>
      <c r="H1135" s="4"/>
      <c r="I1135" s="4"/>
      <c r="J1135" s="4"/>
      <c r="K1135" s="4"/>
      <c r="L1135" s="4"/>
      <c r="M1135" s="4"/>
      <c r="N1135" s="4"/>
      <c r="O1135" s="4"/>
      <c r="P1135" s="4"/>
      <c r="Q1135" s="4"/>
      <c r="R1135" s="4"/>
      <c r="S1135" s="4"/>
      <c r="T1135" s="4"/>
      <c r="U1135" s="4">
        <v>0.0</v>
      </c>
      <c r="V1135" s="4"/>
      <c r="W1135" s="4"/>
      <c r="X1135" s="4"/>
      <c r="Y1135" s="4"/>
      <c r="Z1135" s="4"/>
      <c r="AA1135" s="4"/>
    </row>
    <row r="1136">
      <c r="A1136" s="4" t="s">
        <v>8604</v>
      </c>
      <c r="B1136" s="4" t="s">
        <v>65</v>
      </c>
      <c r="C1136" s="4"/>
      <c r="D1136" s="4"/>
      <c r="E1136" s="4"/>
      <c r="F1136" s="4"/>
      <c r="G1136" s="4"/>
      <c r="H1136" s="4"/>
      <c r="I1136" s="4"/>
      <c r="J1136" s="4"/>
      <c r="K1136" s="4"/>
      <c r="L1136" s="4"/>
      <c r="M1136" s="4"/>
      <c r="N1136" s="4"/>
      <c r="O1136" s="4"/>
      <c r="P1136" s="4"/>
      <c r="Q1136" s="4"/>
      <c r="R1136" s="4"/>
      <c r="S1136" s="4"/>
      <c r="T1136" s="4"/>
      <c r="U1136" s="4">
        <v>0.0</v>
      </c>
      <c r="V1136" s="4"/>
      <c r="W1136" s="4"/>
      <c r="X1136" s="4"/>
      <c r="Y1136" s="4"/>
      <c r="Z1136" s="4"/>
      <c r="AA1136" s="4"/>
    </row>
    <row r="1137">
      <c r="A1137" s="4" t="s">
        <v>8605</v>
      </c>
      <c r="B1137" s="4" t="s">
        <v>22</v>
      </c>
      <c r="C1137" s="4" t="s">
        <v>6838</v>
      </c>
      <c r="D1137" s="4">
        <v>44005.0</v>
      </c>
      <c r="E1137" s="4">
        <v>0.4166666666666667</v>
      </c>
      <c r="F1137" s="4">
        <v>0.001388888888888889</v>
      </c>
      <c r="G1137" s="4">
        <v>0.41805555555555557</v>
      </c>
      <c r="H1137" s="4"/>
      <c r="I1137" s="4"/>
      <c r="J1137" s="4"/>
      <c r="K1137" s="4"/>
      <c r="L1137" s="4" t="s">
        <v>79</v>
      </c>
      <c r="M1137" s="4"/>
      <c r="N1137" s="4"/>
      <c r="O1137" s="4" t="s">
        <v>1497</v>
      </c>
      <c r="P1137" s="4"/>
      <c r="Q1137" s="4"/>
      <c r="R1137" s="4"/>
      <c r="S1137" s="4"/>
      <c r="T1137" s="4"/>
      <c r="U1137" s="4">
        <v>0.0</v>
      </c>
      <c r="V1137" s="4"/>
      <c r="W1137" s="4"/>
      <c r="X1137" s="4"/>
      <c r="Y1137" s="4"/>
      <c r="Z1137" s="4"/>
      <c r="AA1137" s="4"/>
    </row>
    <row r="1138">
      <c r="A1138" s="4" t="s">
        <v>8606</v>
      </c>
      <c r="B1138" s="4" t="s">
        <v>22</v>
      </c>
      <c r="C1138" s="4" t="s">
        <v>6838</v>
      </c>
      <c r="D1138" s="4">
        <v>44005.0</v>
      </c>
      <c r="E1138" s="4">
        <v>0.41805555555555557</v>
      </c>
      <c r="F1138" s="4">
        <v>3.4722222222222224E-4</v>
      </c>
      <c r="G1138" s="4">
        <v>0.4184027777777778</v>
      </c>
      <c r="H1138" s="4"/>
      <c r="I1138" s="4"/>
      <c r="J1138" s="4"/>
      <c r="K1138" s="4"/>
      <c r="L1138" s="4" t="s">
        <v>81</v>
      </c>
      <c r="M1138" s="4"/>
      <c r="N1138" s="4"/>
      <c r="O1138" s="4" t="s">
        <v>1558</v>
      </c>
      <c r="P1138" s="4"/>
      <c r="Q1138" s="4"/>
      <c r="R1138" s="4"/>
      <c r="S1138" s="4"/>
      <c r="T1138" s="4"/>
      <c r="U1138" s="4">
        <v>0.0</v>
      </c>
      <c r="V1138" s="4"/>
      <c r="W1138" s="4"/>
      <c r="X1138" s="4"/>
      <c r="Y1138" s="4"/>
      <c r="Z1138" s="4"/>
      <c r="AA1138" s="4"/>
    </row>
    <row r="1139">
      <c r="A1139" s="4" t="s">
        <v>8607</v>
      </c>
      <c r="B1139" s="4" t="s">
        <v>22</v>
      </c>
      <c r="C1139" s="4" t="s">
        <v>6838</v>
      </c>
      <c r="D1139" s="4">
        <v>44005.0</v>
      </c>
      <c r="E1139" s="4">
        <v>0.4184027777777778</v>
      </c>
      <c r="F1139" s="4">
        <v>0.03125</v>
      </c>
      <c r="G1139" s="4">
        <v>0.4496527777777778</v>
      </c>
      <c r="H1139" s="4" t="s">
        <v>1253</v>
      </c>
      <c r="I1139" s="4" t="s">
        <v>4142</v>
      </c>
      <c r="J1139" s="4" t="s">
        <v>7086</v>
      </c>
      <c r="K1139" s="4"/>
      <c r="L1139" s="4" t="s">
        <v>1501</v>
      </c>
      <c r="M1139" s="4"/>
      <c r="N1139" s="4" t="s">
        <v>6755</v>
      </c>
      <c r="O1139" s="4" t="s">
        <v>1559</v>
      </c>
      <c r="P1139" s="4" t="s">
        <v>1160</v>
      </c>
      <c r="Q1139" s="4"/>
      <c r="R1139" s="4"/>
      <c r="S1139" s="4"/>
      <c r="T1139" s="4" t="s">
        <v>96</v>
      </c>
      <c r="U1139" s="4">
        <v>2.0</v>
      </c>
      <c r="V1139" s="4" t="s">
        <v>8608</v>
      </c>
      <c r="W1139" s="4" t="s">
        <v>6860</v>
      </c>
      <c r="X1139" s="4" t="s">
        <v>8609</v>
      </c>
      <c r="Y1139" s="4"/>
      <c r="Z1139" s="4" t="s">
        <v>1253</v>
      </c>
      <c r="AA1139" s="4"/>
    </row>
    <row r="1140">
      <c r="A1140" s="4" t="s">
        <v>8610</v>
      </c>
      <c r="B1140" s="4" t="s">
        <v>22</v>
      </c>
      <c r="C1140" s="4" t="s">
        <v>6838</v>
      </c>
      <c r="D1140" s="4">
        <v>44005.0</v>
      </c>
      <c r="E1140" s="4">
        <v>0.4496527777777778</v>
      </c>
      <c r="F1140" s="4">
        <v>0.001388888888888889</v>
      </c>
      <c r="G1140" s="4">
        <v>0.4510416666666667</v>
      </c>
      <c r="H1140" s="4"/>
      <c r="I1140" s="4"/>
      <c r="J1140" s="4"/>
      <c r="K1140" s="4"/>
      <c r="L1140" s="4" t="s">
        <v>79</v>
      </c>
      <c r="M1140" s="4"/>
      <c r="N1140" s="4"/>
      <c r="O1140" s="4" t="s">
        <v>1497</v>
      </c>
      <c r="P1140" s="4"/>
      <c r="Q1140" s="4"/>
      <c r="R1140" s="4"/>
      <c r="S1140" s="4"/>
      <c r="T1140" s="4"/>
      <c r="U1140" s="4">
        <v>0.0</v>
      </c>
      <c r="V1140" s="4"/>
      <c r="W1140" s="4"/>
      <c r="X1140" s="4"/>
      <c r="Y1140" s="4"/>
      <c r="Z1140" s="4"/>
      <c r="AA1140" s="4"/>
    </row>
    <row r="1141">
      <c r="A1141" s="4" t="s">
        <v>8611</v>
      </c>
      <c r="B1141" s="4" t="s">
        <v>22</v>
      </c>
      <c r="C1141" s="4" t="s">
        <v>6838</v>
      </c>
      <c r="D1141" s="4">
        <v>44005.0</v>
      </c>
      <c r="E1141" s="4">
        <v>0.4510416666666667</v>
      </c>
      <c r="F1141" s="4">
        <v>3.4722222222222224E-4</v>
      </c>
      <c r="G1141" s="4">
        <v>0.4513888888888889</v>
      </c>
      <c r="H1141" s="4"/>
      <c r="I1141" s="4"/>
      <c r="J1141" s="4"/>
      <c r="K1141" s="4"/>
      <c r="L1141" s="4" t="s">
        <v>81</v>
      </c>
      <c r="M1141" s="4"/>
      <c r="N1141" s="4"/>
      <c r="O1141" s="4" t="s">
        <v>1498</v>
      </c>
      <c r="P1141" s="4"/>
      <c r="Q1141" s="4"/>
      <c r="R1141" s="4"/>
      <c r="S1141" s="4"/>
      <c r="T1141" s="4"/>
      <c r="U1141" s="4">
        <v>0.0</v>
      </c>
      <c r="V1141" s="4"/>
      <c r="W1141" s="4"/>
      <c r="X1141" s="4"/>
      <c r="Y1141" s="4"/>
      <c r="Z1141" s="4"/>
      <c r="AA1141" s="4"/>
    </row>
    <row r="1142">
      <c r="A1142" s="4" t="s">
        <v>8612</v>
      </c>
      <c r="B1142" s="4" t="s">
        <v>22</v>
      </c>
      <c r="C1142" s="4" t="s">
        <v>6838</v>
      </c>
      <c r="D1142" s="4">
        <v>44005.0</v>
      </c>
      <c r="E1142" s="4">
        <v>0.4513888888888889</v>
      </c>
      <c r="F1142" s="4">
        <v>0.03125</v>
      </c>
      <c r="G1142" s="4">
        <v>0.4826388888888889</v>
      </c>
      <c r="H1142" s="4" t="s">
        <v>1253</v>
      </c>
      <c r="I1142" s="4" t="s">
        <v>4142</v>
      </c>
      <c r="J1142" s="4" t="s">
        <v>6938</v>
      </c>
      <c r="K1142" s="4"/>
      <c r="L1142" s="4" t="s">
        <v>1501</v>
      </c>
      <c r="M1142" s="4"/>
      <c r="N1142" s="4" t="s">
        <v>6755</v>
      </c>
      <c r="O1142" s="4" t="s">
        <v>1529</v>
      </c>
      <c r="P1142" s="4" t="s">
        <v>579</v>
      </c>
      <c r="Q1142" s="4"/>
      <c r="R1142" s="4"/>
      <c r="S1142" s="4"/>
      <c r="T1142" s="4" t="s">
        <v>649</v>
      </c>
      <c r="U1142" s="4">
        <v>2.0</v>
      </c>
      <c r="V1142" s="4" t="s">
        <v>8613</v>
      </c>
      <c r="W1142" s="4" t="s">
        <v>6872</v>
      </c>
      <c r="X1142" s="4"/>
      <c r="Y1142" s="4"/>
      <c r="Z1142" s="4" t="s">
        <v>1253</v>
      </c>
      <c r="AA1142" s="4"/>
    </row>
    <row r="1143">
      <c r="A1143" s="4" t="s">
        <v>8614</v>
      </c>
      <c r="B1143" s="4" t="s">
        <v>22</v>
      </c>
      <c r="C1143" s="4" t="s">
        <v>6838</v>
      </c>
      <c r="D1143" s="4">
        <v>44005.0</v>
      </c>
      <c r="E1143" s="4">
        <v>0.4826388888888889</v>
      </c>
      <c r="F1143" s="4">
        <v>0.001388888888888889</v>
      </c>
      <c r="G1143" s="4">
        <v>0.4840277777777778</v>
      </c>
      <c r="H1143" s="4"/>
      <c r="I1143" s="4"/>
      <c r="J1143" s="4"/>
      <c r="K1143" s="4"/>
      <c r="L1143" s="4" t="s">
        <v>79</v>
      </c>
      <c r="M1143" s="4"/>
      <c r="N1143" s="4"/>
      <c r="O1143" s="4" t="s">
        <v>1497</v>
      </c>
      <c r="P1143" s="4"/>
      <c r="Q1143" s="4"/>
      <c r="R1143" s="4"/>
      <c r="S1143" s="4"/>
      <c r="T1143" s="4"/>
      <c r="U1143" s="4">
        <v>0.0</v>
      </c>
      <c r="V1143" s="4"/>
      <c r="W1143" s="4"/>
      <c r="X1143" s="4"/>
      <c r="Y1143" s="4"/>
      <c r="Z1143" s="4"/>
      <c r="AA1143" s="4"/>
    </row>
    <row r="1144">
      <c r="A1144" s="4" t="s">
        <v>8615</v>
      </c>
      <c r="B1144" s="4" t="s">
        <v>22</v>
      </c>
      <c r="C1144" s="4" t="s">
        <v>6838</v>
      </c>
      <c r="D1144" s="4">
        <v>44005.0</v>
      </c>
      <c r="E1144" s="4">
        <v>0.4840277777777778</v>
      </c>
      <c r="F1144" s="4">
        <v>3.4722222222222224E-4</v>
      </c>
      <c r="G1144" s="4">
        <v>0.484375</v>
      </c>
      <c r="H1144" s="4"/>
      <c r="I1144" s="4"/>
      <c r="J1144" s="4"/>
      <c r="K1144" s="4"/>
      <c r="L1144" s="4" t="s">
        <v>81</v>
      </c>
      <c r="M1144" s="4"/>
      <c r="N1144" s="4"/>
      <c r="O1144" s="4" t="s">
        <v>1498</v>
      </c>
      <c r="P1144" s="4"/>
      <c r="Q1144" s="4"/>
      <c r="R1144" s="4"/>
      <c r="S1144" s="4"/>
      <c r="T1144" s="4"/>
      <c r="U1144" s="4">
        <v>0.0</v>
      </c>
      <c r="V1144" s="4"/>
      <c r="W1144" s="4"/>
      <c r="X1144" s="4"/>
      <c r="Y1144" s="4"/>
      <c r="Z1144" s="4"/>
      <c r="AA1144" s="4"/>
    </row>
    <row r="1145">
      <c r="A1145" s="4" t="s">
        <v>8616</v>
      </c>
      <c r="B1145" s="4" t="s">
        <v>22</v>
      </c>
      <c r="C1145" s="4" t="s">
        <v>6838</v>
      </c>
      <c r="D1145" s="4">
        <v>44005.0</v>
      </c>
      <c r="E1145" s="4">
        <v>0.484375</v>
      </c>
      <c r="F1145" s="4">
        <v>0.03125</v>
      </c>
      <c r="G1145" s="4">
        <v>0.515625</v>
      </c>
      <c r="H1145" s="4" t="s">
        <v>860</v>
      </c>
      <c r="I1145" s="4" t="s">
        <v>4142</v>
      </c>
      <c r="J1145" s="4" t="s">
        <v>6938</v>
      </c>
      <c r="K1145" s="4"/>
      <c r="L1145" s="4" t="s">
        <v>1501</v>
      </c>
      <c r="M1145" s="4"/>
      <c r="N1145" s="4" t="s">
        <v>6755</v>
      </c>
      <c r="O1145" s="4" t="s">
        <v>1508</v>
      </c>
      <c r="P1145" s="4" t="s">
        <v>1332</v>
      </c>
      <c r="Q1145" s="4"/>
      <c r="R1145" s="4"/>
      <c r="S1145" s="4"/>
      <c r="T1145" s="4" t="s">
        <v>97</v>
      </c>
      <c r="U1145" s="4">
        <v>2.0</v>
      </c>
      <c r="V1145" s="4" t="s">
        <v>8617</v>
      </c>
      <c r="W1145" s="4"/>
      <c r="X1145" s="4"/>
      <c r="Y1145" s="4"/>
      <c r="Z1145" s="4"/>
      <c r="AA1145" s="4"/>
    </row>
    <row r="1146">
      <c r="A1146" s="4" t="s">
        <v>8618</v>
      </c>
      <c r="B1146" s="4" t="s">
        <v>22</v>
      </c>
      <c r="C1146" s="4" t="s">
        <v>6838</v>
      </c>
      <c r="D1146" s="4">
        <v>44005.0</v>
      </c>
      <c r="E1146" s="4">
        <v>0.515625</v>
      </c>
      <c r="F1146" s="4">
        <v>0.001388888888888889</v>
      </c>
      <c r="G1146" s="4">
        <v>0.5170138888888889</v>
      </c>
      <c r="H1146" s="4"/>
      <c r="I1146" s="4"/>
      <c r="J1146" s="4"/>
      <c r="K1146" s="4"/>
      <c r="L1146" s="4" t="s">
        <v>79</v>
      </c>
      <c r="M1146" s="4"/>
      <c r="N1146" s="4"/>
      <c r="O1146" s="4" t="s">
        <v>1497</v>
      </c>
      <c r="P1146" s="4"/>
      <c r="Q1146" s="4"/>
      <c r="R1146" s="4"/>
      <c r="S1146" s="4"/>
      <c r="T1146" s="4"/>
      <c r="U1146" s="4">
        <v>0.0</v>
      </c>
      <c r="V1146" s="4"/>
      <c r="W1146" s="4"/>
      <c r="X1146" s="4"/>
      <c r="Y1146" s="4"/>
      <c r="Z1146" s="4"/>
      <c r="AA1146" s="4"/>
    </row>
    <row r="1147">
      <c r="A1147" s="4" t="s">
        <v>8619</v>
      </c>
      <c r="B1147" s="4" t="s">
        <v>22</v>
      </c>
      <c r="C1147" s="4" t="s">
        <v>6838</v>
      </c>
      <c r="D1147" s="4">
        <v>44005.0</v>
      </c>
      <c r="E1147" s="4">
        <v>0.5170138888888889</v>
      </c>
      <c r="F1147" s="4">
        <v>3.4722222222222224E-4</v>
      </c>
      <c r="G1147" s="4">
        <v>0.5173611111111112</v>
      </c>
      <c r="H1147" s="4"/>
      <c r="I1147" s="4"/>
      <c r="J1147" s="4"/>
      <c r="K1147" s="4"/>
      <c r="L1147" s="4" t="s">
        <v>81</v>
      </c>
      <c r="M1147" s="4"/>
      <c r="N1147" s="4"/>
      <c r="O1147" s="4" t="s">
        <v>1498</v>
      </c>
      <c r="P1147" s="4"/>
      <c r="Q1147" s="4"/>
      <c r="R1147" s="4"/>
      <c r="S1147" s="4"/>
      <c r="T1147" s="4"/>
      <c r="U1147" s="4">
        <v>0.0</v>
      </c>
      <c r="V1147" s="4"/>
      <c r="W1147" s="4"/>
      <c r="X1147" s="4"/>
      <c r="Y1147" s="4"/>
      <c r="Z1147" s="4"/>
      <c r="AA1147" s="4"/>
    </row>
    <row r="1148">
      <c r="A1148" s="4" t="s">
        <v>8620</v>
      </c>
      <c r="B1148" s="4" t="s">
        <v>22</v>
      </c>
      <c r="C1148" s="4" t="s">
        <v>6838</v>
      </c>
      <c r="D1148" s="4">
        <v>44005.0</v>
      </c>
      <c r="E1148" s="4">
        <v>0.5173611111111112</v>
      </c>
      <c r="F1148" s="4">
        <v>0.03125</v>
      </c>
      <c r="G1148" s="4">
        <v>0.5486111111111112</v>
      </c>
      <c r="H1148" s="4" t="s">
        <v>1253</v>
      </c>
      <c r="I1148" s="4" t="s">
        <v>4142</v>
      </c>
      <c r="J1148" s="4" t="s">
        <v>6870</v>
      </c>
      <c r="K1148" s="4"/>
      <c r="L1148" s="4" t="s">
        <v>1501</v>
      </c>
      <c r="M1148" s="4"/>
      <c r="N1148" s="4" t="s">
        <v>6858</v>
      </c>
      <c r="O1148" s="4" t="s">
        <v>8621</v>
      </c>
      <c r="P1148" s="4" t="s">
        <v>1032</v>
      </c>
      <c r="Q1148" s="4"/>
      <c r="R1148" s="4"/>
      <c r="S1148" s="4"/>
      <c r="T1148" s="4" t="s">
        <v>514</v>
      </c>
      <c r="U1148" s="4">
        <v>2.0</v>
      </c>
      <c r="V1148" s="4" t="s">
        <v>8622</v>
      </c>
      <c r="W1148" s="4" t="s">
        <v>6860</v>
      </c>
      <c r="X1148" s="4"/>
      <c r="Y1148" s="4"/>
      <c r="Z1148" s="4" t="s">
        <v>1253</v>
      </c>
      <c r="AA1148" s="4"/>
    </row>
    <row r="1149">
      <c r="A1149" s="4" t="s">
        <v>8623</v>
      </c>
      <c r="B1149" s="4" t="s">
        <v>22</v>
      </c>
      <c r="C1149" s="4" t="s">
        <v>6838</v>
      </c>
      <c r="D1149" s="4">
        <v>44005.0</v>
      </c>
      <c r="E1149" s="4">
        <v>0.5486111111111112</v>
      </c>
      <c r="F1149" s="4">
        <v>0.001388888888888889</v>
      </c>
      <c r="G1149" s="4">
        <v>0.55</v>
      </c>
      <c r="H1149" s="4"/>
      <c r="I1149" s="4"/>
      <c r="J1149" s="4"/>
      <c r="K1149" s="4"/>
      <c r="L1149" s="4" t="s">
        <v>79</v>
      </c>
      <c r="M1149" s="4"/>
      <c r="N1149" s="4"/>
      <c r="O1149" s="4" t="s">
        <v>1497</v>
      </c>
      <c r="P1149" s="4"/>
      <c r="Q1149" s="4"/>
      <c r="R1149" s="4"/>
      <c r="S1149" s="4"/>
      <c r="T1149" s="4"/>
      <c r="U1149" s="4">
        <v>0.0</v>
      </c>
      <c r="V1149" s="4"/>
      <c r="W1149" s="4"/>
      <c r="X1149" s="4"/>
      <c r="Y1149" s="4"/>
      <c r="Z1149" s="4"/>
      <c r="AA1149" s="4"/>
    </row>
    <row r="1150">
      <c r="A1150" s="4" t="s">
        <v>8624</v>
      </c>
      <c r="B1150" s="4" t="s">
        <v>22</v>
      </c>
      <c r="C1150" s="4" t="s">
        <v>6838</v>
      </c>
      <c r="D1150" s="4">
        <v>44005.0</v>
      </c>
      <c r="E1150" s="4">
        <v>0.55</v>
      </c>
      <c r="F1150" s="4">
        <v>3.4722222222222224E-4</v>
      </c>
      <c r="G1150" s="4">
        <v>0.5503472222222223</v>
      </c>
      <c r="H1150" s="4"/>
      <c r="I1150" s="4"/>
      <c r="J1150" s="4"/>
      <c r="K1150" s="4"/>
      <c r="L1150" s="4" t="s">
        <v>81</v>
      </c>
      <c r="M1150" s="4"/>
      <c r="N1150" s="4"/>
      <c r="O1150" s="4" t="s">
        <v>1498</v>
      </c>
      <c r="P1150" s="4"/>
      <c r="Q1150" s="4"/>
      <c r="R1150" s="4"/>
      <c r="S1150" s="4"/>
      <c r="T1150" s="4"/>
      <c r="U1150" s="4">
        <v>0.0</v>
      </c>
      <c r="V1150" s="4"/>
      <c r="W1150" s="4"/>
      <c r="X1150" s="4"/>
      <c r="Y1150" s="4"/>
      <c r="Z1150" s="4"/>
      <c r="AA1150" s="4"/>
    </row>
    <row r="1151">
      <c r="A1151" s="4" t="s">
        <v>8625</v>
      </c>
      <c r="B1151" s="4" t="s">
        <v>22</v>
      </c>
      <c r="C1151" s="4" t="s">
        <v>6838</v>
      </c>
      <c r="D1151" s="4">
        <v>44005.0</v>
      </c>
      <c r="E1151" s="4">
        <v>0.5503472222222223</v>
      </c>
      <c r="F1151" s="4">
        <v>0.03125</v>
      </c>
      <c r="G1151" s="4">
        <v>0.5815972222222223</v>
      </c>
      <c r="H1151" s="4" t="s">
        <v>860</v>
      </c>
      <c r="I1151" s="4" t="s">
        <v>4142</v>
      </c>
      <c r="J1151" s="4" t="s">
        <v>6938</v>
      </c>
      <c r="K1151" s="4"/>
      <c r="L1151" s="4" t="s">
        <v>1501</v>
      </c>
      <c r="M1151" s="4"/>
      <c r="N1151" s="4" t="s">
        <v>6858</v>
      </c>
      <c r="O1151" s="4" t="s">
        <v>1515</v>
      </c>
      <c r="P1151" s="4" t="s">
        <v>1386</v>
      </c>
      <c r="Q1151" s="4"/>
      <c r="R1151" s="4"/>
      <c r="S1151" s="4"/>
      <c r="T1151" s="4" t="s">
        <v>8626</v>
      </c>
      <c r="U1151" s="4">
        <v>2.0</v>
      </c>
      <c r="V1151" s="4" t="s">
        <v>8627</v>
      </c>
      <c r="W1151" s="4"/>
      <c r="X1151" s="4"/>
      <c r="Y1151" s="4"/>
      <c r="Z1151" s="4"/>
      <c r="AA1151" s="4"/>
    </row>
    <row r="1152">
      <c r="A1152" s="4" t="s">
        <v>8628</v>
      </c>
      <c r="B1152" s="4" t="s">
        <v>22</v>
      </c>
      <c r="C1152" s="4" t="s">
        <v>6838</v>
      </c>
      <c r="D1152" s="4">
        <v>44005.0</v>
      </c>
      <c r="E1152" s="4">
        <v>0.5815972222222223</v>
      </c>
      <c r="F1152" s="4">
        <v>0.001388888888888889</v>
      </c>
      <c r="G1152" s="4">
        <v>0.5829861111111112</v>
      </c>
      <c r="H1152" s="4"/>
      <c r="I1152" s="4"/>
      <c r="J1152" s="4"/>
      <c r="K1152" s="4"/>
      <c r="L1152" s="4" t="s">
        <v>79</v>
      </c>
      <c r="M1152" s="4"/>
      <c r="N1152" s="4"/>
      <c r="O1152" s="4" t="s">
        <v>1497</v>
      </c>
      <c r="P1152" s="4"/>
      <c r="Q1152" s="4"/>
      <c r="R1152" s="4"/>
      <c r="S1152" s="4"/>
      <c r="T1152" s="4"/>
      <c r="U1152" s="4">
        <v>0.0</v>
      </c>
      <c r="V1152" s="4"/>
      <c r="W1152" s="4"/>
      <c r="X1152" s="4"/>
      <c r="Y1152" s="4"/>
      <c r="Z1152" s="4"/>
      <c r="AA1152" s="4"/>
    </row>
    <row r="1153">
      <c r="A1153" s="4" t="s">
        <v>8629</v>
      </c>
      <c r="B1153" s="4" t="s">
        <v>22</v>
      </c>
      <c r="C1153" s="4" t="s">
        <v>6838</v>
      </c>
      <c r="D1153" s="4">
        <v>44005.0</v>
      </c>
      <c r="E1153" s="4">
        <v>0.5829861111111112</v>
      </c>
      <c r="F1153" s="4">
        <v>3.4722222222222224E-4</v>
      </c>
      <c r="G1153" s="4">
        <v>0.5833333333333335</v>
      </c>
      <c r="H1153" s="4"/>
      <c r="I1153" s="4"/>
      <c r="J1153" s="4"/>
      <c r="K1153" s="4"/>
      <c r="L1153" s="4" t="s">
        <v>81</v>
      </c>
      <c r="M1153" s="4"/>
      <c r="N1153" s="4"/>
      <c r="O1153" s="4" t="s">
        <v>1498</v>
      </c>
      <c r="P1153" s="4"/>
      <c r="Q1153" s="4"/>
      <c r="R1153" s="4"/>
      <c r="S1153" s="4"/>
      <c r="T1153" s="4"/>
      <c r="U1153" s="4">
        <v>0.0</v>
      </c>
      <c r="V1153" s="4"/>
      <c r="W1153" s="4"/>
      <c r="X1153" s="4"/>
      <c r="Y1153" s="4"/>
      <c r="Z1153" s="4"/>
      <c r="AA1153" s="4"/>
    </row>
    <row r="1154">
      <c r="A1154" s="4" t="s">
        <v>8630</v>
      </c>
      <c r="B1154" s="4" t="s">
        <v>22</v>
      </c>
      <c r="C1154" s="4" t="s">
        <v>6838</v>
      </c>
      <c r="D1154" s="4">
        <v>44005.0</v>
      </c>
      <c r="E1154" s="4">
        <v>0.5833333333333335</v>
      </c>
      <c r="F1154" s="4">
        <v>0.03125</v>
      </c>
      <c r="G1154" s="4">
        <v>0.6145833333333335</v>
      </c>
      <c r="H1154" s="4" t="s">
        <v>860</v>
      </c>
      <c r="I1154" s="4" t="s">
        <v>4142</v>
      </c>
      <c r="J1154" s="4" t="s">
        <v>6938</v>
      </c>
      <c r="K1154" s="4"/>
      <c r="L1154" s="4" t="s">
        <v>1501</v>
      </c>
      <c r="M1154" s="4"/>
      <c r="N1154" s="4"/>
      <c r="O1154" s="4" t="s">
        <v>1579</v>
      </c>
      <c r="P1154" s="4" t="s">
        <v>1134</v>
      </c>
      <c r="Q1154" s="4"/>
      <c r="R1154" s="4"/>
      <c r="S1154" s="4"/>
      <c r="T1154" s="4" t="s">
        <v>433</v>
      </c>
      <c r="U1154" s="4">
        <v>2.0</v>
      </c>
      <c r="V1154" s="4" t="s">
        <v>8631</v>
      </c>
      <c r="W1154" s="4"/>
      <c r="X1154" s="4"/>
      <c r="Y1154" s="4"/>
      <c r="Z1154" s="4"/>
      <c r="AA1154" s="4"/>
    </row>
    <row r="1155">
      <c r="A1155" s="4" t="s">
        <v>8632</v>
      </c>
      <c r="B1155" s="4" t="s">
        <v>22</v>
      </c>
      <c r="C1155" s="4" t="s">
        <v>6838</v>
      </c>
      <c r="D1155" s="4">
        <v>44005.0</v>
      </c>
      <c r="E1155" s="4">
        <v>0.6145833333333335</v>
      </c>
      <c r="F1155" s="4">
        <v>0.001388888888888889</v>
      </c>
      <c r="G1155" s="4">
        <v>0.6159722222222224</v>
      </c>
      <c r="H1155" s="4"/>
      <c r="I1155" s="4"/>
      <c r="J1155" s="4"/>
      <c r="K1155" s="4"/>
      <c r="L1155" s="4" t="s">
        <v>79</v>
      </c>
      <c r="M1155" s="4"/>
      <c r="N1155" s="4"/>
      <c r="O1155" s="4" t="s">
        <v>1497</v>
      </c>
      <c r="P1155" s="4"/>
      <c r="Q1155" s="4"/>
      <c r="R1155" s="4"/>
      <c r="S1155" s="4"/>
      <c r="T1155" s="4"/>
      <c r="U1155" s="4">
        <v>0.0</v>
      </c>
      <c r="V1155" s="4"/>
      <c r="W1155" s="4"/>
      <c r="X1155" s="4"/>
      <c r="Y1155" s="4"/>
      <c r="Z1155" s="4"/>
      <c r="AA1155" s="4"/>
    </row>
    <row r="1156">
      <c r="A1156" s="4" t="s">
        <v>8633</v>
      </c>
      <c r="B1156" s="4" t="s">
        <v>22</v>
      </c>
      <c r="C1156" s="4" t="s">
        <v>6838</v>
      </c>
      <c r="D1156" s="4">
        <v>44005.0</v>
      </c>
      <c r="E1156" s="4">
        <v>0.6159722222222224</v>
      </c>
      <c r="F1156" s="4">
        <v>3.4722222222222224E-4</v>
      </c>
      <c r="G1156" s="4">
        <v>0.6163194444444446</v>
      </c>
      <c r="H1156" s="4"/>
      <c r="I1156" s="4"/>
      <c r="J1156" s="4"/>
      <c r="K1156" s="4"/>
      <c r="L1156" s="4" t="s">
        <v>81</v>
      </c>
      <c r="M1156" s="4"/>
      <c r="N1156" s="4"/>
      <c r="O1156" s="4" t="s">
        <v>1498</v>
      </c>
      <c r="P1156" s="4"/>
      <c r="Q1156" s="4"/>
      <c r="R1156" s="4"/>
      <c r="S1156" s="4"/>
      <c r="T1156" s="4"/>
      <c r="U1156" s="4">
        <v>0.0</v>
      </c>
      <c r="V1156" s="4"/>
      <c r="W1156" s="4"/>
      <c r="X1156" s="4"/>
      <c r="Y1156" s="4"/>
      <c r="Z1156" s="4"/>
      <c r="AA1156" s="4"/>
    </row>
    <row r="1157">
      <c r="A1157" s="4" t="s">
        <v>8634</v>
      </c>
      <c r="B1157" s="4" t="s">
        <v>22</v>
      </c>
      <c r="C1157" s="4" t="s">
        <v>6838</v>
      </c>
      <c r="D1157" s="4">
        <v>44005.0</v>
      </c>
      <c r="E1157" s="4">
        <v>0.6163194444444446</v>
      </c>
      <c r="F1157" s="4">
        <v>0.03125</v>
      </c>
      <c r="G1157" s="4">
        <v>0.6475694444444446</v>
      </c>
      <c r="H1157" s="4" t="s">
        <v>4345</v>
      </c>
      <c r="I1157" s="4" t="s">
        <v>4142</v>
      </c>
      <c r="J1157" s="4"/>
      <c r="K1157" s="4"/>
      <c r="L1157" s="4" t="s">
        <v>1501</v>
      </c>
      <c r="M1157" s="4"/>
      <c r="N1157" s="4"/>
      <c r="O1157" s="4" t="s">
        <v>4345</v>
      </c>
      <c r="P1157" s="4" t="s">
        <v>361</v>
      </c>
      <c r="Q1157" s="4"/>
      <c r="R1157" s="4"/>
      <c r="S1157" s="4"/>
      <c r="T1157" s="4" t="s">
        <v>361</v>
      </c>
      <c r="U1157" s="4">
        <v>2.0</v>
      </c>
      <c r="V1157" s="4"/>
      <c r="W1157" s="4"/>
      <c r="X1157" s="4"/>
      <c r="Y1157" s="4"/>
      <c r="Z1157" s="4"/>
      <c r="AA1157" s="4"/>
    </row>
    <row r="1158">
      <c r="A1158" s="4" t="s">
        <v>8635</v>
      </c>
      <c r="B1158" s="4" t="s">
        <v>22</v>
      </c>
      <c r="C1158" s="4" t="s">
        <v>6838</v>
      </c>
      <c r="D1158" s="4">
        <v>44005.0</v>
      </c>
      <c r="E1158" s="4">
        <v>0.6475694444444446</v>
      </c>
      <c r="F1158" s="4">
        <v>0.001388888888888889</v>
      </c>
      <c r="G1158" s="4">
        <v>0.6489583333333335</v>
      </c>
      <c r="H1158" s="4"/>
      <c r="I1158" s="4"/>
      <c r="J1158" s="4"/>
      <c r="K1158" s="4"/>
      <c r="L1158" s="4" t="s">
        <v>79</v>
      </c>
      <c r="M1158" s="4"/>
      <c r="N1158" s="4"/>
      <c r="O1158" s="4" t="s">
        <v>1577</v>
      </c>
      <c r="P1158" s="4"/>
      <c r="Q1158" s="4"/>
      <c r="R1158" s="4"/>
      <c r="S1158" s="4"/>
      <c r="T1158" s="4"/>
      <c r="U1158" s="4">
        <v>0.0</v>
      </c>
      <c r="V1158" s="4"/>
      <c r="W1158" s="4"/>
      <c r="X1158" s="4"/>
      <c r="Y1158" s="4"/>
      <c r="Z1158" s="4"/>
      <c r="AA1158" s="4"/>
    </row>
    <row r="1159">
      <c r="A1159" s="4" t="s">
        <v>8636</v>
      </c>
      <c r="B1159" s="4" t="s">
        <v>22</v>
      </c>
      <c r="C1159" s="4" t="s">
        <v>6838</v>
      </c>
      <c r="D1159" s="4">
        <v>44005.0</v>
      </c>
      <c r="E1159" s="4">
        <v>0.6489583333333335</v>
      </c>
      <c r="F1159" s="4">
        <v>3.4722222222222224E-4</v>
      </c>
      <c r="G1159" s="4">
        <v>0.6493055555555558</v>
      </c>
      <c r="H1159" s="4"/>
      <c r="I1159" s="4"/>
      <c r="J1159" s="4"/>
      <c r="K1159" s="4"/>
      <c r="L1159" s="4" t="s">
        <v>81</v>
      </c>
      <c r="M1159" s="4"/>
      <c r="N1159" s="4"/>
      <c r="O1159" s="4" t="s">
        <v>1498</v>
      </c>
      <c r="P1159" s="4"/>
      <c r="Q1159" s="4"/>
      <c r="R1159" s="4"/>
      <c r="S1159" s="4"/>
      <c r="T1159" s="4"/>
      <c r="U1159" s="4">
        <v>0.0</v>
      </c>
      <c r="V1159" s="4"/>
      <c r="W1159" s="4"/>
      <c r="X1159" s="4"/>
      <c r="Y1159" s="4"/>
      <c r="Z1159" s="4"/>
      <c r="AA1159" s="4"/>
    </row>
    <row r="1160">
      <c r="A1160" s="4" t="s">
        <v>8637</v>
      </c>
      <c r="B1160" s="4" t="s">
        <v>22</v>
      </c>
      <c r="C1160" s="4" t="s">
        <v>6838</v>
      </c>
      <c r="D1160" s="4">
        <v>44005.0</v>
      </c>
      <c r="E1160" s="4">
        <v>0.6493055555555558</v>
      </c>
      <c r="F1160" s="4">
        <v>0.03125</v>
      </c>
      <c r="G1160" s="4">
        <v>0.6805555555555558</v>
      </c>
      <c r="H1160" s="4" t="s">
        <v>4345</v>
      </c>
      <c r="I1160" s="4" t="s">
        <v>4142</v>
      </c>
      <c r="J1160" s="4"/>
      <c r="K1160" s="4"/>
      <c r="L1160" s="4" t="s">
        <v>1501</v>
      </c>
      <c r="M1160" s="4"/>
      <c r="N1160" s="4"/>
      <c r="O1160" s="4" t="s">
        <v>4345</v>
      </c>
      <c r="P1160" s="4" t="s">
        <v>361</v>
      </c>
      <c r="Q1160" s="4"/>
      <c r="R1160" s="4"/>
      <c r="S1160" s="4"/>
      <c r="T1160" s="4" t="s">
        <v>361</v>
      </c>
      <c r="U1160" s="4">
        <v>2.0</v>
      </c>
      <c r="V1160" s="4"/>
      <c r="W1160" s="4"/>
      <c r="X1160" s="4"/>
      <c r="Y1160" s="4"/>
      <c r="Z1160" s="4"/>
      <c r="AA1160" s="4"/>
    </row>
    <row r="1161">
      <c r="A1161" s="4" t="s">
        <v>8638</v>
      </c>
      <c r="B1161" s="4" t="s">
        <v>22</v>
      </c>
      <c r="C1161" s="4" t="s">
        <v>6838</v>
      </c>
      <c r="D1161" s="4">
        <v>44005.0</v>
      </c>
      <c r="E1161" s="4">
        <v>0.6805555555555558</v>
      </c>
      <c r="F1161" s="4">
        <v>0.001388888888888889</v>
      </c>
      <c r="G1161" s="4">
        <v>0.6819444444444447</v>
      </c>
      <c r="H1161" s="4"/>
      <c r="I1161" s="4"/>
      <c r="J1161" s="4"/>
      <c r="K1161" s="4"/>
      <c r="L1161" s="4" t="s">
        <v>79</v>
      </c>
      <c r="M1161" s="4"/>
      <c r="N1161" s="4"/>
      <c r="O1161" s="4" t="s">
        <v>1497</v>
      </c>
      <c r="P1161" s="4"/>
      <c r="Q1161" s="4"/>
      <c r="R1161" s="4"/>
      <c r="S1161" s="4"/>
      <c r="T1161" s="4"/>
      <c r="U1161" s="4">
        <v>0.0</v>
      </c>
      <c r="V1161" s="4"/>
      <c r="W1161" s="4"/>
      <c r="X1161" s="4"/>
      <c r="Y1161" s="4"/>
      <c r="Z1161" s="4"/>
      <c r="AA1161" s="4"/>
    </row>
    <row r="1162">
      <c r="A1162" s="4" t="s">
        <v>8639</v>
      </c>
      <c r="B1162" s="4" t="s">
        <v>22</v>
      </c>
      <c r="C1162" s="4" t="s">
        <v>6838</v>
      </c>
      <c r="D1162" s="4">
        <v>44005.0</v>
      </c>
      <c r="E1162" s="4">
        <v>0.6819444444444447</v>
      </c>
      <c r="F1162" s="4">
        <v>3.4722222222222224E-4</v>
      </c>
      <c r="G1162" s="4">
        <v>0.682291666666667</v>
      </c>
      <c r="H1162" s="4"/>
      <c r="I1162" s="4"/>
      <c r="J1162" s="4"/>
      <c r="K1162" s="4"/>
      <c r="L1162" s="4" t="s">
        <v>81</v>
      </c>
      <c r="M1162" s="4"/>
      <c r="N1162" s="4"/>
      <c r="O1162" s="4" t="s">
        <v>1498</v>
      </c>
      <c r="P1162" s="4"/>
      <c r="Q1162" s="4"/>
      <c r="R1162" s="4"/>
      <c r="S1162" s="4"/>
      <c r="T1162" s="4"/>
      <c r="U1162" s="4">
        <v>0.0</v>
      </c>
      <c r="V1162" s="4"/>
      <c r="W1162" s="4"/>
      <c r="X1162" s="4"/>
      <c r="Y1162" s="4"/>
      <c r="Z1162" s="4"/>
      <c r="AA1162" s="4"/>
    </row>
    <row r="1163">
      <c r="A1163" s="4" t="s">
        <v>8640</v>
      </c>
      <c r="B1163" s="4" t="s">
        <v>22</v>
      </c>
      <c r="C1163" s="4" t="s">
        <v>6838</v>
      </c>
      <c r="D1163" s="4">
        <v>44005.0</v>
      </c>
      <c r="E1163" s="4">
        <v>0.682291666666667</v>
      </c>
      <c r="F1163" s="4">
        <v>0.03125</v>
      </c>
      <c r="G1163" s="4">
        <v>0.713541666666667</v>
      </c>
      <c r="H1163" s="4" t="s">
        <v>4345</v>
      </c>
      <c r="I1163" s="4" t="s">
        <v>4142</v>
      </c>
      <c r="J1163" s="4"/>
      <c r="K1163" s="4"/>
      <c r="L1163" s="4" t="s">
        <v>1501</v>
      </c>
      <c r="M1163" s="4"/>
      <c r="N1163" s="4"/>
      <c r="O1163" s="4" t="s">
        <v>4345</v>
      </c>
      <c r="P1163" s="4" t="s">
        <v>361</v>
      </c>
      <c r="Q1163" s="4"/>
      <c r="R1163" s="4"/>
      <c r="S1163" s="4"/>
      <c r="T1163" s="4" t="s">
        <v>361</v>
      </c>
      <c r="U1163" s="4">
        <v>2.0</v>
      </c>
      <c r="V1163" s="4"/>
      <c r="W1163" s="4"/>
      <c r="X1163" s="4"/>
      <c r="Y1163" s="4"/>
      <c r="Z1163" s="4"/>
      <c r="AA1163" s="4"/>
    </row>
    <row r="1164">
      <c r="A1164" s="4" t="s">
        <v>8641</v>
      </c>
      <c r="B1164" s="4" t="s">
        <v>22</v>
      </c>
      <c r="C1164" s="4" t="s">
        <v>6838</v>
      </c>
      <c r="D1164" s="4">
        <v>44005.0</v>
      </c>
      <c r="E1164" s="4">
        <v>0.713541666666667</v>
      </c>
      <c r="F1164" s="4">
        <v>0.0</v>
      </c>
      <c r="G1164" s="4">
        <v>0.713541666666667</v>
      </c>
      <c r="H1164" s="4"/>
      <c r="I1164" s="4"/>
      <c r="J1164" s="4"/>
      <c r="K1164" s="4"/>
      <c r="L1164" s="4"/>
      <c r="M1164" s="4"/>
      <c r="N1164" s="4"/>
      <c r="O1164" s="4"/>
      <c r="P1164" s="4"/>
      <c r="Q1164" s="4"/>
      <c r="R1164" s="4"/>
      <c r="S1164" s="4"/>
      <c r="T1164" s="4"/>
      <c r="U1164" s="4">
        <v>0.0</v>
      </c>
      <c r="V1164" s="4"/>
      <c r="W1164" s="4"/>
      <c r="X1164" s="4"/>
      <c r="Y1164" s="4"/>
      <c r="Z1164" s="4"/>
      <c r="AA1164" s="4"/>
    </row>
    <row r="1165">
      <c r="A1165" s="4" t="s">
        <v>8642</v>
      </c>
      <c r="B1165" s="4" t="s">
        <v>22</v>
      </c>
      <c r="C1165" s="4" t="s">
        <v>6838</v>
      </c>
      <c r="D1165" s="4">
        <v>44005.0</v>
      </c>
      <c r="E1165" s="4">
        <v>0.713541666666667</v>
      </c>
      <c r="F1165" s="4">
        <v>0.0</v>
      </c>
      <c r="G1165" s="4">
        <v>0.713541666666667</v>
      </c>
      <c r="H1165" s="4"/>
      <c r="I1165" s="4"/>
      <c r="J1165" s="4"/>
      <c r="K1165" s="4"/>
      <c r="L1165" s="4"/>
      <c r="M1165" s="4"/>
      <c r="N1165" s="4"/>
      <c r="O1165" s="4"/>
      <c r="P1165" s="4"/>
      <c r="Q1165" s="4"/>
      <c r="R1165" s="4"/>
      <c r="S1165" s="4"/>
      <c r="T1165" s="4"/>
      <c r="U1165" s="4">
        <v>0.0</v>
      </c>
      <c r="V1165" s="4"/>
      <c r="W1165" s="4"/>
      <c r="X1165" s="4"/>
      <c r="Y1165" s="4"/>
      <c r="Z1165" s="4"/>
      <c r="AA1165" s="4"/>
    </row>
    <row r="1166">
      <c r="A1166" s="4" t="s">
        <v>8643</v>
      </c>
      <c r="B1166" s="4" t="s">
        <v>22</v>
      </c>
      <c r="C1166" s="4" t="s">
        <v>6838</v>
      </c>
      <c r="D1166" s="4">
        <v>44005.0</v>
      </c>
      <c r="E1166" s="4">
        <v>0.713541666666667</v>
      </c>
      <c r="F1166" s="4">
        <v>0.0</v>
      </c>
      <c r="G1166" s="4">
        <v>0.713541666666667</v>
      </c>
      <c r="H1166" s="4"/>
      <c r="I1166" s="4"/>
      <c r="J1166" s="4"/>
      <c r="K1166" s="4"/>
      <c r="L1166" s="4"/>
      <c r="M1166" s="4"/>
      <c r="N1166" s="4"/>
      <c r="O1166" s="4"/>
      <c r="P1166" s="4"/>
      <c r="Q1166" s="4"/>
      <c r="R1166" s="4"/>
      <c r="S1166" s="4"/>
      <c r="T1166" s="4"/>
      <c r="U1166" s="4">
        <v>0.0</v>
      </c>
      <c r="V1166" s="4"/>
      <c r="W1166" s="4"/>
      <c r="X1166" s="4"/>
      <c r="Y1166" s="4"/>
      <c r="Z1166" s="4"/>
      <c r="AA1166" s="4"/>
    </row>
    <row r="1167">
      <c r="A1167" s="4" t="s">
        <v>8644</v>
      </c>
      <c r="B1167" s="4" t="s">
        <v>22</v>
      </c>
      <c r="C1167" s="4" t="s">
        <v>6838</v>
      </c>
      <c r="D1167" s="4">
        <v>44005.0</v>
      </c>
      <c r="E1167" s="4">
        <v>0.713541666666667</v>
      </c>
      <c r="F1167" s="4">
        <v>0.0</v>
      </c>
      <c r="G1167" s="4">
        <v>0.713541666666667</v>
      </c>
      <c r="H1167" s="4"/>
      <c r="I1167" s="4"/>
      <c r="J1167" s="4"/>
      <c r="K1167" s="4"/>
      <c r="L1167" s="4"/>
      <c r="M1167" s="4"/>
      <c r="N1167" s="4"/>
      <c r="O1167" s="4"/>
      <c r="P1167" s="4"/>
      <c r="Q1167" s="4"/>
      <c r="R1167" s="4"/>
      <c r="S1167" s="4"/>
      <c r="T1167" s="4"/>
      <c r="U1167" s="4">
        <v>0.0</v>
      </c>
      <c r="V1167" s="4"/>
      <c r="W1167" s="4"/>
      <c r="X1167" s="4"/>
      <c r="Y1167" s="4"/>
      <c r="Z1167" s="4"/>
      <c r="AA1167" s="4"/>
    </row>
    <row r="1168">
      <c r="A1168" s="4" t="s">
        <v>8645</v>
      </c>
      <c r="B1168" s="4" t="s">
        <v>22</v>
      </c>
      <c r="C1168" s="4" t="s">
        <v>6838</v>
      </c>
      <c r="D1168" s="4">
        <v>44005.0</v>
      </c>
      <c r="E1168" s="4">
        <v>0.713541666666667</v>
      </c>
      <c r="F1168" s="4">
        <v>0.0</v>
      </c>
      <c r="G1168" s="4">
        <v>0.713541666666667</v>
      </c>
      <c r="H1168" s="4"/>
      <c r="I1168" s="4"/>
      <c r="J1168" s="4"/>
      <c r="K1168" s="4"/>
      <c r="L1168" s="4"/>
      <c r="M1168" s="4"/>
      <c r="N1168" s="4"/>
      <c r="O1168" s="4"/>
      <c r="P1168" s="4"/>
      <c r="Q1168" s="4"/>
      <c r="R1168" s="4"/>
      <c r="S1168" s="4"/>
      <c r="T1168" s="4"/>
      <c r="U1168" s="4">
        <v>0.0</v>
      </c>
      <c r="V1168" s="4"/>
      <c r="W1168" s="4"/>
      <c r="X1168" s="4"/>
      <c r="Y1168" s="4"/>
      <c r="Z1168" s="4"/>
      <c r="AA1168" s="4"/>
    </row>
    <row r="1169">
      <c r="A1169" s="4" t="s">
        <v>8646</v>
      </c>
      <c r="B1169" s="4" t="s">
        <v>22</v>
      </c>
      <c r="C1169" s="4" t="s">
        <v>6838</v>
      </c>
      <c r="D1169" s="4">
        <v>44005.0</v>
      </c>
      <c r="E1169" s="4">
        <v>0.713541666666667</v>
      </c>
      <c r="F1169" s="4">
        <v>0.0</v>
      </c>
      <c r="G1169" s="4">
        <v>0.713541666666667</v>
      </c>
      <c r="H1169" s="4"/>
      <c r="I1169" s="4"/>
      <c r="J1169" s="4"/>
      <c r="K1169" s="4"/>
      <c r="L1169" s="4"/>
      <c r="M1169" s="4"/>
      <c r="N1169" s="4"/>
      <c r="O1169" s="4"/>
      <c r="P1169" s="4"/>
      <c r="Q1169" s="4"/>
      <c r="R1169" s="4"/>
      <c r="S1169" s="4"/>
      <c r="T1169" s="4"/>
      <c r="U1169" s="4">
        <v>0.0</v>
      </c>
      <c r="V1169" s="4"/>
      <c r="W1169" s="4"/>
      <c r="X1169" s="4"/>
      <c r="Y1169" s="4"/>
      <c r="Z1169" s="4"/>
      <c r="AA1169" s="4"/>
    </row>
    <row r="1170">
      <c r="A1170" s="4" t="s">
        <v>8647</v>
      </c>
      <c r="B1170" s="4" t="s">
        <v>22</v>
      </c>
      <c r="C1170" s="4" t="s">
        <v>6838</v>
      </c>
      <c r="D1170" s="4">
        <v>44005.0</v>
      </c>
      <c r="E1170" s="4">
        <v>0.713541666666667</v>
      </c>
      <c r="F1170" s="4">
        <v>0.0</v>
      </c>
      <c r="G1170" s="4">
        <v>0.713541666666667</v>
      </c>
      <c r="H1170" s="4"/>
      <c r="I1170" s="4"/>
      <c r="J1170" s="4"/>
      <c r="K1170" s="4"/>
      <c r="L1170" s="4"/>
      <c r="M1170" s="4"/>
      <c r="N1170" s="4"/>
      <c r="O1170" s="4"/>
      <c r="P1170" s="4"/>
      <c r="Q1170" s="4"/>
      <c r="R1170" s="4"/>
      <c r="S1170" s="4"/>
      <c r="T1170" s="4"/>
      <c r="U1170" s="4">
        <v>0.0</v>
      </c>
      <c r="V1170" s="4"/>
      <c r="W1170" s="4"/>
      <c r="X1170" s="4"/>
      <c r="Y1170" s="4"/>
      <c r="Z1170" s="4"/>
      <c r="AA1170" s="4"/>
    </row>
    <row r="1171">
      <c r="A1171" s="4" t="s">
        <v>8648</v>
      </c>
      <c r="B1171" s="4" t="s">
        <v>22</v>
      </c>
      <c r="C1171" s="4" t="s">
        <v>6838</v>
      </c>
      <c r="D1171" s="4">
        <v>44005.0</v>
      </c>
      <c r="E1171" s="4">
        <v>0.713541666666667</v>
      </c>
      <c r="F1171" s="4">
        <v>0.0</v>
      </c>
      <c r="G1171" s="4">
        <v>0.713541666666667</v>
      </c>
      <c r="H1171" s="4"/>
      <c r="I1171" s="4"/>
      <c r="J1171" s="4"/>
      <c r="K1171" s="4"/>
      <c r="L1171" s="4"/>
      <c r="M1171" s="4"/>
      <c r="N1171" s="4"/>
      <c r="O1171" s="4"/>
      <c r="P1171" s="4"/>
      <c r="Q1171" s="4"/>
      <c r="R1171" s="4"/>
      <c r="S1171" s="4"/>
      <c r="T1171" s="4"/>
      <c r="U1171" s="4">
        <v>0.0</v>
      </c>
      <c r="V1171" s="4"/>
      <c r="W1171" s="4"/>
      <c r="X1171" s="4"/>
      <c r="Y1171" s="4"/>
      <c r="Z1171" s="4"/>
      <c r="AA1171" s="4"/>
    </row>
    <row r="1172">
      <c r="A1172" s="4" t="s">
        <v>8649</v>
      </c>
      <c r="B1172" s="4" t="s">
        <v>22</v>
      </c>
      <c r="C1172" s="4" t="s">
        <v>6838</v>
      </c>
      <c r="D1172" s="4">
        <v>44005.0</v>
      </c>
      <c r="E1172" s="4">
        <v>0.713541666666667</v>
      </c>
      <c r="F1172" s="4">
        <v>0.0</v>
      </c>
      <c r="G1172" s="4">
        <v>0.713541666666667</v>
      </c>
      <c r="H1172" s="4"/>
      <c r="I1172" s="4"/>
      <c r="J1172" s="4"/>
      <c r="K1172" s="4"/>
      <c r="L1172" s="4"/>
      <c r="M1172" s="4"/>
      <c r="N1172" s="4"/>
      <c r="O1172" s="4"/>
      <c r="P1172" s="4"/>
      <c r="Q1172" s="4"/>
      <c r="R1172" s="4"/>
      <c r="S1172" s="4"/>
      <c r="T1172" s="4"/>
      <c r="U1172" s="4">
        <v>0.0</v>
      </c>
      <c r="V1172" s="4"/>
      <c r="W1172" s="4"/>
      <c r="X1172" s="4"/>
      <c r="Y1172" s="4"/>
      <c r="Z1172" s="4"/>
      <c r="AA1172" s="4"/>
    </row>
    <row r="1173">
      <c r="A1173" s="4" t="s">
        <v>8650</v>
      </c>
      <c r="B1173" s="4" t="s">
        <v>22</v>
      </c>
      <c r="C1173" s="4" t="s">
        <v>6838</v>
      </c>
      <c r="D1173" s="4">
        <v>44005.0</v>
      </c>
      <c r="E1173" s="4">
        <v>0.713541666666667</v>
      </c>
      <c r="F1173" s="4">
        <v>0.0</v>
      </c>
      <c r="G1173" s="4">
        <v>0.713541666666667</v>
      </c>
      <c r="H1173" s="4"/>
      <c r="I1173" s="4"/>
      <c r="J1173" s="4"/>
      <c r="K1173" s="4"/>
      <c r="L1173" s="4"/>
      <c r="M1173" s="4"/>
      <c r="N1173" s="4"/>
      <c r="O1173" s="4"/>
      <c r="P1173" s="4"/>
      <c r="Q1173" s="4"/>
      <c r="R1173" s="4"/>
      <c r="S1173" s="4"/>
      <c r="T1173" s="4"/>
      <c r="U1173" s="4">
        <v>0.0</v>
      </c>
      <c r="V1173" s="4"/>
      <c r="W1173" s="4"/>
      <c r="X1173" s="4"/>
      <c r="Y1173" s="4"/>
      <c r="Z1173" s="4"/>
      <c r="AA1173" s="4"/>
    </row>
    <row r="1174">
      <c r="A1174" s="4" t="s">
        <v>8651</v>
      </c>
      <c r="B1174" s="4" t="s">
        <v>22</v>
      </c>
      <c r="C1174" s="4" t="s">
        <v>6838</v>
      </c>
      <c r="D1174" s="4">
        <v>44005.0</v>
      </c>
      <c r="E1174" s="4">
        <v>0.713541666666667</v>
      </c>
      <c r="F1174" s="4">
        <v>0.0</v>
      </c>
      <c r="G1174" s="4">
        <v>0.713541666666667</v>
      </c>
      <c r="H1174" s="4"/>
      <c r="I1174" s="4"/>
      <c r="J1174" s="4"/>
      <c r="K1174" s="4"/>
      <c r="L1174" s="4"/>
      <c r="M1174" s="4"/>
      <c r="N1174" s="4"/>
      <c r="O1174" s="4"/>
      <c r="P1174" s="4"/>
      <c r="Q1174" s="4"/>
      <c r="R1174" s="4"/>
      <c r="S1174" s="4"/>
      <c r="T1174" s="4"/>
      <c r="U1174" s="4">
        <v>0.0</v>
      </c>
      <c r="V1174" s="4"/>
      <c r="W1174" s="4"/>
      <c r="X1174" s="4"/>
      <c r="Y1174" s="4"/>
      <c r="Z1174" s="4"/>
      <c r="AA1174" s="4"/>
    </row>
    <row r="1175">
      <c r="A1175" s="4" t="s">
        <v>8652</v>
      </c>
      <c r="B1175" s="4" t="s">
        <v>22</v>
      </c>
      <c r="C1175" s="4" t="s">
        <v>6838</v>
      </c>
      <c r="D1175" s="4">
        <v>44005.0</v>
      </c>
      <c r="E1175" s="4"/>
      <c r="F1175" s="4"/>
      <c r="G1175" s="4"/>
      <c r="H1175" s="4"/>
      <c r="I1175" s="4"/>
      <c r="J1175" s="4"/>
      <c r="K1175" s="4"/>
      <c r="L1175" s="4"/>
      <c r="M1175" s="4"/>
      <c r="N1175" s="4"/>
      <c r="O1175" s="4"/>
      <c r="P1175" s="4"/>
      <c r="Q1175" s="4"/>
      <c r="R1175" s="4"/>
      <c r="S1175" s="4"/>
      <c r="T1175" s="4"/>
      <c r="U1175" s="4">
        <v>0.0</v>
      </c>
      <c r="V1175" s="4"/>
      <c r="W1175" s="4"/>
      <c r="X1175" s="4"/>
      <c r="Y1175" s="4"/>
      <c r="Z1175" s="4"/>
      <c r="AA1175" s="4"/>
    </row>
    <row r="1176">
      <c r="A1176" s="4" t="s">
        <v>8653</v>
      </c>
      <c r="B1176" s="4" t="s">
        <v>22</v>
      </c>
      <c r="C1176" s="4" t="s">
        <v>6838</v>
      </c>
      <c r="D1176" s="4">
        <v>44005.0</v>
      </c>
      <c r="E1176" s="4"/>
      <c r="F1176" s="4"/>
      <c r="G1176" s="4"/>
      <c r="H1176" s="4"/>
      <c r="I1176" s="4"/>
      <c r="J1176" s="4"/>
      <c r="K1176" s="4"/>
      <c r="L1176" s="4"/>
      <c r="M1176" s="4"/>
      <c r="N1176" s="4"/>
      <c r="O1176" s="4"/>
      <c r="P1176" s="4"/>
      <c r="Q1176" s="4"/>
      <c r="R1176" s="4"/>
      <c r="S1176" s="4"/>
      <c r="T1176" s="4"/>
      <c r="U1176" s="4">
        <v>0.0</v>
      </c>
      <c r="V1176" s="4"/>
      <c r="W1176" s="4"/>
      <c r="X1176" s="4"/>
      <c r="Y1176" s="4"/>
      <c r="Z1176" s="4"/>
      <c r="AA1176" s="4"/>
    </row>
    <row r="1177">
      <c r="A1177" s="4" t="s">
        <v>8654</v>
      </c>
      <c r="B1177" s="4" t="s">
        <v>22</v>
      </c>
      <c r="C1177" s="4" t="s">
        <v>6838</v>
      </c>
      <c r="D1177" s="4">
        <v>44005.0</v>
      </c>
      <c r="E1177" s="4"/>
      <c r="F1177" s="4"/>
      <c r="G1177" s="4"/>
      <c r="H1177" s="4"/>
      <c r="I1177" s="4"/>
      <c r="J1177" s="4"/>
      <c r="K1177" s="4"/>
      <c r="L1177" s="4"/>
      <c r="M1177" s="4"/>
      <c r="N1177" s="4"/>
      <c r="O1177" s="4"/>
      <c r="P1177" s="4"/>
      <c r="Q1177" s="4"/>
      <c r="R1177" s="4"/>
      <c r="S1177" s="4"/>
      <c r="T1177" s="4"/>
      <c r="U1177" s="4">
        <v>0.0</v>
      </c>
      <c r="V1177" s="4"/>
      <c r="W1177" s="4"/>
      <c r="X1177" s="4"/>
      <c r="Y1177" s="4"/>
      <c r="Z1177" s="4"/>
      <c r="AA1177" s="4"/>
    </row>
    <row r="1178">
      <c r="A1178" s="4" t="s">
        <v>8655</v>
      </c>
      <c r="B1178" s="4" t="s">
        <v>22</v>
      </c>
      <c r="C1178" s="4" t="s">
        <v>6838</v>
      </c>
      <c r="D1178" s="4">
        <v>44005.0</v>
      </c>
      <c r="E1178" s="4"/>
      <c r="F1178" s="4"/>
      <c r="G1178" s="4"/>
      <c r="H1178" s="4"/>
      <c r="I1178" s="4"/>
      <c r="J1178" s="4"/>
      <c r="K1178" s="4"/>
      <c r="L1178" s="4"/>
      <c r="M1178" s="4"/>
      <c r="N1178" s="4"/>
      <c r="O1178" s="4"/>
      <c r="P1178" s="4"/>
      <c r="Q1178" s="4"/>
      <c r="R1178" s="4"/>
      <c r="S1178" s="4"/>
      <c r="T1178" s="4"/>
      <c r="U1178" s="4">
        <v>0.0</v>
      </c>
      <c r="V1178" s="4"/>
      <c r="W1178" s="4"/>
      <c r="X1178" s="4"/>
      <c r="Y1178" s="4"/>
      <c r="Z1178" s="4"/>
      <c r="AA1178" s="4"/>
    </row>
    <row r="1179">
      <c r="A1179" s="4" t="s">
        <v>8656</v>
      </c>
      <c r="B1179" s="4" t="s">
        <v>22</v>
      </c>
      <c r="C1179" s="4" t="s">
        <v>6838</v>
      </c>
      <c r="D1179" s="4">
        <v>44005.0</v>
      </c>
      <c r="E1179" s="4"/>
      <c r="F1179" s="4"/>
      <c r="G1179" s="4"/>
      <c r="H1179" s="4"/>
      <c r="I1179" s="4"/>
      <c r="J1179" s="4"/>
      <c r="K1179" s="4"/>
      <c r="L1179" s="4"/>
      <c r="M1179" s="4"/>
      <c r="N1179" s="4"/>
      <c r="O1179" s="4"/>
      <c r="P1179" s="4"/>
      <c r="Q1179" s="4"/>
      <c r="R1179" s="4"/>
      <c r="S1179" s="4"/>
      <c r="T1179" s="4"/>
      <c r="U1179" s="4">
        <v>0.0</v>
      </c>
      <c r="V1179" s="4"/>
      <c r="W1179" s="4"/>
      <c r="X1179" s="4"/>
      <c r="Y1179" s="4"/>
      <c r="Z1179" s="4"/>
      <c r="AA1179" s="4"/>
    </row>
    <row r="1180">
      <c r="A1180" s="4" t="s">
        <v>8657</v>
      </c>
      <c r="B1180" s="4" t="s">
        <v>22</v>
      </c>
      <c r="C1180" s="4" t="s">
        <v>6838</v>
      </c>
      <c r="D1180" s="4">
        <v>44005.0</v>
      </c>
      <c r="E1180" s="4"/>
      <c r="F1180" s="4"/>
      <c r="G1180" s="4"/>
      <c r="H1180" s="4"/>
      <c r="I1180" s="4"/>
      <c r="J1180" s="4"/>
      <c r="K1180" s="4"/>
      <c r="L1180" s="4"/>
      <c r="M1180" s="4"/>
      <c r="N1180" s="4"/>
      <c r="O1180" s="4"/>
      <c r="P1180" s="4"/>
      <c r="Q1180" s="4"/>
      <c r="R1180" s="4"/>
      <c r="S1180" s="4"/>
      <c r="T1180" s="4"/>
      <c r="U1180" s="4">
        <v>0.0</v>
      </c>
      <c r="V1180" s="4"/>
      <c r="W1180" s="4"/>
      <c r="X1180" s="4"/>
      <c r="Y1180" s="4"/>
      <c r="Z1180" s="4"/>
      <c r="AA1180" s="4"/>
    </row>
    <row r="1181">
      <c r="A1181" s="4" t="s">
        <v>8658</v>
      </c>
      <c r="B1181" s="4" t="s">
        <v>22</v>
      </c>
      <c r="C1181" s="4" t="s">
        <v>6838</v>
      </c>
      <c r="D1181" s="4">
        <v>44005.0</v>
      </c>
      <c r="E1181" s="4"/>
      <c r="F1181" s="4"/>
      <c r="G1181" s="4"/>
      <c r="H1181" s="4"/>
      <c r="I1181" s="4"/>
      <c r="J1181" s="4"/>
      <c r="K1181" s="4"/>
      <c r="L1181" s="4"/>
      <c r="M1181" s="4"/>
      <c r="N1181" s="4"/>
      <c r="O1181" s="4"/>
      <c r="P1181" s="4"/>
      <c r="Q1181" s="4"/>
      <c r="R1181" s="4"/>
      <c r="S1181" s="4"/>
      <c r="T1181" s="4"/>
      <c r="U1181" s="4">
        <v>0.0</v>
      </c>
      <c r="V1181" s="4"/>
      <c r="W1181" s="4"/>
      <c r="X1181" s="4"/>
      <c r="Y1181" s="4"/>
      <c r="Z1181" s="4"/>
      <c r="AA1181" s="4"/>
    </row>
    <row r="1182">
      <c r="A1182" s="4" t="s">
        <v>8659</v>
      </c>
      <c r="B1182" s="4" t="s">
        <v>22</v>
      </c>
      <c r="C1182" s="4" t="s">
        <v>6838</v>
      </c>
      <c r="D1182" s="4">
        <v>44005.0</v>
      </c>
      <c r="E1182" s="4"/>
      <c r="F1182" s="4"/>
      <c r="G1182" s="4"/>
      <c r="H1182" s="4"/>
      <c r="I1182" s="4"/>
      <c r="J1182" s="4"/>
      <c r="K1182" s="4"/>
      <c r="L1182" s="4"/>
      <c r="M1182" s="4"/>
      <c r="N1182" s="4"/>
      <c r="O1182" s="4"/>
      <c r="P1182" s="4"/>
      <c r="Q1182" s="4"/>
      <c r="R1182" s="4"/>
      <c r="S1182" s="4"/>
      <c r="T1182" s="4"/>
      <c r="U1182" s="4">
        <v>0.0</v>
      </c>
      <c r="V1182" s="4"/>
      <c r="W1182" s="4"/>
      <c r="X1182" s="4"/>
      <c r="Y1182" s="4"/>
      <c r="Z1182" s="4"/>
      <c r="AA1182" s="4"/>
    </row>
    <row r="1183">
      <c r="A1183" s="4" t="s">
        <v>8660</v>
      </c>
      <c r="B1183" s="4" t="s">
        <v>22</v>
      </c>
      <c r="C1183" s="4" t="s">
        <v>6838</v>
      </c>
      <c r="D1183" s="4">
        <v>44005.0</v>
      </c>
      <c r="E1183" s="4"/>
      <c r="F1183" s="4"/>
      <c r="G1183" s="4"/>
      <c r="H1183" s="4"/>
      <c r="I1183" s="4"/>
      <c r="J1183" s="4"/>
      <c r="K1183" s="4"/>
      <c r="L1183" s="4"/>
      <c r="M1183" s="4"/>
      <c r="N1183" s="4"/>
      <c r="O1183" s="4"/>
      <c r="P1183" s="4"/>
      <c r="Q1183" s="4"/>
      <c r="R1183" s="4"/>
      <c r="S1183" s="4"/>
      <c r="T1183" s="4"/>
      <c r="U1183" s="4">
        <v>0.0</v>
      </c>
      <c r="V1183" s="4"/>
      <c r="W1183" s="4"/>
      <c r="X1183" s="4"/>
      <c r="Y1183" s="4"/>
      <c r="Z1183" s="4"/>
      <c r="AA1183" s="4"/>
    </row>
    <row r="1184">
      <c r="A1184" s="4" t="s">
        <v>8661</v>
      </c>
      <c r="B1184" s="4" t="s">
        <v>22</v>
      </c>
      <c r="C1184" s="4" t="s">
        <v>6838</v>
      </c>
      <c r="D1184" s="4">
        <v>44005.0</v>
      </c>
      <c r="E1184" s="4"/>
      <c r="F1184" s="4"/>
      <c r="G1184" s="4"/>
      <c r="H1184" s="4"/>
      <c r="I1184" s="4"/>
      <c r="J1184" s="4"/>
      <c r="K1184" s="4"/>
      <c r="L1184" s="4"/>
      <c r="M1184" s="4"/>
      <c r="N1184" s="4"/>
      <c r="O1184" s="4"/>
      <c r="P1184" s="4"/>
      <c r="Q1184" s="4"/>
      <c r="R1184" s="4"/>
      <c r="S1184" s="4"/>
      <c r="T1184" s="4"/>
      <c r="U1184" s="4">
        <v>0.0</v>
      </c>
      <c r="V1184" s="4"/>
      <c r="W1184" s="4"/>
      <c r="X1184" s="4"/>
      <c r="Y1184" s="4"/>
      <c r="Z1184" s="4"/>
      <c r="AA1184" s="4"/>
    </row>
    <row r="1185">
      <c r="A1185" s="4" t="s">
        <v>8662</v>
      </c>
      <c r="B1185" s="4" t="s">
        <v>22</v>
      </c>
      <c r="C1185" s="4" t="s">
        <v>6838</v>
      </c>
      <c r="D1185" s="4">
        <v>44005.0</v>
      </c>
      <c r="E1185" s="4"/>
      <c r="F1185" s="4"/>
      <c r="G1185" s="4"/>
      <c r="H1185" s="4"/>
      <c r="I1185" s="4"/>
      <c r="J1185" s="4"/>
      <c r="K1185" s="4"/>
      <c r="L1185" s="4"/>
      <c r="M1185" s="4"/>
      <c r="N1185" s="4"/>
      <c r="O1185" s="4"/>
      <c r="P1185" s="4"/>
      <c r="Q1185" s="4"/>
      <c r="R1185" s="4"/>
      <c r="S1185" s="4"/>
      <c r="T1185" s="4"/>
      <c r="U1185" s="4">
        <v>0.0</v>
      </c>
      <c r="V1185" s="4"/>
      <c r="W1185" s="4"/>
      <c r="X1185" s="4"/>
      <c r="Y1185" s="4"/>
      <c r="Z1185" s="4"/>
      <c r="AA1185" s="4"/>
    </row>
    <row r="1186">
      <c r="A1186" s="4" t="s">
        <v>8663</v>
      </c>
      <c r="B1186" s="4" t="s">
        <v>22</v>
      </c>
      <c r="C1186" s="4" t="s">
        <v>6838</v>
      </c>
      <c r="D1186" s="4">
        <v>44005.0</v>
      </c>
      <c r="E1186" s="4"/>
      <c r="F1186" s="4"/>
      <c r="G1186" s="4"/>
      <c r="H1186" s="4"/>
      <c r="I1186" s="4"/>
      <c r="J1186" s="4"/>
      <c r="K1186" s="4"/>
      <c r="L1186" s="4"/>
      <c r="M1186" s="4"/>
      <c r="N1186" s="4"/>
      <c r="O1186" s="4"/>
      <c r="P1186" s="4"/>
      <c r="Q1186" s="4"/>
      <c r="R1186" s="4"/>
      <c r="S1186" s="4"/>
      <c r="T1186" s="4"/>
      <c r="U1186" s="4">
        <v>0.0</v>
      </c>
      <c r="V1186" s="4"/>
      <c r="W1186" s="4"/>
      <c r="X1186" s="4"/>
      <c r="Y1186" s="4"/>
      <c r="Z1186" s="4"/>
      <c r="AA1186" s="4"/>
    </row>
    <row r="1187">
      <c r="A1187" s="4" t="s">
        <v>8664</v>
      </c>
      <c r="B1187" s="4" t="s">
        <v>220</v>
      </c>
      <c r="C1187" s="4"/>
      <c r="D1187" s="4"/>
      <c r="E1187" s="4"/>
      <c r="F1187" s="4"/>
      <c r="G1187" s="4"/>
      <c r="H1187" s="4"/>
      <c r="I1187" s="4"/>
      <c r="J1187" s="4"/>
      <c r="K1187" s="4"/>
      <c r="L1187" s="4"/>
      <c r="M1187" s="4"/>
      <c r="N1187" s="4"/>
      <c r="O1187" s="4"/>
      <c r="P1187" s="4"/>
      <c r="Q1187" s="4"/>
      <c r="R1187" s="4"/>
      <c r="S1187" s="4"/>
      <c r="T1187" s="4"/>
      <c r="U1187" s="4">
        <v>0.0</v>
      </c>
      <c r="V1187" s="4"/>
      <c r="W1187" s="4"/>
      <c r="X1187" s="4"/>
      <c r="Y1187" s="4"/>
      <c r="Z1187" s="4"/>
      <c r="AA1187" s="4"/>
    </row>
    <row r="1188">
      <c r="A1188" s="4" t="s">
        <v>8665</v>
      </c>
      <c r="B1188" s="4" t="s">
        <v>22</v>
      </c>
      <c r="C1188" s="4" t="s">
        <v>7070</v>
      </c>
      <c r="D1188" s="4">
        <v>44006.0</v>
      </c>
      <c r="E1188" s="4">
        <v>0.4166666666666667</v>
      </c>
      <c r="F1188" s="4">
        <v>0.001388888888888889</v>
      </c>
      <c r="G1188" s="4">
        <v>0.41805555555555557</v>
      </c>
      <c r="H1188" s="4"/>
      <c r="I1188" s="4"/>
      <c r="J1188" s="4"/>
      <c r="K1188" s="4"/>
      <c r="L1188" s="4" t="s">
        <v>79</v>
      </c>
      <c r="M1188" s="4"/>
      <c r="N1188" s="4"/>
      <c r="O1188" s="4" t="s">
        <v>1497</v>
      </c>
      <c r="P1188" s="4"/>
      <c r="Q1188" s="4"/>
      <c r="R1188" s="4"/>
      <c r="S1188" s="4"/>
      <c r="T1188" s="4"/>
      <c r="U1188" s="4">
        <v>0.0</v>
      </c>
      <c r="V1188" s="4"/>
      <c r="W1188" s="4"/>
      <c r="X1188" s="4"/>
      <c r="Y1188" s="4"/>
      <c r="Z1188" s="4"/>
      <c r="AA1188" s="4"/>
    </row>
    <row r="1189">
      <c r="A1189" s="4" t="s">
        <v>8666</v>
      </c>
      <c r="B1189" s="4" t="s">
        <v>22</v>
      </c>
      <c r="C1189" s="4" t="s">
        <v>7070</v>
      </c>
      <c r="D1189" s="4">
        <v>44006.0</v>
      </c>
      <c r="E1189" s="4">
        <v>0.41805555555555557</v>
      </c>
      <c r="F1189" s="4">
        <v>3.4722222222222224E-4</v>
      </c>
      <c r="G1189" s="4">
        <v>0.4184027777777778</v>
      </c>
      <c r="H1189" s="4"/>
      <c r="I1189" s="4"/>
      <c r="J1189" s="4"/>
      <c r="K1189" s="4"/>
      <c r="L1189" s="4" t="s">
        <v>81</v>
      </c>
      <c r="M1189" s="4"/>
      <c r="N1189" s="4"/>
      <c r="O1189" s="4" t="s">
        <v>1498</v>
      </c>
      <c r="P1189" s="4"/>
      <c r="Q1189" s="4"/>
      <c r="R1189" s="4"/>
      <c r="S1189" s="4"/>
      <c r="T1189" s="4"/>
      <c r="U1189" s="4">
        <v>0.0</v>
      </c>
      <c r="V1189" s="4"/>
      <c r="W1189" s="4"/>
      <c r="X1189" s="4"/>
      <c r="Y1189" s="4"/>
      <c r="Z1189" s="4"/>
      <c r="AA1189" s="4"/>
    </row>
    <row r="1190">
      <c r="A1190" s="4" t="s">
        <v>8667</v>
      </c>
      <c r="B1190" s="4" t="s">
        <v>22</v>
      </c>
      <c r="C1190" s="4" t="s">
        <v>7070</v>
      </c>
      <c r="D1190" s="4">
        <v>44006.0</v>
      </c>
      <c r="E1190" s="4">
        <v>0.4184027777777778</v>
      </c>
      <c r="F1190" s="4">
        <v>0.03125</v>
      </c>
      <c r="G1190" s="4">
        <v>0.4496527777777778</v>
      </c>
      <c r="H1190" s="4" t="s">
        <v>1253</v>
      </c>
      <c r="I1190" s="4" t="s">
        <v>4142</v>
      </c>
      <c r="J1190" s="4" t="s">
        <v>6938</v>
      </c>
      <c r="K1190" s="4"/>
      <c r="L1190" s="4" t="s">
        <v>1501</v>
      </c>
      <c r="M1190" s="4"/>
      <c r="N1190" s="4" t="s">
        <v>6749</v>
      </c>
      <c r="O1190" s="4" t="s">
        <v>1502</v>
      </c>
      <c r="P1190" s="4" t="s">
        <v>148</v>
      </c>
      <c r="Q1190" s="4"/>
      <c r="R1190" s="4"/>
      <c r="S1190" s="4"/>
      <c r="T1190" s="4" t="s">
        <v>92</v>
      </c>
      <c r="U1190" s="4">
        <v>2.0</v>
      </c>
      <c r="V1190" s="4" t="s">
        <v>8668</v>
      </c>
      <c r="W1190" s="4" t="s">
        <v>6962</v>
      </c>
      <c r="X1190" s="4" t="s">
        <v>8669</v>
      </c>
      <c r="Y1190" s="4"/>
      <c r="Z1190" s="4" t="s">
        <v>1253</v>
      </c>
      <c r="AA1190" s="4"/>
    </row>
    <row r="1191">
      <c r="A1191" s="4" t="s">
        <v>8670</v>
      </c>
      <c r="B1191" s="4" t="s">
        <v>22</v>
      </c>
      <c r="C1191" s="4" t="s">
        <v>7070</v>
      </c>
      <c r="D1191" s="4">
        <v>44006.0</v>
      </c>
      <c r="E1191" s="4">
        <v>0.4496527777777778</v>
      </c>
      <c r="F1191" s="4">
        <v>0.001388888888888889</v>
      </c>
      <c r="G1191" s="4">
        <v>0.4510416666666667</v>
      </c>
      <c r="H1191" s="4"/>
      <c r="I1191" s="4"/>
      <c r="J1191" s="4"/>
      <c r="K1191" s="4"/>
      <c r="L1191" s="4" t="s">
        <v>79</v>
      </c>
      <c r="M1191" s="4"/>
      <c r="N1191" s="4"/>
      <c r="O1191" s="4" t="s">
        <v>1497</v>
      </c>
      <c r="P1191" s="4"/>
      <c r="Q1191" s="4"/>
      <c r="R1191" s="4"/>
      <c r="S1191" s="4"/>
      <c r="T1191" s="4"/>
      <c r="U1191" s="4">
        <v>0.0</v>
      </c>
      <c r="V1191" s="4"/>
      <c r="W1191" s="4"/>
      <c r="X1191" s="4"/>
      <c r="Y1191" s="4"/>
      <c r="Z1191" s="4"/>
      <c r="AA1191" s="4"/>
    </row>
    <row r="1192">
      <c r="A1192" s="4" t="s">
        <v>8671</v>
      </c>
      <c r="B1192" s="4" t="s">
        <v>22</v>
      </c>
      <c r="C1192" s="4" t="s">
        <v>7070</v>
      </c>
      <c r="D1192" s="4">
        <v>44006.0</v>
      </c>
      <c r="E1192" s="4">
        <v>0.4510416666666667</v>
      </c>
      <c r="F1192" s="4">
        <v>3.4722222222222224E-4</v>
      </c>
      <c r="G1192" s="4">
        <v>0.4513888888888889</v>
      </c>
      <c r="H1192" s="4"/>
      <c r="I1192" s="4"/>
      <c r="J1192" s="4"/>
      <c r="K1192" s="4"/>
      <c r="L1192" s="4" t="s">
        <v>81</v>
      </c>
      <c r="M1192" s="4"/>
      <c r="N1192" s="4"/>
      <c r="O1192" s="4" t="s">
        <v>1498</v>
      </c>
      <c r="P1192" s="4"/>
      <c r="Q1192" s="4"/>
      <c r="R1192" s="4"/>
      <c r="S1192" s="4"/>
      <c r="T1192" s="4"/>
      <c r="U1192" s="4">
        <v>0.0</v>
      </c>
      <c r="V1192" s="4"/>
      <c r="W1192" s="4"/>
      <c r="X1192" s="4"/>
      <c r="Y1192" s="4"/>
      <c r="Z1192" s="4"/>
      <c r="AA1192" s="4"/>
    </row>
    <row r="1193">
      <c r="A1193" s="4" t="s">
        <v>8672</v>
      </c>
      <c r="B1193" s="4" t="s">
        <v>22</v>
      </c>
      <c r="C1193" s="4" t="s">
        <v>7070</v>
      </c>
      <c r="D1193" s="4">
        <v>44006.0</v>
      </c>
      <c r="E1193" s="4">
        <v>0.4513888888888889</v>
      </c>
      <c r="F1193" s="4">
        <v>0.03125</v>
      </c>
      <c r="G1193" s="4">
        <v>0.4826388888888889</v>
      </c>
      <c r="H1193" s="4" t="s">
        <v>860</v>
      </c>
      <c r="I1193" s="4" t="s">
        <v>4142</v>
      </c>
      <c r="J1193" s="4" t="s">
        <v>6870</v>
      </c>
      <c r="K1193" s="4"/>
      <c r="L1193" s="4" t="s">
        <v>1501</v>
      </c>
      <c r="M1193" s="4"/>
      <c r="N1193" s="4" t="s">
        <v>6720</v>
      </c>
      <c r="O1193" s="4" t="s">
        <v>1625</v>
      </c>
      <c r="P1193" s="4" t="s">
        <v>725</v>
      </c>
      <c r="Q1193" s="4"/>
      <c r="R1193" s="4"/>
      <c r="S1193" s="4"/>
      <c r="T1193" s="4" t="s">
        <v>520</v>
      </c>
      <c r="U1193" s="4">
        <v>2.0</v>
      </c>
      <c r="V1193" s="4" t="s">
        <v>8673</v>
      </c>
      <c r="W1193" s="4" t="s">
        <v>6855</v>
      </c>
      <c r="X1193" s="4"/>
      <c r="Y1193" s="4"/>
      <c r="Z1193" s="4"/>
      <c r="AA1193" s="4"/>
    </row>
    <row r="1194">
      <c r="A1194" s="4" t="s">
        <v>8674</v>
      </c>
      <c r="B1194" s="4" t="s">
        <v>22</v>
      </c>
      <c r="C1194" s="4" t="s">
        <v>7070</v>
      </c>
      <c r="D1194" s="4">
        <v>44006.0</v>
      </c>
      <c r="E1194" s="4">
        <v>0.4826388888888889</v>
      </c>
      <c r="F1194" s="4">
        <v>0.001388888888888889</v>
      </c>
      <c r="G1194" s="4">
        <v>0.4840277777777778</v>
      </c>
      <c r="H1194" s="4"/>
      <c r="I1194" s="4"/>
      <c r="J1194" s="4"/>
      <c r="K1194" s="4"/>
      <c r="L1194" s="4" t="s">
        <v>79</v>
      </c>
      <c r="M1194" s="4"/>
      <c r="N1194" s="4"/>
      <c r="O1194" s="4" t="s">
        <v>1497</v>
      </c>
      <c r="P1194" s="4"/>
      <c r="Q1194" s="4"/>
      <c r="R1194" s="4"/>
      <c r="S1194" s="4"/>
      <c r="T1194" s="4"/>
      <c r="U1194" s="4">
        <v>0.0</v>
      </c>
      <c r="V1194" s="4"/>
      <c r="W1194" s="4"/>
      <c r="X1194" s="4"/>
      <c r="Y1194" s="4"/>
      <c r="Z1194" s="4"/>
      <c r="AA1194" s="4"/>
    </row>
    <row r="1195">
      <c r="A1195" s="4" t="s">
        <v>8675</v>
      </c>
      <c r="B1195" s="4" t="s">
        <v>22</v>
      </c>
      <c r="C1195" s="4" t="s">
        <v>7070</v>
      </c>
      <c r="D1195" s="4">
        <v>44006.0</v>
      </c>
      <c r="E1195" s="4">
        <v>0.4840277777777778</v>
      </c>
      <c r="F1195" s="4">
        <v>3.4722222222222224E-4</v>
      </c>
      <c r="G1195" s="4">
        <v>0.484375</v>
      </c>
      <c r="H1195" s="4"/>
      <c r="I1195" s="4"/>
      <c r="J1195" s="4"/>
      <c r="K1195" s="4"/>
      <c r="L1195" s="4" t="s">
        <v>81</v>
      </c>
      <c r="M1195" s="4"/>
      <c r="N1195" s="4"/>
      <c r="O1195" s="4" t="s">
        <v>1498</v>
      </c>
      <c r="P1195" s="4"/>
      <c r="Q1195" s="4"/>
      <c r="R1195" s="4"/>
      <c r="S1195" s="4"/>
      <c r="T1195" s="4"/>
      <c r="U1195" s="4">
        <v>0.0</v>
      </c>
      <c r="V1195" s="4"/>
      <c r="W1195" s="4"/>
      <c r="X1195" s="4"/>
      <c r="Y1195" s="4"/>
      <c r="Z1195" s="4"/>
      <c r="AA1195" s="4"/>
    </row>
    <row r="1196">
      <c r="A1196" s="4" t="s">
        <v>8676</v>
      </c>
      <c r="B1196" s="4" t="s">
        <v>22</v>
      </c>
      <c r="C1196" s="4" t="s">
        <v>7070</v>
      </c>
      <c r="D1196" s="4">
        <v>44006.0</v>
      </c>
      <c r="E1196" s="4">
        <v>0.484375</v>
      </c>
      <c r="F1196" s="4">
        <v>0.03125</v>
      </c>
      <c r="G1196" s="4">
        <v>0.515625</v>
      </c>
      <c r="H1196" s="4" t="s">
        <v>860</v>
      </c>
      <c r="I1196" s="4" t="s">
        <v>4142</v>
      </c>
      <c r="J1196" s="4" t="s">
        <v>6938</v>
      </c>
      <c r="K1196" s="4"/>
      <c r="L1196" s="4" t="s">
        <v>1501</v>
      </c>
      <c r="M1196" s="4"/>
      <c r="N1196" s="4" t="s">
        <v>6755</v>
      </c>
      <c r="O1196" s="4" t="s">
        <v>1562</v>
      </c>
      <c r="P1196" s="4" t="s">
        <v>1331</v>
      </c>
      <c r="Q1196" s="4"/>
      <c r="R1196" s="4"/>
      <c r="S1196" s="4"/>
      <c r="T1196" s="4" t="s">
        <v>910</v>
      </c>
      <c r="U1196" s="4">
        <v>2.0</v>
      </c>
      <c r="V1196" s="4" t="s">
        <v>8677</v>
      </c>
      <c r="W1196" s="4"/>
      <c r="X1196" s="4"/>
      <c r="Y1196" s="4"/>
      <c r="Z1196" s="4"/>
      <c r="AA1196" s="4"/>
    </row>
    <row r="1197">
      <c r="A1197" s="4" t="s">
        <v>8678</v>
      </c>
      <c r="B1197" s="4" t="s">
        <v>22</v>
      </c>
      <c r="C1197" s="4" t="s">
        <v>7070</v>
      </c>
      <c r="D1197" s="4">
        <v>44006.0</v>
      </c>
      <c r="E1197" s="4">
        <v>0.515625</v>
      </c>
      <c r="F1197" s="4">
        <v>0.001388888888888889</v>
      </c>
      <c r="G1197" s="4">
        <v>0.5170138888888889</v>
      </c>
      <c r="H1197" s="4"/>
      <c r="I1197" s="4"/>
      <c r="J1197" s="4"/>
      <c r="K1197" s="4"/>
      <c r="L1197" s="4" t="s">
        <v>79</v>
      </c>
      <c r="M1197" s="4"/>
      <c r="N1197" s="4"/>
      <c r="O1197" s="4" t="s">
        <v>1497</v>
      </c>
      <c r="P1197" s="4"/>
      <c r="Q1197" s="4"/>
      <c r="R1197" s="4"/>
      <c r="S1197" s="4"/>
      <c r="T1197" s="4"/>
      <c r="U1197" s="4">
        <v>0.0</v>
      </c>
      <c r="V1197" s="4"/>
      <c r="W1197" s="4"/>
      <c r="X1197" s="4"/>
      <c r="Y1197" s="4"/>
      <c r="Z1197" s="4"/>
      <c r="AA1197" s="4"/>
    </row>
    <row r="1198">
      <c r="A1198" s="4" t="s">
        <v>8679</v>
      </c>
      <c r="B1198" s="4" t="s">
        <v>22</v>
      </c>
      <c r="C1198" s="4" t="s">
        <v>7070</v>
      </c>
      <c r="D1198" s="4">
        <v>44006.0</v>
      </c>
      <c r="E1198" s="4">
        <v>0.5170138888888889</v>
      </c>
      <c r="F1198" s="4">
        <v>3.4722222222222224E-4</v>
      </c>
      <c r="G1198" s="4">
        <v>0.5173611111111112</v>
      </c>
      <c r="H1198" s="4"/>
      <c r="I1198" s="4"/>
      <c r="J1198" s="4"/>
      <c r="K1198" s="4"/>
      <c r="L1198" s="4" t="s">
        <v>81</v>
      </c>
      <c r="M1198" s="4"/>
      <c r="N1198" s="4"/>
      <c r="O1198" s="4" t="s">
        <v>1498</v>
      </c>
      <c r="P1198" s="4"/>
      <c r="Q1198" s="4"/>
      <c r="R1198" s="4"/>
      <c r="S1198" s="4"/>
      <c r="T1198" s="4"/>
      <c r="U1198" s="4">
        <v>0.0</v>
      </c>
      <c r="V1198" s="4"/>
      <c r="W1198" s="4"/>
      <c r="X1198" s="4"/>
      <c r="Y1198" s="4"/>
      <c r="Z1198" s="4"/>
      <c r="AA1198" s="4"/>
    </row>
    <row r="1199">
      <c r="A1199" s="4" t="s">
        <v>8680</v>
      </c>
      <c r="B1199" s="4" t="s">
        <v>22</v>
      </c>
      <c r="C1199" s="4" t="s">
        <v>7070</v>
      </c>
      <c r="D1199" s="4">
        <v>44006.0</v>
      </c>
      <c r="E1199" s="4">
        <v>0.5173611111111112</v>
      </c>
      <c r="F1199" s="4">
        <v>0.03125</v>
      </c>
      <c r="G1199" s="4">
        <v>0.5486111111111112</v>
      </c>
      <c r="H1199" s="4" t="s">
        <v>860</v>
      </c>
      <c r="I1199" s="4" t="s">
        <v>4142</v>
      </c>
      <c r="J1199" s="4" t="s">
        <v>6938</v>
      </c>
      <c r="K1199" s="4"/>
      <c r="L1199" s="4" t="s">
        <v>1501</v>
      </c>
      <c r="M1199" s="4"/>
      <c r="N1199" s="4" t="s">
        <v>6720</v>
      </c>
      <c r="O1199" s="4" t="s">
        <v>1608</v>
      </c>
      <c r="P1199" s="4" t="s">
        <v>916</v>
      </c>
      <c r="Q1199" s="4"/>
      <c r="R1199" s="4"/>
      <c r="S1199" s="4"/>
      <c r="T1199" s="4" t="s">
        <v>230</v>
      </c>
      <c r="U1199" s="4">
        <v>2.0</v>
      </c>
      <c r="V1199" s="4" t="s">
        <v>8681</v>
      </c>
      <c r="W1199" s="4"/>
      <c r="X1199" s="4"/>
      <c r="Y1199" s="4"/>
      <c r="Z1199" s="4"/>
      <c r="AA1199" s="4"/>
    </row>
    <row r="1200">
      <c r="A1200" s="4" t="s">
        <v>8682</v>
      </c>
      <c r="B1200" s="4" t="s">
        <v>22</v>
      </c>
      <c r="C1200" s="4" t="s">
        <v>7070</v>
      </c>
      <c r="D1200" s="4">
        <v>44006.0</v>
      </c>
      <c r="E1200" s="4">
        <v>0.5486111111111112</v>
      </c>
      <c r="F1200" s="4">
        <v>0.001388888888888889</v>
      </c>
      <c r="G1200" s="4">
        <v>0.55</v>
      </c>
      <c r="H1200" s="4"/>
      <c r="I1200" s="4"/>
      <c r="J1200" s="4"/>
      <c r="K1200" s="4"/>
      <c r="L1200" s="4" t="s">
        <v>79</v>
      </c>
      <c r="M1200" s="4"/>
      <c r="N1200" s="4"/>
      <c r="O1200" s="4" t="s">
        <v>1497</v>
      </c>
      <c r="P1200" s="4"/>
      <c r="Q1200" s="4"/>
      <c r="R1200" s="4"/>
      <c r="S1200" s="4"/>
      <c r="T1200" s="4"/>
      <c r="U1200" s="4">
        <v>0.0</v>
      </c>
      <c r="V1200" s="4"/>
      <c r="W1200" s="4"/>
      <c r="X1200" s="4"/>
      <c r="Y1200" s="4"/>
      <c r="Z1200" s="4"/>
      <c r="AA1200" s="4"/>
    </row>
    <row r="1201">
      <c r="A1201" s="4" t="s">
        <v>8683</v>
      </c>
      <c r="B1201" s="4" t="s">
        <v>22</v>
      </c>
      <c r="C1201" s="4" t="s">
        <v>7070</v>
      </c>
      <c r="D1201" s="4">
        <v>44006.0</v>
      </c>
      <c r="E1201" s="4">
        <v>0.55</v>
      </c>
      <c r="F1201" s="4">
        <v>3.4722222222222224E-4</v>
      </c>
      <c r="G1201" s="4">
        <v>0.5503472222222223</v>
      </c>
      <c r="H1201" s="4"/>
      <c r="I1201" s="4"/>
      <c r="J1201" s="4"/>
      <c r="K1201" s="4"/>
      <c r="L1201" s="4" t="s">
        <v>81</v>
      </c>
      <c r="M1201" s="4"/>
      <c r="N1201" s="4"/>
      <c r="O1201" s="4" t="s">
        <v>1498</v>
      </c>
      <c r="P1201" s="4"/>
      <c r="Q1201" s="4"/>
      <c r="R1201" s="4"/>
      <c r="S1201" s="4"/>
      <c r="T1201" s="4"/>
      <c r="U1201" s="4">
        <v>0.0</v>
      </c>
      <c r="V1201" s="4"/>
      <c r="W1201" s="4"/>
      <c r="X1201" s="4"/>
      <c r="Y1201" s="4"/>
      <c r="Z1201" s="4"/>
      <c r="AA1201" s="4"/>
    </row>
    <row r="1202">
      <c r="A1202" s="4" t="s">
        <v>8684</v>
      </c>
      <c r="B1202" s="4" t="s">
        <v>22</v>
      </c>
      <c r="C1202" s="4" t="s">
        <v>7070</v>
      </c>
      <c r="D1202" s="4">
        <v>44006.0</v>
      </c>
      <c r="E1202" s="4">
        <v>0.5503472222222223</v>
      </c>
      <c r="F1202" s="4">
        <v>0.03125</v>
      </c>
      <c r="G1202" s="4">
        <v>0.5815972222222223</v>
      </c>
      <c r="H1202" s="4" t="s">
        <v>1253</v>
      </c>
      <c r="I1202" s="4" t="s">
        <v>4142</v>
      </c>
      <c r="J1202" s="4" t="s">
        <v>6938</v>
      </c>
      <c r="K1202" s="4"/>
      <c r="L1202" s="4" t="s">
        <v>1501</v>
      </c>
      <c r="M1202" s="4"/>
      <c r="N1202" s="4" t="s">
        <v>6689</v>
      </c>
      <c r="O1202" s="4" t="s">
        <v>1569</v>
      </c>
      <c r="P1202" s="4" t="s">
        <v>594</v>
      </c>
      <c r="Q1202" s="4"/>
      <c r="R1202" s="4"/>
      <c r="S1202" s="4"/>
      <c r="T1202" s="4" t="s">
        <v>8685</v>
      </c>
      <c r="U1202" s="4">
        <v>2.0</v>
      </c>
      <c r="V1202" s="4" t="s">
        <v>8686</v>
      </c>
      <c r="W1202" s="4" t="s">
        <v>6872</v>
      </c>
      <c r="X1202" s="4"/>
      <c r="Y1202" s="4"/>
      <c r="Z1202" s="4" t="s">
        <v>1253</v>
      </c>
      <c r="AA1202" s="4"/>
    </row>
    <row r="1203">
      <c r="A1203" s="4" t="s">
        <v>8687</v>
      </c>
      <c r="B1203" s="4" t="s">
        <v>22</v>
      </c>
      <c r="C1203" s="4" t="s">
        <v>7070</v>
      </c>
      <c r="D1203" s="4">
        <v>44006.0</v>
      </c>
      <c r="E1203" s="4">
        <v>0.5815972222222223</v>
      </c>
      <c r="F1203" s="4">
        <v>0.001388888888888889</v>
      </c>
      <c r="G1203" s="4">
        <v>0.5829861111111112</v>
      </c>
      <c r="H1203" s="4"/>
      <c r="I1203" s="4"/>
      <c r="J1203" s="4"/>
      <c r="K1203" s="4"/>
      <c r="L1203" s="4" t="s">
        <v>79</v>
      </c>
      <c r="M1203" s="4"/>
      <c r="N1203" s="4"/>
      <c r="O1203" s="4" t="s">
        <v>1497</v>
      </c>
      <c r="P1203" s="4"/>
      <c r="Q1203" s="4"/>
      <c r="R1203" s="4"/>
      <c r="S1203" s="4"/>
      <c r="T1203" s="4"/>
      <c r="U1203" s="4">
        <v>0.0</v>
      </c>
      <c r="V1203" s="4"/>
      <c r="W1203" s="4"/>
      <c r="X1203" s="4"/>
      <c r="Y1203" s="4"/>
      <c r="Z1203" s="4"/>
      <c r="AA1203" s="4"/>
    </row>
    <row r="1204">
      <c r="A1204" s="4" t="s">
        <v>8688</v>
      </c>
      <c r="B1204" s="4" t="s">
        <v>22</v>
      </c>
      <c r="C1204" s="4" t="s">
        <v>7070</v>
      </c>
      <c r="D1204" s="4">
        <v>44006.0</v>
      </c>
      <c r="E1204" s="4">
        <v>0.5829861111111112</v>
      </c>
      <c r="F1204" s="4">
        <v>3.4722222222222224E-4</v>
      </c>
      <c r="G1204" s="4">
        <v>0.5833333333333335</v>
      </c>
      <c r="H1204" s="4"/>
      <c r="I1204" s="4"/>
      <c r="J1204" s="4"/>
      <c r="K1204" s="4"/>
      <c r="L1204" s="4" t="s">
        <v>81</v>
      </c>
      <c r="M1204" s="4"/>
      <c r="N1204" s="4"/>
      <c r="O1204" s="4" t="s">
        <v>1498</v>
      </c>
      <c r="P1204" s="4"/>
      <c r="Q1204" s="4"/>
      <c r="R1204" s="4"/>
      <c r="S1204" s="4"/>
      <c r="T1204" s="4"/>
      <c r="U1204" s="4">
        <v>0.0</v>
      </c>
      <c r="V1204" s="4"/>
      <c r="W1204" s="4"/>
      <c r="X1204" s="4"/>
      <c r="Y1204" s="4"/>
      <c r="Z1204" s="4"/>
      <c r="AA1204" s="4"/>
    </row>
    <row r="1205">
      <c r="A1205" s="4" t="s">
        <v>8689</v>
      </c>
      <c r="B1205" s="4" t="s">
        <v>22</v>
      </c>
      <c r="C1205" s="4" t="s">
        <v>7070</v>
      </c>
      <c r="D1205" s="4">
        <v>44006.0</v>
      </c>
      <c r="E1205" s="4">
        <v>0.5833333333333335</v>
      </c>
      <c r="F1205" s="4">
        <v>0.03125</v>
      </c>
      <c r="G1205" s="4">
        <v>0.6145833333333335</v>
      </c>
      <c r="H1205" s="4" t="s">
        <v>860</v>
      </c>
      <c r="I1205" s="4" t="s">
        <v>4142</v>
      </c>
      <c r="J1205" s="4" t="s">
        <v>6870</v>
      </c>
      <c r="K1205" s="4"/>
      <c r="L1205" s="4" t="s">
        <v>1501</v>
      </c>
      <c r="M1205" s="4"/>
      <c r="N1205" s="4" t="s">
        <v>6689</v>
      </c>
      <c r="O1205" s="4" t="s">
        <v>1525</v>
      </c>
      <c r="P1205" s="4" t="s">
        <v>201</v>
      </c>
      <c r="Q1205" s="4" t="s">
        <v>1526</v>
      </c>
      <c r="R1205" s="4" t="s">
        <v>752</v>
      </c>
      <c r="S1205" s="4"/>
      <c r="T1205" s="4"/>
      <c r="U1205" s="4">
        <v>3.0</v>
      </c>
      <c r="V1205" s="4" t="s">
        <v>8690</v>
      </c>
      <c r="W1205" s="4"/>
      <c r="X1205" s="4"/>
      <c r="Y1205" s="4"/>
      <c r="Z1205" s="4"/>
      <c r="AA1205" s="4"/>
    </row>
    <row r="1206">
      <c r="A1206" s="4" t="s">
        <v>8691</v>
      </c>
      <c r="B1206" s="4" t="s">
        <v>22</v>
      </c>
      <c r="C1206" s="4" t="s">
        <v>7070</v>
      </c>
      <c r="D1206" s="4">
        <v>44006.0</v>
      </c>
      <c r="E1206" s="4">
        <v>0.6145833333333335</v>
      </c>
      <c r="F1206" s="4">
        <v>0.001388888888888889</v>
      </c>
      <c r="G1206" s="4">
        <v>0.6159722222222224</v>
      </c>
      <c r="H1206" s="4"/>
      <c r="I1206" s="4"/>
      <c r="J1206" s="4"/>
      <c r="K1206" s="4"/>
      <c r="L1206" s="4" t="s">
        <v>79</v>
      </c>
      <c r="M1206" s="4"/>
      <c r="N1206" s="4"/>
      <c r="O1206" s="4" t="s">
        <v>1497</v>
      </c>
      <c r="P1206" s="4"/>
      <c r="Q1206" s="4"/>
      <c r="R1206" s="4"/>
      <c r="S1206" s="4"/>
      <c r="T1206" s="4"/>
      <c r="U1206" s="4">
        <v>0.0</v>
      </c>
      <c r="V1206" s="4"/>
      <c r="W1206" s="4"/>
      <c r="X1206" s="4"/>
      <c r="Y1206" s="4"/>
      <c r="Z1206" s="4"/>
      <c r="AA1206" s="4"/>
    </row>
    <row r="1207">
      <c r="A1207" s="4" t="s">
        <v>8692</v>
      </c>
      <c r="B1207" s="4" t="s">
        <v>22</v>
      </c>
      <c r="C1207" s="4" t="s">
        <v>7070</v>
      </c>
      <c r="D1207" s="4">
        <v>44006.0</v>
      </c>
      <c r="E1207" s="4">
        <v>0.6159722222222224</v>
      </c>
      <c r="F1207" s="4">
        <v>3.4722222222222224E-4</v>
      </c>
      <c r="G1207" s="4">
        <v>0.6163194444444446</v>
      </c>
      <c r="H1207" s="4"/>
      <c r="I1207" s="4"/>
      <c r="J1207" s="4"/>
      <c r="K1207" s="4"/>
      <c r="L1207" s="4" t="s">
        <v>81</v>
      </c>
      <c r="M1207" s="4"/>
      <c r="N1207" s="4"/>
      <c r="O1207" s="4" t="s">
        <v>1498</v>
      </c>
      <c r="P1207" s="4"/>
      <c r="Q1207" s="4"/>
      <c r="R1207" s="4"/>
      <c r="S1207" s="4"/>
      <c r="T1207" s="4"/>
      <c r="U1207" s="4">
        <v>0.0</v>
      </c>
      <c r="V1207" s="4"/>
      <c r="W1207" s="4"/>
      <c r="X1207" s="4"/>
      <c r="Y1207" s="4"/>
      <c r="Z1207" s="4"/>
      <c r="AA1207" s="4"/>
    </row>
    <row r="1208">
      <c r="A1208" s="4" t="s">
        <v>8693</v>
      </c>
      <c r="B1208" s="4" t="s">
        <v>22</v>
      </c>
      <c r="C1208" s="4" t="s">
        <v>7070</v>
      </c>
      <c r="D1208" s="4">
        <v>44006.0</v>
      </c>
      <c r="E1208" s="4">
        <v>0.6163194444444446</v>
      </c>
      <c r="F1208" s="4">
        <v>0.03125</v>
      </c>
      <c r="G1208" s="4">
        <v>0.6475694444444446</v>
      </c>
      <c r="H1208" s="4" t="s">
        <v>4345</v>
      </c>
      <c r="I1208" s="4" t="s">
        <v>4142</v>
      </c>
      <c r="J1208" s="4"/>
      <c r="K1208" s="4"/>
      <c r="L1208" s="4" t="s">
        <v>1501</v>
      </c>
      <c r="M1208" s="4"/>
      <c r="N1208" s="4"/>
      <c r="O1208" s="4" t="s">
        <v>4345</v>
      </c>
      <c r="P1208" s="4" t="s">
        <v>361</v>
      </c>
      <c r="Q1208" s="4"/>
      <c r="R1208" s="4"/>
      <c r="S1208" s="4"/>
      <c r="T1208" s="4" t="s">
        <v>361</v>
      </c>
      <c r="U1208" s="4">
        <v>2.0</v>
      </c>
      <c r="V1208" s="4"/>
      <c r="W1208" s="4"/>
      <c r="X1208" s="4"/>
      <c r="Y1208" s="4"/>
      <c r="Z1208" s="4"/>
      <c r="AA1208" s="4"/>
    </row>
    <row r="1209">
      <c r="A1209" s="4" t="s">
        <v>8694</v>
      </c>
      <c r="B1209" s="4" t="s">
        <v>22</v>
      </c>
      <c r="C1209" s="4" t="s">
        <v>7070</v>
      </c>
      <c r="D1209" s="4">
        <v>44006.0</v>
      </c>
      <c r="E1209" s="4">
        <v>0.6475694444444446</v>
      </c>
      <c r="F1209" s="4">
        <v>0.001388888888888889</v>
      </c>
      <c r="G1209" s="4">
        <v>0.6489583333333335</v>
      </c>
      <c r="H1209" s="4"/>
      <c r="I1209" s="4"/>
      <c r="J1209" s="4"/>
      <c r="K1209" s="4"/>
      <c r="L1209" s="4" t="s">
        <v>79</v>
      </c>
      <c r="M1209" s="4"/>
      <c r="N1209" s="4"/>
      <c r="O1209" s="4" t="s">
        <v>1497</v>
      </c>
      <c r="P1209" s="4"/>
      <c r="Q1209" s="4"/>
      <c r="R1209" s="4"/>
      <c r="S1209" s="4"/>
      <c r="T1209" s="4"/>
      <c r="U1209" s="4">
        <v>0.0</v>
      </c>
      <c r="V1209" s="4"/>
      <c r="W1209" s="4"/>
      <c r="X1209" s="4"/>
      <c r="Y1209" s="4"/>
      <c r="Z1209" s="4"/>
      <c r="AA1209" s="4"/>
    </row>
    <row r="1210">
      <c r="A1210" s="4" t="s">
        <v>8695</v>
      </c>
      <c r="B1210" s="4" t="s">
        <v>22</v>
      </c>
      <c r="C1210" s="4" t="s">
        <v>7070</v>
      </c>
      <c r="D1210" s="4">
        <v>44006.0</v>
      </c>
      <c r="E1210" s="4">
        <v>0.6489583333333335</v>
      </c>
      <c r="F1210" s="4">
        <v>3.472222222222222E-5</v>
      </c>
      <c r="G1210" s="4">
        <v>0.6489930555555558</v>
      </c>
      <c r="H1210" s="4"/>
      <c r="I1210" s="4"/>
      <c r="J1210" s="4"/>
      <c r="K1210" s="4"/>
      <c r="L1210" s="4" t="s">
        <v>81</v>
      </c>
      <c r="M1210" s="4"/>
      <c r="N1210" s="4"/>
      <c r="O1210" s="4" t="s">
        <v>1498</v>
      </c>
      <c r="P1210" s="4"/>
      <c r="Q1210" s="4"/>
      <c r="R1210" s="4"/>
      <c r="S1210" s="4"/>
      <c r="T1210" s="4"/>
      <c r="U1210" s="4">
        <v>0.0</v>
      </c>
      <c r="V1210" s="4"/>
      <c r="W1210" s="4"/>
      <c r="X1210" s="4"/>
      <c r="Y1210" s="4"/>
      <c r="Z1210" s="4"/>
      <c r="AA1210" s="4"/>
    </row>
    <row r="1211">
      <c r="A1211" s="4" t="s">
        <v>8696</v>
      </c>
      <c r="B1211" s="4" t="s">
        <v>22</v>
      </c>
      <c r="C1211" s="4" t="s">
        <v>7070</v>
      </c>
      <c r="D1211" s="4">
        <v>44006.0</v>
      </c>
      <c r="E1211" s="4">
        <v>0.6489930555555558</v>
      </c>
      <c r="F1211" s="4">
        <v>0.03125</v>
      </c>
      <c r="G1211" s="4">
        <v>0.6802430555555558</v>
      </c>
      <c r="H1211" s="4" t="s">
        <v>4345</v>
      </c>
      <c r="I1211" s="4" t="s">
        <v>4142</v>
      </c>
      <c r="J1211" s="4"/>
      <c r="K1211" s="4"/>
      <c r="L1211" s="4" t="s">
        <v>1501</v>
      </c>
      <c r="M1211" s="4"/>
      <c r="N1211" s="4"/>
      <c r="O1211" s="4" t="s">
        <v>4345</v>
      </c>
      <c r="P1211" s="4" t="s">
        <v>361</v>
      </c>
      <c r="Q1211" s="4"/>
      <c r="R1211" s="4"/>
      <c r="S1211" s="4"/>
      <c r="T1211" s="4" t="s">
        <v>361</v>
      </c>
      <c r="U1211" s="4">
        <v>2.0</v>
      </c>
      <c r="V1211" s="4"/>
      <c r="W1211" s="4"/>
      <c r="X1211" s="4"/>
      <c r="Y1211" s="4"/>
      <c r="Z1211" s="4"/>
      <c r="AA1211" s="4"/>
    </row>
    <row r="1212">
      <c r="A1212" s="4" t="s">
        <v>8697</v>
      </c>
      <c r="B1212" s="4" t="s">
        <v>22</v>
      </c>
      <c r="C1212" s="4" t="s">
        <v>7070</v>
      </c>
      <c r="D1212" s="4">
        <v>44006.0</v>
      </c>
      <c r="E1212" s="4">
        <v>0.6802430555555558</v>
      </c>
      <c r="F1212" s="4">
        <v>0.001388888888888889</v>
      </c>
      <c r="G1212" s="4">
        <v>0.6816319444444446</v>
      </c>
      <c r="H1212" s="4"/>
      <c r="I1212" s="4"/>
      <c r="J1212" s="4"/>
      <c r="K1212" s="4"/>
      <c r="L1212" s="4" t="s">
        <v>79</v>
      </c>
      <c r="M1212" s="4"/>
      <c r="N1212" s="4"/>
      <c r="O1212" s="4" t="s">
        <v>1497</v>
      </c>
      <c r="P1212" s="4"/>
      <c r="Q1212" s="4"/>
      <c r="R1212" s="4"/>
      <c r="S1212" s="4"/>
      <c r="T1212" s="4"/>
      <c r="U1212" s="4">
        <v>0.0</v>
      </c>
      <c r="V1212" s="4"/>
      <c r="W1212" s="4"/>
      <c r="X1212" s="4"/>
      <c r="Y1212" s="4"/>
      <c r="Z1212" s="4"/>
      <c r="AA1212" s="4"/>
    </row>
    <row r="1213">
      <c r="A1213" s="4" t="s">
        <v>8698</v>
      </c>
      <c r="B1213" s="4" t="s">
        <v>22</v>
      </c>
      <c r="C1213" s="4" t="s">
        <v>7070</v>
      </c>
      <c r="D1213" s="4">
        <v>44006.0</v>
      </c>
      <c r="E1213" s="4">
        <v>0.6816319444444446</v>
      </c>
      <c r="F1213" s="4">
        <v>3.4722222222222224E-4</v>
      </c>
      <c r="G1213" s="4">
        <v>0.6819791666666669</v>
      </c>
      <c r="H1213" s="4"/>
      <c r="I1213" s="4"/>
      <c r="J1213" s="4"/>
      <c r="K1213" s="4"/>
      <c r="L1213" s="4" t="s">
        <v>81</v>
      </c>
      <c r="M1213" s="4"/>
      <c r="N1213" s="4"/>
      <c r="O1213" s="4" t="s">
        <v>1498</v>
      </c>
      <c r="P1213" s="4"/>
      <c r="Q1213" s="4"/>
      <c r="R1213" s="4"/>
      <c r="S1213" s="4"/>
      <c r="T1213" s="4"/>
      <c r="U1213" s="4">
        <v>0.0</v>
      </c>
      <c r="V1213" s="4"/>
      <c r="W1213" s="4"/>
      <c r="X1213" s="4"/>
      <c r="Y1213" s="4"/>
      <c r="Z1213" s="4"/>
      <c r="AA1213" s="4"/>
    </row>
    <row r="1214">
      <c r="A1214" s="4" t="s">
        <v>8699</v>
      </c>
      <c r="B1214" s="4" t="s">
        <v>22</v>
      </c>
      <c r="C1214" s="4" t="s">
        <v>7070</v>
      </c>
      <c r="D1214" s="4">
        <v>44006.0</v>
      </c>
      <c r="E1214" s="4">
        <v>0.6819791666666669</v>
      </c>
      <c r="F1214" s="4">
        <v>0.03125</v>
      </c>
      <c r="G1214" s="4">
        <v>0.7132291666666669</v>
      </c>
      <c r="H1214" s="4" t="s">
        <v>4345</v>
      </c>
      <c r="I1214" s="4" t="s">
        <v>4142</v>
      </c>
      <c r="J1214" s="4"/>
      <c r="K1214" s="4"/>
      <c r="L1214" s="4" t="s">
        <v>1501</v>
      </c>
      <c r="M1214" s="4"/>
      <c r="N1214" s="4"/>
      <c r="O1214" s="4" t="s">
        <v>4345</v>
      </c>
      <c r="P1214" s="4" t="s">
        <v>361</v>
      </c>
      <c r="Q1214" s="4"/>
      <c r="R1214" s="4"/>
      <c r="S1214" s="4"/>
      <c r="T1214" s="4" t="s">
        <v>361</v>
      </c>
      <c r="U1214" s="4">
        <v>2.0</v>
      </c>
      <c r="V1214" s="4"/>
      <c r="W1214" s="4"/>
      <c r="X1214" s="4"/>
      <c r="Y1214" s="4"/>
      <c r="Z1214" s="4"/>
      <c r="AA1214" s="4"/>
    </row>
    <row r="1215">
      <c r="A1215" s="4" t="s">
        <v>8700</v>
      </c>
      <c r="B1215" s="4" t="s">
        <v>22</v>
      </c>
      <c r="C1215" s="4" t="s">
        <v>7070</v>
      </c>
      <c r="D1215" s="4">
        <v>44006.0</v>
      </c>
      <c r="E1215" s="4">
        <v>0.7132291666666669</v>
      </c>
      <c r="F1215" s="4">
        <v>0.0</v>
      </c>
      <c r="G1215" s="4">
        <v>0.7132291666666669</v>
      </c>
      <c r="H1215" s="4"/>
      <c r="I1215" s="4"/>
      <c r="J1215" s="4"/>
      <c r="K1215" s="4"/>
      <c r="L1215" s="4"/>
      <c r="M1215" s="4"/>
      <c r="N1215" s="4"/>
      <c r="O1215" s="4"/>
      <c r="P1215" s="4"/>
      <c r="Q1215" s="4"/>
      <c r="R1215" s="4"/>
      <c r="S1215" s="4"/>
      <c r="T1215" s="4"/>
      <c r="U1215" s="4">
        <v>0.0</v>
      </c>
      <c r="V1215" s="4"/>
      <c r="W1215" s="4"/>
      <c r="X1215" s="4"/>
      <c r="Y1215" s="4"/>
      <c r="Z1215" s="4"/>
      <c r="AA1215" s="4"/>
    </row>
    <row r="1216">
      <c r="A1216" s="4" t="s">
        <v>8701</v>
      </c>
      <c r="B1216" s="4" t="s">
        <v>22</v>
      </c>
      <c r="C1216" s="4" t="s">
        <v>7070</v>
      </c>
      <c r="D1216" s="4">
        <v>44006.0</v>
      </c>
      <c r="E1216" s="4">
        <v>0.7132291666666669</v>
      </c>
      <c r="F1216" s="4">
        <v>0.0</v>
      </c>
      <c r="G1216" s="4">
        <v>0.7132291666666669</v>
      </c>
      <c r="H1216" s="4"/>
      <c r="I1216" s="4"/>
      <c r="J1216" s="4"/>
      <c r="K1216" s="4"/>
      <c r="L1216" s="4"/>
      <c r="M1216" s="4"/>
      <c r="N1216" s="4"/>
      <c r="O1216" s="4"/>
      <c r="P1216" s="4"/>
      <c r="Q1216" s="4"/>
      <c r="R1216" s="4"/>
      <c r="S1216" s="4"/>
      <c r="T1216" s="4"/>
      <c r="U1216" s="4">
        <v>0.0</v>
      </c>
      <c r="V1216" s="4"/>
      <c r="W1216" s="4"/>
      <c r="X1216" s="4"/>
      <c r="Y1216" s="4"/>
      <c r="Z1216" s="4"/>
      <c r="AA1216" s="4"/>
    </row>
    <row r="1217">
      <c r="A1217" s="4" t="s">
        <v>8702</v>
      </c>
      <c r="B1217" s="4" t="s">
        <v>22</v>
      </c>
      <c r="C1217" s="4" t="s">
        <v>7070</v>
      </c>
      <c r="D1217" s="4">
        <v>44006.0</v>
      </c>
      <c r="E1217" s="4">
        <v>0.7132291666666669</v>
      </c>
      <c r="F1217" s="4">
        <v>0.0</v>
      </c>
      <c r="G1217" s="4">
        <v>0.7132291666666669</v>
      </c>
      <c r="H1217" s="4"/>
      <c r="I1217" s="4"/>
      <c r="J1217" s="4"/>
      <c r="K1217" s="4"/>
      <c r="L1217" s="4"/>
      <c r="M1217" s="4"/>
      <c r="N1217" s="4"/>
      <c r="O1217" s="4"/>
      <c r="P1217" s="4"/>
      <c r="Q1217" s="4"/>
      <c r="R1217" s="4"/>
      <c r="S1217" s="4"/>
      <c r="T1217" s="4"/>
      <c r="U1217" s="4"/>
      <c r="V1217" s="4"/>
      <c r="W1217" s="4"/>
      <c r="X1217" s="4"/>
      <c r="Y1217" s="4"/>
      <c r="Z1217" s="4"/>
      <c r="AA1217" s="4"/>
    </row>
    <row r="1218">
      <c r="A1218" s="4" t="s">
        <v>8703</v>
      </c>
      <c r="B1218" s="4" t="s">
        <v>22</v>
      </c>
      <c r="C1218" s="4" t="s">
        <v>7070</v>
      </c>
      <c r="D1218" s="4">
        <v>44006.0</v>
      </c>
      <c r="E1218" s="4">
        <v>0.7132291666666669</v>
      </c>
      <c r="F1218" s="4">
        <v>0.0</v>
      </c>
      <c r="G1218" s="4">
        <v>0.7132291666666669</v>
      </c>
      <c r="H1218" s="4"/>
      <c r="I1218" s="4"/>
      <c r="J1218" s="4"/>
      <c r="K1218" s="4"/>
      <c r="L1218" s="4"/>
      <c r="M1218" s="4"/>
      <c r="N1218" s="4"/>
      <c r="O1218" s="4"/>
      <c r="P1218" s="4"/>
      <c r="Q1218" s="4"/>
      <c r="R1218" s="4"/>
      <c r="S1218" s="4"/>
      <c r="T1218" s="4"/>
      <c r="U1218" s="4">
        <v>0.0</v>
      </c>
      <c r="V1218" s="4"/>
      <c r="W1218" s="4"/>
      <c r="X1218" s="4"/>
      <c r="Y1218" s="4"/>
      <c r="Z1218" s="4"/>
      <c r="AA1218" s="4"/>
    </row>
    <row r="1219">
      <c r="A1219" s="4" t="s">
        <v>8704</v>
      </c>
      <c r="B1219" s="4" t="s">
        <v>22</v>
      </c>
      <c r="C1219" s="4" t="s">
        <v>7070</v>
      </c>
      <c r="D1219" s="4">
        <v>44006.0</v>
      </c>
      <c r="E1219" s="4">
        <v>0.7132291666666669</v>
      </c>
      <c r="F1219" s="4">
        <v>0.0</v>
      </c>
      <c r="G1219" s="4">
        <v>0.7132291666666669</v>
      </c>
      <c r="H1219" s="4"/>
      <c r="I1219" s="4"/>
      <c r="J1219" s="4"/>
      <c r="K1219" s="4"/>
      <c r="L1219" s="4"/>
      <c r="M1219" s="4"/>
      <c r="N1219" s="4"/>
      <c r="O1219" s="4"/>
      <c r="P1219" s="4"/>
      <c r="Q1219" s="4"/>
      <c r="R1219" s="4"/>
      <c r="S1219" s="4"/>
      <c r="T1219" s="4"/>
      <c r="U1219" s="4">
        <v>0.0</v>
      </c>
      <c r="V1219" s="4"/>
      <c r="W1219" s="4"/>
      <c r="X1219" s="4"/>
      <c r="Y1219" s="4"/>
      <c r="Z1219" s="4"/>
      <c r="AA1219" s="4"/>
    </row>
    <row r="1220">
      <c r="A1220" s="4" t="s">
        <v>8705</v>
      </c>
      <c r="B1220" s="4" t="s">
        <v>22</v>
      </c>
      <c r="C1220" s="4" t="s">
        <v>7070</v>
      </c>
      <c r="D1220" s="4">
        <v>44006.0</v>
      </c>
      <c r="E1220" s="4">
        <v>0.7132291666666669</v>
      </c>
      <c r="F1220" s="4">
        <v>0.0</v>
      </c>
      <c r="G1220" s="4">
        <v>0.7132291666666669</v>
      </c>
      <c r="H1220" s="4"/>
      <c r="I1220" s="4"/>
      <c r="J1220" s="4"/>
      <c r="K1220" s="4"/>
      <c r="L1220" s="4"/>
      <c r="M1220" s="4"/>
      <c r="N1220" s="4"/>
      <c r="O1220" s="4"/>
      <c r="P1220" s="4"/>
      <c r="Q1220" s="4"/>
      <c r="R1220" s="4"/>
      <c r="S1220" s="4"/>
      <c r="T1220" s="4"/>
      <c r="U1220" s="4">
        <v>0.0</v>
      </c>
      <c r="V1220" s="4"/>
      <c r="W1220" s="4"/>
      <c r="X1220" s="4"/>
      <c r="Y1220" s="4"/>
      <c r="Z1220" s="4"/>
      <c r="AA1220" s="4"/>
    </row>
    <row r="1221">
      <c r="A1221" s="4" t="s">
        <v>8706</v>
      </c>
      <c r="B1221" s="4" t="s">
        <v>22</v>
      </c>
      <c r="C1221" s="4" t="s">
        <v>7070</v>
      </c>
      <c r="D1221" s="4">
        <v>44006.0</v>
      </c>
      <c r="E1221" s="4">
        <v>0.7132291666666669</v>
      </c>
      <c r="F1221" s="4">
        <v>0.0</v>
      </c>
      <c r="G1221" s="4">
        <v>0.7132291666666669</v>
      </c>
      <c r="H1221" s="4"/>
      <c r="I1221" s="4"/>
      <c r="J1221" s="4"/>
      <c r="K1221" s="4"/>
      <c r="L1221" s="4"/>
      <c r="M1221" s="4"/>
      <c r="N1221" s="4"/>
      <c r="O1221" s="4"/>
      <c r="P1221" s="4"/>
      <c r="Q1221" s="4"/>
      <c r="R1221" s="4"/>
      <c r="S1221" s="4"/>
      <c r="T1221" s="4"/>
      <c r="U1221" s="4">
        <v>0.0</v>
      </c>
      <c r="V1221" s="4"/>
      <c r="W1221" s="4"/>
      <c r="X1221" s="4"/>
      <c r="Y1221" s="4"/>
      <c r="Z1221" s="4"/>
      <c r="AA1221" s="4"/>
    </row>
    <row r="1222">
      <c r="A1222" s="4" t="s">
        <v>8707</v>
      </c>
      <c r="B1222" s="4" t="s">
        <v>344</v>
      </c>
      <c r="C1222" s="4"/>
      <c r="D1222" s="4"/>
      <c r="E1222" s="4"/>
      <c r="F1222" s="4"/>
      <c r="G1222" s="4"/>
      <c r="H1222" s="4"/>
      <c r="I1222" s="4"/>
      <c r="J1222" s="4"/>
      <c r="K1222" s="4"/>
      <c r="L1222" s="4"/>
      <c r="M1222" s="4"/>
      <c r="N1222" s="4"/>
      <c r="O1222" s="4"/>
      <c r="P1222" s="4"/>
      <c r="Q1222" s="4"/>
      <c r="R1222" s="4"/>
      <c r="S1222" s="4"/>
      <c r="T1222" s="4"/>
      <c r="U1222" s="4">
        <v>0.0</v>
      </c>
      <c r="V1222" s="4"/>
      <c r="W1222" s="4"/>
      <c r="X1222" s="4"/>
      <c r="Y1222" s="4"/>
      <c r="Z1222" s="4"/>
      <c r="AA1222" s="4"/>
    </row>
    <row r="1223">
      <c r="A1223" s="4" t="s">
        <v>8708</v>
      </c>
      <c r="B1223" s="4" t="s">
        <v>22</v>
      </c>
      <c r="C1223" s="4" t="s">
        <v>7269</v>
      </c>
      <c r="D1223" s="4">
        <v>44007.0</v>
      </c>
      <c r="E1223" s="4">
        <v>0.4166666666666667</v>
      </c>
      <c r="F1223" s="4">
        <v>0.001388888888888889</v>
      </c>
      <c r="G1223" s="4">
        <v>0.41805555555555557</v>
      </c>
      <c r="H1223" s="4"/>
      <c r="I1223" s="4"/>
      <c r="J1223" s="4"/>
      <c r="K1223" s="4"/>
      <c r="L1223" s="4" t="s">
        <v>79</v>
      </c>
      <c r="M1223" s="4"/>
      <c r="N1223" s="4"/>
      <c r="O1223" s="4" t="s">
        <v>1497</v>
      </c>
      <c r="P1223" s="4"/>
      <c r="Q1223" s="4"/>
      <c r="R1223" s="4"/>
      <c r="S1223" s="4"/>
      <c r="T1223" s="4"/>
      <c r="U1223" s="4">
        <v>0.0</v>
      </c>
      <c r="V1223" s="4"/>
      <c r="W1223" s="4"/>
      <c r="X1223" s="4"/>
      <c r="Y1223" s="4"/>
      <c r="Z1223" s="4"/>
      <c r="AA1223" s="4"/>
    </row>
    <row r="1224">
      <c r="A1224" s="4" t="s">
        <v>8709</v>
      </c>
      <c r="B1224" s="4" t="s">
        <v>22</v>
      </c>
      <c r="C1224" s="4" t="s">
        <v>7269</v>
      </c>
      <c r="D1224" s="4">
        <v>44007.0</v>
      </c>
      <c r="E1224" s="4">
        <v>0.41805555555555557</v>
      </c>
      <c r="F1224" s="4">
        <v>3.4722222222222224E-4</v>
      </c>
      <c r="G1224" s="4">
        <v>0.4184027777777778</v>
      </c>
      <c r="H1224" s="4"/>
      <c r="I1224" s="4"/>
      <c r="J1224" s="4"/>
      <c r="K1224" s="4"/>
      <c r="L1224" s="4" t="s">
        <v>81</v>
      </c>
      <c r="M1224" s="4"/>
      <c r="N1224" s="4"/>
      <c r="O1224" s="4" t="s">
        <v>1498</v>
      </c>
      <c r="P1224" s="4"/>
      <c r="Q1224" s="4"/>
      <c r="R1224" s="4"/>
      <c r="S1224" s="4"/>
      <c r="T1224" s="4"/>
      <c r="U1224" s="4">
        <v>0.0</v>
      </c>
      <c r="V1224" s="4"/>
      <c r="W1224" s="4"/>
      <c r="X1224" s="4"/>
      <c r="Y1224" s="4"/>
      <c r="Z1224" s="4"/>
      <c r="AA1224" s="4"/>
    </row>
    <row r="1225">
      <c r="A1225" s="4" t="s">
        <v>8710</v>
      </c>
      <c r="B1225" s="4" t="s">
        <v>22</v>
      </c>
      <c r="C1225" s="4" t="s">
        <v>7269</v>
      </c>
      <c r="D1225" s="4">
        <v>44007.0</v>
      </c>
      <c r="E1225" s="4">
        <v>0.4184027777777778</v>
      </c>
      <c r="F1225" s="4">
        <v>0.03125</v>
      </c>
      <c r="G1225" s="4">
        <v>0.4496527777777778</v>
      </c>
      <c r="H1225" s="4" t="s">
        <v>1253</v>
      </c>
      <c r="I1225" s="4" t="s">
        <v>4142</v>
      </c>
      <c r="J1225" s="4" t="s">
        <v>6870</v>
      </c>
      <c r="K1225" s="4"/>
      <c r="L1225" s="4" t="s">
        <v>1501</v>
      </c>
      <c r="M1225" s="4"/>
      <c r="N1225" s="4" t="s">
        <v>6720</v>
      </c>
      <c r="O1225" s="4" t="s">
        <v>1634</v>
      </c>
      <c r="P1225" s="4" t="s">
        <v>908</v>
      </c>
      <c r="Q1225" s="4"/>
      <c r="R1225" s="4"/>
      <c r="S1225" s="4"/>
      <c r="T1225" s="4" t="s">
        <v>910</v>
      </c>
      <c r="U1225" s="4">
        <v>2.0</v>
      </c>
      <c r="V1225" s="4" t="s">
        <v>8711</v>
      </c>
      <c r="W1225" s="4" t="s">
        <v>6872</v>
      </c>
      <c r="X1225" s="4" t="s">
        <v>8712</v>
      </c>
      <c r="Y1225" s="4" t="s">
        <v>8713</v>
      </c>
      <c r="Z1225" s="4" t="s">
        <v>1253</v>
      </c>
      <c r="AA1225" s="4"/>
    </row>
    <row r="1226">
      <c r="A1226" s="4" t="s">
        <v>8714</v>
      </c>
      <c r="B1226" s="4" t="s">
        <v>22</v>
      </c>
      <c r="C1226" s="4" t="s">
        <v>7269</v>
      </c>
      <c r="D1226" s="4">
        <v>44007.0</v>
      </c>
      <c r="E1226" s="4">
        <v>0.4496527777777778</v>
      </c>
      <c r="F1226" s="4">
        <v>0.001388888888888889</v>
      </c>
      <c r="G1226" s="4">
        <v>0.4510416666666667</v>
      </c>
      <c r="H1226" s="4"/>
      <c r="I1226" s="4"/>
      <c r="J1226" s="4"/>
      <c r="K1226" s="4"/>
      <c r="L1226" s="4" t="s">
        <v>79</v>
      </c>
      <c r="M1226" s="4"/>
      <c r="N1226" s="4"/>
      <c r="O1226" s="4" t="s">
        <v>1497</v>
      </c>
      <c r="P1226" s="4"/>
      <c r="Q1226" s="4"/>
      <c r="R1226" s="4"/>
      <c r="S1226" s="4"/>
      <c r="T1226" s="4"/>
      <c r="U1226" s="4">
        <v>0.0</v>
      </c>
      <c r="V1226" s="4"/>
      <c r="W1226" s="4"/>
      <c r="X1226" s="4"/>
      <c r="Y1226" s="4"/>
      <c r="Z1226" s="4"/>
      <c r="AA1226" s="4"/>
    </row>
    <row r="1227">
      <c r="A1227" s="4" t="s">
        <v>8715</v>
      </c>
      <c r="B1227" s="4" t="s">
        <v>22</v>
      </c>
      <c r="C1227" s="4" t="s">
        <v>7269</v>
      </c>
      <c r="D1227" s="4">
        <v>44007.0</v>
      </c>
      <c r="E1227" s="4">
        <v>0.4510416666666667</v>
      </c>
      <c r="F1227" s="4">
        <v>3.4722222222222224E-4</v>
      </c>
      <c r="G1227" s="4">
        <v>0.4513888888888889</v>
      </c>
      <c r="H1227" s="4"/>
      <c r="I1227" s="4"/>
      <c r="J1227" s="4"/>
      <c r="K1227" s="4"/>
      <c r="L1227" s="4" t="s">
        <v>81</v>
      </c>
      <c r="M1227" s="4"/>
      <c r="N1227" s="4"/>
      <c r="O1227" s="4" t="s">
        <v>1498</v>
      </c>
      <c r="P1227" s="4"/>
      <c r="Q1227" s="4"/>
      <c r="R1227" s="4"/>
      <c r="S1227" s="4"/>
      <c r="T1227" s="4"/>
      <c r="U1227" s="4">
        <v>0.0</v>
      </c>
      <c r="V1227" s="4"/>
      <c r="W1227" s="4"/>
      <c r="X1227" s="4"/>
      <c r="Y1227" s="4"/>
      <c r="Z1227" s="4"/>
      <c r="AA1227" s="4"/>
    </row>
    <row r="1228">
      <c r="A1228" s="4" t="s">
        <v>8716</v>
      </c>
      <c r="B1228" s="4" t="s">
        <v>22</v>
      </c>
      <c r="C1228" s="4" t="s">
        <v>7269</v>
      </c>
      <c r="D1228" s="4">
        <v>44007.0</v>
      </c>
      <c r="E1228" s="4">
        <v>0.4513888888888889</v>
      </c>
      <c r="F1228" s="4">
        <v>0.03125</v>
      </c>
      <c r="G1228" s="4">
        <v>0.4826388888888889</v>
      </c>
      <c r="H1228" s="4" t="s">
        <v>1253</v>
      </c>
      <c r="I1228" s="4" t="s">
        <v>4142</v>
      </c>
      <c r="J1228" s="4" t="s">
        <v>6938</v>
      </c>
      <c r="K1228" s="4"/>
      <c r="L1228" s="4" t="s">
        <v>1501</v>
      </c>
      <c r="M1228" s="4"/>
      <c r="N1228" s="4" t="s">
        <v>6749</v>
      </c>
      <c r="O1228" s="4" t="s">
        <v>1567</v>
      </c>
      <c r="P1228" s="4" t="s">
        <v>624</v>
      </c>
      <c r="Q1228" s="4"/>
      <c r="R1228" s="4"/>
      <c r="S1228" s="4"/>
      <c r="T1228" s="4" t="s">
        <v>201</v>
      </c>
      <c r="U1228" s="4">
        <v>2.0</v>
      </c>
      <c r="V1228" s="4" t="s">
        <v>8717</v>
      </c>
      <c r="W1228" s="4" t="s">
        <v>6855</v>
      </c>
      <c r="X1228" s="4"/>
      <c r="Y1228" s="4"/>
      <c r="Z1228" s="4" t="s">
        <v>1253</v>
      </c>
      <c r="AA1228" s="4"/>
    </row>
    <row r="1229">
      <c r="A1229" s="4" t="s">
        <v>8718</v>
      </c>
      <c r="B1229" s="4" t="s">
        <v>22</v>
      </c>
      <c r="C1229" s="4" t="s">
        <v>7269</v>
      </c>
      <c r="D1229" s="4">
        <v>44007.0</v>
      </c>
      <c r="E1229" s="4">
        <v>0.4826388888888889</v>
      </c>
      <c r="F1229" s="4">
        <v>0.001388888888888889</v>
      </c>
      <c r="G1229" s="4">
        <v>0.4840277777777778</v>
      </c>
      <c r="H1229" s="4"/>
      <c r="I1229" s="4"/>
      <c r="J1229" s="4"/>
      <c r="K1229" s="4"/>
      <c r="L1229" s="4" t="s">
        <v>79</v>
      </c>
      <c r="M1229" s="4"/>
      <c r="N1229" s="4"/>
      <c r="O1229" s="4" t="s">
        <v>1497</v>
      </c>
      <c r="P1229" s="4"/>
      <c r="Q1229" s="4"/>
      <c r="R1229" s="4"/>
      <c r="S1229" s="4"/>
      <c r="T1229" s="4"/>
      <c r="U1229" s="4">
        <v>0.0</v>
      </c>
      <c r="V1229" s="4"/>
      <c r="W1229" s="4"/>
      <c r="X1229" s="4"/>
      <c r="Y1229" s="4"/>
      <c r="Z1229" s="4"/>
      <c r="AA1229" s="4"/>
    </row>
    <row r="1230">
      <c r="A1230" s="4" t="s">
        <v>8719</v>
      </c>
      <c r="B1230" s="4" t="s">
        <v>22</v>
      </c>
      <c r="C1230" s="4" t="s">
        <v>7269</v>
      </c>
      <c r="D1230" s="4">
        <v>44007.0</v>
      </c>
      <c r="E1230" s="4">
        <v>0.4840277777777778</v>
      </c>
      <c r="F1230" s="4">
        <v>3.4722222222222224E-4</v>
      </c>
      <c r="G1230" s="4">
        <v>0.484375</v>
      </c>
      <c r="H1230" s="4"/>
      <c r="I1230" s="4"/>
      <c r="J1230" s="4"/>
      <c r="K1230" s="4"/>
      <c r="L1230" s="4" t="s">
        <v>81</v>
      </c>
      <c r="M1230" s="4"/>
      <c r="N1230" s="4"/>
      <c r="O1230" s="4" t="s">
        <v>1498</v>
      </c>
      <c r="P1230" s="4"/>
      <c r="Q1230" s="4"/>
      <c r="R1230" s="4"/>
      <c r="S1230" s="4"/>
      <c r="T1230" s="4"/>
      <c r="U1230" s="4">
        <v>0.0</v>
      </c>
      <c r="V1230" s="4"/>
      <c r="W1230" s="4"/>
      <c r="X1230" s="4"/>
      <c r="Y1230" s="4"/>
      <c r="Z1230" s="4"/>
      <c r="AA1230" s="4"/>
    </row>
    <row r="1231">
      <c r="A1231" s="4" t="s">
        <v>8720</v>
      </c>
      <c r="B1231" s="4" t="s">
        <v>22</v>
      </c>
      <c r="C1231" s="4" t="s">
        <v>7269</v>
      </c>
      <c r="D1231" s="4">
        <v>44007.0</v>
      </c>
      <c r="E1231" s="4">
        <v>0.484375</v>
      </c>
      <c r="F1231" s="4">
        <v>0.03125</v>
      </c>
      <c r="G1231" s="4">
        <v>0.515625</v>
      </c>
      <c r="H1231" s="4" t="s">
        <v>860</v>
      </c>
      <c r="I1231" s="4" t="s">
        <v>4142</v>
      </c>
      <c r="J1231" s="4" t="s">
        <v>6938</v>
      </c>
      <c r="K1231" s="4"/>
      <c r="L1231" s="4" t="s">
        <v>1501</v>
      </c>
      <c r="M1231" s="4"/>
      <c r="N1231" s="4" t="s">
        <v>6755</v>
      </c>
      <c r="O1231" s="4" t="s">
        <v>8721</v>
      </c>
      <c r="P1231" s="4" t="s">
        <v>1335</v>
      </c>
      <c r="Q1231" s="4"/>
      <c r="R1231" s="4"/>
      <c r="S1231" s="4"/>
      <c r="T1231" s="4" t="s">
        <v>1603</v>
      </c>
      <c r="U1231" s="4">
        <v>2.0</v>
      </c>
      <c r="V1231" s="4" t="s">
        <v>8722</v>
      </c>
      <c r="W1231" s="4"/>
      <c r="X1231" s="4"/>
      <c r="Y1231" s="4"/>
      <c r="Z1231" s="4"/>
      <c r="AA1231" s="4"/>
    </row>
    <row r="1232">
      <c r="A1232" s="4" t="s">
        <v>8723</v>
      </c>
      <c r="B1232" s="4" t="s">
        <v>22</v>
      </c>
      <c r="C1232" s="4" t="s">
        <v>7269</v>
      </c>
      <c r="D1232" s="4">
        <v>44007.0</v>
      </c>
      <c r="E1232" s="4">
        <v>0.515625</v>
      </c>
      <c r="F1232" s="4">
        <v>0.001388888888888889</v>
      </c>
      <c r="G1232" s="4">
        <v>0.5170138888888889</v>
      </c>
      <c r="H1232" s="4"/>
      <c r="I1232" s="4"/>
      <c r="J1232" s="4"/>
      <c r="K1232" s="4"/>
      <c r="L1232" s="4" t="s">
        <v>79</v>
      </c>
      <c r="M1232" s="4"/>
      <c r="N1232" s="4"/>
      <c r="O1232" s="4" t="s">
        <v>1497</v>
      </c>
      <c r="P1232" s="4"/>
      <c r="Q1232" s="4"/>
      <c r="R1232" s="4"/>
      <c r="S1232" s="4"/>
      <c r="T1232" s="4"/>
      <c r="U1232" s="4">
        <v>0.0</v>
      </c>
      <c r="V1232" s="4"/>
      <c r="W1232" s="4"/>
      <c r="X1232" s="4"/>
      <c r="Y1232" s="4"/>
      <c r="Z1232" s="4"/>
      <c r="AA1232" s="4"/>
    </row>
    <row r="1233">
      <c r="A1233" s="4" t="s">
        <v>8724</v>
      </c>
      <c r="B1233" s="4" t="s">
        <v>22</v>
      </c>
      <c r="C1233" s="4" t="s">
        <v>7269</v>
      </c>
      <c r="D1233" s="4">
        <v>44007.0</v>
      </c>
      <c r="E1233" s="4">
        <v>0.5170138888888889</v>
      </c>
      <c r="F1233" s="4">
        <v>3.4722222222222224E-4</v>
      </c>
      <c r="G1233" s="4">
        <v>0.5173611111111112</v>
      </c>
      <c r="H1233" s="4"/>
      <c r="I1233" s="4"/>
      <c r="J1233" s="4"/>
      <c r="K1233" s="4"/>
      <c r="L1233" s="4" t="s">
        <v>81</v>
      </c>
      <c r="M1233" s="4"/>
      <c r="N1233" s="4"/>
      <c r="O1233" s="4" t="s">
        <v>1498</v>
      </c>
      <c r="P1233" s="4"/>
      <c r="Q1233" s="4"/>
      <c r="R1233" s="4"/>
      <c r="S1233" s="4"/>
      <c r="T1233" s="4"/>
      <c r="U1233" s="4">
        <v>0.0</v>
      </c>
      <c r="V1233" s="4"/>
      <c r="W1233" s="4"/>
      <c r="X1233" s="4"/>
      <c r="Y1233" s="4"/>
      <c r="Z1233" s="4"/>
      <c r="AA1233" s="4"/>
    </row>
    <row r="1234">
      <c r="A1234" s="4" t="s">
        <v>8725</v>
      </c>
      <c r="B1234" s="4" t="s">
        <v>22</v>
      </c>
      <c r="C1234" s="4" t="s">
        <v>7269</v>
      </c>
      <c r="D1234" s="4">
        <v>44007.0</v>
      </c>
      <c r="E1234" s="4">
        <v>0.5173611111111112</v>
      </c>
      <c r="F1234" s="4">
        <v>0.03125</v>
      </c>
      <c r="G1234" s="4">
        <v>0.5486111111111112</v>
      </c>
      <c r="H1234" s="4" t="s">
        <v>1253</v>
      </c>
      <c r="I1234" s="4" t="s">
        <v>4142</v>
      </c>
      <c r="J1234" s="4" t="s">
        <v>6938</v>
      </c>
      <c r="K1234" s="4"/>
      <c r="L1234" s="4" t="s">
        <v>1501</v>
      </c>
      <c r="M1234" s="4"/>
      <c r="N1234" s="4" t="s">
        <v>6858</v>
      </c>
      <c r="O1234" s="4" t="s">
        <v>1611</v>
      </c>
      <c r="P1234" s="4" t="s">
        <v>710</v>
      </c>
      <c r="Q1234" s="4"/>
      <c r="R1234" s="4"/>
      <c r="S1234" s="4"/>
      <c r="T1234" s="4" t="s">
        <v>1612</v>
      </c>
      <c r="U1234" s="4">
        <v>2.0</v>
      </c>
      <c r="V1234" s="4" t="s">
        <v>8726</v>
      </c>
      <c r="W1234" s="4" t="s">
        <v>6962</v>
      </c>
      <c r="X1234" s="4" t="s">
        <v>8727</v>
      </c>
      <c r="Y1234" s="4"/>
      <c r="Z1234" s="4" t="s">
        <v>1253</v>
      </c>
      <c r="AA1234" s="4"/>
    </row>
    <row r="1235">
      <c r="A1235" s="4" t="s">
        <v>8728</v>
      </c>
      <c r="B1235" s="4" t="s">
        <v>22</v>
      </c>
      <c r="C1235" s="4" t="s">
        <v>7269</v>
      </c>
      <c r="D1235" s="4">
        <v>44007.0</v>
      </c>
      <c r="E1235" s="4">
        <v>0.5486111111111112</v>
      </c>
      <c r="F1235" s="4">
        <v>0.001388888888888889</v>
      </c>
      <c r="G1235" s="4">
        <v>0.55</v>
      </c>
      <c r="H1235" s="4"/>
      <c r="I1235" s="4"/>
      <c r="J1235" s="4"/>
      <c r="K1235" s="4"/>
      <c r="L1235" s="4" t="s">
        <v>79</v>
      </c>
      <c r="M1235" s="4"/>
      <c r="N1235" s="4"/>
      <c r="O1235" s="4" t="s">
        <v>1497</v>
      </c>
      <c r="P1235" s="4"/>
      <c r="Q1235" s="4"/>
      <c r="R1235" s="4"/>
      <c r="S1235" s="4"/>
      <c r="T1235" s="4"/>
      <c r="U1235" s="4">
        <v>0.0</v>
      </c>
      <c r="V1235" s="4"/>
      <c r="W1235" s="4"/>
      <c r="X1235" s="4"/>
      <c r="Y1235" s="4"/>
      <c r="Z1235" s="4"/>
      <c r="AA1235" s="4"/>
    </row>
    <row r="1236">
      <c r="A1236" s="4" t="s">
        <v>8729</v>
      </c>
      <c r="B1236" s="4" t="s">
        <v>22</v>
      </c>
      <c r="C1236" s="4" t="s">
        <v>7269</v>
      </c>
      <c r="D1236" s="4">
        <v>44007.0</v>
      </c>
      <c r="E1236" s="4">
        <v>0.55</v>
      </c>
      <c r="F1236" s="4">
        <v>3.4722222222222224E-4</v>
      </c>
      <c r="G1236" s="4">
        <v>0.5503472222222223</v>
      </c>
      <c r="H1236" s="4"/>
      <c r="I1236" s="4"/>
      <c r="J1236" s="4"/>
      <c r="K1236" s="4"/>
      <c r="L1236" s="4" t="s">
        <v>81</v>
      </c>
      <c r="M1236" s="4"/>
      <c r="N1236" s="4"/>
      <c r="O1236" s="4" t="s">
        <v>1498</v>
      </c>
      <c r="P1236" s="4"/>
      <c r="Q1236" s="4"/>
      <c r="R1236" s="4"/>
      <c r="S1236" s="4"/>
      <c r="T1236" s="4"/>
      <c r="U1236" s="4">
        <v>0.0</v>
      </c>
      <c r="V1236" s="4"/>
      <c r="W1236" s="4"/>
      <c r="X1236" s="4"/>
      <c r="Y1236" s="4"/>
      <c r="Z1236" s="4"/>
      <c r="AA1236" s="4"/>
    </row>
    <row r="1237">
      <c r="A1237" s="4" t="s">
        <v>8730</v>
      </c>
      <c r="B1237" s="4" t="s">
        <v>22</v>
      </c>
      <c r="C1237" s="4" t="s">
        <v>7269</v>
      </c>
      <c r="D1237" s="4">
        <v>44007.0</v>
      </c>
      <c r="E1237" s="4">
        <v>0.5503472222222223</v>
      </c>
      <c r="F1237" s="4">
        <v>0.03125</v>
      </c>
      <c r="G1237" s="4">
        <v>0.5815972222222223</v>
      </c>
      <c r="H1237" s="4" t="s">
        <v>1253</v>
      </c>
      <c r="I1237" s="4" t="s">
        <v>4142</v>
      </c>
      <c r="J1237" s="4" t="s">
        <v>6938</v>
      </c>
      <c r="K1237" s="4"/>
      <c r="L1237" s="4" t="s">
        <v>1501</v>
      </c>
      <c r="M1237" s="4"/>
      <c r="N1237" s="4" t="s">
        <v>6749</v>
      </c>
      <c r="O1237" s="4" t="s">
        <v>1511</v>
      </c>
      <c r="P1237" s="4" t="s">
        <v>8124</v>
      </c>
      <c r="Q1237" s="4"/>
      <c r="R1237" s="4"/>
      <c r="S1237" s="4"/>
      <c r="T1237" s="4" t="s">
        <v>1512</v>
      </c>
      <c r="U1237" s="4">
        <v>2.0</v>
      </c>
      <c r="V1237" s="4" t="s">
        <v>8731</v>
      </c>
      <c r="W1237" s="4" t="s">
        <v>6855</v>
      </c>
      <c r="X1237" s="4" t="s">
        <v>8732</v>
      </c>
      <c r="Y1237" s="4"/>
      <c r="Z1237" s="4" t="s">
        <v>1253</v>
      </c>
      <c r="AA1237" s="4"/>
    </row>
    <row r="1238">
      <c r="A1238" s="4" t="s">
        <v>8733</v>
      </c>
      <c r="B1238" s="4" t="s">
        <v>22</v>
      </c>
      <c r="C1238" s="4" t="s">
        <v>7269</v>
      </c>
      <c r="D1238" s="4">
        <v>44007.0</v>
      </c>
      <c r="E1238" s="4">
        <v>0.5815972222222223</v>
      </c>
      <c r="F1238" s="4">
        <v>0.001388888888888889</v>
      </c>
      <c r="G1238" s="4">
        <v>0.5829861111111112</v>
      </c>
      <c r="H1238" s="4"/>
      <c r="I1238" s="4"/>
      <c r="J1238" s="4"/>
      <c r="K1238" s="4"/>
      <c r="L1238" s="4" t="s">
        <v>79</v>
      </c>
      <c r="M1238" s="4"/>
      <c r="N1238" s="4"/>
      <c r="O1238" s="4" t="s">
        <v>1497</v>
      </c>
      <c r="P1238" s="4"/>
      <c r="Q1238" s="4"/>
      <c r="R1238" s="4"/>
      <c r="S1238" s="4"/>
      <c r="T1238" s="4"/>
      <c r="U1238" s="4">
        <v>0.0</v>
      </c>
      <c r="V1238" s="4"/>
      <c r="W1238" s="4"/>
      <c r="X1238" s="4"/>
      <c r="Y1238" s="4"/>
      <c r="Z1238" s="4"/>
      <c r="AA1238" s="4"/>
    </row>
    <row r="1239">
      <c r="A1239" s="4" t="s">
        <v>8734</v>
      </c>
      <c r="B1239" s="4" t="s">
        <v>22</v>
      </c>
      <c r="C1239" s="4" t="s">
        <v>7269</v>
      </c>
      <c r="D1239" s="4">
        <v>44007.0</v>
      </c>
      <c r="E1239" s="4">
        <v>0.5829861111111112</v>
      </c>
      <c r="F1239" s="4">
        <v>3.4722222222222224E-4</v>
      </c>
      <c r="G1239" s="4">
        <v>0.5833333333333335</v>
      </c>
      <c r="H1239" s="4"/>
      <c r="I1239" s="4"/>
      <c r="J1239" s="4"/>
      <c r="K1239" s="4"/>
      <c r="L1239" s="4" t="s">
        <v>81</v>
      </c>
      <c r="M1239" s="4"/>
      <c r="N1239" s="4"/>
      <c r="O1239" s="4" t="s">
        <v>1498</v>
      </c>
      <c r="P1239" s="4"/>
      <c r="Q1239" s="4"/>
      <c r="R1239" s="4"/>
      <c r="S1239" s="4"/>
      <c r="T1239" s="4"/>
      <c r="U1239" s="4">
        <v>0.0</v>
      </c>
      <c r="V1239" s="4"/>
      <c r="W1239" s="4"/>
      <c r="X1239" s="4"/>
      <c r="Y1239" s="4"/>
      <c r="Z1239" s="4"/>
      <c r="AA1239" s="4"/>
    </row>
    <row r="1240">
      <c r="A1240" s="4" t="s">
        <v>8735</v>
      </c>
      <c r="B1240" s="4" t="s">
        <v>22</v>
      </c>
      <c r="C1240" s="4" t="s">
        <v>7269</v>
      </c>
      <c r="D1240" s="4">
        <v>44007.0</v>
      </c>
      <c r="E1240" s="4">
        <v>0.5833333333333335</v>
      </c>
      <c r="F1240" s="4">
        <v>0.03125</v>
      </c>
      <c r="G1240" s="4">
        <v>0.6145833333333335</v>
      </c>
      <c r="H1240" s="4" t="s">
        <v>4345</v>
      </c>
      <c r="I1240" s="4" t="s">
        <v>4142</v>
      </c>
      <c r="J1240" s="4"/>
      <c r="K1240" s="4"/>
      <c r="L1240" s="4" t="s">
        <v>1501</v>
      </c>
      <c r="M1240" s="4"/>
      <c r="N1240" s="4"/>
      <c r="O1240" s="4" t="s">
        <v>4345</v>
      </c>
      <c r="P1240" s="4" t="s">
        <v>361</v>
      </c>
      <c r="Q1240" s="4"/>
      <c r="R1240" s="4"/>
      <c r="S1240" s="4"/>
      <c r="T1240" s="4" t="s">
        <v>361</v>
      </c>
      <c r="U1240" s="4">
        <v>2.0</v>
      </c>
      <c r="V1240" s="4"/>
      <c r="W1240" s="4"/>
      <c r="X1240" s="4"/>
      <c r="Y1240" s="4"/>
      <c r="Z1240" s="4"/>
      <c r="AA1240" s="4"/>
    </row>
    <row r="1241">
      <c r="A1241" s="4" t="s">
        <v>8736</v>
      </c>
      <c r="B1241" s="4" t="s">
        <v>22</v>
      </c>
      <c r="C1241" s="4" t="s">
        <v>7269</v>
      </c>
      <c r="D1241" s="4">
        <v>44007.0</v>
      </c>
      <c r="E1241" s="4">
        <v>0.6145833333333335</v>
      </c>
      <c r="F1241" s="4">
        <v>0.001388888888888889</v>
      </c>
      <c r="G1241" s="4">
        <v>0.6159722222222224</v>
      </c>
      <c r="H1241" s="4"/>
      <c r="I1241" s="4"/>
      <c r="J1241" s="4"/>
      <c r="K1241" s="4"/>
      <c r="L1241" s="4" t="s">
        <v>79</v>
      </c>
      <c r="M1241" s="4"/>
      <c r="N1241" s="4"/>
      <c r="O1241" s="4" t="s">
        <v>1497</v>
      </c>
      <c r="P1241" s="4"/>
      <c r="Q1241" s="4"/>
      <c r="R1241" s="4"/>
      <c r="S1241" s="4"/>
      <c r="T1241" s="4"/>
      <c r="U1241" s="4">
        <v>0.0</v>
      </c>
      <c r="V1241" s="4"/>
      <c r="W1241" s="4"/>
      <c r="X1241" s="4"/>
      <c r="Y1241" s="4"/>
      <c r="Z1241" s="4"/>
      <c r="AA1241" s="4"/>
    </row>
    <row r="1242">
      <c r="A1242" s="4" t="s">
        <v>8737</v>
      </c>
      <c r="B1242" s="4" t="s">
        <v>22</v>
      </c>
      <c r="C1242" s="4" t="s">
        <v>7269</v>
      </c>
      <c r="D1242" s="4">
        <v>44007.0</v>
      </c>
      <c r="E1242" s="4">
        <v>0.6159722222222224</v>
      </c>
      <c r="F1242" s="4">
        <v>3.4722222222222224E-4</v>
      </c>
      <c r="G1242" s="4">
        <v>0.6163194444444446</v>
      </c>
      <c r="H1242" s="4"/>
      <c r="I1242" s="4"/>
      <c r="J1242" s="4"/>
      <c r="K1242" s="4"/>
      <c r="L1242" s="4" t="s">
        <v>81</v>
      </c>
      <c r="M1242" s="4"/>
      <c r="N1242" s="4"/>
      <c r="O1242" s="4" t="s">
        <v>1498</v>
      </c>
      <c r="P1242" s="4"/>
      <c r="Q1242" s="4"/>
      <c r="R1242" s="4"/>
      <c r="S1242" s="4"/>
      <c r="T1242" s="4"/>
      <c r="U1242" s="4">
        <v>0.0</v>
      </c>
      <c r="V1242" s="4"/>
      <c r="W1242" s="4"/>
      <c r="X1242" s="4"/>
      <c r="Y1242" s="4"/>
      <c r="Z1242" s="4"/>
      <c r="AA1242" s="4"/>
    </row>
    <row r="1243">
      <c r="A1243" s="4" t="s">
        <v>8738</v>
      </c>
      <c r="B1243" s="4" t="s">
        <v>22</v>
      </c>
      <c r="C1243" s="4" t="s">
        <v>7269</v>
      </c>
      <c r="D1243" s="4">
        <v>44007.0</v>
      </c>
      <c r="E1243" s="4">
        <v>0.6163194444444446</v>
      </c>
      <c r="F1243" s="4">
        <v>0.03125</v>
      </c>
      <c r="G1243" s="4">
        <v>0.6475694444444446</v>
      </c>
      <c r="H1243" s="4" t="s">
        <v>4345</v>
      </c>
      <c r="I1243" s="4" t="s">
        <v>4142</v>
      </c>
      <c r="J1243" s="4"/>
      <c r="K1243" s="4"/>
      <c r="L1243" s="4" t="s">
        <v>1501</v>
      </c>
      <c r="M1243" s="4"/>
      <c r="N1243" s="4"/>
      <c r="O1243" s="4" t="s">
        <v>4345</v>
      </c>
      <c r="P1243" s="4" t="s">
        <v>361</v>
      </c>
      <c r="Q1243" s="4"/>
      <c r="R1243" s="4"/>
      <c r="S1243" s="4"/>
      <c r="T1243" s="4" t="s">
        <v>361</v>
      </c>
      <c r="U1243" s="4">
        <v>2.0</v>
      </c>
      <c r="V1243" s="4"/>
      <c r="W1243" s="4"/>
      <c r="X1243" s="4"/>
      <c r="Y1243" s="4"/>
      <c r="Z1243" s="4"/>
      <c r="AA1243" s="4"/>
    </row>
    <row r="1244">
      <c r="A1244" s="4" t="s">
        <v>8739</v>
      </c>
      <c r="B1244" s="4" t="s">
        <v>22</v>
      </c>
      <c r="C1244" s="4" t="s">
        <v>7269</v>
      </c>
      <c r="D1244" s="4">
        <v>44007.0</v>
      </c>
      <c r="E1244" s="4">
        <v>0.6475694444444446</v>
      </c>
      <c r="F1244" s="4">
        <v>0.001388888888888889</v>
      </c>
      <c r="G1244" s="4">
        <v>0.6489583333333335</v>
      </c>
      <c r="H1244" s="4"/>
      <c r="I1244" s="4"/>
      <c r="J1244" s="4"/>
      <c r="K1244" s="4"/>
      <c r="L1244" s="4" t="s">
        <v>79</v>
      </c>
      <c r="M1244" s="4"/>
      <c r="N1244" s="4"/>
      <c r="O1244" s="4" t="s">
        <v>1497</v>
      </c>
      <c r="P1244" s="4"/>
      <c r="Q1244" s="4"/>
      <c r="R1244" s="4"/>
      <c r="S1244" s="4"/>
      <c r="T1244" s="4"/>
      <c r="U1244" s="4">
        <v>0.0</v>
      </c>
      <c r="V1244" s="4"/>
      <c r="W1244" s="4"/>
      <c r="X1244" s="4"/>
      <c r="Y1244" s="4"/>
      <c r="Z1244" s="4"/>
      <c r="AA1244" s="4"/>
    </row>
    <row r="1245">
      <c r="A1245" s="4" t="s">
        <v>8740</v>
      </c>
      <c r="B1245" s="4" t="s">
        <v>22</v>
      </c>
      <c r="C1245" s="4" t="s">
        <v>7269</v>
      </c>
      <c r="D1245" s="4">
        <v>44007.0</v>
      </c>
      <c r="E1245" s="4">
        <v>0.6489583333333335</v>
      </c>
      <c r="F1245" s="4">
        <v>3.4722222222222224E-4</v>
      </c>
      <c r="G1245" s="4">
        <v>0.6493055555555558</v>
      </c>
      <c r="H1245" s="4"/>
      <c r="I1245" s="4"/>
      <c r="J1245" s="4"/>
      <c r="K1245" s="4"/>
      <c r="L1245" s="4" t="s">
        <v>81</v>
      </c>
      <c r="M1245" s="4"/>
      <c r="N1245" s="4"/>
      <c r="O1245" s="4" t="s">
        <v>1498</v>
      </c>
      <c r="P1245" s="4"/>
      <c r="Q1245" s="4"/>
      <c r="R1245" s="4"/>
      <c r="S1245" s="4"/>
      <c r="T1245" s="4"/>
      <c r="U1245" s="4">
        <v>0.0</v>
      </c>
      <c r="V1245" s="4"/>
      <c r="W1245" s="4"/>
      <c r="X1245" s="4"/>
      <c r="Y1245" s="4"/>
      <c r="Z1245" s="4"/>
      <c r="AA1245" s="4"/>
    </row>
    <row r="1246">
      <c r="A1246" s="4" t="s">
        <v>8741</v>
      </c>
      <c r="B1246" s="4" t="s">
        <v>22</v>
      </c>
      <c r="C1246" s="4" t="s">
        <v>7269</v>
      </c>
      <c r="D1246" s="4">
        <v>44007.0</v>
      </c>
      <c r="E1246" s="4">
        <v>0.6493055555555558</v>
      </c>
      <c r="F1246" s="4">
        <v>0.03125</v>
      </c>
      <c r="G1246" s="4">
        <v>0.6805555555555558</v>
      </c>
      <c r="H1246" s="4" t="s">
        <v>4345</v>
      </c>
      <c r="I1246" s="4" t="s">
        <v>4142</v>
      </c>
      <c r="J1246" s="4"/>
      <c r="K1246" s="4"/>
      <c r="L1246" s="4" t="s">
        <v>1501</v>
      </c>
      <c r="M1246" s="4"/>
      <c r="N1246" s="4"/>
      <c r="O1246" s="4" t="s">
        <v>4345</v>
      </c>
      <c r="P1246" s="4" t="s">
        <v>361</v>
      </c>
      <c r="Q1246" s="4"/>
      <c r="R1246" s="4"/>
      <c r="S1246" s="4"/>
      <c r="T1246" s="4" t="s">
        <v>361</v>
      </c>
      <c r="U1246" s="4">
        <v>2.0</v>
      </c>
      <c r="V1246" s="4"/>
      <c r="W1246" s="4"/>
      <c r="X1246" s="4"/>
      <c r="Y1246" s="4"/>
      <c r="Z1246" s="4"/>
      <c r="AA1246" s="4"/>
    </row>
    <row r="1247">
      <c r="A1247" s="4" t="s">
        <v>8742</v>
      </c>
      <c r="B1247" s="4" t="s">
        <v>22</v>
      </c>
      <c r="C1247" s="4" t="s">
        <v>7269</v>
      </c>
      <c r="D1247" s="4">
        <v>44007.0</v>
      </c>
      <c r="E1247" s="4">
        <v>0.6805555555555558</v>
      </c>
      <c r="F1247" s="4">
        <v>0.001388888888888889</v>
      </c>
      <c r="G1247" s="4">
        <v>0.6819444444444447</v>
      </c>
      <c r="H1247" s="4"/>
      <c r="I1247" s="4"/>
      <c r="J1247" s="4"/>
      <c r="K1247" s="4"/>
      <c r="L1247" s="4" t="s">
        <v>79</v>
      </c>
      <c r="M1247" s="4"/>
      <c r="N1247" s="4"/>
      <c r="O1247" s="4" t="s">
        <v>1497</v>
      </c>
      <c r="P1247" s="4"/>
      <c r="Q1247" s="4"/>
      <c r="R1247" s="4"/>
      <c r="S1247" s="4"/>
      <c r="T1247" s="4"/>
      <c r="U1247" s="4">
        <v>0.0</v>
      </c>
      <c r="V1247" s="4"/>
      <c r="W1247" s="4"/>
      <c r="X1247" s="4"/>
      <c r="Y1247" s="4"/>
      <c r="Z1247" s="4"/>
      <c r="AA1247" s="4"/>
    </row>
    <row r="1248">
      <c r="A1248" s="4" t="s">
        <v>8743</v>
      </c>
      <c r="B1248" s="4" t="s">
        <v>22</v>
      </c>
      <c r="C1248" s="4" t="s">
        <v>7269</v>
      </c>
      <c r="D1248" s="4">
        <v>44007.0</v>
      </c>
      <c r="E1248" s="4">
        <v>0.6819444444444447</v>
      </c>
      <c r="F1248" s="4">
        <v>3.4722222222222224E-4</v>
      </c>
      <c r="G1248" s="4">
        <v>0.682291666666667</v>
      </c>
      <c r="H1248" s="4"/>
      <c r="I1248" s="4"/>
      <c r="J1248" s="4"/>
      <c r="K1248" s="4"/>
      <c r="L1248" s="4" t="s">
        <v>81</v>
      </c>
      <c r="M1248" s="4"/>
      <c r="N1248" s="4"/>
      <c r="O1248" s="4" t="s">
        <v>1498</v>
      </c>
      <c r="P1248" s="4"/>
      <c r="Q1248" s="4"/>
      <c r="R1248" s="4"/>
      <c r="S1248" s="4"/>
      <c r="T1248" s="4"/>
      <c r="U1248" s="4">
        <v>0.0</v>
      </c>
      <c r="V1248" s="4"/>
      <c r="W1248" s="4"/>
      <c r="X1248" s="4"/>
      <c r="Y1248" s="4"/>
      <c r="Z1248" s="4"/>
      <c r="AA1248" s="4"/>
    </row>
    <row r="1249">
      <c r="A1249" s="4" t="s">
        <v>8744</v>
      </c>
      <c r="B1249" s="4" t="s">
        <v>22</v>
      </c>
      <c r="C1249" s="4" t="s">
        <v>7269</v>
      </c>
      <c r="D1249" s="4">
        <v>44007.0</v>
      </c>
      <c r="E1249" s="4">
        <v>0.682291666666667</v>
      </c>
      <c r="F1249" s="4">
        <v>0.03125</v>
      </c>
      <c r="G1249" s="4">
        <v>0.713541666666667</v>
      </c>
      <c r="H1249" s="4" t="s">
        <v>4345</v>
      </c>
      <c r="I1249" s="4" t="s">
        <v>4142</v>
      </c>
      <c r="J1249" s="4"/>
      <c r="K1249" s="4"/>
      <c r="L1249" s="4" t="s">
        <v>1501</v>
      </c>
      <c r="M1249" s="4"/>
      <c r="N1249" s="4"/>
      <c r="O1249" s="4" t="s">
        <v>4345</v>
      </c>
      <c r="P1249" s="4" t="s">
        <v>361</v>
      </c>
      <c r="Q1249" s="4"/>
      <c r="R1249" s="4"/>
      <c r="S1249" s="4"/>
      <c r="T1249" s="4" t="s">
        <v>361</v>
      </c>
      <c r="U1249" s="4">
        <v>2.0</v>
      </c>
      <c r="V1249" s="4"/>
      <c r="W1249" s="4"/>
      <c r="X1249" s="4"/>
      <c r="Y1249" s="4"/>
      <c r="Z1249" s="4"/>
      <c r="AA1249" s="4"/>
    </row>
    <row r="1250">
      <c r="A1250" s="4" t="s">
        <v>8745</v>
      </c>
      <c r="B1250" s="4" t="s">
        <v>22</v>
      </c>
      <c r="C1250" s="4" t="s">
        <v>7269</v>
      </c>
      <c r="D1250" s="4">
        <v>44007.0</v>
      </c>
      <c r="E1250" s="4">
        <v>0.713541666666667</v>
      </c>
      <c r="F1250" s="4">
        <v>0.0</v>
      </c>
      <c r="G1250" s="4">
        <v>0.713541666666667</v>
      </c>
      <c r="H1250" s="4"/>
      <c r="I1250" s="4"/>
      <c r="J1250" s="4"/>
      <c r="K1250" s="4"/>
      <c r="L1250" s="4"/>
      <c r="M1250" s="4"/>
      <c r="N1250" s="4"/>
      <c r="O1250" s="4"/>
      <c r="P1250" s="4"/>
      <c r="Q1250" s="4"/>
      <c r="R1250" s="4"/>
      <c r="S1250" s="4"/>
      <c r="T1250" s="4"/>
      <c r="U1250" s="4">
        <v>0.0</v>
      </c>
      <c r="V1250" s="4"/>
      <c r="W1250" s="4"/>
      <c r="X1250" s="4"/>
      <c r="Y1250" s="4"/>
      <c r="Z1250" s="4"/>
      <c r="AA1250" s="4"/>
    </row>
    <row r="1251">
      <c r="A1251" s="4" t="s">
        <v>8746</v>
      </c>
      <c r="B1251" s="4" t="s">
        <v>22</v>
      </c>
      <c r="C1251" s="4" t="s">
        <v>7269</v>
      </c>
      <c r="D1251" s="4">
        <v>44007.0</v>
      </c>
      <c r="E1251" s="4">
        <v>0.713541666666667</v>
      </c>
      <c r="F1251" s="4">
        <v>0.0</v>
      </c>
      <c r="G1251" s="4">
        <v>0.713541666666667</v>
      </c>
      <c r="H1251" s="4"/>
      <c r="I1251" s="4"/>
      <c r="J1251" s="4"/>
      <c r="K1251" s="4"/>
      <c r="L1251" s="4"/>
      <c r="M1251" s="4"/>
      <c r="N1251" s="4"/>
      <c r="O1251" s="4"/>
      <c r="P1251" s="4" t="s">
        <v>1000</v>
      </c>
      <c r="Q1251" s="4"/>
      <c r="R1251" s="4"/>
      <c r="S1251" s="4"/>
      <c r="T1251" s="4"/>
      <c r="U1251" s="4">
        <v>1.0</v>
      </c>
      <c r="V1251" s="4"/>
      <c r="W1251" s="4"/>
      <c r="X1251" s="4"/>
      <c r="Y1251" s="4"/>
      <c r="Z1251" s="4"/>
      <c r="AA1251" s="4"/>
    </row>
    <row r="1252">
      <c r="A1252" s="4" t="s">
        <v>8747</v>
      </c>
      <c r="B1252" s="4" t="s">
        <v>22</v>
      </c>
      <c r="C1252" s="4" t="s">
        <v>7269</v>
      </c>
      <c r="D1252" s="4">
        <v>44007.0</v>
      </c>
      <c r="E1252" s="4">
        <v>0.713541666666667</v>
      </c>
      <c r="F1252" s="4">
        <v>0.0</v>
      </c>
      <c r="G1252" s="4">
        <v>0.713541666666667</v>
      </c>
      <c r="H1252" s="4"/>
      <c r="I1252" s="4"/>
      <c r="J1252" s="4"/>
      <c r="K1252" s="4"/>
      <c r="L1252" s="4"/>
      <c r="M1252" s="4"/>
      <c r="N1252" s="4"/>
      <c r="O1252" s="4"/>
      <c r="P1252" s="4" t="s">
        <v>1349</v>
      </c>
      <c r="Q1252" s="4"/>
      <c r="R1252" s="4"/>
      <c r="S1252" s="4"/>
      <c r="T1252" s="4"/>
      <c r="U1252" s="4">
        <v>1.0</v>
      </c>
      <c r="V1252" s="4"/>
      <c r="W1252" s="4"/>
      <c r="X1252" s="4"/>
      <c r="Y1252" s="4"/>
      <c r="Z1252" s="4"/>
      <c r="AA1252" s="4"/>
    </row>
    <row r="1253">
      <c r="A1253" s="4" t="s">
        <v>8748</v>
      </c>
      <c r="B1253" s="4" t="s">
        <v>22</v>
      </c>
      <c r="C1253" s="4" t="s">
        <v>7269</v>
      </c>
      <c r="D1253" s="4">
        <v>44007.0</v>
      </c>
      <c r="E1253" s="4">
        <v>0.713541666666667</v>
      </c>
      <c r="F1253" s="4">
        <v>0.0</v>
      </c>
      <c r="G1253" s="4">
        <v>0.713541666666667</v>
      </c>
      <c r="H1253" s="4"/>
      <c r="I1253" s="4"/>
      <c r="J1253" s="4" t="s">
        <v>7339</v>
      </c>
      <c r="K1253" s="4"/>
      <c r="L1253" s="4"/>
      <c r="M1253" s="4"/>
      <c r="N1253" s="4"/>
      <c r="O1253" s="4"/>
      <c r="P1253" s="4" t="s">
        <v>7625</v>
      </c>
      <c r="Q1253" s="4"/>
      <c r="R1253" s="4"/>
      <c r="S1253" s="4"/>
      <c r="T1253" s="4"/>
      <c r="U1253" s="4">
        <v>1.0</v>
      </c>
      <c r="V1253" s="4"/>
      <c r="W1253" s="4"/>
      <c r="X1253" s="4"/>
      <c r="Y1253" s="4"/>
      <c r="Z1253" s="4"/>
      <c r="AA1253" s="4"/>
    </row>
    <row r="1254">
      <c r="A1254" s="4" t="s">
        <v>8749</v>
      </c>
      <c r="B1254" s="4" t="s">
        <v>22</v>
      </c>
      <c r="C1254" s="4" t="s">
        <v>7269</v>
      </c>
      <c r="D1254" s="4">
        <v>44007.0</v>
      </c>
      <c r="E1254" s="4">
        <v>0.713541666666667</v>
      </c>
      <c r="F1254" s="4">
        <v>0.0</v>
      </c>
      <c r="G1254" s="4">
        <v>0.713541666666667</v>
      </c>
      <c r="H1254" s="4"/>
      <c r="I1254" s="4"/>
      <c r="J1254" s="4"/>
      <c r="K1254" s="4"/>
      <c r="L1254" s="4"/>
      <c r="M1254" s="4"/>
      <c r="N1254" s="4"/>
      <c r="O1254" s="4"/>
      <c r="P1254" s="4" t="s">
        <v>421</v>
      </c>
      <c r="Q1254" s="4"/>
      <c r="R1254" s="4"/>
      <c r="S1254" s="4"/>
      <c r="T1254" s="4"/>
      <c r="U1254" s="4">
        <v>1.0</v>
      </c>
      <c r="V1254" s="4"/>
      <c r="W1254" s="4"/>
      <c r="X1254" s="4"/>
      <c r="Y1254" s="4"/>
      <c r="Z1254" s="4"/>
      <c r="AA1254" s="4"/>
    </row>
    <row r="1255">
      <c r="A1255" s="4" t="s">
        <v>8750</v>
      </c>
      <c r="B1255" s="4" t="s">
        <v>22</v>
      </c>
      <c r="C1255" s="4" t="s">
        <v>7269</v>
      </c>
      <c r="D1255" s="4">
        <v>44007.0</v>
      </c>
      <c r="E1255" s="4">
        <v>0.713541666666667</v>
      </c>
      <c r="F1255" s="4"/>
      <c r="G1255" s="4">
        <v>0.713541666666667</v>
      </c>
      <c r="H1255" s="4"/>
      <c r="I1255" s="4"/>
      <c r="J1255" s="4" t="s">
        <v>7086</v>
      </c>
      <c r="K1255" s="4"/>
      <c r="L1255" s="4"/>
      <c r="M1255" s="4"/>
      <c r="N1255" s="4"/>
      <c r="O1255" s="4"/>
      <c r="P1255" s="4" t="s">
        <v>1379</v>
      </c>
      <c r="Q1255" s="4"/>
      <c r="R1255" s="4"/>
      <c r="S1255" s="4"/>
      <c r="T1255" s="4"/>
      <c r="U1255" s="4">
        <v>1.0</v>
      </c>
      <c r="V1255" s="4"/>
      <c r="W1255" s="4"/>
      <c r="X1255" s="4"/>
      <c r="Y1255" s="4"/>
      <c r="Z1255" s="4"/>
      <c r="AA1255" s="4"/>
    </row>
    <row r="1256">
      <c r="A1256" s="4" t="s">
        <v>8751</v>
      </c>
      <c r="B1256" s="4" t="s">
        <v>22</v>
      </c>
      <c r="C1256" s="4" t="s">
        <v>7269</v>
      </c>
      <c r="D1256" s="4">
        <v>44007.0</v>
      </c>
      <c r="E1256" s="4">
        <v>0.713541666666667</v>
      </c>
      <c r="F1256" s="4"/>
      <c r="G1256" s="4">
        <v>0.713541666666667</v>
      </c>
      <c r="H1256" s="4"/>
      <c r="I1256" s="4"/>
      <c r="J1256" s="4"/>
      <c r="K1256" s="4"/>
      <c r="L1256" s="4"/>
      <c r="M1256" s="4"/>
      <c r="N1256" s="4"/>
      <c r="O1256" s="4"/>
      <c r="P1256" s="4" t="s">
        <v>795</v>
      </c>
      <c r="Q1256" s="4"/>
      <c r="R1256" s="4"/>
      <c r="S1256" s="4"/>
      <c r="T1256" s="4"/>
      <c r="U1256" s="4">
        <v>1.0</v>
      </c>
      <c r="V1256" s="4"/>
      <c r="W1256" s="4"/>
      <c r="X1256" s="4"/>
      <c r="Y1256" s="4"/>
      <c r="Z1256" s="4"/>
      <c r="AA1256" s="4"/>
    </row>
    <row r="1257">
      <c r="A1257" s="4" t="s">
        <v>8752</v>
      </c>
      <c r="B1257" s="4" t="s">
        <v>22</v>
      </c>
      <c r="C1257" s="4" t="s">
        <v>7269</v>
      </c>
      <c r="D1257" s="4">
        <v>44007.0</v>
      </c>
      <c r="E1257" s="4">
        <v>0.713541666666667</v>
      </c>
      <c r="F1257" s="4"/>
      <c r="G1257" s="4">
        <v>0.713541666666667</v>
      </c>
      <c r="H1257" s="4"/>
      <c r="I1257" s="4"/>
      <c r="J1257" s="4" t="s">
        <v>6853</v>
      </c>
      <c r="K1257" s="4"/>
      <c r="L1257" s="4"/>
      <c r="M1257" s="4"/>
      <c r="N1257" s="4"/>
      <c r="O1257" s="4"/>
      <c r="P1257" s="4" t="s">
        <v>614</v>
      </c>
      <c r="Q1257" s="4"/>
      <c r="R1257" s="4"/>
      <c r="S1257" s="4"/>
      <c r="T1257" s="4"/>
      <c r="U1257" s="4">
        <v>1.0</v>
      </c>
      <c r="V1257" s="4"/>
      <c r="W1257" s="4"/>
      <c r="X1257" s="4"/>
      <c r="Y1257" s="4"/>
      <c r="Z1257" s="4"/>
      <c r="AA1257" s="4"/>
    </row>
    <row r="1258">
      <c r="A1258" s="4" t="s">
        <v>8753</v>
      </c>
      <c r="B1258" s="4" t="s">
        <v>22</v>
      </c>
      <c r="C1258" s="4" t="s">
        <v>7269</v>
      </c>
      <c r="D1258" s="4">
        <v>44007.0</v>
      </c>
      <c r="E1258" s="4">
        <v>0.713541666666667</v>
      </c>
      <c r="F1258" s="4"/>
      <c r="G1258" s="4">
        <v>0.713541666666667</v>
      </c>
      <c r="H1258" s="4"/>
      <c r="I1258" s="4"/>
      <c r="J1258" s="4"/>
      <c r="K1258" s="4"/>
      <c r="L1258" s="4"/>
      <c r="M1258" s="4"/>
      <c r="N1258" s="4"/>
      <c r="O1258" s="4"/>
      <c r="P1258" s="4"/>
      <c r="Q1258" s="4"/>
      <c r="R1258" s="4"/>
      <c r="S1258" s="4"/>
      <c r="T1258" s="4"/>
      <c r="U1258" s="4">
        <v>0.0</v>
      </c>
      <c r="V1258" s="4"/>
      <c r="W1258" s="4" t="s">
        <v>7115</v>
      </c>
      <c r="X1258" s="4"/>
      <c r="Y1258" s="4"/>
      <c r="Z1258" s="4"/>
      <c r="AA1258" s="4"/>
    </row>
    <row r="1259">
      <c r="A1259" s="4" t="s">
        <v>8754</v>
      </c>
      <c r="B1259" s="4" t="s">
        <v>22</v>
      </c>
      <c r="C1259" s="4" t="s">
        <v>7269</v>
      </c>
      <c r="D1259" s="4">
        <v>44007.0</v>
      </c>
      <c r="E1259" s="4">
        <v>0.713541666666667</v>
      </c>
      <c r="F1259" s="4"/>
      <c r="G1259" s="4">
        <v>0.713541666666667</v>
      </c>
      <c r="H1259" s="4"/>
      <c r="I1259" s="4"/>
      <c r="J1259" s="4" t="s">
        <v>7339</v>
      </c>
      <c r="K1259" s="4"/>
      <c r="L1259" s="4"/>
      <c r="M1259" s="4"/>
      <c r="N1259" s="4"/>
      <c r="O1259" s="4"/>
      <c r="P1259" s="4" t="s">
        <v>1209</v>
      </c>
      <c r="Q1259" s="4"/>
      <c r="R1259" s="4"/>
      <c r="S1259" s="4"/>
      <c r="T1259" s="4"/>
      <c r="U1259" s="4">
        <v>1.0</v>
      </c>
      <c r="V1259" s="4"/>
      <c r="W1259" s="4"/>
      <c r="X1259" s="4"/>
      <c r="Y1259" s="4"/>
      <c r="Z1259" s="4"/>
      <c r="AA1259" s="4"/>
    </row>
    <row r="1260">
      <c r="A1260" s="4" t="s">
        <v>8755</v>
      </c>
      <c r="B1260" s="4" t="s">
        <v>22</v>
      </c>
      <c r="C1260" s="4" t="s">
        <v>7269</v>
      </c>
      <c r="D1260" s="4">
        <v>44007.0</v>
      </c>
      <c r="E1260" s="4">
        <v>0.713541666666667</v>
      </c>
      <c r="F1260" s="4"/>
      <c r="G1260" s="4">
        <v>0.713541666666667</v>
      </c>
      <c r="H1260" s="4"/>
      <c r="I1260" s="4"/>
      <c r="J1260" s="4" t="s">
        <v>6870</v>
      </c>
      <c r="K1260" s="4"/>
      <c r="L1260" s="4"/>
      <c r="M1260" s="4"/>
      <c r="N1260" s="4"/>
      <c r="O1260" s="4"/>
      <c r="P1260" s="4" t="s">
        <v>437</v>
      </c>
      <c r="Q1260" s="4"/>
      <c r="R1260" s="4"/>
      <c r="S1260" s="4"/>
      <c r="T1260" s="4"/>
      <c r="U1260" s="4">
        <v>1.0</v>
      </c>
      <c r="V1260" s="4"/>
      <c r="W1260" s="4" t="s">
        <v>7115</v>
      </c>
      <c r="X1260" s="4"/>
      <c r="Y1260" s="4"/>
      <c r="Z1260" s="4"/>
      <c r="AA1260" s="4"/>
    </row>
    <row r="1261">
      <c r="A1261" s="4" t="s">
        <v>8756</v>
      </c>
      <c r="B1261" s="4" t="s">
        <v>22</v>
      </c>
      <c r="C1261" s="4" t="s">
        <v>7269</v>
      </c>
      <c r="D1261" s="4">
        <v>44007.0</v>
      </c>
      <c r="E1261" s="4">
        <v>0.713541666666667</v>
      </c>
      <c r="F1261" s="4"/>
      <c r="G1261" s="4">
        <v>0.713541666666667</v>
      </c>
      <c r="H1261" s="4"/>
      <c r="I1261" s="4"/>
      <c r="J1261" s="4"/>
      <c r="K1261" s="4"/>
      <c r="L1261" s="4"/>
      <c r="M1261" s="4"/>
      <c r="N1261" s="4"/>
      <c r="O1261" s="4"/>
      <c r="P1261" s="4" t="s">
        <v>377</v>
      </c>
      <c r="Q1261" s="4"/>
      <c r="R1261" s="4"/>
      <c r="S1261" s="4"/>
      <c r="T1261" s="4"/>
      <c r="U1261" s="4">
        <v>1.0</v>
      </c>
      <c r="V1261" s="4"/>
      <c r="W1261" s="4"/>
      <c r="X1261" s="4"/>
      <c r="Y1261" s="4"/>
      <c r="Z1261" s="4"/>
      <c r="AA1261" s="4"/>
    </row>
    <row r="1262">
      <c r="A1262" s="4" t="s">
        <v>8757</v>
      </c>
      <c r="B1262" s="4" t="s">
        <v>22</v>
      </c>
      <c r="C1262" s="4" t="s">
        <v>7269</v>
      </c>
      <c r="D1262" s="4">
        <v>44007.0</v>
      </c>
      <c r="E1262" s="4">
        <v>0.713541666666667</v>
      </c>
      <c r="F1262" s="4"/>
      <c r="G1262" s="4">
        <v>0.713541666666667</v>
      </c>
      <c r="H1262" s="4"/>
      <c r="I1262" s="4"/>
      <c r="J1262" s="4"/>
      <c r="K1262" s="4"/>
      <c r="L1262" s="4"/>
      <c r="M1262" s="4"/>
      <c r="N1262" s="4"/>
      <c r="O1262" s="4"/>
      <c r="P1262" s="4"/>
      <c r="Q1262" s="4"/>
      <c r="R1262" s="4"/>
      <c r="S1262" s="4"/>
      <c r="T1262" s="4"/>
      <c r="U1262" s="4">
        <v>0.0</v>
      </c>
      <c r="V1262" s="4"/>
      <c r="W1262" s="4"/>
      <c r="X1262" s="4"/>
      <c r="Y1262" s="4"/>
      <c r="Z1262" s="4"/>
      <c r="AA1262" s="4"/>
    </row>
    <row r="1263">
      <c r="A1263" s="4" t="s">
        <v>8758</v>
      </c>
      <c r="B1263" s="4" t="s">
        <v>22</v>
      </c>
      <c r="C1263" s="4" t="s">
        <v>7269</v>
      </c>
      <c r="D1263" s="4">
        <v>44007.0</v>
      </c>
      <c r="E1263" s="4">
        <v>0.713541666666667</v>
      </c>
      <c r="F1263" s="4"/>
      <c r="G1263" s="4">
        <v>0.713541666666667</v>
      </c>
      <c r="H1263" s="4"/>
      <c r="I1263" s="4"/>
      <c r="J1263" s="4"/>
      <c r="K1263" s="4"/>
      <c r="L1263" s="4"/>
      <c r="M1263" s="4"/>
      <c r="N1263" s="4"/>
      <c r="O1263" s="4"/>
      <c r="P1263" s="4" t="s">
        <v>1312</v>
      </c>
      <c r="Q1263" s="4"/>
      <c r="R1263" s="4"/>
      <c r="S1263" s="4"/>
      <c r="T1263" s="4"/>
      <c r="U1263" s="4">
        <v>1.0</v>
      </c>
      <c r="V1263" s="4"/>
      <c r="W1263" s="4"/>
      <c r="X1263" s="4"/>
      <c r="Y1263" s="4"/>
      <c r="Z1263" s="4"/>
      <c r="AA1263" s="4"/>
    </row>
    <row r="1264">
      <c r="A1264" s="4" t="s">
        <v>8759</v>
      </c>
      <c r="B1264" s="4" t="s">
        <v>22</v>
      </c>
      <c r="C1264" s="4" t="s">
        <v>7269</v>
      </c>
      <c r="D1264" s="4">
        <v>44007.0</v>
      </c>
      <c r="E1264" s="4">
        <v>0.713541666666667</v>
      </c>
      <c r="F1264" s="4"/>
      <c r="G1264" s="4">
        <v>0.713541666666667</v>
      </c>
      <c r="H1264" s="4"/>
      <c r="I1264" s="4"/>
      <c r="J1264" s="4"/>
      <c r="K1264" s="4"/>
      <c r="L1264" s="4"/>
      <c r="M1264" s="4"/>
      <c r="N1264" s="4"/>
      <c r="O1264" s="4"/>
      <c r="P1264" s="4" t="s">
        <v>236</v>
      </c>
      <c r="Q1264" s="4"/>
      <c r="R1264" s="4"/>
      <c r="S1264" s="4"/>
      <c r="T1264" s="4"/>
      <c r="U1264" s="4">
        <v>1.0</v>
      </c>
      <c r="V1264" s="4"/>
      <c r="W1264" s="4"/>
      <c r="X1264" s="4"/>
      <c r="Y1264" s="4"/>
      <c r="Z1264" s="4"/>
      <c r="AA1264" s="4"/>
    </row>
    <row r="1265">
      <c r="A1265" s="4" t="s">
        <v>8760</v>
      </c>
      <c r="B1265" s="4" t="s">
        <v>22</v>
      </c>
      <c r="C1265" s="4" t="s">
        <v>7269</v>
      </c>
      <c r="D1265" s="4">
        <v>44007.0</v>
      </c>
      <c r="E1265" s="4">
        <v>0.713541666666667</v>
      </c>
      <c r="F1265" s="4"/>
      <c r="G1265" s="4">
        <v>0.713541666666667</v>
      </c>
      <c r="H1265" s="4"/>
      <c r="I1265" s="4"/>
      <c r="J1265" s="4" t="s">
        <v>6853</v>
      </c>
      <c r="K1265" s="4"/>
      <c r="L1265" s="4"/>
      <c r="M1265" s="4"/>
      <c r="N1265" s="4"/>
      <c r="O1265" s="4"/>
      <c r="P1265" s="4"/>
      <c r="Q1265" s="4"/>
      <c r="R1265" s="4"/>
      <c r="S1265" s="4"/>
      <c r="T1265" s="4"/>
      <c r="U1265" s="4">
        <v>0.0</v>
      </c>
      <c r="V1265" s="4"/>
      <c r="W1265" s="4"/>
      <c r="X1265" s="4"/>
      <c r="Y1265" s="4"/>
      <c r="Z1265" s="4"/>
      <c r="AA1265" s="4"/>
    </row>
    <row r="1266">
      <c r="A1266" s="4" t="s">
        <v>8761</v>
      </c>
      <c r="B1266" s="4" t="s">
        <v>22</v>
      </c>
      <c r="C1266" s="4" t="s">
        <v>7269</v>
      </c>
      <c r="D1266" s="4">
        <v>44007.0</v>
      </c>
      <c r="E1266" s="4">
        <v>0.713541666666667</v>
      </c>
      <c r="F1266" s="4"/>
      <c r="G1266" s="4">
        <v>0.713541666666667</v>
      </c>
      <c r="H1266" s="4"/>
      <c r="I1266" s="4"/>
      <c r="J1266" s="4"/>
      <c r="K1266" s="4"/>
      <c r="L1266" s="4"/>
      <c r="M1266" s="4"/>
      <c r="N1266" s="4"/>
      <c r="O1266" s="4"/>
      <c r="P1266" s="4" t="s">
        <v>1476</v>
      </c>
      <c r="Q1266" s="4"/>
      <c r="R1266" s="4"/>
      <c r="S1266" s="4"/>
      <c r="T1266" s="4"/>
      <c r="U1266" s="4">
        <v>1.0</v>
      </c>
      <c r="V1266" s="4"/>
      <c r="W1266" s="4"/>
      <c r="X1266" s="4"/>
      <c r="Y1266" s="4"/>
      <c r="Z1266" s="4"/>
      <c r="AA1266" s="4"/>
    </row>
    <row r="1267">
      <c r="A1267" s="4" t="s">
        <v>8762</v>
      </c>
      <c r="B1267" s="4"/>
      <c r="C1267" s="4"/>
      <c r="D1267" s="4"/>
      <c r="E1267" s="4"/>
      <c r="F1267" s="4"/>
      <c r="G1267" s="4"/>
      <c r="H1267" s="4"/>
      <c r="I1267" s="4"/>
      <c r="J1267" s="4"/>
      <c r="K1267" s="4"/>
      <c r="L1267" s="4"/>
      <c r="M1267" s="4"/>
      <c r="N1267" s="4"/>
      <c r="O1267" s="4"/>
      <c r="P1267" s="4"/>
      <c r="Q1267" s="4"/>
      <c r="R1267" s="4"/>
      <c r="S1267" s="4"/>
      <c r="T1267" s="4"/>
      <c r="U1267" s="4">
        <v>0.0</v>
      </c>
      <c r="V1267" s="4"/>
      <c r="W1267" s="4"/>
      <c r="X1267" s="4"/>
      <c r="Y1267" s="4"/>
      <c r="Z1267" s="4"/>
      <c r="AA1267" s="4"/>
    </row>
    <row r="1268">
      <c r="A1268" s="4" t="s">
        <v>8763</v>
      </c>
      <c r="B1268" s="4" t="s">
        <v>1667</v>
      </c>
      <c r="C1268" s="4"/>
      <c r="D1268" s="4"/>
      <c r="E1268" s="4"/>
      <c r="F1268" s="4"/>
      <c r="G1268" s="4"/>
      <c r="H1268" s="4"/>
      <c r="I1268" s="4"/>
      <c r="J1268" s="4" t="s">
        <v>15</v>
      </c>
      <c r="K1268" s="4"/>
      <c r="L1268" s="4"/>
      <c r="M1268" s="4"/>
      <c r="N1268" s="4"/>
      <c r="O1268" s="4" t="s">
        <v>4345</v>
      </c>
      <c r="P1268" s="4" t="s">
        <v>503</v>
      </c>
      <c r="Q1268" s="4"/>
      <c r="R1268" s="4"/>
      <c r="S1268" s="4"/>
      <c r="T1268" s="4"/>
      <c r="U1268" s="4">
        <v>1.0</v>
      </c>
      <c r="V1268" s="4"/>
      <c r="W1268" s="4"/>
      <c r="X1268" s="4"/>
      <c r="Y1268" s="4"/>
      <c r="Z1268" s="4"/>
      <c r="AA1268" s="4"/>
    </row>
    <row r="1269">
      <c r="A1269" s="4" t="s">
        <v>8764</v>
      </c>
      <c r="B1269" s="4" t="s">
        <v>65</v>
      </c>
      <c r="C1269" s="4"/>
      <c r="D1269" s="4"/>
      <c r="E1269" s="4"/>
      <c r="F1269" s="4"/>
      <c r="G1269" s="4"/>
      <c r="H1269" s="4"/>
      <c r="I1269" s="4"/>
      <c r="J1269" s="4"/>
      <c r="K1269" s="4"/>
      <c r="L1269" s="4"/>
      <c r="M1269" s="4"/>
      <c r="N1269" s="4"/>
      <c r="O1269" s="4"/>
      <c r="P1269" s="4"/>
      <c r="Q1269" s="4"/>
      <c r="R1269" s="4"/>
      <c r="S1269" s="4"/>
      <c r="T1269" s="4"/>
      <c r="U1269" s="4">
        <v>0.0</v>
      </c>
      <c r="V1269" s="4"/>
      <c r="W1269" s="4"/>
      <c r="X1269" s="4"/>
      <c r="Y1269" s="4"/>
      <c r="Z1269" s="4"/>
      <c r="AA1269" s="4"/>
    </row>
    <row r="1270">
      <c r="A1270" s="4" t="s">
        <v>8765</v>
      </c>
      <c r="B1270" s="4" t="s">
        <v>785</v>
      </c>
      <c r="C1270" s="4" t="s">
        <v>6838</v>
      </c>
      <c r="D1270" s="4">
        <v>44005.0</v>
      </c>
      <c r="E1270" s="4"/>
      <c r="F1270" s="4">
        <v>0.010416666666666666</v>
      </c>
      <c r="G1270" s="4">
        <v>0.010416666666666666</v>
      </c>
      <c r="H1270" s="4" t="s">
        <v>1362</v>
      </c>
      <c r="I1270" s="4"/>
      <c r="J1270" s="4" t="s">
        <v>6938</v>
      </c>
      <c r="K1270" s="4" t="s">
        <v>140</v>
      </c>
      <c r="L1270" s="4" t="s">
        <v>107</v>
      </c>
      <c r="M1270" s="4" t="s">
        <v>6918</v>
      </c>
      <c r="N1270" s="4" t="s">
        <v>6858</v>
      </c>
      <c r="O1270" s="4" t="s">
        <v>8766</v>
      </c>
      <c r="P1270" s="4" t="s">
        <v>1672</v>
      </c>
      <c r="Q1270" s="4" t="s">
        <v>1673</v>
      </c>
      <c r="R1270" s="4"/>
      <c r="S1270" s="4"/>
      <c r="T1270" s="4" t="s">
        <v>1674</v>
      </c>
      <c r="U1270" s="4">
        <v>3.0</v>
      </c>
      <c r="V1270" s="4" t="s">
        <v>8767</v>
      </c>
      <c r="W1270" s="4" t="s">
        <v>6860</v>
      </c>
      <c r="X1270" s="4"/>
      <c r="Y1270" s="4"/>
      <c r="Z1270" s="4"/>
      <c r="AA1270" s="4"/>
    </row>
    <row r="1271">
      <c r="A1271" s="4" t="s">
        <v>8768</v>
      </c>
      <c r="B1271" s="4" t="s">
        <v>785</v>
      </c>
      <c r="C1271" s="4" t="s">
        <v>6838</v>
      </c>
      <c r="D1271" s="4">
        <v>44005.0</v>
      </c>
      <c r="E1271" s="4"/>
      <c r="F1271" s="4">
        <v>0.006944444444444444</v>
      </c>
      <c r="G1271" s="4">
        <v>0.006944444444444444</v>
      </c>
      <c r="H1271" s="4" t="s">
        <v>847</v>
      </c>
      <c r="I1271" s="4" t="s">
        <v>6947</v>
      </c>
      <c r="J1271" s="4" t="s">
        <v>6948</v>
      </c>
      <c r="K1271" s="4" t="s">
        <v>481</v>
      </c>
      <c r="L1271" s="4" t="s">
        <v>74</v>
      </c>
      <c r="M1271" s="4" t="s">
        <v>7610</v>
      </c>
      <c r="N1271" s="4" t="s">
        <v>7475</v>
      </c>
      <c r="O1271" s="4" t="s">
        <v>1480</v>
      </c>
      <c r="P1271" s="4" t="s">
        <v>1481</v>
      </c>
      <c r="Q1271" s="4" t="s">
        <v>1482</v>
      </c>
      <c r="R1271" s="4" t="s">
        <v>1483</v>
      </c>
      <c r="S1271" s="4"/>
      <c r="T1271" s="4" t="s">
        <v>1484</v>
      </c>
      <c r="U1271" s="4">
        <v>4.0</v>
      </c>
      <c r="V1271" s="4" t="s">
        <v>8769</v>
      </c>
      <c r="W1271" s="4" t="s">
        <v>7284</v>
      </c>
      <c r="X1271" s="4" t="s">
        <v>8770</v>
      </c>
      <c r="Y1271" s="4" t="s">
        <v>8771</v>
      </c>
      <c r="Z1271" s="4" t="s">
        <v>847</v>
      </c>
      <c r="AA1271" s="4"/>
    </row>
    <row r="1272">
      <c r="A1272" s="4" t="s">
        <v>8772</v>
      </c>
      <c r="B1272" s="4" t="s">
        <v>785</v>
      </c>
      <c r="C1272" s="4" t="s">
        <v>6838</v>
      </c>
      <c r="D1272" s="4">
        <v>44005.0</v>
      </c>
      <c r="E1272" s="4"/>
      <c r="F1272" s="4">
        <v>0.010416666666666666</v>
      </c>
      <c r="G1272" s="4">
        <v>0.010416666666666666</v>
      </c>
      <c r="H1272" s="4" t="s">
        <v>803</v>
      </c>
      <c r="I1272" s="4" t="s">
        <v>6960</v>
      </c>
      <c r="J1272" s="4" t="s">
        <v>15</v>
      </c>
      <c r="K1272" s="4" t="s">
        <v>151</v>
      </c>
      <c r="L1272" s="4" t="s">
        <v>74</v>
      </c>
      <c r="M1272" s="4" t="s">
        <v>7505</v>
      </c>
      <c r="N1272" s="4" t="s">
        <v>6720</v>
      </c>
      <c r="O1272" s="4" t="s">
        <v>374</v>
      </c>
      <c r="P1272" s="4" t="s">
        <v>375</v>
      </c>
      <c r="Q1272" s="4" t="s">
        <v>376</v>
      </c>
      <c r="R1272" s="4" t="s">
        <v>377</v>
      </c>
      <c r="S1272" s="4"/>
      <c r="T1272" s="4" t="s">
        <v>8773</v>
      </c>
      <c r="U1272" s="4">
        <v>4.0</v>
      </c>
      <c r="V1272" s="4" t="s">
        <v>8774</v>
      </c>
      <c r="W1272" s="4" t="s">
        <v>7197</v>
      </c>
      <c r="X1272" s="4" t="s">
        <v>8775</v>
      </c>
      <c r="Y1272" s="4"/>
      <c r="Z1272" s="4" t="s">
        <v>803</v>
      </c>
      <c r="AA1272" s="4"/>
    </row>
    <row r="1273">
      <c r="A1273" s="4" t="s">
        <v>8776</v>
      </c>
      <c r="B1273" s="4" t="s">
        <v>785</v>
      </c>
      <c r="C1273" s="4" t="s">
        <v>6838</v>
      </c>
      <c r="D1273" s="4">
        <v>44005.0</v>
      </c>
      <c r="E1273" s="4"/>
      <c r="F1273" s="4">
        <v>0.002777777777777778</v>
      </c>
      <c r="G1273" s="4">
        <v>0.002777777777777778</v>
      </c>
      <c r="H1273" s="4" t="s">
        <v>1185</v>
      </c>
      <c r="I1273" s="4"/>
      <c r="J1273" s="4" t="s">
        <v>6948</v>
      </c>
      <c r="K1273" s="4" t="s">
        <v>924</v>
      </c>
      <c r="L1273" s="4" t="s">
        <v>165</v>
      </c>
      <c r="M1273" s="4" t="s">
        <v>6918</v>
      </c>
      <c r="N1273" s="4"/>
      <c r="O1273" s="4" t="s">
        <v>8777</v>
      </c>
      <c r="P1273" s="4" t="s">
        <v>8778</v>
      </c>
      <c r="Q1273" s="4"/>
      <c r="R1273" s="4"/>
      <c r="S1273" s="4"/>
      <c r="T1273" s="4"/>
      <c r="U1273" s="4">
        <v>1.0</v>
      </c>
      <c r="V1273" s="4"/>
      <c r="W1273" s="4"/>
      <c r="X1273" s="4"/>
      <c r="Y1273" s="4"/>
      <c r="Z1273" s="4"/>
      <c r="AA1273" s="4"/>
    </row>
    <row r="1274">
      <c r="A1274" s="4" t="s">
        <v>8779</v>
      </c>
      <c r="B1274" s="4" t="s">
        <v>785</v>
      </c>
      <c r="C1274" s="4" t="s">
        <v>6838</v>
      </c>
      <c r="D1274" s="4">
        <v>44005.0</v>
      </c>
      <c r="E1274" s="4"/>
      <c r="F1274" s="4"/>
      <c r="G1274" s="4">
        <v>0.0</v>
      </c>
      <c r="H1274" s="4" t="s">
        <v>1253</v>
      </c>
      <c r="I1274" s="4" t="s">
        <v>17</v>
      </c>
      <c r="J1274" s="4" t="s">
        <v>6938</v>
      </c>
      <c r="K1274" s="4" t="s">
        <v>106</v>
      </c>
      <c r="L1274" s="4" t="s">
        <v>74</v>
      </c>
      <c r="M1274" s="4" t="s">
        <v>7462</v>
      </c>
      <c r="N1274" s="4" t="s">
        <v>6749</v>
      </c>
      <c r="O1274" s="4" t="s">
        <v>1599</v>
      </c>
      <c r="P1274" s="4" t="s">
        <v>1602</v>
      </c>
      <c r="Q1274" s="4" t="s">
        <v>1601</v>
      </c>
      <c r="R1274" s="4" t="s">
        <v>8780</v>
      </c>
      <c r="S1274" s="4"/>
      <c r="T1274" s="4" t="s">
        <v>1603</v>
      </c>
      <c r="U1274" s="4">
        <v>4.0</v>
      </c>
      <c r="V1274" s="4" t="s">
        <v>8781</v>
      </c>
      <c r="W1274" s="4" t="s">
        <v>6855</v>
      </c>
      <c r="X1274" s="4"/>
      <c r="Y1274" s="4"/>
      <c r="Z1274" s="4" t="s">
        <v>1253</v>
      </c>
      <c r="AA1274" s="4"/>
    </row>
    <row r="1275">
      <c r="A1275" s="4" t="s">
        <v>8782</v>
      </c>
      <c r="B1275" s="4" t="s">
        <v>785</v>
      </c>
      <c r="C1275" s="4" t="s">
        <v>6838</v>
      </c>
      <c r="D1275" s="4">
        <v>44005.0</v>
      </c>
      <c r="E1275" s="4"/>
      <c r="F1275" s="4">
        <v>0.010416666666666666</v>
      </c>
      <c r="G1275" s="4">
        <v>0.010416666666666666</v>
      </c>
      <c r="H1275" s="4" t="s">
        <v>1631</v>
      </c>
      <c r="I1275" s="4"/>
      <c r="J1275" s="4" t="s">
        <v>7290</v>
      </c>
      <c r="K1275" s="4" t="s">
        <v>151</v>
      </c>
      <c r="L1275" s="4" t="s">
        <v>107</v>
      </c>
      <c r="M1275" s="4"/>
      <c r="N1275" s="4" t="s">
        <v>6755</v>
      </c>
      <c r="O1275" s="4" t="s">
        <v>8783</v>
      </c>
      <c r="P1275" s="4" t="s">
        <v>1720</v>
      </c>
      <c r="Q1275" s="4" t="s">
        <v>361</v>
      </c>
      <c r="R1275" s="4"/>
      <c r="S1275" s="4"/>
      <c r="T1275" s="4"/>
      <c r="U1275" s="4">
        <v>2.0</v>
      </c>
      <c r="V1275" s="4"/>
      <c r="W1275" s="4"/>
      <c r="X1275" s="4"/>
      <c r="Y1275" s="4"/>
      <c r="Z1275" s="4"/>
      <c r="AA1275" s="4"/>
    </row>
    <row r="1276">
      <c r="A1276" s="4" t="s">
        <v>8784</v>
      </c>
      <c r="B1276" s="4" t="s">
        <v>785</v>
      </c>
      <c r="C1276" s="4" t="s">
        <v>6838</v>
      </c>
      <c r="D1276" s="4">
        <v>44005.0</v>
      </c>
      <c r="E1276" s="4"/>
      <c r="F1276" s="4">
        <v>0.006944444444444444</v>
      </c>
      <c r="G1276" s="4">
        <v>0.006944444444444444</v>
      </c>
      <c r="H1276" s="4"/>
      <c r="I1276" s="4"/>
      <c r="J1276" s="4" t="s">
        <v>15</v>
      </c>
      <c r="K1276" s="4"/>
      <c r="L1276" s="4"/>
      <c r="M1276" s="4"/>
      <c r="N1276" s="4"/>
      <c r="O1276" s="4" t="s">
        <v>4345</v>
      </c>
      <c r="P1276" s="4" t="s">
        <v>503</v>
      </c>
      <c r="Q1276" s="4"/>
      <c r="R1276" s="4"/>
      <c r="S1276" s="4"/>
      <c r="T1276" s="4"/>
      <c r="U1276" s="4">
        <v>1.0</v>
      </c>
      <c r="V1276" s="4"/>
      <c r="W1276" s="4"/>
      <c r="X1276" s="4"/>
      <c r="Y1276" s="4"/>
      <c r="Z1276" s="4"/>
      <c r="AA1276" s="4"/>
    </row>
    <row r="1277">
      <c r="A1277" s="4" t="s">
        <v>8785</v>
      </c>
      <c r="B1277" s="4" t="s">
        <v>785</v>
      </c>
      <c r="C1277" s="4" t="s">
        <v>6838</v>
      </c>
      <c r="D1277" s="4">
        <v>44005.0</v>
      </c>
      <c r="E1277" s="4"/>
      <c r="F1277" s="4">
        <v>0.008333333333333333</v>
      </c>
      <c r="G1277" s="4">
        <v>0.008333333333333333</v>
      </c>
      <c r="H1277" s="4" t="s">
        <v>873</v>
      </c>
      <c r="I1277" s="4" t="s">
        <v>6947</v>
      </c>
      <c r="J1277" s="4" t="s">
        <v>6948</v>
      </c>
      <c r="K1277" s="4" t="s">
        <v>245</v>
      </c>
      <c r="L1277" s="4" t="s">
        <v>107</v>
      </c>
      <c r="M1277" s="4" t="s">
        <v>7462</v>
      </c>
      <c r="N1277" s="4" t="s">
        <v>7195</v>
      </c>
      <c r="O1277" s="4" t="s">
        <v>1408</v>
      </c>
      <c r="P1277" s="4" t="s">
        <v>1410</v>
      </c>
      <c r="Q1277" s="4" t="s">
        <v>1411</v>
      </c>
      <c r="R1277" s="4"/>
      <c r="S1277" s="4"/>
      <c r="T1277" s="4" t="s">
        <v>8786</v>
      </c>
      <c r="U1277" s="4">
        <v>3.0</v>
      </c>
      <c r="V1277" s="4"/>
      <c r="W1277" s="4" t="s">
        <v>7197</v>
      </c>
      <c r="X1277" s="4" t="s">
        <v>8787</v>
      </c>
      <c r="Y1277" s="4" t="s">
        <v>8788</v>
      </c>
      <c r="Z1277" s="4" t="s">
        <v>873</v>
      </c>
      <c r="AA1277" s="4"/>
    </row>
    <row r="1278">
      <c r="A1278" s="4" t="s">
        <v>8789</v>
      </c>
      <c r="B1278" s="4" t="s">
        <v>785</v>
      </c>
      <c r="C1278" s="4" t="s">
        <v>6838</v>
      </c>
      <c r="D1278" s="4">
        <v>44005.0</v>
      </c>
      <c r="E1278" s="4"/>
      <c r="F1278" s="4">
        <v>0.006944444444444444</v>
      </c>
      <c r="G1278" s="4">
        <v>0.006944444444444444</v>
      </c>
      <c r="H1278" s="4" t="s">
        <v>803</v>
      </c>
      <c r="I1278" s="4" t="s">
        <v>6960</v>
      </c>
      <c r="J1278" s="4" t="s">
        <v>15</v>
      </c>
      <c r="K1278" s="4" t="s">
        <v>481</v>
      </c>
      <c r="L1278" s="4" t="s">
        <v>107</v>
      </c>
      <c r="M1278" s="4"/>
      <c r="N1278" s="4" t="s">
        <v>6858</v>
      </c>
      <c r="O1278" s="4" t="s">
        <v>1201</v>
      </c>
      <c r="P1278" s="4" t="s">
        <v>1202</v>
      </c>
      <c r="Q1278" s="4" t="s">
        <v>1203</v>
      </c>
      <c r="R1278" s="4"/>
      <c r="S1278" s="4"/>
      <c r="T1278" s="4" t="s">
        <v>361</v>
      </c>
      <c r="U1278" s="4">
        <v>3.0</v>
      </c>
      <c r="V1278" s="4" t="s">
        <v>8790</v>
      </c>
      <c r="W1278" s="4" t="s">
        <v>6872</v>
      </c>
      <c r="X1278" s="4">
        <v>43958.666666666664</v>
      </c>
      <c r="Y1278" s="4" t="s">
        <v>8791</v>
      </c>
      <c r="Z1278" s="4" t="s">
        <v>803</v>
      </c>
      <c r="AA1278" s="4"/>
    </row>
    <row r="1279">
      <c r="A1279" s="4" t="s">
        <v>8792</v>
      </c>
      <c r="B1279" s="4" t="s">
        <v>785</v>
      </c>
      <c r="C1279" s="4" t="s">
        <v>6838</v>
      </c>
      <c r="D1279" s="4">
        <v>44005.0</v>
      </c>
      <c r="E1279" s="4"/>
      <c r="F1279" s="4">
        <v>0.010416666666666666</v>
      </c>
      <c r="G1279" s="4">
        <v>0.010416666666666666</v>
      </c>
      <c r="H1279" s="4" t="s">
        <v>1631</v>
      </c>
      <c r="I1279" s="4" t="s">
        <v>6960</v>
      </c>
      <c r="J1279" s="4" t="s">
        <v>7059</v>
      </c>
      <c r="K1279" s="4" t="s">
        <v>481</v>
      </c>
      <c r="L1279" s="4" t="s">
        <v>107</v>
      </c>
      <c r="M1279" s="4" t="s">
        <v>7462</v>
      </c>
      <c r="N1279" s="4" t="s">
        <v>6749</v>
      </c>
      <c r="O1279" s="4" t="s">
        <v>4454</v>
      </c>
      <c r="P1279" s="4" t="s">
        <v>1682</v>
      </c>
      <c r="Q1279" s="4" t="s">
        <v>1684</v>
      </c>
      <c r="R1279" s="4"/>
      <c r="S1279" s="4"/>
      <c r="T1279" s="4" t="s">
        <v>1425</v>
      </c>
      <c r="U1279" s="4">
        <v>3.0</v>
      </c>
      <c r="V1279" s="4"/>
      <c r="W1279" s="4" t="s">
        <v>7115</v>
      </c>
      <c r="X1279" s="4"/>
      <c r="Y1279" s="4"/>
      <c r="Z1279" s="4"/>
      <c r="AA1279" s="4"/>
    </row>
    <row r="1280">
      <c r="A1280" s="4" t="s">
        <v>8793</v>
      </c>
      <c r="B1280" s="4" t="s">
        <v>785</v>
      </c>
      <c r="C1280" s="4" t="s">
        <v>6838</v>
      </c>
      <c r="D1280" s="4">
        <v>44005.0</v>
      </c>
      <c r="E1280" s="4"/>
      <c r="F1280" s="4">
        <v>0.010416666666666666</v>
      </c>
      <c r="G1280" s="4">
        <v>0.010416666666666666</v>
      </c>
      <c r="H1280" s="4" t="s">
        <v>803</v>
      </c>
      <c r="I1280" s="4" t="s">
        <v>6947</v>
      </c>
      <c r="J1280" s="4" t="s">
        <v>15</v>
      </c>
      <c r="K1280" s="4" t="s">
        <v>368</v>
      </c>
      <c r="L1280" s="4" t="s">
        <v>74</v>
      </c>
      <c r="M1280" s="4"/>
      <c r="N1280" s="4" t="s">
        <v>6749</v>
      </c>
      <c r="O1280" s="4" t="s">
        <v>1298</v>
      </c>
      <c r="P1280" s="4" t="s">
        <v>1299</v>
      </c>
      <c r="Q1280" s="4" t="s">
        <v>1300</v>
      </c>
      <c r="R1280" s="4"/>
      <c r="S1280" s="4"/>
      <c r="T1280" s="4" t="s">
        <v>8794</v>
      </c>
      <c r="U1280" s="4">
        <v>3.0</v>
      </c>
      <c r="V1280" s="4" t="s">
        <v>8795</v>
      </c>
      <c r="W1280" s="4" t="s">
        <v>6872</v>
      </c>
      <c r="X1280" s="4"/>
      <c r="Y1280" s="4"/>
      <c r="Z1280" s="4" t="s">
        <v>803</v>
      </c>
      <c r="AA1280" s="4"/>
    </row>
    <row r="1281">
      <c r="A1281" s="4" t="s">
        <v>8796</v>
      </c>
      <c r="B1281" s="4" t="s">
        <v>785</v>
      </c>
      <c r="C1281" s="4" t="s">
        <v>6838</v>
      </c>
      <c r="D1281" s="4">
        <v>44005.0</v>
      </c>
      <c r="E1281" s="4"/>
      <c r="F1281" s="4">
        <v>0.010416666666666666</v>
      </c>
      <c r="G1281" s="4">
        <v>0.010416666666666666</v>
      </c>
      <c r="H1281" s="4" t="s">
        <v>1631</v>
      </c>
      <c r="I1281" s="4" t="s">
        <v>4142</v>
      </c>
      <c r="J1281" s="4" t="s">
        <v>7059</v>
      </c>
      <c r="K1281" s="4" t="s">
        <v>358</v>
      </c>
      <c r="L1281" s="4" t="s">
        <v>74</v>
      </c>
      <c r="M1281" s="4" t="s">
        <v>7505</v>
      </c>
      <c r="N1281" s="4" t="s">
        <v>6858</v>
      </c>
      <c r="O1281" s="4" t="s">
        <v>8797</v>
      </c>
      <c r="P1281" s="4" t="s">
        <v>8798</v>
      </c>
      <c r="Q1281" s="4" t="s">
        <v>8799</v>
      </c>
      <c r="R1281" s="4" t="s">
        <v>361</v>
      </c>
      <c r="S1281" s="4"/>
      <c r="T1281" s="4" t="s">
        <v>253</v>
      </c>
      <c r="U1281" s="4">
        <v>4.0</v>
      </c>
      <c r="V1281" s="4" t="s">
        <v>8800</v>
      </c>
      <c r="W1281" s="4" t="s">
        <v>7115</v>
      </c>
      <c r="X1281" s="4"/>
      <c r="Y1281" s="4"/>
      <c r="Z1281" s="4"/>
      <c r="AA1281" s="4"/>
    </row>
    <row r="1282">
      <c r="A1282" s="4" t="s">
        <v>8801</v>
      </c>
      <c r="B1282" s="4" t="s">
        <v>785</v>
      </c>
      <c r="C1282" s="4" t="s">
        <v>6838</v>
      </c>
      <c r="D1282" s="4">
        <v>44005.0</v>
      </c>
      <c r="E1282" s="4"/>
      <c r="F1282" s="4">
        <v>0.010416666666666666</v>
      </c>
      <c r="G1282" s="4">
        <v>0.010416666666666666</v>
      </c>
      <c r="H1282" s="4" t="s">
        <v>1055</v>
      </c>
      <c r="I1282" s="4" t="s">
        <v>314</v>
      </c>
      <c r="J1282" s="4" t="s">
        <v>6903</v>
      </c>
      <c r="K1282" s="4" t="s">
        <v>195</v>
      </c>
      <c r="L1282" s="4" t="s">
        <v>165</v>
      </c>
      <c r="M1282" s="4" t="s">
        <v>7126</v>
      </c>
      <c r="N1282" s="4" t="s">
        <v>7475</v>
      </c>
      <c r="O1282" s="4" t="s">
        <v>8802</v>
      </c>
      <c r="P1282" s="4" t="s">
        <v>8803</v>
      </c>
      <c r="Q1282" s="4"/>
      <c r="R1282" s="4"/>
      <c r="S1282" s="4"/>
      <c r="T1282" s="4"/>
      <c r="U1282" s="4">
        <v>1.0</v>
      </c>
      <c r="V1282" s="4" t="s">
        <v>8804</v>
      </c>
      <c r="W1282" s="4" t="s">
        <v>7284</v>
      </c>
      <c r="X1282" s="4">
        <v>43945.708333333336</v>
      </c>
      <c r="Y1282" s="4" t="s">
        <v>8805</v>
      </c>
      <c r="Z1282" s="4" t="s">
        <v>860</v>
      </c>
      <c r="AA1282" s="4"/>
    </row>
    <row r="1283">
      <c r="A1283" s="4" t="s">
        <v>8806</v>
      </c>
      <c r="B1283" s="4" t="s">
        <v>785</v>
      </c>
      <c r="C1283" s="4" t="s">
        <v>6838</v>
      </c>
      <c r="D1283" s="4">
        <v>44005.0</v>
      </c>
      <c r="E1283" s="4"/>
      <c r="F1283" s="4">
        <v>0.006944444444444444</v>
      </c>
      <c r="G1283" s="4">
        <v>0.006944444444444444</v>
      </c>
      <c r="H1283" s="4" t="s">
        <v>1125</v>
      </c>
      <c r="I1283" s="4" t="s">
        <v>314</v>
      </c>
      <c r="J1283" s="4" t="s">
        <v>7059</v>
      </c>
      <c r="K1283" s="4" t="s">
        <v>441</v>
      </c>
      <c r="L1283" s="4" t="s">
        <v>165</v>
      </c>
      <c r="M1283" s="4"/>
      <c r="N1283" s="4" t="s">
        <v>6858</v>
      </c>
      <c r="O1283" s="4" t="s">
        <v>4470</v>
      </c>
      <c r="P1283" s="4" t="s">
        <v>1686</v>
      </c>
      <c r="Q1283" s="4"/>
      <c r="R1283" s="4"/>
      <c r="S1283" s="4"/>
      <c r="T1283" s="4"/>
      <c r="U1283" s="4">
        <v>1.0</v>
      </c>
      <c r="V1283" s="4" t="s">
        <v>8807</v>
      </c>
      <c r="W1283" s="4" t="s">
        <v>6890</v>
      </c>
      <c r="X1283" s="4" t="s">
        <v>8808</v>
      </c>
      <c r="Y1283" s="4" t="s">
        <v>8808</v>
      </c>
      <c r="Z1283" s="4" t="s">
        <v>8808</v>
      </c>
      <c r="AA1283" s="4"/>
    </row>
    <row r="1284">
      <c r="A1284" s="4" t="s">
        <v>8809</v>
      </c>
      <c r="B1284" s="4" t="s">
        <v>785</v>
      </c>
      <c r="C1284" s="4" t="s">
        <v>6838</v>
      </c>
      <c r="D1284" s="4">
        <v>44005.0</v>
      </c>
      <c r="E1284" s="4">
        <v>0.7086805555555578</v>
      </c>
      <c r="F1284" s="4">
        <v>0.0020833333333333333</v>
      </c>
      <c r="G1284" s="4">
        <v>0.7107638888888911</v>
      </c>
      <c r="H1284" s="4" t="s">
        <v>630</v>
      </c>
      <c r="I1284" s="4" t="s">
        <v>314</v>
      </c>
      <c r="J1284" s="4" t="s">
        <v>15</v>
      </c>
      <c r="K1284" s="4" t="s">
        <v>754</v>
      </c>
      <c r="L1284" s="4" t="s">
        <v>165</v>
      </c>
      <c r="M1284" s="4" t="s">
        <v>7126</v>
      </c>
      <c r="N1284" s="4" t="s">
        <v>7195</v>
      </c>
      <c r="O1284" s="4" t="s">
        <v>655</v>
      </c>
      <c r="P1284" s="4" t="s">
        <v>656</v>
      </c>
      <c r="Q1284" s="4"/>
      <c r="R1284" s="4"/>
      <c r="S1284" s="4"/>
      <c r="T1284" s="4"/>
      <c r="U1284" s="4">
        <v>1.0</v>
      </c>
      <c r="V1284" s="4" t="s">
        <v>8810</v>
      </c>
      <c r="W1284" s="4" t="s">
        <v>7197</v>
      </c>
      <c r="X1284" s="4" t="s">
        <v>8811</v>
      </c>
      <c r="Y1284" s="4" t="s">
        <v>7199</v>
      </c>
      <c r="Z1284" s="4" t="s">
        <v>630</v>
      </c>
      <c r="AA1284" s="4"/>
    </row>
    <row r="1285">
      <c r="A1285" s="4" t="s">
        <v>8812</v>
      </c>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row>
    <row r="1286">
      <c r="A1286" s="4" t="s">
        <v>8813</v>
      </c>
      <c r="B1286" s="4" t="s">
        <v>785</v>
      </c>
      <c r="C1286" s="4" t="s">
        <v>6838</v>
      </c>
      <c r="D1286" s="4">
        <v>44005.0</v>
      </c>
      <c r="E1286" s="4"/>
      <c r="F1286" s="4">
        <v>0.006944444444444444</v>
      </c>
      <c r="G1286" s="4">
        <v>0.006944444444444444</v>
      </c>
      <c r="H1286" s="4" t="s">
        <v>860</v>
      </c>
      <c r="I1286" s="4" t="s">
        <v>6947</v>
      </c>
      <c r="J1286" s="4" t="s">
        <v>6938</v>
      </c>
      <c r="K1286" s="4" t="s">
        <v>245</v>
      </c>
      <c r="L1286" s="4" t="s">
        <v>107</v>
      </c>
      <c r="M1286" s="4" t="s">
        <v>7119</v>
      </c>
      <c r="N1286" s="4" t="s">
        <v>6858</v>
      </c>
      <c r="O1286" s="4" t="s">
        <v>8814</v>
      </c>
      <c r="P1286" s="4" t="s">
        <v>8815</v>
      </c>
      <c r="Q1286" s="4" t="s">
        <v>1690</v>
      </c>
      <c r="R1286" s="4"/>
      <c r="S1286" s="4"/>
      <c r="T1286" s="4" t="s">
        <v>1691</v>
      </c>
      <c r="U1286" s="4">
        <v>3.0</v>
      </c>
      <c r="V1286" s="4" t="s">
        <v>8816</v>
      </c>
      <c r="W1286" s="4" t="s">
        <v>7115</v>
      </c>
      <c r="X1286" s="4"/>
      <c r="Y1286" s="4"/>
      <c r="Z1286" s="4"/>
      <c r="AA1286" s="4"/>
    </row>
    <row r="1287">
      <c r="A1287" s="4" t="s">
        <v>8817</v>
      </c>
      <c r="B1287" s="4" t="s">
        <v>785</v>
      </c>
      <c r="C1287" s="4" t="s">
        <v>6838</v>
      </c>
      <c r="D1287" s="4">
        <v>44005.0</v>
      </c>
      <c r="E1287" s="4"/>
      <c r="F1287" s="4"/>
      <c r="G1287" s="4">
        <v>0.0</v>
      </c>
      <c r="H1287" s="4" t="s">
        <v>860</v>
      </c>
      <c r="I1287" s="4" t="s">
        <v>6993</v>
      </c>
      <c r="J1287" s="4" t="s">
        <v>6938</v>
      </c>
      <c r="K1287" s="4" t="s">
        <v>280</v>
      </c>
      <c r="L1287" s="4" t="s">
        <v>107</v>
      </c>
      <c r="M1287" s="4" t="s">
        <v>7126</v>
      </c>
      <c r="N1287" s="4" t="s">
        <v>6749</v>
      </c>
      <c r="O1287" s="4" t="s">
        <v>8818</v>
      </c>
      <c r="P1287" s="4" t="s">
        <v>414</v>
      </c>
      <c r="Q1287" s="4" t="s">
        <v>1523</v>
      </c>
      <c r="R1287" s="4"/>
      <c r="S1287" s="4"/>
      <c r="T1287" s="4" t="s">
        <v>8819</v>
      </c>
      <c r="U1287" s="4">
        <v>3.0</v>
      </c>
      <c r="V1287" s="4" t="s">
        <v>8820</v>
      </c>
      <c r="W1287" s="4" t="s">
        <v>7115</v>
      </c>
      <c r="X1287" s="4"/>
      <c r="Y1287" s="4"/>
      <c r="Z1287" s="4"/>
      <c r="AA1287" s="4"/>
    </row>
    <row r="1288">
      <c r="A1288" s="4" t="s">
        <v>8821</v>
      </c>
      <c r="B1288" s="4" t="s">
        <v>785</v>
      </c>
      <c r="C1288" s="4" t="s">
        <v>6838</v>
      </c>
      <c r="D1288" s="4">
        <v>44005.0</v>
      </c>
      <c r="E1288" s="4"/>
      <c r="F1288" s="4">
        <v>0.010416666666666666</v>
      </c>
      <c r="G1288" s="4">
        <v>0.010416666666666666</v>
      </c>
      <c r="H1288" s="4" t="s">
        <v>873</v>
      </c>
      <c r="I1288" s="4" t="s">
        <v>6947</v>
      </c>
      <c r="J1288" s="4" t="s">
        <v>6948</v>
      </c>
      <c r="K1288" s="4" t="s">
        <v>245</v>
      </c>
      <c r="L1288" s="4" t="s">
        <v>107</v>
      </c>
      <c r="M1288" s="4" t="s">
        <v>7482</v>
      </c>
      <c r="N1288" s="4" t="s">
        <v>6720</v>
      </c>
      <c r="O1288" s="4" t="s">
        <v>8822</v>
      </c>
      <c r="P1288" s="4" t="s">
        <v>1694</v>
      </c>
      <c r="Q1288" s="4" t="s">
        <v>1695</v>
      </c>
      <c r="R1288" s="4"/>
      <c r="S1288" s="4"/>
      <c r="T1288" s="4" t="s">
        <v>1696</v>
      </c>
      <c r="U1288" s="4">
        <v>3.0</v>
      </c>
      <c r="V1288" s="4" t="s">
        <v>8823</v>
      </c>
      <c r="W1288" s="4" t="s">
        <v>6911</v>
      </c>
      <c r="X1288" s="4">
        <v>43957.0625</v>
      </c>
      <c r="Y1288" s="4" t="s">
        <v>8824</v>
      </c>
      <c r="Z1288" s="4" t="s">
        <v>873</v>
      </c>
      <c r="AA1288" s="4"/>
    </row>
    <row r="1289">
      <c r="A1289" s="4" t="s">
        <v>8825</v>
      </c>
      <c r="B1289" s="4" t="s">
        <v>785</v>
      </c>
      <c r="C1289" s="4" t="s">
        <v>6838</v>
      </c>
      <c r="D1289" s="4">
        <v>44005.0</v>
      </c>
      <c r="E1289" s="4">
        <v>0.6673611111111131</v>
      </c>
      <c r="F1289" s="4">
        <v>0.008333333333333333</v>
      </c>
      <c r="G1289" s="4">
        <v>0.6756944444444464</v>
      </c>
      <c r="H1289" s="4" t="s">
        <v>1631</v>
      </c>
      <c r="I1289" s="4" t="s">
        <v>6960</v>
      </c>
      <c r="J1289" s="4" t="s">
        <v>7059</v>
      </c>
      <c r="K1289" s="4" t="s">
        <v>754</v>
      </c>
      <c r="L1289" s="4" t="s">
        <v>74</v>
      </c>
      <c r="M1289" s="4" t="s">
        <v>7462</v>
      </c>
      <c r="N1289" s="4" t="s">
        <v>6858</v>
      </c>
      <c r="O1289" s="4" t="s">
        <v>4484</v>
      </c>
      <c r="P1289" s="4" t="s">
        <v>1698</v>
      </c>
      <c r="Q1289" s="4" t="s">
        <v>1699</v>
      </c>
      <c r="R1289" s="4" t="s">
        <v>8826</v>
      </c>
      <c r="S1289" s="4"/>
      <c r="T1289" s="4" t="s">
        <v>125</v>
      </c>
      <c r="U1289" s="4">
        <v>4.0</v>
      </c>
      <c r="V1289" s="4" t="s">
        <v>8827</v>
      </c>
      <c r="W1289" s="4" t="s">
        <v>7136</v>
      </c>
      <c r="X1289" s="4"/>
      <c r="Y1289" s="4"/>
      <c r="Z1289" s="4"/>
      <c r="AA1289" s="4"/>
    </row>
    <row r="1290">
      <c r="A1290" s="4" t="s">
        <v>8828</v>
      </c>
      <c r="B1290" s="4" t="s">
        <v>785</v>
      </c>
      <c r="C1290" s="4" t="s">
        <v>6838</v>
      </c>
      <c r="D1290" s="4">
        <v>44005.0</v>
      </c>
      <c r="E1290" s="4"/>
      <c r="F1290" s="4">
        <v>0.010416666666666666</v>
      </c>
      <c r="G1290" s="4">
        <v>0.010416666666666666</v>
      </c>
      <c r="H1290" s="4" t="s">
        <v>1185</v>
      </c>
      <c r="I1290" s="4"/>
      <c r="J1290" s="4" t="s">
        <v>6948</v>
      </c>
      <c r="K1290" s="4" t="s">
        <v>924</v>
      </c>
      <c r="L1290" s="4" t="s">
        <v>165</v>
      </c>
      <c r="M1290" s="4" t="s">
        <v>6918</v>
      </c>
      <c r="N1290" s="4"/>
      <c r="O1290" s="4"/>
      <c r="P1290" s="4"/>
      <c r="Q1290" s="4" t="s">
        <v>7031</v>
      </c>
      <c r="R1290" s="4"/>
      <c r="S1290" s="4"/>
      <c r="T1290" s="4"/>
      <c r="U1290" s="4">
        <v>1.0</v>
      </c>
      <c r="V1290" s="4"/>
      <c r="W1290" s="4"/>
      <c r="X1290" s="4"/>
      <c r="Y1290" s="4"/>
      <c r="Z1290" s="4"/>
      <c r="AA1290" s="4"/>
    </row>
    <row r="1291">
      <c r="A1291" s="4" t="s">
        <v>8829</v>
      </c>
      <c r="B1291" s="4" t="s">
        <v>785</v>
      </c>
      <c r="C1291" s="4" t="s">
        <v>6838</v>
      </c>
      <c r="D1291" s="4">
        <v>44005.0</v>
      </c>
      <c r="E1291" s="4"/>
      <c r="F1291" s="4">
        <v>0.010416666666666666</v>
      </c>
      <c r="G1291" s="4">
        <v>0.010416666666666666</v>
      </c>
      <c r="H1291" s="4" t="s">
        <v>6933</v>
      </c>
      <c r="I1291" s="4" t="s">
        <v>6938</v>
      </c>
      <c r="J1291" s="4" t="s">
        <v>129</v>
      </c>
      <c r="K1291" s="4" t="s">
        <v>74</v>
      </c>
      <c r="L1291" s="4" t="s">
        <v>7462</v>
      </c>
      <c r="M1291" s="4" t="s">
        <v>6720</v>
      </c>
      <c r="N1291" s="4" t="s">
        <v>4489</v>
      </c>
      <c r="O1291" s="4" t="s">
        <v>1703</v>
      </c>
      <c r="P1291" s="4" t="s">
        <v>1704</v>
      </c>
      <c r="Q1291" s="4"/>
      <c r="R1291" s="4"/>
      <c r="S1291" s="4" t="s">
        <v>1705</v>
      </c>
      <c r="T1291" s="4">
        <v>3.0</v>
      </c>
      <c r="U1291" s="4" t="s">
        <v>8830</v>
      </c>
      <c r="V1291" s="4" t="s">
        <v>6855</v>
      </c>
      <c r="W1291" s="4"/>
      <c r="X1291" s="4"/>
      <c r="Y1291" s="4"/>
      <c r="Z1291" s="4"/>
      <c r="AA1291" s="4"/>
    </row>
    <row r="1292">
      <c r="A1292" s="4" t="s">
        <v>8831</v>
      </c>
      <c r="B1292" s="4" t="s">
        <v>785</v>
      </c>
      <c r="C1292" s="4" t="s">
        <v>6838</v>
      </c>
      <c r="D1292" s="4">
        <v>44005.0</v>
      </c>
      <c r="E1292" s="4"/>
      <c r="F1292" s="4">
        <v>0.010416666666666666</v>
      </c>
      <c r="G1292" s="4">
        <v>0.010416666666666666</v>
      </c>
      <c r="H1292" s="4"/>
      <c r="I1292" s="4"/>
      <c r="J1292" s="4"/>
      <c r="K1292" s="4"/>
      <c r="L1292" s="4"/>
      <c r="M1292" s="4"/>
      <c r="N1292" s="4"/>
      <c r="O1292" s="4" t="s">
        <v>8832</v>
      </c>
      <c r="P1292" s="4"/>
      <c r="Q1292" s="4" t="s">
        <v>291</v>
      </c>
      <c r="R1292" s="4"/>
      <c r="S1292" s="4"/>
      <c r="T1292" s="4"/>
      <c r="U1292" s="4">
        <v>1.0</v>
      </c>
      <c r="V1292" s="4"/>
      <c r="W1292" s="4"/>
      <c r="X1292" s="4"/>
      <c r="Y1292" s="4"/>
      <c r="Z1292" s="4"/>
      <c r="AA1292" s="4"/>
    </row>
    <row r="1293">
      <c r="A1293" s="4" t="s">
        <v>8833</v>
      </c>
      <c r="B1293" s="4" t="s">
        <v>785</v>
      </c>
      <c r="C1293" s="4" t="s">
        <v>6838</v>
      </c>
      <c r="D1293" s="4">
        <v>44005.0</v>
      </c>
      <c r="E1293" s="4"/>
      <c r="F1293" s="4">
        <v>0.010416666666666666</v>
      </c>
      <c r="G1293" s="4">
        <v>0.010416666666666666</v>
      </c>
      <c r="H1293" s="4" t="s">
        <v>1185</v>
      </c>
      <c r="I1293" s="4" t="s">
        <v>6947</v>
      </c>
      <c r="J1293" s="4" t="s">
        <v>6948</v>
      </c>
      <c r="K1293" s="4" t="s">
        <v>368</v>
      </c>
      <c r="L1293" s="4" t="s">
        <v>74</v>
      </c>
      <c r="M1293" s="4" t="s">
        <v>7505</v>
      </c>
      <c r="N1293" s="4" t="s">
        <v>6858</v>
      </c>
      <c r="O1293" s="4" t="s">
        <v>8834</v>
      </c>
      <c r="P1293" s="4" t="s">
        <v>1338</v>
      </c>
      <c r="Q1293" s="4" t="s">
        <v>1733</v>
      </c>
      <c r="R1293" s="4" t="s">
        <v>8835</v>
      </c>
      <c r="S1293" s="4" t="s">
        <v>1732</v>
      </c>
      <c r="T1293" s="4" t="s">
        <v>361</v>
      </c>
      <c r="U1293" s="4">
        <v>5.0</v>
      </c>
      <c r="V1293" s="4"/>
      <c r="W1293" s="4" t="s">
        <v>7115</v>
      </c>
      <c r="X1293" s="4"/>
      <c r="Y1293" s="4"/>
      <c r="Z1293" s="4"/>
      <c r="AA1293" s="4"/>
    </row>
    <row r="1294">
      <c r="A1294" s="4" t="s">
        <v>8836</v>
      </c>
      <c r="B1294" s="4" t="s">
        <v>785</v>
      </c>
      <c r="C1294" s="4" t="s">
        <v>6838</v>
      </c>
      <c r="D1294" s="4">
        <v>44005.0</v>
      </c>
      <c r="E1294" s="4"/>
      <c r="F1294" s="4">
        <v>0.010416666666666666</v>
      </c>
      <c r="G1294" s="4">
        <v>0.010416666666666666</v>
      </c>
      <c r="H1294" s="4"/>
      <c r="I1294" s="4"/>
      <c r="J1294" s="4"/>
      <c r="K1294" s="4"/>
      <c r="L1294" s="4"/>
      <c r="M1294" s="4"/>
      <c r="N1294" s="4"/>
      <c r="O1294" s="4" t="s">
        <v>8837</v>
      </c>
      <c r="P1294" s="4"/>
      <c r="Q1294" s="4" t="s">
        <v>266</v>
      </c>
      <c r="R1294" s="4"/>
      <c r="S1294" s="4"/>
      <c r="T1294" s="4"/>
      <c r="U1294" s="4">
        <v>1.0</v>
      </c>
      <c r="V1294" s="4"/>
      <c r="W1294" s="4"/>
      <c r="X1294" s="4"/>
      <c r="Y1294" s="4"/>
      <c r="Z1294" s="4"/>
      <c r="AA1294" s="4"/>
    </row>
    <row r="1295">
      <c r="A1295" s="4" t="s">
        <v>8838</v>
      </c>
      <c r="B1295" s="4" t="s">
        <v>785</v>
      </c>
      <c r="C1295" s="4" t="s">
        <v>6838</v>
      </c>
      <c r="D1295" s="4">
        <v>44005.0</v>
      </c>
      <c r="E1295" s="4"/>
      <c r="F1295" s="4">
        <v>0.008333333333333333</v>
      </c>
      <c r="G1295" s="4">
        <v>0.008333333333333333</v>
      </c>
      <c r="H1295" s="4"/>
      <c r="I1295" s="4" t="s">
        <v>314</v>
      </c>
      <c r="J1295" s="4"/>
      <c r="K1295" s="4"/>
      <c r="L1295" s="4" t="s">
        <v>165</v>
      </c>
      <c r="M1295" s="4"/>
      <c r="N1295" s="4"/>
      <c r="O1295" s="4" t="s">
        <v>8839</v>
      </c>
      <c r="P1295" s="4"/>
      <c r="Q1295" s="4" t="s">
        <v>1019</v>
      </c>
      <c r="R1295" s="4"/>
      <c r="S1295" s="4"/>
      <c r="T1295" s="4"/>
      <c r="U1295" s="4">
        <v>1.0</v>
      </c>
      <c r="V1295" s="4" t="s">
        <v>8840</v>
      </c>
      <c r="W1295" s="4"/>
      <c r="X1295" s="4"/>
      <c r="Y1295" s="4"/>
      <c r="Z1295" s="4"/>
      <c r="AA1295"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tr">
        <f>IFERROR(__xludf.DUMMYFUNCTION("IMPORTRANGE(""https://docs.google.com/spreadsheets/d/1RWaIDjGS-tds057IoaC5kG8bC22v-7i0Xrq1cym7izo/edit#gid=0"", ""Spotlight!A:N"")"),"Submission Time")</f>
        <v>Submission Time</v>
      </c>
      <c r="B1" s="4" t="str">
        <f>IFERROR(__xludf.DUMMYFUNCTION("""COMPUTED_VALUE"""),"Company Name")</f>
        <v>Company Name</v>
      </c>
      <c r="C1" s="4" t="str">
        <f>IFERROR(__xludf.DUMMYFUNCTION("""COMPUTED_VALUE"""),"Tick Ref")</f>
        <v>Tick Ref</v>
      </c>
      <c r="D1" s="4" t="str">
        <f>IFERROR(__xludf.DUMMYFUNCTION("""COMPUTED_VALUE"""),"First Name")</f>
        <v>First Name</v>
      </c>
      <c r="E1" s="4" t="str">
        <f>IFERROR(__xludf.DUMMYFUNCTION("""COMPUTED_VALUE"""),"Last Name")</f>
        <v>Last Name</v>
      </c>
      <c r="F1" s="4" t="str">
        <f>IFERROR(__xludf.DUMMYFUNCTION("""COMPUTED_VALUE"""),"40 words")</f>
        <v>40 words</v>
      </c>
      <c r="G1" s="4" t="str">
        <f>IFERROR(__xludf.DUMMYFUNCTION("""COMPUTED_VALUE"""),"Video URL")</f>
        <v>Video URL</v>
      </c>
      <c r="H1" s="4" t="str">
        <f>IFERROR(__xludf.DUMMYFUNCTION("""COMPUTED_VALUE"""),"SS Candidate?")</f>
        <v>SS Candidate?</v>
      </c>
      <c r="I1" s="4" t="str">
        <f>IFERROR(__xludf.DUMMYFUNCTION("""COMPUTED_VALUE"""),"SS Video Quality")</f>
        <v>SS Video Quality</v>
      </c>
      <c r="J1" s="4" t="str">
        <f>IFERROR(__xludf.DUMMYFUNCTION("""COMPUTED_VALUE"""),"SS Submitted ")</f>
        <v>SS Submitted </v>
      </c>
      <c r="K1" s="4" t="str">
        <f>IFERROR(__xludf.DUMMYFUNCTION("""COMPUTED_VALUE"""),"Breakout?")</f>
        <v>Breakout?</v>
      </c>
    </row>
    <row r="2">
      <c r="A2" s="382">
        <f>IFERROR(__xludf.DUMMYFUNCTION("""COMPUTED_VALUE"""),43944.400012)</f>
        <v>43944.40001</v>
      </c>
      <c r="B2" s="4" t="str">
        <f>IFERROR(__xludf.DUMMYFUNCTION("""COMPUTED_VALUE"""),"Zerogons Software India Pvt Ltd")</f>
        <v>Zerogons Software India Pvt Ltd</v>
      </c>
      <c r="C2" s="4" t="str">
        <f>IFERROR(__xludf.DUMMYFUNCTION("""COMPUTED_VALUE"""),"1KDK")</f>
        <v>1KDK</v>
      </c>
      <c r="D2" s="4" t="str">
        <f>IFERROR(__xludf.DUMMYFUNCTION("""COMPUTED_VALUE"""),"Div")</f>
        <v>Div</v>
      </c>
      <c r="E2" s="4" t="str">
        <f>IFERROR(__xludf.DUMMYFUNCTION("""COMPUTED_VALUE"""),"Rakesh")</f>
        <v>Rakesh</v>
      </c>
      <c r="F2" s="4" t="str">
        <f>IFERROR(__xludf.DUMMYFUNCTION("""COMPUTED_VALUE"""),"We have built a low code, self serve, Data Science platform to compliment our Service portfolio")</f>
        <v>We have built a low code, self serve, Data Science platform to compliment our Service portfolio</v>
      </c>
      <c r="G2" s="21" t="str">
        <f>IFERROR(__xludf.DUMMYFUNCTION("""COMPUTED_VALUE"""),"https://www.youtube.com/watch?v=A1YgQGf0aBo")</f>
        <v>https://www.youtube.com/watch?v=A1YgQGf0aBo</v>
      </c>
      <c r="H2" s="4" t="str">
        <f>IFERROR(__xludf.DUMMYFUNCTION("""COMPUTED_VALUE"""),"Maybe")</f>
        <v>Maybe</v>
      </c>
      <c r="I2" s="4" t="str">
        <f>IFERROR(__xludf.DUMMYFUNCTION("""COMPUTED_VALUE"""),"Passed")</f>
        <v>Passed</v>
      </c>
      <c r="J2" s="4" t="str">
        <f>IFERROR(__xludf.DUMMYFUNCTION("""COMPUTED_VALUE"""),"")</f>
        <v/>
      </c>
      <c r="K2" s="4" t="str">
        <f>IFERROR(__xludf.DUMMYFUNCTION("""COMPUTED_VALUE"""),"")</f>
        <v/>
      </c>
    </row>
    <row r="3">
      <c r="A3" s="382">
        <f>IFERROR(__xludf.DUMMYFUNCTION("""COMPUTED_VALUE"""),43944.441007)</f>
        <v>43944.44101</v>
      </c>
      <c r="B3" s="4" t="str">
        <f>IFERROR(__xludf.DUMMYFUNCTION("""COMPUTED_VALUE"""),"Generation Connect Pte Ltd")</f>
        <v>Generation Connect Pte Ltd</v>
      </c>
      <c r="C3" s="4" t="str">
        <f>IFERROR(__xludf.DUMMYFUNCTION("""COMPUTED_VALUE"""),"ADPU-1")</f>
        <v>ADPU-1</v>
      </c>
      <c r="D3" s="4" t="str">
        <f>IFERROR(__xludf.DUMMYFUNCTION("""COMPUTED_VALUE"""),"Cassandra")</f>
        <v>Cassandra</v>
      </c>
      <c r="E3" s="4" t="str">
        <f>IFERROR(__xludf.DUMMYFUNCTION("""COMPUTED_VALUE"""),"Seah")</f>
        <v>Seah</v>
      </c>
      <c r="F3" s="4" t="str">
        <f>IFERROR(__xludf.DUMMYFUNCTION("""COMPUTED_VALUE"""),"We revolutionize the dementia ecosystem")</f>
        <v>We revolutionize the dementia ecosystem</v>
      </c>
      <c r="G3" s="21" t="str">
        <f>IFERROR(__xludf.DUMMYFUNCTION("""COMPUTED_VALUE"""),"https://drive.google.com/drive/folders/18H2CEWCiDROWyxdROszN3CQsFIpNTod_?usp=sharing")</f>
        <v>https://drive.google.com/drive/folders/18H2CEWCiDROWyxdROszN3CQsFIpNTod_?usp=sharing</v>
      </c>
      <c r="H3" s="4" t="str">
        <f>IFERROR(__xludf.DUMMYFUNCTION("""COMPUTED_VALUE"""),"Yes")</f>
        <v>Yes</v>
      </c>
      <c r="I3" s="4" t="str">
        <f>IFERROR(__xludf.DUMMYFUNCTION("""COMPUTED_VALUE"""),"Passed")</f>
        <v>Passed</v>
      </c>
      <c r="J3" s="4" t="str">
        <f>IFERROR(__xludf.DUMMYFUNCTION("""COMPUTED_VALUE"""),"Sent for review")</f>
        <v>Sent for review</v>
      </c>
      <c r="K3" s="4" t="str">
        <f>IFERROR(__xludf.DUMMYFUNCTION("""COMPUTED_VALUE"""),"")</f>
        <v/>
      </c>
    </row>
    <row r="4">
      <c r="A4" s="382">
        <f>IFERROR(__xludf.DUMMYFUNCTION("""COMPUTED_VALUE"""),43944.537222)</f>
        <v>43944.53722</v>
      </c>
      <c r="B4" s="4" t="str">
        <f>IFERROR(__xludf.DUMMYFUNCTION("""COMPUTED_VALUE"""),"ArtRatio")</f>
        <v>ArtRatio</v>
      </c>
      <c r="C4" s="4" t="str">
        <f>IFERROR(__xludf.DUMMYFUNCTION("""COMPUTED_VALUE"""),"KOB4-1")</f>
        <v>KOB4-1</v>
      </c>
      <c r="D4" s="4" t="str">
        <f>IFERROR(__xludf.DUMMYFUNCTION("""COMPUTED_VALUE"""),"Manoj")</f>
        <v>Manoj</v>
      </c>
      <c r="E4" s="4" t="str">
        <f>IFERROR(__xludf.DUMMYFUNCTION("""COMPUTED_VALUE"""),"Phatak")</f>
        <v>Phatak</v>
      </c>
      <c r="F4" s="4" t="str">
        <f>IFERROR(__xludf.DUMMYFUNCTION("""COMPUTED_VALUE"""),"Smart and Sustainable Display of Art and Luxury Collections")</f>
        <v>Smart and Sustainable Display of Art and Luxury Collections</v>
      </c>
      <c r="G4" s="21" t="str">
        <f>IFERROR(__xludf.DUMMYFUNCTION("""COMPUTED_VALUE"""),"https://drive.google.com/file/d/1nwIB9ZYCalSia0AZHVAJNGBDNOn3Njaf/view?usp=sharing")</f>
        <v>https://drive.google.com/file/d/1nwIB9ZYCalSia0AZHVAJNGBDNOn3Njaf/view?usp=sharing</v>
      </c>
      <c r="H4" s="4" t="str">
        <f>IFERROR(__xludf.DUMMYFUNCTION("""COMPUTED_VALUE"""),"Maybe")</f>
        <v>Maybe</v>
      </c>
      <c r="I4" s="4" t="str">
        <f>IFERROR(__xludf.DUMMYFUNCTION("""COMPUTED_VALUE"""),"For Review")</f>
        <v>For Review</v>
      </c>
      <c r="J4" s="4" t="str">
        <f>IFERROR(__xludf.DUMMYFUNCTION("""COMPUTED_VALUE"""),"")</f>
        <v/>
      </c>
      <c r="K4" s="4" t="str">
        <f>IFERROR(__xludf.DUMMYFUNCTION("""COMPUTED_VALUE"""),"")</f>
        <v/>
      </c>
    </row>
    <row r="5">
      <c r="A5" s="382">
        <f>IFERROR(__xludf.DUMMYFUNCTION("""COMPUTED_VALUE"""),43944.681296)</f>
        <v>43944.6813</v>
      </c>
      <c r="B5" s="4" t="str">
        <f>IFERROR(__xludf.DUMMYFUNCTION("""COMPUTED_VALUE"""),"ActualConversion Inc.")</f>
        <v>ActualConversion Inc.</v>
      </c>
      <c r="C5" s="4" t="str">
        <f>IFERROR(__xludf.DUMMYFUNCTION("""COMPUTED_VALUE"""),"8KNR")</f>
        <v>8KNR</v>
      </c>
      <c r="D5" s="4" t="str">
        <f>IFERROR(__xludf.DUMMYFUNCTION("""COMPUTED_VALUE"""),"Adrian")</f>
        <v>Adrian</v>
      </c>
      <c r="E5" s="4" t="str">
        <f>IFERROR(__xludf.DUMMYFUNCTION("""COMPUTED_VALUE"""),"Pike")</f>
        <v>Pike</v>
      </c>
      <c r="F5" s="4" t="str">
        <f>IFERROR(__xludf.DUMMYFUNCTION("""COMPUTED_VALUE"""),"We have created a simplified SaaS reporting solution that makes cross marketing platform performance insights actionable for any business.")</f>
        <v>We have created a simplified SaaS reporting solution that makes cross marketing platform performance insights actionable for any business.</v>
      </c>
      <c r="G5" s="21" t="str">
        <f>IFERROR(__xludf.DUMMYFUNCTION("""COMPUTED_VALUE"""),"https://drive.google.com/open?id=1fs3B2lDG6_QgCDoG4huIqTuJUqdiHQs1")</f>
        <v>https://drive.google.com/open?id=1fs3B2lDG6_QgCDoG4huIqTuJUqdiHQs1</v>
      </c>
      <c r="H5" s="4" t="str">
        <f>IFERROR(__xludf.DUMMYFUNCTION("""COMPUTED_VALUE"""),"Yes")</f>
        <v>Yes</v>
      </c>
      <c r="I5" s="4" t="str">
        <f>IFERROR(__xludf.DUMMYFUNCTION("""COMPUTED_VALUE"""),"Passed")</f>
        <v>Passed</v>
      </c>
      <c r="J5" s="4" t="str">
        <f>IFERROR(__xludf.DUMMYFUNCTION("""COMPUTED_VALUE"""),"Sent for review")</f>
        <v>Sent for review</v>
      </c>
      <c r="K5" s="4" t="str">
        <f>IFERROR(__xludf.DUMMYFUNCTION("""COMPUTED_VALUE"""),"")</f>
        <v/>
      </c>
    </row>
    <row r="6">
      <c r="A6" s="382">
        <f>IFERROR(__xludf.DUMMYFUNCTION("""COMPUTED_VALUE"""),43948.073252)</f>
        <v>43948.07325</v>
      </c>
      <c r="B6" s="4" t="str">
        <f>IFERROR(__xludf.DUMMYFUNCTION("""COMPUTED_VALUE"""),"Everykey")</f>
        <v>Everykey</v>
      </c>
      <c r="C6" s="4" t="str">
        <f>IFERROR(__xludf.DUMMYFUNCTION("""COMPUTED_VALUE"""),"9TNR")</f>
        <v>9TNR</v>
      </c>
      <c r="D6" s="4" t="str">
        <f>IFERROR(__xludf.DUMMYFUNCTION("""COMPUTED_VALUE"""),"Chris")</f>
        <v>Chris</v>
      </c>
      <c r="E6" s="4" t="str">
        <f>IFERROR(__xludf.DUMMYFUNCTION("""COMPUTED_VALUE"""),"Wentz")</f>
        <v>Wentz</v>
      </c>
      <c r="F6" s="4" t="str">
        <f>IFERROR(__xludf.DUMMYFUNCTION("""COMPUTED_VALUE"""),"Everykey replaces all of your passwords and keys with the world's first universal smart key!")</f>
        <v>Everykey replaces all of your passwords and keys with the world's first universal smart key!</v>
      </c>
      <c r="G6" s="21" t="str">
        <f>IFERROR(__xludf.DUMMYFUNCTION("""COMPUTED_VALUE"""),"https://drive.google.com/file/d/1MpefRmBBnL3zvGeTdObmnzNTNkfjQvVZ/view?usp=sharing")</f>
        <v>https://drive.google.com/file/d/1MpefRmBBnL3zvGeTdObmnzNTNkfjQvVZ/view?usp=sharing</v>
      </c>
      <c r="H6" s="4" t="str">
        <f>IFERROR(__xludf.DUMMYFUNCTION("""COMPUTED_VALUE"""),"Yes")</f>
        <v>Yes</v>
      </c>
      <c r="I6" s="4" t="str">
        <f>IFERROR(__xludf.DUMMYFUNCTION("""COMPUTED_VALUE"""),"Failed")</f>
        <v>Failed</v>
      </c>
      <c r="J6" s="4" t="str">
        <f>IFERROR(__xludf.DUMMYFUNCTION("""COMPUTED_VALUE"""),"")</f>
        <v/>
      </c>
      <c r="K6" s="4" t="str">
        <f>IFERROR(__xludf.DUMMYFUNCTION("""COMPUTED_VALUE"""),"")</f>
        <v/>
      </c>
    </row>
    <row r="7">
      <c r="A7" s="382">
        <f>IFERROR(__xludf.DUMMYFUNCTION("""COMPUTED_VALUE"""),43948.527396)</f>
        <v>43948.5274</v>
      </c>
      <c r="B7" s="4" t="str">
        <f>IFERROR(__xludf.DUMMYFUNCTION("""COMPUTED_VALUE"""),"Just Vertical")</f>
        <v>Just Vertical</v>
      </c>
      <c r="C7" s="4" t="str">
        <f>IFERROR(__xludf.DUMMYFUNCTION("""COMPUTED_VALUE"""),"G05I-1")</f>
        <v>G05I-1</v>
      </c>
      <c r="D7" s="4" t="str">
        <f>IFERROR(__xludf.DUMMYFUNCTION("""COMPUTED_VALUE"""),"Kevin")</f>
        <v>Kevin</v>
      </c>
      <c r="E7" s="4" t="str">
        <f>IFERROR(__xludf.DUMMYFUNCTION("""COMPUTED_VALUE"""),"Jakiela")</f>
        <v>Jakiela</v>
      </c>
      <c r="F7" s="4" t="str">
        <f>IFERROR(__xludf.DUMMYFUNCTION("""COMPUTED_VALUE"""),"Just Vertical is an indoor vertical hydroponic company that creates furniture that feeds you. We created the AEVA, a modern indoor hydroponic garden system that's sleek, sustainable and gives the gift of fresh food all year round.")</f>
        <v>Just Vertical is an indoor vertical hydroponic company that creates furniture that feeds you. We created the AEVA, a modern indoor hydroponic garden system that's sleek, sustainable and gives the gift of fresh food all year round.</v>
      </c>
      <c r="G7" s="21" t="str">
        <f>IFERROR(__xludf.DUMMYFUNCTION("""COMPUTED_VALUE"""),"https://drive.google.com/file/d/1SQPsTgFYyFviNfJobmDBCrLFkU3sXP6m/view?ts=5eb9569f")</f>
        <v>https://drive.google.com/file/d/1SQPsTgFYyFviNfJobmDBCrLFkU3sXP6m/view?ts=5eb9569f</v>
      </c>
      <c r="H7" s="4" t="str">
        <f>IFERROR(__xludf.DUMMYFUNCTION("""COMPUTED_VALUE"""),"Yes")</f>
        <v>Yes</v>
      </c>
      <c r="I7" s="4" t="str">
        <f>IFERROR(__xludf.DUMMYFUNCTION("""COMPUTED_VALUE"""),"Failed")</f>
        <v>Failed</v>
      </c>
      <c r="J7" s="4" t="str">
        <f>IFERROR(__xludf.DUMMYFUNCTION("""COMPUTED_VALUE"""),"")</f>
        <v/>
      </c>
      <c r="K7" s="4" t="str">
        <f>IFERROR(__xludf.DUMMYFUNCTION("""COMPUTED_VALUE"""),"")</f>
        <v/>
      </c>
    </row>
    <row r="8">
      <c r="A8" s="382">
        <f>IFERROR(__xludf.DUMMYFUNCTION("""COMPUTED_VALUE"""),43948.73662)</f>
        <v>43948.73662</v>
      </c>
      <c r="B8" s="4" t="str">
        <f>IFERROR(__xludf.DUMMYFUNCTION("""COMPUTED_VALUE"""),"SecureCircle")</f>
        <v>SecureCircle</v>
      </c>
      <c r="C8" s="4" t="str">
        <f>IFERROR(__xludf.DUMMYFUNCTION("""COMPUTED_VALUE"""),"TGDO")</f>
        <v>TGDO</v>
      </c>
      <c r="D8" s="4" t="str">
        <f>IFERROR(__xludf.DUMMYFUNCTION("""COMPUTED_VALUE"""),"Davin")</f>
        <v>Davin</v>
      </c>
      <c r="E8" s="4" t="str">
        <f>IFERROR(__xludf.DUMMYFUNCTION("""COMPUTED_VALUE"""),"Oishi")</f>
        <v>Oishi</v>
      </c>
      <c r="F8" s="4" t="str">
        <f>IFERROR(__xludf.DUMMYFUNCTION("""COMPUTED_VALUE"""),"SecureCircle’s Data Access Security Broker (DASB) eliminates data breaches and insider threats. Data-centric access control policies manage the data itself and persistently protect data at rest, in transit, and in use, regardless of where users create, st"&amp;"ore, or consume data.")</f>
        <v>SecureCircle’s Data Access Security Broker (DASB) eliminates data breaches and insider threats. Data-centric access control policies manage the data itself and persistently protect data at rest, in transit, and in use, regardless of where users create, store, or consume data.</v>
      </c>
      <c r="G8" s="21" t="str">
        <f>IFERROR(__xludf.DUMMYFUNCTION("""COMPUTED_VALUE"""),"https://drive.google.com/file/d/1FmxgObQdDqM8NdHGHuOwI-TzEnxdflU9/view")</f>
        <v>https://drive.google.com/file/d/1FmxgObQdDqM8NdHGHuOwI-TzEnxdflU9/view</v>
      </c>
      <c r="H8" s="4" t="str">
        <f>IFERROR(__xludf.DUMMYFUNCTION("""COMPUTED_VALUE"""),"Yes")</f>
        <v>Yes</v>
      </c>
      <c r="I8" s="4" t="str">
        <f>IFERROR(__xludf.DUMMYFUNCTION("""COMPUTED_VALUE"""),"Failed")</f>
        <v>Failed</v>
      </c>
      <c r="J8" s="4" t="str">
        <f>IFERROR(__xludf.DUMMYFUNCTION("""COMPUTED_VALUE"""),"")</f>
        <v/>
      </c>
      <c r="K8" s="4" t="str">
        <f>IFERROR(__xludf.DUMMYFUNCTION("""COMPUTED_VALUE"""),"")</f>
        <v/>
      </c>
    </row>
    <row r="9">
      <c r="A9" s="382">
        <f>IFERROR(__xludf.DUMMYFUNCTION("""COMPUTED_VALUE"""),43950.507106)</f>
        <v>43950.50711</v>
      </c>
      <c r="B9" s="4" t="str">
        <f>IFERROR(__xludf.DUMMYFUNCTION("""COMPUTED_VALUE"""),"Orbiseed")</f>
        <v>Orbiseed</v>
      </c>
      <c r="C9" s="4" t="str">
        <f>IFERROR(__xludf.DUMMYFUNCTION("""COMPUTED_VALUE"""),"Orbiseed")</f>
        <v>Orbiseed</v>
      </c>
      <c r="D9" s="4" t="str">
        <f>IFERROR(__xludf.DUMMYFUNCTION("""COMPUTED_VALUE"""),"Jack")</f>
        <v>Jack</v>
      </c>
      <c r="E9" s="4" t="str">
        <f>IFERROR(__xludf.DUMMYFUNCTION("""COMPUTED_VALUE"""),"Liu")</f>
        <v>Liu</v>
      </c>
      <c r="F9" s="4" t="str">
        <f>IFERROR(__xludf.DUMMYFUNCTION("""COMPUTED_VALUE"""),"Orbiseed’s AI platform standardizes and summarizes commercial property data for insurance carriers to sell more, manage risk better and reduce operating costs.")</f>
        <v>Orbiseed’s AI platform standardizes and summarizes commercial property data for insurance carriers to sell more, manage risk better and reduce operating costs.</v>
      </c>
      <c r="G9" s="21" t="str">
        <f>IFERROR(__xludf.DUMMYFUNCTION("""COMPUTED_VALUE"""),"https://vimeo.com/413147903")</f>
        <v>https://vimeo.com/413147903</v>
      </c>
      <c r="H9" s="4" t="str">
        <f>IFERROR(__xludf.DUMMYFUNCTION("""COMPUTED_VALUE"""),"No")</f>
        <v>No</v>
      </c>
      <c r="I9" s="4" t="str">
        <f>IFERROR(__xludf.DUMMYFUNCTION("""COMPUTED_VALUE"""),"Not Successful")</f>
        <v>Not Successful</v>
      </c>
      <c r="J9" s="4" t="str">
        <f>IFERROR(__xludf.DUMMYFUNCTION("""COMPUTED_VALUE"""),"")</f>
        <v/>
      </c>
      <c r="K9" s="4" t="str">
        <f>IFERROR(__xludf.DUMMYFUNCTION("""COMPUTED_VALUE"""),"")</f>
        <v/>
      </c>
    </row>
    <row r="10">
      <c r="A10" s="382">
        <f>IFERROR(__xludf.DUMMYFUNCTION("""COMPUTED_VALUE"""),43950.582303)</f>
        <v>43950.5823</v>
      </c>
      <c r="B10" s="4" t="str">
        <f>IFERROR(__xludf.DUMMYFUNCTION("""COMPUTED_VALUE"""),"Travtail Technologies, Inc.")</f>
        <v>Travtail Technologies, Inc.</v>
      </c>
      <c r="C10" s="4" t="str">
        <f>IFERROR(__xludf.DUMMYFUNCTION("""COMPUTED_VALUE"""),"JW7U")</f>
        <v>JW7U</v>
      </c>
      <c r="D10" s="4" t="str">
        <f>IFERROR(__xludf.DUMMYFUNCTION("""COMPUTED_VALUE"""),"Joseph")</f>
        <v>Joseph</v>
      </c>
      <c r="E10" s="4" t="str">
        <f>IFERROR(__xludf.DUMMYFUNCTION("""COMPUTED_VALUE"""),"Ajao")</f>
        <v>Ajao</v>
      </c>
      <c r="F10" s="4" t="str">
        <f>IFERROR(__xludf.DUMMYFUNCTION("""COMPUTED_VALUE"""),"Travtail builds unmanned retail and on-demand services solutions for the world’s on-demand economy. Our products enable customers to get essential products and services right now, not tomorrow or next week. Our vision is to be the world’s first end-to-end"&amp;" convenience services company.")</f>
        <v>Travtail builds unmanned retail and on-demand services solutions for the world’s on-demand economy. Our products enable customers to get essential products and services right now, not tomorrow or next week. Our vision is to be the world’s first end-to-end convenience services company.</v>
      </c>
      <c r="G10" s="21" t="str">
        <f>IFERROR(__xludf.DUMMYFUNCTION("""COMPUTED_VALUE"""),"https://drive.google.com/open?id=1p8fIJJUUvbtXKtjAXoSRr1lkxW6tH45A")</f>
        <v>https://drive.google.com/open?id=1p8fIJJUUvbtXKtjAXoSRr1lkxW6tH45A</v>
      </c>
      <c r="H10" s="4" t="str">
        <f>IFERROR(__xludf.DUMMYFUNCTION("""COMPUTED_VALUE"""),"No")</f>
        <v>No</v>
      </c>
      <c r="I10" s="4" t="str">
        <f>IFERROR(__xludf.DUMMYFUNCTION("""COMPUTED_VALUE"""),"Not Successful")</f>
        <v>Not Successful</v>
      </c>
      <c r="J10" s="4" t="str">
        <f>IFERROR(__xludf.DUMMYFUNCTION("""COMPUTED_VALUE"""),"")</f>
        <v/>
      </c>
      <c r="K10" s="4" t="str">
        <f>IFERROR(__xludf.DUMMYFUNCTION("""COMPUTED_VALUE"""),"")</f>
        <v/>
      </c>
    </row>
    <row r="11">
      <c r="A11" s="382">
        <f>IFERROR(__xludf.DUMMYFUNCTION("""COMPUTED_VALUE"""),43950.63059)</f>
        <v>43950.63059</v>
      </c>
      <c r="B11" s="4" t="str">
        <f>IFERROR(__xludf.DUMMYFUNCTION("""COMPUTED_VALUE"""),"Zendelity")</f>
        <v>Zendelity</v>
      </c>
      <c r="C11" s="4" t="str">
        <f>IFERROR(__xludf.DUMMYFUNCTION("""COMPUTED_VALUE"""),"SFFJ")</f>
        <v>SFFJ</v>
      </c>
      <c r="D11" s="4" t="str">
        <f>IFERROR(__xludf.DUMMYFUNCTION("""COMPUTED_VALUE"""),"Rebecca")</f>
        <v>Rebecca</v>
      </c>
      <c r="E11" s="4" t="str">
        <f>IFERROR(__xludf.DUMMYFUNCTION("""COMPUTED_VALUE"""),"Wormleighton")</f>
        <v>Wormleighton</v>
      </c>
      <c r="F11" s="4" t="str">
        <f>IFERROR(__xludf.DUMMYFUNCTION("""COMPUTED_VALUE"""),"Zendelity offers a cost-effective, mobile solution for front line workers in public properties. It simplifies the costs and complexity of managing adherence to the physical operating legislation, property insurance policies, and brand standards that defin"&amp;"e operating requirements and reduce risk.")</f>
        <v>Zendelity offers a cost-effective, mobile solution for front line workers in public properties. It simplifies the costs and complexity of managing adherence to the physical operating legislation, property insurance policies, and brand standards that define operating requirements and reduce risk.</v>
      </c>
      <c r="G11" s="21" t="str">
        <f>IFERROR(__xludf.DUMMYFUNCTION("""COMPUTED_VALUE"""),"https://drive.google.com/drive/folders/1jHVOXSGRe0WarvVZIlQUe3vL6yBWuj6M?usp=sharing")</f>
        <v>https://drive.google.com/drive/folders/1jHVOXSGRe0WarvVZIlQUe3vL6yBWuj6M?usp=sharing</v>
      </c>
      <c r="H11" s="4" t="str">
        <f>IFERROR(__xludf.DUMMYFUNCTION("""COMPUTED_VALUE"""),"Yes")</f>
        <v>Yes</v>
      </c>
      <c r="I11" s="4" t="str">
        <f>IFERROR(__xludf.DUMMYFUNCTION("""COMPUTED_VALUE"""),"Passed")</f>
        <v>Passed</v>
      </c>
      <c r="J11" s="4" t="str">
        <f>IFERROR(__xludf.DUMMYFUNCTION("""COMPUTED_VALUE"""),"Sent for review")</f>
        <v>Sent for review</v>
      </c>
      <c r="K11" s="4" t="str">
        <f>IFERROR(__xludf.DUMMYFUNCTION("""COMPUTED_VALUE"""),"")</f>
        <v/>
      </c>
    </row>
    <row r="12">
      <c r="A12" s="382">
        <f>IFERROR(__xludf.DUMMYFUNCTION("""COMPUTED_VALUE"""),43951.311319)</f>
        <v>43951.31132</v>
      </c>
      <c r="B12" s="4" t="str">
        <f>IFERROR(__xludf.DUMMYFUNCTION("""COMPUTED_VALUE"""),"W3DART")</f>
        <v>W3DART</v>
      </c>
      <c r="C12" s="4" t="str">
        <f>IFERROR(__xludf.DUMMYFUNCTION("""COMPUTED_VALUE"""),"I5GK-1")</f>
        <v>I5GK-1</v>
      </c>
      <c r="D12" s="4" t="str">
        <f>IFERROR(__xludf.DUMMYFUNCTION("""COMPUTED_VALUE"""),"Samir")</f>
        <v>Samir</v>
      </c>
      <c r="E12" s="4" t="str">
        <f>IFERROR(__xludf.DUMMYFUNCTION("""COMPUTED_VALUE"""),"Kaila")</f>
        <v>Kaila</v>
      </c>
      <c r="F12" s="4" t="str">
        <f>IFERROR(__xludf.DUMMYFUNCTION("""COMPUTED_VALUE"""),"The Internet’s most advanced Visual Feedback &amp; Bug reporting tool for digital projects.")</f>
        <v>The Internet’s most advanced Visual Feedback &amp; Bug reporting tool for digital projects.</v>
      </c>
      <c r="G12" s="21" t="str">
        <f>IFERROR(__xludf.DUMMYFUNCTION("""COMPUTED_VALUE"""),"https://www.youtube.com/watch?v=VHkSTWxv1ok")</f>
        <v>https://www.youtube.com/watch?v=VHkSTWxv1ok</v>
      </c>
      <c r="H12" s="4" t="str">
        <f>IFERROR(__xludf.DUMMYFUNCTION("""COMPUTED_VALUE"""),"No")</f>
        <v>No</v>
      </c>
      <c r="I12" s="4" t="str">
        <f>IFERROR(__xludf.DUMMYFUNCTION("""COMPUTED_VALUE"""),"Not Successful")</f>
        <v>Not Successful</v>
      </c>
      <c r="J12" s="4" t="str">
        <f>IFERROR(__xludf.DUMMYFUNCTION("""COMPUTED_VALUE"""),"")</f>
        <v/>
      </c>
      <c r="K12" s="4" t="str">
        <f>IFERROR(__xludf.DUMMYFUNCTION("""COMPUTED_VALUE"""),"")</f>
        <v/>
      </c>
    </row>
    <row r="13">
      <c r="A13" s="382">
        <f>IFERROR(__xludf.DUMMYFUNCTION("""COMPUTED_VALUE"""),43951.545775)</f>
        <v>43951.54578</v>
      </c>
      <c r="B13" s="4" t="str">
        <f>IFERROR(__xludf.DUMMYFUNCTION("""COMPUTED_VALUE"""),"Sentient")</f>
        <v>Sentient</v>
      </c>
      <c r="C13" s="383">
        <f>IFERROR(__xludf.DUMMYFUNCTION("""COMPUTED_VALUE"""),214.0)</f>
        <v>214</v>
      </c>
      <c r="D13" s="4" t="str">
        <f>IFERROR(__xludf.DUMMYFUNCTION("""COMPUTED_VALUE"""),"Mahsoo")</f>
        <v>Mahsoo</v>
      </c>
      <c r="E13" s="4" t="str">
        <f>IFERROR(__xludf.DUMMYFUNCTION("""COMPUTED_VALUE"""),"Salimi")</f>
        <v>Salimi</v>
      </c>
      <c r="F13" s="4" t="str">
        <f>IFERROR(__xludf.DUMMYFUNCTION("""COMPUTED_VALUE"""),"AI-driven modular and programmable robots")</f>
        <v>AI-driven modular and programmable robots</v>
      </c>
      <c r="G13" s="21" t="str">
        <f>IFERROR(__xludf.DUMMYFUNCTION("""COMPUTED_VALUE"""),"https://drive.google.com/open?id=1aFpVxeJyqW8cZ7xkltHsWyouTi6cGgGJ")</f>
        <v>https://drive.google.com/open?id=1aFpVxeJyqW8cZ7xkltHsWyouTi6cGgGJ</v>
      </c>
      <c r="H13" s="4" t="str">
        <f>IFERROR(__xludf.DUMMYFUNCTION("""COMPUTED_VALUE"""),"No")</f>
        <v>No</v>
      </c>
      <c r="I13" s="4" t="str">
        <f>IFERROR(__xludf.DUMMYFUNCTION("""COMPUTED_VALUE"""),"Not Successful")</f>
        <v>Not Successful</v>
      </c>
      <c r="J13" s="4" t="str">
        <f>IFERROR(__xludf.DUMMYFUNCTION("""COMPUTED_VALUE"""),"")</f>
        <v/>
      </c>
      <c r="K13" s="4" t="str">
        <f>IFERROR(__xludf.DUMMYFUNCTION("""COMPUTED_VALUE"""),"")</f>
        <v/>
      </c>
    </row>
    <row r="14">
      <c r="A14" s="382">
        <f>IFERROR(__xludf.DUMMYFUNCTION("""COMPUTED_VALUE"""),43951.694167)</f>
        <v>43951.69417</v>
      </c>
      <c r="B14" s="4" t="str">
        <f>IFERROR(__xludf.DUMMYFUNCTION("""COMPUTED_VALUE"""),"Electric Puppets Inc.")</f>
        <v>Electric Puppets Inc.</v>
      </c>
      <c r="C14" s="4" t="str">
        <f>IFERROR(__xludf.DUMMYFUNCTION("""COMPUTED_VALUE"""),"QYJJ")</f>
        <v>QYJJ</v>
      </c>
      <c r="D14" s="4" t="str">
        <f>IFERROR(__xludf.DUMMYFUNCTION("""COMPUTED_VALUE"""),"Ryan")</f>
        <v>Ryan</v>
      </c>
      <c r="E14" s="4" t="str">
        <f>IFERROR(__xludf.DUMMYFUNCTION("""COMPUTED_VALUE"""),"Cameron")</f>
        <v>Cameron</v>
      </c>
      <c r="F14" s="4" t="str">
        <f>IFERROR(__xludf.DUMMYFUNCTION("""COMPUTED_VALUE"""),"Virtual Reality in Practice (TM) Patent Pending Software for virtual reality based medical assessment and research")</f>
        <v>Virtual Reality in Practice (TM) Patent Pending Software for virtual reality based medical assessment and research</v>
      </c>
      <c r="G14" s="21" t="str">
        <f>IFERROR(__xludf.DUMMYFUNCTION("""COMPUTED_VALUE"""),"https://drive.google.com/open?id=16VhOuxThWPH2maFoHccnv3_63y3EQEuY")</f>
        <v>https://drive.google.com/open?id=16VhOuxThWPH2maFoHccnv3_63y3EQEuY</v>
      </c>
      <c r="H14" s="4" t="str">
        <f>IFERROR(__xludf.DUMMYFUNCTION("""COMPUTED_VALUE"""),"Maybe")</f>
        <v>Maybe</v>
      </c>
      <c r="I14" s="4" t="str">
        <f>IFERROR(__xludf.DUMMYFUNCTION("""COMPUTED_VALUE"""),"For Review")</f>
        <v>For Review</v>
      </c>
      <c r="J14" s="4" t="str">
        <f>IFERROR(__xludf.DUMMYFUNCTION("""COMPUTED_VALUE"""),"")</f>
        <v/>
      </c>
      <c r="K14" s="4" t="str">
        <f>IFERROR(__xludf.DUMMYFUNCTION("""COMPUTED_VALUE"""),"")</f>
        <v/>
      </c>
    </row>
    <row r="15">
      <c r="A15" s="382">
        <f>IFERROR(__xludf.DUMMYFUNCTION("""COMPUTED_VALUE"""),43951.730706)</f>
        <v>43951.73071</v>
      </c>
      <c r="B15" s="4" t="str">
        <f>IFERROR(__xludf.DUMMYFUNCTION("""COMPUTED_VALUE"""),"Butterfly")</f>
        <v>Butterfly</v>
      </c>
      <c r="C15" s="4" t="str">
        <f>IFERROR(__xludf.DUMMYFUNCTION("""COMPUTED_VALUE"""),"F16Y-2")</f>
        <v>F16Y-2</v>
      </c>
      <c r="D15" s="4" t="str">
        <f>IFERROR(__xludf.DUMMYFUNCTION("""COMPUTED_VALUE"""),"Enzo")</f>
        <v>Enzo</v>
      </c>
      <c r="E15" s="4" t="str">
        <f>IFERROR(__xludf.DUMMYFUNCTION("""COMPUTED_VALUE"""),"Troncone")</f>
        <v>Troncone</v>
      </c>
      <c r="F15" s="4" t="str">
        <f>IFERROR(__xludf.DUMMYFUNCTION("""COMPUTED_VALUE"""),"Trace, Qualify and Speed up your Company Decisions!Scientific approach and innovative algorithms are integreted in our software solutions.")</f>
        <v>Trace, Qualify and Speed up your Company Decisions!Scientific approach and innovative algorithms are integreted in our software solutions.</v>
      </c>
      <c r="G15" s="21" t="str">
        <f>IFERROR(__xludf.DUMMYFUNCTION("""COMPUTED_VALUE"""),"https://drive.google.com/open?id=1WRcktcWIepdp1GwA8gIjw4rthBPfvkpJ")</f>
        <v>https://drive.google.com/open?id=1WRcktcWIepdp1GwA8gIjw4rthBPfvkpJ</v>
      </c>
      <c r="H15" s="4" t="str">
        <f>IFERROR(__xludf.DUMMYFUNCTION("""COMPUTED_VALUE"""),"Maybe")</f>
        <v>Maybe</v>
      </c>
      <c r="I15" s="4" t="str">
        <f>IFERROR(__xludf.DUMMYFUNCTION("""COMPUTED_VALUE"""),"For Review")</f>
        <v>For Review</v>
      </c>
      <c r="J15" s="4" t="str">
        <f>IFERROR(__xludf.DUMMYFUNCTION("""COMPUTED_VALUE"""),"")</f>
        <v/>
      </c>
      <c r="K15" s="4" t="str">
        <f>IFERROR(__xludf.DUMMYFUNCTION("""COMPUTED_VALUE"""),"")</f>
        <v/>
      </c>
    </row>
    <row r="16">
      <c r="A16" s="382">
        <f>IFERROR(__xludf.DUMMYFUNCTION("""COMPUTED_VALUE"""),43951.732384)</f>
        <v>43951.73238</v>
      </c>
      <c r="B16" s="21" t="str">
        <f>IFERROR(__xludf.DUMMYFUNCTION("""COMPUTED_VALUE"""),"Matidor.com")</f>
        <v>Matidor.com</v>
      </c>
      <c r="C16" s="4" t="str">
        <f>IFERROR(__xludf.DUMMYFUNCTION("""COMPUTED_VALUE"""),"6B4E-1")</f>
        <v>6B4E-1</v>
      </c>
      <c r="D16" s="4" t="str">
        <f>IFERROR(__xludf.DUMMYFUNCTION("""COMPUTED_VALUE"""),"Sean")</f>
        <v>Sean</v>
      </c>
      <c r="E16" s="4" t="str">
        <f>IFERROR(__xludf.DUMMYFUNCTION("""COMPUTED_VALUE"""),"Huang")</f>
        <v>Huang</v>
      </c>
      <c r="F16" s="4" t="str">
        <f>IFERROR(__xludf.DUMMYFUNCTION("""COMPUTED_VALUE"""),"Matidor helps solve the pain of using spreadsheets and archaic tools for project management by using a intuitive and visual map-based platform to allow easy collaboration between consultants and their clients in the environmental space.")</f>
        <v>Matidor helps solve the pain of using spreadsheets and archaic tools for project management by using a intuitive and visual map-based platform to allow easy collaboration between consultants and their clients in the environmental space.</v>
      </c>
      <c r="G16" s="21" t="str">
        <f>IFERROR(__xludf.DUMMYFUNCTION("""COMPUTED_VALUE"""),"https://drive.google.com/file/d/1Ev-pxypzYb66kRT5Od9IpzZxhfkwKovt/view")</f>
        <v>https://drive.google.com/file/d/1Ev-pxypzYb66kRT5Od9IpzZxhfkwKovt/view</v>
      </c>
      <c r="H16" s="4" t="str">
        <f>IFERROR(__xludf.DUMMYFUNCTION("""COMPUTED_VALUE"""),"Yes")</f>
        <v>Yes</v>
      </c>
      <c r="I16" s="4" t="str">
        <f>IFERROR(__xludf.DUMMYFUNCTION("""COMPUTED_VALUE"""),"Passed")</f>
        <v>Passed</v>
      </c>
      <c r="J16" s="4" t="str">
        <f>IFERROR(__xludf.DUMMYFUNCTION("""COMPUTED_VALUE"""),"Sent for review")</f>
        <v>Sent for review</v>
      </c>
      <c r="K16" s="4" t="str">
        <f>IFERROR(__xludf.DUMMYFUNCTION("""COMPUTED_VALUE"""),"")</f>
        <v/>
      </c>
    </row>
    <row r="17">
      <c r="A17" s="382">
        <f>IFERROR(__xludf.DUMMYFUNCTION("""COMPUTED_VALUE"""),43952.114525)</f>
        <v>43952.11453</v>
      </c>
      <c r="B17" s="4" t="str">
        <f>IFERROR(__xludf.DUMMYFUNCTION("""COMPUTED_VALUE"""),"Geogram Corporation")</f>
        <v>Geogram Corporation</v>
      </c>
      <c r="C17" s="4" t="str">
        <f>IFERROR(__xludf.DUMMYFUNCTION("""COMPUTED_VALUE"""),"CLLD-1")</f>
        <v>CLLD-1</v>
      </c>
      <c r="D17" s="4" t="str">
        <f>IFERROR(__xludf.DUMMYFUNCTION("""COMPUTED_VALUE"""),"Srinivas")</f>
        <v>Srinivas</v>
      </c>
      <c r="E17" s="4" t="str">
        <f>IFERROR(__xludf.DUMMYFUNCTION("""COMPUTED_VALUE"""),"Krishna")</f>
        <v>Krishna</v>
      </c>
      <c r="F17" s="4" t="str">
        <f>IFERROR(__xludf.DUMMYFUNCTION("""COMPUTED_VALUE"""),"3D collaboration platform for virtual and physical events. Led by a team of AR VR pioneers. In market. Raising seed round with 40% already committed...")</f>
        <v>3D collaboration platform for virtual and physical events. Led by a team of AR VR pioneers. In market. Raising seed round with 40% already committed...</v>
      </c>
      <c r="G17" s="21" t="str">
        <f>IFERROR(__xludf.DUMMYFUNCTION("""COMPUTED_VALUE"""),"https://drive.google.com/file/d/1Z6PEJrgB9BTe_SAJa-mllTkgVjwSL-XC/view?usp=sharing")</f>
        <v>https://drive.google.com/file/d/1Z6PEJrgB9BTe_SAJa-mllTkgVjwSL-XC/view?usp=sharing</v>
      </c>
      <c r="H17" s="4" t="str">
        <f>IFERROR(__xludf.DUMMYFUNCTION("""COMPUTED_VALUE"""),"No")</f>
        <v>No</v>
      </c>
      <c r="I17" s="4" t="str">
        <f>IFERROR(__xludf.DUMMYFUNCTION("""COMPUTED_VALUE"""),"Not Successful")</f>
        <v>Not Successful</v>
      </c>
      <c r="J17" s="4" t="str">
        <f>IFERROR(__xludf.DUMMYFUNCTION("""COMPUTED_VALUE"""),"")</f>
        <v/>
      </c>
      <c r="K17" s="4" t="str">
        <f>IFERROR(__xludf.DUMMYFUNCTION("""COMPUTED_VALUE"""),"")</f>
        <v/>
      </c>
    </row>
    <row r="18">
      <c r="A18" s="382">
        <f>IFERROR(__xludf.DUMMYFUNCTION("""COMPUTED_VALUE"""),43952.410208)</f>
        <v>43952.41021</v>
      </c>
      <c r="B18" s="4" t="str">
        <f>IFERROR(__xludf.DUMMYFUNCTION("""COMPUTED_VALUE"""),"Plutoview")</f>
        <v>Plutoview</v>
      </c>
      <c r="C18" s="4" t="str">
        <f>IFERROR(__xludf.DUMMYFUNCTION("""COMPUTED_VALUE"""),"M6X5")</f>
        <v>M6X5</v>
      </c>
      <c r="D18" s="4" t="str">
        <f>IFERROR(__xludf.DUMMYFUNCTION("""COMPUTED_VALUE"""),"Arkadiy")</f>
        <v>Arkadiy</v>
      </c>
      <c r="E18" s="4" t="str">
        <f>IFERROR(__xludf.DUMMYFUNCTION("""COMPUTED_VALUE"""),"Baltser")</f>
        <v>Baltser</v>
      </c>
      <c r="F18" s="4" t="str">
        <f>IFERROR(__xludf.DUMMYFUNCTION("""COMPUTED_VALUE"""),"We are the first fully virtualized co-browsing tool for student driven remote research and Web-based collaboration.")</f>
        <v>We are the first fully virtualized co-browsing tool for student driven remote research and Web-based collaboration.</v>
      </c>
      <c r="G18" s="21" t="str">
        <f>IFERROR(__xludf.DUMMYFUNCTION("""COMPUTED_VALUE"""),"https://youtu.be/FA8mdOX5CkY")</f>
        <v>https://youtu.be/FA8mdOX5CkY</v>
      </c>
      <c r="H18" s="4" t="str">
        <f>IFERROR(__xludf.DUMMYFUNCTION("""COMPUTED_VALUE"""),"No")</f>
        <v>No</v>
      </c>
      <c r="I18" s="4" t="str">
        <f>IFERROR(__xludf.DUMMYFUNCTION("""COMPUTED_VALUE"""),"Not Successful")</f>
        <v>Not Successful</v>
      </c>
      <c r="J18" s="4" t="str">
        <f>IFERROR(__xludf.DUMMYFUNCTION("""COMPUTED_VALUE"""),"")</f>
        <v/>
      </c>
      <c r="K18" s="4" t="str">
        <f>IFERROR(__xludf.DUMMYFUNCTION("""COMPUTED_VALUE"""),"")</f>
        <v/>
      </c>
    </row>
    <row r="19">
      <c r="A19" s="382">
        <f>IFERROR(__xludf.DUMMYFUNCTION("""COMPUTED_VALUE"""),43952.587928)</f>
        <v>43952.58793</v>
      </c>
      <c r="B19" s="4" t="str">
        <f>IFERROR(__xludf.DUMMYFUNCTION("""COMPUTED_VALUE"""),"HYBRIXCEL INC.")</f>
        <v>HYBRIXCEL INC.</v>
      </c>
      <c r="C19" s="4" t="str">
        <f>IFERROR(__xludf.DUMMYFUNCTION("""COMPUTED_VALUE"""),"EE96")</f>
        <v>EE96</v>
      </c>
      <c r="D19" s="4" t="str">
        <f>IFERROR(__xludf.DUMMYFUNCTION("""COMPUTED_VALUE"""),"Sara")</f>
        <v>Sara</v>
      </c>
      <c r="E19" s="4" t="str">
        <f>IFERROR(__xludf.DUMMYFUNCTION("""COMPUTED_VALUE"""),"Shahmohammadi")</f>
        <v>Shahmohammadi</v>
      </c>
      <c r="F19" s="4" t="str">
        <f>IFERROR(__xludf.DUMMYFUNCTION("""COMPUTED_VALUE"""),"Hybrixcel is a Canadian based clean energy startup focused on geothermal development and developing energy efficiency solutions.")</f>
        <v>Hybrixcel is a Canadian based clean energy startup focused on geothermal development and developing energy efficiency solutions.</v>
      </c>
      <c r="G19" s="21" t="str">
        <f>IFERROR(__xludf.DUMMYFUNCTION("""COMPUTED_VALUE"""),"https://youtu.be/dnOzoOyhWVA")</f>
        <v>https://youtu.be/dnOzoOyhWVA</v>
      </c>
      <c r="H19" s="4" t="str">
        <f>IFERROR(__xludf.DUMMYFUNCTION("""COMPUTED_VALUE"""),"No")</f>
        <v>No</v>
      </c>
      <c r="I19" s="4" t="str">
        <f>IFERROR(__xludf.DUMMYFUNCTION("""COMPUTED_VALUE"""),"Not Successful")</f>
        <v>Not Successful</v>
      </c>
      <c r="J19" s="4" t="str">
        <f>IFERROR(__xludf.DUMMYFUNCTION("""COMPUTED_VALUE"""),"")</f>
        <v/>
      </c>
      <c r="K19" s="4" t="str">
        <f>IFERROR(__xludf.DUMMYFUNCTION("""COMPUTED_VALUE"""),"")</f>
        <v/>
      </c>
    </row>
    <row r="20">
      <c r="A20" s="382">
        <f>IFERROR(__xludf.DUMMYFUNCTION("""COMPUTED_VALUE"""),43952.609769)</f>
        <v>43952.60977</v>
      </c>
      <c r="B20" s="4" t="str">
        <f>IFERROR(__xludf.DUMMYFUNCTION("""COMPUTED_VALUE"""),"Blue Halo BioMedical")</f>
        <v>Blue Halo BioMedical</v>
      </c>
      <c r="C20" s="4" t="str">
        <f>IFERROR(__xludf.DUMMYFUNCTION("""COMPUTED_VALUE"""),"FHJY")</f>
        <v>FHJY</v>
      </c>
      <c r="D20" s="4" t="str">
        <f>IFERROR(__xludf.DUMMYFUNCTION("""COMPUTED_VALUE"""),"Tony")</f>
        <v>Tony</v>
      </c>
      <c r="E20" s="4" t="str">
        <f>IFERROR(__xludf.DUMMYFUNCTION("""COMPUTED_VALUE"""),"Ruben")</f>
        <v>Ruben</v>
      </c>
      <c r="F20" s="4" t="str">
        <f>IFERROR(__xludf.DUMMYFUNCTION("""COMPUTED_VALUE"""),"Blue Halo, an IP-protected, urologist designed internal male catheter solves the problem of CAUTI (catheter associated urinary tract infection) by reducing infections by 80%. 1) Complete clinicals, 2) File Patent, 3) FDA Clearance, 4) Commercialize at $10"&amp;" run rate and close sale in 2023!")</f>
        <v>Blue Halo, an IP-protected, urologist designed internal male catheter solves the problem of CAUTI (catheter associated urinary tract infection) by reducing infections by 80%. 1) Complete clinicals, 2) File Patent, 3) FDA Clearance, 4) Commercialize at $10 run rate and close sale in 2023!</v>
      </c>
      <c r="G20" s="21" t="str">
        <f>IFERROR(__xludf.DUMMYFUNCTION("""COMPUTED_VALUE"""),"https://drive.google.com/open?id=1qV5JhshI3t-zW7jdUh9HuTmP6WktlmZI")</f>
        <v>https://drive.google.com/open?id=1qV5JhshI3t-zW7jdUh9HuTmP6WktlmZI</v>
      </c>
      <c r="H20" s="4" t="str">
        <f>IFERROR(__xludf.DUMMYFUNCTION("""COMPUTED_VALUE"""),"No")</f>
        <v>No</v>
      </c>
      <c r="I20" s="4" t="str">
        <f>IFERROR(__xludf.DUMMYFUNCTION("""COMPUTED_VALUE"""),"Not Successful")</f>
        <v>Not Successful</v>
      </c>
      <c r="J20" s="4" t="str">
        <f>IFERROR(__xludf.DUMMYFUNCTION("""COMPUTED_VALUE"""),"")</f>
        <v/>
      </c>
      <c r="K20" s="4" t="str">
        <f>IFERROR(__xludf.DUMMYFUNCTION("""COMPUTED_VALUE"""),"")</f>
        <v/>
      </c>
    </row>
    <row r="21">
      <c r="A21" s="382">
        <f>IFERROR(__xludf.DUMMYFUNCTION("""COMPUTED_VALUE"""),43953.474803)</f>
        <v>43953.4748</v>
      </c>
      <c r="B21" s="4" t="str">
        <f>IFERROR(__xludf.DUMMYFUNCTION("""COMPUTED_VALUE"""),"YData")</f>
        <v>YData</v>
      </c>
      <c r="C21" s="4" t="str">
        <f>IFERROR(__xludf.DUMMYFUNCTION("""COMPUTED_VALUE"""),"G9LP-2")</f>
        <v>G9LP-2</v>
      </c>
      <c r="D21" s="4" t="str">
        <f>IFERROR(__xludf.DUMMYFUNCTION("""COMPUTED_VALUE"""),"Fabiana")</f>
        <v>Fabiana</v>
      </c>
      <c r="E21" s="4" t="str">
        <f>IFERROR(__xludf.DUMMYFUNCTION("""COMPUTED_VALUE"""),"Clemente")</f>
        <v>Clemente</v>
      </c>
      <c r="F21" s="4" t="str">
        <f>IFERROR(__xludf.DUMMYFUNCTION("""COMPUTED_VALUE"""),"YData helps data science teams deliver machine learning models, with special focus on data acquisition. We make data available with privacy by design, so data scientists can focus their time on things that matter.")</f>
        <v>YData helps data science teams deliver machine learning models, with special focus on data acquisition. We make data available with privacy by design, so data scientists can focus their time on things that matter.</v>
      </c>
      <c r="G21" s="21" t="str">
        <f>IFERROR(__xludf.DUMMYFUNCTION("""COMPUTED_VALUE"""),"https://drive.google.com/open?id=1r8qSKTFuTG66fOTa67gL6aqYHoBtg9tD")</f>
        <v>https://drive.google.com/open?id=1r8qSKTFuTG66fOTa67gL6aqYHoBtg9tD</v>
      </c>
      <c r="H21" s="4" t="str">
        <f>IFERROR(__xludf.DUMMYFUNCTION("""COMPUTED_VALUE"""),"Yes")</f>
        <v>Yes</v>
      </c>
      <c r="I21" s="4" t="str">
        <f>IFERROR(__xludf.DUMMYFUNCTION("""COMPUTED_VALUE"""),"Passed")</f>
        <v>Passed</v>
      </c>
      <c r="J21" s="4" t="str">
        <f>IFERROR(__xludf.DUMMYFUNCTION("""COMPUTED_VALUE"""),"Sent for review")</f>
        <v>Sent for review</v>
      </c>
      <c r="K21" s="4" t="str">
        <f>IFERROR(__xludf.DUMMYFUNCTION("""COMPUTED_VALUE"""),"")</f>
        <v/>
      </c>
    </row>
    <row r="22">
      <c r="A22" s="382">
        <f>IFERROR(__xludf.DUMMYFUNCTION("""COMPUTED_VALUE"""),43954.770602)</f>
        <v>43954.7706</v>
      </c>
      <c r="B22" s="21" t="str">
        <f>IFERROR(__xludf.DUMMYFUNCTION("""COMPUTED_VALUE"""),"appsec.cl")</f>
        <v>appsec.cl</v>
      </c>
      <c r="C22" s="4" t="str">
        <f>IFERROR(__xludf.DUMMYFUNCTION("""COMPUTED_VALUE"""),"E2D7")</f>
        <v>E2D7</v>
      </c>
      <c r="D22" s="4" t="str">
        <f>IFERROR(__xludf.DUMMYFUNCTION("""COMPUTED_VALUE"""),"Gustavo")</f>
        <v>Gustavo</v>
      </c>
      <c r="E22" s="4" t="str">
        <f>IFERROR(__xludf.DUMMYFUNCTION("""COMPUTED_VALUE"""),"Nieves")</f>
        <v>Nieves</v>
      </c>
      <c r="F22" s="4" t="str">
        <f>IFERROR(__xludf.DUMMYFUNCTION("""COMPUTED_VALUE"""),"AI, Academics Papers and Cyber security")</f>
        <v>AI, Academics Papers and Cyber security</v>
      </c>
      <c r="G22" s="21" t="str">
        <f>IFERROR(__xludf.DUMMYFUNCTION("""COMPUTED_VALUE"""),"https://drive.google.com/file/d/1ezaBc7lYR_4JMXGI5FSvOdwOILdPL7bd/view?usp=sharing")</f>
        <v>https://drive.google.com/file/d/1ezaBc7lYR_4JMXGI5FSvOdwOILdPL7bd/view?usp=sharing</v>
      </c>
      <c r="H22" s="4" t="str">
        <f>IFERROR(__xludf.DUMMYFUNCTION("""COMPUTED_VALUE"""),"No")</f>
        <v>No</v>
      </c>
      <c r="I22" s="4" t="str">
        <f>IFERROR(__xludf.DUMMYFUNCTION("""COMPUTED_VALUE"""),"Not Successful")</f>
        <v>Not Successful</v>
      </c>
      <c r="J22" s="4" t="str">
        <f>IFERROR(__xludf.DUMMYFUNCTION("""COMPUTED_VALUE"""),"")</f>
        <v/>
      </c>
      <c r="K22" s="4" t="str">
        <f>IFERROR(__xludf.DUMMYFUNCTION("""COMPUTED_VALUE"""),"")</f>
        <v/>
      </c>
    </row>
    <row r="23">
      <c r="A23" s="382">
        <f>IFERROR(__xludf.DUMMYFUNCTION("""COMPUTED_VALUE"""),43954.817384)</f>
        <v>43954.81738</v>
      </c>
      <c r="B23" s="21" t="str">
        <f>IFERROR(__xludf.DUMMYFUNCTION("""COMPUTED_VALUE"""),"Appsec.cl")</f>
        <v>Appsec.cl</v>
      </c>
      <c r="C23" s="4" t="str">
        <f>IFERROR(__xludf.DUMMYFUNCTION("""COMPUTED_VALUE"""),"E2D7")</f>
        <v>E2D7</v>
      </c>
      <c r="D23" s="4" t="str">
        <f>IFERROR(__xludf.DUMMYFUNCTION("""COMPUTED_VALUE"""),"Gustavo")</f>
        <v>Gustavo</v>
      </c>
      <c r="E23" s="4" t="str">
        <f>IFERROR(__xludf.DUMMYFUNCTION("""COMPUTED_VALUE"""),"Nieves")</f>
        <v>Nieves</v>
      </c>
      <c r="F23" s="4" t="str">
        <f>IFERROR(__xludf.DUMMYFUNCTION("""COMPUTED_VALUE"""),"AI, Academics Papers and Cyber security")</f>
        <v>AI, Academics Papers and Cyber security</v>
      </c>
      <c r="G23" s="21" t="str">
        <f>IFERROR(__xludf.DUMMYFUNCTION("""COMPUTED_VALUE"""),"https://drive.google.com/file/d/1j0HRvBg44u-V_jismZu_NEonswISk5or/view?usp=sharing")</f>
        <v>https://drive.google.com/file/d/1j0HRvBg44u-V_jismZu_NEonswISk5or/view?usp=sharing</v>
      </c>
      <c r="H23" s="4" t="str">
        <f>IFERROR(__xludf.DUMMYFUNCTION("""COMPUTED_VALUE"""),"No")</f>
        <v>No</v>
      </c>
      <c r="I23" s="4" t="str">
        <f>IFERROR(__xludf.DUMMYFUNCTION("""COMPUTED_VALUE"""),"")</f>
        <v/>
      </c>
      <c r="J23" s="4" t="str">
        <f>IFERROR(__xludf.DUMMYFUNCTION("""COMPUTED_VALUE"""),"")</f>
        <v/>
      </c>
      <c r="K23" s="4" t="str">
        <f>IFERROR(__xludf.DUMMYFUNCTION("""COMPUTED_VALUE"""),"")</f>
        <v/>
      </c>
    </row>
    <row r="24">
      <c r="A24" s="382">
        <f>IFERROR(__xludf.DUMMYFUNCTION("""COMPUTED_VALUE"""),43956.458727)</f>
        <v>43956.45873</v>
      </c>
      <c r="B24" s="4" t="str">
        <f>IFERROR(__xludf.DUMMYFUNCTION("""COMPUTED_VALUE"""),"Heirdom Capital")</f>
        <v>Heirdom Capital</v>
      </c>
      <c r="C24" s="4" t="str">
        <f>IFERROR(__xludf.DUMMYFUNCTION("""COMPUTED_VALUE"""),"YTZO-1")</f>
        <v>YTZO-1</v>
      </c>
      <c r="D24" s="4" t="str">
        <f>IFERROR(__xludf.DUMMYFUNCTION("""COMPUTED_VALUE"""),"Tommaso")</f>
        <v>Tommaso</v>
      </c>
      <c r="E24" s="4" t="str">
        <f>IFERROR(__xludf.DUMMYFUNCTION("""COMPUTED_VALUE"""),"Giambelli")</f>
        <v>Giambelli</v>
      </c>
      <c r="F24" s="4" t="str">
        <f>IFERROR(__xludf.DUMMYFUNCTION("""COMPUTED_VALUE"""),"Heirdom Capital leverage U.N. Sustainability practices to give birth to a new generation of art funds. This to benefit investors and art professionals, while creating indiscriminate jobs in the areas where we establish our business practices.")</f>
        <v>Heirdom Capital leverage U.N. Sustainability practices to give birth to a new generation of art funds. This to benefit investors and art professionals, while creating indiscriminate jobs in the areas where we establish our business practices.</v>
      </c>
      <c r="G24" s="21" t="str">
        <f>IFERROR(__xludf.DUMMYFUNCTION("""COMPUTED_VALUE"""),"https://drive.google.com/drive/u/2/folders/1YQ5cRKmq6EbmTFQdVrlbYr-q8spyNQam")</f>
        <v>https://drive.google.com/drive/u/2/folders/1YQ5cRKmq6EbmTFQdVrlbYr-q8spyNQam</v>
      </c>
      <c r="H24" s="4" t="str">
        <f>IFERROR(__xludf.DUMMYFUNCTION("""COMPUTED_VALUE"""),"No")</f>
        <v>No</v>
      </c>
      <c r="I24" s="4" t="str">
        <f>IFERROR(__xludf.DUMMYFUNCTION("""COMPUTED_VALUE"""),"Not Successful")</f>
        <v>Not Successful</v>
      </c>
      <c r="J24" s="4" t="str">
        <f>IFERROR(__xludf.DUMMYFUNCTION("""COMPUTED_VALUE"""),"")</f>
        <v/>
      </c>
      <c r="K24" s="4" t="str">
        <f>IFERROR(__xludf.DUMMYFUNCTION("""COMPUTED_VALUE"""),"")</f>
        <v/>
      </c>
    </row>
    <row r="25">
      <c r="A25" s="382">
        <f>IFERROR(__xludf.DUMMYFUNCTION("""COMPUTED_VALUE"""),43956.50875)</f>
        <v>43956.50875</v>
      </c>
      <c r="B25" s="4" t="str">
        <f>IFERROR(__xludf.DUMMYFUNCTION("""COMPUTED_VALUE"""),"smoodi, Inc.")</f>
        <v>smoodi, Inc.</v>
      </c>
      <c r="C25" s="4" t="str">
        <f>IFERROR(__xludf.DUMMYFUNCTION("""COMPUTED_VALUE"""),"SJWQ")</f>
        <v>SJWQ</v>
      </c>
      <c r="D25" s="4" t="str">
        <f>IFERROR(__xludf.DUMMYFUNCTION("""COMPUTED_VALUE"""),"Morgan")</f>
        <v>Morgan</v>
      </c>
      <c r="E25" s="4" t="str">
        <f>IFERROR(__xludf.DUMMYFUNCTION("""COMPUTED_VALUE"""),"Abraham")</f>
        <v>Abraham</v>
      </c>
      <c r="F25" s="4" t="str">
        <f>IFERROR(__xludf.DUMMYFUNCTION("""COMPUTED_VALUE"""),"smoodi is making people happier and healthier through access to convenient healthy nutrition. Its team designed and patented a smoothie store in a box - it's a self-cleaning machine that makes fresh customized, on-demand nutrition.")</f>
        <v>smoodi is making people happier and healthier through access to convenient healthy nutrition. Its team designed and patented a smoothie store in a box - it's a self-cleaning machine that makes fresh customized, on-demand nutrition.</v>
      </c>
      <c r="G25" s="21" t="str">
        <f>IFERROR(__xludf.DUMMYFUNCTION("""COMPUTED_VALUE"""),"https://photos.app.goo.gl/4QpVenYnbjdAxu7z7")</f>
        <v>https://photos.app.goo.gl/4QpVenYnbjdAxu7z7</v>
      </c>
      <c r="H25" s="4" t="str">
        <f>IFERROR(__xludf.DUMMYFUNCTION("""COMPUTED_VALUE"""),"Yes")</f>
        <v>Yes</v>
      </c>
      <c r="I25" s="4" t="str">
        <f>IFERROR(__xludf.DUMMYFUNCTION("""COMPUTED_VALUE"""),"Failed")</f>
        <v>Failed</v>
      </c>
      <c r="J25" s="4" t="str">
        <f>IFERROR(__xludf.DUMMYFUNCTION("""COMPUTED_VALUE"""),"")</f>
        <v/>
      </c>
      <c r="K25" s="4" t="str">
        <f>IFERROR(__xludf.DUMMYFUNCTION("""COMPUTED_VALUE"""),"")</f>
        <v/>
      </c>
    </row>
    <row r="26">
      <c r="A26" s="382">
        <f>IFERROR(__xludf.DUMMYFUNCTION("""COMPUTED_VALUE"""),43957.798507)</f>
        <v>43957.79851</v>
      </c>
      <c r="B26" s="4" t="str">
        <f>IFERROR(__xludf.DUMMYFUNCTION("""COMPUTED_VALUE"""),"CityGuyd")</f>
        <v>CityGuyd</v>
      </c>
      <c r="C26" s="4" t="str">
        <f>IFERROR(__xludf.DUMMYFUNCTION("""COMPUTED_VALUE"""),"XUNQ-1")</f>
        <v>XUNQ-1</v>
      </c>
      <c r="D26" s="4" t="str">
        <f>IFERROR(__xludf.DUMMYFUNCTION("""COMPUTED_VALUE"""),"Naor")</f>
        <v>Naor</v>
      </c>
      <c r="E26" s="4" t="str">
        <f>IFERROR(__xludf.DUMMYFUNCTION("""COMPUTED_VALUE"""),"Amir")</f>
        <v>Amir</v>
      </c>
      <c r="F26" s="4" t="str">
        <f>IFERROR(__xludf.DUMMYFUNCTION("""COMPUTED_VALUE"""),"CityGuyd augments real life tour guides on the grounds at tourist attractions across the globe! We offer a face to face tour guide experience that is affordable, engaging, and always in your pocket!")</f>
        <v>CityGuyd augments real life tour guides on the grounds at tourist attractions across the globe! We offer a face to face tour guide experience that is affordable, engaging, and always in your pocket!</v>
      </c>
      <c r="G26" s="21" t="str">
        <f>IFERROR(__xludf.DUMMYFUNCTION("""COMPUTED_VALUE"""),"https://drive.google.com/file/d/1jAmlqJoRdzDIZ5bmyr5_7WyoL2LhGbPK/view?usp=sharing")</f>
        <v>https://drive.google.com/file/d/1jAmlqJoRdzDIZ5bmyr5_7WyoL2LhGbPK/view?usp=sharing</v>
      </c>
      <c r="H26" s="4" t="str">
        <f>IFERROR(__xludf.DUMMYFUNCTION("""COMPUTED_VALUE"""),"Yes")</f>
        <v>Yes</v>
      </c>
      <c r="I26" s="4" t="str">
        <f>IFERROR(__xludf.DUMMYFUNCTION("""COMPUTED_VALUE"""),"Passed")</f>
        <v>Passed</v>
      </c>
      <c r="J26" s="4" t="str">
        <f>IFERROR(__xludf.DUMMYFUNCTION("""COMPUTED_VALUE"""),"Sent for review")</f>
        <v>Sent for review</v>
      </c>
      <c r="K26" s="4" t="str">
        <f>IFERROR(__xludf.DUMMYFUNCTION("""COMPUTED_VALUE"""),"")</f>
        <v/>
      </c>
    </row>
    <row r="27">
      <c r="A27" s="382">
        <f>IFERROR(__xludf.DUMMYFUNCTION("""COMPUTED_VALUE"""),43957.811285)</f>
        <v>43957.81129</v>
      </c>
      <c r="B27" s="4" t="str">
        <f>IFERROR(__xludf.DUMMYFUNCTION("""COMPUTED_VALUE"""),"DigsFact LLC")</f>
        <v>DigsFact LLC</v>
      </c>
      <c r="C27" s="4" t="str">
        <f>IFERROR(__xludf.DUMMYFUNCTION("""COMPUTED_VALUE"""),"DEIW-1")</f>
        <v>DEIW-1</v>
      </c>
      <c r="D27" s="4" t="str">
        <f>IFERROR(__xludf.DUMMYFUNCTION("""COMPUTED_VALUE"""),"Nishant")</f>
        <v>Nishant</v>
      </c>
      <c r="E27" s="4" t="str">
        <f>IFERROR(__xludf.DUMMYFUNCTION("""COMPUTED_VALUE"""),"Tomar")</f>
        <v>Tomar</v>
      </c>
      <c r="F27" s="4" t="str">
        <f>IFERROR(__xludf.DUMMYFUNCTION("""COMPUTED_VALUE"""),"Enable anyone to digitally create, measure, view, inspect  and experience any 3D space such as Real Estate, Tourist Spots, Scenic Views, Places of Interest, etc. using only a smartphone! For Insurance industry - We are making it possible to do REMOTE Unde"&amp;"rwriting &amp; REMOTE Claims (FNOL - First Notice of Loss / Adjustment / Inspections).")</f>
        <v>Enable anyone to digitally create, measure, view, inspect  and experience any 3D space such as Real Estate, Tourist Spots, Scenic Views, Places of Interest, etc. using only a smartphone! For Insurance industry - We are making it possible to do REMOTE Underwriting &amp; REMOTE Claims (FNOL - First Notice of Loss / Adjustment / Inspections).</v>
      </c>
      <c r="G27" s="21" t="str">
        <f>IFERROR(__xludf.DUMMYFUNCTION("""COMPUTED_VALUE"""),"https://youtu.be/jIdQb7nfWDA")</f>
        <v>https://youtu.be/jIdQb7nfWDA</v>
      </c>
      <c r="H27" s="4" t="str">
        <f>IFERROR(__xludf.DUMMYFUNCTION("""COMPUTED_VALUE"""),"No")</f>
        <v>No</v>
      </c>
      <c r="I27" s="4" t="str">
        <f>IFERROR(__xludf.DUMMYFUNCTION("""COMPUTED_VALUE"""),"Not Successful")</f>
        <v>Not Successful</v>
      </c>
      <c r="J27" s="4" t="str">
        <f>IFERROR(__xludf.DUMMYFUNCTION("""COMPUTED_VALUE"""),"")</f>
        <v/>
      </c>
      <c r="K27" s="4" t="str">
        <f>IFERROR(__xludf.DUMMYFUNCTION("""COMPUTED_VALUE"""),"")</f>
        <v/>
      </c>
    </row>
    <row r="28">
      <c r="A28" s="382">
        <f>IFERROR(__xludf.DUMMYFUNCTION("""COMPUTED_VALUE"""),43958.42787)</f>
        <v>43958.42787</v>
      </c>
      <c r="B28" s="4" t="str">
        <f>IFERROR(__xludf.DUMMYFUNCTION("""COMPUTED_VALUE"""),"Blue Pier™")</f>
        <v>Blue Pier™</v>
      </c>
      <c r="C28" s="4" t="str">
        <f>IFERROR(__xludf.DUMMYFUNCTION("""COMPUTED_VALUE"""),"NVV1")</f>
        <v>NVV1</v>
      </c>
      <c r="D28" s="4" t="str">
        <f>IFERROR(__xludf.DUMMYFUNCTION("""COMPUTED_VALUE"""),"James")</f>
        <v>James</v>
      </c>
      <c r="E28" s="4" t="str">
        <f>IFERROR(__xludf.DUMMYFUNCTION("""COMPUTED_VALUE"""),"Pierlot")</f>
        <v>Pierlot</v>
      </c>
      <c r="F28" s="4" t="str">
        <f>IFERROR(__xludf.DUMMYFUNCTION("""COMPUTED_VALUE"""),"Blue Pier is Canada’s first and only “Pension Plan as a Service”. Our vision is a financially-secure retirement for all Canadians. We make it possible for any employer, anywhere in Canada, to offer a customized workplace pension plan.")</f>
        <v>Blue Pier is Canada’s first and only “Pension Plan as a Service”. Our vision is a financially-secure retirement for all Canadians. We make it possible for any employer, anywhere in Canada, to offer a customized workplace pension plan.</v>
      </c>
      <c r="G28" s="21" t="str">
        <f>IFERROR(__xludf.DUMMYFUNCTION("""COMPUTED_VALUE"""),"https://drive.google.com/open?id=1sgyFv4F91TiTkYMAYHs6i-c_nDCpbeL_")</f>
        <v>https://drive.google.com/open?id=1sgyFv4F91TiTkYMAYHs6i-c_nDCpbeL_</v>
      </c>
      <c r="H28" s="4" t="str">
        <f>IFERROR(__xludf.DUMMYFUNCTION("""COMPUTED_VALUE"""),"No")</f>
        <v>No</v>
      </c>
      <c r="I28" s="4" t="str">
        <f>IFERROR(__xludf.DUMMYFUNCTION("""COMPUTED_VALUE"""),"Not Successful")</f>
        <v>Not Successful</v>
      </c>
      <c r="J28" s="4" t="str">
        <f>IFERROR(__xludf.DUMMYFUNCTION("""COMPUTED_VALUE"""),"")</f>
        <v/>
      </c>
      <c r="K28" s="4" t="str">
        <f>IFERROR(__xludf.DUMMYFUNCTION("""COMPUTED_VALUE"""),"")</f>
        <v/>
      </c>
    </row>
    <row r="29">
      <c r="A29" s="382">
        <f>IFERROR(__xludf.DUMMYFUNCTION("""COMPUTED_VALUE"""),43958.607118)</f>
        <v>43958.60712</v>
      </c>
      <c r="B29" s="4" t="str">
        <f>IFERROR(__xludf.DUMMYFUNCTION("""COMPUTED_VALUE"""),"TAIKAI")</f>
        <v>TAIKAI</v>
      </c>
      <c r="C29" s="4" t="str">
        <f>IFERROR(__xludf.DUMMYFUNCTION("""COMPUTED_VALUE"""),"MVGS")</f>
        <v>MVGS</v>
      </c>
      <c r="D29" s="4" t="str">
        <f>IFERROR(__xludf.DUMMYFUNCTION("""COMPUTED_VALUE"""),"Mario")</f>
        <v>Mario</v>
      </c>
      <c r="E29" s="4" t="str">
        <f>IFERROR(__xludf.DUMMYFUNCTION("""COMPUTED_VALUE"""),"Alves")</f>
        <v>Alves</v>
      </c>
      <c r="F29" s="4" t="str">
        <f>IFERROR(__xludf.DUMMYFUNCTION("""COMPUTED_VALUE"""),"We help organizations to run their open innovation challenges and hackathons acting as an online management tool.")</f>
        <v>We help organizations to run their open innovation challenges and hackathons acting as an online management tool.</v>
      </c>
      <c r="G29" s="21" t="str">
        <f>IFERROR(__xludf.DUMMYFUNCTION("""COMPUTED_VALUE"""),"https://drive.google.com/file/d/11igG6Hqrgi-5wWGNNWOYc3_v50z6KxNo/view?usp=sharing")</f>
        <v>https://drive.google.com/file/d/11igG6Hqrgi-5wWGNNWOYc3_v50z6KxNo/view?usp=sharing</v>
      </c>
      <c r="H29" s="4" t="str">
        <f>IFERROR(__xludf.DUMMYFUNCTION("""COMPUTED_VALUE"""),"Yes")</f>
        <v>Yes</v>
      </c>
      <c r="I29" s="4" t="str">
        <f>IFERROR(__xludf.DUMMYFUNCTION("""COMPUTED_VALUE"""),"Failed")</f>
        <v>Failed</v>
      </c>
      <c r="J29" s="4" t="str">
        <f>IFERROR(__xludf.DUMMYFUNCTION("""COMPUTED_VALUE"""),"")</f>
        <v/>
      </c>
      <c r="K29" s="4" t="str">
        <f>IFERROR(__xludf.DUMMYFUNCTION("""COMPUTED_VALUE"""),"")</f>
        <v/>
      </c>
    </row>
    <row r="30">
      <c r="A30" s="382">
        <f>IFERROR(__xludf.DUMMYFUNCTION("""COMPUTED_VALUE"""),43958.785752)</f>
        <v>43958.78575</v>
      </c>
      <c r="B30" s="4" t="str">
        <f>IFERROR(__xludf.DUMMYFUNCTION("""COMPUTED_VALUE"""),"HumanKind Homes")</f>
        <v>HumanKind Homes</v>
      </c>
      <c r="C30" s="4" t="str">
        <f>IFERROR(__xludf.DUMMYFUNCTION("""COMPUTED_VALUE"""),"DNKQ")</f>
        <v>DNKQ</v>
      </c>
      <c r="D30" s="4" t="str">
        <f>IFERROR(__xludf.DUMMYFUNCTION("""COMPUTED_VALUE"""),"Eliot")</f>
        <v>Eliot</v>
      </c>
      <c r="E30" s="4" t="str">
        <f>IFERROR(__xludf.DUMMYFUNCTION("""COMPUTED_VALUE"""),"Kahn")</f>
        <v>Kahn</v>
      </c>
      <c r="F30" s="4" t="str">
        <f>IFERROR(__xludf.DUMMYFUNCTION("""COMPUTED_VALUE"""),"3D printing affordable, sustainable, and high quality housing for all")</f>
        <v>3D printing affordable, sustainable, and high quality housing for all</v>
      </c>
      <c r="G30" s="21" t="str">
        <f>IFERROR(__xludf.DUMMYFUNCTION("""COMPUTED_VALUE"""),"https://drive.google.com/file/d/1XWWf2hUCNfk0vNQTFQj8KhnMSrfbpWOq/view?usp=sharing")</f>
        <v>https://drive.google.com/file/d/1XWWf2hUCNfk0vNQTFQj8KhnMSrfbpWOq/view?usp=sharing</v>
      </c>
      <c r="H30" s="4" t="str">
        <f>IFERROR(__xludf.DUMMYFUNCTION("""COMPUTED_VALUE"""),"Yes")</f>
        <v>Yes</v>
      </c>
      <c r="I30" s="4" t="str">
        <f>IFERROR(__xludf.DUMMYFUNCTION("""COMPUTED_VALUE"""),"Passed")</f>
        <v>Passed</v>
      </c>
      <c r="J30" s="4" t="str">
        <f>IFERROR(__xludf.DUMMYFUNCTION("""COMPUTED_VALUE"""),"Sent for review")</f>
        <v>Sent for review</v>
      </c>
      <c r="K30" s="4" t="str">
        <f>IFERROR(__xludf.DUMMYFUNCTION("""COMPUTED_VALUE"""),"")</f>
        <v/>
      </c>
    </row>
    <row r="31">
      <c r="A31" s="382">
        <f>IFERROR(__xludf.DUMMYFUNCTION("""COMPUTED_VALUE"""),43958.958854)</f>
        <v>43958.95885</v>
      </c>
      <c r="B31" s="4" t="str">
        <f>IFERROR(__xludf.DUMMYFUNCTION("""COMPUTED_VALUE"""),"BisRing INC.")</f>
        <v>BisRing INC.</v>
      </c>
      <c r="C31" s="4" t="str">
        <f>IFERROR(__xludf.DUMMYFUNCTION("""COMPUTED_VALUE"""),"QTJN")</f>
        <v>QTJN</v>
      </c>
      <c r="D31" s="4" t="str">
        <f>IFERROR(__xludf.DUMMYFUNCTION("""COMPUTED_VALUE"""),"Akilan")</f>
        <v>Akilan</v>
      </c>
      <c r="E31" s="4" t="str">
        <f>IFERROR(__xludf.DUMMYFUNCTION("""COMPUTED_VALUE"""),"Theva")</f>
        <v>Theva</v>
      </c>
      <c r="F31" s="4" t="str">
        <f>IFERROR(__xludf.DUMMYFUNCTION("""COMPUTED_VALUE"""),"BisRing connects real estate investors and home owners with reputable service providers and businesses for lasting relationship to manage and maintain their real estate investment seamlessly.")</f>
        <v>BisRing connects real estate investors and home owners with reputable service providers and businesses for lasting relationship to manage and maintain their real estate investment seamlessly.</v>
      </c>
      <c r="G31" s="21" t="str">
        <f>IFERROR(__xludf.DUMMYFUNCTION("""COMPUTED_VALUE"""),"https://drive.google.com/open?id=16qUpzjzj60yiklJ1SDVXU1_IEX6aAQMl")</f>
        <v>https://drive.google.com/open?id=16qUpzjzj60yiklJ1SDVXU1_IEX6aAQMl</v>
      </c>
      <c r="H31" s="4" t="str">
        <f>IFERROR(__xludf.DUMMYFUNCTION("""COMPUTED_VALUE"""),"No")</f>
        <v>No</v>
      </c>
      <c r="I31" s="4" t="str">
        <f>IFERROR(__xludf.DUMMYFUNCTION("""COMPUTED_VALUE"""),"Not Successful")</f>
        <v>Not Successful</v>
      </c>
      <c r="J31" s="4" t="str">
        <f>IFERROR(__xludf.DUMMYFUNCTION("""COMPUTED_VALUE"""),"")</f>
        <v/>
      </c>
      <c r="K31" s="4" t="str">
        <f>IFERROR(__xludf.DUMMYFUNCTION("""COMPUTED_VALUE"""),"")</f>
        <v/>
      </c>
    </row>
    <row r="32">
      <c r="A32" s="382">
        <f>IFERROR(__xludf.DUMMYFUNCTION("""COMPUTED_VALUE"""),43959.067373)</f>
        <v>43959.06737</v>
      </c>
      <c r="B32" s="4" t="str">
        <f>IFERROR(__xludf.DUMMYFUNCTION("""COMPUTED_VALUE"""),"Sellbit")</f>
        <v>Sellbit</v>
      </c>
      <c r="C32" s="4" t="str">
        <f>IFERROR(__xludf.DUMMYFUNCTION("""COMPUTED_VALUE"""),"0HTX")</f>
        <v>0HTX</v>
      </c>
      <c r="D32" s="4" t="str">
        <f>IFERROR(__xludf.DUMMYFUNCTION("""COMPUTED_VALUE"""),"Jeff")</f>
        <v>Jeff</v>
      </c>
      <c r="E32" s="4" t="str">
        <f>IFERROR(__xludf.DUMMYFUNCTION("""COMPUTED_VALUE"""),"LaPorte")</f>
        <v>LaPorte</v>
      </c>
      <c r="F32" s="4" t="str">
        <f>IFERROR(__xludf.DUMMYFUNCTION("""COMPUTED_VALUE"""),"Sellbit is the missing infrastructure for API sales")</f>
        <v>Sellbit is the missing infrastructure for API sales</v>
      </c>
      <c r="G32" s="21" t="str">
        <f>IFERROR(__xludf.DUMMYFUNCTION("""COMPUTED_VALUE"""),"https://drive.google.com/file/d/1zfzFbdbBbigD9dyAUF0gNm-4kPydAwNW/view?usp=sharing")</f>
        <v>https://drive.google.com/file/d/1zfzFbdbBbigD9dyAUF0gNm-4kPydAwNW/view?usp=sharing</v>
      </c>
      <c r="H32" s="4" t="str">
        <f>IFERROR(__xludf.DUMMYFUNCTION("""COMPUTED_VALUE"""),"Yes")</f>
        <v>Yes</v>
      </c>
      <c r="I32" s="4" t="str">
        <f>IFERROR(__xludf.DUMMYFUNCTION("""COMPUTED_VALUE"""),"Passed")</f>
        <v>Passed</v>
      </c>
      <c r="J32" s="4" t="str">
        <f>IFERROR(__xludf.DUMMYFUNCTION("""COMPUTED_VALUE"""),"Sent for review")</f>
        <v>Sent for review</v>
      </c>
      <c r="K32" s="4" t="str">
        <f>IFERROR(__xludf.DUMMYFUNCTION("""COMPUTED_VALUE"""),"")</f>
        <v/>
      </c>
    </row>
    <row r="33">
      <c r="A33" s="382">
        <f>IFERROR(__xludf.DUMMYFUNCTION("""COMPUTED_VALUE"""),43959.081088)</f>
        <v>43959.08109</v>
      </c>
      <c r="B33" s="4" t="str">
        <f>IFERROR(__xludf.DUMMYFUNCTION("""COMPUTED_VALUE"""),"Kinzoo")</f>
        <v>Kinzoo</v>
      </c>
      <c r="C33" s="4" t="str">
        <f>IFERROR(__xludf.DUMMYFUNCTION("""COMPUTED_VALUE"""),"2FXI")</f>
        <v>2FXI</v>
      </c>
      <c r="D33" s="4" t="str">
        <f>IFERROR(__xludf.DUMMYFUNCTION("""COMPUTED_VALUE"""),"Sean")</f>
        <v>Sean</v>
      </c>
      <c r="E33" s="4" t="str">
        <f>IFERROR(__xludf.DUMMYFUNCTION("""COMPUTED_VALUE"""),"Herman")</f>
        <v>Herman</v>
      </c>
      <c r="F33" s="4" t="str">
        <f>IFERROR(__xludf.DUMMYFUNCTION("""COMPUTED_VALUE"""),"Kinzoo turns screen time into family time.")</f>
        <v>Kinzoo turns screen time into family time.</v>
      </c>
      <c r="G33" s="21" t="str">
        <f>IFERROR(__xludf.DUMMYFUNCTION("""COMPUTED_VALUE"""),"https://drive.google.com/file/d/1_h1TqsSZMNxWI9yPGwN7syLcIdbEjHJ8/view")</f>
        <v>https://drive.google.com/file/d/1_h1TqsSZMNxWI9yPGwN7syLcIdbEjHJ8/view</v>
      </c>
      <c r="H33" s="4" t="str">
        <f>IFERROR(__xludf.DUMMYFUNCTION("""COMPUTED_VALUE"""),"Yes")</f>
        <v>Yes</v>
      </c>
      <c r="I33" s="4" t="str">
        <f>IFERROR(__xludf.DUMMYFUNCTION("""COMPUTED_VALUE"""),"Passed")</f>
        <v>Passed</v>
      </c>
      <c r="J33" s="4" t="str">
        <f>IFERROR(__xludf.DUMMYFUNCTION("""COMPUTED_VALUE"""),"Sent for review")</f>
        <v>Sent for review</v>
      </c>
      <c r="K33" s="4" t="str">
        <f>IFERROR(__xludf.DUMMYFUNCTION("""COMPUTED_VALUE"""),"")</f>
        <v/>
      </c>
    </row>
    <row r="34">
      <c r="A34" s="382">
        <f>IFERROR(__xludf.DUMMYFUNCTION("""COMPUTED_VALUE"""),43959.445648)</f>
        <v>43959.44565</v>
      </c>
      <c r="B34" s="4" t="str">
        <f>IFERROR(__xludf.DUMMYFUNCTION("""COMPUTED_VALUE"""),"Eon Media Corp.")</f>
        <v>Eon Media Corp.</v>
      </c>
      <c r="C34" s="4" t="str">
        <f>IFERROR(__xludf.DUMMYFUNCTION("""COMPUTED_VALUE"""),"1Z72-1")</f>
        <v>1Z72-1</v>
      </c>
      <c r="D34" s="4" t="str">
        <f>IFERROR(__xludf.DUMMYFUNCTION("""COMPUTED_VALUE"""),"Ashish")</f>
        <v>Ashish</v>
      </c>
      <c r="E34" s="4" t="str">
        <f>IFERROR(__xludf.DUMMYFUNCTION("""COMPUTED_VALUE"""),"Agrawal")</f>
        <v>Agrawal</v>
      </c>
      <c r="F34" s="4" t="str">
        <f>IFERROR(__xludf.DUMMYFUNCTION("""COMPUTED_VALUE"""),"Eon Media is on a mission to responsibly build next-generation tech solutions for media companies. Our product suite leverages AI in a way that is easy to integrate, significantly improves end-user viewing experience and saves companies 60-70% in backend "&amp;"costs")</f>
        <v>Eon Media is on a mission to responsibly build next-generation tech solutions for media companies. Our product suite leverages AI in a way that is easy to integrate, significantly improves end-user viewing experience and saves companies 60-70% in backend costs</v>
      </c>
      <c r="G34" s="21" t="str">
        <f>IFERROR(__xludf.DUMMYFUNCTION("""COMPUTED_VALUE"""),"https://drive.google.com/file/d/1Iy55I11sPx4TvqPykFz8o5vN93CMvX4u/view?usp=sharing")</f>
        <v>https://drive.google.com/file/d/1Iy55I11sPx4TvqPykFz8o5vN93CMvX4u/view?usp=sharing</v>
      </c>
      <c r="H34" s="4" t="str">
        <f>IFERROR(__xludf.DUMMYFUNCTION("""COMPUTED_VALUE"""),"Maybe")</f>
        <v>Maybe</v>
      </c>
      <c r="I34" s="4" t="str">
        <f>IFERROR(__xludf.DUMMYFUNCTION("""COMPUTED_VALUE"""),"Passed")</f>
        <v>Passed</v>
      </c>
      <c r="J34" s="4" t="str">
        <f>IFERROR(__xludf.DUMMYFUNCTION("""COMPUTED_VALUE"""),"")</f>
        <v/>
      </c>
      <c r="K34" s="4" t="str">
        <f>IFERROR(__xludf.DUMMYFUNCTION("""COMPUTED_VALUE"""),"")</f>
        <v/>
      </c>
    </row>
    <row r="35">
      <c r="A35" s="382">
        <f>IFERROR(__xludf.DUMMYFUNCTION("""COMPUTED_VALUE"""),43959.468345)</f>
        <v>43959.46835</v>
      </c>
      <c r="B35" s="4" t="str">
        <f>IFERROR(__xludf.DUMMYFUNCTION("""COMPUTED_VALUE"""),"FIXAR")</f>
        <v>FIXAR</v>
      </c>
      <c r="C35" s="4" t="str">
        <f>IFERROR(__xludf.DUMMYFUNCTION("""COMPUTED_VALUE"""),"BCQQ")</f>
        <v>BCQQ</v>
      </c>
      <c r="D35" s="4" t="str">
        <f>IFERROR(__xludf.DUMMYFUNCTION("""COMPUTED_VALUE"""),"Vasily")</f>
        <v>Vasily</v>
      </c>
      <c r="E35" s="4" t="str">
        <f>IFERROR(__xludf.DUMMYFUNCTION("""COMPUTED_VALUE"""),"Lukashov")</f>
        <v>Lukashov</v>
      </c>
      <c r="F35" s="4" t="str">
        <f>IFERROR(__xludf.DUMMYFUNCTION("""COMPUTED_VALUE"""),"FIXAR is a developer and manufacturer of integrated unmanned aerial solutions for industry-specific outdoor and indoor tasks. FIXAR products are based on the market's request and provide end to end solutions to the current challenges in the fields of aeri"&amp;"al photography, laser scanning, real time monitoring, delivery, agriculture, and anti-drones.")</f>
        <v>FIXAR is a developer and manufacturer of integrated unmanned aerial solutions for industry-specific outdoor and indoor tasks. FIXAR products are based on the market's request and provide end to end solutions to the current challenges in the fields of aerial photography, laser scanning, real time monitoring, delivery, agriculture, and anti-drones.</v>
      </c>
      <c r="G35" s="21" t="str">
        <f>IFERROR(__xludf.DUMMYFUNCTION("""COMPUTED_VALUE"""),"https://drive.google.com/file/d/1agPywpPE3XuFzu9DWcw4gti1MnzW_vE-/view")</f>
        <v>https://drive.google.com/file/d/1agPywpPE3XuFzu9DWcw4gti1MnzW_vE-/view</v>
      </c>
      <c r="H35" s="4" t="str">
        <f>IFERROR(__xludf.DUMMYFUNCTION("""COMPUTED_VALUE"""),"No")</f>
        <v>No</v>
      </c>
      <c r="I35" s="4" t="str">
        <f>IFERROR(__xludf.DUMMYFUNCTION("""COMPUTED_VALUE"""),"Not Successful")</f>
        <v>Not Successful</v>
      </c>
      <c r="J35" s="4" t="str">
        <f>IFERROR(__xludf.DUMMYFUNCTION("""COMPUTED_VALUE"""),"")</f>
        <v/>
      </c>
      <c r="K35" s="4" t="str">
        <f>IFERROR(__xludf.DUMMYFUNCTION("""COMPUTED_VALUE"""),"")</f>
        <v/>
      </c>
    </row>
    <row r="36">
      <c r="A36" s="382">
        <f>IFERROR(__xludf.DUMMYFUNCTION("""COMPUTED_VALUE"""),43959.47265)</f>
        <v>43959.47265</v>
      </c>
      <c r="B36" s="4" t="str">
        <f>IFERROR(__xludf.DUMMYFUNCTION("""COMPUTED_VALUE"""),"MeetMarket")</f>
        <v>MeetMarket</v>
      </c>
      <c r="C36" s="4" t="str">
        <f>IFERROR(__xludf.DUMMYFUNCTION("""COMPUTED_VALUE"""),"MR8T")</f>
        <v>MR8T</v>
      </c>
      <c r="D36" s="4" t="str">
        <f>IFERROR(__xludf.DUMMYFUNCTION("""COMPUTED_VALUE"""),"Meghan")</f>
        <v>Meghan</v>
      </c>
      <c r="E36" s="4" t="str">
        <f>IFERROR(__xludf.DUMMYFUNCTION("""COMPUTED_VALUE"""),"Bentley")</f>
        <v>Bentley</v>
      </c>
      <c r="F36" s="4" t="str">
        <f>IFERROR(__xludf.DUMMYFUNCTION("""COMPUTED_VALUE"""),"MeetMarket serves singles and businesses using personal connections. Our technology uses metrics to curate members, then privately directs them to relevant local businesses where they can meet compatible members in genuine environments while also driving "&amp;"measurable foot traffic for businesses.")</f>
        <v>MeetMarket serves singles and businesses using personal connections. Our technology uses metrics to curate members, then privately directs them to relevant local businesses where they can meet compatible members in genuine environments while also driving measurable foot traffic for businesses.</v>
      </c>
      <c r="G36" s="21" t="str">
        <f>IFERROR(__xludf.DUMMYFUNCTION("""COMPUTED_VALUE"""),"https://drive.google.com/open?id=1BSD2LY7erxAYmWOIkAagAADH2IvYxnZs")</f>
        <v>https://drive.google.com/open?id=1BSD2LY7erxAYmWOIkAagAADH2IvYxnZs</v>
      </c>
      <c r="H36" s="4" t="str">
        <f>IFERROR(__xludf.DUMMYFUNCTION("""COMPUTED_VALUE"""),"Maybe")</f>
        <v>Maybe</v>
      </c>
      <c r="I36" s="4" t="str">
        <f>IFERROR(__xludf.DUMMYFUNCTION("""COMPUTED_VALUE"""),"Passed")</f>
        <v>Passed</v>
      </c>
      <c r="J36" s="4" t="str">
        <f>IFERROR(__xludf.DUMMYFUNCTION("""COMPUTED_VALUE"""),"")</f>
        <v/>
      </c>
      <c r="K36" s="4" t="str">
        <f>IFERROR(__xludf.DUMMYFUNCTION("""COMPUTED_VALUE"""),"")</f>
        <v/>
      </c>
    </row>
    <row r="37">
      <c r="A37" s="382">
        <f>IFERROR(__xludf.DUMMYFUNCTION("""COMPUTED_VALUE"""),43959.488356)</f>
        <v>43959.48836</v>
      </c>
      <c r="B37" s="4" t="str">
        <f>IFERROR(__xludf.DUMMYFUNCTION("""COMPUTED_VALUE"""),"Nerve Solutions")</f>
        <v>Nerve Solutions</v>
      </c>
      <c r="C37" s="4" t="str">
        <f>IFERROR(__xludf.DUMMYFUNCTION("""COMPUTED_VALUE"""),"1XU6-1")</f>
        <v>1XU6-1</v>
      </c>
      <c r="D37" s="4" t="str">
        <f>IFERROR(__xludf.DUMMYFUNCTION("""COMPUTED_VALUE"""),"Mihir")</f>
        <v>Mihir</v>
      </c>
      <c r="E37" s="4" t="str">
        <f>IFERROR(__xludf.DUMMYFUNCTION("""COMPUTED_VALUE"""),"Malani")</f>
        <v>Malani</v>
      </c>
      <c r="F37" s="4" t="str">
        <f>IFERROR(__xludf.DUMMYFUNCTION("""COMPUTED_VALUE"""),"We are a team of software engineers creating products for real time risk and surveillance in financial markets allowing market participants to identify and quantify risk and anomalies in live markets and take corrective actions at sub-second speeds")</f>
        <v>We are a team of software engineers creating products for real time risk and surveillance in financial markets allowing market participants to identify and quantify risk and anomalies in live markets and take corrective actions at sub-second speeds</v>
      </c>
      <c r="G37" s="21" t="str">
        <f>IFERROR(__xludf.DUMMYFUNCTION("""COMPUTED_VALUE"""),"https://drive.google.com/file/d/1dZuW1aGHC2EnvcsIxt6g0wEB7HJJBsx7/view?usp=sharing")</f>
        <v>https://drive.google.com/file/d/1dZuW1aGHC2EnvcsIxt6g0wEB7HJJBsx7/view?usp=sharing</v>
      </c>
      <c r="H37" s="4" t="str">
        <f>IFERROR(__xludf.DUMMYFUNCTION("""COMPUTED_VALUE"""),"No")</f>
        <v>No</v>
      </c>
      <c r="I37" s="4" t="str">
        <f>IFERROR(__xludf.DUMMYFUNCTION("""COMPUTED_VALUE"""),"Not Successful")</f>
        <v>Not Successful</v>
      </c>
      <c r="J37" s="4" t="str">
        <f>IFERROR(__xludf.DUMMYFUNCTION("""COMPUTED_VALUE"""),"")</f>
        <v/>
      </c>
      <c r="K37" s="4" t="str">
        <f>IFERROR(__xludf.DUMMYFUNCTION("""COMPUTED_VALUE"""),"")</f>
        <v/>
      </c>
    </row>
    <row r="38">
      <c r="A38" s="382">
        <f>IFERROR(__xludf.DUMMYFUNCTION("""COMPUTED_VALUE"""),43959.490741)</f>
        <v>43959.49074</v>
      </c>
      <c r="B38" s="4" t="str">
        <f>IFERROR(__xludf.DUMMYFUNCTION("""COMPUTED_VALUE"""),"FELOH: For Everyone's Love of Hair")</f>
        <v>FELOH: For Everyone's Love of Hair</v>
      </c>
      <c r="C38" s="4" t="str">
        <f>IFERROR(__xludf.DUMMYFUNCTION("""COMPUTED_VALUE"""),"BPFE")</f>
        <v>BPFE</v>
      </c>
      <c r="D38" s="4" t="str">
        <f>IFERROR(__xludf.DUMMYFUNCTION("""COMPUTED_VALUE"""),"Camille")</f>
        <v>Camille</v>
      </c>
      <c r="E38" s="4" t="str">
        <f>IFERROR(__xludf.DUMMYFUNCTION("""COMPUTED_VALUE"""),"Heard")</f>
        <v>Heard</v>
      </c>
      <c r="F38" s="4" t="str">
        <f>IFERROR(__xludf.DUMMYFUNCTION("""COMPUTED_VALUE"""),"FELOH is a social marketplace for hair care and beauty where users earn cash for beauty products when they are socially active.")</f>
        <v>FELOH is a social marketplace for hair care and beauty where users earn cash for beauty products when they are socially active.</v>
      </c>
      <c r="G38" s="21" t="str">
        <f>IFERROR(__xludf.DUMMYFUNCTION("""COMPUTED_VALUE"""),"https://drive.google.com/file/d/1CwCqiIWI_S_yxw_b8ZwpcX6HWGs_NMqN/view?usp=sharing")</f>
        <v>https://drive.google.com/file/d/1CwCqiIWI_S_yxw_b8ZwpcX6HWGs_NMqN/view?usp=sharing</v>
      </c>
      <c r="H38" s="4" t="str">
        <f>IFERROR(__xludf.DUMMYFUNCTION("""COMPUTED_VALUE"""),"Yes")</f>
        <v>Yes</v>
      </c>
      <c r="I38" s="4" t="str">
        <f>IFERROR(__xludf.DUMMYFUNCTION("""COMPUTED_VALUE"""),"Failed")</f>
        <v>Failed</v>
      </c>
      <c r="J38" s="4" t="str">
        <f>IFERROR(__xludf.DUMMYFUNCTION("""COMPUTED_VALUE"""),"")</f>
        <v/>
      </c>
      <c r="K38" s="4" t="str">
        <f>IFERROR(__xludf.DUMMYFUNCTION("""COMPUTED_VALUE"""),"")</f>
        <v/>
      </c>
    </row>
    <row r="39">
      <c r="A39" s="382">
        <f>IFERROR(__xludf.DUMMYFUNCTION("""COMPUTED_VALUE"""),43959.495509)</f>
        <v>43959.49551</v>
      </c>
      <c r="B39" s="4" t="str">
        <f>IFERROR(__xludf.DUMMYFUNCTION("""COMPUTED_VALUE"""),"VetCase")</f>
        <v>VetCase</v>
      </c>
      <c r="C39" s="4" t="str">
        <f>IFERROR(__xludf.DUMMYFUNCTION("""COMPUTED_VALUE"""),"LFQI")</f>
        <v>LFQI</v>
      </c>
      <c r="D39" s="4" t="str">
        <f>IFERROR(__xludf.DUMMYFUNCTION("""COMPUTED_VALUE"""),"Jimena")</f>
        <v>Jimena</v>
      </c>
      <c r="E39" s="4" t="str">
        <f>IFERROR(__xludf.DUMMYFUNCTION("""COMPUTED_VALUE"""),"Martínez")</f>
        <v>Martínez</v>
      </c>
      <c r="F39" s="4" t="str">
        <f>IFERROR(__xludf.DUMMYFUNCTION("""COMPUTED_VALUE"""),"Pets get complex diseases, which makes them need specialized care like humans, but specialist vets are not so easy to find. That's why we created VetCase, a web platform that connects pet parents and specialist vets all over the world.")</f>
        <v>Pets get complex diseases, which makes them need specialized care like humans, but specialist vets are not so easy to find. That's why we created VetCase, a web platform that connects pet parents and specialist vets all over the world.</v>
      </c>
      <c r="G39" s="21" t="str">
        <f>IFERROR(__xludf.DUMMYFUNCTION("""COMPUTED_VALUE"""),"https://drive.google.com/open?id=1loDGxDTHsPdxfk0DxdrbtKStczAzTdwo")</f>
        <v>https://drive.google.com/open?id=1loDGxDTHsPdxfk0DxdrbtKStczAzTdwo</v>
      </c>
      <c r="H39" s="4" t="str">
        <f>IFERROR(__xludf.DUMMYFUNCTION("""COMPUTED_VALUE"""),"Yes")</f>
        <v>Yes</v>
      </c>
      <c r="I39" s="4" t="str">
        <f>IFERROR(__xludf.DUMMYFUNCTION("""COMPUTED_VALUE"""),"For Review")</f>
        <v>For Review</v>
      </c>
      <c r="J39" s="4" t="str">
        <f>IFERROR(__xludf.DUMMYFUNCTION("""COMPUTED_VALUE"""),"")</f>
        <v/>
      </c>
      <c r="K39" s="4" t="str">
        <f>IFERROR(__xludf.DUMMYFUNCTION("""COMPUTED_VALUE"""),"")</f>
        <v/>
      </c>
    </row>
    <row r="40">
      <c r="A40" s="382">
        <f>IFERROR(__xludf.DUMMYFUNCTION("""COMPUTED_VALUE"""),43959.498322)</f>
        <v>43959.49832</v>
      </c>
      <c r="B40" s="4" t="str">
        <f>IFERROR(__xludf.DUMMYFUNCTION("""COMPUTED_VALUE"""),"Tulsi")</f>
        <v>Tulsi</v>
      </c>
      <c r="C40" s="4" t="str">
        <f>IFERROR(__xludf.DUMMYFUNCTION("""COMPUTED_VALUE"""),"U8QO")</f>
        <v>U8QO</v>
      </c>
      <c r="D40" s="4" t="str">
        <f>IFERROR(__xludf.DUMMYFUNCTION("""COMPUTED_VALUE"""),"Ked")</f>
        <v>Ked</v>
      </c>
      <c r="E40" s="4" t="str">
        <f>IFERROR(__xludf.DUMMYFUNCTION("""COMPUTED_VALUE"""),"Suri")</f>
        <v>Suri</v>
      </c>
      <c r="F40" s="4" t="str">
        <f>IFERROR(__xludf.DUMMYFUNCTION("""COMPUTED_VALUE"""),"Tulsi is a transaction-based digital PR marketplace which connects SMEs and startups with relevant publishers, without the need of a PR agency. Our aim is to completely disrupt the global PR industry.")</f>
        <v>Tulsi is a transaction-based digital PR marketplace which connects SMEs and startups with relevant publishers, without the need of a PR agency. Our aim is to completely disrupt the global PR industry.</v>
      </c>
      <c r="G40" s="21" t="str">
        <f>IFERROR(__xludf.DUMMYFUNCTION("""COMPUTED_VALUE"""),"https://drive.google.com/file/d/1mhH_q-qFd6qVhRyYh7f40ugPB8EgGsGu/view?usp=sharing")</f>
        <v>https://drive.google.com/file/d/1mhH_q-qFd6qVhRyYh7f40ugPB8EgGsGu/view?usp=sharing</v>
      </c>
      <c r="H40" s="4" t="str">
        <f>IFERROR(__xludf.DUMMYFUNCTION("""COMPUTED_VALUE"""),"No")</f>
        <v>No</v>
      </c>
      <c r="I40" s="4" t="str">
        <f>IFERROR(__xludf.DUMMYFUNCTION("""COMPUTED_VALUE"""),"Not Successful")</f>
        <v>Not Successful</v>
      </c>
      <c r="J40" s="4" t="str">
        <f>IFERROR(__xludf.DUMMYFUNCTION("""COMPUTED_VALUE"""),"")</f>
        <v/>
      </c>
      <c r="K40" s="4" t="str">
        <f>IFERROR(__xludf.DUMMYFUNCTION("""COMPUTED_VALUE"""),"")</f>
        <v/>
      </c>
    </row>
    <row r="41">
      <c r="A41" s="382">
        <f>IFERROR(__xludf.DUMMYFUNCTION("""COMPUTED_VALUE"""),43959.499676)</f>
        <v>43959.49968</v>
      </c>
      <c r="B41" s="4" t="str">
        <f>IFERROR(__xludf.DUMMYFUNCTION("""COMPUTED_VALUE"""),"Utreon Inc.")</f>
        <v>Utreon Inc.</v>
      </c>
      <c r="C41" s="4" t="str">
        <f>IFERROR(__xludf.DUMMYFUNCTION("""COMPUTED_VALUE"""),"CQJR")</f>
        <v>CQJR</v>
      </c>
      <c r="D41" s="4" t="str">
        <f>IFERROR(__xludf.DUMMYFUNCTION("""COMPUTED_VALUE"""),"Sean")</f>
        <v>Sean</v>
      </c>
      <c r="E41" s="4" t="str">
        <f>IFERROR(__xludf.DUMMYFUNCTION("""COMPUTED_VALUE"""),"Duncombe")</f>
        <v>Duncombe</v>
      </c>
      <c r="F41" s="4" t="str">
        <f>IFERROR(__xludf.DUMMYFUNCTION("""COMPUTED_VALUE"""),"The next-generation video platform")</f>
        <v>The next-generation video platform</v>
      </c>
      <c r="G41" s="21" t="str">
        <f>IFERROR(__xludf.DUMMYFUNCTION("""COMPUTED_VALUE"""),"https://drive.google.com/open?id=1-3_LgKv9wxMFTu8_S_ne1tHh3WQNBjkt")</f>
        <v>https://drive.google.com/open?id=1-3_LgKv9wxMFTu8_S_ne1tHh3WQNBjkt</v>
      </c>
      <c r="H41" s="4" t="str">
        <f>IFERROR(__xludf.DUMMYFUNCTION("""COMPUTED_VALUE"""),"Maybe")</f>
        <v>Maybe</v>
      </c>
      <c r="I41" s="4" t="str">
        <f>IFERROR(__xludf.DUMMYFUNCTION("""COMPUTED_VALUE"""),"")</f>
        <v/>
      </c>
      <c r="J41" s="4" t="str">
        <f>IFERROR(__xludf.DUMMYFUNCTION("""COMPUTED_VALUE"""),"")</f>
        <v/>
      </c>
      <c r="K41" s="4" t="str">
        <f>IFERROR(__xludf.DUMMYFUNCTION("""COMPUTED_VALUE"""),"")</f>
        <v/>
      </c>
    </row>
    <row r="42">
      <c r="A42" s="382">
        <f>IFERROR(__xludf.DUMMYFUNCTION("""COMPUTED_VALUE"""),43959.499954)</f>
        <v>43959.49995</v>
      </c>
      <c r="B42" s="4" t="str">
        <f>IFERROR(__xludf.DUMMYFUNCTION("""COMPUTED_VALUE"""),"VR next")</f>
        <v>VR next</v>
      </c>
      <c r="C42" s="4" t="str">
        <f>IFERROR(__xludf.DUMMYFUNCTION("""COMPUTED_VALUE"""),"8WFR-1")</f>
        <v>8WFR-1</v>
      </c>
      <c r="D42" s="4" t="str">
        <f>IFERROR(__xludf.DUMMYFUNCTION("""COMPUTED_VALUE"""),"Sergei")</f>
        <v>Sergei</v>
      </c>
      <c r="E42" s="4" t="str">
        <f>IFERROR(__xludf.DUMMYFUNCTION("""COMPUTED_VALUE"""),"Kiselev")</f>
        <v>Kiselev</v>
      </c>
      <c r="F42" s="4" t="str">
        <f>IFERROR(__xludf.DUMMYFUNCTION("""COMPUTED_VALUE"""),"VR next is a cloud-based platform that lets easily create 3D &amp; VR interiors decorated by finishing coverings from online store. We brings in-store shopping experience to online")</f>
        <v>VR next is a cloud-based platform that lets easily create 3D &amp; VR interiors decorated by finishing coverings from online store. We brings in-store shopping experience to online</v>
      </c>
      <c r="G42" s="21" t="str">
        <f>IFERROR(__xludf.DUMMYFUNCTION("""COMPUTED_VALUE"""),"https://drive.google.com/open?id=1LmmgF5s0VfyUNKD0DzQhx4wunn-0pcgE")</f>
        <v>https://drive.google.com/open?id=1LmmgF5s0VfyUNKD0DzQhx4wunn-0pcgE</v>
      </c>
      <c r="H42" s="4" t="str">
        <f>IFERROR(__xludf.DUMMYFUNCTION("""COMPUTED_VALUE"""),"No")</f>
        <v>No</v>
      </c>
      <c r="I42" s="4" t="str">
        <f>IFERROR(__xludf.DUMMYFUNCTION("""COMPUTED_VALUE"""),"Not Successful")</f>
        <v>Not Successful</v>
      </c>
      <c r="J42" s="4" t="str">
        <f>IFERROR(__xludf.DUMMYFUNCTION("""COMPUTED_VALUE"""),"")</f>
        <v/>
      </c>
      <c r="K42" s="4" t="str">
        <f>IFERROR(__xludf.DUMMYFUNCTION("""COMPUTED_VALUE"""),"")</f>
        <v/>
      </c>
    </row>
    <row r="43">
      <c r="A43" s="382">
        <f>IFERROR(__xludf.DUMMYFUNCTION("""COMPUTED_VALUE"""),43959.502569)</f>
        <v>43959.50257</v>
      </c>
      <c r="B43" s="4" t="str">
        <f>IFERROR(__xludf.DUMMYFUNCTION("""COMPUTED_VALUE"""),"renaizant")</f>
        <v>renaizant</v>
      </c>
      <c r="C43" s="4" t="str">
        <f>IFERROR(__xludf.DUMMYFUNCTION("""COMPUTED_VALUE"""),"O7KD")</f>
        <v>O7KD</v>
      </c>
      <c r="D43" s="4" t="str">
        <f>IFERROR(__xludf.DUMMYFUNCTION("""COMPUTED_VALUE"""),"Jennifer")</f>
        <v>Jennifer</v>
      </c>
      <c r="E43" s="4" t="str">
        <f>IFERROR(__xludf.DUMMYFUNCTION("""COMPUTED_VALUE"""),"Rhodes")</f>
        <v>Rhodes</v>
      </c>
      <c r="F43" s="4" t="str">
        <f>IFERROR(__xludf.DUMMYFUNCTION("""COMPUTED_VALUE"""),"AI-powered performance management solution that empowers leaders to understand team dynamics, increase retention, and drive productivity. Integrating with apps you currently use, initiate 1:1s, goals, 360 reviews, mentorship/career paths, and skills asses"&amp;"sments, delivering a complete vision into your organizational health")</f>
        <v>AI-powered performance management solution that empowers leaders to understand team dynamics, increase retention, and drive productivity. Integrating with apps you currently use, initiate 1:1s, goals, 360 reviews, mentorship/career paths, and skills assessments, delivering a complete vision into your organizational health</v>
      </c>
      <c r="G43" s="21" t="str">
        <f>IFERROR(__xludf.DUMMYFUNCTION("""COMPUTED_VALUE"""),"https://drive.google.com/open?id=1ZR27ratcyKpCGFc92LkgkXW3rYZbx0h_")</f>
        <v>https://drive.google.com/open?id=1ZR27ratcyKpCGFc92LkgkXW3rYZbx0h_</v>
      </c>
      <c r="H43" s="4" t="str">
        <f>IFERROR(__xludf.DUMMYFUNCTION("""COMPUTED_VALUE"""),"Yes")</f>
        <v>Yes</v>
      </c>
      <c r="I43" s="4" t="str">
        <f>IFERROR(__xludf.DUMMYFUNCTION("""COMPUTED_VALUE"""),"Passed")</f>
        <v>Passed</v>
      </c>
      <c r="J43" s="4" t="str">
        <f>IFERROR(__xludf.DUMMYFUNCTION("""COMPUTED_VALUE"""),"Sent for review")</f>
        <v>Sent for review</v>
      </c>
      <c r="K43" s="4" t="str">
        <f>IFERROR(__xludf.DUMMYFUNCTION("""COMPUTED_VALUE"""),"")</f>
        <v/>
      </c>
    </row>
    <row r="44">
      <c r="A44" s="382">
        <f>IFERROR(__xludf.DUMMYFUNCTION("""COMPUTED_VALUE"""),43959.563403)</f>
        <v>43959.5634</v>
      </c>
      <c r="B44" s="4" t="str">
        <f>IFERROR(__xludf.DUMMYFUNCTION("""COMPUTED_VALUE"""),"HILOS")</f>
        <v>HILOS</v>
      </c>
      <c r="C44" s="4" t="str">
        <f>IFERROR(__xludf.DUMMYFUNCTION("""COMPUTED_VALUE"""),"RRYQ-1")</f>
        <v>RRYQ-1</v>
      </c>
      <c r="D44" s="4" t="str">
        <f>IFERROR(__xludf.DUMMYFUNCTION("""COMPUTED_VALUE"""),"Elias")</f>
        <v>Elias</v>
      </c>
      <c r="E44" s="4" t="str">
        <f>IFERROR(__xludf.DUMMYFUNCTION("""COMPUTED_VALUE"""),"Stahl")</f>
        <v>Stahl</v>
      </c>
      <c r="F44" s="4" t="str">
        <f>IFERROR(__xludf.DUMMYFUNCTION("""COMPUTED_VALUE"""),"Shoes without compromise")</f>
        <v>Shoes without compromise</v>
      </c>
      <c r="G44" s="21" t="str">
        <f>IFERROR(__xludf.DUMMYFUNCTION("""COMPUTED_VALUE"""),"https://hilosco.sharepoint.com/:v:/s/HILOSAdvisory/EfLQ8YuPptxOoZeHo3pHE7UBBwekv_gD9VRDWMA8wjeQQQ?e=")</f>
        <v>https://hilosco.sharepoint.com/:v:/s/HILOSAdvisory/EfLQ8YuPptxOoZeHo3pHE7UBBwekv_gD9VRDWMA8wjeQQQ?e=</v>
      </c>
      <c r="H44" s="4" t="str">
        <f>IFERROR(__xludf.DUMMYFUNCTION("""COMPUTED_VALUE"""),"Yes")</f>
        <v>Yes</v>
      </c>
      <c r="I44" s="4" t="str">
        <f>IFERROR(__xludf.DUMMYFUNCTION("""COMPUTED_VALUE"""),"Failed")</f>
        <v>Failed</v>
      </c>
      <c r="J44" s="4" t="str">
        <f>IFERROR(__xludf.DUMMYFUNCTION("""COMPUTED_VALUE"""),"")</f>
        <v/>
      </c>
      <c r="K44" s="4" t="str">
        <f>IFERROR(__xludf.DUMMYFUNCTION("""COMPUTED_VALUE"""),"")</f>
        <v/>
      </c>
    </row>
    <row r="45">
      <c r="A45" s="382">
        <f>IFERROR(__xludf.DUMMYFUNCTION("""COMPUTED_VALUE"""),43959.593715)</f>
        <v>43959.59372</v>
      </c>
      <c r="B45" s="4" t="str">
        <f>IFERROR(__xludf.DUMMYFUNCTION("""COMPUTED_VALUE"""),"AutoBuddy Technologies Inc.")</f>
        <v>AutoBuddy Technologies Inc.</v>
      </c>
      <c r="C45" s="4" t="str">
        <f>IFERROR(__xludf.DUMMYFUNCTION("""COMPUTED_VALUE"""),"Q7B2")</f>
        <v>Q7B2</v>
      </c>
      <c r="D45" s="4" t="str">
        <f>IFERROR(__xludf.DUMMYFUNCTION("""COMPUTED_VALUE"""),"Manuel")</f>
        <v>Manuel</v>
      </c>
      <c r="E45" s="4" t="str">
        <f>IFERROR(__xludf.DUMMYFUNCTION("""COMPUTED_VALUE"""),"Lee")</f>
        <v>Lee</v>
      </c>
      <c r="F45" s="4" t="str">
        <f>IFERROR(__xludf.DUMMYFUNCTION("""COMPUTED_VALUE"""),"AutoBuddy is the only place you will ever need to go for auto body repairs – submit the request, compare quotes, get your car fixed! We help save time and money for customers and create favourable experience in unfavourable situations.")</f>
        <v>AutoBuddy is the only place you will ever need to go for auto body repairs – submit the request, compare quotes, get your car fixed! We help save time and money for customers and create favourable experience in unfavourable situations.</v>
      </c>
      <c r="G45" s="21" t="str">
        <f>IFERROR(__xludf.DUMMYFUNCTION("""COMPUTED_VALUE"""),"https://drive.google.com/file/d/1lOv6UwD--v-FAaz0PCuNfafl_xcPi-bT/view?usp=sharing")</f>
        <v>https://drive.google.com/file/d/1lOv6UwD--v-FAaz0PCuNfafl_xcPi-bT/view?usp=sharing</v>
      </c>
      <c r="H45" s="4" t="str">
        <f>IFERROR(__xludf.DUMMYFUNCTION("""COMPUTED_VALUE"""),"No")</f>
        <v>No</v>
      </c>
      <c r="I45" s="4" t="str">
        <f>IFERROR(__xludf.DUMMYFUNCTION("""COMPUTED_VALUE"""),"Not Successful")</f>
        <v>Not Successful</v>
      </c>
      <c r="J45" s="4" t="str">
        <f>IFERROR(__xludf.DUMMYFUNCTION("""COMPUTED_VALUE"""),"")</f>
        <v/>
      </c>
      <c r="K45" s="4" t="str">
        <f>IFERROR(__xludf.DUMMYFUNCTION("""COMPUTED_VALUE"""),"")</f>
        <v/>
      </c>
    </row>
    <row r="46">
      <c r="A46" s="382">
        <f>IFERROR(__xludf.DUMMYFUNCTION("""COMPUTED_VALUE"""),43959.643449)</f>
        <v>43959.64345</v>
      </c>
      <c r="B46" s="4" t="str">
        <f>IFERROR(__xludf.DUMMYFUNCTION("""COMPUTED_VALUE"""),"Field Complete")</f>
        <v>Field Complete</v>
      </c>
      <c r="C46" s="4" t="str">
        <f>IFERROR(__xludf.DUMMYFUNCTION("""COMPUTED_VALUE"""),"MTWB")</f>
        <v>MTWB</v>
      </c>
      <c r="D46" s="4" t="str">
        <f>IFERROR(__xludf.DUMMYFUNCTION("""COMPUTED_VALUE"""),"Tim")</f>
        <v>Tim</v>
      </c>
      <c r="E46" s="4" t="str">
        <f>IFERROR(__xludf.DUMMYFUNCTION("""COMPUTED_VALUE"""),"Tesluck")</f>
        <v>Tesluck</v>
      </c>
      <c r="F46" s="4" t="str">
        <f>IFERROR(__xludf.DUMMYFUNCTION("""COMPUTED_VALUE"""),"Field Complete is a SAAS enabled marketplace for on-demand home services. We are creating a network of home service providers across the US by equipping blue-collar workers with the free software to run their operations.")</f>
        <v>Field Complete is a SAAS enabled marketplace for on-demand home services. We are creating a network of home service providers across the US by equipping blue-collar workers with the free software to run their operations.</v>
      </c>
      <c r="G46" s="21" t="str">
        <f>IFERROR(__xludf.DUMMYFUNCTION("""COMPUTED_VALUE"""),"https://youtu.be/uOQwi11MJkI")</f>
        <v>https://youtu.be/uOQwi11MJkI</v>
      </c>
      <c r="H46" s="4" t="str">
        <f>IFERROR(__xludf.DUMMYFUNCTION("""COMPUTED_VALUE"""),"Yes")</f>
        <v>Yes</v>
      </c>
      <c r="I46" s="4" t="str">
        <f>IFERROR(__xludf.DUMMYFUNCTION("""COMPUTED_VALUE"""),"Failed")</f>
        <v>Failed</v>
      </c>
      <c r="J46" s="4" t="str">
        <f>IFERROR(__xludf.DUMMYFUNCTION("""COMPUTED_VALUE"""),"")</f>
        <v/>
      </c>
      <c r="K46" s="4" t="str">
        <f>IFERROR(__xludf.DUMMYFUNCTION("""COMPUTED_VALUE"""),"")</f>
        <v/>
      </c>
    </row>
    <row r="47">
      <c r="A47" s="382">
        <f>IFERROR(__xludf.DUMMYFUNCTION("""COMPUTED_VALUE"""),43960.004722)</f>
        <v>43960.00472</v>
      </c>
      <c r="B47" s="4" t="str">
        <f>IFERROR(__xludf.DUMMYFUNCTION("""COMPUTED_VALUE"""),"Wizest")</f>
        <v>Wizest</v>
      </c>
      <c r="C47" s="4" t="str">
        <f>IFERROR(__xludf.DUMMYFUNCTION("""COMPUTED_VALUE"""),"2W8O")</f>
        <v>2W8O</v>
      </c>
      <c r="D47" s="4" t="str">
        <f>IFERROR(__xludf.DUMMYFUNCTION("""COMPUTED_VALUE"""),"Axel")</f>
        <v>Axel</v>
      </c>
      <c r="E47" s="4" t="str">
        <f>IFERROR(__xludf.DUMMYFUNCTION("""COMPUTED_VALUE"""),"Thibon")</f>
        <v>Thibon</v>
      </c>
      <c r="F47" s="4" t="str">
        <f>IFERROR(__xludf.DUMMYFUNCTION("""COMPUTED_VALUE"""),"Wizest is an investing platform that democratizes access to financial advisors. Our users can draft their own advisor team, allowing for diversified investment strategies, and learning and engaging experience through its gamified environment.")</f>
        <v>Wizest is an investing platform that democratizes access to financial advisors. Our users can draft their own advisor team, allowing for diversified investment strategies, and learning and engaging experience through its gamified environment.</v>
      </c>
      <c r="G47" s="21" t="str">
        <f>IFERROR(__xludf.DUMMYFUNCTION("""COMPUTED_VALUE"""),"https://drive.google.com/file/d/1-88HV0RzaszB94Wgu10eikjPNmM4_9qx/view?usp=sharing")</f>
        <v>https://drive.google.com/file/d/1-88HV0RzaszB94Wgu10eikjPNmM4_9qx/view?usp=sharing</v>
      </c>
      <c r="H47" s="4" t="str">
        <f>IFERROR(__xludf.DUMMYFUNCTION("""COMPUTED_VALUE"""),"No")</f>
        <v>No</v>
      </c>
      <c r="I47" s="4" t="str">
        <f>IFERROR(__xludf.DUMMYFUNCTION("""COMPUTED_VALUE"""),"Failed")</f>
        <v>Failed</v>
      </c>
      <c r="J47" s="4" t="str">
        <f>IFERROR(__xludf.DUMMYFUNCTION("""COMPUTED_VALUE"""),"")</f>
        <v/>
      </c>
      <c r="K47" s="4" t="str">
        <f>IFERROR(__xludf.DUMMYFUNCTION("""COMPUTED_VALUE"""),"")</f>
        <v/>
      </c>
    </row>
    <row r="48">
      <c r="A48" s="382">
        <f>IFERROR(__xludf.DUMMYFUNCTION("""COMPUTED_VALUE"""),43960.753009)</f>
        <v>43960.75301</v>
      </c>
      <c r="B48" s="4" t="str">
        <f>IFERROR(__xludf.DUMMYFUNCTION("""COMPUTED_VALUE"""),"The Entreprist LLC")</f>
        <v>The Entreprist LLC</v>
      </c>
      <c r="C48" s="4" t="str">
        <f>IFERROR(__xludf.DUMMYFUNCTION("""COMPUTED_VALUE"""),"9K1C")</f>
        <v>9K1C</v>
      </c>
      <c r="D48" s="4" t="str">
        <f>IFERROR(__xludf.DUMMYFUNCTION("""COMPUTED_VALUE"""),"Maneesh")</f>
        <v>Maneesh</v>
      </c>
      <c r="E48" s="4" t="str">
        <f>IFERROR(__xludf.DUMMYFUNCTION("""COMPUTED_VALUE"""),"Vallurupalli")</f>
        <v>Vallurupalli</v>
      </c>
      <c r="F48" s="4" t="str">
        <f>IFERROR(__xludf.DUMMYFUNCTION("""COMPUTED_VALUE"""),"The Entreprist is a company split into two aspects: an entrepreneurship e-magazine and a product-based technology company. Our latest product is SocioNet, a social media application!")</f>
        <v>The Entreprist is a company split into two aspects: an entrepreneurship e-magazine and a product-based technology company. Our latest product is SocioNet, a social media application!</v>
      </c>
      <c r="G48" s="21" t="str">
        <f>IFERROR(__xludf.DUMMYFUNCTION("""COMPUTED_VALUE"""),"https://drive.google.com/file/d/1z2AoBZFSbk6yIX2JGkvf9kIM6VX1plsS/view?usp=sharing")</f>
        <v>https://drive.google.com/file/d/1z2AoBZFSbk6yIX2JGkvf9kIM6VX1plsS/view?usp=sharing</v>
      </c>
      <c r="H48" s="4" t="str">
        <f>IFERROR(__xludf.DUMMYFUNCTION("""COMPUTED_VALUE"""),"No")</f>
        <v>No</v>
      </c>
      <c r="I48" s="4" t="str">
        <f>IFERROR(__xludf.DUMMYFUNCTION("""COMPUTED_VALUE"""),"Not Successful")</f>
        <v>Not Successful</v>
      </c>
      <c r="J48" s="4" t="str">
        <f>IFERROR(__xludf.DUMMYFUNCTION("""COMPUTED_VALUE"""),"")</f>
        <v/>
      </c>
      <c r="K48" s="4" t="str">
        <f>IFERROR(__xludf.DUMMYFUNCTION("""COMPUTED_VALUE"""),"")</f>
        <v/>
      </c>
    </row>
    <row r="49">
      <c r="A49" s="382">
        <f>IFERROR(__xludf.DUMMYFUNCTION("""COMPUTED_VALUE"""),43960.938692)</f>
        <v>43960.93869</v>
      </c>
      <c r="B49" s="4" t="str">
        <f>IFERROR(__xludf.DUMMYFUNCTION("""COMPUTED_VALUE"""),"Throwlights")</f>
        <v>Throwlights</v>
      </c>
      <c r="C49" s="4" t="str">
        <f>IFERROR(__xludf.DUMMYFUNCTION("""COMPUTED_VALUE"""),"GY8K-2")</f>
        <v>GY8K-2</v>
      </c>
      <c r="D49" s="4" t="str">
        <f>IFERROR(__xludf.DUMMYFUNCTION("""COMPUTED_VALUE"""),"Andrew")</f>
        <v>Andrew</v>
      </c>
      <c r="E49" s="4" t="str">
        <f>IFERROR(__xludf.DUMMYFUNCTION("""COMPUTED_VALUE"""),"Zhao")</f>
        <v>Zhao</v>
      </c>
      <c r="F49" s="4" t="str">
        <f>IFERROR(__xludf.DUMMYFUNCTION("""COMPUTED_VALUE"""),"LED lightshows are a performance art that arose from the electronic music rave scene. They will be the next global, multi-billion dollar, competitive artform. Throwlights is built of passionate lightshow artists. Our mission is to lead the way there.")</f>
        <v>LED lightshows are a performance art that arose from the electronic music rave scene. They will be the next global, multi-billion dollar, competitive artform. Throwlights is built of passionate lightshow artists. Our mission is to lead the way there.</v>
      </c>
      <c r="G49" s="21" t="str">
        <f>IFERROR(__xludf.DUMMYFUNCTION("""COMPUTED_VALUE"""),"https://drive.google.com/file/d/1XzC_clMIxSK3ThPFlN2cazgrHqpftiRh/view?usp=sharing")</f>
        <v>https://drive.google.com/file/d/1XzC_clMIxSK3ThPFlN2cazgrHqpftiRh/view?usp=sharing</v>
      </c>
      <c r="H49" s="4" t="str">
        <f>IFERROR(__xludf.DUMMYFUNCTION("""COMPUTED_VALUE"""),"No")</f>
        <v>No</v>
      </c>
      <c r="I49" s="4" t="str">
        <f>IFERROR(__xludf.DUMMYFUNCTION("""COMPUTED_VALUE"""),"Not Successful")</f>
        <v>Not Successful</v>
      </c>
      <c r="J49" s="4" t="str">
        <f>IFERROR(__xludf.DUMMYFUNCTION("""COMPUTED_VALUE"""),"")</f>
        <v/>
      </c>
      <c r="K49" s="4" t="str">
        <f>IFERROR(__xludf.DUMMYFUNCTION("""COMPUTED_VALUE"""),"")</f>
        <v/>
      </c>
    </row>
    <row r="50">
      <c r="A50" s="382">
        <f>IFERROR(__xludf.DUMMYFUNCTION("""COMPUTED_VALUE"""),43961.485023)</f>
        <v>43961.48502</v>
      </c>
      <c r="B50" s="4" t="str">
        <f>IFERROR(__xludf.DUMMYFUNCTION("""COMPUTED_VALUE"""),"Neighbourhood Watch Plus")</f>
        <v>Neighbourhood Watch Plus</v>
      </c>
      <c r="C50" s="4" t="str">
        <f>IFERROR(__xludf.DUMMYFUNCTION("""COMPUTED_VALUE"""),"HHXP")</f>
        <v>HHXP</v>
      </c>
      <c r="D50" s="4" t="str">
        <f>IFERROR(__xludf.DUMMYFUNCTION("""COMPUTED_VALUE"""),"John")</f>
        <v>John</v>
      </c>
      <c r="E50" s="4" t="str">
        <f>IFERROR(__xludf.DUMMYFUNCTION("""COMPUTED_VALUE"""),"Li")</f>
        <v>Li</v>
      </c>
      <c r="F50" s="4" t="str">
        <f>IFERROR(__xludf.DUMMYFUNCTION("""COMPUTED_VALUE"""),"AI Based Community Safety Platform provides affordable advanced security monitoring services with both free and premium plans,3 team members and self funding.")</f>
        <v>AI Based Community Safety Platform provides affordable advanced security monitoring services with both free and premium plans,3 team members and self funding.</v>
      </c>
      <c r="G50" s="21" t="str">
        <f>IFERROR(__xludf.DUMMYFUNCTION("""COMPUTED_VALUE"""),"https://drive.google.com/file/d/19EVH18DUdr1DY_-nQmGo8k9sUXJOWPz3/view?usp=sharing")</f>
        <v>https://drive.google.com/file/d/19EVH18DUdr1DY_-nQmGo8k9sUXJOWPz3/view?usp=sharing</v>
      </c>
      <c r="H50" s="4" t="str">
        <f>IFERROR(__xludf.DUMMYFUNCTION("""COMPUTED_VALUE"""),"No")</f>
        <v>No</v>
      </c>
      <c r="I50" s="4" t="str">
        <f>IFERROR(__xludf.DUMMYFUNCTION("""COMPUTED_VALUE"""),"Not Successful")</f>
        <v>Not Successful</v>
      </c>
      <c r="J50" s="4" t="str">
        <f>IFERROR(__xludf.DUMMYFUNCTION("""COMPUTED_VALUE"""),"")</f>
        <v/>
      </c>
      <c r="K50" s="4" t="str">
        <f>IFERROR(__xludf.DUMMYFUNCTION("""COMPUTED_VALUE"""),"")</f>
        <v/>
      </c>
    </row>
    <row r="51">
      <c r="A51" s="382">
        <f>IFERROR(__xludf.DUMMYFUNCTION("""COMPUTED_VALUE"""),43961.972384)</f>
        <v>43961.97238</v>
      </c>
      <c r="B51" s="4" t="str">
        <f>IFERROR(__xludf.DUMMYFUNCTION("""COMPUTED_VALUE"""),"BlockQuake")</f>
        <v>BlockQuake</v>
      </c>
      <c r="C51" s="4" t="str">
        <f>IFERROR(__xludf.DUMMYFUNCTION("""COMPUTED_VALUE"""),"XLAZ")</f>
        <v>XLAZ</v>
      </c>
      <c r="D51" s="4" t="str">
        <f>IFERROR(__xludf.DUMMYFUNCTION("""COMPUTED_VALUE"""),"Antonio")</f>
        <v>Antonio</v>
      </c>
      <c r="E51" s="4" t="str">
        <f>IFERROR(__xludf.DUMMYFUNCTION("""COMPUTED_VALUE"""),"Brasse")</f>
        <v>Brasse</v>
      </c>
      <c r="F51" s="4" t="str">
        <f>IFERROR(__xludf.DUMMYFUNCTION("""COMPUTED_VALUE"""),"BlockQuake is a centralized, digital asset / cryptocurrency exchange. As traders, we understand the issues in the space - from cybersecurity, maintaining multiple trading accounts, to a lack of fiat on-ramps and trading pair options. BlockQuake is designe"&amp;"d to fill those voids.")</f>
        <v>BlockQuake is a centralized, digital asset / cryptocurrency exchange. As traders, we understand the issues in the space - from cybersecurity, maintaining multiple trading accounts, to a lack of fiat on-ramps and trading pair options. BlockQuake is designed to fill those voids.</v>
      </c>
      <c r="G51" s="21" t="str">
        <f>IFERROR(__xludf.DUMMYFUNCTION("""COMPUTED_VALUE"""),"https://drive.google.com/file/d/1DOSrtU2jRewnNN6QDlg0muh80anYf5Qy/view?usp=sharing")</f>
        <v>https://drive.google.com/file/d/1DOSrtU2jRewnNN6QDlg0muh80anYf5Qy/view?usp=sharing</v>
      </c>
      <c r="H51" s="4" t="str">
        <f>IFERROR(__xludf.DUMMYFUNCTION("""COMPUTED_VALUE"""),"")</f>
        <v/>
      </c>
      <c r="I51" s="4" t="str">
        <f>IFERROR(__xludf.DUMMYFUNCTION("""COMPUTED_VALUE"""),"")</f>
        <v/>
      </c>
      <c r="J51" s="4" t="str">
        <f>IFERROR(__xludf.DUMMYFUNCTION("""COMPUTED_VALUE"""),"")</f>
        <v/>
      </c>
      <c r="K51" s="4" t="str">
        <f>IFERROR(__xludf.DUMMYFUNCTION("""COMPUTED_VALUE"""),"")</f>
        <v/>
      </c>
    </row>
    <row r="52">
      <c r="A52" s="382">
        <f>IFERROR(__xludf.DUMMYFUNCTION("""COMPUTED_VALUE"""),43962.064572)</f>
        <v>43962.06457</v>
      </c>
      <c r="B52" s="4" t="str">
        <f>IFERROR(__xludf.DUMMYFUNCTION("""COMPUTED_VALUE"""),"Omnivor")</f>
        <v>Omnivor</v>
      </c>
      <c r="C52" s="4" t="str">
        <f>IFERROR(__xludf.DUMMYFUNCTION("""COMPUTED_VALUE"""),"CUEK")</f>
        <v>CUEK</v>
      </c>
      <c r="D52" s="4" t="str">
        <f>IFERROR(__xludf.DUMMYFUNCTION("""COMPUTED_VALUE"""),"Abhay")</f>
        <v>Abhay</v>
      </c>
      <c r="E52" s="4" t="str">
        <f>IFERROR(__xludf.DUMMYFUNCTION("""COMPUTED_VALUE"""),"Mahajan")</f>
        <v>Mahajan</v>
      </c>
      <c r="F52" s="4" t="str">
        <f>IFERROR(__xludf.DUMMYFUNCTION("""COMPUTED_VALUE"""),"Omnivor's mission is to bring 3D Holographic content everywhere. We are creating new engagement paradigms for Omni-channel retail, At Home Experiences and 3D Holographic Telepresence. Our patented technology can deliver 3D content to mobiles, browsers and"&amp;" XR headsets.")</f>
        <v>Omnivor's mission is to bring 3D Holographic content everywhere. We are creating new engagement paradigms for Omni-channel retail, At Home Experiences and 3D Holographic Telepresence. Our patented technology can deliver 3D content to mobiles, browsers and XR headsets.</v>
      </c>
      <c r="G52" s="21" t="str">
        <f>IFERROR(__xludf.DUMMYFUNCTION("""COMPUTED_VALUE"""),"https://drive.google.com/file/d/14Z55seCfjU05QBWlbGnOPgxOgjFyA7SH/view?usp=sharing")</f>
        <v>https://drive.google.com/file/d/14Z55seCfjU05QBWlbGnOPgxOgjFyA7SH/view?usp=sharing</v>
      </c>
      <c r="H52" s="4" t="str">
        <f>IFERROR(__xludf.DUMMYFUNCTION("""COMPUTED_VALUE"""),"Yes")</f>
        <v>Yes</v>
      </c>
      <c r="I52" s="4" t="str">
        <f>IFERROR(__xludf.DUMMYFUNCTION("""COMPUTED_VALUE"""),"Passed")</f>
        <v>Passed</v>
      </c>
      <c r="J52" s="4" t="str">
        <f>IFERROR(__xludf.DUMMYFUNCTION("""COMPUTED_VALUE"""),"Sent for review")</f>
        <v>Sent for review</v>
      </c>
      <c r="K52" s="4" t="str">
        <f>IFERROR(__xludf.DUMMYFUNCTION("""COMPUTED_VALUE"""),"")</f>
        <v/>
      </c>
    </row>
    <row r="53">
      <c r="A53" s="382">
        <f>IFERROR(__xludf.DUMMYFUNCTION("""COMPUTED_VALUE"""),43962.198854)</f>
        <v>43962.19885</v>
      </c>
      <c r="B53" s="4" t="str">
        <f>IFERROR(__xludf.DUMMYFUNCTION("""COMPUTED_VALUE"""),"Rootee Health")</f>
        <v>Rootee Health</v>
      </c>
      <c r="C53" s="4" t="str">
        <f>IFERROR(__xludf.DUMMYFUNCTION("""COMPUTED_VALUE"""),"8FND-1")</f>
        <v>8FND-1</v>
      </c>
      <c r="D53" s="4" t="str">
        <f>IFERROR(__xludf.DUMMYFUNCTION("""COMPUTED_VALUE"""),"SOUL")</f>
        <v>SOUL</v>
      </c>
      <c r="E53" s="4" t="str">
        <f>IFERROR(__xludf.DUMMYFUNCTION("""COMPUTED_VALUE"""),"LEE")</f>
        <v>LEE</v>
      </c>
      <c r="F53" s="4" t="str">
        <f>IFERROR(__xludf.DUMMYFUNCTION("""COMPUTED_VALUE"""),"Fully automatic end to end platform to discover eye diseases")</f>
        <v>Fully automatic end to end platform to discover eye diseases</v>
      </c>
      <c r="G53" s="21" t="str">
        <f>IFERROR(__xludf.DUMMYFUNCTION("""COMPUTED_VALUE"""),"https://us02web.zoom.us/rec/share/wMZ6Puj06UFLTrPTyVjjC69wPJrHX6a81SkW-aUKzkuPR32MDpaoBR7hC5KO4Qn6")</f>
        <v>https://us02web.zoom.us/rec/share/wMZ6Puj06UFLTrPTyVjjC69wPJrHX6a81SkW-aUKzkuPR32MDpaoBR7hC5KO4Qn6</v>
      </c>
      <c r="H53" s="4" t="str">
        <f>IFERROR(__xludf.DUMMYFUNCTION("""COMPUTED_VALUE"""),"")</f>
        <v/>
      </c>
      <c r="I53" s="4" t="str">
        <f>IFERROR(__xludf.DUMMYFUNCTION("""COMPUTED_VALUE"""),"")</f>
        <v/>
      </c>
      <c r="J53" s="4" t="str">
        <f>IFERROR(__xludf.DUMMYFUNCTION("""COMPUTED_VALUE"""),"")</f>
        <v/>
      </c>
      <c r="K53" s="4" t="str">
        <f>IFERROR(__xludf.DUMMYFUNCTION("""COMPUTED_VALUE"""),"")</f>
        <v/>
      </c>
    </row>
    <row r="54">
      <c r="A54" s="382">
        <f>IFERROR(__xludf.DUMMYFUNCTION("""COMPUTED_VALUE"""),43962.382141)</f>
        <v>43962.38214</v>
      </c>
      <c r="B54" s="4" t="str">
        <f>IFERROR(__xludf.DUMMYFUNCTION("""COMPUTED_VALUE"""),"Werbot")</f>
        <v>Werbot</v>
      </c>
      <c r="C54" s="4" t="str">
        <f>IFERROR(__xludf.DUMMYFUNCTION("""COMPUTED_VALUE"""),"TE56")</f>
        <v>TE56</v>
      </c>
      <c r="D54" s="4" t="str">
        <f>IFERROR(__xludf.DUMMYFUNCTION("""COMPUTED_VALUE"""),"Inna")</f>
        <v>Inna</v>
      </c>
      <c r="E54" s="4" t="str">
        <f>IFERROR(__xludf.DUMMYFUNCTION("""COMPUTED_VALUE"""),"Ponamarchuk")</f>
        <v>Ponamarchuk</v>
      </c>
      <c r="F54" s="4" t="str">
        <f>IFERROR(__xludf.DUMMYFUNCTION("""COMPUTED_VALUE"""),"Werbot is a SaaS and Enterprise solution for easy audit and control of access to servers for DevOps")</f>
        <v>Werbot is a SaaS and Enterprise solution for easy audit and control of access to servers for DevOps</v>
      </c>
      <c r="G54" s="21" t="str">
        <f>IFERROR(__xludf.DUMMYFUNCTION("""COMPUTED_VALUE"""),"https://youtu.be/BbgIWDqznig")</f>
        <v>https://youtu.be/BbgIWDqznig</v>
      </c>
      <c r="H54" s="4" t="str">
        <f>IFERROR(__xludf.DUMMYFUNCTION("""COMPUTED_VALUE"""),"No")</f>
        <v>No</v>
      </c>
      <c r="I54" s="4" t="str">
        <f>IFERROR(__xludf.DUMMYFUNCTION("""COMPUTED_VALUE"""),"Not Successful")</f>
        <v>Not Successful</v>
      </c>
      <c r="J54" s="4" t="str">
        <f>IFERROR(__xludf.DUMMYFUNCTION("""COMPUTED_VALUE"""),"")</f>
        <v/>
      </c>
      <c r="K54" s="4" t="str">
        <f>IFERROR(__xludf.DUMMYFUNCTION("""COMPUTED_VALUE"""),"")</f>
        <v/>
      </c>
    </row>
    <row r="55">
      <c r="A55" s="382">
        <f>IFERROR(__xludf.DUMMYFUNCTION("""COMPUTED_VALUE"""),43962.497431)</f>
        <v>43962.49743</v>
      </c>
      <c r="B55" s="4" t="str">
        <f>IFERROR(__xludf.DUMMYFUNCTION("""COMPUTED_VALUE"""),"Cool Date Night")</f>
        <v>Cool Date Night</v>
      </c>
      <c r="C55" s="4" t="str">
        <f>IFERROR(__xludf.DUMMYFUNCTION("""COMPUTED_VALUE"""),"AQFM-1")</f>
        <v>AQFM-1</v>
      </c>
      <c r="D55" s="4" t="str">
        <f>IFERROR(__xludf.DUMMYFUNCTION("""COMPUTED_VALUE"""),"Kris")</f>
        <v>Kris</v>
      </c>
      <c r="E55" s="4" t="str">
        <f>IFERROR(__xludf.DUMMYFUNCTION("""COMPUTED_VALUE"""),"Reichert")</f>
        <v>Reichert</v>
      </c>
      <c r="F55" s="4" t="str">
        <f>IFERROR(__xludf.DUMMYFUNCTION("""COMPUTED_VALUE"""),"Cool Date Night is your 'conversation accelerator' app! We provide fun &amp; thought-provoking questions that help spark great conversation!")</f>
        <v>Cool Date Night is your 'conversation accelerator' app! We provide fun &amp; thought-provoking questions that help spark great conversation!</v>
      </c>
      <c r="G55" s="21" t="str">
        <f>IFERROR(__xludf.DUMMYFUNCTION("""COMPUTED_VALUE"""),"https://drive.google.com/file/d/1synGczzzHIL2tNJfjcQOLXnFg3ZQ_0rt/view?usp=sharing")</f>
        <v>https://drive.google.com/file/d/1synGczzzHIL2tNJfjcQOLXnFg3ZQ_0rt/view?usp=sharing</v>
      </c>
      <c r="H55" s="4" t="str">
        <f>IFERROR(__xludf.DUMMYFUNCTION("""COMPUTED_VALUE"""),"No")</f>
        <v>No</v>
      </c>
      <c r="I55" s="4" t="str">
        <f>IFERROR(__xludf.DUMMYFUNCTION("""COMPUTED_VALUE"""),"Not Successful")</f>
        <v>Not Successful</v>
      </c>
      <c r="J55" s="4" t="str">
        <f>IFERROR(__xludf.DUMMYFUNCTION("""COMPUTED_VALUE"""),"")</f>
        <v/>
      </c>
      <c r="K55" s="4" t="str">
        <f>IFERROR(__xludf.DUMMYFUNCTION("""COMPUTED_VALUE"""),"")</f>
        <v/>
      </c>
    </row>
    <row r="56">
      <c r="A56" s="382">
        <f>IFERROR(__xludf.DUMMYFUNCTION("""COMPUTED_VALUE"""),43963.339016)</f>
        <v>43963.33902</v>
      </c>
      <c r="B56" s="4" t="str">
        <f>IFERROR(__xludf.DUMMYFUNCTION("""COMPUTED_VALUE"""),"Heirdom Capital")</f>
        <v>Heirdom Capital</v>
      </c>
      <c r="C56" s="4" t="str">
        <f>IFERROR(__xludf.DUMMYFUNCTION("""COMPUTED_VALUE"""),"YTZO-1")</f>
        <v>YTZO-1</v>
      </c>
      <c r="D56" s="4" t="str">
        <f>IFERROR(__xludf.DUMMYFUNCTION("""COMPUTED_VALUE"""),"Tommaso")</f>
        <v>Tommaso</v>
      </c>
      <c r="E56" s="4" t="str">
        <f>IFERROR(__xludf.DUMMYFUNCTION("""COMPUTED_VALUE"""),"Giambelli")</f>
        <v>Giambelli</v>
      </c>
      <c r="F56" s="4" t="str">
        <f>IFERROR(__xludf.DUMMYFUNCTION("""COMPUTED_VALUE"""),"Heirdom Capital leverage UN sustainability practices to give birth to a new generation of art funds. The art Market is $64B. We are the only solution that recognizes the reasons why the art market has been purposely kept inefficient.")</f>
        <v>Heirdom Capital leverage UN sustainability practices to give birth to a new generation of art funds. The art Market is $64B. We are the only solution that recognizes the reasons why the art market has been purposely kept inefficient.</v>
      </c>
      <c r="G56" s="21" t="str">
        <f>IFERROR(__xludf.DUMMYFUNCTION("""COMPUTED_VALUE"""),"https://drive.google.com/drive/u/2/folders/1YQ5cRKmq6EbmTFQdVrlbYr-q8spyNQam")</f>
        <v>https://drive.google.com/drive/u/2/folders/1YQ5cRKmq6EbmTFQdVrlbYr-q8spyNQam</v>
      </c>
      <c r="H56" s="4" t="str">
        <f>IFERROR(__xludf.DUMMYFUNCTION("""COMPUTED_VALUE"""),"")</f>
        <v/>
      </c>
      <c r="I56" s="4" t="str">
        <f>IFERROR(__xludf.DUMMYFUNCTION("""COMPUTED_VALUE"""),"")</f>
        <v/>
      </c>
      <c r="J56" s="4" t="str">
        <f>IFERROR(__xludf.DUMMYFUNCTION("""COMPUTED_VALUE"""),"")</f>
        <v/>
      </c>
      <c r="K56" s="4" t="str">
        <f>IFERROR(__xludf.DUMMYFUNCTION("""COMPUTED_VALUE"""),"")</f>
        <v/>
      </c>
    </row>
    <row r="57">
      <c r="A57" s="382">
        <f>IFERROR(__xludf.DUMMYFUNCTION("""COMPUTED_VALUE"""),43963.370891)</f>
        <v>43963.37089</v>
      </c>
      <c r="B57" s="4" t="str">
        <f>IFERROR(__xludf.DUMMYFUNCTION("""COMPUTED_VALUE"""),"AI Music")</f>
        <v>AI Music</v>
      </c>
      <c r="C57" s="4" t="str">
        <f>IFERROR(__xludf.DUMMYFUNCTION("""COMPUTED_VALUE"""),"X4BH")</f>
        <v>X4BH</v>
      </c>
      <c r="D57" s="4" t="str">
        <f>IFERROR(__xludf.DUMMYFUNCTION("""COMPUTED_VALUE"""),"Isabella")</f>
        <v>Isabella</v>
      </c>
      <c r="E57" s="4" t="str">
        <f>IFERROR(__xludf.DUMMYFUNCTION("""COMPUTED_VALUE"""),"Dodkins")</f>
        <v>Dodkins</v>
      </c>
      <c r="F57" s="4" t="str">
        <f>IFERROR(__xludf.DUMMYFUNCTION("""COMPUTED_VALUE"""),"We are transforming the way music is consumed – enabling listeners and creatives through our range of cutting-edge products to shape-change audio that is tailored to their context.")</f>
        <v>We are transforming the way music is consumed – enabling listeners and creatives through our range of cutting-edge products to shape-change audio that is tailored to their context.</v>
      </c>
      <c r="G57" s="21" t="str">
        <f>IFERROR(__xludf.DUMMYFUNCTION("""COMPUTED_VALUE"""),"https://drive.google.com/file/d/1Mn-2FiIkghiEvtafjHivV94KNJmVbZt1/view?usp=sharing")</f>
        <v>https://drive.google.com/file/d/1Mn-2FiIkghiEvtafjHivV94KNJmVbZt1/view?usp=sharing</v>
      </c>
      <c r="H57" s="4" t="str">
        <f>IFERROR(__xludf.DUMMYFUNCTION("""COMPUTED_VALUE"""),"Yes")</f>
        <v>Yes</v>
      </c>
      <c r="I57" s="4" t="str">
        <f>IFERROR(__xludf.DUMMYFUNCTION("""COMPUTED_VALUE"""),"Passed")</f>
        <v>Passed</v>
      </c>
      <c r="J57" s="4" t="str">
        <f>IFERROR(__xludf.DUMMYFUNCTION("""COMPUTED_VALUE"""),"Sent for review")</f>
        <v>Sent for review</v>
      </c>
      <c r="K57" s="4" t="str">
        <f>IFERROR(__xludf.DUMMYFUNCTION("""COMPUTED_VALUE"""),"")</f>
        <v/>
      </c>
    </row>
    <row r="58">
      <c r="A58" s="382">
        <f>IFERROR(__xludf.DUMMYFUNCTION("""COMPUTED_VALUE"""),43963.955868)</f>
        <v>43963.95587</v>
      </c>
      <c r="B58" s="4" t="str">
        <f>IFERROR(__xludf.DUMMYFUNCTION("""COMPUTED_VALUE"""),"iDeal Software Group")</f>
        <v>iDeal Software Group</v>
      </c>
      <c r="C58" s="4" t="str">
        <f>IFERROR(__xludf.DUMMYFUNCTION("""COMPUTED_VALUE"""),"8RBH")</f>
        <v>8RBH</v>
      </c>
      <c r="D58" s="4" t="str">
        <f>IFERROR(__xludf.DUMMYFUNCTION("""COMPUTED_VALUE"""),"Alex")</f>
        <v>Alex</v>
      </c>
      <c r="E58" s="4" t="str">
        <f>IFERROR(__xludf.DUMMYFUNCTION("""COMPUTED_VALUE"""),"Andreescu")</f>
        <v>Andreescu</v>
      </c>
      <c r="F58" s="4" t="str">
        <f>IFERROR(__xludf.DUMMYFUNCTION("""COMPUTED_VALUE"""),"Opportunity-Based CRM System for Construction")</f>
        <v>Opportunity-Based CRM System for Construction</v>
      </c>
      <c r="G58" s="21" t="str">
        <f>IFERROR(__xludf.DUMMYFUNCTION("""COMPUTED_VALUE"""),"https://drive.google.com/file/d/1oPvpmaHp3JSL6vM9P5EdeLVNPh1-DD_z/view?usp=sharing")</f>
        <v>https://drive.google.com/file/d/1oPvpmaHp3JSL6vM9P5EdeLVNPh1-DD_z/view?usp=sharing</v>
      </c>
      <c r="H58" s="4" t="str">
        <f>IFERROR(__xludf.DUMMYFUNCTION("""COMPUTED_VALUE"""),"No")</f>
        <v>No</v>
      </c>
      <c r="I58" s="4" t="str">
        <f>IFERROR(__xludf.DUMMYFUNCTION("""COMPUTED_VALUE"""),"")</f>
        <v/>
      </c>
      <c r="J58" s="4" t="str">
        <f>IFERROR(__xludf.DUMMYFUNCTION("""COMPUTED_VALUE"""),"")</f>
        <v/>
      </c>
      <c r="K58" s="4" t="str">
        <f>IFERROR(__xludf.DUMMYFUNCTION("""COMPUTED_VALUE"""),"")</f>
        <v/>
      </c>
    </row>
    <row r="59">
      <c r="A59" s="382">
        <f>IFERROR(__xludf.DUMMYFUNCTION("""COMPUTED_VALUE"""),43964.174942)</f>
        <v>43964.17494</v>
      </c>
      <c r="B59" s="4" t="str">
        <f>IFERROR(__xludf.DUMMYFUNCTION("""COMPUTED_VALUE"""),"Ludo World OU")</f>
        <v>Ludo World OU</v>
      </c>
      <c r="C59" s="4" t="str">
        <f>IFERROR(__xludf.DUMMYFUNCTION("""COMPUTED_VALUE"""),"GDEB")</f>
        <v>GDEB</v>
      </c>
      <c r="D59" s="4" t="str">
        <f>IFERROR(__xludf.DUMMYFUNCTION("""COMPUTED_VALUE"""),"Nasser")</f>
        <v>Nasser</v>
      </c>
      <c r="E59" s="4" t="str">
        <f>IFERROR(__xludf.DUMMYFUNCTION("""COMPUTED_VALUE"""),"Elmasri")</f>
        <v>Elmasri</v>
      </c>
      <c r="F59" s="4" t="str">
        <f>IFERROR(__xludf.DUMMYFUNCTION("""COMPUTED_VALUE"""),"Ludo World is an Indie studio. We develop mobile and Facebook instant games")</f>
        <v>Ludo World is an Indie studio. We develop mobile and Facebook instant games</v>
      </c>
      <c r="G59" s="21" t="str">
        <f>IFERROR(__xludf.DUMMYFUNCTION("""COMPUTED_VALUE"""),"https://drive.google.com/file/d/1r65-UUAkXxWJFV2TRGc1lSxnbzhI2Z0A/view?usp=sharing")</f>
        <v>https://drive.google.com/file/d/1r65-UUAkXxWJFV2TRGc1lSxnbzhI2Z0A/view?usp=sharing</v>
      </c>
      <c r="H59" s="4" t="str">
        <f>IFERROR(__xludf.DUMMYFUNCTION("""COMPUTED_VALUE"""),"No")</f>
        <v>No</v>
      </c>
      <c r="I59" s="4" t="str">
        <f>IFERROR(__xludf.DUMMYFUNCTION("""COMPUTED_VALUE"""),"")</f>
        <v/>
      </c>
      <c r="J59" s="4" t="str">
        <f>IFERROR(__xludf.DUMMYFUNCTION("""COMPUTED_VALUE"""),"")</f>
        <v/>
      </c>
      <c r="K59" s="4" t="str">
        <f>IFERROR(__xludf.DUMMYFUNCTION("""COMPUTED_VALUE"""),"")</f>
        <v/>
      </c>
    </row>
    <row r="60">
      <c r="A60" s="382">
        <f>IFERROR(__xludf.DUMMYFUNCTION("""COMPUTED_VALUE"""),43964.256655)</f>
        <v>43964.25666</v>
      </c>
      <c r="B60" s="4" t="str">
        <f>IFERROR(__xludf.DUMMYFUNCTION("""COMPUTED_VALUE"""),"Pillow")</f>
        <v>Pillow</v>
      </c>
      <c r="C60" s="4" t="str">
        <f>IFERROR(__xludf.DUMMYFUNCTION("""COMPUTED_VALUE"""),"STYB")</f>
        <v>STYB</v>
      </c>
      <c r="D60" s="4" t="str">
        <f>IFERROR(__xludf.DUMMYFUNCTION("""COMPUTED_VALUE"""),"Scott")</f>
        <v>Scott</v>
      </c>
      <c r="E60" s="4" t="str">
        <f>IFERROR(__xludf.DUMMYFUNCTION("""COMPUTED_VALUE"""),"Weir")</f>
        <v>Weir</v>
      </c>
      <c r="F60" s="4" t="str">
        <f>IFERROR(__xludf.DUMMYFUNCTION("""COMPUTED_VALUE"""),"Pillow is an online travel agency platform that matches vacation rental owners with quality guests from around the world, while supporting local business and helping societies most vulnerable groups.")</f>
        <v>Pillow is an online travel agency platform that matches vacation rental owners with quality guests from around the world, while supporting local business and helping societies most vulnerable groups.</v>
      </c>
      <c r="G60" s="21" t="str">
        <f>IFERROR(__xludf.DUMMYFUNCTION("""COMPUTED_VALUE"""),"https://drive.google.com/file/d/1KNxf7ZxlZDcrO6lUCmMexgR1ricHPE2p/view?usp=sharing")</f>
        <v>https://drive.google.com/file/d/1KNxf7ZxlZDcrO6lUCmMexgR1ricHPE2p/view?usp=sharing</v>
      </c>
      <c r="H60" s="4" t="str">
        <f>IFERROR(__xludf.DUMMYFUNCTION("""COMPUTED_VALUE"""),"Yes")</f>
        <v>Yes</v>
      </c>
      <c r="I60" s="4" t="str">
        <f>IFERROR(__xludf.DUMMYFUNCTION("""COMPUTED_VALUE"""),"Passed")</f>
        <v>Passed</v>
      </c>
      <c r="J60" s="4" t="str">
        <f>IFERROR(__xludf.DUMMYFUNCTION("""COMPUTED_VALUE"""),"Sent for review")</f>
        <v>Sent for review</v>
      </c>
      <c r="K60" s="4" t="str">
        <f>IFERROR(__xludf.DUMMYFUNCTION("""COMPUTED_VALUE"""),"")</f>
        <v/>
      </c>
    </row>
    <row r="61">
      <c r="A61" s="382">
        <f>IFERROR(__xludf.DUMMYFUNCTION("""COMPUTED_VALUE"""),43965.196748)</f>
        <v>43965.19675</v>
      </c>
      <c r="B61" s="4" t="str">
        <f>IFERROR(__xludf.DUMMYFUNCTION("""COMPUTED_VALUE"""),"Splitty")</f>
        <v>Splitty</v>
      </c>
      <c r="C61" s="4" t="str">
        <f>IFERROR(__xludf.DUMMYFUNCTION("""COMPUTED_VALUE"""),"JWGZ")</f>
        <v>JWGZ</v>
      </c>
      <c r="D61" s="4" t="str">
        <f>IFERROR(__xludf.DUMMYFUNCTION("""COMPUTED_VALUE"""),"Eran")</f>
        <v>Eran</v>
      </c>
      <c r="E61" s="4" t="str">
        <f>IFERROR(__xludf.DUMMYFUNCTION("""COMPUTED_VALUE"""),"Shust")</f>
        <v>Shust</v>
      </c>
      <c r="F61" s="4" t="str">
        <f>IFERROR(__xludf.DUMMYFUNCTION("""COMPUTED_VALUE"""),"Splitty is the first-of-its-kind booking platform that uses proprietary ML technology to provide creative hotel booking offers for consumers")</f>
        <v>Splitty is the first-of-its-kind booking platform that uses proprietary ML technology to provide creative hotel booking offers for consumers</v>
      </c>
      <c r="G61" s="21" t="str">
        <f>IFERROR(__xludf.DUMMYFUNCTION("""COMPUTED_VALUE"""),"https://drive.google.com/file/d/1DLBSWMubgLRsePBhaLmn9pQVghPl4-c1/view?usp=sharing")</f>
        <v>https://drive.google.com/file/d/1DLBSWMubgLRsePBhaLmn9pQVghPl4-c1/view?usp=sharing</v>
      </c>
      <c r="H61" s="4" t="str">
        <f>IFERROR(__xludf.DUMMYFUNCTION("""COMPUTED_VALUE"""),"Yes")</f>
        <v>Yes</v>
      </c>
      <c r="I61" s="4" t="str">
        <f>IFERROR(__xludf.DUMMYFUNCTION("""COMPUTED_VALUE"""),"Failed")</f>
        <v>Failed</v>
      </c>
      <c r="J61" s="4" t="str">
        <f>IFERROR(__xludf.DUMMYFUNCTION("""COMPUTED_VALUE"""),"")</f>
        <v/>
      </c>
      <c r="K61" s="4" t="str">
        <f>IFERROR(__xludf.DUMMYFUNCTION("""COMPUTED_VALUE"""),"")</f>
        <v/>
      </c>
    </row>
    <row r="62">
      <c r="A62" s="382">
        <f>IFERROR(__xludf.DUMMYFUNCTION("""COMPUTED_VALUE"""),43965.371424)</f>
        <v>43965.37142</v>
      </c>
      <c r="B62" s="4" t="str">
        <f>IFERROR(__xludf.DUMMYFUNCTION("""COMPUTED_VALUE"""),"Vox Technologies")</f>
        <v>Vox Technologies</v>
      </c>
      <c r="C62" s="4" t="str">
        <f>IFERROR(__xludf.DUMMYFUNCTION("""COMPUTED_VALUE"""),"1WQX")</f>
        <v>1WQX</v>
      </c>
      <c r="D62" s="4" t="str">
        <f>IFERROR(__xludf.DUMMYFUNCTION("""COMPUTED_VALUE"""),"Yoichiro")</f>
        <v>Yoichiro</v>
      </c>
      <c r="E62" s="4" t="str">
        <f>IFERROR(__xludf.DUMMYFUNCTION("""COMPUTED_VALUE"""),"Hara")</f>
        <v>Hara</v>
      </c>
      <c r="F62" s="4" t="str">
        <f>IFERROR(__xludf.DUMMYFUNCTION("""COMPUTED_VALUE"""),"Vox provide a smart shipping box which is delivered by remote-operated smart delivery carts and unlocked by the receiver's mobile app that eliminates the chance of re-delivery, package theft and allows asynchronized operation for both carriers and consume"&amp;"rs.")</f>
        <v>Vox provide a smart shipping box which is delivered by remote-operated smart delivery carts and unlocked by the receiver's mobile app that eliminates the chance of re-delivery, package theft and allows asynchronized operation for both carriers and consumers.</v>
      </c>
      <c r="G62" s="21" t="str">
        <f>IFERROR(__xludf.DUMMYFUNCTION("""COMPUTED_VALUE"""),"https://youtu.be/I5-Hmoc_bEw")</f>
        <v>https://youtu.be/I5-Hmoc_bEw</v>
      </c>
      <c r="H62" s="4" t="str">
        <f>IFERROR(__xludf.DUMMYFUNCTION("""COMPUTED_VALUE"""),"No")</f>
        <v>No</v>
      </c>
      <c r="I62" s="4" t="str">
        <f>IFERROR(__xludf.DUMMYFUNCTION("""COMPUTED_VALUE"""),"")</f>
        <v/>
      </c>
      <c r="J62" s="4" t="str">
        <f>IFERROR(__xludf.DUMMYFUNCTION("""COMPUTED_VALUE"""),"")</f>
        <v/>
      </c>
      <c r="K62" s="4" t="str">
        <f>IFERROR(__xludf.DUMMYFUNCTION("""COMPUTED_VALUE"""),"")</f>
        <v/>
      </c>
    </row>
    <row r="63">
      <c r="A63" s="382">
        <f>IFERROR(__xludf.DUMMYFUNCTION("""COMPUTED_VALUE"""),43965.488449)</f>
        <v>43965.48845</v>
      </c>
      <c r="B63" s="4" t="str">
        <f>IFERROR(__xludf.DUMMYFUNCTION("""COMPUTED_VALUE"""),"Get It Done Now")</f>
        <v>Get It Done Now</v>
      </c>
      <c r="C63" s="4" t="str">
        <f>IFERROR(__xludf.DUMMYFUNCTION("""COMPUTED_VALUE"""),"7QEM-1")</f>
        <v>7QEM-1</v>
      </c>
      <c r="D63" s="4" t="str">
        <f>IFERROR(__xludf.DUMMYFUNCTION("""COMPUTED_VALUE"""),"Alberto")</f>
        <v>Alberto</v>
      </c>
      <c r="E63" s="4" t="str">
        <f>IFERROR(__xludf.DUMMYFUNCTION("""COMPUTED_VALUE"""),"Rodriguez")</f>
        <v>Rodriguez</v>
      </c>
      <c r="F63" s="4" t="str">
        <f>IFERROR(__xludf.DUMMYFUNCTION("""COMPUTED_VALUE"""),"Get it Done Now is a Nigerian All Services Platform, focused in Safety &amp; Security for both Client and Pros")</f>
        <v>Get it Done Now is a Nigerian All Services Platform, focused in Safety &amp; Security for both Client and Pros</v>
      </c>
      <c r="G63" s="21" t="str">
        <f>IFERROR(__xludf.DUMMYFUNCTION("""COMPUTED_VALUE"""),"https://getitdonenowltd-my.sharepoint.com/:f:/p/arodriguez/EqGm_O1TRAdBgsNyYvmok1MBlKXxdC0v3nPQbbZ7i")</f>
        <v>https://getitdonenowltd-my.sharepoint.com/:f:/p/arodriguez/EqGm_O1TRAdBgsNyYvmok1MBlKXxdC0v3nPQbbZ7i</v>
      </c>
      <c r="H63" s="4" t="str">
        <f>IFERROR(__xludf.DUMMYFUNCTION("""COMPUTED_VALUE"""),"No")</f>
        <v>No</v>
      </c>
      <c r="I63" s="4" t="str">
        <f>IFERROR(__xludf.DUMMYFUNCTION("""COMPUTED_VALUE"""),"")</f>
        <v/>
      </c>
      <c r="J63" s="4" t="str">
        <f>IFERROR(__xludf.DUMMYFUNCTION("""COMPUTED_VALUE"""),"")</f>
        <v/>
      </c>
      <c r="K63" s="4" t="str">
        <f>IFERROR(__xludf.DUMMYFUNCTION("""COMPUTED_VALUE"""),"")</f>
        <v/>
      </c>
    </row>
    <row r="64">
      <c r="A64" s="382">
        <f>IFERROR(__xludf.DUMMYFUNCTION("""COMPUTED_VALUE"""),43965.55463)</f>
        <v>43965.55463</v>
      </c>
      <c r="B64" s="4" t="str">
        <f>IFERROR(__xludf.DUMMYFUNCTION("""COMPUTED_VALUE"""),"Biosolvit Soluções em Biotecnologia Aplicada SA.")</f>
        <v>Biosolvit Soluções em Biotecnologia Aplicada SA.</v>
      </c>
      <c r="C64" s="4" t="str">
        <f>IFERROR(__xludf.DUMMYFUNCTION("""COMPUTED_VALUE"""),"JFCC-1")</f>
        <v>JFCC-1</v>
      </c>
      <c r="D64" s="4" t="str">
        <f>IFERROR(__xludf.DUMMYFUNCTION("""COMPUTED_VALUE"""),"Guilhermo")</f>
        <v>Guilhermo</v>
      </c>
      <c r="E64" s="4" t="str">
        <f>IFERROR(__xludf.DUMMYFUNCTION("""COMPUTED_VALUE"""),"Queiroz")</f>
        <v>Queiroz</v>
      </c>
      <c r="F64" s="4" t="str">
        <f>IFERROR(__xludf.DUMMYFUNCTION("""COMPUTED_VALUE"""),"A biotech company applied to new materials development. Between other products, we have developed the most efficient oil absorber in the world. Our product is natural, hydrophobic, faster and the only one that allows the reuse of spilled oil.")</f>
        <v>A biotech company applied to new materials development. Between other products, we have developed the most efficient oil absorber in the world. Our product is natural, hydrophobic, faster and the only one that allows the reuse of spilled oil.</v>
      </c>
      <c r="G64" s="21" t="str">
        <f>IFERROR(__xludf.DUMMYFUNCTION("""COMPUTED_VALUE"""),"https://1drv.ms/v/s!AtfRvemzhpJChJdLlonjXCPkunqLrg?e=UsjVrK")</f>
        <v>https://1drv.ms/v/s!AtfRvemzhpJChJdLlonjXCPkunqLrg?e=UsjVrK</v>
      </c>
      <c r="H64" s="4" t="str">
        <f>IFERROR(__xludf.DUMMYFUNCTION("""COMPUTED_VALUE"""),"No")</f>
        <v>No</v>
      </c>
      <c r="I64" s="4" t="str">
        <f>IFERROR(__xludf.DUMMYFUNCTION("""COMPUTED_VALUE"""),"")</f>
        <v/>
      </c>
      <c r="J64" s="4" t="str">
        <f>IFERROR(__xludf.DUMMYFUNCTION("""COMPUTED_VALUE"""),"")</f>
        <v/>
      </c>
      <c r="K64" s="4" t="str">
        <f>IFERROR(__xludf.DUMMYFUNCTION("""COMPUTED_VALUE"""),"")</f>
        <v/>
      </c>
    </row>
    <row r="65">
      <c r="A65" s="382">
        <f>IFERROR(__xludf.DUMMYFUNCTION("""COMPUTED_VALUE"""),43965.607014)</f>
        <v>43965.60701</v>
      </c>
      <c r="B65" s="4" t="str">
        <f>IFERROR(__xludf.DUMMYFUNCTION("""COMPUTED_VALUE"""),"FitDrive")</f>
        <v>FitDrive</v>
      </c>
      <c r="C65" s="4" t="str">
        <f>IFERROR(__xludf.DUMMYFUNCTION("""COMPUTED_VALUE"""),"2GHL-3")</f>
        <v>2GHL-3</v>
      </c>
      <c r="D65" s="4" t="str">
        <f>IFERROR(__xludf.DUMMYFUNCTION("""COMPUTED_VALUE"""),"Carter")</f>
        <v>Carter</v>
      </c>
      <c r="E65" s="4" t="str">
        <f>IFERROR(__xludf.DUMMYFUNCTION("""COMPUTED_VALUE"""),"Sprigings")</f>
        <v>Sprigings</v>
      </c>
      <c r="F65" s="4" t="str">
        <f>IFERROR(__xludf.DUMMYFUNCTION("""COMPUTED_VALUE"""),"The easiest way to launch, manage and grow your business online as a personal trainer.")</f>
        <v>The easiest way to launch, manage and grow your business online as a personal trainer.</v>
      </c>
      <c r="G65" s="21" t="str">
        <f>IFERROR(__xludf.DUMMYFUNCTION("""COMPUTED_VALUE"""),"https://www.youtube.com/watch?v=4dbYTEPA5hE&amp;feature=youtu.be")</f>
        <v>https://www.youtube.com/watch?v=4dbYTEPA5hE&amp;feature=youtu.be</v>
      </c>
      <c r="H65" s="4" t="str">
        <f>IFERROR(__xludf.DUMMYFUNCTION("""COMPUTED_VALUE"""),"Yes")</f>
        <v>Yes</v>
      </c>
      <c r="I65" s="4" t="str">
        <f>IFERROR(__xludf.DUMMYFUNCTION("""COMPUTED_VALUE"""),"Failed")</f>
        <v>Failed</v>
      </c>
      <c r="J65" s="4" t="str">
        <f>IFERROR(__xludf.DUMMYFUNCTION("""COMPUTED_VALUE"""),"")</f>
        <v/>
      </c>
      <c r="K65" s="4" t="str">
        <f>IFERROR(__xludf.DUMMYFUNCTION("""COMPUTED_VALUE"""),"")</f>
        <v/>
      </c>
    </row>
    <row r="66">
      <c r="A66" s="382">
        <f>IFERROR(__xludf.DUMMYFUNCTION("""COMPUTED_VALUE"""),43965.621528)</f>
        <v>43965.62153</v>
      </c>
      <c r="B66" s="4" t="str">
        <f>IFERROR(__xludf.DUMMYFUNCTION("""COMPUTED_VALUE"""),"Quppy")</f>
        <v>Quppy</v>
      </c>
      <c r="C66" s="4" t="str">
        <f>IFERROR(__xludf.DUMMYFUNCTION("""COMPUTED_VALUE"""),"8ZKR-1")</f>
        <v>8ZKR-1</v>
      </c>
      <c r="D66" s="4" t="str">
        <f>IFERROR(__xludf.DUMMYFUNCTION("""COMPUTED_VALUE"""),"Alina")</f>
        <v>Alina</v>
      </c>
      <c r="E66" s="4" t="str">
        <f>IFERROR(__xludf.DUMMYFUNCTION("""COMPUTED_VALUE"""),"Kornienko")</f>
        <v>Kornienko</v>
      </c>
      <c r="F66" s="4" t="str">
        <f>IFERROR(__xludf.DUMMYFUNCTION("""COMPUTED_VALUE"""),"Quppy is a digital payment solution consolidating your bank cards and accounts.")</f>
        <v>Quppy is a digital payment solution consolidating your bank cards and accounts.</v>
      </c>
      <c r="G66" s="21" t="str">
        <f>IFERROR(__xludf.DUMMYFUNCTION("""COMPUTED_VALUE"""),"https://drive.google.com/open?id=1A4nk9sUbkY4TZDKnyJLONZVyYZ2gkff2")</f>
        <v>https://drive.google.com/open?id=1A4nk9sUbkY4TZDKnyJLONZVyYZ2gkff2</v>
      </c>
      <c r="H66" s="4" t="str">
        <f>IFERROR(__xludf.DUMMYFUNCTION("""COMPUTED_VALUE"""),"Yes")</f>
        <v>Yes</v>
      </c>
      <c r="I66" s="4" t="str">
        <f>IFERROR(__xludf.DUMMYFUNCTION("""COMPUTED_VALUE"""),"Failed")</f>
        <v>Failed</v>
      </c>
      <c r="J66" s="4" t="str">
        <f>IFERROR(__xludf.DUMMYFUNCTION("""COMPUTED_VALUE"""),"")</f>
        <v/>
      </c>
      <c r="K66" s="4" t="str">
        <f>IFERROR(__xludf.DUMMYFUNCTION("""COMPUTED_VALUE"""),"")</f>
        <v/>
      </c>
    </row>
    <row r="67">
      <c r="A67" s="382">
        <f>IFERROR(__xludf.DUMMYFUNCTION("""COMPUTED_VALUE"""),43965.702407)</f>
        <v>43965.70241</v>
      </c>
      <c r="B67" s="4" t="str">
        <f>IFERROR(__xludf.DUMMYFUNCTION("""COMPUTED_VALUE"""),"Crashtest Security GmbH")</f>
        <v>Crashtest Security GmbH</v>
      </c>
      <c r="C67" s="4" t="str">
        <f>IFERROR(__xludf.DUMMYFUNCTION("""COMPUTED_VALUE"""),"BJQ4")</f>
        <v>BJQ4</v>
      </c>
      <c r="D67" s="4" t="str">
        <f>IFERROR(__xludf.DUMMYFUNCTION("""COMPUTED_VALUE"""),"Jan")</f>
        <v>Jan</v>
      </c>
      <c r="E67" s="4" t="str">
        <f>IFERROR(__xludf.DUMMYFUNCTION("""COMPUTED_VALUE"""),"Wiederrecht")</f>
        <v>Wiederrecht</v>
      </c>
      <c r="F67" s="4" t="str">
        <f>IFERROR(__xludf.DUMMYFUNCTION("""COMPUTED_VALUE"""),"We help digital companies to test every software release for security vulnerabilities. This ensures to never release unsecure software.")</f>
        <v>We help digital companies to test every software release for security vulnerabilities. This ensures to never release unsecure software.</v>
      </c>
      <c r="G67" s="21" t="str">
        <f>IFERROR(__xludf.DUMMYFUNCTION("""COMPUTED_VALUE"""),"https://drive.google.com/file/d/1OS5KwLDp19TChtrx5YA8Q4iV9Ggau1JQ/view?usp=sharing")</f>
        <v>https://drive.google.com/file/d/1OS5KwLDp19TChtrx5YA8Q4iV9Ggau1JQ/view?usp=sharing</v>
      </c>
      <c r="H67" s="4" t="str">
        <f>IFERROR(__xludf.DUMMYFUNCTION("""COMPUTED_VALUE"""),"Yes")</f>
        <v>Yes</v>
      </c>
      <c r="I67" s="4" t="str">
        <f>IFERROR(__xludf.DUMMYFUNCTION("""COMPUTED_VALUE"""),"Passed")</f>
        <v>Passed</v>
      </c>
      <c r="J67" s="4" t="str">
        <f>IFERROR(__xludf.DUMMYFUNCTION("""COMPUTED_VALUE"""),"Sent for review")</f>
        <v>Sent for review</v>
      </c>
      <c r="K67" s="4" t="str">
        <f>IFERROR(__xludf.DUMMYFUNCTION("""COMPUTED_VALUE"""),"")</f>
        <v/>
      </c>
    </row>
    <row r="68">
      <c r="A68" s="382">
        <f>IFERROR(__xludf.DUMMYFUNCTION("""COMPUTED_VALUE"""),43965.703565)</f>
        <v>43965.70357</v>
      </c>
      <c r="B68" s="4" t="str">
        <f>IFERROR(__xludf.DUMMYFUNCTION("""COMPUTED_VALUE"""),"Viageur")</f>
        <v>Viageur</v>
      </c>
      <c r="C68" s="4" t="str">
        <f>IFERROR(__xludf.DUMMYFUNCTION("""COMPUTED_VALUE"""),"TOGH")</f>
        <v>TOGH</v>
      </c>
      <c r="D68" s="4" t="str">
        <f>IFERROR(__xludf.DUMMYFUNCTION("""COMPUTED_VALUE"""),"Kristina")</f>
        <v>Kristina</v>
      </c>
      <c r="E68" s="4" t="str">
        <f>IFERROR(__xludf.DUMMYFUNCTION("""COMPUTED_VALUE"""),"Liburd")</f>
        <v>Liburd</v>
      </c>
      <c r="F68" s="4" t="str">
        <f>IFERROR(__xludf.DUMMYFUNCTION("""COMPUTED_VALUE"""),"Using AI to answer the questions ""What Do I Do When Get There?"" for travelers and ""How Do I Reach Travelers?"" for vendors.")</f>
        <v>Using AI to answer the questions "What Do I Do When Get There?" for travelers and "How Do I Reach Travelers?" for vendors.</v>
      </c>
      <c r="G68" s="21" t="str">
        <f>IFERROR(__xludf.DUMMYFUNCTION("""COMPUTED_VALUE"""),"https://drive.google.com/file/d/1rtPZZqIWXn9i-Qo9UmagG7B1k28Javny/view?usp=sharing")</f>
        <v>https://drive.google.com/file/d/1rtPZZqIWXn9i-Qo9UmagG7B1k28Javny/view?usp=sharing</v>
      </c>
      <c r="H68" s="4" t="str">
        <f>IFERROR(__xludf.DUMMYFUNCTION("""COMPUTED_VALUE"""),"Yes")</f>
        <v>Yes</v>
      </c>
      <c r="I68" s="4" t="str">
        <f>IFERROR(__xludf.DUMMYFUNCTION("""COMPUTED_VALUE"""),"Passed")</f>
        <v>Passed</v>
      </c>
      <c r="J68" s="4" t="str">
        <f>IFERROR(__xludf.DUMMYFUNCTION("""COMPUTED_VALUE"""),"Sent for review")</f>
        <v>Sent for review</v>
      </c>
      <c r="K68" s="4" t="str">
        <f>IFERROR(__xludf.DUMMYFUNCTION("""COMPUTED_VALUE"""),"")</f>
        <v/>
      </c>
    </row>
    <row r="69">
      <c r="A69" s="382">
        <f>IFERROR(__xludf.DUMMYFUNCTION("""COMPUTED_VALUE"""),43965.760995)</f>
        <v>43965.761</v>
      </c>
      <c r="B69" s="4" t="str">
        <f>IFERROR(__xludf.DUMMYFUNCTION("""COMPUTED_VALUE"""),"StayBillety")</f>
        <v>StayBillety</v>
      </c>
      <c r="C69" s="4" t="str">
        <f>IFERROR(__xludf.DUMMYFUNCTION("""COMPUTED_VALUE"""),"Q47Z-1")</f>
        <v>Q47Z-1</v>
      </c>
      <c r="D69" s="4" t="str">
        <f>IFERROR(__xludf.DUMMYFUNCTION("""COMPUTED_VALUE"""),"Barbara")</f>
        <v>Barbara</v>
      </c>
      <c r="E69" s="4" t="str">
        <f>IFERROR(__xludf.DUMMYFUNCTION("""COMPUTED_VALUE"""),"Jones")</f>
        <v>Jones</v>
      </c>
      <c r="F69" s="4" t="str">
        <f>IFERROR(__xludf.DUMMYFUNCTION("""COMPUTED_VALUE"""),"StayBillety is the online home sharing platform serving Groups &amp; Organizations and their communities. Shared Interests. Shared Roof. #StayingAlike // Groups and organizations are looking for NEW and RELEVANT ways to: ENGAGE their communities &amp; Generate RE"&amp;"VENUE. Our platform helps solve their PROBLEM.")</f>
        <v>StayBillety is the online home sharing platform serving Groups &amp; Organizations and their communities. Shared Interests. Shared Roof. #StayingAlike // Groups and organizations are looking for NEW and RELEVANT ways to: ENGAGE their communities &amp; Generate REVENUE. Our platform helps solve their PROBLEM.</v>
      </c>
      <c r="G69" s="21" t="str">
        <f>IFERROR(__xludf.DUMMYFUNCTION("""COMPUTED_VALUE"""),"https://drive.google.com/drive/folders/1kUgYBxzSjk6hvCb75l-1xMlVaOdXQO4O?usp=sharing")</f>
        <v>https://drive.google.com/drive/folders/1kUgYBxzSjk6hvCb75l-1xMlVaOdXQO4O?usp=sharing</v>
      </c>
      <c r="H69" s="4" t="str">
        <f>IFERROR(__xludf.DUMMYFUNCTION("""COMPUTED_VALUE"""),"No")</f>
        <v>No</v>
      </c>
      <c r="I69" s="4" t="str">
        <f>IFERROR(__xludf.DUMMYFUNCTION("""COMPUTED_VALUE"""),"For Review")</f>
        <v>For Review</v>
      </c>
      <c r="J69" s="4" t="str">
        <f>IFERROR(__xludf.DUMMYFUNCTION("""COMPUTED_VALUE"""),"")</f>
        <v/>
      </c>
      <c r="K69" s="4" t="str">
        <f>IFERROR(__xludf.DUMMYFUNCTION("""COMPUTED_VALUE"""),"")</f>
        <v/>
      </c>
    </row>
    <row r="70">
      <c r="A70" s="382">
        <f>IFERROR(__xludf.DUMMYFUNCTION("""COMPUTED_VALUE"""),43965.858935)</f>
        <v>43965.85894</v>
      </c>
      <c r="B70" s="4" t="str">
        <f>IFERROR(__xludf.DUMMYFUNCTION("""COMPUTED_VALUE"""),"Markably")</f>
        <v>Markably</v>
      </c>
      <c r="C70" s="4" t="str">
        <f>IFERROR(__xludf.DUMMYFUNCTION("""COMPUTED_VALUE"""),"K8UC-1")</f>
        <v>K8UC-1</v>
      </c>
      <c r="D70" s="4" t="str">
        <f>IFERROR(__xludf.DUMMYFUNCTION("""COMPUTED_VALUE"""),"Cynthia")</f>
        <v>Cynthia</v>
      </c>
      <c r="E70" s="4" t="str">
        <f>IFERROR(__xludf.DUMMYFUNCTION("""COMPUTED_VALUE"""),"Mason")</f>
        <v>Mason</v>
      </c>
      <c r="F70" s="4" t="str">
        <f>IFERROR(__xludf.DUMMYFUNCTION("""COMPUTED_VALUE"""),"Markably is an online brand protection company that has developed a SaaS for preparing legally-compliant trademark applications.")</f>
        <v>Markably is an online brand protection company that has developed a SaaS for preparing legally-compliant trademark applications.</v>
      </c>
      <c r="G70" s="21" t="str">
        <f>IFERROR(__xludf.DUMMYFUNCTION("""COMPUTED_VALUE"""),"https://drive.google.com/file/d/1m4S3LTLFNR075s4NtK82FAydP5LCqrJz/view?usp=sharing")</f>
        <v>https://drive.google.com/file/d/1m4S3LTLFNR075s4NtK82FAydP5LCqrJz/view?usp=sharing</v>
      </c>
      <c r="H70" s="4" t="str">
        <f>IFERROR(__xludf.DUMMYFUNCTION("""COMPUTED_VALUE"""),"Yes")</f>
        <v>Yes</v>
      </c>
      <c r="I70" s="4" t="str">
        <f>IFERROR(__xludf.DUMMYFUNCTION("""COMPUTED_VALUE"""),"Failed")</f>
        <v>Failed</v>
      </c>
      <c r="J70" s="4" t="str">
        <f>IFERROR(__xludf.DUMMYFUNCTION("""COMPUTED_VALUE"""),"")</f>
        <v/>
      </c>
      <c r="K70" s="4" t="str">
        <f>IFERROR(__xludf.DUMMYFUNCTION("""COMPUTED_VALUE"""),"")</f>
        <v/>
      </c>
    </row>
    <row r="71">
      <c r="A71" s="382">
        <f>IFERROR(__xludf.DUMMYFUNCTION("""COMPUTED_VALUE"""),43965.93897)</f>
        <v>43965.93897</v>
      </c>
      <c r="B71" s="4" t="str">
        <f>IFERROR(__xludf.DUMMYFUNCTION("""COMPUTED_VALUE"""),"Winning Words Project")</f>
        <v>Winning Words Project</v>
      </c>
      <c r="C71" s="4" t="str">
        <f>IFERROR(__xludf.DUMMYFUNCTION("""COMPUTED_VALUE"""),"IWGJ-1")</f>
        <v>IWGJ-1</v>
      </c>
      <c r="D71" s="4" t="str">
        <f>IFERROR(__xludf.DUMMYFUNCTION("""COMPUTED_VALUE"""),"Deb")</f>
        <v>Deb</v>
      </c>
      <c r="E71" s="4" t="str">
        <f>IFERROR(__xludf.DUMMYFUNCTION("""COMPUTED_VALUE"""),"Ghosh")</f>
        <v>Ghosh</v>
      </c>
      <c r="F71" s="4" t="str">
        <f>IFERROR(__xludf.DUMMYFUNCTION("""COMPUTED_VALUE"""),"Small group classes for social emotional learning for kids - more accessible, cheaper and on demand. Taught by 100s of independent educators and counsellors.")</f>
        <v>Small group classes for social emotional learning for kids - more accessible, cheaper and on demand. Taught by 100s of independent educators and counsellors.</v>
      </c>
      <c r="G71" s="21" t="str">
        <f>IFERROR(__xludf.DUMMYFUNCTION("""COMPUTED_VALUE"""),"https://drive.google.com/file/d/1QctjbyK3fNZV_0Mcrn_XwQZGD7i7VuhG/view?usp=sharing")</f>
        <v>https://drive.google.com/file/d/1QctjbyK3fNZV_0Mcrn_XwQZGD7i7VuhG/view?usp=sharing</v>
      </c>
      <c r="H71" s="4" t="str">
        <f>IFERROR(__xludf.DUMMYFUNCTION("""COMPUTED_VALUE"""),"No")</f>
        <v>No</v>
      </c>
      <c r="I71" s="4" t="str">
        <f>IFERROR(__xludf.DUMMYFUNCTION("""COMPUTED_VALUE"""),"")</f>
        <v/>
      </c>
      <c r="J71" s="4" t="str">
        <f>IFERROR(__xludf.DUMMYFUNCTION("""COMPUTED_VALUE"""),"")</f>
        <v/>
      </c>
      <c r="K71" s="4" t="str">
        <f>IFERROR(__xludf.DUMMYFUNCTION("""COMPUTED_VALUE"""),"")</f>
        <v/>
      </c>
    </row>
    <row r="72">
      <c r="A72" s="382">
        <f>IFERROR(__xludf.DUMMYFUNCTION("""COMPUTED_VALUE"""),43966.313495)</f>
        <v>43966.3135</v>
      </c>
      <c r="B72" s="4" t="str">
        <f>IFERROR(__xludf.DUMMYFUNCTION("""COMPUTED_VALUE"""),"Adeo PWA")</f>
        <v>Adeo PWA</v>
      </c>
      <c r="C72" s="4" t="str">
        <f>IFERROR(__xludf.DUMMYFUNCTION("""COMPUTED_VALUE"""),"RQ6I")</f>
        <v>RQ6I</v>
      </c>
      <c r="D72" s="4" t="str">
        <f>IFERROR(__xludf.DUMMYFUNCTION("""COMPUTED_VALUE"""),"Ron")</f>
        <v>Ron</v>
      </c>
      <c r="E72" s="4" t="str">
        <f>IFERROR(__xludf.DUMMYFUNCTION("""COMPUTED_VALUE"""),"Lilek")</f>
        <v>Lilek</v>
      </c>
      <c r="F72" s="4" t="str">
        <f>IFERROR(__xludf.DUMMYFUNCTION("""COMPUTED_VALUE"""),"Adeo PWA was funded and founded as a spin-off with a dedicated team, based on new PWA technology by Adeo Web - eCommerce development agency.")</f>
        <v>Adeo PWA was funded and founded as a spin-off with a dedicated team, based on new PWA technology by Adeo Web - eCommerce development agency.</v>
      </c>
      <c r="G72" s="21" t="str">
        <f>IFERROR(__xludf.DUMMYFUNCTION("""COMPUTED_VALUE"""),"https://drive.google.com/file/d/1MdG15n4Ely8Boc-blN7heKfBbUeqWbx1/view?usp=sharing")</f>
        <v>https://drive.google.com/file/d/1MdG15n4Ely8Boc-blN7heKfBbUeqWbx1/view?usp=sharing</v>
      </c>
      <c r="H72" s="4" t="str">
        <f>IFERROR(__xludf.DUMMYFUNCTION("""COMPUTED_VALUE"""),"No")</f>
        <v>No</v>
      </c>
      <c r="I72" s="4" t="str">
        <f>IFERROR(__xludf.DUMMYFUNCTION("""COMPUTED_VALUE"""),"")</f>
        <v/>
      </c>
      <c r="J72" s="4" t="str">
        <f>IFERROR(__xludf.DUMMYFUNCTION("""COMPUTED_VALUE"""),"")</f>
        <v/>
      </c>
      <c r="K72" s="4" t="str">
        <f>IFERROR(__xludf.DUMMYFUNCTION("""COMPUTED_VALUE"""),"")</f>
        <v/>
      </c>
    </row>
    <row r="73">
      <c r="A73" s="382">
        <f>IFERROR(__xludf.DUMMYFUNCTION("""COMPUTED_VALUE"""),43966.37)</f>
        <v>43966.37</v>
      </c>
      <c r="B73" s="4" t="str">
        <f>IFERROR(__xludf.DUMMYFUNCTION("""COMPUTED_VALUE"""),"ERP Smart System")</f>
        <v>ERP Smart System</v>
      </c>
      <c r="C73" s="4" t="str">
        <f>IFERROR(__xludf.DUMMYFUNCTION("""COMPUTED_VALUE"""),"5CDC")</f>
        <v>5CDC</v>
      </c>
      <c r="D73" s="4" t="str">
        <f>IFERROR(__xludf.DUMMYFUNCTION("""COMPUTED_VALUE"""),"Roza")</f>
        <v>Roza</v>
      </c>
      <c r="E73" s="4" t="str">
        <f>IFERROR(__xludf.DUMMYFUNCTION("""COMPUTED_VALUE"""),"Bejanyan")</f>
        <v>Bejanyan</v>
      </c>
      <c r="F73" s="4" t="str">
        <f>IFERROR(__xludf.DUMMYFUNCTION("""COMPUTED_VALUE"""),"We are building world's first AI powered business consultant.")</f>
        <v>We are building world's first AI powered business consultant.</v>
      </c>
      <c r="G73" s="21" t="str">
        <f>IFERROR(__xludf.DUMMYFUNCTION("""COMPUTED_VALUE"""),"https://www.youtube.com/watch?v=nxUVAXcwJCg")</f>
        <v>https://www.youtube.com/watch?v=nxUVAXcwJCg</v>
      </c>
      <c r="H73" s="4" t="str">
        <f>IFERROR(__xludf.DUMMYFUNCTION("""COMPUTED_VALUE"""),"No")</f>
        <v>No</v>
      </c>
      <c r="I73" s="4" t="str">
        <f>IFERROR(__xludf.DUMMYFUNCTION("""COMPUTED_VALUE"""),"")</f>
        <v/>
      </c>
      <c r="J73" s="4" t="str">
        <f>IFERROR(__xludf.DUMMYFUNCTION("""COMPUTED_VALUE"""),"")</f>
        <v/>
      </c>
      <c r="K73" s="4" t="str">
        <f>IFERROR(__xludf.DUMMYFUNCTION("""COMPUTED_VALUE"""),"")</f>
        <v/>
      </c>
    </row>
    <row r="74">
      <c r="A74" s="382">
        <f>IFERROR(__xludf.DUMMYFUNCTION("""COMPUTED_VALUE"""),43966.38603)</f>
        <v>43966.38603</v>
      </c>
      <c r="B74" s="4" t="str">
        <f>IFERROR(__xludf.DUMMYFUNCTION("""COMPUTED_VALUE"""),"Cheapskate")</f>
        <v>Cheapskate</v>
      </c>
      <c r="C74" s="4" t="str">
        <f>IFERROR(__xludf.DUMMYFUNCTION("""COMPUTED_VALUE"""),"1QDB-1")</f>
        <v>1QDB-1</v>
      </c>
      <c r="D74" s="4" t="str">
        <f>IFERROR(__xludf.DUMMYFUNCTION("""COMPUTED_VALUE"""),"Zubar")</f>
        <v>Zubar</v>
      </c>
      <c r="E74" s="4" t="str">
        <f>IFERROR(__xludf.DUMMYFUNCTION("""COMPUTED_VALUE"""),"Miah")</f>
        <v>Miah</v>
      </c>
      <c r="F74" s="4" t="str">
        <f>IFERROR(__xludf.DUMMYFUNCTION("""COMPUTED_VALUE"""),"Cheapskate is a multi-platform product which combines both the in-store and online retail worlds. Our first platform is a plugin tool which uses crowd sourcing methodology to collate live deals and discount codes is one place.")</f>
        <v>Cheapskate is a multi-platform product which combines both the in-store and online retail worlds. Our first platform is a plugin tool which uses crowd sourcing methodology to collate live deals and discount codes is one place.</v>
      </c>
      <c r="G74" s="21" t="str">
        <f>IFERROR(__xludf.DUMMYFUNCTION("""COMPUTED_VALUE"""),"https://drive.google.com/open?id=1hCS72euIiHoXaZaS0tp4pCyh8HPcpLUj")</f>
        <v>https://drive.google.com/open?id=1hCS72euIiHoXaZaS0tp4pCyh8HPcpLUj</v>
      </c>
      <c r="H74" s="4" t="str">
        <f>IFERROR(__xludf.DUMMYFUNCTION("""COMPUTED_VALUE"""),"Yes")</f>
        <v>Yes</v>
      </c>
      <c r="I74" s="4" t="str">
        <f>IFERROR(__xludf.DUMMYFUNCTION("""COMPUTED_VALUE"""),"Passed")</f>
        <v>Passed</v>
      </c>
      <c r="J74" s="4" t="str">
        <f>IFERROR(__xludf.DUMMYFUNCTION("""COMPUTED_VALUE"""),"Sent for review")</f>
        <v>Sent for review</v>
      </c>
      <c r="K74" s="4" t="str">
        <f>IFERROR(__xludf.DUMMYFUNCTION("""COMPUTED_VALUE"""),"")</f>
        <v/>
      </c>
    </row>
    <row r="75">
      <c r="A75" s="382">
        <f>IFERROR(__xludf.DUMMYFUNCTION("""COMPUTED_VALUE"""),43966.430208)</f>
        <v>43966.43021</v>
      </c>
      <c r="B75" s="4" t="str">
        <f>IFERROR(__xludf.DUMMYFUNCTION("""COMPUTED_VALUE"""),"ModelingEvolution")</f>
        <v>ModelingEvolution</v>
      </c>
      <c r="C75" s="4" t="str">
        <f>IFERROR(__xludf.DUMMYFUNCTION("""COMPUTED_VALUE"""),"Q44K-1")</f>
        <v>Q44K-1</v>
      </c>
      <c r="D75" s="4" t="str">
        <f>IFERROR(__xludf.DUMMYFUNCTION("""COMPUTED_VALUE"""),"Rafal")</f>
        <v>Rafal</v>
      </c>
      <c r="E75" s="4" t="str">
        <f>IFERROR(__xludf.DUMMYFUNCTION("""COMPUTED_VALUE"""),"Maciag")</f>
        <v>Maciag</v>
      </c>
      <c r="F75" s="4" t="str">
        <f>IFERROR(__xludf.DUMMYFUNCTION("""COMPUTED_VALUE"""),"ModelingEvolution helps people to build their digital products. However, it's not a software-house and it's not a low-code platform. It's a space where in workshop-based manner you can work closely to create your products. Best lean &amp; agile methodologies "&amp;"are used to make it happen.")</f>
        <v>ModelingEvolution helps people to build their digital products. However, it's not a software-house and it's not a low-code platform. It's a space where in workshop-based manner you can work closely to create your products. Best lean &amp; agile methodologies are used to make it happen.</v>
      </c>
      <c r="G75" s="21" t="str">
        <f>IFERROR(__xludf.DUMMYFUNCTION("""COMPUTED_VALUE"""),"https://drive.google.com/file/d/1BxALck1G_N19S1j_icWS5ESCKral1uNm/view")</f>
        <v>https://drive.google.com/file/d/1BxALck1G_N19S1j_icWS5ESCKral1uNm/view</v>
      </c>
      <c r="H75" s="4" t="str">
        <f>IFERROR(__xludf.DUMMYFUNCTION("""COMPUTED_VALUE"""),"No")</f>
        <v>No</v>
      </c>
      <c r="I75" s="4" t="str">
        <f>IFERROR(__xludf.DUMMYFUNCTION("""COMPUTED_VALUE"""),"")</f>
        <v/>
      </c>
      <c r="J75" s="4" t="str">
        <f>IFERROR(__xludf.DUMMYFUNCTION("""COMPUTED_VALUE"""),"")</f>
        <v/>
      </c>
      <c r="K75" s="4" t="str">
        <f>IFERROR(__xludf.DUMMYFUNCTION("""COMPUTED_VALUE"""),"")</f>
        <v/>
      </c>
    </row>
    <row r="76">
      <c r="A76" s="382">
        <f>IFERROR(__xludf.DUMMYFUNCTION("""COMPUTED_VALUE"""),43966.462315)</f>
        <v>43966.46232</v>
      </c>
      <c r="B76" s="4" t="str">
        <f>IFERROR(__xludf.DUMMYFUNCTION("""COMPUTED_VALUE"""),"ENERGY SOURCE INDUSTRIA")</f>
        <v>ENERGY SOURCE INDUSTRIA</v>
      </c>
      <c r="C76" s="4" t="str">
        <f>IFERROR(__xludf.DUMMYFUNCTION("""COMPUTED_VALUE"""),"PHW5-1")</f>
        <v>PHW5-1</v>
      </c>
      <c r="D76" s="4" t="str">
        <f>IFERROR(__xludf.DUMMYFUNCTION("""COMPUTED_VALUE"""),"David")</f>
        <v>David</v>
      </c>
      <c r="E76" s="4" t="str">
        <f>IFERROR(__xludf.DUMMYFUNCTION("""COMPUTED_VALUE"""),"Noronha")</f>
        <v>Noronha</v>
      </c>
      <c r="F76" s="4" t="str">
        <f>IFERROR(__xludf.DUMMYFUNCTION("""COMPUTED_VALUE"""),"The first company in the World to offer a complete solution to reduce, reuse and recycle lithium batteries")</f>
        <v>The first company in the World to offer a complete solution to reduce, reuse and recycle lithium batteries</v>
      </c>
      <c r="G76" s="21" t="str">
        <f>IFERROR(__xludf.DUMMYFUNCTION("""COMPUTED_VALUE"""),"https://drive.google.com/file/d/1QeLis6NGIqgFW7ll9jgwdRcsP4OYDzf9/view?usp=sharing")</f>
        <v>https://drive.google.com/file/d/1QeLis6NGIqgFW7ll9jgwdRcsP4OYDzf9/view?usp=sharing</v>
      </c>
      <c r="H76" s="4" t="str">
        <f>IFERROR(__xludf.DUMMYFUNCTION("""COMPUTED_VALUE"""),"No")</f>
        <v>No</v>
      </c>
      <c r="I76" s="4" t="str">
        <f>IFERROR(__xludf.DUMMYFUNCTION("""COMPUTED_VALUE"""),"")</f>
        <v/>
      </c>
      <c r="J76" s="4" t="str">
        <f>IFERROR(__xludf.DUMMYFUNCTION("""COMPUTED_VALUE"""),"")</f>
        <v/>
      </c>
      <c r="K76" s="4" t="str">
        <f>IFERROR(__xludf.DUMMYFUNCTION("""COMPUTED_VALUE"""),"")</f>
        <v/>
      </c>
    </row>
    <row r="77">
      <c r="A77" s="382">
        <f>IFERROR(__xludf.DUMMYFUNCTION("""COMPUTED_VALUE"""),43966.466586)</f>
        <v>43966.46659</v>
      </c>
      <c r="B77" s="4" t="str">
        <f>IFERROR(__xludf.DUMMYFUNCTION("""COMPUTED_VALUE"""),"Travolier.com - Travelers Social Club. Rewarded With Hotelier Coin")</f>
        <v>Travolier.com - Travelers Social Club. Rewarded With Hotelier Coin</v>
      </c>
      <c r="C77" s="383">
        <f>IFERROR(__xludf.DUMMYFUNCTION("""COMPUTED_VALUE"""),546.0)</f>
        <v>546</v>
      </c>
      <c r="D77" s="4" t="str">
        <f>IFERROR(__xludf.DUMMYFUNCTION("""COMPUTED_VALUE"""),"Rana")</f>
        <v>Rana</v>
      </c>
      <c r="E77" s="4" t="str">
        <f>IFERROR(__xludf.DUMMYFUNCTION("""COMPUTED_VALUE"""),"Mukherji")</f>
        <v>Mukherji</v>
      </c>
      <c r="F77" s="4" t="str">
        <f>IFERROR(__xludf.DUMMYFUNCTION("""COMPUTED_VALUE"""),"Travel Loyalty reward like never before - at real modern traveler’s social club, earn HotelierCoin from travel booking, travel fintech payments, debit cards to social media posts.  One blockchain travelers, independent hotel &amp; homeowner database - empower"&amp;"s &amp; clubs' independent hotels, Airbnb Owners with A HOLISTIC LOYALTY PROGRAM")</f>
        <v>Travel Loyalty reward like never before - at real modern traveler’s social club, earn HotelierCoin from travel booking, travel fintech payments, debit cards to social media posts.  One blockchain travelers, independent hotel &amp; homeowner database - empowers &amp; clubs' independent hotels, Airbnb Owners with A HOLISTIC LOYALTY PROGRAM</v>
      </c>
      <c r="G77" s="21" t="str">
        <f>IFERROR(__xludf.DUMMYFUNCTION("""COMPUTED_VALUE"""),"https://www.youtube.com/watch?v=iZ9MxWk1iPI")</f>
        <v>https://www.youtube.com/watch?v=iZ9MxWk1iPI</v>
      </c>
      <c r="H77" s="4" t="str">
        <f>IFERROR(__xludf.DUMMYFUNCTION("""COMPUTED_VALUE"""),"No")</f>
        <v>No</v>
      </c>
      <c r="I77" s="4" t="str">
        <f>IFERROR(__xludf.DUMMYFUNCTION("""COMPUTED_VALUE"""),"")</f>
        <v/>
      </c>
      <c r="J77" s="4" t="str">
        <f>IFERROR(__xludf.DUMMYFUNCTION("""COMPUTED_VALUE"""),"")</f>
        <v/>
      </c>
      <c r="K77" s="4" t="str">
        <f>IFERROR(__xludf.DUMMYFUNCTION("""COMPUTED_VALUE"""),"")</f>
        <v/>
      </c>
    </row>
    <row r="78">
      <c r="A78" s="382">
        <f>IFERROR(__xludf.DUMMYFUNCTION("""COMPUTED_VALUE"""),43966.475023)</f>
        <v>43966.47502</v>
      </c>
      <c r="B78" s="4" t="str">
        <f>IFERROR(__xludf.DUMMYFUNCTION("""COMPUTED_VALUE"""),"inField Solutions Inc.")</f>
        <v>inField Solutions Inc.</v>
      </c>
      <c r="C78" s="4" t="str">
        <f>IFERROR(__xludf.DUMMYFUNCTION("""COMPUTED_VALUE"""),"YRBL-1")</f>
        <v>YRBL-1</v>
      </c>
      <c r="D78" s="4" t="str">
        <f>IFERROR(__xludf.DUMMYFUNCTION("""COMPUTED_VALUE"""),"Rakesh")</f>
        <v>Rakesh</v>
      </c>
      <c r="E78" s="4" t="str">
        <f>IFERROR(__xludf.DUMMYFUNCTION("""COMPUTED_VALUE"""),"Tiku")</f>
        <v>Tiku</v>
      </c>
      <c r="F78" s="4" t="str">
        <f>IFERROR(__xludf.DUMMYFUNCTION("""COMPUTED_VALUE"""),"inField Solutions is a portfolio company that is leveraging mobile app, IoT, and AI technologies and their proprietary workflow automation platform to digitally transform old-world industries such as, plumbing, food distribution, and construction to enabl"&amp;"e them to satisfy the demands of Smart Cities.")</f>
        <v>inField Solutions is a portfolio company that is leveraging mobile app, IoT, and AI technologies and their proprietary workflow automation platform to digitally transform old-world industries such as, plumbing, food distribution, and construction to enable them to satisfy the demands of Smart Cities.</v>
      </c>
      <c r="G78" s="21" t="str">
        <f>IFERROR(__xludf.DUMMYFUNCTION("""COMPUTED_VALUE"""),"https://drive.google.com/file/d/1uRkhoi9TgtQTf01xmlHu-3lU_lkbY5z4/view?usp=sharing")</f>
        <v>https://drive.google.com/file/d/1uRkhoi9TgtQTf01xmlHu-3lU_lkbY5z4/view?usp=sharing</v>
      </c>
      <c r="H78" s="4" t="str">
        <f>IFERROR(__xludf.DUMMYFUNCTION("""COMPUTED_VALUE"""),"No")</f>
        <v>No</v>
      </c>
      <c r="I78" s="4" t="str">
        <f>IFERROR(__xludf.DUMMYFUNCTION("""COMPUTED_VALUE"""),"")</f>
        <v/>
      </c>
      <c r="J78" s="4" t="str">
        <f>IFERROR(__xludf.DUMMYFUNCTION("""COMPUTED_VALUE"""),"")</f>
        <v/>
      </c>
      <c r="K78" s="4" t="str">
        <f>IFERROR(__xludf.DUMMYFUNCTION("""COMPUTED_VALUE"""),"")</f>
        <v/>
      </c>
    </row>
    <row r="79">
      <c r="A79" s="382">
        <f>IFERROR(__xludf.DUMMYFUNCTION("""COMPUTED_VALUE"""),43966.484144)</f>
        <v>43966.48414</v>
      </c>
      <c r="B79" s="4" t="str">
        <f>IFERROR(__xludf.DUMMYFUNCTION("""COMPUTED_VALUE"""),"Level")</f>
        <v>Level</v>
      </c>
      <c r="C79" s="4" t="str">
        <f>IFERROR(__xludf.DUMMYFUNCTION("""COMPUTED_VALUE"""),"QMSZ")</f>
        <v>QMSZ</v>
      </c>
      <c r="D79" s="4" t="str">
        <f>IFERROR(__xludf.DUMMYFUNCTION("""COMPUTED_VALUE"""),"Leeroy")</f>
        <v>Leeroy</v>
      </c>
      <c r="E79" s="4" t="str">
        <f>IFERROR(__xludf.DUMMYFUNCTION("""COMPUTED_VALUE"""),"Beeby")</f>
        <v>Beeby</v>
      </c>
      <c r="F79" s="4" t="str">
        <f>IFERROR(__xludf.DUMMYFUNCTION("""COMPUTED_VALUE"""),"A collaboration platform that gets home builders &amp; contractors paid faster by helping them better manage communication with their co-workers &amp; customers.")</f>
        <v>A collaboration platform that gets home builders &amp; contractors paid faster by helping them better manage communication with their co-workers &amp; customers.</v>
      </c>
      <c r="G79" s="21" t="str">
        <f>IFERROR(__xludf.DUMMYFUNCTION("""COMPUTED_VALUE"""),"https://drive.google.com/file/d/1xYWVkVH4bG8eO1MMIo8FoFQ8kgZWAMiY/view?usp=sharing")</f>
        <v>https://drive.google.com/file/d/1xYWVkVH4bG8eO1MMIo8FoFQ8kgZWAMiY/view?usp=sharing</v>
      </c>
      <c r="H79" s="4" t="str">
        <f>IFERROR(__xludf.DUMMYFUNCTION("""COMPUTED_VALUE"""),"No")</f>
        <v>No</v>
      </c>
      <c r="I79" s="4" t="str">
        <f>IFERROR(__xludf.DUMMYFUNCTION("""COMPUTED_VALUE"""),"")</f>
        <v/>
      </c>
      <c r="J79" s="4" t="str">
        <f>IFERROR(__xludf.DUMMYFUNCTION("""COMPUTED_VALUE"""),"")</f>
        <v/>
      </c>
      <c r="K79" s="4" t="str">
        <f>IFERROR(__xludf.DUMMYFUNCTION("""COMPUTED_VALUE"""),"")</f>
        <v/>
      </c>
    </row>
    <row r="80">
      <c r="A80" s="382">
        <f>IFERROR(__xludf.DUMMYFUNCTION("""COMPUTED_VALUE"""),43966.484988)</f>
        <v>43966.48499</v>
      </c>
      <c r="B80" s="4" t="str">
        <f>IFERROR(__xludf.DUMMYFUNCTION("""COMPUTED_VALUE"""),"Pawlytics")</f>
        <v>Pawlytics</v>
      </c>
      <c r="C80" s="4" t="str">
        <f>IFERROR(__xludf.DUMMYFUNCTION("""COMPUTED_VALUE"""),"FESR")</f>
        <v>FESR</v>
      </c>
      <c r="D80" s="4" t="str">
        <f>IFERROR(__xludf.DUMMYFUNCTION("""COMPUTED_VALUE"""),"Lizz")</f>
        <v>Lizz</v>
      </c>
      <c r="E80" s="4" t="str">
        <f>IFERROR(__xludf.DUMMYFUNCTION("""COMPUTED_VALUE"""),"Whitacre")</f>
        <v>Whitacre</v>
      </c>
      <c r="F80" s="4" t="str">
        <f>IFERROR(__xludf.DUMMYFUNCTION("""COMPUTED_VALUE"""),"Pawlytics is an EHR for Pets so that pet professionals and companies can give and create better pet care.")</f>
        <v>Pawlytics is an EHR for Pets so that pet professionals and companies can give and create better pet care.</v>
      </c>
      <c r="G80" s="21" t="str">
        <f>IFERROR(__xludf.DUMMYFUNCTION("""COMPUTED_VALUE"""),"https://drive.google.com/drive/folders/1VhHsDvb3eEbR8mZt16izJ8i8r81xqViP")</f>
        <v>https://drive.google.com/drive/folders/1VhHsDvb3eEbR8mZt16izJ8i8r81xqViP</v>
      </c>
      <c r="H80" s="4" t="str">
        <f>IFERROR(__xludf.DUMMYFUNCTION("""COMPUTED_VALUE"""),"Yes")</f>
        <v>Yes</v>
      </c>
      <c r="I80" s="4" t="str">
        <f>IFERROR(__xludf.DUMMYFUNCTION("""COMPUTED_VALUE"""),"Passed")</f>
        <v>Passed</v>
      </c>
      <c r="J80" s="4" t="str">
        <f>IFERROR(__xludf.DUMMYFUNCTION("""COMPUTED_VALUE"""),"Sent for review")</f>
        <v>Sent for review</v>
      </c>
      <c r="K80" s="4" t="str">
        <f>IFERROR(__xludf.DUMMYFUNCTION("""COMPUTED_VALUE"""),"")</f>
        <v/>
      </c>
    </row>
    <row r="81">
      <c r="A81" s="382">
        <f>IFERROR(__xludf.DUMMYFUNCTION("""COMPUTED_VALUE"""),43966.494259)</f>
        <v>43966.49426</v>
      </c>
      <c r="B81" s="4" t="str">
        <f>IFERROR(__xludf.DUMMYFUNCTION("""COMPUTED_VALUE"""),"BreatheSuite")</f>
        <v>BreatheSuite</v>
      </c>
      <c r="C81" s="4" t="str">
        <f>IFERROR(__xludf.DUMMYFUNCTION("""COMPUTED_VALUE"""),"E2WR-1")</f>
        <v>E2WR-1</v>
      </c>
      <c r="D81" s="4" t="str">
        <f>IFERROR(__xludf.DUMMYFUNCTION("""COMPUTED_VALUE"""),"Brett")</f>
        <v>Brett</v>
      </c>
      <c r="E81" s="4" t="str">
        <f>IFERROR(__xludf.DUMMYFUNCTION("""COMPUTED_VALUE"""),"Vokey")</f>
        <v>Vokey</v>
      </c>
      <c r="F81" s="4" t="str">
        <f>IFERROR(__xludf.DUMMYFUNCTION("""COMPUTED_VALUE"""),"Medical Device company creating self management devices for asthma &amp; COPD.")</f>
        <v>Medical Device company creating self management devices for asthma &amp; COPD.</v>
      </c>
      <c r="G81" s="21" t="str">
        <f>IFERROR(__xludf.DUMMYFUNCTION("""COMPUTED_VALUE"""),"https://drive.google.com/drive/folders/1BAZG6zW9J65MYV_dfsVrwwzvtdP5pcUg?usp=sharing")</f>
        <v>https://drive.google.com/drive/folders/1BAZG6zW9J65MYV_dfsVrwwzvtdP5pcUg?usp=sharing</v>
      </c>
      <c r="H81" s="4" t="str">
        <f>IFERROR(__xludf.DUMMYFUNCTION("""COMPUTED_VALUE"""),"Yes")</f>
        <v>Yes</v>
      </c>
      <c r="I81" s="4" t="str">
        <f>IFERROR(__xludf.DUMMYFUNCTION("""COMPUTED_VALUE"""),"Failed")</f>
        <v>Failed</v>
      </c>
      <c r="J81" s="4" t="str">
        <f>IFERROR(__xludf.DUMMYFUNCTION("""COMPUTED_VALUE"""),"")</f>
        <v/>
      </c>
      <c r="K81" s="4" t="str">
        <f>IFERROR(__xludf.DUMMYFUNCTION("""COMPUTED_VALUE"""),"")</f>
        <v/>
      </c>
    </row>
    <row r="82">
      <c r="A82" s="382">
        <f>IFERROR(__xludf.DUMMYFUNCTION("""COMPUTED_VALUE"""),43966.498264)</f>
        <v>43966.49826</v>
      </c>
      <c r="B82" s="4" t="str">
        <f>IFERROR(__xludf.DUMMYFUNCTION("""COMPUTED_VALUE"""),"Paqt")</f>
        <v>Paqt</v>
      </c>
      <c r="C82" s="4" t="str">
        <f>IFERROR(__xludf.DUMMYFUNCTION("""COMPUTED_VALUE"""),"E9JA-1")</f>
        <v>E9JA-1</v>
      </c>
      <c r="D82" s="4" t="str">
        <f>IFERROR(__xludf.DUMMYFUNCTION("""COMPUTED_VALUE"""),"William")</f>
        <v>William</v>
      </c>
      <c r="E82" s="4" t="str">
        <f>IFERROR(__xludf.DUMMYFUNCTION("""COMPUTED_VALUE"""),"Muir")</f>
        <v>Muir</v>
      </c>
      <c r="F82" s="4" t="str">
        <f>IFERROR(__xludf.DUMMYFUNCTION("""COMPUTED_VALUE"""),"Paqt – the Agreement &amp; Negotiation platform. Make offers, negotiate, and seal the deal all in one chat platform. We’re pre-seed, ready to launch.")</f>
        <v>Paqt – the Agreement &amp; Negotiation platform. Make offers, negotiate, and seal the deal all in one chat platform. We’re pre-seed, ready to launch.</v>
      </c>
      <c r="G82" s="21" t="str">
        <f>IFERROR(__xludf.DUMMYFUNCTION("""COMPUTED_VALUE"""),"https://drive.google.com/file/d/1hh_lka-TV9f5-9sdra0h4IrnlkJmMPbo/view?usp=sharing")</f>
        <v>https://drive.google.com/file/d/1hh_lka-TV9f5-9sdra0h4IrnlkJmMPbo/view?usp=sharing</v>
      </c>
      <c r="H82" s="4" t="str">
        <f>IFERROR(__xludf.DUMMYFUNCTION("""COMPUTED_VALUE"""),"Yes")</f>
        <v>Yes</v>
      </c>
      <c r="I82" s="4" t="str">
        <f>IFERROR(__xludf.DUMMYFUNCTION("""COMPUTED_VALUE"""),"Passed")</f>
        <v>Passed</v>
      </c>
      <c r="J82" s="4" t="str">
        <f>IFERROR(__xludf.DUMMYFUNCTION("""COMPUTED_VALUE"""),"Sent for review")</f>
        <v>Sent for review</v>
      </c>
      <c r="K82" s="4" t="str">
        <f>IFERROR(__xludf.DUMMYFUNCTION("""COMPUTED_VALUE"""),"")</f>
        <v/>
      </c>
    </row>
    <row r="83">
      <c r="A83" s="382">
        <f>IFERROR(__xludf.DUMMYFUNCTION("""COMPUTED_VALUE"""),43966.502789)</f>
        <v>43966.50279</v>
      </c>
      <c r="B83" s="4" t="str">
        <f>IFERROR(__xludf.DUMMYFUNCTION("""COMPUTED_VALUE"""),"Swiftride")</f>
        <v>Swiftride</v>
      </c>
      <c r="C83" s="4" t="str">
        <f>IFERROR(__xludf.DUMMYFUNCTION("""COMPUTED_VALUE"""),"MICS-1")</f>
        <v>MICS-1</v>
      </c>
      <c r="D83" s="4" t="str">
        <f>IFERROR(__xludf.DUMMYFUNCTION("""COMPUTED_VALUE"""),"Mike")</f>
        <v>Mike</v>
      </c>
      <c r="E83" s="4" t="str">
        <f>IFERROR(__xludf.DUMMYFUNCTION("""COMPUTED_VALUE"""),"Garnett")</f>
        <v>Garnett</v>
      </c>
      <c r="F83" s="4" t="str">
        <f>IFERROR(__xludf.DUMMYFUNCTION("""COMPUTED_VALUE"""),"We are a corporate mobility platform that helps companies reduce their carbon footprint")</f>
        <v>We are a corporate mobility platform that helps companies reduce their carbon footprint</v>
      </c>
      <c r="G83" s="21" t="str">
        <f>IFERROR(__xludf.DUMMYFUNCTION("""COMPUTED_VALUE"""),"https://docs.google.com/document/d/1ANlfPJJg4V5sETPq9qSHzcDKBy0mLnFs")</f>
        <v>https://docs.google.com/document/d/1ANlfPJJg4V5sETPq9qSHzcDKBy0mLnFs</v>
      </c>
      <c r="H83" s="4" t="str">
        <f>IFERROR(__xludf.DUMMYFUNCTION("""COMPUTED_VALUE"""),"")</f>
        <v/>
      </c>
      <c r="I83" s="4" t="str">
        <f>IFERROR(__xludf.DUMMYFUNCTION("""COMPUTED_VALUE"""),"")</f>
        <v/>
      </c>
      <c r="J83" s="4" t="str">
        <f>IFERROR(__xludf.DUMMYFUNCTION("""COMPUTED_VALUE"""),"")</f>
        <v/>
      </c>
      <c r="K83" s="4" t="str">
        <f>IFERROR(__xludf.DUMMYFUNCTION("""COMPUTED_VALUE"""),"")</f>
        <v/>
      </c>
    </row>
    <row r="84">
      <c r="A84" s="382">
        <f>IFERROR(__xludf.DUMMYFUNCTION("""COMPUTED_VALUE"""),43966.505301)</f>
        <v>43966.5053</v>
      </c>
      <c r="B84" s="4" t="str">
        <f>IFERROR(__xludf.DUMMYFUNCTION("""COMPUTED_VALUE"""),"Shoppy LLC")</f>
        <v>Shoppy LLC</v>
      </c>
      <c r="C84" s="4" t="str">
        <f>IFERROR(__xludf.DUMMYFUNCTION("""COMPUTED_VALUE"""),"CKQ1-1")</f>
        <v>CKQ1-1</v>
      </c>
      <c r="D84" s="4" t="str">
        <f>IFERROR(__xludf.DUMMYFUNCTION("""COMPUTED_VALUE"""),"Tuvshin")</f>
        <v>Tuvshin</v>
      </c>
      <c r="E84" s="4" t="str">
        <f>IFERROR(__xludf.DUMMYFUNCTION("""COMPUTED_VALUE"""),"Mend")</f>
        <v>Mend</v>
      </c>
      <c r="F84" s="4" t="str">
        <f>IFERROR(__xludf.DUMMYFUNCTION("""COMPUTED_VALUE"""),"Established in 2017, Shoppy LLC has developed shoppy.mn, which is the largest B2C ecommerce platform in Mongolia, featuring 677K SKUs &amp; 568 brands.  The platform is fully integrated with the largest trading platforms such as Amazon, eBay, Taobao and Faceb"&amp;"ook.  The company employs 50 staff.")</f>
        <v>Established in 2017, Shoppy LLC has developed shoppy.mn, which is the largest B2C ecommerce platform in Mongolia, featuring 677K SKUs &amp; 568 brands.  The platform is fully integrated with the largest trading platforms such as Amazon, eBay, Taobao and Facebook.  The company employs 50 staff.</v>
      </c>
      <c r="G84" s="21" t="str">
        <f>IFERROR(__xludf.DUMMYFUNCTION("""COMPUTED_VALUE"""),"https://drive.google.com/file/d/1CEiUiHGr3SGvapVrinL-ep0YGcjZ0h_A/view?fbclid=IwAR27MFnEgvrMguHypkAv")</f>
        <v>https://drive.google.com/file/d/1CEiUiHGr3SGvapVrinL-ep0YGcjZ0h_A/view?fbclid=IwAR27MFnEgvrMguHypkAv</v>
      </c>
      <c r="H84" s="4" t="str">
        <f>IFERROR(__xludf.DUMMYFUNCTION("""COMPUTED_VALUE"""),"Yes")</f>
        <v>Yes</v>
      </c>
      <c r="I84" s="4" t="str">
        <f>IFERROR(__xludf.DUMMYFUNCTION("""COMPUTED_VALUE"""),"Passed")</f>
        <v>Passed</v>
      </c>
      <c r="J84" s="4" t="str">
        <f>IFERROR(__xludf.DUMMYFUNCTION("""COMPUTED_VALUE"""),"Sent for review")</f>
        <v>Sent for review</v>
      </c>
      <c r="K84" s="4" t="str">
        <f>IFERROR(__xludf.DUMMYFUNCTION("""COMPUTED_VALUE"""),"")</f>
        <v/>
      </c>
    </row>
    <row r="85">
      <c r="A85" s="382">
        <f>IFERROR(__xludf.DUMMYFUNCTION("""COMPUTED_VALUE"""),43966.509525)</f>
        <v>43966.50953</v>
      </c>
      <c r="B85" s="4" t="str">
        <f>IFERROR(__xludf.DUMMYFUNCTION("""COMPUTED_VALUE"""),"Healper")</f>
        <v>Healper</v>
      </c>
      <c r="C85" s="4" t="str">
        <f>IFERROR(__xludf.DUMMYFUNCTION("""COMPUTED_VALUE"""),"1HIE")</f>
        <v>1HIE</v>
      </c>
      <c r="D85" s="4" t="str">
        <f>IFERROR(__xludf.DUMMYFUNCTION("""COMPUTED_VALUE"""),"Andreas")</f>
        <v>Andreas</v>
      </c>
      <c r="E85" s="4" t="str">
        <f>IFERROR(__xludf.DUMMYFUNCTION("""COMPUTED_VALUE"""),"Aabo")</f>
        <v>Aabo</v>
      </c>
      <c r="F85" s="4" t="str">
        <f>IFERROR(__xludf.DUMMYFUNCTION("""COMPUTED_VALUE"""),"Healper is an online booking platform that matches you with the psychologist that fit your personality and situation.  We guide you through the therapeutic process and provide tools that fit your journey and person.")</f>
        <v>Healper is an online booking platform that matches you with the psychologist that fit your personality and situation.  We guide you through the therapeutic process and provide tools that fit your journey and person.</v>
      </c>
      <c r="G85" s="21" t="str">
        <f>IFERROR(__xludf.DUMMYFUNCTION("""COMPUTED_VALUE"""),"https://youtu.be/TsxKTXhy1Zk")</f>
        <v>https://youtu.be/TsxKTXhy1Zk</v>
      </c>
      <c r="H85" s="4" t="str">
        <f>IFERROR(__xludf.DUMMYFUNCTION("""COMPUTED_VALUE"""),"Yes")</f>
        <v>Yes</v>
      </c>
      <c r="I85" s="4" t="str">
        <f>IFERROR(__xludf.DUMMYFUNCTION("""COMPUTED_VALUE"""),"Failed")</f>
        <v>Failed</v>
      </c>
      <c r="J85" s="4" t="str">
        <f>IFERROR(__xludf.DUMMYFUNCTION("""COMPUTED_VALUE"""),"")</f>
        <v/>
      </c>
      <c r="K85" s="4" t="str">
        <f>IFERROR(__xludf.DUMMYFUNCTION("""COMPUTED_VALUE"""),"")</f>
        <v/>
      </c>
    </row>
    <row r="86">
      <c r="A86" s="382">
        <f>IFERROR(__xludf.DUMMYFUNCTION("""COMPUTED_VALUE"""),43966.531979)</f>
        <v>43966.53198</v>
      </c>
      <c r="B86" s="4" t="str">
        <f>IFERROR(__xludf.DUMMYFUNCTION("""COMPUTED_VALUE"""),"MedStack")</f>
        <v>MedStack</v>
      </c>
      <c r="C86" s="4" t="str">
        <f>IFERROR(__xludf.DUMMYFUNCTION("""COMPUTED_VALUE"""),"VS6K")</f>
        <v>VS6K</v>
      </c>
      <c r="D86" s="4" t="str">
        <f>IFERROR(__xludf.DUMMYFUNCTION("""COMPUTED_VALUE"""),"Balaji")</f>
        <v>Balaji</v>
      </c>
      <c r="E86" s="4" t="str">
        <f>IFERROR(__xludf.DUMMYFUNCTION("""COMPUTED_VALUE"""),"Gopalan")</f>
        <v>Gopalan</v>
      </c>
      <c r="F86" s="4" t="str">
        <f>IFERROR(__xludf.DUMMYFUNCTION("""COMPUTED_VALUE"""),"MedStack is an out-of-the-box privacy compliance solution for digital health startups, empowering innovators to scale easier and faster. We combine infrastructure, tooling, security and privacy compliance into a single turnkey developer platform, all at a"&amp;"n affordable monthly cost.")</f>
        <v>MedStack is an out-of-the-box privacy compliance solution for digital health startups, empowering innovators to scale easier and faster. We combine infrastructure, tooling, security and privacy compliance into a single turnkey developer platform, all at an affordable monthly cost.</v>
      </c>
      <c r="G86" s="21" t="str">
        <f>IFERROR(__xludf.DUMMYFUNCTION("""COMPUTED_VALUE"""),"https://www.dropbox.com/s/p2eyyvvpt1k39v7/MedStack%20Collsion%20Startup%20Spotlight%20Video.mp4?dl=0")</f>
        <v>https://www.dropbox.com/s/p2eyyvvpt1k39v7/MedStack%20Collsion%20Startup%20Spotlight%20Video.mp4?dl=0</v>
      </c>
      <c r="H86" s="4" t="str">
        <f>IFERROR(__xludf.DUMMYFUNCTION("""COMPUTED_VALUE"""),"No")</f>
        <v>No</v>
      </c>
      <c r="I86" s="4" t="str">
        <f>IFERROR(__xludf.DUMMYFUNCTION("""COMPUTED_VALUE"""),"Failed")</f>
        <v>Failed</v>
      </c>
      <c r="J86" s="4" t="str">
        <f>IFERROR(__xludf.DUMMYFUNCTION("""COMPUTED_VALUE"""),"")</f>
        <v/>
      </c>
      <c r="K86" s="4" t="str">
        <f>IFERROR(__xludf.DUMMYFUNCTION("""COMPUTED_VALUE"""),"")</f>
        <v/>
      </c>
    </row>
    <row r="87">
      <c r="A87" s="382">
        <f>IFERROR(__xludf.DUMMYFUNCTION("""COMPUTED_VALUE"""),43966.566134)</f>
        <v>43966.56613</v>
      </c>
      <c r="B87" s="4" t="str">
        <f>IFERROR(__xludf.DUMMYFUNCTION("""COMPUTED_VALUE"""),"Unwrapit")</f>
        <v>Unwrapit</v>
      </c>
      <c r="C87" s="4" t="str">
        <f>IFERROR(__xludf.DUMMYFUNCTION("""COMPUTED_VALUE"""),"EQX3")</f>
        <v>EQX3</v>
      </c>
      <c r="D87" s="4" t="str">
        <f>IFERROR(__xludf.DUMMYFUNCTION("""COMPUTED_VALUE"""),"Peter")</f>
        <v>Peter</v>
      </c>
      <c r="E87" s="4" t="str">
        <f>IFERROR(__xludf.DUMMYFUNCTION("""COMPUTED_VALUE"""),"Deitz")</f>
        <v>Deitz</v>
      </c>
      <c r="F87" s="4" t="str">
        <f>IFERROR(__xludf.DUMMYFUNCTION("""COMPUTED_VALUE"""),"Unwrapit is a Toronto startup revealing the future of corporate and event gifting. Founded in 2017, Unwrapit is a digital platform that helps today’s companies strengthen their most important human relationships, wherever they may be, through extraordinar"&amp;"y gift experiences.")</f>
        <v>Unwrapit is a Toronto startup revealing the future of corporate and event gifting. Founded in 2017, Unwrapit is a digital platform that helps today’s companies strengthen their most important human relationships, wherever they may be, through extraordinary gift experiences.</v>
      </c>
      <c r="G87" s="21" t="str">
        <f>IFERROR(__xludf.DUMMYFUNCTION("""COMPUTED_VALUE"""),"https://drive.google.com/file/d/1eO9qnR4NaSxD506m016DLuQ4h20e7Bh8/view")</f>
        <v>https://drive.google.com/file/d/1eO9qnR4NaSxD506m016DLuQ4h20e7Bh8/view</v>
      </c>
      <c r="H87" s="4" t="str">
        <f>IFERROR(__xludf.DUMMYFUNCTION("""COMPUTED_VALUE"""),"No")</f>
        <v>No</v>
      </c>
      <c r="I87" s="4" t="str">
        <f>IFERROR(__xludf.DUMMYFUNCTION("""COMPUTED_VALUE"""),"")</f>
        <v/>
      </c>
      <c r="J87" s="4" t="str">
        <f>IFERROR(__xludf.DUMMYFUNCTION("""COMPUTED_VALUE"""),"")</f>
        <v/>
      </c>
      <c r="K87" s="4" t="str">
        <f>IFERROR(__xludf.DUMMYFUNCTION("""COMPUTED_VALUE"""),"")</f>
        <v/>
      </c>
    </row>
    <row r="88">
      <c r="A88" s="382">
        <f>IFERROR(__xludf.DUMMYFUNCTION("""COMPUTED_VALUE"""),43966.585671)</f>
        <v>43966.58567</v>
      </c>
      <c r="B88" s="4" t="str">
        <f>IFERROR(__xludf.DUMMYFUNCTION("""COMPUTED_VALUE"""),"Skizo")</f>
        <v>Skizo</v>
      </c>
      <c r="C88" s="4" t="str">
        <f>IFERROR(__xludf.DUMMYFUNCTION("""COMPUTED_VALUE"""),"EGUG")</f>
        <v>EGUG</v>
      </c>
      <c r="D88" s="4" t="str">
        <f>IFERROR(__xludf.DUMMYFUNCTION("""COMPUTED_VALUE"""),"André")</f>
        <v>André</v>
      </c>
      <c r="E88" s="4" t="str">
        <f>IFERROR(__xludf.DUMMYFUNCTION("""COMPUTED_VALUE"""),"Facote")</f>
        <v>Facote</v>
      </c>
      <c r="F88" s="4" t="str">
        <f>IFERROR(__xludf.DUMMYFUNCTION("""COMPUTED_VALUE"""),"Upcycled Marine Plastic to produce handmade and customized sneakers and bags and now social masks")</f>
        <v>Upcycled Marine Plastic to produce handmade and customized sneakers and bags and now social masks</v>
      </c>
      <c r="G88" s="21" t="str">
        <f>IFERROR(__xludf.DUMMYFUNCTION("""COMPUTED_VALUE"""),"https://drive.google.com/open?id=1c_ibUoVSRnnDUfRaBuV_vhHymic_fwaF")</f>
        <v>https://drive.google.com/open?id=1c_ibUoVSRnnDUfRaBuV_vhHymic_fwaF</v>
      </c>
      <c r="H88" s="4" t="str">
        <f>IFERROR(__xludf.DUMMYFUNCTION("""COMPUTED_VALUE"""),"")</f>
        <v/>
      </c>
      <c r="I88" s="4" t="str">
        <f>IFERROR(__xludf.DUMMYFUNCTION("""COMPUTED_VALUE"""),"")</f>
        <v/>
      </c>
      <c r="J88" s="4" t="str">
        <f>IFERROR(__xludf.DUMMYFUNCTION("""COMPUTED_VALUE"""),"")</f>
        <v/>
      </c>
      <c r="K88" s="4" t="str">
        <f>IFERROR(__xludf.DUMMYFUNCTION("""COMPUTED_VALUE"""),"")</f>
        <v/>
      </c>
    </row>
    <row r="89">
      <c r="A89" s="382">
        <f>IFERROR(__xludf.DUMMYFUNCTION("""COMPUTED_VALUE"""),43966.595914)</f>
        <v>43966.59591</v>
      </c>
      <c r="B89" s="4" t="str">
        <f>IFERROR(__xludf.DUMMYFUNCTION("""COMPUTED_VALUE"""),"Air")</f>
        <v>Air</v>
      </c>
      <c r="C89" s="4" t="str">
        <f>IFERROR(__xludf.DUMMYFUNCTION("""COMPUTED_VALUE"""),"SKE7-1")</f>
        <v>SKE7-1</v>
      </c>
      <c r="D89" s="4" t="str">
        <f>IFERROR(__xludf.DUMMYFUNCTION("""COMPUTED_VALUE"""),"Shane")</f>
        <v>Shane</v>
      </c>
      <c r="E89" s="4" t="str">
        <f>IFERROR(__xludf.DUMMYFUNCTION("""COMPUTED_VALUE"""),"Hegde")</f>
        <v>Hegde</v>
      </c>
      <c r="F89" s="4" t="str">
        <f>IFERROR(__xludf.DUMMYFUNCTION("""COMPUTED_VALUE"""),"Air is a workspace for your team's images and videos. Migrate content from anywhere and watch it become instantly organized with auto-tagging and image search. Share, comment, collaborate and manage projects end-to-end: Air the whiteboard for your creativ"&amp;"e process.")</f>
        <v>Air is a workspace for your team's images and videos. Migrate content from anywhere and watch it become instantly organized with auto-tagging and image search. Share, comment, collaborate and manage projects end-to-end: Air the whiteboard for your creative process.</v>
      </c>
      <c r="G89" s="21" t="str">
        <f>IFERROR(__xludf.DUMMYFUNCTION("""COMPUTED_VALUE"""),"https://air.inc/a/clp5D4XCf")</f>
        <v>https://air.inc/a/clp5D4XCf</v>
      </c>
      <c r="H89" s="4" t="str">
        <f>IFERROR(__xludf.DUMMYFUNCTION("""COMPUTED_VALUE"""),"Yes")</f>
        <v>Yes</v>
      </c>
      <c r="I89" s="4" t="str">
        <f>IFERROR(__xludf.DUMMYFUNCTION("""COMPUTED_VALUE"""),"Failed")</f>
        <v>Failed</v>
      </c>
      <c r="J89" s="4" t="str">
        <f>IFERROR(__xludf.DUMMYFUNCTION("""COMPUTED_VALUE"""),"")</f>
        <v/>
      </c>
      <c r="K89" s="4" t="str">
        <f>IFERROR(__xludf.DUMMYFUNCTION("""COMPUTED_VALUE"""),"Breakout")</f>
        <v>Breakout</v>
      </c>
    </row>
    <row r="90">
      <c r="A90" s="382">
        <f>IFERROR(__xludf.DUMMYFUNCTION("""COMPUTED_VALUE"""),43966.703171)</f>
        <v>43966.70317</v>
      </c>
      <c r="B90" s="4" t="str">
        <f>IFERROR(__xludf.DUMMYFUNCTION("""COMPUTED_VALUE"""),"Toscale")</f>
        <v>Toscale</v>
      </c>
      <c r="C90" s="4" t="str">
        <f>IFERROR(__xludf.DUMMYFUNCTION("""COMPUTED_VALUE"""),"HLML")</f>
        <v>HLML</v>
      </c>
      <c r="D90" s="4" t="str">
        <f>IFERROR(__xludf.DUMMYFUNCTION("""COMPUTED_VALUE"""),"Kristina")</f>
        <v>Kristina</v>
      </c>
      <c r="E90" s="4" t="str">
        <f>IFERROR(__xludf.DUMMYFUNCTION("""COMPUTED_VALUE"""),"Berezina")</f>
        <v>Berezina</v>
      </c>
      <c r="F90" s="4" t="str">
        <f>IFERROR(__xludf.DUMMYFUNCTION("""COMPUTED_VALUE"""),"Toscale.io is a crypto management tools aggregator with manual and automated trading on top exchanges in one window via a smart trading terminal and AI-driven algorithm designer")</f>
        <v>Toscale.io is a crypto management tools aggregator with manual and automated trading on top exchanges in one window via a smart trading terminal and AI-driven algorithm designer</v>
      </c>
      <c r="G90" s="21" t="str">
        <f>IFERROR(__xludf.DUMMYFUNCTION("""COMPUTED_VALUE"""),"https://drive.google.com/open?id=1RtKPPrgBs1mTfKm3elGPrWLyZpNP5mEG")</f>
        <v>https://drive.google.com/open?id=1RtKPPrgBs1mTfKm3elGPrWLyZpNP5mEG</v>
      </c>
      <c r="H90" s="4" t="str">
        <f>IFERROR(__xludf.DUMMYFUNCTION("""COMPUTED_VALUE"""),"Yes")</f>
        <v>Yes</v>
      </c>
      <c r="I90" s="4" t="str">
        <f>IFERROR(__xludf.DUMMYFUNCTION("""COMPUTED_VALUE"""),"Passed")</f>
        <v>Passed</v>
      </c>
      <c r="J90" s="4" t="str">
        <f>IFERROR(__xludf.DUMMYFUNCTION("""COMPUTED_VALUE"""),"Sent for review")</f>
        <v>Sent for review</v>
      </c>
      <c r="K90" s="4" t="str">
        <f>IFERROR(__xludf.DUMMYFUNCTION("""COMPUTED_VALUE"""),"")</f>
        <v/>
      </c>
    </row>
    <row r="91">
      <c r="A91" s="382">
        <f>IFERROR(__xludf.DUMMYFUNCTION("""COMPUTED_VALUE"""),43966.738056)</f>
        <v>43966.73806</v>
      </c>
      <c r="B91" s="4" t="str">
        <f>IFERROR(__xludf.DUMMYFUNCTION("""COMPUTED_VALUE"""),"reorder")</f>
        <v>reorder</v>
      </c>
      <c r="C91" s="4" t="str">
        <f>IFERROR(__xludf.DUMMYFUNCTION("""COMPUTED_VALUE"""),"QXCY")</f>
        <v>QXCY</v>
      </c>
      <c r="D91" s="4" t="str">
        <f>IFERROR(__xludf.DUMMYFUNCTION("""COMPUTED_VALUE"""),"Sivakumar")</f>
        <v>Sivakumar</v>
      </c>
      <c r="E91" s="4" t="str">
        <f>IFERROR(__xludf.DUMMYFUNCTION("""COMPUTED_VALUE"""),"Ezhil")</f>
        <v>Ezhil</v>
      </c>
      <c r="F91" s="4" t="str">
        <f>IFERROR(__xludf.DUMMYFUNCTION("""COMPUTED_VALUE"""),"Our smart basket completely eliminates the need for checkout queue, improves shopper’s experience inside a retails store")</f>
        <v>Our smart basket completely eliminates the need for checkout queue, improves shopper’s experience inside a retails store</v>
      </c>
      <c r="G91" s="4" t="str">
        <f>IFERROR(__xludf.DUMMYFUNCTION("""COMPUTED_VALUE"""),"/Users/Apple/Desktop/Collision/ThreeMinutes/Sivakumar Ezhil.mov")</f>
        <v>/Users/Apple/Desktop/Collision/ThreeMinutes/Sivakumar Ezhil.mov</v>
      </c>
      <c r="H91" s="4" t="str">
        <f>IFERROR(__xludf.DUMMYFUNCTION("""COMPUTED_VALUE"""),"")</f>
        <v/>
      </c>
      <c r="I91" s="4" t="str">
        <f>IFERROR(__xludf.DUMMYFUNCTION("""COMPUTED_VALUE"""),"")</f>
        <v/>
      </c>
      <c r="J91" s="4" t="str">
        <f>IFERROR(__xludf.DUMMYFUNCTION("""COMPUTED_VALUE"""),"")</f>
        <v/>
      </c>
      <c r="K91" s="4" t="str">
        <f>IFERROR(__xludf.DUMMYFUNCTION("""COMPUTED_VALUE"""),"")</f>
        <v/>
      </c>
    </row>
    <row r="92">
      <c r="A92" s="382">
        <f>IFERROR(__xludf.DUMMYFUNCTION("""COMPUTED_VALUE"""),43966.882569)</f>
        <v>43966.88257</v>
      </c>
      <c r="B92" s="4" t="str">
        <f>IFERROR(__xludf.DUMMYFUNCTION("""COMPUTED_VALUE"""),"Robustbrigade Lda.")</f>
        <v>Robustbrigade Lda.</v>
      </c>
      <c r="C92" s="4" t="str">
        <f>IFERROR(__xludf.DUMMYFUNCTION("""COMPUTED_VALUE"""),"JJ0S")</f>
        <v>JJ0S</v>
      </c>
      <c r="D92" s="4" t="str">
        <f>IFERROR(__xludf.DUMMYFUNCTION("""COMPUTED_VALUE"""),"Mohammad")</f>
        <v>Mohammad</v>
      </c>
      <c r="E92" s="4" t="str">
        <f>IFERROR(__xludf.DUMMYFUNCTION("""COMPUTED_VALUE"""),"Mohammad Amini")</f>
        <v>Mohammad Amini</v>
      </c>
      <c r="F92" s="4" t="str">
        <f>IFERROR(__xludf.DUMMYFUNCTION("""COMPUTED_VALUE"""),"Robustbrigade is the owner of SensoMatt Project, and is trying to find a way to predict the pressure ulcer with least costs and most accuracy by applying AI in addition with special designed sensor sheet in Lisbon, Portugal")</f>
        <v>Robustbrigade is the owner of SensoMatt Project, and is trying to find a way to predict the pressure ulcer with least costs and most accuracy by applying AI in addition with special designed sensor sheet in Lisbon, Portugal</v>
      </c>
      <c r="G92" s="21" t="str">
        <f>IFERROR(__xludf.DUMMYFUNCTION("""COMPUTED_VALUE"""),"https://drive.google.com/open?id=1WLFhnkuheItBdPuYMK2gTqsXpgeqZ65S")</f>
        <v>https://drive.google.com/open?id=1WLFhnkuheItBdPuYMK2gTqsXpgeqZ65S</v>
      </c>
      <c r="H92" s="4" t="str">
        <f>IFERROR(__xludf.DUMMYFUNCTION("""COMPUTED_VALUE"""),"No")</f>
        <v>No</v>
      </c>
      <c r="I92" s="4" t="str">
        <f>IFERROR(__xludf.DUMMYFUNCTION("""COMPUTED_VALUE"""),"")</f>
        <v/>
      </c>
      <c r="J92" s="4" t="str">
        <f>IFERROR(__xludf.DUMMYFUNCTION("""COMPUTED_VALUE"""),"")</f>
        <v/>
      </c>
      <c r="K92" s="4" t="str">
        <f>IFERROR(__xludf.DUMMYFUNCTION("""COMPUTED_VALUE"""),"")</f>
        <v/>
      </c>
    </row>
    <row r="93">
      <c r="A93" s="382">
        <f>IFERROR(__xludf.DUMMYFUNCTION("""COMPUTED_VALUE"""),43966.916863)</f>
        <v>43966.91686</v>
      </c>
      <c r="B93" s="4" t="str">
        <f>IFERROR(__xludf.DUMMYFUNCTION("""COMPUTED_VALUE"""),"Pocket.Vision")</f>
        <v>Pocket.Vision</v>
      </c>
      <c r="C93" s="4" t="str">
        <f>IFERROR(__xludf.DUMMYFUNCTION("""COMPUTED_VALUE"""),"JBHZ-1")</f>
        <v>JBHZ-1</v>
      </c>
      <c r="D93" s="4" t="str">
        <f>IFERROR(__xludf.DUMMYFUNCTION("""COMPUTED_VALUE"""),"Bruce")</f>
        <v>Bruce</v>
      </c>
      <c r="E93" s="4" t="str">
        <f>IFERROR(__xludf.DUMMYFUNCTION("""COMPUTED_VALUE"""),"Aylward")</f>
        <v>Aylward</v>
      </c>
      <c r="F93" s="4" t="str">
        <f>IFERROR(__xludf.DUMMYFUNCTION("""COMPUTED_VALUE"""),"Pocket.Vision uses computer vision and AI to automatically synchronise between physical and electronic task boards like Jira and Miro. It saves 96% of time compared to manually updating your electronic boards.")</f>
        <v>Pocket.Vision uses computer vision and AI to automatically synchronise between physical and electronic task boards like Jira and Miro. It saves 96% of time compared to manually updating your electronic boards.</v>
      </c>
      <c r="G93" s="21" t="str">
        <f>IFERROR(__xludf.DUMMYFUNCTION("""COMPUTED_VALUE"""),"https://drive.google.com/open?id=1eZV12Z2EfC_bqNWUybJsveXUDTZomh5W")</f>
        <v>https://drive.google.com/open?id=1eZV12Z2EfC_bqNWUybJsveXUDTZomh5W</v>
      </c>
      <c r="H93" s="4" t="str">
        <f>IFERROR(__xludf.DUMMYFUNCTION("""COMPUTED_VALUE"""),"No")</f>
        <v>No</v>
      </c>
      <c r="I93" s="4" t="str">
        <f>IFERROR(__xludf.DUMMYFUNCTION("""COMPUTED_VALUE"""),"")</f>
        <v/>
      </c>
      <c r="J93" s="4" t="str">
        <f>IFERROR(__xludf.DUMMYFUNCTION("""COMPUTED_VALUE"""),"")</f>
        <v/>
      </c>
      <c r="K93" s="4" t="str">
        <f>IFERROR(__xludf.DUMMYFUNCTION("""COMPUTED_VALUE"""),"")</f>
        <v/>
      </c>
    </row>
    <row r="94">
      <c r="A94" s="382">
        <f>IFERROR(__xludf.DUMMYFUNCTION("""COMPUTED_VALUE"""),43966.952234)</f>
        <v>43966.95223</v>
      </c>
      <c r="B94" s="4" t="str">
        <f>IFERROR(__xludf.DUMMYFUNCTION("""COMPUTED_VALUE"""),"Videolinq")</f>
        <v>Videolinq</v>
      </c>
      <c r="C94" s="4" t="str">
        <f>IFERROR(__xludf.DUMMYFUNCTION("""COMPUTED_VALUE"""),"TNUY")</f>
        <v>TNUY</v>
      </c>
      <c r="D94" s="4" t="str">
        <f>IFERROR(__xludf.DUMMYFUNCTION("""COMPUTED_VALUE"""),"Arthur")</f>
        <v>Arthur</v>
      </c>
      <c r="E94" s="4" t="str">
        <f>IFERROR(__xludf.DUMMYFUNCTION("""COMPUTED_VALUE"""),"Drevnig")</f>
        <v>Drevnig</v>
      </c>
      <c r="F94" s="4" t="str">
        <f>IFERROR(__xludf.DUMMYFUNCTION("""COMPUTED_VALUE"""),"Reach a larger audience by live streaming to multiple social media platforms at the same time. Videolinq helps broadcasters save up to 80% on the cost of buying expensive equipment or hiring expert services to manage complex live event production.")</f>
        <v>Reach a larger audience by live streaming to multiple social media platforms at the same time. Videolinq helps broadcasters save up to 80% on the cost of buying expensive equipment or hiring expert services to manage complex live event production.</v>
      </c>
      <c r="G94" s="21" t="str">
        <f>IFERROR(__xludf.DUMMYFUNCTION("""COMPUTED_VALUE"""),"https://drive.google.com/file/d/14J5P3FBU7PE6YNaBT9zgo9t7xSzQ4A1T/view?usp=sharing")</f>
        <v>https://drive.google.com/file/d/14J5P3FBU7PE6YNaBT9zgo9t7xSzQ4A1T/view?usp=sharing</v>
      </c>
      <c r="H94" s="4" t="str">
        <f>IFERROR(__xludf.DUMMYFUNCTION("""COMPUTED_VALUE"""),"Yes")</f>
        <v>Yes</v>
      </c>
      <c r="I94" s="4" t="str">
        <f>IFERROR(__xludf.DUMMYFUNCTION("""COMPUTED_VALUE"""),"Passed")</f>
        <v>Passed</v>
      </c>
      <c r="J94" s="4" t="str">
        <f>IFERROR(__xludf.DUMMYFUNCTION("""COMPUTED_VALUE"""),"Sent for review")</f>
        <v>Sent for review</v>
      </c>
      <c r="K94" s="4" t="str">
        <f>IFERROR(__xludf.DUMMYFUNCTION("""COMPUTED_VALUE"""),"")</f>
        <v/>
      </c>
    </row>
    <row r="95">
      <c r="A95" s="382">
        <f>IFERROR(__xludf.DUMMYFUNCTION("""COMPUTED_VALUE"""),43967.042512)</f>
        <v>43967.04251</v>
      </c>
      <c r="B95" s="4" t="str">
        <f>IFERROR(__xludf.DUMMYFUNCTION("""COMPUTED_VALUE"""),"POMMe-Health")</f>
        <v>POMMe-Health</v>
      </c>
      <c r="C95" s="384">
        <f>IFERROR(__xludf.DUMMYFUNCTION("""COMPUTED_VALUE"""),457.0)</f>
        <v>457</v>
      </c>
      <c r="D95" s="4" t="str">
        <f>IFERROR(__xludf.DUMMYFUNCTION("""COMPUTED_VALUE"""),"Cheryl")</f>
        <v>Cheryl</v>
      </c>
      <c r="E95" s="4" t="str">
        <f>IFERROR(__xludf.DUMMYFUNCTION("""COMPUTED_VALUE"""),"Netterfield")</f>
        <v>Netterfield</v>
      </c>
      <c r="F95" s="4" t="str">
        <f>IFERROR(__xludf.DUMMYFUNCTION("""COMPUTED_VALUE"""),"A digital communication platform that empowers a healthcare team to rapidly prioritize a patient’s issues and develop a single cohesive care plan. It provides clarity and confidence for the team, as well as accountability, transparency and proof of due di"&amp;"ligence.")</f>
        <v>A digital communication platform that empowers a healthcare team to rapidly prioritize a patient’s issues and develop a single cohesive care plan. It provides clarity and confidence for the team, as well as accountability, transparency and proof of due diligence.</v>
      </c>
      <c r="G95" s="4" t="str">
        <f>IFERROR(__xludf.DUMMYFUNCTION("""COMPUTED_VALUE"""),"/Users/cherylnetterfield/Documents/Zoom/2020-05-16 00.56.09 Cheryl Netterfield's Zoom Meeting 852674")</f>
        <v>/Users/cherylnetterfield/Documents/Zoom/2020-05-16 00.56.09 Cheryl Netterfield's Zoom Meeting 852674</v>
      </c>
      <c r="H95" s="4" t="str">
        <f>IFERROR(__xludf.DUMMYFUNCTION("""COMPUTED_VALUE"""),"")</f>
        <v/>
      </c>
      <c r="I95" s="4" t="str">
        <f>IFERROR(__xludf.DUMMYFUNCTION("""COMPUTED_VALUE"""),"")</f>
        <v/>
      </c>
      <c r="J95" s="4" t="str">
        <f>IFERROR(__xludf.DUMMYFUNCTION("""COMPUTED_VALUE"""),"")</f>
        <v/>
      </c>
      <c r="K95" s="4" t="str">
        <f>IFERROR(__xludf.DUMMYFUNCTION("""COMPUTED_VALUE"""),"")</f>
        <v/>
      </c>
    </row>
    <row r="96">
      <c r="A96" s="382">
        <f>IFERROR(__xludf.DUMMYFUNCTION("""COMPUTED_VALUE"""),43967.504919)</f>
        <v>43967.50492</v>
      </c>
      <c r="B96" s="4" t="str">
        <f>IFERROR(__xludf.DUMMYFUNCTION("""COMPUTED_VALUE"""),"Fluent Forever")</f>
        <v>Fluent Forever</v>
      </c>
      <c r="C96" s="4" t="str">
        <f>IFERROR(__xludf.DUMMYFUNCTION("""COMPUTED_VALUE"""),"#H0SZ")</f>
        <v>#H0SZ</v>
      </c>
      <c r="D96" s="4" t="str">
        <f>IFERROR(__xludf.DUMMYFUNCTION("""COMPUTED_VALUE"""),"Gabriel")</f>
        <v>Gabriel</v>
      </c>
      <c r="E96" s="4" t="str">
        <f>IFERROR(__xludf.DUMMYFUNCTION("""COMPUTED_VALUE"""),"Wyner")</f>
        <v>Wyner</v>
      </c>
      <c r="F96" s="4" t="str">
        <f>IFERROR(__xludf.DUMMYFUNCTION("""COMPUTED_VALUE"""),"We've built an app that can teach you a new language to fluency in 6 months.")</f>
        <v>We've built an app that can teach you a new language to fluency in 6 months.</v>
      </c>
      <c r="G96" s="21" t="str">
        <f>IFERROR(__xludf.DUMMYFUNCTION("""COMPUTED_VALUE"""),"https://drive.google.com/file/d/1_rncj9JCibHiWFgPgnvHG-KQGhNiFaNa/view?usp=sharing")</f>
        <v>https://drive.google.com/file/d/1_rncj9JCibHiWFgPgnvHG-KQGhNiFaNa/view?usp=sharing</v>
      </c>
      <c r="H96" s="4" t="str">
        <f>IFERROR(__xludf.DUMMYFUNCTION("""COMPUTED_VALUE"""),"Yes")</f>
        <v>Yes</v>
      </c>
      <c r="I96" s="4" t="str">
        <f>IFERROR(__xludf.DUMMYFUNCTION("""COMPUTED_VALUE"""),"Passed")</f>
        <v>Passed</v>
      </c>
      <c r="J96" s="4" t="str">
        <f>IFERROR(__xludf.DUMMYFUNCTION("""COMPUTED_VALUE"""),"Sent for review")</f>
        <v>Sent for review</v>
      </c>
      <c r="K96" s="4" t="str">
        <f>IFERROR(__xludf.DUMMYFUNCTION("""COMPUTED_VALUE"""),"")</f>
        <v/>
      </c>
    </row>
    <row r="97">
      <c r="A97" s="382">
        <f>IFERROR(__xludf.DUMMYFUNCTION("""COMPUTED_VALUE"""),43969.012396)</f>
        <v>43969.0124</v>
      </c>
      <c r="B97" s="4" t="str">
        <f>IFERROR(__xludf.DUMMYFUNCTION("""COMPUTED_VALUE"""),"Musiclink")</f>
        <v>Musiclink</v>
      </c>
      <c r="C97" s="4" t="str">
        <f>IFERROR(__xludf.DUMMYFUNCTION("""COMPUTED_VALUE"""),"DVN2")</f>
        <v>DVN2</v>
      </c>
      <c r="D97" s="4" t="str">
        <f>IFERROR(__xludf.DUMMYFUNCTION("""COMPUTED_VALUE"""),"Andrea")</f>
        <v>Andrea</v>
      </c>
      <c r="E97" s="4" t="str">
        <f>IFERROR(__xludf.DUMMYFUNCTION("""COMPUTED_VALUE"""),"Lizárraga Michelini")</f>
        <v>Lizárraga Michelini</v>
      </c>
      <c r="F97" s="4" t="str">
        <f>IFERROR(__xludf.DUMMYFUNCTION("""COMPUTED_VALUE"""),"Musiclink is an online marketplace for live music on demand. It allows you to listen, book and pay talented musicians in a safe and simple manner, providing new exposure and income opportunities for musicians while it disrupts the entertainment industry.")</f>
        <v>Musiclink is an online marketplace for live music on demand. It allows you to listen, book and pay talented musicians in a safe and simple manner, providing new exposure and income opportunities for musicians while it disrupts the entertainment industry.</v>
      </c>
      <c r="G97" s="4" t="str">
        <f>IFERROR(__xludf.DUMMYFUNCTION("""COMPUTED_VALUE"""),"")</f>
        <v/>
      </c>
      <c r="H97" s="4" t="str">
        <f>IFERROR(__xludf.DUMMYFUNCTION("""COMPUTED_VALUE"""),"No")</f>
        <v>No</v>
      </c>
      <c r="I97" s="4" t="str">
        <f>IFERROR(__xludf.DUMMYFUNCTION("""COMPUTED_VALUE"""),"")</f>
        <v/>
      </c>
      <c r="J97" s="4" t="str">
        <f>IFERROR(__xludf.DUMMYFUNCTION("""COMPUTED_VALUE"""),"")</f>
        <v/>
      </c>
      <c r="K97" s="4" t="str">
        <f>IFERROR(__xludf.DUMMYFUNCTION("""COMPUTED_VALUE"""),"")</f>
        <v/>
      </c>
    </row>
    <row r="98">
      <c r="A98" s="382">
        <f>IFERROR(__xludf.DUMMYFUNCTION("""COMPUTED_VALUE"""),43969.169583)</f>
        <v>43969.16958</v>
      </c>
      <c r="B98" s="4" t="str">
        <f>IFERROR(__xludf.DUMMYFUNCTION("""COMPUTED_VALUE"""),"Everykey")</f>
        <v>Everykey</v>
      </c>
      <c r="C98" s="4" t="str">
        <f>IFERROR(__xludf.DUMMYFUNCTION("""COMPUTED_VALUE"""),"9TNR-1")</f>
        <v>9TNR-1</v>
      </c>
      <c r="D98" s="4" t="str">
        <f>IFERROR(__xludf.DUMMYFUNCTION("""COMPUTED_VALUE"""),"Chris")</f>
        <v>Chris</v>
      </c>
      <c r="E98" s="4" t="str">
        <f>IFERROR(__xludf.DUMMYFUNCTION("""COMPUTED_VALUE"""),"Wentz")</f>
        <v>Wentz</v>
      </c>
      <c r="F98" s="4" t="str">
        <f>IFERROR(__xludf.DUMMYFUNCTION("""COMPUTED_VALUE"""),"Everykey - No more Passwords, No more Keys")</f>
        <v>Everykey - No more Passwords, No more Keys</v>
      </c>
      <c r="G98" s="21" t="str">
        <f>IFERROR(__xludf.DUMMYFUNCTION("""COMPUTED_VALUE"""),"https://drive.google.com/file/d/16SYh7PjMegwE8grGugIlVFc9N_2GakKu")</f>
        <v>https://drive.google.com/file/d/16SYh7PjMegwE8grGugIlVFc9N_2GakKu</v>
      </c>
      <c r="H98" s="4" t="str">
        <f>IFERROR(__xludf.DUMMYFUNCTION("""COMPUTED_VALUE"""),"No")</f>
        <v>No</v>
      </c>
      <c r="I98" s="4" t="str">
        <f>IFERROR(__xludf.DUMMYFUNCTION("""COMPUTED_VALUE"""),"")</f>
        <v/>
      </c>
      <c r="J98" s="4" t="str">
        <f>IFERROR(__xludf.DUMMYFUNCTION("""COMPUTED_VALUE"""),"")</f>
        <v/>
      </c>
      <c r="K98" s="4" t="str">
        <f>IFERROR(__xludf.DUMMYFUNCTION("""COMPUTED_VALUE"""),"")</f>
        <v/>
      </c>
    </row>
    <row r="99">
      <c r="A99" s="382">
        <f>IFERROR(__xludf.DUMMYFUNCTION("""COMPUTED_VALUE"""),43969.285451)</f>
        <v>43969.28545</v>
      </c>
      <c r="B99" s="4" t="str">
        <f>IFERROR(__xludf.DUMMYFUNCTION("""COMPUTED_VALUE"""),"Voxup")</f>
        <v>Voxup</v>
      </c>
      <c r="C99" s="4" t="str">
        <f>IFERROR(__xludf.DUMMYFUNCTION("""COMPUTED_VALUE"""),"QZQF")</f>
        <v>QZQF</v>
      </c>
      <c r="D99" s="4" t="str">
        <f>IFERROR(__xludf.DUMMYFUNCTION("""COMPUTED_VALUE"""),"Uday")</f>
        <v>Uday</v>
      </c>
      <c r="E99" s="4" t="str">
        <f>IFERROR(__xludf.DUMMYFUNCTION("""COMPUTED_VALUE"""),"Agarwal")</f>
        <v>Agarwal</v>
      </c>
      <c r="F99" s="4" t="str">
        <f>IFERROR(__xludf.DUMMYFUNCTION("""COMPUTED_VALUE"""),"Connecting Entrepreneurs with people problems")</f>
        <v>Connecting Entrepreneurs with people problems</v>
      </c>
      <c r="G99" s="21" t="str">
        <f>IFERROR(__xludf.DUMMYFUNCTION("""COMPUTED_VALUE"""),"https://drive.google.com/open?id=13AuXj_9zidn--aiTx1oJGOG96RMy0OaA")</f>
        <v>https://drive.google.com/open?id=13AuXj_9zidn--aiTx1oJGOG96RMy0OaA</v>
      </c>
      <c r="H99" s="4" t="str">
        <f>IFERROR(__xludf.DUMMYFUNCTION("""COMPUTED_VALUE"""),"No")</f>
        <v>No</v>
      </c>
      <c r="I99" s="4" t="str">
        <f>IFERROR(__xludf.DUMMYFUNCTION("""COMPUTED_VALUE"""),"")</f>
        <v/>
      </c>
      <c r="J99" s="4" t="str">
        <f>IFERROR(__xludf.DUMMYFUNCTION("""COMPUTED_VALUE"""),"")</f>
        <v/>
      </c>
      <c r="K99" s="4" t="str">
        <f>IFERROR(__xludf.DUMMYFUNCTION("""COMPUTED_VALUE"""),"")</f>
        <v/>
      </c>
    </row>
    <row r="100">
      <c r="A100" s="382">
        <f>IFERROR(__xludf.DUMMYFUNCTION("""COMPUTED_VALUE"""),43969.404039)</f>
        <v>43969.40404</v>
      </c>
      <c r="B100" s="4" t="str">
        <f>IFERROR(__xludf.DUMMYFUNCTION("""COMPUTED_VALUE"""),"QUERY LAYER")</f>
        <v>QUERY LAYER</v>
      </c>
      <c r="C100" s="4" t="str">
        <f>IFERROR(__xludf.DUMMYFUNCTION("""COMPUTED_VALUE"""),"DYVD")</f>
        <v>DYVD</v>
      </c>
      <c r="D100" s="4" t="str">
        <f>IFERROR(__xludf.DUMMYFUNCTION("""COMPUTED_VALUE"""),"PADRAIG")</f>
        <v>PADRAIG</v>
      </c>
      <c r="E100" s="4" t="str">
        <f>IFERROR(__xludf.DUMMYFUNCTION("""COMPUTED_VALUE"""),"OLEARY")</f>
        <v>OLEARY</v>
      </c>
      <c r="F100" s="4" t="str">
        <f>IFERROR(__xludf.DUMMYFUNCTION("""COMPUTED_VALUE"""),"No-Code Data Sharing Platform for the Enterprise with Powerful Privacy Controls")</f>
        <v>No-Code Data Sharing Platform for the Enterprise with Powerful Privacy Controls</v>
      </c>
      <c r="G100" s="21" t="str">
        <f>IFERROR(__xludf.DUMMYFUNCTION("""COMPUTED_VALUE"""),"https://drive.google.com/file/d/1Zm0NJma7YBTrYwhejgf-JmVu_BHpymAQ/view?usp=sharing")</f>
        <v>https://drive.google.com/file/d/1Zm0NJma7YBTrYwhejgf-JmVu_BHpymAQ/view?usp=sharing</v>
      </c>
      <c r="H100" s="4" t="str">
        <f>IFERROR(__xludf.DUMMYFUNCTION("""COMPUTED_VALUE"""),"Yes")</f>
        <v>Yes</v>
      </c>
      <c r="I100" s="4" t="str">
        <f>IFERROR(__xludf.DUMMYFUNCTION("""COMPUTED_VALUE"""),"Passed")</f>
        <v>Passed</v>
      </c>
      <c r="J100" s="4" t="str">
        <f>IFERROR(__xludf.DUMMYFUNCTION("""COMPUTED_VALUE"""),"Sent for review")</f>
        <v>Sent for review</v>
      </c>
      <c r="K100" s="4" t="str">
        <f>IFERROR(__xludf.DUMMYFUNCTION("""COMPUTED_VALUE"""),"Breakout")</f>
        <v>Breakout</v>
      </c>
    </row>
    <row r="101">
      <c r="A101" s="382">
        <f>IFERROR(__xludf.DUMMYFUNCTION("""COMPUTED_VALUE"""),43969.417963)</f>
        <v>43969.41796</v>
      </c>
      <c r="B101" s="4" t="str">
        <f>IFERROR(__xludf.DUMMYFUNCTION("""COMPUTED_VALUE"""),"critec - creative agency")</f>
        <v>critec - creative agency</v>
      </c>
      <c r="C101" s="4" t="str">
        <f>IFERROR(__xludf.DUMMYFUNCTION("""COMPUTED_VALUE"""),"H2ZG-1")</f>
        <v>H2ZG-1</v>
      </c>
      <c r="D101" s="4" t="str">
        <f>IFERROR(__xludf.DUMMYFUNCTION("""COMPUTED_VALUE"""),"Bruno")</f>
        <v>Bruno</v>
      </c>
      <c r="E101" s="4" t="str">
        <f>IFERROR(__xludf.DUMMYFUNCTION("""COMPUTED_VALUE"""),"Vide")</f>
        <v>Vide</v>
      </c>
      <c r="F101" s="4" t="str">
        <f>IFERROR(__xludf.DUMMYFUNCTION("""COMPUTED_VALUE"""),"ARt is a new world within the real world. A new layer of art with unlimited possibilities for artists and art lovers. A new form of promotion for cities.")</f>
        <v>ARt is a new world within the real world. A new layer of art with unlimited possibilities for artists and art lovers. A new form of promotion for cities.</v>
      </c>
      <c r="G101" s="21" t="str">
        <f>IFERROR(__xludf.DUMMYFUNCTION("""COMPUTED_VALUE"""),"https://vimeo.com/293383581/3e6a2971eb")</f>
        <v>https://vimeo.com/293383581/3e6a2971eb</v>
      </c>
      <c r="H101" s="4" t="str">
        <f>IFERROR(__xludf.DUMMYFUNCTION("""COMPUTED_VALUE"""),"Yes")</f>
        <v>Yes</v>
      </c>
      <c r="I101" s="4" t="str">
        <f>IFERROR(__xludf.DUMMYFUNCTION("""COMPUTED_VALUE"""),"Failed")</f>
        <v>Failed</v>
      </c>
      <c r="J101" s="4" t="str">
        <f>IFERROR(__xludf.DUMMYFUNCTION("""COMPUTED_VALUE"""),"")</f>
        <v/>
      </c>
      <c r="K101" s="4" t="str">
        <f>IFERROR(__xludf.DUMMYFUNCTION("""COMPUTED_VALUE"""),"")</f>
        <v/>
      </c>
    </row>
    <row r="102">
      <c r="A102" s="382">
        <f>IFERROR(__xludf.DUMMYFUNCTION("""COMPUTED_VALUE"""),43970.300313)</f>
        <v>43970.30031</v>
      </c>
      <c r="B102" s="4" t="str">
        <f>IFERROR(__xludf.DUMMYFUNCTION("""COMPUTED_VALUE"""),"Future Symbiotic, Inc")</f>
        <v>Future Symbiotic, Inc</v>
      </c>
      <c r="C102" s="4" t="str">
        <f>IFERROR(__xludf.DUMMYFUNCTION("""COMPUTED_VALUE"""),"TDDT-1")</f>
        <v>TDDT-1</v>
      </c>
      <c r="D102" s="4" t="str">
        <f>IFERROR(__xludf.DUMMYFUNCTION("""COMPUTED_VALUE"""),"Subhanjan")</f>
        <v>Subhanjan</v>
      </c>
      <c r="E102" s="4" t="str">
        <f>IFERROR(__xludf.DUMMYFUNCTION("""COMPUTED_VALUE"""),"Sarkar")</f>
        <v>Sarkar</v>
      </c>
      <c r="F102" s="4" t="str">
        <f>IFERROR(__xludf.DUMMYFUNCTION("""COMPUTED_VALUE"""),"PitchLink enables Private, Secure Buyer Seller Communication, Conversation and Collaboration -  Interruption and Friction free on a Perma Link.")</f>
        <v>PitchLink enables Private, Secure Buyer Seller Communication, Conversation and Collaboration -  Interruption and Friction free on a Perma Link.</v>
      </c>
      <c r="G102" s="21" t="str">
        <f>IFERROR(__xludf.DUMMYFUNCTION("""COMPUTED_VALUE"""),"https://drive.google.com/file/d/1XjEplwEnf8Uj9KcrKhn_6t10iclCGr6K/view?usp=sharing")</f>
        <v>https://drive.google.com/file/d/1XjEplwEnf8Uj9KcrKhn_6t10iclCGr6K/view?usp=sharing</v>
      </c>
      <c r="H102" s="4" t="str">
        <f>IFERROR(__xludf.DUMMYFUNCTION("""COMPUTED_VALUE"""),"")</f>
        <v/>
      </c>
      <c r="I102" s="4" t="str">
        <f>IFERROR(__xludf.DUMMYFUNCTION("""COMPUTED_VALUE"""),"")</f>
        <v/>
      </c>
      <c r="J102" s="4" t="str">
        <f>IFERROR(__xludf.DUMMYFUNCTION("""COMPUTED_VALUE"""),"")</f>
        <v/>
      </c>
      <c r="K102" s="4" t="str">
        <f>IFERROR(__xludf.DUMMYFUNCTION("""COMPUTED_VALUE"""),"")</f>
        <v/>
      </c>
    </row>
    <row r="103">
      <c r="A103" s="382">
        <f>IFERROR(__xludf.DUMMYFUNCTION("""COMPUTED_VALUE"""),43971.150741)</f>
        <v>43971.15074</v>
      </c>
      <c r="B103" s="4" t="str">
        <f>IFERROR(__xludf.DUMMYFUNCTION("""COMPUTED_VALUE"""),"emazing-retailing")</f>
        <v>emazing-retailing</v>
      </c>
      <c r="C103" s="4" t="str">
        <f>IFERROR(__xludf.DUMMYFUNCTION("""COMPUTED_VALUE"""),"M8A7")</f>
        <v>M8A7</v>
      </c>
      <c r="D103" s="4" t="str">
        <f>IFERROR(__xludf.DUMMYFUNCTION("""COMPUTED_VALUE"""),"Pierre-Emmanuel")</f>
        <v>Pierre-Emmanuel</v>
      </c>
      <c r="E103" s="4" t="str">
        <f>IFERROR(__xludf.DUMMYFUNCTION("""COMPUTED_VALUE"""),"Berthier")</f>
        <v>Berthier</v>
      </c>
      <c r="F103" s="4" t="str">
        <f>IFERROR(__xludf.DUMMYFUNCTION("""COMPUTED_VALUE"""),"Introducing a Saas platform to do behavioural ecommerce market research. 1) easy website creation to feature ideas/ products in a consumer friendly way 2) easy respondents traffic creation (for people to see it) 3)Dashboard to analyse and benchmark")</f>
        <v>Introducing a Saas platform to do behavioural ecommerce market research. 1) easy website creation to feature ideas/ products in a consumer friendly way 2) easy respondents traffic creation (for people to see it) 3)Dashboard to analyse and benchmark</v>
      </c>
      <c r="G103" s="21" t="str">
        <f>IFERROR(__xludf.DUMMYFUNCTION("""COMPUTED_VALUE"""),"https://www.dropbox.com/s/vrqnkqlg1q2aufn/collision_spotlight.mp4?dl=0")</f>
        <v>https://www.dropbox.com/s/vrqnkqlg1q2aufn/collision_spotlight.mp4?dl=0</v>
      </c>
      <c r="H103" s="4" t="str">
        <f>IFERROR(__xludf.DUMMYFUNCTION("""COMPUTED_VALUE"""),"")</f>
        <v/>
      </c>
      <c r="I103" s="4" t="str">
        <f>IFERROR(__xludf.DUMMYFUNCTION("""COMPUTED_VALUE"""),"")</f>
        <v/>
      </c>
      <c r="J103" s="4" t="str">
        <f>IFERROR(__xludf.DUMMYFUNCTION("""COMPUTED_VALUE"""),"")</f>
        <v/>
      </c>
      <c r="K103" s="4" t="str">
        <f>IFERROR(__xludf.DUMMYFUNCTION("""COMPUTED_VALUE"""),"")</f>
        <v/>
      </c>
    </row>
    <row r="104">
      <c r="A104" s="382">
        <f>IFERROR(__xludf.DUMMYFUNCTION("""COMPUTED_VALUE"""),43971.240787)</f>
        <v>43971.24079</v>
      </c>
      <c r="B104" s="4" t="str">
        <f>IFERROR(__xludf.DUMMYFUNCTION("""COMPUTED_VALUE"""),"Cuckoo")</f>
        <v>Cuckoo</v>
      </c>
      <c r="C104" s="4" t="str">
        <f>IFERROR(__xludf.DUMMYFUNCTION("""COMPUTED_VALUE"""),"1YC8")</f>
        <v>1YC8</v>
      </c>
      <c r="D104" s="4" t="str">
        <f>IFERROR(__xludf.DUMMYFUNCTION("""COMPUTED_VALUE"""),"Alexander")</f>
        <v>Alexander</v>
      </c>
      <c r="E104" s="4" t="str">
        <f>IFERROR(__xludf.DUMMYFUNCTION("""COMPUTED_VALUE"""),"Fitzgerald")</f>
        <v>Fitzgerald</v>
      </c>
      <c r="F104" s="4" t="str">
        <f>IFERROR(__xludf.DUMMYFUNCTION("""COMPUTED_VALUE"""),"Cuckoo is making broadband simple, for good. We're a new challenger company offering transparent pricing and great customer service. Monzo took on the banks. Bulb took on the energy providers. Cuckoo will take on the broadband companies.")</f>
        <v>Cuckoo is making broadband simple, for good. We're a new challenger company offering transparent pricing and great customer service. Monzo took on the banks. Bulb took on the energy providers. Cuckoo will take on the broadband companies.</v>
      </c>
      <c r="G104" s="21" t="str">
        <f>IFERROR(__xludf.DUMMYFUNCTION("""COMPUTED_VALUE"""),"https://drive.google.com/open?id=1pobafh8EecIjB-C0ddO_M53wQUQmE7fK")</f>
        <v>https://drive.google.com/open?id=1pobafh8EecIjB-C0ddO_M53wQUQmE7fK</v>
      </c>
      <c r="H104" s="4" t="str">
        <f>IFERROR(__xludf.DUMMYFUNCTION("""COMPUTED_VALUE"""),"Yes")</f>
        <v>Yes</v>
      </c>
      <c r="I104" s="4" t="str">
        <f>IFERROR(__xludf.DUMMYFUNCTION("""COMPUTED_VALUE"""),"Passed")</f>
        <v>Passed</v>
      </c>
      <c r="J104" s="4" t="str">
        <f>IFERROR(__xludf.DUMMYFUNCTION("""COMPUTED_VALUE"""),"Sent for review")</f>
        <v>Sent for review</v>
      </c>
      <c r="K104" s="4" t="str">
        <f>IFERROR(__xludf.DUMMYFUNCTION("""COMPUTED_VALUE"""),"")</f>
        <v/>
      </c>
    </row>
    <row r="105">
      <c r="A105" s="382">
        <f>IFERROR(__xludf.DUMMYFUNCTION("""COMPUTED_VALUE"""),43971.304363)</f>
        <v>43971.30436</v>
      </c>
      <c r="B105" s="4" t="str">
        <f>IFERROR(__xludf.DUMMYFUNCTION("""COMPUTED_VALUE"""),"Webiny")</f>
        <v>Webiny</v>
      </c>
      <c r="C105" s="4" t="str">
        <f>IFERROR(__xludf.DUMMYFUNCTION("""COMPUTED_VALUE"""),"X4OX-1")</f>
        <v>X4OX-1</v>
      </c>
      <c r="D105" s="4" t="str">
        <f>IFERROR(__xludf.DUMMYFUNCTION("""COMPUTED_VALUE"""),"Sven")</f>
        <v>Sven</v>
      </c>
      <c r="E105" s="4" t="str">
        <f>IFERROR(__xludf.DUMMYFUNCTION("""COMPUTED_VALUE"""),"Al Hamad")</f>
        <v>Al Hamad</v>
      </c>
      <c r="F105" s="4" t="str">
        <f>IFERROR(__xludf.DUMMYFUNCTION("""COMPUTED_VALUE"""),"The easiest way to adopt serverless")</f>
        <v>The easiest way to adopt serverless</v>
      </c>
      <c r="G105" s="21" t="str">
        <f>IFERROR(__xludf.DUMMYFUNCTION("""COMPUTED_VALUE"""),"https://drive.google.com/file/d/1W8988RgTuekyQ-hA52-0n29WxF01Myn0/view")</f>
        <v>https://drive.google.com/file/d/1W8988RgTuekyQ-hA52-0n29WxF01Myn0/view</v>
      </c>
      <c r="H105" s="4" t="str">
        <f>IFERROR(__xludf.DUMMYFUNCTION("""COMPUTED_VALUE"""),"Yes")</f>
        <v>Yes</v>
      </c>
      <c r="I105" s="4" t="str">
        <f>IFERROR(__xludf.DUMMYFUNCTION("""COMPUTED_VALUE"""),"Passed")</f>
        <v>Passed</v>
      </c>
      <c r="J105" s="4" t="str">
        <f>IFERROR(__xludf.DUMMYFUNCTION("""COMPUTED_VALUE"""),"Sent for review")</f>
        <v>Sent for review</v>
      </c>
      <c r="K105" s="4" t="str">
        <f>IFERROR(__xludf.DUMMYFUNCTION("""COMPUTED_VALUE"""),"Breakout")</f>
        <v>Breakout</v>
      </c>
    </row>
    <row r="106">
      <c r="A106" s="382">
        <f>IFERROR(__xludf.DUMMYFUNCTION("""COMPUTED_VALUE"""),43972.158021)</f>
        <v>43972.15802</v>
      </c>
      <c r="B106" s="4" t="str">
        <f>IFERROR(__xludf.DUMMYFUNCTION("""COMPUTED_VALUE"""),"London Trade Art")</f>
        <v>London Trade Art</v>
      </c>
      <c r="C106" s="4" t="str">
        <f>IFERROR(__xludf.DUMMYFUNCTION("""COMPUTED_VALUE"""),"0JIR")</f>
        <v>0JIR</v>
      </c>
      <c r="D106" s="4" t="str">
        <f>IFERROR(__xludf.DUMMYFUNCTION("""COMPUTED_VALUE"""),"Francesca")</f>
        <v>Francesca</v>
      </c>
      <c r="E106" s="4" t="str">
        <f>IFERROR(__xludf.DUMMYFUNCTION("""COMPUTED_VALUE"""),"Casiraghi")</f>
        <v>Casiraghi</v>
      </c>
      <c r="F106" s="4" t="str">
        <f>IFERROR(__xludf.DUMMYFUNCTION("""COMPUTED_VALUE"""),"Combining art and finance, LTArt aims to create an art exchange: a platform which allows everyone to become co-owner of high value artworks")</f>
        <v>Combining art and finance, LTArt aims to create an art exchange: a platform which allows everyone to become co-owner of high value artworks</v>
      </c>
      <c r="G106" s="21" t="str">
        <f>IFERROR(__xludf.DUMMYFUNCTION("""COMPUTED_VALUE"""),"https://drive.google.com/file/d/1RhGmrHqrHZDK13k4LcYID3_YXEWt7kgz/view?usp=sharing")</f>
        <v>https://drive.google.com/file/d/1RhGmrHqrHZDK13k4LcYID3_YXEWt7kgz/view?usp=sharing</v>
      </c>
      <c r="H106" s="4" t="str">
        <f>IFERROR(__xludf.DUMMYFUNCTION("""COMPUTED_VALUE"""),"Yes")</f>
        <v>Yes</v>
      </c>
      <c r="I106" s="4" t="str">
        <f>IFERROR(__xludf.DUMMYFUNCTION("""COMPUTED_VALUE"""),"Passed")</f>
        <v>Passed</v>
      </c>
      <c r="J106" s="4" t="str">
        <f>IFERROR(__xludf.DUMMYFUNCTION("""COMPUTED_VALUE"""),"Sent for review")</f>
        <v>Sent for review</v>
      </c>
      <c r="K106" s="4" t="str">
        <f>IFERROR(__xludf.DUMMYFUNCTION("""COMPUTED_VALUE"""),"")</f>
        <v/>
      </c>
    </row>
    <row r="107">
      <c r="A107" s="382">
        <f>IFERROR(__xludf.DUMMYFUNCTION("""COMPUTED_VALUE"""),43972.46515)</f>
        <v>43972.46515</v>
      </c>
      <c r="B107" s="4" t="str">
        <f>IFERROR(__xludf.DUMMYFUNCTION("""COMPUTED_VALUE"""),"Chatspace")</f>
        <v>Chatspace</v>
      </c>
      <c r="C107" s="4" t="str">
        <f>IFERROR(__xludf.DUMMYFUNCTION("""COMPUTED_VALUE"""),"PDET-1")</f>
        <v>PDET-1</v>
      </c>
      <c r="D107" s="4" t="str">
        <f>IFERROR(__xludf.DUMMYFUNCTION("""COMPUTED_VALUE"""),"John")</f>
        <v>John</v>
      </c>
      <c r="E107" s="4" t="str">
        <f>IFERROR(__xludf.DUMMYFUNCTION("""COMPUTED_VALUE"""),"Clancy")</f>
        <v>Clancy</v>
      </c>
      <c r="F107" s="4" t="str">
        <f>IFERROR(__xludf.DUMMYFUNCTION("""COMPUTED_VALUE"""),"We are building the world’s most experienced Project Manager AI. One that will empower enterprise leaders to focus on growth instead of micro-mgmt by proactively alerting leadership to risk so better, insight driven decisions can be made.")</f>
        <v>We are building the world’s most experienced Project Manager AI. One that will empower enterprise leaders to focus on growth instead of micro-mgmt by proactively alerting leadership to risk so better, insight driven decisions can be made.</v>
      </c>
      <c r="G107" s="21" t="str">
        <f>IFERROR(__xludf.DUMMYFUNCTION("""COMPUTED_VALUE"""),"https://drive.google.com/file/d/1NMDwn4ttPBHSrqLZ5OclgE7u4bF7q9aM/view?usp=sharing")</f>
        <v>https://drive.google.com/file/d/1NMDwn4ttPBHSrqLZ5OclgE7u4bF7q9aM/view?usp=sharing</v>
      </c>
      <c r="H107" s="4" t="str">
        <f>IFERROR(__xludf.DUMMYFUNCTION("""COMPUTED_VALUE"""),"")</f>
        <v/>
      </c>
      <c r="I107" s="4" t="str">
        <f>IFERROR(__xludf.DUMMYFUNCTION("""COMPUTED_VALUE"""),"")</f>
        <v/>
      </c>
      <c r="J107" s="4" t="str">
        <f>IFERROR(__xludf.DUMMYFUNCTION("""COMPUTED_VALUE"""),"")</f>
        <v/>
      </c>
      <c r="K107" s="4" t="str">
        <f>IFERROR(__xludf.DUMMYFUNCTION("""COMPUTED_VALUE"""),"")</f>
        <v/>
      </c>
    </row>
    <row r="108">
      <c r="A108" s="382">
        <f>IFERROR(__xludf.DUMMYFUNCTION("""COMPUTED_VALUE"""),43972.706539)</f>
        <v>43972.70654</v>
      </c>
      <c r="B108" s="4" t="str">
        <f>IFERROR(__xludf.DUMMYFUNCTION("""COMPUTED_VALUE"""),"Goodlawyer")</f>
        <v>Goodlawyer</v>
      </c>
      <c r="C108" s="4" t="str">
        <f>IFERROR(__xludf.DUMMYFUNCTION("""COMPUTED_VALUE"""),"ANR3")</f>
        <v>ANR3</v>
      </c>
      <c r="D108" s="4" t="str">
        <f>IFERROR(__xludf.DUMMYFUNCTION("""COMPUTED_VALUE"""),"Brett")</f>
        <v>Brett</v>
      </c>
      <c r="E108" s="4" t="str">
        <f>IFERROR(__xludf.DUMMYFUNCTION("""COMPUTED_VALUE"""),"Colvin")</f>
        <v>Colvin</v>
      </c>
      <c r="F108" s="4" t="str">
        <f>IFERROR(__xludf.DUMMYFUNCTION("""COMPUTED_VALUE"""),"Goodlawyer is transforming the way legal services are delivered. We’re making professional legal help accessible to a completely new segment of customers, through our exclusive microservices: quick and affordable options like legal advice sessions and per"&amp;" page contract reviews.")</f>
        <v>Goodlawyer is transforming the way legal services are delivered. We’re making professional legal help accessible to a completely new segment of customers, through our exclusive microservices: quick and affordable options like legal advice sessions and per page contract reviews.</v>
      </c>
      <c r="G108" s="21" t="str">
        <f>IFERROR(__xludf.DUMMYFUNCTION("""COMPUTED_VALUE"""),"https://drive.google.com/open?id=1hlSzfymYO7-mqpLdSP4btaoGt73bx0ig")</f>
        <v>https://drive.google.com/open?id=1hlSzfymYO7-mqpLdSP4btaoGt73bx0ig</v>
      </c>
      <c r="H108" s="4" t="str">
        <f>IFERROR(__xludf.DUMMYFUNCTION("""COMPUTED_VALUE"""),"Yes")</f>
        <v>Yes</v>
      </c>
      <c r="I108" s="4" t="str">
        <f>IFERROR(__xludf.DUMMYFUNCTION("""COMPUTED_VALUE"""),"Passed")</f>
        <v>Passed</v>
      </c>
      <c r="J108" s="4" t="str">
        <f>IFERROR(__xludf.DUMMYFUNCTION("""COMPUTED_VALUE"""),"Sent for review")</f>
        <v>Sent for review</v>
      </c>
      <c r="K108" s="4" t="str">
        <f>IFERROR(__xludf.DUMMYFUNCTION("""COMPUTED_VALUE"""),"")</f>
        <v/>
      </c>
    </row>
    <row r="109">
      <c r="A109" s="382">
        <f>IFERROR(__xludf.DUMMYFUNCTION("""COMPUTED_VALUE"""),43972.739039)</f>
        <v>43972.73904</v>
      </c>
      <c r="B109" s="4" t="str">
        <f>IFERROR(__xludf.DUMMYFUNCTION("""COMPUTED_VALUE"""),"Versus Rewards")</f>
        <v>Versus Rewards</v>
      </c>
      <c r="C109" s="4" t="str">
        <f>IFERROR(__xludf.DUMMYFUNCTION("""COMPUTED_VALUE"""),"CDPB")</f>
        <v>CDPB</v>
      </c>
      <c r="D109" s="4" t="str">
        <f>IFERROR(__xludf.DUMMYFUNCTION("""COMPUTED_VALUE"""),"Daryl")</f>
        <v>Daryl</v>
      </c>
      <c r="E109" s="4" t="str">
        <f>IFERROR(__xludf.DUMMYFUNCTION("""COMPUTED_VALUE"""),"Hemingway")</f>
        <v>Hemingway</v>
      </c>
      <c r="F109" s="4" t="str">
        <f>IFERROR(__xludf.DUMMYFUNCTION("""COMPUTED_VALUE"""),"Versus Rewards is the Social Sports platform that created Cheer from Home™ to make watching sports more fun and rewarding.  We engage fans to solve the biggest problem in sports marketing: lack of data to know if the sponsorship worked.")</f>
        <v>Versus Rewards is the Social Sports platform that created Cheer from Home™ to make watching sports more fun and rewarding.  We engage fans to solve the biggest problem in sports marketing: lack of data to know if the sponsorship worked.</v>
      </c>
      <c r="G109" s="21" t="str">
        <f>IFERROR(__xludf.DUMMYFUNCTION("""COMPUTED_VALUE"""),"https://drive.google.com/open?id=18RK-p62fyPN8cvT7RKvpZjPV--zmxYw6")</f>
        <v>https://drive.google.com/open?id=18RK-p62fyPN8cvT7RKvpZjPV--zmxYw6</v>
      </c>
      <c r="H109" s="4" t="str">
        <f>IFERROR(__xludf.DUMMYFUNCTION("""COMPUTED_VALUE"""),"No")</f>
        <v>No</v>
      </c>
      <c r="I109" s="4" t="str">
        <f>IFERROR(__xludf.DUMMYFUNCTION("""COMPUTED_VALUE"""),"")</f>
        <v/>
      </c>
      <c r="J109" s="4" t="str">
        <f>IFERROR(__xludf.DUMMYFUNCTION("""COMPUTED_VALUE"""),"")</f>
        <v/>
      </c>
      <c r="K109" s="4" t="str">
        <f>IFERROR(__xludf.DUMMYFUNCTION("""COMPUTED_VALUE"""),"")</f>
        <v/>
      </c>
    </row>
    <row r="110">
      <c r="A110" s="382">
        <f>IFERROR(__xludf.DUMMYFUNCTION("""COMPUTED_VALUE"""),43972.871829)</f>
        <v>43972.87183</v>
      </c>
      <c r="B110" s="4" t="str">
        <f>IFERROR(__xludf.DUMMYFUNCTION("""COMPUTED_VALUE"""),"Crux OCM")</f>
        <v>Crux OCM</v>
      </c>
      <c r="C110" s="4" t="str">
        <f>IFERROR(__xludf.DUMMYFUNCTION("""COMPUTED_VALUE"""),"FR7P")</f>
        <v>FR7P</v>
      </c>
      <c r="D110" s="4" t="str">
        <f>IFERROR(__xludf.DUMMYFUNCTION("""COMPUTED_VALUE"""),"Vicki")</f>
        <v>Vicki</v>
      </c>
      <c r="E110" s="4" t="str">
        <f>IFERROR(__xludf.DUMMYFUNCTION("""COMPUTED_VALUE"""),"Knott")</f>
        <v>Knott</v>
      </c>
      <c r="F110" s="4" t="str">
        <f>IFERROR(__xludf.DUMMYFUNCTION("""COMPUTED_VALUE"""),"CRUX OCM enables the autonomous control room in Oil and Gas of tomorrow, operating within the safety constraints of today. Combining advanced physics-based methodologies with machine learning, CRUX software helps clients increase efficiency and improve sa"&amp;"fety, ensuring operators stay safe.")</f>
        <v>CRUX OCM enables the autonomous control room in Oil and Gas of tomorrow, operating within the safety constraints of today. Combining advanced physics-based methodologies with machine learning, CRUX software helps clients increase efficiency and improve safety, ensuring operators stay safe.</v>
      </c>
      <c r="G110" s="21" t="str">
        <f>IFERROR(__xludf.DUMMYFUNCTION("""COMPUTED_VALUE"""),"https://drive.google.com/file/d/1pwmVAOSRni8x-KQBeKY5ikiG72HxNyTE/view")</f>
        <v>https://drive.google.com/file/d/1pwmVAOSRni8x-KQBeKY5ikiG72HxNyTE/view</v>
      </c>
      <c r="H110" s="4" t="str">
        <f>IFERROR(__xludf.DUMMYFUNCTION("""COMPUTED_VALUE"""),"Yes")</f>
        <v>Yes</v>
      </c>
      <c r="I110" s="4" t="str">
        <f>IFERROR(__xludf.DUMMYFUNCTION("""COMPUTED_VALUE"""),"Passed")</f>
        <v>Passed</v>
      </c>
      <c r="J110" s="4" t="str">
        <f>IFERROR(__xludf.DUMMYFUNCTION("""COMPUTED_VALUE"""),"Sent for review")</f>
        <v>Sent for review</v>
      </c>
      <c r="K110" s="4" t="str">
        <f>IFERROR(__xludf.DUMMYFUNCTION("""COMPUTED_VALUE"""),"")</f>
        <v/>
      </c>
    </row>
    <row r="111">
      <c r="A111" s="382">
        <f>IFERROR(__xludf.DUMMYFUNCTION("""COMPUTED_VALUE"""),43972.990023)</f>
        <v>43972.99002</v>
      </c>
      <c r="B111" s="4" t="str">
        <f>IFERROR(__xludf.DUMMYFUNCTION("""COMPUTED_VALUE"""),"Hour One")</f>
        <v>Hour One</v>
      </c>
      <c r="C111" s="4" t="str">
        <f>IFERROR(__xludf.DUMMYFUNCTION("""COMPUTED_VALUE"""),"A4MX")</f>
        <v>A4MX</v>
      </c>
      <c r="D111" s="4" t="str">
        <f>IFERROR(__xludf.DUMMYFUNCTION("""COMPUTED_VALUE"""),"Natalie")</f>
        <v>Natalie</v>
      </c>
      <c r="E111" s="4" t="str">
        <f>IFERROR(__xludf.DUMMYFUNCTION("""COMPUTED_VALUE"""),"Monbiot")</f>
        <v>Monbiot</v>
      </c>
      <c r="F111" s="4" t="str">
        <f>IFERROR(__xludf.DUMMYFUNCTION("""COMPUTED_VALUE"""),"Hour One's AI platform enables businesses to generate video content featuring real humans, at unprecedented speed and scale; unlocking the ability to engage their customers in a more personal and human way across the digital landscape; with proven busines"&amp;"s performance.")</f>
        <v>Hour One's AI platform enables businesses to generate video content featuring real humans, at unprecedented speed and scale; unlocking the ability to engage their customers in a more personal and human way across the digital landscape; with proven business performance.</v>
      </c>
      <c r="G111" s="21" t="str">
        <f>IFERROR(__xludf.DUMMYFUNCTION("""COMPUTED_VALUE"""),"https://drive.google.com/open?id=1wcrBlHvpEhU5restF9qfPlU2OoFnUb9K")</f>
        <v>https://drive.google.com/open?id=1wcrBlHvpEhU5restF9qfPlU2OoFnUb9K</v>
      </c>
      <c r="H111" s="4" t="str">
        <f>IFERROR(__xludf.DUMMYFUNCTION("""COMPUTED_VALUE"""),"Yes")</f>
        <v>Yes</v>
      </c>
      <c r="I111" s="4" t="str">
        <f>IFERROR(__xludf.DUMMYFUNCTION("""COMPUTED_VALUE"""),"Passed")</f>
        <v>Passed</v>
      </c>
      <c r="J111" s="4" t="str">
        <f>IFERROR(__xludf.DUMMYFUNCTION("""COMPUTED_VALUE"""),"Sent for review")</f>
        <v>Sent for review</v>
      </c>
      <c r="K111" s="4" t="str">
        <f>IFERROR(__xludf.DUMMYFUNCTION("""COMPUTED_VALUE"""),"")</f>
        <v/>
      </c>
    </row>
    <row r="112">
      <c r="A112" s="382">
        <f>IFERROR(__xludf.DUMMYFUNCTION("""COMPUTED_VALUE"""),43973.207986)</f>
        <v>43973.20799</v>
      </c>
      <c r="B112" s="4" t="str">
        <f>IFERROR(__xludf.DUMMYFUNCTION("""COMPUTED_VALUE"""),"Fractal Mind")</f>
        <v>Fractal Mind</v>
      </c>
      <c r="C112" s="4" t="str">
        <f>IFERROR(__xludf.DUMMYFUNCTION("""COMPUTED_VALUE"""),"MDXT-2")</f>
        <v>MDXT-2</v>
      </c>
      <c r="D112" s="4" t="str">
        <f>IFERROR(__xludf.DUMMYFUNCTION("""COMPUTED_VALUE"""),"Manuel")</f>
        <v>Manuel</v>
      </c>
      <c r="E112" s="4" t="str">
        <f>IFERROR(__xludf.DUMMYFUNCTION("""COMPUTED_VALUE"""),"Pimenta")</f>
        <v>Pimenta</v>
      </c>
      <c r="F112" s="4" t="str">
        <f>IFERROR(__xludf.DUMMYFUNCTION("""COMPUTED_VALUE"""),"AI ALFRED is the first smart gamification platform that leverages our extensive gamification know-how in the area of employee engagement, topped with a machine learning and AI engine to generate a completely tailored, yet scalable, gamified experience.")</f>
        <v>AI ALFRED is the first smart gamification platform that leverages our extensive gamification know-how in the area of employee engagement, topped with a machine learning and AI engine to generate a completely tailored, yet scalable, gamified experience.</v>
      </c>
      <c r="G112" s="21" t="str">
        <f>IFERROR(__xludf.DUMMYFUNCTION("""COMPUTED_VALUE"""),"https://drive.google.com/open?id=152mcfKRQpE2ibP5nLrQUMquCLvQCCImt")</f>
        <v>https://drive.google.com/open?id=152mcfKRQpE2ibP5nLrQUMquCLvQCCImt</v>
      </c>
      <c r="H112" s="4" t="str">
        <f>IFERROR(__xludf.DUMMYFUNCTION("""COMPUTED_VALUE"""),"Yes")</f>
        <v>Yes</v>
      </c>
      <c r="I112" s="4" t="str">
        <f>IFERROR(__xludf.DUMMYFUNCTION("""COMPUTED_VALUE"""),"Passed")</f>
        <v>Passed</v>
      </c>
      <c r="J112" s="4" t="str">
        <f>IFERROR(__xludf.DUMMYFUNCTION("""COMPUTED_VALUE"""),"Sent for review")</f>
        <v>Sent for review</v>
      </c>
      <c r="K112" s="4" t="str">
        <f>IFERROR(__xludf.DUMMYFUNCTION("""COMPUTED_VALUE"""),"")</f>
        <v/>
      </c>
    </row>
    <row r="113">
      <c r="A113" s="382">
        <f>IFERROR(__xludf.DUMMYFUNCTION("""COMPUTED_VALUE"""),43973.238692)</f>
        <v>43973.23869</v>
      </c>
      <c r="B113" s="4" t="str">
        <f>IFERROR(__xludf.DUMMYFUNCTION("""COMPUTED_VALUE"""),"Mnemonic AI")</f>
        <v>Mnemonic AI</v>
      </c>
      <c r="C113" s="4" t="str">
        <f>IFERROR(__xludf.DUMMYFUNCTION("""COMPUTED_VALUE"""),"KV8S-1")</f>
        <v>KV8S-1</v>
      </c>
      <c r="D113" s="4" t="str">
        <f>IFERROR(__xludf.DUMMYFUNCTION("""COMPUTED_VALUE"""),"Phil")</f>
        <v>Phil</v>
      </c>
      <c r="E113" s="4" t="str">
        <f>IFERROR(__xludf.DUMMYFUNCTION("""COMPUTED_VALUE"""),"Wennker")</f>
        <v>Wennker</v>
      </c>
      <c r="F113" s="4" t="str">
        <f>IFERROR(__xludf.DUMMYFUNCTION("""COMPUTED_VALUE"""),"Mnemonic reinvents the process of persona creation. With the help of AI, Mnemonic enables companies to create and update fully automated personas, faster, cheaper and more accurate than ever before.")</f>
        <v>Mnemonic reinvents the process of persona creation. With the help of AI, Mnemonic enables companies to create and update fully automated personas, faster, cheaper and more accurate than ever before.</v>
      </c>
      <c r="G113" s="21" t="str">
        <f>IFERROR(__xludf.DUMMYFUNCTION("""COMPUTED_VALUE"""),"https://youtu.be/w2ssCGbTjv4")</f>
        <v>https://youtu.be/w2ssCGbTjv4</v>
      </c>
      <c r="H113" s="4" t="str">
        <f>IFERROR(__xludf.DUMMYFUNCTION("""COMPUTED_VALUE"""),"Yes")</f>
        <v>Yes</v>
      </c>
      <c r="I113" s="4" t="str">
        <f>IFERROR(__xludf.DUMMYFUNCTION("""COMPUTED_VALUE"""),"Failed")</f>
        <v>Failed</v>
      </c>
      <c r="J113" s="4" t="str">
        <f>IFERROR(__xludf.DUMMYFUNCTION("""COMPUTED_VALUE"""),"")</f>
        <v/>
      </c>
      <c r="K113" s="4" t="str">
        <f>IFERROR(__xludf.DUMMYFUNCTION("""COMPUTED_VALUE"""),"")</f>
        <v/>
      </c>
    </row>
    <row r="114">
      <c r="A114" s="382">
        <f>IFERROR(__xludf.DUMMYFUNCTION("""COMPUTED_VALUE"""),43973.341042)</f>
        <v>43973.34104</v>
      </c>
      <c r="B114" s="4" t="str">
        <f>IFERROR(__xludf.DUMMYFUNCTION("""COMPUTED_VALUE"""),"PictureYourTravel")</f>
        <v>PictureYourTravel</v>
      </c>
      <c r="C114" s="4" t="str">
        <f>IFERROR(__xludf.DUMMYFUNCTION("""COMPUTED_VALUE"""),"GKCM")</f>
        <v>GKCM</v>
      </c>
      <c r="D114" s="4" t="str">
        <f>IFERROR(__xludf.DUMMYFUNCTION("""COMPUTED_VALUE"""),"Nitin")</f>
        <v>Nitin</v>
      </c>
      <c r="E114" s="4" t="str">
        <f>IFERROR(__xludf.DUMMYFUNCTION("""COMPUTED_VALUE"""),"Trehan")</f>
        <v>Trehan</v>
      </c>
      <c r="F114" s="4" t="str">
        <f>IFERROR(__xludf.DUMMYFUNCTION("""COMPUTED_VALUE"""),"A Social Travel Ecosystem based on the principle of ‘Trust’, Travelers, Influencers &amp; Businesses come together to help users ‘Conveniently’ seek travel inspiration, plan &amp; book their journey &amp; share their travel experiences, from the comfort of their mobi"&amp;"le devices.")</f>
        <v>A Social Travel Ecosystem based on the principle of ‘Trust’, Travelers, Influencers &amp; Businesses come together to help users ‘Conveniently’ seek travel inspiration, plan &amp; book their journey &amp; share their travel experiences, from the comfort of their mobile devices.</v>
      </c>
      <c r="G114" s="21" t="str">
        <f>IFERROR(__xludf.DUMMYFUNCTION("""COMPUTED_VALUE"""),"https://drive.google.com/file/d/1q0eRHLs4mPfyEyuifmMYS1qvHcpqSO8D/view?usp=sharing")</f>
        <v>https://drive.google.com/file/d/1q0eRHLs4mPfyEyuifmMYS1qvHcpqSO8D/view?usp=sharing</v>
      </c>
      <c r="H114" s="4" t="str">
        <f>IFERROR(__xludf.DUMMYFUNCTION("""COMPUTED_VALUE"""),"No")</f>
        <v>No</v>
      </c>
      <c r="I114" s="4" t="str">
        <f>IFERROR(__xludf.DUMMYFUNCTION("""COMPUTED_VALUE"""),"")</f>
        <v/>
      </c>
      <c r="J114" s="4" t="str">
        <f>IFERROR(__xludf.DUMMYFUNCTION("""COMPUTED_VALUE"""),"")</f>
        <v/>
      </c>
      <c r="K114" s="4" t="str">
        <f>IFERROR(__xludf.DUMMYFUNCTION("""COMPUTED_VALUE"""),"")</f>
        <v/>
      </c>
    </row>
    <row r="115">
      <c r="A115" s="382">
        <f>IFERROR(__xludf.DUMMYFUNCTION("""COMPUTED_VALUE"""),43973.341331)</f>
        <v>43973.34133</v>
      </c>
      <c r="B115" s="4" t="str">
        <f>IFERROR(__xludf.DUMMYFUNCTION("""COMPUTED_VALUE"""),"Forecast")</f>
        <v>Forecast</v>
      </c>
      <c r="C115" s="4" t="str">
        <f>IFERROR(__xludf.DUMMYFUNCTION("""COMPUTED_VALUE"""),"CWUV")</f>
        <v>CWUV</v>
      </c>
      <c r="D115" s="4" t="str">
        <f>IFERROR(__xludf.DUMMYFUNCTION("""COMPUTED_VALUE"""),"Dave")</f>
        <v>Dave</v>
      </c>
      <c r="E115" s="4" t="str">
        <f>IFERROR(__xludf.DUMMYFUNCTION("""COMPUTED_VALUE"""),"Schneider")</f>
        <v>Schneider</v>
      </c>
      <c r="F115" s="4" t="str">
        <f>IFERROR(__xludf.DUMMYFUNCTION("""COMPUTED_VALUE"""),"Forecast gives project-based companies intelligent automation so you can predict the future, operate at maximum efficiency, and ensure sustainable finances.   Our AI-powered platform streamlines everything from quote to invoice, and can reduce administrat"&amp;"ive costs up to 50% over your current toolstack.")</f>
        <v>Forecast gives project-based companies intelligent automation so you can predict the future, operate at maximum efficiency, and ensure sustainable finances.   Our AI-powered platform streamlines everything from quote to invoice, and can reduce administrative costs up to 50% over your current toolstack.</v>
      </c>
      <c r="G115" s="21" t="str">
        <f>IFERROR(__xludf.DUMMYFUNCTION("""COMPUTED_VALUE"""),"https://drive.google.com/file/d/1V7K1nkHhA4J2BuwXURvyoqjHEeMmsVGt/view?usp=sharing")</f>
        <v>https://drive.google.com/file/d/1V7K1nkHhA4J2BuwXURvyoqjHEeMmsVGt/view?usp=sharing</v>
      </c>
      <c r="H115" s="4" t="str">
        <f>IFERROR(__xludf.DUMMYFUNCTION("""COMPUTED_VALUE"""),"Yes")</f>
        <v>Yes</v>
      </c>
      <c r="I115" s="4" t="str">
        <f>IFERROR(__xludf.DUMMYFUNCTION("""COMPUTED_VALUE"""),"Passed")</f>
        <v>Passed</v>
      </c>
      <c r="J115" s="4" t="str">
        <f>IFERROR(__xludf.DUMMYFUNCTION("""COMPUTED_VALUE"""),"Sent for review")</f>
        <v>Sent for review</v>
      </c>
      <c r="K115" s="4" t="str">
        <f>IFERROR(__xludf.DUMMYFUNCTION("""COMPUTED_VALUE"""),"")</f>
        <v/>
      </c>
    </row>
    <row r="116">
      <c r="A116" s="382">
        <f>IFERROR(__xludf.DUMMYFUNCTION("""COMPUTED_VALUE"""),43973.357049)</f>
        <v>43973.35705</v>
      </c>
      <c r="B116" s="4" t="str">
        <f>IFERROR(__xludf.DUMMYFUNCTION("""COMPUTED_VALUE"""),"Chatspace")</f>
        <v>Chatspace</v>
      </c>
      <c r="C116" s="4" t="str">
        <f>IFERROR(__xludf.DUMMYFUNCTION("""COMPUTED_VALUE"""),"PDET-1")</f>
        <v>PDET-1</v>
      </c>
      <c r="D116" s="4" t="str">
        <f>IFERROR(__xludf.DUMMYFUNCTION("""COMPUTED_VALUE"""),"John")</f>
        <v>John</v>
      </c>
      <c r="E116" s="4" t="str">
        <f>IFERROR(__xludf.DUMMYFUNCTION("""COMPUTED_VALUE"""),"Clancy")</f>
        <v>Clancy</v>
      </c>
      <c r="F116" s="4" t="str">
        <f>IFERROR(__xludf.DUMMYFUNCTION("""COMPUTED_VALUE"""),"We are building the world’s most experienced Virtual Project Manager. An AI that will empower enterprise leaders to focus on growth instead of micro-mgmt.")</f>
        <v>We are building the world’s most experienced Virtual Project Manager. An AI that will empower enterprise leaders to focus on growth instead of micro-mgmt.</v>
      </c>
      <c r="G116" s="21" t="str">
        <f>IFERROR(__xludf.DUMMYFUNCTION("""COMPUTED_VALUE"""),"https://drive.google.com/open?id=1GA9-xH7Rt4uLVVsvpPmbqmSmqbHDQ8TG")</f>
        <v>https://drive.google.com/open?id=1GA9-xH7Rt4uLVVsvpPmbqmSmqbHDQ8TG</v>
      </c>
      <c r="H116" s="4" t="str">
        <f>IFERROR(__xludf.DUMMYFUNCTION("""COMPUTED_VALUE"""),"Yes")</f>
        <v>Yes</v>
      </c>
      <c r="I116" s="4" t="str">
        <f>IFERROR(__xludf.DUMMYFUNCTION("""COMPUTED_VALUE"""),"Passed")</f>
        <v>Passed</v>
      </c>
      <c r="J116" s="4" t="str">
        <f>IFERROR(__xludf.DUMMYFUNCTION("""COMPUTED_VALUE"""),"Sent for review")</f>
        <v>Sent for review</v>
      </c>
      <c r="K116" s="4" t="str">
        <f>IFERROR(__xludf.DUMMYFUNCTION("""COMPUTED_VALUE"""),"")</f>
        <v/>
      </c>
    </row>
    <row r="117">
      <c r="A117" s="382">
        <f>IFERROR(__xludf.DUMMYFUNCTION("""COMPUTED_VALUE"""),43973.370648)</f>
        <v>43973.37065</v>
      </c>
      <c r="B117" s="4" t="str">
        <f>IFERROR(__xludf.DUMMYFUNCTION("""COMPUTED_VALUE"""),"Betmarkets")</f>
        <v>Betmarkets</v>
      </c>
      <c r="C117" s="4" t="str">
        <f>IFERROR(__xludf.DUMMYFUNCTION("""COMPUTED_VALUE"""),"6ZIY-2")</f>
        <v>6ZIY-2</v>
      </c>
      <c r="D117" s="4" t="str">
        <f>IFERROR(__xludf.DUMMYFUNCTION("""COMPUTED_VALUE"""),"André")</f>
        <v>André</v>
      </c>
      <c r="E117" s="4" t="str">
        <f>IFERROR(__xludf.DUMMYFUNCTION("""COMPUTED_VALUE"""),"Flórido")</f>
        <v>Flórido</v>
      </c>
      <c r="F117" s="4" t="str">
        <f>IFERROR(__xludf.DUMMYFUNCTION("""COMPUTED_VALUE"""),"Betmarkets is the eToro for sports betting. Our web platform allows anyone to automatically copy professional bettors.")</f>
        <v>Betmarkets is the eToro for sports betting. Our web platform allows anyone to automatically copy professional bettors.</v>
      </c>
      <c r="G117" s="21" t="str">
        <f>IFERROR(__xludf.DUMMYFUNCTION("""COMPUTED_VALUE"""),"https://drive.google.com/open?id=18GezW06BK9irWYCOfVGuMwiiB6von90i")</f>
        <v>https://drive.google.com/open?id=18GezW06BK9irWYCOfVGuMwiiB6von90i</v>
      </c>
      <c r="H117" s="4" t="str">
        <f>IFERROR(__xludf.DUMMYFUNCTION("""COMPUTED_VALUE"""),"Yes")</f>
        <v>Yes</v>
      </c>
      <c r="I117" s="4" t="str">
        <f>IFERROR(__xludf.DUMMYFUNCTION("""COMPUTED_VALUE"""),"Passed")</f>
        <v>Passed</v>
      </c>
      <c r="J117" s="4" t="str">
        <f>IFERROR(__xludf.DUMMYFUNCTION("""COMPUTED_VALUE"""),"Sent for review")</f>
        <v>Sent for review</v>
      </c>
      <c r="K117" s="4" t="str">
        <f>IFERROR(__xludf.DUMMYFUNCTION("""COMPUTED_VALUE"""),"")</f>
        <v/>
      </c>
    </row>
    <row r="118">
      <c r="A118" s="382">
        <f>IFERROR(__xludf.DUMMYFUNCTION("""COMPUTED_VALUE"""),43973.38647)</f>
        <v>43973.38647</v>
      </c>
      <c r="B118" s="4" t="str">
        <f>IFERROR(__xludf.DUMMYFUNCTION("""COMPUTED_VALUE"""),"Aindo")</f>
        <v>Aindo</v>
      </c>
      <c r="C118" s="4" t="str">
        <f>IFERROR(__xludf.DUMMYFUNCTION("""COMPUTED_VALUE"""),"FFK4")</f>
        <v>FFK4</v>
      </c>
      <c r="D118" s="4" t="str">
        <f>IFERROR(__xludf.DUMMYFUNCTION("""COMPUTED_VALUE"""),"Daniele")</f>
        <v>Daniele</v>
      </c>
      <c r="E118" s="4" t="str">
        <f>IFERROR(__xludf.DUMMYFUNCTION("""COMPUTED_VALUE"""),"Panfilo")</f>
        <v>Panfilo</v>
      </c>
      <c r="F118" s="4" t="str">
        <f>IFERROR(__xludf.DUMMYFUNCTION("""COMPUTED_VALUE"""),"Aindo is an AI startup of the International School for Advanced Studies SISSA. Our core product is synthetic data - data generated artificially using machine learning techniques. Such data retains the statistical properties of the real data and can be saf"&amp;"ely used for analytics and innovation without compromising customers privacy.")</f>
        <v>Aindo is an AI startup of the International School for Advanced Studies SISSA. Our core product is synthetic data - data generated artificially using machine learning techniques. Such data retains the statistical properties of the real data and can be safely used for analytics and innovation without compromising customers privacy.</v>
      </c>
      <c r="G118" s="21" t="str">
        <f>IFERROR(__xludf.DUMMYFUNCTION("""COMPUTED_VALUE"""),"https://drive.google.com/open?id=1g3sAFNGd2D2rOXm-TcHMg5TAmoJg8toF")</f>
        <v>https://drive.google.com/open?id=1g3sAFNGd2D2rOXm-TcHMg5TAmoJg8toF</v>
      </c>
      <c r="H118" s="4" t="str">
        <f>IFERROR(__xludf.DUMMYFUNCTION("""COMPUTED_VALUE"""),"No")</f>
        <v>No</v>
      </c>
      <c r="I118" s="4" t="str">
        <f>IFERROR(__xludf.DUMMYFUNCTION("""COMPUTED_VALUE"""),"")</f>
        <v/>
      </c>
      <c r="J118" s="4" t="str">
        <f>IFERROR(__xludf.DUMMYFUNCTION("""COMPUTED_VALUE"""),"")</f>
        <v/>
      </c>
      <c r="K118" s="4" t="str">
        <f>IFERROR(__xludf.DUMMYFUNCTION("""COMPUTED_VALUE"""),"")</f>
        <v/>
      </c>
    </row>
    <row r="119">
      <c r="A119" s="382">
        <f>IFERROR(__xludf.DUMMYFUNCTION("""COMPUTED_VALUE"""),43973.428796)</f>
        <v>43973.4288</v>
      </c>
      <c r="B119" s="21" t="str">
        <f>IFERROR(__xludf.DUMMYFUNCTION("""COMPUTED_VALUE"""),"VEED.IO")</f>
        <v>VEED.IO</v>
      </c>
      <c r="C119" s="4" t="str">
        <f>IFERROR(__xludf.DUMMYFUNCTION("""COMPUTED_VALUE"""),"WNDH-1")</f>
        <v>WNDH-1</v>
      </c>
      <c r="D119" s="4" t="str">
        <f>IFERROR(__xludf.DUMMYFUNCTION("""COMPUTED_VALUE"""),"Sabba")</f>
        <v>Sabba</v>
      </c>
      <c r="E119" s="4" t="str">
        <f>IFERROR(__xludf.DUMMYFUNCTION("""COMPUTED_VALUE"""),"Keynejad")</f>
        <v>Keynejad</v>
      </c>
      <c r="F119" s="4" t="str">
        <f>IFERROR(__xludf.DUMMYFUNCTION("""COMPUTED_VALUE"""),"VEED.IO is an online video editing platform for marketers. You can think of it like canva for video. We are a bootstrapped company and in 11 months we have acquired over 4,000 paid users and our ARR  just supposed $1M")</f>
        <v>VEED.IO is an online video editing platform for marketers. You can think of it like canva for video. We are a bootstrapped company and in 11 months we have acquired over 4,000 paid users and our ARR  just supposed $1M</v>
      </c>
      <c r="G119" s="21" t="str">
        <f>IFERROR(__xludf.DUMMYFUNCTION("""COMPUTED_VALUE"""),"https://drive.google.com/file/d/1LPDh21gfjWPigw4iiBrNUA51bytKDWxk/view?usp=sharing")</f>
        <v>https://drive.google.com/file/d/1LPDh21gfjWPigw4iiBrNUA51bytKDWxk/view?usp=sharing</v>
      </c>
      <c r="H119" s="4" t="str">
        <f>IFERROR(__xludf.DUMMYFUNCTION("""COMPUTED_VALUE"""),"Yes")</f>
        <v>Yes</v>
      </c>
      <c r="I119" s="4" t="str">
        <f>IFERROR(__xludf.DUMMYFUNCTION("""COMPUTED_VALUE"""),"")</f>
        <v/>
      </c>
      <c r="J119" s="4" t="str">
        <f>IFERROR(__xludf.DUMMYFUNCTION("""COMPUTED_VALUE"""),"")</f>
        <v/>
      </c>
      <c r="K119" s="4" t="str">
        <f>IFERROR(__xludf.DUMMYFUNCTION("""COMPUTED_VALUE"""),"")</f>
        <v/>
      </c>
    </row>
    <row r="120">
      <c r="A120" s="382">
        <f>IFERROR(__xludf.DUMMYFUNCTION("""COMPUTED_VALUE"""),43973.43434)</f>
        <v>43973.43434</v>
      </c>
      <c r="B120" s="4" t="str">
        <f>IFERROR(__xludf.DUMMYFUNCTION("""COMPUTED_VALUE"""),"Convexa Inc")</f>
        <v>Convexa Inc</v>
      </c>
      <c r="C120" s="4" t="str">
        <f>IFERROR(__xludf.DUMMYFUNCTION("""COMPUTED_VALUE"""),"4WI7-1")</f>
        <v>4WI7-1</v>
      </c>
      <c r="D120" s="4" t="str">
        <f>IFERROR(__xludf.DUMMYFUNCTION("""COMPUTED_VALUE"""),"Noel")</f>
        <v>Noel</v>
      </c>
      <c r="E120" s="4" t="str">
        <f>IFERROR(__xludf.DUMMYFUNCTION("""COMPUTED_VALUE"""),"Gomez")</f>
        <v>Gomez</v>
      </c>
      <c r="F120" s="4" t="str">
        <f>IFERROR(__xludf.DUMMYFUNCTION("""COMPUTED_VALUE"""),"Convexa is a suite of digital assistants that connect experiences across the patient journey within biopharmaceutical companies. It integrates touch points with patients, Healthcare Professionals, Medical, Sales, Marketing, and Reimbursement teams so that"&amp;" they align towards the goal of improving patient's lives.")</f>
        <v>Convexa is a suite of digital assistants that connect experiences across the patient journey within biopharmaceutical companies. It integrates touch points with patients, Healthcare Professionals, Medical, Sales, Marketing, and Reimbursement teams so that they align towards the goal of improving patient's lives.</v>
      </c>
      <c r="G120" s="21" t="str">
        <f>IFERROR(__xludf.DUMMYFUNCTION("""COMPUTED_VALUE"""),"https://drive.google.com/file/d/1FAhQs-9TwOmMSffWhVylIfdZ3ht5OXD-/view?usp=sharing")</f>
        <v>https://drive.google.com/file/d/1FAhQs-9TwOmMSffWhVylIfdZ3ht5OXD-/view?usp=sharing</v>
      </c>
      <c r="H120" s="4" t="str">
        <f>IFERROR(__xludf.DUMMYFUNCTION("""COMPUTED_VALUE"""),"No")</f>
        <v>No</v>
      </c>
      <c r="I120" s="4" t="str">
        <f>IFERROR(__xludf.DUMMYFUNCTION("""COMPUTED_VALUE"""),"")</f>
        <v/>
      </c>
      <c r="J120" s="4" t="str">
        <f>IFERROR(__xludf.DUMMYFUNCTION("""COMPUTED_VALUE"""),"")</f>
        <v/>
      </c>
      <c r="K120" s="4" t="str">
        <f>IFERROR(__xludf.DUMMYFUNCTION("""COMPUTED_VALUE"""),"")</f>
        <v/>
      </c>
    </row>
    <row r="121">
      <c r="A121" s="382">
        <f>IFERROR(__xludf.DUMMYFUNCTION("""COMPUTED_VALUE"""),43973.441238)</f>
        <v>43973.44124</v>
      </c>
      <c r="B121" s="4" t="str">
        <f>IFERROR(__xludf.DUMMYFUNCTION("""COMPUTED_VALUE"""),"Si &amp; Oui")</f>
        <v>Si &amp; Oui</v>
      </c>
      <c r="C121" s="4" t="str">
        <f>IFERROR(__xludf.DUMMYFUNCTION("""COMPUTED_VALUE"""),"CSGL-1")</f>
        <v>CSGL-1</v>
      </c>
      <c r="D121" s="4" t="str">
        <f>IFERROR(__xludf.DUMMYFUNCTION("""COMPUTED_VALUE"""),"Vanessa")</f>
        <v>Vanessa</v>
      </c>
      <c r="E121" s="4" t="str">
        <f>IFERROR(__xludf.DUMMYFUNCTION("""COMPUTED_VALUE"""),"Galle")</f>
        <v>Galle</v>
      </c>
      <c r="F121" s="4" t="str">
        <f>IFERROR(__xludf.DUMMYFUNCTION("""COMPUTED_VALUE"""),"At Si &amp; Oui, we are dedicated to creating unforgettable designs at an exceptional price.")</f>
        <v>At Si &amp; Oui, we are dedicated to creating unforgettable designs at an exceptional price.</v>
      </c>
      <c r="G121" s="21" t="str">
        <f>IFERROR(__xludf.DUMMYFUNCTION("""COMPUTED_VALUE"""),"https://drive.google.com/file/d/1mpGMCEXb4tN1taOZ2wWQx6Jlw7TPmitS/view?usp=sharing")</f>
        <v>https://drive.google.com/file/d/1mpGMCEXb4tN1taOZ2wWQx6Jlw7TPmitS/view?usp=sharing</v>
      </c>
      <c r="H121" s="4" t="str">
        <f>IFERROR(__xludf.DUMMYFUNCTION("""COMPUTED_VALUE"""),"Yes")</f>
        <v>Yes</v>
      </c>
      <c r="I121" s="4" t="str">
        <f>IFERROR(__xludf.DUMMYFUNCTION("""COMPUTED_VALUE"""),"Passed")</f>
        <v>Passed</v>
      </c>
      <c r="J121" s="4" t="str">
        <f>IFERROR(__xludf.DUMMYFUNCTION("""COMPUTED_VALUE"""),"Sent for review")</f>
        <v>Sent for review</v>
      </c>
      <c r="K121" s="4" t="str">
        <f>IFERROR(__xludf.DUMMYFUNCTION("""COMPUTED_VALUE"""),"")</f>
        <v/>
      </c>
    </row>
    <row r="122">
      <c r="A122" s="382">
        <f>IFERROR(__xludf.DUMMYFUNCTION("""COMPUTED_VALUE"""),43973.447477)</f>
        <v>43973.44748</v>
      </c>
      <c r="B122" s="4" t="str">
        <f>IFERROR(__xludf.DUMMYFUNCTION("""COMPUTED_VALUE"""),"EVA")</f>
        <v>EVA</v>
      </c>
      <c r="C122" s="4" t="str">
        <f>IFERROR(__xludf.DUMMYFUNCTION("""COMPUTED_VALUE"""),"PAIH-1")</f>
        <v>PAIH-1</v>
      </c>
      <c r="D122" s="4" t="str">
        <f>IFERROR(__xludf.DUMMYFUNCTION("""COMPUTED_VALUE"""),"Olivier")</f>
        <v>Olivier</v>
      </c>
      <c r="E122" s="4" t="str">
        <f>IFERROR(__xludf.DUMMYFUNCTION("""COMPUTED_VALUE"""),"Le Lann")</f>
        <v>Le Lann</v>
      </c>
      <c r="F122" s="4" t="str">
        <f>IFERROR(__xludf.DUMMYFUNCTION("""COMPUTED_VALUE"""),"Eva builds high throughput drone docking stations for healthcare logistics, disaster relief and critical logistics. We have developed the world’s largest drone-charging-station, which enables high-endurance and secure drone service applications all across"&amp;" the globe.")</f>
        <v>Eva builds high throughput drone docking stations for healthcare logistics, disaster relief and critical logistics. We have developed the world’s largest drone-charging-station, which enables high-endurance and secure drone service applications all across the globe.</v>
      </c>
      <c r="G122" s="21" t="str">
        <f>IFERROR(__xludf.DUMMYFUNCTION("""COMPUTED_VALUE"""),"https://vimeo.com/user101088587/review/421561193/d7a572bf20")</f>
        <v>https://vimeo.com/user101088587/review/421561193/d7a572bf20</v>
      </c>
      <c r="H122" s="4" t="str">
        <f>IFERROR(__xludf.DUMMYFUNCTION("""COMPUTED_VALUE"""),"Yes")</f>
        <v>Yes</v>
      </c>
      <c r="I122" s="4" t="str">
        <f>IFERROR(__xludf.DUMMYFUNCTION("""COMPUTED_VALUE"""),"Failed")</f>
        <v>Failed</v>
      </c>
      <c r="J122" s="4" t="str">
        <f>IFERROR(__xludf.DUMMYFUNCTION("""COMPUTED_VALUE"""),"")</f>
        <v/>
      </c>
      <c r="K122" s="4" t="str">
        <f>IFERROR(__xludf.DUMMYFUNCTION("""COMPUTED_VALUE"""),"")</f>
        <v/>
      </c>
    </row>
    <row r="123">
      <c r="A123" s="382">
        <f>IFERROR(__xludf.DUMMYFUNCTION("""COMPUTED_VALUE"""),43973.453912)</f>
        <v>43973.45391</v>
      </c>
      <c r="B123" s="4" t="str">
        <f>IFERROR(__xludf.DUMMYFUNCTION("""COMPUTED_VALUE"""),"Origami Labs")</f>
        <v>Origami Labs</v>
      </c>
      <c r="C123" s="4" t="str">
        <f>IFERROR(__xludf.DUMMYFUNCTION("""COMPUTED_VALUE"""),"RJRC-2")</f>
        <v>RJRC-2</v>
      </c>
      <c r="D123" s="4" t="str">
        <f>IFERROR(__xludf.DUMMYFUNCTION("""COMPUTED_VALUE"""),"Emile")</f>
        <v>Emile</v>
      </c>
      <c r="E123" s="4" t="str">
        <f>IFERROR(__xludf.DUMMYFUNCTION("""COMPUTED_VALUE"""),"Chan")</f>
        <v>Chan</v>
      </c>
      <c r="F123" s="4" t="str">
        <f>IFERROR(__xludf.DUMMYFUNCTION("""COMPUTED_VALUE"""),"OFLO is an enterprise team communication solution that empowers frontline staff with the one-click computing, productivity and engagement.")</f>
        <v>OFLO is an enterprise team communication solution that empowers frontline staff with the one-click computing, productivity and engagement.</v>
      </c>
      <c r="G123" s="21" t="str">
        <f>IFERROR(__xludf.DUMMYFUNCTION("""COMPUTED_VALUE"""),"https://drive.google.com/file/d/1FlwSeotLyScpAW9zIkdIIw_6OpWZaIow/view?usp=sharing")</f>
        <v>https://drive.google.com/file/d/1FlwSeotLyScpAW9zIkdIIw_6OpWZaIow/view?usp=sharing</v>
      </c>
      <c r="H123" s="4" t="str">
        <f>IFERROR(__xludf.DUMMYFUNCTION("""COMPUTED_VALUE"""),"Yes")</f>
        <v>Yes</v>
      </c>
      <c r="I123" s="4" t="str">
        <f>IFERROR(__xludf.DUMMYFUNCTION("""COMPUTED_VALUE"""),"Passed")</f>
        <v>Passed</v>
      </c>
      <c r="J123" s="4" t="str">
        <f>IFERROR(__xludf.DUMMYFUNCTION("""COMPUTED_VALUE"""),"Sent for review")</f>
        <v>Sent for review</v>
      </c>
      <c r="K123" s="4" t="str">
        <f>IFERROR(__xludf.DUMMYFUNCTION("""COMPUTED_VALUE"""),"")</f>
        <v/>
      </c>
    </row>
    <row r="124">
      <c r="A124" s="382">
        <f>IFERROR(__xludf.DUMMYFUNCTION("""COMPUTED_VALUE"""),43973.456794)</f>
        <v>43973.45679</v>
      </c>
      <c r="B124" s="4" t="str">
        <f>IFERROR(__xludf.DUMMYFUNCTION("""COMPUTED_VALUE"""),"Hood Community")</f>
        <v>Hood Community</v>
      </c>
      <c r="C124" s="4" t="str">
        <f>IFERROR(__xludf.DUMMYFUNCTION("""COMPUTED_VALUE"""),"IAWK-1")</f>
        <v>IAWK-1</v>
      </c>
      <c r="D124" s="4" t="str">
        <f>IFERROR(__xludf.DUMMYFUNCTION("""COMPUTED_VALUE"""),"Bruno")</f>
        <v>Bruno</v>
      </c>
      <c r="E124" s="4" t="str">
        <f>IFERROR(__xludf.DUMMYFUNCTION("""COMPUTED_VALUE"""),"Nunes")</f>
        <v>Nunes</v>
      </c>
      <c r="F124" s="4" t="str">
        <f>IFERROR(__xludf.DUMMYFUNCTION("""COMPUTED_VALUE"""),"Imagine a platform where you can see around in a map, and request services and professionals in the comfort of your own home, neighborhood, with fair trade, with a smaller carbon footprint, or even without money?")</f>
        <v>Imagine a platform where you can see around in a map, and request services and professionals in the comfort of your own home, neighborhood, with fair trade, with a smaller carbon footprint, or even without money?</v>
      </c>
      <c r="G124" s="4" t="str">
        <f>IFERROR(__xludf.DUMMYFUNCTION("""COMPUTED_VALUE"""),"")</f>
        <v/>
      </c>
      <c r="H124" s="4" t="str">
        <f>IFERROR(__xludf.DUMMYFUNCTION("""COMPUTED_VALUE"""),"No")</f>
        <v>No</v>
      </c>
      <c r="I124" s="4" t="str">
        <f>IFERROR(__xludf.DUMMYFUNCTION("""COMPUTED_VALUE"""),"")</f>
        <v/>
      </c>
      <c r="J124" s="4" t="str">
        <f>IFERROR(__xludf.DUMMYFUNCTION("""COMPUTED_VALUE"""),"")</f>
        <v/>
      </c>
      <c r="K124" s="4" t="str">
        <f>IFERROR(__xludf.DUMMYFUNCTION("""COMPUTED_VALUE"""),"")</f>
        <v/>
      </c>
    </row>
    <row r="125">
      <c r="A125" s="382">
        <f>IFERROR(__xludf.DUMMYFUNCTION("""COMPUTED_VALUE"""),43973.458102)</f>
        <v>43973.4581</v>
      </c>
      <c r="B125" s="4" t="str">
        <f>IFERROR(__xludf.DUMMYFUNCTION("""COMPUTED_VALUE"""),"EventPlace")</f>
        <v>EventPlace</v>
      </c>
      <c r="C125" s="4" t="str">
        <f>IFERROR(__xludf.DUMMYFUNCTION("""COMPUTED_VALUE"""),"VMLW-1")</f>
        <v>VMLW-1</v>
      </c>
      <c r="D125" s="4" t="str">
        <f>IFERROR(__xludf.DUMMYFUNCTION("""COMPUTED_VALUE"""),"Tal")</f>
        <v>Tal</v>
      </c>
      <c r="E125" s="4" t="str">
        <f>IFERROR(__xludf.DUMMYFUNCTION("""COMPUTED_VALUE"""),"Mor")</f>
        <v>Mor</v>
      </c>
      <c r="F125" s="4" t="str">
        <f>IFERROR(__xludf.DUMMYFUNCTION("""COMPUTED_VALUE"""),"Online Event Platform. Disrupting the event industry with a self-service platform for communities to spread content &amp; connect their audience")</f>
        <v>Online Event Platform. Disrupting the event industry with a self-service platform for communities to spread content &amp; connect their audience</v>
      </c>
      <c r="G125" s="21" t="str">
        <f>IFERROR(__xludf.DUMMYFUNCTION("""COMPUTED_VALUE"""),"https://drive.google.com/file/d/1eKU7U8MPZecETzbXnctgJtUhXVS-WkDc/view?usp=sharing")</f>
        <v>https://drive.google.com/file/d/1eKU7U8MPZecETzbXnctgJtUhXVS-WkDc/view?usp=sharing</v>
      </c>
      <c r="H125" s="4" t="str">
        <f>IFERROR(__xludf.DUMMYFUNCTION("""COMPUTED_VALUE"""),"Yes")</f>
        <v>Yes</v>
      </c>
      <c r="I125" s="4" t="str">
        <f>IFERROR(__xludf.DUMMYFUNCTION("""COMPUTED_VALUE"""),"Passed")</f>
        <v>Passed</v>
      </c>
      <c r="J125" s="4" t="str">
        <f>IFERROR(__xludf.DUMMYFUNCTION("""COMPUTED_VALUE"""),"Sent for review")</f>
        <v>Sent for review</v>
      </c>
      <c r="K125" s="4" t="str">
        <f>IFERROR(__xludf.DUMMYFUNCTION("""COMPUTED_VALUE"""),"")</f>
        <v/>
      </c>
    </row>
    <row r="126">
      <c r="A126" s="382">
        <f>IFERROR(__xludf.DUMMYFUNCTION("""COMPUTED_VALUE"""),43973.473102)</f>
        <v>43973.4731</v>
      </c>
      <c r="B126" s="4" t="str">
        <f>IFERROR(__xludf.DUMMYFUNCTION("""COMPUTED_VALUE"""),"MARKAZZY")</f>
        <v>MARKAZZY</v>
      </c>
      <c r="C126" s="4" t="str">
        <f>IFERROR(__xludf.DUMMYFUNCTION("""COMPUTED_VALUE"""),"BBXL")</f>
        <v>BBXL</v>
      </c>
      <c r="D126" s="4" t="str">
        <f>IFERROR(__xludf.DUMMYFUNCTION("""COMPUTED_VALUE"""),"Amir")</f>
        <v>Amir</v>
      </c>
      <c r="E126" s="4" t="str">
        <f>IFERROR(__xludf.DUMMYFUNCTION("""COMPUTED_VALUE"""),"Rahman")</f>
        <v>Rahman</v>
      </c>
      <c r="F126" s="4" t="str">
        <f>IFERROR(__xludf.DUMMYFUNCTION("""COMPUTED_VALUE"""),"Markazzy is the first digital platform in the middle east and Africa that focuses on helping professionals as well as homeowners in the construction industry find, choose and use building materials and DIY products")</f>
        <v>Markazzy is the first digital platform in the middle east and Africa that focuses on helping professionals as well as homeowners in the construction industry find, choose and use building materials and DIY products</v>
      </c>
      <c r="G126" s="21" t="str">
        <f>IFERROR(__xludf.DUMMYFUNCTION("""COMPUTED_VALUE"""),"https://drive.google.com/file/d/1TIC2sfIOHRxyqJrHAfQdR4qD1ce19YMo/view?usp=sharing")</f>
        <v>https://drive.google.com/file/d/1TIC2sfIOHRxyqJrHAfQdR4qD1ce19YMo/view?usp=sharing</v>
      </c>
      <c r="H126" s="4" t="str">
        <f>IFERROR(__xludf.DUMMYFUNCTION("""COMPUTED_VALUE"""),"No")</f>
        <v>No</v>
      </c>
      <c r="I126" s="4" t="str">
        <f>IFERROR(__xludf.DUMMYFUNCTION("""COMPUTED_VALUE"""),"")</f>
        <v/>
      </c>
      <c r="J126" s="4" t="str">
        <f>IFERROR(__xludf.DUMMYFUNCTION("""COMPUTED_VALUE"""),"")</f>
        <v/>
      </c>
      <c r="K126" s="4" t="str">
        <f>IFERROR(__xludf.DUMMYFUNCTION("""COMPUTED_VALUE"""),"")</f>
        <v/>
      </c>
    </row>
    <row r="127">
      <c r="A127" s="382">
        <f>IFERROR(__xludf.DUMMYFUNCTION("""COMPUTED_VALUE"""),43973.476146)</f>
        <v>43973.47615</v>
      </c>
      <c r="B127" s="4" t="str">
        <f>IFERROR(__xludf.DUMMYFUNCTION("""COMPUTED_VALUE"""),"HEXANIKA")</f>
        <v>HEXANIKA</v>
      </c>
      <c r="C127" s="4" t="str">
        <f>IFERROR(__xludf.DUMMYFUNCTION("""COMPUTED_VALUE"""),"HNCD")</f>
        <v>HNCD</v>
      </c>
      <c r="D127" s="4" t="str">
        <f>IFERROR(__xludf.DUMMYFUNCTION("""COMPUTED_VALUE"""),"Yogesh")</f>
        <v>Yogesh</v>
      </c>
      <c r="E127" s="4" t="str">
        <f>IFERROR(__xludf.DUMMYFUNCTION("""COMPUTED_VALUE"""),"Pandit")</f>
        <v>Pandit</v>
      </c>
      <c r="F127" s="4" t="str">
        <f>IFERROR(__xludf.DUMMYFUNCTION("""COMPUTED_VALUE"""),"Hexanika is the first to solve for the complexities associated with data management and regulatory reporting in a single solution, saving our customers more than 40% in expense and time.")</f>
        <v>Hexanika is the first to solve for the complexities associated with data management and regulatory reporting in a single solution, saving our customers more than 40% in expense and time.</v>
      </c>
      <c r="G127" s="21" t="str">
        <f>IFERROR(__xludf.DUMMYFUNCTION("""COMPUTED_VALUE"""),"https://drive.google.com/open?id=199aJtIceVJlndlYJX7NVm493WGB9iC7C")</f>
        <v>https://drive.google.com/open?id=199aJtIceVJlndlYJX7NVm493WGB9iC7C</v>
      </c>
      <c r="H127" s="4" t="str">
        <f>IFERROR(__xludf.DUMMYFUNCTION("""COMPUTED_VALUE"""),"No")</f>
        <v>No</v>
      </c>
      <c r="I127" s="4" t="str">
        <f>IFERROR(__xludf.DUMMYFUNCTION("""COMPUTED_VALUE"""),"")</f>
        <v/>
      </c>
      <c r="J127" s="4" t="str">
        <f>IFERROR(__xludf.DUMMYFUNCTION("""COMPUTED_VALUE"""),"")</f>
        <v/>
      </c>
      <c r="K127" s="4" t="str">
        <f>IFERROR(__xludf.DUMMYFUNCTION("""COMPUTED_VALUE"""),"")</f>
        <v/>
      </c>
    </row>
    <row r="128">
      <c r="A128" s="382">
        <f>IFERROR(__xludf.DUMMYFUNCTION("""COMPUTED_VALUE"""),43973.49397)</f>
        <v>43973.49397</v>
      </c>
      <c r="B128" s="4" t="str">
        <f>IFERROR(__xludf.DUMMYFUNCTION("""COMPUTED_VALUE"""),"The Social App")</f>
        <v>The Social App</v>
      </c>
      <c r="C128" s="4" t="str">
        <f>IFERROR(__xludf.DUMMYFUNCTION("""COMPUTED_VALUE"""),"MDU8-1")</f>
        <v>MDU8-1</v>
      </c>
      <c r="D128" s="4" t="str">
        <f>IFERROR(__xludf.DUMMYFUNCTION("""COMPUTED_VALUE"""),"Raakin")</f>
        <v>Raakin</v>
      </c>
      <c r="E128" s="4" t="str">
        <f>IFERROR(__xludf.DUMMYFUNCTION("""COMPUTED_VALUE"""),"Iqbal")</f>
        <v>Iqbal</v>
      </c>
      <c r="F128" s="4" t="str">
        <f>IFERROR(__xludf.DUMMYFUNCTION("""COMPUTED_VALUE"""),"Social is an upcoming communication app that will allow users to talk/text without the internet! Our mission is to connect the 4B globally who lacks connectivity. Social is a consumer, enterprise, and IoT! We run parallel to the internet.")</f>
        <v>Social is an upcoming communication app that will allow users to talk/text without the internet! Our mission is to connect the 4B globally who lacks connectivity. Social is a consumer, enterprise, and IoT! We run parallel to the internet.</v>
      </c>
      <c r="G128" s="21" t="str">
        <f>IFERROR(__xludf.DUMMYFUNCTION("""COMPUTED_VALUE"""),"https://drive.google.com/open?id=1rAF3neLb5IDAOFt8Y2SfXln7LKHJ3os-")</f>
        <v>https://drive.google.com/open?id=1rAF3neLb5IDAOFt8Y2SfXln7LKHJ3os-</v>
      </c>
      <c r="H128" s="4" t="str">
        <f>IFERROR(__xludf.DUMMYFUNCTION("""COMPUTED_VALUE"""),"No")</f>
        <v>No</v>
      </c>
      <c r="I128" s="4" t="str">
        <f>IFERROR(__xludf.DUMMYFUNCTION("""COMPUTED_VALUE"""),"")</f>
        <v/>
      </c>
      <c r="J128" s="4" t="str">
        <f>IFERROR(__xludf.DUMMYFUNCTION("""COMPUTED_VALUE"""),"")</f>
        <v/>
      </c>
      <c r="K128" s="4" t="str">
        <f>IFERROR(__xludf.DUMMYFUNCTION("""COMPUTED_VALUE"""),"")</f>
        <v/>
      </c>
    </row>
    <row r="129">
      <c r="A129" s="382">
        <f>IFERROR(__xludf.DUMMYFUNCTION("""COMPUTED_VALUE"""),43973.495926)</f>
        <v>43973.49593</v>
      </c>
      <c r="B129" s="4" t="str">
        <f>IFERROR(__xludf.DUMMYFUNCTION("""COMPUTED_VALUE"""),"Seabright Healthcare Solutions")</f>
        <v>Seabright Healthcare Solutions</v>
      </c>
      <c r="C129" s="4" t="str">
        <f>IFERROR(__xludf.DUMMYFUNCTION("""COMPUTED_VALUE"""),"9NLB")</f>
        <v>9NLB</v>
      </c>
      <c r="D129" s="4" t="str">
        <f>IFERROR(__xludf.DUMMYFUNCTION("""COMPUTED_VALUE"""),"Paul")</f>
        <v>Paul</v>
      </c>
      <c r="E129" s="4" t="str">
        <f>IFERROR(__xludf.DUMMYFUNCTION("""COMPUTED_VALUE"""),"Hasbrook")</f>
        <v>Hasbrook</v>
      </c>
      <c r="F129" s="4" t="str">
        <f>IFERROR(__xludf.DUMMYFUNCTION("""COMPUTED_VALUE"""),"A technology and consulting firm focused exclusively on automation and cost savings related to bill only implants. Proprietary analytics, algorithms, and a bill only portal eliminate invoices enabling our customers to create cost containment strategies an"&amp;"d reduce a vendor’s influence.")</f>
        <v>A technology and consulting firm focused exclusively on automation and cost savings related to bill only implants. Proprietary analytics, algorithms, and a bill only portal eliminate invoices enabling our customers to create cost containment strategies and reduce a vendor’s influence.</v>
      </c>
      <c r="G129" s="21" t="str">
        <f>IFERROR(__xludf.DUMMYFUNCTION("""COMPUTED_VALUE"""),"https://drive.google.com/file/d/1_4GfhP_8hpVpoQuPuaJzeag_5fTg_R2E/view?usp=sharing")</f>
        <v>https://drive.google.com/file/d/1_4GfhP_8hpVpoQuPuaJzeag_5fTg_R2E/view?usp=sharing</v>
      </c>
      <c r="H129" s="4" t="str">
        <f>IFERROR(__xludf.DUMMYFUNCTION("""COMPUTED_VALUE"""),"No")</f>
        <v>No</v>
      </c>
      <c r="I129" s="4" t="str">
        <f>IFERROR(__xludf.DUMMYFUNCTION("""COMPUTED_VALUE"""),"")</f>
        <v/>
      </c>
      <c r="J129" s="4" t="str">
        <f>IFERROR(__xludf.DUMMYFUNCTION("""COMPUTED_VALUE"""),"")</f>
        <v/>
      </c>
      <c r="K129" s="4" t="str">
        <f>IFERROR(__xludf.DUMMYFUNCTION("""COMPUTED_VALUE"""),"")</f>
        <v/>
      </c>
    </row>
    <row r="130">
      <c r="A130" s="382">
        <f>IFERROR(__xludf.DUMMYFUNCTION("""COMPUTED_VALUE"""),43973.498241)</f>
        <v>43973.49824</v>
      </c>
      <c r="B130" s="4" t="str">
        <f>IFERROR(__xludf.DUMMYFUNCTION("""COMPUTED_VALUE"""),"TechLink Health")</f>
        <v>TechLink Health</v>
      </c>
      <c r="C130" s="4" t="str">
        <f>IFERROR(__xludf.DUMMYFUNCTION("""COMPUTED_VALUE"""),"YKXZ-1")</f>
        <v>YKXZ-1</v>
      </c>
      <c r="D130" s="4" t="str">
        <f>IFERROR(__xludf.DUMMYFUNCTION("""COMPUTED_VALUE"""),"Anthony")</f>
        <v>Anthony</v>
      </c>
      <c r="E130" s="4" t="str">
        <f>IFERROR(__xludf.DUMMYFUNCTION("""COMPUTED_VALUE"""),"Staten")</f>
        <v>Staten</v>
      </c>
      <c r="F130" s="4" t="str">
        <f>IFERROR(__xludf.DUMMYFUNCTION("""COMPUTED_VALUE"""),"TechLink Health is a healthcare advisory app helping to shape the future of health by making practitioners more accessible to patients, peers, and partners for telehealth, teleadvice, and consulting services.")</f>
        <v>TechLink Health is a healthcare advisory app helping to shape the future of health by making practitioners more accessible to patients, peers, and partners for telehealth, teleadvice, and consulting services.</v>
      </c>
      <c r="G130" s="21" t="str">
        <f>IFERROR(__xludf.DUMMYFUNCTION("""COMPUTED_VALUE"""),"https://drive.google.com/file/d/1tb7nYCpwSM7DX38dBfhnZQOzIsrV673r/view?usp=sharing")</f>
        <v>https://drive.google.com/file/d/1tb7nYCpwSM7DX38dBfhnZQOzIsrV673r/view?usp=sharing</v>
      </c>
      <c r="H130" s="4" t="str">
        <f>IFERROR(__xludf.DUMMYFUNCTION("""COMPUTED_VALUE"""),"Yes")</f>
        <v>Yes</v>
      </c>
      <c r="I130" s="4" t="str">
        <f>IFERROR(__xludf.DUMMYFUNCTION("""COMPUTED_VALUE"""),"Passed")</f>
        <v>Passed</v>
      </c>
      <c r="J130" s="4" t="str">
        <f>IFERROR(__xludf.DUMMYFUNCTION("""COMPUTED_VALUE"""),"Sent for review")</f>
        <v>Sent for review</v>
      </c>
      <c r="K130" s="4" t="str">
        <f>IFERROR(__xludf.DUMMYFUNCTION("""COMPUTED_VALUE"""),"")</f>
        <v/>
      </c>
    </row>
    <row r="131">
      <c r="A131" s="382">
        <f>IFERROR(__xludf.DUMMYFUNCTION("""COMPUTED_VALUE"""),43973.499792)</f>
        <v>43973.49979</v>
      </c>
      <c r="B131" s="4" t="str">
        <f>IFERROR(__xludf.DUMMYFUNCTION("""COMPUTED_VALUE"""),"prio")</f>
        <v>prio</v>
      </c>
      <c r="C131" s="4" t="str">
        <f>IFERROR(__xludf.DUMMYFUNCTION("""COMPUTED_VALUE"""),"XCYL-1")</f>
        <v>XCYL-1</v>
      </c>
      <c r="D131" s="4" t="str">
        <f>IFERROR(__xludf.DUMMYFUNCTION("""COMPUTED_VALUE"""),"Naveen")</f>
        <v>Naveen</v>
      </c>
      <c r="E131" s="4" t="str">
        <f>IFERROR(__xludf.DUMMYFUNCTION("""COMPUTED_VALUE"""),"Chawla")</f>
        <v>Chawla</v>
      </c>
      <c r="F131" s="4" t="str">
        <f>IFERROR(__xludf.DUMMYFUNCTION("""COMPUTED_VALUE"""),"We offer a system to optimize decision making. It models reasoning the way it naturally exists in our minds, allowing us to share and improve on it constantly")</f>
        <v>We offer a system to optimize decision making. It models reasoning the way it naturally exists in our minds, allowing us to share and improve on it constantly</v>
      </c>
      <c r="G131" s="21" t="str">
        <f>IFERROR(__xludf.DUMMYFUNCTION("""COMPUTED_VALUE"""),"https://drive.google.com/file/d/11yCrZfiBVv-BnqkOs2HtlmEvlfF-fuPX/view?usp=sharing")</f>
        <v>https://drive.google.com/file/d/11yCrZfiBVv-BnqkOs2HtlmEvlfF-fuPX/view?usp=sharing</v>
      </c>
      <c r="H131" s="4" t="str">
        <f>IFERROR(__xludf.DUMMYFUNCTION("""COMPUTED_VALUE"""),"No")</f>
        <v>No</v>
      </c>
      <c r="I131" s="4" t="str">
        <f>IFERROR(__xludf.DUMMYFUNCTION("""COMPUTED_VALUE"""),"")</f>
        <v/>
      </c>
      <c r="J131" s="4" t="str">
        <f>IFERROR(__xludf.DUMMYFUNCTION("""COMPUTED_VALUE"""),"")</f>
        <v/>
      </c>
      <c r="K131" s="4" t="str">
        <f>IFERROR(__xludf.DUMMYFUNCTION("""COMPUTED_VALUE"""),"")</f>
        <v/>
      </c>
    </row>
    <row r="132">
      <c r="A132" s="382">
        <f>IFERROR(__xludf.DUMMYFUNCTION("""COMPUTED_VALUE"""),43973.518218)</f>
        <v>43973.51822</v>
      </c>
      <c r="B132" s="4" t="str">
        <f>IFERROR(__xludf.DUMMYFUNCTION("""COMPUTED_VALUE"""),"ZENCV")</f>
        <v>ZENCV</v>
      </c>
      <c r="C132" s="4" t="str">
        <f>IFERROR(__xludf.DUMMYFUNCTION("""COMPUTED_VALUE"""),"DND7")</f>
        <v>DND7</v>
      </c>
      <c r="D132" s="4" t="str">
        <f>IFERROR(__xludf.DUMMYFUNCTION("""COMPUTED_VALUE"""),"Vladimir")</f>
        <v>Vladimir</v>
      </c>
      <c r="E132" s="4" t="str">
        <f>IFERROR(__xludf.DUMMYFUNCTION("""COMPUTED_VALUE"""),"Bozovic")</f>
        <v>Bozovic</v>
      </c>
      <c r="F132" s="4" t="str">
        <f>IFERROR(__xludf.DUMMYFUNCTION("""COMPUTED_VALUE"""),"The boring CV industry is ready for a revolution - ZENCV is creating a unique AI CV builder that allows to embed videos &amp; provide real-time HR feedback to CV makers. The result: Incredible boost in UX for both CV makers and their future employers.")</f>
        <v>The boring CV industry is ready for a revolution - ZENCV is creating a unique AI CV builder that allows to embed videos &amp; provide real-time HR feedback to CV makers. The result: Incredible boost in UX for both CV makers and their future employers.</v>
      </c>
      <c r="G132" s="21" t="str">
        <f>IFERROR(__xludf.DUMMYFUNCTION("""COMPUTED_VALUE"""),"https://drive.google.com/file/d/1Gd_SxqL6NX49Kr3QypFQuN8PfPOwJiIo/view?usp=sharing")</f>
        <v>https://drive.google.com/file/d/1Gd_SxqL6NX49Kr3QypFQuN8PfPOwJiIo/view?usp=sharing</v>
      </c>
      <c r="H132" s="4" t="str">
        <f>IFERROR(__xludf.DUMMYFUNCTION("""COMPUTED_VALUE"""),"No")</f>
        <v>No</v>
      </c>
      <c r="I132" s="4" t="str">
        <f>IFERROR(__xludf.DUMMYFUNCTION("""COMPUTED_VALUE"""),"")</f>
        <v/>
      </c>
      <c r="J132" s="4" t="str">
        <f>IFERROR(__xludf.DUMMYFUNCTION("""COMPUTED_VALUE"""),"")</f>
        <v/>
      </c>
      <c r="K132" s="4" t="str">
        <f>IFERROR(__xludf.DUMMYFUNCTION("""COMPUTED_VALUE"""),"")</f>
        <v/>
      </c>
    </row>
    <row r="133">
      <c r="A133" s="382">
        <f>IFERROR(__xludf.DUMMYFUNCTION("""COMPUTED_VALUE"""),43973.553924)</f>
        <v>43973.55392</v>
      </c>
      <c r="B133" s="4" t="str">
        <f>IFERROR(__xludf.DUMMYFUNCTION("""COMPUTED_VALUE"""),"RootLo Inc.")</f>
        <v>RootLo Inc.</v>
      </c>
      <c r="C133" s="4" t="str">
        <f>IFERROR(__xludf.DUMMYFUNCTION("""COMPUTED_VALUE"""),"BMMD")</f>
        <v>BMMD</v>
      </c>
      <c r="D133" s="4" t="str">
        <f>IFERROR(__xludf.DUMMYFUNCTION("""COMPUTED_VALUE"""),"Luis")</f>
        <v>Luis</v>
      </c>
      <c r="E133" s="4" t="str">
        <f>IFERROR(__xludf.DUMMYFUNCTION("""COMPUTED_VALUE"""),"Barroso")</f>
        <v>Barroso</v>
      </c>
      <c r="F133" s="4" t="str">
        <f>IFERROR(__xludf.DUMMYFUNCTION("""COMPUTED_VALUE"""),"An enterprise social network specializing in expanding your organization’s global communication, improving productivity and increasing work-life satisfaction across your remote teams.")</f>
        <v>An enterprise social network specializing in expanding your organization’s global communication, improving productivity and increasing work-life satisfaction across your remote teams.</v>
      </c>
      <c r="G133" s="21" t="str">
        <f>IFERROR(__xludf.DUMMYFUNCTION("""COMPUTED_VALUE"""),"https://drive.google.com/file/d/1FLFQ19_eV6kqZ1fMYcjwEUjF1lePbA2u/view?usp=sharing")</f>
        <v>https://drive.google.com/file/d/1FLFQ19_eV6kqZ1fMYcjwEUjF1lePbA2u/view?usp=sharing</v>
      </c>
      <c r="H133" s="4" t="str">
        <f>IFERROR(__xludf.DUMMYFUNCTION("""COMPUTED_VALUE"""),"No")</f>
        <v>No</v>
      </c>
      <c r="I133" s="4" t="str">
        <f>IFERROR(__xludf.DUMMYFUNCTION("""COMPUTED_VALUE"""),"")</f>
        <v/>
      </c>
      <c r="J133" s="4" t="str">
        <f>IFERROR(__xludf.DUMMYFUNCTION("""COMPUTED_VALUE"""),"")</f>
        <v/>
      </c>
      <c r="K133" s="4" t="str">
        <f>IFERROR(__xludf.DUMMYFUNCTION("""COMPUTED_VALUE"""),"")</f>
        <v/>
      </c>
    </row>
    <row r="134">
      <c r="A134" s="382">
        <f>IFERROR(__xludf.DUMMYFUNCTION("""COMPUTED_VALUE"""),43973.620845)</f>
        <v>43973.62085</v>
      </c>
      <c r="B134" s="4" t="str">
        <f>IFERROR(__xludf.DUMMYFUNCTION("""COMPUTED_VALUE"""),"BBox Sports")</f>
        <v>BBox Sports</v>
      </c>
      <c r="C134" s="4" t="str">
        <f>IFERROR(__xludf.DUMMYFUNCTION("""COMPUTED_VALUE"""),"NIYD-1")</f>
        <v>NIYD-1</v>
      </c>
      <c r="D134" s="4" t="str">
        <f>IFERROR(__xludf.DUMMYFUNCTION("""COMPUTED_VALUE"""),"Ivan")</f>
        <v>Ivan</v>
      </c>
      <c r="E134" s="4" t="str">
        <f>IFERROR(__xludf.DUMMYFUNCTION("""COMPUTED_VALUE"""),"Braz")</f>
        <v>Braz</v>
      </c>
      <c r="F134" s="4" t="str">
        <f>IFERROR(__xludf.DUMMYFUNCTION("""COMPUTED_VALUE"""),"BBox Sports brings you official Sports goods, connected with a world of Augmented Reality, offering real data about fans")</f>
        <v>BBox Sports brings you official Sports goods, connected with a world of Augmented Reality, offering real data about fans</v>
      </c>
      <c r="G134" s="21" t="str">
        <f>IFERROR(__xludf.DUMMYFUNCTION("""COMPUTED_VALUE"""),"https://youtu.be/jF_829W-glE")</f>
        <v>https://youtu.be/jF_829W-glE</v>
      </c>
      <c r="H134" s="4" t="str">
        <f>IFERROR(__xludf.DUMMYFUNCTION("""COMPUTED_VALUE"""),"No")</f>
        <v>No</v>
      </c>
      <c r="I134" s="4" t="str">
        <f>IFERROR(__xludf.DUMMYFUNCTION("""COMPUTED_VALUE"""),"")</f>
        <v/>
      </c>
      <c r="J134" s="4" t="str">
        <f>IFERROR(__xludf.DUMMYFUNCTION("""COMPUTED_VALUE"""),"")</f>
        <v/>
      </c>
      <c r="K134" s="4" t="str">
        <f>IFERROR(__xludf.DUMMYFUNCTION("""COMPUTED_VALUE"""),"")</f>
        <v/>
      </c>
    </row>
    <row r="135">
      <c r="A135" s="382">
        <f>IFERROR(__xludf.DUMMYFUNCTION("""COMPUTED_VALUE"""),43974.510475)</f>
        <v>43974.51048</v>
      </c>
      <c r="B135" s="4" t="str">
        <f>IFERROR(__xludf.DUMMYFUNCTION("""COMPUTED_VALUE"""),"Orai - AI Speech Coach")</f>
        <v>Orai - AI Speech Coach</v>
      </c>
      <c r="C135" s="4" t="str">
        <f>IFERROR(__xludf.DUMMYFUNCTION("""COMPUTED_VALUE"""),"BIME-1")</f>
        <v>BIME-1</v>
      </c>
      <c r="D135" s="4" t="str">
        <f>IFERROR(__xludf.DUMMYFUNCTION("""COMPUTED_VALUE"""),"Danish")</f>
        <v>Danish</v>
      </c>
      <c r="E135" s="4" t="str">
        <f>IFERROR(__xludf.DUMMYFUNCTION("""COMPUTED_VALUE"""),"Dhamani")</f>
        <v>Dhamani</v>
      </c>
      <c r="F135" s="4" t="str">
        <f>IFERROR(__xludf.DUMMYFUNCTION("""COMPUTED_VALUE"""),"Orai is an A.I. sales coaching software used by Comcast, IBM, and HPE to ensure sellers are up-to-speed and communicating consistently in a compelling and confident way.")</f>
        <v>Orai is an A.I. sales coaching software used by Comcast, IBM, and HPE to ensure sellers are up-to-speed and communicating consistently in a compelling and confident way.</v>
      </c>
      <c r="G135" s="21" t="str">
        <f>IFERROR(__xludf.DUMMYFUNCTION("""COMPUTED_VALUE"""),"https://drive.google.com/drive/folders/19pg9s__8xRTz5MBIDeyKVKQDIPDGMSD1?usp=sharing")</f>
        <v>https://drive.google.com/drive/folders/19pg9s__8xRTz5MBIDeyKVKQDIPDGMSD1?usp=sharing</v>
      </c>
      <c r="H135" s="4" t="str">
        <f>IFERROR(__xludf.DUMMYFUNCTION("""COMPUTED_VALUE"""),"Yes")</f>
        <v>Yes</v>
      </c>
      <c r="I135" s="4" t="str">
        <f>IFERROR(__xludf.DUMMYFUNCTION("""COMPUTED_VALUE"""),"")</f>
        <v/>
      </c>
      <c r="J135" s="4" t="str">
        <f>IFERROR(__xludf.DUMMYFUNCTION("""COMPUTED_VALUE"""),"")</f>
        <v/>
      </c>
      <c r="K135" s="4" t="str">
        <f>IFERROR(__xludf.DUMMYFUNCTION("""COMPUTED_VALUE"""),"")</f>
        <v/>
      </c>
    </row>
    <row r="136">
      <c r="A136" s="382">
        <f>IFERROR(__xludf.DUMMYFUNCTION("""COMPUTED_VALUE"""),43975.163542)</f>
        <v>43975.16354</v>
      </c>
      <c r="B136" s="4" t="str">
        <f>IFERROR(__xludf.DUMMYFUNCTION("""COMPUTED_VALUE"""),"Gokaddal Technologies FZCO")</f>
        <v>Gokaddal Technologies FZCO</v>
      </c>
      <c r="C136" s="4" t="str">
        <f>IFERROR(__xludf.DUMMYFUNCTION("""COMPUTED_VALUE"""),"LWDO")</f>
        <v>LWDO</v>
      </c>
      <c r="D136" s="4" t="str">
        <f>IFERROR(__xludf.DUMMYFUNCTION("""COMPUTED_VALUE"""),"Ravinder Pal")</f>
        <v>Ravinder Pal</v>
      </c>
      <c r="E136" s="4" t="str">
        <f>IFERROR(__xludf.DUMMYFUNCTION("""COMPUTED_VALUE"""),"Singh")</f>
        <v>Singh</v>
      </c>
      <c r="F136" s="4" t="str">
        <f>IFERROR(__xludf.DUMMYFUNCTION("""COMPUTED_VALUE"""),"Gokaddal is Worlds first Digital Solutions Exchange Cloud Platform, a first of its kind Solutions Aggregator cum Marketplace")</f>
        <v>Gokaddal is Worlds first Digital Solutions Exchange Cloud Platform, a first of its kind Solutions Aggregator cum Marketplace</v>
      </c>
      <c r="G136" s="21" t="str">
        <f>IFERROR(__xludf.DUMMYFUNCTION("""COMPUTED_VALUE"""),"https://drive.google.com/file/d/1FfwTqSIbJS0pk3sPLhuolyp7sQ1z2DUJ/view?usp=sharing")</f>
        <v>https://drive.google.com/file/d/1FfwTqSIbJS0pk3sPLhuolyp7sQ1z2DUJ/view?usp=sharing</v>
      </c>
      <c r="H136" s="4" t="str">
        <f>IFERROR(__xludf.DUMMYFUNCTION("""COMPUTED_VALUE"""),"No")</f>
        <v>No</v>
      </c>
      <c r="I136" s="4" t="str">
        <f>IFERROR(__xludf.DUMMYFUNCTION("""COMPUTED_VALUE"""),"")</f>
        <v/>
      </c>
      <c r="J136" s="4" t="str">
        <f>IFERROR(__xludf.DUMMYFUNCTION("""COMPUTED_VALUE"""),"")</f>
        <v/>
      </c>
      <c r="K136" s="4" t="str">
        <f>IFERROR(__xludf.DUMMYFUNCTION("""COMPUTED_VALUE"""),"")</f>
        <v/>
      </c>
    </row>
    <row r="137">
      <c r="A137" s="382">
        <f>IFERROR(__xludf.DUMMYFUNCTION("""COMPUTED_VALUE"""),43975.518299)</f>
        <v>43975.5183</v>
      </c>
      <c r="B137" s="4" t="str">
        <f>IFERROR(__xludf.DUMMYFUNCTION("""COMPUTED_VALUE"""),"AlBicchiere")</f>
        <v>AlBicchiere</v>
      </c>
      <c r="C137" s="4" t="str">
        <f>IFERROR(__xludf.DUMMYFUNCTION("""COMPUTED_VALUE"""),"4D7L-2")</f>
        <v>4D7L-2</v>
      </c>
      <c r="D137" s="4" t="str">
        <f>IFERROR(__xludf.DUMMYFUNCTION("""COMPUTED_VALUE"""),"Luigi")</f>
        <v>Luigi</v>
      </c>
      <c r="E137" s="4" t="str">
        <f>IFERROR(__xludf.DUMMYFUNCTION("""COMPUTED_VALUE"""),"Palumbo")</f>
        <v>Palumbo</v>
      </c>
      <c r="F137" s="4" t="str">
        <f>IFERROR(__xludf.DUMMYFUNCTION("""COMPUTED_VALUE"""),"AlBicchiere is Nespresso for wine. We transform the way people discover, buy, and enjoy wine.")</f>
        <v>AlBicchiere is Nespresso for wine. We transform the way people discover, buy, and enjoy wine.</v>
      </c>
      <c r="G137" s="21" t="str">
        <f>IFERROR(__xludf.DUMMYFUNCTION("""COMPUTED_VALUE"""),"https://drive.google.com/open?id=1vL4hnQRile9-txba_neA09rdi-FgOscV")</f>
        <v>https://drive.google.com/open?id=1vL4hnQRile9-txba_neA09rdi-FgOscV</v>
      </c>
      <c r="H137" s="4" t="str">
        <f>IFERROR(__xludf.DUMMYFUNCTION("""COMPUTED_VALUE"""),"No")</f>
        <v>No</v>
      </c>
      <c r="I137" s="4" t="str">
        <f>IFERROR(__xludf.DUMMYFUNCTION("""COMPUTED_VALUE"""),"")</f>
        <v/>
      </c>
      <c r="J137" s="4" t="str">
        <f>IFERROR(__xludf.DUMMYFUNCTION("""COMPUTED_VALUE"""),"")</f>
        <v/>
      </c>
      <c r="K137" s="4" t="str">
        <f>IFERROR(__xludf.DUMMYFUNCTION("""COMPUTED_VALUE"""),"")</f>
        <v/>
      </c>
    </row>
    <row r="138">
      <c r="A138" s="382">
        <f>IFERROR(__xludf.DUMMYFUNCTION("""COMPUTED_VALUE"""),43975.646146)</f>
        <v>43975.64615</v>
      </c>
      <c r="B138" s="4" t="str">
        <f>IFERROR(__xludf.DUMMYFUNCTION("""COMPUTED_VALUE"""),"Sym")</f>
        <v>Sym</v>
      </c>
      <c r="C138" s="4" t="str">
        <f>IFERROR(__xludf.DUMMYFUNCTION("""COMPUTED_VALUE"""),"RLDD")</f>
        <v>RLDD</v>
      </c>
      <c r="D138" s="4" t="str">
        <f>IFERROR(__xludf.DUMMYFUNCTION("""COMPUTED_VALUE"""),"Yasyf")</f>
        <v>Yasyf</v>
      </c>
      <c r="E138" s="4" t="str">
        <f>IFERROR(__xludf.DUMMYFUNCTION("""COMPUTED_VALUE"""),"Mohamedali")</f>
        <v>Mohamedali</v>
      </c>
      <c r="F138" s="4" t="str">
        <f>IFERROR(__xludf.DUMMYFUNCTION("""COMPUTED_VALUE"""),"Sym helps engineers create the perfect security and privacy workflows for their teams. Building security controls that match your team's tools and processes should be easy. We provide building blocks that keep your team compliant without getting in their "&amp;"way.")</f>
        <v>Sym helps engineers create the perfect security and privacy workflows for their teams. Building security controls that match your team's tools and processes should be easy. We provide building blocks that keep your team compliant without getting in their way.</v>
      </c>
      <c r="G138" s="21" t="str">
        <f>IFERROR(__xludf.DUMMYFUNCTION("""COMPUTED_VALUE"""),"https://drive.google.com/file/d/1lU8_OdQeWDTN8yijlTHU71eXmk2y0kEm/view?usp=sharing")</f>
        <v>https://drive.google.com/file/d/1lU8_OdQeWDTN8yijlTHU71eXmk2y0kEm/view?usp=sharing</v>
      </c>
      <c r="H138" s="4" t="str">
        <f>IFERROR(__xludf.DUMMYFUNCTION("""COMPUTED_VALUE"""),"Yes")</f>
        <v>Yes</v>
      </c>
      <c r="I138" s="4" t="str">
        <f>IFERROR(__xludf.DUMMYFUNCTION("""COMPUTED_VALUE"""),"Passed")</f>
        <v>Passed</v>
      </c>
      <c r="J138" s="4" t="str">
        <f>IFERROR(__xludf.DUMMYFUNCTION("""COMPUTED_VALUE"""),"Sent for review")</f>
        <v>Sent for review</v>
      </c>
      <c r="K138" s="4" t="str">
        <f>IFERROR(__xludf.DUMMYFUNCTION("""COMPUTED_VALUE"""),"")</f>
        <v/>
      </c>
    </row>
    <row r="139">
      <c r="A139" s="382">
        <f>IFERROR(__xludf.DUMMYFUNCTION("""COMPUTED_VALUE"""),43975.699282)</f>
        <v>43975.69928</v>
      </c>
      <c r="B139" s="4" t="str">
        <f>IFERROR(__xludf.DUMMYFUNCTION("""COMPUTED_VALUE"""),"Oropocket")</f>
        <v>Oropocket</v>
      </c>
      <c r="C139" s="4" t="str">
        <f>IFERROR(__xludf.DUMMYFUNCTION("""COMPUTED_VALUE"""),"GTXR-2")</f>
        <v>GTXR-2</v>
      </c>
      <c r="D139" s="4" t="str">
        <f>IFERROR(__xludf.DUMMYFUNCTION("""COMPUTED_VALUE"""),"Tarusha")</f>
        <v>Tarusha</v>
      </c>
      <c r="E139" s="4" t="str">
        <f>IFERROR(__xludf.DUMMYFUNCTION("""COMPUTED_VALUE"""),"Mittal")</f>
        <v>Mittal</v>
      </c>
      <c r="F139" s="4" t="str">
        <f>IFERROR(__xludf.DUMMYFUNCTION("""COMPUTED_VALUE"""),"Oropocket enables users o prevent erosion of money by investing in assets and using them as money.")</f>
        <v>Oropocket enables users o prevent erosion of money by investing in assets and using them as money.</v>
      </c>
      <c r="G139" s="21" t="str">
        <f>IFERROR(__xludf.DUMMYFUNCTION("""COMPUTED_VALUE"""),"https://youtu.be/0DE7Axnn1fA")</f>
        <v>https://youtu.be/0DE7Axnn1fA</v>
      </c>
      <c r="H139" s="4" t="str">
        <f>IFERROR(__xludf.DUMMYFUNCTION("""COMPUTED_VALUE"""),"No")</f>
        <v>No</v>
      </c>
      <c r="I139" s="4" t="str">
        <f>IFERROR(__xludf.DUMMYFUNCTION("""COMPUTED_VALUE"""),"")</f>
        <v/>
      </c>
      <c r="J139" s="4" t="str">
        <f>IFERROR(__xludf.DUMMYFUNCTION("""COMPUTED_VALUE"""),"")</f>
        <v/>
      </c>
      <c r="K139" s="4" t="str">
        <f>IFERROR(__xludf.DUMMYFUNCTION("""COMPUTED_VALUE"""),"")</f>
        <v/>
      </c>
    </row>
    <row r="140">
      <c r="A140" s="382">
        <f>IFERROR(__xludf.DUMMYFUNCTION("""COMPUTED_VALUE"""),43976.711412)</f>
        <v>43976.71141</v>
      </c>
      <c r="B140" s="21" t="str">
        <f>IFERROR(__xludf.DUMMYFUNCTION("""COMPUTED_VALUE"""),"Taraabar.net")</f>
        <v>Taraabar.net</v>
      </c>
      <c r="C140" s="4" t="str">
        <f>IFERROR(__xludf.DUMMYFUNCTION("""COMPUTED_VALUE"""),"SLVR")</f>
        <v>SLVR</v>
      </c>
      <c r="D140" s="4" t="str">
        <f>IFERROR(__xludf.DUMMYFUNCTION("""COMPUTED_VALUE"""),"Keivan")</f>
        <v>Keivan</v>
      </c>
      <c r="E140" s="4" t="str">
        <f>IFERROR(__xludf.DUMMYFUNCTION("""COMPUTED_VALUE"""),"Jafari")</f>
        <v>Jafari</v>
      </c>
      <c r="F140" s="4" t="str">
        <f>IFERROR(__xludf.DUMMYFUNCTION("""COMPUTED_VALUE"""),"Online Freight Marketplace for Truck Drivers and Shippers and other Logistics Service Providers Such as Insurance, Financiers, Full, Toll Truck and Spare Dealers.")</f>
        <v>Online Freight Marketplace for Truck Drivers and Shippers and other Logistics Service Providers Such as Insurance, Financiers, Full, Toll Truck and Spare Dealers.</v>
      </c>
      <c r="G140" s="21" t="str">
        <f>IFERROR(__xludf.DUMMYFUNCTION("""COMPUTED_VALUE"""),"https://drive.google.com/open?id=19EGqHON1MfkpY1Ur02QgIts9aQnQAkBP")</f>
        <v>https://drive.google.com/open?id=19EGqHON1MfkpY1Ur02QgIts9aQnQAkBP</v>
      </c>
      <c r="H140" s="4" t="str">
        <f>IFERROR(__xludf.DUMMYFUNCTION("""COMPUTED_VALUE"""),"No")</f>
        <v>No</v>
      </c>
      <c r="I140" s="4" t="str">
        <f>IFERROR(__xludf.DUMMYFUNCTION("""COMPUTED_VALUE"""),"")</f>
        <v/>
      </c>
      <c r="J140" s="4" t="str">
        <f>IFERROR(__xludf.DUMMYFUNCTION("""COMPUTED_VALUE"""),"")</f>
        <v/>
      </c>
      <c r="K140" s="4" t="str">
        <f>IFERROR(__xludf.DUMMYFUNCTION("""COMPUTED_VALUE"""),"")</f>
        <v/>
      </c>
    </row>
    <row r="141">
      <c r="A141" s="382">
        <f>IFERROR(__xludf.DUMMYFUNCTION("""COMPUTED_VALUE"""),43977.394063)</f>
        <v>43977.39406</v>
      </c>
      <c r="B141" s="4" t="str">
        <f>IFERROR(__xludf.DUMMYFUNCTION("""COMPUTED_VALUE"""),"Hololink")</f>
        <v>Hololink</v>
      </c>
      <c r="C141" s="4" t="str">
        <f>IFERROR(__xludf.DUMMYFUNCTION("""COMPUTED_VALUE"""),"X2HB")</f>
        <v>X2HB</v>
      </c>
      <c r="D141" s="4" t="str">
        <f>IFERROR(__xludf.DUMMYFUNCTION("""COMPUTED_VALUE"""),"Lucas")</f>
        <v>Lucas</v>
      </c>
      <c r="E141" s="4" t="str">
        <f>IFERROR(__xludf.DUMMYFUNCTION("""COMPUTED_VALUE"""),"Nygaard")</f>
        <v>Nygaard</v>
      </c>
      <c r="F141" s="4" t="str">
        <f>IFERROR(__xludf.DUMMYFUNCTION("""COMPUTED_VALUE"""),"Hololink is the easiest way to create &amp; distribute interactive augmented reality experiences")</f>
        <v>Hololink is the easiest way to create &amp; distribute interactive augmented reality experiences</v>
      </c>
      <c r="G141" s="21" t="str">
        <f>IFERROR(__xludf.DUMMYFUNCTION("""COMPUTED_VALUE"""),"https://drive.google.com/file/d/1KkTmVkZpK9-0iQAEogpv0GMpd8IshTTj/view")</f>
        <v>https://drive.google.com/file/d/1KkTmVkZpK9-0iQAEogpv0GMpd8IshTTj/view</v>
      </c>
      <c r="H141" s="4" t="str">
        <f>IFERROR(__xludf.DUMMYFUNCTION("""COMPUTED_VALUE"""),"Yes")</f>
        <v>Yes</v>
      </c>
      <c r="I141" s="4" t="str">
        <f>IFERROR(__xludf.DUMMYFUNCTION("""COMPUTED_VALUE"""),"Passed")</f>
        <v>Passed</v>
      </c>
      <c r="J141" s="4" t="str">
        <f>IFERROR(__xludf.DUMMYFUNCTION("""COMPUTED_VALUE"""),"Sent for review")</f>
        <v>Sent for review</v>
      </c>
      <c r="K141" s="4" t="str">
        <f>IFERROR(__xludf.DUMMYFUNCTION("""COMPUTED_VALUE"""),"")</f>
        <v/>
      </c>
    </row>
    <row r="142">
      <c r="A142" s="382">
        <f>IFERROR(__xludf.DUMMYFUNCTION("""COMPUTED_VALUE"""),43977.453148)</f>
        <v>43977.45315</v>
      </c>
      <c r="B142" s="4" t="str">
        <f>IFERROR(__xludf.DUMMYFUNCTION("""COMPUTED_VALUE"""),"Beelivery")</f>
        <v>Beelivery</v>
      </c>
      <c r="C142" s="4" t="str">
        <f>IFERROR(__xludf.DUMMYFUNCTION("""COMPUTED_VALUE"""),"YQWY-1")</f>
        <v>YQWY-1</v>
      </c>
      <c r="D142" s="4" t="str">
        <f>IFERROR(__xludf.DUMMYFUNCTION("""COMPUTED_VALUE"""),"Yaz")</f>
        <v>Yaz</v>
      </c>
      <c r="E142" s="4" t="str">
        <f>IFERROR(__xludf.DUMMYFUNCTION("""COMPUTED_VALUE"""),"M")</f>
        <v>M</v>
      </c>
      <c r="F142" s="4" t="str">
        <f>IFERROR(__xludf.DUMMYFUNCTION("""COMPUTED_VALUE"""),"Beelivery provide a nationwide 15-60 minute grocery delivery service by crowd-sourcing from over 10,000 drivers. Already delivering to over 90 towns and cities across the UK, they aim to have a driver within 0.5 miles of any customer, delivering from the "&amp;"customer's local convenience store in as little as 15 minutes.  Founded in 2015, Beelivery cove")</f>
        <v>Beelivery provide a nationwide 15-60 minute grocery delivery service by crowd-sourcing from over 10,000 drivers. Already delivering to over 90 towns and cities across the UK, they aim to have a driver within 0.5 miles of any customer, delivering from the customer's local convenience store in as little as 15 minutes.  Founded in 2015, Beelivery cove</v>
      </c>
      <c r="G142" s="21" t="str">
        <f>IFERROR(__xludf.DUMMYFUNCTION("""COMPUTED_VALUE"""),"https://vimeo.com/418606427/7593c1a67f")</f>
        <v>https://vimeo.com/418606427/7593c1a67f</v>
      </c>
      <c r="H142" s="4" t="str">
        <f>IFERROR(__xludf.DUMMYFUNCTION("""COMPUTED_VALUE"""),"No")</f>
        <v>No</v>
      </c>
      <c r="I142" s="4" t="str">
        <f>IFERROR(__xludf.DUMMYFUNCTION("""COMPUTED_VALUE"""),"")</f>
        <v/>
      </c>
      <c r="J142" s="4" t="str">
        <f>IFERROR(__xludf.DUMMYFUNCTION("""COMPUTED_VALUE"""),"")</f>
        <v/>
      </c>
      <c r="K142" s="4" t="str">
        <f>IFERROR(__xludf.DUMMYFUNCTION("""COMPUTED_VALUE"""),"")</f>
        <v/>
      </c>
    </row>
    <row r="143">
      <c r="A143" s="382">
        <f>IFERROR(__xludf.DUMMYFUNCTION("""COMPUTED_VALUE"""),43977.660255)</f>
        <v>43977.66026</v>
      </c>
      <c r="B143" s="4" t="str">
        <f>IFERROR(__xludf.DUMMYFUNCTION("""COMPUTED_VALUE"""),"FutureAPI")</f>
        <v>FutureAPI</v>
      </c>
      <c r="C143" s="4" t="str">
        <f>IFERROR(__xludf.DUMMYFUNCTION("""COMPUTED_VALUE"""),"TDXX")</f>
        <v>TDXX</v>
      </c>
      <c r="D143" s="4" t="str">
        <f>IFERROR(__xludf.DUMMYFUNCTION("""COMPUTED_VALUE"""),"Satvik")</f>
        <v>Satvik</v>
      </c>
      <c r="E143" s="4" t="str">
        <f>IFERROR(__xludf.DUMMYFUNCTION("""COMPUTED_VALUE"""),"Jagannath")</f>
        <v>Jagannath</v>
      </c>
      <c r="F143" s="4" t="str">
        <f>IFERROR(__xludf.DUMMYFUNCTION("""COMPUTED_VALUE"""),"FutureAPI is Machine Learning and Aritificial Intelligence API as a Service. Build Smarter products &amp; automate processes in 5mins.")</f>
        <v>FutureAPI is Machine Learning and Aritificial Intelligence API as a Service. Build Smarter products &amp; automate processes in 5mins.</v>
      </c>
      <c r="G143" s="21" t="str">
        <f>IFERROR(__xludf.DUMMYFUNCTION("""COMPUTED_VALUE"""),"https://drive.google.com/open?id=1Y2FmbXCbYu4DgM9150bPjjrkTyKiwlEa")</f>
        <v>https://drive.google.com/open?id=1Y2FmbXCbYu4DgM9150bPjjrkTyKiwlEa</v>
      </c>
      <c r="H143" s="4" t="str">
        <f>IFERROR(__xludf.DUMMYFUNCTION("""COMPUTED_VALUE"""),"No")</f>
        <v>No</v>
      </c>
      <c r="I143" s="4" t="str">
        <f>IFERROR(__xludf.DUMMYFUNCTION("""COMPUTED_VALUE"""),"")</f>
        <v/>
      </c>
      <c r="J143" s="4" t="str">
        <f>IFERROR(__xludf.DUMMYFUNCTION("""COMPUTED_VALUE"""),"")</f>
        <v/>
      </c>
      <c r="K143" s="4" t="str">
        <f>IFERROR(__xludf.DUMMYFUNCTION("""COMPUTED_VALUE"""),"")</f>
        <v/>
      </c>
    </row>
    <row r="144">
      <c r="A144" s="382">
        <f>IFERROR(__xludf.DUMMYFUNCTION("""COMPUTED_VALUE"""),43977.783264)</f>
        <v>43977.78326</v>
      </c>
      <c r="B144" s="4" t="str">
        <f>IFERROR(__xludf.DUMMYFUNCTION("""COMPUTED_VALUE"""),"eventeas")</f>
        <v>eventeas</v>
      </c>
      <c r="C144" s="4" t="str">
        <f>IFERROR(__xludf.DUMMYFUNCTION("""COMPUTED_VALUE"""),"8NCD")</f>
        <v>8NCD</v>
      </c>
      <c r="D144" s="4" t="str">
        <f>IFERROR(__xludf.DUMMYFUNCTION("""COMPUTED_VALUE"""),"sergio")</f>
        <v>sergio</v>
      </c>
      <c r="E144" s="4" t="str">
        <f>IFERROR(__xludf.DUMMYFUNCTION("""COMPUTED_VALUE"""),"MORCILLO")</f>
        <v>MORCILLO</v>
      </c>
      <c r="F144" s="4" t="str">
        <f>IFERROR(__xludf.DUMMYFUNCTION("""COMPUTED_VALUE"""),"Unique Global Booking Marketplace that connects corporate event organizers with more than 5.000 vendors  (professionals and venues) in main MICE cities around the world ◆  Disruptive Startup that aims to be the absolute leader that concentrates the MICE o"&amp;"ffer and digitalizes a quite offline industry")</f>
        <v>Unique Global Booking Marketplace that connects corporate event organizers with more than 5.000 vendors  (professionals and venues) in main MICE cities around the world ◆  Disruptive Startup that aims to be the absolute leader that concentrates the MICE offer and digitalizes a quite offline industry</v>
      </c>
      <c r="G144" s="21" t="str">
        <f>IFERROR(__xludf.DUMMYFUNCTION("""COMPUTED_VALUE"""),"https://www.dropbox.com/s/jltxrrzc5rz7nmk/EVENTEAS%20PITCH%20SOUTH%20SUMMIT%20JUL19.mp4?dl=0")</f>
        <v>https://www.dropbox.com/s/jltxrrzc5rz7nmk/EVENTEAS%20PITCH%20SOUTH%20SUMMIT%20JUL19.mp4?dl=0</v>
      </c>
      <c r="H144" s="4" t="str">
        <f>IFERROR(__xludf.DUMMYFUNCTION("""COMPUTED_VALUE"""),"No")</f>
        <v>No</v>
      </c>
      <c r="I144" s="4" t="str">
        <f>IFERROR(__xludf.DUMMYFUNCTION("""COMPUTED_VALUE"""),"")</f>
        <v/>
      </c>
      <c r="J144" s="4" t="str">
        <f>IFERROR(__xludf.DUMMYFUNCTION("""COMPUTED_VALUE"""),"")</f>
        <v/>
      </c>
      <c r="K144" s="4" t="str">
        <f>IFERROR(__xludf.DUMMYFUNCTION("""COMPUTED_VALUE"""),"")</f>
        <v/>
      </c>
    </row>
    <row r="145">
      <c r="A145" s="382">
        <f>IFERROR(__xludf.DUMMYFUNCTION("""COMPUTED_VALUE"""),43977.799329)</f>
        <v>43977.79933</v>
      </c>
      <c r="B145" s="4" t="str">
        <f>IFERROR(__xludf.DUMMYFUNCTION("""COMPUTED_VALUE"""),"nmodes")</f>
        <v>nmodes</v>
      </c>
      <c r="C145" s="4" t="str">
        <f>IFERROR(__xludf.DUMMYFUNCTION("""COMPUTED_VALUE"""),"BWVP")</f>
        <v>BWVP</v>
      </c>
      <c r="D145" s="4" t="str">
        <f>IFERROR(__xludf.DUMMYFUNCTION("""COMPUTED_VALUE"""),"sasha")</f>
        <v>sasha</v>
      </c>
      <c r="E145" s="4" t="str">
        <f>IFERROR(__xludf.DUMMYFUNCTION("""COMPUTED_VALUE"""),"uritsky")</f>
        <v>uritsky</v>
      </c>
      <c r="F145" s="4" t="str">
        <f>IFERROR(__xludf.DUMMYFUNCTION("""COMPUTED_VALUE"""),"Conversational AI platform for sales and customer experience. We disrupt how businesses engage with customers by giving businesses personal AI that knows the product, market, details of the sales process, and grows together with the business.")</f>
        <v>Conversational AI platform for sales and customer experience. We disrupt how businesses engage with customers by giving businesses personal AI that knows the product, market, details of the sales process, and grows together with the business.</v>
      </c>
      <c r="G145" s="21" t="str">
        <f>IFERROR(__xludf.DUMMYFUNCTION("""COMPUTED_VALUE"""),"https://youtu.be/8_20vTLCvCU")</f>
        <v>https://youtu.be/8_20vTLCvCU</v>
      </c>
      <c r="H145" s="4" t="str">
        <f>IFERROR(__xludf.DUMMYFUNCTION("""COMPUTED_VALUE"""),"Yes")</f>
        <v>Yes</v>
      </c>
      <c r="I145" s="4" t="str">
        <f>IFERROR(__xludf.DUMMYFUNCTION("""COMPUTED_VALUE"""),"Failed")</f>
        <v>Failed</v>
      </c>
      <c r="J145" s="4" t="str">
        <f>IFERROR(__xludf.DUMMYFUNCTION("""COMPUTED_VALUE"""),"")</f>
        <v/>
      </c>
      <c r="K145" s="4" t="str">
        <f>IFERROR(__xludf.DUMMYFUNCTION("""COMPUTED_VALUE"""),"")</f>
        <v/>
      </c>
    </row>
    <row r="146">
      <c r="A146" s="382">
        <f>IFERROR(__xludf.DUMMYFUNCTION("""COMPUTED_VALUE"""),43978.548519)</f>
        <v>43978.54852</v>
      </c>
      <c r="B146" s="4" t="str">
        <f>IFERROR(__xludf.DUMMYFUNCTION("""COMPUTED_VALUE"""),"Brightlobe")</f>
        <v>Brightlobe</v>
      </c>
      <c r="C146" s="4" t="str">
        <f>IFERROR(__xludf.DUMMYFUNCTION("""COMPUTED_VALUE"""),"7BHS")</f>
        <v>7BHS</v>
      </c>
      <c r="D146" s="4" t="str">
        <f>IFERROR(__xludf.DUMMYFUNCTION("""COMPUTED_VALUE"""),"Shivani")</f>
        <v>Shivani</v>
      </c>
      <c r="E146" s="4" t="str">
        <f>IFERROR(__xludf.DUMMYFUNCTION("""COMPUTED_VALUE"""),"Lamba")</f>
        <v>Lamba</v>
      </c>
      <c r="F146" s="4" t="str">
        <f>IFERROR(__xludf.DUMMYFUNCTION("""COMPUTED_VALUE"""),"We’re Brightlobe, the VC-backed inventors of patent-pending technology that can assess and support a child’s brain development through mobile games and toys. Our vision bridges immersive entertainment, big data and predictive analytics to transform child "&amp;"health.")</f>
        <v>We’re Brightlobe, the VC-backed inventors of patent-pending technology that can assess and support a child’s brain development through mobile games and toys. Our vision bridges immersive entertainment, big data and predictive analytics to transform child health.</v>
      </c>
      <c r="G146" s="21" t="str">
        <f>IFERROR(__xludf.DUMMYFUNCTION("""COMPUTED_VALUE"""),"https://drive.google.com/file/d/1nEw7RveUQTplw_CKAZ7kL8PGb9N48Uy7/view?usp=sharing")</f>
        <v>https://drive.google.com/file/d/1nEw7RveUQTplw_CKAZ7kL8PGb9N48Uy7/view?usp=sharing</v>
      </c>
      <c r="H146" s="4" t="str">
        <f>IFERROR(__xludf.DUMMYFUNCTION("""COMPUTED_VALUE"""),"Yes")</f>
        <v>Yes</v>
      </c>
      <c r="I146" s="4" t="str">
        <f>IFERROR(__xludf.DUMMYFUNCTION("""COMPUTED_VALUE"""),"Passed")</f>
        <v>Passed</v>
      </c>
      <c r="J146" s="4" t="str">
        <f>IFERROR(__xludf.DUMMYFUNCTION("""COMPUTED_VALUE"""),"Sent for review")</f>
        <v>Sent for review</v>
      </c>
      <c r="K146" s="4" t="str">
        <f>IFERROR(__xludf.DUMMYFUNCTION("""COMPUTED_VALUE"""),"")</f>
        <v/>
      </c>
    </row>
    <row r="147">
      <c r="A147" s="382">
        <f>IFERROR(__xludf.DUMMYFUNCTION("""COMPUTED_VALUE"""),43978.591551)</f>
        <v>43978.59155</v>
      </c>
      <c r="B147" s="4" t="str">
        <f>IFERROR(__xludf.DUMMYFUNCTION("""COMPUTED_VALUE"""),"nmodes")</f>
        <v>nmodes</v>
      </c>
      <c r="C147" s="4" t="str">
        <f>IFERROR(__xludf.DUMMYFUNCTION("""COMPUTED_VALUE"""),"BWVP")</f>
        <v>BWVP</v>
      </c>
      <c r="D147" s="4" t="str">
        <f>IFERROR(__xludf.DUMMYFUNCTION("""COMPUTED_VALUE"""),"Sasha")</f>
        <v>Sasha</v>
      </c>
      <c r="E147" s="4" t="str">
        <f>IFERROR(__xludf.DUMMYFUNCTION("""COMPUTED_VALUE"""),"Uritsky")</f>
        <v>Uritsky</v>
      </c>
      <c r="F147" s="4" t="str">
        <f>IFERROR(__xludf.DUMMYFUNCTION("""COMPUTED_VALUE"""),"Conversational AI platform for sales and customer experience. We disrupt how businesses engage with customers by giving businesses personal AI that knows their product, market, details of their sales process, and grows together with their business.")</f>
        <v>Conversational AI platform for sales and customer experience. We disrupt how businesses engage with customers by giving businesses personal AI that knows their product, market, details of their sales process, and grows together with their business.</v>
      </c>
      <c r="G147" s="21" t="str">
        <f>IFERROR(__xludf.DUMMYFUNCTION("""COMPUTED_VALUE"""),"https://drive.google.com/open?id=18ZQAaCcvqCvTo3m9FPhZj7-kYESvRF_k")</f>
        <v>https://drive.google.com/open?id=18ZQAaCcvqCvTo3m9FPhZj7-kYESvRF_k</v>
      </c>
      <c r="H147" s="4" t="str">
        <f>IFERROR(__xludf.DUMMYFUNCTION("""COMPUTED_VALUE"""),"Yes")</f>
        <v>Yes</v>
      </c>
      <c r="I147" s="4" t="str">
        <f>IFERROR(__xludf.DUMMYFUNCTION("""COMPUTED_VALUE"""),"Passed")</f>
        <v>Passed</v>
      </c>
      <c r="J147" s="4" t="str">
        <f>IFERROR(__xludf.DUMMYFUNCTION("""COMPUTED_VALUE"""),"Sent for review")</f>
        <v>Sent for review</v>
      </c>
      <c r="K147" s="4" t="str">
        <f>IFERROR(__xludf.DUMMYFUNCTION("""COMPUTED_VALUE"""),"")</f>
        <v/>
      </c>
    </row>
    <row r="148">
      <c r="A148" s="382">
        <f>IFERROR(__xludf.DUMMYFUNCTION("""COMPUTED_VALUE"""),43978.807488)</f>
        <v>43978.80749</v>
      </c>
      <c r="B148" s="4" t="str">
        <f>IFERROR(__xludf.DUMMYFUNCTION("""COMPUTED_VALUE"""),"Blue - The Community Assistant")</f>
        <v>Blue - The Community Assistant</v>
      </c>
      <c r="C148" s="4" t="str">
        <f>IFERROR(__xludf.DUMMYFUNCTION("""COMPUTED_VALUE"""),"UCGI")</f>
        <v>UCGI</v>
      </c>
      <c r="D148" s="4" t="str">
        <f>IFERROR(__xludf.DUMMYFUNCTION("""COMPUTED_VALUE"""),"Tom")</f>
        <v>Tom</v>
      </c>
      <c r="E148" s="4" t="str">
        <f>IFERROR(__xludf.DUMMYFUNCTION("""COMPUTED_VALUE"""),"Masterson")</f>
        <v>Masterson</v>
      </c>
      <c r="F148" s="4" t="str">
        <f>IFERROR(__xludf.DUMMYFUNCTION("""COMPUTED_VALUE"""),"Blue is an assistant that informs, coordinates and fundraises. Blue has one-to-one conversations with supporters at scale, creating feedback loops that do not exist today. When offered by employers, Blue drives retention of talent and build a culture of c"&amp;"are.")</f>
        <v>Blue is an assistant that informs, coordinates and fundraises. Blue has one-to-one conversations with supporters at scale, creating feedback loops that do not exist today. When offered by employers, Blue drives retention of talent and build a culture of care.</v>
      </c>
      <c r="G148" s="21" t="str">
        <f>IFERROR(__xludf.DUMMYFUNCTION("""COMPUTED_VALUE"""),"https://drive.google.com/file/d/1cNbxLlaPbsUnJYoyGA4QCqp_JJMa9iwn/view?usp=sharing")</f>
        <v>https://drive.google.com/file/d/1cNbxLlaPbsUnJYoyGA4QCqp_JJMa9iwn/view?usp=sharing</v>
      </c>
      <c r="H148" s="4" t="str">
        <f>IFERROR(__xludf.DUMMYFUNCTION("""COMPUTED_VALUE"""),"No")</f>
        <v>No</v>
      </c>
      <c r="I148" s="4" t="str">
        <f>IFERROR(__xludf.DUMMYFUNCTION("""COMPUTED_VALUE"""),"")</f>
        <v/>
      </c>
      <c r="J148" s="4" t="str">
        <f>IFERROR(__xludf.DUMMYFUNCTION("""COMPUTED_VALUE"""),"")</f>
        <v/>
      </c>
      <c r="K148" s="4" t="str">
        <f>IFERROR(__xludf.DUMMYFUNCTION("""COMPUTED_VALUE"""),"")</f>
        <v/>
      </c>
    </row>
    <row r="149">
      <c r="A149" s="382">
        <f>IFERROR(__xludf.DUMMYFUNCTION("""COMPUTED_VALUE"""),43978.811921)</f>
        <v>43978.81192</v>
      </c>
      <c r="B149" s="21" t="str">
        <f>IFERROR(__xludf.DUMMYFUNCTION("""COMPUTED_VALUE"""),"birdie.ai")</f>
        <v>birdie.ai</v>
      </c>
      <c r="C149" s="4" t="str">
        <f>IFERROR(__xludf.DUMMYFUNCTION("""COMPUTED_VALUE"""),"4SXJ-1")</f>
        <v>4SXJ-1</v>
      </c>
      <c r="D149" s="4" t="str">
        <f>IFERROR(__xludf.DUMMYFUNCTION("""COMPUTED_VALUE"""),"Patrícia")</f>
        <v>Patrícia</v>
      </c>
      <c r="E149" s="4" t="str">
        <f>IFERROR(__xludf.DUMMYFUNCTION("""COMPUTED_VALUE"""),"Osorio")</f>
        <v>Osorio</v>
      </c>
      <c r="F149" s="4" t="str">
        <f>IFERROR(__xludf.DUMMYFUNCTION("""COMPUTED_VALUE"""),"Birdie provides companies with an unvarnished and granular view of customers’ experience with their brand, products, and points of purchase throughout the buying journey so that they can make more customer-centric decisions to improve their product, marke"&amp;"ting, and sales results.")</f>
        <v>Birdie provides companies with an unvarnished and granular view of customers’ experience with their brand, products, and points of purchase throughout the buying journey so that they can make more customer-centric decisions to improve their product, marketing, and sales results.</v>
      </c>
      <c r="G149" s="21" t="str">
        <f>IFERROR(__xludf.DUMMYFUNCTION("""COMPUTED_VALUE"""),"https://drive.google.com/file/d/1pFiOZ57cJi5XnyT9xiSQ8GsBqLknCAH-/view?usp=sharing")</f>
        <v>https://drive.google.com/file/d/1pFiOZ57cJi5XnyT9xiSQ8GsBqLknCAH-/view?usp=sharing</v>
      </c>
      <c r="H149" s="4" t="str">
        <f>IFERROR(__xludf.DUMMYFUNCTION("""COMPUTED_VALUE"""),"No")</f>
        <v>No</v>
      </c>
      <c r="I149" s="4" t="str">
        <f>IFERROR(__xludf.DUMMYFUNCTION("""COMPUTED_VALUE"""),"")</f>
        <v/>
      </c>
      <c r="J149" s="4" t="str">
        <f>IFERROR(__xludf.DUMMYFUNCTION("""COMPUTED_VALUE"""),"")</f>
        <v/>
      </c>
      <c r="K149" s="4" t="str">
        <f>IFERROR(__xludf.DUMMYFUNCTION("""COMPUTED_VALUE"""),"")</f>
        <v/>
      </c>
    </row>
    <row r="150">
      <c r="A150" s="382">
        <f>IFERROR(__xludf.DUMMYFUNCTION("""COMPUTED_VALUE"""),43979.321516)</f>
        <v>43979.32152</v>
      </c>
      <c r="B150" s="4" t="str">
        <f>IFERROR(__xludf.DUMMYFUNCTION("""COMPUTED_VALUE"""),"Deepstash")</f>
        <v>Deepstash</v>
      </c>
      <c r="C150" s="4" t="str">
        <f>IFERROR(__xludf.DUMMYFUNCTION("""COMPUTED_VALUE"""),"Y3OW")</f>
        <v>Y3OW</v>
      </c>
      <c r="D150" s="4" t="str">
        <f>IFERROR(__xludf.DUMMYFUNCTION("""COMPUTED_VALUE"""),"VLADIMIR")</f>
        <v>VLADIMIR</v>
      </c>
      <c r="E150" s="4" t="str">
        <f>IFERROR(__xludf.DUMMYFUNCTION("""COMPUTED_VALUE"""),"OANE")</f>
        <v>OANE</v>
      </c>
      <c r="F150" s="4" t="str">
        <f>IFERROR(__xludf.DUMMYFUNCTION("""COMPUTED_VALUE"""),"Reinvent Reading &amp; Knowledge Management")</f>
        <v>Reinvent Reading &amp; Knowledge Management</v>
      </c>
      <c r="G150" s="21" t="str">
        <f>IFERROR(__xludf.DUMMYFUNCTION("""COMPUTED_VALUE"""),"https://drive.google.com/file/d/1ounWmlPiTyIuCtc2hLFzxMaC1jAjd8Uq/view?usp=sharing")</f>
        <v>https://drive.google.com/file/d/1ounWmlPiTyIuCtc2hLFzxMaC1jAjd8Uq/view?usp=sharing</v>
      </c>
      <c r="H150" s="4" t="str">
        <f>IFERROR(__xludf.DUMMYFUNCTION("""COMPUTED_VALUE"""),"No")</f>
        <v>No</v>
      </c>
      <c r="I150" s="4" t="str">
        <f>IFERROR(__xludf.DUMMYFUNCTION("""COMPUTED_VALUE"""),"")</f>
        <v/>
      </c>
      <c r="J150" s="4" t="str">
        <f>IFERROR(__xludf.DUMMYFUNCTION("""COMPUTED_VALUE"""),"")</f>
        <v/>
      </c>
      <c r="K150" s="4" t="str">
        <f>IFERROR(__xludf.DUMMYFUNCTION("""COMPUTED_VALUE"""),"")</f>
        <v/>
      </c>
    </row>
    <row r="151">
      <c r="A151" s="382">
        <f>IFERROR(__xludf.DUMMYFUNCTION("""COMPUTED_VALUE"""),43979.382245)</f>
        <v>43979.38225</v>
      </c>
      <c r="B151" s="4" t="str">
        <f>IFERROR(__xludf.DUMMYFUNCTION("""COMPUTED_VALUE"""),"Syncify")</f>
        <v>Syncify</v>
      </c>
      <c r="C151" s="4" t="str">
        <f>IFERROR(__xludf.DUMMYFUNCTION("""COMPUTED_VALUE"""),"J32A")</f>
        <v>J32A</v>
      </c>
      <c r="D151" s="4" t="str">
        <f>IFERROR(__xludf.DUMMYFUNCTION("""COMPUTED_VALUE"""),"Sam")</f>
        <v>Sam</v>
      </c>
      <c r="E151" s="4" t="str">
        <f>IFERROR(__xludf.DUMMYFUNCTION("""COMPUTED_VALUE"""),"Harris")</f>
        <v>Harris</v>
      </c>
      <c r="F151" s="4" t="str">
        <f>IFERROR(__xludf.DUMMYFUNCTION("""COMPUTED_VALUE"""),"Listen to podcasts and audiobooks together to combat isolation and loneliness. Despite being miles apart, enjoy the same experiences at the same time. Users increase the learning value of audio, build empathy, and discover new content, whilst staying conn"&amp;"ected")</f>
        <v>Listen to podcasts and audiobooks together to combat isolation and loneliness. Despite being miles apart, enjoy the same experiences at the same time. Users increase the learning value of audio, build empathy, and discover new content, whilst staying connected</v>
      </c>
      <c r="G151" s="21" t="str">
        <f>IFERROR(__xludf.DUMMYFUNCTION("""COMPUTED_VALUE"""),"https://drive.google.com/drive/folders/1nbb9Vb9kQzLUY9Tcc33rr7hHxNc4OOmI?usp=sharing")</f>
        <v>https://drive.google.com/drive/folders/1nbb9Vb9kQzLUY9Tcc33rr7hHxNc4OOmI?usp=sharing</v>
      </c>
      <c r="H151" s="4" t="str">
        <f>IFERROR(__xludf.DUMMYFUNCTION("""COMPUTED_VALUE"""),"No")</f>
        <v>No</v>
      </c>
      <c r="I151" s="4" t="str">
        <f>IFERROR(__xludf.DUMMYFUNCTION("""COMPUTED_VALUE"""),"")</f>
        <v/>
      </c>
      <c r="J151" s="4" t="str">
        <f>IFERROR(__xludf.DUMMYFUNCTION("""COMPUTED_VALUE"""),"")</f>
        <v/>
      </c>
      <c r="K151" s="4" t="str">
        <f>IFERROR(__xludf.DUMMYFUNCTION("""COMPUTED_VALUE"""),"")</f>
        <v/>
      </c>
    </row>
    <row r="152">
      <c r="A152" s="382">
        <f>IFERROR(__xludf.DUMMYFUNCTION("""COMPUTED_VALUE"""),43979.589734)</f>
        <v>43979.58973</v>
      </c>
      <c r="B152" s="4" t="str">
        <f>IFERROR(__xludf.DUMMYFUNCTION("""COMPUTED_VALUE"""),"Central de Materiais")</f>
        <v>Central de Materiais</v>
      </c>
      <c r="C152" s="4" t="str">
        <f>IFERROR(__xludf.DUMMYFUNCTION("""COMPUTED_VALUE"""),"DAB9")</f>
        <v>DAB9</v>
      </c>
      <c r="D152" s="4" t="str">
        <f>IFERROR(__xludf.DUMMYFUNCTION("""COMPUTED_VALUE"""),"Regina")</f>
        <v>Regina</v>
      </c>
      <c r="E152" s="4" t="str">
        <f>IFERROR(__xludf.DUMMYFUNCTION("""COMPUTED_VALUE"""),"Flandoli")</f>
        <v>Flandoli</v>
      </c>
      <c r="F152" s="4" t="str">
        <f>IFERROR(__xludf.DUMMYFUNCTION("""COMPUTED_VALUE"""),"Sustainable Marketplace for Industry Waste and Reusable Equipment")</f>
        <v>Sustainable Marketplace for Industry Waste and Reusable Equipment</v>
      </c>
      <c r="G152" s="21" t="str">
        <f>IFERROR(__xludf.DUMMYFUNCTION("""COMPUTED_VALUE"""),"https://drive.google.com/file/d/16ngFA7gPC2sf4Q3GMIq5dG_ljTBUWBdO/view")</f>
        <v>https://drive.google.com/file/d/16ngFA7gPC2sf4Q3GMIq5dG_ljTBUWBdO/view</v>
      </c>
      <c r="H152" s="4" t="str">
        <f>IFERROR(__xludf.DUMMYFUNCTION("""COMPUTED_VALUE"""),"Yes")</f>
        <v>Yes</v>
      </c>
      <c r="I152" s="4" t="str">
        <f>IFERROR(__xludf.DUMMYFUNCTION("""COMPUTED_VALUE"""),"Passed")</f>
        <v>Passed</v>
      </c>
      <c r="J152" s="4" t="str">
        <f>IFERROR(__xludf.DUMMYFUNCTION("""COMPUTED_VALUE"""),"Sent for review")</f>
        <v>Sent for review</v>
      </c>
      <c r="K152" s="4" t="str">
        <f>IFERROR(__xludf.DUMMYFUNCTION("""COMPUTED_VALUE"""),"")</f>
        <v/>
      </c>
    </row>
    <row r="153">
      <c r="A153" s="382">
        <f>IFERROR(__xludf.DUMMYFUNCTION("""COMPUTED_VALUE"""),43979.694074)</f>
        <v>43979.69407</v>
      </c>
      <c r="B153" s="4" t="str">
        <f>IFERROR(__xludf.DUMMYFUNCTION("""COMPUTED_VALUE"""),"HILOS")</f>
        <v>HILOS</v>
      </c>
      <c r="C153" s="4" t="str">
        <f>IFERROR(__xludf.DUMMYFUNCTION("""COMPUTED_VALUE"""),"RRYQ")</f>
        <v>RRYQ</v>
      </c>
      <c r="D153" s="4" t="str">
        <f>IFERROR(__xludf.DUMMYFUNCTION("""COMPUTED_VALUE"""),"Elias")</f>
        <v>Elias</v>
      </c>
      <c r="E153" s="4" t="str">
        <f>IFERROR(__xludf.DUMMYFUNCTION("""COMPUTED_VALUE"""),"Stahl")</f>
        <v>Stahl</v>
      </c>
      <c r="F153" s="4" t="str">
        <f>IFERROR(__xludf.DUMMYFUNCTION("""COMPUTED_VALUE"""),"Shoes without compromise")</f>
        <v>Shoes without compromise</v>
      </c>
      <c r="G153" s="21" t="str">
        <f>IFERROR(__xludf.DUMMYFUNCTION("""COMPUTED_VALUE"""),"https://drive.google.com/file/d/1p7k0yCdxoCXOt10bygPNBTgGyQWkD3pr/view?usp=sharing")</f>
        <v>https://drive.google.com/file/d/1p7k0yCdxoCXOt10bygPNBTgGyQWkD3pr/view?usp=sharing</v>
      </c>
      <c r="H153" s="4" t="str">
        <f>IFERROR(__xludf.DUMMYFUNCTION("""COMPUTED_VALUE"""),"Yes")</f>
        <v>Yes</v>
      </c>
      <c r="I153" s="4" t="str">
        <f>IFERROR(__xludf.DUMMYFUNCTION("""COMPUTED_VALUE"""),"Passed")</f>
        <v>Passed</v>
      </c>
      <c r="J153" s="4" t="str">
        <f>IFERROR(__xludf.DUMMYFUNCTION("""COMPUTED_VALUE"""),"Sent for review")</f>
        <v>Sent for review</v>
      </c>
      <c r="K153" s="4" t="str">
        <f>IFERROR(__xludf.DUMMYFUNCTION("""COMPUTED_VALUE"""),"")</f>
        <v/>
      </c>
    </row>
    <row r="154">
      <c r="A154" s="382">
        <f>IFERROR(__xludf.DUMMYFUNCTION("""COMPUTED_VALUE"""),43979.772465)</f>
        <v>43979.77247</v>
      </c>
      <c r="B154" s="4" t="str">
        <f>IFERROR(__xludf.DUMMYFUNCTION("""COMPUTED_VALUE"""),"Mixonset")</f>
        <v>Mixonset</v>
      </c>
      <c r="C154" s="4" t="str">
        <f>IFERROR(__xludf.DUMMYFUNCTION("""COMPUTED_VALUE"""),"ZE4E")</f>
        <v>ZE4E</v>
      </c>
      <c r="D154" s="4" t="str">
        <f>IFERROR(__xludf.DUMMYFUNCTION("""COMPUTED_VALUE"""),"Zeyu")</f>
        <v>Zeyu</v>
      </c>
      <c r="E154" s="4" t="str">
        <f>IFERROR(__xludf.DUMMYFUNCTION("""COMPUTED_VALUE"""),"Li")</f>
        <v>Li</v>
      </c>
      <c r="F154" s="4" t="str">
        <f>IFERROR(__xludf.DUMMYFUNCTION("""COMPUTED_VALUE"""),"Mixonset is a premium music app that turns playlists into parties. Our AI-Powered Smart Mix plays the right part of the right song in a seamless mix, so that users could enjoy more, discover faster, and skip less.")</f>
        <v>Mixonset is a premium music app that turns playlists into parties. Our AI-Powered Smart Mix plays the right part of the right song in a seamless mix, so that users could enjoy more, discover faster, and skip less.</v>
      </c>
      <c r="G154" s="21" t="str">
        <f>IFERROR(__xludf.DUMMYFUNCTION("""COMPUTED_VALUE"""),"https://youtu.be/MKUxEcyzjjw")</f>
        <v>https://youtu.be/MKUxEcyzjjw</v>
      </c>
      <c r="H154" s="4" t="str">
        <f>IFERROR(__xludf.DUMMYFUNCTION("""COMPUTED_VALUE"""),"No")</f>
        <v>No</v>
      </c>
      <c r="I154" s="4" t="str">
        <f>IFERROR(__xludf.DUMMYFUNCTION("""COMPUTED_VALUE"""),"Failed")</f>
        <v>Failed</v>
      </c>
      <c r="J154" s="4" t="str">
        <f>IFERROR(__xludf.DUMMYFUNCTION("""COMPUTED_VALUE"""),"")</f>
        <v/>
      </c>
      <c r="K154" s="4" t="str">
        <f>IFERROR(__xludf.DUMMYFUNCTION("""COMPUTED_VALUE"""),"")</f>
        <v/>
      </c>
    </row>
    <row r="155">
      <c r="A155" s="382">
        <f>IFERROR(__xludf.DUMMYFUNCTION("""COMPUTED_VALUE"""),43980.004398)</f>
        <v>43980.0044</v>
      </c>
      <c r="B155" s="4" t="str">
        <f>IFERROR(__xludf.DUMMYFUNCTION("""COMPUTED_VALUE"""),"DeepSubconscious.ai Inc.")</f>
        <v>DeepSubconscious.ai Inc.</v>
      </c>
      <c r="C155" s="4" t="str">
        <f>IFERROR(__xludf.DUMMYFUNCTION("""COMPUTED_VALUE"""),"ATIN")</f>
        <v>ATIN</v>
      </c>
      <c r="D155" s="4" t="str">
        <f>IFERROR(__xludf.DUMMYFUNCTION("""COMPUTED_VALUE"""),"John")</f>
        <v>John</v>
      </c>
      <c r="E155" s="4" t="str">
        <f>IFERROR(__xludf.DUMMYFUNCTION("""COMPUTED_VALUE"""),"Tukums")</f>
        <v>Tukums</v>
      </c>
      <c r="F155" s="4" t="str">
        <f>IFERROR(__xludf.DUMMYFUNCTION("""COMPUTED_VALUE"""),"DeepSubconsious.ai Inc. enables people to access their freedom built upon advanced respiratory technology. This is achieved through a breakthrough SaaS web platform that leverages the power of breathing to create a new standard for mental and physiologica"&amp;"l healthcare.")</f>
        <v>DeepSubconsious.ai Inc. enables people to access their freedom built upon advanced respiratory technology. This is achieved through a breakthrough SaaS web platform that leverages the power of breathing to create a new standard for mental and physiological healthcare.</v>
      </c>
      <c r="G155" s="21" t="str">
        <f>IFERROR(__xludf.DUMMYFUNCTION("""COMPUTED_VALUE"""),"https://drive.google.com/file/d/1jjrJti_EY2c-PX184H-IsE3OHjyUZQRA/view?usp=sharing")</f>
        <v>https://drive.google.com/file/d/1jjrJti_EY2c-PX184H-IsE3OHjyUZQRA/view?usp=sharing</v>
      </c>
      <c r="H155" s="4" t="str">
        <f>IFERROR(__xludf.DUMMYFUNCTION("""COMPUTED_VALUE"""),"No")</f>
        <v>No</v>
      </c>
      <c r="I155" s="4" t="str">
        <f>IFERROR(__xludf.DUMMYFUNCTION("""COMPUTED_VALUE"""),"")</f>
        <v/>
      </c>
      <c r="J155" s="4" t="str">
        <f>IFERROR(__xludf.DUMMYFUNCTION("""COMPUTED_VALUE"""),"")</f>
        <v/>
      </c>
      <c r="K155" s="4" t="str">
        <f>IFERROR(__xludf.DUMMYFUNCTION("""COMPUTED_VALUE"""),"")</f>
        <v/>
      </c>
    </row>
    <row r="156">
      <c r="A156" s="382">
        <f>IFERROR(__xludf.DUMMYFUNCTION("""COMPUTED_VALUE"""),43980.466134)</f>
        <v>43980.46613</v>
      </c>
      <c r="B156" s="4" t="str">
        <f>IFERROR(__xludf.DUMMYFUNCTION("""COMPUTED_VALUE"""),"Cyberworks Robotics")</f>
        <v>Cyberworks Robotics</v>
      </c>
      <c r="C156" s="4" t="str">
        <f>IFERROR(__xludf.DUMMYFUNCTION("""COMPUTED_VALUE"""),"BX9X")</f>
        <v>BX9X</v>
      </c>
      <c r="D156" s="4" t="str">
        <f>IFERROR(__xludf.DUMMYFUNCTION("""COMPUTED_VALUE"""),"Vivek")</f>
        <v>Vivek</v>
      </c>
      <c r="E156" s="4" t="str">
        <f>IFERROR(__xludf.DUMMYFUNCTION("""COMPUTED_VALUE"""),"Burhanpurkar")</f>
        <v>Burhanpurkar</v>
      </c>
      <c r="F156" s="4" t="str">
        <f>IFERROR(__xludf.DUMMYFUNCTION("""COMPUTED_VALUE"""),"Cyberworks Robotics is a cash-positive early stage company that provides a single AI based self-driving platform for multiple applications ranging from power wheelchairs to material handling equipment. We work with the world's leading OEM's, universities "&amp;"and institutions to ensure rapid global scalability.")</f>
        <v>Cyberworks Robotics is a cash-positive early stage company that provides a single AI based self-driving platform for multiple applications ranging from power wheelchairs to material handling equipment. We work with the world's leading OEM's, universities and institutions to ensure rapid global scalability.</v>
      </c>
      <c r="G156" s="21" t="str">
        <f>IFERROR(__xludf.DUMMYFUNCTION("""COMPUTED_VALUE"""),"https://drive.google.com/file/d/1wz9WFw2xD4GED1Qa7-VrNP3oZBPH0wzZ/view?usp=sharing")</f>
        <v>https://drive.google.com/file/d/1wz9WFw2xD4GED1Qa7-VrNP3oZBPH0wzZ/view?usp=sharing</v>
      </c>
      <c r="H156" s="4" t="str">
        <f>IFERROR(__xludf.DUMMYFUNCTION("""COMPUTED_VALUE"""),"Yes")</f>
        <v>Yes</v>
      </c>
      <c r="I156" s="4" t="str">
        <f>IFERROR(__xludf.DUMMYFUNCTION("""COMPUTED_VALUE"""),"Passed")</f>
        <v>Passed</v>
      </c>
      <c r="J156" s="4" t="str">
        <f>IFERROR(__xludf.DUMMYFUNCTION("""COMPUTED_VALUE"""),"Sent for review")</f>
        <v>Sent for review</v>
      </c>
      <c r="K156" s="4" t="str">
        <f>IFERROR(__xludf.DUMMYFUNCTION("""COMPUTED_VALUE"""),"")</f>
        <v/>
      </c>
    </row>
    <row r="157">
      <c r="A157" s="382">
        <f>IFERROR(__xludf.DUMMYFUNCTION("""COMPUTED_VALUE"""),43980.487512)</f>
        <v>43980.48751</v>
      </c>
      <c r="B157" s="4" t="str">
        <f>IFERROR(__xludf.DUMMYFUNCTION("""COMPUTED_VALUE"""),"Humdinner")</f>
        <v>Humdinner</v>
      </c>
      <c r="C157" s="4" t="str">
        <f>IFERROR(__xludf.DUMMYFUNCTION("""COMPUTED_VALUE"""),"A5DD-2")</f>
        <v>A5DD-2</v>
      </c>
      <c r="D157" s="4" t="str">
        <f>IFERROR(__xludf.DUMMYFUNCTION("""COMPUTED_VALUE"""),"Brett")</f>
        <v>Brett</v>
      </c>
      <c r="E157" s="4" t="str">
        <f>IFERROR(__xludf.DUMMYFUNCTION("""COMPUTED_VALUE"""),"Gould")</f>
        <v>Gould</v>
      </c>
      <c r="F157" s="4" t="str">
        <f>IFERROR(__xludf.DUMMYFUNCTION("""COMPUTED_VALUE"""),"Touchless technology helping retail and restaurants get back to business &amp; thrive through the drive-thru.")</f>
        <v>Touchless technology helping retail and restaurants get back to business &amp; thrive through the drive-thru.</v>
      </c>
      <c r="G157" s="21" t="str">
        <f>IFERROR(__xludf.DUMMYFUNCTION("""COMPUTED_VALUE"""),"https://drive.google.com/file/d/1D2pquYQ4RqtdjOuA2I752zOW2xkIZmot/view?usp=sharing")</f>
        <v>https://drive.google.com/file/d/1D2pquYQ4RqtdjOuA2I752zOW2xkIZmot/view?usp=sharing</v>
      </c>
      <c r="H157" s="4" t="str">
        <f>IFERROR(__xludf.DUMMYFUNCTION("""COMPUTED_VALUE"""),"No")</f>
        <v>No</v>
      </c>
      <c r="I157" s="4" t="str">
        <f>IFERROR(__xludf.DUMMYFUNCTION("""COMPUTED_VALUE"""),"")</f>
        <v/>
      </c>
      <c r="J157" s="4" t="str">
        <f>IFERROR(__xludf.DUMMYFUNCTION("""COMPUTED_VALUE"""),"")</f>
        <v/>
      </c>
      <c r="K157" s="4" t="str">
        <f>IFERROR(__xludf.DUMMYFUNCTION("""COMPUTED_VALUE"""),"")</f>
        <v/>
      </c>
    </row>
    <row r="158">
      <c r="A158" s="382">
        <f>IFERROR(__xludf.DUMMYFUNCTION("""COMPUTED_VALUE"""),43980.489954)</f>
        <v>43980.48995</v>
      </c>
      <c r="B158" s="4" t="str">
        <f>IFERROR(__xludf.DUMMYFUNCTION("""COMPUTED_VALUE"""),"Getchefnow")</f>
        <v>Getchefnow</v>
      </c>
      <c r="C158" s="4" t="str">
        <f>IFERROR(__xludf.DUMMYFUNCTION("""COMPUTED_VALUE"""),"WL9D")</f>
        <v>WL9D</v>
      </c>
      <c r="D158" s="4" t="str">
        <f>IFERROR(__xludf.DUMMYFUNCTION("""COMPUTED_VALUE"""),"Druhin")</f>
        <v>Druhin</v>
      </c>
      <c r="E158" s="4" t="str">
        <f>IFERROR(__xludf.DUMMYFUNCTION("""COMPUTED_VALUE"""),"Bala")</f>
        <v>Bala</v>
      </c>
      <c r="F158" s="4" t="str">
        <f>IFERROR(__xludf.DUMMYFUNCTION("""COMPUTED_VALUE"""),"Getchefnow is an app that makes it easy to hire an affordable personal chef to come and cook for you on-demand - we are “Uber” for chefs.")</f>
        <v>Getchefnow is an app that makes it easy to hire an affordable personal chef to come and cook for you on-demand - we are “Uber” for chefs.</v>
      </c>
      <c r="G158" s="21" t="str">
        <f>IFERROR(__xludf.DUMMYFUNCTION("""COMPUTED_VALUE"""),"https://youtu.be/5HgmI5RuWFU")</f>
        <v>https://youtu.be/5HgmI5RuWFU</v>
      </c>
      <c r="H158" s="4" t="str">
        <f>IFERROR(__xludf.DUMMYFUNCTION("""COMPUTED_VALUE"""),"Yes")</f>
        <v>Yes</v>
      </c>
      <c r="I158" s="4" t="str">
        <f>IFERROR(__xludf.DUMMYFUNCTION("""COMPUTED_VALUE"""),"Failed")</f>
        <v>Failed</v>
      </c>
      <c r="J158" s="4" t="str">
        <f>IFERROR(__xludf.DUMMYFUNCTION("""COMPUTED_VALUE"""),"")</f>
        <v/>
      </c>
      <c r="K158" s="4" t="str">
        <f>IFERROR(__xludf.DUMMYFUNCTION("""COMPUTED_VALUE"""),"")</f>
        <v/>
      </c>
    </row>
    <row r="159">
      <c r="A159" s="382">
        <f>IFERROR(__xludf.DUMMYFUNCTION("""COMPUTED_VALUE"""),43980.504769)</f>
        <v>43980.50477</v>
      </c>
      <c r="B159" s="4" t="str">
        <f>IFERROR(__xludf.DUMMYFUNCTION("""COMPUTED_VALUE"""),"Nursing Career Coach")</f>
        <v>Nursing Career Coach</v>
      </c>
      <c r="C159" s="4" t="str">
        <f>IFERROR(__xludf.DUMMYFUNCTION("""COMPUTED_VALUE"""),"HZIJ-1")</f>
        <v>HZIJ-1</v>
      </c>
      <c r="D159" s="4" t="str">
        <f>IFERROR(__xludf.DUMMYFUNCTION("""COMPUTED_VALUE"""),"Tamara")</f>
        <v>Tamara</v>
      </c>
      <c r="E159" s="4" t="str">
        <f>IFERROR(__xludf.DUMMYFUNCTION("""COMPUTED_VALUE"""),"Miller")</f>
        <v>Miller</v>
      </c>
      <c r="F159" s="4" t="str">
        <f>IFERROR(__xludf.DUMMYFUNCTION("""COMPUTED_VALUE"""),"Using data-driven science, Nursing Career Coach provides innovative solutions to support nurse engagement, retention, and career development")</f>
        <v>Using data-driven science, Nursing Career Coach provides innovative solutions to support nurse engagement, retention, and career development</v>
      </c>
      <c r="G159" s="4" t="str">
        <f>IFERROR(__xludf.DUMMYFUNCTION("""COMPUTED_VALUE"""),"Nursing Career Coach")</f>
        <v>Nursing Career Coach</v>
      </c>
      <c r="H159" s="4" t="str">
        <f>IFERROR(__xludf.DUMMYFUNCTION("""COMPUTED_VALUE"""),"")</f>
        <v/>
      </c>
      <c r="I159" s="4" t="str">
        <f>IFERROR(__xludf.DUMMYFUNCTION("""COMPUTED_VALUE"""),"")</f>
        <v/>
      </c>
      <c r="J159" s="4" t="str">
        <f>IFERROR(__xludf.DUMMYFUNCTION("""COMPUTED_VALUE"""),"")</f>
        <v/>
      </c>
      <c r="K159" s="4" t="str">
        <f>IFERROR(__xludf.DUMMYFUNCTION("""COMPUTED_VALUE"""),"")</f>
        <v/>
      </c>
    </row>
    <row r="160">
      <c r="A160" s="382">
        <f>IFERROR(__xludf.DUMMYFUNCTION("""COMPUTED_VALUE"""),43980.6364)</f>
        <v>43980.6364</v>
      </c>
      <c r="B160" s="4" t="str">
        <f>IFERROR(__xludf.DUMMYFUNCTION("""COMPUTED_VALUE"""),"reshift security")</f>
        <v>reshift security</v>
      </c>
      <c r="C160" s="4" t="str">
        <f>IFERROR(__xludf.DUMMYFUNCTION("""COMPUTED_VALUE"""),"1MNI-1")</f>
        <v>1MNI-1</v>
      </c>
      <c r="D160" s="4" t="str">
        <f>IFERROR(__xludf.DUMMYFUNCTION("""COMPUTED_VALUE"""),"Sherif")</f>
        <v>Sherif</v>
      </c>
      <c r="E160" s="4" t="str">
        <f>IFERROR(__xludf.DUMMYFUNCTION("""COMPUTED_VALUE"""),"Koussa")</f>
        <v>Koussa</v>
      </c>
      <c r="F160" s="4" t="str">
        <f>IFERROR(__xludf.DUMMYFUNCTION("""COMPUTED_VALUE"""),"reshift is a developer-first security tool that helps software developers shift security left by finding and automatically fixing security issues in their own code")</f>
        <v>reshift is a developer-first security tool that helps software developers shift security left by finding and automatically fixing security issues in their own code</v>
      </c>
      <c r="G160" s="21" t="str">
        <f>IFERROR(__xludf.DUMMYFUNCTION("""COMPUTED_VALUE"""),"https://drive.google.com/file/d/11SEqLqumaDWkmMBteWJ9Ct35S0UImQEd/view?usp=sharing")</f>
        <v>https://drive.google.com/file/d/11SEqLqumaDWkmMBteWJ9Ct35S0UImQEd/view?usp=sharing</v>
      </c>
      <c r="H160" s="4" t="str">
        <f>IFERROR(__xludf.DUMMYFUNCTION("""COMPUTED_VALUE"""),"No")</f>
        <v>No</v>
      </c>
      <c r="I160" s="4" t="str">
        <f>IFERROR(__xludf.DUMMYFUNCTION("""COMPUTED_VALUE"""),"")</f>
        <v/>
      </c>
      <c r="J160" s="4" t="str">
        <f>IFERROR(__xludf.DUMMYFUNCTION("""COMPUTED_VALUE"""),"")</f>
        <v/>
      </c>
      <c r="K160" s="4" t="str">
        <f>IFERROR(__xludf.DUMMYFUNCTION("""COMPUTED_VALUE"""),"")</f>
        <v/>
      </c>
    </row>
    <row r="161">
      <c r="A161" s="382">
        <f>IFERROR(__xludf.DUMMYFUNCTION("""COMPUTED_VALUE"""),43982.6489)</f>
        <v>43982.6489</v>
      </c>
      <c r="B161" s="4" t="str">
        <f>IFERROR(__xludf.DUMMYFUNCTION("""COMPUTED_VALUE"""),"Fantasy Invest")</f>
        <v>Fantasy Invest</v>
      </c>
      <c r="C161" s="4" t="str">
        <f>IFERROR(__xludf.DUMMYFUNCTION("""COMPUTED_VALUE"""),"DZBI")</f>
        <v>DZBI</v>
      </c>
      <c r="D161" s="4" t="str">
        <f>IFERROR(__xludf.DUMMYFUNCTION("""COMPUTED_VALUE"""),"Mikhail")</f>
        <v>Mikhail</v>
      </c>
      <c r="E161" s="4" t="str">
        <f>IFERROR(__xludf.DUMMYFUNCTION("""COMPUTED_VALUE"""),"Gavrilov")</f>
        <v>Gavrilov</v>
      </c>
      <c r="F161" s="4" t="str">
        <f>IFERROR(__xludf.DUMMYFUNCTION("""COMPUTED_VALUE"""),"Fantasy Invest is a stock market game for the TikTok generation with real-world data, cool prizes and monetization via pay-to-enter contests.")</f>
        <v>Fantasy Invest is a stock market game for the TikTok generation with real-world data, cool prizes and monetization via pay-to-enter contests.</v>
      </c>
      <c r="G161" s="21" t="str">
        <f>IFERROR(__xludf.DUMMYFUNCTION("""COMPUTED_VALUE"""),"https://drive.google.com/file/d/1POIjgt77ABxVQZRdBBl6Ic9FQSgbhCZu/view?usp=sharing")</f>
        <v>https://drive.google.com/file/d/1POIjgt77ABxVQZRdBBl6Ic9FQSgbhCZu/view?usp=sharing</v>
      </c>
      <c r="H161" s="4" t="str">
        <f>IFERROR(__xludf.DUMMYFUNCTION("""COMPUTED_VALUE"""),"No")</f>
        <v>No</v>
      </c>
      <c r="I161" s="4" t="str">
        <f>IFERROR(__xludf.DUMMYFUNCTION("""COMPUTED_VALUE"""),"")</f>
        <v/>
      </c>
      <c r="J161" s="4" t="str">
        <f>IFERROR(__xludf.DUMMYFUNCTION("""COMPUTED_VALUE"""),"")</f>
        <v/>
      </c>
      <c r="K161" s="4" t="str">
        <f>IFERROR(__xludf.DUMMYFUNCTION("""COMPUTED_VALUE"""),"")</f>
        <v/>
      </c>
    </row>
    <row r="162">
      <c r="A162" s="382">
        <f>IFERROR(__xludf.DUMMYFUNCTION("""COMPUTED_VALUE"""),43982.922118)</f>
        <v>43982.92212</v>
      </c>
      <c r="B162" s="4" t="str">
        <f>IFERROR(__xludf.DUMMYFUNCTION("""COMPUTED_VALUE"""),"ETALYC")</f>
        <v>ETALYC</v>
      </c>
      <c r="C162" s="4" t="str">
        <f>IFERROR(__xludf.DUMMYFUNCTION("""COMPUTED_VALUE"""),"KZDR-1")</f>
        <v>KZDR-1</v>
      </c>
      <c r="D162" s="4" t="str">
        <f>IFERROR(__xludf.DUMMYFUNCTION("""COMPUTED_VALUE"""),"Vishal")</f>
        <v>Vishal</v>
      </c>
      <c r="E162" s="4" t="str">
        <f>IFERROR(__xludf.DUMMYFUNCTION("""COMPUTED_VALUE"""),"Mahulkar")</f>
        <v>Mahulkar</v>
      </c>
      <c r="F162" s="4" t="str">
        <f>IFERROR(__xludf.DUMMYFUNCTION("""COMPUTED_VALUE"""),"ETALYC develops cloud based software to monitor traffic infrastructure, optimize traffic operations, and provide decision support to city traffic managers.")</f>
        <v>ETALYC develops cloud based software to monitor traffic infrastructure, optimize traffic operations, and provide decision support to city traffic managers.</v>
      </c>
      <c r="G162" s="21" t="str">
        <f>IFERROR(__xludf.DUMMYFUNCTION("""COMPUTED_VALUE"""),"https://www.dropbox.com/s/defa2si4ahc7s95/ETALYC_pitch.mp4?dl=0")</f>
        <v>https://www.dropbox.com/s/defa2si4ahc7s95/ETALYC_pitch.mp4?dl=0</v>
      </c>
      <c r="H162" s="4" t="str">
        <f>IFERROR(__xludf.DUMMYFUNCTION("""COMPUTED_VALUE"""),"No")</f>
        <v>No</v>
      </c>
      <c r="I162" s="4" t="str">
        <f>IFERROR(__xludf.DUMMYFUNCTION("""COMPUTED_VALUE"""),"")</f>
        <v/>
      </c>
      <c r="J162" s="4" t="str">
        <f>IFERROR(__xludf.DUMMYFUNCTION("""COMPUTED_VALUE"""),"")</f>
        <v/>
      </c>
      <c r="K162" s="4" t="str">
        <f>IFERROR(__xludf.DUMMYFUNCTION("""COMPUTED_VALUE"""),"")</f>
        <v/>
      </c>
    </row>
    <row r="163">
      <c r="A163" s="382">
        <f>IFERROR(__xludf.DUMMYFUNCTION("""COMPUTED_VALUE"""),43982.992963)</f>
        <v>43982.99296</v>
      </c>
      <c r="B163" s="4" t="str">
        <f>IFERROR(__xludf.DUMMYFUNCTION("""COMPUTED_VALUE"""),"Rubitection")</f>
        <v>Rubitection</v>
      </c>
      <c r="C163" s="4" t="str">
        <f>IFERROR(__xludf.DUMMYFUNCTION("""COMPUTED_VALUE"""),"KAAA")</f>
        <v>KAAA</v>
      </c>
      <c r="D163" s="4" t="str">
        <f>IFERROR(__xludf.DUMMYFUNCTION("""COMPUTED_VALUE"""),"Sanna")</f>
        <v>Sanna</v>
      </c>
      <c r="E163" s="4" t="str">
        <f>IFERROR(__xludf.DUMMYFUNCTION("""COMPUTED_VALUE"""),"Gaspard")</f>
        <v>Gaspard</v>
      </c>
      <c r="F163" s="4" t="str">
        <f>IFERROR(__xludf.DUMMYFUNCTION("""COMPUTED_VALUE"""),"Rubitection is developing a skin health and wellness system to improve detection, assessment, and care management of dermatological and vascular conditions.")</f>
        <v>Rubitection is developing a skin health and wellness system to improve detection, assessment, and care management of dermatological and vascular conditions.</v>
      </c>
      <c r="G163" s="21" t="str">
        <f>IFERROR(__xludf.DUMMYFUNCTION("""COMPUTED_VALUE"""),"https://www.dropbox.com/s/48mcxzd492heyf3/Video%20Dec%2001%2C%2010%2036%2018%20PM.mov?dl=0")</f>
        <v>https://www.dropbox.com/s/48mcxzd492heyf3/Video%20Dec%2001%2C%2010%2036%2018%20PM.mov?dl=0</v>
      </c>
      <c r="H163" s="4" t="str">
        <f>IFERROR(__xludf.DUMMYFUNCTION("""COMPUTED_VALUE"""),"Yes")</f>
        <v>Yes</v>
      </c>
      <c r="I163" s="4" t="str">
        <f>IFERROR(__xludf.DUMMYFUNCTION("""COMPUTED_VALUE"""),"Failed")</f>
        <v>Failed</v>
      </c>
      <c r="J163" s="4" t="str">
        <f>IFERROR(__xludf.DUMMYFUNCTION("""COMPUTED_VALUE"""),"")</f>
        <v/>
      </c>
      <c r="K163" s="4" t="str">
        <f>IFERROR(__xludf.DUMMYFUNCTION("""COMPUTED_VALUE"""),"")</f>
        <v/>
      </c>
    </row>
    <row r="164">
      <c r="A164" s="382">
        <f>IFERROR(__xludf.DUMMYFUNCTION("""COMPUTED_VALUE"""),43983.792014)</f>
        <v>43983.79201</v>
      </c>
      <c r="B164" s="4" t="str">
        <f>IFERROR(__xludf.DUMMYFUNCTION("""COMPUTED_VALUE"""),"Giraffe Financial Inc")</f>
        <v>Giraffe Financial Inc</v>
      </c>
      <c r="C164" s="4" t="str">
        <f>IFERROR(__xludf.DUMMYFUNCTION("""COMPUTED_VALUE"""),"U6IV-1")</f>
        <v>U6IV-1</v>
      </c>
      <c r="D164" s="4" t="str">
        <f>IFERROR(__xludf.DUMMYFUNCTION("""COMPUTED_VALUE"""),"Donna")</f>
        <v>Donna</v>
      </c>
      <c r="E164" s="4" t="str">
        <f>IFERROR(__xludf.DUMMYFUNCTION("""COMPUTED_VALUE"""),"Tilden")</f>
        <v>Tilden</v>
      </c>
      <c r="F164" s="4" t="str">
        <f>IFERROR(__xludf.DUMMYFUNCTION("""COMPUTED_VALUE"""),"The Guavy app helps people share their opinion, facts, and predictions about public companies.   Guavy takes this information, analyzes it and makes it easier for people to see what everyone, all together, expects to happen to companies and the markets.")</f>
        <v>The Guavy app helps people share their opinion, facts, and predictions about public companies.   Guavy takes this information, analyzes it and makes it easier for people to see what everyone, all together, expects to happen to companies and the markets.</v>
      </c>
      <c r="G164" s="21" t="str">
        <f>IFERROR(__xludf.DUMMYFUNCTION("""COMPUTED_VALUE"""),"https://drive.google.com/file/d/10v3bL-aJQ37h20uVg7HRU5iNxO-uRwP9/view?usp=sharing")</f>
        <v>https://drive.google.com/file/d/10v3bL-aJQ37h20uVg7HRU5iNxO-uRwP9/view?usp=sharing</v>
      </c>
      <c r="H164" s="4" t="str">
        <f>IFERROR(__xludf.DUMMYFUNCTION("""COMPUTED_VALUE"""),"No")</f>
        <v>No</v>
      </c>
      <c r="I164" s="4" t="str">
        <f>IFERROR(__xludf.DUMMYFUNCTION("""COMPUTED_VALUE"""),"")</f>
        <v/>
      </c>
      <c r="J164" s="4" t="str">
        <f>IFERROR(__xludf.DUMMYFUNCTION("""COMPUTED_VALUE"""),"")</f>
        <v/>
      </c>
      <c r="K164" s="4" t="str">
        <f>IFERROR(__xludf.DUMMYFUNCTION("""COMPUTED_VALUE"""),"")</f>
        <v/>
      </c>
    </row>
    <row r="165">
      <c r="A165" s="382">
        <f>IFERROR(__xludf.DUMMYFUNCTION("""COMPUTED_VALUE"""),43983.849965)</f>
        <v>43983.84997</v>
      </c>
      <c r="B165" s="4" t="str">
        <f>IFERROR(__xludf.DUMMYFUNCTION("""COMPUTED_VALUE"""),"Inqli Inc.")</f>
        <v>Inqli Inc.</v>
      </c>
      <c r="C165" s="4" t="str">
        <f>IFERROR(__xludf.DUMMYFUNCTION("""COMPUTED_VALUE"""),"C2BE")</f>
        <v>C2BE</v>
      </c>
      <c r="D165" s="4" t="str">
        <f>IFERROR(__xludf.DUMMYFUNCTION("""COMPUTED_VALUE"""),"Rebecca")</f>
        <v>Rebecca</v>
      </c>
      <c r="E165" s="4" t="str">
        <f>IFERROR(__xludf.DUMMYFUNCTION("""COMPUTED_VALUE"""),"Kirstein")</f>
        <v>Kirstein</v>
      </c>
      <c r="F165" s="4" t="str">
        <f>IFERROR(__xludf.DUMMYFUNCTION("""COMPUTED_VALUE"""),"Inqli bridges the divide between education and work through a continuous process of inquiry, discovery, and wayfinding. Connecting the curious with the experienced isn’t just an engagement strategy. It is the future of work and learning.")</f>
        <v>Inqli bridges the divide between education and work through a continuous process of inquiry, discovery, and wayfinding. Connecting the curious with the experienced isn’t just an engagement strategy. It is the future of work and learning.</v>
      </c>
      <c r="G165" s="21" t="str">
        <f>IFERROR(__xludf.DUMMYFUNCTION("""COMPUTED_VALUE"""),"https://drive.google.com/drive/folders/1MNcNNi6lVFXhuJhIZt3Feg03JkLgJUDS?usp=sharing")</f>
        <v>https://drive.google.com/drive/folders/1MNcNNi6lVFXhuJhIZt3Feg03JkLgJUDS?usp=sharing</v>
      </c>
      <c r="H165" s="4" t="str">
        <f>IFERROR(__xludf.DUMMYFUNCTION("""COMPUTED_VALUE"""),"Yes")</f>
        <v>Yes</v>
      </c>
      <c r="I165" s="4" t="str">
        <f>IFERROR(__xludf.DUMMYFUNCTION("""COMPUTED_VALUE"""),"Passed")</f>
        <v>Passed</v>
      </c>
      <c r="J165" s="4" t="str">
        <f>IFERROR(__xludf.DUMMYFUNCTION("""COMPUTED_VALUE"""),"Sent for review")</f>
        <v>Sent for review</v>
      </c>
      <c r="K165" s="4" t="str">
        <f>IFERROR(__xludf.DUMMYFUNCTION("""COMPUTED_VALUE"""),"")</f>
        <v/>
      </c>
    </row>
    <row r="166">
      <c r="A166" s="382">
        <f>IFERROR(__xludf.DUMMYFUNCTION("""COMPUTED_VALUE"""),43984.517593)</f>
        <v>43984.51759</v>
      </c>
      <c r="B166" s="4" t="str">
        <f>IFERROR(__xludf.DUMMYFUNCTION("""COMPUTED_VALUE"""),"Nursing Career Coach")</f>
        <v>Nursing Career Coach</v>
      </c>
      <c r="C166" s="4" t="str">
        <f>IFERROR(__xludf.DUMMYFUNCTION("""COMPUTED_VALUE"""),"HZIJ-1")</f>
        <v>HZIJ-1</v>
      </c>
      <c r="D166" s="4" t="str">
        <f>IFERROR(__xludf.DUMMYFUNCTION("""COMPUTED_VALUE"""),"Tamara")</f>
        <v>Tamara</v>
      </c>
      <c r="E166" s="4" t="str">
        <f>IFERROR(__xludf.DUMMYFUNCTION("""COMPUTED_VALUE"""),"Miller")</f>
        <v>Miller</v>
      </c>
      <c r="F166" s="4" t="str">
        <f>IFERROR(__xludf.DUMMYFUNCTION("""COMPUTED_VALUE"""),"Using data-driven science, Nursing Career Coach provides innovative solutions to support nurse engagement, retention, and career development")</f>
        <v>Using data-driven science, Nursing Career Coach provides innovative solutions to support nurse engagement, retention, and career development</v>
      </c>
      <c r="G166" s="21" t="str">
        <f>IFERROR(__xludf.DUMMYFUNCTION("""COMPUTED_VALUE"""),"https://drive.google.com/open?id=1R6iyfv-UpgsDGUeW66cXY1NWy6IC998d")</f>
        <v>https://drive.google.com/open?id=1R6iyfv-UpgsDGUeW66cXY1NWy6IC998d</v>
      </c>
      <c r="H166" s="4" t="str">
        <f>IFERROR(__xludf.DUMMYFUNCTION("""COMPUTED_VALUE"""),"Yes")</f>
        <v>Yes</v>
      </c>
      <c r="I166" s="4" t="str">
        <f>IFERROR(__xludf.DUMMYFUNCTION("""COMPUTED_VALUE"""),"For Review")</f>
        <v>For Review</v>
      </c>
      <c r="J166" s="4" t="str">
        <f>IFERROR(__xludf.DUMMYFUNCTION("""COMPUTED_VALUE"""),"")</f>
        <v/>
      </c>
      <c r="K166" s="4" t="str">
        <f>IFERROR(__xludf.DUMMYFUNCTION("""COMPUTED_VALUE"""),"")</f>
        <v/>
      </c>
    </row>
    <row r="167">
      <c r="A167" s="382">
        <f>IFERROR(__xludf.DUMMYFUNCTION("""COMPUTED_VALUE"""),43985.585324)</f>
        <v>43985.58532</v>
      </c>
      <c r="B167" s="4" t="str">
        <f>IFERROR(__xludf.DUMMYFUNCTION("""COMPUTED_VALUE"""),"Cadiat")</f>
        <v>Cadiat</v>
      </c>
      <c r="C167" s="4" t="str">
        <f>IFERROR(__xludf.DUMMYFUNCTION("""COMPUTED_VALUE"""),"LPWG")</f>
        <v>LPWG</v>
      </c>
      <c r="D167" s="4" t="str">
        <f>IFERROR(__xludf.DUMMYFUNCTION("""COMPUTED_VALUE"""),"Kyle")</f>
        <v>Kyle</v>
      </c>
      <c r="E167" s="4" t="str">
        <f>IFERROR(__xludf.DUMMYFUNCTION("""COMPUTED_VALUE"""),"Scott")</f>
        <v>Scott</v>
      </c>
      <c r="F167" s="4" t="str">
        <f>IFERROR(__xludf.DUMMYFUNCTION("""COMPUTED_VALUE"""),"Electric autonomous trailers. Like trains for the road, emissions-free.")</f>
        <v>Electric autonomous trailers. Like trains for the road, emissions-free.</v>
      </c>
      <c r="G167" s="21" t="str">
        <f>IFERROR(__xludf.DUMMYFUNCTION("""COMPUTED_VALUE"""),"https://drive.google.com/file/d/1_VG0gVTfHK9xEvTeX4SX2eigJek_qSjJ/view?usp=sharing")</f>
        <v>https://drive.google.com/file/d/1_VG0gVTfHK9xEvTeX4SX2eigJek_qSjJ/view?usp=sharing</v>
      </c>
      <c r="H167" s="4" t="str">
        <f>IFERROR(__xludf.DUMMYFUNCTION("""COMPUTED_VALUE"""),"Yes")</f>
        <v>Yes</v>
      </c>
      <c r="I167" s="4" t="str">
        <f>IFERROR(__xludf.DUMMYFUNCTION("""COMPUTED_VALUE"""),"Passed")</f>
        <v>Passed</v>
      </c>
      <c r="J167" s="4" t="str">
        <f>IFERROR(__xludf.DUMMYFUNCTION("""COMPUTED_VALUE"""),"Sent for review")</f>
        <v>Sent for review</v>
      </c>
      <c r="K167" s="4" t="str">
        <f>IFERROR(__xludf.DUMMYFUNCTION("""COMPUTED_VALUE"""),"")</f>
        <v/>
      </c>
    </row>
    <row r="168">
      <c r="A168" s="382">
        <f>IFERROR(__xludf.DUMMYFUNCTION("""COMPUTED_VALUE"""),43985.628958)</f>
        <v>43985.62896</v>
      </c>
      <c r="B168" s="4" t="str">
        <f>IFERROR(__xludf.DUMMYFUNCTION("""COMPUTED_VALUE"""),"Krippit")</f>
        <v>Krippit</v>
      </c>
      <c r="C168" s="4" t="str">
        <f>IFERROR(__xludf.DUMMYFUNCTION("""COMPUTED_VALUE"""),"XKGH")</f>
        <v>XKGH</v>
      </c>
      <c r="D168" s="4" t="str">
        <f>IFERROR(__xludf.DUMMYFUNCTION("""COMPUTED_VALUE"""),"Melissa")</f>
        <v>Melissa</v>
      </c>
      <c r="E168" s="4" t="str">
        <f>IFERROR(__xludf.DUMMYFUNCTION("""COMPUTED_VALUE"""),"Chung")</f>
        <v>Chung</v>
      </c>
      <c r="F168" s="4" t="str">
        <f>IFERROR(__xludf.DUMMYFUNCTION("""COMPUTED_VALUE"""),"A solution for walking on subway grates and slippery surfaces without comprising on footwear.  A 3D tech product, which fits all most all heel sizes for a problem-free walk. A sustainable yet inexpensive solution to walk on those tricky surfaces.")</f>
        <v>A solution for walking on subway grates and slippery surfaces without comprising on footwear.  A 3D tech product, which fits all most all heel sizes for a problem-free walk. A sustainable yet inexpensive solution to walk on those tricky surfaces.</v>
      </c>
      <c r="G168" s="21" t="str">
        <f>IFERROR(__xludf.DUMMYFUNCTION("""COMPUTED_VALUE"""),"https://drive.google.com/file/d/1TLgeYUtAgfGI9R7My4mkwVmkTqerFxrc/view")</f>
        <v>https://drive.google.com/file/d/1TLgeYUtAgfGI9R7My4mkwVmkTqerFxrc/view</v>
      </c>
      <c r="H168" s="4" t="str">
        <f>IFERROR(__xludf.DUMMYFUNCTION("""COMPUTED_VALUE"""),"")</f>
        <v/>
      </c>
      <c r="I168" s="4" t="str">
        <f>IFERROR(__xludf.DUMMYFUNCTION("""COMPUTED_VALUE"""),"")</f>
        <v/>
      </c>
      <c r="J168" s="4" t="str">
        <f>IFERROR(__xludf.DUMMYFUNCTION("""COMPUTED_VALUE"""),"")</f>
        <v/>
      </c>
      <c r="K168" s="4" t="str">
        <f>IFERROR(__xludf.DUMMYFUNCTION("""COMPUTED_VALUE"""),"")</f>
        <v/>
      </c>
    </row>
    <row r="169">
      <c r="A169" s="382">
        <f>IFERROR(__xludf.DUMMYFUNCTION("""COMPUTED_VALUE"""),43985.988738)</f>
        <v>43985.98874</v>
      </c>
      <c r="B169" s="4" t="str">
        <f>IFERROR(__xludf.DUMMYFUNCTION("""COMPUTED_VALUE"""),"Nvestiv Capital")</f>
        <v>Nvestiv Capital</v>
      </c>
      <c r="C169" s="4" t="str">
        <f>IFERROR(__xludf.DUMMYFUNCTION("""COMPUTED_VALUE"""),"XTVO-1")</f>
        <v>XTVO-1</v>
      </c>
      <c r="D169" s="4" t="str">
        <f>IFERROR(__xludf.DUMMYFUNCTION("""COMPUTED_VALUE"""),"Saad")</f>
        <v>Saad</v>
      </c>
      <c r="E169" s="4" t="str">
        <f>IFERROR(__xludf.DUMMYFUNCTION("""COMPUTED_VALUE"""),"Hassan")</f>
        <v>Hassan</v>
      </c>
      <c r="F169" s="4" t="str">
        <f>IFERROR(__xludf.DUMMYFUNCTION("""COMPUTED_VALUE"""),"Nvestiv is the world’s first and only online marketplace for raising capital in the alternative investments industry. We use AI and a proprietary algorithm to match investors with fund managers that fit exactly the criteria provided to us.")</f>
        <v>Nvestiv is the world’s first and only online marketplace for raising capital in the alternative investments industry. We use AI and a proprietary algorithm to match investors with fund managers that fit exactly the criteria provided to us.</v>
      </c>
      <c r="G169" s="21" t="str">
        <f>IFERROR(__xludf.DUMMYFUNCTION("""COMPUTED_VALUE"""),"https://drive.google.com/file/d/1cfRnoDN1rgbZanhXPCCiDxhrTgmx-2WF/view?usp=sharing")</f>
        <v>https://drive.google.com/file/d/1cfRnoDN1rgbZanhXPCCiDxhrTgmx-2WF/view?usp=sharing</v>
      </c>
      <c r="H169" s="4" t="str">
        <f>IFERROR(__xludf.DUMMYFUNCTION("""COMPUTED_VALUE"""),"")</f>
        <v/>
      </c>
      <c r="I169" s="4" t="str">
        <f>IFERROR(__xludf.DUMMYFUNCTION("""COMPUTED_VALUE"""),"")</f>
        <v/>
      </c>
      <c r="J169" s="4" t="str">
        <f>IFERROR(__xludf.DUMMYFUNCTION("""COMPUTED_VALUE"""),"")</f>
        <v/>
      </c>
      <c r="K169" s="4" t="str">
        <f>IFERROR(__xludf.DUMMYFUNCTION("""COMPUTED_VALUE"""),"")</f>
        <v/>
      </c>
    </row>
    <row r="170">
      <c r="A170" s="382">
        <f>IFERROR(__xludf.DUMMYFUNCTION("""COMPUTED_VALUE"""),43986.387419)</f>
        <v>43986.38742</v>
      </c>
      <c r="B170" s="4" t="str">
        <f>IFERROR(__xludf.DUMMYFUNCTION("""COMPUTED_VALUE"""),"CREATORS AR")</f>
        <v>CREATORS AR</v>
      </c>
      <c r="C170" s="4" t="str">
        <f>IFERROR(__xludf.DUMMYFUNCTION("""COMPUTED_VALUE"""),"HQ3D")</f>
        <v>HQ3D</v>
      </c>
      <c r="D170" s="4" t="str">
        <f>IFERROR(__xludf.DUMMYFUNCTION("""COMPUTED_VALUE"""),"Eran")</f>
        <v>Eran</v>
      </c>
      <c r="E170" s="4" t="str">
        <f>IFERROR(__xludf.DUMMYFUNCTION("""COMPUTED_VALUE"""),"Nizri")</f>
        <v>Nizri</v>
      </c>
      <c r="F170" s="4" t="str">
        <f>IFERROR(__xludf.DUMMYFUNCTION("""COMPUTED_VALUE"""),"The future of digital content creation")</f>
        <v>The future of digital content creation</v>
      </c>
      <c r="G170" s="21" t="str">
        <f>IFERROR(__xludf.DUMMYFUNCTION("""COMPUTED_VALUE"""),"https://youtu.be/t3Xh6r1TTIg")</f>
        <v>https://youtu.be/t3Xh6r1TTIg</v>
      </c>
      <c r="H170" s="4" t="str">
        <f>IFERROR(__xludf.DUMMYFUNCTION("""COMPUTED_VALUE"""),"No")</f>
        <v>No</v>
      </c>
      <c r="I170" s="4" t="str">
        <f>IFERROR(__xludf.DUMMYFUNCTION("""COMPUTED_VALUE"""),"")</f>
        <v/>
      </c>
      <c r="J170" s="4" t="str">
        <f>IFERROR(__xludf.DUMMYFUNCTION("""COMPUTED_VALUE"""),"")</f>
        <v/>
      </c>
      <c r="K170" s="4" t="str">
        <f>IFERROR(__xludf.DUMMYFUNCTION("""COMPUTED_VALUE"""),"")</f>
        <v/>
      </c>
    </row>
    <row r="171">
      <c r="A171" s="382">
        <f>IFERROR(__xludf.DUMMYFUNCTION("""COMPUTED_VALUE"""),43986.406991)</f>
        <v>43986.40699</v>
      </c>
      <c r="B171" s="4" t="str">
        <f>IFERROR(__xludf.DUMMYFUNCTION("""COMPUTED_VALUE"""),"talkien")</f>
        <v>talkien</v>
      </c>
      <c r="C171" s="4" t="str">
        <f>IFERROR(__xludf.DUMMYFUNCTION("""COMPUTED_VALUE"""),"ADXQ")</f>
        <v>ADXQ</v>
      </c>
      <c r="D171" s="4" t="str">
        <f>IFERROR(__xludf.DUMMYFUNCTION("""COMPUTED_VALUE"""),"Denis")</f>
        <v>Denis</v>
      </c>
      <c r="E171" s="4" t="str">
        <f>IFERROR(__xludf.DUMMYFUNCTION("""COMPUTED_VALUE"""),"Dolsky")</f>
        <v>Dolsky</v>
      </c>
      <c r="F171" s="4" t="str">
        <f>IFERROR(__xludf.DUMMYFUNCTION("""COMPUTED_VALUE"""),"AI-powered service allowing people to quickly produce speech-based videos: relevant and informative content without the need to shoot.")</f>
        <v>AI-powered service allowing people to quickly produce speech-based videos: relevant and informative content without the need to shoot.</v>
      </c>
      <c r="G171" s="21" t="str">
        <f>IFERROR(__xludf.DUMMYFUNCTION("""COMPUTED_VALUE"""),"https://vimeo.com/425872825/37b21de584")</f>
        <v>https://vimeo.com/425872825/37b21de584</v>
      </c>
      <c r="H171" s="4" t="str">
        <f>IFERROR(__xludf.DUMMYFUNCTION("""COMPUTED_VALUE"""),"")</f>
        <v/>
      </c>
      <c r="I171" s="4" t="str">
        <f>IFERROR(__xludf.DUMMYFUNCTION("""COMPUTED_VALUE"""),"")</f>
        <v/>
      </c>
      <c r="J171" s="4" t="str">
        <f>IFERROR(__xludf.DUMMYFUNCTION("""COMPUTED_VALUE"""),"")</f>
        <v/>
      </c>
      <c r="K171" s="4" t="str">
        <f>IFERROR(__xludf.DUMMYFUNCTION("""COMPUTED_VALUE"""),"")</f>
        <v/>
      </c>
    </row>
    <row r="172">
      <c r="A172" s="382">
        <f>IFERROR(__xludf.DUMMYFUNCTION("""COMPUTED_VALUE"""),43986.568275)</f>
        <v>43986.56828</v>
      </c>
      <c r="B172" s="4" t="str">
        <f>IFERROR(__xludf.DUMMYFUNCTION("""COMPUTED_VALUE"""),"Capchase")</f>
        <v>Capchase</v>
      </c>
      <c r="C172" s="4" t="str">
        <f>IFERROR(__xludf.DUMMYFUNCTION("""COMPUTED_VALUE"""),"AHXU")</f>
        <v>AHXU</v>
      </c>
      <c r="D172" s="4" t="str">
        <f>IFERROR(__xludf.DUMMYFUNCTION("""COMPUTED_VALUE"""),"Miguel")</f>
        <v>Miguel</v>
      </c>
      <c r="E172" s="4" t="str">
        <f>IFERROR(__xludf.DUMMYFUNCTION("""COMPUTED_VALUE"""),"Fernandez")</f>
        <v>Fernandez</v>
      </c>
      <c r="F172" s="4" t="str">
        <f>IFERROR(__xludf.DUMMYFUNCTION("""COMPUTED_VALUE"""),"We are Capchase. We turn any SaaS contract into a year-worth of cash on day one. With Capchase, your customers pay monthly while you avoid costly discounts and lengthy negotiations. Invest in growth, and avoid dilution. Go with Capchase.")</f>
        <v>We are Capchase. We turn any SaaS contract into a year-worth of cash on day one. With Capchase, your customers pay monthly while you avoid costly discounts and lengthy negotiations. Invest in growth, and avoid dilution. Go with Capchase.</v>
      </c>
      <c r="G172" s="21" t="str">
        <f>IFERROR(__xludf.DUMMYFUNCTION("""COMPUTED_VALUE"""),"https://drive.google.com/file/d/1M6gxsNBSohMxRzxhANYesg4BbmtQl56n/view?usp=sharing")</f>
        <v>https://drive.google.com/file/d/1M6gxsNBSohMxRzxhANYesg4BbmtQl56n/view?usp=sharing</v>
      </c>
      <c r="H172" s="4" t="str">
        <f>IFERROR(__xludf.DUMMYFUNCTION("""COMPUTED_VALUE"""),"Yes")</f>
        <v>Yes</v>
      </c>
      <c r="I172" s="4" t="str">
        <f>IFERROR(__xludf.DUMMYFUNCTION("""COMPUTED_VALUE"""),"")</f>
        <v/>
      </c>
      <c r="J172" s="4" t="str">
        <f>IFERROR(__xludf.DUMMYFUNCTION("""COMPUTED_VALUE"""),"")</f>
        <v/>
      </c>
      <c r="K172" s="4" t="str">
        <f>IFERROR(__xludf.DUMMYFUNCTION("""COMPUTED_VALUE"""),"")</f>
        <v/>
      </c>
    </row>
    <row r="173">
      <c r="A173" s="382">
        <f>IFERROR(__xludf.DUMMYFUNCTION("""COMPUTED_VALUE"""),43986.942477)</f>
        <v>43986.94248</v>
      </c>
      <c r="B173" s="4" t="str">
        <f>IFERROR(__xludf.DUMMYFUNCTION("""COMPUTED_VALUE"""),"Trav Triv")</f>
        <v>Trav Triv</v>
      </c>
      <c r="C173" s="4" t="str">
        <f>IFERROR(__xludf.DUMMYFUNCTION("""COMPUTED_VALUE"""),"A0R2")</f>
        <v>A0R2</v>
      </c>
      <c r="D173" s="4" t="str">
        <f>IFERROR(__xludf.DUMMYFUNCTION("""COMPUTED_VALUE"""),"Robert")</f>
        <v>Robert</v>
      </c>
      <c r="E173" s="4" t="str">
        <f>IFERROR(__xludf.DUMMYFUNCTION("""COMPUTED_VALUE"""),"Frost")</f>
        <v>Frost</v>
      </c>
      <c r="F173" s="4" t="str">
        <f>IFERROR(__xludf.DUMMYFUNCTION("""COMPUTED_VALUE"""),"Your app is a worldwide location sensitive journal hosting stories told by locals and travelers then posted to alert our membership of attraction and activities near them.")</f>
        <v>Your app is a worldwide location sensitive journal hosting stories told by locals and travelers then posted to alert our membership of attraction and activities near them.</v>
      </c>
      <c r="G173" s="21" t="str">
        <f>IFERROR(__xludf.DUMMYFUNCTION("""COMPUTED_VALUE"""),"https://drive.google.com/file/d/11NtJRUR2IS-bg1LDLEGmGHMWK7ZJV9Si/view?usp=sharing")</f>
        <v>https://drive.google.com/file/d/11NtJRUR2IS-bg1LDLEGmGHMWK7ZJV9Si/view?usp=sharing</v>
      </c>
      <c r="H173" s="4" t="str">
        <f>IFERROR(__xludf.DUMMYFUNCTION("""COMPUTED_VALUE"""),"No")</f>
        <v>No</v>
      </c>
      <c r="I173" s="4" t="str">
        <f>IFERROR(__xludf.DUMMYFUNCTION("""COMPUTED_VALUE"""),"")</f>
        <v/>
      </c>
      <c r="J173" s="4" t="str">
        <f>IFERROR(__xludf.DUMMYFUNCTION("""COMPUTED_VALUE"""),"")</f>
        <v/>
      </c>
      <c r="K173" s="4" t="str">
        <f>IFERROR(__xludf.DUMMYFUNCTION("""COMPUTED_VALUE"""),"")</f>
        <v/>
      </c>
    </row>
    <row r="174">
      <c r="A174" s="382">
        <f>IFERROR(__xludf.DUMMYFUNCTION("""COMPUTED_VALUE"""),43987.16397)</f>
        <v>43987.16397</v>
      </c>
      <c r="B174" s="4" t="str">
        <f>IFERROR(__xludf.DUMMYFUNCTION("""COMPUTED_VALUE"""),"Bartini.aero")</f>
        <v>Bartini.aero</v>
      </c>
      <c r="C174" s="4" t="str">
        <f>IFERROR(__xludf.DUMMYFUNCTION("""COMPUTED_VALUE"""),"DXZD")</f>
        <v>DXZD</v>
      </c>
      <c r="D174" s="4" t="str">
        <f>IFERROR(__xludf.DUMMYFUNCTION("""COMPUTED_VALUE"""),"Ilya")</f>
        <v>Ilya</v>
      </c>
      <c r="E174" s="4" t="str">
        <f>IFERROR(__xludf.DUMMYFUNCTION("""COMPUTED_VALUE"""),"Khanykov")</f>
        <v>Khanykov</v>
      </c>
      <c r="F174" s="4" t="str">
        <f>IFERROR(__xludf.DUMMYFUNCTION("""COMPUTED_VALUE"""),"Imagine you take a few minutes walk from your house then a 10 minute flight gets you anywhere in your city, avoiding traffic. The first eVTOL designed to provide 4x flight endurance, top automotive comfort, and the lowest cost-index.")</f>
        <v>Imagine you take a few minutes walk from your house then a 10 minute flight gets you anywhere in your city, avoiding traffic. The first eVTOL designed to provide 4x flight endurance, top automotive comfort, and the lowest cost-index.</v>
      </c>
      <c r="G174" s="21" t="str">
        <f>IFERROR(__xludf.DUMMYFUNCTION("""COMPUTED_VALUE"""),"https://drive.google.com/file/d/1LPLbEy16xaRBC1pjwUrzn4dj470vfunq/view?usp=sharing")</f>
        <v>https://drive.google.com/file/d/1LPLbEy16xaRBC1pjwUrzn4dj470vfunq/view?usp=sharing</v>
      </c>
      <c r="H174" s="4" t="str">
        <f>IFERROR(__xludf.DUMMYFUNCTION("""COMPUTED_VALUE"""),"No")</f>
        <v>No</v>
      </c>
      <c r="I174" s="4" t="str">
        <f>IFERROR(__xludf.DUMMYFUNCTION("""COMPUTED_VALUE"""),"")</f>
        <v/>
      </c>
      <c r="J174" s="4" t="str">
        <f>IFERROR(__xludf.DUMMYFUNCTION("""COMPUTED_VALUE"""),"")</f>
        <v/>
      </c>
      <c r="K174" s="4" t="str">
        <f>IFERROR(__xludf.DUMMYFUNCTION("""COMPUTED_VALUE"""),"")</f>
        <v/>
      </c>
    </row>
    <row r="175">
      <c r="A175" s="382">
        <f>IFERROR(__xludf.DUMMYFUNCTION("""COMPUTED_VALUE"""),43987.394213)</f>
        <v>43987.39421</v>
      </c>
      <c r="B175" s="4" t="str">
        <f>IFERROR(__xludf.DUMMYFUNCTION("""COMPUTED_VALUE"""),"RideShark Corporation")</f>
        <v>RideShark Corporation</v>
      </c>
      <c r="C175" s="4" t="str">
        <f>IFERROR(__xludf.DUMMYFUNCTION("""COMPUTED_VALUE"""),"DAUK")</f>
        <v>DAUK</v>
      </c>
      <c r="D175" s="4" t="str">
        <f>IFERROR(__xludf.DUMMYFUNCTION("""COMPUTED_VALUE"""),"Sharon")</f>
        <v>Sharon</v>
      </c>
      <c r="E175" s="4" t="str">
        <f>IFERROR(__xludf.DUMMYFUNCTION("""COMPUTED_VALUE"""),"Lewinson")</f>
        <v>Lewinson</v>
      </c>
      <c r="F175" s="4" t="str">
        <f>IFERROR(__xludf.DUMMYFUNCTION("""COMPUTED_VALUE"""),"RideShark is a SaaS platform that delivers multi-modal mobility solutions to Cities, States, companies and even entire an entire country.  It reduces congestion and GHG emissions by providing the tools for people to choose sustainable travel options.")</f>
        <v>RideShark is a SaaS platform that delivers multi-modal mobility solutions to Cities, States, companies and even entire an entire country.  It reduces congestion and GHG emissions by providing the tools for people to choose sustainable travel options.</v>
      </c>
      <c r="G175" s="4" t="str">
        <f>IFERROR(__xludf.DUMMYFUNCTION("""COMPUTED_VALUE"""),"RideShark Video Pitch For Collision At Home 2020.mp4")</f>
        <v>RideShark Video Pitch For Collision At Home 2020.mp4</v>
      </c>
      <c r="H175" s="4" t="str">
        <f>IFERROR(__xludf.DUMMYFUNCTION("""COMPUTED_VALUE"""),"")</f>
        <v/>
      </c>
      <c r="I175" s="4" t="str">
        <f>IFERROR(__xludf.DUMMYFUNCTION("""COMPUTED_VALUE"""),"")</f>
        <v/>
      </c>
      <c r="J175" s="4" t="str">
        <f>IFERROR(__xludf.DUMMYFUNCTION("""COMPUTED_VALUE"""),"")</f>
        <v/>
      </c>
      <c r="K175" s="4" t="str">
        <f>IFERROR(__xludf.DUMMYFUNCTION("""COMPUTED_VALUE"""),"")</f>
        <v/>
      </c>
    </row>
    <row r="176">
      <c r="A176" s="382">
        <f>IFERROR(__xludf.DUMMYFUNCTION("""COMPUTED_VALUE"""),43987.490903)</f>
        <v>43987.4909</v>
      </c>
      <c r="B176" s="4" t="str">
        <f>IFERROR(__xludf.DUMMYFUNCTION("""COMPUTED_VALUE"""),"StartRyt")</f>
        <v>StartRyt</v>
      </c>
      <c r="C176" s="4" t="str">
        <f>IFERROR(__xludf.DUMMYFUNCTION("""COMPUTED_VALUE"""),"7GV1")</f>
        <v>7GV1</v>
      </c>
      <c r="D176" s="4" t="str">
        <f>IFERROR(__xludf.DUMMYFUNCTION("""COMPUTED_VALUE"""),"Nav")</f>
        <v>Nav</v>
      </c>
      <c r="E176" s="4" t="str">
        <f>IFERROR(__xludf.DUMMYFUNCTION("""COMPUTED_VALUE"""),"Bubber")</f>
        <v>Bubber</v>
      </c>
      <c r="F176" s="4" t="str">
        <f>IFERROR(__xludf.DUMMYFUNCTION("""COMPUTED_VALUE"""),"A fully integrated digital platform available across devices that allows Entrepreneurs to collaborate with Experts and Investors to validate and bring high potential ideas to life.")</f>
        <v>A fully integrated digital platform available across devices that allows Entrepreneurs to collaborate with Experts and Investors to validate and bring high potential ideas to life.</v>
      </c>
      <c r="G176" s="21" t="str">
        <f>IFERROR(__xludf.DUMMYFUNCTION("""COMPUTED_VALUE"""),"https://drive.google.com/file/d/1bc3H2g0n9GqLRokrYLOUPADvsKt5qG5q/view?usp=sharing")</f>
        <v>https://drive.google.com/file/d/1bc3H2g0n9GqLRokrYLOUPADvsKt5qG5q/view?usp=sharing</v>
      </c>
      <c r="H176" s="4" t="str">
        <f>IFERROR(__xludf.DUMMYFUNCTION("""COMPUTED_VALUE"""),"No")</f>
        <v>No</v>
      </c>
      <c r="I176" s="4" t="str">
        <f>IFERROR(__xludf.DUMMYFUNCTION("""COMPUTED_VALUE"""),"")</f>
        <v/>
      </c>
      <c r="J176" s="4" t="str">
        <f>IFERROR(__xludf.DUMMYFUNCTION("""COMPUTED_VALUE"""),"")</f>
        <v/>
      </c>
      <c r="K176" s="4" t="str">
        <f>IFERROR(__xludf.DUMMYFUNCTION("""COMPUTED_VALUE"""),"")</f>
        <v/>
      </c>
    </row>
    <row r="177">
      <c r="A177" s="382">
        <f>IFERROR(__xludf.DUMMYFUNCTION("""COMPUTED_VALUE"""),43987.498056)</f>
        <v>43987.49806</v>
      </c>
      <c r="B177" s="4" t="str">
        <f>IFERROR(__xludf.DUMMYFUNCTION("""COMPUTED_VALUE"""),"DalyDesignist")</f>
        <v>DalyDesignist</v>
      </c>
      <c r="C177" s="4" t="str">
        <f>IFERROR(__xludf.DUMMYFUNCTION("""COMPUTED_VALUE"""),"7LLF-1")</f>
        <v>7LLF-1</v>
      </c>
      <c r="D177" s="4" t="str">
        <f>IFERROR(__xludf.DUMMYFUNCTION("""COMPUTED_VALUE"""),"Chhavi")</f>
        <v>Chhavi</v>
      </c>
      <c r="E177" s="4" t="str">
        <f>IFERROR(__xludf.DUMMYFUNCTION("""COMPUTED_VALUE"""),"Singh")</f>
        <v>Singh</v>
      </c>
      <c r="F177" s="4" t="str">
        <f>IFERROR(__xludf.DUMMYFUNCTION("""COMPUTED_VALUE"""),"Online arts platform for learning, selling and buying arts. We have 200+ selected artists from 12+ countries. We specialized not only in teaching conventional arts but also folk arts for kids and adults.")</f>
        <v>Online arts platform for learning, selling and buying arts. We have 200+ selected artists from 12+ countries. We specialized not only in teaching conventional arts but also folk arts for kids and adults.</v>
      </c>
      <c r="G177" s="21" t="str">
        <f>IFERROR(__xludf.DUMMYFUNCTION("""COMPUTED_VALUE"""),"https://drive.google.com/drive/u/1/folders/1wD5m0cO0LpGgKDVh2VT0cNGjNwzfROcU")</f>
        <v>https://drive.google.com/drive/u/1/folders/1wD5m0cO0LpGgKDVh2VT0cNGjNwzfROcU</v>
      </c>
      <c r="H177" s="4" t="str">
        <f>IFERROR(__xludf.DUMMYFUNCTION("""COMPUTED_VALUE"""),"No")</f>
        <v>No</v>
      </c>
      <c r="I177" s="4" t="str">
        <f>IFERROR(__xludf.DUMMYFUNCTION("""COMPUTED_VALUE"""),"")</f>
        <v/>
      </c>
      <c r="J177" s="4" t="str">
        <f>IFERROR(__xludf.DUMMYFUNCTION("""COMPUTED_VALUE"""),"")</f>
        <v/>
      </c>
      <c r="K177" s="4" t="str">
        <f>IFERROR(__xludf.DUMMYFUNCTION("""COMPUTED_VALUE"""),"")</f>
        <v/>
      </c>
    </row>
    <row r="178">
      <c r="A178" s="382">
        <f>IFERROR(__xludf.DUMMYFUNCTION("""COMPUTED_VALUE"""),43987.499387)</f>
        <v>43987.49939</v>
      </c>
      <c r="B178" s="4" t="str">
        <f>IFERROR(__xludf.DUMMYFUNCTION("""COMPUTED_VALUE"""),"FROGED")</f>
        <v>FROGED</v>
      </c>
      <c r="C178" s="4" t="str">
        <f>IFERROR(__xludf.DUMMYFUNCTION("""COMPUTED_VALUE"""),"HOFS")</f>
        <v>HOFS</v>
      </c>
      <c r="D178" s="4" t="str">
        <f>IFERROR(__xludf.DUMMYFUNCTION("""COMPUTED_VALUE"""),"Emily")</f>
        <v>Emily</v>
      </c>
      <c r="E178" s="4" t="str">
        <f>IFERROR(__xludf.DUMMYFUNCTION("""COMPUTED_VALUE"""),"G.-Cebrián")</f>
        <v>G.-Cebrián</v>
      </c>
      <c r="F178" s="4" t="str">
        <f>IFERROR(__xludf.DUMMYFUNCTION("""COMPUTED_VALUE"""),"FROGED is a Customer Success &amp; Support Platform based on tracking user's unique behavior. Less Churn and more Customer loyalty taking care of your customer's whole lifecycle.")</f>
        <v>FROGED is a Customer Success &amp; Support Platform based on tracking user's unique behavior. Less Churn and more Customer loyalty taking care of your customer's whole lifecycle.</v>
      </c>
      <c r="G178" s="21" t="str">
        <f>IFERROR(__xludf.DUMMYFUNCTION("""COMPUTED_VALUE"""),"https://drive.google.com/file/d/1IEynTRoV-sKnlAnEZIfLniu2rjQQmZCh/view?usp=sharing")</f>
        <v>https://drive.google.com/file/d/1IEynTRoV-sKnlAnEZIfLniu2rjQQmZCh/view?usp=sharing</v>
      </c>
      <c r="H178" s="4" t="str">
        <f>IFERROR(__xludf.DUMMYFUNCTION("""COMPUTED_VALUE"""),"Yes")</f>
        <v>Yes</v>
      </c>
      <c r="I178" s="4" t="str">
        <f>IFERROR(__xludf.DUMMYFUNCTION("""COMPUTED_VALUE"""),"Failed")</f>
        <v>Failed</v>
      </c>
      <c r="J178" s="4" t="str">
        <f>IFERROR(__xludf.DUMMYFUNCTION("""COMPUTED_VALUE"""),"")</f>
        <v/>
      </c>
      <c r="K178" s="4" t="str">
        <f>IFERROR(__xludf.DUMMYFUNCTION("""COMPUTED_VALUE"""),"")</f>
        <v/>
      </c>
    </row>
    <row r="179">
      <c r="A179" s="382">
        <f>IFERROR(__xludf.DUMMYFUNCTION("""COMPUTED_VALUE"""),43987.622801)</f>
        <v>43987.6228</v>
      </c>
      <c r="B179" s="4" t="str">
        <f>IFERROR(__xludf.DUMMYFUNCTION("""COMPUTED_VALUE"""),"Faceopen")</f>
        <v>Faceopen</v>
      </c>
      <c r="C179" s="4" t="str">
        <f>IFERROR(__xludf.DUMMYFUNCTION("""COMPUTED_VALUE"""),"1NOR-1")</f>
        <v>1NOR-1</v>
      </c>
      <c r="D179" s="4" t="str">
        <f>IFERROR(__xludf.DUMMYFUNCTION("""COMPUTED_VALUE"""),"Luv")</f>
        <v>Luv</v>
      </c>
      <c r="E179" s="4" t="str">
        <f>IFERROR(__xludf.DUMMYFUNCTION("""COMPUTED_VALUE"""),"Tulsidas")</f>
        <v>Tulsidas</v>
      </c>
      <c r="F179" s="4" t="str">
        <f>IFERROR(__xludf.DUMMYFUNCTION("""COMPUTED_VALUE"""),"Faceopen is the first completely TOUCH FREE access control platform powered by our proprietary Cloud based AI and edge device technology in the $25B global lock &amp; access control market.")</f>
        <v>Faceopen is the first completely TOUCH FREE access control platform powered by our proprietary Cloud based AI and edge device technology in the $25B global lock &amp; access control market.</v>
      </c>
      <c r="G179" s="21" t="str">
        <f>IFERROR(__xludf.DUMMYFUNCTION("""COMPUTED_VALUE"""),"https://www.youtube.com/watch?v=jL5YDTfaraY&amp;feature=share")</f>
        <v>https://www.youtube.com/watch?v=jL5YDTfaraY&amp;feature=share</v>
      </c>
      <c r="H179" s="4" t="str">
        <f>IFERROR(__xludf.DUMMYFUNCTION("""COMPUTED_VALUE"""),"")</f>
        <v/>
      </c>
      <c r="I179" s="4" t="str">
        <f>IFERROR(__xludf.DUMMYFUNCTION("""COMPUTED_VALUE"""),"")</f>
        <v/>
      </c>
      <c r="J179" s="4" t="str">
        <f>IFERROR(__xludf.DUMMYFUNCTION("""COMPUTED_VALUE"""),"")</f>
        <v/>
      </c>
      <c r="K179" s="4" t="str">
        <f>IFERROR(__xludf.DUMMYFUNCTION("""COMPUTED_VALUE"""),"")</f>
        <v/>
      </c>
    </row>
    <row r="180">
      <c r="A180" s="382">
        <f>IFERROR(__xludf.DUMMYFUNCTION("""COMPUTED_VALUE"""),43987.697766)</f>
        <v>43987.69777</v>
      </c>
      <c r="B180" s="4" t="str">
        <f>IFERROR(__xludf.DUMMYFUNCTION("""COMPUTED_VALUE"""),"Factually Health")</f>
        <v>Factually Health</v>
      </c>
      <c r="C180" s="4" t="str">
        <f>IFERROR(__xludf.DUMMYFUNCTION("""COMPUTED_VALUE"""),"OGRA")</f>
        <v>OGRA</v>
      </c>
      <c r="D180" s="4" t="str">
        <f>IFERROR(__xludf.DUMMYFUNCTION("""COMPUTED_VALUE"""),"Lina")</f>
        <v>Lina</v>
      </c>
      <c r="E180" s="4" t="str">
        <f>IFERROR(__xludf.DUMMYFUNCTION("""COMPUTED_VALUE"""),"Forcier")</f>
        <v>Forcier</v>
      </c>
      <c r="F180" s="4" t="str">
        <f>IFERROR(__xludf.DUMMYFUNCTION("""COMPUTED_VALUE"""),"Factually Health:  the power of AI to score the credibility of online health info and fight misinformation. One disease at a time (including COVID-19). Clients automatically know the validity of the info they’re looking at, or use in their decision-making"&amp;".")</f>
        <v>Factually Health:  the power of AI to score the credibility of online health info and fight misinformation. One disease at a time (including COVID-19). Clients automatically know the validity of the info they’re looking at, or use in their decision-making.</v>
      </c>
      <c r="G180" s="21" t="str">
        <f>IFERROR(__xludf.DUMMYFUNCTION("""COMPUTED_VALUE"""),"https://drive.google.com/file/d/1hUpSR9wQrlyqJqol6RD52gc-b4d0mwdy/view?usp=sharing")</f>
        <v>https://drive.google.com/file/d/1hUpSR9wQrlyqJqol6RD52gc-b4d0mwdy/view?usp=sharing</v>
      </c>
      <c r="H180" s="4" t="str">
        <f>IFERROR(__xludf.DUMMYFUNCTION("""COMPUTED_VALUE"""),"")</f>
        <v/>
      </c>
      <c r="I180" s="4" t="str">
        <f>IFERROR(__xludf.DUMMYFUNCTION("""COMPUTED_VALUE"""),"")</f>
        <v/>
      </c>
      <c r="J180" s="4" t="str">
        <f>IFERROR(__xludf.DUMMYFUNCTION("""COMPUTED_VALUE"""),"")</f>
        <v/>
      </c>
      <c r="K180" s="4" t="str">
        <f>IFERROR(__xludf.DUMMYFUNCTION("""COMPUTED_VALUE"""),"")</f>
        <v/>
      </c>
    </row>
    <row r="181">
      <c r="A181" s="382">
        <f>IFERROR(__xludf.DUMMYFUNCTION("""COMPUTED_VALUE"""),43987.721227)</f>
        <v>43987.72123</v>
      </c>
      <c r="B181" s="4" t="str">
        <f>IFERROR(__xludf.DUMMYFUNCTION("""COMPUTED_VALUE"""),"CONETBOOK")</f>
        <v>CONETBOOK</v>
      </c>
      <c r="C181" s="4" t="str">
        <f>IFERROR(__xludf.DUMMYFUNCTION("""COMPUTED_VALUE"""),"OLML")</f>
        <v>OLML</v>
      </c>
      <c r="D181" s="4" t="str">
        <f>IFERROR(__xludf.DUMMYFUNCTION("""COMPUTED_VALUE"""),"Davidson")</f>
        <v>Davidson</v>
      </c>
      <c r="E181" s="4" t="str">
        <f>IFERROR(__xludf.DUMMYFUNCTION("""COMPUTED_VALUE"""),"Akujiofor")</f>
        <v>Akujiofor</v>
      </c>
      <c r="F181" s="4" t="str">
        <f>IFERROR(__xludf.DUMMYFUNCTION("""COMPUTED_VALUE"""),"Conetbook is a reliable social network that helps people to manage their social, econmic, and personal relationships, with the aim of solving basic problems affecting relationships, communication, and connectivity among individuals on a global scale.")</f>
        <v>Conetbook is a reliable social network that helps people to manage their social, econmic, and personal relationships, with the aim of solving basic problems affecting relationships, communication, and connectivity among individuals on a global scale.</v>
      </c>
      <c r="G181" s="21" t="str">
        <f>IFERROR(__xludf.DUMMYFUNCTION("""COMPUTED_VALUE"""),"https://youtu.be/fmkMptb1SV0")</f>
        <v>https://youtu.be/fmkMptb1SV0</v>
      </c>
      <c r="H181" s="4" t="str">
        <f>IFERROR(__xludf.DUMMYFUNCTION("""COMPUTED_VALUE"""),"")</f>
        <v/>
      </c>
      <c r="I181" s="4" t="str">
        <f>IFERROR(__xludf.DUMMYFUNCTION("""COMPUTED_VALUE"""),"")</f>
        <v/>
      </c>
      <c r="J181" s="4" t="str">
        <f>IFERROR(__xludf.DUMMYFUNCTION("""COMPUTED_VALUE"""),"")</f>
        <v/>
      </c>
      <c r="K181" s="4" t="str">
        <f>IFERROR(__xludf.DUMMYFUNCTION("""COMPUTED_VALUE"""),"")</f>
        <v/>
      </c>
    </row>
    <row r="182">
      <c r="A182" s="382">
        <f>IFERROR(__xludf.DUMMYFUNCTION("""COMPUTED_VALUE"""),43989.015984)</f>
        <v>43989.01598</v>
      </c>
      <c r="B182" s="4" t="str">
        <f>IFERROR(__xludf.DUMMYFUNCTION("""COMPUTED_VALUE"""),"Learncool Pte Ltd")</f>
        <v>Learncool Pte Ltd</v>
      </c>
      <c r="C182" s="4" t="str">
        <f>IFERROR(__xludf.DUMMYFUNCTION("""COMPUTED_VALUE"""),"UA1B-1")</f>
        <v>UA1B-1</v>
      </c>
      <c r="D182" s="4" t="str">
        <f>IFERROR(__xludf.DUMMYFUNCTION("""COMPUTED_VALUE"""),"SHISHIR")</f>
        <v>SHISHIR</v>
      </c>
      <c r="E182" s="4" t="str">
        <f>IFERROR(__xludf.DUMMYFUNCTION("""COMPUTED_VALUE"""),"CHOUDHARY")</f>
        <v>CHOUDHARY</v>
      </c>
      <c r="F182" s="4" t="str">
        <f>IFERROR(__xludf.DUMMYFUNCTION("""COMPUTED_VALUE"""),"We help training centers go digital, helping them attract and retain more students by improving marketing and sales, operations, learning collaboration and live learning")</f>
        <v>We help training centers go digital, helping them attract and retain more students by improving marketing and sales, operations, learning collaboration and live learning</v>
      </c>
      <c r="G182" s="21" t="str">
        <f>IFERROR(__xludf.DUMMYFUNCTION("""COMPUTED_VALUE"""),"https://drive.google.com/open?id=1Y_2gvWWZqj_eNBmGx8duO_6oL-gDyDNE")</f>
        <v>https://drive.google.com/open?id=1Y_2gvWWZqj_eNBmGx8duO_6oL-gDyDNE</v>
      </c>
      <c r="H182" s="4" t="str">
        <f>IFERROR(__xludf.DUMMYFUNCTION("""COMPUTED_VALUE"""),"")</f>
        <v/>
      </c>
      <c r="I182" s="4" t="str">
        <f>IFERROR(__xludf.DUMMYFUNCTION("""COMPUTED_VALUE"""),"")</f>
        <v/>
      </c>
      <c r="J182" s="4" t="str">
        <f>IFERROR(__xludf.DUMMYFUNCTION("""COMPUTED_VALUE"""),"")</f>
        <v/>
      </c>
      <c r="K182" s="4" t="str">
        <f>IFERROR(__xludf.DUMMYFUNCTION("""COMPUTED_VALUE"""),"")</f>
        <v/>
      </c>
    </row>
    <row r="183">
      <c r="A183" s="382">
        <f>IFERROR(__xludf.DUMMYFUNCTION("""COMPUTED_VALUE"""),43989.505868)</f>
        <v>43989.50587</v>
      </c>
      <c r="B183" s="4" t="str">
        <f>IFERROR(__xludf.DUMMYFUNCTION("""COMPUTED_VALUE"""),"Flux")</f>
        <v>Flux</v>
      </c>
      <c r="C183" s="4" t="str">
        <f>IFERROR(__xludf.DUMMYFUNCTION("""COMPUTED_VALUE"""),"7Y9M")</f>
        <v>7Y9M</v>
      </c>
      <c r="D183" s="4" t="str">
        <f>IFERROR(__xludf.DUMMYFUNCTION("""COMPUTED_VALUE"""),"Nick")</f>
        <v>Nick</v>
      </c>
      <c r="E183" s="4" t="str">
        <f>IFERROR(__xludf.DUMMYFUNCTION("""COMPUTED_VALUE"""),"Ionita")</f>
        <v>Ionita</v>
      </c>
      <c r="F183" s="4" t="str">
        <f>IFERROR(__xludf.DUMMYFUNCTION("""COMPUTED_VALUE"""),"Flux's internal mobility platform empowers employees to grow their career through the most impactful work inside their company. From full-time jobs to flex project work, Flux equitably connects best-fit internal talent with opportunity that may not have o"&amp;"therwise been found.")</f>
        <v>Flux's internal mobility platform empowers employees to grow their career through the most impactful work inside their company. From full-time jobs to flex project work, Flux equitably connects best-fit internal talent with opportunity that may not have otherwise been found.</v>
      </c>
      <c r="G183" s="21" t="str">
        <f>IFERROR(__xludf.DUMMYFUNCTION("""COMPUTED_VALUE"""),"https://drive.google.com/file/d/1jumY6NQydiI7zsP-vkaniCEGABvcCcEn/view?usp=sharing")</f>
        <v>https://drive.google.com/file/d/1jumY6NQydiI7zsP-vkaniCEGABvcCcEn/view?usp=sharing</v>
      </c>
      <c r="H183" s="4" t="str">
        <f>IFERROR(__xludf.DUMMYFUNCTION("""COMPUTED_VALUE"""),"")</f>
        <v/>
      </c>
      <c r="I183" s="4" t="str">
        <f>IFERROR(__xludf.DUMMYFUNCTION("""COMPUTED_VALUE"""),"")</f>
        <v/>
      </c>
      <c r="J183" s="4" t="str">
        <f>IFERROR(__xludf.DUMMYFUNCTION("""COMPUTED_VALUE"""),"")</f>
        <v/>
      </c>
      <c r="K183" s="4" t="str">
        <f>IFERROR(__xludf.DUMMYFUNCTION("""COMPUTED_VALUE"""),"")</f>
        <v/>
      </c>
    </row>
    <row r="184">
      <c r="A184" s="382">
        <f>IFERROR(__xludf.DUMMYFUNCTION("""COMPUTED_VALUE"""),43989.587431)</f>
        <v>43989.58743</v>
      </c>
      <c r="B184" s="4" t="str">
        <f>IFERROR(__xludf.DUMMYFUNCTION("""COMPUTED_VALUE"""),"Zennflo")</f>
        <v>Zennflo</v>
      </c>
      <c r="C184" s="4" t="str">
        <f>IFERROR(__xludf.DUMMYFUNCTION("""COMPUTED_VALUE"""),"GPCM")</f>
        <v>GPCM</v>
      </c>
      <c r="D184" s="4" t="str">
        <f>IFERROR(__xludf.DUMMYFUNCTION("""COMPUTED_VALUE"""),"John")</f>
        <v>John</v>
      </c>
      <c r="E184" s="4" t="str">
        <f>IFERROR(__xludf.DUMMYFUNCTION("""COMPUTED_VALUE"""),"Posan")</f>
        <v>Posan</v>
      </c>
      <c r="F184" s="4" t="str">
        <f>IFERROR(__xludf.DUMMYFUNCTION("""COMPUTED_VALUE"""),"Zennflo enables you to receive quality hair, massage, and massage services in the comfort of your own home. Clients pay less and professionals earn more by removing the salon overhead. Welcome to the Future of Relaxation!")</f>
        <v>Zennflo enables you to receive quality hair, massage, and massage services in the comfort of your own home. Clients pay less and professionals earn more by removing the salon overhead. Welcome to the Future of Relaxation!</v>
      </c>
      <c r="G184" s="21" t="str">
        <f>IFERROR(__xludf.DUMMYFUNCTION("""COMPUTED_VALUE"""),"https://drive.google.com/file/d/1cT67DnMBJdr05q4OazxAuU0aUtXAmzXB/view?usp=sharing")</f>
        <v>https://drive.google.com/file/d/1cT67DnMBJdr05q4OazxAuU0aUtXAmzXB/view?usp=sharing</v>
      </c>
      <c r="H184" s="4" t="str">
        <f>IFERROR(__xludf.DUMMYFUNCTION("""COMPUTED_VALUE"""),"")</f>
        <v/>
      </c>
      <c r="I184" s="4" t="str">
        <f>IFERROR(__xludf.DUMMYFUNCTION("""COMPUTED_VALUE"""),"")</f>
        <v/>
      </c>
      <c r="J184" s="4" t="str">
        <f>IFERROR(__xludf.DUMMYFUNCTION("""COMPUTED_VALUE"""),"")</f>
        <v/>
      </c>
      <c r="K184" s="4" t="str">
        <f>IFERROR(__xludf.DUMMYFUNCTION("""COMPUTED_VALUE"""),"")</f>
        <v/>
      </c>
    </row>
    <row r="185">
      <c r="A185" s="382">
        <f>IFERROR(__xludf.DUMMYFUNCTION("""COMPUTED_VALUE"""),43989.920289)</f>
        <v>43989.92029</v>
      </c>
      <c r="B185" s="21" t="str">
        <f>IFERROR(__xludf.DUMMYFUNCTION("""COMPUTED_VALUE"""),"Verbz.ai")</f>
        <v>Verbz.ai</v>
      </c>
      <c r="C185" s="4" t="str">
        <f>IFERROR(__xludf.DUMMYFUNCTION("""COMPUTED_VALUE"""),"Referred by Chris Murphy")</f>
        <v>Referred by Chris Murphy</v>
      </c>
      <c r="D185" s="4" t="str">
        <f>IFERROR(__xludf.DUMMYFUNCTION("""COMPUTED_VALUE"""),"Hugh")</f>
        <v>Hugh</v>
      </c>
      <c r="E185" s="4" t="str">
        <f>IFERROR(__xludf.DUMMYFUNCTION("""COMPUTED_VALUE"""),"Geiger")</f>
        <v>Geiger</v>
      </c>
      <c r="F185" s="4" t="str">
        <f>IFERROR(__xludf.DUMMYFUNCTION("""COMPUTED_VALUE"""),"Verbz is an intelligent dictation platform for busy people. We help you rapidly assign tasks, capture meeting notes, create documents, and collaborate with your team using just your voice. Turn your conversations into action and be more awesome at work.")</f>
        <v>Verbz is an intelligent dictation platform for busy people. We help you rapidly assign tasks, capture meeting notes, create documents, and collaborate with your team using just your voice. Turn your conversations into action and be more awesome at work.</v>
      </c>
      <c r="G185" s="21" t="str">
        <f>IFERROR(__xludf.DUMMYFUNCTION("""COMPUTED_VALUE"""),"https://drive.google.com/file/d/1Xek5bTTECgMl9LsPVVK44_agrYEiy1H0/view?usp=sharing")</f>
        <v>https://drive.google.com/file/d/1Xek5bTTECgMl9LsPVVK44_agrYEiy1H0/view?usp=sharing</v>
      </c>
      <c r="H185" s="4" t="str">
        <f>IFERROR(__xludf.DUMMYFUNCTION("""COMPUTED_VALUE"""),"")</f>
        <v/>
      </c>
      <c r="I185" s="4" t="str">
        <f>IFERROR(__xludf.DUMMYFUNCTION("""COMPUTED_VALUE"""),"")</f>
        <v/>
      </c>
      <c r="J185" s="4" t="str">
        <f>IFERROR(__xludf.DUMMYFUNCTION("""COMPUTED_VALUE"""),"")</f>
        <v/>
      </c>
      <c r="K185" s="4" t="str">
        <f>IFERROR(__xludf.DUMMYFUNCTION("""COMPUTED_VALUE"""),"")</f>
        <v/>
      </c>
    </row>
    <row r="186">
      <c r="A186" s="382">
        <f>IFERROR(__xludf.DUMMYFUNCTION("""COMPUTED_VALUE"""),43989.991968)</f>
        <v>43989.99197</v>
      </c>
      <c r="B186" s="4" t="str">
        <f>IFERROR(__xludf.DUMMYFUNCTION("""COMPUTED_VALUE"""),"AC Biode")</f>
        <v>AC Biode</v>
      </c>
      <c r="C186" s="4" t="str">
        <f>IFERROR(__xludf.DUMMYFUNCTION("""COMPUTED_VALUE"""),"YRXQ-1")</f>
        <v>YRXQ-1</v>
      </c>
      <c r="D186" s="4" t="str">
        <f>IFERROR(__xludf.DUMMYFUNCTION("""COMPUTED_VALUE"""),"Tadashi")</f>
        <v>Tadashi</v>
      </c>
      <c r="E186" s="4" t="str">
        <f>IFERROR(__xludf.DUMMYFUNCTION("""COMPUTED_VALUE"""),"Kubo")</f>
        <v>Kubo</v>
      </c>
      <c r="F186" s="4" t="str">
        <f>IFERROR(__xludf.DUMMYFUNCTION("""COMPUTED_VALUE"""),"We recycle / carbonize organic waste mixed with plastic on-site and save GHG by 50%")</f>
        <v>We recycle / carbonize organic waste mixed with plastic on-site and save GHG by 50%</v>
      </c>
      <c r="G186" s="21" t="str">
        <f>IFERROR(__xludf.DUMMYFUNCTION("""COMPUTED_VALUE"""),"https://drive.google.com/file/d/1vn59-R9bxRxnkuL6ez-41-ju2P7zeYMw/view?usp=sharing")</f>
        <v>https://drive.google.com/file/d/1vn59-R9bxRxnkuL6ez-41-ju2P7zeYMw/view?usp=sharing</v>
      </c>
      <c r="H186" s="4" t="str">
        <f>IFERROR(__xludf.DUMMYFUNCTION("""COMPUTED_VALUE"""),"")</f>
        <v/>
      </c>
      <c r="I186" s="4" t="str">
        <f>IFERROR(__xludf.DUMMYFUNCTION("""COMPUTED_VALUE"""),"")</f>
        <v/>
      </c>
      <c r="J186" s="4" t="str">
        <f>IFERROR(__xludf.DUMMYFUNCTION("""COMPUTED_VALUE"""),"")</f>
        <v/>
      </c>
      <c r="K186" s="4" t="str">
        <f>IFERROR(__xludf.DUMMYFUNCTION("""COMPUTED_VALUE"""),"")</f>
        <v/>
      </c>
    </row>
    <row r="187">
      <c r="A187" s="382">
        <f>IFERROR(__xludf.DUMMYFUNCTION("""COMPUTED_VALUE"""),43990.260949)</f>
        <v>43990.26095</v>
      </c>
      <c r="B187" s="4" t="str">
        <f>IFERROR(__xludf.DUMMYFUNCTION("""COMPUTED_VALUE"""),"Cloudbuddies")</f>
        <v>Cloudbuddies</v>
      </c>
      <c r="C187" s="4" t="str">
        <f>IFERROR(__xludf.DUMMYFUNCTION("""COMPUTED_VALUE"""),"2MXZ-1")</f>
        <v>2MXZ-1</v>
      </c>
      <c r="D187" s="4" t="str">
        <f>IFERROR(__xludf.DUMMYFUNCTION("""COMPUTED_VALUE"""),"Gregory")</f>
        <v>Gregory</v>
      </c>
      <c r="E187" s="4" t="str">
        <f>IFERROR(__xludf.DUMMYFUNCTION("""COMPUTED_VALUE"""),"Lazarus")</f>
        <v>Lazarus</v>
      </c>
      <c r="F187" s="4" t="str">
        <f>IFERROR(__xludf.DUMMYFUNCTION("""COMPUTED_VALUE"""),"Cloud Experts offering a swift path to simplify Cloud Adoption. Don't reach for the Stars to settle in the Cloud!")</f>
        <v>Cloud Experts offering a swift path to simplify Cloud Adoption. Don't reach for the Stars to settle in the Cloud!</v>
      </c>
      <c r="G187" s="21" t="str">
        <f>IFERROR(__xludf.DUMMYFUNCTION("""COMPUTED_VALUE"""),"https://drive.google.com/file/d/1EM6lAMuknC81-5uIhKBq3l9Kdb7QBs8t/view?usp=sharing")</f>
        <v>https://drive.google.com/file/d/1EM6lAMuknC81-5uIhKBq3l9Kdb7QBs8t/view?usp=sharing</v>
      </c>
      <c r="H187" s="4" t="str">
        <f>IFERROR(__xludf.DUMMYFUNCTION("""COMPUTED_VALUE"""),"")</f>
        <v/>
      </c>
      <c r="I187" s="4" t="str">
        <f>IFERROR(__xludf.DUMMYFUNCTION("""COMPUTED_VALUE"""),"")</f>
        <v/>
      </c>
      <c r="J187" s="4" t="str">
        <f>IFERROR(__xludf.DUMMYFUNCTION("""COMPUTED_VALUE"""),"")</f>
        <v/>
      </c>
      <c r="K187" s="4" t="str">
        <f>IFERROR(__xludf.DUMMYFUNCTION("""COMPUTED_VALUE"""),"")</f>
        <v/>
      </c>
    </row>
    <row r="188">
      <c r="A188" s="4" t="str">
        <f>IFERROR(__xludf.DUMMYFUNCTION("""COMPUTED_VALUE"""),"")</f>
        <v/>
      </c>
      <c r="B188" s="4" t="str">
        <f>IFERROR(__xludf.DUMMYFUNCTION("""COMPUTED_VALUE"""),"")</f>
        <v/>
      </c>
      <c r="C188" s="4" t="str">
        <f>IFERROR(__xludf.DUMMYFUNCTION("""COMPUTED_VALUE"""),"")</f>
        <v/>
      </c>
      <c r="D188" s="4" t="str">
        <f>IFERROR(__xludf.DUMMYFUNCTION("""COMPUTED_VALUE"""),"")</f>
        <v/>
      </c>
      <c r="E188" s="4" t="str">
        <f>IFERROR(__xludf.DUMMYFUNCTION("""COMPUTED_VALUE"""),"")</f>
        <v/>
      </c>
      <c r="F188" s="4" t="str">
        <f>IFERROR(__xludf.DUMMYFUNCTION("""COMPUTED_VALUE"""),"")</f>
        <v/>
      </c>
      <c r="G188" s="4" t="str">
        <f>IFERROR(__xludf.DUMMYFUNCTION("""COMPUTED_VALUE"""),"")</f>
        <v/>
      </c>
      <c r="H188" s="4" t="str">
        <f>IFERROR(__xludf.DUMMYFUNCTION("""COMPUTED_VALUE"""),"")</f>
        <v/>
      </c>
      <c r="I188" s="4" t="str">
        <f>IFERROR(__xludf.DUMMYFUNCTION("""COMPUTED_VALUE"""),"")</f>
        <v/>
      </c>
      <c r="J188" s="4" t="str">
        <f>IFERROR(__xludf.DUMMYFUNCTION("""COMPUTED_VALUE"""),"")</f>
        <v/>
      </c>
      <c r="K188" s="4" t="str">
        <f>IFERROR(__xludf.DUMMYFUNCTION("""COMPUTED_VALUE"""),"")</f>
        <v/>
      </c>
    </row>
    <row r="189">
      <c r="A189" s="4" t="str">
        <f>IFERROR(__xludf.DUMMYFUNCTION("""COMPUTED_VALUE"""),"")</f>
        <v/>
      </c>
      <c r="B189" s="4" t="str">
        <f>IFERROR(__xludf.DUMMYFUNCTION("""COMPUTED_VALUE"""),"")</f>
        <v/>
      </c>
      <c r="C189" s="4" t="str">
        <f>IFERROR(__xludf.DUMMYFUNCTION("""COMPUTED_VALUE"""),"")</f>
        <v/>
      </c>
      <c r="D189" s="4" t="str">
        <f>IFERROR(__xludf.DUMMYFUNCTION("""COMPUTED_VALUE"""),"")</f>
        <v/>
      </c>
      <c r="E189" s="4" t="str">
        <f>IFERROR(__xludf.DUMMYFUNCTION("""COMPUTED_VALUE"""),"")</f>
        <v/>
      </c>
      <c r="F189" s="4" t="str">
        <f>IFERROR(__xludf.DUMMYFUNCTION("""COMPUTED_VALUE"""),"")</f>
        <v/>
      </c>
      <c r="G189" s="4" t="str">
        <f>IFERROR(__xludf.DUMMYFUNCTION("""COMPUTED_VALUE"""),"")</f>
        <v/>
      </c>
      <c r="H189" s="4" t="str">
        <f>IFERROR(__xludf.DUMMYFUNCTION("""COMPUTED_VALUE"""),"")</f>
        <v/>
      </c>
      <c r="I189" s="4" t="str">
        <f>IFERROR(__xludf.DUMMYFUNCTION("""COMPUTED_VALUE"""),"")</f>
        <v/>
      </c>
      <c r="J189" s="4" t="str">
        <f>IFERROR(__xludf.DUMMYFUNCTION("""COMPUTED_VALUE"""),"")</f>
        <v/>
      </c>
      <c r="K189" s="4" t="str">
        <f>IFERROR(__xludf.DUMMYFUNCTION("""COMPUTED_VALUE"""),"")</f>
        <v/>
      </c>
    </row>
    <row r="190">
      <c r="A190" s="4" t="str">
        <f>IFERROR(__xludf.DUMMYFUNCTION("""COMPUTED_VALUE"""),"")</f>
        <v/>
      </c>
      <c r="B190" s="4" t="str">
        <f>IFERROR(__xludf.DUMMYFUNCTION("""COMPUTED_VALUE"""),"")</f>
        <v/>
      </c>
      <c r="C190" s="4" t="str">
        <f>IFERROR(__xludf.DUMMYFUNCTION("""COMPUTED_VALUE"""),"")</f>
        <v/>
      </c>
      <c r="D190" s="4" t="str">
        <f>IFERROR(__xludf.DUMMYFUNCTION("""COMPUTED_VALUE"""),"")</f>
        <v/>
      </c>
      <c r="E190" s="4" t="str">
        <f>IFERROR(__xludf.DUMMYFUNCTION("""COMPUTED_VALUE"""),"")</f>
        <v/>
      </c>
      <c r="F190" s="4" t="str">
        <f>IFERROR(__xludf.DUMMYFUNCTION("""COMPUTED_VALUE"""),"")</f>
        <v/>
      </c>
      <c r="G190" s="4" t="str">
        <f>IFERROR(__xludf.DUMMYFUNCTION("""COMPUTED_VALUE"""),"")</f>
        <v/>
      </c>
      <c r="H190" s="4" t="str">
        <f>IFERROR(__xludf.DUMMYFUNCTION("""COMPUTED_VALUE"""),"")</f>
        <v/>
      </c>
      <c r="I190" s="4" t="str">
        <f>IFERROR(__xludf.DUMMYFUNCTION("""COMPUTED_VALUE"""),"")</f>
        <v/>
      </c>
      <c r="J190" s="4" t="str">
        <f>IFERROR(__xludf.DUMMYFUNCTION("""COMPUTED_VALUE"""),"")</f>
        <v/>
      </c>
      <c r="K190" s="4" t="str">
        <f>IFERROR(__xludf.DUMMYFUNCTION("""COMPUTED_VALUE"""),"")</f>
        <v/>
      </c>
    </row>
    <row r="191">
      <c r="A191" s="4" t="str">
        <f>IFERROR(__xludf.DUMMYFUNCTION("""COMPUTED_VALUE"""),"")</f>
        <v/>
      </c>
      <c r="B191" s="4" t="str">
        <f>IFERROR(__xludf.DUMMYFUNCTION("""COMPUTED_VALUE"""),"")</f>
        <v/>
      </c>
      <c r="C191" s="4" t="str">
        <f>IFERROR(__xludf.DUMMYFUNCTION("""COMPUTED_VALUE"""),"")</f>
        <v/>
      </c>
      <c r="D191" s="4" t="str">
        <f>IFERROR(__xludf.DUMMYFUNCTION("""COMPUTED_VALUE"""),"")</f>
        <v/>
      </c>
      <c r="E191" s="4" t="str">
        <f>IFERROR(__xludf.DUMMYFUNCTION("""COMPUTED_VALUE"""),"")</f>
        <v/>
      </c>
      <c r="F191" s="4" t="str">
        <f>IFERROR(__xludf.DUMMYFUNCTION("""COMPUTED_VALUE"""),"")</f>
        <v/>
      </c>
      <c r="G191" s="4" t="str">
        <f>IFERROR(__xludf.DUMMYFUNCTION("""COMPUTED_VALUE"""),"")</f>
        <v/>
      </c>
      <c r="H191" s="4" t="str">
        <f>IFERROR(__xludf.DUMMYFUNCTION("""COMPUTED_VALUE"""),"")</f>
        <v/>
      </c>
      <c r="I191" s="4" t="str">
        <f>IFERROR(__xludf.DUMMYFUNCTION("""COMPUTED_VALUE"""),"")</f>
        <v/>
      </c>
      <c r="J191" s="4" t="str">
        <f>IFERROR(__xludf.DUMMYFUNCTION("""COMPUTED_VALUE"""),"")</f>
        <v/>
      </c>
      <c r="K191" s="4" t="str">
        <f>IFERROR(__xludf.DUMMYFUNCTION("""COMPUTED_VALUE"""),"")</f>
        <v/>
      </c>
    </row>
    <row r="192">
      <c r="A192" s="4" t="str">
        <f>IFERROR(__xludf.DUMMYFUNCTION("""COMPUTED_VALUE"""),"")</f>
        <v/>
      </c>
      <c r="B192" s="4" t="str">
        <f>IFERROR(__xludf.DUMMYFUNCTION("""COMPUTED_VALUE"""),"")</f>
        <v/>
      </c>
      <c r="C192" s="4" t="str">
        <f>IFERROR(__xludf.DUMMYFUNCTION("""COMPUTED_VALUE"""),"")</f>
        <v/>
      </c>
      <c r="D192" s="4" t="str">
        <f>IFERROR(__xludf.DUMMYFUNCTION("""COMPUTED_VALUE"""),"")</f>
        <v/>
      </c>
      <c r="E192" s="4" t="str">
        <f>IFERROR(__xludf.DUMMYFUNCTION("""COMPUTED_VALUE"""),"")</f>
        <v/>
      </c>
      <c r="F192" s="4" t="str">
        <f>IFERROR(__xludf.DUMMYFUNCTION("""COMPUTED_VALUE"""),"")</f>
        <v/>
      </c>
      <c r="G192" s="4" t="str">
        <f>IFERROR(__xludf.DUMMYFUNCTION("""COMPUTED_VALUE"""),"")</f>
        <v/>
      </c>
      <c r="H192" s="4" t="str">
        <f>IFERROR(__xludf.DUMMYFUNCTION("""COMPUTED_VALUE"""),"")</f>
        <v/>
      </c>
      <c r="I192" s="4" t="str">
        <f>IFERROR(__xludf.DUMMYFUNCTION("""COMPUTED_VALUE"""),"")</f>
        <v/>
      </c>
      <c r="J192" s="4" t="str">
        <f>IFERROR(__xludf.DUMMYFUNCTION("""COMPUTED_VALUE"""),"")</f>
        <v/>
      </c>
      <c r="K192" s="4" t="str">
        <f>IFERROR(__xludf.DUMMYFUNCTION("""COMPUTED_VALUE"""),"")</f>
        <v/>
      </c>
    </row>
    <row r="193">
      <c r="A193" s="4" t="str">
        <f>IFERROR(__xludf.DUMMYFUNCTION("""COMPUTED_VALUE"""),"")</f>
        <v/>
      </c>
      <c r="B193" s="4" t="str">
        <f>IFERROR(__xludf.DUMMYFUNCTION("""COMPUTED_VALUE"""),"")</f>
        <v/>
      </c>
      <c r="C193" s="4" t="str">
        <f>IFERROR(__xludf.DUMMYFUNCTION("""COMPUTED_VALUE"""),"")</f>
        <v/>
      </c>
      <c r="D193" s="4" t="str">
        <f>IFERROR(__xludf.DUMMYFUNCTION("""COMPUTED_VALUE"""),"")</f>
        <v/>
      </c>
      <c r="E193" s="4" t="str">
        <f>IFERROR(__xludf.DUMMYFUNCTION("""COMPUTED_VALUE"""),"")</f>
        <v/>
      </c>
      <c r="F193" s="4" t="str">
        <f>IFERROR(__xludf.DUMMYFUNCTION("""COMPUTED_VALUE"""),"")</f>
        <v/>
      </c>
      <c r="G193" s="4" t="str">
        <f>IFERROR(__xludf.DUMMYFUNCTION("""COMPUTED_VALUE"""),"")</f>
        <v/>
      </c>
      <c r="H193" s="4" t="str">
        <f>IFERROR(__xludf.DUMMYFUNCTION("""COMPUTED_VALUE"""),"")</f>
        <v/>
      </c>
      <c r="I193" s="4" t="str">
        <f>IFERROR(__xludf.DUMMYFUNCTION("""COMPUTED_VALUE"""),"")</f>
        <v/>
      </c>
      <c r="J193" s="4" t="str">
        <f>IFERROR(__xludf.DUMMYFUNCTION("""COMPUTED_VALUE"""),"")</f>
        <v/>
      </c>
      <c r="K193" s="4" t="str">
        <f>IFERROR(__xludf.DUMMYFUNCTION("""COMPUTED_VALUE"""),"")</f>
        <v/>
      </c>
    </row>
    <row r="194">
      <c r="A194" s="4" t="str">
        <f>IFERROR(__xludf.DUMMYFUNCTION("""COMPUTED_VALUE"""),"")</f>
        <v/>
      </c>
      <c r="B194" s="4" t="str">
        <f>IFERROR(__xludf.DUMMYFUNCTION("""COMPUTED_VALUE"""),"")</f>
        <v/>
      </c>
      <c r="C194" s="4" t="str">
        <f>IFERROR(__xludf.DUMMYFUNCTION("""COMPUTED_VALUE"""),"")</f>
        <v/>
      </c>
      <c r="D194" s="4" t="str">
        <f>IFERROR(__xludf.DUMMYFUNCTION("""COMPUTED_VALUE"""),"")</f>
        <v/>
      </c>
      <c r="E194" s="4" t="str">
        <f>IFERROR(__xludf.DUMMYFUNCTION("""COMPUTED_VALUE"""),"")</f>
        <v/>
      </c>
      <c r="F194" s="4" t="str">
        <f>IFERROR(__xludf.DUMMYFUNCTION("""COMPUTED_VALUE"""),"")</f>
        <v/>
      </c>
      <c r="G194" s="4" t="str">
        <f>IFERROR(__xludf.DUMMYFUNCTION("""COMPUTED_VALUE"""),"")</f>
        <v/>
      </c>
      <c r="H194" s="4" t="str">
        <f>IFERROR(__xludf.DUMMYFUNCTION("""COMPUTED_VALUE"""),"")</f>
        <v/>
      </c>
      <c r="I194" s="4" t="str">
        <f>IFERROR(__xludf.DUMMYFUNCTION("""COMPUTED_VALUE"""),"")</f>
        <v/>
      </c>
      <c r="J194" s="4" t="str">
        <f>IFERROR(__xludf.DUMMYFUNCTION("""COMPUTED_VALUE"""),"")</f>
        <v/>
      </c>
      <c r="K194" s="4" t="str">
        <f>IFERROR(__xludf.DUMMYFUNCTION("""COMPUTED_VALUE"""),"")</f>
        <v/>
      </c>
    </row>
    <row r="195">
      <c r="A195" s="4" t="str">
        <f>IFERROR(__xludf.DUMMYFUNCTION("""COMPUTED_VALUE"""),"")</f>
        <v/>
      </c>
      <c r="B195" s="4" t="str">
        <f>IFERROR(__xludf.DUMMYFUNCTION("""COMPUTED_VALUE"""),"")</f>
        <v/>
      </c>
      <c r="C195" s="4" t="str">
        <f>IFERROR(__xludf.DUMMYFUNCTION("""COMPUTED_VALUE"""),"")</f>
        <v/>
      </c>
      <c r="D195" s="4" t="str">
        <f>IFERROR(__xludf.DUMMYFUNCTION("""COMPUTED_VALUE"""),"")</f>
        <v/>
      </c>
      <c r="E195" s="4" t="str">
        <f>IFERROR(__xludf.DUMMYFUNCTION("""COMPUTED_VALUE"""),"")</f>
        <v/>
      </c>
      <c r="F195" s="4" t="str">
        <f>IFERROR(__xludf.DUMMYFUNCTION("""COMPUTED_VALUE"""),"")</f>
        <v/>
      </c>
      <c r="G195" s="4" t="str">
        <f>IFERROR(__xludf.DUMMYFUNCTION("""COMPUTED_VALUE"""),"")</f>
        <v/>
      </c>
      <c r="H195" s="4" t="str">
        <f>IFERROR(__xludf.DUMMYFUNCTION("""COMPUTED_VALUE"""),"")</f>
        <v/>
      </c>
      <c r="I195" s="4" t="str">
        <f>IFERROR(__xludf.DUMMYFUNCTION("""COMPUTED_VALUE"""),"")</f>
        <v/>
      </c>
      <c r="J195" s="4" t="str">
        <f>IFERROR(__xludf.DUMMYFUNCTION("""COMPUTED_VALUE"""),"")</f>
        <v/>
      </c>
      <c r="K195" s="4" t="str">
        <f>IFERROR(__xludf.DUMMYFUNCTION("""COMPUTED_VALUE"""),"")</f>
        <v/>
      </c>
    </row>
    <row r="196">
      <c r="A196" s="4" t="str">
        <f>IFERROR(__xludf.DUMMYFUNCTION("""COMPUTED_VALUE"""),"")</f>
        <v/>
      </c>
      <c r="B196" s="4" t="str">
        <f>IFERROR(__xludf.DUMMYFUNCTION("""COMPUTED_VALUE"""),"")</f>
        <v/>
      </c>
      <c r="C196" s="4" t="str">
        <f>IFERROR(__xludf.DUMMYFUNCTION("""COMPUTED_VALUE"""),"")</f>
        <v/>
      </c>
      <c r="D196" s="4" t="str">
        <f>IFERROR(__xludf.DUMMYFUNCTION("""COMPUTED_VALUE"""),"")</f>
        <v/>
      </c>
      <c r="E196" s="4" t="str">
        <f>IFERROR(__xludf.DUMMYFUNCTION("""COMPUTED_VALUE"""),"")</f>
        <v/>
      </c>
      <c r="F196" s="4" t="str">
        <f>IFERROR(__xludf.DUMMYFUNCTION("""COMPUTED_VALUE"""),"")</f>
        <v/>
      </c>
      <c r="G196" s="4" t="str">
        <f>IFERROR(__xludf.DUMMYFUNCTION("""COMPUTED_VALUE"""),"")</f>
        <v/>
      </c>
      <c r="H196" s="4" t="str">
        <f>IFERROR(__xludf.DUMMYFUNCTION("""COMPUTED_VALUE"""),"")</f>
        <v/>
      </c>
      <c r="I196" s="4" t="str">
        <f>IFERROR(__xludf.DUMMYFUNCTION("""COMPUTED_VALUE"""),"")</f>
        <v/>
      </c>
      <c r="J196" s="4" t="str">
        <f>IFERROR(__xludf.DUMMYFUNCTION("""COMPUTED_VALUE"""),"")</f>
        <v/>
      </c>
      <c r="K196" s="4" t="str">
        <f>IFERROR(__xludf.DUMMYFUNCTION("""COMPUTED_VALUE"""),"")</f>
        <v/>
      </c>
    </row>
    <row r="197">
      <c r="A197" s="4" t="str">
        <f>IFERROR(__xludf.DUMMYFUNCTION("""COMPUTED_VALUE"""),"")</f>
        <v/>
      </c>
      <c r="B197" s="4" t="str">
        <f>IFERROR(__xludf.DUMMYFUNCTION("""COMPUTED_VALUE"""),"")</f>
        <v/>
      </c>
      <c r="C197" s="4" t="str">
        <f>IFERROR(__xludf.DUMMYFUNCTION("""COMPUTED_VALUE"""),"")</f>
        <v/>
      </c>
      <c r="D197" s="4" t="str">
        <f>IFERROR(__xludf.DUMMYFUNCTION("""COMPUTED_VALUE"""),"")</f>
        <v/>
      </c>
      <c r="E197" s="4" t="str">
        <f>IFERROR(__xludf.DUMMYFUNCTION("""COMPUTED_VALUE"""),"")</f>
        <v/>
      </c>
      <c r="F197" s="4" t="str">
        <f>IFERROR(__xludf.DUMMYFUNCTION("""COMPUTED_VALUE"""),"")</f>
        <v/>
      </c>
      <c r="G197" s="4" t="str">
        <f>IFERROR(__xludf.DUMMYFUNCTION("""COMPUTED_VALUE"""),"")</f>
        <v/>
      </c>
      <c r="H197" s="4" t="str">
        <f>IFERROR(__xludf.DUMMYFUNCTION("""COMPUTED_VALUE"""),"")</f>
        <v/>
      </c>
      <c r="I197" s="4" t="str">
        <f>IFERROR(__xludf.DUMMYFUNCTION("""COMPUTED_VALUE"""),"")</f>
        <v/>
      </c>
      <c r="J197" s="4" t="str">
        <f>IFERROR(__xludf.DUMMYFUNCTION("""COMPUTED_VALUE"""),"")</f>
        <v/>
      </c>
      <c r="K197" s="4" t="str">
        <f>IFERROR(__xludf.DUMMYFUNCTION("""COMPUTED_VALUE"""),"")</f>
        <v/>
      </c>
    </row>
    <row r="198">
      <c r="A198" s="4" t="str">
        <f>IFERROR(__xludf.DUMMYFUNCTION("""COMPUTED_VALUE"""),"")</f>
        <v/>
      </c>
      <c r="B198" s="4" t="str">
        <f>IFERROR(__xludf.DUMMYFUNCTION("""COMPUTED_VALUE"""),"")</f>
        <v/>
      </c>
      <c r="C198" s="4" t="str">
        <f>IFERROR(__xludf.DUMMYFUNCTION("""COMPUTED_VALUE"""),"")</f>
        <v/>
      </c>
      <c r="D198" s="4" t="str">
        <f>IFERROR(__xludf.DUMMYFUNCTION("""COMPUTED_VALUE"""),"")</f>
        <v/>
      </c>
      <c r="E198" s="4" t="str">
        <f>IFERROR(__xludf.DUMMYFUNCTION("""COMPUTED_VALUE"""),"")</f>
        <v/>
      </c>
      <c r="F198" s="4" t="str">
        <f>IFERROR(__xludf.DUMMYFUNCTION("""COMPUTED_VALUE"""),"")</f>
        <v/>
      </c>
      <c r="G198" s="4" t="str">
        <f>IFERROR(__xludf.DUMMYFUNCTION("""COMPUTED_VALUE"""),"")</f>
        <v/>
      </c>
      <c r="H198" s="4" t="str">
        <f>IFERROR(__xludf.DUMMYFUNCTION("""COMPUTED_VALUE"""),"")</f>
        <v/>
      </c>
      <c r="I198" s="4" t="str">
        <f>IFERROR(__xludf.DUMMYFUNCTION("""COMPUTED_VALUE"""),"")</f>
        <v/>
      </c>
      <c r="J198" s="4" t="str">
        <f>IFERROR(__xludf.DUMMYFUNCTION("""COMPUTED_VALUE"""),"")</f>
        <v/>
      </c>
      <c r="K198" s="4" t="str">
        <f>IFERROR(__xludf.DUMMYFUNCTION("""COMPUTED_VALUE"""),"")</f>
        <v/>
      </c>
    </row>
    <row r="199">
      <c r="A199" s="4" t="str">
        <f>IFERROR(__xludf.DUMMYFUNCTION("""COMPUTED_VALUE"""),"")</f>
        <v/>
      </c>
      <c r="B199" s="4" t="str">
        <f>IFERROR(__xludf.DUMMYFUNCTION("""COMPUTED_VALUE"""),"")</f>
        <v/>
      </c>
      <c r="C199" s="4" t="str">
        <f>IFERROR(__xludf.DUMMYFUNCTION("""COMPUTED_VALUE"""),"")</f>
        <v/>
      </c>
      <c r="D199" s="4" t="str">
        <f>IFERROR(__xludf.DUMMYFUNCTION("""COMPUTED_VALUE"""),"")</f>
        <v/>
      </c>
      <c r="E199" s="4" t="str">
        <f>IFERROR(__xludf.DUMMYFUNCTION("""COMPUTED_VALUE"""),"")</f>
        <v/>
      </c>
      <c r="F199" s="4" t="str">
        <f>IFERROR(__xludf.DUMMYFUNCTION("""COMPUTED_VALUE"""),"")</f>
        <v/>
      </c>
      <c r="G199" s="4" t="str">
        <f>IFERROR(__xludf.DUMMYFUNCTION("""COMPUTED_VALUE"""),"")</f>
        <v/>
      </c>
      <c r="H199" s="4" t="str">
        <f>IFERROR(__xludf.DUMMYFUNCTION("""COMPUTED_VALUE"""),"")</f>
        <v/>
      </c>
      <c r="I199" s="4" t="str">
        <f>IFERROR(__xludf.DUMMYFUNCTION("""COMPUTED_VALUE"""),"")</f>
        <v/>
      </c>
      <c r="J199" s="4" t="str">
        <f>IFERROR(__xludf.DUMMYFUNCTION("""COMPUTED_VALUE"""),"")</f>
        <v/>
      </c>
      <c r="K199" s="4" t="str">
        <f>IFERROR(__xludf.DUMMYFUNCTION("""COMPUTED_VALUE"""),"")</f>
        <v/>
      </c>
    </row>
    <row r="200">
      <c r="A200" s="4" t="str">
        <f>IFERROR(__xludf.DUMMYFUNCTION("""COMPUTED_VALUE"""),"")</f>
        <v/>
      </c>
      <c r="B200" s="4" t="str">
        <f>IFERROR(__xludf.DUMMYFUNCTION("""COMPUTED_VALUE"""),"")</f>
        <v/>
      </c>
      <c r="C200" s="4" t="str">
        <f>IFERROR(__xludf.DUMMYFUNCTION("""COMPUTED_VALUE"""),"")</f>
        <v/>
      </c>
      <c r="D200" s="4" t="str">
        <f>IFERROR(__xludf.DUMMYFUNCTION("""COMPUTED_VALUE"""),"")</f>
        <v/>
      </c>
      <c r="E200" s="4" t="str">
        <f>IFERROR(__xludf.DUMMYFUNCTION("""COMPUTED_VALUE"""),"")</f>
        <v/>
      </c>
      <c r="F200" s="4" t="str">
        <f>IFERROR(__xludf.DUMMYFUNCTION("""COMPUTED_VALUE"""),"")</f>
        <v/>
      </c>
      <c r="G200" s="4" t="str">
        <f>IFERROR(__xludf.DUMMYFUNCTION("""COMPUTED_VALUE"""),"")</f>
        <v/>
      </c>
      <c r="H200" s="4" t="str">
        <f>IFERROR(__xludf.DUMMYFUNCTION("""COMPUTED_VALUE"""),"")</f>
        <v/>
      </c>
      <c r="I200" s="4" t="str">
        <f>IFERROR(__xludf.DUMMYFUNCTION("""COMPUTED_VALUE"""),"")</f>
        <v/>
      </c>
      <c r="J200" s="4" t="str">
        <f>IFERROR(__xludf.DUMMYFUNCTION("""COMPUTED_VALUE"""),"")</f>
        <v/>
      </c>
      <c r="K200" s="4" t="str">
        <f>IFERROR(__xludf.DUMMYFUNCTION("""COMPUTED_VALUE"""),"")</f>
        <v/>
      </c>
    </row>
    <row r="201">
      <c r="A201" s="4" t="str">
        <f>IFERROR(__xludf.DUMMYFUNCTION("""COMPUTED_VALUE"""),"")</f>
        <v/>
      </c>
      <c r="B201" s="4" t="str">
        <f>IFERROR(__xludf.DUMMYFUNCTION("""COMPUTED_VALUE"""),"")</f>
        <v/>
      </c>
      <c r="C201" s="4" t="str">
        <f>IFERROR(__xludf.DUMMYFUNCTION("""COMPUTED_VALUE"""),"")</f>
        <v/>
      </c>
      <c r="D201" s="4" t="str">
        <f>IFERROR(__xludf.DUMMYFUNCTION("""COMPUTED_VALUE"""),"")</f>
        <v/>
      </c>
      <c r="E201" s="4" t="str">
        <f>IFERROR(__xludf.DUMMYFUNCTION("""COMPUTED_VALUE"""),"")</f>
        <v/>
      </c>
      <c r="F201" s="4" t="str">
        <f>IFERROR(__xludf.DUMMYFUNCTION("""COMPUTED_VALUE"""),"")</f>
        <v/>
      </c>
      <c r="G201" s="4" t="str">
        <f>IFERROR(__xludf.DUMMYFUNCTION("""COMPUTED_VALUE"""),"")</f>
        <v/>
      </c>
      <c r="H201" s="4" t="str">
        <f>IFERROR(__xludf.DUMMYFUNCTION("""COMPUTED_VALUE"""),"")</f>
        <v/>
      </c>
      <c r="I201" s="4" t="str">
        <f>IFERROR(__xludf.DUMMYFUNCTION("""COMPUTED_VALUE"""),"")</f>
        <v/>
      </c>
      <c r="J201" s="4" t="str">
        <f>IFERROR(__xludf.DUMMYFUNCTION("""COMPUTED_VALUE"""),"")</f>
        <v/>
      </c>
      <c r="K201" s="4" t="str">
        <f>IFERROR(__xludf.DUMMYFUNCTION("""COMPUTED_VALUE"""),"")</f>
        <v/>
      </c>
    </row>
    <row r="202">
      <c r="A202" s="4" t="str">
        <f>IFERROR(__xludf.DUMMYFUNCTION("""COMPUTED_VALUE"""),"")</f>
        <v/>
      </c>
      <c r="B202" s="4" t="str">
        <f>IFERROR(__xludf.DUMMYFUNCTION("""COMPUTED_VALUE"""),"")</f>
        <v/>
      </c>
      <c r="C202" s="4" t="str">
        <f>IFERROR(__xludf.DUMMYFUNCTION("""COMPUTED_VALUE"""),"")</f>
        <v/>
      </c>
      <c r="D202" s="4" t="str">
        <f>IFERROR(__xludf.DUMMYFUNCTION("""COMPUTED_VALUE"""),"")</f>
        <v/>
      </c>
      <c r="E202" s="4" t="str">
        <f>IFERROR(__xludf.DUMMYFUNCTION("""COMPUTED_VALUE"""),"")</f>
        <v/>
      </c>
      <c r="F202" s="4" t="str">
        <f>IFERROR(__xludf.DUMMYFUNCTION("""COMPUTED_VALUE"""),"")</f>
        <v/>
      </c>
      <c r="G202" s="4" t="str">
        <f>IFERROR(__xludf.DUMMYFUNCTION("""COMPUTED_VALUE"""),"")</f>
        <v/>
      </c>
      <c r="H202" s="4" t="str">
        <f>IFERROR(__xludf.DUMMYFUNCTION("""COMPUTED_VALUE"""),"")</f>
        <v/>
      </c>
      <c r="I202" s="4" t="str">
        <f>IFERROR(__xludf.DUMMYFUNCTION("""COMPUTED_VALUE"""),"")</f>
        <v/>
      </c>
      <c r="J202" s="4" t="str">
        <f>IFERROR(__xludf.DUMMYFUNCTION("""COMPUTED_VALUE"""),"")</f>
        <v/>
      </c>
      <c r="K202" s="4" t="str">
        <f>IFERROR(__xludf.DUMMYFUNCTION("""COMPUTED_VALUE"""),"")</f>
        <v/>
      </c>
    </row>
    <row r="203">
      <c r="A203" s="4" t="str">
        <f>IFERROR(__xludf.DUMMYFUNCTION("""COMPUTED_VALUE"""),"")</f>
        <v/>
      </c>
      <c r="B203" s="4" t="str">
        <f>IFERROR(__xludf.DUMMYFUNCTION("""COMPUTED_VALUE"""),"")</f>
        <v/>
      </c>
      <c r="C203" s="4" t="str">
        <f>IFERROR(__xludf.DUMMYFUNCTION("""COMPUTED_VALUE"""),"")</f>
        <v/>
      </c>
      <c r="D203" s="4" t="str">
        <f>IFERROR(__xludf.DUMMYFUNCTION("""COMPUTED_VALUE"""),"")</f>
        <v/>
      </c>
      <c r="E203" s="4" t="str">
        <f>IFERROR(__xludf.DUMMYFUNCTION("""COMPUTED_VALUE"""),"")</f>
        <v/>
      </c>
      <c r="F203" s="4" t="str">
        <f>IFERROR(__xludf.DUMMYFUNCTION("""COMPUTED_VALUE"""),"")</f>
        <v/>
      </c>
      <c r="G203" s="4" t="str">
        <f>IFERROR(__xludf.DUMMYFUNCTION("""COMPUTED_VALUE"""),"")</f>
        <v/>
      </c>
      <c r="H203" s="4" t="str">
        <f>IFERROR(__xludf.DUMMYFUNCTION("""COMPUTED_VALUE"""),"")</f>
        <v/>
      </c>
      <c r="I203" s="4" t="str">
        <f>IFERROR(__xludf.DUMMYFUNCTION("""COMPUTED_VALUE"""),"")</f>
        <v/>
      </c>
      <c r="J203" s="4" t="str">
        <f>IFERROR(__xludf.DUMMYFUNCTION("""COMPUTED_VALUE"""),"")</f>
        <v/>
      </c>
      <c r="K203" s="4" t="str">
        <f>IFERROR(__xludf.DUMMYFUNCTION("""COMPUTED_VALUE"""),"")</f>
        <v/>
      </c>
    </row>
    <row r="204">
      <c r="A204" s="4" t="str">
        <f>IFERROR(__xludf.DUMMYFUNCTION("""COMPUTED_VALUE"""),"")</f>
        <v/>
      </c>
      <c r="B204" s="4" t="str">
        <f>IFERROR(__xludf.DUMMYFUNCTION("""COMPUTED_VALUE"""),"")</f>
        <v/>
      </c>
      <c r="C204" s="4" t="str">
        <f>IFERROR(__xludf.DUMMYFUNCTION("""COMPUTED_VALUE"""),"")</f>
        <v/>
      </c>
      <c r="D204" s="4" t="str">
        <f>IFERROR(__xludf.DUMMYFUNCTION("""COMPUTED_VALUE"""),"")</f>
        <v/>
      </c>
      <c r="E204" s="4" t="str">
        <f>IFERROR(__xludf.DUMMYFUNCTION("""COMPUTED_VALUE"""),"")</f>
        <v/>
      </c>
      <c r="F204" s="4" t="str">
        <f>IFERROR(__xludf.DUMMYFUNCTION("""COMPUTED_VALUE"""),"")</f>
        <v/>
      </c>
      <c r="G204" s="4" t="str">
        <f>IFERROR(__xludf.DUMMYFUNCTION("""COMPUTED_VALUE"""),"")</f>
        <v/>
      </c>
      <c r="H204" s="4" t="str">
        <f>IFERROR(__xludf.DUMMYFUNCTION("""COMPUTED_VALUE"""),"")</f>
        <v/>
      </c>
      <c r="I204" s="4" t="str">
        <f>IFERROR(__xludf.DUMMYFUNCTION("""COMPUTED_VALUE"""),"")</f>
        <v/>
      </c>
      <c r="J204" s="4" t="str">
        <f>IFERROR(__xludf.DUMMYFUNCTION("""COMPUTED_VALUE"""),"")</f>
        <v/>
      </c>
      <c r="K204" s="4" t="str">
        <f>IFERROR(__xludf.DUMMYFUNCTION("""COMPUTED_VALUE"""),"")</f>
        <v/>
      </c>
    </row>
    <row r="205">
      <c r="A205" s="4" t="str">
        <f>IFERROR(__xludf.DUMMYFUNCTION("""COMPUTED_VALUE"""),"")</f>
        <v/>
      </c>
      <c r="B205" s="4" t="str">
        <f>IFERROR(__xludf.DUMMYFUNCTION("""COMPUTED_VALUE"""),"")</f>
        <v/>
      </c>
      <c r="C205" s="4" t="str">
        <f>IFERROR(__xludf.DUMMYFUNCTION("""COMPUTED_VALUE"""),"")</f>
        <v/>
      </c>
      <c r="D205" s="4" t="str">
        <f>IFERROR(__xludf.DUMMYFUNCTION("""COMPUTED_VALUE"""),"")</f>
        <v/>
      </c>
      <c r="E205" s="4" t="str">
        <f>IFERROR(__xludf.DUMMYFUNCTION("""COMPUTED_VALUE"""),"")</f>
        <v/>
      </c>
      <c r="F205" s="4" t="str">
        <f>IFERROR(__xludf.DUMMYFUNCTION("""COMPUTED_VALUE"""),"")</f>
        <v/>
      </c>
      <c r="G205" s="4" t="str">
        <f>IFERROR(__xludf.DUMMYFUNCTION("""COMPUTED_VALUE"""),"")</f>
        <v/>
      </c>
      <c r="H205" s="4" t="str">
        <f>IFERROR(__xludf.DUMMYFUNCTION("""COMPUTED_VALUE"""),"")</f>
        <v/>
      </c>
      <c r="I205" s="4" t="str">
        <f>IFERROR(__xludf.DUMMYFUNCTION("""COMPUTED_VALUE"""),"")</f>
        <v/>
      </c>
      <c r="J205" s="4" t="str">
        <f>IFERROR(__xludf.DUMMYFUNCTION("""COMPUTED_VALUE"""),"")</f>
        <v/>
      </c>
      <c r="K205" s="4" t="str">
        <f>IFERROR(__xludf.DUMMYFUNCTION("""COMPUTED_VALUE"""),"")</f>
        <v/>
      </c>
    </row>
    <row r="206">
      <c r="A206" s="4" t="str">
        <f>IFERROR(__xludf.DUMMYFUNCTION("""COMPUTED_VALUE"""),"")</f>
        <v/>
      </c>
      <c r="B206" s="4" t="str">
        <f>IFERROR(__xludf.DUMMYFUNCTION("""COMPUTED_VALUE"""),"")</f>
        <v/>
      </c>
      <c r="C206" s="4" t="str">
        <f>IFERROR(__xludf.DUMMYFUNCTION("""COMPUTED_VALUE"""),"")</f>
        <v/>
      </c>
      <c r="D206" s="4" t="str">
        <f>IFERROR(__xludf.DUMMYFUNCTION("""COMPUTED_VALUE"""),"")</f>
        <v/>
      </c>
      <c r="E206" s="4" t="str">
        <f>IFERROR(__xludf.DUMMYFUNCTION("""COMPUTED_VALUE"""),"")</f>
        <v/>
      </c>
      <c r="F206" s="4" t="str">
        <f>IFERROR(__xludf.DUMMYFUNCTION("""COMPUTED_VALUE"""),"")</f>
        <v/>
      </c>
      <c r="G206" s="4" t="str">
        <f>IFERROR(__xludf.DUMMYFUNCTION("""COMPUTED_VALUE"""),"")</f>
        <v/>
      </c>
      <c r="H206" s="4" t="str">
        <f>IFERROR(__xludf.DUMMYFUNCTION("""COMPUTED_VALUE"""),"")</f>
        <v/>
      </c>
      <c r="I206" s="4" t="str">
        <f>IFERROR(__xludf.DUMMYFUNCTION("""COMPUTED_VALUE"""),"")</f>
        <v/>
      </c>
      <c r="J206" s="4" t="str">
        <f>IFERROR(__xludf.DUMMYFUNCTION("""COMPUTED_VALUE"""),"")</f>
        <v/>
      </c>
      <c r="K206" s="4" t="str">
        <f>IFERROR(__xludf.DUMMYFUNCTION("""COMPUTED_VALUE"""),"")</f>
        <v/>
      </c>
    </row>
    <row r="207">
      <c r="A207" s="4" t="str">
        <f>IFERROR(__xludf.DUMMYFUNCTION("""COMPUTED_VALUE"""),"")</f>
        <v/>
      </c>
      <c r="B207" s="4" t="str">
        <f>IFERROR(__xludf.DUMMYFUNCTION("""COMPUTED_VALUE"""),"")</f>
        <v/>
      </c>
      <c r="C207" s="4" t="str">
        <f>IFERROR(__xludf.DUMMYFUNCTION("""COMPUTED_VALUE"""),"")</f>
        <v/>
      </c>
      <c r="D207" s="4" t="str">
        <f>IFERROR(__xludf.DUMMYFUNCTION("""COMPUTED_VALUE"""),"")</f>
        <v/>
      </c>
      <c r="E207" s="4" t="str">
        <f>IFERROR(__xludf.DUMMYFUNCTION("""COMPUTED_VALUE"""),"")</f>
        <v/>
      </c>
      <c r="F207" s="4" t="str">
        <f>IFERROR(__xludf.DUMMYFUNCTION("""COMPUTED_VALUE"""),"")</f>
        <v/>
      </c>
      <c r="G207" s="4" t="str">
        <f>IFERROR(__xludf.DUMMYFUNCTION("""COMPUTED_VALUE"""),"")</f>
        <v/>
      </c>
      <c r="H207" s="4" t="str">
        <f>IFERROR(__xludf.DUMMYFUNCTION("""COMPUTED_VALUE"""),"")</f>
        <v/>
      </c>
      <c r="I207" s="4" t="str">
        <f>IFERROR(__xludf.DUMMYFUNCTION("""COMPUTED_VALUE"""),"")</f>
        <v/>
      </c>
      <c r="J207" s="4" t="str">
        <f>IFERROR(__xludf.DUMMYFUNCTION("""COMPUTED_VALUE"""),"")</f>
        <v/>
      </c>
      <c r="K207" s="4" t="str">
        <f>IFERROR(__xludf.DUMMYFUNCTION("""COMPUTED_VALUE"""),"")</f>
        <v/>
      </c>
    </row>
    <row r="208">
      <c r="A208" s="4" t="str">
        <f>IFERROR(__xludf.DUMMYFUNCTION("""COMPUTED_VALUE"""),"")</f>
        <v/>
      </c>
      <c r="B208" s="4" t="str">
        <f>IFERROR(__xludf.DUMMYFUNCTION("""COMPUTED_VALUE"""),"")</f>
        <v/>
      </c>
      <c r="C208" s="4" t="str">
        <f>IFERROR(__xludf.DUMMYFUNCTION("""COMPUTED_VALUE"""),"")</f>
        <v/>
      </c>
      <c r="D208" s="4" t="str">
        <f>IFERROR(__xludf.DUMMYFUNCTION("""COMPUTED_VALUE"""),"")</f>
        <v/>
      </c>
      <c r="E208" s="4" t="str">
        <f>IFERROR(__xludf.DUMMYFUNCTION("""COMPUTED_VALUE"""),"")</f>
        <v/>
      </c>
      <c r="F208" s="4" t="str">
        <f>IFERROR(__xludf.DUMMYFUNCTION("""COMPUTED_VALUE"""),"")</f>
        <v/>
      </c>
      <c r="G208" s="4" t="str">
        <f>IFERROR(__xludf.DUMMYFUNCTION("""COMPUTED_VALUE"""),"")</f>
        <v/>
      </c>
      <c r="H208" s="4" t="str">
        <f>IFERROR(__xludf.DUMMYFUNCTION("""COMPUTED_VALUE"""),"")</f>
        <v/>
      </c>
      <c r="I208" s="4" t="str">
        <f>IFERROR(__xludf.DUMMYFUNCTION("""COMPUTED_VALUE"""),"")</f>
        <v/>
      </c>
      <c r="J208" s="4" t="str">
        <f>IFERROR(__xludf.DUMMYFUNCTION("""COMPUTED_VALUE"""),"")</f>
        <v/>
      </c>
      <c r="K208" s="4" t="str">
        <f>IFERROR(__xludf.DUMMYFUNCTION("""COMPUTED_VALUE"""),"")</f>
        <v/>
      </c>
    </row>
    <row r="209">
      <c r="A209" s="4" t="str">
        <f>IFERROR(__xludf.DUMMYFUNCTION("""COMPUTED_VALUE"""),"")</f>
        <v/>
      </c>
      <c r="B209" s="4" t="str">
        <f>IFERROR(__xludf.DUMMYFUNCTION("""COMPUTED_VALUE"""),"")</f>
        <v/>
      </c>
      <c r="C209" s="4" t="str">
        <f>IFERROR(__xludf.DUMMYFUNCTION("""COMPUTED_VALUE"""),"")</f>
        <v/>
      </c>
      <c r="D209" s="4" t="str">
        <f>IFERROR(__xludf.DUMMYFUNCTION("""COMPUTED_VALUE"""),"")</f>
        <v/>
      </c>
      <c r="E209" s="4" t="str">
        <f>IFERROR(__xludf.DUMMYFUNCTION("""COMPUTED_VALUE"""),"")</f>
        <v/>
      </c>
      <c r="F209" s="4" t="str">
        <f>IFERROR(__xludf.DUMMYFUNCTION("""COMPUTED_VALUE"""),"")</f>
        <v/>
      </c>
      <c r="G209" s="4" t="str">
        <f>IFERROR(__xludf.DUMMYFUNCTION("""COMPUTED_VALUE"""),"")</f>
        <v/>
      </c>
      <c r="H209" s="4" t="str">
        <f>IFERROR(__xludf.DUMMYFUNCTION("""COMPUTED_VALUE"""),"")</f>
        <v/>
      </c>
      <c r="I209" s="4" t="str">
        <f>IFERROR(__xludf.DUMMYFUNCTION("""COMPUTED_VALUE"""),"")</f>
        <v/>
      </c>
      <c r="J209" s="4" t="str">
        <f>IFERROR(__xludf.DUMMYFUNCTION("""COMPUTED_VALUE"""),"")</f>
        <v/>
      </c>
      <c r="K209" s="4" t="str">
        <f>IFERROR(__xludf.DUMMYFUNCTION("""COMPUTED_VALUE"""),"")</f>
        <v/>
      </c>
    </row>
    <row r="210">
      <c r="A210" s="4" t="str">
        <f>IFERROR(__xludf.DUMMYFUNCTION("""COMPUTED_VALUE"""),"")</f>
        <v/>
      </c>
      <c r="B210" s="4" t="str">
        <f>IFERROR(__xludf.DUMMYFUNCTION("""COMPUTED_VALUE"""),"")</f>
        <v/>
      </c>
      <c r="C210" s="4" t="str">
        <f>IFERROR(__xludf.DUMMYFUNCTION("""COMPUTED_VALUE"""),"")</f>
        <v/>
      </c>
      <c r="D210" s="4" t="str">
        <f>IFERROR(__xludf.DUMMYFUNCTION("""COMPUTED_VALUE"""),"")</f>
        <v/>
      </c>
      <c r="E210" s="4" t="str">
        <f>IFERROR(__xludf.DUMMYFUNCTION("""COMPUTED_VALUE"""),"")</f>
        <v/>
      </c>
      <c r="F210" s="4" t="str">
        <f>IFERROR(__xludf.DUMMYFUNCTION("""COMPUTED_VALUE"""),"")</f>
        <v/>
      </c>
      <c r="G210" s="4" t="str">
        <f>IFERROR(__xludf.DUMMYFUNCTION("""COMPUTED_VALUE"""),"")</f>
        <v/>
      </c>
      <c r="H210" s="4" t="str">
        <f>IFERROR(__xludf.DUMMYFUNCTION("""COMPUTED_VALUE"""),"")</f>
        <v/>
      </c>
      <c r="I210" s="4" t="str">
        <f>IFERROR(__xludf.DUMMYFUNCTION("""COMPUTED_VALUE"""),"")</f>
        <v/>
      </c>
      <c r="J210" s="4" t="str">
        <f>IFERROR(__xludf.DUMMYFUNCTION("""COMPUTED_VALUE"""),"")</f>
        <v/>
      </c>
      <c r="K210" s="4" t="str">
        <f>IFERROR(__xludf.DUMMYFUNCTION("""COMPUTED_VALUE"""),"")</f>
        <v/>
      </c>
    </row>
    <row r="211">
      <c r="A211" s="4" t="str">
        <f>IFERROR(__xludf.DUMMYFUNCTION("""COMPUTED_VALUE"""),"")</f>
        <v/>
      </c>
      <c r="B211" s="4" t="str">
        <f>IFERROR(__xludf.DUMMYFUNCTION("""COMPUTED_VALUE"""),"")</f>
        <v/>
      </c>
      <c r="C211" s="4" t="str">
        <f>IFERROR(__xludf.DUMMYFUNCTION("""COMPUTED_VALUE"""),"")</f>
        <v/>
      </c>
      <c r="D211" s="4" t="str">
        <f>IFERROR(__xludf.DUMMYFUNCTION("""COMPUTED_VALUE"""),"")</f>
        <v/>
      </c>
      <c r="E211" s="4" t="str">
        <f>IFERROR(__xludf.DUMMYFUNCTION("""COMPUTED_VALUE"""),"")</f>
        <v/>
      </c>
      <c r="F211" s="4" t="str">
        <f>IFERROR(__xludf.DUMMYFUNCTION("""COMPUTED_VALUE"""),"")</f>
        <v/>
      </c>
      <c r="G211" s="4" t="str">
        <f>IFERROR(__xludf.DUMMYFUNCTION("""COMPUTED_VALUE"""),"")</f>
        <v/>
      </c>
      <c r="H211" s="4" t="str">
        <f>IFERROR(__xludf.DUMMYFUNCTION("""COMPUTED_VALUE"""),"")</f>
        <v/>
      </c>
      <c r="I211" s="4" t="str">
        <f>IFERROR(__xludf.DUMMYFUNCTION("""COMPUTED_VALUE"""),"")</f>
        <v/>
      </c>
      <c r="J211" s="4" t="str">
        <f>IFERROR(__xludf.DUMMYFUNCTION("""COMPUTED_VALUE"""),"")</f>
        <v/>
      </c>
      <c r="K211" s="4" t="str">
        <f>IFERROR(__xludf.DUMMYFUNCTION("""COMPUTED_VALUE"""),"")</f>
        <v/>
      </c>
    </row>
    <row r="212">
      <c r="A212" s="4" t="str">
        <f>IFERROR(__xludf.DUMMYFUNCTION("""COMPUTED_VALUE"""),"")</f>
        <v/>
      </c>
      <c r="B212" s="4" t="str">
        <f>IFERROR(__xludf.DUMMYFUNCTION("""COMPUTED_VALUE"""),"")</f>
        <v/>
      </c>
      <c r="C212" s="4" t="str">
        <f>IFERROR(__xludf.DUMMYFUNCTION("""COMPUTED_VALUE"""),"")</f>
        <v/>
      </c>
      <c r="D212" s="4" t="str">
        <f>IFERROR(__xludf.DUMMYFUNCTION("""COMPUTED_VALUE"""),"")</f>
        <v/>
      </c>
      <c r="E212" s="4" t="str">
        <f>IFERROR(__xludf.DUMMYFUNCTION("""COMPUTED_VALUE"""),"")</f>
        <v/>
      </c>
      <c r="F212" s="4" t="str">
        <f>IFERROR(__xludf.DUMMYFUNCTION("""COMPUTED_VALUE"""),"")</f>
        <v/>
      </c>
      <c r="G212" s="4" t="str">
        <f>IFERROR(__xludf.DUMMYFUNCTION("""COMPUTED_VALUE"""),"")</f>
        <v/>
      </c>
      <c r="H212" s="4" t="str">
        <f>IFERROR(__xludf.DUMMYFUNCTION("""COMPUTED_VALUE"""),"")</f>
        <v/>
      </c>
      <c r="I212" s="4" t="str">
        <f>IFERROR(__xludf.DUMMYFUNCTION("""COMPUTED_VALUE"""),"")</f>
        <v/>
      </c>
      <c r="J212" s="4" t="str">
        <f>IFERROR(__xludf.DUMMYFUNCTION("""COMPUTED_VALUE"""),"")</f>
        <v/>
      </c>
      <c r="K212" s="4" t="str">
        <f>IFERROR(__xludf.DUMMYFUNCTION("""COMPUTED_VALUE"""),"")</f>
        <v/>
      </c>
    </row>
    <row r="213">
      <c r="A213" s="4" t="str">
        <f>IFERROR(__xludf.DUMMYFUNCTION("""COMPUTED_VALUE"""),"")</f>
        <v/>
      </c>
      <c r="B213" s="4" t="str">
        <f>IFERROR(__xludf.DUMMYFUNCTION("""COMPUTED_VALUE"""),"")</f>
        <v/>
      </c>
      <c r="C213" s="4" t="str">
        <f>IFERROR(__xludf.DUMMYFUNCTION("""COMPUTED_VALUE"""),"")</f>
        <v/>
      </c>
      <c r="D213" s="4" t="str">
        <f>IFERROR(__xludf.DUMMYFUNCTION("""COMPUTED_VALUE"""),"")</f>
        <v/>
      </c>
      <c r="E213" s="4" t="str">
        <f>IFERROR(__xludf.DUMMYFUNCTION("""COMPUTED_VALUE"""),"")</f>
        <v/>
      </c>
      <c r="F213" s="4" t="str">
        <f>IFERROR(__xludf.DUMMYFUNCTION("""COMPUTED_VALUE"""),"")</f>
        <v/>
      </c>
      <c r="G213" s="4" t="str">
        <f>IFERROR(__xludf.DUMMYFUNCTION("""COMPUTED_VALUE"""),"")</f>
        <v/>
      </c>
      <c r="H213" s="4" t="str">
        <f>IFERROR(__xludf.DUMMYFUNCTION("""COMPUTED_VALUE"""),"")</f>
        <v/>
      </c>
      <c r="I213" s="4" t="str">
        <f>IFERROR(__xludf.DUMMYFUNCTION("""COMPUTED_VALUE"""),"")</f>
        <v/>
      </c>
      <c r="J213" s="4" t="str">
        <f>IFERROR(__xludf.DUMMYFUNCTION("""COMPUTED_VALUE"""),"")</f>
        <v/>
      </c>
      <c r="K213" s="4" t="str">
        <f>IFERROR(__xludf.DUMMYFUNCTION("""COMPUTED_VALUE"""),"")</f>
        <v/>
      </c>
    </row>
    <row r="214">
      <c r="A214" s="4" t="str">
        <f>IFERROR(__xludf.DUMMYFUNCTION("""COMPUTED_VALUE"""),"")</f>
        <v/>
      </c>
      <c r="B214" s="4" t="str">
        <f>IFERROR(__xludf.DUMMYFUNCTION("""COMPUTED_VALUE"""),"")</f>
        <v/>
      </c>
      <c r="C214" s="4" t="str">
        <f>IFERROR(__xludf.DUMMYFUNCTION("""COMPUTED_VALUE"""),"")</f>
        <v/>
      </c>
      <c r="D214" s="4" t="str">
        <f>IFERROR(__xludf.DUMMYFUNCTION("""COMPUTED_VALUE"""),"")</f>
        <v/>
      </c>
      <c r="E214" s="4" t="str">
        <f>IFERROR(__xludf.DUMMYFUNCTION("""COMPUTED_VALUE"""),"")</f>
        <v/>
      </c>
      <c r="F214" s="4" t="str">
        <f>IFERROR(__xludf.DUMMYFUNCTION("""COMPUTED_VALUE"""),"")</f>
        <v/>
      </c>
      <c r="G214" s="4" t="str">
        <f>IFERROR(__xludf.DUMMYFUNCTION("""COMPUTED_VALUE"""),"")</f>
        <v/>
      </c>
      <c r="H214" s="4" t="str">
        <f>IFERROR(__xludf.DUMMYFUNCTION("""COMPUTED_VALUE"""),"")</f>
        <v/>
      </c>
      <c r="I214" s="4" t="str">
        <f>IFERROR(__xludf.DUMMYFUNCTION("""COMPUTED_VALUE"""),"")</f>
        <v/>
      </c>
      <c r="J214" s="4" t="str">
        <f>IFERROR(__xludf.DUMMYFUNCTION("""COMPUTED_VALUE"""),"")</f>
        <v/>
      </c>
      <c r="K214" s="4" t="str">
        <f>IFERROR(__xludf.DUMMYFUNCTION("""COMPUTED_VALUE"""),"")</f>
        <v/>
      </c>
    </row>
    <row r="215">
      <c r="A215" s="4" t="str">
        <f>IFERROR(__xludf.DUMMYFUNCTION("""COMPUTED_VALUE"""),"")</f>
        <v/>
      </c>
      <c r="B215" s="4" t="str">
        <f>IFERROR(__xludf.DUMMYFUNCTION("""COMPUTED_VALUE"""),"")</f>
        <v/>
      </c>
      <c r="C215" s="4" t="str">
        <f>IFERROR(__xludf.DUMMYFUNCTION("""COMPUTED_VALUE"""),"")</f>
        <v/>
      </c>
      <c r="D215" s="4" t="str">
        <f>IFERROR(__xludf.DUMMYFUNCTION("""COMPUTED_VALUE"""),"")</f>
        <v/>
      </c>
      <c r="E215" s="4" t="str">
        <f>IFERROR(__xludf.DUMMYFUNCTION("""COMPUTED_VALUE"""),"")</f>
        <v/>
      </c>
      <c r="F215" s="4" t="str">
        <f>IFERROR(__xludf.DUMMYFUNCTION("""COMPUTED_VALUE"""),"")</f>
        <v/>
      </c>
      <c r="G215" s="4" t="str">
        <f>IFERROR(__xludf.DUMMYFUNCTION("""COMPUTED_VALUE"""),"")</f>
        <v/>
      </c>
      <c r="H215" s="4" t="str">
        <f>IFERROR(__xludf.DUMMYFUNCTION("""COMPUTED_VALUE"""),"")</f>
        <v/>
      </c>
      <c r="I215" s="4" t="str">
        <f>IFERROR(__xludf.DUMMYFUNCTION("""COMPUTED_VALUE"""),"")</f>
        <v/>
      </c>
      <c r="J215" s="4" t="str">
        <f>IFERROR(__xludf.DUMMYFUNCTION("""COMPUTED_VALUE"""),"")</f>
        <v/>
      </c>
      <c r="K215" s="4" t="str">
        <f>IFERROR(__xludf.DUMMYFUNCTION("""COMPUTED_VALUE"""),"")</f>
        <v/>
      </c>
    </row>
    <row r="216">
      <c r="A216" s="4" t="str">
        <f>IFERROR(__xludf.DUMMYFUNCTION("""COMPUTED_VALUE"""),"")</f>
        <v/>
      </c>
      <c r="B216" s="4" t="str">
        <f>IFERROR(__xludf.DUMMYFUNCTION("""COMPUTED_VALUE"""),"")</f>
        <v/>
      </c>
      <c r="C216" s="4" t="str">
        <f>IFERROR(__xludf.DUMMYFUNCTION("""COMPUTED_VALUE"""),"")</f>
        <v/>
      </c>
      <c r="D216" s="4" t="str">
        <f>IFERROR(__xludf.DUMMYFUNCTION("""COMPUTED_VALUE"""),"")</f>
        <v/>
      </c>
      <c r="E216" s="4" t="str">
        <f>IFERROR(__xludf.DUMMYFUNCTION("""COMPUTED_VALUE"""),"")</f>
        <v/>
      </c>
      <c r="F216" s="4" t="str">
        <f>IFERROR(__xludf.DUMMYFUNCTION("""COMPUTED_VALUE"""),"")</f>
        <v/>
      </c>
      <c r="G216" s="4" t="str">
        <f>IFERROR(__xludf.DUMMYFUNCTION("""COMPUTED_VALUE"""),"")</f>
        <v/>
      </c>
      <c r="H216" s="4" t="str">
        <f>IFERROR(__xludf.DUMMYFUNCTION("""COMPUTED_VALUE"""),"")</f>
        <v/>
      </c>
      <c r="I216" s="4" t="str">
        <f>IFERROR(__xludf.DUMMYFUNCTION("""COMPUTED_VALUE"""),"")</f>
        <v/>
      </c>
      <c r="J216" s="4" t="str">
        <f>IFERROR(__xludf.DUMMYFUNCTION("""COMPUTED_VALUE"""),"")</f>
        <v/>
      </c>
      <c r="K216" s="4" t="str">
        <f>IFERROR(__xludf.DUMMYFUNCTION("""COMPUTED_VALUE"""),"")</f>
        <v/>
      </c>
    </row>
    <row r="217">
      <c r="A217" s="4" t="str">
        <f>IFERROR(__xludf.DUMMYFUNCTION("""COMPUTED_VALUE"""),"")</f>
        <v/>
      </c>
      <c r="B217" s="4" t="str">
        <f>IFERROR(__xludf.DUMMYFUNCTION("""COMPUTED_VALUE"""),"")</f>
        <v/>
      </c>
      <c r="C217" s="4" t="str">
        <f>IFERROR(__xludf.DUMMYFUNCTION("""COMPUTED_VALUE"""),"")</f>
        <v/>
      </c>
      <c r="D217" s="4" t="str">
        <f>IFERROR(__xludf.DUMMYFUNCTION("""COMPUTED_VALUE"""),"")</f>
        <v/>
      </c>
      <c r="E217" s="4" t="str">
        <f>IFERROR(__xludf.DUMMYFUNCTION("""COMPUTED_VALUE"""),"")</f>
        <v/>
      </c>
      <c r="F217" s="4" t="str">
        <f>IFERROR(__xludf.DUMMYFUNCTION("""COMPUTED_VALUE"""),"")</f>
        <v/>
      </c>
      <c r="G217" s="4" t="str">
        <f>IFERROR(__xludf.DUMMYFUNCTION("""COMPUTED_VALUE"""),"")</f>
        <v/>
      </c>
      <c r="H217" s="4" t="str">
        <f>IFERROR(__xludf.DUMMYFUNCTION("""COMPUTED_VALUE"""),"")</f>
        <v/>
      </c>
      <c r="I217" s="4" t="str">
        <f>IFERROR(__xludf.DUMMYFUNCTION("""COMPUTED_VALUE"""),"")</f>
        <v/>
      </c>
      <c r="J217" s="4" t="str">
        <f>IFERROR(__xludf.DUMMYFUNCTION("""COMPUTED_VALUE"""),"")</f>
        <v/>
      </c>
      <c r="K217" s="4" t="str">
        <f>IFERROR(__xludf.DUMMYFUNCTION("""COMPUTED_VALUE"""),"")</f>
        <v/>
      </c>
    </row>
    <row r="218">
      <c r="A218" s="4" t="str">
        <f>IFERROR(__xludf.DUMMYFUNCTION("""COMPUTED_VALUE"""),"")</f>
        <v/>
      </c>
      <c r="B218" s="4" t="str">
        <f>IFERROR(__xludf.DUMMYFUNCTION("""COMPUTED_VALUE"""),"")</f>
        <v/>
      </c>
      <c r="C218" s="4" t="str">
        <f>IFERROR(__xludf.DUMMYFUNCTION("""COMPUTED_VALUE"""),"")</f>
        <v/>
      </c>
      <c r="D218" s="4" t="str">
        <f>IFERROR(__xludf.DUMMYFUNCTION("""COMPUTED_VALUE"""),"")</f>
        <v/>
      </c>
      <c r="E218" s="4" t="str">
        <f>IFERROR(__xludf.DUMMYFUNCTION("""COMPUTED_VALUE"""),"")</f>
        <v/>
      </c>
      <c r="F218" s="4" t="str">
        <f>IFERROR(__xludf.DUMMYFUNCTION("""COMPUTED_VALUE"""),"")</f>
        <v/>
      </c>
      <c r="G218" s="4" t="str">
        <f>IFERROR(__xludf.DUMMYFUNCTION("""COMPUTED_VALUE"""),"")</f>
        <v/>
      </c>
      <c r="H218" s="4" t="str">
        <f>IFERROR(__xludf.DUMMYFUNCTION("""COMPUTED_VALUE"""),"")</f>
        <v/>
      </c>
      <c r="I218" s="4" t="str">
        <f>IFERROR(__xludf.DUMMYFUNCTION("""COMPUTED_VALUE"""),"")</f>
        <v/>
      </c>
      <c r="J218" s="4" t="str">
        <f>IFERROR(__xludf.DUMMYFUNCTION("""COMPUTED_VALUE"""),"")</f>
        <v/>
      </c>
      <c r="K218" s="4" t="str">
        <f>IFERROR(__xludf.DUMMYFUNCTION("""COMPUTED_VALUE"""),"")</f>
        <v/>
      </c>
    </row>
    <row r="219">
      <c r="A219" s="4" t="str">
        <f>IFERROR(__xludf.DUMMYFUNCTION("""COMPUTED_VALUE"""),"")</f>
        <v/>
      </c>
      <c r="B219" s="4" t="str">
        <f>IFERROR(__xludf.DUMMYFUNCTION("""COMPUTED_VALUE"""),"")</f>
        <v/>
      </c>
      <c r="C219" s="4" t="str">
        <f>IFERROR(__xludf.DUMMYFUNCTION("""COMPUTED_VALUE"""),"")</f>
        <v/>
      </c>
      <c r="D219" s="4" t="str">
        <f>IFERROR(__xludf.DUMMYFUNCTION("""COMPUTED_VALUE"""),"")</f>
        <v/>
      </c>
      <c r="E219" s="4" t="str">
        <f>IFERROR(__xludf.DUMMYFUNCTION("""COMPUTED_VALUE"""),"")</f>
        <v/>
      </c>
      <c r="F219" s="4" t="str">
        <f>IFERROR(__xludf.DUMMYFUNCTION("""COMPUTED_VALUE"""),"")</f>
        <v/>
      </c>
      <c r="G219" s="4" t="str">
        <f>IFERROR(__xludf.DUMMYFUNCTION("""COMPUTED_VALUE"""),"")</f>
        <v/>
      </c>
      <c r="H219" s="4" t="str">
        <f>IFERROR(__xludf.DUMMYFUNCTION("""COMPUTED_VALUE"""),"")</f>
        <v/>
      </c>
      <c r="I219" s="4" t="str">
        <f>IFERROR(__xludf.DUMMYFUNCTION("""COMPUTED_VALUE"""),"")</f>
        <v/>
      </c>
      <c r="J219" s="4" t="str">
        <f>IFERROR(__xludf.DUMMYFUNCTION("""COMPUTED_VALUE"""),"")</f>
        <v/>
      </c>
      <c r="K219" s="4" t="str">
        <f>IFERROR(__xludf.DUMMYFUNCTION("""COMPUTED_VALUE"""),"")</f>
        <v/>
      </c>
    </row>
    <row r="220">
      <c r="A220" s="4" t="str">
        <f>IFERROR(__xludf.DUMMYFUNCTION("""COMPUTED_VALUE"""),"")</f>
        <v/>
      </c>
      <c r="B220" s="4" t="str">
        <f>IFERROR(__xludf.DUMMYFUNCTION("""COMPUTED_VALUE"""),"")</f>
        <v/>
      </c>
      <c r="C220" s="4" t="str">
        <f>IFERROR(__xludf.DUMMYFUNCTION("""COMPUTED_VALUE"""),"")</f>
        <v/>
      </c>
      <c r="D220" s="4" t="str">
        <f>IFERROR(__xludf.DUMMYFUNCTION("""COMPUTED_VALUE"""),"")</f>
        <v/>
      </c>
      <c r="E220" s="4" t="str">
        <f>IFERROR(__xludf.DUMMYFUNCTION("""COMPUTED_VALUE"""),"")</f>
        <v/>
      </c>
      <c r="F220" s="4" t="str">
        <f>IFERROR(__xludf.DUMMYFUNCTION("""COMPUTED_VALUE"""),"")</f>
        <v/>
      </c>
      <c r="G220" s="4" t="str">
        <f>IFERROR(__xludf.DUMMYFUNCTION("""COMPUTED_VALUE"""),"")</f>
        <v/>
      </c>
      <c r="H220" s="4" t="str">
        <f>IFERROR(__xludf.DUMMYFUNCTION("""COMPUTED_VALUE"""),"")</f>
        <v/>
      </c>
      <c r="I220" s="4" t="str">
        <f>IFERROR(__xludf.DUMMYFUNCTION("""COMPUTED_VALUE"""),"")</f>
        <v/>
      </c>
      <c r="J220" s="4" t="str">
        <f>IFERROR(__xludf.DUMMYFUNCTION("""COMPUTED_VALUE"""),"")</f>
        <v/>
      </c>
      <c r="K220" s="4" t="str">
        <f>IFERROR(__xludf.DUMMYFUNCTION("""COMPUTED_VALUE"""),"")</f>
        <v/>
      </c>
    </row>
    <row r="221">
      <c r="A221" s="4" t="str">
        <f>IFERROR(__xludf.DUMMYFUNCTION("""COMPUTED_VALUE"""),"")</f>
        <v/>
      </c>
      <c r="B221" s="4" t="str">
        <f>IFERROR(__xludf.DUMMYFUNCTION("""COMPUTED_VALUE"""),"")</f>
        <v/>
      </c>
      <c r="C221" s="4" t="str">
        <f>IFERROR(__xludf.DUMMYFUNCTION("""COMPUTED_VALUE"""),"")</f>
        <v/>
      </c>
      <c r="D221" s="4" t="str">
        <f>IFERROR(__xludf.DUMMYFUNCTION("""COMPUTED_VALUE"""),"")</f>
        <v/>
      </c>
      <c r="E221" s="4" t="str">
        <f>IFERROR(__xludf.DUMMYFUNCTION("""COMPUTED_VALUE"""),"")</f>
        <v/>
      </c>
      <c r="F221" s="4" t="str">
        <f>IFERROR(__xludf.DUMMYFUNCTION("""COMPUTED_VALUE"""),"")</f>
        <v/>
      </c>
      <c r="G221" s="4" t="str">
        <f>IFERROR(__xludf.DUMMYFUNCTION("""COMPUTED_VALUE"""),"")</f>
        <v/>
      </c>
      <c r="H221" s="4" t="str">
        <f>IFERROR(__xludf.DUMMYFUNCTION("""COMPUTED_VALUE"""),"")</f>
        <v/>
      </c>
      <c r="I221" s="4" t="str">
        <f>IFERROR(__xludf.DUMMYFUNCTION("""COMPUTED_VALUE"""),"")</f>
        <v/>
      </c>
      <c r="J221" s="4" t="str">
        <f>IFERROR(__xludf.DUMMYFUNCTION("""COMPUTED_VALUE"""),"")</f>
        <v/>
      </c>
      <c r="K221" s="4" t="str">
        <f>IFERROR(__xludf.DUMMYFUNCTION("""COMPUTED_VALUE"""),"")</f>
        <v/>
      </c>
    </row>
    <row r="222">
      <c r="A222" s="4" t="str">
        <f>IFERROR(__xludf.DUMMYFUNCTION("""COMPUTED_VALUE"""),"")</f>
        <v/>
      </c>
      <c r="B222" s="4" t="str">
        <f>IFERROR(__xludf.DUMMYFUNCTION("""COMPUTED_VALUE"""),"")</f>
        <v/>
      </c>
      <c r="C222" s="4" t="str">
        <f>IFERROR(__xludf.DUMMYFUNCTION("""COMPUTED_VALUE"""),"")</f>
        <v/>
      </c>
      <c r="D222" s="4" t="str">
        <f>IFERROR(__xludf.DUMMYFUNCTION("""COMPUTED_VALUE"""),"")</f>
        <v/>
      </c>
      <c r="E222" s="4" t="str">
        <f>IFERROR(__xludf.DUMMYFUNCTION("""COMPUTED_VALUE"""),"")</f>
        <v/>
      </c>
      <c r="F222" s="4" t="str">
        <f>IFERROR(__xludf.DUMMYFUNCTION("""COMPUTED_VALUE"""),"")</f>
        <v/>
      </c>
      <c r="G222" s="4" t="str">
        <f>IFERROR(__xludf.DUMMYFUNCTION("""COMPUTED_VALUE"""),"")</f>
        <v/>
      </c>
      <c r="H222" s="4" t="str">
        <f>IFERROR(__xludf.DUMMYFUNCTION("""COMPUTED_VALUE"""),"")</f>
        <v/>
      </c>
      <c r="I222" s="4" t="str">
        <f>IFERROR(__xludf.DUMMYFUNCTION("""COMPUTED_VALUE"""),"")</f>
        <v/>
      </c>
      <c r="J222" s="4" t="str">
        <f>IFERROR(__xludf.DUMMYFUNCTION("""COMPUTED_VALUE"""),"")</f>
        <v/>
      </c>
      <c r="K222" s="4" t="str">
        <f>IFERROR(__xludf.DUMMYFUNCTION("""COMPUTED_VALUE"""),"")</f>
        <v/>
      </c>
    </row>
    <row r="223">
      <c r="A223" s="4" t="str">
        <f>IFERROR(__xludf.DUMMYFUNCTION("""COMPUTED_VALUE"""),"")</f>
        <v/>
      </c>
      <c r="B223" s="4" t="str">
        <f>IFERROR(__xludf.DUMMYFUNCTION("""COMPUTED_VALUE"""),"")</f>
        <v/>
      </c>
      <c r="C223" s="4" t="str">
        <f>IFERROR(__xludf.DUMMYFUNCTION("""COMPUTED_VALUE"""),"")</f>
        <v/>
      </c>
      <c r="D223" s="4" t="str">
        <f>IFERROR(__xludf.DUMMYFUNCTION("""COMPUTED_VALUE"""),"")</f>
        <v/>
      </c>
      <c r="E223" s="4" t="str">
        <f>IFERROR(__xludf.DUMMYFUNCTION("""COMPUTED_VALUE"""),"")</f>
        <v/>
      </c>
      <c r="F223" s="4" t="str">
        <f>IFERROR(__xludf.DUMMYFUNCTION("""COMPUTED_VALUE"""),"")</f>
        <v/>
      </c>
      <c r="G223" s="4" t="str">
        <f>IFERROR(__xludf.DUMMYFUNCTION("""COMPUTED_VALUE"""),"")</f>
        <v/>
      </c>
      <c r="H223" s="4" t="str">
        <f>IFERROR(__xludf.DUMMYFUNCTION("""COMPUTED_VALUE"""),"")</f>
        <v/>
      </c>
      <c r="I223" s="4" t="str">
        <f>IFERROR(__xludf.DUMMYFUNCTION("""COMPUTED_VALUE"""),"")</f>
        <v/>
      </c>
      <c r="J223" s="4" t="str">
        <f>IFERROR(__xludf.DUMMYFUNCTION("""COMPUTED_VALUE"""),"")</f>
        <v/>
      </c>
      <c r="K223" s="4" t="str">
        <f>IFERROR(__xludf.DUMMYFUNCTION("""COMPUTED_VALUE"""),"")</f>
        <v/>
      </c>
    </row>
    <row r="224">
      <c r="A224" s="4" t="str">
        <f>IFERROR(__xludf.DUMMYFUNCTION("""COMPUTED_VALUE"""),"")</f>
        <v/>
      </c>
      <c r="B224" s="4" t="str">
        <f>IFERROR(__xludf.DUMMYFUNCTION("""COMPUTED_VALUE"""),"")</f>
        <v/>
      </c>
      <c r="C224" s="4" t="str">
        <f>IFERROR(__xludf.DUMMYFUNCTION("""COMPUTED_VALUE"""),"")</f>
        <v/>
      </c>
      <c r="D224" s="4" t="str">
        <f>IFERROR(__xludf.DUMMYFUNCTION("""COMPUTED_VALUE"""),"")</f>
        <v/>
      </c>
      <c r="E224" s="4" t="str">
        <f>IFERROR(__xludf.DUMMYFUNCTION("""COMPUTED_VALUE"""),"")</f>
        <v/>
      </c>
      <c r="F224" s="4" t="str">
        <f>IFERROR(__xludf.DUMMYFUNCTION("""COMPUTED_VALUE"""),"")</f>
        <v/>
      </c>
      <c r="G224" s="4" t="str">
        <f>IFERROR(__xludf.DUMMYFUNCTION("""COMPUTED_VALUE"""),"")</f>
        <v/>
      </c>
      <c r="H224" s="4" t="str">
        <f>IFERROR(__xludf.DUMMYFUNCTION("""COMPUTED_VALUE"""),"")</f>
        <v/>
      </c>
      <c r="I224" s="4" t="str">
        <f>IFERROR(__xludf.DUMMYFUNCTION("""COMPUTED_VALUE"""),"")</f>
        <v/>
      </c>
      <c r="J224" s="4" t="str">
        <f>IFERROR(__xludf.DUMMYFUNCTION("""COMPUTED_VALUE"""),"")</f>
        <v/>
      </c>
      <c r="K224" s="4" t="str">
        <f>IFERROR(__xludf.DUMMYFUNCTION("""COMPUTED_VALUE"""),"")</f>
        <v/>
      </c>
    </row>
    <row r="225">
      <c r="A225" s="4" t="str">
        <f>IFERROR(__xludf.DUMMYFUNCTION("""COMPUTED_VALUE"""),"")</f>
        <v/>
      </c>
      <c r="B225" s="4" t="str">
        <f>IFERROR(__xludf.DUMMYFUNCTION("""COMPUTED_VALUE"""),"")</f>
        <v/>
      </c>
      <c r="C225" s="4" t="str">
        <f>IFERROR(__xludf.DUMMYFUNCTION("""COMPUTED_VALUE"""),"")</f>
        <v/>
      </c>
      <c r="D225" s="4" t="str">
        <f>IFERROR(__xludf.DUMMYFUNCTION("""COMPUTED_VALUE"""),"")</f>
        <v/>
      </c>
      <c r="E225" s="4" t="str">
        <f>IFERROR(__xludf.DUMMYFUNCTION("""COMPUTED_VALUE"""),"")</f>
        <v/>
      </c>
      <c r="F225" s="4" t="str">
        <f>IFERROR(__xludf.DUMMYFUNCTION("""COMPUTED_VALUE"""),"")</f>
        <v/>
      </c>
      <c r="G225" s="4" t="str">
        <f>IFERROR(__xludf.DUMMYFUNCTION("""COMPUTED_VALUE"""),"")</f>
        <v/>
      </c>
      <c r="H225" s="4" t="str">
        <f>IFERROR(__xludf.DUMMYFUNCTION("""COMPUTED_VALUE"""),"")</f>
        <v/>
      </c>
      <c r="I225" s="4" t="str">
        <f>IFERROR(__xludf.DUMMYFUNCTION("""COMPUTED_VALUE"""),"")</f>
        <v/>
      </c>
      <c r="J225" s="4" t="str">
        <f>IFERROR(__xludf.DUMMYFUNCTION("""COMPUTED_VALUE"""),"")</f>
        <v/>
      </c>
      <c r="K225" s="4" t="str">
        <f>IFERROR(__xludf.DUMMYFUNCTION("""COMPUTED_VALUE"""),"")</f>
        <v/>
      </c>
    </row>
    <row r="226">
      <c r="A226" s="4" t="str">
        <f>IFERROR(__xludf.DUMMYFUNCTION("""COMPUTED_VALUE"""),"")</f>
        <v/>
      </c>
      <c r="B226" s="4" t="str">
        <f>IFERROR(__xludf.DUMMYFUNCTION("""COMPUTED_VALUE"""),"")</f>
        <v/>
      </c>
      <c r="C226" s="4" t="str">
        <f>IFERROR(__xludf.DUMMYFUNCTION("""COMPUTED_VALUE"""),"")</f>
        <v/>
      </c>
      <c r="D226" s="4" t="str">
        <f>IFERROR(__xludf.DUMMYFUNCTION("""COMPUTED_VALUE"""),"")</f>
        <v/>
      </c>
      <c r="E226" s="4" t="str">
        <f>IFERROR(__xludf.DUMMYFUNCTION("""COMPUTED_VALUE"""),"")</f>
        <v/>
      </c>
      <c r="F226" s="4" t="str">
        <f>IFERROR(__xludf.DUMMYFUNCTION("""COMPUTED_VALUE"""),"")</f>
        <v/>
      </c>
      <c r="G226" s="4" t="str">
        <f>IFERROR(__xludf.DUMMYFUNCTION("""COMPUTED_VALUE"""),"")</f>
        <v/>
      </c>
      <c r="H226" s="4" t="str">
        <f>IFERROR(__xludf.DUMMYFUNCTION("""COMPUTED_VALUE"""),"")</f>
        <v/>
      </c>
      <c r="I226" s="4" t="str">
        <f>IFERROR(__xludf.DUMMYFUNCTION("""COMPUTED_VALUE"""),"")</f>
        <v/>
      </c>
      <c r="J226" s="4" t="str">
        <f>IFERROR(__xludf.DUMMYFUNCTION("""COMPUTED_VALUE"""),"")</f>
        <v/>
      </c>
      <c r="K226" s="4" t="str">
        <f>IFERROR(__xludf.DUMMYFUNCTION("""COMPUTED_VALUE"""),"")</f>
        <v/>
      </c>
    </row>
    <row r="227">
      <c r="A227" s="4" t="str">
        <f>IFERROR(__xludf.DUMMYFUNCTION("""COMPUTED_VALUE"""),"")</f>
        <v/>
      </c>
      <c r="B227" s="4" t="str">
        <f>IFERROR(__xludf.DUMMYFUNCTION("""COMPUTED_VALUE"""),"")</f>
        <v/>
      </c>
      <c r="C227" s="4" t="str">
        <f>IFERROR(__xludf.DUMMYFUNCTION("""COMPUTED_VALUE"""),"")</f>
        <v/>
      </c>
      <c r="D227" s="4" t="str">
        <f>IFERROR(__xludf.DUMMYFUNCTION("""COMPUTED_VALUE"""),"")</f>
        <v/>
      </c>
      <c r="E227" s="4" t="str">
        <f>IFERROR(__xludf.DUMMYFUNCTION("""COMPUTED_VALUE"""),"")</f>
        <v/>
      </c>
      <c r="F227" s="4" t="str">
        <f>IFERROR(__xludf.DUMMYFUNCTION("""COMPUTED_VALUE"""),"")</f>
        <v/>
      </c>
      <c r="G227" s="4" t="str">
        <f>IFERROR(__xludf.DUMMYFUNCTION("""COMPUTED_VALUE"""),"")</f>
        <v/>
      </c>
      <c r="H227" s="4" t="str">
        <f>IFERROR(__xludf.DUMMYFUNCTION("""COMPUTED_VALUE"""),"")</f>
        <v/>
      </c>
      <c r="I227" s="4" t="str">
        <f>IFERROR(__xludf.DUMMYFUNCTION("""COMPUTED_VALUE"""),"")</f>
        <v/>
      </c>
      <c r="J227" s="4" t="str">
        <f>IFERROR(__xludf.DUMMYFUNCTION("""COMPUTED_VALUE"""),"")</f>
        <v/>
      </c>
      <c r="K227" s="4" t="str">
        <f>IFERROR(__xludf.DUMMYFUNCTION("""COMPUTED_VALUE"""),"")</f>
        <v/>
      </c>
    </row>
    <row r="228">
      <c r="A228" s="4" t="str">
        <f>IFERROR(__xludf.DUMMYFUNCTION("""COMPUTED_VALUE"""),"")</f>
        <v/>
      </c>
      <c r="B228" s="4" t="str">
        <f>IFERROR(__xludf.DUMMYFUNCTION("""COMPUTED_VALUE"""),"")</f>
        <v/>
      </c>
      <c r="C228" s="4" t="str">
        <f>IFERROR(__xludf.DUMMYFUNCTION("""COMPUTED_VALUE"""),"")</f>
        <v/>
      </c>
      <c r="D228" s="4" t="str">
        <f>IFERROR(__xludf.DUMMYFUNCTION("""COMPUTED_VALUE"""),"")</f>
        <v/>
      </c>
      <c r="E228" s="4" t="str">
        <f>IFERROR(__xludf.DUMMYFUNCTION("""COMPUTED_VALUE"""),"")</f>
        <v/>
      </c>
      <c r="F228" s="4" t="str">
        <f>IFERROR(__xludf.DUMMYFUNCTION("""COMPUTED_VALUE"""),"")</f>
        <v/>
      </c>
      <c r="G228" s="4" t="str">
        <f>IFERROR(__xludf.DUMMYFUNCTION("""COMPUTED_VALUE"""),"")</f>
        <v/>
      </c>
      <c r="H228" s="4" t="str">
        <f>IFERROR(__xludf.DUMMYFUNCTION("""COMPUTED_VALUE"""),"")</f>
        <v/>
      </c>
      <c r="I228" s="4" t="str">
        <f>IFERROR(__xludf.DUMMYFUNCTION("""COMPUTED_VALUE"""),"")</f>
        <v/>
      </c>
      <c r="J228" s="4" t="str">
        <f>IFERROR(__xludf.DUMMYFUNCTION("""COMPUTED_VALUE"""),"")</f>
        <v/>
      </c>
      <c r="K228" s="4" t="str">
        <f>IFERROR(__xludf.DUMMYFUNCTION("""COMPUTED_VALUE"""),"")</f>
        <v/>
      </c>
    </row>
    <row r="229">
      <c r="A229" s="4" t="str">
        <f>IFERROR(__xludf.DUMMYFUNCTION("""COMPUTED_VALUE"""),"")</f>
        <v/>
      </c>
      <c r="B229" s="4" t="str">
        <f>IFERROR(__xludf.DUMMYFUNCTION("""COMPUTED_VALUE"""),"")</f>
        <v/>
      </c>
      <c r="C229" s="4" t="str">
        <f>IFERROR(__xludf.DUMMYFUNCTION("""COMPUTED_VALUE"""),"")</f>
        <v/>
      </c>
      <c r="D229" s="4" t="str">
        <f>IFERROR(__xludf.DUMMYFUNCTION("""COMPUTED_VALUE"""),"")</f>
        <v/>
      </c>
      <c r="E229" s="4" t="str">
        <f>IFERROR(__xludf.DUMMYFUNCTION("""COMPUTED_VALUE"""),"")</f>
        <v/>
      </c>
      <c r="F229" s="4" t="str">
        <f>IFERROR(__xludf.DUMMYFUNCTION("""COMPUTED_VALUE"""),"")</f>
        <v/>
      </c>
      <c r="G229" s="4" t="str">
        <f>IFERROR(__xludf.DUMMYFUNCTION("""COMPUTED_VALUE"""),"")</f>
        <v/>
      </c>
      <c r="H229" s="4" t="str">
        <f>IFERROR(__xludf.DUMMYFUNCTION("""COMPUTED_VALUE"""),"")</f>
        <v/>
      </c>
      <c r="I229" s="4" t="str">
        <f>IFERROR(__xludf.DUMMYFUNCTION("""COMPUTED_VALUE"""),"")</f>
        <v/>
      </c>
      <c r="J229" s="4" t="str">
        <f>IFERROR(__xludf.DUMMYFUNCTION("""COMPUTED_VALUE"""),"")</f>
        <v/>
      </c>
      <c r="K229" s="4" t="str">
        <f>IFERROR(__xludf.DUMMYFUNCTION("""COMPUTED_VALUE"""),"")</f>
        <v/>
      </c>
    </row>
    <row r="230">
      <c r="A230" s="4" t="str">
        <f>IFERROR(__xludf.DUMMYFUNCTION("""COMPUTED_VALUE"""),"")</f>
        <v/>
      </c>
      <c r="B230" s="4" t="str">
        <f>IFERROR(__xludf.DUMMYFUNCTION("""COMPUTED_VALUE"""),"")</f>
        <v/>
      </c>
      <c r="C230" s="4" t="str">
        <f>IFERROR(__xludf.DUMMYFUNCTION("""COMPUTED_VALUE"""),"")</f>
        <v/>
      </c>
      <c r="D230" s="4" t="str">
        <f>IFERROR(__xludf.DUMMYFUNCTION("""COMPUTED_VALUE"""),"")</f>
        <v/>
      </c>
      <c r="E230" s="4" t="str">
        <f>IFERROR(__xludf.DUMMYFUNCTION("""COMPUTED_VALUE"""),"")</f>
        <v/>
      </c>
      <c r="F230" s="4" t="str">
        <f>IFERROR(__xludf.DUMMYFUNCTION("""COMPUTED_VALUE"""),"")</f>
        <v/>
      </c>
      <c r="G230" s="4" t="str">
        <f>IFERROR(__xludf.DUMMYFUNCTION("""COMPUTED_VALUE"""),"")</f>
        <v/>
      </c>
      <c r="H230" s="4" t="str">
        <f>IFERROR(__xludf.DUMMYFUNCTION("""COMPUTED_VALUE"""),"")</f>
        <v/>
      </c>
      <c r="I230" s="4" t="str">
        <f>IFERROR(__xludf.DUMMYFUNCTION("""COMPUTED_VALUE"""),"")</f>
        <v/>
      </c>
      <c r="J230" s="4" t="str">
        <f>IFERROR(__xludf.DUMMYFUNCTION("""COMPUTED_VALUE"""),"")</f>
        <v/>
      </c>
      <c r="K230" s="4" t="str">
        <f>IFERROR(__xludf.DUMMYFUNCTION("""COMPUTED_VALUE"""),"")</f>
        <v/>
      </c>
    </row>
    <row r="231">
      <c r="A231" s="4" t="str">
        <f>IFERROR(__xludf.DUMMYFUNCTION("""COMPUTED_VALUE"""),"")</f>
        <v/>
      </c>
      <c r="B231" s="4" t="str">
        <f>IFERROR(__xludf.DUMMYFUNCTION("""COMPUTED_VALUE"""),"")</f>
        <v/>
      </c>
      <c r="C231" s="4" t="str">
        <f>IFERROR(__xludf.DUMMYFUNCTION("""COMPUTED_VALUE"""),"")</f>
        <v/>
      </c>
      <c r="D231" s="4" t="str">
        <f>IFERROR(__xludf.DUMMYFUNCTION("""COMPUTED_VALUE"""),"")</f>
        <v/>
      </c>
      <c r="E231" s="4" t="str">
        <f>IFERROR(__xludf.DUMMYFUNCTION("""COMPUTED_VALUE"""),"")</f>
        <v/>
      </c>
      <c r="F231" s="4" t="str">
        <f>IFERROR(__xludf.DUMMYFUNCTION("""COMPUTED_VALUE"""),"")</f>
        <v/>
      </c>
      <c r="G231" s="4" t="str">
        <f>IFERROR(__xludf.DUMMYFUNCTION("""COMPUTED_VALUE"""),"")</f>
        <v/>
      </c>
      <c r="H231" s="4" t="str">
        <f>IFERROR(__xludf.DUMMYFUNCTION("""COMPUTED_VALUE"""),"")</f>
        <v/>
      </c>
      <c r="I231" s="4" t="str">
        <f>IFERROR(__xludf.DUMMYFUNCTION("""COMPUTED_VALUE"""),"")</f>
        <v/>
      </c>
      <c r="J231" s="4" t="str">
        <f>IFERROR(__xludf.DUMMYFUNCTION("""COMPUTED_VALUE"""),"")</f>
        <v/>
      </c>
      <c r="K231" s="4" t="str">
        <f>IFERROR(__xludf.DUMMYFUNCTION("""COMPUTED_VALUE"""),"")</f>
        <v/>
      </c>
    </row>
    <row r="232">
      <c r="A232" s="4" t="str">
        <f>IFERROR(__xludf.DUMMYFUNCTION("""COMPUTED_VALUE"""),"")</f>
        <v/>
      </c>
      <c r="B232" s="4" t="str">
        <f>IFERROR(__xludf.DUMMYFUNCTION("""COMPUTED_VALUE"""),"")</f>
        <v/>
      </c>
      <c r="C232" s="4" t="str">
        <f>IFERROR(__xludf.DUMMYFUNCTION("""COMPUTED_VALUE"""),"")</f>
        <v/>
      </c>
      <c r="D232" s="4" t="str">
        <f>IFERROR(__xludf.DUMMYFUNCTION("""COMPUTED_VALUE"""),"")</f>
        <v/>
      </c>
      <c r="E232" s="4" t="str">
        <f>IFERROR(__xludf.DUMMYFUNCTION("""COMPUTED_VALUE"""),"")</f>
        <v/>
      </c>
      <c r="F232" s="4" t="str">
        <f>IFERROR(__xludf.DUMMYFUNCTION("""COMPUTED_VALUE"""),"")</f>
        <v/>
      </c>
      <c r="G232" s="4" t="str">
        <f>IFERROR(__xludf.DUMMYFUNCTION("""COMPUTED_VALUE"""),"")</f>
        <v/>
      </c>
      <c r="H232" s="4" t="str">
        <f>IFERROR(__xludf.DUMMYFUNCTION("""COMPUTED_VALUE"""),"")</f>
        <v/>
      </c>
      <c r="I232" s="4" t="str">
        <f>IFERROR(__xludf.DUMMYFUNCTION("""COMPUTED_VALUE"""),"")</f>
        <v/>
      </c>
      <c r="J232" s="4" t="str">
        <f>IFERROR(__xludf.DUMMYFUNCTION("""COMPUTED_VALUE"""),"")</f>
        <v/>
      </c>
      <c r="K232" s="4" t="str">
        <f>IFERROR(__xludf.DUMMYFUNCTION("""COMPUTED_VALUE"""),"")</f>
        <v/>
      </c>
    </row>
    <row r="233">
      <c r="A233" s="4" t="str">
        <f>IFERROR(__xludf.DUMMYFUNCTION("""COMPUTED_VALUE"""),"")</f>
        <v/>
      </c>
      <c r="B233" s="4" t="str">
        <f>IFERROR(__xludf.DUMMYFUNCTION("""COMPUTED_VALUE"""),"")</f>
        <v/>
      </c>
      <c r="C233" s="4" t="str">
        <f>IFERROR(__xludf.DUMMYFUNCTION("""COMPUTED_VALUE"""),"")</f>
        <v/>
      </c>
      <c r="D233" s="4" t="str">
        <f>IFERROR(__xludf.DUMMYFUNCTION("""COMPUTED_VALUE"""),"")</f>
        <v/>
      </c>
      <c r="E233" s="4" t="str">
        <f>IFERROR(__xludf.DUMMYFUNCTION("""COMPUTED_VALUE"""),"")</f>
        <v/>
      </c>
      <c r="F233" s="4" t="str">
        <f>IFERROR(__xludf.DUMMYFUNCTION("""COMPUTED_VALUE"""),"")</f>
        <v/>
      </c>
      <c r="G233" s="4" t="str">
        <f>IFERROR(__xludf.DUMMYFUNCTION("""COMPUTED_VALUE"""),"")</f>
        <v/>
      </c>
      <c r="H233" s="4" t="str">
        <f>IFERROR(__xludf.DUMMYFUNCTION("""COMPUTED_VALUE"""),"")</f>
        <v/>
      </c>
      <c r="I233" s="4" t="str">
        <f>IFERROR(__xludf.DUMMYFUNCTION("""COMPUTED_VALUE"""),"")</f>
        <v/>
      </c>
      <c r="J233" s="4" t="str">
        <f>IFERROR(__xludf.DUMMYFUNCTION("""COMPUTED_VALUE"""),"")</f>
        <v/>
      </c>
      <c r="K233" s="4" t="str">
        <f>IFERROR(__xludf.DUMMYFUNCTION("""COMPUTED_VALUE"""),"")</f>
        <v/>
      </c>
    </row>
    <row r="234">
      <c r="A234" s="4" t="str">
        <f>IFERROR(__xludf.DUMMYFUNCTION("""COMPUTED_VALUE"""),"")</f>
        <v/>
      </c>
      <c r="B234" s="4" t="str">
        <f>IFERROR(__xludf.DUMMYFUNCTION("""COMPUTED_VALUE"""),"")</f>
        <v/>
      </c>
      <c r="C234" s="4" t="str">
        <f>IFERROR(__xludf.DUMMYFUNCTION("""COMPUTED_VALUE"""),"")</f>
        <v/>
      </c>
      <c r="D234" s="4" t="str">
        <f>IFERROR(__xludf.DUMMYFUNCTION("""COMPUTED_VALUE"""),"")</f>
        <v/>
      </c>
      <c r="E234" s="4" t="str">
        <f>IFERROR(__xludf.DUMMYFUNCTION("""COMPUTED_VALUE"""),"")</f>
        <v/>
      </c>
      <c r="F234" s="4" t="str">
        <f>IFERROR(__xludf.DUMMYFUNCTION("""COMPUTED_VALUE"""),"")</f>
        <v/>
      </c>
      <c r="G234" s="4" t="str">
        <f>IFERROR(__xludf.DUMMYFUNCTION("""COMPUTED_VALUE"""),"")</f>
        <v/>
      </c>
      <c r="H234" s="4" t="str">
        <f>IFERROR(__xludf.DUMMYFUNCTION("""COMPUTED_VALUE"""),"")</f>
        <v/>
      </c>
      <c r="I234" s="4" t="str">
        <f>IFERROR(__xludf.DUMMYFUNCTION("""COMPUTED_VALUE"""),"")</f>
        <v/>
      </c>
      <c r="J234" s="4" t="str">
        <f>IFERROR(__xludf.DUMMYFUNCTION("""COMPUTED_VALUE"""),"")</f>
        <v/>
      </c>
      <c r="K234" s="4" t="str">
        <f>IFERROR(__xludf.DUMMYFUNCTION("""COMPUTED_VALUE"""),"")</f>
        <v/>
      </c>
    </row>
    <row r="235">
      <c r="A235" s="4" t="str">
        <f>IFERROR(__xludf.DUMMYFUNCTION("""COMPUTED_VALUE"""),"")</f>
        <v/>
      </c>
      <c r="B235" s="4" t="str">
        <f>IFERROR(__xludf.DUMMYFUNCTION("""COMPUTED_VALUE"""),"")</f>
        <v/>
      </c>
      <c r="C235" s="4" t="str">
        <f>IFERROR(__xludf.DUMMYFUNCTION("""COMPUTED_VALUE"""),"")</f>
        <v/>
      </c>
      <c r="D235" s="4" t="str">
        <f>IFERROR(__xludf.DUMMYFUNCTION("""COMPUTED_VALUE"""),"")</f>
        <v/>
      </c>
      <c r="E235" s="4" t="str">
        <f>IFERROR(__xludf.DUMMYFUNCTION("""COMPUTED_VALUE"""),"")</f>
        <v/>
      </c>
      <c r="F235" s="4" t="str">
        <f>IFERROR(__xludf.DUMMYFUNCTION("""COMPUTED_VALUE"""),"")</f>
        <v/>
      </c>
      <c r="G235" s="4" t="str">
        <f>IFERROR(__xludf.DUMMYFUNCTION("""COMPUTED_VALUE"""),"")</f>
        <v/>
      </c>
      <c r="H235" s="4" t="str">
        <f>IFERROR(__xludf.DUMMYFUNCTION("""COMPUTED_VALUE"""),"")</f>
        <v/>
      </c>
      <c r="I235" s="4" t="str">
        <f>IFERROR(__xludf.DUMMYFUNCTION("""COMPUTED_VALUE"""),"")</f>
        <v/>
      </c>
      <c r="J235" s="4" t="str">
        <f>IFERROR(__xludf.DUMMYFUNCTION("""COMPUTED_VALUE"""),"")</f>
        <v/>
      </c>
      <c r="K235" s="4" t="str">
        <f>IFERROR(__xludf.DUMMYFUNCTION("""COMPUTED_VALUE"""),"")</f>
        <v/>
      </c>
    </row>
    <row r="236">
      <c r="A236" s="4" t="str">
        <f>IFERROR(__xludf.DUMMYFUNCTION("""COMPUTED_VALUE"""),"")</f>
        <v/>
      </c>
      <c r="B236" s="4" t="str">
        <f>IFERROR(__xludf.DUMMYFUNCTION("""COMPUTED_VALUE"""),"")</f>
        <v/>
      </c>
      <c r="C236" s="4" t="str">
        <f>IFERROR(__xludf.DUMMYFUNCTION("""COMPUTED_VALUE"""),"")</f>
        <v/>
      </c>
      <c r="D236" s="4" t="str">
        <f>IFERROR(__xludf.DUMMYFUNCTION("""COMPUTED_VALUE"""),"")</f>
        <v/>
      </c>
      <c r="E236" s="4" t="str">
        <f>IFERROR(__xludf.DUMMYFUNCTION("""COMPUTED_VALUE"""),"")</f>
        <v/>
      </c>
      <c r="F236" s="4" t="str">
        <f>IFERROR(__xludf.DUMMYFUNCTION("""COMPUTED_VALUE"""),"")</f>
        <v/>
      </c>
      <c r="G236" s="4" t="str">
        <f>IFERROR(__xludf.DUMMYFUNCTION("""COMPUTED_VALUE"""),"")</f>
        <v/>
      </c>
      <c r="H236" s="4" t="str">
        <f>IFERROR(__xludf.DUMMYFUNCTION("""COMPUTED_VALUE"""),"")</f>
        <v/>
      </c>
      <c r="I236" s="4" t="str">
        <f>IFERROR(__xludf.DUMMYFUNCTION("""COMPUTED_VALUE"""),"")</f>
        <v/>
      </c>
      <c r="J236" s="4" t="str">
        <f>IFERROR(__xludf.DUMMYFUNCTION("""COMPUTED_VALUE"""),"")</f>
        <v/>
      </c>
      <c r="K236" s="4" t="str">
        <f>IFERROR(__xludf.DUMMYFUNCTION("""COMPUTED_VALUE"""),"")</f>
        <v/>
      </c>
    </row>
    <row r="237">
      <c r="A237" s="4" t="str">
        <f>IFERROR(__xludf.DUMMYFUNCTION("""COMPUTED_VALUE"""),"")</f>
        <v/>
      </c>
      <c r="B237" s="4" t="str">
        <f>IFERROR(__xludf.DUMMYFUNCTION("""COMPUTED_VALUE"""),"")</f>
        <v/>
      </c>
      <c r="C237" s="4" t="str">
        <f>IFERROR(__xludf.DUMMYFUNCTION("""COMPUTED_VALUE"""),"")</f>
        <v/>
      </c>
      <c r="D237" s="4" t="str">
        <f>IFERROR(__xludf.DUMMYFUNCTION("""COMPUTED_VALUE"""),"")</f>
        <v/>
      </c>
      <c r="E237" s="4" t="str">
        <f>IFERROR(__xludf.DUMMYFUNCTION("""COMPUTED_VALUE"""),"")</f>
        <v/>
      </c>
      <c r="F237" s="4" t="str">
        <f>IFERROR(__xludf.DUMMYFUNCTION("""COMPUTED_VALUE"""),"")</f>
        <v/>
      </c>
      <c r="G237" s="4" t="str">
        <f>IFERROR(__xludf.DUMMYFUNCTION("""COMPUTED_VALUE"""),"")</f>
        <v/>
      </c>
      <c r="H237" s="4" t="str">
        <f>IFERROR(__xludf.DUMMYFUNCTION("""COMPUTED_VALUE"""),"")</f>
        <v/>
      </c>
      <c r="I237" s="4" t="str">
        <f>IFERROR(__xludf.DUMMYFUNCTION("""COMPUTED_VALUE"""),"")</f>
        <v/>
      </c>
      <c r="J237" s="4" t="str">
        <f>IFERROR(__xludf.DUMMYFUNCTION("""COMPUTED_VALUE"""),"")</f>
        <v/>
      </c>
      <c r="K237" s="4" t="str">
        <f>IFERROR(__xludf.DUMMYFUNCTION("""COMPUTED_VALUE"""),"")</f>
        <v/>
      </c>
    </row>
    <row r="238">
      <c r="A238" s="4" t="str">
        <f>IFERROR(__xludf.DUMMYFUNCTION("""COMPUTED_VALUE"""),"")</f>
        <v/>
      </c>
      <c r="B238" s="4" t="str">
        <f>IFERROR(__xludf.DUMMYFUNCTION("""COMPUTED_VALUE"""),"")</f>
        <v/>
      </c>
      <c r="C238" s="4" t="str">
        <f>IFERROR(__xludf.DUMMYFUNCTION("""COMPUTED_VALUE"""),"")</f>
        <v/>
      </c>
      <c r="D238" s="4" t="str">
        <f>IFERROR(__xludf.DUMMYFUNCTION("""COMPUTED_VALUE"""),"")</f>
        <v/>
      </c>
      <c r="E238" s="4" t="str">
        <f>IFERROR(__xludf.DUMMYFUNCTION("""COMPUTED_VALUE"""),"")</f>
        <v/>
      </c>
      <c r="F238" s="4" t="str">
        <f>IFERROR(__xludf.DUMMYFUNCTION("""COMPUTED_VALUE"""),"")</f>
        <v/>
      </c>
      <c r="G238" s="4" t="str">
        <f>IFERROR(__xludf.DUMMYFUNCTION("""COMPUTED_VALUE"""),"")</f>
        <v/>
      </c>
      <c r="H238" s="4" t="str">
        <f>IFERROR(__xludf.DUMMYFUNCTION("""COMPUTED_VALUE"""),"")</f>
        <v/>
      </c>
      <c r="I238" s="4" t="str">
        <f>IFERROR(__xludf.DUMMYFUNCTION("""COMPUTED_VALUE"""),"")</f>
        <v/>
      </c>
      <c r="J238" s="4" t="str">
        <f>IFERROR(__xludf.DUMMYFUNCTION("""COMPUTED_VALUE"""),"")</f>
        <v/>
      </c>
      <c r="K238" s="4" t="str">
        <f>IFERROR(__xludf.DUMMYFUNCTION("""COMPUTED_VALUE"""),"")</f>
        <v/>
      </c>
    </row>
    <row r="239">
      <c r="A239" s="4" t="str">
        <f>IFERROR(__xludf.DUMMYFUNCTION("""COMPUTED_VALUE"""),"")</f>
        <v/>
      </c>
      <c r="B239" s="4" t="str">
        <f>IFERROR(__xludf.DUMMYFUNCTION("""COMPUTED_VALUE"""),"")</f>
        <v/>
      </c>
      <c r="C239" s="4" t="str">
        <f>IFERROR(__xludf.DUMMYFUNCTION("""COMPUTED_VALUE"""),"")</f>
        <v/>
      </c>
      <c r="D239" s="4" t="str">
        <f>IFERROR(__xludf.DUMMYFUNCTION("""COMPUTED_VALUE"""),"")</f>
        <v/>
      </c>
      <c r="E239" s="4" t="str">
        <f>IFERROR(__xludf.DUMMYFUNCTION("""COMPUTED_VALUE"""),"")</f>
        <v/>
      </c>
      <c r="F239" s="4" t="str">
        <f>IFERROR(__xludf.DUMMYFUNCTION("""COMPUTED_VALUE"""),"")</f>
        <v/>
      </c>
      <c r="G239" s="4" t="str">
        <f>IFERROR(__xludf.DUMMYFUNCTION("""COMPUTED_VALUE"""),"")</f>
        <v/>
      </c>
      <c r="H239" s="4" t="str">
        <f>IFERROR(__xludf.DUMMYFUNCTION("""COMPUTED_VALUE"""),"")</f>
        <v/>
      </c>
      <c r="I239" s="4" t="str">
        <f>IFERROR(__xludf.DUMMYFUNCTION("""COMPUTED_VALUE"""),"")</f>
        <v/>
      </c>
      <c r="J239" s="4" t="str">
        <f>IFERROR(__xludf.DUMMYFUNCTION("""COMPUTED_VALUE"""),"")</f>
        <v/>
      </c>
      <c r="K239" s="4" t="str">
        <f>IFERROR(__xludf.DUMMYFUNCTION("""COMPUTED_VALUE"""),"")</f>
        <v/>
      </c>
    </row>
    <row r="240">
      <c r="A240" s="4" t="str">
        <f>IFERROR(__xludf.DUMMYFUNCTION("""COMPUTED_VALUE"""),"")</f>
        <v/>
      </c>
      <c r="B240" s="4" t="str">
        <f>IFERROR(__xludf.DUMMYFUNCTION("""COMPUTED_VALUE"""),"")</f>
        <v/>
      </c>
      <c r="C240" s="4" t="str">
        <f>IFERROR(__xludf.DUMMYFUNCTION("""COMPUTED_VALUE"""),"")</f>
        <v/>
      </c>
      <c r="D240" s="4" t="str">
        <f>IFERROR(__xludf.DUMMYFUNCTION("""COMPUTED_VALUE"""),"")</f>
        <v/>
      </c>
      <c r="E240" s="4" t="str">
        <f>IFERROR(__xludf.DUMMYFUNCTION("""COMPUTED_VALUE"""),"")</f>
        <v/>
      </c>
      <c r="F240" s="4" t="str">
        <f>IFERROR(__xludf.DUMMYFUNCTION("""COMPUTED_VALUE"""),"")</f>
        <v/>
      </c>
      <c r="G240" s="4" t="str">
        <f>IFERROR(__xludf.DUMMYFUNCTION("""COMPUTED_VALUE"""),"")</f>
        <v/>
      </c>
      <c r="H240" s="4" t="str">
        <f>IFERROR(__xludf.DUMMYFUNCTION("""COMPUTED_VALUE"""),"")</f>
        <v/>
      </c>
      <c r="I240" s="4" t="str">
        <f>IFERROR(__xludf.DUMMYFUNCTION("""COMPUTED_VALUE"""),"")</f>
        <v/>
      </c>
      <c r="J240" s="4" t="str">
        <f>IFERROR(__xludf.DUMMYFUNCTION("""COMPUTED_VALUE"""),"")</f>
        <v/>
      </c>
      <c r="K240" s="4" t="str">
        <f>IFERROR(__xludf.DUMMYFUNCTION("""COMPUTED_VALUE"""),"")</f>
        <v/>
      </c>
    </row>
    <row r="241">
      <c r="A241" s="4" t="str">
        <f>IFERROR(__xludf.DUMMYFUNCTION("""COMPUTED_VALUE"""),"")</f>
        <v/>
      </c>
      <c r="B241" s="4" t="str">
        <f>IFERROR(__xludf.DUMMYFUNCTION("""COMPUTED_VALUE"""),"")</f>
        <v/>
      </c>
      <c r="C241" s="4" t="str">
        <f>IFERROR(__xludf.DUMMYFUNCTION("""COMPUTED_VALUE"""),"")</f>
        <v/>
      </c>
      <c r="D241" s="4" t="str">
        <f>IFERROR(__xludf.DUMMYFUNCTION("""COMPUTED_VALUE"""),"")</f>
        <v/>
      </c>
      <c r="E241" s="4" t="str">
        <f>IFERROR(__xludf.DUMMYFUNCTION("""COMPUTED_VALUE"""),"")</f>
        <v/>
      </c>
      <c r="F241" s="4" t="str">
        <f>IFERROR(__xludf.DUMMYFUNCTION("""COMPUTED_VALUE"""),"")</f>
        <v/>
      </c>
      <c r="G241" s="4" t="str">
        <f>IFERROR(__xludf.DUMMYFUNCTION("""COMPUTED_VALUE"""),"")</f>
        <v/>
      </c>
      <c r="H241" s="4" t="str">
        <f>IFERROR(__xludf.DUMMYFUNCTION("""COMPUTED_VALUE"""),"")</f>
        <v/>
      </c>
      <c r="I241" s="4" t="str">
        <f>IFERROR(__xludf.DUMMYFUNCTION("""COMPUTED_VALUE"""),"")</f>
        <v/>
      </c>
      <c r="J241" s="4" t="str">
        <f>IFERROR(__xludf.DUMMYFUNCTION("""COMPUTED_VALUE"""),"")</f>
        <v/>
      </c>
      <c r="K241" s="4" t="str">
        <f>IFERROR(__xludf.DUMMYFUNCTION("""COMPUTED_VALUE"""),"")</f>
        <v/>
      </c>
    </row>
    <row r="242">
      <c r="A242" s="4" t="str">
        <f>IFERROR(__xludf.DUMMYFUNCTION("""COMPUTED_VALUE"""),"")</f>
        <v/>
      </c>
      <c r="B242" s="4" t="str">
        <f>IFERROR(__xludf.DUMMYFUNCTION("""COMPUTED_VALUE"""),"")</f>
        <v/>
      </c>
      <c r="C242" s="4" t="str">
        <f>IFERROR(__xludf.DUMMYFUNCTION("""COMPUTED_VALUE"""),"")</f>
        <v/>
      </c>
      <c r="D242" s="4" t="str">
        <f>IFERROR(__xludf.DUMMYFUNCTION("""COMPUTED_VALUE"""),"")</f>
        <v/>
      </c>
      <c r="E242" s="4" t="str">
        <f>IFERROR(__xludf.DUMMYFUNCTION("""COMPUTED_VALUE"""),"")</f>
        <v/>
      </c>
      <c r="F242" s="4" t="str">
        <f>IFERROR(__xludf.DUMMYFUNCTION("""COMPUTED_VALUE"""),"")</f>
        <v/>
      </c>
      <c r="G242" s="4" t="str">
        <f>IFERROR(__xludf.DUMMYFUNCTION("""COMPUTED_VALUE"""),"")</f>
        <v/>
      </c>
      <c r="H242" s="4" t="str">
        <f>IFERROR(__xludf.DUMMYFUNCTION("""COMPUTED_VALUE"""),"")</f>
        <v/>
      </c>
      <c r="I242" s="4" t="str">
        <f>IFERROR(__xludf.DUMMYFUNCTION("""COMPUTED_VALUE"""),"")</f>
        <v/>
      </c>
      <c r="J242" s="4" t="str">
        <f>IFERROR(__xludf.DUMMYFUNCTION("""COMPUTED_VALUE"""),"")</f>
        <v/>
      </c>
      <c r="K242" s="4" t="str">
        <f>IFERROR(__xludf.DUMMYFUNCTION("""COMPUTED_VALUE"""),"")</f>
        <v/>
      </c>
    </row>
    <row r="243">
      <c r="A243" s="4" t="str">
        <f>IFERROR(__xludf.DUMMYFUNCTION("""COMPUTED_VALUE"""),"")</f>
        <v/>
      </c>
      <c r="B243" s="4" t="str">
        <f>IFERROR(__xludf.DUMMYFUNCTION("""COMPUTED_VALUE"""),"")</f>
        <v/>
      </c>
      <c r="C243" s="4" t="str">
        <f>IFERROR(__xludf.DUMMYFUNCTION("""COMPUTED_VALUE"""),"")</f>
        <v/>
      </c>
      <c r="D243" s="4" t="str">
        <f>IFERROR(__xludf.DUMMYFUNCTION("""COMPUTED_VALUE"""),"")</f>
        <v/>
      </c>
      <c r="E243" s="4" t="str">
        <f>IFERROR(__xludf.DUMMYFUNCTION("""COMPUTED_VALUE"""),"")</f>
        <v/>
      </c>
      <c r="F243" s="4" t="str">
        <f>IFERROR(__xludf.DUMMYFUNCTION("""COMPUTED_VALUE"""),"")</f>
        <v/>
      </c>
      <c r="G243" s="4" t="str">
        <f>IFERROR(__xludf.DUMMYFUNCTION("""COMPUTED_VALUE"""),"")</f>
        <v/>
      </c>
      <c r="H243" s="4" t="str">
        <f>IFERROR(__xludf.DUMMYFUNCTION("""COMPUTED_VALUE"""),"")</f>
        <v/>
      </c>
      <c r="I243" s="4" t="str">
        <f>IFERROR(__xludf.DUMMYFUNCTION("""COMPUTED_VALUE"""),"")</f>
        <v/>
      </c>
      <c r="J243" s="4" t="str">
        <f>IFERROR(__xludf.DUMMYFUNCTION("""COMPUTED_VALUE"""),"")</f>
        <v/>
      </c>
      <c r="K243" s="4" t="str">
        <f>IFERROR(__xludf.DUMMYFUNCTION("""COMPUTED_VALUE"""),"")</f>
        <v/>
      </c>
    </row>
    <row r="244">
      <c r="A244" s="4" t="str">
        <f>IFERROR(__xludf.DUMMYFUNCTION("""COMPUTED_VALUE"""),"")</f>
        <v/>
      </c>
      <c r="B244" s="4" t="str">
        <f>IFERROR(__xludf.DUMMYFUNCTION("""COMPUTED_VALUE"""),"")</f>
        <v/>
      </c>
      <c r="C244" s="4" t="str">
        <f>IFERROR(__xludf.DUMMYFUNCTION("""COMPUTED_VALUE"""),"")</f>
        <v/>
      </c>
      <c r="D244" s="4" t="str">
        <f>IFERROR(__xludf.DUMMYFUNCTION("""COMPUTED_VALUE"""),"")</f>
        <v/>
      </c>
      <c r="E244" s="4" t="str">
        <f>IFERROR(__xludf.DUMMYFUNCTION("""COMPUTED_VALUE"""),"")</f>
        <v/>
      </c>
      <c r="F244" s="4" t="str">
        <f>IFERROR(__xludf.DUMMYFUNCTION("""COMPUTED_VALUE"""),"")</f>
        <v/>
      </c>
      <c r="G244" s="4" t="str">
        <f>IFERROR(__xludf.DUMMYFUNCTION("""COMPUTED_VALUE"""),"")</f>
        <v/>
      </c>
      <c r="H244" s="4" t="str">
        <f>IFERROR(__xludf.DUMMYFUNCTION("""COMPUTED_VALUE"""),"")</f>
        <v/>
      </c>
      <c r="I244" s="4" t="str">
        <f>IFERROR(__xludf.DUMMYFUNCTION("""COMPUTED_VALUE"""),"")</f>
        <v/>
      </c>
      <c r="J244" s="4" t="str">
        <f>IFERROR(__xludf.DUMMYFUNCTION("""COMPUTED_VALUE"""),"")</f>
        <v/>
      </c>
      <c r="K244" s="4" t="str">
        <f>IFERROR(__xludf.DUMMYFUNCTION("""COMPUTED_VALUE"""),"")</f>
        <v/>
      </c>
    </row>
    <row r="245">
      <c r="A245" s="4" t="str">
        <f>IFERROR(__xludf.DUMMYFUNCTION("""COMPUTED_VALUE"""),"")</f>
        <v/>
      </c>
      <c r="B245" s="4" t="str">
        <f>IFERROR(__xludf.DUMMYFUNCTION("""COMPUTED_VALUE"""),"")</f>
        <v/>
      </c>
      <c r="C245" s="4" t="str">
        <f>IFERROR(__xludf.DUMMYFUNCTION("""COMPUTED_VALUE"""),"")</f>
        <v/>
      </c>
      <c r="D245" s="4" t="str">
        <f>IFERROR(__xludf.DUMMYFUNCTION("""COMPUTED_VALUE"""),"")</f>
        <v/>
      </c>
      <c r="E245" s="4" t="str">
        <f>IFERROR(__xludf.DUMMYFUNCTION("""COMPUTED_VALUE"""),"")</f>
        <v/>
      </c>
      <c r="F245" s="4" t="str">
        <f>IFERROR(__xludf.DUMMYFUNCTION("""COMPUTED_VALUE"""),"")</f>
        <v/>
      </c>
      <c r="G245" s="4" t="str">
        <f>IFERROR(__xludf.DUMMYFUNCTION("""COMPUTED_VALUE"""),"")</f>
        <v/>
      </c>
      <c r="H245" s="4" t="str">
        <f>IFERROR(__xludf.DUMMYFUNCTION("""COMPUTED_VALUE"""),"")</f>
        <v/>
      </c>
      <c r="I245" s="4" t="str">
        <f>IFERROR(__xludf.DUMMYFUNCTION("""COMPUTED_VALUE"""),"")</f>
        <v/>
      </c>
      <c r="J245" s="4" t="str">
        <f>IFERROR(__xludf.DUMMYFUNCTION("""COMPUTED_VALUE"""),"")</f>
        <v/>
      </c>
      <c r="K245" s="4" t="str">
        <f>IFERROR(__xludf.DUMMYFUNCTION("""COMPUTED_VALUE"""),"")</f>
        <v/>
      </c>
    </row>
    <row r="246">
      <c r="A246" s="4" t="str">
        <f>IFERROR(__xludf.DUMMYFUNCTION("""COMPUTED_VALUE"""),"")</f>
        <v/>
      </c>
      <c r="B246" s="4" t="str">
        <f>IFERROR(__xludf.DUMMYFUNCTION("""COMPUTED_VALUE"""),"")</f>
        <v/>
      </c>
      <c r="C246" s="4" t="str">
        <f>IFERROR(__xludf.DUMMYFUNCTION("""COMPUTED_VALUE"""),"")</f>
        <v/>
      </c>
      <c r="D246" s="4" t="str">
        <f>IFERROR(__xludf.DUMMYFUNCTION("""COMPUTED_VALUE"""),"")</f>
        <v/>
      </c>
      <c r="E246" s="4" t="str">
        <f>IFERROR(__xludf.DUMMYFUNCTION("""COMPUTED_VALUE"""),"")</f>
        <v/>
      </c>
      <c r="F246" s="4" t="str">
        <f>IFERROR(__xludf.DUMMYFUNCTION("""COMPUTED_VALUE"""),"")</f>
        <v/>
      </c>
      <c r="G246" s="4" t="str">
        <f>IFERROR(__xludf.DUMMYFUNCTION("""COMPUTED_VALUE"""),"")</f>
        <v/>
      </c>
      <c r="H246" s="4" t="str">
        <f>IFERROR(__xludf.DUMMYFUNCTION("""COMPUTED_VALUE"""),"")</f>
        <v/>
      </c>
      <c r="I246" s="4" t="str">
        <f>IFERROR(__xludf.DUMMYFUNCTION("""COMPUTED_VALUE"""),"")</f>
        <v/>
      </c>
      <c r="J246" s="4" t="str">
        <f>IFERROR(__xludf.DUMMYFUNCTION("""COMPUTED_VALUE"""),"")</f>
        <v/>
      </c>
      <c r="K246" s="4" t="str">
        <f>IFERROR(__xludf.DUMMYFUNCTION("""COMPUTED_VALUE"""),"")</f>
        <v/>
      </c>
    </row>
    <row r="247">
      <c r="A247" s="4" t="str">
        <f>IFERROR(__xludf.DUMMYFUNCTION("""COMPUTED_VALUE"""),"")</f>
        <v/>
      </c>
      <c r="B247" s="4" t="str">
        <f>IFERROR(__xludf.DUMMYFUNCTION("""COMPUTED_VALUE"""),"")</f>
        <v/>
      </c>
      <c r="C247" s="4" t="str">
        <f>IFERROR(__xludf.DUMMYFUNCTION("""COMPUTED_VALUE"""),"")</f>
        <v/>
      </c>
      <c r="D247" s="4" t="str">
        <f>IFERROR(__xludf.DUMMYFUNCTION("""COMPUTED_VALUE"""),"")</f>
        <v/>
      </c>
      <c r="E247" s="4" t="str">
        <f>IFERROR(__xludf.DUMMYFUNCTION("""COMPUTED_VALUE"""),"")</f>
        <v/>
      </c>
      <c r="F247" s="4" t="str">
        <f>IFERROR(__xludf.DUMMYFUNCTION("""COMPUTED_VALUE"""),"")</f>
        <v/>
      </c>
      <c r="G247" s="4" t="str">
        <f>IFERROR(__xludf.DUMMYFUNCTION("""COMPUTED_VALUE"""),"")</f>
        <v/>
      </c>
      <c r="H247" s="4" t="str">
        <f>IFERROR(__xludf.DUMMYFUNCTION("""COMPUTED_VALUE"""),"")</f>
        <v/>
      </c>
      <c r="I247" s="4" t="str">
        <f>IFERROR(__xludf.DUMMYFUNCTION("""COMPUTED_VALUE"""),"")</f>
        <v/>
      </c>
      <c r="J247" s="4" t="str">
        <f>IFERROR(__xludf.DUMMYFUNCTION("""COMPUTED_VALUE"""),"")</f>
        <v/>
      </c>
      <c r="K247" s="4" t="str">
        <f>IFERROR(__xludf.DUMMYFUNCTION("""COMPUTED_VALUE"""),"")</f>
        <v/>
      </c>
    </row>
    <row r="248">
      <c r="A248" s="4" t="str">
        <f>IFERROR(__xludf.DUMMYFUNCTION("""COMPUTED_VALUE"""),"")</f>
        <v/>
      </c>
      <c r="B248" s="4" t="str">
        <f>IFERROR(__xludf.DUMMYFUNCTION("""COMPUTED_VALUE"""),"")</f>
        <v/>
      </c>
      <c r="C248" s="4" t="str">
        <f>IFERROR(__xludf.DUMMYFUNCTION("""COMPUTED_VALUE"""),"")</f>
        <v/>
      </c>
      <c r="D248" s="4" t="str">
        <f>IFERROR(__xludf.DUMMYFUNCTION("""COMPUTED_VALUE"""),"")</f>
        <v/>
      </c>
      <c r="E248" s="4" t="str">
        <f>IFERROR(__xludf.DUMMYFUNCTION("""COMPUTED_VALUE"""),"")</f>
        <v/>
      </c>
      <c r="F248" s="4" t="str">
        <f>IFERROR(__xludf.DUMMYFUNCTION("""COMPUTED_VALUE"""),"")</f>
        <v/>
      </c>
      <c r="G248" s="4" t="str">
        <f>IFERROR(__xludf.DUMMYFUNCTION("""COMPUTED_VALUE"""),"")</f>
        <v/>
      </c>
      <c r="H248" s="4" t="str">
        <f>IFERROR(__xludf.DUMMYFUNCTION("""COMPUTED_VALUE"""),"")</f>
        <v/>
      </c>
      <c r="I248" s="4" t="str">
        <f>IFERROR(__xludf.DUMMYFUNCTION("""COMPUTED_VALUE"""),"")</f>
        <v/>
      </c>
      <c r="J248" s="4" t="str">
        <f>IFERROR(__xludf.DUMMYFUNCTION("""COMPUTED_VALUE"""),"")</f>
        <v/>
      </c>
      <c r="K248" s="4" t="str">
        <f>IFERROR(__xludf.DUMMYFUNCTION("""COMPUTED_VALUE"""),"")</f>
        <v/>
      </c>
    </row>
    <row r="249">
      <c r="A249" s="4" t="str">
        <f>IFERROR(__xludf.DUMMYFUNCTION("""COMPUTED_VALUE"""),"")</f>
        <v/>
      </c>
      <c r="B249" s="4" t="str">
        <f>IFERROR(__xludf.DUMMYFUNCTION("""COMPUTED_VALUE"""),"")</f>
        <v/>
      </c>
      <c r="C249" s="4" t="str">
        <f>IFERROR(__xludf.DUMMYFUNCTION("""COMPUTED_VALUE"""),"")</f>
        <v/>
      </c>
      <c r="D249" s="4" t="str">
        <f>IFERROR(__xludf.DUMMYFUNCTION("""COMPUTED_VALUE"""),"")</f>
        <v/>
      </c>
      <c r="E249" s="4" t="str">
        <f>IFERROR(__xludf.DUMMYFUNCTION("""COMPUTED_VALUE"""),"")</f>
        <v/>
      </c>
      <c r="F249" s="4" t="str">
        <f>IFERROR(__xludf.DUMMYFUNCTION("""COMPUTED_VALUE"""),"")</f>
        <v/>
      </c>
      <c r="G249" s="4" t="str">
        <f>IFERROR(__xludf.DUMMYFUNCTION("""COMPUTED_VALUE"""),"")</f>
        <v/>
      </c>
      <c r="H249" s="4" t="str">
        <f>IFERROR(__xludf.DUMMYFUNCTION("""COMPUTED_VALUE"""),"")</f>
        <v/>
      </c>
      <c r="I249" s="4" t="str">
        <f>IFERROR(__xludf.DUMMYFUNCTION("""COMPUTED_VALUE"""),"")</f>
        <v/>
      </c>
      <c r="J249" s="4" t="str">
        <f>IFERROR(__xludf.DUMMYFUNCTION("""COMPUTED_VALUE"""),"")</f>
        <v/>
      </c>
      <c r="K249" s="4" t="str">
        <f>IFERROR(__xludf.DUMMYFUNCTION("""COMPUTED_VALUE"""),"")</f>
        <v/>
      </c>
    </row>
    <row r="250">
      <c r="A250" s="4" t="str">
        <f>IFERROR(__xludf.DUMMYFUNCTION("""COMPUTED_VALUE"""),"")</f>
        <v/>
      </c>
      <c r="B250" s="4" t="str">
        <f>IFERROR(__xludf.DUMMYFUNCTION("""COMPUTED_VALUE"""),"")</f>
        <v/>
      </c>
      <c r="C250" s="4" t="str">
        <f>IFERROR(__xludf.DUMMYFUNCTION("""COMPUTED_VALUE"""),"")</f>
        <v/>
      </c>
      <c r="D250" s="4" t="str">
        <f>IFERROR(__xludf.DUMMYFUNCTION("""COMPUTED_VALUE"""),"")</f>
        <v/>
      </c>
      <c r="E250" s="4" t="str">
        <f>IFERROR(__xludf.DUMMYFUNCTION("""COMPUTED_VALUE"""),"")</f>
        <v/>
      </c>
      <c r="F250" s="4" t="str">
        <f>IFERROR(__xludf.DUMMYFUNCTION("""COMPUTED_VALUE"""),"")</f>
        <v/>
      </c>
      <c r="G250" s="4" t="str">
        <f>IFERROR(__xludf.DUMMYFUNCTION("""COMPUTED_VALUE"""),"")</f>
        <v/>
      </c>
      <c r="H250" s="4" t="str">
        <f>IFERROR(__xludf.DUMMYFUNCTION("""COMPUTED_VALUE"""),"")</f>
        <v/>
      </c>
      <c r="I250" s="4" t="str">
        <f>IFERROR(__xludf.DUMMYFUNCTION("""COMPUTED_VALUE"""),"")</f>
        <v/>
      </c>
      <c r="J250" s="4" t="str">
        <f>IFERROR(__xludf.DUMMYFUNCTION("""COMPUTED_VALUE"""),"")</f>
        <v/>
      </c>
      <c r="K250" s="4" t="str">
        <f>IFERROR(__xludf.DUMMYFUNCTION("""COMPUTED_VALUE"""),"")</f>
        <v/>
      </c>
    </row>
    <row r="251">
      <c r="A251" s="4" t="str">
        <f>IFERROR(__xludf.DUMMYFUNCTION("""COMPUTED_VALUE"""),"")</f>
        <v/>
      </c>
      <c r="B251" s="4" t="str">
        <f>IFERROR(__xludf.DUMMYFUNCTION("""COMPUTED_VALUE"""),"")</f>
        <v/>
      </c>
      <c r="C251" s="4" t="str">
        <f>IFERROR(__xludf.DUMMYFUNCTION("""COMPUTED_VALUE"""),"")</f>
        <v/>
      </c>
      <c r="D251" s="4" t="str">
        <f>IFERROR(__xludf.DUMMYFUNCTION("""COMPUTED_VALUE"""),"")</f>
        <v/>
      </c>
      <c r="E251" s="4" t="str">
        <f>IFERROR(__xludf.DUMMYFUNCTION("""COMPUTED_VALUE"""),"")</f>
        <v/>
      </c>
      <c r="F251" s="4" t="str">
        <f>IFERROR(__xludf.DUMMYFUNCTION("""COMPUTED_VALUE"""),"")</f>
        <v/>
      </c>
      <c r="G251" s="4" t="str">
        <f>IFERROR(__xludf.DUMMYFUNCTION("""COMPUTED_VALUE"""),"")</f>
        <v/>
      </c>
      <c r="H251" s="4" t="str">
        <f>IFERROR(__xludf.DUMMYFUNCTION("""COMPUTED_VALUE"""),"")</f>
        <v/>
      </c>
      <c r="I251" s="4" t="str">
        <f>IFERROR(__xludf.DUMMYFUNCTION("""COMPUTED_VALUE"""),"")</f>
        <v/>
      </c>
      <c r="J251" s="4" t="str">
        <f>IFERROR(__xludf.DUMMYFUNCTION("""COMPUTED_VALUE"""),"")</f>
        <v/>
      </c>
      <c r="K251" s="4" t="str">
        <f>IFERROR(__xludf.DUMMYFUNCTION("""COMPUTED_VALUE"""),"")</f>
        <v/>
      </c>
    </row>
    <row r="252">
      <c r="A252" s="4" t="str">
        <f>IFERROR(__xludf.DUMMYFUNCTION("""COMPUTED_VALUE"""),"")</f>
        <v/>
      </c>
      <c r="B252" s="4" t="str">
        <f>IFERROR(__xludf.DUMMYFUNCTION("""COMPUTED_VALUE"""),"")</f>
        <v/>
      </c>
      <c r="C252" s="4" t="str">
        <f>IFERROR(__xludf.DUMMYFUNCTION("""COMPUTED_VALUE"""),"")</f>
        <v/>
      </c>
      <c r="D252" s="4" t="str">
        <f>IFERROR(__xludf.DUMMYFUNCTION("""COMPUTED_VALUE"""),"")</f>
        <v/>
      </c>
      <c r="E252" s="4" t="str">
        <f>IFERROR(__xludf.DUMMYFUNCTION("""COMPUTED_VALUE"""),"")</f>
        <v/>
      </c>
      <c r="F252" s="4" t="str">
        <f>IFERROR(__xludf.DUMMYFUNCTION("""COMPUTED_VALUE"""),"")</f>
        <v/>
      </c>
      <c r="G252" s="4" t="str">
        <f>IFERROR(__xludf.DUMMYFUNCTION("""COMPUTED_VALUE"""),"")</f>
        <v/>
      </c>
      <c r="H252" s="4" t="str">
        <f>IFERROR(__xludf.DUMMYFUNCTION("""COMPUTED_VALUE"""),"")</f>
        <v/>
      </c>
      <c r="I252" s="4" t="str">
        <f>IFERROR(__xludf.DUMMYFUNCTION("""COMPUTED_VALUE"""),"")</f>
        <v/>
      </c>
      <c r="J252" s="4" t="str">
        <f>IFERROR(__xludf.DUMMYFUNCTION("""COMPUTED_VALUE"""),"")</f>
        <v/>
      </c>
      <c r="K252" s="4" t="str">
        <f>IFERROR(__xludf.DUMMYFUNCTION("""COMPUTED_VALUE"""),"")</f>
        <v/>
      </c>
    </row>
    <row r="253">
      <c r="A253" s="4" t="str">
        <f>IFERROR(__xludf.DUMMYFUNCTION("""COMPUTED_VALUE"""),"")</f>
        <v/>
      </c>
      <c r="B253" s="4" t="str">
        <f>IFERROR(__xludf.DUMMYFUNCTION("""COMPUTED_VALUE"""),"")</f>
        <v/>
      </c>
      <c r="C253" s="4" t="str">
        <f>IFERROR(__xludf.DUMMYFUNCTION("""COMPUTED_VALUE"""),"")</f>
        <v/>
      </c>
      <c r="D253" s="4" t="str">
        <f>IFERROR(__xludf.DUMMYFUNCTION("""COMPUTED_VALUE"""),"")</f>
        <v/>
      </c>
      <c r="E253" s="4" t="str">
        <f>IFERROR(__xludf.DUMMYFUNCTION("""COMPUTED_VALUE"""),"")</f>
        <v/>
      </c>
      <c r="F253" s="4" t="str">
        <f>IFERROR(__xludf.DUMMYFUNCTION("""COMPUTED_VALUE"""),"")</f>
        <v/>
      </c>
      <c r="G253" s="4" t="str">
        <f>IFERROR(__xludf.DUMMYFUNCTION("""COMPUTED_VALUE"""),"")</f>
        <v/>
      </c>
      <c r="H253" s="4" t="str">
        <f>IFERROR(__xludf.DUMMYFUNCTION("""COMPUTED_VALUE"""),"")</f>
        <v/>
      </c>
      <c r="I253" s="4" t="str">
        <f>IFERROR(__xludf.DUMMYFUNCTION("""COMPUTED_VALUE"""),"")</f>
        <v/>
      </c>
      <c r="J253" s="4" t="str">
        <f>IFERROR(__xludf.DUMMYFUNCTION("""COMPUTED_VALUE"""),"")</f>
        <v/>
      </c>
      <c r="K253" s="4" t="str">
        <f>IFERROR(__xludf.DUMMYFUNCTION("""COMPUTED_VALUE"""),"")</f>
        <v/>
      </c>
    </row>
    <row r="254">
      <c r="A254" s="4" t="str">
        <f>IFERROR(__xludf.DUMMYFUNCTION("""COMPUTED_VALUE"""),"")</f>
        <v/>
      </c>
      <c r="B254" s="4" t="str">
        <f>IFERROR(__xludf.DUMMYFUNCTION("""COMPUTED_VALUE"""),"")</f>
        <v/>
      </c>
      <c r="C254" s="4" t="str">
        <f>IFERROR(__xludf.DUMMYFUNCTION("""COMPUTED_VALUE"""),"")</f>
        <v/>
      </c>
      <c r="D254" s="4" t="str">
        <f>IFERROR(__xludf.DUMMYFUNCTION("""COMPUTED_VALUE"""),"")</f>
        <v/>
      </c>
      <c r="E254" s="4" t="str">
        <f>IFERROR(__xludf.DUMMYFUNCTION("""COMPUTED_VALUE"""),"")</f>
        <v/>
      </c>
      <c r="F254" s="4" t="str">
        <f>IFERROR(__xludf.DUMMYFUNCTION("""COMPUTED_VALUE"""),"")</f>
        <v/>
      </c>
      <c r="G254" s="4" t="str">
        <f>IFERROR(__xludf.DUMMYFUNCTION("""COMPUTED_VALUE"""),"")</f>
        <v/>
      </c>
      <c r="H254" s="4" t="str">
        <f>IFERROR(__xludf.DUMMYFUNCTION("""COMPUTED_VALUE"""),"")</f>
        <v/>
      </c>
      <c r="I254" s="4" t="str">
        <f>IFERROR(__xludf.DUMMYFUNCTION("""COMPUTED_VALUE"""),"")</f>
        <v/>
      </c>
      <c r="J254" s="4" t="str">
        <f>IFERROR(__xludf.DUMMYFUNCTION("""COMPUTED_VALUE"""),"")</f>
        <v/>
      </c>
      <c r="K254" s="4" t="str">
        <f>IFERROR(__xludf.DUMMYFUNCTION("""COMPUTED_VALUE"""),"")</f>
        <v/>
      </c>
    </row>
    <row r="255">
      <c r="A255" s="4" t="str">
        <f>IFERROR(__xludf.DUMMYFUNCTION("""COMPUTED_VALUE"""),"")</f>
        <v/>
      </c>
      <c r="B255" s="4" t="str">
        <f>IFERROR(__xludf.DUMMYFUNCTION("""COMPUTED_VALUE"""),"")</f>
        <v/>
      </c>
      <c r="C255" s="4" t="str">
        <f>IFERROR(__xludf.DUMMYFUNCTION("""COMPUTED_VALUE"""),"")</f>
        <v/>
      </c>
      <c r="D255" s="4" t="str">
        <f>IFERROR(__xludf.DUMMYFUNCTION("""COMPUTED_VALUE"""),"")</f>
        <v/>
      </c>
      <c r="E255" s="4" t="str">
        <f>IFERROR(__xludf.DUMMYFUNCTION("""COMPUTED_VALUE"""),"")</f>
        <v/>
      </c>
      <c r="F255" s="4" t="str">
        <f>IFERROR(__xludf.DUMMYFUNCTION("""COMPUTED_VALUE"""),"")</f>
        <v/>
      </c>
      <c r="G255" s="4" t="str">
        <f>IFERROR(__xludf.DUMMYFUNCTION("""COMPUTED_VALUE"""),"")</f>
        <v/>
      </c>
      <c r="H255" s="4" t="str">
        <f>IFERROR(__xludf.DUMMYFUNCTION("""COMPUTED_VALUE"""),"")</f>
        <v/>
      </c>
      <c r="I255" s="4" t="str">
        <f>IFERROR(__xludf.DUMMYFUNCTION("""COMPUTED_VALUE"""),"")</f>
        <v/>
      </c>
      <c r="J255" s="4" t="str">
        <f>IFERROR(__xludf.DUMMYFUNCTION("""COMPUTED_VALUE"""),"")</f>
        <v/>
      </c>
      <c r="K255" s="4" t="str">
        <f>IFERROR(__xludf.DUMMYFUNCTION("""COMPUTED_VALUE"""),"")</f>
        <v/>
      </c>
    </row>
    <row r="256">
      <c r="A256" s="4" t="str">
        <f>IFERROR(__xludf.DUMMYFUNCTION("""COMPUTED_VALUE"""),"")</f>
        <v/>
      </c>
      <c r="B256" s="4" t="str">
        <f>IFERROR(__xludf.DUMMYFUNCTION("""COMPUTED_VALUE"""),"")</f>
        <v/>
      </c>
      <c r="C256" s="4" t="str">
        <f>IFERROR(__xludf.DUMMYFUNCTION("""COMPUTED_VALUE"""),"")</f>
        <v/>
      </c>
      <c r="D256" s="4" t="str">
        <f>IFERROR(__xludf.DUMMYFUNCTION("""COMPUTED_VALUE"""),"")</f>
        <v/>
      </c>
      <c r="E256" s="4" t="str">
        <f>IFERROR(__xludf.DUMMYFUNCTION("""COMPUTED_VALUE"""),"")</f>
        <v/>
      </c>
      <c r="F256" s="4" t="str">
        <f>IFERROR(__xludf.DUMMYFUNCTION("""COMPUTED_VALUE"""),"")</f>
        <v/>
      </c>
      <c r="G256" s="4" t="str">
        <f>IFERROR(__xludf.DUMMYFUNCTION("""COMPUTED_VALUE"""),"")</f>
        <v/>
      </c>
      <c r="H256" s="4" t="str">
        <f>IFERROR(__xludf.DUMMYFUNCTION("""COMPUTED_VALUE"""),"")</f>
        <v/>
      </c>
      <c r="I256" s="4" t="str">
        <f>IFERROR(__xludf.DUMMYFUNCTION("""COMPUTED_VALUE"""),"")</f>
        <v/>
      </c>
      <c r="J256" s="4" t="str">
        <f>IFERROR(__xludf.DUMMYFUNCTION("""COMPUTED_VALUE"""),"")</f>
        <v/>
      </c>
      <c r="K256" s="4" t="str">
        <f>IFERROR(__xludf.DUMMYFUNCTION("""COMPUTED_VALUE"""),"")</f>
        <v/>
      </c>
    </row>
    <row r="257">
      <c r="A257" s="4" t="str">
        <f>IFERROR(__xludf.DUMMYFUNCTION("""COMPUTED_VALUE"""),"")</f>
        <v/>
      </c>
      <c r="B257" s="4" t="str">
        <f>IFERROR(__xludf.DUMMYFUNCTION("""COMPUTED_VALUE"""),"")</f>
        <v/>
      </c>
      <c r="C257" s="4" t="str">
        <f>IFERROR(__xludf.DUMMYFUNCTION("""COMPUTED_VALUE"""),"")</f>
        <v/>
      </c>
      <c r="D257" s="4" t="str">
        <f>IFERROR(__xludf.DUMMYFUNCTION("""COMPUTED_VALUE"""),"")</f>
        <v/>
      </c>
      <c r="E257" s="4" t="str">
        <f>IFERROR(__xludf.DUMMYFUNCTION("""COMPUTED_VALUE"""),"")</f>
        <v/>
      </c>
      <c r="F257" s="4" t="str">
        <f>IFERROR(__xludf.DUMMYFUNCTION("""COMPUTED_VALUE"""),"")</f>
        <v/>
      </c>
      <c r="G257" s="4" t="str">
        <f>IFERROR(__xludf.DUMMYFUNCTION("""COMPUTED_VALUE"""),"")</f>
        <v/>
      </c>
      <c r="H257" s="4" t="str">
        <f>IFERROR(__xludf.DUMMYFUNCTION("""COMPUTED_VALUE"""),"")</f>
        <v/>
      </c>
      <c r="I257" s="4" t="str">
        <f>IFERROR(__xludf.DUMMYFUNCTION("""COMPUTED_VALUE"""),"")</f>
        <v/>
      </c>
      <c r="J257" s="4" t="str">
        <f>IFERROR(__xludf.DUMMYFUNCTION("""COMPUTED_VALUE"""),"")</f>
        <v/>
      </c>
      <c r="K257" s="4" t="str">
        <f>IFERROR(__xludf.DUMMYFUNCTION("""COMPUTED_VALUE"""),"")</f>
        <v/>
      </c>
    </row>
    <row r="258">
      <c r="A258" s="4" t="str">
        <f>IFERROR(__xludf.DUMMYFUNCTION("""COMPUTED_VALUE"""),"")</f>
        <v/>
      </c>
      <c r="B258" s="4" t="str">
        <f>IFERROR(__xludf.DUMMYFUNCTION("""COMPUTED_VALUE"""),"")</f>
        <v/>
      </c>
      <c r="C258" s="4" t="str">
        <f>IFERROR(__xludf.DUMMYFUNCTION("""COMPUTED_VALUE"""),"")</f>
        <v/>
      </c>
      <c r="D258" s="4" t="str">
        <f>IFERROR(__xludf.DUMMYFUNCTION("""COMPUTED_VALUE"""),"")</f>
        <v/>
      </c>
      <c r="E258" s="4" t="str">
        <f>IFERROR(__xludf.DUMMYFUNCTION("""COMPUTED_VALUE"""),"")</f>
        <v/>
      </c>
      <c r="F258" s="4" t="str">
        <f>IFERROR(__xludf.DUMMYFUNCTION("""COMPUTED_VALUE"""),"")</f>
        <v/>
      </c>
      <c r="G258" s="4" t="str">
        <f>IFERROR(__xludf.DUMMYFUNCTION("""COMPUTED_VALUE"""),"")</f>
        <v/>
      </c>
      <c r="H258" s="4" t="str">
        <f>IFERROR(__xludf.DUMMYFUNCTION("""COMPUTED_VALUE"""),"")</f>
        <v/>
      </c>
      <c r="I258" s="4" t="str">
        <f>IFERROR(__xludf.DUMMYFUNCTION("""COMPUTED_VALUE"""),"")</f>
        <v/>
      </c>
      <c r="J258" s="4" t="str">
        <f>IFERROR(__xludf.DUMMYFUNCTION("""COMPUTED_VALUE"""),"")</f>
        <v/>
      </c>
      <c r="K258" s="4" t="str">
        <f>IFERROR(__xludf.DUMMYFUNCTION("""COMPUTED_VALUE"""),"")</f>
        <v/>
      </c>
    </row>
    <row r="259">
      <c r="A259" s="4" t="str">
        <f>IFERROR(__xludf.DUMMYFUNCTION("""COMPUTED_VALUE"""),"")</f>
        <v/>
      </c>
      <c r="B259" s="4" t="str">
        <f>IFERROR(__xludf.DUMMYFUNCTION("""COMPUTED_VALUE"""),"")</f>
        <v/>
      </c>
      <c r="C259" s="4" t="str">
        <f>IFERROR(__xludf.DUMMYFUNCTION("""COMPUTED_VALUE"""),"")</f>
        <v/>
      </c>
      <c r="D259" s="4" t="str">
        <f>IFERROR(__xludf.DUMMYFUNCTION("""COMPUTED_VALUE"""),"")</f>
        <v/>
      </c>
      <c r="E259" s="4" t="str">
        <f>IFERROR(__xludf.DUMMYFUNCTION("""COMPUTED_VALUE"""),"")</f>
        <v/>
      </c>
      <c r="F259" s="4" t="str">
        <f>IFERROR(__xludf.DUMMYFUNCTION("""COMPUTED_VALUE"""),"")</f>
        <v/>
      </c>
      <c r="G259" s="4" t="str">
        <f>IFERROR(__xludf.DUMMYFUNCTION("""COMPUTED_VALUE"""),"")</f>
        <v/>
      </c>
      <c r="H259" s="4" t="str">
        <f>IFERROR(__xludf.DUMMYFUNCTION("""COMPUTED_VALUE"""),"")</f>
        <v/>
      </c>
      <c r="I259" s="4" t="str">
        <f>IFERROR(__xludf.DUMMYFUNCTION("""COMPUTED_VALUE"""),"")</f>
        <v/>
      </c>
      <c r="J259" s="4" t="str">
        <f>IFERROR(__xludf.DUMMYFUNCTION("""COMPUTED_VALUE"""),"")</f>
        <v/>
      </c>
      <c r="K259" s="4" t="str">
        <f>IFERROR(__xludf.DUMMYFUNCTION("""COMPUTED_VALUE"""),"")</f>
        <v/>
      </c>
    </row>
    <row r="260">
      <c r="A260" s="4" t="str">
        <f>IFERROR(__xludf.DUMMYFUNCTION("""COMPUTED_VALUE"""),"")</f>
        <v/>
      </c>
      <c r="B260" s="4" t="str">
        <f>IFERROR(__xludf.DUMMYFUNCTION("""COMPUTED_VALUE"""),"")</f>
        <v/>
      </c>
      <c r="C260" s="4" t="str">
        <f>IFERROR(__xludf.DUMMYFUNCTION("""COMPUTED_VALUE"""),"")</f>
        <v/>
      </c>
      <c r="D260" s="4" t="str">
        <f>IFERROR(__xludf.DUMMYFUNCTION("""COMPUTED_VALUE"""),"")</f>
        <v/>
      </c>
      <c r="E260" s="4" t="str">
        <f>IFERROR(__xludf.DUMMYFUNCTION("""COMPUTED_VALUE"""),"")</f>
        <v/>
      </c>
      <c r="F260" s="4" t="str">
        <f>IFERROR(__xludf.DUMMYFUNCTION("""COMPUTED_VALUE"""),"")</f>
        <v/>
      </c>
      <c r="G260" s="4" t="str">
        <f>IFERROR(__xludf.DUMMYFUNCTION("""COMPUTED_VALUE"""),"")</f>
        <v/>
      </c>
      <c r="H260" s="4" t="str">
        <f>IFERROR(__xludf.DUMMYFUNCTION("""COMPUTED_VALUE"""),"")</f>
        <v/>
      </c>
      <c r="I260" s="4" t="str">
        <f>IFERROR(__xludf.DUMMYFUNCTION("""COMPUTED_VALUE"""),"")</f>
        <v/>
      </c>
      <c r="J260" s="4" t="str">
        <f>IFERROR(__xludf.DUMMYFUNCTION("""COMPUTED_VALUE"""),"")</f>
        <v/>
      </c>
      <c r="K260" s="4" t="str">
        <f>IFERROR(__xludf.DUMMYFUNCTION("""COMPUTED_VALUE"""),"")</f>
        <v/>
      </c>
    </row>
    <row r="261">
      <c r="A261" s="4" t="str">
        <f>IFERROR(__xludf.DUMMYFUNCTION("""COMPUTED_VALUE"""),"")</f>
        <v/>
      </c>
      <c r="B261" s="4" t="str">
        <f>IFERROR(__xludf.DUMMYFUNCTION("""COMPUTED_VALUE"""),"")</f>
        <v/>
      </c>
      <c r="C261" s="4" t="str">
        <f>IFERROR(__xludf.DUMMYFUNCTION("""COMPUTED_VALUE"""),"")</f>
        <v/>
      </c>
      <c r="D261" s="4" t="str">
        <f>IFERROR(__xludf.DUMMYFUNCTION("""COMPUTED_VALUE"""),"")</f>
        <v/>
      </c>
      <c r="E261" s="4" t="str">
        <f>IFERROR(__xludf.DUMMYFUNCTION("""COMPUTED_VALUE"""),"")</f>
        <v/>
      </c>
      <c r="F261" s="4" t="str">
        <f>IFERROR(__xludf.DUMMYFUNCTION("""COMPUTED_VALUE"""),"")</f>
        <v/>
      </c>
      <c r="G261" s="4" t="str">
        <f>IFERROR(__xludf.DUMMYFUNCTION("""COMPUTED_VALUE"""),"")</f>
        <v/>
      </c>
      <c r="H261" s="4" t="str">
        <f>IFERROR(__xludf.DUMMYFUNCTION("""COMPUTED_VALUE"""),"")</f>
        <v/>
      </c>
      <c r="I261" s="4" t="str">
        <f>IFERROR(__xludf.DUMMYFUNCTION("""COMPUTED_VALUE"""),"")</f>
        <v/>
      </c>
      <c r="J261" s="4" t="str">
        <f>IFERROR(__xludf.DUMMYFUNCTION("""COMPUTED_VALUE"""),"")</f>
        <v/>
      </c>
      <c r="K261" s="4" t="str">
        <f>IFERROR(__xludf.DUMMYFUNCTION("""COMPUTED_VALUE"""),"")</f>
        <v/>
      </c>
    </row>
    <row r="262">
      <c r="A262" s="4" t="str">
        <f>IFERROR(__xludf.DUMMYFUNCTION("""COMPUTED_VALUE"""),"")</f>
        <v/>
      </c>
      <c r="B262" s="4" t="str">
        <f>IFERROR(__xludf.DUMMYFUNCTION("""COMPUTED_VALUE"""),"")</f>
        <v/>
      </c>
      <c r="C262" s="4" t="str">
        <f>IFERROR(__xludf.DUMMYFUNCTION("""COMPUTED_VALUE"""),"")</f>
        <v/>
      </c>
      <c r="D262" s="4" t="str">
        <f>IFERROR(__xludf.DUMMYFUNCTION("""COMPUTED_VALUE"""),"")</f>
        <v/>
      </c>
      <c r="E262" s="4" t="str">
        <f>IFERROR(__xludf.DUMMYFUNCTION("""COMPUTED_VALUE"""),"")</f>
        <v/>
      </c>
      <c r="F262" s="4" t="str">
        <f>IFERROR(__xludf.DUMMYFUNCTION("""COMPUTED_VALUE"""),"")</f>
        <v/>
      </c>
      <c r="G262" s="4" t="str">
        <f>IFERROR(__xludf.DUMMYFUNCTION("""COMPUTED_VALUE"""),"")</f>
        <v/>
      </c>
      <c r="H262" s="4" t="str">
        <f>IFERROR(__xludf.DUMMYFUNCTION("""COMPUTED_VALUE"""),"")</f>
        <v/>
      </c>
      <c r="I262" s="4" t="str">
        <f>IFERROR(__xludf.DUMMYFUNCTION("""COMPUTED_VALUE"""),"")</f>
        <v/>
      </c>
      <c r="J262" s="4" t="str">
        <f>IFERROR(__xludf.DUMMYFUNCTION("""COMPUTED_VALUE"""),"")</f>
        <v/>
      </c>
      <c r="K262" s="4" t="str">
        <f>IFERROR(__xludf.DUMMYFUNCTION("""COMPUTED_VALUE"""),"")</f>
        <v/>
      </c>
    </row>
    <row r="263">
      <c r="A263" s="4" t="str">
        <f>IFERROR(__xludf.DUMMYFUNCTION("""COMPUTED_VALUE"""),"")</f>
        <v/>
      </c>
      <c r="B263" s="4" t="str">
        <f>IFERROR(__xludf.DUMMYFUNCTION("""COMPUTED_VALUE"""),"")</f>
        <v/>
      </c>
      <c r="C263" s="4" t="str">
        <f>IFERROR(__xludf.DUMMYFUNCTION("""COMPUTED_VALUE"""),"")</f>
        <v/>
      </c>
      <c r="D263" s="4" t="str">
        <f>IFERROR(__xludf.DUMMYFUNCTION("""COMPUTED_VALUE"""),"")</f>
        <v/>
      </c>
      <c r="E263" s="4" t="str">
        <f>IFERROR(__xludf.DUMMYFUNCTION("""COMPUTED_VALUE"""),"")</f>
        <v/>
      </c>
      <c r="F263" s="4" t="str">
        <f>IFERROR(__xludf.DUMMYFUNCTION("""COMPUTED_VALUE"""),"")</f>
        <v/>
      </c>
      <c r="G263" s="4" t="str">
        <f>IFERROR(__xludf.DUMMYFUNCTION("""COMPUTED_VALUE"""),"")</f>
        <v/>
      </c>
      <c r="H263" s="4" t="str">
        <f>IFERROR(__xludf.DUMMYFUNCTION("""COMPUTED_VALUE"""),"")</f>
        <v/>
      </c>
      <c r="I263" s="4" t="str">
        <f>IFERROR(__xludf.DUMMYFUNCTION("""COMPUTED_VALUE"""),"")</f>
        <v/>
      </c>
      <c r="J263" s="4" t="str">
        <f>IFERROR(__xludf.DUMMYFUNCTION("""COMPUTED_VALUE"""),"")</f>
        <v/>
      </c>
      <c r="K263" s="4" t="str">
        <f>IFERROR(__xludf.DUMMYFUNCTION("""COMPUTED_VALUE"""),"")</f>
        <v/>
      </c>
    </row>
    <row r="264">
      <c r="A264" s="4" t="str">
        <f>IFERROR(__xludf.DUMMYFUNCTION("""COMPUTED_VALUE"""),"")</f>
        <v/>
      </c>
      <c r="B264" s="4" t="str">
        <f>IFERROR(__xludf.DUMMYFUNCTION("""COMPUTED_VALUE"""),"")</f>
        <v/>
      </c>
      <c r="C264" s="4" t="str">
        <f>IFERROR(__xludf.DUMMYFUNCTION("""COMPUTED_VALUE"""),"")</f>
        <v/>
      </c>
      <c r="D264" s="4" t="str">
        <f>IFERROR(__xludf.DUMMYFUNCTION("""COMPUTED_VALUE"""),"")</f>
        <v/>
      </c>
      <c r="E264" s="4" t="str">
        <f>IFERROR(__xludf.DUMMYFUNCTION("""COMPUTED_VALUE"""),"")</f>
        <v/>
      </c>
      <c r="F264" s="4" t="str">
        <f>IFERROR(__xludf.DUMMYFUNCTION("""COMPUTED_VALUE"""),"")</f>
        <v/>
      </c>
      <c r="G264" s="4" t="str">
        <f>IFERROR(__xludf.DUMMYFUNCTION("""COMPUTED_VALUE"""),"")</f>
        <v/>
      </c>
      <c r="H264" s="4" t="str">
        <f>IFERROR(__xludf.DUMMYFUNCTION("""COMPUTED_VALUE"""),"")</f>
        <v/>
      </c>
      <c r="I264" s="4" t="str">
        <f>IFERROR(__xludf.DUMMYFUNCTION("""COMPUTED_VALUE"""),"")</f>
        <v/>
      </c>
      <c r="J264" s="4" t="str">
        <f>IFERROR(__xludf.DUMMYFUNCTION("""COMPUTED_VALUE"""),"")</f>
        <v/>
      </c>
      <c r="K264" s="4" t="str">
        <f>IFERROR(__xludf.DUMMYFUNCTION("""COMPUTED_VALUE"""),"")</f>
        <v/>
      </c>
    </row>
    <row r="265">
      <c r="A265" s="4" t="str">
        <f>IFERROR(__xludf.DUMMYFUNCTION("""COMPUTED_VALUE"""),"")</f>
        <v/>
      </c>
      <c r="B265" s="4" t="str">
        <f>IFERROR(__xludf.DUMMYFUNCTION("""COMPUTED_VALUE"""),"")</f>
        <v/>
      </c>
      <c r="C265" s="4" t="str">
        <f>IFERROR(__xludf.DUMMYFUNCTION("""COMPUTED_VALUE"""),"")</f>
        <v/>
      </c>
      <c r="D265" s="4" t="str">
        <f>IFERROR(__xludf.DUMMYFUNCTION("""COMPUTED_VALUE"""),"")</f>
        <v/>
      </c>
      <c r="E265" s="4" t="str">
        <f>IFERROR(__xludf.DUMMYFUNCTION("""COMPUTED_VALUE"""),"")</f>
        <v/>
      </c>
      <c r="F265" s="4" t="str">
        <f>IFERROR(__xludf.DUMMYFUNCTION("""COMPUTED_VALUE"""),"")</f>
        <v/>
      </c>
      <c r="G265" s="4" t="str">
        <f>IFERROR(__xludf.DUMMYFUNCTION("""COMPUTED_VALUE"""),"")</f>
        <v/>
      </c>
      <c r="H265" s="4" t="str">
        <f>IFERROR(__xludf.DUMMYFUNCTION("""COMPUTED_VALUE"""),"")</f>
        <v/>
      </c>
      <c r="I265" s="4" t="str">
        <f>IFERROR(__xludf.DUMMYFUNCTION("""COMPUTED_VALUE"""),"")</f>
        <v/>
      </c>
      <c r="J265" s="4" t="str">
        <f>IFERROR(__xludf.DUMMYFUNCTION("""COMPUTED_VALUE"""),"")</f>
        <v/>
      </c>
      <c r="K265" s="4" t="str">
        <f>IFERROR(__xludf.DUMMYFUNCTION("""COMPUTED_VALUE"""),"")</f>
        <v/>
      </c>
    </row>
    <row r="266">
      <c r="A266" s="4" t="str">
        <f>IFERROR(__xludf.DUMMYFUNCTION("""COMPUTED_VALUE"""),"")</f>
        <v/>
      </c>
      <c r="B266" s="4" t="str">
        <f>IFERROR(__xludf.DUMMYFUNCTION("""COMPUTED_VALUE"""),"")</f>
        <v/>
      </c>
      <c r="C266" s="4" t="str">
        <f>IFERROR(__xludf.DUMMYFUNCTION("""COMPUTED_VALUE"""),"")</f>
        <v/>
      </c>
      <c r="D266" s="4" t="str">
        <f>IFERROR(__xludf.DUMMYFUNCTION("""COMPUTED_VALUE"""),"")</f>
        <v/>
      </c>
      <c r="E266" s="4" t="str">
        <f>IFERROR(__xludf.DUMMYFUNCTION("""COMPUTED_VALUE"""),"")</f>
        <v/>
      </c>
      <c r="F266" s="4" t="str">
        <f>IFERROR(__xludf.DUMMYFUNCTION("""COMPUTED_VALUE"""),"")</f>
        <v/>
      </c>
      <c r="G266" s="4" t="str">
        <f>IFERROR(__xludf.DUMMYFUNCTION("""COMPUTED_VALUE"""),"")</f>
        <v/>
      </c>
      <c r="H266" s="4" t="str">
        <f>IFERROR(__xludf.DUMMYFUNCTION("""COMPUTED_VALUE"""),"")</f>
        <v/>
      </c>
      <c r="I266" s="4" t="str">
        <f>IFERROR(__xludf.DUMMYFUNCTION("""COMPUTED_VALUE"""),"")</f>
        <v/>
      </c>
      <c r="J266" s="4" t="str">
        <f>IFERROR(__xludf.DUMMYFUNCTION("""COMPUTED_VALUE"""),"")</f>
        <v/>
      </c>
      <c r="K266" s="4" t="str">
        <f>IFERROR(__xludf.DUMMYFUNCTION("""COMPUTED_VALUE"""),"")</f>
        <v/>
      </c>
    </row>
    <row r="267">
      <c r="A267" s="4" t="str">
        <f>IFERROR(__xludf.DUMMYFUNCTION("""COMPUTED_VALUE"""),"")</f>
        <v/>
      </c>
      <c r="B267" s="4" t="str">
        <f>IFERROR(__xludf.DUMMYFUNCTION("""COMPUTED_VALUE"""),"")</f>
        <v/>
      </c>
      <c r="C267" s="4" t="str">
        <f>IFERROR(__xludf.DUMMYFUNCTION("""COMPUTED_VALUE"""),"")</f>
        <v/>
      </c>
      <c r="D267" s="4" t="str">
        <f>IFERROR(__xludf.DUMMYFUNCTION("""COMPUTED_VALUE"""),"")</f>
        <v/>
      </c>
      <c r="E267" s="4" t="str">
        <f>IFERROR(__xludf.DUMMYFUNCTION("""COMPUTED_VALUE"""),"")</f>
        <v/>
      </c>
      <c r="F267" s="4" t="str">
        <f>IFERROR(__xludf.DUMMYFUNCTION("""COMPUTED_VALUE"""),"")</f>
        <v/>
      </c>
      <c r="G267" s="4" t="str">
        <f>IFERROR(__xludf.DUMMYFUNCTION("""COMPUTED_VALUE"""),"")</f>
        <v/>
      </c>
      <c r="H267" s="4" t="str">
        <f>IFERROR(__xludf.DUMMYFUNCTION("""COMPUTED_VALUE"""),"")</f>
        <v/>
      </c>
      <c r="I267" s="4" t="str">
        <f>IFERROR(__xludf.DUMMYFUNCTION("""COMPUTED_VALUE"""),"")</f>
        <v/>
      </c>
      <c r="J267" s="4" t="str">
        <f>IFERROR(__xludf.DUMMYFUNCTION("""COMPUTED_VALUE"""),"")</f>
        <v/>
      </c>
      <c r="K267" s="4" t="str">
        <f>IFERROR(__xludf.DUMMYFUNCTION("""COMPUTED_VALUE"""),"")</f>
        <v/>
      </c>
    </row>
    <row r="268">
      <c r="A268" s="4" t="str">
        <f>IFERROR(__xludf.DUMMYFUNCTION("""COMPUTED_VALUE"""),"")</f>
        <v/>
      </c>
      <c r="B268" s="4" t="str">
        <f>IFERROR(__xludf.DUMMYFUNCTION("""COMPUTED_VALUE"""),"")</f>
        <v/>
      </c>
      <c r="C268" s="4" t="str">
        <f>IFERROR(__xludf.DUMMYFUNCTION("""COMPUTED_VALUE"""),"")</f>
        <v/>
      </c>
      <c r="D268" s="4" t="str">
        <f>IFERROR(__xludf.DUMMYFUNCTION("""COMPUTED_VALUE"""),"")</f>
        <v/>
      </c>
      <c r="E268" s="4" t="str">
        <f>IFERROR(__xludf.DUMMYFUNCTION("""COMPUTED_VALUE"""),"")</f>
        <v/>
      </c>
      <c r="F268" s="4" t="str">
        <f>IFERROR(__xludf.DUMMYFUNCTION("""COMPUTED_VALUE"""),"")</f>
        <v/>
      </c>
      <c r="G268" s="4" t="str">
        <f>IFERROR(__xludf.DUMMYFUNCTION("""COMPUTED_VALUE"""),"")</f>
        <v/>
      </c>
      <c r="H268" s="4" t="str">
        <f>IFERROR(__xludf.DUMMYFUNCTION("""COMPUTED_VALUE"""),"")</f>
        <v/>
      </c>
      <c r="I268" s="4" t="str">
        <f>IFERROR(__xludf.DUMMYFUNCTION("""COMPUTED_VALUE"""),"")</f>
        <v/>
      </c>
      <c r="J268" s="4" t="str">
        <f>IFERROR(__xludf.DUMMYFUNCTION("""COMPUTED_VALUE"""),"")</f>
        <v/>
      </c>
      <c r="K268" s="4" t="str">
        <f>IFERROR(__xludf.DUMMYFUNCTION("""COMPUTED_VALUE"""),"")</f>
        <v/>
      </c>
    </row>
    <row r="269">
      <c r="A269" s="4" t="str">
        <f>IFERROR(__xludf.DUMMYFUNCTION("""COMPUTED_VALUE"""),"")</f>
        <v/>
      </c>
      <c r="B269" s="4" t="str">
        <f>IFERROR(__xludf.DUMMYFUNCTION("""COMPUTED_VALUE"""),"")</f>
        <v/>
      </c>
      <c r="C269" s="4" t="str">
        <f>IFERROR(__xludf.DUMMYFUNCTION("""COMPUTED_VALUE"""),"")</f>
        <v/>
      </c>
      <c r="D269" s="4" t="str">
        <f>IFERROR(__xludf.DUMMYFUNCTION("""COMPUTED_VALUE"""),"")</f>
        <v/>
      </c>
      <c r="E269" s="4" t="str">
        <f>IFERROR(__xludf.DUMMYFUNCTION("""COMPUTED_VALUE"""),"")</f>
        <v/>
      </c>
      <c r="F269" s="4" t="str">
        <f>IFERROR(__xludf.DUMMYFUNCTION("""COMPUTED_VALUE"""),"")</f>
        <v/>
      </c>
      <c r="G269" s="4" t="str">
        <f>IFERROR(__xludf.DUMMYFUNCTION("""COMPUTED_VALUE"""),"")</f>
        <v/>
      </c>
      <c r="H269" s="4" t="str">
        <f>IFERROR(__xludf.DUMMYFUNCTION("""COMPUTED_VALUE"""),"")</f>
        <v/>
      </c>
      <c r="I269" s="4" t="str">
        <f>IFERROR(__xludf.DUMMYFUNCTION("""COMPUTED_VALUE"""),"")</f>
        <v/>
      </c>
      <c r="J269" s="4" t="str">
        <f>IFERROR(__xludf.DUMMYFUNCTION("""COMPUTED_VALUE"""),"")</f>
        <v/>
      </c>
      <c r="K269" s="4" t="str">
        <f>IFERROR(__xludf.DUMMYFUNCTION("""COMPUTED_VALUE"""),"")</f>
        <v/>
      </c>
    </row>
    <row r="270">
      <c r="A270" s="4" t="str">
        <f>IFERROR(__xludf.DUMMYFUNCTION("""COMPUTED_VALUE"""),"")</f>
        <v/>
      </c>
      <c r="B270" s="4" t="str">
        <f>IFERROR(__xludf.DUMMYFUNCTION("""COMPUTED_VALUE"""),"")</f>
        <v/>
      </c>
      <c r="C270" s="4" t="str">
        <f>IFERROR(__xludf.DUMMYFUNCTION("""COMPUTED_VALUE"""),"")</f>
        <v/>
      </c>
      <c r="D270" s="4" t="str">
        <f>IFERROR(__xludf.DUMMYFUNCTION("""COMPUTED_VALUE"""),"")</f>
        <v/>
      </c>
      <c r="E270" s="4" t="str">
        <f>IFERROR(__xludf.DUMMYFUNCTION("""COMPUTED_VALUE"""),"")</f>
        <v/>
      </c>
      <c r="F270" s="4" t="str">
        <f>IFERROR(__xludf.DUMMYFUNCTION("""COMPUTED_VALUE"""),"")</f>
        <v/>
      </c>
      <c r="G270" s="4" t="str">
        <f>IFERROR(__xludf.DUMMYFUNCTION("""COMPUTED_VALUE"""),"")</f>
        <v/>
      </c>
      <c r="H270" s="4" t="str">
        <f>IFERROR(__xludf.DUMMYFUNCTION("""COMPUTED_VALUE"""),"")</f>
        <v/>
      </c>
      <c r="I270" s="4" t="str">
        <f>IFERROR(__xludf.DUMMYFUNCTION("""COMPUTED_VALUE"""),"")</f>
        <v/>
      </c>
      <c r="J270" s="4" t="str">
        <f>IFERROR(__xludf.DUMMYFUNCTION("""COMPUTED_VALUE"""),"")</f>
        <v/>
      </c>
      <c r="K270" s="4" t="str">
        <f>IFERROR(__xludf.DUMMYFUNCTION("""COMPUTED_VALUE"""),"")</f>
        <v/>
      </c>
    </row>
    <row r="271">
      <c r="A271" s="4" t="str">
        <f>IFERROR(__xludf.DUMMYFUNCTION("""COMPUTED_VALUE"""),"")</f>
        <v/>
      </c>
      <c r="B271" s="4" t="str">
        <f>IFERROR(__xludf.DUMMYFUNCTION("""COMPUTED_VALUE"""),"")</f>
        <v/>
      </c>
      <c r="C271" s="4" t="str">
        <f>IFERROR(__xludf.DUMMYFUNCTION("""COMPUTED_VALUE"""),"")</f>
        <v/>
      </c>
      <c r="D271" s="4" t="str">
        <f>IFERROR(__xludf.DUMMYFUNCTION("""COMPUTED_VALUE"""),"")</f>
        <v/>
      </c>
      <c r="E271" s="4" t="str">
        <f>IFERROR(__xludf.DUMMYFUNCTION("""COMPUTED_VALUE"""),"")</f>
        <v/>
      </c>
      <c r="F271" s="4" t="str">
        <f>IFERROR(__xludf.DUMMYFUNCTION("""COMPUTED_VALUE"""),"")</f>
        <v/>
      </c>
      <c r="G271" s="4" t="str">
        <f>IFERROR(__xludf.DUMMYFUNCTION("""COMPUTED_VALUE"""),"")</f>
        <v/>
      </c>
      <c r="H271" s="4" t="str">
        <f>IFERROR(__xludf.DUMMYFUNCTION("""COMPUTED_VALUE"""),"")</f>
        <v/>
      </c>
      <c r="I271" s="4" t="str">
        <f>IFERROR(__xludf.DUMMYFUNCTION("""COMPUTED_VALUE"""),"")</f>
        <v/>
      </c>
      <c r="J271" s="4" t="str">
        <f>IFERROR(__xludf.DUMMYFUNCTION("""COMPUTED_VALUE"""),"")</f>
        <v/>
      </c>
      <c r="K271" s="4" t="str">
        <f>IFERROR(__xludf.DUMMYFUNCTION("""COMPUTED_VALUE"""),"")</f>
        <v/>
      </c>
    </row>
    <row r="272">
      <c r="A272" s="4" t="str">
        <f>IFERROR(__xludf.DUMMYFUNCTION("""COMPUTED_VALUE"""),"")</f>
        <v/>
      </c>
      <c r="B272" s="4" t="str">
        <f>IFERROR(__xludf.DUMMYFUNCTION("""COMPUTED_VALUE"""),"")</f>
        <v/>
      </c>
      <c r="C272" s="4" t="str">
        <f>IFERROR(__xludf.DUMMYFUNCTION("""COMPUTED_VALUE"""),"")</f>
        <v/>
      </c>
      <c r="D272" s="4" t="str">
        <f>IFERROR(__xludf.DUMMYFUNCTION("""COMPUTED_VALUE"""),"")</f>
        <v/>
      </c>
      <c r="E272" s="4" t="str">
        <f>IFERROR(__xludf.DUMMYFUNCTION("""COMPUTED_VALUE"""),"")</f>
        <v/>
      </c>
      <c r="F272" s="4" t="str">
        <f>IFERROR(__xludf.DUMMYFUNCTION("""COMPUTED_VALUE"""),"")</f>
        <v/>
      </c>
      <c r="G272" s="4" t="str">
        <f>IFERROR(__xludf.DUMMYFUNCTION("""COMPUTED_VALUE"""),"")</f>
        <v/>
      </c>
      <c r="H272" s="4" t="str">
        <f>IFERROR(__xludf.DUMMYFUNCTION("""COMPUTED_VALUE"""),"")</f>
        <v/>
      </c>
      <c r="I272" s="4" t="str">
        <f>IFERROR(__xludf.DUMMYFUNCTION("""COMPUTED_VALUE"""),"")</f>
        <v/>
      </c>
      <c r="J272" s="4" t="str">
        <f>IFERROR(__xludf.DUMMYFUNCTION("""COMPUTED_VALUE"""),"")</f>
        <v/>
      </c>
      <c r="K272" s="4" t="str">
        <f>IFERROR(__xludf.DUMMYFUNCTION("""COMPUTED_VALUE"""),"")</f>
        <v/>
      </c>
    </row>
    <row r="273">
      <c r="A273" s="4" t="str">
        <f>IFERROR(__xludf.DUMMYFUNCTION("""COMPUTED_VALUE"""),"")</f>
        <v/>
      </c>
      <c r="B273" s="4" t="str">
        <f>IFERROR(__xludf.DUMMYFUNCTION("""COMPUTED_VALUE"""),"")</f>
        <v/>
      </c>
      <c r="C273" s="4" t="str">
        <f>IFERROR(__xludf.DUMMYFUNCTION("""COMPUTED_VALUE"""),"")</f>
        <v/>
      </c>
      <c r="D273" s="4" t="str">
        <f>IFERROR(__xludf.DUMMYFUNCTION("""COMPUTED_VALUE"""),"")</f>
        <v/>
      </c>
      <c r="E273" s="4" t="str">
        <f>IFERROR(__xludf.DUMMYFUNCTION("""COMPUTED_VALUE"""),"")</f>
        <v/>
      </c>
      <c r="F273" s="4" t="str">
        <f>IFERROR(__xludf.DUMMYFUNCTION("""COMPUTED_VALUE"""),"")</f>
        <v/>
      </c>
      <c r="G273" s="4" t="str">
        <f>IFERROR(__xludf.DUMMYFUNCTION("""COMPUTED_VALUE"""),"")</f>
        <v/>
      </c>
      <c r="H273" s="4" t="str">
        <f>IFERROR(__xludf.DUMMYFUNCTION("""COMPUTED_VALUE"""),"")</f>
        <v/>
      </c>
      <c r="I273" s="4" t="str">
        <f>IFERROR(__xludf.DUMMYFUNCTION("""COMPUTED_VALUE"""),"")</f>
        <v/>
      </c>
      <c r="J273" s="4" t="str">
        <f>IFERROR(__xludf.DUMMYFUNCTION("""COMPUTED_VALUE"""),"")</f>
        <v/>
      </c>
      <c r="K273" s="4" t="str">
        <f>IFERROR(__xludf.DUMMYFUNCTION("""COMPUTED_VALUE"""),"")</f>
        <v/>
      </c>
    </row>
    <row r="274">
      <c r="A274" s="4" t="str">
        <f>IFERROR(__xludf.DUMMYFUNCTION("""COMPUTED_VALUE"""),"")</f>
        <v/>
      </c>
      <c r="B274" s="4" t="str">
        <f>IFERROR(__xludf.DUMMYFUNCTION("""COMPUTED_VALUE"""),"")</f>
        <v/>
      </c>
      <c r="C274" s="4" t="str">
        <f>IFERROR(__xludf.DUMMYFUNCTION("""COMPUTED_VALUE"""),"")</f>
        <v/>
      </c>
      <c r="D274" s="4" t="str">
        <f>IFERROR(__xludf.DUMMYFUNCTION("""COMPUTED_VALUE"""),"")</f>
        <v/>
      </c>
      <c r="E274" s="4" t="str">
        <f>IFERROR(__xludf.DUMMYFUNCTION("""COMPUTED_VALUE"""),"")</f>
        <v/>
      </c>
      <c r="F274" s="4" t="str">
        <f>IFERROR(__xludf.DUMMYFUNCTION("""COMPUTED_VALUE"""),"")</f>
        <v/>
      </c>
      <c r="G274" s="4" t="str">
        <f>IFERROR(__xludf.DUMMYFUNCTION("""COMPUTED_VALUE"""),"")</f>
        <v/>
      </c>
      <c r="H274" s="4" t="str">
        <f>IFERROR(__xludf.DUMMYFUNCTION("""COMPUTED_VALUE"""),"")</f>
        <v/>
      </c>
      <c r="I274" s="4" t="str">
        <f>IFERROR(__xludf.DUMMYFUNCTION("""COMPUTED_VALUE"""),"")</f>
        <v/>
      </c>
      <c r="J274" s="4" t="str">
        <f>IFERROR(__xludf.DUMMYFUNCTION("""COMPUTED_VALUE"""),"")</f>
        <v/>
      </c>
      <c r="K274" s="4" t="str">
        <f>IFERROR(__xludf.DUMMYFUNCTION("""COMPUTED_VALUE"""),"")</f>
        <v/>
      </c>
    </row>
    <row r="275">
      <c r="A275" s="4" t="str">
        <f>IFERROR(__xludf.DUMMYFUNCTION("""COMPUTED_VALUE"""),"")</f>
        <v/>
      </c>
      <c r="B275" s="4" t="str">
        <f>IFERROR(__xludf.DUMMYFUNCTION("""COMPUTED_VALUE"""),"")</f>
        <v/>
      </c>
      <c r="C275" s="4" t="str">
        <f>IFERROR(__xludf.DUMMYFUNCTION("""COMPUTED_VALUE"""),"")</f>
        <v/>
      </c>
      <c r="D275" s="4" t="str">
        <f>IFERROR(__xludf.DUMMYFUNCTION("""COMPUTED_VALUE"""),"")</f>
        <v/>
      </c>
      <c r="E275" s="4" t="str">
        <f>IFERROR(__xludf.DUMMYFUNCTION("""COMPUTED_VALUE"""),"")</f>
        <v/>
      </c>
      <c r="F275" s="4" t="str">
        <f>IFERROR(__xludf.DUMMYFUNCTION("""COMPUTED_VALUE"""),"")</f>
        <v/>
      </c>
      <c r="G275" s="4" t="str">
        <f>IFERROR(__xludf.DUMMYFUNCTION("""COMPUTED_VALUE"""),"")</f>
        <v/>
      </c>
      <c r="H275" s="4" t="str">
        <f>IFERROR(__xludf.DUMMYFUNCTION("""COMPUTED_VALUE"""),"")</f>
        <v/>
      </c>
      <c r="I275" s="4" t="str">
        <f>IFERROR(__xludf.DUMMYFUNCTION("""COMPUTED_VALUE"""),"")</f>
        <v/>
      </c>
      <c r="J275" s="4" t="str">
        <f>IFERROR(__xludf.DUMMYFUNCTION("""COMPUTED_VALUE"""),"")</f>
        <v/>
      </c>
      <c r="K275" s="4" t="str">
        <f>IFERROR(__xludf.DUMMYFUNCTION("""COMPUTED_VALUE"""),"")</f>
        <v/>
      </c>
    </row>
    <row r="276">
      <c r="A276" s="4" t="str">
        <f>IFERROR(__xludf.DUMMYFUNCTION("""COMPUTED_VALUE"""),"")</f>
        <v/>
      </c>
      <c r="B276" s="4" t="str">
        <f>IFERROR(__xludf.DUMMYFUNCTION("""COMPUTED_VALUE"""),"")</f>
        <v/>
      </c>
      <c r="C276" s="4" t="str">
        <f>IFERROR(__xludf.DUMMYFUNCTION("""COMPUTED_VALUE"""),"")</f>
        <v/>
      </c>
      <c r="D276" s="4" t="str">
        <f>IFERROR(__xludf.DUMMYFUNCTION("""COMPUTED_VALUE"""),"")</f>
        <v/>
      </c>
      <c r="E276" s="4" t="str">
        <f>IFERROR(__xludf.DUMMYFUNCTION("""COMPUTED_VALUE"""),"")</f>
        <v/>
      </c>
      <c r="F276" s="4" t="str">
        <f>IFERROR(__xludf.DUMMYFUNCTION("""COMPUTED_VALUE"""),"")</f>
        <v/>
      </c>
      <c r="G276" s="4" t="str">
        <f>IFERROR(__xludf.DUMMYFUNCTION("""COMPUTED_VALUE"""),"")</f>
        <v/>
      </c>
      <c r="H276" s="4" t="str">
        <f>IFERROR(__xludf.DUMMYFUNCTION("""COMPUTED_VALUE"""),"")</f>
        <v/>
      </c>
      <c r="I276" s="4" t="str">
        <f>IFERROR(__xludf.DUMMYFUNCTION("""COMPUTED_VALUE"""),"")</f>
        <v/>
      </c>
      <c r="J276" s="4" t="str">
        <f>IFERROR(__xludf.DUMMYFUNCTION("""COMPUTED_VALUE"""),"")</f>
        <v/>
      </c>
      <c r="K276" s="4" t="str">
        <f>IFERROR(__xludf.DUMMYFUNCTION("""COMPUTED_VALUE"""),"")</f>
        <v/>
      </c>
    </row>
    <row r="277">
      <c r="A277" s="4" t="str">
        <f>IFERROR(__xludf.DUMMYFUNCTION("""COMPUTED_VALUE"""),"")</f>
        <v/>
      </c>
      <c r="B277" s="4" t="str">
        <f>IFERROR(__xludf.DUMMYFUNCTION("""COMPUTED_VALUE"""),"")</f>
        <v/>
      </c>
      <c r="C277" s="4" t="str">
        <f>IFERROR(__xludf.DUMMYFUNCTION("""COMPUTED_VALUE"""),"")</f>
        <v/>
      </c>
      <c r="D277" s="4" t="str">
        <f>IFERROR(__xludf.DUMMYFUNCTION("""COMPUTED_VALUE"""),"")</f>
        <v/>
      </c>
      <c r="E277" s="4" t="str">
        <f>IFERROR(__xludf.DUMMYFUNCTION("""COMPUTED_VALUE"""),"")</f>
        <v/>
      </c>
      <c r="F277" s="4" t="str">
        <f>IFERROR(__xludf.DUMMYFUNCTION("""COMPUTED_VALUE"""),"")</f>
        <v/>
      </c>
      <c r="G277" s="4" t="str">
        <f>IFERROR(__xludf.DUMMYFUNCTION("""COMPUTED_VALUE"""),"")</f>
        <v/>
      </c>
      <c r="H277" s="4" t="str">
        <f>IFERROR(__xludf.DUMMYFUNCTION("""COMPUTED_VALUE"""),"")</f>
        <v/>
      </c>
      <c r="I277" s="4" t="str">
        <f>IFERROR(__xludf.DUMMYFUNCTION("""COMPUTED_VALUE"""),"")</f>
        <v/>
      </c>
      <c r="J277" s="4" t="str">
        <f>IFERROR(__xludf.DUMMYFUNCTION("""COMPUTED_VALUE"""),"")</f>
        <v/>
      </c>
      <c r="K277" s="4" t="str">
        <f>IFERROR(__xludf.DUMMYFUNCTION("""COMPUTED_VALUE"""),"")</f>
        <v/>
      </c>
    </row>
    <row r="278">
      <c r="A278" s="4" t="str">
        <f>IFERROR(__xludf.DUMMYFUNCTION("""COMPUTED_VALUE"""),"")</f>
        <v/>
      </c>
      <c r="B278" s="4" t="str">
        <f>IFERROR(__xludf.DUMMYFUNCTION("""COMPUTED_VALUE"""),"")</f>
        <v/>
      </c>
      <c r="C278" s="4" t="str">
        <f>IFERROR(__xludf.DUMMYFUNCTION("""COMPUTED_VALUE"""),"")</f>
        <v/>
      </c>
      <c r="D278" s="4" t="str">
        <f>IFERROR(__xludf.DUMMYFUNCTION("""COMPUTED_VALUE"""),"")</f>
        <v/>
      </c>
      <c r="E278" s="4" t="str">
        <f>IFERROR(__xludf.DUMMYFUNCTION("""COMPUTED_VALUE"""),"")</f>
        <v/>
      </c>
      <c r="F278" s="4" t="str">
        <f>IFERROR(__xludf.DUMMYFUNCTION("""COMPUTED_VALUE"""),"")</f>
        <v/>
      </c>
      <c r="G278" s="4" t="str">
        <f>IFERROR(__xludf.DUMMYFUNCTION("""COMPUTED_VALUE"""),"")</f>
        <v/>
      </c>
      <c r="H278" s="4" t="str">
        <f>IFERROR(__xludf.DUMMYFUNCTION("""COMPUTED_VALUE"""),"")</f>
        <v/>
      </c>
      <c r="I278" s="4" t="str">
        <f>IFERROR(__xludf.DUMMYFUNCTION("""COMPUTED_VALUE"""),"")</f>
        <v/>
      </c>
      <c r="J278" s="4" t="str">
        <f>IFERROR(__xludf.DUMMYFUNCTION("""COMPUTED_VALUE"""),"")</f>
        <v/>
      </c>
      <c r="K278" s="4" t="str">
        <f>IFERROR(__xludf.DUMMYFUNCTION("""COMPUTED_VALUE"""),"")</f>
        <v/>
      </c>
    </row>
    <row r="279">
      <c r="A279" s="4" t="str">
        <f>IFERROR(__xludf.DUMMYFUNCTION("""COMPUTED_VALUE"""),"")</f>
        <v/>
      </c>
      <c r="B279" s="4" t="str">
        <f>IFERROR(__xludf.DUMMYFUNCTION("""COMPUTED_VALUE"""),"")</f>
        <v/>
      </c>
      <c r="C279" s="4" t="str">
        <f>IFERROR(__xludf.DUMMYFUNCTION("""COMPUTED_VALUE"""),"")</f>
        <v/>
      </c>
      <c r="D279" s="4" t="str">
        <f>IFERROR(__xludf.DUMMYFUNCTION("""COMPUTED_VALUE"""),"")</f>
        <v/>
      </c>
      <c r="E279" s="4" t="str">
        <f>IFERROR(__xludf.DUMMYFUNCTION("""COMPUTED_VALUE"""),"")</f>
        <v/>
      </c>
      <c r="F279" s="4" t="str">
        <f>IFERROR(__xludf.DUMMYFUNCTION("""COMPUTED_VALUE"""),"")</f>
        <v/>
      </c>
      <c r="G279" s="4" t="str">
        <f>IFERROR(__xludf.DUMMYFUNCTION("""COMPUTED_VALUE"""),"")</f>
        <v/>
      </c>
      <c r="H279" s="4" t="str">
        <f>IFERROR(__xludf.DUMMYFUNCTION("""COMPUTED_VALUE"""),"")</f>
        <v/>
      </c>
      <c r="I279" s="4" t="str">
        <f>IFERROR(__xludf.DUMMYFUNCTION("""COMPUTED_VALUE"""),"")</f>
        <v/>
      </c>
      <c r="J279" s="4" t="str">
        <f>IFERROR(__xludf.DUMMYFUNCTION("""COMPUTED_VALUE"""),"")</f>
        <v/>
      </c>
      <c r="K279" s="4" t="str">
        <f>IFERROR(__xludf.DUMMYFUNCTION("""COMPUTED_VALUE"""),"")</f>
        <v/>
      </c>
    </row>
    <row r="280">
      <c r="A280" s="4" t="str">
        <f>IFERROR(__xludf.DUMMYFUNCTION("""COMPUTED_VALUE"""),"")</f>
        <v/>
      </c>
      <c r="B280" s="4" t="str">
        <f>IFERROR(__xludf.DUMMYFUNCTION("""COMPUTED_VALUE"""),"")</f>
        <v/>
      </c>
      <c r="C280" s="4" t="str">
        <f>IFERROR(__xludf.DUMMYFUNCTION("""COMPUTED_VALUE"""),"")</f>
        <v/>
      </c>
      <c r="D280" s="4" t="str">
        <f>IFERROR(__xludf.DUMMYFUNCTION("""COMPUTED_VALUE"""),"")</f>
        <v/>
      </c>
      <c r="E280" s="4" t="str">
        <f>IFERROR(__xludf.DUMMYFUNCTION("""COMPUTED_VALUE"""),"")</f>
        <v/>
      </c>
      <c r="F280" s="4" t="str">
        <f>IFERROR(__xludf.DUMMYFUNCTION("""COMPUTED_VALUE"""),"")</f>
        <v/>
      </c>
      <c r="G280" s="4" t="str">
        <f>IFERROR(__xludf.DUMMYFUNCTION("""COMPUTED_VALUE"""),"")</f>
        <v/>
      </c>
      <c r="H280" s="4" t="str">
        <f>IFERROR(__xludf.DUMMYFUNCTION("""COMPUTED_VALUE"""),"")</f>
        <v/>
      </c>
      <c r="I280" s="4" t="str">
        <f>IFERROR(__xludf.DUMMYFUNCTION("""COMPUTED_VALUE"""),"")</f>
        <v/>
      </c>
      <c r="J280" s="4" t="str">
        <f>IFERROR(__xludf.DUMMYFUNCTION("""COMPUTED_VALUE"""),"")</f>
        <v/>
      </c>
      <c r="K280" s="4" t="str">
        <f>IFERROR(__xludf.DUMMYFUNCTION("""COMPUTED_VALUE"""),"")</f>
        <v/>
      </c>
    </row>
    <row r="281">
      <c r="A281" s="4" t="str">
        <f>IFERROR(__xludf.DUMMYFUNCTION("""COMPUTED_VALUE"""),"")</f>
        <v/>
      </c>
      <c r="B281" s="4" t="str">
        <f>IFERROR(__xludf.DUMMYFUNCTION("""COMPUTED_VALUE"""),"")</f>
        <v/>
      </c>
      <c r="C281" s="4" t="str">
        <f>IFERROR(__xludf.DUMMYFUNCTION("""COMPUTED_VALUE"""),"")</f>
        <v/>
      </c>
      <c r="D281" s="4" t="str">
        <f>IFERROR(__xludf.DUMMYFUNCTION("""COMPUTED_VALUE"""),"")</f>
        <v/>
      </c>
      <c r="E281" s="4" t="str">
        <f>IFERROR(__xludf.DUMMYFUNCTION("""COMPUTED_VALUE"""),"")</f>
        <v/>
      </c>
      <c r="F281" s="4" t="str">
        <f>IFERROR(__xludf.DUMMYFUNCTION("""COMPUTED_VALUE"""),"")</f>
        <v/>
      </c>
      <c r="G281" s="4" t="str">
        <f>IFERROR(__xludf.DUMMYFUNCTION("""COMPUTED_VALUE"""),"")</f>
        <v/>
      </c>
      <c r="H281" s="4" t="str">
        <f>IFERROR(__xludf.DUMMYFUNCTION("""COMPUTED_VALUE"""),"")</f>
        <v/>
      </c>
      <c r="I281" s="4" t="str">
        <f>IFERROR(__xludf.DUMMYFUNCTION("""COMPUTED_VALUE"""),"")</f>
        <v/>
      </c>
      <c r="J281" s="4" t="str">
        <f>IFERROR(__xludf.DUMMYFUNCTION("""COMPUTED_VALUE"""),"")</f>
        <v/>
      </c>
      <c r="K281" s="4" t="str">
        <f>IFERROR(__xludf.DUMMYFUNCTION("""COMPUTED_VALUE"""),"")</f>
        <v/>
      </c>
    </row>
    <row r="282">
      <c r="A282" s="4" t="str">
        <f>IFERROR(__xludf.DUMMYFUNCTION("""COMPUTED_VALUE"""),"")</f>
        <v/>
      </c>
      <c r="B282" s="4" t="str">
        <f>IFERROR(__xludf.DUMMYFUNCTION("""COMPUTED_VALUE"""),"")</f>
        <v/>
      </c>
      <c r="C282" s="4" t="str">
        <f>IFERROR(__xludf.DUMMYFUNCTION("""COMPUTED_VALUE"""),"")</f>
        <v/>
      </c>
      <c r="D282" s="4" t="str">
        <f>IFERROR(__xludf.DUMMYFUNCTION("""COMPUTED_VALUE"""),"")</f>
        <v/>
      </c>
      <c r="E282" s="4" t="str">
        <f>IFERROR(__xludf.DUMMYFUNCTION("""COMPUTED_VALUE"""),"")</f>
        <v/>
      </c>
      <c r="F282" s="4" t="str">
        <f>IFERROR(__xludf.DUMMYFUNCTION("""COMPUTED_VALUE"""),"")</f>
        <v/>
      </c>
      <c r="G282" s="4" t="str">
        <f>IFERROR(__xludf.DUMMYFUNCTION("""COMPUTED_VALUE"""),"")</f>
        <v/>
      </c>
      <c r="H282" s="4" t="str">
        <f>IFERROR(__xludf.DUMMYFUNCTION("""COMPUTED_VALUE"""),"")</f>
        <v/>
      </c>
      <c r="I282" s="4" t="str">
        <f>IFERROR(__xludf.DUMMYFUNCTION("""COMPUTED_VALUE"""),"")</f>
        <v/>
      </c>
      <c r="J282" s="4" t="str">
        <f>IFERROR(__xludf.DUMMYFUNCTION("""COMPUTED_VALUE"""),"")</f>
        <v/>
      </c>
      <c r="K282" s="4" t="str">
        <f>IFERROR(__xludf.DUMMYFUNCTION("""COMPUTED_VALUE"""),"")</f>
        <v/>
      </c>
    </row>
    <row r="283">
      <c r="A283" s="4" t="str">
        <f>IFERROR(__xludf.DUMMYFUNCTION("""COMPUTED_VALUE"""),"")</f>
        <v/>
      </c>
      <c r="B283" s="4" t="str">
        <f>IFERROR(__xludf.DUMMYFUNCTION("""COMPUTED_VALUE"""),"")</f>
        <v/>
      </c>
      <c r="C283" s="4" t="str">
        <f>IFERROR(__xludf.DUMMYFUNCTION("""COMPUTED_VALUE"""),"")</f>
        <v/>
      </c>
      <c r="D283" s="4" t="str">
        <f>IFERROR(__xludf.DUMMYFUNCTION("""COMPUTED_VALUE"""),"")</f>
        <v/>
      </c>
      <c r="E283" s="4" t="str">
        <f>IFERROR(__xludf.DUMMYFUNCTION("""COMPUTED_VALUE"""),"")</f>
        <v/>
      </c>
      <c r="F283" s="4" t="str">
        <f>IFERROR(__xludf.DUMMYFUNCTION("""COMPUTED_VALUE"""),"")</f>
        <v/>
      </c>
      <c r="G283" s="4" t="str">
        <f>IFERROR(__xludf.DUMMYFUNCTION("""COMPUTED_VALUE"""),"")</f>
        <v/>
      </c>
      <c r="H283" s="4" t="str">
        <f>IFERROR(__xludf.DUMMYFUNCTION("""COMPUTED_VALUE"""),"")</f>
        <v/>
      </c>
      <c r="I283" s="4" t="str">
        <f>IFERROR(__xludf.DUMMYFUNCTION("""COMPUTED_VALUE"""),"")</f>
        <v/>
      </c>
      <c r="J283" s="4" t="str">
        <f>IFERROR(__xludf.DUMMYFUNCTION("""COMPUTED_VALUE"""),"")</f>
        <v/>
      </c>
      <c r="K283" s="4" t="str">
        <f>IFERROR(__xludf.DUMMYFUNCTION("""COMPUTED_VALUE"""),"")</f>
        <v/>
      </c>
    </row>
    <row r="284">
      <c r="A284" s="4" t="str">
        <f>IFERROR(__xludf.DUMMYFUNCTION("""COMPUTED_VALUE"""),"")</f>
        <v/>
      </c>
      <c r="B284" s="4" t="str">
        <f>IFERROR(__xludf.DUMMYFUNCTION("""COMPUTED_VALUE"""),"")</f>
        <v/>
      </c>
      <c r="C284" s="4" t="str">
        <f>IFERROR(__xludf.DUMMYFUNCTION("""COMPUTED_VALUE"""),"")</f>
        <v/>
      </c>
      <c r="D284" s="4" t="str">
        <f>IFERROR(__xludf.DUMMYFUNCTION("""COMPUTED_VALUE"""),"")</f>
        <v/>
      </c>
      <c r="E284" s="4" t="str">
        <f>IFERROR(__xludf.DUMMYFUNCTION("""COMPUTED_VALUE"""),"")</f>
        <v/>
      </c>
      <c r="F284" s="4" t="str">
        <f>IFERROR(__xludf.DUMMYFUNCTION("""COMPUTED_VALUE"""),"")</f>
        <v/>
      </c>
      <c r="G284" s="4" t="str">
        <f>IFERROR(__xludf.DUMMYFUNCTION("""COMPUTED_VALUE"""),"")</f>
        <v/>
      </c>
      <c r="H284" s="4" t="str">
        <f>IFERROR(__xludf.DUMMYFUNCTION("""COMPUTED_VALUE"""),"")</f>
        <v/>
      </c>
      <c r="I284" s="4" t="str">
        <f>IFERROR(__xludf.DUMMYFUNCTION("""COMPUTED_VALUE"""),"")</f>
        <v/>
      </c>
      <c r="J284" s="4" t="str">
        <f>IFERROR(__xludf.DUMMYFUNCTION("""COMPUTED_VALUE"""),"")</f>
        <v/>
      </c>
      <c r="K284" s="4" t="str">
        <f>IFERROR(__xludf.DUMMYFUNCTION("""COMPUTED_VALUE"""),"")</f>
        <v/>
      </c>
    </row>
    <row r="285">
      <c r="A285" s="4" t="str">
        <f>IFERROR(__xludf.DUMMYFUNCTION("""COMPUTED_VALUE"""),"")</f>
        <v/>
      </c>
      <c r="B285" s="4" t="str">
        <f>IFERROR(__xludf.DUMMYFUNCTION("""COMPUTED_VALUE"""),"")</f>
        <v/>
      </c>
      <c r="C285" s="4" t="str">
        <f>IFERROR(__xludf.DUMMYFUNCTION("""COMPUTED_VALUE"""),"")</f>
        <v/>
      </c>
      <c r="D285" s="4" t="str">
        <f>IFERROR(__xludf.DUMMYFUNCTION("""COMPUTED_VALUE"""),"")</f>
        <v/>
      </c>
      <c r="E285" s="4" t="str">
        <f>IFERROR(__xludf.DUMMYFUNCTION("""COMPUTED_VALUE"""),"")</f>
        <v/>
      </c>
      <c r="F285" s="4" t="str">
        <f>IFERROR(__xludf.DUMMYFUNCTION("""COMPUTED_VALUE"""),"")</f>
        <v/>
      </c>
      <c r="G285" s="4" t="str">
        <f>IFERROR(__xludf.DUMMYFUNCTION("""COMPUTED_VALUE"""),"")</f>
        <v/>
      </c>
      <c r="H285" s="4" t="str">
        <f>IFERROR(__xludf.DUMMYFUNCTION("""COMPUTED_VALUE"""),"")</f>
        <v/>
      </c>
      <c r="I285" s="4" t="str">
        <f>IFERROR(__xludf.DUMMYFUNCTION("""COMPUTED_VALUE"""),"")</f>
        <v/>
      </c>
      <c r="J285" s="4" t="str">
        <f>IFERROR(__xludf.DUMMYFUNCTION("""COMPUTED_VALUE"""),"")</f>
        <v/>
      </c>
      <c r="K285" s="4" t="str">
        <f>IFERROR(__xludf.DUMMYFUNCTION("""COMPUTED_VALUE"""),"")</f>
        <v/>
      </c>
    </row>
    <row r="286">
      <c r="A286" s="4" t="str">
        <f>IFERROR(__xludf.DUMMYFUNCTION("""COMPUTED_VALUE"""),"")</f>
        <v/>
      </c>
      <c r="B286" s="4" t="str">
        <f>IFERROR(__xludf.DUMMYFUNCTION("""COMPUTED_VALUE"""),"")</f>
        <v/>
      </c>
      <c r="C286" s="4" t="str">
        <f>IFERROR(__xludf.DUMMYFUNCTION("""COMPUTED_VALUE"""),"")</f>
        <v/>
      </c>
      <c r="D286" s="4" t="str">
        <f>IFERROR(__xludf.DUMMYFUNCTION("""COMPUTED_VALUE"""),"")</f>
        <v/>
      </c>
      <c r="E286" s="4" t="str">
        <f>IFERROR(__xludf.DUMMYFUNCTION("""COMPUTED_VALUE"""),"")</f>
        <v/>
      </c>
      <c r="F286" s="4" t="str">
        <f>IFERROR(__xludf.DUMMYFUNCTION("""COMPUTED_VALUE"""),"")</f>
        <v/>
      </c>
      <c r="G286" s="4" t="str">
        <f>IFERROR(__xludf.DUMMYFUNCTION("""COMPUTED_VALUE"""),"")</f>
        <v/>
      </c>
      <c r="H286" s="4" t="str">
        <f>IFERROR(__xludf.DUMMYFUNCTION("""COMPUTED_VALUE"""),"")</f>
        <v/>
      </c>
      <c r="I286" s="4" t="str">
        <f>IFERROR(__xludf.DUMMYFUNCTION("""COMPUTED_VALUE"""),"")</f>
        <v/>
      </c>
      <c r="J286" s="4" t="str">
        <f>IFERROR(__xludf.DUMMYFUNCTION("""COMPUTED_VALUE"""),"")</f>
        <v/>
      </c>
      <c r="K286" s="4" t="str">
        <f>IFERROR(__xludf.DUMMYFUNCTION("""COMPUTED_VALUE"""),"")</f>
        <v/>
      </c>
    </row>
    <row r="287">
      <c r="A287" s="4" t="str">
        <f>IFERROR(__xludf.DUMMYFUNCTION("""COMPUTED_VALUE"""),"")</f>
        <v/>
      </c>
      <c r="B287" s="4" t="str">
        <f>IFERROR(__xludf.DUMMYFUNCTION("""COMPUTED_VALUE"""),"")</f>
        <v/>
      </c>
      <c r="C287" s="4" t="str">
        <f>IFERROR(__xludf.DUMMYFUNCTION("""COMPUTED_VALUE"""),"")</f>
        <v/>
      </c>
      <c r="D287" s="4" t="str">
        <f>IFERROR(__xludf.DUMMYFUNCTION("""COMPUTED_VALUE"""),"")</f>
        <v/>
      </c>
      <c r="E287" s="4" t="str">
        <f>IFERROR(__xludf.DUMMYFUNCTION("""COMPUTED_VALUE"""),"")</f>
        <v/>
      </c>
      <c r="F287" s="4" t="str">
        <f>IFERROR(__xludf.DUMMYFUNCTION("""COMPUTED_VALUE"""),"")</f>
        <v/>
      </c>
      <c r="G287" s="4" t="str">
        <f>IFERROR(__xludf.DUMMYFUNCTION("""COMPUTED_VALUE"""),"")</f>
        <v/>
      </c>
      <c r="H287" s="4" t="str">
        <f>IFERROR(__xludf.DUMMYFUNCTION("""COMPUTED_VALUE"""),"")</f>
        <v/>
      </c>
      <c r="I287" s="4" t="str">
        <f>IFERROR(__xludf.DUMMYFUNCTION("""COMPUTED_VALUE"""),"")</f>
        <v/>
      </c>
      <c r="J287" s="4" t="str">
        <f>IFERROR(__xludf.DUMMYFUNCTION("""COMPUTED_VALUE"""),"")</f>
        <v/>
      </c>
      <c r="K287" s="4" t="str">
        <f>IFERROR(__xludf.DUMMYFUNCTION("""COMPUTED_VALUE"""),"")</f>
        <v/>
      </c>
    </row>
    <row r="288">
      <c r="A288" s="4" t="str">
        <f>IFERROR(__xludf.DUMMYFUNCTION("""COMPUTED_VALUE"""),"")</f>
        <v/>
      </c>
      <c r="B288" s="4" t="str">
        <f>IFERROR(__xludf.DUMMYFUNCTION("""COMPUTED_VALUE"""),"")</f>
        <v/>
      </c>
      <c r="C288" s="4" t="str">
        <f>IFERROR(__xludf.DUMMYFUNCTION("""COMPUTED_VALUE"""),"")</f>
        <v/>
      </c>
      <c r="D288" s="4" t="str">
        <f>IFERROR(__xludf.DUMMYFUNCTION("""COMPUTED_VALUE"""),"")</f>
        <v/>
      </c>
      <c r="E288" s="4" t="str">
        <f>IFERROR(__xludf.DUMMYFUNCTION("""COMPUTED_VALUE"""),"")</f>
        <v/>
      </c>
      <c r="F288" s="4" t="str">
        <f>IFERROR(__xludf.DUMMYFUNCTION("""COMPUTED_VALUE"""),"")</f>
        <v/>
      </c>
      <c r="G288" s="4" t="str">
        <f>IFERROR(__xludf.DUMMYFUNCTION("""COMPUTED_VALUE"""),"")</f>
        <v/>
      </c>
      <c r="H288" s="4" t="str">
        <f>IFERROR(__xludf.DUMMYFUNCTION("""COMPUTED_VALUE"""),"")</f>
        <v/>
      </c>
      <c r="I288" s="4" t="str">
        <f>IFERROR(__xludf.DUMMYFUNCTION("""COMPUTED_VALUE"""),"")</f>
        <v/>
      </c>
      <c r="J288" s="4" t="str">
        <f>IFERROR(__xludf.DUMMYFUNCTION("""COMPUTED_VALUE"""),"")</f>
        <v/>
      </c>
      <c r="K288" s="4" t="str">
        <f>IFERROR(__xludf.DUMMYFUNCTION("""COMPUTED_VALUE"""),"")</f>
        <v/>
      </c>
    </row>
    <row r="289">
      <c r="A289" s="4" t="str">
        <f>IFERROR(__xludf.DUMMYFUNCTION("""COMPUTED_VALUE"""),"")</f>
        <v/>
      </c>
      <c r="B289" s="4" t="str">
        <f>IFERROR(__xludf.DUMMYFUNCTION("""COMPUTED_VALUE"""),"")</f>
        <v/>
      </c>
      <c r="C289" s="4" t="str">
        <f>IFERROR(__xludf.DUMMYFUNCTION("""COMPUTED_VALUE"""),"")</f>
        <v/>
      </c>
      <c r="D289" s="4" t="str">
        <f>IFERROR(__xludf.DUMMYFUNCTION("""COMPUTED_VALUE"""),"")</f>
        <v/>
      </c>
      <c r="E289" s="4" t="str">
        <f>IFERROR(__xludf.DUMMYFUNCTION("""COMPUTED_VALUE"""),"")</f>
        <v/>
      </c>
      <c r="F289" s="4" t="str">
        <f>IFERROR(__xludf.DUMMYFUNCTION("""COMPUTED_VALUE"""),"")</f>
        <v/>
      </c>
      <c r="G289" s="4" t="str">
        <f>IFERROR(__xludf.DUMMYFUNCTION("""COMPUTED_VALUE"""),"")</f>
        <v/>
      </c>
      <c r="H289" s="4" t="str">
        <f>IFERROR(__xludf.DUMMYFUNCTION("""COMPUTED_VALUE"""),"")</f>
        <v/>
      </c>
      <c r="I289" s="4" t="str">
        <f>IFERROR(__xludf.DUMMYFUNCTION("""COMPUTED_VALUE"""),"")</f>
        <v/>
      </c>
      <c r="J289" s="4" t="str">
        <f>IFERROR(__xludf.DUMMYFUNCTION("""COMPUTED_VALUE"""),"")</f>
        <v/>
      </c>
      <c r="K289" s="4" t="str">
        <f>IFERROR(__xludf.DUMMYFUNCTION("""COMPUTED_VALUE"""),"")</f>
        <v/>
      </c>
    </row>
    <row r="290">
      <c r="A290" s="4" t="str">
        <f>IFERROR(__xludf.DUMMYFUNCTION("""COMPUTED_VALUE"""),"")</f>
        <v/>
      </c>
      <c r="B290" s="4" t="str">
        <f>IFERROR(__xludf.DUMMYFUNCTION("""COMPUTED_VALUE"""),"")</f>
        <v/>
      </c>
      <c r="C290" s="4" t="str">
        <f>IFERROR(__xludf.DUMMYFUNCTION("""COMPUTED_VALUE"""),"")</f>
        <v/>
      </c>
      <c r="D290" s="4" t="str">
        <f>IFERROR(__xludf.DUMMYFUNCTION("""COMPUTED_VALUE"""),"")</f>
        <v/>
      </c>
      <c r="E290" s="4" t="str">
        <f>IFERROR(__xludf.DUMMYFUNCTION("""COMPUTED_VALUE"""),"")</f>
        <v/>
      </c>
      <c r="F290" s="4" t="str">
        <f>IFERROR(__xludf.DUMMYFUNCTION("""COMPUTED_VALUE"""),"")</f>
        <v/>
      </c>
      <c r="G290" s="4" t="str">
        <f>IFERROR(__xludf.DUMMYFUNCTION("""COMPUTED_VALUE"""),"")</f>
        <v/>
      </c>
      <c r="H290" s="4" t="str">
        <f>IFERROR(__xludf.DUMMYFUNCTION("""COMPUTED_VALUE"""),"")</f>
        <v/>
      </c>
      <c r="I290" s="4" t="str">
        <f>IFERROR(__xludf.DUMMYFUNCTION("""COMPUTED_VALUE"""),"")</f>
        <v/>
      </c>
      <c r="J290" s="4" t="str">
        <f>IFERROR(__xludf.DUMMYFUNCTION("""COMPUTED_VALUE"""),"")</f>
        <v/>
      </c>
      <c r="K290" s="4" t="str">
        <f>IFERROR(__xludf.DUMMYFUNCTION("""COMPUTED_VALUE"""),"")</f>
        <v/>
      </c>
    </row>
    <row r="291">
      <c r="A291" s="4" t="str">
        <f>IFERROR(__xludf.DUMMYFUNCTION("""COMPUTED_VALUE"""),"")</f>
        <v/>
      </c>
      <c r="B291" s="4" t="str">
        <f>IFERROR(__xludf.DUMMYFUNCTION("""COMPUTED_VALUE"""),"")</f>
        <v/>
      </c>
      <c r="C291" s="4" t="str">
        <f>IFERROR(__xludf.DUMMYFUNCTION("""COMPUTED_VALUE"""),"")</f>
        <v/>
      </c>
      <c r="D291" s="4" t="str">
        <f>IFERROR(__xludf.DUMMYFUNCTION("""COMPUTED_VALUE"""),"")</f>
        <v/>
      </c>
      <c r="E291" s="4" t="str">
        <f>IFERROR(__xludf.DUMMYFUNCTION("""COMPUTED_VALUE"""),"")</f>
        <v/>
      </c>
      <c r="F291" s="4" t="str">
        <f>IFERROR(__xludf.DUMMYFUNCTION("""COMPUTED_VALUE"""),"")</f>
        <v/>
      </c>
      <c r="G291" s="4" t="str">
        <f>IFERROR(__xludf.DUMMYFUNCTION("""COMPUTED_VALUE"""),"")</f>
        <v/>
      </c>
      <c r="H291" s="4" t="str">
        <f>IFERROR(__xludf.DUMMYFUNCTION("""COMPUTED_VALUE"""),"")</f>
        <v/>
      </c>
      <c r="I291" s="4" t="str">
        <f>IFERROR(__xludf.DUMMYFUNCTION("""COMPUTED_VALUE"""),"")</f>
        <v/>
      </c>
      <c r="J291" s="4" t="str">
        <f>IFERROR(__xludf.DUMMYFUNCTION("""COMPUTED_VALUE"""),"")</f>
        <v/>
      </c>
      <c r="K291" s="4" t="str">
        <f>IFERROR(__xludf.DUMMYFUNCTION("""COMPUTED_VALUE"""),"")</f>
        <v/>
      </c>
    </row>
    <row r="292">
      <c r="A292" s="4" t="str">
        <f>IFERROR(__xludf.DUMMYFUNCTION("""COMPUTED_VALUE"""),"")</f>
        <v/>
      </c>
      <c r="B292" s="4" t="str">
        <f>IFERROR(__xludf.DUMMYFUNCTION("""COMPUTED_VALUE"""),"")</f>
        <v/>
      </c>
      <c r="C292" s="4" t="str">
        <f>IFERROR(__xludf.DUMMYFUNCTION("""COMPUTED_VALUE"""),"")</f>
        <v/>
      </c>
      <c r="D292" s="4" t="str">
        <f>IFERROR(__xludf.DUMMYFUNCTION("""COMPUTED_VALUE"""),"")</f>
        <v/>
      </c>
      <c r="E292" s="4" t="str">
        <f>IFERROR(__xludf.DUMMYFUNCTION("""COMPUTED_VALUE"""),"")</f>
        <v/>
      </c>
      <c r="F292" s="4" t="str">
        <f>IFERROR(__xludf.DUMMYFUNCTION("""COMPUTED_VALUE"""),"")</f>
        <v/>
      </c>
      <c r="G292" s="4" t="str">
        <f>IFERROR(__xludf.DUMMYFUNCTION("""COMPUTED_VALUE"""),"")</f>
        <v/>
      </c>
      <c r="H292" s="4" t="str">
        <f>IFERROR(__xludf.DUMMYFUNCTION("""COMPUTED_VALUE"""),"")</f>
        <v/>
      </c>
      <c r="I292" s="4" t="str">
        <f>IFERROR(__xludf.DUMMYFUNCTION("""COMPUTED_VALUE"""),"")</f>
        <v/>
      </c>
      <c r="J292" s="4" t="str">
        <f>IFERROR(__xludf.DUMMYFUNCTION("""COMPUTED_VALUE"""),"")</f>
        <v/>
      </c>
      <c r="K292" s="4" t="str">
        <f>IFERROR(__xludf.DUMMYFUNCTION("""COMPUTED_VALUE"""),"")</f>
        <v/>
      </c>
    </row>
    <row r="293">
      <c r="A293" s="4" t="str">
        <f>IFERROR(__xludf.DUMMYFUNCTION("""COMPUTED_VALUE"""),"")</f>
        <v/>
      </c>
      <c r="B293" s="4" t="str">
        <f>IFERROR(__xludf.DUMMYFUNCTION("""COMPUTED_VALUE"""),"")</f>
        <v/>
      </c>
      <c r="C293" s="4" t="str">
        <f>IFERROR(__xludf.DUMMYFUNCTION("""COMPUTED_VALUE"""),"")</f>
        <v/>
      </c>
      <c r="D293" s="4" t="str">
        <f>IFERROR(__xludf.DUMMYFUNCTION("""COMPUTED_VALUE"""),"")</f>
        <v/>
      </c>
      <c r="E293" s="4" t="str">
        <f>IFERROR(__xludf.DUMMYFUNCTION("""COMPUTED_VALUE"""),"")</f>
        <v/>
      </c>
      <c r="F293" s="4" t="str">
        <f>IFERROR(__xludf.DUMMYFUNCTION("""COMPUTED_VALUE"""),"")</f>
        <v/>
      </c>
      <c r="G293" s="4" t="str">
        <f>IFERROR(__xludf.DUMMYFUNCTION("""COMPUTED_VALUE"""),"")</f>
        <v/>
      </c>
      <c r="H293" s="4" t="str">
        <f>IFERROR(__xludf.DUMMYFUNCTION("""COMPUTED_VALUE"""),"")</f>
        <v/>
      </c>
      <c r="I293" s="4" t="str">
        <f>IFERROR(__xludf.DUMMYFUNCTION("""COMPUTED_VALUE"""),"")</f>
        <v/>
      </c>
      <c r="J293" s="4" t="str">
        <f>IFERROR(__xludf.DUMMYFUNCTION("""COMPUTED_VALUE"""),"")</f>
        <v/>
      </c>
      <c r="K293" s="4" t="str">
        <f>IFERROR(__xludf.DUMMYFUNCTION("""COMPUTED_VALUE"""),"")</f>
        <v/>
      </c>
    </row>
    <row r="294">
      <c r="A294" s="4" t="str">
        <f>IFERROR(__xludf.DUMMYFUNCTION("""COMPUTED_VALUE"""),"")</f>
        <v/>
      </c>
      <c r="B294" s="4" t="str">
        <f>IFERROR(__xludf.DUMMYFUNCTION("""COMPUTED_VALUE"""),"")</f>
        <v/>
      </c>
      <c r="C294" s="4" t="str">
        <f>IFERROR(__xludf.DUMMYFUNCTION("""COMPUTED_VALUE"""),"")</f>
        <v/>
      </c>
      <c r="D294" s="4" t="str">
        <f>IFERROR(__xludf.DUMMYFUNCTION("""COMPUTED_VALUE"""),"")</f>
        <v/>
      </c>
      <c r="E294" s="4" t="str">
        <f>IFERROR(__xludf.DUMMYFUNCTION("""COMPUTED_VALUE"""),"")</f>
        <v/>
      </c>
      <c r="F294" s="4" t="str">
        <f>IFERROR(__xludf.DUMMYFUNCTION("""COMPUTED_VALUE"""),"")</f>
        <v/>
      </c>
      <c r="G294" s="4" t="str">
        <f>IFERROR(__xludf.DUMMYFUNCTION("""COMPUTED_VALUE"""),"")</f>
        <v/>
      </c>
      <c r="H294" s="4" t="str">
        <f>IFERROR(__xludf.DUMMYFUNCTION("""COMPUTED_VALUE"""),"")</f>
        <v/>
      </c>
      <c r="I294" s="4" t="str">
        <f>IFERROR(__xludf.DUMMYFUNCTION("""COMPUTED_VALUE"""),"")</f>
        <v/>
      </c>
      <c r="J294" s="4" t="str">
        <f>IFERROR(__xludf.DUMMYFUNCTION("""COMPUTED_VALUE"""),"")</f>
        <v/>
      </c>
      <c r="K294" s="4" t="str">
        <f>IFERROR(__xludf.DUMMYFUNCTION("""COMPUTED_VALUE"""),"")</f>
        <v/>
      </c>
    </row>
    <row r="295">
      <c r="A295" s="4" t="str">
        <f>IFERROR(__xludf.DUMMYFUNCTION("""COMPUTED_VALUE"""),"")</f>
        <v/>
      </c>
      <c r="B295" s="4" t="str">
        <f>IFERROR(__xludf.DUMMYFUNCTION("""COMPUTED_VALUE"""),"")</f>
        <v/>
      </c>
      <c r="C295" s="4" t="str">
        <f>IFERROR(__xludf.DUMMYFUNCTION("""COMPUTED_VALUE"""),"")</f>
        <v/>
      </c>
      <c r="D295" s="4" t="str">
        <f>IFERROR(__xludf.DUMMYFUNCTION("""COMPUTED_VALUE"""),"")</f>
        <v/>
      </c>
      <c r="E295" s="4" t="str">
        <f>IFERROR(__xludf.DUMMYFUNCTION("""COMPUTED_VALUE"""),"")</f>
        <v/>
      </c>
      <c r="F295" s="4" t="str">
        <f>IFERROR(__xludf.DUMMYFUNCTION("""COMPUTED_VALUE"""),"")</f>
        <v/>
      </c>
      <c r="G295" s="4" t="str">
        <f>IFERROR(__xludf.DUMMYFUNCTION("""COMPUTED_VALUE"""),"")</f>
        <v/>
      </c>
      <c r="H295" s="4" t="str">
        <f>IFERROR(__xludf.DUMMYFUNCTION("""COMPUTED_VALUE"""),"")</f>
        <v/>
      </c>
      <c r="I295" s="4" t="str">
        <f>IFERROR(__xludf.DUMMYFUNCTION("""COMPUTED_VALUE"""),"")</f>
        <v/>
      </c>
      <c r="J295" s="4" t="str">
        <f>IFERROR(__xludf.DUMMYFUNCTION("""COMPUTED_VALUE"""),"")</f>
        <v/>
      </c>
      <c r="K295" s="4" t="str">
        <f>IFERROR(__xludf.DUMMYFUNCTION("""COMPUTED_VALUE"""),"")</f>
        <v/>
      </c>
    </row>
    <row r="296">
      <c r="A296" s="4" t="str">
        <f>IFERROR(__xludf.DUMMYFUNCTION("""COMPUTED_VALUE"""),"")</f>
        <v/>
      </c>
      <c r="B296" s="4" t="str">
        <f>IFERROR(__xludf.DUMMYFUNCTION("""COMPUTED_VALUE"""),"")</f>
        <v/>
      </c>
      <c r="C296" s="4" t="str">
        <f>IFERROR(__xludf.DUMMYFUNCTION("""COMPUTED_VALUE"""),"")</f>
        <v/>
      </c>
      <c r="D296" s="4" t="str">
        <f>IFERROR(__xludf.DUMMYFUNCTION("""COMPUTED_VALUE"""),"")</f>
        <v/>
      </c>
      <c r="E296" s="4" t="str">
        <f>IFERROR(__xludf.DUMMYFUNCTION("""COMPUTED_VALUE"""),"")</f>
        <v/>
      </c>
      <c r="F296" s="4" t="str">
        <f>IFERROR(__xludf.DUMMYFUNCTION("""COMPUTED_VALUE"""),"")</f>
        <v/>
      </c>
      <c r="G296" s="4" t="str">
        <f>IFERROR(__xludf.DUMMYFUNCTION("""COMPUTED_VALUE"""),"")</f>
        <v/>
      </c>
      <c r="H296" s="4" t="str">
        <f>IFERROR(__xludf.DUMMYFUNCTION("""COMPUTED_VALUE"""),"")</f>
        <v/>
      </c>
      <c r="I296" s="4" t="str">
        <f>IFERROR(__xludf.DUMMYFUNCTION("""COMPUTED_VALUE"""),"")</f>
        <v/>
      </c>
      <c r="J296" s="4" t="str">
        <f>IFERROR(__xludf.DUMMYFUNCTION("""COMPUTED_VALUE"""),"")</f>
        <v/>
      </c>
      <c r="K296" s="4" t="str">
        <f>IFERROR(__xludf.DUMMYFUNCTION("""COMPUTED_VALUE"""),"")</f>
        <v/>
      </c>
    </row>
    <row r="297">
      <c r="A297" s="4" t="str">
        <f>IFERROR(__xludf.DUMMYFUNCTION("""COMPUTED_VALUE"""),"")</f>
        <v/>
      </c>
      <c r="B297" s="4" t="str">
        <f>IFERROR(__xludf.DUMMYFUNCTION("""COMPUTED_VALUE"""),"")</f>
        <v/>
      </c>
      <c r="C297" s="4" t="str">
        <f>IFERROR(__xludf.DUMMYFUNCTION("""COMPUTED_VALUE"""),"")</f>
        <v/>
      </c>
      <c r="D297" s="4" t="str">
        <f>IFERROR(__xludf.DUMMYFUNCTION("""COMPUTED_VALUE"""),"")</f>
        <v/>
      </c>
      <c r="E297" s="4" t="str">
        <f>IFERROR(__xludf.DUMMYFUNCTION("""COMPUTED_VALUE"""),"")</f>
        <v/>
      </c>
      <c r="F297" s="4" t="str">
        <f>IFERROR(__xludf.DUMMYFUNCTION("""COMPUTED_VALUE"""),"")</f>
        <v/>
      </c>
      <c r="G297" s="4" t="str">
        <f>IFERROR(__xludf.DUMMYFUNCTION("""COMPUTED_VALUE"""),"")</f>
        <v/>
      </c>
      <c r="H297" s="4" t="str">
        <f>IFERROR(__xludf.DUMMYFUNCTION("""COMPUTED_VALUE"""),"")</f>
        <v/>
      </c>
      <c r="I297" s="4" t="str">
        <f>IFERROR(__xludf.DUMMYFUNCTION("""COMPUTED_VALUE"""),"")</f>
        <v/>
      </c>
      <c r="J297" s="4" t="str">
        <f>IFERROR(__xludf.DUMMYFUNCTION("""COMPUTED_VALUE"""),"")</f>
        <v/>
      </c>
      <c r="K297" s="4" t="str">
        <f>IFERROR(__xludf.DUMMYFUNCTION("""COMPUTED_VALUE"""),"")</f>
        <v/>
      </c>
    </row>
    <row r="298">
      <c r="A298" s="4" t="str">
        <f>IFERROR(__xludf.DUMMYFUNCTION("""COMPUTED_VALUE"""),"")</f>
        <v/>
      </c>
      <c r="B298" s="4" t="str">
        <f>IFERROR(__xludf.DUMMYFUNCTION("""COMPUTED_VALUE"""),"")</f>
        <v/>
      </c>
      <c r="C298" s="4" t="str">
        <f>IFERROR(__xludf.DUMMYFUNCTION("""COMPUTED_VALUE"""),"")</f>
        <v/>
      </c>
      <c r="D298" s="4" t="str">
        <f>IFERROR(__xludf.DUMMYFUNCTION("""COMPUTED_VALUE"""),"")</f>
        <v/>
      </c>
      <c r="E298" s="4" t="str">
        <f>IFERROR(__xludf.DUMMYFUNCTION("""COMPUTED_VALUE"""),"")</f>
        <v/>
      </c>
      <c r="F298" s="4" t="str">
        <f>IFERROR(__xludf.DUMMYFUNCTION("""COMPUTED_VALUE"""),"")</f>
        <v/>
      </c>
      <c r="G298" s="4" t="str">
        <f>IFERROR(__xludf.DUMMYFUNCTION("""COMPUTED_VALUE"""),"")</f>
        <v/>
      </c>
      <c r="H298" s="4" t="str">
        <f>IFERROR(__xludf.DUMMYFUNCTION("""COMPUTED_VALUE"""),"")</f>
        <v/>
      </c>
      <c r="I298" s="4" t="str">
        <f>IFERROR(__xludf.DUMMYFUNCTION("""COMPUTED_VALUE"""),"")</f>
        <v/>
      </c>
      <c r="J298" s="4" t="str">
        <f>IFERROR(__xludf.DUMMYFUNCTION("""COMPUTED_VALUE"""),"")</f>
        <v/>
      </c>
      <c r="K298" s="4" t="str">
        <f>IFERROR(__xludf.DUMMYFUNCTION("""COMPUTED_VALUE"""),"")</f>
        <v/>
      </c>
    </row>
    <row r="299">
      <c r="A299" s="4" t="str">
        <f>IFERROR(__xludf.DUMMYFUNCTION("""COMPUTED_VALUE"""),"")</f>
        <v/>
      </c>
      <c r="B299" s="4" t="str">
        <f>IFERROR(__xludf.DUMMYFUNCTION("""COMPUTED_VALUE"""),"")</f>
        <v/>
      </c>
      <c r="C299" s="4" t="str">
        <f>IFERROR(__xludf.DUMMYFUNCTION("""COMPUTED_VALUE"""),"")</f>
        <v/>
      </c>
      <c r="D299" s="4" t="str">
        <f>IFERROR(__xludf.DUMMYFUNCTION("""COMPUTED_VALUE"""),"")</f>
        <v/>
      </c>
      <c r="E299" s="4" t="str">
        <f>IFERROR(__xludf.DUMMYFUNCTION("""COMPUTED_VALUE"""),"")</f>
        <v/>
      </c>
      <c r="F299" s="4" t="str">
        <f>IFERROR(__xludf.DUMMYFUNCTION("""COMPUTED_VALUE"""),"")</f>
        <v/>
      </c>
      <c r="G299" s="4" t="str">
        <f>IFERROR(__xludf.DUMMYFUNCTION("""COMPUTED_VALUE"""),"")</f>
        <v/>
      </c>
      <c r="H299" s="4" t="str">
        <f>IFERROR(__xludf.DUMMYFUNCTION("""COMPUTED_VALUE"""),"")</f>
        <v/>
      </c>
      <c r="I299" s="4" t="str">
        <f>IFERROR(__xludf.DUMMYFUNCTION("""COMPUTED_VALUE"""),"")</f>
        <v/>
      </c>
      <c r="J299" s="4" t="str">
        <f>IFERROR(__xludf.DUMMYFUNCTION("""COMPUTED_VALUE"""),"")</f>
        <v/>
      </c>
      <c r="K299" s="4" t="str">
        <f>IFERROR(__xludf.DUMMYFUNCTION("""COMPUTED_VALUE"""),"")</f>
        <v/>
      </c>
    </row>
    <row r="300">
      <c r="A300" s="4" t="str">
        <f>IFERROR(__xludf.DUMMYFUNCTION("""COMPUTED_VALUE"""),"")</f>
        <v/>
      </c>
      <c r="B300" s="4" t="str">
        <f>IFERROR(__xludf.DUMMYFUNCTION("""COMPUTED_VALUE"""),"")</f>
        <v/>
      </c>
      <c r="C300" s="4" t="str">
        <f>IFERROR(__xludf.DUMMYFUNCTION("""COMPUTED_VALUE"""),"")</f>
        <v/>
      </c>
      <c r="D300" s="4" t="str">
        <f>IFERROR(__xludf.DUMMYFUNCTION("""COMPUTED_VALUE"""),"")</f>
        <v/>
      </c>
      <c r="E300" s="4" t="str">
        <f>IFERROR(__xludf.DUMMYFUNCTION("""COMPUTED_VALUE"""),"")</f>
        <v/>
      </c>
      <c r="F300" s="4" t="str">
        <f>IFERROR(__xludf.DUMMYFUNCTION("""COMPUTED_VALUE"""),"")</f>
        <v/>
      </c>
      <c r="G300" s="4" t="str">
        <f>IFERROR(__xludf.DUMMYFUNCTION("""COMPUTED_VALUE"""),"")</f>
        <v/>
      </c>
      <c r="H300" s="4" t="str">
        <f>IFERROR(__xludf.DUMMYFUNCTION("""COMPUTED_VALUE"""),"")</f>
        <v/>
      </c>
      <c r="I300" s="4" t="str">
        <f>IFERROR(__xludf.DUMMYFUNCTION("""COMPUTED_VALUE"""),"")</f>
        <v/>
      </c>
      <c r="J300" s="4" t="str">
        <f>IFERROR(__xludf.DUMMYFUNCTION("""COMPUTED_VALUE"""),"")</f>
        <v/>
      </c>
      <c r="K300" s="4" t="str">
        <f>IFERROR(__xludf.DUMMYFUNCTION("""COMPUTED_VALUE"""),"")</f>
        <v/>
      </c>
    </row>
    <row r="301">
      <c r="A301" s="4" t="str">
        <f>IFERROR(__xludf.DUMMYFUNCTION("""COMPUTED_VALUE"""),"")</f>
        <v/>
      </c>
      <c r="B301" s="4" t="str">
        <f>IFERROR(__xludf.DUMMYFUNCTION("""COMPUTED_VALUE"""),"")</f>
        <v/>
      </c>
      <c r="C301" s="4" t="str">
        <f>IFERROR(__xludf.DUMMYFUNCTION("""COMPUTED_VALUE"""),"")</f>
        <v/>
      </c>
      <c r="D301" s="4" t="str">
        <f>IFERROR(__xludf.DUMMYFUNCTION("""COMPUTED_VALUE"""),"")</f>
        <v/>
      </c>
      <c r="E301" s="4" t="str">
        <f>IFERROR(__xludf.DUMMYFUNCTION("""COMPUTED_VALUE"""),"")</f>
        <v/>
      </c>
      <c r="F301" s="4" t="str">
        <f>IFERROR(__xludf.DUMMYFUNCTION("""COMPUTED_VALUE"""),"")</f>
        <v/>
      </c>
      <c r="G301" s="4" t="str">
        <f>IFERROR(__xludf.DUMMYFUNCTION("""COMPUTED_VALUE"""),"")</f>
        <v/>
      </c>
      <c r="H301" s="4" t="str">
        <f>IFERROR(__xludf.DUMMYFUNCTION("""COMPUTED_VALUE"""),"")</f>
        <v/>
      </c>
      <c r="I301" s="4" t="str">
        <f>IFERROR(__xludf.DUMMYFUNCTION("""COMPUTED_VALUE"""),"")</f>
        <v/>
      </c>
      <c r="J301" s="4" t="str">
        <f>IFERROR(__xludf.DUMMYFUNCTION("""COMPUTED_VALUE"""),"")</f>
        <v/>
      </c>
      <c r="K301" s="4" t="str">
        <f>IFERROR(__xludf.DUMMYFUNCTION("""COMPUTED_VALUE"""),"")</f>
        <v/>
      </c>
    </row>
    <row r="302">
      <c r="A302" s="4" t="str">
        <f>IFERROR(__xludf.DUMMYFUNCTION("""COMPUTED_VALUE"""),"")</f>
        <v/>
      </c>
      <c r="B302" s="4" t="str">
        <f>IFERROR(__xludf.DUMMYFUNCTION("""COMPUTED_VALUE"""),"")</f>
        <v/>
      </c>
      <c r="C302" s="4" t="str">
        <f>IFERROR(__xludf.DUMMYFUNCTION("""COMPUTED_VALUE"""),"")</f>
        <v/>
      </c>
      <c r="D302" s="4" t="str">
        <f>IFERROR(__xludf.DUMMYFUNCTION("""COMPUTED_VALUE"""),"")</f>
        <v/>
      </c>
      <c r="E302" s="4" t="str">
        <f>IFERROR(__xludf.DUMMYFUNCTION("""COMPUTED_VALUE"""),"")</f>
        <v/>
      </c>
      <c r="F302" s="4" t="str">
        <f>IFERROR(__xludf.DUMMYFUNCTION("""COMPUTED_VALUE"""),"")</f>
        <v/>
      </c>
      <c r="G302" s="4" t="str">
        <f>IFERROR(__xludf.DUMMYFUNCTION("""COMPUTED_VALUE"""),"")</f>
        <v/>
      </c>
      <c r="H302" s="4" t="str">
        <f>IFERROR(__xludf.DUMMYFUNCTION("""COMPUTED_VALUE"""),"")</f>
        <v/>
      </c>
      <c r="I302" s="4" t="str">
        <f>IFERROR(__xludf.DUMMYFUNCTION("""COMPUTED_VALUE"""),"")</f>
        <v/>
      </c>
      <c r="J302" s="4" t="str">
        <f>IFERROR(__xludf.DUMMYFUNCTION("""COMPUTED_VALUE"""),"")</f>
        <v/>
      </c>
      <c r="K302" s="4" t="str">
        <f>IFERROR(__xludf.DUMMYFUNCTION("""COMPUTED_VALUE"""),"")</f>
        <v/>
      </c>
    </row>
    <row r="303">
      <c r="A303" s="4" t="str">
        <f>IFERROR(__xludf.DUMMYFUNCTION("""COMPUTED_VALUE"""),"")</f>
        <v/>
      </c>
      <c r="B303" s="4" t="str">
        <f>IFERROR(__xludf.DUMMYFUNCTION("""COMPUTED_VALUE"""),"")</f>
        <v/>
      </c>
      <c r="C303" s="4" t="str">
        <f>IFERROR(__xludf.DUMMYFUNCTION("""COMPUTED_VALUE"""),"")</f>
        <v/>
      </c>
      <c r="D303" s="4" t="str">
        <f>IFERROR(__xludf.DUMMYFUNCTION("""COMPUTED_VALUE"""),"")</f>
        <v/>
      </c>
      <c r="E303" s="4" t="str">
        <f>IFERROR(__xludf.DUMMYFUNCTION("""COMPUTED_VALUE"""),"")</f>
        <v/>
      </c>
      <c r="F303" s="4" t="str">
        <f>IFERROR(__xludf.DUMMYFUNCTION("""COMPUTED_VALUE"""),"")</f>
        <v/>
      </c>
      <c r="G303" s="4" t="str">
        <f>IFERROR(__xludf.DUMMYFUNCTION("""COMPUTED_VALUE"""),"")</f>
        <v/>
      </c>
      <c r="H303" s="4" t="str">
        <f>IFERROR(__xludf.DUMMYFUNCTION("""COMPUTED_VALUE"""),"")</f>
        <v/>
      </c>
      <c r="I303" s="4" t="str">
        <f>IFERROR(__xludf.DUMMYFUNCTION("""COMPUTED_VALUE"""),"")</f>
        <v/>
      </c>
      <c r="J303" s="4" t="str">
        <f>IFERROR(__xludf.DUMMYFUNCTION("""COMPUTED_VALUE"""),"")</f>
        <v/>
      </c>
      <c r="K303" s="4" t="str">
        <f>IFERROR(__xludf.DUMMYFUNCTION("""COMPUTED_VALUE"""),"")</f>
        <v/>
      </c>
    </row>
    <row r="304">
      <c r="A304" s="4" t="str">
        <f>IFERROR(__xludf.DUMMYFUNCTION("""COMPUTED_VALUE"""),"")</f>
        <v/>
      </c>
      <c r="B304" s="4" t="str">
        <f>IFERROR(__xludf.DUMMYFUNCTION("""COMPUTED_VALUE"""),"")</f>
        <v/>
      </c>
      <c r="C304" s="4" t="str">
        <f>IFERROR(__xludf.DUMMYFUNCTION("""COMPUTED_VALUE"""),"")</f>
        <v/>
      </c>
      <c r="D304" s="4" t="str">
        <f>IFERROR(__xludf.DUMMYFUNCTION("""COMPUTED_VALUE"""),"")</f>
        <v/>
      </c>
      <c r="E304" s="4" t="str">
        <f>IFERROR(__xludf.DUMMYFUNCTION("""COMPUTED_VALUE"""),"")</f>
        <v/>
      </c>
      <c r="F304" s="4" t="str">
        <f>IFERROR(__xludf.DUMMYFUNCTION("""COMPUTED_VALUE"""),"")</f>
        <v/>
      </c>
      <c r="G304" s="4" t="str">
        <f>IFERROR(__xludf.DUMMYFUNCTION("""COMPUTED_VALUE"""),"")</f>
        <v/>
      </c>
      <c r="H304" s="4" t="str">
        <f>IFERROR(__xludf.DUMMYFUNCTION("""COMPUTED_VALUE"""),"")</f>
        <v/>
      </c>
      <c r="I304" s="4" t="str">
        <f>IFERROR(__xludf.DUMMYFUNCTION("""COMPUTED_VALUE"""),"")</f>
        <v/>
      </c>
      <c r="J304" s="4" t="str">
        <f>IFERROR(__xludf.DUMMYFUNCTION("""COMPUTED_VALUE"""),"")</f>
        <v/>
      </c>
      <c r="K304" s="4" t="str">
        <f>IFERROR(__xludf.DUMMYFUNCTION("""COMPUTED_VALUE"""),"")</f>
        <v/>
      </c>
    </row>
    <row r="305">
      <c r="A305" s="4" t="str">
        <f>IFERROR(__xludf.DUMMYFUNCTION("""COMPUTED_VALUE"""),"")</f>
        <v/>
      </c>
      <c r="B305" s="4" t="str">
        <f>IFERROR(__xludf.DUMMYFUNCTION("""COMPUTED_VALUE"""),"")</f>
        <v/>
      </c>
      <c r="C305" s="4" t="str">
        <f>IFERROR(__xludf.DUMMYFUNCTION("""COMPUTED_VALUE"""),"")</f>
        <v/>
      </c>
      <c r="D305" s="4" t="str">
        <f>IFERROR(__xludf.DUMMYFUNCTION("""COMPUTED_VALUE"""),"")</f>
        <v/>
      </c>
      <c r="E305" s="4" t="str">
        <f>IFERROR(__xludf.DUMMYFUNCTION("""COMPUTED_VALUE"""),"")</f>
        <v/>
      </c>
      <c r="F305" s="4" t="str">
        <f>IFERROR(__xludf.DUMMYFUNCTION("""COMPUTED_VALUE"""),"")</f>
        <v/>
      </c>
      <c r="G305" s="4" t="str">
        <f>IFERROR(__xludf.DUMMYFUNCTION("""COMPUTED_VALUE"""),"")</f>
        <v/>
      </c>
      <c r="H305" s="4" t="str">
        <f>IFERROR(__xludf.DUMMYFUNCTION("""COMPUTED_VALUE"""),"")</f>
        <v/>
      </c>
      <c r="I305" s="4" t="str">
        <f>IFERROR(__xludf.DUMMYFUNCTION("""COMPUTED_VALUE"""),"")</f>
        <v/>
      </c>
      <c r="J305" s="4" t="str">
        <f>IFERROR(__xludf.DUMMYFUNCTION("""COMPUTED_VALUE"""),"")</f>
        <v/>
      </c>
      <c r="K305" s="4" t="str">
        <f>IFERROR(__xludf.DUMMYFUNCTION("""COMPUTED_VALUE"""),"")</f>
        <v/>
      </c>
    </row>
    <row r="306">
      <c r="A306" s="4" t="str">
        <f>IFERROR(__xludf.DUMMYFUNCTION("""COMPUTED_VALUE"""),"")</f>
        <v/>
      </c>
      <c r="B306" s="4" t="str">
        <f>IFERROR(__xludf.DUMMYFUNCTION("""COMPUTED_VALUE"""),"")</f>
        <v/>
      </c>
      <c r="C306" s="4" t="str">
        <f>IFERROR(__xludf.DUMMYFUNCTION("""COMPUTED_VALUE"""),"")</f>
        <v/>
      </c>
      <c r="D306" s="4" t="str">
        <f>IFERROR(__xludf.DUMMYFUNCTION("""COMPUTED_VALUE"""),"")</f>
        <v/>
      </c>
      <c r="E306" s="4" t="str">
        <f>IFERROR(__xludf.DUMMYFUNCTION("""COMPUTED_VALUE"""),"")</f>
        <v/>
      </c>
      <c r="F306" s="4" t="str">
        <f>IFERROR(__xludf.DUMMYFUNCTION("""COMPUTED_VALUE"""),"")</f>
        <v/>
      </c>
      <c r="G306" s="4" t="str">
        <f>IFERROR(__xludf.DUMMYFUNCTION("""COMPUTED_VALUE"""),"")</f>
        <v/>
      </c>
      <c r="H306" s="4" t="str">
        <f>IFERROR(__xludf.DUMMYFUNCTION("""COMPUTED_VALUE"""),"")</f>
        <v/>
      </c>
      <c r="I306" s="4" t="str">
        <f>IFERROR(__xludf.DUMMYFUNCTION("""COMPUTED_VALUE"""),"")</f>
        <v/>
      </c>
      <c r="J306" s="4" t="str">
        <f>IFERROR(__xludf.DUMMYFUNCTION("""COMPUTED_VALUE"""),"")</f>
        <v/>
      </c>
      <c r="K306" s="4" t="str">
        <f>IFERROR(__xludf.DUMMYFUNCTION("""COMPUTED_VALUE"""),"")</f>
        <v/>
      </c>
    </row>
    <row r="307">
      <c r="A307" s="4" t="str">
        <f>IFERROR(__xludf.DUMMYFUNCTION("""COMPUTED_VALUE"""),"")</f>
        <v/>
      </c>
      <c r="B307" s="4" t="str">
        <f>IFERROR(__xludf.DUMMYFUNCTION("""COMPUTED_VALUE"""),"")</f>
        <v/>
      </c>
      <c r="C307" s="4" t="str">
        <f>IFERROR(__xludf.DUMMYFUNCTION("""COMPUTED_VALUE"""),"")</f>
        <v/>
      </c>
      <c r="D307" s="4" t="str">
        <f>IFERROR(__xludf.DUMMYFUNCTION("""COMPUTED_VALUE"""),"")</f>
        <v/>
      </c>
      <c r="E307" s="4" t="str">
        <f>IFERROR(__xludf.DUMMYFUNCTION("""COMPUTED_VALUE"""),"")</f>
        <v/>
      </c>
      <c r="F307" s="4" t="str">
        <f>IFERROR(__xludf.DUMMYFUNCTION("""COMPUTED_VALUE"""),"")</f>
        <v/>
      </c>
      <c r="G307" s="4" t="str">
        <f>IFERROR(__xludf.DUMMYFUNCTION("""COMPUTED_VALUE"""),"")</f>
        <v/>
      </c>
      <c r="H307" s="4" t="str">
        <f>IFERROR(__xludf.DUMMYFUNCTION("""COMPUTED_VALUE"""),"")</f>
        <v/>
      </c>
      <c r="I307" s="4" t="str">
        <f>IFERROR(__xludf.DUMMYFUNCTION("""COMPUTED_VALUE"""),"")</f>
        <v/>
      </c>
      <c r="J307" s="4" t="str">
        <f>IFERROR(__xludf.DUMMYFUNCTION("""COMPUTED_VALUE"""),"")</f>
        <v/>
      </c>
      <c r="K307" s="4" t="str">
        <f>IFERROR(__xludf.DUMMYFUNCTION("""COMPUTED_VALUE"""),"")</f>
        <v/>
      </c>
    </row>
    <row r="308">
      <c r="A308" s="4" t="str">
        <f>IFERROR(__xludf.DUMMYFUNCTION("""COMPUTED_VALUE"""),"")</f>
        <v/>
      </c>
      <c r="B308" s="4" t="str">
        <f>IFERROR(__xludf.DUMMYFUNCTION("""COMPUTED_VALUE"""),"")</f>
        <v/>
      </c>
      <c r="C308" s="4" t="str">
        <f>IFERROR(__xludf.DUMMYFUNCTION("""COMPUTED_VALUE"""),"")</f>
        <v/>
      </c>
      <c r="D308" s="4" t="str">
        <f>IFERROR(__xludf.DUMMYFUNCTION("""COMPUTED_VALUE"""),"")</f>
        <v/>
      </c>
      <c r="E308" s="4" t="str">
        <f>IFERROR(__xludf.DUMMYFUNCTION("""COMPUTED_VALUE"""),"")</f>
        <v/>
      </c>
      <c r="F308" s="4" t="str">
        <f>IFERROR(__xludf.DUMMYFUNCTION("""COMPUTED_VALUE"""),"")</f>
        <v/>
      </c>
      <c r="G308" s="4" t="str">
        <f>IFERROR(__xludf.DUMMYFUNCTION("""COMPUTED_VALUE"""),"")</f>
        <v/>
      </c>
      <c r="H308" s="4" t="str">
        <f>IFERROR(__xludf.DUMMYFUNCTION("""COMPUTED_VALUE"""),"")</f>
        <v/>
      </c>
      <c r="I308" s="4" t="str">
        <f>IFERROR(__xludf.DUMMYFUNCTION("""COMPUTED_VALUE"""),"")</f>
        <v/>
      </c>
      <c r="J308" s="4" t="str">
        <f>IFERROR(__xludf.DUMMYFUNCTION("""COMPUTED_VALUE"""),"")</f>
        <v/>
      </c>
      <c r="K308" s="4" t="str">
        <f>IFERROR(__xludf.DUMMYFUNCTION("""COMPUTED_VALUE"""),"")</f>
        <v/>
      </c>
    </row>
    <row r="309">
      <c r="A309" s="4" t="str">
        <f>IFERROR(__xludf.DUMMYFUNCTION("""COMPUTED_VALUE"""),"")</f>
        <v/>
      </c>
      <c r="B309" s="4" t="str">
        <f>IFERROR(__xludf.DUMMYFUNCTION("""COMPUTED_VALUE"""),"")</f>
        <v/>
      </c>
      <c r="C309" s="4" t="str">
        <f>IFERROR(__xludf.DUMMYFUNCTION("""COMPUTED_VALUE"""),"")</f>
        <v/>
      </c>
      <c r="D309" s="4" t="str">
        <f>IFERROR(__xludf.DUMMYFUNCTION("""COMPUTED_VALUE"""),"")</f>
        <v/>
      </c>
      <c r="E309" s="4" t="str">
        <f>IFERROR(__xludf.DUMMYFUNCTION("""COMPUTED_VALUE"""),"")</f>
        <v/>
      </c>
      <c r="F309" s="4" t="str">
        <f>IFERROR(__xludf.DUMMYFUNCTION("""COMPUTED_VALUE"""),"")</f>
        <v/>
      </c>
      <c r="G309" s="4" t="str">
        <f>IFERROR(__xludf.DUMMYFUNCTION("""COMPUTED_VALUE"""),"")</f>
        <v/>
      </c>
      <c r="H309" s="4" t="str">
        <f>IFERROR(__xludf.DUMMYFUNCTION("""COMPUTED_VALUE"""),"")</f>
        <v/>
      </c>
      <c r="I309" s="4" t="str">
        <f>IFERROR(__xludf.DUMMYFUNCTION("""COMPUTED_VALUE"""),"")</f>
        <v/>
      </c>
      <c r="J309" s="4" t="str">
        <f>IFERROR(__xludf.DUMMYFUNCTION("""COMPUTED_VALUE"""),"")</f>
        <v/>
      </c>
      <c r="K309" s="4" t="str">
        <f>IFERROR(__xludf.DUMMYFUNCTION("""COMPUTED_VALUE"""),"")</f>
        <v/>
      </c>
    </row>
    <row r="310">
      <c r="A310" s="4" t="str">
        <f>IFERROR(__xludf.DUMMYFUNCTION("""COMPUTED_VALUE"""),"")</f>
        <v/>
      </c>
      <c r="B310" s="4" t="str">
        <f>IFERROR(__xludf.DUMMYFUNCTION("""COMPUTED_VALUE"""),"")</f>
        <v/>
      </c>
      <c r="C310" s="4" t="str">
        <f>IFERROR(__xludf.DUMMYFUNCTION("""COMPUTED_VALUE"""),"")</f>
        <v/>
      </c>
      <c r="D310" s="4" t="str">
        <f>IFERROR(__xludf.DUMMYFUNCTION("""COMPUTED_VALUE"""),"")</f>
        <v/>
      </c>
      <c r="E310" s="4" t="str">
        <f>IFERROR(__xludf.DUMMYFUNCTION("""COMPUTED_VALUE"""),"")</f>
        <v/>
      </c>
      <c r="F310" s="4" t="str">
        <f>IFERROR(__xludf.DUMMYFUNCTION("""COMPUTED_VALUE"""),"")</f>
        <v/>
      </c>
      <c r="G310" s="4" t="str">
        <f>IFERROR(__xludf.DUMMYFUNCTION("""COMPUTED_VALUE"""),"")</f>
        <v/>
      </c>
      <c r="H310" s="4" t="str">
        <f>IFERROR(__xludf.DUMMYFUNCTION("""COMPUTED_VALUE"""),"")</f>
        <v/>
      </c>
      <c r="I310" s="4" t="str">
        <f>IFERROR(__xludf.DUMMYFUNCTION("""COMPUTED_VALUE"""),"")</f>
        <v/>
      </c>
      <c r="J310" s="4" t="str">
        <f>IFERROR(__xludf.DUMMYFUNCTION("""COMPUTED_VALUE"""),"")</f>
        <v/>
      </c>
      <c r="K310" s="4" t="str">
        <f>IFERROR(__xludf.DUMMYFUNCTION("""COMPUTED_VALUE"""),"")</f>
        <v/>
      </c>
    </row>
    <row r="311">
      <c r="A311" s="4" t="str">
        <f>IFERROR(__xludf.DUMMYFUNCTION("""COMPUTED_VALUE"""),"")</f>
        <v/>
      </c>
      <c r="B311" s="4" t="str">
        <f>IFERROR(__xludf.DUMMYFUNCTION("""COMPUTED_VALUE"""),"")</f>
        <v/>
      </c>
      <c r="C311" s="4" t="str">
        <f>IFERROR(__xludf.DUMMYFUNCTION("""COMPUTED_VALUE"""),"")</f>
        <v/>
      </c>
      <c r="D311" s="4" t="str">
        <f>IFERROR(__xludf.DUMMYFUNCTION("""COMPUTED_VALUE"""),"")</f>
        <v/>
      </c>
      <c r="E311" s="4" t="str">
        <f>IFERROR(__xludf.DUMMYFUNCTION("""COMPUTED_VALUE"""),"")</f>
        <v/>
      </c>
      <c r="F311" s="4" t="str">
        <f>IFERROR(__xludf.DUMMYFUNCTION("""COMPUTED_VALUE"""),"")</f>
        <v/>
      </c>
      <c r="G311" s="4" t="str">
        <f>IFERROR(__xludf.DUMMYFUNCTION("""COMPUTED_VALUE"""),"")</f>
        <v/>
      </c>
      <c r="H311" s="4" t="str">
        <f>IFERROR(__xludf.DUMMYFUNCTION("""COMPUTED_VALUE"""),"")</f>
        <v/>
      </c>
      <c r="I311" s="4" t="str">
        <f>IFERROR(__xludf.DUMMYFUNCTION("""COMPUTED_VALUE"""),"")</f>
        <v/>
      </c>
      <c r="J311" s="4" t="str">
        <f>IFERROR(__xludf.DUMMYFUNCTION("""COMPUTED_VALUE"""),"")</f>
        <v/>
      </c>
      <c r="K311" s="4" t="str">
        <f>IFERROR(__xludf.DUMMYFUNCTION("""COMPUTED_VALUE"""),"")</f>
        <v/>
      </c>
    </row>
    <row r="312">
      <c r="A312" s="4" t="str">
        <f>IFERROR(__xludf.DUMMYFUNCTION("""COMPUTED_VALUE"""),"")</f>
        <v/>
      </c>
      <c r="B312" s="4" t="str">
        <f>IFERROR(__xludf.DUMMYFUNCTION("""COMPUTED_VALUE"""),"")</f>
        <v/>
      </c>
      <c r="C312" s="4" t="str">
        <f>IFERROR(__xludf.DUMMYFUNCTION("""COMPUTED_VALUE"""),"")</f>
        <v/>
      </c>
      <c r="D312" s="4" t="str">
        <f>IFERROR(__xludf.DUMMYFUNCTION("""COMPUTED_VALUE"""),"")</f>
        <v/>
      </c>
      <c r="E312" s="4" t="str">
        <f>IFERROR(__xludf.DUMMYFUNCTION("""COMPUTED_VALUE"""),"")</f>
        <v/>
      </c>
      <c r="F312" s="4" t="str">
        <f>IFERROR(__xludf.DUMMYFUNCTION("""COMPUTED_VALUE"""),"")</f>
        <v/>
      </c>
      <c r="G312" s="4" t="str">
        <f>IFERROR(__xludf.DUMMYFUNCTION("""COMPUTED_VALUE"""),"")</f>
        <v/>
      </c>
      <c r="H312" s="4" t="str">
        <f>IFERROR(__xludf.DUMMYFUNCTION("""COMPUTED_VALUE"""),"")</f>
        <v/>
      </c>
      <c r="I312" s="4" t="str">
        <f>IFERROR(__xludf.DUMMYFUNCTION("""COMPUTED_VALUE"""),"")</f>
        <v/>
      </c>
      <c r="J312" s="4" t="str">
        <f>IFERROR(__xludf.DUMMYFUNCTION("""COMPUTED_VALUE"""),"")</f>
        <v/>
      </c>
      <c r="K312" s="4" t="str">
        <f>IFERROR(__xludf.DUMMYFUNCTION("""COMPUTED_VALUE"""),"")</f>
        <v/>
      </c>
    </row>
    <row r="313">
      <c r="A313" s="4" t="str">
        <f>IFERROR(__xludf.DUMMYFUNCTION("""COMPUTED_VALUE"""),"")</f>
        <v/>
      </c>
      <c r="B313" s="4" t="str">
        <f>IFERROR(__xludf.DUMMYFUNCTION("""COMPUTED_VALUE"""),"")</f>
        <v/>
      </c>
      <c r="C313" s="4" t="str">
        <f>IFERROR(__xludf.DUMMYFUNCTION("""COMPUTED_VALUE"""),"")</f>
        <v/>
      </c>
      <c r="D313" s="4" t="str">
        <f>IFERROR(__xludf.DUMMYFUNCTION("""COMPUTED_VALUE"""),"")</f>
        <v/>
      </c>
      <c r="E313" s="4" t="str">
        <f>IFERROR(__xludf.DUMMYFUNCTION("""COMPUTED_VALUE"""),"")</f>
        <v/>
      </c>
      <c r="F313" s="4" t="str">
        <f>IFERROR(__xludf.DUMMYFUNCTION("""COMPUTED_VALUE"""),"")</f>
        <v/>
      </c>
      <c r="G313" s="4" t="str">
        <f>IFERROR(__xludf.DUMMYFUNCTION("""COMPUTED_VALUE"""),"")</f>
        <v/>
      </c>
      <c r="H313" s="4" t="str">
        <f>IFERROR(__xludf.DUMMYFUNCTION("""COMPUTED_VALUE"""),"")</f>
        <v/>
      </c>
      <c r="I313" s="4" t="str">
        <f>IFERROR(__xludf.DUMMYFUNCTION("""COMPUTED_VALUE"""),"")</f>
        <v/>
      </c>
      <c r="J313" s="4" t="str">
        <f>IFERROR(__xludf.DUMMYFUNCTION("""COMPUTED_VALUE"""),"")</f>
        <v/>
      </c>
      <c r="K313" s="4" t="str">
        <f>IFERROR(__xludf.DUMMYFUNCTION("""COMPUTED_VALUE"""),"")</f>
        <v/>
      </c>
    </row>
    <row r="314">
      <c r="A314" s="4" t="str">
        <f>IFERROR(__xludf.DUMMYFUNCTION("""COMPUTED_VALUE"""),"")</f>
        <v/>
      </c>
      <c r="B314" s="4" t="str">
        <f>IFERROR(__xludf.DUMMYFUNCTION("""COMPUTED_VALUE"""),"")</f>
        <v/>
      </c>
      <c r="C314" s="4" t="str">
        <f>IFERROR(__xludf.DUMMYFUNCTION("""COMPUTED_VALUE"""),"")</f>
        <v/>
      </c>
      <c r="D314" s="4" t="str">
        <f>IFERROR(__xludf.DUMMYFUNCTION("""COMPUTED_VALUE"""),"")</f>
        <v/>
      </c>
      <c r="E314" s="4" t="str">
        <f>IFERROR(__xludf.DUMMYFUNCTION("""COMPUTED_VALUE"""),"")</f>
        <v/>
      </c>
      <c r="F314" s="4" t="str">
        <f>IFERROR(__xludf.DUMMYFUNCTION("""COMPUTED_VALUE"""),"")</f>
        <v/>
      </c>
      <c r="G314" s="4" t="str">
        <f>IFERROR(__xludf.DUMMYFUNCTION("""COMPUTED_VALUE"""),"")</f>
        <v/>
      </c>
      <c r="H314" s="4" t="str">
        <f>IFERROR(__xludf.DUMMYFUNCTION("""COMPUTED_VALUE"""),"")</f>
        <v/>
      </c>
      <c r="I314" s="4" t="str">
        <f>IFERROR(__xludf.DUMMYFUNCTION("""COMPUTED_VALUE"""),"")</f>
        <v/>
      </c>
      <c r="J314" s="4" t="str">
        <f>IFERROR(__xludf.DUMMYFUNCTION("""COMPUTED_VALUE"""),"")</f>
        <v/>
      </c>
      <c r="K314" s="4" t="str">
        <f>IFERROR(__xludf.DUMMYFUNCTION("""COMPUTED_VALUE"""),"")</f>
        <v/>
      </c>
    </row>
    <row r="315">
      <c r="A315" s="4" t="str">
        <f>IFERROR(__xludf.DUMMYFUNCTION("""COMPUTED_VALUE"""),"")</f>
        <v/>
      </c>
      <c r="B315" s="4" t="str">
        <f>IFERROR(__xludf.DUMMYFUNCTION("""COMPUTED_VALUE"""),"")</f>
        <v/>
      </c>
      <c r="C315" s="4" t="str">
        <f>IFERROR(__xludf.DUMMYFUNCTION("""COMPUTED_VALUE"""),"")</f>
        <v/>
      </c>
      <c r="D315" s="4" t="str">
        <f>IFERROR(__xludf.DUMMYFUNCTION("""COMPUTED_VALUE"""),"")</f>
        <v/>
      </c>
      <c r="E315" s="4" t="str">
        <f>IFERROR(__xludf.DUMMYFUNCTION("""COMPUTED_VALUE"""),"")</f>
        <v/>
      </c>
      <c r="F315" s="4" t="str">
        <f>IFERROR(__xludf.DUMMYFUNCTION("""COMPUTED_VALUE"""),"")</f>
        <v/>
      </c>
      <c r="G315" s="4" t="str">
        <f>IFERROR(__xludf.DUMMYFUNCTION("""COMPUTED_VALUE"""),"")</f>
        <v/>
      </c>
      <c r="H315" s="4" t="str">
        <f>IFERROR(__xludf.DUMMYFUNCTION("""COMPUTED_VALUE"""),"")</f>
        <v/>
      </c>
      <c r="I315" s="4" t="str">
        <f>IFERROR(__xludf.DUMMYFUNCTION("""COMPUTED_VALUE"""),"")</f>
        <v/>
      </c>
      <c r="J315" s="4" t="str">
        <f>IFERROR(__xludf.DUMMYFUNCTION("""COMPUTED_VALUE"""),"")</f>
        <v/>
      </c>
      <c r="K315" s="4" t="str">
        <f>IFERROR(__xludf.DUMMYFUNCTION("""COMPUTED_VALUE"""),"")</f>
        <v/>
      </c>
    </row>
    <row r="316">
      <c r="A316" s="4" t="str">
        <f>IFERROR(__xludf.DUMMYFUNCTION("""COMPUTED_VALUE"""),"")</f>
        <v/>
      </c>
      <c r="B316" s="4" t="str">
        <f>IFERROR(__xludf.DUMMYFUNCTION("""COMPUTED_VALUE"""),"")</f>
        <v/>
      </c>
      <c r="C316" s="4" t="str">
        <f>IFERROR(__xludf.DUMMYFUNCTION("""COMPUTED_VALUE"""),"")</f>
        <v/>
      </c>
      <c r="D316" s="4" t="str">
        <f>IFERROR(__xludf.DUMMYFUNCTION("""COMPUTED_VALUE"""),"")</f>
        <v/>
      </c>
      <c r="E316" s="4" t="str">
        <f>IFERROR(__xludf.DUMMYFUNCTION("""COMPUTED_VALUE"""),"")</f>
        <v/>
      </c>
      <c r="F316" s="4" t="str">
        <f>IFERROR(__xludf.DUMMYFUNCTION("""COMPUTED_VALUE"""),"")</f>
        <v/>
      </c>
      <c r="G316" s="4" t="str">
        <f>IFERROR(__xludf.DUMMYFUNCTION("""COMPUTED_VALUE"""),"")</f>
        <v/>
      </c>
      <c r="H316" s="4" t="str">
        <f>IFERROR(__xludf.DUMMYFUNCTION("""COMPUTED_VALUE"""),"")</f>
        <v/>
      </c>
      <c r="I316" s="4" t="str">
        <f>IFERROR(__xludf.DUMMYFUNCTION("""COMPUTED_VALUE"""),"")</f>
        <v/>
      </c>
      <c r="J316" s="4" t="str">
        <f>IFERROR(__xludf.DUMMYFUNCTION("""COMPUTED_VALUE"""),"")</f>
        <v/>
      </c>
      <c r="K316" s="4" t="str">
        <f>IFERROR(__xludf.DUMMYFUNCTION("""COMPUTED_VALUE"""),"")</f>
        <v/>
      </c>
    </row>
    <row r="317">
      <c r="A317" s="4" t="str">
        <f>IFERROR(__xludf.DUMMYFUNCTION("""COMPUTED_VALUE"""),"")</f>
        <v/>
      </c>
      <c r="B317" s="4" t="str">
        <f>IFERROR(__xludf.DUMMYFUNCTION("""COMPUTED_VALUE"""),"")</f>
        <v/>
      </c>
      <c r="C317" s="4" t="str">
        <f>IFERROR(__xludf.DUMMYFUNCTION("""COMPUTED_VALUE"""),"")</f>
        <v/>
      </c>
      <c r="D317" s="4" t="str">
        <f>IFERROR(__xludf.DUMMYFUNCTION("""COMPUTED_VALUE"""),"")</f>
        <v/>
      </c>
      <c r="E317" s="4" t="str">
        <f>IFERROR(__xludf.DUMMYFUNCTION("""COMPUTED_VALUE"""),"")</f>
        <v/>
      </c>
      <c r="F317" s="4" t="str">
        <f>IFERROR(__xludf.DUMMYFUNCTION("""COMPUTED_VALUE"""),"")</f>
        <v/>
      </c>
      <c r="G317" s="4" t="str">
        <f>IFERROR(__xludf.DUMMYFUNCTION("""COMPUTED_VALUE"""),"")</f>
        <v/>
      </c>
      <c r="H317" s="4" t="str">
        <f>IFERROR(__xludf.DUMMYFUNCTION("""COMPUTED_VALUE"""),"")</f>
        <v/>
      </c>
      <c r="I317" s="4" t="str">
        <f>IFERROR(__xludf.DUMMYFUNCTION("""COMPUTED_VALUE"""),"")</f>
        <v/>
      </c>
      <c r="J317" s="4" t="str">
        <f>IFERROR(__xludf.DUMMYFUNCTION("""COMPUTED_VALUE"""),"")</f>
        <v/>
      </c>
      <c r="K317" s="4" t="str">
        <f>IFERROR(__xludf.DUMMYFUNCTION("""COMPUTED_VALUE"""),"")</f>
        <v/>
      </c>
    </row>
    <row r="318">
      <c r="A318" s="4" t="str">
        <f>IFERROR(__xludf.DUMMYFUNCTION("""COMPUTED_VALUE"""),"")</f>
        <v/>
      </c>
      <c r="B318" s="4" t="str">
        <f>IFERROR(__xludf.DUMMYFUNCTION("""COMPUTED_VALUE"""),"")</f>
        <v/>
      </c>
      <c r="C318" s="4" t="str">
        <f>IFERROR(__xludf.DUMMYFUNCTION("""COMPUTED_VALUE"""),"")</f>
        <v/>
      </c>
      <c r="D318" s="4" t="str">
        <f>IFERROR(__xludf.DUMMYFUNCTION("""COMPUTED_VALUE"""),"")</f>
        <v/>
      </c>
      <c r="E318" s="4" t="str">
        <f>IFERROR(__xludf.DUMMYFUNCTION("""COMPUTED_VALUE"""),"")</f>
        <v/>
      </c>
      <c r="F318" s="4" t="str">
        <f>IFERROR(__xludf.DUMMYFUNCTION("""COMPUTED_VALUE"""),"")</f>
        <v/>
      </c>
      <c r="G318" s="4" t="str">
        <f>IFERROR(__xludf.DUMMYFUNCTION("""COMPUTED_VALUE"""),"")</f>
        <v/>
      </c>
      <c r="H318" s="4" t="str">
        <f>IFERROR(__xludf.DUMMYFUNCTION("""COMPUTED_VALUE"""),"")</f>
        <v/>
      </c>
      <c r="I318" s="4" t="str">
        <f>IFERROR(__xludf.DUMMYFUNCTION("""COMPUTED_VALUE"""),"")</f>
        <v/>
      </c>
      <c r="J318" s="4" t="str">
        <f>IFERROR(__xludf.DUMMYFUNCTION("""COMPUTED_VALUE"""),"")</f>
        <v/>
      </c>
      <c r="K318" s="4" t="str">
        <f>IFERROR(__xludf.DUMMYFUNCTION("""COMPUTED_VALUE"""),"")</f>
        <v/>
      </c>
    </row>
    <row r="319">
      <c r="A319" s="4" t="str">
        <f>IFERROR(__xludf.DUMMYFUNCTION("""COMPUTED_VALUE"""),"")</f>
        <v/>
      </c>
      <c r="B319" s="4" t="str">
        <f>IFERROR(__xludf.DUMMYFUNCTION("""COMPUTED_VALUE"""),"")</f>
        <v/>
      </c>
      <c r="C319" s="4" t="str">
        <f>IFERROR(__xludf.DUMMYFUNCTION("""COMPUTED_VALUE"""),"")</f>
        <v/>
      </c>
      <c r="D319" s="4" t="str">
        <f>IFERROR(__xludf.DUMMYFUNCTION("""COMPUTED_VALUE"""),"")</f>
        <v/>
      </c>
      <c r="E319" s="4" t="str">
        <f>IFERROR(__xludf.DUMMYFUNCTION("""COMPUTED_VALUE"""),"")</f>
        <v/>
      </c>
      <c r="F319" s="4" t="str">
        <f>IFERROR(__xludf.DUMMYFUNCTION("""COMPUTED_VALUE"""),"")</f>
        <v/>
      </c>
      <c r="G319" s="4" t="str">
        <f>IFERROR(__xludf.DUMMYFUNCTION("""COMPUTED_VALUE"""),"")</f>
        <v/>
      </c>
      <c r="H319" s="4" t="str">
        <f>IFERROR(__xludf.DUMMYFUNCTION("""COMPUTED_VALUE"""),"")</f>
        <v/>
      </c>
      <c r="I319" s="4" t="str">
        <f>IFERROR(__xludf.DUMMYFUNCTION("""COMPUTED_VALUE"""),"")</f>
        <v/>
      </c>
      <c r="J319" s="4" t="str">
        <f>IFERROR(__xludf.DUMMYFUNCTION("""COMPUTED_VALUE"""),"")</f>
        <v/>
      </c>
      <c r="K319" s="4" t="str">
        <f>IFERROR(__xludf.DUMMYFUNCTION("""COMPUTED_VALUE"""),"")</f>
        <v/>
      </c>
    </row>
    <row r="320">
      <c r="A320" s="4" t="str">
        <f>IFERROR(__xludf.DUMMYFUNCTION("""COMPUTED_VALUE"""),"")</f>
        <v/>
      </c>
      <c r="B320" s="4" t="str">
        <f>IFERROR(__xludf.DUMMYFUNCTION("""COMPUTED_VALUE"""),"")</f>
        <v/>
      </c>
      <c r="C320" s="4" t="str">
        <f>IFERROR(__xludf.DUMMYFUNCTION("""COMPUTED_VALUE"""),"")</f>
        <v/>
      </c>
      <c r="D320" s="4" t="str">
        <f>IFERROR(__xludf.DUMMYFUNCTION("""COMPUTED_VALUE"""),"")</f>
        <v/>
      </c>
      <c r="E320" s="4" t="str">
        <f>IFERROR(__xludf.DUMMYFUNCTION("""COMPUTED_VALUE"""),"")</f>
        <v/>
      </c>
      <c r="F320" s="4" t="str">
        <f>IFERROR(__xludf.DUMMYFUNCTION("""COMPUTED_VALUE"""),"")</f>
        <v/>
      </c>
      <c r="G320" s="4" t="str">
        <f>IFERROR(__xludf.DUMMYFUNCTION("""COMPUTED_VALUE"""),"")</f>
        <v/>
      </c>
      <c r="H320" s="4" t="str">
        <f>IFERROR(__xludf.DUMMYFUNCTION("""COMPUTED_VALUE"""),"")</f>
        <v/>
      </c>
      <c r="I320" s="4" t="str">
        <f>IFERROR(__xludf.DUMMYFUNCTION("""COMPUTED_VALUE"""),"")</f>
        <v/>
      </c>
      <c r="J320" s="4" t="str">
        <f>IFERROR(__xludf.DUMMYFUNCTION("""COMPUTED_VALUE"""),"")</f>
        <v/>
      </c>
      <c r="K320" s="4" t="str">
        <f>IFERROR(__xludf.DUMMYFUNCTION("""COMPUTED_VALUE"""),"")</f>
        <v/>
      </c>
    </row>
    <row r="321">
      <c r="A321" s="4" t="str">
        <f>IFERROR(__xludf.DUMMYFUNCTION("""COMPUTED_VALUE"""),"")</f>
        <v/>
      </c>
      <c r="B321" s="4" t="str">
        <f>IFERROR(__xludf.DUMMYFUNCTION("""COMPUTED_VALUE"""),"")</f>
        <v/>
      </c>
      <c r="C321" s="4" t="str">
        <f>IFERROR(__xludf.DUMMYFUNCTION("""COMPUTED_VALUE"""),"")</f>
        <v/>
      </c>
      <c r="D321" s="4" t="str">
        <f>IFERROR(__xludf.DUMMYFUNCTION("""COMPUTED_VALUE"""),"")</f>
        <v/>
      </c>
      <c r="E321" s="4" t="str">
        <f>IFERROR(__xludf.DUMMYFUNCTION("""COMPUTED_VALUE"""),"")</f>
        <v/>
      </c>
      <c r="F321" s="4" t="str">
        <f>IFERROR(__xludf.DUMMYFUNCTION("""COMPUTED_VALUE"""),"")</f>
        <v/>
      </c>
      <c r="G321" s="4" t="str">
        <f>IFERROR(__xludf.DUMMYFUNCTION("""COMPUTED_VALUE"""),"")</f>
        <v/>
      </c>
      <c r="H321" s="4" t="str">
        <f>IFERROR(__xludf.DUMMYFUNCTION("""COMPUTED_VALUE"""),"")</f>
        <v/>
      </c>
      <c r="I321" s="4" t="str">
        <f>IFERROR(__xludf.DUMMYFUNCTION("""COMPUTED_VALUE"""),"")</f>
        <v/>
      </c>
      <c r="J321" s="4" t="str">
        <f>IFERROR(__xludf.DUMMYFUNCTION("""COMPUTED_VALUE"""),"")</f>
        <v/>
      </c>
      <c r="K321" s="4" t="str">
        <f>IFERROR(__xludf.DUMMYFUNCTION("""COMPUTED_VALUE"""),"")</f>
        <v/>
      </c>
    </row>
    <row r="322">
      <c r="A322" s="4" t="str">
        <f>IFERROR(__xludf.DUMMYFUNCTION("""COMPUTED_VALUE"""),"")</f>
        <v/>
      </c>
      <c r="B322" s="4" t="str">
        <f>IFERROR(__xludf.DUMMYFUNCTION("""COMPUTED_VALUE"""),"")</f>
        <v/>
      </c>
      <c r="C322" s="4" t="str">
        <f>IFERROR(__xludf.DUMMYFUNCTION("""COMPUTED_VALUE"""),"")</f>
        <v/>
      </c>
      <c r="D322" s="4" t="str">
        <f>IFERROR(__xludf.DUMMYFUNCTION("""COMPUTED_VALUE"""),"")</f>
        <v/>
      </c>
      <c r="E322" s="4" t="str">
        <f>IFERROR(__xludf.DUMMYFUNCTION("""COMPUTED_VALUE"""),"")</f>
        <v/>
      </c>
      <c r="F322" s="4" t="str">
        <f>IFERROR(__xludf.DUMMYFUNCTION("""COMPUTED_VALUE"""),"")</f>
        <v/>
      </c>
      <c r="G322" s="4" t="str">
        <f>IFERROR(__xludf.DUMMYFUNCTION("""COMPUTED_VALUE"""),"")</f>
        <v/>
      </c>
      <c r="H322" s="4" t="str">
        <f>IFERROR(__xludf.DUMMYFUNCTION("""COMPUTED_VALUE"""),"")</f>
        <v/>
      </c>
      <c r="I322" s="4" t="str">
        <f>IFERROR(__xludf.DUMMYFUNCTION("""COMPUTED_VALUE"""),"")</f>
        <v/>
      </c>
      <c r="J322" s="4" t="str">
        <f>IFERROR(__xludf.DUMMYFUNCTION("""COMPUTED_VALUE"""),"")</f>
        <v/>
      </c>
      <c r="K322" s="4" t="str">
        <f>IFERROR(__xludf.DUMMYFUNCTION("""COMPUTED_VALUE"""),"")</f>
        <v/>
      </c>
    </row>
    <row r="323">
      <c r="A323" s="4" t="str">
        <f>IFERROR(__xludf.DUMMYFUNCTION("""COMPUTED_VALUE"""),"")</f>
        <v/>
      </c>
      <c r="B323" s="4" t="str">
        <f>IFERROR(__xludf.DUMMYFUNCTION("""COMPUTED_VALUE"""),"")</f>
        <v/>
      </c>
      <c r="C323" s="4" t="str">
        <f>IFERROR(__xludf.DUMMYFUNCTION("""COMPUTED_VALUE"""),"")</f>
        <v/>
      </c>
      <c r="D323" s="4" t="str">
        <f>IFERROR(__xludf.DUMMYFUNCTION("""COMPUTED_VALUE"""),"")</f>
        <v/>
      </c>
      <c r="E323" s="4" t="str">
        <f>IFERROR(__xludf.DUMMYFUNCTION("""COMPUTED_VALUE"""),"")</f>
        <v/>
      </c>
      <c r="F323" s="4" t="str">
        <f>IFERROR(__xludf.DUMMYFUNCTION("""COMPUTED_VALUE"""),"")</f>
        <v/>
      </c>
      <c r="G323" s="4" t="str">
        <f>IFERROR(__xludf.DUMMYFUNCTION("""COMPUTED_VALUE"""),"")</f>
        <v/>
      </c>
      <c r="H323" s="4" t="str">
        <f>IFERROR(__xludf.DUMMYFUNCTION("""COMPUTED_VALUE"""),"")</f>
        <v/>
      </c>
      <c r="I323" s="4" t="str">
        <f>IFERROR(__xludf.DUMMYFUNCTION("""COMPUTED_VALUE"""),"")</f>
        <v/>
      </c>
      <c r="J323" s="4" t="str">
        <f>IFERROR(__xludf.DUMMYFUNCTION("""COMPUTED_VALUE"""),"")</f>
        <v/>
      </c>
      <c r="K323" s="4" t="str">
        <f>IFERROR(__xludf.DUMMYFUNCTION("""COMPUTED_VALUE"""),"")</f>
        <v/>
      </c>
    </row>
    <row r="324">
      <c r="A324" s="4" t="str">
        <f>IFERROR(__xludf.DUMMYFUNCTION("""COMPUTED_VALUE"""),"")</f>
        <v/>
      </c>
      <c r="B324" s="4" t="str">
        <f>IFERROR(__xludf.DUMMYFUNCTION("""COMPUTED_VALUE"""),"")</f>
        <v/>
      </c>
      <c r="C324" s="4" t="str">
        <f>IFERROR(__xludf.DUMMYFUNCTION("""COMPUTED_VALUE"""),"")</f>
        <v/>
      </c>
      <c r="D324" s="4" t="str">
        <f>IFERROR(__xludf.DUMMYFUNCTION("""COMPUTED_VALUE"""),"")</f>
        <v/>
      </c>
      <c r="E324" s="4" t="str">
        <f>IFERROR(__xludf.DUMMYFUNCTION("""COMPUTED_VALUE"""),"")</f>
        <v/>
      </c>
      <c r="F324" s="4" t="str">
        <f>IFERROR(__xludf.DUMMYFUNCTION("""COMPUTED_VALUE"""),"")</f>
        <v/>
      </c>
      <c r="G324" s="4" t="str">
        <f>IFERROR(__xludf.DUMMYFUNCTION("""COMPUTED_VALUE"""),"")</f>
        <v/>
      </c>
      <c r="H324" s="4" t="str">
        <f>IFERROR(__xludf.DUMMYFUNCTION("""COMPUTED_VALUE"""),"")</f>
        <v/>
      </c>
      <c r="I324" s="4" t="str">
        <f>IFERROR(__xludf.DUMMYFUNCTION("""COMPUTED_VALUE"""),"")</f>
        <v/>
      </c>
      <c r="J324" s="4" t="str">
        <f>IFERROR(__xludf.DUMMYFUNCTION("""COMPUTED_VALUE"""),"")</f>
        <v/>
      </c>
      <c r="K324" s="4" t="str">
        <f>IFERROR(__xludf.DUMMYFUNCTION("""COMPUTED_VALUE"""),"")</f>
        <v/>
      </c>
    </row>
    <row r="325">
      <c r="A325" s="4" t="str">
        <f>IFERROR(__xludf.DUMMYFUNCTION("""COMPUTED_VALUE"""),"")</f>
        <v/>
      </c>
      <c r="B325" s="4" t="str">
        <f>IFERROR(__xludf.DUMMYFUNCTION("""COMPUTED_VALUE"""),"")</f>
        <v/>
      </c>
      <c r="C325" s="4" t="str">
        <f>IFERROR(__xludf.DUMMYFUNCTION("""COMPUTED_VALUE"""),"")</f>
        <v/>
      </c>
      <c r="D325" s="4" t="str">
        <f>IFERROR(__xludf.DUMMYFUNCTION("""COMPUTED_VALUE"""),"")</f>
        <v/>
      </c>
      <c r="E325" s="4" t="str">
        <f>IFERROR(__xludf.DUMMYFUNCTION("""COMPUTED_VALUE"""),"")</f>
        <v/>
      </c>
      <c r="F325" s="4" t="str">
        <f>IFERROR(__xludf.DUMMYFUNCTION("""COMPUTED_VALUE"""),"")</f>
        <v/>
      </c>
      <c r="G325" s="4" t="str">
        <f>IFERROR(__xludf.DUMMYFUNCTION("""COMPUTED_VALUE"""),"")</f>
        <v/>
      </c>
      <c r="H325" s="4" t="str">
        <f>IFERROR(__xludf.DUMMYFUNCTION("""COMPUTED_VALUE"""),"")</f>
        <v/>
      </c>
      <c r="I325" s="4" t="str">
        <f>IFERROR(__xludf.DUMMYFUNCTION("""COMPUTED_VALUE"""),"")</f>
        <v/>
      </c>
      <c r="J325" s="4" t="str">
        <f>IFERROR(__xludf.DUMMYFUNCTION("""COMPUTED_VALUE"""),"")</f>
        <v/>
      </c>
      <c r="K325" s="4" t="str">
        <f>IFERROR(__xludf.DUMMYFUNCTION("""COMPUTED_VALUE"""),"")</f>
        <v/>
      </c>
    </row>
    <row r="326">
      <c r="A326" s="4" t="str">
        <f>IFERROR(__xludf.DUMMYFUNCTION("""COMPUTED_VALUE"""),"")</f>
        <v/>
      </c>
      <c r="B326" s="4" t="str">
        <f>IFERROR(__xludf.DUMMYFUNCTION("""COMPUTED_VALUE"""),"")</f>
        <v/>
      </c>
      <c r="C326" s="4" t="str">
        <f>IFERROR(__xludf.DUMMYFUNCTION("""COMPUTED_VALUE"""),"")</f>
        <v/>
      </c>
      <c r="D326" s="4" t="str">
        <f>IFERROR(__xludf.DUMMYFUNCTION("""COMPUTED_VALUE"""),"")</f>
        <v/>
      </c>
      <c r="E326" s="4" t="str">
        <f>IFERROR(__xludf.DUMMYFUNCTION("""COMPUTED_VALUE"""),"")</f>
        <v/>
      </c>
      <c r="F326" s="4" t="str">
        <f>IFERROR(__xludf.DUMMYFUNCTION("""COMPUTED_VALUE"""),"")</f>
        <v/>
      </c>
      <c r="G326" s="4" t="str">
        <f>IFERROR(__xludf.DUMMYFUNCTION("""COMPUTED_VALUE"""),"")</f>
        <v/>
      </c>
      <c r="H326" s="4" t="str">
        <f>IFERROR(__xludf.DUMMYFUNCTION("""COMPUTED_VALUE"""),"")</f>
        <v/>
      </c>
      <c r="I326" s="4" t="str">
        <f>IFERROR(__xludf.DUMMYFUNCTION("""COMPUTED_VALUE"""),"")</f>
        <v/>
      </c>
      <c r="J326" s="4" t="str">
        <f>IFERROR(__xludf.DUMMYFUNCTION("""COMPUTED_VALUE"""),"")</f>
        <v/>
      </c>
      <c r="K326" s="4" t="str">
        <f>IFERROR(__xludf.DUMMYFUNCTION("""COMPUTED_VALUE"""),"")</f>
        <v/>
      </c>
    </row>
    <row r="327">
      <c r="A327" s="4" t="str">
        <f>IFERROR(__xludf.DUMMYFUNCTION("""COMPUTED_VALUE"""),"")</f>
        <v/>
      </c>
      <c r="B327" s="4" t="str">
        <f>IFERROR(__xludf.DUMMYFUNCTION("""COMPUTED_VALUE"""),"")</f>
        <v/>
      </c>
      <c r="C327" s="4" t="str">
        <f>IFERROR(__xludf.DUMMYFUNCTION("""COMPUTED_VALUE"""),"")</f>
        <v/>
      </c>
      <c r="D327" s="4" t="str">
        <f>IFERROR(__xludf.DUMMYFUNCTION("""COMPUTED_VALUE"""),"")</f>
        <v/>
      </c>
      <c r="E327" s="4" t="str">
        <f>IFERROR(__xludf.DUMMYFUNCTION("""COMPUTED_VALUE"""),"")</f>
        <v/>
      </c>
      <c r="F327" s="4" t="str">
        <f>IFERROR(__xludf.DUMMYFUNCTION("""COMPUTED_VALUE"""),"")</f>
        <v/>
      </c>
      <c r="G327" s="4" t="str">
        <f>IFERROR(__xludf.DUMMYFUNCTION("""COMPUTED_VALUE"""),"")</f>
        <v/>
      </c>
      <c r="H327" s="4" t="str">
        <f>IFERROR(__xludf.DUMMYFUNCTION("""COMPUTED_VALUE"""),"")</f>
        <v/>
      </c>
      <c r="I327" s="4" t="str">
        <f>IFERROR(__xludf.DUMMYFUNCTION("""COMPUTED_VALUE"""),"")</f>
        <v/>
      </c>
      <c r="J327" s="4" t="str">
        <f>IFERROR(__xludf.DUMMYFUNCTION("""COMPUTED_VALUE"""),"")</f>
        <v/>
      </c>
      <c r="K327" s="4" t="str">
        <f>IFERROR(__xludf.DUMMYFUNCTION("""COMPUTED_VALUE"""),"")</f>
        <v/>
      </c>
    </row>
    <row r="328">
      <c r="A328" s="4" t="str">
        <f>IFERROR(__xludf.DUMMYFUNCTION("""COMPUTED_VALUE"""),"")</f>
        <v/>
      </c>
      <c r="B328" s="4" t="str">
        <f>IFERROR(__xludf.DUMMYFUNCTION("""COMPUTED_VALUE"""),"")</f>
        <v/>
      </c>
      <c r="C328" s="4" t="str">
        <f>IFERROR(__xludf.DUMMYFUNCTION("""COMPUTED_VALUE"""),"")</f>
        <v/>
      </c>
      <c r="D328" s="4" t="str">
        <f>IFERROR(__xludf.DUMMYFUNCTION("""COMPUTED_VALUE"""),"")</f>
        <v/>
      </c>
      <c r="E328" s="4" t="str">
        <f>IFERROR(__xludf.DUMMYFUNCTION("""COMPUTED_VALUE"""),"")</f>
        <v/>
      </c>
      <c r="F328" s="4" t="str">
        <f>IFERROR(__xludf.DUMMYFUNCTION("""COMPUTED_VALUE"""),"")</f>
        <v/>
      </c>
      <c r="G328" s="4" t="str">
        <f>IFERROR(__xludf.DUMMYFUNCTION("""COMPUTED_VALUE"""),"")</f>
        <v/>
      </c>
      <c r="H328" s="4" t="str">
        <f>IFERROR(__xludf.DUMMYFUNCTION("""COMPUTED_VALUE"""),"")</f>
        <v/>
      </c>
      <c r="I328" s="4" t="str">
        <f>IFERROR(__xludf.DUMMYFUNCTION("""COMPUTED_VALUE"""),"")</f>
        <v/>
      </c>
      <c r="J328" s="4" t="str">
        <f>IFERROR(__xludf.DUMMYFUNCTION("""COMPUTED_VALUE"""),"")</f>
        <v/>
      </c>
      <c r="K328" s="4" t="str">
        <f>IFERROR(__xludf.DUMMYFUNCTION("""COMPUTED_VALUE"""),"")</f>
        <v/>
      </c>
    </row>
    <row r="329">
      <c r="A329" s="4" t="str">
        <f>IFERROR(__xludf.DUMMYFUNCTION("""COMPUTED_VALUE"""),"")</f>
        <v/>
      </c>
      <c r="B329" s="4" t="str">
        <f>IFERROR(__xludf.DUMMYFUNCTION("""COMPUTED_VALUE"""),"")</f>
        <v/>
      </c>
      <c r="C329" s="4" t="str">
        <f>IFERROR(__xludf.DUMMYFUNCTION("""COMPUTED_VALUE"""),"")</f>
        <v/>
      </c>
      <c r="D329" s="4" t="str">
        <f>IFERROR(__xludf.DUMMYFUNCTION("""COMPUTED_VALUE"""),"")</f>
        <v/>
      </c>
      <c r="E329" s="4" t="str">
        <f>IFERROR(__xludf.DUMMYFUNCTION("""COMPUTED_VALUE"""),"")</f>
        <v/>
      </c>
      <c r="F329" s="4" t="str">
        <f>IFERROR(__xludf.DUMMYFUNCTION("""COMPUTED_VALUE"""),"")</f>
        <v/>
      </c>
      <c r="G329" s="4" t="str">
        <f>IFERROR(__xludf.DUMMYFUNCTION("""COMPUTED_VALUE"""),"")</f>
        <v/>
      </c>
      <c r="H329" s="4" t="str">
        <f>IFERROR(__xludf.DUMMYFUNCTION("""COMPUTED_VALUE"""),"")</f>
        <v/>
      </c>
      <c r="I329" s="4" t="str">
        <f>IFERROR(__xludf.DUMMYFUNCTION("""COMPUTED_VALUE"""),"")</f>
        <v/>
      </c>
      <c r="J329" s="4" t="str">
        <f>IFERROR(__xludf.DUMMYFUNCTION("""COMPUTED_VALUE"""),"")</f>
        <v/>
      </c>
      <c r="K329" s="4" t="str">
        <f>IFERROR(__xludf.DUMMYFUNCTION("""COMPUTED_VALUE"""),"")</f>
        <v/>
      </c>
    </row>
    <row r="330">
      <c r="A330" s="4" t="str">
        <f>IFERROR(__xludf.DUMMYFUNCTION("""COMPUTED_VALUE"""),"")</f>
        <v/>
      </c>
      <c r="B330" s="4" t="str">
        <f>IFERROR(__xludf.DUMMYFUNCTION("""COMPUTED_VALUE"""),"")</f>
        <v/>
      </c>
      <c r="C330" s="4" t="str">
        <f>IFERROR(__xludf.DUMMYFUNCTION("""COMPUTED_VALUE"""),"")</f>
        <v/>
      </c>
      <c r="D330" s="4" t="str">
        <f>IFERROR(__xludf.DUMMYFUNCTION("""COMPUTED_VALUE"""),"")</f>
        <v/>
      </c>
      <c r="E330" s="4" t="str">
        <f>IFERROR(__xludf.DUMMYFUNCTION("""COMPUTED_VALUE"""),"")</f>
        <v/>
      </c>
      <c r="F330" s="4" t="str">
        <f>IFERROR(__xludf.DUMMYFUNCTION("""COMPUTED_VALUE"""),"")</f>
        <v/>
      </c>
      <c r="G330" s="4" t="str">
        <f>IFERROR(__xludf.DUMMYFUNCTION("""COMPUTED_VALUE"""),"")</f>
        <v/>
      </c>
      <c r="H330" s="4" t="str">
        <f>IFERROR(__xludf.DUMMYFUNCTION("""COMPUTED_VALUE"""),"")</f>
        <v/>
      </c>
      <c r="I330" s="4" t="str">
        <f>IFERROR(__xludf.DUMMYFUNCTION("""COMPUTED_VALUE"""),"")</f>
        <v/>
      </c>
      <c r="J330" s="4" t="str">
        <f>IFERROR(__xludf.DUMMYFUNCTION("""COMPUTED_VALUE"""),"")</f>
        <v/>
      </c>
      <c r="K330" s="4" t="str">
        <f>IFERROR(__xludf.DUMMYFUNCTION("""COMPUTED_VALUE"""),"")</f>
        <v/>
      </c>
    </row>
    <row r="331">
      <c r="A331" s="4" t="str">
        <f>IFERROR(__xludf.DUMMYFUNCTION("""COMPUTED_VALUE"""),"")</f>
        <v/>
      </c>
      <c r="B331" s="4" t="str">
        <f>IFERROR(__xludf.DUMMYFUNCTION("""COMPUTED_VALUE"""),"")</f>
        <v/>
      </c>
      <c r="C331" s="4" t="str">
        <f>IFERROR(__xludf.DUMMYFUNCTION("""COMPUTED_VALUE"""),"")</f>
        <v/>
      </c>
      <c r="D331" s="4" t="str">
        <f>IFERROR(__xludf.DUMMYFUNCTION("""COMPUTED_VALUE"""),"")</f>
        <v/>
      </c>
      <c r="E331" s="4" t="str">
        <f>IFERROR(__xludf.DUMMYFUNCTION("""COMPUTED_VALUE"""),"")</f>
        <v/>
      </c>
      <c r="F331" s="4" t="str">
        <f>IFERROR(__xludf.DUMMYFUNCTION("""COMPUTED_VALUE"""),"")</f>
        <v/>
      </c>
      <c r="G331" s="4" t="str">
        <f>IFERROR(__xludf.DUMMYFUNCTION("""COMPUTED_VALUE"""),"")</f>
        <v/>
      </c>
      <c r="H331" s="4" t="str">
        <f>IFERROR(__xludf.DUMMYFUNCTION("""COMPUTED_VALUE"""),"")</f>
        <v/>
      </c>
      <c r="I331" s="4" t="str">
        <f>IFERROR(__xludf.DUMMYFUNCTION("""COMPUTED_VALUE"""),"")</f>
        <v/>
      </c>
      <c r="J331" s="4" t="str">
        <f>IFERROR(__xludf.DUMMYFUNCTION("""COMPUTED_VALUE"""),"")</f>
        <v/>
      </c>
      <c r="K331" s="4" t="str">
        <f>IFERROR(__xludf.DUMMYFUNCTION("""COMPUTED_VALUE"""),"")</f>
        <v/>
      </c>
    </row>
    <row r="332">
      <c r="A332" s="4" t="str">
        <f>IFERROR(__xludf.DUMMYFUNCTION("""COMPUTED_VALUE"""),"")</f>
        <v/>
      </c>
      <c r="B332" s="4" t="str">
        <f>IFERROR(__xludf.DUMMYFUNCTION("""COMPUTED_VALUE"""),"")</f>
        <v/>
      </c>
      <c r="C332" s="4" t="str">
        <f>IFERROR(__xludf.DUMMYFUNCTION("""COMPUTED_VALUE"""),"")</f>
        <v/>
      </c>
      <c r="D332" s="4" t="str">
        <f>IFERROR(__xludf.DUMMYFUNCTION("""COMPUTED_VALUE"""),"")</f>
        <v/>
      </c>
      <c r="E332" s="4" t="str">
        <f>IFERROR(__xludf.DUMMYFUNCTION("""COMPUTED_VALUE"""),"")</f>
        <v/>
      </c>
      <c r="F332" s="4" t="str">
        <f>IFERROR(__xludf.DUMMYFUNCTION("""COMPUTED_VALUE"""),"")</f>
        <v/>
      </c>
      <c r="G332" s="4" t="str">
        <f>IFERROR(__xludf.DUMMYFUNCTION("""COMPUTED_VALUE"""),"")</f>
        <v/>
      </c>
      <c r="H332" s="4" t="str">
        <f>IFERROR(__xludf.DUMMYFUNCTION("""COMPUTED_VALUE"""),"")</f>
        <v/>
      </c>
      <c r="I332" s="4" t="str">
        <f>IFERROR(__xludf.DUMMYFUNCTION("""COMPUTED_VALUE"""),"")</f>
        <v/>
      </c>
      <c r="J332" s="4" t="str">
        <f>IFERROR(__xludf.DUMMYFUNCTION("""COMPUTED_VALUE"""),"")</f>
        <v/>
      </c>
      <c r="K332" s="4" t="str">
        <f>IFERROR(__xludf.DUMMYFUNCTION("""COMPUTED_VALUE"""),"")</f>
        <v/>
      </c>
    </row>
    <row r="333">
      <c r="A333" s="4" t="str">
        <f>IFERROR(__xludf.DUMMYFUNCTION("""COMPUTED_VALUE"""),"")</f>
        <v/>
      </c>
      <c r="B333" s="4" t="str">
        <f>IFERROR(__xludf.DUMMYFUNCTION("""COMPUTED_VALUE"""),"")</f>
        <v/>
      </c>
      <c r="C333" s="4" t="str">
        <f>IFERROR(__xludf.DUMMYFUNCTION("""COMPUTED_VALUE"""),"")</f>
        <v/>
      </c>
      <c r="D333" s="4" t="str">
        <f>IFERROR(__xludf.DUMMYFUNCTION("""COMPUTED_VALUE"""),"")</f>
        <v/>
      </c>
      <c r="E333" s="4" t="str">
        <f>IFERROR(__xludf.DUMMYFUNCTION("""COMPUTED_VALUE"""),"")</f>
        <v/>
      </c>
      <c r="F333" s="4" t="str">
        <f>IFERROR(__xludf.DUMMYFUNCTION("""COMPUTED_VALUE"""),"")</f>
        <v/>
      </c>
      <c r="G333" s="4" t="str">
        <f>IFERROR(__xludf.DUMMYFUNCTION("""COMPUTED_VALUE"""),"")</f>
        <v/>
      </c>
      <c r="H333" s="4" t="str">
        <f>IFERROR(__xludf.DUMMYFUNCTION("""COMPUTED_VALUE"""),"")</f>
        <v/>
      </c>
      <c r="I333" s="4" t="str">
        <f>IFERROR(__xludf.DUMMYFUNCTION("""COMPUTED_VALUE"""),"")</f>
        <v/>
      </c>
      <c r="J333" s="4" t="str">
        <f>IFERROR(__xludf.DUMMYFUNCTION("""COMPUTED_VALUE"""),"")</f>
        <v/>
      </c>
      <c r="K333" s="4" t="str">
        <f>IFERROR(__xludf.DUMMYFUNCTION("""COMPUTED_VALUE"""),"")</f>
        <v/>
      </c>
    </row>
    <row r="334">
      <c r="A334" s="4" t="str">
        <f>IFERROR(__xludf.DUMMYFUNCTION("""COMPUTED_VALUE"""),"")</f>
        <v/>
      </c>
      <c r="B334" s="4" t="str">
        <f>IFERROR(__xludf.DUMMYFUNCTION("""COMPUTED_VALUE"""),"")</f>
        <v/>
      </c>
      <c r="C334" s="4" t="str">
        <f>IFERROR(__xludf.DUMMYFUNCTION("""COMPUTED_VALUE"""),"")</f>
        <v/>
      </c>
      <c r="D334" s="4" t="str">
        <f>IFERROR(__xludf.DUMMYFUNCTION("""COMPUTED_VALUE"""),"")</f>
        <v/>
      </c>
      <c r="E334" s="4" t="str">
        <f>IFERROR(__xludf.DUMMYFUNCTION("""COMPUTED_VALUE"""),"")</f>
        <v/>
      </c>
      <c r="F334" s="4" t="str">
        <f>IFERROR(__xludf.DUMMYFUNCTION("""COMPUTED_VALUE"""),"")</f>
        <v/>
      </c>
      <c r="G334" s="4" t="str">
        <f>IFERROR(__xludf.DUMMYFUNCTION("""COMPUTED_VALUE"""),"")</f>
        <v/>
      </c>
      <c r="H334" s="4" t="str">
        <f>IFERROR(__xludf.DUMMYFUNCTION("""COMPUTED_VALUE"""),"")</f>
        <v/>
      </c>
      <c r="I334" s="4" t="str">
        <f>IFERROR(__xludf.DUMMYFUNCTION("""COMPUTED_VALUE"""),"")</f>
        <v/>
      </c>
      <c r="J334" s="4" t="str">
        <f>IFERROR(__xludf.DUMMYFUNCTION("""COMPUTED_VALUE"""),"")</f>
        <v/>
      </c>
      <c r="K334" s="4" t="str">
        <f>IFERROR(__xludf.DUMMYFUNCTION("""COMPUTED_VALUE"""),"")</f>
        <v/>
      </c>
    </row>
    <row r="335">
      <c r="A335" s="4" t="str">
        <f>IFERROR(__xludf.DUMMYFUNCTION("""COMPUTED_VALUE"""),"")</f>
        <v/>
      </c>
      <c r="B335" s="4" t="str">
        <f>IFERROR(__xludf.DUMMYFUNCTION("""COMPUTED_VALUE"""),"")</f>
        <v/>
      </c>
      <c r="C335" s="4" t="str">
        <f>IFERROR(__xludf.DUMMYFUNCTION("""COMPUTED_VALUE"""),"")</f>
        <v/>
      </c>
      <c r="D335" s="4" t="str">
        <f>IFERROR(__xludf.DUMMYFUNCTION("""COMPUTED_VALUE"""),"")</f>
        <v/>
      </c>
      <c r="E335" s="4" t="str">
        <f>IFERROR(__xludf.DUMMYFUNCTION("""COMPUTED_VALUE"""),"")</f>
        <v/>
      </c>
      <c r="F335" s="4" t="str">
        <f>IFERROR(__xludf.DUMMYFUNCTION("""COMPUTED_VALUE"""),"")</f>
        <v/>
      </c>
      <c r="G335" s="4" t="str">
        <f>IFERROR(__xludf.DUMMYFUNCTION("""COMPUTED_VALUE"""),"")</f>
        <v/>
      </c>
      <c r="H335" s="4" t="str">
        <f>IFERROR(__xludf.DUMMYFUNCTION("""COMPUTED_VALUE"""),"")</f>
        <v/>
      </c>
      <c r="I335" s="4" t="str">
        <f>IFERROR(__xludf.DUMMYFUNCTION("""COMPUTED_VALUE"""),"")</f>
        <v/>
      </c>
      <c r="J335" s="4" t="str">
        <f>IFERROR(__xludf.DUMMYFUNCTION("""COMPUTED_VALUE"""),"")</f>
        <v/>
      </c>
      <c r="K335" s="4" t="str">
        <f>IFERROR(__xludf.DUMMYFUNCTION("""COMPUTED_VALUE"""),"")</f>
        <v/>
      </c>
    </row>
    <row r="336">
      <c r="A336" s="4" t="str">
        <f>IFERROR(__xludf.DUMMYFUNCTION("""COMPUTED_VALUE"""),"")</f>
        <v/>
      </c>
      <c r="B336" s="4" t="str">
        <f>IFERROR(__xludf.DUMMYFUNCTION("""COMPUTED_VALUE"""),"")</f>
        <v/>
      </c>
      <c r="C336" s="4" t="str">
        <f>IFERROR(__xludf.DUMMYFUNCTION("""COMPUTED_VALUE"""),"")</f>
        <v/>
      </c>
      <c r="D336" s="4" t="str">
        <f>IFERROR(__xludf.DUMMYFUNCTION("""COMPUTED_VALUE"""),"")</f>
        <v/>
      </c>
      <c r="E336" s="4" t="str">
        <f>IFERROR(__xludf.DUMMYFUNCTION("""COMPUTED_VALUE"""),"")</f>
        <v/>
      </c>
      <c r="F336" s="4" t="str">
        <f>IFERROR(__xludf.DUMMYFUNCTION("""COMPUTED_VALUE"""),"")</f>
        <v/>
      </c>
      <c r="G336" s="4" t="str">
        <f>IFERROR(__xludf.DUMMYFUNCTION("""COMPUTED_VALUE"""),"")</f>
        <v/>
      </c>
      <c r="H336" s="4" t="str">
        <f>IFERROR(__xludf.DUMMYFUNCTION("""COMPUTED_VALUE"""),"")</f>
        <v/>
      </c>
      <c r="I336" s="4" t="str">
        <f>IFERROR(__xludf.DUMMYFUNCTION("""COMPUTED_VALUE"""),"")</f>
        <v/>
      </c>
      <c r="J336" s="4" t="str">
        <f>IFERROR(__xludf.DUMMYFUNCTION("""COMPUTED_VALUE"""),"")</f>
        <v/>
      </c>
      <c r="K336" s="4" t="str">
        <f>IFERROR(__xludf.DUMMYFUNCTION("""COMPUTED_VALUE"""),"")</f>
        <v/>
      </c>
    </row>
    <row r="337">
      <c r="A337" s="4" t="str">
        <f>IFERROR(__xludf.DUMMYFUNCTION("""COMPUTED_VALUE"""),"")</f>
        <v/>
      </c>
      <c r="B337" s="4" t="str">
        <f>IFERROR(__xludf.DUMMYFUNCTION("""COMPUTED_VALUE"""),"")</f>
        <v/>
      </c>
      <c r="C337" s="4" t="str">
        <f>IFERROR(__xludf.DUMMYFUNCTION("""COMPUTED_VALUE"""),"")</f>
        <v/>
      </c>
      <c r="D337" s="4" t="str">
        <f>IFERROR(__xludf.DUMMYFUNCTION("""COMPUTED_VALUE"""),"")</f>
        <v/>
      </c>
      <c r="E337" s="4" t="str">
        <f>IFERROR(__xludf.DUMMYFUNCTION("""COMPUTED_VALUE"""),"")</f>
        <v/>
      </c>
      <c r="F337" s="4" t="str">
        <f>IFERROR(__xludf.DUMMYFUNCTION("""COMPUTED_VALUE"""),"")</f>
        <v/>
      </c>
      <c r="G337" s="4" t="str">
        <f>IFERROR(__xludf.DUMMYFUNCTION("""COMPUTED_VALUE"""),"")</f>
        <v/>
      </c>
      <c r="H337" s="4" t="str">
        <f>IFERROR(__xludf.DUMMYFUNCTION("""COMPUTED_VALUE"""),"")</f>
        <v/>
      </c>
      <c r="I337" s="4" t="str">
        <f>IFERROR(__xludf.DUMMYFUNCTION("""COMPUTED_VALUE"""),"")</f>
        <v/>
      </c>
      <c r="J337" s="4" t="str">
        <f>IFERROR(__xludf.DUMMYFUNCTION("""COMPUTED_VALUE"""),"")</f>
        <v/>
      </c>
      <c r="K337" s="4" t="str">
        <f>IFERROR(__xludf.DUMMYFUNCTION("""COMPUTED_VALUE"""),"")</f>
        <v/>
      </c>
    </row>
    <row r="338">
      <c r="A338" s="4" t="str">
        <f>IFERROR(__xludf.DUMMYFUNCTION("""COMPUTED_VALUE"""),"")</f>
        <v/>
      </c>
      <c r="B338" s="4" t="str">
        <f>IFERROR(__xludf.DUMMYFUNCTION("""COMPUTED_VALUE"""),"")</f>
        <v/>
      </c>
      <c r="C338" s="4" t="str">
        <f>IFERROR(__xludf.DUMMYFUNCTION("""COMPUTED_VALUE"""),"")</f>
        <v/>
      </c>
      <c r="D338" s="4" t="str">
        <f>IFERROR(__xludf.DUMMYFUNCTION("""COMPUTED_VALUE"""),"")</f>
        <v/>
      </c>
      <c r="E338" s="4" t="str">
        <f>IFERROR(__xludf.DUMMYFUNCTION("""COMPUTED_VALUE"""),"")</f>
        <v/>
      </c>
      <c r="F338" s="4" t="str">
        <f>IFERROR(__xludf.DUMMYFUNCTION("""COMPUTED_VALUE"""),"")</f>
        <v/>
      </c>
      <c r="G338" s="4" t="str">
        <f>IFERROR(__xludf.DUMMYFUNCTION("""COMPUTED_VALUE"""),"")</f>
        <v/>
      </c>
      <c r="H338" s="4" t="str">
        <f>IFERROR(__xludf.DUMMYFUNCTION("""COMPUTED_VALUE"""),"")</f>
        <v/>
      </c>
      <c r="I338" s="4" t="str">
        <f>IFERROR(__xludf.DUMMYFUNCTION("""COMPUTED_VALUE"""),"")</f>
        <v/>
      </c>
      <c r="J338" s="4" t="str">
        <f>IFERROR(__xludf.DUMMYFUNCTION("""COMPUTED_VALUE"""),"")</f>
        <v/>
      </c>
      <c r="K338" s="4" t="str">
        <f>IFERROR(__xludf.DUMMYFUNCTION("""COMPUTED_VALUE"""),"")</f>
        <v/>
      </c>
    </row>
    <row r="339">
      <c r="A339" s="4" t="str">
        <f>IFERROR(__xludf.DUMMYFUNCTION("""COMPUTED_VALUE"""),"")</f>
        <v/>
      </c>
      <c r="B339" s="4" t="str">
        <f>IFERROR(__xludf.DUMMYFUNCTION("""COMPUTED_VALUE"""),"")</f>
        <v/>
      </c>
      <c r="C339" s="4" t="str">
        <f>IFERROR(__xludf.DUMMYFUNCTION("""COMPUTED_VALUE"""),"")</f>
        <v/>
      </c>
      <c r="D339" s="4" t="str">
        <f>IFERROR(__xludf.DUMMYFUNCTION("""COMPUTED_VALUE"""),"")</f>
        <v/>
      </c>
      <c r="E339" s="4" t="str">
        <f>IFERROR(__xludf.DUMMYFUNCTION("""COMPUTED_VALUE"""),"")</f>
        <v/>
      </c>
      <c r="F339" s="4" t="str">
        <f>IFERROR(__xludf.DUMMYFUNCTION("""COMPUTED_VALUE"""),"")</f>
        <v/>
      </c>
      <c r="G339" s="4" t="str">
        <f>IFERROR(__xludf.DUMMYFUNCTION("""COMPUTED_VALUE"""),"")</f>
        <v/>
      </c>
      <c r="H339" s="4" t="str">
        <f>IFERROR(__xludf.DUMMYFUNCTION("""COMPUTED_VALUE"""),"")</f>
        <v/>
      </c>
      <c r="I339" s="4" t="str">
        <f>IFERROR(__xludf.DUMMYFUNCTION("""COMPUTED_VALUE"""),"")</f>
        <v/>
      </c>
      <c r="J339" s="4" t="str">
        <f>IFERROR(__xludf.DUMMYFUNCTION("""COMPUTED_VALUE"""),"")</f>
        <v/>
      </c>
      <c r="K339" s="4" t="str">
        <f>IFERROR(__xludf.DUMMYFUNCTION("""COMPUTED_VALUE"""),"")</f>
        <v/>
      </c>
    </row>
    <row r="340">
      <c r="A340" s="4" t="str">
        <f>IFERROR(__xludf.DUMMYFUNCTION("""COMPUTED_VALUE"""),"")</f>
        <v/>
      </c>
      <c r="B340" s="4" t="str">
        <f>IFERROR(__xludf.DUMMYFUNCTION("""COMPUTED_VALUE"""),"")</f>
        <v/>
      </c>
      <c r="C340" s="4" t="str">
        <f>IFERROR(__xludf.DUMMYFUNCTION("""COMPUTED_VALUE"""),"")</f>
        <v/>
      </c>
      <c r="D340" s="4" t="str">
        <f>IFERROR(__xludf.DUMMYFUNCTION("""COMPUTED_VALUE"""),"")</f>
        <v/>
      </c>
      <c r="E340" s="4" t="str">
        <f>IFERROR(__xludf.DUMMYFUNCTION("""COMPUTED_VALUE"""),"")</f>
        <v/>
      </c>
      <c r="F340" s="4" t="str">
        <f>IFERROR(__xludf.DUMMYFUNCTION("""COMPUTED_VALUE"""),"")</f>
        <v/>
      </c>
      <c r="G340" s="4" t="str">
        <f>IFERROR(__xludf.DUMMYFUNCTION("""COMPUTED_VALUE"""),"")</f>
        <v/>
      </c>
      <c r="H340" s="4" t="str">
        <f>IFERROR(__xludf.DUMMYFUNCTION("""COMPUTED_VALUE"""),"")</f>
        <v/>
      </c>
      <c r="I340" s="4" t="str">
        <f>IFERROR(__xludf.DUMMYFUNCTION("""COMPUTED_VALUE"""),"")</f>
        <v/>
      </c>
      <c r="J340" s="4" t="str">
        <f>IFERROR(__xludf.DUMMYFUNCTION("""COMPUTED_VALUE"""),"")</f>
        <v/>
      </c>
      <c r="K340" s="4" t="str">
        <f>IFERROR(__xludf.DUMMYFUNCTION("""COMPUTED_VALUE"""),"")</f>
        <v/>
      </c>
    </row>
    <row r="341">
      <c r="A341" s="4" t="str">
        <f>IFERROR(__xludf.DUMMYFUNCTION("""COMPUTED_VALUE"""),"")</f>
        <v/>
      </c>
      <c r="B341" s="4" t="str">
        <f>IFERROR(__xludf.DUMMYFUNCTION("""COMPUTED_VALUE"""),"")</f>
        <v/>
      </c>
      <c r="C341" s="4" t="str">
        <f>IFERROR(__xludf.DUMMYFUNCTION("""COMPUTED_VALUE"""),"")</f>
        <v/>
      </c>
      <c r="D341" s="4" t="str">
        <f>IFERROR(__xludf.DUMMYFUNCTION("""COMPUTED_VALUE"""),"")</f>
        <v/>
      </c>
      <c r="E341" s="4" t="str">
        <f>IFERROR(__xludf.DUMMYFUNCTION("""COMPUTED_VALUE"""),"")</f>
        <v/>
      </c>
      <c r="F341" s="4" t="str">
        <f>IFERROR(__xludf.DUMMYFUNCTION("""COMPUTED_VALUE"""),"")</f>
        <v/>
      </c>
      <c r="G341" s="4" t="str">
        <f>IFERROR(__xludf.DUMMYFUNCTION("""COMPUTED_VALUE"""),"")</f>
        <v/>
      </c>
      <c r="H341" s="4" t="str">
        <f>IFERROR(__xludf.DUMMYFUNCTION("""COMPUTED_VALUE"""),"")</f>
        <v/>
      </c>
      <c r="I341" s="4" t="str">
        <f>IFERROR(__xludf.DUMMYFUNCTION("""COMPUTED_VALUE"""),"")</f>
        <v/>
      </c>
      <c r="J341" s="4" t="str">
        <f>IFERROR(__xludf.DUMMYFUNCTION("""COMPUTED_VALUE"""),"")</f>
        <v/>
      </c>
      <c r="K341" s="4" t="str">
        <f>IFERROR(__xludf.DUMMYFUNCTION("""COMPUTED_VALUE"""),"")</f>
        <v/>
      </c>
    </row>
    <row r="342">
      <c r="A342" s="4" t="str">
        <f>IFERROR(__xludf.DUMMYFUNCTION("""COMPUTED_VALUE"""),"")</f>
        <v/>
      </c>
      <c r="B342" s="4" t="str">
        <f>IFERROR(__xludf.DUMMYFUNCTION("""COMPUTED_VALUE"""),"")</f>
        <v/>
      </c>
      <c r="C342" s="4" t="str">
        <f>IFERROR(__xludf.DUMMYFUNCTION("""COMPUTED_VALUE"""),"")</f>
        <v/>
      </c>
      <c r="D342" s="4" t="str">
        <f>IFERROR(__xludf.DUMMYFUNCTION("""COMPUTED_VALUE"""),"")</f>
        <v/>
      </c>
      <c r="E342" s="4" t="str">
        <f>IFERROR(__xludf.DUMMYFUNCTION("""COMPUTED_VALUE"""),"")</f>
        <v/>
      </c>
      <c r="F342" s="4" t="str">
        <f>IFERROR(__xludf.DUMMYFUNCTION("""COMPUTED_VALUE"""),"")</f>
        <v/>
      </c>
      <c r="G342" s="4" t="str">
        <f>IFERROR(__xludf.DUMMYFUNCTION("""COMPUTED_VALUE"""),"")</f>
        <v/>
      </c>
      <c r="H342" s="4" t="str">
        <f>IFERROR(__xludf.DUMMYFUNCTION("""COMPUTED_VALUE"""),"")</f>
        <v/>
      </c>
      <c r="I342" s="4" t="str">
        <f>IFERROR(__xludf.DUMMYFUNCTION("""COMPUTED_VALUE"""),"")</f>
        <v/>
      </c>
      <c r="J342" s="4" t="str">
        <f>IFERROR(__xludf.DUMMYFUNCTION("""COMPUTED_VALUE"""),"")</f>
        <v/>
      </c>
      <c r="K342" s="4" t="str">
        <f>IFERROR(__xludf.DUMMYFUNCTION("""COMPUTED_VALUE"""),"")</f>
        <v/>
      </c>
    </row>
    <row r="343">
      <c r="A343" s="4" t="str">
        <f>IFERROR(__xludf.DUMMYFUNCTION("""COMPUTED_VALUE"""),"")</f>
        <v/>
      </c>
      <c r="B343" s="4" t="str">
        <f>IFERROR(__xludf.DUMMYFUNCTION("""COMPUTED_VALUE"""),"")</f>
        <v/>
      </c>
      <c r="C343" s="4" t="str">
        <f>IFERROR(__xludf.DUMMYFUNCTION("""COMPUTED_VALUE"""),"")</f>
        <v/>
      </c>
      <c r="D343" s="4" t="str">
        <f>IFERROR(__xludf.DUMMYFUNCTION("""COMPUTED_VALUE"""),"")</f>
        <v/>
      </c>
      <c r="E343" s="4" t="str">
        <f>IFERROR(__xludf.DUMMYFUNCTION("""COMPUTED_VALUE"""),"")</f>
        <v/>
      </c>
      <c r="F343" s="4" t="str">
        <f>IFERROR(__xludf.DUMMYFUNCTION("""COMPUTED_VALUE"""),"")</f>
        <v/>
      </c>
      <c r="G343" s="4" t="str">
        <f>IFERROR(__xludf.DUMMYFUNCTION("""COMPUTED_VALUE"""),"")</f>
        <v/>
      </c>
      <c r="H343" s="4" t="str">
        <f>IFERROR(__xludf.DUMMYFUNCTION("""COMPUTED_VALUE"""),"")</f>
        <v/>
      </c>
      <c r="I343" s="4" t="str">
        <f>IFERROR(__xludf.DUMMYFUNCTION("""COMPUTED_VALUE"""),"")</f>
        <v/>
      </c>
      <c r="J343" s="4" t="str">
        <f>IFERROR(__xludf.DUMMYFUNCTION("""COMPUTED_VALUE"""),"")</f>
        <v/>
      </c>
      <c r="K343" s="4" t="str">
        <f>IFERROR(__xludf.DUMMYFUNCTION("""COMPUTED_VALUE"""),"")</f>
        <v/>
      </c>
    </row>
    <row r="344">
      <c r="A344" s="4" t="str">
        <f>IFERROR(__xludf.DUMMYFUNCTION("""COMPUTED_VALUE"""),"")</f>
        <v/>
      </c>
      <c r="B344" s="4" t="str">
        <f>IFERROR(__xludf.DUMMYFUNCTION("""COMPUTED_VALUE"""),"")</f>
        <v/>
      </c>
      <c r="C344" s="4" t="str">
        <f>IFERROR(__xludf.DUMMYFUNCTION("""COMPUTED_VALUE"""),"")</f>
        <v/>
      </c>
      <c r="D344" s="4" t="str">
        <f>IFERROR(__xludf.DUMMYFUNCTION("""COMPUTED_VALUE"""),"")</f>
        <v/>
      </c>
      <c r="E344" s="4" t="str">
        <f>IFERROR(__xludf.DUMMYFUNCTION("""COMPUTED_VALUE"""),"")</f>
        <v/>
      </c>
      <c r="F344" s="4" t="str">
        <f>IFERROR(__xludf.DUMMYFUNCTION("""COMPUTED_VALUE"""),"")</f>
        <v/>
      </c>
      <c r="G344" s="4" t="str">
        <f>IFERROR(__xludf.DUMMYFUNCTION("""COMPUTED_VALUE"""),"")</f>
        <v/>
      </c>
      <c r="H344" s="4" t="str">
        <f>IFERROR(__xludf.DUMMYFUNCTION("""COMPUTED_VALUE"""),"")</f>
        <v/>
      </c>
      <c r="I344" s="4" t="str">
        <f>IFERROR(__xludf.DUMMYFUNCTION("""COMPUTED_VALUE"""),"")</f>
        <v/>
      </c>
      <c r="J344" s="4" t="str">
        <f>IFERROR(__xludf.DUMMYFUNCTION("""COMPUTED_VALUE"""),"")</f>
        <v/>
      </c>
      <c r="K344" s="4" t="str">
        <f>IFERROR(__xludf.DUMMYFUNCTION("""COMPUTED_VALUE"""),"")</f>
        <v/>
      </c>
    </row>
    <row r="345">
      <c r="A345" s="4" t="str">
        <f>IFERROR(__xludf.DUMMYFUNCTION("""COMPUTED_VALUE"""),"")</f>
        <v/>
      </c>
      <c r="B345" s="4" t="str">
        <f>IFERROR(__xludf.DUMMYFUNCTION("""COMPUTED_VALUE"""),"")</f>
        <v/>
      </c>
      <c r="C345" s="4" t="str">
        <f>IFERROR(__xludf.DUMMYFUNCTION("""COMPUTED_VALUE"""),"")</f>
        <v/>
      </c>
      <c r="D345" s="4" t="str">
        <f>IFERROR(__xludf.DUMMYFUNCTION("""COMPUTED_VALUE"""),"")</f>
        <v/>
      </c>
      <c r="E345" s="4" t="str">
        <f>IFERROR(__xludf.DUMMYFUNCTION("""COMPUTED_VALUE"""),"")</f>
        <v/>
      </c>
      <c r="F345" s="4" t="str">
        <f>IFERROR(__xludf.DUMMYFUNCTION("""COMPUTED_VALUE"""),"")</f>
        <v/>
      </c>
      <c r="G345" s="4" t="str">
        <f>IFERROR(__xludf.DUMMYFUNCTION("""COMPUTED_VALUE"""),"")</f>
        <v/>
      </c>
      <c r="H345" s="4" t="str">
        <f>IFERROR(__xludf.DUMMYFUNCTION("""COMPUTED_VALUE"""),"")</f>
        <v/>
      </c>
      <c r="I345" s="4" t="str">
        <f>IFERROR(__xludf.DUMMYFUNCTION("""COMPUTED_VALUE"""),"")</f>
        <v/>
      </c>
      <c r="J345" s="4" t="str">
        <f>IFERROR(__xludf.DUMMYFUNCTION("""COMPUTED_VALUE"""),"")</f>
        <v/>
      </c>
      <c r="K345" s="4" t="str">
        <f>IFERROR(__xludf.DUMMYFUNCTION("""COMPUTED_VALUE"""),"")</f>
        <v/>
      </c>
    </row>
    <row r="346">
      <c r="A346" s="4" t="str">
        <f>IFERROR(__xludf.DUMMYFUNCTION("""COMPUTED_VALUE"""),"")</f>
        <v/>
      </c>
      <c r="B346" s="4" t="str">
        <f>IFERROR(__xludf.DUMMYFUNCTION("""COMPUTED_VALUE"""),"")</f>
        <v/>
      </c>
      <c r="C346" s="4" t="str">
        <f>IFERROR(__xludf.DUMMYFUNCTION("""COMPUTED_VALUE"""),"")</f>
        <v/>
      </c>
      <c r="D346" s="4" t="str">
        <f>IFERROR(__xludf.DUMMYFUNCTION("""COMPUTED_VALUE"""),"")</f>
        <v/>
      </c>
      <c r="E346" s="4" t="str">
        <f>IFERROR(__xludf.DUMMYFUNCTION("""COMPUTED_VALUE"""),"")</f>
        <v/>
      </c>
      <c r="F346" s="4" t="str">
        <f>IFERROR(__xludf.DUMMYFUNCTION("""COMPUTED_VALUE"""),"")</f>
        <v/>
      </c>
      <c r="G346" s="4" t="str">
        <f>IFERROR(__xludf.DUMMYFUNCTION("""COMPUTED_VALUE"""),"")</f>
        <v/>
      </c>
      <c r="H346" s="4" t="str">
        <f>IFERROR(__xludf.DUMMYFUNCTION("""COMPUTED_VALUE"""),"")</f>
        <v/>
      </c>
      <c r="I346" s="4" t="str">
        <f>IFERROR(__xludf.DUMMYFUNCTION("""COMPUTED_VALUE"""),"")</f>
        <v/>
      </c>
      <c r="J346" s="4" t="str">
        <f>IFERROR(__xludf.DUMMYFUNCTION("""COMPUTED_VALUE"""),"")</f>
        <v/>
      </c>
      <c r="K346" s="4" t="str">
        <f>IFERROR(__xludf.DUMMYFUNCTION("""COMPUTED_VALUE"""),"")</f>
        <v/>
      </c>
    </row>
    <row r="347">
      <c r="A347" s="4" t="str">
        <f>IFERROR(__xludf.DUMMYFUNCTION("""COMPUTED_VALUE"""),"")</f>
        <v/>
      </c>
      <c r="B347" s="4" t="str">
        <f>IFERROR(__xludf.DUMMYFUNCTION("""COMPUTED_VALUE"""),"")</f>
        <v/>
      </c>
      <c r="C347" s="4" t="str">
        <f>IFERROR(__xludf.DUMMYFUNCTION("""COMPUTED_VALUE"""),"")</f>
        <v/>
      </c>
      <c r="D347" s="4" t="str">
        <f>IFERROR(__xludf.DUMMYFUNCTION("""COMPUTED_VALUE"""),"")</f>
        <v/>
      </c>
      <c r="E347" s="4" t="str">
        <f>IFERROR(__xludf.DUMMYFUNCTION("""COMPUTED_VALUE"""),"")</f>
        <v/>
      </c>
      <c r="F347" s="4" t="str">
        <f>IFERROR(__xludf.DUMMYFUNCTION("""COMPUTED_VALUE"""),"")</f>
        <v/>
      </c>
      <c r="G347" s="4" t="str">
        <f>IFERROR(__xludf.DUMMYFUNCTION("""COMPUTED_VALUE"""),"")</f>
        <v/>
      </c>
      <c r="H347" s="4" t="str">
        <f>IFERROR(__xludf.DUMMYFUNCTION("""COMPUTED_VALUE"""),"")</f>
        <v/>
      </c>
      <c r="I347" s="4" t="str">
        <f>IFERROR(__xludf.DUMMYFUNCTION("""COMPUTED_VALUE"""),"")</f>
        <v/>
      </c>
      <c r="J347" s="4" t="str">
        <f>IFERROR(__xludf.DUMMYFUNCTION("""COMPUTED_VALUE"""),"")</f>
        <v/>
      </c>
      <c r="K347" s="4" t="str">
        <f>IFERROR(__xludf.DUMMYFUNCTION("""COMPUTED_VALUE"""),"")</f>
        <v/>
      </c>
    </row>
    <row r="348">
      <c r="A348" s="4" t="str">
        <f>IFERROR(__xludf.DUMMYFUNCTION("""COMPUTED_VALUE"""),"")</f>
        <v/>
      </c>
      <c r="B348" s="4" t="str">
        <f>IFERROR(__xludf.DUMMYFUNCTION("""COMPUTED_VALUE"""),"")</f>
        <v/>
      </c>
      <c r="C348" s="4" t="str">
        <f>IFERROR(__xludf.DUMMYFUNCTION("""COMPUTED_VALUE"""),"")</f>
        <v/>
      </c>
      <c r="D348" s="4" t="str">
        <f>IFERROR(__xludf.DUMMYFUNCTION("""COMPUTED_VALUE"""),"")</f>
        <v/>
      </c>
      <c r="E348" s="4" t="str">
        <f>IFERROR(__xludf.DUMMYFUNCTION("""COMPUTED_VALUE"""),"")</f>
        <v/>
      </c>
      <c r="F348" s="4" t="str">
        <f>IFERROR(__xludf.DUMMYFUNCTION("""COMPUTED_VALUE"""),"")</f>
        <v/>
      </c>
      <c r="G348" s="4" t="str">
        <f>IFERROR(__xludf.DUMMYFUNCTION("""COMPUTED_VALUE"""),"")</f>
        <v/>
      </c>
      <c r="H348" s="4" t="str">
        <f>IFERROR(__xludf.DUMMYFUNCTION("""COMPUTED_VALUE"""),"")</f>
        <v/>
      </c>
      <c r="I348" s="4" t="str">
        <f>IFERROR(__xludf.DUMMYFUNCTION("""COMPUTED_VALUE"""),"")</f>
        <v/>
      </c>
      <c r="J348" s="4" t="str">
        <f>IFERROR(__xludf.DUMMYFUNCTION("""COMPUTED_VALUE"""),"")</f>
        <v/>
      </c>
      <c r="K348" s="4" t="str">
        <f>IFERROR(__xludf.DUMMYFUNCTION("""COMPUTED_VALUE"""),"")</f>
        <v/>
      </c>
    </row>
    <row r="349">
      <c r="A349" s="4" t="str">
        <f>IFERROR(__xludf.DUMMYFUNCTION("""COMPUTED_VALUE"""),"")</f>
        <v/>
      </c>
      <c r="B349" s="4" t="str">
        <f>IFERROR(__xludf.DUMMYFUNCTION("""COMPUTED_VALUE"""),"")</f>
        <v/>
      </c>
      <c r="C349" s="4" t="str">
        <f>IFERROR(__xludf.DUMMYFUNCTION("""COMPUTED_VALUE"""),"")</f>
        <v/>
      </c>
      <c r="D349" s="4" t="str">
        <f>IFERROR(__xludf.DUMMYFUNCTION("""COMPUTED_VALUE"""),"")</f>
        <v/>
      </c>
      <c r="E349" s="4" t="str">
        <f>IFERROR(__xludf.DUMMYFUNCTION("""COMPUTED_VALUE"""),"")</f>
        <v/>
      </c>
      <c r="F349" s="4" t="str">
        <f>IFERROR(__xludf.DUMMYFUNCTION("""COMPUTED_VALUE"""),"")</f>
        <v/>
      </c>
      <c r="G349" s="4" t="str">
        <f>IFERROR(__xludf.DUMMYFUNCTION("""COMPUTED_VALUE"""),"")</f>
        <v/>
      </c>
      <c r="H349" s="4" t="str">
        <f>IFERROR(__xludf.DUMMYFUNCTION("""COMPUTED_VALUE"""),"")</f>
        <v/>
      </c>
      <c r="I349" s="4" t="str">
        <f>IFERROR(__xludf.DUMMYFUNCTION("""COMPUTED_VALUE"""),"")</f>
        <v/>
      </c>
      <c r="J349" s="4" t="str">
        <f>IFERROR(__xludf.DUMMYFUNCTION("""COMPUTED_VALUE"""),"")</f>
        <v/>
      </c>
      <c r="K349" s="4" t="str">
        <f>IFERROR(__xludf.DUMMYFUNCTION("""COMPUTED_VALUE"""),"")</f>
        <v/>
      </c>
    </row>
    <row r="350">
      <c r="A350" s="4" t="str">
        <f>IFERROR(__xludf.DUMMYFUNCTION("""COMPUTED_VALUE"""),"")</f>
        <v/>
      </c>
      <c r="B350" s="4" t="str">
        <f>IFERROR(__xludf.DUMMYFUNCTION("""COMPUTED_VALUE"""),"")</f>
        <v/>
      </c>
      <c r="C350" s="4" t="str">
        <f>IFERROR(__xludf.DUMMYFUNCTION("""COMPUTED_VALUE"""),"")</f>
        <v/>
      </c>
      <c r="D350" s="4" t="str">
        <f>IFERROR(__xludf.DUMMYFUNCTION("""COMPUTED_VALUE"""),"")</f>
        <v/>
      </c>
      <c r="E350" s="4" t="str">
        <f>IFERROR(__xludf.DUMMYFUNCTION("""COMPUTED_VALUE"""),"")</f>
        <v/>
      </c>
      <c r="F350" s="4" t="str">
        <f>IFERROR(__xludf.DUMMYFUNCTION("""COMPUTED_VALUE"""),"")</f>
        <v/>
      </c>
      <c r="G350" s="4" t="str">
        <f>IFERROR(__xludf.DUMMYFUNCTION("""COMPUTED_VALUE"""),"")</f>
        <v/>
      </c>
      <c r="H350" s="4" t="str">
        <f>IFERROR(__xludf.DUMMYFUNCTION("""COMPUTED_VALUE"""),"")</f>
        <v/>
      </c>
      <c r="I350" s="4" t="str">
        <f>IFERROR(__xludf.DUMMYFUNCTION("""COMPUTED_VALUE"""),"")</f>
        <v/>
      </c>
      <c r="J350" s="4" t="str">
        <f>IFERROR(__xludf.DUMMYFUNCTION("""COMPUTED_VALUE"""),"")</f>
        <v/>
      </c>
      <c r="K350" s="4" t="str">
        <f>IFERROR(__xludf.DUMMYFUNCTION("""COMPUTED_VALUE"""),"")</f>
        <v/>
      </c>
    </row>
    <row r="351">
      <c r="A351" s="4" t="str">
        <f>IFERROR(__xludf.DUMMYFUNCTION("""COMPUTED_VALUE"""),"")</f>
        <v/>
      </c>
      <c r="B351" s="4" t="str">
        <f>IFERROR(__xludf.DUMMYFUNCTION("""COMPUTED_VALUE"""),"")</f>
        <v/>
      </c>
      <c r="C351" s="4" t="str">
        <f>IFERROR(__xludf.DUMMYFUNCTION("""COMPUTED_VALUE"""),"")</f>
        <v/>
      </c>
      <c r="D351" s="4" t="str">
        <f>IFERROR(__xludf.DUMMYFUNCTION("""COMPUTED_VALUE"""),"")</f>
        <v/>
      </c>
      <c r="E351" s="4" t="str">
        <f>IFERROR(__xludf.DUMMYFUNCTION("""COMPUTED_VALUE"""),"")</f>
        <v/>
      </c>
      <c r="F351" s="4" t="str">
        <f>IFERROR(__xludf.DUMMYFUNCTION("""COMPUTED_VALUE"""),"")</f>
        <v/>
      </c>
      <c r="G351" s="4" t="str">
        <f>IFERROR(__xludf.DUMMYFUNCTION("""COMPUTED_VALUE"""),"")</f>
        <v/>
      </c>
      <c r="H351" s="4" t="str">
        <f>IFERROR(__xludf.DUMMYFUNCTION("""COMPUTED_VALUE"""),"")</f>
        <v/>
      </c>
      <c r="I351" s="4" t="str">
        <f>IFERROR(__xludf.DUMMYFUNCTION("""COMPUTED_VALUE"""),"")</f>
        <v/>
      </c>
      <c r="J351" s="4" t="str">
        <f>IFERROR(__xludf.DUMMYFUNCTION("""COMPUTED_VALUE"""),"")</f>
        <v/>
      </c>
      <c r="K351" s="4" t="str">
        <f>IFERROR(__xludf.DUMMYFUNCTION("""COMPUTED_VALUE"""),"")</f>
        <v/>
      </c>
    </row>
    <row r="352">
      <c r="A352" s="4" t="str">
        <f>IFERROR(__xludf.DUMMYFUNCTION("""COMPUTED_VALUE"""),"")</f>
        <v/>
      </c>
      <c r="B352" s="4" t="str">
        <f>IFERROR(__xludf.DUMMYFUNCTION("""COMPUTED_VALUE"""),"")</f>
        <v/>
      </c>
      <c r="C352" s="4" t="str">
        <f>IFERROR(__xludf.DUMMYFUNCTION("""COMPUTED_VALUE"""),"")</f>
        <v/>
      </c>
      <c r="D352" s="4" t="str">
        <f>IFERROR(__xludf.DUMMYFUNCTION("""COMPUTED_VALUE"""),"")</f>
        <v/>
      </c>
      <c r="E352" s="4" t="str">
        <f>IFERROR(__xludf.DUMMYFUNCTION("""COMPUTED_VALUE"""),"")</f>
        <v/>
      </c>
      <c r="F352" s="4" t="str">
        <f>IFERROR(__xludf.DUMMYFUNCTION("""COMPUTED_VALUE"""),"")</f>
        <v/>
      </c>
      <c r="G352" s="4" t="str">
        <f>IFERROR(__xludf.DUMMYFUNCTION("""COMPUTED_VALUE"""),"")</f>
        <v/>
      </c>
      <c r="H352" s="4" t="str">
        <f>IFERROR(__xludf.DUMMYFUNCTION("""COMPUTED_VALUE"""),"")</f>
        <v/>
      </c>
      <c r="I352" s="4" t="str">
        <f>IFERROR(__xludf.DUMMYFUNCTION("""COMPUTED_VALUE"""),"")</f>
        <v/>
      </c>
      <c r="J352" s="4" t="str">
        <f>IFERROR(__xludf.DUMMYFUNCTION("""COMPUTED_VALUE"""),"")</f>
        <v/>
      </c>
      <c r="K352" s="4" t="str">
        <f>IFERROR(__xludf.DUMMYFUNCTION("""COMPUTED_VALUE"""),"")</f>
        <v/>
      </c>
    </row>
    <row r="353">
      <c r="A353" s="4" t="str">
        <f>IFERROR(__xludf.DUMMYFUNCTION("""COMPUTED_VALUE"""),"")</f>
        <v/>
      </c>
      <c r="B353" s="4" t="str">
        <f>IFERROR(__xludf.DUMMYFUNCTION("""COMPUTED_VALUE"""),"")</f>
        <v/>
      </c>
      <c r="C353" s="4" t="str">
        <f>IFERROR(__xludf.DUMMYFUNCTION("""COMPUTED_VALUE"""),"")</f>
        <v/>
      </c>
      <c r="D353" s="4" t="str">
        <f>IFERROR(__xludf.DUMMYFUNCTION("""COMPUTED_VALUE"""),"")</f>
        <v/>
      </c>
      <c r="E353" s="4" t="str">
        <f>IFERROR(__xludf.DUMMYFUNCTION("""COMPUTED_VALUE"""),"")</f>
        <v/>
      </c>
      <c r="F353" s="4" t="str">
        <f>IFERROR(__xludf.DUMMYFUNCTION("""COMPUTED_VALUE"""),"")</f>
        <v/>
      </c>
      <c r="G353" s="4" t="str">
        <f>IFERROR(__xludf.DUMMYFUNCTION("""COMPUTED_VALUE"""),"")</f>
        <v/>
      </c>
      <c r="H353" s="4" t="str">
        <f>IFERROR(__xludf.DUMMYFUNCTION("""COMPUTED_VALUE"""),"")</f>
        <v/>
      </c>
      <c r="I353" s="4" t="str">
        <f>IFERROR(__xludf.DUMMYFUNCTION("""COMPUTED_VALUE"""),"")</f>
        <v/>
      </c>
      <c r="J353" s="4" t="str">
        <f>IFERROR(__xludf.DUMMYFUNCTION("""COMPUTED_VALUE"""),"")</f>
        <v/>
      </c>
      <c r="K353" s="4" t="str">
        <f>IFERROR(__xludf.DUMMYFUNCTION("""COMPUTED_VALUE"""),"")</f>
        <v/>
      </c>
    </row>
    <row r="354">
      <c r="A354" s="4" t="str">
        <f>IFERROR(__xludf.DUMMYFUNCTION("""COMPUTED_VALUE"""),"")</f>
        <v/>
      </c>
      <c r="B354" s="4" t="str">
        <f>IFERROR(__xludf.DUMMYFUNCTION("""COMPUTED_VALUE"""),"")</f>
        <v/>
      </c>
      <c r="C354" s="4" t="str">
        <f>IFERROR(__xludf.DUMMYFUNCTION("""COMPUTED_VALUE"""),"")</f>
        <v/>
      </c>
      <c r="D354" s="4" t="str">
        <f>IFERROR(__xludf.DUMMYFUNCTION("""COMPUTED_VALUE"""),"")</f>
        <v/>
      </c>
      <c r="E354" s="4" t="str">
        <f>IFERROR(__xludf.DUMMYFUNCTION("""COMPUTED_VALUE"""),"")</f>
        <v/>
      </c>
      <c r="F354" s="4" t="str">
        <f>IFERROR(__xludf.DUMMYFUNCTION("""COMPUTED_VALUE"""),"")</f>
        <v/>
      </c>
      <c r="G354" s="4" t="str">
        <f>IFERROR(__xludf.DUMMYFUNCTION("""COMPUTED_VALUE"""),"")</f>
        <v/>
      </c>
      <c r="H354" s="4" t="str">
        <f>IFERROR(__xludf.DUMMYFUNCTION("""COMPUTED_VALUE"""),"")</f>
        <v/>
      </c>
      <c r="I354" s="4" t="str">
        <f>IFERROR(__xludf.DUMMYFUNCTION("""COMPUTED_VALUE"""),"")</f>
        <v/>
      </c>
      <c r="J354" s="4" t="str">
        <f>IFERROR(__xludf.DUMMYFUNCTION("""COMPUTED_VALUE"""),"")</f>
        <v/>
      </c>
      <c r="K354" s="4" t="str">
        <f>IFERROR(__xludf.DUMMYFUNCTION("""COMPUTED_VALUE"""),"")</f>
        <v/>
      </c>
    </row>
    <row r="355">
      <c r="A355" s="4" t="str">
        <f>IFERROR(__xludf.DUMMYFUNCTION("""COMPUTED_VALUE"""),"")</f>
        <v/>
      </c>
      <c r="B355" s="4" t="str">
        <f>IFERROR(__xludf.DUMMYFUNCTION("""COMPUTED_VALUE"""),"")</f>
        <v/>
      </c>
      <c r="C355" s="4" t="str">
        <f>IFERROR(__xludf.DUMMYFUNCTION("""COMPUTED_VALUE"""),"")</f>
        <v/>
      </c>
      <c r="D355" s="4" t="str">
        <f>IFERROR(__xludf.DUMMYFUNCTION("""COMPUTED_VALUE"""),"")</f>
        <v/>
      </c>
      <c r="E355" s="4" t="str">
        <f>IFERROR(__xludf.DUMMYFUNCTION("""COMPUTED_VALUE"""),"")</f>
        <v/>
      </c>
      <c r="F355" s="4" t="str">
        <f>IFERROR(__xludf.DUMMYFUNCTION("""COMPUTED_VALUE"""),"")</f>
        <v/>
      </c>
      <c r="G355" s="4" t="str">
        <f>IFERROR(__xludf.DUMMYFUNCTION("""COMPUTED_VALUE"""),"")</f>
        <v/>
      </c>
      <c r="H355" s="4" t="str">
        <f>IFERROR(__xludf.DUMMYFUNCTION("""COMPUTED_VALUE"""),"")</f>
        <v/>
      </c>
      <c r="I355" s="4" t="str">
        <f>IFERROR(__xludf.DUMMYFUNCTION("""COMPUTED_VALUE"""),"")</f>
        <v/>
      </c>
      <c r="J355" s="4" t="str">
        <f>IFERROR(__xludf.DUMMYFUNCTION("""COMPUTED_VALUE"""),"")</f>
        <v/>
      </c>
      <c r="K355" s="4" t="str">
        <f>IFERROR(__xludf.DUMMYFUNCTION("""COMPUTED_VALUE"""),"")</f>
        <v/>
      </c>
    </row>
    <row r="356">
      <c r="A356" s="4" t="str">
        <f>IFERROR(__xludf.DUMMYFUNCTION("""COMPUTED_VALUE"""),"")</f>
        <v/>
      </c>
      <c r="B356" s="4" t="str">
        <f>IFERROR(__xludf.DUMMYFUNCTION("""COMPUTED_VALUE"""),"")</f>
        <v/>
      </c>
      <c r="C356" s="4" t="str">
        <f>IFERROR(__xludf.DUMMYFUNCTION("""COMPUTED_VALUE"""),"")</f>
        <v/>
      </c>
      <c r="D356" s="4" t="str">
        <f>IFERROR(__xludf.DUMMYFUNCTION("""COMPUTED_VALUE"""),"")</f>
        <v/>
      </c>
      <c r="E356" s="4" t="str">
        <f>IFERROR(__xludf.DUMMYFUNCTION("""COMPUTED_VALUE"""),"")</f>
        <v/>
      </c>
      <c r="F356" s="4" t="str">
        <f>IFERROR(__xludf.DUMMYFUNCTION("""COMPUTED_VALUE"""),"")</f>
        <v/>
      </c>
      <c r="G356" s="4" t="str">
        <f>IFERROR(__xludf.DUMMYFUNCTION("""COMPUTED_VALUE"""),"")</f>
        <v/>
      </c>
      <c r="H356" s="4" t="str">
        <f>IFERROR(__xludf.DUMMYFUNCTION("""COMPUTED_VALUE"""),"")</f>
        <v/>
      </c>
      <c r="I356" s="4" t="str">
        <f>IFERROR(__xludf.DUMMYFUNCTION("""COMPUTED_VALUE"""),"")</f>
        <v/>
      </c>
      <c r="J356" s="4" t="str">
        <f>IFERROR(__xludf.DUMMYFUNCTION("""COMPUTED_VALUE"""),"")</f>
        <v/>
      </c>
      <c r="K356" s="4" t="str">
        <f>IFERROR(__xludf.DUMMYFUNCTION("""COMPUTED_VALUE"""),"")</f>
        <v/>
      </c>
    </row>
    <row r="357">
      <c r="A357" s="4" t="str">
        <f>IFERROR(__xludf.DUMMYFUNCTION("""COMPUTED_VALUE"""),"")</f>
        <v/>
      </c>
      <c r="B357" s="4" t="str">
        <f>IFERROR(__xludf.DUMMYFUNCTION("""COMPUTED_VALUE"""),"")</f>
        <v/>
      </c>
      <c r="C357" s="4" t="str">
        <f>IFERROR(__xludf.DUMMYFUNCTION("""COMPUTED_VALUE"""),"")</f>
        <v/>
      </c>
      <c r="D357" s="4" t="str">
        <f>IFERROR(__xludf.DUMMYFUNCTION("""COMPUTED_VALUE"""),"")</f>
        <v/>
      </c>
      <c r="E357" s="4" t="str">
        <f>IFERROR(__xludf.DUMMYFUNCTION("""COMPUTED_VALUE"""),"")</f>
        <v/>
      </c>
      <c r="F357" s="4" t="str">
        <f>IFERROR(__xludf.DUMMYFUNCTION("""COMPUTED_VALUE"""),"")</f>
        <v/>
      </c>
      <c r="G357" s="4" t="str">
        <f>IFERROR(__xludf.DUMMYFUNCTION("""COMPUTED_VALUE"""),"")</f>
        <v/>
      </c>
      <c r="H357" s="4" t="str">
        <f>IFERROR(__xludf.DUMMYFUNCTION("""COMPUTED_VALUE"""),"")</f>
        <v/>
      </c>
      <c r="I357" s="4" t="str">
        <f>IFERROR(__xludf.DUMMYFUNCTION("""COMPUTED_VALUE"""),"")</f>
        <v/>
      </c>
      <c r="J357" s="4" t="str">
        <f>IFERROR(__xludf.DUMMYFUNCTION("""COMPUTED_VALUE"""),"")</f>
        <v/>
      </c>
      <c r="K357" s="4" t="str">
        <f>IFERROR(__xludf.DUMMYFUNCTION("""COMPUTED_VALUE"""),"")</f>
        <v/>
      </c>
    </row>
    <row r="358">
      <c r="A358" s="4" t="str">
        <f>IFERROR(__xludf.DUMMYFUNCTION("""COMPUTED_VALUE"""),"")</f>
        <v/>
      </c>
      <c r="B358" s="4" t="str">
        <f>IFERROR(__xludf.DUMMYFUNCTION("""COMPUTED_VALUE"""),"")</f>
        <v/>
      </c>
      <c r="C358" s="4" t="str">
        <f>IFERROR(__xludf.DUMMYFUNCTION("""COMPUTED_VALUE"""),"")</f>
        <v/>
      </c>
      <c r="D358" s="4" t="str">
        <f>IFERROR(__xludf.DUMMYFUNCTION("""COMPUTED_VALUE"""),"")</f>
        <v/>
      </c>
      <c r="E358" s="4" t="str">
        <f>IFERROR(__xludf.DUMMYFUNCTION("""COMPUTED_VALUE"""),"")</f>
        <v/>
      </c>
      <c r="F358" s="4" t="str">
        <f>IFERROR(__xludf.DUMMYFUNCTION("""COMPUTED_VALUE"""),"")</f>
        <v/>
      </c>
      <c r="G358" s="4" t="str">
        <f>IFERROR(__xludf.DUMMYFUNCTION("""COMPUTED_VALUE"""),"")</f>
        <v/>
      </c>
      <c r="H358" s="4" t="str">
        <f>IFERROR(__xludf.DUMMYFUNCTION("""COMPUTED_VALUE"""),"")</f>
        <v/>
      </c>
      <c r="I358" s="4" t="str">
        <f>IFERROR(__xludf.DUMMYFUNCTION("""COMPUTED_VALUE"""),"")</f>
        <v/>
      </c>
      <c r="J358" s="4" t="str">
        <f>IFERROR(__xludf.DUMMYFUNCTION("""COMPUTED_VALUE"""),"")</f>
        <v/>
      </c>
      <c r="K358" s="4" t="str">
        <f>IFERROR(__xludf.DUMMYFUNCTION("""COMPUTED_VALUE"""),"")</f>
        <v/>
      </c>
    </row>
    <row r="359">
      <c r="A359" s="4" t="str">
        <f>IFERROR(__xludf.DUMMYFUNCTION("""COMPUTED_VALUE"""),"")</f>
        <v/>
      </c>
      <c r="B359" s="4" t="str">
        <f>IFERROR(__xludf.DUMMYFUNCTION("""COMPUTED_VALUE"""),"")</f>
        <v/>
      </c>
      <c r="C359" s="4" t="str">
        <f>IFERROR(__xludf.DUMMYFUNCTION("""COMPUTED_VALUE"""),"")</f>
        <v/>
      </c>
      <c r="D359" s="4" t="str">
        <f>IFERROR(__xludf.DUMMYFUNCTION("""COMPUTED_VALUE"""),"")</f>
        <v/>
      </c>
      <c r="E359" s="4" t="str">
        <f>IFERROR(__xludf.DUMMYFUNCTION("""COMPUTED_VALUE"""),"")</f>
        <v/>
      </c>
      <c r="F359" s="4" t="str">
        <f>IFERROR(__xludf.DUMMYFUNCTION("""COMPUTED_VALUE"""),"")</f>
        <v/>
      </c>
      <c r="G359" s="4" t="str">
        <f>IFERROR(__xludf.DUMMYFUNCTION("""COMPUTED_VALUE"""),"")</f>
        <v/>
      </c>
      <c r="H359" s="4" t="str">
        <f>IFERROR(__xludf.DUMMYFUNCTION("""COMPUTED_VALUE"""),"")</f>
        <v/>
      </c>
      <c r="I359" s="4" t="str">
        <f>IFERROR(__xludf.DUMMYFUNCTION("""COMPUTED_VALUE"""),"")</f>
        <v/>
      </c>
      <c r="J359" s="4" t="str">
        <f>IFERROR(__xludf.DUMMYFUNCTION("""COMPUTED_VALUE"""),"")</f>
        <v/>
      </c>
      <c r="K359" s="4" t="str">
        <f>IFERROR(__xludf.DUMMYFUNCTION("""COMPUTED_VALUE"""),"")</f>
        <v/>
      </c>
    </row>
    <row r="360">
      <c r="A360" s="4" t="str">
        <f>IFERROR(__xludf.DUMMYFUNCTION("""COMPUTED_VALUE"""),"")</f>
        <v/>
      </c>
      <c r="B360" s="4" t="str">
        <f>IFERROR(__xludf.DUMMYFUNCTION("""COMPUTED_VALUE"""),"")</f>
        <v/>
      </c>
      <c r="C360" s="4" t="str">
        <f>IFERROR(__xludf.DUMMYFUNCTION("""COMPUTED_VALUE"""),"")</f>
        <v/>
      </c>
      <c r="D360" s="4" t="str">
        <f>IFERROR(__xludf.DUMMYFUNCTION("""COMPUTED_VALUE"""),"")</f>
        <v/>
      </c>
      <c r="E360" s="4" t="str">
        <f>IFERROR(__xludf.DUMMYFUNCTION("""COMPUTED_VALUE"""),"")</f>
        <v/>
      </c>
      <c r="F360" s="4" t="str">
        <f>IFERROR(__xludf.DUMMYFUNCTION("""COMPUTED_VALUE"""),"")</f>
        <v/>
      </c>
      <c r="G360" s="4" t="str">
        <f>IFERROR(__xludf.DUMMYFUNCTION("""COMPUTED_VALUE"""),"")</f>
        <v/>
      </c>
      <c r="H360" s="4" t="str">
        <f>IFERROR(__xludf.DUMMYFUNCTION("""COMPUTED_VALUE"""),"")</f>
        <v/>
      </c>
      <c r="I360" s="4" t="str">
        <f>IFERROR(__xludf.DUMMYFUNCTION("""COMPUTED_VALUE"""),"")</f>
        <v/>
      </c>
      <c r="J360" s="4" t="str">
        <f>IFERROR(__xludf.DUMMYFUNCTION("""COMPUTED_VALUE"""),"")</f>
        <v/>
      </c>
      <c r="K360" s="4" t="str">
        <f>IFERROR(__xludf.DUMMYFUNCTION("""COMPUTED_VALUE"""),"")</f>
        <v/>
      </c>
    </row>
    <row r="361">
      <c r="A361" s="4" t="str">
        <f>IFERROR(__xludf.DUMMYFUNCTION("""COMPUTED_VALUE"""),"")</f>
        <v/>
      </c>
      <c r="B361" s="4" t="str">
        <f>IFERROR(__xludf.DUMMYFUNCTION("""COMPUTED_VALUE"""),"")</f>
        <v/>
      </c>
      <c r="C361" s="4" t="str">
        <f>IFERROR(__xludf.DUMMYFUNCTION("""COMPUTED_VALUE"""),"")</f>
        <v/>
      </c>
      <c r="D361" s="4" t="str">
        <f>IFERROR(__xludf.DUMMYFUNCTION("""COMPUTED_VALUE"""),"")</f>
        <v/>
      </c>
      <c r="E361" s="4" t="str">
        <f>IFERROR(__xludf.DUMMYFUNCTION("""COMPUTED_VALUE"""),"")</f>
        <v/>
      </c>
      <c r="F361" s="4" t="str">
        <f>IFERROR(__xludf.DUMMYFUNCTION("""COMPUTED_VALUE"""),"")</f>
        <v/>
      </c>
      <c r="G361" s="4" t="str">
        <f>IFERROR(__xludf.DUMMYFUNCTION("""COMPUTED_VALUE"""),"")</f>
        <v/>
      </c>
      <c r="H361" s="4" t="str">
        <f>IFERROR(__xludf.DUMMYFUNCTION("""COMPUTED_VALUE"""),"")</f>
        <v/>
      </c>
      <c r="I361" s="4" t="str">
        <f>IFERROR(__xludf.DUMMYFUNCTION("""COMPUTED_VALUE"""),"")</f>
        <v/>
      </c>
      <c r="J361" s="4" t="str">
        <f>IFERROR(__xludf.DUMMYFUNCTION("""COMPUTED_VALUE"""),"")</f>
        <v/>
      </c>
      <c r="K361" s="4" t="str">
        <f>IFERROR(__xludf.DUMMYFUNCTION("""COMPUTED_VALUE"""),"")</f>
        <v/>
      </c>
    </row>
    <row r="362">
      <c r="A362" s="4" t="str">
        <f>IFERROR(__xludf.DUMMYFUNCTION("""COMPUTED_VALUE"""),"")</f>
        <v/>
      </c>
      <c r="B362" s="4" t="str">
        <f>IFERROR(__xludf.DUMMYFUNCTION("""COMPUTED_VALUE"""),"")</f>
        <v/>
      </c>
      <c r="C362" s="4" t="str">
        <f>IFERROR(__xludf.DUMMYFUNCTION("""COMPUTED_VALUE"""),"")</f>
        <v/>
      </c>
      <c r="D362" s="4" t="str">
        <f>IFERROR(__xludf.DUMMYFUNCTION("""COMPUTED_VALUE"""),"")</f>
        <v/>
      </c>
      <c r="E362" s="4" t="str">
        <f>IFERROR(__xludf.DUMMYFUNCTION("""COMPUTED_VALUE"""),"")</f>
        <v/>
      </c>
      <c r="F362" s="4" t="str">
        <f>IFERROR(__xludf.DUMMYFUNCTION("""COMPUTED_VALUE"""),"")</f>
        <v/>
      </c>
      <c r="G362" s="4" t="str">
        <f>IFERROR(__xludf.DUMMYFUNCTION("""COMPUTED_VALUE"""),"")</f>
        <v/>
      </c>
      <c r="H362" s="4" t="str">
        <f>IFERROR(__xludf.DUMMYFUNCTION("""COMPUTED_VALUE"""),"")</f>
        <v/>
      </c>
      <c r="I362" s="4" t="str">
        <f>IFERROR(__xludf.DUMMYFUNCTION("""COMPUTED_VALUE"""),"")</f>
        <v/>
      </c>
      <c r="J362" s="4" t="str">
        <f>IFERROR(__xludf.DUMMYFUNCTION("""COMPUTED_VALUE"""),"")</f>
        <v/>
      </c>
      <c r="K362" s="4" t="str">
        <f>IFERROR(__xludf.DUMMYFUNCTION("""COMPUTED_VALUE"""),"")</f>
        <v/>
      </c>
    </row>
    <row r="363">
      <c r="A363" s="4" t="str">
        <f>IFERROR(__xludf.DUMMYFUNCTION("""COMPUTED_VALUE"""),"")</f>
        <v/>
      </c>
      <c r="B363" s="4" t="str">
        <f>IFERROR(__xludf.DUMMYFUNCTION("""COMPUTED_VALUE"""),"")</f>
        <v/>
      </c>
      <c r="C363" s="4" t="str">
        <f>IFERROR(__xludf.DUMMYFUNCTION("""COMPUTED_VALUE"""),"")</f>
        <v/>
      </c>
      <c r="D363" s="4" t="str">
        <f>IFERROR(__xludf.DUMMYFUNCTION("""COMPUTED_VALUE"""),"")</f>
        <v/>
      </c>
      <c r="E363" s="4" t="str">
        <f>IFERROR(__xludf.DUMMYFUNCTION("""COMPUTED_VALUE"""),"")</f>
        <v/>
      </c>
      <c r="F363" s="4" t="str">
        <f>IFERROR(__xludf.DUMMYFUNCTION("""COMPUTED_VALUE"""),"")</f>
        <v/>
      </c>
      <c r="G363" s="4" t="str">
        <f>IFERROR(__xludf.DUMMYFUNCTION("""COMPUTED_VALUE"""),"")</f>
        <v/>
      </c>
      <c r="H363" s="4" t="str">
        <f>IFERROR(__xludf.DUMMYFUNCTION("""COMPUTED_VALUE"""),"")</f>
        <v/>
      </c>
      <c r="I363" s="4" t="str">
        <f>IFERROR(__xludf.DUMMYFUNCTION("""COMPUTED_VALUE"""),"")</f>
        <v/>
      </c>
      <c r="J363" s="4" t="str">
        <f>IFERROR(__xludf.DUMMYFUNCTION("""COMPUTED_VALUE"""),"")</f>
        <v/>
      </c>
      <c r="K363" s="4" t="str">
        <f>IFERROR(__xludf.DUMMYFUNCTION("""COMPUTED_VALUE"""),"")</f>
        <v/>
      </c>
    </row>
    <row r="364">
      <c r="A364" s="4" t="str">
        <f>IFERROR(__xludf.DUMMYFUNCTION("""COMPUTED_VALUE"""),"")</f>
        <v/>
      </c>
      <c r="B364" s="4" t="str">
        <f>IFERROR(__xludf.DUMMYFUNCTION("""COMPUTED_VALUE"""),"")</f>
        <v/>
      </c>
      <c r="C364" s="4" t="str">
        <f>IFERROR(__xludf.DUMMYFUNCTION("""COMPUTED_VALUE"""),"")</f>
        <v/>
      </c>
      <c r="D364" s="4" t="str">
        <f>IFERROR(__xludf.DUMMYFUNCTION("""COMPUTED_VALUE"""),"")</f>
        <v/>
      </c>
      <c r="E364" s="4" t="str">
        <f>IFERROR(__xludf.DUMMYFUNCTION("""COMPUTED_VALUE"""),"")</f>
        <v/>
      </c>
      <c r="F364" s="4" t="str">
        <f>IFERROR(__xludf.DUMMYFUNCTION("""COMPUTED_VALUE"""),"")</f>
        <v/>
      </c>
      <c r="G364" s="4" t="str">
        <f>IFERROR(__xludf.DUMMYFUNCTION("""COMPUTED_VALUE"""),"")</f>
        <v/>
      </c>
      <c r="H364" s="4" t="str">
        <f>IFERROR(__xludf.DUMMYFUNCTION("""COMPUTED_VALUE"""),"")</f>
        <v/>
      </c>
      <c r="I364" s="4" t="str">
        <f>IFERROR(__xludf.DUMMYFUNCTION("""COMPUTED_VALUE"""),"")</f>
        <v/>
      </c>
      <c r="J364" s="4" t="str">
        <f>IFERROR(__xludf.DUMMYFUNCTION("""COMPUTED_VALUE"""),"")</f>
        <v/>
      </c>
      <c r="K364" s="4" t="str">
        <f>IFERROR(__xludf.DUMMYFUNCTION("""COMPUTED_VALUE"""),"")</f>
        <v/>
      </c>
    </row>
    <row r="365">
      <c r="A365" s="4" t="str">
        <f>IFERROR(__xludf.DUMMYFUNCTION("""COMPUTED_VALUE"""),"")</f>
        <v/>
      </c>
      <c r="B365" s="4" t="str">
        <f>IFERROR(__xludf.DUMMYFUNCTION("""COMPUTED_VALUE"""),"")</f>
        <v/>
      </c>
      <c r="C365" s="4" t="str">
        <f>IFERROR(__xludf.DUMMYFUNCTION("""COMPUTED_VALUE"""),"")</f>
        <v/>
      </c>
      <c r="D365" s="4" t="str">
        <f>IFERROR(__xludf.DUMMYFUNCTION("""COMPUTED_VALUE"""),"")</f>
        <v/>
      </c>
      <c r="E365" s="4" t="str">
        <f>IFERROR(__xludf.DUMMYFUNCTION("""COMPUTED_VALUE"""),"")</f>
        <v/>
      </c>
      <c r="F365" s="4" t="str">
        <f>IFERROR(__xludf.DUMMYFUNCTION("""COMPUTED_VALUE"""),"")</f>
        <v/>
      </c>
      <c r="G365" s="4" t="str">
        <f>IFERROR(__xludf.DUMMYFUNCTION("""COMPUTED_VALUE"""),"")</f>
        <v/>
      </c>
      <c r="H365" s="4" t="str">
        <f>IFERROR(__xludf.DUMMYFUNCTION("""COMPUTED_VALUE"""),"")</f>
        <v/>
      </c>
      <c r="I365" s="4" t="str">
        <f>IFERROR(__xludf.DUMMYFUNCTION("""COMPUTED_VALUE"""),"")</f>
        <v/>
      </c>
      <c r="J365" s="4" t="str">
        <f>IFERROR(__xludf.DUMMYFUNCTION("""COMPUTED_VALUE"""),"")</f>
        <v/>
      </c>
      <c r="K365" s="4" t="str">
        <f>IFERROR(__xludf.DUMMYFUNCTION("""COMPUTED_VALUE"""),"")</f>
        <v/>
      </c>
    </row>
    <row r="366">
      <c r="A366" s="4" t="str">
        <f>IFERROR(__xludf.DUMMYFUNCTION("""COMPUTED_VALUE"""),"")</f>
        <v/>
      </c>
      <c r="B366" s="4" t="str">
        <f>IFERROR(__xludf.DUMMYFUNCTION("""COMPUTED_VALUE"""),"")</f>
        <v/>
      </c>
      <c r="C366" s="4" t="str">
        <f>IFERROR(__xludf.DUMMYFUNCTION("""COMPUTED_VALUE"""),"")</f>
        <v/>
      </c>
      <c r="D366" s="4" t="str">
        <f>IFERROR(__xludf.DUMMYFUNCTION("""COMPUTED_VALUE"""),"")</f>
        <v/>
      </c>
      <c r="E366" s="4" t="str">
        <f>IFERROR(__xludf.DUMMYFUNCTION("""COMPUTED_VALUE"""),"")</f>
        <v/>
      </c>
      <c r="F366" s="4" t="str">
        <f>IFERROR(__xludf.DUMMYFUNCTION("""COMPUTED_VALUE"""),"")</f>
        <v/>
      </c>
      <c r="G366" s="4" t="str">
        <f>IFERROR(__xludf.DUMMYFUNCTION("""COMPUTED_VALUE"""),"")</f>
        <v/>
      </c>
      <c r="H366" s="4" t="str">
        <f>IFERROR(__xludf.DUMMYFUNCTION("""COMPUTED_VALUE"""),"")</f>
        <v/>
      </c>
      <c r="I366" s="4" t="str">
        <f>IFERROR(__xludf.DUMMYFUNCTION("""COMPUTED_VALUE"""),"")</f>
        <v/>
      </c>
      <c r="J366" s="4" t="str">
        <f>IFERROR(__xludf.DUMMYFUNCTION("""COMPUTED_VALUE"""),"")</f>
        <v/>
      </c>
      <c r="K366" s="4" t="str">
        <f>IFERROR(__xludf.DUMMYFUNCTION("""COMPUTED_VALUE"""),"")</f>
        <v/>
      </c>
    </row>
    <row r="367">
      <c r="A367" s="4" t="str">
        <f>IFERROR(__xludf.DUMMYFUNCTION("""COMPUTED_VALUE"""),"")</f>
        <v/>
      </c>
      <c r="B367" s="4" t="str">
        <f>IFERROR(__xludf.DUMMYFUNCTION("""COMPUTED_VALUE"""),"")</f>
        <v/>
      </c>
      <c r="C367" s="4" t="str">
        <f>IFERROR(__xludf.DUMMYFUNCTION("""COMPUTED_VALUE"""),"")</f>
        <v/>
      </c>
      <c r="D367" s="4" t="str">
        <f>IFERROR(__xludf.DUMMYFUNCTION("""COMPUTED_VALUE"""),"")</f>
        <v/>
      </c>
      <c r="E367" s="4" t="str">
        <f>IFERROR(__xludf.DUMMYFUNCTION("""COMPUTED_VALUE"""),"")</f>
        <v/>
      </c>
      <c r="F367" s="4" t="str">
        <f>IFERROR(__xludf.DUMMYFUNCTION("""COMPUTED_VALUE"""),"")</f>
        <v/>
      </c>
      <c r="G367" s="4" t="str">
        <f>IFERROR(__xludf.DUMMYFUNCTION("""COMPUTED_VALUE"""),"")</f>
        <v/>
      </c>
      <c r="H367" s="4" t="str">
        <f>IFERROR(__xludf.DUMMYFUNCTION("""COMPUTED_VALUE"""),"")</f>
        <v/>
      </c>
      <c r="I367" s="4" t="str">
        <f>IFERROR(__xludf.DUMMYFUNCTION("""COMPUTED_VALUE"""),"")</f>
        <v/>
      </c>
      <c r="J367" s="4" t="str">
        <f>IFERROR(__xludf.DUMMYFUNCTION("""COMPUTED_VALUE"""),"")</f>
        <v/>
      </c>
      <c r="K367" s="4" t="str">
        <f>IFERROR(__xludf.DUMMYFUNCTION("""COMPUTED_VALUE"""),"")</f>
        <v/>
      </c>
    </row>
    <row r="368">
      <c r="A368" s="4" t="str">
        <f>IFERROR(__xludf.DUMMYFUNCTION("""COMPUTED_VALUE"""),"")</f>
        <v/>
      </c>
      <c r="B368" s="4" t="str">
        <f>IFERROR(__xludf.DUMMYFUNCTION("""COMPUTED_VALUE"""),"")</f>
        <v/>
      </c>
      <c r="C368" s="4" t="str">
        <f>IFERROR(__xludf.DUMMYFUNCTION("""COMPUTED_VALUE"""),"")</f>
        <v/>
      </c>
      <c r="D368" s="4" t="str">
        <f>IFERROR(__xludf.DUMMYFUNCTION("""COMPUTED_VALUE"""),"")</f>
        <v/>
      </c>
      <c r="E368" s="4" t="str">
        <f>IFERROR(__xludf.DUMMYFUNCTION("""COMPUTED_VALUE"""),"")</f>
        <v/>
      </c>
      <c r="F368" s="4" t="str">
        <f>IFERROR(__xludf.DUMMYFUNCTION("""COMPUTED_VALUE"""),"")</f>
        <v/>
      </c>
      <c r="G368" s="4" t="str">
        <f>IFERROR(__xludf.DUMMYFUNCTION("""COMPUTED_VALUE"""),"")</f>
        <v/>
      </c>
      <c r="H368" s="4" t="str">
        <f>IFERROR(__xludf.DUMMYFUNCTION("""COMPUTED_VALUE"""),"")</f>
        <v/>
      </c>
      <c r="I368" s="4" t="str">
        <f>IFERROR(__xludf.DUMMYFUNCTION("""COMPUTED_VALUE"""),"")</f>
        <v/>
      </c>
      <c r="J368" s="4" t="str">
        <f>IFERROR(__xludf.DUMMYFUNCTION("""COMPUTED_VALUE"""),"")</f>
        <v/>
      </c>
      <c r="K368" s="4" t="str">
        <f>IFERROR(__xludf.DUMMYFUNCTION("""COMPUTED_VALUE"""),"")</f>
        <v/>
      </c>
    </row>
    <row r="369">
      <c r="A369" s="4" t="str">
        <f>IFERROR(__xludf.DUMMYFUNCTION("""COMPUTED_VALUE"""),"")</f>
        <v/>
      </c>
      <c r="B369" s="4" t="str">
        <f>IFERROR(__xludf.DUMMYFUNCTION("""COMPUTED_VALUE"""),"")</f>
        <v/>
      </c>
      <c r="C369" s="4" t="str">
        <f>IFERROR(__xludf.DUMMYFUNCTION("""COMPUTED_VALUE"""),"")</f>
        <v/>
      </c>
      <c r="D369" s="4" t="str">
        <f>IFERROR(__xludf.DUMMYFUNCTION("""COMPUTED_VALUE"""),"")</f>
        <v/>
      </c>
      <c r="E369" s="4" t="str">
        <f>IFERROR(__xludf.DUMMYFUNCTION("""COMPUTED_VALUE"""),"")</f>
        <v/>
      </c>
      <c r="F369" s="4" t="str">
        <f>IFERROR(__xludf.DUMMYFUNCTION("""COMPUTED_VALUE"""),"")</f>
        <v/>
      </c>
      <c r="G369" s="4" t="str">
        <f>IFERROR(__xludf.DUMMYFUNCTION("""COMPUTED_VALUE"""),"")</f>
        <v/>
      </c>
      <c r="H369" s="4" t="str">
        <f>IFERROR(__xludf.DUMMYFUNCTION("""COMPUTED_VALUE"""),"")</f>
        <v/>
      </c>
      <c r="I369" s="4" t="str">
        <f>IFERROR(__xludf.DUMMYFUNCTION("""COMPUTED_VALUE"""),"")</f>
        <v/>
      </c>
      <c r="J369" s="4" t="str">
        <f>IFERROR(__xludf.DUMMYFUNCTION("""COMPUTED_VALUE"""),"")</f>
        <v/>
      </c>
      <c r="K369" s="4" t="str">
        <f>IFERROR(__xludf.DUMMYFUNCTION("""COMPUTED_VALUE"""),"")</f>
        <v/>
      </c>
    </row>
    <row r="370">
      <c r="A370" s="4" t="str">
        <f>IFERROR(__xludf.DUMMYFUNCTION("""COMPUTED_VALUE"""),"")</f>
        <v/>
      </c>
      <c r="B370" s="4" t="str">
        <f>IFERROR(__xludf.DUMMYFUNCTION("""COMPUTED_VALUE"""),"")</f>
        <v/>
      </c>
      <c r="C370" s="4" t="str">
        <f>IFERROR(__xludf.DUMMYFUNCTION("""COMPUTED_VALUE"""),"")</f>
        <v/>
      </c>
      <c r="D370" s="4" t="str">
        <f>IFERROR(__xludf.DUMMYFUNCTION("""COMPUTED_VALUE"""),"")</f>
        <v/>
      </c>
      <c r="E370" s="4" t="str">
        <f>IFERROR(__xludf.DUMMYFUNCTION("""COMPUTED_VALUE"""),"")</f>
        <v/>
      </c>
      <c r="F370" s="4" t="str">
        <f>IFERROR(__xludf.DUMMYFUNCTION("""COMPUTED_VALUE"""),"")</f>
        <v/>
      </c>
      <c r="G370" s="4" t="str">
        <f>IFERROR(__xludf.DUMMYFUNCTION("""COMPUTED_VALUE"""),"")</f>
        <v/>
      </c>
      <c r="H370" s="4" t="str">
        <f>IFERROR(__xludf.DUMMYFUNCTION("""COMPUTED_VALUE"""),"")</f>
        <v/>
      </c>
      <c r="I370" s="4" t="str">
        <f>IFERROR(__xludf.DUMMYFUNCTION("""COMPUTED_VALUE"""),"")</f>
        <v/>
      </c>
      <c r="J370" s="4" t="str">
        <f>IFERROR(__xludf.DUMMYFUNCTION("""COMPUTED_VALUE"""),"")</f>
        <v/>
      </c>
      <c r="K370" s="4" t="str">
        <f>IFERROR(__xludf.DUMMYFUNCTION("""COMPUTED_VALUE"""),"")</f>
        <v/>
      </c>
    </row>
    <row r="371">
      <c r="A371" s="4" t="str">
        <f>IFERROR(__xludf.DUMMYFUNCTION("""COMPUTED_VALUE"""),"")</f>
        <v/>
      </c>
      <c r="B371" s="4" t="str">
        <f>IFERROR(__xludf.DUMMYFUNCTION("""COMPUTED_VALUE"""),"")</f>
        <v/>
      </c>
      <c r="C371" s="4" t="str">
        <f>IFERROR(__xludf.DUMMYFUNCTION("""COMPUTED_VALUE"""),"")</f>
        <v/>
      </c>
      <c r="D371" s="4" t="str">
        <f>IFERROR(__xludf.DUMMYFUNCTION("""COMPUTED_VALUE"""),"")</f>
        <v/>
      </c>
      <c r="E371" s="4" t="str">
        <f>IFERROR(__xludf.DUMMYFUNCTION("""COMPUTED_VALUE"""),"")</f>
        <v/>
      </c>
      <c r="F371" s="4" t="str">
        <f>IFERROR(__xludf.DUMMYFUNCTION("""COMPUTED_VALUE"""),"")</f>
        <v/>
      </c>
      <c r="G371" s="4" t="str">
        <f>IFERROR(__xludf.DUMMYFUNCTION("""COMPUTED_VALUE"""),"")</f>
        <v/>
      </c>
      <c r="H371" s="4" t="str">
        <f>IFERROR(__xludf.DUMMYFUNCTION("""COMPUTED_VALUE"""),"")</f>
        <v/>
      </c>
      <c r="I371" s="4" t="str">
        <f>IFERROR(__xludf.DUMMYFUNCTION("""COMPUTED_VALUE"""),"")</f>
        <v/>
      </c>
      <c r="J371" s="4" t="str">
        <f>IFERROR(__xludf.DUMMYFUNCTION("""COMPUTED_VALUE"""),"")</f>
        <v/>
      </c>
      <c r="K371" s="4" t="str">
        <f>IFERROR(__xludf.DUMMYFUNCTION("""COMPUTED_VALUE"""),"")</f>
        <v/>
      </c>
    </row>
    <row r="372">
      <c r="A372" s="4" t="str">
        <f>IFERROR(__xludf.DUMMYFUNCTION("""COMPUTED_VALUE"""),"")</f>
        <v/>
      </c>
      <c r="B372" s="4" t="str">
        <f>IFERROR(__xludf.DUMMYFUNCTION("""COMPUTED_VALUE"""),"")</f>
        <v/>
      </c>
      <c r="C372" s="4" t="str">
        <f>IFERROR(__xludf.DUMMYFUNCTION("""COMPUTED_VALUE"""),"")</f>
        <v/>
      </c>
      <c r="D372" s="4" t="str">
        <f>IFERROR(__xludf.DUMMYFUNCTION("""COMPUTED_VALUE"""),"")</f>
        <v/>
      </c>
      <c r="E372" s="4" t="str">
        <f>IFERROR(__xludf.DUMMYFUNCTION("""COMPUTED_VALUE"""),"")</f>
        <v/>
      </c>
      <c r="F372" s="4" t="str">
        <f>IFERROR(__xludf.DUMMYFUNCTION("""COMPUTED_VALUE"""),"")</f>
        <v/>
      </c>
      <c r="G372" s="4" t="str">
        <f>IFERROR(__xludf.DUMMYFUNCTION("""COMPUTED_VALUE"""),"")</f>
        <v/>
      </c>
      <c r="H372" s="4" t="str">
        <f>IFERROR(__xludf.DUMMYFUNCTION("""COMPUTED_VALUE"""),"")</f>
        <v/>
      </c>
      <c r="I372" s="4" t="str">
        <f>IFERROR(__xludf.DUMMYFUNCTION("""COMPUTED_VALUE"""),"")</f>
        <v/>
      </c>
      <c r="J372" s="4" t="str">
        <f>IFERROR(__xludf.DUMMYFUNCTION("""COMPUTED_VALUE"""),"")</f>
        <v/>
      </c>
      <c r="K372" s="4" t="str">
        <f>IFERROR(__xludf.DUMMYFUNCTION("""COMPUTED_VALUE"""),"")</f>
        <v/>
      </c>
    </row>
    <row r="373">
      <c r="A373" s="4" t="str">
        <f>IFERROR(__xludf.DUMMYFUNCTION("""COMPUTED_VALUE"""),"")</f>
        <v/>
      </c>
      <c r="B373" s="4" t="str">
        <f>IFERROR(__xludf.DUMMYFUNCTION("""COMPUTED_VALUE"""),"")</f>
        <v/>
      </c>
      <c r="C373" s="4" t="str">
        <f>IFERROR(__xludf.DUMMYFUNCTION("""COMPUTED_VALUE"""),"")</f>
        <v/>
      </c>
      <c r="D373" s="4" t="str">
        <f>IFERROR(__xludf.DUMMYFUNCTION("""COMPUTED_VALUE"""),"")</f>
        <v/>
      </c>
      <c r="E373" s="4" t="str">
        <f>IFERROR(__xludf.DUMMYFUNCTION("""COMPUTED_VALUE"""),"")</f>
        <v/>
      </c>
      <c r="F373" s="4" t="str">
        <f>IFERROR(__xludf.DUMMYFUNCTION("""COMPUTED_VALUE"""),"")</f>
        <v/>
      </c>
      <c r="G373" s="4" t="str">
        <f>IFERROR(__xludf.DUMMYFUNCTION("""COMPUTED_VALUE"""),"")</f>
        <v/>
      </c>
      <c r="H373" s="4" t="str">
        <f>IFERROR(__xludf.DUMMYFUNCTION("""COMPUTED_VALUE"""),"")</f>
        <v/>
      </c>
      <c r="I373" s="4" t="str">
        <f>IFERROR(__xludf.DUMMYFUNCTION("""COMPUTED_VALUE"""),"")</f>
        <v/>
      </c>
      <c r="J373" s="4" t="str">
        <f>IFERROR(__xludf.DUMMYFUNCTION("""COMPUTED_VALUE"""),"")</f>
        <v/>
      </c>
      <c r="K373" s="4" t="str">
        <f>IFERROR(__xludf.DUMMYFUNCTION("""COMPUTED_VALUE"""),"")</f>
        <v/>
      </c>
    </row>
    <row r="374">
      <c r="A374" s="4" t="str">
        <f>IFERROR(__xludf.DUMMYFUNCTION("""COMPUTED_VALUE"""),"")</f>
        <v/>
      </c>
      <c r="B374" s="4" t="str">
        <f>IFERROR(__xludf.DUMMYFUNCTION("""COMPUTED_VALUE"""),"")</f>
        <v/>
      </c>
      <c r="C374" s="4" t="str">
        <f>IFERROR(__xludf.DUMMYFUNCTION("""COMPUTED_VALUE"""),"")</f>
        <v/>
      </c>
      <c r="D374" s="4" t="str">
        <f>IFERROR(__xludf.DUMMYFUNCTION("""COMPUTED_VALUE"""),"")</f>
        <v/>
      </c>
      <c r="E374" s="4" t="str">
        <f>IFERROR(__xludf.DUMMYFUNCTION("""COMPUTED_VALUE"""),"")</f>
        <v/>
      </c>
      <c r="F374" s="4" t="str">
        <f>IFERROR(__xludf.DUMMYFUNCTION("""COMPUTED_VALUE"""),"")</f>
        <v/>
      </c>
      <c r="G374" s="4" t="str">
        <f>IFERROR(__xludf.DUMMYFUNCTION("""COMPUTED_VALUE"""),"")</f>
        <v/>
      </c>
      <c r="H374" s="4" t="str">
        <f>IFERROR(__xludf.DUMMYFUNCTION("""COMPUTED_VALUE"""),"")</f>
        <v/>
      </c>
      <c r="I374" s="4" t="str">
        <f>IFERROR(__xludf.DUMMYFUNCTION("""COMPUTED_VALUE"""),"")</f>
        <v/>
      </c>
      <c r="J374" s="4" t="str">
        <f>IFERROR(__xludf.DUMMYFUNCTION("""COMPUTED_VALUE"""),"")</f>
        <v/>
      </c>
      <c r="K374" s="4" t="str">
        <f>IFERROR(__xludf.DUMMYFUNCTION("""COMPUTED_VALUE"""),"")</f>
        <v/>
      </c>
    </row>
    <row r="375">
      <c r="A375" s="4" t="str">
        <f>IFERROR(__xludf.DUMMYFUNCTION("""COMPUTED_VALUE"""),"")</f>
        <v/>
      </c>
      <c r="B375" s="4" t="str">
        <f>IFERROR(__xludf.DUMMYFUNCTION("""COMPUTED_VALUE"""),"")</f>
        <v/>
      </c>
      <c r="C375" s="4" t="str">
        <f>IFERROR(__xludf.DUMMYFUNCTION("""COMPUTED_VALUE"""),"")</f>
        <v/>
      </c>
      <c r="D375" s="4" t="str">
        <f>IFERROR(__xludf.DUMMYFUNCTION("""COMPUTED_VALUE"""),"")</f>
        <v/>
      </c>
      <c r="E375" s="4" t="str">
        <f>IFERROR(__xludf.DUMMYFUNCTION("""COMPUTED_VALUE"""),"")</f>
        <v/>
      </c>
      <c r="F375" s="4" t="str">
        <f>IFERROR(__xludf.DUMMYFUNCTION("""COMPUTED_VALUE"""),"")</f>
        <v/>
      </c>
      <c r="G375" s="4" t="str">
        <f>IFERROR(__xludf.DUMMYFUNCTION("""COMPUTED_VALUE"""),"")</f>
        <v/>
      </c>
      <c r="H375" s="4" t="str">
        <f>IFERROR(__xludf.DUMMYFUNCTION("""COMPUTED_VALUE"""),"")</f>
        <v/>
      </c>
      <c r="I375" s="4" t="str">
        <f>IFERROR(__xludf.DUMMYFUNCTION("""COMPUTED_VALUE"""),"")</f>
        <v/>
      </c>
      <c r="J375" s="4" t="str">
        <f>IFERROR(__xludf.DUMMYFUNCTION("""COMPUTED_VALUE"""),"")</f>
        <v/>
      </c>
      <c r="K375" s="4" t="str">
        <f>IFERROR(__xludf.DUMMYFUNCTION("""COMPUTED_VALUE"""),"")</f>
        <v/>
      </c>
    </row>
    <row r="376">
      <c r="A376" s="4" t="str">
        <f>IFERROR(__xludf.DUMMYFUNCTION("""COMPUTED_VALUE"""),"")</f>
        <v/>
      </c>
      <c r="B376" s="4" t="str">
        <f>IFERROR(__xludf.DUMMYFUNCTION("""COMPUTED_VALUE"""),"")</f>
        <v/>
      </c>
      <c r="C376" s="4" t="str">
        <f>IFERROR(__xludf.DUMMYFUNCTION("""COMPUTED_VALUE"""),"")</f>
        <v/>
      </c>
      <c r="D376" s="4" t="str">
        <f>IFERROR(__xludf.DUMMYFUNCTION("""COMPUTED_VALUE"""),"")</f>
        <v/>
      </c>
      <c r="E376" s="4" t="str">
        <f>IFERROR(__xludf.DUMMYFUNCTION("""COMPUTED_VALUE"""),"")</f>
        <v/>
      </c>
      <c r="F376" s="4" t="str">
        <f>IFERROR(__xludf.DUMMYFUNCTION("""COMPUTED_VALUE"""),"")</f>
        <v/>
      </c>
      <c r="G376" s="4" t="str">
        <f>IFERROR(__xludf.DUMMYFUNCTION("""COMPUTED_VALUE"""),"")</f>
        <v/>
      </c>
      <c r="H376" s="4" t="str">
        <f>IFERROR(__xludf.DUMMYFUNCTION("""COMPUTED_VALUE"""),"")</f>
        <v/>
      </c>
      <c r="I376" s="4" t="str">
        <f>IFERROR(__xludf.DUMMYFUNCTION("""COMPUTED_VALUE"""),"")</f>
        <v/>
      </c>
      <c r="J376" s="4" t="str">
        <f>IFERROR(__xludf.DUMMYFUNCTION("""COMPUTED_VALUE"""),"")</f>
        <v/>
      </c>
      <c r="K376" s="4" t="str">
        <f>IFERROR(__xludf.DUMMYFUNCTION("""COMPUTED_VALUE"""),"")</f>
        <v/>
      </c>
    </row>
    <row r="377">
      <c r="A377" s="4" t="str">
        <f>IFERROR(__xludf.DUMMYFUNCTION("""COMPUTED_VALUE"""),"")</f>
        <v/>
      </c>
      <c r="B377" s="4" t="str">
        <f>IFERROR(__xludf.DUMMYFUNCTION("""COMPUTED_VALUE"""),"")</f>
        <v/>
      </c>
      <c r="C377" s="4" t="str">
        <f>IFERROR(__xludf.DUMMYFUNCTION("""COMPUTED_VALUE"""),"")</f>
        <v/>
      </c>
      <c r="D377" s="4" t="str">
        <f>IFERROR(__xludf.DUMMYFUNCTION("""COMPUTED_VALUE"""),"")</f>
        <v/>
      </c>
      <c r="E377" s="4" t="str">
        <f>IFERROR(__xludf.DUMMYFUNCTION("""COMPUTED_VALUE"""),"")</f>
        <v/>
      </c>
      <c r="F377" s="4" t="str">
        <f>IFERROR(__xludf.DUMMYFUNCTION("""COMPUTED_VALUE"""),"")</f>
        <v/>
      </c>
      <c r="G377" s="4" t="str">
        <f>IFERROR(__xludf.DUMMYFUNCTION("""COMPUTED_VALUE"""),"")</f>
        <v/>
      </c>
      <c r="H377" s="4" t="str">
        <f>IFERROR(__xludf.DUMMYFUNCTION("""COMPUTED_VALUE"""),"")</f>
        <v/>
      </c>
      <c r="I377" s="4" t="str">
        <f>IFERROR(__xludf.DUMMYFUNCTION("""COMPUTED_VALUE"""),"")</f>
        <v/>
      </c>
      <c r="J377" s="4" t="str">
        <f>IFERROR(__xludf.DUMMYFUNCTION("""COMPUTED_VALUE"""),"")</f>
        <v/>
      </c>
      <c r="K377" s="4" t="str">
        <f>IFERROR(__xludf.DUMMYFUNCTION("""COMPUTED_VALUE"""),"")</f>
        <v/>
      </c>
    </row>
    <row r="378">
      <c r="A378" s="4" t="str">
        <f>IFERROR(__xludf.DUMMYFUNCTION("""COMPUTED_VALUE"""),"")</f>
        <v/>
      </c>
      <c r="B378" s="4" t="str">
        <f>IFERROR(__xludf.DUMMYFUNCTION("""COMPUTED_VALUE"""),"")</f>
        <v/>
      </c>
      <c r="C378" s="4" t="str">
        <f>IFERROR(__xludf.DUMMYFUNCTION("""COMPUTED_VALUE"""),"")</f>
        <v/>
      </c>
      <c r="D378" s="4" t="str">
        <f>IFERROR(__xludf.DUMMYFUNCTION("""COMPUTED_VALUE"""),"")</f>
        <v/>
      </c>
      <c r="E378" s="4" t="str">
        <f>IFERROR(__xludf.DUMMYFUNCTION("""COMPUTED_VALUE"""),"")</f>
        <v/>
      </c>
      <c r="F378" s="4" t="str">
        <f>IFERROR(__xludf.DUMMYFUNCTION("""COMPUTED_VALUE"""),"")</f>
        <v/>
      </c>
      <c r="G378" s="4" t="str">
        <f>IFERROR(__xludf.DUMMYFUNCTION("""COMPUTED_VALUE"""),"")</f>
        <v/>
      </c>
      <c r="H378" s="4" t="str">
        <f>IFERROR(__xludf.DUMMYFUNCTION("""COMPUTED_VALUE"""),"")</f>
        <v/>
      </c>
      <c r="I378" s="4" t="str">
        <f>IFERROR(__xludf.DUMMYFUNCTION("""COMPUTED_VALUE"""),"")</f>
        <v/>
      </c>
      <c r="J378" s="4" t="str">
        <f>IFERROR(__xludf.DUMMYFUNCTION("""COMPUTED_VALUE"""),"")</f>
        <v/>
      </c>
      <c r="K378" s="4" t="str">
        <f>IFERROR(__xludf.DUMMYFUNCTION("""COMPUTED_VALUE"""),"")</f>
        <v/>
      </c>
    </row>
    <row r="379">
      <c r="A379" s="4" t="str">
        <f>IFERROR(__xludf.DUMMYFUNCTION("""COMPUTED_VALUE"""),"")</f>
        <v/>
      </c>
      <c r="B379" s="4" t="str">
        <f>IFERROR(__xludf.DUMMYFUNCTION("""COMPUTED_VALUE"""),"")</f>
        <v/>
      </c>
      <c r="C379" s="4" t="str">
        <f>IFERROR(__xludf.DUMMYFUNCTION("""COMPUTED_VALUE"""),"")</f>
        <v/>
      </c>
      <c r="D379" s="4" t="str">
        <f>IFERROR(__xludf.DUMMYFUNCTION("""COMPUTED_VALUE"""),"")</f>
        <v/>
      </c>
      <c r="E379" s="4" t="str">
        <f>IFERROR(__xludf.DUMMYFUNCTION("""COMPUTED_VALUE"""),"")</f>
        <v/>
      </c>
      <c r="F379" s="4" t="str">
        <f>IFERROR(__xludf.DUMMYFUNCTION("""COMPUTED_VALUE"""),"")</f>
        <v/>
      </c>
      <c r="G379" s="4" t="str">
        <f>IFERROR(__xludf.DUMMYFUNCTION("""COMPUTED_VALUE"""),"")</f>
        <v/>
      </c>
      <c r="H379" s="4" t="str">
        <f>IFERROR(__xludf.DUMMYFUNCTION("""COMPUTED_VALUE"""),"")</f>
        <v/>
      </c>
      <c r="I379" s="4" t="str">
        <f>IFERROR(__xludf.DUMMYFUNCTION("""COMPUTED_VALUE"""),"")</f>
        <v/>
      </c>
      <c r="J379" s="4" t="str">
        <f>IFERROR(__xludf.DUMMYFUNCTION("""COMPUTED_VALUE"""),"")</f>
        <v/>
      </c>
      <c r="K379" s="4" t="str">
        <f>IFERROR(__xludf.DUMMYFUNCTION("""COMPUTED_VALUE"""),"")</f>
        <v/>
      </c>
    </row>
    <row r="380">
      <c r="A380" s="4" t="str">
        <f>IFERROR(__xludf.DUMMYFUNCTION("""COMPUTED_VALUE"""),"")</f>
        <v/>
      </c>
      <c r="B380" s="4" t="str">
        <f>IFERROR(__xludf.DUMMYFUNCTION("""COMPUTED_VALUE"""),"")</f>
        <v/>
      </c>
      <c r="C380" s="4" t="str">
        <f>IFERROR(__xludf.DUMMYFUNCTION("""COMPUTED_VALUE"""),"")</f>
        <v/>
      </c>
      <c r="D380" s="4" t="str">
        <f>IFERROR(__xludf.DUMMYFUNCTION("""COMPUTED_VALUE"""),"")</f>
        <v/>
      </c>
      <c r="E380" s="4" t="str">
        <f>IFERROR(__xludf.DUMMYFUNCTION("""COMPUTED_VALUE"""),"")</f>
        <v/>
      </c>
      <c r="F380" s="4" t="str">
        <f>IFERROR(__xludf.DUMMYFUNCTION("""COMPUTED_VALUE"""),"")</f>
        <v/>
      </c>
      <c r="G380" s="4" t="str">
        <f>IFERROR(__xludf.DUMMYFUNCTION("""COMPUTED_VALUE"""),"")</f>
        <v/>
      </c>
      <c r="H380" s="4" t="str">
        <f>IFERROR(__xludf.DUMMYFUNCTION("""COMPUTED_VALUE"""),"")</f>
        <v/>
      </c>
      <c r="I380" s="4" t="str">
        <f>IFERROR(__xludf.DUMMYFUNCTION("""COMPUTED_VALUE"""),"")</f>
        <v/>
      </c>
      <c r="J380" s="4" t="str">
        <f>IFERROR(__xludf.DUMMYFUNCTION("""COMPUTED_VALUE"""),"")</f>
        <v/>
      </c>
      <c r="K380" s="4" t="str">
        <f>IFERROR(__xludf.DUMMYFUNCTION("""COMPUTED_VALUE"""),"")</f>
        <v/>
      </c>
    </row>
    <row r="381">
      <c r="A381" s="4" t="str">
        <f>IFERROR(__xludf.DUMMYFUNCTION("""COMPUTED_VALUE"""),"")</f>
        <v/>
      </c>
      <c r="B381" s="4" t="str">
        <f>IFERROR(__xludf.DUMMYFUNCTION("""COMPUTED_VALUE"""),"")</f>
        <v/>
      </c>
      <c r="C381" s="4" t="str">
        <f>IFERROR(__xludf.DUMMYFUNCTION("""COMPUTED_VALUE"""),"")</f>
        <v/>
      </c>
      <c r="D381" s="4" t="str">
        <f>IFERROR(__xludf.DUMMYFUNCTION("""COMPUTED_VALUE"""),"")</f>
        <v/>
      </c>
      <c r="E381" s="4" t="str">
        <f>IFERROR(__xludf.DUMMYFUNCTION("""COMPUTED_VALUE"""),"")</f>
        <v/>
      </c>
      <c r="F381" s="4" t="str">
        <f>IFERROR(__xludf.DUMMYFUNCTION("""COMPUTED_VALUE"""),"")</f>
        <v/>
      </c>
      <c r="G381" s="4" t="str">
        <f>IFERROR(__xludf.DUMMYFUNCTION("""COMPUTED_VALUE"""),"")</f>
        <v/>
      </c>
      <c r="H381" s="4" t="str">
        <f>IFERROR(__xludf.DUMMYFUNCTION("""COMPUTED_VALUE"""),"")</f>
        <v/>
      </c>
      <c r="I381" s="4" t="str">
        <f>IFERROR(__xludf.DUMMYFUNCTION("""COMPUTED_VALUE"""),"")</f>
        <v/>
      </c>
      <c r="J381" s="4" t="str">
        <f>IFERROR(__xludf.DUMMYFUNCTION("""COMPUTED_VALUE"""),"")</f>
        <v/>
      </c>
      <c r="K381" s="4" t="str">
        <f>IFERROR(__xludf.DUMMYFUNCTION("""COMPUTED_VALUE"""),"")</f>
        <v/>
      </c>
    </row>
    <row r="382">
      <c r="A382" s="4" t="str">
        <f>IFERROR(__xludf.DUMMYFUNCTION("""COMPUTED_VALUE"""),"")</f>
        <v/>
      </c>
      <c r="B382" s="4" t="str">
        <f>IFERROR(__xludf.DUMMYFUNCTION("""COMPUTED_VALUE"""),"")</f>
        <v/>
      </c>
      <c r="C382" s="4" t="str">
        <f>IFERROR(__xludf.DUMMYFUNCTION("""COMPUTED_VALUE"""),"")</f>
        <v/>
      </c>
      <c r="D382" s="4" t="str">
        <f>IFERROR(__xludf.DUMMYFUNCTION("""COMPUTED_VALUE"""),"")</f>
        <v/>
      </c>
      <c r="E382" s="4" t="str">
        <f>IFERROR(__xludf.DUMMYFUNCTION("""COMPUTED_VALUE"""),"")</f>
        <v/>
      </c>
      <c r="F382" s="4" t="str">
        <f>IFERROR(__xludf.DUMMYFUNCTION("""COMPUTED_VALUE"""),"")</f>
        <v/>
      </c>
      <c r="G382" s="4" t="str">
        <f>IFERROR(__xludf.DUMMYFUNCTION("""COMPUTED_VALUE"""),"")</f>
        <v/>
      </c>
      <c r="H382" s="4" t="str">
        <f>IFERROR(__xludf.DUMMYFUNCTION("""COMPUTED_VALUE"""),"")</f>
        <v/>
      </c>
      <c r="I382" s="4" t="str">
        <f>IFERROR(__xludf.DUMMYFUNCTION("""COMPUTED_VALUE"""),"")</f>
        <v/>
      </c>
      <c r="J382" s="4" t="str">
        <f>IFERROR(__xludf.DUMMYFUNCTION("""COMPUTED_VALUE"""),"")</f>
        <v/>
      </c>
      <c r="K382" s="4" t="str">
        <f>IFERROR(__xludf.DUMMYFUNCTION("""COMPUTED_VALUE"""),"")</f>
        <v/>
      </c>
    </row>
    <row r="383">
      <c r="A383" s="4" t="str">
        <f>IFERROR(__xludf.DUMMYFUNCTION("""COMPUTED_VALUE"""),"")</f>
        <v/>
      </c>
      <c r="B383" s="4" t="str">
        <f>IFERROR(__xludf.DUMMYFUNCTION("""COMPUTED_VALUE"""),"")</f>
        <v/>
      </c>
      <c r="C383" s="4" t="str">
        <f>IFERROR(__xludf.DUMMYFUNCTION("""COMPUTED_VALUE"""),"")</f>
        <v/>
      </c>
      <c r="D383" s="4" t="str">
        <f>IFERROR(__xludf.DUMMYFUNCTION("""COMPUTED_VALUE"""),"")</f>
        <v/>
      </c>
      <c r="E383" s="4" t="str">
        <f>IFERROR(__xludf.DUMMYFUNCTION("""COMPUTED_VALUE"""),"")</f>
        <v/>
      </c>
      <c r="F383" s="4" t="str">
        <f>IFERROR(__xludf.DUMMYFUNCTION("""COMPUTED_VALUE"""),"")</f>
        <v/>
      </c>
      <c r="G383" s="4" t="str">
        <f>IFERROR(__xludf.DUMMYFUNCTION("""COMPUTED_VALUE"""),"")</f>
        <v/>
      </c>
      <c r="H383" s="4" t="str">
        <f>IFERROR(__xludf.DUMMYFUNCTION("""COMPUTED_VALUE"""),"")</f>
        <v/>
      </c>
      <c r="I383" s="4" t="str">
        <f>IFERROR(__xludf.DUMMYFUNCTION("""COMPUTED_VALUE"""),"")</f>
        <v/>
      </c>
      <c r="J383" s="4" t="str">
        <f>IFERROR(__xludf.DUMMYFUNCTION("""COMPUTED_VALUE"""),"")</f>
        <v/>
      </c>
      <c r="K383" s="4" t="str">
        <f>IFERROR(__xludf.DUMMYFUNCTION("""COMPUTED_VALUE"""),"")</f>
        <v/>
      </c>
    </row>
    <row r="384">
      <c r="A384" s="4" t="str">
        <f>IFERROR(__xludf.DUMMYFUNCTION("""COMPUTED_VALUE"""),"")</f>
        <v/>
      </c>
      <c r="B384" s="4" t="str">
        <f>IFERROR(__xludf.DUMMYFUNCTION("""COMPUTED_VALUE"""),"")</f>
        <v/>
      </c>
      <c r="C384" s="4" t="str">
        <f>IFERROR(__xludf.DUMMYFUNCTION("""COMPUTED_VALUE"""),"")</f>
        <v/>
      </c>
      <c r="D384" s="4" t="str">
        <f>IFERROR(__xludf.DUMMYFUNCTION("""COMPUTED_VALUE"""),"")</f>
        <v/>
      </c>
      <c r="E384" s="4" t="str">
        <f>IFERROR(__xludf.DUMMYFUNCTION("""COMPUTED_VALUE"""),"")</f>
        <v/>
      </c>
      <c r="F384" s="4" t="str">
        <f>IFERROR(__xludf.DUMMYFUNCTION("""COMPUTED_VALUE"""),"")</f>
        <v/>
      </c>
      <c r="G384" s="4" t="str">
        <f>IFERROR(__xludf.DUMMYFUNCTION("""COMPUTED_VALUE"""),"")</f>
        <v/>
      </c>
      <c r="H384" s="4" t="str">
        <f>IFERROR(__xludf.DUMMYFUNCTION("""COMPUTED_VALUE"""),"")</f>
        <v/>
      </c>
      <c r="I384" s="4" t="str">
        <f>IFERROR(__xludf.DUMMYFUNCTION("""COMPUTED_VALUE"""),"")</f>
        <v/>
      </c>
      <c r="J384" s="4" t="str">
        <f>IFERROR(__xludf.DUMMYFUNCTION("""COMPUTED_VALUE"""),"")</f>
        <v/>
      </c>
      <c r="K384" s="4" t="str">
        <f>IFERROR(__xludf.DUMMYFUNCTION("""COMPUTED_VALUE"""),"")</f>
        <v/>
      </c>
    </row>
    <row r="385">
      <c r="A385" s="4" t="str">
        <f>IFERROR(__xludf.DUMMYFUNCTION("""COMPUTED_VALUE"""),"")</f>
        <v/>
      </c>
      <c r="B385" s="4" t="str">
        <f>IFERROR(__xludf.DUMMYFUNCTION("""COMPUTED_VALUE"""),"")</f>
        <v/>
      </c>
      <c r="C385" s="4" t="str">
        <f>IFERROR(__xludf.DUMMYFUNCTION("""COMPUTED_VALUE"""),"")</f>
        <v/>
      </c>
      <c r="D385" s="4" t="str">
        <f>IFERROR(__xludf.DUMMYFUNCTION("""COMPUTED_VALUE"""),"")</f>
        <v/>
      </c>
      <c r="E385" s="4" t="str">
        <f>IFERROR(__xludf.DUMMYFUNCTION("""COMPUTED_VALUE"""),"")</f>
        <v/>
      </c>
      <c r="F385" s="4" t="str">
        <f>IFERROR(__xludf.DUMMYFUNCTION("""COMPUTED_VALUE"""),"")</f>
        <v/>
      </c>
      <c r="G385" s="4" t="str">
        <f>IFERROR(__xludf.DUMMYFUNCTION("""COMPUTED_VALUE"""),"")</f>
        <v/>
      </c>
      <c r="H385" s="4" t="str">
        <f>IFERROR(__xludf.DUMMYFUNCTION("""COMPUTED_VALUE"""),"")</f>
        <v/>
      </c>
      <c r="I385" s="4" t="str">
        <f>IFERROR(__xludf.DUMMYFUNCTION("""COMPUTED_VALUE"""),"")</f>
        <v/>
      </c>
      <c r="J385" s="4" t="str">
        <f>IFERROR(__xludf.DUMMYFUNCTION("""COMPUTED_VALUE"""),"")</f>
        <v/>
      </c>
      <c r="K385" s="4" t="str">
        <f>IFERROR(__xludf.DUMMYFUNCTION("""COMPUTED_VALUE"""),"")</f>
        <v/>
      </c>
    </row>
    <row r="386">
      <c r="A386" s="4" t="str">
        <f>IFERROR(__xludf.DUMMYFUNCTION("""COMPUTED_VALUE"""),"")</f>
        <v/>
      </c>
      <c r="B386" s="4" t="str">
        <f>IFERROR(__xludf.DUMMYFUNCTION("""COMPUTED_VALUE"""),"")</f>
        <v/>
      </c>
      <c r="C386" s="4" t="str">
        <f>IFERROR(__xludf.DUMMYFUNCTION("""COMPUTED_VALUE"""),"")</f>
        <v/>
      </c>
      <c r="D386" s="4" t="str">
        <f>IFERROR(__xludf.DUMMYFUNCTION("""COMPUTED_VALUE"""),"")</f>
        <v/>
      </c>
      <c r="E386" s="4" t="str">
        <f>IFERROR(__xludf.DUMMYFUNCTION("""COMPUTED_VALUE"""),"")</f>
        <v/>
      </c>
      <c r="F386" s="4" t="str">
        <f>IFERROR(__xludf.DUMMYFUNCTION("""COMPUTED_VALUE"""),"")</f>
        <v/>
      </c>
      <c r="G386" s="4" t="str">
        <f>IFERROR(__xludf.DUMMYFUNCTION("""COMPUTED_VALUE"""),"")</f>
        <v/>
      </c>
      <c r="H386" s="4" t="str">
        <f>IFERROR(__xludf.DUMMYFUNCTION("""COMPUTED_VALUE"""),"")</f>
        <v/>
      </c>
      <c r="I386" s="4" t="str">
        <f>IFERROR(__xludf.DUMMYFUNCTION("""COMPUTED_VALUE"""),"")</f>
        <v/>
      </c>
      <c r="J386" s="4" t="str">
        <f>IFERROR(__xludf.DUMMYFUNCTION("""COMPUTED_VALUE"""),"")</f>
        <v/>
      </c>
      <c r="K386" s="4" t="str">
        <f>IFERROR(__xludf.DUMMYFUNCTION("""COMPUTED_VALUE"""),"")</f>
        <v/>
      </c>
    </row>
    <row r="387">
      <c r="A387" s="4" t="str">
        <f>IFERROR(__xludf.DUMMYFUNCTION("""COMPUTED_VALUE"""),"")</f>
        <v/>
      </c>
      <c r="B387" s="4" t="str">
        <f>IFERROR(__xludf.DUMMYFUNCTION("""COMPUTED_VALUE"""),"")</f>
        <v/>
      </c>
      <c r="C387" s="4" t="str">
        <f>IFERROR(__xludf.DUMMYFUNCTION("""COMPUTED_VALUE"""),"")</f>
        <v/>
      </c>
      <c r="D387" s="4" t="str">
        <f>IFERROR(__xludf.DUMMYFUNCTION("""COMPUTED_VALUE"""),"")</f>
        <v/>
      </c>
      <c r="E387" s="4" t="str">
        <f>IFERROR(__xludf.DUMMYFUNCTION("""COMPUTED_VALUE"""),"")</f>
        <v/>
      </c>
      <c r="F387" s="4" t="str">
        <f>IFERROR(__xludf.DUMMYFUNCTION("""COMPUTED_VALUE"""),"")</f>
        <v/>
      </c>
      <c r="G387" s="4" t="str">
        <f>IFERROR(__xludf.DUMMYFUNCTION("""COMPUTED_VALUE"""),"")</f>
        <v/>
      </c>
      <c r="H387" s="4" t="str">
        <f>IFERROR(__xludf.DUMMYFUNCTION("""COMPUTED_VALUE"""),"")</f>
        <v/>
      </c>
      <c r="I387" s="4" t="str">
        <f>IFERROR(__xludf.DUMMYFUNCTION("""COMPUTED_VALUE"""),"")</f>
        <v/>
      </c>
      <c r="J387" s="4" t="str">
        <f>IFERROR(__xludf.DUMMYFUNCTION("""COMPUTED_VALUE"""),"")</f>
        <v/>
      </c>
      <c r="K387" s="4" t="str">
        <f>IFERROR(__xludf.DUMMYFUNCTION("""COMPUTED_VALUE"""),"")</f>
        <v/>
      </c>
    </row>
    <row r="388">
      <c r="A388" s="4" t="str">
        <f>IFERROR(__xludf.DUMMYFUNCTION("""COMPUTED_VALUE"""),"")</f>
        <v/>
      </c>
      <c r="B388" s="4" t="str">
        <f>IFERROR(__xludf.DUMMYFUNCTION("""COMPUTED_VALUE"""),"")</f>
        <v/>
      </c>
      <c r="C388" s="4" t="str">
        <f>IFERROR(__xludf.DUMMYFUNCTION("""COMPUTED_VALUE"""),"")</f>
        <v/>
      </c>
      <c r="D388" s="4" t="str">
        <f>IFERROR(__xludf.DUMMYFUNCTION("""COMPUTED_VALUE"""),"")</f>
        <v/>
      </c>
      <c r="E388" s="4" t="str">
        <f>IFERROR(__xludf.DUMMYFUNCTION("""COMPUTED_VALUE"""),"")</f>
        <v/>
      </c>
      <c r="F388" s="4" t="str">
        <f>IFERROR(__xludf.DUMMYFUNCTION("""COMPUTED_VALUE"""),"")</f>
        <v/>
      </c>
      <c r="G388" s="4" t="str">
        <f>IFERROR(__xludf.DUMMYFUNCTION("""COMPUTED_VALUE"""),"")</f>
        <v/>
      </c>
      <c r="H388" s="4" t="str">
        <f>IFERROR(__xludf.DUMMYFUNCTION("""COMPUTED_VALUE"""),"")</f>
        <v/>
      </c>
      <c r="I388" s="4" t="str">
        <f>IFERROR(__xludf.DUMMYFUNCTION("""COMPUTED_VALUE"""),"")</f>
        <v/>
      </c>
      <c r="J388" s="4" t="str">
        <f>IFERROR(__xludf.DUMMYFUNCTION("""COMPUTED_VALUE"""),"")</f>
        <v/>
      </c>
      <c r="K388" s="4" t="str">
        <f>IFERROR(__xludf.DUMMYFUNCTION("""COMPUTED_VALUE"""),"")</f>
        <v/>
      </c>
    </row>
    <row r="389">
      <c r="A389" s="4" t="str">
        <f>IFERROR(__xludf.DUMMYFUNCTION("""COMPUTED_VALUE"""),"")</f>
        <v/>
      </c>
      <c r="B389" s="4" t="str">
        <f>IFERROR(__xludf.DUMMYFUNCTION("""COMPUTED_VALUE"""),"")</f>
        <v/>
      </c>
      <c r="C389" s="4" t="str">
        <f>IFERROR(__xludf.DUMMYFUNCTION("""COMPUTED_VALUE"""),"")</f>
        <v/>
      </c>
      <c r="D389" s="4" t="str">
        <f>IFERROR(__xludf.DUMMYFUNCTION("""COMPUTED_VALUE"""),"")</f>
        <v/>
      </c>
      <c r="E389" s="4" t="str">
        <f>IFERROR(__xludf.DUMMYFUNCTION("""COMPUTED_VALUE"""),"")</f>
        <v/>
      </c>
      <c r="F389" s="4" t="str">
        <f>IFERROR(__xludf.DUMMYFUNCTION("""COMPUTED_VALUE"""),"")</f>
        <v/>
      </c>
      <c r="G389" s="4" t="str">
        <f>IFERROR(__xludf.DUMMYFUNCTION("""COMPUTED_VALUE"""),"")</f>
        <v/>
      </c>
      <c r="H389" s="4" t="str">
        <f>IFERROR(__xludf.DUMMYFUNCTION("""COMPUTED_VALUE"""),"")</f>
        <v/>
      </c>
      <c r="I389" s="4" t="str">
        <f>IFERROR(__xludf.DUMMYFUNCTION("""COMPUTED_VALUE"""),"")</f>
        <v/>
      </c>
      <c r="J389" s="4" t="str">
        <f>IFERROR(__xludf.DUMMYFUNCTION("""COMPUTED_VALUE"""),"")</f>
        <v/>
      </c>
      <c r="K389" s="4" t="str">
        <f>IFERROR(__xludf.DUMMYFUNCTION("""COMPUTED_VALUE"""),"")</f>
        <v/>
      </c>
    </row>
    <row r="390">
      <c r="A390" s="4" t="str">
        <f>IFERROR(__xludf.DUMMYFUNCTION("""COMPUTED_VALUE"""),"")</f>
        <v/>
      </c>
      <c r="B390" s="4" t="str">
        <f>IFERROR(__xludf.DUMMYFUNCTION("""COMPUTED_VALUE"""),"")</f>
        <v/>
      </c>
      <c r="C390" s="4" t="str">
        <f>IFERROR(__xludf.DUMMYFUNCTION("""COMPUTED_VALUE"""),"")</f>
        <v/>
      </c>
      <c r="D390" s="4" t="str">
        <f>IFERROR(__xludf.DUMMYFUNCTION("""COMPUTED_VALUE"""),"")</f>
        <v/>
      </c>
      <c r="E390" s="4" t="str">
        <f>IFERROR(__xludf.DUMMYFUNCTION("""COMPUTED_VALUE"""),"")</f>
        <v/>
      </c>
      <c r="F390" s="4" t="str">
        <f>IFERROR(__xludf.DUMMYFUNCTION("""COMPUTED_VALUE"""),"")</f>
        <v/>
      </c>
      <c r="G390" s="4" t="str">
        <f>IFERROR(__xludf.DUMMYFUNCTION("""COMPUTED_VALUE"""),"")</f>
        <v/>
      </c>
      <c r="H390" s="4" t="str">
        <f>IFERROR(__xludf.DUMMYFUNCTION("""COMPUTED_VALUE"""),"")</f>
        <v/>
      </c>
      <c r="I390" s="4" t="str">
        <f>IFERROR(__xludf.DUMMYFUNCTION("""COMPUTED_VALUE"""),"")</f>
        <v/>
      </c>
      <c r="J390" s="4" t="str">
        <f>IFERROR(__xludf.DUMMYFUNCTION("""COMPUTED_VALUE"""),"")</f>
        <v/>
      </c>
      <c r="K390" s="4" t="str">
        <f>IFERROR(__xludf.DUMMYFUNCTION("""COMPUTED_VALUE"""),"")</f>
        <v/>
      </c>
    </row>
    <row r="391">
      <c r="A391" s="4" t="str">
        <f>IFERROR(__xludf.DUMMYFUNCTION("""COMPUTED_VALUE"""),"")</f>
        <v/>
      </c>
      <c r="B391" s="4" t="str">
        <f>IFERROR(__xludf.DUMMYFUNCTION("""COMPUTED_VALUE"""),"")</f>
        <v/>
      </c>
      <c r="C391" s="4" t="str">
        <f>IFERROR(__xludf.DUMMYFUNCTION("""COMPUTED_VALUE"""),"")</f>
        <v/>
      </c>
      <c r="D391" s="4" t="str">
        <f>IFERROR(__xludf.DUMMYFUNCTION("""COMPUTED_VALUE"""),"")</f>
        <v/>
      </c>
      <c r="E391" s="4" t="str">
        <f>IFERROR(__xludf.DUMMYFUNCTION("""COMPUTED_VALUE"""),"")</f>
        <v/>
      </c>
      <c r="F391" s="4" t="str">
        <f>IFERROR(__xludf.DUMMYFUNCTION("""COMPUTED_VALUE"""),"")</f>
        <v/>
      </c>
      <c r="G391" s="4" t="str">
        <f>IFERROR(__xludf.DUMMYFUNCTION("""COMPUTED_VALUE"""),"")</f>
        <v/>
      </c>
      <c r="H391" s="4" t="str">
        <f>IFERROR(__xludf.DUMMYFUNCTION("""COMPUTED_VALUE"""),"")</f>
        <v/>
      </c>
      <c r="I391" s="4" t="str">
        <f>IFERROR(__xludf.DUMMYFUNCTION("""COMPUTED_VALUE"""),"")</f>
        <v/>
      </c>
      <c r="J391" s="4" t="str">
        <f>IFERROR(__xludf.DUMMYFUNCTION("""COMPUTED_VALUE"""),"")</f>
        <v/>
      </c>
      <c r="K391" s="4" t="str">
        <f>IFERROR(__xludf.DUMMYFUNCTION("""COMPUTED_VALUE"""),"")</f>
        <v/>
      </c>
    </row>
    <row r="392">
      <c r="A392" s="4" t="str">
        <f>IFERROR(__xludf.DUMMYFUNCTION("""COMPUTED_VALUE"""),"")</f>
        <v/>
      </c>
      <c r="B392" s="4" t="str">
        <f>IFERROR(__xludf.DUMMYFUNCTION("""COMPUTED_VALUE"""),"")</f>
        <v/>
      </c>
      <c r="C392" s="4" t="str">
        <f>IFERROR(__xludf.DUMMYFUNCTION("""COMPUTED_VALUE"""),"")</f>
        <v/>
      </c>
      <c r="D392" s="4" t="str">
        <f>IFERROR(__xludf.DUMMYFUNCTION("""COMPUTED_VALUE"""),"")</f>
        <v/>
      </c>
      <c r="E392" s="4" t="str">
        <f>IFERROR(__xludf.DUMMYFUNCTION("""COMPUTED_VALUE"""),"")</f>
        <v/>
      </c>
      <c r="F392" s="4" t="str">
        <f>IFERROR(__xludf.DUMMYFUNCTION("""COMPUTED_VALUE"""),"")</f>
        <v/>
      </c>
      <c r="G392" s="4" t="str">
        <f>IFERROR(__xludf.DUMMYFUNCTION("""COMPUTED_VALUE"""),"")</f>
        <v/>
      </c>
      <c r="H392" s="4" t="str">
        <f>IFERROR(__xludf.DUMMYFUNCTION("""COMPUTED_VALUE"""),"")</f>
        <v/>
      </c>
      <c r="I392" s="4" t="str">
        <f>IFERROR(__xludf.DUMMYFUNCTION("""COMPUTED_VALUE"""),"")</f>
        <v/>
      </c>
      <c r="J392" s="4" t="str">
        <f>IFERROR(__xludf.DUMMYFUNCTION("""COMPUTED_VALUE"""),"")</f>
        <v/>
      </c>
      <c r="K392" s="4" t="str">
        <f>IFERROR(__xludf.DUMMYFUNCTION("""COMPUTED_VALUE"""),"")</f>
        <v/>
      </c>
    </row>
    <row r="393">
      <c r="A393" s="4" t="str">
        <f>IFERROR(__xludf.DUMMYFUNCTION("""COMPUTED_VALUE"""),"")</f>
        <v/>
      </c>
      <c r="B393" s="4" t="str">
        <f>IFERROR(__xludf.DUMMYFUNCTION("""COMPUTED_VALUE"""),"")</f>
        <v/>
      </c>
      <c r="C393" s="4" t="str">
        <f>IFERROR(__xludf.DUMMYFUNCTION("""COMPUTED_VALUE"""),"")</f>
        <v/>
      </c>
      <c r="D393" s="4" t="str">
        <f>IFERROR(__xludf.DUMMYFUNCTION("""COMPUTED_VALUE"""),"")</f>
        <v/>
      </c>
      <c r="E393" s="4" t="str">
        <f>IFERROR(__xludf.DUMMYFUNCTION("""COMPUTED_VALUE"""),"")</f>
        <v/>
      </c>
      <c r="F393" s="4" t="str">
        <f>IFERROR(__xludf.DUMMYFUNCTION("""COMPUTED_VALUE"""),"")</f>
        <v/>
      </c>
      <c r="G393" s="4" t="str">
        <f>IFERROR(__xludf.DUMMYFUNCTION("""COMPUTED_VALUE"""),"")</f>
        <v/>
      </c>
      <c r="H393" s="4" t="str">
        <f>IFERROR(__xludf.DUMMYFUNCTION("""COMPUTED_VALUE"""),"")</f>
        <v/>
      </c>
      <c r="I393" s="4" t="str">
        <f>IFERROR(__xludf.DUMMYFUNCTION("""COMPUTED_VALUE"""),"")</f>
        <v/>
      </c>
      <c r="J393" s="4" t="str">
        <f>IFERROR(__xludf.DUMMYFUNCTION("""COMPUTED_VALUE"""),"")</f>
        <v/>
      </c>
      <c r="K393" s="4" t="str">
        <f>IFERROR(__xludf.DUMMYFUNCTION("""COMPUTED_VALUE"""),"")</f>
        <v/>
      </c>
    </row>
    <row r="394">
      <c r="A394" s="4" t="str">
        <f>IFERROR(__xludf.DUMMYFUNCTION("""COMPUTED_VALUE"""),"")</f>
        <v/>
      </c>
      <c r="B394" s="4" t="str">
        <f>IFERROR(__xludf.DUMMYFUNCTION("""COMPUTED_VALUE"""),"")</f>
        <v/>
      </c>
      <c r="C394" s="4" t="str">
        <f>IFERROR(__xludf.DUMMYFUNCTION("""COMPUTED_VALUE"""),"")</f>
        <v/>
      </c>
      <c r="D394" s="4" t="str">
        <f>IFERROR(__xludf.DUMMYFUNCTION("""COMPUTED_VALUE"""),"")</f>
        <v/>
      </c>
      <c r="E394" s="4" t="str">
        <f>IFERROR(__xludf.DUMMYFUNCTION("""COMPUTED_VALUE"""),"")</f>
        <v/>
      </c>
      <c r="F394" s="4" t="str">
        <f>IFERROR(__xludf.DUMMYFUNCTION("""COMPUTED_VALUE"""),"")</f>
        <v/>
      </c>
      <c r="G394" s="4" t="str">
        <f>IFERROR(__xludf.DUMMYFUNCTION("""COMPUTED_VALUE"""),"")</f>
        <v/>
      </c>
      <c r="H394" s="4" t="str">
        <f>IFERROR(__xludf.DUMMYFUNCTION("""COMPUTED_VALUE"""),"")</f>
        <v/>
      </c>
      <c r="I394" s="4" t="str">
        <f>IFERROR(__xludf.DUMMYFUNCTION("""COMPUTED_VALUE"""),"")</f>
        <v/>
      </c>
      <c r="J394" s="4" t="str">
        <f>IFERROR(__xludf.DUMMYFUNCTION("""COMPUTED_VALUE"""),"")</f>
        <v/>
      </c>
      <c r="K394" s="4" t="str">
        <f>IFERROR(__xludf.DUMMYFUNCTION("""COMPUTED_VALUE"""),"")</f>
        <v/>
      </c>
    </row>
    <row r="395">
      <c r="A395" s="4" t="str">
        <f>IFERROR(__xludf.DUMMYFUNCTION("""COMPUTED_VALUE"""),"")</f>
        <v/>
      </c>
      <c r="B395" s="4" t="str">
        <f>IFERROR(__xludf.DUMMYFUNCTION("""COMPUTED_VALUE"""),"")</f>
        <v/>
      </c>
      <c r="C395" s="4" t="str">
        <f>IFERROR(__xludf.DUMMYFUNCTION("""COMPUTED_VALUE"""),"")</f>
        <v/>
      </c>
      <c r="D395" s="4" t="str">
        <f>IFERROR(__xludf.DUMMYFUNCTION("""COMPUTED_VALUE"""),"")</f>
        <v/>
      </c>
      <c r="E395" s="4" t="str">
        <f>IFERROR(__xludf.DUMMYFUNCTION("""COMPUTED_VALUE"""),"")</f>
        <v/>
      </c>
      <c r="F395" s="4" t="str">
        <f>IFERROR(__xludf.DUMMYFUNCTION("""COMPUTED_VALUE"""),"")</f>
        <v/>
      </c>
      <c r="G395" s="4" t="str">
        <f>IFERROR(__xludf.DUMMYFUNCTION("""COMPUTED_VALUE"""),"")</f>
        <v/>
      </c>
      <c r="H395" s="4" t="str">
        <f>IFERROR(__xludf.DUMMYFUNCTION("""COMPUTED_VALUE"""),"")</f>
        <v/>
      </c>
      <c r="I395" s="4" t="str">
        <f>IFERROR(__xludf.DUMMYFUNCTION("""COMPUTED_VALUE"""),"")</f>
        <v/>
      </c>
      <c r="J395" s="4" t="str">
        <f>IFERROR(__xludf.DUMMYFUNCTION("""COMPUTED_VALUE"""),"")</f>
        <v/>
      </c>
      <c r="K395" s="4" t="str">
        <f>IFERROR(__xludf.DUMMYFUNCTION("""COMPUTED_VALUE"""),"")</f>
        <v/>
      </c>
    </row>
    <row r="396">
      <c r="A396" s="4" t="str">
        <f>IFERROR(__xludf.DUMMYFUNCTION("""COMPUTED_VALUE"""),"")</f>
        <v/>
      </c>
      <c r="B396" s="4" t="str">
        <f>IFERROR(__xludf.DUMMYFUNCTION("""COMPUTED_VALUE"""),"")</f>
        <v/>
      </c>
      <c r="C396" s="4" t="str">
        <f>IFERROR(__xludf.DUMMYFUNCTION("""COMPUTED_VALUE"""),"")</f>
        <v/>
      </c>
      <c r="D396" s="4" t="str">
        <f>IFERROR(__xludf.DUMMYFUNCTION("""COMPUTED_VALUE"""),"")</f>
        <v/>
      </c>
      <c r="E396" s="4" t="str">
        <f>IFERROR(__xludf.DUMMYFUNCTION("""COMPUTED_VALUE"""),"")</f>
        <v/>
      </c>
      <c r="F396" s="4" t="str">
        <f>IFERROR(__xludf.DUMMYFUNCTION("""COMPUTED_VALUE"""),"")</f>
        <v/>
      </c>
      <c r="G396" s="4" t="str">
        <f>IFERROR(__xludf.DUMMYFUNCTION("""COMPUTED_VALUE"""),"")</f>
        <v/>
      </c>
      <c r="H396" s="4" t="str">
        <f>IFERROR(__xludf.DUMMYFUNCTION("""COMPUTED_VALUE"""),"")</f>
        <v/>
      </c>
      <c r="I396" s="4" t="str">
        <f>IFERROR(__xludf.DUMMYFUNCTION("""COMPUTED_VALUE"""),"")</f>
        <v/>
      </c>
      <c r="J396" s="4" t="str">
        <f>IFERROR(__xludf.DUMMYFUNCTION("""COMPUTED_VALUE"""),"")</f>
        <v/>
      </c>
      <c r="K396" s="4" t="str">
        <f>IFERROR(__xludf.DUMMYFUNCTION("""COMPUTED_VALUE"""),"")</f>
        <v/>
      </c>
    </row>
    <row r="397">
      <c r="A397" s="4" t="str">
        <f>IFERROR(__xludf.DUMMYFUNCTION("""COMPUTED_VALUE"""),"")</f>
        <v/>
      </c>
      <c r="B397" s="4" t="str">
        <f>IFERROR(__xludf.DUMMYFUNCTION("""COMPUTED_VALUE"""),"")</f>
        <v/>
      </c>
      <c r="C397" s="4" t="str">
        <f>IFERROR(__xludf.DUMMYFUNCTION("""COMPUTED_VALUE"""),"")</f>
        <v/>
      </c>
      <c r="D397" s="4" t="str">
        <f>IFERROR(__xludf.DUMMYFUNCTION("""COMPUTED_VALUE"""),"")</f>
        <v/>
      </c>
      <c r="E397" s="4" t="str">
        <f>IFERROR(__xludf.DUMMYFUNCTION("""COMPUTED_VALUE"""),"")</f>
        <v/>
      </c>
      <c r="F397" s="4" t="str">
        <f>IFERROR(__xludf.DUMMYFUNCTION("""COMPUTED_VALUE"""),"")</f>
        <v/>
      </c>
      <c r="G397" s="4" t="str">
        <f>IFERROR(__xludf.DUMMYFUNCTION("""COMPUTED_VALUE"""),"")</f>
        <v/>
      </c>
      <c r="H397" s="4" t="str">
        <f>IFERROR(__xludf.DUMMYFUNCTION("""COMPUTED_VALUE"""),"")</f>
        <v/>
      </c>
      <c r="I397" s="4" t="str">
        <f>IFERROR(__xludf.DUMMYFUNCTION("""COMPUTED_VALUE"""),"")</f>
        <v/>
      </c>
      <c r="J397" s="4" t="str">
        <f>IFERROR(__xludf.DUMMYFUNCTION("""COMPUTED_VALUE"""),"")</f>
        <v/>
      </c>
      <c r="K397" s="4" t="str">
        <f>IFERROR(__xludf.DUMMYFUNCTION("""COMPUTED_VALUE"""),"")</f>
        <v/>
      </c>
    </row>
    <row r="398">
      <c r="A398" s="4" t="str">
        <f>IFERROR(__xludf.DUMMYFUNCTION("""COMPUTED_VALUE"""),"")</f>
        <v/>
      </c>
      <c r="B398" s="4" t="str">
        <f>IFERROR(__xludf.DUMMYFUNCTION("""COMPUTED_VALUE"""),"")</f>
        <v/>
      </c>
      <c r="C398" s="4" t="str">
        <f>IFERROR(__xludf.DUMMYFUNCTION("""COMPUTED_VALUE"""),"")</f>
        <v/>
      </c>
      <c r="D398" s="4" t="str">
        <f>IFERROR(__xludf.DUMMYFUNCTION("""COMPUTED_VALUE"""),"")</f>
        <v/>
      </c>
      <c r="E398" s="4" t="str">
        <f>IFERROR(__xludf.DUMMYFUNCTION("""COMPUTED_VALUE"""),"")</f>
        <v/>
      </c>
      <c r="F398" s="4" t="str">
        <f>IFERROR(__xludf.DUMMYFUNCTION("""COMPUTED_VALUE"""),"")</f>
        <v/>
      </c>
      <c r="G398" s="4" t="str">
        <f>IFERROR(__xludf.DUMMYFUNCTION("""COMPUTED_VALUE"""),"")</f>
        <v/>
      </c>
      <c r="H398" s="4" t="str">
        <f>IFERROR(__xludf.DUMMYFUNCTION("""COMPUTED_VALUE"""),"")</f>
        <v/>
      </c>
      <c r="I398" s="4" t="str">
        <f>IFERROR(__xludf.DUMMYFUNCTION("""COMPUTED_VALUE"""),"")</f>
        <v/>
      </c>
      <c r="J398" s="4" t="str">
        <f>IFERROR(__xludf.DUMMYFUNCTION("""COMPUTED_VALUE"""),"")</f>
        <v/>
      </c>
      <c r="K398" s="4" t="str">
        <f>IFERROR(__xludf.DUMMYFUNCTION("""COMPUTED_VALUE"""),"")</f>
        <v/>
      </c>
    </row>
    <row r="399">
      <c r="A399" s="4" t="str">
        <f>IFERROR(__xludf.DUMMYFUNCTION("""COMPUTED_VALUE"""),"")</f>
        <v/>
      </c>
      <c r="B399" s="4" t="str">
        <f>IFERROR(__xludf.DUMMYFUNCTION("""COMPUTED_VALUE"""),"")</f>
        <v/>
      </c>
      <c r="C399" s="4" t="str">
        <f>IFERROR(__xludf.DUMMYFUNCTION("""COMPUTED_VALUE"""),"")</f>
        <v/>
      </c>
      <c r="D399" s="4" t="str">
        <f>IFERROR(__xludf.DUMMYFUNCTION("""COMPUTED_VALUE"""),"")</f>
        <v/>
      </c>
      <c r="E399" s="4" t="str">
        <f>IFERROR(__xludf.DUMMYFUNCTION("""COMPUTED_VALUE"""),"")</f>
        <v/>
      </c>
      <c r="F399" s="4" t="str">
        <f>IFERROR(__xludf.DUMMYFUNCTION("""COMPUTED_VALUE"""),"")</f>
        <v/>
      </c>
      <c r="G399" s="4" t="str">
        <f>IFERROR(__xludf.DUMMYFUNCTION("""COMPUTED_VALUE"""),"")</f>
        <v/>
      </c>
      <c r="H399" s="4" t="str">
        <f>IFERROR(__xludf.DUMMYFUNCTION("""COMPUTED_VALUE"""),"")</f>
        <v/>
      </c>
      <c r="I399" s="4" t="str">
        <f>IFERROR(__xludf.DUMMYFUNCTION("""COMPUTED_VALUE"""),"")</f>
        <v/>
      </c>
      <c r="J399" s="4" t="str">
        <f>IFERROR(__xludf.DUMMYFUNCTION("""COMPUTED_VALUE"""),"")</f>
        <v/>
      </c>
      <c r="K399" s="4" t="str">
        <f>IFERROR(__xludf.DUMMYFUNCTION("""COMPUTED_VALUE"""),"")</f>
        <v/>
      </c>
    </row>
    <row r="400">
      <c r="A400" s="4" t="str">
        <f>IFERROR(__xludf.DUMMYFUNCTION("""COMPUTED_VALUE"""),"")</f>
        <v/>
      </c>
      <c r="B400" s="4" t="str">
        <f>IFERROR(__xludf.DUMMYFUNCTION("""COMPUTED_VALUE"""),"")</f>
        <v/>
      </c>
      <c r="C400" s="4" t="str">
        <f>IFERROR(__xludf.DUMMYFUNCTION("""COMPUTED_VALUE"""),"")</f>
        <v/>
      </c>
      <c r="D400" s="4" t="str">
        <f>IFERROR(__xludf.DUMMYFUNCTION("""COMPUTED_VALUE"""),"")</f>
        <v/>
      </c>
      <c r="E400" s="4" t="str">
        <f>IFERROR(__xludf.DUMMYFUNCTION("""COMPUTED_VALUE"""),"")</f>
        <v/>
      </c>
      <c r="F400" s="4" t="str">
        <f>IFERROR(__xludf.DUMMYFUNCTION("""COMPUTED_VALUE"""),"")</f>
        <v/>
      </c>
      <c r="G400" s="4" t="str">
        <f>IFERROR(__xludf.DUMMYFUNCTION("""COMPUTED_VALUE"""),"")</f>
        <v/>
      </c>
      <c r="H400" s="4" t="str">
        <f>IFERROR(__xludf.DUMMYFUNCTION("""COMPUTED_VALUE"""),"")</f>
        <v/>
      </c>
      <c r="I400" s="4" t="str">
        <f>IFERROR(__xludf.DUMMYFUNCTION("""COMPUTED_VALUE"""),"")</f>
        <v/>
      </c>
      <c r="J400" s="4" t="str">
        <f>IFERROR(__xludf.DUMMYFUNCTION("""COMPUTED_VALUE"""),"")</f>
        <v/>
      </c>
      <c r="K400" s="4" t="str">
        <f>IFERROR(__xludf.DUMMYFUNCTION("""COMPUTED_VALUE"""),"")</f>
        <v/>
      </c>
    </row>
    <row r="401">
      <c r="A401" s="4" t="str">
        <f>IFERROR(__xludf.DUMMYFUNCTION("""COMPUTED_VALUE"""),"")</f>
        <v/>
      </c>
      <c r="B401" s="4" t="str">
        <f>IFERROR(__xludf.DUMMYFUNCTION("""COMPUTED_VALUE"""),"")</f>
        <v/>
      </c>
      <c r="C401" s="4" t="str">
        <f>IFERROR(__xludf.DUMMYFUNCTION("""COMPUTED_VALUE"""),"")</f>
        <v/>
      </c>
      <c r="D401" s="4" t="str">
        <f>IFERROR(__xludf.DUMMYFUNCTION("""COMPUTED_VALUE"""),"")</f>
        <v/>
      </c>
      <c r="E401" s="4" t="str">
        <f>IFERROR(__xludf.DUMMYFUNCTION("""COMPUTED_VALUE"""),"")</f>
        <v/>
      </c>
      <c r="F401" s="4" t="str">
        <f>IFERROR(__xludf.DUMMYFUNCTION("""COMPUTED_VALUE"""),"")</f>
        <v/>
      </c>
      <c r="G401" s="4" t="str">
        <f>IFERROR(__xludf.DUMMYFUNCTION("""COMPUTED_VALUE"""),"")</f>
        <v/>
      </c>
      <c r="H401" s="4" t="str">
        <f>IFERROR(__xludf.DUMMYFUNCTION("""COMPUTED_VALUE"""),"")</f>
        <v/>
      </c>
      <c r="I401" s="4" t="str">
        <f>IFERROR(__xludf.DUMMYFUNCTION("""COMPUTED_VALUE"""),"")</f>
        <v/>
      </c>
      <c r="J401" s="4" t="str">
        <f>IFERROR(__xludf.DUMMYFUNCTION("""COMPUTED_VALUE"""),"")</f>
        <v/>
      </c>
      <c r="K401" s="4" t="str">
        <f>IFERROR(__xludf.DUMMYFUNCTION("""COMPUTED_VALUE"""),"")</f>
        <v/>
      </c>
    </row>
    <row r="402">
      <c r="A402" s="4" t="str">
        <f>IFERROR(__xludf.DUMMYFUNCTION("""COMPUTED_VALUE"""),"")</f>
        <v/>
      </c>
      <c r="B402" s="4" t="str">
        <f>IFERROR(__xludf.DUMMYFUNCTION("""COMPUTED_VALUE"""),"")</f>
        <v/>
      </c>
      <c r="C402" s="4" t="str">
        <f>IFERROR(__xludf.DUMMYFUNCTION("""COMPUTED_VALUE"""),"")</f>
        <v/>
      </c>
      <c r="D402" s="4" t="str">
        <f>IFERROR(__xludf.DUMMYFUNCTION("""COMPUTED_VALUE"""),"")</f>
        <v/>
      </c>
      <c r="E402" s="4" t="str">
        <f>IFERROR(__xludf.DUMMYFUNCTION("""COMPUTED_VALUE"""),"")</f>
        <v/>
      </c>
      <c r="F402" s="4" t="str">
        <f>IFERROR(__xludf.DUMMYFUNCTION("""COMPUTED_VALUE"""),"")</f>
        <v/>
      </c>
      <c r="G402" s="4" t="str">
        <f>IFERROR(__xludf.DUMMYFUNCTION("""COMPUTED_VALUE"""),"")</f>
        <v/>
      </c>
      <c r="H402" s="4" t="str">
        <f>IFERROR(__xludf.DUMMYFUNCTION("""COMPUTED_VALUE"""),"")</f>
        <v/>
      </c>
      <c r="I402" s="4" t="str">
        <f>IFERROR(__xludf.DUMMYFUNCTION("""COMPUTED_VALUE"""),"")</f>
        <v/>
      </c>
      <c r="J402" s="4" t="str">
        <f>IFERROR(__xludf.DUMMYFUNCTION("""COMPUTED_VALUE"""),"")</f>
        <v/>
      </c>
      <c r="K402" s="4" t="str">
        <f>IFERROR(__xludf.DUMMYFUNCTION("""COMPUTED_VALUE"""),"")</f>
        <v/>
      </c>
    </row>
    <row r="403">
      <c r="A403" s="4" t="str">
        <f>IFERROR(__xludf.DUMMYFUNCTION("""COMPUTED_VALUE"""),"")</f>
        <v/>
      </c>
      <c r="B403" s="4" t="str">
        <f>IFERROR(__xludf.DUMMYFUNCTION("""COMPUTED_VALUE"""),"")</f>
        <v/>
      </c>
      <c r="C403" s="4" t="str">
        <f>IFERROR(__xludf.DUMMYFUNCTION("""COMPUTED_VALUE"""),"")</f>
        <v/>
      </c>
      <c r="D403" s="4" t="str">
        <f>IFERROR(__xludf.DUMMYFUNCTION("""COMPUTED_VALUE"""),"")</f>
        <v/>
      </c>
      <c r="E403" s="4" t="str">
        <f>IFERROR(__xludf.DUMMYFUNCTION("""COMPUTED_VALUE"""),"")</f>
        <v/>
      </c>
      <c r="F403" s="4" t="str">
        <f>IFERROR(__xludf.DUMMYFUNCTION("""COMPUTED_VALUE"""),"")</f>
        <v/>
      </c>
      <c r="G403" s="4" t="str">
        <f>IFERROR(__xludf.DUMMYFUNCTION("""COMPUTED_VALUE"""),"")</f>
        <v/>
      </c>
      <c r="H403" s="4" t="str">
        <f>IFERROR(__xludf.DUMMYFUNCTION("""COMPUTED_VALUE"""),"")</f>
        <v/>
      </c>
      <c r="I403" s="4" t="str">
        <f>IFERROR(__xludf.DUMMYFUNCTION("""COMPUTED_VALUE"""),"")</f>
        <v/>
      </c>
      <c r="J403" s="4" t="str">
        <f>IFERROR(__xludf.DUMMYFUNCTION("""COMPUTED_VALUE"""),"")</f>
        <v/>
      </c>
      <c r="K403" s="4" t="str">
        <f>IFERROR(__xludf.DUMMYFUNCTION("""COMPUTED_VALUE"""),"")</f>
        <v/>
      </c>
    </row>
    <row r="404">
      <c r="A404" s="4" t="str">
        <f>IFERROR(__xludf.DUMMYFUNCTION("""COMPUTED_VALUE"""),"")</f>
        <v/>
      </c>
      <c r="B404" s="4" t="str">
        <f>IFERROR(__xludf.DUMMYFUNCTION("""COMPUTED_VALUE"""),"")</f>
        <v/>
      </c>
      <c r="C404" s="4" t="str">
        <f>IFERROR(__xludf.DUMMYFUNCTION("""COMPUTED_VALUE"""),"")</f>
        <v/>
      </c>
      <c r="D404" s="4" t="str">
        <f>IFERROR(__xludf.DUMMYFUNCTION("""COMPUTED_VALUE"""),"")</f>
        <v/>
      </c>
      <c r="E404" s="4" t="str">
        <f>IFERROR(__xludf.DUMMYFUNCTION("""COMPUTED_VALUE"""),"")</f>
        <v/>
      </c>
      <c r="F404" s="4" t="str">
        <f>IFERROR(__xludf.DUMMYFUNCTION("""COMPUTED_VALUE"""),"")</f>
        <v/>
      </c>
      <c r="G404" s="4" t="str">
        <f>IFERROR(__xludf.DUMMYFUNCTION("""COMPUTED_VALUE"""),"")</f>
        <v/>
      </c>
      <c r="H404" s="4" t="str">
        <f>IFERROR(__xludf.DUMMYFUNCTION("""COMPUTED_VALUE"""),"")</f>
        <v/>
      </c>
      <c r="I404" s="4" t="str">
        <f>IFERROR(__xludf.DUMMYFUNCTION("""COMPUTED_VALUE"""),"")</f>
        <v/>
      </c>
      <c r="J404" s="4" t="str">
        <f>IFERROR(__xludf.DUMMYFUNCTION("""COMPUTED_VALUE"""),"")</f>
        <v/>
      </c>
      <c r="K404" s="4" t="str">
        <f>IFERROR(__xludf.DUMMYFUNCTION("""COMPUTED_VALUE"""),"")</f>
        <v/>
      </c>
    </row>
    <row r="405">
      <c r="A405" s="4" t="str">
        <f>IFERROR(__xludf.DUMMYFUNCTION("""COMPUTED_VALUE"""),"")</f>
        <v/>
      </c>
      <c r="B405" s="4" t="str">
        <f>IFERROR(__xludf.DUMMYFUNCTION("""COMPUTED_VALUE"""),"")</f>
        <v/>
      </c>
      <c r="C405" s="4" t="str">
        <f>IFERROR(__xludf.DUMMYFUNCTION("""COMPUTED_VALUE"""),"")</f>
        <v/>
      </c>
      <c r="D405" s="4" t="str">
        <f>IFERROR(__xludf.DUMMYFUNCTION("""COMPUTED_VALUE"""),"")</f>
        <v/>
      </c>
      <c r="E405" s="4" t="str">
        <f>IFERROR(__xludf.DUMMYFUNCTION("""COMPUTED_VALUE"""),"")</f>
        <v/>
      </c>
      <c r="F405" s="4" t="str">
        <f>IFERROR(__xludf.DUMMYFUNCTION("""COMPUTED_VALUE"""),"")</f>
        <v/>
      </c>
      <c r="G405" s="4" t="str">
        <f>IFERROR(__xludf.DUMMYFUNCTION("""COMPUTED_VALUE"""),"")</f>
        <v/>
      </c>
      <c r="H405" s="4" t="str">
        <f>IFERROR(__xludf.DUMMYFUNCTION("""COMPUTED_VALUE"""),"")</f>
        <v/>
      </c>
      <c r="I405" s="4" t="str">
        <f>IFERROR(__xludf.DUMMYFUNCTION("""COMPUTED_VALUE"""),"")</f>
        <v/>
      </c>
      <c r="J405" s="4" t="str">
        <f>IFERROR(__xludf.DUMMYFUNCTION("""COMPUTED_VALUE"""),"")</f>
        <v/>
      </c>
      <c r="K405" s="4" t="str">
        <f>IFERROR(__xludf.DUMMYFUNCTION("""COMPUTED_VALUE"""),"")</f>
        <v/>
      </c>
    </row>
    <row r="406">
      <c r="A406" s="4" t="str">
        <f>IFERROR(__xludf.DUMMYFUNCTION("""COMPUTED_VALUE"""),"")</f>
        <v/>
      </c>
      <c r="B406" s="4" t="str">
        <f>IFERROR(__xludf.DUMMYFUNCTION("""COMPUTED_VALUE"""),"")</f>
        <v/>
      </c>
      <c r="C406" s="4" t="str">
        <f>IFERROR(__xludf.DUMMYFUNCTION("""COMPUTED_VALUE"""),"")</f>
        <v/>
      </c>
      <c r="D406" s="4" t="str">
        <f>IFERROR(__xludf.DUMMYFUNCTION("""COMPUTED_VALUE"""),"")</f>
        <v/>
      </c>
      <c r="E406" s="4" t="str">
        <f>IFERROR(__xludf.DUMMYFUNCTION("""COMPUTED_VALUE"""),"")</f>
        <v/>
      </c>
      <c r="F406" s="4" t="str">
        <f>IFERROR(__xludf.DUMMYFUNCTION("""COMPUTED_VALUE"""),"")</f>
        <v/>
      </c>
      <c r="G406" s="4" t="str">
        <f>IFERROR(__xludf.DUMMYFUNCTION("""COMPUTED_VALUE"""),"")</f>
        <v/>
      </c>
      <c r="H406" s="4" t="str">
        <f>IFERROR(__xludf.DUMMYFUNCTION("""COMPUTED_VALUE"""),"")</f>
        <v/>
      </c>
      <c r="I406" s="4" t="str">
        <f>IFERROR(__xludf.DUMMYFUNCTION("""COMPUTED_VALUE"""),"")</f>
        <v/>
      </c>
      <c r="J406" s="4" t="str">
        <f>IFERROR(__xludf.DUMMYFUNCTION("""COMPUTED_VALUE"""),"")</f>
        <v/>
      </c>
      <c r="K406" s="4" t="str">
        <f>IFERROR(__xludf.DUMMYFUNCTION("""COMPUTED_VALUE"""),"")</f>
        <v/>
      </c>
    </row>
    <row r="407">
      <c r="A407" s="4" t="str">
        <f>IFERROR(__xludf.DUMMYFUNCTION("""COMPUTED_VALUE"""),"")</f>
        <v/>
      </c>
      <c r="B407" s="4" t="str">
        <f>IFERROR(__xludf.DUMMYFUNCTION("""COMPUTED_VALUE"""),"")</f>
        <v/>
      </c>
      <c r="C407" s="4" t="str">
        <f>IFERROR(__xludf.DUMMYFUNCTION("""COMPUTED_VALUE"""),"")</f>
        <v/>
      </c>
      <c r="D407" s="4" t="str">
        <f>IFERROR(__xludf.DUMMYFUNCTION("""COMPUTED_VALUE"""),"")</f>
        <v/>
      </c>
      <c r="E407" s="4" t="str">
        <f>IFERROR(__xludf.DUMMYFUNCTION("""COMPUTED_VALUE"""),"")</f>
        <v/>
      </c>
      <c r="F407" s="4" t="str">
        <f>IFERROR(__xludf.DUMMYFUNCTION("""COMPUTED_VALUE"""),"")</f>
        <v/>
      </c>
      <c r="G407" s="4" t="str">
        <f>IFERROR(__xludf.DUMMYFUNCTION("""COMPUTED_VALUE"""),"")</f>
        <v/>
      </c>
      <c r="H407" s="4" t="str">
        <f>IFERROR(__xludf.DUMMYFUNCTION("""COMPUTED_VALUE"""),"")</f>
        <v/>
      </c>
      <c r="I407" s="4" t="str">
        <f>IFERROR(__xludf.DUMMYFUNCTION("""COMPUTED_VALUE"""),"")</f>
        <v/>
      </c>
      <c r="J407" s="4" t="str">
        <f>IFERROR(__xludf.DUMMYFUNCTION("""COMPUTED_VALUE"""),"")</f>
        <v/>
      </c>
      <c r="K407" s="4" t="str">
        <f>IFERROR(__xludf.DUMMYFUNCTION("""COMPUTED_VALUE"""),"")</f>
        <v/>
      </c>
    </row>
    <row r="408">
      <c r="A408" s="4" t="str">
        <f>IFERROR(__xludf.DUMMYFUNCTION("""COMPUTED_VALUE"""),"")</f>
        <v/>
      </c>
      <c r="B408" s="4" t="str">
        <f>IFERROR(__xludf.DUMMYFUNCTION("""COMPUTED_VALUE"""),"")</f>
        <v/>
      </c>
      <c r="C408" s="4" t="str">
        <f>IFERROR(__xludf.DUMMYFUNCTION("""COMPUTED_VALUE"""),"")</f>
        <v/>
      </c>
      <c r="D408" s="4" t="str">
        <f>IFERROR(__xludf.DUMMYFUNCTION("""COMPUTED_VALUE"""),"")</f>
        <v/>
      </c>
      <c r="E408" s="4" t="str">
        <f>IFERROR(__xludf.DUMMYFUNCTION("""COMPUTED_VALUE"""),"")</f>
        <v/>
      </c>
      <c r="F408" s="4" t="str">
        <f>IFERROR(__xludf.DUMMYFUNCTION("""COMPUTED_VALUE"""),"")</f>
        <v/>
      </c>
      <c r="G408" s="4" t="str">
        <f>IFERROR(__xludf.DUMMYFUNCTION("""COMPUTED_VALUE"""),"")</f>
        <v/>
      </c>
      <c r="H408" s="4" t="str">
        <f>IFERROR(__xludf.DUMMYFUNCTION("""COMPUTED_VALUE"""),"")</f>
        <v/>
      </c>
      <c r="I408" s="4" t="str">
        <f>IFERROR(__xludf.DUMMYFUNCTION("""COMPUTED_VALUE"""),"")</f>
        <v/>
      </c>
      <c r="J408" s="4" t="str">
        <f>IFERROR(__xludf.DUMMYFUNCTION("""COMPUTED_VALUE"""),"")</f>
        <v/>
      </c>
      <c r="K408" s="4" t="str">
        <f>IFERROR(__xludf.DUMMYFUNCTION("""COMPUTED_VALUE"""),"")</f>
        <v/>
      </c>
    </row>
    <row r="409">
      <c r="A409" s="4" t="str">
        <f>IFERROR(__xludf.DUMMYFUNCTION("""COMPUTED_VALUE"""),"")</f>
        <v/>
      </c>
      <c r="B409" s="4" t="str">
        <f>IFERROR(__xludf.DUMMYFUNCTION("""COMPUTED_VALUE"""),"")</f>
        <v/>
      </c>
      <c r="C409" s="4" t="str">
        <f>IFERROR(__xludf.DUMMYFUNCTION("""COMPUTED_VALUE"""),"")</f>
        <v/>
      </c>
      <c r="D409" s="4" t="str">
        <f>IFERROR(__xludf.DUMMYFUNCTION("""COMPUTED_VALUE"""),"")</f>
        <v/>
      </c>
      <c r="E409" s="4" t="str">
        <f>IFERROR(__xludf.DUMMYFUNCTION("""COMPUTED_VALUE"""),"")</f>
        <v/>
      </c>
      <c r="F409" s="4" t="str">
        <f>IFERROR(__xludf.DUMMYFUNCTION("""COMPUTED_VALUE"""),"")</f>
        <v/>
      </c>
      <c r="G409" s="4" t="str">
        <f>IFERROR(__xludf.DUMMYFUNCTION("""COMPUTED_VALUE"""),"")</f>
        <v/>
      </c>
      <c r="H409" s="4" t="str">
        <f>IFERROR(__xludf.DUMMYFUNCTION("""COMPUTED_VALUE"""),"")</f>
        <v/>
      </c>
      <c r="I409" s="4" t="str">
        <f>IFERROR(__xludf.DUMMYFUNCTION("""COMPUTED_VALUE"""),"")</f>
        <v/>
      </c>
      <c r="J409" s="4" t="str">
        <f>IFERROR(__xludf.DUMMYFUNCTION("""COMPUTED_VALUE"""),"")</f>
        <v/>
      </c>
      <c r="K409" s="4" t="str">
        <f>IFERROR(__xludf.DUMMYFUNCTION("""COMPUTED_VALUE"""),"")</f>
        <v/>
      </c>
    </row>
    <row r="410">
      <c r="A410" s="4" t="str">
        <f>IFERROR(__xludf.DUMMYFUNCTION("""COMPUTED_VALUE"""),"")</f>
        <v/>
      </c>
      <c r="B410" s="4" t="str">
        <f>IFERROR(__xludf.DUMMYFUNCTION("""COMPUTED_VALUE"""),"")</f>
        <v/>
      </c>
      <c r="C410" s="4" t="str">
        <f>IFERROR(__xludf.DUMMYFUNCTION("""COMPUTED_VALUE"""),"")</f>
        <v/>
      </c>
      <c r="D410" s="4" t="str">
        <f>IFERROR(__xludf.DUMMYFUNCTION("""COMPUTED_VALUE"""),"")</f>
        <v/>
      </c>
      <c r="E410" s="4" t="str">
        <f>IFERROR(__xludf.DUMMYFUNCTION("""COMPUTED_VALUE"""),"")</f>
        <v/>
      </c>
      <c r="F410" s="4" t="str">
        <f>IFERROR(__xludf.DUMMYFUNCTION("""COMPUTED_VALUE"""),"")</f>
        <v/>
      </c>
      <c r="G410" s="4" t="str">
        <f>IFERROR(__xludf.DUMMYFUNCTION("""COMPUTED_VALUE"""),"")</f>
        <v/>
      </c>
      <c r="H410" s="4" t="str">
        <f>IFERROR(__xludf.DUMMYFUNCTION("""COMPUTED_VALUE"""),"")</f>
        <v/>
      </c>
      <c r="I410" s="4" t="str">
        <f>IFERROR(__xludf.DUMMYFUNCTION("""COMPUTED_VALUE"""),"")</f>
        <v/>
      </c>
      <c r="J410" s="4" t="str">
        <f>IFERROR(__xludf.DUMMYFUNCTION("""COMPUTED_VALUE"""),"")</f>
        <v/>
      </c>
      <c r="K410" s="4" t="str">
        <f>IFERROR(__xludf.DUMMYFUNCTION("""COMPUTED_VALUE"""),"")</f>
        <v/>
      </c>
    </row>
    <row r="411">
      <c r="A411" s="4" t="str">
        <f>IFERROR(__xludf.DUMMYFUNCTION("""COMPUTED_VALUE"""),"")</f>
        <v/>
      </c>
      <c r="B411" s="4" t="str">
        <f>IFERROR(__xludf.DUMMYFUNCTION("""COMPUTED_VALUE"""),"")</f>
        <v/>
      </c>
      <c r="C411" s="4" t="str">
        <f>IFERROR(__xludf.DUMMYFUNCTION("""COMPUTED_VALUE"""),"")</f>
        <v/>
      </c>
      <c r="D411" s="4" t="str">
        <f>IFERROR(__xludf.DUMMYFUNCTION("""COMPUTED_VALUE"""),"")</f>
        <v/>
      </c>
      <c r="E411" s="4" t="str">
        <f>IFERROR(__xludf.DUMMYFUNCTION("""COMPUTED_VALUE"""),"")</f>
        <v/>
      </c>
      <c r="F411" s="4" t="str">
        <f>IFERROR(__xludf.DUMMYFUNCTION("""COMPUTED_VALUE"""),"")</f>
        <v/>
      </c>
      <c r="G411" s="4" t="str">
        <f>IFERROR(__xludf.DUMMYFUNCTION("""COMPUTED_VALUE"""),"")</f>
        <v/>
      </c>
      <c r="H411" s="4" t="str">
        <f>IFERROR(__xludf.DUMMYFUNCTION("""COMPUTED_VALUE"""),"")</f>
        <v/>
      </c>
      <c r="I411" s="4" t="str">
        <f>IFERROR(__xludf.DUMMYFUNCTION("""COMPUTED_VALUE"""),"")</f>
        <v/>
      </c>
      <c r="J411" s="4" t="str">
        <f>IFERROR(__xludf.DUMMYFUNCTION("""COMPUTED_VALUE"""),"")</f>
        <v/>
      </c>
      <c r="K411" s="4" t="str">
        <f>IFERROR(__xludf.DUMMYFUNCTION("""COMPUTED_VALUE"""),"")</f>
        <v/>
      </c>
    </row>
    <row r="412">
      <c r="A412" s="4" t="str">
        <f>IFERROR(__xludf.DUMMYFUNCTION("""COMPUTED_VALUE"""),"")</f>
        <v/>
      </c>
      <c r="B412" s="4" t="str">
        <f>IFERROR(__xludf.DUMMYFUNCTION("""COMPUTED_VALUE"""),"")</f>
        <v/>
      </c>
      <c r="C412" s="4" t="str">
        <f>IFERROR(__xludf.DUMMYFUNCTION("""COMPUTED_VALUE"""),"")</f>
        <v/>
      </c>
      <c r="D412" s="4" t="str">
        <f>IFERROR(__xludf.DUMMYFUNCTION("""COMPUTED_VALUE"""),"")</f>
        <v/>
      </c>
      <c r="E412" s="4" t="str">
        <f>IFERROR(__xludf.DUMMYFUNCTION("""COMPUTED_VALUE"""),"")</f>
        <v/>
      </c>
      <c r="F412" s="4" t="str">
        <f>IFERROR(__xludf.DUMMYFUNCTION("""COMPUTED_VALUE"""),"")</f>
        <v/>
      </c>
      <c r="G412" s="4" t="str">
        <f>IFERROR(__xludf.DUMMYFUNCTION("""COMPUTED_VALUE"""),"")</f>
        <v/>
      </c>
      <c r="H412" s="4" t="str">
        <f>IFERROR(__xludf.DUMMYFUNCTION("""COMPUTED_VALUE"""),"")</f>
        <v/>
      </c>
      <c r="I412" s="4" t="str">
        <f>IFERROR(__xludf.DUMMYFUNCTION("""COMPUTED_VALUE"""),"")</f>
        <v/>
      </c>
      <c r="J412" s="4" t="str">
        <f>IFERROR(__xludf.DUMMYFUNCTION("""COMPUTED_VALUE"""),"")</f>
        <v/>
      </c>
      <c r="K412" s="4" t="str">
        <f>IFERROR(__xludf.DUMMYFUNCTION("""COMPUTED_VALUE"""),"")</f>
        <v/>
      </c>
    </row>
    <row r="413">
      <c r="A413" s="4" t="str">
        <f>IFERROR(__xludf.DUMMYFUNCTION("""COMPUTED_VALUE"""),"")</f>
        <v/>
      </c>
      <c r="B413" s="4" t="str">
        <f>IFERROR(__xludf.DUMMYFUNCTION("""COMPUTED_VALUE"""),"")</f>
        <v/>
      </c>
      <c r="C413" s="4" t="str">
        <f>IFERROR(__xludf.DUMMYFUNCTION("""COMPUTED_VALUE"""),"")</f>
        <v/>
      </c>
      <c r="D413" s="4" t="str">
        <f>IFERROR(__xludf.DUMMYFUNCTION("""COMPUTED_VALUE"""),"")</f>
        <v/>
      </c>
      <c r="E413" s="4" t="str">
        <f>IFERROR(__xludf.DUMMYFUNCTION("""COMPUTED_VALUE"""),"")</f>
        <v/>
      </c>
      <c r="F413" s="4" t="str">
        <f>IFERROR(__xludf.DUMMYFUNCTION("""COMPUTED_VALUE"""),"")</f>
        <v/>
      </c>
      <c r="G413" s="4" t="str">
        <f>IFERROR(__xludf.DUMMYFUNCTION("""COMPUTED_VALUE"""),"")</f>
        <v/>
      </c>
      <c r="H413" s="4" t="str">
        <f>IFERROR(__xludf.DUMMYFUNCTION("""COMPUTED_VALUE"""),"")</f>
        <v/>
      </c>
      <c r="I413" s="4" t="str">
        <f>IFERROR(__xludf.DUMMYFUNCTION("""COMPUTED_VALUE"""),"")</f>
        <v/>
      </c>
      <c r="J413" s="4" t="str">
        <f>IFERROR(__xludf.DUMMYFUNCTION("""COMPUTED_VALUE"""),"")</f>
        <v/>
      </c>
      <c r="K413" s="4" t="str">
        <f>IFERROR(__xludf.DUMMYFUNCTION("""COMPUTED_VALUE"""),"")</f>
        <v/>
      </c>
    </row>
    <row r="414">
      <c r="A414" s="4" t="str">
        <f>IFERROR(__xludf.DUMMYFUNCTION("""COMPUTED_VALUE"""),"")</f>
        <v/>
      </c>
      <c r="B414" s="4" t="str">
        <f>IFERROR(__xludf.DUMMYFUNCTION("""COMPUTED_VALUE"""),"")</f>
        <v/>
      </c>
      <c r="C414" s="4" t="str">
        <f>IFERROR(__xludf.DUMMYFUNCTION("""COMPUTED_VALUE"""),"")</f>
        <v/>
      </c>
      <c r="D414" s="4" t="str">
        <f>IFERROR(__xludf.DUMMYFUNCTION("""COMPUTED_VALUE"""),"")</f>
        <v/>
      </c>
      <c r="E414" s="4" t="str">
        <f>IFERROR(__xludf.DUMMYFUNCTION("""COMPUTED_VALUE"""),"")</f>
        <v/>
      </c>
      <c r="F414" s="4" t="str">
        <f>IFERROR(__xludf.DUMMYFUNCTION("""COMPUTED_VALUE"""),"")</f>
        <v/>
      </c>
      <c r="G414" s="4" t="str">
        <f>IFERROR(__xludf.DUMMYFUNCTION("""COMPUTED_VALUE"""),"")</f>
        <v/>
      </c>
      <c r="H414" s="4" t="str">
        <f>IFERROR(__xludf.DUMMYFUNCTION("""COMPUTED_VALUE"""),"")</f>
        <v/>
      </c>
      <c r="I414" s="4" t="str">
        <f>IFERROR(__xludf.DUMMYFUNCTION("""COMPUTED_VALUE"""),"")</f>
        <v/>
      </c>
      <c r="J414" s="4" t="str">
        <f>IFERROR(__xludf.DUMMYFUNCTION("""COMPUTED_VALUE"""),"")</f>
        <v/>
      </c>
      <c r="K414" s="4" t="str">
        <f>IFERROR(__xludf.DUMMYFUNCTION("""COMPUTED_VALUE"""),"")</f>
        <v/>
      </c>
    </row>
    <row r="415">
      <c r="A415" s="4" t="str">
        <f>IFERROR(__xludf.DUMMYFUNCTION("""COMPUTED_VALUE"""),"")</f>
        <v/>
      </c>
      <c r="B415" s="4" t="str">
        <f>IFERROR(__xludf.DUMMYFUNCTION("""COMPUTED_VALUE"""),"")</f>
        <v/>
      </c>
      <c r="C415" s="4" t="str">
        <f>IFERROR(__xludf.DUMMYFUNCTION("""COMPUTED_VALUE"""),"")</f>
        <v/>
      </c>
      <c r="D415" s="4" t="str">
        <f>IFERROR(__xludf.DUMMYFUNCTION("""COMPUTED_VALUE"""),"")</f>
        <v/>
      </c>
      <c r="E415" s="4" t="str">
        <f>IFERROR(__xludf.DUMMYFUNCTION("""COMPUTED_VALUE"""),"")</f>
        <v/>
      </c>
      <c r="F415" s="4" t="str">
        <f>IFERROR(__xludf.DUMMYFUNCTION("""COMPUTED_VALUE"""),"")</f>
        <v/>
      </c>
      <c r="G415" s="4" t="str">
        <f>IFERROR(__xludf.DUMMYFUNCTION("""COMPUTED_VALUE"""),"")</f>
        <v/>
      </c>
      <c r="H415" s="4" t="str">
        <f>IFERROR(__xludf.DUMMYFUNCTION("""COMPUTED_VALUE"""),"")</f>
        <v/>
      </c>
      <c r="I415" s="4" t="str">
        <f>IFERROR(__xludf.DUMMYFUNCTION("""COMPUTED_VALUE"""),"")</f>
        <v/>
      </c>
      <c r="J415" s="4" t="str">
        <f>IFERROR(__xludf.DUMMYFUNCTION("""COMPUTED_VALUE"""),"")</f>
        <v/>
      </c>
      <c r="K415" s="4" t="str">
        <f>IFERROR(__xludf.DUMMYFUNCTION("""COMPUTED_VALUE"""),"")</f>
        <v/>
      </c>
    </row>
    <row r="416">
      <c r="A416" s="4" t="str">
        <f>IFERROR(__xludf.DUMMYFUNCTION("""COMPUTED_VALUE"""),"")</f>
        <v/>
      </c>
      <c r="B416" s="4" t="str">
        <f>IFERROR(__xludf.DUMMYFUNCTION("""COMPUTED_VALUE"""),"")</f>
        <v/>
      </c>
      <c r="C416" s="4" t="str">
        <f>IFERROR(__xludf.DUMMYFUNCTION("""COMPUTED_VALUE"""),"")</f>
        <v/>
      </c>
      <c r="D416" s="4" t="str">
        <f>IFERROR(__xludf.DUMMYFUNCTION("""COMPUTED_VALUE"""),"")</f>
        <v/>
      </c>
      <c r="E416" s="4" t="str">
        <f>IFERROR(__xludf.DUMMYFUNCTION("""COMPUTED_VALUE"""),"")</f>
        <v/>
      </c>
      <c r="F416" s="4" t="str">
        <f>IFERROR(__xludf.DUMMYFUNCTION("""COMPUTED_VALUE"""),"")</f>
        <v/>
      </c>
      <c r="G416" s="4" t="str">
        <f>IFERROR(__xludf.DUMMYFUNCTION("""COMPUTED_VALUE"""),"")</f>
        <v/>
      </c>
      <c r="H416" s="4" t="str">
        <f>IFERROR(__xludf.DUMMYFUNCTION("""COMPUTED_VALUE"""),"")</f>
        <v/>
      </c>
      <c r="I416" s="4" t="str">
        <f>IFERROR(__xludf.DUMMYFUNCTION("""COMPUTED_VALUE"""),"")</f>
        <v/>
      </c>
      <c r="J416" s="4" t="str">
        <f>IFERROR(__xludf.DUMMYFUNCTION("""COMPUTED_VALUE"""),"")</f>
        <v/>
      </c>
      <c r="K416" s="4" t="str">
        <f>IFERROR(__xludf.DUMMYFUNCTION("""COMPUTED_VALUE"""),"")</f>
        <v/>
      </c>
    </row>
    <row r="417">
      <c r="A417" s="4" t="str">
        <f>IFERROR(__xludf.DUMMYFUNCTION("""COMPUTED_VALUE"""),"")</f>
        <v/>
      </c>
      <c r="B417" s="4" t="str">
        <f>IFERROR(__xludf.DUMMYFUNCTION("""COMPUTED_VALUE"""),"")</f>
        <v/>
      </c>
      <c r="C417" s="4" t="str">
        <f>IFERROR(__xludf.DUMMYFUNCTION("""COMPUTED_VALUE"""),"")</f>
        <v/>
      </c>
      <c r="D417" s="4" t="str">
        <f>IFERROR(__xludf.DUMMYFUNCTION("""COMPUTED_VALUE"""),"")</f>
        <v/>
      </c>
      <c r="E417" s="4" t="str">
        <f>IFERROR(__xludf.DUMMYFUNCTION("""COMPUTED_VALUE"""),"")</f>
        <v/>
      </c>
      <c r="F417" s="4" t="str">
        <f>IFERROR(__xludf.DUMMYFUNCTION("""COMPUTED_VALUE"""),"")</f>
        <v/>
      </c>
      <c r="G417" s="4" t="str">
        <f>IFERROR(__xludf.DUMMYFUNCTION("""COMPUTED_VALUE"""),"")</f>
        <v/>
      </c>
      <c r="H417" s="4" t="str">
        <f>IFERROR(__xludf.DUMMYFUNCTION("""COMPUTED_VALUE"""),"")</f>
        <v/>
      </c>
      <c r="I417" s="4" t="str">
        <f>IFERROR(__xludf.DUMMYFUNCTION("""COMPUTED_VALUE"""),"")</f>
        <v/>
      </c>
      <c r="J417" s="4" t="str">
        <f>IFERROR(__xludf.DUMMYFUNCTION("""COMPUTED_VALUE"""),"")</f>
        <v/>
      </c>
      <c r="K417" s="4" t="str">
        <f>IFERROR(__xludf.DUMMYFUNCTION("""COMPUTED_VALUE"""),"")</f>
        <v/>
      </c>
    </row>
    <row r="418">
      <c r="A418" s="4" t="str">
        <f>IFERROR(__xludf.DUMMYFUNCTION("""COMPUTED_VALUE"""),"")</f>
        <v/>
      </c>
      <c r="B418" s="4" t="str">
        <f>IFERROR(__xludf.DUMMYFUNCTION("""COMPUTED_VALUE"""),"")</f>
        <v/>
      </c>
      <c r="C418" s="4" t="str">
        <f>IFERROR(__xludf.DUMMYFUNCTION("""COMPUTED_VALUE"""),"")</f>
        <v/>
      </c>
      <c r="D418" s="4" t="str">
        <f>IFERROR(__xludf.DUMMYFUNCTION("""COMPUTED_VALUE"""),"")</f>
        <v/>
      </c>
      <c r="E418" s="4" t="str">
        <f>IFERROR(__xludf.DUMMYFUNCTION("""COMPUTED_VALUE"""),"")</f>
        <v/>
      </c>
      <c r="F418" s="4" t="str">
        <f>IFERROR(__xludf.DUMMYFUNCTION("""COMPUTED_VALUE"""),"")</f>
        <v/>
      </c>
      <c r="G418" s="4" t="str">
        <f>IFERROR(__xludf.DUMMYFUNCTION("""COMPUTED_VALUE"""),"")</f>
        <v/>
      </c>
      <c r="H418" s="4" t="str">
        <f>IFERROR(__xludf.DUMMYFUNCTION("""COMPUTED_VALUE"""),"")</f>
        <v/>
      </c>
      <c r="I418" s="4" t="str">
        <f>IFERROR(__xludf.DUMMYFUNCTION("""COMPUTED_VALUE"""),"")</f>
        <v/>
      </c>
      <c r="J418" s="4" t="str">
        <f>IFERROR(__xludf.DUMMYFUNCTION("""COMPUTED_VALUE"""),"")</f>
        <v/>
      </c>
      <c r="K418" s="4" t="str">
        <f>IFERROR(__xludf.DUMMYFUNCTION("""COMPUTED_VALUE"""),"")</f>
        <v/>
      </c>
    </row>
    <row r="419">
      <c r="A419" s="4" t="str">
        <f>IFERROR(__xludf.DUMMYFUNCTION("""COMPUTED_VALUE"""),"")</f>
        <v/>
      </c>
      <c r="B419" s="4" t="str">
        <f>IFERROR(__xludf.DUMMYFUNCTION("""COMPUTED_VALUE"""),"")</f>
        <v/>
      </c>
      <c r="C419" s="4" t="str">
        <f>IFERROR(__xludf.DUMMYFUNCTION("""COMPUTED_VALUE"""),"")</f>
        <v/>
      </c>
      <c r="D419" s="4" t="str">
        <f>IFERROR(__xludf.DUMMYFUNCTION("""COMPUTED_VALUE"""),"")</f>
        <v/>
      </c>
      <c r="E419" s="4" t="str">
        <f>IFERROR(__xludf.DUMMYFUNCTION("""COMPUTED_VALUE"""),"")</f>
        <v/>
      </c>
      <c r="F419" s="4" t="str">
        <f>IFERROR(__xludf.DUMMYFUNCTION("""COMPUTED_VALUE"""),"")</f>
        <v/>
      </c>
      <c r="G419" s="4" t="str">
        <f>IFERROR(__xludf.DUMMYFUNCTION("""COMPUTED_VALUE"""),"")</f>
        <v/>
      </c>
      <c r="H419" s="4" t="str">
        <f>IFERROR(__xludf.DUMMYFUNCTION("""COMPUTED_VALUE"""),"")</f>
        <v/>
      </c>
      <c r="I419" s="4" t="str">
        <f>IFERROR(__xludf.DUMMYFUNCTION("""COMPUTED_VALUE"""),"")</f>
        <v/>
      </c>
      <c r="J419" s="4" t="str">
        <f>IFERROR(__xludf.DUMMYFUNCTION("""COMPUTED_VALUE"""),"")</f>
        <v/>
      </c>
      <c r="K419" s="4" t="str">
        <f>IFERROR(__xludf.DUMMYFUNCTION("""COMPUTED_VALUE"""),"")</f>
        <v/>
      </c>
    </row>
    <row r="420">
      <c r="A420" s="4" t="str">
        <f>IFERROR(__xludf.DUMMYFUNCTION("""COMPUTED_VALUE"""),"")</f>
        <v/>
      </c>
      <c r="B420" s="4" t="str">
        <f>IFERROR(__xludf.DUMMYFUNCTION("""COMPUTED_VALUE"""),"")</f>
        <v/>
      </c>
      <c r="C420" s="4" t="str">
        <f>IFERROR(__xludf.DUMMYFUNCTION("""COMPUTED_VALUE"""),"")</f>
        <v/>
      </c>
      <c r="D420" s="4" t="str">
        <f>IFERROR(__xludf.DUMMYFUNCTION("""COMPUTED_VALUE"""),"")</f>
        <v/>
      </c>
      <c r="E420" s="4" t="str">
        <f>IFERROR(__xludf.DUMMYFUNCTION("""COMPUTED_VALUE"""),"")</f>
        <v/>
      </c>
      <c r="F420" s="4" t="str">
        <f>IFERROR(__xludf.DUMMYFUNCTION("""COMPUTED_VALUE"""),"")</f>
        <v/>
      </c>
      <c r="G420" s="4" t="str">
        <f>IFERROR(__xludf.DUMMYFUNCTION("""COMPUTED_VALUE"""),"")</f>
        <v/>
      </c>
      <c r="H420" s="4" t="str">
        <f>IFERROR(__xludf.DUMMYFUNCTION("""COMPUTED_VALUE"""),"")</f>
        <v/>
      </c>
      <c r="I420" s="4" t="str">
        <f>IFERROR(__xludf.DUMMYFUNCTION("""COMPUTED_VALUE"""),"")</f>
        <v/>
      </c>
      <c r="J420" s="4" t="str">
        <f>IFERROR(__xludf.DUMMYFUNCTION("""COMPUTED_VALUE"""),"")</f>
        <v/>
      </c>
      <c r="K420" s="4" t="str">
        <f>IFERROR(__xludf.DUMMYFUNCTION("""COMPUTED_VALUE"""),"")</f>
        <v/>
      </c>
    </row>
    <row r="421">
      <c r="A421" s="4" t="str">
        <f>IFERROR(__xludf.DUMMYFUNCTION("""COMPUTED_VALUE"""),"")</f>
        <v/>
      </c>
      <c r="B421" s="4" t="str">
        <f>IFERROR(__xludf.DUMMYFUNCTION("""COMPUTED_VALUE"""),"")</f>
        <v/>
      </c>
      <c r="C421" s="4" t="str">
        <f>IFERROR(__xludf.DUMMYFUNCTION("""COMPUTED_VALUE"""),"")</f>
        <v/>
      </c>
      <c r="D421" s="4" t="str">
        <f>IFERROR(__xludf.DUMMYFUNCTION("""COMPUTED_VALUE"""),"")</f>
        <v/>
      </c>
      <c r="E421" s="4" t="str">
        <f>IFERROR(__xludf.DUMMYFUNCTION("""COMPUTED_VALUE"""),"")</f>
        <v/>
      </c>
      <c r="F421" s="4" t="str">
        <f>IFERROR(__xludf.DUMMYFUNCTION("""COMPUTED_VALUE"""),"")</f>
        <v/>
      </c>
      <c r="G421" s="4" t="str">
        <f>IFERROR(__xludf.DUMMYFUNCTION("""COMPUTED_VALUE"""),"")</f>
        <v/>
      </c>
      <c r="H421" s="4" t="str">
        <f>IFERROR(__xludf.DUMMYFUNCTION("""COMPUTED_VALUE"""),"")</f>
        <v/>
      </c>
      <c r="I421" s="4" t="str">
        <f>IFERROR(__xludf.DUMMYFUNCTION("""COMPUTED_VALUE"""),"")</f>
        <v/>
      </c>
      <c r="J421" s="4" t="str">
        <f>IFERROR(__xludf.DUMMYFUNCTION("""COMPUTED_VALUE"""),"")</f>
        <v/>
      </c>
      <c r="K421" s="4" t="str">
        <f>IFERROR(__xludf.DUMMYFUNCTION("""COMPUTED_VALUE"""),"")</f>
        <v/>
      </c>
    </row>
    <row r="422">
      <c r="A422" s="4" t="str">
        <f>IFERROR(__xludf.DUMMYFUNCTION("""COMPUTED_VALUE"""),"")</f>
        <v/>
      </c>
      <c r="B422" s="4" t="str">
        <f>IFERROR(__xludf.DUMMYFUNCTION("""COMPUTED_VALUE"""),"")</f>
        <v/>
      </c>
      <c r="C422" s="4" t="str">
        <f>IFERROR(__xludf.DUMMYFUNCTION("""COMPUTED_VALUE"""),"")</f>
        <v/>
      </c>
      <c r="D422" s="4" t="str">
        <f>IFERROR(__xludf.DUMMYFUNCTION("""COMPUTED_VALUE"""),"")</f>
        <v/>
      </c>
      <c r="E422" s="4" t="str">
        <f>IFERROR(__xludf.DUMMYFUNCTION("""COMPUTED_VALUE"""),"")</f>
        <v/>
      </c>
      <c r="F422" s="4" t="str">
        <f>IFERROR(__xludf.DUMMYFUNCTION("""COMPUTED_VALUE"""),"")</f>
        <v/>
      </c>
      <c r="G422" s="4" t="str">
        <f>IFERROR(__xludf.DUMMYFUNCTION("""COMPUTED_VALUE"""),"")</f>
        <v/>
      </c>
      <c r="H422" s="4" t="str">
        <f>IFERROR(__xludf.DUMMYFUNCTION("""COMPUTED_VALUE"""),"")</f>
        <v/>
      </c>
      <c r="I422" s="4" t="str">
        <f>IFERROR(__xludf.DUMMYFUNCTION("""COMPUTED_VALUE"""),"")</f>
        <v/>
      </c>
      <c r="J422" s="4" t="str">
        <f>IFERROR(__xludf.DUMMYFUNCTION("""COMPUTED_VALUE"""),"")</f>
        <v/>
      </c>
      <c r="K422" s="4" t="str">
        <f>IFERROR(__xludf.DUMMYFUNCTION("""COMPUTED_VALUE"""),"")</f>
        <v/>
      </c>
    </row>
    <row r="423">
      <c r="A423" s="4" t="str">
        <f>IFERROR(__xludf.DUMMYFUNCTION("""COMPUTED_VALUE"""),"")</f>
        <v/>
      </c>
      <c r="B423" s="4" t="str">
        <f>IFERROR(__xludf.DUMMYFUNCTION("""COMPUTED_VALUE"""),"")</f>
        <v/>
      </c>
      <c r="C423" s="4" t="str">
        <f>IFERROR(__xludf.DUMMYFUNCTION("""COMPUTED_VALUE"""),"")</f>
        <v/>
      </c>
      <c r="D423" s="4" t="str">
        <f>IFERROR(__xludf.DUMMYFUNCTION("""COMPUTED_VALUE"""),"")</f>
        <v/>
      </c>
      <c r="E423" s="4" t="str">
        <f>IFERROR(__xludf.DUMMYFUNCTION("""COMPUTED_VALUE"""),"")</f>
        <v/>
      </c>
      <c r="F423" s="4" t="str">
        <f>IFERROR(__xludf.DUMMYFUNCTION("""COMPUTED_VALUE"""),"")</f>
        <v/>
      </c>
      <c r="G423" s="4" t="str">
        <f>IFERROR(__xludf.DUMMYFUNCTION("""COMPUTED_VALUE"""),"")</f>
        <v/>
      </c>
      <c r="H423" s="4" t="str">
        <f>IFERROR(__xludf.DUMMYFUNCTION("""COMPUTED_VALUE"""),"")</f>
        <v/>
      </c>
      <c r="I423" s="4" t="str">
        <f>IFERROR(__xludf.DUMMYFUNCTION("""COMPUTED_VALUE"""),"")</f>
        <v/>
      </c>
      <c r="J423" s="4" t="str">
        <f>IFERROR(__xludf.DUMMYFUNCTION("""COMPUTED_VALUE"""),"")</f>
        <v/>
      </c>
      <c r="K423" s="4" t="str">
        <f>IFERROR(__xludf.DUMMYFUNCTION("""COMPUTED_VALUE"""),"")</f>
        <v/>
      </c>
    </row>
    <row r="424">
      <c r="A424" s="4" t="str">
        <f>IFERROR(__xludf.DUMMYFUNCTION("""COMPUTED_VALUE"""),"")</f>
        <v/>
      </c>
      <c r="B424" s="4" t="str">
        <f>IFERROR(__xludf.DUMMYFUNCTION("""COMPUTED_VALUE"""),"")</f>
        <v/>
      </c>
      <c r="C424" s="4" t="str">
        <f>IFERROR(__xludf.DUMMYFUNCTION("""COMPUTED_VALUE"""),"")</f>
        <v/>
      </c>
      <c r="D424" s="4" t="str">
        <f>IFERROR(__xludf.DUMMYFUNCTION("""COMPUTED_VALUE"""),"")</f>
        <v/>
      </c>
      <c r="E424" s="4" t="str">
        <f>IFERROR(__xludf.DUMMYFUNCTION("""COMPUTED_VALUE"""),"")</f>
        <v/>
      </c>
      <c r="F424" s="4" t="str">
        <f>IFERROR(__xludf.DUMMYFUNCTION("""COMPUTED_VALUE"""),"")</f>
        <v/>
      </c>
      <c r="G424" s="4" t="str">
        <f>IFERROR(__xludf.DUMMYFUNCTION("""COMPUTED_VALUE"""),"")</f>
        <v/>
      </c>
      <c r="H424" s="4" t="str">
        <f>IFERROR(__xludf.DUMMYFUNCTION("""COMPUTED_VALUE"""),"")</f>
        <v/>
      </c>
      <c r="I424" s="4" t="str">
        <f>IFERROR(__xludf.DUMMYFUNCTION("""COMPUTED_VALUE"""),"")</f>
        <v/>
      </c>
      <c r="J424" s="4" t="str">
        <f>IFERROR(__xludf.DUMMYFUNCTION("""COMPUTED_VALUE"""),"")</f>
        <v/>
      </c>
      <c r="K424" s="4" t="str">
        <f>IFERROR(__xludf.DUMMYFUNCTION("""COMPUTED_VALUE"""),"")</f>
        <v/>
      </c>
    </row>
    <row r="425">
      <c r="A425" s="4" t="str">
        <f>IFERROR(__xludf.DUMMYFUNCTION("""COMPUTED_VALUE"""),"")</f>
        <v/>
      </c>
      <c r="B425" s="4" t="str">
        <f>IFERROR(__xludf.DUMMYFUNCTION("""COMPUTED_VALUE"""),"")</f>
        <v/>
      </c>
      <c r="C425" s="4" t="str">
        <f>IFERROR(__xludf.DUMMYFUNCTION("""COMPUTED_VALUE"""),"")</f>
        <v/>
      </c>
      <c r="D425" s="4" t="str">
        <f>IFERROR(__xludf.DUMMYFUNCTION("""COMPUTED_VALUE"""),"")</f>
        <v/>
      </c>
      <c r="E425" s="4" t="str">
        <f>IFERROR(__xludf.DUMMYFUNCTION("""COMPUTED_VALUE"""),"")</f>
        <v/>
      </c>
      <c r="F425" s="4" t="str">
        <f>IFERROR(__xludf.DUMMYFUNCTION("""COMPUTED_VALUE"""),"")</f>
        <v/>
      </c>
      <c r="G425" s="4" t="str">
        <f>IFERROR(__xludf.DUMMYFUNCTION("""COMPUTED_VALUE"""),"")</f>
        <v/>
      </c>
      <c r="H425" s="4" t="str">
        <f>IFERROR(__xludf.DUMMYFUNCTION("""COMPUTED_VALUE"""),"")</f>
        <v/>
      </c>
      <c r="I425" s="4" t="str">
        <f>IFERROR(__xludf.DUMMYFUNCTION("""COMPUTED_VALUE"""),"")</f>
        <v/>
      </c>
      <c r="J425" s="4" t="str">
        <f>IFERROR(__xludf.DUMMYFUNCTION("""COMPUTED_VALUE"""),"")</f>
        <v/>
      </c>
      <c r="K425" s="4" t="str">
        <f>IFERROR(__xludf.DUMMYFUNCTION("""COMPUTED_VALUE"""),"")</f>
        <v/>
      </c>
    </row>
    <row r="426">
      <c r="A426" s="4" t="str">
        <f>IFERROR(__xludf.DUMMYFUNCTION("""COMPUTED_VALUE"""),"")</f>
        <v/>
      </c>
      <c r="B426" s="4" t="str">
        <f>IFERROR(__xludf.DUMMYFUNCTION("""COMPUTED_VALUE"""),"")</f>
        <v/>
      </c>
      <c r="C426" s="4" t="str">
        <f>IFERROR(__xludf.DUMMYFUNCTION("""COMPUTED_VALUE"""),"")</f>
        <v/>
      </c>
      <c r="D426" s="4" t="str">
        <f>IFERROR(__xludf.DUMMYFUNCTION("""COMPUTED_VALUE"""),"")</f>
        <v/>
      </c>
      <c r="E426" s="4" t="str">
        <f>IFERROR(__xludf.DUMMYFUNCTION("""COMPUTED_VALUE"""),"")</f>
        <v/>
      </c>
      <c r="F426" s="4" t="str">
        <f>IFERROR(__xludf.DUMMYFUNCTION("""COMPUTED_VALUE"""),"")</f>
        <v/>
      </c>
      <c r="G426" s="4" t="str">
        <f>IFERROR(__xludf.DUMMYFUNCTION("""COMPUTED_VALUE"""),"")</f>
        <v/>
      </c>
      <c r="H426" s="4" t="str">
        <f>IFERROR(__xludf.DUMMYFUNCTION("""COMPUTED_VALUE"""),"")</f>
        <v/>
      </c>
      <c r="I426" s="4" t="str">
        <f>IFERROR(__xludf.DUMMYFUNCTION("""COMPUTED_VALUE"""),"")</f>
        <v/>
      </c>
      <c r="J426" s="4" t="str">
        <f>IFERROR(__xludf.DUMMYFUNCTION("""COMPUTED_VALUE"""),"")</f>
        <v/>
      </c>
      <c r="K426" s="4" t="str">
        <f>IFERROR(__xludf.DUMMYFUNCTION("""COMPUTED_VALUE"""),"")</f>
        <v/>
      </c>
    </row>
    <row r="427">
      <c r="A427" s="4" t="str">
        <f>IFERROR(__xludf.DUMMYFUNCTION("""COMPUTED_VALUE"""),"")</f>
        <v/>
      </c>
      <c r="B427" s="4" t="str">
        <f>IFERROR(__xludf.DUMMYFUNCTION("""COMPUTED_VALUE"""),"")</f>
        <v/>
      </c>
      <c r="C427" s="4" t="str">
        <f>IFERROR(__xludf.DUMMYFUNCTION("""COMPUTED_VALUE"""),"")</f>
        <v/>
      </c>
      <c r="D427" s="4" t="str">
        <f>IFERROR(__xludf.DUMMYFUNCTION("""COMPUTED_VALUE"""),"")</f>
        <v/>
      </c>
      <c r="E427" s="4" t="str">
        <f>IFERROR(__xludf.DUMMYFUNCTION("""COMPUTED_VALUE"""),"")</f>
        <v/>
      </c>
      <c r="F427" s="4" t="str">
        <f>IFERROR(__xludf.DUMMYFUNCTION("""COMPUTED_VALUE"""),"")</f>
        <v/>
      </c>
      <c r="G427" s="4" t="str">
        <f>IFERROR(__xludf.DUMMYFUNCTION("""COMPUTED_VALUE"""),"")</f>
        <v/>
      </c>
      <c r="H427" s="4" t="str">
        <f>IFERROR(__xludf.DUMMYFUNCTION("""COMPUTED_VALUE"""),"")</f>
        <v/>
      </c>
      <c r="I427" s="4" t="str">
        <f>IFERROR(__xludf.DUMMYFUNCTION("""COMPUTED_VALUE"""),"")</f>
        <v/>
      </c>
      <c r="J427" s="4" t="str">
        <f>IFERROR(__xludf.DUMMYFUNCTION("""COMPUTED_VALUE"""),"")</f>
        <v/>
      </c>
      <c r="K427" s="4" t="str">
        <f>IFERROR(__xludf.DUMMYFUNCTION("""COMPUTED_VALUE"""),"")</f>
        <v/>
      </c>
    </row>
    <row r="428">
      <c r="A428" s="4" t="str">
        <f>IFERROR(__xludf.DUMMYFUNCTION("""COMPUTED_VALUE"""),"")</f>
        <v/>
      </c>
      <c r="B428" s="4" t="str">
        <f>IFERROR(__xludf.DUMMYFUNCTION("""COMPUTED_VALUE"""),"")</f>
        <v/>
      </c>
      <c r="C428" s="4" t="str">
        <f>IFERROR(__xludf.DUMMYFUNCTION("""COMPUTED_VALUE"""),"")</f>
        <v/>
      </c>
      <c r="D428" s="4" t="str">
        <f>IFERROR(__xludf.DUMMYFUNCTION("""COMPUTED_VALUE"""),"")</f>
        <v/>
      </c>
      <c r="E428" s="4" t="str">
        <f>IFERROR(__xludf.DUMMYFUNCTION("""COMPUTED_VALUE"""),"")</f>
        <v/>
      </c>
      <c r="F428" s="4" t="str">
        <f>IFERROR(__xludf.DUMMYFUNCTION("""COMPUTED_VALUE"""),"")</f>
        <v/>
      </c>
      <c r="G428" s="4" t="str">
        <f>IFERROR(__xludf.DUMMYFUNCTION("""COMPUTED_VALUE"""),"")</f>
        <v/>
      </c>
      <c r="H428" s="4" t="str">
        <f>IFERROR(__xludf.DUMMYFUNCTION("""COMPUTED_VALUE"""),"")</f>
        <v/>
      </c>
      <c r="I428" s="4" t="str">
        <f>IFERROR(__xludf.DUMMYFUNCTION("""COMPUTED_VALUE"""),"")</f>
        <v/>
      </c>
      <c r="J428" s="4" t="str">
        <f>IFERROR(__xludf.DUMMYFUNCTION("""COMPUTED_VALUE"""),"")</f>
        <v/>
      </c>
      <c r="K428" s="4" t="str">
        <f>IFERROR(__xludf.DUMMYFUNCTION("""COMPUTED_VALUE"""),"")</f>
        <v/>
      </c>
    </row>
    <row r="429">
      <c r="A429" s="4" t="str">
        <f>IFERROR(__xludf.DUMMYFUNCTION("""COMPUTED_VALUE"""),"")</f>
        <v/>
      </c>
      <c r="B429" s="4" t="str">
        <f>IFERROR(__xludf.DUMMYFUNCTION("""COMPUTED_VALUE"""),"")</f>
        <v/>
      </c>
      <c r="C429" s="4" t="str">
        <f>IFERROR(__xludf.DUMMYFUNCTION("""COMPUTED_VALUE"""),"")</f>
        <v/>
      </c>
      <c r="D429" s="4" t="str">
        <f>IFERROR(__xludf.DUMMYFUNCTION("""COMPUTED_VALUE"""),"")</f>
        <v/>
      </c>
      <c r="E429" s="4" t="str">
        <f>IFERROR(__xludf.DUMMYFUNCTION("""COMPUTED_VALUE"""),"")</f>
        <v/>
      </c>
      <c r="F429" s="4" t="str">
        <f>IFERROR(__xludf.DUMMYFUNCTION("""COMPUTED_VALUE"""),"")</f>
        <v/>
      </c>
      <c r="G429" s="4" t="str">
        <f>IFERROR(__xludf.DUMMYFUNCTION("""COMPUTED_VALUE"""),"")</f>
        <v/>
      </c>
      <c r="H429" s="4" t="str">
        <f>IFERROR(__xludf.DUMMYFUNCTION("""COMPUTED_VALUE"""),"")</f>
        <v/>
      </c>
      <c r="I429" s="4" t="str">
        <f>IFERROR(__xludf.DUMMYFUNCTION("""COMPUTED_VALUE"""),"")</f>
        <v/>
      </c>
      <c r="J429" s="4" t="str">
        <f>IFERROR(__xludf.DUMMYFUNCTION("""COMPUTED_VALUE"""),"")</f>
        <v/>
      </c>
      <c r="K429" s="4" t="str">
        <f>IFERROR(__xludf.DUMMYFUNCTION("""COMPUTED_VALUE"""),"")</f>
        <v/>
      </c>
    </row>
    <row r="430">
      <c r="A430" s="4" t="str">
        <f>IFERROR(__xludf.DUMMYFUNCTION("""COMPUTED_VALUE"""),"")</f>
        <v/>
      </c>
      <c r="B430" s="4" t="str">
        <f>IFERROR(__xludf.DUMMYFUNCTION("""COMPUTED_VALUE"""),"")</f>
        <v/>
      </c>
      <c r="C430" s="4" t="str">
        <f>IFERROR(__xludf.DUMMYFUNCTION("""COMPUTED_VALUE"""),"")</f>
        <v/>
      </c>
      <c r="D430" s="4" t="str">
        <f>IFERROR(__xludf.DUMMYFUNCTION("""COMPUTED_VALUE"""),"")</f>
        <v/>
      </c>
      <c r="E430" s="4" t="str">
        <f>IFERROR(__xludf.DUMMYFUNCTION("""COMPUTED_VALUE"""),"")</f>
        <v/>
      </c>
      <c r="F430" s="4" t="str">
        <f>IFERROR(__xludf.DUMMYFUNCTION("""COMPUTED_VALUE"""),"")</f>
        <v/>
      </c>
      <c r="G430" s="4" t="str">
        <f>IFERROR(__xludf.DUMMYFUNCTION("""COMPUTED_VALUE"""),"")</f>
        <v/>
      </c>
      <c r="H430" s="4" t="str">
        <f>IFERROR(__xludf.DUMMYFUNCTION("""COMPUTED_VALUE"""),"")</f>
        <v/>
      </c>
      <c r="I430" s="4" t="str">
        <f>IFERROR(__xludf.DUMMYFUNCTION("""COMPUTED_VALUE"""),"")</f>
        <v/>
      </c>
      <c r="J430" s="4" t="str">
        <f>IFERROR(__xludf.DUMMYFUNCTION("""COMPUTED_VALUE"""),"")</f>
        <v/>
      </c>
      <c r="K430" s="4" t="str">
        <f>IFERROR(__xludf.DUMMYFUNCTION("""COMPUTED_VALUE"""),"")</f>
        <v/>
      </c>
    </row>
    <row r="431">
      <c r="A431" s="4" t="str">
        <f>IFERROR(__xludf.DUMMYFUNCTION("""COMPUTED_VALUE"""),"")</f>
        <v/>
      </c>
      <c r="B431" s="4" t="str">
        <f>IFERROR(__xludf.DUMMYFUNCTION("""COMPUTED_VALUE"""),"")</f>
        <v/>
      </c>
      <c r="C431" s="4" t="str">
        <f>IFERROR(__xludf.DUMMYFUNCTION("""COMPUTED_VALUE"""),"")</f>
        <v/>
      </c>
      <c r="D431" s="4" t="str">
        <f>IFERROR(__xludf.DUMMYFUNCTION("""COMPUTED_VALUE"""),"")</f>
        <v/>
      </c>
      <c r="E431" s="4" t="str">
        <f>IFERROR(__xludf.DUMMYFUNCTION("""COMPUTED_VALUE"""),"")</f>
        <v/>
      </c>
      <c r="F431" s="4" t="str">
        <f>IFERROR(__xludf.DUMMYFUNCTION("""COMPUTED_VALUE"""),"")</f>
        <v/>
      </c>
      <c r="G431" s="4" t="str">
        <f>IFERROR(__xludf.DUMMYFUNCTION("""COMPUTED_VALUE"""),"")</f>
        <v/>
      </c>
      <c r="H431" s="4" t="str">
        <f>IFERROR(__xludf.DUMMYFUNCTION("""COMPUTED_VALUE"""),"")</f>
        <v/>
      </c>
      <c r="I431" s="4" t="str">
        <f>IFERROR(__xludf.DUMMYFUNCTION("""COMPUTED_VALUE"""),"")</f>
        <v/>
      </c>
      <c r="J431" s="4" t="str">
        <f>IFERROR(__xludf.DUMMYFUNCTION("""COMPUTED_VALUE"""),"")</f>
        <v/>
      </c>
      <c r="K431" s="4" t="str">
        <f>IFERROR(__xludf.DUMMYFUNCTION("""COMPUTED_VALUE"""),"")</f>
        <v/>
      </c>
    </row>
    <row r="432">
      <c r="A432" s="4" t="str">
        <f>IFERROR(__xludf.DUMMYFUNCTION("""COMPUTED_VALUE"""),"")</f>
        <v/>
      </c>
      <c r="B432" s="4" t="str">
        <f>IFERROR(__xludf.DUMMYFUNCTION("""COMPUTED_VALUE"""),"")</f>
        <v/>
      </c>
      <c r="C432" s="4" t="str">
        <f>IFERROR(__xludf.DUMMYFUNCTION("""COMPUTED_VALUE"""),"")</f>
        <v/>
      </c>
      <c r="D432" s="4" t="str">
        <f>IFERROR(__xludf.DUMMYFUNCTION("""COMPUTED_VALUE"""),"")</f>
        <v/>
      </c>
      <c r="E432" s="4" t="str">
        <f>IFERROR(__xludf.DUMMYFUNCTION("""COMPUTED_VALUE"""),"")</f>
        <v/>
      </c>
      <c r="F432" s="4" t="str">
        <f>IFERROR(__xludf.DUMMYFUNCTION("""COMPUTED_VALUE"""),"")</f>
        <v/>
      </c>
      <c r="G432" s="4" t="str">
        <f>IFERROR(__xludf.DUMMYFUNCTION("""COMPUTED_VALUE"""),"")</f>
        <v/>
      </c>
      <c r="H432" s="4" t="str">
        <f>IFERROR(__xludf.DUMMYFUNCTION("""COMPUTED_VALUE"""),"")</f>
        <v/>
      </c>
      <c r="I432" s="4" t="str">
        <f>IFERROR(__xludf.DUMMYFUNCTION("""COMPUTED_VALUE"""),"")</f>
        <v/>
      </c>
      <c r="J432" s="4" t="str">
        <f>IFERROR(__xludf.DUMMYFUNCTION("""COMPUTED_VALUE"""),"")</f>
        <v/>
      </c>
      <c r="K432" s="4" t="str">
        <f>IFERROR(__xludf.DUMMYFUNCTION("""COMPUTED_VALUE"""),"")</f>
        <v/>
      </c>
    </row>
    <row r="433">
      <c r="A433" s="4" t="str">
        <f>IFERROR(__xludf.DUMMYFUNCTION("""COMPUTED_VALUE"""),"")</f>
        <v/>
      </c>
      <c r="B433" s="4" t="str">
        <f>IFERROR(__xludf.DUMMYFUNCTION("""COMPUTED_VALUE"""),"")</f>
        <v/>
      </c>
      <c r="C433" s="4" t="str">
        <f>IFERROR(__xludf.DUMMYFUNCTION("""COMPUTED_VALUE"""),"")</f>
        <v/>
      </c>
      <c r="D433" s="4" t="str">
        <f>IFERROR(__xludf.DUMMYFUNCTION("""COMPUTED_VALUE"""),"")</f>
        <v/>
      </c>
      <c r="E433" s="4" t="str">
        <f>IFERROR(__xludf.DUMMYFUNCTION("""COMPUTED_VALUE"""),"")</f>
        <v/>
      </c>
      <c r="F433" s="4" t="str">
        <f>IFERROR(__xludf.DUMMYFUNCTION("""COMPUTED_VALUE"""),"")</f>
        <v/>
      </c>
      <c r="G433" s="4" t="str">
        <f>IFERROR(__xludf.DUMMYFUNCTION("""COMPUTED_VALUE"""),"")</f>
        <v/>
      </c>
      <c r="H433" s="4" t="str">
        <f>IFERROR(__xludf.DUMMYFUNCTION("""COMPUTED_VALUE"""),"")</f>
        <v/>
      </c>
      <c r="I433" s="4" t="str">
        <f>IFERROR(__xludf.DUMMYFUNCTION("""COMPUTED_VALUE"""),"")</f>
        <v/>
      </c>
      <c r="J433" s="4" t="str">
        <f>IFERROR(__xludf.DUMMYFUNCTION("""COMPUTED_VALUE"""),"")</f>
        <v/>
      </c>
      <c r="K433" s="4" t="str">
        <f>IFERROR(__xludf.DUMMYFUNCTION("""COMPUTED_VALUE"""),"")</f>
        <v/>
      </c>
    </row>
    <row r="434">
      <c r="A434" s="4" t="str">
        <f>IFERROR(__xludf.DUMMYFUNCTION("""COMPUTED_VALUE"""),"")</f>
        <v/>
      </c>
      <c r="B434" s="4" t="str">
        <f>IFERROR(__xludf.DUMMYFUNCTION("""COMPUTED_VALUE"""),"")</f>
        <v/>
      </c>
      <c r="C434" s="4" t="str">
        <f>IFERROR(__xludf.DUMMYFUNCTION("""COMPUTED_VALUE"""),"")</f>
        <v/>
      </c>
      <c r="D434" s="4" t="str">
        <f>IFERROR(__xludf.DUMMYFUNCTION("""COMPUTED_VALUE"""),"")</f>
        <v/>
      </c>
      <c r="E434" s="4" t="str">
        <f>IFERROR(__xludf.DUMMYFUNCTION("""COMPUTED_VALUE"""),"")</f>
        <v/>
      </c>
      <c r="F434" s="4" t="str">
        <f>IFERROR(__xludf.DUMMYFUNCTION("""COMPUTED_VALUE"""),"")</f>
        <v/>
      </c>
      <c r="G434" s="4" t="str">
        <f>IFERROR(__xludf.DUMMYFUNCTION("""COMPUTED_VALUE"""),"")</f>
        <v/>
      </c>
      <c r="H434" s="4" t="str">
        <f>IFERROR(__xludf.DUMMYFUNCTION("""COMPUTED_VALUE"""),"")</f>
        <v/>
      </c>
      <c r="I434" s="4" t="str">
        <f>IFERROR(__xludf.DUMMYFUNCTION("""COMPUTED_VALUE"""),"")</f>
        <v/>
      </c>
      <c r="J434" s="4" t="str">
        <f>IFERROR(__xludf.DUMMYFUNCTION("""COMPUTED_VALUE"""),"")</f>
        <v/>
      </c>
      <c r="K434" s="4" t="str">
        <f>IFERROR(__xludf.DUMMYFUNCTION("""COMPUTED_VALUE"""),"")</f>
        <v/>
      </c>
    </row>
    <row r="435">
      <c r="A435" s="4" t="str">
        <f>IFERROR(__xludf.DUMMYFUNCTION("""COMPUTED_VALUE"""),"")</f>
        <v/>
      </c>
      <c r="B435" s="4" t="str">
        <f>IFERROR(__xludf.DUMMYFUNCTION("""COMPUTED_VALUE"""),"")</f>
        <v/>
      </c>
      <c r="C435" s="4" t="str">
        <f>IFERROR(__xludf.DUMMYFUNCTION("""COMPUTED_VALUE"""),"")</f>
        <v/>
      </c>
      <c r="D435" s="4" t="str">
        <f>IFERROR(__xludf.DUMMYFUNCTION("""COMPUTED_VALUE"""),"")</f>
        <v/>
      </c>
      <c r="E435" s="4" t="str">
        <f>IFERROR(__xludf.DUMMYFUNCTION("""COMPUTED_VALUE"""),"")</f>
        <v/>
      </c>
      <c r="F435" s="4" t="str">
        <f>IFERROR(__xludf.DUMMYFUNCTION("""COMPUTED_VALUE"""),"")</f>
        <v/>
      </c>
      <c r="G435" s="4" t="str">
        <f>IFERROR(__xludf.DUMMYFUNCTION("""COMPUTED_VALUE"""),"")</f>
        <v/>
      </c>
      <c r="H435" s="4" t="str">
        <f>IFERROR(__xludf.DUMMYFUNCTION("""COMPUTED_VALUE"""),"")</f>
        <v/>
      </c>
      <c r="I435" s="4" t="str">
        <f>IFERROR(__xludf.DUMMYFUNCTION("""COMPUTED_VALUE"""),"")</f>
        <v/>
      </c>
      <c r="J435" s="4" t="str">
        <f>IFERROR(__xludf.DUMMYFUNCTION("""COMPUTED_VALUE"""),"")</f>
        <v/>
      </c>
      <c r="K435" s="4" t="str">
        <f>IFERROR(__xludf.DUMMYFUNCTION("""COMPUTED_VALUE"""),"")</f>
        <v/>
      </c>
    </row>
    <row r="436">
      <c r="A436" s="4" t="str">
        <f>IFERROR(__xludf.DUMMYFUNCTION("""COMPUTED_VALUE"""),"")</f>
        <v/>
      </c>
      <c r="B436" s="4" t="str">
        <f>IFERROR(__xludf.DUMMYFUNCTION("""COMPUTED_VALUE"""),"")</f>
        <v/>
      </c>
      <c r="C436" s="4" t="str">
        <f>IFERROR(__xludf.DUMMYFUNCTION("""COMPUTED_VALUE"""),"")</f>
        <v/>
      </c>
      <c r="D436" s="4" t="str">
        <f>IFERROR(__xludf.DUMMYFUNCTION("""COMPUTED_VALUE"""),"")</f>
        <v/>
      </c>
      <c r="E436" s="4" t="str">
        <f>IFERROR(__xludf.DUMMYFUNCTION("""COMPUTED_VALUE"""),"")</f>
        <v/>
      </c>
      <c r="F436" s="4" t="str">
        <f>IFERROR(__xludf.DUMMYFUNCTION("""COMPUTED_VALUE"""),"")</f>
        <v/>
      </c>
      <c r="G436" s="4" t="str">
        <f>IFERROR(__xludf.DUMMYFUNCTION("""COMPUTED_VALUE"""),"")</f>
        <v/>
      </c>
      <c r="H436" s="4" t="str">
        <f>IFERROR(__xludf.DUMMYFUNCTION("""COMPUTED_VALUE"""),"")</f>
        <v/>
      </c>
      <c r="I436" s="4" t="str">
        <f>IFERROR(__xludf.DUMMYFUNCTION("""COMPUTED_VALUE"""),"")</f>
        <v/>
      </c>
      <c r="J436" s="4" t="str">
        <f>IFERROR(__xludf.DUMMYFUNCTION("""COMPUTED_VALUE"""),"")</f>
        <v/>
      </c>
      <c r="K436" s="4" t="str">
        <f>IFERROR(__xludf.DUMMYFUNCTION("""COMPUTED_VALUE"""),"")</f>
        <v/>
      </c>
    </row>
    <row r="437">
      <c r="A437" s="4" t="str">
        <f>IFERROR(__xludf.DUMMYFUNCTION("""COMPUTED_VALUE"""),"")</f>
        <v/>
      </c>
      <c r="B437" s="4" t="str">
        <f>IFERROR(__xludf.DUMMYFUNCTION("""COMPUTED_VALUE"""),"")</f>
        <v/>
      </c>
      <c r="C437" s="4" t="str">
        <f>IFERROR(__xludf.DUMMYFUNCTION("""COMPUTED_VALUE"""),"")</f>
        <v/>
      </c>
      <c r="D437" s="4" t="str">
        <f>IFERROR(__xludf.DUMMYFUNCTION("""COMPUTED_VALUE"""),"")</f>
        <v/>
      </c>
      <c r="E437" s="4" t="str">
        <f>IFERROR(__xludf.DUMMYFUNCTION("""COMPUTED_VALUE"""),"")</f>
        <v/>
      </c>
      <c r="F437" s="4" t="str">
        <f>IFERROR(__xludf.DUMMYFUNCTION("""COMPUTED_VALUE"""),"")</f>
        <v/>
      </c>
      <c r="G437" s="4" t="str">
        <f>IFERROR(__xludf.DUMMYFUNCTION("""COMPUTED_VALUE"""),"")</f>
        <v/>
      </c>
      <c r="H437" s="4" t="str">
        <f>IFERROR(__xludf.DUMMYFUNCTION("""COMPUTED_VALUE"""),"")</f>
        <v/>
      </c>
      <c r="I437" s="4" t="str">
        <f>IFERROR(__xludf.DUMMYFUNCTION("""COMPUTED_VALUE"""),"")</f>
        <v/>
      </c>
      <c r="J437" s="4" t="str">
        <f>IFERROR(__xludf.DUMMYFUNCTION("""COMPUTED_VALUE"""),"")</f>
        <v/>
      </c>
      <c r="K437" s="4" t="str">
        <f>IFERROR(__xludf.DUMMYFUNCTION("""COMPUTED_VALUE"""),"")</f>
        <v/>
      </c>
    </row>
    <row r="438">
      <c r="A438" s="4" t="str">
        <f>IFERROR(__xludf.DUMMYFUNCTION("""COMPUTED_VALUE"""),"")</f>
        <v/>
      </c>
      <c r="B438" s="4" t="str">
        <f>IFERROR(__xludf.DUMMYFUNCTION("""COMPUTED_VALUE"""),"")</f>
        <v/>
      </c>
      <c r="C438" s="4" t="str">
        <f>IFERROR(__xludf.DUMMYFUNCTION("""COMPUTED_VALUE"""),"")</f>
        <v/>
      </c>
      <c r="D438" s="4" t="str">
        <f>IFERROR(__xludf.DUMMYFUNCTION("""COMPUTED_VALUE"""),"")</f>
        <v/>
      </c>
      <c r="E438" s="4" t="str">
        <f>IFERROR(__xludf.DUMMYFUNCTION("""COMPUTED_VALUE"""),"")</f>
        <v/>
      </c>
      <c r="F438" s="4" t="str">
        <f>IFERROR(__xludf.DUMMYFUNCTION("""COMPUTED_VALUE"""),"")</f>
        <v/>
      </c>
      <c r="G438" s="4" t="str">
        <f>IFERROR(__xludf.DUMMYFUNCTION("""COMPUTED_VALUE"""),"")</f>
        <v/>
      </c>
      <c r="H438" s="4" t="str">
        <f>IFERROR(__xludf.DUMMYFUNCTION("""COMPUTED_VALUE"""),"")</f>
        <v/>
      </c>
      <c r="I438" s="4" t="str">
        <f>IFERROR(__xludf.DUMMYFUNCTION("""COMPUTED_VALUE"""),"")</f>
        <v/>
      </c>
      <c r="J438" s="4" t="str">
        <f>IFERROR(__xludf.DUMMYFUNCTION("""COMPUTED_VALUE"""),"")</f>
        <v/>
      </c>
      <c r="K438" s="4" t="str">
        <f>IFERROR(__xludf.DUMMYFUNCTION("""COMPUTED_VALUE"""),"")</f>
        <v/>
      </c>
    </row>
    <row r="439">
      <c r="A439" s="4" t="str">
        <f>IFERROR(__xludf.DUMMYFUNCTION("""COMPUTED_VALUE"""),"")</f>
        <v/>
      </c>
      <c r="B439" s="4" t="str">
        <f>IFERROR(__xludf.DUMMYFUNCTION("""COMPUTED_VALUE"""),"")</f>
        <v/>
      </c>
      <c r="C439" s="4" t="str">
        <f>IFERROR(__xludf.DUMMYFUNCTION("""COMPUTED_VALUE"""),"")</f>
        <v/>
      </c>
      <c r="D439" s="4" t="str">
        <f>IFERROR(__xludf.DUMMYFUNCTION("""COMPUTED_VALUE"""),"")</f>
        <v/>
      </c>
      <c r="E439" s="4" t="str">
        <f>IFERROR(__xludf.DUMMYFUNCTION("""COMPUTED_VALUE"""),"")</f>
        <v/>
      </c>
      <c r="F439" s="4" t="str">
        <f>IFERROR(__xludf.DUMMYFUNCTION("""COMPUTED_VALUE"""),"")</f>
        <v/>
      </c>
      <c r="G439" s="4" t="str">
        <f>IFERROR(__xludf.DUMMYFUNCTION("""COMPUTED_VALUE"""),"")</f>
        <v/>
      </c>
      <c r="H439" s="4" t="str">
        <f>IFERROR(__xludf.DUMMYFUNCTION("""COMPUTED_VALUE"""),"")</f>
        <v/>
      </c>
      <c r="I439" s="4" t="str">
        <f>IFERROR(__xludf.DUMMYFUNCTION("""COMPUTED_VALUE"""),"")</f>
        <v/>
      </c>
      <c r="J439" s="4" t="str">
        <f>IFERROR(__xludf.DUMMYFUNCTION("""COMPUTED_VALUE"""),"")</f>
        <v/>
      </c>
      <c r="K439" s="4" t="str">
        <f>IFERROR(__xludf.DUMMYFUNCTION("""COMPUTED_VALUE"""),"")</f>
        <v/>
      </c>
    </row>
    <row r="440">
      <c r="A440" s="4" t="str">
        <f>IFERROR(__xludf.DUMMYFUNCTION("""COMPUTED_VALUE"""),"")</f>
        <v/>
      </c>
      <c r="B440" s="4" t="str">
        <f>IFERROR(__xludf.DUMMYFUNCTION("""COMPUTED_VALUE"""),"")</f>
        <v/>
      </c>
      <c r="C440" s="4" t="str">
        <f>IFERROR(__xludf.DUMMYFUNCTION("""COMPUTED_VALUE"""),"")</f>
        <v/>
      </c>
      <c r="D440" s="4" t="str">
        <f>IFERROR(__xludf.DUMMYFUNCTION("""COMPUTED_VALUE"""),"")</f>
        <v/>
      </c>
      <c r="E440" s="4" t="str">
        <f>IFERROR(__xludf.DUMMYFUNCTION("""COMPUTED_VALUE"""),"")</f>
        <v/>
      </c>
      <c r="F440" s="4" t="str">
        <f>IFERROR(__xludf.DUMMYFUNCTION("""COMPUTED_VALUE"""),"")</f>
        <v/>
      </c>
      <c r="G440" s="4" t="str">
        <f>IFERROR(__xludf.DUMMYFUNCTION("""COMPUTED_VALUE"""),"")</f>
        <v/>
      </c>
      <c r="H440" s="4" t="str">
        <f>IFERROR(__xludf.DUMMYFUNCTION("""COMPUTED_VALUE"""),"")</f>
        <v/>
      </c>
      <c r="I440" s="4" t="str">
        <f>IFERROR(__xludf.DUMMYFUNCTION("""COMPUTED_VALUE"""),"")</f>
        <v/>
      </c>
      <c r="J440" s="4" t="str">
        <f>IFERROR(__xludf.DUMMYFUNCTION("""COMPUTED_VALUE"""),"")</f>
        <v/>
      </c>
      <c r="K440" s="4" t="str">
        <f>IFERROR(__xludf.DUMMYFUNCTION("""COMPUTED_VALUE"""),"")</f>
        <v/>
      </c>
    </row>
    <row r="441">
      <c r="A441" s="4" t="str">
        <f>IFERROR(__xludf.DUMMYFUNCTION("""COMPUTED_VALUE"""),"")</f>
        <v/>
      </c>
      <c r="B441" s="4" t="str">
        <f>IFERROR(__xludf.DUMMYFUNCTION("""COMPUTED_VALUE"""),"")</f>
        <v/>
      </c>
      <c r="C441" s="4" t="str">
        <f>IFERROR(__xludf.DUMMYFUNCTION("""COMPUTED_VALUE"""),"")</f>
        <v/>
      </c>
      <c r="D441" s="4" t="str">
        <f>IFERROR(__xludf.DUMMYFUNCTION("""COMPUTED_VALUE"""),"")</f>
        <v/>
      </c>
      <c r="E441" s="4" t="str">
        <f>IFERROR(__xludf.DUMMYFUNCTION("""COMPUTED_VALUE"""),"")</f>
        <v/>
      </c>
      <c r="F441" s="4" t="str">
        <f>IFERROR(__xludf.DUMMYFUNCTION("""COMPUTED_VALUE"""),"")</f>
        <v/>
      </c>
      <c r="G441" s="4" t="str">
        <f>IFERROR(__xludf.DUMMYFUNCTION("""COMPUTED_VALUE"""),"")</f>
        <v/>
      </c>
      <c r="H441" s="4" t="str">
        <f>IFERROR(__xludf.DUMMYFUNCTION("""COMPUTED_VALUE"""),"")</f>
        <v/>
      </c>
      <c r="I441" s="4" t="str">
        <f>IFERROR(__xludf.DUMMYFUNCTION("""COMPUTED_VALUE"""),"")</f>
        <v/>
      </c>
      <c r="J441" s="4" t="str">
        <f>IFERROR(__xludf.DUMMYFUNCTION("""COMPUTED_VALUE"""),"")</f>
        <v/>
      </c>
      <c r="K441" s="4" t="str">
        <f>IFERROR(__xludf.DUMMYFUNCTION("""COMPUTED_VALUE"""),"")</f>
        <v/>
      </c>
    </row>
    <row r="442">
      <c r="A442" s="4" t="str">
        <f>IFERROR(__xludf.DUMMYFUNCTION("""COMPUTED_VALUE"""),"")</f>
        <v/>
      </c>
      <c r="B442" s="4" t="str">
        <f>IFERROR(__xludf.DUMMYFUNCTION("""COMPUTED_VALUE"""),"")</f>
        <v/>
      </c>
      <c r="C442" s="4" t="str">
        <f>IFERROR(__xludf.DUMMYFUNCTION("""COMPUTED_VALUE"""),"")</f>
        <v/>
      </c>
      <c r="D442" s="4" t="str">
        <f>IFERROR(__xludf.DUMMYFUNCTION("""COMPUTED_VALUE"""),"")</f>
        <v/>
      </c>
      <c r="E442" s="4" t="str">
        <f>IFERROR(__xludf.DUMMYFUNCTION("""COMPUTED_VALUE"""),"")</f>
        <v/>
      </c>
      <c r="F442" s="4" t="str">
        <f>IFERROR(__xludf.DUMMYFUNCTION("""COMPUTED_VALUE"""),"")</f>
        <v/>
      </c>
      <c r="G442" s="4" t="str">
        <f>IFERROR(__xludf.DUMMYFUNCTION("""COMPUTED_VALUE"""),"")</f>
        <v/>
      </c>
      <c r="H442" s="4" t="str">
        <f>IFERROR(__xludf.DUMMYFUNCTION("""COMPUTED_VALUE"""),"")</f>
        <v/>
      </c>
      <c r="I442" s="4" t="str">
        <f>IFERROR(__xludf.DUMMYFUNCTION("""COMPUTED_VALUE"""),"")</f>
        <v/>
      </c>
      <c r="J442" s="4" t="str">
        <f>IFERROR(__xludf.DUMMYFUNCTION("""COMPUTED_VALUE"""),"")</f>
        <v/>
      </c>
      <c r="K442" s="4" t="str">
        <f>IFERROR(__xludf.DUMMYFUNCTION("""COMPUTED_VALUE"""),"")</f>
        <v/>
      </c>
    </row>
    <row r="443">
      <c r="A443" s="4" t="str">
        <f>IFERROR(__xludf.DUMMYFUNCTION("""COMPUTED_VALUE"""),"")</f>
        <v/>
      </c>
      <c r="B443" s="4" t="str">
        <f>IFERROR(__xludf.DUMMYFUNCTION("""COMPUTED_VALUE"""),"")</f>
        <v/>
      </c>
      <c r="C443" s="4" t="str">
        <f>IFERROR(__xludf.DUMMYFUNCTION("""COMPUTED_VALUE"""),"")</f>
        <v/>
      </c>
      <c r="D443" s="4" t="str">
        <f>IFERROR(__xludf.DUMMYFUNCTION("""COMPUTED_VALUE"""),"")</f>
        <v/>
      </c>
      <c r="E443" s="4" t="str">
        <f>IFERROR(__xludf.DUMMYFUNCTION("""COMPUTED_VALUE"""),"")</f>
        <v/>
      </c>
      <c r="F443" s="4" t="str">
        <f>IFERROR(__xludf.DUMMYFUNCTION("""COMPUTED_VALUE"""),"")</f>
        <v/>
      </c>
      <c r="G443" s="4" t="str">
        <f>IFERROR(__xludf.DUMMYFUNCTION("""COMPUTED_VALUE"""),"")</f>
        <v/>
      </c>
      <c r="H443" s="4" t="str">
        <f>IFERROR(__xludf.DUMMYFUNCTION("""COMPUTED_VALUE"""),"")</f>
        <v/>
      </c>
      <c r="I443" s="4" t="str">
        <f>IFERROR(__xludf.DUMMYFUNCTION("""COMPUTED_VALUE"""),"")</f>
        <v/>
      </c>
      <c r="J443" s="4" t="str">
        <f>IFERROR(__xludf.DUMMYFUNCTION("""COMPUTED_VALUE"""),"")</f>
        <v/>
      </c>
      <c r="K443" s="4" t="str">
        <f>IFERROR(__xludf.DUMMYFUNCTION("""COMPUTED_VALUE"""),"")</f>
        <v/>
      </c>
    </row>
    <row r="444">
      <c r="A444" s="4" t="str">
        <f>IFERROR(__xludf.DUMMYFUNCTION("""COMPUTED_VALUE"""),"")</f>
        <v/>
      </c>
      <c r="B444" s="4" t="str">
        <f>IFERROR(__xludf.DUMMYFUNCTION("""COMPUTED_VALUE"""),"")</f>
        <v/>
      </c>
      <c r="C444" s="4" t="str">
        <f>IFERROR(__xludf.DUMMYFUNCTION("""COMPUTED_VALUE"""),"")</f>
        <v/>
      </c>
      <c r="D444" s="4" t="str">
        <f>IFERROR(__xludf.DUMMYFUNCTION("""COMPUTED_VALUE"""),"")</f>
        <v/>
      </c>
      <c r="E444" s="4" t="str">
        <f>IFERROR(__xludf.DUMMYFUNCTION("""COMPUTED_VALUE"""),"")</f>
        <v/>
      </c>
      <c r="F444" s="4" t="str">
        <f>IFERROR(__xludf.DUMMYFUNCTION("""COMPUTED_VALUE"""),"")</f>
        <v/>
      </c>
      <c r="G444" s="4" t="str">
        <f>IFERROR(__xludf.DUMMYFUNCTION("""COMPUTED_VALUE"""),"")</f>
        <v/>
      </c>
      <c r="H444" s="4" t="str">
        <f>IFERROR(__xludf.DUMMYFUNCTION("""COMPUTED_VALUE"""),"")</f>
        <v/>
      </c>
      <c r="I444" s="4" t="str">
        <f>IFERROR(__xludf.DUMMYFUNCTION("""COMPUTED_VALUE"""),"")</f>
        <v/>
      </c>
      <c r="J444" s="4" t="str">
        <f>IFERROR(__xludf.DUMMYFUNCTION("""COMPUTED_VALUE"""),"")</f>
        <v/>
      </c>
      <c r="K444" s="4" t="str">
        <f>IFERROR(__xludf.DUMMYFUNCTION("""COMPUTED_VALUE"""),"")</f>
        <v/>
      </c>
    </row>
    <row r="445">
      <c r="A445" s="4" t="str">
        <f>IFERROR(__xludf.DUMMYFUNCTION("""COMPUTED_VALUE"""),"")</f>
        <v/>
      </c>
      <c r="B445" s="4" t="str">
        <f>IFERROR(__xludf.DUMMYFUNCTION("""COMPUTED_VALUE"""),"")</f>
        <v/>
      </c>
      <c r="C445" s="4" t="str">
        <f>IFERROR(__xludf.DUMMYFUNCTION("""COMPUTED_VALUE"""),"")</f>
        <v/>
      </c>
      <c r="D445" s="4" t="str">
        <f>IFERROR(__xludf.DUMMYFUNCTION("""COMPUTED_VALUE"""),"")</f>
        <v/>
      </c>
      <c r="E445" s="4" t="str">
        <f>IFERROR(__xludf.DUMMYFUNCTION("""COMPUTED_VALUE"""),"")</f>
        <v/>
      </c>
      <c r="F445" s="4" t="str">
        <f>IFERROR(__xludf.DUMMYFUNCTION("""COMPUTED_VALUE"""),"")</f>
        <v/>
      </c>
      <c r="G445" s="4" t="str">
        <f>IFERROR(__xludf.DUMMYFUNCTION("""COMPUTED_VALUE"""),"")</f>
        <v/>
      </c>
      <c r="H445" s="4" t="str">
        <f>IFERROR(__xludf.DUMMYFUNCTION("""COMPUTED_VALUE"""),"")</f>
        <v/>
      </c>
      <c r="I445" s="4" t="str">
        <f>IFERROR(__xludf.DUMMYFUNCTION("""COMPUTED_VALUE"""),"")</f>
        <v/>
      </c>
      <c r="J445" s="4" t="str">
        <f>IFERROR(__xludf.DUMMYFUNCTION("""COMPUTED_VALUE"""),"")</f>
        <v/>
      </c>
      <c r="K445" s="4" t="str">
        <f>IFERROR(__xludf.DUMMYFUNCTION("""COMPUTED_VALUE"""),"")</f>
        <v/>
      </c>
    </row>
    <row r="446">
      <c r="A446" s="4" t="str">
        <f>IFERROR(__xludf.DUMMYFUNCTION("""COMPUTED_VALUE"""),"")</f>
        <v/>
      </c>
      <c r="B446" s="4" t="str">
        <f>IFERROR(__xludf.DUMMYFUNCTION("""COMPUTED_VALUE"""),"")</f>
        <v/>
      </c>
      <c r="C446" s="4" t="str">
        <f>IFERROR(__xludf.DUMMYFUNCTION("""COMPUTED_VALUE"""),"")</f>
        <v/>
      </c>
      <c r="D446" s="4" t="str">
        <f>IFERROR(__xludf.DUMMYFUNCTION("""COMPUTED_VALUE"""),"")</f>
        <v/>
      </c>
      <c r="E446" s="4" t="str">
        <f>IFERROR(__xludf.DUMMYFUNCTION("""COMPUTED_VALUE"""),"")</f>
        <v/>
      </c>
      <c r="F446" s="4" t="str">
        <f>IFERROR(__xludf.DUMMYFUNCTION("""COMPUTED_VALUE"""),"")</f>
        <v/>
      </c>
      <c r="G446" s="4" t="str">
        <f>IFERROR(__xludf.DUMMYFUNCTION("""COMPUTED_VALUE"""),"")</f>
        <v/>
      </c>
      <c r="H446" s="4" t="str">
        <f>IFERROR(__xludf.DUMMYFUNCTION("""COMPUTED_VALUE"""),"")</f>
        <v/>
      </c>
      <c r="I446" s="4" t="str">
        <f>IFERROR(__xludf.DUMMYFUNCTION("""COMPUTED_VALUE"""),"")</f>
        <v/>
      </c>
      <c r="J446" s="4" t="str">
        <f>IFERROR(__xludf.DUMMYFUNCTION("""COMPUTED_VALUE"""),"")</f>
        <v/>
      </c>
      <c r="K446" s="4" t="str">
        <f>IFERROR(__xludf.DUMMYFUNCTION("""COMPUTED_VALUE"""),"")</f>
        <v/>
      </c>
    </row>
    <row r="447">
      <c r="A447" s="4" t="str">
        <f>IFERROR(__xludf.DUMMYFUNCTION("""COMPUTED_VALUE"""),"")</f>
        <v/>
      </c>
      <c r="B447" s="4" t="str">
        <f>IFERROR(__xludf.DUMMYFUNCTION("""COMPUTED_VALUE"""),"")</f>
        <v/>
      </c>
      <c r="C447" s="4" t="str">
        <f>IFERROR(__xludf.DUMMYFUNCTION("""COMPUTED_VALUE"""),"")</f>
        <v/>
      </c>
      <c r="D447" s="4" t="str">
        <f>IFERROR(__xludf.DUMMYFUNCTION("""COMPUTED_VALUE"""),"")</f>
        <v/>
      </c>
      <c r="E447" s="4" t="str">
        <f>IFERROR(__xludf.DUMMYFUNCTION("""COMPUTED_VALUE"""),"")</f>
        <v/>
      </c>
      <c r="F447" s="4" t="str">
        <f>IFERROR(__xludf.DUMMYFUNCTION("""COMPUTED_VALUE"""),"")</f>
        <v/>
      </c>
      <c r="G447" s="4" t="str">
        <f>IFERROR(__xludf.DUMMYFUNCTION("""COMPUTED_VALUE"""),"")</f>
        <v/>
      </c>
      <c r="H447" s="4" t="str">
        <f>IFERROR(__xludf.DUMMYFUNCTION("""COMPUTED_VALUE"""),"")</f>
        <v/>
      </c>
      <c r="I447" s="4" t="str">
        <f>IFERROR(__xludf.DUMMYFUNCTION("""COMPUTED_VALUE"""),"")</f>
        <v/>
      </c>
      <c r="J447" s="4" t="str">
        <f>IFERROR(__xludf.DUMMYFUNCTION("""COMPUTED_VALUE"""),"")</f>
        <v/>
      </c>
      <c r="K447" s="4" t="str">
        <f>IFERROR(__xludf.DUMMYFUNCTION("""COMPUTED_VALUE"""),"")</f>
        <v/>
      </c>
    </row>
    <row r="448">
      <c r="A448" s="4" t="str">
        <f>IFERROR(__xludf.DUMMYFUNCTION("""COMPUTED_VALUE"""),"")</f>
        <v/>
      </c>
      <c r="B448" s="4" t="str">
        <f>IFERROR(__xludf.DUMMYFUNCTION("""COMPUTED_VALUE"""),"")</f>
        <v/>
      </c>
      <c r="C448" s="4" t="str">
        <f>IFERROR(__xludf.DUMMYFUNCTION("""COMPUTED_VALUE"""),"")</f>
        <v/>
      </c>
      <c r="D448" s="4" t="str">
        <f>IFERROR(__xludf.DUMMYFUNCTION("""COMPUTED_VALUE"""),"")</f>
        <v/>
      </c>
      <c r="E448" s="4" t="str">
        <f>IFERROR(__xludf.DUMMYFUNCTION("""COMPUTED_VALUE"""),"")</f>
        <v/>
      </c>
      <c r="F448" s="4" t="str">
        <f>IFERROR(__xludf.DUMMYFUNCTION("""COMPUTED_VALUE"""),"")</f>
        <v/>
      </c>
      <c r="G448" s="4" t="str">
        <f>IFERROR(__xludf.DUMMYFUNCTION("""COMPUTED_VALUE"""),"")</f>
        <v/>
      </c>
      <c r="H448" s="4" t="str">
        <f>IFERROR(__xludf.DUMMYFUNCTION("""COMPUTED_VALUE"""),"")</f>
        <v/>
      </c>
      <c r="I448" s="4" t="str">
        <f>IFERROR(__xludf.DUMMYFUNCTION("""COMPUTED_VALUE"""),"")</f>
        <v/>
      </c>
      <c r="J448" s="4" t="str">
        <f>IFERROR(__xludf.DUMMYFUNCTION("""COMPUTED_VALUE"""),"")</f>
        <v/>
      </c>
      <c r="K448" s="4" t="str">
        <f>IFERROR(__xludf.DUMMYFUNCTION("""COMPUTED_VALUE"""),"")</f>
        <v/>
      </c>
    </row>
    <row r="449">
      <c r="A449" s="4" t="str">
        <f>IFERROR(__xludf.DUMMYFUNCTION("""COMPUTED_VALUE"""),"")</f>
        <v/>
      </c>
      <c r="B449" s="4" t="str">
        <f>IFERROR(__xludf.DUMMYFUNCTION("""COMPUTED_VALUE"""),"")</f>
        <v/>
      </c>
      <c r="C449" s="4" t="str">
        <f>IFERROR(__xludf.DUMMYFUNCTION("""COMPUTED_VALUE"""),"")</f>
        <v/>
      </c>
      <c r="D449" s="4" t="str">
        <f>IFERROR(__xludf.DUMMYFUNCTION("""COMPUTED_VALUE"""),"")</f>
        <v/>
      </c>
      <c r="E449" s="4" t="str">
        <f>IFERROR(__xludf.DUMMYFUNCTION("""COMPUTED_VALUE"""),"")</f>
        <v/>
      </c>
      <c r="F449" s="4" t="str">
        <f>IFERROR(__xludf.DUMMYFUNCTION("""COMPUTED_VALUE"""),"")</f>
        <v/>
      </c>
      <c r="G449" s="4" t="str">
        <f>IFERROR(__xludf.DUMMYFUNCTION("""COMPUTED_VALUE"""),"")</f>
        <v/>
      </c>
      <c r="H449" s="4" t="str">
        <f>IFERROR(__xludf.DUMMYFUNCTION("""COMPUTED_VALUE"""),"")</f>
        <v/>
      </c>
      <c r="I449" s="4" t="str">
        <f>IFERROR(__xludf.DUMMYFUNCTION("""COMPUTED_VALUE"""),"")</f>
        <v/>
      </c>
      <c r="J449" s="4" t="str">
        <f>IFERROR(__xludf.DUMMYFUNCTION("""COMPUTED_VALUE"""),"")</f>
        <v/>
      </c>
      <c r="K449" s="4" t="str">
        <f>IFERROR(__xludf.DUMMYFUNCTION("""COMPUTED_VALUE"""),"")</f>
        <v/>
      </c>
    </row>
    <row r="450">
      <c r="A450" s="4" t="str">
        <f>IFERROR(__xludf.DUMMYFUNCTION("""COMPUTED_VALUE"""),"")</f>
        <v/>
      </c>
      <c r="B450" s="4" t="str">
        <f>IFERROR(__xludf.DUMMYFUNCTION("""COMPUTED_VALUE"""),"")</f>
        <v/>
      </c>
      <c r="C450" s="4" t="str">
        <f>IFERROR(__xludf.DUMMYFUNCTION("""COMPUTED_VALUE"""),"")</f>
        <v/>
      </c>
      <c r="D450" s="4" t="str">
        <f>IFERROR(__xludf.DUMMYFUNCTION("""COMPUTED_VALUE"""),"")</f>
        <v/>
      </c>
      <c r="E450" s="4" t="str">
        <f>IFERROR(__xludf.DUMMYFUNCTION("""COMPUTED_VALUE"""),"")</f>
        <v/>
      </c>
      <c r="F450" s="4" t="str">
        <f>IFERROR(__xludf.DUMMYFUNCTION("""COMPUTED_VALUE"""),"")</f>
        <v/>
      </c>
      <c r="G450" s="4" t="str">
        <f>IFERROR(__xludf.DUMMYFUNCTION("""COMPUTED_VALUE"""),"")</f>
        <v/>
      </c>
      <c r="H450" s="4" t="str">
        <f>IFERROR(__xludf.DUMMYFUNCTION("""COMPUTED_VALUE"""),"")</f>
        <v/>
      </c>
      <c r="I450" s="4" t="str">
        <f>IFERROR(__xludf.DUMMYFUNCTION("""COMPUTED_VALUE"""),"")</f>
        <v/>
      </c>
      <c r="J450" s="4" t="str">
        <f>IFERROR(__xludf.DUMMYFUNCTION("""COMPUTED_VALUE"""),"")</f>
        <v/>
      </c>
      <c r="K450" s="4" t="str">
        <f>IFERROR(__xludf.DUMMYFUNCTION("""COMPUTED_VALUE"""),"")</f>
        <v/>
      </c>
    </row>
    <row r="451">
      <c r="A451" s="4" t="str">
        <f>IFERROR(__xludf.DUMMYFUNCTION("""COMPUTED_VALUE"""),"")</f>
        <v/>
      </c>
      <c r="B451" s="4" t="str">
        <f>IFERROR(__xludf.DUMMYFUNCTION("""COMPUTED_VALUE"""),"")</f>
        <v/>
      </c>
      <c r="C451" s="4" t="str">
        <f>IFERROR(__xludf.DUMMYFUNCTION("""COMPUTED_VALUE"""),"")</f>
        <v/>
      </c>
      <c r="D451" s="4" t="str">
        <f>IFERROR(__xludf.DUMMYFUNCTION("""COMPUTED_VALUE"""),"")</f>
        <v/>
      </c>
      <c r="E451" s="4" t="str">
        <f>IFERROR(__xludf.DUMMYFUNCTION("""COMPUTED_VALUE"""),"")</f>
        <v/>
      </c>
      <c r="F451" s="4" t="str">
        <f>IFERROR(__xludf.DUMMYFUNCTION("""COMPUTED_VALUE"""),"")</f>
        <v/>
      </c>
      <c r="G451" s="4" t="str">
        <f>IFERROR(__xludf.DUMMYFUNCTION("""COMPUTED_VALUE"""),"")</f>
        <v/>
      </c>
      <c r="H451" s="4" t="str">
        <f>IFERROR(__xludf.DUMMYFUNCTION("""COMPUTED_VALUE"""),"")</f>
        <v/>
      </c>
      <c r="I451" s="4" t="str">
        <f>IFERROR(__xludf.DUMMYFUNCTION("""COMPUTED_VALUE"""),"")</f>
        <v/>
      </c>
      <c r="J451" s="4" t="str">
        <f>IFERROR(__xludf.DUMMYFUNCTION("""COMPUTED_VALUE"""),"")</f>
        <v/>
      </c>
      <c r="K451" s="4" t="str">
        <f>IFERROR(__xludf.DUMMYFUNCTION("""COMPUTED_VALUE"""),"")</f>
        <v/>
      </c>
    </row>
    <row r="452">
      <c r="A452" s="4" t="str">
        <f>IFERROR(__xludf.DUMMYFUNCTION("""COMPUTED_VALUE"""),"")</f>
        <v/>
      </c>
      <c r="B452" s="4" t="str">
        <f>IFERROR(__xludf.DUMMYFUNCTION("""COMPUTED_VALUE"""),"")</f>
        <v/>
      </c>
      <c r="C452" s="4" t="str">
        <f>IFERROR(__xludf.DUMMYFUNCTION("""COMPUTED_VALUE"""),"")</f>
        <v/>
      </c>
      <c r="D452" s="4" t="str">
        <f>IFERROR(__xludf.DUMMYFUNCTION("""COMPUTED_VALUE"""),"")</f>
        <v/>
      </c>
      <c r="E452" s="4" t="str">
        <f>IFERROR(__xludf.DUMMYFUNCTION("""COMPUTED_VALUE"""),"")</f>
        <v/>
      </c>
      <c r="F452" s="4" t="str">
        <f>IFERROR(__xludf.DUMMYFUNCTION("""COMPUTED_VALUE"""),"")</f>
        <v/>
      </c>
      <c r="G452" s="4" t="str">
        <f>IFERROR(__xludf.DUMMYFUNCTION("""COMPUTED_VALUE"""),"")</f>
        <v/>
      </c>
      <c r="H452" s="4" t="str">
        <f>IFERROR(__xludf.DUMMYFUNCTION("""COMPUTED_VALUE"""),"")</f>
        <v/>
      </c>
      <c r="I452" s="4" t="str">
        <f>IFERROR(__xludf.DUMMYFUNCTION("""COMPUTED_VALUE"""),"")</f>
        <v/>
      </c>
      <c r="J452" s="4" t="str">
        <f>IFERROR(__xludf.DUMMYFUNCTION("""COMPUTED_VALUE"""),"")</f>
        <v/>
      </c>
      <c r="K452" s="4" t="str">
        <f>IFERROR(__xludf.DUMMYFUNCTION("""COMPUTED_VALUE"""),"")</f>
        <v/>
      </c>
    </row>
    <row r="453">
      <c r="A453" s="4" t="str">
        <f>IFERROR(__xludf.DUMMYFUNCTION("""COMPUTED_VALUE"""),"")</f>
        <v/>
      </c>
      <c r="B453" s="4" t="str">
        <f>IFERROR(__xludf.DUMMYFUNCTION("""COMPUTED_VALUE"""),"")</f>
        <v/>
      </c>
      <c r="C453" s="4" t="str">
        <f>IFERROR(__xludf.DUMMYFUNCTION("""COMPUTED_VALUE"""),"")</f>
        <v/>
      </c>
      <c r="D453" s="4" t="str">
        <f>IFERROR(__xludf.DUMMYFUNCTION("""COMPUTED_VALUE"""),"")</f>
        <v/>
      </c>
      <c r="E453" s="4" t="str">
        <f>IFERROR(__xludf.DUMMYFUNCTION("""COMPUTED_VALUE"""),"")</f>
        <v/>
      </c>
      <c r="F453" s="4" t="str">
        <f>IFERROR(__xludf.DUMMYFUNCTION("""COMPUTED_VALUE"""),"")</f>
        <v/>
      </c>
      <c r="G453" s="4" t="str">
        <f>IFERROR(__xludf.DUMMYFUNCTION("""COMPUTED_VALUE"""),"")</f>
        <v/>
      </c>
      <c r="H453" s="4" t="str">
        <f>IFERROR(__xludf.DUMMYFUNCTION("""COMPUTED_VALUE"""),"")</f>
        <v/>
      </c>
      <c r="I453" s="4" t="str">
        <f>IFERROR(__xludf.DUMMYFUNCTION("""COMPUTED_VALUE"""),"")</f>
        <v/>
      </c>
      <c r="J453" s="4" t="str">
        <f>IFERROR(__xludf.DUMMYFUNCTION("""COMPUTED_VALUE"""),"")</f>
        <v/>
      </c>
      <c r="K453" s="4" t="str">
        <f>IFERROR(__xludf.DUMMYFUNCTION("""COMPUTED_VALUE"""),"")</f>
        <v/>
      </c>
    </row>
    <row r="454">
      <c r="A454" s="4" t="str">
        <f>IFERROR(__xludf.DUMMYFUNCTION("""COMPUTED_VALUE"""),"")</f>
        <v/>
      </c>
      <c r="B454" s="4" t="str">
        <f>IFERROR(__xludf.DUMMYFUNCTION("""COMPUTED_VALUE"""),"")</f>
        <v/>
      </c>
      <c r="C454" s="4" t="str">
        <f>IFERROR(__xludf.DUMMYFUNCTION("""COMPUTED_VALUE"""),"")</f>
        <v/>
      </c>
      <c r="D454" s="4" t="str">
        <f>IFERROR(__xludf.DUMMYFUNCTION("""COMPUTED_VALUE"""),"")</f>
        <v/>
      </c>
      <c r="E454" s="4" t="str">
        <f>IFERROR(__xludf.DUMMYFUNCTION("""COMPUTED_VALUE"""),"")</f>
        <v/>
      </c>
      <c r="F454" s="4" t="str">
        <f>IFERROR(__xludf.DUMMYFUNCTION("""COMPUTED_VALUE"""),"")</f>
        <v/>
      </c>
      <c r="G454" s="4" t="str">
        <f>IFERROR(__xludf.DUMMYFUNCTION("""COMPUTED_VALUE"""),"")</f>
        <v/>
      </c>
      <c r="H454" s="4" t="str">
        <f>IFERROR(__xludf.DUMMYFUNCTION("""COMPUTED_VALUE"""),"")</f>
        <v/>
      </c>
      <c r="I454" s="4" t="str">
        <f>IFERROR(__xludf.DUMMYFUNCTION("""COMPUTED_VALUE"""),"")</f>
        <v/>
      </c>
      <c r="J454" s="4" t="str">
        <f>IFERROR(__xludf.DUMMYFUNCTION("""COMPUTED_VALUE"""),"")</f>
        <v/>
      </c>
      <c r="K454" s="4" t="str">
        <f>IFERROR(__xludf.DUMMYFUNCTION("""COMPUTED_VALUE"""),"")</f>
        <v/>
      </c>
    </row>
    <row r="455">
      <c r="A455" s="4" t="str">
        <f>IFERROR(__xludf.DUMMYFUNCTION("""COMPUTED_VALUE"""),"")</f>
        <v/>
      </c>
      <c r="B455" s="4" t="str">
        <f>IFERROR(__xludf.DUMMYFUNCTION("""COMPUTED_VALUE"""),"")</f>
        <v/>
      </c>
      <c r="C455" s="4" t="str">
        <f>IFERROR(__xludf.DUMMYFUNCTION("""COMPUTED_VALUE"""),"")</f>
        <v/>
      </c>
      <c r="D455" s="4" t="str">
        <f>IFERROR(__xludf.DUMMYFUNCTION("""COMPUTED_VALUE"""),"")</f>
        <v/>
      </c>
      <c r="E455" s="4" t="str">
        <f>IFERROR(__xludf.DUMMYFUNCTION("""COMPUTED_VALUE"""),"")</f>
        <v/>
      </c>
      <c r="F455" s="4" t="str">
        <f>IFERROR(__xludf.DUMMYFUNCTION("""COMPUTED_VALUE"""),"")</f>
        <v/>
      </c>
      <c r="G455" s="4" t="str">
        <f>IFERROR(__xludf.DUMMYFUNCTION("""COMPUTED_VALUE"""),"")</f>
        <v/>
      </c>
      <c r="H455" s="4" t="str">
        <f>IFERROR(__xludf.DUMMYFUNCTION("""COMPUTED_VALUE"""),"")</f>
        <v/>
      </c>
      <c r="I455" s="4" t="str">
        <f>IFERROR(__xludf.DUMMYFUNCTION("""COMPUTED_VALUE"""),"")</f>
        <v/>
      </c>
      <c r="J455" s="4" t="str">
        <f>IFERROR(__xludf.DUMMYFUNCTION("""COMPUTED_VALUE"""),"")</f>
        <v/>
      </c>
      <c r="K455" s="4" t="str">
        <f>IFERROR(__xludf.DUMMYFUNCTION("""COMPUTED_VALUE"""),"")</f>
        <v/>
      </c>
    </row>
    <row r="456">
      <c r="A456" s="4" t="str">
        <f>IFERROR(__xludf.DUMMYFUNCTION("""COMPUTED_VALUE"""),"")</f>
        <v/>
      </c>
      <c r="B456" s="4" t="str">
        <f>IFERROR(__xludf.DUMMYFUNCTION("""COMPUTED_VALUE"""),"")</f>
        <v/>
      </c>
      <c r="C456" s="4" t="str">
        <f>IFERROR(__xludf.DUMMYFUNCTION("""COMPUTED_VALUE"""),"")</f>
        <v/>
      </c>
      <c r="D456" s="4" t="str">
        <f>IFERROR(__xludf.DUMMYFUNCTION("""COMPUTED_VALUE"""),"")</f>
        <v/>
      </c>
      <c r="E456" s="4" t="str">
        <f>IFERROR(__xludf.DUMMYFUNCTION("""COMPUTED_VALUE"""),"")</f>
        <v/>
      </c>
      <c r="F456" s="4" t="str">
        <f>IFERROR(__xludf.DUMMYFUNCTION("""COMPUTED_VALUE"""),"")</f>
        <v/>
      </c>
      <c r="G456" s="4" t="str">
        <f>IFERROR(__xludf.DUMMYFUNCTION("""COMPUTED_VALUE"""),"")</f>
        <v/>
      </c>
      <c r="H456" s="4" t="str">
        <f>IFERROR(__xludf.DUMMYFUNCTION("""COMPUTED_VALUE"""),"")</f>
        <v/>
      </c>
      <c r="I456" s="4" t="str">
        <f>IFERROR(__xludf.DUMMYFUNCTION("""COMPUTED_VALUE"""),"")</f>
        <v/>
      </c>
      <c r="J456" s="4" t="str">
        <f>IFERROR(__xludf.DUMMYFUNCTION("""COMPUTED_VALUE"""),"")</f>
        <v/>
      </c>
      <c r="K456" s="4" t="str">
        <f>IFERROR(__xludf.DUMMYFUNCTION("""COMPUTED_VALUE"""),"")</f>
        <v/>
      </c>
    </row>
    <row r="457">
      <c r="A457" s="4" t="str">
        <f>IFERROR(__xludf.DUMMYFUNCTION("""COMPUTED_VALUE"""),"")</f>
        <v/>
      </c>
      <c r="B457" s="4" t="str">
        <f>IFERROR(__xludf.DUMMYFUNCTION("""COMPUTED_VALUE"""),"")</f>
        <v/>
      </c>
      <c r="C457" s="4" t="str">
        <f>IFERROR(__xludf.DUMMYFUNCTION("""COMPUTED_VALUE"""),"")</f>
        <v/>
      </c>
      <c r="D457" s="4" t="str">
        <f>IFERROR(__xludf.DUMMYFUNCTION("""COMPUTED_VALUE"""),"")</f>
        <v/>
      </c>
      <c r="E457" s="4" t="str">
        <f>IFERROR(__xludf.DUMMYFUNCTION("""COMPUTED_VALUE"""),"")</f>
        <v/>
      </c>
      <c r="F457" s="4" t="str">
        <f>IFERROR(__xludf.DUMMYFUNCTION("""COMPUTED_VALUE"""),"")</f>
        <v/>
      </c>
      <c r="G457" s="4" t="str">
        <f>IFERROR(__xludf.DUMMYFUNCTION("""COMPUTED_VALUE"""),"")</f>
        <v/>
      </c>
      <c r="H457" s="4" t="str">
        <f>IFERROR(__xludf.DUMMYFUNCTION("""COMPUTED_VALUE"""),"")</f>
        <v/>
      </c>
      <c r="I457" s="4" t="str">
        <f>IFERROR(__xludf.DUMMYFUNCTION("""COMPUTED_VALUE"""),"")</f>
        <v/>
      </c>
      <c r="J457" s="4" t="str">
        <f>IFERROR(__xludf.DUMMYFUNCTION("""COMPUTED_VALUE"""),"")</f>
        <v/>
      </c>
      <c r="K457" s="4" t="str">
        <f>IFERROR(__xludf.DUMMYFUNCTION("""COMPUTED_VALUE"""),"")</f>
        <v/>
      </c>
    </row>
    <row r="458">
      <c r="A458" s="4" t="str">
        <f>IFERROR(__xludf.DUMMYFUNCTION("""COMPUTED_VALUE"""),"")</f>
        <v/>
      </c>
      <c r="B458" s="4" t="str">
        <f>IFERROR(__xludf.DUMMYFUNCTION("""COMPUTED_VALUE"""),"")</f>
        <v/>
      </c>
      <c r="C458" s="4" t="str">
        <f>IFERROR(__xludf.DUMMYFUNCTION("""COMPUTED_VALUE"""),"")</f>
        <v/>
      </c>
      <c r="D458" s="4" t="str">
        <f>IFERROR(__xludf.DUMMYFUNCTION("""COMPUTED_VALUE"""),"")</f>
        <v/>
      </c>
      <c r="E458" s="4" t="str">
        <f>IFERROR(__xludf.DUMMYFUNCTION("""COMPUTED_VALUE"""),"")</f>
        <v/>
      </c>
      <c r="F458" s="4" t="str">
        <f>IFERROR(__xludf.DUMMYFUNCTION("""COMPUTED_VALUE"""),"")</f>
        <v/>
      </c>
      <c r="G458" s="4" t="str">
        <f>IFERROR(__xludf.DUMMYFUNCTION("""COMPUTED_VALUE"""),"")</f>
        <v/>
      </c>
      <c r="H458" s="4" t="str">
        <f>IFERROR(__xludf.DUMMYFUNCTION("""COMPUTED_VALUE"""),"")</f>
        <v/>
      </c>
      <c r="I458" s="4" t="str">
        <f>IFERROR(__xludf.DUMMYFUNCTION("""COMPUTED_VALUE"""),"")</f>
        <v/>
      </c>
      <c r="J458" s="4" t="str">
        <f>IFERROR(__xludf.DUMMYFUNCTION("""COMPUTED_VALUE"""),"")</f>
        <v/>
      </c>
      <c r="K458" s="4" t="str">
        <f>IFERROR(__xludf.DUMMYFUNCTION("""COMPUTED_VALUE"""),"")</f>
        <v/>
      </c>
    </row>
    <row r="459">
      <c r="A459" s="4" t="str">
        <f>IFERROR(__xludf.DUMMYFUNCTION("""COMPUTED_VALUE"""),"")</f>
        <v/>
      </c>
      <c r="B459" s="4" t="str">
        <f>IFERROR(__xludf.DUMMYFUNCTION("""COMPUTED_VALUE"""),"")</f>
        <v/>
      </c>
      <c r="C459" s="4" t="str">
        <f>IFERROR(__xludf.DUMMYFUNCTION("""COMPUTED_VALUE"""),"")</f>
        <v/>
      </c>
      <c r="D459" s="4" t="str">
        <f>IFERROR(__xludf.DUMMYFUNCTION("""COMPUTED_VALUE"""),"")</f>
        <v/>
      </c>
      <c r="E459" s="4" t="str">
        <f>IFERROR(__xludf.DUMMYFUNCTION("""COMPUTED_VALUE"""),"")</f>
        <v/>
      </c>
      <c r="F459" s="4" t="str">
        <f>IFERROR(__xludf.DUMMYFUNCTION("""COMPUTED_VALUE"""),"")</f>
        <v/>
      </c>
      <c r="G459" s="4" t="str">
        <f>IFERROR(__xludf.DUMMYFUNCTION("""COMPUTED_VALUE"""),"")</f>
        <v/>
      </c>
      <c r="H459" s="4" t="str">
        <f>IFERROR(__xludf.DUMMYFUNCTION("""COMPUTED_VALUE"""),"")</f>
        <v/>
      </c>
      <c r="I459" s="4" t="str">
        <f>IFERROR(__xludf.DUMMYFUNCTION("""COMPUTED_VALUE"""),"")</f>
        <v/>
      </c>
      <c r="J459" s="4" t="str">
        <f>IFERROR(__xludf.DUMMYFUNCTION("""COMPUTED_VALUE"""),"")</f>
        <v/>
      </c>
      <c r="K459" s="4" t="str">
        <f>IFERROR(__xludf.DUMMYFUNCTION("""COMPUTED_VALUE"""),"")</f>
        <v/>
      </c>
    </row>
    <row r="460">
      <c r="A460" s="4" t="str">
        <f>IFERROR(__xludf.DUMMYFUNCTION("""COMPUTED_VALUE"""),"")</f>
        <v/>
      </c>
      <c r="B460" s="4" t="str">
        <f>IFERROR(__xludf.DUMMYFUNCTION("""COMPUTED_VALUE"""),"")</f>
        <v/>
      </c>
      <c r="C460" s="4" t="str">
        <f>IFERROR(__xludf.DUMMYFUNCTION("""COMPUTED_VALUE"""),"")</f>
        <v/>
      </c>
      <c r="D460" s="4" t="str">
        <f>IFERROR(__xludf.DUMMYFUNCTION("""COMPUTED_VALUE"""),"")</f>
        <v/>
      </c>
      <c r="E460" s="4" t="str">
        <f>IFERROR(__xludf.DUMMYFUNCTION("""COMPUTED_VALUE"""),"")</f>
        <v/>
      </c>
      <c r="F460" s="4" t="str">
        <f>IFERROR(__xludf.DUMMYFUNCTION("""COMPUTED_VALUE"""),"")</f>
        <v/>
      </c>
      <c r="G460" s="4" t="str">
        <f>IFERROR(__xludf.DUMMYFUNCTION("""COMPUTED_VALUE"""),"")</f>
        <v/>
      </c>
      <c r="H460" s="4" t="str">
        <f>IFERROR(__xludf.DUMMYFUNCTION("""COMPUTED_VALUE"""),"")</f>
        <v/>
      </c>
      <c r="I460" s="4" t="str">
        <f>IFERROR(__xludf.DUMMYFUNCTION("""COMPUTED_VALUE"""),"")</f>
        <v/>
      </c>
      <c r="J460" s="4" t="str">
        <f>IFERROR(__xludf.DUMMYFUNCTION("""COMPUTED_VALUE"""),"")</f>
        <v/>
      </c>
      <c r="K460" s="4" t="str">
        <f>IFERROR(__xludf.DUMMYFUNCTION("""COMPUTED_VALUE"""),"")</f>
        <v/>
      </c>
    </row>
    <row r="461">
      <c r="A461" s="4" t="str">
        <f>IFERROR(__xludf.DUMMYFUNCTION("""COMPUTED_VALUE"""),"")</f>
        <v/>
      </c>
      <c r="B461" s="4" t="str">
        <f>IFERROR(__xludf.DUMMYFUNCTION("""COMPUTED_VALUE"""),"")</f>
        <v/>
      </c>
      <c r="C461" s="4" t="str">
        <f>IFERROR(__xludf.DUMMYFUNCTION("""COMPUTED_VALUE"""),"")</f>
        <v/>
      </c>
      <c r="D461" s="4" t="str">
        <f>IFERROR(__xludf.DUMMYFUNCTION("""COMPUTED_VALUE"""),"")</f>
        <v/>
      </c>
      <c r="E461" s="4" t="str">
        <f>IFERROR(__xludf.DUMMYFUNCTION("""COMPUTED_VALUE"""),"")</f>
        <v/>
      </c>
      <c r="F461" s="4" t="str">
        <f>IFERROR(__xludf.DUMMYFUNCTION("""COMPUTED_VALUE"""),"")</f>
        <v/>
      </c>
      <c r="G461" s="4" t="str">
        <f>IFERROR(__xludf.DUMMYFUNCTION("""COMPUTED_VALUE"""),"")</f>
        <v/>
      </c>
      <c r="H461" s="4" t="str">
        <f>IFERROR(__xludf.DUMMYFUNCTION("""COMPUTED_VALUE"""),"")</f>
        <v/>
      </c>
      <c r="I461" s="4" t="str">
        <f>IFERROR(__xludf.DUMMYFUNCTION("""COMPUTED_VALUE"""),"")</f>
        <v/>
      </c>
      <c r="J461" s="4" t="str">
        <f>IFERROR(__xludf.DUMMYFUNCTION("""COMPUTED_VALUE"""),"")</f>
        <v/>
      </c>
      <c r="K461" s="4" t="str">
        <f>IFERROR(__xludf.DUMMYFUNCTION("""COMPUTED_VALUE"""),"")</f>
        <v/>
      </c>
    </row>
    <row r="462">
      <c r="A462" s="4" t="str">
        <f>IFERROR(__xludf.DUMMYFUNCTION("""COMPUTED_VALUE"""),"")</f>
        <v/>
      </c>
      <c r="B462" s="4" t="str">
        <f>IFERROR(__xludf.DUMMYFUNCTION("""COMPUTED_VALUE"""),"")</f>
        <v/>
      </c>
      <c r="C462" s="4" t="str">
        <f>IFERROR(__xludf.DUMMYFUNCTION("""COMPUTED_VALUE"""),"")</f>
        <v/>
      </c>
      <c r="D462" s="4" t="str">
        <f>IFERROR(__xludf.DUMMYFUNCTION("""COMPUTED_VALUE"""),"")</f>
        <v/>
      </c>
      <c r="E462" s="4" t="str">
        <f>IFERROR(__xludf.DUMMYFUNCTION("""COMPUTED_VALUE"""),"")</f>
        <v/>
      </c>
      <c r="F462" s="4" t="str">
        <f>IFERROR(__xludf.DUMMYFUNCTION("""COMPUTED_VALUE"""),"")</f>
        <v/>
      </c>
      <c r="G462" s="4" t="str">
        <f>IFERROR(__xludf.DUMMYFUNCTION("""COMPUTED_VALUE"""),"")</f>
        <v/>
      </c>
      <c r="H462" s="4" t="str">
        <f>IFERROR(__xludf.DUMMYFUNCTION("""COMPUTED_VALUE"""),"")</f>
        <v/>
      </c>
      <c r="I462" s="4" t="str">
        <f>IFERROR(__xludf.DUMMYFUNCTION("""COMPUTED_VALUE"""),"")</f>
        <v/>
      </c>
      <c r="J462" s="4" t="str">
        <f>IFERROR(__xludf.DUMMYFUNCTION("""COMPUTED_VALUE"""),"")</f>
        <v/>
      </c>
      <c r="K462" s="4" t="str">
        <f>IFERROR(__xludf.DUMMYFUNCTION("""COMPUTED_VALUE"""),"")</f>
        <v/>
      </c>
    </row>
    <row r="463">
      <c r="A463" s="4" t="str">
        <f>IFERROR(__xludf.DUMMYFUNCTION("""COMPUTED_VALUE"""),"")</f>
        <v/>
      </c>
      <c r="B463" s="4" t="str">
        <f>IFERROR(__xludf.DUMMYFUNCTION("""COMPUTED_VALUE"""),"")</f>
        <v/>
      </c>
      <c r="C463" s="4" t="str">
        <f>IFERROR(__xludf.DUMMYFUNCTION("""COMPUTED_VALUE"""),"")</f>
        <v/>
      </c>
      <c r="D463" s="4" t="str">
        <f>IFERROR(__xludf.DUMMYFUNCTION("""COMPUTED_VALUE"""),"")</f>
        <v/>
      </c>
      <c r="E463" s="4" t="str">
        <f>IFERROR(__xludf.DUMMYFUNCTION("""COMPUTED_VALUE"""),"")</f>
        <v/>
      </c>
      <c r="F463" s="4" t="str">
        <f>IFERROR(__xludf.DUMMYFUNCTION("""COMPUTED_VALUE"""),"")</f>
        <v/>
      </c>
      <c r="G463" s="4" t="str">
        <f>IFERROR(__xludf.DUMMYFUNCTION("""COMPUTED_VALUE"""),"")</f>
        <v/>
      </c>
      <c r="H463" s="4" t="str">
        <f>IFERROR(__xludf.DUMMYFUNCTION("""COMPUTED_VALUE"""),"")</f>
        <v/>
      </c>
      <c r="I463" s="4" t="str">
        <f>IFERROR(__xludf.DUMMYFUNCTION("""COMPUTED_VALUE"""),"")</f>
        <v/>
      </c>
      <c r="J463" s="4" t="str">
        <f>IFERROR(__xludf.DUMMYFUNCTION("""COMPUTED_VALUE"""),"")</f>
        <v/>
      </c>
      <c r="K463" s="4" t="str">
        <f>IFERROR(__xludf.DUMMYFUNCTION("""COMPUTED_VALUE"""),"")</f>
        <v/>
      </c>
    </row>
    <row r="464">
      <c r="A464" s="4" t="str">
        <f>IFERROR(__xludf.DUMMYFUNCTION("""COMPUTED_VALUE"""),"")</f>
        <v/>
      </c>
      <c r="B464" s="4" t="str">
        <f>IFERROR(__xludf.DUMMYFUNCTION("""COMPUTED_VALUE"""),"")</f>
        <v/>
      </c>
      <c r="C464" s="4" t="str">
        <f>IFERROR(__xludf.DUMMYFUNCTION("""COMPUTED_VALUE"""),"")</f>
        <v/>
      </c>
      <c r="D464" s="4" t="str">
        <f>IFERROR(__xludf.DUMMYFUNCTION("""COMPUTED_VALUE"""),"")</f>
        <v/>
      </c>
      <c r="E464" s="4" t="str">
        <f>IFERROR(__xludf.DUMMYFUNCTION("""COMPUTED_VALUE"""),"")</f>
        <v/>
      </c>
      <c r="F464" s="4" t="str">
        <f>IFERROR(__xludf.DUMMYFUNCTION("""COMPUTED_VALUE"""),"")</f>
        <v/>
      </c>
      <c r="G464" s="4" t="str">
        <f>IFERROR(__xludf.DUMMYFUNCTION("""COMPUTED_VALUE"""),"")</f>
        <v/>
      </c>
      <c r="H464" s="4" t="str">
        <f>IFERROR(__xludf.DUMMYFUNCTION("""COMPUTED_VALUE"""),"")</f>
        <v/>
      </c>
      <c r="I464" s="4" t="str">
        <f>IFERROR(__xludf.DUMMYFUNCTION("""COMPUTED_VALUE"""),"")</f>
        <v/>
      </c>
      <c r="J464" s="4" t="str">
        <f>IFERROR(__xludf.DUMMYFUNCTION("""COMPUTED_VALUE"""),"")</f>
        <v/>
      </c>
      <c r="K464" s="4" t="str">
        <f>IFERROR(__xludf.DUMMYFUNCTION("""COMPUTED_VALUE"""),"")</f>
        <v/>
      </c>
    </row>
    <row r="465">
      <c r="A465" s="4" t="str">
        <f>IFERROR(__xludf.DUMMYFUNCTION("""COMPUTED_VALUE"""),"")</f>
        <v/>
      </c>
      <c r="B465" s="4" t="str">
        <f>IFERROR(__xludf.DUMMYFUNCTION("""COMPUTED_VALUE"""),"")</f>
        <v/>
      </c>
      <c r="C465" s="4" t="str">
        <f>IFERROR(__xludf.DUMMYFUNCTION("""COMPUTED_VALUE"""),"")</f>
        <v/>
      </c>
      <c r="D465" s="4" t="str">
        <f>IFERROR(__xludf.DUMMYFUNCTION("""COMPUTED_VALUE"""),"")</f>
        <v/>
      </c>
      <c r="E465" s="4" t="str">
        <f>IFERROR(__xludf.DUMMYFUNCTION("""COMPUTED_VALUE"""),"")</f>
        <v/>
      </c>
      <c r="F465" s="4" t="str">
        <f>IFERROR(__xludf.DUMMYFUNCTION("""COMPUTED_VALUE"""),"")</f>
        <v/>
      </c>
      <c r="G465" s="4" t="str">
        <f>IFERROR(__xludf.DUMMYFUNCTION("""COMPUTED_VALUE"""),"")</f>
        <v/>
      </c>
      <c r="H465" s="4" t="str">
        <f>IFERROR(__xludf.DUMMYFUNCTION("""COMPUTED_VALUE"""),"")</f>
        <v/>
      </c>
      <c r="I465" s="4" t="str">
        <f>IFERROR(__xludf.DUMMYFUNCTION("""COMPUTED_VALUE"""),"")</f>
        <v/>
      </c>
      <c r="J465" s="4" t="str">
        <f>IFERROR(__xludf.DUMMYFUNCTION("""COMPUTED_VALUE"""),"")</f>
        <v/>
      </c>
      <c r="K465" s="4" t="str">
        <f>IFERROR(__xludf.DUMMYFUNCTION("""COMPUTED_VALUE"""),"")</f>
        <v/>
      </c>
    </row>
    <row r="466">
      <c r="A466" s="4" t="str">
        <f>IFERROR(__xludf.DUMMYFUNCTION("""COMPUTED_VALUE"""),"")</f>
        <v/>
      </c>
      <c r="B466" s="4" t="str">
        <f>IFERROR(__xludf.DUMMYFUNCTION("""COMPUTED_VALUE"""),"")</f>
        <v/>
      </c>
      <c r="C466" s="4" t="str">
        <f>IFERROR(__xludf.DUMMYFUNCTION("""COMPUTED_VALUE"""),"")</f>
        <v/>
      </c>
      <c r="D466" s="4" t="str">
        <f>IFERROR(__xludf.DUMMYFUNCTION("""COMPUTED_VALUE"""),"")</f>
        <v/>
      </c>
      <c r="E466" s="4" t="str">
        <f>IFERROR(__xludf.DUMMYFUNCTION("""COMPUTED_VALUE"""),"")</f>
        <v/>
      </c>
      <c r="F466" s="4" t="str">
        <f>IFERROR(__xludf.DUMMYFUNCTION("""COMPUTED_VALUE"""),"")</f>
        <v/>
      </c>
      <c r="G466" s="4" t="str">
        <f>IFERROR(__xludf.DUMMYFUNCTION("""COMPUTED_VALUE"""),"")</f>
        <v/>
      </c>
      <c r="H466" s="4" t="str">
        <f>IFERROR(__xludf.DUMMYFUNCTION("""COMPUTED_VALUE"""),"")</f>
        <v/>
      </c>
      <c r="I466" s="4" t="str">
        <f>IFERROR(__xludf.DUMMYFUNCTION("""COMPUTED_VALUE"""),"")</f>
        <v/>
      </c>
      <c r="J466" s="4" t="str">
        <f>IFERROR(__xludf.DUMMYFUNCTION("""COMPUTED_VALUE"""),"")</f>
        <v/>
      </c>
      <c r="K466" s="4" t="str">
        <f>IFERROR(__xludf.DUMMYFUNCTION("""COMPUTED_VALUE"""),"")</f>
        <v/>
      </c>
    </row>
    <row r="467">
      <c r="A467" s="4" t="str">
        <f>IFERROR(__xludf.DUMMYFUNCTION("""COMPUTED_VALUE"""),"")</f>
        <v/>
      </c>
      <c r="B467" s="4" t="str">
        <f>IFERROR(__xludf.DUMMYFUNCTION("""COMPUTED_VALUE"""),"")</f>
        <v/>
      </c>
      <c r="C467" s="4" t="str">
        <f>IFERROR(__xludf.DUMMYFUNCTION("""COMPUTED_VALUE"""),"")</f>
        <v/>
      </c>
      <c r="D467" s="4" t="str">
        <f>IFERROR(__xludf.DUMMYFUNCTION("""COMPUTED_VALUE"""),"")</f>
        <v/>
      </c>
      <c r="E467" s="4" t="str">
        <f>IFERROR(__xludf.DUMMYFUNCTION("""COMPUTED_VALUE"""),"")</f>
        <v/>
      </c>
      <c r="F467" s="4" t="str">
        <f>IFERROR(__xludf.DUMMYFUNCTION("""COMPUTED_VALUE"""),"")</f>
        <v/>
      </c>
      <c r="G467" s="4" t="str">
        <f>IFERROR(__xludf.DUMMYFUNCTION("""COMPUTED_VALUE"""),"")</f>
        <v/>
      </c>
      <c r="H467" s="4" t="str">
        <f>IFERROR(__xludf.DUMMYFUNCTION("""COMPUTED_VALUE"""),"")</f>
        <v/>
      </c>
      <c r="I467" s="4" t="str">
        <f>IFERROR(__xludf.DUMMYFUNCTION("""COMPUTED_VALUE"""),"")</f>
        <v/>
      </c>
      <c r="J467" s="4" t="str">
        <f>IFERROR(__xludf.DUMMYFUNCTION("""COMPUTED_VALUE"""),"")</f>
        <v/>
      </c>
      <c r="K467" s="4" t="str">
        <f>IFERROR(__xludf.DUMMYFUNCTION("""COMPUTED_VALUE"""),"")</f>
        <v/>
      </c>
    </row>
    <row r="468">
      <c r="A468" s="4" t="str">
        <f>IFERROR(__xludf.DUMMYFUNCTION("""COMPUTED_VALUE"""),"")</f>
        <v/>
      </c>
      <c r="B468" s="4" t="str">
        <f>IFERROR(__xludf.DUMMYFUNCTION("""COMPUTED_VALUE"""),"")</f>
        <v/>
      </c>
      <c r="C468" s="4" t="str">
        <f>IFERROR(__xludf.DUMMYFUNCTION("""COMPUTED_VALUE"""),"")</f>
        <v/>
      </c>
      <c r="D468" s="4" t="str">
        <f>IFERROR(__xludf.DUMMYFUNCTION("""COMPUTED_VALUE"""),"")</f>
        <v/>
      </c>
      <c r="E468" s="4" t="str">
        <f>IFERROR(__xludf.DUMMYFUNCTION("""COMPUTED_VALUE"""),"")</f>
        <v/>
      </c>
      <c r="F468" s="4" t="str">
        <f>IFERROR(__xludf.DUMMYFUNCTION("""COMPUTED_VALUE"""),"")</f>
        <v/>
      </c>
      <c r="G468" s="4" t="str">
        <f>IFERROR(__xludf.DUMMYFUNCTION("""COMPUTED_VALUE"""),"")</f>
        <v/>
      </c>
      <c r="H468" s="4" t="str">
        <f>IFERROR(__xludf.DUMMYFUNCTION("""COMPUTED_VALUE"""),"")</f>
        <v/>
      </c>
      <c r="I468" s="4" t="str">
        <f>IFERROR(__xludf.DUMMYFUNCTION("""COMPUTED_VALUE"""),"")</f>
        <v/>
      </c>
      <c r="J468" s="4" t="str">
        <f>IFERROR(__xludf.DUMMYFUNCTION("""COMPUTED_VALUE"""),"")</f>
        <v/>
      </c>
      <c r="K468" s="4" t="str">
        <f>IFERROR(__xludf.DUMMYFUNCTION("""COMPUTED_VALUE"""),"")</f>
        <v/>
      </c>
    </row>
    <row r="469">
      <c r="A469" s="4" t="str">
        <f>IFERROR(__xludf.DUMMYFUNCTION("""COMPUTED_VALUE"""),"")</f>
        <v/>
      </c>
      <c r="B469" s="4" t="str">
        <f>IFERROR(__xludf.DUMMYFUNCTION("""COMPUTED_VALUE"""),"")</f>
        <v/>
      </c>
      <c r="C469" s="4" t="str">
        <f>IFERROR(__xludf.DUMMYFUNCTION("""COMPUTED_VALUE"""),"")</f>
        <v/>
      </c>
      <c r="D469" s="4" t="str">
        <f>IFERROR(__xludf.DUMMYFUNCTION("""COMPUTED_VALUE"""),"")</f>
        <v/>
      </c>
      <c r="E469" s="4" t="str">
        <f>IFERROR(__xludf.DUMMYFUNCTION("""COMPUTED_VALUE"""),"")</f>
        <v/>
      </c>
      <c r="F469" s="4" t="str">
        <f>IFERROR(__xludf.DUMMYFUNCTION("""COMPUTED_VALUE"""),"")</f>
        <v/>
      </c>
      <c r="G469" s="4" t="str">
        <f>IFERROR(__xludf.DUMMYFUNCTION("""COMPUTED_VALUE"""),"")</f>
        <v/>
      </c>
      <c r="H469" s="4" t="str">
        <f>IFERROR(__xludf.DUMMYFUNCTION("""COMPUTED_VALUE"""),"")</f>
        <v/>
      </c>
      <c r="I469" s="4" t="str">
        <f>IFERROR(__xludf.DUMMYFUNCTION("""COMPUTED_VALUE"""),"")</f>
        <v/>
      </c>
      <c r="J469" s="4" t="str">
        <f>IFERROR(__xludf.DUMMYFUNCTION("""COMPUTED_VALUE"""),"")</f>
        <v/>
      </c>
      <c r="K469" s="4" t="str">
        <f>IFERROR(__xludf.DUMMYFUNCTION("""COMPUTED_VALUE"""),"")</f>
        <v/>
      </c>
    </row>
    <row r="470">
      <c r="A470" s="4" t="str">
        <f>IFERROR(__xludf.DUMMYFUNCTION("""COMPUTED_VALUE"""),"")</f>
        <v/>
      </c>
      <c r="B470" s="4" t="str">
        <f>IFERROR(__xludf.DUMMYFUNCTION("""COMPUTED_VALUE"""),"")</f>
        <v/>
      </c>
      <c r="C470" s="4" t="str">
        <f>IFERROR(__xludf.DUMMYFUNCTION("""COMPUTED_VALUE"""),"")</f>
        <v/>
      </c>
      <c r="D470" s="4" t="str">
        <f>IFERROR(__xludf.DUMMYFUNCTION("""COMPUTED_VALUE"""),"")</f>
        <v/>
      </c>
      <c r="E470" s="4" t="str">
        <f>IFERROR(__xludf.DUMMYFUNCTION("""COMPUTED_VALUE"""),"")</f>
        <v/>
      </c>
      <c r="F470" s="4" t="str">
        <f>IFERROR(__xludf.DUMMYFUNCTION("""COMPUTED_VALUE"""),"")</f>
        <v/>
      </c>
      <c r="G470" s="4" t="str">
        <f>IFERROR(__xludf.DUMMYFUNCTION("""COMPUTED_VALUE"""),"")</f>
        <v/>
      </c>
      <c r="H470" s="4" t="str">
        <f>IFERROR(__xludf.DUMMYFUNCTION("""COMPUTED_VALUE"""),"")</f>
        <v/>
      </c>
      <c r="I470" s="4" t="str">
        <f>IFERROR(__xludf.DUMMYFUNCTION("""COMPUTED_VALUE"""),"")</f>
        <v/>
      </c>
      <c r="J470" s="4" t="str">
        <f>IFERROR(__xludf.DUMMYFUNCTION("""COMPUTED_VALUE"""),"")</f>
        <v/>
      </c>
      <c r="K470" s="4" t="str">
        <f>IFERROR(__xludf.DUMMYFUNCTION("""COMPUTED_VALUE"""),"")</f>
        <v/>
      </c>
    </row>
    <row r="471">
      <c r="A471" s="4" t="str">
        <f>IFERROR(__xludf.DUMMYFUNCTION("""COMPUTED_VALUE"""),"")</f>
        <v/>
      </c>
      <c r="B471" s="4" t="str">
        <f>IFERROR(__xludf.DUMMYFUNCTION("""COMPUTED_VALUE"""),"")</f>
        <v/>
      </c>
      <c r="C471" s="4" t="str">
        <f>IFERROR(__xludf.DUMMYFUNCTION("""COMPUTED_VALUE"""),"")</f>
        <v/>
      </c>
      <c r="D471" s="4" t="str">
        <f>IFERROR(__xludf.DUMMYFUNCTION("""COMPUTED_VALUE"""),"")</f>
        <v/>
      </c>
      <c r="E471" s="4" t="str">
        <f>IFERROR(__xludf.DUMMYFUNCTION("""COMPUTED_VALUE"""),"")</f>
        <v/>
      </c>
      <c r="F471" s="4" t="str">
        <f>IFERROR(__xludf.DUMMYFUNCTION("""COMPUTED_VALUE"""),"")</f>
        <v/>
      </c>
      <c r="G471" s="4" t="str">
        <f>IFERROR(__xludf.DUMMYFUNCTION("""COMPUTED_VALUE"""),"")</f>
        <v/>
      </c>
      <c r="H471" s="4" t="str">
        <f>IFERROR(__xludf.DUMMYFUNCTION("""COMPUTED_VALUE"""),"")</f>
        <v/>
      </c>
      <c r="I471" s="4" t="str">
        <f>IFERROR(__xludf.DUMMYFUNCTION("""COMPUTED_VALUE"""),"")</f>
        <v/>
      </c>
      <c r="J471" s="4" t="str">
        <f>IFERROR(__xludf.DUMMYFUNCTION("""COMPUTED_VALUE"""),"")</f>
        <v/>
      </c>
      <c r="K471" s="4" t="str">
        <f>IFERROR(__xludf.DUMMYFUNCTION("""COMPUTED_VALUE"""),"")</f>
        <v/>
      </c>
    </row>
    <row r="472">
      <c r="A472" s="4" t="str">
        <f>IFERROR(__xludf.DUMMYFUNCTION("""COMPUTED_VALUE"""),"")</f>
        <v/>
      </c>
      <c r="B472" s="4" t="str">
        <f>IFERROR(__xludf.DUMMYFUNCTION("""COMPUTED_VALUE"""),"")</f>
        <v/>
      </c>
      <c r="C472" s="4" t="str">
        <f>IFERROR(__xludf.DUMMYFUNCTION("""COMPUTED_VALUE"""),"")</f>
        <v/>
      </c>
      <c r="D472" s="4" t="str">
        <f>IFERROR(__xludf.DUMMYFUNCTION("""COMPUTED_VALUE"""),"")</f>
        <v/>
      </c>
      <c r="E472" s="4" t="str">
        <f>IFERROR(__xludf.DUMMYFUNCTION("""COMPUTED_VALUE"""),"")</f>
        <v/>
      </c>
      <c r="F472" s="4" t="str">
        <f>IFERROR(__xludf.DUMMYFUNCTION("""COMPUTED_VALUE"""),"")</f>
        <v/>
      </c>
      <c r="G472" s="4" t="str">
        <f>IFERROR(__xludf.DUMMYFUNCTION("""COMPUTED_VALUE"""),"")</f>
        <v/>
      </c>
      <c r="H472" s="4" t="str">
        <f>IFERROR(__xludf.DUMMYFUNCTION("""COMPUTED_VALUE"""),"")</f>
        <v/>
      </c>
      <c r="I472" s="4" t="str">
        <f>IFERROR(__xludf.DUMMYFUNCTION("""COMPUTED_VALUE"""),"")</f>
        <v/>
      </c>
      <c r="J472" s="4" t="str">
        <f>IFERROR(__xludf.DUMMYFUNCTION("""COMPUTED_VALUE"""),"")</f>
        <v/>
      </c>
      <c r="K472" s="4" t="str">
        <f>IFERROR(__xludf.DUMMYFUNCTION("""COMPUTED_VALUE"""),"")</f>
        <v/>
      </c>
    </row>
    <row r="473">
      <c r="A473" s="4" t="str">
        <f>IFERROR(__xludf.DUMMYFUNCTION("""COMPUTED_VALUE"""),"")</f>
        <v/>
      </c>
      <c r="B473" s="4" t="str">
        <f>IFERROR(__xludf.DUMMYFUNCTION("""COMPUTED_VALUE"""),"")</f>
        <v/>
      </c>
      <c r="C473" s="4" t="str">
        <f>IFERROR(__xludf.DUMMYFUNCTION("""COMPUTED_VALUE"""),"")</f>
        <v/>
      </c>
      <c r="D473" s="4" t="str">
        <f>IFERROR(__xludf.DUMMYFUNCTION("""COMPUTED_VALUE"""),"")</f>
        <v/>
      </c>
      <c r="E473" s="4" t="str">
        <f>IFERROR(__xludf.DUMMYFUNCTION("""COMPUTED_VALUE"""),"")</f>
        <v/>
      </c>
      <c r="F473" s="4" t="str">
        <f>IFERROR(__xludf.DUMMYFUNCTION("""COMPUTED_VALUE"""),"")</f>
        <v/>
      </c>
      <c r="G473" s="4" t="str">
        <f>IFERROR(__xludf.DUMMYFUNCTION("""COMPUTED_VALUE"""),"")</f>
        <v/>
      </c>
      <c r="H473" s="4" t="str">
        <f>IFERROR(__xludf.DUMMYFUNCTION("""COMPUTED_VALUE"""),"")</f>
        <v/>
      </c>
      <c r="I473" s="4" t="str">
        <f>IFERROR(__xludf.DUMMYFUNCTION("""COMPUTED_VALUE"""),"")</f>
        <v/>
      </c>
      <c r="J473" s="4" t="str">
        <f>IFERROR(__xludf.DUMMYFUNCTION("""COMPUTED_VALUE"""),"")</f>
        <v/>
      </c>
      <c r="K473" s="4" t="str">
        <f>IFERROR(__xludf.DUMMYFUNCTION("""COMPUTED_VALUE"""),"")</f>
        <v/>
      </c>
    </row>
    <row r="474">
      <c r="A474" s="4" t="str">
        <f>IFERROR(__xludf.DUMMYFUNCTION("""COMPUTED_VALUE"""),"")</f>
        <v/>
      </c>
      <c r="B474" s="4" t="str">
        <f>IFERROR(__xludf.DUMMYFUNCTION("""COMPUTED_VALUE"""),"")</f>
        <v/>
      </c>
      <c r="C474" s="4" t="str">
        <f>IFERROR(__xludf.DUMMYFUNCTION("""COMPUTED_VALUE"""),"")</f>
        <v/>
      </c>
      <c r="D474" s="4" t="str">
        <f>IFERROR(__xludf.DUMMYFUNCTION("""COMPUTED_VALUE"""),"")</f>
        <v/>
      </c>
      <c r="E474" s="4" t="str">
        <f>IFERROR(__xludf.DUMMYFUNCTION("""COMPUTED_VALUE"""),"")</f>
        <v/>
      </c>
      <c r="F474" s="4" t="str">
        <f>IFERROR(__xludf.DUMMYFUNCTION("""COMPUTED_VALUE"""),"")</f>
        <v/>
      </c>
      <c r="G474" s="4" t="str">
        <f>IFERROR(__xludf.DUMMYFUNCTION("""COMPUTED_VALUE"""),"")</f>
        <v/>
      </c>
      <c r="H474" s="4" t="str">
        <f>IFERROR(__xludf.DUMMYFUNCTION("""COMPUTED_VALUE"""),"")</f>
        <v/>
      </c>
      <c r="I474" s="4" t="str">
        <f>IFERROR(__xludf.DUMMYFUNCTION("""COMPUTED_VALUE"""),"")</f>
        <v/>
      </c>
      <c r="J474" s="4" t="str">
        <f>IFERROR(__xludf.DUMMYFUNCTION("""COMPUTED_VALUE"""),"")</f>
        <v/>
      </c>
      <c r="K474" s="4" t="str">
        <f>IFERROR(__xludf.DUMMYFUNCTION("""COMPUTED_VALUE"""),"")</f>
        <v/>
      </c>
    </row>
    <row r="475">
      <c r="A475" s="4" t="str">
        <f>IFERROR(__xludf.DUMMYFUNCTION("""COMPUTED_VALUE"""),"")</f>
        <v/>
      </c>
      <c r="B475" s="4" t="str">
        <f>IFERROR(__xludf.DUMMYFUNCTION("""COMPUTED_VALUE"""),"")</f>
        <v/>
      </c>
      <c r="C475" s="4" t="str">
        <f>IFERROR(__xludf.DUMMYFUNCTION("""COMPUTED_VALUE"""),"")</f>
        <v/>
      </c>
      <c r="D475" s="4" t="str">
        <f>IFERROR(__xludf.DUMMYFUNCTION("""COMPUTED_VALUE"""),"")</f>
        <v/>
      </c>
      <c r="E475" s="4" t="str">
        <f>IFERROR(__xludf.DUMMYFUNCTION("""COMPUTED_VALUE"""),"")</f>
        <v/>
      </c>
      <c r="F475" s="4" t="str">
        <f>IFERROR(__xludf.DUMMYFUNCTION("""COMPUTED_VALUE"""),"")</f>
        <v/>
      </c>
      <c r="G475" s="4" t="str">
        <f>IFERROR(__xludf.DUMMYFUNCTION("""COMPUTED_VALUE"""),"")</f>
        <v/>
      </c>
      <c r="H475" s="4" t="str">
        <f>IFERROR(__xludf.DUMMYFUNCTION("""COMPUTED_VALUE"""),"")</f>
        <v/>
      </c>
      <c r="I475" s="4" t="str">
        <f>IFERROR(__xludf.DUMMYFUNCTION("""COMPUTED_VALUE"""),"")</f>
        <v/>
      </c>
      <c r="J475" s="4" t="str">
        <f>IFERROR(__xludf.DUMMYFUNCTION("""COMPUTED_VALUE"""),"")</f>
        <v/>
      </c>
      <c r="K475" s="4" t="str">
        <f>IFERROR(__xludf.DUMMYFUNCTION("""COMPUTED_VALUE"""),"")</f>
        <v/>
      </c>
    </row>
    <row r="476">
      <c r="A476" s="4" t="str">
        <f>IFERROR(__xludf.DUMMYFUNCTION("""COMPUTED_VALUE"""),"")</f>
        <v/>
      </c>
      <c r="B476" s="4" t="str">
        <f>IFERROR(__xludf.DUMMYFUNCTION("""COMPUTED_VALUE"""),"")</f>
        <v/>
      </c>
      <c r="C476" s="4" t="str">
        <f>IFERROR(__xludf.DUMMYFUNCTION("""COMPUTED_VALUE"""),"")</f>
        <v/>
      </c>
      <c r="D476" s="4" t="str">
        <f>IFERROR(__xludf.DUMMYFUNCTION("""COMPUTED_VALUE"""),"")</f>
        <v/>
      </c>
      <c r="E476" s="4" t="str">
        <f>IFERROR(__xludf.DUMMYFUNCTION("""COMPUTED_VALUE"""),"")</f>
        <v/>
      </c>
      <c r="F476" s="4" t="str">
        <f>IFERROR(__xludf.DUMMYFUNCTION("""COMPUTED_VALUE"""),"")</f>
        <v/>
      </c>
      <c r="G476" s="4" t="str">
        <f>IFERROR(__xludf.DUMMYFUNCTION("""COMPUTED_VALUE"""),"")</f>
        <v/>
      </c>
      <c r="H476" s="4" t="str">
        <f>IFERROR(__xludf.DUMMYFUNCTION("""COMPUTED_VALUE"""),"")</f>
        <v/>
      </c>
      <c r="I476" s="4" t="str">
        <f>IFERROR(__xludf.DUMMYFUNCTION("""COMPUTED_VALUE"""),"")</f>
        <v/>
      </c>
      <c r="J476" s="4" t="str">
        <f>IFERROR(__xludf.DUMMYFUNCTION("""COMPUTED_VALUE"""),"")</f>
        <v/>
      </c>
      <c r="K476" s="4" t="str">
        <f>IFERROR(__xludf.DUMMYFUNCTION("""COMPUTED_VALUE"""),"")</f>
        <v/>
      </c>
    </row>
    <row r="477">
      <c r="A477" s="4" t="str">
        <f>IFERROR(__xludf.DUMMYFUNCTION("""COMPUTED_VALUE"""),"")</f>
        <v/>
      </c>
      <c r="B477" s="4" t="str">
        <f>IFERROR(__xludf.DUMMYFUNCTION("""COMPUTED_VALUE"""),"")</f>
        <v/>
      </c>
      <c r="C477" s="4" t="str">
        <f>IFERROR(__xludf.DUMMYFUNCTION("""COMPUTED_VALUE"""),"")</f>
        <v/>
      </c>
      <c r="D477" s="4" t="str">
        <f>IFERROR(__xludf.DUMMYFUNCTION("""COMPUTED_VALUE"""),"")</f>
        <v/>
      </c>
      <c r="E477" s="4" t="str">
        <f>IFERROR(__xludf.DUMMYFUNCTION("""COMPUTED_VALUE"""),"")</f>
        <v/>
      </c>
      <c r="F477" s="4" t="str">
        <f>IFERROR(__xludf.DUMMYFUNCTION("""COMPUTED_VALUE"""),"")</f>
        <v/>
      </c>
      <c r="G477" s="4" t="str">
        <f>IFERROR(__xludf.DUMMYFUNCTION("""COMPUTED_VALUE"""),"")</f>
        <v/>
      </c>
      <c r="H477" s="4" t="str">
        <f>IFERROR(__xludf.DUMMYFUNCTION("""COMPUTED_VALUE"""),"")</f>
        <v/>
      </c>
      <c r="I477" s="4" t="str">
        <f>IFERROR(__xludf.DUMMYFUNCTION("""COMPUTED_VALUE"""),"")</f>
        <v/>
      </c>
      <c r="J477" s="4" t="str">
        <f>IFERROR(__xludf.DUMMYFUNCTION("""COMPUTED_VALUE"""),"")</f>
        <v/>
      </c>
      <c r="K477" s="4" t="str">
        <f>IFERROR(__xludf.DUMMYFUNCTION("""COMPUTED_VALUE"""),"")</f>
        <v/>
      </c>
    </row>
    <row r="478">
      <c r="A478" s="4" t="str">
        <f>IFERROR(__xludf.DUMMYFUNCTION("""COMPUTED_VALUE"""),"")</f>
        <v/>
      </c>
      <c r="B478" s="4" t="str">
        <f>IFERROR(__xludf.DUMMYFUNCTION("""COMPUTED_VALUE"""),"")</f>
        <v/>
      </c>
      <c r="C478" s="4" t="str">
        <f>IFERROR(__xludf.DUMMYFUNCTION("""COMPUTED_VALUE"""),"")</f>
        <v/>
      </c>
      <c r="D478" s="4" t="str">
        <f>IFERROR(__xludf.DUMMYFUNCTION("""COMPUTED_VALUE"""),"")</f>
        <v/>
      </c>
      <c r="E478" s="4" t="str">
        <f>IFERROR(__xludf.DUMMYFUNCTION("""COMPUTED_VALUE"""),"")</f>
        <v/>
      </c>
      <c r="F478" s="4" t="str">
        <f>IFERROR(__xludf.DUMMYFUNCTION("""COMPUTED_VALUE"""),"")</f>
        <v/>
      </c>
      <c r="G478" s="4" t="str">
        <f>IFERROR(__xludf.DUMMYFUNCTION("""COMPUTED_VALUE"""),"")</f>
        <v/>
      </c>
      <c r="H478" s="4" t="str">
        <f>IFERROR(__xludf.DUMMYFUNCTION("""COMPUTED_VALUE"""),"")</f>
        <v/>
      </c>
      <c r="I478" s="4" t="str">
        <f>IFERROR(__xludf.DUMMYFUNCTION("""COMPUTED_VALUE"""),"")</f>
        <v/>
      </c>
      <c r="J478" s="4" t="str">
        <f>IFERROR(__xludf.DUMMYFUNCTION("""COMPUTED_VALUE"""),"")</f>
        <v/>
      </c>
      <c r="K478" s="4" t="str">
        <f>IFERROR(__xludf.DUMMYFUNCTION("""COMPUTED_VALUE"""),"")</f>
        <v/>
      </c>
    </row>
    <row r="479">
      <c r="A479" s="4" t="str">
        <f>IFERROR(__xludf.DUMMYFUNCTION("""COMPUTED_VALUE"""),"")</f>
        <v/>
      </c>
      <c r="B479" s="4" t="str">
        <f>IFERROR(__xludf.DUMMYFUNCTION("""COMPUTED_VALUE"""),"")</f>
        <v/>
      </c>
      <c r="C479" s="4" t="str">
        <f>IFERROR(__xludf.DUMMYFUNCTION("""COMPUTED_VALUE"""),"")</f>
        <v/>
      </c>
      <c r="D479" s="4" t="str">
        <f>IFERROR(__xludf.DUMMYFUNCTION("""COMPUTED_VALUE"""),"")</f>
        <v/>
      </c>
      <c r="E479" s="4" t="str">
        <f>IFERROR(__xludf.DUMMYFUNCTION("""COMPUTED_VALUE"""),"")</f>
        <v/>
      </c>
      <c r="F479" s="4" t="str">
        <f>IFERROR(__xludf.DUMMYFUNCTION("""COMPUTED_VALUE"""),"")</f>
        <v/>
      </c>
      <c r="G479" s="4" t="str">
        <f>IFERROR(__xludf.DUMMYFUNCTION("""COMPUTED_VALUE"""),"")</f>
        <v/>
      </c>
      <c r="H479" s="4" t="str">
        <f>IFERROR(__xludf.DUMMYFUNCTION("""COMPUTED_VALUE"""),"")</f>
        <v/>
      </c>
      <c r="I479" s="4" t="str">
        <f>IFERROR(__xludf.DUMMYFUNCTION("""COMPUTED_VALUE"""),"")</f>
        <v/>
      </c>
      <c r="J479" s="4" t="str">
        <f>IFERROR(__xludf.DUMMYFUNCTION("""COMPUTED_VALUE"""),"")</f>
        <v/>
      </c>
      <c r="K479" s="4" t="str">
        <f>IFERROR(__xludf.DUMMYFUNCTION("""COMPUTED_VALUE"""),"")</f>
        <v/>
      </c>
    </row>
    <row r="480">
      <c r="A480" s="4" t="str">
        <f>IFERROR(__xludf.DUMMYFUNCTION("""COMPUTED_VALUE"""),"")</f>
        <v/>
      </c>
      <c r="B480" s="4" t="str">
        <f>IFERROR(__xludf.DUMMYFUNCTION("""COMPUTED_VALUE"""),"")</f>
        <v/>
      </c>
      <c r="C480" s="4" t="str">
        <f>IFERROR(__xludf.DUMMYFUNCTION("""COMPUTED_VALUE"""),"")</f>
        <v/>
      </c>
      <c r="D480" s="4" t="str">
        <f>IFERROR(__xludf.DUMMYFUNCTION("""COMPUTED_VALUE"""),"")</f>
        <v/>
      </c>
      <c r="E480" s="4" t="str">
        <f>IFERROR(__xludf.DUMMYFUNCTION("""COMPUTED_VALUE"""),"")</f>
        <v/>
      </c>
      <c r="F480" s="4" t="str">
        <f>IFERROR(__xludf.DUMMYFUNCTION("""COMPUTED_VALUE"""),"")</f>
        <v/>
      </c>
      <c r="G480" s="4" t="str">
        <f>IFERROR(__xludf.DUMMYFUNCTION("""COMPUTED_VALUE"""),"")</f>
        <v/>
      </c>
      <c r="H480" s="4" t="str">
        <f>IFERROR(__xludf.DUMMYFUNCTION("""COMPUTED_VALUE"""),"")</f>
        <v/>
      </c>
      <c r="I480" s="4" t="str">
        <f>IFERROR(__xludf.DUMMYFUNCTION("""COMPUTED_VALUE"""),"")</f>
        <v/>
      </c>
      <c r="J480" s="4" t="str">
        <f>IFERROR(__xludf.DUMMYFUNCTION("""COMPUTED_VALUE"""),"")</f>
        <v/>
      </c>
      <c r="K480" s="4" t="str">
        <f>IFERROR(__xludf.DUMMYFUNCTION("""COMPUTED_VALUE"""),"")</f>
        <v/>
      </c>
    </row>
    <row r="481">
      <c r="A481" s="4" t="str">
        <f>IFERROR(__xludf.DUMMYFUNCTION("""COMPUTED_VALUE"""),"")</f>
        <v/>
      </c>
      <c r="B481" s="4" t="str">
        <f>IFERROR(__xludf.DUMMYFUNCTION("""COMPUTED_VALUE"""),"")</f>
        <v/>
      </c>
      <c r="C481" s="4" t="str">
        <f>IFERROR(__xludf.DUMMYFUNCTION("""COMPUTED_VALUE"""),"")</f>
        <v/>
      </c>
      <c r="D481" s="4" t="str">
        <f>IFERROR(__xludf.DUMMYFUNCTION("""COMPUTED_VALUE"""),"")</f>
        <v/>
      </c>
      <c r="E481" s="4" t="str">
        <f>IFERROR(__xludf.DUMMYFUNCTION("""COMPUTED_VALUE"""),"")</f>
        <v/>
      </c>
      <c r="F481" s="4" t="str">
        <f>IFERROR(__xludf.DUMMYFUNCTION("""COMPUTED_VALUE"""),"")</f>
        <v/>
      </c>
      <c r="G481" s="4" t="str">
        <f>IFERROR(__xludf.DUMMYFUNCTION("""COMPUTED_VALUE"""),"")</f>
        <v/>
      </c>
      <c r="H481" s="4" t="str">
        <f>IFERROR(__xludf.DUMMYFUNCTION("""COMPUTED_VALUE"""),"")</f>
        <v/>
      </c>
      <c r="I481" s="4" t="str">
        <f>IFERROR(__xludf.DUMMYFUNCTION("""COMPUTED_VALUE"""),"")</f>
        <v/>
      </c>
      <c r="J481" s="4" t="str">
        <f>IFERROR(__xludf.DUMMYFUNCTION("""COMPUTED_VALUE"""),"")</f>
        <v/>
      </c>
      <c r="K481" s="4" t="str">
        <f>IFERROR(__xludf.DUMMYFUNCTION("""COMPUTED_VALUE"""),"")</f>
        <v/>
      </c>
    </row>
    <row r="482">
      <c r="A482" s="4" t="str">
        <f>IFERROR(__xludf.DUMMYFUNCTION("""COMPUTED_VALUE"""),"")</f>
        <v/>
      </c>
      <c r="B482" s="4" t="str">
        <f>IFERROR(__xludf.DUMMYFUNCTION("""COMPUTED_VALUE"""),"")</f>
        <v/>
      </c>
      <c r="C482" s="4" t="str">
        <f>IFERROR(__xludf.DUMMYFUNCTION("""COMPUTED_VALUE"""),"")</f>
        <v/>
      </c>
      <c r="D482" s="4" t="str">
        <f>IFERROR(__xludf.DUMMYFUNCTION("""COMPUTED_VALUE"""),"")</f>
        <v/>
      </c>
      <c r="E482" s="4" t="str">
        <f>IFERROR(__xludf.DUMMYFUNCTION("""COMPUTED_VALUE"""),"")</f>
        <v/>
      </c>
      <c r="F482" s="4" t="str">
        <f>IFERROR(__xludf.DUMMYFUNCTION("""COMPUTED_VALUE"""),"")</f>
        <v/>
      </c>
      <c r="G482" s="4" t="str">
        <f>IFERROR(__xludf.DUMMYFUNCTION("""COMPUTED_VALUE"""),"")</f>
        <v/>
      </c>
      <c r="H482" s="4" t="str">
        <f>IFERROR(__xludf.DUMMYFUNCTION("""COMPUTED_VALUE"""),"")</f>
        <v/>
      </c>
      <c r="I482" s="4" t="str">
        <f>IFERROR(__xludf.DUMMYFUNCTION("""COMPUTED_VALUE"""),"")</f>
        <v/>
      </c>
      <c r="J482" s="4" t="str">
        <f>IFERROR(__xludf.DUMMYFUNCTION("""COMPUTED_VALUE"""),"")</f>
        <v/>
      </c>
      <c r="K482" s="4" t="str">
        <f>IFERROR(__xludf.DUMMYFUNCTION("""COMPUTED_VALUE"""),"")</f>
        <v/>
      </c>
    </row>
    <row r="483">
      <c r="A483" s="4" t="str">
        <f>IFERROR(__xludf.DUMMYFUNCTION("""COMPUTED_VALUE"""),"")</f>
        <v/>
      </c>
      <c r="B483" s="4" t="str">
        <f>IFERROR(__xludf.DUMMYFUNCTION("""COMPUTED_VALUE"""),"")</f>
        <v/>
      </c>
      <c r="C483" s="4" t="str">
        <f>IFERROR(__xludf.DUMMYFUNCTION("""COMPUTED_VALUE"""),"")</f>
        <v/>
      </c>
      <c r="D483" s="4" t="str">
        <f>IFERROR(__xludf.DUMMYFUNCTION("""COMPUTED_VALUE"""),"")</f>
        <v/>
      </c>
      <c r="E483" s="4" t="str">
        <f>IFERROR(__xludf.DUMMYFUNCTION("""COMPUTED_VALUE"""),"")</f>
        <v/>
      </c>
      <c r="F483" s="4" t="str">
        <f>IFERROR(__xludf.DUMMYFUNCTION("""COMPUTED_VALUE"""),"")</f>
        <v/>
      </c>
      <c r="G483" s="4" t="str">
        <f>IFERROR(__xludf.DUMMYFUNCTION("""COMPUTED_VALUE"""),"")</f>
        <v/>
      </c>
      <c r="H483" s="4" t="str">
        <f>IFERROR(__xludf.DUMMYFUNCTION("""COMPUTED_VALUE"""),"")</f>
        <v/>
      </c>
      <c r="I483" s="4" t="str">
        <f>IFERROR(__xludf.DUMMYFUNCTION("""COMPUTED_VALUE"""),"")</f>
        <v/>
      </c>
      <c r="J483" s="4" t="str">
        <f>IFERROR(__xludf.DUMMYFUNCTION("""COMPUTED_VALUE"""),"")</f>
        <v/>
      </c>
      <c r="K483" s="4" t="str">
        <f>IFERROR(__xludf.DUMMYFUNCTION("""COMPUTED_VALUE"""),"")</f>
        <v/>
      </c>
    </row>
    <row r="484">
      <c r="A484" s="4" t="str">
        <f>IFERROR(__xludf.DUMMYFUNCTION("""COMPUTED_VALUE"""),"")</f>
        <v/>
      </c>
      <c r="B484" s="4" t="str">
        <f>IFERROR(__xludf.DUMMYFUNCTION("""COMPUTED_VALUE"""),"")</f>
        <v/>
      </c>
      <c r="C484" s="4" t="str">
        <f>IFERROR(__xludf.DUMMYFUNCTION("""COMPUTED_VALUE"""),"")</f>
        <v/>
      </c>
      <c r="D484" s="4" t="str">
        <f>IFERROR(__xludf.DUMMYFUNCTION("""COMPUTED_VALUE"""),"")</f>
        <v/>
      </c>
      <c r="E484" s="4" t="str">
        <f>IFERROR(__xludf.DUMMYFUNCTION("""COMPUTED_VALUE"""),"")</f>
        <v/>
      </c>
      <c r="F484" s="4" t="str">
        <f>IFERROR(__xludf.DUMMYFUNCTION("""COMPUTED_VALUE"""),"")</f>
        <v/>
      </c>
      <c r="G484" s="4" t="str">
        <f>IFERROR(__xludf.DUMMYFUNCTION("""COMPUTED_VALUE"""),"")</f>
        <v/>
      </c>
      <c r="H484" s="4" t="str">
        <f>IFERROR(__xludf.DUMMYFUNCTION("""COMPUTED_VALUE"""),"")</f>
        <v/>
      </c>
      <c r="I484" s="4" t="str">
        <f>IFERROR(__xludf.DUMMYFUNCTION("""COMPUTED_VALUE"""),"")</f>
        <v/>
      </c>
      <c r="J484" s="4" t="str">
        <f>IFERROR(__xludf.DUMMYFUNCTION("""COMPUTED_VALUE"""),"")</f>
        <v/>
      </c>
      <c r="K484" s="4" t="str">
        <f>IFERROR(__xludf.DUMMYFUNCTION("""COMPUTED_VALUE"""),"")</f>
        <v/>
      </c>
    </row>
    <row r="485">
      <c r="A485" s="4" t="str">
        <f>IFERROR(__xludf.DUMMYFUNCTION("""COMPUTED_VALUE"""),"")</f>
        <v/>
      </c>
      <c r="B485" s="4" t="str">
        <f>IFERROR(__xludf.DUMMYFUNCTION("""COMPUTED_VALUE"""),"")</f>
        <v/>
      </c>
      <c r="C485" s="4" t="str">
        <f>IFERROR(__xludf.DUMMYFUNCTION("""COMPUTED_VALUE"""),"")</f>
        <v/>
      </c>
      <c r="D485" s="4" t="str">
        <f>IFERROR(__xludf.DUMMYFUNCTION("""COMPUTED_VALUE"""),"")</f>
        <v/>
      </c>
      <c r="E485" s="4" t="str">
        <f>IFERROR(__xludf.DUMMYFUNCTION("""COMPUTED_VALUE"""),"")</f>
        <v/>
      </c>
      <c r="F485" s="4" t="str">
        <f>IFERROR(__xludf.DUMMYFUNCTION("""COMPUTED_VALUE"""),"")</f>
        <v/>
      </c>
      <c r="G485" s="4" t="str">
        <f>IFERROR(__xludf.DUMMYFUNCTION("""COMPUTED_VALUE"""),"")</f>
        <v/>
      </c>
      <c r="H485" s="4" t="str">
        <f>IFERROR(__xludf.DUMMYFUNCTION("""COMPUTED_VALUE"""),"")</f>
        <v/>
      </c>
      <c r="I485" s="4" t="str">
        <f>IFERROR(__xludf.DUMMYFUNCTION("""COMPUTED_VALUE"""),"")</f>
        <v/>
      </c>
      <c r="J485" s="4" t="str">
        <f>IFERROR(__xludf.DUMMYFUNCTION("""COMPUTED_VALUE"""),"")</f>
        <v/>
      </c>
      <c r="K485" s="4" t="str">
        <f>IFERROR(__xludf.DUMMYFUNCTION("""COMPUTED_VALUE"""),"")</f>
        <v/>
      </c>
    </row>
    <row r="486">
      <c r="A486" s="4" t="str">
        <f>IFERROR(__xludf.DUMMYFUNCTION("""COMPUTED_VALUE"""),"")</f>
        <v/>
      </c>
      <c r="B486" s="4" t="str">
        <f>IFERROR(__xludf.DUMMYFUNCTION("""COMPUTED_VALUE"""),"")</f>
        <v/>
      </c>
      <c r="C486" s="4" t="str">
        <f>IFERROR(__xludf.DUMMYFUNCTION("""COMPUTED_VALUE"""),"")</f>
        <v/>
      </c>
      <c r="D486" s="4" t="str">
        <f>IFERROR(__xludf.DUMMYFUNCTION("""COMPUTED_VALUE"""),"")</f>
        <v/>
      </c>
      <c r="E486" s="4" t="str">
        <f>IFERROR(__xludf.DUMMYFUNCTION("""COMPUTED_VALUE"""),"")</f>
        <v/>
      </c>
      <c r="F486" s="4" t="str">
        <f>IFERROR(__xludf.DUMMYFUNCTION("""COMPUTED_VALUE"""),"")</f>
        <v/>
      </c>
      <c r="G486" s="4" t="str">
        <f>IFERROR(__xludf.DUMMYFUNCTION("""COMPUTED_VALUE"""),"")</f>
        <v/>
      </c>
      <c r="H486" s="4" t="str">
        <f>IFERROR(__xludf.DUMMYFUNCTION("""COMPUTED_VALUE"""),"")</f>
        <v/>
      </c>
      <c r="I486" s="4" t="str">
        <f>IFERROR(__xludf.DUMMYFUNCTION("""COMPUTED_VALUE"""),"")</f>
        <v/>
      </c>
      <c r="J486" s="4" t="str">
        <f>IFERROR(__xludf.DUMMYFUNCTION("""COMPUTED_VALUE"""),"")</f>
        <v/>
      </c>
      <c r="K486" s="4" t="str">
        <f>IFERROR(__xludf.DUMMYFUNCTION("""COMPUTED_VALUE"""),"")</f>
        <v/>
      </c>
    </row>
    <row r="487">
      <c r="A487" s="4" t="str">
        <f>IFERROR(__xludf.DUMMYFUNCTION("""COMPUTED_VALUE"""),"")</f>
        <v/>
      </c>
      <c r="B487" s="4" t="str">
        <f>IFERROR(__xludf.DUMMYFUNCTION("""COMPUTED_VALUE"""),"")</f>
        <v/>
      </c>
      <c r="C487" s="4" t="str">
        <f>IFERROR(__xludf.DUMMYFUNCTION("""COMPUTED_VALUE"""),"")</f>
        <v/>
      </c>
      <c r="D487" s="4" t="str">
        <f>IFERROR(__xludf.DUMMYFUNCTION("""COMPUTED_VALUE"""),"")</f>
        <v/>
      </c>
      <c r="E487" s="4" t="str">
        <f>IFERROR(__xludf.DUMMYFUNCTION("""COMPUTED_VALUE"""),"")</f>
        <v/>
      </c>
      <c r="F487" s="4" t="str">
        <f>IFERROR(__xludf.DUMMYFUNCTION("""COMPUTED_VALUE"""),"")</f>
        <v/>
      </c>
      <c r="G487" s="4" t="str">
        <f>IFERROR(__xludf.DUMMYFUNCTION("""COMPUTED_VALUE"""),"")</f>
        <v/>
      </c>
      <c r="H487" s="4" t="str">
        <f>IFERROR(__xludf.DUMMYFUNCTION("""COMPUTED_VALUE"""),"")</f>
        <v/>
      </c>
      <c r="I487" s="4" t="str">
        <f>IFERROR(__xludf.DUMMYFUNCTION("""COMPUTED_VALUE"""),"")</f>
        <v/>
      </c>
      <c r="J487" s="4" t="str">
        <f>IFERROR(__xludf.DUMMYFUNCTION("""COMPUTED_VALUE"""),"")</f>
        <v/>
      </c>
      <c r="K487" s="4" t="str">
        <f>IFERROR(__xludf.DUMMYFUNCTION("""COMPUTED_VALUE"""),"")</f>
        <v/>
      </c>
    </row>
    <row r="488">
      <c r="A488" s="4" t="str">
        <f>IFERROR(__xludf.DUMMYFUNCTION("""COMPUTED_VALUE"""),"")</f>
        <v/>
      </c>
      <c r="B488" s="4" t="str">
        <f>IFERROR(__xludf.DUMMYFUNCTION("""COMPUTED_VALUE"""),"")</f>
        <v/>
      </c>
      <c r="C488" s="4" t="str">
        <f>IFERROR(__xludf.DUMMYFUNCTION("""COMPUTED_VALUE"""),"")</f>
        <v/>
      </c>
      <c r="D488" s="4" t="str">
        <f>IFERROR(__xludf.DUMMYFUNCTION("""COMPUTED_VALUE"""),"")</f>
        <v/>
      </c>
      <c r="E488" s="4" t="str">
        <f>IFERROR(__xludf.DUMMYFUNCTION("""COMPUTED_VALUE"""),"")</f>
        <v/>
      </c>
      <c r="F488" s="4" t="str">
        <f>IFERROR(__xludf.DUMMYFUNCTION("""COMPUTED_VALUE"""),"")</f>
        <v/>
      </c>
      <c r="G488" s="4" t="str">
        <f>IFERROR(__xludf.DUMMYFUNCTION("""COMPUTED_VALUE"""),"")</f>
        <v/>
      </c>
      <c r="H488" s="4" t="str">
        <f>IFERROR(__xludf.DUMMYFUNCTION("""COMPUTED_VALUE"""),"")</f>
        <v/>
      </c>
      <c r="I488" s="4" t="str">
        <f>IFERROR(__xludf.DUMMYFUNCTION("""COMPUTED_VALUE"""),"")</f>
        <v/>
      </c>
      <c r="J488" s="4" t="str">
        <f>IFERROR(__xludf.DUMMYFUNCTION("""COMPUTED_VALUE"""),"")</f>
        <v/>
      </c>
      <c r="K488" s="4" t="str">
        <f>IFERROR(__xludf.DUMMYFUNCTION("""COMPUTED_VALUE"""),"")</f>
        <v/>
      </c>
    </row>
    <row r="489">
      <c r="A489" s="4" t="str">
        <f>IFERROR(__xludf.DUMMYFUNCTION("""COMPUTED_VALUE"""),"")</f>
        <v/>
      </c>
      <c r="B489" s="4" t="str">
        <f>IFERROR(__xludf.DUMMYFUNCTION("""COMPUTED_VALUE"""),"")</f>
        <v/>
      </c>
      <c r="C489" s="4" t="str">
        <f>IFERROR(__xludf.DUMMYFUNCTION("""COMPUTED_VALUE"""),"")</f>
        <v/>
      </c>
      <c r="D489" s="4" t="str">
        <f>IFERROR(__xludf.DUMMYFUNCTION("""COMPUTED_VALUE"""),"")</f>
        <v/>
      </c>
      <c r="E489" s="4" t="str">
        <f>IFERROR(__xludf.DUMMYFUNCTION("""COMPUTED_VALUE"""),"")</f>
        <v/>
      </c>
      <c r="F489" s="4" t="str">
        <f>IFERROR(__xludf.DUMMYFUNCTION("""COMPUTED_VALUE"""),"")</f>
        <v/>
      </c>
      <c r="G489" s="4" t="str">
        <f>IFERROR(__xludf.DUMMYFUNCTION("""COMPUTED_VALUE"""),"")</f>
        <v/>
      </c>
      <c r="H489" s="4" t="str">
        <f>IFERROR(__xludf.DUMMYFUNCTION("""COMPUTED_VALUE"""),"")</f>
        <v/>
      </c>
      <c r="I489" s="4" t="str">
        <f>IFERROR(__xludf.DUMMYFUNCTION("""COMPUTED_VALUE"""),"")</f>
        <v/>
      </c>
      <c r="J489" s="4" t="str">
        <f>IFERROR(__xludf.DUMMYFUNCTION("""COMPUTED_VALUE"""),"")</f>
        <v/>
      </c>
      <c r="K489" s="4" t="str">
        <f>IFERROR(__xludf.DUMMYFUNCTION("""COMPUTED_VALUE"""),"")</f>
        <v/>
      </c>
    </row>
    <row r="490">
      <c r="A490" s="4" t="str">
        <f>IFERROR(__xludf.DUMMYFUNCTION("""COMPUTED_VALUE"""),"")</f>
        <v/>
      </c>
      <c r="B490" s="4" t="str">
        <f>IFERROR(__xludf.DUMMYFUNCTION("""COMPUTED_VALUE"""),"")</f>
        <v/>
      </c>
      <c r="C490" s="4" t="str">
        <f>IFERROR(__xludf.DUMMYFUNCTION("""COMPUTED_VALUE"""),"")</f>
        <v/>
      </c>
      <c r="D490" s="4" t="str">
        <f>IFERROR(__xludf.DUMMYFUNCTION("""COMPUTED_VALUE"""),"")</f>
        <v/>
      </c>
      <c r="E490" s="4" t="str">
        <f>IFERROR(__xludf.DUMMYFUNCTION("""COMPUTED_VALUE"""),"")</f>
        <v/>
      </c>
      <c r="F490" s="4" t="str">
        <f>IFERROR(__xludf.DUMMYFUNCTION("""COMPUTED_VALUE"""),"")</f>
        <v/>
      </c>
      <c r="G490" s="4" t="str">
        <f>IFERROR(__xludf.DUMMYFUNCTION("""COMPUTED_VALUE"""),"")</f>
        <v/>
      </c>
      <c r="H490" s="4" t="str">
        <f>IFERROR(__xludf.DUMMYFUNCTION("""COMPUTED_VALUE"""),"")</f>
        <v/>
      </c>
      <c r="I490" s="4" t="str">
        <f>IFERROR(__xludf.DUMMYFUNCTION("""COMPUTED_VALUE"""),"")</f>
        <v/>
      </c>
      <c r="J490" s="4" t="str">
        <f>IFERROR(__xludf.DUMMYFUNCTION("""COMPUTED_VALUE"""),"")</f>
        <v/>
      </c>
      <c r="K490" s="4" t="str">
        <f>IFERROR(__xludf.DUMMYFUNCTION("""COMPUTED_VALUE"""),"")</f>
        <v/>
      </c>
    </row>
    <row r="491">
      <c r="A491" s="4" t="str">
        <f>IFERROR(__xludf.DUMMYFUNCTION("""COMPUTED_VALUE"""),"")</f>
        <v/>
      </c>
      <c r="B491" s="4" t="str">
        <f>IFERROR(__xludf.DUMMYFUNCTION("""COMPUTED_VALUE"""),"")</f>
        <v/>
      </c>
      <c r="C491" s="4" t="str">
        <f>IFERROR(__xludf.DUMMYFUNCTION("""COMPUTED_VALUE"""),"")</f>
        <v/>
      </c>
      <c r="D491" s="4" t="str">
        <f>IFERROR(__xludf.DUMMYFUNCTION("""COMPUTED_VALUE"""),"")</f>
        <v/>
      </c>
      <c r="E491" s="4" t="str">
        <f>IFERROR(__xludf.DUMMYFUNCTION("""COMPUTED_VALUE"""),"")</f>
        <v/>
      </c>
      <c r="F491" s="4" t="str">
        <f>IFERROR(__xludf.DUMMYFUNCTION("""COMPUTED_VALUE"""),"")</f>
        <v/>
      </c>
      <c r="G491" s="4" t="str">
        <f>IFERROR(__xludf.DUMMYFUNCTION("""COMPUTED_VALUE"""),"")</f>
        <v/>
      </c>
      <c r="H491" s="4" t="str">
        <f>IFERROR(__xludf.DUMMYFUNCTION("""COMPUTED_VALUE"""),"")</f>
        <v/>
      </c>
      <c r="I491" s="4" t="str">
        <f>IFERROR(__xludf.DUMMYFUNCTION("""COMPUTED_VALUE"""),"")</f>
        <v/>
      </c>
      <c r="J491" s="4" t="str">
        <f>IFERROR(__xludf.DUMMYFUNCTION("""COMPUTED_VALUE"""),"")</f>
        <v/>
      </c>
      <c r="K491" s="4" t="str">
        <f>IFERROR(__xludf.DUMMYFUNCTION("""COMPUTED_VALUE"""),"")</f>
        <v/>
      </c>
    </row>
    <row r="492">
      <c r="A492" s="4" t="str">
        <f>IFERROR(__xludf.DUMMYFUNCTION("""COMPUTED_VALUE"""),"")</f>
        <v/>
      </c>
      <c r="B492" s="4" t="str">
        <f>IFERROR(__xludf.DUMMYFUNCTION("""COMPUTED_VALUE"""),"")</f>
        <v/>
      </c>
      <c r="C492" s="4" t="str">
        <f>IFERROR(__xludf.DUMMYFUNCTION("""COMPUTED_VALUE"""),"")</f>
        <v/>
      </c>
      <c r="D492" s="4" t="str">
        <f>IFERROR(__xludf.DUMMYFUNCTION("""COMPUTED_VALUE"""),"")</f>
        <v/>
      </c>
      <c r="E492" s="4" t="str">
        <f>IFERROR(__xludf.DUMMYFUNCTION("""COMPUTED_VALUE"""),"")</f>
        <v/>
      </c>
      <c r="F492" s="4" t="str">
        <f>IFERROR(__xludf.DUMMYFUNCTION("""COMPUTED_VALUE"""),"")</f>
        <v/>
      </c>
      <c r="G492" s="4" t="str">
        <f>IFERROR(__xludf.DUMMYFUNCTION("""COMPUTED_VALUE"""),"")</f>
        <v/>
      </c>
      <c r="H492" s="4" t="str">
        <f>IFERROR(__xludf.DUMMYFUNCTION("""COMPUTED_VALUE"""),"")</f>
        <v/>
      </c>
      <c r="I492" s="4" t="str">
        <f>IFERROR(__xludf.DUMMYFUNCTION("""COMPUTED_VALUE"""),"")</f>
        <v/>
      </c>
      <c r="J492" s="4" t="str">
        <f>IFERROR(__xludf.DUMMYFUNCTION("""COMPUTED_VALUE"""),"")</f>
        <v/>
      </c>
      <c r="K492" s="4" t="str">
        <f>IFERROR(__xludf.DUMMYFUNCTION("""COMPUTED_VALUE"""),"")</f>
        <v/>
      </c>
    </row>
    <row r="493">
      <c r="A493" s="4" t="str">
        <f>IFERROR(__xludf.DUMMYFUNCTION("""COMPUTED_VALUE"""),"")</f>
        <v/>
      </c>
      <c r="B493" s="4" t="str">
        <f>IFERROR(__xludf.DUMMYFUNCTION("""COMPUTED_VALUE"""),"")</f>
        <v/>
      </c>
      <c r="C493" s="4" t="str">
        <f>IFERROR(__xludf.DUMMYFUNCTION("""COMPUTED_VALUE"""),"")</f>
        <v/>
      </c>
      <c r="D493" s="4" t="str">
        <f>IFERROR(__xludf.DUMMYFUNCTION("""COMPUTED_VALUE"""),"")</f>
        <v/>
      </c>
      <c r="E493" s="4" t="str">
        <f>IFERROR(__xludf.DUMMYFUNCTION("""COMPUTED_VALUE"""),"")</f>
        <v/>
      </c>
      <c r="F493" s="4" t="str">
        <f>IFERROR(__xludf.DUMMYFUNCTION("""COMPUTED_VALUE"""),"")</f>
        <v/>
      </c>
      <c r="G493" s="4" t="str">
        <f>IFERROR(__xludf.DUMMYFUNCTION("""COMPUTED_VALUE"""),"")</f>
        <v/>
      </c>
      <c r="H493" s="4" t="str">
        <f>IFERROR(__xludf.DUMMYFUNCTION("""COMPUTED_VALUE"""),"")</f>
        <v/>
      </c>
      <c r="I493" s="4" t="str">
        <f>IFERROR(__xludf.DUMMYFUNCTION("""COMPUTED_VALUE"""),"")</f>
        <v/>
      </c>
      <c r="J493" s="4" t="str">
        <f>IFERROR(__xludf.DUMMYFUNCTION("""COMPUTED_VALUE"""),"")</f>
        <v/>
      </c>
      <c r="K493" s="4" t="str">
        <f>IFERROR(__xludf.DUMMYFUNCTION("""COMPUTED_VALUE"""),"")</f>
        <v/>
      </c>
    </row>
    <row r="494">
      <c r="A494" s="4" t="str">
        <f>IFERROR(__xludf.DUMMYFUNCTION("""COMPUTED_VALUE"""),"")</f>
        <v/>
      </c>
      <c r="B494" s="4" t="str">
        <f>IFERROR(__xludf.DUMMYFUNCTION("""COMPUTED_VALUE"""),"")</f>
        <v/>
      </c>
      <c r="C494" s="4" t="str">
        <f>IFERROR(__xludf.DUMMYFUNCTION("""COMPUTED_VALUE"""),"")</f>
        <v/>
      </c>
      <c r="D494" s="4" t="str">
        <f>IFERROR(__xludf.DUMMYFUNCTION("""COMPUTED_VALUE"""),"")</f>
        <v/>
      </c>
      <c r="E494" s="4" t="str">
        <f>IFERROR(__xludf.DUMMYFUNCTION("""COMPUTED_VALUE"""),"")</f>
        <v/>
      </c>
      <c r="F494" s="4" t="str">
        <f>IFERROR(__xludf.DUMMYFUNCTION("""COMPUTED_VALUE"""),"")</f>
        <v/>
      </c>
      <c r="G494" s="4" t="str">
        <f>IFERROR(__xludf.DUMMYFUNCTION("""COMPUTED_VALUE"""),"")</f>
        <v/>
      </c>
      <c r="H494" s="4" t="str">
        <f>IFERROR(__xludf.DUMMYFUNCTION("""COMPUTED_VALUE"""),"")</f>
        <v/>
      </c>
      <c r="I494" s="4" t="str">
        <f>IFERROR(__xludf.DUMMYFUNCTION("""COMPUTED_VALUE"""),"")</f>
        <v/>
      </c>
      <c r="J494" s="4" t="str">
        <f>IFERROR(__xludf.DUMMYFUNCTION("""COMPUTED_VALUE"""),"")</f>
        <v/>
      </c>
      <c r="K494" s="4" t="str">
        <f>IFERROR(__xludf.DUMMYFUNCTION("""COMPUTED_VALUE"""),"")</f>
        <v/>
      </c>
    </row>
    <row r="495">
      <c r="A495" s="4" t="str">
        <f>IFERROR(__xludf.DUMMYFUNCTION("""COMPUTED_VALUE"""),"")</f>
        <v/>
      </c>
      <c r="B495" s="4" t="str">
        <f>IFERROR(__xludf.DUMMYFUNCTION("""COMPUTED_VALUE"""),"")</f>
        <v/>
      </c>
      <c r="C495" s="4" t="str">
        <f>IFERROR(__xludf.DUMMYFUNCTION("""COMPUTED_VALUE"""),"")</f>
        <v/>
      </c>
      <c r="D495" s="4" t="str">
        <f>IFERROR(__xludf.DUMMYFUNCTION("""COMPUTED_VALUE"""),"")</f>
        <v/>
      </c>
      <c r="E495" s="4" t="str">
        <f>IFERROR(__xludf.DUMMYFUNCTION("""COMPUTED_VALUE"""),"")</f>
        <v/>
      </c>
      <c r="F495" s="4" t="str">
        <f>IFERROR(__xludf.DUMMYFUNCTION("""COMPUTED_VALUE"""),"")</f>
        <v/>
      </c>
      <c r="G495" s="4" t="str">
        <f>IFERROR(__xludf.DUMMYFUNCTION("""COMPUTED_VALUE"""),"")</f>
        <v/>
      </c>
      <c r="H495" s="4" t="str">
        <f>IFERROR(__xludf.DUMMYFUNCTION("""COMPUTED_VALUE"""),"")</f>
        <v/>
      </c>
      <c r="I495" s="4" t="str">
        <f>IFERROR(__xludf.DUMMYFUNCTION("""COMPUTED_VALUE"""),"")</f>
        <v/>
      </c>
      <c r="J495" s="4" t="str">
        <f>IFERROR(__xludf.DUMMYFUNCTION("""COMPUTED_VALUE"""),"")</f>
        <v/>
      </c>
      <c r="K495" s="4" t="str">
        <f>IFERROR(__xludf.DUMMYFUNCTION("""COMPUTED_VALUE"""),"")</f>
        <v/>
      </c>
    </row>
    <row r="496">
      <c r="A496" s="4" t="str">
        <f>IFERROR(__xludf.DUMMYFUNCTION("""COMPUTED_VALUE"""),"")</f>
        <v/>
      </c>
      <c r="B496" s="4" t="str">
        <f>IFERROR(__xludf.DUMMYFUNCTION("""COMPUTED_VALUE"""),"")</f>
        <v/>
      </c>
      <c r="C496" s="4" t="str">
        <f>IFERROR(__xludf.DUMMYFUNCTION("""COMPUTED_VALUE"""),"")</f>
        <v/>
      </c>
      <c r="D496" s="4" t="str">
        <f>IFERROR(__xludf.DUMMYFUNCTION("""COMPUTED_VALUE"""),"")</f>
        <v/>
      </c>
      <c r="E496" s="4" t="str">
        <f>IFERROR(__xludf.DUMMYFUNCTION("""COMPUTED_VALUE"""),"")</f>
        <v/>
      </c>
      <c r="F496" s="4" t="str">
        <f>IFERROR(__xludf.DUMMYFUNCTION("""COMPUTED_VALUE"""),"")</f>
        <v/>
      </c>
      <c r="G496" s="4" t="str">
        <f>IFERROR(__xludf.DUMMYFUNCTION("""COMPUTED_VALUE"""),"")</f>
        <v/>
      </c>
      <c r="H496" s="4" t="str">
        <f>IFERROR(__xludf.DUMMYFUNCTION("""COMPUTED_VALUE"""),"")</f>
        <v/>
      </c>
      <c r="I496" s="4" t="str">
        <f>IFERROR(__xludf.DUMMYFUNCTION("""COMPUTED_VALUE"""),"")</f>
        <v/>
      </c>
      <c r="J496" s="4" t="str">
        <f>IFERROR(__xludf.DUMMYFUNCTION("""COMPUTED_VALUE"""),"")</f>
        <v/>
      </c>
      <c r="K496" s="4" t="str">
        <f>IFERROR(__xludf.DUMMYFUNCTION("""COMPUTED_VALUE"""),"")</f>
        <v/>
      </c>
    </row>
    <row r="497">
      <c r="A497" s="4" t="str">
        <f>IFERROR(__xludf.DUMMYFUNCTION("""COMPUTED_VALUE"""),"")</f>
        <v/>
      </c>
      <c r="B497" s="4" t="str">
        <f>IFERROR(__xludf.DUMMYFUNCTION("""COMPUTED_VALUE"""),"")</f>
        <v/>
      </c>
      <c r="C497" s="4" t="str">
        <f>IFERROR(__xludf.DUMMYFUNCTION("""COMPUTED_VALUE"""),"")</f>
        <v/>
      </c>
      <c r="D497" s="4" t="str">
        <f>IFERROR(__xludf.DUMMYFUNCTION("""COMPUTED_VALUE"""),"")</f>
        <v/>
      </c>
      <c r="E497" s="4" t="str">
        <f>IFERROR(__xludf.DUMMYFUNCTION("""COMPUTED_VALUE"""),"")</f>
        <v/>
      </c>
      <c r="F497" s="4" t="str">
        <f>IFERROR(__xludf.DUMMYFUNCTION("""COMPUTED_VALUE"""),"")</f>
        <v/>
      </c>
      <c r="G497" s="4" t="str">
        <f>IFERROR(__xludf.DUMMYFUNCTION("""COMPUTED_VALUE"""),"")</f>
        <v/>
      </c>
      <c r="H497" s="4" t="str">
        <f>IFERROR(__xludf.DUMMYFUNCTION("""COMPUTED_VALUE"""),"")</f>
        <v/>
      </c>
      <c r="I497" s="4" t="str">
        <f>IFERROR(__xludf.DUMMYFUNCTION("""COMPUTED_VALUE"""),"")</f>
        <v/>
      </c>
      <c r="J497" s="4" t="str">
        <f>IFERROR(__xludf.DUMMYFUNCTION("""COMPUTED_VALUE"""),"")</f>
        <v/>
      </c>
      <c r="K497" s="4" t="str">
        <f>IFERROR(__xludf.DUMMYFUNCTION("""COMPUTED_VALUE"""),"")</f>
        <v/>
      </c>
    </row>
    <row r="498">
      <c r="A498" s="4" t="str">
        <f>IFERROR(__xludf.DUMMYFUNCTION("""COMPUTED_VALUE"""),"")</f>
        <v/>
      </c>
      <c r="B498" s="4" t="str">
        <f>IFERROR(__xludf.DUMMYFUNCTION("""COMPUTED_VALUE"""),"")</f>
        <v/>
      </c>
      <c r="C498" s="4" t="str">
        <f>IFERROR(__xludf.DUMMYFUNCTION("""COMPUTED_VALUE"""),"")</f>
        <v/>
      </c>
      <c r="D498" s="4" t="str">
        <f>IFERROR(__xludf.DUMMYFUNCTION("""COMPUTED_VALUE"""),"")</f>
        <v/>
      </c>
      <c r="E498" s="4" t="str">
        <f>IFERROR(__xludf.DUMMYFUNCTION("""COMPUTED_VALUE"""),"")</f>
        <v/>
      </c>
      <c r="F498" s="4" t="str">
        <f>IFERROR(__xludf.DUMMYFUNCTION("""COMPUTED_VALUE"""),"")</f>
        <v/>
      </c>
      <c r="G498" s="4" t="str">
        <f>IFERROR(__xludf.DUMMYFUNCTION("""COMPUTED_VALUE"""),"")</f>
        <v/>
      </c>
      <c r="H498" s="4" t="str">
        <f>IFERROR(__xludf.DUMMYFUNCTION("""COMPUTED_VALUE"""),"")</f>
        <v/>
      </c>
      <c r="I498" s="4" t="str">
        <f>IFERROR(__xludf.DUMMYFUNCTION("""COMPUTED_VALUE"""),"")</f>
        <v/>
      </c>
      <c r="J498" s="4" t="str">
        <f>IFERROR(__xludf.DUMMYFUNCTION("""COMPUTED_VALUE"""),"")</f>
        <v/>
      </c>
      <c r="K498" s="4" t="str">
        <f>IFERROR(__xludf.DUMMYFUNCTION("""COMPUTED_VALUE"""),"")</f>
        <v/>
      </c>
    </row>
    <row r="499">
      <c r="A499" s="4" t="str">
        <f>IFERROR(__xludf.DUMMYFUNCTION("""COMPUTED_VALUE"""),"")</f>
        <v/>
      </c>
      <c r="B499" s="4" t="str">
        <f>IFERROR(__xludf.DUMMYFUNCTION("""COMPUTED_VALUE"""),"")</f>
        <v/>
      </c>
      <c r="C499" s="4" t="str">
        <f>IFERROR(__xludf.DUMMYFUNCTION("""COMPUTED_VALUE"""),"")</f>
        <v/>
      </c>
      <c r="D499" s="4" t="str">
        <f>IFERROR(__xludf.DUMMYFUNCTION("""COMPUTED_VALUE"""),"")</f>
        <v/>
      </c>
      <c r="E499" s="4" t="str">
        <f>IFERROR(__xludf.DUMMYFUNCTION("""COMPUTED_VALUE"""),"")</f>
        <v/>
      </c>
      <c r="F499" s="4" t="str">
        <f>IFERROR(__xludf.DUMMYFUNCTION("""COMPUTED_VALUE"""),"")</f>
        <v/>
      </c>
      <c r="G499" s="4" t="str">
        <f>IFERROR(__xludf.DUMMYFUNCTION("""COMPUTED_VALUE"""),"")</f>
        <v/>
      </c>
      <c r="H499" s="4" t="str">
        <f>IFERROR(__xludf.DUMMYFUNCTION("""COMPUTED_VALUE"""),"")</f>
        <v/>
      </c>
      <c r="I499" s="4" t="str">
        <f>IFERROR(__xludf.DUMMYFUNCTION("""COMPUTED_VALUE"""),"")</f>
        <v/>
      </c>
      <c r="J499" s="4" t="str">
        <f>IFERROR(__xludf.DUMMYFUNCTION("""COMPUTED_VALUE"""),"")</f>
        <v/>
      </c>
      <c r="K499" s="4" t="str">
        <f>IFERROR(__xludf.DUMMYFUNCTION("""COMPUTED_VALUE"""),"")</f>
        <v/>
      </c>
    </row>
    <row r="500">
      <c r="A500" s="4" t="str">
        <f>IFERROR(__xludf.DUMMYFUNCTION("""COMPUTED_VALUE"""),"")</f>
        <v/>
      </c>
      <c r="B500" s="4" t="str">
        <f>IFERROR(__xludf.DUMMYFUNCTION("""COMPUTED_VALUE"""),"")</f>
        <v/>
      </c>
      <c r="C500" s="4" t="str">
        <f>IFERROR(__xludf.DUMMYFUNCTION("""COMPUTED_VALUE"""),"")</f>
        <v/>
      </c>
      <c r="D500" s="4" t="str">
        <f>IFERROR(__xludf.DUMMYFUNCTION("""COMPUTED_VALUE"""),"")</f>
        <v/>
      </c>
      <c r="E500" s="4" t="str">
        <f>IFERROR(__xludf.DUMMYFUNCTION("""COMPUTED_VALUE"""),"")</f>
        <v/>
      </c>
      <c r="F500" s="4" t="str">
        <f>IFERROR(__xludf.DUMMYFUNCTION("""COMPUTED_VALUE"""),"")</f>
        <v/>
      </c>
      <c r="G500" s="4" t="str">
        <f>IFERROR(__xludf.DUMMYFUNCTION("""COMPUTED_VALUE"""),"")</f>
        <v/>
      </c>
      <c r="H500" s="4" t="str">
        <f>IFERROR(__xludf.DUMMYFUNCTION("""COMPUTED_VALUE"""),"")</f>
        <v/>
      </c>
      <c r="I500" s="4" t="str">
        <f>IFERROR(__xludf.DUMMYFUNCTION("""COMPUTED_VALUE"""),"")</f>
        <v/>
      </c>
      <c r="J500" s="4" t="str">
        <f>IFERROR(__xludf.DUMMYFUNCTION("""COMPUTED_VALUE"""),"")</f>
        <v/>
      </c>
      <c r="K500" s="4" t="str">
        <f>IFERROR(__xludf.DUMMYFUNCTION("""COMPUTED_VALUE"""),"")</f>
        <v/>
      </c>
    </row>
    <row r="501">
      <c r="A501" s="4" t="str">
        <f>IFERROR(__xludf.DUMMYFUNCTION("""COMPUTED_VALUE"""),"")</f>
        <v/>
      </c>
      <c r="B501" s="4" t="str">
        <f>IFERROR(__xludf.DUMMYFUNCTION("""COMPUTED_VALUE"""),"")</f>
        <v/>
      </c>
      <c r="C501" s="4" t="str">
        <f>IFERROR(__xludf.DUMMYFUNCTION("""COMPUTED_VALUE"""),"")</f>
        <v/>
      </c>
      <c r="D501" s="4" t="str">
        <f>IFERROR(__xludf.DUMMYFUNCTION("""COMPUTED_VALUE"""),"")</f>
        <v/>
      </c>
      <c r="E501" s="4" t="str">
        <f>IFERROR(__xludf.DUMMYFUNCTION("""COMPUTED_VALUE"""),"")</f>
        <v/>
      </c>
      <c r="F501" s="4" t="str">
        <f>IFERROR(__xludf.DUMMYFUNCTION("""COMPUTED_VALUE"""),"")</f>
        <v/>
      </c>
      <c r="G501" s="4" t="str">
        <f>IFERROR(__xludf.DUMMYFUNCTION("""COMPUTED_VALUE"""),"")</f>
        <v/>
      </c>
      <c r="H501" s="4" t="str">
        <f>IFERROR(__xludf.DUMMYFUNCTION("""COMPUTED_VALUE"""),"")</f>
        <v/>
      </c>
      <c r="I501" s="4" t="str">
        <f>IFERROR(__xludf.DUMMYFUNCTION("""COMPUTED_VALUE"""),"")</f>
        <v/>
      </c>
      <c r="J501" s="4" t="str">
        <f>IFERROR(__xludf.DUMMYFUNCTION("""COMPUTED_VALUE"""),"")</f>
        <v/>
      </c>
      <c r="K501" s="4" t="str">
        <f>IFERROR(__xludf.DUMMYFUNCTION("""COMPUTED_VALUE"""),"")</f>
        <v/>
      </c>
    </row>
    <row r="502">
      <c r="A502" s="4" t="str">
        <f>IFERROR(__xludf.DUMMYFUNCTION("""COMPUTED_VALUE"""),"")</f>
        <v/>
      </c>
      <c r="B502" s="4" t="str">
        <f>IFERROR(__xludf.DUMMYFUNCTION("""COMPUTED_VALUE"""),"")</f>
        <v/>
      </c>
      <c r="C502" s="4" t="str">
        <f>IFERROR(__xludf.DUMMYFUNCTION("""COMPUTED_VALUE"""),"")</f>
        <v/>
      </c>
      <c r="D502" s="4" t="str">
        <f>IFERROR(__xludf.DUMMYFUNCTION("""COMPUTED_VALUE"""),"")</f>
        <v/>
      </c>
      <c r="E502" s="4" t="str">
        <f>IFERROR(__xludf.DUMMYFUNCTION("""COMPUTED_VALUE"""),"")</f>
        <v/>
      </c>
      <c r="F502" s="4" t="str">
        <f>IFERROR(__xludf.DUMMYFUNCTION("""COMPUTED_VALUE"""),"")</f>
        <v/>
      </c>
      <c r="G502" s="4" t="str">
        <f>IFERROR(__xludf.DUMMYFUNCTION("""COMPUTED_VALUE"""),"")</f>
        <v/>
      </c>
      <c r="H502" s="4" t="str">
        <f>IFERROR(__xludf.DUMMYFUNCTION("""COMPUTED_VALUE"""),"")</f>
        <v/>
      </c>
      <c r="I502" s="4" t="str">
        <f>IFERROR(__xludf.DUMMYFUNCTION("""COMPUTED_VALUE"""),"")</f>
        <v/>
      </c>
      <c r="J502" s="4" t="str">
        <f>IFERROR(__xludf.DUMMYFUNCTION("""COMPUTED_VALUE"""),"")</f>
        <v/>
      </c>
      <c r="K502" s="4" t="str">
        <f>IFERROR(__xludf.DUMMYFUNCTION("""COMPUTED_VALUE"""),"")</f>
        <v/>
      </c>
    </row>
    <row r="503">
      <c r="A503" s="4" t="str">
        <f>IFERROR(__xludf.DUMMYFUNCTION("""COMPUTED_VALUE"""),"")</f>
        <v/>
      </c>
      <c r="B503" s="4" t="str">
        <f>IFERROR(__xludf.DUMMYFUNCTION("""COMPUTED_VALUE"""),"")</f>
        <v/>
      </c>
      <c r="C503" s="4" t="str">
        <f>IFERROR(__xludf.DUMMYFUNCTION("""COMPUTED_VALUE"""),"")</f>
        <v/>
      </c>
      <c r="D503" s="4" t="str">
        <f>IFERROR(__xludf.DUMMYFUNCTION("""COMPUTED_VALUE"""),"")</f>
        <v/>
      </c>
      <c r="E503" s="4" t="str">
        <f>IFERROR(__xludf.DUMMYFUNCTION("""COMPUTED_VALUE"""),"")</f>
        <v/>
      </c>
      <c r="F503" s="4" t="str">
        <f>IFERROR(__xludf.DUMMYFUNCTION("""COMPUTED_VALUE"""),"")</f>
        <v/>
      </c>
      <c r="G503" s="4" t="str">
        <f>IFERROR(__xludf.DUMMYFUNCTION("""COMPUTED_VALUE"""),"")</f>
        <v/>
      </c>
      <c r="H503" s="4" t="str">
        <f>IFERROR(__xludf.DUMMYFUNCTION("""COMPUTED_VALUE"""),"")</f>
        <v/>
      </c>
      <c r="I503" s="4" t="str">
        <f>IFERROR(__xludf.DUMMYFUNCTION("""COMPUTED_VALUE"""),"")</f>
        <v/>
      </c>
      <c r="J503" s="4" t="str">
        <f>IFERROR(__xludf.DUMMYFUNCTION("""COMPUTED_VALUE"""),"")</f>
        <v/>
      </c>
      <c r="K503" s="4" t="str">
        <f>IFERROR(__xludf.DUMMYFUNCTION("""COMPUTED_VALUE"""),"")</f>
        <v/>
      </c>
    </row>
    <row r="504">
      <c r="A504" s="4" t="str">
        <f>IFERROR(__xludf.DUMMYFUNCTION("""COMPUTED_VALUE"""),"")</f>
        <v/>
      </c>
      <c r="B504" s="4" t="str">
        <f>IFERROR(__xludf.DUMMYFUNCTION("""COMPUTED_VALUE"""),"")</f>
        <v/>
      </c>
      <c r="C504" s="4" t="str">
        <f>IFERROR(__xludf.DUMMYFUNCTION("""COMPUTED_VALUE"""),"")</f>
        <v/>
      </c>
      <c r="D504" s="4" t="str">
        <f>IFERROR(__xludf.DUMMYFUNCTION("""COMPUTED_VALUE"""),"")</f>
        <v/>
      </c>
      <c r="E504" s="4" t="str">
        <f>IFERROR(__xludf.DUMMYFUNCTION("""COMPUTED_VALUE"""),"")</f>
        <v/>
      </c>
      <c r="F504" s="4" t="str">
        <f>IFERROR(__xludf.DUMMYFUNCTION("""COMPUTED_VALUE"""),"")</f>
        <v/>
      </c>
      <c r="G504" s="4" t="str">
        <f>IFERROR(__xludf.DUMMYFUNCTION("""COMPUTED_VALUE"""),"")</f>
        <v/>
      </c>
      <c r="H504" s="4" t="str">
        <f>IFERROR(__xludf.DUMMYFUNCTION("""COMPUTED_VALUE"""),"")</f>
        <v/>
      </c>
      <c r="I504" s="4" t="str">
        <f>IFERROR(__xludf.DUMMYFUNCTION("""COMPUTED_VALUE"""),"")</f>
        <v/>
      </c>
      <c r="J504" s="4" t="str">
        <f>IFERROR(__xludf.DUMMYFUNCTION("""COMPUTED_VALUE"""),"")</f>
        <v/>
      </c>
      <c r="K504" s="4" t="str">
        <f>IFERROR(__xludf.DUMMYFUNCTION("""COMPUTED_VALUE"""),"")</f>
        <v/>
      </c>
    </row>
    <row r="505">
      <c r="A505" s="4" t="str">
        <f>IFERROR(__xludf.DUMMYFUNCTION("""COMPUTED_VALUE"""),"")</f>
        <v/>
      </c>
      <c r="B505" s="4" t="str">
        <f>IFERROR(__xludf.DUMMYFUNCTION("""COMPUTED_VALUE"""),"")</f>
        <v/>
      </c>
      <c r="C505" s="4" t="str">
        <f>IFERROR(__xludf.DUMMYFUNCTION("""COMPUTED_VALUE"""),"")</f>
        <v/>
      </c>
      <c r="D505" s="4" t="str">
        <f>IFERROR(__xludf.DUMMYFUNCTION("""COMPUTED_VALUE"""),"")</f>
        <v/>
      </c>
      <c r="E505" s="4" t="str">
        <f>IFERROR(__xludf.DUMMYFUNCTION("""COMPUTED_VALUE"""),"")</f>
        <v/>
      </c>
      <c r="F505" s="4" t="str">
        <f>IFERROR(__xludf.DUMMYFUNCTION("""COMPUTED_VALUE"""),"")</f>
        <v/>
      </c>
      <c r="G505" s="4" t="str">
        <f>IFERROR(__xludf.DUMMYFUNCTION("""COMPUTED_VALUE"""),"")</f>
        <v/>
      </c>
      <c r="H505" s="4" t="str">
        <f>IFERROR(__xludf.DUMMYFUNCTION("""COMPUTED_VALUE"""),"")</f>
        <v/>
      </c>
      <c r="I505" s="4" t="str">
        <f>IFERROR(__xludf.DUMMYFUNCTION("""COMPUTED_VALUE"""),"")</f>
        <v/>
      </c>
      <c r="J505" s="4" t="str">
        <f>IFERROR(__xludf.DUMMYFUNCTION("""COMPUTED_VALUE"""),"")</f>
        <v/>
      </c>
      <c r="K505" s="4" t="str">
        <f>IFERROR(__xludf.DUMMYFUNCTION("""COMPUTED_VALUE"""),"")</f>
        <v/>
      </c>
    </row>
    <row r="506">
      <c r="A506" s="4" t="str">
        <f>IFERROR(__xludf.DUMMYFUNCTION("""COMPUTED_VALUE"""),"")</f>
        <v/>
      </c>
      <c r="B506" s="4" t="str">
        <f>IFERROR(__xludf.DUMMYFUNCTION("""COMPUTED_VALUE"""),"")</f>
        <v/>
      </c>
      <c r="C506" s="4" t="str">
        <f>IFERROR(__xludf.DUMMYFUNCTION("""COMPUTED_VALUE"""),"")</f>
        <v/>
      </c>
      <c r="D506" s="4" t="str">
        <f>IFERROR(__xludf.DUMMYFUNCTION("""COMPUTED_VALUE"""),"")</f>
        <v/>
      </c>
      <c r="E506" s="4" t="str">
        <f>IFERROR(__xludf.DUMMYFUNCTION("""COMPUTED_VALUE"""),"")</f>
        <v/>
      </c>
      <c r="F506" s="4" t="str">
        <f>IFERROR(__xludf.DUMMYFUNCTION("""COMPUTED_VALUE"""),"")</f>
        <v/>
      </c>
      <c r="G506" s="4" t="str">
        <f>IFERROR(__xludf.DUMMYFUNCTION("""COMPUTED_VALUE"""),"")</f>
        <v/>
      </c>
      <c r="H506" s="4" t="str">
        <f>IFERROR(__xludf.DUMMYFUNCTION("""COMPUTED_VALUE"""),"")</f>
        <v/>
      </c>
      <c r="I506" s="4" t="str">
        <f>IFERROR(__xludf.DUMMYFUNCTION("""COMPUTED_VALUE"""),"")</f>
        <v/>
      </c>
      <c r="J506" s="4" t="str">
        <f>IFERROR(__xludf.DUMMYFUNCTION("""COMPUTED_VALUE"""),"")</f>
        <v/>
      </c>
      <c r="K506" s="4" t="str">
        <f>IFERROR(__xludf.DUMMYFUNCTION("""COMPUTED_VALUE"""),"")</f>
        <v/>
      </c>
    </row>
    <row r="507">
      <c r="A507" s="4" t="str">
        <f>IFERROR(__xludf.DUMMYFUNCTION("""COMPUTED_VALUE"""),"")</f>
        <v/>
      </c>
      <c r="B507" s="4" t="str">
        <f>IFERROR(__xludf.DUMMYFUNCTION("""COMPUTED_VALUE"""),"")</f>
        <v/>
      </c>
      <c r="C507" s="4" t="str">
        <f>IFERROR(__xludf.DUMMYFUNCTION("""COMPUTED_VALUE"""),"")</f>
        <v/>
      </c>
      <c r="D507" s="4" t="str">
        <f>IFERROR(__xludf.DUMMYFUNCTION("""COMPUTED_VALUE"""),"")</f>
        <v/>
      </c>
      <c r="E507" s="4" t="str">
        <f>IFERROR(__xludf.DUMMYFUNCTION("""COMPUTED_VALUE"""),"")</f>
        <v/>
      </c>
      <c r="F507" s="4" t="str">
        <f>IFERROR(__xludf.DUMMYFUNCTION("""COMPUTED_VALUE"""),"")</f>
        <v/>
      </c>
      <c r="G507" s="4" t="str">
        <f>IFERROR(__xludf.DUMMYFUNCTION("""COMPUTED_VALUE"""),"")</f>
        <v/>
      </c>
      <c r="H507" s="4" t="str">
        <f>IFERROR(__xludf.DUMMYFUNCTION("""COMPUTED_VALUE"""),"")</f>
        <v/>
      </c>
      <c r="I507" s="4" t="str">
        <f>IFERROR(__xludf.DUMMYFUNCTION("""COMPUTED_VALUE"""),"")</f>
        <v/>
      </c>
      <c r="J507" s="4" t="str">
        <f>IFERROR(__xludf.DUMMYFUNCTION("""COMPUTED_VALUE"""),"")</f>
        <v/>
      </c>
      <c r="K507" s="4" t="str">
        <f>IFERROR(__xludf.DUMMYFUNCTION("""COMPUTED_VALUE"""),"")</f>
        <v/>
      </c>
    </row>
    <row r="508">
      <c r="A508" s="4" t="str">
        <f>IFERROR(__xludf.DUMMYFUNCTION("""COMPUTED_VALUE"""),"")</f>
        <v/>
      </c>
      <c r="B508" s="4" t="str">
        <f>IFERROR(__xludf.DUMMYFUNCTION("""COMPUTED_VALUE"""),"")</f>
        <v/>
      </c>
      <c r="C508" s="4" t="str">
        <f>IFERROR(__xludf.DUMMYFUNCTION("""COMPUTED_VALUE"""),"")</f>
        <v/>
      </c>
      <c r="D508" s="4" t="str">
        <f>IFERROR(__xludf.DUMMYFUNCTION("""COMPUTED_VALUE"""),"")</f>
        <v/>
      </c>
      <c r="E508" s="4" t="str">
        <f>IFERROR(__xludf.DUMMYFUNCTION("""COMPUTED_VALUE"""),"")</f>
        <v/>
      </c>
      <c r="F508" s="4" t="str">
        <f>IFERROR(__xludf.DUMMYFUNCTION("""COMPUTED_VALUE"""),"")</f>
        <v/>
      </c>
      <c r="G508" s="4" t="str">
        <f>IFERROR(__xludf.DUMMYFUNCTION("""COMPUTED_VALUE"""),"")</f>
        <v/>
      </c>
      <c r="H508" s="4" t="str">
        <f>IFERROR(__xludf.DUMMYFUNCTION("""COMPUTED_VALUE"""),"")</f>
        <v/>
      </c>
      <c r="I508" s="4" t="str">
        <f>IFERROR(__xludf.DUMMYFUNCTION("""COMPUTED_VALUE"""),"")</f>
        <v/>
      </c>
      <c r="J508" s="4" t="str">
        <f>IFERROR(__xludf.DUMMYFUNCTION("""COMPUTED_VALUE"""),"")</f>
        <v/>
      </c>
      <c r="K508" s="4" t="str">
        <f>IFERROR(__xludf.DUMMYFUNCTION("""COMPUTED_VALUE"""),"")</f>
        <v/>
      </c>
    </row>
    <row r="509">
      <c r="A509" s="4" t="str">
        <f>IFERROR(__xludf.DUMMYFUNCTION("""COMPUTED_VALUE"""),"")</f>
        <v/>
      </c>
      <c r="B509" s="4" t="str">
        <f>IFERROR(__xludf.DUMMYFUNCTION("""COMPUTED_VALUE"""),"")</f>
        <v/>
      </c>
      <c r="C509" s="4" t="str">
        <f>IFERROR(__xludf.DUMMYFUNCTION("""COMPUTED_VALUE"""),"")</f>
        <v/>
      </c>
      <c r="D509" s="4" t="str">
        <f>IFERROR(__xludf.DUMMYFUNCTION("""COMPUTED_VALUE"""),"")</f>
        <v/>
      </c>
      <c r="E509" s="4" t="str">
        <f>IFERROR(__xludf.DUMMYFUNCTION("""COMPUTED_VALUE"""),"")</f>
        <v/>
      </c>
      <c r="F509" s="4" t="str">
        <f>IFERROR(__xludf.DUMMYFUNCTION("""COMPUTED_VALUE"""),"")</f>
        <v/>
      </c>
      <c r="G509" s="4" t="str">
        <f>IFERROR(__xludf.DUMMYFUNCTION("""COMPUTED_VALUE"""),"")</f>
        <v/>
      </c>
      <c r="H509" s="4" t="str">
        <f>IFERROR(__xludf.DUMMYFUNCTION("""COMPUTED_VALUE"""),"")</f>
        <v/>
      </c>
      <c r="I509" s="4" t="str">
        <f>IFERROR(__xludf.DUMMYFUNCTION("""COMPUTED_VALUE"""),"")</f>
        <v/>
      </c>
      <c r="J509" s="4" t="str">
        <f>IFERROR(__xludf.DUMMYFUNCTION("""COMPUTED_VALUE"""),"")</f>
        <v/>
      </c>
      <c r="K509" s="4" t="str">
        <f>IFERROR(__xludf.DUMMYFUNCTION("""COMPUTED_VALUE"""),"")</f>
        <v/>
      </c>
    </row>
    <row r="510">
      <c r="A510" s="4" t="str">
        <f>IFERROR(__xludf.DUMMYFUNCTION("""COMPUTED_VALUE"""),"")</f>
        <v/>
      </c>
      <c r="B510" s="4" t="str">
        <f>IFERROR(__xludf.DUMMYFUNCTION("""COMPUTED_VALUE"""),"")</f>
        <v/>
      </c>
      <c r="C510" s="4" t="str">
        <f>IFERROR(__xludf.DUMMYFUNCTION("""COMPUTED_VALUE"""),"")</f>
        <v/>
      </c>
      <c r="D510" s="4" t="str">
        <f>IFERROR(__xludf.DUMMYFUNCTION("""COMPUTED_VALUE"""),"")</f>
        <v/>
      </c>
      <c r="E510" s="4" t="str">
        <f>IFERROR(__xludf.DUMMYFUNCTION("""COMPUTED_VALUE"""),"")</f>
        <v/>
      </c>
      <c r="F510" s="4" t="str">
        <f>IFERROR(__xludf.DUMMYFUNCTION("""COMPUTED_VALUE"""),"")</f>
        <v/>
      </c>
      <c r="G510" s="4" t="str">
        <f>IFERROR(__xludf.DUMMYFUNCTION("""COMPUTED_VALUE"""),"")</f>
        <v/>
      </c>
      <c r="H510" s="4" t="str">
        <f>IFERROR(__xludf.DUMMYFUNCTION("""COMPUTED_VALUE"""),"")</f>
        <v/>
      </c>
      <c r="I510" s="4" t="str">
        <f>IFERROR(__xludf.DUMMYFUNCTION("""COMPUTED_VALUE"""),"")</f>
        <v/>
      </c>
      <c r="J510" s="4" t="str">
        <f>IFERROR(__xludf.DUMMYFUNCTION("""COMPUTED_VALUE"""),"")</f>
        <v/>
      </c>
      <c r="K510" s="4" t="str">
        <f>IFERROR(__xludf.DUMMYFUNCTION("""COMPUTED_VALUE"""),"")</f>
        <v/>
      </c>
    </row>
    <row r="511">
      <c r="A511" s="4" t="str">
        <f>IFERROR(__xludf.DUMMYFUNCTION("""COMPUTED_VALUE"""),"")</f>
        <v/>
      </c>
      <c r="B511" s="4" t="str">
        <f>IFERROR(__xludf.DUMMYFUNCTION("""COMPUTED_VALUE"""),"")</f>
        <v/>
      </c>
      <c r="C511" s="4" t="str">
        <f>IFERROR(__xludf.DUMMYFUNCTION("""COMPUTED_VALUE"""),"")</f>
        <v/>
      </c>
      <c r="D511" s="4" t="str">
        <f>IFERROR(__xludf.DUMMYFUNCTION("""COMPUTED_VALUE"""),"")</f>
        <v/>
      </c>
      <c r="E511" s="4" t="str">
        <f>IFERROR(__xludf.DUMMYFUNCTION("""COMPUTED_VALUE"""),"")</f>
        <v/>
      </c>
      <c r="F511" s="4" t="str">
        <f>IFERROR(__xludf.DUMMYFUNCTION("""COMPUTED_VALUE"""),"")</f>
        <v/>
      </c>
      <c r="G511" s="4" t="str">
        <f>IFERROR(__xludf.DUMMYFUNCTION("""COMPUTED_VALUE"""),"")</f>
        <v/>
      </c>
      <c r="H511" s="4" t="str">
        <f>IFERROR(__xludf.DUMMYFUNCTION("""COMPUTED_VALUE"""),"")</f>
        <v/>
      </c>
      <c r="I511" s="4" t="str">
        <f>IFERROR(__xludf.DUMMYFUNCTION("""COMPUTED_VALUE"""),"")</f>
        <v/>
      </c>
      <c r="J511" s="4" t="str">
        <f>IFERROR(__xludf.DUMMYFUNCTION("""COMPUTED_VALUE"""),"")</f>
        <v/>
      </c>
      <c r="K511" s="4" t="str">
        <f>IFERROR(__xludf.DUMMYFUNCTION("""COMPUTED_VALUE"""),"")</f>
        <v/>
      </c>
    </row>
    <row r="512">
      <c r="A512" s="4" t="str">
        <f>IFERROR(__xludf.DUMMYFUNCTION("""COMPUTED_VALUE"""),"")</f>
        <v/>
      </c>
      <c r="B512" s="4" t="str">
        <f>IFERROR(__xludf.DUMMYFUNCTION("""COMPUTED_VALUE"""),"")</f>
        <v/>
      </c>
      <c r="C512" s="4" t="str">
        <f>IFERROR(__xludf.DUMMYFUNCTION("""COMPUTED_VALUE"""),"")</f>
        <v/>
      </c>
      <c r="D512" s="4" t="str">
        <f>IFERROR(__xludf.DUMMYFUNCTION("""COMPUTED_VALUE"""),"")</f>
        <v/>
      </c>
      <c r="E512" s="4" t="str">
        <f>IFERROR(__xludf.DUMMYFUNCTION("""COMPUTED_VALUE"""),"")</f>
        <v/>
      </c>
      <c r="F512" s="4" t="str">
        <f>IFERROR(__xludf.DUMMYFUNCTION("""COMPUTED_VALUE"""),"")</f>
        <v/>
      </c>
      <c r="G512" s="4" t="str">
        <f>IFERROR(__xludf.DUMMYFUNCTION("""COMPUTED_VALUE"""),"")</f>
        <v/>
      </c>
      <c r="H512" s="4" t="str">
        <f>IFERROR(__xludf.DUMMYFUNCTION("""COMPUTED_VALUE"""),"")</f>
        <v/>
      </c>
      <c r="I512" s="4" t="str">
        <f>IFERROR(__xludf.DUMMYFUNCTION("""COMPUTED_VALUE"""),"")</f>
        <v/>
      </c>
      <c r="J512" s="4" t="str">
        <f>IFERROR(__xludf.DUMMYFUNCTION("""COMPUTED_VALUE"""),"")</f>
        <v/>
      </c>
      <c r="K512" s="4" t="str">
        <f>IFERROR(__xludf.DUMMYFUNCTION("""COMPUTED_VALUE"""),"")</f>
        <v/>
      </c>
    </row>
    <row r="513">
      <c r="A513" s="4" t="str">
        <f>IFERROR(__xludf.DUMMYFUNCTION("""COMPUTED_VALUE"""),"")</f>
        <v/>
      </c>
      <c r="B513" s="4" t="str">
        <f>IFERROR(__xludf.DUMMYFUNCTION("""COMPUTED_VALUE"""),"")</f>
        <v/>
      </c>
      <c r="C513" s="4" t="str">
        <f>IFERROR(__xludf.DUMMYFUNCTION("""COMPUTED_VALUE"""),"")</f>
        <v/>
      </c>
      <c r="D513" s="4" t="str">
        <f>IFERROR(__xludf.DUMMYFUNCTION("""COMPUTED_VALUE"""),"")</f>
        <v/>
      </c>
      <c r="E513" s="4" t="str">
        <f>IFERROR(__xludf.DUMMYFUNCTION("""COMPUTED_VALUE"""),"")</f>
        <v/>
      </c>
      <c r="F513" s="4" t="str">
        <f>IFERROR(__xludf.DUMMYFUNCTION("""COMPUTED_VALUE"""),"")</f>
        <v/>
      </c>
      <c r="G513" s="4" t="str">
        <f>IFERROR(__xludf.DUMMYFUNCTION("""COMPUTED_VALUE"""),"")</f>
        <v/>
      </c>
      <c r="H513" s="4" t="str">
        <f>IFERROR(__xludf.DUMMYFUNCTION("""COMPUTED_VALUE"""),"")</f>
        <v/>
      </c>
      <c r="I513" s="4" t="str">
        <f>IFERROR(__xludf.DUMMYFUNCTION("""COMPUTED_VALUE"""),"")</f>
        <v/>
      </c>
      <c r="J513" s="4" t="str">
        <f>IFERROR(__xludf.DUMMYFUNCTION("""COMPUTED_VALUE"""),"")</f>
        <v/>
      </c>
      <c r="K513" s="4" t="str">
        <f>IFERROR(__xludf.DUMMYFUNCTION("""COMPUTED_VALUE"""),"")</f>
        <v/>
      </c>
    </row>
    <row r="514">
      <c r="A514" s="4" t="str">
        <f>IFERROR(__xludf.DUMMYFUNCTION("""COMPUTED_VALUE"""),"")</f>
        <v/>
      </c>
      <c r="B514" s="4" t="str">
        <f>IFERROR(__xludf.DUMMYFUNCTION("""COMPUTED_VALUE"""),"")</f>
        <v/>
      </c>
      <c r="C514" s="4" t="str">
        <f>IFERROR(__xludf.DUMMYFUNCTION("""COMPUTED_VALUE"""),"")</f>
        <v/>
      </c>
      <c r="D514" s="4" t="str">
        <f>IFERROR(__xludf.DUMMYFUNCTION("""COMPUTED_VALUE"""),"")</f>
        <v/>
      </c>
      <c r="E514" s="4" t="str">
        <f>IFERROR(__xludf.DUMMYFUNCTION("""COMPUTED_VALUE"""),"")</f>
        <v/>
      </c>
      <c r="F514" s="4" t="str">
        <f>IFERROR(__xludf.DUMMYFUNCTION("""COMPUTED_VALUE"""),"")</f>
        <v/>
      </c>
      <c r="G514" s="4" t="str">
        <f>IFERROR(__xludf.DUMMYFUNCTION("""COMPUTED_VALUE"""),"")</f>
        <v/>
      </c>
      <c r="H514" s="4" t="str">
        <f>IFERROR(__xludf.DUMMYFUNCTION("""COMPUTED_VALUE"""),"")</f>
        <v/>
      </c>
      <c r="I514" s="4" t="str">
        <f>IFERROR(__xludf.DUMMYFUNCTION("""COMPUTED_VALUE"""),"")</f>
        <v/>
      </c>
      <c r="J514" s="4" t="str">
        <f>IFERROR(__xludf.DUMMYFUNCTION("""COMPUTED_VALUE"""),"")</f>
        <v/>
      </c>
      <c r="K514" s="4" t="str">
        <f>IFERROR(__xludf.DUMMYFUNCTION("""COMPUTED_VALUE"""),"")</f>
        <v/>
      </c>
    </row>
    <row r="515">
      <c r="A515" s="4" t="str">
        <f>IFERROR(__xludf.DUMMYFUNCTION("""COMPUTED_VALUE"""),"")</f>
        <v/>
      </c>
      <c r="B515" s="4" t="str">
        <f>IFERROR(__xludf.DUMMYFUNCTION("""COMPUTED_VALUE"""),"")</f>
        <v/>
      </c>
      <c r="C515" s="4" t="str">
        <f>IFERROR(__xludf.DUMMYFUNCTION("""COMPUTED_VALUE"""),"")</f>
        <v/>
      </c>
      <c r="D515" s="4" t="str">
        <f>IFERROR(__xludf.DUMMYFUNCTION("""COMPUTED_VALUE"""),"")</f>
        <v/>
      </c>
      <c r="E515" s="4" t="str">
        <f>IFERROR(__xludf.DUMMYFUNCTION("""COMPUTED_VALUE"""),"")</f>
        <v/>
      </c>
      <c r="F515" s="4" t="str">
        <f>IFERROR(__xludf.DUMMYFUNCTION("""COMPUTED_VALUE"""),"")</f>
        <v/>
      </c>
      <c r="G515" s="4" t="str">
        <f>IFERROR(__xludf.DUMMYFUNCTION("""COMPUTED_VALUE"""),"")</f>
        <v/>
      </c>
      <c r="H515" s="4" t="str">
        <f>IFERROR(__xludf.DUMMYFUNCTION("""COMPUTED_VALUE"""),"")</f>
        <v/>
      </c>
      <c r="I515" s="4" t="str">
        <f>IFERROR(__xludf.DUMMYFUNCTION("""COMPUTED_VALUE"""),"")</f>
        <v/>
      </c>
      <c r="J515" s="4" t="str">
        <f>IFERROR(__xludf.DUMMYFUNCTION("""COMPUTED_VALUE"""),"")</f>
        <v/>
      </c>
      <c r="K515" s="4" t="str">
        <f>IFERROR(__xludf.DUMMYFUNCTION("""COMPUTED_VALUE"""),"")</f>
        <v/>
      </c>
    </row>
    <row r="516">
      <c r="A516" s="4" t="str">
        <f>IFERROR(__xludf.DUMMYFUNCTION("""COMPUTED_VALUE"""),"")</f>
        <v/>
      </c>
      <c r="B516" s="4" t="str">
        <f>IFERROR(__xludf.DUMMYFUNCTION("""COMPUTED_VALUE"""),"")</f>
        <v/>
      </c>
      <c r="C516" s="4" t="str">
        <f>IFERROR(__xludf.DUMMYFUNCTION("""COMPUTED_VALUE"""),"")</f>
        <v/>
      </c>
      <c r="D516" s="4" t="str">
        <f>IFERROR(__xludf.DUMMYFUNCTION("""COMPUTED_VALUE"""),"")</f>
        <v/>
      </c>
      <c r="E516" s="4" t="str">
        <f>IFERROR(__xludf.DUMMYFUNCTION("""COMPUTED_VALUE"""),"")</f>
        <v/>
      </c>
      <c r="F516" s="4" t="str">
        <f>IFERROR(__xludf.DUMMYFUNCTION("""COMPUTED_VALUE"""),"")</f>
        <v/>
      </c>
      <c r="G516" s="4" t="str">
        <f>IFERROR(__xludf.DUMMYFUNCTION("""COMPUTED_VALUE"""),"")</f>
        <v/>
      </c>
      <c r="H516" s="4" t="str">
        <f>IFERROR(__xludf.DUMMYFUNCTION("""COMPUTED_VALUE"""),"")</f>
        <v/>
      </c>
      <c r="I516" s="4" t="str">
        <f>IFERROR(__xludf.DUMMYFUNCTION("""COMPUTED_VALUE"""),"")</f>
        <v/>
      </c>
      <c r="J516" s="4" t="str">
        <f>IFERROR(__xludf.DUMMYFUNCTION("""COMPUTED_VALUE"""),"")</f>
        <v/>
      </c>
      <c r="K516" s="4" t="str">
        <f>IFERROR(__xludf.DUMMYFUNCTION("""COMPUTED_VALUE"""),"")</f>
        <v/>
      </c>
    </row>
    <row r="517">
      <c r="A517" s="4" t="str">
        <f>IFERROR(__xludf.DUMMYFUNCTION("""COMPUTED_VALUE"""),"")</f>
        <v/>
      </c>
      <c r="B517" s="4" t="str">
        <f>IFERROR(__xludf.DUMMYFUNCTION("""COMPUTED_VALUE"""),"")</f>
        <v/>
      </c>
      <c r="C517" s="4" t="str">
        <f>IFERROR(__xludf.DUMMYFUNCTION("""COMPUTED_VALUE"""),"")</f>
        <v/>
      </c>
      <c r="D517" s="4" t="str">
        <f>IFERROR(__xludf.DUMMYFUNCTION("""COMPUTED_VALUE"""),"")</f>
        <v/>
      </c>
      <c r="E517" s="4" t="str">
        <f>IFERROR(__xludf.DUMMYFUNCTION("""COMPUTED_VALUE"""),"")</f>
        <v/>
      </c>
      <c r="F517" s="4" t="str">
        <f>IFERROR(__xludf.DUMMYFUNCTION("""COMPUTED_VALUE"""),"")</f>
        <v/>
      </c>
      <c r="G517" s="4" t="str">
        <f>IFERROR(__xludf.DUMMYFUNCTION("""COMPUTED_VALUE"""),"")</f>
        <v/>
      </c>
      <c r="H517" s="4" t="str">
        <f>IFERROR(__xludf.DUMMYFUNCTION("""COMPUTED_VALUE"""),"")</f>
        <v/>
      </c>
      <c r="I517" s="4" t="str">
        <f>IFERROR(__xludf.DUMMYFUNCTION("""COMPUTED_VALUE"""),"")</f>
        <v/>
      </c>
      <c r="J517" s="4" t="str">
        <f>IFERROR(__xludf.DUMMYFUNCTION("""COMPUTED_VALUE"""),"")</f>
        <v/>
      </c>
      <c r="K517" s="4" t="str">
        <f>IFERROR(__xludf.DUMMYFUNCTION("""COMPUTED_VALUE"""),"")</f>
        <v/>
      </c>
    </row>
    <row r="518">
      <c r="A518" s="4" t="str">
        <f>IFERROR(__xludf.DUMMYFUNCTION("""COMPUTED_VALUE"""),"")</f>
        <v/>
      </c>
      <c r="B518" s="4" t="str">
        <f>IFERROR(__xludf.DUMMYFUNCTION("""COMPUTED_VALUE"""),"")</f>
        <v/>
      </c>
      <c r="C518" s="4" t="str">
        <f>IFERROR(__xludf.DUMMYFUNCTION("""COMPUTED_VALUE"""),"")</f>
        <v/>
      </c>
      <c r="D518" s="4" t="str">
        <f>IFERROR(__xludf.DUMMYFUNCTION("""COMPUTED_VALUE"""),"")</f>
        <v/>
      </c>
      <c r="E518" s="4" t="str">
        <f>IFERROR(__xludf.DUMMYFUNCTION("""COMPUTED_VALUE"""),"")</f>
        <v/>
      </c>
      <c r="F518" s="4" t="str">
        <f>IFERROR(__xludf.DUMMYFUNCTION("""COMPUTED_VALUE"""),"")</f>
        <v/>
      </c>
      <c r="G518" s="4" t="str">
        <f>IFERROR(__xludf.DUMMYFUNCTION("""COMPUTED_VALUE"""),"")</f>
        <v/>
      </c>
      <c r="H518" s="4" t="str">
        <f>IFERROR(__xludf.DUMMYFUNCTION("""COMPUTED_VALUE"""),"")</f>
        <v/>
      </c>
      <c r="I518" s="4" t="str">
        <f>IFERROR(__xludf.DUMMYFUNCTION("""COMPUTED_VALUE"""),"")</f>
        <v/>
      </c>
      <c r="J518" s="4" t="str">
        <f>IFERROR(__xludf.DUMMYFUNCTION("""COMPUTED_VALUE"""),"")</f>
        <v/>
      </c>
      <c r="K518" s="4" t="str">
        <f>IFERROR(__xludf.DUMMYFUNCTION("""COMPUTED_VALUE"""),"")</f>
        <v/>
      </c>
    </row>
    <row r="519">
      <c r="A519" s="4" t="str">
        <f>IFERROR(__xludf.DUMMYFUNCTION("""COMPUTED_VALUE"""),"")</f>
        <v/>
      </c>
      <c r="B519" s="4" t="str">
        <f>IFERROR(__xludf.DUMMYFUNCTION("""COMPUTED_VALUE"""),"")</f>
        <v/>
      </c>
      <c r="C519" s="4" t="str">
        <f>IFERROR(__xludf.DUMMYFUNCTION("""COMPUTED_VALUE"""),"")</f>
        <v/>
      </c>
      <c r="D519" s="4" t="str">
        <f>IFERROR(__xludf.DUMMYFUNCTION("""COMPUTED_VALUE"""),"")</f>
        <v/>
      </c>
      <c r="E519" s="4" t="str">
        <f>IFERROR(__xludf.DUMMYFUNCTION("""COMPUTED_VALUE"""),"")</f>
        <v/>
      </c>
      <c r="F519" s="4" t="str">
        <f>IFERROR(__xludf.DUMMYFUNCTION("""COMPUTED_VALUE"""),"")</f>
        <v/>
      </c>
      <c r="G519" s="4" t="str">
        <f>IFERROR(__xludf.DUMMYFUNCTION("""COMPUTED_VALUE"""),"")</f>
        <v/>
      </c>
      <c r="H519" s="4" t="str">
        <f>IFERROR(__xludf.DUMMYFUNCTION("""COMPUTED_VALUE"""),"")</f>
        <v/>
      </c>
      <c r="I519" s="4" t="str">
        <f>IFERROR(__xludf.DUMMYFUNCTION("""COMPUTED_VALUE"""),"")</f>
        <v/>
      </c>
      <c r="J519" s="4" t="str">
        <f>IFERROR(__xludf.DUMMYFUNCTION("""COMPUTED_VALUE"""),"")</f>
        <v/>
      </c>
      <c r="K519" s="4" t="str">
        <f>IFERROR(__xludf.DUMMYFUNCTION("""COMPUTED_VALUE"""),"")</f>
        <v/>
      </c>
    </row>
    <row r="520">
      <c r="A520" s="4" t="str">
        <f>IFERROR(__xludf.DUMMYFUNCTION("""COMPUTED_VALUE"""),"")</f>
        <v/>
      </c>
      <c r="B520" s="4" t="str">
        <f>IFERROR(__xludf.DUMMYFUNCTION("""COMPUTED_VALUE"""),"")</f>
        <v/>
      </c>
      <c r="C520" s="4" t="str">
        <f>IFERROR(__xludf.DUMMYFUNCTION("""COMPUTED_VALUE"""),"")</f>
        <v/>
      </c>
      <c r="D520" s="4" t="str">
        <f>IFERROR(__xludf.DUMMYFUNCTION("""COMPUTED_VALUE"""),"")</f>
        <v/>
      </c>
      <c r="E520" s="4" t="str">
        <f>IFERROR(__xludf.DUMMYFUNCTION("""COMPUTED_VALUE"""),"")</f>
        <v/>
      </c>
      <c r="F520" s="4" t="str">
        <f>IFERROR(__xludf.DUMMYFUNCTION("""COMPUTED_VALUE"""),"")</f>
        <v/>
      </c>
      <c r="G520" s="4" t="str">
        <f>IFERROR(__xludf.DUMMYFUNCTION("""COMPUTED_VALUE"""),"")</f>
        <v/>
      </c>
      <c r="H520" s="4" t="str">
        <f>IFERROR(__xludf.DUMMYFUNCTION("""COMPUTED_VALUE"""),"")</f>
        <v/>
      </c>
      <c r="I520" s="4" t="str">
        <f>IFERROR(__xludf.DUMMYFUNCTION("""COMPUTED_VALUE"""),"")</f>
        <v/>
      </c>
      <c r="J520" s="4" t="str">
        <f>IFERROR(__xludf.DUMMYFUNCTION("""COMPUTED_VALUE"""),"")</f>
        <v/>
      </c>
      <c r="K520" s="4" t="str">
        <f>IFERROR(__xludf.DUMMYFUNCTION("""COMPUTED_VALUE"""),"")</f>
        <v/>
      </c>
    </row>
    <row r="521">
      <c r="A521" s="4" t="str">
        <f>IFERROR(__xludf.DUMMYFUNCTION("""COMPUTED_VALUE"""),"")</f>
        <v/>
      </c>
      <c r="B521" s="4" t="str">
        <f>IFERROR(__xludf.DUMMYFUNCTION("""COMPUTED_VALUE"""),"")</f>
        <v/>
      </c>
      <c r="C521" s="4" t="str">
        <f>IFERROR(__xludf.DUMMYFUNCTION("""COMPUTED_VALUE"""),"")</f>
        <v/>
      </c>
      <c r="D521" s="4" t="str">
        <f>IFERROR(__xludf.DUMMYFUNCTION("""COMPUTED_VALUE"""),"")</f>
        <v/>
      </c>
      <c r="E521" s="4" t="str">
        <f>IFERROR(__xludf.DUMMYFUNCTION("""COMPUTED_VALUE"""),"")</f>
        <v/>
      </c>
      <c r="F521" s="4" t="str">
        <f>IFERROR(__xludf.DUMMYFUNCTION("""COMPUTED_VALUE"""),"")</f>
        <v/>
      </c>
      <c r="G521" s="4" t="str">
        <f>IFERROR(__xludf.DUMMYFUNCTION("""COMPUTED_VALUE"""),"")</f>
        <v/>
      </c>
      <c r="H521" s="4" t="str">
        <f>IFERROR(__xludf.DUMMYFUNCTION("""COMPUTED_VALUE"""),"")</f>
        <v/>
      </c>
      <c r="I521" s="4" t="str">
        <f>IFERROR(__xludf.DUMMYFUNCTION("""COMPUTED_VALUE"""),"")</f>
        <v/>
      </c>
      <c r="J521" s="4" t="str">
        <f>IFERROR(__xludf.DUMMYFUNCTION("""COMPUTED_VALUE"""),"")</f>
        <v/>
      </c>
      <c r="K521" s="4" t="str">
        <f>IFERROR(__xludf.DUMMYFUNCTION("""COMPUTED_VALUE"""),"")</f>
        <v/>
      </c>
    </row>
    <row r="522">
      <c r="A522" s="4" t="str">
        <f>IFERROR(__xludf.DUMMYFUNCTION("""COMPUTED_VALUE"""),"")</f>
        <v/>
      </c>
      <c r="B522" s="4" t="str">
        <f>IFERROR(__xludf.DUMMYFUNCTION("""COMPUTED_VALUE"""),"")</f>
        <v/>
      </c>
      <c r="C522" s="4" t="str">
        <f>IFERROR(__xludf.DUMMYFUNCTION("""COMPUTED_VALUE"""),"")</f>
        <v/>
      </c>
      <c r="D522" s="4" t="str">
        <f>IFERROR(__xludf.DUMMYFUNCTION("""COMPUTED_VALUE"""),"")</f>
        <v/>
      </c>
      <c r="E522" s="4" t="str">
        <f>IFERROR(__xludf.DUMMYFUNCTION("""COMPUTED_VALUE"""),"")</f>
        <v/>
      </c>
      <c r="F522" s="4" t="str">
        <f>IFERROR(__xludf.DUMMYFUNCTION("""COMPUTED_VALUE"""),"")</f>
        <v/>
      </c>
      <c r="G522" s="4" t="str">
        <f>IFERROR(__xludf.DUMMYFUNCTION("""COMPUTED_VALUE"""),"")</f>
        <v/>
      </c>
      <c r="H522" s="4" t="str">
        <f>IFERROR(__xludf.DUMMYFUNCTION("""COMPUTED_VALUE"""),"")</f>
        <v/>
      </c>
      <c r="I522" s="4" t="str">
        <f>IFERROR(__xludf.DUMMYFUNCTION("""COMPUTED_VALUE"""),"")</f>
        <v/>
      </c>
      <c r="J522" s="4" t="str">
        <f>IFERROR(__xludf.DUMMYFUNCTION("""COMPUTED_VALUE"""),"")</f>
        <v/>
      </c>
      <c r="K522" s="4" t="str">
        <f>IFERROR(__xludf.DUMMYFUNCTION("""COMPUTED_VALUE"""),"")</f>
        <v/>
      </c>
    </row>
    <row r="523">
      <c r="A523" s="4" t="str">
        <f>IFERROR(__xludf.DUMMYFUNCTION("""COMPUTED_VALUE"""),"")</f>
        <v/>
      </c>
      <c r="B523" s="4" t="str">
        <f>IFERROR(__xludf.DUMMYFUNCTION("""COMPUTED_VALUE"""),"")</f>
        <v/>
      </c>
      <c r="C523" s="4" t="str">
        <f>IFERROR(__xludf.DUMMYFUNCTION("""COMPUTED_VALUE"""),"")</f>
        <v/>
      </c>
      <c r="D523" s="4" t="str">
        <f>IFERROR(__xludf.DUMMYFUNCTION("""COMPUTED_VALUE"""),"")</f>
        <v/>
      </c>
      <c r="E523" s="4" t="str">
        <f>IFERROR(__xludf.DUMMYFUNCTION("""COMPUTED_VALUE"""),"")</f>
        <v/>
      </c>
      <c r="F523" s="4" t="str">
        <f>IFERROR(__xludf.DUMMYFUNCTION("""COMPUTED_VALUE"""),"")</f>
        <v/>
      </c>
      <c r="G523" s="4" t="str">
        <f>IFERROR(__xludf.DUMMYFUNCTION("""COMPUTED_VALUE"""),"")</f>
        <v/>
      </c>
      <c r="H523" s="4" t="str">
        <f>IFERROR(__xludf.DUMMYFUNCTION("""COMPUTED_VALUE"""),"")</f>
        <v/>
      </c>
      <c r="I523" s="4" t="str">
        <f>IFERROR(__xludf.DUMMYFUNCTION("""COMPUTED_VALUE"""),"")</f>
        <v/>
      </c>
      <c r="J523" s="4" t="str">
        <f>IFERROR(__xludf.DUMMYFUNCTION("""COMPUTED_VALUE"""),"")</f>
        <v/>
      </c>
      <c r="K523" s="4" t="str">
        <f>IFERROR(__xludf.DUMMYFUNCTION("""COMPUTED_VALUE"""),"")</f>
        <v/>
      </c>
    </row>
    <row r="524">
      <c r="A524" s="4" t="str">
        <f>IFERROR(__xludf.DUMMYFUNCTION("""COMPUTED_VALUE"""),"")</f>
        <v/>
      </c>
      <c r="B524" s="4" t="str">
        <f>IFERROR(__xludf.DUMMYFUNCTION("""COMPUTED_VALUE"""),"")</f>
        <v/>
      </c>
      <c r="C524" s="4" t="str">
        <f>IFERROR(__xludf.DUMMYFUNCTION("""COMPUTED_VALUE"""),"")</f>
        <v/>
      </c>
      <c r="D524" s="4" t="str">
        <f>IFERROR(__xludf.DUMMYFUNCTION("""COMPUTED_VALUE"""),"")</f>
        <v/>
      </c>
      <c r="E524" s="4" t="str">
        <f>IFERROR(__xludf.DUMMYFUNCTION("""COMPUTED_VALUE"""),"")</f>
        <v/>
      </c>
      <c r="F524" s="4" t="str">
        <f>IFERROR(__xludf.DUMMYFUNCTION("""COMPUTED_VALUE"""),"")</f>
        <v/>
      </c>
      <c r="G524" s="4" t="str">
        <f>IFERROR(__xludf.DUMMYFUNCTION("""COMPUTED_VALUE"""),"")</f>
        <v/>
      </c>
      <c r="H524" s="4" t="str">
        <f>IFERROR(__xludf.DUMMYFUNCTION("""COMPUTED_VALUE"""),"")</f>
        <v/>
      </c>
      <c r="I524" s="4" t="str">
        <f>IFERROR(__xludf.DUMMYFUNCTION("""COMPUTED_VALUE"""),"")</f>
        <v/>
      </c>
      <c r="J524" s="4" t="str">
        <f>IFERROR(__xludf.DUMMYFUNCTION("""COMPUTED_VALUE"""),"")</f>
        <v/>
      </c>
      <c r="K524" s="4" t="str">
        <f>IFERROR(__xludf.DUMMYFUNCTION("""COMPUTED_VALUE"""),"")</f>
        <v/>
      </c>
    </row>
    <row r="525">
      <c r="A525" s="4" t="str">
        <f>IFERROR(__xludf.DUMMYFUNCTION("""COMPUTED_VALUE"""),"")</f>
        <v/>
      </c>
      <c r="B525" s="4" t="str">
        <f>IFERROR(__xludf.DUMMYFUNCTION("""COMPUTED_VALUE"""),"")</f>
        <v/>
      </c>
      <c r="C525" s="4" t="str">
        <f>IFERROR(__xludf.DUMMYFUNCTION("""COMPUTED_VALUE"""),"")</f>
        <v/>
      </c>
      <c r="D525" s="4" t="str">
        <f>IFERROR(__xludf.DUMMYFUNCTION("""COMPUTED_VALUE"""),"")</f>
        <v/>
      </c>
      <c r="E525" s="4" t="str">
        <f>IFERROR(__xludf.DUMMYFUNCTION("""COMPUTED_VALUE"""),"")</f>
        <v/>
      </c>
      <c r="F525" s="4" t="str">
        <f>IFERROR(__xludf.DUMMYFUNCTION("""COMPUTED_VALUE"""),"")</f>
        <v/>
      </c>
      <c r="G525" s="4" t="str">
        <f>IFERROR(__xludf.DUMMYFUNCTION("""COMPUTED_VALUE"""),"")</f>
        <v/>
      </c>
      <c r="H525" s="4" t="str">
        <f>IFERROR(__xludf.DUMMYFUNCTION("""COMPUTED_VALUE"""),"")</f>
        <v/>
      </c>
      <c r="I525" s="4" t="str">
        <f>IFERROR(__xludf.DUMMYFUNCTION("""COMPUTED_VALUE"""),"")</f>
        <v/>
      </c>
      <c r="J525" s="4" t="str">
        <f>IFERROR(__xludf.DUMMYFUNCTION("""COMPUTED_VALUE"""),"")</f>
        <v/>
      </c>
      <c r="K525" s="4" t="str">
        <f>IFERROR(__xludf.DUMMYFUNCTION("""COMPUTED_VALUE"""),"")</f>
        <v/>
      </c>
    </row>
    <row r="526">
      <c r="A526" s="4" t="str">
        <f>IFERROR(__xludf.DUMMYFUNCTION("""COMPUTED_VALUE"""),"")</f>
        <v/>
      </c>
      <c r="B526" s="4" t="str">
        <f>IFERROR(__xludf.DUMMYFUNCTION("""COMPUTED_VALUE"""),"")</f>
        <v/>
      </c>
      <c r="C526" s="4" t="str">
        <f>IFERROR(__xludf.DUMMYFUNCTION("""COMPUTED_VALUE"""),"")</f>
        <v/>
      </c>
      <c r="D526" s="4" t="str">
        <f>IFERROR(__xludf.DUMMYFUNCTION("""COMPUTED_VALUE"""),"")</f>
        <v/>
      </c>
      <c r="E526" s="4" t="str">
        <f>IFERROR(__xludf.DUMMYFUNCTION("""COMPUTED_VALUE"""),"")</f>
        <v/>
      </c>
      <c r="F526" s="4" t="str">
        <f>IFERROR(__xludf.DUMMYFUNCTION("""COMPUTED_VALUE"""),"")</f>
        <v/>
      </c>
      <c r="G526" s="4" t="str">
        <f>IFERROR(__xludf.DUMMYFUNCTION("""COMPUTED_VALUE"""),"")</f>
        <v/>
      </c>
      <c r="H526" s="4" t="str">
        <f>IFERROR(__xludf.DUMMYFUNCTION("""COMPUTED_VALUE"""),"")</f>
        <v/>
      </c>
      <c r="I526" s="4" t="str">
        <f>IFERROR(__xludf.DUMMYFUNCTION("""COMPUTED_VALUE"""),"")</f>
        <v/>
      </c>
      <c r="J526" s="4" t="str">
        <f>IFERROR(__xludf.DUMMYFUNCTION("""COMPUTED_VALUE"""),"")</f>
        <v/>
      </c>
      <c r="K526" s="4" t="str">
        <f>IFERROR(__xludf.DUMMYFUNCTION("""COMPUTED_VALUE"""),"")</f>
        <v/>
      </c>
    </row>
    <row r="527">
      <c r="A527" s="4" t="str">
        <f>IFERROR(__xludf.DUMMYFUNCTION("""COMPUTED_VALUE"""),"")</f>
        <v/>
      </c>
      <c r="B527" s="4" t="str">
        <f>IFERROR(__xludf.DUMMYFUNCTION("""COMPUTED_VALUE"""),"")</f>
        <v/>
      </c>
      <c r="C527" s="4" t="str">
        <f>IFERROR(__xludf.DUMMYFUNCTION("""COMPUTED_VALUE"""),"")</f>
        <v/>
      </c>
      <c r="D527" s="4" t="str">
        <f>IFERROR(__xludf.DUMMYFUNCTION("""COMPUTED_VALUE"""),"")</f>
        <v/>
      </c>
      <c r="E527" s="4" t="str">
        <f>IFERROR(__xludf.DUMMYFUNCTION("""COMPUTED_VALUE"""),"")</f>
        <v/>
      </c>
      <c r="F527" s="4" t="str">
        <f>IFERROR(__xludf.DUMMYFUNCTION("""COMPUTED_VALUE"""),"")</f>
        <v/>
      </c>
      <c r="G527" s="4" t="str">
        <f>IFERROR(__xludf.DUMMYFUNCTION("""COMPUTED_VALUE"""),"")</f>
        <v/>
      </c>
      <c r="H527" s="4" t="str">
        <f>IFERROR(__xludf.DUMMYFUNCTION("""COMPUTED_VALUE"""),"")</f>
        <v/>
      </c>
      <c r="I527" s="4" t="str">
        <f>IFERROR(__xludf.DUMMYFUNCTION("""COMPUTED_VALUE"""),"")</f>
        <v/>
      </c>
      <c r="J527" s="4" t="str">
        <f>IFERROR(__xludf.DUMMYFUNCTION("""COMPUTED_VALUE"""),"")</f>
        <v/>
      </c>
      <c r="K527" s="4" t="str">
        <f>IFERROR(__xludf.DUMMYFUNCTION("""COMPUTED_VALUE"""),"")</f>
        <v/>
      </c>
    </row>
    <row r="528">
      <c r="A528" s="4" t="str">
        <f>IFERROR(__xludf.DUMMYFUNCTION("""COMPUTED_VALUE"""),"")</f>
        <v/>
      </c>
      <c r="B528" s="4" t="str">
        <f>IFERROR(__xludf.DUMMYFUNCTION("""COMPUTED_VALUE"""),"")</f>
        <v/>
      </c>
      <c r="C528" s="4" t="str">
        <f>IFERROR(__xludf.DUMMYFUNCTION("""COMPUTED_VALUE"""),"")</f>
        <v/>
      </c>
      <c r="D528" s="4" t="str">
        <f>IFERROR(__xludf.DUMMYFUNCTION("""COMPUTED_VALUE"""),"")</f>
        <v/>
      </c>
      <c r="E528" s="4" t="str">
        <f>IFERROR(__xludf.DUMMYFUNCTION("""COMPUTED_VALUE"""),"")</f>
        <v/>
      </c>
      <c r="F528" s="4" t="str">
        <f>IFERROR(__xludf.DUMMYFUNCTION("""COMPUTED_VALUE"""),"")</f>
        <v/>
      </c>
      <c r="G528" s="4" t="str">
        <f>IFERROR(__xludf.DUMMYFUNCTION("""COMPUTED_VALUE"""),"")</f>
        <v/>
      </c>
      <c r="H528" s="4" t="str">
        <f>IFERROR(__xludf.DUMMYFUNCTION("""COMPUTED_VALUE"""),"")</f>
        <v/>
      </c>
      <c r="I528" s="4" t="str">
        <f>IFERROR(__xludf.DUMMYFUNCTION("""COMPUTED_VALUE"""),"")</f>
        <v/>
      </c>
      <c r="J528" s="4" t="str">
        <f>IFERROR(__xludf.DUMMYFUNCTION("""COMPUTED_VALUE"""),"")</f>
        <v/>
      </c>
      <c r="K528" s="4" t="str">
        <f>IFERROR(__xludf.DUMMYFUNCTION("""COMPUTED_VALUE"""),"")</f>
        <v/>
      </c>
    </row>
    <row r="529">
      <c r="A529" s="4" t="str">
        <f>IFERROR(__xludf.DUMMYFUNCTION("""COMPUTED_VALUE"""),"")</f>
        <v/>
      </c>
      <c r="B529" s="4" t="str">
        <f>IFERROR(__xludf.DUMMYFUNCTION("""COMPUTED_VALUE"""),"")</f>
        <v/>
      </c>
      <c r="C529" s="4" t="str">
        <f>IFERROR(__xludf.DUMMYFUNCTION("""COMPUTED_VALUE"""),"")</f>
        <v/>
      </c>
      <c r="D529" s="4" t="str">
        <f>IFERROR(__xludf.DUMMYFUNCTION("""COMPUTED_VALUE"""),"")</f>
        <v/>
      </c>
      <c r="E529" s="4" t="str">
        <f>IFERROR(__xludf.DUMMYFUNCTION("""COMPUTED_VALUE"""),"")</f>
        <v/>
      </c>
      <c r="F529" s="4" t="str">
        <f>IFERROR(__xludf.DUMMYFUNCTION("""COMPUTED_VALUE"""),"")</f>
        <v/>
      </c>
      <c r="G529" s="4" t="str">
        <f>IFERROR(__xludf.DUMMYFUNCTION("""COMPUTED_VALUE"""),"")</f>
        <v/>
      </c>
      <c r="H529" s="4" t="str">
        <f>IFERROR(__xludf.DUMMYFUNCTION("""COMPUTED_VALUE"""),"")</f>
        <v/>
      </c>
      <c r="I529" s="4" t="str">
        <f>IFERROR(__xludf.DUMMYFUNCTION("""COMPUTED_VALUE"""),"")</f>
        <v/>
      </c>
      <c r="J529" s="4" t="str">
        <f>IFERROR(__xludf.DUMMYFUNCTION("""COMPUTED_VALUE"""),"")</f>
        <v/>
      </c>
      <c r="K529" s="4" t="str">
        <f>IFERROR(__xludf.DUMMYFUNCTION("""COMPUTED_VALUE"""),"")</f>
        <v/>
      </c>
    </row>
    <row r="530">
      <c r="A530" s="4" t="str">
        <f>IFERROR(__xludf.DUMMYFUNCTION("""COMPUTED_VALUE"""),"")</f>
        <v/>
      </c>
      <c r="B530" s="4" t="str">
        <f>IFERROR(__xludf.DUMMYFUNCTION("""COMPUTED_VALUE"""),"")</f>
        <v/>
      </c>
      <c r="C530" s="4" t="str">
        <f>IFERROR(__xludf.DUMMYFUNCTION("""COMPUTED_VALUE"""),"")</f>
        <v/>
      </c>
      <c r="D530" s="4" t="str">
        <f>IFERROR(__xludf.DUMMYFUNCTION("""COMPUTED_VALUE"""),"")</f>
        <v/>
      </c>
      <c r="E530" s="4" t="str">
        <f>IFERROR(__xludf.DUMMYFUNCTION("""COMPUTED_VALUE"""),"")</f>
        <v/>
      </c>
      <c r="F530" s="4" t="str">
        <f>IFERROR(__xludf.DUMMYFUNCTION("""COMPUTED_VALUE"""),"")</f>
        <v/>
      </c>
      <c r="G530" s="4" t="str">
        <f>IFERROR(__xludf.DUMMYFUNCTION("""COMPUTED_VALUE"""),"")</f>
        <v/>
      </c>
      <c r="H530" s="4" t="str">
        <f>IFERROR(__xludf.DUMMYFUNCTION("""COMPUTED_VALUE"""),"")</f>
        <v/>
      </c>
      <c r="I530" s="4" t="str">
        <f>IFERROR(__xludf.DUMMYFUNCTION("""COMPUTED_VALUE"""),"")</f>
        <v/>
      </c>
      <c r="J530" s="4" t="str">
        <f>IFERROR(__xludf.DUMMYFUNCTION("""COMPUTED_VALUE"""),"")</f>
        <v/>
      </c>
      <c r="K530" s="4" t="str">
        <f>IFERROR(__xludf.DUMMYFUNCTION("""COMPUTED_VALUE"""),"")</f>
        <v/>
      </c>
    </row>
    <row r="531">
      <c r="A531" s="4" t="str">
        <f>IFERROR(__xludf.DUMMYFUNCTION("""COMPUTED_VALUE"""),"")</f>
        <v/>
      </c>
      <c r="B531" s="4" t="str">
        <f>IFERROR(__xludf.DUMMYFUNCTION("""COMPUTED_VALUE"""),"")</f>
        <v/>
      </c>
      <c r="C531" s="4" t="str">
        <f>IFERROR(__xludf.DUMMYFUNCTION("""COMPUTED_VALUE"""),"")</f>
        <v/>
      </c>
      <c r="D531" s="4" t="str">
        <f>IFERROR(__xludf.DUMMYFUNCTION("""COMPUTED_VALUE"""),"")</f>
        <v/>
      </c>
      <c r="E531" s="4" t="str">
        <f>IFERROR(__xludf.DUMMYFUNCTION("""COMPUTED_VALUE"""),"")</f>
        <v/>
      </c>
      <c r="F531" s="4" t="str">
        <f>IFERROR(__xludf.DUMMYFUNCTION("""COMPUTED_VALUE"""),"")</f>
        <v/>
      </c>
      <c r="G531" s="4" t="str">
        <f>IFERROR(__xludf.DUMMYFUNCTION("""COMPUTED_VALUE"""),"")</f>
        <v/>
      </c>
      <c r="H531" s="4" t="str">
        <f>IFERROR(__xludf.DUMMYFUNCTION("""COMPUTED_VALUE"""),"")</f>
        <v/>
      </c>
      <c r="I531" s="4" t="str">
        <f>IFERROR(__xludf.DUMMYFUNCTION("""COMPUTED_VALUE"""),"")</f>
        <v/>
      </c>
      <c r="J531" s="4" t="str">
        <f>IFERROR(__xludf.DUMMYFUNCTION("""COMPUTED_VALUE"""),"")</f>
        <v/>
      </c>
      <c r="K531" s="4" t="str">
        <f>IFERROR(__xludf.DUMMYFUNCTION("""COMPUTED_VALUE"""),"")</f>
        <v/>
      </c>
    </row>
    <row r="532">
      <c r="A532" s="4" t="str">
        <f>IFERROR(__xludf.DUMMYFUNCTION("""COMPUTED_VALUE"""),"")</f>
        <v/>
      </c>
      <c r="B532" s="4" t="str">
        <f>IFERROR(__xludf.DUMMYFUNCTION("""COMPUTED_VALUE"""),"")</f>
        <v/>
      </c>
      <c r="C532" s="4" t="str">
        <f>IFERROR(__xludf.DUMMYFUNCTION("""COMPUTED_VALUE"""),"")</f>
        <v/>
      </c>
      <c r="D532" s="4" t="str">
        <f>IFERROR(__xludf.DUMMYFUNCTION("""COMPUTED_VALUE"""),"")</f>
        <v/>
      </c>
      <c r="E532" s="4" t="str">
        <f>IFERROR(__xludf.DUMMYFUNCTION("""COMPUTED_VALUE"""),"")</f>
        <v/>
      </c>
      <c r="F532" s="4" t="str">
        <f>IFERROR(__xludf.DUMMYFUNCTION("""COMPUTED_VALUE"""),"")</f>
        <v/>
      </c>
      <c r="G532" s="4" t="str">
        <f>IFERROR(__xludf.DUMMYFUNCTION("""COMPUTED_VALUE"""),"")</f>
        <v/>
      </c>
      <c r="H532" s="4" t="str">
        <f>IFERROR(__xludf.DUMMYFUNCTION("""COMPUTED_VALUE"""),"")</f>
        <v/>
      </c>
      <c r="I532" s="4" t="str">
        <f>IFERROR(__xludf.DUMMYFUNCTION("""COMPUTED_VALUE"""),"")</f>
        <v/>
      </c>
      <c r="J532" s="4" t="str">
        <f>IFERROR(__xludf.DUMMYFUNCTION("""COMPUTED_VALUE"""),"")</f>
        <v/>
      </c>
      <c r="K532" s="4" t="str">
        <f>IFERROR(__xludf.DUMMYFUNCTION("""COMPUTED_VALUE"""),"")</f>
        <v/>
      </c>
    </row>
    <row r="533">
      <c r="A533" s="4" t="str">
        <f>IFERROR(__xludf.DUMMYFUNCTION("""COMPUTED_VALUE"""),"")</f>
        <v/>
      </c>
      <c r="B533" s="4" t="str">
        <f>IFERROR(__xludf.DUMMYFUNCTION("""COMPUTED_VALUE"""),"")</f>
        <v/>
      </c>
      <c r="C533" s="4" t="str">
        <f>IFERROR(__xludf.DUMMYFUNCTION("""COMPUTED_VALUE"""),"")</f>
        <v/>
      </c>
      <c r="D533" s="4" t="str">
        <f>IFERROR(__xludf.DUMMYFUNCTION("""COMPUTED_VALUE"""),"")</f>
        <v/>
      </c>
      <c r="E533" s="4" t="str">
        <f>IFERROR(__xludf.DUMMYFUNCTION("""COMPUTED_VALUE"""),"")</f>
        <v/>
      </c>
      <c r="F533" s="4" t="str">
        <f>IFERROR(__xludf.DUMMYFUNCTION("""COMPUTED_VALUE"""),"")</f>
        <v/>
      </c>
      <c r="G533" s="4" t="str">
        <f>IFERROR(__xludf.DUMMYFUNCTION("""COMPUTED_VALUE"""),"")</f>
        <v/>
      </c>
      <c r="H533" s="4" t="str">
        <f>IFERROR(__xludf.DUMMYFUNCTION("""COMPUTED_VALUE"""),"")</f>
        <v/>
      </c>
      <c r="I533" s="4" t="str">
        <f>IFERROR(__xludf.DUMMYFUNCTION("""COMPUTED_VALUE"""),"")</f>
        <v/>
      </c>
      <c r="J533" s="4" t="str">
        <f>IFERROR(__xludf.DUMMYFUNCTION("""COMPUTED_VALUE"""),"")</f>
        <v/>
      </c>
      <c r="K533" s="4" t="str">
        <f>IFERROR(__xludf.DUMMYFUNCTION("""COMPUTED_VALUE"""),"")</f>
        <v/>
      </c>
    </row>
    <row r="534">
      <c r="A534" s="4" t="str">
        <f>IFERROR(__xludf.DUMMYFUNCTION("""COMPUTED_VALUE"""),"")</f>
        <v/>
      </c>
      <c r="B534" s="4" t="str">
        <f>IFERROR(__xludf.DUMMYFUNCTION("""COMPUTED_VALUE"""),"")</f>
        <v/>
      </c>
      <c r="C534" s="4" t="str">
        <f>IFERROR(__xludf.DUMMYFUNCTION("""COMPUTED_VALUE"""),"")</f>
        <v/>
      </c>
      <c r="D534" s="4" t="str">
        <f>IFERROR(__xludf.DUMMYFUNCTION("""COMPUTED_VALUE"""),"")</f>
        <v/>
      </c>
      <c r="E534" s="4" t="str">
        <f>IFERROR(__xludf.DUMMYFUNCTION("""COMPUTED_VALUE"""),"")</f>
        <v/>
      </c>
      <c r="F534" s="4" t="str">
        <f>IFERROR(__xludf.DUMMYFUNCTION("""COMPUTED_VALUE"""),"")</f>
        <v/>
      </c>
      <c r="G534" s="4" t="str">
        <f>IFERROR(__xludf.DUMMYFUNCTION("""COMPUTED_VALUE"""),"")</f>
        <v/>
      </c>
      <c r="H534" s="4" t="str">
        <f>IFERROR(__xludf.DUMMYFUNCTION("""COMPUTED_VALUE"""),"")</f>
        <v/>
      </c>
      <c r="I534" s="4" t="str">
        <f>IFERROR(__xludf.DUMMYFUNCTION("""COMPUTED_VALUE"""),"")</f>
        <v/>
      </c>
      <c r="J534" s="4" t="str">
        <f>IFERROR(__xludf.DUMMYFUNCTION("""COMPUTED_VALUE"""),"")</f>
        <v/>
      </c>
      <c r="K534" s="4" t="str">
        <f>IFERROR(__xludf.DUMMYFUNCTION("""COMPUTED_VALUE"""),"")</f>
        <v/>
      </c>
    </row>
    <row r="535">
      <c r="A535" s="4" t="str">
        <f>IFERROR(__xludf.DUMMYFUNCTION("""COMPUTED_VALUE"""),"")</f>
        <v/>
      </c>
      <c r="B535" s="4" t="str">
        <f>IFERROR(__xludf.DUMMYFUNCTION("""COMPUTED_VALUE"""),"")</f>
        <v/>
      </c>
      <c r="C535" s="4" t="str">
        <f>IFERROR(__xludf.DUMMYFUNCTION("""COMPUTED_VALUE"""),"")</f>
        <v/>
      </c>
      <c r="D535" s="4" t="str">
        <f>IFERROR(__xludf.DUMMYFUNCTION("""COMPUTED_VALUE"""),"")</f>
        <v/>
      </c>
      <c r="E535" s="4" t="str">
        <f>IFERROR(__xludf.DUMMYFUNCTION("""COMPUTED_VALUE"""),"")</f>
        <v/>
      </c>
      <c r="F535" s="4" t="str">
        <f>IFERROR(__xludf.DUMMYFUNCTION("""COMPUTED_VALUE"""),"")</f>
        <v/>
      </c>
      <c r="G535" s="4" t="str">
        <f>IFERROR(__xludf.DUMMYFUNCTION("""COMPUTED_VALUE"""),"")</f>
        <v/>
      </c>
      <c r="H535" s="4" t="str">
        <f>IFERROR(__xludf.DUMMYFUNCTION("""COMPUTED_VALUE"""),"")</f>
        <v/>
      </c>
      <c r="I535" s="4" t="str">
        <f>IFERROR(__xludf.DUMMYFUNCTION("""COMPUTED_VALUE"""),"")</f>
        <v/>
      </c>
      <c r="J535" s="4" t="str">
        <f>IFERROR(__xludf.DUMMYFUNCTION("""COMPUTED_VALUE"""),"")</f>
        <v/>
      </c>
      <c r="K535" s="4" t="str">
        <f>IFERROR(__xludf.DUMMYFUNCTION("""COMPUTED_VALUE"""),"")</f>
        <v/>
      </c>
    </row>
    <row r="536">
      <c r="A536" s="4" t="str">
        <f>IFERROR(__xludf.DUMMYFUNCTION("""COMPUTED_VALUE"""),"")</f>
        <v/>
      </c>
      <c r="B536" s="4" t="str">
        <f>IFERROR(__xludf.DUMMYFUNCTION("""COMPUTED_VALUE"""),"")</f>
        <v/>
      </c>
      <c r="C536" s="4" t="str">
        <f>IFERROR(__xludf.DUMMYFUNCTION("""COMPUTED_VALUE"""),"")</f>
        <v/>
      </c>
      <c r="D536" s="4" t="str">
        <f>IFERROR(__xludf.DUMMYFUNCTION("""COMPUTED_VALUE"""),"")</f>
        <v/>
      </c>
      <c r="E536" s="4" t="str">
        <f>IFERROR(__xludf.DUMMYFUNCTION("""COMPUTED_VALUE"""),"")</f>
        <v/>
      </c>
      <c r="F536" s="4" t="str">
        <f>IFERROR(__xludf.DUMMYFUNCTION("""COMPUTED_VALUE"""),"")</f>
        <v/>
      </c>
      <c r="G536" s="4" t="str">
        <f>IFERROR(__xludf.DUMMYFUNCTION("""COMPUTED_VALUE"""),"")</f>
        <v/>
      </c>
      <c r="H536" s="4" t="str">
        <f>IFERROR(__xludf.DUMMYFUNCTION("""COMPUTED_VALUE"""),"")</f>
        <v/>
      </c>
      <c r="I536" s="4" t="str">
        <f>IFERROR(__xludf.DUMMYFUNCTION("""COMPUTED_VALUE"""),"")</f>
        <v/>
      </c>
      <c r="J536" s="4" t="str">
        <f>IFERROR(__xludf.DUMMYFUNCTION("""COMPUTED_VALUE"""),"")</f>
        <v/>
      </c>
      <c r="K536" s="4" t="str">
        <f>IFERROR(__xludf.DUMMYFUNCTION("""COMPUTED_VALUE"""),"")</f>
        <v/>
      </c>
    </row>
    <row r="537">
      <c r="A537" s="4" t="str">
        <f>IFERROR(__xludf.DUMMYFUNCTION("""COMPUTED_VALUE"""),"")</f>
        <v/>
      </c>
      <c r="B537" s="4" t="str">
        <f>IFERROR(__xludf.DUMMYFUNCTION("""COMPUTED_VALUE"""),"")</f>
        <v/>
      </c>
      <c r="C537" s="4" t="str">
        <f>IFERROR(__xludf.DUMMYFUNCTION("""COMPUTED_VALUE"""),"")</f>
        <v/>
      </c>
      <c r="D537" s="4" t="str">
        <f>IFERROR(__xludf.DUMMYFUNCTION("""COMPUTED_VALUE"""),"")</f>
        <v/>
      </c>
      <c r="E537" s="4" t="str">
        <f>IFERROR(__xludf.DUMMYFUNCTION("""COMPUTED_VALUE"""),"")</f>
        <v/>
      </c>
      <c r="F537" s="4" t="str">
        <f>IFERROR(__xludf.DUMMYFUNCTION("""COMPUTED_VALUE"""),"")</f>
        <v/>
      </c>
      <c r="G537" s="4" t="str">
        <f>IFERROR(__xludf.DUMMYFUNCTION("""COMPUTED_VALUE"""),"")</f>
        <v/>
      </c>
      <c r="H537" s="4" t="str">
        <f>IFERROR(__xludf.DUMMYFUNCTION("""COMPUTED_VALUE"""),"")</f>
        <v/>
      </c>
      <c r="I537" s="4" t="str">
        <f>IFERROR(__xludf.DUMMYFUNCTION("""COMPUTED_VALUE"""),"")</f>
        <v/>
      </c>
      <c r="J537" s="4" t="str">
        <f>IFERROR(__xludf.DUMMYFUNCTION("""COMPUTED_VALUE"""),"")</f>
        <v/>
      </c>
      <c r="K537" s="4" t="str">
        <f>IFERROR(__xludf.DUMMYFUNCTION("""COMPUTED_VALUE"""),"")</f>
        <v/>
      </c>
    </row>
    <row r="538">
      <c r="A538" s="4" t="str">
        <f>IFERROR(__xludf.DUMMYFUNCTION("""COMPUTED_VALUE"""),"")</f>
        <v/>
      </c>
      <c r="B538" s="4" t="str">
        <f>IFERROR(__xludf.DUMMYFUNCTION("""COMPUTED_VALUE"""),"")</f>
        <v/>
      </c>
      <c r="C538" s="4" t="str">
        <f>IFERROR(__xludf.DUMMYFUNCTION("""COMPUTED_VALUE"""),"")</f>
        <v/>
      </c>
      <c r="D538" s="4" t="str">
        <f>IFERROR(__xludf.DUMMYFUNCTION("""COMPUTED_VALUE"""),"")</f>
        <v/>
      </c>
      <c r="E538" s="4" t="str">
        <f>IFERROR(__xludf.DUMMYFUNCTION("""COMPUTED_VALUE"""),"")</f>
        <v/>
      </c>
      <c r="F538" s="4" t="str">
        <f>IFERROR(__xludf.DUMMYFUNCTION("""COMPUTED_VALUE"""),"")</f>
        <v/>
      </c>
      <c r="G538" s="4" t="str">
        <f>IFERROR(__xludf.DUMMYFUNCTION("""COMPUTED_VALUE"""),"")</f>
        <v/>
      </c>
      <c r="H538" s="4" t="str">
        <f>IFERROR(__xludf.DUMMYFUNCTION("""COMPUTED_VALUE"""),"")</f>
        <v/>
      </c>
      <c r="I538" s="4" t="str">
        <f>IFERROR(__xludf.DUMMYFUNCTION("""COMPUTED_VALUE"""),"")</f>
        <v/>
      </c>
      <c r="J538" s="4" t="str">
        <f>IFERROR(__xludf.DUMMYFUNCTION("""COMPUTED_VALUE"""),"")</f>
        <v/>
      </c>
      <c r="K538" s="4" t="str">
        <f>IFERROR(__xludf.DUMMYFUNCTION("""COMPUTED_VALUE"""),"")</f>
        <v/>
      </c>
    </row>
    <row r="539">
      <c r="A539" s="4" t="str">
        <f>IFERROR(__xludf.DUMMYFUNCTION("""COMPUTED_VALUE"""),"")</f>
        <v/>
      </c>
      <c r="B539" s="4" t="str">
        <f>IFERROR(__xludf.DUMMYFUNCTION("""COMPUTED_VALUE"""),"")</f>
        <v/>
      </c>
      <c r="C539" s="4" t="str">
        <f>IFERROR(__xludf.DUMMYFUNCTION("""COMPUTED_VALUE"""),"")</f>
        <v/>
      </c>
      <c r="D539" s="4" t="str">
        <f>IFERROR(__xludf.DUMMYFUNCTION("""COMPUTED_VALUE"""),"")</f>
        <v/>
      </c>
      <c r="E539" s="4" t="str">
        <f>IFERROR(__xludf.DUMMYFUNCTION("""COMPUTED_VALUE"""),"")</f>
        <v/>
      </c>
      <c r="F539" s="4" t="str">
        <f>IFERROR(__xludf.DUMMYFUNCTION("""COMPUTED_VALUE"""),"")</f>
        <v/>
      </c>
      <c r="G539" s="4" t="str">
        <f>IFERROR(__xludf.DUMMYFUNCTION("""COMPUTED_VALUE"""),"")</f>
        <v/>
      </c>
      <c r="H539" s="4" t="str">
        <f>IFERROR(__xludf.DUMMYFUNCTION("""COMPUTED_VALUE"""),"")</f>
        <v/>
      </c>
      <c r="I539" s="4" t="str">
        <f>IFERROR(__xludf.DUMMYFUNCTION("""COMPUTED_VALUE"""),"")</f>
        <v/>
      </c>
      <c r="J539" s="4" t="str">
        <f>IFERROR(__xludf.DUMMYFUNCTION("""COMPUTED_VALUE"""),"")</f>
        <v/>
      </c>
      <c r="K539" s="4" t="str">
        <f>IFERROR(__xludf.DUMMYFUNCTION("""COMPUTED_VALUE"""),"")</f>
        <v/>
      </c>
    </row>
    <row r="540">
      <c r="A540" s="4" t="str">
        <f>IFERROR(__xludf.DUMMYFUNCTION("""COMPUTED_VALUE"""),"")</f>
        <v/>
      </c>
      <c r="B540" s="4" t="str">
        <f>IFERROR(__xludf.DUMMYFUNCTION("""COMPUTED_VALUE"""),"")</f>
        <v/>
      </c>
      <c r="C540" s="4" t="str">
        <f>IFERROR(__xludf.DUMMYFUNCTION("""COMPUTED_VALUE"""),"")</f>
        <v/>
      </c>
      <c r="D540" s="4" t="str">
        <f>IFERROR(__xludf.DUMMYFUNCTION("""COMPUTED_VALUE"""),"")</f>
        <v/>
      </c>
      <c r="E540" s="4" t="str">
        <f>IFERROR(__xludf.DUMMYFUNCTION("""COMPUTED_VALUE"""),"")</f>
        <v/>
      </c>
      <c r="F540" s="4" t="str">
        <f>IFERROR(__xludf.DUMMYFUNCTION("""COMPUTED_VALUE"""),"")</f>
        <v/>
      </c>
      <c r="G540" s="4" t="str">
        <f>IFERROR(__xludf.DUMMYFUNCTION("""COMPUTED_VALUE"""),"")</f>
        <v/>
      </c>
      <c r="H540" s="4" t="str">
        <f>IFERROR(__xludf.DUMMYFUNCTION("""COMPUTED_VALUE"""),"")</f>
        <v/>
      </c>
      <c r="I540" s="4" t="str">
        <f>IFERROR(__xludf.DUMMYFUNCTION("""COMPUTED_VALUE"""),"")</f>
        <v/>
      </c>
      <c r="J540" s="4" t="str">
        <f>IFERROR(__xludf.DUMMYFUNCTION("""COMPUTED_VALUE"""),"")</f>
        <v/>
      </c>
      <c r="K540" s="4" t="str">
        <f>IFERROR(__xludf.DUMMYFUNCTION("""COMPUTED_VALUE"""),"")</f>
        <v/>
      </c>
    </row>
    <row r="541">
      <c r="A541" s="4" t="str">
        <f>IFERROR(__xludf.DUMMYFUNCTION("""COMPUTED_VALUE"""),"")</f>
        <v/>
      </c>
      <c r="B541" s="4" t="str">
        <f>IFERROR(__xludf.DUMMYFUNCTION("""COMPUTED_VALUE"""),"")</f>
        <v/>
      </c>
      <c r="C541" s="4" t="str">
        <f>IFERROR(__xludf.DUMMYFUNCTION("""COMPUTED_VALUE"""),"")</f>
        <v/>
      </c>
      <c r="D541" s="4" t="str">
        <f>IFERROR(__xludf.DUMMYFUNCTION("""COMPUTED_VALUE"""),"")</f>
        <v/>
      </c>
      <c r="E541" s="4" t="str">
        <f>IFERROR(__xludf.DUMMYFUNCTION("""COMPUTED_VALUE"""),"")</f>
        <v/>
      </c>
      <c r="F541" s="4" t="str">
        <f>IFERROR(__xludf.DUMMYFUNCTION("""COMPUTED_VALUE"""),"")</f>
        <v/>
      </c>
      <c r="G541" s="4" t="str">
        <f>IFERROR(__xludf.DUMMYFUNCTION("""COMPUTED_VALUE"""),"")</f>
        <v/>
      </c>
      <c r="H541" s="4" t="str">
        <f>IFERROR(__xludf.DUMMYFUNCTION("""COMPUTED_VALUE"""),"")</f>
        <v/>
      </c>
      <c r="I541" s="4" t="str">
        <f>IFERROR(__xludf.DUMMYFUNCTION("""COMPUTED_VALUE"""),"")</f>
        <v/>
      </c>
      <c r="J541" s="4" t="str">
        <f>IFERROR(__xludf.DUMMYFUNCTION("""COMPUTED_VALUE"""),"")</f>
        <v/>
      </c>
      <c r="K541" s="4" t="str">
        <f>IFERROR(__xludf.DUMMYFUNCTION("""COMPUTED_VALUE"""),"")</f>
        <v/>
      </c>
    </row>
    <row r="542">
      <c r="A542" s="4" t="str">
        <f>IFERROR(__xludf.DUMMYFUNCTION("""COMPUTED_VALUE"""),"")</f>
        <v/>
      </c>
      <c r="B542" s="4" t="str">
        <f>IFERROR(__xludf.DUMMYFUNCTION("""COMPUTED_VALUE"""),"")</f>
        <v/>
      </c>
      <c r="C542" s="4" t="str">
        <f>IFERROR(__xludf.DUMMYFUNCTION("""COMPUTED_VALUE"""),"")</f>
        <v/>
      </c>
      <c r="D542" s="4" t="str">
        <f>IFERROR(__xludf.DUMMYFUNCTION("""COMPUTED_VALUE"""),"")</f>
        <v/>
      </c>
      <c r="E542" s="4" t="str">
        <f>IFERROR(__xludf.DUMMYFUNCTION("""COMPUTED_VALUE"""),"")</f>
        <v/>
      </c>
      <c r="F542" s="4" t="str">
        <f>IFERROR(__xludf.DUMMYFUNCTION("""COMPUTED_VALUE"""),"")</f>
        <v/>
      </c>
      <c r="G542" s="4" t="str">
        <f>IFERROR(__xludf.DUMMYFUNCTION("""COMPUTED_VALUE"""),"")</f>
        <v/>
      </c>
      <c r="H542" s="4" t="str">
        <f>IFERROR(__xludf.DUMMYFUNCTION("""COMPUTED_VALUE"""),"")</f>
        <v/>
      </c>
      <c r="I542" s="4" t="str">
        <f>IFERROR(__xludf.DUMMYFUNCTION("""COMPUTED_VALUE"""),"")</f>
        <v/>
      </c>
      <c r="J542" s="4" t="str">
        <f>IFERROR(__xludf.DUMMYFUNCTION("""COMPUTED_VALUE"""),"")</f>
        <v/>
      </c>
      <c r="K542" s="4" t="str">
        <f>IFERROR(__xludf.DUMMYFUNCTION("""COMPUTED_VALUE"""),"")</f>
        <v/>
      </c>
    </row>
    <row r="543">
      <c r="A543" s="4" t="str">
        <f>IFERROR(__xludf.DUMMYFUNCTION("""COMPUTED_VALUE"""),"")</f>
        <v/>
      </c>
      <c r="B543" s="4" t="str">
        <f>IFERROR(__xludf.DUMMYFUNCTION("""COMPUTED_VALUE"""),"")</f>
        <v/>
      </c>
      <c r="C543" s="4" t="str">
        <f>IFERROR(__xludf.DUMMYFUNCTION("""COMPUTED_VALUE"""),"")</f>
        <v/>
      </c>
      <c r="D543" s="4" t="str">
        <f>IFERROR(__xludf.DUMMYFUNCTION("""COMPUTED_VALUE"""),"")</f>
        <v/>
      </c>
      <c r="E543" s="4" t="str">
        <f>IFERROR(__xludf.DUMMYFUNCTION("""COMPUTED_VALUE"""),"")</f>
        <v/>
      </c>
      <c r="F543" s="4" t="str">
        <f>IFERROR(__xludf.DUMMYFUNCTION("""COMPUTED_VALUE"""),"")</f>
        <v/>
      </c>
      <c r="G543" s="4" t="str">
        <f>IFERROR(__xludf.DUMMYFUNCTION("""COMPUTED_VALUE"""),"")</f>
        <v/>
      </c>
      <c r="H543" s="4" t="str">
        <f>IFERROR(__xludf.DUMMYFUNCTION("""COMPUTED_VALUE"""),"")</f>
        <v/>
      </c>
      <c r="I543" s="4" t="str">
        <f>IFERROR(__xludf.DUMMYFUNCTION("""COMPUTED_VALUE"""),"")</f>
        <v/>
      </c>
      <c r="J543" s="4" t="str">
        <f>IFERROR(__xludf.DUMMYFUNCTION("""COMPUTED_VALUE"""),"")</f>
        <v/>
      </c>
      <c r="K543" s="4" t="str">
        <f>IFERROR(__xludf.DUMMYFUNCTION("""COMPUTED_VALUE"""),"")</f>
        <v/>
      </c>
    </row>
    <row r="544">
      <c r="A544" s="4" t="str">
        <f>IFERROR(__xludf.DUMMYFUNCTION("""COMPUTED_VALUE"""),"")</f>
        <v/>
      </c>
      <c r="B544" s="4" t="str">
        <f>IFERROR(__xludf.DUMMYFUNCTION("""COMPUTED_VALUE"""),"")</f>
        <v/>
      </c>
      <c r="C544" s="4" t="str">
        <f>IFERROR(__xludf.DUMMYFUNCTION("""COMPUTED_VALUE"""),"")</f>
        <v/>
      </c>
      <c r="D544" s="4" t="str">
        <f>IFERROR(__xludf.DUMMYFUNCTION("""COMPUTED_VALUE"""),"")</f>
        <v/>
      </c>
      <c r="E544" s="4" t="str">
        <f>IFERROR(__xludf.DUMMYFUNCTION("""COMPUTED_VALUE"""),"")</f>
        <v/>
      </c>
      <c r="F544" s="4" t="str">
        <f>IFERROR(__xludf.DUMMYFUNCTION("""COMPUTED_VALUE"""),"")</f>
        <v/>
      </c>
      <c r="G544" s="4" t="str">
        <f>IFERROR(__xludf.DUMMYFUNCTION("""COMPUTED_VALUE"""),"")</f>
        <v/>
      </c>
      <c r="H544" s="4" t="str">
        <f>IFERROR(__xludf.DUMMYFUNCTION("""COMPUTED_VALUE"""),"")</f>
        <v/>
      </c>
      <c r="I544" s="4" t="str">
        <f>IFERROR(__xludf.DUMMYFUNCTION("""COMPUTED_VALUE"""),"")</f>
        <v/>
      </c>
      <c r="J544" s="4" t="str">
        <f>IFERROR(__xludf.DUMMYFUNCTION("""COMPUTED_VALUE"""),"")</f>
        <v/>
      </c>
      <c r="K544" s="4" t="str">
        <f>IFERROR(__xludf.DUMMYFUNCTION("""COMPUTED_VALUE"""),"")</f>
        <v/>
      </c>
    </row>
    <row r="545">
      <c r="A545" s="4" t="str">
        <f>IFERROR(__xludf.DUMMYFUNCTION("""COMPUTED_VALUE"""),"")</f>
        <v/>
      </c>
      <c r="B545" s="4" t="str">
        <f>IFERROR(__xludf.DUMMYFUNCTION("""COMPUTED_VALUE"""),"")</f>
        <v/>
      </c>
      <c r="C545" s="4" t="str">
        <f>IFERROR(__xludf.DUMMYFUNCTION("""COMPUTED_VALUE"""),"")</f>
        <v/>
      </c>
      <c r="D545" s="4" t="str">
        <f>IFERROR(__xludf.DUMMYFUNCTION("""COMPUTED_VALUE"""),"")</f>
        <v/>
      </c>
      <c r="E545" s="4" t="str">
        <f>IFERROR(__xludf.DUMMYFUNCTION("""COMPUTED_VALUE"""),"")</f>
        <v/>
      </c>
      <c r="F545" s="4" t="str">
        <f>IFERROR(__xludf.DUMMYFUNCTION("""COMPUTED_VALUE"""),"")</f>
        <v/>
      </c>
      <c r="G545" s="4" t="str">
        <f>IFERROR(__xludf.DUMMYFUNCTION("""COMPUTED_VALUE"""),"")</f>
        <v/>
      </c>
      <c r="H545" s="4" t="str">
        <f>IFERROR(__xludf.DUMMYFUNCTION("""COMPUTED_VALUE"""),"")</f>
        <v/>
      </c>
      <c r="I545" s="4" t="str">
        <f>IFERROR(__xludf.DUMMYFUNCTION("""COMPUTED_VALUE"""),"")</f>
        <v/>
      </c>
      <c r="J545" s="4" t="str">
        <f>IFERROR(__xludf.DUMMYFUNCTION("""COMPUTED_VALUE"""),"")</f>
        <v/>
      </c>
      <c r="K545" s="4" t="str">
        <f>IFERROR(__xludf.DUMMYFUNCTION("""COMPUTED_VALUE"""),"")</f>
        <v/>
      </c>
    </row>
    <row r="546">
      <c r="A546" s="4" t="str">
        <f>IFERROR(__xludf.DUMMYFUNCTION("""COMPUTED_VALUE"""),"")</f>
        <v/>
      </c>
      <c r="B546" s="4" t="str">
        <f>IFERROR(__xludf.DUMMYFUNCTION("""COMPUTED_VALUE"""),"")</f>
        <v/>
      </c>
      <c r="C546" s="4" t="str">
        <f>IFERROR(__xludf.DUMMYFUNCTION("""COMPUTED_VALUE"""),"")</f>
        <v/>
      </c>
      <c r="D546" s="4" t="str">
        <f>IFERROR(__xludf.DUMMYFUNCTION("""COMPUTED_VALUE"""),"")</f>
        <v/>
      </c>
      <c r="E546" s="4" t="str">
        <f>IFERROR(__xludf.DUMMYFUNCTION("""COMPUTED_VALUE"""),"")</f>
        <v/>
      </c>
      <c r="F546" s="4" t="str">
        <f>IFERROR(__xludf.DUMMYFUNCTION("""COMPUTED_VALUE"""),"")</f>
        <v/>
      </c>
      <c r="G546" s="4" t="str">
        <f>IFERROR(__xludf.DUMMYFUNCTION("""COMPUTED_VALUE"""),"")</f>
        <v/>
      </c>
      <c r="H546" s="4" t="str">
        <f>IFERROR(__xludf.DUMMYFUNCTION("""COMPUTED_VALUE"""),"")</f>
        <v/>
      </c>
      <c r="I546" s="4" t="str">
        <f>IFERROR(__xludf.DUMMYFUNCTION("""COMPUTED_VALUE"""),"")</f>
        <v/>
      </c>
      <c r="J546" s="4" t="str">
        <f>IFERROR(__xludf.DUMMYFUNCTION("""COMPUTED_VALUE"""),"")</f>
        <v/>
      </c>
      <c r="K546" s="4" t="str">
        <f>IFERROR(__xludf.DUMMYFUNCTION("""COMPUTED_VALUE"""),"")</f>
        <v/>
      </c>
    </row>
    <row r="547">
      <c r="A547" s="4" t="str">
        <f>IFERROR(__xludf.DUMMYFUNCTION("""COMPUTED_VALUE"""),"")</f>
        <v/>
      </c>
      <c r="B547" s="4" t="str">
        <f>IFERROR(__xludf.DUMMYFUNCTION("""COMPUTED_VALUE"""),"")</f>
        <v/>
      </c>
      <c r="C547" s="4" t="str">
        <f>IFERROR(__xludf.DUMMYFUNCTION("""COMPUTED_VALUE"""),"")</f>
        <v/>
      </c>
      <c r="D547" s="4" t="str">
        <f>IFERROR(__xludf.DUMMYFUNCTION("""COMPUTED_VALUE"""),"")</f>
        <v/>
      </c>
      <c r="E547" s="4" t="str">
        <f>IFERROR(__xludf.DUMMYFUNCTION("""COMPUTED_VALUE"""),"")</f>
        <v/>
      </c>
      <c r="F547" s="4" t="str">
        <f>IFERROR(__xludf.DUMMYFUNCTION("""COMPUTED_VALUE"""),"")</f>
        <v/>
      </c>
      <c r="G547" s="4" t="str">
        <f>IFERROR(__xludf.DUMMYFUNCTION("""COMPUTED_VALUE"""),"")</f>
        <v/>
      </c>
      <c r="H547" s="4" t="str">
        <f>IFERROR(__xludf.DUMMYFUNCTION("""COMPUTED_VALUE"""),"")</f>
        <v/>
      </c>
      <c r="I547" s="4" t="str">
        <f>IFERROR(__xludf.DUMMYFUNCTION("""COMPUTED_VALUE"""),"")</f>
        <v/>
      </c>
      <c r="J547" s="4" t="str">
        <f>IFERROR(__xludf.DUMMYFUNCTION("""COMPUTED_VALUE"""),"")</f>
        <v/>
      </c>
      <c r="K547" s="4" t="str">
        <f>IFERROR(__xludf.DUMMYFUNCTION("""COMPUTED_VALUE"""),"")</f>
        <v/>
      </c>
    </row>
    <row r="548">
      <c r="A548" s="4" t="str">
        <f>IFERROR(__xludf.DUMMYFUNCTION("""COMPUTED_VALUE"""),"")</f>
        <v/>
      </c>
      <c r="B548" s="4" t="str">
        <f>IFERROR(__xludf.DUMMYFUNCTION("""COMPUTED_VALUE"""),"")</f>
        <v/>
      </c>
      <c r="C548" s="4" t="str">
        <f>IFERROR(__xludf.DUMMYFUNCTION("""COMPUTED_VALUE"""),"")</f>
        <v/>
      </c>
      <c r="D548" s="4" t="str">
        <f>IFERROR(__xludf.DUMMYFUNCTION("""COMPUTED_VALUE"""),"")</f>
        <v/>
      </c>
      <c r="E548" s="4" t="str">
        <f>IFERROR(__xludf.DUMMYFUNCTION("""COMPUTED_VALUE"""),"")</f>
        <v/>
      </c>
      <c r="F548" s="4" t="str">
        <f>IFERROR(__xludf.DUMMYFUNCTION("""COMPUTED_VALUE"""),"")</f>
        <v/>
      </c>
      <c r="G548" s="4" t="str">
        <f>IFERROR(__xludf.DUMMYFUNCTION("""COMPUTED_VALUE"""),"")</f>
        <v/>
      </c>
      <c r="H548" s="4" t="str">
        <f>IFERROR(__xludf.DUMMYFUNCTION("""COMPUTED_VALUE"""),"")</f>
        <v/>
      </c>
      <c r="I548" s="4" t="str">
        <f>IFERROR(__xludf.DUMMYFUNCTION("""COMPUTED_VALUE"""),"")</f>
        <v/>
      </c>
      <c r="J548" s="4" t="str">
        <f>IFERROR(__xludf.DUMMYFUNCTION("""COMPUTED_VALUE"""),"")</f>
        <v/>
      </c>
      <c r="K548" s="4" t="str">
        <f>IFERROR(__xludf.DUMMYFUNCTION("""COMPUTED_VALUE"""),"")</f>
        <v/>
      </c>
    </row>
    <row r="549">
      <c r="A549" s="4" t="str">
        <f>IFERROR(__xludf.DUMMYFUNCTION("""COMPUTED_VALUE"""),"")</f>
        <v/>
      </c>
      <c r="B549" s="4" t="str">
        <f>IFERROR(__xludf.DUMMYFUNCTION("""COMPUTED_VALUE"""),"")</f>
        <v/>
      </c>
      <c r="C549" s="4" t="str">
        <f>IFERROR(__xludf.DUMMYFUNCTION("""COMPUTED_VALUE"""),"")</f>
        <v/>
      </c>
      <c r="D549" s="4" t="str">
        <f>IFERROR(__xludf.DUMMYFUNCTION("""COMPUTED_VALUE"""),"")</f>
        <v/>
      </c>
      <c r="E549" s="4" t="str">
        <f>IFERROR(__xludf.DUMMYFUNCTION("""COMPUTED_VALUE"""),"")</f>
        <v/>
      </c>
      <c r="F549" s="4" t="str">
        <f>IFERROR(__xludf.DUMMYFUNCTION("""COMPUTED_VALUE"""),"")</f>
        <v/>
      </c>
      <c r="G549" s="4" t="str">
        <f>IFERROR(__xludf.DUMMYFUNCTION("""COMPUTED_VALUE"""),"")</f>
        <v/>
      </c>
      <c r="H549" s="4" t="str">
        <f>IFERROR(__xludf.DUMMYFUNCTION("""COMPUTED_VALUE"""),"")</f>
        <v/>
      </c>
      <c r="I549" s="4" t="str">
        <f>IFERROR(__xludf.DUMMYFUNCTION("""COMPUTED_VALUE"""),"")</f>
        <v/>
      </c>
      <c r="J549" s="4" t="str">
        <f>IFERROR(__xludf.DUMMYFUNCTION("""COMPUTED_VALUE"""),"")</f>
        <v/>
      </c>
      <c r="K549" s="4" t="str">
        <f>IFERROR(__xludf.DUMMYFUNCTION("""COMPUTED_VALUE"""),"")</f>
        <v/>
      </c>
    </row>
    <row r="550">
      <c r="A550" s="4" t="str">
        <f>IFERROR(__xludf.DUMMYFUNCTION("""COMPUTED_VALUE"""),"")</f>
        <v/>
      </c>
      <c r="B550" s="4" t="str">
        <f>IFERROR(__xludf.DUMMYFUNCTION("""COMPUTED_VALUE"""),"")</f>
        <v/>
      </c>
      <c r="C550" s="4" t="str">
        <f>IFERROR(__xludf.DUMMYFUNCTION("""COMPUTED_VALUE"""),"")</f>
        <v/>
      </c>
      <c r="D550" s="4" t="str">
        <f>IFERROR(__xludf.DUMMYFUNCTION("""COMPUTED_VALUE"""),"")</f>
        <v/>
      </c>
      <c r="E550" s="4" t="str">
        <f>IFERROR(__xludf.DUMMYFUNCTION("""COMPUTED_VALUE"""),"")</f>
        <v/>
      </c>
      <c r="F550" s="4" t="str">
        <f>IFERROR(__xludf.DUMMYFUNCTION("""COMPUTED_VALUE"""),"")</f>
        <v/>
      </c>
      <c r="G550" s="4" t="str">
        <f>IFERROR(__xludf.DUMMYFUNCTION("""COMPUTED_VALUE"""),"")</f>
        <v/>
      </c>
      <c r="H550" s="4" t="str">
        <f>IFERROR(__xludf.DUMMYFUNCTION("""COMPUTED_VALUE"""),"")</f>
        <v/>
      </c>
      <c r="I550" s="4" t="str">
        <f>IFERROR(__xludf.DUMMYFUNCTION("""COMPUTED_VALUE"""),"")</f>
        <v/>
      </c>
      <c r="J550" s="4" t="str">
        <f>IFERROR(__xludf.DUMMYFUNCTION("""COMPUTED_VALUE"""),"")</f>
        <v/>
      </c>
      <c r="K550" s="4" t="str">
        <f>IFERROR(__xludf.DUMMYFUNCTION("""COMPUTED_VALUE"""),"")</f>
        <v/>
      </c>
    </row>
    <row r="551">
      <c r="A551" s="4" t="str">
        <f>IFERROR(__xludf.DUMMYFUNCTION("""COMPUTED_VALUE"""),"")</f>
        <v/>
      </c>
      <c r="B551" s="4" t="str">
        <f>IFERROR(__xludf.DUMMYFUNCTION("""COMPUTED_VALUE"""),"")</f>
        <v/>
      </c>
      <c r="C551" s="4" t="str">
        <f>IFERROR(__xludf.DUMMYFUNCTION("""COMPUTED_VALUE"""),"")</f>
        <v/>
      </c>
      <c r="D551" s="4" t="str">
        <f>IFERROR(__xludf.DUMMYFUNCTION("""COMPUTED_VALUE"""),"")</f>
        <v/>
      </c>
      <c r="E551" s="4" t="str">
        <f>IFERROR(__xludf.DUMMYFUNCTION("""COMPUTED_VALUE"""),"")</f>
        <v/>
      </c>
      <c r="F551" s="4" t="str">
        <f>IFERROR(__xludf.DUMMYFUNCTION("""COMPUTED_VALUE"""),"")</f>
        <v/>
      </c>
      <c r="G551" s="4" t="str">
        <f>IFERROR(__xludf.DUMMYFUNCTION("""COMPUTED_VALUE"""),"")</f>
        <v/>
      </c>
      <c r="H551" s="4" t="str">
        <f>IFERROR(__xludf.DUMMYFUNCTION("""COMPUTED_VALUE"""),"")</f>
        <v/>
      </c>
      <c r="I551" s="4" t="str">
        <f>IFERROR(__xludf.DUMMYFUNCTION("""COMPUTED_VALUE"""),"")</f>
        <v/>
      </c>
      <c r="J551" s="4" t="str">
        <f>IFERROR(__xludf.DUMMYFUNCTION("""COMPUTED_VALUE"""),"")</f>
        <v/>
      </c>
      <c r="K551" s="4" t="str">
        <f>IFERROR(__xludf.DUMMYFUNCTION("""COMPUTED_VALUE"""),"")</f>
        <v/>
      </c>
    </row>
    <row r="552">
      <c r="A552" s="4" t="str">
        <f>IFERROR(__xludf.DUMMYFUNCTION("""COMPUTED_VALUE"""),"")</f>
        <v/>
      </c>
      <c r="B552" s="4" t="str">
        <f>IFERROR(__xludf.DUMMYFUNCTION("""COMPUTED_VALUE"""),"")</f>
        <v/>
      </c>
      <c r="C552" s="4" t="str">
        <f>IFERROR(__xludf.DUMMYFUNCTION("""COMPUTED_VALUE"""),"")</f>
        <v/>
      </c>
      <c r="D552" s="4" t="str">
        <f>IFERROR(__xludf.DUMMYFUNCTION("""COMPUTED_VALUE"""),"")</f>
        <v/>
      </c>
      <c r="E552" s="4" t="str">
        <f>IFERROR(__xludf.DUMMYFUNCTION("""COMPUTED_VALUE"""),"")</f>
        <v/>
      </c>
      <c r="F552" s="4" t="str">
        <f>IFERROR(__xludf.DUMMYFUNCTION("""COMPUTED_VALUE"""),"")</f>
        <v/>
      </c>
      <c r="G552" s="4" t="str">
        <f>IFERROR(__xludf.DUMMYFUNCTION("""COMPUTED_VALUE"""),"")</f>
        <v/>
      </c>
      <c r="H552" s="4" t="str">
        <f>IFERROR(__xludf.DUMMYFUNCTION("""COMPUTED_VALUE"""),"")</f>
        <v/>
      </c>
      <c r="I552" s="4" t="str">
        <f>IFERROR(__xludf.DUMMYFUNCTION("""COMPUTED_VALUE"""),"")</f>
        <v/>
      </c>
      <c r="J552" s="4" t="str">
        <f>IFERROR(__xludf.DUMMYFUNCTION("""COMPUTED_VALUE"""),"")</f>
        <v/>
      </c>
      <c r="K552" s="4" t="str">
        <f>IFERROR(__xludf.DUMMYFUNCTION("""COMPUTED_VALUE"""),"")</f>
        <v/>
      </c>
    </row>
    <row r="553">
      <c r="A553" s="4" t="str">
        <f>IFERROR(__xludf.DUMMYFUNCTION("""COMPUTED_VALUE"""),"")</f>
        <v/>
      </c>
      <c r="B553" s="4" t="str">
        <f>IFERROR(__xludf.DUMMYFUNCTION("""COMPUTED_VALUE"""),"")</f>
        <v/>
      </c>
      <c r="C553" s="4" t="str">
        <f>IFERROR(__xludf.DUMMYFUNCTION("""COMPUTED_VALUE"""),"")</f>
        <v/>
      </c>
      <c r="D553" s="4" t="str">
        <f>IFERROR(__xludf.DUMMYFUNCTION("""COMPUTED_VALUE"""),"")</f>
        <v/>
      </c>
      <c r="E553" s="4" t="str">
        <f>IFERROR(__xludf.DUMMYFUNCTION("""COMPUTED_VALUE"""),"")</f>
        <v/>
      </c>
      <c r="F553" s="4" t="str">
        <f>IFERROR(__xludf.DUMMYFUNCTION("""COMPUTED_VALUE"""),"")</f>
        <v/>
      </c>
      <c r="G553" s="4" t="str">
        <f>IFERROR(__xludf.DUMMYFUNCTION("""COMPUTED_VALUE"""),"")</f>
        <v/>
      </c>
      <c r="H553" s="4" t="str">
        <f>IFERROR(__xludf.DUMMYFUNCTION("""COMPUTED_VALUE"""),"")</f>
        <v/>
      </c>
      <c r="I553" s="4" t="str">
        <f>IFERROR(__xludf.DUMMYFUNCTION("""COMPUTED_VALUE"""),"")</f>
        <v/>
      </c>
      <c r="J553" s="4" t="str">
        <f>IFERROR(__xludf.DUMMYFUNCTION("""COMPUTED_VALUE"""),"")</f>
        <v/>
      </c>
      <c r="K553" s="4" t="str">
        <f>IFERROR(__xludf.DUMMYFUNCTION("""COMPUTED_VALUE"""),"")</f>
        <v/>
      </c>
    </row>
    <row r="554">
      <c r="A554" s="4" t="str">
        <f>IFERROR(__xludf.DUMMYFUNCTION("""COMPUTED_VALUE"""),"")</f>
        <v/>
      </c>
      <c r="B554" s="4" t="str">
        <f>IFERROR(__xludf.DUMMYFUNCTION("""COMPUTED_VALUE"""),"")</f>
        <v/>
      </c>
      <c r="C554" s="4" t="str">
        <f>IFERROR(__xludf.DUMMYFUNCTION("""COMPUTED_VALUE"""),"")</f>
        <v/>
      </c>
      <c r="D554" s="4" t="str">
        <f>IFERROR(__xludf.DUMMYFUNCTION("""COMPUTED_VALUE"""),"")</f>
        <v/>
      </c>
      <c r="E554" s="4" t="str">
        <f>IFERROR(__xludf.DUMMYFUNCTION("""COMPUTED_VALUE"""),"")</f>
        <v/>
      </c>
      <c r="F554" s="4" t="str">
        <f>IFERROR(__xludf.DUMMYFUNCTION("""COMPUTED_VALUE"""),"")</f>
        <v/>
      </c>
      <c r="G554" s="4" t="str">
        <f>IFERROR(__xludf.DUMMYFUNCTION("""COMPUTED_VALUE"""),"")</f>
        <v/>
      </c>
      <c r="H554" s="4" t="str">
        <f>IFERROR(__xludf.DUMMYFUNCTION("""COMPUTED_VALUE"""),"")</f>
        <v/>
      </c>
      <c r="I554" s="4" t="str">
        <f>IFERROR(__xludf.DUMMYFUNCTION("""COMPUTED_VALUE"""),"")</f>
        <v/>
      </c>
      <c r="J554" s="4" t="str">
        <f>IFERROR(__xludf.DUMMYFUNCTION("""COMPUTED_VALUE"""),"")</f>
        <v/>
      </c>
      <c r="K554" s="4" t="str">
        <f>IFERROR(__xludf.DUMMYFUNCTION("""COMPUTED_VALUE"""),"")</f>
        <v/>
      </c>
    </row>
    <row r="555">
      <c r="A555" s="4" t="str">
        <f>IFERROR(__xludf.DUMMYFUNCTION("""COMPUTED_VALUE"""),"")</f>
        <v/>
      </c>
      <c r="B555" s="4" t="str">
        <f>IFERROR(__xludf.DUMMYFUNCTION("""COMPUTED_VALUE"""),"")</f>
        <v/>
      </c>
      <c r="C555" s="4" t="str">
        <f>IFERROR(__xludf.DUMMYFUNCTION("""COMPUTED_VALUE"""),"")</f>
        <v/>
      </c>
      <c r="D555" s="4" t="str">
        <f>IFERROR(__xludf.DUMMYFUNCTION("""COMPUTED_VALUE"""),"")</f>
        <v/>
      </c>
      <c r="E555" s="4" t="str">
        <f>IFERROR(__xludf.DUMMYFUNCTION("""COMPUTED_VALUE"""),"")</f>
        <v/>
      </c>
      <c r="F555" s="4" t="str">
        <f>IFERROR(__xludf.DUMMYFUNCTION("""COMPUTED_VALUE"""),"")</f>
        <v/>
      </c>
      <c r="G555" s="4" t="str">
        <f>IFERROR(__xludf.DUMMYFUNCTION("""COMPUTED_VALUE"""),"")</f>
        <v/>
      </c>
      <c r="H555" s="4" t="str">
        <f>IFERROR(__xludf.DUMMYFUNCTION("""COMPUTED_VALUE"""),"")</f>
        <v/>
      </c>
      <c r="I555" s="4" t="str">
        <f>IFERROR(__xludf.DUMMYFUNCTION("""COMPUTED_VALUE"""),"")</f>
        <v/>
      </c>
      <c r="J555" s="4" t="str">
        <f>IFERROR(__xludf.DUMMYFUNCTION("""COMPUTED_VALUE"""),"")</f>
        <v/>
      </c>
      <c r="K555" s="4" t="str">
        <f>IFERROR(__xludf.DUMMYFUNCTION("""COMPUTED_VALUE"""),"")</f>
        <v/>
      </c>
    </row>
    <row r="556">
      <c r="A556" s="4" t="str">
        <f>IFERROR(__xludf.DUMMYFUNCTION("""COMPUTED_VALUE"""),"")</f>
        <v/>
      </c>
      <c r="B556" s="4" t="str">
        <f>IFERROR(__xludf.DUMMYFUNCTION("""COMPUTED_VALUE"""),"")</f>
        <v/>
      </c>
      <c r="C556" s="4" t="str">
        <f>IFERROR(__xludf.DUMMYFUNCTION("""COMPUTED_VALUE"""),"")</f>
        <v/>
      </c>
      <c r="D556" s="4" t="str">
        <f>IFERROR(__xludf.DUMMYFUNCTION("""COMPUTED_VALUE"""),"")</f>
        <v/>
      </c>
      <c r="E556" s="4" t="str">
        <f>IFERROR(__xludf.DUMMYFUNCTION("""COMPUTED_VALUE"""),"")</f>
        <v/>
      </c>
      <c r="F556" s="4" t="str">
        <f>IFERROR(__xludf.DUMMYFUNCTION("""COMPUTED_VALUE"""),"")</f>
        <v/>
      </c>
      <c r="G556" s="4" t="str">
        <f>IFERROR(__xludf.DUMMYFUNCTION("""COMPUTED_VALUE"""),"")</f>
        <v/>
      </c>
      <c r="H556" s="4" t="str">
        <f>IFERROR(__xludf.DUMMYFUNCTION("""COMPUTED_VALUE"""),"")</f>
        <v/>
      </c>
      <c r="I556" s="4" t="str">
        <f>IFERROR(__xludf.DUMMYFUNCTION("""COMPUTED_VALUE"""),"")</f>
        <v/>
      </c>
      <c r="J556" s="4" t="str">
        <f>IFERROR(__xludf.DUMMYFUNCTION("""COMPUTED_VALUE"""),"")</f>
        <v/>
      </c>
      <c r="K556" s="4" t="str">
        <f>IFERROR(__xludf.DUMMYFUNCTION("""COMPUTED_VALUE"""),"")</f>
        <v/>
      </c>
    </row>
    <row r="557">
      <c r="A557" s="4" t="str">
        <f>IFERROR(__xludf.DUMMYFUNCTION("""COMPUTED_VALUE"""),"")</f>
        <v/>
      </c>
      <c r="B557" s="4" t="str">
        <f>IFERROR(__xludf.DUMMYFUNCTION("""COMPUTED_VALUE"""),"")</f>
        <v/>
      </c>
      <c r="C557" s="4" t="str">
        <f>IFERROR(__xludf.DUMMYFUNCTION("""COMPUTED_VALUE"""),"")</f>
        <v/>
      </c>
      <c r="D557" s="4" t="str">
        <f>IFERROR(__xludf.DUMMYFUNCTION("""COMPUTED_VALUE"""),"")</f>
        <v/>
      </c>
      <c r="E557" s="4" t="str">
        <f>IFERROR(__xludf.DUMMYFUNCTION("""COMPUTED_VALUE"""),"")</f>
        <v/>
      </c>
      <c r="F557" s="4" t="str">
        <f>IFERROR(__xludf.DUMMYFUNCTION("""COMPUTED_VALUE"""),"")</f>
        <v/>
      </c>
      <c r="G557" s="4" t="str">
        <f>IFERROR(__xludf.DUMMYFUNCTION("""COMPUTED_VALUE"""),"")</f>
        <v/>
      </c>
      <c r="H557" s="4" t="str">
        <f>IFERROR(__xludf.DUMMYFUNCTION("""COMPUTED_VALUE"""),"")</f>
        <v/>
      </c>
      <c r="I557" s="4" t="str">
        <f>IFERROR(__xludf.DUMMYFUNCTION("""COMPUTED_VALUE"""),"")</f>
        <v/>
      </c>
      <c r="J557" s="4" t="str">
        <f>IFERROR(__xludf.DUMMYFUNCTION("""COMPUTED_VALUE"""),"")</f>
        <v/>
      </c>
      <c r="K557" s="4" t="str">
        <f>IFERROR(__xludf.DUMMYFUNCTION("""COMPUTED_VALUE"""),"")</f>
        <v/>
      </c>
    </row>
    <row r="558">
      <c r="A558" s="4" t="str">
        <f>IFERROR(__xludf.DUMMYFUNCTION("""COMPUTED_VALUE"""),"")</f>
        <v/>
      </c>
      <c r="B558" s="4" t="str">
        <f>IFERROR(__xludf.DUMMYFUNCTION("""COMPUTED_VALUE"""),"")</f>
        <v/>
      </c>
      <c r="C558" s="4" t="str">
        <f>IFERROR(__xludf.DUMMYFUNCTION("""COMPUTED_VALUE"""),"")</f>
        <v/>
      </c>
      <c r="D558" s="4" t="str">
        <f>IFERROR(__xludf.DUMMYFUNCTION("""COMPUTED_VALUE"""),"")</f>
        <v/>
      </c>
      <c r="E558" s="4" t="str">
        <f>IFERROR(__xludf.DUMMYFUNCTION("""COMPUTED_VALUE"""),"")</f>
        <v/>
      </c>
      <c r="F558" s="4" t="str">
        <f>IFERROR(__xludf.DUMMYFUNCTION("""COMPUTED_VALUE"""),"")</f>
        <v/>
      </c>
      <c r="G558" s="4" t="str">
        <f>IFERROR(__xludf.DUMMYFUNCTION("""COMPUTED_VALUE"""),"")</f>
        <v/>
      </c>
      <c r="H558" s="4" t="str">
        <f>IFERROR(__xludf.DUMMYFUNCTION("""COMPUTED_VALUE"""),"")</f>
        <v/>
      </c>
      <c r="I558" s="4" t="str">
        <f>IFERROR(__xludf.DUMMYFUNCTION("""COMPUTED_VALUE"""),"")</f>
        <v/>
      </c>
      <c r="J558" s="4" t="str">
        <f>IFERROR(__xludf.DUMMYFUNCTION("""COMPUTED_VALUE"""),"")</f>
        <v/>
      </c>
      <c r="K558" s="4" t="str">
        <f>IFERROR(__xludf.DUMMYFUNCTION("""COMPUTED_VALUE"""),"")</f>
        <v/>
      </c>
    </row>
    <row r="559">
      <c r="A559" s="4" t="str">
        <f>IFERROR(__xludf.DUMMYFUNCTION("""COMPUTED_VALUE"""),"")</f>
        <v/>
      </c>
      <c r="B559" s="4" t="str">
        <f>IFERROR(__xludf.DUMMYFUNCTION("""COMPUTED_VALUE"""),"")</f>
        <v/>
      </c>
      <c r="C559" s="4" t="str">
        <f>IFERROR(__xludf.DUMMYFUNCTION("""COMPUTED_VALUE"""),"")</f>
        <v/>
      </c>
      <c r="D559" s="4" t="str">
        <f>IFERROR(__xludf.DUMMYFUNCTION("""COMPUTED_VALUE"""),"")</f>
        <v/>
      </c>
      <c r="E559" s="4" t="str">
        <f>IFERROR(__xludf.DUMMYFUNCTION("""COMPUTED_VALUE"""),"")</f>
        <v/>
      </c>
      <c r="F559" s="4" t="str">
        <f>IFERROR(__xludf.DUMMYFUNCTION("""COMPUTED_VALUE"""),"")</f>
        <v/>
      </c>
      <c r="G559" s="4" t="str">
        <f>IFERROR(__xludf.DUMMYFUNCTION("""COMPUTED_VALUE"""),"")</f>
        <v/>
      </c>
      <c r="H559" s="4" t="str">
        <f>IFERROR(__xludf.DUMMYFUNCTION("""COMPUTED_VALUE"""),"")</f>
        <v/>
      </c>
      <c r="I559" s="4" t="str">
        <f>IFERROR(__xludf.DUMMYFUNCTION("""COMPUTED_VALUE"""),"")</f>
        <v/>
      </c>
      <c r="J559" s="4" t="str">
        <f>IFERROR(__xludf.DUMMYFUNCTION("""COMPUTED_VALUE"""),"")</f>
        <v/>
      </c>
      <c r="K559" s="4" t="str">
        <f>IFERROR(__xludf.DUMMYFUNCTION("""COMPUTED_VALUE"""),"")</f>
        <v/>
      </c>
    </row>
    <row r="560">
      <c r="A560" s="4" t="str">
        <f>IFERROR(__xludf.DUMMYFUNCTION("""COMPUTED_VALUE"""),"")</f>
        <v/>
      </c>
      <c r="B560" s="4" t="str">
        <f>IFERROR(__xludf.DUMMYFUNCTION("""COMPUTED_VALUE"""),"")</f>
        <v/>
      </c>
      <c r="C560" s="4" t="str">
        <f>IFERROR(__xludf.DUMMYFUNCTION("""COMPUTED_VALUE"""),"")</f>
        <v/>
      </c>
      <c r="D560" s="4" t="str">
        <f>IFERROR(__xludf.DUMMYFUNCTION("""COMPUTED_VALUE"""),"")</f>
        <v/>
      </c>
      <c r="E560" s="4" t="str">
        <f>IFERROR(__xludf.DUMMYFUNCTION("""COMPUTED_VALUE"""),"")</f>
        <v/>
      </c>
      <c r="F560" s="4" t="str">
        <f>IFERROR(__xludf.DUMMYFUNCTION("""COMPUTED_VALUE"""),"")</f>
        <v/>
      </c>
      <c r="G560" s="4" t="str">
        <f>IFERROR(__xludf.DUMMYFUNCTION("""COMPUTED_VALUE"""),"")</f>
        <v/>
      </c>
      <c r="H560" s="4" t="str">
        <f>IFERROR(__xludf.DUMMYFUNCTION("""COMPUTED_VALUE"""),"")</f>
        <v/>
      </c>
      <c r="I560" s="4" t="str">
        <f>IFERROR(__xludf.DUMMYFUNCTION("""COMPUTED_VALUE"""),"")</f>
        <v/>
      </c>
      <c r="J560" s="4" t="str">
        <f>IFERROR(__xludf.DUMMYFUNCTION("""COMPUTED_VALUE"""),"")</f>
        <v/>
      </c>
      <c r="K560" s="4" t="str">
        <f>IFERROR(__xludf.DUMMYFUNCTION("""COMPUTED_VALUE"""),"")</f>
        <v/>
      </c>
    </row>
    <row r="561">
      <c r="A561" s="4" t="str">
        <f>IFERROR(__xludf.DUMMYFUNCTION("""COMPUTED_VALUE"""),"")</f>
        <v/>
      </c>
      <c r="B561" s="4" t="str">
        <f>IFERROR(__xludf.DUMMYFUNCTION("""COMPUTED_VALUE"""),"")</f>
        <v/>
      </c>
      <c r="C561" s="4" t="str">
        <f>IFERROR(__xludf.DUMMYFUNCTION("""COMPUTED_VALUE"""),"")</f>
        <v/>
      </c>
      <c r="D561" s="4" t="str">
        <f>IFERROR(__xludf.DUMMYFUNCTION("""COMPUTED_VALUE"""),"")</f>
        <v/>
      </c>
      <c r="E561" s="4" t="str">
        <f>IFERROR(__xludf.DUMMYFUNCTION("""COMPUTED_VALUE"""),"")</f>
        <v/>
      </c>
      <c r="F561" s="4" t="str">
        <f>IFERROR(__xludf.DUMMYFUNCTION("""COMPUTED_VALUE"""),"")</f>
        <v/>
      </c>
      <c r="G561" s="4" t="str">
        <f>IFERROR(__xludf.DUMMYFUNCTION("""COMPUTED_VALUE"""),"")</f>
        <v/>
      </c>
      <c r="H561" s="4" t="str">
        <f>IFERROR(__xludf.DUMMYFUNCTION("""COMPUTED_VALUE"""),"")</f>
        <v/>
      </c>
      <c r="I561" s="4" t="str">
        <f>IFERROR(__xludf.DUMMYFUNCTION("""COMPUTED_VALUE"""),"")</f>
        <v/>
      </c>
      <c r="J561" s="4" t="str">
        <f>IFERROR(__xludf.DUMMYFUNCTION("""COMPUTED_VALUE"""),"")</f>
        <v/>
      </c>
      <c r="K561" s="4" t="str">
        <f>IFERROR(__xludf.DUMMYFUNCTION("""COMPUTED_VALUE"""),"")</f>
        <v/>
      </c>
    </row>
    <row r="562">
      <c r="A562" s="4" t="str">
        <f>IFERROR(__xludf.DUMMYFUNCTION("""COMPUTED_VALUE"""),"")</f>
        <v/>
      </c>
      <c r="B562" s="4" t="str">
        <f>IFERROR(__xludf.DUMMYFUNCTION("""COMPUTED_VALUE"""),"")</f>
        <v/>
      </c>
      <c r="C562" s="4" t="str">
        <f>IFERROR(__xludf.DUMMYFUNCTION("""COMPUTED_VALUE"""),"")</f>
        <v/>
      </c>
      <c r="D562" s="4" t="str">
        <f>IFERROR(__xludf.DUMMYFUNCTION("""COMPUTED_VALUE"""),"")</f>
        <v/>
      </c>
      <c r="E562" s="4" t="str">
        <f>IFERROR(__xludf.DUMMYFUNCTION("""COMPUTED_VALUE"""),"")</f>
        <v/>
      </c>
      <c r="F562" s="4" t="str">
        <f>IFERROR(__xludf.DUMMYFUNCTION("""COMPUTED_VALUE"""),"")</f>
        <v/>
      </c>
      <c r="G562" s="4" t="str">
        <f>IFERROR(__xludf.DUMMYFUNCTION("""COMPUTED_VALUE"""),"")</f>
        <v/>
      </c>
      <c r="H562" s="4" t="str">
        <f>IFERROR(__xludf.DUMMYFUNCTION("""COMPUTED_VALUE"""),"")</f>
        <v/>
      </c>
      <c r="I562" s="4" t="str">
        <f>IFERROR(__xludf.DUMMYFUNCTION("""COMPUTED_VALUE"""),"")</f>
        <v/>
      </c>
      <c r="J562" s="4" t="str">
        <f>IFERROR(__xludf.DUMMYFUNCTION("""COMPUTED_VALUE"""),"")</f>
        <v/>
      </c>
      <c r="K562" s="4" t="str">
        <f>IFERROR(__xludf.DUMMYFUNCTION("""COMPUTED_VALUE"""),"")</f>
        <v/>
      </c>
    </row>
    <row r="563">
      <c r="A563" s="4" t="str">
        <f>IFERROR(__xludf.DUMMYFUNCTION("""COMPUTED_VALUE"""),"")</f>
        <v/>
      </c>
      <c r="B563" s="4" t="str">
        <f>IFERROR(__xludf.DUMMYFUNCTION("""COMPUTED_VALUE"""),"")</f>
        <v/>
      </c>
      <c r="C563" s="4" t="str">
        <f>IFERROR(__xludf.DUMMYFUNCTION("""COMPUTED_VALUE"""),"")</f>
        <v/>
      </c>
      <c r="D563" s="4" t="str">
        <f>IFERROR(__xludf.DUMMYFUNCTION("""COMPUTED_VALUE"""),"")</f>
        <v/>
      </c>
      <c r="E563" s="4" t="str">
        <f>IFERROR(__xludf.DUMMYFUNCTION("""COMPUTED_VALUE"""),"")</f>
        <v/>
      </c>
      <c r="F563" s="4" t="str">
        <f>IFERROR(__xludf.DUMMYFUNCTION("""COMPUTED_VALUE"""),"")</f>
        <v/>
      </c>
      <c r="G563" s="4" t="str">
        <f>IFERROR(__xludf.DUMMYFUNCTION("""COMPUTED_VALUE"""),"")</f>
        <v/>
      </c>
      <c r="H563" s="4" t="str">
        <f>IFERROR(__xludf.DUMMYFUNCTION("""COMPUTED_VALUE"""),"")</f>
        <v/>
      </c>
      <c r="I563" s="4" t="str">
        <f>IFERROR(__xludf.DUMMYFUNCTION("""COMPUTED_VALUE"""),"")</f>
        <v/>
      </c>
      <c r="J563" s="4" t="str">
        <f>IFERROR(__xludf.DUMMYFUNCTION("""COMPUTED_VALUE"""),"")</f>
        <v/>
      </c>
      <c r="K563" s="4" t="str">
        <f>IFERROR(__xludf.DUMMYFUNCTION("""COMPUTED_VALUE"""),"")</f>
        <v/>
      </c>
    </row>
    <row r="564">
      <c r="A564" s="4" t="str">
        <f>IFERROR(__xludf.DUMMYFUNCTION("""COMPUTED_VALUE"""),"")</f>
        <v/>
      </c>
      <c r="B564" s="4" t="str">
        <f>IFERROR(__xludf.DUMMYFUNCTION("""COMPUTED_VALUE"""),"")</f>
        <v/>
      </c>
      <c r="C564" s="4" t="str">
        <f>IFERROR(__xludf.DUMMYFUNCTION("""COMPUTED_VALUE"""),"")</f>
        <v/>
      </c>
      <c r="D564" s="4" t="str">
        <f>IFERROR(__xludf.DUMMYFUNCTION("""COMPUTED_VALUE"""),"")</f>
        <v/>
      </c>
      <c r="E564" s="4" t="str">
        <f>IFERROR(__xludf.DUMMYFUNCTION("""COMPUTED_VALUE"""),"")</f>
        <v/>
      </c>
      <c r="F564" s="4" t="str">
        <f>IFERROR(__xludf.DUMMYFUNCTION("""COMPUTED_VALUE"""),"")</f>
        <v/>
      </c>
      <c r="G564" s="4" t="str">
        <f>IFERROR(__xludf.DUMMYFUNCTION("""COMPUTED_VALUE"""),"")</f>
        <v/>
      </c>
      <c r="H564" s="4" t="str">
        <f>IFERROR(__xludf.DUMMYFUNCTION("""COMPUTED_VALUE"""),"")</f>
        <v/>
      </c>
      <c r="I564" s="4" t="str">
        <f>IFERROR(__xludf.DUMMYFUNCTION("""COMPUTED_VALUE"""),"")</f>
        <v/>
      </c>
      <c r="J564" s="4" t="str">
        <f>IFERROR(__xludf.DUMMYFUNCTION("""COMPUTED_VALUE"""),"")</f>
        <v/>
      </c>
      <c r="K564" s="4" t="str">
        <f>IFERROR(__xludf.DUMMYFUNCTION("""COMPUTED_VALUE"""),"")</f>
        <v/>
      </c>
    </row>
    <row r="565">
      <c r="A565" s="4" t="str">
        <f>IFERROR(__xludf.DUMMYFUNCTION("""COMPUTED_VALUE"""),"")</f>
        <v/>
      </c>
      <c r="B565" s="4" t="str">
        <f>IFERROR(__xludf.DUMMYFUNCTION("""COMPUTED_VALUE"""),"")</f>
        <v/>
      </c>
      <c r="C565" s="4" t="str">
        <f>IFERROR(__xludf.DUMMYFUNCTION("""COMPUTED_VALUE"""),"")</f>
        <v/>
      </c>
      <c r="D565" s="4" t="str">
        <f>IFERROR(__xludf.DUMMYFUNCTION("""COMPUTED_VALUE"""),"")</f>
        <v/>
      </c>
      <c r="E565" s="4" t="str">
        <f>IFERROR(__xludf.DUMMYFUNCTION("""COMPUTED_VALUE"""),"")</f>
        <v/>
      </c>
      <c r="F565" s="4" t="str">
        <f>IFERROR(__xludf.DUMMYFUNCTION("""COMPUTED_VALUE"""),"")</f>
        <v/>
      </c>
      <c r="G565" s="4" t="str">
        <f>IFERROR(__xludf.DUMMYFUNCTION("""COMPUTED_VALUE"""),"")</f>
        <v/>
      </c>
      <c r="H565" s="4" t="str">
        <f>IFERROR(__xludf.DUMMYFUNCTION("""COMPUTED_VALUE"""),"")</f>
        <v/>
      </c>
      <c r="I565" s="4" t="str">
        <f>IFERROR(__xludf.DUMMYFUNCTION("""COMPUTED_VALUE"""),"")</f>
        <v/>
      </c>
      <c r="J565" s="4" t="str">
        <f>IFERROR(__xludf.DUMMYFUNCTION("""COMPUTED_VALUE"""),"")</f>
        <v/>
      </c>
      <c r="K565" s="4" t="str">
        <f>IFERROR(__xludf.DUMMYFUNCTION("""COMPUTED_VALUE"""),"")</f>
        <v/>
      </c>
    </row>
    <row r="566">
      <c r="A566" s="4" t="str">
        <f>IFERROR(__xludf.DUMMYFUNCTION("""COMPUTED_VALUE"""),"")</f>
        <v/>
      </c>
      <c r="B566" s="4" t="str">
        <f>IFERROR(__xludf.DUMMYFUNCTION("""COMPUTED_VALUE"""),"")</f>
        <v/>
      </c>
      <c r="C566" s="4" t="str">
        <f>IFERROR(__xludf.DUMMYFUNCTION("""COMPUTED_VALUE"""),"")</f>
        <v/>
      </c>
      <c r="D566" s="4" t="str">
        <f>IFERROR(__xludf.DUMMYFUNCTION("""COMPUTED_VALUE"""),"")</f>
        <v/>
      </c>
      <c r="E566" s="4" t="str">
        <f>IFERROR(__xludf.DUMMYFUNCTION("""COMPUTED_VALUE"""),"")</f>
        <v/>
      </c>
      <c r="F566" s="4" t="str">
        <f>IFERROR(__xludf.DUMMYFUNCTION("""COMPUTED_VALUE"""),"")</f>
        <v/>
      </c>
      <c r="G566" s="4" t="str">
        <f>IFERROR(__xludf.DUMMYFUNCTION("""COMPUTED_VALUE"""),"")</f>
        <v/>
      </c>
      <c r="H566" s="4" t="str">
        <f>IFERROR(__xludf.DUMMYFUNCTION("""COMPUTED_VALUE"""),"")</f>
        <v/>
      </c>
      <c r="I566" s="4" t="str">
        <f>IFERROR(__xludf.DUMMYFUNCTION("""COMPUTED_VALUE"""),"")</f>
        <v/>
      </c>
      <c r="J566" s="4" t="str">
        <f>IFERROR(__xludf.DUMMYFUNCTION("""COMPUTED_VALUE"""),"")</f>
        <v/>
      </c>
      <c r="K566" s="4" t="str">
        <f>IFERROR(__xludf.DUMMYFUNCTION("""COMPUTED_VALUE"""),"")</f>
        <v/>
      </c>
    </row>
    <row r="567">
      <c r="A567" s="4" t="str">
        <f>IFERROR(__xludf.DUMMYFUNCTION("""COMPUTED_VALUE"""),"")</f>
        <v/>
      </c>
      <c r="B567" s="4" t="str">
        <f>IFERROR(__xludf.DUMMYFUNCTION("""COMPUTED_VALUE"""),"")</f>
        <v/>
      </c>
      <c r="C567" s="4" t="str">
        <f>IFERROR(__xludf.DUMMYFUNCTION("""COMPUTED_VALUE"""),"")</f>
        <v/>
      </c>
      <c r="D567" s="4" t="str">
        <f>IFERROR(__xludf.DUMMYFUNCTION("""COMPUTED_VALUE"""),"")</f>
        <v/>
      </c>
      <c r="E567" s="4" t="str">
        <f>IFERROR(__xludf.DUMMYFUNCTION("""COMPUTED_VALUE"""),"")</f>
        <v/>
      </c>
      <c r="F567" s="4" t="str">
        <f>IFERROR(__xludf.DUMMYFUNCTION("""COMPUTED_VALUE"""),"")</f>
        <v/>
      </c>
      <c r="G567" s="4" t="str">
        <f>IFERROR(__xludf.DUMMYFUNCTION("""COMPUTED_VALUE"""),"")</f>
        <v/>
      </c>
      <c r="H567" s="4" t="str">
        <f>IFERROR(__xludf.DUMMYFUNCTION("""COMPUTED_VALUE"""),"")</f>
        <v/>
      </c>
      <c r="I567" s="4" t="str">
        <f>IFERROR(__xludf.DUMMYFUNCTION("""COMPUTED_VALUE"""),"")</f>
        <v/>
      </c>
      <c r="J567" s="4" t="str">
        <f>IFERROR(__xludf.DUMMYFUNCTION("""COMPUTED_VALUE"""),"")</f>
        <v/>
      </c>
      <c r="K567" s="4" t="str">
        <f>IFERROR(__xludf.DUMMYFUNCTION("""COMPUTED_VALUE"""),"")</f>
        <v/>
      </c>
    </row>
    <row r="568">
      <c r="A568" s="4" t="str">
        <f>IFERROR(__xludf.DUMMYFUNCTION("""COMPUTED_VALUE"""),"")</f>
        <v/>
      </c>
      <c r="B568" s="4" t="str">
        <f>IFERROR(__xludf.DUMMYFUNCTION("""COMPUTED_VALUE"""),"")</f>
        <v/>
      </c>
      <c r="C568" s="4" t="str">
        <f>IFERROR(__xludf.DUMMYFUNCTION("""COMPUTED_VALUE"""),"")</f>
        <v/>
      </c>
      <c r="D568" s="4" t="str">
        <f>IFERROR(__xludf.DUMMYFUNCTION("""COMPUTED_VALUE"""),"")</f>
        <v/>
      </c>
      <c r="E568" s="4" t="str">
        <f>IFERROR(__xludf.DUMMYFUNCTION("""COMPUTED_VALUE"""),"")</f>
        <v/>
      </c>
      <c r="F568" s="4" t="str">
        <f>IFERROR(__xludf.DUMMYFUNCTION("""COMPUTED_VALUE"""),"")</f>
        <v/>
      </c>
      <c r="G568" s="4" t="str">
        <f>IFERROR(__xludf.DUMMYFUNCTION("""COMPUTED_VALUE"""),"")</f>
        <v/>
      </c>
      <c r="H568" s="4" t="str">
        <f>IFERROR(__xludf.DUMMYFUNCTION("""COMPUTED_VALUE"""),"")</f>
        <v/>
      </c>
      <c r="I568" s="4" t="str">
        <f>IFERROR(__xludf.DUMMYFUNCTION("""COMPUTED_VALUE"""),"")</f>
        <v/>
      </c>
      <c r="J568" s="4" t="str">
        <f>IFERROR(__xludf.DUMMYFUNCTION("""COMPUTED_VALUE"""),"")</f>
        <v/>
      </c>
      <c r="K568" s="4" t="str">
        <f>IFERROR(__xludf.DUMMYFUNCTION("""COMPUTED_VALUE"""),"")</f>
        <v/>
      </c>
    </row>
    <row r="569">
      <c r="A569" s="4" t="str">
        <f>IFERROR(__xludf.DUMMYFUNCTION("""COMPUTED_VALUE"""),"")</f>
        <v/>
      </c>
      <c r="B569" s="4" t="str">
        <f>IFERROR(__xludf.DUMMYFUNCTION("""COMPUTED_VALUE"""),"")</f>
        <v/>
      </c>
      <c r="C569" s="4" t="str">
        <f>IFERROR(__xludf.DUMMYFUNCTION("""COMPUTED_VALUE"""),"")</f>
        <v/>
      </c>
      <c r="D569" s="4" t="str">
        <f>IFERROR(__xludf.DUMMYFUNCTION("""COMPUTED_VALUE"""),"")</f>
        <v/>
      </c>
      <c r="E569" s="4" t="str">
        <f>IFERROR(__xludf.DUMMYFUNCTION("""COMPUTED_VALUE"""),"")</f>
        <v/>
      </c>
      <c r="F569" s="4" t="str">
        <f>IFERROR(__xludf.DUMMYFUNCTION("""COMPUTED_VALUE"""),"")</f>
        <v/>
      </c>
      <c r="G569" s="4" t="str">
        <f>IFERROR(__xludf.DUMMYFUNCTION("""COMPUTED_VALUE"""),"")</f>
        <v/>
      </c>
      <c r="H569" s="4" t="str">
        <f>IFERROR(__xludf.DUMMYFUNCTION("""COMPUTED_VALUE"""),"")</f>
        <v/>
      </c>
      <c r="I569" s="4" t="str">
        <f>IFERROR(__xludf.DUMMYFUNCTION("""COMPUTED_VALUE"""),"")</f>
        <v/>
      </c>
      <c r="J569" s="4" t="str">
        <f>IFERROR(__xludf.DUMMYFUNCTION("""COMPUTED_VALUE"""),"")</f>
        <v/>
      </c>
      <c r="K569" s="4" t="str">
        <f>IFERROR(__xludf.DUMMYFUNCTION("""COMPUTED_VALUE"""),"")</f>
        <v/>
      </c>
    </row>
    <row r="570">
      <c r="A570" s="4" t="str">
        <f>IFERROR(__xludf.DUMMYFUNCTION("""COMPUTED_VALUE"""),"")</f>
        <v/>
      </c>
      <c r="B570" s="4" t="str">
        <f>IFERROR(__xludf.DUMMYFUNCTION("""COMPUTED_VALUE"""),"")</f>
        <v/>
      </c>
      <c r="C570" s="4" t="str">
        <f>IFERROR(__xludf.DUMMYFUNCTION("""COMPUTED_VALUE"""),"")</f>
        <v/>
      </c>
      <c r="D570" s="4" t="str">
        <f>IFERROR(__xludf.DUMMYFUNCTION("""COMPUTED_VALUE"""),"")</f>
        <v/>
      </c>
      <c r="E570" s="4" t="str">
        <f>IFERROR(__xludf.DUMMYFUNCTION("""COMPUTED_VALUE"""),"")</f>
        <v/>
      </c>
      <c r="F570" s="4" t="str">
        <f>IFERROR(__xludf.DUMMYFUNCTION("""COMPUTED_VALUE"""),"")</f>
        <v/>
      </c>
      <c r="G570" s="4" t="str">
        <f>IFERROR(__xludf.DUMMYFUNCTION("""COMPUTED_VALUE"""),"")</f>
        <v/>
      </c>
      <c r="H570" s="4" t="str">
        <f>IFERROR(__xludf.DUMMYFUNCTION("""COMPUTED_VALUE"""),"")</f>
        <v/>
      </c>
      <c r="I570" s="4" t="str">
        <f>IFERROR(__xludf.DUMMYFUNCTION("""COMPUTED_VALUE"""),"")</f>
        <v/>
      </c>
      <c r="J570" s="4" t="str">
        <f>IFERROR(__xludf.DUMMYFUNCTION("""COMPUTED_VALUE"""),"")</f>
        <v/>
      </c>
      <c r="K570" s="4" t="str">
        <f>IFERROR(__xludf.DUMMYFUNCTION("""COMPUTED_VALUE"""),"")</f>
        <v/>
      </c>
    </row>
    <row r="571">
      <c r="A571" s="4" t="str">
        <f>IFERROR(__xludf.DUMMYFUNCTION("""COMPUTED_VALUE"""),"")</f>
        <v/>
      </c>
      <c r="B571" s="4" t="str">
        <f>IFERROR(__xludf.DUMMYFUNCTION("""COMPUTED_VALUE"""),"")</f>
        <v/>
      </c>
      <c r="C571" s="4" t="str">
        <f>IFERROR(__xludf.DUMMYFUNCTION("""COMPUTED_VALUE"""),"")</f>
        <v/>
      </c>
      <c r="D571" s="4" t="str">
        <f>IFERROR(__xludf.DUMMYFUNCTION("""COMPUTED_VALUE"""),"")</f>
        <v/>
      </c>
      <c r="E571" s="4" t="str">
        <f>IFERROR(__xludf.DUMMYFUNCTION("""COMPUTED_VALUE"""),"")</f>
        <v/>
      </c>
      <c r="F571" s="4" t="str">
        <f>IFERROR(__xludf.DUMMYFUNCTION("""COMPUTED_VALUE"""),"")</f>
        <v/>
      </c>
      <c r="G571" s="4" t="str">
        <f>IFERROR(__xludf.DUMMYFUNCTION("""COMPUTED_VALUE"""),"")</f>
        <v/>
      </c>
      <c r="H571" s="4" t="str">
        <f>IFERROR(__xludf.DUMMYFUNCTION("""COMPUTED_VALUE"""),"")</f>
        <v/>
      </c>
      <c r="I571" s="4" t="str">
        <f>IFERROR(__xludf.DUMMYFUNCTION("""COMPUTED_VALUE"""),"")</f>
        <v/>
      </c>
      <c r="J571" s="4" t="str">
        <f>IFERROR(__xludf.DUMMYFUNCTION("""COMPUTED_VALUE"""),"")</f>
        <v/>
      </c>
      <c r="K571" s="4" t="str">
        <f>IFERROR(__xludf.DUMMYFUNCTION("""COMPUTED_VALUE"""),"")</f>
        <v/>
      </c>
    </row>
    <row r="572">
      <c r="A572" s="4" t="str">
        <f>IFERROR(__xludf.DUMMYFUNCTION("""COMPUTED_VALUE"""),"")</f>
        <v/>
      </c>
      <c r="B572" s="4" t="str">
        <f>IFERROR(__xludf.DUMMYFUNCTION("""COMPUTED_VALUE"""),"")</f>
        <v/>
      </c>
      <c r="C572" s="4" t="str">
        <f>IFERROR(__xludf.DUMMYFUNCTION("""COMPUTED_VALUE"""),"")</f>
        <v/>
      </c>
      <c r="D572" s="4" t="str">
        <f>IFERROR(__xludf.DUMMYFUNCTION("""COMPUTED_VALUE"""),"")</f>
        <v/>
      </c>
      <c r="E572" s="4" t="str">
        <f>IFERROR(__xludf.DUMMYFUNCTION("""COMPUTED_VALUE"""),"")</f>
        <v/>
      </c>
      <c r="F572" s="4" t="str">
        <f>IFERROR(__xludf.DUMMYFUNCTION("""COMPUTED_VALUE"""),"")</f>
        <v/>
      </c>
      <c r="G572" s="4" t="str">
        <f>IFERROR(__xludf.DUMMYFUNCTION("""COMPUTED_VALUE"""),"")</f>
        <v/>
      </c>
      <c r="H572" s="4" t="str">
        <f>IFERROR(__xludf.DUMMYFUNCTION("""COMPUTED_VALUE"""),"")</f>
        <v/>
      </c>
      <c r="I572" s="4" t="str">
        <f>IFERROR(__xludf.DUMMYFUNCTION("""COMPUTED_VALUE"""),"")</f>
        <v/>
      </c>
      <c r="J572" s="4" t="str">
        <f>IFERROR(__xludf.DUMMYFUNCTION("""COMPUTED_VALUE"""),"")</f>
        <v/>
      </c>
      <c r="K572" s="4" t="str">
        <f>IFERROR(__xludf.DUMMYFUNCTION("""COMPUTED_VALUE"""),"")</f>
        <v/>
      </c>
    </row>
    <row r="573">
      <c r="A573" s="4" t="str">
        <f>IFERROR(__xludf.DUMMYFUNCTION("""COMPUTED_VALUE"""),"")</f>
        <v/>
      </c>
      <c r="B573" s="4" t="str">
        <f>IFERROR(__xludf.DUMMYFUNCTION("""COMPUTED_VALUE"""),"")</f>
        <v/>
      </c>
      <c r="C573" s="4" t="str">
        <f>IFERROR(__xludf.DUMMYFUNCTION("""COMPUTED_VALUE"""),"")</f>
        <v/>
      </c>
      <c r="D573" s="4" t="str">
        <f>IFERROR(__xludf.DUMMYFUNCTION("""COMPUTED_VALUE"""),"")</f>
        <v/>
      </c>
      <c r="E573" s="4" t="str">
        <f>IFERROR(__xludf.DUMMYFUNCTION("""COMPUTED_VALUE"""),"")</f>
        <v/>
      </c>
      <c r="F573" s="4" t="str">
        <f>IFERROR(__xludf.DUMMYFUNCTION("""COMPUTED_VALUE"""),"")</f>
        <v/>
      </c>
      <c r="G573" s="4" t="str">
        <f>IFERROR(__xludf.DUMMYFUNCTION("""COMPUTED_VALUE"""),"")</f>
        <v/>
      </c>
      <c r="H573" s="4" t="str">
        <f>IFERROR(__xludf.DUMMYFUNCTION("""COMPUTED_VALUE"""),"")</f>
        <v/>
      </c>
      <c r="I573" s="4" t="str">
        <f>IFERROR(__xludf.DUMMYFUNCTION("""COMPUTED_VALUE"""),"")</f>
        <v/>
      </c>
      <c r="J573" s="4" t="str">
        <f>IFERROR(__xludf.DUMMYFUNCTION("""COMPUTED_VALUE"""),"")</f>
        <v/>
      </c>
      <c r="K573" s="4" t="str">
        <f>IFERROR(__xludf.DUMMYFUNCTION("""COMPUTED_VALUE"""),"")</f>
        <v/>
      </c>
    </row>
    <row r="574">
      <c r="A574" s="4" t="str">
        <f>IFERROR(__xludf.DUMMYFUNCTION("""COMPUTED_VALUE"""),"")</f>
        <v/>
      </c>
      <c r="B574" s="4" t="str">
        <f>IFERROR(__xludf.DUMMYFUNCTION("""COMPUTED_VALUE"""),"")</f>
        <v/>
      </c>
      <c r="C574" s="4" t="str">
        <f>IFERROR(__xludf.DUMMYFUNCTION("""COMPUTED_VALUE"""),"")</f>
        <v/>
      </c>
      <c r="D574" s="4" t="str">
        <f>IFERROR(__xludf.DUMMYFUNCTION("""COMPUTED_VALUE"""),"")</f>
        <v/>
      </c>
      <c r="E574" s="4" t="str">
        <f>IFERROR(__xludf.DUMMYFUNCTION("""COMPUTED_VALUE"""),"")</f>
        <v/>
      </c>
      <c r="F574" s="4" t="str">
        <f>IFERROR(__xludf.DUMMYFUNCTION("""COMPUTED_VALUE"""),"")</f>
        <v/>
      </c>
      <c r="G574" s="4" t="str">
        <f>IFERROR(__xludf.DUMMYFUNCTION("""COMPUTED_VALUE"""),"")</f>
        <v/>
      </c>
      <c r="H574" s="4" t="str">
        <f>IFERROR(__xludf.DUMMYFUNCTION("""COMPUTED_VALUE"""),"")</f>
        <v/>
      </c>
      <c r="I574" s="4" t="str">
        <f>IFERROR(__xludf.DUMMYFUNCTION("""COMPUTED_VALUE"""),"")</f>
        <v/>
      </c>
      <c r="J574" s="4" t="str">
        <f>IFERROR(__xludf.DUMMYFUNCTION("""COMPUTED_VALUE"""),"")</f>
        <v/>
      </c>
      <c r="K574" s="4" t="str">
        <f>IFERROR(__xludf.DUMMYFUNCTION("""COMPUTED_VALUE"""),"")</f>
        <v/>
      </c>
    </row>
    <row r="575">
      <c r="A575" s="4" t="str">
        <f>IFERROR(__xludf.DUMMYFUNCTION("""COMPUTED_VALUE"""),"")</f>
        <v/>
      </c>
      <c r="B575" s="4" t="str">
        <f>IFERROR(__xludf.DUMMYFUNCTION("""COMPUTED_VALUE"""),"")</f>
        <v/>
      </c>
      <c r="C575" s="4" t="str">
        <f>IFERROR(__xludf.DUMMYFUNCTION("""COMPUTED_VALUE"""),"")</f>
        <v/>
      </c>
      <c r="D575" s="4" t="str">
        <f>IFERROR(__xludf.DUMMYFUNCTION("""COMPUTED_VALUE"""),"")</f>
        <v/>
      </c>
      <c r="E575" s="4" t="str">
        <f>IFERROR(__xludf.DUMMYFUNCTION("""COMPUTED_VALUE"""),"")</f>
        <v/>
      </c>
      <c r="F575" s="4" t="str">
        <f>IFERROR(__xludf.DUMMYFUNCTION("""COMPUTED_VALUE"""),"")</f>
        <v/>
      </c>
      <c r="G575" s="4" t="str">
        <f>IFERROR(__xludf.DUMMYFUNCTION("""COMPUTED_VALUE"""),"")</f>
        <v/>
      </c>
      <c r="H575" s="4" t="str">
        <f>IFERROR(__xludf.DUMMYFUNCTION("""COMPUTED_VALUE"""),"")</f>
        <v/>
      </c>
      <c r="I575" s="4" t="str">
        <f>IFERROR(__xludf.DUMMYFUNCTION("""COMPUTED_VALUE"""),"")</f>
        <v/>
      </c>
      <c r="J575" s="4" t="str">
        <f>IFERROR(__xludf.DUMMYFUNCTION("""COMPUTED_VALUE"""),"")</f>
        <v/>
      </c>
      <c r="K575" s="4" t="str">
        <f>IFERROR(__xludf.DUMMYFUNCTION("""COMPUTED_VALUE"""),"")</f>
        <v/>
      </c>
    </row>
    <row r="576">
      <c r="A576" s="4" t="str">
        <f>IFERROR(__xludf.DUMMYFUNCTION("""COMPUTED_VALUE"""),"")</f>
        <v/>
      </c>
      <c r="B576" s="4" t="str">
        <f>IFERROR(__xludf.DUMMYFUNCTION("""COMPUTED_VALUE"""),"")</f>
        <v/>
      </c>
      <c r="C576" s="4" t="str">
        <f>IFERROR(__xludf.DUMMYFUNCTION("""COMPUTED_VALUE"""),"")</f>
        <v/>
      </c>
      <c r="D576" s="4" t="str">
        <f>IFERROR(__xludf.DUMMYFUNCTION("""COMPUTED_VALUE"""),"")</f>
        <v/>
      </c>
      <c r="E576" s="4" t="str">
        <f>IFERROR(__xludf.DUMMYFUNCTION("""COMPUTED_VALUE"""),"")</f>
        <v/>
      </c>
      <c r="F576" s="4" t="str">
        <f>IFERROR(__xludf.DUMMYFUNCTION("""COMPUTED_VALUE"""),"")</f>
        <v/>
      </c>
      <c r="G576" s="4" t="str">
        <f>IFERROR(__xludf.DUMMYFUNCTION("""COMPUTED_VALUE"""),"")</f>
        <v/>
      </c>
      <c r="H576" s="4" t="str">
        <f>IFERROR(__xludf.DUMMYFUNCTION("""COMPUTED_VALUE"""),"")</f>
        <v/>
      </c>
      <c r="I576" s="4" t="str">
        <f>IFERROR(__xludf.DUMMYFUNCTION("""COMPUTED_VALUE"""),"")</f>
        <v/>
      </c>
      <c r="J576" s="4" t="str">
        <f>IFERROR(__xludf.DUMMYFUNCTION("""COMPUTED_VALUE"""),"")</f>
        <v/>
      </c>
      <c r="K576" s="4" t="str">
        <f>IFERROR(__xludf.DUMMYFUNCTION("""COMPUTED_VALUE"""),"")</f>
        <v/>
      </c>
    </row>
    <row r="577">
      <c r="A577" s="4" t="str">
        <f>IFERROR(__xludf.DUMMYFUNCTION("""COMPUTED_VALUE"""),"")</f>
        <v/>
      </c>
      <c r="B577" s="4" t="str">
        <f>IFERROR(__xludf.DUMMYFUNCTION("""COMPUTED_VALUE"""),"")</f>
        <v/>
      </c>
      <c r="C577" s="4" t="str">
        <f>IFERROR(__xludf.DUMMYFUNCTION("""COMPUTED_VALUE"""),"")</f>
        <v/>
      </c>
      <c r="D577" s="4" t="str">
        <f>IFERROR(__xludf.DUMMYFUNCTION("""COMPUTED_VALUE"""),"")</f>
        <v/>
      </c>
      <c r="E577" s="4" t="str">
        <f>IFERROR(__xludf.DUMMYFUNCTION("""COMPUTED_VALUE"""),"")</f>
        <v/>
      </c>
      <c r="F577" s="4" t="str">
        <f>IFERROR(__xludf.DUMMYFUNCTION("""COMPUTED_VALUE"""),"")</f>
        <v/>
      </c>
      <c r="G577" s="4" t="str">
        <f>IFERROR(__xludf.DUMMYFUNCTION("""COMPUTED_VALUE"""),"")</f>
        <v/>
      </c>
      <c r="H577" s="4" t="str">
        <f>IFERROR(__xludf.DUMMYFUNCTION("""COMPUTED_VALUE"""),"")</f>
        <v/>
      </c>
      <c r="I577" s="4" t="str">
        <f>IFERROR(__xludf.DUMMYFUNCTION("""COMPUTED_VALUE"""),"")</f>
        <v/>
      </c>
      <c r="J577" s="4" t="str">
        <f>IFERROR(__xludf.DUMMYFUNCTION("""COMPUTED_VALUE"""),"")</f>
        <v/>
      </c>
      <c r="K577" s="4" t="str">
        <f>IFERROR(__xludf.DUMMYFUNCTION("""COMPUTED_VALUE"""),"")</f>
        <v/>
      </c>
    </row>
    <row r="578">
      <c r="A578" s="4" t="str">
        <f>IFERROR(__xludf.DUMMYFUNCTION("""COMPUTED_VALUE"""),"")</f>
        <v/>
      </c>
      <c r="B578" s="4" t="str">
        <f>IFERROR(__xludf.DUMMYFUNCTION("""COMPUTED_VALUE"""),"")</f>
        <v/>
      </c>
      <c r="C578" s="4" t="str">
        <f>IFERROR(__xludf.DUMMYFUNCTION("""COMPUTED_VALUE"""),"")</f>
        <v/>
      </c>
      <c r="D578" s="4" t="str">
        <f>IFERROR(__xludf.DUMMYFUNCTION("""COMPUTED_VALUE"""),"")</f>
        <v/>
      </c>
      <c r="E578" s="4" t="str">
        <f>IFERROR(__xludf.DUMMYFUNCTION("""COMPUTED_VALUE"""),"")</f>
        <v/>
      </c>
      <c r="F578" s="4" t="str">
        <f>IFERROR(__xludf.DUMMYFUNCTION("""COMPUTED_VALUE"""),"")</f>
        <v/>
      </c>
      <c r="G578" s="4" t="str">
        <f>IFERROR(__xludf.DUMMYFUNCTION("""COMPUTED_VALUE"""),"")</f>
        <v/>
      </c>
      <c r="H578" s="4" t="str">
        <f>IFERROR(__xludf.DUMMYFUNCTION("""COMPUTED_VALUE"""),"")</f>
        <v/>
      </c>
      <c r="I578" s="4" t="str">
        <f>IFERROR(__xludf.DUMMYFUNCTION("""COMPUTED_VALUE"""),"")</f>
        <v/>
      </c>
      <c r="J578" s="4" t="str">
        <f>IFERROR(__xludf.DUMMYFUNCTION("""COMPUTED_VALUE"""),"")</f>
        <v/>
      </c>
      <c r="K578" s="4" t="str">
        <f>IFERROR(__xludf.DUMMYFUNCTION("""COMPUTED_VALUE"""),"")</f>
        <v/>
      </c>
    </row>
    <row r="579">
      <c r="A579" s="4" t="str">
        <f>IFERROR(__xludf.DUMMYFUNCTION("""COMPUTED_VALUE"""),"")</f>
        <v/>
      </c>
      <c r="B579" s="4" t="str">
        <f>IFERROR(__xludf.DUMMYFUNCTION("""COMPUTED_VALUE"""),"")</f>
        <v/>
      </c>
      <c r="C579" s="4" t="str">
        <f>IFERROR(__xludf.DUMMYFUNCTION("""COMPUTED_VALUE"""),"")</f>
        <v/>
      </c>
      <c r="D579" s="4" t="str">
        <f>IFERROR(__xludf.DUMMYFUNCTION("""COMPUTED_VALUE"""),"")</f>
        <v/>
      </c>
      <c r="E579" s="4" t="str">
        <f>IFERROR(__xludf.DUMMYFUNCTION("""COMPUTED_VALUE"""),"")</f>
        <v/>
      </c>
      <c r="F579" s="4" t="str">
        <f>IFERROR(__xludf.DUMMYFUNCTION("""COMPUTED_VALUE"""),"")</f>
        <v/>
      </c>
      <c r="G579" s="4" t="str">
        <f>IFERROR(__xludf.DUMMYFUNCTION("""COMPUTED_VALUE"""),"")</f>
        <v/>
      </c>
      <c r="H579" s="4" t="str">
        <f>IFERROR(__xludf.DUMMYFUNCTION("""COMPUTED_VALUE"""),"")</f>
        <v/>
      </c>
      <c r="I579" s="4" t="str">
        <f>IFERROR(__xludf.DUMMYFUNCTION("""COMPUTED_VALUE"""),"")</f>
        <v/>
      </c>
      <c r="J579" s="4" t="str">
        <f>IFERROR(__xludf.DUMMYFUNCTION("""COMPUTED_VALUE"""),"")</f>
        <v/>
      </c>
      <c r="K579" s="4" t="str">
        <f>IFERROR(__xludf.DUMMYFUNCTION("""COMPUTED_VALUE"""),"")</f>
        <v/>
      </c>
    </row>
    <row r="580">
      <c r="A580" s="4" t="str">
        <f>IFERROR(__xludf.DUMMYFUNCTION("""COMPUTED_VALUE"""),"")</f>
        <v/>
      </c>
      <c r="B580" s="4" t="str">
        <f>IFERROR(__xludf.DUMMYFUNCTION("""COMPUTED_VALUE"""),"")</f>
        <v/>
      </c>
      <c r="C580" s="4" t="str">
        <f>IFERROR(__xludf.DUMMYFUNCTION("""COMPUTED_VALUE"""),"")</f>
        <v/>
      </c>
      <c r="D580" s="4" t="str">
        <f>IFERROR(__xludf.DUMMYFUNCTION("""COMPUTED_VALUE"""),"")</f>
        <v/>
      </c>
      <c r="E580" s="4" t="str">
        <f>IFERROR(__xludf.DUMMYFUNCTION("""COMPUTED_VALUE"""),"")</f>
        <v/>
      </c>
      <c r="F580" s="4" t="str">
        <f>IFERROR(__xludf.DUMMYFUNCTION("""COMPUTED_VALUE"""),"")</f>
        <v/>
      </c>
      <c r="G580" s="4" t="str">
        <f>IFERROR(__xludf.DUMMYFUNCTION("""COMPUTED_VALUE"""),"")</f>
        <v/>
      </c>
      <c r="H580" s="4" t="str">
        <f>IFERROR(__xludf.DUMMYFUNCTION("""COMPUTED_VALUE"""),"")</f>
        <v/>
      </c>
      <c r="I580" s="4" t="str">
        <f>IFERROR(__xludf.DUMMYFUNCTION("""COMPUTED_VALUE"""),"")</f>
        <v/>
      </c>
      <c r="J580" s="4" t="str">
        <f>IFERROR(__xludf.DUMMYFUNCTION("""COMPUTED_VALUE"""),"")</f>
        <v/>
      </c>
      <c r="K580" s="4" t="str">
        <f>IFERROR(__xludf.DUMMYFUNCTION("""COMPUTED_VALUE"""),"")</f>
        <v/>
      </c>
    </row>
    <row r="581">
      <c r="A581" s="4" t="str">
        <f>IFERROR(__xludf.DUMMYFUNCTION("""COMPUTED_VALUE"""),"")</f>
        <v/>
      </c>
      <c r="B581" s="4" t="str">
        <f>IFERROR(__xludf.DUMMYFUNCTION("""COMPUTED_VALUE"""),"")</f>
        <v/>
      </c>
      <c r="C581" s="4" t="str">
        <f>IFERROR(__xludf.DUMMYFUNCTION("""COMPUTED_VALUE"""),"")</f>
        <v/>
      </c>
      <c r="D581" s="4" t="str">
        <f>IFERROR(__xludf.DUMMYFUNCTION("""COMPUTED_VALUE"""),"")</f>
        <v/>
      </c>
      <c r="E581" s="4" t="str">
        <f>IFERROR(__xludf.DUMMYFUNCTION("""COMPUTED_VALUE"""),"")</f>
        <v/>
      </c>
      <c r="F581" s="4" t="str">
        <f>IFERROR(__xludf.DUMMYFUNCTION("""COMPUTED_VALUE"""),"")</f>
        <v/>
      </c>
      <c r="G581" s="4" t="str">
        <f>IFERROR(__xludf.DUMMYFUNCTION("""COMPUTED_VALUE"""),"")</f>
        <v/>
      </c>
      <c r="H581" s="4" t="str">
        <f>IFERROR(__xludf.DUMMYFUNCTION("""COMPUTED_VALUE"""),"")</f>
        <v/>
      </c>
      <c r="I581" s="4" t="str">
        <f>IFERROR(__xludf.DUMMYFUNCTION("""COMPUTED_VALUE"""),"")</f>
        <v/>
      </c>
      <c r="J581" s="4" t="str">
        <f>IFERROR(__xludf.DUMMYFUNCTION("""COMPUTED_VALUE"""),"")</f>
        <v/>
      </c>
      <c r="K581" s="4" t="str">
        <f>IFERROR(__xludf.DUMMYFUNCTION("""COMPUTED_VALUE"""),"")</f>
        <v/>
      </c>
    </row>
    <row r="582">
      <c r="A582" s="4" t="str">
        <f>IFERROR(__xludf.DUMMYFUNCTION("""COMPUTED_VALUE"""),"")</f>
        <v/>
      </c>
      <c r="B582" s="4" t="str">
        <f>IFERROR(__xludf.DUMMYFUNCTION("""COMPUTED_VALUE"""),"")</f>
        <v/>
      </c>
      <c r="C582" s="4" t="str">
        <f>IFERROR(__xludf.DUMMYFUNCTION("""COMPUTED_VALUE"""),"")</f>
        <v/>
      </c>
      <c r="D582" s="4" t="str">
        <f>IFERROR(__xludf.DUMMYFUNCTION("""COMPUTED_VALUE"""),"")</f>
        <v/>
      </c>
      <c r="E582" s="4" t="str">
        <f>IFERROR(__xludf.DUMMYFUNCTION("""COMPUTED_VALUE"""),"")</f>
        <v/>
      </c>
      <c r="F582" s="4" t="str">
        <f>IFERROR(__xludf.DUMMYFUNCTION("""COMPUTED_VALUE"""),"")</f>
        <v/>
      </c>
      <c r="G582" s="4" t="str">
        <f>IFERROR(__xludf.DUMMYFUNCTION("""COMPUTED_VALUE"""),"")</f>
        <v/>
      </c>
      <c r="H582" s="4" t="str">
        <f>IFERROR(__xludf.DUMMYFUNCTION("""COMPUTED_VALUE"""),"")</f>
        <v/>
      </c>
      <c r="I582" s="4" t="str">
        <f>IFERROR(__xludf.DUMMYFUNCTION("""COMPUTED_VALUE"""),"")</f>
        <v/>
      </c>
      <c r="J582" s="4" t="str">
        <f>IFERROR(__xludf.DUMMYFUNCTION("""COMPUTED_VALUE"""),"")</f>
        <v/>
      </c>
      <c r="K582" s="4" t="str">
        <f>IFERROR(__xludf.DUMMYFUNCTION("""COMPUTED_VALUE"""),"")</f>
        <v/>
      </c>
    </row>
    <row r="583">
      <c r="A583" s="4" t="str">
        <f>IFERROR(__xludf.DUMMYFUNCTION("""COMPUTED_VALUE"""),"")</f>
        <v/>
      </c>
      <c r="B583" s="4" t="str">
        <f>IFERROR(__xludf.DUMMYFUNCTION("""COMPUTED_VALUE"""),"")</f>
        <v/>
      </c>
      <c r="C583" s="4" t="str">
        <f>IFERROR(__xludf.DUMMYFUNCTION("""COMPUTED_VALUE"""),"")</f>
        <v/>
      </c>
      <c r="D583" s="4" t="str">
        <f>IFERROR(__xludf.DUMMYFUNCTION("""COMPUTED_VALUE"""),"")</f>
        <v/>
      </c>
      <c r="E583" s="4" t="str">
        <f>IFERROR(__xludf.DUMMYFUNCTION("""COMPUTED_VALUE"""),"")</f>
        <v/>
      </c>
      <c r="F583" s="4" t="str">
        <f>IFERROR(__xludf.DUMMYFUNCTION("""COMPUTED_VALUE"""),"")</f>
        <v/>
      </c>
      <c r="G583" s="4" t="str">
        <f>IFERROR(__xludf.DUMMYFUNCTION("""COMPUTED_VALUE"""),"")</f>
        <v/>
      </c>
      <c r="H583" s="4" t="str">
        <f>IFERROR(__xludf.DUMMYFUNCTION("""COMPUTED_VALUE"""),"")</f>
        <v/>
      </c>
      <c r="I583" s="4" t="str">
        <f>IFERROR(__xludf.DUMMYFUNCTION("""COMPUTED_VALUE"""),"")</f>
        <v/>
      </c>
      <c r="J583" s="4" t="str">
        <f>IFERROR(__xludf.DUMMYFUNCTION("""COMPUTED_VALUE"""),"")</f>
        <v/>
      </c>
      <c r="K583" s="4" t="str">
        <f>IFERROR(__xludf.DUMMYFUNCTION("""COMPUTED_VALUE"""),"")</f>
        <v/>
      </c>
    </row>
    <row r="584">
      <c r="A584" s="4" t="str">
        <f>IFERROR(__xludf.DUMMYFUNCTION("""COMPUTED_VALUE"""),"")</f>
        <v/>
      </c>
      <c r="B584" s="4" t="str">
        <f>IFERROR(__xludf.DUMMYFUNCTION("""COMPUTED_VALUE"""),"")</f>
        <v/>
      </c>
      <c r="C584" s="4" t="str">
        <f>IFERROR(__xludf.DUMMYFUNCTION("""COMPUTED_VALUE"""),"")</f>
        <v/>
      </c>
      <c r="D584" s="4" t="str">
        <f>IFERROR(__xludf.DUMMYFUNCTION("""COMPUTED_VALUE"""),"")</f>
        <v/>
      </c>
      <c r="E584" s="4" t="str">
        <f>IFERROR(__xludf.DUMMYFUNCTION("""COMPUTED_VALUE"""),"")</f>
        <v/>
      </c>
      <c r="F584" s="4" t="str">
        <f>IFERROR(__xludf.DUMMYFUNCTION("""COMPUTED_VALUE"""),"")</f>
        <v/>
      </c>
      <c r="G584" s="4" t="str">
        <f>IFERROR(__xludf.DUMMYFUNCTION("""COMPUTED_VALUE"""),"")</f>
        <v/>
      </c>
      <c r="H584" s="4" t="str">
        <f>IFERROR(__xludf.DUMMYFUNCTION("""COMPUTED_VALUE"""),"")</f>
        <v/>
      </c>
      <c r="I584" s="4" t="str">
        <f>IFERROR(__xludf.DUMMYFUNCTION("""COMPUTED_VALUE"""),"")</f>
        <v/>
      </c>
      <c r="J584" s="4" t="str">
        <f>IFERROR(__xludf.DUMMYFUNCTION("""COMPUTED_VALUE"""),"")</f>
        <v/>
      </c>
      <c r="K584" s="4" t="str">
        <f>IFERROR(__xludf.DUMMYFUNCTION("""COMPUTED_VALUE"""),"")</f>
        <v/>
      </c>
    </row>
    <row r="585">
      <c r="A585" s="4" t="str">
        <f>IFERROR(__xludf.DUMMYFUNCTION("""COMPUTED_VALUE"""),"")</f>
        <v/>
      </c>
      <c r="B585" s="4" t="str">
        <f>IFERROR(__xludf.DUMMYFUNCTION("""COMPUTED_VALUE"""),"")</f>
        <v/>
      </c>
      <c r="C585" s="4" t="str">
        <f>IFERROR(__xludf.DUMMYFUNCTION("""COMPUTED_VALUE"""),"")</f>
        <v/>
      </c>
      <c r="D585" s="4" t="str">
        <f>IFERROR(__xludf.DUMMYFUNCTION("""COMPUTED_VALUE"""),"")</f>
        <v/>
      </c>
      <c r="E585" s="4" t="str">
        <f>IFERROR(__xludf.DUMMYFUNCTION("""COMPUTED_VALUE"""),"")</f>
        <v/>
      </c>
      <c r="F585" s="4" t="str">
        <f>IFERROR(__xludf.DUMMYFUNCTION("""COMPUTED_VALUE"""),"")</f>
        <v/>
      </c>
      <c r="G585" s="4" t="str">
        <f>IFERROR(__xludf.DUMMYFUNCTION("""COMPUTED_VALUE"""),"")</f>
        <v/>
      </c>
      <c r="H585" s="4" t="str">
        <f>IFERROR(__xludf.DUMMYFUNCTION("""COMPUTED_VALUE"""),"")</f>
        <v/>
      </c>
      <c r="I585" s="4" t="str">
        <f>IFERROR(__xludf.DUMMYFUNCTION("""COMPUTED_VALUE"""),"")</f>
        <v/>
      </c>
      <c r="J585" s="4" t="str">
        <f>IFERROR(__xludf.DUMMYFUNCTION("""COMPUTED_VALUE"""),"")</f>
        <v/>
      </c>
      <c r="K585" s="4" t="str">
        <f>IFERROR(__xludf.DUMMYFUNCTION("""COMPUTED_VALUE"""),"")</f>
        <v/>
      </c>
    </row>
    <row r="586">
      <c r="A586" s="4" t="str">
        <f>IFERROR(__xludf.DUMMYFUNCTION("""COMPUTED_VALUE"""),"")</f>
        <v/>
      </c>
      <c r="B586" s="4" t="str">
        <f>IFERROR(__xludf.DUMMYFUNCTION("""COMPUTED_VALUE"""),"")</f>
        <v/>
      </c>
      <c r="C586" s="4" t="str">
        <f>IFERROR(__xludf.DUMMYFUNCTION("""COMPUTED_VALUE"""),"")</f>
        <v/>
      </c>
      <c r="D586" s="4" t="str">
        <f>IFERROR(__xludf.DUMMYFUNCTION("""COMPUTED_VALUE"""),"")</f>
        <v/>
      </c>
      <c r="E586" s="4" t="str">
        <f>IFERROR(__xludf.DUMMYFUNCTION("""COMPUTED_VALUE"""),"")</f>
        <v/>
      </c>
      <c r="F586" s="4" t="str">
        <f>IFERROR(__xludf.DUMMYFUNCTION("""COMPUTED_VALUE"""),"")</f>
        <v/>
      </c>
      <c r="G586" s="4" t="str">
        <f>IFERROR(__xludf.DUMMYFUNCTION("""COMPUTED_VALUE"""),"")</f>
        <v/>
      </c>
      <c r="H586" s="4" t="str">
        <f>IFERROR(__xludf.DUMMYFUNCTION("""COMPUTED_VALUE"""),"")</f>
        <v/>
      </c>
      <c r="I586" s="4" t="str">
        <f>IFERROR(__xludf.DUMMYFUNCTION("""COMPUTED_VALUE"""),"")</f>
        <v/>
      </c>
      <c r="J586" s="4" t="str">
        <f>IFERROR(__xludf.DUMMYFUNCTION("""COMPUTED_VALUE"""),"")</f>
        <v/>
      </c>
      <c r="K586" s="4" t="str">
        <f>IFERROR(__xludf.DUMMYFUNCTION("""COMPUTED_VALUE"""),"")</f>
        <v/>
      </c>
    </row>
    <row r="587">
      <c r="A587" s="4" t="str">
        <f>IFERROR(__xludf.DUMMYFUNCTION("""COMPUTED_VALUE"""),"")</f>
        <v/>
      </c>
      <c r="B587" s="4" t="str">
        <f>IFERROR(__xludf.DUMMYFUNCTION("""COMPUTED_VALUE"""),"")</f>
        <v/>
      </c>
      <c r="C587" s="4" t="str">
        <f>IFERROR(__xludf.DUMMYFUNCTION("""COMPUTED_VALUE"""),"")</f>
        <v/>
      </c>
      <c r="D587" s="4" t="str">
        <f>IFERROR(__xludf.DUMMYFUNCTION("""COMPUTED_VALUE"""),"")</f>
        <v/>
      </c>
      <c r="E587" s="4" t="str">
        <f>IFERROR(__xludf.DUMMYFUNCTION("""COMPUTED_VALUE"""),"")</f>
        <v/>
      </c>
      <c r="F587" s="4" t="str">
        <f>IFERROR(__xludf.DUMMYFUNCTION("""COMPUTED_VALUE"""),"")</f>
        <v/>
      </c>
      <c r="G587" s="4" t="str">
        <f>IFERROR(__xludf.DUMMYFUNCTION("""COMPUTED_VALUE"""),"")</f>
        <v/>
      </c>
      <c r="H587" s="4" t="str">
        <f>IFERROR(__xludf.DUMMYFUNCTION("""COMPUTED_VALUE"""),"")</f>
        <v/>
      </c>
      <c r="I587" s="4" t="str">
        <f>IFERROR(__xludf.DUMMYFUNCTION("""COMPUTED_VALUE"""),"")</f>
        <v/>
      </c>
      <c r="J587" s="4" t="str">
        <f>IFERROR(__xludf.DUMMYFUNCTION("""COMPUTED_VALUE"""),"")</f>
        <v/>
      </c>
      <c r="K587" s="4" t="str">
        <f>IFERROR(__xludf.DUMMYFUNCTION("""COMPUTED_VALUE"""),"")</f>
        <v/>
      </c>
    </row>
    <row r="588">
      <c r="A588" s="4" t="str">
        <f>IFERROR(__xludf.DUMMYFUNCTION("""COMPUTED_VALUE"""),"")</f>
        <v/>
      </c>
      <c r="B588" s="4" t="str">
        <f>IFERROR(__xludf.DUMMYFUNCTION("""COMPUTED_VALUE"""),"")</f>
        <v/>
      </c>
      <c r="C588" s="4" t="str">
        <f>IFERROR(__xludf.DUMMYFUNCTION("""COMPUTED_VALUE"""),"")</f>
        <v/>
      </c>
      <c r="D588" s="4" t="str">
        <f>IFERROR(__xludf.DUMMYFUNCTION("""COMPUTED_VALUE"""),"")</f>
        <v/>
      </c>
      <c r="E588" s="4" t="str">
        <f>IFERROR(__xludf.DUMMYFUNCTION("""COMPUTED_VALUE"""),"")</f>
        <v/>
      </c>
      <c r="F588" s="4" t="str">
        <f>IFERROR(__xludf.DUMMYFUNCTION("""COMPUTED_VALUE"""),"")</f>
        <v/>
      </c>
      <c r="G588" s="4" t="str">
        <f>IFERROR(__xludf.DUMMYFUNCTION("""COMPUTED_VALUE"""),"")</f>
        <v/>
      </c>
      <c r="H588" s="4" t="str">
        <f>IFERROR(__xludf.DUMMYFUNCTION("""COMPUTED_VALUE"""),"")</f>
        <v/>
      </c>
      <c r="I588" s="4" t="str">
        <f>IFERROR(__xludf.DUMMYFUNCTION("""COMPUTED_VALUE"""),"")</f>
        <v/>
      </c>
      <c r="J588" s="4" t="str">
        <f>IFERROR(__xludf.DUMMYFUNCTION("""COMPUTED_VALUE"""),"")</f>
        <v/>
      </c>
      <c r="K588" s="4" t="str">
        <f>IFERROR(__xludf.DUMMYFUNCTION("""COMPUTED_VALUE"""),"")</f>
        <v/>
      </c>
    </row>
    <row r="589">
      <c r="A589" s="4" t="str">
        <f>IFERROR(__xludf.DUMMYFUNCTION("""COMPUTED_VALUE"""),"")</f>
        <v/>
      </c>
      <c r="B589" s="4" t="str">
        <f>IFERROR(__xludf.DUMMYFUNCTION("""COMPUTED_VALUE"""),"")</f>
        <v/>
      </c>
      <c r="C589" s="4" t="str">
        <f>IFERROR(__xludf.DUMMYFUNCTION("""COMPUTED_VALUE"""),"")</f>
        <v/>
      </c>
      <c r="D589" s="4" t="str">
        <f>IFERROR(__xludf.DUMMYFUNCTION("""COMPUTED_VALUE"""),"")</f>
        <v/>
      </c>
      <c r="E589" s="4" t="str">
        <f>IFERROR(__xludf.DUMMYFUNCTION("""COMPUTED_VALUE"""),"")</f>
        <v/>
      </c>
      <c r="F589" s="4" t="str">
        <f>IFERROR(__xludf.DUMMYFUNCTION("""COMPUTED_VALUE"""),"")</f>
        <v/>
      </c>
      <c r="G589" s="4" t="str">
        <f>IFERROR(__xludf.DUMMYFUNCTION("""COMPUTED_VALUE"""),"")</f>
        <v/>
      </c>
      <c r="H589" s="4" t="str">
        <f>IFERROR(__xludf.DUMMYFUNCTION("""COMPUTED_VALUE"""),"")</f>
        <v/>
      </c>
      <c r="I589" s="4" t="str">
        <f>IFERROR(__xludf.DUMMYFUNCTION("""COMPUTED_VALUE"""),"")</f>
        <v/>
      </c>
      <c r="J589" s="4" t="str">
        <f>IFERROR(__xludf.DUMMYFUNCTION("""COMPUTED_VALUE"""),"")</f>
        <v/>
      </c>
      <c r="K589" s="4" t="str">
        <f>IFERROR(__xludf.DUMMYFUNCTION("""COMPUTED_VALUE"""),"")</f>
        <v/>
      </c>
    </row>
    <row r="590">
      <c r="A590" s="4" t="str">
        <f>IFERROR(__xludf.DUMMYFUNCTION("""COMPUTED_VALUE"""),"")</f>
        <v/>
      </c>
      <c r="B590" s="4" t="str">
        <f>IFERROR(__xludf.DUMMYFUNCTION("""COMPUTED_VALUE"""),"")</f>
        <v/>
      </c>
      <c r="C590" s="4" t="str">
        <f>IFERROR(__xludf.DUMMYFUNCTION("""COMPUTED_VALUE"""),"")</f>
        <v/>
      </c>
      <c r="D590" s="4" t="str">
        <f>IFERROR(__xludf.DUMMYFUNCTION("""COMPUTED_VALUE"""),"")</f>
        <v/>
      </c>
      <c r="E590" s="4" t="str">
        <f>IFERROR(__xludf.DUMMYFUNCTION("""COMPUTED_VALUE"""),"")</f>
        <v/>
      </c>
      <c r="F590" s="4" t="str">
        <f>IFERROR(__xludf.DUMMYFUNCTION("""COMPUTED_VALUE"""),"")</f>
        <v/>
      </c>
      <c r="G590" s="4" t="str">
        <f>IFERROR(__xludf.DUMMYFUNCTION("""COMPUTED_VALUE"""),"")</f>
        <v/>
      </c>
      <c r="H590" s="4" t="str">
        <f>IFERROR(__xludf.DUMMYFUNCTION("""COMPUTED_VALUE"""),"")</f>
        <v/>
      </c>
      <c r="I590" s="4" t="str">
        <f>IFERROR(__xludf.DUMMYFUNCTION("""COMPUTED_VALUE"""),"")</f>
        <v/>
      </c>
      <c r="J590" s="4" t="str">
        <f>IFERROR(__xludf.DUMMYFUNCTION("""COMPUTED_VALUE"""),"")</f>
        <v/>
      </c>
      <c r="K590" s="4" t="str">
        <f>IFERROR(__xludf.DUMMYFUNCTION("""COMPUTED_VALUE"""),"")</f>
        <v/>
      </c>
    </row>
    <row r="591">
      <c r="A591" s="4" t="str">
        <f>IFERROR(__xludf.DUMMYFUNCTION("""COMPUTED_VALUE"""),"")</f>
        <v/>
      </c>
      <c r="B591" s="4" t="str">
        <f>IFERROR(__xludf.DUMMYFUNCTION("""COMPUTED_VALUE"""),"")</f>
        <v/>
      </c>
      <c r="C591" s="4" t="str">
        <f>IFERROR(__xludf.DUMMYFUNCTION("""COMPUTED_VALUE"""),"")</f>
        <v/>
      </c>
      <c r="D591" s="4" t="str">
        <f>IFERROR(__xludf.DUMMYFUNCTION("""COMPUTED_VALUE"""),"")</f>
        <v/>
      </c>
      <c r="E591" s="4" t="str">
        <f>IFERROR(__xludf.DUMMYFUNCTION("""COMPUTED_VALUE"""),"")</f>
        <v/>
      </c>
      <c r="F591" s="4" t="str">
        <f>IFERROR(__xludf.DUMMYFUNCTION("""COMPUTED_VALUE"""),"")</f>
        <v/>
      </c>
      <c r="G591" s="4" t="str">
        <f>IFERROR(__xludf.DUMMYFUNCTION("""COMPUTED_VALUE"""),"")</f>
        <v/>
      </c>
      <c r="H591" s="4" t="str">
        <f>IFERROR(__xludf.DUMMYFUNCTION("""COMPUTED_VALUE"""),"")</f>
        <v/>
      </c>
      <c r="I591" s="4" t="str">
        <f>IFERROR(__xludf.DUMMYFUNCTION("""COMPUTED_VALUE"""),"")</f>
        <v/>
      </c>
      <c r="J591" s="4" t="str">
        <f>IFERROR(__xludf.DUMMYFUNCTION("""COMPUTED_VALUE"""),"")</f>
        <v/>
      </c>
      <c r="K591" s="4" t="str">
        <f>IFERROR(__xludf.DUMMYFUNCTION("""COMPUTED_VALUE"""),"")</f>
        <v/>
      </c>
    </row>
    <row r="592">
      <c r="A592" s="4" t="str">
        <f>IFERROR(__xludf.DUMMYFUNCTION("""COMPUTED_VALUE"""),"")</f>
        <v/>
      </c>
      <c r="B592" s="4" t="str">
        <f>IFERROR(__xludf.DUMMYFUNCTION("""COMPUTED_VALUE"""),"")</f>
        <v/>
      </c>
      <c r="C592" s="4" t="str">
        <f>IFERROR(__xludf.DUMMYFUNCTION("""COMPUTED_VALUE"""),"")</f>
        <v/>
      </c>
      <c r="D592" s="4" t="str">
        <f>IFERROR(__xludf.DUMMYFUNCTION("""COMPUTED_VALUE"""),"")</f>
        <v/>
      </c>
      <c r="E592" s="4" t="str">
        <f>IFERROR(__xludf.DUMMYFUNCTION("""COMPUTED_VALUE"""),"")</f>
        <v/>
      </c>
      <c r="F592" s="4" t="str">
        <f>IFERROR(__xludf.DUMMYFUNCTION("""COMPUTED_VALUE"""),"")</f>
        <v/>
      </c>
      <c r="G592" s="4" t="str">
        <f>IFERROR(__xludf.DUMMYFUNCTION("""COMPUTED_VALUE"""),"")</f>
        <v/>
      </c>
      <c r="H592" s="4" t="str">
        <f>IFERROR(__xludf.DUMMYFUNCTION("""COMPUTED_VALUE"""),"")</f>
        <v/>
      </c>
      <c r="I592" s="4" t="str">
        <f>IFERROR(__xludf.DUMMYFUNCTION("""COMPUTED_VALUE"""),"")</f>
        <v/>
      </c>
      <c r="J592" s="4" t="str">
        <f>IFERROR(__xludf.DUMMYFUNCTION("""COMPUTED_VALUE"""),"")</f>
        <v/>
      </c>
      <c r="K592" s="4" t="str">
        <f>IFERROR(__xludf.DUMMYFUNCTION("""COMPUTED_VALUE"""),"")</f>
        <v/>
      </c>
    </row>
    <row r="593">
      <c r="A593" s="4" t="str">
        <f>IFERROR(__xludf.DUMMYFUNCTION("""COMPUTED_VALUE"""),"")</f>
        <v/>
      </c>
      <c r="B593" s="4" t="str">
        <f>IFERROR(__xludf.DUMMYFUNCTION("""COMPUTED_VALUE"""),"")</f>
        <v/>
      </c>
      <c r="C593" s="4" t="str">
        <f>IFERROR(__xludf.DUMMYFUNCTION("""COMPUTED_VALUE"""),"")</f>
        <v/>
      </c>
      <c r="D593" s="4" t="str">
        <f>IFERROR(__xludf.DUMMYFUNCTION("""COMPUTED_VALUE"""),"")</f>
        <v/>
      </c>
      <c r="E593" s="4" t="str">
        <f>IFERROR(__xludf.DUMMYFUNCTION("""COMPUTED_VALUE"""),"")</f>
        <v/>
      </c>
      <c r="F593" s="4" t="str">
        <f>IFERROR(__xludf.DUMMYFUNCTION("""COMPUTED_VALUE"""),"")</f>
        <v/>
      </c>
      <c r="G593" s="4" t="str">
        <f>IFERROR(__xludf.DUMMYFUNCTION("""COMPUTED_VALUE"""),"")</f>
        <v/>
      </c>
      <c r="H593" s="4" t="str">
        <f>IFERROR(__xludf.DUMMYFUNCTION("""COMPUTED_VALUE"""),"")</f>
        <v/>
      </c>
      <c r="I593" s="4" t="str">
        <f>IFERROR(__xludf.DUMMYFUNCTION("""COMPUTED_VALUE"""),"")</f>
        <v/>
      </c>
      <c r="J593" s="4" t="str">
        <f>IFERROR(__xludf.DUMMYFUNCTION("""COMPUTED_VALUE"""),"")</f>
        <v/>
      </c>
      <c r="K593" s="4" t="str">
        <f>IFERROR(__xludf.DUMMYFUNCTION("""COMPUTED_VALUE"""),"")</f>
        <v/>
      </c>
    </row>
    <row r="594">
      <c r="A594" s="4" t="str">
        <f>IFERROR(__xludf.DUMMYFUNCTION("""COMPUTED_VALUE"""),"")</f>
        <v/>
      </c>
      <c r="B594" s="4" t="str">
        <f>IFERROR(__xludf.DUMMYFUNCTION("""COMPUTED_VALUE"""),"")</f>
        <v/>
      </c>
      <c r="C594" s="4" t="str">
        <f>IFERROR(__xludf.DUMMYFUNCTION("""COMPUTED_VALUE"""),"")</f>
        <v/>
      </c>
      <c r="D594" s="4" t="str">
        <f>IFERROR(__xludf.DUMMYFUNCTION("""COMPUTED_VALUE"""),"")</f>
        <v/>
      </c>
      <c r="E594" s="4" t="str">
        <f>IFERROR(__xludf.DUMMYFUNCTION("""COMPUTED_VALUE"""),"")</f>
        <v/>
      </c>
      <c r="F594" s="4" t="str">
        <f>IFERROR(__xludf.DUMMYFUNCTION("""COMPUTED_VALUE"""),"")</f>
        <v/>
      </c>
      <c r="G594" s="4" t="str">
        <f>IFERROR(__xludf.DUMMYFUNCTION("""COMPUTED_VALUE"""),"")</f>
        <v/>
      </c>
      <c r="H594" s="4" t="str">
        <f>IFERROR(__xludf.DUMMYFUNCTION("""COMPUTED_VALUE"""),"")</f>
        <v/>
      </c>
      <c r="I594" s="4" t="str">
        <f>IFERROR(__xludf.DUMMYFUNCTION("""COMPUTED_VALUE"""),"")</f>
        <v/>
      </c>
      <c r="J594" s="4" t="str">
        <f>IFERROR(__xludf.DUMMYFUNCTION("""COMPUTED_VALUE"""),"")</f>
        <v/>
      </c>
      <c r="K594" s="4" t="str">
        <f>IFERROR(__xludf.DUMMYFUNCTION("""COMPUTED_VALUE"""),"")</f>
        <v/>
      </c>
    </row>
    <row r="595">
      <c r="A595" s="4" t="str">
        <f>IFERROR(__xludf.DUMMYFUNCTION("""COMPUTED_VALUE"""),"")</f>
        <v/>
      </c>
      <c r="B595" s="4" t="str">
        <f>IFERROR(__xludf.DUMMYFUNCTION("""COMPUTED_VALUE"""),"")</f>
        <v/>
      </c>
      <c r="C595" s="4" t="str">
        <f>IFERROR(__xludf.DUMMYFUNCTION("""COMPUTED_VALUE"""),"")</f>
        <v/>
      </c>
      <c r="D595" s="4" t="str">
        <f>IFERROR(__xludf.DUMMYFUNCTION("""COMPUTED_VALUE"""),"")</f>
        <v/>
      </c>
      <c r="E595" s="4" t="str">
        <f>IFERROR(__xludf.DUMMYFUNCTION("""COMPUTED_VALUE"""),"")</f>
        <v/>
      </c>
      <c r="F595" s="4" t="str">
        <f>IFERROR(__xludf.DUMMYFUNCTION("""COMPUTED_VALUE"""),"")</f>
        <v/>
      </c>
      <c r="G595" s="4" t="str">
        <f>IFERROR(__xludf.DUMMYFUNCTION("""COMPUTED_VALUE"""),"")</f>
        <v/>
      </c>
      <c r="H595" s="4" t="str">
        <f>IFERROR(__xludf.DUMMYFUNCTION("""COMPUTED_VALUE"""),"")</f>
        <v/>
      </c>
      <c r="I595" s="4" t="str">
        <f>IFERROR(__xludf.DUMMYFUNCTION("""COMPUTED_VALUE"""),"")</f>
        <v/>
      </c>
      <c r="J595" s="4" t="str">
        <f>IFERROR(__xludf.DUMMYFUNCTION("""COMPUTED_VALUE"""),"")</f>
        <v/>
      </c>
      <c r="K595" s="4" t="str">
        <f>IFERROR(__xludf.DUMMYFUNCTION("""COMPUTED_VALUE"""),"")</f>
        <v/>
      </c>
    </row>
    <row r="596">
      <c r="A596" s="4" t="str">
        <f>IFERROR(__xludf.DUMMYFUNCTION("""COMPUTED_VALUE"""),"")</f>
        <v/>
      </c>
      <c r="B596" s="4" t="str">
        <f>IFERROR(__xludf.DUMMYFUNCTION("""COMPUTED_VALUE"""),"")</f>
        <v/>
      </c>
      <c r="C596" s="4" t="str">
        <f>IFERROR(__xludf.DUMMYFUNCTION("""COMPUTED_VALUE"""),"")</f>
        <v/>
      </c>
      <c r="D596" s="4" t="str">
        <f>IFERROR(__xludf.DUMMYFUNCTION("""COMPUTED_VALUE"""),"")</f>
        <v/>
      </c>
      <c r="E596" s="4" t="str">
        <f>IFERROR(__xludf.DUMMYFUNCTION("""COMPUTED_VALUE"""),"")</f>
        <v/>
      </c>
      <c r="F596" s="4" t="str">
        <f>IFERROR(__xludf.DUMMYFUNCTION("""COMPUTED_VALUE"""),"")</f>
        <v/>
      </c>
      <c r="G596" s="4" t="str">
        <f>IFERROR(__xludf.DUMMYFUNCTION("""COMPUTED_VALUE"""),"")</f>
        <v/>
      </c>
      <c r="H596" s="4" t="str">
        <f>IFERROR(__xludf.DUMMYFUNCTION("""COMPUTED_VALUE"""),"")</f>
        <v/>
      </c>
      <c r="I596" s="4" t="str">
        <f>IFERROR(__xludf.DUMMYFUNCTION("""COMPUTED_VALUE"""),"")</f>
        <v/>
      </c>
      <c r="J596" s="4" t="str">
        <f>IFERROR(__xludf.DUMMYFUNCTION("""COMPUTED_VALUE"""),"")</f>
        <v/>
      </c>
      <c r="K596" s="4" t="str">
        <f>IFERROR(__xludf.DUMMYFUNCTION("""COMPUTED_VALUE"""),"")</f>
        <v/>
      </c>
    </row>
    <row r="597">
      <c r="A597" s="4" t="str">
        <f>IFERROR(__xludf.DUMMYFUNCTION("""COMPUTED_VALUE"""),"")</f>
        <v/>
      </c>
      <c r="B597" s="4" t="str">
        <f>IFERROR(__xludf.DUMMYFUNCTION("""COMPUTED_VALUE"""),"")</f>
        <v/>
      </c>
      <c r="C597" s="4" t="str">
        <f>IFERROR(__xludf.DUMMYFUNCTION("""COMPUTED_VALUE"""),"")</f>
        <v/>
      </c>
      <c r="D597" s="4" t="str">
        <f>IFERROR(__xludf.DUMMYFUNCTION("""COMPUTED_VALUE"""),"")</f>
        <v/>
      </c>
      <c r="E597" s="4" t="str">
        <f>IFERROR(__xludf.DUMMYFUNCTION("""COMPUTED_VALUE"""),"")</f>
        <v/>
      </c>
      <c r="F597" s="4" t="str">
        <f>IFERROR(__xludf.DUMMYFUNCTION("""COMPUTED_VALUE"""),"")</f>
        <v/>
      </c>
      <c r="G597" s="4" t="str">
        <f>IFERROR(__xludf.DUMMYFUNCTION("""COMPUTED_VALUE"""),"")</f>
        <v/>
      </c>
      <c r="H597" s="4" t="str">
        <f>IFERROR(__xludf.DUMMYFUNCTION("""COMPUTED_VALUE"""),"")</f>
        <v/>
      </c>
      <c r="I597" s="4" t="str">
        <f>IFERROR(__xludf.DUMMYFUNCTION("""COMPUTED_VALUE"""),"")</f>
        <v/>
      </c>
      <c r="J597" s="4" t="str">
        <f>IFERROR(__xludf.DUMMYFUNCTION("""COMPUTED_VALUE"""),"")</f>
        <v/>
      </c>
      <c r="K597" s="4" t="str">
        <f>IFERROR(__xludf.DUMMYFUNCTION("""COMPUTED_VALUE"""),"")</f>
        <v/>
      </c>
    </row>
    <row r="598">
      <c r="A598" s="4" t="str">
        <f>IFERROR(__xludf.DUMMYFUNCTION("""COMPUTED_VALUE"""),"")</f>
        <v/>
      </c>
      <c r="B598" s="4" t="str">
        <f>IFERROR(__xludf.DUMMYFUNCTION("""COMPUTED_VALUE"""),"")</f>
        <v/>
      </c>
      <c r="C598" s="4" t="str">
        <f>IFERROR(__xludf.DUMMYFUNCTION("""COMPUTED_VALUE"""),"")</f>
        <v/>
      </c>
      <c r="D598" s="4" t="str">
        <f>IFERROR(__xludf.DUMMYFUNCTION("""COMPUTED_VALUE"""),"")</f>
        <v/>
      </c>
      <c r="E598" s="4" t="str">
        <f>IFERROR(__xludf.DUMMYFUNCTION("""COMPUTED_VALUE"""),"")</f>
        <v/>
      </c>
      <c r="F598" s="4" t="str">
        <f>IFERROR(__xludf.DUMMYFUNCTION("""COMPUTED_VALUE"""),"")</f>
        <v/>
      </c>
      <c r="G598" s="4" t="str">
        <f>IFERROR(__xludf.DUMMYFUNCTION("""COMPUTED_VALUE"""),"")</f>
        <v/>
      </c>
      <c r="H598" s="4" t="str">
        <f>IFERROR(__xludf.DUMMYFUNCTION("""COMPUTED_VALUE"""),"")</f>
        <v/>
      </c>
      <c r="I598" s="4" t="str">
        <f>IFERROR(__xludf.DUMMYFUNCTION("""COMPUTED_VALUE"""),"")</f>
        <v/>
      </c>
      <c r="J598" s="4" t="str">
        <f>IFERROR(__xludf.DUMMYFUNCTION("""COMPUTED_VALUE"""),"")</f>
        <v/>
      </c>
      <c r="K598" s="4" t="str">
        <f>IFERROR(__xludf.DUMMYFUNCTION("""COMPUTED_VALUE"""),"")</f>
        <v/>
      </c>
    </row>
    <row r="599">
      <c r="A599" s="4" t="str">
        <f>IFERROR(__xludf.DUMMYFUNCTION("""COMPUTED_VALUE"""),"")</f>
        <v/>
      </c>
      <c r="B599" s="4" t="str">
        <f>IFERROR(__xludf.DUMMYFUNCTION("""COMPUTED_VALUE"""),"")</f>
        <v/>
      </c>
      <c r="C599" s="4" t="str">
        <f>IFERROR(__xludf.DUMMYFUNCTION("""COMPUTED_VALUE"""),"")</f>
        <v/>
      </c>
      <c r="D599" s="4" t="str">
        <f>IFERROR(__xludf.DUMMYFUNCTION("""COMPUTED_VALUE"""),"")</f>
        <v/>
      </c>
      <c r="E599" s="4" t="str">
        <f>IFERROR(__xludf.DUMMYFUNCTION("""COMPUTED_VALUE"""),"")</f>
        <v/>
      </c>
      <c r="F599" s="4" t="str">
        <f>IFERROR(__xludf.DUMMYFUNCTION("""COMPUTED_VALUE"""),"")</f>
        <v/>
      </c>
      <c r="G599" s="4" t="str">
        <f>IFERROR(__xludf.DUMMYFUNCTION("""COMPUTED_VALUE"""),"")</f>
        <v/>
      </c>
      <c r="H599" s="4" t="str">
        <f>IFERROR(__xludf.DUMMYFUNCTION("""COMPUTED_VALUE"""),"")</f>
        <v/>
      </c>
      <c r="I599" s="4" t="str">
        <f>IFERROR(__xludf.DUMMYFUNCTION("""COMPUTED_VALUE"""),"")</f>
        <v/>
      </c>
      <c r="J599" s="4" t="str">
        <f>IFERROR(__xludf.DUMMYFUNCTION("""COMPUTED_VALUE"""),"")</f>
        <v/>
      </c>
      <c r="K599" s="4" t="str">
        <f>IFERROR(__xludf.DUMMYFUNCTION("""COMPUTED_VALUE"""),"")</f>
        <v/>
      </c>
    </row>
    <row r="600">
      <c r="A600" s="4" t="str">
        <f>IFERROR(__xludf.DUMMYFUNCTION("""COMPUTED_VALUE"""),"")</f>
        <v/>
      </c>
      <c r="B600" s="4" t="str">
        <f>IFERROR(__xludf.DUMMYFUNCTION("""COMPUTED_VALUE"""),"")</f>
        <v/>
      </c>
      <c r="C600" s="4" t="str">
        <f>IFERROR(__xludf.DUMMYFUNCTION("""COMPUTED_VALUE"""),"")</f>
        <v/>
      </c>
      <c r="D600" s="4" t="str">
        <f>IFERROR(__xludf.DUMMYFUNCTION("""COMPUTED_VALUE"""),"")</f>
        <v/>
      </c>
      <c r="E600" s="4" t="str">
        <f>IFERROR(__xludf.DUMMYFUNCTION("""COMPUTED_VALUE"""),"")</f>
        <v/>
      </c>
      <c r="F600" s="4" t="str">
        <f>IFERROR(__xludf.DUMMYFUNCTION("""COMPUTED_VALUE"""),"")</f>
        <v/>
      </c>
      <c r="G600" s="4" t="str">
        <f>IFERROR(__xludf.DUMMYFUNCTION("""COMPUTED_VALUE"""),"")</f>
        <v/>
      </c>
      <c r="H600" s="4" t="str">
        <f>IFERROR(__xludf.DUMMYFUNCTION("""COMPUTED_VALUE"""),"")</f>
        <v/>
      </c>
      <c r="I600" s="4" t="str">
        <f>IFERROR(__xludf.DUMMYFUNCTION("""COMPUTED_VALUE"""),"")</f>
        <v/>
      </c>
      <c r="J600" s="4" t="str">
        <f>IFERROR(__xludf.DUMMYFUNCTION("""COMPUTED_VALUE"""),"")</f>
        <v/>
      </c>
      <c r="K600" s="4" t="str">
        <f>IFERROR(__xludf.DUMMYFUNCTION("""COMPUTED_VALUE"""),"")</f>
        <v/>
      </c>
    </row>
    <row r="601">
      <c r="A601" s="4" t="str">
        <f>IFERROR(__xludf.DUMMYFUNCTION("""COMPUTED_VALUE"""),"")</f>
        <v/>
      </c>
      <c r="B601" s="4" t="str">
        <f>IFERROR(__xludf.DUMMYFUNCTION("""COMPUTED_VALUE"""),"")</f>
        <v/>
      </c>
      <c r="C601" s="4" t="str">
        <f>IFERROR(__xludf.DUMMYFUNCTION("""COMPUTED_VALUE"""),"")</f>
        <v/>
      </c>
      <c r="D601" s="4" t="str">
        <f>IFERROR(__xludf.DUMMYFUNCTION("""COMPUTED_VALUE"""),"")</f>
        <v/>
      </c>
      <c r="E601" s="4" t="str">
        <f>IFERROR(__xludf.DUMMYFUNCTION("""COMPUTED_VALUE"""),"")</f>
        <v/>
      </c>
      <c r="F601" s="4" t="str">
        <f>IFERROR(__xludf.DUMMYFUNCTION("""COMPUTED_VALUE"""),"")</f>
        <v/>
      </c>
      <c r="G601" s="4" t="str">
        <f>IFERROR(__xludf.DUMMYFUNCTION("""COMPUTED_VALUE"""),"")</f>
        <v/>
      </c>
      <c r="H601" s="4" t="str">
        <f>IFERROR(__xludf.DUMMYFUNCTION("""COMPUTED_VALUE"""),"")</f>
        <v/>
      </c>
      <c r="I601" s="4" t="str">
        <f>IFERROR(__xludf.DUMMYFUNCTION("""COMPUTED_VALUE"""),"")</f>
        <v/>
      </c>
      <c r="J601" s="4" t="str">
        <f>IFERROR(__xludf.DUMMYFUNCTION("""COMPUTED_VALUE"""),"")</f>
        <v/>
      </c>
      <c r="K601" s="4" t="str">
        <f>IFERROR(__xludf.DUMMYFUNCTION("""COMPUTED_VALUE"""),"")</f>
        <v/>
      </c>
    </row>
    <row r="602">
      <c r="A602" s="4" t="str">
        <f>IFERROR(__xludf.DUMMYFUNCTION("""COMPUTED_VALUE"""),"")</f>
        <v/>
      </c>
      <c r="B602" s="4" t="str">
        <f>IFERROR(__xludf.DUMMYFUNCTION("""COMPUTED_VALUE"""),"")</f>
        <v/>
      </c>
      <c r="C602" s="4" t="str">
        <f>IFERROR(__xludf.DUMMYFUNCTION("""COMPUTED_VALUE"""),"")</f>
        <v/>
      </c>
      <c r="D602" s="4" t="str">
        <f>IFERROR(__xludf.DUMMYFUNCTION("""COMPUTED_VALUE"""),"")</f>
        <v/>
      </c>
      <c r="E602" s="4" t="str">
        <f>IFERROR(__xludf.DUMMYFUNCTION("""COMPUTED_VALUE"""),"")</f>
        <v/>
      </c>
      <c r="F602" s="4" t="str">
        <f>IFERROR(__xludf.DUMMYFUNCTION("""COMPUTED_VALUE"""),"")</f>
        <v/>
      </c>
      <c r="G602" s="4" t="str">
        <f>IFERROR(__xludf.DUMMYFUNCTION("""COMPUTED_VALUE"""),"")</f>
        <v/>
      </c>
      <c r="H602" s="4" t="str">
        <f>IFERROR(__xludf.DUMMYFUNCTION("""COMPUTED_VALUE"""),"")</f>
        <v/>
      </c>
      <c r="I602" s="4" t="str">
        <f>IFERROR(__xludf.DUMMYFUNCTION("""COMPUTED_VALUE"""),"")</f>
        <v/>
      </c>
      <c r="J602" s="4" t="str">
        <f>IFERROR(__xludf.DUMMYFUNCTION("""COMPUTED_VALUE"""),"")</f>
        <v/>
      </c>
      <c r="K602" s="4" t="str">
        <f>IFERROR(__xludf.DUMMYFUNCTION("""COMPUTED_VALUE"""),"")</f>
        <v/>
      </c>
    </row>
    <row r="603">
      <c r="A603" s="4" t="str">
        <f>IFERROR(__xludf.DUMMYFUNCTION("""COMPUTED_VALUE"""),"")</f>
        <v/>
      </c>
      <c r="B603" s="4" t="str">
        <f>IFERROR(__xludf.DUMMYFUNCTION("""COMPUTED_VALUE"""),"")</f>
        <v/>
      </c>
      <c r="C603" s="4" t="str">
        <f>IFERROR(__xludf.DUMMYFUNCTION("""COMPUTED_VALUE"""),"")</f>
        <v/>
      </c>
      <c r="D603" s="4" t="str">
        <f>IFERROR(__xludf.DUMMYFUNCTION("""COMPUTED_VALUE"""),"")</f>
        <v/>
      </c>
      <c r="E603" s="4" t="str">
        <f>IFERROR(__xludf.DUMMYFUNCTION("""COMPUTED_VALUE"""),"")</f>
        <v/>
      </c>
      <c r="F603" s="4" t="str">
        <f>IFERROR(__xludf.DUMMYFUNCTION("""COMPUTED_VALUE"""),"")</f>
        <v/>
      </c>
      <c r="G603" s="4" t="str">
        <f>IFERROR(__xludf.DUMMYFUNCTION("""COMPUTED_VALUE"""),"")</f>
        <v/>
      </c>
      <c r="H603" s="4" t="str">
        <f>IFERROR(__xludf.DUMMYFUNCTION("""COMPUTED_VALUE"""),"")</f>
        <v/>
      </c>
      <c r="I603" s="4" t="str">
        <f>IFERROR(__xludf.DUMMYFUNCTION("""COMPUTED_VALUE"""),"")</f>
        <v/>
      </c>
      <c r="J603" s="4" t="str">
        <f>IFERROR(__xludf.DUMMYFUNCTION("""COMPUTED_VALUE"""),"")</f>
        <v/>
      </c>
      <c r="K603" s="4" t="str">
        <f>IFERROR(__xludf.DUMMYFUNCTION("""COMPUTED_VALUE"""),"")</f>
        <v/>
      </c>
    </row>
    <row r="604">
      <c r="A604" s="4" t="str">
        <f>IFERROR(__xludf.DUMMYFUNCTION("""COMPUTED_VALUE"""),"")</f>
        <v/>
      </c>
      <c r="B604" s="4" t="str">
        <f>IFERROR(__xludf.DUMMYFUNCTION("""COMPUTED_VALUE"""),"")</f>
        <v/>
      </c>
      <c r="C604" s="4" t="str">
        <f>IFERROR(__xludf.DUMMYFUNCTION("""COMPUTED_VALUE"""),"")</f>
        <v/>
      </c>
      <c r="D604" s="4" t="str">
        <f>IFERROR(__xludf.DUMMYFUNCTION("""COMPUTED_VALUE"""),"")</f>
        <v/>
      </c>
      <c r="E604" s="4" t="str">
        <f>IFERROR(__xludf.DUMMYFUNCTION("""COMPUTED_VALUE"""),"")</f>
        <v/>
      </c>
      <c r="F604" s="4" t="str">
        <f>IFERROR(__xludf.DUMMYFUNCTION("""COMPUTED_VALUE"""),"")</f>
        <v/>
      </c>
      <c r="G604" s="4" t="str">
        <f>IFERROR(__xludf.DUMMYFUNCTION("""COMPUTED_VALUE"""),"")</f>
        <v/>
      </c>
      <c r="H604" s="4" t="str">
        <f>IFERROR(__xludf.DUMMYFUNCTION("""COMPUTED_VALUE"""),"")</f>
        <v/>
      </c>
      <c r="I604" s="4" t="str">
        <f>IFERROR(__xludf.DUMMYFUNCTION("""COMPUTED_VALUE"""),"")</f>
        <v/>
      </c>
      <c r="J604" s="4" t="str">
        <f>IFERROR(__xludf.DUMMYFUNCTION("""COMPUTED_VALUE"""),"")</f>
        <v/>
      </c>
      <c r="K604" s="4" t="str">
        <f>IFERROR(__xludf.DUMMYFUNCTION("""COMPUTED_VALUE"""),"")</f>
        <v/>
      </c>
    </row>
    <row r="605">
      <c r="A605" s="4" t="str">
        <f>IFERROR(__xludf.DUMMYFUNCTION("""COMPUTED_VALUE"""),"")</f>
        <v/>
      </c>
      <c r="B605" s="4" t="str">
        <f>IFERROR(__xludf.DUMMYFUNCTION("""COMPUTED_VALUE"""),"")</f>
        <v/>
      </c>
      <c r="C605" s="4" t="str">
        <f>IFERROR(__xludf.DUMMYFUNCTION("""COMPUTED_VALUE"""),"")</f>
        <v/>
      </c>
      <c r="D605" s="4" t="str">
        <f>IFERROR(__xludf.DUMMYFUNCTION("""COMPUTED_VALUE"""),"")</f>
        <v/>
      </c>
      <c r="E605" s="4" t="str">
        <f>IFERROR(__xludf.DUMMYFUNCTION("""COMPUTED_VALUE"""),"")</f>
        <v/>
      </c>
      <c r="F605" s="4" t="str">
        <f>IFERROR(__xludf.DUMMYFUNCTION("""COMPUTED_VALUE"""),"")</f>
        <v/>
      </c>
      <c r="G605" s="4" t="str">
        <f>IFERROR(__xludf.DUMMYFUNCTION("""COMPUTED_VALUE"""),"")</f>
        <v/>
      </c>
      <c r="H605" s="4" t="str">
        <f>IFERROR(__xludf.DUMMYFUNCTION("""COMPUTED_VALUE"""),"")</f>
        <v/>
      </c>
      <c r="I605" s="4" t="str">
        <f>IFERROR(__xludf.DUMMYFUNCTION("""COMPUTED_VALUE"""),"")</f>
        <v/>
      </c>
      <c r="J605" s="4" t="str">
        <f>IFERROR(__xludf.DUMMYFUNCTION("""COMPUTED_VALUE"""),"")</f>
        <v/>
      </c>
      <c r="K605" s="4" t="str">
        <f>IFERROR(__xludf.DUMMYFUNCTION("""COMPUTED_VALUE"""),"")</f>
        <v/>
      </c>
    </row>
    <row r="606">
      <c r="A606" s="4" t="str">
        <f>IFERROR(__xludf.DUMMYFUNCTION("""COMPUTED_VALUE"""),"")</f>
        <v/>
      </c>
      <c r="B606" s="4" t="str">
        <f>IFERROR(__xludf.DUMMYFUNCTION("""COMPUTED_VALUE"""),"")</f>
        <v/>
      </c>
      <c r="C606" s="4" t="str">
        <f>IFERROR(__xludf.DUMMYFUNCTION("""COMPUTED_VALUE"""),"")</f>
        <v/>
      </c>
      <c r="D606" s="4" t="str">
        <f>IFERROR(__xludf.DUMMYFUNCTION("""COMPUTED_VALUE"""),"")</f>
        <v/>
      </c>
      <c r="E606" s="4" t="str">
        <f>IFERROR(__xludf.DUMMYFUNCTION("""COMPUTED_VALUE"""),"")</f>
        <v/>
      </c>
      <c r="F606" s="4" t="str">
        <f>IFERROR(__xludf.DUMMYFUNCTION("""COMPUTED_VALUE"""),"")</f>
        <v/>
      </c>
      <c r="G606" s="4" t="str">
        <f>IFERROR(__xludf.DUMMYFUNCTION("""COMPUTED_VALUE"""),"")</f>
        <v/>
      </c>
      <c r="H606" s="4" t="str">
        <f>IFERROR(__xludf.DUMMYFUNCTION("""COMPUTED_VALUE"""),"")</f>
        <v/>
      </c>
      <c r="I606" s="4" t="str">
        <f>IFERROR(__xludf.DUMMYFUNCTION("""COMPUTED_VALUE"""),"")</f>
        <v/>
      </c>
      <c r="J606" s="4" t="str">
        <f>IFERROR(__xludf.DUMMYFUNCTION("""COMPUTED_VALUE"""),"")</f>
        <v/>
      </c>
      <c r="K606" s="4" t="str">
        <f>IFERROR(__xludf.DUMMYFUNCTION("""COMPUTED_VALUE"""),"")</f>
        <v/>
      </c>
    </row>
    <row r="607">
      <c r="A607" s="4" t="str">
        <f>IFERROR(__xludf.DUMMYFUNCTION("""COMPUTED_VALUE"""),"")</f>
        <v/>
      </c>
      <c r="B607" s="4" t="str">
        <f>IFERROR(__xludf.DUMMYFUNCTION("""COMPUTED_VALUE"""),"")</f>
        <v/>
      </c>
      <c r="C607" s="4" t="str">
        <f>IFERROR(__xludf.DUMMYFUNCTION("""COMPUTED_VALUE"""),"")</f>
        <v/>
      </c>
      <c r="D607" s="4" t="str">
        <f>IFERROR(__xludf.DUMMYFUNCTION("""COMPUTED_VALUE"""),"")</f>
        <v/>
      </c>
      <c r="E607" s="4" t="str">
        <f>IFERROR(__xludf.DUMMYFUNCTION("""COMPUTED_VALUE"""),"")</f>
        <v/>
      </c>
      <c r="F607" s="4" t="str">
        <f>IFERROR(__xludf.DUMMYFUNCTION("""COMPUTED_VALUE"""),"")</f>
        <v/>
      </c>
      <c r="G607" s="4" t="str">
        <f>IFERROR(__xludf.DUMMYFUNCTION("""COMPUTED_VALUE"""),"")</f>
        <v/>
      </c>
      <c r="H607" s="4" t="str">
        <f>IFERROR(__xludf.DUMMYFUNCTION("""COMPUTED_VALUE"""),"")</f>
        <v/>
      </c>
      <c r="I607" s="4" t="str">
        <f>IFERROR(__xludf.DUMMYFUNCTION("""COMPUTED_VALUE"""),"")</f>
        <v/>
      </c>
      <c r="J607" s="4" t="str">
        <f>IFERROR(__xludf.DUMMYFUNCTION("""COMPUTED_VALUE"""),"")</f>
        <v/>
      </c>
      <c r="K607" s="4" t="str">
        <f>IFERROR(__xludf.DUMMYFUNCTION("""COMPUTED_VALUE"""),"")</f>
        <v/>
      </c>
    </row>
    <row r="608">
      <c r="A608" s="4" t="str">
        <f>IFERROR(__xludf.DUMMYFUNCTION("""COMPUTED_VALUE"""),"")</f>
        <v/>
      </c>
      <c r="B608" s="4" t="str">
        <f>IFERROR(__xludf.DUMMYFUNCTION("""COMPUTED_VALUE"""),"")</f>
        <v/>
      </c>
      <c r="C608" s="4" t="str">
        <f>IFERROR(__xludf.DUMMYFUNCTION("""COMPUTED_VALUE"""),"")</f>
        <v/>
      </c>
      <c r="D608" s="4" t="str">
        <f>IFERROR(__xludf.DUMMYFUNCTION("""COMPUTED_VALUE"""),"")</f>
        <v/>
      </c>
      <c r="E608" s="4" t="str">
        <f>IFERROR(__xludf.DUMMYFUNCTION("""COMPUTED_VALUE"""),"")</f>
        <v/>
      </c>
      <c r="F608" s="4" t="str">
        <f>IFERROR(__xludf.DUMMYFUNCTION("""COMPUTED_VALUE"""),"")</f>
        <v/>
      </c>
      <c r="G608" s="4" t="str">
        <f>IFERROR(__xludf.DUMMYFUNCTION("""COMPUTED_VALUE"""),"")</f>
        <v/>
      </c>
      <c r="H608" s="4" t="str">
        <f>IFERROR(__xludf.DUMMYFUNCTION("""COMPUTED_VALUE"""),"")</f>
        <v/>
      </c>
      <c r="I608" s="4" t="str">
        <f>IFERROR(__xludf.DUMMYFUNCTION("""COMPUTED_VALUE"""),"")</f>
        <v/>
      </c>
      <c r="J608" s="4" t="str">
        <f>IFERROR(__xludf.DUMMYFUNCTION("""COMPUTED_VALUE"""),"")</f>
        <v/>
      </c>
      <c r="K608" s="4" t="str">
        <f>IFERROR(__xludf.DUMMYFUNCTION("""COMPUTED_VALUE"""),"")</f>
        <v/>
      </c>
    </row>
    <row r="609">
      <c r="A609" s="4" t="str">
        <f>IFERROR(__xludf.DUMMYFUNCTION("""COMPUTED_VALUE"""),"")</f>
        <v/>
      </c>
      <c r="B609" s="4" t="str">
        <f>IFERROR(__xludf.DUMMYFUNCTION("""COMPUTED_VALUE"""),"")</f>
        <v/>
      </c>
      <c r="C609" s="4" t="str">
        <f>IFERROR(__xludf.DUMMYFUNCTION("""COMPUTED_VALUE"""),"")</f>
        <v/>
      </c>
      <c r="D609" s="4" t="str">
        <f>IFERROR(__xludf.DUMMYFUNCTION("""COMPUTED_VALUE"""),"")</f>
        <v/>
      </c>
      <c r="E609" s="4" t="str">
        <f>IFERROR(__xludf.DUMMYFUNCTION("""COMPUTED_VALUE"""),"")</f>
        <v/>
      </c>
      <c r="F609" s="4" t="str">
        <f>IFERROR(__xludf.DUMMYFUNCTION("""COMPUTED_VALUE"""),"")</f>
        <v/>
      </c>
      <c r="G609" s="4" t="str">
        <f>IFERROR(__xludf.DUMMYFUNCTION("""COMPUTED_VALUE"""),"")</f>
        <v/>
      </c>
      <c r="H609" s="4" t="str">
        <f>IFERROR(__xludf.DUMMYFUNCTION("""COMPUTED_VALUE"""),"")</f>
        <v/>
      </c>
      <c r="I609" s="4" t="str">
        <f>IFERROR(__xludf.DUMMYFUNCTION("""COMPUTED_VALUE"""),"")</f>
        <v/>
      </c>
      <c r="J609" s="4" t="str">
        <f>IFERROR(__xludf.DUMMYFUNCTION("""COMPUTED_VALUE"""),"")</f>
        <v/>
      </c>
      <c r="K609" s="4" t="str">
        <f>IFERROR(__xludf.DUMMYFUNCTION("""COMPUTED_VALUE"""),"")</f>
        <v/>
      </c>
    </row>
    <row r="610">
      <c r="A610" s="4" t="str">
        <f>IFERROR(__xludf.DUMMYFUNCTION("""COMPUTED_VALUE"""),"")</f>
        <v/>
      </c>
      <c r="B610" s="4" t="str">
        <f>IFERROR(__xludf.DUMMYFUNCTION("""COMPUTED_VALUE"""),"")</f>
        <v/>
      </c>
      <c r="C610" s="4" t="str">
        <f>IFERROR(__xludf.DUMMYFUNCTION("""COMPUTED_VALUE"""),"")</f>
        <v/>
      </c>
      <c r="D610" s="4" t="str">
        <f>IFERROR(__xludf.DUMMYFUNCTION("""COMPUTED_VALUE"""),"")</f>
        <v/>
      </c>
      <c r="E610" s="4" t="str">
        <f>IFERROR(__xludf.DUMMYFUNCTION("""COMPUTED_VALUE"""),"")</f>
        <v/>
      </c>
      <c r="F610" s="4" t="str">
        <f>IFERROR(__xludf.DUMMYFUNCTION("""COMPUTED_VALUE"""),"")</f>
        <v/>
      </c>
      <c r="G610" s="4" t="str">
        <f>IFERROR(__xludf.DUMMYFUNCTION("""COMPUTED_VALUE"""),"")</f>
        <v/>
      </c>
      <c r="H610" s="4" t="str">
        <f>IFERROR(__xludf.DUMMYFUNCTION("""COMPUTED_VALUE"""),"")</f>
        <v/>
      </c>
      <c r="I610" s="4" t="str">
        <f>IFERROR(__xludf.DUMMYFUNCTION("""COMPUTED_VALUE"""),"")</f>
        <v/>
      </c>
      <c r="J610" s="4" t="str">
        <f>IFERROR(__xludf.DUMMYFUNCTION("""COMPUTED_VALUE"""),"")</f>
        <v/>
      </c>
      <c r="K610" s="4" t="str">
        <f>IFERROR(__xludf.DUMMYFUNCTION("""COMPUTED_VALUE"""),"")</f>
        <v/>
      </c>
    </row>
    <row r="611">
      <c r="A611" s="4" t="str">
        <f>IFERROR(__xludf.DUMMYFUNCTION("""COMPUTED_VALUE"""),"")</f>
        <v/>
      </c>
      <c r="B611" s="4" t="str">
        <f>IFERROR(__xludf.DUMMYFUNCTION("""COMPUTED_VALUE"""),"")</f>
        <v/>
      </c>
      <c r="C611" s="4" t="str">
        <f>IFERROR(__xludf.DUMMYFUNCTION("""COMPUTED_VALUE"""),"")</f>
        <v/>
      </c>
      <c r="D611" s="4" t="str">
        <f>IFERROR(__xludf.DUMMYFUNCTION("""COMPUTED_VALUE"""),"")</f>
        <v/>
      </c>
      <c r="E611" s="4" t="str">
        <f>IFERROR(__xludf.DUMMYFUNCTION("""COMPUTED_VALUE"""),"")</f>
        <v/>
      </c>
      <c r="F611" s="4" t="str">
        <f>IFERROR(__xludf.DUMMYFUNCTION("""COMPUTED_VALUE"""),"")</f>
        <v/>
      </c>
      <c r="G611" s="4" t="str">
        <f>IFERROR(__xludf.DUMMYFUNCTION("""COMPUTED_VALUE"""),"")</f>
        <v/>
      </c>
      <c r="H611" s="4" t="str">
        <f>IFERROR(__xludf.DUMMYFUNCTION("""COMPUTED_VALUE"""),"")</f>
        <v/>
      </c>
      <c r="I611" s="4" t="str">
        <f>IFERROR(__xludf.DUMMYFUNCTION("""COMPUTED_VALUE"""),"")</f>
        <v/>
      </c>
      <c r="J611" s="4" t="str">
        <f>IFERROR(__xludf.DUMMYFUNCTION("""COMPUTED_VALUE"""),"")</f>
        <v/>
      </c>
      <c r="K611" s="4" t="str">
        <f>IFERROR(__xludf.DUMMYFUNCTION("""COMPUTED_VALUE"""),"")</f>
        <v/>
      </c>
    </row>
    <row r="612">
      <c r="A612" s="4" t="str">
        <f>IFERROR(__xludf.DUMMYFUNCTION("""COMPUTED_VALUE"""),"")</f>
        <v/>
      </c>
      <c r="B612" s="4" t="str">
        <f>IFERROR(__xludf.DUMMYFUNCTION("""COMPUTED_VALUE"""),"")</f>
        <v/>
      </c>
      <c r="C612" s="4" t="str">
        <f>IFERROR(__xludf.DUMMYFUNCTION("""COMPUTED_VALUE"""),"")</f>
        <v/>
      </c>
      <c r="D612" s="4" t="str">
        <f>IFERROR(__xludf.DUMMYFUNCTION("""COMPUTED_VALUE"""),"")</f>
        <v/>
      </c>
      <c r="E612" s="4" t="str">
        <f>IFERROR(__xludf.DUMMYFUNCTION("""COMPUTED_VALUE"""),"")</f>
        <v/>
      </c>
      <c r="F612" s="4" t="str">
        <f>IFERROR(__xludf.DUMMYFUNCTION("""COMPUTED_VALUE"""),"")</f>
        <v/>
      </c>
      <c r="G612" s="4" t="str">
        <f>IFERROR(__xludf.DUMMYFUNCTION("""COMPUTED_VALUE"""),"")</f>
        <v/>
      </c>
      <c r="H612" s="4" t="str">
        <f>IFERROR(__xludf.DUMMYFUNCTION("""COMPUTED_VALUE"""),"")</f>
        <v/>
      </c>
      <c r="I612" s="4" t="str">
        <f>IFERROR(__xludf.DUMMYFUNCTION("""COMPUTED_VALUE"""),"")</f>
        <v/>
      </c>
      <c r="J612" s="4" t="str">
        <f>IFERROR(__xludf.DUMMYFUNCTION("""COMPUTED_VALUE"""),"")</f>
        <v/>
      </c>
      <c r="K612" s="4" t="str">
        <f>IFERROR(__xludf.DUMMYFUNCTION("""COMPUTED_VALUE"""),"")</f>
        <v/>
      </c>
    </row>
    <row r="613">
      <c r="A613" s="4" t="str">
        <f>IFERROR(__xludf.DUMMYFUNCTION("""COMPUTED_VALUE"""),"")</f>
        <v/>
      </c>
      <c r="B613" s="4" t="str">
        <f>IFERROR(__xludf.DUMMYFUNCTION("""COMPUTED_VALUE"""),"")</f>
        <v/>
      </c>
      <c r="C613" s="4" t="str">
        <f>IFERROR(__xludf.DUMMYFUNCTION("""COMPUTED_VALUE"""),"")</f>
        <v/>
      </c>
      <c r="D613" s="4" t="str">
        <f>IFERROR(__xludf.DUMMYFUNCTION("""COMPUTED_VALUE"""),"")</f>
        <v/>
      </c>
      <c r="E613" s="4" t="str">
        <f>IFERROR(__xludf.DUMMYFUNCTION("""COMPUTED_VALUE"""),"")</f>
        <v/>
      </c>
      <c r="F613" s="4" t="str">
        <f>IFERROR(__xludf.DUMMYFUNCTION("""COMPUTED_VALUE"""),"")</f>
        <v/>
      </c>
      <c r="G613" s="4" t="str">
        <f>IFERROR(__xludf.DUMMYFUNCTION("""COMPUTED_VALUE"""),"")</f>
        <v/>
      </c>
      <c r="H613" s="4" t="str">
        <f>IFERROR(__xludf.DUMMYFUNCTION("""COMPUTED_VALUE"""),"")</f>
        <v/>
      </c>
      <c r="I613" s="4" t="str">
        <f>IFERROR(__xludf.DUMMYFUNCTION("""COMPUTED_VALUE"""),"")</f>
        <v/>
      </c>
      <c r="J613" s="4" t="str">
        <f>IFERROR(__xludf.DUMMYFUNCTION("""COMPUTED_VALUE"""),"")</f>
        <v/>
      </c>
      <c r="K613" s="4" t="str">
        <f>IFERROR(__xludf.DUMMYFUNCTION("""COMPUTED_VALUE"""),"")</f>
        <v/>
      </c>
    </row>
    <row r="614">
      <c r="A614" s="4" t="str">
        <f>IFERROR(__xludf.DUMMYFUNCTION("""COMPUTED_VALUE"""),"")</f>
        <v/>
      </c>
      <c r="B614" s="4" t="str">
        <f>IFERROR(__xludf.DUMMYFUNCTION("""COMPUTED_VALUE"""),"")</f>
        <v/>
      </c>
      <c r="C614" s="4" t="str">
        <f>IFERROR(__xludf.DUMMYFUNCTION("""COMPUTED_VALUE"""),"")</f>
        <v/>
      </c>
      <c r="D614" s="4" t="str">
        <f>IFERROR(__xludf.DUMMYFUNCTION("""COMPUTED_VALUE"""),"")</f>
        <v/>
      </c>
      <c r="E614" s="4" t="str">
        <f>IFERROR(__xludf.DUMMYFUNCTION("""COMPUTED_VALUE"""),"")</f>
        <v/>
      </c>
      <c r="F614" s="4" t="str">
        <f>IFERROR(__xludf.DUMMYFUNCTION("""COMPUTED_VALUE"""),"")</f>
        <v/>
      </c>
      <c r="G614" s="4" t="str">
        <f>IFERROR(__xludf.DUMMYFUNCTION("""COMPUTED_VALUE"""),"")</f>
        <v/>
      </c>
      <c r="H614" s="4" t="str">
        <f>IFERROR(__xludf.DUMMYFUNCTION("""COMPUTED_VALUE"""),"")</f>
        <v/>
      </c>
      <c r="I614" s="4" t="str">
        <f>IFERROR(__xludf.DUMMYFUNCTION("""COMPUTED_VALUE"""),"")</f>
        <v/>
      </c>
      <c r="J614" s="4" t="str">
        <f>IFERROR(__xludf.DUMMYFUNCTION("""COMPUTED_VALUE"""),"")</f>
        <v/>
      </c>
      <c r="K614" s="4" t="str">
        <f>IFERROR(__xludf.DUMMYFUNCTION("""COMPUTED_VALUE"""),"")</f>
        <v/>
      </c>
    </row>
    <row r="615">
      <c r="A615" s="4" t="str">
        <f>IFERROR(__xludf.DUMMYFUNCTION("""COMPUTED_VALUE"""),"")</f>
        <v/>
      </c>
      <c r="B615" s="4" t="str">
        <f>IFERROR(__xludf.DUMMYFUNCTION("""COMPUTED_VALUE"""),"")</f>
        <v/>
      </c>
      <c r="C615" s="4" t="str">
        <f>IFERROR(__xludf.DUMMYFUNCTION("""COMPUTED_VALUE"""),"")</f>
        <v/>
      </c>
      <c r="D615" s="4" t="str">
        <f>IFERROR(__xludf.DUMMYFUNCTION("""COMPUTED_VALUE"""),"")</f>
        <v/>
      </c>
      <c r="E615" s="4" t="str">
        <f>IFERROR(__xludf.DUMMYFUNCTION("""COMPUTED_VALUE"""),"")</f>
        <v/>
      </c>
      <c r="F615" s="4" t="str">
        <f>IFERROR(__xludf.DUMMYFUNCTION("""COMPUTED_VALUE"""),"")</f>
        <v/>
      </c>
      <c r="G615" s="4" t="str">
        <f>IFERROR(__xludf.DUMMYFUNCTION("""COMPUTED_VALUE"""),"")</f>
        <v/>
      </c>
      <c r="H615" s="4" t="str">
        <f>IFERROR(__xludf.DUMMYFUNCTION("""COMPUTED_VALUE"""),"")</f>
        <v/>
      </c>
      <c r="I615" s="4" t="str">
        <f>IFERROR(__xludf.DUMMYFUNCTION("""COMPUTED_VALUE"""),"")</f>
        <v/>
      </c>
      <c r="J615" s="4" t="str">
        <f>IFERROR(__xludf.DUMMYFUNCTION("""COMPUTED_VALUE"""),"")</f>
        <v/>
      </c>
      <c r="K615" s="4" t="str">
        <f>IFERROR(__xludf.DUMMYFUNCTION("""COMPUTED_VALUE"""),"")</f>
        <v/>
      </c>
    </row>
    <row r="616">
      <c r="A616" s="4" t="str">
        <f>IFERROR(__xludf.DUMMYFUNCTION("""COMPUTED_VALUE"""),"")</f>
        <v/>
      </c>
      <c r="B616" s="4" t="str">
        <f>IFERROR(__xludf.DUMMYFUNCTION("""COMPUTED_VALUE"""),"")</f>
        <v/>
      </c>
      <c r="C616" s="4" t="str">
        <f>IFERROR(__xludf.DUMMYFUNCTION("""COMPUTED_VALUE"""),"")</f>
        <v/>
      </c>
      <c r="D616" s="4" t="str">
        <f>IFERROR(__xludf.DUMMYFUNCTION("""COMPUTED_VALUE"""),"")</f>
        <v/>
      </c>
      <c r="E616" s="4" t="str">
        <f>IFERROR(__xludf.DUMMYFUNCTION("""COMPUTED_VALUE"""),"")</f>
        <v/>
      </c>
      <c r="F616" s="4" t="str">
        <f>IFERROR(__xludf.DUMMYFUNCTION("""COMPUTED_VALUE"""),"")</f>
        <v/>
      </c>
      <c r="G616" s="4" t="str">
        <f>IFERROR(__xludf.DUMMYFUNCTION("""COMPUTED_VALUE"""),"")</f>
        <v/>
      </c>
      <c r="H616" s="4" t="str">
        <f>IFERROR(__xludf.DUMMYFUNCTION("""COMPUTED_VALUE"""),"")</f>
        <v/>
      </c>
      <c r="I616" s="4" t="str">
        <f>IFERROR(__xludf.DUMMYFUNCTION("""COMPUTED_VALUE"""),"")</f>
        <v/>
      </c>
      <c r="J616" s="4" t="str">
        <f>IFERROR(__xludf.DUMMYFUNCTION("""COMPUTED_VALUE"""),"")</f>
        <v/>
      </c>
      <c r="K616" s="4" t="str">
        <f>IFERROR(__xludf.DUMMYFUNCTION("""COMPUTED_VALUE"""),"")</f>
        <v/>
      </c>
    </row>
    <row r="617">
      <c r="A617" s="4" t="str">
        <f>IFERROR(__xludf.DUMMYFUNCTION("""COMPUTED_VALUE"""),"")</f>
        <v/>
      </c>
      <c r="B617" s="4" t="str">
        <f>IFERROR(__xludf.DUMMYFUNCTION("""COMPUTED_VALUE"""),"")</f>
        <v/>
      </c>
      <c r="C617" s="4" t="str">
        <f>IFERROR(__xludf.DUMMYFUNCTION("""COMPUTED_VALUE"""),"")</f>
        <v/>
      </c>
      <c r="D617" s="4" t="str">
        <f>IFERROR(__xludf.DUMMYFUNCTION("""COMPUTED_VALUE"""),"")</f>
        <v/>
      </c>
      <c r="E617" s="4" t="str">
        <f>IFERROR(__xludf.DUMMYFUNCTION("""COMPUTED_VALUE"""),"")</f>
        <v/>
      </c>
      <c r="F617" s="4" t="str">
        <f>IFERROR(__xludf.DUMMYFUNCTION("""COMPUTED_VALUE"""),"")</f>
        <v/>
      </c>
      <c r="G617" s="4" t="str">
        <f>IFERROR(__xludf.DUMMYFUNCTION("""COMPUTED_VALUE"""),"")</f>
        <v/>
      </c>
      <c r="H617" s="4" t="str">
        <f>IFERROR(__xludf.DUMMYFUNCTION("""COMPUTED_VALUE"""),"")</f>
        <v/>
      </c>
      <c r="I617" s="4" t="str">
        <f>IFERROR(__xludf.DUMMYFUNCTION("""COMPUTED_VALUE"""),"")</f>
        <v/>
      </c>
      <c r="J617" s="4" t="str">
        <f>IFERROR(__xludf.DUMMYFUNCTION("""COMPUTED_VALUE"""),"")</f>
        <v/>
      </c>
      <c r="K617" s="4" t="str">
        <f>IFERROR(__xludf.DUMMYFUNCTION("""COMPUTED_VALUE"""),"")</f>
        <v/>
      </c>
    </row>
    <row r="618">
      <c r="A618" s="4" t="str">
        <f>IFERROR(__xludf.DUMMYFUNCTION("""COMPUTED_VALUE"""),"")</f>
        <v/>
      </c>
      <c r="B618" s="4" t="str">
        <f>IFERROR(__xludf.DUMMYFUNCTION("""COMPUTED_VALUE"""),"")</f>
        <v/>
      </c>
      <c r="C618" s="4" t="str">
        <f>IFERROR(__xludf.DUMMYFUNCTION("""COMPUTED_VALUE"""),"")</f>
        <v/>
      </c>
      <c r="D618" s="4" t="str">
        <f>IFERROR(__xludf.DUMMYFUNCTION("""COMPUTED_VALUE"""),"")</f>
        <v/>
      </c>
      <c r="E618" s="4" t="str">
        <f>IFERROR(__xludf.DUMMYFUNCTION("""COMPUTED_VALUE"""),"")</f>
        <v/>
      </c>
      <c r="F618" s="4" t="str">
        <f>IFERROR(__xludf.DUMMYFUNCTION("""COMPUTED_VALUE"""),"")</f>
        <v/>
      </c>
      <c r="G618" s="4" t="str">
        <f>IFERROR(__xludf.DUMMYFUNCTION("""COMPUTED_VALUE"""),"")</f>
        <v/>
      </c>
      <c r="H618" s="4" t="str">
        <f>IFERROR(__xludf.DUMMYFUNCTION("""COMPUTED_VALUE"""),"")</f>
        <v/>
      </c>
      <c r="I618" s="4" t="str">
        <f>IFERROR(__xludf.DUMMYFUNCTION("""COMPUTED_VALUE"""),"")</f>
        <v/>
      </c>
      <c r="J618" s="4" t="str">
        <f>IFERROR(__xludf.DUMMYFUNCTION("""COMPUTED_VALUE"""),"")</f>
        <v/>
      </c>
      <c r="K618" s="4" t="str">
        <f>IFERROR(__xludf.DUMMYFUNCTION("""COMPUTED_VALUE"""),"")</f>
        <v/>
      </c>
    </row>
    <row r="619">
      <c r="A619" s="4" t="str">
        <f>IFERROR(__xludf.DUMMYFUNCTION("""COMPUTED_VALUE"""),"")</f>
        <v/>
      </c>
      <c r="B619" s="4" t="str">
        <f>IFERROR(__xludf.DUMMYFUNCTION("""COMPUTED_VALUE"""),"")</f>
        <v/>
      </c>
      <c r="C619" s="4" t="str">
        <f>IFERROR(__xludf.DUMMYFUNCTION("""COMPUTED_VALUE"""),"")</f>
        <v/>
      </c>
      <c r="D619" s="4" t="str">
        <f>IFERROR(__xludf.DUMMYFUNCTION("""COMPUTED_VALUE"""),"")</f>
        <v/>
      </c>
      <c r="E619" s="4" t="str">
        <f>IFERROR(__xludf.DUMMYFUNCTION("""COMPUTED_VALUE"""),"")</f>
        <v/>
      </c>
      <c r="F619" s="4" t="str">
        <f>IFERROR(__xludf.DUMMYFUNCTION("""COMPUTED_VALUE"""),"")</f>
        <v/>
      </c>
      <c r="G619" s="4" t="str">
        <f>IFERROR(__xludf.DUMMYFUNCTION("""COMPUTED_VALUE"""),"")</f>
        <v/>
      </c>
      <c r="H619" s="4" t="str">
        <f>IFERROR(__xludf.DUMMYFUNCTION("""COMPUTED_VALUE"""),"")</f>
        <v/>
      </c>
      <c r="I619" s="4" t="str">
        <f>IFERROR(__xludf.DUMMYFUNCTION("""COMPUTED_VALUE"""),"")</f>
        <v/>
      </c>
      <c r="J619" s="4" t="str">
        <f>IFERROR(__xludf.DUMMYFUNCTION("""COMPUTED_VALUE"""),"")</f>
        <v/>
      </c>
      <c r="K619" s="4" t="str">
        <f>IFERROR(__xludf.DUMMYFUNCTION("""COMPUTED_VALUE"""),"")</f>
        <v/>
      </c>
    </row>
    <row r="620">
      <c r="A620" s="4" t="str">
        <f>IFERROR(__xludf.DUMMYFUNCTION("""COMPUTED_VALUE"""),"")</f>
        <v/>
      </c>
      <c r="B620" s="4" t="str">
        <f>IFERROR(__xludf.DUMMYFUNCTION("""COMPUTED_VALUE"""),"")</f>
        <v/>
      </c>
      <c r="C620" s="4" t="str">
        <f>IFERROR(__xludf.DUMMYFUNCTION("""COMPUTED_VALUE"""),"")</f>
        <v/>
      </c>
      <c r="D620" s="4" t="str">
        <f>IFERROR(__xludf.DUMMYFUNCTION("""COMPUTED_VALUE"""),"")</f>
        <v/>
      </c>
      <c r="E620" s="4" t="str">
        <f>IFERROR(__xludf.DUMMYFUNCTION("""COMPUTED_VALUE"""),"")</f>
        <v/>
      </c>
      <c r="F620" s="4" t="str">
        <f>IFERROR(__xludf.DUMMYFUNCTION("""COMPUTED_VALUE"""),"")</f>
        <v/>
      </c>
      <c r="G620" s="4" t="str">
        <f>IFERROR(__xludf.DUMMYFUNCTION("""COMPUTED_VALUE"""),"")</f>
        <v/>
      </c>
      <c r="H620" s="4" t="str">
        <f>IFERROR(__xludf.DUMMYFUNCTION("""COMPUTED_VALUE"""),"")</f>
        <v/>
      </c>
      <c r="I620" s="4" t="str">
        <f>IFERROR(__xludf.DUMMYFUNCTION("""COMPUTED_VALUE"""),"")</f>
        <v/>
      </c>
      <c r="J620" s="4" t="str">
        <f>IFERROR(__xludf.DUMMYFUNCTION("""COMPUTED_VALUE"""),"")</f>
        <v/>
      </c>
      <c r="K620" s="4" t="str">
        <f>IFERROR(__xludf.DUMMYFUNCTION("""COMPUTED_VALUE"""),"")</f>
        <v/>
      </c>
    </row>
    <row r="621">
      <c r="A621" s="4" t="str">
        <f>IFERROR(__xludf.DUMMYFUNCTION("""COMPUTED_VALUE"""),"")</f>
        <v/>
      </c>
      <c r="B621" s="4" t="str">
        <f>IFERROR(__xludf.DUMMYFUNCTION("""COMPUTED_VALUE"""),"")</f>
        <v/>
      </c>
      <c r="C621" s="4" t="str">
        <f>IFERROR(__xludf.DUMMYFUNCTION("""COMPUTED_VALUE"""),"")</f>
        <v/>
      </c>
      <c r="D621" s="4" t="str">
        <f>IFERROR(__xludf.DUMMYFUNCTION("""COMPUTED_VALUE"""),"")</f>
        <v/>
      </c>
      <c r="E621" s="4" t="str">
        <f>IFERROR(__xludf.DUMMYFUNCTION("""COMPUTED_VALUE"""),"")</f>
        <v/>
      </c>
      <c r="F621" s="4" t="str">
        <f>IFERROR(__xludf.DUMMYFUNCTION("""COMPUTED_VALUE"""),"")</f>
        <v/>
      </c>
      <c r="G621" s="4" t="str">
        <f>IFERROR(__xludf.DUMMYFUNCTION("""COMPUTED_VALUE"""),"")</f>
        <v/>
      </c>
      <c r="H621" s="4" t="str">
        <f>IFERROR(__xludf.DUMMYFUNCTION("""COMPUTED_VALUE"""),"")</f>
        <v/>
      </c>
      <c r="I621" s="4" t="str">
        <f>IFERROR(__xludf.DUMMYFUNCTION("""COMPUTED_VALUE"""),"")</f>
        <v/>
      </c>
      <c r="J621" s="4" t="str">
        <f>IFERROR(__xludf.DUMMYFUNCTION("""COMPUTED_VALUE"""),"")</f>
        <v/>
      </c>
      <c r="K621" s="4" t="str">
        <f>IFERROR(__xludf.DUMMYFUNCTION("""COMPUTED_VALUE"""),"")</f>
        <v/>
      </c>
    </row>
    <row r="622">
      <c r="A622" s="4" t="str">
        <f>IFERROR(__xludf.DUMMYFUNCTION("""COMPUTED_VALUE"""),"")</f>
        <v/>
      </c>
      <c r="B622" s="4" t="str">
        <f>IFERROR(__xludf.DUMMYFUNCTION("""COMPUTED_VALUE"""),"")</f>
        <v/>
      </c>
      <c r="C622" s="4" t="str">
        <f>IFERROR(__xludf.DUMMYFUNCTION("""COMPUTED_VALUE"""),"")</f>
        <v/>
      </c>
      <c r="D622" s="4" t="str">
        <f>IFERROR(__xludf.DUMMYFUNCTION("""COMPUTED_VALUE"""),"")</f>
        <v/>
      </c>
      <c r="E622" s="4" t="str">
        <f>IFERROR(__xludf.DUMMYFUNCTION("""COMPUTED_VALUE"""),"")</f>
        <v/>
      </c>
      <c r="F622" s="4" t="str">
        <f>IFERROR(__xludf.DUMMYFUNCTION("""COMPUTED_VALUE"""),"")</f>
        <v/>
      </c>
      <c r="G622" s="4" t="str">
        <f>IFERROR(__xludf.DUMMYFUNCTION("""COMPUTED_VALUE"""),"")</f>
        <v/>
      </c>
      <c r="H622" s="4" t="str">
        <f>IFERROR(__xludf.DUMMYFUNCTION("""COMPUTED_VALUE"""),"")</f>
        <v/>
      </c>
      <c r="I622" s="4" t="str">
        <f>IFERROR(__xludf.DUMMYFUNCTION("""COMPUTED_VALUE"""),"")</f>
        <v/>
      </c>
      <c r="J622" s="4" t="str">
        <f>IFERROR(__xludf.DUMMYFUNCTION("""COMPUTED_VALUE"""),"")</f>
        <v/>
      </c>
      <c r="K622" s="4" t="str">
        <f>IFERROR(__xludf.DUMMYFUNCTION("""COMPUTED_VALUE"""),"")</f>
        <v/>
      </c>
    </row>
    <row r="623">
      <c r="A623" s="4" t="str">
        <f>IFERROR(__xludf.DUMMYFUNCTION("""COMPUTED_VALUE"""),"")</f>
        <v/>
      </c>
      <c r="B623" s="4" t="str">
        <f>IFERROR(__xludf.DUMMYFUNCTION("""COMPUTED_VALUE"""),"")</f>
        <v/>
      </c>
      <c r="C623" s="4" t="str">
        <f>IFERROR(__xludf.DUMMYFUNCTION("""COMPUTED_VALUE"""),"")</f>
        <v/>
      </c>
      <c r="D623" s="4" t="str">
        <f>IFERROR(__xludf.DUMMYFUNCTION("""COMPUTED_VALUE"""),"")</f>
        <v/>
      </c>
      <c r="E623" s="4" t="str">
        <f>IFERROR(__xludf.DUMMYFUNCTION("""COMPUTED_VALUE"""),"")</f>
        <v/>
      </c>
      <c r="F623" s="4" t="str">
        <f>IFERROR(__xludf.DUMMYFUNCTION("""COMPUTED_VALUE"""),"")</f>
        <v/>
      </c>
      <c r="G623" s="4" t="str">
        <f>IFERROR(__xludf.DUMMYFUNCTION("""COMPUTED_VALUE"""),"")</f>
        <v/>
      </c>
      <c r="H623" s="4" t="str">
        <f>IFERROR(__xludf.DUMMYFUNCTION("""COMPUTED_VALUE"""),"")</f>
        <v/>
      </c>
      <c r="I623" s="4" t="str">
        <f>IFERROR(__xludf.DUMMYFUNCTION("""COMPUTED_VALUE"""),"")</f>
        <v/>
      </c>
      <c r="J623" s="4" t="str">
        <f>IFERROR(__xludf.DUMMYFUNCTION("""COMPUTED_VALUE"""),"")</f>
        <v/>
      </c>
      <c r="K623" s="4" t="str">
        <f>IFERROR(__xludf.DUMMYFUNCTION("""COMPUTED_VALUE"""),"")</f>
        <v/>
      </c>
    </row>
    <row r="624">
      <c r="A624" s="4" t="str">
        <f>IFERROR(__xludf.DUMMYFUNCTION("""COMPUTED_VALUE"""),"")</f>
        <v/>
      </c>
      <c r="B624" s="4" t="str">
        <f>IFERROR(__xludf.DUMMYFUNCTION("""COMPUTED_VALUE"""),"")</f>
        <v/>
      </c>
      <c r="C624" s="4" t="str">
        <f>IFERROR(__xludf.DUMMYFUNCTION("""COMPUTED_VALUE"""),"")</f>
        <v/>
      </c>
      <c r="D624" s="4" t="str">
        <f>IFERROR(__xludf.DUMMYFUNCTION("""COMPUTED_VALUE"""),"")</f>
        <v/>
      </c>
      <c r="E624" s="4" t="str">
        <f>IFERROR(__xludf.DUMMYFUNCTION("""COMPUTED_VALUE"""),"")</f>
        <v/>
      </c>
      <c r="F624" s="4" t="str">
        <f>IFERROR(__xludf.DUMMYFUNCTION("""COMPUTED_VALUE"""),"")</f>
        <v/>
      </c>
      <c r="G624" s="4" t="str">
        <f>IFERROR(__xludf.DUMMYFUNCTION("""COMPUTED_VALUE"""),"")</f>
        <v/>
      </c>
      <c r="H624" s="4" t="str">
        <f>IFERROR(__xludf.DUMMYFUNCTION("""COMPUTED_VALUE"""),"")</f>
        <v/>
      </c>
      <c r="I624" s="4" t="str">
        <f>IFERROR(__xludf.DUMMYFUNCTION("""COMPUTED_VALUE"""),"")</f>
        <v/>
      </c>
      <c r="J624" s="4" t="str">
        <f>IFERROR(__xludf.DUMMYFUNCTION("""COMPUTED_VALUE"""),"")</f>
        <v/>
      </c>
      <c r="K624" s="4" t="str">
        <f>IFERROR(__xludf.DUMMYFUNCTION("""COMPUTED_VALUE"""),"")</f>
        <v/>
      </c>
    </row>
    <row r="625">
      <c r="A625" s="4" t="str">
        <f>IFERROR(__xludf.DUMMYFUNCTION("""COMPUTED_VALUE"""),"")</f>
        <v/>
      </c>
      <c r="B625" s="4" t="str">
        <f>IFERROR(__xludf.DUMMYFUNCTION("""COMPUTED_VALUE"""),"")</f>
        <v/>
      </c>
      <c r="C625" s="4" t="str">
        <f>IFERROR(__xludf.DUMMYFUNCTION("""COMPUTED_VALUE"""),"")</f>
        <v/>
      </c>
      <c r="D625" s="4" t="str">
        <f>IFERROR(__xludf.DUMMYFUNCTION("""COMPUTED_VALUE"""),"")</f>
        <v/>
      </c>
      <c r="E625" s="4" t="str">
        <f>IFERROR(__xludf.DUMMYFUNCTION("""COMPUTED_VALUE"""),"")</f>
        <v/>
      </c>
      <c r="F625" s="4" t="str">
        <f>IFERROR(__xludf.DUMMYFUNCTION("""COMPUTED_VALUE"""),"")</f>
        <v/>
      </c>
      <c r="G625" s="4" t="str">
        <f>IFERROR(__xludf.DUMMYFUNCTION("""COMPUTED_VALUE"""),"")</f>
        <v/>
      </c>
      <c r="H625" s="4" t="str">
        <f>IFERROR(__xludf.DUMMYFUNCTION("""COMPUTED_VALUE"""),"")</f>
        <v/>
      </c>
      <c r="I625" s="4" t="str">
        <f>IFERROR(__xludf.DUMMYFUNCTION("""COMPUTED_VALUE"""),"")</f>
        <v/>
      </c>
      <c r="J625" s="4" t="str">
        <f>IFERROR(__xludf.DUMMYFUNCTION("""COMPUTED_VALUE"""),"")</f>
        <v/>
      </c>
      <c r="K625" s="4" t="str">
        <f>IFERROR(__xludf.DUMMYFUNCTION("""COMPUTED_VALUE"""),"")</f>
        <v/>
      </c>
    </row>
    <row r="626">
      <c r="A626" s="4" t="str">
        <f>IFERROR(__xludf.DUMMYFUNCTION("""COMPUTED_VALUE"""),"")</f>
        <v/>
      </c>
      <c r="B626" s="4" t="str">
        <f>IFERROR(__xludf.DUMMYFUNCTION("""COMPUTED_VALUE"""),"")</f>
        <v/>
      </c>
      <c r="C626" s="4" t="str">
        <f>IFERROR(__xludf.DUMMYFUNCTION("""COMPUTED_VALUE"""),"")</f>
        <v/>
      </c>
      <c r="D626" s="4" t="str">
        <f>IFERROR(__xludf.DUMMYFUNCTION("""COMPUTED_VALUE"""),"")</f>
        <v/>
      </c>
      <c r="E626" s="4" t="str">
        <f>IFERROR(__xludf.DUMMYFUNCTION("""COMPUTED_VALUE"""),"")</f>
        <v/>
      </c>
      <c r="F626" s="4" t="str">
        <f>IFERROR(__xludf.DUMMYFUNCTION("""COMPUTED_VALUE"""),"")</f>
        <v/>
      </c>
      <c r="G626" s="4" t="str">
        <f>IFERROR(__xludf.DUMMYFUNCTION("""COMPUTED_VALUE"""),"")</f>
        <v/>
      </c>
      <c r="H626" s="4" t="str">
        <f>IFERROR(__xludf.DUMMYFUNCTION("""COMPUTED_VALUE"""),"")</f>
        <v/>
      </c>
      <c r="I626" s="4" t="str">
        <f>IFERROR(__xludf.DUMMYFUNCTION("""COMPUTED_VALUE"""),"")</f>
        <v/>
      </c>
      <c r="J626" s="4" t="str">
        <f>IFERROR(__xludf.DUMMYFUNCTION("""COMPUTED_VALUE"""),"")</f>
        <v/>
      </c>
      <c r="K626" s="4" t="str">
        <f>IFERROR(__xludf.DUMMYFUNCTION("""COMPUTED_VALUE"""),"")</f>
        <v/>
      </c>
    </row>
    <row r="627">
      <c r="A627" s="4" t="str">
        <f>IFERROR(__xludf.DUMMYFUNCTION("""COMPUTED_VALUE"""),"")</f>
        <v/>
      </c>
      <c r="B627" s="4" t="str">
        <f>IFERROR(__xludf.DUMMYFUNCTION("""COMPUTED_VALUE"""),"")</f>
        <v/>
      </c>
      <c r="C627" s="4" t="str">
        <f>IFERROR(__xludf.DUMMYFUNCTION("""COMPUTED_VALUE"""),"")</f>
        <v/>
      </c>
      <c r="D627" s="4" t="str">
        <f>IFERROR(__xludf.DUMMYFUNCTION("""COMPUTED_VALUE"""),"")</f>
        <v/>
      </c>
      <c r="E627" s="4" t="str">
        <f>IFERROR(__xludf.DUMMYFUNCTION("""COMPUTED_VALUE"""),"")</f>
        <v/>
      </c>
      <c r="F627" s="4" t="str">
        <f>IFERROR(__xludf.DUMMYFUNCTION("""COMPUTED_VALUE"""),"")</f>
        <v/>
      </c>
      <c r="G627" s="4" t="str">
        <f>IFERROR(__xludf.DUMMYFUNCTION("""COMPUTED_VALUE"""),"")</f>
        <v/>
      </c>
      <c r="H627" s="4" t="str">
        <f>IFERROR(__xludf.DUMMYFUNCTION("""COMPUTED_VALUE"""),"")</f>
        <v/>
      </c>
      <c r="I627" s="4" t="str">
        <f>IFERROR(__xludf.DUMMYFUNCTION("""COMPUTED_VALUE"""),"")</f>
        <v/>
      </c>
      <c r="J627" s="4" t="str">
        <f>IFERROR(__xludf.DUMMYFUNCTION("""COMPUTED_VALUE"""),"")</f>
        <v/>
      </c>
      <c r="K627" s="4" t="str">
        <f>IFERROR(__xludf.DUMMYFUNCTION("""COMPUTED_VALUE"""),"")</f>
        <v/>
      </c>
    </row>
    <row r="628">
      <c r="A628" s="4" t="str">
        <f>IFERROR(__xludf.DUMMYFUNCTION("""COMPUTED_VALUE"""),"")</f>
        <v/>
      </c>
      <c r="B628" s="4" t="str">
        <f>IFERROR(__xludf.DUMMYFUNCTION("""COMPUTED_VALUE"""),"")</f>
        <v/>
      </c>
      <c r="C628" s="4" t="str">
        <f>IFERROR(__xludf.DUMMYFUNCTION("""COMPUTED_VALUE"""),"")</f>
        <v/>
      </c>
      <c r="D628" s="4" t="str">
        <f>IFERROR(__xludf.DUMMYFUNCTION("""COMPUTED_VALUE"""),"")</f>
        <v/>
      </c>
      <c r="E628" s="4" t="str">
        <f>IFERROR(__xludf.DUMMYFUNCTION("""COMPUTED_VALUE"""),"")</f>
        <v/>
      </c>
      <c r="F628" s="4" t="str">
        <f>IFERROR(__xludf.DUMMYFUNCTION("""COMPUTED_VALUE"""),"")</f>
        <v/>
      </c>
      <c r="G628" s="4" t="str">
        <f>IFERROR(__xludf.DUMMYFUNCTION("""COMPUTED_VALUE"""),"")</f>
        <v/>
      </c>
      <c r="H628" s="4" t="str">
        <f>IFERROR(__xludf.DUMMYFUNCTION("""COMPUTED_VALUE"""),"")</f>
        <v/>
      </c>
      <c r="I628" s="4" t="str">
        <f>IFERROR(__xludf.DUMMYFUNCTION("""COMPUTED_VALUE"""),"")</f>
        <v/>
      </c>
      <c r="J628" s="4" t="str">
        <f>IFERROR(__xludf.DUMMYFUNCTION("""COMPUTED_VALUE"""),"")</f>
        <v/>
      </c>
      <c r="K628" s="4" t="str">
        <f>IFERROR(__xludf.DUMMYFUNCTION("""COMPUTED_VALUE"""),"")</f>
        <v/>
      </c>
    </row>
    <row r="629">
      <c r="A629" s="4" t="str">
        <f>IFERROR(__xludf.DUMMYFUNCTION("""COMPUTED_VALUE"""),"")</f>
        <v/>
      </c>
      <c r="B629" s="4" t="str">
        <f>IFERROR(__xludf.DUMMYFUNCTION("""COMPUTED_VALUE"""),"")</f>
        <v/>
      </c>
      <c r="C629" s="4" t="str">
        <f>IFERROR(__xludf.DUMMYFUNCTION("""COMPUTED_VALUE"""),"")</f>
        <v/>
      </c>
      <c r="D629" s="4" t="str">
        <f>IFERROR(__xludf.DUMMYFUNCTION("""COMPUTED_VALUE"""),"")</f>
        <v/>
      </c>
      <c r="E629" s="4" t="str">
        <f>IFERROR(__xludf.DUMMYFUNCTION("""COMPUTED_VALUE"""),"")</f>
        <v/>
      </c>
      <c r="F629" s="4" t="str">
        <f>IFERROR(__xludf.DUMMYFUNCTION("""COMPUTED_VALUE"""),"")</f>
        <v/>
      </c>
      <c r="G629" s="4" t="str">
        <f>IFERROR(__xludf.DUMMYFUNCTION("""COMPUTED_VALUE"""),"")</f>
        <v/>
      </c>
      <c r="H629" s="4" t="str">
        <f>IFERROR(__xludf.DUMMYFUNCTION("""COMPUTED_VALUE"""),"")</f>
        <v/>
      </c>
      <c r="I629" s="4" t="str">
        <f>IFERROR(__xludf.DUMMYFUNCTION("""COMPUTED_VALUE"""),"")</f>
        <v/>
      </c>
      <c r="J629" s="4" t="str">
        <f>IFERROR(__xludf.DUMMYFUNCTION("""COMPUTED_VALUE"""),"")</f>
        <v/>
      </c>
      <c r="K629" s="4" t="str">
        <f>IFERROR(__xludf.DUMMYFUNCTION("""COMPUTED_VALUE"""),"")</f>
        <v/>
      </c>
    </row>
    <row r="630">
      <c r="A630" s="4" t="str">
        <f>IFERROR(__xludf.DUMMYFUNCTION("""COMPUTED_VALUE"""),"")</f>
        <v/>
      </c>
      <c r="B630" s="4" t="str">
        <f>IFERROR(__xludf.DUMMYFUNCTION("""COMPUTED_VALUE"""),"")</f>
        <v/>
      </c>
      <c r="C630" s="4" t="str">
        <f>IFERROR(__xludf.DUMMYFUNCTION("""COMPUTED_VALUE"""),"")</f>
        <v/>
      </c>
      <c r="D630" s="4" t="str">
        <f>IFERROR(__xludf.DUMMYFUNCTION("""COMPUTED_VALUE"""),"")</f>
        <v/>
      </c>
      <c r="E630" s="4" t="str">
        <f>IFERROR(__xludf.DUMMYFUNCTION("""COMPUTED_VALUE"""),"")</f>
        <v/>
      </c>
      <c r="F630" s="4" t="str">
        <f>IFERROR(__xludf.DUMMYFUNCTION("""COMPUTED_VALUE"""),"")</f>
        <v/>
      </c>
      <c r="G630" s="4" t="str">
        <f>IFERROR(__xludf.DUMMYFUNCTION("""COMPUTED_VALUE"""),"")</f>
        <v/>
      </c>
      <c r="H630" s="4" t="str">
        <f>IFERROR(__xludf.DUMMYFUNCTION("""COMPUTED_VALUE"""),"")</f>
        <v/>
      </c>
      <c r="I630" s="4" t="str">
        <f>IFERROR(__xludf.DUMMYFUNCTION("""COMPUTED_VALUE"""),"")</f>
        <v/>
      </c>
      <c r="J630" s="4" t="str">
        <f>IFERROR(__xludf.DUMMYFUNCTION("""COMPUTED_VALUE"""),"")</f>
        <v/>
      </c>
      <c r="K630" s="4" t="str">
        <f>IFERROR(__xludf.DUMMYFUNCTION("""COMPUTED_VALUE"""),"")</f>
        <v/>
      </c>
    </row>
    <row r="631">
      <c r="A631" s="4" t="str">
        <f>IFERROR(__xludf.DUMMYFUNCTION("""COMPUTED_VALUE"""),"")</f>
        <v/>
      </c>
      <c r="B631" s="4" t="str">
        <f>IFERROR(__xludf.DUMMYFUNCTION("""COMPUTED_VALUE"""),"")</f>
        <v/>
      </c>
      <c r="C631" s="4" t="str">
        <f>IFERROR(__xludf.DUMMYFUNCTION("""COMPUTED_VALUE"""),"")</f>
        <v/>
      </c>
      <c r="D631" s="4" t="str">
        <f>IFERROR(__xludf.DUMMYFUNCTION("""COMPUTED_VALUE"""),"")</f>
        <v/>
      </c>
      <c r="E631" s="4" t="str">
        <f>IFERROR(__xludf.DUMMYFUNCTION("""COMPUTED_VALUE"""),"")</f>
        <v/>
      </c>
      <c r="F631" s="4" t="str">
        <f>IFERROR(__xludf.DUMMYFUNCTION("""COMPUTED_VALUE"""),"")</f>
        <v/>
      </c>
      <c r="G631" s="4" t="str">
        <f>IFERROR(__xludf.DUMMYFUNCTION("""COMPUTED_VALUE"""),"")</f>
        <v/>
      </c>
      <c r="H631" s="4" t="str">
        <f>IFERROR(__xludf.DUMMYFUNCTION("""COMPUTED_VALUE"""),"")</f>
        <v/>
      </c>
      <c r="I631" s="4" t="str">
        <f>IFERROR(__xludf.DUMMYFUNCTION("""COMPUTED_VALUE"""),"")</f>
        <v/>
      </c>
      <c r="J631" s="4" t="str">
        <f>IFERROR(__xludf.DUMMYFUNCTION("""COMPUTED_VALUE"""),"")</f>
        <v/>
      </c>
      <c r="K631" s="4" t="str">
        <f>IFERROR(__xludf.DUMMYFUNCTION("""COMPUTED_VALUE"""),"")</f>
        <v/>
      </c>
    </row>
    <row r="632">
      <c r="A632" s="4" t="str">
        <f>IFERROR(__xludf.DUMMYFUNCTION("""COMPUTED_VALUE"""),"")</f>
        <v/>
      </c>
      <c r="B632" s="4" t="str">
        <f>IFERROR(__xludf.DUMMYFUNCTION("""COMPUTED_VALUE"""),"")</f>
        <v/>
      </c>
      <c r="C632" s="4" t="str">
        <f>IFERROR(__xludf.DUMMYFUNCTION("""COMPUTED_VALUE"""),"")</f>
        <v/>
      </c>
      <c r="D632" s="4" t="str">
        <f>IFERROR(__xludf.DUMMYFUNCTION("""COMPUTED_VALUE"""),"")</f>
        <v/>
      </c>
      <c r="E632" s="4" t="str">
        <f>IFERROR(__xludf.DUMMYFUNCTION("""COMPUTED_VALUE"""),"")</f>
        <v/>
      </c>
      <c r="F632" s="4" t="str">
        <f>IFERROR(__xludf.DUMMYFUNCTION("""COMPUTED_VALUE"""),"")</f>
        <v/>
      </c>
      <c r="G632" s="4" t="str">
        <f>IFERROR(__xludf.DUMMYFUNCTION("""COMPUTED_VALUE"""),"")</f>
        <v/>
      </c>
      <c r="H632" s="4" t="str">
        <f>IFERROR(__xludf.DUMMYFUNCTION("""COMPUTED_VALUE"""),"")</f>
        <v/>
      </c>
      <c r="I632" s="4" t="str">
        <f>IFERROR(__xludf.DUMMYFUNCTION("""COMPUTED_VALUE"""),"")</f>
        <v/>
      </c>
      <c r="J632" s="4" t="str">
        <f>IFERROR(__xludf.DUMMYFUNCTION("""COMPUTED_VALUE"""),"")</f>
        <v/>
      </c>
      <c r="K632" s="4" t="str">
        <f>IFERROR(__xludf.DUMMYFUNCTION("""COMPUTED_VALUE"""),"")</f>
        <v/>
      </c>
    </row>
    <row r="633">
      <c r="A633" s="4" t="str">
        <f>IFERROR(__xludf.DUMMYFUNCTION("""COMPUTED_VALUE"""),"")</f>
        <v/>
      </c>
      <c r="B633" s="4" t="str">
        <f>IFERROR(__xludf.DUMMYFUNCTION("""COMPUTED_VALUE"""),"")</f>
        <v/>
      </c>
      <c r="C633" s="4" t="str">
        <f>IFERROR(__xludf.DUMMYFUNCTION("""COMPUTED_VALUE"""),"")</f>
        <v/>
      </c>
      <c r="D633" s="4" t="str">
        <f>IFERROR(__xludf.DUMMYFUNCTION("""COMPUTED_VALUE"""),"")</f>
        <v/>
      </c>
      <c r="E633" s="4" t="str">
        <f>IFERROR(__xludf.DUMMYFUNCTION("""COMPUTED_VALUE"""),"")</f>
        <v/>
      </c>
      <c r="F633" s="4" t="str">
        <f>IFERROR(__xludf.DUMMYFUNCTION("""COMPUTED_VALUE"""),"")</f>
        <v/>
      </c>
      <c r="G633" s="4" t="str">
        <f>IFERROR(__xludf.DUMMYFUNCTION("""COMPUTED_VALUE"""),"")</f>
        <v/>
      </c>
      <c r="H633" s="4" t="str">
        <f>IFERROR(__xludf.DUMMYFUNCTION("""COMPUTED_VALUE"""),"")</f>
        <v/>
      </c>
      <c r="I633" s="4" t="str">
        <f>IFERROR(__xludf.DUMMYFUNCTION("""COMPUTED_VALUE"""),"")</f>
        <v/>
      </c>
      <c r="J633" s="4" t="str">
        <f>IFERROR(__xludf.DUMMYFUNCTION("""COMPUTED_VALUE"""),"")</f>
        <v/>
      </c>
      <c r="K633" s="4" t="str">
        <f>IFERROR(__xludf.DUMMYFUNCTION("""COMPUTED_VALUE"""),"")</f>
        <v/>
      </c>
    </row>
    <row r="634">
      <c r="A634" s="4" t="str">
        <f>IFERROR(__xludf.DUMMYFUNCTION("""COMPUTED_VALUE"""),"")</f>
        <v/>
      </c>
      <c r="B634" s="4" t="str">
        <f>IFERROR(__xludf.DUMMYFUNCTION("""COMPUTED_VALUE"""),"")</f>
        <v/>
      </c>
      <c r="C634" s="4" t="str">
        <f>IFERROR(__xludf.DUMMYFUNCTION("""COMPUTED_VALUE"""),"")</f>
        <v/>
      </c>
      <c r="D634" s="4" t="str">
        <f>IFERROR(__xludf.DUMMYFUNCTION("""COMPUTED_VALUE"""),"")</f>
        <v/>
      </c>
      <c r="E634" s="4" t="str">
        <f>IFERROR(__xludf.DUMMYFUNCTION("""COMPUTED_VALUE"""),"")</f>
        <v/>
      </c>
      <c r="F634" s="4" t="str">
        <f>IFERROR(__xludf.DUMMYFUNCTION("""COMPUTED_VALUE"""),"")</f>
        <v/>
      </c>
      <c r="G634" s="4" t="str">
        <f>IFERROR(__xludf.DUMMYFUNCTION("""COMPUTED_VALUE"""),"")</f>
        <v/>
      </c>
      <c r="H634" s="4" t="str">
        <f>IFERROR(__xludf.DUMMYFUNCTION("""COMPUTED_VALUE"""),"")</f>
        <v/>
      </c>
      <c r="I634" s="4" t="str">
        <f>IFERROR(__xludf.DUMMYFUNCTION("""COMPUTED_VALUE"""),"")</f>
        <v/>
      </c>
      <c r="J634" s="4" t="str">
        <f>IFERROR(__xludf.DUMMYFUNCTION("""COMPUTED_VALUE"""),"")</f>
        <v/>
      </c>
      <c r="K634" s="4" t="str">
        <f>IFERROR(__xludf.DUMMYFUNCTION("""COMPUTED_VALUE"""),"")</f>
        <v/>
      </c>
    </row>
    <row r="635">
      <c r="A635" s="4" t="str">
        <f>IFERROR(__xludf.DUMMYFUNCTION("""COMPUTED_VALUE"""),"")</f>
        <v/>
      </c>
      <c r="B635" s="4" t="str">
        <f>IFERROR(__xludf.DUMMYFUNCTION("""COMPUTED_VALUE"""),"")</f>
        <v/>
      </c>
      <c r="C635" s="4" t="str">
        <f>IFERROR(__xludf.DUMMYFUNCTION("""COMPUTED_VALUE"""),"")</f>
        <v/>
      </c>
      <c r="D635" s="4" t="str">
        <f>IFERROR(__xludf.DUMMYFUNCTION("""COMPUTED_VALUE"""),"")</f>
        <v/>
      </c>
      <c r="E635" s="4" t="str">
        <f>IFERROR(__xludf.DUMMYFUNCTION("""COMPUTED_VALUE"""),"")</f>
        <v/>
      </c>
      <c r="F635" s="4" t="str">
        <f>IFERROR(__xludf.DUMMYFUNCTION("""COMPUTED_VALUE"""),"")</f>
        <v/>
      </c>
      <c r="G635" s="4" t="str">
        <f>IFERROR(__xludf.DUMMYFUNCTION("""COMPUTED_VALUE"""),"")</f>
        <v/>
      </c>
      <c r="H635" s="4" t="str">
        <f>IFERROR(__xludf.DUMMYFUNCTION("""COMPUTED_VALUE"""),"")</f>
        <v/>
      </c>
      <c r="I635" s="4" t="str">
        <f>IFERROR(__xludf.DUMMYFUNCTION("""COMPUTED_VALUE"""),"")</f>
        <v/>
      </c>
      <c r="J635" s="4" t="str">
        <f>IFERROR(__xludf.DUMMYFUNCTION("""COMPUTED_VALUE"""),"")</f>
        <v/>
      </c>
      <c r="K635" s="4" t="str">
        <f>IFERROR(__xludf.DUMMYFUNCTION("""COMPUTED_VALUE"""),"")</f>
        <v/>
      </c>
    </row>
    <row r="636">
      <c r="A636" s="4" t="str">
        <f>IFERROR(__xludf.DUMMYFUNCTION("""COMPUTED_VALUE"""),"")</f>
        <v/>
      </c>
      <c r="B636" s="4" t="str">
        <f>IFERROR(__xludf.DUMMYFUNCTION("""COMPUTED_VALUE"""),"")</f>
        <v/>
      </c>
      <c r="C636" s="4" t="str">
        <f>IFERROR(__xludf.DUMMYFUNCTION("""COMPUTED_VALUE"""),"")</f>
        <v/>
      </c>
      <c r="D636" s="4" t="str">
        <f>IFERROR(__xludf.DUMMYFUNCTION("""COMPUTED_VALUE"""),"")</f>
        <v/>
      </c>
      <c r="E636" s="4" t="str">
        <f>IFERROR(__xludf.DUMMYFUNCTION("""COMPUTED_VALUE"""),"")</f>
        <v/>
      </c>
      <c r="F636" s="4" t="str">
        <f>IFERROR(__xludf.DUMMYFUNCTION("""COMPUTED_VALUE"""),"")</f>
        <v/>
      </c>
      <c r="G636" s="4" t="str">
        <f>IFERROR(__xludf.DUMMYFUNCTION("""COMPUTED_VALUE"""),"")</f>
        <v/>
      </c>
      <c r="H636" s="4" t="str">
        <f>IFERROR(__xludf.DUMMYFUNCTION("""COMPUTED_VALUE"""),"")</f>
        <v/>
      </c>
      <c r="I636" s="4" t="str">
        <f>IFERROR(__xludf.DUMMYFUNCTION("""COMPUTED_VALUE"""),"")</f>
        <v/>
      </c>
      <c r="J636" s="4" t="str">
        <f>IFERROR(__xludf.DUMMYFUNCTION("""COMPUTED_VALUE"""),"")</f>
        <v/>
      </c>
      <c r="K636" s="4" t="str">
        <f>IFERROR(__xludf.DUMMYFUNCTION("""COMPUTED_VALUE"""),"")</f>
        <v/>
      </c>
    </row>
    <row r="637">
      <c r="A637" s="4" t="str">
        <f>IFERROR(__xludf.DUMMYFUNCTION("""COMPUTED_VALUE"""),"")</f>
        <v/>
      </c>
      <c r="B637" s="4" t="str">
        <f>IFERROR(__xludf.DUMMYFUNCTION("""COMPUTED_VALUE"""),"")</f>
        <v/>
      </c>
      <c r="C637" s="4" t="str">
        <f>IFERROR(__xludf.DUMMYFUNCTION("""COMPUTED_VALUE"""),"")</f>
        <v/>
      </c>
      <c r="D637" s="4" t="str">
        <f>IFERROR(__xludf.DUMMYFUNCTION("""COMPUTED_VALUE"""),"")</f>
        <v/>
      </c>
      <c r="E637" s="4" t="str">
        <f>IFERROR(__xludf.DUMMYFUNCTION("""COMPUTED_VALUE"""),"")</f>
        <v/>
      </c>
      <c r="F637" s="4" t="str">
        <f>IFERROR(__xludf.DUMMYFUNCTION("""COMPUTED_VALUE"""),"")</f>
        <v/>
      </c>
      <c r="G637" s="4" t="str">
        <f>IFERROR(__xludf.DUMMYFUNCTION("""COMPUTED_VALUE"""),"")</f>
        <v/>
      </c>
      <c r="H637" s="4" t="str">
        <f>IFERROR(__xludf.DUMMYFUNCTION("""COMPUTED_VALUE"""),"")</f>
        <v/>
      </c>
      <c r="I637" s="4" t="str">
        <f>IFERROR(__xludf.DUMMYFUNCTION("""COMPUTED_VALUE"""),"")</f>
        <v/>
      </c>
      <c r="J637" s="4" t="str">
        <f>IFERROR(__xludf.DUMMYFUNCTION("""COMPUTED_VALUE"""),"")</f>
        <v/>
      </c>
      <c r="K637" s="4" t="str">
        <f>IFERROR(__xludf.DUMMYFUNCTION("""COMPUTED_VALUE"""),"")</f>
        <v/>
      </c>
    </row>
    <row r="638">
      <c r="A638" s="4" t="str">
        <f>IFERROR(__xludf.DUMMYFUNCTION("""COMPUTED_VALUE"""),"")</f>
        <v/>
      </c>
      <c r="B638" s="4" t="str">
        <f>IFERROR(__xludf.DUMMYFUNCTION("""COMPUTED_VALUE"""),"")</f>
        <v/>
      </c>
      <c r="C638" s="4" t="str">
        <f>IFERROR(__xludf.DUMMYFUNCTION("""COMPUTED_VALUE"""),"")</f>
        <v/>
      </c>
      <c r="D638" s="4" t="str">
        <f>IFERROR(__xludf.DUMMYFUNCTION("""COMPUTED_VALUE"""),"")</f>
        <v/>
      </c>
      <c r="E638" s="4" t="str">
        <f>IFERROR(__xludf.DUMMYFUNCTION("""COMPUTED_VALUE"""),"")</f>
        <v/>
      </c>
      <c r="F638" s="4" t="str">
        <f>IFERROR(__xludf.DUMMYFUNCTION("""COMPUTED_VALUE"""),"")</f>
        <v/>
      </c>
      <c r="G638" s="4" t="str">
        <f>IFERROR(__xludf.DUMMYFUNCTION("""COMPUTED_VALUE"""),"")</f>
        <v/>
      </c>
      <c r="H638" s="4" t="str">
        <f>IFERROR(__xludf.DUMMYFUNCTION("""COMPUTED_VALUE"""),"")</f>
        <v/>
      </c>
      <c r="I638" s="4" t="str">
        <f>IFERROR(__xludf.DUMMYFUNCTION("""COMPUTED_VALUE"""),"")</f>
        <v/>
      </c>
      <c r="J638" s="4" t="str">
        <f>IFERROR(__xludf.DUMMYFUNCTION("""COMPUTED_VALUE"""),"")</f>
        <v/>
      </c>
      <c r="K638" s="4" t="str">
        <f>IFERROR(__xludf.DUMMYFUNCTION("""COMPUTED_VALUE"""),"")</f>
        <v/>
      </c>
    </row>
    <row r="639">
      <c r="A639" s="4" t="str">
        <f>IFERROR(__xludf.DUMMYFUNCTION("""COMPUTED_VALUE"""),"")</f>
        <v/>
      </c>
      <c r="B639" s="4" t="str">
        <f>IFERROR(__xludf.DUMMYFUNCTION("""COMPUTED_VALUE"""),"")</f>
        <v/>
      </c>
      <c r="C639" s="4" t="str">
        <f>IFERROR(__xludf.DUMMYFUNCTION("""COMPUTED_VALUE"""),"")</f>
        <v/>
      </c>
      <c r="D639" s="4" t="str">
        <f>IFERROR(__xludf.DUMMYFUNCTION("""COMPUTED_VALUE"""),"")</f>
        <v/>
      </c>
      <c r="E639" s="4" t="str">
        <f>IFERROR(__xludf.DUMMYFUNCTION("""COMPUTED_VALUE"""),"")</f>
        <v/>
      </c>
      <c r="F639" s="4" t="str">
        <f>IFERROR(__xludf.DUMMYFUNCTION("""COMPUTED_VALUE"""),"")</f>
        <v/>
      </c>
      <c r="G639" s="4" t="str">
        <f>IFERROR(__xludf.DUMMYFUNCTION("""COMPUTED_VALUE"""),"")</f>
        <v/>
      </c>
      <c r="H639" s="4" t="str">
        <f>IFERROR(__xludf.DUMMYFUNCTION("""COMPUTED_VALUE"""),"")</f>
        <v/>
      </c>
      <c r="I639" s="4" t="str">
        <f>IFERROR(__xludf.DUMMYFUNCTION("""COMPUTED_VALUE"""),"")</f>
        <v/>
      </c>
      <c r="J639" s="4" t="str">
        <f>IFERROR(__xludf.DUMMYFUNCTION("""COMPUTED_VALUE"""),"")</f>
        <v/>
      </c>
      <c r="K639" s="4" t="str">
        <f>IFERROR(__xludf.DUMMYFUNCTION("""COMPUTED_VALUE"""),"")</f>
        <v/>
      </c>
    </row>
    <row r="640">
      <c r="A640" s="4" t="str">
        <f>IFERROR(__xludf.DUMMYFUNCTION("""COMPUTED_VALUE"""),"")</f>
        <v/>
      </c>
      <c r="B640" s="4" t="str">
        <f>IFERROR(__xludf.DUMMYFUNCTION("""COMPUTED_VALUE"""),"")</f>
        <v/>
      </c>
      <c r="C640" s="4" t="str">
        <f>IFERROR(__xludf.DUMMYFUNCTION("""COMPUTED_VALUE"""),"")</f>
        <v/>
      </c>
      <c r="D640" s="4" t="str">
        <f>IFERROR(__xludf.DUMMYFUNCTION("""COMPUTED_VALUE"""),"")</f>
        <v/>
      </c>
      <c r="E640" s="4" t="str">
        <f>IFERROR(__xludf.DUMMYFUNCTION("""COMPUTED_VALUE"""),"")</f>
        <v/>
      </c>
      <c r="F640" s="4" t="str">
        <f>IFERROR(__xludf.DUMMYFUNCTION("""COMPUTED_VALUE"""),"")</f>
        <v/>
      </c>
      <c r="G640" s="4" t="str">
        <f>IFERROR(__xludf.DUMMYFUNCTION("""COMPUTED_VALUE"""),"")</f>
        <v/>
      </c>
      <c r="H640" s="4" t="str">
        <f>IFERROR(__xludf.DUMMYFUNCTION("""COMPUTED_VALUE"""),"")</f>
        <v/>
      </c>
      <c r="I640" s="4" t="str">
        <f>IFERROR(__xludf.DUMMYFUNCTION("""COMPUTED_VALUE"""),"")</f>
        <v/>
      </c>
      <c r="J640" s="4" t="str">
        <f>IFERROR(__xludf.DUMMYFUNCTION("""COMPUTED_VALUE"""),"")</f>
        <v/>
      </c>
      <c r="K640" s="4" t="str">
        <f>IFERROR(__xludf.DUMMYFUNCTION("""COMPUTED_VALUE"""),"")</f>
        <v/>
      </c>
    </row>
    <row r="641">
      <c r="A641" s="4" t="str">
        <f>IFERROR(__xludf.DUMMYFUNCTION("""COMPUTED_VALUE"""),"")</f>
        <v/>
      </c>
      <c r="B641" s="4" t="str">
        <f>IFERROR(__xludf.DUMMYFUNCTION("""COMPUTED_VALUE"""),"")</f>
        <v/>
      </c>
      <c r="C641" s="4" t="str">
        <f>IFERROR(__xludf.DUMMYFUNCTION("""COMPUTED_VALUE"""),"")</f>
        <v/>
      </c>
      <c r="D641" s="4" t="str">
        <f>IFERROR(__xludf.DUMMYFUNCTION("""COMPUTED_VALUE"""),"")</f>
        <v/>
      </c>
      <c r="E641" s="4" t="str">
        <f>IFERROR(__xludf.DUMMYFUNCTION("""COMPUTED_VALUE"""),"")</f>
        <v/>
      </c>
      <c r="F641" s="4" t="str">
        <f>IFERROR(__xludf.DUMMYFUNCTION("""COMPUTED_VALUE"""),"")</f>
        <v/>
      </c>
      <c r="G641" s="4" t="str">
        <f>IFERROR(__xludf.DUMMYFUNCTION("""COMPUTED_VALUE"""),"")</f>
        <v/>
      </c>
      <c r="H641" s="4" t="str">
        <f>IFERROR(__xludf.DUMMYFUNCTION("""COMPUTED_VALUE"""),"")</f>
        <v/>
      </c>
      <c r="I641" s="4" t="str">
        <f>IFERROR(__xludf.DUMMYFUNCTION("""COMPUTED_VALUE"""),"")</f>
        <v/>
      </c>
      <c r="J641" s="4" t="str">
        <f>IFERROR(__xludf.DUMMYFUNCTION("""COMPUTED_VALUE"""),"")</f>
        <v/>
      </c>
      <c r="K641" s="4" t="str">
        <f>IFERROR(__xludf.DUMMYFUNCTION("""COMPUTED_VALUE"""),"")</f>
        <v/>
      </c>
    </row>
    <row r="642">
      <c r="A642" s="4" t="str">
        <f>IFERROR(__xludf.DUMMYFUNCTION("""COMPUTED_VALUE"""),"")</f>
        <v/>
      </c>
      <c r="B642" s="4" t="str">
        <f>IFERROR(__xludf.DUMMYFUNCTION("""COMPUTED_VALUE"""),"")</f>
        <v/>
      </c>
      <c r="C642" s="4" t="str">
        <f>IFERROR(__xludf.DUMMYFUNCTION("""COMPUTED_VALUE"""),"")</f>
        <v/>
      </c>
      <c r="D642" s="4" t="str">
        <f>IFERROR(__xludf.DUMMYFUNCTION("""COMPUTED_VALUE"""),"")</f>
        <v/>
      </c>
      <c r="E642" s="4" t="str">
        <f>IFERROR(__xludf.DUMMYFUNCTION("""COMPUTED_VALUE"""),"")</f>
        <v/>
      </c>
      <c r="F642" s="4" t="str">
        <f>IFERROR(__xludf.DUMMYFUNCTION("""COMPUTED_VALUE"""),"")</f>
        <v/>
      </c>
      <c r="G642" s="4" t="str">
        <f>IFERROR(__xludf.DUMMYFUNCTION("""COMPUTED_VALUE"""),"")</f>
        <v/>
      </c>
      <c r="H642" s="4" t="str">
        <f>IFERROR(__xludf.DUMMYFUNCTION("""COMPUTED_VALUE"""),"")</f>
        <v/>
      </c>
      <c r="I642" s="4" t="str">
        <f>IFERROR(__xludf.DUMMYFUNCTION("""COMPUTED_VALUE"""),"")</f>
        <v/>
      </c>
      <c r="J642" s="4" t="str">
        <f>IFERROR(__xludf.DUMMYFUNCTION("""COMPUTED_VALUE"""),"")</f>
        <v/>
      </c>
      <c r="K642" s="4" t="str">
        <f>IFERROR(__xludf.DUMMYFUNCTION("""COMPUTED_VALUE"""),"")</f>
        <v/>
      </c>
    </row>
    <row r="643">
      <c r="A643" s="4" t="str">
        <f>IFERROR(__xludf.DUMMYFUNCTION("""COMPUTED_VALUE"""),"")</f>
        <v/>
      </c>
      <c r="B643" s="4" t="str">
        <f>IFERROR(__xludf.DUMMYFUNCTION("""COMPUTED_VALUE"""),"")</f>
        <v/>
      </c>
      <c r="C643" s="4" t="str">
        <f>IFERROR(__xludf.DUMMYFUNCTION("""COMPUTED_VALUE"""),"")</f>
        <v/>
      </c>
      <c r="D643" s="4" t="str">
        <f>IFERROR(__xludf.DUMMYFUNCTION("""COMPUTED_VALUE"""),"")</f>
        <v/>
      </c>
      <c r="E643" s="4" t="str">
        <f>IFERROR(__xludf.DUMMYFUNCTION("""COMPUTED_VALUE"""),"")</f>
        <v/>
      </c>
      <c r="F643" s="4" t="str">
        <f>IFERROR(__xludf.DUMMYFUNCTION("""COMPUTED_VALUE"""),"")</f>
        <v/>
      </c>
      <c r="G643" s="4" t="str">
        <f>IFERROR(__xludf.DUMMYFUNCTION("""COMPUTED_VALUE"""),"")</f>
        <v/>
      </c>
      <c r="H643" s="4" t="str">
        <f>IFERROR(__xludf.DUMMYFUNCTION("""COMPUTED_VALUE"""),"")</f>
        <v/>
      </c>
      <c r="I643" s="4" t="str">
        <f>IFERROR(__xludf.DUMMYFUNCTION("""COMPUTED_VALUE"""),"")</f>
        <v/>
      </c>
      <c r="J643" s="4" t="str">
        <f>IFERROR(__xludf.DUMMYFUNCTION("""COMPUTED_VALUE"""),"")</f>
        <v/>
      </c>
      <c r="K643" s="4" t="str">
        <f>IFERROR(__xludf.DUMMYFUNCTION("""COMPUTED_VALUE"""),"")</f>
        <v/>
      </c>
    </row>
    <row r="644">
      <c r="A644" s="4" t="str">
        <f>IFERROR(__xludf.DUMMYFUNCTION("""COMPUTED_VALUE"""),"")</f>
        <v/>
      </c>
      <c r="B644" s="4" t="str">
        <f>IFERROR(__xludf.DUMMYFUNCTION("""COMPUTED_VALUE"""),"")</f>
        <v/>
      </c>
      <c r="C644" s="4" t="str">
        <f>IFERROR(__xludf.DUMMYFUNCTION("""COMPUTED_VALUE"""),"")</f>
        <v/>
      </c>
      <c r="D644" s="4" t="str">
        <f>IFERROR(__xludf.DUMMYFUNCTION("""COMPUTED_VALUE"""),"")</f>
        <v/>
      </c>
      <c r="E644" s="4" t="str">
        <f>IFERROR(__xludf.DUMMYFUNCTION("""COMPUTED_VALUE"""),"")</f>
        <v/>
      </c>
      <c r="F644" s="4" t="str">
        <f>IFERROR(__xludf.DUMMYFUNCTION("""COMPUTED_VALUE"""),"")</f>
        <v/>
      </c>
      <c r="G644" s="4" t="str">
        <f>IFERROR(__xludf.DUMMYFUNCTION("""COMPUTED_VALUE"""),"")</f>
        <v/>
      </c>
      <c r="H644" s="4" t="str">
        <f>IFERROR(__xludf.DUMMYFUNCTION("""COMPUTED_VALUE"""),"")</f>
        <v/>
      </c>
      <c r="I644" s="4" t="str">
        <f>IFERROR(__xludf.DUMMYFUNCTION("""COMPUTED_VALUE"""),"")</f>
        <v/>
      </c>
      <c r="J644" s="4" t="str">
        <f>IFERROR(__xludf.DUMMYFUNCTION("""COMPUTED_VALUE"""),"")</f>
        <v/>
      </c>
      <c r="K644" s="4" t="str">
        <f>IFERROR(__xludf.DUMMYFUNCTION("""COMPUTED_VALUE"""),"")</f>
        <v/>
      </c>
    </row>
    <row r="645">
      <c r="A645" s="4" t="str">
        <f>IFERROR(__xludf.DUMMYFUNCTION("""COMPUTED_VALUE"""),"")</f>
        <v/>
      </c>
      <c r="B645" s="4" t="str">
        <f>IFERROR(__xludf.DUMMYFUNCTION("""COMPUTED_VALUE"""),"")</f>
        <v/>
      </c>
      <c r="C645" s="4" t="str">
        <f>IFERROR(__xludf.DUMMYFUNCTION("""COMPUTED_VALUE"""),"")</f>
        <v/>
      </c>
      <c r="D645" s="4" t="str">
        <f>IFERROR(__xludf.DUMMYFUNCTION("""COMPUTED_VALUE"""),"")</f>
        <v/>
      </c>
      <c r="E645" s="4" t="str">
        <f>IFERROR(__xludf.DUMMYFUNCTION("""COMPUTED_VALUE"""),"")</f>
        <v/>
      </c>
      <c r="F645" s="4" t="str">
        <f>IFERROR(__xludf.DUMMYFUNCTION("""COMPUTED_VALUE"""),"")</f>
        <v/>
      </c>
      <c r="G645" s="4" t="str">
        <f>IFERROR(__xludf.DUMMYFUNCTION("""COMPUTED_VALUE"""),"")</f>
        <v/>
      </c>
      <c r="H645" s="4" t="str">
        <f>IFERROR(__xludf.DUMMYFUNCTION("""COMPUTED_VALUE"""),"")</f>
        <v/>
      </c>
      <c r="I645" s="4" t="str">
        <f>IFERROR(__xludf.DUMMYFUNCTION("""COMPUTED_VALUE"""),"")</f>
        <v/>
      </c>
      <c r="J645" s="4" t="str">
        <f>IFERROR(__xludf.DUMMYFUNCTION("""COMPUTED_VALUE"""),"")</f>
        <v/>
      </c>
      <c r="K645" s="4" t="str">
        <f>IFERROR(__xludf.DUMMYFUNCTION("""COMPUTED_VALUE"""),"")</f>
        <v/>
      </c>
    </row>
    <row r="646">
      <c r="A646" s="4" t="str">
        <f>IFERROR(__xludf.DUMMYFUNCTION("""COMPUTED_VALUE"""),"")</f>
        <v/>
      </c>
      <c r="B646" s="4" t="str">
        <f>IFERROR(__xludf.DUMMYFUNCTION("""COMPUTED_VALUE"""),"")</f>
        <v/>
      </c>
      <c r="C646" s="4" t="str">
        <f>IFERROR(__xludf.DUMMYFUNCTION("""COMPUTED_VALUE"""),"")</f>
        <v/>
      </c>
      <c r="D646" s="4" t="str">
        <f>IFERROR(__xludf.DUMMYFUNCTION("""COMPUTED_VALUE"""),"")</f>
        <v/>
      </c>
      <c r="E646" s="4" t="str">
        <f>IFERROR(__xludf.DUMMYFUNCTION("""COMPUTED_VALUE"""),"")</f>
        <v/>
      </c>
      <c r="F646" s="4" t="str">
        <f>IFERROR(__xludf.DUMMYFUNCTION("""COMPUTED_VALUE"""),"")</f>
        <v/>
      </c>
      <c r="G646" s="4" t="str">
        <f>IFERROR(__xludf.DUMMYFUNCTION("""COMPUTED_VALUE"""),"")</f>
        <v/>
      </c>
      <c r="H646" s="4" t="str">
        <f>IFERROR(__xludf.DUMMYFUNCTION("""COMPUTED_VALUE"""),"")</f>
        <v/>
      </c>
      <c r="I646" s="4" t="str">
        <f>IFERROR(__xludf.DUMMYFUNCTION("""COMPUTED_VALUE"""),"")</f>
        <v/>
      </c>
      <c r="J646" s="4" t="str">
        <f>IFERROR(__xludf.DUMMYFUNCTION("""COMPUTED_VALUE"""),"")</f>
        <v/>
      </c>
      <c r="K646" s="4" t="str">
        <f>IFERROR(__xludf.DUMMYFUNCTION("""COMPUTED_VALUE"""),"")</f>
        <v/>
      </c>
    </row>
    <row r="647">
      <c r="A647" s="4" t="str">
        <f>IFERROR(__xludf.DUMMYFUNCTION("""COMPUTED_VALUE"""),"")</f>
        <v/>
      </c>
      <c r="B647" s="4" t="str">
        <f>IFERROR(__xludf.DUMMYFUNCTION("""COMPUTED_VALUE"""),"")</f>
        <v/>
      </c>
      <c r="C647" s="4" t="str">
        <f>IFERROR(__xludf.DUMMYFUNCTION("""COMPUTED_VALUE"""),"")</f>
        <v/>
      </c>
      <c r="D647" s="4" t="str">
        <f>IFERROR(__xludf.DUMMYFUNCTION("""COMPUTED_VALUE"""),"")</f>
        <v/>
      </c>
      <c r="E647" s="4" t="str">
        <f>IFERROR(__xludf.DUMMYFUNCTION("""COMPUTED_VALUE"""),"")</f>
        <v/>
      </c>
      <c r="F647" s="4" t="str">
        <f>IFERROR(__xludf.DUMMYFUNCTION("""COMPUTED_VALUE"""),"")</f>
        <v/>
      </c>
      <c r="G647" s="4" t="str">
        <f>IFERROR(__xludf.DUMMYFUNCTION("""COMPUTED_VALUE"""),"")</f>
        <v/>
      </c>
      <c r="H647" s="4" t="str">
        <f>IFERROR(__xludf.DUMMYFUNCTION("""COMPUTED_VALUE"""),"")</f>
        <v/>
      </c>
      <c r="I647" s="4" t="str">
        <f>IFERROR(__xludf.DUMMYFUNCTION("""COMPUTED_VALUE"""),"")</f>
        <v/>
      </c>
      <c r="J647" s="4" t="str">
        <f>IFERROR(__xludf.DUMMYFUNCTION("""COMPUTED_VALUE"""),"")</f>
        <v/>
      </c>
      <c r="K647" s="4" t="str">
        <f>IFERROR(__xludf.DUMMYFUNCTION("""COMPUTED_VALUE"""),"")</f>
        <v/>
      </c>
    </row>
    <row r="648">
      <c r="A648" s="4" t="str">
        <f>IFERROR(__xludf.DUMMYFUNCTION("""COMPUTED_VALUE"""),"")</f>
        <v/>
      </c>
      <c r="B648" s="4" t="str">
        <f>IFERROR(__xludf.DUMMYFUNCTION("""COMPUTED_VALUE"""),"")</f>
        <v/>
      </c>
      <c r="C648" s="4" t="str">
        <f>IFERROR(__xludf.DUMMYFUNCTION("""COMPUTED_VALUE"""),"")</f>
        <v/>
      </c>
      <c r="D648" s="4" t="str">
        <f>IFERROR(__xludf.DUMMYFUNCTION("""COMPUTED_VALUE"""),"")</f>
        <v/>
      </c>
      <c r="E648" s="4" t="str">
        <f>IFERROR(__xludf.DUMMYFUNCTION("""COMPUTED_VALUE"""),"")</f>
        <v/>
      </c>
      <c r="F648" s="4" t="str">
        <f>IFERROR(__xludf.DUMMYFUNCTION("""COMPUTED_VALUE"""),"")</f>
        <v/>
      </c>
      <c r="G648" s="4" t="str">
        <f>IFERROR(__xludf.DUMMYFUNCTION("""COMPUTED_VALUE"""),"")</f>
        <v/>
      </c>
      <c r="H648" s="4" t="str">
        <f>IFERROR(__xludf.DUMMYFUNCTION("""COMPUTED_VALUE"""),"")</f>
        <v/>
      </c>
      <c r="I648" s="4" t="str">
        <f>IFERROR(__xludf.DUMMYFUNCTION("""COMPUTED_VALUE"""),"")</f>
        <v/>
      </c>
      <c r="J648" s="4" t="str">
        <f>IFERROR(__xludf.DUMMYFUNCTION("""COMPUTED_VALUE"""),"")</f>
        <v/>
      </c>
      <c r="K648" s="4" t="str">
        <f>IFERROR(__xludf.DUMMYFUNCTION("""COMPUTED_VALUE"""),"")</f>
        <v/>
      </c>
    </row>
    <row r="649">
      <c r="A649" s="4" t="str">
        <f>IFERROR(__xludf.DUMMYFUNCTION("""COMPUTED_VALUE"""),"")</f>
        <v/>
      </c>
      <c r="B649" s="4" t="str">
        <f>IFERROR(__xludf.DUMMYFUNCTION("""COMPUTED_VALUE"""),"")</f>
        <v/>
      </c>
      <c r="C649" s="4" t="str">
        <f>IFERROR(__xludf.DUMMYFUNCTION("""COMPUTED_VALUE"""),"")</f>
        <v/>
      </c>
      <c r="D649" s="4" t="str">
        <f>IFERROR(__xludf.DUMMYFUNCTION("""COMPUTED_VALUE"""),"")</f>
        <v/>
      </c>
      <c r="E649" s="4" t="str">
        <f>IFERROR(__xludf.DUMMYFUNCTION("""COMPUTED_VALUE"""),"")</f>
        <v/>
      </c>
      <c r="F649" s="4" t="str">
        <f>IFERROR(__xludf.DUMMYFUNCTION("""COMPUTED_VALUE"""),"")</f>
        <v/>
      </c>
      <c r="G649" s="4" t="str">
        <f>IFERROR(__xludf.DUMMYFUNCTION("""COMPUTED_VALUE"""),"")</f>
        <v/>
      </c>
      <c r="H649" s="4" t="str">
        <f>IFERROR(__xludf.DUMMYFUNCTION("""COMPUTED_VALUE"""),"")</f>
        <v/>
      </c>
      <c r="I649" s="4" t="str">
        <f>IFERROR(__xludf.DUMMYFUNCTION("""COMPUTED_VALUE"""),"")</f>
        <v/>
      </c>
      <c r="J649" s="4" t="str">
        <f>IFERROR(__xludf.DUMMYFUNCTION("""COMPUTED_VALUE"""),"")</f>
        <v/>
      </c>
      <c r="K649" s="4" t="str">
        <f>IFERROR(__xludf.DUMMYFUNCTION("""COMPUTED_VALUE"""),"")</f>
        <v/>
      </c>
    </row>
    <row r="650">
      <c r="A650" s="4" t="str">
        <f>IFERROR(__xludf.DUMMYFUNCTION("""COMPUTED_VALUE"""),"")</f>
        <v/>
      </c>
      <c r="B650" s="4" t="str">
        <f>IFERROR(__xludf.DUMMYFUNCTION("""COMPUTED_VALUE"""),"")</f>
        <v/>
      </c>
      <c r="C650" s="4" t="str">
        <f>IFERROR(__xludf.DUMMYFUNCTION("""COMPUTED_VALUE"""),"")</f>
        <v/>
      </c>
      <c r="D650" s="4" t="str">
        <f>IFERROR(__xludf.DUMMYFUNCTION("""COMPUTED_VALUE"""),"")</f>
        <v/>
      </c>
      <c r="E650" s="4" t="str">
        <f>IFERROR(__xludf.DUMMYFUNCTION("""COMPUTED_VALUE"""),"")</f>
        <v/>
      </c>
      <c r="F650" s="4" t="str">
        <f>IFERROR(__xludf.DUMMYFUNCTION("""COMPUTED_VALUE"""),"")</f>
        <v/>
      </c>
      <c r="G650" s="4" t="str">
        <f>IFERROR(__xludf.DUMMYFUNCTION("""COMPUTED_VALUE"""),"")</f>
        <v/>
      </c>
      <c r="H650" s="4" t="str">
        <f>IFERROR(__xludf.DUMMYFUNCTION("""COMPUTED_VALUE"""),"")</f>
        <v/>
      </c>
      <c r="I650" s="4" t="str">
        <f>IFERROR(__xludf.DUMMYFUNCTION("""COMPUTED_VALUE"""),"")</f>
        <v/>
      </c>
      <c r="J650" s="4" t="str">
        <f>IFERROR(__xludf.DUMMYFUNCTION("""COMPUTED_VALUE"""),"")</f>
        <v/>
      </c>
      <c r="K650" s="4" t="str">
        <f>IFERROR(__xludf.DUMMYFUNCTION("""COMPUTED_VALUE"""),"")</f>
        <v/>
      </c>
    </row>
    <row r="651">
      <c r="A651" s="4" t="str">
        <f>IFERROR(__xludf.DUMMYFUNCTION("""COMPUTED_VALUE"""),"")</f>
        <v/>
      </c>
      <c r="B651" s="4" t="str">
        <f>IFERROR(__xludf.DUMMYFUNCTION("""COMPUTED_VALUE"""),"")</f>
        <v/>
      </c>
      <c r="C651" s="4" t="str">
        <f>IFERROR(__xludf.DUMMYFUNCTION("""COMPUTED_VALUE"""),"")</f>
        <v/>
      </c>
      <c r="D651" s="4" t="str">
        <f>IFERROR(__xludf.DUMMYFUNCTION("""COMPUTED_VALUE"""),"")</f>
        <v/>
      </c>
      <c r="E651" s="4" t="str">
        <f>IFERROR(__xludf.DUMMYFUNCTION("""COMPUTED_VALUE"""),"")</f>
        <v/>
      </c>
      <c r="F651" s="4" t="str">
        <f>IFERROR(__xludf.DUMMYFUNCTION("""COMPUTED_VALUE"""),"")</f>
        <v/>
      </c>
      <c r="G651" s="4" t="str">
        <f>IFERROR(__xludf.DUMMYFUNCTION("""COMPUTED_VALUE"""),"")</f>
        <v/>
      </c>
      <c r="H651" s="4" t="str">
        <f>IFERROR(__xludf.DUMMYFUNCTION("""COMPUTED_VALUE"""),"")</f>
        <v/>
      </c>
      <c r="I651" s="4" t="str">
        <f>IFERROR(__xludf.DUMMYFUNCTION("""COMPUTED_VALUE"""),"")</f>
        <v/>
      </c>
      <c r="J651" s="4" t="str">
        <f>IFERROR(__xludf.DUMMYFUNCTION("""COMPUTED_VALUE"""),"")</f>
        <v/>
      </c>
      <c r="K651" s="4" t="str">
        <f>IFERROR(__xludf.DUMMYFUNCTION("""COMPUTED_VALUE"""),"")</f>
        <v/>
      </c>
    </row>
    <row r="652">
      <c r="A652" s="4" t="str">
        <f>IFERROR(__xludf.DUMMYFUNCTION("""COMPUTED_VALUE"""),"")</f>
        <v/>
      </c>
      <c r="B652" s="4" t="str">
        <f>IFERROR(__xludf.DUMMYFUNCTION("""COMPUTED_VALUE"""),"")</f>
        <v/>
      </c>
      <c r="C652" s="4" t="str">
        <f>IFERROR(__xludf.DUMMYFUNCTION("""COMPUTED_VALUE"""),"")</f>
        <v/>
      </c>
      <c r="D652" s="4" t="str">
        <f>IFERROR(__xludf.DUMMYFUNCTION("""COMPUTED_VALUE"""),"")</f>
        <v/>
      </c>
      <c r="E652" s="4" t="str">
        <f>IFERROR(__xludf.DUMMYFUNCTION("""COMPUTED_VALUE"""),"")</f>
        <v/>
      </c>
      <c r="F652" s="4" t="str">
        <f>IFERROR(__xludf.DUMMYFUNCTION("""COMPUTED_VALUE"""),"")</f>
        <v/>
      </c>
      <c r="G652" s="4" t="str">
        <f>IFERROR(__xludf.DUMMYFUNCTION("""COMPUTED_VALUE"""),"")</f>
        <v/>
      </c>
      <c r="H652" s="4" t="str">
        <f>IFERROR(__xludf.DUMMYFUNCTION("""COMPUTED_VALUE"""),"")</f>
        <v/>
      </c>
      <c r="I652" s="4" t="str">
        <f>IFERROR(__xludf.DUMMYFUNCTION("""COMPUTED_VALUE"""),"")</f>
        <v/>
      </c>
      <c r="J652" s="4" t="str">
        <f>IFERROR(__xludf.DUMMYFUNCTION("""COMPUTED_VALUE"""),"")</f>
        <v/>
      </c>
      <c r="K652" s="4" t="str">
        <f>IFERROR(__xludf.DUMMYFUNCTION("""COMPUTED_VALUE"""),"")</f>
        <v/>
      </c>
    </row>
    <row r="653">
      <c r="A653" s="4" t="str">
        <f>IFERROR(__xludf.DUMMYFUNCTION("""COMPUTED_VALUE"""),"")</f>
        <v/>
      </c>
      <c r="B653" s="4" t="str">
        <f>IFERROR(__xludf.DUMMYFUNCTION("""COMPUTED_VALUE"""),"")</f>
        <v/>
      </c>
      <c r="C653" s="4" t="str">
        <f>IFERROR(__xludf.DUMMYFUNCTION("""COMPUTED_VALUE"""),"")</f>
        <v/>
      </c>
      <c r="D653" s="4" t="str">
        <f>IFERROR(__xludf.DUMMYFUNCTION("""COMPUTED_VALUE"""),"")</f>
        <v/>
      </c>
      <c r="E653" s="4" t="str">
        <f>IFERROR(__xludf.DUMMYFUNCTION("""COMPUTED_VALUE"""),"")</f>
        <v/>
      </c>
      <c r="F653" s="4" t="str">
        <f>IFERROR(__xludf.DUMMYFUNCTION("""COMPUTED_VALUE"""),"")</f>
        <v/>
      </c>
      <c r="G653" s="4" t="str">
        <f>IFERROR(__xludf.DUMMYFUNCTION("""COMPUTED_VALUE"""),"")</f>
        <v/>
      </c>
      <c r="H653" s="4" t="str">
        <f>IFERROR(__xludf.DUMMYFUNCTION("""COMPUTED_VALUE"""),"")</f>
        <v/>
      </c>
      <c r="I653" s="4" t="str">
        <f>IFERROR(__xludf.DUMMYFUNCTION("""COMPUTED_VALUE"""),"")</f>
        <v/>
      </c>
      <c r="J653" s="4" t="str">
        <f>IFERROR(__xludf.DUMMYFUNCTION("""COMPUTED_VALUE"""),"")</f>
        <v/>
      </c>
      <c r="K653" s="4" t="str">
        <f>IFERROR(__xludf.DUMMYFUNCTION("""COMPUTED_VALUE"""),"")</f>
        <v/>
      </c>
    </row>
    <row r="654">
      <c r="A654" s="4" t="str">
        <f>IFERROR(__xludf.DUMMYFUNCTION("""COMPUTED_VALUE"""),"")</f>
        <v/>
      </c>
      <c r="B654" s="4" t="str">
        <f>IFERROR(__xludf.DUMMYFUNCTION("""COMPUTED_VALUE"""),"")</f>
        <v/>
      </c>
      <c r="C654" s="4" t="str">
        <f>IFERROR(__xludf.DUMMYFUNCTION("""COMPUTED_VALUE"""),"")</f>
        <v/>
      </c>
      <c r="D654" s="4" t="str">
        <f>IFERROR(__xludf.DUMMYFUNCTION("""COMPUTED_VALUE"""),"")</f>
        <v/>
      </c>
      <c r="E654" s="4" t="str">
        <f>IFERROR(__xludf.DUMMYFUNCTION("""COMPUTED_VALUE"""),"")</f>
        <v/>
      </c>
      <c r="F654" s="4" t="str">
        <f>IFERROR(__xludf.DUMMYFUNCTION("""COMPUTED_VALUE"""),"")</f>
        <v/>
      </c>
      <c r="G654" s="4" t="str">
        <f>IFERROR(__xludf.DUMMYFUNCTION("""COMPUTED_VALUE"""),"")</f>
        <v/>
      </c>
      <c r="H654" s="4" t="str">
        <f>IFERROR(__xludf.DUMMYFUNCTION("""COMPUTED_VALUE"""),"")</f>
        <v/>
      </c>
      <c r="I654" s="4" t="str">
        <f>IFERROR(__xludf.DUMMYFUNCTION("""COMPUTED_VALUE"""),"")</f>
        <v/>
      </c>
      <c r="J654" s="4" t="str">
        <f>IFERROR(__xludf.DUMMYFUNCTION("""COMPUTED_VALUE"""),"")</f>
        <v/>
      </c>
      <c r="K654" s="4" t="str">
        <f>IFERROR(__xludf.DUMMYFUNCTION("""COMPUTED_VALUE"""),"")</f>
        <v/>
      </c>
    </row>
    <row r="655">
      <c r="A655" s="4" t="str">
        <f>IFERROR(__xludf.DUMMYFUNCTION("""COMPUTED_VALUE"""),"")</f>
        <v/>
      </c>
      <c r="B655" s="4" t="str">
        <f>IFERROR(__xludf.DUMMYFUNCTION("""COMPUTED_VALUE"""),"")</f>
        <v/>
      </c>
      <c r="C655" s="4" t="str">
        <f>IFERROR(__xludf.DUMMYFUNCTION("""COMPUTED_VALUE"""),"")</f>
        <v/>
      </c>
      <c r="D655" s="4" t="str">
        <f>IFERROR(__xludf.DUMMYFUNCTION("""COMPUTED_VALUE"""),"")</f>
        <v/>
      </c>
      <c r="E655" s="4" t="str">
        <f>IFERROR(__xludf.DUMMYFUNCTION("""COMPUTED_VALUE"""),"")</f>
        <v/>
      </c>
      <c r="F655" s="4" t="str">
        <f>IFERROR(__xludf.DUMMYFUNCTION("""COMPUTED_VALUE"""),"")</f>
        <v/>
      </c>
      <c r="G655" s="4" t="str">
        <f>IFERROR(__xludf.DUMMYFUNCTION("""COMPUTED_VALUE"""),"")</f>
        <v/>
      </c>
      <c r="H655" s="4" t="str">
        <f>IFERROR(__xludf.DUMMYFUNCTION("""COMPUTED_VALUE"""),"")</f>
        <v/>
      </c>
      <c r="I655" s="4" t="str">
        <f>IFERROR(__xludf.DUMMYFUNCTION("""COMPUTED_VALUE"""),"")</f>
        <v/>
      </c>
      <c r="J655" s="4" t="str">
        <f>IFERROR(__xludf.DUMMYFUNCTION("""COMPUTED_VALUE"""),"")</f>
        <v/>
      </c>
      <c r="K655" s="4" t="str">
        <f>IFERROR(__xludf.DUMMYFUNCTION("""COMPUTED_VALUE"""),"")</f>
        <v/>
      </c>
    </row>
    <row r="656">
      <c r="A656" s="4" t="str">
        <f>IFERROR(__xludf.DUMMYFUNCTION("""COMPUTED_VALUE"""),"")</f>
        <v/>
      </c>
      <c r="B656" s="4" t="str">
        <f>IFERROR(__xludf.DUMMYFUNCTION("""COMPUTED_VALUE"""),"")</f>
        <v/>
      </c>
      <c r="C656" s="4" t="str">
        <f>IFERROR(__xludf.DUMMYFUNCTION("""COMPUTED_VALUE"""),"")</f>
        <v/>
      </c>
      <c r="D656" s="4" t="str">
        <f>IFERROR(__xludf.DUMMYFUNCTION("""COMPUTED_VALUE"""),"")</f>
        <v/>
      </c>
      <c r="E656" s="4" t="str">
        <f>IFERROR(__xludf.DUMMYFUNCTION("""COMPUTED_VALUE"""),"")</f>
        <v/>
      </c>
      <c r="F656" s="4" t="str">
        <f>IFERROR(__xludf.DUMMYFUNCTION("""COMPUTED_VALUE"""),"")</f>
        <v/>
      </c>
      <c r="G656" s="4" t="str">
        <f>IFERROR(__xludf.DUMMYFUNCTION("""COMPUTED_VALUE"""),"")</f>
        <v/>
      </c>
      <c r="H656" s="4" t="str">
        <f>IFERROR(__xludf.DUMMYFUNCTION("""COMPUTED_VALUE"""),"")</f>
        <v/>
      </c>
      <c r="I656" s="4" t="str">
        <f>IFERROR(__xludf.DUMMYFUNCTION("""COMPUTED_VALUE"""),"")</f>
        <v/>
      </c>
      <c r="J656" s="4" t="str">
        <f>IFERROR(__xludf.DUMMYFUNCTION("""COMPUTED_VALUE"""),"")</f>
        <v/>
      </c>
      <c r="K656" s="4" t="str">
        <f>IFERROR(__xludf.DUMMYFUNCTION("""COMPUTED_VALUE"""),"")</f>
        <v/>
      </c>
    </row>
    <row r="657">
      <c r="A657" s="4" t="str">
        <f>IFERROR(__xludf.DUMMYFUNCTION("""COMPUTED_VALUE"""),"")</f>
        <v/>
      </c>
      <c r="B657" s="4" t="str">
        <f>IFERROR(__xludf.DUMMYFUNCTION("""COMPUTED_VALUE"""),"")</f>
        <v/>
      </c>
      <c r="C657" s="4" t="str">
        <f>IFERROR(__xludf.DUMMYFUNCTION("""COMPUTED_VALUE"""),"")</f>
        <v/>
      </c>
      <c r="D657" s="4" t="str">
        <f>IFERROR(__xludf.DUMMYFUNCTION("""COMPUTED_VALUE"""),"")</f>
        <v/>
      </c>
      <c r="E657" s="4" t="str">
        <f>IFERROR(__xludf.DUMMYFUNCTION("""COMPUTED_VALUE"""),"")</f>
        <v/>
      </c>
      <c r="F657" s="4" t="str">
        <f>IFERROR(__xludf.DUMMYFUNCTION("""COMPUTED_VALUE"""),"")</f>
        <v/>
      </c>
      <c r="G657" s="4" t="str">
        <f>IFERROR(__xludf.DUMMYFUNCTION("""COMPUTED_VALUE"""),"")</f>
        <v/>
      </c>
      <c r="H657" s="4" t="str">
        <f>IFERROR(__xludf.DUMMYFUNCTION("""COMPUTED_VALUE"""),"")</f>
        <v/>
      </c>
      <c r="I657" s="4" t="str">
        <f>IFERROR(__xludf.DUMMYFUNCTION("""COMPUTED_VALUE"""),"")</f>
        <v/>
      </c>
      <c r="J657" s="4" t="str">
        <f>IFERROR(__xludf.DUMMYFUNCTION("""COMPUTED_VALUE"""),"")</f>
        <v/>
      </c>
      <c r="K657" s="4" t="str">
        <f>IFERROR(__xludf.DUMMYFUNCTION("""COMPUTED_VALUE"""),"")</f>
        <v/>
      </c>
    </row>
    <row r="658">
      <c r="A658" s="4" t="str">
        <f>IFERROR(__xludf.DUMMYFUNCTION("""COMPUTED_VALUE"""),"")</f>
        <v/>
      </c>
      <c r="B658" s="4" t="str">
        <f>IFERROR(__xludf.DUMMYFUNCTION("""COMPUTED_VALUE"""),"")</f>
        <v/>
      </c>
      <c r="C658" s="4" t="str">
        <f>IFERROR(__xludf.DUMMYFUNCTION("""COMPUTED_VALUE"""),"")</f>
        <v/>
      </c>
      <c r="D658" s="4" t="str">
        <f>IFERROR(__xludf.DUMMYFUNCTION("""COMPUTED_VALUE"""),"")</f>
        <v/>
      </c>
      <c r="E658" s="4" t="str">
        <f>IFERROR(__xludf.DUMMYFUNCTION("""COMPUTED_VALUE"""),"")</f>
        <v/>
      </c>
      <c r="F658" s="4" t="str">
        <f>IFERROR(__xludf.DUMMYFUNCTION("""COMPUTED_VALUE"""),"")</f>
        <v/>
      </c>
      <c r="G658" s="4" t="str">
        <f>IFERROR(__xludf.DUMMYFUNCTION("""COMPUTED_VALUE"""),"")</f>
        <v/>
      </c>
      <c r="H658" s="4" t="str">
        <f>IFERROR(__xludf.DUMMYFUNCTION("""COMPUTED_VALUE"""),"")</f>
        <v/>
      </c>
      <c r="I658" s="4" t="str">
        <f>IFERROR(__xludf.DUMMYFUNCTION("""COMPUTED_VALUE"""),"")</f>
        <v/>
      </c>
      <c r="J658" s="4" t="str">
        <f>IFERROR(__xludf.DUMMYFUNCTION("""COMPUTED_VALUE"""),"")</f>
        <v/>
      </c>
      <c r="K658" s="4" t="str">
        <f>IFERROR(__xludf.DUMMYFUNCTION("""COMPUTED_VALUE"""),"")</f>
        <v/>
      </c>
    </row>
    <row r="659">
      <c r="A659" s="4" t="str">
        <f>IFERROR(__xludf.DUMMYFUNCTION("""COMPUTED_VALUE"""),"")</f>
        <v/>
      </c>
      <c r="B659" s="4" t="str">
        <f>IFERROR(__xludf.DUMMYFUNCTION("""COMPUTED_VALUE"""),"")</f>
        <v/>
      </c>
      <c r="C659" s="4" t="str">
        <f>IFERROR(__xludf.DUMMYFUNCTION("""COMPUTED_VALUE"""),"")</f>
        <v/>
      </c>
      <c r="D659" s="4" t="str">
        <f>IFERROR(__xludf.DUMMYFUNCTION("""COMPUTED_VALUE"""),"")</f>
        <v/>
      </c>
      <c r="E659" s="4" t="str">
        <f>IFERROR(__xludf.DUMMYFUNCTION("""COMPUTED_VALUE"""),"")</f>
        <v/>
      </c>
      <c r="F659" s="4" t="str">
        <f>IFERROR(__xludf.DUMMYFUNCTION("""COMPUTED_VALUE"""),"")</f>
        <v/>
      </c>
      <c r="G659" s="4" t="str">
        <f>IFERROR(__xludf.DUMMYFUNCTION("""COMPUTED_VALUE"""),"")</f>
        <v/>
      </c>
      <c r="H659" s="4" t="str">
        <f>IFERROR(__xludf.DUMMYFUNCTION("""COMPUTED_VALUE"""),"")</f>
        <v/>
      </c>
      <c r="I659" s="4" t="str">
        <f>IFERROR(__xludf.DUMMYFUNCTION("""COMPUTED_VALUE"""),"")</f>
        <v/>
      </c>
      <c r="J659" s="4" t="str">
        <f>IFERROR(__xludf.DUMMYFUNCTION("""COMPUTED_VALUE"""),"")</f>
        <v/>
      </c>
      <c r="K659" s="4" t="str">
        <f>IFERROR(__xludf.DUMMYFUNCTION("""COMPUTED_VALUE"""),"")</f>
        <v/>
      </c>
    </row>
    <row r="660">
      <c r="A660" s="4" t="str">
        <f>IFERROR(__xludf.DUMMYFUNCTION("""COMPUTED_VALUE"""),"")</f>
        <v/>
      </c>
      <c r="B660" s="4" t="str">
        <f>IFERROR(__xludf.DUMMYFUNCTION("""COMPUTED_VALUE"""),"")</f>
        <v/>
      </c>
      <c r="C660" s="4" t="str">
        <f>IFERROR(__xludf.DUMMYFUNCTION("""COMPUTED_VALUE"""),"")</f>
        <v/>
      </c>
      <c r="D660" s="4" t="str">
        <f>IFERROR(__xludf.DUMMYFUNCTION("""COMPUTED_VALUE"""),"")</f>
        <v/>
      </c>
      <c r="E660" s="4" t="str">
        <f>IFERROR(__xludf.DUMMYFUNCTION("""COMPUTED_VALUE"""),"")</f>
        <v/>
      </c>
      <c r="F660" s="4" t="str">
        <f>IFERROR(__xludf.DUMMYFUNCTION("""COMPUTED_VALUE"""),"")</f>
        <v/>
      </c>
      <c r="G660" s="4" t="str">
        <f>IFERROR(__xludf.DUMMYFUNCTION("""COMPUTED_VALUE"""),"")</f>
        <v/>
      </c>
      <c r="H660" s="4" t="str">
        <f>IFERROR(__xludf.DUMMYFUNCTION("""COMPUTED_VALUE"""),"")</f>
        <v/>
      </c>
      <c r="I660" s="4" t="str">
        <f>IFERROR(__xludf.DUMMYFUNCTION("""COMPUTED_VALUE"""),"")</f>
        <v/>
      </c>
      <c r="J660" s="4" t="str">
        <f>IFERROR(__xludf.DUMMYFUNCTION("""COMPUTED_VALUE"""),"")</f>
        <v/>
      </c>
      <c r="K660" s="4" t="str">
        <f>IFERROR(__xludf.DUMMYFUNCTION("""COMPUTED_VALUE"""),"")</f>
        <v/>
      </c>
    </row>
    <row r="661">
      <c r="A661" s="4" t="str">
        <f>IFERROR(__xludf.DUMMYFUNCTION("""COMPUTED_VALUE"""),"")</f>
        <v/>
      </c>
      <c r="B661" s="4" t="str">
        <f>IFERROR(__xludf.DUMMYFUNCTION("""COMPUTED_VALUE"""),"")</f>
        <v/>
      </c>
      <c r="C661" s="4" t="str">
        <f>IFERROR(__xludf.DUMMYFUNCTION("""COMPUTED_VALUE"""),"")</f>
        <v/>
      </c>
      <c r="D661" s="4" t="str">
        <f>IFERROR(__xludf.DUMMYFUNCTION("""COMPUTED_VALUE"""),"")</f>
        <v/>
      </c>
      <c r="E661" s="4" t="str">
        <f>IFERROR(__xludf.DUMMYFUNCTION("""COMPUTED_VALUE"""),"")</f>
        <v/>
      </c>
      <c r="F661" s="4" t="str">
        <f>IFERROR(__xludf.DUMMYFUNCTION("""COMPUTED_VALUE"""),"")</f>
        <v/>
      </c>
      <c r="G661" s="4" t="str">
        <f>IFERROR(__xludf.DUMMYFUNCTION("""COMPUTED_VALUE"""),"")</f>
        <v/>
      </c>
      <c r="H661" s="4" t="str">
        <f>IFERROR(__xludf.DUMMYFUNCTION("""COMPUTED_VALUE"""),"")</f>
        <v/>
      </c>
      <c r="I661" s="4" t="str">
        <f>IFERROR(__xludf.DUMMYFUNCTION("""COMPUTED_VALUE"""),"")</f>
        <v/>
      </c>
      <c r="J661" s="4" t="str">
        <f>IFERROR(__xludf.DUMMYFUNCTION("""COMPUTED_VALUE"""),"")</f>
        <v/>
      </c>
      <c r="K661" s="4" t="str">
        <f>IFERROR(__xludf.DUMMYFUNCTION("""COMPUTED_VALUE"""),"")</f>
        <v/>
      </c>
    </row>
    <row r="662">
      <c r="A662" s="4" t="str">
        <f>IFERROR(__xludf.DUMMYFUNCTION("""COMPUTED_VALUE"""),"")</f>
        <v/>
      </c>
      <c r="B662" s="4" t="str">
        <f>IFERROR(__xludf.DUMMYFUNCTION("""COMPUTED_VALUE"""),"")</f>
        <v/>
      </c>
      <c r="C662" s="4" t="str">
        <f>IFERROR(__xludf.DUMMYFUNCTION("""COMPUTED_VALUE"""),"")</f>
        <v/>
      </c>
      <c r="D662" s="4" t="str">
        <f>IFERROR(__xludf.DUMMYFUNCTION("""COMPUTED_VALUE"""),"")</f>
        <v/>
      </c>
      <c r="E662" s="4" t="str">
        <f>IFERROR(__xludf.DUMMYFUNCTION("""COMPUTED_VALUE"""),"")</f>
        <v/>
      </c>
      <c r="F662" s="4" t="str">
        <f>IFERROR(__xludf.DUMMYFUNCTION("""COMPUTED_VALUE"""),"")</f>
        <v/>
      </c>
      <c r="G662" s="4" t="str">
        <f>IFERROR(__xludf.DUMMYFUNCTION("""COMPUTED_VALUE"""),"")</f>
        <v/>
      </c>
      <c r="H662" s="4" t="str">
        <f>IFERROR(__xludf.DUMMYFUNCTION("""COMPUTED_VALUE"""),"")</f>
        <v/>
      </c>
      <c r="I662" s="4" t="str">
        <f>IFERROR(__xludf.DUMMYFUNCTION("""COMPUTED_VALUE"""),"")</f>
        <v/>
      </c>
      <c r="J662" s="4" t="str">
        <f>IFERROR(__xludf.DUMMYFUNCTION("""COMPUTED_VALUE"""),"")</f>
        <v/>
      </c>
      <c r="K662" s="4" t="str">
        <f>IFERROR(__xludf.DUMMYFUNCTION("""COMPUTED_VALUE"""),"")</f>
        <v/>
      </c>
    </row>
    <row r="663">
      <c r="A663" s="4" t="str">
        <f>IFERROR(__xludf.DUMMYFUNCTION("""COMPUTED_VALUE"""),"")</f>
        <v/>
      </c>
      <c r="B663" s="4" t="str">
        <f>IFERROR(__xludf.DUMMYFUNCTION("""COMPUTED_VALUE"""),"")</f>
        <v/>
      </c>
      <c r="C663" s="4" t="str">
        <f>IFERROR(__xludf.DUMMYFUNCTION("""COMPUTED_VALUE"""),"")</f>
        <v/>
      </c>
      <c r="D663" s="4" t="str">
        <f>IFERROR(__xludf.DUMMYFUNCTION("""COMPUTED_VALUE"""),"")</f>
        <v/>
      </c>
      <c r="E663" s="4" t="str">
        <f>IFERROR(__xludf.DUMMYFUNCTION("""COMPUTED_VALUE"""),"")</f>
        <v/>
      </c>
      <c r="F663" s="4" t="str">
        <f>IFERROR(__xludf.DUMMYFUNCTION("""COMPUTED_VALUE"""),"")</f>
        <v/>
      </c>
      <c r="G663" s="4" t="str">
        <f>IFERROR(__xludf.DUMMYFUNCTION("""COMPUTED_VALUE"""),"")</f>
        <v/>
      </c>
      <c r="H663" s="4" t="str">
        <f>IFERROR(__xludf.DUMMYFUNCTION("""COMPUTED_VALUE"""),"")</f>
        <v/>
      </c>
      <c r="I663" s="4" t="str">
        <f>IFERROR(__xludf.DUMMYFUNCTION("""COMPUTED_VALUE"""),"")</f>
        <v/>
      </c>
      <c r="J663" s="4" t="str">
        <f>IFERROR(__xludf.DUMMYFUNCTION("""COMPUTED_VALUE"""),"")</f>
        <v/>
      </c>
      <c r="K663" s="4" t="str">
        <f>IFERROR(__xludf.DUMMYFUNCTION("""COMPUTED_VALUE"""),"")</f>
        <v/>
      </c>
    </row>
    <row r="664">
      <c r="A664" s="4" t="str">
        <f>IFERROR(__xludf.DUMMYFUNCTION("""COMPUTED_VALUE"""),"")</f>
        <v/>
      </c>
      <c r="B664" s="4" t="str">
        <f>IFERROR(__xludf.DUMMYFUNCTION("""COMPUTED_VALUE"""),"")</f>
        <v/>
      </c>
      <c r="C664" s="4" t="str">
        <f>IFERROR(__xludf.DUMMYFUNCTION("""COMPUTED_VALUE"""),"")</f>
        <v/>
      </c>
      <c r="D664" s="4" t="str">
        <f>IFERROR(__xludf.DUMMYFUNCTION("""COMPUTED_VALUE"""),"")</f>
        <v/>
      </c>
      <c r="E664" s="4" t="str">
        <f>IFERROR(__xludf.DUMMYFUNCTION("""COMPUTED_VALUE"""),"")</f>
        <v/>
      </c>
      <c r="F664" s="4" t="str">
        <f>IFERROR(__xludf.DUMMYFUNCTION("""COMPUTED_VALUE"""),"")</f>
        <v/>
      </c>
      <c r="G664" s="4" t="str">
        <f>IFERROR(__xludf.DUMMYFUNCTION("""COMPUTED_VALUE"""),"")</f>
        <v/>
      </c>
      <c r="H664" s="4" t="str">
        <f>IFERROR(__xludf.DUMMYFUNCTION("""COMPUTED_VALUE"""),"")</f>
        <v/>
      </c>
      <c r="I664" s="4" t="str">
        <f>IFERROR(__xludf.DUMMYFUNCTION("""COMPUTED_VALUE"""),"")</f>
        <v/>
      </c>
      <c r="J664" s="4" t="str">
        <f>IFERROR(__xludf.DUMMYFUNCTION("""COMPUTED_VALUE"""),"")</f>
        <v/>
      </c>
      <c r="K664" s="4" t="str">
        <f>IFERROR(__xludf.DUMMYFUNCTION("""COMPUTED_VALUE"""),"")</f>
        <v/>
      </c>
    </row>
    <row r="665">
      <c r="A665" s="4" t="str">
        <f>IFERROR(__xludf.DUMMYFUNCTION("""COMPUTED_VALUE"""),"")</f>
        <v/>
      </c>
      <c r="B665" s="4" t="str">
        <f>IFERROR(__xludf.DUMMYFUNCTION("""COMPUTED_VALUE"""),"")</f>
        <v/>
      </c>
      <c r="C665" s="4" t="str">
        <f>IFERROR(__xludf.DUMMYFUNCTION("""COMPUTED_VALUE"""),"")</f>
        <v/>
      </c>
      <c r="D665" s="4" t="str">
        <f>IFERROR(__xludf.DUMMYFUNCTION("""COMPUTED_VALUE"""),"")</f>
        <v/>
      </c>
      <c r="E665" s="4" t="str">
        <f>IFERROR(__xludf.DUMMYFUNCTION("""COMPUTED_VALUE"""),"")</f>
        <v/>
      </c>
      <c r="F665" s="4" t="str">
        <f>IFERROR(__xludf.DUMMYFUNCTION("""COMPUTED_VALUE"""),"")</f>
        <v/>
      </c>
      <c r="G665" s="4" t="str">
        <f>IFERROR(__xludf.DUMMYFUNCTION("""COMPUTED_VALUE"""),"")</f>
        <v/>
      </c>
      <c r="H665" s="4" t="str">
        <f>IFERROR(__xludf.DUMMYFUNCTION("""COMPUTED_VALUE"""),"")</f>
        <v/>
      </c>
      <c r="I665" s="4" t="str">
        <f>IFERROR(__xludf.DUMMYFUNCTION("""COMPUTED_VALUE"""),"")</f>
        <v/>
      </c>
      <c r="J665" s="4" t="str">
        <f>IFERROR(__xludf.DUMMYFUNCTION("""COMPUTED_VALUE"""),"")</f>
        <v/>
      </c>
      <c r="K665" s="4" t="str">
        <f>IFERROR(__xludf.DUMMYFUNCTION("""COMPUTED_VALUE"""),"")</f>
        <v/>
      </c>
    </row>
    <row r="666">
      <c r="A666" s="4" t="str">
        <f>IFERROR(__xludf.DUMMYFUNCTION("""COMPUTED_VALUE"""),"")</f>
        <v/>
      </c>
      <c r="B666" s="4" t="str">
        <f>IFERROR(__xludf.DUMMYFUNCTION("""COMPUTED_VALUE"""),"")</f>
        <v/>
      </c>
      <c r="C666" s="4" t="str">
        <f>IFERROR(__xludf.DUMMYFUNCTION("""COMPUTED_VALUE"""),"")</f>
        <v/>
      </c>
      <c r="D666" s="4" t="str">
        <f>IFERROR(__xludf.DUMMYFUNCTION("""COMPUTED_VALUE"""),"")</f>
        <v/>
      </c>
      <c r="E666" s="4" t="str">
        <f>IFERROR(__xludf.DUMMYFUNCTION("""COMPUTED_VALUE"""),"")</f>
        <v/>
      </c>
      <c r="F666" s="4" t="str">
        <f>IFERROR(__xludf.DUMMYFUNCTION("""COMPUTED_VALUE"""),"")</f>
        <v/>
      </c>
      <c r="G666" s="4" t="str">
        <f>IFERROR(__xludf.DUMMYFUNCTION("""COMPUTED_VALUE"""),"")</f>
        <v/>
      </c>
      <c r="H666" s="4" t="str">
        <f>IFERROR(__xludf.DUMMYFUNCTION("""COMPUTED_VALUE"""),"")</f>
        <v/>
      </c>
      <c r="I666" s="4" t="str">
        <f>IFERROR(__xludf.DUMMYFUNCTION("""COMPUTED_VALUE"""),"")</f>
        <v/>
      </c>
      <c r="J666" s="4" t="str">
        <f>IFERROR(__xludf.DUMMYFUNCTION("""COMPUTED_VALUE"""),"")</f>
        <v/>
      </c>
      <c r="K666" s="4" t="str">
        <f>IFERROR(__xludf.DUMMYFUNCTION("""COMPUTED_VALUE"""),"")</f>
        <v/>
      </c>
    </row>
    <row r="667">
      <c r="A667" s="4" t="str">
        <f>IFERROR(__xludf.DUMMYFUNCTION("""COMPUTED_VALUE"""),"")</f>
        <v/>
      </c>
      <c r="B667" s="4" t="str">
        <f>IFERROR(__xludf.DUMMYFUNCTION("""COMPUTED_VALUE"""),"")</f>
        <v/>
      </c>
      <c r="C667" s="4" t="str">
        <f>IFERROR(__xludf.DUMMYFUNCTION("""COMPUTED_VALUE"""),"")</f>
        <v/>
      </c>
      <c r="D667" s="4" t="str">
        <f>IFERROR(__xludf.DUMMYFUNCTION("""COMPUTED_VALUE"""),"")</f>
        <v/>
      </c>
      <c r="E667" s="4" t="str">
        <f>IFERROR(__xludf.DUMMYFUNCTION("""COMPUTED_VALUE"""),"")</f>
        <v/>
      </c>
      <c r="F667" s="4" t="str">
        <f>IFERROR(__xludf.DUMMYFUNCTION("""COMPUTED_VALUE"""),"")</f>
        <v/>
      </c>
      <c r="G667" s="4" t="str">
        <f>IFERROR(__xludf.DUMMYFUNCTION("""COMPUTED_VALUE"""),"")</f>
        <v/>
      </c>
      <c r="H667" s="4" t="str">
        <f>IFERROR(__xludf.DUMMYFUNCTION("""COMPUTED_VALUE"""),"")</f>
        <v/>
      </c>
      <c r="I667" s="4" t="str">
        <f>IFERROR(__xludf.DUMMYFUNCTION("""COMPUTED_VALUE"""),"")</f>
        <v/>
      </c>
      <c r="J667" s="4" t="str">
        <f>IFERROR(__xludf.DUMMYFUNCTION("""COMPUTED_VALUE"""),"")</f>
        <v/>
      </c>
      <c r="K667" s="4" t="str">
        <f>IFERROR(__xludf.DUMMYFUNCTION("""COMPUTED_VALUE"""),"")</f>
        <v/>
      </c>
    </row>
    <row r="668">
      <c r="A668" s="4" t="str">
        <f>IFERROR(__xludf.DUMMYFUNCTION("""COMPUTED_VALUE"""),"")</f>
        <v/>
      </c>
      <c r="B668" s="4" t="str">
        <f>IFERROR(__xludf.DUMMYFUNCTION("""COMPUTED_VALUE"""),"")</f>
        <v/>
      </c>
      <c r="C668" s="4" t="str">
        <f>IFERROR(__xludf.DUMMYFUNCTION("""COMPUTED_VALUE"""),"")</f>
        <v/>
      </c>
      <c r="D668" s="4" t="str">
        <f>IFERROR(__xludf.DUMMYFUNCTION("""COMPUTED_VALUE"""),"")</f>
        <v/>
      </c>
      <c r="E668" s="4" t="str">
        <f>IFERROR(__xludf.DUMMYFUNCTION("""COMPUTED_VALUE"""),"")</f>
        <v/>
      </c>
      <c r="F668" s="4" t="str">
        <f>IFERROR(__xludf.DUMMYFUNCTION("""COMPUTED_VALUE"""),"")</f>
        <v/>
      </c>
      <c r="G668" s="4" t="str">
        <f>IFERROR(__xludf.DUMMYFUNCTION("""COMPUTED_VALUE"""),"")</f>
        <v/>
      </c>
      <c r="H668" s="4" t="str">
        <f>IFERROR(__xludf.DUMMYFUNCTION("""COMPUTED_VALUE"""),"")</f>
        <v/>
      </c>
      <c r="I668" s="4" t="str">
        <f>IFERROR(__xludf.DUMMYFUNCTION("""COMPUTED_VALUE"""),"")</f>
        <v/>
      </c>
      <c r="J668" s="4" t="str">
        <f>IFERROR(__xludf.DUMMYFUNCTION("""COMPUTED_VALUE"""),"")</f>
        <v/>
      </c>
      <c r="K668" s="4" t="str">
        <f>IFERROR(__xludf.DUMMYFUNCTION("""COMPUTED_VALUE"""),"")</f>
        <v/>
      </c>
    </row>
    <row r="669">
      <c r="A669" s="4" t="str">
        <f>IFERROR(__xludf.DUMMYFUNCTION("""COMPUTED_VALUE"""),"")</f>
        <v/>
      </c>
      <c r="B669" s="4" t="str">
        <f>IFERROR(__xludf.DUMMYFUNCTION("""COMPUTED_VALUE"""),"")</f>
        <v/>
      </c>
      <c r="C669" s="4" t="str">
        <f>IFERROR(__xludf.DUMMYFUNCTION("""COMPUTED_VALUE"""),"")</f>
        <v/>
      </c>
      <c r="D669" s="4" t="str">
        <f>IFERROR(__xludf.DUMMYFUNCTION("""COMPUTED_VALUE"""),"")</f>
        <v/>
      </c>
      <c r="E669" s="4" t="str">
        <f>IFERROR(__xludf.DUMMYFUNCTION("""COMPUTED_VALUE"""),"")</f>
        <v/>
      </c>
      <c r="F669" s="4" t="str">
        <f>IFERROR(__xludf.DUMMYFUNCTION("""COMPUTED_VALUE"""),"")</f>
        <v/>
      </c>
      <c r="G669" s="4" t="str">
        <f>IFERROR(__xludf.DUMMYFUNCTION("""COMPUTED_VALUE"""),"")</f>
        <v/>
      </c>
      <c r="H669" s="4" t="str">
        <f>IFERROR(__xludf.DUMMYFUNCTION("""COMPUTED_VALUE"""),"")</f>
        <v/>
      </c>
      <c r="I669" s="4" t="str">
        <f>IFERROR(__xludf.DUMMYFUNCTION("""COMPUTED_VALUE"""),"")</f>
        <v/>
      </c>
      <c r="J669" s="4" t="str">
        <f>IFERROR(__xludf.DUMMYFUNCTION("""COMPUTED_VALUE"""),"")</f>
        <v/>
      </c>
      <c r="K669" s="4" t="str">
        <f>IFERROR(__xludf.DUMMYFUNCTION("""COMPUTED_VALUE"""),"")</f>
        <v/>
      </c>
    </row>
    <row r="670">
      <c r="A670" s="4" t="str">
        <f>IFERROR(__xludf.DUMMYFUNCTION("""COMPUTED_VALUE"""),"")</f>
        <v/>
      </c>
      <c r="B670" s="4" t="str">
        <f>IFERROR(__xludf.DUMMYFUNCTION("""COMPUTED_VALUE"""),"")</f>
        <v/>
      </c>
      <c r="C670" s="4" t="str">
        <f>IFERROR(__xludf.DUMMYFUNCTION("""COMPUTED_VALUE"""),"")</f>
        <v/>
      </c>
      <c r="D670" s="4" t="str">
        <f>IFERROR(__xludf.DUMMYFUNCTION("""COMPUTED_VALUE"""),"")</f>
        <v/>
      </c>
      <c r="E670" s="4" t="str">
        <f>IFERROR(__xludf.DUMMYFUNCTION("""COMPUTED_VALUE"""),"")</f>
        <v/>
      </c>
      <c r="F670" s="4" t="str">
        <f>IFERROR(__xludf.DUMMYFUNCTION("""COMPUTED_VALUE"""),"")</f>
        <v/>
      </c>
      <c r="G670" s="4" t="str">
        <f>IFERROR(__xludf.DUMMYFUNCTION("""COMPUTED_VALUE"""),"")</f>
        <v/>
      </c>
      <c r="H670" s="4" t="str">
        <f>IFERROR(__xludf.DUMMYFUNCTION("""COMPUTED_VALUE"""),"")</f>
        <v/>
      </c>
      <c r="I670" s="4" t="str">
        <f>IFERROR(__xludf.DUMMYFUNCTION("""COMPUTED_VALUE"""),"")</f>
        <v/>
      </c>
      <c r="J670" s="4" t="str">
        <f>IFERROR(__xludf.DUMMYFUNCTION("""COMPUTED_VALUE"""),"")</f>
        <v/>
      </c>
      <c r="K670" s="4" t="str">
        <f>IFERROR(__xludf.DUMMYFUNCTION("""COMPUTED_VALUE"""),"")</f>
        <v/>
      </c>
    </row>
    <row r="671">
      <c r="A671" s="4" t="str">
        <f>IFERROR(__xludf.DUMMYFUNCTION("""COMPUTED_VALUE"""),"")</f>
        <v/>
      </c>
      <c r="B671" s="4" t="str">
        <f>IFERROR(__xludf.DUMMYFUNCTION("""COMPUTED_VALUE"""),"")</f>
        <v/>
      </c>
      <c r="C671" s="4" t="str">
        <f>IFERROR(__xludf.DUMMYFUNCTION("""COMPUTED_VALUE"""),"")</f>
        <v/>
      </c>
      <c r="D671" s="4" t="str">
        <f>IFERROR(__xludf.DUMMYFUNCTION("""COMPUTED_VALUE"""),"")</f>
        <v/>
      </c>
      <c r="E671" s="4" t="str">
        <f>IFERROR(__xludf.DUMMYFUNCTION("""COMPUTED_VALUE"""),"")</f>
        <v/>
      </c>
      <c r="F671" s="4" t="str">
        <f>IFERROR(__xludf.DUMMYFUNCTION("""COMPUTED_VALUE"""),"")</f>
        <v/>
      </c>
      <c r="G671" s="4" t="str">
        <f>IFERROR(__xludf.DUMMYFUNCTION("""COMPUTED_VALUE"""),"")</f>
        <v/>
      </c>
      <c r="H671" s="4" t="str">
        <f>IFERROR(__xludf.DUMMYFUNCTION("""COMPUTED_VALUE"""),"")</f>
        <v/>
      </c>
      <c r="I671" s="4" t="str">
        <f>IFERROR(__xludf.DUMMYFUNCTION("""COMPUTED_VALUE"""),"")</f>
        <v/>
      </c>
      <c r="J671" s="4" t="str">
        <f>IFERROR(__xludf.DUMMYFUNCTION("""COMPUTED_VALUE"""),"")</f>
        <v/>
      </c>
      <c r="K671" s="4" t="str">
        <f>IFERROR(__xludf.DUMMYFUNCTION("""COMPUTED_VALUE"""),"")</f>
        <v/>
      </c>
    </row>
    <row r="672">
      <c r="A672" s="4" t="str">
        <f>IFERROR(__xludf.DUMMYFUNCTION("""COMPUTED_VALUE"""),"")</f>
        <v/>
      </c>
      <c r="B672" s="4" t="str">
        <f>IFERROR(__xludf.DUMMYFUNCTION("""COMPUTED_VALUE"""),"")</f>
        <v/>
      </c>
      <c r="C672" s="4" t="str">
        <f>IFERROR(__xludf.DUMMYFUNCTION("""COMPUTED_VALUE"""),"")</f>
        <v/>
      </c>
      <c r="D672" s="4" t="str">
        <f>IFERROR(__xludf.DUMMYFUNCTION("""COMPUTED_VALUE"""),"")</f>
        <v/>
      </c>
      <c r="E672" s="4" t="str">
        <f>IFERROR(__xludf.DUMMYFUNCTION("""COMPUTED_VALUE"""),"")</f>
        <v/>
      </c>
      <c r="F672" s="4" t="str">
        <f>IFERROR(__xludf.DUMMYFUNCTION("""COMPUTED_VALUE"""),"")</f>
        <v/>
      </c>
      <c r="G672" s="4" t="str">
        <f>IFERROR(__xludf.DUMMYFUNCTION("""COMPUTED_VALUE"""),"")</f>
        <v/>
      </c>
      <c r="H672" s="4" t="str">
        <f>IFERROR(__xludf.DUMMYFUNCTION("""COMPUTED_VALUE"""),"")</f>
        <v/>
      </c>
      <c r="I672" s="4" t="str">
        <f>IFERROR(__xludf.DUMMYFUNCTION("""COMPUTED_VALUE"""),"")</f>
        <v/>
      </c>
      <c r="J672" s="4" t="str">
        <f>IFERROR(__xludf.DUMMYFUNCTION("""COMPUTED_VALUE"""),"")</f>
        <v/>
      </c>
      <c r="K672" s="4" t="str">
        <f>IFERROR(__xludf.DUMMYFUNCTION("""COMPUTED_VALUE"""),"")</f>
        <v/>
      </c>
    </row>
    <row r="673">
      <c r="A673" s="4" t="str">
        <f>IFERROR(__xludf.DUMMYFUNCTION("""COMPUTED_VALUE"""),"")</f>
        <v/>
      </c>
      <c r="B673" s="4" t="str">
        <f>IFERROR(__xludf.DUMMYFUNCTION("""COMPUTED_VALUE"""),"")</f>
        <v/>
      </c>
      <c r="C673" s="4" t="str">
        <f>IFERROR(__xludf.DUMMYFUNCTION("""COMPUTED_VALUE"""),"")</f>
        <v/>
      </c>
      <c r="D673" s="4" t="str">
        <f>IFERROR(__xludf.DUMMYFUNCTION("""COMPUTED_VALUE"""),"")</f>
        <v/>
      </c>
      <c r="E673" s="4" t="str">
        <f>IFERROR(__xludf.DUMMYFUNCTION("""COMPUTED_VALUE"""),"")</f>
        <v/>
      </c>
      <c r="F673" s="4" t="str">
        <f>IFERROR(__xludf.DUMMYFUNCTION("""COMPUTED_VALUE"""),"")</f>
        <v/>
      </c>
      <c r="G673" s="4" t="str">
        <f>IFERROR(__xludf.DUMMYFUNCTION("""COMPUTED_VALUE"""),"")</f>
        <v/>
      </c>
      <c r="H673" s="4" t="str">
        <f>IFERROR(__xludf.DUMMYFUNCTION("""COMPUTED_VALUE"""),"")</f>
        <v/>
      </c>
      <c r="I673" s="4" t="str">
        <f>IFERROR(__xludf.DUMMYFUNCTION("""COMPUTED_VALUE"""),"")</f>
        <v/>
      </c>
      <c r="J673" s="4" t="str">
        <f>IFERROR(__xludf.DUMMYFUNCTION("""COMPUTED_VALUE"""),"")</f>
        <v/>
      </c>
      <c r="K673" s="4" t="str">
        <f>IFERROR(__xludf.DUMMYFUNCTION("""COMPUTED_VALUE"""),"")</f>
        <v/>
      </c>
    </row>
    <row r="674">
      <c r="A674" s="4" t="str">
        <f>IFERROR(__xludf.DUMMYFUNCTION("""COMPUTED_VALUE"""),"")</f>
        <v/>
      </c>
      <c r="B674" s="4" t="str">
        <f>IFERROR(__xludf.DUMMYFUNCTION("""COMPUTED_VALUE"""),"")</f>
        <v/>
      </c>
      <c r="C674" s="4" t="str">
        <f>IFERROR(__xludf.DUMMYFUNCTION("""COMPUTED_VALUE"""),"")</f>
        <v/>
      </c>
      <c r="D674" s="4" t="str">
        <f>IFERROR(__xludf.DUMMYFUNCTION("""COMPUTED_VALUE"""),"")</f>
        <v/>
      </c>
      <c r="E674" s="4" t="str">
        <f>IFERROR(__xludf.DUMMYFUNCTION("""COMPUTED_VALUE"""),"")</f>
        <v/>
      </c>
      <c r="F674" s="4" t="str">
        <f>IFERROR(__xludf.DUMMYFUNCTION("""COMPUTED_VALUE"""),"")</f>
        <v/>
      </c>
      <c r="G674" s="4" t="str">
        <f>IFERROR(__xludf.DUMMYFUNCTION("""COMPUTED_VALUE"""),"")</f>
        <v/>
      </c>
      <c r="H674" s="4" t="str">
        <f>IFERROR(__xludf.DUMMYFUNCTION("""COMPUTED_VALUE"""),"")</f>
        <v/>
      </c>
      <c r="I674" s="4" t="str">
        <f>IFERROR(__xludf.DUMMYFUNCTION("""COMPUTED_VALUE"""),"")</f>
        <v/>
      </c>
      <c r="J674" s="4" t="str">
        <f>IFERROR(__xludf.DUMMYFUNCTION("""COMPUTED_VALUE"""),"")</f>
        <v/>
      </c>
      <c r="K674" s="4" t="str">
        <f>IFERROR(__xludf.DUMMYFUNCTION("""COMPUTED_VALUE"""),"")</f>
        <v/>
      </c>
    </row>
    <row r="675">
      <c r="A675" s="4" t="str">
        <f>IFERROR(__xludf.DUMMYFUNCTION("""COMPUTED_VALUE"""),"")</f>
        <v/>
      </c>
      <c r="B675" s="4" t="str">
        <f>IFERROR(__xludf.DUMMYFUNCTION("""COMPUTED_VALUE"""),"")</f>
        <v/>
      </c>
      <c r="C675" s="4" t="str">
        <f>IFERROR(__xludf.DUMMYFUNCTION("""COMPUTED_VALUE"""),"")</f>
        <v/>
      </c>
      <c r="D675" s="4" t="str">
        <f>IFERROR(__xludf.DUMMYFUNCTION("""COMPUTED_VALUE"""),"")</f>
        <v/>
      </c>
      <c r="E675" s="4" t="str">
        <f>IFERROR(__xludf.DUMMYFUNCTION("""COMPUTED_VALUE"""),"")</f>
        <v/>
      </c>
      <c r="F675" s="4" t="str">
        <f>IFERROR(__xludf.DUMMYFUNCTION("""COMPUTED_VALUE"""),"")</f>
        <v/>
      </c>
      <c r="G675" s="4" t="str">
        <f>IFERROR(__xludf.DUMMYFUNCTION("""COMPUTED_VALUE"""),"")</f>
        <v/>
      </c>
      <c r="H675" s="4" t="str">
        <f>IFERROR(__xludf.DUMMYFUNCTION("""COMPUTED_VALUE"""),"")</f>
        <v/>
      </c>
      <c r="I675" s="4" t="str">
        <f>IFERROR(__xludf.DUMMYFUNCTION("""COMPUTED_VALUE"""),"")</f>
        <v/>
      </c>
      <c r="J675" s="4" t="str">
        <f>IFERROR(__xludf.DUMMYFUNCTION("""COMPUTED_VALUE"""),"")</f>
        <v/>
      </c>
      <c r="K675" s="4" t="str">
        <f>IFERROR(__xludf.DUMMYFUNCTION("""COMPUTED_VALUE"""),"")</f>
        <v/>
      </c>
    </row>
    <row r="676">
      <c r="A676" s="4" t="str">
        <f>IFERROR(__xludf.DUMMYFUNCTION("""COMPUTED_VALUE"""),"")</f>
        <v/>
      </c>
      <c r="B676" s="4" t="str">
        <f>IFERROR(__xludf.DUMMYFUNCTION("""COMPUTED_VALUE"""),"")</f>
        <v/>
      </c>
      <c r="C676" s="4" t="str">
        <f>IFERROR(__xludf.DUMMYFUNCTION("""COMPUTED_VALUE"""),"")</f>
        <v/>
      </c>
      <c r="D676" s="4" t="str">
        <f>IFERROR(__xludf.DUMMYFUNCTION("""COMPUTED_VALUE"""),"")</f>
        <v/>
      </c>
      <c r="E676" s="4" t="str">
        <f>IFERROR(__xludf.DUMMYFUNCTION("""COMPUTED_VALUE"""),"")</f>
        <v/>
      </c>
      <c r="F676" s="4" t="str">
        <f>IFERROR(__xludf.DUMMYFUNCTION("""COMPUTED_VALUE"""),"")</f>
        <v/>
      </c>
      <c r="G676" s="4" t="str">
        <f>IFERROR(__xludf.DUMMYFUNCTION("""COMPUTED_VALUE"""),"")</f>
        <v/>
      </c>
      <c r="H676" s="4" t="str">
        <f>IFERROR(__xludf.DUMMYFUNCTION("""COMPUTED_VALUE"""),"")</f>
        <v/>
      </c>
      <c r="I676" s="4" t="str">
        <f>IFERROR(__xludf.DUMMYFUNCTION("""COMPUTED_VALUE"""),"")</f>
        <v/>
      </c>
      <c r="J676" s="4" t="str">
        <f>IFERROR(__xludf.DUMMYFUNCTION("""COMPUTED_VALUE"""),"")</f>
        <v/>
      </c>
      <c r="K676" s="4" t="str">
        <f>IFERROR(__xludf.DUMMYFUNCTION("""COMPUTED_VALUE"""),"")</f>
        <v/>
      </c>
    </row>
    <row r="677">
      <c r="A677" s="4" t="str">
        <f>IFERROR(__xludf.DUMMYFUNCTION("""COMPUTED_VALUE"""),"")</f>
        <v/>
      </c>
      <c r="B677" s="4" t="str">
        <f>IFERROR(__xludf.DUMMYFUNCTION("""COMPUTED_VALUE"""),"")</f>
        <v/>
      </c>
      <c r="C677" s="4" t="str">
        <f>IFERROR(__xludf.DUMMYFUNCTION("""COMPUTED_VALUE"""),"")</f>
        <v/>
      </c>
      <c r="D677" s="4" t="str">
        <f>IFERROR(__xludf.DUMMYFUNCTION("""COMPUTED_VALUE"""),"")</f>
        <v/>
      </c>
      <c r="E677" s="4" t="str">
        <f>IFERROR(__xludf.DUMMYFUNCTION("""COMPUTED_VALUE"""),"")</f>
        <v/>
      </c>
      <c r="F677" s="4" t="str">
        <f>IFERROR(__xludf.DUMMYFUNCTION("""COMPUTED_VALUE"""),"")</f>
        <v/>
      </c>
      <c r="G677" s="4" t="str">
        <f>IFERROR(__xludf.DUMMYFUNCTION("""COMPUTED_VALUE"""),"")</f>
        <v/>
      </c>
      <c r="H677" s="4" t="str">
        <f>IFERROR(__xludf.DUMMYFUNCTION("""COMPUTED_VALUE"""),"")</f>
        <v/>
      </c>
      <c r="I677" s="4" t="str">
        <f>IFERROR(__xludf.DUMMYFUNCTION("""COMPUTED_VALUE"""),"")</f>
        <v/>
      </c>
      <c r="J677" s="4" t="str">
        <f>IFERROR(__xludf.DUMMYFUNCTION("""COMPUTED_VALUE"""),"")</f>
        <v/>
      </c>
      <c r="K677" s="4" t="str">
        <f>IFERROR(__xludf.DUMMYFUNCTION("""COMPUTED_VALUE"""),"")</f>
        <v/>
      </c>
    </row>
    <row r="678">
      <c r="A678" s="4" t="str">
        <f>IFERROR(__xludf.DUMMYFUNCTION("""COMPUTED_VALUE"""),"")</f>
        <v/>
      </c>
      <c r="B678" s="4" t="str">
        <f>IFERROR(__xludf.DUMMYFUNCTION("""COMPUTED_VALUE"""),"")</f>
        <v/>
      </c>
      <c r="C678" s="4" t="str">
        <f>IFERROR(__xludf.DUMMYFUNCTION("""COMPUTED_VALUE"""),"")</f>
        <v/>
      </c>
      <c r="D678" s="4" t="str">
        <f>IFERROR(__xludf.DUMMYFUNCTION("""COMPUTED_VALUE"""),"")</f>
        <v/>
      </c>
      <c r="E678" s="4" t="str">
        <f>IFERROR(__xludf.DUMMYFUNCTION("""COMPUTED_VALUE"""),"")</f>
        <v/>
      </c>
      <c r="F678" s="4" t="str">
        <f>IFERROR(__xludf.DUMMYFUNCTION("""COMPUTED_VALUE"""),"")</f>
        <v/>
      </c>
      <c r="G678" s="4" t="str">
        <f>IFERROR(__xludf.DUMMYFUNCTION("""COMPUTED_VALUE"""),"")</f>
        <v/>
      </c>
      <c r="H678" s="4" t="str">
        <f>IFERROR(__xludf.DUMMYFUNCTION("""COMPUTED_VALUE"""),"")</f>
        <v/>
      </c>
      <c r="I678" s="4" t="str">
        <f>IFERROR(__xludf.DUMMYFUNCTION("""COMPUTED_VALUE"""),"")</f>
        <v/>
      </c>
      <c r="J678" s="4" t="str">
        <f>IFERROR(__xludf.DUMMYFUNCTION("""COMPUTED_VALUE"""),"")</f>
        <v/>
      </c>
      <c r="K678" s="4" t="str">
        <f>IFERROR(__xludf.DUMMYFUNCTION("""COMPUTED_VALUE"""),"")</f>
        <v/>
      </c>
    </row>
    <row r="679">
      <c r="A679" s="4" t="str">
        <f>IFERROR(__xludf.DUMMYFUNCTION("""COMPUTED_VALUE"""),"")</f>
        <v/>
      </c>
      <c r="B679" s="4" t="str">
        <f>IFERROR(__xludf.DUMMYFUNCTION("""COMPUTED_VALUE"""),"")</f>
        <v/>
      </c>
      <c r="C679" s="4" t="str">
        <f>IFERROR(__xludf.DUMMYFUNCTION("""COMPUTED_VALUE"""),"")</f>
        <v/>
      </c>
      <c r="D679" s="4" t="str">
        <f>IFERROR(__xludf.DUMMYFUNCTION("""COMPUTED_VALUE"""),"")</f>
        <v/>
      </c>
      <c r="E679" s="4" t="str">
        <f>IFERROR(__xludf.DUMMYFUNCTION("""COMPUTED_VALUE"""),"")</f>
        <v/>
      </c>
      <c r="F679" s="4" t="str">
        <f>IFERROR(__xludf.DUMMYFUNCTION("""COMPUTED_VALUE"""),"")</f>
        <v/>
      </c>
      <c r="G679" s="4" t="str">
        <f>IFERROR(__xludf.DUMMYFUNCTION("""COMPUTED_VALUE"""),"")</f>
        <v/>
      </c>
      <c r="H679" s="4" t="str">
        <f>IFERROR(__xludf.DUMMYFUNCTION("""COMPUTED_VALUE"""),"")</f>
        <v/>
      </c>
      <c r="I679" s="4" t="str">
        <f>IFERROR(__xludf.DUMMYFUNCTION("""COMPUTED_VALUE"""),"")</f>
        <v/>
      </c>
      <c r="J679" s="4" t="str">
        <f>IFERROR(__xludf.DUMMYFUNCTION("""COMPUTED_VALUE"""),"")</f>
        <v/>
      </c>
      <c r="K679" s="4" t="str">
        <f>IFERROR(__xludf.DUMMYFUNCTION("""COMPUTED_VALUE"""),"")</f>
        <v/>
      </c>
    </row>
    <row r="680">
      <c r="A680" s="4" t="str">
        <f>IFERROR(__xludf.DUMMYFUNCTION("""COMPUTED_VALUE"""),"")</f>
        <v/>
      </c>
      <c r="B680" s="4" t="str">
        <f>IFERROR(__xludf.DUMMYFUNCTION("""COMPUTED_VALUE"""),"")</f>
        <v/>
      </c>
      <c r="C680" s="4" t="str">
        <f>IFERROR(__xludf.DUMMYFUNCTION("""COMPUTED_VALUE"""),"")</f>
        <v/>
      </c>
      <c r="D680" s="4" t="str">
        <f>IFERROR(__xludf.DUMMYFUNCTION("""COMPUTED_VALUE"""),"")</f>
        <v/>
      </c>
      <c r="E680" s="4" t="str">
        <f>IFERROR(__xludf.DUMMYFUNCTION("""COMPUTED_VALUE"""),"")</f>
        <v/>
      </c>
      <c r="F680" s="4" t="str">
        <f>IFERROR(__xludf.DUMMYFUNCTION("""COMPUTED_VALUE"""),"")</f>
        <v/>
      </c>
      <c r="G680" s="4" t="str">
        <f>IFERROR(__xludf.DUMMYFUNCTION("""COMPUTED_VALUE"""),"")</f>
        <v/>
      </c>
      <c r="H680" s="4" t="str">
        <f>IFERROR(__xludf.DUMMYFUNCTION("""COMPUTED_VALUE"""),"")</f>
        <v/>
      </c>
      <c r="I680" s="4" t="str">
        <f>IFERROR(__xludf.DUMMYFUNCTION("""COMPUTED_VALUE"""),"")</f>
        <v/>
      </c>
      <c r="J680" s="4" t="str">
        <f>IFERROR(__xludf.DUMMYFUNCTION("""COMPUTED_VALUE"""),"")</f>
        <v/>
      </c>
      <c r="K680" s="4" t="str">
        <f>IFERROR(__xludf.DUMMYFUNCTION("""COMPUTED_VALUE"""),"")</f>
        <v/>
      </c>
    </row>
    <row r="681">
      <c r="A681" s="4" t="str">
        <f>IFERROR(__xludf.DUMMYFUNCTION("""COMPUTED_VALUE"""),"")</f>
        <v/>
      </c>
      <c r="B681" s="4" t="str">
        <f>IFERROR(__xludf.DUMMYFUNCTION("""COMPUTED_VALUE"""),"")</f>
        <v/>
      </c>
      <c r="C681" s="4" t="str">
        <f>IFERROR(__xludf.DUMMYFUNCTION("""COMPUTED_VALUE"""),"")</f>
        <v/>
      </c>
      <c r="D681" s="4" t="str">
        <f>IFERROR(__xludf.DUMMYFUNCTION("""COMPUTED_VALUE"""),"")</f>
        <v/>
      </c>
      <c r="E681" s="4" t="str">
        <f>IFERROR(__xludf.DUMMYFUNCTION("""COMPUTED_VALUE"""),"")</f>
        <v/>
      </c>
      <c r="F681" s="4" t="str">
        <f>IFERROR(__xludf.DUMMYFUNCTION("""COMPUTED_VALUE"""),"")</f>
        <v/>
      </c>
      <c r="G681" s="4" t="str">
        <f>IFERROR(__xludf.DUMMYFUNCTION("""COMPUTED_VALUE"""),"")</f>
        <v/>
      </c>
      <c r="H681" s="4" t="str">
        <f>IFERROR(__xludf.DUMMYFUNCTION("""COMPUTED_VALUE"""),"")</f>
        <v/>
      </c>
      <c r="I681" s="4" t="str">
        <f>IFERROR(__xludf.DUMMYFUNCTION("""COMPUTED_VALUE"""),"")</f>
        <v/>
      </c>
      <c r="J681" s="4" t="str">
        <f>IFERROR(__xludf.DUMMYFUNCTION("""COMPUTED_VALUE"""),"")</f>
        <v/>
      </c>
      <c r="K681" s="4" t="str">
        <f>IFERROR(__xludf.DUMMYFUNCTION("""COMPUTED_VALUE"""),"")</f>
        <v/>
      </c>
    </row>
    <row r="682">
      <c r="A682" s="4" t="str">
        <f>IFERROR(__xludf.DUMMYFUNCTION("""COMPUTED_VALUE"""),"")</f>
        <v/>
      </c>
      <c r="B682" s="4" t="str">
        <f>IFERROR(__xludf.DUMMYFUNCTION("""COMPUTED_VALUE"""),"")</f>
        <v/>
      </c>
      <c r="C682" s="4" t="str">
        <f>IFERROR(__xludf.DUMMYFUNCTION("""COMPUTED_VALUE"""),"")</f>
        <v/>
      </c>
      <c r="D682" s="4" t="str">
        <f>IFERROR(__xludf.DUMMYFUNCTION("""COMPUTED_VALUE"""),"")</f>
        <v/>
      </c>
      <c r="E682" s="4" t="str">
        <f>IFERROR(__xludf.DUMMYFUNCTION("""COMPUTED_VALUE"""),"")</f>
        <v/>
      </c>
      <c r="F682" s="4" t="str">
        <f>IFERROR(__xludf.DUMMYFUNCTION("""COMPUTED_VALUE"""),"")</f>
        <v/>
      </c>
      <c r="G682" s="4" t="str">
        <f>IFERROR(__xludf.DUMMYFUNCTION("""COMPUTED_VALUE"""),"")</f>
        <v/>
      </c>
      <c r="H682" s="4" t="str">
        <f>IFERROR(__xludf.DUMMYFUNCTION("""COMPUTED_VALUE"""),"")</f>
        <v/>
      </c>
      <c r="I682" s="4" t="str">
        <f>IFERROR(__xludf.DUMMYFUNCTION("""COMPUTED_VALUE"""),"")</f>
        <v/>
      </c>
      <c r="J682" s="4" t="str">
        <f>IFERROR(__xludf.DUMMYFUNCTION("""COMPUTED_VALUE"""),"")</f>
        <v/>
      </c>
      <c r="K682" s="4" t="str">
        <f>IFERROR(__xludf.DUMMYFUNCTION("""COMPUTED_VALUE"""),"")</f>
        <v/>
      </c>
    </row>
    <row r="683">
      <c r="A683" s="4" t="str">
        <f>IFERROR(__xludf.DUMMYFUNCTION("""COMPUTED_VALUE"""),"")</f>
        <v/>
      </c>
      <c r="B683" s="4" t="str">
        <f>IFERROR(__xludf.DUMMYFUNCTION("""COMPUTED_VALUE"""),"")</f>
        <v/>
      </c>
      <c r="C683" s="4" t="str">
        <f>IFERROR(__xludf.DUMMYFUNCTION("""COMPUTED_VALUE"""),"")</f>
        <v/>
      </c>
      <c r="D683" s="4" t="str">
        <f>IFERROR(__xludf.DUMMYFUNCTION("""COMPUTED_VALUE"""),"")</f>
        <v/>
      </c>
      <c r="E683" s="4" t="str">
        <f>IFERROR(__xludf.DUMMYFUNCTION("""COMPUTED_VALUE"""),"")</f>
        <v/>
      </c>
      <c r="F683" s="4" t="str">
        <f>IFERROR(__xludf.DUMMYFUNCTION("""COMPUTED_VALUE"""),"")</f>
        <v/>
      </c>
      <c r="G683" s="4" t="str">
        <f>IFERROR(__xludf.DUMMYFUNCTION("""COMPUTED_VALUE"""),"")</f>
        <v/>
      </c>
      <c r="H683" s="4" t="str">
        <f>IFERROR(__xludf.DUMMYFUNCTION("""COMPUTED_VALUE"""),"")</f>
        <v/>
      </c>
      <c r="I683" s="4" t="str">
        <f>IFERROR(__xludf.DUMMYFUNCTION("""COMPUTED_VALUE"""),"")</f>
        <v/>
      </c>
      <c r="J683" s="4" t="str">
        <f>IFERROR(__xludf.DUMMYFUNCTION("""COMPUTED_VALUE"""),"")</f>
        <v/>
      </c>
      <c r="K683" s="4" t="str">
        <f>IFERROR(__xludf.DUMMYFUNCTION("""COMPUTED_VALUE"""),"")</f>
        <v/>
      </c>
    </row>
    <row r="684">
      <c r="A684" s="4" t="str">
        <f>IFERROR(__xludf.DUMMYFUNCTION("""COMPUTED_VALUE"""),"")</f>
        <v/>
      </c>
      <c r="B684" s="4" t="str">
        <f>IFERROR(__xludf.DUMMYFUNCTION("""COMPUTED_VALUE"""),"")</f>
        <v/>
      </c>
      <c r="C684" s="4" t="str">
        <f>IFERROR(__xludf.DUMMYFUNCTION("""COMPUTED_VALUE"""),"")</f>
        <v/>
      </c>
      <c r="D684" s="4" t="str">
        <f>IFERROR(__xludf.DUMMYFUNCTION("""COMPUTED_VALUE"""),"")</f>
        <v/>
      </c>
      <c r="E684" s="4" t="str">
        <f>IFERROR(__xludf.DUMMYFUNCTION("""COMPUTED_VALUE"""),"")</f>
        <v/>
      </c>
      <c r="F684" s="4" t="str">
        <f>IFERROR(__xludf.DUMMYFUNCTION("""COMPUTED_VALUE"""),"")</f>
        <v/>
      </c>
      <c r="G684" s="4" t="str">
        <f>IFERROR(__xludf.DUMMYFUNCTION("""COMPUTED_VALUE"""),"")</f>
        <v/>
      </c>
      <c r="H684" s="4" t="str">
        <f>IFERROR(__xludf.DUMMYFUNCTION("""COMPUTED_VALUE"""),"")</f>
        <v/>
      </c>
      <c r="I684" s="4" t="str">
        <f>IFERROR(__xludf.DUMMYFUNCTION("""COMPUTED_VALUE"""),"")</f>
        <v/>
      </c>
      <c r="J684" s="4" t="str">
        <f>IFERROR(__xludf.DUMMYFUNCTION("""COMPUTED_VALUE"""),"")</f>
        <v/>
      </c>
      <c r="K684" s="4" t="str">
        <f>IFERROR(__xludf.DUMMYFUNCTION("""COMPUTED_VALUE"""),"")</f>
        <v/>
      </c>
    </row>
    <row r="685">
      <c r="A685" s="4" t="str">
        <f>IFERROR(__xludf.DUMMYFUNCTION("""COMPUTED_VALUE"""),"")</f>
        <v/>
      </c>
      <c r="B685" s="4" t="str">
        <f>IFERROR(__xludf.DUMMYFUNCTION("""COMPUTED_VALUE"""),"")</f>
        <v/>
      </c>
      <c r="C685" s="4" t="str">
        <f>IFERROR(__xludf.DUMMYFUNCTION("""COMPUTED_VALUE"""),"")</f>
        <v/>
      </c>
      <c r="D685" s="4" t="str">
        <f>IFERROR(__xludf.DUMMYFUNCTION("""COMPUTED_VALUE"""),"")</f>
        <v/>
      </c>
      <c r="E685" s="4" t="str">
        <f>IFERROR(__xludf.DUMMYFUNCTION("""COMPUTED_VALUE"""),"")</f>
        <v/>
      </c>
      <c r="F685" s="4" t="str">
        <f>IFERROR(__xludf.DUMMYFUNCTION("""COMPUTED_VALUE"""),"")</f>
        <v/>
      </c>
      <c r="G685" s="4" t="str">
        <f>IFERROR(__xludf.DUMMYFUNCTION("""COMPUTED_VALUE"""),"")</f>
        <v/>
      </c>
      <c r="H685" s="4" t="str">
        <f>IFERROR(__xludf.DUMMYFUNCTION("""COMPUTED_VALUE"""),"")</f>
        <v/>
      </c>
      <c r="I685" s="4" t="str">
        <f>IFERROR(__xludf.DUMMYFUNCTION("""COMPUTED_VALUE"""),"")</f>
        <v/>
      </c>
      <c r="J685" s="4" t="str">
        <f>IFERROR(__xludf.DUMMYFUNCTION("""COMPUTED_VALUE"""),"")</f>
        <v/>
      </c>
      <c r="K685" s="4" t="str">
        <f>IFERROR(__xludf.DUMMYFUNCTION("""COMPUTED_VALUE"""),"")</f>
        <v/>
      </c>
    </row>
    <row r="686">
      <c r="A686" s="4" t="str">
        <f>IFERROR(__xludf.DUMMYFUNCTION("""COMPUTED_VALUE"""),"")</f>
        <v/>
      </c>
      <c r="B686" s="4" t="str">
        <f>IFERROR(__xludf.DUMMYFUNCTION("""COMPUTED_VALUE"""),"")</f>
        <v/>
      </c>
      <c r="C686" s="4" t="str">
        <f>IFERROR(__xludf.DUMMYFUNCTION("""COMPUTED_VALUE"""),"")</f>
        <v/>
      </c>
      <c r="D686" s="4" t="str">
        <f>IFERROR(__xludf.DUMMYFUNCTION("""COMPUTED_VALUE"""),"")</f>
        <v/>
      </c>
      <c r="E686" s="4" t="str">
        <f>IFERROR(__xludf.DUMMYFUNCTION("""COMPUTED_VALUE"""),"")</f>
        <v/>
      </c>
      <c r="F686" s="4" t="str">
        <f>IFERROR(__xludf.DUMMYFUNCTION("""COMPUTED_VALUE"""),"")</f>
        <v/>
      </c>
      <c r="G686" s="4" t="str">
        <f>IFERROR(__xludf.DUMMYFUNCTION("""COMPUTED_VALUE"""),"")</f>
        <v/>
      </c>
      <c r="H686" s="4" t="str">
        <f>IFERROR(__xludf.DUMMYFUNCTION("""COMPUTED_VALUE"""),"")</f>
        <v/>
      </c>
      <c r="I686" s="4" t="str">
        <f>IFERROR(__xludf.DUMMYFUNCTION("""COMPUTED_VALUE"""),"")</f>
        <v/>
      </c>
      <c r="J686" s="4" t="str">
        <f>IFERROR(__xludf.DUMMYFUNCTION("""COMPUTED_VALUE"""),"")</f>
        <v/>
      </c>
      <c r="K686" s="4" t="str">
        <f>IFERROR(__xludf.DUMMYFUNCTION("""COMPUTED_VALUE"""),"")</f>
        <v/>
      </c>
    </row>
    <row r="687">
      <c r="A687" s="4" t="str">
        <f>IFERROR(__xludf.DUMMYFUNCTION("""COMPUTED_VALUE"""),"")</f>
        <v/>
      </c>
      <c r="B687" s="4" t="str">
        <f>IFERROR(__xludf.DUMMYFUNCTION("""COMPUTED_VALUE"""),"")</f>
        <v/>
      </c>
      <c r="C687" s="4" t="str">
        <f>IFERROR(__xludf.DUMMYFUNCTION("""COMPUTED_VALUE"""),"")</f>
        <v/>
      </c>
      <c r="D687" s="4" t="str">
        <f>IFERROR(__xludf.DUMMYFUNCTION("""COMPUTED_VALUE"""),"")</f>
        <v/>
      </c>
      <c r="E687" s="4" t="str">
        <f>IFERROR(__xludf.DUMMYFUNCTION("""COMPUTED_VALUE"""),"")</f>
        <v/>
      </c>
      <c r="F687" s="4" t="str">
        <f>IFERROR(__xludf.DUMMYFUNCTION("""COMPUTED_VALUE"""),"")</f>
        <v/>
      </c>
      <c r="G687" s="4" t="str">
        <f>IFERROR(__xludf.DUMMYFUNCTION("""COMPUTED_VALUE"""),"")</f>
        <v/>
      </c>
      <c r="H687" s="4" t="str">
        <f>IFERROR(__xludf.DUMMYFUNCTION("""COMPUTED_VALUE"""),"")</f>
        <v/>
      </c>
      <c r="I687" s="4" t="str">
        <f>IFERROR(__xludf.DUMMYFUNCTION("""COMPUTED_VALUE"""),"")</f>
        <v/>
      </c>
      <c r="J687" s="4" t="str">
        <f>IFERROR(__xludf.DUMMYFUNCTION("""COMPUTED_VALUE"""),"")</f>
        <v/>
      </c>
      <c r="K687" s="4" t="str">
        <f>IFERROR(__xludf.DUMMYFUNCTION("""COMPUTED_VALUE"""),"")</f>
        <v/>
      </c>
    </row>
    <row r="688">
      <c r="A688" s="4" t="str">
        <f>IFERROR(__xludf.DUMMYFUNCTION("""COMPUTED_VALUE"""),"")</f>
        <v/>
      </c>
      <c r="B688" s="4" t="str">
        <f>IFERROR(__xludf.DUMMYFUNCTION("""COMPUTED_VALUE"""),"")</f>
        <v/>
      </c>
      <c r="C688" s="4" t="str">
        <f>IFERROR(__xludf.DUMMYFUNCTION("""COMPUTED_VALUE"""),"")</f>
        <v/>
      </c>
      <c r="D688" s="4" t="str">
        <f>IFERROR(__xludf.DUMMYFUNCTION("""COMPUTED_VALUE"""),"")</f>
        <v/>
      </c>
      <c r="E688" s="4" t="str">
        <f>IFERROR(__xludf.DUMMYFUNCTION("""COMPUTED_VALUE"""),"")</f>
        <v/>
      </c>
      <c r="F688" s="4" t="str">
        <f>IFERROR(__xludf.DUMMYFUNCTION("""COMPUTED_VALUE"""),"")</f>
        <v/>
      </c>
      <c r="G688" s="4" t="str">
        <f>IFERROR(__xludf.DUMMYFUNCTION("""COMPUTED_VALUE"""),"")</f>
        <v/>
      </c>
      <c r="H688" s="4" t="str">
        <f>IFERROR(__xludf.DUMMYFUNCTION("""COMPUTED_VALUE"""),"")</f>
        <v/>
      </c>
      <c r="I688" s="4" t="str">
        <f>IFERROR(__xludf.DUMMYFUNCTION("""COMPUTED_VALUE"""),"")</f>
        <v/>
      </c>
      <c r="J688" s="4" t="str">
        <f>IFERROR(__xludf.DUMMYFUNCTION("""COMPUTED_VALUE"""),"")</f>
        <v/>
      </c>
      <c r="K688" s="4" t="str">
        <f>IFERROR(__xludf.DUMMYFUNCTION("""COMPUTED_VALUE"""),"")</f>
        <v/>
      </c>
    </row>
    <row r="689">
      <c r="A689" s="4" t="str">
        <f>IFERROR(__xludf.DUMMYFUNCTION("""COMPUTED_VALUE"""),"")</f>
        <v/>
      </c>
      <c r="B689" s="4" t="str">
        <f>IFERROR(__xludf.DUMMYFUNCTION("""COMPUTED_VALUE"""),"")</f>
        <v/>
      </c>
      <c r="C689" s="4" t="str">
        <f>IFERROR(__xludf.DUMMYFUNCTION("""COMPUTED_VALUE"""),"")</f>
        <v/>
      </c>
      <c r="D689" s="4" t="str">
        <f>IFERROR(__xludf.DUMMYFUNCTION("""COMPUTED_VALUE"""),"")</f>
        <v/>
      </c>
      <c r="E689" s="4" t="str">
        <f>IFERROR(__xludf.DUMMYFUNCTION("""COMPUTED_VALUE"""),"")</f>
        <v/>
      </c>
      <c r="F689" s="4" t="str">
        <f>IFERROR(__xludf.DUMMYFUNCTION("""COMPUTED_VALUE"""),"")</f>
        <v/>
      </c>
      <c r="G689" s="4" t="str">
        <f>IFERROR(__xludf.DUMMYFUNCTION("""COMPUTED_VALUE"""),"")</f>
        <v/>
      </c>
      <c r="H689" s="4" t="str">
        <f>IFERROR(__xludf.DUMMYFUNCTION("""COMPUTED_VALUE"""),"")</f>
        <v/>
      </c>
      <c r="I689" s="4" t="str">
        <f>IFERROR(__xludf.DUMMYFUNCTION("""COMPUTED_VALUE"""),"")</f>
        <v/>
      </c>
      <c r="J689" s="4" t="str">
        <f>IFERROR(__xludf.DUMMYFUNCTION("""COMPUTED_VALUE"""),"")</f>
        <v/>
      </c>
      <c r="K689" s="4" t="str">
        <f>IFERROR(__xludf.DUMMYFUNCTION("""COMPUTED_VALUE"""),"")</f>
        <v/>
      </c>
    </row>
    <row r="690">
      <c r="A690" s="4" t="str">
        <f>IFERROR(__xludf.DUMMYFUNCTION("""COMPUTED_VALUE"""),"")</f>
        <v/>
      </c>
      <c r="B690" s="4" t="str">
        <f>IFERROR(__xludf.DUMMYFUNCTION("""COMPUTED_VALUE"""),"")</f>
        <v/>
      </c>
      <c r="C690" s="4" t="str">
        <f>IFERROR(__xludf.DUMMYFUNCTION("""COMPUTED_VALUE"""),"")</f>
        <v/>
      </c>
      <c r="D690" s="4" t="str">
        <f>IFERROR(__xludf.DUMMYFUNCTION("""COMPUTED_VALUE"""),"")</f>
        <v/>
      </c>
      <c r="E690" s="4" t="str">
        <f>IFERROR(__xludf.DUMMYFUNCTION("""COMPUTED_VALUE"""),"")</f>
        <v/>
      </c>
      <c r="F690" s="4" t="str">
        <f>IFERROR(__xludf.DUMMYFUNCTION("""COMPUTED_VALUE"""),"")</f>
        <v/>
      </c>
      <c r="G690" s="4" t="str">
        <f>IFERROR(__xludf.DUMMYFUNCTION("""COMPUTED_VALUE"""),"")</f>
        <v/>
      </c>
      <c r="H690" s="4" t="str">
        <f>IFERROR(__xludf.DUMMYFUNCTION("""COMPUTED_VALUE"""),"")</f>
        <v/>
      </c>
      <c r="I690" s="4" t="str">
        <f>IFERROR(__xludf.DUMMYFUNCTION("""COMPUTED_VALUE"""),"")</f>
        <v/>
      </c>
      <c r="J690" s="4" t="str">
        <f>IFERROR(__xludf.DUMMYFUNCTION("""COMPUTED_VALUE"""),"")</f>
        <v/>
      </c>
      <c r="K690" s="4" t="str">
        <f>IFERROR(__xludf.DUMMYFUNCTION("""COMPUTED_VALUE"""),"")</f>
        <v/>
      </c>
    </row>
    <row r="691">
      <c r="A691" s="4" t="str">
        <f>IFERROR(__xludf.DUMMYFUNCTION("""COMPUTED_VALUE"""),"")</f>
        <v/>
      </c>
      <c r="B691" s="4" t="str">
        <f>IFERROR(__xludf.DUMMYFUNCTION("""COMPUTED_VALUE"""),"")</f>
        <v/>
      </c>
      <c r="C691" s="4" t="str">
        <f>IFERROR(__xludf.DUMMYFUNCTION("""COMPUTED_VALUE"""),"")</f>
        <v/>
      </c>
      <c r="D691" s="4" t="str">
        <f>IFERROR(__xludf.DUMMYFUNCTION("""COMPUTED_VALUE"""),"")</f>
        <v/>
      </c>
      <c r="E691" s="4" t="str">
        <f>IFERROR(__xludf.DUMMYFUNCTION("""COMPUTED_VALUE"""),"")</f>
        <v/>
      </c>
      <c r="F691" s="4" t="str">
        <f>IFERROR(__xludf.DUMMYFUNCTION("""COMPUTED_VALUE"""),"")</f>
        <v/>
      </c>
      <c r="G691" s="4" t="str">
        <f>IFERROR(__xludf.DUMMYFUNCTION("""COMPUTED_VALUE"""),"")</f>
        <v/>
      </c>
      <c r="H691" s="4" t="str">
        <f>IFERROR(__xludf.DUMMYFUNCTION("""COMPUTED_VALUE"""),"")</f>
        <v/>
      </c>
      <c r="I691" s="4" t="str">
        <f>IFERROR(__xludf.DUMMYFUNCTION("""COMPUTED_VALUE"""),"")</f>
        <v/>
      </c>
      <c r="J691" s="4" t="str">
        <f>IFERROR(__xludf.DUMMYFUNCTION("""COMPUTED_VALUE"""),"")</f>
        <v/>
      </c>
      <c r="K691" s="4" t="str">
        <f>IFERROR(__xludf.DUMMYFUNCTION("""COMPUTED_VALUE"""),"")</f>
        <v/>
      </c>
    </row>
    <row r="692">
      <c r="A692" s="4" t="str">
        <f>IFERROR(__xludf.DUMMYFUNCTION("""COMPUTED_VALUE"""),"")</f>
        <v/>
      </c>
      <c r="B692" s="4" t="str">
        <f>IFERROR(__xludf.DUMMYFUNCTION("""COMPUTED_VALUE"""),"")</f>
        <v/>
      </c>
      <c r="C692" s="4" t="str">
        <f>IFERROR(__xludf.DUMMYFUNCTION("""COMPUTED_VALUE"""),"")</f>
        <v/>
      </c>
      <c r="D692" s="4" t="str">
        <f>IFERROR(__xludf.DUMMYFUNCTION("""COMPUTED_VALUE"""),"")</f>
        <v/>
      </c>
      <c r="E692" s="4" t="str">
        <f>IFERROR(__xludf.DUMMYFUNCTION("""COMPUTED_VALUE"""),"")</f>
        <v/>
      </c>
      <c r="F692" s="4" t="str">
        <f>IFERROR(__xludf.DUMMYFUNCTION("""COMPUTED_VALUE"""),"")</f>
        <v/>
      </c>
      <c r="G692" s="4" t="str">
        <f>IFERROR(__xludf.DUMMYFUNCTION("""COMPUTED_VALUE"""),"")</f>
        <v/>
      </c>
      <c r="H692" s="4" t="str">
        <f>IFERROR(__xludf.DUMMYFUNCTION("""COMPUTED_VALUE"""),"")</f>
        <v/>
      </c>
      <c r="I692" s="4" t="str">
        <f>IFERROR(__xludf.DUMMYFUNCTION("""COMPUTED_VALUE"""),"")</f>
        <v/>
      </c>
      <c r="J692" s="4" t="str">
        <f>IFERROR(__xludf.DUMMYFUNCTION("""COMPUTED_VALUE"""),"")</f>
        <v/>
      </c>
      <c r="K692" s="4" t="str">
        <f>IFERROR(__xludf.DUMMYFUNCTION("""COMPUTED_VALUE"""),"")</f>
        <v/>
      </c>
    </row>
    <row r="693">
      <c r="A693" s="4" t="str">
        <f>IFERROR(__xludf.DUMMYFUNCTION("""COMPUTED_VALUE"""),"")</f>
        <v/>
      </c>
      <c r="B693" s="4" t="str">
        <f>IFERROR(__xludf.DUMMYFUNCTION("""COMPUTED_VALUE"""),"")</f>
        <v/>
      </c>
      <c r="C693" s="4" t="str">
        <f>IFERROR(__xludf.DUMMYFUNCTION("""COMPUTED_VALUE"""),"")</f>
        <v/>
      </c>
      <c r="D693" s="4" t="str">
        <f>IFERROR(__xludf.DUMMYFUNCTION("""COMPUTED_VALUE"""),"")</f>
        <v/>
      </c>
      <c r="E693" s="4" t="str">
        <f>IFERROR(__xludf.DUMMYFUNCTION("""COMPUTED_VALUE"""),"")</f>
        <v/>
      </c>
      <c r="F693" s="4" t="str">
        <f>IFERROR(__xludf.DUMMYFUNCTION("""COMPUTED_VALUE"""),"")</f>
        <v/>
      </c>
      <c r="G693" s="4" t="str">
        <f>IFERROR(__xludf.DUMMYFUNCTION("""COMPUTED_VALUE"""),"")</f>
        <v/>
      </c>
      <c r="H693" s="4" t="str">
        <f>IFERROR(__xludf.DUMMYFUNCTION("""COMPUTED_VALUE"""),"")</f>
        <v/>
      </c>
      <c r="I693" s="4" t="str">
        <f>IFERROR(__xludf.DUMMYFUNCTION("""COMPUTED_VALUE"""),"")</f>
        <v/>
      </c>
      <c r="J693" s="4" t="str">
        <f>IFERROR(__xludf.DUMMYFUNCTION("""COMPUTED_VALUE"""),"")</f>
        <v/>
      </c>
      <c r="K693" s="4" t="str">
        <f>IFERROR(__xludf.DUMMYFUNCTION("""COMPUTED_VALUE"""),"")</f>
        <v/>
      </c>
    </row>
    <row r="694">
      <c r="A694" s="4" t="str">
        <f>IFERROR(__xludf.DUMMYFUNCTION("""COMPUTED_VALUE"""),"")</f>
        <v/>
      </c>
      <c r="B694" s="4" t="str">
        <f>IFERROR(__xludf.DUMMYFUNCTION("""COMPUTED_VALUE"""),"")</f>
        <v/>
      </c>
      <c r="C694" s="4" t="str">
        <f>IFERROR(__xludf.DUMMYFUNCTION("""COMPUTED_VALUE"""),"")</f>
        <v/>
      </c>
      <c r="D694" s="4" t="str">
        <f>IFERROR(__xludf.DUMMYFUNCTION("""COMPUTED_VALUE"""),"")</f>
        <v/>
      </c>
      <c r="E694" s="4" t="str">
        <f>IFERROR(__xludf.DUMMYFUNCTION("""COMPUTED_VALUE"""),"")</f>
        <v/>
      </c>
      <c r="F694" s="4" t="str">
        <f>IFERROR(__xludf.DUMMYFUNCTION("""COMPUTED_VALUE"""),"")</f>
        <v/>
      </c>
      <c r="G694" s="4" t="str">
        <f>IFERROR(__xludf.DUMMYFUNCTION("""COMPUTED_VALUE"""),"")</f>
        <v/>
      </c>
      <c r="H694" s="4" t="str">
        <f>IFERROR(__xludf.DUMMYFUNCTION("""COMPUTED_VALUE"""),"")</f>
        <v/>
      </c>
      <c r="I694" s="4" t="str">
        <f>IFERROR(__xludf.DUMMYFUNCTION("""COMPUTED_VALUE"""),"")</f>
        <v/>
      </c>
      <c r="J694" s="4" t="str">
        <f>IFERROR(__xludf.DUMMYFUNCTION("""COMPUTED_VALUE"""),"")</f>
        <v/>
      </c>
      <c r="K694" s="4" t="str">
        <f>IFERROR(__xludf.DUMMYFUNCTION("""COMPUTED_VALUE"""),"")</f>
        <v/>
      </c>
    </row>
    <row r="695">
      <c r="A695" s="4" t="str">
        <f>IFERROR(__xludf.DUMMYFUNCTION("""COMPUTED_VALUE"""),"")</f>
        <v/>
      </c>
      <c r="B695" s="4" t="str">
        <f>IFERROR(__xludf.DUMMYFUNCTION("""COMPUTED_VALUE"""),"")</f>
        <v/>
      </c>
      <c r="C695" s="4" t="str">
        <f>IFERROR(__xludf.DUMMYFUNCTION("""COMPUTED_VALUE"""),"")</f>
        <v/>
      </c>
      <c r="D695" s="4" t="str">
        <f>IFERROR(__xludf.DUMMYFUNCTION("""COMPUTED_VALUE"""),"")</f>
        <v/>
      </c>
      <c r="E695" s="4" t="str">
        <f>IFERROR(__xludf.DUMMYFUNCTION("""COMPUTED_VALUE"""),"")</f>
        <v/>
      </c>
      <c r="F695" s="4" t="str">
        <f>IFERROR(__xludf.DUMMYFUNCTION("""COMPUTED_VALUE"""),"")</f>
        <v/>
      </c>
      <c r="G695" s="4" t="str">
        <f>IFERROR(__xludf.DUMMYFUNCTION("""COMPUTED_VALUE"""),"")</f>
        <v/>
      </c>
      <c r="H695" s="4" t="str">
        <f>IFERROR(__xludf.DUMMYFUNCTION("""COMPUTED_VALUE"""),"")</f>
        <v/>
      </c>
      <c r="I695" s="4" t="str">
        <f>IFERROR(__xludf.DUMMYFUNCTION("""COMPUTED_VALUE"""),"")</f>
        <v/>
      </c>
      <c r="J695" s="4" t="str">
        <f>IFERROR(__xludf.DUMMYFUNCTION("""COMPUTED_VALUE"""),"")</f>
        <v/>
      </c>
      <c r="K695" s="4" t="str">
        <f>IFERROR(__xludf.DUMMYFUNCTION("""COMPUTED_VALUE"""),"")</f>
        <v/>
      </c>
    </row>
    <row r="696">
      <c r="A696" s="4" t="str">
        <f>IFERROR(__xludf.DUMMYFUNCTION("""COMPUTED_VALUE"""),"")</f>
        <v/>
      </c>
      <c r="B696" s="4" t="str">
        <f>IFERROR(__xludf.DUMMYFUNCTION("""COMPUTED_VALUE"""),"")</f>
        <v/>
      </c>
      <c r="C696" s="4" t="str">
        <f>IFERROR(__xludf.DUMMYFUNCTION("""COMPUTED_VALUE"""),"")</f>
        <v/>
      </c>
      <c r="D696" s="4" t="str">
        <f>IFERROR(__xludf.DUMMYFUNCTION("""COMPUTED_VALUE"""),"")</f>
        <v/>
      </c>
      <c r="E696" s="4" t="str">
        <f>IFERROR(__xludf.DUMMYFUNCTION("""COMPUTED_VALUE"""),"")</f>
        <v/>
      </c>
      <c r="F696" s="4" t="str">
        <f>IFERROR(__xludf.DUMMYFUNCTION("""COMPUTED_VALUE"""),"")</f>
        <v/>
      </c>
      <c r="G696" s="4" t="str">
        <f>IFERROR(__xludf.DUMMYFUNCTION("""COMPUTED_VALUE"""),"")</f>
        <v/>
      </c>
      <c r="H696" s="4" t="str">
        <f>IFERROR(__xludf.DUMMYFUNCTION("""COMPUTED_VALUE"""),"")</f>
        <v/>
      </c>
      <c r="I696" s="4" t="str">
        <f>IFERROR(__xludf.DUMMYFUNCTION("""COMPUTED_VALUE"""),"")</f>
        <v/>
      </c>
      <c r="J696" s="4" t="str">
        <f>IFERROR(__xludf.DUMMYFUNCTION("""COMPUTED_VALUE"""),"")</f>
        <v/>
      </c>
      <c r="K696" s="4" t="str">
        <f>IFERROR(__xludf.DUMMYFUNCTION("""COMPUTED_VALUE"""),"")</f>
        <v/>
      </c>
    </row>
    <row r="697">
      <c r="A697" s="4" t="str">
        <f>IFERROR(__xludf.DUMMYFUNCTION("""COMPUTED_VALUE"""),"")</f>
        <v/>
      </c>
      <c r="B697" s="4" t="str">
        <f>IFERROR(__xludf.DUMMYFUNCTION("""COMPUTED_VALUE"""),"")</f>
        <v/>
      </c>
      <c r="C697" s="4" t="str">
        <f>IFERROR(__xludf.DUMMYFUNCTION("""COMPUTED_VALUE"""),"")</f>
        <v/>
      </c>
      <c r="D697" s="4" t="str">
        <f>IFERROR(__xludf.DUMMYFUNCTION("""COMPUTED_VALUE"""),"")</f>
        <v/>
      </c>
      <c r="E697" s="4" t="str">
        <f>IFERROR(__xludf.DUMMYFUNCTION("""COMPUTED_VALUE"""),"")</f>
        <v/>
      </c>
      <c r="F697" s="4" t="str">
        <f>IFERROR(__xludf.DUMMYFUNCTION("""COMPUTED_VALUE"""),"")</f>
        <v/>
      </c>
      <c r="G697" s="4" t="str">
        <f>IFERROR(__xludf.DUMMYFUNCTION("""COMPUTED_VALUE"""),"")</f>
        <v/>
      </c>
      <c r="H697" s="4" t="str">
        <f>IFERROR(__xludf.DUMMYFUNCTION("""COMPUTED_VALUE"""),"")</f>
        <v/>
      </c>
      <c r="I697" s="4" t="str">
        <f>IFERROR(__xludf.DUMMYFUNCTION("""COMPUTED_VALUE"""),"")</f>
        <v/>
      </c>
      <c r="J697" s="4" t="str">
        <f>IFERROR(__xludf.DUMMYFUNCTION("""COMPUTED_VALUE"""),"")</f>
        <v/>
      </c>
      <c r="K697" s="4" t="str">
        <f>IFERROR(__xludf.DUMMYFUNCTION("""COMPUTED_VALUE"""),"")</f>
        <v/>
      </c>
    </row>
    <row r="698">
      <c r="A698" s="4" t="str">
        <f>IFERROR(__xludf.DUMMYFUNCTION("""COMPUTED_VALUE"""),"")</f>
        <v/>
      </c>
      <c r="B698" s="4" t="str">
        <f>IFERROR(__xludf.DUMMYFUNCTION("""COMPUTED_VALUE"""),"")</f>
        <v/>
      </c>
      <c r="C698" s="4" t="str">
        <f>IFERROR(__xludf.DUMMYFUNCTION("""COMPUTED_VALUE"""),"")</f>
        <v/>
      </c>
      <c r="D698" s="4" t="str">
        <f>IFERROR(__xludf.DUMMYFUNCTION("""COMPUTED_VALUE"""),"")</f>
        <v/>
      </c>
      <c r="E698" s="4" t="str">
        <f>IFERROR(__xludf.DUMMYFUNCTION("""COMPUTED_VALUE"""),"")</f>
        <v/>
      </c>
      <c r="F698" s="4" t="str">
        <f>IFERROR(__xludf.DUMMYFUNCTION("""COMPUTED_VALUE"""),"")</f>
        <v/>
      </c>
      <c r="G698" s="4" t="str">
        <f>IFERROR(__xludf.DUMMYFUNCTION("""COMPUTED_VALUE"""),"")</f>
        <v/>
      </c>
      <c r="H698" s="4" t="str">
        <f>IFERROR(__xludf.DUMMYFUNCTION("""COMPUTED_VALUE"""),"")</f>
        <v/>
      </c>
      <c r="I698" s="4" t="str">
        <f>IFERROR(__xludf.DUMMYFUNCTION("""COMPUTED_VALUE"""),"")</f>
        <v/>
      </c>
      <c r="J698" s="4" t="str">
        <f>IFERROR(__xludf.DUMMYFUNCTION("""COMPUTED_VALUE"""),"")</f>
        <v/>
      </c>
      <c r="K698" s="4" t="str">
        <f>IFERROR(__xludf.DUMMYFUNCTION("""COMPUTED_VALUE"""),"")</f>
        <v/>
      </c>
    </row>
    <row r="699">
      <c r="A699" s="4" t="str">
        <f>IFERROR(__xludf.DUMMYFUNCTION("""COMPUTED_VALUE"""),"")</f>
        <v/>
      </c>
      <c r="B699" s="4" t="str">
        <f>IFERROR(__xludf.DUMMYFUNCTION("""COMPUTED_VALUE"""),"")</f>
        <v/>
      </c>
      <c r="C699" s="4" t="str">
        <f>IFERROR(__xludf.DUMMYFUNCTION("""COMPUTED_VALUE"""),"")</f>
        <v/>
      </c>
      <c r="D699" s="4" t="str">
        <f>IFERROR(__xludf.DUMMYFUNCTION("""COMPUTED_VALUE"""),"")</f>
        <v/>
      </c>
      <c r="E699" s="4" t="str">
        <f>IFERROR(__xludf.DUMMYFUNCTION("""COMPUTED_VALUE"""),"")</f>
        <v/>
      </c>
      <c r="F699" s="4" t="str">
        <f>IFERROR(__xludf.DUMMYFUNCTION("""COMPUTED_VALUE"""),"")</f>
        <v/>
      </c>
      <c r="G699" s="4" t="str">
        <f>IFERROR(__xludf.DUMMYFUNCTION("""COMPUTED_VALUE"""),"")</f>
        <v/>
      </c>
      <c r="H699" s="4" t="str">
        <f>IFERROR(__xludf.DUMMYFUNCTION("""COMPUTED_VALUE"""),"")</f>
        <v/>
      </c>
      <c r="I699" s="4" t="str">
        <f>IFERROR(__xludf.DUMMYFUNCTION("""COMPUTED_VALUE"""),"")</f>
        <v/>
      </c>
      <c r="J699" s="4" t="str">
        <f>IFERROR(__xludf.DUMMYFUNCTION("""COMPUTED_VALUE"""),"")</f>
        <v/>
      </c>
      <c r="K699" s="4" t="str">
        <f>IFERROR(__xludf.DUMMYFUNCTION("""COMPUTED_VALUE"""),"")</f>
        <v/>
      </c>
    </row>
    <row r="700">
      <c r="A700" s="4" t="str">
        <f>IFERROR(__xludf.DUMMYFUNCTION("""COMPUTED_VALUE"""),"")</f>
        <v/>
      </c>
      <c r="B700" s="4" t="str">
        <f>IFERROR(__xludf.DUMMYFUNCTION("""COMPUTED_VALUE"""),"")</f>
        <v/>
      </c>
      <c r="C700" s="4" t="str">
        <f>IFERROR(__xludf.DUMMYFUNCTION("""COMPUTED_VALUE"""),"")</f>
        <v/>
      </c>
      <c r="D700" s="4" t="str">
        <f>IFERROR(__xludf.DUMMYFUNCTION("""COMPUTED_VALUE"""),"")</f>
        <v/>
      </c>
      <c r="E700" s="4" t="str">
        <f>IFERROR(__xludf.DUMMYFUNCTION("""COMPUTED_VALUE"""),"")</f>
        <v/>
      </c>
      <c r="F700" s="4" t="str">
        <f>IFERROR(__xludf.DUMMYFUNCTION("""COMPUTED_VALUE"""),"")</f>
        <v/>
      </c>
      <c r="G700" s="4" t="str">
        <f>IFERROR(__xludf.DUMMYFUNCTION("""COMPUTED_VALUE"""),"")</f>
        <v/>
      </c>
      <c r="H700" s="4" t="str">
        <f>IFERROR(__xludf.DUMMYFUNCTION("""COMPUTED_VALUE"""),"")</f>
        <v/>
      </c>
      <c r="I700" s="4" t="str">
        <f>IFERROR(__xludf.DUMMYFUNCTION("""COMPUTED_VALUE"""),"")</f>
        <v/>
      </c>
      <c r="J700" s="4" t="str">
        <f>IFERROR(__xludf.DUMMYFUNCTION("""COMPUTED_VALUE"""),"")</f>
        <v/>
      </c>
      <c r="K700" s="4" t="str">
        <f>IFERROR(__xludf.DUMMYFUNCTION("""COMPUTED_VALUE"""),"")</f>
        <v/>
      </c>
    </row>
    <row r="701">
      <c r="A701" s="4" t="str">
        <f>IFERROR(__xludf.DUMMYFUNCTION("""COMPUTED_VALUE"""),"")</f>
        <v/>
      </c>
      <c r="B701" s="4" t="str">
        <f>IFERROR(__xludf.DUMMYFUNCTION("""COMPUTED_VALUE"""),"")</f>
        <v/>
      </c>
      <c r="C701" s="4" t="str">
        <f>IFERROR(__xludf.DUMMYFUNCTION("""COMPUTED_VALUE"""),"")</f>
        <v/>
      </c>
      <c r="D701" s="4" t="str">
        <f>IFERROR(__xludf.DUMMYFUNCTION("""COMPUTED_VALUE"""),"")</f>
        <v/>
      </c>
      <c r="E701" s="4" t="str">
        <f>IFERROR(__xludf.DUMMYFUNCTION("""COMPUTED_VALUE"""),"")</f>
        <v/>
      </c>
      <c r="F701" s="4" t="str">
        <f>IFERROR(__xludf.DUMMYFUNCTION("""COMPUTED_VALUE"""),"")</f>
        <v/>
      </c>
      <c r="G701" s="4" t="str">
        <f>IFERROR(__xludf.DUMMYFUNCTION("""COMPUTED_VALUE"""),"")</f>
        <v/>
      </c>
      <c r="H701" s="4" t="str">
        <f>IFERROR(__xludf.DUMMYFUNCTION("""COMPUTED_VALUE"""),"")</f>
        <v/>
      </c>
      <c r="I701" s="4" t="str">
        <f>IFERROR(__xludf.DUMMYFUNCTION("""COMPUTED_VALUE"""),"")</f>
        <v/>
      </c>
      <c r="J701" s="4" t="str">
        <f>IFERROR(__xludf.DUMMYFUNCTION("""COMPUTED_VALUE"""),"")</f>
        <v/>
      </c>
      <c r="K701" s="4" t="str">
        <f>IFERROR(__xludf.DUMMYFUNCTION("""COMPUTED_VALUE"""),"")</f>
        <v/>
      </c>
    </row>
    <row r="702">
      <c r="A702" s="4" t="str">
        <f>IFERROR(__xludf.DUMMYFUNCTION("""COMPUTED_VALUE"""),"")</f>
        <v/>
      </c>
      <c r="B702" s="4" t="str">
        <f>IFERROR(__xludf.DUMMYFUNCTION("""COMPUTED_VALUE"""),"")</f>
        <v/>
      </c>
      <c r="C702" s="4" t="str">
        <f>IFERROR(__xludf.DUMMYFUNCTION("""COMPUTED_VALUE"""),"")</f>
        <v/>
      </c>
      <c r="D702" s="4" t="str">
        <f>IFERROR(__xludf.DUMMYFUNCTION("""COMPUTED_VALUE"""),"")</f>
        <v/>
      </c>
      <c r="E702" s="4" t="str">
        <f>IFERROR(__xludf.DUMMYFUNCTION("""COMPUTED_VALUE"""),"")</f>
        <v/>
      </c>
      <c r="F702" s="4" t="str">
        <f>IFERROR(__xludf.DUMMYFUNCTION("""COMPUTED_VALUE"""),"")</f>
        <v/>
      </c>
      <c r="G702" s="4" t="str">
        <f>IFERROR(__xludf.DUMMYFUNCTION("""COMPUTED_VALUE"""),"")</f>
        <v/>
      </c>
      <c r="H702" s="4" t="str">
        <f>IFERROR(__xludf.DUMMYFUNCTION("""COMPUTED_VALUE"""),"")</f>
        <v/>
      </c>
      <c r="I702" s="4" t="str">
        <f>IFERROR(__xludf.DUMMYFUNCTION("""COMPUTED_VALUE"""),"")</f>
        <v/>
      </c>
      <c r="J702" s="4" t="str">
        <f>IFERROR(__xludf.DUMMYFUNCTION("""COMPUTED_VALUE"""),"")</f>
        <v/>
      </c>
      <c r="K702" s="4" t="str">
        <f>IFERROR(__xludf.DUMMYFUNCTION("""COMPUTED_VALUE"""),"")</f>
        <v/>
      </c>
    </row>
    <row r="703">
      <c r="A703" s="4" t="str">
        <f>IFERROR(__xludf.DUMMYFUNCTION("""COMPUTED_VALUE"""),"")</f>
        <v/>
      </c>
      <c r="B703" s="4" t="str">
        <f>IFERROR(__xludf.DUMMYFUNCTION("""COMPUTED_VALUE"""),"")</f>
        <v/>
      </c>
      <c r="C703" s="4" t="str">
        <f>IFERROR(__xludf.DUMMYFUNCTION("""COMPUTED_VALUE"""),"")</f>
        <v/>
      </c>
      <c r="D703" s="4" t="str">
        <f>IFERROR(__xludf.DUMMYFUNCTION("""COMPUTED_VALUE"""),"")</f>
        <v/>
      </c>
      <c r="E703" s="4" t="str">
        <f>IFERROR(__xludf.DUMMYFUNCTION("""COMPUTED_VALUE"""),"")</f>
        <v/>
      </c>
      <c r="F703" s="4" t="str">
        <f>IFERROR(__xludf.DUMMYFUNCTION("""COMPUTED_VALUE"""),"")</f>
        <v/>
      </c>
      <c r="G703" s="4" t="str">
        <f>IFERROR(__xludf.DUMMYFUNCTION("""COMPUTED_VALUE"""),"")</f>
        <v/>
      </c>
      <c r="H703" s="4" t="str">
        <f>IFERROR(__xludf.DUMMYFUNCTION("""COMPUTED_VALUE"""),"")</f>
        <v/>
      </c>
      <c r="I703" s="4" t="str">
        <f>IFERROR(__xludf.DUMMYFUNCTION("""COMPUTED_VALUE"""),"")</f>
        <v/>
      </c>
      <c r="J703" s="4" t="str">
        <f>IFERROR(__xludf.DUMMYFUNCTION("""COMPUTED_VALUE"""),"")</f>
        <v/>
      </c>
      <c r="K703" s="4" t="str">
        <f>IFERROR(__xludf.DUMMYFUNCTION("""COMPUTED_VALUE"""),"")</f>
        <v/>
      </c>
    </row>
    <row r="704">
      <c r="A704" s="4" t="str">
        <f>IFERROR(__xludf.DUMMYFUNCTION("""COMPUTED_VALUE"""),"")</f>
        <v/>
      </c>
      <c r="B704" s="4" t="str">
        <f>IFERROR(__xludf.DUMMYFUNCTION("""COMPUTED_VALUE"""),"")</f>
        <v/>
      </c>
      <c r="C704" s="4" t="str">
        <f>IFERROR(__xludf.DUMMYFUNCTION("""COMPUTED_VALUE"""),"")</f>
        <v/>
      </c>
      <c r="D704" s="4" t="str">
        <f>IFERROR(__xludf.DUMMYFUNCTION("""COMPUTED_VALUE"""),"")</f>
        <v/>
      </c>
      <c r="E704" s="4" t="str">
        <f>IFERROR(__xludf.DUMMYFUNCTION("""COMPUTED_VALUE"""),"")</f>
        <v/>
      </c>
      <c r="F704" s="4" t="str">
        <f>IFERROR(__xludf.DUMMYFUNCTION("""COMPUTED_VALUE"""),"")</f>
        <v/>
      </c>
      <c r="G704" s="4" t="str">
        <f>IFERROR(__xludf.DUMMYFUNCTION("""COMPUTED_VALUE"""),"")</f>
        <v/>
      </c>
      <c r="H704" s="4" t="str">
        <f>IFERROR(__xludf.DUMMYFUNCTION("""COMPUTED_VALUE"""),"")</f>
        <v/>
      </c>
      <c r="I704" s="4" t="str">
        <f>IFERROR(__xludf.DUMMYFUNCTION("""COMPUTED_VALUE"""),"")</f>
        <v/>
      </c>
      <c r="J704" s="4" t="str">
        <f>IFERROR(__xludf.DUMMYFUNCTION("""COMPUTED_VALUE"""),"")</f>
        <v/>
      </c>
      <c r="K704" s="4" t="str">
        <f>IFERROR(__xludf.DUMMYFUNCTION("""COMPUTED_VALUE"""),"")</f>
        <v/>
      </c>
    </row>
    <row r="705">
      <c r="A705" s="4" t="str">
        <f>IFERROR(__xludf.DUMMYFUNCTION("""COMPUTED_VALUE"""),"")</f>
        <v/>
      </c>
      <c r="B705" s="4" t="str">
        <f>IFERROR(__xludf.DUMMYFUNCTION("""COMPUTED_VALUE"""),"")</f>
        <v/>
      </c>
      <c r="C705" s="4" t="str">
        <f>IFERROR(__xludf.DUMMYFUNCTION("""COMPUTED_VALUE"""),"")</f>
        <v/>
      </c>
      <c r="D705" s="4" t="str">
        <f>IFERROR(__xludf.DUMMYFUNCTION("""COMPUTED_VALUE"""),"")</f>
        <v/>
      </c>
      <c r="E705" s="4" t="str">
        <f>IFERROR(__xludf.DUMMYFUNCTION("""COMPUTED_VALUE"""),"")</f>
        <v/>
      </c>
      <c r="F705" s="4" t="str">
        <f>IFERROR(__xludf.DUMMYFUNCTION("""COMPUTED_VALUE"""),"")</f>
        <v/>
      </c>
      <c r="G705" s="4" t="str">
        <f>IFERROR(__xludf.DUMMYFUNCTION("""COMPUTED_VALUE"""),"")</f>
        <v/>
      </c>
      <c r="H705" s="4" t="str">
        <f>IFERROR(__xludf.DUMMYFUNCTION("""COMPUTED_VALUE"""),"")</f>
        <v/>
      </c>
      <c r="I705" s="4" t="str">
        <f>IFERROR(__xludf.DUMMYFUNCTION("""COMPUTED_VALUE"""),"")</f>
        <v/>
      </c>
      <c r="J705" s="4" t="str">
        <f>IFERROR(__xludf.DUMMYFUNCTION("""COMPUTED_VALUE"""),"")</f>
        <v/>
      </c>
      <c r="K705" s="4" t="str">
        <f>IFERROR(__xludf.DUMMYFUNCTION("""COMPUTED_VALUE"""),"")</f>
        <v/>
      </c>
    </row>
    <row r="706">
      <c r="A706" s="4" t="str">
        <f>IFERROR(__xludf.DUMMYFUNCTION("""COMPUTED_VALUE"""),"")</f>
        <v/>
      </c>
      <c r="B706" s="4" t="str">
        <f>IFERROR(__xludf.DUMMYFUNCTION("""COMPUTED_VALUE"""),"")</f>
        <v/>
      </c>
      <c r="C706" s="4" t="str">
        <f>IFERROR(__xludf.DUMMYFUNCTION("""COMPUTED_VALUE"""),"")</f>
        <v/>
      </c>
      <c r="D706" s="4" t="str">
        <f>IFERROR(__xludf.DUMMYFUNCTION("""COMPUTED_VALUE"""),"")</f>
        <v/>
      </c>
      <c r="E706" s="4" t="str">
        <f>IFERROR(__xludf.DUMMYFUNCTION("""COMPUTED_VALUE"""),"")</f>
        <v/>
      </c>
      <c r="F706" s="4" t="str">
        <f>IFERROR(__xludf.DUMMYFUNCTION("""COMPUTED_VALUE"""),"")</f>
        <v/>
      </c>
      <c r="G706" s="4" t="str">
        <f>IFERROR(__xludf.DUMMYFUNCTION("""COMPUTED_VALUE"""),"")</f>
        <v/>
      </c>
      <c r="H706" s="4" t="str">
        <f>IFERROR(__xludf.DUMMYFUNCTION("""COMPUTED_VALUE"""),"")</f>
        <v/>
      </c>
      <c r="I706" s="4" t="str">
        <f>IFERROR(__xludf.DUMMYFUNCTION("""COMPUTED_VALUE"""),"")</f>
        <v/>
      </c>
      <c r="J706" s="4" t="str">
        <f>IFERROR(__xludf.DUMMYFUNCTION("""COMPUTED_VALUE"""),"")</f>
        <v/>
      </c>
      <c r="K706" s="4" t="str">
        <f>IFERROR(__xludf.DUMMYFUNCTION("""COMPUTED_VALUE"""),"")</f>
        <v/>
      </c>
    </row>
    <row r="707">
      <c r="A707" s="4" t="str">
        <f>IFERROR(__xludf.DUMMYFUNCTION("""COMPUTED_VALUE"""),"")</f>
        <v/>
      </c>
      <c r="B707" s="4" t="str">
        <f>IFERROR(__xludf.DUMMYFUNCTION("""COMPUTED_VALUE"""),"")</f>
        <v/>
      </c>
      <c r="C707" s="4" t="str">
        <f>IFERROR(__xludf.DUMMYFUNCTION("""COMPUTED_VALUE"""),"")</f>
        <v/>
      </c>
      <c r="D707" s="4" t="str">
        <f>IFERROR(__xludf.DUMMYFUNCTION("""COMPUTED_VALUE"""),"")</f>
        <v/>
      </c>
      <c r="E707" s="4" t="str">
        <f>IFERROR(__xludf.DUMMYFUNCTION("""COMPUTED_VALUE"""),"")</f>
        <v/>
      </c>
      <c r="F707" s="4" t="str">
        <f>IFERROR(__xludf.DUMMYFUNCTION("""COMPUTED_VALUE"""),"")</f>
        <v/>
      </c>
      <c r="G707" s="4" t="str">
        <f>IFERROR(__xludf.DUMMYFUNCTION("""COMPUTED_VALUE"""),"")</f>
        <v/>
      </c>
      <c r="H707" s="4" t="str">
        <f>IFERROR(__xludf.DUMMYFUNCTION("""COMPUTED_VALUE"""),"")</f>
        <v/>
      </c>
      <c r="I707" s="4" t="str">
        <f>IFERROR(__xludf.DUMMYFUNCTION("""COMPUTED_VALUE"""),"")</f>
        <v/>
      </c>
      <c r="J707" s="4" t="str">
        <f>IFERROR(__xludf.DUMMYFUNCTION("""COMPUTED_VALUE"""),"")</f>
        <v/>
      </c>
      <c r="K707" s="4" t="str">
        <f>IFERROR(__xludf.DUMMYFUNCTION("""COMPUTED_VALUE"""),"")</f>
        <v/>
      </c>
    </row>
    <row r="708">
      <c r="A708" s="4" t="str">
        <f>IFERROR(__xludf.DUMMYFUNCTION("""COMPUTED_VALUE"""),"")</f>
        <v/>
      </c>
      <c r="B708" s="4" t="str">
        <f>IFERROR(__xludf.DUMMYFUNCTION("""COMPUTED_VALUE"""),"")</f>
        <v/>
      </c>
      <c r="C708" s="4" t="str">
        <f>IFERROR(__xludf.DUMMYFUNCTION("""COMPUTED_VALUE"""),"")</f>
        <v/>
      </c>
      <c r="D708" s="4" t="str">
        <f>IFERROR(__xludf.DUMMYFUNCTION("""COMPUTED_VALUE"""),"")</f>
        <v/>
      </c>
      <c r="E708" s="4" t="str">
        <f>IFERROR(__xludf.DUMMYFUNCTION("""COMPUTED_VALUE"""),"")</f>
        <v/>
      </c>
      <c r="F708" s="4" t="str">
        <f>IFERROR(__xludf.DUMMYFUNCTION("""COMPUTED_VALUE"""),"")</f>
        <v/>
      </c>
      <c r="G708" s="4" t="str">
        <f>IFERROR(__xludf.DUMMYFUNCTION("""COMPUTED_VALUE"""),"")</f>
        <v/>
      </c>
      <c r="H708" s="4" t="str">
        <f>IFERROR(__xludf.DUMMYFUNCTION("""COMPUTED_VALUE"""),"")</f>
        <v/>
      </c>
      <c r="I708" s="4" t="str">
        <f>IFERROR(__xludf.DUMMYFUNCTION("""COMPUTED_VALUE"""),"")</f>
        <v/>
      </c>
      <c r="J708" s="4" t="str">
        <f>IFERROR(__xludf.DUMMYFUNCTION("""COMPUTED_VALUE"""),"")</f>
        <v/>
      </c>
      <c r="K708" s="4" t="str">
        <f>IFERROR(__xludf.DUMMYFUNCTION("""COMPUTED_VALUE"""),"")</f>
        <v/>
      </c>
    </row>
    <row r="709">
      <c r="A709" s="4" t="str">
        <f>IFERROR(__xludf.DUMMYFUNCTION("""COMPUTED_VALUE"""),"")</f>
        <v/>
      </c>
      <c r="B709" s="4" t="str">
        <f>IFERROR(__xludf.DUMMYFUNCTION("""COMPUTED_VALUE"""),"")</f>
        <v/>
      </c>
      <c r="C709" s="4" t="str">
        <f>IFERROR(__xludf.DUMMYFUNCTION("""COMPUTED_VALUE"""),"")</f>
        <v/>
      </c>
      <c r="D709" s="4" t="str">
        <f>IFERROR(__xludf.DUMMYFUNCTION("""COMPUTED_VALUE"""),"")</f>
        <v/>
      </c>
      <c r="E709" s="4" t="str">
        <f>IFERROR(__xludf.DUMMYFUNCTION("""COMPUTED_VALUE"""),"")</f>
        <v/>
      </c>
      <c r="F709" s="4" t="str">
        <f>IFERROR(__xludf.DUMMYFUNCTION("""COMPUTED_VALUE"""),"")</f>
        <v/>
      </c>
      <c r="G709" s="4" t="str">
        <f>IFERROR(__xludf.DUMMYFUNCTION("""COMPUTED_VALUE"""),"")</f>
        <v/>
      </c>
      <c r="H709" s="4" t="str">
        <f>IFERROR(__xludf.DUMMYFUNCTION("""COMPUTED_VALUE"""),"")</f>
        <v/>
      </c>
      <c r="I709" s="4" t="str">
        <f>IFERROR(__xludf.DUMMYFUNCTION("""COMPUTED_VALUE"""),"")</f>
        <v/>
      </c>
      <c r="J709" s="4" t="str">
        <f>IFERROR(__xludf.DUMMYFUNCTION("""COMPUTED_VALUE"""),"")</f>
        <v/>
      </c>
      <c r="K709" s="4" t="str">
        <f>IFERROR(__xludf.DUMMYFUNCTION("""COMPUTED_VALUE"""),"")</f>
        <v/>
      </c>
    </row>
    <row r="710">
      <c r="A710" s="4" t="str">
        <f>IFERROR(__xludf.DUMMYFUNCTION("""COMPUTED_VALUE"""),"")</f>
        <v/>
      </c>
      <c r="B710" s="4" t="str">
        <f>IFERROR(__xludf.DUMMYFUNCTION("""COMPUTED_VALUE"""),"")</f>
        <v/>
      </c>
      <c r="C710" s="4" t="str">
        <f>IFERROR(__xludf.DUMMYFUNCTION("""COMPUTED_VALUE"""),"")</f>
        <v/>
      </c>
      <c r="D710" s="4" t="str">
        <f>IFERROR(__xludf.DUMMYFUNCTION("""COMPUTED_VALUE"""),"")</f>
        <v/>
      </c>
      <c r="E710" s="4" t="str">
        <f>IFERROR(__xludf.DUMMYFUNCTION("""COMPUTED_VALUE"""),"")</f>
        <v/>
      </c>
      <c r="F710" s="4" t="str">
        <f>IFERROR(__xludf.DUMMYFUNCTION("""COMPUTED_VALUE"""),"")</f>
        <v/>
      </c>
      <c r="G710" s="4" t="str">
        <f>IFERROR(__xludf.DUMMYFUNCTION("""COMPUTED_VALUE"""),"")</f>
        <v/>
      </c>
      <c r="H710" s="4" t="str">
        <f>IFERROR(__xludf.DUMMYFUNCTION("""COMPUTED_VALUE"""),"")</f>
        <v/>
      </c>
      <c r="I710" s="4" t="str">
        <f>IFERROR(__xludf.DUMMYFUNCTION("""COMPUTED_VALUE"""),"")</f>
        <v/>
      </c>
      <c r="J710" s="4" t="str">
        <f>IFERROR(__xludf.DUMMYFUNCTION("""COMPUTED_VALUE"""),"")</f>
        <v/>
      </c>
      <c r="K710" s="4" t="str">
        <f>IFERROR(__xludf.DUMMYFUNCTION("""COMPUTED_VALUE"""),"")</f>
        <v/>
      </c>
    </row>
    <row r="711">
      <c r="A711" s="4" t="str">
        <f>IFERROR(__xludf.DUMMYFUNCTION("""COMPUTED_VALUE"""),"")</f>
        <v/>
      </c>
      <c r="B711" s="4" t="str">
        <f>IFERROR(__xludf.DUMMYFUNCTION("""COMPUTED_VALUE"""),"")</f>
        <v/>
      </c>
      <c r="C711" s="4" t="str">
        <f>IFERROR(__xludf.DUMMYFUNCTION("""COMPUTED_VALUE"""),"")</f>
        <v/>
      </c>
      <c r="D711" s="4" t="str">
        <f>IFERROR(__xludf.DUMMYFUNCTION("""COMPUTED_VALUE"""),"")</f>
        <v/>
      </c>
      <c r="E711" s="4" t="str">
        <f>IFERROR(__xludf.DUMMYFUNCTION("""COMPUTED_VALUE"""),"")</f>
        <v/>
      </c>
      <c r="F711" s="4" t="str">
        <f>IFERROR(__xludf.DUMMYFUNCTION("""COMPUTED_VALUE"""),"")</f>
        <v/>
      </c>
      <c r="G711" s="4" t="str">
        <f>IFERROR(__xludf.DUMMYFUNCTION("""COMPUTED_VALUE"""),"")</f>
        <v/>
      </c>
      <c r="H711" s="4" t="str">
        <f>IFERROR(__xludf.DUMMYFUNCTION("""COMPUTED_VALUE"""),"")</f>
        <v/>
      </c>
      <c r="I711" s="4" t="str">
        <f>IFERROR(__xludf.DUMMYFUNCTION("""COMPUTED_VALUE"""),"")</f>
        <v/>
      </c>
      <c r="J711" s="4" t="str">
        <f>IFERROR(__xludf.DUMMYFUNCTION("""COMPUTED_VALUE"""),"")</f>
        <v/>
      </c>
      <c r="K711" s="4" t="str">
        <f>IFERROR(__xludf.DUMMYFUNCTION("""COMPUTED_VALUE"""),"")</f>
        <v/>
      </c>
    </row>
    <row r="712">
      <c r="A712" s="4" t="str">
        <f>IFERROR(__xludf.DUMMYFUNCTION("""COMPUTED_VALUE"""),"")</f>
        <v/>
      </c>
      <c r="B712" s="4" t="str">
        <f>IFERROR(__xludf.DUMMYFUNCTION("""COMPUTED_VALUE"""),"")</f>
        <v/>
      </c>
      <c r="C712" s="4" t="str">
        <f>IFERROR(__xludf.DUMMYFUNCTION("""COMPUTED_VALUE"""),"")</f>
        <v/>
      </c>
      <c r="D712" s="4" t="str">
        <f>IFERROR(__xludf.DUMMYFUNCTION("""COMPUTED_VALUE"""),"")</f>
        <v/>
      </c>
      <c r="E712" s="4" t="str">
        <f>IFERROR(__xludf.DUMMYFUNCTION("""COMPUTED_VALUE"""),"")</f>
        <v/>
      </c>
      <c r="F712" s="4" t="str">
        <f>IFERROR(__xludf.DUMMYFUNCTION("""COMPUTED_VALUE"""),"")</f>
        <v/>
      </c>
      <c r="G712" s="4" t="str">
        <f>IFERROR(__xludf.DUMMYFUNCTION("""COMPUTED_VALUE"""),"")</f>
        <v/>
      </c>
      <c r="H712" s="4" t="str">
        <f>IFERROR(__xludf.DUMMYFUNCTION("""COMPUTED_VALUE"""),"")</f>
        <v/>
      </c>
      <c r="I712" s="4" t="str">
        <f>IFERROR(__xludf.DUMMYFUNCTION("""COMPUTED_VALUE"""),"")</f>
        <v/>
      </c>
      <c r="J712" s="4" t="str">
        <f>IFERROR(__xludf.DUMMYFUNCTION("""COMPUTED_VALUE"""),"")</f>
        <v/>
      </c>
      <c r="K712" s="4" t="str">
        <f>IFERROR(__xludf.DUMMYFUNCTION("""COMPUTED_VALUE"""),"")</f>
        <v/>
      </c>
    </row>
    <row r="713">
      <c r="A713" s="4" t="str">
        <f>IFERROR(__xludf.DUMMYFUNCTION("""COMPUTED_VALUE"""),"")</f>
        <v/>
      </c>
      <c r="B713" s="4" t="str">
        <f>IFERROR(__xludf.DUMMYFUNCTION("""COMPUTED_VALUE"""),"")</f>
        <v/>
      </c>
      <c r="C713" s="4" t="str">
        <f>IFERROR(__xludf.DUMMYFUNCTION("""COMPUTED_VALUE"""),"")</f>
        <v/>
      </c>
      <c r="D713" s="4" t="str">
        <f>IFERROR(__xludf.DUMMYFUNCTION("""COMPUTED_VALUE"""),"")</f>
        <v/>
      </c>
      <c r="E713" s="4" t="str">
        <f>IFERROR(__xludf.DUMMYFUNCTION("""COMPUTED_VALUE"""),"")</f>
        <v/>
      </c>
      <c r="F713" s="4" t="str">
        <f>IFERROR(__xludf.DUMMYFUNCTION("""COMPUTED_VALUE"""),"")</f>
        <v/>
      </c>
      <c r="G713" s="4" t="str">
        <f>IFERROR(__xludf.DUMMYFUNCTION("""COMPUTED_VALUE"""),"")</f>
        <v/>
      </c>
      <c r="H713" s="4" t="str">
        <f>IFERROR(__xludf.DUMMYFUNCTION("""COMPUTED_VALUE"""),"")</f>
        <v/>
      </c>
      <c r="I713" s="4" t="str">
        <f>IFERROR(__xludf.DUMMYFUNCTION("""COMPUTED_VALUE"""),"")</f>
        <v/>
      </c>
      <c r="J713" s="4" t="str">
        <f>IFERROR(__xludf.DUMMYFUNCTION("""COMPUTED_VALUE"""),"")</f>
        <v/>
      </c>
      <c r="K713" s="4" t="str">
        <f>IFERROR(__xludf.DUMMYFUNCTION("""COMPUTED_VALUE"""),"")</f>
        <v/>
      </c>
    </row>
    <row r="714">
      <c r="A714" s="4" t="str">
        <f>IFERROR(__xludf.DUMMYFUNCTION("""COMPUTED_VALUE"""),"")</f>
        <v/>
      </c>
      <c r="B714" s="4" t="str">
        <f>IFERROR(__xludf.DUMMYFUNCTION("""COMPUTED_VALUE"""),"")</f>
        <v/>
      </c>
      <c r="C714" s="4" t="str">
        <f>IFERROR(__xludf.DUMMYFUNCTION("""COMPUTED_VALUE"""),"")</f>
        <v/>
      </c>
      <c r="D714" s="4" t="str">
        <f>IFERROR(__xludf.DUMMYFUNCTION("""COMPUTED_VALUE"""),"")</f>
        <v/>
      </c>
      <c r="E714" s="4" t="str">
        <f>IFERROR(__xludf.DUMMYFUNCTION("""COMPUTED_VALUE"""),"")</f>
        <v/>
      </c>
      <c r="F714" s="4" t="str">
        <f>IFERROR(__xludf.DUMMYFUNCTION("""COMPUTED_VALUE"""),"")</f>
        <v/>
      </c>
      <c r="G714" s="4" t="str">
        <f>IFERROR(__xludf.DUMMYFUNCTION("""COMPUTED_VALUE"""),"")</f>
        <v/>
      </c>
      <c r="H714" s="4" t="str">
        <f>IFERROR(__xludf.DUMMYFUNCTION("""COMPUTED_VALUE"""),"")</f>
        <v/>
      </c>
      <c r="I714" s="4" t="str">
        <f>IFERROR(__xludf.DUMMYFUNCTION("""COMPUTED_VALUE"""),"")</f>
        <v/>
      </c>
      <c r="J714" s="4" t="str">
        <f>IFERROR(__xludf.DUMMYFUNCTION("""COMPUTED_VALUE"""),"")</f>
        <v/>
      </c>
      <c r="K714" s="4" t="str">
        <f>IFERROR(__xludf.DUMMYFUNCTION("""COMPUTED_VALUE"""),"")</f>
        <v/>
      </c>
    </row>
    <row r="715">
      <c r="A715" s="4" t="str">
        <f>IFERROR(__xludf.DUMMYFUNCTION("""COMPUTED_VALUE"""),"")</f>
        <v/>
      </c>
      <c r="B715" s="4" t="str">
        <f>IFERROR(__xludf.DUMMYFUNCTION("""COMPUTED_VALUE"""),"")</f>
        <v/>
      </c>
      <c r="C715" s="4" t="str">
        <f>IFERROR(__xludf.DUMMYFUNCTION("""COMPUTED_VALUE"""),"")</f>
        <v/>
      </c>
      <c r="D715" s="4" t="str">
        <f>IFERROR(__xludf.DUMMYFUNCTION("""COMPUTED_VALUE"""),"")</f>
        <v/>
      </c>
      <c r="E715" s="4" t="str">
        <f>IFERROR(__xludf.DUMMYFUNCTION("""COMPUTED_VALUE"""),"")</f>
        <v/>
      </c>
      <c r="F715" s="4" t="str">
        <f>IFERROR(__xludf.DUMMYFUNCTION("""COMPUTED_VALUE"""),"")</f>
        <v/>
      </c>
      <c r="G715" s="4" t="str">
        <f>IFERROR(__xludf.DUMMYFUNCTION("""COMPUTED_VALUE"""),"")</f>
        <v/>
      </c>
      <c r="H715" s="4" t="str">
        <f>IFERROR(__xludf.DUMMYFUNCTION("""COMPUTED_VALUE"""),"")</f>
        <v/>
      </c>
      <c r="I715" s="4" t="str">
        <f>IFERROR(__xludf.DUMMYFUNCTION("""COMPUTED_VALUE"""),"")</f>
        <v/>
      </c>
      <c r="J715" s="4" t="str">
        <f>IFERROR(__xludf.DUMMYFUNCTION("""COMPUTED_VALUE"""),"")</f>
        <v/>
      </c>
      <c r="K715" s="4" t="str">
        <f>IFERROR(__xludf.DUMMYFUNCTION("""COMPUTED_VALUE"""),"")</f>
        <v/>
      </c>
    </row>
    <row r="716">
      <c r="A716" s="4" t="str">
        <f>IFERROR(__xludf.DUMMYFUNCTION("""COMPUTED_VALUE"""),"")</f>
        <v/>
      </c>
      <c r="B716" s="4" t="str">
        <f>IFERROR(__xludf.DUMMYFUNCTION("""COMPUTED_VALUE"""),"")</f>
        <v/>
      </c>
      <c r="C716" s="4" t="str">
        <f>IFERROR(__xludf.DUMMYFUNCTION("""COMPUTED_VALUE"""),"")</f>
        <v/>
      </c>
      <c r="D716" s="4" t="str">
        <f>IFERROR(__xludf.DUMMYFUNCTION("""COMPUTED_VALUE"""),"")</f>
        <v/>
      </c>
      <c r="E716" s="4" t="str">
        <f>IFERROR(__xludf.DUMMYFUNCTION("""COMPUTED_VALUE"""),"")</f>
        <v/>
      </c>
      <c r="F716" s="4" t="str">
        <f>IFERROR(__xludf.DUMMYFUNCTION("""COMPUTED_VALUE"""),"")</f>
        <v/>
      </c>
      <c r="G716" s="4" t="str">
        <f>IFERROR(__xludf.DUMMYFUNCTION("""COMPUTED_VALUE"""),"")</f>
        <v/>
      </c>
      <c r="H716" s="4" t="str">
        <f>IFERROR(__xludf.DUMMYFUNCTION("""COMPUTED_VALUE"""),"")</f>
        <v/>
      </c>
      <c r="I716" s="4" t="str">
        <f>IFERROR(__xludf.DUMMYFUNCTION("""COMPUTED_VALUE"""),"")</f>
        <v/>
      </c>
      <c r="J716" s="4" t="str">
        <f>IFERROR(__xludf.DUMMYFUNCTION("""COMPUTED_VALUE"""),"")</f>
        <v/>
      </c>
      <c r="K716" s="4" t="str">
        <f>IFERROR(__xludf.DUMMYFUNCTION("""COMPUTED_VALUE"""),"")</f>
        <v/>
      </c>
    </row>
    <row r="717">
      <c r="A717" s="4" t="str">
        <f>IFERROR(__xludf.DUMMYFUNCTION("""COMPUTED_VALUE"""),"")</f>
        <v/>
      </c>
      <c r="B717" s="4" t="str">
        <f>IFERROR(__xludf.DUMMYFUNCTION("""COMPUTED_VALUE"""),"")</f>
        <v/>
      </c>
      <c r="C717" s="4" t="str">
        <f>IFERROR(__xludf.DUMMYFUNCTION("""COMPUTED_VALUE"""),"")</f>
        <v/>
      </c>
      <c r="D717" s="4" t="str">
        <f>IFERROR(__xludf.DUMMYFUNCTION("""COMPUTED_VALUE"""),"")</f>
        <v/>
      </c>
      <c r="E717" s="4" t="str">
        <f>IFERROR(__xludf.DUMMYFUNCTION("""COMPUTED_VALUE"""),"")</f>
        <v/>
      </c>
      <c r="F717" s="4" t="str">
        <f>IFERROR(__xludf.DUMMYFUNCTION("""COMPUTED_VALUE"""),"")</f>
        <v/>
      </c>
      <c r="G717" s="4" t="str">
        <f>IFERROR(__xludf.DUMMYFUNCTION("""COMPUTED_VALUE"""),"")</f>
        <v/>
      </c>
      <c r="H717" s="4" t="str">
        <f>IFERROR(__xludf.DUMMYFUNCTION("""COMPUTED_VALUE"""),"")</f>
        <v/>
      </c>
      <c r="I717" s="4" t="str">
        <f>IFERROR(__xludf.DUMMYFUNCTION("""COMPUTED_VALUE"""),"")</f>
        <v/>
      </c>
      <c r="J717" s="4" t="str">
        <f>IFERROR(__xludf.DUMMYFUNCTION("""COMPUTED_VALUE"""),"")</f>
        <v/>
      </c>
      <c r="K717" s="4" t="str">
        <f>IFERROR(__xludf.DUMMYFUNCTION("""COMPUTED_VALUE"""),"")</f>
        <v/>
      </c>
    </row>
    <row r="718">
      <c r="A718" s="4" t="str">
        <f>IFERROR(__xludf.DUMMYFUNCTION("""COMPUTED_VALUE"""),"")</f>
        <v/>
      </c>
      <c r="B718" s="4" t="str">
        <f>IFERROR(__xludf.DUMMYFUNCTION("""COMPUTED_VALUE"""),"")</f>
        <v/>
      </c>
      <c r="C718" s="4" t="str">
        <f>IFERROR(__xludf.DUMMYFUNCTION("""COMPUTED_VALUE"""),"")</f>
        <v/>
      </c>
      <c r="D718" s="4" t="str">
        <f>IFERROR(__xludf.DUMMYFUNCTION("""COMPUTED_VALUE"""),"")</f>
        <v/>
      </c>
      <c r="E718" s="4" t="str">
        <f>IFERROR(__xludf.DUMMYFUNCTION("""COMPUTED_VALUE"""),"")</f>
        <v/>
      </c>
      <c r="F718" s="4" t="str">
        <f>IFERROR(__xludf.DUMMYFUNCTION("""COMPUTED_VALUE"""),"")</f>
        <v/>
      </c>
      <c r="G718" s="4" t="str">
        <f>IFERROR(__xludf.DUMMYFUNCTION("""COMPUTED_VALUE"""),"")</f>
        <v/>
      </c>
      <c r="H718" s="4" t="str">
        <f>IFERROR(__xludf.DUMMYFUNCTION("""COMPUTED_VALUE"""),"")</f>
        <v/>
      </c>
      <c r="I718" s="4" t="str">
        <f>IFERROR(__xludf.DUMMYFUNCTION("""COMPUTED_VALUE"""),"")</f>
        <v/>
      </c>
      <c r="J718" s="4" t="str">
        <f>IFERROR(__xludf.DUMMYFUNCTION("""COMPUTED_VALUE"""),"")</f>
        <v/>
      </c>
      <c r="K718" s="4" t="str">
        <f>IFERROR(__xludf.DUMMYFUNCTION("""COMPUTED_VALUE"""),"")</f>
        <v/>
      </c>
    </row>
    <row r="719">
      <c r="A719" s="4" t="str">
        <f>IFERROR(__xludf.DUMMYFUNCTION("""COMPUTED_VALUE"""),"")</f>
        <v/>
      </c>
      <c r="B719" s="4" t="str">
        <f>IFERROR(__xludf.DUMMYFUNCTION("""COMPUTED_VALUE"""),"")</f>
        <v/>
      </c>
      <c r="C719" s="4" t="str">
        <f>IFERROR(__xludf.DUMMYFUNCTION("""COMPUTED_VALUE"""),"")</f>
        <v/>
      </c>
      <c r="D719" s="4" t="str">
        <f>IFERROR(__xludf.DUMMYFUNCTION("""COMPUTED_VALUE"""),"")</f>
        <v/>
      </c>
      <c r="E719" s="4" t="str">
        <f>IFERROR(__xludf.DUMMYFUNCTION("""COMPUTED_VALUE"""),"")</f>
        <v/>
      </c>
      <c r="F719" s="4" t="str">
        <f>IFERROR(__xludf.DUMMYFUNCTION("""COMPUTED_VALUE"""),"")</f>
        <v/>
      </c>
      <c r="G719" s="4" t="str">
        <f>IFERROR(__xludf.DUMMYFUNCTION("""COMPUTED_VALUE"""),"")</f>
        <v/>
      </c>
      <c r="H719" s="4" t="str">
        <f>IFERROR(__xludf.DUMMYFUNCTION("""COMPUTED_VALUE"""),"")</f>
        <v/>
      </c>
      <c r="I719" s="4" t="str">
        <f>IFERROR(__xludf.DUMMYFUNCTION("""COMPUTED_VALUE"""),"")</f>
        <v/>
      </c>
      <c r="J719" s="4" t="str">
        <f>IFERROR(__xludf.DUMMYFUNCTION("""COMPUTED_VALUE"""),"")</f>
        <v/>
      </c>
      <c r="K719" s="4" t="str">
        <f>IFERROR(__xludf.DUMMYFUNCTION("""COMPUTED_VALUE"""),"")</f>
        <v/>
      </c>
    </row>
    <row r="720">
      <c r="A720" s="4" t="str">
        <f>IFERROR(__xludf.DUMMYFUNCTION("""COMPUTED_VALUE"""),"")</f>
        <v/>
      </c>
      <c r="B720" s="4" t="str">
        <f>IFERROR(__xludf.DUMMYFUNCTION("""COMPUTED_VALUE"""),"")</f>
        <v/>
      </c>
      <c r="C720" s="4" t="str">
        <f>IFERROR(__xludf.DUMMYFUNCTION("""COMPUTED_VALUE"""),"")</f>
        <v/>
      </c>
      <c r="D720" s="4" t="str">
        <f>IFERROR(__xludf.DUMMYFUNCTION("""COMPUTED_VALUE"""),"")</f>
        <v/>
      </c>
      <c r="E720" s="4" t="str">
        <f>IFERROR(__xludf.DUMMYFUNCTION("""COMPUTED_VALUE"""),"")</f>
        <v/>
      </c>
      <c r="F720" s="4" t="str">
        <f>IFERROR(__xludf.DUMMYFUNCTION("""COMPUTED_VALUE"""),"")</f>
        <v/>
      </c>
      <c r="G720" s="4" t="str">
        <f>IFERROR(__xludf.DUMMYFUNCTION("""COMPUTED_VALUE"""),"")</f>
        <v/>
      </c>
      <c r="H720" s="4" t="str">
        <f>IFERROR(__xludf.DUMMYFUNCTION("""COMPUTED_VALUE"""),"")</f>
        <v/>
      </c>
      <c r="I720" s="4" t="str">
        <f>IFERROR(__xludf.DUMMYFUNCTION("""COMPUTED_VALUE"""),"")</f>
        <v/>
      </c>
      <c r="J720" s="4" t="str">
        <f>IFERROR(__xludf.DUMMYFUNCTION("""COMPUTED_VALUE"""),"")</f>
        <v/>
      </c>
      <c r="K720" s="4" t="str">
        <f>IFERROR(__xludf.DUMMYFUNCTION("""COMPUTED_VALUE"""),"")</f>
        <v/>
      </c>
    </row>
    <row r="721">
      <c r="A721" s="4" t="str">
        <f>IFERROR(__xludf.DUMMYFUNCTION("""COMPUTED_VALUE"""),"")</f>
        <v/>
      </c>
      <c r="B721" s="4" t="str">
        <f>IFERROR(__xludf.DUMMYFUNCTION("""COMPUTED_VALUE"""),"")</f>
        <v/>
      </c>
      <c r="C721" s="4" t="str">
        <f>IFERROR(__xludf.DUMMYFUNCTION("""COMPUTED_VALUE"""),"")</f>
        <v/>
      </c>
      <c r="D721" s="4" t="str">
        <f>IFERROR(__xludf.DUMMYFUNCTION("""COMPUTED_VALUE"""),"")</f>
        <v/>
      </c>
      <c r="E721" s="4" t="str">
        <f>IFERROR(__xludf.DUMMYFUNCTION("""COMPUTED_VALUE"""),"")</f>
        <v/>
      </c>
      <c r="F721" s="4" t="str">
        <f>IFERROR(__xludf.DUMMYFUNCTION("""COMPUTED_VALUE"""),"")</f>
        <v/>
      </c>
      <c r="G721" s="4" t="str">
        <f>IFERROR(__xludf.DUMMYFUNCTION("""COMPUTED_VALUE"""),"")</f>
        <v/>
      </c>
      <c r="H721" s="4" t="str">
        <f>IFERROR(__xludf.DUMMYFUNCTION("""COMPUTED_VALUE"""),"")</f>
        <v/>
      </c>
      <c r="I721" s="4" t="str">
        <f>IFERROR(__xludf.DUMMYFUNCTION("""COMPUTED_VALUE"""),"")</f>
        <v/>
      </c>
      <c r="J721" s="4" t="str">
        <f>IFERROR(__xludf.DUMMYFUNCTION("""COMPUTED_VALUE"""),"")</f>
        <v/>
      </c>
      <c r="K721" s="4" t="str">
        <f>IFERROR(__xludf.DUMMYFUNCTION("""COMPUTED_VALUE"""),"")</f>
        <v/>
      </c>
    </row>
    <row r="722">
      <c r="A722" s="4" t="str">
        <f>IFERROR(__xludf.DUMMYFUNCTION("""COMPUTED_VALUE"""),"")</f>
        <v/>
      </c>
      <c r="B722" s="4" t="str">
        <f>IFERROR(__xludf.DUMMYFUNCTION("""COMPUTED_VALUE"""),"")</f>
        <v/>
      </c>
      <c r="C722" s="4" t="str">
        <f>IFERROR(__xludf.DUMMYFUNCTION("""COMPUTED_VALUE"""),"")</f>
        <v/>
      </c>
      <c r="D722" s="4" t="str">
        <f>IFERROR(__xludf.DUMMYFUNCTION("""COMPUTED_VALUE"""),"")</f>
        <v/>
      </c>
      <c r="E722" s="4" t="str">
        <f>IFERROR(__xludf.DUMMYFUNCTION("""COMPUTED_VALUE"""),"")</f>
        <v/>
      </c>
      <c r="F722" s="4" t="str">
        <f>IFERROR(__xludf.DUMMYFUNCTION("""COMPUTED_VALUE"""),"")</f>
        <v/>
      </c>
      <c r="G722" s="4" t="str">
        <f>IFERROR(__xludf.DUMMYFUNCTION("""COMPUTED_VALUE"""),"")</f>
        <v/>
      </c>
      <c r="H722" s="4" t="str">
        <f>IFERROR(__xludf.DUMMYFUNCTION("""COMPUTED_VALUE"""),"")</f>
        <v/>
      </c>
      <c r="I722" s="4" t="str">
        <f>IFERROR(__xludf.DUMMYFUNCTION("""COMPUTED_VALUE"""),"")</f>
        <v/>
      </c>
      <c r="J722" s="4" t="str">
        <f>IFERROR(__xludf.DUMMYFUNCTION("""COMPUTED_VALUE"""),"")</f>
        <v/>
      </c>
      <c r="K722" s="4" t="str">
        <f>IFERROR(__xludf.DUMMYFUNCTION("""COMPUTED_VALUE"""),"")</f>
        <v/>
      </c>
    </row>
    <row r="723">
      <c r="A723" s="4" t="str">
        <f>IFERROR(__xludf.DUMMYFUNCTION("""COMPUTED_VALUE"""),"")</f>
        <v/>
      </c>
      <c r="B723" s="4" t="str">
        <f>IFERROR(__xludf.DUMMYFUNCTION("""COMPUTED_VALUE"""),"")</f>
        <v/>
      </c>
      <c r="C723" s="4" t="str">
        <f>IFERROR(__xludf.DUMMYFUNCTION("""COMPUTED_VALUE"""),"")</f>
        <v/>
      </c>
      <c r="D723" s="4" t="str">
        <f>IFERROR(__xludf.DUMMYFUNCTION("""COMPUTED_VALUE"""),"")</f>
        <v/>
      </c>
      <c r="E723" s="4" t="str">
        <f>IFERROR(__xludf.DUMMYFUNCTION("""COMPUTED_VALUE"""),"")</f>
        <v/>
      </c>
      <c r="F723" s="4" t="str">
        <f>IFERROR(__xludf.DUMMYFUNCTION("""COMPUTED_VALUE"""),"")</f>
        <v/>
      </c>
      <c r="G723" s="4" t="str">
        <f>IFERROR(__xludf.DUMMYFUNCTION("""COMPUTED_VALUE"""),"")</f>
        <v/>
      </c>
      <c r="H723" s="4" t="str">
        <f>IFERROR(__xludf.DUMMYFUNCTION("""COMPUTED_VALUE"""),"")</f>
        <v/>
      </c>
      <c r="I723" s="4" t="str">
        <f>IFERROR(__xludf.DUMMYFUNCTION("""COMPUTED_VALUE"""),"")</f>
        <v/>
      </c>
      <c r="J723" s="4" t="str">
        <f>IFERROR(__xludf.DUMMYFUNCTION("""COMPUTED_VALUE"""),"")</f>
        <v/>
      </c>
      <c r="K723" s="4" t="str">
        <f>IFERROR(__xludf.DUMMYFUNCTION("""COMPUTED_VALUE"""),"")</f>
        <v/>
      </c>
    </row>
    <row r="724">
      <c r="A724" s="4" t="str">
        <f>IFERROR(__xludf.DUMMYFUNCTION("""COMPUTED_VALUE"""),"")</f>
        <v/>
      </c>
      <c r="B724" s="4" t="str">
        <f>IFERROR(__xludf.DUMMYFUNCTION("""COMPUTED_VALUE"""),"")</f>
        <v/>
      </c>
      <c r="C724" s="4" t="str">
        <f>IFERROR(__xludf.DUMMYFUNCTION("""COMPUTED_VALUE"""),"")</f>
        <v/>
      </c>
      <c r="D724" s="4" t="str">
        <f>IFERROR(__xludf.DUMMYFUNCTION("""COMPUTED_VALUE"""),"")</f>
        <v/>
      </c>
      <c r="E724" s="4" t="str">
        <f>IFERROR(__xludf.DUMMYFUNCTION("""COMPUTED_VALUE"""),"")</f>
        <v/>
      </c>
      <c r="F724" s="4" t="str">
        <f>IFERROR(__xludf.DUMMYFUNCTION("""COMPUTED_VALUE"""),"")</f>
        <v/>
      </c>
      <c r="G724" s="4" t="str">
        <f>IFERROR(__xludf.DUMMYFUNCTION("""COMPUTED_VALUE"""),"")</f>
        <v/>
      </c>
      <c r="H724" s="4" t="str">
        <f>IFERROR(__xludf.DUMMYFUNCTION("""COMPUTED_VALUE"""),"")</f>
        <v/>
      </c>
      <c r="I724" s="4" t="str">
        <f>IFERROR(__xludf.DUMMYFUNCTION("""COMPUTED_VALUE"""),"")</f>
        <v/>
      </c>
      <c r="J724" s="4" t="str">
        <f>IFERROR(__xludf.DUMMYFUNCTION("""COMPUTED_VALUE"""),"")</f>
        <v/>
      </c>
      <c r="K724" s="4" t="str">
        <f>IFERROR(__xludf.DUMMYFUNCTION("""COMPUTED_VALUE"""),"")</f>
        <v/>
      </c>
    </row>
    <row r="725">
      <c r="A725" s="4" t="str">
        <f>IFERROR(__xludf.DUMMYFUNCTION("""COMPUTED_VALUE"""),"")</f>
        <v/>
      </c>
      <c r="B725" s="4" t="str">
        <f>IFERROR(__xludf.DUMMYFUNCTION("""COMPUTED_VALUE"""),"")</f>
        <v/>
      </c>
      <c r="C725" s="4" t="str">
        <f>IFERROR(__xludf.DUMMYFUNCTION("""COMPUTED_VALUE"""),"")</f>
        <v/>
      </c>
      <c r="D725" s="4" t="str">
        <f>IFERROR(__xludf.DUMMYFUNCTION("""COMPUTED_VALUE"""),"")</f>
        <v/>
      </c>
      <c r="E725" s="4" t="str">
        <f>IFERROR(__xludf.DUMMYFUNCTION("""COMPUTED_VALUE"""),"")</f>
        <v/>
      </c>
      <c r="F725" s="4" t="str">
        <f>IFERROR(__xludf.DUMMYFUNCTION("""COMPUTED_VALUE"""),"")</f>
        <v/>
      </c>
      <c r="G725" s="4" t="str">
        <f>IFERROR(__xludf.DUMMYFUNCTION("""COMPUTED_VALUE"""),"")</f>
        <v/>
      </c>
      <c r="H725" s="4" t="str">
        <f>IFERROR(__xludf.DUMMYFUNCTION("""COMPUTED_VALUE"""),"")</f>
        <v/>
      </c>
      <c r="I725" s="4" t="str">
        <f>IFERROR(__xludf.DUMMYFUNCTION("""COMPUTED_VALUE"""),"")</f>
        <v/>
      </c>
      <c r="J725" s="4" t="str">
        <f>IFERROR(__xludf.DUMMYFUNCTION("""COMPUTED_VALUE"""),"")</f>
        <v/>
      </c>
      <c r="K725" s="4" t="str">
        <f>IFERROR(__xludf.DUMMYFUNCTION("""COMPUTED_VALUE"""),"")</f>
        <v/>
      </c>
    </row>
    <row r="726">
      <c r="A726" s="4" t="str">
        <f>IFERROR(__xludf.DUMMYFUNCTION("""COMPUTED_VALUE"""),"")</f>
        <v/>
      </c>
      <c r="B726" s="4" t="str">
        <f>IFERROR(__xludf.DUMMYFUNCTION("""COMPUTED_VALUE"""),"")</f>
        <v/>
      </c>
      <c r="C726" s="4" t="str">
        <f>IFERROR(__xludf.DUMMYFUNCTION("""COMPUTED_VALUE"""),"")</f>
        <v/>
      </c>
      <c r="D726" s="4" t="str">
        <f>IFERROR(__xludf.DUMMYFUNCTION("""COMPUTED_VALUE"""),"")</f>
        <v/>
      </c>
      <c r="E726" s="4" t="str">
        <f>IFERROR(__xludf.DUMMYFUNCTION("""COMPUTED_VALUE"""),"")</f>
        <v/>
      </c>
      <c r="F726" s="4" t="str">
        <f>IFERROR(__xludf.DUMMYFUNCTION("""COMPUTED_VALUE"""),"")</f>
        <v/>
      </c>
      <c r="G726" s="4" t="str">
        <f>IFERROR(__xludf.DUMMYFUNCTION("""COMPUTED_VALUE"""),"")</f>
        <v/>
      </c>
      <c r="H726" s="4" t="str">
        <f>IFERROR(__xludf.DUMMYFUNCTION("""COMPUTED_VALUE"""),"")</f>
        <v/>
      </c>
      <c r="I726" s="4" t="str">
        <f>IFERROR(__xludf.DUMMYFUNCTION("""COMPUTED_VALUE"""),"")</f>
        <v/>
      </c>
      <c r="J726" s="4" t="str">
        <f>IFERROR(__xludf.DUMMYFUNCTION("""COMPUTED_VALUE"""),"")</f>
        <v/>
      </c>
      <c r="K726" s="4" t="str">
        <f>IFERROR(__xludf.DUMMYFUNCTION("""COMPUTED_VALUE"""),"")</f>
        <v/>
      </c>
    </row>
    <row r="727">
      <c r="A727" s="4" t="str">
        <f>IFERROR(__xludf.DUMMYFUNCTION("""COMPUTED_VALUE"""),"")</f>
        <v/>
      </c>
      <c r="B727" s="4" t="str">
        <f>IFERROR(__xludf.DUMMYFUNCTION("""COMPUTED_VALUE"""),"")</f>
        <v/>
      </c>
      <c r="C727" s="4" t="str">
        <f>IFERROR(__xludf.DUMMYFUNCTION("""COMPUTED_VALUE"""),"")</f>
        <v/>
      </c>
      <c r="D727" s="4" t="str">
        <f>IFERROR(__xludf.DUMMYFUNCTION("""COMPUTED_VALUE"""),"")</f>
        <v/>
      </c>
      <c r="E727" s="4" t="str">
        <f>IFERROR(__xludf.DUMMYFUNCTION("""COMPUTED_VALUE"""),"")</f>
        <v/>
      </c>
      <c r="F727" s="4" t="str">
        <f>IFERROR(__xludf.DUMMYFUNCTION("""COMPUTED_VALUE"""),"")</f>
        <v/>
      </c>
      <c r="G727" s="4" t="str">
        <f>IFERROR(__xludf.DUMMYFUNCTION("""COMPUTED_VALUE"""),"")</f>
        <v/>
      </c>
      <c r="H727" s="4" t="str">
        <f>IFERROR(__xludf.DUMMYFUNCTION("""COMPUTED_VALUE"""),"")</f>
        <v/>
      </c>
      <c r="I727" s="4" t="str">
        <f>IFERROR(__xludf.DUMMYFUNCTION("""COMPUTED_VALUE"""),"")</f>
        <v/>
      </c>
      <c r="J727" s="4" t="str">
        <f>IFERROR(__xludf.DUMMYFUNCTION("""COMPUTED_VALUE"""),"")</f>
        <v/>
      </c>
      <c r="K727" s="4" t="str">
        <f>IFERROR(__xludf.DUMMYFUNCTION("""COMPUTED_VALUE"""),"")</f>
        <v/>
      </c>
    </row>
    <row r="728">
      <c r="A728" s="4" t="str">
        <f>IFERROR(__xludf.DUMMYFUNCTION("""COMPUTED_VALUE"""),"")</f>
        <v/>
      </c>
      <c r="B728" s="4" t="str">
        <f>IFERROR(__xludf.DUMMYFUNCTION("""COMPUTED_VALUE"""),"")</f>
        <v/>
      </c>
      <c r="C728" s="4" t="str">
        <f>IFERROR(__xludf.DUMMYFUNCTION("""COMPUTED_VALUE"""),"")</f>
        <v/>
      </c>
      <c r="D728" s="4" t="str">
        <f>IFERROR(__xludf.DUMMYFUNCTION("""COMPUTED_VALUE"""),"")</f>
        <v/>
      </c>
      <c r="E728" s="4" t="str">
        <f>IFERROR(__xludf.DUMMYFUNCTION("""COMPUTED_VALUE"""),"")</f>
        <v/>
      </c>
      <c r="F728" s="4" t="str">
        <f>IFERROR(__xludf.DUMMYFUNCTION("""COMPUTED_VALUE"""),"")</f>
        <v/>
      </c>
      <c r="G728" s="4" t="str">
        <f>IFERROR(__xludf.DUMMYFUNCTION("""COMPUTED_VALUE"""),"")</f>
        <v/>
      </c>
      <c r="H728" s="4" t="str">
        <f>IFERROR(__xludf.DUMMYFUNCTION("""COMPUTED_VALUE"""),"")</f>
        <v/>
      </c>
      <c r="I728" s="4" t="str">
        <f>IFERROR(__xludf.DUMMYFUNCTION("""COMPUTED_VALUE"""),"")</f>
        <v/>
      </c>
      <c r="J728" s="4" t="str">
        <f>IFERROR(__xludf.DUMMYFUNCTION("""COMPUTED_VALUE"""),"")</f>
        <v/>
      </c>
      <c r="K728" s="4" t="str">
        <f>IFERROR(__xludf.DUMMYFUNCTION("""COMPUTED_VALUE"""),"")</f>
        <v/>
      </c>
    </row>
    <row r="729">
      <c r="A729" s="4" t="str">
        <f>IFERROR(__xludf.DUMMYFUNCTION("""COMPUTED_VALUE"""),"")</f>
        <v/>
      </c>
      <c r="B729" s="4" t="str">
        <f>IFERROR(__xludf.DUMMYFUNCTION("""COMPUTED_VALUE"""),"")</f>
        <v/>
      </c>
      <c r="C729" s="4" t="str">
        <f>IFERROR(__xludf.DUMMYFUNCTION("""COMPUTED_VALUE"""),"")</f>
        <v/>
      </c>
      <c r="D729" s="4" t="str">
        <f>IFERROR(__xludf.DUMMYFUNCTION("""COMPUTED_VALUE"""),"")</f>
        <v/>
      </c>
      <c r="E729" s="4" t="str">
        <f>IFERROR(__xludf.DUMMYFUNCTION("""COMPUTED_VALUE"""),"")</f>
        <v/>
      </c>
      <c r="F729" s="4" t="str">
        <f>IFERROR(__xludf.DUMMYFUNCTION("""COMPUTED_VALUE"""),"")</f>
        <v/>
      </c>
      <c r="G729" s="4" t="str">
        <f>IFERROR(__xludf.DUMMYFUNCTION("""COMPUTED_VALUE"""),"")</f>
        <v/>
      </c>
      <c r="H729" s="4" t="str">
        <f>IFERROR(__xludf.DUMMYFUNCTION("""COMPUTED_VALUE"""),"")</f>
        <v/>
      </c>
      <c r="I729" s="4" t="str">
        <f>IFERROR(__xludf.DUMMYFUNCTION("""COMPUTED_VALUE"""),"")</f>
        <v/>
      </c>
      <c r="J729" s="4" t="str">
        <f>IFERROR(__xludf.DUMMYFUNCTION("""COMPUTED_VALUE"""),"")</f>
        <v/>
      </c>
      <c r="K729" s="4" t="str">
        <f>IFERROR(__xludf.DUMMYFUNCTION("""COMPUTED_VALUE"""),"")</f>
        <v/>
      </c>
    </row>
    <row r="730">
      <c r="A730" s="4" t="str">
        <f>IFERROR(__xludf.DUMMYFUNCTION("""COMPUTED_VALUE"""),"")</f>
        <v/>
      </c>
      <c r="B730" s="4" t="str">
        <f>IFERROR(__xludf.DUMMYFUNCTION("""COMPUTED_VALUE"""),"")</f>
        <v/>
      </c>
      <c r="C730" s="4" t="str">
        <f>IFERROR(__xludf.DUMMYFUNCTION("""COMPUTED_VALUE"""),"")</f>
        <v/>
      </c>
      <c r="D730" s="4" t="str">
        <f>IFERROR(__xludf.DUMMYFUNCTION("""COMPUTED_VALUE"""),"")</f>
        <v/>
      </c>
      <c r="E730" s="4" t="str">
        <f>IFERROR(__xludf.DUMMYFUNCTION("""COMPUTED_VALUE"""),"")</f>
        <v/>
      </c>
      <c r="F730" s="4" t="str">
        <f>IFERROR(__xludf.DUMMYFUNCTION("""COMPUTED_VALUE"""),"")</f>
        <v/>
      </c>
      <c r="G730" s="4" t="str">
        <f>IFERROR(__xludf.DUMMYFUNCTION("""COMPUTED_VALUE"""),"")</f>
        <v/>
      </c>
      <c r="H730" s="4" t="str">
        <f>IFERROR(__xludf.DUMMYFUNCTION("""COMPUTED_VALUE"""),"")</f>
        <v/>
      </c>
      <c r="I730" s="4" t="str">
        <f>IFERROR(__xludf.DUMMYFUNCTION("""COMPUTED_VALUE"""),"")</f>
        <v/>
      </c>
      <c r="J730" s="4" t="str">
        <f>IFERROR(__xludf.DUMMYFUNCTION("""COMPUTED_VALUE"""),"")</f>
        <v/>
      </c>
      <c r="K730" s="4" t="str">
        <f>IFERROR(__xludf.DUMMYFUNCTION("""COMPUTED_VALUE"""),"")</f>
        <v/>
      </c>
    </row>
    <row r="731">
      <c r="A731" s="4" t="str">
        <f>IFERROR(__xludf.DUMMYFUNCTION("""COMPUTED_VALUE"""),"")</f>
        <v/>
      </c>
      <c r="B731" s="4" t="str">
        <f>IFERROR(__xludf.DUMMYFUNCTION("""COMPUTED_VALUE"""),"")</f>
        <v/>
      </c>
      <c r="C731" s="4" t="str">
        <f>IFERROR(__xludf.DUMMYFUNCTION("""COMPUTED_VALUE"""),"")</f>
        <v/>
      </c>
      <c r="D731" s="4" t="str">
        <f>IFERROR(__xludf.DUMMYFUNCTION("""COMPUTED_VALUE"""),"")</f>
        <v/>
      </c>
      <c r="E731" s="4" t="str">
        <f>IFERROR(__xludf.DUMMYFUNCTION("""COMPUTED_VALUE"""),"")</f>
        <v/>
      </c>
      <c r="F731" s="4" t="str">
        <f>IFERROR(__xludf.DUMMYFUNCTION("""COMPUTED_VALUE"""),"")</f>
        <v/>
      </c>
      <c r="G731" s="4" t="str">
        <f>IFERROR(__xludf.DUMMYFUNCTION("""COMPUTED_VALUE"""),"")</f>
        <v/>
      </c>
      <c r="H731" s="4" t="str">
        <f>IFERROR(__xludf.DUMMYFUNCTION("""COMPUTED_VALUE"""),"")</f>
        <v/>
      </c>
      <c r="I731" s="4" t="str">
        <f>IFERROR(__xludf.DUMMYFUNCTION("""COMPUTED_VALUE"""),"")</f>
        <v/>
      </c>
      <c r="J731" s="4" t="str">
        <f>IFERROR(__xludf.DUMMYFUNCTION("""COMPUTED_VALUE"""),"")</f>
        <v/>
      </c>
      <c r="K731" s="4" t="str">
        <f>IFERROR(__xludf.DUMMYFUNCTION("""COMPUTED_VALUE"""),"")</f>
        <v/>
      </c>
    </row>
    <row r="732">
      <c r="A732" s="4" t="str">
        <f>IFERROR(__xludf.DUMMYFUNCTION("""COMPUTED_VALUE"""),"")</f>
        <v/>
      </c>
      <c r="B732" s="4" t="str">
        <f>IFERROR(__xludf.DUMMYFUNCTION("""COMPUTED_VALUE"""),"")</f>
        <v/>
      </c>
      <c r="C732" s="4" t="str">
        <f>IFERROR(__xludf.DUMMYFUNCTION("""COMPUTED_VALUE"""),"")</f>
        <v/>
      </c>
      <c r="D732" s="4" t="str">
        <f>IFERROR(__xludf.DUMMYFUNCTION("""COMPUTED_VALUE"""),"")</f>
        <v/>
      </c>
      <c r="E732" s="4" t="str">
        <f>IFERROR(__xludf.DUMMYFUNCTION("""COMPUTED_VALUE"""),"")</f>
        <v/>
      </c>
      <c r="F732" s="4" t="str">
        <f>IFERROR(__xludf.DUMMYFUNCTION("""COMPUTED_VALUE"""),"")</f>
        <v/>
      </c>
      <c r="G732" s="4" t="str">
        <f>IFERROR(__xludf.DUMMYFUNCTION("""COMPUTED_VALUE"""),"")</f>
        <v/>
      </c>
      <c r="H732" s="4" t="str">
        <f>IFERROR(__xludf.DUMMYFUNCTION("""COMPUTED_VALUE"""),"")</f>
        <v/>
      </c>
      <c r="I732" s="4" t="str">
        <f>IFERROR(__xludf.DUMMYFUNCTION("""COMPUTED_VALUE"""),"")</f>
        <v/>
      </c>
      <c r="J732" s="4" t="str">
        <f>IFERROR(__xludf.DUMMYFUNCTION("""COMPUTED_VALUE"""),"")</f>
        <v/>
      </c>
      <c r="K732" s="4" t="str">
        <f>IFERROR(__xludf.DUMMYFUNCTION("""COMPUTED_VALUE"""),"")</f>
        <v/>
      </c>
    </row>
    <row r="733">
      <c r="A733" s="4" t="str">
        <f>IFERROR(__xludf.DUMMYFUNCTION("""COMPUTED_VALUE"""),"")</f>
        <v/>
      </c>
      <c r="B733" s="4" t="str">
        <f>IFERROR(__xludf.DUMMYFUNCTION("""COMPUTED_VALUE"""),"")</f>
        <v/>
      </c>
      <c r="C733" s="4" t="str">
        <f>IFERROR(__xludf.DUMMYFUNCTION("""COMPUTED_VALUE"""),"")</f>
        <v/>
      </c>
      <c r="D733" s="4" t="str">
        <f>IFERROR(__xludf.DUMMYFUNCTION("""COMPUTED_VALUE"""),"")</f>
        <v/>
      </c>
      <c r="E733" s="4" t="str">
        <f>IFERROR(__xludf.DUMMYFUNCTION("""COMPUTED_VALUE"""),"")</f>
        <v/>
      </c>
      <c r="F733" s="4" t="str">
        <f>IFERROR(__xludf.DUMMYFUNCTION("""COMPUTED_VALUE"""),"")</f>
        <v/>
      </c>
      <c r="G733" s="4" t="str">
        <f>IFERROR(__xludf.DUMMYFUNCTION("""COMPUTED_VALUE"""),"")</f>
        <v/>
      </c>
      <c r="H733" s="4" t="str">
        <f>IFERROR(__xludf.DUMMYFUNCTION("""COMPUTED_VALUE"""),"")</f>
        <v/>
      </c>
      <c r="I733" s="4" t="str">
        <f>IFERROR(__xludf.DUMMYFUNCTION("""COMPUTED_VALUE"""),"")</f>
        <v/>
      </c>
      <c r="J733" s="4" t="str">
        <f>IFERROR(__xludf.DUMMYFUNCTION("""COMPUTED_VALUE"""),"")</f>
        <v/>
      </c>
      <c r="K733" s="4" t="str">
        <f>IFERROR(__xludf.DUMMYFUNCTION("""COMPUTED_VALUE"""),"")</f>
        <v/>
      </c>
    </row>
    <row r="734">
      <c r="A734" s="4" t="str">
        <f>IFERROR(__xludf.DUMMYFUNCTION("""COMPUTED_VALUE"""),"")</f>
        <v/>
      </c>
      <c r="B734" s="4" t="str">
        <f>IFERROR(__xludf.DUMMYFUNCTION("""COMPUTED_VALUE"""),"")</f>
        <v/>
      </c>
      <c r="C734" s="4" t="str">
        <f>IFERROR(__xludf.DUMMYFUNCTION("""COMPUTED_VALUE"""),"")</f>
        <v/>
      </c>
      <c r="D734" s="4" t="str">
        <f>IFERROR(__xludf.DUMMYFUNCTION("""COMPUTED_VALUE"""),"")</f>
        <v/>
      </c>
      <c r="E734" s="4" t="str">
        <f>IFERROR(__xludf.DUMMYFUNCTION("""COMPUTED_VALUE"""),"")</f>
        <v/>
      </c>
      <c r="F734" s="4" t="str">
        <f>IFERROR(__xludf.DUMMYFUNCTION("""COMPUTED_VALUE"""),"")</f>
        <v/>
      </c>
      <c r="G734" s="4" t="str">
        <f>IFERROR(__xludf.DUMMYFUNCTION("""COMPUTED_VALUE"""),"")</f>
        <v/>
      </c>
      <c r="H734" s="4" t="str">
        <f>IFERROR(__xludf.DUMMYFUNCTION("""COMPUTED_VALUE"""),"")</f>
        <v/>
      </c>
      <c r="I734" s="4" t="str">
        <f>IFERROR(__xludf.DUMMYFUNCTION("""COMPUTED_VALUE"""),"")</f>
        <v/>
      </c>
      <c r="J734" s="4" t="str">
        <f>IFERROR(__xludf.DUMMYFUNCTION("""COMPUTED_VALUE"""),"")</f>
        <v/>
      </c>
      <c r="K734" s="4" t="str">
        <f>IFERROR(__xludf.DUMMYFUNCTION("""COMPUTED_VALUE"""),"")</f>
        <v/>
      </c>
    </row>
    <row r="735">
      <c r="A735" s="4" t="str">
        <f>IFERROR(__xludf.DUMMYFUNCTION("""COMPUTED_VALUE"""),"")</f>
        <v/>
      </c>
      <c r="B735" s="4" t="str">
        <f>IFERROR(__xludf.DUMMYFUNCTION("""COMPUTED_VALUE"""),"")</f>
        <v/>
      </c>
      <c r="C735" s="4" t="str">
        <f>IFERROR(__xludf.DUMMYFUNCTION("""COMPUTED_VALUE"""),"")</f>
        <v/>
      </c>
      <c r="D735" s="4" t="str">
        <f>IFERROR(__xludf.DUMMYFUNCTION("""COMPUTED_VALUE"""),"")</f>
        <v/>
      </c>
      <c r="E735" s="4" t="str">
        <f>IFERROR(__xludf.DUMMYFUNCTION("""COMPUTED_VALUE"""),"")</f>
        <v/>
      </c>
      <c r="F735" s="4" t="str">
        <f>IFERROR(__xludf.DUMMYFUNCTION("""COMPUTED_VALUE"""),"")</f>
        <v/>
      </c>
      <c r="G735" s="4" t="str">
        <f>IFERROR(__xludf.DUMMYFUNCTION("""COMPUTED_VALUE"""),"")</f>
        <v/>
      </c>
      <c r="H735" s="4" t="str">
        <f>IFERROR(__xludf.DUMMYFUNCTION("""COMPUTED_VALUE"""),"")</f>
        <v/>
      </c>
      <c r="I735" s="4" t="str">
        <f>IFERROR(__xludf.DUMMYFUNCTION("""COMPUTED_VALUE"""),"")</f>
        <v/>
      </c>
      <c r="J735" s="4" t="str">
        <f>IFERROR(__xludf.DUMMYFUNCTION("""COMPUTED_VALUE"""),"")</f>
        <v/>
      </c>
      <c r="K735" s="4" t="str">
        <f>IFERROR(__xludf.DUMMYFUNCTION("""COMPUTED_VALUE"""),"")</f>
        <v/>
      </c>
    </row>
    <row r="736">
      <c r="A736" s="4" t="str">
        <f>IFERROR(__xludf.DUMMYFUNCTION("""COMPUTED_VALUE"""),"")</f>
        <v/>
      </c>
      <c r="B736" s="4" t="str">
        <f>IFERROR(__xludf.DUMMYFUNCTION("""COMPUTED_VALUE"""),"")</f>
        <v/>
      </c>
      <c r="C736" s="4" t="str">
        <f>IFERROR(__xludf.DUMMYFUNCTION("""COMPUTED_VALUE"""),"")</f>
        <v/>
      </c>
      <c r="D736" s="4" t="str">
        <f>IFERROR(__xludf.DUMMYFUNCTION("""COMPUTED_VALUE"""),"")</f>
        <v/>
      </c>
      <c r="E736" s="4" t="str">
        <f>IFERROR(__xludf.DUMMYFUNCTION("""COMPUTED_VALUE"""),"")</f>
        <v/>
      </c>
      <c r="F736" s="4" t="str">
        <f>IFERROR(__xludf.DUMMYFUNCTION("""COMPUTED_VALUE"""),"")</f>
        <v/>
      </c>
      <c r="G736" s="4" t="str">
        <f>IFERROR(__xludf.DUMMYFUNCTION("""COMPUTED_VALUE"""),"")</f>
        <v/>
      </c>
      <c r="H736" s="4" t="str">
        <f>IFERROR(__xludf.DUMMYFUNCTION("""COMPUTED_VALUE"""),"")</f>
        <v/>
      </c>
      <c r="I736" s="4" t="str">
        <f>IFERROR(__xludf.DUMMYFUNCTION("""COMPUTED_VALUE"""),"")</f>
        <v/>
      </c>
      <c r="J736" s="4" t="str">
        <f>IFERROR(__xludf.DUMMYFUNCTION("""COMPUTED_VALUE"""),"")</f>
        <v/>
      </c>
      <c r="K736" s="4" t="str">
        <f>IFERROR(__xludf.DUMMYFUNCTION("""COMPUTED_VALUE"""),"")</f>
        <v/>
      </c>
    </row>
    <row r="737">
      <c r="A737" s="4" t="str">
        <f>IFERROR(__xludf.DUMMYFUNCTION("""COMPUTED_VALUE"""),"")</f>
        <v/>
      </c>
      <c r="B737" s="4" t="str">
        <f>IFERROR(__xludf.DUMMYFUNCTION("""COMPUTED_VALUE"""),"")</f>
        <v/>
      </c>
      <c r="C737" s="4" t="str">
        <f>IFERROR(__xludf.DUMMYFUNCTION("""COMPUTED_VALUE"""),"")</f>
        <v/>
      </c>
      <c r="D737" s="4" t="str">
        <f>IFERROR(__xludf.DUMMYFUNCTION("""COMPUTED_VALUE"""),"")</f>
        <v/>
      </c>
      <c r="E737" s="4" t="str">
        <f>IFERROR(__xludf.DUMMYFUNCTION("""COMPUTED_VALUE"""),"")</f>
        <v/>
      </c>
      <c r="F737" s="4" t="str">
        <f>IFERROR(__xludf.DUMMYFUNCTION("""COMPUTED_VALUE"""),"")</f>
        <v/>
      </c>
      <c r="G737" s="4" t="str">
        <f>IFERROR(__xludf.DUMMYFUNCTION("""COMPUTED_VALUE"""),"")</f>
        <v/>
      </c>
      <c r="H737" s="4" t="str">
        <f>IFERROR(__xludf.DUMMYFUNCTION("""COMPUTED_VALUE"""),"")</f>
        <v/>
      </c>
      <c r="I737" s="4" t="str">
        <f>IFERROR(__xludf.DUMMYFUNCTION("""COMPUTED_VALUE"""),"")</f>
        <v/>
      </c>
      <c r="J737" s="4" t="str">
        <f>IFERROR(__xludf.DUMMYFUNCTION("""COMPUTED_VALUE"""),"")</f>
        <v/>
      </c>
      <c r="K737" s="4" t="str">
        <f>IFERROR(__xludf.DUMMYFUNCTION("""COMPUTED_VALUE"""),"")</f>
        <v/>
      </c>
    </row>
    <row r="738">
      <c r="A738" s="4" t="str">
        <f>IFERROR(__xludf.DUMMYFUNCTION("""COMPUTED_VALUE"""),"")</f>
        <v/>
      </c>
      <c r="B738" s="4" t="str">
        <f>IFERROR(__xludf.DUMMYFUNCTION("""COMPUTED_VALUE"""),"")</f>
        <v/>
      </c>
      <c r="C738" s="4" t="str">
        <f>IFERROR(__xludf.DUMMYFUNCTION("""COMPUTED_VALUE"""),"")</f>
        <v/>
      </c>
      <c r="D738" s="4" t="str">
        <f>IFERROR(__xludf.DUMMYFUNCTION("""COMPUTED_VALUE"""),"")</f>
        <v/>
      </c>
      <c r="E738" s="4" t="str">
        <f>IFERROR(__xludf.DUMMYFUNCTION("""COMPUTED_VALUE"""),"")</f>
        <v/>
      </c>
      <c r="F738" s="4" t="str">
        <f>IFERROR(__xludf.DUMMYFUNCTION("""COMPUTED_VALUE"""),"")</f>
        <v/>
      </c>
      <c r="G738" s="4" t="str">
        <f>IFERROR(__xludf.DUMMYFUNCTION("""COMPUTED_VALUE"""),"")</f>
        <v/>
      </c>
      <c r="H738" s="4" t="str">
        <f>IFERROR(__xludf.DUMMYFUNCTION("""COMPUTED_VALUE"""),"")</f>
        <v/>
      </c>
      <c r="I738" s="4" t="str">
        <f>IFERROR(__xludf.DUMMYFUNCTION("""COMPUTED_VALUE"""),"")</f>
        <v/>
      </c>
      <c r="J738" s="4" t="str">
        <f>IFERROR(__xludf.DUMMYFUNCTION("""COMPUTED_VALUE"""),"")</f>
        <v/>
      </c>
      <c r="K738" s="4" t="str">
        <f>IFERROR(__xludf.DUMMYFUNCTION("""COMPUTED_VALUE"""),"")</f>
        <v/>
      </c>
    </row>
    <row r="739">
      <c r="A739" s="4" t="str">
        <f>IFERROR(__xludf.DUMMYFUNCTION("""COMPUTED_VALUE"""),"")</f>
        <v/>
      </c>
      <c r="B739" s="4" t="str">
        <f>IFERROR(__xludf.DUMMYFUNCTION("""COMPUTED_VALUE"""),"")</f>
        <v/>
      </c>
      <c r="C739" s="4" t="str">
        <f>IFERROR(__xludf.DUMMYFUNCTION("""COMPUTED_VALUE"""),"")</f>
        <v/>
      </c>
      <c r="D739" s="4" t="str">
        <f>IFERROR(__xludf.DUMMYFUNCTION("""COMPUTED_VALUE"""),"")</f>
        <v/>
      </c>
      <c r="E739" s="4" t="str">
        <f>IFERROR(__xludf.DUMMYFUNCTION("""COMPUTED_VALUE"""),"")</f>
        <v/>
      </c>
      <c r="F739" s="4" t="str">
        <f>IFERROR(__xludf.DUMMYFUNCTION("""COMPUTED_VALUE"""),"")</f>
        <v/>
      </c>
      <c r="G739" s="4" t="str">
        <f>IFERROR(__xludf.DUMMYFUNCTION("""COMPUTED_VALUE"""),"")</f>
        <v/>
      </c>
      <c r="H739" s="4" t="str">
        <f>IFERROR(__xludf.DUMMYFUNCTION("""COMPUTED_VALUE"""),"")</f>
        <v/>
      </c>
      <c r="I739" s="4" t="str">
        <f>IFERROR(__xludf.DUMMYFUNCTION("""COMPUTED_VALUE"""),"")</f>
        <v/>
      </c>
      <c r="J739" s="4" t="str">
        <f>IFERROR(__xludf.DUMMYFUNCTION("""COMPUTED_VALUE"""),"")</f>
        <v/>
      </c>
      <c r="K739" s="4" t="str">
        <f>IFERROR(__xludf.DUMMYFUNCTION("""COMPUTED_VALUE"""),"")</f>
        <v/>
      </c>
    </row>
    <row r="740">
      <c r="A740" s="4" t="str">
        <f>IFERROR(__xludf.DUMMYFUNCTION("""COMPUTED_VALUE"""),"")</f>
        <v/>
      </c>
      <c r="B740" s="4" t="str">
        <f>IFERROR(__xludf.DUMMYFUNCTION("""COMPUTED_VALUE"""),"")</f>
        <v/>
      </c>
      <c r="C740" s="4" t="str">
        <f>IFERROR(__xludf.DUMMYFUNCTION("""COMPUTED_VALUE"""),"")</f>
        <v/>
      </c>
      <c r="D740" s="4" t="str">
        <f>IFERROR(__xludf.DUMMYFUNCTION("""COMPUTED_VALUE"""),"")</f>
        <v/>
      </c>
      <c r="E740" s="4" t="str">
        <f>IFERROR(__xludf.DUMMYFUNCTION("""COMPUTED_VALUE"""),"")</f>
        <v/>
      </c>
      <c r="F740" s="4" t="str">
        <f>IFERROR(__xludf.DUMMYFUNCTION("""COMPUTED_VALUE"""),"")</f>
        <v/>
      </c>
      <c r="G740" s="4" t="str">
        <f>IFERROR(__xludf.DUMMYFUNCTION("""COMPUTED_VALUE"""),"")</f>
        <v/>
      </c>
      <c r="H740" s="4" t="str">
        <f>IFERROR(__xludf.DUMMYFUNCTION("""COMPUTED_VALUE"""),"")</f>
        <v/>
      </c>
      <c r="I740" s="4" t="str">
        <f>IFERROR(__xludf.DUMMYFUNCTION("""COMPUTED_VALUE"""),"")</f>
        <v/>
      </c>
      <c r="J740" s="4" t="str">
        <f>IFERROR(__xludf.DUMMYFUNCTION("""COMPUTED_VALUE"""),"")</f>
        <v/>
      </c>
      <c r="K740" s="4" t="str">
        <f>IFERROR(__xludf.DUMMYFUNCTION("""COMPUTED_VALUE"""),"")</f>
        <v/>
      </c>
    </row>
    <row r="741">
      <c r="A741" s="4" t="str">
        <f>IFERROR(__xludf.DUMMYFUNCTION("""COMPUTED_VALUE"""),"")</f>
        <v/>
      </c>
      <c r="B741" s="4" t="str">
        <f>IFERROR(__xludf.DUMMYFUNCTION("""COMPUTED_VALUE"""),"")</f>
        <v/>
      </c>
      <c r="C741" s="4" t="str">
        <f>IFERROR(__xludf.DUMMYFUNCTION("""COMPUTED_VALUE"""),"")</f>
        <v/>
      </c>
      <c r="D741" s="4" t="str">
        <f>IFERROR(__xludf.DUMMYFUNCTION("""COMPUTED_VALUE"""),"")</f>
        <v/>
      </c>
      <c r="E741" s="4" t="str">
        <f>IFERROR(__xludf.DUMMYFUNCTION("""COMPUTED_VALUE"""),"")</f>
        <v/>
      </c>
      <c r="F741" s="4" t="str">
        <f>IFERROR(__xludf.DUMMYFUNCTION("""COMPUTED_VALUE"""),"")</f>
        <v/>
      </c>
      <c r="G741" s="4" t="str">
        <f>IFERROR(__xludf.DUMMYFUNCTION("""COMPUTED_VALUE"""),"")</f>
        <v/>
      </c>
      <c r="H741" s="4" t="str">
        <f>IFERROR(__xludf.DUMMYFUNCTION("""COMPUTED_VALUE"""),"")</f>
        <v/>
      </c>
      <c r="I741" s="4" t="str">
        <f>IFERROR(__xludf.DUMMYFUNCTION("""COMPUTED_VALUE"""),"")</f>
        <v/>
      </c>
      <c r="J741" s="4" t="str">
        <f>IFERROR(__xludf.DUMMYFUNCTION("""COMPUTED_VALUE"""),"")</f>
        <v/>
      </c>
      <c r="K741" s="4" t="str">
        <f>IFERROR(__xludf.DUMMYFUNCTION("""COMPUTED_VALUE"""),"")</f>
        <v/>
      </c>
    </row>
    <row r="742">
      <c r="A742" s="4" t="str">
        <f>IFERROR(__xludf.DUMMYFUNCTION("""COMPUTED_VALUE"""),"")</f>
        <v/>
      </c>
      <c r="B742" s="4" t="str">
        <f>IFERROR(__xludf.DUMMYFUNCTION("""COMPUTED_VALUE"""),"")</f>
        <v/>
      </c>
      <c r="C742" s="4" t="str">
        <f>IFERROR(__xludf.DUMMYFUNCTION("""COMPUTED_VALUE"""),"")</f>
        <v/>
      </c>
      <c r="D742" s="4" t="str">
        <f>IFERROR(__xludf.DUMMYFUNCTION("""COMPUTED_VALUE"""),"")</f>
        <v/>
      </c>
      <c r="E742" s="4" t="str">
        <f>IFERROR(__xludf.DUMMYFUNCTION("""COMPUTED_VALUE"""),"")</f>
        <v/>
      </c>
      <c r="F742" s="4" t="str">
        <f>IFERROR(__xludf.DUMMYFUNCTION("""COMPUTED_VALUE"""),"")</f>
        <v/>
      </c>
      <c r="G742" s="4" t="str">
        <f>IFERROR(__xludf.DUMMYFUNCTION("""COMPUTED_VALUE"""),"")</f>
        <v/>
      </c>
      <c r="H742" s="4" t="str">
        <f>IFERROR(__xludf.DUMMYFUNCTION("""COMPUTED_VALUE"""),"")</f>
        <v/>
      </c>
      <c r="I742" s="4" t="str">
        <f>IFERROR(__xludf.DUMMYFUNCTION("""COMPUTED_VALUE"""),"")</f>
        <v/>
      </c>
      <c r="J742" s="4" t="str">
        <f>IFERROR(__xludf.DUMMYFUNCTION("""COMPUTED_VALUE"""),"")</f>
        <v/>
      </c>
      <c r="K742" s="4" t="str">
        <f>IFERROR(__xludf.DUMMYFUNCTION("""COMPUTED_VALUE"""),"")</f>
        <v/>
      </c>
    </row>
    <row r="743">
      <c r="A743" s="4" t="str">
        <f>IFERROR(__xludf.DUMMYFUNCTION("""COMPUTED_VALUE"""),"")</f>
        <v/>
      </c>
      <c r="B743" s="4" t="str">
        <f>IFERROR(__xludf.DUMMYFUNCTION("""COMPUTED_VALUE"""),"")</f>
        <v/>
      </c>
      <c r="C743" s="4" t="str">
        <f>IFERROR(__xludf.DUMMYFUNCTION("""COMPUTED_VALUE"""),"")</f>
        <v/>
      </c>
      <c r="D743" s="4" t="str">
        <f>IFERROR(__xludf.DUMMYFUNCTION("""COMPUTED_VALUE"""),"")</f>
        <v/>
      </c>
      <c r="E743" s="4" t="str">
        <f>IFERROR(__xludf.DUMMYFUNCTION("""COMPUTED_VALUE"""),"")</f>
        <v/>
      </c>
      <c r="F743" s="4" t="str">
        <f>IFERROR(__xludf.DUMMYFUNCTION("""COMPUTED_VALUE"""),"")</f>
        <v/>
      </c>
      <c r="G743" s="4" t="str">
        <f>IFERROR(__xludf.DUMMYFUNCTION("""COMPUTED_VALUE"""),"")</f>
        <v/>
      </c>
      <c r="H743" s="4" t="str">
        <f>IFERROR(__xludf.DUMMYFUNCTION("""COMPUTED_VALUE"""),"")</f>
        <v/>
      </c>
      <c r="I743" s="4" t="str">
        <f>IFERROR(__xludf.DUMMYFUNCTION("""COMPUTED_VALUE"""),"")</f>
        <v/>
      </c>
      <c r="J743" s="4" t="str">
        <f>IFERROR(__xludf.DUMMYFUNCTION("""COMPUTED_VALUE"""),"")</f>
        <v/>
      </c>
      <c r="K743" s="4" t="str">
        <f>IFERROR(__xludf.DUMMYFUNCTION("""COMPUTED_VALUE"""),"")</f>
        <v/>
      </c>
    </row>
    <row r="744">
      <c r="A744" s="4" t="str">
        <f>IFERROR(__xludf.DUMMYFUNCTION("""COMPUTED_VALUE"""),"")</f>
        <v/>
      </c>
      <c r="B744" s="4" t="str">
        <f>IFERROR(__xludf.DUMMYFUNCTION("""COMPUTED_VALUE"""),"")</f>
        <v/>
      </c>
      <c r="C744" s="4" t="str">
        <f>IFERROR(__xludf.DUMMYFUNCTION("""COMPUTED_VALUE"""),"")</f>
        <v/>
      </c>
      <c r="D744" s="4" t="str">
        <f>IFERROR(__xludf.DUMMYFUNCTION("""COMPUTED_VALUE"""),"")</f>
        <v/>
      </c>
      <c r="E744" s="4" t="str">
        <f>IFERROR(__xludf.DUMMYFUNCTION("""COMPUTED_VALUE"""),"")</f>
        <v/>
      </c>
      <c r="F744" s="4" t="str">
        <f>IFERROR(__xludf.DUMMYFUNCTION("""COMPUTED_VALUE"""),"")</f>
        <v/>
      </c>
      <c r="G744" s="4" t="str">
        <f>IFERROR(__xludf.DUMMYFUNCTION("""COMPUTED_VALUE"""),"")</f>
        <v/>
      </c>
      <c r="H744" s="4" t="str">
        <f>IFERROR(__xludf.DUMMYFUNCTION("""COMPUTED_VALUE"""),"")</f>
        <v/>
      </c>
      <c r="I744" s="4" t="str">
        <f>IFERROR(__xludf.DUMMYFUNCTION("""COMPUTED_VALUE"""),"")</f>
        <v/>
      </c>
      <c r="J744" s="4" t="str">
        <f>IFERROR(__xludf.DUMMYFUNCTION("""COMPUTED_VALUE"""),"")</f>
        <v/>
      </c>
      <c r="K744" s="4" t="str">
        <f>IFERROR(__xludf.DUMMYFUNCTION("""COMPUTED_VALUE"""),"")</f>
        <v/>
      </c>
    </row>
    <row r="745">
      <c r="A745" s="4" t="str">
        <f>IFERROR(__xludf.DUMMYFUNCTION("""COMPUTED_VALUE"""),"")</f>
        <v/>
      </c>
      <c r="B745" s="4" t="str">
        <f>IFERROR(__xludf.DUMMYFUNCTION("""COMPUTED_VALUE"""),"")</f>
        <v/>
      </c>
      <c r="C745" s="4" t="str">
        <f>IFERROR(__xludf.DUMMYFUNCTION("""COMPUTED_VALUE"""),"")</f>
        <v/>
      </c>
      <c r="D745" s="4" t="str">
        <f>IFERROR(__xludf.DUMMYFUNCTION("""COMPUTED_VALUE"""),"")</f>
        <v/>
      </c>
      <c r="E745" s="4" t="str">
        <f>IFERROR(__xludf.DUMMYFUNCTION("""COMPUTED_VALUE"""),"")</f>
        <v/>
      </c>
      <c r="F745" s="4" t="str">
        <f>IFERROR(__xludf.DUMMYFUNCTION("""COMPUTED_VALUE"""),"")</f>
        <v/>
      </c>
      <c r="G745" s="4" t="str">
        <f>IFERROR(__xludf.DUMMYFUNCTION("""COMPUTED_VALUE"""),"")</f>
        <v/>
      </c>
      <c r="H745" s="4" t="str">
        <f>IFERROR(__xludf.DUMMYFUNCTION("""COMPUTED_VALUE"""),"")</f>
        <v/>
      </c>
      <c r="I745" s="4" t="str">
        <f>IFERROR(__xludf.DUMMYFUNCTION("""COMPUTED_VALUE"""),"")</f>
        <v/>
      </c>
      <c r="J745" s="4" t="str">
        <f>IFERROR(__xludf.DUMMYFUNCTION("""COMPUTED_VALUE"""),"")</f>
        <v/>
      </c>
      <c r="K745" s="4" t="str">
        <f>IFERROR(__xludf.DUMMYFUNCTION("""COMPUTED_VALUE"""),"")</f>
        <v/>
      </c>
    </row>
    <row r="746">
      <c r="A746" s="4" t="str">
        <f>IFERROR(__xludf.DUMMYFUNCTION("""COMPUTED_VALUE"""),"")</f>
        <v/>
      </c>
      <c r="B746" s="4" t="str">
        <f>IFERROR(__xludf.DUMMYFUNCTION("""COMPUTED_VALUE"""),"")</f>
        <v/>
      </c>
      <c r="C746" s="4" t="str">
        <f>IFERROR(__xludf.DUMMYFUNCTION("""COMPUTED_VALUE"""),"")</f>
        <v/>
      </c>
      <c r="D746" s="4" t="str">
        <f>IFERROR(__xludf.DUMMYFUNCTION("""COMPUTED_VALUE"""),"")</f>
        <v/>
      </c>
      <c r="E746" s="4" t="str">
        <f>IFERROR(__xludf.DUMMYFUNCTION("""COMPUTED_VALUE"""),"")</f>
        <v/>
      </c>
      <c r="F746" s="4" t="str">
        <f>IFERROR(__xludf.DUMMYFUNCTION("""COMPUTED_VALUE"""),"")</f>
        <v/>
      </c>
      <c r="G746" s="4" t="str">
        <f>IFERROR(__xludf.DUMMYFUNCTION("""COMPUTED_VALUE"""),"")</f>
        <v/>
      </c>
      <c r="H746" s="4" t="str">
        <f>IFERROR(__xludf.DUMMYFUNCTION("""COMPUTED_VALUE"""),"")</f>
        <v/>
      </c>
      <c r="I746" s="4" t="str">
        <f>IFERROR(__xludf.DUMMYFUNCTION("""COMPUTED_VALUE"""),"")</f>
        <v/>
      </c>
      <c r="J746" s="4" t="str">
        <f>IFERROR(__xludf.DUMMYFUNCTION("""COMPUTED_VALUE"""),"")</f>
        <v/>
      </c>
      <c r="K746" s="4" t="str">
        <f>IFERROR(__xludf.DUMMYFUNCTION("""COMPUTED_VALUE"""),"")</f>
        <v/>
      </c>
    </row>
    <row r="747">
      <c r="A747" s="4" t="str">
        <f>IFERROR(__xludf.DUMMYFUNCTION("""COMPUTED_VALUE"""),"")</f>
        <v/>
      </c>
      <c r="B747" s="4" t="str">
        <f>IFERROR(__xludf.DUMMYFUNCTION("""COMPUTED_VALUE"""),"")</f>
        <v/>
      </c>
      <c r="C747" s="4" t="str">
        <f>IFERROR(__xludf.DUMMYFUNCTION("""COMPUTED_VALUE"""),"")</f>
        <v/>
      </c>
      <c r="D747" s="4" t="str">
        <f>IFERROR(__xludf.DUMMYFUNCTION("""COMPUTED_VALUE"""),"")</f>
        <v/>
      </c>
      <c r="E747" s="4" t="str">
        <f>IFERROR(__xludf.DUMMYFUNCTION("""COMPUTED_VALUE"""),"")</f>
        <v/>
      </c>
      <c r="F747" s="4" t="str">
        <f>IFERROR(__xludf.DUMMYFUNCTION("""COMPUTED_VALUE"""),"")</f>
        <v/>
      </c>
      <c r="G747" s="4" t="str">
        <f>IFERROR(__xludf.DUMMYFUNCTION("""COMPUTED_VALUE"""),"")</f>
        <v/>
      </c>
      <c r="H747" s="4" t="str">
        <f>IFERROR(__xludf.DUMMYFUNCTION("""COMPUTED_VALUE"""),"")</f>
        <v/>
      </c>
      <c r="I747" s="4" t="str">
        <f>IFERROR(__xludf.DUMMYFUNCTION("""COMPUTED_VALUE"""),"")</f>
        <v/>
      </c>
      <c r="J747" s="4" t="str">
        <f>IFERROR(__xludf.DUMMYFUNCTION("""COMPUTED_VALUE"""),"")</f>
        <v/>
      </c>
      <c r="K747" s="4" t="str">
        <f>IFERROR(__xludf.DUMMYFUNCTION("""COMPUTED_VALUE"""),"")</f>
        <v/>
      </c>
    </row>
    <row r="748">
      <c r="A748" s="4" t="str">
        <f>IFERROR(__xludf.DUMMYFUNCTION("""COMPUTED_VALUE"""),"")</f>
        <v/>
      </c>
      <c r="B748" s="4" t="str">
        <f>IFERROR(__xludf.DUMMYFUNCTION("""COMPUTED_VALUE"""),"")</f>
        <v/>
      </c>
      <c r="C748" s="4" t="str">
        <f>IFERROR(__xludf.DUMMYFUNCTION("""COMPUTED_VALUE"""),"")</f>
        <v/>
      </c>
      <c r="D748" s="4" t="str">
        <f>IFERROR(__xludf.DUMMYFUNCTION("""COMPUTED_VALUE"""),"")</f>
        <v/>
      </c>
      <c r="E748" s="4" t="str">
        <f>IFERROR(__xludf.DUMMYFUNCTION("""COMPUTED_VALUE"""),"")</f>
        <v/>
      </c>
      <c r="F748" s="4" t="str">
        <f>IFERROR(__xludf.DUMMYFUNCTION("""COMPUTED_VALUE"""),"")</f>
        <v/>
      </c>
      <c r="G748" s="4" t="str">
        <f>IFERROR(__xludf.DUMMYFUNCTION("""COMPUTED_VALUE"""),"")</f>
        <v/>
      </c>
      <c r="H748" s="4" t="str">
        <f>IFERROR(__xludf.DUMMYFUNCTION("""COMPUTED_VALUE"""),"")</f>
        <v/>
      </c>
      <c r="I748" s="4" t="str">
        <f>IFERROR(__xludf.DUMMYFUNCTION("""COMPUTED_VALUE"""),"")</f>
        <v/>
      </c>
      <c r="J748" s="4" t="str">
        <f>IFERROR(__xludf.DUMMYFUNCTION("""COMPUTED_VALUE"""),"")</f>
        <v/>
      </c>
      <c r="K748" s="4" t="str">
        <f>IFERROR(__xludf.DUMMYFUNCTION("""COMPUTED_VALUE"""),"")</f>
        <v/>
      </c>
    </row>
    <row r="749">
      <c r="A749" s="4" t="str">
        <f>IFERROR(__xludf.DUMMYFUNCTION("""COMPUTED_VALUE"""),"")</f>
        <v/>
      </c>
      <c r="B749" s="4" t="str">
        <f>IFERROR(__xludf.DUMMYFUNCTION("""COMPUTED_VALUE"""),"")</f>
        <v/>
      </c>
      <c r="C749" s="4" t="str">
        <f>IFERROR(__xludf.DUMMYFUNCTION("""COMPUTED_VALUE"""),"")</f>
        <v/>
      </c>
      <c r="D749" s="4" t="str">
        <f>IFERROR(__xludf.DUMMYFUNCTION("""COMPUTED_VALUE"""),"")</f>
        <v/>
      </c>
      <c r="E749" s="4" t="str">
        <f>IFERROR(__xludf.DUMMYFUNCTION("""COMPUTED_VALUE"""),"")</f>
        <v/>
      </c>
      <c r="F749" s="4" t="str">
        <f>IFERROR(__xludf.DUMMYFUNCTION("""COMPUTED_VALUE"""),"")</f>
        <v/>
      </c>
      <c r="G749" s="4" t="str">
        <f>IFERROR(__xludf.DUMMYFUNCTION("""COMPUTED_VALUE"""),"")</f>
        <v/>
      </c>
      <c r="H749" s="4" t="str">
        <f>IFERROR(__xludf.DUMMYFUNCTION("""COMPUTED_VALUE"""),"")</f>
        <v/>
      </c>
      <c r="I749" s="4" t="str">
        <f>IFERROR(__xludf.DUMMYFUNCTION("""COMPUTED_VALUE"""),"")</f>
        <v/>
      </c>
      <c r="J749" s="4" t="str">
        <f>IFERROR(__xludf.DUMMYFUNCTION("""COMPUTED_VALUE"""),"")</f>
        <v/>
      </c>
      <c r="K749" s="4" t="str">
        <f>IFERROR(__xludf.DUMMYFUNCTION("""COMPUTED_VALUE"""),"")</f>
        <v/>
      </c>
    </row>
    <row r="750">
      <c r="A750" s="4" t="str">
        <f>IFERROR(__xludf.DUMMYFUNCTION("""COMPUTED_VALUE"""),"")</f>
        <v/>
      </c>
      <c r="B750" s="4" t="str">
        <f>IFERROR(__xludf.DUMMYFUNCTION("""COMPUTED_VALUE"""),"")</f>
        <v/>
      </c>
      <c r="C750" s="4" t="str">
        <f>IFERROR(__xludf.DUMMYFUNCTION("""COMPUTED_VALUE"""),"")</f>
        <v/>
      </c>
      <c r="D750" s="4" t="str">
        <f>IFERROR(__xludf.DUMMYFUNCTION("""COMPUTED_VALUE"""),"")</f>
        <v/>
      </c>
      <c r="E750" s="4" t="str">
        <f>IFERROR(__xludf.DUMMYFUNCTION("""COMPUTED_VALUE"""),"")</f>
        <v/>
      </c>
      <c r="F750" s="4" t="str">
        <f>IFERROR(__xludf.DUMMYFUNCTION("""COMPUTED_VALUE"""),"")</f>
        <v/>
      </c>
      <c r="G750" s="4" t="str">
        <f>IFERROR(__xludf.DUMMYFUNCTION("""COMPUTED_VALUE"""),"")</f>
        <v/>
      </c>
      <c r="H750" s="4" t="str">
        <f>IFERROR(__xludf.DUMMYFUNCTION("""COMPUTED_VALUE"""),"")</f>
        <v/>
      </c>
      <c r="I750" s="4" t="str">
        <f>IFERROR(__xludf.DUMMYFUNCTION("""COMPUTED_VALUE"""),"")</f>
        <v/>
      </c>
      <c r="J750" s="4" t="str">
        <f>IFERROR(__xludf.DUMMYFUNCTION("""COMPUTED_VALUE"""),"")</f>
        <v/>
      </c>
      <c r="K750" s="4" t="str">
        <f>IFERROR(__xludf.DUMMYFUNCTION("""COMPUTED_VALUE"""),"")</f>
        <v/>
      </c>
    </row>
    <row r="751">
      <c r="A751" s="4" t="str">
        <f>IFERROR(__xludf.DUMMYFUNCTION("""COMPUTED_VALUE"""),"")</f>
        <v/>
      </c>
      <c r="B751" s="4" t="str">
        <f>IFERROR(__xludf.DUMMYFUNCTION("""COMPUTED_VALUE"""),"")</f>
        <v/>
      </c>
      <c r="C751" s="4" t="str">
        <f>IFERROR(__xludf.DUMMYFUNCTION("""COMPUTED_VALUE"""),"")</f>
        <v/>
      </c>
      <c r="D751" s="4" t="str">
        <f>IFERROR(__xludf.DUMMYFUNCTION("""COMPUTED_VALUE"""),"")</f>
        <v/>
      </c>
      <c r="E751" s="4" t="str">
        <f>IFERROR(__xludf.DUMMYFUNCTION("""COMPUTED_VALUE"""),"")</f>
        <v/>
      </c>
      <c r="F751" s="4" t="str">
        <f>IFERROR(__xludf.DUMMYFUNCTION("""COMPUTED_VALUE"""),"")</f>
        <v/>
      </c>
      <c r="G751" s="4" t="str">
        <f>IFERROR(__xludf.DUMMYFUNCTION("""COMPUTED_VALUE"""),"")</f>
        <v/>
      </c>
      <c r="H751" s="4" t="str">
        <f>IFERROR(__xludf.DUMMYFUNCTION("""COMPUTED_VALUE"""),"")</f>
        <v/>
      </c>
      <c r="I751" s="4" t="str">
        <f>IFERROR(__xludf.DUMMYFUNCTION("""COMPUTED_VALUE"""),"")</f>
        <v/>
      </c>
      <c r="J751" s="4" t="str">
        <f>IFERROR(__xludf.DUMMYFUNCTION("""COMPUTED_VALUE"""),"")</f>
        <v/>
      </c>
      <c r="K751" s="4" t="str">
        <f>IFERROR(__xludf.DUMMYFUNCTION("""COMPUTED_VALUE"""),"")</f>
        <v/>
      </c>
    </row>
    <row r="752">
      <c r="A752" s="4" t="str">
        <f>IFERROR(__xludf.DUMMYFUNCTION("""COMPUTED_VALUE"""),"")</f>
        <v/>
      </c>
      <c r="B752" s="4" t="str">
        <f>IFERROR(__xludf.DUMMYFUNCTION("""COMPUTED_VALUE"""),"")</f>
        <v/>
      </c>
      <c r="C752" s="4" t="str">
        <f>IFERROR(__xludf.DUMMYFUNCTION("""COMPUTED_VALUE"""),"")</f>
        <v/>
      </c>
      <c r="D752" s="4" t="str">
        <f>IFERROR(__xludf.DUMMYFUNCTION("""COMPUTED_VALUE"""),"")</f>
        <v/>
      </c>
      <c r="E752" s="4" t="str">
        <f>IFERROR(__xludf.DUMMYFUNCTION("""COMPUTED_VALUE"""),"")</f>
        <v/>
      </c>
      <c r="F752" s="4" t="str">
        <f>IFERROR(__xludf.DUMMYFUNCTION("""COMPUTED_VALUE"""),"")</f>
        <v/>
      </c>
      <c r="G752" s="4" t="str">
        <f>IFERROR(__xludf.DUMMYFUNCTION("""COMPUTED_VALUE"""),"")</f>
        <v/>
      </c>
      <c r="H752" s="4" t="str">
        <f>IFERROR(__xludf.DUMMYFUNCTION("""COMPUTED_VALUE"""),"")</f>
        <v/>
      </c>
      <c r="I752" s="4" t="str">
        <f>IFERROR(__xludf.DUMMYFUNCTION("""COMPUTED_VALUE"""),"")</f>
        <v/>
      </c>
      <c r="J752" s="4" t="str">
        <f>IFERROR(__xludf.DUMMYFUNCTION("""COMPUTED_VALUE"""),"")</f>
        <v/>
      </c>
      <c r="K752" s="4" t="str">
        <f>IFERROR(__xludf.DUMMYFUNCTION("""COMPUTED_VALUE"""),"")</f>
        <v/>
      </c>
    </row>
    <row r="753">
      <c r="A753" s="4" t="str">
        <f>IFERROR(__xludf.DUMMYFUNCTION("""COMPUTED_VALUE"""),"")</f>
        <v/>
      </c>
      <c r="B753" s="4" t="str">
        <f>IFERROR(__xludf.DUMMYFUNCTION("""COMPUTED_VALUE"""),"")</f>
        <v/>
      </c>
      <c r="C753" s="4" t="str">
        <f>IFERROR(__xludf.DUMMYFUNCTION("""COMPUTED_VALUE"""),"")</f>
        <v/>
      </c>
      <c r="D753" s="4" t="str">
        <f>IFERROR(__xludf.DUMMYFUNCTION("""COMPUTED_VALUE"""),"")</f>
        <v/>
      </c>
      <c r="E753" s="4" t="str">
        <f>IFERROR(__xludf.DUMMYFUNCTION("""COMPUTED_VALUE"""),"")</f>
        <v/>
      </c>
      <c r="F753" s="4" t="str">
        <f>IFERROR(__xludf.DUMMYFUNCTION("""COMPUTED_VALUE"""),"")</f>
        <v/>
      </c>
      <c r="G753" s="4" t="str">
        <f>IFERROR(__xludf.DUMMYFUNCTION("""COMPUTED_VALUE"""),"")</f>
        <v/>
      </c>
      <c r="H753" s="4" t="str">
        <f>IFERROR(__xludf.DUMMYFUNCTION("""COMPUTED_VALUE"""),"")</f>
        <v/>
      </c>
      <c r="I753" s="4" t="str">
        <f>IFERROR(__xludf.DUMMYFUNCTION("""COMPUTED_VALUE"""),"")</f>
        <v/>
      </c>
      <c r="J753" s="4" t="str">
        <f>IFERROR(__xludf.DUMMYFUNCTION("""COMPUTED_VALUE"""),"")</f>
        <v/>
      </c>
      <c r="K753" s="4" t="str">
        <f>IFERROR(__xludf.DUMMYFUNCTION("""COMPUTED_VALUE"""),"")</f>
        <v/>
      </c>
    </row>
    <row r="754">
      <c r="A754" s="4" t="str">
        <f>IFERROR(__xludf.DUMMYFUNCTION("""COMPUTED_VALUE"""),"")</f>
        <v/>
      </c>
      <c r="B754" s="4" t="str">
        <f>IFERROR(__xludf.DUMMYFUNCTION("""COMPUTED_VALUE"""),"")</f>
        <v/>
      </c>
      <c r="C754" s="4" t="str">
        <f>IFERROR(__xludf.DUMMYFUNCTION("""COMPUTED_VALUE"""),"")</f>
        <v/>
      </c>
      <c r="D754" s="4" t="str">
        <f>IFERROR(__xludf.DUMMYFUNCTION("""COMPUTED_VALUE"""),"")</f>
        <v/>
      </c>
      <c r="E754" s="4" t="str">
        <f>IFERROR(__xludf.DUMMYFUNCTION("""COMPUTED_VALUE"""),"")</f>
        <v/>
      </c>
      <c r="F754" s="4" t="str">
        <f>IFERROR(__xludf.DUMMYFUNCTION("""COMPUTED_VALUE"""),"")</f>
        <v/>
      </c>
      <c r="G754" s="4" t="str">
        <f>IFERROR(__xludf.DUMMYFUNCTION("""COMPUTED_VALUE"""),"")</f>
        <v/>
      </c>
      <c r="H754" s="4" t="str">
        <f>IFERROR(__xludf.DUMMYFUNCTION("""COMPUTED_VALUE"""),"")</f>
        <v/>
      </c>
      <c r="I754" s="4" t="str">
        <f>IFERROR(__xludf.DUMMYFUNCTION("""COMPUTED_VALUE"""),"")</f>
        <v/>
      </c>
      <c r="J754" s="4" t="str">
        <f>IFERROR(__xludf.DUMMYFUNCTION("""COMPUTED_VALUE"""),"")</f>
        <v/>
      </c>
      <c r="K754" s="4" t="str">
        <f>IFERROR(__xludf.DUMMYFUNCTION("""COMPUTED_VALUE"""),"")</f>
        <v/>
      </c>
    </row>
    <row r="755">
      <c r="A755" s="4" t="str">
        <f>IFERROR(__xludf.DUMMYFUNCTION("""COMPUTED_VALUE"""),"")</f>
        <v/>
      </c>
      <c r="B755" s="4" t="str">
        <f>IFERROR(__xludf.DUMMYFUNCTION("""COMPUTED_VALUE"""),"")</f>
        <v/>
      </c>
      <c r="C755" s="4" t="str">
        <f>IFERROR(__xludf.DUMMYFUNCTION("""COMPUTED_VALUE"""),"")</f>
        <v/>
      </c>
      <c r="D755" s="4" t="str">
        <f>IFERROR(__xludf.DUMMYFUNCTION("""COMPUTED_VALUE"""),"")</f>
        <v/>
      </c>
      <c r="E755" s="4" t="str">
        <f>IFERROR(__xludf.DUMMYFUNCTION("""COMPUTED_VALUE"""),"")</f>
        <v/>
      </c>
      <c r="F755" s="4" t="str">
        <f>IFERROR(__xludf.DUMMYFUNCTION("""COMPUTED_VALUE"""),"")</f>
        <v/>
      </c>
      <c r="G755" s="4" t="str">
        <f>IFERROR(__xludf.DUMMYFUNCTION("""COMPUTED_VALUE"""),"")</f>
        <v/>
      </c>
      <c r="H755" s="4" t="str">
        <f>IFERROR(__xludf.DUMMYFUNCTION("""COMPUTED_VALUE"""),"")</f>
        <v/>
      </c>
      <c r="I755" s="4" t="str">
        <f>IFERROR(__xludf.DUMMYFUNCTION("""COMPUTED_VALUE"""),"")</f>
        <v/>
      </c>
      <c r="J755" s="4" t="str">
        <f>IFERROR(__xludf.DUMMYFUNCTION("""COMPUTED_VALUE"""),"")</f>
        <v/>
      </c>
      <c r="K755" s="4" t="str">
        <f>IFERROR(__xludf.DUMMYFUNCTION("""COMPUTED_VALUE"""),"")</f>
        <v/>
      </c>
    </row>
    <row r="756">
      <c r="A756" s="4" t="str">
        <f>IFERROR(__xludf.DUMMYFUNCTION("""COMPUTED_VALUE"""),"")</f>
        <v/>
      </c>
      <c r="B756" s="4" t="str">
        <f>IFERROR(__xludf.DUMMYFUNCTION("""COMPUTED_VALUE"""),"")</f>
        <v/>
      </c>
      <c r="C756" s="4" t="str">
        <f>IFERROR(__xludf.DUMMYFUNCTION("""COMPUTED_VALUE"""),"")</f>
        <v/>
      </c>
      <c r="D756" s="4" t="str">
        <f>IFERROR(__xludf.DUMMYFUNCTION("""COMPUTED_VALUE"""),"")</f>
        <v/>
      </c>
      <c r="E756" s="4" t="str">
        <f>IFERROR(__xludf.DUMMYFUNCTION("""COMPUTED_VALUE"""),"")</f>
        <v/>
      </c>
      <c r="F756" s="4" t="str">
        <f>IFERROR(__xludf.DUMMYFUNCTION("""COMPUTED_VALUE"""),"")</f>
        <v/>
      </c>
      <c r="G756" s="4" t="str">
        <f>IFERROR(__xludf.DUMMYFUNCTION("""COMPUTED_VALUE"""),"")</f>
        <v/>
      </c>
      <c r="H756" s="4" t="str">
        <f>IFERROR(__xludf.DUMMYFUNCTION("""COMPUTED_VALUE"""),"")</f>
        <v/>
      </c>
      <c r="I756" s="4" t="str">
        <f>IFERROR(__xludf.DUMMYFUNCTION("""COMPUTED_VALUE"""),"")</f>
        <v/>
      </c>
      <c r="J756" s="4" t="str">
        <f>IFERROR(__xludf.DUMMYFUNCTION("""COMPUTED_VALUE"""),"")</f>
        <v/>
      </c>
      <c r="K756" s="4" t="str">
        <f>IFERROR(__xludf.DUMMYFUNCTION("""COMPUTED_VALUE"""),"")</f>
        <v/>
      </c>
    </row>
    <row r="757">
      <c r="A757" s="4" t="str">
        <f>IFERROR(__xludf.DUMMYFUNCTION("""COMPUTED_VALUE"""),"")</f>
        <v/>
      </c>
      <c r="B757" s="4" t="str">
        <f>IFERROR(__xludf.DUMMYFUNCTION("""COMPUTED_VALUE"""),"")</f>
        <v/>
      </c>
      <c r="C757" s="4" t="str">
        <f>IFERROR(__xludf.DUMMYFUNCTION("""COMPUTED_VALUE"""),"")</f>
        <v/>
      </c>
      <c r="D757" s="4" t="str">
        <f>IFERROR(__xludf.DUMMYFUNCTION("""COMPUTED_VALUE"""),"")</f>
        <v/>
      </c>
      <c r="E757" s="4" t="str">
        <f>IFERROR(__xludf.DUMMYFUNCTION("""COMPUTED_VALUE"""),"")</f>
        <v/>
      </c>
      <c r="F757" s="4" t="str">
        <f>IFERROR(__xludf.DUMMYFUNCTION("""COMPUTED_VALUE"""),"")</f>
        <v/>
      </c>
      <c r="G757" s="4" t="str">
        <f>IFERROR(__xludf.DUMMYFUNCTION("""COMPUTED_VALUE"""),"")</f>
        <v/>
      </c>
      <c r="H757" s="4" t="str">
        <f>IFERROR(__xludf.DUMMYFUNCTION("""COMPUTED_VALUE"""),"")</f>
        <v/>
      </c>
      <c r="I757" s="4" t="str">
        <f>IFERROR(__xludf.DUMMYFUNCTION("""COMPUTED_VALUE"""),"")</f>
        <v/>
      </c>
      <c r="J757" s="4" t="str">
        <f>IFERROR(__xludf.DUMMYFUNCTION("""COMPUTED_VALUE"""),"")</f>
        <v/>
      </c>
      <c r="K757" s="4" t="str">
        <f>IFERROR(__xludf.DUMMYFUNCTION("""COMPUTED_VALUE"""),"")</f>
        <v/>
      </c>
    </row>
    <row r="758">
      <c r="A758" s="4" t="str">
        <f>IFERROR(__xludf.DUMMYFUNCTION("""COMPUTED_VALUE"""),"")</f>
        <v/>
      </c>
      <c r="B758" s="4" t="str">
        <f>IFERROR(__xludf.DUMMYFUNCTION("""COMPUTED_VALUE"""),"")</f>
        <v/>
      </c>
      <c r="C758" s="4" t="str">
        <f>IFERROR(__xludf.DUMMYFUNCTION("""COMPUTED_VALUE"""),"")</f>
        <v/>
      </c>
      <c r="D758" s="4" t="str">
        <f>IFERROR(__xludf.DUMMYFUNCTION("""COMPUTED_VALUE"""),"")</f>
        <v/>
      </c>
      <c r="E758" s="4" t="str">
        <f>IFERROR(__xludf.DUMMYFUNCTION("""COMPUTED_VALUE"""),"")</f>
        <v/>
      </c>
      <c r="F758" s="4" t="str">
        <f>IFERROR(__xludf.DUMMYFUNCTION("""COMPUTED_VALUE"""),"")</f>
        <v/>
      </c>
      <c r="G758" s="4" t="str">
        <f>IFERROR(__xludf.DUMMYFUNCTION("""COMPUTED_VALUE"""),"")</f>
        <v/>
      </c>
      <c r="H758" s="4" t="str">
        <f>IFERROR(__xludf.DUMMYFUNCTION("""COMPUTED_VALUE"""),"")</f>
        <v/>
      </c>
      <c r="I758" s="4" t="str">
        <f>IFERROR(__xludf.DUMMYFUNCTION("""COMPUTED_VALUE"""),"")</f>
        <v/>
      </c>
      <c r="J758" s="4" t="str">
        <f>IFERROR(__xludf.DUMMYFUNCTION("""COMPUTED_VALUE"""),"")</f>
        <v/>
      </c>
      <c r="K758" s="4" t="str">
        <f>IFERROR(__xludf.DUMMYFUNCTION("""COMPUTED_VALUE"""),"")</f>
        <v/>
      </c>
    </row>
    <row r="759">
      <c r="A759" s="4" t="str">
        <f>IFERROR(__xludf.DUMMYFUNCTION("""COMPUTED_VALUE"""),"")</f>
        <v/>
      </c>
      <c r="B759" s="4" t="str">
        <f>IFERROR(__xludf.DUMMYFUNCTION("""COMPUTED_VALUE"""),"")</f>
        <v/>
      </c>
      <c r="C759" s="4" t="str">
        <f>IFERROR(__xludf.DUMMYFUNCTION("""COMPUTED_VALUE"""),"")</f>
        <v/>
      </c>
      <c r="D759" s="4" t="str">
        <f>IFERROR(__xludf.DUMMYFUNCTION("""COMPUTED_VALUE"""),"")</f>
        <v/>
      </c>
      <c r="E759" s="4" t="str">
        <f>IFERROR(__xludf.DUMMYFUNCTION("""COMPUTED_VALUE"""),"")</f>
        <v/>
      </c>
      <c r="F759" s="4" t="str">
        <f>IFERROR(__xludf.DUMMYFUNCTION("""COMPUTED_VALUE"""),"")</f>
        <v/>
      </c>
      <c r="G759" s="4" t="str">
        <f>IFERROR(__xludf.DUMMYFUNCTION("""COMPUTED_VALUE"""),"")</f>
        <v/>
      </c>
      <c r="H759" s="4" t="str">
        <f>IFERROR(__xludf.DUMMYFUNCTION("""COMPUTED_VALUE"""),"")</f>
        <v/>
      </c>
      <c r="I759" s="4" t="str">
        <f>IFERROR(__xludf.DUMMYFUNCTION("""COMPUTED_VALUE"""),"")</f>
        <v/>
      </c>
      <c r="J759" s="4" t="str">
        <f>IFERROR(__xludf.DUMMYFUNCTION("""COMPUTED_VALUE"""),"")</f>
        <v/>
      </c>
      <c r="K759" s="4" t="str">
        <f>IFERROR(__xludf.DUMMYFUNCTION("""COMPUTED_VALUE"""),"")</f>
        <v/>
      </c>
    </row>
    <row r="760">
      <c r="A760" s="4" t="str">
        <f>IFERROR(__xludf.DUMMYFUNCTION("""COMPUTED_VALUE"""),"")</f>
        <v/>
      </c>
      <c r="B760" s="4" t="str">
        <f>IFERROR(__xludf.DUMMYFUNCTION("""COMPUTED_VALUE"""),"")</f>
        <v/>
      </c>
      <c r="C760" s="4" t="str">
        <f>IFERROR(__xludf.DUMMYFUNCTION("""COMPUTED_VALUE"""),"")</f>
        <v/>
      </c>
      <c r="D760" s="4" t="str">
        <f>IFERROR(__xludf.DUMMYFUNCTION("""COMPUTED_VALUE"""),"")</f>
        <v/>
      </c>
      <c r="E760" s="4" t="str">
        <f>IFERROR(__xludf.DUMMYFUNCTION("""COMPUTED_VALUE"""),"")</f>
        <v/>
      </c>
      <c r="F760" s="4" t="str">
        <f>IFERROR(__xludf.DUMMYFUNCTION("""COMPUTED_VALUE"""),"")</f>
        <v/>
      </c>
      <c r="G760" s="4" t="str">
        <f>IFERROR(__xludf.DUMMYFUNCTION("""COMPUTED_VALUE"""),"")</f>
        <v/>
      </c>
      <c r="H760" s="4" t="str">
        <f>IFERROR(__xludf.DUMMYFUNCTION("""COMPUTED_VALUE"""),"")</f>
        <v/>
      </c>
      <c r="I760" s="4" t="str">
        <f>IFERROR(__xludf.DUMMYFUNCTION("""COMPUTED_VALUE"""),"")</f>
        <v/>
      </c>
      <c r="J760" s="4" t="str">
        <f>IFERROR(__xludf.DUMMYFUNCTION("""COMPUTED_VALUE"""),"")</f>
        <v/>
      </c>
      <c r="K760" s="4" t="str">
        <f>IFERROR(__xludf.DUMMYFUNCTION("""COMPUTED_VALUE"""),"")</f>
        <v/>
      </c>
    </row>
    <row r="761">
      <c r="A761" s="4" t="str">
        <f>IFERROR(__xludf.DUMMYFUNCTION("""COMPUTED_VALUE"""),"")</f>
        <v/>
      </c>
      <c r="B761" s="4" t="str">
        <f>IFERROR(__xludf.DUMMYFUNCTION("""COMPUTED_VALUE"""),"")</f>
        <v/>
      </c>
      <c r="C761" s="4" t="str">
        <f>IFERROR(__xludf.DUMMYFUNCTION("""COMPUTED_VALUE"""),"")</f>
        <v/>
      </c>
      <c r="D761" s="4" t="str">
        <f>IFERROR(__xludf.DUMMYFUNCTION("""COMPUTED_VALUE"""),"")</f>
        <v/>
      </c>
      <c r="E761" s="4" t="str">
        <f>IFERROR(__xludf.DUMMYFUNCTION("""COMPUTED_VALUE"""),"")</f>
        <v/>
      </c>
      <c r="F761" s="4" t="str">
        <f>IFERROR(__xludf.DUMMYFUNCTION("""COMPUTED_VALUE"""),"")</f>
        <v/>
      </c>
      <c r="G761" s="4" t="str">
        <f>IFERROR(__xludf.DUMMYFUNCTION("""COMPUTED_VALUE"""),"")</f>
        <v/>
      </c>
      <c r="H761" s="4" t="str">
        <f>IFERROR(__xludf.DUMMYFUNCTION("""COMPUTED_VALUE"""),"")</f>
        <v/>
      </c>
      <c r="I761" s="4" t="str">
        <f>IFERROR(__xludf.DUMMYFUNCTION("""COMPUTED_VALUE"""),"")</f>
        <v/>
      </c>
      <c r="J761" s="4" t="str">
        <f>IFERROR(__xludf.DUMMYFUNCTION("""COMPUTED_VALUE"""),"")</f>
        <v/>
      </c>
      <c r="K761" s="4" t="str">
        <f>IFERROR(__xludf.DUMMYFUNCTION("""COMPUTED_VALUE"""),"")</f>
        <v/>
      </c>
    </row>
    <row r="762">
      <c r="A762" s="4" t="str">
        <f>IFERROR(__xludf.DUMMYFUNCTION("""COMPUTED_VALUE"""),"")</f>
        <v/>
      </c>
      <c r="B762" s="4" t="str">
        <f>IFERROR(__xludf.DUMMYFUNCTION("""COMPUTED_VALUE"""),"")</f>
        <v/>
      </c>
      <c r="C762" s="4" t="str">
        <f>IFERROR(__xludf.DUMMYFUNCTION("""COMPUTED_VALUE"""),"")</f>
        <v/>
      </c>
      <c r="D762" s="4" t="str">
        <f>IFERROR(__xludf.DUMMYFUNCTION("""COMPUTED_VALUE"""),"")</f>
        <v/>
      </c>
      <c r="E762" s="4" t="str">
        <f>IFERROR(__xludf.DUMMYFUNCTION("""COMPUTED_VALUE"""),"")</f>
        <v/>
      </c>
      <c r="F762" s="4" t="str">
        <f>IFERROR(__xludf.DUMMYFUNCTION("""COMPUTED_VALUE"""),"")</f>
        <v/>
      </c>
      <c r="G762" s="4" t="str">
        <f>IFERROR(__xludf.DUMMYFUNCTION("""COMPUTED_VALUE"""),"")</f>
        <v/>
      </c>
      <c r="H762" s="4" t="str">
        <f>IFERROR(__xludf.DUMMYFUNCTION("""COMPUTED_VALUE"""),"")</f>
        <v/>
      </c>
      <c r="I762" s="4" t="str">
        <f>IFERROR(__xludf.DUMMYFUNCTION("""COMPUTED_VALUE"""),"")</f>
        <v/>
      </c>
      <c r="J762" s="4" t="str">
        <f>IFERROR(__xludf.DUMMYFUNCTION("""COMPUTED_VALUE"""),"")</f>
        <v/>
      </c>
      <c r="K762" s="4" t="str">
        <f>IFERROR(__xludf.DUMMYFUNCTION("""COMPUTED_VALUE"""),"")</f>
        <v/>
      </c>
    </row>
    <row r="763">
      <c r="A763" s="4" t="str">
        <f>IFERROR(__xludf.DUMMYFUNCTION("""COMPUTED_VALUE"""),"")</f>
        <v/>
      </c>
      <c r="B763" s="4" t="str">
        <f>IFERROR(__xludf.DUMMYFUNCTION("""COMPUTED_VALUE"""),"")</f>
        <v/>
      </c>
      <c r="C763" s="4" t="str">
        <f>IFERROR(__xludf.DUMMYFUNCTION("""COMPUTED_VALUE"""),"")</f>
        <v/>
      </c>
      <c r="D763" s="4" t="str">
        <f>IFERROR(__xludf.DUMMYFUNCTION("""COMPUTED_VALUE"""),"")</f>
        <v/>
      </c>
      <c r="E763" s="4" t="str">
        <f>IFERROR(__xludf.DUMMYFUNCTION("""COMPUTED_VALUE"""),"")</f>
        <v/>
      </c>
      <c r="F763" s="4" t="str">
        <f>IFERROR(__xludf.DUMMYFUNCTION("""COMPUTED_VALUE"""),"")</f>
        <v/>
      </c>
      <c r="G763" s="4" t="str">
        <f>IFERROR(__xludf.DUMMYFUNCTION("""COMPUTED_VALUE"""),"")</f>
        <v/>
      </c>
      <c r="H763" s="4" t="str">
        <f>IFERROR(__xludf.DUMMYFUNCTION("""COMPUTED_VALUE"""),"")</f>
        <v/>
      </c>
      <c r="I763" s="4" t="str">
        <f>IFERROR(__xludf.DUMMYFUNCTION("""COMPUTED_VALUE"""),"")</f>
        <v/>
      </c>
      <c r="J763" s="4" t="str">
        <f>IFERROR(__xludf.DUMMYFUNCTION("""COMPUTED_VALUE"""),"")</f>
        <v/>
      </c>
      <c r="K763" s="4" t="str">
        <f>IFERROR(__xludf.DUMMYFUNCTION("""COMPUTED_VALUE"""),"")</f>
        <v/>
      </c>
    </row>
    <row r="764">
      <c r="A764" s="4" t="str">
        <f>IFERROR(__xludf.DUMMYFUNCTION("""COMPUTED_VALUE"""),"")</f>
        <v/>
      </c>
      <c r="B764" s="4" t="str">
        <f>IFERROR(__xludf.DUMMYFUNCTION("""COMPUTED_VALUE"""),"")</f>
        <v/>
      </c>
      <c r="C764" s="4" t="str">
        <f>IFERROR(__xludf.DUMMYFUNCTION("""COMPUTED_VALUE"""),"")</f>
        <v/>
      </c>
      <c r="D764" s="4" t="str">
        <f>IFERROR(__xludf.DUMMYFUNCTION("""COMPUTED_VALUE"""),"")</f>
        <v/>
      </c>
      <c r="E764" s="4" t="str">
        <f>IFERROR(__xludf.DUMMYFUNCTION("""COMPUTED_VALUE"""),"")</f>
        <v/>
      </c>
      <c r="F764" s="4" t="str">
        <f>IFERROR(__xludf.DUMMYFUNCTION("""COMPUTED_VALUE"""),"")</f>
        <v/>
      </c>
      <c r="G764" s="4" t="str">
        <f>IFERROR(__xludf.DUMMYFUNCTION("""COMPUTED_VALUE"""),"")</f>
        <v/>
      </c>
      <c r="H764" s="4" t="str">
        <f>IFERROR(__xludf.DUMMYFUNCTION("""COMPUTED_VALUE"""),"")</f>
        <v/>
      </c>
      <c r="I764" s="4" t="str">
        <f>IFERROR(__xludf.DUMMYFUNCTION("""COMPUTED_VALUE"""),"")</f>
        <v/>
      </c>
      <c r="J764" s="4" t="str">
        <f>IFERROR(__xludf.DUMMYFUNCTION("""COMPUTED_VALUE"""),"")</f>
        <v/>
      </c>
      <c r="K764" s="4" t="str">
        <f>IFERROR(__xludf.DUMMYFUNCTION("""COMPUTED_VALUE"""),"")</f>
        <v/>
      </c>
    </row>
    <row r="765">
      <c r="A765" s="4" t="str">
        <f>IFERROR(__xludf.DUMMYFUNCTION("""COMPUTED_VALUE"""),"")</f>
        <v/>
      </c>
      <c r="B765" s="4" t="str">
        <f>IFERROR(__xludf.DUMMYFUNCTION("""COMPUTED_VALUE"""),"")</f>
        <v/>
      </c>
      <c r="C765" s="4" t="str">
        <f>IFERROR(__xludf.DUMMYFUNCTION("""COMPUTED_VALUE"""),"")</f>
        <v/>
      </c>
      <c r="D765" s="4" t="str">
        <f>IFERROR(__xludf.DUMMYFUNCTION("""COMPUTED_VALUE"""),"")</f>
        <v/>
      </c>
      <c r="E765" s="4" t="str">
        <f>IFERROR(__xludf.DUMMYFUNCTION("""COMPUTED_VALUE"""),"")</f>
        <v/>
      </c>
      <c r="F765" s="4" t="str">
        <f>IFERROR(__xludf.DUMMYFUNCTION("""COMPUTED_VALUE"""),"")</f>
        <v/>
      </c>
      <c r="G765" s="4" t="str">
        <f>IFERROR(__xludf.DUMMYFUNCTION("""COMPUTED_VALUE"""),"")</f>
        <v/>
      </c>
      <c r="H765" s="4" t="str">
        <f>IFERROR(__xludf.DUMMYFUNCTION("""COMPUTED_VALUE"""),"")</f>
        <v/>
      </c>
      <c r="I765" s="4" t="str">
        <f>IFERROR(__xludf.DUMMYFUNCTION("""COMPUTED_VALUE"""),"")</f>
        <v/>
      </c>
      <c r="J765" s="4" t="str">
        <f>IFERROR(__xludf.DUMMYFUNCTION("""COMPUTED_VALUE"""),"")</f>
        <v/>
      </c>
      <c r="K765" s="4" t="str">
        <f>IFERROR(__xludf.DUMMYFUNCTION("""COMPUTED_VALUE"""),"")</f>
        <v/>
      </c>
    </row>
    <row r="766">
      <c r="A766" s="4" t="str">
        <f>IFERROR(__xludf.DUMMYFUNCTION("""COMPUTED_VALUE"""),"")</f>
        <v/>
      </c>
      <c r="B766" s="4" t="str">
        <f>IFERROR(__xludf.DUMMYFUNCTION("""COMPUTED_VALUE"""),"")</f>
        <v/>
      </c>
      <c r="C766" s="4" t="str">
        <f>IFERROR(__xludf.DUMMYFUNCTION("""COMPUTED_VALUE"""),"")</f>
        <v/>
      </c>
      <c r="D766" s="4" t="str">
        <f>IFERROR(__xludf.DUMMYFUNCTION("""COMPUTED_VALUE"""),"")</f>
        <v/>
      </c>
      <c r="E766" s="4" t="str">
        <f>IFERROR(__xludf.DUMMYFUNCTION("""COMPUTED_VALUE"""),"")</f>
        <v/>
      </c>
      <c r="F766" s="4" t="str">
        <f>IFERROR(__xludf.DUMMYFUNCTION("""COMPUTED_VALUE"""),"")</f>
        <v/>
      </c>
      <c r="G766" s="4" t="str">
        <f>IFERROR(__xludf.DUMMYFUNCTION("""COMPUTED_VALUE"""),"")</f>
        <v/>
      </c>
      <c r="H766" s="4" t="str">
        <f>IFERROR(__xludf.DUMMYFUNCTION("""COMPUTED_VALUE"""),"")</f>
        <v/>
      </c>
      <c r="I766" s="4" t="str">
        <f>IFERROR(__xludf.DUMMYFUNCTION("""COMPUTED_VALUE"""),"")</f>
        <v/>
      </c>
      <c r="J766" s="4" t="str">
        <f>IFERROR(__xludf.DUMMYFUNCTION("""COMPUTED_VALUE"""),"")</f>
        <v/>
      </c>
      <c r="K766" s="4" t="str">
        <f>IFERROR(__xludf.DUMMYFUNCTION("""COMPUTED_VALUE"""),"")</f>
        <v/>
      </c>
    </row>
    <row r="767">
      <c r="A767" s="4" t="str">
        <f>IFERROR(__xludf.DUMMYFUNCTION("""COMPUTED_VALUE"""),"")</f>
        <v/>
      </c>
      <c r="B767" s="4" t="str">
        <f>IFERROR(__xludf.DUMMYFUNCTION("""COMPUTED_VALUE"""),"")</f>
        <v/>
      </c>
      <c r="C767" s="4" t="str">
        <f>IFERROR(__xludf.DUMMYFUNCTION("""COMPUTED_VALUE"""),"")</f>
        <v/>
      </c>
      <c r="D767" s="4" t="str">
        <f>IFERROR(__xludf.DUMMYFUNCTION("""COMPUTED_VALUE"""),"")</f>
        <v/>
      </c>
      <c r="E767" s="4" t="str">
        <f>IFERROR(__xludf.DUMMYFUNCTION("""COMPUTED_VALUE"""),"")</f>
        <v/>
      </c>
      <c r="F767" s="4" t="str">
        <f>IFERROR(__xludf.DUMMYFUNCTION("""COMPUTED_VALUE"""),"")</f>
        <v/>
      </c>
      <c r="G767" s="4" t="str">
        <f>IFERROR(__xludf.DUMMYFUNCTION("""COMPUTED_VALUE"""),"")</f>
        <v/>
      </c>
      <c r="H767" s="4" t="str">
        <f>IFERROR(__xludf.DUMMYFUNCTION("""COMPUTED_VALUE"""),"")</f>
        <v/>
      </c>
      <c r="I767" s="4" t="str">
        <f>IFERROR(__xludf.DUMMYFUNCTION("""COMPUTED_VALUE"""),"")</f>
        <v/>
      </c>
      <c r="J767" s="4" t="str">
        <f>IFERROR(__xludf.DUMMYFUNCTION("""COMPUTED_VALUE"""),"")</f>
        <v/>
      </c>
      <c r="K767" s="4" t="str">
        <f>IFERROR(__xludf.DUMMYFUNCTION("""COMPUTED_VALUE"""),"")</f>
        <v/>
      </c>
    </row>
    <row r="768">
      <c r="A768" s="4" t="str">
        <f>IFERROR(__xludf.DUMMYFUNCTION("""COMPUTED_VALUE"""),"")</f>
        <v/>
      </c>
      <c r="B768" s="4" t="str">
        <f>IFERROR(__xludf.DUMMYFUNCTION("""COMPUTED_VALUE"""),"")</f>
        <v/>
      </c>
      <c r="C768" s="4" t="str">
        <f>IFERROR(__xludf.DUMMYFUNCTION("""COMPUTED_VALUE"""),"")</f>
        <v/>
      </c>
      <c r="D768" s="4" t="str">
        <f>IFERROR(__xludf.DUMMYFUNCTION("""COMPUTED_VALUE"""),"")</f>
        <v/>
      </c>
      <c r="E768" s="4" t="str">
        <f>IFERROR(__xludf.DUMMYFUNCTION("""COMPUTED_VALUE"""),"")</f>
        <v/>
      </c>
      <c r="F768" s="4" t="str">
        <f>IFERROR(__xludf.DUMMYFUNCTION("""COMPUTED_VALUE"""),"")</f>
        <v/>
      </c>
      <c r="G768" s="4" t="str">
        <f>IFERROR(__xludf.DUMMYFUNCTION("""COMPUTED_VALUE"""),"")</f>
        <v/>
      </c>
      <c r="H768" s="4" t="str">
        <f>IFERROR(__xludf.DUMMYFUNCTION("""COMPUTED_VALUE"""),"")</f>
        <v/>
      </c>
      <c r="I768" s="4" t="str">
        <f>IFERROR(__xludf.DUMMYFUNCTION("""COMPUTED_VALUE"""),"")</f>
        <v/>
      </c>
      <c r="J768" s="4" t="str">
        <f>IFERROR(__xludf.DUMMYFUNCTION("""COMPUTED_VALUE"""),"")</f>
        <v/>
      </c>
      <c r="K768" s="4" t="str">
        <f>IFERROR(__xludf.DUMMYFUNCTION("""COMPUTED_VALUE"""),"")</f>
        <v/>
      </c>
    </row>
    <row r="769">
      <c r="A769" s="4" t="str">
        <f>IFERROR(__xludf.DUMMYFUNCTION("""COMPUTED_VALUE"""),"")</f>
        <v/>
      </c>
      <c r="B769" s="4" t="str">
        <f>IFERROR(__xludf.DUMMYFUNCTION("""COMPUTED_VALUE"""),"")</f>
        <v/>
      </c>
      <c r="C769" s="4" t="str">
        <f>IFERROR(__xludf.DUMMYFUNCTION("""COMPUTED_VALUE"""),"")</f>
        <v/>
      </c>
      <c r="D769" s="4" t="str">
        <f>IFERROR(__xludf.DUMMYFUNCTION("""COMPUTED_VALUE"""),"")</f>
        <v/>
      </c>
      <c r="E769" s="4" t="str">
        <f>IFERROR(__xludf.DUMMYFUNCTION("""COMPUTED_VALUE"""),"")</f>
        <v/>
      </c>
      <c r="F769" s="4" t="str">
        <f>IFERROR(__xludf.DUMMYFUNCTION("""COMPUTED_VALUE"""),"")</f>
        <v/>
      </c>
      <c r="G769" s="4" t="str">
        <f>IFERROR(__xludf.DUMMYFUNCTION("""COMPUTED_VALUE"""),"")</f>
        <v/>
      </c>
      <c r="H769" s="4" t="str">
        <f>IFERROR(__xludf.DUMMYFUNCTION("""COMPUTED_VALUE"""),"")</f>
        <v/>
      </c>
      <c r="I769" s="4" t="str">
        <f>IFERROR(__xludf.DUMMYFUNCTION("""COMPUTED_VALUE"""),"")</f>
        <v/>
      </c>
      <c r="J769" s="4" t="str">
        <f>IFERROR(__xludf.DUMMYFUNCTION("""COMPUTED_VALUE"""),"")</f>
        <v/>
      </c>
      <c r="K769" s="4" t="str">
        <f>IFERROR(__xludf.DUMMYFUNCTION("""COMPUTED_VALUE"""),"")</f>
        <v/>
      </c>
    </row>
    <row r="770">
      <c r="A770" s="4" t="str">
        <f>IFERROR(__xludf.DUMMYFUNCTION("""COMPUTED_VALUE"""),"")</f>
        <v/>
      </c>
      <c r="B770" s="4" t="str">
        <f>IFERROR(__xludf.DUMMYFUNCTION("""COMPUTED_VALUE"""),"")</f>
        <v/>
      </c>
      <c r="C770" s="4" t="str">
        <f>IFERROR(__xludf.DUMMYFUNCTION("""COMPUTED_VALUE"""),"")</f>
        <v/>
      </c>
      <c r="D770" s="4" t="str">
        <f>IFERROR(__xludf.DUMMYFUNCTION("""COMPUTED_VALUE"""),"")</f>
        <v/>
      </c>
      <c r="E770" s="4" t="str">
        <f>IFERROR(__xludf.DUMMYFUNCTION("""COMPUTED_VALUE"""),"")</f>
        <v/>
      </c>
      <c r="F770" s="4" t="str">
        <f>IFERROR(__xludf.DUMMYFUNCTION("""COMPUTED_VALUE"""),"")</f>
        <v/>
      </c>
      <c r="G770" s="4" t="str">
        <f>IFERROR(__xludf.DUMMYFUNCTION("""COMPUTED_VALUE"""),"")</f>
        <v/>
      </c>
      <c r="H770" s="4" t="str">
        <f>IFERROR(__xludf.DUMMYFUNCTION("""COMPUTED_VALUE"""),"")</f>
        <v/>
      </c>
      <c r="I770" s="4" t="str">
        <f>IFERROR(__xludf.DUMMYFUNCTION("""COMPUTED_VALUE"""),"")</f>
        <v/>
      </c>
      <c r="J770" s="4" t="str">
        <f>IFERROR(__xludf.DUMMYFUNCTION("""COMPUTED_VALUE"""),"")</f>
        <v/>
      </c>
      <c r="K770" s="4" t="str">
        <f>IFERROR(__xludf.DUMMYFUNCTION("""COMPUTED_VALUE"""),"")</f>
        <v/>
      </c>
    </row>
    <row r="771">
      <c r="A771" s="4" t="str">
        <f>IFERROR(__xludf.DUMMYFUNCTION("""COMPUTED_VALUE"""),"")</f>
        <v/>
      </c>
      <c r="B771" s="4" t="str">
        <f>IFERROR(__xludf.DUMMYFUNCTION("""COMPUTED_VALUE"""),"")</f>
        <v/>
      </c>
      <c r="C771" s="4" t="str">
        <f>IFERROR(__xludf.DUMMYFUNCTION("""COMPUTED_VALUE"""),"")</f>
        <v/>
      </c>
      <c r="D771" s="4" t="str">
        <f>IFERROR(__xludf.DUMMYFUNCTION("""COMPUTED_VALUE"""),"")</f>
        <v/>
      </c>
      <c r="E771" s="4" t="str">
        <f>IFERROR(__xludf.DUMMYFUNCTION("""COMPUTED_VALUE"""),"")</f>
        <v/>
      </c>
      <c r="F771" s="4" t="str">
        <f>IFERROR(__xludf.DUMMYFUNCTION("""COMPUTED_VALUE"""),"")</f>
        <v/>
      </c>
      <c r="G771" s="4" t="str">
        <f>IFERROR(__xludf.DUMMYFUNCTION("""COMPUTED_VALUE"""),"")</f>
        <v/>
      </c>
      <c r="H771" s="4" t="str">
        <f>IFERROR(__xludf.DUMMYFUNCTION("""COMPUTED_VALUE"""),"")</f>
        <v/>
      </c>
      <c r="I771" s="4" t="str">
        <f>IFERROR(__xludf.DUMMYFUNCTION("""COMPUTED_VALUE"""),"")</f>
        <v/>
      </c>
      <c r="J771" s="4" t="str">
        <f>IFERROR(__xludf.DUMMYFUNCTION("""COMPUTED_VALUE"""),"")</f>
        <v/>
      </c>
      <c r="K771" s="4" t="str">
        <f>IFERROR(__xludf.DUMMYFUNCTION("""COMPUTED_VALUE"""),"")</f>
        <v/>
      </c>
    </row>
    <row r="772">
      <c r="A772" s="4" t="str">
        <f>IFERROR(__xludf.DUMMYFUNCTION("""COMPUTED_VALUE"""),"")</f>
        <v/>
      </c>
      <c r="B772" s="4" t="str">
        <f>IFERROR(__xludf.DUMMYFUNCTION("""COMPUTED_VALUE"""),"")</f>
        <v/>
      </c>
      <c r="C772" s="4" t="str">
        <f>IFERROR(__xludf.DUMMYFUNCTION("""COMPUTED_VALUE"""),"")</f>
        <v/>
      </c>
      <c r="D772" s="4" t="str">
        <f>IFERROR(__xludf.DUMMYFUNCTION("""COMPUTED_VALUE"""),"")</f>
        <v/>
      </c>
      <c r="E772" s="4" t="str">
        <f>IFERROR(__xludf.DUMMYFUNCTION("""COMPUTED_VALUE"""),"")</f>
        <v/>
      </c>
      <c r="F772" s="4" t="str">
        <f>IFERROR(__xludf.DUMMYFUNCTION("""COMPUTED_VALUE"""),"")</f>
        <v/>
      </c>
      <c r="G772" s="4" t="str">
        <f>IFERROR(__xludf.DUMMYFUNCTION("""COMPUTED_VALUE"""),"")</f>
        <v/>
      </c>
      <c r="H772" s="4" t="str">
        <f>IFERROR(__xludf.DUMMYFUNCTION("""COMPUTED_VALUE"""),"")</f>
        <v/>
      </c>
      <c r="I772" s="4" t="str">
        <f>IFERROR(__xludf.DUMMYFUNCTION("""COMPUTED_VALUE"""),"")</f>
        <v/>
      </c>
      <c r="J772" s="4" t="str">
        <f>IFERROR(__xludf.DUMMYFUNCTION("""COMPUTED_VALUE"""),"")</f>
        <v/>
      </c>
      <c r="K772" s="4" t="str">
        <f>IFERROR(__xludf.DUMMYFUNCTION("""COMPUTED_VALUE"""),"")</f>
        <v/>
      </c>
    </row>
    <row r="773">
      <c r="A773" s="4" t="str">
        <f>IFERROR(__xludf.DUMMYFUNCTION("""COMPUTED_VALUE"""),"")</f>
        <v/>
      </c>
      <c r="B773" s="4" t="str">
        <f>IFERROR(__xludf.DUMMYFUNCTION("""COMPUTED_VALUE"""),"")</f>
        <v/>
      </c>
      <c r="C773" s="4" t="str">
        <f>IFERROR(__xludf.DUMMYFUNCTION("""COMPUTED_VALUE"""),"")</f>
        <v/>
      </c>
      <c r="D773" s="4" t="str">
        <f>IFERROR(__xludf.DUMMYFUNCTION("""COMPUTED_VALUE"""),"")</f>
        <v/>
      </c>
      <c r="E773" s="4" t="str">
        <f>IFERROR(__xludf.DUMMYFUNCTION("""COMPUTED_VALUE"""),"")</f>
        <v/>
      </c>
      <c r="F773" s="4" t="str">
        <f>IFERROR(__xludf.DUMMYFUNCTION("""COMPUTED_VALUE"""),"")</f>
        <v/>
      </c>
      <c r="G773" s="4" t="str">
        <f>IFERROR(__xludf.DUMMYFUNCTION("""COMPUTED_VALUE"""),"")</f>
        <v/>
      </c>
      <c r="H773" s="4" t="str">
        <f>IFERROR(__xludf.DUMMYFUNCTION("""COMPUTED_VALUE"""),"")</f>
        <v/>
      </c>
      <c r="I773" s="4" t="str">
        <f>IFERROR(__xludf.DUMMYFUNCTION("""COMPUTED_VALUE"""),"")</f>
        <v/>
      </c>
      <c r="J773" s="4" t="str">
        <f>IFERROR(__xludf.DUMMYFUNCTION("""COMPUTED_VALUE"""),"")</f>
        <v/>
      </c>
      <c r="K773" s="4" t="str">
        <f>IFERROR(__xludf.DUMMYFUNCTION("""COMPUTED_VALUE"""),"")</f>
        <v/>
      </c>
    </row>
    <row r="774">
      <c r="A774" s="4" t="str">
        <f>IFERROR(__xludf.DUMMYFUNCTION("""COMPUTED_VALUE"""),"")</f>
        <v/>
      </c>
      <c r="B774" s="4" t="str">
        <f>IFERROR(__xludf.DUMMYFUNCTION("""COMPUTED_VALUE"""),"")</f>
        <v/>
      </c>
      <c r="C774" s="4" t="str">
        <f>IFERROR(__xludf.DUMMYFUNCTION("""COMPUTED_VALUE"""),"")</f>
        <v/>
      </c>
      <c r="D774" s="4" t="str">
        <f>IFERROR(__xludf.DUMMYFUNCTION("""COMPUTED_VALUE"""),"")</f>
        <v/>
      </c>
      <c r="E774" s="4" t="str">
        <f>IFERROR(__xludf.DUMMYFUNCTION("""COMPUTED_VALUE"""),"")</f>
        <v/>
      </c>
      <c r="F774" s="4" t="str">
        <f>IFERROR(__xludf.DUMMYFUNCTION("""COMPUTED_VALUE"""),"")</f>
        <v/>
      </c>
      <c r="G774" s="4" t="str">
        <f>IFERROR(__xludf.DUMMYFUNCTION("""COMPUTED_VALUE"""),"")</f>
        <v/>
      </c>
      <c r="H774" s="4" t="str">
        <f>IFERROR(__xludf.DUMMYFUNCTION("""COMPUTED_VALUE"""),"")</f>
        <v/>
      </c>
      <c r="I774" s="4" t="str">
        <f>IFERROR(__xludf.DUMMYFUNCTION("""COMPUTED_VALUE"""),"")</f>
        <v/>
      </c>
      <c r="J774" s="4" t="str">
        <f>IFERROR(__xludf.DUMMYFUNCTION("""COMPUTED_VALUE"""),"")</f>
        <v/>
      </c>
      <c r="K774" s="4" t="str">
        <f>IFERROR(__xludf.DUMMYFUNCTION("""COMPUTED_VALUE"""),"")</f>
        <v/>
      </c>
    </row>
    <row r="775">
      <c r="A775" s="4" t="str">
        <f>IFERROR(__xludf.DUMMYFUNCTION("""COMPUTED_VALUE"""),"")</f>
        <v/>
      </c>
      <c r="B775" s="4" t="str">
        <f>IFERROR(__xludf.DUMMYFUNCTION("""COMPUTED_VALUE"""),"")</f>
        <v/>
      </c>
      <c r="C775" s="4" t="str">
        <f>IFERROR(__xludf.DUMMYFUNCTION("""COMPUTED_VALUE"""),"")</f>
        <v/>
      </c>
      <c r="D775" s="4" t="str">
        <f>IFERROR(__xludf.DUMMYFUNCTION("""COMPUTED_VALUE"""),"")</f>
        <v/>
      </c>
      <c r="E775" s="4" t="str">
        <f>IFERROR(__xludf.DUMMYFUNCTION("""COMPUTED_VALUE"""),"")</f>
        <v/>
      </c>
      <c r="F775" s="4" t="str">
        <f>IFERROR(__xludf.DUMMYFUNCTION("""COMPUTED_VALUE"""),"")</f>
        <v/>
      </c>
      <c r="G775" s="4" t="str">
        <f>IFERROR(__xludf.DUMMYFUNCTION("""COMPUTED_VALUE"""),"")</f>
        <v/>
      </c>
      <c r="H775" s="4" t="str">
        <f>IFERROR(__xludf.DUMMYFUNCTION("""COMPUTED_VALUE"""),"")</f>
        <v/>
      </c>
      <c r="I775" s="4" t="str">
        <f>IFERROR(__xludf.DUMMYFUNCTION("""COMPUTED_VALUE"""),"")</f>
        <v/>
      </c>
      <c r="J775" s="4" t="str">
        <f>IFERROR(__xludf.DUMMYFUNCTION("""COMPUTED_VALUE"""),"")</f>
        <v/>
      </c>
      <c r="K775" s="4" t="str">
        <f>IFERROR(__xludf.DUMMYFUNCTION("""COMPUTED_VALUE"""),"")</f>
        <v/>
      </c>
    </row>
    <row r="776">
      <c r="A776" s="4" t="str">
        <f>IFERROR(__xludf.DUMMYFUNCTION("""COMPUTED_VALUE"""),"")</f>
        <v/>
      </c>
      <c r="B776" s="4" t="str">
        <f>IFERROR(__xludf.DUMMYFUNCTION("""COMPUTED_VALUE"""),"")</f>
        <v/>
      </c>
      <c r="C776" s="4" t="str">
        <f>IFERROR(__xludf.DUMMYFUNCTION("""COMPUTED_VALUE"""),"")</f>
        <v/>
      </c>
      <c r="D776" s="4" t="str">
        <f>IFERROR(__xludf.DUMMYFUNCTION("""COMPUTED_VALUE"""),"")</f>
        <v/>
      </c>
      <c r="E776" s="4" t="str">
        <f>IFERROR(__xludf.DUMMYFUNCTION("""COMPUTED_VALUE"""),"")</f>
        <v/>
      </c>
      <c r="F776" s="4" t="str">
        <f>IFERROR(__xludf.DUMMYFUNCTION("""COMPUTED_VALUE"""),"")</f>
        <v/>
      </c>
      <c r="G776" s="4" t="str">
        <f>IFERROR(__xludf.DUMMYFUNCTION("""COMPUTED_VALUE"""),"")</f>
        <v/>
      </c>
      <c r="H776" s="4" t="str">
        <f>IFERROR(__xludf.DUMMYFUNCTION("""COMPUTED_VALUE"""),"")</f>
        <v/>
      </c>
      <c r="I776" s="4" t="str">
        <f>IFERROR(__xludf.DUMMYFUNCTION("""COMPUTED_VALUE"""),"")</f>
        <v/>
      </c>
      <c r="J776" s="4" t="str">
        <f>IFERROR(__xludf.DUMMYFUNCTION("""COMPUTED_VALUE"""),"")</f>
        <v/>
      </c>
      <c r="K776" s="4" t="str">
        <f>IFERROR(__xludf.DUMMYFUNCTION("""COMPUTED_VALUE"""),"")</f>
        <v/>
      </c>
    </row>
    <row r="777">
      <c r="A777" s="4" t="str">
        <f>IFERROR(__xludf.DUMMYFUNCTION("""COMPUTED_VALUE"""),"")</f>
        <v/>
      </c>
      <c r="B777" s="4" t="str">
        <f>IFERROR(__xludf.DUMMYFUNCTION("""COMPUTED_VALUE"""),"")</f>
        <v/>
      </c>
      <c r="C777" s="4" t="str">
        <f>IFERROR(__xludf.DUMMYFUNCTION("""COMPUTED_VALUE"""),"")</f>
        <v/>
      </c>
      <c r="D777" s="4" t="str">
        <f>IFERROR(__xludf.DUMMYFUNCTION("""COMPUTED_VALUE"""),"")</f>
        <v/>
      </c>
      <c r="E777" s="4" t="str">
        <f>IFERROR(__xludf.DUMMYFUNCTION("""COMPUTED_VALUE"""),"")</f>
        <v/>
      </c>
      <c r="F777" s="4" t="str">
        <f>IFERROR(__xludf.DUMMYFUNCTION("""COMPUTED_VALUE"""),"")</f>
        <v/>
      </c>
      <c r="G777" s="4" t="str">
        <f>IFERROR(__xludf.DUMMYFUNCTION("""COMPUTED_VALUE"""),"")</f>
        <v/>
      </c>
      <c r="H777" s="4" t="str">
        <f>IFERROR(__xludf.DUMMYFUNCTION("""COMPUTED_VALUE"""),"")</f>
        <v/>
      </c>
      <c r="I777" s="4" t="str">
        <f>IFERROR(__xludf.DUMMYFUNCTION("""COMPUTED_VALUE"""),"")</f>
        <v/>
      </c>
      <c r="J777" s="4" t="str">
        <f>IFERROR(__xludf.DUMMYFUNCTION("""COMPUTED_VALUE"""),"")</f>
        <v/>
      </c>
      <c r="K777" s="4" t="str">
        <f>IFERROR(__xludf.DUMMYFUNCTION("""COMPUTED_VALUE"""),"")</f>
        <v/>
      </c>
    </row>
    <row r="778">
      <c r="A778" s="4" t="str">
        <f>IFERROR(__xludf.DUMMYFUNCTION("""COMPUTED_VALUE"""),"")</f>
        <v/>
      </c>
      <c r="B778" s="4" t="str">
        <f>IFERROR(__xludf.DUMMYFUNCTION("""COMPUTED_VALUE"""),"")</f>
        <v/>
      </c>
      <c r="C778" s="4" t="str">
        <f>IFERROR(__xludf.DUMMYFUNCTION("""COMPUTED_VALUE"""),"")</f>
        <v/>
      </c>
      <c r="D778" s="4" t="str">
        <f>IFERROR(__xludf.DUMMYFUNCTION("""COMPUTED_VALUE"""),"")</f>
        <v/>
      </c>
      <c r="E778" s="4" t="str">
        <f>IFERROR(__xludf.DUMMYFUNCTION("""COMPUTED_VALUE"""),"")</f>
        <v/>
      </c>
      <c r="F778" s="4" t="str">
        <f>IFERROR(__xludf.DUMMYFUNCTION("""COMPUTED_VALUE"""),"")</f>
        <v/>
      </c>
      <c r="G778" s="4" t="str">
        <f>IFERROR(__xludf.DUMMYFUNCTION("""COMPUTED_VALUE"""),"")</f>
        <v/>
      </c>
      <c r="H778" s="4" t="str">
        <f>IFERROR(__xludf.DUMMYFUNCTION("""COMPUTED_VALUE"""),"")</f>
        <v/>
      </c>
      <c r="I778" s="4" t="str">
        <f>IFERROR(__xludf.DUMMYFUNCTION("""COMPUTED_VALUE"""),"")</f>
        <v/>
      </c>
      <c r="J778" s="4" t="str">
        <f>IFERROR(__xludf.DUMMYFUNCTION("""COMPUTED_VALUE"""),"")</f>
        <v/>
      </c>
      <c r="K778" s="4" t="str">
        <f>IFERROR(__xludf.DUMMYFUNCTION("""COMPUTED_VALUE"""),"")</f>
        <v/>
      </c>
    </row>
    <row r="779">
      <c r="A779" s="4" t="str">
        <f>IFERROR(__xludf.DUMMYFUNCTION("""COMPUTED_VALUE"""),"")</f>
        <v/>
      </c>
      <c r="B779" s="4" t="str">
        <f>IFERROR(__xludf.DUMMYFUNCTION("""COMPUTED_VALUE"""),"")</f>
        <v/>
      </c>
      <c r="C779" s="4" t="str">
        <f>IFERROR(__xludf.DUMMYFUNCTION("""COMPUTED_VALUE"""),"")</f>
        <v/>
      </c>
      <c r="D779" s="4" t="str">
        <f>IFERROR(__xludf.DUMMYFUNCTION("""COMPUTED_VALUE"""),"")</f>
        <v/>
      </c>
      <c r="E779" s="4" t="str">
        <f>IFERROR(__xludf.DUMMYFUNCTION("""COMPUTED_VALUE"""),"")</f>
        <v/>
      </c>
      <c r="F779" s="4" t="str">
        <f>IFERROR(__xludf.DUMMYFUNCTION("""COMPUTED_VALUE"""),"")</f>
        <v/>
      </c>
      <c r="G779" s="4" t="str">
        <f>IFERROR(__xludf.DUMMYFUNCTION("""COMPUTED_VALUE"""),"")</f>
        <v/>
      </c>
      <c r="H779" s="4" t="str">
        <f>IFERROR(__xludf.DUMMYFUNCTION("""COMPUTED_VALUE"""),"")</f>
        <v/>
      </c>
      <c r="I779" s="4" t="str">
        <f>IFERROR(__xludf.DUMMYFUNCTION("""COMPUTED_VALUE"""),"")</f>
        <v/>
      </c>
      <c r="J779" s="4" t="str">
        <f>IFERROR(__xludf.DUMMYFUNCTION("""COMPUTED_VALUE"""),"")</f>
        <v/>
      </c>
      <c r="K779" s="4" t="str">
        <f>IFERROR(__xludf.DUMMYFUNCTION("""COMPUTED_VALUE"""),"")</f>
        <v/>
      </c>
    </row>
    <row r="780">
      <c r="A780" s="4" t="str">
        <f>IFERROR(__xludf.DUMMYFUNCTION("""COMPUTED_VALUE"""),"")</f>
        <v/>
      </c>
      <c r="B780" s="4" t="str">
        <f>IFERROR(__xludf.DUMMYFUNCTION("""COMPUTED_VALUE"""),"")</f>
        <v/>
      </c>
      <c r="C780" s="4" t="str">
        <f>IFERROR(__xludf.DUMMYFUNCTION("""COMPUTED_VALUE"""),"")</f>
        <v/>
      </c>
      <c r="D780" s="4" t="str">
        <f>IFERROR(__xludf.DUMMYFUNCTION("""COMPUTED_VALUE"""),"")</f>
        <v/>
      </c>
      <c r="E780" s="4" t="str">
        <f>IFERROR(__xludf.DUMMYFUNCTION("""COMPUTED_VALUE"""),"")</f>
        <v/>
      </c>
      <c r="F780" s="4" t="str">
        <f>IFERROR(__xludf.DUMMYFUNCTION("""COMPUTED_VALUE"""),"")</f>
        <v/>
      </c>
      <c r="G780" s="4" t="str">
        <f>IFERROR(__xludf.DUMMYFUNCTION("""COMPUTED_VALUE"""),"")</f>
        <v/>
      </c>
      <c r="H780" s="4" t="str">
        <f>IFERROR(__xludf.DUMMYFUNCTION("""COMPUTED_VALUE"""),"")</f>
        <v/>
      </c>
      <c r="I780" s="4" t="str">
        <f>IFERROR(__xludf.DUMMYFUNCTION("""COMPUTED_VALUE"""),"")</f>
        <v/>
      </c>
      <c r="J780" s="4" t="str">
        <f>IFERROR(__xludf.DUMMYFUNCTION("""COMPUTED_VALUE"""),"")</f>
        <v/>
      </c>
      <c r="K780" s="4" t="str">
        <f>IFERROR(__xludf.DUMMYFUNCTION("""COMPUTED_VALUE"""),"")</f>
        <v/>
      </c>
    </row>
    <row r="781">
      <c r="A781" s="4" t="str">
        <f>IFERROR(__xludf.DUMMYFUNCTION("""COMPUTED_VALUE"""),"")</f>
        <v/>
      </c>
      <c r="B781" s="4" t="str">
        <f>IFERROR(__xludf.DUMMYFUNCTION("""COMPUTED_VALUE"""),"")</f>
        <v/>
      </c>
      <c r="C781" s="4" t="str">
        <f>IFERROR(__xludf.DUMMYFUNCTION("""COMPUTED_VALUE"""),"")</f>
        <v/>
      </c>
      <c r="D781" s="4" t="str">
        <f>IFERROR(__xludf.DUMMYFUNCTION("""COMPUTED_VALUE"""),"")</f>
        <v/>
      </c>
      <c r="E781" s="4" t="str">
        <f>IFERROR(__xludf.DUMMYFUNCTION("""COMPUTED_VALUE"""),"")</f>
        <v/>
      </c>
      <c r="F781" s="4" t="str">
        <f>IFERROR(__xludf.DUMMYFUNCTION("""COMPUTED_VALUE"""),"")</f>
        <v/>
      </c>
      <c r="G781" s="4" t="str">
        <f>IFERROR(__xludf.DUMMYFUNCTION("""COMPUTED_VALUE"""),"")</f>
        <v/>
      </c>
      <c r="H781" s="4" t="str">
        <f>IFERROR(__xludf.DUMMYFUNCTION("""COMPUTED_VALUE"""),"")</f>
        <v/>
      </c>
      <c r="I781" s="4" t="str">
        <f>IFERROR(__xludf.DUMMYFUNCTION("""COMPUTED_VALUE"""),"")</f>
        <v/>
      </c>
      <c r="J781" s="4" t="str">
        <f>IFERROR(__xludf.DUMMYFUNCTION("""COMPUTED_VALUE"""),"")</f>
        <v/>
      </c>
      <c r="K781" s="4" t="str">
        <f>IFERROR(__xludf.DUMMYFUNCTION("""COMPUTED_VALUE"""),"")</f>
        <v/>
      </c>
    </row>
    <row r="782">
      <c r="A782" s="4" t="str">
        <f>IFERROR(__xludf.DUMMYFUNCTION("""COMPUTED_VALUE"""),"")</f>
        <v/>
      </c>
      <c r="B782" s="4" t="str">
        <f>IFERROR(__xludf.DUMMYFUNCTION("""COMPUTED_VALUE"""),"")</f>
        <v/>
      </c>
      <c r="C782" s="4" t="str">
        <f>IFERROR(__xludf.DUMMYFUNCTION("""COMPUTED_VALUE"""),"")</f>
        <v/>
      </c>
      <c r="D782" s="4" t="str">
        <f>IFERROR(__xludf.DUMMYFUNCTION("""COMPUTED_VALUE"""),"")</f>
        <v/>
      </c>
      <c r="E782" s="4" t="str">
        <f>IFERROR(__xludf.DUMMYFUNCTION("""COMPUTED_VALUE"""),"")</f>
        <v/>
      </c>
      <c r="F782" s="4" t="str">
        <f>IFERROR(__xludf.DUMMYFUNCTION("""COMPUTED_VALUE"""),"")</f>
        <v/>
      </c>
      <c r="G782" s="4" t="str">
        <f>IFERROR(__xludf.DUMMYFUNCTION("""COMPUTED_VALUE"""),"")</f>
        <v/>
      </c>
      <c r="H782" s="4" t="str">
        <f>IFERROR(__xludf.DUMMYFUNCTION("""COMPUTED_VALUE"""),"")</f>
        <v/>
      </c>
      <c r="I782" s="4" t="str">
        <f>IFERROR(__xludf.DUMMYFUNCTION("""COMPUTED_VALUE"""),"")</f>
        <v/>
      </c>
      <c r="J782" s="4" t="str">
        <f>IFERROR(__xludf.DUMMYFUNCTION("""COMPUTED_VALUE"""),"")</f>
        <v/>
      </c>
      <c r="K782" s="4" t="str">
        <f>IFERROR(__xludf.DUMMYFUNCTION("""COMPUTED_VALUE"""),"")</f>
        <v/>
      </c>
    </row>
    <row r="783">
      <c r="A783" s="4" t="str">
        <f>IFERROR(__xludf.DUMMYFUNCTION("""COMPUTED_VALUE"""),"")</f>
        <v/>
      </c>
      <c r="B783" s="4" t="str">
        <f>IFERROR(__xludf.DUMMYFUNCTION("""COMPUTED_VALUE"""),"")</f>
        <v/>
      </c>
      <c r="C783" s="4" t="str">
        <f>IFERROR(__xludf.DUMMYFUNCTION("""COMPUTED_VALUE"""),"")</f>
        <v/>
      </c>
      <c r="D783" s="4" t="str">
        <f>IFERROR(__xludf.DUMMYFUNCTION("""COMPUTED_VALUE"""),"")</f>
        <v/>
      </c>
      <c r="E783" s="4" t="str">
        <f>IFERROR(__xludf.DUMMYFUNCTION("""COMPUTED_VALUE"""),"")</f>
        <v/>
      </c>
      <c r="F783" s="4" t="str">
        <f>IFERROR(__xludf.DUMMYFUNCTION("""COMPUTED_VALUE"""),"")</f>
        <v/>
      </c>
      <c r="G783" s="4" t="str">
        <f>IFERROR(__xludf.DUMMYFUNCTION("""COMPUTED_VALUE"""),"")</f>
        <v/>
      </c>
      <c r="H783" s="4" t="str">
        <f>IFERROR(__xludf.DUMMYFUNCTION("""COMPUTED_VALUE"""),"")</f>
        <v/>
      </c>
      <c r="I783" s="4" t="str">
        <f>IFERROR(__xludf.DUMMYFUNCTION("""COMPUTED_VALUE"""),"")</f>
        <v/>
      </c>
      <c r="J783" s="4" t="str">
        <f>IFERROR(__xludf.DUMMYFUNCTION("""COMPUTED_VALUE"""),"")</f>
        <v/>
      </c>
      <c r="K783" s="4" t="str">
        <f>IFERROR(__xludf.DUMMYFUNCTION("""COMPUTED_VALUE"""),"")</f>
        <v/>
      </c>
    </row>
    <row r="784">
      <c r="A784" s="4" t="str">
        <f>IFERROR(__xludf.DUMMYFUNCTION("""COMPUTED_VALUE"""),"")</f>
        <v/>
      </c>
      <c r="B784" s="4" t="str">
        <f>IFERROR(__xludf.DUMMYFUNCTION("""COMPUTED_VALUE"""),"")</f>
        <v/>
      </c>
      <c r="C784" s="4" t="str">
        <f>IFERROR(__xludf.DUMMYFUNCTION("""COMPUTED_VALUE"""),"")</f>
        <v/>
      </c>
      <c r="D784" s="4" t="str">
        <f>IFERROR(__xludf.DUMMYFUNCTION("""COMPUTED_VALUE"""),"")</f>
        <v/>
      </c>
      <c r="E784" s="4" t="str">
        <f>IFERROR(__xludf.DUMMYFUNCTION("""COMPUTED_VALUE"""),"")</f>
        <v/>
      </c>
      <c r="F784" s="4" t="str">
        <f>IFERROR(__xludf.DUMMYFUNCTION("""COMPUTED_VALUE"""),"")</f>
        <v/>
      </c>
      <c r="G784" s="4" t="str">
        <f>IFERROR(__xludf.DUMMYFUNCTION("""COMPUTED_VALUE"""),"")</f>
        <v/>
      </c>
      <c r="H784" s="4" t="str">
        <f>IFERROR(__xludf.DUMMYFUNCTION("""COMPUTED_VALUE"""),"")</f>
        <v/>
      </c>
      <c r="I784" s="4" t="str">
        <f>IFERROR(__xludf.DUMMYFUNCTION("""COMPUTED_VALUE"""),"")</f>
        <v/>
      </c>
      <c r="J784" s="4" t="str">
        <f>IFERROR(__xludf.DUMMYFUNCTION("""COMPUTED_VALUE"""),"")</f>
        <v/>
      </c>
      <c r="K784" s="4" t="str">
        <f>IFERROR(__xludf.DUMMYFUNCTION("""COMPUTED_VALUE"""),"")</f>
        <v/>
      </c>
    </row>
    <row r="785">
      <c r="A785" s="4" t="str">
        <f>IFERROR(__xludf.DUMMYFUNCTION("""COMPUTED_VALUE"""),"")</f>
        <v/>
      </c>
      <c r="B785" s="4" t="str">
        <f>IFERROR(__xludf.DUMMYFUNCTION("""COMPUTED_VALUE"""),"")</f>
        <v/>
      </c>
      <c r="C785" s="4" t="str">
        <f>IFERROR(__xludf.DUMMYFUNCTION("""COMPUTED_VALUE"""),"")</f>
        <v/>
      </c>
      <c r="D785" s="4" t="str">
        <f>IFERROR(__xludf.DUMMYFUNCTION("""COMPUTED_VALUE"""),"")</f>
        <v/>
      </c>
      <c r="E785" s="4" t="str">
        <f>IFERROR(__xludf.DUMMYFUNCTION("""COMPUTED_VALUE"""),"")</f>
        <v/>
      </c>
      <c r="F785" s="4" t="str">
        <f>IFERROR(__xludf.DUMMYFUNCTION("""COMPUTED_VALUE"""),"")</f>
        <v/>
      </c>
      <c r="G785" s="4" t="str">
        <f>IFERROR(__xludf.DUMMYFUNCTION("""COMPUTED_VALUE"""),"")</f>
        <v/>
      </c>
      <c r="H785" s="4" t="str">
        <f>IFERROR(__xludf.DUMMYFUNCTION("""COMPUTED_VALUE"""),"")</f>
        <v/>
      </c>
      <c r="I785" s="4" t="str">
        <f>IFERROR(__xludf.DUMMYFUNCTION("""COMPUTED_VALUE"""),"")</f>
        <v/>
      </c>
      <c r="J785" s="4" t="str">
        <f>IFERROR(__xludf.DUMMYFUNCTION("""COMPUTED_VALUE"""),"")</f>
        <v/>
      </c>
      <c r="K785" s="4" t="str">
        <f>IFERROR(__xludf.DUMMYFUNCTION("""COMPUTED_VALUE"""),"")</f>
        <v/>
      </c>
    </row>
    <row r="786">
      <c r="A786" s="4" t="str">
        <f>IFERROR(__xludf.DUMMYFUNCTION("""COMPUTED_VALUE"""),"")</f>
        <v/>
      </c>
      <c r="B786" s="4" t="str">
        <f>IFERROR(__xludf.DUMMYFUNCTION("""COMPUTED_VALUE"""),"")</f>
        <v/>
      </c>
      <c r="C786" s="4" t="str">
        <f>IFERROR(__xludf.DUMMYFUNCTION("""COMPUTED_VALUE"""),"")</f>
        <v/>
      </c>
      <c r="D786" s="4" t="str">
        <f>IFERROR(__xludf.DUMMYFUNCTION("""COMPUTED_VALUE"""),"")</f>
        <v/>
      </c>
      <c r="E786" s="4" t="str">
        <f>IFERROR(__xludf.DUMMYFUNCTION("""COMPUTED_VALUE"""),"")</f>
        <v/>
      </c>
      <c r="F786" s="4" t="str">
        <f>IFERROR(__xludf.DUMMYFUNCTION("""COMPUTED_VALUE"""),"")</f>
        <v/>
      </c>
      <c r="G786" s="4" t="str">
        <f>IFERROR(__xludf.DUMMYFUNCTION("""COMPUTED_VALUE"""),"")</f>
        <v/>
      </c>
      <c r="H786" s="4" t="str">
        <f>IFERROR(__xludf.DUMMYFUNCTION("""COMPUTED_VALUE"""),"")</f>
        <v/>
      </c>
      <c r="I786" s="4" t="str">
        <f>IFERROR(__xludf.DUMMYFUNCTION("""COMPUTED_VALUE"""),"")</f>
        <v/>
      </c>
      <c r="J786" s="4" t="str">
        <f>IFERROR(__xludf.DUMMYFUNCTION("""COMPUTED_VALUE"""),"")</f>
        <v/>
      </c>
      <c r="K786" s="4" t="str">
        <f>IFERROR(__xludf.DUMMYFUNCTION("""COMPUTED_VALUE"""),"")</f>
        <v/>
      </c>
    </row>
    <row r="787">
      <c r="A787" s="4" t="str">
        <f>IFERROR(__xludf.DUMMYFUNCTION("""COMPUTED_VALUE"""),"")</f>
        <v/>
      </c>
      <c r="B787" s="4" t="str">
        <f>IFERROR(__xludf.DUMMYFUNCTION("""COMPUTED_VALUE"""),"")</f>
        <v/>
      </c>
      <c r="C787" s="4" t="str">
        <f>IFERROR(__xludf.DUMMYFUNCTION("""COMPUTED_VALUE"""),"")</f>
        <v/>
      </c>
      <c r="D787" s="4" t="str">
        <f>IFERROR(__xludf.DUMMYFUNCTION("""COMPUTED_VALUE"""),"")</f>
        <v/>
      </c>
      <c r="E787" s="4" t="str">
        <f>IFERROR(__xludf.DUMMYFUNCTION("""COMPUTED_VALUE"""),"")</f>
        <v/>
      </c>
      <c r="F787" s="4" t="str">
        <f>IFERROR(__xludf.DUMMYFUNCTION("""COMPUTED_VALUE"""),"")</f>
        <v/>
      </c>
      <c r="G787" s="4" t="str">
        <f>IFERROR(__xludf.DUMMYFUNCTION("""COMPUTED_VALUE"""),"")</f>
        <v/>
      </c>
      <c r="H787" s="4" t="str">
        <f>IFERROR(__xludf.DUMMYFUNCTION("""COMPUTED_VALUE"""),"")</f>
        <v/>
      </c>
      <c r="I787" s="4" t="str">
        <f>IFERROR(__xludf.DUMMYFUNCTION("""COMPUTED_VALUE"""),"")</f>
        <v/>
      </c>
      <c r="J787" s="4" t="str">
        <f>IFERROR(__xludf.DUMMYFUNCTION("""COMPUTED_VALUE"""),"")</f>
        <v/>
      </c>
      <c r="K787" s="4" t="str">
        <f>IFERROR(__xludf.DUMMYFUNCTION("""COMPUTED_VALUE"""),"")</f>
        <v/>
      </c>
    </row>
    <row r="788">
      <c r="A788" s="4" t="str">
        <f>IFERROR(__xludf.DUMMYFUNCTION("""COMPUTED_VALUE"""),"")</f>
        <v/>
      </c>
      <c r="B788" s="4" t="str">
        <f>IFERROR(__xludf.DUMMYFUNCTION("""COMPUTED_VALUE"""),"")</f>
        <v/>
      </c>
      <c r="C788" s="4" t="str">
        <f>IFERROR(__xludf.DUMMYFUNCTION("""COMPUTED_VALUE"""),"")</f>
        <v/>
      </c>
      <c r="D788" s="4" t="str">
        <f>IFERROR(__xludf.DUMMYFUNCTION("""COMPUTED_VALUE"""),"")</f>
        <v/>
      </c>
      <c r="E788" s="4" t="str">
        <f>IFERROR(__xludf.DUMMYFUNCTION("""COMPUTED_VALUE"""),"")</f>
        <v/>
      </c>
      <c r="F788" s="4" t="str">
        <f>IFERROR(__xludf.DUMMYFUNCTION("""COMPUTED_VALUE"""),"")</f>
        <v/>
      </c>
      <c r="G788" s="4" t="str">
        <f>IFERROR(__xludf.DUMMYFUNCTION("""COMPUTED_VALUE"""),"")</f>
        <v/>
      </c>
      <c r="H788" s="4" t="str">
        <f>IFERROR(__xludf.DUMMYFUNCTION("""COMPUTED_VALUE"""),"")</f>
        <v/>
      </c>
      <c r="I788" s="4" t="str">
        <f>IFERROR(__xludf.DUMMYFUNCTION("""COMPUTED_VALUE"""),"")</f>
        <v/>
      </c>
      <c r="J788" s="4" t="str">
        <f>IFERROR(__xludf.DUMMYFUNCTION("""COMPUTED_VALUE"""),"")</f>
        <v/>
      </c>
      <c r="K788" s="4" t="str">
        <f>IFERROR(__xludf.DUMMYFUNCTION("""COMPUTED_VALUE"""),"")</f>
        <v/>
      </c>
    </row>
    <row r="789">
      <c r="A789" s="4" t="str">
        <f>IFERROR(__xludf.DUMMYFUNCTION("""COMPUTED_VALUE"""),"")</f>
        <v/>
      </c>
      <c r="B789" s="4" t="str">
        <f>IFERROR(__xludf.DUMMYFUNCTION("""COMPUTED_VALUE"""),"")</f>
        <v/>
      </c>
      <c r="C789" s="4" t="str">
        <f>IFERROR(__xludf.DUMMYFUNCTION("""COMPUTED_VALUE"""),"")</f>
        <v/>
      </c>
      <c r="D789" s="4" t="str">
        <f>IFERROR(__xludf.DUMMYFUNCTION("""COMPUTED_VALUE"""),"")</f>
        <v/>
      </c>
      <c r="E789" s="4" t="str">
        <f>IFERROR(__xludf.DUMMYFUNCTION("""COMPUTED_VALUE"""),"")</f>
        <v/>
      </c>
      <c r="F789" s="4" t="str">
        <f>IFERROR(__xludf.DUMMYFUNCTION("""COMPUTED_VALUE"""),"")</f>
        <v/>
      </c>
      <c r="G789" s="4" t="str">
        <f>IFERROR(__xludf.DUMMYFUNCTION("""COMPUTED_VALUE"""),"")</f>
        <v/>
      </c>
      <c r="H789" s="4" t="str">
        <f>IFERROR(__xludf.DUMMYFUNCTION("""COMPUTED_VALUE"""),"")</f>
        <v/>
      </c>
      <c r="I789" s="4" t="str">
        <f>IFERROR(__xludf.DUMMYFUNCTION("""COMPUTED_VALUE"""),"")</f>
        <v/>
      </c>
      <c r="J789" s="4" t="str">
        <f>IFERROR(__xludf.DUMMYFUNCTION("""COMPUTED_VALUE"""),"")</f>
        <v/>
      </c>
      <c r="K789" s="4" t="str">
        <f>IFERROR(__xludf.DUMMYFUNCTION("""COMPUTED_VALUE"""),"")</f>
        <v/>
      </c>
    </row>
    <row r="790">
      <c r="A790" s="4" t="str">
        <f>IFERROR(__xludf.DUMMYFUNCTION("""COMPUTED_VALUE"""),"")</f>
        <v/>
      </c>
      <c r="B790" s="4" t="str">
        <f>IFERROR(__xludf.DUMMYFUNCTION("""COMPUTED_VALUE"""),"")</f>
        <v/>
      </c>
      <c r="C790" s="4" t="str">
        <f>IFERROR(__xludf.DUMMYFUNCTION("""COMPUTED_VALUE"""),"")</f>
        <v/>
      </c>
      <c r="D790" s="4" t="str">
        <f>IFERROR(__xludf.DUMMYFUNCTION("""COMPUTED_VALUE"""),"")</f>
        <v/>
      </c>
      <c r="E790" s="4" t="str">
        <f>IFERROR(__xludf.DUMMYFUNCTION("""COMPUTED_VALUE"""),"")</f>
        <v/>
      </c>
      <c r="F790" s="4" t="str">
        <f>IFERROR(__xludf.DUMMYFUNCTION("""COMPUTED_VALUE"""),"")</f>
        <v/>
      </c>
      <c r="G790" s="4" t="str">
        <f>IFERROR(__xludf.DUMMYFUNCTION("""COMPUTED_VALUE"""),"")</f>
        <v/>
      </c>
      <c r="H790" s="4" t="str">
        <f>IFERROR(__xludf.DUMMYFUNCTION("""COMPUTED_VALUE"""),"")</f>
        <v/>
      </c>
      <c r="I790" s="4" t="str">
        <f>IFERROR(__xludf.DUMMYFUNCTION("""COMPUTED_VALUE"""),"")</f>
        <v/>
      </c>
      <c r="J790" s="4" t="str">
        <f>IFERROR(__xludf.DUMMYFUNCTION("""COMPUTED_VALUE"""),"")</f>
        <v/>
      </c>
      <c r="K790" s="4" t="str">
        <f>IFERROR(__xludf.DUMMYFUNCTION("""COMPUTED_VALUE"""),"")</f>
        <v/>
      </c>
    </row>
    <row r="791">
      <c r="A791" s="4" t="str">
        <f>IFERROR(__xludf.DUMMYFUNCTION("""COMPUTED_VALUE"""),"")</f>
        <v/>
      </c>
      <c r="B791" s="4" t="str">
        <f>IFERROR(__xludf.DUMMYFUNCTION("""COMPUTED_VALUE"""),"")</f>
        <v/>
      </c>
      <c r="C791" s="4" t="str">
        <f>IFERROR(__xludf.DUMMYFUNCTION("""COMPUTED_VALUE"""),"")</f>
        <v/>
      </c>
      <c r="D791" s="4" t="str">
        <f>IFERROR(__xludf.DUMMYFUNCTION("""COMPUTED_VALUE"""),"")</f>
        <v/>
      </c>
      <c r="E791" s="4" t="str">
        <f>IFERROR(__xludf.DUMMYFUNCTION("""COMPUTED_VALUE"""),"")</f>
        <v/>
      </c>
      <c r="F791" s="4" t="str">
        <f>IFERROR(__xludf.DUMMYFUNCTION("""COMPUTED_VALUE"""),"")</f>
        <v/>
      </c>
      <c r="G791" s="4" t="str">
        <f>IFERROR(__xludf.DUMMYFUNCTION("""COMPUTED_VALUE"""),"")</f>
        <v/>
      </c>
      <c r="H791" s="4" t="str">
        <f>IFERROR(__xludf.DUMMYFUNCTION("""COMPUTED_VALUE"""),"")</f>
        <v/>
      </c>
      <c r="I791" s="4" t="str">
        <f>IFERROR(__xludf.DUMMYFUNCTION("""COMPUTED_VALUE"""),"")</f>
        <v/>
      </c>
      <c r="J791" s="4" t="str">
        <f>IFERROR(__xludf.DUMMYFUNCTION("""COMPUTED_VALUE"""),"")</f>
        <v/>
      </c>
      <c r="K791" s="4" t="str">
        <f>IFERROR(__xludf.DUMMYFUNCTION("""COMPUTED_VALUE"""),"")</f>
        <v/>
      </c>
    </row>
    <row r="792">
      <c r="A792" s="4" t="str">
        <f>IFERROR(__xludf.DUMMYFUNCTION("""COMPUTED_VALUE"""),"")</f>
        <v/>
      </c>
      <c r="B792" s="4" t="str">
        <f>IFERROR(__xludf.DUMMYFUNCTION("""COMPUTED_VALUE"""),"")</f>
        <v/>
      </c>
      <c r="C792" s="4" t="str">
        <f>IFERROR(__xludf.DUMMYFUNCTION("""COMPUTED_VALUE"""),"")</f>
        <v/>
      </c>
      <c r="D792" s="4" t="str">
        <f>IFERROR(__xludf.DUMMYFUNCTION("""COMPUTED_VALUE"""),"")</f>
        <v/>
      </c>
      <c r="E792" s="4" t="str">
        <f>IFERROR(__xludf.DUMMYFUNCTION("""COMPUTED_VALUE"""),"")</f>
        <v/>
      </c>
      <c r="F792" s="4" t="str">
        <f>IFERROR(__xludf.DUMMYFUNCTION("""COMPUTED_VALUE"""),"")</f>
        <v/>
      </c>
      <c r="G792" s="4" t="str">
        <f>IFERROR(__xludf.DUMMYFUNCTION("""COMPUTED_VALUE"""),"")</f>
        <v/>
      </c>
      <c r="H792" s="4" t="str">
        <f>IFERROR(__xludf.DUMMYFUNCTION("""COMPUTED_VALUE"""),"")</f>
        <v/>
      </c>
      <c r="I792" s="4" t="str">
        <f>IFERROR(__xludf.DUMMYFUNCTION("""COMPUTED_VALUE"""),"")</f>
        <v/>
      </c>
      <c r="J792" s="4" t="str">
        <f>IFERROR(__xludf.DUMMYFUNCTION("""COMPUTED_VALUE"""),"")</f>
        <v/>
      </c>
      <c r="K792" s="4" t="str">
        <f>IFERROR(__xludf.DUMMYFUNCTION("""COMPUTED_VALUE"""),"")</f>
        <v/>
      </c>
    </row>
    <row r="793">
      <c r="A793" s="4" t="str">
        <f>IFERROR(__xludf.DUMMYFUNCTION("""COMPUTED_VALUE"""),"")</f>
        <v/>
      </c>
      <c r="B793" s="4" t="str">
        <f>IFERROR(__xludf.DUMMYFUNCTION("""COMPUTED_VALUE"""),"")</f>
        <v/>
      </c>
      <c r="C793" s="4" t="str">
        <f>IFERROR(__xludf.DUMMYFUNCTION("""COMPUTED_VALUE"""),"")</f>
        <v/>
      </c>
      <c r="D793" s="4" t="str">
        <f>IFERROR(__xludf.DUMMYFUNCTION("""COMPUTED_VALUE"""),"")</f>
        <v/>
      </c>
      <c r="E793" s="4" t="str">
        <f>IFERROR(__xludf.DUMMYFUNCTION("""COMPUTED_VALUE"""),"")</f>
        <v/>
      </c>
      <c r="F793" s="4" t="str">
        <f>IFERROR(__xludf.DUMMYFUNCTION("""COMPUTED_VALUE"""),"")</f>
        <v/>
      </c>
      <c r="G793" s="4" t="str">
        <f>IFERROR(__xludf.DUMMYFUNCTION("""COMPUTED_VALUE"""),"")</f>
        <v/>
      </c>
      <c r="H793" s="4" t="str">
        <f>IFERROR(__xludf.DUMMYFUNCTION("""COMPUTED_VALUE"""),"")</f>
        <v/>
      </c>
      <c r="I793" s="4" t="str">
        <f>IFERROR(__xludf.DUMMYFUNCTION("""COMPUTED_VALUE"""),"")</f>
        <v/>
      </c>
      <c r="J793" s="4" t="str">
        <f>IFERROR(__xludf.DUMMYFUNCTION("""COMPUTED_VALUE"""),"")</f>
        <v/>
      </c>
      <c r="K793" s="4" t="str">
        <f>IFERROR(__xludf.DUMMYFUNCTION("""COMPUTED_VALUE"""),"")</f>
        <v/>
      </c>
    </row>
    <row r="794">
      <c r="A794" s="4" t="str">
        <f>IFERROR(__xludf.DUMMYFUNCTION("""COMPUTED_VALUE"""),"")</f>
        <v/>
      </c>
      <c r="B794" s="4" t="str">
        <f>IFERROR(__xludf.DUMMYFUNCTION("""COMPUTED_VALUE"""),"")</f>
        <v/>
      </c>
      <c r="C794" s="4" t="str">
        <f>IFERROR(__xludf.DUMMYFUNCTION("""COMPUTED_VALUE"""),"")</f>
        <v/>
      </c>
      <c r="D794" s="4" t="str">
        <f>IFERROR(__xludf.DUMMYFUNCTION("""COMPUTED_VALUE"""),"")</f>
        <v/>
      </c>
      <c r="E794" s="4" t="str">
        <f>IFERROR(__xludf.DUMMYFUNCTION("""COMPUTED_VALUE"""),"")</f>
        <v/>
      </c>
      <c r="F794" s="4" t="str">
        <f>IFERROR(__xludf.DUMMYFUNCTION("""COMPUTED_VALUE"""),"")</f>
        <v/>
      </c>
      <c r="G794" s="4" t="str">
        <f>IFERROR(__xludf.DUMMYFUNCTION("""COMPUTED_VALUE"""),"")</f>
        <v/>
      </c>
      <c r="H794" s="4" t="str">
        <f>IFERROR(__xludf.DUMMYFUNCTION("""COMPUTED_VALUE"""),"")</f>
        <v/>
      </c>
      <c r="I794" s="4" t="str">
        <f>IFERROR(__xludf.DUMMYFUNCTION("""COMPUTED_VALUE"""),"")</f>
        <v/>
      </c>
      <c r="J794" s="4" t="str">
        <f>IFERROR(__xludf.DUMMYFUNCTION("""COMPUTED_VALUE"""),"")</f>
        <v/>
      </c>
      <c r="K794" s="4" t="str">
        <f>IFERROR(__xludf.DUMMYFUNCTION("""COMPUTED_VALUE"""),"")</f>
        <v/>
      </c>
    </row>
    <row r="795">
      <c r="A795" s="4" t="str">
        <f>IFERROR(__xludf.DUMMYFUNCTION("""COMPUTED_VALUE"""),"")</f>
        <v/>
      </c>
      <c r="B795" s="4" t="str">
        <f>IFERROR(__xludf.DUMMYFUNCTION("""COMPUTED_VALUE"""),"")</f>
        <v/>
      </c>
      <c r="C795" s="4" t="str">
        <f>IFERROR(__xludf.DUMMYFUNCTION("""COMPUTED_VALUE"""),"")</f>
        <v/>
      </c>
      <c r="D795" s="4" t="str">
        <f>IFERROR(__xludf.DUMMYFUNCTION("""COMPUTED_VALUE"""),"")</f>
        <v/>
      </c>
      <c r="E795" s="4" t="str">
        <f>IFERROR(__xludf.DUMMYFUNCTION("""COMPUTED_VALUE"""),"")</f>
        <v/>
      </c>
      <c r="F795" s="4" t="str">
        <f>IFERROR(__xludf.DUMMYFUNCTION("""COMPUTED_VALUE"""),"")</f>
        <v/>
      </c>
      <c r="G795" s="4" t="str">
        <f>IFERROR(__xludf.DUMMYFUNCTION("""COMPUTED_VALUE"""),"")</f>
        <v/>
      </c>
      <c r="H795" s="4" t="str">
        <f>IFERROR(__xludf.DUMMYFUNCTION("""COMPUTED_VALUE"""),"")</f>
        <v/>
      </c>
      <c r="I795" s="4" t="str">
        <f>IFERROR(__xludf.DUMMYFUNCTION("""COMPUTED_VALUE"""),"")</f>
        <v/>
      </c>
      <c r="J795" s="4" t="str">
        <f>IFERROR(__xludf.DUMMYFUNCTION("""COMPUTED_VALUE"""),"")</f>
        <v/>
      </c>
      <c r="K795" s="4" t="str">
        <f>IFERROR(__xludf.DUMMYFUNCTION("""COMPUTED_VALUE"""),"")</f>
        <v/>
      </c>
    </row>
    <row r="796">
      <c r="A796" s="4" t="str">
        <f>IFERROR(__xludf.DUMMYFUNCTION("""COMPUTED_VALUE"""),"")</f>
        <v/>
      </c>
      <c r="B796" s="4" t="str">
        <f>IFERROR(__xludf.DUMMYFUNCTION("""COMPUTED_VALUE"""),"")</f>
        <v/>
      </c>
      <c r="C796" s="4" t="str">
        <f>IFERROR(__xludf.DUMMYFUNCTION("""COMPUTED_VALUE"""),"")</f>
        <v/>
      </c>
      <c r="D796" s="4" t="str">
        <f>IFERROR(__xludf.DUMMYFUNCTION("""COMPUTED_VALUE"""),"")</f>
        <v/>
      </c>
      <c r="E796" s="4" t="str">
        <f>IFERROR(__xludf.DUMMYFUNCTION("""COMPUTED_VALUE"""),"")</f>
        <v/>
      </c>
      <c r="F796" s="4" t="str">
        <f>IFERROR(__xludf.DUMMYFUNCTION("""COMPUTED_VALUE"""),"")</f>
        <v/>
      </c>
      <c r="G796" s="4" t="str">
        <f>IFERROR(__xludf.DUMMYFUNCTION("""COMPUTED_VALUE"""),"")</f>
        <v/>
      </c>
      <c r="H796" s="4" t="str">
        <f>IFERROR(__xludf.DUMMYFUNCTION("""COMPUTED_VALUE"""),"")</f>
        <v/>
      </c>
      <c r="I796" s="4" t="str">
        <f>IFERROR(__xludf.DUMMYFUNCTION("""COMPUTED_VALUE"""),"")</f>
        <v/>
      </c>
      <c r="J796" s="4" t="str">
        <f>IFERROR(__xludf.DUMMYFUNCTION("""COMPUTED_VALUE"""),"")</f>
        <v/>
      </c>
      <c r="K796" s="4" t="str">
        <f>IFERROR(__xludf.DUMMYFUNCTION("""COMPUTED_VALUE"""),"")</f>
        <v/>
      </c>
    </row>
    <row r="797">
      <c r="A797" s="4" t="str">
        <f>IFERROR(__xludf.DUMMYFUNCTION("""COMPUTED_VALUE"""),"")</f>
        <v/>
      </c>
      <c r="B797" s="4" t="str">
        <f>IFERROR(__xludf.DUMMYFUNCTION("""COMPUTED_VALUE"""),"")</f>
        <v/>
      </c>
      <c r="C797" s="4" t="str">
        <f>IFERROR(__xludf.DUMMYFUNCTION("""COMPUTED_VALUE"""),"")</f>
        <v/>
      </c>
      <c r="D797" s="4" t="str">
        <f>IFERROR(__xludf.DUMMYFUNCTION("""COMPUTED_VALUE"""),"")</f>
        <v/>
      </c>
      <c r="E797" s="4" t="str">
        <f>IFERROR(__xludf.DUMMYFUNCTION("""COMPUTED_VALUE"""),"")</f>
        <v/>
      </c>
      <c r="F797" s="4" t="str">
        <f>IFERROR(__xludf.DUMMYFUNCTION("""COMPUTED_VALUE"""),"")</f>
        <v/>
      </c>
      <c r="G797" s="4" t="str">
        <f>IFERROR(__xludf.DUMMYFUNCTION("""COMPUTED_VALUE"""),"")</f>
        <v/>
      </c>
      <c r="H797" s="4" t="str">
        <f>IFERROR(__xludf.DUMMYFUNCTION("""COMPUTED_VALUE"""),"")</f>
        <v/>
      </c>
      <c r="I797" s="4" t="str">
        <f>IFERROR(__xludf.DUMMYFUNCTION("""COMPUTED_VALUE"""),"")</f>
        <v/>
      </c>
      <c r="J797" s="4" t="str">
        <f>IFERROR(__xludf.DUMMYFUNCTION("""COMPUTED_VALUE"""),"")</f>
        <v/>
      </c>
      <c r="K797" s="4" t="str">
        <f>IFERROR(__xludf.DUMMYFUNCTION("""COMPUTED_VALUE"""),"")</f>
        <v/>
      </c>
    </row>
    <row r="798">
      <c r="A798" s="4" t="str">
        <f>IFERROR(__xludf.DUMMYFUNCTION("""COMPUTED_VALUE"""),"")</f>
        <v/>
      </c>
      <c r="B798" s="4" t="str">
        <f>IFERROR(__xludf.DUMMYFUNCTION("""COMPUTED_VALUE"""),"")</f>
        <v/>
      </c>
      <c r="C798" s="4" t="str">
        <f>IFERROR(__xludf.DUMMYFUNCTION("""COMPUTED_VALUE"""),"")</f>
        <v/>
      </c>
      <c r="D798" s="4" t="str">
        <f>IFERROR(__xludf.DUMMYFUNCTION("""COMPUTED_VALUE"""),"")</f>
        <v/>
      </c>
      <c r="E798" s="4" t="str">
        <f>IFERROR(__xludf.DUMMYFUNCTION("""COMPUTED_VALUE"""),"")</f>
        <v/>
      </c>
      <c r="F798" s="4" t="str">
        <f>IFERROR(__xludf.DUMMYFUNCTION("""COMPUTED_VALUE"""),"")</f>
        <v/>
      </c>
      <c r="G798" s="4" t="str">
        <f>IFERROR(__xludf.DUMMYFUNCTION("""COMPUTED_VALUE"""),"")</f>
        <v/>
      </c>
      <c r="H798" s="4" t="str">
        <f>IFERROR(__xludf.DUMMYFUNCTION("""COMPUTED_VALUE"""),"")</f>
        <v/>
      </c>
      <c r="I798" s="4" t="str">
        <f>IFERROR(__xludf.DUMMYFUNCTION("""COMPUTED_VALUE"""),"")</f>
        <v/>
      </c>
      <c r="J798" s="4" t="str">
        <f>IFERROR(__xludf.DUMMYFUNCTION("""COMPUTED_VALUE"""),"")</f>
        <v/>
      </c>
      <c r="K798" s="4" t="str">
        <f>IFERROR(__xludf.DUMMYFUNCTION("""COMPUTED_VALUE"""),"")</f>
        <v/>
      </c>
    </row>
    <row r="799">
      <c r="A799" s="4" t="str">
        <f>IFERROR(__xludf.DUMMYFUNCTION("""COMPUTED_VALUE"""),"")</f>
        <v/>
      </c>
      <c r="B799" s="4" t="str">
        <f>IFERROR(__xludf.DUMMYFUNCTION("""COMPUTED_VALUE"""),"")</f>
        <v/>
      </c>
      <c r="C799" s="4" t="str">
        <f>IFERROR(__xludf.DUMMYFUNCTION("""COMPUTED_VALUE"""),"")</f>
        <v/>
      </c>
      <c r="D799" s="4" t="str">
        <f>IFERROR(__xludf.DUMMYFUNCTION("""COMPUTED_VALUE"""),"")</f>
        <v/>
      </c>
      <c r="E799" s="4" t="str">
        <f>IFERROR(__xludf.DUMMYFUNCTION("""COMPUTED_VALUE"""),"")</f>
        <v/>
      </c>
      <c r="F799" s="4" t="str">
        <f>IFERROR(__xludf.DUMMYFUNCTION("""COMPUTED_VALUE"""),"")</f>
        <v/>
      </c>
      <c r="G799" s="4" t="str">
        <f>IFERROR(__xludf.DUMMYFUNCTION("""COMPUTED_VALUE"""),"")</f>
        <v/>
      </c>
      <c r="H799" s="4" t="str">
        <f>IFERROR(__xludf.DUMMYFUNCTION("""COMPUTED_VALUE"""),"")</f>
        <v/>
      </c>
      <c r="I799" s="4" t="str">
        <f>IFERROR(__xludf.DUMMYFUNCTION("""COMPUTED_VALUE"""),"")</f>
        <v/>
      </c>
      <c r="J799" s="4" t="str">
        <f>IFERROR(__xludf.DUMMYFUNCTION("""COMPUTED_VALUE"""),"")</f>
        <v/>
      </c>
      <c r="K799" s="4" t="str">
        <f>IFERROR(__xludf.DUMMYFUNCTION("""COMPUTED_VALUE"""),"")</f>
        <v/>
      </c>
    </row>
    <row r="800">
      <c r="A800" s="4" t="str">
        <f>IFERROR(__xludf.DUMMYFUNCTION("""COMPUTED_VALUE"""),"")</f>
        <v/>
      </c>
      <c r="B800" s="4" t="str">
        <f>IFERROR(__xludf.DUMMYFUNCTION("""COMPUTED_VALUE"""),"")</f>
        <v/>
      </c>
      <c r="C800" s="4" t="str">
        <f>IFERROR(__xludf.DUMMYFUNCTION("""COMPUTED_VALUE"""),"")</f>
        <v/>
      </c>
      <c r="D800" s="4" t="str">
        <f>IFERROR(__xludf.DUMMYFUNCTION("""COMPUTED_VALUE"""),"")</f>
        <v/>
      </c>
      <c r="E800" s="4" t="str">
        <f>IFERROR(__xludf.DUMMYFUNCTION("""COMPUTED_VALUE"""),"")</f>
        <v/>
      </c>
      <c r="F800" s="4" t="str">
        <f>IFERROR(__xludf.DUMMYFUNCTION("""COMPUTED_VALUE"""),"")</f>
        <v/>
      </c>
      <c r="G800" s="4" t="str">
        <f>IFERROR(__xludf.DUMMYFUNCTION("""COMPUTED_VALUE"""),"")</f>
        <v/>
      </c>
      <c r="H800" s="4" t="str">
        <f>IFERROR(__xludf.DUMMYFUNCTION("""COMPUTED_VALUE"""),"")</f>
        <v/>
      </c>
      <c r="I800" s="4" t="str">
        <f>IFERROR(__xludf.DUMMYFUNCTION("""COMPUTED_VALUE"""),"")</f>
        <v/>
      </c>
      <c r="J800" s="4" t="str">
        <f>IFERROR(__xludf.DUMMYFUNCTION("""COMPUTED_VALUE"""),"")</f>
        <v/>
      </c>
      <c r="K800" s="4" t="str">
        <f>IFERROR(__xludf.DUMMYFUNCTION("""COMPUTED_VALUE"""),"")</f>
        <v/>
      </c>
    </row>
    <row r="801">
      <c r="A801" s="4" t="str">
        <f>IFERROR(__xludf.DUMMYFUNCTION("""COMPUTED_VALUE"""),"")</f>
        <v/>
      </c>
      <c r="B801" s="4" t="str">
        <f>IFERROR(__xludf.DUMMYFUNCTION("""COMPUTED_VALUE"""),"")</f>
        <v/>
      </c>
      <c r="C801" s="4" t="str">
        <f>IFERROR(__xludf.DUMMYFUNCTION("""COMPUTED_VALUE"""),"")</f>
        <v/>
      </c>
      <c r="D801" s="4" t="str">
        <f>IFERROR(__xludf.DUMMYFUNCTION("""COMPUTED_VALUE"""),"")</f>
        <v/>
      </c>
      <c r="E801" s="4" t="str">
        <f>IFERROR(__xludf.DUMMYFUNCTION("""COMPUTED_VALUE"""),"")</f>
        <v/>
      </c>
      <c r="F801" s="4" t="str">
        <f>IFERROR(__xludf.DUMMYFUNCTION("""COMPUTED_VALUE"""),"")</f>
        <v/>
      </c>
      <c r="G801" s="4" t="str">
        <f>IFERROR(__xludf.DUMMYFUNCTION("""COMPUTED_VALUE"""),"")</f>
        <v/>
      </c>
      <c r="H801" s="4" t="str">
        <f>IFERROR(__xludf.DUMMYFUNCTION("""COMPUTED_VALUE"""),"")</f>
        <v/>
      </c>
      <c r="I801" s="4" t="str">
        <f>IFERROR(__xludf.DUMMYFUNCTION("""COMPUTED_VALUE"""),"")</f>
        <v/>
      </c>
      <c r="J801" s="4" t="str">
        <f>IFERROR(__xludf.DUMMYFUNCTION("""COMPUTED_VALUE"""),"")</f>
        <v/>
      </c>
      <c r="K801" s="4" t="str">
        <f>IFERROR(__xludf.DUMMYFUNCTION("""COMPUTED_VALUE"""),"")</f>
        <v/>
      </c>
    </row>
    <row r="802">
      <c r="A802" s="4" t="str">
        <f>IFERROR(__xludf.DUMMYFUNCTION("""COMPUTED_VALUE"""),"")</f>
        <v/>
      </c>
      <c r="B802" s="4" t="str">
        <f>IFERROR(__xludf.DUMMYFUNCTION("""COMPUTED_VALUE"""),"")</f>
        <v/>
      </c>
      <c r="C802" s="4" t="str">
        <f>IFERROR(__xludf.DUMMYFUNCTION("""COMPUTED_VALUE"""),"")</f>
        <v/>
      </c>
      <c r="D802" s="4" t="str">
        <f>IFERROR(__xludf.DUMMYFUNCTION("""COMPUTED_VALUE"""),"")</f>
        <v/>
      </c>
      <c r="E802" s="4" t="str">
        <f>IFERROR(__xludf.DUMMYFUNCTION("""COMPUTED_VALUE"""),"")</f>
        <v/>
      </c>
      <c r="F802" s="4" t="str">
        <f>IFERROR(__xludf.DUMMYFUNCTION("""COMPUTED_VALUE"""),"")</f>
        <v/>
      </c>
      <c r="G802" s="4" t="str">
        <f>IFERROR(__xludf.DUMMYFUNCTION("""COMPUTED_VALUE"""),"")</f>
        <v/>
      </c>
      <c r="H802" s="4" t="str">
        <f>IFERROR(__xludf.DUMMYFUNCTION("""COMPUTED_VALUE"""),"")</f>
        <v/>
      </c>
      <c r="I802" s="4" t="str">
        <f>IFERROR(__xludf.DUMMYFUNCTION("""COMPUTED_VALUE"""),"")</f>
        <v/>
      </c>
      <c r="J802" s="4" t="str">
        <f>IFERROR(__xludf.DUMMYFUNCTION("""COMPUTED_VALUE"""),"")</f>
        <v/>
      </c>
      <c r="K802" s="4" t="str">
        <f>IFERROR(__xludf.DUMMYFUNCTION("""COMPUTED_VALUE"""),"")</f>
        <v/>
      </c>
    </row>
    <row r="803">
      <c r="A803" s="4" t="str">
        <f>IFERROR(__xludf.DUMMYFUNCTION("""COMPUTED_VALUE"""),"")</f>
        <v/>
      </c>
      <c r="B803" s="4" t="str">
        <f>IFERROR(__xludf.DUMMYFUNCTION("""COMPUTED_VALUE"""),"")</f>
        <v/>
      </c>
      <c r="C803" s="4" t="str">
        <f>IFERROR(__xludf.DUMMYFUNCTION("""COMPUTED_VALUE"""),"")</f>
        <v/>
      </c>
      <c r="D803" s="4" t="str">
        <f>IFERROR(__xludf.DUMMYFUNCTION("""COMPUTED_VALUE"""),"")</f>
        <v/>
      </c>
      <c r="E803" s="4" t="str">
        <f>IFERROR(__xludf.DUMMYFUNCTION("""COMPUTED_VALUE"""),"")</f>
        <v/>
      </c>
      <c r="F803" s="4" t="str">
        <f>IFERROR(__xludf.DUMMYFUNCTION("""COMPUTED_VALUE"""),"")</f>
        <v/>
      </c>
      <c r="G803" s="4" t="str">
        <f>IFERROR(__xludf.DUMMYFUNCTION("""COMPUTED_VALUE"""),"")</f>
        <v/>
      </c>
      <c r="H803" s="4" t="str">
        <f>IFERROR(__xludf.DUMMYFUNCTION("""COMPUTED_VALUE"""),"")</f>
        <v/>
      </c>
      <c r="I803" s="4" t="str">
        <f>IFERROR(__xludf.DUMMYFUNCTION("""COMPUTED_VALUE"""),"")</f>
        <v/>
      </c>
      <c r="J803" s="4" t="str">
        <f>IFERROR(__xludf.DUMMYFUNCTION("""COMPUTED_VALUE"""),"")</f>
        <v/>
      </c>
      <c r="K803" s="4" t="str">
        <f>IFERROR(__xludf.DUMMYFUNCTION("""COMPUTED_VALUE"""),"")</f>
        <v/>
      </c>
    </row>
    <row r="804">
      <c r="A804" s="4" t="str">
        <f>IFERROR(__xludf.DUMMYFUNCTION("""COMPUTED_VALUE"""),"")</f>
        <v/>
      </c>
      <c r="B804" s="4" t="str">
        <f>IFERROR(__xludf.DUMMYFUNCTION("""COMPUTED_VALUE"""),"")</f>
        <v/>
      </c>
      <c r="C804" s="4" t="str">
        <f>IFERROR(__xludf.DUMMYFUNCTION("""COMPUTED_VALUE"""),"")</f>
        <v/>
      </c>
      <c r="D804" s="4" t="str">
        <f>IFERROR(__xludf.DUMMYFUNCTION("""COMPUTED_VALUE"""),"")</f>
        <v/>
      </c>
      <c r="E804" s="4" t="str">
        <f>IFERROR(__xludf.DUMMYFUNCTION("""COMPUTED_VALUE"""),"")</f>
        <v/>
      </c>
      <c r="F804" s="4" t="str">
        <f>IFERROR(__xludf.DUMMYFUNCTION("""COMPUTED_VALUE"""),"")</f>
        <v/>
      </c>
      <c r="G804" s="4" t="str">
        <f>IFERROR(__xludf.DUMMYFUNCTION("""COMPUTED_VALUE"""),"")</f>
        <v/>
      </c>
      <c r="H804" s="4" t="str">
        <f>IFERROR(__xludf.DUMMYFUNCTION("""COMPUTED_VALUE"""),"")</f>
        <v/>
      </c>
      <c r="I804" s="4" t="str">
        <f>IFERROR(__xludf.DUMMYFUNCTION("""COMPUTED_VALUE"""),"")</f>
        <v/>
      </c>
      <c r="J804" s="4" t="str">
        <f>IFERROR(__xludf.DUMMYFUNCTION("""COMPUTED_VALUE"""),"")</f>
        <v/>
      </c>
      <c r="K804" s="4" t="str">
        <f>IFERROR(__xludf.DUMMYFUNCTION("""COMPUTED_VALUE"""),"")</f>
        <v/>
      </c>
    </row>
    <row r="805">
      <c r="A805" s="4" t="str">
        <f>IFERROR(__xludf.DUMMYFUNCTION("""COMPUTED_VALUE"""),"")</f>
        <v/>
      </c>
      <c r="B805" s="4" t="str">
        <f>IFERROR(__xludf.DUMMYFUNCTION("""COMPUTED_VALUE"""),"")</f>
        <v/>
      </c>
      <c r="C805" s="4" t="str">
        <f>IFERROR(__xludf.DUMMYFUNCTION("""COMPUTED_VALUE"""),"")</f>
        <v/>
      </c>
      <c r="D805" s="4" t="str">
        <f>IFERROR(__xludf.DUMMYFUNCTION("""COMPUTED_VALUE"""),"")</f>
        <v/>
      </c>
      <c r="E805" s="4" t="str">
        <f>IFERROR(__xludf.DUMMYFUNCTION("""COMPUTED_VALUE"""),"")</f>
        <v/>
      </c>
      <c r="F805" s="4" t="str">
        <f>IFERROR(__xludf.DUMMYFUNCTION("""COMPUTED_VALUE"""),"")</f>
        <v/>
      </c>
      <c r="G805" s="4" t="str">
        <f>IFERROR(__xludf.DUMMYFUNCTION("""COMPUTED_VALUE"""),"")</f>
        <v/>
      </c>
      <c r="H805" s="4" t="str">
        <f>IFERROR(__xludf.DUMMYFUNCTION("""COMPUTED_VALUE"""),"")</f>
        <v/>
      </c>
      <c r="I805" s="4" t="str">
        <f>IFERROR(__xludf.DUMMYFUNCTION("""COMPUTED_VALUE"""),"")</f>
        <v/>
      </c>
      <c r="J805" s="4" t="str">
        <f>IFERROR(__xludf.DUMMYFUNCTION("""COMPUTED_VALUE"""),"")</f>
        <v/>
      </c>
      <c r="K805" s="4" t="str">
        <f>IFERROR(__xludf.DUMMYFUNCTION("""COMPUTED_VALUE"""),"")</f>
        <v/>
      </c>
    </row>
    <row r="806">
      <c r="A806" s="4" t="str">
        <f>IFERROR(__xludf.DUMMYFUNCTION("""COMPUTED_VALUE"""),"")</f>
        <v/>
      </c>
      <c r="B806" s="4" t="str">
        <f>IFERROR(__xludf.DUMMYFUNCTION("""COMPUTED_VALUE"""),"")</f>
        <v/>
      </c>
      <c r="C806" s="4" t="str">
        <f>IFERROR(__xludf.DUMMYFUNCTION("""COMPUTED_VALUE"""),"")</f>
        <v/>
      </c>
      <c r="D806" s="4" t="str">
        <f>IFERROR(__xludf.DUMMYFUNCTION("""COMPUTED_VALUE"""),"")</f>
        <v/>
      </c>
      <c r="E806" s="4" t="str">
        <f>IFERROR(__xludf.DUMMYFUNCTION("""COMPUTED_VALUE"""),"")</f>
        <v/>
      </c>
      <c r="F806" s="4" t="str">
        <f>IFERROR(__xludf.DUMMYFUNCTION("""COMPUTED_VALUE"""),"")</f>
        <v/>
      </c>
      <c r="G806" s="4" t="str">
        <f>IFERROR(__xludf.DUMMYFUNCTION("""COMPUTED_VALUE"""),"")</f>
        <v/>
      </c>
      <c r="H806" s="4" t="str">
        <f>IFERROR(__xludf.DUMMYFUNCTION("""COMPUTED_VALUE"""),"")</f>
        <v/>
      </c>
      <c r="I806" s="4" t="str">
        <f>IFERROR(__xludf.DUMMYFUNCTION("""COMPUTED_VALUE"""),"")</f>
        <v/>
      </c>
      <c r="J806" s="4" t="str">
        <f>IFERROR(__xludf.DUMMYFUNCTION("""COMPUTED_VALUE"""),"")</f>
        <v/>
      </c>
      <c r="K806" s="4" t="str">
        <f>IFERROR(__xludf.DUMMYFUNCTION("""COMPUTED_VALUE"""),"")</f>
        <v/>
      </c>
    </row>
    <row r="807">
      <c r="A807" s="4" t="str">
        <f>IFERROR(__xludf.DUMMYFUNCTION("""COMPUTED_VALUE"""),"")</f>
        <v/>
      </c>
      <c r="B807" s="4" t="str">
        <f>IFERROR(__xludf.DUMMYFUNCTION("""COMPUTED_VALUE"""),"")</f>
        <v/>
      </c>
      <c r="C807" s="4" t="str">
        <f>IFERROR(__xludf.DUMMYFUNCTION("""COMPUTED_VALUE"""),"")</f>
        <v/>
      </c>
      <c r="D807" s="4" t="str">
        <f>IFERROR(__xludf.DUMMYFUNCTION("""COMPUTED_VALUE"""),"")</f>
        <v/>
      </c>
      <c r="E807" s="4" t="str">
        <f>IFERROR(__xludf.DUMMYFUNCTION("""COMPUTED_VALUE"""),"")</f>
        <v/>
      </c>
      <c r="F807" s="4" t="str">
        <f>IFERROR(__xludf.DUMMYFUNCTION("""COMPUTED_VALUE"""),"")</f>
        <v/>
      </c>
      <c r="G807" s="4" t="str">
        <f>IFERROR(__xludf.DUMMYFUNCTION("""COMPUTED_VALUE"""),"")</f>
        <v/>
      </c>
      <c r="H807" s="4" t="str">
        <f>IFERROR(__xludf.DUMMYFUNCTION("""COMPUTED_VALUE"""),"")</f>
        <v/>
      </c>
      <c r="I807" s="4" t="str">
        <f>IFERROR(__xludf.DUMMYFUNCTION("""COMPUTED_VALUE"""),"")</f>
        <v/>
      </c>
      <c r="J807" s="4" t="str">
        <f>IFERROR(__xludf.DUMMYFUNCTION("""COMPUTED_VALUE"""),"")</f>
        <v/>
      </c>
      <c r="K807" s="4" t="str">
        <f>IFERROR(__xludf.DUMMYFUNCTION("""COMPUTED_VALUE"""),"")</f>
        <v/>
      </c>
    </row>
    <row r="808">
      <c r="A808" s="4" t="str">
        <f>IFERROR(__xludf.DUMMYFUNCTION("""COMPUTED_VALUE"""),"")</f>
        <v/>
      </c>
      <c r="B808" s="4" t="str">
        <f>IFERROR(__xludf.DUMMYFUNCTION("""COMPUTED_VALUE"""),"")</f>
        <v/>
      </c>
      <c r="C808" s="4" t="str">
        <f>IFERROR(__xludf.DUMMYFUNCTION("""COMPUTED_VALUE"""),"")</f>
        <v/>
      </c>
      <c r="D808" s="4" t="str">
        <f>IFERROR(__xludf.DUMMYFUNCTION("""COMPUTED_VALUE"""),"")</f>
        <v/>
      </c>
      <c r="E808" s="4" t="str">
        <f>IFERROR(__xludf.DUMMYFUNCTION("""COMPUTED_VALUE"""),"")</f>
        <v/>
      </c>
      <c r="F808" s="4" t="str">
        <f>IFERROR(__xludf.DUMMYFUNCTION("""COMPUTED_VALUE"""),"")</f>
        <v/>
      </c>
      <c r="G808" s="4" t="str">
        <f>IFERROR(__xludf.DUMMYFUNCTION("""COMPUTED_VALUE"""),"")</f>
        <v/>
      </c>
      <c r="H808" s="4" t="str">
        <f>IFERROR(__xludf.DUMMYFUNCTION("""COMPUTED_VALUE"""),"")</f>
        <v/>
      </c>
      <c r="I808" s="4" t="str">
        <f>IFERROR(__xludf.DUMMYFUNCTION("""COMPUTED_VALUE"""),"")</f>
        <v/>
      </c>
      <c r="J808" s="4" t="str">
        <f>IFERROR(__xludf.DUMMYFUNCTION("""COMPUTED_VALUE"""),"")</f>
        <v/>
      </c>
      <c r="K808" s="4" t="str">
        <f>IFERROR(__xludf.DUMMYFUNCTION("""COMPUTED_VALUE"""),"")</f>
        <v/>
      </c>
    </row>
    <row r="809">
      <c r="A809" s="4" t="str">
        <f>IFERROR(__xludf.DUMMYFUNCTION("""COMPUTED_VALUE"""),"")</f>
        <v/>
      </c>
      <c r="B809" s="4" t="str">
        <f>IFERROR(__xludf.DUMMYFUNCTION("""COMPUTED_VALUE"""),"")</f>
        <v/>
      </c>
      <c r="C809" s="4" t="str">
        <f>IFERROR(__xludf.DUMMYFUNCTION("""COMPUTED_VALUE"""),"")</f>
        <v/>
      </c>
      <c r="D809" s="4" t="str">
        <f>IFERROR(__xludf.DUMMYFUNCTION("""COMPUTED_VALUE"""),"")</f>
        <v/>
      </c>
      <c r="E809" s="4" t="str">
        <f>IFERROR(__xludf.DUMMYFUNCTION("""COMPUTED_VALUE"""),"")</f>
        <v/>
      </c>
      <c r="F809" s="4" t="str">
        <f>IFERROR(__xludf.DUMMYFUNCTION("""COMPUTED_VALUE"""),"")</f>
        <v/>
      </c>
      <c r="G809" s="4" t="str">
        <f>IFERROR(__xludf.DUMMYFUNCTION("""COMPUTED_VALUE"""),"")</f>
        <v/>
      </c>
      <c r="H809" s="4" t="str">
        <f>IFERROR(__xludf.DUMMYFUNCTION("""COMPUTED_VALUE"""),"")</f>
        <v/>
      </c>
      <c r="I809" s="4" t="str">
        <f>IFERROR(__xludf.DUMMYFUNCTION("""COMPUTED_VALUE"""),"")</f>
        <v/>
      </c>
      <c r="J809" s="4" t="str">
        <f>IFERROR(__xludf.DUMMYFUNCTION("""COMPUTED_VALUE"""),"")</f>
        <v/>
      </c>
      <c r="K809" s="4" t="str">
        <f>IFERROR(__xludf.DUMMYFUNCTION("""COMPUTED_VALUE"""),"")</f>
        <v/>
      </c>
    </row>
    <row r="810">
      <c r="A810" s="4" t="str">
        <f>IFERROR(__xludf.DUMMYFUNCTION("""COMPUTED_VALUE"""),"")</f>
        <v/>
      </c>
      <c r="B810" s="4" t="str">
        <f>IFERROR(__xludf.DUMMYFUNCTION("""COMPUTED_VALUE"""),"")</f>
        <v/>
      </c>
      <c r="C810" s="4" t="str">
        <f>IFERROR(__xludf.DUMMYFUNCTION("""COMPUTED_VALUE"""),"")</f>
        <v/>
      </c>
      <c r="D810" s="4" t="str">
        <f>IFERROR(__xludf.DUMMYFUNCTION("""COMPUTED_VALUE"""),"")</f>
        <v/>
      </c>
      <c r="E810" s="4" t="str">
        <f>IFERROR(__xludf.DUMMYFUNCTION("""COMPUTED_VALUE"""),"")</f>
        <v/>
      </c>
      <c r="F810" s="4" t="str">
        <f>IFERROR(__xludf.DUMMYFUNCTION("""COMPUTED_VALUE"""),"")</f>
        <v/>
      </c>
      <c r="G810" s="4" t="str">
        <f>IFERROR(__xludf.DUMMYFUNCTION("""COMPUTED_VALUE"""),"")</f>
        <v/>
      </c>
      <c r="H810" s="4" t="str">
        <f>IFERROR(__xludf.DUMMYFUNCTION("""COMPUTED_VALUE"""),"")</f>
        <v/>
      </c>
      <c r="I810" s="4" t="str">
        <f>IFERROR(__xludf.DUMMYFUNCTION("""COMPUTED_VALUE"""),"")</f>
        <v/>
      </c>
      <c r="J810" s="4" t="str">
        <f>IFERROR(__xludf.DUMMYFUNCTION("""COMPUTED_VALUE"""),"")</f>
        <v/>
      </c>
      <c r="K810" s="4" t="str">
        <f>IFERROR(__xludf.DUMMYFUNCTION("""COMPUTED_VALUE"""),"")</f>
        <v/>
      </c>
    </row>
    <row r="811">
      <c r="A811" s="4" t="str">
        <f>IFERROR(__xludf.DUMMYFUNCTION("""COMPUTED_VALUE"""),"")</f>
        <v/>
      </c>
      <c r="B811" s="4" t="str">
        <f>IFERROR(__xludf.DUMMYFUNCTION("""COMPUTED_VALUE"""),"")</f>
        <v/>
      </c>
      <c r="C811" s="4" t="str">
        <f>IFERROR(__xludf.DUMMYFUNCTION("""COMPUTED_VALUE"""),"")</f>
        <v/>
      </c>
      <c r="D811" s="4" t="str">
        <f>IFERROR(__xludf.DUMMYFUNCTION("""COMPUTED_VALUE"""),"")</f>
        <v/>
      </c>
      <c r="E811" s="4" t="str">
        <f>IFERROR(__xludf.DUMMYFUNCTION("""COMPUTED_VALUE"""),"")</f>
        <v/>
      </c>
      <c r="F811" s="4" t="str">
        <f>IFERROR(__xludf.DUMMYFUNCTION("""COMPUTED_VALUE"""),"")</f>
        <v/>
      </c>
      <c r="G811" s="4" t="str">
        <f>IFERROR(__xludf.DUMMYFUNCTION("""COMPUTED_VALUE"""),"")</f>
        <v/>
      </c>
      <c r="H811" s="4" t="str">
        <f>IFERROR(__xludf.DUMMYFUNCTION("""COMPUTED_VALUE"""),"")</f>
        <v/>
      </c>
      <c r="I811" s="4" t="str">
        <f>IFERROR(__xludf.DUMMYFUNCTION("""COMPUTED_VALUE"""),"")</f>
        <v/>
      </c>
      <c r="J811" s="4" t="str">
        <f>IFERROR(__xludf.DUMMYFUNCTION("""COMPUTED_VALUE"""),"")</f>
        <v/>
      </c>
      <c r="K811" s="4" t="str">
        <f>IFERROR(__xludf.DUMMYFUNCTION("""COMPUTED_VALUE"""),"")</f>
        <v/>
      </c>
    </row>
    <row r="812">
      <c r="A812" s="4" t="str">
        <f>IFERROR(__xludf.DUMMYFUNCTION("""COMPUTED_VALUE"""),"")</f>
        <v/>
      </c>
      <c r="B812" s="4" t="str">
        <f>IFERROR(__xludf.DUMMYFUNCTION("""COMPUTED_VALUE"""),"")</f>
        <v/>
      </c>
      <c r="C812" s="4" t="str">
        <f>IFERROR(__xludf.DUMMYFUNCTION("""COMPUTED_VALUE"""),"")</f>
        <v/>
      </c>
      <c r="D812" s="4" t="str">
        <f>IFERROR(__xludf.DUMMYFUNCTION("""COMPUTED_VALUE"""),"")</f>
        <v/>
      </c>
      <c r="E812" s="4" t="str">
        <f>IFERROR(__xludf.DUMMYFUNCTION("""COMPUTED_VALUE"""),"")</f>
        <v/>
      </c>
      <c r="F812" s="4" t="str">
        <f>IFERROR(__xludf.DUMMYFUNCTION("""COMPUTED_VALUE"""),"")</f>
        <v/>
      </c>
      <c r="G812" s="4" t="str">
        <f>IFERROR(__xludf.DUMMYFUNCTION("""COMPUTED_VALUE"""),"")</f>
        <v/>
      </c>
      <c r="H812" s="4" t="str">
        <f>IFERROR(__xludf.DUMMYFUNCTION("""COMPUTED_VALUE"""),"")</f>
        <v/>
      </c>
      <c r="I812" s="4" t="str">
        <f>IFERROR(__xludf.DUMMYFUNCTION("""COMPUTED_VALUE"""),"")</f>
        <v/>
      </c>
      <c r="J812" s="4" t="str">
        <f>IFERROR(__xludf.DUMMYFUNCTION("""COMPUTED_VALUE"""),"")</f>
        <v/>
      </c>
      <c r="K812" s="4" t="str">
        <f>IFERROR(__xludf.DUMMYFUNCTION("""COMPUTED_VALUE"""),"")</f>
        <v/>
      </c>
    </row>
    <row r="813">
      <c r="A813" s="4" t="str">
        <f>IFERROR(__xludf.DUMMYFUNCTION("""COMPUTED_VALUE"""),"")</f>
        <v/>
      </c>
      <c r="B813" s="4" t="str">
        <f>IFERROR(__xludf.DUMMYFUNCTION("""COMPUTED_VALUE"""),"")</f>
        <v/>
      </c>
      <c r="C813" s="4" t="str">
        <f>IFERROR(__xludf.DUMMYFUNCTION("""COMPUTED_VALUE"""),"")</f>
        <v/>
      </c>
      <c r="D813" s="4" t="str">
        <f>IFERROR(__xludf.DUMMYFUNCTION("""COMPUTED_VALUE"""),"")</f>
        <v/>
      </c>
      <c r="E813" s="4" t="str">
        <f>IFERROR(__xludf.DUMMYFUNCTION("""COMPUTED_VALUE"""),"")</f>
        <v/>
      </c>
      <c r="F813" s="4" t="str">
        <f>IFERROR(__xludf.DUMMYFUNCTION("""COMPUTED_VALUE"""),"")</f>
        <v/>
      </c>
      <c r="G813" s="4" t="str">
        <f>IFERROR(__xludf.DUMMYFUNCTION("""COMPUTED_VALUE"""),"")</f>
        <v/>
      </c>
      <c r="H813" s="4" t="str">
        <f>IFERROR(__xludf.DUMMYFUNCTION("""COMPUTED_VALUE"""),"")</f>
        <v/>
      </c>
      <c r="I813" s="4" t="str">
        <f>IFERROR(__xludf.DUMMYFUNCTION("""COMPUTED_VALUE"""),"")</f>
        <v/>
      </c>
      <c r="J813" s="4" t="str">
        <f>IFERROR(__xludf.DUMMYFUNCTION("""COMPUTED_VALUE"""),"")</f>
        <v/>
      </c>
      <c r="K813" s="4" t="str">
        <f>IFERROR(__xludf.DUMMYFUNCTION("""COMPUTED_VALUE"""),"")</f>
        <v/>
      </c>
    </row>
    <row r="814">
      <c r="A814" s="4" t="str">
        <f>IFERROR(__xludf.DUMMYFUNCTION("""COMPUTED_VALUE"""),"")</f>
        <v/>
      </c>
      <c r="B814" s="4" t="str">
        <f>IFERROR(__xludf.DUMMYFUNCTION("""COMPUTED_VALUE"""),"")</f>
        <v/>
      </c>
      <c r="C814" s="4" t="str">
        <f>IFERROR(__xludf.DUMMYFUNCTION("""COMPUTED_VALUE"""),"")</f>
        <v/>
      </c>
      <c r="D814" s="4" t="str">
        <f>IFERROR(__xludf.DUMMYFUNCTION("""COMPUTED_VALUE"""),"")</f>
        <v/>
      </c>
      <c r="E814" s="4" t="str">
        <f>IFERROR(__xludf.DUMMYFUNCTION("""COMPUTED_VALUE"""),"")</f>
        <v/>
      </c>
      <c r="F814" s="4" t="str">
        <f>IFERROR(__xludf.DUMMYFUNCTION("""COMPUTED_VALUE"""),"")</f>
        <v/>
      </c>
      <c r="G814" s="4" t="str">
        <f>IFERROR(__xludf.DUMMYFUNCTION("""COMPUTED_VALUE"""),"")</f>
        <v/>
      </c>
      <c r="H814" s="4" t="str">
        <f>IFERROR(__xludf.DUMMYFUNCTION("""COMPUTED_VALUE"""),"")</f>
        <v/>
      </c>
      <c r="I814" s="4" t="str">
        <f>IFERROR(__xludf.DUMMYFUNCTION("""COMPUTED_VALUE"""),"")</f>
        <v/>
      </c>
      <c r="J814" s="4" t="str">
        <f>IFERROR(__xludf.DUMMYFUNCTION("""COMPUTED_VALUE"""),"")</f>
        <v/>
      </c>
      <c r="K814" s="4" t="str">
        <f>IFERROR(__xludf.DUMMYFUNCTION("""COMPUTED_VALUE"""),"")</f>
        <v/>
      </c>
    </row>
    <row r="815">
      <c r="A815" s="4" t="str">
        <f>IFERROR(__xludf.DUMMYFUNCTION("""COMPUTED_VALUE"""),"")</f>
        <v/>
      </c>
      <c r="B815" s="4" t="str">
        <f>IFERROR(__xludf.DUMMYFUNCTION("""COMPUTED_VALUE"""),"")</f>
        <v/>
      </c>
      <c r="C815" s="4" t="str">
        <f>IFERROR(__xludf.DUMMYFUNCTION("""COMPUTED_VALUE"""),"")</f>
        <v/>
      </c>
      <c r="D815" s="4" t="str">
        <f>IFERROR(__xludf.DUMMYFUNCTION("""COMPUTED_VALUE"""),"")</f>
        <v/>
      </c>
      <c r="E815" s="4" t="str">
        <f>IFERROR(__xludf.DUMMYFUNCTION("""COMPUTED_VALUE"""),"")</f>
        <v/>
      </c>
      <c r="F815" s="4" t="str">
        <f>IFERROR(__xludf.DUMMYFUNCTION("""COMPUTED_VALUE"""),"")</f>
        <v/>
      </c>
      <c r="G815" s="4" t="str">
        <f>IFERROR(__xludf.DUMMYFUNCTION("""COMPUTED_VALUE"""),"")</f>
        <v/>
      </c>
      <c r="H815" s="4" t="str">
        <f>IFERROR(__xludf.DUMMYFUNCTION("""COMPUTED_VALUE"""),"")</f>
        <v/>
      </c>
      <c r="I815" s="4" t="str">
        <f>IFERROR(__xludf.DUMMYFUNCTION("""COMPUTED_VALUE"""),"")</f>
        <v/>
      </c>
      <c r="J815" s="4" t="str">
        <f>IFERROR(__xludf.DUMMYFUNCTION("""COMPUTED_VALUE"""),"")</f>
        <v/>
      </c>
      <c r="K815" s="4" t="str">
        <f>IFERROR(__xludf.DUMMYFUNCTION("""COMPUTED_VALUE"""),"")</f>
        <v/>
      </c>
    </row>
    <row r="816">
      <c r="A816" s="4" t="str">
        <f>IFERROR(__xludf.DUMMYFUNCTION("""COMPUTED_VALUE"""),"")</f>
        <v/>
      </c>
      <c r="B816" s="4" t="str">
        <f>IFERROR(__xludf.DUMMYFUNCTION("""COMPUTED_VALUE"""),"")</f>
        <v/>
      </c>
      <c r="C816" s="4" t="str">
        <f>IFERROR(__xludf.DUMMYFUNCTION("""COMPUTED_VALUE"""),"")</f>
        <v/>
      </c>
      <c r="D816" s="4" t="str">
        <f>IFERROR(__xludf.DUMMYFUNCTION("""COMPUTED_VALUE"""),"")</f>
        <v/>
      </c>
      <c r="E816" s="4" t="str">
        <f>IFERROR(__xludf.DUMMYFUNCTION("""COMPUTED_VALUE"""),"")</f>
        <v/>
      </c>
      <c r="F816" s="4" t="str">
        <f>IFERROR(__xludf.DUMMYFUNCTION("""COMPUTED_VALUE"""),"")</f>
        <v/>
      </c>
      <c r="G816" s="4" t="str">
        <f>IFERROR(__xludf.DUMMYFUNCTION("""COMPUTED_VALUE"""),"")</f>
        <v/>
      </c>
      <c r="H816" s="4" t="str">
        <f>IFERROR(__xludf.DUMMYFUNCTION("""COMPUTED_VALUE"""),"")</f>
        <v/>
      </c>
      <c r="I816" s="4" t="str">
        <f>IFERROR(__xludf.DUMMYFUNCTION("""COMPUTED_VALUE"""),"")</f>
        <v/>
      </c>
      <c r="J816" s="4" t="str">
        <f>IFERROR(__xludf.DUMMYFUNCTION("""COMPUTED_VALUE"""),"")</f>
        <v/>
      </c>
      <c r="K816" s="4" t="str">
        <f>IFERROR(__xludf.DUMMYFUNCTION("""COMPUTED_VALUE"""),"")</f>
        <v/>
      </c>
    </row>
    <row r="817">
      <c r="A817" s="4" t="str">
        <f>IFERROR(__xludf.DUMMYFUNCTION("""COMPUTED_VALUE"""),"")</f>
        <v/>
      </c>
      <c r="B817" s="4" t="str">
        <f>IFERROR(__xludf.DUMMYFUNCTION("""COMPUTED_VALUE"""),"")</f>
        <v/>
      </c>
      <c r="C817" s="4" t="str">
        <f>IFERROR(__xludf.DUMMYFUNCTION("""COMPUTED_VALUE"""),"")</f>
        <v/>
      </c>
      <c r="D817" s="4" t="str">
        <f>IFERROR(__xludf.DUMMYFUNCTION("""COMPUTED_VALUE"""),"")</f>
        <v/>
      </c>
      <c r="E817" s="4" t="str">
        <f>IFERROR(__xludf.DUMMYFUNCTION("""COMPUTED_VALUE"""),"")</f>
        <v/>
      </c>
      <c r="F817" s="4" t="str">
        <f>IFERROR(__xludf.DUMMYFUNCTION("""COMPUTED_VALUE"""),"")</f>
        <v/>
      </c>
      <c r="G817" s="4" t="str">
        <f>IFERROR(__xludf.DUMMYFUNCTION("""COMPUTED_VALUE"""),"")</f>
        <v/>
      </c>
      <c r="H817" s="4" t="str">
        <f>IFERROR(__xludf.DUMMYFUNCTION("""COMPUTED_VALUE"""),"")</f>
        <v/>
      </c>
      <c r="I817" s="4" t="str">
        <f>IFERROR(__xludf.DUMMYFUNCTION("""COMPUTED_VALUE"""),"")</f>
        <v/>
      </c>
      <c r="J817" s="4" t="str">
        <f>IFERROR(__xludf.DUMMYFUNCTION("""COMPUTED_VALUE"""),"")</f>
        <v/>
      </c>
      <c r="K817" s="4" t="str">
        <f>IFERROR(__xludf.DUMMYFUNCTION("""COMPUTED_VALUE"""),"")</f>
        <v/>
      </c>
    </row>
    <row r="818">
      <c r="A818" s="4" t="str">
        <f>IFERROR(__xludf.DUMMYFUNCTION("""COMPUTED_VALUE"""),"")</f>
        <v/>
      </c>
      <c r="B818" s="4" t="str">
        <f>IFERROR(__xludf.DUMMYFUNCTION("""COMPUTED_VALUE"""),"")</f>
        <v/>
      </c>
      <c r="C818" s="4" t="str">
        <f>IFERROR(__xludf.DUMMYFUNCTION("""COMPUTED_VALUE"""),"")</f>
        <v/>
      </c>
      <c r="D818" s="4" t="str">
        <f>IFERROR(__xludf.DUMMYFUNCTION("""COMPUTED_VALUE"""),"")</f>
        <v/>
      </c>
      <c r="E818" s="4" t="str">
        <f>IFERROR(__xludf.DUMMYFUNCTION("""COMPUTED_VALUE"""),"")</f>
        <v/>
      </c>
      <c r="F818" s="4" t="str">
        <f>IFERROR(__xludf.DUMMYFUNCTION("""COMPUTED_VALUE"""),"")</f>
        <v/>
      </c>
      <c r="G818" s="4" t="str">
        <f>IFERROR(__xludf.DUMMYFUNCTION("""COMPUTED_VALUE"""),"")</f>
        <v/>
      </c>
      <c r="H818" s="4" t="str">
        <f>IFERROR(__xludf.DUMMYFUNCTION("""COMPUTED_VALUE"""),"")</f>
        <v/>
      </c>
      <c r="I818" s="4" t="str">
        <f>IFERROR(__xludf.DUMMYFUNCTION("""COMPUTED_VALUE"""),"")</f>
        <v/>
      </c>
      <c r="J818" s="4" t="str">
        <f>IFERROR(__xludf.DUMMYFUNCTION("""COMPUTED_VALUE"""),"")</f>
        <v/>
      </c>
      <c r="K818" s="4" t="str">
        <f>IFERROR(__xludf.DUMMYFUNCTION("""COMPUTED_VALUE"""),"")</f>
        <v/>
      </c>
    </row>
    <row r="819">
      <c r="A819" s="4" t="str">
        <f>IFERROR(__xludf.DUMMYFUNCTION("""COMPUTED_VALUE"""),"")</f>
        <v/>
      </c>
      <c r="B819" s="4" t="str">
        <f>IFERROR(__xludf.DUMMYFUNCTION("""COMPUTED_VALUE"""),"")</f>
        <v/>
      </c>
      <c r="C819" s="4" t="str">
        <f>IFERROR(__xludf.DUMMYFUNCTION("""COMPUTED_VALUE"""),"")</f>
        <v/>
      </c>
      <c r="D819" s="4" t="str">
        <f>IFERROR(__xludf.DUMMYFUNCTION("""COMPUTED_VALUE"""),"")</f>
        <v/>
      </c>
      <c r="E819" s="4" t="str">
        <f>IFERROR(__xludf.DUMMYFUNCTION("""COMPUTED_VALUE"""),"")</f>
        <v/>
      </c>
      <c r="F819" s="4" t="str">
        <f>IFERROR(__xludf.DUMMYFUNCTION("""COMPUTED_VALUE"""),"")</f>
        <v/>
      </c>
      <c r="G819" s="4" t="str">
        <f>IFERROR(__xludf.DUMMYFUNCTION("""COMPUTED_VALUE"""),"")</f>
        <v/>
      </c>
      <c r="H819" s="4" t="str">
        <f>IFERROR(__xludf.DUMMYFUNCTION("""COMPUTED_VALUE"""),"")</f>
        <v/>
      </c>
      <c r="I819" s="4" t="str">
        <f>IFERROR(__xludf.DUMMYFUNCTION("""COMPUTED_VALUE"""),"")</f>
        <v/>
      </c>
      <c r="J819" s="4" t="str">
        <f>IFERROR(__xludf.DUMMYFUNCTION("""COMPUTED_VALUE"""),"")</f>
        <v/>
      </c>
      <c r="K819" s="4" t="str">
        <f>IFERROR(__xludf.DUMMYFUNCTION("""COMPUTED_VALUE"""),"")</f>
        <v/>
      </c>
    </row>
    <row r="820">
      <c r="A820" s="4" t="str">
        <f>IFERROR(__xludf.DUMMYFUNCTION("""COMPUTED_VALUE"""),"")</f>
        <v/>
      </c>
      <c r="B820" s="4" t="str">
        <f>IFERROR(__xludf.DUMMYFUNCTION("""COMPUTED_VALUE"""),"")</f>
        <v/>
      </c>
      <c r="C820" s="4" t="str">
        <f>IFERROR(__xludf.DUMMYFUNCTION("""COMPUTED_VALUE"""),"")</f>
        <v/>
      </c>
      <c r="D820" s="4" t="str">
        <f>IFERROR(__xludf.DUMMYFUNCTION("""COMPUTED_VALUE"""),"")</f>
        <v/>
      </c>
      <c r="E820" s="4" t="str">
        <f>IFERROR(__xludf.DUMMYFUNCTION("""COMPUTED_VALUE"""),"")</f>
        <v/>
      </c>
      <c r="F820" s="4" t="str">
        <f>IFERROR(__xludf.DUMMYFUNCTION("""COMPUTED_VALUE"""),"")</f>
        <v/>
      </c>
      <c r="G820" s="4" t="str">
        <f>IFERROR(__xludf.DUMMYFUNCTION("""COMPUTED_VALUE"""),"")</f>
        <v/>
      </c>
      <c r="H820" s="4" t="str">
        <f>IFERROR(__xludf.DUMMYFUNCTION("""COMPUTED_VALUE"""),"")</f>
        <v/>
      </c>
      <c r="I820" s="4" t="str">
        <f>IFERROR(__xludf.DUMMYFUNCTION("""COMPUTED_VALUE"""),"")</f>
        <v/>
      </c>
      <c r="J820" s="4" t="str">
        <f>IFERROR(__xludf.DUMMYFUNCTION("""COMPUTED_VALUE"""),"")</f>
        <v/>
      </c>
      <c r="K820" s="4" t="str">
        <f>IFERROR(__xludf.DUMMYFUNCTION("""COMPUTED_VALUE"""),"")</f>
        <v/>
      </c>
    </row>
    <row r="821">
      <c r="A821" s="4" t="str">
        <f>IFERROR(__xludf.DUMMYFUNCTION("""COMPUTED_VALUE"""),"")</f>
        <v/>
      </c>
      <c r="B821" s="4" t="str">
        <f>IFERROR(__xludf.DUMMYFUNCTION("""COMPUTED_VALUE"""),"")</f>
        <v/>
      </c>
      <c r="C821" s="4" t="str">
        <f>IFERROR(__xludf.DUMMYFUNCTION("""COMPUTED_VALUE"""),"")</f>
        <v/>
      </c>
      <c r="D821" s="4" t="str">
        <f>IFERROR(__xludf.DUMMYFUNCTION("""COMPUTED_VALUE"""),"")</f>
        <v/>
      </c>
      <c r="E821" s="4" t="str">
        <f>IFERROR(__xludf.DUMMYFUNCTION("""COMPUTED_VALUE"""),"")</f>
        <v/>
      </c>
      <c r="F821" s="4" t="str">
        <f>IFERROR(__xludf.DUMMYFUNCTION("""COMPUTED_VALUE"""),"")</f>
        <v/>
      </c>
      <c r="G821" s="4" t="str">
        <f>IFERROR(__xludf.DUMMYFUNCTION("""COMPUTED_VALUE"""),"")</f>
        <v/>
      </c>
      <c r="H821" s="4" t="str">
        <f>IFERROR(__xludf.DUMMYFUNCTION("""COMPUTED_VALUE"""),"")</f>
        <v/>
      </c>
      <c r="I821" s="4" t="str">
        <f>IFERROR(__xludf.DUMMYFUNCTION("""COMPUTED_VALUE"""),"")</f>
        <v/>
      </c>
      <c r="J821" s="4" t="str">
        <f>IFERROR(__xludf.DUMMYFUNCTION("""COMPUTED_VALUE"""),"")</f>
        <v/>
      </c>
      <c r="K821" s="4" t="str">
        <f>IFERROR(__xludf.DUMMYFUNCTION("""COMPUTED_VALUE"""),"")</f>
        <v/>
      </c>
    </row>
    <row r="822">
      <c r="A822" s="4" t="str">
        <f>IFERROR(__xludf.DUMMYFUNCTION("""COMPUTED_VALUE"""),"")</f>
        <v/>
      </c>
      <c r="B822" s="4" t="str">
        <f>IFERROR(__xludf.DUMMYFUNCTION("""COMPUTED_VALUE"""),"")</f>
        <v/>
      </c>
      <c r="C822" s="4" t="str">
        <f>IFERROR(__xludf.DUMMYFUNCTION("""COMPUTED_VALUE"""),"")</f>
        <v/>
      </c>
      <c r="D822" s="4" t="str">
        <f>IFERROR(__xludf.DUMMYFUNCTION("""COMPUTED_VALUE"""),"")</f>
        <v/>
      </c>
      <c r="E822" s="4" t="str">
        <f>IFERROR(__xludf.DUMMYFUNCTION("""COMPUTED_VALUE"""),"")</f>
        <v/>
      </c>
      <c r="F822" s="4" t="str">
        <f>IFERROR(__xludf.DUMMYFUNCTION("""COMPUTED_VALUE"""),"")</f>
        <v/>
      </c>
      <c r="G822" s="4" t="str">
        <f>IFERROR(__xludf.DUMMYFUNCTION("""COMPUTED_VALUE"""),"")</f>
        <v/>
      </c>
      <c r="H822" s="4" t="str">
        <f>IFERROR(__xludf.DUMMYFUNCTION("""COMPUTED_VALUE"""),"")</f>
        <v/>
      </c>
      <c r="I822" s="4" t="str">
        <f>IFERROR(__xludf.DUMMYFUNCTION("""COMPUTED_VALUE"""),"")</f>
        <v/>
      </c>
      <c r="J822" s="4" t="str">
        <f>IFERROR(__xludf.DUMMYFUNCTION("""COMPUTED_VALUE"""),"")</f>
        <v/>
      </c>
      <c r="K822" s="4" t="str">
        <f>IFERROR(__xludf.DUMMYFUNCTION("""COMPUTED_VALUE"""),"")</f>
        <v/>
      </c>
    </row>
    <row r="823">
      <c r="A823" s="4" t="str">
        <f>IFERROR(__xludf.DUMMYFUNCTION("""COMPUTED_VALUE"""),"")</f>
        <v/>
      </c>
      <c r="B823" s="4" t="str">
        <f>IFERROR(__xludf.DUMMYFUNCTION("""COMPUTED_VALUE"""),"")</f>
        <v/>
      </c>
      <c r="C823" s="4" t="str">
        <f>IFERROR(__xludf.DUMMYFUNCTION("""COMPUTED_VALUE"""),"")</f>
        <v/>
      </c>
      <c r="D823" s="4" t="str">
        <f>IFERROR(__xludf.DUMMYFUNCTION("""COMPUTED_VALUE"""),"")</f>
        <v/>
      </c>
      <c r="E823" s="4" t="str">
        <f>IFERROR(__xludf.DUMMYFUNCTION("""COMPUTED_VALUE"""),"")</f>
        <v/>
      </c>
      <c r="F823" s="4" t="str">
        <f>IFERROR(__xludf.DUMMYFUNCTION("""COMPUTED_VALUE"""),"")</f>
        <v/>
      </c>
      <c r="G823" s="4" t="str">
        <f>IFERROR(__xludf.DUMMYFUNCTION("""COMPUTED_VALUE"""),"")</f>
        <v/>
      </c>
      <c r="H823" s="4" t="str">
        <f>IFERROR(__xludf.DUMMYFUNCTION("""COMPUTED_VALUE"""),"")</f>
        <v/>
      </c>
      <c r="I823" s="4" t="str">
        <f>IFERROR(__xludf.DUMMYFUNCTION("""COMPUTED_VALUE"""),"")</f>
        <v/>
      </c>
      <c r="J823" s="4" t="str">
        <f>IFERROR(__xludf.DUMMYFUNCTION("""COMPUTED_VALUE"""),"")</f>
        <v/>
      </c>
      <c r="K823" s="4" t="str">
        <f>IFERROR(__xludf.DUMMYFUNCTION("""COMPUTED_VALUE"""),"")</f>
        <v/>
      </c>
    </row>
    <row r="824">
      <c r="A824" s="4" t="str">
        <f>IFERROR(__xludf.DUMMYFUNCTION("""COMPUTED_VALUE"""),"")</f>
        <v/>
      </c>
      <c r="B824" s="4" t="str">
        <f>IFERROR(__xludf.DUMMYFUNCTION("""COMPUTED_VALUE"""),"")</f>
        <v/>
      </c>
      <c r="C824" s="4" t="str">
        <f>IFERROR(__xludf.DUMMYFUNCTION("""COMPUTED_VALUE"""),"")</f>
        <v/>
      </c>
      <c r="D824" s="4" t="str">
        <f>IFERROR(__xludf.DUMMYFUNCTION("""COMPUTED_VALUE"""),"")</f>
        <v/>
      </c>
      <c r="E824" s="4" t="str">
        <f>IFERROR(__xludf.DUMMYFUNCTION("""COMPUTED_VALUE"""),"")</f>
        <v/>
      </c>
      <c r="F824" s="4" t="str">
        <f>IFERROR(__xludf.DUMMYFUNCTION("""COMPUTED_VALUE"""),"")</f>
        <v/>
      </c>
      <c r="G824" s="4" t="str">
        <f>IFERROR(__xludf.DUMMYFUNCTION("""COMPUTED_VALUE"""),"")</f>
        <v/>
      </c>
      <c r="H824" s="4" t="str">
        <f>IFERROR(__xludf.DUMMYFUNCTION("""COMPUTED_VALUE"""),"")</f>
        <v/>
      </c>
      <c r="I824" s="4" t="str">
        <f>IFERROR(__xludf.DUMMYFUNCTION("""COMPUTED_VALUE"""),"")</f>
        <v/>
      </c>
      <c r="J824" s="4" t="str">
        <f>IFERROR(__xludf.DUMMYFUNCTION("""COMPUTED_VALUE"""),"")</f>
        <v/>
      </c>
      <c r="K824" s="4" t="str">
        <f>IFERROR(__xludf.DUMMYFUNCTION("""COMPUTED_VALUE"""),"")</f>
        <v/>
      </c>
    </row>
    <row r="825">
      <c r="A825" s="4" t="str">
        <f>IFERROR(__xludf.DUMMYFUNCTION("""COMPUTED_VALUE"""),"")</f>
        <v/>
      </c>
      <c r="B825" s="4" t="str">
        <f>IFERROR(__xludf.DUMMYFUNCTION("""COMPUTED_VALUE"""),"")</f>
        <v/>
      </c>
      <c r="C825" s="4" t="str">
        <f>IFERROR(__xludf.DUMMYFUNCTION("""COMPUTED_VALUE"""),"")</f>
        <v/>
      </c>
      <c r="D825" s="4" t="str">
        <f>IFERROR(__xludf.DUMMYFUNCTION("""COMPUTED_VALUE"""),"")</f>
        <v/>
      </c>
      <c r="E825" s="4" t="str">
        <f>IFERROR(__xludf.DUMMYFUNCTION("""COMPUTED_VALUE"""),"")</f>
        <v/>
      </c>
      <c r="F825" s="4" t="str">
        <f>IFERROR(__xludf.DUMMYFUNCTION("""COMPUTED_VALUE"""),"")</f>
        <v/>
      </c>
      <c r="G825" s="4" t="str">
        <f>IFERROR(__xludf.DUMMYFUNCTION("""COMPUTED_VALUE"""),"")</f>
        <v/>
      </c>
      <c r="H825" s="4" t="str">
        <f>IFERROR(__xludf.DUMMYFUNCTION("""COMPUTED_VALUE"""),"")</f>
        <v/>
      </c>
      <c r="I825" s="4" t="str">
        <f>IFERROR(__xludf.DUMMYFUNCTION("""COMPUTED_VALUE"""),"")</f>
        <v/>
      </c>
      <c r="J825" s="4" t="str">
        <f>IFERROR(__xludf.DUMMYFUNCTION("""COMPUTED_VALUE"""),"")</f>
        <v/>
      </c>
      <c r="K825" s="4" t="str">
        <f>IFERROR(__xludf.DUMMYFUNCTION("""COMPUTED_VALUE"""),"")</f>
        <v/>
      </c>
    </row>
    <row r="826">
      <c r="A826" s="4" t="str">
        <f>IFERROR(__xludf.DUMMYFUNCTION("""COMPUTED_VALUE"""),"")</f>
        <v/>
      </c>
      <c r="B826" s="4" t="str">
        <f>IFERROR(__xludf.DUMMYFUNCTION("""COMPUTED_VALUE"""),"")</f>
        <v/>
      </c>
      <c r="C826" s="4" t="str">
        <f>IFERROR(__xludf.DUMMYFUNCTION("""COMPUTED_VALUE"""),"")</f>
        <v/>
      </c>
      <c r="D826" s="4" t="str">
        <f>IFERROR(__xludf.DUMMYFUNCTION("""COMPUTED_VALUE"""),"")</f>
        <v/>
      </c>
      <c r="E826" s="4" t="str">
        <f>IFERROR(__xludf.DUMMYFUNCTION("""COMPUTED_VALUE"""),"")</f>
        <v/>
      </c>
      <c r="F826" s="4" t="str">
        <f>IFERROR(__xludf.DUMMYFUNCTION("""COMPUTED_VALUE"""),"")</f>
        <v/>
      </c>
      <c r="G826" s="4" t="str">
        <f>IFERROR(__xludf.DUMMYFUNCTION("""COMPUTED_VALUE"""),"")</f>
        <v/>
      </c>
      <c r="H826" s="4" t="str">
        <f>IFERROR(__xludf.DUMMYFUNCTION("""COMPUTED_VALUE"""),"")</f>
        <v/>
      </c>
      <c r="I826" s="4" t="str">
        <f>IFERROR(__xludf.DUMMYFUNCTION("""COMPUTED_VALUE"""),"")</f>
        <v/>
      </c>
      <c r="J826" s="4" t="str">
        <f>IFERROR(__xludf.DUMMYFUNCTION("""COMPUTED_VALUE"""),"")</f>
        <v/>
      </c>
      <c r="K826" s="4" t="str">
        <f>IFERROR(__xludf.DUMMYFUNCTION("""COMPUTED_VALUE"""),"")</f>
        <v/>
      </c>
    </row>
    <row r="827">
      <c r="A827" s="4" t="str">
        <f>IFERROR(__xludf.DUMMYFUNCTION("""COMPUTED_VALUE"""),"")</f>
        <v/>
      </c>
      <c r="B827" s="4" t="str">
        <f>IFERROR(__xludf.DUMMYFUNCTION("""COMPUTED_VALUE"""),"")</f>
        <v/>
      </c>
      <c r="C827" s="4" t="str">
        <f>IFERROR(__xludf.DUMMYFUNCTION("""COMPUTED_VALUE"""),"")</f>
        <v/>
      </c>
      <c r="D827" s="4" t="str">
        <f>IFERROR(__xludf.DUMMYFUNCTION("""COMPUTED_VALUE"""),"")</f>
        <v/>
      </c>
      <c r="E827" s="4" t="str">
        <f>IFERROR(__xludf.DUMMYFUNCTION("""COMPUTED_VALUE"""),"")</f>
        <v/>
      </c>
      <c r="F827" s="4" t="str">
        <f>IFERROR(__xludf.DUMMYFUNCTION("""COMPUTED_VALUE"""),"")</f>
        <v/>
      </c>
      <c r="G827" s="4" t="str">
        <f>IFERROR(__xludf.DUMMYFUNCTION("""COMPUTED_VALUE"""),"")</f>
        <v/>
      </c>
      <c r="H827" s="4" t="str">
        <f>IFERROR(__xludf.DUMMYFUNCTION("""COMPUTED_VALUE"""),"")</f>
        <v/>
      </c>
      <c r="I827" s="4" t="str">
        <f>IFERROR(__xludf.DUMMYFUNCTION("""COMPUTED_VALUE"""),"")</f>
        <v/>
      </c>
      <c r="J827" s="4" t="str">
        <f>IFERROR(__xludf.DUMMYFUNCTION("""COMPUTED_VALUE"""),"")</f>
        <v/>
      </c>
      <c r="K827" s="4" t="str">
        <f>IFERROR(__xludf.DUMMYFUNCTION("""COMPUTED_VALUE"""),"")</f>
        <v/>
      </c>
    </row>
    <row r="828">
      <c r="A828" s="4" t="str">
        <f>IFERROR(__xludf.DUMMYFUNCTION("""COMPUTED_VALUE"""),"")</f>
        <v/>
      </c>
      <c r="B828" s="4" t="str">
        <f>IFERROR(__xludf.DUMMYFUNCTION("""COMPUTED_VALUE"""),"")</f>
        <v/>
      </c>
      <c r="C828" s="4" t="str">
        <f>IFERROR(__xludf.DUMMYFUNCTION("""COMPUTED_VALUE"""),"")</f>
        <v/>
      </c>
      <c r="D828" s="4" t="str">
        <f>IFERROR(__xludf.DUMMYFUNCTION("""COMPUTED_VALUE"""),"")</f>
        <v/>
      </c>
      <c r="E828" s="4" t="str">
        <f>IFERROR(__xludf.DUMMYFUNCTION("""COMPUTED_VALUE"""),"")</f>
        <v/>
      </c>
      <c r="F828" s="4" t="str">
        <f>IFERROR(__xludf.DUMMYFUNCTION("""COMPUTED_VALUE"""),"")</f>
        <v/>
      </c>
      <c r="G828" s="4" t="str">
        <f>IFERROR(__xludf.DUMMYFUNCTION("""COMPUTED_VALUE"""),"")</f>
        <v/>
      </c>
      <c r="H828" s="4" t="str">
        <f>IFERROR(__xludf.DUMMYFUNCTION("""COMPUTED_VALUE"""),"")</f>
        <v/>
      </c>
      <c r="I828" s="4" t="str">
        <f>IFERROR(__xludf.DUMMYFUNCTION("""COMPUTED_VALUE"""),"")</f>
        <v/>
      </c>
      <c r="J828" s="4" t="str">
        <f>IFERROR(__xludf.DUMMYFUNCTION("""COMPUTED_VALUE"""),"")</f>
        <v/>
      </c>
      <c r="K828" s="4" t="str">
        <f>IFERROR(__xludf.DUMMYFUNCTION("""COMPUTED_VALUE"""),"")</f>
        <v/>
      </c>
    </row>
    <row r="829">
      <c r="A829" s="4" t="str">
        <f>IFERROR(__xludf.DUMMYFUNCTION("""COMPUTED_VALUE"""),"")</f>
        <v/>
      </c>
      <c r="B829" s="4" t="str">
        <f>IFERROR(__xludf.DUMMYFUNCTION("""COMPUTED_VALUE"""),"")</f>
        <v/>
      </c>
      <c r="C829" s="4" t="str">
        <f>IFERROR(__xludf.DUMMYFUNCTION("""COMPUTED_VALUE"""),"")</f>
        <v/>
      </c>
      <c r="D829" s="4" t="str">
        <f>IFERROR(__xludf.DUMMYFUNCTION("""COMPUTED_VALUE"""),"")</f>
        <v/>
      </c>
      <c r="E829" s="4" t="str">
        <f>IFERROR(__xludf.DUMMYFUNCTION("""COMPUTED_VALUE"""),"")</f>
        <v/>
      </c>
      <c r="F829" s="4" t="str">
        <f>IFERROR(__xludf.DUMMYFUNCTION("""COMPUTED_VALUE"""),"")</f>
        <v/>
      </c>
      <c r="G829" s="4" t="str">
        <f>IFERROR(__xludf.DUMMYFUNCTION("""COMPUTED_VALUE"""),"")</f>
        <v/>
      </c>
      <c r="H829" s="4" t="str">
        <f>IFERROR(__xludf.DUMMYFUNCTION("""COMPUTED_VALUE"""),"")</f>
        <v/>
      </c>
      <c r="I829" s="4" t="str">
        <f>IFERROR(__xludf.DUMMYFUNCTION("""COMPUTED_VALUE"""),"")</f>
        <v/>
      </c>
      <c r="J829" s="4" t="str">
        <f>IFERROR(__xludf.DUMMYFUNCTION("""COMPUTED_VALUE"""),"")</f>
        <v/>
      </c>
      <c r="K829" s="4" t="str">
        <f>IFERROR(__xludf.DUMMYFUNCTION("""COMPUTED_VALUE"""),"")</f>
        <v/>
      </c>
    </row>
    <row r="830">
      <c r="A830" s="4" t="str">
        <f>IFERROR(__xludf.DUMMYFUNCTION("""COMPUTED_VALUE"""),"")</f>
        <v/>
      </c>
      <c r="B830" s="4" t="str">
        <f>IFERROR(__xludf.DUMMYFUNCTION("""COMPUTED_VALUE"""),"")</f>
        <v/>
      </c>
      <c r="C830" s="4" t="str">
        <f>IFERROR(__xludf.DUMMYFUNCTION("""COMPUTED_VALUE"""),"")</f>
        <v/>
      </c>
      <c r="D830" s="4" t="str">
        <f>IFERROR(__xludf.DUMMYFUNCTION("""COMPUTED_VALUE"""),"")</f>
        <v/>
      </c>
      <c r="E830" s="4" t="str">
        <f>IFERROR(__xludf.DUMMYFUNCTION("""COMPUTED_VALUE"""),"")</f>
        <v/>
      </c>
      <c r="F830" s="4" t="str">
        <f>IFERROR(__xludf.DUMMYFUNCTION("""COMPUTED_VALUE"""),"")</f>
        <v/>
      </c>
      <c r="G830" s="4" t="str">
        <f>IFERROR(__xludf.DUMMYFUNCTION("""COMPUTED_VALUE"""),"")</f>
        <v/>
      </c>
      <c r="H830" s="4" t="str">
        <f>IFERROR(__xludf.DUMMYFUNCTION("""COMPUTED_VALUE"""),"")</f>
        <v/>
      </c>
      <c r="I830" s="4" t="str">
        <f>IFERROR(__xludf.DUMMYFUNCTION("""COMPUTED_VALUE"""),"")</f>
        <v/>
      </c>
      <c r="J830" s="4" t="str">
        <f>IFERROR(__xludf.DUMMYFUNCTION("""COMPUTED_VALUE"""),"")</f>
        <v/>
      </c>
      <c r="K830" s="4" t="str">
        <f>IFERROR(__xludf.DUMMYFUNCTION("""COMPUTED_VALUE"""),"")</f>
        <v/>
      </c>
    </row>
    <row r="831">
      <c r="A831" s="4" t="str">
        <f>IFERROR(__xludf.DUMMYFUNCTION("""COMPUTED_VALUE"""),"")</f>
        <v/>
      </c>
      <c r="B831" s="4" t="str">
        <f>IFERROR(__xludf.DUMMYFUNCTION("""COMPUTED_VALUE"""),"")</f>
        <v/>
      </c>
      <c r="C831" s="4" t="str">
        <f>IFERROR(__xludf.DUMMYFUNCTION("""COMPUTED_VALUE"""),"")</f>
        <v/>
      </c>
      <c r="D831" s="4" t="str">
        <f>IFERROR(__xludf.DUMMYFUNCTION("""COMPUTED_VALUE"""),"")</f>
        <v/>
      </c>
      <c r="E831" s="4" t="str">
        <f>IFERROR(__xludf.DUMMYFUNCTION("""COMPUTED_VALUE"""),"")</f>
        <v/>
      </c>
      <c r="F831" s="4" t="str">
        <f>IFERROR(__xludf.DUMMYFUNCTION("""COMPUTED_VALUE"""),"")</f>
        <v/>
      </c>
      <c r="G831" s="4" t="str">
        <f>IFERROR(__xludf.DUMMYFUNCTION("""COMPUTED_VALUE"""),"")</f>
        <v/>
      </c>
      <c r="H831" s="4" t="str">
        <f>IFERROR(__xludf.DUMMYFUNCTION("""COMPUTED_VALUE"""),"")</f>
        <v/>
      </c>
      <c r="I831" s="4" t="str">
        <f>IFERROR(__xludf.DUMMYFUNCTION("""COMPUTED_VALUE"""),"")</f>
        <v/>
      </c>
      <c r="J831" s="4" t="str">
        <f>IFERROR(__xludf.DUMMYFUNCTION("""COMPUTED_VALUE"""),"")</f>
        <v/>
      </c>
      <c r="K831" s="4" t="str">
        <f>IFERROR(__xludf.DUMMYFUNCTION("""COMPUTED_VALUE"""),"")</f>
        <v/>
      </c>
    </row>
    <row r="832">
      <c r="A832" s="4" t="str">
        <f>IFERROR(__xludf.DUMMYFUNCTION("""COMPUTED_VALUE"""),"")</f>
        <v/>
      </c>
      <c r="B832" s="4" t="str">
        <f>IFERROR(__xludf.DUMMYFUNCTION("""COMPUTED_VALUE"""),"")</f>
        <v/>
      </c>
      <c r="C832" s="4" t="str">
        <f>IFERROR(__xludf.DUMMYFUNCTION("""COMPUTED_VALUE"""),"")</f>
        <v/>
      </c>
      <c r="D832" s="4" t="str">
        <f>IFERROR(__xludf.DUMMYFUNCTION("""COMPUTED_VALUE"""),"")</f>
        <v/>
      </c>
      <c r="E832" s="4" t="str">
        <f>IFERROR(__xludf.DUMMYFUNCTION("""COMPUTED_VALUE"""),"")</f>
        <v/>
      </c>
      <c r="F832" s="4" t="str">
        <f>IFERROR(__xludf.DUMMYFUNCTION("""COMPUTED_VALUE"""),"")</f>
        <v/>
      </c>
      <c r="G832" s="4" t="str">
        <f>IFERROR(__xludf.DUMMYFUNCTION("""COMPUTED_VALUE"""),"")</f>
        <v/>
      </c>
      <c r="H832" s="4" t="str">
        <f>IFERROR(__xludf.DUMMYFUNCTION("""COMPUTED_VALUE"""),"")</f>
        <v/>
      </c>
      <c r="I832" s="4" t="str">
        <f>IFERROR(__xludf.DUMMYFUNCTION("""COMPUTED_VALUE"""),"")</f>
        <v/>
      </c>
      <c r="J832" s="4" t="str">
        <f>IFERROR(__xludf.DUMMYFUNCTION("""COMPUTED_VALUE"""),"")</f>
        <v/>
      </c>
      <c r="K832" s="4" t="str">
        <f>IFERROR(__xludf.DUMMYFUNCTION("""COMPUTED_VALUE"""),"")</f>
        <v/>
      </c>
    </row>
    <row r="833">
      <c r="A833" s="4" t="str">
        <f>IFERROR(__xludf.DUMMYFUNCTION("""COMPUTED_VALUE"""),"")</f>
        <v/>
      </c>
      <c r="B833" s="4" t="str">
        <f>IFERROR(__xludf.DUMMYFUNCTION("""COMPUTED_VALUE"""),"")</f>
        <v/>
      </c>
      <c r="C833" s="4" t="str">
        <f>IFERROR(__xludf.DUMMYFUNCTION("""COMPUTED_VALUE"""),"")</f>
        <v/>
      </c>
      <c r="D833" s="4" t="str">
        <f>IFERROR(__xludf.DUMMYFUNCTION("""COMPUTED_VALUE"""),"")</f>
        <v/>
      </c>
      <c r="E833" s="4" t="str">
        <f>IFERROR(__xludf.DUMMYFUNCTION("""COMPUTED_VALUE"""),"")</f>
        <v/>
      </c>
      <c r="F833" s="4" t="str">
        <f>IFERROR(__xludf.DUMMYFUNCTION("""COMPUTED_VALUE"""),"")</f>
        <v/>
      </c>
      <c r="G833" s="4" t="str">
        <f>IFERROR(__xludf.DUMMYFUNCTION("""COMPUTED_VALUE"""),"")</f>
        <v/>
      </c>
      <c r="H833" s="4" t="str">
        <f>IFERROR(__xludf.DUMMYFUNCTION("""COMPUTED_VALUE"""),"")</f>
        <v/>
      </c>
      <c r="I833" s="4" t="str">
        <f>IFERROR(__xludf.DUMMYFUNCTION("""COMPUTED_VALUE"""),"")</f>
        <v/>
      </c>
      <c r="J833" s="4" t="str">
        <f>IFERROR(__xludf.DUMMYFUNCTION("""COMPUTED_VALUE"""),"")</f>
        <v/>
      </c>
      <c r="K833" s="4" t="str">
        <f>IFERROR(__xludf.DUMMYFUNCTION("""COMPUTED_VALUE"""),"")</f>
        <v/>
      </c>
    </row>
    <row r="834">
      <c r="A834" s="4" t="str">
        <f>IFERROR(__xludf.DUMMYFUNCTION("""COMPUTED_VALUE"""),"")</f>
        <v/>
      </c>
      <c r="B834" s="4" t="str">
        <f>IFERROR(__xludf.DUMMYFUNCTION("""COMPUTED_VALUE"""),"")</f>
        <v/>
      </c>
      <c r="C834" s="4" t="str">
        <f>IFERROR(__xludf.DUMMYFUNCTION("""COMPUTED_VALUE"""),"")</f>
        <v/>
      </c>
      <c r="D834" s="4" t="str">
        <f>IFERROR(__xludf.DUMMYFUNCTION("""COMPUTED_VALUE"""),"")</f>
        <v/>
      </c>
      <c r="E834" s="4" t="str">
        <f>IFERROR(__xludf.DUMMYFUNCTION("""COMPUTED_VALUE"""),"")</f>
        <v/>
      </c>
      <c r="F834" s="4" t="str">
        <f>IFERROR(__xludf.DUMMYFUNCTION("""COMPUTED_VALUE"""),"")</f>
        <v/>
      </c>
      <c r="G834" s="4" t="str">
        <f>IFERROR(__xludf.DUMMYFUNCTION("""COMPUTED_VALUE"""),"")</f>
        <v/>
      </c>
      <c r="H834" s="4" t="str">
        <f>IFERROR(__xludf.DUMMYFUNCTION("""COMPUTED_VALUE"""),"")</f>
        <v/>
      </c>
      <c r="I834" s="4" t="str">
        <f>IFERROR(__xludf.DUMMYFUNCTION("""COMPUTED_VALUE"""),"")</f>
        <v/>
      </c>
      <c r="J834" s="4" t="str">
        <f>IFERROR(__xludf.DUMMYFUNCTION("""COMPUTED_VALUE"""),"")</f>
        <v/>
      </c>
      <c r="K834" s="4" t="str">
        <f>IFERROR(__xludf.DUMMYFUNCTION("""COMPUTED_VALUE"""),"")</f>
        <v/>
      </c>
    </row>
    <row r="835">
      <c r="A835" s="4" t="str">
        <f>IFERROR(__xludf.DUMMYFUNCTION("""COMPUTED_VALUE"""),"")</f>
        <v/>
      </c>
      <c r="B835" s="4" t="str">
        <f>IFERROR(__xludf.DUMMYFUNCTION("""COMPUTED_VALUE"""),"")</f>
        <v/>
      </c>
      <c r="C835" s="4" t="str">
        <f>IFERROR(__xludf.DUMMYFUNCTION("""COMPUTED_VALUE"""),"")</f>
        <v/>
      </c>
      <c r="D835" s="4" t="str">
        <f>IFERROR(__xludf.DUMMYFUNCTION("""COMPUTED_VALUE"""),"")</f>
        <v/>
      </c>
      <c r="E835" s="4" t="str">
        <f>IFERROR(__xludf.DUMMYFUNCTION("""COMPUTED_VALUE"""),"")</f>
        <v/>
      </c>
      <c r="F835" s="4" t="str">
        <f>IFERROR(__xludf.DUMMYFUNCTION("""COMPUTED_VALUE"""),"")</f>
        <v/>
      </c>
      <c r="G835" s="4" t="str">
        <f>IFERROR(__xludf.DUMMYFUNCTION("""COMPUTED_VALUE"""),"")</f>
        <v/>
      </c>
      <c r="H835" s="4" t="str">
        <f>IFERROR(__xludf.DUMMYFUNCTION("""COMPUTED_VALUE"""),"")</f>
        <v/>
      </c>
      <c r="I835" s="4" t="str">
        <f>IFERROR(__xludf.DUMMYFUNCTION("""COMPUTED_VALUE"""),"")</f>
        <v/>
      </c>
      <c r="J835" s="4" t="str">
        <f>IFERROR(__xludf.DUMMYFUNCTION("""COMPUTED_VALUE"""),"")</f>
        <v/>
      </c>
      <c r="K835" s="4" t="str">
        <f>IFERROR(__xludf.DUMMYFUNCTION("""COMPUTED_VALUE"""),"")</f>
        <v/>
      </c>
    </row>
    <row r="836">
      <c r="A836" s="4" t="str">
        <f>IFERROR(__xludf.DUMMYFUNCTION("""COMPUTED_VALUE"""),"")</f>
        <v/>
      </c>
      <c r="B836" s="4" t="str">
        <f>IFERROR(__xludf.DUMMYFUNCTION("""COMPUTED_VALUE"""),"")</f>
        <v/>
      </c>
      <c r="C836" s="4" t="str">
        <f>IFERROR(__xludf.DUMMYFUNCTION("""COMPUTED_VALUE"""),"")</f>
        <v/>
      </c>
      <c r="D836" s="4" t="str">
        <f>IFERROR(__xludf.DUMMYFUNCTION("""COMPUTED_VALUE"""),"")</f>
        <v/>
      </c>
      <c r="E836" s="4" t="str">
        <f>IFERROR(__xludf.DUMMYFUNCTION("""COMPUTED_VALUE"""),"")</f>
        <v/>
      </c>
      <c r="F836" s="4" t="str">
        <f>IFERROR(__xludf.DUMMYFUNCTION("""COMPUTED_VALUE"""),"")</f>
        <v/>
      </c>
      <c r="G836" s="4" t="str">
        <f>IFERROR(__xludf.DUMMYFUNCTION("""COMPUTED_VALUE"""),"")</f>
        <v/>
      </c>
      <c r="H836" s="4" t="str">
        <f>IFERROR(__xludf.DUMMYFUNCTION("""COMPUTED_VALUE"""),"")</f>
        <v/>
      </c>
      <c r="I836" s="4" t="str">
        <f>IFERROR(__xludf.DUMMYFUNCTION("""COMPUTED_VALUE"""),"")</f>
        <v/>
      </c>
      <c r="J836" s="4" t="str">
        <f>IFERROR(__xludf.DUMMYFUNCTION("""COMPUTED_VALUE"""),"")</f>
        <v/>
      </c>
      <c r="K836" s="4" t="str">
        <f>IFERROR(__xludf.DUMMYFUNCTION("""COMPUTED_VALUE"""),"")</f>
        <v/>
      </c>
    </row>
    <row r="837">
      <c r="A837" s="4" t="str">
        <f>IFERROR(__xludf.DUMMYFUNCTION("""COMPUTED_VALUE"""),"")</f>
        <v/>
      </c>
      <c r="B837" s="4" t="str">
        <f>IFERROR(__xludf.DUMMYFUNCTION("""COMPUTED_VALUE"""),"")</f>
        <v/>
      </c>
      <c r="C837" s="4" t="str">
        <f>IFERROR(__xludf.DUMMYFUNCTION("""COMPUTED_VALUE"""),"")</f>
        <v/>
      </c>
      <c r="D837" s="4" t="str">
        <f>IFERROR(__xludf.DUMMYFUNCTION("""COMPUTED_VALUE"""),"")</f>
        <v/>
      </c>
      <c r="E837" s="4" t="str">
        <f>IFERROR(__xludf.DUMMYFUNCTION("""COMPUTED_VALUE"""),"")</f>
        <v/>
      </c>
      <c r="F837" s="4" t="str">
        <f>IFERROR(__xludf.DUMMYFUNCTION("""COMPUTED_VALUE"""),"")</f>
        <v/>
      </c>
      <c r="G837" s="4" t="str">
        <f>IFERROR(__xludf.DUMMYFUNCTION("""COMPUTED_VALUE"""),"")</f>
        <v/>
      </c>
      <c r="H837" s="4" t="str">
        <f>IFERROR(__xludf.DUMMYFUNCTION("""COMPUTED_VALUE"""),"")</f>
        <v/>
      </c>
      <c r="I837" s="4" t="str">
        <f>IFERROR(__xludf.DUMMYFUNCTION("""COMPUTED_VALUE"""),"")</f>
        <v/>
      </c>
      <c r="J837" s="4" t="str">
        <f>IFERROR(__xludf.DUMMYFUNCTION("""COMPUTED_VALUE"""),"")</f>
        <v/>
      </c>
      <c r="K837" s="4" t="str">
        <f>IFERROR(__xludf.DUMMYFUNCTION("""COMPUTED_VALUE"""),"")</f>
        <v/>
      </c>
    </row>
    <row r="838">
      <c r="A838" s="4" t="str">
        <f>IFERROR(__xludf.DUMMYFUNCTION("""COMPUTED_VALUE"""),"")</f>
        <v/>
      </c>
      <c r="B838" s="4" t="str">
        <f>IFERROR(__xludf.DUMMYFUNCTION("""COMPUTED_VALUE"""),"")</f>
        <v/>
      </c>
      <c r="C838" s="4" t="str">
        <f>IFERROR(__xludf.DUMMYFUNCTION("""COMPUTED_VALUE"""),"")</f>
        <v/>
      </c>
      <c r="D838" s="4" t="str">
        <f>IFERROR(__xludf.DUMMYFUNCTION("""COMPUTED_VALUE"""),"")</f>
        <v/>
      </c>
      <c r="E838" s="4" t="str">
        <f>IFERROR(__xludf.DUMMYFUNCTION("""COMPUTED_VALUE"""),"")</f>
        <v/>
      </c>
      <c r="F838" s="4" t="str">
        <f>IFERROR(__xludf.DUMMYFUNCTION("""COMPUTED_VALUE"""),"")</f>
        <v/>
      </c>
      <c r="G838" s="4" t="str">
        <f>IFERROR(__xludf.DUMMYFUNCTION("""COMPUTED_VALUE"""),"")</f>
        <v/>
      </c>
      <c r="H838" s="4" t="str">
        <f>IFERROR(__xludf.DUMMYFUNCTION("""COMPUTED_VALUE"""),"")</f>
        <v/>
      </c>
      <c r="I838" s="4" t="str">
        <f>IFERROR(__xludf.DUMMYFUNCTION("""COMPUTED_VALUE"""),"")</f>
        <v/>
      </c>
      <c r="J838" s="4" t="str">
        <f>IFERROR(__xludf.DUMMYFUNCTION("""COMPUTED_VALUE"""),"")</f>
        <v/>
      </c>
      <c r="K838" s="4" t="str">
        <f>IFERROR(__xludf.DUMMYFUNCTION("""COMPUTED_VALUE"""),"")</f>
        <v/>
      </c>
    </row>
    <row r="839">
      <c r="A839" s="4" t="str">
        <f>IFERROR(__xludf.DUMMYFUNCTION("""COMPUTED_VALUE"""),"")</f>
        <v/>
      </c>
      <c r="B839" s="4" t="str">
        <f>IFERROR(__xludf.DUMMYFUNCTION("""COMPUTED_VALUE"""),"")</f>
        <v/>
      </c>
      <c r="C839" s="4" t="str">
        <f>IFERROR(__xludf.DUMMYFUNCTION("""COMPUTED_VALUE"""),"")</f>
        <v/>
      </c>
      <c r="D839" s="4" t="str">
        <f>IFERROR(__xludf.DUMMYFUNCTION("""COMPUTED_VALUE"""),"")</f>
        <v/>
      </c>
      <c r="E839" s="4" t="str">
        <f>IFERROR(__xludf.DUMMYFUNCTION("""COMPUTED_VALUE"""),"")</f>
        <v/>
      </c>
      <c r="F839" s="4" t="str">
        <f>IFERROR(__xludf.DUMMYFUNCTION("""COMPUTED_VALUE"""),"")</f>
        <v/>
      </c>
      <c r="G839" s="4" t="str">
        <f>IFERROR(__xludf.DUMMYFUNCTION("""COMPUTED_VALUE"""),"")</f>
        <v/>
      </c>
      <c r="H839" s="4" t="str">
        <f>IFERROR(__xludf.DUMMYFUNCTION("""COMPUTED_VALUE"""),"")</f>
        <v/>
      </c>
      <c r="I839" s="4" t="str">
        <f>IFERROR(__xludf.DUMMYFUNCTION("""COMPUTED_VALUE"""),"")</f>
        <v/>
      </c>
      <c r="J839" s="4" t="str">
        <f>IFERROR(__xludf.DUMMYFUNCTION("""COMPUTED_VALUE"""),"")</f>
        <v/>
      </c>
      <c r="K839" s="4" t="str">
        <f>IFERROR(__xludf.DUMMYFUNCTION("""COMPUTED_VALUE"""),"")</f>
        <v/>
      </c>
    </row>
    <row r="840">
      <c r="A840" s="4" t="str">
        <f>IFERROR(__xludf.DUMMYFUNCTION("""COMPUTED_VALUE"""),"")</f>
        <v/>
      </c>
      <c r="B840" s="4" t="str">
        <f>IFERROR(__xludf.DUMMYFUNCTION("""COMPUTED_VALUE"""),"")</f>
        <v/>
      </c>
      <c r="C840" s="4" t="str">
        <f>IFERROR(__xludf.DUMMYFUNCTION("""COMPUTED_VALUE"""),"")</f>
        <v/>
      </c>
      <c r="D840" s="4" t="str">
        <f>IFERROR(__xludf.DUMMYFUNCTION("""COMPUTED_VALUE"""),"")</f>
        <v/>
      </c>
      <c r="E840" s="4" t="str">
        <f>IFERROR(__xludf.DUMMYFUNCTION("""COMPUTED_VALUE"""),"")</f>
        <v/>
      </c>
      <c r="F840" s="4" t="str">
        <f>IFERROR(__xludf.DUMMYFUNCTION("""COMPUTED_VALUE"""),"")</f>
        <v/>
      </c>
      <c r="G840" s="4" t="str">
        <f>IFERROR(__xludf.DUMMYFUNCTION("""COMPUTED_VALUE"""),"")</f>
        <v/>
      </c>
      <c r="H840" s="4" t="str">
        <f>IFERROR(__xludf.DUMMYFUNCTION("""COMPUTED_VALUE"""),"")</f>
        <v/>
      </c>
      <c r="I840" s="4" t="str">
        <f>IFERROR(__xludf.DUMMYFUNCTION("""COMPUTED_VALUE"""),"")</f>
        <v/>
      </c>
      <c r="J840" s="4" t="str">
        <f>IFERROR(__xludf.DUMMYFUNCTION("""COMPUTED_VALUE"""),"")</f>
        <v/>
      </c>
      <c r="K840" s="4" t="str">
        <f>IFERROR(__xludf.DUMMYFUNCTION("""COMPUTED_VALUE"""),"")</f>
        <v/>
      </c>
    </row>
    <row r="841">
      <c r="A841" s="4" t="str">
        <f>IFERROR(__xludf.DUMMYFUNCTION("""COMPUTED_VALUE"""),"")</f>
        <v/>
      </c>
      <c r="B841" s="4" t="str">
        <f>IFERROR(__xludf.DUMMYFUNCTION("""COMPUTED_VALUE"""),"")</f>
        <v/>
      </c>
      <c r="C841" s="4" t="str">
        <f>IFERROR(__xludf.DUMMYFUNCTION("""COMPUTED_VALUE"""),"")</f>
        <v/>
      </c>
      <c r="D841" s="4" t="str">
        <f>IFERROR(__xludf.DUMMYFUNCTION("""COMPUTED_VALUE"""),"")</f>
        <v/>
      </c>
      <c r="E841" s="4" t="str">
        <f>IFERROR(__xludf.DUMMYFUNCTION("""COMPUTED_VALUE"""),"")</f>
        <v/>
      </c>
      <c r="F841" s="4" t="str">
        <f>IFERROR(__xludf.DUMMYFUNCTION("""COMPUTED_VALUE"""),"")</f>
        <v/>
      </c>
      <c r="G841" s="4" t="str">
        <f>IFERROR(__xludf.DUMMYFUNCTION("""COMPUTED_VALUE"""),"")</f>
        <v/>
      </c>
      <c r="H841" s="4" t="str">
        <f>IFERROR(__xludf.DUMMYFUNCTION("""COMPUTED_VALUE"""),"")</f>
        <v/>
      </c>
      <c r="I841" s="4" t="str">
        <f>IFERROR(__xludf.DUMMYFUNCTION("""COMPUTED_VALUE"""),"")</f>
        <v/>
      </c>
      <c r="J841" s="4" t="str">
        <f>IFERROR(__xludf.DUMMYFUNCTION("""COMPUTED_VALUE"""),"")</f>
        <v/>
      </c>
      <c r="K841" s="4" t="str">
        <f>IFERROR(__xludf.DUMMYFUNCTION("""COMPUTED_VALUE"""),"")</f>
        <v/>
      </c>
    </row>
    <row r="842">
      <c r="A842" s="4" t="str">
        <f>IFERROR(__xludf.DUMMYFUNCTION("""COMPUTED_VALUE"""),"")</f>
        <v/>
      </c>
      <c r="B842" s="4" t="str">
        <f>IFERROR(__xludf.DUMMYFUNCTION("""COMPUTED_VALUE"""),"")</f>
        <v/>
      </c>
      <c r="C842" s="4" t="str">
        <f>IFERROR(__xludf.DUMMYFUNCTION("""COMPUTED_VALUE"""),"")</f>
        <v/>
      </c>
      <c r="D842" s="4" t="str">
        <f>IFERROR(__xludf.DUMMYFUNCTION("""COMPUTED_VALUE"""),"")</f>
        <v/>
      </c>
      <c r="E842" s="4" t="str">
        <f>IFERROR(__xludf.DUMMYFUNCTION("""COMPUTED_VALUE"""),"")</f>
        <v/>
      </c>
      <c r="F842" s="4" t="str">
        <f>IFERROR(__xludf.DUMMYFUNCTION("""COMPUTED_VALUE"""),"")</f>
        <v/>
      </c>
      <c r="G842" s="4" t="str">
        <f>IFERROR(__xludf.DUMMYFUNCTION("""COMPUTED_VALUE"""),"")</f>
        <v/>
      </c>
      <c r="H842" s="4" t="str">
        <f>IFERROR(__xludf.DUMMYFUNCTION("""COMPUTED_VALUE"""),"")</f>
        <v/>
      </c>
      <c r="I842" s="4" t="str">
        <f>IFERROR(__xludf.DUMMYFUNCTION("""COMPUTED_VALUE"""),"")</f>
        <v/>
      </c>
      <c r="J842" s="4" t="str">
        <f>IFERROR(__xludf.DUMMYFUNCTION("""COMPUTED_VALUE"""),"")</f>
        <v/>
      </c>
      <c r="K842" s="4" t="str">
        <f>IFERROR(__xludf.DUMMYFUNCTION("""COMPUTED_VALUE"""),"")</f>
        <v/>
      </c>
    </row>
    <row r="843">
      <c r="A843" s="4" t="str">
        <f>IFERROR(__xludf.DUMMYFUNCTION("""COMPUTED_VALUE"""),"")</f>
        <v/>
      </c>
      <c r="B843" s="4" t="str">
        <f>IFERROR(__xludf.DUMMYFUNCTION("""COMPUTED_VALUE"""),"")</f>
        <v/>
      </c>
      <c r="C843" s="4" t="str">
        <f>IFERROR(__xludf.DUMMYFUNCTION("""COMPUTED_VALUE"""),"")</f>
        <v/>
      </c>
      <c r="D843" s="4" t="str">
        <f>IFERROR(__xludf.DUMMYFUNCTION("""COMPUTED_VALUE"""),"")</f>
        <v/>
      </c>
      <c r="E843" s="4" t="str">
        <f>IFERROR(__xludf.DUMMYFUNCTION("""COMPUTED_VALUE"""),"")</f>
        <v/>
      </c>
      <c r="F843" s="4" t="str">
        <f>IFERROR(__xludf.DUMMYFUNCTION("""COMPUTED_VALUE"""),"")</f>
        <v/>
      </c>
      <c r="G843" s="4" t="str">
        <f>IFERROR(__xludf.DUMMYFUNCTION("""COMPUTED_VALUE"""),"")</f>
        <v/>
      </c>
      <c r="H843" s="4" t="str">
        <f>IFERROR(__xludf.DUMMYFUNCTION("""COMPUTED_VALUE"""),"")</f>
        <v/>
      </c>
      <c r="I843" s="4" t="str">
        <f>IFERROR(__xludf.DUMMYFUNCTION("""COMPUTED_VALUE"""),"")</f>
        <v/>
      </c>
      <c r="J843" s="4" t="str">
        <f>IFERROR(__xludf.DUMMYFUNCTION("""COMPUTED_VALUE"""),"")</f>
        <v/>
      </c>
      <c r="K843" s="4" t="str">
        <f>IFERROR(__xludf.DUMMYFUNCTION("""COMPUTED_VALUE"""),"")</f>
        <v/>
      </c>
    </row>
    <row r="844">
      <c r="A844" s="4" t="str">
        <f>IFERROR(__xludf.DUMMYFUNCTION("""COMPUTED_VALUE"""),"")</f>
        <v/>
      </c>
      <c r="B844" s="4" t="str">
        <f>IFERROR(__xludf.DUMMYFUNCTION("""COMPUTED_VALUE"""),"")</f>
        <v/>
      </c>
      <c r="C844" s="4" t="str">
        <f>IFERROR(__xludf.DUMMYFUNCTION("""COMPUTED_VALUE"""),"")</f>
        <v/>
      </c>
      <c r="D844" s="4" t="str">
        <f>IFERROR(__xludf.DUMMYFUNCTION("""COMPUTED_VALUE"""),"")</f>
        <v/>
      </c>
      <c r="E844" s="4" t="str">
        <f>IFERROR(__xludf.DUMMYFUNCTION("""COMPUTED_VALUE"""),"")</f>
        <v/>
      </c>
      <c r="F844" s="4" t="str">
        <f>IFERROR(__xludf.DUMMYFUNCTION("""COMPUTED_VALUE"""),"")</f>
        <v/>
      </c>
      <c r="G844" s="4" t="str">
        <f>IFERROR(__xludf.DUMMYFUNCTION("""COMPUTED_VALUE"""),"")</f>
        <v/>
      </c>
      <c r="H844" s="4" t="str">
        <f>IFERROR(__xludf.DUMMYFUNCTION("""COMPUTED_VALUE"""),"")</f>
        <v/>
      </c>
      <c r="I844" s="4" t="str">
        <f>IFERROR(__xludf.DUMMYFUNCTION("""COMPUTED_VALUE"""),"")</f>
        <v/>
      </c>
      <c r="J844" s="4" t="str">
        <f>IFERROR(__xludf.DUMMYFUNCTION("""COMPUTED_VALUE"""),"")</f>
        <v/>
      </c>
      <c r="K844" s="4" t="str">
        <f>IFERROR(__xludf.DUMMYFUNCTION("""COMPUTED_VALUE"""),"")</f>
        <v/>
      </c>
    </row>
    <row r="845">
      <c r="A845" s="4" t="str">
        <f>IFERROR(__xludf.DUMMYFUNCTION("""COMPUTED_VALUE"""),"")</f>
        <v/>
      </c>
      <c r="B845" s="4" t="str">
        <f>IFERROR(__xludf.DUMMYFUNCTION("""COMPUTED_VALUE"""),"")</f>
        <v/>
      </c>
      <c r="C845" s="4" t="str">
        <f>IFERROR(__xludf.DUMMYFUNCTION("""COMPUTED_VALUE"""),"")</f>
        <v/>
      </c>
      <c r="D845" s="4" t="str">
        <f>IFERROR(__xludf.DUMMYFUNCTION("""COMPUTED_VALUE"""),"")</f>
        <v/>
      </c>
      <c r="E845" s="4" t="str">
        <f>IFERROR(__xludf.DUMMYFUNCTION("""COMPUTED_VALUE"""),"")</f>
        <v/>
      </c>
      <c r="F845" s="4" t="str">
        <f>IFERROR(__xludf.DUMMYFUNCTION("""COMPUTED_VALUE"""),"")</f>
        <v/>
      </c>
      <c r="G845" s="4" t="str">
        <f>IFERROR(__xludf.DUMMYFUNCTION("""COMPUTED_VALUE"""),"")</f>
        <v/>
      </c>
      <c r="H845" s="4" t="str">
        <f>IFERROR(__xludf.DUMMYFUNCTION("""COMPUTED_VALUE"""),"")</f>
        <v/>
      </c>
      <c r="I845" s="4" t="str">
        <f>IFERROR(__xludf.DUMMYFUNCTION("""COMPUTED_VALUE"""),"")</f>
        <v/>
      </c>
      <c r="J845" s="4" t="str">
        <f>IFERROR(__xludf.DUMMYFUNCTION("""COMPUTED_VALUE"""),"")</f>
        <v/>
      </c>
      <c r="K845" s="4" t="str">
        <f>IFERROR(__xludf.DUMMYFUNCTION("""COMPUTED_VALUE"""),"")</f>
        <v/>
      </c>
    </row>
    <row r="846">
      <c r="A846" s="4" t="str">
        <f>IFERROR(__xludf.DUMMYFUNCTION("""COMPUTED_VALUE"""),"")</f>
        <v/>
      </c>
      <c r="B846" s="4" t="str">
        <f>IFERROR(__xludf.DUMMYFUNCTION("""COMPUTED_VALUE"""),"")</f>
        <v/>
      </c>
      <c r="C846" s="4" t="str">
        <f>IFERROR(__xludf.DUMMYFUNCTION("""COMPUTED_VALUE"""),"")</f>
        <v/>
      </c>
      <c r="D846" s="4" t="str">
        <f>IFERROR(__xludf.DUMMYFUNCTION("""COMPUTED_VALUE"""),"")</f>
        <v/>
      </c>
      <c r="E846" s="4" t="str">
        <f>IFERROR(__xludf.DUMMYFUNCTION("""COMPUTED_VALUE"""),"")</f>
        <v/>
      </c>
      <c r="F846" s="4" t="str">
        <f>IFERROR(__xludf.DUMMYFUNCTION("""COMPUTED_VALUE"""),"")</f>
        <v/>
      </c>
      <c r="G846" s="4" t="str">
        <f>IFERROR(__xludf.DUMMYFUNCTION("""COMPUTED_VALUE"""),"")</f>
        <v/>
      </c>
      <c r="H846" s="4" t="str">
        <f>IFERROR(__xludf.DUMMYFUNCTION("""COMPUTED_VALUE"""),"")</f>
        <v/>
      </c>
      <c r="I846" s="4" t="str">
        <f>IFERROR(__xludf.DUMMYFUNCTION("""COMPUTED_VALUE"""),"")</f>
        <v/>
      </c>
      <c r="J846" s="4" t="str">
        <f>IFERROR(__xludf.DUMMYFUNCTION("""COMPUTED_VALUE"""),"")</f>
        <v/>
      </c>
      <c r="K846" s="4" t="str">
        <f>IFERROR(__xludf.DUMMYFUNCTION("""COMPUTED_VALUE"""),"")</f>
        <v/>
      </c>
    </row>
    <row r="847">
      <c r="A847" s="4" t="str">
        <f>IFERROR(__xludf.DUMMYFUNCTION("""COMPUTED_VALUE"""),"")</f>
        <v/>
      </c>
      <c r="B847" s="4" t="str">
        <f>IFERROR(__xludf.DUMMYFUNCTION("""COMPUTED_VALUE"""),"")</f>
        <v/>
      </c>
      <c r="C847" s="4" t="str">
        <f>IFERROR(__xludf.DUMMYFUNCTION("""COMPUTED_VALUE"""),"")</f>
        <v/>
      </c>
      <c r="D847" s="4" t="str">
        <f>IFERROR(__xludf.DUMMYFUNCTION("""COMPUTED_VALUE"""),"")</f>
        <v/>
      </c>
      <c r="E847" s="4" t="str">
        <f>IFERROR(__xludf.DUMMYFUNCTION("""COMPUTED_VALUE"""),"")</f>
        <v/>
      </c>
      <c r="F847" s="4" t="str">
        <f>IFERROR(__xludf.DUMMYFUNCTION("""COMPUTED_VALUE"""),"")</f>
        <v/>
      </c>
      <c r="G847" s="4" t="str">
        <f>IFERROR(__xludf.DUMMYFUNCTION("""COMPUTED_VALUE"""),"")</f>
        <v/>
      </c>
      <c r="H847" s="4" t="str">
        <f>IFERROR(__xludf.DUMMYFUNCTION("""COMPUTED_VALUE"""),"")</f>
        <v/>
      </c>
      <c r="I847" s="4" t="str">
        <f>IFERROR(__xludf.DUMMYFUNCTION("""COMPUTED_VALUE"""),"")</f>
        <v/>
      </c>
      <c r="J847" s="4" t="str">
        <f>IFERROR(__xludf.DUMMYFUNCTION("""COMPUTED_VALUE"""),"")</f>
        <v/>
      </c>
      <c r="K847" s="4" t="str">
        <f>IFERROR(__xludf.DUMMYFUNCTION("""COMPUTED_VALUE"""),"")</f>
        <v/>
      </c>
    </row>
    <row r="848">
      <c r="A848" s="4" t="str">
        <f>IFERROR(__xludf.DUMMYFUNCTION("""COMPUTED_VALUE"""),"")</f>
        <v/>
      </c>
      <c r="B848" s="4" t="str">
        <f>IFERROR(__xludf.DUMMYFUNCTION("""COMPUTED_VALUE"""),"")</f>
        <v/>
      </c>
      <c r="C848" s="4" t="str">
        <f>IFERROR(__xludf.DUMMYFUNCTION("""COMPUTED_VALUE"""),"")</f>
        <v/>
      </c>
      <c r="D848" s="4" t="str">
        <f>IFERROR(__xludf.DUMMYFUNCTION("""COMPUTED_VALUE"""),"")</f>
        <v/>
      </c>
      <c r="E848" s="4" t="str">
        <f>IFERROR(__xludf.DUMMYFUNCTION("""COMPUTED_VALUE"""),"")</f>
        <v/>
      </c>
      <c r="F848" s="4" t="str">
        <f>IFERROR(__xludf.DUMMYFUNCTION("""COMPUTED_VALUE"""),"")</f>
        <v/>
      </c>
      <c r="G848" s="4" t="str">
        <f>IFERROR(__xludf.DUMMYFUNCTION("""COMPUTED_VALUE"""),"")</f>
        <v/>
      </c>
      <c r="H848" s="4" t="str">
        <f>IFERROR(__xludf.DUMMYFUNCTION("""COMPUTED_VALUE"""),"")</f>
        <v/>
      </c>
      <c r="I848" s="4" t="str">
        <f>IFERROR(__xludf.DUMMYFUNCTION("""COMPUTED_VALUE"""),"")</f>
        <v/>
      </c>
      <c r="J848" s="4" t="str">
        <f>IFERROR(__xludf.DUMMYFUNCTION("""COMPUTED_VALUE"""),"")</f>
        <v/>
      </c>
      <c r="K848" s="4" t="str">
        <f>IFERROR(__xludf.DUMMYFUNCTION("""COMPUTED_VALUE"""),"")</f>
        <v/>
      </c>
    </row>
    <row r="849">
      <c r="A849" s="4" t="str">
        <f>IFERROR(__xludf.DUMMYFUNCTION("""COMPUTED_VALUE"""),"")</f>
        <v/>
      </c>
      <c r="B849" s="4" t="str">
        <f>IFERROR(__xludf.DUMMYFUNCTION("""COMPUTED_VALUE"""),"")</f>
        <v/>
      </c>
      <c r="C849" s="4" t="str">
        <f>IFERROR(__xludf.DUMMYFUNCTION("""COMPUTED_VALUE"""),"")</f>
        <v/>
      </c>
      <c r="D849" s="4" t="str">
        <f>IFERROR(__xludf.DUMMYFUNCTION("""COMPUTED_VALUE"""),"")</f>
        <v/>
      </c>
      <c r="E849" s="4" t="str">
        <f>IFERROR(__xludf.DUMMYFUNCTION("""COMPUTED_VALUE"""),"")</f>
        <v/>
      </c>
      <c r="F849" s="4" t="str">
        <f>IFERROR(__xludf.DUMMYFUNCTION("""COMPUTED_VALUE"""),"")</f>
        <v/>
      </c>
      <c r="G849" s="4" t="str">
        <f>IFERROR(__xludf.DUMMYFUNCTION("""COMPUTED_VALUE"""),"")</f>
        <v/>
      </c>
      <c r="H849" s="4" t="str">
        <f>IFERROR(__xludf.DUMMYFUNCTION("""COMPUTED_VALUE"""),"")</f>
        <v/>
      </c>
      <c r="I849" s="4" t="str">
        <f>IFERROR(__xludf.DUMMYFUNCTION("""COMPUTED_VALUE"""),"")</f>
        <v/>
      </c>
      <c r="J849" s="4" t="str">
        <f>IFERROR(__xludf.DUMMYFUNCTION("""COMPUTED_VALUE"""),"")</f>
        <v/>
      </c>
      <c r="K849" s="4" t="str">
        <f>IFERROR(__xludf.DUMMYFUNCTION("""COMPUTED_VALUE"""),"")</f>
        <v/>
      </c>
    </row>
    <row r="850">
      <c r="A850" s="4" t="str">
        <f>IFERROR(__xludf.DUMMYFUNCTION("""COMPUTED_VALUE"""),"")</f>
        <v/>
      </c>
      <c r="B850" s="4" t="str">
        <f>IFERROR(__xludf.DUMMYFUNCTION("""COMPUTED_VALUE"""),"")</f>
        <v/>
      </c>
      <c r="C850" s="4" t="str">
        <f>IFERROR(__xludf.DUMMYFUNCTION("""COMPUTED_VALUE"""),"")</f>
        <v/>
      </c>
      <c r="D850" s="4" t="str">
        <f>IFERROR(__xludf.DUMMYFUNCTION("""COMPUTED_VALUE"""),"")</f>
        <v/>
      </c>
      <c r="E850" s="4" t="str">
        <f>IFERROR(__xludf.DUMMYFUNCTION("""COMPUTED_VALUE"""),"")</f>
        <v/>
      </c>
      <c r="F850" s="4" t="str">
        <f>IFERROR(__xludf.DUMMYFUNCTION("""COMPUTED_VALUE"""),"")</f>
        <v/>
      </c>
      <c r="G850" s="4" t="str">
        <f>IFERROR(__xludf.DUMMYFUNCTION("""COMPUTED_VALUE"""),"")</f>
        <v/>
      </c>
      <c r="H850" s="4" t="str">
        <f>IFERROR(__xludf.DUMMYFUNCTION("""COMPUTED_VALUE"""),"")</f>
        <v/>
      </c>
      <c r="I850" s="4" t="str">
        <f>IFERROR(__xludf.DUMMYFUNCTION("""COMPUTED_VALUE"""),"")</f>
        <v/>
      </c>
      <c r="J850" s="4" t="str">
        <f>IFERROR(__xludf.DUMMYFUNCTION("""COMPUTED_VALUE"""),"")</f>
        <v/>
      </c>
      <c r="K850" s="4" t="str">
        <f>IFERROR(__xludf.DUMMYFUNCTION("""COMPUTED_VALUE"""),"")</f>
        <v/>
      </c>
    </row>
    <row r="851">
      <c r="A851" s="4" t="str">
        <f>IFERROR(__xludf.DUMMYFUNCTION("""COMPUTED_VALUE"""),"")</f>
        <v/>
      </c>
      <c r="B851" s="4" t="str">
        <f>IFERROR(__xludf.DUMMYFUNCTION("""COMPUTED_VALUE"""),"")</f>
        <v/>
      </c>
      <c r="C851" s="4" t="str">
        <f>IFERROR(__xludf.DUMMYFUNCTION("""COMPUTED_VALUE"""),"")</f>
        <v/>
      </c>
      <c r="D851" s="4" t="str">
        <f>IFERROR(__xludf.DUMMYFUNCTION("""COMPUTED_VALUE"""),"")</f>
        <v/>
      </c>
      <c r="E851" s="4" t="str">
        <f>IFERROR(__xludf.DUMMYFUNCTION("""COMPUTED_VALUE"""),"")</f>
        <v/>
      </c>
      <c r="F851" s="4" t="str">
        <f>IFERROR(__xludf.DUMMYFUNCTION("""COMPUTED_VALUE"""),"")</f>
        <v/>
      </c>
      <c r="G851" s="4" t="str">
        <f>IFERROR(__xludf.DUMMYFUNCTION("""COMPUTED_VALUE"""),"")</f>
        <v/>
      </c>
      <c r="H851" s="4" t="str">
        <f>IFERROR(__xludf.DUMMYFUNCTION("""COMPUTED_VALUE"""),"")</f>
        <v/>
      </c>
      <c r="I851" s="4" t="str">
        <f>IFERROR(__xludf.DUMMYFUNCTION("""COMPUTED_VALUE"""),"")</f>
        <v/>
      </c>
      <c r="J851" s="4" t="str">
        <f>IFERROR(__xludf.DUMMYFUNCTION("""COMPUTED_VALUE"""),"")</f>
        <v/>
      </c>
      <c r="K851" s="4" t="str">
        <f>IFERROR(__xludf.DUMMYFUNCTION("""COMPUTED_VALUE"""),"")</f>
        <v/>
      </c>
    </row>
    <row r="852">
      <c r="A852" s="4" t="str">
        <f>IFERROR(__xludf.DUMMYFUNCTION("""COMPUTED_VALUE"""),"")</f>
        <v/>
      </c>
      <c r="B852" s="4" t="str">
        <f>IFERROR(__xludf.DUMMYFUNCTION("""COMPUTED_VALUE"""),"")</f>
        <v/>
      </c>
      <c r="C852" s="4" t="str">
        <f>IFERROR(__xludf.DUMMYFUNCTION("""COMPUTED_VALUE"""),"")</f>
        <v/>
      </c>
      <c r="D852" s="4" t="str">
        <f>IFERROR(__xludf.DUMMYFUNCTION("""COMPUTED_VALUE"""),"")</f>
        <v/>
      </c>
      <c r="E852" s="4" t="str">
        <f>IFERROR(__xludf.DUMMYFUNCTION("""COMPUTED_VALUE"""),"")</f>
        <v/>
      </c>
      <c r="F852" s="4" t="str">
        <f>IFERROR(__xludf.DUMMYFUNCTION("""COMPUTED_VALUE"""),"")</f>
        <v/>
      </c>
      <c r="G852" s="4" t="str">
        <f>IFERROR(__xludf.DUMMYFUNCTION("""COMPUTED_VALUE"""),"")</f>
        <v/>
      </c>
      <c r="H852" s="4" t="str">
        <f>IFERROR(__xludf.DUMMYFUNCTION("""COMPUTED_VALUE"""),"")</f>
        <v/>
      </c>
      <c r="I852" s="4" t="str">
        <f>IFERROR(__xludf.DUMMYFUNCTION("""COMPUTED_VALUE"""),"")</f>
        <v/>
      </c>
      <c r="J852" s="4" t="str">
        <f>IFERROR(__xludf.DUMMYFUNCTION("""COMPUTED_VALUE"""),"")</f>
        <v/>
      </c>
      <c r="K852" s="4" t="str">
        <f>IFERROR(__xludf.DUMMYFUNCTION("""COMPUTED_VALUE"""),"")</f>
        <v/>
      </c>
    </row>
    <row r="853">
      <c r="A853" s="4" t="str">
        <f>IFERROR(__xludf.DUMMYFUNCTION("""COMPUTED_VALUE"""),"")</f>
        <v/>
      </c>
      <c r="B853" s="4" t="str">
        <f>IFERROR(__xludf.DUMMYFUNCTION("""COMPUTED_VALUE"""),"")</f>
        <v/>
      </c>
      <c r="C853" s="4" t="str">
        <f>IFERROR(__xludf.DUMMYFUNCTION("""COMPUTED_VALUE"""),"")</f>
        <v/>
      </c>
      <c r="D853" s="4" t="str">
        <f>IFERROR(__xludf.DUMMYFUNCTION("""COMPUTED_VALUE"""),"")</f>
        <v/>
      </c>
      <c r="E853" s="4" t="str">
        <f>IFERROR(__xludf.DUMMYFUNCTION("""COMPUTED_VALUE"""),"")</f>
        <v/>
      </c>
      <c r="F853" s="4" t="str">
        <f>IFERROR(__xludf.DUMMYFUNCTION("""COMPUTED_VALUE"""),"")</f>
        <v/>
      </c>
      <c r="G853" s="4" t="str">
        <f>IFERROR(__xludf.DUMMYFUNCTION("""COMPUTED_VALUE"""),"")</f>
        <v/>
      </c>
      <c r="H853" s="4" t="str">
        <f>IFERROR(__xludf.DUMMYFUNCTION("""COMPUTED_VALUE"""),"")</f>
        <v/>
      </c>
      <c r="I853" s="4" t="str">
        <f>IFERROR(__xludf.DUMMYFUNCTION("""COMPUTED_VALUE"""),"")</f>
        <v/>
      </c>
      <c r="J853" s="4" t="str">
        <f>IFERROR(__xludf.DUMMYFUNCTION("""COMPUTED_VALUE"""),"")</f>
        <v/>
      </c>
      <c r="K853" s="4" t="str">
        <f>IFERROR(__xludf.DUMMYFUNCTION("""COMPUTED_VALUE"""),"")</f>
        <v/>
      </c>
    </row>
    <row r="854">
      <c r="A854" s="4" t="str">
        <f>IFERROR(__xludf.DUMMYFUNCTION("""COMPUTED_VALUE"""),"")</f>
        <v/>
      </c>
      <c r="B854" s="4" t="str">
        <f>IFERROR(__xludf.DUMMYFUNCTION("""COMPUTED_VALUE"""),"")</f>
        <v/>
      </c>
      <c r="C854" s="4" t="str">
        <f>IFERROR(__xludf.DUMMYFUNCTION("""COMPUTED_VALUE"""),"")</f>
        <v/>
      </c>
      <c r="D854" s="4" t="str">
        <f>IFERROR(__xludf.DUMMYFUNCTION("""COMPUTED_VALUE"""),"")</f>
        <v/>
      </c>
      <c r="E854" s="4" t="str">
        <f>IFERROR(__xludf.DUMMYFUNCTION("""COMPUTED_VALUE"""),"")</f>
        <v/>
      </c>
      <c r="F854" s="4" t="str">
        <f>IFERROR(__xludf.DUMMYFUNCTION("""COMPUTED_VALUE"""),"")</f>
        <v/>
      </c>
      <c r="G854" s="4" t="str">
        <f>IFERROR(__xludf.DUMMYFUNCTION("""COMPUTED_VALUE"""),"")</f>
        <v/>
      </c>
      <c r="H854" s="4" t="str">
        <f>IFERROR(__xludf.DUMMYFUNCTION("""COMPUTED_VALUE"""),"")</f>
        <v/>
      </c>
      <c r="I854" s="4" t="str">
        <f>IFERROR(__xludf.DUMMYFUNCTION("""COMPUTED_VALUE"""),"")</f>
        <v/>
      </c>
      <c r="J854" s="4" t="str">
        <f>IFERROR(__xludf.DUMMYFUNCTION("""COMPUTED_VALUE"""),"")</f>
        <v/>
      </c>
      <c r="K854" s="4" t="str">
        <f>IFERROR(__xludf.DUMMYFUNCTION("""COMPUTED_VALUE"""),"")</f>
        <v/>
      </c>
    </row>
    <row r="855">
      <c r="A855" s="4" t="str">
        <f>IFERROR(__xludf.DUMMYFUNCTION("""COMPUTED_VALUE"""),"")</f>
        <v/>
      </c>
      <c r="B855" s="4" t="str">
        <f>IFERROR(__xludf.DUMMYFUNCTION("""COMPUTED_VALUE"""),"")</f>
        <v/>
      </c>
      <c r="C855" s="4" t="str">
        <f>IFERROR(__xludf.DUMMYFUNCTION("""COMPUTED_VALUE"""),"")</f>
        <v/>
      </c>
      <c r="D855" s="4" t="str">
        <f>IFERROR(__xludf.DUMMYFUNCTION("""COMPUTED_VALUE"""),"")</f>
        <v/>
      </c>
      <c r="E855" s="4" t="str">
        <f>IFERROR(__xludf.DUMMYFUNCTION("""COMPUTED_VALUE"""),"")</f>
        <v/>
      </c>
      <c r="F855" s="4" t="str">
        <f>IFERROR(__xludf.DUMMYFUNCTION("""COMPUTED_VALUE"""),"")</f>
        <v/>
      </c>
      <c r="G855" s="4" t="str">
        <f>IFERROR(__xludf.DUMMYFUNCTION("""COMPUTED_VALUE"""),"")</f>
        <v/>
      </c>
      <c r="H855" s="4" t="str">
        <f>IFERROR(__xludf.DUMMYFUNCTION("""COMPUTED_VALUE"""),"")</f>
        <v/>
      </c>
      <c r="I855" s="4" t="str">
        <f>IFERROR(__xludf.DUMMYFUNCTION("""COMPUTED_VALUE"""),"")</f>
        <v/>
      </c>
      <c r="J855" s="4" t="str">
        <f>IFERROR(__xludf.DUMMYFUNCTION("""COMPUTED_VALUE"""),"")</f>
        <v/>
      </c>
      <c r="K855" s="4" t="str">
        <f>IFERROR(__xludf.DUMMYFUNCTION("""COMPUTED_VALUE"""),"")</f>
        <v/>
      </c>
    </row>
    <row r="856">
      <c r="A856" s="4" t="str">
        <f>IFERROR(__xludf.DUMMYFUNCTION("""COMPUTED_VALUE"""),"")</f>
        <v/>
      </c>
      <c r="B856" s="4" t="str">
        <f>IFERROR(__xludf.DUMMYFUNCTION("""COMPUTED_VALUE"""),"")</f>
        <v/>
      </c>
      <c r="C856" s="4" t="str">
        <f>IFERROR(__xludf.DUMMYFUNCTION("""COMPUTED_VALUE"""),"")</f>
        <v/>
      </c>
      <c r="D856" s="4" t="str">
        <f>IFERROR(__xludf.DUMMYFUNCTION("""COMPUTED_VALUE"""),"")</f>
        <v/>
      </c>
      <c r="E856" s="4" t="str">
        <f>IFERROR(__xludf.DUMMYFUNCTION("""COMPUTED_VALUE"""),"")</f>
        <v/>
      </c>
      <c r="F856" s="4" t="str">
        <f>IFERROR(__xludf.DUMMYFUNCTION("""COMPUTED_VALUE"""),"")</f>
        <v/>
      </c>
      <c r="G856" s="4" t="str">
        <f>IFERROR(__xludf.DUMMYFUNCTION("""COMPUTED_VALUE"""),"")</f>
        <v/>
      </c>
      <c r="H856" s="4" t="str">
        <f>IFERROR(__xludf.DUMMYFUNCTION("""COMPUTED_VALUE"""),"")</f>
        <v/>
      </c>
      <c r="I856" s="4" t="str">
        <f>IFERROR(__xludf.DUMMYFUNCTION("""COMPUTED_VALUE"""),"")</f>
        <v/>
      </c>
      <c r="J856" s="4" t="str">
        <f>IFERROR(__xludf.DUMMYFUNCTION("""COMPUTED_VALUE"""),"")</f>
        <v/>
      </c>
      <c r="K856" s="4" t="str">
        <f>IFERROR(__xludf.DUMMYFUNCTION("""COMPUTED_VALUE"""),"")</f>
        <v/>
      </c>
    </row>
    <row r="857">
      <c r="A857" s="4" t="str">
        <f>IFERROR(__xludf.DUMMYFUNCTION("""COMPUTED_VALUE"""),"")</f>
        <v/>
      </c>
      <c r="B857" s="4" t="str">
        <f>IFERROR(__xludf.DUMMYFUNCTION("""COMPUTED_VALUE"""),"")</f>
        <v/>
      </c>
      <c r="C857" s="4" t="str">
        <f>IFERROR(__xludf.DUMMYFUNCTION("""COMPUTED_VALUE"""),"")</f>
        <v/>
      </c>
      <c r="D857" s="4" t="str">
        <f>IFERROR(__xludf.DUMMYFUNCTION("""COMPUTED_VALUE"""),"")</f>
        <v/>
      </c>
      <c r="E857" s="4" t="str">
        <f>IFERROR(__xludf.DUMMYFUNCTION("""COMPUTED_VALUE"""),"")</f>
        <v/>
      </c>
      <c r="F857" s="4" t="str">
        <f>IFERROR(__xludf.DUMMYFUNCTION("""COMPUTED_VALUE"""),"")</f>
        <v/>
      </c>
      <c r="G857" s="4" t="str">
        <f>IFERROR(__xludf.DUMMYFUNCTION("""COMPUTED_VALUE"""),"")</f>
        <v/>
      </c>
      <c r="H857" s="4" t="str">
        <f>IFERROR(__xludf.DUMMYFUNCTION("""COMPUTED_VALUE"""),"")</f>
        <v/>
      </c>
      <c r="I857" s="4" t="str">
        <f>IFERROR(__xludf.DUMMYFUNCTION("""COMPUTED_VALUE"""),"")</f>
        <v/>
      </c>
      <c r="J857" s="4" t="str">
        <f>IFERROR(__xludf.DUMMYFUNCTION("""COMPUTED_VALUE"""),"")</f>
        <v/>
      </c>
      <c r="K857" s="4" t="str">
        <f>IFERROR(__xludf.DUMMYFUNCTION("""COMPUTED_VALUE"""),"")</f>
        <v/>
      </c>
    </row>
    <row r="858">
      <c r="A858" s="4" t="str">
        <f>IFERROR(__xludf.DUMMYFUNCTION("""COMPUTED_VALUE"""),"")</f>
        <v/>
      </c>
      <c r="B858" s="4" t="str">
        <f>IFERROR(__xludf.DUMMYFUNCTION("""COMPUTED_VALUE"""),"")</f>
        <v/>
      </c>
      <c r="C858" s="4" t="str">
        <f>IFERROR(__xludf.DUMMYFUNCTION("""COMPUTED_VALUE"""),"")</f>
        <v/>
      </c>
      <c r="D858" s="4" t="str">
        <f>IFERROR(__xludf.DUMMYFUNCTION("""COMPUTED_VALUE"""),"")</f>
        <v/>
      </c>
      <c r="E858" s="4" t="str">
        <f>IFERROR(__xludf.DUMMYFUNCTION("""COMPUTED_VALUE"""),"")</f>
        <v/>
      </c>
      <c r="F858" s="4" t="str">
        <f>IFERROR(__xludf.DUMMYFUNCTION("""COMPUTED_VALUE"""),"")</f>
        <v/>
      </c>
      <c r="G858" s="4" t="str">
        <f>IFERROR(__xludf.DUMMYFUNCTION("""COMPUTED_VALUE"""),"")</f>
        <v/>
      </c>
      <c r="H858" s="4" t="str">
        <f>IFERROR(__xludf.DUMMYFUNCTION("""COMPUTED_VALUE"""),"")</f>
        <v/>
      </c>
      <c r="I858" s="4" t="str">
        <f>IFERROR(__xludf.DUMMYFUNCTION("""COMPUTED_VALUE"""),"")</f>
        <v/>
      </c>
      <c r="J858" s="4" t="str">
        <f>IFERROR(__xludf.DUMMYFUNCTION("""COMPUTED_VALUE"""),"")</f>
        <v/>
      </c>
      <c r="K858" s="4" t="str">
        <f>IFERROR(__xludf.DUMMYFUNCTION("""COMPUTED_VALUE"""),"")</f>
        <v/>
      </c>
    </row>
    <row r="859">
      <c r="A859" s="4" t="str">
        <f>IFERROR(__xludf.DUMMYFUNCTION("""COMPUTED_VALUE"""),"")</f>
        <v/>
      </c>
      <c r="B859" s="4" t="str">
        <f>IFERROR(__xludf.DUMMYFUNCTION("""COMPUTED_VALUE"""),"")</f>
        <v/>
      </c>
      <c r="C859" s="4" t="str">
        <f>IFERROR(__xludf.DUMMYFUNCTION("""COMPUTED_VALUE"""),"")</f>
        <v/>
      </c>
      <c r="D859" s="4" t="str">
        <f>IFERROR(__xludf.DUMMYFUNCTION("""COMPUTED_VALUE"""),"")</f>
        <v/>
      </c>
      <c r="E859" s="4" t="str">
        <f>IFERROR(__xludf.DUMMYFUNCTION("""COMPUTED_VALUE"""),"")</f>
        <v/>
      </c>
      <c r="F859" s="4" t="str">
        <f>IFERROR(__xludf.DUMMYFUNCTION("""COMPUTED_VALUE"""),"")</f>
        <v/>
      </c>
      <c r="G859" s="4" t="str">
        <f>IFERROR(__xludf.DUMMYFUNCTION("""COMPUTED_VALUE"""),"")</f>
        <v/>
      </c>
      <c r="H859" s="4" t="str">
        <f>IFERROR(__xludf.DUMMYFUNCTION("""COMPUTED_VALUE"""),"")</f>
        <v/>
      </c>
      <c r="I859" s="4" t="str">
        <f>IFERROR(__xludf.DUMMYFUNCTION("""COMPUTED_VALUE"""),"")</f>
        <v/>
      </c>
      <c r="J859" s="4" t="str">
        <f>IFERROR(__xludf.DUMMYFUNCTION("""COMPUTED_VALUE"""),"")</f>
        <v/>
      </c>
      <c r="K859" s="4" t="str">
        <f>IFERROR(__xludf.DUMMYFUNCTION("""COMPUTED_VALUE"""),"")</f>
        <v/>
      </c>
    </row>
    <row r="860">
      <c r="A860" s="4" t="str">
        <f>IFERROR(__xludf.DUMMYFUNCTION("""COMPUTED_VALUE"""),"")</f>
        <v/>
      </c>
      <c r="B860" s="4" t="str">
        <f>IFERROR(__xludf.DUMMYFUNCTION("""COMPUTED_VALUE"""),"")</f>
        <v/>
      </c>
      <c r="C860" s="4" t="str">
        <f>IFERROR(__xludf.DUMMYFUNCTION("""COMPUTED_VALUE"""),"")</f>
        <v/>
      </c>
      <c r="D860" s="4" t="str">
        <f>IFERROR(__xludf.DUMMYFUNCTION("""COMPUTED_VALUE"""),"")</f>
        <v/>
      </c>
      <c r="E860" s="4" t="str">
        <f>IFERROR(__xludf.DUMMYFUNCTION("""COMPUTED_VALUE"""),"")</f>
        <v/>
      </c>
      <c r="F860" s="4" t="str">
        <f>IFERROR(__xludf.DUMMYFUNCTION("""COMPUTED_VALUE"""),"")</f>
        <v/>
      </c>
      <c r="G860" s="4" t="str">
        <f>IFERROR(__xludf.DUMMYFUNCTION("""COMPUTED_VALUE"""),"")</f>
        <v/>
      </c>
      <c r="H860" s="4" t="str">
        <f>IFERROR(__xludf.DUMMYFUNCTION("""COMPUTED_VALUE"""),"")</f>
        <v/>
      </c>
      <c r="I860" s="4" t="str">
        <f>IFERROR(__xludf.DUMMYFUNCTION("""COMPUTED_VALUE"""),"")</f>
        <v/>
      </c>
      <c r="J860" s="4" t="str">
        <f>IFERROR(__xludf.DUMMYFUNCTION("""COMPUTED_VALUE"""),"")</f>
        <v/>
      </c>
      <c r="K860" s="4" t="str">
        <f>IFERROR(__xludf.DUMMYFUNCTION("""COMPUTED_VALUE"""),"")</f>
        <v/>
      </c>
    </row>
    <row r="861">
      <c r="A861" s="4" t="str">
        <f>IFERROR(__xludf.DUMMYFUNCTION("""COMPUTED_VALUE"""),"")</f>
        <v/>
      </c>
      <c r="B861" s="4" t="str">
        <f>IFERROR(__xludf.DUMMYFUNCTION("""COMPUTED_VALUE"""),"")</f>
        <v/>
      </c>
      <c r="C861" s="4" t="str">
        <f>IFERROR(__xludf.DUMMYFUNCTION("""COMPUTED_VALUE"""),"")</f>
        <v/>
      </c>
      <c r="D861" s="4" t="str">
        <f>IFERROR(__xludf.DUMMYFUNCTION("""COMPUTED_VALUE"""),"")</f>
        <v/>
      </c>
      <c r="E861" s="4" t="str">
        <f>IFERROR(__xludf.DUMMYFUNCTION("""COMPUTED_VALUE"""),"")</f>
        <v/>
      </c>
      <c r="F861" s="4" t="str">
        <f>IFERROR(__xludf.DUMMYFUNCTION("""COMPUTED_VALUE"""),"")</f>
        <v/>
      </c>
      <c r="G861" s="4" t="str">
        <f>IFERROR(__xludf.DUMMYFUNCTION("""COMPUTED_VALUE"""),"")</f>
        <v/>
      </c>
      <c r="H861" s="4" t="str">
        <f>IFERROR(__xludf.DUMMYFUNCTION("""COMPUTED_VALUE"""),"")</f>
        <v/>
      </c>
      <c r="I861" s="4" t="str">
        <f>IFERROR(__xludf.DUMMYFUNCTION("""COMPUTED_VALUE"""),"")</f>
        <v/>
      </c>
      <c r="J861" s="4" t="str">
        <f>IFERROR(__xludf.DUMMYFUNCTION("""COMPUTED_VALUE"""),"")</f>
        <v/>
      </c>
      <c r="K861" s="4" t="str">
        <f>IFERROR(__xludf.DUMMYFUNCTION("""COMPUTED_VALUE"""),"")</f>
        <v/>
      </c>
    </row>
    <row r="862">
      <c r="A862" s="4" t="str">
        <f>IFERROR(__xludf.DUMMYFUNCTION("""COMPUTED_VALUE"""),"")</f>
        <v/>
      </c>
      <c r="B862" s="4" t="str">
        <f>IFERROR(__xludf.DUMMYFUNCTION("""COMPUTED_VALUE"""),"")</f>
        <v/>
      </c>
      <c r="C862" s="4" t="str">
        <f>IFERROR(__xludf.DUMMYFUNCTION("""COMPUTED_VALUE"""),"")</f>
        <v/>
      </c>
      <c r="D862" s="4" t="str">
        <f>IFERROR(__xludf.DUMMYFUNCTION("""COMPUTED_VALUE"""),"")</f>
        <v/>
      </c>
      <c r="E862" s="4" t="str">
        <f>IFERROR(__xludf.DUMMYFUNCTION("""COMPUTED_VALUE"""),"")</f>
        <v/>
      </c>
      <c r="F862" s="4" t="str">
        <f>IFERROR(__xludf.DUMMYFUNCTION("""COMPUTED_VALUE"""),"")</f>
        <v/>
      </c>
      <c r="G862" s="4" t="str">
        <f>IFERROR(__xludf.DUMMYFUNCTION("""COMPUTED_VALUE"""),"")</f>
        <v/>
      </c>
      <c r="H862" s="4" t="str">
        <f>IFERROR(__xludf.DUMMYFUNCTION("""COMPUTED_VALUE"""),"")</f>
        <v/>
      </c>
      <c r="I862" s="4" t="str">
        <f>IFERROR(__xludf.DUMMYFUNCTION("""COMPUTED_VALUE"""),"")</f>
        <v/>
      </c>
      <c r="J862" s="4" t="str">
        <f>IFERROR(__xludf.DUMMYFUNCTION("""COMPUTED_VALUE"""),"")</f>
        <v/>
      </c>
      <c r="K862" s="4" t="str">
        <f>IFERROR(__xludf.DUMMYFUNCTION("""COMPUTED_VALUE"""),"")</f>
        <v/>
      </c>
    </row>
    <row r="863">
      <c r="A863" s="4" t="str">
        <f>IFERROR(__xludf.DUMMYFUNCTION("""COMPUTED_VALUE"""),"")</f>
        <v/>
      </c>
      <c r="B863" s="4" t="str">
        <f>IFERROR(__xludf.DUMMYFUNCTION("""COMPUTED_VALUE"""),"")</f>
        <v/>
      </c>
      <c r="C863" s="4" t="str">
        <f>IFERROR(__xludf.DUMMYFUNCTION("""COMPUTED_VALUE"""),"")</f>
        <v/>
      </c>
      <c r="D863" s="4" t="str">
        <f>IFERROR(__xludf.DUMMYFUNCTION("""COMPUTED_VALUE"""),"")</f>
        <v/>
      </c>
      <c r="E863" s="4" t="str">
        <f>IFERROR(__xludf.DUMMYFUNCTION("""COMPUTED_VALUE"""),"")</f>
        <v/>
      </c>
      <c r="F863" s="4" t="str">
        <f>IFERROR(__xludf.DUMMYFUNCTION("""COMPUTED_VALUE"""),"")</f>
        <v/>
      </c>
      <c r="G863" s="4" t="str">
        <f>IFERROR(__xludf.DUMMYFUNCTION("""COMPUTED_VALUE"""),"")</f>
        <v/>
      </c>
      <c r="H863" s="4" t="str">
        <f>IFERROR(__xludf.DUMMYFUNCTION("""COMPUTED_VALUE"""),"")</f>
        <v/>
      </c>
      <c r="I863" s="4" t="str">
        <f>IFERROR(__xludf.DUMMYFUNCTION("""COMPUTED_VALUE"""),"")</f>
        <v/>
      </c>
      <c r="J863" s="4" t="str">
        <f>IFERROR(__xludf.DUMMYFUNCTION("""COMPUTED_VALUE"""),"")</f>
        <v/>
      </c>
      <c r="K863" s="4" t="str">
        <f>IFERROR(__xludf.DUMMYFUNCTION("""COMPUTED_VALUE"""),"")</f>
        <v/>
      </c>
    </row>
    <row r="864">
      <c r="A864" s="4" t="str">
        <f>IFERROR(__xludf.DUMMYFUNCTION("""COMPUTED_VALUE"""),"")</f>
        <v/>
      </c>
      <c r="B864" s="4" t="str">
        <f>IFERROR(__xludf.DUMMYFUNCTION("""COMPUTED_VALUE"""),"")</f>
        <v/>
      </c>
      <c r="C864" s="4" t="str">
        <f>IFERROR(__xludf.DUMMYFUNCTION("""COMPUTED_VALUE"""),"")</f>
        <v/>
      </c>
      <c r="D864" s="4" t="str">
        <f>IFERROR(__xludf.DUMMYFUNCTION("""COMPUTED_VALUE"""),"")</f>
        <v/>
      </c>
      <c r="E864" s="4" t="str">
        <f>IFERROR(__xludf.DUMMYFUNCTION("""COMPUTED_VALUE"""),"")</f>
        <v/>
      </c>
      <c r="F864" s="4" t="str">
        <f>IFERROR(__xludf.DUMMYFUNCTION("""COMPUTED_VALUE"""),"")</f>
        <v/>
      </c>
      <c r="G864" s="4" t="str">
        <f>IFERROR(__xludf.DUMMYFUNCTION("""COMPUTED_VALUE"""),"")</f>
        <v/>
      </c>
      <c r="H864" s="4" t="str">
        <f>IFERROR(__xludf.DUMMYFUNCTION("""COMPUTED_VALUE"""),"")</f>
        <v/>
      </c>
      <c r="I864" s="4" t="str">
        <f>IFERROR(__xludf.DUMMYFUNCTION("""COMPUTED_VALUE"""),"")</f>
        <v/>
      </c>
      <c r="J864" s="4" t="str">
        <f>IFERROR(__xludf.DUMMYFUNCTION("""COMPUTED_VALUE"""),"")</f>
        <v/>
      </c>
      <c r="K864" s="4" t="str">
        <f>IFERROR(__xludf.DUMMYFUNCTION("""COMPUTED_VALUE"""),"")</f>
        <v/>
      </c>
    </row>
    <row r="865">
      <c r="A865" s="4" t="str">
        <f>IFERROR(__xludf.DUMMYFUNCTION("""COMPUTED_VALUE"""),"")</f>
        <v/>
      </c>
      <c r="B865" s="4" t="str">
        <f>IFERROR(__xludf.DUMMYFUNCTION("""COMPUTED_VALUE"""),"")</f>
        <v/>
      </c>
      <c r="C865" s="4" t="str">
        <f>IFERROR(__xludf.DUMMYFUNCTION("""COMPUTED_VALUE"""),"")</f>
        <v/>
      </c>
      <c r="D865" s="4" t="str">
        <f>IFERROR(__xludf.DUMMYFUNCTION("""COMPUTED_VALUE"""),"")</f>
        <v/>
      </c>
      <c r="E865" s="4" t="str">
        <f>IFERROR(__xludf.DUMMYFUNCTION("""COMPUTED_VALUE"""),"")</f>
        <v/>
      </c>
      <c r="F865" s="4" t="str">
        <f>IFERROR(__xludf.DUMMYFUNCTION("""COMPUTED_VALUE"""),"")</f>
        <v/>
      </c>
      <c r="G865" s="4" t="str">
        <f>IFERROR(__xludf.DUMMYFUNCTION("""COMPUTED_VALUE"""),"")</f>
        <v/>
      </c>
      <c r="H865" s="4" t="str">
        <f>IFERROR(__xludf.DUMMYFUNCTION("""COMPUTED_VALUE"""),"")</f>
        <v/>
      </c>
      <c r="I865" s="4" t="str">
        <f>IFERROR(__xludf.DUMMYFUNCTION("""COMPUTED_VALUE"""),"")</f>
        <v/>
      </c>
      <c r="J865" s="4" t="str">
        <f>IFERROR(__xludf.DUMMYFUNCTION("""COMPUTED_VALUE"""),"")</f>
        <v/>
      </c>
      <c r="K865" s="4" t="str">
        <f>IFERROR(__xludf.DUMMYFUNCTION("""COMPUTED_VALUE"""),"")</f>
        <v/>
      </c>
    </row>
    <row r="866">
      <c r="A866" s="4" t="str">
        <f>IFERROR(__xludf.DUMMYFUNCTION("""COMPUTED_VALUE"""),"")</f>
        <v/>
      </c>
      <c r="B866" s="4" t="str">
        <f>IFERROR(__xludf.DUMMYFUNCTION("""COMPUTED_VALUE"""),"")</f>
        <v/>
      </c>
      <c r="C866" s="4" t="str">
        <f>IFERROR(__xludf.DUMMYFUNCTION("""COMPUTED_VALUE"""),"")</f>
        <v/>
      </c>
      <c r="D866" s="4" t="str">
        <f>IFERROR(__xludf.DUMMYFUNCTION("""COMPUTED_VALUE"""),"")</f>
        <v/>
      </c>
      <c r="E866" s="4" t="str">
        <f>IFERROR(__xludf.DUMMYFUNCTION("""COMPUTED_VALUE"""),"")</f>
        <v/>
      </c>
      <c r="F866" s="4" t="str">
        <f>IFERROR(__xludf.DUMMYFUNCTION("""COMPUTED_VALUE"""),"")</f>
        <v/>
      </c>
      <c r="G866" s="4" t="str">
        <f>IFERROR(__xludf.DUMMYFUNCTION("""COMPUTED_VALUE"""),"")</f>
        <v/>
      </c>
      <c r="H866" s="4" t="str">
        <f>IFERROR(__xludf.DUMMYFUNCTION("""COMPUTED_VALUE"""),"")</f>
        <v/>
      </c>
      <c r="I866" s="4" t="str">
        <f>IFERROR(__xludf.DUMMYFUNCTION("""COMPUTED_VALUE"""),"")</f>
        <v/>
      </c>
      <c r="J866" s="4" t="str">
        <f>IFERROR(__xludf.DUMMYFUNCTION("""COMPUTED_VALUE"""),"")</f>
        <v/>
      </c>
      <c r="K866" s="4" t="str">
        <f>IFERROR(__xludf.DUMMYFUNCTION("""COMPUTED_VALUE"""),"")</f>
        <v/>
      </c>
    </row>
    <row r="867">
      <c r="A867" s="4" t="str">
        <f>IFERROR(__xludf.DUMMYFUNCTION("""COMPUTED_VALUE"""),"")</f>
        <v/>
      </c>
      <c r="B867" s="4" t="str">
        <f>IFERROR(__xludf.DUMMYFUNCTION("""COMPUTED_VALUE"""),"")</f>
        <v/>
      </c>
      <c r="C867" s="4" t="str">
        <f>IFERROR(__xludf.DUMMYFUNCTION("""COMPUTED_VALUE"""),"")</f>
        <v/>
      </c>
      <c r="D867" s="4" t="str">
        <f>IFERROR(__xludf.DUMMYFUNCTION("""COMPUTED_VALUE"""),"")</f>
        <v/>
      </c>
      <c r="E867" s="4" t="str">
        <f>IFERROR(__xludf.DUMMYFUNCTION("""COMPUTED_VALUE"""),"")</f>
        <v/>
      </c>
      <c r="F867" s="4" t="str">
        <f>IFERROR(__xludf.DUMMYFUNCTION("""COMPUTED_VALUE"""),"")</f>
        <v/>
      </c>
      <c r="G867" s="4" t="str">
        <f>IFERROR(__xludf.DUMMYFUNCTION("""COMPUTED_VALUE"""),"")</f>
        <v/>
      </c>
      <c r="H867" s="4" t="str">
        <f>IFERROR(__xludf.DUMMYFUNCTION("""COMPUTED_VALUE"""),"")</f>
        <v/>
      </c>
      <c r="I867" s="4" t="str">
        <f>IFERROR(__xludf.DUMMYFUNCTION("""COMPUTED_VALUE"""),"")</f>
        <v/>
      </c>
      <c r="J867" s="4" t="str">
        <f>IFERROR(__xludf.DUMMYFUNCTION("""COMPUTED_VALUE"""),"")</f>
        <v/>
      </c>
      <c r="K867" s="4" t="str">
        <f>IFERROR(__xludf.DUMMYFUNCTION("""COMPUTED_VALUE"""),"")</f>
        <v/>
      </c>
    </row>
    <row r="868">
      <c r="A868" s="4" t="str">
        <f>IFERROR(__xludf.DUMMYFUNCTION("""COMPUTED_VALUE"""),"")</f>
        <v/>
      </c>
      <c r="B868" s="4" t="str">
        <f>IFERROR(__xludf.DUMMYFUNCTION("""COMPUTED_VALUE"""),"")</f>
        <v/>
      </c>
      <c r="C868" s="4" t="str">
        <f>IFERROR(__xludf.DUMMYFUNCTION("""COMPUTED_VALUE"""),"")</f>
        <v/>
      </c>
      <c r="D868" s="4" t="str">
        <f>IFERROR(__xludf.DUMMYFUNCTION("""COMPUTED_VALUE"""),"")</f>
        <v/>
      </c>
      <c r="E868" s="4" t="str">
        <f>IFERROR(__xludf.DUMMYFUNCTION("""COMPUTED_VALUE"""),"")</f>
        <v/>
      </c>
      <c r="F868" s="4" t="str">
        <f>IFERROR(__xludf.DUMMYFUNCTION("""COMPUTED_VALUE"""),"")</f>
        <v/>
      </c>
      <c r="G868" s="4" t="str">
        <f>IFERROR(__xludf.DUMMYFUNCTION("""COMPUTED_VALUE"""),"")</f>
        <v/>
      </c>
      <c r="H868" s="4" t="str">
        <f>IFERROR(__xludf.DUMMYFUNCTION("""COMPUTED_VALUE"""),"")</f>
        <v/>
      </c>
      <c r="I868" s="4" t="str">
        <f>IFERROR(__xludf.DUMMYFUNCTION("""COMPUTED_VALUE"""),"")</f>
        <v/>
      </c>
      <c r="J868" s="4" t="str">
        <f>IFERROR(__xludf.DUMMYFUNCTION("""COMPUTED_VALUE"""),"")</f>
        <v/>
      </c>
      <c r="K868" s="4" t="str">
        <f>IFERROR(__xludf.DUMMYFUNCTION("""COMPUTED_VALUE"""),"")</f>
        <v/>
      </c>
    </row>
    <row r="869">
      <c r="A869" s="4" t="str">
        <f>IFERROR(__xludf.DUMMYFUNCTION("""COMPUTED_VALUE"""),"")</f>
        <v/>
      </c>
      <c r="B869" s="4" t="str">
        <f>IFERROR(__xludf.DUMMYFUNCTION("""COMPUTED_VALUE"""),"")</f>
        <v/>
      </c>
      <c r="C869" s="4" t="str">
        <f>IFERROR(__xludf.DUMMYFUNCTION("""COMPUTED_VALUE"""),"")</f>
        <v/>
      </c>
      <c r="D869" s="4" t="str">
        <f>IFERROR(__xludf.DUMMYFUNCTION("""COMPUTED_VALUE"""),"")</f>
        <v/>
      </c>
      <c r="E869" s="4" t="str">
        <f>IFERROR(__xludf.DUMMYFUNCTION("""COMPUTED_VALUE"""),"")</f>
        <v/>
      </c>
      <c r="F869" s="4" t="str">
        <f>IFERROR(__xludf.DUMMYFUNCTION("""COMPUTED_VALUE"""),"")</f>
        <v/>
      </c>
      <c r="G869" s="4" t="str">
        <f>IFERROR(__xludf.DUMMYFUNCTION("""COMPUTED_VALUE"""),"")</f>
        <v/>
      </c>
      <c r="H869" s="4" t="str">
        <f>IFERROR(__xludf.DUMMYFUNCTION("""COMPUTED_VALUE"""),"")</f>
        <v/>
      </c>
      <c r="I869" s="4" t="str">
        <f>IFERROR(__xludf.DUMMYFUNCTION("""COMPUTED_VALUE"""),"")</f>
        <v/>
      </c>
      <c r="J869" s="4" t="str">
        <f>IFERROR(__xludf.DUMMYFUNCTION("""COMPUTED_VALUE"""),"")</f>
        <v/>
      </c>
      <c r="K869" s="4" t="str">
        <f>IFERROR(__xludf.DUMMYFUNCTION("""COMPUTED_VALUE"""),"")</f>
        <v/>
      </c>
    </row>
    <row r="870">
      <c r="A870" s="4" t="str">
        <f>IFERROR(__xludf.DUMMYFUNCTION("""COMPUTED_VALUE"""),"")</f>
        <v/>
      </c>
      <c r="B870" s="4" t="str">
        <f>IFERROR(__xludf.DUMMYFUNCTION("""COMPUTED_VALUE"""),"")</f>
        <v/>
      </c>
      <c r="C870" s="4" t="str">
        <f>IFERROR(__xludf.DUMMYFUNCTION("""COMPUTED_VALUE"""),"")</f>
        <v/>
      </c>
      <c r="D870" s="4" t="str">
        <f>IFERROR(__xludf.DUMMYFUNCTION("""COMPUTED_VALUE"""),"")</f>
        <v/>
      </c>
      <c r="E870" s="4" t="str">
        <f>IFERROR(__xludf.DUMMYFUNCTION("""COMPUTED_VALUE"""),"")</f>
        <v/>
      </c>
      <c r="F870" s="4" t="str">
        <f>IFERROR(__xludf.DUMMYFUNCTION("""COMPUTED_VALUE"""),"")</f>
        <v/>
      </c>
      <c r="G870" s="4" t="str">
        <f>IFERROR(__xludf.DUMMYFUNCTION("""COMPUTED_VALUE"""),"")</f>
        <v/>
      </c>
      <c r="H870" s="4" t="str">
        <f>IFERROR(__xludf.DUMMYFUNCTION("""COMPUTED_VALUE"""),"")</f>
        <v/>
      </c>
      <c r="I870" s="4" t="str">
        <f>IFERROR(__xludf.DUMMYFUNCTION("""COMPUTED_VALUE"""),"")</f>
        <v/>
      </c>
      <c r="J870" s="4" t="str">
        <f>IFERROR(__xludf.DUMMYFUNCTION("""COMPUTED_VALUE"""),"")</f>
        <v/>
      </c>
      <c r="K870" s="4" t="str">
        <f>IFERROR(__xludf.DUMMYFUNCTION("""COMPUTED_VALUE"""),"")</f>
        <v/>
      </c>
    </row>
    <row r="871">
      <c r="A871" s="4" t="str">
        <f>IFERROR(__xludf.DUMMYFUNCTION("""COMPUTED_VALUE"""),"")</f>
        <v/>
      </c>
      <c r="B871" s="4" t="str">
        <f>IFERROR(__xludf.DUMMYFUNCTION("""COMPUTED_VALUE"""),"")</f>
        <v/>
      </c>
      <c r="C871" s="4" t="str">
        <f>IFERROR(__xludf.DUMMYFUNCTION("""COMPUTED_VALUE"""),"")</f>
        <v/>
      </c>
      <c r="D871" s="4" t="str">
        <f>IFERROR(__xludf.DUMMYFUNCTION("""COMPUTED_VALUE"""),"")</f>
        <v/>
      </c>
      <c r="E871" s="4" t="str">
        <f>IFERROR(__xludf.DUMMYFUNCTION("""COMPUTED_VALUE"""),"")</f>
        <v/>
      </c>
      <c r="F871" s="4" t="str">
        <f>IFERROR(__xludf.DUMMYFUNCTION("""COMPUTED_VALUE"""),"")</f>
        <v/>
      </c>
      <c r="G871" s="4" t="str">
        <f>IFERROR(__xludf.DUMMYFUNCTION("""COMPUTED_VALUE"""),"")</f>
        <v/>
      </c>
      <c r="H871" s="4" t="str">
        <f>IFERROR(__xludf.DUMMYFUNCTION("""COMPUTED_VALUE"""),"")</f>
        <v/>
      </c>
      <c r="I871" s="4" t="str">
        <f>IFERROR(__xludf.DUMMYFUNCTION("""COMPUTED_VALUE"""),"")</f>
        <v/>
      </c>
      <c r="J871" s="4" t="str">
        <f>IFERROR(__xludf.DUMMYFUNCTION("""COMPUTED_VALUE"""),"")</f>
        <v/>
      </c>
      <c r="K871" s="4" t="str">
        <f>IFERROR(__xludf.DUMMYFUNCTION("""COMPUTED_VALUE"""),"")</f>
        <v/>
      </c>
    </row>
    <row r="872">
      <c r="A872" s="4" t="str">
        <f>IFERROR(__xludf.DUMMYFUNCTION("""COMPUTED_VALUE"""),"")</f>
        <v/>
      </c>
      <c r="B872" s="4" t="str">
        <f>IFERROR(__xludf.DUMMYFUNCTION("""COMPUTED_VALUE"""),"")</f>
        <v/>
      </c>
      <c r="C872" s="4" t="str">
        <f>IFERROR(__xludf.DUMMYFUNCTION("""COMPUTED_VALUE"""),"")</f>
        <v/>
      </c>
      <c r="D872" s="4" t="str">
        <f>IFERROR(__xludf.DUMMYFUNCTION("""COMPUTED_VALUE"""),"")</f>
        <v/>
      </c>
      <c r="E872" s="4" t="str">
        <f>IFERROR(__xludf.DUMMYFUNCTION("""COMPUTED_VALUE"""),"")</f>
        <v/>
      </c>
      <c r="F872" s="4" t="str">
        <f>IFERROR(__xludf.DUMMYFUNCTION("""COMPUTED_VALUE"""),"")</f>
        <v/>
      </c>
      <c r="G872" s="4" t="str">
        <f>IFERROR(__xludf.DUMMYFUNCTION("""COMPUTED_VALUE"""),"")</f>
        <v/>
      </c>
      <c r="H872" s="4" t="str">
        <f>IFERROR(__xludf.DUMMYFUNCTION("""COMPUTED_VALUE"""),"")</f>
        <v/>
      </c>
      <c r="I872" s="4" t="str">
        <f>IFERROR(__xludf.DUMMYFUNCTION("""COMPUTED_VALUE"""),"")</f>
        <v/>
      </c>
      <c r="J872" s="4" t="str">
        <f>IFERROR(__xludf.DUMMYFUNCTION("""COMPUTED_VALUE"""),"")</f>
        <v/>
      </c>
      <c r="K872" s="4" t="str">
        <f>IFERROR(__xludf.DUMMYFUNCTION("""COMPUTED_VALUE"""),"")</f>
        <v/>
      </c>
    </row>
    <row r="873">
      <c r="A873" s="4" t="str">
        <f>IFERROR(__xludf.DUMMYFUNCTION("""COMPUTED_VALUE"""),"")</f>
        <v/>
      </c>
      <c r="B873" s="4" t="str">
        <f>IFERROR(__xludf.DUMMYFUNCTION("""COMPUTED_VALUE"""),"")</f>
        <v/>
      </c>
      <c r="C873" s="4" t="str">
        <f>IFERROR(__xludf.DUMMYFUNCTION("""COMPUTED_VALUE"""),"")</f>
        <v/>
      </c>
      <c r="D873" s="4" t="str">
        <f>IFERROR(__xludf.DUMMYFUNCTION("""COMPUTED_VALUE"""),"")</f>
        <v/>
      </c>
      <c r="E873" s="4" t="str">
        <f>IFERROR(__xludf.DUMMYFUNCTION("""COMPUTED_VALUE"""),"")</f>
        <v/>
      </c>
      <c r="F873" s="4" t="str">
        <f>IFERROR(__xludf.DUMMYFUNCTION("""COMPUTED_VALUE"""),"")</f>
        <v/>
      </c>
      <c r="G873" s="4" t="str">
        <f>IFERROR(__xludf.DUMMYFUNCTION("""COMPUTED_VALUE"""),"")</f>
        <v/>
      </c>
      <c r="H873" s="4" t="str">
        <f>IFERROR(__xludf.DUMMYFUNCTION("""COMPUTED_VALUE"""),"")</f>
        <v/>
      </c>
      <c r="I873" s="4" t="str">
        <f>IFERROR(__xludf.DUMMYFUNCTION("""COMPUTED_VALUE"""),"")</f>
        <v/>
      </c>
      <c r="J873" s="4" t="str">
        <f>IFERROR(__xludf.DUMMYFUNCTION("""COMPUTED_VALUE"""),"")</f>
        <v/>
      </c>
      <c r="K873" s="4" t="str">
        <f>IFERROR(__xludf.DUMMYFUNCTION("""COMPUTED_VALUE"""),"")</f>
        <v/>
      </c>
    </row>
    <row r="874">
      <c r="A874" s="4" t="str">
        <f>IFERROR(__xludf.DUMMYFUNCTION("""COMPUTED_VALUE"""),"")</f>
        <v/>
      </c>
      <c r="B874" s="4" t="str">
        <f>IFERROR(__xludf.DUMMYFUNCTION("""COMPUTED_VALUE"""),"")</f>
        <v/>
      </c>
      <c r="C874" s="4" t="str">
        <f>IFERROR(__xludf.DUMMYFUNCTION("""COMPUTED_VALUE"""),"")</f>
        <v/>
      </c>
      <c r="D874" s="4" t="str">
        <f>IFERROR(__xludf.DUMMYFUNCTION("""COMPUTED_VALUE"""),"")</f>
        <v/>
      </c>
      <c r="E874" s="4" t="str">
        <f>IFERROR(__xludf.DUMMYFUNCTION("""COMPUTED_VALUE"""),"")</f>
        <v/>
      </c>
      <c r="F874" s="4" t="str">
        <f>IFERROR(__xludf.DUMMYFUNCTION("""COMPUTED_VALUE"""),"")</f>
        <v/>
      </c>
      <c r="G874" s="4" t="str">
        <f>IFERROR(__xludf.DUMMYFUNCTION("""COMPUTED_VALUE"""),"")</f>
        <v/>
      </c>
      <c r="H874" s="4" t="str">
        <f>IFERROR(__xludf.DUMMYFUNCTION("""COMPUTED_VALUE"""),"")</f>
        <v/>
      </c>
      <c r="I874" s="4" t="str">
        <f>IFERROR(__xludf.DUMMYFUNCTION("""COMPUTED_VALUE"""),"")</f>
        <v/>
      </c>
      <c r="J874" s="4" t="str">
        <f>IFERROR(__xludf.DUMMYFUNCTION("""COMPUTED_VALUE"""),"")</f>
        <v/>
      </c>
      <c r="K874" s="4" t="str">
        <f>IFERROR(__xludf.DUMMYFUNCTION("""COMPUTED_VALUE"""),"")</f>
        <v/>
      </c>
    </row>
    <row r="875">
      <c r="A875" s="4" t="str">
        <f>IFERROR(__xludf.DUMMYFUNCTION("""COMPUTED_VALUE"""),"")</f>
        <v/>
      </c>
      <c r="B875" s="4" t="str">
        <f>IFERROR(__xludf.DUMMYFUNCTION("""COMPUTED_VALUE"""),"")</f>
        <v/>
      </c>
      <c r="C875" s="4" t="str">
        <f>IFERROR(__xludf.DUMMYFUNCTION("""COMPUTED_VALUE"""),"")</f>
        <v/>
      </c>
      <c r="D875" s="4" t="str">
        <f>IFERROR(__xludf.DUMMYFUNCTION("""COMPUTED_VALUE"""),"")</f>
        <v/>
      </c>
      <c r="E875" s="4" t="str">
        <f>IFERROR(__xludf.DUMMYFUNCTION("""COMPUTED_VALUE"""),"")</f>
        <v/>
      </c>
      <c r="F875" s="4" t="str">
        <f>IFERROR(__xludf.DUMMYFUNCTION("""COMPUTED_VALUE"""),"")</f>
        <v/>
      </c>
      <c r="G875" s="4" t="str">
        <f>IFERROR(__xludf.DUMMYFUNCTION("""COMPUTED_VALUE"""),"")</f>
        <v/>
      </c>
      <c r="H875" s="4" t="str">
        <f>IFERROR(__xludf.DUMMYFUNCTION("""COMPUTED_VALUE"""),"")</f>
        <v/>
      </c>
      <c r="I875" s="4" t="str">
        <f>IFERROR(__xludf.DUMMYFUNCTION("""COMPUTED_VALUE"""),"")</f>
        <v/>
      </c>
      <c r="J875" s="4" t="str">
        <f>IFERROR(__xludf.DUMMYFUNCTION("""COMPUTED_VALUE"""),"")</f>
        <v/>
      </c>
      <c r="K875" s="4" t="str">
        <f>IFERROR(__xludf.DUMMYFUNCTION("""COMPUTED_VALUE"""),"")</f>
        <v/>
      </c>
    </row>
    <row r="876">
      <c r="A876" s="4" t="str">
        <f>IFERROR(__xludf.DUMMYFUNCTION("""COMPUTED_VALUE"""),"")</f>
        <v/>
      </c>
      <c r="B876" s="4" t="str">
        <f>IFERROR(__xludf.DUMMYFUNCTION("""COMPUTED_VALUE"""),"")</f>
        <v/>
      </c>
      <c r="C876" s="4" t="str">
        <f>IFERROR(__xludf.DUMMYFUNCTION("""COMPUTED_VALUE"""),"")</f>
        <v/>
      </c>
      <c r="D876" s="4" t="str">
        <f>IFERROR(__xludf.DUMMYFUNCTION("""COMPUTED_VALUE"""),"")</f>
        <v/>
      </c>
      <c r="E876" s="4" t="str">
        <f>IFERROR(__xludf.DUMMYFUNCTION("""COMPUTED_VALUE"""),"")</f>
        <v/>
      </c>
      <c r="F876" s="4" t="str">
        <f>IFERROR(__xludf.DUMMYFUNCTION("""COMPUTED_VALUE"""),"")</f>
        <v/>
      </c>
      <c r="G876" s="4" t="str">
        <f>IFERROR(__xludf.DUMMYFUNCTION("""COMPUTED_VALUE"""),"")</f>
        <v/>
      </c>
      <c r="H876" s="4" t="str">
        <f>IFERROR(__xludf.DUMMYFUNCTION("""COMPUTED_VALUE"""),"")</f>
        <v/>
      </c>
      <c r="I876" s="4" t="str">
        <f>IFERROR(__xludf.DUMMYFUNCTION("""COMPUTED_VALUE"""),"")</f>
        <v/>
      </c>
      <c r="J876" s="4" t="str">
        <f>IFERROR(__xludf.DUMMYFUNCTION("""COMPUTED_VALUE"""),"")</f>
        <v/>
      </c>
      <c r="K876" s="4" t="str">
        <f>IFERROR(__xludf.DUMMYFUNCTION("""COMPUTED_VALUE"""),"")</f>
        <v/>
      </c>
    </row>
    <row r="877">
      <c r="A877" s="4" t="str">
        <f>IFERROR(__xludf.DUMMYFUNCTION("""COMPUTED_VALUE"""),"")</f>
        <v/>
      </c>
      <c r="B877" s="4" t="str">
        <f>IFERROR(__xludf.DUMMYFUNCTION("""COMPUTED_VALUE"""),"")</f>
        <v/>
      </c>
      <c r="C877" s="4" t="str">
        <f>IFERROR(__xludf.DUMMYFUNCTION("""COMPUTED_VALUE"""),"")</f>
        <v/>
      </c>
      <c r="D877" s="4" t="str">
        <f>IFERROR(__xludf.DUMMYFUNCTION("""COMPUTED_VALUE"""),"")</f>
        <v/>
      </c>
      <c r="E877" s="4" t="str">
        <f>IFERROR(__xludf.DUMMYFUNCTION("""COMPUTED_VALUE"""),"")</f>
        <v/>
      </c>
      <c r="F877" s="4" t="str">
        <f>IFERROR(__xludf.DUMMYFUNCTION("""COMPUTED_VALUE"""),"")</f>
        <v/>
      </c>
      <c r="G877" s="4" t="str">
        <f>IFERROR(__xludf.DUMMYFUNCTION("""COMPUTED_VALUE"""),"")</f>
        <v/>
      </c>
      <c r="H877" s="4" t="str">
        <f>IFERROR(__xludf.DUMMYFUNCTION("""COMPUTED_VALUE"""),"")</f>
        <v/>
      </c>
      <c r="I877" s="4" t="str">
        <f>IFERROR(__xludf.DUMMYFUNCTION("""COMPUTED_VALUE"""),"")</f>
        <v/>
      </c>
      <c r="J877" s="4" t="str">
        <f>IFERROR(__xludf.DUMMYFUNCTION("""COMPUTED_VALUE"""),"")</f>
        <v/>
      </c>
      <c r="K877" s="4" t="str">
        <f>IFERROR(__xludf.DUMMYFUNCTION("""COMPUTED_VALUE"""),"")</f>
        <v/>
      </c>
    </row>
    <row r="878">
      <c r="A878" s="4" t="str">
        <f>IFERROR(__xludf.DUMMYFUNCTION("""COMPUTED_VALUE"""),"")</f>
        <v/>
      </c>
      <c r="B878" s="4" t="str">
        <f>IFERROR(__xludf.DUMMYFUNCTION("""COMPUTED_VALUE"""),"")</f>
        <v/>
      </c>
      <c r="C878" s="4" t="str">
        <f>IFERROR(__xludf.DUMMYFUNCTION("""COMPUTED_VALUE"""),"")</f>
        <v/>
      </c>
      <c r="D878" s="4" t="str">
        <f>IFERROR(__xludf.DUMMYFUNCTION("""COMPUTED_VALUE"""),"")</f>
        <v/>
      </c>
      <c r="E878" s="4" t="str">
        <f>IFERROR(__xludf.DUMMYFUNCTION("""COMPUTED_VALUE"""),"")</f>
        <v/>
      </c>
      <c r="F878" s="4" t="str">
        <f>IFERROR(__xludf.DUMMYFUNCTION("""COMPUTED_VALUE"""),"")</f>
        <v/>
      </c>
      <c r="G878" s="4" t="str">
        <f>IFERROR(__xludf.DUMMYFUNCTION("""COMPUTED_VALUE"""),"")</f>
        <v/>
      </c>
      <c r="H878" s="4" t="str">
        <f>IFERROR(__xludf.DUMMYFUNCTION("""COMPUTED_VALUE"""),"")</f>
        <v/>
      </c>
      <c r="I878" s="4" t="str">
        <f>IFERROR(__xludf.DUMMYFUNCTION("""COMPUTED_VALUE"""),"")</f>
        <v/>
      </c>
      <c r="J878" s="4" t="str">
        <f>IFERROR(__xludf.DUMMYFUNCTION("""COMPUTED_VALUE"""),"")</f>
        <v/>
      </c>
      <c r="K878" s="4" t="str">
        <f>IFERROR(__xludf.DUMMYFUNCTION("""COMPUTED_VALUE"""),"")</f>
        <v/>
      </c>
    </row>
    <row r="879">
      <c r="A879" s="4" t="str">
        <f>IFERROR(__xludf.DUMMYFUNCTION("""COMPUTED_VALUE"""),"")</f>
        <v/>
      </c>
      <c r="B879" s="4" t="str">
        <f>IFERROR(__xludf.DUMMYFUNCTION("""COMPUTED_VALUE"""),"")</f>
        <v/>
      </c>
      <c r="C879" s="4" t="str">
        <f>IFERROR(__xludf.DUMMYFUNCTION("""COMPUTED_VALUE"""),"")</f>
        <v/>
      </c>
      <c r="D879" s="4" t="str">
        <f>IFERROR(__xludf.DUMMYFUNCTION("""COMPUTED_VALUE"""),"")</f>
        <v/>
      </c>
      <c r="E879" s="4" t="str">
        <f>IFERROR(__xludf.DUMMYFUNCTION("""COMPUTED_VALUE"""),"")</f>
        <v/>
      </c>
      <c r="F879" s="4" t="str">
        <f>IFERROR(__xludf.DUMMYFUNCTION("""COMPUTED_VALUE"""),"")</f>
        <v/>
      </c>
      <c r="G879" s="4" t="str">
        <f>IFERROR(__xludf.DUMMYFUNCTION("""COMPUTED_VALUE"""),"")</f>
        <v/>
      </c>
      <c r="H879" s="4" t="str">
        <f>IFERROR(__xludf.DUMMYFUNCTION("""COMPUTED_VALUE"""),"")</f>
        <v/>
      </c>
      <c r="I879" s="4" t="str">
        <f>IFERROR(__xludf.DUMMYFUNCTION("""COMPUTED_VALUE"""),"")</f>
        <v/>
      </c>
      <c r="J879" s="4" t="str">
        <f>IFERROR(__xludf.DUMMYFUNCTION("""COMPUTED_VALUE"""),"")</f>
        <v/>
      </c>
      <c r="K879" s="4" t="str">
        <f>IFERROR(__xludf.DUMMYFUNCTION("""COMPUTED_VALUE"""),"")</f>
        <v/>
      </c>
    </row>
    <row r="880">
      <c r="A880" s="4" t="str">
        <f>IFERROR(__xludf.DUMMYFUNCTION("""COMPUTED_VALUE"""),"")</f>
        <v/>
      </c>
      <c r="B880" s="4" t="str">
        <f>IFERROR(__xludf.DUMMYFUNCTION("""COMPUTED_VALUE"""),"")</f>
        <v/>
      </c>
      <c r="C880" s="4" t="str">
        <f>IFERROR(__xludf.DUMMYFUNCTION("""COMPUTED_VALUE"""),"")</f>
        <v/>
      </c>
      <c r="D880" s="4" t="str">
        <f>IFERROR(__xludf.DUMMYFUNCTION("""COMPUTED_VALUE"""),"")</f>
        <v/>
      </c>
      <c r="E880" s="4" t="str">
        <f>IFERROR(__xludf.DUMMYFUNCTION("""COMPUTED_VALUE"""),"")</f>
        <v/>
      </c>
      <c r="F880" s="4" t="str">
        <f>IFERROR(__xludf.DUMMYFUNCTION("""COMPUTED_VALUE"""),"")</f>
        <v/>
      </c>
      <c r="G880" s="4" t="str">
        <f>IFERROR(__xludf.DUMMYFUNCTION("""COMPUTED_VALUE"""),"")</f>
        <v/>
      </c>
      <c r="H880" s="4" t="str">
        <f>IFERROR(__xludf.DUMMYFUNCTION("""COMPUTED_VALUE"""),"")</f>
        <v/>
      </c>
      <c r="I880" s="4" t="str">
        <f>IFERROR(__xludf.DUMMYFUNCTION("""COMPUTED_VALUE"""),"")</f>
        <v/>
      </c>
      <c r="J880" s="4" t="str">
        <f>IFERROR(__xludf.DUMMYFUNCTION("""COMPUTED_VALUE"""),"")</f>
        <v/>
      </c>
      <c r="K880" s="4" t="str">
        <f>IFERROR(__xludf.DUMMYFUNCTION("""COMPUTED_VALUE"""),"")</f>
        <v/>
      </c>
    </row>
    <row r="881">
      <c r="A881" s="4" t="str">
        <f>IFERROR(__xludf.DUMMYFUNCTION("""COMPUTED_VALUE"""),"")</f>
        <v/>
      </c>
      <c r="B881" s="4" t="str">
        <f>IFERROR(__xludf.DUMMYFUNCTION("""COMPUTED_VALUE"""),"")</f>
        <v/>
      </c>
      <c r="C881" s="4" t="str">
        <f>IFERROR(__xludf.DUMMYFUNCTION("""COMPUTED_VALUE"""),"")</f>
        <v/>
      </c>
      <c r="D881" s="4" t="str">
        <f>IFERROR(__xludf.DUMMYFUNCTION("""COMPUTED_VALUE"""),"")</f>
        <v/>
      </c>
      <c r="E881" s="4" t="str">
        <f>IFERROR(__xludf.DUMMYFUNCTION("""COMPUTED_VALUE"""),"")</f>
        <v/>
      </c>
      <c r="F881" s="4" t="str">
        <f>IFERROR(__xludf.DUMMYFUNCTION("""COMPUTED_VALUE"""),"")</f>
        <v/>
      </c>
      <c r="G881" s="4" t="str">
        <f>IFERROR(__xludf.DUMMYFUNCTION("""COMPUTED_VALUE"""),"")</f>
        <v/>
      </c>
      <c r="H881" s="4" t="str">
        <f>IFERROR(__xludf.DUMMYFUNCTION("""COMPUTED_VALUE"""),"")</f>
        <v/>
      </c>
      <c r="I881" s="4" t="str">
        <f>IFERROR(__xludf.DUMMYFUNCTION("""COMPUTED_VALUE"""),"")</f>
        <v/>
      </c>
      <c r="J881" s="4" t="str">
        <f>IFERROR(__xludf.DUMMYFUNCTION("""COMPUTED_VALUE"""),"")</f>
        <v/>
      </c>
      <c r="K881" s="4" t="str">
        <f>IFERROR(__xludf.DUMMYFUNCTION("""COMPUTED_VALUE"""),"")</f>
        <v/>
      </c>
    </row>
    <row r="882">
      <c r="A882" s="4" t="str">
        <f>IFERROR(__xludf.DUMMYFUNCTION("""COMPUTED_VALUE"""),"")</f>
        <v/>
      </c>
      <c r="B882" s="4" t="str">
        <f>IFERROR(__xludf.DUMMYFUNCTION("""COMPUTED_VALUE"""),"")</f>
        <v/>
      </c>
      <c r="C882" s="4" t="str">
        <f>IFERROR(__xludf.DUMMYFUNCTION("""COMPUTED_VALUE"""),"")</f>
        <v/>
      </c>
      <c r="D882" s="4" t="str">
        <f>IFERROR(__xludf.DUMMYFUNCTION("""COMPUTED_VALUE"""),"")</f>
        <v/>
      </c>
      <c r="E882" s="4" t="str">
        <f>IFERROR(__xludf.DUMMYFUNCTION("""COMPUTED_VALUE"""),"")</f>
        <v/>
      </c>
      <c r="F882" s="4" t="str">
        <f>IFERROR(__xludf.DUMMYFUNCTION("""COMPUTED_VALUE"""),"")</f>
        <v/>
      </c>
      <c r="G882" s="4" t="str">
        <f>IFERROR(__xludf.DUMMYFUNCTION("""COMPUTED_VALUE"""),"")</f>
        <v/>
      </c>
      <c r="H882" s="4" t="str">
        <f>IFERROR(__xludf.DUMMYFUNCTION("""COMPUTED_VALUE"""),"")</f>
        <v/>
      </c>
      <c r="I882" s="4" t="str">
        <f>IFERROR(__xludf.DUMMYFUNCTION("""COMPUTED_VALUE"""),"")</f>
        <v/>
      </c>
      <c r="J882" s="4" t="str">
        <f>IFERROR(__xludf.DUMMYFUNCTION("""COMPUTED_VALUE"""),"")</f>
        <v/>
      </c>
      <c r="K882" s="4" t="str">
        <f>IFERROR(__xludf.DUMMYFUNCTION("""COMPUTED_VALUE"""),"")</f>
        <v/>
      </c>
    </row>
    <row r="883">
      <c r="A883" s="4" t="str">
        <f>IFERROR(__xludf.DUMMYFUNCTION("""COMPUTED_VALUE"""),"")</f>
        <v/>
      </c>
      <c r="B883" s="4" t="str">
        <f>IFERROR(__xludf.DUMMYFUNCTION("""COMPUTED_VALUE"""),"")</f>
        <v/>
      </c>
      <c r="C883" s="4" t="str">
        <f>IFERROR(__xludf.DUMMYFUNCTION("""COMPUTED_VALUE"""),"")</f>
        <v/>
      </c>
      <c r="D883" s="4" t="str">
        <f>IFERROR(__xludf.DUMMYFUNCTION("""COMPUTED_VALUE"""),"")</f>
        <v/>
      </c>
      <c r="E883" s="4" t="str">
        <f>IFERROR(__xludf.DUMMYFUNCTION("""COMPUTED_VALUE"""),"")</f>
        <v/>
      </c>
      <c r="F883" s="4" t="str">
        <f>IFERROR(__xludf.DUMMYFUNCTION("""COMPUTED_VALUE"""),"")</f>
        <v/>
      </c>
      <c r="G883" s="4" t="str">
        <f>IFERROR(__xludf.DUMMYFUNCTION("""COMPUTED_VALUE"""),"")</f>
        <v/>
      </c>
      <c r="H883" s="4" t="str">
        <f>IFERROR(__xludf.DUMMYFUNCTION("""COMPUTED_VALUE"""),"")</f>
        <v/>
      </c>
      <c r="I883" s="4" t="str">
        <f>IFERROR(__xludf.DUMMYFUNCTION("""COMPUTED_VALUE"""),"")</f>
        <v/>
      </c>
      <c r="J883" s="4" t="str">
        <f>IFERROR(__xludf.DUMMYFUNCTION("""COMPUTED_VALUE"""),"")</f>
        <v/>
      </c>
      <c r="K883" s="4" t="str">
        <f>IFERROR(__xludf.DUMMYFUNCTION("""COMPUTED_VALUE"""),"")</f>
        <v/>
      </c>
    </row>
    <row r="884">
      <c r="A884" s="4" t="str">
        <f>IFERROR(__xludf.DUMMYFUNCTION("""COMPUTED_VALUE"""),"")</f>
        <v/>
      </c>
      <c r="B884" s="4" t="str">
        <f>IFERROR(__xludf.DUMMYFUNCTION("""COMPUTED_VALUE"""),"")</f>
        <v/>
      </c>
      <c r="C884" s="4" t="str">
        <f>IFERROR(__xludf.DUMMYFUNCTION("""COMPUTED_VALUE"""),"")</f>
        <v/>
      </c>
      <c r="D884" s="4" t="str">
        <f>IFERROR(__xludf.DUMMYFUNCTION("""COMPUTED_VALUE"""),"")</f>
        <v/>
      </c>
      <c r="E884" s="4" t="str">
        <f>IFERROR(__xludf.DUMMYFUNCTION("""COMPUTED_VALUE"""),"")</f>
        <v/>
      </c>
      <c r="F884" s="4" t="str">
        <f>IFERROR(__xludf.DUMMYFUNCTION("""COMPUTED_VALUE"""),"")</f>
        <v/>
      </c>
      <c r="G884" s="4" t="str">
        <f>IFERROR(__xludf.DUMMYFUNCTION("""COMPUTED_VALUE"""),"")</f>
        <v/>
      </c>
      <c r="H884" s="4" t="str">
        <f>IFERROR(__xludf.DUMMYFUNCTION("""COMPUTED_VALUE"""),"")</f>
        <v/>
      </c>
      <c r="I884" s="4" t="str">
        <f>IFERROR(__xludf.DUMMYFUNCTION("""COMPUTED_VALUE"""),"")</f>
        <v/>
      </c>
      <c r="J884" s="4" t="str">
        <f>IFERROR(__xludf.DUMMYFUNCTION("""COMPUTED_VALUE"""),"")</f>
        <v/>
      </c>
      <c r="K884" s="4" t="str">
        <f>IFERROR(__xludf.DUMMYFUNCTION("""COMPUTED_VALUE"""),"")</f>
        <v/>
      </c>
    </row>
    <row r="885">
      <c r="A885" s="4" t="str">
        <f>IFERROR(__xludf.DUMMYFUNCTION("""COMPUTED_VALUE"""),"")</f>
        <v/>
      </c>
      <c r="B885" s="4" t="str">
        <f>IFERROR(__xludf.DUMMYFUNCTION("""COMPUTED_VALUE"""),"")</f>
        <v/>
      </c>
      <c r="C885" s="4" t="str">
        <f>IFERROR(__xludf.DUMMYFUNCTION("""COMPUTED_VALUE"""),"")</f>
        <v/>
      </c>
      <c r="D885" s="4" t="str">
        <f>IFERROR(__xludf.DUMMYFUNCTION("""COMPUTED_VALUE"""),"")</f>
        <v/>
      </c>
      <c r="E885" s="4" t="str">
        <f>IFERROR(__xludf.DUMMYFUNCTION("""COMPUTED_VALUE"""),"")</f>
        <v/>
      </c>
      <c r="F885" s="4" t="str">
        <f>IFERROR(__xludf.DUMMYFUNCTION("""COMPUTED_VALUE"""),"")</f>
        <v/>
      </c>
      <c r="G885" s="4" t="str">
        <f>IFERROR(__xludf.DUMMYFUNCTION("""COMPUTED_VALUE"""),"")</f>
        <v/>
      </c>
      <c r="H885" s="4" t="str">
        <f>IFERROR(__xludf.DUMMYFUNCTION("""COMPUTED_VALUE"""),"")</f>
        <v/>
      </c>
      <c r="I885" s="4" t="str">
        <f>IFERROR(__xludf.DUMMYFUNCTION("""COMPUTED_VALUE"""),"")</f>
        <v/>
      </c>
      <c r="J885" s="4" t="str">
        <f>IFERROR(__xludf.DUMMYFUNCTION("""COMPUTED_VALUE"""),"")</f>
        <v/>
      </c>
      <c r="K885" s="4" t="str">
        <f>IFERROR(__xludf.DUMMYFUNCTION("""COMPUTED_VALUE"""),"")</f>
        <v/>
      </c>
    </row>
    <row r="886">
      <c r="A886" s="4" t="str">
        <f>IFERROR(__xludf.DUMMYFUNCTION("""COMPUTED_VALUE"""),"")</f>
        <v/>
      </c>
      <c r="B886" s="4" t="str">
        <f>IFERROR(__xludf.DUMMYFUNCTION("""COMPUTED_VALUE"""),"")</f>
        <v/>
      </c>
      <c r="C886" s="4" t="str">
        <f>IFERROR(__xludf.DUMMYFUNCTION("""COMPUTED_VALUE"""),"")</f>
        <v/>
      </c>
      <c r="D886" s="4" t="str">
        <f>IFERROR(__xludf.DUMMYFUNCTION("""COMPUTED_VALUE"""),"")</f>
        <v/>
      </c>
      <c r="E886" s="4" t="str">
        <f>IFERROR(__xludf.DUMMYFUNCTION("""COMPUTED_VALUE"""),"")</f>
        <v/>
      </c>
      <c r="F886" s="4" t="str">
        <f>IFERROR(__xludf.DUMMYFUNCTION("""COMPUTED_VALUE"""),"")</f>
        <v/>
      </c>
      <c r="G886" s="4" t="str">
        <f>IFERROR(__xludf.DUMMYFUNCTION("""COMPUTED_VALUE"""),"")</f>
        <v/>
      </c>
      <c r="H886" s="4" t="str">
        <f>IFERROR(__xludf.DUMMYFUNCTION("""COMPUTED_VALUE"""),"")</f>
        <v/>
      </c>
      <c r="I886" s="4" t="str">
        <f>IFERROR(__xludf.DUMMYFUNCTION("""COMPUTED_VALUE"""),"")</f>
        <v/>
      </c>
      <c r="J886" s="4" t="str">
        <f>IFERROR(__xludf.DUMMYFUNCTION("""COMPUTED_VALUE"""),"")</f>
        <v/>
      </c>
      <c r="K886" s="4" t="str">
        <f>IFERROR(__xludf.DUMMYFUNCTION("""COMPUTED_VALUE"""),"")</f>
        <v/>
      </c>
    </row>
    <row r="887">
      <c r="A887" s="4" t="str">
        <f>IFERROR(__xludf.DUMMYFUNCTION("""COMPUTED_VALUE"""),"")</f>
        <v/>
      </c>
      <c r="B887" s="4" t="str">
        <f>IFERROR(__xludf.DUMMYFUNCTION("""COMPUTED_VALUE"""),"")</f>
        <v/>
      </c>
      <c r="C887" s="4" t="str">
        <f>IFERROR(__xludf.DUMMYFUNCTION("""COMPUTED_VALUE"""),"")</f>
        <v/>
      </c>
      <c r="D887" s="4" t="str">
        <f>IFERROR(__xludf.DUMMYFUNCTION("""COMPUTED_VALUE"""),"")</f>
        <v/>
      </c>
      <c r="E887" s="4" t="str">
        <f>IFERROR(__xludf.DUMMYFUNCTION("""COMPUTED_VALUE"""),"")</f>
        <v/>
      </c>
      <c r="F887" s="4" t="str">
        <f>IFERROR(__xludf.DUMMYFUNCTION("""COMPUTED_VALUE"""),"")</f>
        <v/>
      </c>
      <c r="G887" s="4" t="str">
        <f>IFERROR(__xludf.DUMMYFUNCTION("""COMPUTED_VALUE"""),"")</f>
        <v/>
      </c>
      <c r="H887" s="4" t="str">
        <f>IFERROR(__xludf.DUMMYFUNCTION("""COMPUTED_VALUE"""),"")</f>
        <v/>
      </c>
      <c r="I887" s="4" t="str">
        <f>IFERROR(__xludf.DUMMYFUNCTION("""COMPUTED_VALUE"""),"")</f>
        <v/>
      </c>
      <c r="J887" s="4" t="str">
        <f>IFERROR(__xludf.DUMMYFUNCTION("""COMPUTED_VALUE"""),"")</f>
        <v/>
      </c>
      <c r="K887" s="4" t="str">
        <f>IFERROR(__xludf.DUMMYFUNCTION("""COMPUTED_VALUE"""),"")</f>
        <v/>
      </c>
    </row>
    <row r="888">
      <c r="A888" s="4" t="str">
        <f>IFERROR(__xludf.DUMMYFUNCTION("""COMPUTED_VALUE"""),"")</f>
        <v/>
      </c>
      <c r="B888" s="4" t="str">
        <f>IFERROR(__xludf.DUMMYFUNCTION("""COMPUTED_VALUE"""),"")</f>
        <v/>
      </c>
      <c r="C888" s="4" t="str">
        <f>IFERROR(__xludf.DUMMYFUNCTION("""COMPUTED_VALUE"""),"")</f>
        <v/>
      </c>
      <c r="D888" s="4" t="str">
        <f>IFERROR(__xludf.DUMMYFUNCTION("""COMPUTED_VALUE"""),"")</f>
        <v/>
      </c>
      <c r="E888" s="4" t="str">
        <f>IFERROR(__xludf.DUMMYFUNCTION("""COMPUTED_VALUE"""),"")</f>
        <v/>
      </c>
      <c r="F888" s="4" t="str">
        <f>IFERROR(__xludf.DUMMYFUNCTION("""COMPUTED_VALUE"""),"")</f>
        <v/>
      </c>
      <c r="G888" s="4" t="str">
        <f>IFERROR(__xludf.DUMMYFUNCTION("""COMPUTED_VALUE"""),"")</f>
        <v/>
      </c>
      <c r="H888" s="4" t="str">
        <f>IFERROR(__xludf.DUMMYFUNCTION("""COMPUTED_VALUE"""),"")</f>
        <v/>
      </c>
      <c r="I888" s="4" t="str">
        <f>IFERROR(__xludf.DUMMYFUNCTION("""COMPUTED_VALUE"""),"")</f>
        <v/>
      </c>
      <c r="J888" s="4" t="str">
        <f>IFERROR(__xludf.DUMMYFUNCTION("""COMPUTED_VALUE"""),"")</f>
        <v/>
      </c>
      <c r="K888" s="4" t="str">
        <f>IFERROR(__xludf.DUMMYFUNCTION("""COMPUTED_VALUE"""),"")</f>
        <v/>
      </c>
    </row>
    <row r="889">
      <c r="A889" s="4" t="str">
        <f>IFERROR(__xludf.DUMMYFUNCTION("""COMPUTED_VALUE"""),"")</f>
        <v/>
      </c>
      <c r="B889" s="4" t="str">
        <f>IFERROR(__xludf.DUMMYFUNCTION("""COMPUTED_VALUE"""),"")</f>
        <v/>
      </c>
      <c r="C889" s="4" t="str">
        <f>IFERROR(__xludf.DUMMYFUNCTION("""COMPUTED_VALUE"""),"")</f>
        <v/>
      </c>
      <c r="D889" s="4" t="str">
        <f>IFERROR(__xludf.DUMMYFUNCTION("""COMPUTED_VALUE"""),"")</f>
        <v/>
      </c>
      <c r="E889" s="4" t="str">
        <f>IFERROR(__xludf.DUMMYFUNCTION("""COMPUTED_VALUE"""),"")</f>
        <v/>
      </c>
      <c r="F889" s="4" t="str">
        <f>IFERROR(__xludf.DUMMYFUNCTION("""COMPUTED_VALUE"""),"")</f>
        <v/>
      </c>
      <c r="G889" s="4" t="str">
        <f>IFERROR(__xludf.DUMMYFUNCTION("""COMPUTED_VALUE"""),"")</f>
        <v/>
      </c>
      <c r="H889" s="4" t="str">
        <f>IFERROR(__xludf.DUMMYFUNCTION("""COMPUTED_VALUE"""),"")</f>
        <v/>
      </c>
      <c r="I889" s="4" t="str">
        <f>IFERROR(__xludf.DUMMYFUNCTION("""COMPUTED_VALUE"""),"")</f>
        <v/>
      </c>
      <c r="J889" s="4" t="str">
        <f>IFERROR(__xludf.DUMMYFUNCTION("""COMPUTED_VALUE"""),"")</f>
        <v/>
      </c>
      <c r="K889" s="4" t="str">
        <f>IFERROR(__xludf.DUMMYFUNCTION("""COMPUTED_VALUE"""),"")</f>
        <v/>
      </c>
    </row>
    <row r="890">
      <c r="A890" s="4" t="str">
        <f>IFERROR(__xludf.DUMMYFUNCTION("""COMPUTED_VALUE"""),"")</f>
        <v/>
      </c>
      <c r="B890" s="4" t="str">
        <f>IFERROR(__xludf.DUMMYFUNCTION("""COMPUTED_VALUE"""),"")</f>
        <v/>
      </c>
      <c r="C890" s="4" t="str">
        <f>IFERROR(__xludf.DUMMYFUNCTION("""COMPUTED_VALUE"""),"")</f>
        <v/>
      </c>
      <c r="D890" s="4" t="str">
        <f>IFERROR(__xludf.DUMMYFUNCTION("""COMPUTED_VALUE"""),"")</f>
        <v/>
      </c>
      <c r="E890" s="4" t="str">
        <f>IFERROR(__xludf.DUMMYFUNCTION("""COMPUTED_VALUE"""),"")</f>
        <v/>
      </c>
      <c r="F890" s="4" t="str">
        <f>IFERROR(__xludf.DUMMYFUNCTION("""COMPUTED_VALUE"""),"")</f>
        <v/>
      </c>
      <c r="G890" s="4" t="str">
        <f>IFERROR(__xludf.DUMMYFUNCTION("""COMPUTED_VALUE"""),"")</f>
        <v/>
      </c>
      <c r="H890" s="4" t="str">
        <f>IFERROR(__xludf.DUMMYFUNCTION("""COMPUTED_VALUE"""),"")</f>
        <v/>
      </c>
      <c r="I890" s="4" t="str">
        <f>IFERROR(__xludf.DUMMYFUNCTION("""COMPUTED_VALUE"""),"")</f>
        <v/>
      </c>
      <c r="J890" s="4" t="str">
        <f>IFERROR(__xludf.DUMMYFUNCTION("""COMPUTED_VALUE"""),"")</f>
        <v/>
      </c>
      <c r="K890" s="4" t="str">
        <f>IFERROR(__xludf.DUMMYFUNCTION("""COMPUTED_VALUE"""),"")</f>
        <v/>
      </c>
    </row>
    <row r="891">
      <c r="A891" s="4" t="str">
        <f>IFERROR(__xludf.DUMMYFUNCTION("""COMPUTED_VALUE"""),"")</f>
        <v/>
      </c>
      <c r="B891" s="4" t="str">
        <f>IFERROR(__xludf.DUMMYFUNCTION("""COMPUTED_VALUE"""),"")</f>
        <v/>
      </c>
      <c r="C891" s="4" t="str">
        <f>IFERROR(__xludf.DUMMYFUNCTION("""COMPUTED_VALUE"""),"")</f>
        <v/>
      </c>
      <c r="D891" s="4" t="str">
        <f>IFERROR(__xludf.DUMMYFUNCTION("""COMPUTED_VALUE"""),"")</f>
        <v/>
      </c>
      <c r="E891" s="4" t="str">
        <f>IFERROR(__xludf.DUMMYFUNCTION("""COMPUTED_VALUE"""),"")</f>
        <v/>
      </c>
      <c r="F891" s="4" t="str">
        <f>IFERROR(__xludf.DUMMYFUNCTION("""COMPUTED_VALUE"""),"")</f>
        <v/>
      </c>
      <c r="G891" s="4" t="str">
        <f>IFERROR(__xludf.DUMMYFUNCTION("""COMPUTED_VALUE"""),"")</f>
        <v/>
      </c>
      <c r="H891" s="4" t="str">
        <f>IFERROR(__xludf.DUMMYFUNCTION("""COMPUTED_VALUE"""),"")</f>
        <v/>
      </c>
      <c r="I891" s="4" t="str">
        <f>IFERROR(__xludf.DUMMYFUNCTION("""COMPUTED_VALUE"""),"")</f>
        <v/>
      </c>
      <c r="J891" s="4" t="str">
        <f>IFERROR(__xludf.DUMMYFUNCTION("""COMPUTED_VALUE"""),"")</f>
        <v/>
      </c>
      <c r="K891" s="4" t="str">
        <f>IFERROR(__xludf.DUMMYFUNCTION("""COMPUTED_VALUE"""),"")</f>
        <v/>
      </c>
    </row>
    <row r="892">
      <c r="A892" s="4" t="str">
        <f>IFERROR(__xludf.DUMMYFUNCTION("""COMPUTED_VALUE"""),"")</f>
        <v/>
      </c>
      <c r="B892" s="4" t="str">
        <f>IFERROR(__xludf.DUMMYFUNCTION("""COMPUTED_VALUE"""),"")</f>
        <v/>
      </c>
      <c r="C892" s="4" t="str">
        <f>IFERROR(__xludf.DUMMYFUNCTION("""COMPUTED_VALUE"""),"")</f>
        <v/>
      </c>
      <c r="D892" s="4" t="str">
        <f>IFERROR(__xludf.DUMMYFUNCTION("""COMPUTED_VALUE"""),"")</f>
        <v/>
      </c>
      <c r="E892" s="4" t="str">
        <f>IFERROR(__xludf.DUMMYFUNCTION("""COMPUTED_VALUE"""),"")</f>
        <v/>
      </c>
      <c r="F892" s="4" t="str">
        <f>IFERROR(__xludf.DUMMYFUNCTION("""COMPUTED_VALUE"""),"")</f>
        <v/>
      </c>
      <c r="G892" s="4" t="str">
        <f>IFERROR(__xludf.DUMMYFUNCTION("""COMPUTED_VALUE"""),"")</f>
        <v/>
      </c>
      <c r="H892" s="4" t="str">
        <f>IFERROR(__xludf.DUMMYFUNCTION("""COMPUTED_VALUE"""),"")</f>
        <v/>
      </c>
      <c r="I892" s="4" t="str">
        <f>IFERROR(__xludf.DUMMYFUNCTION("""COMPUTED_VALUE"""),"")</f>
        <v/>
      </c>
      <c r="J892" s="4" t="str">
        <f>IFERROR(__xludf.DUMMYFUNCTION("""COMPUTED_VALUE"""),"")</f>
        <v/>
      </c>
      <c r="K892" s="4" t="str">
        <f>IFERROR(__xludf.DUMMYFUNCTION("""COMPUTED_VALUE"""),"")</f>
        <v/>
      </c>
    </row>
    <row r="893">
      <c r="A893" s="4" t="str">
        <f>IFERROR(__xludf.DUMMYFUNCTION("""COMPUTED_VALUE"""),"")</f>
        <v/>
      </c>
      <c r="B893" s="4" t="str">
        <f>IFERROR(__xludf.DUMMYFUNCTION("""COMPUTED_VALUE"""),"")</f>
        <v/>
      </c>
      <c r="C893" s="4" t="str">
        <f>IFERROR(__xludf.DUMMYFUNCTION("""COMPUTED_VALUE"""),"")</f>
        <v/>
      </c>
      <c r="D893" s="4" t="str">
        <f>IFERROR(__xludf.DUMMYFUNCTION("""COMPUTED_VALUE"""),"")</f>
        <v/>
      </c>
      <c r="E893" s="4" t="str">
        <f>IFERROR(__xludf.DUMMYFUNCTION("""COMPUTED_VALUE"""),"")</f>
        <v/>
      </c>
      <c r="F893" s="4" t="str">
        <f>IFERROR(__xludf.DUMMYFUNCTION("""COMPUTED_VALUE"""),"")</f>
        <v/>
      </c>
      <c r="G893" s="4" t="str">
        <f>IFERROR(__xludf.DUMMYFUNCTION("""COMPUTED_VALUE"""),"")</f>
        <v/>
      </c>
      <c r="H893" s="4" t="str">
        <f>IFERROR(__xludf.DUMMYFUNCTION("""COMPUTED_VALUE"""),"")</f>
        <v/>
      </c>
      <c r="I893" s="4" t="str">
        <f>IFERROR(__xludf.DUMMYFUNCTION("""COMPUTED_VALUE"""),"")</f>
        <v/>
      </c>
      <c r="J893" s="4" t="str">
        <f>IFERROR(__xludf.DUMMYFUNCTION("""COMPUTED_VALUE"""),"")</f>
        <v/>
      </c>
      <c r="K893" s="4" t="str">
        <f>IFERROR(__xludf.DUMMYFUNCTION("""COMPUTED_VALUE"""),"")</f>
        <v/>
      </c>
    </row>
    <row r="894">
      <c r="A894" s="4" t="str">
        <f>IFERROR(__xludf.DUMMYFUNCTION("""COMPUTED_VALUE"""),"")</f>
        <v/>
      </c>
      <c r="B894" s="4" t="str">
        <f>IFERROR(__xludf.DUMMYFUNCTION("""COMPUTED_VALUE"""),"")</f>
        <v/>
      </c>
      <c r="C894" s="4" t="str">
        <f>IFERROR(__xludf.DUMMYFUNCTION("""COMPUTED_VALUE"""),"")</f>
        <v/>
      </c>
      <c r="D894" s="4" t="str">
        <f>IFERROR(__xludf.DUMMYFUNCTION("""COMPUTED_VALUE"""),"")</f>
        <v/>
      </c>
      <c r="E894" s="4" t="str">
        <f>IFERROR(__xludf.DUMMYFUNCTION("""COMPUTED_VALUE"""),"")</f>
        <v/>
      </c>
      <c r="F894" s="4" t="str">
        <f>IFERROR(__xludf.DUMMYFUNCTION("""COMPUTED_VALUE"""),"")</f>
        <v/>
      </c>
      <c r="G894" s="4" t="str">
        <f>IFERROR(__xludf.DUMMYFUNCTION("""COMPUTED_VALUE"""),"")</f>
        <v/>
      </c>
      <c r="H894" s="4" t="str">
        <f>IFERROR(__xludf.DUMMYFUNCTION("""COMPUTED_VALUE"""),"")</f>
        <v/>
      </c>
      <c r="I894" s="4" t="str">
        <f>IFERROR(__xludf.DUMMYFUNCTION("""COMPUTED_VALUE"""),"")</f>
        <v/>
      </c>
      <c r="J894" s="4" t="str">
        <f>IFERROR(__xludf.DUMMYFUNCTION("""COMPUTED_VALUE"""),"")</f>
        <v/>
      </c>
      <c r="K894" s="4" t="str">
        <f>IFERROR(__xludf.DUMMYFUNCTION("""COMPUTED_VALUE"""),"")</f>
        <v/>
      </c>
    </row>
    <row r="895">
      <c r="A895" s="4" t="str">
        <f>IFERROR(__xludf.DUMMYFUNCTION("""COMPUTED_VALUE"""),"")</f>
        <v/>
      </c>
      <c r="B895" s="4" t="str">
        <f>IFERROR(__xludf.DUMMYFUNCTION("""COMPUTED_VALUE"""),"")</f>
        <v/>
      </c>
      <c r="C895" s="4" t="str">
        <f>IFERROR(__xludf.DUMMYFUNCTION("""COMPUTED_VALUE"""),"")</f>
        <v/>
      </c>
      <c r="D895" s="4" t="str">
        <f>IFERROR(__xludf.DUMMYFUNCTION("""COMPUTED_VALUE"""),"")</f>
        <v/>
      </c>
      <c r="E895" s="4" t="str">
        <f>IFERROR(__xludf.DUMMYFUNCTION("""COMPUTED_VALUE"""),"")</f>
        <v/>
      </c>
      <c r="F895" s="4" t="str">
        <f>IFERROR(__xludf.DUMMYFUNCTION("""COMPUTED_VALUE"""),"")</f>
        <v/>
      </c>
      <c r="G895" s="4" t="str">
        <f>IFERROR(__xludf.DUMMYFUNCTION("""COMPUTED_VALUE"""),"")</f>
        <v/>
      </c>
      <c r="H895" s="4" t="str">
        <f>IFERROR(__xludf.DUMMYFUNCTION("""COMPUTED_VALUE"""),"")</f>
        <v/>
      </c>
      <c r="I895" s="4" t="str">
        <f>IFERROR(__xludf.DUMMYFUNCTION("""COMPUTED_VALUE"""),"")</f>
        <v/>
      </c>
      <c r="J895" s="4" t="str">
        <f>IFERROR(__xludf.DUMMYFUNCTION("""COMPUTED_VALUE"""),"")</f>
        <v/>
      </c>
      <c r="K895" s="4" t="str">
        <f>IFERROR(__xludf.DUMMYFUNCTION("""COMPUTED_VALUE"""),"")</f>
        <v/>
      </c>
    </row>
    <row r="896">
      <c r="A896" s="4" t="str">
        <f>IFERROR(__xludf.DUMMYFUNCTION("""COMPUTED_VALUE"""),"")</f>
        <v/>
      </c>
      <c r="B896" s="4" t="str">
        <f>IFERROR(__xludf.DUMMYFUNCTION("""COMPUTED_VALUE"""),"")</f>
        <v/>
      </c>
      <c r="C896" s="4" t="str">
        <f>IFERROR(__xludf.DUMMYFUNCTION("""COMPUTED_VALUE"""),"")</f>
        <v/>
      </c>
      <c r="D896" s="4" t="str">
        <f>IFERROR(__xludf.DUMMYFUNCTION("""COMPUTED_VALUE"""),"")</f>
        <v/>
      </c>
      <c r="E896" s="4" t="str">
        <f>IFERROR(__xludf.DUMMYFUNCTION("""COMPUTED_VALUE"""),"")</f>
        <v/>
      </c>
      <c r="F896" s="4" t="str">
        <f>IFERROR(__xludf.DUMMYFUNCTION("""COMPUTED_VALUE"""),"")</f>
        <v/>
      </c>
      <c r="G896" s="4" t="str">
        <f>IFERROR(__xludf.DUMMYFUNCTION("""COMPUTED_VALUE"""),"")</f>
        <v/>
      </c>
      <c r="H896" s="4" t="str">
        <f>IFERROR(__xludf.DUMMYFUNCTION("""COMPUTED_VALUE"""),"")</f>
        <v/>
      </c>
      <c r="I896" s="4" t="str">
        <f>IFERROR(__xludf.DUMMYFUNCTION("""COMPUTED_VALUE"""),"")</f>
        <v/>
      </c>
      <c r="J896" s="4" t="str">
        <f>IFERROR(__xludf.DUMMYFUNCTION("""COMPUTED_VALUE"""),"")</f>
        <v/>
      </c>
      <c r="K896" s="4" t="str">
        <f>IFERROR(__xludf.DUMMYFUNCTION("""COMPUTED_VALUE"""),"")</f>
        <v/>
      </c>
    </row>
    <row r="897">
      <c r="A897" s="4" t="str">
        <f>IFERROR(__xludf.DUMMYFUNCTION("""COMPUTED_VALUE"""),"")</f>
        <v/>
      </c>
      <c r="B897" s="4" t="str">
        <f>IFERROR(__xludf.DUMMYFUNCTION("""COMPUTED_VALUE"""),"")</f>
        <v/>
      </c>
      <c r="C897" s="4" t="str">
        <f>IFERROR(__xludf.DUMMYFUNCTION("""COMPUTED_VALUE"""),"")</f>
        <v/>
      </c>
      <c r="D897" s="4" t="str">
        <f>IFERROR(__xludf.DUMMYFUNCTION("""COMPUTED_VALUE"""),"")</f>
        <v/>
      </c>
      <c r="E897" s="4" t="str">
        <f>IFERROR(__xludf.DUMMYFUNCTION("""COMPUTED_VALUE"""),"")</f>
        <v/>
      </c>
      <c r="F897" s="4" t="str">
        <f>IFERROR(__xludf.DUMMYFUNCTION("""COMPUTED_VALUE"""),"")</f>
        <v/>
      </c>
      <c r="G897" s="4" t="str">
        <f>IFERROR(__xludf.DUMMYFUNCTION("""COMPUTED_VALUE"""),"")</f>
        <v/>
      </c>
      <c r="H897" s="4" t="str">
        <f>IFERROR(__xludf.DUMMYFUNCTION("""COMPUTED_VALUE"""),"")</f>
        <v/>
      </c>
      <c r="I897" s="4" t="str">
        <f>IFERROR(__xludf.DUMMYFUNCTION("""COMPUTED_VALUE"""),"")</f>
        <v/>
      </c>
      <c r="J897" s="4" t="str">
        <f>IFERROR(__xludf.DUMMYFUNCTION("""COMPUTED_VALUE"""),"")</f>
        <v/>
      </c>
      <c r="K897" s="4" t="str">
        <f>IFERROR(__xludf.DUMMYFUNCTION("""COMPUTED_VALUE"""),"")</f>
        <v/>
      </c>
    </row>
    <row r="898">
      <c r="A898" s="4" t="str">
        <f>IFERROR(__xludf.DUMMYFUNCTION("""COMPUTED_VALUE"""),"")</f>
        <v/>
      </c>
      <c r="B898" s="4" t="str">
        <f>IFERROR(__xludf.DUMMYFUNCTION("""COMPUTED_VALUE"""),"")</f>
        <v/>
      </c>
      <c r="C898" s="4" t="str">
        <f>IFERROR(__xludf.DUMMYFUNCTION("""COMPUTED_VALUE"""),"")</f>
        <v/>
      </c>
      <c r="D898" s="4" t="str">
        <f>IFERROR(__xludf.DUMMYFUNCTION("""COMPUTED_VALUE"""),"")</f>
        <v/>
      </c>
      <c r="E898" s="4" t="str">
        <f>IFERROR(__xludf.DUMMYFUNCTION("""COMPUTED_VALUE"""),"")</f>
        <v/>
      </c>
      <c r="F898" s="4" t="str">
        <f>IFERROR(__xludf.DUMMYFUNCTION("""COMPUTED_VALUE"""),"")</f>
        <v/>
      </c>
      <c r="G898" s="4" t="str">
        <f>IFERROR(__xludf.DUMMYFUNCTION("""COMPUTED_VALUE"""),"")</f>
        <v/>
      </c>
      <c r="H898" s="4" t="str">
        <f>IFERROR(__xludf.DUMMYFUNCTION("""COMPUTED_VALUE"""),"")</f>
        <v/>
      </c>
      <c r="I898" s="4" t="str">
        <f>IFERROR(__xludf.DUMMYFUNCTION("""COMPUTED_VALUE"""),"")</f>
        <v/>
      </c>
      <c r="J898" s="4" t="str">
        <f>IFERROR(__xludf.DUMMYFUNCTION("""COMPUTED_VALUE"""),"")</f>
        <v/>
      </c>
      <c r="K898" s="4" t="str">
        <f>IFERROR(__xludf.DUMMYFUNCTION("""COMPUTED_VALUE"""),"")</f>
        <v/>
      </c>
    </row>
    <row r="899">
      <c r="A899" s="4" t="str">
        <f>IFERROR(__xludf.DUMMYFUNCTION("""COMPUTED_VALUE"""),"")</f>
        <v/>
      </c>
      <c r="B899" s="4" t="str">
        <f>IFERROR(__xludf.DUMMYFUNCTION("""COMPUTED_VALUE"""),"")</f>
        <v/>
      </c>
      <c r="C899" s="4" t="str">
        <f>IFERROR(__xludf.DUMMYFUNCTION("""COMPUTED_VALUE"""),"")</f>
        <v/>
      </c>
      <c r="D899" s="4" t="str">
        <f>IFERROR(__xludf.DUMMYFUNCTION("""COMPUTED_VALUE"""),"")</f>
        <v/>
      </c>
      <c r="E899" s="4" t="str">
        <f>IFERROR(__xludf.DUMMYFUNCTION("""COMPUTED_VALUE"""),"")</f>
        <v/>
      </c>
      <c r="F899" s="4" t="str">
        <f>IFERROR(__xludf.DUMMYFUNCTION("""COMPUTED_VALUE"""),"")</f>
        <v/>
      </c>
      <c r="G899" s="4" t="str">
        <f>IFERROR(__xludf.DUMMYFUNCTION("""COMPUTED_VALUE"""),"")</f>
        <v/>
      </c>
      <c r="H899" s="4" t="str">
        <f>IFERROR(__xludf.DUMMYFUNCTION("""COMPUTED_VALUE"""),"")</f>
        <v/>
      </c>
      <c r="I899" s="4" t="str">
        <f>IFERROR(__xludf.DUMMYFUNCTION("""COMPUTED_VALUE"""),"")</f>
        <v/>
      </c>
      <c r="J899" s="4" t="str">
        <f>IFERROR(__xludf.DUMMYFUNCTION("""COMPUTED_VALUE"""),"")</f>
        <v/>
      </c>
      <c r="K899" s="4" t="str">
        <f>IFERROR(__xludf.DUMMYFUNCTION("""COMPUTED_VALUE"""),"")</f>
        <v/>
      </c>
    </row>
    <row r="900">
      <c r="A900" s="4" t="str">
        <f>IFERROR(__xludf.DUMMYFUNCTION("""COMPUTED_VALUE"""),"")</f>
        <v/>
      </c>
      <c r="B900" s="4" t="str">
        <f>IFERROR(__xludf.DUMMYFUNCTION("""COMPUTED_VALUE"""),"")</f>
        <v/>
      </c>
      <c r="C900" s="4" t="str">
        <f>IFERROR(__xludf.DUMMYFUNCTION("""COMPUTED_VALUE"""),"")</f>
        <v/>
      </c>
      <c r="D900" s="4" t="str">
        <f>IFERROR(__xludf.DUMMYFUNCTION("""COMPUTED_VALUE"""),"")</f>
        <v/>
      </c>
      <c r="E900" s="4" t="str">
        <f>IFERROR(__xludf.DUMMYFUNCTION("""COMPUTED_VALUE"""),"")</f>
        <v/>
      </c>
      <c r="F900" s="4" t="str">
        <f>IFERROR(__xludf.DUMMYFUNCTION("""COMPUTED_VALUE"""),"")</f>
        <v/>
      </c>
      <c r="G900" s="4" t="str">
        <f>IFERROR(__xludf.DUMMYFUNCTION("""COMPUTED_VALUE"""),"")</f>
        <v/>
      </c>
      <c r="H900" s="4" t="str">
        <f>IFERROR(__xludf.DUMMYFUNCTION("""COMPUTED_VALUE"""),"")</f>
        <v/>
      </c>
      <c r="I900" s="4" t="str">
        <f>IFERROR(__xludf.DUMMYFUNCTION("""COMPUTED_VALUE"""),"")</f>
        <v/>
      </c>
      <c r="J900" s="4" t="str">
        <f>IFERROR(__xludf.DUMMYFUNCTION("""COMPUTED_VALUE"""),"")</f>
        <v/>
      </c>
      <c r="K900" s="4" t="str">
        <f>IFERROR(__xludf.DUMMYFUNCTION("""COMPUTED_VALUE"""),"")</f>
        <v/>
      </c>
    </row>
    <row r="901">
      <c r="A901" s="4" t="str">
        <f>IFERROR(__xludf.DUMMYFUNCTION("""COMPUTED_VALUE"""),"")</f>
        <v/>
      </c>
      <c r="B901" s="4" t="str">
        <f>IFERROR(__xludf.DUMMYFUNCTION("""COMPUTED_VALUE"""),"")</f>
        <v/>
      </c>
      <c r="C901" s="4" t="str">
        <f>IFERROR(__xludf.DUMMYFUNCTION("""COMPUTED_VALUE"""),"")</f>
        <v/>
      </c>
      <c r="D901" s="4" t="str">
        <f>IFERROR(__xludf.DUMMYFUNCTION("""COMPUTED_VALUE"""),"")</f>
        <v/>
      </c>
      <c r="E901" s="4" t="str">
        <f>IFERROR(__xludf.DUMMYFUNCTION("""COMPUTED_VALUE"""),"")</f>
        <v/>
      </c>
      <c r="F901" s="4" t="str">
        <f>IFERROR(__xludf.DUMMYFUNCTION("""COMPUTED_VALUE"""),"")</f>
        <v/>
      </c>
      <c r="G901" s="4" t="str">
        <f>IFERROR(__xludf.DUMMYFUNCTION("""COMPUTED_VALUE"""),"")</f>
        <v/>
      </c>
      <c r="H901" s="4" t="str">
        <f>IFERROR(__xludf.DUMMYFUNCTION("""COMPUTED_VALUE"""),"")</f>
        <v/>
      </c>
      <c r="I901" s="4" t="str">
        <f>IFERROR(__xludf.DUMMYFUNCTION("""COMPUTED_VALUE"""),"")</f>
        <v/>
      </c>
      <c r="J901" s="4" t="str">
        <f>IFERROR(__xludf.DUMMYFUNCTION("""COMPUTED_VALUE"""),"")</f>
        <v/>
      </c>
      <c r="K901" s="4" t="str">
        <f>IFERROR(__xludf.DUMMYFUNCTION("""COMPUTED_VALUE"""),"")</f>
        <v/>
      </c>
    </row>
    <row r="902">
      <c r="A902" s="4" t="str">
        <f>IFERROR(__xludf.DUMMYFUNCTION("""COMPUTED_VALUE"""),"")</f>
        <v/>
      </c>
      <c r="B902" s="4" t="str">
        <f>IFERROR(__xludf.DUMMYFUNCTION("""COMPUTED_VALUE"""),"")</f>
        <v/>
      </c>
      <c r="C902" s="4" t="str">
        <f>IFERROR(__xludf.DUMMYFUNCTION("""COMPUTED_VALUE"""),"")</f>
        <v/>
      </c>
      <c r="D902" s="4" t="str">
        <f>IFERROR(__xludf.DUMMYFUNCTION("""COMPUTED_VALUE"""),"")</f>
        <v/>
      </c>
      <c r="E902" s="4" t="str">
        <f>IFERROR(__xludf.DUMMYFUNCTION("""COMPUTED_VALUE"""),"")</f>
        <v/>
      </c>
      <c r="F902" s="4" t="str">
        <f>IFERROR(__xludf.DUMMYFUNCTION("""COMPUTED_VALUE"""),"")</f>
        <v/>
      </c>
      <c r="G902" s="4" t="str">
        <f>IFERROR(__xludf.DUMMYFUNCTION("""COMPUTED_VALUE"""),"")</f>
        <v/>
      </c>
      <c r="H902" s="4" t="str">
        <f>IFERROR(__xludf.DUMMYFUNCTION("""COMPUTED_VALUE"""),"")</f>
        <v/>
      </c>
      <c r="I902" s="4" t="str">
        <f>IFERROR(__xludf.DUMMYFUNCTION("""COMPUTED_VALUE"""),"")</f>
        <v/>
      </c>
      <c r="J902" s="4" t="str">
        <f>IFERROR(__xludf.DUMMYFUNCTION("""COMPUTED_VALUE"""),"")</f>
        <v/>
      </c>
      <c r="K902" s="4" t="str">
        <f>IFERROR(__xludf.DUMMYFUNCTION("""COMPUTED_VALUE"""),"")</f>
        <v/>
      </c>
    </row>
    <row r="903">
      <c r="A903" s="4" t="str">
        <f>IFERROR(__xludf.DUMMYFUNCTION("""COMPUTED_VALUE"""),"")</f>
        <v/>
      </c>
      <c r="B903" s="4" t="str">
        <f>IFERROR(__xludf.DUMMYFUNCTION("""COMPUTED_VALUE"""),"")</f>
        <v/>
      </c>
      <c r="C903" s="4" t="str">
        <f>IFERROR(__xludf.DUMMYFUNCTION("""COMPUTED_VALUE"""),"")</f>
        <v/>
      </c>
      <c r="D903" s="4" t="str">
        <f>IFERROR(__xludf.DUMMYFUNCTION("""COMPUTED_VALUE"""),"")</f>
        <v/>
      </c>
      <c r="E903" s="4" t="str">
        <f>IFERROR(__xludf.DUMMYFUNCTION("""COMPUTED_VALUE"""),"")</f>
        <v/>
      </c>
      <c r="F903" s="4" t="str">
        <f>IFERROR(__xludf.DUMMYFUNCTION("""COMPUTED_VALUE"""),"")</f>
        <v/>
      </c>
      <c r="G903" s="4" t="str">
        <f>IFERROR(__xludf.DUMMYFUNCTION("""COMPUTED_VALUE"""),"")</f>
        <v/>
      </c>
      <c r="H903" s="4" t="str">
        <f>IFERROR(__xludf.DUMMYFUNCTION("""COMPUTED_VALUE"""),"")</f>
        <v/>
      </c>
      <c r="I903" s="4" t="str">
        <f>IFERROR(__xludf.DUMMYFUNCTION("""COMPUTED_VALUE"""),"")</f>
        <v/>
      </c>
      <c r="J903" s="4" t="str">
        <f>IFERROR(__xludf.DUMMYFUNCTION("""COMPUTED_VALUE"""),"")</f>
        <v/>
      </c>
      <c r="K903" s="4" t="str">
        <f>IFERROR(__xludf.DUMMYFUNCTION("""COMPUTED_VALUE"""),"")</f>
        <v/>
      </c>
    </row>
    <row r="904">
      <c r="A904" s="4" t="str">
        <f>IFERROR(__xludf.DUMMYFUNCTION("""COMPUTED_VALUE"""),"")</f>
        <v/>
      </c>
      <c r="B904" s="4" t="str">
        <f>IFERROR(__xludf.DUMMYFUNCTION("""COMPUTED_VALUE"""),"")</f>
        <v/>
      </c>
      <c r="C904" s="4" t="str">
        <f>IFERROR(__xludf.DUMMYFUNCTION("""COMPUTED_VALUE"""),"")</f>
        <v/>
      </c>
      <c r="D904" s="4" t="str">
        <f>IFERROR(__xludf.DUMMYFUNCTION("""COMPUTED_VALUE"""),"")</f>
        <v/>
      </c>
      <c r="E904" s="4" t="str">
        <f>IFERROR(__xludf.DUMMYFUNCTION("""COMPUTED_VALUE"""),"")</f>
        <v/>
      </c>
      <c r="F904" s="4" t="str">
        <f>IFERROR(__xludf.DUMMYFUNCTION("""COMPUTED_VALUE"""),"")</f>
        <v/>
      </c>
      <c r="G904" s="4" t="str">
        <f>IFERROR(__xludf.DUMMYFUNCTION("""COMPUTED_VALUE"""),"")</f>
        <v/>
      </c>
      <c r="H904" s="4" t="str">
        <f>IFERROR(__xludf.DUMMYFUNCTION("""COMPUTED_VALUE"""),"")</f>
        <v/>
      </c>
      <c r="I904" s="4" t="str">
        <f>IFERROR(__xludf.DUMMYFUNCTION("""COMPUTED_VALUE"""),"")</f>
        <v/>
      </c>
      <c r="J904" s="4" t="str">
        <f>IFERROR(__xludf.DUMMYFUNCTION("""COMPUTED_VALUE"""),"")</f>
        <v/>
      </c>
      <c r="K904" s="4" t="str">
        <f>IFERROR(__xludf.DUMMYFUNCTION("""COMPUTED_VALUE"""),"")</f>
        <v/>
      </c>
    </row>
    <row r="905">
      <c r="A905" s="4" t="str">
        <f>IFERROR(__xludf.DUMMYFUNCTION("""COMPUTED_VALUE"""),"")</f>
        <v/>
      </c>
      <c r="B905" s="4" t="str">
        <f>IFERROR(__xludf.DUMMYFUNCTION("""COMPUTED_VALUE"""),"")</f>
        <v/>
      </c>
      <c r="C905" s="4" t="str">
        <f>IFERROR(__xludf.DUMMYFUNCTION("""COMPUTED_VALUE"""),"")</f>
        <v/>
      </c>
      <c r="D905" s="4" t="str">
        <f>IFERROR(__xludf.DUMMYFUNCTION("""COMPUTED_VALUE"""),"")</f>
        <v/>
      </c>
      <c r="E905" s="4" t="str">
        <f>IFERROR(__xludf.DUMMYFUNCTION("""COMPUTED_VALUE"""),"")</f>
        <v/>
      </c>
      <c r="F905" s="4" t="str">
        <f>IFERROR(__xludf.DUMMYFUNCTION("""COMPUTED_VALUE"""),"")</f>
        <v/>
      </c>
      <c r="G905" s="4" t="str">
        <f>IFERROR(__xludf.DUMMYFUNCTION("""COMPUTED_VALUE"""),"")</f>
        <v/>
      </c>
      <c r="H905" s="4" t="str">
        <f>IFERROR(__xludf.DUMMYFUNCTION("""COMPUTED_VALUE"""),"")</f>
        <v/>
      </c>
      <c r="I905" s="4" t="str">
        <f>IFERROR(__xludf.DUMMYFUNCTION("""COMPUTED_VALUE"""),"")</f>
        <v/>
      </c>
      <c r="J905" s="4" t="str">
        <f>IFERROR(__xludf.DUMMYFUNCTION("""COMPUTED_VALUE"""),"")</f>
        <v/>
      </c>
      <c r="K905" s="4" t="str">
        <f>IFERROR(__xludf.DUMMYFUNCTION("""COMPUTED_VALUE"""),"")</f>
        <v/>
      </c>
    </row>
    <row r="906">
      <c r="A906" s="4" t="str">
        <f>IFERROR(__xludf.DUMMYFUNCTION("""COMPUTED_VALUE"""),"")</f>
        <v/>
      </c>
      <c r="B906" s="4" t="str">
        <f>IFERROR(__xludf.DUMMYFUNCTION("""COMPUTED_VALUE"""),"")</f>
        <v/>
      </c>
      <c r="C906" s="4" t="str">
        <f>IFERROR(__xludf.DUMMYFUNCTION("""COMPUTED_VALUE"""),"")</f>
        <v/>
      </c>
      <c r="D906" s="4" t="str">
        <f>IFERROR(__xludf.DUMMYFUNCTION("""COMPUTED_VALUE"""),"")</f>
        <v/>
      </c>
      <c r="E906" s="4" t="str">
        <f>IFERROR(__xludf.DUMMYFUNCTION("""COMPUTED_VALUE"""),"")</f>
        <v/>
      </c>
      <c r="F906" s="4" t="str">
        <f>IFERROR(__xludf.DUMMYFUNCTION("""COMPUTED_VALUE"""),"")</f>
        <v/>
      </c>
      <c r="G906" s="4" t="str">
        <f>IFERROR(__xludf.DUMMYFUNCTION("""COMPUTED_VALUE"""),"")</f>
        <v/>
      </c>
      <c r="H906" s="4" t="str">
        <f>IFERROR(__xludf.DUMMYFUNCTION("""COMPUTED_VALUE"""),"")</f>
        <v/>
      </c>
      <c r="I906" s="4" t="str">
        <f>IFERROR(__xludf.DUMMYFUNCTION("""COMPUTED_VALUE"""),"")</f>
        <v/>
      </c>
      <c r="J906" s="4" t="str">
        <f>IFERROR(__xludf.DUMMYFUNCTION("""COMPUTED_VALUE"""),"")</f>
        <v/>
      </c>
      <c r="K906" s="4" t="str">
        <f>IFERROR(__xludf.DUMMYFUNCTION("""COMPUTED_VALUE"""),"")</f>
        <v/>
      </c>
    </row>
    <row r="907">
      <c r="A907" s="4" t="str">
        <f>IFERROR(__xludf.DUMMYFUNCTION("""COMPUTED_VALUE"""),"")</f>
        <v/>
      </c>
      <c r="B907" s="4" t="str">
        <f>IFERROR(__xludf.DUMMYFUNCTION("""COMPUTED_VALUE"""),"")</f>
        <v/>
      </c>
      <c r="C907" s="4" t="str">
        <f>IFERROR(__xludf.DUMMYFUNCTION("""COMPUTED_VALUE"""),"")</f>
        <v/>
      </c>
      <c r="D907" s="4" t="str">
        <f>IFERROR(__xludf.DUMMYFUNCTION("""COMPUTED_VALUE"""),"")</f>
        <v/>
      </c>
      <c r="E907" s="4" t="str">
        <f>IFERROR(__xludf.DUMMYFUNCTION("""COMPUTED_VALUE"""),"")</f>
        <v/>
      </c>
      <c r="F907" s="4" t="str">
        <f>IFERROR(__xludf.DUMMYFUNCTION("""COMPUTED_VALUE"""),"")</f>
        <v/>
      </c>
      <c r="G907" s="4" t="str">
        <f>IFERROR(__xludf.DUMMYFUNCTION("""COMPUTED_VALUE"""),"")</f>
        <v/>
      </c>
      <c r="H907" s="4" t="str">
        <f>IFERROR(__xludf.DUMMYFUNCTION("""COMPUTED_VALUE"""),"")</f>
        <v/>
      </c>
      <c r="I907" s="4" t="str">
        <f>IFERROR(__xludf.DUMMYFUNCTION("""COMPUTED_VALUE"""),"")</f>
        <v/>
      </c>
      <c r="J907" s="4" t="str">
        <f>IFERROR(__xludf.DUMMYFUNCTION("""COMPUTED_VALUE"""),"")</f>
        <v/>
      </c>
      <c r="K907" s="4" t="str">
        <f>IFERROR(__xludf.DUMMYFUNCTION("""COMPUTED_VALUE"""),"")</f>
        <v/>
      </c>
    </row>
    <row r="908">
      <c r="A908" s="4" t="str">
        <f>IFERROR(__xludf.DUMMYFUNCTION("""COMPUTED_VALUE"""),"")</f>
        <v/>
      </c>
      <c r="B908" s="4" t="str">
        <f>IFERROR(__xludf.DUMMYFUNCTION("""COMPUTED_VALUE"""),"")</f>
        <v/>
      </c>
      <c r="C908" s="4" t="str">
        <f>IFERROR(__xludf.DUMMYFUNCTION("""COMPUTED_VALUE"""),"")</f>
        <v/>
      </c>
      <c r="D908" s="4" t="str">
        <f>IFERROR(__xludf.DUMMYFUNCTION("""COMPUTED_VALUE"""),"")</f>
        <v/>
      </c>
      <c r="E908" s="4" t="str">
        <f>IFERROR(__xludf.DUMMYFUNCTION("""COMPUTED_VALUE"""),"")</f>
        <v/>
      </c>
      <c r="F908" s="4" t="str">
        <f>IFERROR(__xludf.DUMMYFUNCTION("""COMPUTED_VALUE"""),"")</f>
        <v/>
      </c>
      <c r="G908" s="4" t="str">
        <f>IFERROR(__xludf.DUMMYFUNCTION("""COMPUTED_VALUE"""),"")</f>
        <v/>
      </c>
      <c r="H908" s="4" t="str">
        <f>IFERROR(__xludf.DUMMYFUNCTION("""COMPUTED_VALUE"""),"")</f>
        <v/>
      </c>
      <c r="I908" s="4" t="str">
        <f>IFERROR(__xludf.DUMMYFUNCTION("""COMPUTED_VALUE"""),"")</f>
        <v/>
      </c>
      <c r="J908" s="4" t="str">
        <f>IFERROR(__xludf.DUMMYFUNCTION("""COMPUTED_VALUE"""),"")</f>
        <v/>
      </c>
      <c r="K908" s="4" t="str">
        <f>IFERROR(__xludf.DUMMYFUNCTION("""COMPUTED_VALUE"""),"")</f>
        <v/>
      </c>
    </row>
    <row r="909">
      <c r="A909" s="4" t="str">
        <f>IFERROR(__xludf.DUMMYFUNCTION("""COMPUTED_VALUE"""),"")</f>
        <v/>
      </c>
      <c r="B909" s="4" t="str">
        <f>IFERROR(__xludf.DUMMYFUNCTION("""COMPUTED_VALUE"""),"")</f>
        <v/>
      </c>
      <c r="C909" s="4" t="str">
        <f>IFERROR(__xludf.DUMMYFUNCTION("""COMPUTED_VALUE"""),"")</f>
        <v/>
      </c>
      <c r="D909" s="4" t="str">
        <f>IFERROR(__xludf.DUMMYFUNCTION("""COMPUTED_VALUE"""),"")</f>
        <v/>
      </c>
      <c r="E909" s="4" t="str">
        <f>IFERROR(__xludf.DUMMYFUNCTION("""COMPUTED_VALUE"""),"")</f>
        <v/>
      </c>
      <c r="F909" s="4" t="str">
        <f>IFERROR(__xludf.DUMMYFUNCTION("""COMPUTED_VALUE"""),"")</f>
        <v/>
      </c>
      <c r="G909" s="4" t="str">
        <f>IFERROR(__xludf.DUMMYFUNCTION("""COMPUTED_VALUE"""),"")</f>
        <v/>
      </c>
      <c r="H909" s="4" t="str">
        <f>IFERROR(__xludf.DUMMYFUNCTION("""COMPUTED_VALUE"""),"")</f>
        <v/>
      </c>
      <c r="I909" s="4" t="str">
        <f>IFERROR(__xludf.DUMMYFUNCTION("""COMPUTED_VALUE"""),"")</f>
        <v/>
      </c>
      <c r="J909" s="4" t="str">
        <f>IFERROR(__xludf.DUMMYFUNCTION("""COMPUTED_VALUE"""),"")</f>
        <v/>
      </c>
      <c r="K909" s="4" t="str">
        <f>IFERROR(__xludf.DUMMYFUNCTION("""COMPUTED_VALUE"""),"")</f>
        <v/>
      </c>
    </row>
    <row r="910">
      <c r="A910" s="4" t="str">
        <f>IFERROR(__xludf.DUMMYFUNCTION("""COMPUTED_VALUE"""),"")</f>
        <v/>
      </c>
      <c r="B910" s="4" t="str">
        <f>IFERROR(__xludf.DUMMYFUNCTION("""COMPUTED_VALUE"""),"")</f>
        <v/>
      </c>
      <c r="C910" s="4" t="str">
        <f>IFERROR(__xludf.DUMMYFUNCTION("""COMPUTED_VALUE"""),"")</f>
        <v/>
      </c>
      <c r="D910" s="4" t="str">
        <f>IFERROR(__xludf.DUMMYFUNCTION("""COMPUTED_VALUE"""),"")</f>
        <v/>
      </c>
      <c r="E910" s="4" t="str">
        <f>IFERROR(__xludf.DUMMYFUNCTION("""COMPUTED_VALUE"""),"")</f>
        <v/>
      </c>
      <c r="F910" s="4" t="str">
        <f>IFERROR(__xludf.DUMMYFUNCTION("""COMPUTED_VALUE"""),"")</f>
        <v/>
      </c>
      <c r="G910" s="4" t="str">
        <f>IFERROR(__xludf.DUMMYFUNCTION("""COMPUTED_VALUE"""),"")</f>
        <v/>
      </c>
      <c r="H910" s="4" t="str">
        <f>IFERROR(__xludf.DUMMYFUNCTION("""COMPUTED_VALUE"""),"")</f>
        <v/>
      </c>
      <c r="I910" s="4" t="str">
        <f>IFERROR(__xludf.DUMMYFUNCTION("""COMPUTED_VALUE"""),"")</f>
        <v/>
      </c>
      <c r="J910" s="4" t="str">
        <f>IFERROR(__xludf.DUMMYFUNCTION("""COMPUTED_VALUE"""),"")</f>
        <v/>
      </c>
      <c r="K910" s="4" t="str">
        <f>IFERROR(__xludf.DUMMYFUNCTION("""COMPUTED_VALUE"""),"")</f>
        <v/>
      </c>
    </row>
    <row r="911">
      <c r="A911" s="4" t="str">
        <f>IFERROR(__xludf.DUMMYFUNCTION("""COMPUTED_VALUE"""),"")</f>
        <v/>
      </c>
      <c r="B911" s="4" t="str">
        <f>IFERROR(__xludf.DUMMYFUNCTION("""COMPUTED_VALUE"""),"")</f>
        <v/>
      </c>
      <c r="C911" s="4" t="str">
        <f>IFERROR(__xludf.DUMMYFUNCTION("""COMPUTED_VALUE"""),"")</f>
        <v/>
      </c>
      <c r="D911" s="4" t="str">
        <f>IFERROR(__xludf.DUMMYFUNCTION("""COMPUTED_VALUE"""),"")</f>
        <v/>
      </c>
      <c r="E911" s="4" t="str">
        <f>IFERROR(__xludf.DUMMYFUNCTION("""COMPUTED_VALUE"""),"")</f>
        <v/>
      </c>
      <c r="F911" s="4" t="str">
        <f>IFERROR(__xludf.DUMMYFUNCTION("""COMPUTED_VALUE"""),"")</f>
        <v/>
      </c>
      <c r="G911" s="4" t="str">
        <f>IFERROR(__xludf.DUMMYFUNCTION("""COMPUTED_VALUE"""),"")</f>
        <v/>
      </c>
      <c r="H911" s="4" t="str">
        <f>IFERROR(__xludf.DUMMYFUNCTION("""COMPUTED_VALUE"""),"")</f>
        <v/>
      </c>
      <c r="I911" s="4" t="str">
        <f>IFERROR(__xludf.DUMMYFUNCTION("""COMPUTED_VALUE"""),"")</f>
        <v/>
      </c>
      <c r="J911" s="4" t="str">
        <f>IFERROR(__xludf.DUMMYFUNCTION("""COMPUTED_VALUE"""),"")</f>
        <v/>
      </c>
      <c r="K911" s="4" t="str">
        <f>IFERROR(__xludf.DUMMYFUNCTION("""COMPUTED_VALUE"""),"")</f>
        <v/>
      </c>
    </row>
    <row r="912">
      <c r="A912" s="4" t="str">
        <f>IFERROR(__xludf.DUMMYFUNCTION("""COMPUTED_VALUE"""),"")</f>
        <v/>
      </c>
      <c r="B912" s="4" t="str">
        <f>IFERROR(__xludf.DUMMYFUNCTION("""COMPUTED_VALUE"""),"")</f>
        <v/>
      </c>
      <c r="C912" s="4" t="str">
        <f>IFERROR(__xludf.DUMMYFUNCTION("""COMPUTED_VALUE"""),"")</f>
        <v/>
      </c>
      <c r="D912" s="4" t="str">
        <f>IFERROR(__xludf.DUMMYFUNCTION("""COMPUTED_VALUE"""),"")</f>
        <v/>
      </c>
      <c r="E912" s="4" t="str">
        <f>IFERROR(__xludf.DUMMYFUNCTION("""COMPUTED_VALUE"""),"")</f>
        <v/>
      </c>
      <c r="F912" s="4" t="str">
        <f>IFERROR(__xludf.DUMMYFUNCTION("""COMPUTED_VALUE"""),"")</f>
        <v/>
      </c>
      <c r="G912" s="4" t="str">
        <f>IFERROR(__xludf.DUMMYFUNCTION("""COMPUTED_VALUE"""),"")</f>
        <v/>
      </c>
      <c r="H912" s="4" t="str">
        <f>IFERROR(__xludf.DUMMYFUNCTION("""COMPUTED_VALUE"""),"")</f>
        <v/>
      </c>
      <c r="I912" s="4" t="str">
        <f>IFERROR(__xludf.DUMMYFUNCTION("""COMPUTED_VALUE"""),"")</f>
        <v/>
      </c>
      <c r="J912" s="4" t="str">
        <f>IFERROR(__xludf.DUMMYFUNCTION("""COMPUTED_VALUE"""),"")</f>
        <v/>
      </c>
      <c r="K912" s="4" t="str">
        <f>IFERROR(__xludf.DUMMYFUNCTION("""COMPUTED_VALUE"""),"")</f>
        <v/>
      </c>
    </row>
    <row r="913">
      <c r="A913" s="4" t="str">
        <f>IFERROR(__xludf.DUMMYFUNCTION("""COMPUTED_VALUE"""),"")</f>
        <v/>
      </c>
      <c r="B913" s="4" t="str">
        <f>IFERROR(__xludf.DUMMYFUNCTION("""COMPUTED_VALUE"""),"")</f>
        <v/>
      </c>
      <c r="C913" s="4" t="str">
        <f>IFERROR(__xludf.DUMMYFUNCTION("""COMPUTED_VALUE"""),"")</f>
        <v/>
      </c>
      <c r="D913" s="4" t="str">
        <f>IFERROR(__xludf.DUMMYFUNCTION("""COMPUTED_VALUE"""),"")</f>
        <v/>
      </c>
      <c r="E913" s="4" t="str">
        <f>IFERROR(__xludf.DUMMYFUNCTION("""COMPUTED_VALUE"""),"")</f>
        <v/>
      </c>
      <c r="F913" s="4" t="str">
        <f>IFERROR(__xludf.DUMMYFUNCTION("""COMPUTED_VALUE"""),"")</f>
        <v/>
      </c>
      <c r="G913" s="4" t="str">
        <f>IFERROR(__xludf.DUMMYFUNCTION("""COMPUTED_VALUE"""),"")</f>
        <v/>
      </c>
      <c r="H913" s="4" t="str">
        <f>IFERROR(__xludf.DUMMYFUNCTION("""COMPUTED_VALUE"""),"")</f>
        <v/>
      </c>
      <c r="I913" s="4" t="str">
        <f>IFERROR(__xludf.DUMMYFUNCTION("""COMPUTED_VALUE"""),"")</f>
        <v/>
      </c>
      <c r="J913" s="4" t="str">
        <f>IFERROR(__xludf.DUMMYFUNCTION("""COMPUTED_VALUE"""),"")</f>
        <v/>
      </c>
      <c r="K913" s="4" t="str">
        <f>IFERROR(__xludf.DUMMYFUNCTION("""COMPUTED_VALUE"""),"")</f>
        <v/>
      </c>
    </row>
    <row r="914">
      <c r="A914" s="4" t="str">
        <f>IFERROR(__xludf.DUMMYFUNCTION("""COMPUTED_VALUE"""),"")</f>
        <v/>
      </c>
      <c r="B914" s="4" t="str">
        <f>IFERROR(__xludf.DUMMYFUNCTION("""COMPUTED_VALUE"""),"")</f>
        <v/>
      </c>
      <c r="C914" s="4" t="str">
        <f>IFERROR(__xludf.DUMMYFUNCTION("""COMPUTED_VALUE"""),"")</f>
        <v/>
      </c>
      <c r="D914" s="4" t="str">
        <f>IFERROR(__xludf.DUMMYFUNCTION("""COMPUTED_VALUE"""),"")</f>
        <v/>
      </c>
      <c r="E914" s="4" t="str">
        <f>IFERROR(__xludf.DUMMYFUNCTION("""COMPUTED_VALUE"""),"")</f>
        <v/>
      </c>
      <c r="F914" s="4" t="str">
        <f>IFERROR(__xludf.DUMMYFUNCTION("""COMPUTED_VALUE"""),"")</f>
        <v/>
      </c>
      <c r="G914" s="4" t="str">
        <f>IFERROR(__xludf.DUMMYFUNCTION("""COMPUTED_VALUE"""),"")</f>
        <v/>
      </c>
      <c r="H914" s="4" t="str">
        <f>IFERROR(__xludf.DUMMYFUNCTION("""COMPUTED_VALUE"""),"")</f>
        <v/>
      </c>
      <c r="I914" s="4" t="str">
        <f>IFERROR(__xludf.DUMMYFUNCTION("""COMPUTED_VALUE"""),"")</f>
        <v/>
      </c>
      <c r="J914" s="4" t="str">
        <f>IFERROR(__xludf.DUMMYFUNCTION("""COMPUTED_VALUE"""),"")</f>
        <v/>
      </c>
      <c r="K914" s="4" t="str">
        <f>IFERROR(__xludf.DUMMYFUNCTION("""COMPUTED_VALUE"""),"")</f>
        <v/>
      </c>
    </row>
    <row r="915">
      <c r="A915" s="4" t="str">
        <f>IFERROR(__xludf.DUMMYFUNCTION("""COMPUTED_VALUE"""),"")</f>
        <v/>
      </c>
      <c r="B915" s="4" t="str">
        <f>IFERROR(__xludf.DUMMYFUNCTION("""COMPUTED_VALUE"""),"")</f>
        <v/>
      </c>
      <c r="C915" s="4" t="str">
        <f>IFERROR(__xludf.DUMMYFUNCTION("""COMPUTED_VALUE"""),"")</f>
        <v/>
      </c>
      <c r="D915" s="4" t="str">
        <f>IFERROR(__xludf.DUMMYFUNCTION("""COMPUTED_VALUE"""),"")</f>
        <v/>
      </c>
      <c r="E915" s="4" t="str">
        <f>IFERROR(__xludf.DUMMYFUNCTION("""COMPUTED_VALUE"""),"")</f>
        <v/>
      </c>
      <c r="F915" s="4" t="str">
        <f>IFERROR(__xludf.DUMMYFUNCTION("""COMPUTED_VALUE"""),"")</f>
        <v/>
      </c>
      <c r="G915" s="4" t="str">
        <f>IFERROR(__xludf.DUMMYFUNCTION("""COMPUTED_VALUE"""),"")</f>
        <v/>
      </c>
      <c r="H915" s="4" t="str">
        <f>IFERROR(__xludf.DUMMYFUNCTION("""COMPUTED_VALUE"""),"")</f>
        <v/>
      </c>
      <c r="I915" s="4" t="str">
        <f>IFERROR(__xludf.DUMMYFUNCTION("""COMPUTED_VALUE"""),"")</f>
        <v/>
      </c>
      <c r="J915" s="4" t="str">
        <f>IFERROR(__xludf.DUMMYFUNCTION("""COMPUTED_VALUE"""),"")</f>
        <v/>
      </c>
      <c r="K915" s="4" t="str">
        <f>IFERROR(__xludf.DUMMYFUNCTION("""COMPUTED_VALUE"""),"")</f>
        <v/>
      </c>
    </row>
    <row r="916">
      <c r="A916" s="4" t="str">
        <f>IFERROR(__xludf.DUMMYFUNCTION("""COMPUTED_VALUE"""),"")</f>
        <v/>
      </c>
      <c r="B916" s="4" t="str">
        <f>IFERROR(__xludf.DUMMYFUNCTION("""COMPUTED_VALUE"""),"")</f>
        <v/>
      </c>
      <c r="C916" s="4" t="str">
        <f>IFERROR(__xludf.DUMMYFUNCTION("""COMPUTED_VALUE"""),"")</f>
        <v/>
      </c>
      <c r="D916" s="4" t="str">
        <f>IFERROR(__xludf.DUMMYFUNCTION("""COMPUTED_VALUE"""),"")</f>
        <v/>
      </c>
      <c r="E916" s="4" t="str">
        <f>IFERROR(__xludf.DUMMYFUNCTION("""COMPUTED_VALUE"""),"")</f>
        <v/>
      </c>
      <c r="F916" s="4" t="str">
        <f>IFERROR(__xludf.DUMMYFUNCTION("""COMPUTED_VALUE"""),"")</f>
        <v/>
      </c>
      <c r="G916" s="4" t="str">
        <f>IFERROR(__xludf.DUMMYFUNCTION("""COMPUTED_VALUE"""),"")</f>
        <v/>
      </c>
      <c r="H916" s="4" t="str">
        <f>IFERROR(__xludf.DUMMYFUNCTION("""COMPUTED_VALUE"""),"")</f>
        <v/>
      </c>
      <c r="I916" s="4" t="str">
        <f>IFERROR(__xludf.DUMMYFUNCTION("""COMPUTED_VALUE"""),"")</f>
        <v/>
      </c>
      <c r="J916" s="4" t="str">
        <f>IFERROR(__xludf.DUMMYFUNCTION("""COMPUTED_VALUE"""),"")</f>
        <v/>
      </c>
      <c r="K916" s="4" t="str">
        <f>IFERROR(__xludf.DUMMYFUNCTION("""COMPUTED_VALUE"""),"")</f>
        <v/>
      </c>
    </row>
    <row r="917">
      <c r="A917" s="4" t="str">
        <f>IFERROR(__xludf.DUMMYFUNCTION("""COMPUTED_VALUE"""),"")</f>
        <v/>
      </c>
      <c r="B917" s="4" t="str">
        <f>IFERROR(__xludf.DUMMYFUNCTION("""COMPUTED_VALUE"""),"")</f>
        <v/>
      </c>
      <c r="C917" s="4" t="str">
        <f>IFERROR(__xludf.DUMMYFUNCTION("""COMPUTED_VALUE"""),"")</f>
        <v/>
      </c>
      <c r="D917" s="4" t="str">
        <f>IFERROR(__xludf.DUMMYFUNCTION("""COMPUTED_VALUE"""),"")</f>
        <v/>
      </c>
      <c r="E917" s="4" t="str">
        <f>IFERROR(__xludf.DUMMYFUNCTION("""COMPUTED_VALUE"""),"")</f>
        <v/>
      </c>
      <c r="F917" s="4" t="str">
        <f>IFERROR(__xludf.DUMMYFUNCTION("""COMPUTED_VALUE"""),"")</f>
        <v/>
      </c>
      <c r="G917" s="4" t="str">
        <f>IFERROR(__xludf.DUMMYFUNCTION("""COMPUTED_VALUE"""),"")</f>
        <v/>
      </c>
      <c r="H917" s="4" t="str">
        <f>IFERROR(__xludf.DUMMYFUNCTION("""COMPUTED_VALUE"""),"")</f>
        <v/>
      </c>
      <c r="I917" s="4" t="str">
        <f>IFERROR(__xludf.DUMMYFUNCTION("""COMPUTED_VALUE"""),"")</f>
        <v/>
      </c>
      <c r="J917" s="4" t="str">
        <f>IFERROR(__xludf.DUMMYFUNCTION("""COMPUTED_VALUE"""),"")</f>
        <v/>
      </c>
      <c r="K917" s="4" t="str">
        <f>IFERROR(__xludf.DUMMYFUNCTION("""COMPUTED_VALUE"""),"")</f>
        <v/>
      </c>
    </row>
    <row r="918">
      <c r="A918" s="4" t="str">
        <f>IFERROR(__xludf.DUMMYFUNCTION("""COMPUTED_VALUE"""),"")</f>
        <v/>
      </c>
      <c r="B918" s="4" t="str">
        <f>IFERROR(__xludf.DUMMYFUNCTION("""COMPUTED_VALUE"""),"")</f>
        <v/>
      </c>
      <c r="C918" s="4" t="str">
        <f>IFERROR(__xludf.DUMMYFUNCTION("""COMPUTED_VALUE"""),"")</f>
        <v/>
      </c>
      <c r="D918" s="4" t="str">
        <f>IFERROR(__xludf.DUMMYFUNCTION("""COMPUTED_VALUE"""),"")</f>
        <v/>
      </c>
      <c r="E918" s="4" t="str">
        <f>IFERROR(__xludf.DUMMYFUNCTION("""COMPUTED_VALUE"""),"")</f>
        <v/>
      </c>
      <c r="F918" s="4" t="str">
        <f>IFERROR(__xludf.DUMMYFUNCTION("""COMPUTED_VALUE"""),"")</f>
        <v/>
      </c>
      <c r="G918" s="4" t="str">
        <f>IFERROR(__xludf.DUMMYFUNCTION("""COMPUTED_VALUE"""),"")</f>
        <v/>
      </c>
      <c r="H918" s="4" t="str">
        <f>IFERROR(__xludf.DUMMYFUNCTION("""COMPUTED_VALUE"""),"")</f>
        <v/>
      </c>
      <c r="I918" s="4" t="str">
        <f>IFERROR(__xludf.DUMMYFUNCTION("""COMPUTED_VALUE"""),"")</f>
        <v/>
      </c>
      <c r="J918" s="4" t="str">
        <f>IFERROR(__xludf.DUMMYFUNCTION("""COMPUTED_VALUE"""),"")</f>
        <v/>
      </c>
      <c r="K918" s="4" t="str">
        <f>IFERROR(__xludf.DUMMYFUNCTION("""COMPUTED_VALUE"""),"")</f>
        <v/>
      </c>
    </row>
    <row r="919">
      <c r="A919" s="4" t="str">
        <f>IFERROR(__xludf.DUMMYFUNCTION("""COMPUTED_VALUE"""),"")</f>
        <v/>
      </c>
      <c r="B919" s="4" t="str">
        <f>IFERROR(__xludf.DUMMYFUNCTION("""COMPUTED_VALUE"""),"")</f>
        <v/>
      </c>
      <c r="C919" s="4" t="str">
        <f>IFERROR(__xludf.DUMMYFUNCTION("""COMPUTED_VALUE"""),"")</f>
        <v/>
      </c>
      <c r="D919" s="4" t="str">
        <f>IFERROR(__xludf.DUMMYFUNCTION("""COMPUTED_VALUE"""),"")</f>
        <v/>
      </c>
      <c r="E919" s="4" t="str">
        <f>IFERROR(__xludf.DUMMYFUNCTION("""COMPUTED_VALUE"""),"")</f>
        <v/>
      </c>
      <c r="F919" s="4" t="str">
        <f>IFERROR(__xludf.DUMMYFUNCTION("""COMPUTED_VALUE"""),"")</f>
        <v/>
      </c>
      <c r="G919" s="4" t="str">
        <f>IFERROR(__xludf.DUMMYFUNCTION("""COMPUTED_VALUE"""),"")</f>
        <v/>
      </c>
      <c r="H919" s="4" t="str">
        <f>IFERROR(__xludf.DUMMYFUNCTION("""COMPUTED_VALUE"""),"")</f>
        <v/>
      </c>
      <c r="I919" s="4" t="str">
        <f>IFERROR(__xludf.DUMMYFUNCTION("""COMPUTED_VALUE"""),"")</f>
        <v/>
      </c>
      <c r="J919" s="4" t="str">
        <f>IFERROR(__xludf.DUMMYFUNCTION("""COMPUTED_VALUE"""),"")</f>
        <v/>
      </c>
      <c r="K919" s="4" t="str">
        <f>IFERROR(__xludf.DUMMYFUNCTION("""COMPUTED_VALUE"""),"")</f>
        <v/>
      </c>
    </row>
    <row r="920">
      <c r="A920" s="4" t="str">
        <f>IFERROR(__xludf.DUMMYFUNCTION("""COMPUTED_VALUE"""),"")</f>
        <v/>
      </c>
      <c r="B920" s="4" t="str">
        <f>IFERROR(__xludf.DUMMYFUNCTION("""COMPUTED_VALUE"""),"")</f>
        <v/>
      </c>
      <c r="C920" s="4" t="str">
        <f>IFERROR(__xludf.DUMMYFUNCTION("""COMPUTED_VALUE"""),"")</f>
        <v/>
      </c>
      <c r="D920" s="4" t="str">
        <f>IFERROR(__xludf.DUMMYFUNCTION("""COMPUTED_VALUE"""),"")</f>
        <v/>
      </c>
      <c r="E920" s="4" t="str">
        <f>IFERROR(__xludf.DUMMYFUNCTION("""COMPUTED_VALUE"""),"")</f>
        <v/>
      </c>
      <c r="F920" s="4" t="str">
        <f>IFERROR(__xludf.DUMMYFUNCTION("""COMPUTED_VALUE"""),"")</f>
        <v/>
      </c>
      <c r="G920" s="4" t="str">
        <f>IFERROR(__xludf.DUMMYFUNCTION("""COMPUTED_VALUE"""),"")</f>
        <v/>
      </c>
      <c r="H920" s="4" t="str">
        <f>IFERROR(__xludf.DUMMYFUNCTION("""COMPUTED_VALUE"""),"")</f>
        <v/>
      </c>
      <c r="I920" s="4" t="str">
        <f>IFERROR(__xludf.DUMMYFUNCTION("""COMPUTED_VALUE"""),"")</f>
        <v/>
      </c>
      <c r="J920" s="4" t="str">
        <f>IFERROR(__xludf.DUMMYFUNCTION("""COMPUTED_VALUE"""),"")</f>
        <v/>
      </c>
      <c r="K920" s="4" t="str">
        <f>IFERROR(__xludf.DUMMYFUNCTION("""COMPUTED_VALUE"""),"")</f>
        <v/>
      </c>
    </row>
    <row r="921">
      <c r="A921" s="4" t="str">
        <f>IFERROR(__xludf.DUMMYFUNCTION("""COMPUTED_VALUE"""),"")</f>
        <v/>
      </c>
      <c r="B921" s="4" t="str">
        <f>IFERROR(__xludf.DUMMYFUNCTION("""COMPUTED_VALUE"""),"")</f>
        <v/>
      </c>
      <c r="C921" s="4" t="str">
        <f>IFERROR(__xludf.DUMMYFUNCTION("""COMPUTED_VALUE"""),"")</f>
        <v/>
      </c>
      <c r="D921" s="4" t="str">
        <f>IFERROR(__xludf.DUMMYFUNCTION("""COMPUTED_VALUE"""),"")</f>
        <v/>
      </c>
      <c r="E921" s="4" t="str">
        <f>IFERROR(__xludf.DUMMYFUNCTION("""COMPUTED_VALUE"""),"")</f>
        <v/>
      </c>
      <c r="F921" s="4" t="str">
        <f>IFERROR(__xludf.DUMMYFUNCTION("""COMPUTED_VALUE"""),"")</f>
        <v/>
      </c>
      <c r="G921" s="4" t="str">
        <f>IFERROR(__xludf.DUMMYFUNCTION("""COMPUTED_VALUE"""),"")</f>
        <v/>
      </c>
      <c r="H921" s="4" t="str">
        <f>IFERROR(__xludf.DUMMYFUNCTION("""COMPUTED_VALUE"""),"")</f>
        <v/>
      </c>
      <c r="I921" s="4" t="str">
        <f>IFERROR(__xludf.DUMMYFUNCTION("""COMPUTED_VALUE"""),"")</f>
        <v/>
      </c>
      <c r="J921" s="4" t="str">
        <f>IFERROR(__xludf.DUMMYFUNCTION("""COMPUTED_VALUE"""),"")</f>
        <v/>
      </c>
      <c r="K921" s="4" t="str">
        <f>IFERROR(__xludf.DUMMYFUNCTION("""COMPUTED_VALUE"""),"")</f>
        <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B16"/>
    <hyperlink r:id="rId16" ref="G16"/>
    <hyperlink r:id="rId17" ref="G17"/>
    <hyperlink r:id="rId18" ref="G18"/>
    <hyperlink r:id="rId19" ref="G19"/>
    <hyperlink r:id="rId20" ref="G20"/>
    <hyperlink r:id="rId21" ref="G21"/>
    <hyperlink r:id="rId22" ref="B22"/>
    <hyperlink r:id="rId23" ref="G22"/>
    <hyperlink r:id="rId24" ref="B23"/>
    <hyperlink r:id="rId25" ref="G23"/>
    <hyperlink r:id="rId26" ref="G24"/>
    <hyperlink r:id="rId27" ref="G25"/>
    <hyperlink r:id="rId28" ref="G26"/>
    <hyperlink r:id="rId29" ref="G27"/>
    <hyperlink r:id="rId30" ref="G28"/>
    <hyperlink r:id="rId31" ref="G29"/>
    <hyperlink r:id="rId32" ref="G30"/>
    <hyperlink r:id="rId33" ref="G31"/>
    <hyperlink r:id="rId34" ref="G32"/>
    <hyperlink r:id="rId35" ref="G33"/>
    <hyperlink r:id="rId36" ref="G34"/>
    <hyperlink r:id="rId37" ref="G35"/>
    <hyperlink r:id="rId38" ref="G36"/>
    <hyperlink r:id="rId39" ref="G37"/>
    <hyperlink r:id="rId40" ref="G38"/>
    <hyperlink r:id="rId41" ref="G39"/>
    <hyperlink r:id="rId42" ref="G40"/>
    <hyperlink r:id="rId43" ref="G41"/>
    <hyperlink r:id="rId44" ref="G42"/>
    <hyperlink r:id="rId45" ref="G43"/>
    <hyperlink r:id="rId46" ref="G44"/>
    <hyperlink r:id="rId47" ref="G45"/>
    <hyperlink r:id="rId48" ref="G46"/>
    <hyperlink r:id="rId49" ref="G47"/>
    <hyperlink r:id="rId50" ref="G48"/>
    <hyperlink r:id="rId51" ref="G49"/>
    <hyperlink r:id="rId52" ref="G50"/>
    <hyperlink r:id="rId53" ref="G51"/>
    <hyperlink r:id="rId54" ref="G52"/>
    <hyperlink r:id="rId55" ref="G53"/>
    <hyperlink r:id="rId56" ref="G54"/>
    <hyperlink r:id="rId57" ref="G55"/>
    <hyperlink r:id="rId58" ref="G56"/>
    <hyperlink r:id="rId59" ref="G57"/>
    <hyperlink r:id="rId60" ref="G58"/>
    <hyperlink r:id="rId61" ref="G59"/>
    <hyperlink r:id="rId62" ref="G60"/>
    <hyperlink r:id="rId63" ref="G61"/>
    <hyperlink r:id="rId64" ref="G62"/>
    <hyperlink r:id="rId65" ref="G63"/>
    <hyperlink r:id="rId66" ref="G64"/>
    <hyperlink r:id="rId67" ref="G65"/>
    <hyperlink r:id="rId68" ref="G66"/>
    <hyperlink r:id="rId69" ref="G67"/>
    <hyperlink r:id="rId70" ref="G68"/>
    <hyperlink r:id="rId71" ref="G69"/>
    <hyperlink r:id="rId72" ref="G70"/>
    <hyperlink r:id="rId73" ref="G71"/>
    <hyperlink r:id="rId74" ref="G72"/>
    <hyperlink r:id="rId75" ref="G73"/>
    <hyperlink r:id="rId76" ref="G74"/>
    <hyperlink r:id="rId77" ref="G75"/>
    <hyperlink r:id="rId78" ref="G76"/>
    <hyperlink r:id="rId79" ref="G77"/>
    <hyperlink r:id="rId80" ref="G78"/>
    <hyperlink r:id="rId81" ref="G79"/>
    <hyperlink r:id="rId82" ref="G80"/>
    <hyperlink r:id="rId83" ref="G81"/>
    <hyperlink r:id="rId84" ref="G82"/>
    <hyperlink r:id="rId85" ref="G83"/>
    <hyperlink r:id="rId86" ref="G84"/>
    <hyperlink r:id="rId87" ref="G85"/>
    <hyperlink r:id="rId88" ref="G86"/>
    <hyperlink r:id="rId89" ref="G87"/>
    <hyperlink r:id="rId90" ref="G88"/>
    <hyperlink r:id="rId91" ref="G89"/>
    <hyperlink r:id="rId92" ref="G90"/>
    <hyperlink r:id="rId93" ref="G92"/>
    <hyperlink r:id="rId94" ref="G93"/>
    <hyperlink r:id="rId95" ref="G94"/>
    <hyperlink r:id="rId96" ref="G96"/>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B119"/>
    <hyperlink r:id="rId119" ref="G119"/>
    <hyperlink r:id="rId120" ref="G120"/>
    <hyperlink r:id="rId121" ref="G121"/>
    <hyperlink r:id="rId122" ref="G122"/>
    <hyperlink r:id="rId123" ref="G123"/>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B140"/>
    <hyperlink r:id="rId140" ref="G140"/>
    <hyperlink r:id="rId141" ref="G141"/>
    <hyperlink r:id="rId142" ref="G142"/>
    <hyperlink r:id="rId143" ref="G143"/>
    <hyperlink r:id="rId144" ref="G144"/>
    <hyperlink r:id="rId145" ref="G145"/>
    <hyperlink r:id="rId146" ref="G146"/>
    <hyperlink r:id="rId147" ref="G147"/>
    <hyperlink r:id="rId148" ref="G148"/>
    <hyperlink r:id="rId149" ref="B149"/>
    <hyperlink r:id="rId150" ref="G149"/>
    <hyperlink r:id="rId151" ref="G150"/>
    <hyperlink r:id="rId152" ref="G151"/>
    <hyperlink r:id="rId153" ref="G152"/>
    <hyperlink r:id="rId154" ref="G153"/>
    <hyperlink r:id="rId155" ref="G154"/>
    <hyperlink r:id="rId156" ref="G155"/>
    <hyperlink r:id="rId157" ref="G156"/>
    <hyperlink r:id="rId158" ref="G157"/>
    <hyperlink r:id="rId159" ref="G158"/>
    <hyperlink r:id="rId160" ref="G160"/>
    <hyperlink r:id="rId161" ref="G161"/>
    <hyperlink r:id="rId162" ref="G162"/>
    <hyperlink r:id="rId163" ref="G163"/>
    <hyperlink r:id="rId164" ref="G164"/>
    <hyperlink r:id="rId165" ref="G165"/>
    <hyperlink r:id="rId166" ref="G166"/>
    <hyperlink r:id="rId167" ref="G167"/>
    <hyperlink r:id="rId168" ref="G168"/>
    <hyperlink r:id="rId169" ref="G169"/>
    <hyperlink r:id="rId170" ref="G170"/>
    <hyperlink r:id="rId171" ref="G171"/>
    <hyperlink r:id="rId172" ref="G172"/>
    <hyperlink r:id="rId173" ref="G173"/>
    <hyperlink r:id="rId174" ref="G174"/>
    <hyperlink r:id="rId175" ref="G176"/>
    <hyperlink r:id="rId176" ref="G177"/>
    <hyperlink r:id="rId177" ref="G178"/>
    <hyperlink r:id="rId178" ref="G179"/>
    <hyperlink r:id="rId179" ref="G180"/>
    <hyperlink r:id="rId180" ref="G181"/>
    <hyperlink r:id="rId181" ref="G182"/>
    <hyperlink r:id="rId182" ref="G183"/>
    <hyperlink r:id="rId183" ref="G184"/>
    <hyperlink r:id="rId184" ref="B185"/>
    <hyperlink r:id="rId185" ref="G185"/>
    <hyperlink r:id="rId186" ref="G186"/>
    <hyperlink r:id="rId187" ref="G187"/>
  </hyperlinks>
  <drawing r:id="rId18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4.43" defaultRowHeight="15.75"/>
  <cols>
    <col customWidth="1" min="2" max="2" width="21.71"/>
    <col customWidth="1" min="6" max="6" width="23.57"/>
    <col customWidth="1" min="8" max="8" width="9.43"/>
    <col customWidth="1" min="9" max="9" width="10.14"/>
    <col customWidth="1" min="10" max="10" width="12.57"/>
    <col customWidth="1" min="12" max="12" width="16.86"/>
  </cols>
  <sheetData>
    <row r="1" ht="29.25" customHeight="1">
      <c r="A1" s="3" t="s">
        <v>6818</v>
      </c>
      <c r="B1" s="162" t="s">
        <v>6830</v>
      </c>
      <c r="C1" s="162" t="s">
        <v>8841</v>
      </c>
      <c r="D1" s="3" t="s">
        <v>536</v>
      </c>
      <c r="E1" s="3" t="s">
        <v>11</v>
      </c>
      <c r="F1" s="164" t="s">
        <v>537</v>
      </c>
      <c r="G1" s="185" t="s">
        <v>58</v>
      </c>
      <c r="H1" s="48" t="s">
        <v>38</v>
      </c>
      <c r="I1" s="48" t="s">
        <v>541</v>
      </c>
      <c r="J1" s="48" t="s">
        <v>9</v>
      </c>
      <c r="K1" s="48" t="s">
        <v>542</v>
      </c>
      <c r="L1" s="61" t="s">
        <v>543</v>
      </c>
      <c r="M1" s="48" t="s">
        <v>544</v>
      </c>
      <c r="N1" s="48" t="s">
        <v>546</v>
      </c>
      <c r="O1" s="48" t="s">
        <v>63</v>
      </c>
      <c r="P1" s="48" t="s">
        <v>547</v>
      </c>
    </row>
    <row r="2">
      <c r="D2" s="4"/>
      <c r="E2" s="203"/>
      <c r="G2" s="166" t="b">
        <v>0</v>
      </c>
      <c r="H2" s="51" t="b">
        <v>0</v>
      </c>
      <c r="I2" s="51" t="b">
        <v>0</v>
      </c>
      <c r="J2" s="51" t="b">
        <v>0</v>
      </c>
      <c r="K2" s="51" t="b">
        <v>0</v>
      </c>
      <c r="L2" s="51" t="b">
        <v>0</v>
      </c>
      <c r="M2" s="71"/>
      <c r="N2" s="69"/>
      <c r="O2" s="69"/>
      <c r="P2" s="69"/>
    </row>
    <row r="3">
      <c r="A3" s="385" t="s">
        <v>8842</v>
      </c>
      <c r="B3" s="45" t="s">
        <v>8843</v>
      </c>
      <c r="C3" s="385" t="s">
        <v>8844</v>
      </c>
      <c r="D3" s="45" t="s">
        <v>8845</v>
      </c>
      <c r="E3" s="4"/>
      <c r="F3" s="80" t="s">
        <v>8846</v>
      </c>
      <c r="G3" s="166" t="b">
        <v>0</v>
      </c>
      <c r="H3" s="166" t="b">
        <v>0</v>
      </c>
      <c r="I3" s="166" t="b">
        <v>0</v>
      </c>
      <c r="J3" s="166" t="b">
        <v>0</v>
      </c>
      <c r="K3" s="51" t="b">
        <v>0</v>
      </c>
      <c r="L3" s="51" t="b">
        <v>0</v>
      </c>
      <c r="N3" s="111" t="s">
        <v>6111</v>
      </c>
    </row>
    <row r="4">
      <c r="A4" s="45" t="s">
        <v>8847</v>
      </c>
      <c r="C4" s="45" t="s">
        <v>8848</v>
      </c>
      <c r="D4" s="45" t="s">
        <v>8845</v>
      </c>
      <c r="E4" s="45" t="s">
        <v>2149</v>
      </c>
      <c r="F4" s="80" t="s">
        <v>8849</v>
      </c>
      <c r="G4" s="166" t="b">
        <v>1</v>
      </c>
      <c r="H4" s="166" t="b">
        <v>1</v>
      </c>
      <c r="I4" s="166" t="b">
        <v>1</v>
      </c>
      <c r="J4" s="166" t="b">
        <v>0</v>
      </c>
      <c r="K4" s="51" t="b">
        <v>0</v>
      </c>
      <c r="L4" s="51" t="b">
        <v>0</v>
      </c>
      <c r="M4" s="117">
        <v>0.8576388888888888</v>
      </c>
      <c r="O4" s="45" t="s">
        <v>8850</v>
      </c>
      <c r="P4" s="80" t="s">
        <v>8851</v>
      </c>
    </row>
    <row r="5">
      <c r="A5" s="45" t="s">
        <v>8852</v>
      </c>
      <c r="C5" s="45" t="s">
        <v>8853</v>
      </c>
      <c r="D5" s="45" t="s">
        <v>8845</v>
      </c>
      <c r="E5" s="45" t="s">
        <v>2149</v>
      </c>
      <c r="F5" s="80" t="s">
        <v>8854</v>
      </c>
      <c r="G5" s="166" t="b">
        <v>1</v>
      </c>
      <c r="H5" s="166" t="b">
        <v>1</v>
      </c>
      <c r="I5" s="166" t="b">
        <v>1</v>
      </c>
      <c r="J5" s="166" t="b">
        <v>0</v>
      </c>
      <c r="K5" s="51" t="b">
        <v>0</v>
      </c>
      <c r="L5" s="51" t="b">
        <v>0</v>
      </c>
      <c r="M5" s="386">
        <v>0.017974537037037035</v>
      </c>
      <c r="O5" s="45" t="s">
        <v>8855</v>
      </c>
      <c r="P5" s="80" t="s">
        <v>8856</v>
      </c>
    </row>
    <row r="6">
      <c r="A6" s="45" t="s">
        <v>8857</v>
      </c>
      <c r="C6" s="45" t="s">
        <v>8858</v>
      </c>
      <c r="D6" s="45" t="s">
        <v>8845</v>
      </c>
      <c r="E6" s="45" t="s">
        <v>2149</v>
      </c>
      <c r="F6" s="80" t="s">
        <v>8859</v>
      </c>
      <c r="G6" s="166" t="b">
        <v>1</v>
      </c>
      <c r="H6" s="166" t="b">
        <v>1</v>
      </c>
      <c r="I6" s="166" t="b">
        <v>1</v>
      </c>
      <c r="J6" s="166" t="b">
        <v>0</v>
      </c>
      <c r="K6" s="51" t="b">
        <v>0</v>
      </c>
      <c r="L6" s="51" t="b">
        <v>0</v>
      </c>
      <c r="M6" s="156">
        <v>0.017222222222222222</v>
      </c>
      <c r="O6" s="45" t="s">
        <v>8855</v>
      </c>
      <c r="P6" s="111" t="s">
        <v>8860</v>
      </c>
    </row>
    <row r="7">
      <c r="A7" s="45" t="s">
        <v>8861</v>
      </c>
      <c r="D7" s="4"/>
      <c r="E7" s="4"/>
      <c r="G7" s="166" t="b">
        <v>0</v>
      </c>
      <c r="H7" s="166" t="b">
        <v>0</v>
      </c>
      <c r="I7" s="166" t="b">
        <v>0</v>
      </c>
      <c r="J7" s="166" t="b">
        <v>0</v>
      </c>
      <c r="K7" s="51" t="b">
        <v>0</v>
      </c>
      <c r="L7" s="51" t="b">
        <v>0</v>
      </c>
    </row>
    <row r="8">
      <c r="D8" s="4"/>
      <c r="E8" s="4"/>
      <c r="G8" s="166" t="b">
        <v>0</v>
      </c>
      <c r="H8" s="166" t="b">
        <v>0</v>
      </c>
      <c r="I8" s="166" t="b">
        <v>0</v>
      </c>
      <c r="J8" s="166" t="b">
        <v>0</v>
      </c>
      <c r="K8" s="51" t="b">
        <v>0</v>
      </c>
      <c r="L8" s="51" t="b">
        <v>0</v>
      </c>
    </row>
    <row r="9">
      <c r="D9" s="4"/>
      <c r="E9" s="4"/>
      <c r="G9" s="166" t="b">
        <v>0</v>
      </c>
      <c r="H9" s="166" t="b">
        <v>0</v>
      </c>
      <c r="I9" s="166" t="b">
        <v>0</v>
      </c>
      <c r="J9" s="166" t="b">
        <v>0</v>
      </c>
      <c r="K9" s="51" t="b">
        <v>0</v>
      </c>
      <c r="L9" s="51" t="b">
        <v>0</v>
      </c>
    </row>
    <row r="10">
      <c r="D10" s="4"/>
      <c r="E10" s="4"/>
      <c r="G10" s="166" t="b">
        <v>0</v>
      </c>
      <c r="H10" s="166" t="b">
        <v>0</v>
      </c>
      <c r="I10" s="166" t="b">
        <v>0</v>
      </c>
      <c r="J10" s="166" t="b">
        <v>0</v>
      </c>
      <c r="K10" s="51" t="b">
        <v>0</v>
      </c>
      <c r="L10" s="51" t="b">
        <v>0</v>
      </c>
    </row>
    <row r="11">
      <c r="D11" s="4"/>
      <c r="E11" s="4"/>
      <c r="G11" s="166" t="b">
        <v>0</v>
      </c>
      <c r="H11" s="166" t="b">
        <v>0</v>
      </c>
      <c r="I11" s="166" t="b">
        <v>0</v>
      </c>
      <c r="J11" s="166" t="b">
        <v>0</v>
      </c>
      <c r="K11" s="51" t="b">
        <v>0</v>
      </c>
      <c r="L11" s="51" t="b">
        <v>0</v>
      </c>
    </row>
  </sheetData>
  <conditionalFormatting sqref="P2">
    <cfRule type="expression" dxfId="3" priority="1">
      <formula>$B:$B = "Surplus ch."</formula>
    </cfRule>
  </conditionalFormatting>
  <conditionalFormatting sqref="G1:J11 K2:L11">
    <cfRule type="cellIs" dxfId="1" priority="2" operator="equal">
      <formula>"FALSE"</formula>
    </cfRule>
  </conditionalFormatting>
  <conditionalFormatting sqref="G1:J11 K2:L11">
    <cfRule type="containsText" dxfId="2" priority="3" operator="containsText" text="TRUE">
      <formula>NOT(ISERROR(SEARCH(("TRUE"),(G1))))</formula>
    </cfRule>
  </conditionalFormatting>
  <conditionalFormatting sqref="A1:D1 E1:E11 F1 G1:L11 M2:P2 F3">
    <cfRule type="cellIs" dxfId="0" priority="4" operator="equal">
      <formula>"ID null"</formula>
    </cfRule>
  </conditionalFormatting>
  <dataValidations>
    <dataValidation type="list" allowBlank="1" sqref="D2:D11">
      <formula1>Lists!$A$2:$A998</formula1>
    </dataValidation>
    <dataValidation type="list" allowBlank="1" sqref="E2:E11">
      <formula1>Lists!$B$2:$B$1000</formula1>
    </dataValidation>
  </dataValidations>
  <hyperlinks>
    <hyperlink r:id="rId1" ref="F3"/>
    <hyperlink r:id="rId2" ref="N3"/>
    <hyperlink r:id="rId3" ref="F4"/>
    <hyperlink r:id="rId4" ref="P4"/>
    <hyperlink r:id="rId5" ref="F5"/>
    <hyperlink r:id="rId6" ref="P5"/>
    <hyperlink r:id="rId7" ref="F6"/>
    <hyperlink r:id="rId8" ref="P6"/>
  </hyperlinks>
  <drawing r:id="rId9"/>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7.29"/>
    <col hidden="1" min="15" max="20" width="14.43"/>
  </cols>
  <sheetData>
    <row r="1">
      <c r="A1" s="4" t="str">
        <f>IFERROR(__xludf.DUMMYFUNCTION("IMPORTRANGE(""https://docs.google.com/spreadsheets/d/1l8e72-yG9T21QADDdnkdq-xoEWLzXhidQzV0IqT9aUA/edit#gid=0"", ""full talks - ALL!A2:U"")"),"Rank")</f>
        <v>Rank</v>
      </c>
      <c r="B1" s="4" t="str">
        <f>IFERROR(__xludf.DUMMYFUNCTION("""COMPUTED_VALUE"""),"Name, Company")</f>
        <v>Name, Company</v>
      </c>
      <c r="C1" s="4" t="str">
        <f>IFERROR(__xludf.DUMMYFUNCTION("""COMPUTED_VALUE"""),"Name")</f>
        <v>Name</v>
      </c>
      <c r="D1" s="4" t="str">
        <f>IFERROR(__xludf.DUMMYFUNCTION("""COMPUTED_VALUE"""),"Company")</f>
        <v>Company</v>
      </c>
      <c r="E1" s="4" t="str">
        <f>IFERROR(__xludf.DUMMYFUNCTION("""COMPUTED_VALUE"""),"Additional Speakers &amp; Companies")</f>
        <v>Additional Speakers &amp; Companies</v>
      </c>
      <c r="F1" s="4" t="str">
        <f>IFERROR(__xludf.DUMMYFUNCTION("""COMPUTED_VALUE"""),"All Bought Attendances")</f>
        <v>All Bought Attendances</v>
      </c>
      <c r="G1" s="4" t="str">
        <f>IFERROR(__xludf.DUMMYFUNCTION("""COMPUTED_VALUE"""),"All Bought Attendances")</f>
        <v>All Bought Attendances</v>
      </c>
      <c r="H1" s="4" t="str">
        <f>IFERROR(__xludf.DUMMYFUNCTION("""COMPUTED_VALUE"""),"Preferred Session (Laura and Gav to fill)")</f>
        <v>Preferred Session (Laura and Gav to fill)</v>
      </c>
      <c r="I1" s="4" t="str">
        <f>IFERROR(__xludf.DUMMYFUNCTION("""COMPUTED_VALUE"""),"Link to talks, separate by ; ")</f>
        <v>Link to talks, separate by ; </v>
      </c>
      <c r="J1" s="4" t="str">
        <f>IFERROR(__xludf.DUMMYFUNCTION("""COMPUTED_VALUE"""),"Claimed by:")</f>
        <v>Claimed by:</v>
      </c>
      <c r="K1" s="4" t="str">
        <f>IFERROR(__xludf.DUMMYFUNCTION("""COMPUTED_VALUE"""),"Status")</f>
        <v>Status</v>
      </c>
      <c r="L1" s="4" t="str">
        <f>IFERROR(__xludf.DUMMYFUNCTION("""COMPUTED_VALUE"""),"Notes")</f>
        <v>Notes</v>
      </c>
      <c r="M1" s="4" t="str">
        <f>IFERROR(__xludf.DUMMYFUNCTION("""COMPUTED_VALUE"""),"Time to trim")</f>
        <v>Time to trim</v>
      </c>
      <c r="N1" s="4" t="str">
        <f>IFERROR(__xludf.DUMMYFUNCTION("""COMPUTED_VALUE"""),"(e.g. 00:01:32 - 00:2:57)")</f>
        <v>(e.g. 00:01:32 - 00:2:57)</v>
      </c>
      <c r="O1" s="4" t="str">
        <f>IFERROR(__xludf.DUMMYFUNCTION("""COMPUTED_VALUE"""),"")</f>
        <v/>
      </c>
      <c r="P1" s="4" t="str">
        <f>IFERROR(__xludf.DUMMYFUNCTION("""COMPUTED_VALUE"""),"")</f>
        <v/>
      </c>
      <c r="Q1" s="4" t="str">
        <f>IFERROR(__xludf.DUMMYFUNCTION("""COMPUTED_VALUE"""),"")</f>
        <v/>
      </c>
      <c r="R1" s="4" t="str">
        <f>IFERROR(__xludf.DUMMYFUNCTION("""COMPUTED_VALUE"""),"")</f>
        <v/>
      </c>
      <c r="S1" s="4" t="str">
        <f>IFERROR(__xludf.DUMMYFUNCTION("""COMPUTED_VALUE"""),"")</f>
        <v/>
      </c>
      <c r="T1" s="4" t="str">
        <f>IFERROR(__xludf.DUMMYFUNCTION("""COMPUTED_VALUE"""),"")</f>
        <v/>
      </c>
      <c r="U1" s="4" t="str">
        <f>IFERROR(__xludf.DUMMYFUNCTION("""COMPUTED_VALUE"""),"FOOTAGE, S3, DRIVE")</f>
        <v>FOOTAGE, S3, DRIVE</v>
      </c>
    </row>
    <row r="2">
      <c r="A2" s="4">
        <f>IFERROR(__xludf.DUMMYFUNCTION("""COMPUTED_VALUE"""),1.0)</f>
        <v>1</v>
      </c>
      <c r="B2" s="4" t="str">
        <f>IFERROR(__xludf.DUMMYFUNCTION("""COMPUTED_VALUE"""),"Al Gore, Generation Investment Management")</f>
        <v>Al Gore, Generation Investment Management</v>
      </c>
      <c r="C2" s="4" t="str">
        <f>IFERROR(__xludf.DUMMYFUNCTION("""COMPUTED_VALUE"""),"Al Gore")</f>
        <v>Al Gore</v>
      </c>
      <c r="D2" s="4" t="str">
        <f>IFERROR(__xludf.DUMMYFUNCTION("""COMPUTED_VALUE"""),"Generation Investment Management")</f>
        <v>Generation Investment Management</v>
      </c>
      <c r="E2" s="4" t="str">
        <f>IFERROR(__xludf.DUMMYFUNCTION("""COMPUTED_VALUE"""),"")</f>
        <v/>
      </c>
      <c r="F2" s="4" t="str">
        <f>IFERROR(__xludf.DUMMYFUNCTION("""COMPUTED_VALUE"""),"Collision 2018 | Speaker
Web Summit 2017 | Speaker")</f>
        <v>Collision 2018 | Speaker
Web Summit 2017 | Speaker</v>
      </c>
      <c r="G2" s="4" t="str">
        <f>IFERROR(__xludf.DUMMYFUNCTION("""COMPUTED_VALUE"""),"Collision 2018 | Speaker
Web Summit 2017 | Speaker")</f>
        <v>Collision 2018 | Speaker
Web Summit 2017 | Speaker</v>
      </c>
      <c r="H2" s="4" t="str">
        <f>IFERROR(__xludf.DUMMYFUNCTION("""COMPUTED_VALUE"""),"")</f>
        <v/>
      </c>
      <c r="I2" s="4" t="str">
        <f>IFERROR(__xludf.DUMMYFUNCTION("""COMPUTED_VALUE"""),"https://www.youtube.com/watch?v=wlrxuTob3mc; 
https://www.youtube.com/watch?v=HvL4a-MSO-M")</f>
        <v>https://www.youtube.com/watch?v=wlrxuTob3mc; 
https://www.youtube.com/watch?v=HvL4a-MSO-M</v>
      </c>
      <c r="J2" s="4" t="str">
        <f>IFERROR(__xludf.DUMMYFUNCTION("""COMPUTED_VALUE"""),"Gav")</f>
        <v>Gav</v>
      </c>
      <c r="K2" s="4" t="str">
        <f>IFERROR(__xludf.DUMMYFUNCTION("""COMPUTED_VALUE"""),"In")</f>
        <v>In</v>
      </c>
      <c r="L2" s="4" t="str">
        <f>IFERROR(__xludf.DUMMYFUNCTION("""COMPUTED_VALUE"""),"")</f>
        <v/>
      </c>
      <c r="M2" s="4" t="str">
        <f>IFERROR(__xludf.DUMMYFUNCTION("""COMPUTED_VALUE"""),"")</f>
        <v/>
      </c>
      <c r="N2" s="4" t="str">
        <f>IFERROR(__xludf.DUMMYFUNCTION("""COMPUTED_VALUE"""),"")</f>
        <v/>
      </c>
      <c r="O2" s="4" t="str">
        <f>IFERROR(__xludf.DUMMYFUNCTION("""COMPUTED_VALUE"""),"")</f>
        <v/>
      </c>
      <c r="P2" s="4" t="str">
        <f>IFERROR(__xludf.DUMMYFUNCTION("""COMPUTED_VALUE"""),"")</f>
        <v/>
      </c>
      <c r="Q2" s="4" t="str">
        <f>IFERROR(__xludf.DUMMYFUNCTION("""COMPUTED_VALUE"""),"")</f>
        <v/>
      </c>
      <c r="R2" s="4" t="str">
        <f>IFERROR(__xludf.DUMMYFUNCTION("""COMPUTED_VALUE"""),"")</f>
        <v/>
      </c>
      <c r="S2" s="4" t="str">
        <f>IFERROR(__xludf.DUMMYFUNCTION("""COMPUTED_VALUE"""),"")</f>
        <v/>
      </c>
      <c r="T2" s="4" t="str">
        <f>IFERROR(__xludf.DUMMYFUNCTION("""COMPUTED_VALUE"""),"")</f>
        <v/>
      </c>
      <c r="U2" s="21" t="str">
        <f>IFERROR(__xludf.DUMMYFUNCTION("""COMPUTED_VALUE"""),"https://cc18-videos.s3-eu-west-1.amazonaws.com/2d66517c-edc7-4251-95ac-a2a770b0a0d9_Investing_in_the_transition_to_a_sustainable_economy.mp4")</f>
        <v>https://cc18-videos.s3-eu-west-1.amazonaws.com/2d66517c-edc7-4251-95ac-a2a770b0a0d9_Investing_in_the_transition_to_a_sustainable_economy.mp4</v>
      </c>
    </row>
    <row r="3">
      <c r="A3" s="4">
        <f>IFERROR(__xludf.DUMMYFUNCTION("""COMPUTED_VALUE"""),2.0)</f>
        <v>2</v>
      </c>
      <c r="B3" s="4" t="str">
        <f>IFERROR(__xludf.DUMMYFUNCTION("""COMPUTED_VALUE"""),"Edward Snowden, Freedom of the Press Foundation")</f>
        <v>Edward Snowden, Freedom of the Press Foundation</v>
      </c>
      <c r="C3" s="4" t="str">
        <f>IFERROR(__xludf.DUMMYFUNCTION("""COMPUTED_VALUE"""),"Edward Snowden")</f>
        <v>Edward Snowden</v>
      </c>
      <c r="D3" s="4" t="str">
        <f>IFERROR(__xludf.DUMMYFUNCTION("""COMPUTED_VALUE"""),"Freedom of the Press Foundation")</f>
        <v>Freedom of the Press Foundation</v>
      </c>
      <c r="E3" s="4" t="str">
        <f>IFERROR(__xludf.DUMMYFUNCTION("""COMPUTED_VALUE"""),"")</f>
        <v/>
      </c>
      <c r="F3" s="4" t="str">
        <f>IFERROR(__xludf.DUMMYFUNCTION("""COMPUTED_VALUE"""),"Web Summit 2019 | Speaker")</f>
        <v>Web Summit 2019 | Speaker</v>
      </c>
      <c r="G3" s="4" t="str">
        <f>IFERROR(__xludf.DUMMYFUNCTION("""COMPUTED_VALUE"""),"Web Summit 2019 | Speaker")</f>
        <v>Web Summit 2019 | Speaker</v>
      </c>
      <c r="H3" s="4" t="str">
        <f>IFERROR(__xludf.DUMMYFUNCTION("""COMPUTED_VALUE"""),"")</f>
        <v/>
      </c>
      <c r="I3" s="21" t="str">
        <f>IFERROR(__xludf.DUMMYFUNCTION("""COMPUTED_VALUE"""),"https://vimeo.com/showcase/6551539/video/370970563")</f>
        <v>https://vimeo.com/showcase/6551539/video/370970563</v>
      </c>
      <c r="J3" s="4" t="str">
        <f>IFERROR(__xludf.DUMMYFUNCTION("""COMPUTED_VALUE"""),"Darragh")</f>
        <v>Darragh</v>
      </c>
      <c r="K3" s="4" t="str">
        <f>IFERROR(__xludf.DUMMYFUNCTION("""COMPUTED_VALUE"""),"In")</f>
        <v>In</v>
      </c>
      <c r="L3" s="4" t="str">
        <f>IFERROR(__xludf.DUMMYFUNCTION("""COMPUTED_VALUE"""),"Has some of Citizen 11 in it")</f>
        <v>Has some of Citizen 11 in it</v>
      </c>
      <c r="M3" s="4" t="str">
        <f>IFERROR(__xludf.DUMMYFUNCTION("""COMPUTED_VALUE"""),"")</f>
        <v/>
      </c>
      <c r="N3" s="4" t="str">
        <f>IFERROR(__xludf.DUMMYFUNCTION("""COMPUTED_VALUE"""),"")</f>
        <v/>
      </c>
      <c r="O3" s="4" t="str">
        <f>IFERROR(__xludf.DUMMYFUNCTION("""COMPUTED_VALUE"""),"")</f>
        <v/>
      </c>
      <c r="P3" s="4" t="str">
        <f>IFERROR(__xludf.DUMMYFUNCTION("""COMPUTED_VALUE"""),"")</f>
        <v/>
      </c>
      <c r="Q3" s="4" t="str">
        <f>IFERROR(__xludf.DUMMYFUNCTION("""COMPUTED_VALUE"""),"")</f>
        <v/>
      </c>
      <c r="R3" s="4" t="str">
        <f>IFERROR(__xludf.DUMMYFUNCTION("""COMPUTED_VALUE"""),"")</f>
        <v/>
      </c>
      <c r="S3" s="4" t="str">
        <f>IFERROR(__xludf.DUMMYFUNCTION("""COMPUTED_VALUE"""),"")</f>
        <v/>
      </c>
      <c r="T3" s="4" t="str">
        <f>IFERROR(__xludf.DUMMYFUNCTION("""COMPUTED_VALUE"""),"")</f>
        <v/>
      </c>
      <c r="U3" s="21" t="str">
        <f>IFERROR(__xludf.DUMMYFUNCTION("""COMPUTED_VALUE"""),"https://ws19-processed-videos.s3-eu-west-1.amazonaws.com/7687743f-ee40-43a7-9618-4ad73248ab97_In_conversation_with_Edward_Snowden.mp4")</f>
        <v>https://ws19-processed-videos.s3-eu-west-1.amazonaws.com/7687743f-ee40-43a7-9618-4ad73248ab97_In_conversation_with_Edward_Snowden.mp4</v>
      </c>
    </row>
    <row r="4">
      <c r="A4" s="4">
        <f>IFERROR(__xludf.DUMMYFUNCTION("""COMPUTED_VALUE"""),3.0)</f>
        <v>3</v>
      </c>
      <c r="B4" s="4" t="str">
        <f>IFERROR(__xludf.DUMMYFUNCTION("""COMPUTED_VALUE"""),"Stephen Hawking, Cambridge University")</f>
        <v>Stephen Hawking, Cambridge University</v>
      </c>
      <c r="C4" s="4" t="str">
        <f>IFERROR(__xludf.DUMMYFUNCTION("""COMPUTED_VALUE"""),"Stephen Hawking")</f>
        <v>Stephen Hawking</v>
      </c>
      <c r="D4" s="4" t="str">
        <f>IFERROR(__xludf.DUMMYFUNCTION("""COMPUTED_VALUE"""),"Cambridge University")</f>
        <v>Cambridge University</v>
      </c>
      <c r="E4" s="4" t="str">
        <f>IFERROR(__xludf.DUMMYFUNCTION("""COMPUTED_VALUE"""),"")</f>
        <v/>
      </c>
      <c r="F4" s="4" t="str">
        <f>IFERROR(__xludf.DUMMYFUNCTION("""COMPUTED_VALUE"""),"Web Summit 2017 | Speaker")</f>
        <v>Web Summit 2017 | Speaker</v>
      </c>
      <c r="G4" s="4" t="str">
        <f>IFERROR(__xludf.DUMMYFUNCTION("""COMPUTED_VALUE"""),"Web Summit 2017 | Speaker")</f>
        <v>Web Summit 2017 | Speaker</v>
      </c>
      <c r="H4" s="4" t="str">
        <f>IFERROR(__xludf.DUMMYFUNCTION("""COMPUTED_VALUE"""),"")</f>
        <v/>
      </c>
      <c r="I4" s="21" t="str">
        <f>IFERROR(__xludf.DUMMYFUNCTION("""COMPUTED_VALUE"""),"https://www.youtube.com/watch?v=H41Zk1GrdRg&amp;t=2s")</f>
        <v>https://www.youtube.com/watch?v=H41Zk1GrdRg&amp;t=2s</v>
      </c>
      <c r="J4" s="4" t="str">
        <f>IFERROR(__xludf.DUMMYFUNCTION("""COMPUTED_VALUE"""),"Gav")</f>
        <v>Gav</v>
      </c>
      <c r="K4" s="4" t="str">
        <f>IFERROR(__xludf.DUMMYFUNCTION("""COMPUTED_VALUE"""),"In")</f>
        <v>In</v>
      </c>
      <c r="L4" s="4" t="str">
        <f>IFERROR(__xludf.DUMMYFUNCTION("""COMPUTED_VALUE"""),"Perfect")</f>
        <v>Perfect</v>
      </c>
      <c r="M4" s="4" t="str">
        <f>IFERROR(__xludf.DUMMYFUNCTION("""COMPUTED_VALUE"""),"")</f>
        <v/>
      </c>
      <c r="N4" s="4" t="str">
        <f>IFERROR(__xludf.DUMMYFUNCTION("""COMPUTED_VALUE"""),"")</f>
        <v/>
      </c>
      <c r="O4" s="4" t="str">
        <f>IFERROR(__xludf.DUMMYFUNCTION("""COMPUTED_VALUE"""),"")</f>
        <v/>
      </c>
      <c r="P4" s="4" t="str">
        <f>IFERROR(__xludf.DUMMYFUNCTION("""COMPUTED_VALUE"""),"")</f>
        <v/>
      </c>
      <c r="Q4" s="4" t="str">
        <f>IFERROR(__xludf.DUMMYFUNCTION("""COMPUTED_VALUE"""),"")</f>
        <v/>
      </c>
      <c r="R4" s="4" t="str">
        <f>IFERROR(__xludf.DUMMYFUNCTION("""COMPUTED_VALUE"""),"")</f>
        <v/>
      </c>
      <c r="S4" s="4" t="str">
        <f>IFERROR(__xludf.DUMMYFUNCTION("""COMPUTED_VALUE"""),"")</f>
        <v/>
      </c>
      <c r="T4" s="4" t="str">
        <f>IFERROR(__xludf.DUMMYFUNCTION("""COMPUTED_VALUE"""),"")</f>
        <v/>
      </c>
      <c r="U4" s="21" t="str">
        <f>IFERROR(__xludf.DUMMYFUNCTION("""COMPUTED_VALUE"""),"https://drive.google.com/open?id=1kVOePv68Qe42RiFvCoP9SXRagXr9Bjj9")</f>
        <v>https://drive.google.com/open?id=1kVOePv68Qe42RiFvCoP9SXRagXr9Bjj9</v>
      </c>
    </row>
    <row r="5">
      <c r="A5" s="4">
        <f>IFERROR(__xludf.DUMMYFUNCTION("""COMPUTED_VALUE"""),4.0)</f>
        <v>4</v>
      </c>
      <c r="B5" s="4" t="str">
        <f>IFERROR(__xludf.DUMMYFUNCTION("""COMPUTED_VALUE"""),"Sheryl Sandberg, Facebook")</f>
        <v>Sheryl Sandberg, Facebook</v>
      </c>
      <c r="C5" s="4" t="str">
        <f>IFERROR(__xludf.DUMMYFUNCTION("""COMPUTED_VALUE"""),"Sheryl Sanberg")</f>
        <v>Sheryl Sanberg</v>
      </c>
      <c r="D5" s="4" t="str">
        <f>IFERROR(__xludf.DUMMYFUNCTION("""COMPUTED_VALUE"""),"Facebook")</f>
        <v>Facebook</v>
      </c>
      <c r="E5" s="4" t="str">
        <f>IFERROR(__xludf.DUMMYFUNCTION("""COMPUTED_VALUE"""),"")</f>
        <v/>
      </c>
      <c r="F5" s="4" t="str">
        <f>IFERROR(__xludf.DUMMYFUNCTION("""COMPUTED_VALUE"""),"Web Summ 2017 | Spoke via video")</f>
        <v>Web Summ 2017 | Spoke via video</v>
      </c>
      <c r="G5" s="4" t="str">
        <f>IFERROR(__xludf.DUMMYFUNCTION("""COMPUTED_VALUE"""),"")</f>
        <v/>
      </c>
      <c r="H5" s="4" t="str">
        <f>IFERROR(__xludf.DUMMYFUNCTION("""COMPUTED_VALUE"""),"")</f>
        <v/>
      </c>
      <c r="I5" s="21" t="str">
        <f>IFERROR(__xludf.DUMMYFUNCTION("""COMPUTED_VALUE"""),"https://www.facebook.com/watch/?v=1597195527013152")</f>
        <v>https://www.facebook.com/watch/?v=1597195527013152</v>
      </c>
      <c r="J5" s="4" t="str">
        <f>IFERROR(__xludf.DUMMYFUNCTION("""COMPUTED_VALUE"""),"Gav")</f>
        <v>Gav</v>
      </c>
      <c r="K5" s="4" t="str">
        <f>IFERROR(__xludf.DUMMYFUNCTION("""COMPUTED_VALUE"""),"In")</f>
        <v>In</v>
      </c>
      <c r="L5" s="4" t="str">
        <f>IFERROR(__xludf.DUMMYFUNCTION("""COMPUTED_VALUE"""),"All good. 1.10 in length - can be used as a little bit of filler.")</f>
        <v>All good. 1.10 in length - can be used as a little bit of filler.</v>
      </c>
      <c r="M5" s="4" t="str">
        <f>IFERROR(__xludf.DUMMYFUNCTION("""COMPUTED_VALUE"""),"")</f>
        <v/>
      </c>
      <c r="N5" s="4" t="str">
        <f>IFERROR(__xludf.DUMMYFUNCTION("""COMPUTED_VALUE"""),"")</f>
        <v/>
      </c>
      <c r="O5" s="4" t="str">
        <f>IFERROR(__xludf.DUMMYFUNCTION("""COMPUTED_VALUE"""),"")</f>
        <v/>
      </c>
      <c r="P5" s="4" t="str">
        <f>IFERROR(__xludf.DUMMYFUNCTION("""COMPUTED_VALUE"""),"")</f>
        <v/>
      </c>
      <c r="Q5" s="4" t="str">
        <f>IFERROR(__xludf.DUMMYFUNCTION("""COMPUTED_VALUE"""),"")</f>
        <v/>
      </c>
      <c r="R5" s="4" t="str">
        <f>IFERROR(__xludf.DUMMYFUNCTION("""COMPUTED_VALUE"""),"")</f>
        <v/>
      </c>
      <c r="S5" s="4" t="str">
        <f>IFERROR(__xludf.DUMMYFUNCTION("""COMPUTED_VALUE"""),"")</f>
        <v/>
      </c>
      <c r="T5" s="4" t="str">
        <f>IFERROR(__xludf.DUMMYFUNCTION("""COMPUTED_VALUE"""),"")</f>
        <v/>
      </c>
      <c r="U5" s="21" t="str">
        <f>IFERROR(__xludf.DUMMYFUNCTION("""COMPUTED_VALUE"""),"https://drive.google.com/open?id=1hm-CXhPb31NlZ97pRI2yj1YEjY6LLZqj")</f>
        <v>https://drive.google.com/open?id=1hm-CXhPb31NlZ97pRI2yj1YEjY6LLZqj</v>
      </c>
    </row>
    <row r="6">
      <c r="A6" s="4">
        <f>IFERROR(__xludf.DUMMYFUNCTION("""COMPUTED_VALUE"""),5.0)</f>
        <v>5</v>
      </c>
      <c r="B6" s="4" t="str">
        <f>IFERROR(__xludf.DUMMYFUNCTION("""COMPUTED_VALUE"""),"Bono ., U2")</f>
        <v>Bono ., U2</v>
      </c>
      <c r="C6" s="4" t="str">
        <f>IFERROR(__xludf.DUMMYFUNCTION("""COMPUTED_VALUE"""),"Bono .")</f>
        <v>Bono .</v>
      </c>
      <c r="D6" s="4" t="str">
        <f>IFERROR(__xludf.DUMMYFUNCTION("""COMPUTED_VALUE"""),"U2")</f>
        <v>U2</v>
      </c>
      <c r="E6" s="4" t="str">
        <f>IFERROR(__xludf.DUMMYFUNCTION("""COMPUTED_VALUE"""),"Eric Wahlforss, Soundcloud, Dana Brunetti, Cavalry Media, David Carr, The New York Times, Bill McGlashan, TPG Growth")</f>
        <v>Eric Wahlforss, Soundcloud, Dana Brunetti, Cavalry Media, David Carr, The New York Times, Bill McGlashan, TPG Growth</v>
      </c>
      <c r="F6" s="4" t="str">
        <f>IFERROR(__xludf.DUMMYFUNCTION("""COMPUTED_VALUE"""),"Web Summit 2014 | Speaker")</f>
        <v>Web Summit 2014 | Speaker</v>
      </c>
      <c r="G6" s="4" t="str">
        <f>IFERROR(__xludf.DUMMYFUNCTION("""COMPUTED_VALUE"""),"Web Summit 2014 | Speaker
F.ounders Dublin 2014 | Founder
F.ounders Dublin 2013 | Founder")</f>
        <v>Web Summit 2014 | Speaker
F.ounders Dublin 2014 | Founder
F.ounders Dublin 2013 | Founder</v>
      </c>
      <c r="H6" s="4" t="str">
        <f>IFERROR(__xludf.DUMMYFUNCTION("""COMPUTED_VALUE"""),"")</f>
        <v/>
      </c>
      <c r="I6" s="21" t="str">
        <f>IFERROR(__xludf.DUMMYFUNCTION("""COMPUTED_VALUE"""),"https://www.youtube.com/watch?v=YpvkdC0f9Rk&amp;t=17s")</f>
        <v>https://www.youtube.com/watch?v=YpvkdC0f9Rk&amp;t=17s</v>
      </c>
      <c r="J6" s="4" t="str">
        <f>IFERROR(__xludf.DUMMYFUNCTION("""COMPUTED_VALUE"""),"Stephen")</f>
        <v>Stephen</v>
      </c>
      <c r="K6" s="4" t="str">
        <f>IFERROR(__xludf.DUMMYFUNCTION("""COMPUTED_VALUE"""),"In")</f>
        <v>In</v>
      </c>
      <c r="L6" s="4" t="str">
        <f>IFERROR(__xludf.DUMMYFUNCTION("""COMPUTED_VALUE"""),"Looks fine, one thing to flag is incorrect names at 11:08 if this can be removed and blocked. Dana Brunetti is controversial/affiliation with Kevin Spacey should be checked here. McGlashan embroiled in college admissions scandal of 2019.")</f>
        <v>Looks fine, one thing to flag is incorrect names at 11:08 if this can be removed and blocked. Dana Brunetti is controversial/affiliation with Kevin Spacey should be checked here. McGlashan embroiled in college admissions scandal of 2019.</v>
      </c>
      <c r="M6" s="4" t="str">
        <f>IFERROR(__xludf.DUMMYFUNCTION("""COMPUTED_VALUE"""),"00:00 - 00:03 &amp; 33:15 - 33:20")</f>
        <v>00:00 - 00:03 &amp; 33:15 - 33:20</v>
      </c>
      <c r="N6" s="4" t="str">
        <f>IFERROR(__xludf.DUMMYFUNCTION("""COMPUTED_VALUE"""),"")</f>
        <v/>
      </c>
      <c r="O6" s="4" t="str">
        <f>IFERROR(__xludf.DUMMYFUNCTION("""COMPUTED_VALUE"""),"")</f>
        <v/>
      </c>
      <c r="P6" s="4" t="str">
        <f>IFERROR(__xludf.DUMMYFUNCTION("""COMPUTED_VALUE"""),"")</f>
        <v/>
      </c>
      <c r="Q6" s="4" t="str">
        <f>IFERROR(__xludf.DUMMYFUNCTION("""COMPUTED_VALUE"""),"")</f>
        <v/>
      </c>
      <c r="R6" s="4" t="str">
        <f>IFERROR(__xludf.DUMMYFUNCTION("""COMPUTED_VALUE"""),"")</f>
        <v/>
      </c>
      <c r="S6" s="4" t="str">
        <f>IFERROR(__xludf.DUMMYFUNCTION("""COMPUTED_VALUE"""),"")</f>
        <v/>
      </c>
      <c r="T6" s="4" t="str">
        <f>IFERROR(__xludf.DUMMYFUNCTION("""COMPUTED_VALUE"""),"")</f>
        <v/>
      </c>
      <c r="U6" s="21" t="str">
        <f>IFERROR(__xludf.DUMMYFUNCTION("""COMPUTED_VALUE"""),"https://drive.google.com/open?id=1GjqzbNjgetfI--CNi8L4TQgMAHTcuroK")</f>
        <v>https://drive.google.com/open?id=1GjqzbNjgetfI--CNi8L4TQgMAHTcuroK</v>
      </c>
    </row>
    <row r="7">
      <c r="A7" s="4">
        <f>IFERROR(__xludf.DUMMYFUNCTION("""COMPUTED_VALUE"""),6.0)</f>
        <v>6</v>
      </c>
      <c r="B7" s="4" t="str">
        <f>IFERROR(__xludf.DUMMYFUNCTION("""COMPUTED_VALUE"""),"Tim Berners-Lee, W3")</f>
        <v>Tim Berners-Lee, W3</v>
      </c>
      <c r="C7" s="4" t="str">
        <f>IFERROR(__xludf.DUMMYFUNCTION("""COMPUTED_VALUE"""),"Tim Berners-Lee")</f>
        <v>Tim Berners-Lee</v>
      </c>
      <c r="D7" s="4" t="str">
        <f>IFERROR(__xludf.DUMMYFUNCTION("""COMPUTED_VALUE"""),"W3")</f>
        <v>W3</v>
      </c>
      <c r="E7" s="4" t="str">
        <f>IFERROR(__xludf.DUMMYFUNCTION("""COMPUTED_VALUE"""),"Laurie Segall, CNN (16:24), Other companies at 22:00")</f>
        <v>Laurie Segall, CNN (16:24), Other companies at 22:00</v>
      </c>
      <c r="F7" s="4" t="str">
        <f>IFERROR(__xludf.DUMMYFUNCTION("""COMPUTED_VALUE"""),"Web Summit 2018 | Speaker")</f>
        <v>Web Summit 2018 | Speaker</v>
      </c>
      <c r="G7" s="4" t="str">
        <f>IFERROR(__xludf.DUMMYFUNCTION("""COMPUTED_VALUE"""),"Web Summit 2018 | Speaker")</f>
        <v>Web Summit 2018 | Speaker</v>
      </c>
      <c r="H7" s="4" t="str">
        <f>IFERROR(__xludf.DUMMYFUNCTION("""COMPUTED_VALUE"""),"")</f>
        <v/>
      </c>
      <c r="I7" s="21" t="str">
        <f>IFERROR(__xludf.DUMMYFUNCTION("""COMPUTED_VALUE"""),"https://www.youtube.com/watch?v=_Ns78mUiBcM")</f>
        <v>https://www.youtube.com/watch?v=_Ns78mUiBcM</v>
      </c>
      <c r="J7" s="4" t="str">
        <f>IFERROR(__xludf.DUMMYFUNCTION("""COMPUTED_VALUE"""),"Stephen")</f>
        <v>Stephen</v>
      </c>
      <c r="K7" s="4" t="str">
        <f>IFERROR(__xludf.DUMMYFUNCTION("""COMPUTED_VALUE"""),"In")</f>
        <v>In</v>
      </c>
      <c r="L7" s="4" t="str">
        <f>IFERROR(__xludf.DUMMYFUNCTION("""COMPUTED_VALUE"""),"Intro video between 00:00 - 01:04 could be cut instead opening with Paddy intro. Same again for second video between 14:24 - 16:24. some trimming required between 16:24 - 16:50 as untidy changeover.  Really you could end it at 14:24 or 16:24 and it's bett"&amp;"er. Laurie fireside segment starting at 16:50 adds very little to it. At 23:00, group of companies who have signed contract for better web come out on stage. This should also be considered for cutting")</f>
        <v>Intro video between 00:00 - 01:04 could be cut instead opening with Paddy intro. Same again for second video between 14:24 - 16:24. some trimming required between 16:24 - 16:50 as untidy changeover.  Really you could end it at 14:24 or 16:24 and it's better. Laurie fireside segment starting at 16:50 adds very little to it. At 23:00, group of companies who have signed contract for better web come out on stage. This should also be considered for cutting</v>
      </c>
      <c r="M7" s="4" t="str">
        <f>IFERROR(__xludf.DUMMYFUNCTION("""COMPUTED_VALUE"""),"00:00 - 01:04, 14:24 - 16:24, 16:24 - 16:50")</f>
        <v>00:00 - 01:04, 14:24 - 16:24, 16:24 - 16:50</v>
      </c>
      <c r="N7" s="4" t="str">
        <f>IFERROR(__xludf.DUMMYFUNCTION("""COMPUTED_VALUE"""),"")</f>
        <v/>
      </c>
      <c r="O7" s="4" t="str">
        <f>IFERROR(__xludf.DUMMYFUNCTION("""COMPUTED_VALUE"""),"")</f>
        <v/>
      </c>
      <c r="P7" s="4" t="str">
        <f>IFERROR(__xludf.DUMMYFUNCTION("""COMPUTED_VALUE"""),"")</f>
        <v/>
      </c>
      <c r="Q7" s="4" t="str">
        <f>IFERROR(__xludf.DUMMYFUNCTION("""COMPUTED_VALUE"""),"")</f>
        <v/>
      </c>
      <c r="R7" s="4" t="str">
        <f>IFERROR(__xludf.DUMMYFUNCTION("""COMPUTED_VALUE"""),"")</f>
        <v/>
      </c>
      <c r="S7" s="4" t="str">
        <f>IFERROR(__xludf.DUMMYFUNCTION("""COMPUTED_VALUE"""),"")</f>
        <v/>
      </c>
      <c r="T7" s="4" t="str">
        <f>IFERROR(__xludf.DUMMYFUNCTION("""COMPUTED_VALUE"""),"")</f>
        <v/>
      </c>
      <c r="U7" s="21" t="str">
        <f>IFERROR(__xludf.DUMMYFUNCTION("""COMPUTED_VALUE"""),"https://drive.google.com/open?id=1KOzc9AWwCjGZ8PWU4jN0mnjSriV9MbRp")</f>
        <v>https://drive.google.com/open?id=1KOzc9AWwCjGZ8PWU4jN0mnjSriV9MbRp</v>
      </c>
    </row>
    <row r="8">
      <c r="A8" s="4">
        <f>IFERROR(__xludf.DUMMYFUNCTION("""COMPUTED_VALUE"""),7.0)</f>
        <v>7</v>
      </c>
      <c r="B8" s="4" t="str">
        <f>IFERROR(__xludf.DUMMYFUNCTION("""COMPUTED_VALUE"""),"Dustin Moskovitz, Asana")</f>
        <v>Dustin Moskovitz, Asana</v>
      </c>
      <c r="C8" s="4" t="str">
        <f>IFERROR(__xludf.DUMMYFUNCTION("""COMPUTED_VALUE"""),"Dustin Moskovitz")</f>
        <v>Dustin Moskovitz</v>
      </c>
      <c r="D8" s="4" t="str">
        <f>IFERROR(__xludf.DUMMYFUNCTION("""COMPUTED_VALUE"""),"Asana")</f>
        <v>Asana</v>
      </c>
      <c r="E8" s="4" t="str">
        <f>IFERROR(__xludf.DUMMYFUNCTION("""COMPUTED_VALUE"""),"Wladimir Klitschko, Heavyweight Champion; Laurie Segall, Dot Dot Media")</f>
        <v>Wladimir Klitschko, Heavyweight Champion; Laurie Segall, Dot Dot Media</v>
      </c>
      <c r="F8" s="4" t="str">
        <f>IFERROR(__xludf.DUMMYFUNCTION("""COMPUTED_VALUE"""),"Web Summit 2017 | Speaker")</f>
        <v>Web Summit 2017 | Speaker</v>
      </c>
      <c r="G8" s="4" t="str">
        <f>IFERROR(__xludf.DUMMYFUNCTION("""COMPUTED_VALUE"""),"Web Summit 2017 | Speaker")</f>
        <v>Web Summit 2017 | Speaker</v>
      </c>
      <c r="H8" s="4" t="str">
        <f>IFERROR(__xludf.DUMMYFUNCTION("""COMPUTED_VALUE"""),"")</f>
        <v/>
      </c>
      <c r="I8" s="21" t="str">
        <f>IFERROR(__xludf.DUMMYFUNCTION("""COMPUTED_VALUE"""),"https://www.youtube.com/watch?v=NFbrnaj6OYI")</f>
        <v>https://www.youtube.com/watch?v=NFbrnaj6OYI</v>
      </c>
      <c r="J8" s="4" t="str">
        <f>IFERROR(__xludf.DUMMYFUNCTION("""COMPUTED_VALUE"""),"Stephen")</f>
        <v>Stephen</v>
      </c>
      <c r="K8" s="4" t="str">
        <f>IFERROR(__xludf.DUMMYFUNCTION("""COMPUTED_VALUE"""),"In")</f>
        <v>In</v>
      </c>
      <c r="L8" s="4" t="str">
        <f>IFERROR(__xludf.DUMMYFUNCTION("""COMPUTED_VALUE"""),"Rolling graphic at the start to be edited out, Graphic on talk title (00:30) incorrect needs to be edited out,  gots to end graphic at 27.10")</f>
        <v>Rolling graphic at the start to be edited out, Graphic on talk title (00:30) incorrect needs to be edited out,  gots to end graphic at 27.10</v>
      </c>
      <c r="M8" s="4" t="str">
        <f>IFERROR(__xludf.DUMMYFUNCTION("""COMPUTED_VALUE"""),"00:00 - 00:08 &amp; 27:10 - 28:13")</f>
        <v>00:00 - 00:08 &amp; 27:10 - 28:13</v>
      </c>
      <c r="N8" s="4" t="str">
        <f>IFERROR(__xludf.DUMMYFUNCTION("""COMPUTED_VALUE"""),"")</f>
        <v/>
      </c>
      <c r="O8" s="4" t="str">
        <f>IFERROR(__xludf.DUMMYFUNCTION("""COMPUTED_VALUE"""),"")</f>
        <v/>
      </c>
      <c r="P8" s="4" t="str">
        <f>IFERROR(__xludf.DUMMYFUNCTION("""COMPUTED_VALUE"""),"")</f>
        <v/>
      </c>
      <c r="Q8" s="4" t="str">
        <f>IFERROR(__xludf.DUMMYFUNCTION("""COMPUTED_VALUE"""),"")</f>
        <v/>
      </c>
      <c r="R8" s="4" t="str">
        <f>IFERROR(__xludf.DUMMYFUNCTION("""COMPUTED_VALUE"""),"")</f>
        <v/>
      </c>
      <c r="S8" s="4" t="str">
        <f>IFERROR(__xludf.DUMMYFUNCTION("""COMPUTED_VALUE"""),"")</f>
        <v/>
      </c>
      <c r="T8" s="4" t="str">
        <f>IFERROR(__xludf.DUMMYFUNCTION("""COMPUTED_VALUE"""),"")</f>
        <v/>
      </c>
      <c r="U8" s="21" t="str">
        <f>IFERROR(__xludf.DUMMYFUNCTION("""COMPUTED_VALUE"""),"https://ws17-videos.s3-eu-west-1.amazonaws.com/CS_8_18_Live+it+Creating+a+successful+culture_000000_002708.mp4")</f>
        <v>https://ws17-videos.s3-eu-west-1.amazonaws.com/CS_8_18_Live+it+Creating+a+successful+culture_000000_002708.mp4</v>
      </c>
    </row>
    <row r="9">
      <c r="A9" s="4">
        <f>IFERROR(__xludf.DUMMYFUNCTION("""COMPUTED_VALUE"""),8.0)</f>
        <v>8</v>
      </c>
      <c r="B9" s="4" t="str">
        <f>IFERROR(__xludf.DUMMYFUNCTION("""COMPUTED_VALUE"""),"Ed Catmull, Pixar")</f>
        <v>Ed Catmull, Pixar</v>
      </c>
      <c r="C9" s="4" t="str">
        <f>IFERROR(__xludf.DUMMYFUNCTION("""COMPUTED_VALUE"""),"Ed Catmull")</f>
        <v>Ed Catmull</v>
      </c>
      <c r="D9" s="4" t="str">
        <f>IFERROR(__xludf.DUMMYFUNCTION("""COMPUTED_VALUE"""),"Pixar")</f>
        <v>Pixar</v>
      </c>
      <c r="E9" s="4" t="str">
        <f>IFERROR(__xludf.DUMMYFUNCTION("""COMPUTED_VALUE"""),"Caroline Daniel, The Financial Times")</f>
        <v>Caroline Daniel, The Financial Times</v>
      </c>
      <c r="F9" s="4" t="str">
        <f>IFERROR(__xludf.DUMMYFUNCTION("""COMPUTED_VALUE"""),"Web Summit 2015 | Speaker")</f>
        <v>Web Summit 2015 | Speaker</v>
      </c>
      <c r="G9" s="4" t="str">
        <f>IFERROR(__xludf.DUMMYFUNCTION("""COMPUTED_VALUE"""),"F.ounders Dublin 2015 | Founder
Web Summit 2015 | Speaker")</f>
        <v>F.ounders Dublin 2015 | Founder
Web Summit 2015 | Speaker</v>
      </c>
      <c r="H9" s="4" t="str">
        <f>IFERROR(__xludf.DUMMYFUNCTION("""COMPUTED_VALUE"""),"")</f>
        <v/>
      </c>
      <c r="I9" s="21" t="str">
        <f>IFERROR(__xludf.DUMMYFUNCTION("""COMPUTED_VALUE"""),"https://www.youtube.com/watch?v=mLcRwWODJvY")</f>
        <v>https://www.youtube.com/watch?v=mLcRwWODJvY</v>
      </c>
      <c r="J9" s="4" t="str">
        <f>IFERROR(__xludf.DUMMYFUNCTION("""COMPUTED_VALUE"""),"Stephen ")</f>
        <v>Stephen </v>
      </c>
      <c r="K9" s="4" t="str">
        <f>IFERROR(__xludf.DUMMYFUNCTION("""COMPUTED_VALUE"""),"In")</f>
        <v>In</v>
      </c>
      <c r="L9" s="4" t="str">
        <f>IFERROR(__xludf.DUMMYFUNCTION("""COMPUTED_VALUE"""),"Looks perfect. Reference to Pixar short ""The Good Dinosaur"" 00:58 - 2:04 might be worth checking on (relevance?)")</f>
        <v>Looks perfect. Reference to Pixar short "The Good Dinosaur" 00:58 - 2:04 might be worth checking on (relevance?)</v>
      </c>
      <c r="M9" s="4" t="str">
        <f>IFERROR(__xludf.DUMMYFUNCTION("""COMPUTED_VALUE"""),"00:00 - 00:08")</f>
        <v>00:00 - 00:08</v>
      </c>
      <c r="N9" s="4" t="str">
        <f>IFERROR(__xludf.DUMMYFUNCTION("""COMPUTED_VALUE"""),"")</f>
        <v/>
      </c>
      <c r="O9" s="4" t="str">
        <f>IFERROR(__xludf.DUMMYFUNCTION("""COMPUTED_VALUE"""),"")</f>
        <v/>
      </c>
      <c r="P9" s="4" t="str">
        <f>IFERROR(__xludf.DUMMYFUNCTION("""COMPUTED_VALUE"""),"")</f>
        <v/>
      </c>
      <c r="Q9" s="4" t="str">
        <f>IFERROR(__xludf.DUMMYFUNCTION("""COMPUTED_VALUE"""),"")</f>
        <v/>
      </c>
      <c r="R9" s="4" t="str">
        <f>IFERROR(__xludf.DUMMYFUNCTION("""COMPUTED_VALUE"""),"")</f>
        <v/>
      </c>
      <c r="S9" s="4" t="str">
        <f>IFERROR(__xludf.DUMMYFUNCTION("""COMPUTED_VALUE"""),"")</f>
        <v/>
      </c>
      <c r="T9" s="4" t="str">
        <f>IFERROR(__xludf.DUMMYFUNCTION("""COMPUTED_VALUE"""),"")</f>
        <v/>
      </c>
      <c r="U9" s="21" t="str">
        <f>IFERROR(__xludf.DUMMYFUNCTION("""COMPUTED_VALUE"""),"https://drive.google.com/open?id=1odSoJx9cHBo2u9GMa4oGHPtkkPmR87gM")</f>
        <v>https://drive.google.com/open?id=1odSoJx9cHBo2u9GMa4oGHPtkkPmR87gM</v>
      </c>
    </row>
    <row r="10">
      <c r="A10" s="4">
        <f>IFERROR(__xludf.DUMMYFUNCTION("""COMPUTED_VALUE"""),9.0)</f>
        <v>9</v>
      </c>
      <c r="B10" s="4" t="str">
        <f>IFERROR(__xludf.DUMMYFUNCTION("""COMPUTED_VALUE"""),"Lisa Jackson, Apple")</f>
        <v>Lisa Jackson, Apple</v>
      </c>
      <c r="C10" s="4" t="str">
        <f>IFERROR(__xludf.DUMMYFUNCTION("""COMPUTED_VALUE"""),"Lisa Jackson ")</f>
        <v>Lisa Jackson </v>
      </c>
      <c r="D10" s="4" t="str">
        <f>IFERROR(__xludf.DUMMYFUNCTION("""COMPUTED_VALUE"""),"Apple")</f>
        <v>Apple</v>
      </c>
      <c r="E10" s="4" t="str">
        <f>IFERROR(__xludf.DUMMYFUNCTION("""COMPUTED_VALUE"""),"")</f>
        <v/>
      </c>
      <c r="F10" s="4" t="str">
        <f>IFERROR(__xludf.DUMMYFUNCTION("""COMPUTED_VALUE"""),"Web Summit 2018 | Speaker")</f>
        <v>Web Summit 2018 | Speaker</v>
      </c>
      <c r="G10" s="4" t="str">
        <f>IFERROR(__xludf.DUMMYFUNCTION("""COMPUTED_VALUE"""),"Web Summit 2018 | Speaker")</f>
        <v>Web Summit 2018 | Speaker</v>
      </c>
      <c r="H10" s="4" t="str">
        <f>IFERROR(__xludf.DUMMYFUNCTION("""COMPUTED_VALUE"""),"")</f>
        <v/>
      </c>
      <c r="I10" s="21" t="str">
        <f>IFERROR(__xludf.DUMMYFUNCTION("""COMPUTED_VALUE"""),"https://www.youtube.com/watch?v=lkzNZKCxMKc&amp;list=PLxptNs2MLOjncuOhiHrdjl4VebNfdStqF&amp;index=8")</f>
        <v>https://www.youtube.com/watch?v=lkzNZKCxMKc&amp;list=PLxptNs2MLOjncuOhiHrdjl4VebNfdStqF&amp;index=8</v>
      </c>
      <c r="J10" s="4" t="str">
        <f>IFERROR(__xludf.DUMMYFUNCTION("""COMPUTED_VALUE"""),"Gav")</f>
        <v>Gav</v>
      </c>
      <c r="K10" s="4" t="str">
        <f>IFERROR(__xludf.DUMMYFUNCTION("""COMPUTED_VALUE"""),"In")</f>
        <v>In</v>
      </c>
      <c r="L10" s="4" t="str">
        <f>IFERROR(__xludf.DUMMYFUNCTION("""COMPUTED_VALUE"""),"From 48:00 - 1:01:27 for Lisa Jackson video (this is full Opening Night vid)")</f>
        <v>From 48:00 - 1:01:27 for Lisa Jackson video (this is full Opening Night vid)</v>
      </c>
      <c r="M10" s="4" t="str">
        <f>IFERROR(__xludf.DUMMYFUNCTION("""COMPUTED_VALUE"""),"")</f>
        <v/>
      </c>
      <c r="N10" s="4" t="str">
        <f>IFERROR(__xludf.DUMMYFUNCTION("""COMPUTED_VALUE"""),"")</f>
        <v/>
      </c>
      <c r="O10" s="4" t="str">
        <f>IFERROR(__xludf.DUMMYFUNCTION("""COMPUTED_VALUE"""),"")</f>
        <v/>
      </c>
      <c r="P10" s="4" t="str">
        <f>IFERROR(__xludf.DUMMYFUNCTION("""COMPUTED_VALUE"""),"")</f>
        <v/>
      </c>
      <c r="Q10" s="4" t="str">
        <f>IFERROR(__xludf.DUMMYFUNCTION("""COMPUTED_VALUE"""),"")</f>
        <v/>
      </c>
      <c r="R10" s="4" t="str">
        <f>IFERROR(__xludf.DUMMYFUNCTION("""COMPUTED_VALUE"""),"")</f>
        <v/>
      </c>
      <c r="S10" s="4" t="str">
        <f>IFERROR(__xludf.DUMMYFUNCTION("""COMPUTED_VALUE"""),"")</f>
        <v/>
      </c>
      <c r="T10" s="4" t="str">
        <f>IFERROR(__xludf.DUMMYFUNCTION("""COMPUTED_VALUE"""),"")</f>
        <v/>
      </c>
      <c r="U10" s="21" t="str">
        <f>IFERROR(__xludf.DUMMYFUNCTION("""COMPUTED_VALUE"""),"https://drive.google.com/open?id=1rdxaSbQ9lzqdXdclJQNPBs5xbmwEYfQy")</f>
        <v>https://drive.google.com/open?id=1rdxaSbQ9lzqdXdclJQNPBs5xbmwEYfQy</v>
      </c>
    </row>
    <row r="11">
      <c r="A11" s="4">
        <f>IFERROR(__xludf.DUMMYFUNCTION("""COMPUTED_VALUE"""),10.0)</f>
        <v>10</v>
      </c>
      <c r="B11" s="4" t="str">
        <f>IFERROR(__xludf.DUMMYFUNCTION("""COMPUTED_VALUE"""),"Peter Thiel, Founders Fund")</f>
        <v>Peter Thiel, Founders Fund</v>
      </c>
      <c r="C11" s="4" t="str">
        <f>IFERROR(__xludf.DUMMYFUNCTION("""COMPUTED_VALUE"""),"Peter Thiel")</f>
        <v>Peter Thiel</v>
      </c>
      <c r="D11" s="4" t="str">
        <f>IFERROR(__xludf.DUMMYFUNCTION("""COMPUTED_VALUE"""),"Founders Fund")</f>
        <v>Founders Fund</v>
      </c>
      <c r="E11" s="4" t="str">
        <f>IFERROR(__xludf.DUMMYFUNCTION("""COMPUTED_VALUE"""),"Caroline Daniel, The Financial Times")</f>
        <v>Caroline Daniel, The Financial Times</v>
      </c>
      <c r="F11" s="4" t="str">
        <f>IFERROR(__xludf.DUMMYFUNCTION("""COMPUTED_VALUE"""),"Web Summit 2014 | Speaker")</f>
        <v>Web Summit 2014 | Speaker</v>
      </c>
      <c r="G11" s="4" t="str">
        <f>IFERROR(__xludf.DUMMYFUNCTION("""COMPUTED_VALUE"""),"F.ounders Dublin 2014 | Investor
Web Summit 2014 | Speaker")</f>
        <v>F.ounders Dublin 2014 | Investor
Web Summit 2014 | Speaker</v>
      </c>
      <c r="H11" s="4" t="str">
        <f>IFERROR(__xludf.DUMMYFUNCTION("""COMPUTED_VALUE"""),"")</f>
        <v/>
      </c>
      <c r="I11" s="21" t="str">
        <f>IFERROR(__xludf.DUMMYFUNCTION("""COMPUTED_VALUE"""),"https://www.youtube.com/watch?v=Bqsdh-6y-d8&amp;list=PLxptNs2MLOjnmKh9GQbjGOfg3BMxHXASb&amp;index=28")</f>
        <v>https://www.youtube.com/watch?v=Bqsdh-6y-d8&amp;list=PLxptNs2MLOjnmKh9GQbjGOfg3BMxHXASb&amp;index=28</v>
      </c>
      <c r="J11" s="4" t="str">
        <f>IFERROR(__xludf.DUMMYFUNCTION("""COMPUTED_VALUE"""),"Gav")</f>
        <v>Gav</v>
      </c>
      <c r="K11" s="4" t="str">
        <f>IFERROR(__xludf.DUMMYFUNCTION("""COMPUTED_VALUE"""),"In")</f>
        <v>In</v>
      </c>
      <c r="L11" s="4" t="str">
        <f>IFERROR(__xludf.DUMMYFUNCTION("""COMPUTED_VALUE"""),"Video is good - no mic fails, almost no intro/outro")</f>
        <v>Video is good - no mic fails, almost no intro/outro</v>
      </c>
      <c r="M11" s="4" t="str">
        <f>IFERROR(__xludf.DUMMYFUNCTION("""COMPUTED_VALUE"""),"")</f>
        <v/>
      </c>
      <c r="N11" s="4" t="str">
        <f>IFERROR(__xludf.DUMMYFUNCTION("""COMPUTED_VALUE"""),"")</f>
        <v/>
      </c>
      <c r="O11" s="4" t="str">
        <f>IFERROR(__xludf.DUMMYFUNCTION("""COMPUTED_VALUE"""),"")</f>
        <v/>
      </c>
      <c r="P11" s="4" t="str">
        <f>IFERROR(__xludf.DUMMYFUNCTION("""COMPUTED_VALUE"""),"")</f>
        <v/>
      </c>
      <c r="Q11" s="4" t="str">
        <f>IFERROR(__xludf.DUMMYFUNCTION("""COMPUTED_VALUE"""),"")</f>
        <v/>
      </c>
      <c r="R11" s="4" t="str">
        <f>IFERROR(__xludf.DUMMYFUNCTION("""COMPUTED_VALUE"""),"")</f>
        <v/>
      </c>
      <c r="S11" s="4" t="str">
        <f>IFERROR(__xludf.DUMMYFUNCTION("""COMPUTED_VALUE"""),"")</f>
        <v/>
      </c>
      <c r="T11" s="4" t="str">
        <f>IFERROR(__xludf.DUMMYFUNCTION("""COMPUTED_VALUE"""),"")</f>
        <v/>
      </c>
      <c r="U11" s="21" t="str">
        <f>IFERROR(__xludf.DUMMYFUNCTION("""COMPUTED_VALUE"""),"https://drive.google.com/open?id=1ts3T13Bd6SyEwzrTuue085rPBugHl69N")</f>
        <v>https://drive.google.com/open?id=1ts3T13Bd6SyEwzrTuue085rPBugHl69N</v>
      </c>
    </row>
    <row r="12">
      <c r="A12" s="4">
        <f>IFERROR(__xludf.DUMMYFUNCTION("""COMPUTED_VALUE"""),11.0)</f>
        <v>11</v>
      </c>
      <c r="B12" s="4" t="str">
        <f>IFERROR(__xludf.DUMMYFUNCTION("""COMPUTED_VALUE"""),"Tony Blair, Tony Blair Global Institute")</f>
        <v>Tony Blair, Tony Blair Global Institute</v>
      </c>
      <c r="C12" s="4" t="str">
        <f>IFERROR(__xludf.DUMMYFUNCTION("""COMPUTED_VALUE"""),"Tony Blair")</f>
        <v>Tony Blair</v>
      </c>
      <c r="D12" s="4" t="str">
        <f>IFERROR(__xludf.DUMMYFUNCTION("""COMPUTED_VALUE"""),"Tony Blair Global Institute")</f>
        <v>Tony Blair Global Institute</v>
      </c>
      <c r="E12" s="4" t="str">
        <f>IFERROR(__xludf.DUMMYFUNCTION("""COMPUTED_VALUE"""),"")</f>
        <v/>
      </c>
      <c r="F12" s="4" t="str">
        <f>IFERROR(__xludf.DUMMYFUNCTION("""COMPUTED_VALUE"""),"Web Summit 2019 | Speaker
Web Summit 2018 | Speaker")</f>
        <v>Web Summit 2019 | Speaker
Web Summit 2018 | Speaker</v>
      </c>
      <c r="G12" s="4" t="str">
        <f>IFERROR(__xludf.DUMMYFUNCTION("""COMPUTED_VALUE"""),"Web Summit 2019 | Speaker
Web Summit 2018 | Speaker")</f>
        <v>Web Summit 2019 | Speaker
Web Summit 2018 | Speaker</v>
      </c>
      <c r="H12" s="4" t="str">
        <f>IFERROR(__xludf.DUMMYFUNCTION("""COMPUTED_VALUE"""),"Should use WS19 with Ro Khanna session.")</f>
        <v>Should use WS19 with Ro Khanna session.</v>
      </c>
      <c r="I12" s="21" t="str">
        <f>IFERROR(__xludf.DUMMYFUNCTION("""COMPUTED_VALUE"""),"https://www.youtube.com/watch?v=N3GaiT-8fsk&amp;t=13s")</f>
        <v>https://www.youtube.com/watch?v=N3GaiT-8fsk&amp;t=13s</v>
      </c>
      <c r="J12" s="4" t="str">
        <f>IFERROR(__xludf.DUMMYFUNCTION("""COMPUTED_VALUE"""),"Gav")</f>
        <v>Gav</v>
      </c>
      <c r="K12" s="4" t="str">
        <f>IFERROR(__xludf.DUMMYFUNCTION("""COMPUTED_VALUE"""),"In")</f>
        <v>In</v>
      </c>
      <c r="L12" s="4" t="str">
        <f>IFERROR(__xludf.DUMMYFUNCTION("""COMPUTED_VALUE"""),"The video we should use is bang on.")</f>
        <v>The video we should use is bang on.</v>
      </c>
      <c r="M12" s="4" t="str">
        <f>IFERROR(__xludf.DUMMYFUNCTION("""COMPUTED_VALUE"""),"")</f>
        <v/>
      </c>
      <c r="N12" s="4" t="str">
        <f>IFERROR(__xludf.DUMMYFUNCTION("""COMPUTED_VALUE"""),"")</f>
        <v/>
      </c>
      <c r="O12" s="4" t="str">
        <f>IFERROR(__xludf.DUMMYFUNCTION("""COMPUTED_VALUE"""),"")</f>
        <v/>
      </c>
      <c r="P12" s="4" t="str">
        <f>IFERROR(__xludf.DUMMYFUNCTION("""COMPUTED_VALUE"""),"")</f>
        <v/>
      </c>
      <c r="Q12" s="4" t="str">
        <f>IFERROR(__xludf.DUMMYFUNCTION("""COMPUTED_VALUE"""),"")</f>
        <v/>
      </c>
      <c r="R12" s="4" t="str">
        <f>IFERROR(__xludf.DUMMYFUNCTION("""COMPUTED_VALUE"""),"")</f>
        <v/>
      </c>
      <c r="S12" s="4" t="str">
        <f>IFERROR(__xludf.DUMMYFUNCTION("""COMPUTED_VALUE"""),"")</f>
        <v/>
      </c>
      <c r="T12" s="4" t="str">
        <f>IFERROR(__xludf.DUMMYFUNCTION("""COMPUTED_VALUE"""),"")</f>
        <v/>
      </c>
      <c r="U12" s="21" t="str">
        <f>IFERROR(__xludf.DUMMYFUNCTION("""COMPUTED_VALUE"""),"https://ws19-processed-videos.s3-eu-west-1.amazonaws.com/6305e2fe-d840-41ae-89d9-bf00103142a0_None_left_behind_Making_tech_work_for_the_many.mp4")</f>
        <v>https://ws19-processed-videos.s3-eu-west-1.amazonaws.com/6305e2fe-d840-41ae-89d9-bf00103142a0_None_left_behind_Making_tech_work_for_the_many.mp4</v>
      </c>
    </row>
    <row r="13">
      <c r="A13" s="4">
        <f>IFERROR(__xludf.DUMMYFUNCTION("""COMPUTED_VALUE"""),12.0)</f>
        <v>12</v>
      </c>
      <c r="B13" s="4" t="str">
        <f>IFERROR(__xludf.DUMMYFUNCTION("""COMPUTED_VALUE"""),"Kara Swisher, Recode")</f>
        <v>Kara Swisher, Recode</v>
      </c>
      <c r="C13" s="4" t="str">
        <f>IFERROR(__xludf.DUMMYFUNCTION("""COMPUTED_VALUE"""),"Kara Swisher")</f>
        <v>Kara Swisher</v>
      </c>
      <c r="D13" s="4" t="str">
        <f>IFERROR(__xludf.DUMMYFUNCTION("""COMPUTED_VALUE"""),"ReCode")</f>
        <v>ReCode</v>
      </c>
      <c r="E13" s="4" t="str">
        <f>IFERROR(__xludf.DUMMYFUNCTION("""COMPUTED_VALUE"""),"Ev Williams of Twitter, Alex Stamos of Stanford University, Tan Hooi Ling of Grab, Meeta Singh of Henry Ford Health System, Phil Chen of HTC, and Louise Lucas of Financial Times,  Mark Hurd of Oracle, Feedzai's Nuno Sebastiao, Columbia University's Mike M"&amp;"assimino, European Space Agency's Paolo Nespoli, Asana's Dustin Moskovitz")</f>
        <v>Ev Williams of Twitter, Alex Stamos of Stanford University, Tan Hooi Ling of Grab, Meeta Singh of Henry Ford Health System, Phil Chen of HTC, and Louise Lucas of Financial Times,  Mark Hurd of Oracle, Feedzai's Nuno Sebastiao, Columbia University's Mike Massimino, European Space Agency's Paolo Nespoli, Asana's Dustin Moskovitz</v>
      </c>
      <c r="F13" s="4" t="str">
        <f>IFERROR(__xludf.DUMMYFUNCTION("""COMPUTED_VALUE"""),"Collision 2019 | Speaker
RISE 2018 | Speaker
Web Summit 2017 | Speaker")</f>
        <v>Collision 2019 | Speaker
RISE 2018 | Speaker
Web Summit 2017 | Speaker</v>
      </c>
      <c r="G13" s="4" t="str">
        <f>IFERROR(__xludf.DUMMYFUNCTION("""COMPUTED_VALUE"""),"Collision 2019 | Speaker
RISE 2018 | Speaker
f.ounders Lisbon 2017 | Media
Web Summit 2017 | Speaker")</f>
        <v>Collision 2019 | Speaker
RISE 2018 | Speaker
f.ounders Lisbon 2017 | Media
Web Summit 2017 | Speaker</v>
      </c>
      <c r="H13" s="4" t="str">
        <f>IFERROR(__xludf.DUMMYFUNCTION("""COMPUTED_VALUE"""),"")</f>
        <v/>
      </c>
      <c r="I13" s="4" t="str">
        <f>IFERROR(__xludf.DUMMYFUNCTION("""COMPUTED_VALUE"""),"https://vimeo.com/343489898; https://vimeo.com/343490866; https://www.youtube.com/watch?v=s-WqmC3Aoa4; https://www.youtube.com/watch?v=FpfmlMkQxFM; https://www.youtube.com/watch?v=HYOkkpSKUJY; https://www.youtube.com/watch?v=bOkMuxEqA2Y; https://www.youtu"&amp;"be.com/watch?v=IXLUOS0URkY; https://www.youtube.com/watch?v=cj9Ci0G7aCo")</f>
        <v>https://vimeo.com/343489898; https://vimeo.com/343490866; https://www.youtube.com/watch?v=s-WqmC3Aoa4; https://www.youtube.com/watch?v=FpfmlMkQxFM; https://www.youtube.com/watch?v=HYOkkpSKUJY; https://www.youtube.com/watch?v=bOkMuxEqA2Y; https://www.youtube.com/watch?v=IXLUOS0URkY; https://www.youtube.com/watch?v=cj9Ci0G7aCo</v>
      </c>
      <c r="J13" s="4" t="str">
        <f>IFERROR(__xludf.DUMMYFUNCTION("""COMPUTED_VALUE"""),"")</f>
        <v/>
      </c>
      <c r="K13" s="4" t="str">
        <f>IFERROR(__xludf.DUMMYFUNCTION("""COMPUTED_VALUE"""),"In")</f>
        <v>In</v>
      </c>
      <c r="L13" s="4" t="str">
        <f>IFERROR(__xludf.DUMMYFUNCTION("""COMPUTED_VALUE"""),"Kara Swisher listed as speaker but the video linked and edited was someone else, called Tan Hooi Ling. She is one of the ‘additional speakers’.")</f>
        <v>Kara Swisher listed as speaker but the video linked and edited was someone else, called Tan Hooi Ling. She is one of the ‘additional speakers’.</v>
      </c>
      <c r="M13" s="4" t="str">
        <f>IFERROR(__xludf.DUMMYFUNCTION("""COMPUTED_VALUE"""),"")</f>
        <v/>
      </c>
      <c r="N13" s="4" t="str">
        <f>IFERROR(__xludf.DUMMYFUNCTION("""COMPUTED_VALUE"""),"")</f>
        <v/>
      </c>
      <c r="O13" s="4" t="str">
        <f>IFERROR(__xludf.DUMMYFUNCTION("""COMPUTED_VALUE"""),"")</f>
        <v/>
      </c>
      <c r="P13" s="4" t="str">
        <f>IFERROR(__xludf.DUMMYFUNCTION("""COMPUTED_VALUE"""),"")</f>
        <v/>
      </c>
      <c r="Q13" s="4" t="str">
        <f>IFERROR(__xludf.DUMMYFUNCTION("""COMPUTED_VALUE"""),"")</f>
        <v/>
      </c>
      <c r="R13" s="4" t="str">
        <f>IFERROR(__xludf.DUMMYFUNCTION("""COMPUTED_VALUE"""),"")</f>
        <v/>
      </c>
      <c r="S13" s="4" t="str">
        <f>IFERROR(__xludf.DUMMYFUNCTION("""COMPUTED_VALUE"""),"")</f>
        <v/>
      </c>
      <c r="T13" s="4" t="str">
        <f>IFERROR(__xludf.DUMMYFUNCTION("""COMPUTED_VALUE"""),"")</f>
        <v/>
      </c>
      <c r="U13" s="21" t="str">
        <f>IFERROR(__xludf.DUMMYFUNCTION("""COMPUTED_VALUE"""),"https://drive.google.com/open?id=1IbXFse3J_UU61Aag9rm6CD_z-tHxJdNf")</f>
        <v>https://drive.google.com/open?id=1IbXFse3J_UU61Aag9rm6CD_z-tHxJdNf</v>
      </c>
    </row>
    <row r="14">
      <c r="A14" s="4">
        <f>IFERROR(__xludf.DUMMYFUNCTION("""COMPUTED_VALUE"""),13.0)</f>
        <v>13</v>
      </c>
      <c r="B14" s="4" t="str">
        <f>IFERROR(__xludf.DUMMYFUNCTION("""COMPUTED_VALUE"""),"Mike Krieger, Instagram")</f>
        <v>Mike Krieger, Instagram</v>
      </c>
      <c r="C14" s="4" t="str">
        <f>IFERROR(__xludf.DUMMYFUNCTION("""COMPUTED_VALUE"""),"Mike Krieger")</f>
        <v>Mike Krieger</v>
      </c>
      <c r="D14" s="4" t="str">
        <f>IFERROR(__xludf.DUMMYFUNCTION("""COMPUTED_VALUE"""),"Instagram")</f>
        <v>Instagram</v>
      </c>
      <c r="E14" s="4" t="str">
        <f>IFERROR(__xludf.DUMMYFUNCTION("""COMPUTED_VALUE"""),"")</f>
        <v/>
      </c>
      <c r="F14" s="4" t="str">
        <f>IFERROR(__xludf.DUMMYFUNCTION("""COMPUTED_VALUE"""),"Web Summit 2015 | Speaker")</f>
        <v>Web Summit 2015 | Speaker</v>
      </c>
      <c r="G14" s="4" t="str">
        <f>IFERROR(__xludf.DUMMYFUNCTION("""COMPUTED_VALUE"""),"Web Summit 2015 | Speaker")</f>
        <v>Web Summit 2015 | Speaker</v>
      </c>
      <c r="H14" s="4" t="str">
        <f>IFERROR(__xludf.DUMMYFUNCTION("""COMPUTED_VALUE"""),"")</f>
        <v/>
      </c>
      <c r="I14" s="21" t="str">
        <f>IFERROR(__xludf.DUMMYFUNCTION("""COMPUTED_VALUE"""),"https://www.youtube.com/watch?v=jnw6_o8cAM4")</f>
        <v>https://www.youtube.com/watch?v=jnw6_o8cAM4</v>
      </c>
      <c r="J14" s="4" t="str">
        <f>IFERROR(__xludf.DUMMYFUNCTION("""COMPUTED_VALUE"""),"Hugh")</f>
        <v>Hugh</v>
      </c>
      <c r="K14" s="4" t="str">
        <f>IFERROR(__xludf.DUMMYFUNCTION("""COMPUTED_VALUE"""),"In")</f>
        <v>In</v>
      </c>
      <c r="L14" s="4" t="str">
        <f>IFERROR(__xludf.DUMMYFUNCTION("""COMPUTED_VALUE"""),"Perfect")</f>
        <v>Perfect</v>
      </c>
      <c r="M14" s="4" t="str">
        <f>IFERROR(__xludf.DUMMYFUNCTION("""COMPUTED_VALUE"""),"")</f>
        <v/>
      </c>
      <c r="N14" s="4" t="str">
        <f>IFERROR(__xludf.DUMMYFUNCTION("""COMPUTED_VALUE"""),"")</f>
        <v/>
      </c>
      <c r="O14" s="4" t="str">
        <f>IFERROR(__xludf.DUMMYFUNCTION("""COMPUTED_VALUE"""),"")</f>
        <v/>
      </c>
      <c r="P14" s="4" t="str">
        <f>IFERROR(__xludf.DUMMYFUNCTION("""COMPUTED_VALUE"""),"")</f>
        <v/>
      </c>
      <c r="Q14" s="4" t="str">
        <f>IFERROR(__xludf.DUMMYFUNCTION("""COMPUTED_VALUE"""),"")</f>
        <v/>
      </c>
      <c r="R14" s="4" t="str">
        <f>IFERROR(__xludf.DUMMYFUNCTION("""COMPUTED_VALUE"""),"")</f>
        <v/>
      </c>
      <c r="S14" s="4" t="str">
        <f>IFERROR(__xludf.DUMMYFUNCTION("""COMPUTED_VALUE"""),"")</f>
        <v/>
      </c>
      <c r="T14" s="4" t="str">
        <f>IFERROR(__xludf.DUMMYFUNCTION("""COMPUTED_VALUE"""),"")</f>
        <v/>
      </c>
      <c r="U14" s="21" t="str">
        <f>IFERROR(__xludf.DUMMYFUNCTION("""COMPUTED_VALUE"""),"https://drive.google.com/open?id=19jdUXphP7i9dXaTeIzQdGx5yRXSsEYBn")</f>
        <v>https://drive.google.com/open?id=19jdUXphP7i9dXaTeIzQdGx5yRXSsEYBn</v>
      </c>
    </row>
    <row r="15">
      <c r="A15" s="4">
        <f>IFERROR(__xludf.DUMMYFUNCTION("""COMPUTED_VALUE"""),14.0)</f>
        <v>14</v>
      </c>
      <c r="B15" s="4" t="str">
        <f>IFERROR(__xludf.DUMMYFUNCTION("""COMPUTED_VALUE"""),"Seth Rogen, Seth Rogen")</f>
        <v>Seth Rogen, Seth Rogen</v>
      </c>
      <c r="C15" s="4" t="str">
        <f>IFERROR(__xludf.DUMMYFUNCTION("""COMPUTED_VALUE"""),"Seth Rogen")</f>
        <v>Seth Rogen</v>
      </c>
      <c r="D15" s="4" t="str">
        <f>IFERROR(__xludf.DUMMYFUNCTION("""COMPUTED_VALUE"""),"Seth Rogen")</f>
        <v>Seth Rogen</v>
      </c>
      <c r="E15" s="4" t="str">
        <f>IFERROR(__xludf.DUMMYFUNCTION("""COMPUTED_VALUE"""),"Evan Goldberg; Karan Wadhera")</f>
        <v>Evan Goldberg; Karan Wadhera</v>
      </c>
      <c r="F15" s="4" t="str">
        <f>IFERROR(__xludf.DUMMYFUNCTION("""COMPUTED_VALUE"""),"Collision 2019 | Speaker")</f>
        <v>Collision 2019 | Speaker</v>
      </c>
      <c r="G15" s="4" t="str">
        <f>IFERROR(__xludf.DUMMYFUNCTION("""COMPUTED_VALUE"""),"Collision 2019 | Speaker")</f>
        <v>Collision 2019 | Speaker</v>
      </c>
      <c r="H15" s="4" t="str">
        <f>IFERROR(__xludf.DUMMYFUNCTION("""COMPUTED_VALUE"""),"")</f>
        <v/>
      </c>
      <c r="I15" s="4" t="str">
        <f>IFERROR(__xludf.DUMMYFUNCTION("""COMPUTED_VALUE"""),"https://www.youtube.com/watch?v=fKu3uvZCZmI ;https://www.youtube.com/watch?v=DohXZFLx41Y ; https://vimeo.com/showcase/6061850/video/343225931")</f>
        <v>https://www.youtube.com/watch?v=fKu3uvZCZmI ;https://www.youtube.com/watch?v=DohXZFLx41Y ; https://vimeo.com/showcase/6061850/video/343225931</v>
      </c>
      <c r="J15" s="4" t="str">
        <f>IFERROR(__xludf.DUMMYFUNCTION("""COMPUTED_VALUE"""),"Gav")</f>
        <v>Gav</v>
      </c>
      <c r="K15" s="4" t="str">
        <f>IFERROR(__xludf.DUMMYFUNCTION("""COMPUTED_VALUE"""),"In")</f>
        <v>In</v>
      </c>
      <c r="L15" s="4" t="str">
        <f>IFERROR(__xludf.DUMMYFUNCTION("""COMPUTED_VALUE"""),"Start at 47 seconds. Finish art 24:29. Good")</f>
        <v>Start at 47 seconds. Finish art 24:29. Good</v>
      </c>
      <c r="M15" s="4" t="str">
        <f>IFERROR(__xludf.DUMMYFUNCTION("""COMPUTED_VALUE"""),"")</f>
        <v/>
      </c>
      <c r="N15" s="4" t="str">
        <f>IFERROR(__xludf.DUMMYFUNCTION("""COMPUTED_VALUE"""),"")</f>
        <v/>
      </c>
      <c r="O15" s="4" t="str">
        <f>IFERROR(__xludf.DUMMYFUNCTION("""COMPUTED_VALUE"""),"")</f>
        <v/>
      </c>
      <c r="P15" s="4" t="str">
        <f>IFERROR(__xludf.DUMMYFUNCTION("""COMPUTED_VALUE"""),"")</f>
        <v/>
      </c>
      <c r="Q15" s="4" t="str">
        <f>IFERROR(__xludf.DUMMYFUNCTION("""COMPUTED_VALUE"""),"")</f>
        <v/>
      </c>
      <c r="R15" s="4" t="str">
        <f>IFERROR(__xludf.DUMMYFUNCTION("""COMPUTED_VALUE"""),"")</f>
        <v/>
      </c>
      <c r="S15" s="4" t="str">
        <f>IFERROR(__xludf.DUMMYFUNCTION("""COMPUTED_VALUE"""),"")</f>
        <v/>
      </c>
      <c r="T15" s="4" t="str">
        <f>IFERROR(__xludf.DUMMYFUNCTION("""COMPUTED_VALUE"""),"")</f>
        <v/>
      </c>
      <c r="U15" s="21" t="str">
        <f>IFERROR(__xludf.DUMMYFUNCTION("""COMPUTED_VALUE"""),"https://drive.google.com/open?id=1XFZu1T1Rh1twaQn9RLGkqKYsMj4kVo5i")</f>
        <v>https://drive.google.com/open?id=1XFZu1T1Rh1twaQn9RLGkqKYsMj4kVo5i</v>
      </c>
    </row>
    <row r="16">
      <c r="A16" s="4">
        <f>IFERROR(__xludf.DUMMYFUNCTION("""COMPUTED_VALUE"""),15.0)</f>
        <v>15</v>
      </c>
      <c r="B16" s="4" t="str">
        <f>IFERROR(__xludf.DUMMYFUNCTION("""COMPUTED_VALUE"""),"Ben Silbermann, Pinterest")</f>
        <v>Ben Silbermann, Pinterest</v>
      </c>
      <c r="C16" s="4" t="str">
        <f>IFERROR(__xludf.DUMMYFUNCTION("""COMPUTED_VALUE"""),"Ben Silbermann")</f>
        <v>Ben Silbermann</v>
      </c>
      <c r="D16" s="4" t="str">
        <f>IFERROR(__xludf.DUMMYFUNCTION("""COMPUTED_VALUE"""),"Pinterest")</f>
        <v>Pinterest</v>
      </c>
      <c r="E16" s="4" t="str">
        <f>IFERROR(__xludf.DUMMYFUNCTION("""COMPUTED_VALUE"""),"")</f>
        <v/>
      </c>
      <c r="F16" s="4" t="str">
        <f>IFERROR(__xludf.DUMMYFUNCTION("""COMPUTED_VALUE"""),"Web Summit 2018 | Speaker")</f>
        <v>Web Summit 2018 | Speaker</v>
      </c>
      <c r="G16" s="4" t="str">
        <f>IFERROR(__xludf.DUMMYFUNCTION("""COMPUTED_VALUE"""),"f.ounders Lisbon 2018 | Founder
Web Summit 2018 | Speaker")</f>
        <v>f.ounders Lisbon 2018 | Founder
Web Summit 2018 | Speaker</v>
      </c>
      <c r="H16" s="4" t="str">
        <f>IFERROR(__xludf.DUMMYFUNCTION("""COMPUTED_VALUE"""),"")</f>
        <v/>
      </c>
      <c r="I16" s="21" t="str">
        <f>IFERROR(__xludf.DUMMYFUNCTION("""COMPUTED_VALUE"""),"https://www.youtube.com/watch?v=2LT_sDkHYRc")</f>
        <v>https://www.youtube.com/watch?v=2LT_sDkHYRc</v>
      </c>
      <c r="J16" s="4" t="str">
        <f>IFERROR(__xludf.DUMMYFUNCTION("""COMPUTED_VALUE"""),"Hugh")</f>
        <v>Hugh</v>
      </c>
      <c r="K16" s="4" t="str">
        <f>IFERROR(__xludf.DUMMYFUNCTION("""COMPUTED_VALUE"""),"In")</f>
        <v>In</v>
      </c>
      <c r="L16" s="4" t="str">
        <f>IFERROR(__xludf.DUMMYFUNCTION("""COMPUTED_VALUE"""),"Works well")</f>
        <v>Works well</v>
      </c>
      <c r="M16" s="4" t="str">
        <f>IFERROR(__xludf.DUMMYFUNCTION("""COMPUTED_VALUE"""),"")</f>
        <v/>
      </c>
      <c r="N16" s="4" t="str">
        <f>IFERROR(__xludf.DUMMYFUNCTION("""COMPUTED_VALUE"""),"")</f>
        <v/>
      </c>
      <c r="O16" s="4" t="str">
        <f>IFERROR(__xludf.DUMMYFUNCTION("""COMPUTED_VALUE"""),"")</f>
        <v/>
      </c>
      <c r="P16" s="4" t="str">
        <f>IFERROR(__xludf.DUMMYFUNCTION("""COMPUTED_VALUE"""),"")</f>
        <v/>
      </c>
      <c r="Q16" s="4" t="str">
        <f>IFERROR(__xludf.DUMMYFUNCTION("""COMPUTED_VALUE"""),"")</f>
        <v/>
      </c>
      <c r="R16" s="4" t="str">
        <f>IFERROR(__xludf.DUMMYFUNCTION("""COMPUTED_VALUE"""),"")</f>
        <v/>
      </c>
      <c r="S16" s="4" t="str">
        <f>IFERROR(__xludf.DUMMYFUNCTION("""COMPUTED_VALUE"""),"")</f>
        <v/>
      </c>
      <c r="T16" s="4" t="str">
        <f>IFERROR(__xludf.DUMMYFUNCTION("""COMPUTED_VALUE"""),"")</f>
        <v/>
      </c>
      <c r="U16" s="21" t="str">
        <f>IFERROR(__xludf.DUMMYFUNCTION("""COMPUTED_VALUE"""),"https://drive.google.com/open?id=1C9cGxZ0XpdiW6QsNCOcOC2Kup7YB8uHY")</f>
        <v>https://drive.google.com/open?id=1C9cGxZ0XpdiW6QsNCOcOC2Kup7YB8uHY</v>
      </c>
    </row>
    <row r="17">
      <c r="A17" s="4">
        <f>IFERROR(__xludf.DUMMYFUNCTION("""COMPUTED_VALUE"""),16.0)</f>
        <v>16</v>
      </c>
      <c r="B17" s="4" t="str">
        <f>IFERROR(__xludf.DUMMYFUNCTION("""COMPUTED_VALUE"""),"Margrethe Vestager, European Commission")</f>
        <v>Margrethe Vestager, European Commission</v>
      </c>
      <c r="C17" s="4" t="str">
        <f>IFERROR(__xludf.DUMMYFUNCTION("""COMPUTED_VALUE"""),"Margrethe Vestager")</f>
        <v>Margrethe Vestager</v>
      </c>
      <c r="D17" s="4" t="str">
        <f>IFERROR(__xludf.DUMMYFUNCTION("""COMPUTED_VALUE"""),"European Commission")</f>
        <v>European Commission</v>
      </c>
      <c r="E17" s="4" t="str">
        <f>IFERROR(__xludf.DUMMYFUNCTION("""COMPUTED_VALUE"""),"")</f>
        <v/>
      </c>
      <c r="F17" s="4" t="str">
        <f>IFERROR(__xludf.DUMMYFUNCTION("""COMPUTED_VALUE"""),"Web Summit 2019 | Speaker
Web Summit 2018 | Speaker
Web Summit 2017 | Speaker")</f>
        <v>Web Summit 2019 | Speaker
Web Summit 2018 | Speaker
Web Summit 2017 | Speaker</v>
      </c>
      <c r="G17" s="4" t="str">
        <f>IFERROR(__xludf.DUMMYFUNCTION("""COMPUTED_VALUE"""),"Web Summit 2019 | Speaker
Web Summit 2018 | Speaker
Web Summit 2017 | Speaker")</f>
        <v>Web Summit 2019 | Speaker
Web Summit 2018 | Speaker
Web Summit 2017 | Speaker</v>
      </c>
      <c r="H17" s="4" t="str">
        <f>IFERROR(__xludf.DUMMYFUNCTION("""COMPUTED_VALUE"""),"Use all three")</f>
        <v>Use all three</v>
      </c>
      <c r="I17" s="4" t="str">
        <f>IFERROR(__xludf.DUMMYFUNCTION("""COMPUTED_VALUE"""),"https://www.youtube.com/watch?v=UCr1mJN9Udg, https://www.youtube.com/watch?v=1gN8mUty_Ig&amp;list=PLxptNs2MLOjncuOhiHrdjl4VebNfdStqF&amp;index=30,
https://www.youtube.com/watch?v=90OhCfyYOOk")</f>
        <v>https://www.youtube.com/watch?v=UCr1mJN9Udg, https://www.youtube.com/watch?v=1gN8mUty_Ig&amp;list=PLxptNs2MLOjncuOhiHrdjl4VebNfdStqF&amp;index=30,
https://www.youtube.com/watch?v=90OhCfyYOOk</v>
      </c>
      <c r="J17" s="4" t="str">
        <f>IFERROR(__xludf.DUMMYFUNCTION("""COMPUTED_VALUE"""),"Gav")</f>
        <v>Gav</v>
      </c>
      <c r="K17" s="4" t="str">
        <f>IFERROR(__xludf.DUMMYFUNCTION("""COMPUTED_VALUE"""),"In")</f>
        <v>In</v>
      </c>
      <c r="L17" s="4" t="str">
        <f>IFERROR(__xludf.DUMMYFUNCTION("""COMPUTED_VALUE"""),"2019 vid: full minute of Paddy to start. Then cuts to Vestager standing in the walk on space while a video can be heard playing. 2018 vid: perfect. Use 2018 keynote.")</f>
        <v>2019 vid: full minute of Paddy to start. Then cuts to Vestager standing in the walk on space while a video can be heard playing. 2018 vid: perfect. Use 2018 keynote.</v>
      </c>
      <c r="M17" s="4" t="str">
        <f>IFERROR(__xludf.DUMMYFUNCTION("""COMPUTED_VALUE"""),"")</f>
        <v/>
      </c>
      <c r="N17" s="4" t="str">
        <f>IFERROR(__xludf.DUMMYFUNCTION("""COMPUTED_VALUE"""),"")</f>
        <v/>
      </c>
      <c r="O17" s="4" t="str">
        <f>IFERROR(__xludf.DUMMYFUNCTION("""COMPUTED_VALUE"""),"")</f>
        <v/>
      </c>
      <c r="P17" s="4" t="str">
        <f>IFERROR(__xludf.DUMMYFUNCTION("""COMPUTED_VALUE"""),"")</f>
        <v/>
      </c>
      <c r="Q17" s="4" t="str">
        <f>IFERROR(__xludf.DUMMYFUNCTION("""COMPUTED_VALUE"""),"")</f>
        <v/>
      </c>
      <c r="R17" s="4" t="str">
        <f>IFERROR(__xludf.DUMMYFUNCTION("""COMPUTED_VALUE"""),"")</f>
        <v/>
      </c>
      <c r="S17" s="4" t="str">
        <f>IFERROR(__xludf.DUMMYFUNCTION("""COMPUTED_VALUE"""),"")</f>
        <v/>
      </c>
      <c r="T17" s="4" t="str">
        <f>IFERROR(__xludf.DUMMYFUNCTION("""COMPUTED_VALUE"""),"")</f>
        <v/>
      </c>
      <c r="U17" s="21" t="str">
        <f>IFERROR(__xludf.DUMMYFUNCTION("""COMPUTED_VALUE"""),"https://drive.google.com/open?id=1ffl0eYGf73koPmdGF3VII-f5Ll0e1cRK")</f>
        <v>https://drive.google.com/open?id=1ffl0eYGf73koPmdGF3VII-f5Ll0e1cRK</v>
      </c>
    </row>
    <row r="18">
      <c r="A18" s="4">
        <f>IFERROR(__xludf.DUMMYFUNCTION("""COMPUTED_VALUE"""),17.0)</f>
        <v>17</v>
      </c>
      <c r="B18" s="4" t="str">
        <f>IFERROR(__xludf.DUMMYFUNCTION("""COMPUTED_VALUE"""),"Justin Trudeau, Government of Canada")</f>
        <v>Justin Trudeau, Government of Canada</v>
      </c>
      <c r="C18" s="4" t="str">
        <f>IFERROR(__xludf.DUMMYFUNCTION("""COMPUTED_VALUE"""),"Justin Trudeau")</f>
        <v>Justin Trudeau</v>
      </c>
      <c r="D18" s="4" t="str">
        <f>IFERROR(__xludf.DUMMYFUNCTION("""COMPUTED_VALUE"""),"Government of Canada")</f>
        <v>Government of Canada</v>
      </c>
      <c r="E18" s="4" t="str">
        <f>IFERROR(__xludf.DUMMYFUNCTION("""COMPUTED_VALUE"""),"")</f>
        <v/>
      </c>
      <c r="F18" s="4" t="str">
        <f>IFERROR(__xludf.DUMMYFUNCTION("""COMPUTED_VALUE"""),"Collision 2019 | Speaker")</f>
        <v>Collision 2019 | Speaker</v>
      </c>
      <c r="G18" s="4" t="str">
        <f>IFERROR(__xludf.DUMMYFUNCTION("""COMPUTED_VALUE"""),"Collision 2019 | Speaker")</f>
        <v>Collision 2019 | Speaker</v>
      </c>
      <c r="H18" s="4" t="str">
        <f>IFERROR(__xludf.DUMMYFUNCTION("""COMPUTED_VALUE"""),"")</f>
        <v/>
      </c>
      <c r="I18" s="21" t="str">
        <f>IFERROR(__xludf.DUMMYFUNCTION("""COMPUTED_VALUE"""),"https://vimeo.com/showcase/6061850/video/343327343")</f>
        <v>https://vimeo.com/showcase/6061850/video/343327343</v>
      </c>
      <c r="J18" s="4" t="str">
        <f>IFERROR(__xludf.DUMMYFUNCTION("""COMPUTED_VALUE"""),"Darragh")</f>
        <v>Darragh</v>
      </c>
      <c r="K18" s="4" t="str">
        <f>IFERROR(__xludf.DUMMYFUNCTION("""COMPUTED_VALUE"""),"In")</f>
        <v>In</v>
      </c>
      <c r="L18" s="21" t="str">
        <f>IFERROR(__xludf.DUMMYFUNCTION("""COMPUTED_VALUE"""),"https://drive.google.com/open?id=1-nEcAMoGTG4YPofqbZ8SpIrTkDa8VBaD")</f>
        <v>https://drive.google.com/open?id=1-nEcAMoGTG4YPofqbZ8SpIrTkDa8VBaD</v>
      </c>
      <c r="M18" s="4" t="str">
        <f>IFERROR(__xludf.DUMMYFUNCTION("""COMPUTED_VALUE"""),"")</f>
        <v/>
      </c>
      <c r="N18" s="4" t="str">
        <f>IFERROR(__xludf.DUMMYFUNCTION("""COMPUTED_VALUE"""),"")</f>
        <v/>
      </c>
      <c r="O18" s="4" t="str">
        <f>IFERROR(__xludf.DUMMYFUNCTION("""COMPUTED_VALUE"""),"")</f>
        <v/>
      </c>
      <c r="P18" s="4" t="str">
        <f>IFERROR(__xludf.DUMMYFUNCTION("""COMPUTED_VALUE"""),"")</f>
        <v/>
      </c>
      <c r="Q18" s="4" t="str">
        <f>IFERROR(__xludf.DUMMYFUNCTION("""COMPUTED_VALUE"""),"")</f>
        <v/>
      </c>
      <c r="R18" s="4" t="str">
        <f>IFERROR(__xludf.DUMMYFUNCTION("""COMPUTED_VALUE"""),"")</f>
        <v/>
      </c>
      <c r="S18" s="4" t="str">
        <f>IFERROR(__xludf.DUMMYFUNCTION("""COMPUTED_VALUE"""),"")</f>
        <v/>
      </c>
      <c r="T18" s="4" t="str">
        <f>IFERROR(__xludf.DUMMYFUNCTION("""COMPUTED_VALUE"""),"")</f>
        <v/>
      </c>
      <c r="U18" s="21" t="str">
        <f>IFERROR(__xludf.DUMMYFUNCTION("""COMPUTED_VALUE"""),"https://drive.google.com/open?id=1-nEcAMoGTG4YPofqbZ8SpIrTkDa8VBaD")</f>
        <v>https://drive.google.com/open?id=1-nEcAMoGTG4YPofqbZ8SpIrTkDa8VBaD</v>
      </c>
    </row>
    <row r="19">
      <c r="A19" s="4">
        <f>IFERROR(__xludf.DUMMYFUNCTION("""COMPUTED_VALUE"""),18.0)</f>
        <v>18</v>
      </c>
      <c r="B19" s="4" t="str">
        <f>IFERROR(__xludf.DUMMYFUNCTION("""COMPUTED_VALUE"""),"Michael Dell, Dell Technologies")</f>
        <v>Michael Dell, Dell Technologies</v>
      </c>
      <c r="C19" s="4" t="str">
        <f>IFERROR(__xludf.DUMMYFUNCTION("""COMPUTED_VALUE"""),"Michael Dell")</f>
        <v>Michael Dell</v>
      </c>
      <c r="D19" s="4" t="str">
        <f>IFERROR(__xludf.DUMMYFUNCTION("""COMPUTED_VALUE"""),"Dell ")</f>
        <v>Dell </v>
      </c>
      <c r="E19" s="4" t="str">
        <f>IFERROR(__xludf.DUMMYFUNCTION("""COMPUTED_VALUE"""),"")</f>
        <v/>
      </c>
      <c r="F19" s="4" t="str">
        <f>IFERROR(__xludf.DUMMYFUNCTION("""COMPUTED_VALUE"""),"Web Summit 2015 | Speaker")</f>
        <v>Web Summit 2015 | Speaker</v>
      </c>
      <c r="G19" s="4" t="str">
        <f>IFERROR(__xludf.DUMMYFUNCTION("""COMPUTED_VALUE"""),"Web Summit 2015 | Speaker")</f>
        <v>Web Summit 2015 | Speaker</v>
      </c>
      <c r="H19" s="4" t="str">
        <f>IFERROR(__xludf.DUMMYFUNCTION("""COMPUTED_VALUE"""),"")</f>
        <v/>
      </c>
      <c r="I19" s="21" t="str">
        <f>IFERROR(__xludf.DUMMYFUNCTION("""COMPUTED_VALUE"""),"https://www.youtube.com/watch?v=M3A9SNadRcY")</f>
        <v>https://www.youtube.com/watch?v=M3A9SNadRcY</v>
      </c>
      <c r="J19" s="4" t="str">
        <f>IFERROR(__xludf.DUMMYFUNCTION("""COMPUTED_VALUE"""),"Hugh")</f>
        <v>Hugh</v>
      </c>
      <c r="K19" s="4" t="str">
        <f>IFERROR(__xludf.DUMMYFUNCTION("""COMPUTED_VALUE"""),"In")</f>
        <v>In</v>
      </c>
      <c r="L19" s="4" t="str">
        <f>IFERROR(__xludf.DUMMYFUNCTION("""COMPUTED_VALUE"""),"Motion loop for 10 seconds. David Rowan does his usual and talks for one minute before asking a question. Could cut lat 5 seconds")</f>
        <v>Motion loop for 10 seconds. David Rowan does his usual and talks for one minute before asking a question. Could cut lat 5 seconds</v>
      </c>
      <c r="M19" s="4" t="str">
        <f>IFERROR(__xludf.DUMMYFUNCTION("""COMPUTED_VALUE"""),"")</f>
        <v/>
      </c>
      <c r="N19" s="4" t="str">
        <f>IFERROR(__xludf.DUMMYFUNCTION("""COMPUTED_VALUE"""),"")</f>
        <v/>
      </c>
      <c r="O19" s="4" t="str">
        <f>IFERROR(__xludf.DUMMYFUNCTION("""COMPUTED_VALUE"""),"")</f>
        <v/>
      </c>
      <c r="P19" s="4" t="str">
        <f>IFERROR(__xludf.DUMMYFUNCTION("""COMPUTED_VALUE"""),"")</f>
        <v/>
      </c>
      <c r="Q19" s="4" t="str">
        <f>IFERROR(__xludf.DUMMYFUNCTION("""COMPUTED_VALUE"""),"")</f>
        <v/>
      </c>
      <c r="R19" s="4" t="str">
        <f>IFERROR(__xludf.DUMMYFUNCTION("""COMPUTED_VALUE"""),"")</f>
        <v/>
      </c>
      <c r="S19" s="4" t="str">
        <f>IFERROR(__xludf.DUMMYFUNCTION("""COMPUTED_VALUE"""),"")</f>
        <v/>
      </c>
      <c r="T19" s="4" t="str">
        <f>IFERROR(__xludf.DUMMYFUNCTION("""COMPUTED_VALUE"""),"")</f>
        <v/>
      </c>
      <c r="U19" s="21" t="str">
        <f>IFERROR(__xludf.DUMMYFUNCTION("""COMPUTED_VALUE"""),"https://drive.google.com/open?id=1qwP2NMBiFj68fpXTu90pVCKd_FlL-PqA")</f>
        <v>https://drive.google.com/open?id=1qwP2NMBiFj68fpXTu90pVCKd_FlL-PqA</v>
      </c>
    </row>
    <row r="20">
      <c r="A20" s="4">
        <f>IFERROR(__xludf.DUMMYFUNCTION("""COMPUTED_VALUE"""),19.0)</f>
        <v>19</v>
      </c>
      <c r="B20" s="4" t="str">
        <f>IFERROR(__xludf.DUMMYFUNCTION("""COMPUTED_VALUE"""),"Eva Longoria, Eva Longoria")</f>
        <v>Eva Longoria, Eva Longoria</v>
      </c>
      <c r="C20" s="4" t="str">
        <f>IFERROR(__xludf.DUMMYFUNCTION("""COMPUTED_VALUE"""),"Eva Longoria")</f>
        <v>Eva Longoria</v>
      </c>
      <c r="D20" s="4" t="str">
        <f>IFERROR(__xludf.DUMMYFUNCTION("""COMPUTED_VALUE"""),"Eva Longoria")</f>
        <v>Eva Longoria</v>
      </c>
      <c r="E20" s="4" t="str">
        <f>IFERROR(__xludf.DUMMYFUNCTION("""COMPUTED_VALUE"""),"")</f>
        <v/>
      </c>
      <c r="F20" s="4" t="str">
        <f>IFERROR(__xludf.DUMMYFUNCTION("""COMPUTED_VALUE"""),"Web Summit 2014 | Speaker")</f>
        <v>Web Summit 2014 | Speaker</v>
      </c>
      <c r="G20" s="4" t="str">
        <f>IFERROR(__xludf.DUMMYFUNCTION("""COMPUTED_VALUE"""),"Web Summit 2014 | Speaker")</f>
        <v>Web Summit 2014 | Speaker</v>
      </c>
      <c r="H20" s="4" t="str">
        <f>IFERROR(__xludf.DUMMYFUNCTION("""COMPUTED_VALUE"""),"")</f>
        <v/>
      </c>
      <c r="I20" s="21" t="str">
        <f>IFERROR(__xludf.DUMMYFUNCTION("""COMPUTED_VALUE"""),"https://www.youtube.com/watch?v=YzOsxCPL4q8")</f>
        <v>https://www.youtube.com/watch?v=YzOsxCPL4q8</v>
      </c>
      <c r="J20" s="4" t="str">
        <f>IFERROR(__xludf.DUMMYFUNCTION("""COMPUTED_VALUE"""),"Gav")</f>
        <v>Gav</v>
      </c>
      <c r="K20" s="4" t="str">
        <f>IFERROR(__xludf.DUMMYFUNCTION("""COMPUTED_VALUE"""),"In")</f>
        <v>In</v>
      </c>
      <c r="L20" s="4" t="str">
        <f>IFERROR(__xludf.DUMMYFUNCTION("""COMPUTED_VALUE"""),"Eva sat on a pen at the start...at 2.18 there is a coming up next banner, remove it. Coming up banner is at 10:37 again. ")</f>
        <v>Eva sat on a pen at the start...at 2.18 there is a coming up next banner, remove it. Coming up banner is at 10:37 again. </v>
      </c>
      <c r="M20" s="4" t="str">
        <f>IFERROR(__xludf.DUMMYFUNCTION("""COMPUTED_VALUE"""),"")</f>
        <v/>
      </c>
      <c r="N20" s="4" t="str">
        <f>IFERROR(__xludf.DUMMYFUNCTION("""COMPUTED_VALUE"""),"")</f>
        <v/>
      </c>
      <c r="O20" s="4" t="str">
        <f>IFERROR(__xludf.DUMMYFUNCTION("""COMPUTED_VALUE"""),"")</f>
        <v/>
      </c>
      <c r="P20" s="4" t="str">
        <f>IFERROR(__xludf.DUMMYFUNCTION("""COMPUTED_VALUE"""),"")</f>
        <v/>
      </c>
      <c r="Q20" s="4" t="str">
        <f>IFERROR(__xludf.DUMMYFUNCTION("""COMPUTED_VALUE"""),"")</f>
        <v/>
      </c>
      <c r="R20" s="4" t="str">
        <f>IFERROR(__xludf.DUMMYFUNCTION("""COMPUTED_VALUE"""),"")</f>
        <v/>
      </c>
      <c r="S20" s="4" t="str">
        <f>IFERROR(__xludf.DUMMYFUNCTION("""COMPUTED_VALUE"""),"")</f>
        <v/>
      </c>
      <c r="T20" s="4" t="str">
        <f>IFERROR(__xludf.DUMMYFUNCTION("""COMPUTED_VALUE"""),"")</f>
        <v/>
      </c>
      <c r="U20" s="21" t="str">
        <f>IFERROR(__xludf.DUMMYFUNCTION("""COMPUTED_VALUE"""),"https://drive.google.com/open?id=1csGNT5oCMUG-MfB-TdqEZU5ghKn42Uxk")</f>
        <v>https://drive.google.com/open?id=1csGNT5oCMUG-MfB-TdqEZU5ghKn42Uxk</v>
      </c>
    </row>
    <row r="21">
      <c r="A21" s="4">
        <f>IFERROR(__xludf.DUMMYFUNCTION("""COMPUTED_VALUE"""),20.0)</f>
        <v>20</v>
      </c>
      <c r="B21" s="4" t="str">
        <f>IFERROR(__xludf.DUMMYFUNCTION("""COMPUTED_VALUE"""),"Joe Tsai, Alibaba")</f>
        <v>Joe Tsai, Alibaba</v>
      </c>
      <c r="C21" s="4" t="str">
        <f>IFERROR(__xludf.DUMMYFUNCTION("""COMPUTED_VALUE"""),"Joe Tsai")</f>
        <v>Joe Tsai</v>
      </c>
      <c r="D21" s="4" t="str">
        <f>IFERROR(__xludf.DUMMYFUNCTION("""COMPUTED_VALUE"""),"Alibaba")</f>
        <v>Alibaba</v>
      </c>
      <c r="E21" s="4" t="str">
        <f>IFERROR(__xludf.DUMMYFUNCTION("""COMPUTED_VALUE"""),"")</f>
        <v/>
      </c>
      <c r="F21" s="4" t="str">
        <f>IFERROR(__xludf.DUMMYFUNCTION("""COMPUTED_VALUE"""),"RISE 2017 | Speaker")</f>
        <v>RISE 2017 | Speaker</v>
      </c>
      <c r="G21" s="4" t="str">
        <f>IFERROR(__xludf.DUMMYFUNCTION("""COMPUTED_VALUE"""),"RISE 2017 | Speaker")</f>
        <v>RISE 2017 | Speaker</v>
      </c>
      <c r="H21" s="4" t="str">
        <f>IFERROR(__xludf.DUMMYFUNCTION("""COMPUTED_VALUE"""),"")</f>
        <v/>
      </c>
      <c r="I21" s="21" t="str">
        <f>IFERROR(__xludf.DUMMYFUNCTION("""COMPUTED_VALUE"""),"https://www.youtube.com/watch?v=-0LuUAMJcWM")</f>
        <v>https://www.youtube.com/watch?v=-0LuUAMJcWM</v>
      </c>
      <c r="J21" s="4" t="str">
        <f>IFERROR(__xludf.DUMMYFUNCTION("""COMPUTED_VALUE"""),"Hugh")</f>
        <v>Hugh</v>
      </c>
      <c r="K21" s="4" t="str">
        <f>IFERROR(__xludf.DUMMYFUNCTION("""COMPUTED_VALUE"""),"In")</f>
        <v>In</v>
      </c>
      <c r="L21" s="4" t="str">
        <f>IFERROR(__xludf.DUMMYFUNCTION("""COMPUTED_VALUE"""),"No intro / outro, lots of background sound in the audience.  Message regarding RISE 2018 2 for 1 tickets comes up a number of times, possible to remove that?")</f>
        <v>No intro / outro, lots of background sound in the audience.  Message regarding RISE 2018 2 for 1 tickets comes up a number of times, possible to remove that?</v>
      </c>
      <c r="M21" s="4" t="str">
        <f>IFERROR(__xludf.DUMMYFUNCTION("""COMPUTED_VALUE"""),"")</f>
        <v/>
      </c>
      <c r="N21" s="4" t="str">
        <f>IFERROR(__xludf.DUMMYFUNCTION("""COMPUTED_VALUE"""),"")</f>
        <v/>
      </c>
      <c r="O21" s="4" t="str">
        <f>IFERROR(__xludf.DUMMYFUNCTION("""COMPUTED_VALUE"""),"")</f>
        <v/>
      </c>
      <c r="P21" s="4" t="str">
        <f>IFERROR(__xludf.DUMMYFUNCTION("""COMPUTED_VALUE"""),"")</f>
        <v/>
      </c>
      <c r="Q21" s="4" t="str">
        <f>IFERROR(__xludf.DUMMYFUNCTION("""COMPUTED_VALUE"""),"")</f>
        <v/>
      </c>
      <c r="R21" s="4" t="str">
        <f>IFERROR(__xludf.DUMMYFUNCTION("""COMPUTED_VALUE"""),"")</f>
        <v/>
      </c>
      <c r="S21" s="4" t="str">
        <f>IFERROR(__xludf.DUMMYFUNCTION("""COMPUTED_VALUE"""),"")</f>
        <v/>
      </c>
      <c r="T21" s="4" t="str">
        <f>IFERROR(__xludf.DUMMYFUNCTION("""COMPUTED_VALUE"""),"")</f>
        <v/>
      </c>
      <c r="U21" s="21" t="str">
        <f>IFERROR(__xludf.DUMMYFUNCTION("""COMPUTED_VALUE"""),"https://drive.google.com/open?id=1cAjbAoG1YY902NHuC-Y9ByFUO_R1zdTf")</f>
        <v>https://drive.google.com/open?id=1cAjbAoG1YY902NHuC-Y9ByFUO_R1zdTf</v>
      </c>
    </row>
    <row r="22">
      <c r="A22" s="4">
        <f>IFERROR(__xludf.DUMMYFUNCTION("""COMPUTED_VALUE"""),21.0)</f>
        <v>21</v>
      </c>
      <c r="B22" s="4" t="str">
        <f>IFERROR(__xludf.DUMMYFUNCTION("""COMPUTED_VALUE"""),"Werner Vogels, Amazon")</f>
        <v>Werner Vogels, Amazon</v>
      </c>
      <c r="C22" s="4" t="str">
        <f>IFERROR(__xludf.DUMMYFUNCTION("""COMPUTED_VALUE"""),"Werner Vogels")</f>
        <v>Werner Vogels</v>
      </c>
      <c r="D22" s="4" t="str">
        <f>IFERROR(__xludf.DUMMYFUNCTION("""COMPUTED_VALUE"""),"Amazon")</f>
        <v>Amazon</v>
      </c>
      <c r="E22" s="4" t="str">
        <f>IFERROR(__xludf.DUMMYFUNCTION("""COMPUTED_VALUE"""),"")</f>
        <v/>
      </c>
      <c r="F22" s="4" t="str">
        <f>IFERROR(__xludf.DUMMYFUNCTION("""COMPUTED_VALUE"""),"Web Summit 2019 | Speaker
RISE 2018 | Speaker
Web Summit 2017 | Speaker
Web Summit 2016 | Speaker
RISE 2015 | Speaker
Web Summit 2014 | Speaker")</f>
        <v>Web Summit 2019 | Speaker
RISE 2018 | Speaker
Web Summit 2017 | Speaker
Web Summit 2016 | Speaker
RISE 2015 | Speaker
Web Summit 2014 | Speaker</v>
      </c>
      <c r="G22" s="4" t="str">
        <f>IFERROR(__xludf.DUMMYFUNCTION("""COMPUTED_VALUE"""),"Web Summit 2019 | Speaker
RISE 2018 | Speaker
f.ounders Lisbon 2017 | Founder
Web Summit 2017 | Speaker
Web Summit 2016 | Speaker
F.ounders Lisbon 2016 | Guest (Free)
RISE 2015 | Speaker
Converge 2015 (Hong Kong) | Founder
Enterprise X 2014 | Speaker
Web "&amp;"Summit 2014 | Speaker
F.ounders Dublin 2014 | Founder
F.ounders New York 2012 | Founder
F.ounders Dublin 2011 | Founder")</f>
        <v>Web Summit 2019 | Speaker
RISE 2018 | Speaker
f.ounders Lisbon 2017 | Founder
Web Summit 2017 | Speaker
Web Summit 2016 | Speaker
F.ounders Lisbon 2016 | Guest (Free)
RISE 2015 | Speaker
Converge 2015 (Hong Kong) | Founder
Enterprise X 2014 | Speaker
Web Summit 2014 | Speaker
F.ounders Dublin 2014 | Founder
F.ounders New York 2012 | Founder
F.ounders Dublin 2011 | Founder</v>
      </c>
      <c r="H22" s="4" t="str">
        <f>IFERROR(__xludf.DUMMYFUNCTION("""COMPUTED_VALUE"""),"Gav: WS17 looks the best to me.")</f>
        <v>Gav: WS17 looks the best to me.</v>
      </c>
      <c r="I22" s="4" t="str">
        <f>IFERROR(__xludf.DUMMYFUNCTION("""COMPUTED_VALUE"""),"https://vimeo.com/371456312; 
https://www.youtube.com/watch?v=ekmG9MEP3z0; https://www.youtube.com/watch?v=9VJaYtRMCzU; https://www.youtube.com/watch?v=jCHh80YIsB8;  https://www.youtube.com/watch?v=nL4-y-4Mozk; https://www.youtube.com/watch?v=LI1SW633rqQ;"&amp;" ")</f>
        <v>https://vimeo.com/371456312; 
https://www.youtube.com/watch?v=ekmG9MEP3z0; https://www.youtube.com/watch?v=9VJaYtRMCzU; https://www.youtube.com/watch?v=jCHh80YIsB8;  https://www.youtube.com/watch?v=nL4-y-4Mozk; https://www.youtube.com/watch?v=LI1SW633rqQ; </v>
      </c>
      <c r="J22" s="4" t="str">
        <f>IFERROR(__xludf.DUMMYFUNCTION("""COMPUTED_VALUE"""),"Gav")</f>
        <v>Gav</v>
      </c>
      <c r="K22" s="4" t="str">
        <f>IFERROR(__xludf.DUMMYFUNCTION("""COMPUTED_VALUE"""),"In")</f>
        <v>In</v>
      </c>
      <c r="L22" s="4" t="str">
        <f>IFERROR(__xludf.DUMMYFUNCTION("""COMPUTED_VALUE"""),"WS2019: Start on 40 seconds. He looks like he's on the verge of a heart attack the whole way through. Otherwise good.
RC2018: Start at 1:45. RISE banned needs removed. Rest is fine - Werner looks better.
RC19: SaaSMonster stage - begin at 1:46. RISE banne"&amp;"r needs to be removed. Finish on 15:54.
WS2017: Start at 7 seconds. Finish at 17:46.
WS17 Fireside: Start at 7 seconds. There is some crackling from Werner's mic. All good otherwise.
RC2015: Start at 5 seconds. The mic is huge and very obtrusive. Other th"&amp;"an that fine but let's not use this one.")</f>
        <v>WS2019: Start on 40 seconds. He looks like he's on the verge of a heart attack the whole way through. Otherwise good.
RC2018: Start at 1:45. RISE banned needs removed. Rest is fine - Werner looks better.
RC19: SaaSMonster stage - begin at 1:46. RISE banner needs to be removed. Finish on 15:54.
WS2017: Start at 7 seconds. Finish at 17:46.
WS17 Fireside: Start at 7 seconds. There is some crackling from Werner's mic. All good otherwise.
RC2015: Start at 5 seconds. The mic is huge and very obtrusive. Other than that fine but let's not use this one.</v>
      </c>
      <c r="M22" s="4" t="str">
        <f>IFERROR(__xludf.DUMMYFUNCTION("""COMPUTED_VALUE"""),"")</f>
        <v/>
      </c>
      <c r="N22" s="4" t="str">
        <f>IFERROR(__xludf.DUMMYFUNCTION("""COMPUTED_VALUE"""),"")</f>
        <v/>
      </c>
      <c r="O22" s="4" t="str">
        <f>IFERROR(__xludf.DUMMYFUNCTION("""COMPUTED_VALUE"""),"")</f>
        <v/>
      </c>
      <c r="P22" s="4" t="str">
        <f>IFERROR(__xludf.DUMMYFUNCTION("""COMPUTED_VALUE"""),"")</f>
        <v/>
      </c>
      <c r="Q22" s="4" t="str">
        <f>IFERROR(__xludf.DUMMYFUNCTION("""COMPUTED_VALUE"""),"")</f>
        <v/>
      </c>
      <c r="R22" s="4" t="str">
        <f>IFERROR(__xludf.DUMMYFUNCTION("""COMPUTED_VALUE"""),"")</f>
        <v/>
      </c>
      <c r="S22" s="4" t="str">
        <f>IFERROR(__xludf.DUMMYFUNCTION("""COMPUTED_VALUE"""),"")</f>
        <v/>
      </c>
      <c r="T22" s="4" t="str">
        <f>IFERROR(__xludf.DUMMYFUNCTION("""COMPUTED_VALUE"""),"")</f>
        <v/>
      </c>
      <c r="U22" s="21" t="str">
        <f>IFERROR(__xludf.DUMMYFUNCTION("""COMPUTED_VALUE"""),"https://ws19-processed-videos.s3-eu-west-1.amazonaws.com/9197b5fd-4b13-4003-9582-e68c131c44f3_Amazonai.mp4")</f>
        <v>https://ws19-processed-videos.s3-eu-west-1.amazonaws.com/9197b5fd-4b13-4003-9582-e68c131c44f3_Amazonai.mp4</v>
      </c>
    </row>
    <row r="23">
      <c r="A23" s="4">
        <f>IFERROR(__xludf.DUMMYFUNCTION("""COMPUTED_VALUE"""),22.0)</f>
        <v>22</v>
      </c>
      <c r="B23" s="4" t="str">
        <f>IFERROR(__xludf.DUMMYFUNCTION("""COMPUTED_VALUE"""),"Jack Dorsey")</f>
        <v>Jack Dorsey</v>
      </c>
      <c r="C23" s="4" t="str">
        <f>IFERROR(__xludf.DUMMYFUNCTION("""COMPUTED_VALUE"""),"Jack Dorsey")</f>
        <v>Jack Dorsey</v>
      </c>
      <c r="D23" s="4" t="str">
        <f>IFERROR(__xludf.DUMMYFUNCTION("""COMPUTED_VALUE"""),"")</f>
        <v/>
      </c>
      <c r="E23" s="4" t="str">
        <f>IFERROR(__xludf.DUMMYFUNCTION("""COMPUTED_VALUE"""),"")</f>
        <v/>
      </c>
      <c r="F23" s="4" t="str">
        <f>IFERROR(__xludf.DUMMYFUNCTION("""COMPUTED_VALUE"""),"")</f>
        <v/>
      </c>
      <c r="G23" s="4" t="str">
        <f>IFERROR(__xludf.DUMMYFUNCTION("""COMPUTED_VALUE"""),"")</f>
        <v/>
      </c>
      <c r="H23" s="4" t="str">
        <f>IFERROR(__xludf.DUMMYFUNCTION("""COMPUTED_VALUE"""),"Web Summit 2010")</f>
        <v>Web Summit 2010</v>
      </c>
      <c r="I23" s="21" t="str">
        <f>IFERROR(__xludf.DUMMYFUNCTION("""COMPUTED_VALUE"""),"https://vimeo.com/16547682")</f>
        <v>https://vimeo.com/16547682</v>
      </c>
      <c r="J23" s="4" t="str">
        <f>IFERROR(__xludf.DUMMYFUNCTION("""COMPUTED_VALUE"""),"Hugh")</f>
        <v>Hugh</v>
      </c>
      <c r="K23" s="4" t="str">
        <f>IFERROR(__xludf.DUMMYFUNCTION("""COMPUTED_VALUE"""),"In")</f>
        <v>In</v>
      </c>
      <c r="L23" s="4" t="str">
        <f>IFERROR(__xludf.DUMMYFUNCTION("""COMPUTED_VALUE"""),"10 years ago, incredibly rought and ready. Sound quality so poor, loads of background noise")</f>
        <v>10 years ago, incredibly rought and ready. Sound quality so poor, loads of background noise</v>
      </c>
      <c r="M23" s="4" t="str">
        <f>IFERROR(__xludf.DUMMYFUNCTION("""COMPUTED_VALUE"""),"")</f>
        <v/>
      </c>
      <c r="N23" s="4" t="str">
        <f>IFERROR(__xludf.DUMMYFUNCTION("""COMPUTED_VALUE"""),"")</f>
        <v/>
      </c>
      <c r="O23" s="4" t="str">
        <f>IFERROR(__xludf.DUMMYFUNCTION("""COMPUTED_VALUE"""),"")</f>
        <v/>
      </c>
      <c r="P23" s="4" t="str">
        <f>IFERROR(__xludf.DUMMYFUNCTION("""COMPUTED_VALUE"""),"")</f>
        <v/>
      </c>
      <c r="Q23" s="4" t="str">
        <f>IFERROR(__xludf.DUMMYFUNCTION("""COMPUTED_VALUE"""),"")</f>
        <v/>
      </c>
      <c r="R23" s="4" t="str">
        <f>IFERROR(__xludf.DUMMYFUNCTION("""COMPUTED_VALUE"""),"")</f>
        <v/>
      </c>
      <c r="S23" s="4" t="str">
        <f>IFERROR(__xludf.DUMMYFUNCTION("""COMPUTED_VALUE"""),"")</f>
        <v/>
      </c>
      <c r="T23" s="4" t="str">
        <f>IFERROR(__xludf.DUMMYFUNCTION("""COMPUTED_VALUE"""),"")</f>
        <v/>
      </c>
      <c r="U23" s="21" t="str">
        <f>IFERROR(__xludf.DUMMYFUNCTION("""COMPUTED_VALUE"""),"https://vimeo.com/16547682")</f>
        <v>https://vimeo.com/16547682</v>
      </c>
    </row>
    <row r="24">
      <c r="A24" s="4">
        <f>IFERROR(__xludf.DUMMYFUNCTION("""COMPUTED_VALUE"""),23.0)</f>
        <v>23</v>
      </c>
      <c r="B24" s="4" t="str">
        <f>IFERROR(__xludf.DUMMYFUNCTION("""COMPUTED_VALUE"""),"Marie Kondo, Marie Kondo")</f>
        <v>Marie Kondo, Marie Kondo</v>
      </c>
      <c r="C24" s="4" t="str">
        <f>IFERROR(__xludf.DUMMYFUNCTION("""COMPUTED_VALUE"""),"Marie Kondo")</f>
        <v>Marie Kondo</v>
      </c>
      <c r="D24" s="4" t="str">
        <f>IFERROR(__xludf.DUMMYFUNCTION("""COMPUTED_VALUE"""),"Marie Kondo")</f>
        <v>Marie Kondo</v>
      </c>
      <c r="E24" s="4" t="str">
        <f>IFERROR(__xludf.DUMMYFUNCTION("""COMPUTED_VALUE"""),"")</f>
        <v/>
      </c>
      <c r="F24" s="4" t="str">
        <f>IFERROR(__xludf.DUMMYFUNCTION("""COMPUTED_VALUE"""),"RISE 2016 | Speaker
Web Summit 2015 | Speaker")</f>
        <v>RISE 2016 | Speaker
Web Summit 2015 | Speaker</v>
      </c>
      <c r="G24" s="4" t="str">
        <f>IFERROR(__xludf.DUMMYFUNCTION("""COMPUTED_VALUE"""),"RISE 2016 | Speaker
Web Summit 2015 | Speaker")</f>
        <v>RISE 2016 | Speaker
Web Summit 2015 | Speaker</v>
      </c>
      <c r="H24" s="4" t="str">
        <f>IFERROR(__xludf.DUMMYFUNCTION("""COMPUTED_VALUE"""),"")</f>
        <v/>
      </c>
      <c r="I24" s="21" t="str">
        <f>IFERROR(__xludf.DUMMYFUNCTION("""COMPUTED_VALUE"""),"https://www.youtube.com/watch?v=ft1KKV57yWE,
https://www.youtube.com/watch?v=SY-_AtsHf60")</f>
        <v>https://www.youtube.com/watch?v=ft1KKV57yWE,
https://www.youtube.com/watch?v=SY-_AtsHf60</v>
      </c>
      <c r="J24" s="4" t="str">
        <f>IFERROR(__xludf.DUMMYFUNCTION("""COMPUTED_VALUE"""),"Helen")</f>
        <v>Helen</v>
      </c>
      <c r="K24" s="4" t="str">
        <f>IFERROR(__xludf.DUMMYFUNCTION("""COMPUTED_VALUE"""),"In")</f>
        <v>In</v>
      </c>
      <c r="L24" s="4" t="str">
        <f>IFERROR(__xludf.DUMMYFUNCTION("""COMPUTED_VALUE"""),"all good, talk with translator onstage (FYI)")</f>
        <v>all good, talk with translator onstage (FYI)</v>
      </c>
      <c r="M24" s="4" t="str">
        <f>IFERROR(__xludf.DUMMYFUNCTION("""COMPUTED_VALUE"""),"")</f>
        <v/>
      </c>
      <c r="N24" s="4" t="str">
        <f>IFERROR(__xludf.DUMMYFUNCTION("""COMPUTED_VALUE"""),"")</f>
        <v/>
      </c>
      <c r="O24" s="4" t="str">
        <f>IFERROR(__xludf.DUMMYFUNCTION("""COMPUTED_VALUE"""),"")</f>
        <v/>
      </c>
      <c r="P24" s="4" t="str">
        <f>IFERROR(__xludf.DUMMYFUNCTION("""COMPUTED_VALUE"""),"")</f>
        <v/>
      </c>
      <c r="Q24" s="4" t="str">
        <f>IFERROR(__xludf.DUMMYFUNCTION("""COMPUTED_VALUE"""),"")</f>
        <v/>
      </c>
      <c r="R24" s="4" t="str">
        <f>IFERROR(__xludf.DUMMYFUNCTION("""COMPUTED_VALUE"""),"")</f>
        <v/>
      </c>
      <c r="S24" s="4" t="str">
        <f>IFERROR(__xludf.DUMMYFUNCTION("""COMPUTED_VALUE"""),"")</f>
        <v/>
      </c>
      <c r="T24" s="4" t="str">
        <f>IFERROR(__xludf.DUMMYFUNCTION("""COMPUTED_VALUE"""),"")</f>
        <v/>
      </c>
      <c r="U24" s="21" t="str">
        <f>IFERROR(__xludf.DUMMYFUNCTION("""COMPUTED_VALUE"""),"https://drive.google.com/open?id=1UsQ1k37-EfGiuqu--GpnRytvabpV2yuT")</f>
        <v>https://drive.google.com/open?id=1UsQ1k37-EfGiuqu--GpnRytvabpV2yuT</v>
      </c>
    </row>
    <row r="25">
      <c r="A25" s="4">
        <f>IFERROR(__xludf.DUMMYFUNCTION("""COMPUTED_VALUE"""),24.0)</f>
        <v>24</v>
      </c>
      <c r="B25" s="4" t="str">
        <f>IFERROR(__xludf.DUMMYFUNCTION("""COMPUTED_VALUE"""),"Steve Huffman, Reddit")</f>
        <v>Steve Huffman, Reddit</v>
      </c>
      <c r="C25" s="4" t="str">
        <f>IFERROR(__xludf.DUMMYFUNCTION("""COMPUTED_VALUE"""),"Steve Huffman")</f>
        <v>Steve Huffman</v>
      </c>
      <c r="D25" s="4" t="str">
        <f>IFERROR(__xludf.DUMMYFUNCTION("""COMPUTED_VALUE"""),"Reddit")</f>
        <v>Reddit</v>
      </c>
      <c r="E25" s="4" t="str">
        <f>IFERROR(__xludf.DUMMYFUNCTION("""COMPUTED_VALUE"""),"Karen Tso, CNBC")</f>
        <v>Karen Tso, CNBC</v>
      </c>
      <c r="F25" s="4" t="str">
        <f>IFERROR(__xludf.DUMMYFUNCTION("""COMPUTED_VALUE"""),"Web Summit 2017 | Speaker")</f>
        <v>Web Summit 2017 | Speaker</v>
      </c>
      <c r="G25" s="4" t="str">
        <f>IFERROR(__xludf.DUMMYFUNCTION("""COMPUTED_VALUE"""),"Web Summit 2017 | Speaker")</f>
        <v>Web Summit 2017 | Speaker</v>
      </c>
      <c r="H25" s="4" t="str">
        <f>IFERROR(__xludf.DUMMYFUNCTION("""COMPUTED_VALUE"""),"")</f>
        <v/>
      </c>
      <c r="I25" s="21" t="str">
        <f>IFERROR(__xludf.DUMMYFUNCTION("""COMPUTED_VALUE"""),"https://www.youtube.com/watch?v=AfuudF9C6L8")</f>
        <v>https://www.youtube.com/watch?v=AfuudF9C6L8</v>
      </c>
      <c r="J25" s="4" t="str">
        <f>IFERROR(__xludf.DUMMYFUNCTION("""COMPUTED_VALUE"""),"Gav")</f>
        <v>Gav</v>
      </c>
      <c r="K25" s="4" t="str">
        <f>IFERROR(__xludf.DUMMYFUNCTION("""COMPUTED_VALUE"""),"In")</f>
        <v>In</v>
      </c>
      <c r="L25" s="4" t="str">
        <f>IFERROR(__xludf.DUMMYFUNCTION("""COMPUTED_VALUE"""),"8 second silent motion loop. Finish at 22:15. Good video.")</f>
        <v>8 second silent motion loop. Finish at 22:15. Good video.</v>
      </c>
      <c r="M25" s="4" t="str">
        <f>IFERROR(__xludf.DUMMYFUNCTION("""COMPUTED_VALUE"""),"")</f>
        <v/>
      </c>
      <c r="N25" s="4" t="str">
        <f>IFERROR(__xludf.DUMMYFUNCTION("""COMPUTED_VALUE"""),"")</f>
        <v/>
      </c>
      <c r="O25" s="4" t="str">
        <f>IFERROR(__xludf.DUMMYFUNCTION("""COMPUTED_VALUE"""),"")</f>
        <v/>
      </c>
      <c r="P25" s="4" t="str">
        <f>IFERROR(__xludf.DUMMYFUNCTION("""COMPUTED_VALUE"""),"")</f>
        <v/>
      </c>
      <c r="Q25" s="4" t="str">
        <f>IFERROR(__xludf.DUMMYFUNCTION("""COMPUTED_VALUE"""),"")</f>
        <v/>
      </c>
      <c r="R25" s="4" t="str">
        <f>IFERROR(__xludf.DUMMYFUNCTION("""COMPUTED_VALUE"""),"")</f>
        <v/>
      </c>
      <c r="S25" s="4" t="str">
        <f>IFERROR(__xludf.DUMMYFUNCTION("""COMPUTED_VALUE"""),"")</f>
        <v/>
      </c>
      <c r="T25" s="4" t="str">
        <f>IFERROR(__xludf.DUMMYFUNCTION("""COMPUTED_VALUE"""),"")</f>
        <v/>
      </c>
      <c r="U25" s="21" t="str">
        <f>IFERROR(__xludf.DUMMYFUNCTION("""COMPUTED_VALUE"""),"https://ws17-videos.s3-eu-west-1.amazonaws.com/CS_2_8_RedisigningReddit_000000_000000.mp4")</f>
        <v>https://ws17-videos.s3-eu-west-1.amazonaws.com/CS_2_8_RedisigningReddit_000000_000000.mp4</v>
      </c>
    </row>
    <row r="26">
      <c r="A26" s="4">
        <f>IFERROR(__xludf.DUMMYFUNCTION("""COMPUTED_VALUE"""),25.0)</f>
        <v>25</v>
      </c>
      <c r="B26" s="4" t="str">
        <f>IFERROR(__xludf.DUMMYFUNCTION("""COMPUTED_VALUE"""),"Gary Vaynerchuk, VaynerMedia")</f>
        <v>Gary Vaynerchuk, VaynerMedia</v>
      </c>
      <c r="C26" s="4" t="str">
        <f>IFERROR(__xludf.DUMMYFUNCTION("""COMPUTED_VALUE"""),"Gary Vaynerchuk")</f>
        <v>Gary Vaynerchuk</v>
      </c>
      <c r="D26" s="4" t="str">
        <f>IFERROR(__xludf.DUMMYFUNCTION("""COMPUTED_VALUE"""),"VaynerMedia")</f>
        <v>VaynerMedia</v>
      </c>
      <c r="E26" s="4" t="str">
        <f>IFERROR(__xludf.DUMMYFUNCTION("""COMPUTED_VALUE"""),"")</f>
        <v/>
      </c>
      <c r="F26" s="4" t="str">
        <f>IFERROR(__xludf.DUMMYFUNCTION("""COMPUTED_VALUE"""),"RISE 2017 | Speaker
Web Summit 2016 | Speaker")</f>
        <v>RISE 2017 | Speaker
Web Summit 2016 | Speaker</v>
      </c>
      <c r="G26" s="4" t="str">
        <f>IFERROR(__xludf.DUMMYFUNCTION("""COMPUTED_VALUE"""),"RISE 2017 | Speaker
Web Summit 2016 | Speaker")</f>
        <v>RISE 2017 | Speaker
Web Summit 2016 | Speaker</v>
      </c>
      <c r="H26" s="4" t="str">
        <f>IFERROR(__xludf.DUMMYFUNCTION("""COMPUTED_VALUE"""),"")</f>
        <v/>
      </c>
      <c r="I26" s="21" t="str">
        <f>IFERROR(__xludf.DUMMYFUNCTION("""COMPUTED_VALUE"""),"https://www.youtube.com/watch?v=8BDHQBXm_cA")</f>
        <v>https://www.youtube.com/watch?v=8BDHQBXm_cA</v>
      </c>
      <c r="J26" s="4" t="str">
        <f>IFERROR(__xludf.DUMMYFUNCTION("""COMPUTED_VALUE"""),"")</f>
        <v/>
      </c>
      <c r="K26" s="4" t="str">
        <f>IFERROR(__xludf.DUMMYFUNCTION("""COMPUTED_VALUE"""),"In")</f>
        <v>In</v>
      </c>
      <c r="L26" s="4" t="str">
        <f>IFERROR(__xludf.DUMMYFUNCTION("""COMPUTED_VALUE"""),"")</f>
        <v/>
      </c>
      <c r="M26" s="4" t="str">
        <f>IFERROR(__xludf.DUMMYFUNCTION("""COMPUTED_VALUE"""),"")</f>
        <v/>
      </c>
      <c r="N26" s="4" t="str">
        <f>IFERROR(__xludf.DUMMYFUNCTION("""COMPUTED_VALUE"""),"")</f>
        <v/>
      </c>
      <c r="O26" s="4" t="str">
        <f>IFERROR(__xludf.DUMMYFUNCTION("""COMPUTED_VALUE"""),"")</f>
        <v/>
      </c>
      <c r="P26" s="4" t="str">
        <f>IFERROR(__xludf.DUMMYFUNCTION("""COMPUTED_VALUE"""),"")</f>
        <v/>
      </c>
      <c r="Q26" s="4" t="str">
        <f>IFERROR(__xludf.DUMMYFUNCTION("""COMPUTED_VALUE"""),"")</f>
        <v/>
      </c>
      <c r="R26" s="4" t="str">
        <f>IFERROR(__xludf.DUMMYFUNCTION("""COMPUTED_VALUE"""),"")</f>
        <v/>
      </c>
      <c r="S26" s="4" t="str">
        <f>IFERROR(__xludf.DUMMYFUNCTION("""COMPUTED_VALUE"""),"")</f>
        <v/>
      </c>
      <c r="T26" s="4" t="str">
        <f>IFERROR(__xludf.DUMMYFUNCTION("""COMPUTED_VALUE"""),"")</f>
        <v/>
      </c>
      <c r="U26" s="21" t="str">
        <f>IFERROR(__xludf.DUMMYFUNCTION("""COMPUTED_VALUE"""),"https://drive.google.com/open?id=1DHH27WH_832b6CqLsHtN8YBMA1UN_suj")</f>
        <v>https://drive.google.com/open?id=1DHH27WH_832b6CqLsHtN8YBMA1UN_suj</v>
      </c>
    </row>
    <row r="27">
      <c r="A27" s="4">
        <f>IFERROR(__xludf.DUMMYFUNCTION("""COMPUTED_VALUE"""),26.0)</f>
        <v>26</v>
      </c>
      <c r="B27" s="4" t="str">
        <f>IFERROR(__xludf.DUMMYFUNCTION("""COMPUTED_VALUE"""),"Jean Liu, Didi Chuxing")</f>
        <v>Jean Liu, Didi Chuxing</v>
      </c>
      <c r="C27" s="4" t="str">
        <f>IFERROR(__xludf.DUMMYFUNCTION("""COMPUTED_VALUE"""),"Jean Liu ")</f>
        <v>Jean Liu </v>
      </c>
      <c r="D27" s="4" t="str">
        <f>IFERROR(__xludf.DUMMYFUNCTION("""COMPUTED_VALUE"""),"Didi Chuxing")</f>
        <v>Didi Chuxing</v>
      </c>
      <c r="E27" s="4" t="str">
        <f>IFERROR(__xludf.DUMMYFUNCTION("""COMPUTED_VALUE"""),"")</f>
        <v/>
      </c>
      <c r="F27" s="4" t="str">
        <f>IFERROR(__xludf.DUMMYFUNCTION("""COMPUTED_VALUE"""),"RISE 2015 | Speaker")</f>
        <v>RISE 2015 | Speaker</v>
      </c>
      <c r="G27" s="4" t="str">
        <f>IFERROR(__xludf.DUMMYFUNCTION("""COMPUTED_VALUE"""),"RISE 2015 | Speaker
Converge 2015 (Hong Kong) | Founder")</f>
        <v>RISE 2015 | Speaker
Converge 2015 (Hong Kong) | Founder</v>
      </c>
      <c r="H27" s="4" t="str">
        <f>IFERROR(__xludf.DUMMYFUNCTION("""COMPUTED_VALUE"""),"")</f>
        <v/>
      </c>
      <c r="I27" s="21" t="str">
        <f>IFERROR(__xludf.DUMMYFUNCTION("""COMPUTED_VALUE"""),"https://www.youtube.com/watch?v=IuH3k5v-cEs")</f>
        <v>https://www.youtube.com/watch?v=IuH3k5v-cEs</v>
      </c>
      <c r="J27" s="4" t="str">
        <f>IFERROR(__xludf.DUMMYFUNCTION("""COMPUTED_VALUE"""),"Helen")</f>
        <v>Helen</v>
      </c>
      <c r="K27" s="4" t="str">
        <f>IFERROR(__xludf.DUMMYFUNCTION("""COMPUTED_VALUE"""),"In")</f>
        <v>In</v>
      </c>
      <c r="L27" s="4" t="str">
        <f>IFERROR(__xludf.DUMMYFUNCTION("""COMPUTED_VALUE"""),"All good")</f>
        <v>All good</v>
      </c>
      <c r="M27" s="4" t="str">
        <f>IFERROR(__xludf.DUMMYFUNCTION("""COMPUTED_VALUE"""),"")</f>
        <v/>
      </c>
      <c r="N27" s="4" t="str">
        <f>IFERROR(__xludf.DUMMYFUNCTION("""COMPUTED_VALUE"""),"")</f>
        <v/>
      </c>
      <c r="O27" s="4" t="str">
        <f>IFERROR(__xludf.DUMMYFUNCTION("""COMPUTED_VALUE"""),"")</f>
        <v/>
      </c>
      <c r="P27" s="4" t="str">
        <f>IFERROR(__xludf.DUMMYFUNCTION("""COMPUTED_VALUE"""),"")</f>
        <v/>
      </c>
      <c r="Q27" s="4" t="str">
        <f>IFERROR(__xludf.DUMMYFUNCTION("""COMPUTED_VALUE"""),"")</f>
        <v/>
      </c>
      <c r="R27" s="4" t="str">
        <f>IFERROR(__xludf.DUMMYFUNCTION("""COMPUTED_VALUE"""),"")</f>
        <v/>
      </c>
      <c r="S27" s="4" t="str">
        <f>IFERROR(__xludf.DUMMYFUNCTION("""COMPUTED_VALUE"""),"")</f>
        <v/>
      </c>
      <c r="T27" s="4" t="str">
        <f>IFERROR(__xludf.DUMMYFUNCTION("""COMPUTED_VALUE"""),"")</f>
        <v/>
      </c>
      <c r="U27" s="21" t="str">
        <f>IFERROR(__xludf.DUMMYFUNCTION("""COMPUTED_VALUE"""),"https://drive.google.com/open?id=1dYtG7PDG-Aiwfpl59Z1b-XIiYkJ1EWg6")</f>
        <v>https://drive.google.com/open?id=1dYtG7PDG-Aiwfpl59Z1b-XIiYkJ1EWg6</v>
      </c>
    </row>
    <row r="28">
      <c r="A28" s="4">
        <f>IFERROR(__xludf.DUMMYFUNCTION("""COMPUTED_VALUE"""),27.0)</f>
        <v>27</v>
      </c>
      <c r="B28" s="4" t="str">
        <f>IFERROR(__xludf.DUMMYFUNCTION("""COMPUTED_VALUE"""),"Mike Schroepfer, Facebook")</f>
        <v>Mike Schroepfer, Facebook</v>
      </c>
      <c r="C28" s="4" t="str">
        <f>IFERROR(__xludf.DUMMYFUNCTION("""COMPUTED_VALUE"""),"Mike Schroepfer")</f>
        <v>Mike Schroepfer</v>
      </c>
      <c r="D28" s="4" t="str">
        <f>IFERROR(__xludf.DUMMYFUNCTION("""COMPUTED_VALUE"""),"Facebook")</f>
        <v>Facebook</v>
      </c>
      <c r="E28" s="4" t="str">
        <f>IFERROR(__xludf.DUMMYFUNCTION("""COMPUTED_VALUE"""),"")</f>
        <v/>
      </c>
      <c r="F28" s="4" t="str">
        <f>IFERROR(__xludf.DUMMYFUNCTION("""COMPUTED_VALUE"""),"Web Summit 2016 | Speaker
Web Summit 2015 | Speaker")</f>
        <v>Web Summit 2016 | Speaker
Web Summit 2015 | Speaker</v>
      </c>
      <c r="G28" s="4" t="str">
        <f>IFERROR(__xludf.DUMMYFUNCTION("""COMPUTED_VALUE"""),"Web Summit 2016 | Speaker
Web Summit 2015 | Speaker")</f>
        <v>Web Summit 2016 | Speaker
Web Summit 2015 | Speaker</v>
      </c>
      <c r="H28" s="4" t="str">
        <f>IFERROR(__xludf.DUMMYFUNCTION("""COMPUTED_VALUE"""),"")</f>
        <v/>
      </c>
      <c r="I28" s="4" t="str">
        <f>IFERROR(__xludf.DUMMYFUNCTION("""COMPUTED_VALUE"""),"https://www.youtube.com/watch?v=9avdHu40Enw&amp;list=PLxptNs2MLOjkVIxSu5hCTjqNwMuNJOhsy&amp;index=10; 
https://www.youtube.com/watch?v=m6jFS7nqBco")</f>
        <v>https://www.youtube.com/watch?v=9avdHu40Enw&amp;list=PLxptNs2MLOjkVIxSu5hCTjqNwMuNJOhsy&amp;index=10; 
https://www.youtube.com/watch?v=m6jFS7nqBco</v>
      </c>
      <c r="J28" s="4" t="str">
        <f>IFERROR(__xludf.DUMMYFUNCTION("""COMPUTED_VALUE"""),"Gav")</f>
        <v>Gav</v>
      </c>
      <c r="K28" s="4" t="str">
        <f>IFERROR(__xludf.DUMMYFUNCTION("""COMPUTED_VALUE"""),"In")</f>
        <v>In</v>
      </c>
      <c r="L28" s="4" t="str">
        <f>IFERROR(__xludf.DUMMYFUNCTION("""COMPUTED_VALUE"""),"Motion loop = 7 seconds. Video is good.")</f>
        <v>Motion loop = 7 seconds. Video is good.</v>
      </c>
      <c r="M28" s="4" t="str">
        <f>IFERROR(__xludf.DUMMYFUNCTION("""COMPUTED_VALUE"""),"")</f>
        <v/>
      </c>
      <c r="N28" s="4" t="str">
        <f>IFERROR(__xludf.DUMMYFUNCTION("""COMPUTED_VALUE"""),"")</f>
        <v/>
      </c>
      <c r="O28" s="4" t="str">
        <f>IFERROR(__xludf.DUMMYFUNCTION("""COMPUTED_VALUE"""),"")</f>
        <v/>
      </c>
      <c r="P28" s="4" t="str">
        <f>IFERROR(__xludf.DUMMYFUNCTION("""COMPUTED_VALUE"""),"")</f>
        <v/>
      </c>
      <c r="Q28" s="4" t="str">
        <f>IFERROR(__xludf.DUMMYFUNCTION("""COMPUTED_VALUE"""),"")</f>
        <v/>
      </c>
      <c r="R28" s="4" t="str">
        <f>IFERROR(__xludf.DUMMYFUNCTION("""COMPUTED_VALUE"""),"")</f>
        <v/>
      </c>
      <c r="S28" s="4" t="str">
        <f>IFERROR(__xludf.DUMMYFUNCTION("""COMPUTED_VALUE"""),"")</f>
        <v/>
      </c>
      <c r="T28" s="4" t="str">
        <f>IFERROR(__xludf.DUMMYFUNCTION("""COMPUTED_VALUE"""),"")</f>
        <v/>
      </c>
      <c r="U28" s="21" t="str">
        <f>IFERROR(__xludf.DUMMYFUNCTION("""COMPUTED_VALUE"""),"https://drive.google.com/open?id=1HXvymkLcg4kh9fHKDP1IVz0rEb8lOupH")</f>
        <v>https://drive.google.com/open?id=1HXvymkLcg4kh9fHKDP1IVz0rEb8lOupH</v>
      </c>
    </row>
    <row r="29">
      <c r="A29" s="4">
        <f>IFERROR(__xludf.DUMMYFUNCTION("""COMPUTED_VALUE"""),28.0)</f>
        <v>28</v>
      </c>
      <c r="B29" s="4" t="str">
        <f>IFERROR(__xludf.DUMMYFUNCTION("""COMPUTED_VALUE"""),"Wladimir Klitschko, Klitschko Ventures GmbH")</f>
        <v>Wladimir Klitschko, Klitschko Ventures GmbH</v>
      </c>
      <c r="C29" s="4" t="str">
        <f>IFERROR(__xludf.DUMMYFUNCTION("""COMPUTED_VALUE"""),"Wladimir Klitschko")</f>
        <v>Wladimir Klitschko</v>
      </c>
      <c r="D29" s="4" t="str">
        <f>IFERROR(__xludf.DUMMYFUNCTION("""COMPUTED_VALUE"""),"Klitschko Ventures GmbH")</f>
        <v>Klitschko Ventures GmbH</v>
      </c>
      <c r="E29" s="4" t="str">
        <f>IFERROR(__xludf.DUMMYFUNCTION("""COMPUTED_VALUE"""),"")</f>
        <v/>
      </c>
      <c r="F29" s="4" t="str">
        <f>IFERROR(__xludf.DUMMYFUNCTION("""COMPUTED_VALUE"""),"Web Summit 2019 | Speaker
Corporate Innovation Summit @ Web Summit 2019 | Speaker
Web Summit 2017 | Speaker")</f>
        <v>Web Summit 2019 | Speaker
Corporate Innovation Summit @ Web Summit 2019 | Speaker
Web Summit 2017 | Speaker</v>
      </c>
      <c r="G29" s="4" t="str">
        <f>IFERROR(__xludf.DUMMYFUNCTION("""COMPUTED_VALUE"""),"Web Summit 2019 | Speaker
Corporate Innovation Summit @ Web Summit 2019 | Speaker
Web Summit 2017 | Speaker")</f>
        <v>Web Summit 2019 | Speaker
Corporate Innovation Summit @ Web Summit 2019 | Speaker
Web Summit 2017 | Speaker</v>
      </c>
      <c r="H29" s="4" t="str">
        <f>IFERROR(__xludf.DUMMYFUNCTION("""COMPUTED_VALUE"""),"WS 2017 one is best")</f>
        <v>WS 2017 one is best</v>
      </c>
      <c r="I29" s="4" t="str">
        <f>IFERROR(__xludf.DUMMYFUNCTION("""COMPUTED_VALUE"""),"https://www.youtube.com/watch?v=NFbrnaj6OYI
https://www.youtube.com/watch?v=JZUhzSekDGE")</f>
        <v>https://www.youtube.com/watch?v=NFbrnaj6OYI
https://www.youtube.com/watch?v=JZUhzSekDGE</v>
      </c>
      <c r="J29" s="4" t="str">
        <f>IFERROR(__xludf.DUMMYFUNCTION("""COMPUTED_VALUE"""),"Hugh")</f>
        <v>Hugh</v>
      </c>
      <c r="K29" s="4" t="str">
        <f>IFERROR(__xludf.DUMMYFUNCTION("""COMPUTED_VALUE"""),"In")</f>
        <v>In</v>
      </c>
      <c r="L29" s="4" t="str">
        <f>IFERROR(__xludf.DUMMYFUNCTION("""COMPUTED_VALUE"""),"Good, last minute is a motion loop and can prob be cut")</f>
        <v>Good, last minute is a motion loop and can prob be cut</v>
      </c>
      <c r="M29" s="4" t="str">
        <f>IFERROR(__xludf.DUMMYFUNCTION("""COMPUTED_VALUE"""),"")</f>
        <v/>
      </c>
      <c r="N29" s="4" t="str">
        <f>IFERROR(__xludf.DUMMYFUNCTION("""COMPUTED_VALUE"""),"")</f>
        <v/>
      </c>
      <c r="O29" s="4" t="str">
        <f>IFERROR(__xludf.DUMMYFUNCTION("""COMPUTED_VALUE"""),"")</f>
        <v/>
      </c>
      <c r="P29" s="4" t="str">
        <f>IFERROR(__xludf.DUMMYFUNCTION("""COMPUTED_VALUE"""),"")</f>
        <v/>
      </c>
      <c r="Q29" s="4" t="str">
        <f>IFERROR(__xludf.DUMMYFUNCTION("""COMPUTED_VALUE"""),"")</f>
        <v/>
      </c>
      <c r="R29" s="4" t="str">
        <f>IFERROR(__xludf.DUMMYFUNCTION("""COMPUTED_VALUE"""),"")</f>
        <v/>
      </c>
      <c r="S29" s="4" t="str">
        <f>IFERROR(__xludf.DUMMYFUNCTION("""COMPUTED_VALUE"""),"")</f>
        <v/>
      </c>
      <c r="T29" s="4" t="str">
        <f>IFERROR(__xludf.DUMMYFUNCTION("""COMPUTED_VALUE"""),"")</f>
        <v/>
      </c>
      <c r="U29" s="21" t="str">
        <f>IFERROR(__xludf.DUMMYFUNCTION("""COMPUTED_VALUE"""),"https://ws19-processed-videos.s3-eu-west-1.amazonaws.com/29f68515-a259-4271-8f36-0b378ef8ce8f_Thinking_outside_the_box.mp4")</f>
        <v>https://ws19-processed-videos.s3-eu-west-1.amazonaws.com/29f68515-a259-4271-8f36-0b378ef8ce8f_Thinking_outside_the_box.mp4</v>
      </c>
    </row>
    <row r="30">
      <c r="A30" s="4">
        <f>IFERROR(__xludf.DUMMYFUNCTION("""COMPUTED_VALUE"""),29.0)</f>
        <v>29</v>
      </c>
      <c r="B30" s="4" t="str">
        <f>IFERROR(__xludf.DUMMYFUNCTION("""COMPUTED_VALUE"""),"Emmett Shear, Twitch")</f>
        <v>Emmett Shear, Twitch</v>
      </c>
      <c r="C30" s="4" t="str">
        <f>IFERROR(__xludf.DUMMYFUNCTION("""COMPUTED_VALUE"""),"Emmett Shear")</f>
        <v>Emmett Shear</v>
      </c>
      <c r="D30" s="4" t="str">
        <f>IFERROR(__xludf.DUMMYFUNCTION("""COMPUTED_VALUE"""),"Twitch")</f>
        <v>Twitch</v>
      </c>
      <c r="E30" s="4" t="str">
        <f>IFERROR(__xludf.DUMMYFUNCTION("""COMPUTED_VALUE"""),"Kristen Garcia Dumont, MZ; Josh COnstine, TechCrunch")</f>
        <v>Kristen Garcia Dumont, MZ; Josh COnstine, TechCrunch</v>
      </c>
      <c r="F30" s="4" t="str">
        <f>IFERROR(__xludf.DUMMYFUNCTION("""COMPUTED_VALUE"""),"Web Summit 2018 | Speaker")</f>
        <v>Web Summit 2018 | Speaker</v>
      </c>
      <c r="G30" s="4" t="str">
        <f>IFERROR(__xludf.DUMMYFUNCTION("""COMPUTED_VALUE"""),"Web Summit 2018 | Speaker")</f>
        <v>Web Summit 2018 | Speaker</v>
      </c>
      <c r="H30" s="4" t="str">
        <f>IFERROR(__xludf.DUMMYFUNCTION("""COMPUTED_VALUE"""),"")</f>
        <v/>
      </c>
      <c r="I30" s="21" t="str">
        <f>IFERROR(__xludf.DUMMYFUNCTION("""COMPUTED_VALUE"""),"https://www.youtube.com/watch?v=JZ-omtv0vOQ")</f>
        <v>https://www.youtube.com/watch?v=JZ-omtv0vOQ</v>
      </c>
      <c r="J30" s="4" t="str">
        <f>IFERROR(__xludf.DUMMYFUNCTION("""COMPUTED_VALUE"""),"")</f>
        <v/>
      </c>
      <c r="K30" s="4" t="str">
        <f>IFERROR(__xludf.DUMMYFUNCTION("""COMPUTED_VALUE"""),"In")</f>
        <v>In</v>
      </c>
      <c r="L30" s="4" t="str">
        <f>IFERROR(__xludf.DUMMYFUNCTION("""COMPUTED_VALUE"""),"Start on 2 seconds. Rest is bang on.")</f>
        <v>Start on 2 seconds. Rest is bang on.</v>
      </c>
      <c r="M30" s="4" t="str">
        <f>IFERROR(__xludf.DUMMYFUNCTION("""COMPUTED_VALUE"""),"")</f>
        <v/>
      </c>
      <c r="N30" s="4" t="str">
        <f>IFERROR(__xludf.DUMMYFUNCTION("""COMPUTED_VALUE"""),"")</f>
        <v/>
      </c>
      <c r="O30" s="4" t="str">
        <f>IFERROR(__xludf.DUMMYFUNCTION("""COMPUTED_VALUE"""),"")</f>
        <v/>
      </c>
      <c r="P30" s="4" t="str">
        <f>IFERROR(__xludf.DUMMYFUNCTION("""COMPUTED_VALUE"""),"")</f>
        <v/>
      </c>
      <c r="Q30" s="4" t="str">
        <f>IFERROR(__xludf.DUMMYFUNCTION("""COMPUTED_VALUE"""),"")</f>
        <v/>
      </c>
      <c r="R30" s="4" t="str">
        <f>IFERROR(__xludf.DUMMYFUNCTION("""COMPUTED_VALUE"""),"")</f>
        <v/>
      </c>
      <c r="S30" s="4" t="str">
        <f>IFERROR(__xludf.DUMMYFUNCTION("""COMPUTED_VALUE"""),"")</f>
        <v/>
      </c>
      <c r="T30" s="4" t="str">
        <f>IFERROR(__xludf.DUMMYFUNCTION("""COMPUTED_VALUE"""),"")</f>
        <v/>
      </c>
      <c r="U30" s="21" t="str">
        <f>IFERROR(__xludf.DUMMYFUNCTION("""COMPUTED_VALUE"""),"https://drive.google.com/open?id=19aEEhIaSRwCI-8l1DoBoKJLC9eG7va8G")</f>
        <v>https://drive.google.com/open?id=19aEEhIaSRwCI-8l1DoBoKJLC9eG7va8G</v>
      </c>
    </row>
    <row r="31">
      <c r="A31" s="4">
        <f>IFERROR(__xludf.DUMMYFUNCTION("""COMPUTED_VALUE"""),30.0)</f>
        <v>30</v>
      </c>
      <c r="B31" s="4" t="str">
        <f>IFERROR(__xludf.DUMMYFUNCTION("""COMPUTED_VALUE"""),"Caitlyn Jenner, Caitlyn Jenner")</f>
        <v>Caitlyn Jenner, Caitlyn Jenner</v>
      </c>
      <c r="C31" s="4" t="str">
        <f>IFERROR(__xludf.DUMMYFUNCTION("""COMPUTED_VALUE"""),"Caitlyn Jenner")</f>
        <v>Caitlyn Jenner</v>
      </c>
      <c r="D31" s="4" t="str">
        <f>IFERROR(__xludf.DUMMYFUNCTION("""COMPUTED_VALUE"""),"Caitlyn Jenner")</f>
        <v>Caitlyn Jenner</v>
      </c>
      <c r="E31" s="4" t="str">
        <f>IFERROR(__xludf.DUMMYFUNCTION("""COMPUTED_VALUE"""),"")</f>
        <v/>
      </c>
      <c r="F31" s="4" t="str">
        <f>IFERROR(__xludf.DUMMYFUNCTION("""COMPUTED_VALUE"""),"f.ounders Lisbon 2017 | Guest (Free)
Web Summit 2017 | Speaker")</f>
        <v>f.ounders Lisbon 2017 | Guest (Free)
Web Summit 2017 | Speaker</v>
      </c>
      <c r="G31" s="4" t="str">
        <f>IFERROR(__xludf.DUMMYFUNCTION("""COMPUTED_VALUE"""),"f.ounders Lisbon 2017 | Guest (Free)
Web Summit 2017 | Speaker")</f>
        <v>f.ounders Lisbon 2017 | Guest (Free)
Web Summit 2017 | Speaker</v>
      </c>
      <c r="H31" s="4" t="str">
        <f>IFERROR(__xludf.DUMMYFUNCTION("""COMPUTED_VALUE"""),"")</f>
        <v/>
      </c>
      <c r="I31" s="21" t="str">
        <f>IFERROR(__xludf.DUMMYFUNCTION("""COMPUTED_VALUE"""),"https://www.youtube.com/watch?v=JaA36HDq848")</f>
        <v>https://www.youtube.com/watch?v=JaA36HDq848</v>
      </c>
      <c r="J31" s="4" t="str">
        <f>IFERROR(__xludf.DUMMYFUNCTION("""COMPUTED_VALUE"""),"Dan")</f>
        <v>Dan</v>
      </c>
      <c r="K31" s="4" t="str">
        <f>IFERROR(__xludf.DUMMYFUNCTION("""COMPUTED_VALUE"""),"In")</f>
        <v>In</v>
      </c>
      <c r="L31" s="4" t="str">
        <f>IFERROR(__xludf.DUMMYFUNCTION("""COMPUTED_VALUE"""),"Slight echo throughout. Loop can be cut at 21:40")</f>
        <v>Slight echo throughout. Loop can be cut at 21:40</v>
      </c>
      <c r="M31" s="4" t="str">
        <f>IFERROR(__xludf.DUMMYFUNCTION("""COMPUTED_VALUE"""),"")</f>
        <v/>
      </c>
      <c r="N31" s="4" t="str">
        <f>IFERROR(__xludf.DUMMYFUNCTION("""COMPUTED_VALUE"""),"")</f>
        <v/>
      </c>
      <c r="O31" s="4" t="str">
        <f>IFERROR(__xludf.DUMMYFUNCTION("""COMPUTED_VALUE"""),"")</f>
        <v/>
      </c>
      <c r="P31" s="4" t="str">
        <f>IFERROR(__xludf.DUMMYFUNCTION("""COMPUTED_VALUE"""),"")</f>
        <v/>
      </c>
      <c r="Q31" s="4" t="str">
        <f>IFERROR(__xludf.DUMMYFUNCTION("""COMPUTED_VALUE"""),"")</f>
        <v/>
      </c>
      <c r="R31" s="4" t="str">
        <f>IFERROR(__xludf.DUMMYFUNCTION("""COMPUTED_VALUE"""),"")</f>
        <v/>
      </c>
      <c r="S31" s="4" t="str">
        <f>IFERROR(__xludf.DUMMYFUNCTION("""COMPUTED_VALUE"""),"")</f>
        <v/>
      </c>
      <c r="T31" s="4" t="str">
        <f>IFERROR(__xludf.DUMMYFUNCTION("""COMPUTED_VALUE"""),"WRONG LINK -&gt;")</f>
        <v>WRONG LINK -&gt;</v>
      </c>
      <c r="U31" s="21" t="str">
        <f>IFERROR(__xludf.DUMMYFUNCTION("""COMPUTED_VALUE"""),"https://ws17-videos.s3-eu-west-1.amazonaws.com/CS_9_11_Who+defines+gender_000000_000000.mp4")</f>
        <v>https://ws17-videos.s3-eu-west-1.amazonaws.com/CS_9_11_Who+defines+gender_000000_000000.mp4</v>
      </c>
    </row>
    <row r="32">
      <c r="A32" s="4">
        <f>IFERROR(__xludf.DUMMYFUNCTION("""COMPUTED_VALUE"""),31.0)</f>
        <v>31</v>
      </c>
      <c r="B32" s="4" t="str">
        <f>IFERROR(__xludf.DUMMYFUNCTION("""COMPUTED_VALUE"""),"António Guterres, United Nations")</f>
        <v>António Guterres, United Nations</v>
      </c>
      <c r="C32" s="4" t="str">
        <f>IFERROR(__xludf.DUMMYFUNCTION("""COMPUTED_VALUE"""),"António Guterres")</f>
        <v>António Guterres</v>
      </c>
      <c r="D32" s="4" t="str">
        <f>IFERROR(__xludf.DUMMYFUNCTION("""COMPUTED_VALUE"""),"United Nations")</f>
        <v>United Nations</v>
      </c>
      <c r="E32" s="4" t="str">
        <f>IFERROR(__xludf.DUMMYFUNCTION("""COMPUTED_VALUE"""),"")</f>
        <v/>
      </c>
      <c r="F32" s="4" t="str">
        <f>IFERROR(__xludf.DUMMYFUNCTION("""COMPUTED_VALUE"""),"Web Summit 2018 | Speaker
Web Summit 2017 | Speaker")</f>
        <v>Web Summit 2018 | Speaker
Web Summit 2017 | Speaker</v>
      </c>
      <c r="G32" s="4" t="str">
        <f>IFERROR(__xludf.DUMMYFUNCTION("""COMPUTED_VALUE"""),"Web Summit 2018 | Speaker
Web Summit 2017 | Speaker")</f>
        <v>Web Summit 2018 | Speaker
Web Summit 2017 | Speaker</v>
      </c>
      <c r="H32" s="4" t="str">
        <f>IFERROR(__xludf.DUMMYFUNCTION("""COMPUTED_VALUE"""),"")</f>
        <v/>
      </c>
      <c r="I32" s="4" t="str">
        <f>IFERROR(__xludf.DUMMYFUNCTION("""COMPUTED_VALUE"""),"https://www.youtube.com/watch?v=0B0UdN5DpD0 , https://www.youtube.com/watch?v=5kJynnKNYLI&amp;list=PLxptNs2MLOjkTwMhAAgBIisGUstSaL-ul&amp;index=19")</f>
        <v>https://www.youtube.com/watch?v=0B0UdN5DpD0 , https://www.youtube.com/watch?v=5kJynnKNYLI&amp;list=PLxptNs2MLOjkTwMhAAgBIisGUstSaL-ul&amp;index=19</v>
      </c>
      <c r="J32" s="4" t="str">
        <f>IFERROR(__xludf.DUMMYFUNCTION("""COMPUTED_VALUE"""),"Gav")</f>
        <v>Gav</v>
      </c>
      <c r="K32" s="4" t="str">
        <f>IFERROR(__xludf.DUMMYFUNCTION("""COMPUTED_VALUE"""),"In")</f>
        <v>In</v>
      </c>
      <c r="L32" s="4" t="str">
        <f>IFERROR(__xludf.DUMMYFUNCTION("""COMPUTED_VALUE"""),"2018 video: Go from 3 seconds. After that perfect. 2017 video: Can hear constant shutter clicks of cameras, use 2018, better quality.")</f>
        <v>2018 video: Go from 3 seconds. After that perfect. 2017 video: Can hear constant shutter clicks of cameras, use 2018, better quality.</v>
      </c>
      <c r="M32" s="4" t="str">
        <f>IFERROR(__xludf.DUMMYFUNCTION("""COMPUTED_VALUE"""),"")</f>
        <v/>
      </c>
      <c r="N32" s="4" t="str">
        <f>IFERROR(__xludf.DUMMYFUNCTION("""COMPUTED_VALUE"""),"")</f>
        <v/>
      </c>
      <c r="O32" s="4" t="str">
        <f>IFERROR(__xludf.DUMMYFUNCTION("""COMPUTED_VALUE"""),"")</f>
        <v/>
      </c>
      <c r="P32" s="4" t="str">
        <f>IFERROR(__xludf.DUMMYFUNCTION("""COMPUTED_VALUE"""),"")</f>
        <v/>
      </c>
      <c r="Q32" s="4" t="str">
        <f>IFERROR(__xludf.DUMMYFUNCTION("""COMPUTED_VALUE"""),"")</f>
        <v/>
      </c>
      <c r="R32" s="4" t="str">
        <f>IFERROR(__xludf.DUMMYFUNCTION("""COMPUTED_VALUE"""),"")</f>
        <v/>
      </c>
      <c r="S32" s="4" t="str">
        <f>IFERROR(__xludf.DUMMYFUNCTION("""COMPUTED_VALUE"""),"")</f>
        <v/>
      </c>
      <c r="T32" s="4" t="str">
        <f>IFERROR(__xludf.DUMMYFUNCTION("""COMPUTED_VALUE"""),"")</f>
        <v/>
      </c>
      <c r="U32" s="21" t="str">
        <f>IFERROR(__xludf.DUMMYFUNCTION("""COMPUTED_VALUE"""),"https://drive.google.com/open?id=1qNQcFr3bnEFK2knaNgRuF1xGnmII9a0B")</f>
        <v>https://drive.google.com/open?id=1qNQcFr3bnEFK2knaNgRuF1xGnmII9a0B</v>
      </c>
    </row>
    <row r="33">
      <c r="A33" s="4">
        <f>IFERROR(__xludf.DUMMYFUNCTION("""COMPUTED_VALUE"""),32.0)</f>
        <v>32</v>
      </c>
      <c r="B33" s="4" t="str">
        <f>IFERROR(__xludf.DUMMYFUNCTION("""COMPUTED_VALUE"""),"John Collison, Stripe")</f>
        <v>John Collison, Stripe</v>
      </c>
      <c r="C33" s="4" t="str">
        <f>IFERROR(__xludf.DUMMYFUNCTION("""COMPUTED_VALUE"""),"John Collison")</f>
        <v>John Collison</v>
      </c>
      <c r="D33" s="4" t="str">
        <f>IFERROR(__xludf.DUMMYFUNCTION("""COMPUTED_VALUE"""),"Stripe")</f>
        <v>Stripe</v>
      </c>
      <c r="E33" s="4" t="str">
        <f>IFERROR(__xludf.DUMMYFUNCTION("""COMPUTED_VALUE"""),"")</f>
        <v/>
      </c>
      <c r="F33" s="4" t="str">
        <f>IFERROR(__xludf.DUMMYFUNCTION("""COMPUTED_VALUE"""),"RISE 2017 | Speaker
Web Summit 2015 | Speaker
RISE 2015 | Speaker
MoneyConf 2015 | Speaker
Collision 2015 | Speaker
Web Summit 2014 | Speaker")</f>
        <v>RISE 2017 | Speaker
Web Summit 2015 | Speaker
RISE 2015 | Speaker
MoneyConf 2015 | Speaker
Collision 2015 | Speaker
Web Summit 2014 | Speaker</v>
      </c>
      <c r="G33" s="4" t="str">
        <f>IFERROR(__xludf.DUMMYFUNCTION("""COMPUTED_VALUE"""),"RISE 2017 | Speaker
Web Summit 2015 | Speaker
RISE 2015 | Speaker
Converge 2015 (Hong Kong) | Founder
MoneyConf 2015 | Speaker
Collision 2015 | Speaker
F.ounders Dublin 2014 | Founder
Web Summit 2014 | Speaker")</f>
        <v>RISE 2017 | Speaker
Web Summit 2015 | Speaker
RISE 2015 | Speaker
Converge 2015 (Hong Kong) | Founder
MoneyConf 2015 | Speaker
Collision 2015 | Speaker
F.ounders Dublin 2014 | Founder
Web Summit 2014 | Speaker</v>
      </c>
      <c r="H33" s="4" t="str">
        <f>IFERROR(__xludf.DUMMYFUNCTION("""COMPUTED_VALUE"""),"RISE video")</f>
        <v>RISE video</v>
      </c>
      <c r="I33" s="4" t="str">
        <f>IFERROR(__xludf.DUMMYFUNCTION("""COMPUTED_VALUE"""),"https://www.youtube.com/watch?v=nV1tQ1wc41g ,
https://www.youtube.com/watch?v=hpoiGg-NFR8,
https://www.youtube.com/watch?v=MvS_n5n2liw")</f>
        <v>https://www.youtube.com/watch?v=nV1tQ1wc41g ,
https://www.youtube.com/watch?v=hpoiGg-NFR8,
https://www.youtube.com/watch?v=MvS_n5n2liw</v>
      </c>
      <c r="J33" s="4" t="str">
        <f>IFERROR(__xludf.DUMMYFUNCTION("""COMPUTED_VALUE"""),"Hugh")</f>
        <v>Hugh</v>
      </c>
      <c r="K33" s="4" t="str">
        <f>IFERROR(__xludf.DUMMYFUNCTION("""COMPUTED_VALUE"""),"In")</f>
        <v>In</v>
      </c>
      <c r="L33" s="4" t="str">
        <f>IFERROR(__xludf.DUMMYFUNCTION("""COMPUTED_VALUE"""),"RISE video. No intro, sound for first 15 seconds is strange. Ends pretty abruptly at the end")</f>
        <v>RISE video. No intro, sound for first 15 seconds is strange. Ends pretty abruptly at the end</v>
      </c>
      <c r="M33" s="4" t="str">
        <f>IFERROR(__xludf.DUMMYFUNCTION("""COMPUTED_VALUE"""),"")</f>
        <v/>
      </c>
      <c r="N33" s="4" t="str">
        <f>IFERROR(__xludf.DUMMYFUNCTION("""COMPUTED_VALUE"""),"")</f>
        <v/>
      </c>
      <c r="O33" s="4" t="str">
        <f>IFERROR(__xludf.DUMMYFUNCTION("""COMPUTED_VALUE"""),"")</f>
        <v/>
      </c>
      <c r="P33" s="4" t="str">
        <f>IFERROR(__xludf.DUMMYFUNCTION("""COMPUTED_VALUE"""),"")</f>
        <v/>
      </c>
      <c r="Q33" s="4" t="str">
        <f>IFERROR(__xludf.DUMMYFUNCTION("""COMPUTED_VALUE"""),"")</f>
        <v/>
      </c>
      <c r="R33" s="4" t="str">
        <f>IFERROR(__xludf.DUMMYFUNCTION("""COMPUTED_VALUE"""),"")</f>
        <v/>
      </c>
      <c r="S33" s="4" t="str">
        <f>IFERROR(__xludf.DUMMYFUNCTION("""COMPUTED_VALUE"""),"")</f>
        <v/>
      </c>
      <c r="T33" s="4" t="str">
        <f>IFERROR(__xludf.DUMMYFUNCTION("""COMPUTED_VALUE"""),"")</f>
        <v/>
      </c>
      <c r="U33" s="21" t="str">
        <f>IFERROR(__xludf.DUMMYFUNCTION("""COMPUTED_VALUE"""),"https://drive.google.com/open?id=1AngebQQAfhpDc8uEVkEtU2kHmX18B-TB")</f>
        <v>https://drive.google.com/open?id=1AngebQQAfhpDc8uEVkEtU2kHmX18B-TB</v>
      </c>
    </row>
    <row r="34">
      <c r="A34" s="4">
        <f>IFERROR(__xludf.DUMMYFUNCTION("""COMPUTED_VALUE"""),33.0)</f>
        <v>33</v>
      </c>
      <c r="B34" s="4" t="str">
        <f>IFERROR(__xludf.DUMMYFUNCTION("""COMPUTED_VALUE"""),"Stephanie McMahon, WWE")</f>
        <v>Stephanie McMahon, WWE</v>
      </c>
      <c r="C34" s="4" t="str">
        <f>IFERROR(__xludf.DUMMYFUNCTION("""COMPUTED_VALUE"""),"Stephanie McMahon")</f>
        <v>Stephanie McMahon</v>
      </c>
      <c r="D34" s="4" t="str">
        <f>IFERROR(__xludf.DUMMYFUNCTION("""COMPUTED_VALUE"""),"WWE")</f>
        <v>WWE</v>
      </c>
      <c r="E34" s="4" t="str">
        <f>IFERROR(__xludf.DUMMYFUNCTION("""COMPUTED_VALUE"""),"")</f>
        <v/>
      </c>
      <c r="F34" s="4" t="str">
        <f>IFERROR(__xludf.DUMMYFUNCTION("""COMPUTED_VALUE"""),"Web Summit 2018 | Speaker")</f>
        <v>Web Summit 2018 | Speaker</v>
      </c>
      <c r="G34" s="4" t="str">
        <f>IFERROR(__xludf.DUMMYFUNCTION("""COMPUTED_VALUE"""),"Web Summit 2018 | Speaker")</f>
        <v>Web Summit 2018 | Speaker</v>
      </c>
      <c r="H34" s="4" t="str">
        <f>IFERROR(__xludf.DUMMYFUNCTION("""COMPUTED_VALUE"""),"")</f>
        <v/>
      </c>
      <c r="I34" s="21" t="str">
        <f>IFERROR(__xludf.DUMMYFUNCTION("""COMPUTED_VALUE"""),"https://www.youtube.com/watch?v=wwuYk4M06dc")</f>
        <v>https://www.youtube.com/watch?v=wwuYk4M06dc</v>
      </c>
      <c r="J34" s="4" t="str">
        <f>IFERROR(__xludf.DUMMYFUNCTION("""COMPUTED_VALUE"""),"Dan")</f>
        <v>Dan</v>
      </c>
      <c r="K34" s="4" t="str">
        <f>IFERROR(__xludf.DUMMYFUNCTION("""COMPUTED_VALUE"""),"In")</f>
        <v>In</v>
      </c>
      <c r="L34" s="4" t="str">
        <f>IFERROR(__xludf.DUMMYFUNCTION("""COMPUTED_VALUE"""),"Video shown at 1:15-3:03 is slightly laggy.")</f>
        <v>Video shown at 1:15-3:03 is slightly laggy.</v>
      </c>
      <c r="M34" s="4" t="str">
        <f>IFERROR(__xludf.DUMMYFUNCTION("""COMPUTED_VALUE"""),"")</f>
        <v/>
      </c>
      <c r="N34" s="4" t="str">
        <f>IFERROR(__xludf.DUMMYFUNCTION("""COMPUTED_VALUE"""),"")</f>
        <v/>
      </c>
      <c r="O34" s="4" t="str">
        <f>IFERROR(__xludf.DUMMYFUNCTION("""COMPUTED_VALUE"""),"")</f>
        <v/>
      </c>
      <c r="P34" s="4" t="str">
        <f>IFERROR(__xludf.DUMMYFUNCTION("""COMPUTED_VALUE"""),"")</f>
        <v/>
      </c>
      <c r="Q34" s="4" t="str">
        <f>IFERROR(__xludf.DUMMYFUNCTION("""COMPUTED_VALUE"""),"")</f>
        <v/>
      </c>
      <c r="R34" s="4" t="str">
        <f>IFERROR(__xludf.DUMMYFUNCTION("""COMPUTED_VALUE"""),"")</f>
        <v/>
      </c>
      <c r="S34" s="4" t="str">
        <f>IFERROR(__xludf.DUMMYFUNCTION("""COMPUTED_VALUE"""),"")</f>
        <v/>
      </c>
      <c r="T34" s="4" t="str">
        <f>IFERROR(__xludf.DUMMYFUNCTION("""COMPUTED_VALUE"""),"")</f>
        <v/>
      </c>
      <c r="U34" s="21" t="str">
        <f>IFERROR(__xludf.DUMMYFUNCTION("""COMPUTED_VALUE"""),"https://drive.google.com/open?id=1AQ7zTFJVFASUQ0RFeauq_4d0xxmfEOQe")</f>
        <v>https://drive.google.com/open?id=1AQ7zTFJVFASUQ0RFeauq_4d0xxmfEOQe</v>
      </c>
    </row>
    <row r="35">
      <c r="A35" s="4">
        <f>IFERROR(__xludf.DUMMYFUNCTION("""COMPUTED_VALUE"""),34.0)</f>
        <v>34</v>
      </c>
      <c r="B35" s="4" t="str">
        <f>IFERROR(__xludf.DUMMYFUNCTION("""COMPUTED_VALUE"""),"Drew Houston, Dropbox")</f>
        <v>Drew Houston, Dropbox</v>
      </c>
      <c r="C35" s="4" t="str">
        <f>IFERROR(__xludf.DUMMYFUNCTION("""COMPUTED_VALUE"""),"Drew Houston")</f>
        <v>Drew Houston</v>
      </c>
      <c r="D35" s="4" t="str">
        <f>IFERROR(__xludf.DUMMYFUNCTION("""COMPUTED_VALUE"""),"Dropbox ")</f>
        <v>Dropbox </v>
      </c>
      <c r="E35" s="4" t="str">
        <f>IFERROR(__xludf.DUMMYFUNCTION("""COMPUTED_VALUE"""),"")</f>
        <v/>
      </c>
      <c r="F35" s="4" t="str">
        <f>IFERROR(__xludf.DUMMYFUNCTION("""COMPUTED_VALUE"""),"Web Summit 2014 | Speaker")</f>
        <v>Web Summit 2014 | Speaker</v>
      </c>
      <c r="G35" s="4" t="str">
        <f>IFERROR(__xludf.DUMMYFUNCTION("""COMPUTED_VALUE"""),"Enterprise X 2014 | Speaker
Web Summit 2014 | Speaker
F.ounders Dublin 2013 | Founder")</f>
        <v>Enterprise X 2014 | Speaker
Web Summit 2014 | Speaker
F.ounders Dublin 2013 | Founder</v>
      </c>
      <c r="H35" s="4" t="str">
        <f>IFERROR(__xludf.DUMMYFUNCTION("""COMPUTED_VALUE"""),"")</f>
        <v/>
      </c>
      <c r="I35" s="21" t="str">
        <f>IFERROR(__xludf.DUMMYFUNCTION("""COMPUTED_VALUE"""),"https://www.youtube.com/watch?v=Hak7KCoUqTg")</f>
        <v>https://www.youtube.com/watch?v=Hak7KCoUqTg</v>
      </c>
      <c r="J35" s="4" t="str">
        <f>IFERROR(__xludf.DUMMYFUNCTION("""COMPUTED_VALUE"""),"Helen")</f>
        <v>Helen</v>
      </c>
      <c r="K35" s="4" t="str">
        <f>IFERROR(__xludf.DUMMYFUNCTION("""COMPUTED_VALUE"""),"In")</f>
        <v>In</v>
      </c>
      <c r="L35" s="4" t="str">
        <f>IFERROR(__xludf.DUMMYFUNCTION("""COMPUTED_VALUE"""),"All good")</f>
        <v>All good</v>
      </c>
      <c r="M35" s="4" t="str">
        <f>IFERROR(__xludf.DUMMYFUNCTION("""COMPUTED_VALUE"""),"")</f>
        <v/>
      </c>
      <c r="N35" s="4" t="str">
        <f>IFERROR(__xludf.DUMMYFUNCTION("""COMPUTED_VALUE"""),"")</f>
        <v/>
      </c>
      <c r="O35" s="4" t="str">
        <f>IFERROR(__xludf.DUMMYFUNCTION("""COMPUTED_VALUE"""),"")</f>
        <v/>
      </c>
      <c r="P35" s="4" t="str">
        <f>IFERROR(__xludf.DUMMYFUNCTION("""COMPUTED_VALUE"""),"")</f>
        <v/>
      </c>
      <c r="Q35" s="4" t="str">
        <f>IFERROR(__xludf.DUMMYFUNCTION("""COMPUTED_VALUE"""),"")</f>
        <v/>
      </c>
      <c r="R35" s="4" t="str">
        <f>IFERROR(__xludf.DUMMYFUNCTION("""COMPUTED_VALUE"""),"")</f>
        <v/>
      </c>
      <c r="S35" s="4" t="str">
        <f>IFERROR(__xludf.DUMMYFUNCTION("""COMPUTED_VALUE"""),"")</f>
        <v/>
      </c>
      <c r="T35" s="4" t="str">
        <f>IFERROR(__xludf.DUMMYFUNCTION("""COMPUTED_VALUE"""),"")</f>
        <v/>
      </c>
      <c r="U35" s="21" t="str">
        <f>IFERROR(__xludf.DUMMYFUNCTION("""COMPUTED_VALUE"""),"https://drive.google.com/open?id=1bB7y1CWluZ7VCXMIpBro0F0QFZL8doSG")</f>
        <v>https://drive.google.com/open?id=1bB7y1CWluZ7VCXMIpBro0F0QFZL8doSG</v>
      </c>
    </row>
    <row r="36">
      <c r="A36" s="4">
        <f>IFERROR(__xludf.DUMMYFUNCTION("""COMPUTED_VALUE"""),35.0)</f>
        <v>35</v>
      </c>
      <c r="B36" s="4" t="str">
        <f>IFERROR(__xludf.DUMMYFUNCTION("""COMPUTED_VALUE"""),"Guo Ping, Huawei")</f>
        <v>Guo Ping, Huawei</v>
      </c>
      <c r="C36" s="4" t="str">
        <f>IFERROR(__xludf.DUMMYFUNCTION("""COMPUTED_VALUE"""),"Guo Ping")</f>
        <v>Guo Ping</v>
      </c>
      <c r="D36" s="4" t="str">
        <f>IFERROR(__xludf.DUMMYFUNCTION("""COMPUTED_VALUE"""),"Huawei")</f>
        <v>Huawei</v>
      </c>
      <c r="E36" s="4" t="str">
        <f>IFERROR(__xludf.DUMMYFUNCTION("""COMPUTED_VALUE"""),"")</f>
        <v/>
      </c>
      <c r="F36" s="4" t="str">
        <f>IFERROR(__xludf.DUMMYFUNCTION("""COMPUTED_VALUE"""),"Web Summit 2019 | Speaker")</f>
        <v>Web Summit 2019 | Speaker</v>
      </c>
      <c r="G36" s="4" t="str">
        <f>IFERROR(__xludf.DUMMYFUNCTION("""COMPUTED_VALUE"""),"Web Summit 2019 | Speaker")</f>
        <v>Web Summit 2019 | Speaker</v>
      </c>
      <c r="H36" s="4" t="str">
        <f>IFERROR(__xludf.DUMMYFUNCTION("""COMPUTED_VALUE"""),"")</f>
        <v/>
      </c>
      <c r="I36" s="21" t="str">
        <f>IFERROR(__xludf.DUMMYFUNCTION("""COMPUTED_VALUE"""),"https://www.youtube.com/watch?v=w5NF6VNsWR8 ")</f>
        <v>https://www.youtube.com/watch?v=w5NF6VNsWR8 </v>
      </c>
      <c r="J36" s="4" t="str">
        <f>IFERROR(__xludf.DUMMYFUNCTION("""COMPUTED_VALUE"""),"Helen")</f>
        <v>Helen</v>
      </c>
      <c r="K36" s="4" t="str">
        <f>IFERROR(__xludf.DUMMYFUNCTION("""COMPUTED_VALUE"""),"In")</f>
        <v>In</v>
      </c>
      <c r="L36" s="4" t="str">
        <f>IFERROR(__xludf.DUMMYFUNCTION("""COMPUTED_VALUE"""),"First 00:15 seconds are motion loop and people taking their seats.")</f>
        <v>First 00:15 seconds are motion loop and people taking their seats.</v>
      </c>
      <c r="M36" s="4" t="str">
        <f>IFERROR(__xludf.DUMMYFUNCTION("""COMPUTED_VALUE"""),"")</f>
        <v/>
      </c>
      <c r="N36" s="4" t="str">
        <f>IFERROR(__xludf.DUMMYFUNCTION("""COMPUTED_VALUE"""),"")</f>
        <v/>
      </c>
      <c r="O36" s="4" t="str">
        <f>IFERROR(__xludf.DUMMYFUNCTION("""COMPUTED_VALUE"""),"")</f>
        <v/>
      </c>
      <c r="P36" s="4" t="str">
        <f>IFERROR(__xludf.DUMMYFUNCTION("""COMPUTED_VALUE"""),"")</f>
        <v/>
      </c>
      <c r="Q36" s="4" t="str">
        <f>IFERROR(__xludf.DUMMYFUNCTION("""COMPUTED_VALUE"""),"")</f>
        <v/>
      </c>
      <c r="R36" s="4" t="str">
        <f>IFERROR(__xludf.DUMMYFUNCTION("""COMPUTED_VALUE"""),"")</f>
        <v/>
      </c>
      <c r="S36" s="4" t="str">
        <f>IFERROR(__xludf.DUMMYFUNCTION("""COMPUTED_VALUE"""),"")</f>
        <v/>
      </c>
      <c r="T36" s="4" t="str">
        <f>IFERROR(__xludf.DUMMYFUNCTION("""COMPUTED_VALUE"""),"")</f>
        <v/>
      </c>
      <c r="U36" s="21" t="str">
        <f>IFERROR(__xludf.DUMMYFUNCTION("""COMPUTED_VALUE"""),"https://ws19-processed-videos.s3-eu-west-1.amazonaws.com/62e2e333-7dd6-45e3-9fda-60e06af8d01b_5GX_Creating_a_new_era.mp4")</f>
        <v>https://ws19-processed-videos.s3-eu-west-1.amazonaws.com/62e2e333-7dd6-45e3-9fda-60e06af8d01b_5GX_Creating_a_new_era.mp4</v>
      </c>
    </row>
    <row r="37">
      <c r="A37" s="4">
        <f>IFERROR(__xludf.DUMMYFUNCTION("""COMPUTED_VALUE"""),36.0)</f>
        <v>36</v>
      </c>
      <c r="B37" s="4" t="str">
        <f>IFERROR(__xludf.DUMMYFUNCTION("""COMPUTED_VALUE"""),"Padmasree Warrior, NIO")</f>
        <v>Padmasree Warrior, NIO</v>
      </c>
      <c r="C37" s="4" t="str">
        <f>IFERROR(__xludf.DUMMYFUNCTION("""COMPUTED_VALUE"""),"Padmasree Warrior ")</f>
        <v>Padmasree Warrior </v>
      </c>
      <c r="D37" s="4" t="str">
        <f>IFERROR(__xludf.DUMMYFUNCTION("""COMPUTED_VALUE"""),"NIO")</f>
        <v>NIO</v>
      </c>
      <c r="E37" s="4" t="str">
        <f>IFERROR(__xludf.DUMMYFUNCTION("""COMPUTED_VALUE"""),"")</f>
        <v/>
      </c>
      <c r="F37" s="4" t="str">
        <f>IFERROR(__xludf.DUMMYFUNCTION("""COMPUTED_VALUE"""),"Web Summit 2014 | Speaker")</f>
        <v>Web Summit 2014 | Speaker</v>
      </c>
      <c r="G37" s="4" t="str">
        <f>IFERROR(__xludf.DUMMYFUNCTION("""COMPUTED_VALUE"""),"Enterprise 150 // Web Summit 2016 | Ambassador
Enterprise X 2014 | Speaker
Gadget X 2014 | Speaker
F.ounders Dublin 2014 | Speaker
Web Summit 2014 | Speaker
F.ounders Dublin 2013 | Founder")</f>
        <v>Enterprise 150 // Web Summit 2016 | Ambassador
Enterprise X 2014 | Speaker
Gadget X 2014 | Speaker
F.ounders Dublin 2014 | Speaker
Web Summit 2014 | Speaker
F.ounders Dublin 2013 | Founder</v>
      </c>
      <c r="H37" s="4" t="str">
        <f>IFERROR(__xludf.DUMMYFUNCTION("""COMPUTED_VALUE"""),"")</f>
        <v/>
      </c>
      <c r="I37" s="21" t="str">
        <f>IFERROR(__xludf.DUMMYFUNCTION("""COMPUTED_VALUE"""),"https://www.youtube.com/watch?v=vxmhCWcaFe4")</f>
        <v>https://www.youtube.com/watch?v=vxmhCWcaFe4</v>
      </c>
      <c r="J37" s="4" t="str">
        <f>IFERROR(__xludf.DUMMYFUNCTION("""COMPUTED_VALUE"""),"Dan")</f>
        <v>Dan</v>
      </c>
      <c r="K37" s="4" t="str">
        <f>IFERROR(__xludf.DUMMYFUNCTION("""COMPUTED_VALUE"""),"In")</f>
        <v>In</v>
      </c>
      <c r="L37" s="4" t="str">
        <f>IFERROR(__xludf.DUMMYFUNCTION("""COMPUTED_VALUE"""),"All good")</f>
        <v>All good</v>
      </c>
      <c r="M37" s="4" t="str">
        <f>IFERROR(__xludf.DUMMYFUNCTION("""COMPUTED_VALUE"""),"")</f>
        <v/>
      </c>
      <c r="N37" s="4" t="str">
        <f>IFERROR(__xludf.DUMMYFUNCTION("""COMPUTED_VALUE"""),"")</f>
        <v/>
      </c>
      <c r="O37" s="4" t="str">
        <f>IFERROR(__xludf.DUMMYFUNCTION("""COMPUTED_VALUE"""),"")</f>
        <v/>
      </c>
      <c r="P37" s="4" t="str">
        <f>IFERROR(__xludf.DUMMYFUNCTION("""COMPUTED_VALUE"""),"")</f>
        <v/>
      </c>
      <c r="Q37" s="4" t="str">
        <f>IFERROR(__xludf.DUMMYFUNCTION("""COMPUTED_VALUE"""),"")</f>
        <v/>
      </c>
      <c r="R37" s="4" t="str">
        <f>IFERROR(__xludf.DUMMYFUNCTION("""COMPUTED_VALUE"""),"")</f>
        <v/>
      </c>
      <c r="S37" s="4" t="str">
        <f>IFERROR(__xludf.DUMMYFUNCTION("""COMPUTED_VALUE"""),"")</f>
        <v/>
      </c>
      <c r="T37" s="4" t="str">
        <f>IFERROR(__xludf.DUMMYFUNCTION("""COMPUTED_VALUE"""),"")</f>
        <v/>
      </c>
      <c r="U37" s="21" t="str">
        <f>IFERROR(__xludf.DUMMYFUNCTION("""COMPUTED_VALUE"""),"https://drive.google.com/open?id=1kMvhcYIVEQGfNuSxzV5_eneKezyVYO7L")</f>
        <v>https://drive.google.com/open?id=1kMvhcYIVEQGfNuSxzV5_eneKezyVYO7L</v>
      </c>
    </row>
    <row r="38">
      <c r="A38" s="4">
        <f>IFERROR(__xludf.DUMMYFUNCTION("""COMPUTED_VALUE"""),37.0)</f>
        <v>37</v>
      </c>
      <c r="B38" s="4" t="str">
        <f>IFERROR(__xludf.DUMMYFUNCTION("""COMPUTED_VALUE"""),"Bill Clay Ford, Ford")</f>
        <v>Bill Clay Ford, Ford</v>
      </c>
      <c r="C38" s="4" t="str">
        <f>IFERROR(__xludf.DUMMYFUNCTION("""COMPUTED_VALUE"""),"Bill Clay Ford")</f>
        <v>Bill Clay Ford</v>
      </c>
      <c r="D38" s="4" t="str">
        <f>IFERROR(__xludf.DUMMYFUNCTION("""COMPUTED_VALUE"""),"Ford")</f>
        <v>Ford</v>
      </c>
      <c r="E38" s="4" t="str">
        <f>IFERROR(__xludf.DUMMYFUNCTION("""COMPUTED_VALUE"""),"")</f>
        <v/>
      </c>
      <c r="F38" s="4" t="str">
        <f>IFERROR(__xludf.DUMMYFUNCTION("""COMPUTED_VALUE"""),"Web Summit 2015 | Speaker")</f>
        <v>Web Summit 2015 | Speaker</v>
      </c>
      <c r="G38" s="4" t="str">
        <f>IFERROR(__xludf.DUMMYFUNCTION("""COMPUTED_VALUE"""),"Web Summit 2015 | Speaker")</f>
        <v>Web Summit 2015 | Speaker</v>
      </c>
      <c r="H38" s="4" t="str">
        <f>IFERROR(__xludf.DUMMYFUNCTION("""COMPUTED_VALUE"""),"")</f>
        <v/>
      </c>
      <c r="I38" s="21" t="str">
        <f>IFERROR(__xludf.DUMMYFUNCTION("""COMPUTED_VALUE"""),"https://www.youtube.com/watch?v=UN2fzK7Bg-Q")</f>
        <v>https://www.youtube.com/watch?v=UN2fzK7Bg-Q</v>
      </c>
      <c r="J38" s="4" t="str">
        <f>IFERROR(__xludf.DUMMYFUNCTION("""COMPUTED_VALUE"""),"Helen")</f>
        <v>Helen</v>
      </c>
      <c r="K38" s="4" t="str">
        <f>IFERROR(__xludf.DUMMYFUNCTION("""COMPUTED_VALUE"""),"In")</f>
        <v>In</v>
      </c>
      <c r="L38" s="4" t="str">
        <f>IFERROR(__xludf.DUMMYFUNCTION("""COMPUTED_VALUE"""),"Music playing over the moderator's first few lines, until 00:12")</f>
        <v>Music playing over the moderator's first few lines, until 00:12</v>
      </c>
      <c r="M38" s="4" t="str">
        <f>IFERROR(__xludf.DUMMYFUNCTION("""COMPUTED_VALUE"""),"")</f>
        <v/>
      </c>
      <c r="N38" s="4" t="str">
        <f>IFERROR(__xludf.DUMMYFUNCTION("""COMPUTED_VALUE"""),"")</f>
        <v/>
      </c>
      <c r="O38" s="4" t="str">
        <f>IFERROR(__xludf.DUMMYFUNCTION("""COMPUTED_VALUE"""),"")</f>
        <v/>
      </c>
      <c r="P38" s="4" t="str">
        <f>IFERROR(__xludf.DUMMYFUNCTION("""COMPUTED_VALUE"""),"")</f>
        <v/>
      </c>
      <c r="Q38" s="4" t="str">
        <f>IFERROR(__xludf.DUMMYFUNCTION("""COMPUTED_VALUE"""),"")</f>
        <v/>
      </c>
      <c r="R38" s="4" t="str">
        <f>IFERROR(__xludf.DUMMYFUNCTION("""COMPUTED_VALUE"""),"")</f>
        <v/>
      </c>
      <c r="S38" s="4" t="str">
        <f>IFERROR(__xludf.DUMMYFUNCTION("""COMPUTED_VALUE"""),"")</f>
        <v/>
      </c>
      <c r="T38" s="4" t="str">
        <f>IFERROR(__xludf.DUMMYFUNCTION("""COMPUTED_VALUE"""),"")</f>
        <v/>
      </c>
      <c r="U38" s="21" t="str">
        <f>IFERROR(__xludf.DUMMYFUNCTION("""COMPUTED_VALUE"""),"https://drive.google.com/open?id=1c8JnYmVGAi_9WRTtruRBWXNfhcanuOmO")</f>
        <v>https://drive.google.com/open?id=1c8JnYmVGAi_9WRTtruRBWXNfhcanuOmO</v>
      </c>
    </row>
    <row r="39">
      <c r="A39" s="4">
        <f>IFERROR(__xludf.DUMMYFUNCTION("""COMPUTED_VALUE"""),38.0)</f>
        <v>38</v>
      </c>
      <c r="B39" s="4" t="str">
        <f>IFERROR(__xludf.DUMMYFUNCTION("""COMPUTED_VALUE"""),"Ev Williams, Medium")</f>
        <v>Ev Williams, Medium</v>
      </c>
      <c r="C39" s="4" t="str">
        <f>IFERROR(__xludf.DUMMYFUNCTION("""COMPUTED_VALUE"""),"Ev Williams")</f>
        <v>Ev Williams</v>
      </c>
      <c r="D39" s="4" t="str">
        <f>IFERROR(__xludf.DUMMYFUNCTION("""COMPUTED_VALUE"""),"Medium")</f>
        <v>Medium</v>
      </c>
      <c r="E39" s="4" t="str">
        <f>IFERROR(__xludf.DUMMYFUNCTION("""COMPUTED_VALUE"""),"Kara Swisher, Recode")</f>
        <v>Kara Swisher, Recode</v>
      </c>
      <c r="F39" s="4" t="str">
        <f>IFERROR(__xludf.DUMMYFUNCTION("""COMPUTED_VALUE"""),"Collision 2019 | Speaker
Web Summit 2018 | Speaker &amp; Founder")</f>
        <v>Collision 2019 | Speaker
Web Summit 2018 | Speaker &amp; Founder</v>
      </c>
      <c r="G39" s="4" t="str">
        <f>IFERROR(__xludf.DUMMYFUNCTION("""COMPUTED_VALUE"""),"Collision 2019 | Speaker
f.ounders Lisbon 2018 | Speaker &amp; Founder
Web Summit 2018 | Speaker &amp; Founder")</f>
        <v>Collision 2019 | Speaker
f.ounders Lisbon 2018 | Speaker &amp; Founder
Web Summit 2018 | Speaker &amp; Founder</v>
      </c>
      <c r="H39" s="4" t="str">
        <f>IFERROR(__xludf.DUMMYFUNCTION("""COMPUTED_VALUE"""),"")</f>
        <v/>
      </c>
      <c r="I39" s="4" t="str">
        <f>IFERROR(__xludf.DUMMYFUNCTION("""COMPUTED_VALUE"""),"https://www.youtube.com/watch?v=aMDLMXdIYbY; 
https://www.youtube.com/watch?v=cLjdSr48bj0")</f>
        <v>https://www.youtube.com/watch?v=aMDLMXdIYbY; 
https://www.youtube.com/watch?v=cLjdSr48bj0</v>
      </c>
      <c r="J39" s="4" t="str">
        <f>IFERROR(__xludf.DUMMYFUNCTION("""COMPUTED_VALUE"""),"Stephen")</f>
        <v>Stephen</v>
      </c>
      <c r="K39" s="4" t="str">
        <f>IFERROR(__xludf.DUMMYFUNCTION("""COMPUTED_VALUE"""),"In")</f>
        <v>In</v>
      </c>
      <c r="L39" s="4" t="str">
        <f>IFERROR(__xludf.DUMMYFUNCTION("""COMPUTED_VALUE"""),"Going with bottom link - Collision talk with Kara Swisher. 
Collision motion graphic 00:00 - 00:03, Samil making intro 00:03 - 00:40, Collision graphic at 00:45, Kara and Ev walking on stage and Kara making reference to fire 00:46 - 00:56. I think you co"&amp;"uld start the talk at 00:56 or thereabouts and cut all before that""
Motion graphic at 23:53")</f>
        <v>Going with bottom link - Collision talk with Kara Swisher. 
Collision motion graphic 00:00 - 00:03, Samil making intro 00:03 - 00:40, Collision graphic at 00:45, Kara and Ev walking on stage and Kara making reference to fire 00:46 - 00:56. I think you could start the talk at 00:56 or thereabouts and cut all before that"
Motion graphic at 23:53</v>
      </c>
      <c r="M39" s="4" t="str">
        <f>IFERROR(__xludf.DUMMYFUNCTION("""COMPUTED_VALUE"""),"00:00 - 00:03 (optional to cut to about 00:58)
23:53 - 23:58 ")</f>
        <v>00:00 - 00:03 (optional to cut to about 00:58)
23:53 - 23:58 </v>
      </c>
      <c r="N39" s="4" t="str">
        <f>IFERROR(__xludf.DUMMYFUNCTION("""COMPUTED_VALUE"""),"")</f>
        <v/>
      </c>
      <c r="O39" s="4" t="str">
        <f>IFERROR(__xludf.DUMMYFUNCTION("""COMPUTED_VALUE"""),"")</f>
        <v/>
      </c>
      <c r="P39" s="4" t="str">
        <f>IFERROR(__xludf.DUMMYFUNCTION("""COMPUTED_VALUE"""),"")</f>
        <v/>
      </c>
      <c r="Q39" s="4" t="str">
        <f>IFERROR(__xludf.DUMMYFUNCTION("""COMPUTED_VALUE"""),"")</f>
        <v/>
      </c>
      <c r="R39" s="4" t="str">
        <f>IFERROR(__xludf.DUMMYFUNCTION("""COMPUTED_VALUE"""),"")</f>
        <v/>
      </c>
      <c r="S39" s="4" t="str">
        <f>IFERROR(__xludf.DUMMYFUNCTION("""COMPUTED_VALUE"""),"")</f>
        <v/>
      </c>
      <c r="T39" s="4" t="str">
        <f>IFERROR(__xludf.DUMMYFUNCTION("""COMPUTED_VALUE"""),"")</f>
        <v/>
      </c>
      <c r="U39" s="21" t="str">
        <f>IFERROR(__xludf.DUMMYFUNCTION("""COMPUTED_VALUE"""),"https://ws18-videos.s3-eu-west-1.amazonaws.com/unprocessed/51594a59-ce6a-4449-84d6-67ca2c9173ab_Can_we_save_the_media_industry_from_itself.mp4")</f>
        <v>https://ws18-videos.s3-eu-west-1.amazonaws.com/unprocessed/51594a59-ce6a-4449-84d6-67ca2c9173ab_Can_we_save_the_media_industry_from_itself.mp4</v>
      </c>
    </row>
    <row r="40">
      <c r="A40" s="4">
        <f>IFERROR(__xludf.DUMMYFUNCTION("""COMPUTED_VALUE"""),39.0)</f>
        <v>39</v>
      </c>
      <c r="B40" s="4" t="str">
        <f>IFERROR(__xludf.DUMMYFUNCTION("""COMPUTED_VALUE"""),"Marc Raibert, Boston Dynamics")</f>
        <v>Marc Raibert, Boston Dynamics</v>
      </c>
      <c r="C40" s="4" t="str">
        <f>IFERROR(__xludf.DUMMYFUNCTION("""COMPUTED_VALUE"""),"Marc Raibert")</f>
        <v>Marc Raibert</v>
      </c>
      <c r="D40" s="4" t="str">
        <f>IFERROR(__xludf.DUMMYFUNCTION("""COMPUTED_VALUE"""),"Boston Dynamics")</f>
        <v>Boston Dynamics</v>
      </c>
      <c r="E40" s="4" t="str">
        <f>IFERROR(__xludf.DUMMYFUNCTION("""COMPUTED_VALUE"""),"")</f>
        <v/>
      </c>
      <c r="F40" s="4" t="str">
        <f>IFERROR(__xludf.DUMMYFUNCTION("""COMPUTED_VALUE"""),"Web Summit 2019 | Speaker")</f>
        <v>Web Summit 2019 | Speaker</v>
      </c>
      <c r="G40" s="4" t="str">
        <f>IFERROR(__xludf.DUMMYFUNCTION("""COMPUTED_VALUE"""),"f.ounders Lisbon 2019 | Speaker
Web Summit 2019 | Speaker")</f>
        <v>f.ounders Lisbon 2019 | Speaker
Web Summit 2019 | Speaker</v>
      </c>
      <c r="H40" s="4" t="str">
        <f>IFERROR(__xludf.DUMMYFUNCTION("""COMPUTED_VALUE"""),"")</f>
        <v/>
      </c>
      <c r="I40" s="21" t="str">
        <f>IFERROR(__xludf.DUMMYFUNCTION("""COMPUTED_VALUE"""),"https://vimeo.com/showcase/6551539/video/371653938")</f>
        <v>https://vimeo.com/showcase/6551539/video/371653938</v>
      </c>
      <c r="J40" s="4" t="str">
        <f>IFERROR(__xludf.DUMMYFUNCTION("""COMPUTED_VALUE"""),"Helen")</f>
        <v>Helen</v>
      </c>
      <c r="K40" s="4" t="str">
        <f>IFERROR(__xludf.DUMMYFUNCTION("""COMPUTED_VALUE"""),"")</f>
        <v/>
      </c>
      <c r="L40" s="4" t="str">
        <f>IFERROR(__xludf.DUMMYFUNCTION("""COMPUTED_VALUE"""),"")</f>
        <v/>
      </c>
      <c r="M40" s="4" t="str">
        <f>IFERROR(__xludf.DUMMYFUNCTION("""COMPUTED_VALUE"""),"")</f>
        <v/>
      </c>
      <c r="N40" s="4" t="str">
        <f>IFERROR(__xludf.DUMMYFUNCTION("""COMPUTED_VALUE"""),"")</f>
        <v/>
      </c>
      <c r="O40" s="4" t="str">
        <f>IFERROR(__xludf.DUMMYFUNCTION("""COMPUTED_VALUE"""),"")</f>
        <v/>
      </c>
      <c r="P40" s="4" t="str">
        <f>IFERROR(__xludf.DUMMYFUNCTION("""COMPUTED_VALUE"""),"")</f>
        <v/>
      </c>
      <c r="Q40" s="4" t="str">
        <f>IFERROR(__xludf.DUMMYFUNCTION("""COMPUTED_VALUE"""),"")</f>
        <v/>
      </c>
      <c r="R40" s="4" t="str">
        <f>IFERROR(__xludf.DUMMYFUNCTION("""COMPUTED_VALUE"""),"")</f>
        <v/>
      </c>
      <c r="S40" s="4" t="str">
        <f>IFERROR(__xludf.DUMMYFUNCTION("""COMPUTED_VALUE"""),"")</f>
        <v/>
      </c>
      <c r="T40" s="4" t="str">
        <f>IFERROR(__xludf.DUMMYFUNCTION("""COMPUTED_VALUE"""),"")</f>
        <v/>
      </c>
      <c r="U40" s="21" t="str">
        <f>IFERROR(__xludf.DUMMYFUNCTION("""COMPUTED_VALUE"""),"https://ws19-processed-videos.s3-eu-west-1.amazonaws.com/6c79a820-5adc-475a-b059-378cf1e5e7d0_Welcome_to_the_future_of_mobile_robots.mp4")</f>
        <v>https://ws19-processed-videos.s3-eu-west-1.amazonaws.com/6c79a820-5adc-475a-b059-378cf1e5e7d0_Welcome_to_the_future_of_mobile_robots.mp4</v>
      </c>
    </row>
    <row r="41">
      <c r="A41" s="4">
        <f>IFERROR(__xludf.DUMMYFUNCTION("""COMPUTED_VALUE"""),40.0)</f>
        <v>40</v>
      </c>
      <c r="B41" s="4" t="str">
        <f>IFERROR(__xludf.DUMMYFUNCTION("""COMPUTED_VALUE"""),"Tan Hooi Ling, Grab")</f>
        <v>Tan Hooi Ling, Grab</v>
      </c>
      <c r="C41" s="4" t="str">
        <f>IFERROR(__xludf.DUMMYFUNCTION("""COMPUTED_VALUE"""),"Tan Hooi Ling ")</f>
        <v>Tan Hooi Ling </v>
      </c>
      <c r="D41" s="4" t="str">
        <f>IFERROR(__xludf.DUMMYFUNCTION("""COMPUTED_VALUE"""),"Grab")</f>
        <v>Grab</v>
      </c>
      <c r="E41" s="4" t="str">
        <f>IFERROR(__xludf.DUMMYFUNCTION("""COMPUTED_VALUE"""),"Kara Swisher, Recode")</f>
        <v>Kara Swisher, Recode</v>
      </c>
      <c r="F41" s="4" t="str">
        <f>IFERROR(__xludf.DUMMYFUNCTION("""COMPUTED_VALUE"""),"RISE 2018 | Speaker
RISE 2016 | Speaker")</f>
        <v>RISE 2018 | Speaker
RISE 2016 | Speaker</v>
      </c>
      <c r="G41" s="4" t="str">
        <f>IFERROR(__xludf.DUMMYFUNCTION("""COMPUTED_VALUE"""),"RISE 2018 | Speaker
RISE 2016 | Speaker")</f>
        <v>RISE 2018 | Speaker
RISE 2016 | Speaker</v>
      </c>
      <c r="H41" s="4" t="str">
        <f>IFERROR(__xludf.DUMMYFUNCTION("""COMPUTED_VALUE"""),"")</f>
        <v/>
      </c>
      <c r="I41" s="21" t="str">
        <f>IFERROR(__xludf.DUMMYFUNCTION("""COMPUTED_VALUE"""),"https://www.youtube.com/watch?v=FpfmlMkQxFM&amp;t=17s")</f>
        <v>https://www.youtube.com/watch?v=FpfmlMkQxFM&amp;t=17s</v>
      </c>
      <c r="J41" s="4" t="str">
        <f>IFERROR(__xludf.DUMMYFUNCTION("""COMPUTED_VALUE"""),"Carol")</f>
        <v>Carol</v>
      </c>
      <c r="K41" s="4" t="str">
        <f>IFERROR(__xludf.DUMMYFUNCTION("""COMPUTED_VALUE"""),"")</f>
        <v/>
      </c>
      <c r="L41" s="4" t="str">
        <f>IFERROR(__xludf.DUMMYFUNCTION("""COMPUTED_VALUE"""),"4 sec motion loop; mic all good. might need to cover the ""up next"" broadcast form 24:38?")</f>
        <v>4 sec motion loop; mic all good. might need to cover the "up next" broadcast form 24:38?</v>
      </c>
      <c r="M41" s="4" t="str">
        <f>IFERROR(__xludf.DUMMYFUNCTION("""COMPUTED_VALUE"""),"")</f>
        <v/>
      </c>
      <c r="N41" s="4" t="str">
        <f>IFERROR(__xludf.DUMMYFUNCTION("""COMPUTED_VALUE"""),"")</f>
        <v/>
      </c>
      <c r="O41" s="4" t="str">
        <f>IFERROR(__xludf.DUMMYFUNCTION("""COMPUTED_VALUE"""),"")</f>
        <v/>
      </c>
      <c r="P41" s="4" t="str">
        <f>IFERROR(__xludf.DUMMYFUNCTION("""COMPUTED_VALUE"""),"")</f>
        <v/>
      </c>
      <c r="Q41" s="4" t="str">
        <f>IFERROR(__xludf.DUMMYFUNCTION("""COMPUTED_VALUE"""),"")</f>
        <v/>
      </c>
      <c r="R41" s="4" t="str">
        <f>IFERROR(__xludf.DUMMYFUNCTION("""COMPUTED_VALUE"""),"")</f>
        <v/>
      </c>
      <c r="S41" s="4" t="str">
        <f>IFERROR(__xludf.DUMMYFUNCTION("""COMPUTED_VALUE"""),"")</f>
        <v/>
      </c>
      <c r="T41" s="4" t="str">
        <f>IFERROR(__xludf.DUMMYFUNCTION("""COMPUTED_VALUE"""),"")</f>
        <v/>
      </c>
      <c r="U41" s="21" t="str">
        <f>IFERROR(__xludf.DUMMYFUNCTION("""COMPUTED_VALUE"""),"https://rise18-videos.s3-eu-west-1.amazonaws.com/e7a54d13-b665-4a7b-a670-66fbc34dd397_In_conversation_with_Grab.mp4")</f>
        <v>https://rise18-videos.s3-eu-west-1.amazonaws.com/e7a54d13-b665-4a7b-a670-66fbc34dd397_In_conversation_with_Grab.mp4</v>
      </c>
    </row>
    <row r="42">
      <c r="A42" s="4">
        <f>IFERROR(__xludf.DUMMYFUNCTION("""COMPUTED_VALUE"""),41.0)</f>
        <v>41</v>
      </c>
      <c r="B42" s="4" t="str">
        <f>IFERROR(__xludf.DUMMYFUNCTION("""COMPUTED_VALUE"""),"Alexander Wang, Alexander Wang")</f>
        <v>Alexander Wang, Alexander Wang</v>
      </c>
      <c r="C42" s="4" t="str">
        <f>IFERROR(__xludf.DUMMYFUNCTION("""COMPUTED_VALUE"""),"Alexander Wang")</f>
        <v>Alexander Wang</v>
      </c>
      <c r="D42" s="4" t="str">
        <f>IFERROR(__xludf.DUMMYFUNCTION("""COMPUTED_VALUE"""),"Alexander Wang")</f>
        <v>Alexander Wang</v>
      </c>
      <c r="E42" s="4" t="str">
        <f>IFERROR(__xludf.DUMMYFUNCTION("""COMPUTED_VALUE"""),"")</f>
        <v/>
      </c>
      <c r="F42" s="4" t="str">
        <f>IFERROR(__xludf.DUMMYFUNCTION("""COMPUTED_VALUE"""),"Web Summit 2018 | Speaker")</f>
        <v>Web Summit 2018 | Speaker</v>
      </c>
      <c r="G42" s="4" t="str">
        <f>IFERROR(__xludf.DUMMYFUNCTION("""COMPUTED_VALUE"""),"Web Summit 2018 | Speaker")</f>
        <v>Web Summit 2018 | Speaker</v>
      </c>
      <c r="H42" s="4" t="str">
        <f>IFERROR(__xludf.DUMMYFUNCTION("""COMPUTED_VALUE"""),"")</f>
        <v/>
      </c>
      <c r="I42" s="21" t="str">
        <f>IFERROR(__xludf.DUMMYFUNCTION("""COMPUTED_VALUE"""),"https://www.youtube.com/watch?v=8zuuTtVWtHY")</f>
        <v>https://www.youtube.com/watch?v=8zuuTtVWtHY</v>
      </c>
      <c r="J42" s="4" t="str">
        <f>IFERROR(__xludf.DUMMYFUNCTION("""COMPUTED_VALUE"""),"Helen")</f>
        <v>Helen</v>
      </c>
      <c r="K42" s="4" t="str">
        <f>IFERROR(__xludf.DUMMYFUNCTION("""COMPUTED_VALUE"""),"")</f>
        <v/>
      </c>
      <c r="L42" s="4" t="str">
        <f>IFERROR(__xludf.DUMMYFUNCTION("""COMPUTED_VALUE"""),"all good")</f>
        <v>all good</v>
      </c>
      <c r="M42" s="4" t="str">
        <f>IFERROR(__xludf.DUMMYFUNCTION("""COMPUTED_VALUE"""),"")</f>
        <v/>
      </c>
      <c r="N42" s="4" t="str">
        <f>IFERROR(__xludf.DUMMYFUNCTION("""COMPUTED_VALUE"""),"")</f>
        <v/>
      </c>
      <c r="O42" s="4" t="str">
        <f>IFERROR(__xludf.DUMMYFUNCTION("""COMPUTED_VALUE"""),"")</f>
        <v/>
      </c>
      <c r="P42" s="4" t="str">
        <f>IFERROR(__xludf.DUMMYFUNCTION("""COMPUTED_VALUE"""),"")</f>
        <v/>
      </c>
      <c r="Q42" s="4" t="str">
        <f>IFERROR(__xludf.DUMMYFUNCTION("""COMPUTED_VALUE"""),"")</f>
        <v/>
      </c>
      <c r="R42" s="4" t="str">
        <f>IFERROR(__xludf.DUMMYFUNCTION("""COMPUTED_VALUE"""),"")</f>
        <v/>
      </c>
      <c r="S42" s="4" t="str">
        <f>IFERROR(__xludf.DUMMYFUNCTION("""COMPUTED_VALUE"""),"")</f>
        <v/>
      </c>
      <c r="T42" s="4" t="str">
        <f>IFERROR(__xludf.DUMMYFUNCTION("""COMPUTED_VALUE"""),"")</f>
        <v/>
      </c>
      <c r="U42" s="21" t="str">
        <f>IFERROR(__xludf.DUMMYFUNCTION("""COMPUTED_VALUE"""),"https://drive.google.com/open?id=1QfMrKyjOUKIzu0HSaBKc5E2TXZb4RTna")</f>
        <v>https://drive.google.com/open?id=1QfMrKyjOUKIzu0HSaBKc5E2TXZb4RTna</v>
      </c>
    </row>
    <row r="43">
      <c r="A43" s="4">
        <f>IFERROR(__xludf.DUMMYFUNCTION("""COMPUTED_VALUE"""),42.0)</f>
        <v>42</v>
      </c>
      <c r="B43" s="4" t="str">
        <f>IFERROR(__xludf.DUMMYFUNCTION("""COMPUTED_VALUE"""),"Urs Holzle, Google")</f>
        <v>Urs Holzle, Google</v>
      </c>
      <c r="C43" s="4" t="str">
        <f>IFERROR(__xludf.DUMMYFUNCTION("""COMPUTED_VALUE"""),"Urs Holze ")</f>
        <v>Urs Holze </v>
      </c>
      <c r="D43" s="4" t="str">
        <f>IFERROR(__xludf.DUMMYFUNCTION("""COMPUTED_VALUE"""),"Google")</f>
        <v>Google</v>
      </c>
      <c r="E43" s="4" t="str">
        <f>IFERROR(__xludf.DUMMYFUNCTION("""COMPUTED_VALUE"""),"")</f>
        <v/>
      </c>
      <c r="F43" s="4" t="str">
        <f>IFERROR(__xludf.DUMMYFUNCTION("""COMPUTED_VALUE"""),"Collision 2015 | Speaker
Web Summit 2014 | Speaker")</f>
        <v>Collision 2015 | Speaker
Web Summit 2014 | Speaker</v>
      </c>
      <c r="G43" s="4" t="str">
        <f>IFERROR(__xludf.DUMMYFUNCTION("""COMPUTED_VALUE"""),"Collision 2015 | Speaker
Enterprise X 2014 | Speaker
Web Summit 2014 | Speaker")</f>
        <v>Collision 2015 | Speaker
Enterprise X 2014 | Speaker
Web Summit 2014 | Speaker</v>
      </c>
      <c r="H43" s="4" t="str">
        <f>IFERROR(__xludf.DUMMYFUNCTION("""COMPUTED_VALUE"""),"")</f>
        <v/>
      </c>
      <c r="I43" s="4" t="str">
        <f>IFERROR(__xludf.DUMMYFUNCTION("""COMPUTED_VALUE"""),"https://www.youtube.com/watch?v=_lCkUfDQPPQ,
https://www.youtube.com/watch?v=husXCpeICO8")</f>
        <v>https://www.youtube.com/watch?v=_lCkUfDQPPQ,
https://www.youtube.com/watch?v=husXCpeICO8</v>
      </c>
      <c r="J43" s="4" t="str">
        <f>IFERROR(__xludf.DUMMYFUNCTION("""COMPUTED_VALUE"""),"Helen")</f>
        <v>Helen</v>
      </c>
      <c r="K43" s="4" t="str">
        <f>IFERROR(__xludf.DUMMYFUNCTION("""COMPUTED_VALUE"""),"")</f>
        <v/>
      </c>
      <c r="L43" s="4" t="str">
        <f>IFERROR(__xludf.DUMMYFUNCTION("""COMPUTED_VALUE"""),"camerawork slightly shaky at the start, and sound is not great ")</f>
        <v>camerawork slightly shaky at the start, and sound is not great </v>
      </c>
      <c r="M43" s="4" t="str">
        <f>IFERROR(__xludf.DUMMYFUNCTION("""COMPUTED_VALUE"""),"")</f>
        <v/>
      </c>
      <c r="N43" s="4" t="str">
        <f>IFERROR(__xludf.DUMMYFUNCTION("""COMPUTED_VALUE"""),"")</f>
        <v/>
      </c>
      <c r="O43" s="4" t="str">
        <f>IFERROR(__xludf.DUMMYFUNCTION("""COMPUTED_VALUE"""),"")</f>
        <v/>
      </c>
      <c r="P43" s="4" t="str">
        <f>IFERROR(__xludf.DUMMYFUNCTION("""COMPUTED_VALUE"""),"")</f>
        <v/>
      </c>
      <c r="Q43" s="4" t="str">
        <f>IFERROR(__xludf.DUMMYFUNCTION("""COMPUTED_VALUE"""),"")</f>
        <v/>
      </c>
      <c r="R43" s="4" t="str">
        <f>IFERROR(__xludf.DUMMYFUNCTION("""COMPUTED_VALUE"""),"")</f>
        <v/>
      </c>
      <c r="S43" s="4" t="str">
        <f>IFERROR(__xludf.DUMMYFUNCTION("""COMPUTED_VALUE"""),"")</f>
        <v/>
      </c>
      <c r="T43" s="4" t="str">
        <f>IFERROR(__xludf.DUMMYFUNCTION("""COMPUTED_VALUE"""),"")</f>
        <v/>
      </c>
      <c r="U43" s="21" t="str">
        <f>IFERROR(__xludf.DUMMYFUNCTION("""COMPUTED_VALUE"""),"https://drive.google.com/open?id=12fq-iYNeMob9Ib9qhvCtjnq1SwRM4Pxj")</f>
        <v>https://drive.google.com/open?id=12fq-iYNeMob9Ib9qhvCtjnq1SwRM4Pxj</v>
      </c>
    </row>
    <row r="44">
      <c r="A44" s="4">
        <f>IFERROR(__xludf.DUMMYFUNCTION("""COMPUTED_VALUE"""),43.0)</f>
        <v>43</v>
      </c>
      <c r="B44" s="4" t="str">
        <f>IFERROR(__xludf.DUMMYFUNCTION("""COMPUTED_VALUE"""),"Neil Shen, Sequoia Capital")</f>
        <v>Neil Shen, Sequoia Capital</v>
      </c>
      <c r="C44" s="4" t="str">
        <f>IFERROR(__xludf.DUMMYFUNCTION("""COMPUTED_VALUE"""),"Neil Shen")</f>
        <v>Neil Shen</v>
      </c>
      <c r="D44" s="4" t="str">
        <f>IFERROR(__xludf.DUMMYFUNCTION("""COMPUTED_VALUE"""),"Sequoia Capital")</f>
        <v>Sequoia Capital</v>
      </c>
      <c r="E44" s="4" t="str">
        <f>IFERROR(__xludf.DUMMYFUNCTION("""COMPUTED_VALUE"""),"")</f>
        <v/>
      </c>
      <c r="F44" s="4" t="str">
        <f>IFERROR(__xludf.DUMMYFUNCTION("""COMPUTED_VALUE"""),"RISE 2015 | Speaker")</f>
        <v>RISE 2015 | Speaker</v>
      </c>
      <c r="G44" s="4" t="str">
        <f>IFERROR(__xludf.DUMMYFUNCTION("""COMPUTED_VALUE"""),"RISE 2015 | Speaker
Converge 2015 (Hong Kong) | Investor")</f>
        <v>RISE 2015 | Speaker
Converge 2015 (Hong Kong) | Investor</v>
      </c>
      <c r="H44" s="4" t="str">
        <f>IFERROR(__xludf.DUMMYFUNCTION("""COMPUTED_VALUE"""),"")</f>
        <v/>
      </c>
      <c r="I44" s="21" t="str">
        <f>IFERROR(__xludf.DUMMYFUNCTION("""COMPUTED_VALUE"""),"https://www.youtube.com/watch?v=hxJv8AKEeG4")</f>
        <v>https://www.youtube.com/watch?v=hxJv8AKEeG4</v>
      </c>
      <c r="J44" s="4" t="str">
        <f>IFERROR(__xludf.DUMMYFUNCTION("""COMPUTED_VALUE"""),"Helen")</f>
        <v>Helen</v>
      </c>
      <c r="K44" s="4" t="str">
        <f>IFERROR(__xludf.DUMMYFUNCTION("""COMPUTED_VALUE"""),"")</f>
        <v/>
      </c>
      <c r="L44" s="4" t="str">
        <f>IFERROR(__xludf.DUMMYFUNCTION("""COMPUTED_VALUE"""),"")</f>
        <v/>
      </c>
      <c r="M44" s="4" t="str">
        <f>IFERROR(__xludf.DUMMYFUNCTION("""COMPUTED_VALUE"""),"")</f>
        <v/>
      </c>
      <c r="N44" s="4" t="str">
        <f>IFERROR(__xludf.DUMMYFUNCTION("""COMPUTED_VALUE"""),"")</f>
        <v/>
      </c>
      <c r="O44" s="4" t="str">
        <f>IFERROR(__xludf.DUMMYFUNCTION("""COMPUTED_VALUE"""),"")</f>
        <v/>
      </c>
      <c r="P44" s="4" t="str">
        <f>IFERROR(__xludf.DUMMYFUNCTION("""COMPUTED_VALUE"""),"")</f>
        <v/>
      </c>
      <c r="Q44" s="4" t="str">
        <f>IFERROR(__xludf.DUMMYFUNCTION("""COMPUTED_VALUE"""),"")</f>
        <v/>
      </c>
      <c r="R44" s="4" t="str">
        <f>IFERROR(__xludf.DUMMYFUNCTION("""COMPUTED_VALUE"""),"")</f>
        <v/>
      </c>
      <c r="S44" s="4" t="str">
        <f>IFERROR(__xludf.DUMMYFUNCTION("""COMPUTED_VALUE"""),"")</f>
        <v/>
      </c>
      <c r="T44" s="4" t="str">
        <f>IFERROR(__xludf.DUMMYFUNCTION("""COMPUTED_VALUE"""),"")</f>
        <v/>
      </c>
      <c r="U44" s="21" t="str">
        <f>IFERROR(__xludf.DUMMYFUNCTION("""COMPUTED_VALUE"""),"https://drive.google.com/open?id=1Pqv_1YvqT0wiQC4eC_9LYOuc6yEgFi7o")</f>
        <v>https://drive.google.com/open?id=1Pqv_1YvqT0wiQC4eC_9LYOuc6yEgFi7o</v>
      </c>
    </row>
    <row r="45">
      <c r="A45" s="4">
        <f>IFERROR(__xludf.DUMMYFUNCTION("""COMPUTED_VALUE"""),44.0)</f>
        <v>44</v>
      </c>
      <c r="B45" s="4" t="str">
        <f>IFERROR(__xludf.DUMMYFUNCTION("""COMPUTED_VALUE"""),"Adi Tatarko, Houzz")</f>
        <v>Adi Tatarko, Houzz</v>
      </c>
      <c r="C45" s="4" t="str">
        <f>IFERROR(__xludf.DUMMYFUNCTION("""COMPUTED_VALUE"""),"Adi Tatarko")</f>
        <v>Adi Tatarko</v>
      </c>
      <c r="D45" s="4" t="str">
        <f>IFERROR(__xludf.DUMMYFUNCTION("""COMPUTED_VALUE"""),"Houzz ")</f>
        <v>Houzz </v>
      </c>
      <c r="E45" s="4" t="str">
        <f>IFERROR(__xludf.DUMMYFUNCTION("""COMPUTED_VALUE""")," Eric Schurenberg, Alfred Lin")</f>
        <v> Eric Schurenberg, Alfred Lin</v>
      </c>
      <c r="F45" s="4" t="str">
        <f>IFERROR(__xludf.DUMMYFUNCTION("""COMPUTED_VALUE"""),"Collision 2019 | Speaker
Web Summit 2014 | Speaker")</f>
        <v>Collision 2019 | Speaker
Web Summit 2014 | Speaker</v>
      </c>
      <c r="G45" s="4" t="str">
        <f>IFERROR(__xludf.DUMMYFUNCTION("""COMPUTED_VALUE"""),"Collision 2019 | Speaker
Web Summit 2014 | Speaker
F.ounders Dublin 2014 | Founder")</f>
        <v>Collision 2019 | Speaker
Web Summit 2014 | Speaker
F.ounders Dublin 2014 | Founder</v>
      </c>
      <c r="H45" s="4" t="str">
        <f>IFERROR(__xludf.DUMMYFUNCTION("""COMPUTED_VALUE"""),"Use WS14, CC19 sound is glitchy.")</f>
        <v>Use WS14, CC19 sound is glitchy.</v>
      </c>
      <c r="I45" s="4" t="str">
        <f>IFERROR(__xludf.DUMMYFUNCTION("""COMPUTED_VALUE"""),"https://vimeo.com/343099082; https://www.youtube.com/watch?v=Hm2ypJnQtkA")</f>
        <v>https://vimeo.com/343099082; https://www.youtube.com/watch?v=Hm2ypJnQtkA</v>
      </c>
      <c r="J45" s="4" t="str">
        <f>IFERROR(__xludf.DUMMYFUNCTION("""COMPUTED_VALUE"""),"")</f>
        <v/>
      </c>
      <c r="K45" s="4" t="str">
        <f>IFERROR(__xludf.DUMMYFUNCTION("""COMPUTED_VALUE"""),"In")</f>
        <v>In</v>
      </c>
      <c r="L45" s="4" t="str">
        <f>IFERROR(__xludf.DUMMYFUNCTION("""COMPUTED_VALUE"""),"CC19: Start at 31 seconds. Sound is glitchy. 
WS14: Starts fine. 3.25 Coming up banner needs removed. 11:55 coming up banner needs removed.")</f>
        <v>CC19: Start at 31 seconds. Sound is glitchy. 
WS14: Starts fine. 3.25 Coming up banner needs removed. 11:55 coming up banner needs removed.</v>
      </c>
      <c r="M45" s="4" t="str">
        <f>IFERROR(__xludf.DUMMYFUNCTION("""COMPUTED_VALUE"""),"")</f>
        <v/>
      </c>
      <c r="N45" s="4" t="str">
        <f>IFERROR(__xludf.DUMMYFUNCTION("""COMPUTED_VALUE"""),"")</f>
        <v/>
      </c>
      <c r="O45" s="4" t="str">
        <f>IFERROR(__xludf.DUMMYFUNCTION("""COMPUTED_VALUE"""),"")</f>
        <v/>
      </c>
      <c r="P45" s="4" t="str">
        <f>IFERROR(__xludf.DUMMYFUNCTION("""COMPUTED_VALUE"""),"")</f>
        <v/>
      </c>
      <c r="Q45" s="4" t="str">
        <f>IFERROR(__xludf.DUMMYFUNCTION("""COMPUTED_VALUE"""),"")</f>
        <v/>
      </c>
      <c r="R45" s="4" t="str">
        <f>IFERROR(__xludf.DUMMYFUNCTION("""COMPUTED_VALUE"""),"")</f>
        <v/>
      </c>
      <c r="S45" s="4" t="str">
        <f>IFERROR(__xludf.DUMMYFUNCTION("""COMPUTED_VALUE"""),"")</f>
        <v/>
      </c>
      <c r="T45" s="4" t="str">
        <f>IFERROR(__xludf.DUMMYFUNCTION("""COMPUTED_VALUE"""),"")</f>
        <v/>
      </c>
      <c r="U45" s="21" t="str">
        <f>IFERROR(__xludf.DUMMYFUNCTION("""COMPUTED_VALUE"""),"https://drive.google.com/open?id=145AtcWDIezgcqymxkzJbNdwz8n10najN")</f>
        <v>https://drive.google.com/open?id=145AtcWDIezgcqymxkzJbNdwz8n10najN</v>
      </c>
    </row>
    <row r="46">
      <c r="A46" s="4">
        <f>IFERROR(__xludf.DUMMYFUNCTION("""COMPUTED_VALUE"""),45.0)</f>
        <v>45</v>
      </c>
      <c r="B46" s="4" t="str">
        <f>IFERROR(__xludf.DUMMYFUNCTION("""COMPUTED_VALUE"""),"Stephen Schwarzman, Blackstone")</f>
        <v>Stephen Schwarzman, Blackstone</v>
      </c>
      <c r="C46" s="4" t="str">
        <f>IFERROR(__xludf.DUMMYFUNCTION("""COMPUTED_VALUE"""),"Stephen Schwarzman")</f>
        <v>Stephen Schwarzman</v>
      </c>
      <c r="D46" s="4" t="str">
        <f>IFERROR(__xludf.DUMMYFUNCTION("""COMPUTED_VALUE"""),"Blackstone")</f>
        <v>Blackstone</v>
      </c>
      <c r="E46" s="4" t="str">
        <f>IFERROR(__xludf.DUMMYFUNCTION("""COMPUTED_VALUE"""),"")</f>
        <v/>
      </c>
      <c r="F46" s="4" t="str">
        <f>IFERROR(__xludf.DUMMYFUNCTION("""COMPUTED_VALUE"""),"Web Summit 2019 | Speaker &amp; Investor")</f>
        <v>Web Summit 2019 | Speaker &amp; Investor</v>
      </c>
      <c r="G46" s="4" t="str">
        <f>IFERROR(__xludf.DUMMYFUNCTION("""COMPUTED_VALUE"""),"Web Summit 2019 | Speaker &amp; Investor")</f>
        <v>Web Summit 2019 | Speaker &amp; Investor</v>
      </c>
      <c r="H46" s="4" t="str">
        <f>IFERROR(__xludf.DUMMYFUNCTION("""COMPUTED_VALUE"""),"")</f>
        <v/>
      </c>
      <c r="I46" s="21" t="str">
        <f>IFERROR(__xludf.DUMMYFUNCTION("""COMPUTED_VALUE"""),"https://vimeo.com/showcase/6551539/video/371203957")</f>
        <v>https://vimeo.com/showcase/6551539/video/371203957</v>
      </c>
      <c r="J46" s="4" t="str">
        <f>IFERROR(__xludf.DUMMYFUNCTION("""COMPUTED_VALUE"""),"Darragh")</f>
        <v>Darragh</v>
      </c>
      <c r="K46" s="4" t="str">
        <f>IFERROR(__xludf.DUMMYFUNCTION("""COMPUTED_VALUE"""),"")</f>
        <v/>
      </c>
      <c r="L46" s="4" t="str">
        <f>IFERROR(__xludf.DUMMYFUNCTION("""COMPUTED_VALUE"""),"")</f>
        <v/>
      </c>
      <c r="M46" s="4" t="str">
        <f>IFERROR(__xludf.DUMMYFUNCTION("""COMPUTED_VALUE"""),"")</f>
        <v/>
      </c>
      <c r="N46" s="4" t="str">
        <f>IFERROR(__xludf.DUMMYFUNCTION("""COMPUTED_VALUE"""),"")</f>
        <v/>
      </c>
      <c r="O46" s="4" t="str">
        <f>IFERROR(__xludf.DUMMYFUNCTION("""COMPUTED_VALUE"""),"")</f>
        <v/>
      </c>
      <c r="P46" s="4" t="str">
        <f>IFERROR(__xludf.DUMMYFUNCTION("""COMPUTED_VALUE"""),"")</f>
        <v/>
      </c>
      <c r="Q46" s="4" t="str">
        <f>IFERROR(__xludf.DUMMYFUNCTION("""COMPUTED_VALUE"""),"")</f>
        <v/>
      </c>
      <c r="R46" s="4" t="str">
        <f>IFERROR(__xludf.DUMMYFUNCTION("""COMPUTED_VALUE"""),"")</f>
        <v/>
      </c>
      <c r="S46" s="4" t="str">
        <f>IFERROR(__xludf.DUMMYFUNCTION("""COMPUTED_VALUE"""),"")</f>
        <v/>
      </c>
      <c r="T46" s="4" t="str">
        <f>IFERROR(__xludf.DUMMYFUNCTION("""COMPUTED_VALUE"""),"")</f>
        <v/>
      </c>
      <c r="U46" s="21" t="str">
        <f>IFERROR(__xludf.DUMMYFUNCTION("""COMPUTED_VALUE"""),"https://ws19-processed-videos.s3-eu-west-1.amazonaws.com/0bcc2520-c55a-4ac6-be76-43340bbf64c7_The_king_of_capital.mp4")</f>
        <v>https://ws19-processed-videos.s3-eu-west-1.amazonaws.com/0bcc2520-c55a-4ac6-be76-43340bbf64c7_The_king_of_capital.mp4</v>
      </c>
    </row>
    <row r="47">
      <c r="A47" s="4">
        <f>IFERROR(__xludf.DUMMYFUNCTION("""COMPUTED_VALUE"""),46.0)</f>
        <v>46</v>
      </c>
      <c r="B47" s="4" t="str">
        <f>IFERROR(__xludf.DUMMYFUNCTION("""COMPUTED_VALUE"""),"Steve Case, Revolution")</f>
        <v>Steve Case, Revolution</v>
      </c>
      <c r="C47" s="4" t="str">
        <f>IFERROR(__xludf.DUMMYFUNCTION("""COMPUTED_VALUE"""),"Steve Case")</f>
        <v>Steve Case</v>
      </c>
      <c r="D47" s="4" t="str">
        <f>IFERROR(__xludf.DUMMYFUNCTION("""COMPUTED_VALUE"""),"Revolution")</f>
        <v>Revolution</v>
      </c>
      <c r="E47" s="4" t="str">
        <f>IFERROR(__xludf.DUMMYFUNCTION("""COMPUTED_VALUE"""),"")</f>
        <v/>
      </c>
      <c r="F47" s="4" t="str">
        <f>IFERROR(__xludf.DUMMYFUNCTION("""COMPUTED_VALUE"""),"Web Summit 2017 | Speaker &amp; Investor")</f>
        <v>Web Summit 2017 | Speaker &amp; Investor</v>
      </c>
      <c r="G47" s="4" t="str">
        <f>IFERROR(__xludf.DUMMYFUNCTION("""COMPUTED_VALUE"""),"Web Summit 2017 | Speaker &amp; Investor")</f>
        <v>Web Summit 2017 | Speaker &amp; Investor</v>
      </c>
      <c r="H47" s="4" t="str">
        <f>IFERROR(__xludf.DUMMYFUNCTION("""COMPUTED_VALUE"""),"")</f>
        <v/>
      </c>
      <c r="I47" s="21" t="str">
        <f>IFERROR(__xludf.DUMMYFUNCTION("""COMPUTED_VALUE"""),"https://www.youtube.com/watch?v=1MIQ1q7Fm_4")</f>
        <v>https://www.youtube.com/watch?v=1MIQ1q7Fm_4</v>
      </c>
      <c r="J47" s="4" t="str">
        <f>IFERROR(__xludf.DUMMYFUNCTION("""COMPUTED_VALUE"""),"Helen")</f>
        <v>Helen</v>
      </c>
      <c r="K47" s="4" t="str">
        <f>IFERROR(__xludf.DUMMYFUNCTION("""COMPUTED_VALUE"""),"")</f>
        <v/>
      </c>
      <c r="L47" s="4" t="str">
        <f>IFERROR(__xludf.DUMMYFUNCTION("""COMPUTED_VALUE"""),"All good")</f>
        <v>All good</v>
      </c>
      <c r="M47" s="4" t="str">
        <f>IFERROR(__xludf.DUMMYFUNCTION("""COMPUTED_VALUE"""),"")</f>
        <v/>
      </c>
      <c r="N47" s="4" t="str">
        <f>IFERROR(__xludf.DUMMYFUNCTION("""COMPUTED_VALUE"""),"")</f>
        <v/>
      </c>
      <c r="O47" s="4" t="str">
        <f>IFERROR(__xludf.DUMMYFUNCTION("""COMPUTED_VALUE"""),"")</f>
        <v/>
      </c>
      <c r="P47" s="4" t="str">
        <f>IFERROR(__xludf.DUMMYFUNCTION("""COMPUTED_VALUE"""),"")</f>
        <v/>
      </c>
      <c r="Q47" s="4" t="str">
        <f>IFERROR(__xludf.DUMMYFUNCTION("""COMPUTED_VALUE"""),"")</f>
        <v/>
      </c>
      <c r="R47" s="4" t="str">
        <f>IFERROR(__xludf.DUMMYFUNCTION("""COMPUTED_VALUE"""),"")</f>
        <v/>
      </c>
      <c r="S47" s="4" t="str">
        <f>IFERROR(__xludf.DUMMYFUNCTION("""COMPUTED_VALUE"""),"")</f>
        <v/>
      </c>
      <c r="T47" s="4" t="str">
        <f>IFERROR(__xludf.DUMMYFUNCTION("""COMPUTED_VALUE"""),"")</f>
        <v/>
      </c>
      <c r="U47" s="21" t="str">
        <f>IFERROR(__xludf.DUMMYFUNCTION("""COMPUTED_VALUE"""),"https://ws17-videos.s3-eu-west-1.amazonaws.com/CS_2_03_TheThirdWaveOfTechnologySteveCaseInConversation_000000_000000.mp4")</f>
        <v>https://ws17-videos.s3-eu-west-1.amazonaws.com/CS_2_03_TheThirdWaveOfTechnologySteveCaseInConversation_000000_000000.mp4</v>
      </c>
    </row>
    <row r="48">
      <c r="A48" s="4">
        <f>IFERROR(__xludf.DUMMYFUNCTION("""COMPUTED_VALUE"""),47.0)</f>
        <v>47</v>
      </c>
      <c r="B48" s="4" t="str">
        <f>IFERROR(__xludf.DUMMYFUNCTION("""COMPUTED_VALUE"""),"Paul Levesque, WWE")</f>
        <v>Paul Levesque, WWE</v>
      </c>
      <c r="C48" s="4" t="str">
        <f>IFERROR(__xludf.DUMMYFUNCTION("""COMPUTED_VALUE"""),"Triple H (Paul Levesque)")</f>
        <v>Triple H (Paul Levesque)</v>
      </c>
      <c r="D48" s="4" t="str">
        <f>IFERROR(__xludf.DUMMYFUNCTION("""COMPUTED_VALUE"""),"WWE")</f>
        <v>WWE</v>
      </c>
      <c r="E48" s="4" t="str">
        <f>IFERROR(__xludf.DUMMYFUNCTION("""COMPUTED_VALUE"""),"SEE ROW 92 * DOUBLED UP")</f>
        <v>SEE ROW 92 * DOUBLED UP</v>
      </c>
      <c r="F48" s="4" t="str">
        <f>IFERROR(__xludf.DUMMYFUNCTION("""COMPUTED_VALUE"""),"Web Summit 2017 | Speaker")</f>
        <v>Web Summit 2017 | Speaker</v>
      </c>
      <c r="G48" s="4" t="str">
        <f>IFERROR(__xludf.DUMMYFUNCTION("""COMPUTED_VALUE"""),"Web Summit 2017 | Speaker")</f>
        <v>Web Summit 2017 | Speaker</v>
      </c>
      <c r="H48" s="4" t="str">
        <f>IFERROR(__xludf.DUMMYFUNCTION("""COMPUTED_VALUE"""),"DUPLICATE")</f>
        <v>DUPLICATE</v>
      </c>
      <c r="I48" s="21" t="str">
        <f>IFERROR(__xludf.DUMMYFUNCTION("""COMPUTED_VALUE"""),"https://www.youtube.com/watch?v=TclDYnMHKnI")</f>
        <v>https://www.youtube.com/watch?v=TclDYnMHKnI</v>
      </c>
      <c r="J48" s="4" t="str">
        <f>IFERROR(__xludf.DUMMYFUNCTION("""COMPUTED_VALUE"""),"Helen")</f>
        <v>Helen</v>
      </c>
      <c r="K48" s="4" t="str">
        <f>IFERROR(__xludf.DUMMYFUNCTION("""COMPUTED_VALUE"""),"DUPLICATE")</f>
        <v>DUPLICATE</v>
      </c>
      <c r="L48" s="4" t="str">
        <f>IFERROR(__xludf.DUMMYFUNCTION("""COMPUTED_VALUE"""),"All good")</f>
        <v>All good</v>
      </c>
      <c r="M48" s="4" t="str">
        <f>IFERROR(__xludf.DUMMYFUNCTION("""COMPUTED_VALUE"""),"DUPLICATE")</f>
        <v>DUPLICATE</v>
      </c>
      <c r="N48" s="4" t="str">
        <f>IFERROR(__xludf.DUMMYFUNCTION("""COMPUTED_VALUE"""),"DUPLICATE")</f>
        <v>DUPLICATE</v>
      </c>
      <c r="O48" s="4" t="str">
        <f>IFERROR(__xludf.DUMMYFUNCTION("""COMPUTED_VALUE"""),"")</f>
        <v/>
      </c>
      <c r="P48" s="4" t="str">
        <f>IFERROR(__xludf.DUMMYFUNCTION("""COMPUTED_VALUE"""),"")</f>
        <v/>
      </c>
      <c r="Q48" s="4" t="str">
        <f>IFERROR(__xludf.DUMMYFUNCTION("""COMPUTED_VALUE"""),"")</f>
        <v/>
      </c>
      <c r="R48" s="4" t="str">
        <f>IFERROR(__xludf.DUMMYFUNCTION("""COMPUTED_VALUE"""),"")</f>
        <v/>
      </c>
      <c r="S48" s="4" t="str">
        <f>IFERROR(__xludf.DUMMYFUNCTION("""COMPUTED_VALUE"""),"")</f>
        <v/>
      </c>
      <c r="T48" s="4" t="str">
        <f>IFERROR(__xludf.DUMMYFUNCTION("""COMPUTED_VALUE"""),"DUPLICATE")</f>
        <v>DUPLICATE</v>
      </c>
      <c r="U48" s="21" t="str">
        <f>IFERROR(__xludf.DUMMYFUNCTION("""COMPUTED_VALUE"""),"https://ws17-videos.s3-eu-west-1.amazonaws.com/CS_7_09_From+the+ring+to+the+boardroom_000000_001839.mp4")</f>
        <v>https://ws17-videos.s3-eu-west-1.amazonaws.com/CS_7_09_From+the+ring+to+the+boardroom_000000_001839.mp4</v>
      </c>
    </row>
    <row r="49">
      <c r="A49" s="4">
        <f>IFERROR(__xludf.DUMMYFUNCTION("""COMPUTED_VALUE"""),48.0)</f>
        <v>48</v>
      </c>
      <c r="B49" s="4" t="str">
        <f>IFERROR(__xludf.DUMMYFUNCTION("""COMPUTED_VALUE"""),"Michelle Zatlyn, Cloudflare")</f>
        <v>Michelle Zatlyn, Cloudflare</v>
      </c>
      <c r="C49" s="4" t="str">
        <f>IFERROR(__xludf.DUMMYFUNCTION("""COMPUTED_VALUE"""),"Michelle Zatlyn")</f>
        <v>Michelle Zatlyn</v>
      </c>
      <c r="D49" s="4" t="str">
        <f>IFERROR(__xludf.DUMMYFUNCTION("""COMPUTED_VALUE"""),"Cloudflare")</f>
        <v>Cloudflare</v>
      </c>
      <c r="E49" s="4" t="str">
        <f>IFERROR(__xludf.DUMMYFUNCTION("""COMPUTED_VALUE"""),"Jessie Reyez")</f>
        <v>Jessie Reyez</v>
      </c>
      <c r="F49" s="4" t="str">
        <f>IFERROR(__xludf.DUMMYFUNCTION("""COMPUTED_VALUE"""),"Web Summit 2019 | Speaker
Collision 2015 | Speaker")</f>
        <v>Web Summit 2019 | Speaker
Collision 2015 | Speaker</v>
      </c>
      <c r="G49" s="4" t="str">
        <f>IFERROR(__xludf.DUMMYFUNCTION("""COMPUTED_VALUE"""),"Web Summit 2019 | Speaker
Collision 2015 | Speaker
F.ounders Dublin 2012 | Founder
F.ounders Dublin 2011 | Founder")</f>
        <v>Web Summit 2019 | Speaker
Collision 2015 | Speaker
F.ounders Dublin 2012 | Founder
F.ounders Dublin 2011 | Founder</v>
      </c>
      <c r="H49" s="4" t="str">
        <f>IFERROR(__xludf.DUMMYFUNCTION("""COMPUTED_VALUE"""),"")</f>
        <v/>
      </c>
      <c r="I49" s="21" t="str">
        <f>IFERROR(__xludf.DUMMYFUNCTION("""COMPUTED_VALUE"""),"https://vimeo.com/showcase/6061850/video/342951654")</f>
        <v>https://vimeo.com/showcase/6061850/video/342951654</v>
      </c>
      <c r="J49" s="4" t="str">
        <f>IFERROR(__xludf.DUMMYFUNCTION("""COMPUTED_VALUE"""),"Darragh")</f>
        <v>Darragh</v>
      </c>
      <c r="K49" s="4" t="str">
        <f>IFERROR(__xludf.DUMMYFUNCTION("""COMPUTED_VALUE"""),"In")</f>
        <v>In</v>
      </c>
      <c r="L49" s="4" t="str">
        <f>IFERROR(__xludf.DUMMYFUNCTION("""COMPUTED_VALUE"""),"")</f>
        <v/>
      </c>
      <c r="M49" s="4" t="str">
        <f>IFERROR(__xludf.DUMMYFUNCTION("""COMPUTED_VALUE"""),"")</f>
        <v/>
      </c>
      <c r="N49" s="4" t="str">
        <f>IFERROR(__xludf.DUMMYFUNCTION("""COMPUTED_VALUE"""),"")</f>
        <v/>
      </c>
      <c r="O49" s="4" t="str">
        <f>IFERROR(__xludf.DUMMYFUNCTION("""COMPUTED_VALUE"""),"")</f>
        <v/>
      </c>
      <c r="P49" s="4" t="str">
        <f>IFERROR(__xludf.DUMMYFUNCTION("""COMPUTED_VALUE"""),"")</f>
        <v/>
      </c>
      <c r="Q49" s="4" t="str">
        <f>IFERROR(__xludf.DUMMYFUNCTION("""COMPUTED_VALUE"""),"")</f>
        <v/>
      </c>
      <c r="R49" s="4" t="str">
        <f>IFERROR(__xludf.DUMMYFUNCTION("""COMPUTED_VALUE"""),"")</f>
        <v/>
      </c>
      <c r="S49" s="4" t="str">
        <f>IFERROR(__xludf.DUMMYFUNCTION("""COMPUTED_VALUE"""),"")</f>
        <v/>
      </c>
      <c r="T49" s="4" t="str">
        <f>IFERROR(__xludf.DUMMYFUNCTION("""COMPUTED_VALUE"""),"")</f>
        <v/>
      </c>
      <c r="U49" s="21" t="str">
        <f>IFERROR(__xludf.DUMMYFUNCTION("""COMPUTED_VALUE"""),"https://ws19-processed-videos.s3-eu-west-1.amazonaws.com/b853c55b-0a49-42a4-a67b-363dc6b95926_A_two_way_street_Portugal__the_tech_world.mp4")</f>
        <v>https://ws19-processed-videos.s3-eu-west-1.amazonaws.com/b853c55b-0a49-42a4-a67b-363dc6b95926_A_two_way_street_Portugal__the_tech_world.mp4</v>
      </c>
    </row>
    <row r="50">
      <c r="A50" s="4">
        <f>IFERROR(__xludf.DUMMYFUNCTION("""COMPUTED_VALUE"""),49.0)</f>
        <v>49</v>
      </c>
      <c r="B50" s="4" t="str">
        <f>IFERROR(__xludf.DUMMYFUNCTION("""COMPUTED_VALUE"""),"Dan Brown, Dan Brown")</f>
        <v>Dan Brown, Dan Brown</v>
      </c>
      <c r="C50" s="4" t="str">
        <f>IFERROR(__xludf.DUMMYFUNCTION("""COMPUTED_VALUE"""),"Dan Brown")</f>
        <v>Dan Brown</v>
      </c>
      <c r="D50" s="4" t="str">
        <f>IFERROR(__xludf.DUMMYFUNCTION("""COMPUTED_VALUE"""),"Author")</f>
        <v>Author</v>
      </c>
      <c r="E50" s="4" t="str">
        <f>IFERROR(__xludf.DUMMYFUNCTION("""COMPUTED_VALUE"""),"")</f>
        <v/>
      </c>
      <c r="F50" s="4" t="str">
        <f>IFERROR(__xludf.DUMMYFUNCTION("""COMPUTED_VALUE"""),"Web Summit 2015 | Speaker")</f>
        <v>Web Summit 2015 | Speaker</v>
      </c>
      <c r="G50" s="4" t="str">
        <f>IFERROR(__xludf.DUMMYFUNCTION("""COMPUTED_VALUE"""),"F.ounders Dublin 2015 | Founder
Web Summit 2015 | Speaker")</f>
        <v>F.ounders Dublin 2015 | Founder
Web Summit 2015 | Speaker</v>
      </c>
      <c r="H50" s="4" t="str">
        <f>IFERROR(__xludf.DUMMYFUNCTION("""COMPUTED_VALUE"""),"")</f>
        <v/>
      </c>
      <c r="I50" s="21" t="str">
        <f>IFERROR(__xludf.DUMMYFUNCTION("""COMPUTED_VALUE"""),"https://www.youtube.com/watch?v=MIds81TTNj0")</f>
        <v>https://www.youtube.com/watch?v=MIds81TTNj0</v>
      </c>
      <c r="J50" s="4" t="str">
        <f>IFERROR(__xludf.DUMMYFUNCTION("""COMPUTED_VALUE"""),"Helen")</f>
        <v>Helen</v>
      </c>
      <c r="K50" s="4" t="str">
        <f>IFERROR(__xludf.DUMMYFUNCTION("""COMPUTED_VALUE"""),"")</f>
        <v/>
      </c>
      <c r="L50" s="4" t="str">
        <f>IFERROR(__xludf.DUMMYFUNCTION("""COMPUTED_VALUE"""),"Motion loop lasts about 15 seconds at the start. ")</f>
        <v>Motion loop lasts about 15 seconds at the start. </v>
      </c>
      <c r="M50" s="4" t="str">
        <f>IFERROR(__xludf.DUMMYFUNCTION("""COMPUTED_VALUE"""),"")</f>
        <v/>
      </c>
      <c r="N50" s="4" t="str">
        <f>IFERROR(__xludf.DUMMYFUNCTION("""COMPUTED_VALUE"""),"")</f>
        <v/>
      </c>
      <c r="O50" s="4" t="str">
        <f>IFERROR(__xludf.DUMMYFUNCTION("""COMPUTED_VALUE"""),"")</f>
        <v/>
      </c>
      <c r="P50" s="4" t="str">
        <f>IFERROR(__xludf.DUMMYFUNCTION("""COMPUTED_VALUE"""),"")</f>
        <v/>
      </c>
      <c r="Q50" s="4" t="str">
        <f>IFERROR(__xludf.DUMMYFUNCTION("""COMPUTED_VALUE"""),"")</f>
        <v/>
      </c>
      <c r="R50" s="4" t="str">
        <f>IFERROR(__xludf.DUMMYFUNCTION("""COMPUTED_VALUE"""),"")</f>
        <v/>
      </c>
      <c r="S50" s="4" t="str">
        <f>IFERROR(__xludf.DUMMYFUNCTION("""COMPUTED_VALUE"""),"")</f>
        <v/>
      </c>
      <c r="T50" s="4" t="str">
        <f>IFERROR(__xludf.DUMMYFUNCTION("""COMPUTED_VALUE"""),"")</f>
        <v/>
      </c>
      <c r="U50" s="21" t="str">
        <f>IFERROR(__xludf.DUMMYFUNCTION("""COMPUTED_VALUE"""),"https://drive.google.com/open?id=1wNTMnSk0Qmd8EjS1kBiQXemvTo2zKPAg")</f>
        <v>https://drive.google.com/open?id=1wNTMnSk0Qmd8EjS1kBiQXemvTo2zKPAg</v>
      </c>
    </row>
    <row r="51">
      <c r="A51" s="4">
        <f>IFERROR(__xludf.DUMMYFUNCTION("""COMPUTED_VALUE"""),50.0)</f>
        <v>50</v>
      </c>
      <c r="B51" s="4" t="str">
        <f>IFERROR(__xludf.DUMMYFUNCTION("""COMPUTED_VALUE"""),"Min-Liang Tan, Razer")</f>
        <v>Min-Liang Tan, Razer</v>
      </c>
      <c r="C51" s="4" t="str">
        <f>IFERROR(__xludf.DUMMYFUNCTION("""COMPUTED_VALUE"""),"Min Liang Tan")</f>
        <v>Min Liang Tan</v>
      </c>
      <c r="D51" s="4" t="str">
        <f>IFERROR(__xludf.DUMMYFUNCTION("""COMPUTED_VALUE"""),"Razer")</f>
        <v>Razer</v>
      </c>
      <c r="E51" s="4" t="str">
        <f>IFERROR(__xludf.DUMMYFUNCTION("""COMPUTED_VALUE"""),"")</f>
        <v/>
      </c>
      <c r="F51" s="4" t="str">
        <f>IFERROR(__xludf.DUMMYFUNCTION("""COMPUTED_VALUE"""),"RISE 2019 | Speaker
RISE 2018 | Speaker
RISE 2017 | Speaker
RISE 2016 | Speaker
Web Summit 2014 | Speaker")</f>
        <v>RISE 2019 | Speaker
RISE 2018 | Speaker
RISE 2017 | Speaker
RISE 2016 | Speaker
Web Summit 2014 | Speaker</v>
      </c>
      <c r="G51" s="4" t="str">
        <f>IFERROR(__xludf.DUMMYFUNCTION("""COMPUTED_VALUE"""),"RISE 2019 | Speaker
RISE 2018 | Speaker
RISE 2017 | Speaker
RISE 2016 | Speaker
Web Summit 2014 | Speaker")</f>
        <v>RISE 2019 | Speaker
RISE 2018 | Speaker
RISE 2017 | Speaker
RISE 2016 | Speaker
Web Summit 2014 | Speaker</v>
      </c>
      <c r="H51" s="4" t="str">
        <f>IFERROR(__xludf.DUMMYFUNCTION("""COMPUTED_VALUE"""),"Gav: Use RC19 video")</f>
        <v>Gav: Use RC19 video</v>
      </c>
      <c r="I51" s="4" t="str">
        <f>IFERROR(__xludf.DUMMYFUNCTION("""COMPUTED_VALUE"""),"https://vimeo.com/showcase/6118198/video/347076233,
https://www.youtube.com/watch?v=nqM6nBGobAo")</f>
        <v>https://vimeo.com/showcase/6118198/video/347076233,
https://www.youtube.com/watch?v=nqM6nBGobAo</v>
      </c>
      <c r="J51" s="4" t="str">
        <f>IFERROR(__xludf.DUMMYFUNCTION("""COMPUTED_VALUE"""),"Gav")</f>
        <v>Gav</v>
      </c>
      <c r="K51" s="4" t="str">
        <f>IFERROR(__xludf.DUMMYFUNCTION("""COMPUTED_VALUE"""),"")</f>
        <v/>
      </c>
      <c r="L51" s="4" t="str">
        <f>IFERROR(__xludf.DUMMYFUNCTION("""COMPUTED_VALUE"""),"RC19: Start at 45 seconds. Finish at 25:21. All good.
WS14: Stage looks tiny. Video is fine.
")</f>
        <v>RC19: Start at 45 seconds. Finish at 25:21. All good.
WS14: Stage looks tiny. Video is fine.
</v>
      </c>
      <c r="M51" s="4" t="str">
        <f>IFERROR(__xludf.DUMMYFUNCTION("""COMPUTED_VALUE"""),"")</f>
        <v/>
      </c>
      <c r="N51" s="4" t="str">
        <f>IFERROR(__xludf.DUMMYFUNCTION("""COMPUTED_VALUE"""),"")</f>
        <v/>
      </c>
      <c r="O51" s="4" t="str">
        <f>IFERROR(__xludf.DUMMYFUNCTION("""COMPUTED_VALUE"""),"")</f>
        <v/>
      </c>
      <c r="P51" s="4" t="str">
        <f>IFERROR(__xludf.DUMMYFUNCTION("""COMPUTED_VALUE"""),"")</f>
        <v/>
      </c>
      <c r="Q51" s="4" t="str">
        <f>IFERROR(__xludf.DUMMYFUNCTION("""COMPUTED_VALUE"""),"")</f>
        <v/>
      </c>
      <c r="R51" s="4" t="str">
        <f>IFERROR(__xludf.DUMMYFUNCTION("""COMPUTED_VALUE"""),"")</f>
        <v/>
      </c>
      <c r="S51" s="4" t="str">
        <f>IFERROR(__xludf.DUMMYFUNCTION("""COMPUTED_VALUE"""),"")</f>
        <v/>
      </c>
      <c r="T51" s="4" t="str">
        <f>IFERROR(__xludf.DUMMYFUNCTION("""COMPUTED_VALUE"""),"")</f>
        <v/>
      </c>
      <c r="U51" s="21" t="str">
        <f>IFERROR(__xludf.DUMMYFUNCTION("""COMPUTED_VALUE"""),"https://drive.google.com/open?id=1HUfnXXvpvmkbrq9LLR8kwUP_gr97e7DO")</f>
        <v>https://drive.google.com/open?id=1HUfnXXvpvmkbrq9LLR8kwUP_gr97e7DO</v>
      </c>
    </row>
    <row r="52">
      <c r="A52" s="4">
        <f>IFERROR(__xludf.DUMMYFUNCTION("""COMPUTED_VALUE"""),51.0)</f>
        <v>51</v>
      </c>
      <c r="B52" s="4" t="str">
        <f>IFERROR(__xludf.DUMMYFUNCTION("""COMPUTED_VALUE"""),"Joseph Gordon-Levitt, HITRECORD")</f>
        <v>Joseph Gordon-Levitt, HITRECORD</v>
      </c>
      <c r="C52" s="4" t="str">
        <f>IFERROR(__xludf.DUMMYFUNCTION("""COMPUTED_VALUE"""),"Joseph Gordon-Levitt")</f>
        <v>Joseph Gordon-Levitt</v>
      </c>
      <c r="D52" s="4" t="str">
        <f>IFERROR(__xludf.DUMMYFUNCTION("""COMPUTED_VALUE"""),"HitRecord")</f>
        <v>HitRecord</v>
      </c>
      <c r="E52" s="4" t="str">
        <f>IFERROR(__xludf.DUMMYFUNCTION("""COMPUTED_VALUE"""),"2019: Laurie Segall, Dot Dot Dot Media")</f>
        <v>2019: Laurie Segall, Dot Dot Dot Media</v>
      </c>
      <c r="F52" s="4" t="str">
        <f>IFERROR(__xludf.DUMMYFUNCTION("""COMPUTED_VALUE"""),"Collision 2019 | Speaker
Web Summit 2016 | Speaker")</f>
        <v>Collision 2019 | Speaker
Web Summit 2016 | Speaker</v>
      </c>
      <c r="G52" s="4" t="str">
        <f>IFERROR(__xludf.DUMMYFUNCTION("""COMPUTED_VALUE"""),"Collision 2019 | Speaker
Web Summit 2016 | Speaker
F.ounders Lisbon 2016 | Guest (Free)")</f>
        <v>Collision 2019 | Speaker
Web Summit 2016 | Speaker
F.ounders Lisbon 2016 | Guest (Free)</v>
      </c>
      <c r="H52" s="4" t="str">
        <f>IFERROR(__xludf.DUMMYFUNCTION("""COMPUTED_VALUE"""),"")</f>
        <v/>
      </c>
      <c r="I52" s="4" t="str">
        <f>IFERROR(__xludf.DUMMYFUNCTION("""COMPUTED_VALUE"""),"https://www.youtube.com/watch?v=T2vjzaQZYrw , https://www.youtube.com/watch?v=4xIlp34h-0A&amp;list=PL0i3g7RFqLMJaOZU2V6O96OIaEfku2SqD&amp;index=4")</f>
        <v>https://www.youtube.com/watch?v=T2vjzaQZYrw , https://www.youtube.com/watch?v=4xIlp34h-0A&amp;list=PL0i3g7RFqLMJaOZU2V6O96OIaEfku2SqD&amp;index=4</v>
      </c>
      <c r="J52" s="4" t="str">
        <f>IFERROR(__xludf.DUMMYFUNCTION("""COMPUTED_VALUE"""),"Gav")</f>
        <v>Gav</v>
      </c>
      <c r="K52" s="4" t="str">
        <f>IFERROR(__xludf.DUMMYFUNCTION("""COMPUTED_VALUE"""),"")</f>
        <v/>
      </c>
      <c r="L52" s="4" t="str">
        <f>IFERROR(__xludf.DUMMYFUNCTION("""COMPUTED_VALUE"""),"2016 vid: 7 second motion loop. Blackout for half a second at 3:01, and again at 3:04. At 4:34 sound goes funny? Better at 4:50. half second blackout at 10:19. Other than all that 2016 talk is really good. 2019 vid: is good - opens with a cool video monta"&amp;"ge. Then paddy's voice over a static Collision logo (could cut this). Discussion needed on which talk to use.")</f>
        <v>2016 vid: 7 second motion loop. Blackout for half a second at 3:01, and again at 3:04. At 4:34 sound goes funny? Better at 4:50. half second blackout at 10:19. Other than all that 2016 talk is really good. 2019 vid: is good - opens with a cool video montage. Then paddy's voice over a static Collision logo (could cut this). Discussion needed on which talk to use.</v>
      </c>
      <c r="M52" s="4" t="str">
        <f>IFERROR(__xludf.DUMMYFUNCTION("""COMPUTED_VALUE"""),"")</f>
        <v/>
      </c>
      <c r="N52" s="4" t="str">
        <f>IFERROR(__xludf.DUMMYFUNCTION("""COMPUTED_VALUE"""),"")</f>
        <v/>
      </c>
      <c r="O52" s="4" t="str">
        <f>IFERROR(__xludf.DUMMYFUNCTION("""COMPUTED_VALUE"""),"")</f>
        <v/>
      </c>
      <c r="P52" s="4" t="str">
        <f>IFERROR(__xludf.DUMMYFUNCTION("""COMPUTED_VALUE"""),"")</f>
        <v/>
      </c>
      <c r="Q52" s="4" t="str">
        <f>IFERROR(__xludf.DUMMYFUNCTION("""COMPUTED_VALUE"""),"")</f>
        <v/>
      </c>
      <c r="R52" s="4" t="str">
        <f>IFERROR(__xludf.DUMMYFUNCTION("""COMPUTED_VALUE"""),"")</f>
        <v/>
      </c>
      <c r="S52" s="4" t="str">
        <f>IFERROR(__xludf.DUMMYFUNCTION("""COMPUTED_VALUE"""),"")</f>
        <v/>
      </c>
      <c r="T52" s="4" t="str">
        <f>IFERROR(__xludf.DUMMYFUNCTION("""COMPUTED_VALUE"""),"")</f>
        <v/>
      </c>
      <c r="U52" s="21" t="str">
        <f>IFERROR(__xludf.DUMMYFUNCTION("""COMPUTED_VALUE"""),"https://drive.google.com/open?id=12nTgqAct8wJYDStfftK4CQ3Fz7gdUDji")</f>
        <v>https://drive.google.com/open?id=12nTgqAct8wJYDStfftK4CQ3Fz7gdUDji</v>
      </c>
    </row>
    <row r="53">
      <c r="A53" s="4">
        <f>IFERROR(__xludf.DUMMYFUNCTION("""COMPUTED_VALUE"""),52.0)</f>
        <v>52</v>
      </c>
      <c r="B53" s="4" t="str">
        <f>IFERROR(__xludf.DUMMYFUNCTION("""COMPUTED_VALUE"""),"Mike McGee, Framestore")</f>
        <v>Mike McGee, Framestore</v>
      </c>
      <c r="C53" s="4" t="str">
        <f>IFERROR(__xludf.DUMMYFUNCTION("""COMPUTED_VALUE"""),"Mike McGee")</f>
        <v>Mike McGee</v>
      </c>
      <c r="D53" s="4" t="str">
        <f>IFERROR(__xludf.DUMMYFUNCTION("""COMPUTED_VALUE"""),"Framestore")</f>
        <v>Framestore</v>
      </c>
      <c r="E53" s="4" t="str">
        <f>IFERROR(__xludf.DUMMYFUNCTION("""COMPUTED_VALUE"""),"")</f>
        <v/>
      </c>
      <c r="F53" s="4" t="str">
        <f>IFERROR(__xludf.DUMMYFUNCTION("""COMPUTED_VALUE"""),"Web Summit 2019 | Speaker")</f>
        <v>Web Summit 2019 | Speaker</v>
      </c>
      <c r="G53" s="4" t="str">
        <f>IFERROR(__xludf.DUMMYFUNCTION("""COMPUTED_VALUE"""),"Collision 2015 | Speaker")</f>
        <v>Collision 2015 | Speaker</v>
      </c>
      <c r="H53" s="4" t="str">
        <f>IFERROR(__xludf.DUMMYFUNCTION("""COMPUTED_VALUE"""),"please use Web Summit 2019 Centre Stage video here")</f>
        <v>please use Web Summit 2019 Centre Stage video here</v>
      </c>
      <c r="I53" s="21" t="str">
        <f>IFERROR(__xludf.DUMMYFUNCTION("""COMPUTED_VALUE"""),"https://vimeo.com/371381703/64a54cee18")</f>
        <v>https://vimeo.com/371381703/64a54cee18</v>
      </c>
      <c r="J53" s="4" t="str">
        <f>IFERROR(__xludf.DUMMYFUNCTION("""COMPUTED_VALUE"""),"Hugh")</f>
        <v>Hugh</v>
      </c>
      <c r="K53" s="4" t="str">
        <f>IFERROR(__xludf.DUMMYFUNCTION("""COMPUTED_VALUE"""),"")</f>
        <v/>
      </c>
      <c r="L53" s="4" t="str">
        <f>IFERROR(__xludf.DUMMYFUNCTION("""COMPUTED_VALUE"""),"")</f>
        <v/>
      </c>
      <c r="M53" s="4" t="str">
        <f>IFERROR(__xludf.DUMMYFUNCTION("""COMPUTED_VALUE"""),"")</f>
        <v/>
      </c>
      <c r="N53" s="4" t="str">
        <f>IFERROR(__xludf.DUMMYFUNCTION("""COMPUTED_VALUE"""),"")</f>
        <v/>
      </c>
      <c r="O53" s="4" t="str">
        <f>IFERROR(__xludf.DUMMYFUNCTION("""COMPUTED_VALUE"""),"")</f>
        <v/>
      </c>
      <c r="P53" s="4" t="str">
        <f>IFERROR(__xludf.DUMMYFUNCTION("""COMPUTED_VALUE"""),"")</f>
        <v/>
      </c>
      <c r="Q53" s="4" t="str">
        <f>IFERROR(__xludf.DUMMYFUNCTION("""COMPUTED_VALUE"""),"")</f>
        <v/>
      </c>
      <c r="R53" s="4" t="str">
        <f>IFERROR(__xludf.DUMMYFUNCTION("""COMPUTED_VALUE"""),"")</f>
        <v/>
      </c>
      <c r="S53" s="4" t="str">
        <f>IFERROR(__xludf.DUMMYFUNCTION("""COMPUTED_VALUE"""),"")</f>
        <v/>
      </c>
      <c r="T53" s="4" t="str">
        <f>IFERROR(__xludf.DUMMYFUNCTION("""COMPUTED_VALUE"""),"")</f>
        <v/>
      </c>
      <c r="U53" s="21" t="str">
        <f>IFERROR(__xludf.DUMMYFUNCTION("""COMPUTED_VALUE"""),"https://ws19-processed-videos.s3-eu-west-1.amazonaws.com/5aec3572-66ef-40d2-91eb-9d3c9af11296_How_to_create_awe.mp4")</f>
        <v>https://ws19-processed-videos.s3-eu-west-1.amazonaws.com/5aec3572-66ef-40d2-91eb-9d3c9af11296_How_to_create_awe.mp4</v>
      </c>
    </row>
    <row r="54">
      <c r="A54" s="4">
        <f>IFERROR(__xludf.DUMMYFUNCTION("""COMPUTED_VALUE"""),53.0)</f>
        <v>53</v>
      </c>
      <c r="B54" s="4" t="str">
        <f>IFERROR(__xludf.DUMMYFUNCTION("""COMPUTED_VALUE"""),"Roberto Azevêdo, World Trade Organization")</f>
        <v>Roberto Azevêdo, World Trade Organization</v>
      </c>
      <c r="C54" s="4" t="str">
        <f>IFERROR(__xludf.DUMMYFUNCTION("""COMPUTED_VALUE"""),"Roberto Azevêdo")</f>
        <v>Roberto Azevêdo</v>
      </c>
      <c r="D54" s="4" t="str">
        <f>IFERROR(__xludf.DUMMYFUNCTION("""COMPUTED_VALUE"""),"World Trade Organization")</f>
        <v>World Trade Organization</v>
      </c>
      <c r="E54" s="4" t="str">
        <f>IFERROR(__xludf.DUMMYFUNCTION("""COMPUTED_VALUE"""),"Mogens Lykketoft, President of the United Nations 
José Manuel Durão Barroso, Non-executive Chairman at Goldman Sachs 
Tom Nuttall, Charlemagne Columnist at The Economist.")</f>
        <v>Mogens Lykketoft, President of the United Nations 
José Manuel Durão Barroso, Non-executive Chairman at Goldman Sachs 
Tom Nuttall, Charlemagne Columnist at The Economist.</v>
      </c>
      <c r="F54" s="4" t="str">
        <f>IFERROR(__xludf.DUMMYFUNCTION("""COMPUTED_VALUE"""),"Web Summit 2016 | Speaker")</f>
        <v>Web Summit 2016 | Speaker</v>
      </c>
      <c r="G54" s="4" t="str">
        <f>IFERROR(__xludf.DUMMYFUNCTION("""COMPUTED_VALUE"""),"Web Summit 2016 | Speaker")</f>
        <v>Web Summit 2016 | Speaker</v>
      </c>
      <c r="H54" s="4" t="str">
        <f>IFERROR(__xludf.DUMMYFUNCTION("""COMPUTED_VALUE"""),"")</f>
        <v/>
      </c>
      <c r="I54" s="21" t="str">
        <f>IFERROR(__xludf.DUMMYFUNCTION("""COMPUTED_VALUE"""),"https://www.youtube.com/watch?v=nH8UZPEicGE")</f>
        <v>https://www.youtube.com/watch?v=nH8UZPEicGE</v>
      </c>
      <c r="J54" s="4" t="str">
        <f>IFERROR(__xludf.DUMMYFUNCTION("""COMPUTED_VALUE"""),"Carol")</f>
        <v>Carol</v>
      </c>
      <c r="K54" s="4" t="str">
        <f>IFERROR(__xludf.DUMMYFUNCTION("""COMPUTED_VALUE"""),"")</f>
        <v/>
      </c>
      <c r="L54" s="4" t="str">
        <f>IFERROR(__xludf.DUMMYFUNCTION("""COMPUTED_VALUE"""),"8 sec motion loop; mic all good throughout; Roberto's solid block from 6:04 - 10:52; mod's follow up Q on 14:25, Roberto's input on tech disruption 16:00-17:05")</f>
        <v>8 sec motion loop; mic all good throughout; Roberto's solid block from 6:04 - 10:52; mod's follow up Q on 14:25, Roberto's input on tech disruption 16:00-17:05</v>
      </c>
      <c r="M54" s="4" t="str">
        <f>IFERROR(__xludf.DUMMYFUNCTION("""COMPUTED_VALUE"""),"")</f>
        <v/>
      </c>
      <c r="N54" s="4" t="str">
        <f>IFERROR(__xludf.DUMMYFUNCTION("""COMPUTED_VALUE"""),"")</f>
        <v/>
      </c>
      <c r="O54" s="4" t="str">
        <f>IFERROR(__xludf.DUMMYFUNCTION("""COMPUTED_VALUE"""),"")</f>
        <v/>
      </c>
      <c r="P54" s="4" t="str">
        <f>IFERROR(__xludf.DUMMYFUNCTION("""COMPUTED_VALUE"""),"")</f>
        <v/>
      </c>
      <c r="Q54" s="4" t="str">
        <f>IFERROR(__xludf.DUMMYFUNCTION("""COMPUTED_VALUE"""),"")</f>
        <v/>
      </c>
      <c r="R54" s="4" t="str">
        <f>IFERROR(__xludf.DUMMYFUNCTION("""COMPUTED_VALUE"""),"")</f>
        <v/>
      </c>
      <c r="S54" s="4" t="str">
        <f>IFERROR(__xludf.DUMMYFUNCTION("""COMPUTED_VALUE"""),"")</f>
        <v/>
      </c>
      <c r="T54" s="4" t="str">
        <f>IFERROR(__xludf.DUMMYFUNCTION("""COMPUTED_VALUE"""),"")</f>
        <v/>
      </c>
      <c r="U54" s="21" t="str">
        <f>IFERROR(__xludf.DUMMYFUNCTION("""COMPUTED_VALUE"""),"https://drive.google.com/open?id=1PGib782ySz1xSX2gHVrMteA-J2rXHCBU")</f>
        <v>https://drive.google.com/open?id=1PGib782ySz1xSX2gHVrMteA-J2rXHCBU</v>
      </c>
    </row>
    <row r="55">
      <c r="A55" s="4">
        <f>IFERROR(__xludf.DUMMYFUNCTION("""COMPUTED_VALUE"""),54.0)</f>
        <v>54</v>
      </c>
      <c r="B55" s="4" t="str">
        <f>IFERROR(__xludf.DUMMYFUNCTION("""COMPUTED_VALUE"""),"John Krafcik, Waymo")</f>
        <v>John Krafcik, Waymo</v>
      </c>
      <c r="C55" s="4" t="str">
        <f>IFERROR(__xludf.DUMMYFUNCTION("""COMPUTED_VALUE"""),"John Krafcik")</f>
        <v>John Krafcik</v>
      </c>
      <c r="D55" s="4" t="str">
        <f>IFERROR(__xludf.DUMMYFUNCTION("""COMPUTED_VALUE"""),"Waymo")</f>
        <v>Waymo</v>
      </c>
      <c r="E55" s="4" t="str">
        <f>IFERROR(__xludf.DUMMYFUNCTION("""COMPUTED_VALUE"""),"")</f>
        <v/>
      </c>
      <c r="F55" s="4" t="str">
        <f>IFERROR(__xludf.DUMMYFUNCTION("""COMPUTED_VALUE"""),"Web Summit 2017 | Speaker")</f>
        <v>Web Summit 2017 | Speaker</v>
      </c>
      <c r="G55" s="4" t="str">
        <f>IFERROR(__xludf.DUMMYFUNCTION("""COMPUTED_VALUE"""),"Web Summit 2017 | Speaker")</f>
        <v>Web Summit 2017 | Speaker</v>
      </c>
      <c r="H55" s="4" t="str">
        <f>IFERROR(__xludf.DUMMYFUNCTION("""COMPUTED_VALUE"""),"")</f>
        <v/>
      </c>
      <c r="I55" s="21" t="str">
        <f>IFERROR(__xludf.DUMMYFUNCTION("""COMPUTED_VALUE"""),"https://www.youtube.com/watch?v=fWBVpto5Sgk&amp;t=1s")</f>
        <v>https://www.youtube.com/watch?v=fWBVpto5Sgk&amp;t=1s</v>
      </c>
      <c r="J55" s="4" t="str">
        <f>IFERROR(__xludf.DUMMYFUNCTION("""COMPUTED_VALUE"""),"Carol")</f>
        <v>Carol</v>
      </c>
      <c r="K55" s="4" t="str">
        <f>IFERROR(__xludf.DUMMYFUNCTION("""COMPUTED_VALUE"""),"")</f>
        <v/>
      </c>
      <c r="L55" s="4" t="str">
        <f>IFERROR(__xludf.DUMMYFUNCTION("""COMPUTED_VALUE"""),"no motion loop, no intro. mic good throughout. Clear msg, flourish (a car), multi-media demo involved.")</f>
        <v>no motion loop, no intro. mic good throughout. Clear msg, flourish (a car), multi-media demo involved.</v>
      </c>
      <c r="M55" s="4" t="str">
        <f>IFERROR(__xludf.DUMMYFUNCTION("""COMPUTED_VALUE"""),"")</f>
        <v/>
      </c>
      <c r="N55" s="4" t="str">
        <f>IFERROR(__xludf.DUMMYFUNCTION("""COMPUTED_VALUE"""),"")</f>
        <v/>
      </c>
      <c r="O55" s="4" t="str">
        <f>IFERROR(__xludf.DUMMYFUNCTION("""COMPUTED_VALUE"""),"")</f>
        <v/>
      </c>
      <c r="P55" s="4" t="str">
        <f>IFERROR(__xludf.DUMMYFUNCTION("""COMPUTED_VALUE"""),"")</f>
        <v/>
      </c>
      <c r="Q55" s="4" t="str">
        <f>IFERROR(__xludf.DUMMYFUNCTION("""COMPUTED_VALUE"""),"")</f>
        <v/>
      </c>
      <c r="R55" s="4" t="str">
        <f>IFERROR(__xludf.DUMMYFUNCTION("""COMPUTED_VALUE"""),"")</f>
        <v/>
      </c>
      <c r="S55" s="4" t="str">
        <f>IFERROR(__xludf.DUMMYFUNCTION("""COMPUTED_VALUE"""),"")</f>
        <v/>
      </c>
      <c r="T55" s="4" t="str">
        <f>IFERROR(__xludf.DUMMYFUNCTION("""COMPUTED_VALUE"""),"")</f>
        <v/>
      </c>
      <c r="U55" s="21" t="str">
        <f>IFERROR(__xludf.DUMMYFUNCTION("""COMPUTED_VALUE"""),"https://ws17-videos.s3-eu-west-1.amazonaws.com/CS_7_20_A+new+way+forward+for+self-driving+cars_000000_002224.mp4")</f>
        <v>https://ws17-videos.s3-eu-west-1.amazonaws.com/CS_7_20_A+new+way+forward+for+self-driving+cars_000000_002224.mp4</v>
      </c>
    </row>
    <row r="56">
      <c r="A56" s="4">
        <f>IFERROR(__xludf.DUMMYFUNCTION("""COMPUTED_VALUE"""),55.0)</f>
        <v>55</v>
      </c>
      <c r="B56" s="4" t="str">
        <f>IFERROR(__xludf.DUMMYFUNCTION("""COMPUTED_VALUE"""),"Sean Rad, Tinder")</f>
        <v>Sean Rad, Tinder</v>
      </c>
      <c r="C56" s="4" t="str">
        <f>IFERROR(__xludf.DUMMYFUNCTION("""COMPUTED_VALUE"""),"Sean Rad")</f>
        <v>Sean Rad</v>
      </c>
      <c r="D56" s="4" t="str">
        <f>IFERROR(__xludf.DUMMYFUNCTION("""COMPUTED_VALUE"""),"Tinder")</f>
        <v>Tinder</v>
      </c>
      <c r="E56" s="4" t="str">
        <f>IFERROR(__xludf.DUMMYFUNCTION("""COMPUTED_VALUE"""),"Casey Lau, RISE")</f>
        <v>Casey Lau, RISE</v>
      </c>
      <c r="F56" s="4" t="str">
        <f>IFERROR(__xludf.DUMMYFUNCTION("""COMPUTED_VALUE"""),"Web Summit 2018 | Speaker
RISE 2018 | Speaker
Web Summit 2016 | Speaker
Web Summit 2015 | Speaker")</f>
        <v>Web Summit 2018 | Speaker
RISE 2018 | Speaker
Web Summit 2016 | Speaker
Web Summit 2015 | Speaker</v>
      </c>
      <c r="G56" s="4" t="str">
        <f>IFERROR(__xludf.DUMMYFUNCTION("""COMPUTED_VALUE"""),"Web Summit 2018 | Speaker
RISE 2018 | Speaker
Web Summit 2016 | Speaker
F.ounders Dublin 2015 | Founder
Web Summit 2015 | Speaker")</f>
        <v>Web Summit 2018 | Speaker
RISE 2018 | Speaker
Web Summit 2016 | Speaker
F.ounders Dublin 2015 | Founder
Web Summit 2015 | Speaker</v>
      </c>
      <c r="H56" s="4" t="str">
        <f>IFERROR(__xludf.DUMMYFUNCTION("""COMPUTED_VALUE"""),"")</f>
        <v/>
      </c>
      <c r="I56" s="21" t="str">
        <f>IFERROR(__xludf.DUMMYFUNCTION("""COMPUTED_VALUE"""),"https://www.youtube.com/watch?v=IBTkt_DCHAc")</f>
        <v>https://www.youtube.com/watch?v=IBTkt_DCHAc</v>
      </c>
      <c r="J56" s="4" t="str">
        <f>IFERROR(__xludf.DUMMYFUNCTION("""COMPUTED_VALUE"""),"Carol")</f>
        <v>Carol</v>
      </c>
      <c r="K56" s="4" t="str">
        <f>IFERROR(__xludf.DUMMYFUNCTION("""COMPUTED_VALUE"""),"")</f>
        <v/>
      </c>
      <c r="L56" s="4" t="str">
        <f>IFERROR(__xludf.DUMMYFUNCTION("""COMPUTED_VALUE"""),"can cut the first 5 sec. mic good. ")</f>
        <v>can cut the first 5 sec. mic good. </v>
      </c>
      <c r="M56" s="4" t="str">
        <f>IFERROR(__xludf.DUMMYFUNCTION("""COMPUTED_VALUE"""),"")</f>
        <v/>
      </c>
      <c r="N56" s="4" t="str">
        <f>IFERROR(__xludf.DUMMYFUNCTION("""COMPUTED_VALUE"""),"")</f>
        <v/>
      </c>
      <c r="O56" s="4" t="str">
        <f>IFERROR(__xludf.DUMMYFUNCTION("""COMPUTED_VALUE"""),"")</f>
        <v/>
      </c>
      <c r="P56" s="4" t="str">
        <f>IFERROR(__xludf.DUMMYFUNCTION("""COMPUTED_VALUE"""),"")</f>
        <v/>
      </c>
      <c r="Q56" s="4" t="str">
        <f>IFERROR(__xludf.DUMMYFUNCTION("""COMPUTED_VALUE"""),"")</f>
        <v/>
      </c>
      <c r="R56" s="4" t="str">
        <f>IFERROR(__xludf.DUMMYFUNCTION("""COMPUTED_VALUE"""),"")</f>
        <v/>
      </c>
      <c r="S56" s="4" t="str">
        <f>IFERROR(__xludf.DUMMYFUNCTION("""COMPUTED_VALUE"""),"")</f>
        <v/>
      </c>
      <c r="T56" s="4" t="str">
        <f>IFERROR(__xludf.DUMMYFUNCTION("""COMPUTED_VALUE"""),"")</f>
        <v/>
      </c>
      <c r="U56" s="21" t="str">
        <f>IFERROR(__xludf.DUMMYFUNCTION("""COMPUTED_VALUE"""),"https://rise18-videos.s3-eu-west-1.amazonaws.com/a3d9b1ee-a76b-4dfc-91b2-337e7fae1d37_From_Tinder_to_investor_The_story_of_Sean_Rad.mp4")</f>
        <v>https://rise18-videos.s3-eu-west-1.amazonaws.com/a3d9b1ee-a76b-4dfc-91b2-337e7fae1d37_From_Tinder_to_investor_The_story_of_Sean_Rad.mp4</v>
      </c>
    </row>
    <row r="57">
      <c r="A57" s="4">
        <f>IFERROR(__xludf.DUMMYFUNCTION("""COMPUTED_VALUE"""),56.0)</f>
        <v>56</v>
      </c>
      <c r="B57" s="4" t="str">
        <f>IFERROR(__xludf.DUMMYFUNCTION("""COMPUTED_VALUE"""),"John Zimmer, Lyft")</f>
        <v>John Zimmer, Lyft</v>
      </c>
      <c r="C57" s="4" t="str">
        <f>IFERROR(__xludf.DUMMYFUNCTION("""COMPUTED_VALUE"""),"John Zimmer ")</f>
        <v>John Zimmer </v>
      </c>
      <c r="D57" s="4" t="str">
        <f>IFERROR(__xludf.DUMMYFUNCTION("""COMPUTED_VALUE"""),"Lyft")</f>
        <v>Lyft</v>
      </c>
      <c r="E57" s="4" t="str">
        <f>IFERROR(__xludf.DUMMYFUNCTION("""COMPUTED_VALUE"""),"Jonathan Krim, The Wall Street Journal")</f>
        <v>Jonathan Krim, The Wall Street Journal</v>
      </c>
      <c r="F57" s="4" t="str">
        <f>IFERROR(__xludf.DUMMYFUNCTION("""COMPUTED_VALUE"""),"Collision 2018 | Speaker
Collision 2015 | Speaker")</f>
        <v>Collision 2018 | Speaker
Collision 2015 | Speaker</v>
      </c>
      <c r="G57" s="4" t="str">
        <f>IFERROR(__xludf.DUMMYFUNCTION("""COMPUTED_VALUE"""),"Collision 2018 | Speaker
Collision 2015 | Speaker")</f>
        <v>Collision 2018 | Speaker
Collision 2015 | Speaker</v>
      </c>
      <c r="H57" s="4" t="str">
        <f>IFERROR(__xludf.DUMMYFUNCTION("""COMPUTED_VALUE"""),"")</f>
        <v/>
      </c>
      <c r="I57" s="4" t="str">
        <f>IFERROR(__xludf.DUMMYFUNCTION("""COMPUTED_VALUE"""),"https://www.youtube.com/watch?v=ZkqP98eFuQQ
https://www.youtube.com/watch?v=SRZ9o0o4reU")</f>
        <v>https://www.youtube.com/watch?v=ZkqP98eFuQQ
https://www.youtube.com/watch?v=SRZ9o0o4reU</v>
      </c>
      <c r="J57" s="4" t="str">
        <f>IFERROR(__xludf.DUMMYFUNCTION("""COMPUTED_VALUE"""),"Carol")</f>
        <v>Carol</v>
      </c>
      <c r="K57" s="4" t="str">
        <f>IFERROR(__xludf.DUMMYFUNCTION("""COMPUTED_VALUE"""),"")</f>
        <v/>
      </c>
      <c r="L57" s="4" t="str">
        <f>IFERROR(__xludf.DUMMYFUNCTION("""COMPUTED_VALUE"""),"All good. Although... the height-difference of John and Jonathan's chairs look weird in wide shots")</f>
        <v>All good. Although... the height-difference of John and Jonathan's chairs look weird in wide shots</v>
      </c>
      <c r="M57" s="4" t="str">
        <f>IFERROR(__xludf.DUMMYFUNCTION("""COMPUTED_VALUE"""),"")</f>
        <v/>
      </c>
      <c r="N57" s="4" t="str">
        <f>IFERROR(__xludf.DUMMYFUNCTION("""COMPUTED_VALUE"""),"")</f>
        <v/>
      </c>
      <c r="O57" s="4" t="str">
        <f>IFERROR(__xludf.DUMMYFUNCTION("""COMPUTED_VALUE"""),"")</f>
        <v/>
      </c>
      <c r="P57" s="4" t="str">
        <f>IFERROR(__xludf.DUMMYFUNCTION("""COMPUTED_VALUE"""),"")</f>
        <v/>
      </c>
      <c r="Q57" s="4" t="str">
        <f>IFERROR(__xludf.DUMMYFUNCTION("""COMPUTED_VALUE"""),"")</f>
        <v/>
      </c>
      <c r="R57" s="4" t="str">
        <f>IFERROR(__xludf.DUMMYFUNCTION("""COMPUTED_VALUE"""),"")</f>
        <v/>
      </c>
      <c r="S57" s="4" t="str">
        <f>IFERROR(__xludf.DUMMYFUNCTION("""COMPUTED_VALUE"""),"")</f>
        <v/>
      </c>
      <c r="T57" s="4" t="str">
        <f>IFERROR(__xludf.DUMMYFUNCTION("""COMPUTED_VALUE"""),"")</f>
        <v/>
      </c>
      <c r="U57" s="21" t="str">
        <f>IFERROR(__xludf.DUMMYFUNCTION("""COMPUTED_VALUE"""),"https://cc18-videos.s3-eu-west-1.amazonaws.com/16e7f666-8111-4a23-9ca3-b77f9f5267ab_Inside_Lyfts_rising_share_of_the_ridesharing_market.mp4")</f>
        <v>https://cc18-videos.s3-eu-west-1.amazonaws.com/16e7f666-8111-4a23-9ca3-b77f9f5267ab_Inside_Lyfts_rising_share_of_the_ridesharing_market.mp4</v>
      </c>
    </row>
    <row r="58">
      <c r="A58" s="4">
        <f>IFERROR(__xludf.DUMMYFUNCTION("""COMPUTED_VALUE"""),57.0)</f>
        <v>57</v>
      </c>
      <c r="B58" s="4" t="str">
        <f>IFERROR(__xludf.DUMMYFUNCTION("""COMPUTED_VALUE"""),"Jared Cohen, Google Jigsaw")</f>
        <v>Jared Cohen, Google Jigsaw</v>
      </c>
      <c r="C58" s="4" t="str">
        <f>IFERROR(__xludf.DUMMYFUNCTION("""COMPUTED_VALUE"""),"Jared Cohen")</f>
        <v>Jared Cohen</v>
      </c>
      <c r="D58" s="4" t="str">
        <f>IFERROR(__xludf.DUMMYFUNCTION("""COMPUTED_VALUE"""),"Jigsaw")</f>
        <v>Jigsaw</v>
      </c>
      <c r="E58" s="4" t="str">
        <f>IFERROR(__xludf.DUMMYFUNCTION("""COMPUTED_VALUE"""),"")</f>
        <v/>
      </c>
      <c r="F58" s="4" t="str">
        <f>IFERROR(__xludf.DUMMYFUNCTION("""COMPUTED_VALUE"""),"Web Summit 2017 | Speaker")</f>
        <v>Web Summit 2017 | Speaker</v>
      </c>
      <c r="G58" s="4" t="str">
        <f>IFERROR(__xludf.DUMMYFUNCTION("""COMPUTED_VALUE"""),"Web Summit 2017 | Speaker")</f>
        <v>Web Summit 2017 | Speaker</v>
      </c>
      <c r="H58" s="4" t="str">
        <f>IFERROR(__xludf.DUMMYFUNCTION("""COMPUTED_VALUE"""),"")</f>
        <v/>
      </c>
      <c r="I58" s="21" t="str">
        <f>IFERROR(__xludf.DUMMYFUNCTION("""COMPUTED_VALUE"""),"https://www.youtube.com/watch?v=K_CODeunm20&amp;t=1s")</f>
        <v>https://www.youtube.com/watch?v=K_CODeunm20&amp;t=1s</v>
      </c>
      <c r="J58" s="4" t="str">
        <f>IFERROR(__xludf.DUMMYFUNCTION("""COMPUTED_VALUE"""),"Dan")</f>
        <v>Dan</v>
      </c>
      <c r="K58" s="4" t="str">
        <f>IFERROR(__xludf.DUMMYFUNCTION("""COMPUTED_VALUE"""),"")</f>
        <v/>
      </c>
      <c r="L58" s="4" t="str">
        <f>IFERROR(__xludf.DUMMYFUNCTION("""COMPUTED_VALUE"""),"Intro loop is 1:04 long. Cut end loop at 23:07")</f>
        <v>Intro loop is 1:04 long. Cut end loop at 23:07</v>
      </c>
      <c r="M58" s="4" t="str">
        <f>IFERROR(__xludf.DUMMYFUNCTION("""COMPUTED_VALUE"""),"")</f>
        <v/>
      </c>
      <c r="N58" s="4" t="str">
        <f>IFERROR(__xludf.DUMMYFUNCTION("""COMPUTED_VALUE"""),"")</f>
        <v/>
      </c>
      <c r="O58" s="4" t="str">
        <f>IFERROR(__xludf.DUMMYFUNCTION("""COMPUTED_VALUE"""),"")</f>
        <v/>
      </c>
      <c r="P58" s="4" t="str">
        <f>IFERROR(__xludf.DUMMYFUNCTION("""COMPUTED_VALUE"""),"")</f>
        <v/>
      </c>
      <c r="Q58" s="4" t="str">
        <f>IFERROR(__xludf.DUMMYFUNCTION("""COMPUTED_VALUE"""),"")</f>
        <v/>
      </c>
      <c r="R58" s="4" t="str">
        <f>IFERROR(__xludf.DUMMYFUNCTION("""COMPUTED_VALUE"""),"")</f>
        <v/>
      </c>
      <c r="S58" s="4" t="str">
        <f>IFERROR(__xludf.DUMMYFUNCTION("""COMPUTED_VALUE"""),"")</f>
        <v/>
      </c>
      <c r="T58" s="4" t="str">
        <f>IFERROR(__xludf.DUMMYFUNCTION("""COMPUTED_VALUE"""),"")</f>
        <v/>
      </c>
      <c r="U58" s="21" t="str">
        <f>IFERROR(__xludf.DUMMYFUNCTION("""COMPUTED_VALUE"""),"https://ws17-videos.s3-eu-west-1.amazonaws.com/CS_7_05_How+to+prevent+a+cyberwar_000020_002212.mp4")</f>
        <v>https://ws17-videos.s3-eu-west-1.amazonaws.com/CS_7_05_How+to+prevent+a+cyberwar_000020_002212.mp4</v>
      </c>
    </row>
    <row r="59">
      <c r="A59" s="4">
        <f>IFERROR(__xludf.DUMMYFUNCTION("""COMPUTED_VALUE"""),58.0)</f>
        <v>58</v>
      </c>
      <c r="B59" s="4" t="str">
        <f>IFERROR(__xludf.DUMMYFUNCTION("""COMPUTED_VALUE"""),"Peggy Johnson, Microsoft")</f>
        <v>Peggy Johnson, Microsoft</v>
      </c>
      <c r="C59" s="4" t="str">
        <f>IFERROR(__xludf.DUMMYFUNCTION("""COMPUTED_VALUE"""),"Peggy Johnson")</f>
        <v>Peggy Johnson</v>
      </c>
      <c r="D59" s="4" t="str">
        <f>IFERROR(__xludf.DUMMYFUNCTION("""COMPUTED_VALUE"""),"Microsoft")</f>
        <v>Microsoft</v>
      </c>
      <c r="E59" s="4" t="str">
        <f>IFERROR(__xludf.DUMMYFUNCTION("""COMPUTED_VALUE"""),"Kirt McMaster &amp; Mood Rowghani")</f>
        <v>Kirt McMaster &amp; Mood Rowghani</v>
      </c>
      <c r="F59" s="4" t="str">
        <f>IFERROR(__xludf.DUMMYFUNCTION("""COMPUTED_VALUE"""),"Collision 2019 | Speaker &amp; Investor
RISE 2016 | Speaker
Web Summit 2015 | Speaker")</f>
        <v>Collision 2019 | Speaker &amp; Investor
RISE 2016 | Speaker
Web Summit 2015 | Speaker</v>
      </c>
      <c r="G59" s="4" t="str">
        <f>IFERROR(__xludf.DUMMYFUNCTION("""COMPUTED_VALUE"""),"Collision 2019 | Speaker &amp; Investor
Converge 2016 (Hong Kong) | Investor
RISE 2016 | Speaker
Web Summit 2015 | Speaker")</f>
        <v>Collision 2019 | Speaker &amp; Investor
Converge 2016 (Hong Kong) | Investor
RISE 2016 | Speaker
Web Summit 2015 | Speaker</v>
      </c>
      <c r="H59" s="4" t="str">
        <f>IFERROR(__xludf.DUMMYFUNCTION("""COMPUTED_VALUE"""),"")</f>
        <v/>
      </c>
      <c r="I59" s="21" t="str">
        <f>IFERROR(__xludf.DUMMYFUNCTION("""COMPUTED_VALUE"""),"https://www.youtube.com/watch?v=vgM2-i-n9a8")</f>
        <v>https://www.youtube.com/watch?v=vgM2-i-n9a8</v>
      </c>
      <c r="J59" s="4" t="str">
        <f>IFERROR(__xludf.DUMMYFUNCTION("""COMPUTED_VALUE"""),"Dan")</f>
        <v>Dan</v>
      </c>
      <c r="K59" s="4" t="str">
        <f>IFERROR(__xludf.DUMMYFUNCTION("""COMPUTED_VALUE"""),"")</f>
        <v/>
      </c>
      <c r="L59" s="4" t="str">
        <f>IFERROR(__xludf.DUMMYFUNCTION("""COMPUTED_VALUE"""),"All good")</f>
        <v>All good</v>
      </c>
      <c r="M59" s="4" t="str">
        <f>IFERROR(__xludf.DUMMYFUNCTION("""COMPUTED_VALUE"""),"")</f>
        <v/>
      </c>
      <c r="N59" s="4" t="str">
        <f>IFERROR(__xludf.DUMMYFUNCTION("""COMPUTED_VALUE"""),"")</f>
        <v/>
      </c>
      <c r="O59" s="4" t="str">
        <f>IFERROR(__xludf.DUMMYFUNCTION("""COMPUTED_VALUE"""),"")</f>
        <v/>
      </c>
      <c r="P59" s="4" t="str">
        <f>IFERROR(__xludf.DUMMYFUNCTION("""COMPUTED_VALUE"""),"")</f>
        <v/>
      </c>
      <c r="Q59" s="4" t="str">
        <f>IFERROR(__xludf.DUMMYFUNCTION("""COMPUTED_VALUE"""),"")</f>
        <v/>
      </c>
      <c r="R59" s="4" t="str">
        <f>IFERROR(__xludf.DUMMYFUNCTION("""COMPUTED_VALUE"""),"")</f>
        <v/>
      </c>
      <c r="S59" s="4" t="str">
        <f>IFERROR(__xludf.DUMMYFUNCTION("""COMPUTED_VALUE"""),"")</f>
        <v/>
      </c>
      <c r="T59" s="4" t="str">
        <f>IFERROR(__xludf.DUMMYFUNCTION("""COMPUTED_VALUE"""),"")</f>
        <v/>
      </c>
      <c r="U59" s="21" t="str">
        <f>IFERROR(__xludf.DUMMYFUNCTION("""COMPUTED_VALUE"""),"https://drive.google.com/open?id=1wJ3QpAjpH_jd5OXxL0hwxRJ_d8sD9Jih")</f>
        <v>https://drive.google.com/open?id=1wJ3QpAjpH_jd5OXxL0hwxRJ_d8sD9Jih</v>
      </c>
    </row>
    <row r="60">
      <c r="A60" s="4">
        <f>IFERROR(__xludf.DUMMYFUNCTION("""COMPUTED_VALUE"""),59.0)</f>
        <v>59</v>
      </c>
      <c r="B60" s="4" t="str">
        <f>IFERROR(__xludf.DUMMYFUNCTION("""COMPUTED_VALUE"""),"Nico Rosberg, Formula E")</f>
        <v>Nico Rosberg, Formula E</v>
      </c>
      <c r="C60" s="4" t="str">
        <f>IFERROR(__xludf.DUMMYFUNCTION("""COMPUTED_VALUE"""),"Nico Rosberg")</f>
        <v>Nico Rosberg</v>
      </c>
      <c r="D60" s="4" t="str">
        <f>IFERROR(__xludf.DUMMYFUNCTION("""COMPUTED_VALUE"""),"Formula E")</f>
        <v>Formula E</v>
      </c>
      <c r="E60" s="4" t="str">
        <f>IFERROR(__xludf.DUMMYFUNCTION("""COMPUTED_VALUE"""),"")</f>
        <v/>
      </c>
      <c r="F60" s="4" t="str">
        <f>IFERROR(__xludf.DUMMYFUNCTION("""COMPUTED_VALUE"""),"Web Summit 2018 | Speaker")</f>
        <v>Web Summit 2018 | Speaker</v>
      </c>
      <c r="G60" s="4" t="str">
        <f>IFERROR(__xludf.DUMMYFUNCTION("""COMPUTED_VALUE"""),"Web Summit 2018 | Speaker")</f>
        <v>Web Summit 2018 | Speaker</v>
      </c>
      <c r="H60" s="4" t="str">
        <f>IFERROR(__xludf.DUMMYFUNCTION("""COMPUTED_VALUE"""),"")</f>
        <v/>
      </c>
      <c r="I60" s="21" t="str">
        <f>IFERROR(__xludf.DUMMYFUNCTION("""COMPUTED_VALUE"""),"https://www.youtube.com/watch?v=5gzg0uTIWIo")</f>
        <v>https://www.youtube.com/watch?v=5gzg0uTIWIo</v>
      </c>
      <c r="J60" s="4" t="str">
        <f>IFERROR(__xludf.DUMMYFUNCTION("""COMPUTED_VALUE"""),"Hugh")</f>
        <v>Hugh</v>
      </c>
      <c r="K60" s="4" t="str">
        <f>IFERROR(__xludf.DUMMYFUNCTION("""COMPUTED_VALUE"""),"")</f>
        <v/>
      </c>
      <c r="L60" s="4" t="str">
        <f>IFERROR(__xludf.DUMMYFUNCTION("""COMPUTED_VALUE"""),"Good to go")</f>
        <v>Good to go</v>
      </c>
      <c r="M60" s="4" t="str">
        <f>IFERROR(__xludf.DUMMYFUNCTION("""COMPUTED_VALUE"""),"")</f>
        <v/>
      </c>
      <c r="N60" s="4" t="str">
        <f>IFERROR(__xludf.DUMMYFUNCTION("""COMPUTED_VALUE"""),"")</f>
        <v/>
      </c>
      <c r="O60" s="4" t="str">
        <f>IFERROR(__xludf.DUMMYFUNCTION("""COMPUTED_VALUE"""),"")</f>
        <v/>
      </c>
      <c r="P60" s="4" t="str">
        <f>IFERROR(__xludf.DUMMYFUNCTION("""COMPUTED_VALUE"""),"")</f>
        <v/>
      </c>
      <c r="Q60" s="4" t="str">
        <f>IFERROR(__xludf.DUMMYFUNCTION("""COMPUTED_VALUE"""),"")</f>
        <v/>
      </c>
      <c r="R60" s="4" t="str">
        <f>IFERROR(__xludf.DUMMYFUNCTION("""COMPUTED_VALUE"""),"")</f>
        <v/>
      </c>
      <c r="S60" s="4" t="str">
        <f>IFERROR(__xludf.DUMMYFUNCTION("""COMPUTED_VALUE"""),"")</f>
        <v/>
      </c>
      <c r="T60" s="4" t="str">
        <f>IFERROR(__xludf.DUMMYFUNCTION("""COMPUTED_VALUE"""),"")</f>
        <v/>
      </c>
      <c r="U60" s="21" t="str">
        <f>IFERROR(__xludf.DUMMYFUNCTION("""COMPUTED_VALUE"""),"https://ws18-videos.s3-eu-west-1.amazonaws.com/unprocessed/1ba88cc7-d632-4952-a9bb-a7d25dcca1b9_How_to_win_your_own_grand_prix%3F.mp4")</f>
        <v>https://ws18-videos.s3-eu-west-1.amazonaws.com/unprocessed/1ba88cc7-d632-4952-a9bb-a7d25dcca1b9_How_to_win_your_own_grand_prix%3F.mp4</v>
      </c>
    </row>
    <row r="61">
      <c r="A61" s="4">
        <f>IFERROR(__xludf.DUMMYFUNCTION("""COMPUTED_VALUE"""),60.0)</f>
        <v>60</v>
      </c>
      <c r="B61" s="4" t="str">
        <f>IFERROR(__xludf.DUMMYFUNCTION("""COMPUTED_VALUE"""),"Stan Chudnovsky, Facebook")</f>
        <v>Stan Chudnovsky, Facebook</v>
      </c>
      <c r="C61" s="4" t="str">
        <f>IFERROR(__xludf.DUMMYFUNCTION("""COMPUTED_VALUE"""),"Stan Chudnovsky")</f>
        <v>Stan Chudnovsky</v>
      </c>
      <c r="D61" s="4" t="str">
        <f>IFERROR(__xludf.DUMMYFUNCTION("""COMPUTED_VALUE"""),"Facebook")</f>
        <v>Facebook</v>
      </c>
      <c r="E61" s="4" t="str">
        <f>IFERROR(__xludf.DUMMYFUNCTION("""COMPUTED_VALUE"""),"")</f>
        <v/>
      </c>
      <c r="F61" s="4" t="str">
        <f>IFERROR(__xludf.DUMMYFUNCTION("""COMPUTED_VALUE"""),"Web Summit 2017 | Speaker
Collision 2017 | Speaker
Collision 2015 | Speaker")</f>
        <v>Web Summit 2017 | Speaker
Collision 2017 | Speaker
Collision 2015 | Speaker</v>
      </c>
      <c r="G61" s="4" t="str">
        <f>IFERROR(__xludf.DUMMYFUNCTION("""COMPUTED_VALUE"""),"Web Summit 2017 | Speaker
Collision 2017 | Speaker
Collision 2015 | Speaker
F.ounders Dublin 2013 | Partner")</f>
        <v>Web Summit 2017 | Speaker
Collision 2017 | Speaker
Collision 2015 | Speaker
F.ounders Dublin 2013 | Partner</v>
      </c>
      <c r="H61" s="4" t="str">
        <f>IFERROR(__xludf.DUMMYFUNCTION("""COMPUTED_VALUE"""),"Web Summit 2017")</f>
        <v>Web Summit 2017</v>
      </c>
      <c r="I61" s="21" t="str">
        <f>IFERROR(__xludf.DUMMYFUNCTION("""COMPUTED_VALUE"""),"https://www.youtube.com/watch?v=VEB2j45dEeE&amp;t=1s")</f>
        <v>https://www.youtube.com/watch?v=VEB2j45dEeE&amp;t=1s</v>
      </c>
      <c r="J61" s="4" t="str">
        <f>IFERROR(__xludf.DUMMYFUNCTION("""COMPUTED_VALUE"""),"Hugh")</f>
        <v>Hugh</v>
      </c>
      <c r="K61" s="4" t="str">
        <f>IFERROR(__xludf.DUMMYFUNCTION("""COMPUTED_VALUE"""),"")</f>
        <v/>
      </c>
      <c r="L61" s="4" t="str">
        <f>IFERROR(__xludf.DUMMYFUNCTION("""COMPUTED_VALUE"""),"Motion loop with first 8 seconds. Can cut video at 21:05 as the next minute and a half are dead air")</f>
        <v>Motion loop with first 8 seconds. Can cut video at 21:05 as the next minute and a half are dead air</v>
      </c>
      <c r="M61" s="4" t="str">
        <f>IFERROR(__xludf.DUMMYFUNCTION("""COMPUTED_VALUE"""),"21:05 - 22:10 (Cut)")</f>
        <v>21:05 - 22:10 (Cut)</v>
      </c>
      <c r="N61" s="4" t="str">
        <f>IFERROR(__xludf.DUMMYFUNCTION("""COMPUTED_VALUE"""),"")</f>
        <v/>
      </c>
      <c r="O61" s="4" t="str">
        <f>IFERROR(__xludf.DUMMYFUNCTION("""COMPUTED_VALUE"""),"")</f>
        <v/>
      </c>
      <c r="P61" s="4" t="str">
        <f>IFERROR(__xludf.DUMMYFUNCTION("""COMPUTED_VALUE"""),"")</f>
        <v/>
      </c>
      <c r="Q61" s="4" t="str">
        <f>IFERROR(__xludf.DUMMYFUNCTION("""COMPUTED_VALUE"""),"")</f>
        <v/>
      </c>
      <c r="R61" s="4" t="str">
        <f>IFERROR(__xludf.DUMMYFUNCTION("""COMPUTED_VALUE"""),"")</f>
        <v/>
      </c>
      <c r="S61" s="4" t="str">
        <f>IFERROR(__xludf.DUMMYFUNCTION("""COMPUTED_VALUE"""),"")</f>
        <v/>
      </c>
      <c r="T61" s="4" t="str">
        <f>IFERROR(__xludf.DUMMYFUNCTION("""COMPUTED_VALUE"""),"")</f>
        <v/>
      </c>
      <c r="U61" s="21" t="str">
        <f>IFERROR(__xludf.DUMMYFUNCTION("""COMPUTED_VALUE"""),"https://ws17-videos.s3-eu-west-1.amazonaws.com/CS_7_17_The+evolution+of+conversation+Facebook's+Stan+Chudnovsky_000007_002102.mp4")</f>
        <v>https://ws17-videos.s3-eu-west-1.amazonaws.com/CS_7_17_The+evolution+of+conversation+Facebook's+Stan+Chudnovsky_000007_002102.mp4</v>
      </c>
    </row>
    <row r="62">
      <c r="A62" s="4">
        <f>IFERROR(__xludf.DUMMYFUNCTION("""COMPUTED_VALUE"""),61.0)</f>
        <v>61</v>
      </c>
      <c r="B62" s="4" t="str">
        <f>IFERROR(__xludf.DUMMYFUNCTION("""COMPUTED_VALUE"""),"Daniel Seah, Digital Domain")</f>
        <v>Daniel Seah, Digital Domain</v>
      </c>
      <c r="C62" s="4" t="str">
        <f>IFERROR(__xludf.DUMMYFUNCTION("""COMPUTED_VALUE"""),"Daniel Seah")</f>
        <v>Daniel Seah</v>
      </c>
      <c r="D62" s="4" t="str">
        <f>IFERROR(__xludf.DUMMYFUNCTION("""COMPUTED_VALUE"""),"Digital Domain")</f>
        <v>Digital Domain</v>
      </c>
      <c r="E62" s="4" t="str">
        <f>IFERROR(__xludf.DUMMYFUNCTION("""COMPUTED_VALUE"""),"")</f>
        <v/>
      </c>
      <c r="F62" s="4" t="str">
        <f>IFERROR(__xludf.DUMMYFUNCTION("""COMPUTED_VALUE"""),"RISE 2018 | Speaker")</f>
        <v>RISE 2018 | Speaker</v>
      </c>
      <c r="G62" s="4" t="str">
        <f>IFERROR(__xludf.DUMMYFUNCTION("""COMPUTED_VALUE"""),"RISE 2018 | Speaker")</f>
        <v>RISE 2018 | Speaker</v>
      </c>
      <c r="H62" s="4" t="str">
        <f>IFERROR(__xludf.DUMMYFUNCTION("""COMPUTED_VALUE"""),"")</f>
        <v/>
      </c>
      <c r="I62" s="21" t="str">
        <f>IFERROR(__xludf.DUMMYFUNCTION("""COMPUTED_VALUE"""),"https://www.youtube.com/watch?v=JG_9Jig2_z4&amp;list=PL8sP26EBxQr8kl9VHB0UsnOIOXDChNDKw&amp;index=42")</f>
        <v>https://www.youtube.com/watch?v=JG_9Jig2_z4&amp;list=PL8sP26EBxQr8kl9VHB0UsnOIOXDChNDKw&amp;index=42</v>
      </c>
      <c r="J62" s="4" t="str">
        <f>IFERROR(__xludf.DUMMYFUNCTION("""COMPUTED_VALUE"""),"Gav")</f>
        <v>Gav</v>
      </c>
      <c r="K62" s="4" t="str">
        <f>IFERROR(__xludf.DUMMYFUNCTION("""COMPUTED_VALUE"""),"")</f>
        <v/>
      </c>
      <c r="L62" s="4" t="str">
        <f>IFERROR(__xludf.DUMMYFUNCTION("""COMPUTED_VALUE"""),"3 seconds of silence during motion loop, then nothing until 11 seconds. Goes to pictures has a massive RISE logo along the bottom, possible to cut this out?")</f>
        <v>3 seconds of silence during motion loop, then nothing until 11 seconds. Goes to pictures has a massive RISE logo along the bottom, possible to cut this out?</v>
      </c>
      <c r="M62" s="4" t="str">
        <f>IFERROR(__xludf.DUMMYFUNCTION("""COMPUTED_VALUE"""),"")</f>
        <v/>
      </c>
      <c r="N62" s="4" t="str">
        <f>IFERROR(__xludf.DUMMYFUNCTION("""COMPUTED_VALUE"""),"")</f>
        <v/>
      </c>
      <c r="O62" s="4" t="str">
        <f>IFERROR(__xludf.DUMMYFUNCTION("""COMPUTED_VALUE"""),"")</f>
        <v/>
      </c>
      <c r="P62" s="4" t="str">
        <f>IFERROR(__xludf.DUMMYFUNCTION("""COMPUTED_VALUE"""),"")</f>
        <v/>
      </c>
      <c r="Q62" s="4" t="str">
        <f>IFERROR(__xludf.DUMMYFUNCTION("""COMPUTED_VALUE"""),"")</f>
        <v/>
      </c>
      <c r="R62" s="4" t="str">
        <f>IFERROR(__xludf.DUMMYFUNCTION("""COMPUTED_VALUE"""),"")</f>
        <v/>
      </c>
      <c r="S62" s="4" t="str">
        <f>IFERROR(__xludf.DUMMYFUNCTION("""COMPUTED_VALUE"""),"")</f>
        <v/>
      </c>
      <c r="T62" s="4" t="str">
        <f>IFERROR(__xludf.DUMMYFUNCTION("""COMPUTED_VALUE"""),"")</f>
        <v/>
      </c>
      <c r="U62" s="21" t="str">
        <f>IFERROR(__xludf.DUMMYFUNCTION("""COMPUTED_VALUE"""),"https://rise18-videos.s3-eu-west-1.amazonaws.com/c9916442-4f95-4bb2-9ba0-a9f84db6d63e_Meet_the_virtual_human.mp4")</f>
        <v>https://rise18-videos.s3-eu-west-1.amazonaws.com/c9916442-4f95-4bb2-9ba0-a9f84db6d63e_Meet_the_virtual_human.mp4</v>
      </c>
    </row>
    <row r="63">
      <c r="A63" s="4">
        <f>IFERROR(__xludf.DUMMYFUNCTION("""COMPUTED_VALUE"""),62.0)</f>
        <v>62</v>
      </c>
      <c r="B63" s="4" t="str">
        <f>IFERROR(__xludf.DUMMYFUNCTION("""COMPUTED_VALUE"""),"Timbaland ., Timbaland")</f>
        <v>Timbaland ., Timbaland</v>
      </c>
      <c r="C63" s="4" t="str">
        <f>IFERROR(__xludf.DUMMYFUNCTION("""COMPUTED_VALUE"""),"Timbaland")</f>
        <v>Timbaland</v>
      </c>
      <c r="D63" s="4" t="str">
        <f>IFERROR(__xludf.DUMMYFUNCTION("""COMPUTED_VALUE"""),"Timbaland")</f>
        <v>Timbaland</v>
      </c>
      <c r="E63" s="4" t="str">
        <f>IFERROR(__xludf.DUMMYFUNCTION("""COMPUTED_VALUE"""),"")</f>
        <v/>
      </c>
      <c r="F63" s="4" t="str">
        <f>IFERROR(__xludf.DUMMYFUNCTION("""COMPUTED_VALUE"""),"Collision 2019 | Speaker")</f>
        <v>Collision 2019 | Speaker</v>
      </c>
      <c r="G63" s="4" t="str">
        <f>IFERROR(__xludf.DUMMYFUNCTION("""COMPUTED_VALUE"""),"Collision 2019 | Speaker")</f>
        <v>Collision 2019 | Speaker</v>
      </c>
      <c r="H63" s="4" t="str">
        <f>IFERROR(__xludf.DUMMYFUNCTION("""COMPUTED_VALUE"""),"")</f>
        <v/>
      </c>
      <c r="I63" s="21" t="str">
        <f>IFERROR(__xludf.DUMMYFUNCTION("""COMPUTED_VALUE"""),"https://www.facebook.com/collisionconf/videos/2279451215448333/?v=2279451215448333")</f>
        <v>https://www.facebook.com/collisionconf/videos/2279451215448333/?v=2279451215448333</v>
      </c>
      <c r="J63" s="4" t="str">
        <f>IFERROR(__xludf.DUMMYFUNCTION("""COMPUTED_VALUE"""),"Gav")</f>
        <v>Gav</v>
      </c>
      <c r="K63" s="4" t="str">
        <f>IFERROR(__xludf.DUMMYFUNCTION("""COMPUTED_VALUE"""),"")</f>
        <v/>
      </c>
      <c r="L63" s="4" t="str">
        <f>IFERROR(__xludf.DUMMYFUNCTION("""COMPUTED_VALUE"""),"First 35 seconds is intro. Cut. Finish at 20:50")</f>
        <v>First 35 seconds is intro. Cut. Finish at 20:50</v>
      </c>
      <c r="M63" s="4" t="str">
        <f>IFERROR(__xludf.DUMMYFUNCTION("""COMPUTED_VALUE"""),"")</f>
        <v/>
      </c>
      <c r="N63" s="4" t="str">
        <f>IFERROR(__xludf.DUMMYFUNCTION("""COMPUTED_VALUE"""),"")</f>
        <v/>
      </c>
      <c r="O63" s="4" t="str">
        <f>IFERROR(__xludf.DUMMYFUNCTION("""COMPUTED_VALUE"""),"")</f>
        <v/>
      </c>
      <c r="P63" s="4" t="str">
        <f>IFERROR(__xludf.DUMMYFUNCTION("""COMPUTED_VALUE"""),"")</f>
        <v/>
      </c>
      <c r="Q63" s="4" t="str">
        <f>IFERROR(__xludf.DUMMYFUNCTION("""COMPUTED_VALUE"""),"")</f>
        <v/>
      </c>
      <c r="R63" s="4" t="str">
        <f>IFERROR(__xludf.DUMMYFUNCTION("""COMPUTED_VALUE"""),"")</f>
        <v/>
      </c>
      <c r="S63" s="4" t="str">
        <f>IFERROR(__xludf.DUMMYFUNCTION("""COMPUTED_VALUE"""),"")</f>
        <v/>
      </c>
      <c r="T63" s="4" t="str">
        <f>IFERROR(__xludf.DUMMYFUNCTION("""COMPUTED_VALUE"""),"")</f>
        <v/>
      </c>
      <c r="U63" s="21" t="str">
        <f>IFERROR(__xludf.DUMMYFUNCTION("""COMPUTED_VALUE"""),"https://drive.google.com/open?id=1E4xsRKVdZrqqnzyawqdAJq5AWqldSA_4")</f>
        <v>https://drive.google.com/open?id=1E4xsRKVdZrqqnzyawqdAJq5AWqldSA_4</v>
      </c>
    </row>
    <row r="64">
      <c r="A64" s="4">
        <f>IFERROR(__xludf.DUMMYFUNCTION("""COMPUTED_VALUE"""),63.0)</f>
        <v>63</v>
      </c>
      <c r="B64" s="4" t="str">
        <f>IFERROR(__xludf.DUMMYFUNCTION("""COMPUTED_VALUE"""),"Alex Stamos, Stanford University")</f>
        <v>Alex Stamos, Stanford University</v>
      </c>
      <c r="C64" s="4" t="str">
        <f>IFERROR(__xludf.DUMMYFUNCTION("""COMPUTED_VALUE"""),"Alex Stamos")</f>
        <v>Alex Stamos</v>
      </c>
      <c r="D64" s="4" t="str">
        <f>IFERROR(__xludf.DUMMYFUNCTION("""COMPUTED_VALUE"""),"Facebook")</f>
        <v>Facebook</v>
      </c>
      <c r="E64" s="4" t="str">
        <f>IFERROR(__xludf.DUMMYFUNCTION("""COMPUTED_VALUE"""),"")</f>
        <v/>
      </c>
      <c r="F64" s="4" t="str">
        <f>IFERROR(__xludf.DUMMYFUNCTION("""COMPUTED_VALUE"""),"Collision 2019 | Speaker
Web Summit 2016 | Speaker
Web Summit 2015 | Speaker")</f>
        <v>Collision 2019 | Speaker
Web Summit 2016 | Speaker
Web Summit 2015 | Speaker</v>
      </c>
      <c r="G64" s="4" t="str">
        <f>IFERROR(__xludf.DUMMYFUNCTION("""COMPUTED_VALUE"""),"Collision 2019 | Speaker
Web Summit 2016 | Speaker
Web Summit 2015 | Speaker")</f>
        <v>Collision 2019 | Speaker
Web Summit 2016 | Speaker
Web Summit 2015 | Speaker</v>
      </c>
      <c r="H64" s="4" t="str">
        <f>IFERROR(__xludf.DUMMYFUNCTION("""COMPUTED_VALUE"""),"Gav: I think 2016 is the best shout.")</f>
        <v>Gav: I think 2016 is the best shout.</v>
      </c>
      <c r="I64" s="4" t="str">
        <f>IFERROR(__xludf.DUMMYFUNCTION("""COMPUTED_VALUE"""),"2015: https://www.youtube.com/watch?v=Wx1BF06MnX8&amp;list=PLxptNs2MLOjl1DnR1QmPGGmIbgl1oOCDF&amp;index=5
2016: https://www.facebook.com/WebSummitHQ/videos/1202560486476660/
2019: https://www.facebook.com/collisionconf/videos/2288376458040630/")</f>
        <v>2015: https://www.youtube.com/watch?v=Wx1BF06MnX8&amp;list=PLxptNs2MLOjl1DnR1QmPGGmIbgl1oOCDF&amp;index=5
2016: https://www.facebook.com/WebSummitHQ/videos/1202560486476660/
2019: https://www.facebook.com/collisionconf/videos/2288376458040630/</v>
      </c>
      <c r="J64" s="4" t="str">
        <f>IFERROR(__xludf.DUMMYFUNCTION("""COMPUTED_VALUE"""),"Gav")</f>
        <v>Gav</v>
      </c>
      <c r="K64" s="4" t="str">
        <f>IFERROR(__xludf.DUMMYFUNCTION("""COMPUTED_VALUE"""),"")</f>
        <v/>
      </c>
      <c r="L64" s="4" t="str">
        <f>IFERROR(__xludf.DUMMYFUNCTION("""COMPUTED_VALUE"""),"2019: Start video from 44 seconds. Quite a lot of background audience noise. at 8:50 lowert third banner comes up without any names etc on it. Happens again at 11:05, and 12.37. Other than that - fine.
2016: Perfect.
2015: 9 second motion loop. Smaller st"&amp;"age. Other than that good.")</f>
        <v>2019: Start video from 44 seconds. Quite a lot of background audience noise. at 8:50 lowert third banner comes up without any names etc on it. Happens again at 11:05, and 12.37. Other than that - fine.
2016: Perfect.
2015: 9 second motion loop. Smaller stage. Other than that good.</v>
      </c>
      <c r="M64" s="4" t="str">
        <f>IFERROR(__xludf.DUMMYFUNCTION("""COMPUTED_VALUE"""),"")</f>
        <v/>
      </c>
      <c r="N64" s="4" t="str">
        <f>IFERROR(__xludf.DUMMYFUNCTION("""COMPUTED_VALUE"""),"")</f>
        <v/>
      </c>
      <c r="O64" s="4" t="str">
        <f>IFERROR(__xludf.DUMMYFUNCTION("""COMPUTED_VALUE"""),"")</f>
        <v/>
      </c>
      <c r="P64" s="4" t="str">
        <f>IFERROR(__xludf.DUMMYFUNCTION("""COMPUTED_VALUE"""),"")</f>
        <v/>
      </c>
      <c r="Q64" s="4" t="str">
        <f>IFERROR(__xludf.DUMMYFUNCTION("""COMPUTED_VALUE"""),"")</f>
        <v/>
      </c>
      <c r="R64" s="4" t="str">
        <f>IFERROR(__xludf.DUMMYFUNCTION("""COMPUTED_VALUE"""),"")</f>
        <v/>
      </c>
      <c r="S64" s="4" t="str">
        <f>IFERROR(__xludf.DUMMYFUNCTION("""COMPUTED_VALUE"""),"")</f>
        <v/>
      </c>
      <c r="T64" s="4" t="str">
        <f>IFERROR(__xludf.DUMMYFUNCTION("""COMPUTED_VALUE"""),"")</f>
        <v/>
      </c>
      <c r="U64" s="21" t="str">
        <f>IFERROR(__xludf.DUMMYFUNCTION("""COMPUTED_VALUE"""),"https://drive.google.com/open?id=1HUwlBslrn2_MsxDBUJyrruBI0-N47yMk")</f>
        <v>https://drive.google.com/open?id=1HUwlBslrn2_MsxDBUJyrruBI0-N47yMk</v>
      </c>
    </row>
    <row r="65">
      <c r="A65" s="4">
        <f>IFERROR(__xludf.DUMMYFUNCTION("""COMPUTED_VALUE"""),64.0)</f>
        <v>64</v>
      </c>
      <c r="B65" s="4" t="str">
        <f>IFERROR(__xludf.DUMMYFUNCTION("""COMPUTED_VALUE"""),"Andrew McAfee, MIT")</f>
        <v>Andrew McAfee, MIT</v>
      </c>
      <c r="C65" s="4" t="str">
        <f>IFERROR(__xludf.DUMMYFUNCTION("""COMPUTED_VALUE"""),"Andrew McAfee")</f>
        <v>Andrew McAfee</v>
      </c>
      <c r="D65" s="4" t="str">
        <f>IFERROR(__xludf.DUMMYFUNCTION("""COMPUTED_VALUE"""),"MIT")</f>
        <v>MIT</v>
      </c>
      <c r="E65" s="4" t="str">
        <f>IFERROR(__xludf.DUMMYFUNCTION("""COMPUTED_VALUE"""),"Gary Marcus, NYU; Tom Dotan, The Information.")</f>
        <v>Gary Marcus, NYU; Tom Dotan, The Information.</v>
      </c>
      <c r="F65" s="4" t="str">
        <f>IFERROR(__xludf.DUMMYFUNCTION("""COMPUTED_VALUE"""),"Web Summit 2016 | Speaker")</f>
        <v>Web Summit 2016 | Speaker</v>
      </c>
      <c r="G65" s="4" t="str">
        <f>IFERROR(__xludf.DUMMYFUNCTION("""COMPUTED_VALUE"""),"Web Summit 2016 | Speaker
F.ounders Lisbon 2016 | Guest (Free)")</f>
        <v>Web Summit 2016 | Speaker
F.ounders Lisbon 2016 | Guest (Free)</v>
      </c>
      <c r="H65" s="4" t="str">
        <f>IFERROR(__xludf.DUMMYFUNCTION("""COMPUTED_VALUE"""),"")</f>
        <v/>
      </c>
      <c r="I65" s="21" t="str">
        <f>IFERROR(__xludf.DUMMYFUNCTION("""COMPUTED_VALUE"""),"https://www.youtube.com/watch?v=9mNol9C6xm4")</f>
        <v>https://www.youtube.com/watch?v=9mNol9C6xm4</v>
      </c>
      <c r="J65" s="4" t="str">
        <f>IFERROR(__xludf.DUMMYFUNCTION("""COMPUTED_VALUE"""),"")</f>
        <v/>
      </c>
      <c r="K65" s="4" t="str">
        <f>IFERROR(__xludf.DUMMYFUNCTION("""COMPUTED_VALUE"""),"")</f>
        <v/>
      </c>
      <c r="L65" s="4" t="str">
        <f>IFERROR(__xludf.DUMMYFUNCTION("""COMPUTED_VALUE"""),"Start at 7 seconds. Mic is swapped but is almost entirely unnoticeable (Gary's mic is swapped, but camera is on Andrew the whole time). Finishes bang on.")</f>
        <v>Start at 7 seconds. Mic is swapped but is almost entirely unnoticeable (Gary's mic is swapped, but camera is on Andrew the whole time). Finishes bang on.</v>
      </c>
      <c r="M65" s="4" t="str">
        <f>IFERROR(__xludf.DUMMYFUNCTION("""COMPUTED_VALUE"""),"")</f>
        <v/>
      </c>
      <c r="N65" s="4" t="str">
        <f>IFERROR(__xludf.DUMMYFUNCTION("""COMPUTED_VALUE"""),"")</f>
        <v/>
      </c>
      <c r="O65" s="4" t="str">
        <f>IFERROR(__xludf.DUMMYFUNCTION("""COMPUTED_VALUE"""),"")</f>
        <v/>
      </c>
      <c r="P65" s="4" t="str">
        <f>IFERROR(__xludf.DUMMYFUNCTION("""COMPUTED_VALUE"""),"")</f>
        <v/>
      </c>
      <c r="Q65" s="4" t="str">
        <f>IFERROR(__xludf.DUMMYFUNCTION("""COMPUTED_VALUE"""),"")</f>
        <v/>
      </c>
      <c r="R65" s="4" t="str">
        <f>IFERROR(__xludf.DUMMYFUNCTION("""COMPUTED_VALUE"""),"")</f>
        <v/>
      </c>
      <c r="S65" s="4" t="str">
        <f>IFERROR(__xludf.DUMMYFUNCTION("""COMPUTED_VALUE"""),"")</f>
        <v/>
      </c>
      <c r="T65" s="4" t="str">
        <f>IFERROR(__xludf.DUMMYFUNCTION("""COMPUTED_VALUE"""),"")</f>
        <v/>
      </c>
      <c r="U65" s="21" t="str">
        <f>IFERROR(__xludf.DUMMYFUNCTION("""COMPUTED_VALUE"""),"https://drive.google.com/open?id=1GLEHFqJ0SfZJvOkKfN_QnuS4NWf6WIJy")</f>
        <v>https://drive.google.com/open?id=1GLEHFqJ0SfZJvOkKfN_QnuS4NWf6WIJy</v>
      </c>
    </row>
    <row r="66">
      <c r="A66" s="4">
        <f>IFERROR(__xludf.DUMMYFUNCTION("""COMPUTED_VALUE"""),65.0)</f>
        <v>65</v>
      </c>
      <c r="B66" s="4" t="str">
        <f>IFERROR(__xludf.DUMMYFUNCTION("""COMPUTED_VALUE"""),"Brendan Iribe, Oculus VR")</f>
        <v>Brendan Iribe, Oculus VR</v>
      </c>
      <c r="C66" s="4" t="str">
        <f>IFERROR(__xludf.DUMMYFUNCTION("""COMPUTED_VALUE"""),"Brendan Iribe ")</f>
        <v>Brendan Iribe </v>
      </c>
      <c r="D66" s="4" t="str">
        <f>IFERROR(__xludf.DUMMYFUNCTION("""COMPUTED_VALUE"""),"Oculus VR")</f>
        <v>Oculus VR</v>
      </c>
      <c r="E66" s="4" t="str">
        <f>IFERROR(__xludf.DUMMYFUNCTION("""COMPUTED_VALUE"""),"Peter Rubin, Wired")</f>
        <v>Peter Rubin, Wired</v>
      </c>
      <c r="F66" s="4" t="str">
        <f>IFERROR(__xludf.DUMMYFUNCTION("""COMPUTED_VALUE"""),"Web Summit 2014 | Speaker")</f>
        <v>Web Summit 2014 | Speaker</v>
      </c>
      <c r="G66" s="4" t="str">
        <f>IFERROR(__xludf.DUMMYFUNCTION("""COMPUTED_VALUE"""),"Gadget X 2014 | Founder
Brand X 2014 | Executive
Web Summit 2014 | Speaker
F.ounders New York 2014 | Founder")</f>
        <v>Gadget X 2014 | Founder
Brand X 2014 | Executive
Web Summit 2014 | Speaker
F.ounders New York 2014 | Founder</v>
      </c>
      <c r="H66" s="4" t="str">
        <f>IFERROR(__xludf.DUMMYFUNCTION("""COMPUTED_VALUE"""),"")</f>
        <v/>
      </c>
      <c r="I66" s="21" t="str">
        <f>IFERROR(__xludf.DUMMYFUNCTION("""COMPUTED_VALUE"""),"https://www.youtube.com/watch?v=9tz6gai51Mo")</f>
        <v>https://www.youtube.com/watch?v=9tz6gai51Mo</v>
      </c>
      <c r="J66" s="4" t="str">
        <f>IFERROR(__xludf.DUMMYFUNCTION("""COMPUTED_VALUE"""),"Carol")</f>
        <v>Carol</v>
      </c>
      <c r="K66" s="4" t="str">
        <f>IFERROR(__xludf.DUMMYFUNCTION("""COMPUTED_VALUE"""),"")</f>
        <v/>
      </c>
      <c r="L66" s="4" t="str">
        <f>IFERROR(__xludf.DUMMYFUNCTION("""COMPUTED_VALUE"""),"An old clip with old logo and caption format. More echo than more recent videos")</f>
        <v>An old clip with old logo and caption format. More echo than more recent videos</v>
      </c>
      <c r="M66" s="4" t="str">
        <f>IFERROR(__xludf.DUMMYFUNCTION("""COMPUTED_VALUE"""),"")</f>
        <v/>
      </c>
      <c r="N66" s="4" t="str">
        <f>IFERROR(__xludf.DUMMYFUNCTION("""COMPUTED_VALUE"""),"")</f>
        <v/>
      </c>
      <c r="O66" s="4" t="str">
        <f>IFERROR(__xludf.DUMMYFUNCTION("""COMPUTED_VALUE"""),"")</f>
        <v/>
      </c>
      <c r="P66" s="4" t="str">
        <f>IFERROR(__xludf.DUMMYFUNCTION("""COMPUTED_VALUE"""),"")</f>
        <v/>
      </c>
      <c r="Q66" s="4" t="str">
        <f>IFERROR(__xludf.DUMMYFUNCTION("""COMPUTED_VALUE"""),"")</f>
        <v/>
      </c>
      <c r="R66" s="4" t="str">
        <f>IFERROR(__xludf.DUMMYFUNCTION("""COMPUTED_VALUE"""),"")</f>
        <v/>
      </c>
      <c r="S66" s="4" t="str">
        <f>IFERROR(__xludf.DUMMYFUNCTION("""COMPUTED_VALUE"""),"")</f>
        <v/>
      </c>
      <c r="T66" s="4" t="str">
        <f>IFERROR(__xludf.DUMMYFUNCTION("""COMPUTED_VALUE"""),"")</f>
        <v/>
      </c>
      <c r="U66" s="21" t="str">
        <f>IFERROR(__xludf.DUMMYFUNCTION("""COMPUTED_VALUE"""),"https://drive.google.com/open?id=1IiLqzklORP87mYokvSqnrLBSjuFeSA_2")</f>
        <v>https://drive.google.com/open?id=1IiLqzklORP87mYokvSqnrLBSjuFeSA_2</v>
      </c>
    </row>
    <row r="67">
      <c r="A67" s="4">
        <f>IFERROR(__xludf.DUMMYFUNCTION("""COMPUTED_VALUE"""),66.0)</f>
        <v>66</v>
      </c>
      <c r="B67" s="4" t="str">
        <f>IFERROR(__xludf.DUMMYFUNCTION("""COMPUTED_VALUE"""),"Gary Briggs, Facebook")</f>
        <v>Gary Briggs, Facebook</v>
      </c>
      <c r="C67" s="4" t="str">
        <f>IFERROR(__xludf.DUMMYFUNCTION("""COMPUTED_VALUE"""),"Gary Briggs ")</f>
        <v>Gary Briggs </v>
      </c>
      <c r="D67" s="4" t="str">
        <f>IFERROR(__xludf.DUMMYFUNCTION("""COMPUTED_VALUE"""),"Facebook")</f>
        <v>Facebook</v>
      </c>
      <c r="E67" s="4" t="str">
        <f>IFERROR(__xludf.DUMMYFUNCTION("""COMPUTED_VALUE"""),"Maurice Levy, Chairman &amp; CEO of Publicis Groupe
Tom Davis, CMO of Forbes 
Tom Dotan, The Information")</f>
        <v>Maurice Levy, Chairman &amp; CEO of Publicis Groupe
Tom Davis, CMO of Forbes 
Tom Dotan, The Information</v>
      </c>
      <c r="F67" s="4" t="str">
        <f>IFERROR(__xludf.DUMMYFUNCTION("""COMPUTED_VALUE"""),"Web Summit 2016 | Speaker
Collision 2015 | Speaker")</f>
        <v>Web Summit 2016 | Speaker
Collision 2015 | Speaker</v>
      </c>
      <c r="G67" s="4" t="str">
        <f>IFERROR(__xludf.DUMMYFUNCTION("""COMPUTED_VALUE"""),"Web Summit 2016 | Speaker
Collision 2015 | Speaker")</f>
        <v>Web Summit 2016 | Speaker
Collision 2015 | Speaker</v>
      </c>
      <c r="H67" s="4" t="str">
        <f>IFERROR(__xludf.DUMMYFUNCTION("""COMPUTED_VALUE"""),"")</f>
        <v/>
      </c>
      <c r="I67" s="21" t="str">
        <f>IFERROR(__xludf.DUMMYFUNCTION("""COMPUTED_VALUE"""),"https://www.youtube.com/watch?v=UEtkPOptEPM")</f>
        <v>https://www.youtube.com/watch?v=UEtkPOptEPM</v>
      </c>
      <c r="J67" s="4" t="str">
        <f>IFERROR(__xludf.DUMMYFUNCTION("""COMPUTED_VALUE"""),"Carol")</f>
        <v>Carol</v>
      </c>
      <c r="K67" s="4" t="str">
        <f>IFERROR(__xludf.DUMMYFUNCTION("""COMPUTED_VALUE"""),"")</f>
        <v/>
      </c>
      <c r="L67" s="4" t="str">
        <f>IFERROR(__xludf.DUMMYFUNCTION("""COMPUTED_VALUE"""),"7 sec of really loud motion loop. official start at 00:14. ")</f>
        <v>7 sec of really loud motion loop. official start at 00:14. </v>
      </c>
      <c r="M67" s="4" t="str">
        <f>IFERROR(__xludf.DUMMYFUNCTION("""COMPUTED_VALUE"""),"")</f>
        <v/>
      </c>
      <c r="N67" s="4" t="str">
        <f>IFERROR(__xludf.DUMMYFUNCTION("""COMPUTED_VALUE"""),"")</f>
        <v/>
      </c>
      <c r="O67" s="4" t="str">
        <f>IFERROR(__xludf.DUMMYFUNCTION("""COMPUTED_VALUE"""),"")</f>
        <v/>
      </c>
      <c r="P67" s="4" t="str">
        <f>IFERROR(__xludf.DUMMYFUNCTION("""COMPUTED_VALUE"""),"")</f>
        <v/>
      </c>
      <c r="Q67" s="4" t="str">
        <f>IFERROR(__xludf.DUMMYFUNCTION("""COMPUTED_VALUE"""),"")</f>
        <v/>
      </c>
      <c r="R67" s="4" t="str">
        <f>IFERROR(__xludf.DUMMYFUNCTION("""COMPUTED_VALUE"""),"")</f>
        <v/>
      </c>
      <c r="S67" s="4" t="str">
        <f>IFERROR(__xludf.DUMMYFUNCTION("""COMPUTED_VALUE"""),"")</f>
        <v/>
      </c>
      <c r="T67" s="4" t="str">
        <f>IFERROR(__xludf.DUMMYFUNCTION("""COMPUTED_VALUE"""),"")</f>
        <v/>
      </c>
      <c r="U67" s="21" t="str">
        <f>IFERROR(__xludf.DUMMYFUNCTION("""COMPUTED_VALUE"""),"https://drive.google.com/open?id=1KbtYHmLFHyIYn5ydv4NHD4_6UEYY-tOU")</f>
        <v>https://drive.google.com/open?id=1KbtYHmLFHyIYn5ydv4NHD4_6UEYY-tOU</v>
      </c>
    </row>
    <row r="68">
      <c r="A68" s="4">
        <f>IFERROR(__xludf.DUMMYFUNCTION("""COMPUTED_VALUE"""),67.0)</f>
        <v>67</v>
      </c>
      <c r="B68" s="4" t="str">
        <f>IFERROR(__xludf.DUMMYFUNCTION("""COMPUTED_VALUE"""),"Jenny Lee, GGV Capital")</f>
        <v>Jenny Lee, GGV Capital</v>
      </c>
      <c r="C68" s="4" t="str">
        <f>IFERROR(__xludf.DUMMYFUNCTION("""COMPUTED_VALUE"""),"Jenny Lee ")</f>
        <v>Jenny Lee </v>
      </c>
      <c r="D68" s="4" t="str">
        <f>IFERROR(__xludf.DUMMYFUNCTION("""COMPUTED_VALUE"""),"GGV Capital")</f>
        <v>GGV Capital</v>
      </c>
      <c r="E68" s="4" t="str">
        <f>IFERROR(__xludf.DUMMYFUNCTION("""COMPUTED_VALUE"""),"Rebecca Blumenstein, The Wall Street Journal")</f>
        <v>Rebecca Blumenstein, The Wall Street Journal</v>
      </c>
      <c r="F68" s="4" t="str">
        <f>IFERROR(__xludf.DUMMYFUNCTION("""COMPUTED_VALUE"""),"RISE 2016 | Speaker &amp; Investor
RISE 2015 | Speaker")</f>
        <v>RISE 2016 | Speaker &amp; Investor
RISE 2015 | Speaker</v>
      </c>
      <c r="G68" s="4" t="str">
        <f>IFERROR(__xludf.DUMMYFUNCTION("""COMPUTED_VALUE"""),"Converge 2016 (Hong Kong) | Investor
RISE 2016 | Speaker &amp; Investor
RISE 2015 | Speaker
Converge 2015 (Hong Kong) | Speaker")</f>
        <v>Converge 2016 (Hong Kong) | Investor
RISE 2016 | Speaker &amp; Investor
RISE 2015 | Speaker
Converge 2015 (Hong Kong) | Speaker</v>
      </c>
      <c r="H68" s="4" t="str">
        <f>IFERROR(__xludf.DUMMYFUNCTION("""COMPUTED_VALUE"""),"")</f>
        <v/>
      </c>
      <c r="I68" s="21" t="str">
        <f>IFERROR(__xludf.DUMMYFUNCTION("""COMPUTED_VALUE"""),"https://www.youtube.com/watch?v=k25nALbTcDs")</f>
        <v>https://www.youtube.com/watch?v=k25nALbTcDs</v>
      </c>
      <c r="J68" s="4" t="str">
        <f>IFERROR(__xludf.DUMMYFUNCTION("""COMPUTED_VALUE"""),"Carol")</f>
        <v>Carol</v>
      </c>
      <c r="K68" s="4" t="str">
        <f>IFERROR(__xludf.DUMMYFUNCTION("""COMPUTED_VALUE"""),"In")</f>
        <v>In</v>
      </c>
      <c r="L68" s="4" t="str">
        <f>IFERROR(__xludf.DUMMYFUNCTION("""COMPUTED_VALUE"""),"mic all good, the video looks bit dark though overall")</f>
        <v>mic all good, the video looks bit dark though overall</v>
      </c>
      <c r="M68" s="4" t="str">
        <f>IFERROR(__xludf.DUMMYFUNCTION("""COMPUTED_VALUE"""),"")</f>
        <v/>
      </c>
      <c r="N68" s="4" t="str">
        <f>IFERROR(__xludf.DUMMYFUNCTION("""COMPUTED_VALUE"""),"")</f>
        <v/>
      </c>
      <c r="O68" s="4" t="str">
        <f>IFERROR(__xludf.DUMMYFUNCTION("""COMPUTED_VALUE"""),"")</f>
        <v/>
      </c>
      <c r="P68" s="4" t="str">
        <f>IFERROR(__xludf.DUMMYFUNCTION("""COMPUTED_VALUE"""),"")</f>
        <v/>
      </c>
      <c r="Q68" s="4" t="str">
        <f>IFERROR(__xludf.DUMMYFUNCTION("""COMPUTED_VALUE"""),"")</f>
        <v/>
      </c>
      <c r="R68" s="4" t="str">
        <f>IFERROR(__xludf.DUMMYFUNCTION("""COMPUTED_VALUE"""),"")</f>
        <v/>
      </c>
      <c r="S68" s="4" t="str">
        <f>IFERROR(__xludf.DUMMYFUNCTION("""COMPUTED_VALUE"""),"")</f>
        <v/>
      </c>
      <c r="T68" s="4" t="str">
        <f>IFERROR(__xludf.DUMMYFUNCTION("""COMPUTED_VALUE"""),"")</f>
        <v/>
      </c>
      <c r="U68" s="21" t="str">
        <f>IFERROR(__xludf.DUMMYFUNCTION("""COMPUTED_VALUE"""),"https://drive.google.com/open?id=1obLEKmhUUA8ND73ag7DFFOXUTnpjqZ2J")</f>
        <v>https://drive.google.com/open?id=1obLEKmhUUA8ND73ag7DFFOXUTnpjqZ2J</v>
      </c>
    </row>
    <row r="69">
      <c r="A69" s="4">
        <f>IFERROR(__xludf.DUMMYFUNCTION("""COMPUTED_VALUE"""),68.0)</f>
        <v>68</v>
      </c>
      <c r="B69" s="4" t="str">
        <f>IFERROR(__xludf.DUMMYFUNCTION("""COMPUTED_VALUE"""),"Becky Lynch, WWE")</f>
        <v>Becky Lynch, WWE</v>
      </c>
      <c r="C69" s="4" t="str">
        <f>IFERROR(__xludf.DUMMYFUNCTION("""COMPUTED_VALUE"""),"Becky Lynch")</f>
        <v>Becky Lynch</v>
      </c>
      <c r="D69" s="4" t="str">
        <f>IFERROR(__xludf.DUMMYFUNCTION("""COMPUTED_VALUE"""),"WWE")</f>
        <v>WWE</v>
      </c>
      <c r="E69" s="4" t="str">
        <f>IFERROR(__xludf.DUMMYFUNCTION("""COMPUTED_VALUE"""),"Emma Paton, Sky Sports")</f>
        <v>Emma Paton, Sky Sports</v>
      </c>
      <c r="F69" s="4" t="str">
        <f>IFERROR(__xludf.DUMMYFUNCTION("""COMPUTED_VALUE"""),"Web Summit 2019 | Speaker")</f>
        <v>Web Summit 2019 | Speaker</v>
      </c>
      <c r="G69" s="4" t="str">
        <f>IFERROR(__xludf.DUMMYFUNCTION("""COMPUTED_VALUE"""),"Web Summit 2019 | Speaker")</f>
        <v>Web Summit 2019 | Speaker</v>
      </c>
      <c r="H69" s="4" t="str">
        <f>IFERROR(__xludf.DUMMYFUNCTION("""COMPUTED_VALUE"""),"")</f>
        <v/>
      </c>
      <c r="I69" s="21" t="str">
        <f>IFERROR(__xludf.DUMMYFUNCTION("""COMPUTED_VALUE"""),"https://vimeo.com/372581211")</f>
        <v>https://vimeo.com/372581211</v>
      </c>
      <c r="J69" s="4" t="str">
        <f>IFERROR(__xludf.DUMMYFUNCTION("""COMPUTED_VALUE"""),"Gav")</f>
        <v>Gav</v>
      </c>
      <c r="K69" s="4" t="str">
        <f>IFERROR(__xludf.DUMMYFUNCTION("""COMPUTED_VALUE"""),"")</f>
        <v/>
      </c>
      <c r="L69" s="4" t="str">
        <f>IFERROR(__xludf.DUMMYFUNCTION("""COMPUTED_VALUE"""),"Start at 01:00. Finish at 20:23.")</f>
        <v>Start at 01:00. Finish at 20:23.</v>
      </c>
      <c r="M69" s="4" t="str">
        <f>IFERROR(__xludf.DUMMYFUNCTION("""COMPUTED_VALUE"""),"")</f>
        <v/>
      </c>
      <c r="N69" s="4" t="str">
        <f>IFERROR(__xludf.DUMMYFUNCTION("""COMPUTED_VALUE"""),"")</f>
        <v/>
      </c>
      <c r="O69" s="4" t="str">
        <f>IFERROR(__xludf.DUMMYFUNCTION("""COMPUTED_VALUE"""),"")</f>
        <v/>
      </c>
      <c r="P69" s="4" t="str">
        <f>IFERROR(__xludf.DUMMYFUNCTION("""COMPUTED_VALUE"""),"")</f>
        <v/>
      </c>
      <c r="Q69" s="4" t="str">
        <f>IFERROR(__xludf.DUMMYFUNCTION("""COMPUTED_VALUE"""),"")</f>
        <v/>
      </c>
      <c r="R69" s="4" t="str">
        <f>IFERROR(__xludf.DUMMYFUNCTION("""COMPUTED_VALUE"""),"")</f>
        <v/>
      </c>
      <c r="S69" s="4" t="str">
        <f>IFERROR(__xludf.DUMMYFUNCTION("""COMPUTED_VALUE"""),"")</f>
        <v/>
      </c>
      <c r="T69" s="4" t="str">
        <f>IFERROR(__xludf.DUMMYFUNCTION("""COMPUTED_VALUE"""),"")</f>
        <v/>
      </c>
      <c r="U69" s="21" t="str">
        <f>IFERROR(__xludf.DUMMYFUNCTION("""COMPUTED_VALUE"""),"https://drive.google.com/open?id=1yDJq2cli-d91HxTRnz5pQJbcLnS1yzwu")</f>
        <v>https://drive.google.com/open?id=1yDJq2cli-d91HxTRnz5pQJbcLnS1yzwu</v>
      </c>
    </row>
    <row r="70">
      <c r="A70" s="4">
        <f>IFERROR(__xludf.DUMMYFUNCTION("""COMPUTED_VALUE"""),69.0)</f>
        <v>69</v>
      </c>
      <c r="B70" s="4" t="str">
        <f>IFERROR(__xludf.DUMMYFUNCTION("""COMPUTED_VALUE"""),"Mike Shinoda, Linkin Park")</f>
        <v>Mike Shinoda, Linkin Park</v>
      </c>
      <c r="C70" s="4" t="str">
        <f>IFERROR(__xludf.DUMMYFUNCTION("""COMPUTED_VALUE"""),"Mike Shinoda")</f>
        <v>Mike Shinoda</v>
      </c>
      <c r="D70" s="4" t="str">
        <f>IFERROR(__xludf.DUMMYFUNCTION("""COMPUTED_VALUE"""),"Linkin Park ")</f>
        <v>Linkin Park </v>
      </c>
      <c r="E70" s="4" t="str">
        <f>IFERROR(__xludf.DUMMYFUNCTION("""COMPUTED_VALUE"""),"DJ Roller of Nextvr
David Haines of Vortex VR
Joe Hahn of Linkin Park 
Alex Needham of The Guardian")</f>
        <v>DJ Roller of Nextvr
David Haines of Vortex VR
Joe Hahn of Linkin Park 
Alex Needham of The Guardian</v>
      </c>
      <c r="F70" s="4" t="str">
        <f>IFERROR(__xludf.DUMMYFUNCTION("""COMPUTED_VALUE"""),"Collision 2015 | Speaker")</f>
        <v>Collision 2015 | Speaker</v>
      </c>
      <c r="G70" s="4" t="str">
        <f>IFERROR(__xludf.DUMMYFUNCTION("""COMPUTED_VALUE"""),"F.ounders Las Vegas 2015 | Speaker
Collision 2015 | Speaker")</f>
        <v>F.ounders Las Vegas 2015 | Speaker
Collision 2015 | Speaker</v>
      </c>
      <c r="H70" s="4" t="str">
        <f>IFERROR(__xludf.DUMMYFUNCTION("""COMPUTED_VALUE"""),"")</f>
        <v/>
      </c>
      <c r="I70" s="21" t="str">
        <f>IFERROR(__xludf.DUMMYFUNCTION("""COMPUTED_VALUE"""),"https://www.youtube.com/watch?v=9Wpk_M9svbQ")</f>
        <v>https://www.youtube.com/watch?v=9Wpk_M9svbQ</v>
      </c>
      <c r="J70" s="4" t="str">
        <f>IFERROR(__xludf.DUMMYFUNCTION("""COMPUTED_VALUE"""),"Carol")</f>
        <v>Carol</v>
      </c>
      <c r="K70" s="4" t="str">
        <f>IFERROR(__xludf.DUMMYFUNCTION("""COMPUTED_VALUE"""),"")</f>
        <v/>
      </c>
      <c r="L70" s="4" t="str">
        <f>IFERROR(__xludf.DUMMYFUNCTION("""COMPUTED_VALUE"""),"really loud background noise for all mic; the stage looks crowded; awkward ending...")</f>
        <v>really loud background noise for all mic; the stage looks crowded; awkward ending...</v>
      </c>
      <c r="M70" s="4" t="str">
        <f>IFERROR(__xludf.DUMMYFUNCTION("""COMPUTED_VALUE"""),"")</f>
        <v/>
      </c>
      <c r="N70" s="4" t="str">
        <f>IFERROR(__xludf.DUMMYFUNCTION("""COMPUTED_VALUE"""),"")</f>
        <v/>
      </c>
      <c r="O70" s="4" t="str">
        <f>IFERROR(__xludf.DUMMYFUNCTION("""COMPUTED_VALUE"""),"")</f>
        <v/>
      </c>
      <c r="P70" s="4" t="str">
        <f>IFERROR(__xludf.DUMMYFUNCTION("""COMPUTED_VALUE"""),"")</f>
        <v/>
      </c>
      <c r="Q70" s="4" t="str">
        <f>IFERROR(__xludf.DUMMYFUNCTION("""COMPUTED_VALUE"""),"")</f>
        <v/>
      </c>
      <c r="R70" s="4" t="str">
        <f>IFERROR(__xludf.DUMMYFUNCTION("""COMPUTED_VALUE"""),"")</f>
        <v/>
      </c>
      <c r="S70" s="4" t="str">
        <f>IFERROR(__xludf.DUMMYFUNCTION("""COMPUTED_VALUE"""),"")</f>
        <v/>
      </c>
      <c r="T70" s="4" t="str">
        <f>IFERROR(__xludf.DUMMYFUNCTION("""COMPUTED_VALUE"""),"")</f>
        <v/>
      </c>
      <c r="U70" s="21" t="str">
        <f>IFERROR(__xludf.DUMMYFUNCTION("""COMPUTED_VALUE"""),"https://drive.google.com/open?id=1Wr_BIv3Wk7KA17WdYuV5E9cYYjZTs1FA")</f>
        <v>https://drive.google.com/open?id=1Wr_BIv3Wk7KA17WdYuV5E9cYYjZTs1FA</v>
      </c>
    </row>
    <row r="71">
      <c r="A71" s="4">
        <f>IFERROR(__xludf.DUMMYFUNCTION("""COMPUTED_VALUE"""),70.0)</f>
        <v>70</v>
      </c>
      <c r="B71" s="4" t="str">
        <f>IFERROR(__xludf.DUMMYFUNCTION("""COMPUTED_VALUE"""),"Bradley Horowitz, Google")</f>
        <v>Bradley Horowitz, Google</v>
      </c>
      <c r="C71" s="4" t="str">
        <f>IFERROR(__xludf.DUMMYFUNCTION("""COMPUTED_VALUE"""),"Bradley Horowitz")</f>
        <v>Bradley Horowitz</v>
      </c>
      <c r="D71" s="4" t="str">
        <f>IFERROR(__xludf.DUMMYFUNCTION("""COMPUTED_VALUE"""),"Google")</f>
        <v>Google</v>
      </c>
      <c r="E71" s="4" t="str">
        <f>IFERROR(__xludf.DUMMYFUNCTION("""COMPUTED_VALUE"""),"")</f>
        <v/>
      </c>
      <c r="F71" s="4" t="str">
        <f>IFERROR(__xludf.DUMMYFUNCTION("""COMPUTED_VALUE"""),"RISE 2017 | Speaker")</f>
        <v>RISE 2017 | Speaker</v>
      </c>
      <c r="G71" s="4" t="str">
        <f>IFERROR(__xludf.DUMMYFUNCTION("""COMPUTED_VALUE"""),"RISE 2017 | Speaker")</f>
        <v>RISE 2017 | Speaker</v>
      </c>
      <c r="H71" s="4" t="str">
        <f>IFERROR(__xludf.DUMMYFUNCTION("""COMPUTED_VALUE"""),"")</f>
        <v/>
      </c>
      <c r="I71" s="21" t="str">
        <f>IFERROR(__xludf.DUMMYFUNCTION("""COMPUTED_VALUE"""),"https://www.youtube.com/watch?v=FrSDJRtPQGE")</f>
        <v>https://www.youtube.com/watch?v=FrSDJRtPQGE</v>
      </c>
      <c r="J71" s="4" t="str">
        <f>IFERROR(__xludf.DUMMYFUNCTION("""COMPUTED_VALUE"""),"Gav")</f>
        <v>Gav</v>
      </c>
      <c r="K71" s="4" t="str">
        <f>IFERROR(__xludf.DUMMYFUNCTION("""COMPUTED_VALUE"""),"Added")</f>
        <v>Added</v>
      </c>
      <c r="L71" s="4" t="str">
        <f>IFERROR(__xludf.DUMMYFUNCTION("""COMPUTED_VALUE"""),"RISE ticket sale banner pops up at 7:21 until 10:54 - needs removed. Up Next from 10.58 until 13:49 needs removed. ")</f>
        <v>RISE ticket sale banner pops up at 7:21 until 10:54 - needs removed. Up Next from 10.58 until 13:49 needs removed. </v>
      </c>
      <c r="M71" s="4" t="str">
        <f>IFERROR(__xludf.DUMMYFUNCTION("""COMPUTED_VALUE"""),"")</f>
        <v/>
      </c>
      <c r="N71" s="4" t="str">
        <f>IFERROR(__xludf.DUMMYFUNCTION("""COMPUTED_VALUE"""),"")</f>
        <v/>
      </c>
      <c r="O71" s="4" t="str">
        <f>IFERROR(__xludf.DUMMYFUNCTION("""COMPUTED_VALUE"""),"")</f>
        <v/>
      </c>
      <c r="P71" s="4" t="str">
        <f>IFERROR(__xludf.DUMMYFUNCTION("""COMPUTED_VALUE"""),"")</f>
        <v/>
      </c>
      <c r="Q71" s="4" t="str">
        <f>IFERROR(__xludf.DUMMYFUNCTION("""COMPUTED_VALUE"""),"")</f>
        <v/>
      </c>
      <c r="R71" s="4" t="str">
        <f>IFERROR(__xludf.DUMMYFUNCTION("""COMPUTED_VALUE"""),"")</f>
        <v/>
      </c>
      <c r="S71" s="4" t="str">
        <f>IFERROR(__xludf.DUMMYFUNCTION("""COMPUTED_VALUE"""),"")</f>
        <v/>
      </c>
      <c r="T71" s="4" t="str">
        <f>IFERROR(__xludf.DUMMYFUNCTION("""COMPUTED_VALUE"""),"")</f>
        <v/>
      </c>
      <c r="U71" s="21" t="str">
        <f>IFERROR(__xludf.DUMMYFUNCTION("""COMPUTED_VALUE"""),"https://drive.google.com/open?id=1klQma4vAQWQe5PREBS28KR5tbyLk1KIv")</f>
        <v>https://drive.google.com/open?id=1klQma4vAQWQe5PREBS28KR5tbyLk1KIv</v>
      </c>
    </row>
    <row r="72">
      <c r="A72" s="4">
        <f>IFERROR(__xludf.DUMMYFUNCTION("""COMPUTED_VALUE"""),71.0)</f>
        <v>71</v>
      </c>
      <c r="B72" s="4" t="str">
        <f>IFERROR(__xludf.DUMMYFUNCTION("""COMPUTED_VALUE"""),"Ben van Beurden, Shell")</f>
        <v>Ben van Beurden, Shell</v>
      </c>
      <c r="C72" s="4" t="str">
        <f>IFERROR(__xludf.DUMMYFUNCTION("""COMPUTED_VALUE"""),"Ben Van Beurden")</f>
        <v>Ben Van Beurden</v>
      </c>
      <c r="D72" s="4" t="str">
        <f>IFERROR(__xludf.DUMMYFUNCTION("""COMPUTED_VALUE"""),"Shell")</f>
        <v>Shell</v>
      </c>
      <c r="E72" s="4" t="str">
        <f>IFERROR(__xludf.DUMMYFUNCTION("""COMPUTED_VALUE"""),"")</f>
        <v/>
      </c>
      <c r="F72" s="4" t="str">
        <f>IFERROR(__xludf.DUMMYFUNCTION("""COMPUTED_VALUE"""),"Web Summit 2018 | Speaker")</f>
        <v>Web Summit 2018 | Speaker</v>
      </c>
      <c r="G72" s="4" t="str">
        <f>IFERROR(__xludf.DUMMYFUNCTION("""COMPUTED_VALUE"""),"Web Summit 2018 | Speaker")</f>
        <v>Web Summit 2018 | Speaker</v>
      </c>
      <c r="H72" s="4" t="str">
        <f>IFERROR(__xludf.DUMMYFUNCTION("""COMPUTED_VALUE"""),"")</f>
        <v/>
      </c>
      <c r="I72" s="21" t="str">
        <f>IFERROR(__xludf.DUMMYFUNCTION("""COMPUTED_VALUE"""),"https://www.youtube.com/watch?v=VrPCoe4pYm0&amp;t=722s")</f>
        <v>https://www.youtube.com/watch?v=VrPCoe4pYm0&amp;t=722s</v>
      </c>
      <c r="J72" s="4" t="str">
        <f>IFERROR(__xludf.DUMMYFUNCTION("""COMPUTED_VALUE"""),"Gav")</f>
        <v>Gav</v>
      </c>
      <c r="K72" s="4" t="str">
        <f>IFERROR(__xludf.DUMMYFUNCTION("""COMPUTED_VALUE"""),"??")</f>
        <v>??</v>
      </c>
      <c r="L72" s="4" t="str">
        <f>IFERROR(__xludf.DUMMYFUNCTION("""COMPUTED_VALUE"""),"Video is perfect")</f>
        <v>Video is perfect</v>
      </c>
      <c r="M72" s="4" t="str">
        <f>IFERROR(__xludf.DUMMYFUNCTION("""COMPUTED_VALUE"""),"")</f>
        <v/>
      </c>
      <c r="N72" s="4" t="str">
        <f>IFERROR(__xludf.DUMMYFUNCTION("""COMPUTED_VALUE"""),"")</f>
        <v/>
      </c>
      <c r="O72" s="4" t="str">
        <f>IFERROR(__xludf.DUMMYFUNCTION("""COMPUTED_VALUE"""),"")</f>
        <v/>
      </c>
      <c r="P72" s="4" t="str">
        <f>IFERROR(__xludf.DUMMYFUNCTION("""COMPUTED_VALUE"""),"")</f>
        <v/>
      </c>
      <c r="Q72" s="4" t="str">
        <f>IFERROR(__xludf.DUMMYFUNCTION("""COMPUTED_VALUE"""),"")</f>
        <v/>
      </c>
      <c r="R72" s="4" t="str">
        <f>IFERROR(__xludf.DUMMYFUNCTION("""COMPUTED_VALUE"""),"")</f>
        <v/>
      </c>
      <c r="S72" s="4" t="str">
        <f>IFERROR(__xludf.DUMMYFUNCTION("""COMPUTED_VALUE"""),"")</f>
        <v/>
      </c>
      <c r="T72" s="4" t="str">
        <f>IFERROR(__xludf.DUMMYFUNCTION("""COMPUTED_VALUE"""),"")</f>
        <v/>
      </c>
      <c r="U72" s="21" t="str">
        <f>IFERROR(__xludf.DUMMYFUNCTION("""COMPUTED_VALUE"""),"https://ws18-videos.s3-eu-west-1.amazonaws.com/60e1d83c-d64b-484a-beff-7bea0e9387a1_Is_Big_Tech_the_new_Big_Oil_And_how_can_tech_avoid_oil%E2%80%99s_errors.mp4")</f>
        <v>https://ws18-videos.s3-eu-west-1.amazonaws.com/60e1d83c-d64b-484a-beff-7bea0e9387a1_Is_Big_Tech_the_new_Big_Oil_And_how_can_tech_avoid_oil%E2%80%99s_errors.mp4</v>
      </c>
    </row>
    <row r="73">
      <c r="A73" s="4">
        <f>IFERROR(__xludf.DUMMYFUNCTION("""COMPUTED_VALUE"""),72.0)</f>
        <v>72</v>
      </c>
      <c r="B73" s="4" t="str">
        <f>IFERROR(__xludf.DUMMYFUNCTION("""COMPUTED_VALUE"""),"François Hollande, Government of France")</f>
        <v>François Hollande, Government of France</v>
      </c>
      <c r="C73" s="4" t="str">
        <f>IFERROR(__xludf.DUMMYFUNCTION("""COMPUTED_VALUE"""),"François Hollande")</f>
        <v>François Hollande</v>
      </c>
      <c r="D73" s="4" t="str">
        <f>IFERROR(__xludf.DUMMYFUNCTION("""COMPUTED_VALUE"""),"Government of France")</f>
        <v>Government of France</v>
      </c>
      <c r="E73" s="4" t="str">
        <f>IFERROR(__xludf.DUMMYFUNCTION("""COMPUTED_VALUE"""),"")</f>
        <v/>
      </c>
      <c r="F73" s="4" t="str">
        <f>IFERROR(__xludf.DUMMYFUNCTION("""COMPUTED_VALUE"""),"Web Summit 2017 | Speaker")</f>
        <v>Web Summit 2017 | Speaker</v>
      </c>
      <c r="G73" s="4" t="str">
        <f>IFERROR(__xludf.DUMMYFUNCTION("""COMPUTED_VALUE"""),"Web Summit 2017 | Speaker")</f>
        <v>Web Summit 2017 | Speaker</v>
      </c>
      <c r="H73" s="4" t="str">
        <f>IFERROR(__xludf.DUMMYFUNCTION("""COMPUTED_VALUE"""),"")</f>
        <v/>
      </c>
      <c r="I73" s="21" t="str">
        <f>IFERROR(__xludf.DUMMYFUNCTION("""COMPUTED_VALUE"""),"https://www.youtube.com/watch?v=ekVbe7IDJss")</f>
        <v>https://www.youtube.com/watch?v=ekVbe7IDJss</v>
      </c>
      <c r="J73" s="4" t="str">
        <f>IFERROR(__xludf.DUMMYFUNCTION("""COMPUTED_VALUE"""),"Gav")</f>
        <v>Gav</v>
      </c>
      <c r="K73" s="4" t="str">
        <f>IFERROR(__xludf.DUMMYFUNCTION("""COMPUTED_VALUE"""),"Added")</f>
        <v>Added</v>
      </c>
      <c r="L73" s="4" t="str">
        <f>IFERROR(__xludf.DUMMYFUNCTION("""COMPUTED_VALUE"""),"8 seconds of silent motion loop at beginning. Finishes at 16:00. Entire talk is in French - will need to add subtitles.")</f>
        <v>8 seconds of silent motion loop at beginning. Finishes at 16:00. Entire talk is in French - will need to add subtitles.</v>
      </c>
      <c r="M73" s="4" t="str">
        <f>IFERROR(__xludf.DUMMYFUNCTION("""COMPUTED_VALUE"""),"")</f>
        <v/>
      </c>
      <c r="N73" s="4" t="str">
        <f>IFERROR(__xludf.DUMMYFUNCTION("""COMPUTED_VALUE"""),"")</f>
        <v/>
      </c>
      <c r="O73" s="4" t="str">
        <f>IFERROR(__xludf.DUMMYFUNCTION("""COMPUTED_VALUE"""),"")</f>
        <v/>
      </c>
      <c r="P73" s="4" t="str">
        <f>IFERROR(__xludf.DUMMYFUNCTION("""COMPUTED_VALUE"""),"")</f>
        <v/>
      </c>
      <c r="Q73" s="4" t="str">
        <f>IFERROR(__xludf.DUMMYFUNCTION("""COMPUTED_VALUE"""),"")</f>
        <v/>
      </c>
      <c r="R73" s="4" t="str">
        <f>IFERROR(__xludf.DUMMYFUNCTION("""COMPUTED_VALUE"""),"")</f>
        <v/>
      </c>
      <c r="S73" s="4" t="str">
        <f>IFERROR(__xludf.DUMMYFUNCTION("""COMPUTED_VALUE"""),"")</f>
        <v/>
      </c>
      <c r="T73" s="4" t="str">
        <f>IFERROR(__xludf.DUMMYFUNCTION("""COMPUTED_VALUE"""),"")</f>
        <v/>
      </c>
      <c r="U73" s="21" t="str">
        <f>IFERROR(__xludf.DUMMYFUNCTION("""COMPUTED_VALUE"""),"https://ws17-videos.s3-eu-west-1.amazonaws.com/CS_7_11_How+innovation+facilitates+change_000004_001557.mp4")</f>
        <v>https://ws17-videos.s3-eu-west-1.amazonaws.com/CS_7_11_How+innovation+facilitates+change_000004_001557.mp4</v>
      </c>
    </row>
    <row r="74">
      <c r="A74" s="4">
        <f>IFERROR(__xludf.DUMMYFUNCTION("""COMPUTED_VALUE"""),73.0)</f>
        <v>73</v>
      </c>
      <c r="B74" s="4" t="str">
        <f>IFERROR(__xludf.DUMMYFUNCTION("""COMPUTED_VALUE"""),"Darren Aronofsky, Darren Aronofsky")</f>
        <v>Darren Aronofsky, Darren Aronofsky</v>
      </c>
      <c r="C74" s="4" t="str">
        <f>IFERROR(__xludf.DUMMYFUNCTION("""COMPUTED_VALUE"""),"Darren Aronofsky")</f>
        <v>Darren Aronofsky</v>
      </c>
      <c r="D74" s="4" t="str">
        <f>IFERROR(__xludf.DUMMYFUNCTION("""COMPUTED_VALUE"""),"Darren Aronofsky")</f>
        <v>Darren Aronofsky</v>
      </c>
      <c r="E74" s="4" t="str">
        <f>IFERROR(__xludf.DUMMYFUNCTION("""COMPUTED_VALUE"""),"Lauren Goode, Wired")</f>
        <v>Lauren Goode, Wired</v>
      </c>
      <c r="F74" s="4" t="str">
        <f>IFERROR(__xludf.DUMMYFUNCTION("""COMPUTED_VALUE"""),"Web Summit 2018 | Speaker")</f>
        <v>Web Summit 2018 | Speaker</v>
      </c>
      <c r="G74" s="4" t="str">
        <f>IFERROR(__xludf.DUMMYFUNCTION("""COMPUTED_VALUE"""),"Web Summit 2018 | Speaker
Venture Lisbon 2018 | Investor - Angel")</f>
        <v>Web Summit 2018 | Speaker
Venture Lisbon 2018 | Investor - Angel</v>
      </c>
      <c r="H74" s="4" t="str">
        <f>IFERROR(__xludf.DUMMYFUNCTION("""COMPUTED_VALUE"""),"")</f>
        <v/>
      </c>
      <c r="I74" s="21" t="str">
        <f>IFERROR(__xludf.DUMMYFUNCTION("""COMPUTED_VALUE"""),"https://www.youtube.com/watch?v=6t4jJO0APhU&amp;list=PLxptNs2MLOjncuOhiHrdjl4VebNfdStqF&amp;index=7")</f>
        <v>https://www.youtube.com/watch?v=6t4jJO0APhU&amp;list=PLxptNs2MLOjncuOhiHrdjl4VebNfdStqF&amp;index=7</v>
      </c>
      <c r="J74" s="4" t="str">
        <f>IFERROR(__xludf.DUMMYFUNCTION("""COMPUTED_VALUE"""),"Gav")</f>
        <v>Gav</v>
      </c>
      <c r="K74" s="4" t="str">
        <f>IFERROR(__xludf.DUMMYFUNCTION("""COMPUTED_VALUE"""),"")</f>
        <v/>
      </c>
      <c r="L74" s="4" t="str">
        <f>IFERROR(__xludf.DUMMYFUNCTION("""COMPUTED_VALUE"""),"Perfect.")</f>
        <v>Perfect.</v>
      </c>
      <c r="M74" s="4" t="str">
        <f>IFERROR(__xludf.DUMMYFUNCTION("""COMPUTED_VALUE"""),"")</f>
        <v/>
      </c>
      <c r="N74" s="4" t="str">
        <f>IFERROR(__xludf.DUMMYFUNCTION("""COMPUTED_VALUE"""),"")</f>
        <v/>
      </c>
      <c r="O74" s="4" t="str">
        <f>IFERROR(__xludf.DUMMYFUNCTION("""COMPUTED_VALUE"""),"")</f>
        <v/>
      </c>
      <c r="P74" s="4" t="str">
        <f>IFERROR(__xludf.DUMMYFUNCTION("""COMPUTED_VALUE"""),"")</f>
        <v/>
      </c>
      <c r="Q74" s="4" t="str">
        <f>IFERROR(__xludf.DUMMYFUNCTION("""COMPUTED_VALUE"""),"")</f>
        <v/>
      </c>
      <c r="R74" s="4" t="str">
        <f>IFERROR(__xludf.DUMMYFUNCTION("""COMPUTED_VALUE"""),"")</f>
        <v/>
      </c>
      <c r="S74" s="4" t="str">
        <f>IFERROR(__xludf.DUMMYFUNCTION("""COMPUTED_VALUE"""),"")</f>
        <v/>
      </c>
      <c r="T74" s="4" t="str">
        <f>IFERROR(__xludf.DUMMYFUNCTION("""COMPUTED_VALUE"""),"")</f>
        <v/>
      </c>
      <c r="U74" s="21" t="str">
        <f>IFERROR(__xludf.DUMMYFUNCTION("""COMPUTED_VALUE"""),"https://ws18-videos.s3-eu-west-1.amazonaws.com/cc68a8b2-0fee-4f45-832f-7425d2fdf9b1_The_technology_of_storytelling.mp4")</f>
        <v>https://ws18-videos.s3-eu-west-1.amazonaws.com/cc68a8b2-0fee-4f45-832f-7425d2fdf9b1_The_technology_of_storytelling.mp4</v>
      </c>
    </row>
    <row r="75">
      <c r="A75" s="4">
        <f>IFERROR(__xludf.DUMMYFUNCTION("""COMPUTED_VALUE"""),74.0)</f>
        <v>74</v>
      </c>
      <c r="B75" s="4" t="str">
        <f>IFERROR(__xludf.DUMMYFUNCTION("""COMPUTED_VALUE"""),"Jim Breyer, Breyer Capital")</f>
        <v>Jim Breyer, Breyer Capital</v>
      </c>
      <c r="C75" s="4" t="str">
        <f>IFERROR(__xludf.DUMMYFUNCTION("""COMPUTED_VALUE"""),"Jim Breyer")</f>
        <v>Jim Breyer</v>
      </c>
      <c r="D75" s="4" t="str">
        <f>IFERROR(__xludf.DUMMYFUNCTION("""COMPUTED_VALUE"""),"Breyer Capital")</f>
        <v>Breyer Capital</v>
      </c>
      <c r="E75" s="4" t="str">
        <f>IFERROR(__xludf.DUMMYFUNCTION("""COMPUTED_VALUE"""),"Dana Settle of Greycroft")</f>
        <v>Dana Settle of Greycroft</v>
      </c>
      <c r="F75" s="4" t="str">
        <f>IFERROR(__xludf.DUMMYFUNCTION("""COMPUTED_VALUE"""),"Web Summit 2017 | Speaker &amp; Investor
Collision 2015 | Speaker")</f>
        <v>Web Summit 2017 | Speaker &amp; Investor
Collision 2015 | Speaker</v>
      </c>
      <c r="G75" s="4" t="str">
        <f>IFERROR(__xludf.DUMMYFUNCTION("""COMPUTED_VALUE"""),"Web Summit 2017 | Speaker &amp; Investor
Venture 2017 | Speaker
Collision 2015 | Speaker")</f>
        <v>Web Summit 2017 | Speaker &amp; Investor
Venture 2017 | Speaker
Collision 2015 | Speaker</v>
      </c>
      <c r="H75" s="4" t="str">
        <f>IFERROR(__xludf.DUMMYFUNCTION("""COMPUTED_VALUE"""),"DUPLICATE")</f>
        <v>DUPLICATE</v>
      </c>
      <c r="I75" s="4" t="str">
        <f>IFERROR(__xludf.DUMMYFUNCTION("""COMPUTED_VALUE"""),"https://www.youtube.com/watch?v=Aw3jjW8awKs, https://www.youtube.com/watch?v=0OsJjt0JuJs")</f>
        <v>https://www.youtube.com/watch?v=Aw3jjW8awKs, https://www.youtube.com/watch?v=0OsJjt0JuJs</v>
      </c>
      <c r="J75" s="4" t="str">
        <f>IFERROR(__xludf.DUMMYFUNCTION("""COMPUTED_VALUE"""),"DUPLICATE")</f>
        <v>DUPLICATE</v>
      </c>
      <c r="K75" s="4" t="str">
        <f>IFERROR(__xludf.DUMMYFUNCTION("""COMPUTED_VALUE"""),"DUPLICATE")</f>
        <v>DUPLICATE</v>
      </c>
      <c r="L75" s="4" t="str">
        <f>IFERROR(__xludf.DUMMYFUNCTION("""COMPUTED_VALUE"""),"A duplicate of Row 78")</f>
        <v>A duplicate of Row 78</v>
      </c>
      <c r="M75" s="4" t="str">
        <f>IFERROR(__xludf.DUMMYFUNCTION("""COMPUTED_VALUE"""),"")</f>
        <v/>
      </c>
      <c r="N75" s="4" t="str">
        <f>IFERROR(__xludf.DUMMYFUNCTION("""COMPUTED_VALUE"""),"")</f>
        <v/>
      </c>
      <c r="O75" s="4" t="str">
        <f>IFERROR(__xludf.DUMMYFUNCTION("""COMPUTED_VALUE"""),"")</f>
        <v/>
      </c>
      <c r="P75" s="4" t="str">
        <f>IFERROR(__xludf.DUMMYFUNCTION("""COMPUTED_VALUE"""),"")</f>
        <v/>
      </c>
      <c r="Q75" s="4" t="str">
        <f>IFERROR(__xludf.DUMMYFUNCTION("""COMPUTED_VALUE"""),"")</f>
        <v/>
      </c>
      <c r="R75" s="4" t="str">
        <f>IFERROR(__xludf.DUMMYFUNCTION("""COMPUTED_VALUE"""),"")</f>
        <v/>
      </c>
      <c r="S75" s="4" t="str">
        <f>IFERROR(__xludf.DUMMYFUNCTION("""COMPUTED_VALUE"""),"")</f>
        <v/>
      </c>
      <c r="T75" s="4" t="str">
        <f>IFERROR(__xludf.DUMMYFUNCTION("""COMPUTED_VALUE"""),"")</f>
        <v/>
      </c>
      <c r="U75" s="21" t="str">
        <f>IFERROR(__xludf.DUMMYFUNCTION("""COMPUTED_VALUE"""),"https://ws17-videos.s3-eu-west-1.amazonaws.com/CS_8_12_Where+I+am+putting+my+money+in+2018_000010_002032.mp4")</f>
        <v>https://ws17-videos.s3-eu-west-1.amazonaws.com/CS_8_12_Where+I+am+putting+my+money+in+2018_000010_002032.mp4</v>
      </c>
    </row>
    <row r="76">
      <c r="A76" s="4">
        <f>IFERROR(__xludf.DUMMYFUNCTION("""COMPUTED_VALUE"""),75.0)</f>
        <v>75</v>
      </c>
      <c r="B76" s="4" t="str">
        <f>IFERROR(__xludf.DUMMYFUNCTION("""COMPUTED_VALUE"""),"Linda Boff, General Electric")</f>
        <v>Linda Boff, General Electric</v>
      </c>
      <c r="C76" s="4" t="str">
        <f>IFERROR(__xludf.DUMMYFUNCTION("""COMPUTED_VALUE"""),"Linda Boff")</f>
        <v>Linda Boff</v>
      </c>
      <c r="D76" s="4" t="str">
        <f>IFERROR(__xludf.DUMMYFUNCTION("""COMPUTED_VALUE"""),"General Electric")</f>
        <v>General Electric</v>
      </c>
      <c r="E76" s="4" t="str">
        <f>IFERROR(__xludf.DUMMYFUNCTION("""COMPUTED_VALUE"""),"")</f>
        <v/>
      </c>
      <c r="F76" s="4" t="str">
        <f>IFERROR(__xludf.DUMMYFUNCTION("""COMPUTED_VALUE"""),"Collision 2019 | Speaker
Collision 2016 | Speaker")</f>
        <v>Collision 2019 | Speaker
Collision 2016 | Speaker</v>
      </c>
      <c r="G76" s="4" t="str">
        <f>IFERROR(__xludf.DUMMYFUNCTION("""COMPUTED_VALUE"""),"Collision 2019 | Speaker
Marketing 150 // Collision 2016 | Executive
Collision 2016 | Speaker")</f>
        <v>Collision 2019 | Speaker
Marketing 150 // Collision 2016 | Executive
Collision 2016 | Speaker</v>
      </c>
      <c r="H76" s="4" t="str">
        <f>IFERROR(__xludf.DUMMYFUNCTION("""COMPUTED_VALUE"""),"")</f>
        <v/>
      </c>
      <c r="I76" s="21" t="str">
        <f>IFERROR(__xludf.DUMMYFUNCTION("""COMPUTED_VALUE"""),"https://www.youtube.com/watch?v=hSjB7uDOB4w")</f>
        <v>https://www.youtube.com/watch?v=hSjB7uDOB4w</v>
      </c>
      <c r="J76" s="4" t="str">
        <f>IFERROR(__xludf.DUMMYFUNCTION("""COMPUTED_VALUE"""),"")</f>
        <v/>
      </c>
      <c r="K76" s="4" t="str">
        <f>IFERROR(__xludf.DUMMYFUNCTION("""COMPUTED_VALUE"""),"")</f>
        <v/>
      </c>
      <c r="L76" s="4" t="str">
        <f>IFERROR(__xludf.DUMMYFUNCTION("""COMPUTED_VALUE"""),"")</f>
        <v/>
      </c>
      <c r="M76" s="4" t="str">
        <f>IFERROR(__xludf.DUMMYFUNCTION("""COMPUTED_VALUE"""),"")</f>
        <v/>
      </c>
      <c r="N76" s="4" t="str">
        <f>IFERROR(__xludf.DUMMYFUNCTION("""COMPUTED_VALUE"""),"")</f>
        <v/>
      </c>
      <c r="O76" s="4" t="str">
        <f>IFERROR(__xludf.DUMMYFUNCTION("""COMPUTED_VALUE"""),"")</f>
        <v/>
      </c>
      <c r="P76" s="4" t="str">
        <f>IFERROR(__xludf.DUMMYFUNCTION("""COMPUTED_VALUE"""),"")</f>
        <v/>
      </c>
      <c r="Q76" s="4" t="str">
        <f>IFERROR(__xludf.DUMMYFUNCTION("""COMPUTED_VALUE"""),"")</f>
        <v/>
      </c>
      <c r="R76" s="4" t="str">
        <f>IFERROR(__xludf.DUMMYFUNCTION("""COMPUTED_VALUE"""),"")</f>
        <v/>
      </c>
      <c r="S76" s="4" t="str">
        <f>IFERROR(__xludf.DUMMYFUNCTION("""COMPUTED_VALUE"""),"")</f>
        <v/>
      </c>
      <c r="T76" s="4" t="str">
        <f>IFERROR(__xludf.DUMMYFUNCTION("""COMPUTED_VALUE"""),"")</f>
        <v/>
      </c>
      <c r="U76" s="21" t="str">
        <f>IFERROR(__xludf.DUMMYFUNCTION("""COMPUTED_VALUE"""),"https://drive.google.com/open?id=1yjWR6Ff7a-sPz94KMI7zRh9oBmgVjask")</f>
        <v>https://drive.google.com/open?id=1yjWR6Ff7a-sPz94KMI7zRh9oBmgVjask</v>
      </c>
    </row>
    <row r="77">
      <c r="A77" s="4">
        <f>IFERROR(__xludf.DUMMYFUNCTION("""COMPUTED_VALUE"""),76.0)</f>
        <v>76</v>
      </c>
      <c r="B77" s="4" t="str">
        <f>IFERROR(__xludf.DUMMYFUNCTION("""COMPUTED_VALUE"""),"Dana Settle, Greycroft")</f>
        <v>Dana Settle, Greycroft</v>
      </c>
      <c r="C77" s="4" t="str">
        <f>IFERROR(__xludf.DUMMYFUNCTION("""COMPUTED_VALUE"""),"Dana Settle")</f>
        <v>Dana Settle</v>
      </c>
      <c r="D77" s="4" t="str">
        <f>IFERROR(__xludf.DUMMYFUNCTION("""COMPUTED_VALUE"""),"Greycroft")</f>
        <v>Greycroft</v>
      </c>
      <c r="E77" s="4" t="str">
        <f>IFERROR(__xludf.DUMMYFUNCTION("""COMPUTED_VALUE"""),"Jim Breyer, Breyer Capital; Arujun Kharpal, CNBC")</f>
        <v>Jim Breyer, Breyer Capital; Arujun Kharpal, CNBC</v>
      </c>
      <c r="F77" s="4" t="str">
        <f>IFERROR(__xludf.DUMMYFUNCTION("""COMPUTED_VALUE"""),"Web Summit 2017 | Speaker &amp; Investor")</f>
        <v>Web Summit 2017 | Speaker &amp; Investor</v>
      </c>
      <c r="G77" s="4" t="str">
        <f>IFERROR(__xludf.DUMMYFUNCTION("""COMPUTED_VALUE"""),"Web Summit 2017 | Speaker &amp; Investor")</f>
        <v>Web Summit 2017 | Speaker &amp; Investor</v>
      </c>
      <c r="H77" s="4" t="str">
        <f>IFERROR(__xludf.DUMMYFUNCTION("""COMPUTED_VALUE"""),"")</f>
        <v/>
      </c>
      <c r="I77" s="21" t="str">
        <f>IFERROR(__xludf.DUMMYFUNCTION("""COMPUTED_VALUE"""),"https://www.youtube.com/watch?v=Aw3jjW8awKs")</f>
        <v>https://www.youtube.com/watch?v=Aw3jjW8awKs</v>
      </c>
      <c r="J77" s="4" t="str">
        <f>IFERROR(__xludf.DUMMYFUNCTION("""COMPUTED_VALUE"""),"Gav")</f>
        <v>Gav</v>
      </c>
      <c r="K77" s="4" t="str">
        <f>IFERROR(__xludf.DUMMYFUNCTION("""COMPUTED_VALUE"""),"")</f>
        <v/>
      </c>
      <c r="L77" s="4" t="str">
        <f>IFERROR(__xludf.DUMMYFUNCTION("""COMPUTED_VALUE"""),"7 sec silent motion loop at beginning. Finishes at 20:34. ")</f>
        <v>7 sec silent motion loop at beginning. Finishes at 20:34. </v>
      </c>
      <c r="M77" s="4" t="str">
        <f>IFERROR(__xludf.DUMMYFUNCTION("""COMPUTED_VALUE"""),"")</f>
        <v/>
      </c>
      <c r="N77" s="4" t="str">
        <f>IFERROR(__xludf.DUMMYFUNCTION("""COMPUTED_VALUE"""),"")</f>
        <v/>
      </c>
      <c r="O77" s="4" t="str">
        <f>IFERROR(__xludf.DUMMYFUNCTION("""COMPUTED_VALUE"""),"not sure if right link 76 and 78 same ")</f>
        <v>not sure if right link 76 and 78 same </v>
      </c>
      <c r="P77" s="4" t="str">
        <f>IFERROR(__xludf.DUMMYFUNCTION("""COMPUTED_VALUE"""),"")</f>
        <v/>
      </c>
      <c r="Q77" s="4" t="str">
        <f>IFERROR(__xludf.DUMMYFUNCTION("""COMPUTED_VALUE"""),"")</f>
        <v/>
      </c>
      <c r="R77" s="4" t="str">
        <f>IFERROR(__xludf.DUMMYFUNCTION("""COMPUTED_VALUE"""),"")</f>
        <v/>
      </c>
      <c r="S77" s="4" t="str">
        <f>IFERROR(__xludf.DUMMYFUNCTION("""COMPUTED_VALUE"""),"")</f>
        <v/>
      </c>
      <c r="T77" s="4" t="str">
        <f>IFERROR(__xludf.DUMMYFUNCTION("""COMPUTED_VALUE"""),"")</f>
        <v/>
      </c>
      <c r="U77" s="21" t="str">
        <f>IFERROR(__xludf.DUMMYFUNCTION("""COMPUTED_VALUE"""),"https://drive.google.com/open?id=1xqF0w7W4VYEYa0WT_5e6a0Ikromi0hvu")</f>
        <v>https://drive.google.com/open?id=1xqF0w7W4VYEYa0WT_5e6a0Ikromi0hvu</v>
      </c>
    </row>
    <row r="78">
      <c r="A78" s="4">
        <f>IFERROR(__xludf.DUMMYFUNCTION("""COMPUTED_VALUE"""),77.0)</f>
        <v>77</v>
      </c>
      <c r="B78" s="4" t="str">
        <f>IFERROR(__xludf.DUMMYFUNCTION("""COMPUTED_VALUE"""),"Michael Seibel, Y Combinator")</f>
        <v>Michael Seibel, Y Combinator</v>
      </c>
      <c r="C78" s="4" t="str">
        <f>IFERROR(__xludf.DUMMYFUNCTION("""COMPUTED_VALUE"""),"Michael Seibel")</f>
        <v>Michael Seibel</v>
      </c>
      <c r="D78" s="4" t="str">
        <f>IFERROR(__xludf.DUMMYFUNCTION("""COMPUTED_VALUE"""),"Y Combinator")</f>
        <v>Y Combinator</v>
      </c>
      <c r="E78" s="4" t="str">
        <f>IFERROR(__xludf.DUMMYFUNCTION("""COMPUTED_VALUE"""),"Adora Cheung, Y Combinator; Deirdre Bosa, CNBC")</f>
        <v>Adora Cheung, Y Combinator; Deirdre Bosa, CNBC</v>
      </c>
      <c r="F78" s="4" t="str">
        <f>IFERROR(__xludf.DUMMYFUNCTION("""COMPUTED_VALUE"""),"Collision 2019 | Speaker &amp; Investor")</f>
        <v>Collision 2019 | Speaker &amp; Investor</v>
      </c>
      <c r="G78" s="4" t="str">
        <f>IFERROR(__xludf.DUMMYFUNCTION("""COMPUTED_VALUE"""),"Collision 2019 | Speaker &amp; Investor")</f>
        <v>Collision 2019 | Speaker &amp; Investor</v>
      </c>
      <c r="H78" s="4" t="str">
        <f>IFERROR(__xludf.DUMMYFUNCTION("""COMPUTED_VALUE"""),"")</f>
        <v/>
      </c>
      <c r="I78" s="21" t="str">
        <f>IFERROR(__xludf.DUMMYFUNCTION("""COMPUTED_VALUE"""),"https://www.youtube.com/watch?v=1lpOa2BhQPI")</f>
        <v>https://www.youtube.com/watch?v=1lpOa2BhQPI</v>
      </c>
      <c r="J78" s="4" t="str">
        <f>IFERROR(__xludf.DUMMYFUNCTION("""COMPUTED_VALUE"""),"Gav")</f>
        <v>Gav</v>
      </c>
      <c r="K78" s="4" t="str">
        <f>IFERROR(__xludf.DUMMYFUNCTION("""COMPUTED_VALUE"""),"")</f>
        <v/>
      </c>
      <c r="L78" s="4" t="str">
        <f>IFERROR(__xludf.DUMMYFUNCTION("""COMPUTED_VALUE"""),"Start from 45 seconds. Finisha t 18:54.")</f>
        <v>Start from 45 seconds. Finisha t 18:54.</v>
      </c>
      <c r="M78" s="4" t="str">
        <f>IFERROR(__xludf.DUMMYFUNCTION("""COMPUTED_VALUE"""),"")</f>
        <v/>
      </c>
      <c r="N78" s="4" t="str">
        <f>IFERROR(__xludf.DUMMYFUNCTION("""COMPUTED_VALUE"""),"")</f>
        <v/>
      </c>
      <c r="O78" s="4" t="str">
        <f>IFERROR(__xludf.DUMMYFUNCTION("""COMPUTED_VALUE"""),"")</f>
        <v/>
      </c>
      <c r="P78" s="4" t="str">
        <f>IFERROR(__xludf.DUMMYFUNCTION("""COMPUTED_VALUE"""),"")</f>
        <v/>
      </c>
      <c r="Q78" s="4" t="str">
        <f>IFERROR(__xludf.DUMMYFUNCTION("""COMPUTED_VALUE"""),"")</f>
        <v/>
      </c>
      <c r="R78" s="4" t="str">
        <f>IFERROR(__xludf.DUMMYFUNCTION("""COMPUTED_VALUE"""),"")</f>
        <v/>
      </c>
      <c r="S78" s="4" t="str">
        <f>IFERROR(__xludf.DUMMYFUNCTION("""COMPUTED_VALUE"""),"")</f>
        <v/>
      </c>
      <c r="T78" s="4" t="str">
        <f>IFERROR(__xludf.DUMMYFUNCTION("""COMPUTED_VALUE"""),"")</f>
        <v/>
      </c>
      <c r="U78" s="21" t="str">
        <f>IFERROR(__xludf.DUMMYFUNCTION("""COMPUTED_VALUE"""),"https://drive.google.com/open?id=1XtIlEesESmvB4Ey3mnyqZyR_86mvwzBt")</f>
        <v>https://drive.google.com/open?id=1XtIlEesESmvB4Ey3mnyqZyR_86mvwzBt</v>
      </c>
    </row>
    <row r="79">
      <c r="A79" s="4">
        <f>IFERROR(__xludf.DUMMYFUNCTION("""COMPUTED_VALUE"""),78.0)</f>
        <v>78</v>
      </c>
      <c r="B79" s="4" t="str">
        <f>IFERROR(__xludf.DUMMYFUNCTION("""COMPUTED_VALUE"""),"Tobias Lütke, Shopify")</f>
        <v>Tobias Lütke, Shopify</v>
      </c>
      <c r="C79" s="4" t="str">
        <f>IFERROR(__xludf.DUMMYFUNCTION("""COMPUTED_VALUE"""),"Tobias Lütke")</f>
        <v>Tobias Lütke</v>
      </c>
      <c r="D79" s="4" t="str">
        <f>IFERROR(__xludf.DUMMYFUNCTION("""COMPUTED_VALUE"""),"Shopify")</f>
        <v>Shopify</v>
      </c>
      <c r="E79" s="4" t="str">
        <f>IFERROR(__xludf.DUMMYFUNCTION("""COMPUTED_VALUE"""),"Sean Silcoff, The Globe and Mail")</f>
        <v>Sean Silcoff, The Globe and Mail</v>
      </c>
      <c r="F79" s="4" t="str">
        <f>IFERROR(__xludf.DUMMYFUNCTION("""COMPUTED_VALUE"""),"Collision 2019 | Speaker")</f>
        <v>Collision 2019 | Speaker</v>
      </c>
      <c r="G79" s="4" t="str">
        <f>IFERROR(__xludf.DUMMYFUNCTION("""COMPUTED_VALUE"""),"Collision 2019 | Speaker")</f>
        <v>Collision 2019 | Speaker</v>
      </c>
      <c r="H79" s="4" t="str">
        <f>IFERROR(__xludf.DUMMYFUNCTION("""COMPUTED_VALUE"""),"")</f>
        <v/>
      </c>
      <c r="I79" s="21" t="str">
        <f>IFERROR(__xludf.DUMMYFUNCTION("""COMPUTED_VALUE"""),"https://www.youtube.com/watch?v=kv-VC61p1e4")</f>
        <v>https://www.youtube.com/watch?v=kv-VC61p1e4</v>
      </c>
      <c r="J79" s="4" t="str">
        <f>IFERROR(__xludf.DUMMYFUNCTION("""COMPUTED_VALUE"""),"Gav")</f>
        <v>Gav</v>
      </c>
      <c r="K79" s="4" t="str">
        <f>IFERROR(__xludf.DUMMYFUNCTION("""COMPUTED_VALUE"""),"")</f>
        <v/>
      </c>
      <c r="L79" s="4" t="str">
        <f>IFERROR(__xludf.DUMMYFUNCTION("""COMPUTED_VALUE"""),"Start from 45 seconds. After that it is bang on.")</f>
        <v>Start from 45 seconds. After that it is bang on.</v>
      </c>
      <c r="M79" s="4" t="str">
        <f>IFERROR(__xludf.DUMMYFUNCTION("""COMPUTED_VALUE"""),"")</f>
        <v/>
      </c>
      <c r="N79" s="4" t="str">
        <f>IFERROR(__xludf.DUMMYFUNCTION("""COMPUTED_VALUE"""),"")</f>
        <v/>
      </c>
      <c r="O79" s="4" t="str">
        <f>IFERROR(__xludf.DUMMYFUNCTION("""COMPUTED_VALUE"""),"")</f>
        <v/>
      </c>
      <c r="P79" s="4" t="str">
        <f>IFERROR(__xludf.DUMMYFUNCTION("""COMPUTED_VALUE"""),"")</f>
        <v/>
      </c>
      <c r="Q79" s="4" t="str">
        <f>IFERROR(__xludf.DUMMYFUNCTION("""COMPUTED_VALUE"""),"")</f>
        <v/>
      </c>
      <c r="R79" s="4" t="str">
        <f>IFERROR(__xludf.DUMMYFUNCTION("""COMPUTED_VALUE"""),"")</f>
        <v/>
      </c>
      <c r="S79" s="4" t="str">
        <f>IFERROR(__xludf.DUMMYFUNCTION("""COMPUTED_VALUE"""),"")</f>
        <v/>
      </c>
      <c r="T79" s="4" t="str">
        <f>IFERROR(__xludf.DUMMYFUNCTION("""COMPUTED_VALUE"""),"")</f>
        <v/>
      </c>
      <c r="U79" s="21" t="str">
        <f>IFERROR(__xludf.DUMMYFUNCTION("""COMPUTED_VALUE"""),"https://drive.google.com/open?id=1dlEKs_Bx8L6z3Ps5NNCbmRx0z-536nG2")</f>
        <v>https://drive.google.com/open?id=1dlEKs_Bx8L6z3Ps5NNCbmRx0z-536nG2</v>
      </c>
    </row>
    <row r="80">
      <c r="A80" s="4">
        <f>IFERROR(__xludf.DUMMYFUNCTION("""COMPUTED_VALUE"""),79.0)</f>
        <v>79</v>
      </c>
      <c r="B80" s="4" t="str">
        <f>IFERROR(__xludf.DUMMYFUNCTION("""COMPUTED_VALUE"""),"Gillian Tans, Booking.com")</f>
        <v>Gillian Tans, Booking.com</v>
      </c>
      <c r="C80" s="4" t="str">
        <f>IFERROR(__xludf.DUMMYFUNCTION("""COMPUTED_VALUE"""),"Gillian Tans")</f>
        <v>Gillian Tans</v>
      </c>
      <c r="D80" s="21" t="str">
        <f>IFERROR(__xludf.DUMMYFUNCTION("""COMPUTED_VALUE"""),"Booking.com")</f>
        <v>Booking.com</v>
      </c>
      <c r="E80" s="4" t="str">
        <f>IFERROR(__xludf.DUMMYFUNCTION("""COMPUTED_VALUE"""),"( 2019 Simon Segars, Adaire Fox-Martin and Mark Scott)")</f>
        <v>( 2019 Simon Segars, Adaire Fox-Martin and Mark Scott)</v>
      </c>
      <c r="F80" s="4" t="str">
        <f>IFERROR(__xludf.DUMMYFUNCTION("""COMPUTED_VALUE"""),"Web Summit 2019 | Speaker &amp; Partner
Web Summit 2018 | Speaker
Collision 2018 | Speaker
Web Summit 2017 | Speaker
Web Summit 2016 | Speaker")</f>
        <v>Web Summit 2019 | Speaker &amp; Partner
Web Summit 2018 | Speaker
Collision 2018 | Speaker
Web Summit 2017 | Speaker
Web Summit 2016 | Speaker</v>
      </c>
      <c r="G80" s="4" t="str">
        <f>IFERROR(__xludf.DUMMYFUNCTION("""COMPUTED_VALUE"""),"Web Summit 2019 | Speaker &amp; Partner
Web Summit 2018 | Speaker
Collision 2018 | Speaker
Web Summit 2017 | Speaker
Web Summit 2016 | Speaker")</f>
        <v>Web Summit 2019 | Speaker &amp; Partner
Web Summit 2018 | Speaker
Collision 2018 | Speaker
Web Summit 2017 | Speaker
Web Summit 2016 | Speaker</v>
      </c>
      <c r="H80" s="4" t="str">
        <f>IFERROR(__xludf.DUMMYFUNCTION("""COMPUTED_VALUE"""),"Web. Summit 2019")</f>
        <v>Web. Summit 2019</v>
      </c>
      <c r="I80" s="4" t="str">
        <f>IFERROR(__xludf.DUMMYFUNCTION("""COMPUTED_VALUE"""),"; https://vimeo.com/371160230
;  https://vimeo.com/371210351")</f>
        <v>; https://vimeo.com/371160230
;  https://vimeo.com/371210351</v>
      </c>
      <c r="J80" s="4" t="str">
        <f>IFERROR(__xludf.DUMMYFUNCTION("""COMPUTED_VALUE"""),"Darragh")</f>
        <v>Darragh</v>
      </c>
      <c r="K80" s="4" t="str">
        <f>IFERROR(__xludf.DUMMYFUNCTION("""COMPUTED_VALUE"""),"")</f>
        <v/>
      </c>
      <c r="L80" s="4" t="str">
        <f>IFERROR(__xludf.DUMMYFUNCTION("""COMPUTED_VALUE"""),"")</f>
        <v/>
      </c>
      <c r="M80" s="4" t="str">
        <f>IFERROR(__xludf.DUMMYFUNCTION("""COMPUTED_VALUE"""),"")</f>
        <v/>
      </c>
      <c r="N80" s="4" t="str">
        <f>IFERROR(__xludf.DUMMYFUNCTION("""COMPUTED_VALUE"""),"")</f>
        <v/>
      </c>
      <c r="O80" s="4" t="str">
        <f>IFERROR(__xludf.DUMMYFUNCTION("""COMPUTED_VALUE"""),"")</f>
        <v/>
      </c>
      <c r="P80" s="4" t="str">
        <f>IFERROR(__xludf.DUMMYFUNCTION("""COMPUTED_VALUE"""),"")</f>
        <v/>
      </c>
      <c r="Q80" s="4" t="str">
        <f>IFERROR(__xludf.DUMMYFUNCTION("""COMPUTED_VALUE"""),"")</f>
        <v/>
      </c>
      <c r="R80" s="4" t="str">
        <f>IFERROR(__xludf.DUMMYFUNCTION("""COMPUTED_VALUE"""),"")</f>
        <v/>
      </c>
      <c r="S80" s="4" t="str">
        <f>IFERROR(__xludf.DUMMYFUNCTION("""COMPUTED_VALUE"""),"")</f>
        <v/>
      </c>
      <c r="T80" s="4" t="str">
        <f>IFERROR(__xludf.DUMMYFUNCTION("""COMPUTED_VALUE"""),"")</f>
        <v/>
      </c>
      <c r="U80" s="21" t="str">
        <f>IFERROR(__xludf.DUMMYFUNCTION("""COMPUTED_VALUE"""),"https://ws19-processed-videos.s3-eu-west-1.amazonaws.com/682be20c-3601-4e01-af1a-1e88e61aab04_Innovating_at_scale_.mp4")</f>
        <v>https://ws19-processed-videos.s3-eu-west-1.amazonaws.com/682be20c-3601-4e01-af1a-1e88e61aab04_Innovating_at_scale_.mp4</v>
      </c>
    </row>
    <row r="81">
      <c r="A81" s="4">
        <f>IFERROR(__xludf.DUMMYFUNCTION("""COMPUTED_VALUE"""),80.0)</f>
        <v>80</v>
      </c>
      <c r="B81" s="4" t="str">
        <f>IFERROR(__xludf.DUMMYFUNCTION("""COMPUTED_VALUE"""),"Nikesh Arora, Palo Alto Networks")</f>
        <v>Nikesh Arora, Palo Alto Networks</v>
      </c>
      <c r="C81" s="4" t="str">
        <f>IFERROR(__xludf.DUMMYFUNCTION("""COMPUTED_VALUE"""),"Nikesh Arora")</f>
        <v>Nikesh Arora</v>
      </c>
      <c r="D81" s="4" t="str">
        <f>IFERROR(__xludf.DUMMYFUNCTION("""COMPUTED_VALUE"""),"SoftBank Vision Fund")</f>
        <v>SoftBank Vision Fund</v>
      </c>
      <c r="E81" s="4" t="str">
        <f>IFERROR(__xludf.DUMMYFUNCTION("""COMPUTED_VALUE"""),"")</f>
        <v/>
      </c>
      <c r="F81" s="4" t="str">
        <f>IFERROR(__xludf.DUMMYFUNCTION("""COMPUTED_VALUE"""),"RISE 2015 | Speaker")</f>
        <v>RISE 2015 | Speaker</v>
      </c>
      <c r="G81" s="4" t="str">
        <f>IFERROR(__xludf.DUMMYFUNCTION("""COMPUTED_VALUE"""),"RISE 2015 | Speaker
Converge 2015 (Hong Kong) | Speaker")</f>
        <v>RISE 2015 | Speaker
Converge 2015 (Hong Kong) | Speaker</v>
      </c>
      <c r="H81" s="4" t="str">
        <f>IFERROR(__xludf.DUMMYFUNCTION("""COMPUTED_VALUE"""),"")</f>
        <v/>
      </c>
      <c r="I81" s="4" t="str">
        <f>IFERROR(__xludf.DUMMYFUNCTION("""COMPUTED_VALUE"""),"")</f>
        <v/>
      </c>
      <c r="J81" s="4" t="str">
        <f>IFERROR(__xludf.DUMMYFUNCTION("""COMPUTED_VALUE"""),"Darragh")</f>
        <v>Darragh</v>
      </c>
      <c r="K81" s="4" t="str">
        <f>IFERROR(__xludf.DUMMYFUNCTION("""COMPUTED_VALUE"""),"")</f>
        <v/>
      </c>
      <c r="L81" s="4" t="str">
        <f>IFERROR(__xludf.DUMMYFUNCTION("""COMPUTED_VALUE"""),"")</f>
        <v/>
      </c>
      <c r="M81" s="4" t="str">
        <f>IFERROR(__xludf.DUMMYFUNCTION("""COMPUTED_VALUE"""),"")</f>
        <v/>
      </c>
      <c r="N81" s="4" t="str">
        <f>IFERROR(__xludf.DUMMYFUNCTION("""COMPUTED_VALUE"""),"")</f>
        <v/>
      </c>
      <c r="O81" s="4" t="str">
        <f>IFERROR(__xludf.DUMMYFUNCTION("""COMPUTED_VALUE"""),"")</f>
        <v/>
      </c>
      <c r="P81" s="4" t="str">
        <f>IFERROR(__xludf.DUMMYFUNCTION("""COMPUTED_VALUE"""),"")</f>
        <v/>
      </c>
      <c r="Q81" s="4" t="str">
        <f>IFERROR(__xludf.DUMMYFUNCTION("""COMPUTED_VALUE"""),"")</f>
        <v/>
      </c>
      <c r="R81" s="4" t="str">
        <f>IFERROR(__xludf.DUMMYFUNCTION("""COMPUTED_VALUE"""),"")</f>
        <v/>
      </c>
      <c r="S81" s="4" t="str">
        <f>IFERROR(__xludf.DUMMYFUNCTION("""COMPUTED_VALUE"""),"")</f>
        <v/>
      </c>
      <c r="T81" s="4" t="str">
        <f>IFERROR(__xludf.DUMMYFUNCTION("""COMPUTED_VALUE"""),"")</f>
        <v/>
      </c>
      <c r="U81" s="21" t="str">
        <f>IFERROR(__xludf.DUMMYFUNCTION("""COMPUTED_VALUE"""),"https://drive.google.com/open?id=128ex8mHeE3nAgGetTfNChHv-QmKh1qkX")</f>
        <v>https://drive.google.com/open?id=128ex8mHeE3nAgGetTfNChHv-QmKh1qkX</v>
      </c>
    </row>
    <row r="82">
      <c r="A82" s="4">
        <f>IFERROR(__xludf.DUMMYFUNCTION("""COMPUTED_VALUE"""),81.0)</f>
        <v>81</v>
      </c>
      <c r="B82" s="4" t="str">
        <f>IFERROR(__xludf.DUMMYFUNCTION("""COMPUTED_VALUE"""),"Lorraine Twohill, Google")</f>
        <v>Lorraine Twohill, Google</v>
      </c>
      <c r="C82" s="4" t="str">
        <f>IFERROR(__xludf.DUMMYFUNCTION("""COMPUTED_VALUE"""),"Lorraine Twohill")</f>
        <v>Lorraine Twohill</v>
      </c>
      <c r="D82" s="4" t="str">
        <f>IFERROR(__xludf.DUMMYFUNCTION("""COMPUTED_VALUE"""),"Google")</f>
        <v>Google</v>
      </c>
      <c r="E82" s="4" t="str">
        <f>IFERROR(__xludf.DUMMYFUNCTION("""COMPUTED_VALUE"""),"NO VIDEO FROM SPEAKERS")</f>
        <v>NO VIDEO FROM SPEAKERS</v>
      </c>
      <c r="F82" s="4" t="str">
        <f>IFERROR(__xludf.DUMMYFUNCTION("""COMPUTED_VALUE"""),"Web Summit 2014 | Speaker")</f>
        <v>Web Summit 2014 | Speaker</v>
      </c>
      <c r="G82" s="4" t="str">
        <f>IFERROR(__xludf.DUMMYFUNCTION("""COMPUTED_VALUE"""),"Web Summit 2014 | Speaker")</f>
        <v>Web Summit 2014 | Speaker</v>
      </c>
      <c r="H82" s="4" t="str">
        <f>IFERROR(__xludf.DUMMYFUNCTION("""COMPUTED_VALUE"""),"NO VIDEO FROM SPEAKERS")</f>
        <v>NO VIDEO FROM SPEAKERS</v>
      </c>
      <c r="I82" s="4" t="str">
        <f>IFERROR(__xludf.DUMMYFUNCTION("""COMPUTED_VALUE"""),"NO VIDEO FROM SPEAKERS")</f>
        <v>NO VIDEO FROM SPEAKERS</v>
      </c>
      <c r="J82" s="4" t="str">
        <f>IFERROR(__xludf.DUMMYFUNCTION("""COMPUTED_VALUE"""),"Darragh")</f>
        <v>Darragh</v>
      </c>
      <c r="K82" s="4" t="str">
        <f>IFERROR(__xludf.DUMMYFUNCTION("""COMPUTED_VALUE"""),"NO VIDEO FROM SPEAKERS")</f>
        <v>NO VIDEO FROM SPEAKERS</v>
      </c>
      <c r="L82" s="4" t="str">
        <f>IFERROR(__xludf.DUMMYFUNCTION("""COMPUTED_VALUE"""),"NO VIDEO FROM SPEAKERS")</f>
        <v>NO VIDEO FROM SPEAKERS</v>
      </c>
      <c r="M82" s="4" t="str">
        <f>IFERROR(__xludf.DUMMYFUNCTION("""COMPUTED_VALUE"""),"")</f>
        <v/>
      </c>
      <c r="N82" s="4" t="str">
        <f>IFERROR(__xludf.DUMMYFUNCTION("""COMPUTED_VALUE"""),"NO VIDEO FROM SPEAKERS")</f>
        <v>NO VIDEO FROM SPEAKERS</v>
      </c>
      <c r="O82" s="4" t="str">
        <f>IFERROR(__xludf.DUMMYFUNCTION("""COMPUTED_VALUE"""),"")</f>
        <v/>
      </c>
      <c r="P82" s="4" t="str">
        <f>IFERROR(__xludf.DUMMYFUNCTION("""COMPUTED_VALUE"""),"")</f>
        <v/>
      </c>
      <c r="Q82" s="4" t="str">
        <f>IFERROR(__xludf.DUMMYFUNCTION("""COMPUTED_VALUE"""),"")</f>
        <v/>
      </c>
      <c r="R82" s="4" t="str">
        <f>IFERROR(__xludf.DUMMYFUNCTION("""COMPUTED_VALUE"""),"")</f>
        <v/>
      </c>
      <c r="S82" s="4" t="str">
        <f>IFERROR(__xludf.DUMMYFUNCTION("""COMPUTED_VALUE"""),"")</f>
        <v/>
      </c>
      <c r="T82" s="4" t="str">
        <f>IFERROR(__xludf.DUMMYFUNCTION("""COMPUTED_VALUE"""),"")</f>
        <v/>
      </c>
      <c r="U82" s="4" t="str">
        <f>IFERROR(__xludf.DUMMYFUNCTION("""COMPUTED_VALUE"""),"")</f>
        <v/>
      </c>
    </row>
    <row r="83">
      <c r="A83" s="4">
        <f>IFERROR(__xludf.DUMMYFUNCTION("""COMPUTED_VALUE"""),82.0)</f>
        <v>82</v>
      </c>
      <c r="B83" s="4" t="str">
        <f>IFERROR(__xludf.DUMMYFUNCTION("""COMPUTED_VALUE"""),"Stephen Schwarzman, Blackstone")</f>
        <v>Stephen Schwarzman, Blackstone</v>
      </c>
      <c r="C83" s="4" t="str">
        <f>IFERROR(__xludf.DUMMYFUNCTION("""COMPUTED_VALUE"""),"Stephen Schwarzman")</f>
        <v>Stephen Schwarzman</v>
      </c>
      <c r="D83" s="4" t="str">
        <f>IFERROR(__xludf.DUMMYFUNCTION("""COMPUTED_VALUE"""),"Blackstone")</f>
        <v>Blackstone</v>
      </c>
      <c r="E83" s="4" t="str">
        <f>IFERROR(__xludf.DUMMYFUNCTION("""COMPUTED_VALUE"""),"")</f>
        <v/>
      </c>
      <c r="F83" s="4" t="str">
        <f>IFERROR(__xludf.DUMMYFUNCTION("""COMPUTED_VALUE"""),"Web Summit 2019 | Speaker &amp; Investor")</f>
        <v>Web Summit 2019 | Speaker &amp; Investor</v>
      </c>
      <c r="G83" s="4" t="str">
        <f>IFERROR(__xludf.DUMMYFUNCTION("""COMPUTED_VALUE"""),"Web Summit 2019 | Speaker &amp; Investor")</f>
        <v>Web Summit 2019 | Speaker &amp; Investor</v>
      </c>
      <c r="H83" s="4" t="str">
        <f>IFERROR(__xludf.DUMMYFUNCTION("""COMPUTED_VALUE"""),"")</f>
        <v/>
      </c>
      <c r="I83" s="21" t="str">
        <f>IFERROR(__xludf.DUMMYFUNCTION("""COMPUTED_VALUE"""),"https://vimeo.com/showcase/6551539/video/371203957")</f>
        <v>https://vimeo.com/showcase/6551539/video/371203957</v>
      </c>
      <c r="J83" s="4" t="str">
        <f>IFERROR(__xludf.DUMMYFUNCTION("""COMPUTED_VALUE"""),"Darragh")</f>
        <v>Darragh</v>
      </c>
      <c r="K83" s="4" t="str">
        <f>IFERROR(__xludf.DUMMYFUNCTION("""COMPUTED_VALUE"""),"")</f>
        <v/>
      </c>
      <c r="L83" s="4" t="str">
        <f>IFERROR(__xludf.DUMMYFUNCTION("""COMPUTED_VALUE"""),"")</f>
        <v/>
      </c>
      <c r="M83" s="4" t="str">
        <f>IFERROR(__xludf.DUMMYFUNCTION("""COMPUTED_VALUE"""),"")</f>
        <v/>
      </c>
      <c r="N83" s="4" t="str">
        <f>IFERROR(__xludf.DUMMYFUNCTION("""COMPUTED_VALUE"""),"")</f>
        <v/>
      </c>
      <c r="O83" s="4" t="str">
        <f>IFERROR(__xludf.DUMMYFUNCTION("""COMPUTED_VALUE"""),"")</f>
        <v/>
      </c>
      <c r="P83" s="4" t="str">
        <f>IFERROR(__xludf.DUMMYFUNCTION("""COMPUTED_VALUE"""),"")</f>
        <v/>
      </c>
      <c r="Q83" s="4" t="str">
        <f>IFERROR(__xludf.DUMMYFUNCTION("""COMPUTED_VALUE"""),"")</f>
        <v/>
      </c>
      <c r="R83" s="4" t="str">
        <f>IFERROR(__xludf.DUMMYFUNCTION("""COMPUTED_VALUE"""),"")</f>
        <v/>
      </c>
      <c r="S83" s="4" t="str">
        <f>IFERROR(__xludf.DUMMYFUNCTION("""COMPUTED_VALUE"""),"")</f>
        <v/>
      </c>
      <c r="T83" s="4" t="str">
        <f>IFERROR(__xludf.DUMMYFUNCTION("""COMPUTED_VALUE"""),"")</f>
        <v/>
      </c>
      <c r="U83" s="21" t="str">
        <f>IFERROR(__xludf.DUMMYFUNCTION("""COMPUTED_VALUE"""),"https://ws19-processed-videos.s3-eu-west-1.amazonaws.com/0bcc2520-c55a-4ac6-be76-43340bbf64c7_The_king_of_capital.mp4")</f>
        <v>https://ws19-processed-videos.s3-eu-west-1.amazonaws.com/0bcc2520-c55a-4ac6-be76-43340bbf64c7_The_king_of_capital.mp4</v>
      </c>
    </row>
    <row r="84">
      <c r="A84" s="4">
        <f>IFERROR(__xludf.DUMMYFUNCTION("""COMPUTED_VALUE"""),83.0)</f>
        <v>83</v>
      </c>
      <c r="B84" s="4" t="str">
        <f>IFERROR(__xludf.DUMMYFUNCTION("""COMPUTED_VALUE"""),"Michel Barnier, European Commission")</f>
        <v>Michel Barnier, European Commission</v>
      </c>
      <c r="C84" s="4" t="str">
        <f>IFERROR(__xludf.DUMMYFUNCTION("""COMPUTED_VALUE"""),"Michel Barnier")</f>
        <v>Michel Barnier</v>
      </c>
      <c r="D84" s="4" t="str">
        <f>IFERROR(__xludf.DUMMYFUNCTION("""COMPUTED_VALUE"""),"European Commission")</f>
        <v>European Commission</v>
      </c>
      <c r="E84" s="4" t="str">
        <f>IFERROR(__xludf.DUMMYFUNCTION("""COMPUTED_VALUE"""),"")</f>
        <v/>
      </c>
      <c r="F84" s="4" t="str">
        <f>IFERROR(__xludf.DUMMYFUNCTION("""COMPUTED_VALUE"""),"Web Summit 2019 | Speaker &amp; Partner")</f>
        <v>Web Summit 2019 | Speaker &amp; Partner</v>
      </c>
      <c r="G84" s="4" t="str">
        <f>IFERROR(__xludf.DUMMYFUNCTION("""COMPUTED_VALUE"""),"Web Summit 2019 | Speaker &amp; Partner")</f>
        <v>Web Summit 2019 | Speaker &amp; Partner</v>
      </c>
      <c r="H84" s="4" t="str">
        <f>IFERROR(__xludf.DUMMYFUNCTION("""COMPUTED_VALUE"""),"")</f>
        <v/>
      </c>
      <c r="I84" s="21" t="str">
        <f>IFERROR(__xludf.DUMMYFUNCTION("""COMPUTED_VALUE"""),"https://vimeo.com/showcase/6551539/video/371131728")</f>
        <v>https://vimeo.com/showcase/6551539/video/371131728</v>
      </c>
      <c r="J84" s="4" t="str">
        <f>IFERROR(__xludf.DUMMYFUNCTION("""COMPUTED_VALUE"""),"Gav")</f>
        <v>Gav</v>
      </c>
      <c r="K84" s="4" t="str">
        <f>IFERROR(__xludf.DUMMYFUNCTION("""COMPUTED_VALUE"""),"")</f>
        <v/>
      </c>
      <c r="L84" s="4" t="str">
        <f>IFERROR(__xludf.DUMMYFUNCTION("""COMPUTED_VALUE"""),"Start on 1.20. Finishes bang on.")</f>
        <v>Start on 1.20. Finishes bang on.</v>
      </c>
      <c r="M84" s="4" t="str">
        <f>IFERROR(__xludf.DUMMYFUNCTION("""COMPUTED_VALUE"""),"")</f>
        <v/>
      </c>
      <c r="N84" s="4" t="str">
        <f>IFERROR(__xludf.DUMMYFUNCTION("""COMPUTED_VALUE"""),"")</f>
        <v/>
      </c>
      <c r="O84" s="4" t="str">
        <f>IFERROR(__xludf.DUMMYFUNCTION("""COMPUTED_VALUE"""),"")</f>
        <v/>
      </c>
      <c r="P84" s="4" t="str">
        <f>IFERROR(__xludf.DUMMYFUNCTION("""COMPUTED_VALUE"""),"")</f>
        <v/>
      </c>
      <c r="Q84" s="4" t="str">
        <f>IFERROR(__xludf.DUMMYFUNCTION("""COMPUTED_VALUE"""),"")</f>
        <v/>
      </c>
      <c r="R84" s="4" t="str">
        <f>IFERROR(__xludf.DUMMYFUNCTION("""COMPUTED_VALUE"""),"")</f>
        <v/>
      </c>
      <c r="S84" s="4" t="str">
        <f>IFERROR(__xludf.DUMMYFUNCTION("""COMPUTED_VALUE"""),"")</f>
        <v/>
      </c>
      <c r="T84" s="4" t="str">
        <f>IFERROR(__xludf.DUMMYFUNCTION("""COMPUTED_VALUE"""),"")</f>
        <v/>
      </c>
      <c r="U84" s="21" t="str">
        <f>IFERROR(__xludf.DUMMYFUNCTION("""COMPUTED_VALUE"""),"https://ws19-processed-videos.s3-eu-west-1.amazonaws.com/713e026f-aaed-45c7-89ed-303e1d902d74_The_EU_after_Brexit.mp4")</f>
        <v>https://ws19-processed-videos.s3-eu-west-1.amazonaws.com/713e026f-aaed-45c7-89ed-303e1d902d74_The_EU_after_Brexit.mp4</v>
      </c>
    </row>
    <row r="85">
      <c r="A85" s="4">
        <f>IFERROR(__xludf.DUMMYFUNCTION("""COMPUTED_VALUE"""),84.0)</f>
        <v>84</v>
      </c>
      <c r="B85" s="4" t="str">
        <f>IFERROR(__xludf.DUMMYFUNCTION("""COMPUTED_VALUE"""),"Andrew Yang, Yang 2020")</f>
        <v>Andrew Yang, Yang 2020</v>
      </c>
      <c r="C85" s="4" t="str">
        <f>IFERROR(__xludf.DUMMYFUNCTION("""COMPUTED_VALUE"""),"Andrew Yang")</f>
        <v>Andrew Yang</v>
      </c>
      <c r="D85" s="4" t="str">
        <f>IFERROR(__xludf.DUMMYFUNCTION("""COMPUTED_VALUE"""),"Yang 2020")</f>
        <v>Yang 2020</v>
      </c>
      <c r="E85" s="4" t="str">
        <f>IFERROR(__xludf.DUMMYFUNCTION("""COMPUTED_VALUE"""),"Susan Herman, ACLU; Cenk Uygur, The Young Turks")</f>
        <v>Susan Herman, ACLU; Cenk Uygur, The Young Turks</v>
      </c>
      <c r="F85" s="4" t="str">
        <f>IFERROR(__xludf.DUMMYFUNCTION("""COMPUTED_VALUE"""),"Collision 2018 | Speaker")</f>
        <v>Collision 2018 | Speaker</v>
      </c>
      <c r="G85" s="4" t="str">
        <f>IFERROR(__xludf.DUMMYFUNCTION("""COMPUTED_VALUE"""),"Collision 2018 | Speaker")</f>
        <v>Collision 2018 | Speaker</v>
      </c>
      <c r="H85" s="4" t="str">
        <f>IFERROR(__xludf.DUMMYFUNCTION("""COMPUTED_VALUE"""),"")</f>
        <v/>
      </c>
      <c r="I85" s="21" t="str">
        <f>IFERROR(__xludf.DUMMYFUNCTION("""COMPUTED_VALUE"""),"https://www.youtube.com/watch?v=l8O7cuBybYs")</f>
        <v>https://www.youtube.com/watch?v=l8O7cuBybYs</v>
      </c>
      <c r="J85" s="4" t="str">
        <f>IFERROR(__xludf.DUMMYFUNCTION("""COMPUTED_VALUE"""),"Gav")</f>
        <v>Gav</v>
      </c>
      <c r="K85" s="4" t="str">
        <f>IFERROR(__xludf.DUMMYFUNCTION("""COMPUTED_VALUE"""),"")</f>
        <v/>
      </c>
      <c r="L85" s="4" t="str">
        <f>IFERROR(__xludf.DUMMYFUNCTION("""COMPUTED_VALUE"""),"This one is good.")</f>
        <v>This one is good.</v>
      </c>
      <c r="M85" s="4" t="str">
        <f>IFERROR(__xludf.DUMMYFUNCTION("""COMPUTED_VALUE"""),"")</f>
        <v/>
      </c>
      <c r="N85" s="4" t="str">
        <f>IFERROR(__xludf.DUMMYFUNCTION("""COMPUTED_VALUE"""),"")</f>
        <v/>
      </c>
      <c r="O85" s="4" t="str">
        <f>IFERROR(__xludf.DUMMYFUNCTION("""COMPUTED_VALUE"""),"")</f>
        <v/>
      </c>
      <c r="P85" s="4" t="str">
        <f>IFERROR(__xludf.DUMMYFUNCTION("""COMPUTED_VALUE"""),"")</f>
        <v/>
      </c>
      <c r="Q85" s="4" t="str">
        <f>IFERROR(__xludf.DUMMYFUNCTION("""COMPUTED_VALUE"""),"")</f>
        <v/>
      </c>
      <c r="R85" s="4" t="str">
        <f>IFERROR(__xludf.DUMMYFUNCTION("""COMPUTED_VALUE"""),"")</f>
        <v/>
      </c>
      <c r="S85" s="4" t="str">
        <f>IFERROR(__xludf.DUMMYFUNCTION("""COMPUTED_VALUE"""),"")</f>
        <v/>
      </c>
      <c r="T85" s="4" t="str">
        <f>IFERROR(__xludf.DUMMYFUNCTION("""COMPUTED_VALUE"""),"")</f>
        <v/>
      </c>
      <c r="U85" s="21" t="str">
        <f>IFERROR(__xludf.DUMMYFUNCTION("""COMPUTED_VALUE"""),"https://cc18-videos.s3-eu-west-1.amazonaws.com/a123cf7c-8191-4e5d-bb41-8b69bc2b3e5c_The_future_for_America_Tech_politics_and_civil_rights.mp4")</f>
        <v>https://cc18-videos.s3-eu-west-1.amazonaws.com/a123cf7c-8191-4e5d-bb41-8b69bc2b3e5c_The_future_for_America_Tech_politics_and_civil_rights.mp4</v>
      </c>
    </row>
    <row r="86">
      <c r="A86" s="4">
        <f>IFERROR(__xludf.DUMMYFUNCTION("""COMPUTED_VALUE"""),85.0)</f>
        <v>85</v>
      </c>
      <c r="B86" s="4" t="str">
        <f>IFERROR(__xludf.DUMMYFUNCTION("""COMPUTED_VALUE"""),"Tristan Harris, Time Well Spent")</f>
        <v>Tristan Harris, Time Well Spent</v>
      </c>
      <c r="C86" s="4" t="str">
        <f>IFERROR(__xludf.DUMMYFUNCTION("""COMPUTED_VALUE"""),"Tristan Harris")</f>
        <v>Tristan Harris</v>
      </c>
      <c r="D86" s="4" t="str">
        <f>IFERROR(__xludf.DUMMYFUNCTION("""COMPUTED_VALUE"""),"Time Well Spent")</f>
        <v>Time Well Spent</v>
      </c>
      <c r="E86" s="4" t="str">
        <f>IFERROR(__xludf.DUMMYFUNCTION("""COMPUTED_VALUE"""),"Jim Steyer, Common Sense Media; Alyssa Newcomb, NBC News")</f>
        <v>Jim Steyer, Common Sense Media; Alyssa Newcomb, NBC News</v>
      </c>
      <c r="F86" s="4" t="str">
        <f>IFERROR(__xludf.DUMMYFUNCTION("""COMPUTED_VALUE"""),"Collision 2018 | Speaker
Web Summit 2016 | Speaker")</f>
        <v>Collision 2018 | Speaker
Web Summit 2016 | Speaker</v>
      </c>
      <c r="G86" s="4" t="str">
        <f>IFERROR(__xludf.DUMMYFUNCTION("""COMPUTED_VALUE"""),"Collision 2018 | Speaker
Web Summit 2016 | Speaker
F.ounders Lisbon 2016 | Founder")</f>
        <v>Collision 2018 | Speaker
Web Summit 2016 | Speaker
F.ounders Lisbon 2016 | Founder</v>
      </c>
      <c r="H86" s="4" t="str">
        <f>IFERROR(__xludf.DUMMYFUNCTION("""COMPUTED_VALUE"""),"")</f>
        <v/>
      </c>
      <c r="I86" s="21" t="str">
        <f>IFERROR(__xludf.DUMMYFUNCTION("""COMPUTED_VALUE"""),"https://www.youtube.com/watch?v=Vuv0f-hGg1E&amp;list=PL0i3g7RFqLMLH0lC8zswRiNTT5wXjElvu&amp;index=24")</f>
        <v>https://www.youtube.com/watch?v=Vuv0f-hGg1E&amp;list=PL0i3g7RFqLMLH0lC8zswRiNTT5wXjElvu&amp;index=24</v>
      </c>
      <c r="J86" s="4" t="str">
        <f>IFERROR(__xludf.DUMMYFUNCTION("""COMPUTED_VALUE"""),"Gav")</f>
        <v>Gav</v>
      </c>
      <c r="K86" s="4" t="str">
        <f>IFERROR(__xludf.DUMMYFUNCTION("""COMPUTED_VALUE"""),"")</f>
        <v/>
      </c>
      <c r="L86" s="4" t="str">
        <f>IFERROR(__xludf.DUMMYFUNCTION("""COMPUTED_VALUE"""),"Bang on")</f>
        <v>Bang on</v>
      </c>
      <c r="M86" s="4" t="str">
        <f>IFERROR(__xludf.DUMMYFUNCTION("""COMPUTED_VALUE"""),"")</f>
        <v/>
      </c>
      <c r="N86" s="4" t="str">
        <f>IFERROR(__xludf.DUMMYFUNCTION("""COMPUTED_VALUE"""),"")</f>
        <v/>
      </c>
      <c r="O86" s="4" t="str">
        <f>IFERROR(__xludf.DUMMYFUNCTION("""COMPUTED_VALUE"""),"")</f>
        <v/>
      </c>
      <c r="P86" s="4" t="str">
        <f>IFERROR(__xludf.DUMMYFUNCTION("""COMPUTED_VALUE"""),"")</f>
        <v/>
      </c>
      <c r="Q86" s="4" t="str">
        <f>IFERROR(__xludf.DUMMYFUNCTION("""COMPUTED_VALUE"""),"")</f>
        <v/>
      </c>
      <c r="R86" s="4" t="str">
        <f>IFERROR(__xludf.DUMMYFUNCTION("""COMPUTED_VALUE"""),"")</f>
        <v/>
      </c>
      <c r="S86" s="4" t="str">
        <f>IFERROR(__xludf.DUMMYFUNCTION("""COMPUTED_VALUE"""),"")</f>
        <v/>
      </c>
      <c r="T86" s="4" t="str">
        <f>IFERROR(__xludf.DUMMYFUNCTION("""COMPUTED_VALUE"""),"")</f>
        <v/>
      </c>
      <c r="U86" s="21" t="str">
        <f>IFERROR(__xludf.DUMMYFUNCTION("""COMPUTED_VALUE"""),"https://cc18-videos.s3-eu-west-1.amazonaws.com/a3a3a5a0-77eb-4642-9d47-80e366ef702d_How_tech_has_us_hooked.mp4")</f>
        <v>https://cc18-videos.s3-eu-west-1.amazonaws.com/a3a3a5a0-77eb-4642-9d47-80e366ef702d_How_tech_has_us_hooked.mp4</v>
      </c>
    </row>
    <row r="87">
      <c r="A87" s="4">
        <f>IFERROR(__xludf.DUMMYFUNCTION("""COMPUTED_VALUE"""),86.0)</f>
        <v>86</v>
      </c>
      <c r="B87" s="4" t="str">
        <f>IFERROR(__xludf.DUMMYFUNCTION("""COMPUTED_VALUE"""),"Tom Cortese, Peloton")</f>
        <v>Tom Cortese, Peloton</v>
      </c>
      <c r="C87" s="4" t="str">
        <f>IFERROR(__xludf.DUMMYFUNCTION("""COMPUTED_VALUE"""),"Tom Cortese")</f>
        <v>Tom Cortese</v>
      </c>
      <c r="D87" s="4" t="str">
        <f>IFERROR(__xludf.DUMMYFUNCTION("""COMPUTED_VALUE"""),"Peloton")</f>
        <v>Peloton</v>
      </c>
      <c r="E87" s="4" t="str">
        <f>IFERROR(__xludf.DUMMYFUNCTION("""COMPUTED_VALUE"""),"Jeff Raider, Harry's; Zoe Henry, Inc. Magazine ")</f>
        <v>Jeff Raider, Harry's; Zoe Henry, Inc. Magazine </v>
      </c>
      <c r="F87" s="4" t="str">
        <f>IFERROR(__xludf.DUMMYFUNCTION("""COMPUTED_VALUE"""),"Collision 2018 | Speaker")</f>
        <v>Collision 2018 | Speaker</v>
      </c>
      <c r="G87" s="4" t="str">
        <f>IFERROR(__xludf.DUMMYFUNCTION("""COMPUTED_VALUE"""),"Collision 2018 | Speaker")</f>
        <v>Collision 2018 | Speaker</v>
      </c>
      <c r="H87" s="4" t="str">
        <f>IFERROR(__xludf.DUMMYFUNCTION("""COMPUTED_VALUE"""),"")</f>
        <v/>
      </c>
      <c r="I87" s="21" t="str">
        <f>IFERROR(__xludf.DUMMYFUNCTION("""COMPUTED_VALUE"""),"https://www.youtube.com/watch?v=jSjuugKqQa4")</f>
        <v>https://www.youtube.com/watch?v=jSjuugKqQa4</v>
      </c>
      <c r="J87" s="4" t="str">
        <f>IFERROR(__xludf.DUMMYFUNCTION("""COMPUTED_VALUE"""),"Stephen")</f>
        <v>Stephen</v>
      </c>
      <c r="K87" s="4" t="str">
        <f>IFERROR(__xludf.DUMMYFUNCTION("""COMPUTED_VALUE"""),"")</f>
        <v/>
      </c>
      <c r="L87" s="4" t="str">
        <f>IFERROR(__xludf.DUMMYFUNCTION("""COMPUTED_VALUE"""),"Zoe makes joke at start about ""being most powerful person in Hollywood"" that has no context in video so might be wise to cut to 00:15. Music at end that could be cut.")</f>
        <v>Zoe makes joke at start about "being most powerful person in Hollywood" that has no context in video so might be wise to cut to 00:15. Music at end that could be cut.</v>
      </c>
      <c r="M87" s="4" t="str">
        <f>IFERROR(__xludf.DUMMYFUNCTION("""COMPUTED_VALUE"""),"00:00 - 00:03 &amp; 19:52 - 19:53")</f>
        <v>00:00 - 00:03 &amp; 19:52 - 19:53</v>
      </c>
      <c r="N87" s="4" t="str">
        <f>IFERROR(__xludf.DUMMYFUNCTION("""COMPUTED_VALUE"""),"")</f>
        <v/>
      </c>
      <c r="O87" s="4" t="str">
        <f>IFERROR(__xludf.DUMMYFUNCTION("""COMPUTED_VALUE"""),"")</f>
        <v/>
      </c>
      <c r="P87" s="4" t="str">
        <f>IFERROR(__xludf.DUMMYFUNCTION("""COMPUTED_VALUE"""),"")</f>
        <v/>
      </c>
      <c r="Q87" s="4" t="str">
        <f>IFERROR(__xludf.DUMMYFUNCTION("""COMPUTED_VALUE"""),"")</f>
        <v/>
      </c>
      <c r="R87" s="4" t="str">
        <f>IFERROR(__xludf.DUMMYFUNCTION("""COMPUTED_VALUE"""),"")</f>
        <v/>
      </c>
      <c r="S87" s="4" t="str">
        <f>IFERROR(__xludf.DUMMYFUNCTION("""COMPUTED_VALUE"""),"")</f>
        <v/>
      </c>
      <c r="T87" s="4" t="str">
        <f>IFERROR(__xludf.DUMMYFUNCTION("""COMPUTED_VALUE"""),"")</f>
        <v/>
      </c>
      <c r="U87" s="21" t="str">
        <f>IFERROR(__xludf.DUMMYFUNCTION("""COMPUTED_VALUE"""),"https://col18-videos.s3-eu-west-1.amazonaws.com/575c0973-1f3d-42bf-a770-f78f3266db59_How_to_create_the_next_big_thing.mp4")</f>
        <v>https://col18-videos.s3-eu-west-1.amazonaws.com/575c0973-1f3d-42bf-a770-f78f3266db59_How_to_create_the_next_big_thing.mp4</v>
      </c>
    </row>
    <row r="88">
      <c r="A88" s="4">
        <f>IFERROR(__xludf.DUMMYFUNCTION("""COMPUTED_VALUE"""),87.0)</f>
        <v>87</v>
      </c>
      <c r="B88" s="4" t="str">
        <f>IFERROR(__xludf.DUMMYFUNCTION("""COMPUTED_VALUE"""),"Elie Seidman, Tinder")</f>
        <v>Elie Seidman, Tinder</v>
      </c>
      <c r="C88" s="4" t="str">
        <f>IFERROR(__xludf.DUMMYFUNCTION("""COMPUTED_VALUE"""),"Elie Seidman")</f>
        <v>Elie Seidman</v>
      </c>
      <c r="D88" s="4" t="str">
        <f>IFERROR(__xludf.DUMMYFUNCTION("""COMPUTED_VALUE"""),"Tinder")</f>
        <v>Tinder</v>
      </c>
      <c r="E88" s="4" t="str">
        <f>IFERROR(__xludf.DUMMYFUNCTION("""COMPUTED_VALUE"""),"")</f>
        <v/>
      </c>
      <c r="F88" s="4" t="str">
        <f>IFERROR(__xludf.DUMMYFUNCTION("""COMPUTED_VALUE"""),"RISE 2019 | Speaker
Collision 2018 | Speaker")</f>
        <v>RISE 2019 | Speaker
Collision 2018 | Speaker</v>
      </c>
      <c r="G88" s="4" t="str">
        <f>IFERROR(__xludf.DUMMYFUNCTION("""COMPUTED_VALUE"""),"RISE 2019 | Speaker
Collision 2018 | Speaker")</f>
        <v>RISE 2019 | Speaker
Collision 2018 | Speaker</v>
      </c>
      <c r="H88" s="4" t="str">
        <f>IFERROR(__xludf.DUMMYFUNCTION("""COMPUTED_VALUE"""),"")</f>
        <v/>
      </c>
      <c r="I88" s="21" t="str">
        <f>IFERROR(__xludf.DUMMYFUNCTION("""COMPUTED_VALUE"""),"https://www.youtube.com/watch?v=3wwhKC8eaKk")</f>
        <v>https://www.youtube.com/watch?v=3wwhKC8eaKk</v>
      </c>
      <c r="J88" s="4" t="str">
        <f>IFERROR(__xludf.DUMMYFUNCTION("""COMPUTED_VALUE"""),"")</f>
        <v/>
      </c>
      <c r="K88" s="4" t="str">
        <f>IFERROR(__xludf.DUMMYFUNCTION("""COMPUTED_VALUE"""),"")</f>
        <v/>
      </c>
      <c r="L88" s="4" t="str">
        <f>IFERROR(__xludf.DUMMYFUNCTION("""COMPUTED_VALUE"""),"")</f>
        <v/>
      </c>
      <c r="M88" s="4" t="str">
        <f>IFERROR(__xludf.DUMMYFUNCTION("""COMPUTED_VALUE"""),"")</f>
        <v/>
      </c>
      <c r="N88" s="4" t="str">
        <f>IFERROR(__xludf.DUMMYFUNCTION("""COMPUTED_VALUE"""),"")</f>
        <v/>
      </c>
      <c r="O88" s="4" t="str">
        <f>IFERROR(__xludf.DUMMYFUNCTION("""COMPUTED_VALUE"""),"")</f>
        <v/>
      </c>
      <c r="P88" s="4" t="str">
        <f>IFERROR(__xludf.DUMMYFUNCTION("""COMPUTED_VALUE"""),"")</f>
        <v/>
      </c>
      <c r="Q88" s="4" t="str">
        <f>IFERROR(__xludf.DUMMYFUNCTION("""COMPUTED_VALUE"""),"")</f>
        <v/>
      </c>
      <c r="R88" s="4" t="str">
        <f>IFERROR(__xludf.DUMMYFUNCTION("""COMPUTED_VALUE"""),"")</f>
        <v/>
      </c>
      <c r="S88" s="4" t="str">
        <f>IFERROR(__xludf.DUMMYFUNCTION("""COMPUTED_VALUE"""),"")</f>
        <v/>
      </c>
      <c r="T88" s="4" t="str">
        <f>IFERROR(__xludf.DUMMYFUNCTION("""COMPUTED_VALUE"""),"")</f>
        <v/>
      </c>
      <c r="U88" s="21" t="str">
        <f>IFERROR(__xludf.DUMMYFUNCTION("""COMPUTED_VALUE"""),"https://cc18-videos.s3-eu-west-1.amazonaws.com/0bdcdc24-62d5-441e-8ff9-86a2a9893226_Continuing_to_ignite_a_cultural_revolution.mp4")</f>
        <v>https://cc18-videos.s3-eu-west-1.amazonaws.com/0bdcdc24-62d5-441e-8ff9-86a2a9893226_Continuing_to_ignite_a_cultural_revolution.mp4</v>
      </c>
    </row>
    <row r="89">
      <c r="A89" s="4">
        <f>IFERROR(__xludf.DUMMYFUNCTION("""COMPUTED_VALUE"""),88.0)</f>
        <v>88</v>
      </c>
      <c r="B89" s="4" t="str">
        <f>IFERROR(__xludf.DUMMYFUNCTION("""COMPUTED_VALUE"""),"Carl Pei, OnePlus")</f>
        <v>Carl Pei, OnePlus</v>
      </c>
      <c r="C89" s="4" t="str">
        <f>IFERROR(__xludf.DUMMYFUNCTION("""COMPUTED_VALUE"""),"Carl Pei")</f>
        <v>Carl Pei</v>
      </c>
      <c r="D89" s="4" t="str">
        <f>IFERROR(__xludf.DUMMYFUNCTION("""COMPUTED_VALUE"""),"OnePlus")</f>
        <v>OnePlus</v>
      </c>
      <c r="E89" s="4" t="str">
        <f>IFERROR(__xludf.DUMMYFUNCTION("""COMPUTED_VALUE"""),"")</f>
        <v/>
      </c>
      <c r="F89" s="4" t="str">
        <f>IFERROR(__xludf.DUMMYFUNCTION("""COMPUTED_VALUE"""),"Collision 2016 | Speaker
Web Summit 2015 | Speaker")</f>
        <v>Collision 2016 | Speaker
Web Summit 2015 | Speaker</v>
      </c>
      <c r="G89" s="4" t="str">
        <f>IFERROR(__xludf.DUMMYFUNCTION("""COMPUTED_VALUE"""),"Collision 2016 | Speaker
F.ounders New Orleans 2016 | Founder
F.ounders Dublin 2015 | Founder
Web Summit 2015 | Speaker
Brand X 2014 | Executive")</f>
        <v>Collision 2016 | Speaker
F.ounders New Orleans 2016 | Founder
F.ounders Dublin 2015 | Founder
Web Summit 2015 | Speaker
Brand X 2014 | Executive</v>
      </c>
      <c r="H89" s="4" t="str">
        <f>IFERROR(__xludf.DUMMYFUNCTION("""COMPUTED_VALUE"""),"")</f>
        <v/>
      </c>
      <c r="I89" s="4" t="str">
        <f>IFERROR(__xludf.DUMMYFUNCTION("""COMPUTED_VALUE"""),"https://www.youtube.com/watch?v=sEM33ZvzXcY ;https://www.youtube.com/watch?v=lTGzRWujBPo")</f>
        <v>https://www.youtube.com/watch?v=sEM33ZvzXcY ;https://www.youtube.com/watch?v=lTGzRWujBPo</v>
      </c>
      <c r="J89" s="4" t="str">
        <f>IFERROR(__xludf.DUMMYFUNCTION("""COMPUTED_VALUE"""),"")</f>
        <v/>
      </c>
      <c r="K89" s="4" t="str">
        <f>IFERROR(__xludf.DUMMYFUNCTION("""COMPUTED_VALUE"""),"")</f>
        <v/>
      </c>
      <c r="L89" s="4" t="str">
        <f>IFERROR(__xludf.DUMMYFUNCTION("""COMPUTED_VALUE"""),"")</f>
        <v/>
      </c>
      <c r="M89" s="4" t="str">
        <f>IFERROR(__xludf.DUMMYFUNCTION("""COMPUTED_VALUE"""),"")</f>
        <v/>
      </c>
      <c r="N89" s="4" t="str">
        <f>IFERROR(__xludf.DUMMYFUNCTION("""COMPUTED_VALUE"""),"")</f>
        <v/>
      </c>
      <c r="O89" s="4" t="str">
        <f>IFERROR(__xludf.DUMMYFUNCTION("""COMPUTED_VALUE"""),"")</f>
        <v/>
      </c>
      <c r="P89" s="4" t="str">
        <f>IFERROR(__xludf.DUMMYFUNCTION("""COMPUTED_VALUE"""),"")</f>
        <v/>
      </c>
      <c r="Q89" s="4" t="str">
        <f>IFERROR(__xludf.DUMMYFUNCTION("""COMPUTED_VALUE"""),"")</f>
        <v/>
      </c>
      <c r="R89" s="4" t="str">
        <f>IFERROR(__xludf.DUMMYFUNCTION("""COMPUTED_VALUE"""),"")</f>
        <v/>
      </c>
      <c r="S89" s="4" t="str">
        <f>IFERROR(__xludf.DUMMYFUNCTION("""COMPUTED_VALUE"""),"")</f>
        <v/>
      </c>
      <c r="T89" s="4" t="str">
        <f>IFERROR(__xludf.DUMMYFUNCTION("""COMPUTED_VALUE"""),"")</f>
        <v/>
      </c>
      <c r="U89" s="21" t="str">
        <f>IFERROR(__xludf.DUMMYFUNCTION("""COMPUTED_VALUE"""),"https://drive.google.com/open?id=10V8p_QDkRR5Nwk0t59wVHOG7Hstr80UQ")</f>
        <v>https://drive.google.com/open?id=10V8p_QDkRR5Nwk0t59wVHOG7Hstr80UQ</v>
      </c>
    </row>
    <row r="90">
      <c r="A90" s="4">
        <f>IFERROR(__xludf.DUMMYFUNCTION("""COMPUTED_VALUE"""),89.0)</f>
        <v>89</v>
      </c>
      <c r="B90" s="4" t="str">
        <f>IFERROR(__xludf.DUMMYFUNCTION("""COMPUTED_VALUE"""),"Matt Mullenweg, Wordpress")</f>
        <v>Matt Mullenweg, Wordpress</v>
      </c>
      <c r="C90" s="4" t="str">
        <f>IFERROR(__xludf.DUMMYFUNCTION("""COMPUTED_VALUE"""),"Matt Mullenweg")</f>
        <v>Matt Mullenweg</v>
      </c>
      <c r="D90" s="4" t="str">
        <f>IFERROR(__xludf.DUMMYFUNCTION("""COMPUTED_VALUE"""),"Wordpress")</f>
        <v>Wordpress</v>
      </c>
      <c r="E90" s="4" t="str">
        <f>IFERROR(__xludf.DUMMYFUNCTION("""COMPUTED_VALUE"""),"")</f>
        <v/>
      </c>
      <c r="F90" s="4" t="str">
        <f>IFERROR(__xludf.DUMMYFUNCTION("""COMPUTED_VALUE"""),"RISE 2015 | Speaker
Web Summit 2014 | Speaker")</f>
        <v>RISE 2015 | Speaker
Web Summit 2014 | Speaker</v>
      </c>
      <c r="G90" s="4" t="str">
        <f>IFERROR(__xludf.DUMMYFUNCTION("""COMPUTED_VALUE"""),"RISE 2015 | Speaker
Converge 2015 (Hong Kong) | Founder
Brand X 2014 | Executive
F.ounders Dublin 2014 | Founder
Web Summit 2014 | Speaker
F.ounders Dublin 2013 | Founder
F.ounders Dublin 2010 | Founder")</f>
        <v>RISE 2015 | Speaker
Converge 2015 (Hong Kong) | Founder
Brand X 2014 | Executive
F.ounders Dublin 2014 | Founder
Web Summit 2014 | Speaker
F.ounders Dublin 2013 | Founder
F.ounders Dublin 2010 | Founder</v>
      </c>
      <c r="H90" s="4" t="str">
        <f>IFERROR(__xludf.DUMMYFUNCTION("""COMPUTED_VALUE"""),"")</f>
        <v/>
      </c>
      <c r="I90" s="4" t="str">
        <f>IFERROR(__xludf.DUMMYFUNCTION("""COMPUTED_VALUE"""),"https://vimeo.com/channels/dublinwebsummit/9405917;
https://www.youtube.com/watch?v=oO-phen7QIs ;
https://www.youtube.com/watch?v=FCI67KYQYTk ;
https://www.youtube.com/watch?v=IcorOLmwt-I ;")</f>
        <v>https://vimeo.com/channels/dublinwebsummit/9405917;
https://www.youtube.com/watch?v=oO-phen7QIs ;
https://www.youtube.com/watch?v=FCI67KYQYTk ;
https://www.youtube.com/watch?v=IcorOLmwt-I ;</v>
      </c>
      <c r="J90" s="4" t="str">
        <f>IFERROR(__xludf.DUMMYFUNCTION("""COMPUTED_VALUE"""),"")</f>
        <v/>
      </c>
      <c r="K90" s="4" t="str">
        <f>IFERROR(__xludf.DUMMYFUNCTION("""COMPUTED_VALUE"""),"")</f>
        <v/>
      </c>
      <c r="L90" s="4" t="str">
        <f>IFERROR(__xludf.DUMMYFUNCTION("""COMPUTED_VALUE"""),"")</f>
        <v/>
      </c>
      <c r="M90" s="4" t="str">
        <f>IFERROR(__xludf.DUMMYFUNCTION("""COMPUTED_VALUE"""),"")</f>
        <v/>
      </c>
      <c r="N90" s="4" t="str">
        <f>IFERROR(__xludf.DUMMYFUNCTION("""COMPUTED_VALUE"""),"")</f>
        <v/>
      </c>
      <c r="O90" s="4" t="str">
        <f>IFERROR(__xludf.DUMMYFUNCTION("""COMPUTED_VALUE"""),"")</f>
        <v/>
      </c>
      <c r="P90" s="4" t="str">
        <f>IFERROR(__xludf.DUMMYFUNCTION("""COMPUTED_VALUE"""),"")</f>
        <v/>
      </c>
      <c r="Q90" s="4" t="str">
        <f>IFERROR(__xludf.DUMMYFUNCTION("""COMPUTED_VALUE"""),"")</f>
        <v/>
      </c>
      <c r="R90" s="4" t="str">
        <f>IFERROR(__xludf.DUMMYFUNCTION("""COMPUTED_VALUE"""),"")</f>
        <v/>
      </c>
      <c r="S90" s="4" t="str">
        <f>IFERROR(__xludf.DUMMYFUNCTION("""COMPUTED_VALUE"""),"")</f>
        <v/>
      </c>
      <c r="T90" s="4" t="str">
        <f>IFERROR(__xludf.DUMMYFUNCTION("""COMPUTED_VALUE"""),"")</f>
        <v/>
      </c>
      <c r="U90" s="21" t="str">
        <f>IFERROR(__xludf.DUMMYFUNCTION("""COMPUTED_VALUE"""),"https://drive.google.com/open?id=1W4QlMdCYU_l2GpC2KtTacKPo-UIQwZvN")</f>
        <v>https://drive.google.com/open?id=1W4QlMdCYU_l2GpC2KtTacKPo-UIQwZvN</v>
      </c>
    </row>
    <row r="91">
      <c r="A91" s="4">
        <f>IFERROR(__xludf.DUMMYFUNCTION("""COMPUTED_VALUE"""),90.0)</f>
        <v>90</v>
      </c>
      <c r="B91" s="4" t="str">
        <f>IFERROR(__xludf.DUMMYFUNCTION("""COMPUTED_VALUE"""),"Paul Levesque, WWE")</f>
        <v>Paul Levesque, WWE</v>
      </c>
      <c r="C91" s="4" t="str">
        <f>IFERROR(__xludf.DUMMYFUNCTION("""COMPUTED_VALUE"""),"Paul Levesque")</f>
        <v>Paul Levesque</v>
      </c>
      <c r="D91" s="4" t="str">
        <f>IFERROR(__xludf.DUMMYFUNCTION("""COMPUTED_VALUE"""),"WWE")</f>
        <v>WWE</v>
      </c>
      <c r="E91" s="4" t="str">
        <f>IFERROR(__xludf.DUMMYFUNCTION("""COMPUTED_VALUE"""),"*")</f>
        <v>*</v>
      </c>
      <c r="F91" s="4" t="str">
        <f>IFERROR(__xludf.DUMMYFUNCTION("""COMPUTED_VALUE"""),"Web Summit 2017 | Speaker")</f>
        <v>Web Summit 2017 | Speaker</v>
      </c>
      <c r="G91" s="4" t="str">
        <f>IFERROR(__xludf.DUMMYFUNCTION("""COMPUTED_VALUE"""),"Web Summit 2017 | Speaker")</f>
        <v>Web Summit 2017 | Speaker</v>
      </c>
      <c r="H91" s="4" t="str">
        <f>IFERROR(__xludf.DUMMYFUNCTION("""COMPUTED_VALUE"""),"")</f>
        <v/>
      </c>
      <c r="I91" s="21" t="str">
        <f>IFERROR(__xludf.DUMMYFUNCTION("""COMPUTED_VALUE"""),"https://www.youtube.com/watch?v=TclDYnMHKnI")</f>
        <v>https://www.youtube.com/watch?v=TclDYnMHKnI</v>
      </c>
      <c r="J91" s="4" t="str">
        <f>IFERROR(__xludf.DUMMYFUNCTION("""COMPUTED_VALUE"""),"")</f>
        <v/>
      </c>
      <c r="K91" s="4" t="str">
        <f>IFERROR(__xludf.DUMMYFUNCTION("""COMPUTED_VALUE"""),"")</f>
        <v/>
      </c>
      <c r="L91" s="4" t="str">
        <f>IFERROR(__xludf.DUMMYFUNCTION("""COMPUTED_VALUE"""),"")</f>
        <v/>
      </c>
      <c r="M91" s="4" t="str">
        <f>IFERROR(__xludf.DUMMYFUNCTION("""COMPUTED_VALUE"""),"")</f>
        <v/>
      </c>
      <c r="N91" s="4" t="str">
        <f>IFERROR(__xludf.DUMMYFUNCTION("""COMPUTED_VALUE"""),"")</f>
        <v/>
      </c>
      <c r="O91" s="4" t="str">
        <f>IFERROR(__xludf.DUMMYFUNCTION("""COMPUTED_VALUE"""),"")</f>
        <v/>
      </c>
      <c r="P91" s="4" t="str">
        <f>IFERROR(__xludf.DUMMYFUNCTION("""COMPUTED_VALUE"""),"")</f>
        <v/>
      </c>
      <c r="Q91" s="4" t="str">
        <f>IFERROR(__xludf.DUMMYFUNCTION("""COMPUTED_VALUE"""),"")</f>
        <v/>
      </c>
      <c r="R91" s="4" t="str">
        <f>IFERROR(__xludf.DUMMYFUNCTION("""COMPUTED_VALUE"""),"")</f>
        <v/>
      </c>
      <c r="S91" s="4" t="str">
        <f>IFERROR(__xludf.DUMMYFUNCTION("""COMPUTED_VALUE"""),"")</f>
        <v/>
      </c>
      <c r="T91" s="4" t="str">
        <f>IFERROR(__xludf.DUMMYFUNCTION("""COMPUTED_VALUE"""),"")</f>
        <v/>
      </c>
      <c r="U91" s="21" t="str">
        <f>IFERROR(__xludf.DUMMYFUNCTION("""COMPUTED_VALUE"""),"https://ws17-videos.s3-eu-west-1.amazonaws.com/CS_7_09_From+the+ring+to+the+boardroom_000000_001839.mp4")</f>
        <v>https://ws17-videos.s3-eu-west-1.amazonaws.com/CS_7_09_From+the+ring+to+the+boardroom_000000_001839.mp4</v>
      </c>
    </row>
    <row r="92">
      <c r="A92" s="4">
        <f>IFERROR(__xludf.DUMMYFUNCTION("""COMPUTED_VALUE"""),91.0)</f>
        <v>91</v>
      </c>
      <c r="B92" s="4" t="str">
        <f>IFERROR(__xludf.DUMMYFUNCTION("""COMPUTED_VALUE"""),"Young Sohn, Samsung")</f>
        <v>Young Sohn, Samsung</v>
      </c>
      <c r="C92" s="4" t="str">
        <f>IFERROR(__xludf.DUMMYFUNCTION("""COMPUTED_VALUE"""),"Young Sohn")</f>
        <v>Young Sohn</v>
      </c>
      <c r="D92" s="4" t="str">
        <f>IFERROR(__xludf.DUMMYFUNCTION("""COMPUTED_VALUE"""),"Samsung")</f>
        <v>Samsung</v>
      </c>
      <c r="E92" s="4" t="str">
        <f>IFERROR(__xludf.DUMMYFUNCTION("""COMPUTED_VALUE"""),"")</f>
        <v/>
      </c>
      <c r="F92" s="4" t="str">
        <f>IFERROR(__xludf.DUMMYFUNCTION("""COMPUTED_VALUE"""),"Web Summit 2018 | Speaker")</f>
        <v>Web Summit 2018 | Speaker</v>
      </c>
      <c r="G92" s="4" t="str">
        <f>IFERROR(__xludf.DUMMYFUNCTION("""COMPUTED_VALUE"""),"Web Summit 2018 | Speaker")</f>
        <v>Web Summit 2018 | Speaker</v>
      </c>
      <c r="H92" s="4" t="str">
        <f>IFERROR(__xludf.DUMMYFUNCTION("""COMPUTED_VALUE"""),"")</f>
        <v/>
      </c>
      <c r="I92" s="21" t="str">
        <f>IFERROR(__xludf.DUMMYFUNCTION("""COMPUTED_VALUE"""),"https://www.youtube.com/watch?v=pP_B4cp1nEg&amp;list=PLxptNs2MLOjncuOhiHrdjl4VebNfdStqF&amp;index=26")</f>
        <v>https://www.youtube.com/watch?v=pP_B4cp1nEg&amp;list=PLxptNs2MLOjncuOhiHrdjl4VebNfdStqF&amp;index=26</v>
      </c>
      <c r="J92" s="4" t="str">
        <f>IFERROR(__xludf.DUMMYFUNCTION("""COMPUTED_VALUE"""),"")</f>
        <v/>
      </c>
      <c r="K92" s="4" t="str">
        <f>IFERROR(__xludf.DUMMYFUNCTION("""COMPUTED_VALUE"""),"")</f>
        <v/>
      </c>
      <c r="L92" s="4" t="str">
        <f>IFERROR(__xludf.DUMMYFUNCTION("""COMPUTED_VALUE"""),"")</f>
        <v/>
      </c>
      <c r="M92" s="4" t="str">
        <f>IFERROR(__xludf.DUMMYFUNCTION("""COMPUTED_VALUE"""),"")</f>
        <v/>
      </c>
      <c r="N92" s="4" t="str">
        <f>IFERROR(__xludf.DUMMYFUNCTION("""COMPUTED_VALUE"""),"")</f>
        <v/>
      </c>
      <c r="O92" s="4" t="str">
        <f>IFERROR(__xludf.DUMMYFUNCTION("""COMPUTED_VALUE"""),"")</f>
        <v/>
      </c>
      <c r="P92" s="4" t="str">
        <f>IFERROR(__xludf.DUMMYFUNCTION("""COMPUTED_VALUE"""),"")</f>
        <v/>
      </c>
      <c r="Q92" s="4" t="str">
        <f>IFERROR(__xludf.DUMMYFUNCTION("""COMPUTED_VALUE"""),"")</f>
        <v/>
      </c>
      <c r="R92" s="4" t="str">
        <f>IFERROR(__xludf.DUMMYFUNCTION("""COMPUTED_VALUE"""),"")</f>
        <v/>
      </c>
      <c r="S92" s="4" t="str">
        <f>IFERROR(__xludf.DUMMYFUNCTION("""COMPUTED_VALUE"""),"")</f>
        <v/>
      </c>
      <c r="T92" s="4" t="str">
        <f>IFERROR(__xludf.DUMMYFUNCTION("""COMPUTED_VALUE"""),"")</f>
        <v/>
      </c>
      <c r="U92" s="21" t="str">
        <f>IFERROR(__xludf.DUMMYFUNCTION("""COMPUTED_VALUE"""),"https://ws18-videos.s3-eu-west-1.amazonaws.com/158f6e33-ecb2-4223-907d-62feb72f8933_A_better_world_with_AI.mp4")</f>
        <v>https://ws18-videos.s3-eu-west-1.amazonaws.com/158f6e33-ecb2-4223-907d-62feb72f8933_A_better_world_with_AI.mp4</v>
      </c>
    </row>
    <row r="93">
      <c r="A93" s="4">
        <f>IFERROR(__xludf.DUMMYFUNCTION("""COMPUTED_VALUE"""),92.0)</f>
        <v>92</v>
      </c>
      <c r="B93" s="4" t="str">
        <f>IFERROR(__xludf.DUMMYFUNCTION("""COMPUTED_VALUE"""),"Palmer Luckey, Oculus VR")</f>
        <v>Palmer Luckey, Oculus VR</v>
      </c>
      <c r="C93" s="4" t="str">
        <f>IFERROR(__xludf.DUMMYFUNCTION("""COMPUTED_VALUE"""),"Palmer Luckey")</f>
        <v>Palmer Luckey</v>
      </c>
      <c r="D93" s="4" t="str">
        <f>IFERROR(__xludf.DUMMYFUNCTION("""COMPUTED_VALUE"""),"Oculus VR")</f>
        <v>Oculus VR</v>
      </c>
      <c r="E93" s="4" t="str">
        <f>IFERROR(__xludf.DUMMYFUNCTION("""COMPUTED_VALUE"""),"")</f>
        <v/>
      </c>
      <c r="F93" s="4" t="str">
        <f>IFERROR(__xludf.DUMMYFUNCTION("""COMPUTED_VALUE"""),"")</f>
        <v/>
      </c>
      <c r="G93" s="4" t="str">
        <f>IFERROR(__xludf.DUMMYFUNCTION("""COMPUTED_VALUE"""),"Collision 2019 | Speaker
Web Summit 2018 | Speaker &amp; Founder
Web Summit 2015 | Speaker")</f>
        <v>Collision 2019 | Speaker
Web Summit 2018 | Speaker &amp; Founder
Web Summit 2015 | Speaker</v>
      </c>
      <c r="H93" s="4" t="str">
        <f>IFERROR(__xludf.DUMMYFUNCTION("""COMPUTED_VALUE"""),"")</f>
        <v/>
      </c>
      <c r="I93" s="4" t="str">
        <f>IFERROR(__xludf.DUMMYFUNCTION("""COMPUTED_VALUE"""),"https://www.youtube.com/watch?v=aMDLMXdIYbY; 
https://www.youtube.com/watch?v=cLjdSr48bj0")</f>
        <v>https://www.youtube.com/watch?v=aMDLMXdIYbY; 
https://www.youtube.com/watch?v=cLjdSr48bj0</v>
      </c>
      <c r="J93" s="4" t="str">
        <f>IFERROR(__xludf.DUMMYFUNCTION("""COMPUTED_VALUE"""),"")</f>
        <v/>
      </c>
      <c r="K93" s="4" t="str">
        <f>IFERROR(__xludf.DUMMYFUNCTION("""COMPUTED_VALUE"""),"")</f>
        <v/>
      </c>
      <c r="L93" s="4" t="str">
        <f>IFERROR(__xludf.DUMMYFUNCTION("""COMPUTED_VALUE"""),"")</f>
        <v/>
      </c>
      <c r="M93" s="4" t="str">
        <f>IFERROR(__xludf.DUMMYFUNCTION("""COMPUTED_VALUE"""),"")</f>
        <v/>
      </c>
      <c r="N93" s="4" t="str">
        <f>IFERROR(__xludf.DUMMYFUNCTION("""COMPUTED_VALUE"""),"")</f>
        <v/>
      </c>
      <c r="O93" s="4" t="str">
        <f>IFERROR(__xludf.DUMMYFUNCTION("""COMPUTED_VALUE"""),"")</f>
        <v/>
      </c>
      <c r="P93" s="4" t="str">
        <f>IFERROR(__xludf.DUMMYFUNCTION("""COMPUTED_VALUE"""),"")</f>
        <v/>
      </c>
      <c r="Q93" s="4" t="str">
        <f>IFERROR(__xludf.DUMMYFUNCTION("""COMPUTED_VALUE"""),"")</f>
        <v/>
      </c>
      <c r="R93" s="4" t="str">
        <f>IFERROR(__xludf.DUMMYFUNCTION("""COMPUTED_VALUE"""),"")</f>
        <v/>
      </c>
      <c r="S93" s="4" t="str">
        <f>IFERROR(__xludf.DUMMYFUNCTION("""COMPUTED_VALUE"""),"")</f>
        <v/>
      </c>
      <c r="T93" s="4" t="str">
        <f>IFERROR(__xludf.DUMMYFUNCTION("""COMPUTED_VALUE"""),"")</f>
        <v/>
      </c>
      <c r="U93" s="21" t="str">
        <f>IFERROR(__xludf.DUMMYFUNCTION("""COMPUTED_VALUE"""),"https://drive.google.com/open?id=1JvtwD66r_87p3Al5cqLY1ramp-5T7Vmx")</f>
        <v>https://drive.google.com/open?id=1JvtwD66r_87p3Al5cqLY1ramp-5T7Vmx</v>
      </c>
    </row>
    <row r="94">
      <c r="A94" s="4">
        <f>IFERROR(__xludf.DUMMYFUNCTION("""COMPUTED_VALUE"""),93.0)</f>
        <v>93</v>
      </c>
      <c r="B94" s="4" t="str">
        <f>IFERROR(__xludf.DUMMYFUNCTION("""COMPUTED_VALUE"""),"Rosario Dawson, Studio 189")</f>
        <v>Rosario Dawson, Studio 189</v>
      </c>
      <c r="C94" s="4" t="str">
        <f>IFERROR(__xludf.DUMMYFUNCTION("""COMPUTED_VALUE"""),"Rosario Dawson")</f>
        <v>Rosario Dawson</v>
      </c>
      <c r="D94" s="4" t="str">
        <f>IFERROR(__xludf.DUMMYFUNCTION("""COMPUTED_VALUE"""),"Studio 189")</f>
        <v>Studio 189</v>
      </c>
      <c r="E94" s="4" t="str">
        <f>IFERROR(__xludf.DUMMYFUNCTION("""COMPUTED_VALUE"""),"Sara Sampaio of Victoria's Secret, Matthew Garrahan, The Financial Times; Michael Shamberg, Ed Guiney")</f>
        <v>Sara Sampaio of Victoria's Secret, Matthew Garrahan, The Financial Times; Michael Shamberg, Ed Guiney</v>
      </c>
      <c r="F94" s="4" t="str">
        <f>IFERROR(__xludf.DUMMYFUNCTION("""COMPUTED_VALUE"""),"Web Summit 2017 | Speaker")</f>
        <v>Web Summit 2017 | Speaker</v>
      </c>
      <c r="G94" s="4" t="str">
        <f>IFERROR(__xludf.DUMMYFUNCTION("""COMPUTED_VALUE"""),"f.ounders Lisbon 2017 | Guest (Free)
Web Summit 2017 | Speaker")</f>
        <v>f.ounders Lisbon 2017 | Guest (Free)
Web Summit 2017 | Speaker</v>
      </c>
      <c r="H94" s="4" t="str">
        <f>IFERROR(__xludf.DUMMYFUNCTION("""COMPUTED_VALUE"""),"")</f>
        <v/>
      </c>
      <c r="I94" s="4" t="str">
        <f>IFERROR(__xludf.DUMMYFUNCTION("""COMPUTED_VALUE"""),"https://www.youtube.com/watch?v=5B8swYuHFGE ; 
https://youtu.be/WVIF9nZNtOA")</f>
        <v>https://www.youtube.com/watch?v=5B8swYuHFGE ; 
https://youtu.be/WVIF9nZNtOA</v>
      </c>
      <c r="J94" s="4" t="str">
        <f>IFERROR(__xludf.DUMMYFUNCTION("""COMPUTED_VALUE"""),"Stephen ")</f>
        <v>Stephen </v>
      </c>
      <c r="K94" s="4" t="str">
        <f>IFERROR(__xludf.DUMMYFUNCTION("""COMPUTED_VALUE"""),"")</f>
        <v/>
      </c>
      <c r="L94" s="4" t="str">
        <f>IFERROR(__xludf.DUMMYFUNCTION("""COMPUTED_VALUE"""),"Looks fine but some cutting required")</f>
        <v>Looks fine but some cutting required</v>
      </c>
      <c r="M94" s="4" t="str">
        <f>IFERROR(__xludf.DUMMYFUNCTION("""COMPUTED_VALUE"""),"00:01 - 00:08 &amp; 18:43 - 19:45")</f>
        <v>00:01 - 00:08 &amp; 18:43 - 19:45</v>
      </c>
      <c r="N94" s="4" t="str">
        <f>IFERROR(__xludf.DUMMYFUNCTION("""COMPUTED_VALUE"""),"")</f>
        <v/>
      </c>
      <c r="O94" s="4" t="str">
        <f>IFERROR(__xludf.DUMMYFUNCTION("""COMPUTED_VALUE"""),"")</f>
        <v/>
      </c>
      <c r="P94" s="4" t="str">
        <f>IFERROR(__xludf.DUMMYFUNCTION("""COMPUTED_VALUE"""),"")</f>
        <v/>
      </c>
      <c r="Q94" s="4" t="str">
        <f>IFERROR(__xludf.DUMMYFUNCTION("""COMPUTED_VALUE"""),"")</f>
        <v/>
      </c>
      <c r="R94" s="4" t="str">
        <f>IFERROR(__xludf.DUMMYFUNCTION("""COMPUTED_VALUE"""),"")</f>
        <v/>
      </c>
      <c r="S94" s="4" t="str">
        <f>IFERROR(__xludf.DUMMYFUNCTION("""COMPUTED_VALUE"""),"")</f>
        <v/>
      </c>
      <c r="T94" s="4" t="str">
        <f>IFERROR(__xludf.DUMMYFUNCTION("""COMPUTED_VALUE"""),"")</f>
        <v/>
      </c>
      <c r="U94" s="21" t="str">
        <f>IFERROR(__xludf.DUMMYFUNCTION("""COMPUTED_VALUE"""),"https://ws17-videos.s3-eu-west-1.amazonaws.com/CS_9_14_The+rise+of+the+celebrity+activist_000000_000000.mp4")</f>
        <v>https://ws17-videos.s3-eu-west-1.amazonaws.com/CS_9_14_The+rise+of+the+celebrity+activist_000000_000000.mp4</v>
      </c>
    </row>
    <row r="95">
      <c r="A95" s="4">
        <f>IFERROR(__xludf.DUMMYFUNCTION("""COMPUTED_VALUE"""),94.0)</f>
        <v>94</v>
      </c>
      <c r="B95" s="4" t="str">
        <f>IFERROR(__xludf.DUMMYFUNCTION("""COMPUTED_VALUE"""),"Mark Hurd, Oracle")</f>
        <v>Mark Hurd, Oracle</v>
      </c>
      <c r="C95" s="4" t="str">
        <f>IFERROR(__xludf.DUMMYFUNCTION("""COMPUTED_VALUE"""),"Mark Hurd")</f>
        <v>Mark Hurd</v>
      </c>
      <c r="D95" s="4" t="str">
        <f>IFERROR(__xludf.DUMMYFUNCTION("""COMPUTED_VALUE"""),"Oracle")</f>
        <v>Oracle</v>
      </c>
      <c r="E95" s="4" t="str">
        <f>IFERROR(__xludf.DUMMYFUNCTION("""COMPUTED_VALUE"""),"Kara Swisher, Re/Code")</f>
        <v>Kara Swisher, Re/Code</v>
      </c>
      <c r="F95" s="4" t="str">
        <f>IFERROR(__xludf.DUMMYFUNCTION("""COMPUTED_VALUE"""),"Collision 2018 | Speaker
Web Summit 2017 | Speaker")</f>
        <v>Collision 2018 | Speaker
Web Summit 2017 | Speaker</v>
      </c>
      <c r="G95" s="4" t="str">
        <f>IFERROR(__xludf.DUMMYFUNCTION("""COMPUTED_VALUE"""),"Collision 2018 | Speaker
Web Summit 2017 | Speaker")</f>
        <v>Collision 2018 | Speaker
Web Summit 2017 | Speaker</v>
      </c>
      <c r="H95" s="4" t="str">
        <f>IFERROR(__xludf.DUMMYFUNCTION("""COMPUTED_VALUE"""),"")</f>
        <v/>
      </c>
      <c r="I95" s="4" t="str">
        <f>IFERROR(__xludf.DUMMYFUNCTION("""COMPUTED_VALUE"""),"https://www.youtube.com/watch?v=bOkMuxEqA2Y;
https://www.youtube.com/watch?v=MSs-cO9eim0")</f>
        <v>https://www.youtube.com/watch?v=bOkMuxEqA2Y;
https://www.youtube.com/watch?v=MSs-cO9eim0</v>
      </c>
      <c r="J95" s="4" t="str">
        <f>IFERROR(__xludf.DUMMYFUNCTION("""COMPUTED_VALUE"""),"Stephen")</f>
        <v>Stephen</v>
      </c>
      <c r="K95" s="4" t="str">
        <f>IFERROR(__xludf.DUMMYFUNCTION("""COMPUTED_VALUE"""),"")</f>
        <v/>
      </c>
      <c r="L95" s="4" t="str">
        <f>IFERROR(__xludf.DUMMYFUNCTION("""COMPUTED_VALUE"""),"Mark Hurd is now deceased so just to note that. Web Summit 17 video looks much better so you should use this.")</f>
        <v>Mark Hurd is now deceased so just to note that. Web Summit 17 video looks much better so you should use this.</v>
      </c>
      <c r="M95" s="4" t="str">
        <f>IFERROR(__xludf.DUMMYFUNCTION("""COMPUTED_VALUE"""),"Web Summit 00:01 - 00:08 &amp; 18:06 - 19:10")</f>
        <v>Web Summit 00:01 - 00:08 &amp; 18:06 - 19:10</v>
      </c>
      <c r="N95" s="4" t="str">
        <f>IFERROR(__xludf.DUMMYFUNCTION("""COMPUTED_VALUE"""),"")</f>
        <v/>
      </c>
      <c r="O95" s="4" t="str">
        <f>IFERROR(__xludf.DUMMYFUNCTION("""COMPUTED_VALUE"""),"")</f>
        <v/>
      </c>
      <c r="P95" s="4" t="str">
        <f>IFERROR(__xludf.DUMMYFUNCTION("""COMPUTED_VALUE"""),"")</f>
        <v/>
      </c>
      <c r="Q95" s="4" t="str">
        <f>IFERROR(__xludf.DUMMYFUNCTION("""COMPUTED_VALUE"""),"")</f>
        <v/>
      </c>
      <c r="R95" s="4" t="str">
        <f>IFERROR(__xludf.DUMMYFUNCTION("""COMPUTED_VALUE"""),"")</f>
        <v/>
      </c>
      <c r="S95" s="4" t="str">
        <f>IFERROR(__xludf.DUMMYFUNCTION("""COMPUTED_VALUE"""),"")</f>
        <v/>
      </c>
      <c r="T95" s="4" t="str">
        <f>IFERROR(__xludf.DUMMYFUNCTION("""COMPUTED_VALUE"""),"")</f>
        <v/>
      </c>
      <c r="U95" s="21" t="str">
        <f>IFERROR(__xludf.DUMMYFUNCTION("""COMPUTED_VALUE"""),"https://cc18-videos.s3-eu-west-1.amazonaws.com/be01e6be-8d74-4e72-bce1-668beca2cecb_In_conversation_with_Mark_Hurd.mp4")</f>
        <v>https://cc18-videos.s3-eu-west-1.amazonaws.com/be01e6be-8d74-4e72-bce1-668beca2cecb_In_conversation_with_Mark_Hurd.mp4</v>
      </c>
    </row>
    <row r="96">
      <c r="A96" s="4">
        <f>IFERROR(__xludf.DUMMYFUNCTION("""COMPUTED_VALUE"""),95.0)</f>
        <v>95</v>
      </c>
      <c r="B96" s="4" t="str">
        <f>IFERROR(__xludf.DUMMYFUNCTION("""COMPUTED_VALUE"""),"John Zimmer, Lyft")</f>
        <v>John Zimmer, Lyft</v>
      </c>
      <c r="C96" s="4" t="str">
        <f>IFERROR(__xludf.DUMMYFUNCTION("""COMPUTED_VALUE"""),"John Zimmer")</f>
        <v>John Zimmer</v>
      </c>
      <c r="D96" s="4" t="str">
        <f>IFERROR(__xludf.DUMMYFUNCTION("""COMPUTED_VALUE"""),"Lyft")</f>
        <v>Lyft</v>
      </c>
      <c r="E96" s="4" t="str">
        <f>IFERROR(__xludf.DUMMYFUNCTION("""COMPUTED_VALUE"""),"Dylan Byers, CNN")</f>
        <v>Dylan Byers, CNN</v>
      </c>
      <c r="F96" s="4" t="str">
        <f>IFERROR(__xludf.DUMMYFUNCTION("""COMPUTED_VALUE"""),"Collision 2018 | Speaker
Collision 2015 | Speaker")</f>
        <v>Collision 2018 | Speaker
Collision 2015 | Speaker</v>
      </c>
      <c r="G96" s="4" t="str">
        <f>IFERROR(__xludf.DUMMYFUNCTION("""COMPUTED_VALUE"""),"Collision 2018 | Speaker
Collision 2015 | Speaker")</f>
        <v>Collision 2018 | Speaker
Collision 2015 | Speaker</v>
      </c>
      <c r="H96" s="4" t="str">
        <f>IFERROR(__xludf.DUMMYFUNCTION("""COMPUTED_VALUE"""),"")</f>
        <v/>
      </c>
      <c r="I96" s="21" t="str">
        <f>IFERROR(__xludf.DUMMYFUNCTION("""COMPUTED_VALUE"""),"https://www.youtube.com/watch?v=SRZ9o0o4reU")</f>
        <v>https://www.youtube.com/watch?v=SRZ9o0o4reU</v>
      </c>
      <c r="J96" s="4" t="str">
        <f>IFERROR(__xludf.DUMMYFUNCTION("""COMPUTED_VALUE"""),"Stephen")</f>
        <v>Stephen</v>
      </c>
      <c r="K96" s="4" t="str">
        <f>IFERROR(__xludf.DUMMYFUNCTION("""COMPUTED_VALUE"""),"")</f>
        <v/>
      </c>
      <c r="L96" s="4" t="str">
        <f>IFERROR(__xludf.DUMMYFUNCTION("""COMPUTED_VALUE"""),"Go from 00:03 and also the name of speaker and mod is up for first 2 mins so might be idea to remove that")</f>
        <v>Go from 00:03 and also the name of speaker and mod is up for first 2 mins so might be idea to remove that</v>
      </c>
      <c r="M96" s="4" t="str">
        <f>IFERROR(__xludf.DUMMYFUNCTION("""COMPUTED_VALUE"""),"00:00 - 00:03")</f>
        <v>00:00 - 00:03</v>
      </c>
      <c r="N96" s="4" t="str">
        <f>IFERROR(__xludf.DUMMYFUNCTION("""COMPUTED_VALUE"""),"")</f>
        <v/>
      </c>
      <c r="O96" s="4" t="str">
        <f>IFERROR(__xludf.DUMMYFUNCTION("""COMPUTED_VALUE"""),"")</f>
        <v/>
      </c>
      <c r="P96" s="4" t="str">
        <f>IFERROR(__xludf.DUMMYFUNCTION("""COMPUTED_VALUE"""),"")</f>
        <v/>
      </c>
      <c r="Q96" s="4" t="str">
        <f>IFERROR(__xludf.DUMMYFUNCTION("""COMPUTED_VALUE"""),"")</f>
        <v/>
      </c>
      <c r="R96" s="4" t="str">
        <f>IFERROR(__xludf.DUMMYFUNCTION("""COMPUTED_VALUE"""),"")</f>
        <v/>
      </c>
      <c r="S96" s="4" t="str">
        <f>IFERROR(__xludf.DUMMYFUNCTION("""COMPUTED_VALUE"""),"")</f>
        <v/>
      </c>
      <c r="T96" s="4" t="str">
        <f>IFERROR(__xludf.DUMMYFUNCTION("""COMPUTED_VALUE"""),"")</f>
        <v/>
      </c>
      <c r="U96" s="21" t="str">
        <f>IFERROR(__xludf.DUMMYFUNCTION("""COMPUTED_VALUE"""),"https://cc18-videos.s3-eu-west-1.amazonaws.com/16e7f666-8111-4a23-9ca3-b77f9f5267ab_Inside_Lyfts_rising_share_of_the_ridesharing_market.mp4")</f>
        <v>https://cc18-videos.s3-eu-west-1.amazonaws.com/16e7f666-8111-4a23-9ca3-b77f9f5267ab_Inside_Lyfts_rising_share_of_the_ridesharing_market.mp4</v>
      </c>
    </row>
    <row r="97">
      <c r="A97" s="4">
        <f>IFERROR(__xludf.DUMMYFUNCTION("""COMPUTED_VALUE"""),96.0)</f>
        <v>96</v>
      </c>
      <c r="B97" s="4" t="str">
        <f>IFERROR(__xludf.DUMMYFUNCTION("""COMPUTED_VALUE"""),"Padmasree Warrior, NIO")</f>
        <v>Padmasree Warrior, NIO</v>
      </c>
      <c r="C97" s="4" t="str">
        <f>IFERROR(__xludf.DUMMYFUNCTION("""COMPUTED_VALUE"""),"Padmasree Warrior")</f>
        <v>Padmasree Warrior</v>
      </c>
      <c r="D97" s="4" t="str">
        <f>IFERROR(__xludf.DUMMYFUNCTION("""COMPUTED_VALUE"""),"NIO")</f>
        <v>NIO</v>
      </c>
      <c r="E97" s="4" t="str">
        <f>IFERROR(__xludf.DUMMYFUNCTION("""COMPUTED_VALUE"""),"")</f>
        <v/>
      </c>
      <c r="F97" s="4" t="str">
        <f>IFERROR(__xludf.DUMMYFUNCTION("""COMPUTED_VALUE"""),"Web Summit 2016 | Ambassador
Web Summit 2014 | Speaker")</f>
        <v>Web Summit 2016 | Ambassador
Web Summit 2014 | Speaker</v>
      </c>
      <c r="G97" s="4" t="str">
        <f>IFERROR(__xludf.DUMMYFUNCTION("""COMPUTED_VALUE"""),"Enterprise 150 // Web Summit 2016 | Ambassador
Enterprise X 2014 | Speaker
Gadget X 2014 | Speaker
F.ounders Dublin 2014 | Speaker
Web Summit 2014 | Speaker
F.ounders Dublin 2013 | Founder")</f>
        <v>Enterprise 150 // Web Summit 2016 | Ambassador
Enterprise X 2014 | Speaker
Gadget X 2014 | Speaker
F.ounders Dublin 2014 | Speaker
Web Summit 2014 | Speaker
F.ounders Dublin 2013 | Founder</v>
      </c>
      <c r="H97" s="4" t="str">
        <f>IFERROR(__xludf.DUMMYFUNCTION("""COMPUTED_VALUE"""),"")</f>
        <v/>
      </c>
      <c r="I97" s="21" t="str">
        <f>IFERROR(__xludf.DUMMYFUNCTION("""COMPUTED_VALUE"""),"https://www.youtube.com/watch?v=vxmhCWcaFe4")</f>
        <v>https://www.youtube.com/watch?v=vxmhCWcaFe4</v>
      </c>
      <c r="J97" s="4" t="str">
        <f>IFERROR(__xludf.DUMMYFUNCTION("""COMPUTED_VALUE"""),"")</f>
        <v/>
      </c>
      <c r="K97" s="4" t="str">
        <f>IFERROR(__xludf.DUMMYFUNCTION("""COMPUTED_VALUE"""),"")</f>
        <v/>
      </c>
      <c r="L97" s="4" t="str">
        <f>IFERROR(__xludf.DUMMYFUNCTION("""COMPUTED_VALUE"""),"")</f>
        <v/>
      </c>
      <c r="M97" s="4" t="str">
        <f>IFERROR(__xludf.DUMMYFUNCTION("""COMPUTED_VALUE"""),"")</f>
        <v/>
      </c>
      <c r="N97" s="4" t="str">
        <f>IFERROR(__xludf.DUMMYFUNCTION("""COMPUTED_VALUE"""),"")</f>
        <v/>
      </c>
      <c r="O97" s="4" t="str">
        <f>IFERROR(__xludf.DUMMYFUNCTION("""COMPUTED_VALUE"""),"")</f>
        <v/>
      </c>
      <c r="P97" s="4" t="str">
        <f>IFERROR(__xludf.DUMMYFUNCTION("""COMPUTED_VALUE"""),"")</f>
        <v/>
      </c>
      <c r="Q97" s="4" t="str">
        <f>IFERROR(__xludf.DUMMYFUNCTION("""COMPUTED_VALUE"""),"")</f>
        <v/>
      </c>
      <c r="R97" s="4" t="str">
        <f>IFERROR(__xludf.DUMMYFUNCTION("""COMPUTED_VALUE"""),"")</f>
        <v/>
      </c>
      <c r="S97" s="4" t="str">
        <f>IFERROR(__xludf.DUMMYFUNCTION("""COMPUTED_VALUE"""),"")</f>
        <v/>
      </c>
      <c r="T97" s="4" t="str">
        <f>IFERROR(__xludf.DUMMYFUNCTION("""COMPUTED_VALUE"""),"")</f>
        <v/>
      </c>
      <c r="U97" s="21" t="str">
        <f>IFERROR(__xludf.DUMMYFUNCTION("""COMPUTED_VALUE"""),"https://drive.google.com/open?id=1kMvhcYIVEQGfNuSxzV5_eneKezyVYO7L")</f>
        <v>https://drive.google.com/open?id=1kMvhcYIVEQGfNuSxzV5_eneKezyVYO7L</v>
      </c>
    </row>
    <row r="98">
      <c r="A98" s="4">
        <f>IFERROR(__xludf.DUMMYFUNCTION("""COMPUTED_VALUE"""),97.0)</f>
        <v>97</v>
      </c>
      <c r="B98" s="4" t="str">
        <f>IFERROR(__xludf.DUMMYFUNCTION("""COMPUTED_VALUE"""),"Timbaland ., Timbaland")</f>
        <v>Timbaland ., Timbaland</v>
      </c>
      <c r="C98" s="4" t="str">
        <f>IFERROR(__xludf.DUMMYFUNCTION("""COMPUTED_VALUE"""),"Timbaland .")</f>
        <v>Timbaland .</v>
      </c>
      <c r="D98" s="4" t="str">
        <f>IFERROR(__xludf.DUMMYFUNCTION("""COMPUTED_VALUE"""),"Timbaland")</f>
        <v>Timbaland</v>
      </c>
      <c r="E98" s="4" t="str">
        <f>IFERROR(__xludf.DUMMYFUNCTION("""COMPUTED_VALUE"""),"")</f>
        <v/>
      </c>
      <c r="F98" s="4" t="str">
        <f>IFERROR(__xludf.DUMMYFUNCTION("""COMPUTED_VALUE"""),"Collision 2019 | Speaker")</f>
        <v>Collision 2019 | Speaker</v>
      </c>
      <c r="G98" s="4" t="str">
        <f>IFERROR(__xludf.DUMMYFUNCTION("""COMPUTED_VALUE"""),"Collision 2019 | Speaker")</f>
        <v>Collision 2019 | Speaker</v>
      </c>
      <c r="H98" s="4" t="str">
        <f>IFERROR(__xludf.DUMMYFUNCTION("""COMPUTED_VALUE"""),"")</f>
        <v/>
      </c>
      <c r="I98" s="21" t="str">
        <f>IFERROR(__xludf.DUMMYFUNCTION("""COMPUTED_VALUE"""),"https://www.facebook.com/collisionconf/videos/2279451215448333/")</f>
        <v>https://www.facebook.com/collisionconf/videos/2279451215448333/</v>
      </c>
      <c r="J98" s="4" t="str">
        <f>IFERROR(__xludf.DUMMYFUNCTION("""COMPUTED_VALUE"""),"")</f>
        <v/>
      </c>
      <c r="K98" s="4" t="str">
        <f>IFERROR(__xludf.DUMMYFUNCTION("""COMPUTED_VALUE"""),"")</f>
        <v/>
      </c>
      <c r="L98" s="4" t="str">
        <f>IFERROR(__xludf.DUMMYFUNCTION("""COMPUTED_VALUE"""),"")</f>
        <v/>
      </c>
      <c r="M98" s="4" t="str">
        <f>IFERROR(__xludf.DUMMYFUNCTION("""COMPUTED_VALUE"""),"")</f>
        <v/>
      </c>
      <c r="N98" s="4" t="str">
        <f>IFERROR(__xludf.DUMMYFUNCTION("""COMPUTED_VALUE"""),"")</f>
        <v/>
      </c>
      <c r="O98" s="4" t="str">
        <f>IFERROR(__xludf.DUMMYFUNCTION("""COMPUTED_VALUE"""),"")</f>
        <v/>
      </c>
      <c r="P98" s="4" t="str">
        <f>IFERROR(__xludf.DUMMYFUNCTION("""COMPUTED_VALUE"""),"")</f>
        <v/>
      </c>
      <c r="Q98" s="4" t="str">
        <f>IFERROR(__xludf.DUMMYFUNCTION("""COMPUTED_VALUE"""),"")</f>
        <v/>
      </c>
      <c r="R98" s="4" t="str">
        <f>IFERROR(__xludf.DUMMYFUNCTION("""COMPUTED_VALUE"""),"")</f>
        <v/>
      </c>
      <c r="S98" s="4" t="str">
        <f>IFERROR(__xludf.DUMMYFUNCTION("""COMPUTED_VALUE"""),"")</f>
        <v/>
      </c>
      <c r="T98" s="4" t="str">
        <f>IFERROR(__xludf.DUMMYFUNCTION("""COMPUTED_VALUE"""),"")</f>
        <v/>
      </c>
      <c r="U98" s="21" t="str">
        <f>IFERROR(__xludf.DUMMYFUNCTION("""COMPUTED_VALUE"""),"https://drive.google.com/open?id=1S4sN3r_uRAMhm_Eb4FNypqqhxAN07TWt")</f>
        <v>https://drive.google.com/open?id=1S4sN3r_uRAMhm_Eb4FNypqqhxAN07TWt</v>
      </c>
    </row>
    <row r="99">
      <c r="A99" s="4">
        <f>IFERROR(__xludf.DUMMYFUNCTION("""COMPUTED_VALUE"""),98.0)</f>
        <v>98</v>
      </c>
      <c r="B99" s="4" t="str">
        <f>IFERROR(__xludf.DUMMYFUNCTION("""COMPUTED_VALUE"""),"Brendan Iribe, Oculus VR")</f>
        <v>Brendan Iribe, Oculus VR</v>
      </c>
      <c r="C99" s="4" t="str">
        <f>IFERROR(__xludf.DUMMYFUNCTION("""COMPUTED_VALUE"""),"Brendan Iribe")</f>
        <v>Brendan Iribe</v>
      </c>
      <c r="D99" s="4" t="str">
        <f>IFERROR(__xludf.DUMMYFUNCTION("""COMPUTED_VALUE"""),"Oculus VR")</f>
        <v>Oculus VR</v>
      </c>
      <c r="E99" s="4" t="str">
        <f>IFERROR(__xludf.DUMMYFUNCTION("""COMPUTED_VALUE"""),"")</f>
        <v/>
      </c>
      <c r="F99" s="4" t="str">
        <f>IFERROR(__xludf.DUMMYFUNCTION("""COMPUTED_VALUE"""),"Web Summit 2014 | Speaker")</f>
        <v>Web Summit 2014 | Speaker</v>
      </c>
      <c r="G99" s="4" t="str">
        <f>IFERROR(__xludf.DUMMYFUNCTION("""COMPUTED_VALUE"""),"Gadget X 2014 | Founder
Brand X 2014 | Executive
Web Summit 2014 | Speaker
F.ounders New York 2014 | Founder")</f>
        <v>Gadget X 2014 | Founder
Brand X 2014 | Executive
Web Summit 2014 | Speaker
F.ounders New York 2014 | Founder</v>
      </c>
      <c r="H99" s="4" t="str">
        <f>IFERROR(__xludf.DUMMYFUNCTION("""COMPUTED_VALUE"""),"")</f>
        <v/>
      </c>
      <c r="I99" s="21" t="str">
        <f>IFERROR(__xludf.DUMMYFUNCTION("""COMPUTED_VALUE"""),"https://www.youtube.com/watch?v=9tz6gai51Mo")</f>
        <v>https://www.youtube.com/watch?v=9tz6gai51Mo</v>
      </c>
      <c r="J99" s="4" t="str">
        <f>IFERROR(__xludf.DUMMYFUNCTION("""COMPUTED_VALUE"""),"")</f>
        <v/>
      </c>
      <c r="K99" s="4" t="str">
        <f>IFERROR(__xludf.DUMMYFUNCTION("""COMPUTED_VALUE"""),"")</f>
        <v/>
      </c>
      <c r="L99" s="4" t="str">
        <f>IFERROR(__xludf.DUMMYFUNCTION("""COMPUTED_VALUE"""),"")</f>
        <v/>
      </c>
      <c r="M99" s="4" t="str">
        <f>IFERROR(__xludf.DUMMYFUNCTION("""COMPUTED_VALUE"""),"")</f>
        <v/>
      </c>
      <c r="N99" s="4" t="str">
        <f>IFERROR(__xludf.DUMMYFUNCTION("""COMPUTED_VALUE"""),"")</f>
        <v/>
      </c>
      <c r="O99" s="4" t="str">
        <f>IFERROR(__xludf.DUMMYFUNCTION("""COMPUTED_VALUE"""),"")</f>
        <v/>
      </c>
      <c r="P99" s="4" t="str">
        <f>IFERROR(__xludf.DUMMYFUNCTION("""COMPUTED_VALUE"""),"")</f>
        <v/>
      </c>
      <c r="Q99" s="4" t="str">
        <f>IFERROR(__xludf.DUMMYFUNCTION("""COMPUTED_VALUE"""),"")</f>
        <v/>
      </c>
      <c r="R99" s="4" t="str">
        <f>IFERROR(__xludf.DUMMYFUNCTION("""COMPUTED_VALUE"""),"")</f>
        <v/>
      </c>
      <c r="S99" s="4" t="str">
        <f>IFERROR(__xludf.DUMMYFUNCTION("""COMPUTED_VALUE"""),"")</f>
        <v/>
      </c>
      <c r="T99" s="4" t="str">
        <f>IFERROR(__xludf.DUMMYFUNCTION("""COMPUTED_VALUE"""),"")</f>
        <v/>
      </c>
      <c r="U99" s="21" t="str">
        <f>IFERROR(__xludf.DUMMYFUNCTION("""COMPUTED_VALUE"""),"https://drive.google.com/open?id=1IiLqzklORP87mYokvSqnrLBSjuFeSA_2")</f>
        <v>https://drive.google.com/open?id=1IiLqzklORP87mYokvSqnrLBSjuFeSA_2</v>
      </c>
    </row>
    <row r="100">
      <c r="A100" s="4">
        <f>IFERROR(__xludf.DUMMYFUNCTION("""COMPUTED_VALUE"""),99.0)</f>
        <v>99</v>
      </c>
      <c r="B100" s="4" t="str">
        <f>IFERROR(__xludf.DUMMYFUNCTION("""COMPUTED_VALUE"""),"Gary Briggs, Facebook")</f>
        <v>Gary Briggs, Facebook</v>
      </c>
      <c r="C100" s="4" t="str">
        <f>IFERROR(__xludf.DUMMYFUNCTION("""COMPUTED_VALUE"""),"Gary Briggs")</f>
        <v>Gary Briggs</v>
      </c>
      <c r="D100" s="4" t="str">
        <f>IFERROR(__xludf.DUMMYFUNCTION("""COMPUTED_VALUE"""),"Facebook")</f>
        <v>Facebook</v>
      </c>
      <c r="E100" s="4" t="str">
        <f>IFERROR(__xludf.DUMMYFUNCTION("""COMPUTED_VALUE"""),"")</f>
        <v/>
      </c>
      <c r="F100" s="4" t="str">
        <f>IFERROR(__xludf.DUMMYFUNCTION("""COMPUTED_VALUE"""),"Web Summit 2016 | Speaker
Collision 2015 | Speaker")</f>
        <v>Web Summit 2016 | Speaker
Collision 2015 | Speaker</v>
      </c>
      <c r="G100" s="4" t="str">
        <f>IFERROR(__xludf.DUMMYFUNCTION("""COMPUTED_VALUE"""),"Web Summit 2016 | Speaker
Collision 2015 | Speaker")</f>
        <v>Web Summit 2016 | Speaker
Collision 2015 | Speaker</v>
      </c>
      <c r="H100" s="4" t="str">
        <f>IFERROR(__xludf.DUMMYFUNCTION("""COMPUTED_VALUE"""),"")</f>
        <v/>
      </c>
      <c r="I100" s="4" t="str">
        <f>IFERROR(__xludf.DUMMYFUNCTION("""COMPUTED_VALUE"""),"https://www.youtube.com/watch?v=zwuxCDqiNZ8;
https://www.youtube.com/watch?v=UEtkPOptEPM")</f>
        <v>https://www.youtube.com/watch?v=zwuxCDqiNZ8;
https://www.youtube.com/watch?v=UEtkPOptEPM</v>
      </c>
      <c r="J100" s="4" t="str">
        <f>IFERROR(__xludf.DUMMYFUNCTION("""COMPUTED_VALUE"""),"")</f>
        <v/>
      </c>
      <c r="K100" s="4" t="str">
        <f>IFERROR(__xludf.DUMMYFUNCTION("""COMPUTED_VALUE"""),"")</f>
        <v/>
      </c>
      <c r="L100" s="4" t="str">
        <f>IFERROR(__xludf.DUMMYFUNCTION("""COMPUTED_VALUE"""),"")</f>
        <v/>
      </c>
      <c r="M100" s="4" t="str">
        <f>IFERROR(__xludf.DUMMYFUNCTION("""COMPUTED_VALUE"""),"")</f>
        <v/>
      </c>
      <c r="N100" s="4" t="str">
        <f>IFERROR(__xludf.DUMMYFUNCTION("""COMPUTED_VALUE"""),"")</f>
        <v/>
      </c>
      <c r="O100" s="4" t="str">
        <f>IFERROR(__xludf.DUMMYFUNCTION("""COMPUTED_VALUE"""),"")</f>
        <v/>
      </c>
      <c r="P100" s="4" t="str">
        <f>IFERROR(__xludf.DUMMYFUNCTION("""COMPUTED_VALUE"""),"")</f>
        <v/>
      </c>
      <c r="Q100" s="4" t="str">
        <f>IFERROR(__xludf.DUMMYFUNCTION("""COMPUTED_VALUE"""),"")</f>
        <v/>
      </c>
      <c r="R100" s="4" t="str">
        <f>IFERROR(__xludf.DUMMYFUNCTION("""COMPUTED_VALUE"""),"")</f>
        <v/>
      </c>
      <c r="S100" s="4" t="str">
        <f>IFERROR(__xludf.DUMMYFUNCTION("""COMPUTED_VALUE"""),"")</f>
        <v/>
      </c>
      <c r="T100" s="4" t="str">
        <f>IFERROR(__xludf.DUMMYFUNCTION("""COMPUTED_VALUE"""),"")</f>
        <v/>
      </c>
      <c r="U100" s="21" t="str">
        <f>IFERROR(__xludf.DUMMYFUNCTION("""COMPUTED_VALUE"""),"https://drive.google.com/open?id=12gNczggfsWZRwHSWQObB09NUxv8Skhp9")</f>
        <v>https://drive.google.com/open?id=12gNczggfsWZRwHSWQObB09NUxv8Skhp9</v>
      </c>
    </row>
    <row r="101">
      <c r="A101" s="4">
        <f>IFERROR(__xludf.DUMMYFUNCTION("""COMPUTED_VALUE"""),100.0)</f>
        <v>100</v>
      </c>
      <c r="B101" s="4" t="str">
        <f>IFERROR(__xludf.DUMMYFUNCTION("""COMPUTED_VALUE"""),"Jenny Lee, GGV Capital")</f>
        <v>Jenny Lee, GGV Capital</v>
      </c>
      <c r="C101" s="4" t="str">
        <f>IFERROR(__xludf.DUMMYFUNCTION("""COMPUTED_VALUE"""),"Jenny Lee")</f>
        <v>Jenny Lee</v>
      </c>
      <c r="D101" s="4" t="str">
        <f>IFERROR(__xludf.DUMMYFUNCTION("""COMPUTED_VALUE"""),"GGV Capital")</f>
        <v>GGV Capital</v>
      </c>
      <c r="E101" s="4" t="str">
        <f>IFERROR(__xludf.DUMMYFUNCTION("""COMPUTED_VALUE"""),"")</f>
        <v/>
      </c>
      <c r="F101" s="4" t="str">
        <f>IFERROR(__xludf.DUMMYFUNCTION("""COMPUTED_VALUE"""),"RISE 2016 | Speaker &amp; Investor
RISE 2015 | Speaker")</f>
        <v>RISE 2016 | Speaker &amp; Investor
RISE 2015 | Speaker</v>
      </c>
      <c r="G101" s="4" t="str">
        <f>IFERROR(__xludf.DUMMYFUNCTION("""COMPUTED_VALUE"""),"Converge 2016 (Hong Kong) | Investor
RISE 2016 | Speaker &amp; Investor
RISE 2015 | Speaker
Converge 2015 (Hong Kong) | Speaker")</f>
        <v>Converge 2016 (Hong Kong) | Investor
RISE 2016 | Speaker &amp; Investor
RISE 2015 | Speaker
Converge 2015 (Hong Kong) | Speaker</v>
      </c>
      <c r="H101" s="4" t="str">
        <f>IFERROR(__xludf.DUMMYFUNCTION("""COMPUTED_VALUE"""),"")</f>
        <v/>
      </c>
      <c r="I101" s="21" t="str">
        <f>IFERROR(__xludf.DUMMYFUNCTION("""COMPUTED_VALUE"""),"https://www.youtube.com/watch?v=k25nALbTcDs")</f>
        <v>https://www.youtube.com/watch?v=k25nALbTcDs</v>
      </c>
      <c r="J101" s="4" t="str">
        <f>IFERROR(__xludf.DUMMYFUNCTION("""COMPUTED_VALUE"""),"")</f>
        <v/>
      </c>
      <c r="K101" s="4" t="str">
        <f>IFERROR(__xludf.DUMMYFUNCTION("""COMPUTED_VALUE"""),"")</f>
        <v/>
      </c>
      <c r="L101" s="4" t="str">
        <f>IFERROR(__xludf.DUMMYFUNCTION("""COMPUTED_VALUE"""),"")</f>
        <v/>
      </c>
      <c r="M101" s="4" t="str">
        <f>IFERROR(__xludf.DUMMYFUNCTION("""COMPUTED_VALUE"""),"")</f>
        <v/>
      </c>
      <c r="N101" s="4" t="str">
        <f>IFERROR(__xludf.DUMMYFUNCTION("""COMPUTED_VALUE"""),"")</f>
        <v/>
      </c>
      <c r="O101" s="4" t="str">
        <f>IFERROR(__xludf.DUMMYFUNCTION("""COMPUTED_VALUE"""),"")</f>
        <v/>
      </c>
      <c r="P101" s="4" t="str">
        <f>IFERROR(__xludf.DUMMYFUNCTION("""COMPUTED_VALUE"""),"")</f>
        <v/>
      </c>
      <c r="Q101" s="4" t="str">
        <f>IFERROR(__xludf.DUMMYFUNCTION("""COMPUTED_VALUE"""),"")</f>
        <v/>
      </c>
      <c r="R101" s="4" t="str">
        <f>IFERROR(__xludf.DUMMYFUNCTION("""COMPUTED_VALUE"""),"")</f>
        <v/>
      </c>
      <c r="S101" s="4" t="str">
        <f>IFERROR(__xludf.DUMMYFUNCTION("""COMPUTED_VALUE"""),"")</f>
        <v/>
      </c>
      <c r="T101" s="4" t="str">
        <f>IFERROR(__xludf.DUMMYFUNCTION("""COMPUTED_VALUE"""),"")</f>
        <v/>
      </c>
      <c r="U101" s="21" t="str">
        <f>IFERROR(__xludf.DUMMYFUNCTION("""COMPUTED_VALUE"""),"https://drive.google.com/open?id=1obLEKmhUUA8ND73ag7DFFOXUTnpjqZ2J")</f>
        <v>https://drive.google.com/open?id=1obLEKmhUUA8ND73ag7DFFOXUTnpjqZ2J</v>
      </c>
    </row>
    <row r="102">
      <c r="A102" s="4">
        <f>IFERROR(__xludf.DUMMYFUNCTION("""COMPUTED_VALUE"""),101.0)</f>
        <v>101</v>
      </c>
      <c r="B102" s="4" t="str">
        <f>IFERROR(__xludf.DUMMYFUNCTION("""COMPUTED_VALUE"""),"")</f>
        <v/>
      </c>
      <c r="C102" s="4" t="str">
        <f>IFERROR(__xludf.DUMMYFUNCTION("""COMPUTED_VALUE"""),"")</f>
        <v/>
      </c>
      <c r="D102" s="4" t="str">
        <f>IFERROR(__xludf.DUMMYFUNCTION("""COMPUTED_VALUE"""),"")</f>
        <v/>
      </c>
      <c r="E102" s="4" t="str">
        <f>IFERROR(__xludf.DUMMYFUNCTION("""COMPUTED_VALUE"""),"")</f>
        <v/>
      </c>
      <c r="F102" s="4" t="str">
        <f>IFERROR(__xludf.DUMMYFUNCTION("""COMPUTED_VALUE"""),"")</f>
        <v/>
      </c>
      <c r="G102" s="4" t="str">
        <f>IFERROR(__xludf.DUMMYFUNCTION("""COMPUTED_VALUE"""),"")</f>
        <v/>
      </c>
      <c r="H102" s="4" t="str">
        <f>IFERROR(__xludf.DUMMYFUNCTION("""COMPUTED_VALUE"""),"")</f>
        <v/>
      </c>
      <c r="I102" s="4" t="str">
        <f>IFERROR(__xludf.DUMMYFUNCTION("""COMPUTED_VALUE"""),"")</f>
        <v/>
      </c>
      <c r="J102" s="4" t="str">
        <f>IFERROR(__xludf.DUMMYFUNCTION("""COMPUTED_VALUE"""),"")</f>
        <v/>
      </c>
      <c r="K102" s="4" t="str">
        <f>IFERROR(__xludf.DUMMYFUNCTION("""COMPUTED_VALUE"""),"")</f>
        <v/>
      </c>
      <c r="L102" s="4" t="str">
        <f>IFERROR(__xludf.DUMMYFUNCTION("""COMPUTED_VALUE"""),"")</f>
        <v/>
      </c>
      <c r="M102" s="4" t="str">
        <f>IFERROR(__xludf.DUMMYFUNCTION("""COMPUTED_VALUE"""),"")</f>
        <v/>
      </c>
      <c r="N102" s="4" t="str">
        <f>IFERROR(__xludf.DUMMYFUNCTION("""COMPUTED_VALUE"""),"")</f>
        <v/>
      </c>
      <c r="O102" s="4" t="str">
        <f>IFERROR(__xludf.DUMMYFUNCTION("""COMPUTED_VALUE"""),"")</f>
        <v/>
      </c>
      <c r="P102" s="4" t="str">
        <f>IFERROR(__xludf.DUMMYFUNCTION("""COMPUTED_VALUE"""),"")</f>
        <v/>
      </c>
      <c r="Q102" s="4" t="str">
        <f>IFERROR(__xludf.DUMMYFUNCTION("""COMPUTED_VALUE"""),"")</f>
        <v/>
      </c>
      <c r="R102" s="4" t="str">
        <f>IFERROR(__xludf.DUMMYFUNCTION("""COMPUTED_VALUE"""),"")</f>
        <v/>
      </c>
      <c r="S102" s="4" t="str">
        <f>IFERROR(__xludf.DUMMYFUNCTION("""COMPUTED_VALUE"""),"")</f>
        <v/>
      </c>
      <c r="T102" s="4" t="str">
        <f>IFERROR(__xludf.DUMMYFUNCTION("""COMPUTED_VALUE"""),"")</f>
        <v/>
      </c>
      <c r="U102" s="4" t="str">
        <f>IFERROR(__xludf.DUMMYFUNCTION("""COMPUTED_VALUE"""),"")</f>
        <v/>
      </c>
    </row>
    <row r="103">
      <c r="A103" s="4">
        <f>IFERROR(__xludf.DUMMYFUNCTION("""COMPUTED_VALUE"""),102.0)</f>
        <v>102</v>
      </c>
      <c r="B103" s="4" t="str">
        <f>IFERROR(__xludf.DUMMYFUNCTION("""COMPUTED_VALUE"""),"")</f>
        <v/>
      </c>
      <c r="C103" s="4" t="str">
        <f>IFERROR(__xludf.DUMMYFUNCTION("""COMPUTED_VALUE"""),"")</f>
        <v/>
      </c>
      <c r="D103" s="4" t="str">
        <f>IFERROR(__xludf.DUMMYFUNCTION("""COMPUTED_VALUE"""),"")</f>
        <v/>
      </c>
      <c r="E103" s="4" t="str">
        <f>IFERROR(__xludf.DUMMYFUNCTION("""COMPUTED_VALUE"""),"")</f>
        <v/>
      </c>
      <c r="F103" s="4" t="str">
        <f>IFERROR(__xludf.DUMMYFUNCTION("""COMPUTED_VALUE"""),"")</f>
        <v/>
      </c>
      <c r="G103" s="4" t="str">
        <f>IFERROR(__xludf.DUMMYFUNCTION("""COMPUTED_VALUE"""),"")</f>
        <v/>
      </c>
      <c r="H103" s="4" t="str">
        <f>IFERROR(__xludf.DUMMYFUNCTION("""COMPUTED_VALUE"""),"")</f>
        <v/>
      </c>
      <c r="I103" s="4" t="str">
        <f>IFERROR(__xludf.DUMMYFUNCTION("""COMPUTED_VALUE"""),"")</f>
        <v/>
      </c>
      <c r="J103" s="4" t="str">
        <f>IFERROR(__xludf.DUMMYFUNCTION("""COMPUTED_VALUE"""),"")</f>
        <v/>
      </c>
      <c r="K103" s="4" t="str">
        <f>IFERROR(__xludf.DUMMYFUNCTION("""COMPUTED_VALUE"""),"")</f>
        <v/>
      </c>
      <c r="L103" s="4" t="str">
        <f>IFERROR(__xludf.DUMMYFUNCTION("""COMPUTED_VALUE"""),"")</f>
        <v/>
      </c>
      <c r="M103" s="4" t="str">
        <f>IFERROR(__xludf.DUMMYFUNCTION("""COMPUTED_VALUE"""),"")</f>
        <v/>
      </c>
      <c r="N103" s="4" t="str">
        <f>IFERROR(__xludf.DUMMYFUNCTION("""COMPUTED_VALUE"""),"")</f>
        <v/>
      </c>
      <c r="O103" s="4" t="str">
        <f>IFERROR(__xludf.DUMMYFUNCTION("""COMPUTED_VALUE"""),"")</f>
        <v/>
      </c>
      <c r="P103" s="4" t="str">
        <f>IFERROR(__xludf.DUMMYFUNCTION("""COMPUTED_VALUE"""),"")</f>
        <v/>
      </c>
      <c r="Q103" s="4" t="str">
        <f>IFERROR(__xludf.DUMMYFUNCTION("""COMPUTED_VALUE"""),"")</f>
        <v/>
      </c>
      <c r="R103" s="4" t="str">
        <f>IFERROR(__xludf.DUMMYFUNCTION("""COMPUTED_VALUE"""),"")</f>
        <v/>
      </c>
      <c r="S103" s="4" t="str">
        <f>IFERROR(__xludf.DUMMYFUNCTION("""COMPUTED_VALUE"""),"")</f>
        <v/>
      </c>
      <c r="T103" s="4" t="str">
        <f>IFERROR(__xludf.DUMMYFUNCTION("""COMPUTED_VALUE"""),"")</f>
        <v/>
      </c>
      <c r="U103" s="4" t="str">
        <f>IFERROR(__xludf.DUMMYFUNCTION("""COMPUTED_VALUE"""),"")</f>
        <v/>
      </c>
    </row>
    <row r="104">
      <c r="A104" s="4">
        <f>IFERROR(__xludf.DUMMYFUNCTION("""COMPUTED_VALUE"""),103.0)</f>
        <v>103</v>
      </c>
      <c r="B104" s="4" t="str">
        <f>IFERROR(__xludf.DUMMYFUNCTION("""COMPUTED_VALUE"""),"")</f>
        <v/>
      </c>
      <c r="C104" s="4" t="str">
        <f>IFERROR(__xludf.DUMMYFUNCTION("""COMPUTED_VALUE"""),"")</f>
        <v/>
      </c>
      <c r="D104" s="4" t="str">
        <f>IFERROR(__xludf.DUMMYFUNCTION("""COMPUTED_VALUE"""),"")</f>
        <v/>
      </c>
      <c r="E104" s="4" t="str">
        <f>IFERROR(__xludf.DUMMYFUNCTION("""COMPUTED_VALUE"""),"")</f>
        <v/>
      </c>
      <c r="F104" s="4" t="str">
        <f>IFERROR(__xludf.DUMMYFUNCTION("""COMPUTED_VALUE"""),"")</f>
        <v/>
      </c>
      <c r="G104" s="4" t="str">
        <f>IFERROR(__xludf.DUMMYFUNCTION("""COMPUTED_VALUE"""),"")</f>
        <v/>
      </c>
      <c r="H104" s="4" t="str">
        <f>IFERROR(__xludf.DUMMYFUNCTION("""COMPUTED_VALUE"""),"")</f>
        <v/>
      </c>
      <c r="I104" s="4" t="str">
        <f>IFERROR(__xludf.DUMMYFUNCTION("""COMPUTED_VALUE"""),"")</f>
        <v/>
      </c>
      <c r="J104" s="4" t="str">
        <f>IFERROR(__xludf.DUMMYFUNCTION("""COMPUTED_VALUE"""),"")</f>
        <v/>
      </c>
      <c r="K104" s="4" t="str">
        <f>IFERROR(__xludf.DUMMYFUNCTION("""COMPUTED_VALUE"""),"")</f>
        <v/>
      </c>
      <c r="L104" s="4" t="str">
        <f>IFERROR(__xludf.DUMMYFUNCTION("""COMPUTED_VALUE"""),"")</f>
        <v/>
      </c>
      <c r="M104" s="4" t="str">
        <f>IFERROR(__xludf.DUMMYFUNCTION("""COMPUTED_VALUE"""),"")</f>
        <v/>
      </c>
      <c r="N104" s="4" t="str">
        <f>IFERROR(__xludf.DUMMYFUNCTION("""COMPUTED_VALUE"""),"")</f>
        <v/>
      </c>
      <c r="O104" s="4" t="str">
        <f>IFERROR(__xludf.DUMMYFUNCTION("""COMPUTED_VALUE"""),"")</f>
        <v/>
      </c>
      <c r="P104" s="4" t="str">
        <f>IFERROR(__xludf.DUMMYFUNCTION("""COMPUTED_VALUE"""),"")</f>
        <v/>
      </c>
      <c r="Q104" s="4" t="str">
        <f>IFERROR(__xludf.DUMMYFUNCTION("""COMPUTED_VALUE"""),"")</f>
        <v/>
      </c>
      <c r="R104" s="4" t="str">
        <f>IFERROR(__xludf.DUMMYFUNCTION("""COMPUTED_VALUE"""),"")</f>
        <v/>
      </c>
      <c r="S104" s="4" t="str">
        <f>IFERROR(__xludf.DUMMYFUNCTION("""COMPUTED_VALUE"""),"")</f>
        <v/>
      </c>
      <c r="T104" s="4" t="str">
        <f>IFERROR(__xludf.DUMMYFUNCTION("""COMPUTED_VALUE"""),"")</f>
        <v/>
      </c>
      <c r="U104" s="4" t="str">
        <f>IFERROR(__xludf.DUMMYFUNCTION("""COMPUTED_VALUE"""),"")</f>
        <v/>
      </c>
    </row>
    <row r="105">
      <c r="A105" s="4">
        <f>IFERROR(__xludf.DUMMYFUNCTION("""COMPUTED_VALUE"""),104.0)</f>
        <v>104</v>
      </c>
      <c r="B105" s="4" t="str">
        <f>IFERROR(__xludf.DUMMYFUNCTION("""COMPUTED_VALUE"""),"")</f>
        <v/>
      </c>
      <c r="C105" s="4" t="str">
        <f>IFERROR(__xludf.DUMMYFUNCTION("""COMPUTED_VALUE"""),"")</f>
        <v/>
      </c>
      <c r="D105" s="4" t="str">
        <f>IFERROR(__xludf.DUMMYFUNCTION("""COMPUTED_VALUE"""),"")</f>
        <v/>
      </c>
      <c r="E105" s="4" t="str">
        <f>IFERROR(__xludf.DUMMYFUNCTION("""COMPUTED_VALUE"""),"")</f>
        <v/>
      </c>
      <c r="F105" s="4" t="str">
        <f>IFERROR(__xludf.DUMMYFUNCTION("""COMPUTED_VALUE"""),"")</f>
        <v/>
      </c>
      <c r="G105" s="4" t="str">
        <f>IFERROR(__xludf.DUMMYFUNCTION("""COMPUTED_VALUE"""),"")</f>
        <v/>
      </c>
      <c r="H105" s="4" t="str">
        <f>IFERROR(__xludf.DUMMYFUNCTION("""COMPUTED_VALUE"""),"")</f>
        <v/>
      </c>
      <c r="I105" s="4" t="str">
        <f>IFERROR(__xludf.DUMMYFUNCTION("""COMPUTED_VALUE"""),"")</f>
        <v/>
      </c>
      <c r="J105" s="4" t="str">
        <f>IFERROR(__xludf.DUMMYFUNCTION("""COMPUTED_VALUE"""),"")</f>
        <v/>
      </c>
      <c r="K105" s="4" t="str">
        <f>IFERROR(__xludf.DUMMYFUNCTION("""COMPUTED_VALUE"""),"")</f>
        <v/>
      </c>
      <c r="L105" s="4" t="str">
        <f>IFERROR(__xludf.DUMMYFUNCTION("""COMPUTED_VALUE"""),"")</f>
        <v/>
      </c>
      <c r="M105" s="4" t="str">
        <f>IFERROR(__xludf.DUMMYFUNCTION("""COMPUTED_VALUE"""),"")</f>
        <v/>
      </c>
      <c r="N105" s="4" t="str">
        <f>IFERROR(__xludf.DUMMYFUNCTION("""COMPUTED_VALUE"""),"")</f>
        <v/>
      </c>
      <c r="O105" s="4" t="str">
        <f>IFERROR(__xludf.DUMMYFUNCTION("""COMPUTED_VALUE"""),"")</f>
        <v/>
      </c>
      <c r="P105" s="4" t="str">
        <f>IFERROR(__xludf.DUMMYFUNCTION("""COMPUTED_VALUE"""),"")</f>
        <v/>
      </c>
      <c r="Q105" s="4" t="str">
        <f>IFERROR(__xludf.DUMMYFUNCTION("""COMPUTED_VALUE"""),"")</f>
        <v/>
      </c>
      <c r="R105" s="4" t="str">
        <f>IFERROR(__xludf.DUMMYFUNCTION("""COMPUTED_VALUE"""),"")</f>
        <v/>
      </c>
      <c r="S105" s="4" t="str">
        <f>IFERROR(__xludf.DUMMYFUNCTION("""COMPUTED_VALUE"""),"")</f>
        <v/>
      </c>
      <c r="T105" s="4" t="str">
        <f>IFERROR(__xludf.DUMMYFUNCTION("""COMPUTED_VALUE"""),"")</f>
        <v/>
      </c>
      <c r="U105" s="4" t="str">
        <f>IFERROR(__xludf.DUMMYFUNCTION("""COMPUTED_VALUE"""),"")</f>
        <v/>
      </c>
    </row>
    <row r="106">
      <c r="A106" s="4">
        <f>IFERROR(__xludf.DUMMYFUNCTION("""COMPUTED_VALUE"""),105.0)</f>
        <v>105</v>
      </c>
      <c r="B106" s="4" t="str">
        <f>IFERROR(__xludf.DUMMYFUNCTION("""COMPUTED_VALUE"""),"")</f>
        <v/>
      </c>
      <c r="C106" s="4" t="str">
        <f>IFERROR(__xludf.DUMMYFUNCTION("""COMPUTED_VALUE"""),"")</f>
        <v/>
      </c>
      <c r="D106" s="4" t="str">
        <f>IFERROR(__xludf.DUMMYFUNCTION("""COMPUTED_VALUE"""),"")</f>
        <v/>
      </c>
      <c r="E106" s="4" t="str">
        <f>IFERROR(__xludf.DUMMYFUNCTION("""COMPUTED_VALUE"""),"")</f>
        <v/>
      </c>
      <c r="F106" s="4" t="str">
        <f>IFERROR(__xludf.DUMMYFUNCTION("""COMPUTED_VALUE"""),"")</f>
        <v/>
      </c>
      <c r="G106" s="4" t="str">
        <f>IFERROR(__xludf.DUMMYFUNCTION("""COMPUTED_VALUE"""),"")</f>
        <v/>
      </c>
      <c r="H106" s="4" t="str">
        <f>IFERROR(__xludf.DUMMYFUNCTION("""COMPUTED_VALUE"""),"")</f>
        <v/>
      </c>
      <c r="I106" s="4" t="str">
        <f>IFERROR(__xludf.DUMMYFUNCTION("""COMPUTED_VALUE"""),"")</f>
        <v/>
      </c>
      <c r="J106" s="4" t="str">
        <f>IFERROR(__xludf.DUMMYFUNCTION("""COMPUTED_VALUE"""),"")</f>
        <v/>
      </c>
      <c r="K106" s="4" t="str">
        <f>IFERROR(__xludf.DUMMYFUNCTION("""COMPUTED_VALUE"""),"")</f>
        <v/>
      </c>
      <c r="L106" s="4" t="str">
        <f>IFERROR(__xludf.DUMMYFUNCTION("""COMPUTED_VALUE"""),"")</f>
        <v/>
      </c>
      <c r="M106" s="4" t="str">
        <f>IFERROR(__xludf.DUMMYFUNCTION("""COMPUTED_VALUE"""),"")</f>
        <v/>
      </c>
      <c r="N106" s="4" t="str">
        <f>IFERROR(__xludf.DUMMYFUNCTION("""COMPUTED_VALUE"""),"")</f>
        <v/>
      </c>
      <c r="O106" s="4" t="str">
        <f>IFERROR(__xludf.DUMMYFUNCTION("""COMPUTED_VALUE"""),"")</f>
        <v/>
      </c>
      <c r="P106" s="4" t="str">
        <f>IFERROR(__xludf.DUMMYFUNCTION("""COMPUTED_VALUE"""),"")</f>
        <v/>
      </c>
      <c r="Q106" s="4" t="str">
        <f>IFERROR(__xludf.DUMMYFUNCTION("""COMPUTED_VALUE"""),"")</f>
        <v/>
      </c>
      <c r="R106" s="4" t="str">
        <f>IFERROR(__xludf.DUMMYFUNCTION("""COMPUTED_VALUE"""),"")</f>
        <v/>
      </c>
      <c r="S106" s="4" t="str">
        <f>IFERROR(__xludf.DUMMYFUNCTION("""COMPUTED_VALUE"""),"")</f>
        <v/>
      </c>
      <c r="T106" s="4" t="str">
        <f>IFERROR(__xludf.DUMMYFUNCTION("""COMPUTED_VALUE"""),"")</f>
        <v/>
      </c>
      <c r="U106" s="4" t="str">
        <f>IFERROR(__xludf.DUMMYFUNCTION("""COMPUTED_VALUE"""),"")</f>
        <v/>
      </c>
    </row>
    <row r="107">
      <c r="A107" s="4">
        <f>IFERROR(__xludf.DUMMYFUNCTION("""COMPUTED_VALUE"""),106.0)</f>
        <v>106</v>
      </c>
      <c r="B107" s="4" t="str">
        <f>IFERROR(__xludf.DUMMYFUNCTION("""COMPUTED_VALUE"""),"")</f>
        <v/>
      </c>
      <c r="C107" s="4" t="str">
        <f>IFERROR(__xludf.DUMMYFUNCTION("""COMPUTED_VALUE"""),"")</f>
        <v/>
      </c>
      <c r="D107" s="4" t="str">
        <f>IFERROR(__xludf.DUMMYFUNCTION("""COMPUTED_VALUE"""),"")</f>
        <v/>
      </c>
      <c r="E107" s="4" t="str">
        <f>IFERROR(__xludf.DUMMYFUNCTION("""COMPUTED_VALUE"""),"")</f>
        <v/>
      </c>
      <c r="F107" s="4" t="str">
        <f>IFERROR(__xludf.DUMMYFUNCTION("""COMPUTED_VALUE"""),"")</f>
        <v/>
      </c>
      <c r="G107" s="4" t="str">
        <f>IFERROR(__xludf.DUMMYFUNCTION("""COMPUTED_VALUE"""),"")</f>
        <v/>
      </c>
      <c r="H107" s="4" t="str">
        <f>IFERROR(__xludf.DUMMYFUNCTION("""COMPUTED_VALUE"""),"")</f>
        <v/>
      </c>
      <c r="I107" s="4" t="str">
        <f>IFERROR(__xludf.DUMMYFUNCTION("""COMPUTED_VALUE"""),"")</f>
        <v/>
      </c>
      <c r="J107" s="4" t="str">
        <f>IFERROR(__xludf.DUMMYFUNCTION("""COMPUTED_VALUE"""),"")</f>
        <v/>
      </c>
      <c r="K107" s="4" t="str">
        <f>IFERROR(__xludf.DUMMYFUNCTION("""COMPUTED_VALUE"""),"")</f>
        <v/>
      </c>
      <c r="L107" s="4" t="str">
        <f>IFERROR(__xludf.DUMMYFUNCTION("""COMPUTED_VALUE"""),"")</f>
        <v/>
      </c>
      <c r="M107" s="4" t="str">
        <f>IFERROR(__xludf.DUMMYFUNCTION("""COMPUTED_VALUE"""),"")</f>
        <v/>
      </c>
      <c r="N107" s="4" t="str">
        <f>IFERROR(__xludf.DUMMYFUNCTION("""COMPUTED_VALUE"""),"")</f>
        <v/>
      </c>
      <c r="O107" s="4" t="str">
        <f>IFERROR(__xludf.DUMMYFUNCTION("""COMPUTED_VALUE"""),"")</f>
        <v/>
      </c>
      <c r="P107" s="4" t="str">
        <f>IFERROR(__xludf.DUMMYFUNCTION("""COMPUTED_VALUE"""),"")</f>
        <v/>
      </c>
      <c r="Q107" s="4" t="str">
        <f>IFERROR(__xludf.DUMMYFUNCTION("""COMPUTED_VALUE"""),"")</f>
        <v/>
      </c>
      <c r="R107" s="4" t="str">
        <f>IFERROR(__xludf.DUMMYFUNCTION("""COMPUTED_VALUE"""),"")</f>
        <v/>
      </c>
      <c r="S107" s="4" t="str">
        <f>IFERROR(__xludf.DUMMYFUNCTION("""COMPUTED_VALUE"""),"")</f>
        <v/>
      </c>
      <c r="T107" s="4" t="str">
        <f>IFERROR(__xludf.DUMMYFUNCTION("""COMPUTED_VALUE"""),"")</f>
        <v/>
      </c>
      <c r="U107" s="4" t="str">
        <f>IFERROR(__xludf.DUMMYFUNCTION("""COMPUTED_VALUE"""),"")</f>
        <v/>
      </c>
    </row>
    <row r="108">
      <c r="A108" s="4">
        <f>IFERROR(__xludf.DUMMYFUNCTION("""COMPUTED_VALUE"""),107.0)</f>
        <v>107</v>
      </c>
      <c r="B108" s="4" t="str">
        <f>IFERROR(__xludf.DUMMYFUNCTION("""COMPUTED_VALUE"""),"")</f>
        <v/>
      </c>
      <c r="C108" s="4" t="str">
        <f>IFERROR(__xludf.DUMMYFUNCTION("""COMPUTED_VALUE"""),"")</f>
        <v/>
      </c>
      <c r="D108" s="4" t="str">
        <f>IFERROR(__xludf.DUMMYFUNCTION("""COMPUTED_VALUE"""),"")</f>
        <v/>
      </c>
      <c r="E108" s="4" t="str">
        <f>IFERROR(__xludf.DUMMYFUNCTION("""COMPUTED_VALUE"""),"")</f>
        <v/>
      </c>
      <c r="F108" s="4" t="str">
        <f>IFERROR(__xludf.DUMMYFUNCTION("""COMPUTED_VALUE"""),"")</f>
        <v/>
      </c>
      <c r="G108" s="4" t="str">
        <f>IFERROR(__xludf.DUMMYFUNCTION("""COMPUTED_VALUE"""),"")</f>
        <v/>
      </c>
      <c r="H108" s="4" t="str">
        <f>IFERROR(__xludf.DUMMYFUNCTION("""COMPUTED_VALUE"""),"")</f>
        <v/>
      </c>
      <c r="I108" s="4" t="str">
        <f>IFERROR(__xludf.DUMMYFUNCTION("""COMPUTED_VALUE"""),"")</f>
        <v/>
      </c>
      <c r="J108" s="4" t="str">
        <f>IFERROR(__xludf.DUMMYFUNCTION("""COMPUTED_VALUE"""),"")</f>
        <v/>
      </c>
      <c r="K108" s="4" t="str">
        <f>IFERROR(__xludf.DUMMYFUNCTION("""COMPUTED_VALUE"""),"")</f>
        <v/>
      </c>
      <c r="L108" s="4" t="str">
        <f>IFERROR(__xludf.DUMMYFUNCTION("""COMPUTED_VALUE"""),"")</f>
        <v/>
      </c>
      <c r="M108" s="4" t="str">
        <f>IFERROR(__xludf.DUMMYFUNCTION("""COMPUTED_VALUE"""),"")</f>
        <v/>
      </c>
      <c r="N108" s="4" t="str">
        <f>IFERROR(__xludf.DUMMYFUNCTION("""COMPUTED_VALUE"""),"")</f>
        <v/>
      </c>
      <c r="O108" s="4" t="str">
        <f>IFERROR(__xludf.DUMMYFUNCTION("""COMPUTED_VALUE"""),"")</f>
        <v/>
      </c>
      <c r="P108" s="4" t="str">
        <f>IFERROR(__xludf.DUMMYFUNCTION("""COMPUTED_VALUE"""),"")</f>
        <v/>
      </c>
      <c r="Q108" s="4" t="str">
        <f>IFERROR(__xludf.DUMMYFUNCTION("""COMPUTED_VALUE"""),"")</f>
        <v/>
      </c>
      <c r="R108" s="4" t="str">
        <f>IFERROR(__xludf.DUMMYFUNCTION("""COMPUTED_VALUE"""),"")</f>
        <v/>
      </c>
      <c r="S108" s="4" t="str">
        <f>IFERROR(__xludf.DUMMYFUNCTION("""COMPUTED_VALUE"""),"")</f>
        <v/>
      </c>
      <c r="T108" s="4" t="str">
        <f>IFERROR(__xludf.DUMMYFUNCTION("""COMPUTED_VALUE"""),"")</f>
        <v/>
      </c>
      <c r="U108" s="4" t="str">
        <f>IFERROR(__xludf.DUMMYFUNCTION("""COMPUTED_VALUE"""),"")</f>
        <v/>
      </c>
    </row>
    <row r="109">
      <c r="A109" s="4">
        <f>IFERROR(__xludf.DUMMYFUNCTION("""COMPUTED_VALUE"""),108.0)</f>
        <v>108</v>
      </c>
      <c r="B109" s="4" t="str">
        <f>IFERROR(__xludf.DUMMYFUNCTION("""COMPUTED_VALUE"""),"")</f>
        <v/>
      </c>
      <c r="C109" s="4" t="str">
        <f>IFERROR(__xludf.DUMMYFUNCTION("""COMPUTED_VALUE"""),"")</f>
        <v/>
      </c>
      <c r="D109" s="4" t="str">
        <f>IFERROR(__xludf.DUMMYFUNCTION("""COMPUTED_VALUE"""),"")</f>
        <v/>
      </c>
      <c r="E109" s="4" t="str">
        <f>IFERROR(__xludf.DUMMYFUNCTION("""COMPUTED_VALUE"""),"")</f>
        <v/>
      </c>
      <c r="F109" s="4" t="str">
        <f>IFERROR(__xludf.DUMMYFUNCTION("""COMPUTED_VALUE"""),"")</f>
        <v/>
      </c>
      <c r="G109" s="4" t="str">
        <f>IFERROR(__xludf.DUMMYFUNCTION("""COMPUTED_VALUE"""),"")</f>
        <v/>
      </c>
      <c r="H109" s="4" t="str">
        <f>IFERROR(__xludf.DUMMYFUNCTION("""COMPUTED_VALUE"""),"")</f>
        <v/>
      </c>
      <c r="I109" s="4" t="str">
        <f>IFERROR(__xludf.DUMMYFUNCTION("""COMPUTED_VALUE"""),"")</f>
        <v/>
      </c>
      <c r="J109" s="4" t="str">
        <f>IFERROR(__xludf.DUMMYFUNCTION("""COMPUTED_VALUE"""),"")</f>
        <v/>
      </c>
      <c r="K109" s="4" t="str">
        <f>IFERROR(__xludf.DUMMYFUNCTION("""COMPUTED_VALUE"""),"")</f>
        <v/>
      </c>
      <c r="L109" s="4" t="str">
        <f>IFERROR(__xludf.DUMMYFUNCTION("""COMPUTED_VALUE"""),"")</f>
        <v/>
      </c>
      <c r="M109" s="4" t="str">
        <f>IFERROR(__xludf.DUMMYFUNCTION("""COMPUTED_VALUE"""),"")</f>
        <v/>
      </c>
      <c r="N109" s="4" t="str">
        <f>IFERROR(__xludf.DUMMYFUNCTION("""COMPUTED_VALUE"""),"")</f>
        <v/>
      </c>
      <c r="O109" s="4" t="str">
        <f>IFERROR(__xludf.DUMMYFUNCTION("""COMPUTED_VALUE"""),"")</f>
        <v/>
      </c>
      <c r="P109" s="4" t="str">
        <f>IFERROR(__xludf.DUMMYFUNCTION("""COMPUTED_VALUE"""),"")</f>
        <v/>
      </c>
      <c r="Q109" s="4" t="str">
        <f>IFERROR(__xludf.DUMMYFUNCTION("""COMPUTED_VALUE"""),"")</f>
        <v/>
      </c>
      <c r="R109" s="4" t="str">
        <f>IFERROR(__xludf.DUMMYFUNCTION("""COMPUTED_VALUE"""),"")</f>
        <v/>
      </c>
      <c r="S109" s="4" t="str">
        <f>IFERROR(__xludf.DUMMYFUNCTION("""COMPUTED_VALUE"""),"")</f>
        <v/>
      </c>
      <c r="T109" s="4" t="str">
        <f>IFERROR(__xludf.DUMMYFUNCTION("""COMPUTED_VALUE"""),"")</f>
        <v/>
      </c>
      <c r="U109" s="4" t="str">
        <f>IFERROR(__xludf.DUMMYFUNCTION("""COMPUTED_VALUE"""),"")</f>
        <v/>
      </c>
    </row>
    <row r="110">
      <c r="A110" s="4">
        <f>IFERROR(__xludf.DUMMYFUNCTION("""COMPUTED_VALUE"""),109.0)</f>
        <v>109</v>
      </c>
      <c r="B110" s="4" t="str">
        <f>IFERROR(__xludf.DUMMYFUNCTION("""COMPUTED_VALUE"""),"")</f>
        <v/>
      </c>
      <c r="C110" s="4" t="str">
        <f>IFERROR(__xludf.DUMMYFUNCTION("""COMPUTED_VALUE"""),"")</f>
        <v/>
      </c>
      <c r="D110" s="4" t="str">
        <f>IFERROR(__xludf.DUMMYFUNCTION("""COMPUTED_VALUE"""),"")</f>
        <v/>
      </c>
      <c r="E110" s="4" t="str">
        <f>IFERROR(__xludf.DUMMYFUNCTION("""COMPUTED_VALUE"""),"")</f>
        <v/>
      </c>
      <c r="F110" s="4" t="str">
        <f>IFERROR(__xludf.DUMMYFUNCTION("""COMPUTED_VALUE"""),"")</f>
        <v/>
      </c>
      <c r="G110" s="4" t="str">
        <f>IFERROR(__xludf.DUMMYFUNCTION("""COMPUTED_VALUE"""),"")</f>
        <v/>
      </c>
      <c r="H110" s="4" t="str">
        <f>IFERROR(__xludf.DUMMYFUNCTION("""COMPUTED_VALUE"""),"")</f>
        <v/>
      </c>
      <c r="I110" s="4" t="str">
        <f>IFERROR(__xludf.DUMMYFUNCTION("""COMPUTED_VALUE"""),"")</f>
        <v/>
      </c>
      <c r="J110" s="4" t="str">
        <f>IFERROR(__xludf.DUMMYFUNCTION("""COMPUTED_VALUE"""),"")</f>
        <v/>
      </c>
      <c r="K110" s="4" t="str">
        <f>IFERROR(__xludf.DUMMYFUNCTION("""COMPUTED_VALUE"""),"")</f>
        <v/>
      </c>
      <c r="L110" s="4" t="str">
        <f>IFERROR(__xludf.DUMMYFUNCTION("""COMPUTED_VALUE"""),"")</f>
        <v/>
      </c>
      <c r="M110" s="4" t="str">
        <f>IFERROR(__xludf.DUMMYFUNCTION("""COMPUTED_VALUE"""),"")</f>
        <v/>
      </c>
      <c r="N110" s="4" t="str">
        <f>IFERROR(__xludf.DUMMYFUNCTION("""COMPUTED_VALUE"""),"")</f>
        <v/>
      </c>
      <c r="O110" s="4" t="str">
        <f>IFERROR(__xludf.DUMMYFUNCTION("""COMPUTED_VALUE"""),"")</f>
        <v/>
      </c>
      <c r="P110" s="4" t="str">
        <f>IFERROR(__xludf.DUMMYFUNCTION("""COMPUTED_VALUE"""),"")</f>
        <v/>
      </c>
      <c r="Q110" s="4" t="str">
        <f>IFERROR(__xludf.DUMMYFUNCTION("""COMPUTED_VALUE"""),"")</f>
        <v/>
      </c>
      <c r="R110" s="4" t="str">
        <f>IFERROR(__xludf.DUMMYFUNCTION("""COMPUTED_VALUE"""),"")</f>
        <v/>
      </c>
      <c r="S110" s="4" t="str">
        <f>IFERROR(__xludf.DUMMYFUNCTION("""COMPUTED_VALUE"""),"")</f>
        <v/>
      </c>
      <c r="T110" s="4" t="str">
        <f>IFERROR(__xludf.DUMMYFUNCTION("""COMPUTED_VALUE"""),"")</f>
        <v/>
      </c>
      <c r="U110" s="4" t="str">
        <f>IFERROR(__xludf.DUMMYFUNCTION("""COMPUTED_VALUE"""),"")</f>
        <v/>
      </c>
    </row>
    <row r="111">
      <c r="A111" s="4">
        <f>IFERROR(__xludf.DUMMYFUNCTION("""COMPUTED_VALUE"""),110.0)</f>
        <v>110</v>
      </c>
      <c r="B111" s="4" t="str">
        <f>IFERROR(__xludf.DUMMYFUNCTION("""COMPUTED_VALUE"""),"")</f>
        <v/>
      </c>
      <c r="C111" s="4" t="str">
        <f>IFERROR(__xludf.DUMMYFUNCTION("""COMPUTED_VALUE"""),"")</f>
        <v/>
      </c>
      <c r="D111" s="4" t="str">
        <f>IFERROR(__xludf.DUMMYFUNCTION("""COMPUTED_VALUE"""),"")</f>
        <v/>
      </c>
      <c r="E111" s="4" t="str">
        <f>IFERROR(__xludf.DUMMYFUNCTION("""COMPUTED_VALUE"""),"")</f>
        <v/>
      </c>
      <c r="F111" s="4" t="str">
        <f>IFERROR(__xludf.DUMMYFUNCTION("""COMPUTED_VALUE"""),"")</f>
        <v/>
      </c>
      <c r="G111" s="4" t="str">
        <f>IFERROR(__xludf.DUMMYFUNCTION("""COMPUTED_VALUE"""),"")</f>
        <v/>
      </c>
      <c r="H111" s="4" t="str">
        <f>IFERROR(__xludf.DUMMYFUNCTION("""COMPUTED_VALUE"""),"")</f>
        <v/>
      </c>
      <c r="I111" s="4" t="str">
        <f>IFERROR(__xludf.DUMMYFUNCTION("""COMPUTED_VALUE"""),"")</f>
        <v/>
      </c>
      <c r="J111" s="4" t="str">
        <f>IFERROR(__xludf.DUMMYFUNCTION("""COMPUTED_VALUE"""),"")</f>
        <v/>
      </c>
      <c r="K111" s="4" t="str">
        <f>IFERROR(__xludf.DUMMYFUNCTION("""COMPUTED_VALUE"""),"")</f>
        <v/>
      </c>
      <c r="L111" s="4" t="str">
        <f>IFERROR(__xludf.DUMMYFUNCTION("""COMPUTED_VALUE"""),"")</f>
        <v/>
      </c>
      <c r="M111" s="4" t="str">
        <f>IFERROR(__xludf.DUMMYFUNCTION("""COMPUTED_VALUE"""),"")</f>
        <v/>
      </c>
      <c r="N111" s="4" t="str">
        <f>IFERROR(__xludf.DUMMYFUNCTION("""COMPUTED_VALUE"""),"")</f>
        <v/>
      </c>
      <c r="O111" s="4" t="str">
        <f>IFERROR(__xludf.DUMMYFUNCTION("""COMPUTED_VALUE"""),"")</f>
        <v/>
      </c>
      <c r="P111" s="4" t="str">
        <f>IFERROR(__xludf.DUMMYFUNCTION("""COMPUTED_VALUE"""),"")</f>
        <v/>
      </c>
      <c r="Q111" s="4" t="str">
        <f>IFERROR(__xludf.DUMMYFUNCTION("""COMPUTED_VALUE"""),"")</f>
        <v/>
      </c>
      <c r="R111" s="4" t="str">
        <f>IFERROR(__xludf.DUMMYFUNCTION("""COMPUTED_VALUE"""),"")</f>
        <v/>
      </c>
      <c r="S111" s="4" t="str">
        <f>IFERROR(__xludf.DUMMYFUNCTION("""COMPUTED_VALUE"""),"")</f>
        <v/>
      </c>
      <c r="T111" s="4" t="str">
        <f>IFERROR(__xludf.DUMMYFUNCTION("""COMPUTED_VALUE"""),"")</f>
        <v/>
      </c>
      <c r="U111" s="4" t="str">
        <f>IFERROR(__xludf.DUMMYFUNCTION("""COMPUTED_VALUE"""),"")</f>
        <v/>
      </c>
    </row>
    <row r="112">
      <c r="A112" s="4">
        <f>IFERROR(__xludf.DUMMYFUNCTION("""COMPUTED_VALUE"""),111.0)</f>
        <v>111</v>
      </c>
      <c r="B112" s="4" t="str">
        <f>IFERROR(__xludf.DUMMYFUNCTION("""COMPUTED_VALUE"""),"")</f>
        <v/>
      </c>
      <c r="C112" s="4" t="str">
        <f>IFERROR(__xludf.DUMMYFUNCTION("""COMPUTED_VALUE"""),"")</f>
        <v/>
      </c>
      <c r="D112" s="4" t="str">
        <f>IFERROR(__xludf.DUMMYFUNCTION("""COMPUTED_VALUE"""),"")</f>
        <v/>
      </c>
      <c r="E112" s="4" t="str">
        <f>IFERROR(__xludf.DUMMYFUNCTION("""COMPUTED_VALUE"""),"")</f>
        <v/>
      </c>
      <c r="F112" s="4" t="str">
        <f>IFERROR(__xludf.DUMMYFUNCTION("""COMPUTED_VALUE"""),"")</f>
        <v/>
      </c>
      <c r="G112" s="4" t="str">
        <f>IFERROR(__xludf.DUMMYFUNCTION("""COMPUTED_VALUE"""),"")</f>
        <v/>
      </c>
      <c r="H112" s="4" t="str">
        <f>IFERROR(__xludf.DUMMYFUNCTION("""COMPUTED_VALUE"""),"")</f>
        <v/>
      </c>
      <c r="I112" s="4" t="str">
        <f>IFERROR(__xludf.DUMMYFUNCTION("""COMPUTED_VALUE"""),"")</f>
        <v/>
      </c>
      <c r="J112" s="4" t="str">
        <f>IFERROR(__xludf.DUMMYFUNCTION("""COMPUTED_VALUE"""),"")</f>
        <v/>
      </c>
      <c r="K112" s="4" t="str">
        <f>IFERROR(__xludf.DUMMYFUNCTION("""COMPUTED_VALUE"""),"")</f>
        <v/>
      </c>
      <c r="L112" s="4" t="str">
        <f>IFERROR(__xludf.DUMMYFUNCTION("""COMPUTED_VALUE"""),"")</f>
        <v/>
      </c>
      <c r="M112" s="4" t="str">
        <f>IFERROR(__xludf.DUMMYFUNCTION("""COMPUTED_VALUE"""),"")</f>
        <v/>
      </c>
      <c r="N112" s="4" t="str">
        <f>IFERROR(__xludf.DUMMYFUNCTION("""COMPUTED_VALUE"""),"")</f>
        <v/>
      </c>
      <c r="O112" s="4" t="str">
        <f>IFERROR(__xludf.DUMMYFUNCTION("""COMPUTED_VALUE"""),"")</f>
        <v/>
      </c>
      <c r="P112" s="4" t="str">
        <f>IFERROR(__xludf.DUMMYFUNCTION("""COMPUTED_VALUE"""),"")</f>
        <v/>
      </c>
      <c r="Q112" s="4" t="str">
        <f>IFERROR(__xludf.DUMMYFUNCTION("""COMPUTED_VALUE"""),"")</f>
        <v/>
      </c>
      <c r="R112" s="4" t="str">
        <f>IFERROR(__xludf.DUMMYFUNCTION("""COMPUTED_VALUE"""),"")</f>
        <v/>
      </c>
      <c r="S112" s="4" t="str">
        <f>IFERROR(__xludf.DUMMYFUNCTION("""COMPUTED_VALUE"""),"")</f>
        <v/>
      </c>
      <c r="T112" s="4" t="str">
        <f>IFERROR(__xludf.DUMMYFUNCTION("""COMPUTED_VALUE"""),"")</f>
        <v/>
      </c>
      <c r="U112" s="4" t="str">
        <f>IFERROR(__xludf.DUMMYFUNCTION("""COMPUTED_VALUE"""),"")</f>
        <v/>
      </c>
    </row>
    <row r="113">
      <c r="A113" s="4">
        <f>IFERROR(__xludf.DUMMYFUNCTION("""COMPUTED_VALUE"""),112.0)</f>
        <v>112</v>
      </c>
      <c r="B113" s="4" t="str">
        <f>IFERROR(__xludf.DUMMYFUNCTION("""COMPUTED_VALUE"""),"")</f>
        <v/>
      </c>
      <c r="C113" s="4" t="str">
        <f>IFERROR(__xludf.DUMMYFUNCTION("""COMPUTED_VALUE"""),"")</f>
        <v/>
      </c>
      <c r="D113" s="4" t="str">
        <f>IFERROR(__xludf.DUMMYFUNCTION("""COMPUTED_VALUE"""),"")</f>
        <v/>
      </c>
      <c r="E113" s="4" t="str">
        <f>IFERROR(__xludf.DUMMYFUNCTION("""COMPUTED_VALUE"""),"")</f>
        <v/>
      </c>
      <c r="F113" s="4" t="str">
        <f>IFERROR(__xludf.DUMMYFUNCTION("""COMPUTED_VALUE"""),"")</f>
        <v/>
      </c>
      <c r="G113" s="4" t="str">
        <f>IFERROR(__xludf.DUMMYFUNCTION("""COMPUTED_VALUE"""),"")</f>
        <v/>
      </c>
      <c r="H113" s="4" t="str">
        <f>IFERROR(__xludf.DUMMYFUNCTION("""COMPUTED_VALUE"""),"")</f>
        <v/>
      </c>
      <c r="I113" s="4" t="str">
        <f>IFERROR(__xludf.DUMMYFUNCTION("""COMPUTED_VALUE"""),"")</f>
        <v/>
      </c>
      <c r="J113" s="4" t="str">
        <f>IFERROR(__xludf.DUMMYFUNCTION("""COMPUTED_VALUE"""),"")</f>
        <v/>
      </c>
      <c r="K113" s="4" t="str">
        <f>IFERROR(__xludf.DUMMYFUNCTION("""COMPUTED_VALUE"""),"")</f>
        <v/>
      </c>
      <c r="L113" s="4" t="str">
        <f>IFERROR(__xludf.DUMMYFUNCTION("""COMPUTED_VALUE"""),"")</f>
        <v/>
      </c>
      <c r="M113" s="4" t="str">
        <f>IFERROR(__xludf.DUMMYFUNCTION("""COMPUTED_VALUE"""),"")</f>
        <v/>
      </c>
      <c r="N113" s="4" t="str">
        <f>IFERROR(__xludf.DUMMYFUNCTION("""COMPUTED_VALUE"""),"")</f>
        <v/>
      </c>
      <c r="O113" s="4" t="str">
        <f>IFERROR(__xludf.DUMMYFUNCTION("""COMPUTED_VALUE"""),"")</f>
        <v/>
      </c>
      <c r="P113" s="4" t="str">
        <f>IFERROR(__xludf.DUMMYFUNCTION("""COMPUTED_VALUE"""),"")</f>
        <v/>
      </c>
      <c r="Q113" s="4" t="str">
        <f>IFERROR(__xludf.DUMMYFUNCTION("""COMPUTED_VALUE"""),"")</f>
        <v/>
      </c>
      <c r="R113" s="4" t="str">
        <f>IFERROR(__xludf.DUMMYFUNCTION("""COMPUTED_VALUE"""),"")</f>
        <v/>
      </c>
      <c r="S113" s="4" t="str">
        <f>IFERROR(__xludf.DUMMYFUNCTION("""COMPUTED_VALUE"""),"")</f>
        <v/>
      </c>
      <c r="T113" s="4" t="str">
        <f>IFERROR(__xludf.DUMMYFUNCTION("""COMPUTED_VALUE"""),"")</f>
        <v/>
      </c>
      <c r="U113" s="4" t="str">
        <f>IFERROR(__xludf.DUMMYFUNCTION("""COMPUTED_VALUE"""),"")</f>
        <v/>
      </c>
    </row>
    <row r="114">
      <c r="A114" s="4">
        <f>IFERROR(__xludf.DUMMYFUNCTION("""COMPUTED_VALUE"""),113.0)</f>
        <v>113</v>
      </c>
      <c r="B114" s="4" t="str">
        <f>IFERROR(__xludf.DUMMYFUNCTION("""COMPUTED_VALUE"""),"")</f>
        <v/>
      </c>
      <c r="C114" s="4" t="str">
        <f>IFERROR(__xludf.DUMMYFUNCTION("""COMPUTED_VALUE"""),"")</f>
        <v/>
      </c>
      <c r="D114" s="4" t="str">
        <f>IFERROR(__xludf.DUMMYFUNCTION("""COMPUTED_VALUE"""),"")</f>
        <v/>
      </c>
      <c r="E114" s="4" t="str">
        <f>IFERROR(__xludf.DUMMYFUNCTION("""COMPUTED_VALUE"""),"")</f>
        <v/>
      </c>
      <c r="F114" s="4" t="str">
        <f>IFERROR(__xludf.DUMMYFUNCTION("""COMPUTED_VALUE"""),"")</f>
        <v/>
      </c>
      <c r="G114" s="4" t="str">
        <f>IFERROR(__xludf.DUMMYFUNCTION("""COMPUTED_VALUE"""),"")</f>
        <v/>
      </c>
      <c r="H114" s="4" t="str">
        <f>IFERROR(__xludf.DUMMYFUNCTION("""COMPUTED_VALUE"""),"")</f>
        <v/>
      </c>
      <c r="I114" s="4" t="str">
        <f>IFERROR(__xludf.DUMMYFUNCTION("""COMPUTED_VALUE"""),"")</f>
        <v/>
      </c>
      <c r="J114" s="4" t="str">
        <f>IFERROR(__xludf.DUMMYFUNCTION("""COMPUTED_VALUE"""),"")</f>
        <v/>
      </c>
      <c r="K114" s="4" t="str">
        <f>IFERROR(__xludf.DUMMYFUNCTION("""COMPUTED_VALUE"""),"")</f>
        <v/>
      </c>
      <c r="L114" s="4" t="str">
        <f>IFERROR(__xludf.DUMMYFUNCTION("""COMPUTED_VALUE"""),"")</f>
        <v/>
      </c>
      <c r="M114" s="4" t="str">
        <f>IFERROR(__xludf.DUMMYFUNCTION("""COMPUTED_VALUE"""),"")</f>
        <v/>
      </c>
      <c r="N114" s="4" t="str">
        <f>IFERROR(__xludf.DUMMYFUNCTION("""COMPUTED_VALUE"""),"")</f>
        <v/>
      </c>
      <c r="O114" s="4" t="str">
        <f>IFERROR(__xludf.DUMMYFUNCTION("""COMPUTED_VALUE"""),"")</f>
        <v/>
      </c>
      <c r="P114" s="4" t="str">
        <f>IFERROR(__xludf.DUMMYFUNCTION("""COMPUTED_VALUE"""),"")</f>
        <v/>
      </c>
      <c r="Q114" s="4" t="str">
        <f>IFERROR(__xludf.DUMMYFUNCTION("""COMPUTED_VALUE"""),"")</f>
        <v/>
      </c>
      <c r="R114" s="4" t="str">
        <f>IFERROR(__xludf.DUMMYFUNCTION("""COMPUTED_VALUE"""),"")</f>
        <v/>
      </c>
      <c r="S114" s="4" t="str">
        <f>IFERROR(__xludf.DUMMYFUNCTION("""COMPUTED_VALUE"""),"")</f>
        <v/>
      </c>
      <c r="T114" s="4" t="str">
        <f>IFERROR(__xludf.DUMMYFUNCTION("""COMPUTED_VALUE"""),"")</f>
        <v/>
      </c>
      <c r="U114" s="4" t="str">
        <f>IFERROR(__xludf.DUMMYFUNCTION("""COMPUTED_VALUE"""),"")</f>
        <v/>
      </c>
    </row>
    <row r="115">
      <c r="A115" s="4">
        <f>IFERROR(__xludf.DUMMYFUNCTION("""COMPUTED_VALUE"""),114.0)</f>
        <v>114</v>
      </c>
      <c r="B115" s="4" t="str">
        <f>IFERROR(__xludf.DUMMYFUNCTION("""COMPUTED_VALUE"""),"")</f>
        <v/>
      </c>
      <c r="C115" s="4" t="str">
        <f>IFERROR(__xludf.DUMMYFUNCTION("""COMPUTED_VALUE"""),"")</f>
        <v/>
      </c>
      <c r="D115" s="4" t="str">
        <f>IFERROR(__xludf.DUMMYFUNCTION("""COMPUTED_VALUE"""),"")</f>
        <v/>
      </c>
      <c r="E115" s="4" t="str">
        <f>IFERROR(__xludf.DUMMYFUNCTION("""COMPUTED_VALUE"""),"")</f>
        <v/>
      </c>
      <c r="F115" s="4" t="str">
        <f>IFERROR(__xludf.DUMMYFUNCTION("""COMPUTED_VALUE"""),"")</f>
        <v/>
      </c>
      <c r="G115" s="4" t="str">
        <f>IFERROR(__xludf.DUMMYFUNCTION("""COMPUTED_VALUE"""),"")</f>
        <v/>
      </c>
      <c r="H115" s="4" t="str">
        <f>IFERROR(__xludf.DUMMYFUNCTION("""COMPUTED_VALUE"""),"")</f>
        <v/>
      </c>
      <c r="I115" s="4" t="str">
        <f>IFERROR(__xludf.DUMMYFUNCTION("""COMPUTED_VALUE"""),"")</f>
        <v/>
      </c>
      <c r="J115" s="4" t="str">
        <f>IFERROR(__xludf.DUMMYFUNCTION("""COMPUTED_VALUE"""),"")</f>
        <v/>
      </c>
      <c r="K115" s="4" t="str">
        <f>IFERROR(__xludf.DUMMYFUNCTION("""COMPUTED_VALUE"""),"")</f>
        <v/>
      </c>
      <c r="L115" s="4" t="str">
        <f>IFERROR(__xludf.DUMMYFUNCTION("""COMPUTED_VALUE"""),"")</f>
        <v/>
      </c>
      <c r="M115" s="4" t="str">
        <f>IFERROR(__xludf.DUMMYFUNCTION("""COMPUTED_VALUE"""),"")</f>
        <v/>
      </c>
      <c r="N115" s="4" t="str">
        <f>IFERROR(__xludf.DUMMYFUNCTION("""COMPUTED_VALUE"""),"")</f>
        <v/>
      </c>
      <c r="O115" s="4" t="str">
        <f>IFERROR(__xludf.DUMMYFUNCTION("""COMPUTED_VALUE"""),"")</f>
        <v/>
      </c>
      <c r="P115" s="4" t="str">
        <f>IFERROR(__xludf.DUMMYFUNCTION("""COMPUTED_VALUE"""),"")</f>
        <v/>
      </c>
      <c r="Q115" s="4" t="str">
        <f>IFERROR(__xludf.DUMMYFUNCTION("""COMPUTED_VALUE"""),"")</f>
        <v/>
      </c>
      <c r="R115" s="4" t="str">
        <f>IFERROR(__xludf.DUMMYFUNCTION("""COMPUTED_VALUE"""),"")</f>
        <v/>
      </c>
      <c r="S115" s="4" t="str">
        <f>IFERROR(__xludf.DUMMYFUNCTION("""COMPUTED_VALUE"""),"")</f>
        <v/>
      </c>
      <c r="T115" s="4" t="str">
        <f>IFERROR(__xludf.DUMMYFUNCTION("""COMPUTED_VALUE"""),"")</f>
        <v/>
      </c>
      <c r="U115" s="4" t="str">
        <f>IFERROR(__xludf.DUMMYFUNCTION("""COMPUTED_VALUE"""),"")</f>
        <v/>
      </c>
    </row>
    <row r="116">
      <c r="A116" s="4">
        <f>IFERROR(__xludf.DUMMYFUNCTION("""COMPUTED_VALUE"""),115.0)</f>
        <v>115</v>
      </c>
      <c r="B116" s="4" t="str">
        <f>IFERROR(__xludf.DUMMYFUNCTION("""COMPUTED_VALUE"""),"")</f>
        <v/>
      </c>
      <c r="C116" s="4" t="str">
        <f>IFERROR(__xludf.DUMMYFUNCTION("""COMPUTED_VALUE"""),"")</f>
        <v/>
      </c>
      <c r="D116" s="4" t="str">
        <f>IFERROR(__xludf.DUMMYFUNCTION("""COMPUTED_VALUE"""),"")</f>
        <v/>
      </c>
      <c r="E116" s="4" t="str">
        <f>IFERROR(__xludf.DUMMYFUNCTION("""COMPUTED_VALUE"""),"")</f>
        <v/>
      </c>
      <c r="F116" s="4" t="str">
        <f>IFERROR(__xludf.DUMMYFUNCTION("""COMPUTED_VALUE"""),"")</f>
        <v/>
      </c>
      <c r="G116" s="4" t="str">
        <f>IFERROR(__xludf.DUMMYFUNCTION("""COMPUTED_VALUE"""),"")</f>
        <v/>
      </c>
      <c r="H116" s="4" t="str">
        <f>IFERROR(__xludf.DUMMYFUNCTION("""COMPUTED_VALUE"""),"")</f>
        <v/>
      </c>
      <c r="I116" s="4" t="str">
        <f>IFERROR(__xludf.DUMMYFUNCTION("""COMPUTED_VALUE"""),"")</f>
        <v/>
      </c>
      <c r="J116" s="4" t="str">
        <f>IFERROR(__xludf.DUMMYFUNCTION("""COMPUTED_VALUE"""),"")</f>
        <v/>
      </c>
      <c r="K116" s="4" t="str">
        <f>IFERROR(__xludf.DUMMYFUNCTION("""COMPUTED_VALUE"""),"")</f>
        <v/>
      </c>
      <c r="L116" s="4" t="str">
        <f>IFERROR(__xludf.DUMMYFUNCTION("""COMPUTED_VALUE"""),"")</f>
        <v/>
      </c>
      <c r="M116" s="4" t="str">
        <f>IFERROR(__xludf.DUMMYFUNCTION("""COMPUTED_VALUE"""),"")</f>
        <v/>
      </c>
      <c r="N116" s="4" t="str">
        <f>IFERROR(__xludf.DUMMYFUNCTION("""COMPUTED_VALUE"""),"")</f>
        <v/>
      </c>
      <c r="O116" s="4" t="str">
        <f>IFERROR(__xludf.DUMMYFUNCTION("""COMPUTED_VALUE"""),"")</f>
        <v/>
      </c>
      <c r="P116" s="4" t="str">
        <f>IFERROR(__xludf.DUMMYFUNCTION("""COMPUTED_VALUE"""),"")</f>
        <v/>
      </c>
      <c r="Q116" s="4" t="str">
        <f>IFERROR(__xludf.DUMMYFUNCTION("""COMPUTED_VALUE"""),"")</f>
        <v/>
      </c>
      <c r="R116" s="4" t="str">
        <f>IFERROR(__xludf.DUMMYFUNCTION("""COMPUTED_VALUE"""),"")</f>
        <v/>
      </c>
      <c r="S116" s="4" t="str">
        <f>IFERROR(__xludf.DUMMYFUNCTION("""COMPUTED_VALUE"""),"")</f>
        <v/>
      </c>
      <c r="T116" s="4" t="str">
        <f>IFERROR(__xludf.DUMMYFUNCTION("""COMPUTED_VALUE"""),"")</f>
        <v/>
      </c>
      <c r="U116" s="4" t="str">
        <f>IFERROR(__xludf.DUMMYFUNCTION("""COMPUTED_VALUE"""),"")</f>
        <v/>
      </c>
    </row>
    <row r="117">
      <c r="A117" s="4">
        <f>IFERROR(__xludf.DUMMYFUNCTION("""COMPUTED_VALUE"""),116.0)</f>
        <v>116</v>
      </c>
      <c r="B117" s="4" t="str">
        <f>IFERROR(__xludf.DUMMYFUNCTION("""COMPUTED_VALUE"""),"")</f>
        <v/>
      </c>
      <c r="C117" s="4" t="str">
        <f>IFERROR(__xludf.DUMMYFUNCTION("""COMPUTED_VALUE"""),"")</f>
        <v/>
      </c>
      <c r="D117" s="4" t="str">
        <f>IFERROR(__xludf.DUMMYFUNCTION("""COMPUTED_VALUE"""),"")</f>
        <v/>
      </c>
      <c r="E117" s="4" t="str">
        <f>IFERROR(__xludf.DUMMYFUNCTION("""COMPUTED_VALUE"""),"")</f>
        <v/>
      </c>
      <c r="F117" s="4" t="str">
        <f>IFERROR(__xludf.DUMMYFUNCTION("""COMPUTED_VALUE"""),"")</f>
        <v/>
      </c>
      <c r="G117" s="4" t="str">
        <f>IFERROR(__xludf.DUMMYFUNCTION("""COMPUTED_VALUE"""),"")</f>
        <v/>
      </c>
      <c r="H117" s="4" t="str">
        <f>IFERROR(__xludf.DUMMYFUNCTION("""COMPUTED_VALUE"""),"")</f>
        <v/>
      </c>
      <c r="I117" s="4" t="str">
        <f>IFERROR(__xludf.DUMMYFUNCTION("""COMPUTED_VALUE"""),"")</f>
        <v/>
      </c>
      <c r="J117" s="4" t="str">
        <f>IFERROR(__xludf.DUMMYFUNCTION("""COMPUTED_VALUE"""),"")</f>
        <v/>
      </c>
      <c r="K117" s="4" t="str">
        <f>IFERROR(__xludf.DUMMYFUNCTION("""COMPUTED_VALUE"""),"")</f>
        <v/>
      </c>
      <c r="L117" s="4" t="str">
        <f>IFERROR(__xludf.DUMMYFUNCTION("""COMPUTED_VALUE"""),"")</f>
        <v/>
      </c>
      <c r="M117" s="4" t="str">
        <f>IFERROR(__xludf.DUMMYFUNCTION("""COMPUTED_VALUE"""),"")</f>
        <v/>
      </c>
      <c r="N117" s="4" t="str">
        <f>IFERROR(__xludf.DUMMYFUNCTION("""COMPUTED_VALUE"""),"")</f>
        <v/>
      </c>
      <c r="O117" s="4" t="str">
        <f>IFERROR(__xludf.DUMMYFUNCTION("""COMPUTED_VALUE"""),"")</f>
        <v/>
      </c>
      <c r="P117" s="4" t="str">
        <f>IFERROR(__xludf.DUMMYFUNCTION("""COMPUTED_VALUE"""),"")</f>
        <v/>
      </c>
      <c r="Q117" s="4" t="str">
        <f>IFERROR(__xludf.DUMMYFUNCTION("""COMPUTED_VALUE"""),"")</f>
        <v/>
      </c>
      <c r="R117" s="4" t="str">
        <f>IFERROR(__xludf.DUMMYFUNCTION("""COMPUTED_VALUE"""),"")</f>
        <v/>
      </c>
      <c r="S117" s="4" t="str">
        <f>IFERROR(__xludf.DUMMYFUNCTION("""COMPUTED_VALUE"""),"")</f>
        <v/>
      </c>
      <c r="T117" s="4" t="str">
        <f>IFERROR(__xludf.DUMMYFUNCTION("""COMPUTED_VALUE"""),"")</f>
        <v/>
      </c>
      <c r="U117" s="4" t="str">
        <f>IFERROR(__xludf.DUMMYFUNCTION("""COMPUTED_VALUE"""),"")</f>
        <v/>
      </c>
    </row>
    <row r="118">
      <c r="A118" s="4">
        <f>IFERROR(__xludf.DUMMYFUNCTION("""COMPUTED_VALUE"""),117.0)</f>
        <v>117</v>
      </c>
      <c r="B118" s="4" t="str">
        <f>IFERROR(__xludf.DUMMYFUNCTION("""COMPUTED_VALUE"""),"")</f>
        <v/>
      </c>
      <c r="C118" s="4" t="str">
        <f>IFERROR(__xludf.DUMMYFUNCTION("""COMPUTED_VALUE"""),"")</f>
        <v/>
      </c>
      <c r="D118" s="4" t="str">
        <f>IFERROR(__xludf.DUMMYFUNCTION("""COMPUTED_VALUE"""),"")</f>
        <v/>
      </c>
      <c r="E118" s="4" t="str">
        <f>IFERROR(__xludf.DUMMYFUNCTION("""COMPUTED_VALUE"""),"")</f>
        <v/>
      </c>
      <c r="F118" s="4" t="str">
        <f>IFERROR(__xludf.DUMMYFUNCTION("""COMPUTED_VALUE"""),"")</f>
        <v/>
      </c>
      <c r="G118" s="4" t="str">
        <f>IFERROR(__xludf.DUMMYFUNCTION("""COMPUTED_VALUE"""),"")</f>
        <v/>
      </c>
      <c r="H118" s="4" t="str">
        <f>IFERROR(__xludf.DUMMYFUNCTION("""COMPUTED_VALUE"""),"")</f>
        <v/>
      </c>
      <c r="I118" s="4" t="str">
        <f>IFERROR(__xludf.DUMMYFUNCTION("""COMPUTED_VALUE"""),"")</f>
        <v/>
      </c>
      <c r="J118" s="4" t="str">
        <f>IFERROR(__xludf.DUMMYFUNCTION("""COMPUTED_VALUE"""),"")</f>
        <v/>
      </c>
      <c r="K118" s="4" t="str">
        <f>IFERROR(__xludf.DUMMYFUNCTION("""COMPUTED_VALUE"""),"")</f>
        <v/>
      </c>
      <c r="L118" s="4" t="str">
        <f>IFERROR(__xludf.DUMMYFUNCTION("""COMPUTED_VALUE"""),"")</f>
        <v/>
      </c>
      <c r="M118" s="4" t="str">
        <f>IFERROR(__xludf.DUMMYFUNCTION("""COMPUTED_VALUE"""),"")</f>
        <v/>
      </c>
      <c r="N118" s="4" t="str">
        <f>IFERROR(__xludf.DUMMYFUNCTION("""COMPUTED_VALUE"""),"")</f>
        <v/>
      </c>
      <c r="O118" s="4" t="str">
        <f>IFERROR(__xludf.DUMMYFUNCTION("""COMPUTED_VALUE"""),"")</f>
        <v/>
      </c>
      <c r="P118" s="4" t="str">
        <f>IFERROR(__xludf.DUMMYFUNCTION("""COMPUTED_VALUE"""),"")</f>
        <v/>
      </c>
      <c r="Q118" s="4" t="str">
        <f>IFERROR(__xludf.DUMMYFUNCTION("""COMPUTED_VALUE"""),"")</f>
        <v/>
      </c>
      <c r="R118" s="4" t="str">
        <f>IFERROR(__xludf.DUMMYFUNCTION("""COMPUTED_VALUE"""),"")</f>
        <v/>
      </c>
      <c r="S118" s="4" t="str">
        <f>IFERROR(__xludf.DUMMYFUNCTION("""COMPUTED_VALUE"""),"")</f>
        <v/>
      </c>
      <c r="T118" s="4" t="str">
        <f>IFERROR(__xludf.DUMMYFUNCTION("""COMPUTED_VALUE"""),"")</f>
        <v/>
      </c>
      <c r="U118" s="4" t="str">
        <f>IFERROR(__xludf.DUMMYFUNCTION("""COMPUTED_VALUE"""),"")</f>
        <v/>
      </c>
    </row>
    <row r="119">
      <c r="A119" s="4">
        <f>IFERROR(__xludf.DUMMYFUNCTION("""COMPUTED_VALUE"""),118.0)</f>
        <v>118</v>
      </c>
      <c r="B119" s="4" t="str">
        <f>IFERROR(__xludf.DUMMYFUNCTION("""COMPUTED_VALUE"""),"")</f>
        <v/>
      </c>
      <c r="C119" s="4" t="str">
        <f>IFERROR(__xludf.DUMMYFUNCTION("""COMPUTED_VALUE"""),"")</f>
        <v/>
      </c>
      <c r="D119" s="4" t="str">
        <f>IFERROR(__xludf.DUMMYFUNCTION("""COMPUTED_VALUE"""),"")</f>
        <v/>
      </c>
      <c r="E119" s="4" t="str">
        <f>IFERROR(__xludf.DUMMYFUNCTION("""COMPUTED_VALUE"""),"")</f>
        <v/>
      </c>
      <c r="F119" s="4" t="str">
        <f>IFERROR(__xludf.DUMMYFUNCTION("""COMPUTED_VALUE"""),"")</f>
        <v/>
      </c>
      <c r="G119" s="4" t="str">
        <f>IFERROR(__xludf.DUMMYFUNCTION("""COMPUTED_VALUE"""),"")</f>
        <v/>
      </c>
      <c r="H119" s="4" t="str">
        <f>IFERROR(__xludf.DUMMYFUNCTION("""COMPUTED_VALUE"""),"")</f>
        <v/>
      </c>
      <c r="I119" s="4" t="str">
        <f>IFERROR(__xludf.DUMMYFUNCTION("""COMPUTED_VALUE"""),"")</f>
        <v/>
      </c>
      <c r="J119" s="4" t="str">
        <f>IFERROR(__xludf.DUMMYFUNCTION("""COMPUTED_VALUE"""),"")</f>
        <v/>
      </c>
      <c r="K119" s="4" t="str">
        <f>IFERROR(__xludf.DUMMYFUNCTION("""COMPUTED_VALUE"""),"")</f>
        <v/>
      </c>
      <c r="L119" s="4" t="str">
        <f>IFERROR(__xludf.DUMMYFUNCTION("""COMPUTED_VALUE"""),"")</f>
        <v/>
      </c>
      <c r="M119" s="4" t="str">
        <f>IFERROR(__xludf.DUMMYFUNCTION("""COMPUTED_VALUE"""),"")</f>
        <v/>
      </c>
      <c r="N119" s="4" t="str">
        <f>IFERROR(__xludf.DUMMYFUNCTION("""COMPUTED_VALUE"""),"")</f>
        <v/>
      </c>
      <c r="O119" s="4" t="str">
        <f>IFERROR(__xludf.DUMMYFUNCTION("""COMPUTED_VALUE"""),"")</f>
        <v/>
      </c>
      <c r="P119" s="4" t="str">
        <f>IFERROR(__xludf.DUMMYFUNCTION("""COMPUTED_VALUE"""),"")</f>
        <v/>
      </c>
      <c r="Q119" s="4" t="str">
        <f>IFERROR(__xludf.DUMMYFUNCTION("""COMPUTED_VALUE"""),"")</f>
        <v/>
      </c>
      <c r="R119" s="4" t="str">
        <f>IFERROR(__xludf.DUMMYFUNCTION("""COMPUTED_VALUE"""),"")</f>
        <v/>
      </c>
      <c r="S119" s="4" t="str">
        <f>IFERROR(__xludf.DUMMYFUNCTION("""COMPUTED_VALUE"""),"")</f>
        <v/>
      </c>
      <c r="T119" s="4" t="str">
        <f>IFERROR(__xludf.DUMMYFUNCTION("""COMPUTED_VALUE"""),"")</f>
        <v/>
      </c>
      <c r="U119" s="4" t="str">
        <f>IFERROR(__xludf.DUMMYFUNCTION("""COMPUTED_VALUE"""),"")</f>
        <v/>
      </c>
    </row>
    <row r="120">
      <c r="A120" s="4">
        <f>IFERROR(__xludf.DUMMYFUNCTION("""COMPUTED_VALUE"""),119.0)</f>
        <v>119</v>
      </c>
      <c r="B120" s="4" t="str">
        <f>IFERROR(__xludf.DUMMYFUNCTION("""COMPUTED_VALUE"""),"")</f>
        <v/>
      </c>
      <c r="C120" s="4" t="str">
        <f>IFERROR(__xludf.DUMMYFUNCTION("""COMPUTED_VALUE"""),"")</f>
        <v/>
      </c>
      <c r="D120" s="4" t="str">
        <f>IFERROR(__xludf.DUMMYFUNCTION("""COMPUTED_VALUE"""),"")</f>
        <v/>
      </c>
      <c r="E120" s="4" t="str">
        <f>IFERROR(__xludf.DUMMYFUNCTION("""COMPUTED_VALUE"""),"")</f>
        <v/>
      </c>
      <c r="F120" s="4" t="str">
        <f>IFERROR(__xludf.DUMMYFUNCTION("""COMPUTED_VALUE"""),"")</f>
        <v/>
      </c>
      <c r="G120" s="4" t="str">
        <f>IFERROR(__xludf.DUMMYFUNCTION("""COMPUTED_VALUE"""),"")</f>
        <v/>
      </c>
      <c r="H120" s="4" t="str">
        <f>IFERROR(__xludf.DUMMYFUNCTION("""COMPUTED_VALUE"""),"")</f>
        <v/>
      </c>
      <c r="I120" s="4" t="str">
        <f>IFERROR(__xludf.DUMMYFUNCTION("""COMPUTED_VALUE"""),"")</f>
        <v/>
      </c>
      <c r="J120" s="4" t="str">
        <f>IFERROR(__xludf.DUMMYFUNCTION("""COMPUTED_VALUE"""),"")</f>
        <v/>
      </c>
      <c r="K120" s="4" t="str">
        <f>IFERROR(__xludf.DUMMYFUNCTION("""COMPUTED_VALUE"""),"")</f>
        <v/>
      </c>
      <c r="L120" s="4" t="str">
        <f>IFERROR(__xludf.DUMMYFUNCTION("""COMPUTED_VALUE"""),"")</f>
        <v/>
      </c>
      <c r="M120" s="4" t="str">
        <f>IFERROR(__xludf.DUMMYFUNCTION("""COMPUTED_VALUE"""),"")</f>
        <v/>
      </c>
      <c r="N120" s="4" t="str">
        <f>IFERROR(__xludf.DUMMYFUNCTION("""COMPUTED_VALUE"""),"")</f>
        <v/>
      </c>
      <c r="O120" s="4" t="str">
        <f>IFERROR(__xludf.DUMMYFUNCTION("""COMPUTED_VALUE"""),"")</f>
        <v/>
      </c>
      <c r="P120" s="4" t="str">
        <f>IFERROR(__xludf.DUMMYFUNCTION("""COMPUTED_VALUE"""),"")</f>
        <v/>
      </c>
      <c r="Q120" s="4" t="str">
        <f>IFERROR(__xludf.DUMMYFUNCTION("""COMPUTED_VALUE"""),"")</f>
        <v/>
      </c>
      <c r="R120" s="4" t="str">
        <f>IFERROR(__xludf.DUMMYFUNCTION("""COMPUTED_VALUE"""),"")</f>
        <v/>
      </c>
      <c r="S120" s="4" t="str">
        <f>IFERROR(__xludf.DUMMYFUNCTION("""COMPUTED_VALUE"""),"")</f>
        <v/>
      </c>
      <c r="T120" s="4" t="str">
        <f>IFERROR(__xludf.DUMMYFUNCTION("""COMPUTED_VALUE"""),"")</f>
        <v/>
      </c>
      <c r="U120" s="4" t="str">
        <f>IFERROR(__xludf.DUMMYFUNCTION("""COMPUTED_VALUE"""),"")</f>
        <v/>
      </c>
    </row>
    <row r="121">
      <c r="A121" s="4">
        <f>IFERROR(__xludf.DUMMYFUNCTION("""COMPUTED_VALUE"""),120.0)</f>
        <v>120</v>
      </c>
      <c r="B121" s="4" t="str">
        <f>IFERROR(__xludf.DUMMYFUNCTION("""COMPUTED_VALUE"""),"")</f>
        <v/>
      </c>
      <c r="C121" s="4" t="str">
        <f>IFERROR(__xludf.DUMMYFUNCTION("""COMPUTED_VALUE"""),"")</f>
        <v/>
      </c>
      <c r="D121" s="4" t="str">
        <f>IFERROR(__xludf.DUMMYFUNCTION("""COMPUTED_VALUE"""),"")</f>
        <v/>
      </c>
      <c r="E121" s="4" t="str">
        <f>IFERROR(__xludf.DUMMYFUNCTION("""COMPUTED_VALUE"""),"")</f>
        <v/>
      </c>
      <c r="F121" s="4" t="str">
        <f>IFERROR(__xludf.DUMMYFUNCTION("""COMPUTED_VALUE"""),"")</f>
        <v/>
      </c>
      <c r="G121" s="4" t="str">
        <f>IFERROR(__xludf.DUMMYFUNCTION("""COMPUTED_VALUE"""),"")</f>
        <v/>
      </c>
      <c r="H121" s="4" t="str">
        <f>IFERROR(__xludf.DUMMYFUNCTION("""COMPUTED_VALUE"""),"")</f>
        <v/>
      </c>
      <c r="I121" s="4" t="str">
        <f>IFERROR(__xludf.DUMMYFUNCTION("""COMPUTED_VALUE"""),"")</f>
        <v/>
      </c>
      <c r="J121" s="4" t="str">
        <f>IFERROR(__xludf.DUMMYFUNCTION("""COMPUTED_VALUE"""),"")</f>
        <v/>
      </c>
      <c r="K121" s="4" t="str">
        <f>IFERROR(__xludf.DUMMYFUNCTION("""COMPUTED_VALUE"""),"")</f>
        <v/>
      </c>
      <c r="L121" s="4" t="str">
        <f>IFERROR(__xludf.DUMMYFUNCTION("""COMPUTED_VALUE"""),"")</f>
        <v/>
      </c>
      <c r="M121" s="4" t="str">
        <f>IFERROR(__xludf.DUMMYFUNCTION("""COMPUTED_VALUE"""),"")</f>
        <v/>
      </c>
      <c r="N121" s="4" t="str">
        <f>IFERROR(__xludf.DUMMYFUNCTION("""COMPUTED_VALUE"""),"")</f>
        <v/>
      </c>
      <c r="O121" s="4" t="str">
        <f>IFERROR(__xludf.DUMMYFUNCTION("""COMPUTED_VALUE"""),"")</f>
        <v/>
      </c>
      <c r="P121" s="4" t="str">
        <f>IFERROR(__xludf.DUMMYFUNCTION("""COMPUTED_VALUE"""),"")</f>
        <v/>
      </c>
      <c r="Q121" s="4" t="str">
        <f>IFERROR(__xludf.DUMMYFUNCTION("""COMPUTED_VALUE"""),"")</f>
        <v/>
      </c>
      <c r="R121" s="4" t="str">
        <f>IFERROR(__xludf.DUMMYFUNCTION("""COMPUTED_VALUE"""),"")</f>
        <v/>
      </c>
      <c r="S121" s="4" t="str">
        <f>IFERROR(__xludf.DUMMYFUNCTION("""COMPUTED_VALUE"""),"")</f>
        <v/>
      </c>
      <c r="T121" s="4" t="str">
        <f>IFERROR(__xludf.DUMMYFUNCTION("""COMPUTED_VALUE"""),"")</f>
        <v/>
      </c>
      <c r="U121" s="4" t="str">
        <f>IFERROR(__xludf.DUMMYFUNCTION("""COMPUTED_VALUE"""),"")</f>
        <v/>
      </c>
    </row>
    <row r="122">
      <c r="A122" s="4">
        <f>IFERROR(__xludf.DUMMYFUNCTION("""COMPUTED_VALUE"""),121.0)</f>
        <v>121</v>
      </c>
      <c r="B122" s="4" t="str">
        <f>IFERROR(__xludf.DUMMYFUNCTION("""COMPUTED_VALUE"""),"")</f>
        <v/>
      </c>
      <c r="C122" s="4" t="str">
        <f>IFERROR(__xludf.DUMMYFUNCTION("""COMPUTED_VALUE"""),"")</f>
        <v/>
      </c>
      <c r="D122" s="4" t="str">
        <f>IFERROR(__xludf.DUMMYFUNCTION("""COMPUTED_VALUE"""),"")</f>
        <v/>
      </c>
      <c r="E122" s="4" t="str">
        <f>IFERROR(__xludf.DUMMYFUNCTION("""COMPUTED_VALUE"""),"")</f>
        <v/>
      </c>
      <c r="F122" s="4" t="str">
        <f>IFERROR(__xludf.DUMMYFUNCTION("""COMPUTED_VALUE"""),"")</f>
        <v/>
      </c>
      <c r="G122" s="4" t="str">
        <f>IFERROR(__xludf.DUMMYFUNCTION("""COMPUTED_VALUE"""),"")</f>
        <v/>
      </c>
      <c r="H122" s="4" t="str">
        <f>IFERROR(__xludf.DUMMYFUNCTION("""COMPUTED_VALUE"""),"")</f>
        <v/>
      </c>
      <c r="I122" s="4" t="str">
        <f>IFERROR(__xludf.DUMMYFUNCTION("""COMPUTED_VALUE"""),"")</f>
        <v/>
      </c>
      <c r="J122" s="4" t="str">
        <f>IFERROR(__xludf.DUMMYFUNCTION("""COMPUTED_VALUE"""),"")</f>
        <v/>
      </c>
      <c r="K122" s="4" t="str">
        <f>IFERROR(__xludf.DUMMYFUNCTION("""COMPUTED_VALUE"""),"")</f>
        <v/>
      </c>
      <c r="L122" s="4" t="str">
        <f>IFERROR(__xludf.DUMMYFUNCTION("""COMPUTED_VALUE"""),"")</f>
        <v/>
      </c>
      <c r="M122" s="4" t="str">
        <f>IFERROR(__xludf.DUMMYFUNCTION("""COMPUTED_VALUE"""),"")</f>
        <v/>
      </c>
      <c r="N122" s="4" t="str">
        <f>IFERROR(__xludf.DUMMYFUNCTION("""COMPUTED_VALUE"""),"")</f>
        <v/>
      </c>
      <c r="O122" s="4" t="str">
        <f>IFERROR(__xludf.DUMMYFUNCTION("""COMPUTED_VALUE"""),"")</f>
        <v/>
      </c>
      <c r="P122" s="4" t="str">
        <f>IFERROR(__xludf.DUMMYFUNCTION("""COMPUTED_VALUE"""),"")</f>
        <v/>
      </c>
      <c r="Q122" s="4" t="str">
        <f>IFERROR(__xludf.DUMMYFUNCTION("""COMPUTED_VALUE"""),"")</f>
        <v/>
      </c>
      <c r="R122" s="4" t="str">
        <f>IFERROR(__xludf.DUMMYFUNCTION("""COMPUTED_VALUE"""),"")</f>
        <v/>
      </c>
      <c r="S122" s="4" t="str">
        <f>IFERROR(__xludf.DUMMYFUNCTION("""COMPUTED_VALUE"""),"")</f>
        <v/>
      </c>
      <c r="T122" s="4" t="str">
        <f>IFERROR(__xludf.DUMMYFUNCTION("""COMPUTED_VALUE"""),"")</f>
        <v/>
      </c>
      <c r="U122" s="4" t="str">
        <f>IFERROR(__xludf.DUMMYFUNCTION("""COMPUTED_VALUE"""),"")</f>
        <v/>
      </c>
    </row>
    <row r="123">
      <c r="A123" s="4" t="str">
        <f>IFERROR(__xludf.DUMMYFUNCTION("""COMPUTED_VALUE"""),"")</f>
        <v/>
      </c>
      <c r="B123" s="4" t="str">
        <f>IFERROR(__xludf.DUMMYFUNCTION("""COMPUTED_VALUE"""),"")</f>
        <v/>
      </c>
      <c r="C123" s="4" t="str">
        <f>IFERROR(__xludf.DUMMYFUNCTION("""COMPUTED_VALUE"""),"")</f>
        <v/>
      </c>
      <c r="D123" s="4" t="str">
        <f>IFERROR(__xludf.DUMMYFUNCTION("""COMPUTED_VALUE"""),"")</f>
        <v/>
      </c>
      <c r="E123" s="4" t="str">
        <f>IFERROR(__xludf.DUMMYFUNCTION("""COMPUTED_VALUE"""),"")</f>
        <v/>
      </c>
      <c r="F123" s="4" t="str">
        <f>IFERROR(__xludf.DUMMYFUNCTION("""COMPUTED_VALUE"""),"")</f>
        <v/>
      </c>
      <c r="G123" s="4" t="str">
        <f>IFERROR(__xludf.DUMMYFUNCTION("""COMPUTED_VALUE"""),"")</f>
        <v/>
      </c>
      <c r="H123" s="4" t="str">
        <f>IFERROR(__xludf.DUMMYFUNCTION("""COMPUTED_VALUE"""),"")</f>
        <v/>
      </c>
      <c r="I123" s="4" t="str">
        <f>IFERROR(__xludf.DUMMYFUNCTION("""COMPUTED_VALUE"""),"")</f>
        <v/>
      </c>
      <c r="J123" s="4" t="str">
        <f>IFERROR(__xludf.DUMMYFUNCTION("""COMPUTED_VALUE"""),"")</f>
        <v/>
      </c>
      <c r="K123" s="4" t="str">
        <f>IFERROR(__xludf.DUMMYFUNCTION("""COMPUTED_VALUE"""),"")</f>
        <v/>
      </c>
      <c r="L123" s="4" t="str">
        <f>IFERROR(__xludf.DUMMYFUNCTION("""COMPUTED_VALUE"""),"")</f>
        <v/>
      </c>
      <c r="M123" s="4" t="str">
        <f>IFERROR(__xludf.DUMMYFUNCTION("""COMPUTED_VALUE"""),"")</f>
        <v/>
      </c>
      <c r="N123" s="4" t="str">
        <f>IFERROR(__xludf.DUMMYFUNCTION("""COMPUTED_VALUE"""),"")</f>
        <v/>
      </c>
      <c r="O123" s="4" t="str">
        <f>IFERROR(__xludf.DUMMYFUNCTION("""COMPUTED_VALUE"""),"")</f>
        <v/>
      </c>
      <c r="P123" s="4" t="str">
        <f>IFERROR(__xludf.DUMMYFUNCTION("""COMPUTED_VALUE"""),"")</f>
        <v/>
      </c>
      <c r="Q123" s="4" t="str">
        <f>IFERROR(__xludf.DUMMYFUNCTION("""COMPUTED_VALUE"""),"")</f>
        <v/>
      </c>
      <c r="R123" s="4" t="str">
        <f>IFERROR(__xludf.DUMMYFUNCTION("""COMPUTED_VALUE"""),"")</f>
        <v/>
      </c>
      <c r="S123" s="4" t="str">
        <f>IFERROR(__xludf.DUMMYFUNCTION("""COMPUTED_VALUE"""),"")</f>
        <v/>
      </c>
      <c r="T123" s="4" t="str">
        <f>IFERROR(__xludf.DUMMYFUNCTION("""COMPUTED_VALUE"""),"")</f>
        <v/>
      </c>
      <c r="U123" s="4" t="str">
        <f>IFERROR(__xludf.DUMMYFUNCTION("""COMPUTED_VALUE"""),"")</f>
        <v/>
      </c>
    </row>
    <row r="124">
      <c r="A124" s="4" t="str">
        <f>IFERROR(__xludf.DUMMYFUNCTION("""COMPUTED_VALUE"""),"")</f>
        <v/>
      </c>
      <c r="B124" s="4" t="str">
        <f>IFERROR(__xludf.DUMMYFUNCTION("""COMPUTED_VALUE"""),"")</f>
        <v/>
      </c>
      <c r="C124" s="4" t="str">
        <f>IFERROR(__xludf.DUMMYFUNCTION("""COMPUTED_VALUE"""),"")</f>
        <v/>
      </c>
      <c r="D124" s="4" t="str">
        <f>IFERROR(__xludf.DUMMYFUNCTION("""COMPUTED_VALUE"""),"")</f>
        <v/>
      </c>
      <c r="E124" s="4" t="str">
        <f>IFERROR(__xludf.DUMMYFUNCTION("""COMPUTED_VALUE"""),"")</f>
        <v/>
      </c>
      <c r="F124" s="4" t="str">
        <f>IFERROR(__xludf.DUMMYFUNCTION("""COMPUTED_VALUE"""),"")</f>
        <v/>
      </c>
      <c r="G124" s="4" t="str">
        <f>IFERROR(__xludf.DUMMYFUNCTION("""COMPUTED_VALUE"""),"")</f>
        <v/>
      </c>
      <c r="H124" s="4" t="str">
        <f>IFERROR(__xludf.DUMMYFUNCTION("""COMPUTED_VALUE"""),"")</f>
        <v/>
      </c>
      <c r="I124" s="4" t="str">
        <f>IFERROR(__xludf.DUMMYFUNCTION("""COMPUTED_VALUE"""),"")</f>
        <v/>
      </c>
      <c r="J124" s="4" t="str">
        <f>IFERROR(__xludf.DUMMYFUNCTION("""COMPUTED_VALUE"""),"")</f>
        <v/>
      </c>
      <c r="K124" s="4" t="str">
        <f>IFERROR(__xludf.DUMMYFUNCTION("""COMPUTED_VALUE"""),"")</f>
        <v/>
      </c>
      <c r="L124" s="4" t="str">
        <f>IFERROR(__xludf.DUMMYFUNCTION("""COMPUTED_VALUE"""),"")</f>
        <v/>
      </c>
      <c r="M124" s="4" t="str">
        <f>IFERROR(__xludf.DUMMYFUNCTION("""COMPUTED_VALUE"""),"")</f>
        <v/>
      </c>
      <c r="N124" s="4" t="str">
        <f>IFERROR(__xludf.DUMMYFUNCTION("""COMPUTED_VALUE"""),"")</f>
        <v/>
      </c>
      <c r="O124" s="4" t="str">
        <f>IFERROR(__xludf.DUMMYFUNCTION("""COMPUTED_VALUE"""),"")</f>
        <v/>
      </c>
      <c r="P124" s="4" t="str">
        <f>IFERROR(__xludf.DUMMYFUNCTION("""COMPUTED_VALUE"""),"")</f>
        <v/>
      </c>
      <c r="Q124" s="4" t="str">
        <f>IFERROR(__xludf.DUMMYFUNCTION("""COMPUTED_VALUE"""),"")</f>
        <v/>
      </c>
      <c r="R124" s="4" t="str">
        <f>IFERROR(__xludf.DUMMYFUNCTION("""COMPUTED_VALUE"""),"")</f>
        <v/>
      </c>
      <c r="S124" s="4" t="str">
        <f>IFERROR(__xludf.DUMMYFUNCTION("""COMPUTED_VALUE"""),"")</f>
        <v/>
      </c>
      <c r="T124" s="4" t="str">
        <f>IFERROR(__xludf.DUMMYFUNCTION("""COMPUTED_VALUE"""),"")</f>
        <v/>
      </c>
      <c r="U124" s="4" t="str">
        <f>IFERROR(__xludf.DUMMYFUNCTION("""COMPUTED_VALUE"""),"")</f>
        <v/>
      </c>
    </row>
    <row r="125">
      <c r="A125" s="4" t="str">
        <f>IFERROR(__xludf.DUMMYFUNCTION("""COMPUTED_VALUE"""),"")</f>
        <v/>
      </c>
      <c r="B125" s="4" t="str">
        <f>IFERROR(__xludf.DUMMYFUNCTION("""COMPUTED_VALUE"""),"")</f>
        <v/>
      </c>
      <c r="C125" s="4" t="str">
        <f>IFERROR(__xludf.DUMMYFUNCTION("""COMPUTED_VALUE"""),"")</f>
        <v/>
      </c>
      <c r="D125" s="4" t="str">
        <f>IFERROR(__xludf.DUMMYFUNCTION("""COMPUTED_VALUE"""),"")</f>
        <v/>
      </c>
      <c r="E125" s="4" t="str">
        <f>IFERROR(__xludf.DUMMYFUNCTION("""COMPUTED_VALUE"""),"")</f>
        <v/>
      </c>
      <c r="F125" s="4" t="str">
        <f>IFERROR(__xludf.DUMMYFUNCTION("""COMPUTED_VALUE"""),"")</f>
        <v/>
      </c>
      <c r="G125" s="4" t="str">
        <f>IFERROR(__xludf.DUMMYFUNCTION("""COMPUTED_VALUE"""),"")</f>
        <v/>
      </c>
      <c r="H125" s="4" t="str">
        <f>IFERROR(__xludf.DUMMYFUNCTION("""COMPUTED_VALUE"""),"")</f>
        <v/>
      </c>
      <c r="I125" s="4" t="str">
        <f>IFERROR(__xludf.DUMMYFUNCTION("""COMPUTED_VALUE"""),"")</f>
        <v/>
      </c>
      <c r="J125" s="4" t="str">
        <f>IFERROR(__xludf.DUMMYFUNCTION("""COMPUTED_VALUE"""),"")</f>
        <v/>
      </c>
      <c r="K125" s="4" t="str">
        <f>IFERROR(__xludf.DUMMYFUNCTION("""COMPUTED_VALUE"""),"")</f>
        <v/>
      </c>
      <c r="L125" s="4" t="str">
        <f>IFERROR(__xludf.DUMMYFUNCTION("""COMPUTED_VALUE"""),"")</f>
        <v/>
      </c>
      <c r="M125" s="4" t="str">
        <f>IFERROR(__xludf.DUMMYFUNCTION("""COMPUTED_VALUE"""),"")</f>
        <v/>
      </c>
      <c r="N125" s="4" t="str">
        <f>IFERROR(__xludf.DUMMYFUNCTION("""COMPUTED_VALUE"""),"")</f>
        <v/>
      </c>
      <c r="O125" s="4" t="str">
        <f>IFERROR(__xludf.DUMMYFUNCTION("""COMPUTED_VALUE"""),"")</f>
        <v/>
      </c>
      <c r="P125" s="4" t="str">
        <f>IFERROR(__xludf.DUMMYFUNCTION("""COMPUTED_VALUE"""),"")</f>
        <v/>
      </c>
      <c r="Q125" s="4" t="str">
        <f>IFERROR(__xludf.DUMMYFUNCTION("""COMPUTED_VALUE"""),"")</f>
        <v/>
      </c>
      <c r="R125" s="4" t="str">
        <f>IFERROR(__xludf.DUMMYFUNCTION("""COMPUTED_VALUE"""),"")</f>
        <v/>
      </c>
      <c r="S125" s="4" t="str">
        <f>IFERROR(__xludf.DUMMYFUNCTION("""COMPUTED_VALUE"""),"")</f>
        <v/>
      </c>
      <c r="T125" s="4" t="str">
        <f>IFERROR(__xludf.DUMMYFUNCTION("""COMPUTED_VALUE"""),"")</f>
        <v/>
      </c>
      <c r="U125" s="4" t="str">
        <f>IFERROR(__xludf.DUMMYFUNCTION("""COMPUTED_VALUE"""),"")</f>
        <v/>
      </c>
    </row>
    <row r="126">
      <c r="A126" s="4" t="str">
        <f>IFERROR(__xludf.DUMMYFUNCTION("""COMPUTED_VALUE"""),"")</f>
        <v/>
      </c>
      <c r="B126" s="4" t="str">
        <f>IFERROR(__xludf.DUMMYFUNCTION("""COMPUTED_VALUE"""),"")</f>
        <v/>
      </c>
      <c r="C126" s="4" t="str">
        <f>IFERROR(__xludf.DUMMYFUNCTION("""COMPUTED_VALUE"""),"")</f>
        <v/>
      </c>
      <c r="D126" s="4" t="str">
        <f>IFERROR(__xludf.DUMMYFUNCTION("""COMPUTED_VALUE"""),"")</f>
        <v/>
      </c>
      <c r="E126" s="4" t="str">
        <f>IFERROR(__xludf.DUMMYFUNCTION("""COMPUTED_VALUE"""),"")</f>
        <v/>
      </c>
      <c r="F126" s="4" t="str">
        <f>IFERROR(__xludf.DUMMYFUNCTION("""COMPUTED_VALUE"""),"")</f>
        <v/>
      </c>
      <c r="G126" s="4" t="str">
        <f>IFERROR(__xludf.DUMMYFUNCTION("""COMPUTED_VALUE"""),"")</f>
        <v/>
      </c>
      <c r="H126" s="4" t="str">
        <f>IFERROR(__xludf.DUMMYFUNCTION("""COMPUTED_VALUE"""),"")</f>
        <v/>
      </c>
      <c r="I126" s="4" t="str">
        <f>IFERROR(__xludf.DUMMYFUNCTION("""COMPUTED_VALUE"""),"")</f>
        <v/>
      </c>
      <c r="J126" s="4" t="str">
        <f>IFERROR(__xludf.DUMMYFUNCTION("""COMPUTED_VALUE"""),"")</f>
        <v/>
      </c>
      <c r="K126" s="4" t="str">
        <f>IFERROR(__xludf.DUMMYFUNCTION("""COMPUTED_VALUE"""),"")</f>
        <v/>
      </c>
      <c r="L126" s="4" t="str">
        <f>IFERROR(__xludf.DUMMYFUNCTION("""COMPUTED_VALUE"""),"")</f>
        <v/>
      </c>
      <c r="M126" s="4" t="str">
        <f>IFERROR(__xludf.DUMMYFUNCTION("""COMPUTED_VALUE"""),"")</f>
        <v/>
      </c>
      <c r="N126" s="4" t="str">
        <f>IFERROR(__xludf.DUMMYFUNCTION("""COMPUTED_VALUE"""),"")</f>
        <v/>
      </c>
      <c r="O126" s="4" t="str">
        <f>IFERROR(__xludf.DUMMYFUNCTION("""COMPUTED_VALUE"""),"")</f>
        <v/>
      </c>
      <c r="P126" s="4" t="str">
        <f>IFERROR(__xludf.DUMMYFUNCTION("""COMPUTED_VALUE"""),"")</f>
        <v/>
      </c>
      <c r="Q126" s="4" t="str">
        <f>IFERROR(__xludf.DUMMYFUNCTION("""COMPUTED_VALUE"""),"")</f>
        <v/>
      </c>
      <c r="R126" s="4" t="str">
        <f>IFERROR(__xludf.DUMMYFUNCTION("""COMPUTED_VALUE"""),"")</f>
        <v/>
      </c>
      <c r="S126" s="4" t="str">
        <f>IFERROR(__xludf.DUMMYFUNCTION("""COMPUTED_VALUE"""),"")</f>
        <v/>
      </c>
      <c r="T126" s="4" t="str">
        <f>IFERROR(__xludf.DUMMYFUNCTION("""COMPUTED_VALUE"""),"")</f>
        <v/>
      </c>
      <c r="U126" s="4" t="str">
        <f>IFERROR(__xludf.DUMMYFUNCTION("""COMPUTED_VALUE"""),"")</f>
        <v/>
      </c>
    </row>
    <row r="127">
      <c r="A127" s="4" t="str">
        <f>IFERROR(__xludf.DUMMYFUNCTION("""COMPUTED_VALUE"""),"")</f>
        <v/>
      </c>
      <c r="B127" s="4" t="str">
        <f>IFERROR(__xludf.DUMMYFUNCTION("""COMPUTED_VALUE"""),"")</f>
        <v/>
      </c>
      <c r="C127" s="4" t="str">
        <f>IFERROR(__xludf.DUMMYFUNCTION("""COMPUTED_VALUE"""),"")</f>
        <v/>
      </c>
      <c r="D127" s="4" t="str">
        <f>IFERROR(__xludf.DUMMYFUNCTION("""COMPUTED_VALUE"""),"")</f>
        <v/>
      </c>
      <c r="E127" s="4" t="str">
        <f>IFERROR(__xludf.DUMMYFUNCTION("""COMPUTED_VALUE"""),"")</f>
        <v/>
      </c>
      <c r="F127" s="4" t="str">
        <f>IFERROR(__xludf.DUMMYFUNCTION("""COMPUTED_VALUE"""),"")</f>
        <v/>
      </c>
      <c r="G127" s="4" t="str">
        <f>IFERROR(__xludf.DUMMYFUNCTION("""COMPUTED_VALUE"""),"")</f>
        <v/>
      </c>
      <c r="H127" s="4" t="str">
        <f>IFERROR(__xludf.DUMMYFUNCTION("""COMPUTED_VALUE"""),"")</f>
        <v/>
      </c>
      <c r="I127" s="4" t="str">
        <f>IFERROR(__xludf.DUMMYFUNCTION("""COMPUTED_VALUE"""),"")</f>
        <v/>
      </c>
      <c r="J127" s="4" t="str">
        <f>IFERROR(__xludf.DUMMYFUNCTION("""COMPUTED_VALUE"""),"")</f>
        <v/>
      </c>
      <c r="K127" s="4" t="str">
        <f>IFERROR(__xludf.DUMMYFUNCTION("""COMPUTED_VALUE"""),"")</f>
        <v/>
      </c>
      <c r="L127" s="4" t="str">
        <f>IFERROR(__xludf.DUMMYFUNCTION("""COMPUTED_VALUE"""),"")</f>
        <v/>
      </c>
      <c r="M127" s="4" t="str">
        <f>IFERROR(__xludf.DUMMYFUNCTION("""COMPUTED_VALUE"""),"")</f>
        <v/>
      </c>
      <c r="N127" s="4" t="str">
        <f>IFERROR(__xludf.DUMMYFUNCTION("""COMPUTED_VALUE"""),"")</f>
        <v/>
      </c>
      <c r="O127" s="4" t="str">
        <f>IFERROR(__xludf.DUMMYFUNCTION("""COMPUTED_VALUE"""),"")</f>
        <v/>
      </c>
      <c r="P127" s="4" t="str">
        <f>IFERROR(__xludf.DUMMYFUNCTION("""COMPUTED_VALUE"""),"")</f>
        <v/>
      </c>
      <c r="Q127" s="4" t="str">
        <f>IFERROR(__xludf.DUMMYFUNCTION("""COMPUTED_VALUE"""),"")</f>
        <v/>
      </c>
      <c r="R127" s="4" t="str">
        <f>IFERROR(__xludf.DUMMYFUNCTION("""COMPUTED_VALUE"""),"")</f>
        <v/>
      </c>
      <c r="S127" s="4" t="str">
        <f>IFERROR(__xludf.DUMMYFUNCTION("""COMPUTED_VALUE"""),"")</f>
        <v/>
      </c>
      <c r="T127" s="4" t="str">
        <f>IFERROR(__xludf.DUMMYFUNCTION("""COMPUTED_VALUE"""),"")</f>
        <v/>
      </c>
      <c r="U127" s="4" t="str">
        <f>IFERROR(__xludf.DUMMYFUNCTION("""COMPUTED_VALUE"""),"")</f>
        <v/>
      </c>
    </row>
    <row r="128">
      <c r="A128" s="4" t="str">
        <f>IFERROR(__xludf.DUMMYFUNCTION("""COMPUTED_VALUE"""),"")</f>
        <v/>
      </c>
      <c r="B128" s="4" t="str">
        <f>IFERROR(__xludf.DUMMYFUNCTION("""COMPUTED_VALUE"""),"")</f>
        <v/>
      </c>
      <c r="C128" s="4" t="str">
        <f>IFERROR(__xludf.DUMMYFUNCTION("""COMPUTED_VALUE"""),"")</f>
        <v/>
      </c>
      <c r="D128" s="4" t="str">
        <f>IFERROR(__xludf.DUMMYFUNCTION("""COMPUTED_VALUE"""),"")</f>
        <v/>
      </c>
      <c r="E128" s="4" t="str">
        <f>IFERROR(__xludf.DUMMYFUNCTION("""COMPUTED_VALUE"""),"")</f>
        <v/>
      </c>
      <c r="F128" s="4" t="str">
        <f>IFERROR(__xludf.DUMMYFUNCTION("""COMPUTED_VALUE"""),"")</f>
        <v/>
      </c>
      <c r="G128" s="4" t="str">
        <f>IFERROR(__xludf.DUMMYFUNCTION("""COMPUTED_VALUE"""),"")</f>
        <v/>
      </c>
      <c r="H128" s="4" t="str">
        <f>IFERROR(__xludf.DUMMYFUNCTION("""COMPUTED_VALUE"""),"")</f>
        <v/>
      </c>
      <c r="I128" s="4" t="str">
        <f>IFERROR(__xludf.DUMMYFUNCTION("""COMPUTED_VALUE"""),"")</f>
        <v/>
      </c>
      <c r="J128" s="4" t="str">
        <f>IFERROR(__xludf.DUMMYFUNCTION("""COMPUTED_VALUE"""),"")</f>
        <v/>
      </c>
      <c r="K128" s="4" t="str">
        <f>IFERROR(__xludf.DUMMYFUNCTION("""COMPUTED_VALUE"""),"")</f>
        <v/>
      </c>
      <c r="L128" s="4" t="str">
        <f>IFERROR(__xludf.DUMMYFUNCTION("""COMPUTED_VALUE"""),"")</f>
        <v/>
      </c>
      <c r="M128" s="4" t="str">
        <f>IFERROR(__xludf.DUMMYFUNCTION("""COMPUTED_VALUE"""),"")</f>
        <v/>
      </c>
      <c r="N128" s="4" t="str">
        <f>IFERROR(__xludf.DUMMYFUNCTION("""COMPUTED_VALUE"""),"")</f>
        <v/>
      </c>
      <c r="O128" s="4" t="str">
        <f>IFERROR(__xludf.DUMMYFUNCTION("""COMPUTED_VALUE"""),"")</f>
        <v/>
      </c>
      <c r="P128" s="4" t="str">
        <f>IFERROR(__xludf.DUMMYFUNCTION("""COMPUTED_VALUE"""),"")</f>
        <v/>
      </c>
      <c r="Q128" s="4" t="str">
        <f>IFERROR(__xludf.DUMMYFUNCTION("""COMPUTED_VALUE"""),"")</f>
        <v/>
      </c>
      <c r="R128" s="4" t="str">
        <f>IFERROR(__xludf.DUMMYFUNCTION("""COMPUTED_VALUE"""),"")</f>
        <v/>
      </c>
      <c r="S128" s="4" t="str">
        <f>IFERROR(__xludf.DUMMYFUNCTION("""COMPUTED_VALUE"""),"")</f>
        <v/>
      </c>
      <c r="T128" s="4" t="str">
        <f>IFERROR(__xludf.DUMMYFUNCTION("""COMPUTED_VALUE"""),"")</f>
        <v/>
      </c>
      <c r="U128" s="4" t="str">
        <f>IFERROR(__xludf.DUMMYFUNCTION("""COMPUTED_VALUE"""),"")</f>
        <v/>
      </c>
    </row>
    <row r="129">
      <c r="A129" s="4" t="str">
        <f>IFERROR(__xludf.DUMMYFUNCTION("""COMPUTED_VALUE"""),"")</f>
        <v/>
      </c>
      <c r="B129" s="4" t="str">
        <f>IFERROR(__xludf.DUMMYFUNCTION("""COMPUTED_VALUE"""),"")</f>
        <v/>
      </c>
      <c r="C129" s="4" t="str">
        <f>IFERROR(__xludf.DUMMYFUNCTION("""COMPUTED_VALUE"""),"")</f>
        <v/>
      </c>
      <c r="D129" s="4" t="str">
        <f>IFERROR(__xludf.DUMMYFUNCTION("""COMPUTED_VALUE"""),"")</f>
        <v/>
      </c>
      <c r="E129" s="4" t="str">
        <f>IFERROR(__xludf.DUMMYFUNCTION("""COMPUTED_VALUE"""),"")</f>
        <v/>
      </c>
      <c r="F129" s="4" t="str">
        <f>IFERROR(__xludf.DUMMYFUNCTION("""COMPUTED_VALUE"""),"")</f>
        <v/>
      </c>
      <c r="G129" s="4" t="str">
        <f>IFERROR(__xludf.DUMMYFUNCTION("""COMPUTED_VALUE"""),"")</f>
        <v/>
      </c>
      <c r="H129" s="4" t="str">
        <f>IFERROR(__xludf.DUMMYFUNCTION("""COMPUTED_VALUE"""),"")</f>
        <v/>
      </c>
      <c r="I129" s="4" t="str">
        <f>IFERROR(__xludf.DUMMYFUNCTION("""COMPUTED_VALUE"""),"")</f>
        <v/>
      </c>
      <c r="J129" s="4" t="str">
        <f>IFERROR(__xludf.DUMMYFUNCTION("""COMPUTED_VALUE"""),"")</f>
        <v/>
      </c>
      <c r="K129" s="4" t="str">
        <f>IFERROR(__xludf.DUMMYFUNCTION("""COMPUTED_VALUE"""),"")</f>
        <v/>
      </c>
      <c r="L129" s="4" t="str">
        <f>IFERROR(__xludf.DUMMYFUNCTION("""COMPUTED_VALUE"""),"")</f>
        <v/>
      </c>
      <c r="M129" s="4" t="str">
        <f>IFERROR(__xludf.DUMMYFUNCTION("""COMPUTED_VALUE"""),"")</f>
        <v/>
      </c>
      <c r="N129" s="4" t="str">
        <f>IFERROR(__xludf.DUMMYFUNCTION("""COMPUTED_VALUE"""),"")</f>
        <v/>
      </c>
      <c r="O129" s="4" t="str">
        <f>IFERROR(__xludf.DUMMYFUNCTION("""COMPUTED_VALUE"""),"")</f>
        <v/>
      </c>
      <c r="P129" s="4" t="str">
        <f>IFERROR(__xludf.DUMMYFUNCTION("""COMPUTED_VALUE"""),"")</f>
        <v/>
      </c>
      <c r="Q129" s="4" t="str">
        <f>IFERROR(__xludf.DUMMYFUNCTION("""COMPUTED_VALUE"""),"")</f>
        <v/>
      </c>
      <c r="R129" s="4" t="str">
        <f>IFERROR(__xludf.DUMMYFUNCTION("""COMPUTED_VALUE"""),"")</f>
        <v/>
      </c>
      <c r="S129" s="4" t="str">
        <f>IFERROR(__xludf.DUMMYFUNCTION("""COMPUTED_VALUE"""),"")</f>
        <v/>
      </c>
      <c r="T129" s="4" t="str">
        <f>IFERROR(__xludf.DUMMYFUNCTION("""COMPUTED_VALUE"""),"")</f>
        <v/>
      </c>
      <c r="U129" s="4" t="str">
        <f>IFERROR(__xludf.DUMMYFUNCTION("""COMPUTED_VALUE"""),"")</f>
        <v/>
      </c>
    </row>
    <row r="130">
      <c r="A130" s="4" t="str">
        <f>IFERROR(__xludf.DUMMYFUNCTION("""COMPUTED_VALUE"""),"")</f>
        <v/>
      </c>
      <c r="B130" s="4" t="str">
        <f>IFERROR(__xludf.DUMMYFUNCTION("""COMPUTED_VALUE"""),"")</f>
        <v/>
      </c>
      <c r="C130" s="4" t="str">
        <f>IFERROR(__xludf.DUMMYFUNCTION("""COMPUTED_VALUE"""),"")</f>
        <v/>
      </c>
      <c r="D130" s="4" t="str">
        <f>IFERROR(__xludf.DUMMYFUNCTION("""COMPUTED_VALUE"""),"")</f>
        <v/>
      </c>
      <c r="E130" s="4" t="str">
        <f>IFERROR(__xludf.DUMMYFUNCTION("""COMPUTED_VALUE"""),"")</f>
        <v/>
      </c>
      <c r="F130" s="4" t="str">
        <f>IFERROR(__xludf.DUMMYFUNCTION("""COMPUTED_VALUE"""),"")</f>
        <v/>
      </c>
      <c r="G130" s="4" t="str">
        <f>IFERROR(__xludf.DUMMYFUNCTION("""COMPUTED_VALUE"""),"")</f>
        <v/>
      </c>
      <c r="H130" s="4" t="str">
        <f>IFERROR(__xludf.DUMMYFUNCTION("""COMPUTED_VALUE"""),"")</f>
        <v/>
      </c>
      <c r="I130" s="4" t="str">
        <f>IFERROR(__xludf.DUMMYFUNCTION("""COMPUTED_VALUE"""),"")</f>
        <v/>
      </c>
      <c r="J130" s="4" t="str">
        <f>IFERROR(__xludf.DUMMYFUNCTION("""COMPUTED_VALUE"""),"")</f>
        <v/>
      </c>
      <c r="K130" s="4" t="str">
        <f>IFERROR(__xludf.DUMMYFUNCTION("""COMPUTED_VALUE"""),"")</f>
        <v/>
      </c>
      <c r="L130" s="4" t="str">
        <f>IFERROR(__xludf.DUMMYFUNCTION("""COMPUTED_VALUE"""),"")</f>
        <v/>
      </c>
      <c r="M130" s="4" t="str">
        <f>IFERROR(__xludf.DUMMYFUNCTION("""COMPUTED_VALUE"""),"")</f>
        <v/>
      </c>
      <c r="N130" s="4" t="str">
        <f>IFERROR(__xludf.DUMMYFUNCTION("""COMPUTED_VALUE"""),"")</f>
        <v/>
      </c>
      <c r="O130" s="4" t="str">
        <f>IFERROR(__xludf.DUMMYFUNCTION("""COMPUTED_VALUE"""),"")</f>
        <v/>
      </c>
      <c r="P130" s="4" t="str">
        <f>IFERROR(__xludf.DUMMYFUNCTION("""COMPUTED_VALUE"""),"")</f>
        <v/>
      </c>
      <c r="Q130" s="4" t="str">
        <f>IFERROR(__xludf.DUMMYFUNCTION("""COMPUTED_VALUE"""),"")</f>
        <v/>
      </c>
      <c r="R130" s="4" t="str">
        <f>IFERROR(__xludf.DUMMYFUNCTION("""COMPUTED_VALUE"""),"")</f>
        <v/>
      </c>
      <c r="S130" s="4" t="str">
        <f>IFERROR(__xludf.DUMMYFUNCTION("""COMPUTED_VALUE"""),"")</f>
        <v/>
      </c>
      <c r="T130" s="4" t="str">
        <f>IFERROR(__xludf.DUMMYFUNCTION("""COMPUTED_VALUE"""),"")</f>
        <v/>
      </c>
      <c r="U130" s="4" t="str">
        <f>IFERROR(__xludf.DUMMYFUNCTION("""COMPUTED_VALUE"""),"")</f>
        <v/>
      </c>
    </row>
    <row r="131">
      <c r="A131" s="4" t="str">
        <f>IFERROR(__xludf.DUMMYFUNCTION("""COMPUTED_VALUE"""),"")</f>
        <v/>
      </c>
      <c r="B131" s="4" t="str">
        <f>IFERROR(__xludf.DUMMYFUNCTION("""COMPUTED_VALUE"""),"")</f>
        <v/>
      </c>
      <c r="C131" s="4" t="str">
        <f>IFERROR(__xludf.DUMMYFUNCTION("""COMPUTED_VALUE"""),"")</f>
        <v/>
      </c>
      <c r="D131" s="4" t="str">
        <f>IFERROR(__xludf.DUMMYFUNCTION("""COMPUTED_VALUE"""),"")</f>
        <v/>
      </c>
      <c r="E131" s="4" t="str">
        <f>IFERROR(__xludf.DUMMYFUNCTION("""COMPUTED_VALUE"""),"")</f>
        <v/>
      </c>
      <c r="F131" s="4" t="str">
        <f>IFERROR(__xludf.DUMMYFUNCTION("""COMPUTED_VALUE"""),"")</f>
        <v/>
      </c>
      <c r="G131" s="4" t="str">
        <f>IFERROR(__xludf.DUMMYFUNCTION("""COMPUTED_VALUE"""),"")</f>
        <v/>
      </c>
      <c r="H131" s="4" t="str">
        <f>IFERROR(__xludf.DUMMYFUNCTION("""COMPUTED_VALUE"""),"")</f>
        <v/>
      </c>
      <c r="I131" s="4" t="str">
        <f>IFERROR(__xludf.DUMMYFUNCTION("""COMPUTED_VALUE"""),"")</f>
        <v/>
      </c>
      <c r="J131" s="4" t="str">
        <f>IFERROR(__xludf.DUMMYFUNCTION("""COMPUTED_VALUE"""),"")</f>
        <v/>
      </c>
      <c r="K131" s="4" t="str">
        <f>IFERROR(__xludf.DUMMYFUNCTION("""COMPUTED_VALUE"""),"")</f>
        <v/>
      </c>
      <c r="L131" s="4" t="str">
        <f>IFERROR(__xludf.DUMMYFUNCTION("""COMPUTED_VALUE"""),"")</f>
        <v/>
      </c>
      <c r="M131" s="4" t="str">
        <f>IFERROR(__xludf.DUMMYFUNCTION("""COMPUTED_VALUE"""),"")</f>
        <v/>
      </c>
      <c r="N131" s="4" t="str">
        <f>IFERROR(__xludf.DUMMYFUNCTION("""COMPUTED_VALUE"""),"")</f>
        <v/>
      </c>
      <c r="O131" s="4" t="str">
        <f>IFERROR(__xludf.DUMMYFUNCTION("""COMPUTED_VALUE"""),"")</f>
        <v/>
      </c>
      <c r="P131" s="4" t="str">
        <f>IFERROR(__xludf.DUMMYFUNCTION("""COMPUTED_VALUE"""),"")</f>
        <v/>
      </c>
      <c r="Q131" s="4" t="str">
        <f>IFERROR(__xludf.DUMMYFUNCTION("""COMPUTED_VALUE"""),"")</f>
        <v/>
      </c>
      <c r="R131" s="4" t="str">
        <f>IFERROR(__xludf.DUMMYFUNCTION("""COMPUTED_VALUE"""),"")</f>
        <v/>
      </c>
      <c r="S131" s="4" t="str">
        <f>IFERROR(__xludf.DUMMYFUNCTION("""COMPUTED_VALUE"""),"")</f>
        <v/>
      </c>
      <c r="T131" s="4" t="str">
        <f>IFERROR(__xludf.DUMMYFUNCTION("""COMPUTED_VALUE"""),"")</f>
        <v/>
      </c>
      <c r="U131" s="4" t="str">
        <f>IFERROR(__xludf.DUMMYFUNCTION("""COMPUTED_VALUE"""),"")</f>
        <v/>
      </c>
    </row>
    <row r="132">
      <c r="A132" s="4" t="str">
        <f>IFERROR(__xludf.DUMMYFUNCTION("""COMPUTED_VALUE"""),"")</f>
        <v/>
      </c>
      <c r="B132" s="4" t="str">
        <f>IFERROR(__xludf.DUMMYFUNCTION("""COMPUTED_VALUE"""),"")</f>
        <v/>
      </c>
      <c r="C132" s="4" t="str">
        <f>IFERROR(__xludf.DUMMYFUNCTION("""COMPUTED_VALUE"""),"")</f>
        <v/>
      </c>
      <c r="D132" s="4" t="str">
        <f>IFERROR(__xludf.DUMMYFUNCTION("""COMPUTED_VALUE"""),"")</f>
        <v/>
      </c>
      <c r="E132" s="4" t="str">
        <f>IFERROR(__xludf.DUMMYFUNCTION("""COMPUTED_VALUE"""),"")</f>
        <v/>
      </c>
      <c r="F132" s="4" t="str">
        <f>IFERROR(__xludf.DUMMYFUNCTION("""COMPUTED_VALUE"""),"")</f>
        <v/>
      </c>
      <c r="G132" s="4" t="str">
        <f>IFERROR(__xludf.DUMMYFUNCTION("""COMPUTED_VALUE"""),"")</f>
        <v/>
      </c>
      <c r="H132" s="4" t="str">
        <f>IFERROR(__xludf.DUMMYFUNCTION("""COMPUTED_VALUE"""),"")</f>
        <v/>
      </c>
      <c r="I132" s="4" t="str">
        <f>IFERROR(__xludf.DUMMYFUNCTION("""COMPUTED_VALUE"""),"")</f>
        <v/>
      </c>
      <c r="J132" s="4" t="str">
        <f>IFERROR(__xludf.DUMMYFUNCTION("""COMPUTED_VALUE"""),"")</f>
        <v/>
      </c>
      <c r="K132" s="4" t="str">
        <f>IFERROR(__xludf.DUMMYFUNCTION("""COMPUTED_VALUE"""),"")</f>
        <v/>
      </c>
      <c r="L132" s="4" t="str">
        <f>IFERROR(__xludf.DUMMYFUNCTION("""COMPUTED_VALUE"""),"")</f>
        <v/>
      </c>
      <c r="M132" s="4" t="str">
        <f>IFERROR(__xludf.DUMMYFUNCTION("""COMPUTED_VALUE"""),"")</f>
        <v/>
      </c>
      <c r="N132" s="4" t="str">
        <f>IFERROR(__xludf.DUMMYFUNCTION("""COMPUTED_VALUE"""),"")</f>
        <v/>
      </c>
      <c r="O132" s="4" t="str">
        <f>IFERROR(__xludf.DUMMYFUNCTION("""COMPUTED_VALUE"""),"")</f>
        <v/>
      </c>
      <c r="P132" s="4" t="str">
        <f>IFERROR(__xludf.DUMMYFUNCTION("""COMPUTED_VALUE"""),"")</f>
        <v/>
      </c>
      <c r="Q132" s="4" t="str">
        <f>IFERROR(__xludf.DUMMYFUNCTION("""COMPUTED_VALUE"""),"")</f>
        <v/>
      </c>
      <c r="R132" s="4" t="str">
        <f>IFERROR(__xludf.DUMMYFUNCTION("""COMPUTED_VALUE"""),"")</f>
        <v/>
      </c>
      <c r="S132" s="4" t="str">
        <f>IFERROR(__xludf.DUMMYFUNCTION("""COMPUTED_VALUE"""),"")</f>
        <v/>
      </c>
      <c r="T132" s="4" t="str">
        <f>IFERROR(__xludf.DUMMYFUNCTION("""COMPUTED_VALUE"""),"")</f>
        <v/>
      </c>
      <c r="U132" s="4" t="str">
        <f>IFERROR(__xludf.DUMMYFUNCTION("""COMPUTED_VALUE"""),"")</f>
        <v/>
      </c>
    </row>
    <row r="133">
      <c r="A133" s="4" t="str">
        <f>IFERROR(__xludf.DUMMYFUNCTION("""COMPUTED_VALUE"""),"")</f>
        <v/>
      </c>
      <c r="B133" s="4" t="str">
        <f>IFERROR(__xludf.DUMMYFUNCTION("""COMPUTED_VALUE"""),"")</f>
        <v/>
      </c>
      <c r="C133" s="4" t="str">
        <f>IFERROR(__xludf.DUMMYFUNCTION("""COMPUTED_VALUE"""),"")</f>
        <v/>
      </c>
      <c r="D133" s="4" t="str">
        <f>IFERROR(__xludf.DUMMYFUNCTION("""COMPUTED_VALUE"""),"")</f>
        <v/>
      </c>
      <c r="E133" s="4" t="str">
        <f>IFERROR(__xludf.DUMMYFUNCTION("""COMPUTED_VALUE"""),"")</f>
        <v/>
      </c>
      <c r="F133" s="4" t="str">
        <f>IFERROR(__xludf.DUMMYFUNCTION("""COMPUTED_VALUE"""),"")</f>
        <v/>
      </c>
      <c r="G133" s="4" t="str">
        <f>IFERROR(__xludf.DUMMYFUNCTION("""COMPUTED_VALUE"""),"")</f>
        <v/>
      </c>
      <c r="H133" s="4" t="str">
        <f>IFERROR(__xludf.DUMMYFUNCTION("""COMPUTED_VALUE"""),"")</f>
        <v/>
      </c>
      <c r="I133" s="4" t="str">
        <f>IFERROR(__xludf.DUMMYFUNCTION("""COMPUTED_VALUE"""),"")</f>
        <v/>
      </c>
      <c r="J133" s="4" t="str">
        <f>IFERROR(__xludf.DUMMYFUNCTION("""COMPUTED_VALUE"""),"")</f>
        <v/>
      </c>
      <c r="K133" s="4" t="str">
        <f>IFERROR(__xludf.DUMMYFUNCTION("""COMPUTED_VALUE"""),"")</f>
        <v/>
      </c>
      <c r="L133" s="4" t="str">
        <f>IFERROR(__xludf.DUMMYFUNCTION("""COMPUTED_VALUE"""),"")</f>
        <v/>
      </c>
      <c r="M133" s="4" t="str">
        <f>IFERROR(__xludf.DUMMYFUNCTION("""COMPUTED_VALUE"""),"")</f>
        <v/>
      </c>
      <c r="N133" s="4" t="str">
        <f>IFERROR(__xludf.DUMMYFUNCTION("""COMPUTED_VALUE"""),"")</f>
        <v/>
      </c>
      <c r="O133" s="4" t="str">
        <f>IFERROR(__xludf.DUMMYFUNCTION("""COMPUTED_VALUE"""),"")</f>
        <v/>
      </c>
      <c r="P133" s="4" t="str">
        <f>IFERROR(__xludf.DUMMYFUNCTION("""COMPUTED_VALUE"""),"")</f>
        <v/>
      </c>
      <c r="Q133" s="4" t="str">
        <f>IFERROR(__xludf.DUMMYFUNCTION("""COMPUTED_VALUE"""),"")</f>
        <v/>
      </c>
      <c r="R133" s="4" t="str">
        <f>IFERROR(__xludf.DUMMYFUNCTION("""COMPUTED_VALUE"""),"")</f>
        <v/>
      </c>
      <c r="S133" s="4" t="str">
        <f>IFERROR(__xludf.DUMMYFUNCTION("""COMPUTED_VALUE"""),"")</f>
        <v/>
      </c>
      <c r="T133" s="4" t="str">
        <f>IFERROR(__xludf.DUMMYFUNCTION("""COMPUTED_VALUE"""),"")</f>
        <v/>
      </c>
      <c r="U133" s="4" t="str">
        <f>IFERROR(__xludf.DUMMYFUNCTION("""COMPUTED_VALUE"""),"")</f>
        <v/>
      </c>
    </row>
    <row r="134">
      <c r="A134" s="4" t="str">
        <f>IFERROR(__xludf.DUMMYFUNCTION("""COMPUTED_VALUE"""),"")</f>
        <v/>
      </c>
      <c r="B134" s="4" t="str">
        <f>IFERROR(__xludf.DUMMYFUNCTION("""COMPUTED_VALUE"""),"")</f>
        <v/>
      </c>
      <c r="C134" s="4" t="str">
        <f>IFERROR(__xludf.DUMMYFUNCTION("""COMPUTED_VALUE"""),"")</f>
        <v/>
      </c>
      <c r="D134" s="4" t="str">
        <f>IFERROR(__xludf.DUMMYFUNCTION("""COMPUTED_VALUE"""),"")</f>
        <v/>
      </c>
      <c r="E134" s="4" t="str">
        <f>IFERROR(__xludf.DUMMYFUNCTION("""COMPUTED_VALUE"""),"")</f>
        <v/>
      </c>
      <c r="F134" s="4" t="str">
        <f>IFERROR(__xludf.DUMMYFUNCTION("""COMPUTED_VALUE"""),"")</f>
        <v/>
      </c>
      <c r="G134" s="4" t="str">
        <f>IFERROR(__xludf.DUMMYFUNCTION("""COMPUTED_VALUE"""),"")</f>
        <v/>
      </c>
      <c r="H134" s="4" t="str">
        <f>IFERROR(__xludf.DUMMYFUNCTION("""COMPUTED_VALUE"""),"")</f>
        <v/>
      </c>
      <c r="I134" s="4" t="str">
        <f>IFERROR(__xludf.DUMMYFUNCTION("""COMPUTED_VALUE"""),"")</f>
        <v/>
      </c>
      <c r="J134" s="4" t="str">
        <f>IFERROR(__xludf.DUMMYFUNCTION("""COMPUTED_VALUE"""),"")</f>
        <v/>
      </c>
      <c r="K134" s="4" t="str">
        <f>IFERROR(__xludf.DUMMYFUNCTION("""COMPUTED_VALUE"""),"")</f>
        <v/>
      </c>
      <c r="L134" s="4" t="str">
        <f>IFERROR(__xludf.DUMMYFUNCTION("""COMPUTED_VALUE"""),"")</f>
        <v/>
      </c>
      <c r="M134" s="4" t="str">
        <f>IFERROR(__xludf.DUMMYFUNCTION("""COMPUTED_VALUE"""),"")</f>
        <v/>
      </c>
      <c r="N134" s="4" t="str">
        <f>IFERROR(__xludf.DUMMYFUNCTION("""COMPUTED_VALUE"""),"")</f>
        <v/>
      </c>
      <c r="O134" s="4" t="str">
        <f>IFERROR(__xludf.DUMMYFUNCTION("""COMPUTED_VALUE"""),"")</f>
        <v/>
      </c>
      <c r="P134" s="4" t="str">
        <f>IFERROR(__xludf.DUMMYFUNCTION("""COMPUTED_VALUE"""),"")</f>
        <v/>
      </c>
      <c r="Q134" s="4" t="str">
        <f>IFERROR(__xludf.DUMMYFUNCTION("""COMPUTED_VALUE"""),"")</f>
        <v/>
      </c>
      <c r="R134" s="4" t="str">
        <f>IFERROR(__xludf.DUMMYFUNCTION("""COMPUTED_VALUE"""),"")</f>
        <v/>
      </c>
      <c r="S134" s="4" t="str">
        <f>IFERROR(__xludf.DUMMYFUNCTION("""COMPUTED_VALUE"""),"")</f>
        <v/>
      </c>
      <c r="T134" s="4" t="str">
        <f>IFERROR(__xludf.DUMMYFUNCTION("""COMPUTED_VALUE"""),"")</f>
        <v/>
      </c>
      <c r="U134" s="4" t="str">
        <f>IFERROR(__xludf.DUMMYFUNCTION("""COMPUTED_VALUE"""),"")</f>
        <v/>
      </c>
    </row>
    <row r="135">
      <c r="A135" s="4" t="str">
        <f>IFERROR(__xludf.DUMMYFUNCTION("""COMPUTED_VALUE"""),"")</f>
        <v/>
      </c>
      <c r="B135" s="4" t="str">
        <f>IFERROR(__xludf.DUMMYFUNCTION("""COMPUTED_VALUE"""),"")</f>
        <v/>
      </c>
      <c r="C135" s="4" t="str">
        <f>IFERROR(__xludf.DUMMYFUNCTION("""COMPUTED_VALUE"""),"")</f>
        <v/>
      </c>
      <c r="D135" s="4" t="str">
        <f>IFERROR(__xludf.DUMMYFUNCTION("""COMPUTED_VALUE"""),"")</f>
        <v/>
      </c>
      <c r="E135" s="4" t="str">
        <f>IFERROR(__xludf.DUMMYFUNCTION("""COMPUTED_VALUE"""),"")</f>
        <v/>
      </c>
      <c r="F135" s="4" t="str">
        <f>IFERROR(__xludf.DUMMYFUNCTION("""COMPUTED_VALUE"""),"")</f>
        <v/>
      </c>
      <c r="G135" s="4" t="str">
        <f>IFERROR(__xludf.DUMMYFUNCTION("""COMPUTED_VALUE"""),"")</f>
        <v/>
      </c>
      <c r="H135" s="4" t="str">
        <f>IFERROR(__xludf.DUMMYFUNCTION("""COMPUTED_VALUE"""),"")</f>
        <v/>
      </c>
      <c r="I135" s="4" t="str">
        <f>IFERROR(__xludf.DUMMYFUNCTION("""COMPUTED_VALUE"""),"")</f>
        <v/>
      </c>
      <c r="J135" s="4" t="str">
        <f>IFERROR(__xludf.DUMMYFUNCTION("""COMPUTED_VALUE"""),"")</f>
        <v/>
      </c>
      <c r="K135" s="4" t="str">
        <f>IFERROR(__xludf.DUMMYFUNCTION("""COMPUTED_VALUE"""),"")</f>
        <v/>
      </c>
      <c r="L135" s="4" t="str">
        <f>IFERROR(__xludf.DUMMYFUNCTION("""COMPUTED_VALUE"""),"")</f>
        <v/>
      </c>
      <c r="M135" s="4" t="str">
        <f>IFERROR(__xludf.DUMMYFUNCTION("""COMPUTED_VALUE"""),"")</f>
        <v/>
      </c>
      <c r="N135" s="4" t="str">
        <f>IFERROR(__xludf.DUMMYFUNCTION("""COMPUTED_VALUE"""),"")</f>
        <v/>
      </c>
      <c r="O135" s="4" t="str">
        <f>IFERROR(__xludf.DUMMYFUNCTION("""COMPUTED_VALUE"""),"")</f>
        <v/>
      </c>
      <c r="P135" s="4" t="str">
        <f>IFERROR(__xludf.DUMMYFUNCTION("""COMPUTED_VALUE"""),"")</f>
        <v/>
      </c>
      <c r="Q135" s="4" t="str">
        <f>IFERROR(__xludf.DUMMYFUNCTION("""COMPUTED_VALUE"""),"")</f>
        <v/>
      </c>
      <c r="R135" s="4" t="str">
        <f>IFERROR(__xludf.DUMMYFUNCTION("""COMPUTED_VALUE"""),"")</f>
        <v/>
      </c>
      <c r="S135" s="4" t="str">
        <f>IFERROR(__xludf.DUMMYFUNCTION("""COMPUTED_VALUE"""),"")</f>
        <v/>
      </c>
      <c r="T135" s="4" t="str">
        <f>IFERROR(__xludf.DUMMYFUNCTION("""COMPUTED_VALUE"""),"")</f>
        <v/>
      </c>
      <c r="U135" s="4" t="str">
        <f>IFERROR(__xludf.DUMMYFUNCTION("""COMPUTED_VALUE"""),"")</f>
        <v/>
      </c>
    </row>
    <row r="136">
      <c r="A136" s="4" t="str">
        <f>IFERROR(__xludf.DUMMYFUNCTION("""COMPUTED_VALUE"""),"")</f>
        <v/>
      </c>
      <c r="B136" s="4" t="str">
        <f>IFERROR(__xludf.DUMMYFUNCTION("""COMPUTED_VALUE"""),"")</f>
        <v/>
      </c>
      <c r="C136" s="4" t="str">
        <f>IFERROR(__xludf.DUMMYFUNCTION("""COMPUTED_VALUE"""),"")</f>
        <v/>
      </c>
      <c r="D136" s="4" t="str">
        <f>IFERROR(__xludf.DUMMYFUNCTION("""COMPUTED_VALUE"""),"")</f>
        <v/>
      </c>
      <c r="E136" s="4" t="str">
        <f>IFERROR(__xludf.DUMMYFUNCTION("""COMPUTED_VALUE"""),"")</f>
        <v/>
      </c>
      <c r="F136" s="4" t="str">
        <f>IFERROR(__xludf.DUMMYFUNCTION("""COMPUTED_VALUE"""),"")</f>
        <v/>
      </c>
      <c r="G136" s="4" t="str">
        <f>IFERROR(__xludf.DUMMYFUNCTION("""COMPUTED_VALUE"""),"")</f>
        <v/>
      </c>
      <c r="H136" s="4" t="str">
        <f>IFERROR(__xludf.DUMMYFUNCTION("""COMPUTED_VALUE"""),"")</f>
        <v/>
      </c>
      <c r="I136" s="4" t="str">
        <f>IFERROR(__xludf.DUMMYFUNCTION("""COMPUTED_VALUE"""),"")</f>
        <v/>
      </c>
      <c r="J136" s="4" t="str">
        <f>IFERROR(__xludf.DUMMYFUNCTION("""COMPUTED_VALUE"""),"")</f>
        <v/>
      </c>
      <c r="K136" s="4" t="str">
        <f>IFERROR(__xludf.DUMMYFUNCTION("""COMPUTED_VALUE"""),"")</f>
        <v/>
      </c>
      <c r="L136" s="4" t="str">
        <f>IFERROR(__xludf.DUMMYFUNCTION("""COMPUTED_VALUE"""),"")</f>
        <v/>
      </c>
      <c r="M136" s="4" t="str">
        <f>IFERROR(__xludf.DUMMYFUNCTION("""COMPUTED_VALUE"""),"")</f>
        <v/>
      </c>
      <c r="N136" s="4" t="str">
        <f>IFERROR(__xludf.DUMMYFUNCTION("""COMPUTED_VALUE"""),"")</f>
        <v/>
      </c>
      <c r="O136" s="4" t="str">
        <f>IFERROR(__xludf.DUMMYFUNCTION("""COMPUTED_VALUE"""),"")</f>
        <v/>
      </c>
      <c r="P136" s="4" t="str">
        <f>IFERROR(__xludf.DUMMYFUNCTION("""COMPUTED_VALUE"""),"")</f>
        <v/>
      </c>
      <c r="Q136" s="4" t="str">
        <f>IFERROR(__xludf.DUMMYFUNCTION("""COMPUTED_VALUE"""),"")</f>
        <v/>
      </c>
      <c r="R136" s="4" t="str">
        <f>IFERROR(__xludf.DUMMYFUNCTION("""COMPUTED_VALUE"""),"")</f>
        <v/>
      </c>
      <c r="S136" s="4" t="str">
        <f>IFERROR(__xludf.DUMMYFUNCTION("""COMPUTED_VALUE"""),"")</f>
        <v/>
      </c>
      <c r="T136" s="4" t="str">
        <f>IFERROR(__xludf.DUMMYFUNCTION("""COMPUTED_VALUE"""),"")</f>
        <v/>
      </c>
      <c r="U136" s="4" t="str">
        <f>IFERROR(__xludf.DUMMYFUNCTION("""COMPUTED_VALUE"""),"")</f>
        <v/>
      </c>
    </row>
    <row r="137">
      <c r="A137" s="4" t="str">
        <f>IFERROR(__xludf.DUMMYFUNCTION("""COMPUTED_VALUE"""),"")</f>
        <v/>
      </c>
      <c r="B137" s="4" t="str">
        <f>IFERROR(__xludf.DUMMYFUNCTION("""COMPUTED_VALUE"""),"")</f>
        <v/>
      </c>
      <c r="C137" s="4" t="str">
        <f>IFERROR(__xludf.DUMMYFUNCTION("""COMPUTED_VALUE"""),"")</f>
        <v/>
      </c>
      <c r="D137" s="4" t="str">
        <f>IFERROR(__xludf.DUMMYFUNCTION("""COMPUTED_VALUE"""),"")</f>
        <v/>
      </c>
      <c r="E137" s="4" t="str">
        <f>IFERROR(__xludf.DUMMYFUNCTION("""COMPUTED_VALUE"""),"")</f>
        <v/>
      </c>
      <c r="F137" s="4" t="str">
        <f>IFERROR(__xludf.DUMMYFUNCTION("""COMPUTED_VALUE"""),"")</f>
        <v/>
      </c>
      <c r="G137" s="4" t="str">
        <f>IFERROR(__xludf.DUMMYFUNCTION("""COMPUTED_VALUE"""),"")</f>
        <v/>
      </c>
      <c r="H137" s="4" t="str">
        <f>IFERROR(__xludf.DUMMYFUNCTION("""COMPUTED_VALUE"""),"")</f>
        <v/>
      </c>
      <c r="I137" s="4" t="str">
        <f>IFERROR(__xludf.DUMMYFUNCTION("""COMPUTED_VALUE"""),"")</f>
        <v/>
      </c>
      <c r="J137" s="4" t="str">
        <f>IFERROR(__xludf.DUMMYFUNCTION("""COMPUTED_VALUE"""),"")</f>
        <v/>
      </c>
      <c r="K137" s="4" t="str">
        <f>IFERROR(__xludf.DUMMYFUNCTION("""COMPUTED_VALUE"""),"")</f>
        <v/>
      </c>
      <c r="L137" s="4" t="str">
        <f>IFERROR(__xludf.DUMMYFUNCTION("""COMPUTED_VALUE"""),"")</f>
        <v/>
      </c>
      <c r="M137" s="4" t="str">
        <f>IFERROR(__xludf.DUMMYFUNCTION("""COMPUTED_VALUE"""),"")</f>
        <v/>
      </c>
      <c r="N137" s="4" t="str">
        <f>IFERROR(__xludf.DUMMYFUNCTION("""COMPUTED_VALUE"""),"")</f>
        <v/>
      </c>
      <c r="O137" s="4" t="str">
        <f>IFERROR(__xludf.DUMMYFUNCTION("""COMPUTED_VALUE"""),"")</f>
        <v/>
      </c>
      <c r="P137" s="4" t="str">
        <f>IFERROR(__xludf.DUMMYFUNCTION("""COMPUTED_VALUE"""),"")</f>
        <v/>
      </c>
      <c r="Q137" s="4" t="str">
        <f>IFERROR(__xludf.DUMMYFUNCTION("""COMPUTED_VALUE"""),"")</f>
        <v/>
      </c>
      <c r="R137" s="4" t="str">
        <f>IFERROR(__xludf.DUMMYFUNCTION("""COMPUTED_VALUE"""),"")</f>
        <v/>
      </c>
      <c r="S137" s="4" t="str">
        <f>IFERROR(__xludf.DUMMYFUNCTION("""COMPUTED_VALUE"""),"")</f>
        <v/>
      </c>
      <c r="T137" s="4" t="str">
        <f>IFERROR(__xludf.DUMMYFUNCTION("""COMPUTED_VALUE"""),"")</f>
        <v/>
      </c>
      <c r="U137" s="4" t="str">
        <f>IFERROR(__xludf.DUMMYFUNCTION("""COMPUTED_VALUE"""),"")</f>
        <v/>
      </c>
    </row>
    <row r="138">
      <c r="A138" s="4" t="str">
        <f>IFERROR(__xludf.DUMMYFUNCTION("""COMPUTED_VALUE"""),"")</f>
        <v/>
      </c>
      <c r="B138" s="4" t="str">
        <f>IFERROR(__xludf.DUMMYFUNCTION("""COMPUTED_VALUE"""),"")</f>
        <v/>
      </c>
      <c r="C138" s="4" t="str">
        <f>IFERROR(__xludf.DUMMYFUNCTION("""COMPUTED_VALUE"""),"")</f>
        <v/>
      </c>
      <c r="D138" s="4" t="str">
        <f>IFERROR(__xludf.DUMMYFUNCTION("""COMPUTED_VALUE"""),"")</f>
        <v/>
      </c>
      <c r="E138" s="4" t="str">
        <f>IFERROR(__xludf.DUMMYFUNCTION("""COMPUTED_VALUE"""),"")</f>
        <v/>
      </c>
      <c r="F138" s="4" t="str">
        <f>IFERROR(__xludf.DUMMYFUNCTION("""COMPUTED_VALUE"""),"")</f>
        <v/>
      </c>
      <c r="G138" s="4" t="str">
        <f>IFERROR(__xludf.DUMMYFUNCTION("""COMPUTED_VALUE"""),"")</f>
        <v/>
      </c>
      <c r="H138" s="4" t="str">
        <f>IFERROR(__xludf.DUMMYFUNCTION("""COMPUTED_VALUE"""),"")</f>
        <v/>
      </c>
      <c r="I138" s="4" t="str">
        <f>IFERROR(__xludf.DUMMYFUNCTION("""COMPUTED_VALUE"""),"")</f>
        <v/>
      </c>
      <c r="J138" s="4" t="str">
        <f>IFERROR(__xludf.DUMMYFUNCTION("""COMPUTED_VALUE"""),"")</f>
        <v/>
      </c>
      <c r="K138" s="4" t="str">
        <f>IFERROR(__xludf.DUMMYFUNCTION("""COMPUTED_VALUE"""),"")</f>
        <v/>
      </c>
      <c r="L138" s="4" t="str">
        <f>IFERROR(__xludf.DUMMYFUNCTION("""COMPUTED_VALUE"""),"")</f>
        <v/>
      </c>
      <c r="M138" s="4" t="str">
        <f>IFERROR(__xludf.DUMMYFUNCTION("""COMPUTED_VALUE"""),"")</f>
        <v/>
      </c>
      <c r="N138" s="4" t="str">
        <f>IFERROR(__xludf.DUMMYFUNCTION("""COMPUTED_VALUE"""),"")</f>
        <v/>
      </c>
      <c r="O138" s="4" t="str">
        <f>IFERROR(__xludf.DUMMYFUNCTION("""COMPUTED_VALUE"""),"")</f>
        <v/>
      </c>
      <c r="P138" s="4" t="str">
        <f>IFERROR(__xludf.DUMMYFUNCTION("""COMPUTED_VALUE"""),"")</f>
        <v/>
      </c>
      <c r="Q138" s="4" t="str">
        <f>IFERROR(__xludf.DUMMYFUNCTION("""COMPUTED_VALUE"""),"")</f>
        <v/>
      </c>
      <c r="R138" s="4" t="str">
        <f>IFERROR(__xludf.DUMMYFUNCTION("""COMPUTED_VALUE"""),"")</f>
        <v/>
      </c>
      <c r="S138" s="4" t="str">
        <f>IFERROR(__xludf.DUMMYFUNCTION("""COMPUTED_VALUE"""),"")</f>
        <v/>
      </c>
      <c r="T138" s="4" t="str">
        <f>IFERROR(__xludf.DUMMYFUNCTION("""COMPUTED_VALUE"""),"")</f>
        <v/>
      </c>
      <c r="U138" s="4" t="str">
        <f>IFERROR(__xludf.DUMMYFUNCTION("""COMPUTED_VALUE"""),"")</f>
        <v/>
      </c>
    </row>
    <row r="139">
      <c r="A139" s="4" t="str">
        <f>IFERROR(__xludf.DUMMYFUNCTION("""COMPUTED_VALUE"""),"")</f>
        <v/>
      </c>
      <c r="B139" s="4" t="str">
        <f>IFERROR(__xludf.DUMMYFUNCTION("""COMPUTED_VALUE"""),"")</f>
        <v/>
      </c>
      <c r="C139" s="4" t="str">
        <f>IFERROR(__xludf.DUMMYFUNCTION("""COMPUTED_VALUE"""),"")</f>
        <v/>
      </c>
      <c r="D139" s="4" t="str">
        <f>IFERROR(__xludf.DUMMYFUNCTION("""COMPUTED_VALUE"""),"")</f>
        <v/>
      </c>
      <c r="E139" s="4" t="str">
        <f>IFERROR(__xludf.DUMMYFUNCTION("""COMPUTED_VALUE"""),"")</f>
        <v/>
      </c>
      <c r="F139" s="4" t="str">
        <f>IFERROR(__xludf.DUMMYFUNCTION("""COMPUTED_VALUE"""),"")</f>
        <v/>
      </c>
      <c r="G139" s="4" t="str">
        <f>IFERROR(__xludf.DUMMYFUNCTION("""COMPUTED_VALUE"""),"")</f>
        <v/>
      </c>
      <c r="H139" s="4" t="str">
        <f>IFERROR(__xludf.DUMMYFUNCTION("""COMPUTED_VALUE"""),"")</f>
        <v/>
      </c>
      <c r="I139" s="4" t="str">
        <f>IFERROR(__xludf.DUMMYFUNCTION("""COMPUTED_VALUE"""),"")</f>
        <v/>
      </c>
      <c r="J139" s="4" t="str">
        <f>IFERROR(__xludf.DUMMYFUNCTION("""COMPUTED_VALUE"""),"")</f>
        <v/>
      </c>
      <c r="K139" s="4" t="str">
        <f>IFERROR(__xludf.DUMMYFUNCTION("""COMPUTED_VALUE"""),"")</f>
        <v/>
      </c>
      <c r="L139" s="4" t="str">
        <f>IFERROR(__xludf.DUMMYFUNCTION("""COMPUTED_VALUE"""),"")</f>
        <v/>
      </c>
      <c r="M139" s="4" t="str">
        <f>IFERROR(__xludf.DUMMYFUNCTION("""COMPUTED_VALUE"""),"")</f>
        <v/>
      </c>
      <c r="N139" s="4" t="str">
        <f>IFERROR(__xludf.DUMMYFUNCTION("""COMPUTED_VALUE"""),"")</f>
        <v/>
      </c>
      <c r="O139" s="4" t="str">
        <f>IFERROR(__xludf.DUMMYFUNCTION("""COMPUTED_VALUE"""),"")</f>
        <v/>
      </c>
      <c r="P139" s="4" t="str">
        <f>IFERROR(__xludf.DUMMYFUNCTION("""COMPUTED_VALUE"""),"")</f>
        <v/>
      </c>
      <c r="Q139" s="4" t="str">
        <f>IFERROR(__xludf.DUMMYFUNCTION("""COMPUTED_VALUE"""),"")</f>
        <v/>
      </c>
      <c r="R139" s="4" t="str">
        <f>IFERROR(__xludf.DUMMYFUNCTION("""COMPUTED_VALUE"""),"")</f>
        <v/>
      </c>
      <c r="S139" s="4" t="str">
        <f>IFERROR(__xludf.DUMMYFUNCTION("""COMPUTED_VALUE"""),"")</f>
        <v/>
      </c>
      <c r="T139" s="4" t="str">
        <f>IFERROR(__xludf.DUMMYFUNCTION("""COMPUTED_VALUE"""),"")</f>
        <v/>
      </c>
      <c r="U139" s="4" t="str">
        <f>IFERROR(__xludf.DUMMYFUNCTION("""COMPUTED_VALUE"""),"")</f>
        <v/>
      </c>
    </row>
    <row r="140">
      <c r="A140" s="4" t="str">
        <f>IFERROR(__xludf.DUMMYFUNCTION("""COMPUTED_VALUE"""),"")</f>
        <v/>
      </c>
      <c r="B140" s="4" t="str">
        <f>IFERROR(__xludf.DUMMYFUNCTION("""COMPUTED_VALUE"""),"")</f>
        <v/>
      </c>
      <c r="C140" s="4" t="str">
        <f>IFERROR(__xludf.DUMMYFUNCTION("""COMPUTED_VALUE"""),"")</f>
        <v/>
      </c>
      <c r="D140" s="4" t="str">
        <f>IFERROR(__xludf.DUMMYFUNCTION("""COMPUTED_VALUE"""),"")</f>
        <v/>
      </c>
      <c r="E140" s="4" t="str">
        <f>IFERROR(__xludf.DUMMYFUNCTION("""COMPUTED_VALUE"""),"")</f>
        <v/>
      </c>
      <c r="F140" s="4" t="str">
        <f>IFERROR(__xludf.DUMMYFUNCTION("""COMPUTED_VALUE"""),"")</f>
        <v/>
      </c>
      <c r="G140" s="4" t="str">
        <f>IFERROR(__xludf.DUMMYFUNCTION("""COMPUTED_VALUE"""),"")</f>
        <v/>
      </c>
      <c r="H140" s="4" t="str">
        <f>IFERROR(__xludf.DUMMYFUNCTION("""COMPUTED_VALUE"""),"")</f>
        <v/>
      </c>
      <c r="I140" s="4" t="str">
        <f>IFERROR(__xludf.DUMMYFUNCTION("""COMPUTED_VALUE"""),"")</f>
        <v/>
      </c>
      <c r="J140" s="4" t="str">
        <f>IFERROR(__xludf.DUMMYFUNCTION("""COMPUTED_VALUE"""),"")</f>
        <v/>
      </c>
      <c r="K140" s="4" t="str">
        <f>IFERROR(__xludf.DUMMYFUNCTION("""COMPUTED_VALUE"""),"")</f>
        <v/>
      </c>
      <c r="L140" s="4" t="str">
        <f>IFERROR(__xludf.DUMMYFUNCTION("""COMPUTED_VALUE"""),"")</f>
        <v/>
      </c>
      <c r="M140" s="4" t="str">
        <f>IFERROR(__xludf.DUMMYFUNCTION("""COMPUTED_VALUE"""),"")</f>
        <v/>
      </c>
      <c r="N140" s="4" t="str">
        <f>IFERROR(__xludf.DUMMYFUNCTION("""COMPUTED_VALUE"""),"")</f>
        <v/>
      </c>
      <c r="O140" s="4" t="str">
        <f>IFERROR(__xludf.DUMMYFUNCTION("""COMPUTED_VALUE"""),"")</f>
        <v/>
      </c>
      <c r="P140" s="4" t="str">
        <f>IFERROR(__xludf.DUMMYFUNCTION("""COMPUTED_VALUE"""),"")</f>
        <v/>
      </c>
      <c r="Q140" s="4" t="str">
        <f>IFERROR(__xludf.DUMMYFUNCTION("""COMPUTED_VALUE"""),"")</f>
        <v/>
      </c>
      <c r="R140" s="4" t="str">
        <f>IFERROR(__xludf.DUMMYFUNCTION("""COMPUTED_VALUE"""),"")</f>
        <v/>
      </c>
      <c r="S140" s="4" t="str">
        <f>IFERROR(__xludf.DUMMYFUNCTION("""COMPUTED_VALUE"""),"")</f>
        <v/>
      </c>
      <c r="T140" s="4" t="str">
        <f>IFERROR(__xludf.DUMMYFUNCTION("""COMPUTED_VALUE"""),"")</f>
        <v/>
      </c>
      <c r="U140" s="4" t="str">
        <f>IFERROR(__xludf.DUMMYFUNCTION("""COMPUTED_VALUE"""),"")</f>
        <v/>
      </c>
    </row>
    <row r="141">
      <c r="A141" s="4" t="str">
        <f>IFERROR(__xludf.DUMMYFUNCTION("""COMPUTED_VALUE"""),"")</f>
        <v/>
      </c>
      <c r="B141" s="4" t="str">
        <f>IFERROR(__xludf.DUMMYFUNCTION("""COMPUTED_VALUE"""),"")</f>
        <v/>
      </c>
      <c r="C141" s="4" t="str">
        <f>IFERROR(__xludf.DUMMYFUNCTION("""COMPUTED_VALUE"""),"")</f>
        <v/>
      </c>
      <c r="D141" s="4" t="str">
        <f>IFERROR(__xludf.DUMMYFUNCTION("""COMPUTED_VALUE"""),"")</f>
        <v/>
      </c>
      <c r="E141" s="4" t="str">
        <f>IFERROR(__xludf.DUMMYFUNCTION("""COMPUTED_VALUE"""),"")</f>
        <v/>
      </c>
      <c r="F141" s="4" t="str">
        <f>IFERROR(__xludf.DUMMYFUNCTION("""COMPUTED_VALUE"""),"")</f>
        <v/>
      </c>
      <c r="G141" s="4" t="str">
        <f>IFERROR(__xludf.DUMMYFUNCTION("""COMPUTED_VALUE"""),"")</f>
        <v/>
      </c>
      <c r="H141" s="4" t="str">
        <f>IFERROR(__xludf.DUMMYFUNCTION("""COMPUTED_VALUE"""),"")</f>
        <v/>
      </c>
      <c r="I141" s="4" t="str">
        <f>IFERROR(__xludf.DUMMYFUNCTION("""COMPUTED_VALUE"""),"")</f>
        <v/>
      </c>
      <c r="J141" s="4" t="str">
        <f>IFERROR(__xludf.DUMMYFUNCTION("""COMPUTED_VALUE"""),"")</f>
        <v/>
      </c>
      <c r="K141" s="4" t="str">
        <f>IFERROR(__xludf.DUMMYFUNCTION("""COMPUTED_VALUE"""),"")</f>
        <v/>
      </c>
      <c r="L141" s="4" t="str">
        <f>IFERROR(__xludf.DUMMYFUNCTION("""COMPUTED_VALUE"""),"")</f>
        <v/>
      </c>
      <c r="M141" s="4" t="str">
        <f>IFERROR(__xludf.DUMMYFUNCTION("""COMPUTED_VALUE"""),"")</f>
        <v/>
      </c>
      <c r="N141" s="4" t="str">
        <f>IFERROR(__xludf.DUMMYFUNCTION("""COMPUTED_VALUE"""),"")</f>
        <v/>
      </c>
      <c r="O141" s="4" t="str">
        <f>IFERROR(__xludf.DUMMYFUNCTION("""COMPUTED_VALUE"""),"")</f>
        <v/>
      </c>
      <c r="P141" s="4" t="str">
        <f>IFERROR(__xludf.DUMMYFUNCTION("""COMPUTED_VALUE"""),"")</f>
        <v/>
      </c>
      <c r="Q141" s="4" t="str">
        <f>IFERROR(__xludf.DUMMYFUNCTION("""COMPUTED_VALUE"""),"")</f>
        <v/>
      </c>
      <c r="R141" s="4" t="str">
        <f>IFERROR(__xludf.DUMMYFUNCTION("""COMPUTED_VALUE"""),"")</f>
        <v/>
      </c>
      <c r="S141" s="4" t="str">
        <f>IFERROR(__xludf.DUMMYFUNCTION("""COMPUTED_VALUE"""),"")</f>
        <v/>
      </c>
      <c r="T141" s="4" t="str">
        <f>IFERROR(__xludf.DUMMYFUNCTION("""COMPUTED_VALUE"""),"")</f>
        <v/>
      </c>
      <c r="U141" s="4" t="str">
        <f>IFERROR(__xludf.DUMMYFUNCTION("""COMPUTED_VALUE"""),"")</f>
        <v/>
      </c>
    </row>
    <row r="142">
      <c r="A142" s="4" t="str">
        <f>IFERROR(__xludf.DUMMYFUNCTION("""COMPUTED_VALUE"""),"")</f>
        <v/>
      </c>
      <c r="B142" s="4" t="str">
        <f>IFERROR(__xludf.DUMMYFUNCTION("""COMPUTED_VALUE"""),"")</f>
        <v/>
      </c>
      <c r="C142" s="4" t="str">
        <f>IFERROR(__xludf.DUMMYFUNCTION("""COMPUTED_VALUE"""),"")</f>
        <v/>
      </c>
      <c r="D142" s="4" t="str">
        <f>IFERROR(__xludf.DUMMYFUNCTION("""COMPUTED_VALUE"""),"")</f>
        <v/>
      </c>
      <c r="E142" s="4" t="str">
        <f>IFERROR(__xludf.DUMMYFUNCTION("""COMPUTED_VALUE"""),"")</f>
        <v/>
      </c>
      <c r="F142" s="4" t="str">
        <f>IFERROR(__xludf.DUMMYFUNCTION("""COMPUTED_VALUE"""),"")</f>
        <v/>
      </c>
      <c r="G142" s="4" t="str">
        <f>IFERROR(__xludf.DUMMYFUNCTION("""COMPUTED_VALUE"""),"")</f>
        <v/>
      </c>
      <c r="H142" s="4" t="str">
        <f>IFERROR(__xludf.DUMMYFUNCTION("""COMPUTED_VALUE"""),"")</f>
        <v/>
      </c>
      <c r="I142" s="4" t="str">
        <f>IFERROR(__xludf.DUMMYFUNCTION("""COMPUTED_VALUE"""),"")</f>
        <v/>
      </c>
      <c r="J142" s="4" t="str">
        <f>IFERROR(__xludf.DUMMYFUNCTION("""COMPUTED_VALUE"""),"")</f>
        <v/>
      </c>
      <c r="K142" s="4" t="str">
        <f>IFERROR(__xludf.DUMMYFUNCTION("""COMPUTED_VALUE"""),"")</f>
        <v/>
      </c>
      <c r="L142" s="4" t="str">
        <f>IFERROR(__xludf.DUMMYFUNCTION("""COMPUTED_VALUE"""),"")</f>
        <v/>
      </c>
      <c r="M142" s="4" t="str">
        <f>IFERROR(__xludf.DUMMYFUNCTION("""COMPUTED_VALUE"""),"")</f>
        <v/>
      </c>
      <c r="N142" s="4" t="str">
        <f>IFERROR(__xludf.DUMMYFUNCTION("""COMPUTED_VALUE"""),"")</f>
        <v/>
      </c>
      <c r="O142" s="4" t="str">
        <f>IFERROR(__xludf.DUMMYFUNCTION("""COMPUTED_VALUE"""),"")</f>
        <v/>
      </c>
      <c r="P142" s="4" t="str">
        <f>IFERROR(__xludf.DUMMYFUNCTION("""COMPUTED_VALUE"""),"")</f>
        <v/>
      </c>
      <c r="Q142" s="4" t="str">
        <f>IFERROR(__xludf.DUMMYFUNCTION("""COMPUTED_VALUE"""),"")</f>
        <v/>
      </c>
      <c r="R142" s="4" t="str">
        <f>IFERROR(__xludf.DUMMYFUNCTION("""COMPUTED_VALUE"""),"")</f>
        <v/>
      </c>
      <c r="S142" s="4" t="str">
        <f>IFERROR(__xludf.DUMMYFUNCTION("""COMPUTED_VALUE"""),"")</f>
        <v/>
      </c>
      <c r="T142" s="4" t="str">
        <f>IFERROR(__xludf.DUMMYFUNCTION("""COMPUTED_VALUE"""),"")</f>
        <v/>
      </c>
      <c r="U142" s="4" t="str">
        <f>IFERROR(__xludf.DUMMYFUNCTION("""COMPUTED_VALUE"""),"")</f>
        <v/>
      </c>
    </row>
    <row r="143">
      <c r="A143" s="4" t="str">
        <f>IFERROR(__xludf.DUMMYFUNCTION("""COMPUTED_VALUE"""),"")</f>
        <v/>
      </c>
      <c r="B143" s="4" t="str">
        <f>IFERROR(__xludf.DUMMYFUNCTION("""COMPUTED_VALUE"""),"")</f>
        <v/>
      </c>
      <c r="C143" s="4" t="str">
        <f>IFERROR(__xludf.DUMMYFUNCTION("""COMPUTED_VALUE"""),"")</f>
        <v/>
      </c>
      <c r="D143" s="4" t="str">
        <f>IFERROR(__xludf.DUMMYFUNCTION("""COMPUTED_VALUE"""),"")</f>
        <v/>
      </c>
      <c r="E143" s="4" t="str">
        <f>IFERROR(__xludf.DUMMYFUNCTION("""COMPUTED_VALUE"""),"")</f>
        <v/>
      </c>
      <c r="F143" s="4" t="str">
        <f>IFERROR(__xludf.DUMMYFUNCTION("""COMPUTED_VALUE"""),"")</f>
        <v/>
      </c>
      <c r="G143" s="4" t="str">
        <f>IFERROR(__xludf.DUMMYFUNCTION("""COMPUTED_VALUE"""),"")</f>
        <v/>
      </c>
      <c r="H143" s="4" t="str">
        <f>IFERROR(__xludf.DUMMYFUNCTION("""COMPUTED_VALUE"""),"")</f>
        <v/>
      </c>
      <c r="I143" s="4" t="str">
        <f>IFERROR(__xludf.DUMMYFUNCTION("""COMPUTED_VALUE"""),"")</f>
        <v/>
      </c>
      <c r="J143" s="4" t="str">
        <f>IFERROR(__xludf.DUMMYFUNCTION("""COMPUTED_VALUE"""),"")</f>
        <v/>
      </c>
      <c r="K143" s="4" t="str">
        <f>IFERROR(__xludf.DUMMYFUNCTION("""COMPUTED_VALUE"""),"")</f>
        <v/>
      </c>
      <c r="L143" s="4" t="str">
        <f>IFERROR(__xludf.DUMMYFUNCTION("""COMPUTED_VALUE"""),"")</f>
        <v/>
      </c>
      <c r="M143" s="4" t="str">
        <f>IFERROR(__xludf.DUMMYFUNCTION("""COMPUTED_VALUE"""),"")</f>
        <v/>
      </c>
      <c r="N143" s="4" t="str">
        <f>IFERROR(__xludf.DUMMYFUNCTION("""COMPUTED_VALUE"""),"")</f>
        <v/>
      </c>
      <c r="O143" s="4" t="str">
        <f>IFERROR(__xludf.DUMMYFUNCTION("""COMPUTED_VALUE"""),"")</f>
        <v/>
      </c>
      <c r="P143" s="4" t="str">
        <f>IFERROR(__xludf.DUMMYFUNCTION("""COMPUTED_VALUE"""),"")</f>
        <v/>
      </c>
      <c r="Q143" s="4" t="str">
        <f>IFERROR(__xludf.DUMMYFUNCTION("""COMPUTED_VALUE"""),"")</f>
        <v/>
      </c>
      <c r="R143" s="4" t="str">
        <f>IFERROR(__xludf.DUMMYFUNCTION("""COMPUTED_VALUE"""),"")</f>
        <v/>
      </c>
      <c r="S143" s="4" t="str">
        <f>IFERROR(__xludf.DUMMYFUNCTION("""COMPUTED_VALUE"""),"")</f>
        <v/>
      </c>
      <c r="T143" s="4" t="str">
        <f>IFERROR(__xludf.DUMMYFUNCTION("""COMPUTED_VALUE"""),"")</f>
        <v/>
      </c>
      <c r="U143" s="4" t="str">
        <f>IFERROR(__xludf.DUMMYFUNCTION("""COMPUTED_VALUE"""),"")</f>
        <v/>
      </c>
    </row>
    <row r="144">
      <c r="A144" s="4" t="str">
        <f>IFERROR(__xludf.DUMMYFUNCTION("""COMPUTED_VALUE"""),"")</f>
        <v/>
      </c>
      <c r="B144" s="4" t="str">
        <f>IFERROR(__xludf.DUMMYFUNCTION("""COMPUTED_VALUE"""),"")</f>
        <v/>
      </c>
      <c r="C144" s="4" t="str">
        <f>IFERROR(__xludf.DUMMYFUNCTION("""COMPUTED_VALUE"""),"")</f>
        <v/>
      </c>
      <c r="D144" s="4" t="str">
        <f>IFERROR(__xludf.DUMMYFUNCTION("""COMPUTED_VALUE"""),"")</f>
        <v/>
      </c>
      <c r="E144" s="4" t="str">
        <f>IFERROR(__xludf.DUMMYFUNCTION("""COMPUTED_VALUE"""),"")</f>
        <v/>
      </c>
      <c r="F144" s="4" t="str">
        <f>IFERROR(__xludf.DUMMYFUNCTION("""COMPUTED_VALUE"""),"")</f>
        <v/>
      </c>
      <c r="G144" s="4" t="str">
        <f>IFERROR(__xludf.DUMMYFUNCTION("""COMPUTED_VALUE"""),"")</f>
        <v/>
      </c>
      <c r="H144" s="4" t="str">
        <f>IFERROR(__xludf.DUMMYFUNCTION("""COMPUTED_VALUE"""),"")</f>
        <v/>
      </c>
      <c r="I144" s="4" t="str">
        <f>IFERROR(__xludf.DUMMYFUNCTION("""COMPUTED_VALUE"""),"")</f>
        <v/>
      </c>
      <c r="J144" s="4" t="str">
        <f>IFERROR(__xludf.DUMMYFUNCTION("""COMPUTED_VALUE"""),"")</f>
        <v/>
      </c>
      <c r="K144" s="4" t="str">
        <f>IFERROR(__xludf.DUMMYFUNCTION("""COMPUTED_VALUE"""),"")</f>
        <v/>
      </c>
      <c r="L144" s="4" t="str">
        <f>IFERROR(__xludf.DUMMYFUNCTION("""COMPUTED_VALUE"""),"")</f>
        <v/>
      </c>
      <c r="M144" s="4" t="str">
        <f>IFERROR(__xludf.DUMMYFUNCTION("""COMPUTED_VALUE"""),"")</f>
        <v/>
      </c>
      <c r="N144" s="4" t="str">
        <f>IFERROR(__xludf.DUMMYFUNCTION("""COMPUTED_VALUE"""),"")</f>
        <v/>
      </c>
      <c r="O144" s="4" t="str">
        <f>IFERROR(__xludf.DUMMYFUNCTION("""COMPUTED_VALUE"""),"")</f>
        <v/>
      </c>
      <c r="P144" s="4" t="str">
        <f>IFERROR(__xludf.DUMMYFUNCTION("""COMPUTED_VALUE"""),"")</f>
        <v/>
      </c>
      <c r="Q144" s="4" t="str">
        <f>IFERROR(__xludf.DUMMYFUNCTION("""COMPUTED_VALUE"""),"")</f>
        <v/>
      </c>
      <c r="R144" s="4" t="str">
        <f>IFERROR(__xludf.DUMMYFUNCTION("""COMPUTED_VALUE"""),"")</f>
        <v/>
      </c>
      <c r="S144" s="4" t="str">
        <f>IFERROR(__xludf.DUMMYFUNCTION("""COMPUTED_VALUE"""),"")</f>
        <v/>
      </c>
      <c r="T144" s="4" t="str">
        <f>IFERROR(__xludf.DUMMYFUNCTION("""COMPUTED_VALUE"""),"")</f>
        <v/>
      </c>
      <c r="U144" s="4" t="str">
        <f>IFERROR(__xludf.DUMMYFUNCTION("""COMPUTED_VALUE"""),"")</f>
        <v/>
      </c>
    </row>
    <row r="145">
      <c r="A145" s="4" t="str">
        <f>IFERROR(__xludf.DUMMYFUNCTION("""COMPUTED_VALUE"""),"")</f>
        <v/>
      </c>
      <c r="B145" s="4" t="str">
        <f>IFERROR(__xludf.DUMMYFUNCTION("""COMPUTED_VALUE"""),"")</f>
        <v/>
      </c>
      <c r="C145" s="4" t="str">
        <f>IFERROR(__xludf.DUMMYFUNCTION("""COMPUTED_VALUE"""),"")</f>
        <v/>
      </c>
      <c r="D145" s="4" t="str">
        <f>IFERROR(__xludf.DUMMYFUNCTION("""COMPUTED_VALUE"""),"")</f>
        <v/>
      </c>
      <c r="E145" s="4" t="str">
        <f>IFERROR(__xludf.DUMMYFUNCTION("""COMPUTED_VALUE"""),"")</f>
        <v/>
      </c>
      <c r="F145" s="4" t="str">
        <f>IFERROR(__xludf.DUMMYFUNCTION("""COMPUTED_VALUE"""),"")</f>
        <v/>
      </c>
      <c r="G145" s="4" t="str">
        <f>IFERROR(__xludf.DUMMYFUNCTION("""COMPUTED_VALUE"""),"")</f>
        <v/>
      </c>
      <c r="H145" s="4" t="str">
        <f>IFERROR(__xludf.DUMMYFUNCTION("""COMPUTED_VALUE"""),"")</f>
        <v/>
      </c>
      <c r="I145" s="4" t="str">
        <f>IFERROR(__xludf.DUMMYFUNCTION("""COMPUTED_VALUE"""),"")</f>
        <v/>
      </c>
      <c r="J145" s="4" t="str">
        <f>IFERROR(__xludf.DUMMYFUNCTION("""COMPUTED_VALUE"""),"")</f>
        <v/>
      </c>
      <c r="K145" s="4" t="str">
        <f>IFERROR(__xludf.DUMMYFUNCTION("""COMPUTED_VALUE"""),"")</f>
        <v/>
      </c>
      <c r="L145" s="4" t="str">
        <f>IFERROR(__xludf.DUMMYFUNCTION("""COMPUTED_VALUE"""),"")</f>
        <v/>
      </c>
      <c r="M145" s="4" t="str">
        <f>IFERROR(__xludf.DUMMYFUNCTION("""COMPUTED_VALUE"""),"")</f>
        <v/>
      </c>
      <c r="N145" s="4" t="str">
        <f>IFERROR(__xludf.DUMMYFUNCTION("""COMPUTED_VALUE"""),"")</f>
        <v/>
      </c>
      <c r="O145" s="4" t="str">
        <f>IFERROR(__xludf.DUMMYFUNCTION("""COMPUTED_VALUE"""),"")</f>
        <v/>
      </c>
      <c r="P145" s="4" t="str">
        <f>IFERROR(__xludf.DUMMYFUNCTION("""COMPUTED_VALUE"""),"")</f>
        <v/>
      </c>
      <c r="Q145" s="4" t="str">
        <f>IFERROR(__xludf.DUMMYFUNCTION("""COMPUTED_VALUE"""),"")</f>
        <v/>
      </c>
      <c r="R145" s="4" t="str">
        <f>IFERROR(__xludf.DUMMYFUNCTION("""COMPUTED_VALUE"""),"")</f>
        <v/>
      </c>
      <c r="S145" s="4" t="str">
        <f>IFERROR(__xludf.DUMMYFUNCTION("""COMPUTED_VALUE"""),"")</f>
        <v/>
      </c>
      <c r="T145" s="4" t="str">
        <f>IFERROR(__xludf.DUMMYFUNCTION("""COMPUTED_VALUE"""),"")</f>
        <v/>
      </c>
      <c r="U145" s="4" t="str">
        <f>IFERROR(__xludf.DUMMYFUNCTION("""COMPUTED_VALUE"""),"")</f>
        <v/>
      </c>
    </row>
    <row r="146">
      <c r="A146" s="4" t="str">
        <f>IFERROR(__xludf.DUMMYFUNCTION("""COMPUTED_VALUE"""),"")</f>
        <v/>
      </c>
      <c r="B146" s="4" t="str">
        <f>IFERROR(__xludf.DUMMYFUNCTION("""COMPUTED_VALUE"""),"")</f>
        <v/>
      </c>
      <c r="C146" s="4" t="str">
        <f>IFERROR(__xludf.DUMMYFUNCTION("""COMPUTED_VALUE"""),"")</f>
        <v/>
      </c>
      <c r="D146" s="4" t="str">
        <f>IFERROR(__xludf.DUMMYFUNCTION("""COMPUTED_VALUE"""),"")</f>
        <v/>
      </c>
      <c r="E146" s="4" t="str">
        <f>IFERROR(__xludf.DUMMYFUNCTION("""COMPUTED_VALUE"""),"")</f>
        <v/>
      </c>
      <c r="F146" s="4" t="str">
        <f>IFERROR(__xludf.DUMMYFUNCTION("""COMPUTED_VALUE"""),"")</f>
        <v/>
      </c>
      <c r="G146" s="4" t="str">
        <f>IFERROR(__xludf.DUMMYFUNCTION("""COMPUTED_VALUE"""),"")</f>
        <v/>
      </c>
      <c r="H146" s="4" t="str">
        <f>IFERROR(__xludf.DUMMYFUNCTION("""COMPUTED_VALUE"""),"")</f>
        <v/>
      </c>
      <c r="I146" s="4" t="str">
        <f>IFERROR(__xludf.DUMMYFUNCTION("""COMPUTED_VALUE"""),"")</f>
        <v/>
      </c>
      <c r="J146" s="4" t="str">
        <f>IFERROR(__xludf.DUMMYFUNCTION("""COMPUTED_VALUE"""),"")</f>
        <v/>
      </c>
      <c r="K146" s="4" t="str">
        <f>IFERROR(__xludf.DUMMYFUNCTION("""COMPUTED_VALUE"""),"")</f>
        <v/>
      </c>
      <c r="L146" s="4" t="str">
        <f>IFERROR(__xludf.DUMMYFUNCTION("""COMPUTED_VALUE"""),"")</f>
        <v/>
      </c>
      <c r="M146" s="4" t="str">
        <f>IFERROR(__xludf.DUMMYFUNCTION("""COMPUTED_VALUE"""),"")</f>
        <v/>
      </c>
      <c r="N146" s="4" t="str">
        <f>IFERROR(__xludf.DUMMYFUNCTION("""COMPUTED_VALUE"""),"")</f>
        <v/>
      </c>
      <c r="O146" s="4" t="str">
        <f>IFERROR(__xludf.DUMMYFUNCTION("""COMPUTED_VALUE"""),"")</f>
        <v/>
      </c>
      <c r="P146" s="4" t="str">
        <f>IFERROR(__xludf.DUMMYFUNCTION("""COMPUTED_VALUE"""),"")</f>
        <v/>
      </c>
      <c r="Q146" s="4" t="str">
        <f>IFERROR(__xludf.DUMMYFUNCTION("""COMPUTED_VALUE"""),"")</f>
        <v/>
      </c>
      <c r="R146" s="4" t="str">
        <f>IFERROR(__xludf.DUMMYFUNCTION("""COMPUTED_VALUE"""),"")</f>
        <v/>
      </c>
      <c r="S146" s="4" t="str">
        <f>IFERROR(__xludf.DUMMYFUNCTION("""COMPUTED_VALUE"""),"")</f>
        <v/>
      </c>
      <c r="T146" s="4" t="str">
        <f>IFERROR(__xludf.DUMMYFUNCTION("""COMPUTED_VALUE"""),"")</f>
        <v/>
      </c>
      <c r="U146" s="4" t="str">
        <f>IFERROR(__xludf.DUMMYFUNCTION("""COMPUTED_VALUE"""),"")</f>
        <v/>
      </c>
    </row>
    <row r="147">
      <c r="A147" s="4" t="str">
        <f>IFERROR(__xludf.DUMMYFUNCTION("""COMPUTED_VALUE"""),"")</f>
        <v/>
      </c>
      <c r="B147" s="4" t="str">
        <f>IFERROR(__xludf.DUMMYFUNCTION("""COMPUTED_VALUE"""),"")</f>
        <v/>
      </c>
      <c r="C147" s="4" t="str">
        <f>IFERROR(__xludf.DUMMYFUNCTION("""COMPUTED_VALUE"""),"")</f>
        <v/>
      </c>
      <c r="D147" s="4" t="str">
        <f>IFERROR(__xludf.DUMMYFUNCTION("""COMPUTED_VALUE"""),"")</f>
        <v/>
      </c>
      <c r="E147" s="4" t="str">
        <f>IFERROR(__xludf.DUMMYFUNCTION("""COMPUTED_VALUE"""),"")</f>
        <v/>
      </c>
      <c r="F147" s="4" t="str">
        <f>IFERROR(__xludf.DUMMYFUNCTION("""COMPUTED_VALUE"""),"")</f>
        <v/>
      </c>
      <c r="G147" s="4" t="str">
        <f>IFERROR(__xludf.DUMMYFUNCTION("""COMPUTED_VALUE"""),"")</f>
        <v/>
      </c>
      <c r="H147" s="4" t="str">
        <f>IFERROR(__xludf.DUMMYFUNCTION("""COMPUTED_VALUE"""),"")</f>
        <v/>
      </c>
      <c r="I147" s="4" t="str">
        <f>IFERROR(__xludf.DUMMYFUNCTION("""COMPUTED_VALUE"""),"")</f>
        <v/>
      </c>
      <c r="J147" s="4" t="str">
        <f>IFERROR(__xludf.DUMMYFUNCTION("""COMPUTED_VALUE"""),"")</f>
        <v/>
      </c>
      <c r="K147" s="4" t="str">
        <f>IFERROR(__xludf.DUMMYFUNCTION("""COMPUTED_VALUE"""),"")</f>
        <v/>
      </c>
      <c r="L147" s="4" t="str">
        <f>IFERROR(__xludf.DUMMYFUNCTION("""COMPUTED_VALUE"""),"")</f>
        <v/>
      </c>
      <c r="M147" s="4" t="str">
        <f>IFERROR(__xludf.DUMMYFUNCTION("""COMPUTED_VALUE"""),"")</f>
        <v/>
      </c>
      <c r="N147" s="4" t="str">
        <f>IFERROR(__xludf.DUMMYFUNCTION("""COMPUTED_VALUE"""),"")</f>
        <v/>
      </c>
      <c r="O147" s="4" t="str">
        <f>IFERROR(__xludf.DUMMYFUNCTION("""COMPUTED_VALUE"""),"")</f>
        <v/>
      </c>
      <c r="P147" s="4" t="str">
        <f>IFERROR(__xludf.DUMMYFUNCTION("""COMPUTED_VALUE"""),"")</f>
        <v/>
      </c>
      <c r="Q147" s="4" t="str">
        <f>IFERROR(__xludf.DUMMYFUNCTION("""COMPUTED_VALUE"""),"")</f>
        <v/>
      </c>
      <c r="R147" s="4" t="str">
        <f>IFERROR(__xludf.DUMMYFUNCTION("""COMPUTED_VALUE"""),"")</f>
        <v/>
      </c>
      <c r="S147" s="4" t="str">
        <f>IFERROR(__xludf.DUMMYFUNCTION("""COMPUTED_VALUE"""),"")</f>
        <v/>
      </c>
      <c r="T147" s="4" t="str">
        <f>IFERROR(__xludf.DUMMYFUNCTION("""COMPUTED_VALUE"""),"")</f>
        <v/>
      </c>
      <c r="U147" s="4" t="str">
        <f>IFERROR(__xludf.DUMMYFUNCTION("""COMPUTED_VALUE"""),"")</f>
        <v/>
      </c>
    </row>
    <row r="148">
      <c r="A148" s="4" t="str">
        <f>IFERROR(__xludf.DUMMYFUNCTION("""COMPUTED_VALUE"""),"")</f>
        <v/>
      </c>
      <c r="B148" s="4" t="str">
        <f>IFERROR(__xludf.DUMMYFUNCTION("""COMPUTED_VALUE"""),"")</f>
        <v/>
      </c>
      <c r="C148" s="4" t="str">
        <f>IFERROR(__xludf.DUMMYFUNCTION("""COMPUTED_VALUE"""),"")</f>
        <v/>
      </c>
      <c r="D148" s="4" t="str">
        <f>IFERROR(__xludf.DUMMYFUNCTION("""COMPUTED_VALUE"""),"")</f>
        <v/>
      </c>
      <c r="E148" s="4" t="str">
        <f>IFERROR(__xludf.DUMMYFUNCTION("""COMPUTED_VALUE"""),"")</f>
        <v/>
      </c>
      <c r="F148" s="4" t="str">
        <f>IFERROR(__xludf.DUMMYFUNCTION("""COMPUTED_VALUE"""),"")</f>
        <v/>
      </c>
      <c r="G148" s="4" t="str">
        <f>IFERROR(__xludf.DUMMYFUNCTION("""COMPUTED_VALUE"""),"")</f>
        <v/>
      </c>
      <c r="H148" s="4" t="str">
        <f>IFERROR(__xludf.DUMMYFUNCTION("""COMPUTED_VALUE"""),"")</f>
        <v/>
      </c>
      <c r="I148" s="4" t="str">
        <f>IFERROR(__xludf.DUMMYFUNCTION("""COMPUTED_VALUE"""),"")</f>
        <v/>
      </c>
      <c r="J148" s="4" t="str">
        <f>IFERROR(__xludf.DUMMYFUNCTION("""COMPUTED_VALUE"""),"")</f>
        <v/>
      </c>
      <c r="K148" s="4" t="str">
        <f>IFERROR(__xludf.DUMMYFUNCTION("""COMPUTED_VALUE"""),"")</f>
        <v/>
      </c>
      <c r="L148" s="4" t="str">
        <f>IFERROR(__xludf.DUMMYFUNCTION("""COMPUTED_VALUE"""),"")</f>
        <v/>
      </c>
      <c r="M148" s="4" t="str">
        <f>IFERROR(__xludf.DUMMYFUNCTION("""COMPUTED_VALUE"""),"")</f>
        <v/>
      </c>
      <c r="N148" s="4" t="str">
        <f>IFERROR(__xludf.DUMMYFUNCTION("""COMPUTED_VALUE"""),"")</f>
        <v/>
      </c>
      <c r="O148" s="4" t="str">
        <f>IFERROR(__xludf.DUMMYFUNCTION("""COMPUTED_VALUE"""),"")</f>
        <v/>
      </c>
      <c r="P148" s="4" t="str">
        <f>IFERROR(__xludf.DUMMYFUNCTION("""COMPUTED_VALUE"""),"")</f>
        <v/>
      </c>
      <c r="Q148" s="4" t="str">
        <f>IFERROR(__xludf.DUMMYFUNCTION("""COMPUTED_VALUE"""),"")</f>
        <v/>
      </c>
      <c r="R148" s="4" t="str">
        <f>IFERROR(__xludf.DUMMYFUNCTION("""COMPUTED_VALUE"""),"")</f>
        <v/>
      </c>
      <c r="S148" s="4" t="str">
        <f>IFERROR(__xludf.DUMMYFUNCTION("""COMPUTED_VALUE"""),"")</f>
        <v/>
      </c>
      <c r="T148" s="4" t="str">
        <f>IFERROR(__xludf.DUMMYFUNCTION("""COMPUTED_VALUE"""),"")</f>
        <v/>
      </c>
      <c r="U148" s="4" t="str">
        <f>IFERROR(__xludf.DUMMYFUNCTION("""COMPUTED_VALUE"""),"")</f>
        <v/>
      </c>
    </row>
    <row r="149">
      <c r="A149" s="4" t="str">
        <f>IFERROR(__xludf.DUMMYFUNCTION("""COMPUTED_VALUE"""),"")</f>
        <v/>
      </c>
      <c r="B149" s="4" t="str">
        <f>IFERROR(__xludf.DUMMYFUNCTION("""COMPUTED_VALUE"""),"")</f>
        <v/>
      </c>
      <c r="C149" s="4" t="str">
        <f>IFERROR(__xludf.DUMMYFUNCTION("""COMPUTED_VALUE"""),"")</f>
        <v/>
      </c>
      <c r="D149" s="4" t="str">
        <f>IFERROR(__xludf.DUMMYFUNCTION("""COMPUTED_VALUE"""),"")</f>
        <v/>
      </c>
      <c r="E149" s="4" t="str">
        <f>IFERROR(__xludf.DUMMYFUNCTION("""COMPUTED_VALUE"""),"")</f>
        <v/>
      </c>
      <c r="F149" s="4" t="str">
        <f>IFERROR(__xludf.DUMMYFUNCTION("""COMPUTED_VALUE"""),"")</f>
        <v/>
      </c>
      <c r="G149" s="4" t="str">
        <f>IFERROR(__xludf.DUMMYFUNCTION("""COMPUTED_VALUE"""),"")</f>
        <v/>
      </c>
      <c r="H149" s="4" t="str">
        <f>IFERROR(__xludf.DUMMYFUNCTION("""COMPUTED_VALUE"""),"")</f>
        <v/>
      </c>
      <c r="I149" s="4" t="str">
        <f>IFERROR(__xludf.DUMMYFUNCTION("""COMPUTED_VALUE"""),"")</f>
        <v/>
      </c>
      <c r="J149" s="4" t="str">
        <f>IFERROR(__xludf.DUMMYFUNCTION("""COMPUTED_VALUE"""),"")</f>
        <v/>
      </c>
      <c r="K149" s="4" t="str">
        <f>IFERROR(__xludf.DUMMYFUNCTION("""COMPUTED_VALUE"""),"")</f>
        <v/>
      </c>
      <c r="L149" s="4" t="str">
        <f>IFERROR(__xludf.DUMMYFUNCTION("""COMPUTED_VALUE"""),"")</f>
        <v/>
      </c>
      <c r="M149" s="4" t="str">
        <f>IFERROR(__xludf.DUMMYFUNCTION("""COMPUTED_VALUE"""),"")</f>
        <v/>
      </c>
      <c r="N149" s="4" t="str">
        <f>IFERROR(__xludf.DUMMYFUNCTION("""COMPUTED_VALUE"""),"")</f>
        <v/>
      </c>
      <c r="O149" s="4" t="str">
        <f>IFERROR(__xludf.DUMMYFUNCTION("""COMPUTED_VALUE"""),"")</f>
        <v/>
      </c>
      <c r="P149" s="4" t="str">
        <f>IFERROR(__xludf.DUMMYFUNCTION("""COMPUTED_VALUE"""),"")</f>
        <v/>
      </c>
      <c r="Q149" s="4" t="str">
        <f>IFERROR(__xludf.DUMMYFUNCTION("""COMPUTED_VALUE"""),"")</f>
        <v/>
      </c>
      <c r="R149" s="4" t="str">
        <f>IFERROR(__xludf.DUMMYFUNCTION("""COMPUTED_VALUE"""),"")</f>
        <v/>
      </c>
      <c r="S149" s="4" t="str">
        <f>IFERROR(__xludf.DUMMYFUNCTION("""COMPUTED_VALUE"""),"")</f>
        <v/>
      </c>
      <c r="T149" s="4" t="str">
        <f>IFERROR(__xludf.DUMMYFUNCTION("""COMPUTED_VALUE"""),"")</f>
        <v/>
      </c>
      <c r="U149" s="4" t="str">
        <f>IFERROR(__xludf.DUMMYFUNCTION("""COMPUTED_VALUE"""),"")</f>
        <v/>
      </c>
    </row>
    <row r="150">
      <c r="A150" s="4" t="str">
        <f>IFERROR(__xludf.DUMMYFUNCTION("""COMPUTED_VALUE"""),"")</f>
        <v/>
      </c>
      <c r="B150" s="4" t="str">
        <f>IFERROR(__xludf.DUMMYFUNCTION("""COMPUTED_VALUE"""),"")</f>
        <v/>
      </c>
      <c r="C150" s="4" t="str">
        <f>IFERROR(__xludf.DUMMYFUNCTION("""COMPUTED_VALUE"""),"")</f>
        <v/>
      </c>
      <c r="D150" s="4" t="str">
        <f>IFERROR(__xludf.DUMMYFUNCTION("""COMPUTED_VALUE"""),"")</f>
        <v/>
      </c>
      <c r="E150" s="4" t="str">
        <f>IFERROR(__xludf.DUMMYFUNCTION("""COMPUTED_VALUE"""),"")</f>
        <v/>
      </c>
      <c r="F150" s="4" t="str">
        <f>IFERROR(__xludf.DUMMYFUNCTION("""COMPUTED_VALUE"""),"")</f>
        <v/>
      </c>
      <c r="G150" s="4" t="str">
        <f>IFERROR(__xludf.DUMMYFUNCTION("""COMPUTED_VALUE"""),"")</f>
        <v/>
      </c>
      <c r="H150" s="4" t="str">
        <f>IFERROR(__xludf.DUMMYFUNCTION("""COMPUTED_VALUE"""),"")</f>
        <v/>
      </c>
      <c r="I150" s="4" t="str">
        <f>IFERROR(__xludf.DUMMYFUNCTION("""COMPUTED_VALUE"""),"")</f>
        <v/>
      </c>
      <c r="J150" s="4" t="str">
        <f>IFERROR(__xludf.DUMMYFUNCTION("""COMPUTED_VALUE"""),"")</f>
        <v/>
      </c>
      <c r="K150" s="4" t="str">
        <f>IFERROR(__xludf.DUMMYFUNCTION("""COMPUTED_VALUE"""),"")</f>
        <v/>
      </c>
      <c r="L150" s="4" t="str">
        <f>IFERROR(__xludf.DUMMYFUNCTION("""COMPUTED_VALUE"""),"")</f>
        <v/>
      </c>
      <c r="M150" s="4" t="str">
        <f>IFERROR(__xludf.DUMMYFUNCTION("""COMPUTED_VALUE"""),"")</f>
        <v/>
      </c>
      <c r="N150" s="4" t="str">
        <f>IFERROR(__xludf.DUMMYFUNCTION("""COMPUTED_VALUE"""),"")</f>
        <v/>
      </c>
      <c r="O150" s="4" t="str">
        <f>IFERROR(__xludf.DUMMYFUNCTION("""COMPUTED_VALUE"""),"")</f>
        <v/>
      </c>
      <c r="P150" s="4" t="str">
        <f>IFERROR(__xludf.DUMMYFUNCTION("""COMPUTED_VALUE"""),"")</f>
        <v/>
      </c>
      <c r="Q150" s="4" t="str">
        <f>IFERROR(__xludf.DUMMYFUNCTION("""COMPUTED_VALUE"""),"")</f>
        <v/>
      </c>
      <c r="R150" s="4" t="str">
        <f>IFERROR(__xludf.DUMMYFUNCTION("""COMPUTED_VALUE"""),"")</f>
        <v/>
      </c>
      <c r="S150" s="4" t="str">
        <f>IFERROR(__xludf.DUMMYFUNCTION("""COMPUTED_VALUE"""),"")</f>
        <v/>
      </c>
      <c r="T150" s="4" t="str">
        <f>IFERROR(__xludf.DUMMYFUNCTION("""COMPUTED_VALUE"""),"")</f>
        <v/>
      </c>
      <c r="U150" s="4" t="str">
        <f>IFERROR(__xludf.DUMMYFUNCTION("""COMPUTED_VALUE"""),"")</f>
        <v/>
      </c>
    </row>
    <row r="151">
      <c r="A151" s="4" t="str">
        <f>IFERROR(__xludf.DUMMYFUNCTION("""COMPUTED_VALUE"""),"")</f>
        <v/>
      </c>
      <c r="B151" s="4" t="str">
        <f>IFERROR(__xludf.DUMMYFUNCTION("""COMPUTED_VALUE"""),"")</f>
        <v/>
      </c>
      <c r="C151" s="4" t="str">
        <f>IFERROR(__xludf.DUMMYFUNCTION("""COMPUTED_VALUE"""),"")</f>
        <v/>
      </c>
      <c r="D151" s="4" t="str">
        <f>IFERROR(__xludf.DUMMYFUNCTION("""COMPUTED_VALUE"""),"")</f>
        <v/>
      </c>
      <c r="E151" s="4" t="str">
        <f>IFERROR(__xludf.DUMMYFUNCTION("""COMPUTED_VALUE"""),"")</f>
        <v/>
      </c>
      <c r="F151" s="4" t="str">
        <f>IFERROR(__xludf.DUMMYFUNCTION("""COMPUTED_VALUE"""),"")</f>
        <v/>
      </c>
      <c r="G151" s="4" t="str">
        <f>IFERROR(__xludf.DUMMYFUNCTION("""COMPUTED_VALUE"""),"")</f>
        <v/>
      </c>
      <c r="H151" s="4" t="str">
        <f>IFERROR(__xludf.DUMMYFUNCTION("""COMPUTED_VALUE"""),"")</f>
        <v/>
      </c>
      <c r="I151" s="4" t="str">
        <f>IFERROR(__xludf.DUMMYFUNCTION("""COMPUTED_VALUE"""),"")</f>
        <v/>
      </c>
      <c r="J151" s="4" t="str">
        <f>IFERROR(__xludf.DUMMYFUNCTION("""COMPUTED_VALUE"""),"")</f>
        <v/>
      </c>
      <c r="K151" s="4" t="str">
        <f>IFERROR(__xludf.DUMMYFUNCTION("""COMPUTED_VALUE"""),"")</f>
        <v/>
      </c>
      <c r="L151" s="4" t="str">
        <f>IFERROR(__xludf.DUMMYFUNCTION("""COMPUTED_VALUE"""),"")</f>
        <v/>
      </c>
      <c r="M151" s="4" t="str">
        <f>IFERROR(__xludf.DUMMYFUNCTION("""COMPUTED_VALUE"""),"")</f>
        <v/>
      </c>
      <c r="N151" s="4" t="str">
        <f>IFERROR(__xludf.DUMMYFUNCTION("""COMPUTED_VALUE"""),"")</f>
        <v/>
      </c>
      <c r="O151" s="4" t="str">
        <f>IFERROR(__xludf.DUMMYFUNCTION("""COMPUTED_VALUE"""),"")</f>
        <v/>
      </c>
      <c r="P151" s="4" t="str">
        <f>IFERROR(__xludf.DUMMYFUNCTION("""COMPUTED_VALUE"""),"")</f>
        <v/>
      </c>
      <c r="Q151" s="4" t="str">
        <f>IFERROR(__xludf.DUMMYFUNCTION("""COMPUTED_VALUE"""),"")</f>
        <v/>
      </c>
      <c r="R151" s="4" t="str">
        <f>IFERROR(__xludf.DUMMYFUNCTION("""COMPUTED_VALUE"""),"")</f>
        <v/>
      </c>
      <c r="S151" s="4" t="str">
        <f>IFERROR(__xludf.DUMMYFUNCTION("""COMPUTED_VALUE"""),"")</f>
        <v/>
      </c>
      <c r="T151" s="4" t="str">
        <f>IFERROR(__xludf.DUMMYFUNCTION("""COMPUTED_VALUE"""),"")</f>
        <v/>
      </c>
      <c r="U151" s="4" t="str">
        <f>IFERROR(__xludf.DUMMYFUNCTION("""COMPUTED_VALUE"""),"")</f>
        <v/>
      </c>
    </row>
    <row r="152">
      <c r="A152" s="4" t="str">
        <f>IFERROR(__xludf.DUMMYFUNCTION("""COMPUTED_VALUE"""),"")</f>
        <v/>
      </c>
      <c r="B152" s="4" t="str">
        <f>IFERROR(__xludf.DUMMYFUNCTION("""COMPUTED_VALUE"""),"")</f>
        <v/>
      </c>
      <c r="C152" s="4" t="str">
        <f>IFERROR(__xludf.DUMMYFUNCTION("""COMPUTED_VALUE"""),"")</f>
        <v/>
      </c>
      <c r="D152" s="4" t="str">
        <f>IFERROR(__xludf.DUMMYFUNCTION("""COMPUTED_VALUE"""),"")</f>
        <v/>
      </c>
      <c r="E152" s="4" t="str">
        <f>IFERROR(__xludf.DUMMYFUNCTION("""COMPUTED_VALUE"""),"")</f>
        <v/>
      </c>
      <c r="F152" s="4" t="str">
        <f>IFERROR(__xludf.DUMMYFUNCTION("""COMPUTED_VALUE"""),"")</f>
        <v/>
      </c>
      <c r="G152" s="4" t="str">
        <f>IFERROR(__xludf.DUMMYFUNCTION("""COMPUTED_VALUE"""),"")</f>
        <v/>
      </c>
      <c r="H152" s="4" t="str">
        <f>IFERROR(__xludf.DUMMYFUNCTION("""COMPUTED_VALUE"""),"")</f>
        <v/>
      </c>
      <c r="I152" s="4" t="str">
        <f>IFERROR(__xludf.DUMMYFUNCTION("""COMPUTED_VALUE"""),"")</f>
        <v/>
      </c>
      <c r="J152" s="4" t="str">
        <f>IFERROR(__xludf.DUMMYFUNCTION("""COMPUTED_VALUE"""),"")</f>
        <v/>
      </c>
      <c r="K152" s="4" t="str">
        <f>IFERROR(__xludf.DUMMYFUNCTION("""COMPUTED_VALUE"""),"")</f>
        <v/>
      </c>
      <c r="L152" s="4" t="str">
        <f>IFERROR(__xludf.DUMMYFUNCTION("""COMPUTED_VALUE"""),"")</f>
        <v/>
      </c>
      <c r="M152" s="4" t="str">
        <f>IFERROR(__xludf.DUMMYFUNCTION("""COMPUTED_VALUE"""),"")</f>
        <v/>
      </c>
      <c r="N152" s="4" t="str">
        <f>IFERROR(__xludf.DUMMYFUNCTION("""COMPUTED_VALUE"""),"")</f>
        <v/>
      </c>
      <c r="O152" s="4" t="str">
        <f>IFERROR(__xludf.DUMMYFUNCTION("""COMPUTED_VALUE"""),"")</f>
        <v/>
      </c>
      <c r="P152" s="4" t="str">
        <f>IFERROR(__xludf.DUMMYFUNCTION("""COMPUTED_VALUE"""),"")</f>
        <v/>
      </c>
      <c r="Q152" s="4" t="str">
        <f>IFERROR(__xludf.DUMMYFUNCTION("""COMPUTED_VALUE"""),"")</f>
        <v/>
      </c>
      <c r="R152" s="4" t="str">
        <f>IFERROR(__xludf.DUMMYFUNCTION("""COMPUTED_VALUE"""),"")</f>
        <v/>
      </c>
      <c r="S152" s="4" t="str">
        <f>IFERROR(__xludf.DUMMYFUNCTION("""COMPUTED_VALUE"""),"")</f>
        <v/>
      </c>
      <c r="T152" s="4" t="str">
        <f>IFERROR(__xludf.DUMMYFUNCTION("""COMPUTED_VALUE"""),"")</f>
        <v/>
      </c>
      <c r="U152" s="4" t="str">
        <f>IFERROR(__xludf.DUMMYFUNCTION("""COMPUTED_VALUE"""),"")</f>
        <v/>
      </c>
    </row>
    <row r="153">
      <c r="A153" s="4" t="str">
        <f>IFERROR(__xludf.DUMMYFUNCTION("""COMPUTED_VALUE"""),"")</f>
        <v/>
      </c>
      <c r="B153" s="4" t="str">
        <f>IFERROR(__xludf.DUMMYFUNCTION("""COMPUTED_VALUE"""),"")</f>
        <v/>
      </c>
      <c r="C153" s="4" t="str">
        <f>IFERROR(__xludf.DUMMYFUNCTION("""COMPUTED_VALUE"""),"")</f>
        <v/>
      </c>
      <c r="D153" s="4" t="str">
        <f>IFERROR(__xludf.DUMMYFUNCTION("""COMPUTED_VALUE"""),"")</f>
        <v/>
      </c>
      <c r="E153" s="4" t="str">
        <f>IFERROR(__xludf.DUMMYFUNCTION("""COMPUTED_VALUE"""),"")</f>
        <v/>
      </c>
      <c r="F153" s="4" t="str">
        <f>IFERROR(__xludf.DUMMYFUNCTION("""COMPUTED_VALUE"""),"")</f>
        <v/>
      </c>
      <c r="G153" s="4" t="str">
        <f>IFERROR(__xludf.DUMMYFUNCTION("""COMPUTED_VALUE"""),"")</f>
        <v/>
      </c>
      <c r="H153" s="4" t="str">
        <f>IFERROR(__xludf.DUMMYFUNCTION("""COMPUTED_VALUE"""),"")</f>
        <v/>
      </c>
      <c r="I153" s="4" t="str">
        <f>IFERROR(__xludf.DUMMYFUNCTION("""COMPUTED_VALUE"""),"")</f>
        <v/>
      </c>
      <c r="J153" s="4" t="str">
        <f>IFERROR(__xludf.DUMMYFUNCTION("""COMPUTED_VALUE"""),"")</f>
        <v/>
      </c>
      <c r="K153" s="4" t="str">
        <f>IFERROR(__xludf.DUMMYFUNCTION("""COMPUTED_VALUE"""),"")</f>
        <v/>
      </c>
      <c r="L153" s="4" t="str">
        <f>IFERROR(__xludf.DUMMYFUNCTION("""COMPUTED_VALUE"""),"")</f>
        <v/>
      </c>
      <c r="M153" s="4" t="str">
        <f>IFERROR(__xludf.DUMMYFUNCTION("""COMPUTED_VALUE"""),"")</f>
        <v/>
      </c>
      <c r="N153" s="4" t="str">
        <f>IFERROR(__xludf.DUMMYFUNCTION("""COMPUTED_VALUE"""),"")</f>
        <v/>
      </c>
      <c r="O153" s="4" t="str">
        <f>IFERROR(__xludf.DUMMYFUNCTION("""COMPUTED_VALUE"""),"")</f>
        <v/>
      </c>
      <c r="P153" s="4" t="str">
        <f>IFERROR(__xludf.DUMMYFUNCTION("""COMPUTED_VALUE"""),"")</f>
        <v/>
      </c>
      <c r="Q153" s="4" t="str">
        <f>IFERROR(__xludf.DUMMYFUNCTION("""COMPUTED_VALUE"""),"")</f>
        <v/>
      </c>
      <c r="R153" s="4" t="str">
        <f>IFERROR(__xludf.DUMMYFUNCTION("""COMPUTED_VALUE"""),"")</f>
        <v/>
      </c>
      <c r="S153" s="4" t="str">
        <f>IFERROR(__xludf.DUMMYFUNCTION("""COMPUTED_VALUE"""),"")</f>
        <v/>
      </c>
      <c r="T153" s="4" t="str">
        <f>IFERROR(__xludf.DUMMYFUNCTION("""COMPUTED_VALUE"""),"")</f>
        <v/>
      </c>
      <c r="U153" s="4" t="str">
        <f>IFERROR(__xludf.DUMMYFUNCTION("""COMPUTED_VALUE"""),"")</f>
        <v/>
      </c>
    </row>
    <row r="154">
      <c r="A154" s="4" t="str">
        <f>IFERROR(__xludf.DUMMYFUNCTION("""COMPUTED_VALUE"""),"")</f>
        <v/>
      </c>
      <c r="B154" s="4" t="str">
        <f>IFERROR(__xludf.DUMMYFUNCTION("""COMPUTED_VALUE"""),"")</f>
        <v/>
      </c>
      <c r="C154" s="4" t="str">
        <f>IFERROR(__xludf.DUMMYFUNCTION("""COMPUTED_VALUE"""),"")</f>
        <v/>
      </c>
      <c r="D154" s="4" t="str">
        <f>IFERROR(__xludf.DUMMYFUNCTION("""COMPUTED_VALUE"""),"")</f>
        <v/>
      </c>
      <c r="E154" s="4" t="str">
        <f>IFERROR(__xludf.DUMMYFUNCTION("""COMPUTED_VALUE"""),"")</f>
        <v/>
      </c>
      <c r="F154" s="4" t="str">
        <f>IFERROR(__xludf.DUMMYFUNCTION("""COMPUTED_VALUE"""),"")</f>
        <v/>
      </c>
      <c r="G154" s="4" t="str">
        <f>IFERROR(__xludf.DUMMYFUNCTION("""COMPUTED_VALUE"""),"")</f>
        <v/>
      </c>
      <c r="H154" s="4" t="str">
        <f>IFERROR(__xludf.DUMMYFUNCTION("""COMPUTED_VALUE"""),"")</f>
        <v/>
      </c>
      <c r="I154" s="4" t="str">
        <f>IFERROR(__xludf.DUMMYFUNCTION("""COMPUTED_VALUE"""),"")</f>
        <v/>
      </c>
      <c r="J154" s="4" t="str">
        <f>IFERROR(__xludf.DUMMYFUNCTION("""COMPUTED_VALUE"""),"")</f>
        <v/>
      </c>
      <c r="K154" s="4" t="str">
        <f>IFERROR(__xludf.DUMMYFUNCTION("""COMPUTED_VALUE"""),"")</f>
        <v/>
      </c>
      <c r="L154" s="4" t="str">
        <f>IFERROR(__xludf.DUMMYFUNCTION("""COMPUTED_VALUE"""),"")</f>
        <v/>
      </c>
      <c r="M154" s="4" t="str">
        <f>IFERROR(__xludf.DUMMYFUNCTION("""COMPUTED_VALUE"""),"")</f>
        <v/>
      </c>
      <c r="N154" s="4" t="str">
        <f>IFERROR(__xludf.DUMMYFUNCTION("""COMPUTED_VALUE"""),"")</f>
        <v/>
      </c>
      <c r="O154" s="4" t="str">
        <f>IFERROR(__xludf.DUMMYFUNCTION("""COMPUTED_VALUE"""),"")</f>
        <v/>
      </c>
      <c r="P154" s="4" t="str">
        <f>IFERROR(__xludf.DUMMYFUNCTION("""COMPUTED_VALUE"""),"")</f>
        <v/>
      </c>
      <c r="Q154" s="4" t="str">
        <f>IFERROR(__xludf.DUMMYFUNCTION("""COMPUTED_VALUE"""),"")</f>
        <v/>
      </c>
      <c r="R154" s="4" t="str">
        <f>IFERROR(__xludf.DUMMYFUNCTION("""COMPUTED_VALUE"""),"")</f>
        <v/>
      </c>
      <c r="S154" s="4" t="str">
        <f>IFERROR(__xludf.DUMMYFUNCTION("""COMPUTED_VALUE"""),"")</f>
        <v/>
      </c>
      <c r="T154" s="4" t="str">
        <f>IFERROR(__xludf.DUMMYFUNCTION("""COMPUTED_VALUE"""),"")</f>
        <v/>
      </c>
      <c r="U154" s="4" t="str">
        <f>IFERROR(__xludf.DUMMYFUNCTION("""COMPUTED_VALUE"""),"")</f>
        <v/>
      </c>
    </row>
    <row r="155">
      <c r="A155" s="4" t="str">
        <f>IFERROR(__xludf.DUMMYFUNCTION("""COMPUTED_VALUE"""),"")</f>
        <v/>
      </c>
      <c r="B155" s="4" t="str">
        <f>IFERROR(__xludf.DUMMYFUNCTION("""COMPUTED_VALUE"""),"")</f>
        <v/>
      </c>
      <c r="C155" s="4" t="str">
        <f>IFERROR(__xludf.DUMMYFUNCTION("""COMPUTED_VALUE"""),"")</f>
        <v/>
      </c>
      <c r="D155" s="4" t="str">
        <f>IFERROR(__xludf.DUMMYFUNCTION("""COMPUTED_VALUE"""),"")</f>
        <v/>
      </c>
      <c r="E155" s="4" t="str">
        <f>IFERROR(__xludf.DUMMYFUNCTION("""COMPUTED_VALUE"""),"")</f>
        <v/>
      </c>
      <c r="F155" s="4" t="str">
        <f>IFERROR(__xludf.DUMMYFUNCTION("""COMPUTED_VALUE"""),"")</f>
        <v/>
      </c>
      <c r="G155" s="4" t="str">
        <f>IFERROR(__xludf.DUMMYFUNCTION("""COMPUTED_VALUE"""),"")</f>
        <v/>
      </c>
      <c r="H155" s="4" t="str">
        <f>IFERROR(__xludf.DUMMYFUNCTION("""COMPUTED_VALUE"""),"")</f>
        <v/>
      </c>
      <c r="I155" s="4" t="str">
        <f>IFERROR(__xludf.DUMMYFUNCTION("""COMPUTED_VALUE"""),"")</f>
        <v/>
      </c>
      <c r="J155" s="4" t="str">
        <f>IFERROR(__xludf.DUMMYFUNCTION("""COMPUTED_VALUE"""),"")</f>
        <v/>
      </c>
      <c r="K155" s="4" t="str">
        <f>IFERROR(__xludf.DUMMYFUNCTION("""COMPUTED_VALUE"""),"")</f>
        <v/>
      </c>
      <c r="L155" s="4" t="str">
        <f>IFERROR(__xludf.DUMMYFUNCTION("""COMPUTED_VALUE"""),"")</f>
        <v/>
      </c>
      <c r="M155" s="4" t="str">
        <f>IFERROR(__xludf.DUMMYFUNCTION("""COMPUTED_VALUE"""),"")</f>
        <v/>
      </c>
      <c r="N155" s="4" t="str">
        <f>IFERROR(__xludf.DUMMYFUNCTION("""COMPUTED_VALUE"""),"")</f>
        <v/>
      </c>
      <c r="O155" s="4" t="str">
        <f>IFERROR(__xludf.DUMMYFUNCTION("""COMPUTED_VALUE"""),"")</f>
        <v/>
      </c>
      <c r="P155" s="4" t="str">
        <f>IFERROR(__xludf.DUMMYFUNCTION("""COMPUTED_VALUE"""),"")</f>
        <v/>
      </c>
      <c r="Q155" s="4" t="str">
        <f>IFERROR(__xludf.DUMMYFUNCTION("""COMPUTED_VALUE"""),"")</f>
        <v/>
      </c>
      <c r="R155" s="4" t="str">
        <f>IFERROR(__xludf.DUMMYFUNCTION("""COMPUTED_VALUE"""),"")</f>
        <v/>
      </c>
      <c r="S155" s="4" t="str">
        <f>IFERROR(__xludf.DUMMYFUNCTION("""COMPUTED_VALUE"""),"")</f>
        <v/>
      </c>
      <c r="T155" s="4" t="str">
        <f>IFERROR(__xludf.DUMMYFUNCTION("""COMPUTED_VALUE"""),"")</f>
        <v/>
      </c>
      <c r="U155" s="4" t="str">
        <f>IFERROR(__xludf.DUMMYFUNCTION("""COMPUTED_VALUE"""),"")</f>
        <v/>
      </c>
    </row>
    <row r="156">
      <c r="A156" s="4" t="str">
        <f>IFERROR(__xludf.DUMMYFUNCTION("""COMPUTED_VALUE"""),"")</f>
        <v/>
      </c>
      <c r="B156" s="4" t="str">
        <f>IFERROR(__xludf.DUMMYFUNCTION("""COMPUTED_VALUE"""),"")</f>
        <v/>
      </c>
      <c r="C156" s="4" t="str">
        <f>IFERROR(__xludf.DUMMYFUNCTION("""COMPUTED_VALUE"""),"")</f>
        <v/>
      </c>
      <c r="D156" s="4" t="str">
        <f>IFERROR(__xludf.DUMMYFUNCTION("""COMPUTED_VALUE"""),"")</f>
        <v/>
      </c>
      <c r="E156" s="4" t="str">
        <f>IFERROR(__xludf.DUMMYFUNCTION("""COMPUTED_VALUE"""),"")</f>
        <v/>
      </c>
      <c r="F156" s="4" t="str">
        <f>IFERROR(__xludf.DUMMYFUNCTION("""COMPUTED_VALUE"""),"")</f>
        <v/>
      </c>
      <c r="G156" s="4" t="str">
        <f>IFERROR(__xludf.DUMMYFUNCTION("""COMPUTED_VALUE"""),"")</f>
        <v/>
      </c>
      <c r="H156" s="4" t="str">
        <f>IFERROR(__xludf.DUMMYFUNCTION("""COMPUTED_VALUE"""),"")</f>
        <v/>
      </c>
      <c r="I156" s="4" t="str">
        <f>IFERROR(__xludf.DUMMYFUNCTION("""COMPUTED_VALUE"""),"")</f>
        <v/>
      </c>
      <c r="J156" s="4" t="str">
        <f>IFERROR(__xludf.DUMMYFUNCTION("""COMPUTED_VALUE"""),"")</f>
        <v/>
      </c>
      <c r="K156" s="4" t="str">
        <f>IFERROR(__xludf.DUMMYFUNCTION("""COMPUTED_VALUE"""),"")</f>
        <v/>
      </c>
      <c r="L156" s="4" t="str">
        <f>IFERROR(__xludf.DUMMYFUNCTION("""COMPUTED_VALUE"""),"")</f>
        <v/>
      </c>
      <c r="M156" s="4" t="str">
        <f>IFERROR(__xludf.DUMMYFUNCTION("""COMPUTED_VALUE"""),"")</f>
        <v/>
      </c>
      <c r="N156" s="4" t="str">
        <f>IFERROR(__xludf.DUMMYFUNCTION("""COMPUTED_VALUE"""),"")</f>
        <v/>
      </c>
      <c r="O156" s="4" t="str">
        <f>IFERROR(__xludf.DUMMYFUNCTION("""COMPUTED_VALUE"""),"")</f>
        <v/>
      </c>
      <c r="P156" s="4" t="str">
        <f>IFERROR(__xludf.DUMMYFUNCTION("""COMPUTED_VALUE"""),"")</f>
        <v/>
      </c>
      <c r="Q156" s="4" t="str">
        <f>IFERROR(__xludf.DUMMYFUNCTION("""COMPUTED_VALUE"""),"")</f>
        <v/>
      </c>
      <c r="R156" s="4" t="str">
        <f>IFERROR(__xludf.DUMMYFUNCTION("""COMPUTED_VALUE"""),"")</f>
        <v/>
      </c>
      <c r="S156" s="4" t="str">
        <f>IFERROR(__xludf.DUMMYFUNCTION("""COMPUTED_VALUE"""),"")</f>
        <v/>
      </c>
      <c r="T156" s="4" t="str">
        <f>IFERROR(__xludf.DUMMYFUNCTION("""COMPUTED_VALUE"""),"")</f>
        <v/>
      </c>
      <c r="U156" s="4" t="str">
        <f>IFERROR(__xludf.DUMMYFUNCTION("""COMPUTED_VALUE"""),"")</f>
        <v/>
      </c>
    </row>
    <row r="157">
      <c r="A157" s="4" t="str">
        <f>IFERROR(__xludf.DUMMYFUNCTION("""COMPUTED_VALUE"""),"")</f>
        <v/>
      </c>
      <c r="B157" s="4" t="str">
        <f>IFERROR(__xludf.DUMMYFUNCTION("""COMPUTED_VALUE"""),"")</f>
        <v/>
      </c>
      <c r="C157" s="4" t="str">
        <f>IFERROR(__xludf.DUMMYFUNCTION("""COMPUTED_VALUE"""),"")</f>
        <v/>
      </c>
      <c r="D157" s="4" t="str">
        <f>IFERROR(__xludf.DUMMYFUNCTION("""COMPUTED_VALUE"""),"")</f>
        <v/>
      </c>
      <c r="E157" s="4" t="str">
        <f>IFERROR(__xludf.DUMMYFUNCTION("""COMPUTED_VALUE"""),"")</f>
        <v/>
      </c>
      <c r="F157" s="4" t="str">
        <f>IFERROR(__xludf.DUMMYFUNCTION("""COMPUTED_VALUE"""),"")</f>
        <v/>
      </c>
      <c r="G157" s="4" t="str">
        <f>IFERROR(__xludf.DUMMYFUNCTION("""COMPUTED_VALUE"""),"")</f>
        <v/>
      </c>
      <c r="H157" s="4" t="str">
        <f>IFERROR(__xludf.DUMMYFUNCTION("""COMPUTED_VALUE"""),"")</f>
        <v/>
      </c>
      <c r="I157" s="4" t="str">
        <f>IFERROR(__xludf.DUMMYFUNCTION("""COMPUTED_VALUE"""),"")</f>
        <v/>
      </c>
      <c r="J157" s="4" t="str">
        <f>IFERROR(__xludf.DUMMYFUNCTION("""COMPUTED_VALUE"""),"")</f>
        <v/>
      </c>
      <c r="K157" s="4" t="str">
        <f>IFERROR(__xludf.DUMMYFUNCTION("""COMPUTED_VALUE"""),"")</f>
        <v/>
      </c>
      <c r="L157" s="4" t="str">
        <f>IFERROR(__xludf.DUMMYFUNCTION("""COMPUTED_VALUE"""),"")</f>
        <v/>
      </c>
      <c r="M157" s="4" t="str">
        <f>IFERROR(__xludf.DUMMYFUNCTION("""COMPUTED_VALUE"""),"")</f>
        <v/>
      </c>
      <c r="N157" s="4" t="str">
        <f>IFERROR(__xludf.DUMMYFUNCTION("""COMPUTED_VALUE"""),"")</f>
        <v/>
      </c>
      <c r="O157" s="4" t="str">
        <f>IFERROR(__xludf.DUMMYFUNCTION("""COMPUTED_VALUE"""),"")</f>
        <v/>
      </c>
      <c r="P157" s="4" t="str">
        <f>IFERROR(__xludf.DUMMYFUNCTION("""COMPUTED_VALUE"""),"")</f>
        <v/>
      </c>
      <c r="Q157" s="4" t="str">
        <f>IFERROR(__xludf.DUMMYFUNCTION("""COMPUTED_VALUE"""),"")</f>
        <v/>
      </c>
      <c r="R157" s="4" t="str">
        <f>IFERROR(__xludf.DUMMYFUNCTION("""COMPUTED_VALUE"""),"")</f>
        <v/>
      </c>
      <c r="S157" s="4" t="str">
        <f>IFERROR(__xludf.DUMMYFUNCTION("""COMPUTED_VALUE"""),"")</f>
        <v/>
      </c>
      <c r="T157" s="4" t="str">
        <f>IFERROR(__xludf.DUMMYFUNCTION("""COMPUTED_VALUE"""),"")</f>
        <v/>
      </c>
      <c r="U157" s="4" t="str">
        <f>IFERROR(__xludf.DUMMYFUNCTION("""COMPUTED_VALUE"""),"")</f>
        <v/>
      </c>
    </row>
    <row r="158">
      <c r="A158" s="4" t="str">
        <f>IFERROR(__xludf.DUMMYFUNCTION("""COMPUTED_VALUE"""),"")</f>
        <v/>
      </c>
      <c r="B158" s="4" t="str">
        <f>IFERROR(__xludf.DUMMYFUNCTION("""COMPUTED_VALUE"""),"")</f>
        <v/>
      </c>
      <c r="C158" s="4" t="str">
        <f>IFERROR(__xludf.DUMMYFUNCTION("""COMPUTED_VALUE"""),"")</f>
        <v/>
      </c>
      <c r="D158" s="4" t="str">
        <f>IFERROR(__xludf.DUMMYFUNCTION("""COMPUTED_VALUE"""),"")</f>
        <v/>
      </c>
      <c r="E158" s="4" t="str">
        <f>IFERROR(__xludf.DUMMYFUNCTION("""COMPUTED_VALUE"""),"")</f>
        <v/>
      </c>
      <c r="F158" s="4" t="str">
        <f>IFERROR(__xludf.DUMMYFUNCTION("""COMPUTED_VALUE"""),"")</f>
        <v/>
      </c>
      <c r="G158" s="4" t="str">
        <f>IFERROR(__xludf.DUMMYFUNCTION("""COMPUTED_VALUE"""),"")</f>
        <v/>
      </c>
      <c r="H158" s="4" t="str">
        <f>IFERROR(__xludf.DUMMYFUNCTION("""COMPUTED_VALUE"""),"")</f>
        <v/>
      </c>
      <c r="I158" s="4" t="str">
        <f>IFERROR(__xludf.DUMMYFUNCTION("""COMPUTED_VALUE"""),"")</f>
        <v/>
      </c>
      <c r="J158" s="4" t="str">
        <f>IFERROR(__xludf.DUMMYFUNCTION("""COMPUTED_VALUE"""),"")</f>
        <v/>
      </c>
      <c r="K158" s="4" t="str">
        <f>IFERROR(__xludf.DUMMYFUNCTION("""COMPUTED_VALUE"""),"")</f>
        <v/>
      </c>
      <c r="L158" s="4" t="str">
        <f>IFERROR(__xludf.DUMMYFUNCTION("""COMPUTED_VALUE"""),"")</f>
        <v/>
      </c>
      <c r="M158" s="4" t="str">
        <f>IFERROR(__xludf.DUMMYFUNCTION("""COMPUTED_VALUE"""),"")</f>
        <v/>
      </c>
      <c r="N158" s="4" t="str">
        <f>IFERROR(__xludf.DUMMYFUNCTION("""COMPUTED_VALUE"""),"")</f>
        <v/>
      </c>
      <c r="O158" s="4" t="str">
        <f>IFERROR(__xludf.DUMMYFUNCTION("""COMPUTED_VALUE"""),"")</f>
        <v/>
      </c>
      <c r="P158" s="4" t="str">
        <f>IFERROR(__xludf.DUMMYFUNCTION("""COMPUTED_VALUE"""),"")</f>
        <v/>
      </c>
      <c r="Q158" s="4" t="str">
        <f>IFERROR(__xludf.DUMMYFUNCTION("""COMPUTED_VALUE"""),"")</f>
        <v/>
      </c>
      <c r="R158" s="4" t="str">
        <f>IFERROR(__xludf.DUMMYFUNCTION("""COMPUTED_VALUE"""),"")</f>
        <v/>
      </c>
      <c r="S158" s="4" t="str">
        <f>IFERROR(__xludf.DUMMYFUNCTION("""COMPUTED_VALUE"""),"")</f>
        <v/>
      </c>
      <c r="T158" s="4" t="str">
        <f>IFERROR(__xludf.DUMMYFUNCTION("""COMPUTED_VALUE"""),"")</f>
        <v/>
      </c>
      <c r="U158" s="4" t="str">
        <f>IFERROR(__xludf.DUMMYFUNCTION("""COMPUTED_VALUE"""),"")</f>
        <v/>
      </c>
    </row>
    <row r="159">
      <c r="A159" s="4" t="str">
        <f>IFERROR(__xludf.DUMMYFUNCTION("""COMPUTED_VALUE"""),"")</f>
        <v/>
      </c>
      <c r="B159" s="4" t="str">
        <f>IFERROR(__xludf.DUMMYFUNCTION("""COMPUTED_VALUE"""),"")</f>
        <v/>
      </c>
      <c r="C159" s="4" t="str">
        <f>IFERROR(__xludf.DUMMYFUNCTION("""COMPUTED_VALUE"""),"")</f>
        <v/>
      </c>
      <c r="D159" s="4" t="str">
        <f>IFERROR(__xludf.DUMMYFUNCTION("""COMPUTED_VALUE"""),"")</f>
        <v/>
      </c>
      <c r="E159" s="4" t="str">
        <f>IFERROR(__xludf.DUMMYFUNCTION("""COMPUTED_VALUE"""),"")</f>
        <v/>
      </c>
      <c r="F159" s="4" t="str">
        <f>IFERROR(__xludf.DUMMYFUNCTION("""COMPUTED_VALUE"""),"")</f>
        <v/>
      </c>
      <c r="G159" s="4" t="str">
        <f>IFERROR(__xludf.DUMMYFUNCTION("""COMPUTED_VALUE"""),"")</f>
        <v/>
      </c>
      <c r="H159" s="4" t="str">
        <f>IFERROR(__xludf.DUMMYFUNCTION("""COMPUTED_VALUE"""),"")</f>
        <v/>
      </c>
      <c r="I159" s="4" t="str">
        <f>IFERROR(__xludf.DUMMYFUNCTION("""COMPUTED_VALUE"""),"")</f>
        <v/>
      </c>
      <c r="J159" s="4" t="str">
        <f>IFERROR(__xludf.DUMMYFUNCTION("""COMPUTED_VALUE"""),"")</f>
        <v/>
      </c>
      <c r="K159" s="4" t="str">
        <f>IFERROR(__xludf.DUMMYFUNCTION("""COMPUTED_VALUE"""),"")</f>
        <v/>
      </c>
      <c r="L159" s="4" t="str">
        <f>IFERROR(__xludf.DUMMYFUNCTION("""COMPUTED_VALUE"""),"")</f>
        <v/>
      </c>
      <c r="M159" s="4" t="str">
        <f>IFERROR(__xludf.DUMMYFUNCTION("""COMPUTED_VALUE"""),"")</f>
        <v/>
      </c>
      <c r="N159" s="4" t="str">
        <f>IFERROR(__xludf.DUMMYFUNCTION("""COMPUTED_VALUE"""),"")</f>
        <v/>
      </c>
      <c r="O159" s="4" t="str">
        <f>IFERROR(__xludf.DUMMYFUNCTION("""COMPUTED_VALUE"""),"")</f>
        <v/>
      </c>
      <c r="P159" s="4" t="str">
        <f>IFERROR(__xludf.DUMMYFUNCTION("""COMPUTED_VALUE"""),"")</f>
        <v/>
      </c>
      <c r="Q159" s="4" t="str">
        <f>IFERROR(__xludf.DUMMYFUNCTION("""COMPUTED_VALUE"""),"")</f>
        <v/>
      </c>
      <c r="R159" s="4" t="str">
        <f>IFERROR(__xludf.DUMMYFUNCTION("""COMPUTED_VALUE"""),"")</f>
        <v/>
      </c>
      <c r="S159" s="4" t="str">
        <f>IFERROR(__xludf.DUMMYFUNCTION("""COMPUTED_VALUE"""),"")</f>
        <v/>
      </c>
      <c r="T159" s="4" t="str">
        <f>IFERROR(__xludf.DUMMYFUNCTION("""COMPUTED_VALUE"""),"")</f>
        <v/>
      </c>
      <c r="U159" s="4" t="str">
        <f>IFERROR(__xludf.DUMMYFUNCTION("""COMPUTED_VALUE"""),"")</f>
        <v/>
      </c>
    </row>
    <row r="160">
      <c r="A160" s="4" t="str">
        <f>IFERROR(__xludf.DUMMYFUNCTION("""COMPUTED_VALUE"""),"")</f>
        <v/>
      </c>
      <c r="B160" s="4" t="str">
        <f>IFERROR(__xludf.DUMMYFUNCTION("""COMPUTED_VALUE"""),"")</f>
        <v/>
      </c>
      <c r="C160" s="4" t="str">
        <f>IFERROR(__xludf.DUMMYFUNCTION("""COMPUTED_VALUE"""),"")</f>
        <v/>
      </c>
      <c r="D160" s="4" t="str">
        <f>IFERROR(__xludf.DUMMYFUNCTION("""COMPUTED_VALUE"""),"")</f>
        <v/>
      </c>
      <c r="E160" s="4" t="str">
        <f>IFERROR(__xludf.DUMMYFUNCTION("""COMPUTED_VALUE"""),"")</f>
        <v/>
      </c>
      <c r="F160" s="4" t="str">
        <f>IFERROR(__xludf.DUMMYFUNCTION("""COMPUTED_VALUE"""),"")</f>
        <v/>
      </c>
      <c r="G160" s="4" t="str">
        <f>IFERROR(__xludf.DUMMYFUNCTION("""COMPUTED_VALUE"""),"")</f>
        <v/>
      </c>
      <c r="H160" s="4" t="str">
        <f>IFERROR(__xludf.DUMMYFUNCTION("""COMPUTED_VALUE"""),"")</f>
        <v/>
      </c>
      <c r="I160" s="4" t="str">
        <f>IFERROR(__xludf.DUMMYFUNCTION("""COMPUTED_VALUE"""),"")</f>
        <v/>
      </c>
      <c r="J160" s="4" t="str">
        <f>IFERROR(__xludf.DUMMYFUNCTION("""COMPUTED_VALUE"""),"")</f>
        <v/>
      </c>
      <c r="K160" s="4" t="str">
        <f>IFERROR(__xludf.DUMMYFUNCTION("""COMPUTED_VALUE"""),"")</f>
        <v/>
      </c>
      <c r="L160" s="4" t="str">
        <f>IFERROR(__xludf.DUMMYFUNCTION("""COMPUTED_VALUE"""),"")</f>
        <v/>
      </c>
      <c r="M160" s="4" t="str">
        <f>IFERROR(__xludf.DUMMYFUNCTION("""COMPUTED_VALUE"""),"")</f>
        <v/>
      </c>
      <c r="N160" s="4" t="str">
        <f>IFERROR(__xludf.DUMMYFUNCTION("""COMPUTED_VALUE"""),"")</f>
        <v/>
      </c>
      <c r="O160" s="4" t="str">
        <f>IFERROR(__xludf.DUMMYFUNCTION("""COMPUTED_VALUE"""),"")</f>
        <v/>
      </c>
      <c r="P160" s="4" t="str">
        <f>IFERROR(__xludf.DUMMYFUNCTION("""COMPUTED_VALUE"""),"")</f>
        <v/>
      </c>
      <c r="Q160" s="4" t="str">
        <f>IFERROR(__xludf.DUMMYFUNCTION("""COMPUTED_VALUE"""),"")</f>
        <v/>
      </c>
      <c r="R160" s="4" t="str">
        <f>IFERROR(__xludf.DUMMYFUNCTION("""COMPUTED_VALUE"""),"")</f>
        <v/>
      </c>
      <c r="S160" s="4" t="str">
        <f>IFERROR(__xludf.DUMMYFUNCTION("""COMPUTED_VALUE"""),"")</f>
        <v/>
      </c>
      <c r="T160" s="4" t="str">
        <f>IFERROR(__xludf.DUMMYFUNCTION("""COMPUTED_VALUE"""),"")</f>
        <v/>
      </c>
      <c r="U160" s="4" t="str">
        <f>IFERROR(__xludf.DUMMYFUNCTION("""COMPUTED_VALUE"""),"")</f>
        <v/>
      </c>
    </row>
    <row r="161">
      <c r="A161" s="4" t="str">
        <f>IFERROR(__xludf.DUMMYFUNCTION("""COMPUTED_VALUE"""),"")</f>
        <v/>
      </c>
      <c r="B161" s="4" t="str">
        <f>IFERROR(__xludf.DUMMYFUNCTION("""COMPUTED_VALUE"""),"")</f>
        <v/>
      </c>
      <c r="C161" s="4" t="str">
        <f>IFERROR(__xludf.DUMMYFUNCTION("""COMPUTED_VALUE"""),"")</f>
        <v/>
      </c>
      <c r="D161" s="4" t="str">
        <f>IFERROR(__xludf.DUMMYFUNCTION("""COMPUTED_VALUE"""),"")</f>
        <v/>
      </c>
      <c r="E161" s="4" t="str">
        <f>IFERROR(__xludf.DUMMYFUNCTION("""COMPUTED_VALUE"""),"")</f>
        <v/>
      </c>
      <c r="F161" s="4" t="str">
        <f>IFERROR(__xludf.DUMMYFUNCTION("""COMPUTED_VALUE"""),"")</f>
        <v/>
      </c>
      <c r="G161" s="4" t="str">
        <f>IFERROR(__xludf.DUMMYFUNCTION("""COMPUTED_VALUE"""),"")</f>
        <v/>
      </c>
      <c r="H161" s="4" t="str">
        <f>IFERROR(__xludf.DUMMYFUNCTION("""COMPUTED_VALUE"""),"")</f>
        <v/>
      </c>
      <c r="I161" s="4" t="str">
        <f>IFERROR(__xludf.DUMMYFUNCTION("""COMPUTED_VALUE"""),"")</f>
        <v/>
      </c>
      <c r="J161" s="4" t="str">
        <f>IFERROR(__xludf.DUMMYFUNCTION("""COMPUTED_VALUE"""),"")</f>
        <v/>
      </c>
      <c r="K161" s="4" t="str">
        <f>IFERROR(__xludf.DUMMYFUNCTION("""COMPUTED_VALUE"""),"")</f>
        <v/>
      </c>
      <c r="L161" s="4" t="str">
        <f>IFERROR(__xludf.DUMMYFUNCTION("""COMPUTED_VALUE"""),"")</f>
        <v/>
      </c>
      <c r="M161" s="4" t="str">
        <f>IFERROR(__xludf.DUMMYFUNCTION("""COMPUTED_VALUE"""),"")</f>
        <v/>
      </c>
      <c r="N161" s="4" t="str">
        <f>IFERROR(__xludf.DUMMYFUNCTION("""COMPUTED_VALUE"""),"")</f>
        <v/>
      </c>
      <c r="O161" s="4" t="str">
        <f>IFERROR(__xludf.DUMMYFUNCTION("""COMPUTED_VALUE"""),"")</f>
        <v/>
      </c>
      <c r="P161" s="4" t="str">
        <f>IFERROR(__xludf.DUMMYFUNCTION("""COMPUTED_VALUE"""),"")</f>
        <v/>
      </c>
      <c r="Q161" s="4" t="str">
        <f>IFERROR(__xludf.DUMMYFUNCTION("""COMPUTED_VALUE"""),"")</f>
        <v/>
      </c>
      <c r="R161" s="4" t="str">
        <f>IFERROR(__xludf.DUMMYFUNCTION("""COMPUTED_VALUE"""),"")</f>
        <v/>
      </c>
      <c r="S161" s="4" t="str">
        <f>IFERROR(__xludf.DUMMYFUNCTION("""COMPUTED_VALUE"""),"")</f>
        <v/>
      </c>
      <c r="T161" s="4" t="str">
        <f>IFERROR(__xludf.DUMMYFUNCTION("""COMPUTED_VALUE"""),"")</f>
        <v/>
      </c>
      <c r="U161" s="4" t="str">
        <f>IFERROR(__xludf.DUMMYFUNCTION("""COMPUTED_VALUE"""),"")</f>
        <v/>
      </c>
    </row>
    <row r="162">
      <c r="A162" s="4" t="str">
        <f>IFERROR(__xludf.DUMMYFUNCTION("""COMPUTED_VALUE"""),"")</f>
        <v/>
      </c>
      <c r="B162" s="4" t="str">
        <f>IFERROR(__xludf.DUMMYFUNCTION("""COMPUTED_VALUE"""),"")</f>
        <v/>
      </c>
      <c r="C162" s="4" t="str">
        <f>IFERROR(__xludf.DUMMYFUNCTION("""COMPUTED_VALUE"""),"")</f>
        <v/>
      </c>
      <c r="D162" s="4" t="str">
        <f>IFERROR(__xludf.DUMMYFUNCTION("""COMPUTED_VALUE"""),"")</f>
        <v/>
      </c>
      <c r="E162" s="4" t="str">
        <f>IFERROR(__xludf.DUMMYFUNCTION("""COMPUTED_VALUE"""),"")</f>
        <v/>
      </c>
      <c r="F162" s="4" t="str">
        <f>IFERROR(__xludf.DUMMYFUNCTION("""COMPUTED_VALUE"""),"")</f>
        <v/>
      </c>
      <c r="G162" s="4" t="str">
        <f>IFERROR(__xludf.DUMMYFUNCTION("""COMPUTED_VALUE"""),"")</f>
        <v/>
      </c>
      <c r="H162" s="4" t="str">
        <f>IFERROR(__xludf.DUMMYFUNCTION("""COMPUTED_VALUE"""),"")</f>
        <v/>
      </c>
      <c r="I162" s="4" t="str">
        <f>IFERROR(__xludf.DUMMYFUNCTION("""COMPUTED_VALUE"""),"")</f>
        <v/>
      </c>
      <c r="J162" s="4" t="str">
        <f>IFERROR(__xludf.DUMMYFUNCTION("""COMPUTED_VALUE"""),"")</f>
        <v/>
      </c>
      <c r="K162" s="4" t="str">
        <f>IFERROR(__xludf.DUMMYFUNCTION("""COMPUTED_VALUE"""),"")</f>
        <v/>
      </c>
      <c r="L162" s="4" t="str">
        <f>IFERROR(__xludf.DUMMYFUNCTION("""COMPUTED_VALUE"""),"")</f>
        <v/>
      </c>
      <c r="M162" s="4" t="str">
        <f>IFERROR(__xludf.DUMMYFUNCTION("""COMPUTED_VALUE"""),"")</f>
        <v/>
      </c>
      <c r="N162" s="4" t="str">
        <f>IFERROR(__xludf.DUMMYFUNCTION("""COMPUTED_VALUE"""),"")</f>
        <v/>
      </c>
      <c r="O162" s="4" t="str">
        <f>IFERROR(__xludf.DUMMYFUNCTION("""COMPUTED_VALUE"""),"")</f>
        <v/>
      </c>
      <c r="P162" s="4" t="str">
        <f>IFERROR(__xludf.DUMMYFUNCTION("""COMPUTED_VALUE"""),"")</f>
        <v/>
      </c>
      <c r="Q162" s="4" t="str">
        <f>IFERROR(__xludf.DUMMYFUNCTION("""COMPUTED_VALUE"""),"")</f>
        <v/>
      </c>
      <c r="R162" s="4" t="str">
        <f>IFERROR(__xludf.DUMMYFUNCTION("""COMPUTED_VALUE"""),"")</f>
        <v/>
      </c>
      <c r="S162" s="4" t="str">
        <f>IFERROR(__xludf.DUMMYFUNCTION("""COMPUTED_VALUE"""),"")</f>
        <v/>
      </c>
      <c r="T162" s="4" t="str">
        <f>IFERROR(__xludf.DUMMYFUNCTION("""COMPUTED_VALUE"""),"")</f>
        <v/>
      </c>
      <c r="U162" s="4" t="str">
        <f>IFERROR(__xludf.DUMMYFUNCTION("""COMPUTED_VALUE"""),"")</f>
        <v/>
      </c>
    </row>
    <row r="163">
      <c r="A163" s="4" t="str">
        <f>IFERROR(__xludf.DUMMYFUNCTION("""COMPUTED_VALUE"""),"")</f>
        <v/>
      </c>
      <c r="B163" s="4" t="str">
        <f>IFERROR(__xludf.DUMMYFUNCTION("""COMPUTED_VALUE"""),"")</f>
        <v/>
      </c>
      <c r="C163" s="4" t="str">
        <f>IFERROR(__xludf.DUMMYFUNCTION("""COMPUTED_VALUE"""),"")</f>
        <v/>
      </c>
      <c r="D163" s="4" t="str">
        <f>IFERROR(__xludf.DUMMYFUNCTION("""COMPUTED_VALUE"""),"")</f>
        <v/>
      </c>
      <c r="E163" s="4" t="str">
        <f>IFERROR(__xludf.DUMMYFUNCTION("""COMPUTED_VALUE"""),"")</f>
        <v/>
      </c>
      <c r="F163" s="4" t="str">
        <f>IFERROR(__xludf.DUMMYFUNCTION("""COMPUTED_VALUE"""),"")</f>
        <v/>
      </c>
      <c r="G163" s="4" t="str">
        <f>IFERROR(__xludf.DUMMYFUNCTION("""COMPUTED_VALUE"""),"")</f>
        <v/>
      </c>
      <c r="H163" s="4" t="str">
        <f>IFERROR(__xludf.DUMMYFUNCTION("""COMPUTED_VALUE"""),"")</f>
        <v/>
      </c>
      <c r="I163" s="4" t="str">
        <f>IFERROR(__xludf.DUMMYFUNCTION("""COMPUTED_VALUE"""),"")</f>
        <v/>
      </c>
      <c r="J163" s="4" t="str">
        <f>IFERROR(__xludf.DUMMYFUNCTION("""COMPUTED_VALUE"""),"")</f>
        <v/>
      </c>
      <c r="K163" s="4" t="str">
        <f>IFERROR(__xludf.DUMMYFUNCTION("""COMPUTED_VALUE"""),"")</f>
        <v/>
      </c>
      <c r="L163" s="4" t="str">
        <f>IFERROR(__xludf.DUMMYFUNCTION("""COMPUTED_VALUE"""),"")</f>
        <v/>
      </c>
      <c r="M163" s="4" t="str">
        <f>IFERROR(__xludf.DUMMYFUNCTION("""COMPUTED_VALUE"""),"")</f>
        <v/>
      </c>
      <c r="N163" s="4" t="str">
        <f>IFERROR(__xludf.DUMMYFUNCTION("""COMPUTED_VALUE"""),"")</f>
        <v/>
      </c>
      <c r="O163" s="4" t="str">
        <f>IFERROR(__xludf.DUMMYFUNCTION("""COMPUTED_VALUE"""),"")</f>
        <v/>
      </c>
      <c r="P163" s="4" t="str">
        <f>IFERROR(__xludf.DUMMYFUNCTION("""COMPUTED_VALUE"""),"")</f>
        <v/>
      </c>
      <c r="Q163" s="4" t="str">
        <f>IFERROR(__xludf.DUMMYFUNCTION("""COMPUTED_VALUE"""),"")</f>
        <v/>
      </c>
      <c r="R163" s="4" t="str">
        <f>IFERROR(__xludf.DUMMYFUNCTION("""COMPUTED_VALUE"""),"")</f>
        <v/>
      </c>
      <c r="S163" s="4" t="str">
        <f>IFERROR(__xludf.DUMMYFUNCTION("""COMPUTED_VALUE"""),"")</f>
        <v/>
      </c>
      <c r="T163" s="4" t="str">
        <f>IFERROR(__xludf.DUMMYFUNCTION("""COMPUTED_VALUE"""),"")</f>
        <v/>
      </c>
      <c r="U163" s="4" t="str">
        <f>IFERROR(__xludf.DUMMYFUNCTION("""COMPUTED_VALUE"""),"")</f>
        <v/>
      </c>
    </row>
    <row r="164">
      <c r="A164" s="4" t="str">
        <f>IFERROR(__xludf.DUMMYFUNCTION("""COMPUTED_VALUE"""),"")</f>
        <v/>
      </c>
      <c r="B164" s="4" t="str">
        <f>IFERROR(__xludf.DUMMYFUNCTION("""COMPUTED_VALUE"""),"")</f>
        <v/>
      </c>
      <c r="C164" s="4" t="str">
        <f>IFERROR(__xludf.DUMMYFUNCTION("""COMPUTED_VALUE"""),"")</f>
        <v/>
      </c>
      <c r="D164" s="4" t="str">
        <f>IFERROR(__xludf.DUMMYFUNCTION("""COMPUTED_VALUE"""),"")</f>
        <v/>
      </c>
      <c r="E164" s="4" t="str">
        <f>IFERROR(__xludf.DUMMYFUNCTION("""COMPUTED_VALUE"""),"")</f>
        <v/>
      </c>
      <c r="F164" s="4" t="str">
        <f>IFERROR(__xludf.DUMMYFUNCTION("""COMPUTED_VALUE"""),"")</f>
        <v/>
      </c>
      <c r="G164" s="4" t="str">
        <f>IFERROR(__xludf.DUMMYFUNCTION("""COMPUTED_VALUE"""),"")</f>
        <v/>
      </c>
      <c r="H164" s="4" t="str">
        <f>IFERROR(__xludf.DUMMYFUNCTION("""COMPUTED_VALUE"""),"")</f>
        <v/>
      </c>
      <c r="I164" s="4" t="str">
        <f>IFERROR(__xludf.DUMMYFUNCTION("""COMPUTED_VALUE"""),"")</f>
        <v/>
      </c>
      <c r="J164" s="4" t="str">
        <f>IFERROR(__xludf.DUMMYFUNCTION("""COMPUTED_VALUE"""),"")</f>
        <v/>
      </c>
      <c r="K164" s="4" t="str">
        <f>IFERROR(__xludf.DUMMYFUNCTION("""COMPUTED_VALUE"""),"")</f>
        <v/>
      </c>
      <c r="L164" s="4" t="str">
        <f>IFERROR(__xludf.DUMMYFUNCTION("""COMPUTED_VALUE"""),"")</f>
        <v/>
      </c>
      <c r="M164" s="4" t="str">
        <f>IFERROR(__xludf.DUMMYFUNCTION("""COMPUTED_VALUE"""),"")</f>
        <v/>
      </c>
      <c r="N164" s="4" t="str">
        <f>IFERROR(__xludf.DUMMYFUNCTION("""COMPUTED_VALUE"""),"")</f>
        <v/>
      </c>
      <c r="O164" s="4" t="str">
        <f>IFERROR(__xludf.DUMMYFUNCTION("""COMPUTED_VALUE"""),"")</f>
        <v/>
      </c>
      <c r="P164" s="4" t="str">
        <f>IFERROR(__xludf.DUMMYFUNCTION("""COMPUTED_VALUE"""),"")</f>
        <v/>
      </c>
      <c r="Q164" s="4" t="str">
        <f>IFERROR(__xludf.DUMMYFUNCTION("""COMPUTED_VALUE"""),"")</f>
        <v/>
      </c>
      <c r="R164" s="4" t="str">
        <f>IFERROR(__xludf.DUMMYFUNCTION("""COMPUTED_VALUE"""),"")</f>
        <v/>
      </c>
      <c r="S164" s="4" t="str">
        <f>IFERROR(__xludf.DUMMYFUNCTION("""COMPUTED_VALUE"""),"")</f>
        <v/>
      </c>
      <c r="T164" s="4" t="str">
        <f>IFERROR(__xludf.DUMMYFUNCTION("""COMPUTED_VALUE"""),"")</f>
        <v/>
      </c>
      <c r="U164" s="4" t="str">
        <f>IFERROR(__xludf.DUMMYFUNCTION("""COMPUTED_VALUE"""),"")</f>
        <v/>
      </c>
    </row>
    <row r="165">
      <c r="A165" s="4" t="str">
        <f>IFERROR(__xludf.DUMMYFUNCTION("""COMPUTED_VALUE"""),"")</f>
        <v/>
      </c>
      <c r="B165" s="4" t="str">
        <f>IFERROR(__xludf.DUMMYFUNCTION("""COMPUTED_VALUE"""),"")</f>
        <v/>
      </c>
      <c r="C165" s="4" t="str">
        <f>IFERROR(__xludf.DUMMYFUNCTION("""COMPUTED_VALUE"""),"")</f>
        <v/>
      </c>
      <c r="D165" s="4" t="str">
        <f>IFERROR(__xludf.DUMMYFUNCTION("""COMPUTED_VALUE"""),"")</f>
        <v/>
      </c>
      <c r="E165" s="4" t="str">
        <f>IFERROR(__xludf.DUMMYFUNCTION("""COMPUTED_VALUE"""),"")</f>
        <v/>
      </c>
      <c r="F165" s="4" t="str">
        <f>IFERROR(__xludf.DUMMYFUNCTION("""COMPUTED_VALUE"""),"")</f>
        <v/>
      </c>
      <c r="G165" s="4" t="str">
        <f>IFERROR(__xludf.DUMMYFUNCTION("""COMPUTED_VALUE"""),"")</f>
        <v/>
      </c>
      <c r="H165" s="4" t="str">
        <f>IFERROR(__xludf.DUMMYFUNCTION("""COMPUTED_VALUE"""),"")</f>
        <v/>
      </c>
      <c r="I165" s="4" t="str">
        <f>IFERROR(__xludf.DUMMYFUNCTION("""COMPUTED_VALUE"""),"")</f>
        <v/>
      </c>
      <c r="J165" s="4" t="str">
        <f>IFERROR(__xludf.DUMMYFUNCTION("""COMPUTED_VALUE"""),"")</f>
        <v/>
      </c>
      <c r="K165" s="4" t="str">
        <f>IFERROR(__xludf.DUMMYFUNCTION("""COMPUTED_VALUE"""),"")</f>
        <v/>
      </c>
      <c r="L165" s="4" t="str">
        <f>IFERROR(__xludf.DUMMYFUNCTION("""COMPUTED_VALUE"""),"")</f>
        <v/>
      </c>
      <c r="M165" s="4" t="str">
        <f>IFERROR(__xludf.DUMMYFUNCTION("""COMPUTED_VALUE"""),"")</f>
        <v/>
      </c>
      <c r="N165" s="4" t="str">
        <f>IFERROR(__xludf.DUMMYFUNCTION("""COMPUTED_VALUE"""),"")</f>
        <v/>
      </c>
      <c r="O165" s="4" t="str">
        <f>IFERROR(__xludf.DUMMYFUNCTION("""COMPUTED_VALUE"""),"")</f>
        <v/>
      </c>
      <c r="P165" s="4" t="str">
        <f>IFERROR(__xludf.DUMMYFUNCTION("""COMPUTED_VALUE"""),"")</f>
        <v/>
      </c>
      <c r="Q165" s="4" t="str">
        <f>IFERROR(__xludf.DUMMYFUNCTION("""COMPUTED_VALUE"""),"")</f>
        <v/>
      </c>
      <c r="R165" s="4" t="str">
        <f>IFERROR(__xludf.DUMMYFUNCTION("""COMPUTED_VALUE"""),"")</f>
        <v/>
      </c>
      <c r="S165" s="4" t="str">
        <f>IFERROR(__xludf.DUMMYFUNCTION("""COMPUTED_VALUE"""),"")</f>
        <v/>
      </c>
      <c r="T165" s="4" t="str">
        <f>IFERROR(__xludf.DUMMYFUNCTION("""COMPUTED_VALUE"""),"")</f>
        <v/>
      </c>
      <c r="U165" s="4" t="str">
        <f>IFERROR(__xludf.DUMMYFUNCTION("""COMPUTED_VALUE"""),"")</f>
        <v/>
      </c>
    </row>
    <row r="166">
      <c r="A166" s="4" t="str">
        <f>IFERROR(__xludf.DUMMYFUNCTION("""COMPUTED_VALUE"""),"")</f>
        <v/>
      </c>
      <c r="B166" s="4" t="str">
        <f>IFERROR(__xludf.DUMMYFUNCTION("""COMPUTED_VALUE"""),"")</f>
        <v/>
      </c>
      <c r="C166" s="4" t="str">
        <f>IFERROR(__xludf.DUMMYFUNCTION("""COMPUTED_VALUE"""),"")</f>
        <v/>
      </c>
      <c r="D166" s="4" t="str">
        <f>IFERROR(__xludf.DUMMYFUNCTION("""COMPUTED_VALUE"""),"")</f>
        <v/>
      </c>
      <c r="E166" s="4" t="str">
        <f>IFERROR(__xludf.DUMMYFUNCTION("""COMPUTED_VALUE"""),"")</f>
        <v/>
      </c>
      <c r="F166" s="4" t="str">
        <f>IFERROR(__xludf.DUMMYFUNCTION("""COMPUTED_VALUE"""),"")</f>
        <v/>
      </c>
      <c r="G166" s="4" t="str">
        <f>IFERROR(__xludf.DUMMYFUNCTION("""COMPUTED_VALUE"""),"")</f>
        <v/>
      </c>
      <c r="H166" s="4" t="str">
        <f>IFERROR(__xludf.DUMMYFUNCTION("""COMPUTED_VALUE"""),"")</f>
        <v/>
      </c>
      <c r="I166" s="4" t="str">
        <f>IFERROR(__xludf.DUMMYFUNCTION("""COMPUTED_VALUE"""),"")</f>
        <v/>
      </c>
      <c r="J166" s="4" t="str">
        <f>IFERROR(__xludf.DUMMYFUNCTION("""COMPUTED_VALUE"""),"")</f>
        <v/>
      </c>
      <c r="K166" s="4" t="str">
        <f>IFERROR(__xludf.DUMMYFUNCTION("""COMPUTED_VALUE"""),"")</f>
        <v/>
      </c>
      <c r="L166" s="4" t="str">
        <f>IFERROR(__xludf.DUMMYFUNCTION("""COMPUTED_VALUE"""),"")</f>
        <v/>
      </c>
      <c r="M166" s="4" t="str">
        <f>IFERROR(__xludf.DUMMYFUNCTION("""COMPUTED_VALUE"""),"")</f>
        <v/>
      </c>
      <c r="N166" s="4" t="str">
        <f>IFERROR(__xludf.DUMMYFUNCTION("""COMPUTED_VALUE"""),"")</f>
        <v/>
      </c>
      <c r="O166" s="4" t="str">
        <f>IFERROR(__xludf.DUMMYFUNCTION("""COMPUTED_VALUE"""),"")</f>
        <v/>
      </c>
      <c r="P166" s="4" t="str">
        <f>IFERROR(__xludf.DUMMYFUNCTION("""COMPUTED_VALUE"""),"")</f>
        <v/>
      </c>
      <c r="Q166" s="4" t="str">
        <f>IFERROR(__xludf.DUMMYFUNCTION("""COMPUTED_VALUE"""),"")</f>
        <v/>
      </c>
      <c r="R166" s="4" t="str">
        <f>IFERROR(__xludf.DUMMYFUNCTION("""COMPUTED_VALUE"""),"")</f>
        <v/>
      </c>
      <c r="S166" s="4" t="str">
        <f>IFERROR(__xludf.DUMMYFUNCTION("""COMPUTED_VALUE"""),"")</f>
        <v/>
      </c>
      <c r="T166" s="4" t="str">
        <f>IFERROR(__xludf.DUMMYFUNCTION("""COMPUTED_VALUE"""),"")</f>
        <v/>
      </c>
      <c r="U166" s="4" t="str">
        <f>IFERROR(__xludf.DUMMYFUNCTION("""COMPUTED_VALUE"""),"")</f>
        <v/>
      </c>
    </row>
    <row r="167">
      <c r="A167" s="4" t="str">
        <f>IFERROR(__xludf.DUMMYFUNCTION("""COMPUTED_VALUE"""),"")</f>
        <v/>
      </c>
      <c r="B167" s="4" t="str">
        <f>IFERROR(__xludf.DUMMYFUNCTION("""COMPUTED_VALUE"""),"")</f>
        <v/>
      </c>
      <c r="C167" s="4" t="str">
        <f>IFERROR(__xludf.DUMMYFUNCTION("""COMPUTED_VALUE"""),"")</f>
        <v/>
      </c>
      <c r="D167" s="4" t="str">
        <f>IFERROR(__xludf.DUMMYFUNCTION("""COMPUTED_VALUE"""),"")</f>
        <v/>
      </c>
      <c r="E167" s="4" t="str">
        <f>IFERROR(__xludf.DUMMYFUNCTION("""COMPUTED_VALUE"""),"")</f>
        <v/>
      </c>
      <c r="F167" s="4" t="str">
        <f>IFERROR(__xludf.DUMMYFUNCTION("""COMPUTED_VALUE"""),"")</f>
        <v/>
      </c>
      <c r="G167" s="4" t="str">
        <f>IFERROR(__xludf.DUMMYFUNCTION("""COMPUTED_VALUE"""),"")</f>
        <v/>
      </c>
      <c r="H167" s="4" t="str">
        <f>IFERROR(__xludf.DUMMYFUNCTION("""COMPUTED_VALUE"""),"")</f>
        <v/>
      </c>
      <c r="I167" s="4" t="str">
        <f>IFERROR(__xludf.DUMMYFUNCTION("""COMPUTED_VALUE"""),"")</f>
        <v/>
      </c>
      <c r="J167" s="4" t="str">
        <f>IFERROR(__xludf.DUMMYFUNCTION("""COMPUTED_VALUE"""),"")</f>
        <v/>
      </c>
      <c r="K167" s="4" t="str">
        <f>IFERROR(__xludf.DUMMYFUNCTION("""COMPUTED_VALUE"""),"")</f>
        <v/>
      </c>
      <c r="L167" s="4" t="str">
        <f>IFERROR(__xludf.DUMMYFUNCTION("""COMPUTED_VALUE"""),"")</f>
        <v/>
      </c>
      <c r="M167" s="4" t="str">
        <f>IFERROR(__xludf.DUMMYFUNCTION("""COMPUTED_VALUE"""),"")</f>
        <v/>
      </c>
      <c r="N167" s="4" t="str">
        <f>IFERROR(__xludf.DUMMYFUNCTION("""COMPUTED_VALUE"""),"")</f>
        <v/>
      </c>
      <c r="O167" s="4" t="str">
        <f>IFERROR(__xludf.DUMMYFUNCTION("""COMPUTED_VALUE"""),"")</f>
        <v/>
      </c>
      <c r="P167" s="4" t="str">
        <f>IFERROR(__xludf.DUMMYFUNCTION("""COMPUTED_VALUE"""),"")</f>
        <v/>
      </c>
      <c r="Q167" s="4" t="str">
        <f>IFERROR(__xludf.DUMMYFUNCTION("""COMPUTED_VALUE"""),"")</f>
        <v/>
      </c>
      <c r="R167" s="4" t="str">
        <f>IFERROR(__xludf.DUMMYFUNCTION("""COMPUTED_VALUE"""),"")</f>
        <v/>
      </c>
      <c r="S167" s="4" t="str">
        <f>IFERROR(__xludf.DUMMYFUNCTION("""COMPUTED_VALUE"""),"")</f>
        <v/>
      </c>
      <c r="T167" s="4" t="str">
        <f>IFERROR(__xludf.DUMMYFUNCTION("""COMPUTED_VALUE"""),"")</f>
        <v/>
      </c>
      <c r="U167" s="4" t="str">
        <f>IFERROR(__xludf.DUMMYFUNCTION("""COMPUTED_VALUE"""),"")</f>
        <v/>
      </c>
    </row>
    <row r="168">
      <c r="A168" s="4" t="str">
        <f>IFERROR(__xludf.DUMMYFUNCTION("""COMPUTED_VALUE"""),"")</f>
        <v/>
      </c>
      <c r="B168" s="4" t="str">
        <f>IFERROR(__xludf.DUMMYFUNCTION("""COMPUTED_VALUE"""),"")</f>
        <v/>
      </c>
      <c r="C168" s="4" t="str">
        <f>IFERROR(__xludf.DUMMYFUNCTION("""COMPUTED_VALUE"""),"")</f>
        <v/>
      </c>
      <c r="D168" s="4" t="str">
        <f>IFERROR(__xludf.DUMMYFUNCTION("""COMPUTED_VALUE"""),"")</f>
        <v/>
      </c>
      <c r="E168" s="4" t="str">
        <f>IFERROR(__xludf.DUMMYFUNCTION("""COMPUTED_VALUE"""),"")</f>
        <v/>
      </c>
      <c r="F168" s="4" t="str">
        <f>IFERROR(__xludf.DUMMYFUNCTION("""COMPUTED_VALUE"""),"")</f>
        <v/>
      </c>
      <c r="G168" s="4" t="str">
        <f>IFERROR(__xludf.DUMMYFUNCTION("""COMPUTED_VALUE"""),"")</f>
        <v/>
      </c>
      <c r="H168" s="4" t="str">
        <f>IFERROR(__xludf.DUMMYFUNCTION("""COMPUTED_VALUE"""),"")</f>
        <v/>
      </c>
      <c r="I168" s="4" t="str">
        <f>IFERROR(__xludf.DUMMYFUNCTION("""COMPUTED_VALUE"""),"")</f>
        <v/>
      </c>
      <c r="J168" s="4" t="str">
        <f>IFERROR(__xludf.DUMMYFUNCTION("""COMPUTED_VALUE"""),"")</f>
        <v/>
      </c>
      <c r="K168" s="4" t="str">
        <f>IFERROR(__xludf.DUMMYFUNCTION("""COMPUTED_VALUE"""),"")</f>
        <v/>
      </c>
      <c r="L168" s="4" t="str">
        <f>IFERROR(__xludf.DUMMYFUNCTION("""COMPUTED_VALUE"""),"")</f>
        <v/>
      </c>
      <c r="M168" s="4" t="str">
        <f>IFERROR(__xludf.DUMMYFUNCTION("""COMPUTED_VALUE"""),"")</f>
        <v/>
      </c>
      <c r="N168" s="4" t="str">
        <f>IFERROR(__xludf.DUMMYFUNCTION("""COMPUTED_VALUE"""),"")</f>
        <v/>
      </c>
      <c r="O168" s="4" t="str">
        <f>IFERROR(__xludf.DUMMYFUNCTION("""COMPUTED_VALUE"""),"")</f>
        <v/>
      </c>
      <c r="P168" s="4" t="str">
        <f>IFERROR(__xludf.DUMMYFUNCTION("""COMPUTED_VALUE"""),"")</f>
        <v/>
      </c>
      <c r="Q168" s="4" t="str">
        <f>IFERROR(__xludf.DUMMYFUNCTION("""COMPUTED_VALUE"""),"")</f>
        <v/>
      </c>
      <c r="R168" s="4" t="str">
        <f>IFERROR(__xludf.DUMMYFUNCTION("""COMPUTED_VALUE"""),"")</f>
        <v/>
      </c>
      <c r="S168" s="4" t="str">
        <f>IFERROR(__xludf.DUMMYFUNCTION("""COMPUTED_VALUE"""),"")</f>
        <v/>
      </c>
      <c r="T168" s="4" t="str">
        <f>IFERROR(__xludf.DUMMYFUNCTION("""COMPUTED_VALUE"""),"")</f>
        <v/>
      </c>
      <c r="U168" s="4" t="str">
        <f>IFERROR(__xludf.DUMMYFUNCTION("""COMPUTED_VALUE"""),"")</f>
        <v/>
      </c>
    </row>
    <row r="169">
      <c r="A169" s="4" t="str">
        <f>IFERROR(__xludf.DUMMYFUNCTION("""COMPUTED_VALUE"""),"")</f>
        <v/>
      </c>
      <c r="B169" s="4" t="str">
        <f>IFERROR(__xludf.DUMMYFUNCTION("""COMPUTED_VALUE"""),"")</f>
        <v/>
      </c>
      <c r="C169" s="4" t="str">
        <f>IFERROR(__xludf.DUMMYFUNCTION("""COMPUTED_VALUE"""),"")</f>
        <v/>
      </c>
      <c r="D169" s="4" t="str">
        <f>IFERROR(__xludf.DUMMYFUNCTION("""COMPUTED_VALUE"""),"")</f>
        <v/>
      </c>
      <c r="E169" s="4" t="str">
        <f>IFERROR(__xludf.DUMMYFUNCTION("""COMPUTED_VALUE"""),"")</f>
        <v/>
      </c>
      <c r="F169" s="4" t="str">
        <f>IFERROR(__xludf.DUMMYFUNCTION("""COMPUTED_VALUE"""),"")</f>
        <v/>
      </c>
      <c r="G169" s="4" t="str">
        <f>IFERROR(__xludf.DUMMYFUNCTION("""COMPUTED_VALUE"""),"")</f>
        <v/>
      </c>
      <c r="H169" s="4" t="str">
        <f>IFERROR(__xludf.DUMMYFUNCTION("""COMPUTED_VALUE"""),"")</f>
        <v/>
      </c>
      <c r="I169" s="4" t="str">
        <f>IFERROR(__xludf.DUMMYFUNCTION("""COMPUTED_VALUE"""),"")</f>
        <v/>
      </c>
      <c r="J169" s="4" t="str">
        <f>IFERROR(__xludf.DUMMYFUNCTION("""COMPUTED_VALUE"""),"")</f>
        <v/>
      </c>
      <c r="K169" s="4" t="str">
        <f>IFERROR(__xludf.DUMMYFUNCTION("""COMPUTED_VALUE"""),"")</f>
        <v/>
      </c>
      <c r="L169" s="4" t="str">
        <f>IFERROR(__xludf.DUMMYFUNCTION("""COMPUTED_VALUE"""),"")</f>
        <v/>
      </c>
      <c r="M169" s="4" t="str">
        <f>IFERROR(__xludf.DUMMYFUNCTION("""COMPUTED_VALUE"""),"")</f>
        <v/>
      </c>
      <c r="N169" s="4" t="str">
        <f>IFERROR(__xludf.DUMMYFUNCTION("""COMPUTED_VALUE"""),"")</f>
        <v/>
      </c>
      <c r="O169" s="4" t="str">
        <f>IFERROR(__xludf.DUMMYFUNCTION("""COMPUTED_VALUE"""),"")</f>
        <v/>
      </c>
      <c r="P169" s="4" t="str">
        <f>IFERROR(__xludf.DUMMYFUNCTION("""COMPUTED_VALUE"""),"")</f>
        <v/>
      </c>
      <c r="Q169" s="4" t="str">
        <f>IFERROR(__xludf.DUMMYFUNCTION("""COMPUTED_VALUE"""),"")</f>
        <v/>
      </c>
      <c r="R169" s="4" t="str">
        <f>IFERROR(__xludf.DUMMYFUNCTION("""COMPUTED_VALUE"""),"")</f>
        <v/>
      </c>
      <c r="S169" s="4" t="str">
        <f>IFERROR(__xludf.DUMMYFUNCTION("""COMPUTED_VALUE"""),"")</f>
        <v/>
      </c>
      <c r="T169" s="4" t="str">
        <f>IFERROR(__xludf.DUMMYFUNCTION("""COMPUTED_VALUE"""),"")</f>
        <v/>
      </c>
      <c r="U169" s="4" t="str">
        <f>IFERROR(__xludf.DUMMYFUNCTION("""COMPUTED_VALUE"""),"")</f>
        <v/>
      </c>
    </row>
    <row r="170">
      <c r="A170" s="4" t="str">
        <f>IFERROR(__xludf.DUMMYFUNCTION("""COMPUTED_VALUE"""),"")</f>
        <v/>
      </c>
      <c r="B170" s="4" t="str">
        <f>IFERROR(__xludf.DUMMYFUNCTION("""COMPUTED_VALUE"""),"")</f>
        <v/>
      </c>
      <c r="C170" s="4" t="str">
        <f>IFERROR(__xludf.DUMMYFUNCTION("""COMPUTED_VALUE"""),"")</f>
        <v/>
      </c>
      <c r="D170" s="4" t="str">
        <f>IFERROR(__xludf.DUMMYFUNCTION("""COMPUTED_VALUE"""),"")</f>
        <v/>
      </c>
      <c r="E170" s="4" t="str">
        <f>IFERROR(__xludf.DUMMYFUNCTION("""COMPUTED_VALUE"""),"")</f>
        <v/>
      </c>
      <c r="F170" s="4" t="str">
        <f>IFERROR(__xludf.DUMMYFUNCTION("""COMPUTED_VALUE"""),"")</f>
        <v/>
      </c>
      <c r="G170" s="4" t="str">
        <f>IFERROR(__xludf.DUMMYFUNCTION("""COMPUTED_VALUE"""),"")</f>
        <v/>
      </c>
      <c r="H170" s="4" t="str">
        <f>IFERROR(__xludf.DUMMYFUNCTION("""COMPUTED_VALUE"""),"")</f>
        <v/>
      </c>
      <c r="I170" s="4" t="str">
        <f>IFERROR(__xludf.DUMMYFUNCTION("""COMPUTED_VALUE"""),"")</f>
        <v/>
      </c>
      <c r="J170" s="4" t="str">
        <f>IFERROR(__xludf.DUMMYFUNCTION("""COMPUTED_VALUE"""),"")</f>
        <v/>
      </c>
      <c r="K170" s="4" t="str">
        <f>IFERROR(__xludf.DUMMYFUNCTION("""COMPUTED_VALUE"""),"")</f>
        <v/>
      </c>
      <c r="L170" s="4" t="str">
        <f>IFERROR(__xludf.DUMMYFUNCTION("""COMPUTED_VALUE"""),"")</f>
        <v/>
      </c>
      <c r="M170" s="4" t="str">
        <f>IFERROR(__xludf.DUMMYFUNCTION("""COMPUTED_VALUE"""),"")</f>
        <v/>
      </c>
      <c r="N170" s="4" t="str">
        <f>IFERROR(__xludf.DUMMYFUNCTION("""COMPUTED_VALUE"""),"")</f>
        <v/>
      </c>
      <c r="O170" s="4" t="str">
        <f>IFERROR(__xludf.DUMMYFUNCTION("""COMPUTED_VALUE"""),"")</f>
        <v/>
      </c>
      <c r="P170" s="4" t="str">
        <f>IFERROR(__xludf.DUMMYFUNCTION("""COMPUTED_VALUE"""),"")</f>
        <v/>
      </c>
      <c r="Q170" s="4" t="str">
        <f>IFERROR(__xludf.DUMMYFUNCTION("""COMPUTED_VALUE"""),"")</f>
        <v/>
      </c>
      <c r="R170" s="4" t="str">
        <f>IFERROR(__xludf.DUMMYFUNCTION("""COMPUTED_VALUE"""),"")</f>
        <v/>
      </c>
      <c r="S170" s="4" t="str">
        <f>IFERROR(__xludf.DUMMYFUNCTION("""COMPUTED_VALUE"""),"")</f>
        <v/>
      </c>
      <c r="T170" s="4" t="str">
        <f>IFERROR(__xludf.DUMMYFUNCTION("""COMPUTED_VALUE"""),"")</f>
        <v/>
      </c>
      <c r="U170" s="4" t="str">
        <f>IFERROR(__xludf.DUMMYFUNCTION("""COMPUTED_VALUE"""),"")</f>
        <v/>
      </c>
    </row>
    <row r="171">
      <c r="A171" s="4" t="str">
        <f>IFERROR(__xludf.DUMMYFUNCTION("""COMPUTED_VALUE"""),"")</f>
        <v/>
      </c>
      <c r="B171" s="4" t="str">
        <f>IFERROR(__xludf.DUMMYFUNCTION("""COMPUTED_VALUE"""),"")</f>
        <v/>
      </c>
      <c r="C171" s="4" t="str">
        <f>IFERROR(__xludf.DUMMYFUNCTION("""COMPUTED_VALUE"""),"")</f>
        <v/>
      </c>
      <c r="D171" s="4" t="str">
        <f>IFERROR(__xludf.DUMMYFUNCTION("""COMPUTED_VALUE"""),"")</f>
        <v/>
      </c>
      <c r="E171" s="4" t="str">
        <f>IFERROR(__xludf.DUMMYFUNCTION("""COMPUTED_VALUE"""),"")</f>
        <v/>
      </c>
      <c r="F171" s="4" t="str">
        <f>IFERROR(__xludf.DUMMYFUNCTION("""COMPUTED_VALUE"""),"")</f>
        <v/>
      </c>
      <c r="G171" s="4" t="str">
        <f>IFERROR(__xludf.DUMMYFUNCTION("""COMPUTED_VALUE"""),"")</f>
        <v/>
      </c>
      <c r="H171" s="4" t="str">
        <f>IFERROR(__xludf.DUMMYFUNCTION("""COMPUTED_VALUE"""),"")</f>
        <v/>
      </c>
      <c r="I171" s="4" t="str">
        <f>IFERROR(__xludf.DUMMYFUNCTION("""COMPUTED_VALUE"""),"")</f>
        <v/>
      </c>
      <c r="J171" s="4" t="str">
        <f>IFERROR(__xludf.DUMMYFUNCTION("""COMPUTED_VALUE"""),"")</f>
        <v/>
      </c>
      <c r="K171" s="4" t="str">
        <f>IFERROR(__xludf.DUMMYFUNCTION("""COMPUTED_VALUE"""),"")</f>
        <v/>
      </c>
      <c r="L171" s="4" t="str">
        <f>IFERROR(__xludf.DUMMYFUNCTION("""COMPUTED_VALUE"""),"")</f>
        <v/>
      </c>
      <c r="M171" s="4" t="str">
        <f>IFERROR(__xludf.DUMMYFUNCTION("""COMPUTED_VALUE"""),"")</f>
        <v/>
      </c>
      <c r="N171" s="4" t="str">
        <f>IFERROR(__xludf.DUMMYFUNCTION("""COMPUTED_VALUE"""),"")</f>
        <v/>
      </c>
      <c r="O171" s="4" t="str">
        <f>IFERROR(__xludf.DUMMYFUNCTION("""COMPUTED_VALUE"""),"")</f>
        <v/>
      </c>
      <c r="P171" s="4" t="str">
        <f>IFERROR(__xludf.DUMMYFUNCTION("""COMPUTED_VALUE"""),"")</f>
        <v/>
      </c>
      <c r="Q171" s="4" t="str">
        <f>IFERROR(__xludf.DUMMYFUNCTION("""COMPUTED_VALUE"""),"")</f>
        <v/>
      </c>
      <c r="R171" s="4" t="str">
        <f>IFERROR(__xludf.DUMMYFUNCTION("""COMPUTED_VALUE"""),"")</f>
        <v/>
      </c>
      <c r="S171" s="4" t="str">
        <f>IFERROR(__xludf.DUMMYFUNCTION("""COMPUTED_VALUE"""),"")</f>
        <v/>
      </c>
      <c r="T171" s="4" t="str">
        <f>IFERROR(__xludf.DUMMYFUNCTION("""COMPUTED_VALUE"""),"")</f>
        <v/>
      </c>
      <c r="U171" s="4" t="str">
        <f>IFERROR(__xludf.DUMMYFUNCTION("""COMPUTED_VALUE"""),"")</f>
        <v/>
      </c>
    </row>
    <row r="172">
      <c r="A172" s="4" t="str">
        <f>IFERROR(__xludf.DUMMYFUNCTION("""COMPUTED_VALUE"""),"")</f>
        <v/>
      </c>
      <c r="B172" s="4" t="str">
        <f>IFERROR(__xludf.DUMMYFUNCTION("""COMPUTED_VALUE"""),"")</f>
        <v/>
      </c>
      <c r="C172" s="4" t="str">
        <f>IFERROR(__xludf.DUMMYFUNCTION("""COMPUTED_VALUE"""),"")</f>
        <v/>
      </c>
      <c r="D172" s="4" t="str">
        <f>IFERROR(__xludf.DUMMYFUNCTION("""COMPUTED_VALUE"""),"")</f>
        <v/>
      </c>
      <c r="E172" s="4" t="str">
        <f>IFERROR(__xludf.DUMMYFUNCTION("""COMPUTED_VALUE"""),"")</f>
        <v/>
      </c>
      <c r="F172" s="4" t="str">
        <f>IFERROR(__xludf.DUMMYFUNCTION("""COMPUTED_VALUE"""),"")</f>
        <v/>
      </c>
      <c r="G172" s="4" t="str">
        <f>IFERROR(__xludf.DUMMYFUNCTION("""COMPUTED_VALUE"""),"")</f>
        <v/>
      </c>
      <c r="H172" s="4" t="str">
        <f>IFERROR(__xludf.DUMMYFUNCTION("""COMPUTED_VALUE"""),"")</f>
        <v/>
      </c>
      <c r="I172" s="4" t="str">
        <f>IFERROR(__xludf.DUMMYFUNCTION("""COMPUTED_VALUE"""),"")</f>
        <v/>
      </c>
      <c r="J172" s="4" t="str">
        <f>IFERROR(__xludf.DUMMYFUNCTION("""COMPUTED_VALUE"""),"")</f>
        <v/>
      </c>
      <c r="K172" s="4" t="str">
        <f>IFERROR(__xludf.DUMMYFUNCTION("""COMPUTED_VALUE"""),"")</f>
        <v/>
      </c>
      <c r="L172" s="4" t="str">
        <f>IFERROR(__xludf.DUMMYFUNCTION("""COMPUTED_VALUE"""),"")</f>
        <v/>
      </c>
      <c r="M172" s="4" t="str">
        <f>IFERROR(__xludf.DUMMYFUNCTION("""COMPUTED_VALUE"""),"")</f>
        <v/>
      </c>
      <c r="N172" s="4" t="str">
        <f>IFERROR(__xludf.DUMMYFUNCTION("""COMPUTED_VALUE"""),"")</f>
        <v/>
      </c>
      <c r="O172" s="4" t="str">
        <f>IFERROR(__xludf.DUMMYFUNCTION("""COMPUTED_VALUE"""),"")</f>
        <v/>
      </c>
      <c r="P172" s="4" t="str">
        <f>IFERROR(__xludf.DUMMYFUNCTION("""COMPUTED_VALUE"""),"")</f>
        <v/>
      </c>
      <c r="Q172" s="4" t="str">
        <f>IFERROR(__xludf.DUMMYFUNCTION("""COMPUTED_VALUE"""),"")</f>
        <v/>
      </c>
      <c r="R172" s="4" t="str">
        <f>IFERROR(__xludf.DUMMYFUNCTION("""COMPUTED_VALUE"""),"")</f>
        <v/>
      </c>
      <c r="S172" s="4" t="str">
        <f>IFERROR(__xludf.DUMMYFUNCTION("""COMPUTED_VALUE"""),"")</f>
        <v/>
      </c>
      <c r="T172" s="4" t="str">
        <f>IFERROR(__xludf.DUMMYFUNCTION("""COMPUTED_VALUE"""),"")</f>
        <v/>
      </c>
      <c r="U172" s="4" t="str">
        <f>IFERROR(__xludf.DUMMYFUNCTION("""COMPUTED_VALUE"""),"")</f>
        <v/>
      </c>
    </row>
    <row r="173">
      <c r="A173" s="4" t="str">
        <f>IFERROR(__xludf.DUMMYFUNCTION("""COMPUTED_VALUE"""),"")</f>
        <v/>
      </c>
      <c r="B173" s="4" t="str">
        <f>IFERROR(__xludf.DUMMYFUNCTION("""COMPUTED_VALUE"""),"")</f>
        <v/>
      </c>
      <c r="C173" s="4" t="str">
        <f>IFERROR(__xludf.DUMMYFUNCTION("""COMPUTED_VALUE"""),"")</f>
        <v/>
      </c>
      <c r="D173" s="4" t="str">
        <f>IFERROR(__xludf.DUMMYFUNCTION("""COMPUTED_VALUE"""),"")</f>
        <v/>
      </c>
      <c r="E173" s="4" t="str">
        <f>IFERROR(__xludf.DUMMYFUNCTION("""COMPUTED_VALUE"""),"")</f>
        <v/>
      </c>
      <c r="F173" s="4" t="str">
        <f>IFERROR(__xludf.DUMMYFUNCTION("""COMPUTED_VALUE"""),"")</f>
        <v/>
      </c>
      <c r="G173" s="4" t="str">
        <f>IFERROR(__xludf.DUMMYFUNCTION("""COMPUTED_VALUE"""),"")</f>
        <v/>
      </c>
      <c r="H173" s="4" t="str">
        <f>IFERROR(__xludf.DUMMYFUNCTION("""COMPUTED_VALUE"""),"")</f>
        <v/>
      </c>
      <c r="I173" s="4" t="str">
        <f>IFERROR(__xludf.DUMMYFUNCTION("""COMPUTED_VALUE"""),"")</f>
        <v/>
      </c>
      <c r="J173" s="4" t="str">
        <f>IFERROR(__xludf.DUMMYFUNCTION("""COMPUTED_VALUE"""),"")</f>
        <v/>
      </c>
      <c r="K173" s="4" t="str">
        <f>IFERROR(__xludf.DUMMYFUNCTION("""COMPUTED_VALUE"""),"")</f>
        <v/>
      </c>
      <c r="L173" s="4" t="str">
        <f>IFERROR(__xludf.DUMMYFUNCTION("""COMPUTED_VALUE"""),"")</f>
        <v/>
      </c>
      <c r="M173" s="4" t="str">
        <f>IFERROR(__xludf.DUMMYFUNCTION("""COMPUTED_VALUE"""),"")</f>
        <v/>
      </c>
      <c r="N173" s="4" t="str">
        <f>IFERROR(__xludf.DUMMYFUNCTION("""COMPUTED_VALUE"""),"")</f>
        <v/>
      </c>
      <c r="O173" s="4" t="str">
        <f>IFERROR(__xludf.DUMMYFUNCTION("""COMPUTED_VALUE"""),"")</f>
        <v/>
      </c>
      <c r="P173" s="4" t="str">
        <f>IFERROR(__xludf.DUMMYFUNCTION("""COMPUTED_VALUE"""),"")</f>
        <v/>
      </c>
      <c r="Q173" s="4" t="str">
        <f>IFERROR(__xludf.DUMMYFUNCTION("""COMPUTED_VALUE"""),"")</f>
        <v/>
      </c>
      <c r="R173" s="4" t="str">
        <f>IFERROR(__xludf.DUMMYFUNCTION("""COMPUTED_VALUE"""),"")</f>
        <v/>
      </c>
      <c r="S173" s="4" t="str">
        <f>IFERROR(__xludf.DUMMYFUNCTION("""COMPUTED_VALUE"""),"")</f>
        <v/>
      </c>
      <c r="T173" s="4" t="str">
        <f>IFERROR(__xludf.DUMMYFUNCTION("""COMPUTED_VALUE"""),"")</f>
        <v/>
      </c>
      <c r="U173" s="4" t="str">
        <f>IFERROR(__xludf.DUMMYFUNCTION("""COMPUTED_VALUE"""),"")</f>
        <v/>
      </c>
    </row>
    <row r="174">
      <c r="A174" s="4" t="str">
        <f>IFERROR(__xludf.DUMMYFUNCTION("""COMPUTED_VALUE"""),"")</f>
        <v/>
      </c>
      <c r="B174" s="4" t="str">
        <f>IFERROR(__xludf.DUMMYFUNCTION("""COMPUTED_VALUE"""),"")</f>
        <v/>
      </c>
      <c r="C174" s="4" t="str">
        <f>IFERROR(__xludf.DUMMYFUNCTION("""COMPUTED_VALUE"""),"")</f>
        <v/>
      </c>
      <c r="D174" s="4" t="str">
        <f>IFERROR(__xludf.DUMMYFUNCTION("""COMPUTED_VALUE"""),"")</f>
        <v/>
      </c>
      <c r="E174" s="4" t="str">
        <f>IFERROR(__xludf.DUMMYFUNCTION("""COMPUTED_VALUE"""),"")</f>
        <v/>
      </c>
      <c r="F174" s="4" t="str">
        <f>IFERROR(__xludf.DUMMYFUNCTION("""COMPUTED_VALUE"""),"")</f>
        <v/>
      </c>
      <c r="G174" s="4" t="str">
        <f>IFERROR(__xludf.DUMMYFUNCTION("""COMPUTED_VALUE"""),"")</f>
        <v/>
      </c>
      <c r="H174" s="4" t="str">
        <f>IFERROR(__xludf.DUMMYFUNCTION("""COMPUTED_VALUE"""),"")</f>
        <v/>
      </c>
      <c r="I174" s="4" t="str">
        <f>IFERROR(__xludf.DUMMYFUNCTION("""COMPUTED_VALUE"""),"")</f>
        <v/>
      </c>
      <c r="J174" s="4" t="str">
        <f>IFERROR(__xludf.DUMMYFUNCTION("""COMPUTED_VALUE"""),"")</f>
        <v/>
      </c>
      <c r="K174" s="4" t="str">
        <f>IFERROR(__xludf.DUMMYFUNCTION("""COMPUTED_VALUE"""),"")</f>
        <v/>
      </c>
      <c r="L174" s="4" t="str">
        <f>IFERROR(__xludf.DUMMYFUNCTION("""COMPUTED_VALUE"""),"")</f>
        <v/>
      </c>
      <c r="M174" s="4" t="str">
        <f>IFERROR(__xludf.DUMMYFUNCTION("""COMPUTED_VALUE"""),"")</f>
        <v/>
      </c>
      <c r="N174" s="4" t="str">
        <f>IFERROR(__xludf.DUMMYFUNCTION("""COMPUTED_VALUE"""),"")</f>
        <v/>
      </c>
      <c r="O174" s="4" t="str">
        <f>IFERROR(__xludf.DUMMYFUNCTION("""COMPUTED_VALUE"""),"")</f>
        <v/>
      </c>
      <c r="P174" s="4" t="str">
        <f>IFERROR(__xludf.DUMMYFUNCTION("""COMPUTED_VALUE"""),"")</f>
        <v/>
      </c>
      <c r="Q174" s="4" t="str">
        <f>IFERROR(__xludf.DUMMYFUNCTION("""COMPUTED_VALUE"""),"")</f>
        <v/>
      </c>
      <c r="R174" s="4" t="str">
        <f>IFERROR(__xludf.DUMMYFUNCTION("""COMPUTED_VALUE"""),"")</f>
        <v/>
      </c>
      <c r="S174" s="4" t="str">
        <f>IFERROR(__xludf.DUMMYFUNCTION("""COMPUTED_VALUE"""),"")</f>
        <v/>
      </c>
      <c r="T174" s="4" t="str">
        <f>IFERROR(__xludf.DUMMYFUNCTION("""COMPUTED_VALUE"""),"")</f>
        <v/>
      </c>
      <c r="U174" s="4" t="str">
        <f>IFERROR(__xludf.DUMMYFUNCTION("""COMPUTED_VALUE"""),"")</f>
        <v/>
      </c>
    </row>
    <row r="175">
      <c r="A175" s="4" t="str">
        <f>IFERROR(__xludf.DUMMYFUNCTION("""COMPUTED_VALUE"""),"")</f>
        <v/>
      </c>
      <c r="B175" s="4" t="str">
        <f>IFERROR(__xludf.DUMMYFUNCTION("""COMPUTED_VALUE"""),"")</f>
        <v/>
      </c>
      <c r="C175" s="4" t="str">
        <f>IFERROR(__xludf.DUMMYFUNCTION("""COMPUTED_VALUE"""),"")</f>
        <v/>
      </c>
      <c r="D175" s="4" t="str">
        <f>IFERROR(__xludf.DUMMYFUNCTION("""COMPUTED_VALUE"""),"")</f>
        <v/>
      </c>
      <c r="E175" s="4" t="str">
        <f>IFERROR(__xludf.DUMMYFUNCTION("""COMPUTED_VALUE"""),"")</f>
        <v/>
      </c>
      <c r="F175" s="4" t="str">
        <f>IFERROR(__xludf.DUMMYFUNCTION("""COMPUTED_VALUE"""),"")</f>
        <v/>
      </c>
      <c r="G175" s="4" t="str">
        <f>IFERROR(__xludf.DUMMYFUNCTION("""COMPUTED_VALUE"""),"")</f>
        <v/>
      </c>
      <c r="H175" s="4" t="str">
        <f>IFERROR(__xludf.DUMMYFUNCTION("""COMPUTED_VALUE"""),"")</f>
        <v/>
      </c>
      <c r="I175" s="4" t="str">
        <f>IFERROR(__xludf.DUMMYFUNCTION("""COMPUTED_VALUE"""),"")</f>
        <v/>
      </c>
      <c r="J175" s="4" t="str">
        <f>IFERROR(__xludf.DUMMYFUNCTION("""COMPUTED_VALUE"""),"")</f>
        <v/>
      </c>
      <c r="K175" s="4" t="str">
        <f>IFERROR(__xludf.DUMMYFUNCTION("""COMPUTED_VALUE"""),"")</f>
        <v/>
      </c>
      <c r="L175" s="4" t="str">
        <f>IFERROR(__xludf.DUMMYFUNCTION("""COMPUTED_VALUE"""),"")</f>
        <v/>
      </c>
      <c r="M175" s="4" t="str">
        <f>IFERROR(__xludf.DUMMYFUNCTION("""COMPUTED_VALUE"""),"")</f>
        <v/>
      </c>
      <c r="N175" s="4" t="str">
        <f>IFERROR(__xludf.DUMMYFUNCTION("""COMPUTED_VALUE"""),"")</f>
        <v/>
      </c>
      <c r="O175" s="4" t="str">
        <f>IFERROR(__xludf.DUMMYFUNCTION("""COMPUTED_VALUE"""),"")</f>
        <v/>
      </c>
      <c r="P175" s="4" t="str">
        <f>IFERROR(__xludf.DUMMYFUNCTION("""COMPUTED_VALUE"""),"")</f>
        <v/>
      </c>
      <c r="Q175" s="4" t="str">
        <f>IFERROR(__xludf.DUMMYFUNCTION("""COMPUTED_VALUE"""),"")</f>
        <v/>
      </c>
      <c r="R175" s="4" t="str">
        <f>IFERROR(__xludf.DUMMYFUNCTION("""COMPUTED_VALUE"""),"")</f>
        <v/>
      </c>
      <c r="S175" s="4" t="str">
        <f>IFERROR(__xludf.DUMMYFUNCTION("""COMPUTED_VALUE"""),"")</f>
        <v/>
      </c>
      <c r="T175" s="4" t="str">
        <f>IFERROR(__xludf.DUMMYFUNCTION("""COMPUTED_VALUE"""),"")</f>
        <v/>
      </c>
      <c r="U175" s="4" t="str">
        <f>IFERROR(__xludf.DUMMYFUNCTION("""COMPUTED_VALUE"""),"")</f>
        <v/>
      </c>
    </row>
    <row r="176">
      <c r="A176" s="4" t="str">
        <f>IFERROR(__xludf.DUMMYFUNCTION("""COMPUTED_VALUE"""),"")</f>
        <v/>
      </c>
      <c r="B176" s="4" t="str">
        <f>IFERROR(__xludf.DUMMYFUNCTION("""COMPUTED_VALUE"""),"")</f>
        <v/>
      </c>
      <c r="C176" s="4" t="str">
        <f>IFERROR(__xludf.DUMMYFUNCTION("""COMPUTED_VALUE"""),"")</f>
        <v/>
      </c>
      <c r="D176" s="4" t="str">
        <f>IFERROR(__xludf.DUMMYFUNCTION("""COMPUTED_VALUE"""),"")</f>
        <v/>
      </c>
      <c r="E176" s="4" t="str">
        <f>IFERROR(__xludf.DUMMYFUNCTION("""COMPUTED_VALUE"""),"")</f>
        <v/>
      </c>
      <c r="F176" s="4" t="str">
        <f>IFERROR(__xludf.DUMMYFUNCTION("""COMPUTED_VALUE"""),"")</f>
        <v/>
      </c>
      <c r="G176" s="4" t="str">
        <f>IFERROR(__xludf.DUMMYFUNCTION("""COMPUTED_VALUE"""),"")</f>
        <v/>
      </c>
      <c r="H176" s="4" t="str">
        <f>IFERROR(__xludf.DUMMYFUNCTION("""COMPUTED_VALUE"""),"")</f>
        <v/>
      </c>
      <c r="I176" s="4" t="str">
        <f>IFERROR(__xludf.DUMMYFUNCTION("""COMPUTED_VALUE"""),"")</f>
        <v/>
      </c>
      <c r="J176" s="4" t="str">
        <f>IFERROR(__xludf.DUMMYFUNCTION("""COMPUTED_VALUE"""),"")</f>
        <v/>
      </c>
      <c r="K176" s="4" t="str">
        <f>IFERROR(__xludf.DUMMYFUNCTION("""COMPUTED_VALUE"""),"")</f>
        <v/>
      </c>
      <c r="L176" s="4" t="str">
        <f>IFERROR(__xludf.DUMMYFUNCTION("""COMPUTED_VALUE"""),"")</f>
        <v/>
      </c>
      <c r="M176" s="4" t="str">
        <f>IFERROR(__xludf.DUMMYFUNCTION("""COMPUTED_VALUE"""),"")</f>
        <v/>
      </c>
      <c r="N176" s="4" t="str">
        <f>IFERROR(__xludf.DUMMYFUNCTION("""COMPUTED_VALUE"""),"")</f>
        <v/>
      </c>
      <c r="O176" s="4" t="str">
        <f>IFERROR(__xludf.DUMMYFUNCTION("""COMPUTED_VALUE"""),"")</f>
        <v/>
      </c>
      <c r="P176" s="4" t="str">
        <f>IFERROR(__xludf.DUMMYFUNCTION("""COMPUTED_VALUE"""),"")</f>
        <v/>
      </c>
      <c r="Q176" s="4" t="str">
        <f>IFERROR(__xludf.DUMMYFUNCTION("""COMPUTED_VALUE"""),"")</f>
        <v/>
      </c>
      <c r="R176" s="4" t="str">
        <f>IFERROR(__xludf.DUMMYFUNCTION("""COMPUTED_VALUE"""),"")</f>
        <v/>
      </c>
      <c r="S176" s="4" t="str">
        <f>IFERROR(__xludf.DUMMYFUNCTION("""COMPUTED_VALUE"""),"")</f>
        <v/>
      </c>
      <c r="T176" s="4" t="str">
        <f>IFERROR(__xludf.DUMMYFUNCTION("""COMPUTED_VALUE"""),"")</f>
        <v/>
      </c>
      <c r="U176" s="4" t="str">
        <f>IFERROR(__xludf.DUMMYFUNCTION("""COMPUTED_VALUE"""),"")</f>
        <v/>
      </c>
    </row>
    <row r="177">
      <c r="A177" s="4" t="str">
        <f>IFERROR(__xludf.DUMMYFUNCTION("""COMPUTED_VALUE"""),"")</f>
        <v/>
      </c>
      <c r="B177" s="4" t="str">
        <f>IFERROR(__xludf.DUMMYFUNCTION("""COMPUTED_VALUE"""),"")</f>
        <v/>
      </c>
      <c r="C177" s="4" t="str">
        <f>IFERROR(__xludf.DUMMYFUNCTION("""COMPUTED_VALUE"""),"")</f>
        <v/>
      </c>
      <c r="D177" s="4" t="str">
        <f>IFERROR(__xludf.DUMMYFUNCTION("""COMPUTED_VALUE"""),"")</f>
        <v/>
      </c>
      <c r="E177" s="4" t="str">
        <f>IFERROR(__xludf.DUMMYFUNCTION("""COMPUTED_VALUE"""),"")</f>
        <v/>
      </c>
      <c r="F177" s="4" t="str">
        <f>IFERROR(__xludf.DUMMYFUNCTION("""COMPUTED_VALUE"""),"")</f>
        <v/>
      </c>
      <c r="G177" s="4" t="str">
        <f>IFERROR(__xludf.DUMMYFUNCTION("""COMPUTED_VALUE"""),"")</f>
        <v/>
      </c>
      <c r="H177" s="4" t="str">
        <f>IFERROR(__xludf.DUMMYFUNCTION("""COMPUTED_VALUE"""),"")</f>
        <v/>
      </c>
      <c r="I177" s="4" t="str">
        <f>IFERROR(__xludf.DUMMYFUNCTION("""COMPUTED_VALUE"""),"")</f>
        <v/>
      </c>
      <c r="J177" s="4" t="str">
        <f>IFERROR(__xludf.DUMMYFUNCTION("""COMPUTED_VALUE"""),"")</f>
        <v/>
      </c>
      <c r="K177" s="4" t="str">
        <f>IFERROR(__xludf.DUMMYFUNCTION("""COMPUTED_VALUE"""),"")</f>
        <v/>
      </c>
      <c r="L177" s="4" t="str">
        <f>IFERROR(__xludf.DUMMYFUNCTION("""COMPUTED_VALUE"""),"")</f>
        <v/>
      </c>
      <c r="M177" s="4" t="str">
        <f>IFERROR(__xludf.DUMMYFUNCTION("""COMPUTED_VALUE"""),"")</f>
        <v/>
      </c>
      <c r="N177" s="4" t="str">
        <f>IFERROR(__xludf.DUMMYFUNCTION("""COMPUTED_VALUE"""),"")</f>
        <v/>
      </c>
      <c r="O177" s="4" t="str">
        <f>IFERROR(__xludf.DUMMYFUNCTION("""COMPUTED_VALUE"""),"")</f>
        <v/>
      </c>
      <c r="P177" s="4" t="str">
        <f>IFERROR(__xludf.DUMMYFUNCTION("""COMPUTED_VALUE"""),"")</f>
        <v/>
      </c>
      <c r="Q177" s="4" t="str">
        <f>IFERROR(__xludf.DUMMYFUNCTION("""COMPUTED_VALUE"""),"")</f>
        <v/>
      </c>
      <c r="R177" s="4" t="str">
        <f>IFERROR(__xludf.DUMMYFUNCTION("""COMPUTED_VALUE"""),"")</f>
        <v/>
      </c>
      <c r="S177" s="4" t="str">
        <f>IFERROR(__xludf.DUMMYFUNCTION("""COMPUTED_VALUE"""),"")</f>
        <v/>
      </c>
      <c r="T177" s="4" t="str">
        <f>IFERROR(__xludf.DUMMYFUNCTION("""COMPUTED_VALUE"""),"")</f>
        <v/>
      </c>
      <c r="U177" s="4" t="str">
        <f>IFERROR(__xludf.DUMMYFUNCTION("""COMPUTED_VALUE"""),"")</f>
        <v/>
      </c>
    </row>
    <row r="178">
      <c r="A178" s="4" t="str">
        <f>IFERROR(__xludf.DUMMYFUNCTION("""COMPUTED_VALUE"""),"")</f>
        <v/>
      </c>
      <c r="B178" s="4" t="str">
        <f>IFERROR(__xludf.DUMMYFUNCTION("""COMPUTED_VALUE"""),"")</f>
        <v/>
      </c>
      <c r="C178" s="4" t="str">
        <f>IFERROR(__xludf.DUMMYFUNCTION("""COMPUTED_VALUE"""),"")</f>
        <v/>
      </c>
      <c r="D178" s="4" t="str">
        <f>IFERROR(__xludf.DUMMYFUNCTION("""COMPUTED_VALUE"""),"")</f>
        <v/>
      </c>
      <c r="E178" s="4" t="str">
        <f>IFERROR(__xludf.DUMMYFUNCTION("""COMPUTED_VALUE"""),"")</f>
        <v/>
      </c>
      <c r="F178" s="4" t="str">
        <f>IFERROR(__xludf.DUMMYFUNCTION("""COMPUTED_VALUE"""),"")</f>
        <v/>
      </c>
      <c r="G178" s="4" t="str">
        <f>IFERROR(__xludf.DUMMYFUNCTION("""COMPUTED_VALUE"""),"")</f>
        <v/>
      </c>
      <c r="H178" s="4" t="str">
        <f>IFERROR(__xludf.DUMMYFUNCTION("""COMPUTED_VALUE"""),"")</f>
        <v/>
      </c>
      <c r="I178" s="4" t="str">
        <f>IFERROR(__xludf.DUMMYFUNCTION("""COMPUTED_VALUE"""),"")</f>
        <v/>
      </c>
      <c r="J178" s="4" t="str">
        <f>IFERROR(__xludf.DUMMYFUNCTION("""COMPUTED_VALUE"""),"")</f>
        <v/>
      </c>
      <c r="K178" s="4" t="str">
        <f>IFERROR(__xludf.DUMMYFUNCTION("""COMPUTED_VALUE"""),"")</f>
        <v/>
      </c>
      <c r="L178" s="4" t="str">
        <f>IFERROR(__xludf.DUMMYFUNCTION("""COMPUTED_VALUE"""),"")</f>
        <v/>
      </c>
      <c r="M178" s="4" t="str">
        <f>IFERROR(__xludf.DUMMYFUNCTION("""COMPUTED_VALUE"""),"")</f>
        <v/>
      </c>
      <c r="N178" s="4" t="str">
        <f>IFERROR(__xludf.DUMMYFUNCTION("""COMPUTED_VALUE"""),"")</f>
        <v/>
      </c>
      <c r="O178" s="4" t="str">
        <f>IFERROR(__xludf.DUMMYFUNCTION("""COMPUTED_VALUE"""),"")</f>
        <v/>
      </c>
      <c r="P178" s="4" t="str">
        <f>IFERROR(__xludf.DUMMYFUNCTION("""COMPUTED_VALUE"""),"")</f>
        <v/>
      </c>
      <c r="Q178" s="4" t="str">
        <f>IFERROR(__xludf.DUMMYFUNCTION("""COMPUTED_VALUE"""),"")</f>
        <v/>
      </c>
      <c r="R178" s="4" t="str">
        <f>IFERROR(__xludf.DUMMYFUNCTION("""COMPUTED_VALUE"""),"")</f>
        <v/>
      </c>
      <c r="S178" s="4" t="str">
        <f>IFERROR(__xludf.DUMMYFUNCTION("""COMPUTED_VALUE"""),"")</f>
        <v/>
      </c>
      <c r="T178" s="4" t="str">
        <f>IFERROR(__xludf.DUMMYFUNCTION("""COMPUTED_VALUE"""),"")</f>
        <v/>
      </c>
      <c r="U178" s="4" t="str">
        <f>IFERROR(__xludf.DUMMYFUNCTION("""COMPUTED_VALUE"""),"")</f>
        <v/>
      </c>
    </row>
    <row r="179">
      <c r="A179" s="4" t="str">
        <f>IFERROR(__xludf.DUMMYFUNCTION("""COMPUTED_VALUE"""),"")</f>
        <v/>
      </c>
      <c r="B179" s="4" t="str">
        <f>IFERROR(__xludf.DUMMYFUNCTION("""COMPUTED_VALUE"""),"")</f>
        <v/>
      </c>
      <c r="C179" s="4" t="str">
        <f>IFERROR(__xludf.DUMMYFUNCTION("""COMPUTED_VALUE"""),"")</f>
        <v/>
      </c>
      <c r="D179" s="4" t="str">
        <f>IFERROR(__xludf.DUMMYFUNCTION("""COMPUTED_VALUE"""),"")</f>
        <v/>
      </c>
      <c r="E179" s="4" t="str">
        <f>IFERROR(__xludf.DUMMYFUNCTION("""COMPUTED_VALUE"""),"")</f>
        <v/>
      </c>
      <c r="F179" s="4" t="str">
        <f>IFERROR(__xludf.DUMMYFUNCTION("""COMPUTED_VALUE"""),"")</f>
        <v/>
      </c>
      <c r="G179" s="4" t="str">
        <f>IFERROR(__xludf.DUMMYFUNCTION("""COMPUTED_VALUE"""),"")</f>
        <v/>
      </c>
      <c r="H179" s="4" t="str">
        <f>IFERROR(__xludf.DUMMYFUNCTION("""COMPUTED_VALUE"""),"")</f>
        <v/>
      </c>
      <c r="I179" s="4" t="str">
        <f>IFERROR(__xludf.DUMMYFUNCTION("""COMPUTED_VALUE"""),"")</f>
        <v/>
      </c>
      <c r="J179" s="4" t="str">
        <f>IFERROR(__xludf.DUMMYFUNCTION("""COMPUTED_VALUE"""),"")</f>
        <v/>
      </c>
      <c r="K179" s="4" t="str">
        <f>IFERROR(__xludf.DUMMYFUNCTION("""COMPUTED_VALUE"""),"")</f>
        <v/>
      </c>
      <c r="L179" s="4" t="str">
        <f>IFERROR(__xludf.DUMMYFUNCTION("""COMPUTED_VALUE"""),"")</f>
        <v/>
      </c>
      <c r="M179" s="4" t="str">
        <f>IFERROR(__xludf.DUMMYFUNCTION("""COMPUTED_VALUE"""),"")</f>
        <v/>
      </c>
      <c r="N179" s="4" t="str">
        <f>IFERROR(__xludf.DUMMYFUNCTION("""COMPUTED_VALUE"""),"")</f>
        <v/>
      </c>
      <c r="O179" s="4" t="str">
        <f>IFERROR(__xludf.DUMMYFUNCTION("""COMPUTED_VALUE"""),"")</f>
        <v/>
      </c>
      <c r="P179" s="4" t="str">
        <f>IFERROR(__xludf.DUMMYFUNCTION("""COMPUTED_VALUE"""),"")</f>
        <v/>
      </c>
      <c r="Q179" s="4" t="str">
        <f>IFERROR(__xludf.DUMMYFUNCTION("""COMPUTED_VALUE"""),"")</f>
        <v/>
      </c>
      <c r="R179" s="4" t="str">
        <f>IFERROR(__xludf.DUMMYFUNCTION("""COMPUTED_VALUE"""),"")</f>
        <v/>
      </c>
      <c r="S179" s="4" t="str">
        <f>IFERROR(__xludf.DUMMYFUNCTION("""COMPUTED_VALUE"""),"")</f>
        <v/>
      </c>
      <c r="T179" s="4" t="str">
        <f>IFERROR(__xludf.DUMMYFUNCTION("""COMPUTED_VALUE"""),"")</f>
        <v/>
      </c>
      <c r="U179" s="4" t="str">
        <f>IFERROR(__xludf.DUMMYFUNCTION("""COMPUTED_VALUE"""),"")</f>
        <v/>
      </c>
    </row>
    <row r="180">
      <c r="A180" s="4" t="str">
        <f>IFERROR(__xludf.DUMMYFUNCTION("""COMPUTED_VALUE"""),"")</f>
        <v/>
      </c>
      <c r="B180" s="4" t="str">
        <f>IFERROR(__xludf.DUMMYFUNCTION("""COMPUTED_VALUE"""),"")</f>
        <v/>
      </c>
      <c r="C180" s="4" t="str">
        <f>IFERROR(__xludf.DUMMYFUNCTION("""COMPUTED_VALUE"""),"")</f>
        <v/>
      </c>
      <c r="D180" s="4" t="str">
        <f>IFERROR(__xludf.DUMMYFUNCTION("""COMPUTED_VALUE"""),"")</f>
        <v/>
      </c>
      <c r="E180" s="4" t="str">
        <f>IFERROR(__xludf.DUMMYFUNCTION("""COMPUTED_VALUE"""),"")</f>
        <v/>
      </c>
      <c r="F180" s="4" t="str">
        <f>IFERROR(__xludf.DUMMYFUNCTION("""COMPUTED_VALUE"""),"")</f>
        <v/>
      </c>
      <c r="G180" s="4" t="str">
        <f>IFERROR(__xludf.DUMMYFUNCTION("""COMPUTED_VALUE"""),"")</f>
        <v/>
      </c>
      <c r="H180" s="4" t="str">
        <f>IFERROR(__xludf.DUMMYFUNCTION("""COMPUTED_VALUE"""),"")</f>
        <v/>
      </c>
      <c r="I180" s="4" t="str">
        <f>IFERROR(__xludf.DUMMYFUNCTION("""COMPUTED_VALUE"""),"")</f>
        <v/>
      </c>
      <c r="J180" s="4" t="str">
        <f>IFERROR(__xludf.DUMMYFUNCTION("""COMPUTED_VALUE"""),"")</f>
        <v/>
      </c>
      <c r="K180" s="4" t="str">
        <f>IFERROR(__xludf.DUMMYFUNCTION("""COMPUTED_VALUE"""),"")</f>
        <v/>
      </c>
      <c r="L180" s="4" t="str">
        <f>IFERROR(__xludf.DUMMYFUNCTION("""COMPUTED_VALUE"""),"")</f>
        <v/>
      </c>
      <c r="M180" s="4" t="str">
        <f>IFERROR(__xludf.DUMMYFUNCTION("""COMPUTED_VALUE"""),"")</f>
        <v/>
      </c>
      <c r="N180" s="4" t="str">
        <f>IFERROR(__xludf.DUMMYFUNCTION("""COMPUTED_VALUE"""),"")</f>
        <v/>
      </c>
      <c r="O180" s="4" t="str">
        <f>IFERROR(__xludf.DUMMYFUNCTION("""COMPUTED_VALUE"""),"")</f>
        <v/>
      </c>
      <c r="P180" s="4" t="str">
        <f>IFERROR(__xludf.DUMMYFUNCTION("""COMPUTED_VALUE"""),"")</f>
        <v/>
      </c>
      <c r="Q180" s="4" t="str">
        <f>IFERROR(__xludf.DUMMYFUNCTION("""COMPUTED_VALUE"""),"")</f>
        <v/>
      </c>
      <c r="R180" s="4" t="str">
        <f>IFERROR(__xludf.DUMMYFUNCTION("""COMPUTED_VALUE"""),"")</f>
        <v/>
      </c>
      <c r="S180" s="4" t="str">
        <f>IFERROR(__xludf.DUMMYFUNCTION("""COMPUTED_VALUE"""),"")</f>
        <v/>
      </c>
      <c r="T180" s="4" t="str">
        <f>IFERROR(__xludf.DUMMYFUNCTION("""COMPUTED_VALUE"""),"")</f>
        <v/>
      </c>
      <c r="U180" s="4" t="str">
        <f>IFERROR(__xludf.DUMMYFUNCTION("""COMPUTED_VALUE"""),"")</f>
        <v/>
      </c>
    </row>
    <row r="181">
      <c r="A181" s="4" t="str">
        <f>IFERROR(__xludf.DUMMYFUNCTION("""COMPUTED_VALUE"""),"")</f>
        <v/>
      </c>
      <c r="B181" s="4" t="str">
        <f>IFERROR(__xludf.DUMMYFUNCTION("""COMPUTED_VALUE"""),"")</f>
        <v/>
      </c>
      <c r="C181" s="4" t="str">
        <f>IFERROR(__xludf.DUMMYFUNCTION("""COMPUTED_VALUE"""),"")</f>
        <v/>
      </c>
      <c r="D181" s="4" t="str">
        <f>IFERROR(__xludf.DUMMYFUNCTION("""COMPUTED_VALUE"""),"")</f>
        <v/>
      </c>
      <c r="E181" s="4" t="str">
        <f>IFERROR(__xludf.DUMMYFUNCTION("""COMPUTED_VALUE"""),"")</f>
        <v/>
      </c>
      <c r="F181" s="4" t="str">
        <f>IFERROR(__xludf.DUMMYFUNCTION("""COMPUTED_VALUE"""),"")</f>
        <v/>
      </c>
      <c r="G181" s="4" t="str">
        <f>IFERROR(__xludf.DUMMYFUNCTION("""COMPUTED_VALUE"""),"")</f>
        <v/>
      </c>
      <c r="H181" s="4" t="str">
        <f>IFERROR(__xludf.DUMMYFUNCTION("""COMPUTED_VALUE"""),"")</f>
        <v/>
      </c>
      <c r="I181" s="4" t="str">
        <f>IFERROR(__xludf.DUMMYFUNCTION("""COMPUTED_VALUE"""),"")</f>
        <v/>
      </c>
      <c r="J181" s="4" t="str">
        <f>IFERROR(__xludf.DUMMYFUNCTION("""COMPUTED_VALUE"""),"")</f>
        <v/>
      </c>
      <c r="K181" s="4" t="str">
        <f>IFERROR(__xludf.DUMMYFUNCTION("""COMPUTED_VALUE"""),"")</f>
        <v/>
      </c>
      <c r="L181" s="4" t="str">
        <f>IFERROR(__xludf.DUMMYFUNCTION("""COMPUTED_VALUE"""),"")</f>
        <v/>
      </c>
      <c r="M181" s="4" t="str">
        <f>IFERROR(__xludf.DUMMYFUNCTION("""COMPUTED_VALUE"""),"")</f>
        <v/>
      </c>
      <c r="N181" s="4" t="str">
        <f>IFERROR(__xludf.DUMMYFUNCTION("""COMPUTED_VALUE"""),"")</f>
        <v/>
      </c>
      <c r="O181" s="4" t="str">
        <f>IFERROR(__xludf.DUMMYFUNCTION("""COMPUTED_VALUE"""),"")</f>
        <v/>
      </c>
      <c r="P181" s="4" t="str">
        <f>IFERROR(__xludf.DUMMYFUNCTION("""COMPUTED_VALUE"""),"")</f>
        <v/>
      </c>
      <c r="Q181" s="4" t="str">
        <f>IFERROR(__xludf.DUMMYFUNCTION("""COMPUTED_VALUE"""),"")</f>
        <v/>
      </c>
      <c r="R181" s="4" t="str">
        <f>IFERROR(__xludf.DUMMYFUNCTION("""COMPUTED_VALUE"""),"")</f>
        <v/>
      </c>
      <c r="S181" s="4" t="str">
        <f>IFERROR(__xludf.DUMMYFUNCTION("""COMPUTED_VALUE"""),"")</f>
        <v/>
      </c>
      <c r="T181" s="4" t="str">
        <f>IFERROR(__xludf.DUMMYFUNCTION("""COMPUTED_VALUE"""),"")</f>
        <v/>
      </c>
      <c r="U181" s="4" t="str">
        <f>IFERROR(__xludf.DUMMYFUNCTION("""COMPUTED_VALUE"""),"")</f>
        <v/>
      </c>
    </row>
    <row r="182">
      <c r="A182" s="4" t="str">
        <f>IFERROR(__xludf.DUMMYFUNCTION("""COMPUTED_VALUE"""),"")</f>
        <v/>
      </c>
      <c r="B182" s="4" t="str">
        <f>IFERROR(__xludf.DUMMYFUNCTION("""COMPUTED_VALUE"""),"")</f>
        <v/>
      </c>
      <c r="C182" s="4" t="str">
        <f>IFERROR(__xludf.DUMMYFUNCTION("""COMPUTED_VALUE"""),"")</f>
        <v/>
      </c>
      <c r="D182" s="4" t="str">
        <f>IFERROR(__xludf.DUMMYFUNCTION("""COMPUTED_VALUE"""),"")</f>
        <v/>
      </c>
      <c r="E182" s="4" t="str">
        <f>IFERROR(__xludf.DUMMYFUNCTION("""COMPUTED_VALUE"""),"")</f>
        <v/>
      </c>
      <c r="F182" s="4" t="str">
        <f>IFERROR(__xludf.DUMMYFUNCTION("""COMPUTED_VALUE"""),"")</f>
        <v/>
      </c>
      <c r="G182" s="4" t="str">
        <f>IFERROR(__xludf.DUMMYFUNCTION("""COMPUTED_VALUE"""),"")</f>
        <v/>
      </c>
      <c r="H182" s="4" t="str">
        <f>IFERROR(__xludf.DUMMYFUNCTION("""COMPUTED_VALUE"""),"")</f>
        <v/>
      </c>
      <c r="I182" s="4" t="str">
        <f>IFERROR(__xludf.DUMMYFUNCTION("""COMPUTED_VALUE"""),"")</f>
        <v/>
      </c>
      <c r="J182" s="4" t="str">
        <f>IFERROR(__xludf.DUMMYFUNCTION("""COMPUTED_VALUE"""),"")</f>
        <v/>
      </c>
      <c r="K182" s="4" t="str">
        <f>IFERROR(__xludf.DUMMYFUNCTION("""COMPUTED_VALUE"""),"")</f>
        <v/>
      </c>
      <c r="L182" s="4" t="str">
        <f>IFERROR(__xludf.DUMMYFUNCTION("""COMPUTED_VALUE"""),"")</f>
        <v/>
      </c>
      <c r="M182" s="4" t="str">
        <f>IFERROR(__xludf.DUMMYFUNCTION("""COMPUTED_VALUE"""),"")</f>
        <v/>
      </c>
      <c r="N182" s="4" t="str">
        <f>IFERROR(__xludf.DUMMYFUNCTION("""COMPUTED_VALUE"""),"")</f>
        <v/>
      </c>
      <c r="O182" s="4" t="str">
        <f>IFERROR(__xludf.DUMMYFUNCTION("""COMPUTED_VALUE"""),"")</f>
        <v/>
      </c>
      <c r="P182" s="4" t="str">
        <f>IFERROR(__xludf.DUMMYFUNCTION("""COMPUTED_VALUE"""),"")</f>
        <v/>
      </c>
      <c r="Q182" s="4" t="str">
        <f>IFERROR(__xludf.DUMMYFUNCTION("""COMPUTED_VALUE"""),"")</f>
        <v/>
      </c>
      <c r="R182" s="4" t="str">
        <f>IFERROR(__xludf.DUMMYFUNCTION("""COMPUTED_VALUE"""),"")</f>
        <v/>
      </c>
      <c r="S182" s="4" t="str">
        <f>IFERROR(__xludf.DUMMYFUNCTION("""COMPUTED_VALUE"""),"")</f>
        <v/>
      </c>
      <c r="T182" s="4" t="str">
        <f>IFERROR(__xludf.DUMMYFUNCTION("""COMPUTED_VALUE"""),"")</f>
        <v/>
      </c>
      <c r="U182" s="4" t="str">
        <f>IFERROR(__xludf.DUMMYFUNCTION("""COMPUTED_VALUE"""),"")</f>
        <v/>
      </c>
    </row>
    <row r="183">
      <c r="A183" s="4" t="str">
        <f>IFERROR(__xludf.DUMMYFUNCTION("""COMPUTED_VALUE"""),"")</f>
        <v/>
      </c>
      <c r="B183" s="4" t="str">
        <f>IFERROR(__xludf.DUMMYFUNCTION("""COMPUTED_VALUE"""),"")</f>
        <v/>
      </c>
      <c r="C183" s="4" t="str">
        <f>IFERROR(__xludf.DUMMYFUNCTION("""COMPUTED_VALUE"""),"")</f>
        <v/>
      </c>
      <c r="D183" s="4" t="str">
        <f>IFERROR(__xludf.DUMMYFUNCTION("""COMPUTED_VALUE"""),"")</f>
        <v/>
      </c>
      <c r="E183" s="4" t="str">
        <f>IFERROR(__xludf.DUMMYFUNCTION("""COMPUTED_VALUE"""),"")</f>
        <v/>
      </c>
      <c r="F183" s="4" t="str">
        <f>IFERROR(__xludf.DUMMYFUNCTION("""COMPUTED_VALUE"""),"")</f>
        <v/>
      </c>
      <c r="G183" s="4" t="str">
        <f>IFERROR(__xludf.DUMMYFUNCTION("""COMPUTED_VALUE"""),"")</f>
        <v/>
      </c>
      <c r="H183" s="4" t="str">
        <f>IFERROR(__xludf.DUMMYFUNCTION("""COMPUTED_VALUE"""),"")</f>
        <v/>
      </c>
      <c r="I183" s="4" t="str">
        <f>IFERROR(__xludf.DUMMYFUNCTION("""COMPUTED_VALUE"""),"")</f>
        <v/>
      </c>
      <c r="J183" s="4" t="str">
        <f>IFERROR(__xludf.DUMMYFUNCTION("""COMPUTED_VALUE"""),"")</f>
        <v/>
      </c>
      <c r="K183" s="4" t="str">
        <f>IFERROR(__xludf.DUMMYFUNCTION("""COMPUTED_VALUE"""),"")</f>
        <v/>
      </c>
      <c r="L183" s="4" t="str">
        <f>IFERROR(__xludf.DUMMYFUNCTION("""COMPUTED_VALUE"""),"")</f>
        <v/>
      </c>
      <c r="M183" s="4" t="str">
        <f>IFERROR(__xludf.DUMMYFUNCTION("""COMPUTED_VALUE"""),"")</f>
        <v/>
      </c>
      <c r="N183" s="4" t="str">
        <f>IFERROR(__xludf.DUMMYFUNCTION("""COMPUTED_VALUE"""),"")</f>
        <v/>
      </c>
      <c r="O183" s="4" t="str">
        <f>IFERROR(__xludf.DUMMYFUNCTION("""COMPUTED_VALUE"""),"")</f>
        <v/>
      </c>
      <c r="P183" s="4" t="str">
        <f>IFERROR(__xludf.DUMMYFUNCTION("""COMPUTED_VALUE"""),"")</f>
        <v/>
      </c>
      <c r="Q183" s="4" t="str">
        <f>IFERROR(__xludf.DUMMYFUNCTION("""COMPUTED_VALUE"""),"")</f>
        <v/>
      </c>
      <c r="R183" s="4" t="str">
        <f>IFERROR(__xludf.DUMMYFUNCTION("""COMPUTED_VALUE"""),"")</f>
        <v/>
      </c>
      <c r="S183" s="4" t="str">
        <f>IFERROR(__xludf.DUMMYFUNCTION("""COMPUTED_VALUE"""),"")</f>
        <v/>
      </c>
      <c r="T183" s="4" t="str">
        <f>IFERROR(__xludf.DUMMYFUNCTION("""COMPUTED_VALUE"""),"")</f>
        <v/>
      </c>
      <c r="U183" s="4" t="str">
        <f>IFERROR(__xludf.DUMMYFUNCTION("""COMPUTED_VALUE"""),"")</f>
        <v/>
      </c>
    </row>
    <row r="184">
      <c r="A184" s="4" t="str">
        <f>IFERROR(__xludf.DUMMYFUNCTION("""COMPUTED_VALUE"""),"")</f>
        <v/>
      </c>
      <c r="B184" s="4" t="str">
        <f>IFERROR(__xludf.DUMMYFUNCTION("""COMPUTED_VALUE"""),"")</f>
        <v/>
      </c>
      <c r="C184" s="4" t="str">
        <f>IFERROR(__xludf.DUMMYFUNCTION("""COMPUTED_VALUE"""),"")</f>
        <v/>
      </c>
      <c r="D184" s="4" t="str">
        <f>IFERROR(__xludf.DUMMYFUNCTION("""COMPUTED_VALUE"""),"")</f>
        <v/>
      </c>
      <c r="E184" s="4" t="str">
        <f>IFERROR(__xludf.DUMMYFUNCTION("""COMPUTED_VALUE"""),"")</f>
        <v/>
      </c>
      <c r="F184" s="4" t="str">
        <f>IFERROR(__xludf.DUMMYFUNCTION("""COMPUTED_VALUE"""),"")</f>
        <v/>
      </c>
      <c r="G184" s="4" t="str">
        <f>IFERROR(__xludf.DUMMYFUNCTION("""COMPUTED_VALUE"""),"")</f>
        <v/>
      </c>
      <c r="H184" s="4" t="str">
        <f>IFERROR(__xludf.DUMMYFUNCTION("""COMPUTED_VALUE"""),"")</f>
        <v/>
      </c>
      <c r="I184" s="4" t="str">
        <f>IFERROR(__xludf.DUMMYFUNCTION("""COMPUTED_VALUE"""),"")</f>
        <v/>
      </c>
      <c r="J184" s="4" t="str">
        <f>IFERROR(__xludf.DUMMYFUNCTION("""COMPUTED_VALUE"""),"")</f>
        <v/>
      </c>
      <c r="K184" s="4" t="str">
        <f>IFERROR(__xludf.DUMMYFUNCTION("""COMPUTED_VALUE"""),"")</f>
        <v/>
      </c>
      <c r="L184" s="4" t="str">
        <f>IFERROR(__xludf.DUMMYFUNCTION("""COMPUTED_VALUE"""),"")</f>
        <v/>
      </c>
      <c r="M184" s="4" t="str">
        <f>IFERROR(__xludf.DUMMYFUNCTION("""COMPUTED_VALUE"""),"")</f>
        <v/>
      </c>
      <c r="N184" s="4" t="str">
        <f>IFERROR(__xludf.DUMMYFUNCTION("""COMPUTED_VALUE"""),"")</f>
        <v/>
      </c>
      <c r="O184" s="4" t="str">
        <f>IFERROR(__xludf.DUMMYFUNCTION("""COMPUTED_VALUE"""),"")</f>
        <v/>
      </c>
      <c r="P184" s="4" t="str">
        <f>IFERROR(__xludf.DUMMYFUNCTION("""COMPUTED_VALUE"""),"")</f>
        <v/>
      </c>
      <c r="Q184" s="4" t="str">
        <f>IFERROR(__xludf.DUMMYFUNCTION("""COMPUTED_VALUE"""),"")</f>
        <v/>
      </c>
      <c r="R184" s="4" t="str">
        <f>IFERROR(__xludf.DUMMYFUNCTION("""COMPUTED_VALUE"""),"")</f>
        <v/>
      </c>
      <c r="S184" s="4" t="str">
        <f>IFERROR(__xludf.DUMMYFUNCTION("""COMPUTED_VALUE"""),"")</f>
        <v/>
      </c>
      <c r="T184" s="4" t="str">
        <f>IFERROR(__xludf.DUMMYFUNCTION("""COMPUTED_VALUE"""),"")</f>
        <v/>
      </c>
      <c r="U184" s="4" t="str">
        <f>IFERROR(__xludf.DUMMYFUNCTION("""COMPUTED_VALUE"""),"")</f>
        <v/>
      </c>
    </row>
    <row r="185">
      <c r="A185" s="4" t="str">
        <f>IFERROR(__xludf.DUMMYFUNCTION("""COMPUTED_VALUE"""),"")</f>
        <v/>
      </c>
      <c r="B185" s="4" t="str">
        <f>IFERROR(__xludf.DUMMYFUNCTION("""COMPUTED_VALUE"""),"")</f>
        <v/>
      </c>
      <c r="C185" s="4" t="str">
        <f>IFERROR(__xludf.DUMMYFUNCTION("""COMPUTED_VALUE"""),"")</f>
        <v/>
      </c>
      <c r="D185" s="4" t="str">
        <f>IFERROR(__xludf.DUMMYFUNCTION("""COMPUTED_VALUE"""),"")</f>
        <v/>
      </c>
      <c r="E185" s="4" t="str">
        <f>IFERROR(__xludf.DUMMYFUNCTION("""COMPUTED_VALUE"""),"")</f>
        <v/>
      </c>
      <c r="F185" s="4" t="str">
        <f>IFERROR(__xludf.DUMMYFUNCTION("""COMPUTED_VALUE"""),"")</f>
        <v/>
      </c>
      <c r="G185" s="4" t="str">
        <f>IFERROR(__xludf.DUMMYFUNCTION("""COMPUTED_VALUE"""),"")</f>
        <v/>
      </c>
      <c r="H185" s="4" t="str">
        <f>IFERROR(__xludf.DUMMYFUNCTION("""COMPUTED_VALUE"""),"")</f>
        <v/>
      </c>
      <c r="I185" s="4" t="str">
        <f>IFERROR(__xludf.DUMMYFUNCTION("""COMPUTED_VALUE"""),"")</f>
        <v/>
      </c>
      <c r="J185" s="4" t="str">
        <f>IFERROR(__xludf.DUMMYFUNCTION("""COMPUTED_VALUE"""),"")</f>
        <v/>
      </c>
      <c r="K185" s="4" t="str">
        <f>IFERROR(__xludf.DUMMYFUNCTION("""COMPUTED_VALUE"""),"")</f>
        <v/>
      </c>
      <c r="L185" s="4" t="str">
        <f>IFERROR(__xludf.DUMMYFUNCTION("""COMPUTED_VALUE"""),"")</f>
        <v/>
      </c>
      <c r="M185" s="4" t="str">
        <f>IFERROR(__xludf.DUMMYFUNCTION("""COMPUTED_VALUE"""),"")</f>
        <v/>
      </c>
      <c r="N185" s="4" t="str">
        <f>IFERROR(__xludf.DUMMYFUNCTION("""COMPUTED_VALUE"""),"")</f>
        <v/>
      </c>
      <c r="O185" s="4" t="str">
        <f>IFERROR(__xludf.DUMMYFUNCTION("""COMPUTED_VALUE"""),"")</f>
        <v/>
      </c>
      <c r="P185" s="4" t="str">
        <f>IFERROR(__xludf.DUMMYFUNCTION("""COMPUTED_VALUE"""),"")</f>
        <v/>
      </c>
      <c r="Q185" s="4" t="str">
        <f>IFERROR(__xludf.DUMMYFUNCTION("""COMPUTED_VALUE"""),"")</f>
        <v/>
      </c>
      <c r="R185" s="4" t="str">
        <f>IFERROR(__xludf.DUMMYFUNCTION("""COMPUTED_VALUE"""),"")</f>
        <v/>
      </c>
      <c r="S185" s="4" t="str">
        <f>IFERROR(__xludf.DUMMYFUNCTION("""COMPUTED_VALUE"""),"")</f>
        <v/>
      </c>
      <c r="T185" s="4" t="str">
        <f>IFERROR(__xludf.DUMMYFUNCTION("""COMPUTED_VALUE"""),"")</f>
        <v/>
      </c>
      <c r="U185" s="4" t="str">
        <f>IFERROR(__xludf.DUMMYFUNCTION("""COMPUTED_VALUE"""),"")</f>
        <v/>
      </c>
    </row>
    <row r="186">
      <c r="A186" s="4" t="str">
        <f>IFERROR(__xludf.DUMMYFUNCTION("""COMPUTED_VALUE"""),"")</f>
        <v/>
      </c>
      <c r="B186" s="4" t="str">
        <f>IFERROR(__xludf.DUMMYFUNCTION("""COMPUTED_VALUE"""),"")</f>
        <v/>
      </c>
      <c r="C186" s="4" t="str">
        <f>IFERROR(__xludf.DUMMYFUNCTION("""COMPUTED_VALUE"""),"")</f>
        <v/>
      </c>
      <c r="D186" s="4" t="str">
        <f>IFERROR(__xludf.DUMMYFUNCTION("""COMPUTED_VALUE"""),"")</f>
        <v/>
      </c>
      <c r="E186" s="4" t="str">
        <f>IFERROR(__xludf.DUMMYFUNCTION("""COMPUTED_VALUE"""),"")</f>
        <v/>
      </c>
      <c r="F186" s="4" t="str">
        <f>IFERROR(__xludf.DUMMYFUNCTION("""COMPUTED_VALUE"""),"")</f>
        <v/>
      </c>
      <c r="G186" s="4" t="str">
        <f>IFERROR(__xludf.DUMMYFUNCTION("""COMPUTED_VALUE"""),"")</f>
        <v/>
      </c>
      <c r="H186" s="4" t="str">
        <f>IFERROR(__xludf.DUMMYFUNCTION("""COMPUTED_VALUE"""),"")</f>
        <v/>
      </c>
      <c r="I186" s="4" t="str">
        <f>IFERROR(__xludf.DUMMYFUNCTION("""COMPUTED_VALUE"""),"")</f>
        <v/>
      </c>
      <c r="J186" s="4" t="str">
        <f>IFERROR(__xludf.DUMMYFUNCTION("""COMPUTED_VALUE"""),"")</f>
        <v/>
      </c>
      <c r="K186" s="4" t="str">
        <f>IFERROR(__xludf.DUMMYFUNCTION("""COMPUTED_VALUE"""),"")</f>
        <v/>
      </c>
      <c r="L186" s="4" t="str">
        <f>IFERROR(__xludf.DUMMYFUNCTION("""COMPUTED_VALUE"""),"")</f>
        <v/>
      </c>
      <c r="M186" s="4" t="str">
        <f>IFERROR(__xludf.DUMMYFUNCTION("""COMPUTED_VALUE"""),"")</f>
        <v/>
      </c>
      <c r="N186" s="4" t="str">
        <f>IFERROR(__xludf.DUMMYFUNCTION("""COMPUTED_VALUE"""),"")</f>
        <v/>
      </c>
      <c r="O186" s="4" t="str">
        <f>IFERROR(__xludf.DUMMYFUNCTION("""COMPUTED_VALUE"""),"")</f>
        <v/>
      </c>
      <c r="P186" s="4" t="str">
        <f>IFERROR(__xludf.DUMMYFUNCTION("""COMPUTED_VALUE"""),"")</f>
        <v/>
      </c>
      <c r="Q186" s="4" t="str">
        <f>IFERROR(__xludf.DUMMYFUNCTION("""COMPUTED_VALUE"""),"")</f>
        <v/>
      </c>
      <c r="R186" s="4" t="str">
        <f>IFERROR(__xludf.DUMMYFUNCTION("""COMPUTED_VALUE"""),"")</f>
        <v/>
      </c>
      <c r="S186" s="4" t="str">
        <f>IFERROR(__xludf.DUMMYFUNCTION("""COMPUTED_VALUE"""),"")</f>
        <v/>
      </c>
      <c r="T186" s="4" t="str">
        <f>IFERROR(__xludf.DUMMYFUNCTION("""COMPUTED_VALUE"""),"")</f>
        <v/>
      </c>
      <c r="U186" s="4" t="str">
        <f>IFERROR(__xludf.DUMMYFUNCTION("""COMPUTED_VALUE"""),"")</f>
        <v/>
      </c>
    </row>
    <row r="187">
      <c r="A187" s="4" t="str">
        <f>IFERROR(__xludf.DUMMYFUNCTION("""COMPUTED_VALUE"""),"")</f>
        <v/>
      </c>
      <c r="B187" s="4" t="str">
        <f>IFERROR(__xludf.DUMMYFUNCTION("""COMPUTED_VALUE"""),"")</f>
        <v/>
      </c>
      <c r="C187" s="4" t="str">
        <f>IFERROR(__xludf.DUMMYFUNCTION("""COMPUTED_VALUE"""),"")</f>
        <v/>
      </c>
      <c r="D187" s="4" t="str">
        <f>IFERROR(__xludf.DUMMYFUNCTION("""COMPUTED_VALUE"""),"")</f>
        <v/>
      </c>
      <c r="E187" s="4" t="str">
        <f>IFERROR(__xludf.DUMMYFUNCTION("""COMPUTED_VALUE"""),"")</f>
        <v/>
      </c>
      <c r="F187" s="4" t="str">
        <f>IFERROR(__xludf.DUMMYFUNCTION("""COMPUTED_VALUE"""),"")</f>
        <v/>
      </c>
      <c r="G187" s="4" t="str">
        <f>IFERROR(__xludf.DUMMYFUNCTION("""COMPUTED_VALUE"""),"")</f>
        <v/>
      </c>
      <c r="H187" s="4" t="str">
        <f>IFERROR(__xludf.DUMMYFUNCTION("""COMPUTED_VALUE"""),"")</f>
        <v/>
      </c>
      <c r="I187" s="4" t="str">
        <f>IFERROR(__xludf.DUMMYFUNCTION("""COMPUTED_VALUE"""),"")</f>
        <v/>
      </c>
      <c r="J187" s="4" t="str">
        <f>IFERROR(__xludf.DUMMYFUNCTION("""COMPUTED_VALUE"""),"")</f>
        <v/>
      </c>
      <c r="K187" s="4" t="str">
        <f>IFERROR(__xludf.DUMMYFUNCTION("""COMPUTED_VALUE"""),"")</f>
        <v/>
      </c>
      <c r="L187" s="4" t="str">
        <f>IFERROR(__xludf.DUMMYFUNCTION("""COMPUTED_VALUE"""),"")</f>
        <v/>
      </c>
      <c r="M187" s="4" t="str">
        <f>IFERROR(__xludf.DUMMYFUNCTION("""COMPUTED_VALUE"""),"")</f>
        <v/>
      </c>
      <c r="N187" s="4" t="str">
        <f>IFERROR(__xludf.DUMMYFUNCTION("""COMPUTED_VALUE"""),"")</f>
        <v/>
      </c>
      <c r="O187" s="4" t="str">
        <f>IFERROR(__xludf.DUMMYFUNCTION("""COMPUTED_VALUE"""),"")</f>
        <v/>
      </c>
      <c r="P187" s="4" t="str">
        <f>IFERROR(__xludf.DUMMYFUNCTION("""COMPUTED_VALUE"""),"")</f>
        <v/>
      </c>
      <c r="Q187" s="4" t="str">
        <f>IFERROR(__xludf.DUMMYFUNCTION("""COMPUTED_VALUE"""),"")</f>
        <v/>
      </c>
      <c r="R187" s="4" t="str">
        <f>IFERROR(__xludf.DUMMYFUNCTION("""COMPUTED_VALUE"""),"")</f>
        <v/>
      </c>
      <c r="S187" s="4" t="str">
        <f>IFERROR(__xludf.DUMMYFUNCTION("""COMPUTED_VALUE"""),"")</f>
        <v/>
      </c>
      <c r="T187" s="4" t="str">
        <f>IFERROR(__xludf.DUMMYFUNCTION("""COMPUTED_VALUE"""),"")</f>
        <v/>
      </c>
      <c r="U187" s="4" t="str">
        <f>IFERROR(__xludf.DUMMYFUNCTION("""COMPUTED_VALUE"""),"")</f>
        <v/>
      </c>
    </row>
    <row r="188">
      <c r="A188" s="4" t="str">
        <f>IFERROR(__xludf.DUMMYFUNCTION("""COMPUTED_VALUE"""),"")</f>
        <v/>
      </c>
      <c r="B188" s="4" t="str">
        <f>IFERROR(__xludf.DUMMYFUNCTION("""COMPUTED_VALUE"""),"")</f>
        <v/>
      </c>
      <c r="C188" s="4" t="str">
        <f>IFERROR(__xludf.DUMMYFUNCTION("""COMPUTED_VALUE"""),"")</f>
        <v/>
      </c>
      <c r="D188" s="4" t="str">
        <f>IFERROR(__xludf.DUMMYFUNCTION("""COMPUTED_VALUE"""),"")</f>
        <v/>
      </c>
      <c r="E188" s="4" t="str">
        <f>IFERROR(__xludf.DUMMYFUNCTION("""COMPUTED_VALUE"""),"")</f>
        <v/>
      </c>
      <c r="F188" s="4" t="str">
        <f>IFERROR(__xludf.DUMMYFUNCTION("""COMPUTED_VALUE"""),"")</f>
        <v/>
      </c>
      <c r="G188" s="4" t="str">
        <f>IFERROR(__xludf.DUMMYFUNCTION("""COMPUTED_VALUE"""),"")</f>
        <v/>
      </c>
      <c r="H188" s="4" t="str">
        <f>IFERROR(__xludf.DUMMYFUNCTION("""COMPUTED_VALUE"""),"")</f>
        <v/>
      </c>
      <c r="I188" s="4" t="str">
        <f>IFERROR(__xludf.DUMMYFUNCTION("""COMPUTED_VALUE"""),"")</f>
        <v/>
      </c>
      <c r="J188" s="4" t="str">
        <f>IFERROR(__xludf.DUMMYFUNCTION("""COMPUTED_VALUE"""),"")</f>
        <v/>
      </c>
      <c r="K188" s="4" t="str">
        <f>IFERROR(__xludf.DUMMYFUNCTION("""COMPUTED_VALUE"""),"")</f>
        <v/>
      </c>
      <c r="L188" s="4" t="str">
        <f>IFERROR(__xludf.DUMMYFUNCTION("""COMPUTED_VALUE"""),"")</f>
        <v/>
      </c>
      <c r="M188" s="4" t="str">
        <f>IFERROR(__xludf.DUMMYFUNCTION("""COMPUTED_VALUE"""),"")</f>
        <v/>
      </c>
      <c r="N188" s="4" t="str">
        <f>IFERROR(__xludf.DUMMYFUNCTION("""COMPUTED_VALUE"""),"")</f>
        <v/>
      </c>
      <c r="O188" s="4" t="str">
        <f>IFERROR(__xludf.DUMMYFUNCTION("""COMPUTED_VALUE"""),"")</f>
        <v/>
      </c>
      <c r="P188" s="4" t="str">
        <f>IFERROR(__xludf.DUMMYFUNCTION("""COMPUTED_VALUE"""),"")</f>
        <v/>
      </c>
      <c r="Q188" s="4" t="str">
        <f>IFERROR(__xludf.DUMMYFUNCTION("""COMPUTED_VALUE"""),"")</f>
        <v/>
      </c>
      <c r="R188" s="4" t="str">
        <f>IFERROR(__xludf.DUMMYFUNCTION("""COMPUTED_VALUE"""),"")</f>
        <v/>
      </c>
      <c r="S188" s="4" t="str">
        <f>IFERROR(__xludf.DUMMYFUNCTION("""COMPUTED_VALUE"""),"")</f>
        <v/>
      </c>
      <c r="T188" s="4" t="str">
        <f>IFERROR(__xludf.DUMMYFUNCTION("""COMPUTED_VALUE"""),"")</f>
        <v/>
      </c>
      <c r="U188" s="4" t="str">
        <f>IFERROR(__xludf.DUMMYFUNCTION("""COMPUTED_VALUE"""),"")</f>
        <v/>
      </c>
    </row>
    <row r="189">
      <c r="A189" s="4" t="str">
        <f>IFERROR(__xludf.DUMMYFUNCTION("""COMPUTED_VALUE"""),"")</f>
        <v/>
      </c>
      <c r="B189" s="4" t="str">
        <f>IFERROR(__xludf.DUMMYFUNCTION("""COMPUTED_VALUE"""),"")</f>
        <v/>
      </c>
      <c r="C189" s="4" t="str">
        <f>IFERROR(__xludf.DUMMYFUNCTION("""COMPUTED_VALUE"""),"")</f>
        <v/>
      </c>
      <c r="D189" s="4" t="str">
        <f>IFERROR(__xludf.DUMMYFUNCTION("""COMPUTED_VALUE"""),"")</f>
        <v/>
      </c>
      <c r="E189" s="4" t="str">
        <f>IFERROR(__xludf.DUMMYFUNCTION("""COMPUTED_VALUE"""),"")</f>
        <v/>
      </c>
      <c r="F189" s="4" t="str">
        <f>IFERROR(__xludf.DUMMYFUNCTION("""COMPUTED_VALUE"""),"")</f>
        <v/>
      </c>
      <c r="G189" s="4" t="str">
        <f>IFERROR(__xludf.DUMMYFUNCTION("""COMPUTED_VALUE"""),"")</f>
        <v/>
      </c>
      <c r="H189" s="4" t="str">
        <f>IFERROR(__xludf.DUMMYFUNCTION("""COMPUTED_VALUE"""),"")</f>
        <v/>
      </c>
      <c r="I189" s="4" t="str">
        <f>IFERROR(__xludf.DUMMYFUNCTION("""COMPUTED_VALUE"""),"")</f>
        <v/>
      </c>
      <c r="J189" s="4" t="str">
        <f>IFERROR(__xludf.DUMMYFUNCTION("""COMPUTED_VALUE"""),"")</f>
        <v/>
      </c>
      <c r="K189" s="4" t="str">
        <f>IFERROR(__xludf.DUMMYFUNCTION("""COMPUTED_VALUE"""),"")</f>
        <v/>
      </c>
      <c r="L189" s="4" t="str">
        <f>IFERROR(__xludf.DUMMYFUNCTION("""COMPUTED_VALUE"""),"")</f>
        <v/>
      </c>
      <c r="M189" s="4" t="str">
        <f>IFERROR(__xludf.DUMMYFUNCTION("""COMPUTED_VALUE"""),"")</f>
        <v/>
      </c>
      <c r="N189" s="4" t="str">
        <f>IFERROR(__xludf.DUMMYFUNCTION("""COMPUTED_VALUE"""),"")</f>
        <v/>
      </c>
      <c r="O189" s="4" t="str">
        <f>IFERROR(__xludf.DUMMYFUNCTION("""COMPUTED_VALUE"""),"")</f>
        <v/>
      </c>
      <c r="P189" s="4" t="str">
        <f>IFERROR(__xludf.DUMMYFUNCTION("""COMPUTED_VALUE"""),"")</f>
        <v/>
      </c>
      <c r="Q189" s="4" t="str">
        <f>IFERROR(__xludf.DUMMYFUNCTION("""COMPUTED_VALUE"""),"")</f>
        <v/>
      </c>
      <c r="R189" s="4" t="str">
        <f>IFERROR(__xludf.DUMMYFUNCTION("""COMPUTED_VALUE"""),"")</f>
        <v/>
      </c>
      <c r="S189" s="4" t="str">
        <f>IFERROR(__xludf.DUMMYFUNCTION("""COMPUTED_VALUE"""),"")</f>
        <v/>
      </c>
      <c r="T189" s="4" t="str">
        <f>IFERROR(__xludf.DUMMYFUNCTION("""COMPUTED_VALUE"""),"")</f>
        <v/>
      </c>
      <c r="U189" s="4" t="str">
        <f>IFERROR(__xludf.DUMMYFUNCTION("""COMPUTED_VALUE"""),"")</f>
        <v/>
      </c>
    </row>
    <row r="190">
      <c r="A190" s="4" t="str">
        <f>IFERROR(__xludf.DUMMYFUNCTION("""COMPUTED_VALUE"""),"")</f>
        <v/>
      </c>
      <c r="B190" s="4" t="str">
        <f>IFERROR(__xludf.DUMMYFUNCTION("""COMPUTED_VALUE"""),"")</f>
        <v/>
      </c>
      <c r="C190" s="4" t="str">
        <f>IFERROR(__xludf.DUMMYFUNCTION("""COMPUTED_VALUE"""),"")</f>
        <v/>
      </c>
      <c r="D190" s="4" t="str">
        <f>IFERROR(__xludf.DUMMYFUNCTION("""COMPUTED_VALUE"""),"")</f>
        <v/>
      </c>
      <c r="E190" s="4" t="str">
        <f>IFERROR(__xludf.DUMMYFUNCTION("""COMPUTED_VALUE"""),"")</f>
        <v/>
      </c>
      <c r="F190" s="4" t="str">
        <f>IFERROR(__xludf.DUMMYFUNCTION("""COMPUTED_VALUE"""),"")</f>
        <v/>
      </c>
      <c r="G190" s="4" t="str">
        <f>IFERROR(__xludf.DUMMYFUNCTION("""COMPUTED_VALUE"""),"")</f>
        <v/>
      </c>
      <c r="H190" s="4" t="str">
        <f>IFERROR(__xludf.DUMMYFUNCTION("""COMPUTED_VALUE"""),"")</f>
        <v/>
      </c>
      <c r="I190" s="4" t="str">
        <f>IFERROR(__xludf.DUMMYFUNCTION("""COMPUTED_VALUE"""),"")</f>
        <v/>
      </c>
      <c r="J190" s="4" t="str">
        <f>IFERROR(__xludf.DUMMYFUNCTION("""COMPUTED_VALUE"""),"")</f>
        <v/>
      </c>
      <c r="K190" s="4" t="str">
        <f>IFERROR(__xludf.DUMMYFUNCTION("""COMPUTED_VALUE"""),"")</f>
        <v/>
      </c>
      <c r="L190" s="4" t="str">
        <f>IFERROR(__xludf.DUMMYFUNCTION("""COMPUTED_VALUE"""),"")</f>
        <v/>
      </c>
      <c r="M190" s="4" t="str">
        <f>IFERROR(__xludf.DUMMYFUNCTION("""COMPUTED_VALUE"""),"")</f>
        <v/>
      </c>
      <c r="N190" s="4" t="str">
        <f>IFERROR(__xludf.DUMMYFUNCTION("""COMPUTED_VALUE"""),"")</f>
        <v/>
      </c>
      <c r="O190" s="4" t="str">
        <f>IFERROR(__xludf.DUMMYFUNCTION("""COMPUTED_VALUE"""),"")</f>
        <v/>
      </c>
      <c r="P190" s="4" t="str">
        <f>IFERROR(__xludf.DUMMYFUNCTION("""COMPUTED_VALUE"""),"")</f>
        <v/>
      </c>
      <c r="Q190" s="4" t="str">
        <f>IFERROR(__xludf.DUMMYFUNCTION("""COMPUTED_VALUE"""),"")</f>
        <v/>
      </c>
      <c r="R190" s="4" t="str">
        <f>IFERROR(__xludf.DUMMYFUNCTION("""COMPUTED_VALUE"""),"")</f>
        <v/>
      </c>
      <c r="S190" s="4" t="str">
        <f>IFERROR(__xludf.DUMMYFUNCTION("""COMPUTED_VALUE"""),"")</f>
        <v/>
      </c>
      <c r="T190" s="4" t="str">
        <f>IFERROR(__xludf.DUMMYFUNCTION("""COMPUTED_VALUE"""),"")</f>
        <v/>
      </c>
      <c r="U190" s="4" t="str">
        <f>IFERROR(__xludf.DUMMYFUNCTION("""COMPUTED_VALUE"""),"")</f>
        <v/>
      </c>
    </row>
    <row r="191">
      <c r="A191" s="4" t="str">
        <f>IFERROR(__xludf.DUMMYFUNCTION("""COMPUTED_VALUE"""),"")</f>
        <v/>
      </c>
      <c r="B191" s="4" t="str">
        <f>IFERROR(__xludf.DUMMYFUNCTION("""COMPUTED_VALUE"""),"")</f>
        <v/>
      </c>
      <c r="C191" s="4" t="str">
        <f>IFERROR(__xludf.DUMMYFUNCTION("""COMPUTED_VALUE"""),"")</f>
        <v/>
      </c>
      <c r="D191" s="4" t="str">
        <f>IFERROR(__xludf.DUMMYFUNCTION("""COMPUTED_VALUE"""),"")</f>
        <v/>
      </c>
      <c r="E191" s="4" t="str">
        <f>IFERROR(__xludf.DUMMYFUNCTION("""COMPUTED_VALUE"""),"")</f>
        <v/>
      </c>
      <c r="F191" s="4" t="str">
        <f>IFERROR(__xludf.DUMMYFUNCTION("""COMPUTED_VALUE"""),"")</f>
        <v/>
      </c>
      <c r="G191" s="4" t="str">
        <f>IFERROR(__xludf.DUMMYFUNCTION("""COMPUTED_VALUE"""),"")</f>
        <v/>
      </c>
      <c r="H191" s="4" t="str">
        <f>IFERROR(__xludf.DUMMYFUNCTION("""COMPUTED_VALUE"""),"")</f>
        <v/>
      </c>
      <c r="I191" s="4" t="str">
        <f>IFERROR(__xludf.DUMMYFUNCTION("""COMPUTED_VALUE"""),"")</f>
        <v/>
      </c>
      <c r="J191" s="4" t="str">
        <f>IFERROR(__xludf.DUMMYFUNCTION("""COMPUTED_VALUE"""),"")</f>
        <v/>
      </c>
      <c r="K191" s="4" t="str">
        <f>IFERROR(__xludf.DUMMYFUNCTION("""COMPUTED_VALUE"""),"")</f>
        <v/>
      </c>
      <c r="L191" s="4" t="str">
        <f>IFERROR(__xludf.DUMMYFUNCTION("""COMPUTED_VALUE"""),"")</f>
        <v/>
      </c>
      <c r="M191" s="4" t="str">
        <f>IFERROR(__xludf.DUMMYFUNCTION("""COMPUTED_VALUE"""),"")</f>
        <v/>
      </c>
      <c r="N191" s="4" t="str">
        <f>IFERROR(__xludf.DUMMYFUNCTION("""COMPUTED_VALUE"""),"")</f>
        <v/>
      </c>
      <c r="O191" s="4" t="str">
        <f>IFERROR(__xludf.DUMMYFUNCTION("""COMPUTED_VALUE"""),"")</f>
        <v/>
      </c>
      <c r="P191" s="4" t="str">
        <f>IFERROR(__xludf.DUMMYFUNCTION("""COMPUTED_VALUE"""),"")</f>
        <v/>
      </c>
      <c r="Q191" s="4" t="str">
        <f>IFERROR(__xludf.DUMMYFUNCTION("""COMPUTED_VALUE"""),"")</f>
        <v/>
      </c>
      <c r="R191" s="4" t="str">
        <f>IFERROR(__xludf.DUMMYFUNCTION("""COMPUTED_VALUE"""),"")</f>
        <v/>
      </c>
      <c r="S191" s="4" t="str">
        <f>IFERROR(__xludf.DUMMYFUNCTION("""COMPUTED_VALUE"""),"")</f>
        <v/>
      </c>
      <c r="T191" s="4" t="str">
        <f>IFERROR(__xludf.DUMMYFUNCTION("""COMPUTED_VALUE"""),"")</f>
        <v/>
      </c>
      <c r="U191" s="4" t="str">
        <f>IFERROR(__xludf.DUMMYFUNCTION("""COMPUTED_VALUE"""),"")</f>
        <v/>
      </c>
    </row>
    <row r="192">
      <c r="A192" s="4" t="str">
        <f>IFERROR(__xludf.DUMMYFUNCTION("""COMPUTED_VALUE"""),"")</f>
        <v/>
      </c>
      <c r="B192" s="4" t="str">
        <f>IFERROR(__xludf.DUMMYFUNCTION("""COMPUTED_VALUE"""),"")</f>
        <v/>
      </c>
      <c r="C192" s="4" t="str">
        <f>IFERROR(__xludf.DUMMYFUNCTION("""COMPUTED_VALUE"""),"")</f>
        <v/>
      </c>
      <c r="D192" s="4" t="str">
        <f>IFERROR(__xludf.DUMMYFUNCTION("""COMPUTED_VALUE"""),"")</f>
        <v/>
      </c>
      <c r="E192" s="4" t="str">
        <f>IFERROR(__xludf.DUMMYFUNCTION("""COMPUTED_VALUE"""),"")</f>
        <v/>
      </c>
      <c r="F192" s="4" t="str">
        <f>IFERROR(__xludf.DUMMYFUNCTION("""COMPUTED_VALUE"""),"")</f>
        <v/>
      </c>
      <c r="G192" s="4" t="str">
        <f>IFERROR(__xludf.DUMMYFUNCTION("""COMPUTED_VALUE"""),"")</f>
        <v/>
      </c>
      <c r="H192" s="4" t="str">
        <f>IFERROR(__xludf.DUMMYFUNCTION("""COMPUTED_VALUE"""),"")</f>
        <v/>
      </c>
      <c r="I192" s="4" t="str">
        <f>IFERROR(__xludf.DUMMYFUNCTION("""COMPUTED_VALUE"""),"")</f>
        <v/>
      </c>
      <c r="J192" s="4" t="str">
        <f>IFERROR(__xludf.DUMMYFUNCTION("""COMPUTED_VALUE"""),"")</f>
        <v/>
      </c>
      <c r="K192" s="4" t="str">
        <f>IFERROR(__xludf.DUMMYFUNCTION("""COMPUTED_VALUE"""),"")</f>
        <v/>
      </c>
      <c r="L192" s="4" t="str">
        <f>IFERROR(__xludf.DUMMYFUNCTION("""COMPUTED_VALUE"""),"")</f>
        <v/>
      </c>
      <c r="M192" s="4" t="str">
        <f>IFERROR(__xludf.DUMMYFUNCTION("""COMPUTED_VALUE"""),"")</f>
        <v/>
      </c>
      <c r="N192" s="4" t="str">
        <f>IFERROR(__xludf.DUMMYFUNCTION("""COMPUTED_VALUE"""),"")</f>
        <v/>
      </c>
      <c r="O192" s="4" t="str">
        <f>IFERROR(__xludf.DUMMYFUNCTION("""COMPUTED_VALUE"""),"")</f>
        <v/>
      </c>
      <c r="P192" s="4" t="str">
        <f>IFERROR(__xludf.DUMMYFUNCTION("""COMPUTED_VALUE"""),"")</f>
        <v/>
      </c>
      <c r="Q192" s="4" t="str">
        <f>IFERROR(__xludf.DUMMYFUNCTION("""COMPUTED_VALUE"""),"")</f>
        <v/>
      </c>
      <c r="R192" s="4" t="str">
        <f>IFERROR(__xludf.DUMMYFUNCTION("""COMPUTED_VALUE"""),"")</f>
        <v/>
      </c>
      <c r="S192" s="4" t="str">
        <f>IFERROR(__xludf.DUMMYFUNCTION("""COMPUTED_VALUE"""),"")</f>
        <v/>
      </c>
      <c r="T192" s="4" t="str">
        <f>IFERROR(__xludf.DUMMYFUNCTION("""COMPUTED_VALUE"""),"")</f>
        <v/>
      </c>
      <c r="U192" s="4" t="str">
        <f>IFERROR(__xludf.DUMMYFUNCTION("""COMPUTED_VALUE"""),"")</f>
        <v/>
      </c>
    </row>
    <row r="193">
      <c r="A193" s="4" t="str">
        <f>IFERROR(__xludf.DUMMYFUNCTION("""COMPUTED_VALUE"""),"")</f>
        <v/>
      </c>
      <c r="B193" s="4" t="str">
        <f>IFERROR(__xludf.DUMMYFUNCTION("""COMPUTED_VALUE"""),"")</f>
        <v/>
      </c>
      <c r="C193" s="4" t="str">
        <f>IFERROR(__xludf.DUMMYFUNCTION("""COMPUTED_VALUE"""),"")</f>
        <v/>
      </c>
      <c r="D193" s="4" t="str">
        <f>IFERROR(__xludf.DUMMYFUNCTION("""COMPUTED_VALUE"""),"")</f>
        <v/>
      </c>
      <c r="E193" s="4" t="str">
        <f>IFERROR(__xludf.DUMMYFUNCTION("""COMPUTED_VALUE"""),"")</f>
        <v/>
      </c>
      <c r="F193" s="4" t="str">
        <f>IFERROR(__xludf.DUMMYFUNCTION("""COMPUTED_VALUE"""),"")</f>
        <v/>
      </c>
      <c r="G193" s="4" t="str">
        <f>IFERROR(__xludf.DUMMYFUNCTION("""COMPUTED_VALUE"""),"")</f>
        <v/>
      </c>
      <c r="H193" s="4" t="str">
        <f>IFERROR(__xludf.DUMMYFUNCTION("""COMPUTED_VALUE"""),"")</f>
        <v/>
      </c>
      <c r="I193" s="4" t="str">
        <f>IFERROR(__xludf.DUMMYFUNCTION("""COMPUTED_VALUE"""),"")</f>
        <v/>
      </c>
      <c r="J193" s="4" t="str">
        <f>IFERROR(__xludf.DUMMYFUNCTION("""COMPUTED_VALUE"""),"")</f>
        <v/>
      </c>
      <c r="K193" s="4" t="str">
        <f>IFERROR(__xludf.DUMMYFUNCTION("""COMPUTED_VALUE"""),"")</f>
        <v/>
      </c>
      <c r="L193" s="4" t="str">
        <f>IFERROR(__xludf.DUMMYFUNCTION("""COMPUTED_VALUE"""),"")</f>
        <v/>
      </c>
      <c r="M193" s="4" t="str">
        <f>IFERROR(__xludf.DUMMYFUNCTION("""COMPUTED_VALUE"""),"")</f>
        <v/>
      </c>
      <c r="N193" s="4" t="str">
        <f>IFERROR(__xludf.DUMMYFUNCTION("""COMPUTED_VALUE"""),"")</f>
        <v/>
      </c>
      <c r="O193" s="4" t="str">
        <f>IFERROR(__xludf.DUMMYFUNCTION("""COMPUTED_VALUE"""),"")</f>
        <v/>
      </c>
      <c r="P193" s="4" t="str">
        <f>IFERROR(__xludf.DUMMYFUNCTION("""COMPUTED_VALUE"""),"")</f>
        <v/>
      </c>
      <c r="Q193" s="4" t="str">
        <f>IFERROR(__xludf.DUMMYFUNCTION("""COMPUTED_VALUE"""),"")</f>
        <v/>
      </c>
      <c r="R193" s="4" t="str">
        <f>IFERROR(__xludf.DUMMYFUNCTION("""COMPUTED_VALUE"""),"")</f>
        <v/>
      </c>
      <c r="S193" s="4" t="str">
        <f>IFERROR(__xludf.DUMMYFUNCTION("""COMPUTED_VALUE"""),"")</f>
        <v/>
      </c>
      <c r="T193" s="4" t="str">
        <f>IFERROR(__xludf.DUMMYFUNCTION("""COMPUTED_VALUE"""),"")</f>
        <v/>
      </c>
      <c r="U193" s="4" t="str">
        <f>IFERROR(__xludf.DUMMYFUNCTION("""COMPUTED_VALUE"""),"")</f>
        <v/>
      </c>
    </row>
    <row r="194">
      <c r="A194" s="4" t="str">
        <f>IFERROR(__xludf.DUMMYFUNCTION("""COMPUTED_VALUE"""),"")</f>
        <v/>
      </c>
      <c r="B194" s="4" t="str">
        <f>IFERROR(__xludf.DUMMYFUNCTION("""COMPUTED_VALUE"""),"")</f>
        <v/>
      </c>
      <c r="C194" s="4" t="str">
        <f>IFERROR(__xludf.DUMMYFUNCTION("""COMPUTED_VALUE"""),"")</f>
        <v/>
      </c>
      <c r="D194" s="4" t="str">
        <f>IFERROR(__xludf.DUMMYFUNCTION("""COMPUTED_VALUE"""),"")</f>
        <v/>
      </c>
      <c r="E194" s="4" t="str">
        <f>IFERROR(__xludf.DUMMYFUNCTION("""COMPUTED_VALUE"""),"")</f>
        <v/>
      </c>
      <c r="F194" s="4" t="str">
        <f>IFERROR(__xludf.DUMMYFUNCTION("""COMPUTED_VALUE"""),"")</f>
        <v/>
      </c>
      <c r="G194" s="4" t="str">
        <f>IFERROR(__xludf.DUMMYFUNCTION("""COMPUTED_VALUE"""),"")</f>
        <v/>
      </c>
      <c r="H194" s="4" t="str">
        <f>IFERROR(__xludf.DUMMYFUNCTION("""COMPUTED_VALUE"""),"")</f>
        <v/>
      </c>
      <c r="I194" s="4" t="str">
        <f>IFERROR(__xludf.DUMMYFUNCTION("""COMPUTED_VALUE"""),"")</f>
        <v/>
      </c>
      <c r="J194" s="4" t="str">
        <f>IFERROR(__xludf.DUMMYFUNCTION("""COMPUTED_VALUE"""),"")</f>
        <v/>
      </c>
      <c r="K194" s="4" t="str">
        <f>IFERROR(__xludf.DUMMYFUNCTION("""COMPUTED_VALUE"""),"")</f>
        <v/>
      </c>
      <c r="L194" s="4" t="str">
        <f>IFERROR(__xludf.DUMMYFUNCTION("""COMPUTED_VALUE"""),"")</f>
        <v/>
      </c>
      <c r="M194" s="4" t="str">
        <f>IFERROR(__xludf.DUMMYFUNCTION("""COMPUTED_VALUE"""),"")</f>
        <v/>
      </c>
      <c r="N194" s="4" t="str">
        <f>IFERROR(__xludf.DUMMYFUNCTION("""COMPUTED_VALUE"""),"")</f>
        <v/>
      </c>
      <c r="O194" s="4" t="str">
        <f>IFERROR(__xludf.DUMMYFUNCTION("""COMPUTED_VALUE"""),"")</f>
        <v/>
      </c>
      <c r="P194" s="4" t="str">
        <f>IFERROR(__xludf.DUMMYFUNCTION("""COMPUTED_VALUE"""),"")</f>
        <v/>
      </c>
      <c r="Q194" s="4" t="str">
        <f>IFERROR(__xludf.DUMMYFUNCTION("""COMPUTED_VALUE"""),"")</f>
        <v/>
      </c>
      <c r="R194" s="4" t="str">
        <f>IFERROR(__xludf.DUMMYFUNCTION("""COMPUTED_VALUE"""),"")</f>
        <v/>
      </c>
      <c r="S194" s="4" t="str">
        <f>IFERROR(__xludf.DUMMYFUNCTION("""COMPUTED_VALUE"""),"")</f>
        <v/>
      </c>
      <c r="T194" s="4" t="str">
        <f>IFERROR(__xludf.DUMMYFUNCTION("""COMPUTED_VALUE"""),"")</f>
        <v/>
      </c>
      <c r="U194" s="4" t="str">
        <f>IFERROR(__xludf.DUMMYFUNCTION("""COMPUTED_VALUE"""),"")</f>
        <v/>
      </c>
    </row>
    <row r="195">
      <c r="A195" s="4" t="str">
        <f>IFERROR(__xludf.DUMMYFUNCTION("""COMPUTED_VALUE"""),"")</f>
        <v/>
      </c>
      <c r="B195" s="4" t="str">
        <f>IFERROR(__xludf.DUMMYFUNCTION("""COMPUTED_VALUE"""),"")</f>
        <v/>
      </c>
      <c r="C195" s="4" t="str">
        <f>IFERROR(__xludf.DUMMYFUNCTION("""COMPUTED_VALUE"""),"")</f>
        <v/>
      </c>
      <c r="D195" s="4" t="str">
        <f>IFERROR(__xludf.DUMMYFUNCTION("""COMPUTED_VALUE"""),"")</f>
        <v/>
      </c>
      <c r="E195" s="4" t="str">
        <f>IFERROR(__xludf.DUMMYFUNCTION("""COMPUTED_VALUE"""),"")</f>
        <v/>
      </c>
      <c r="F195" s="4" t="str">
        <f>IFERROR(__xludf.DUMMYFUNCTION("""COMPUTED_VALUE"""),"")</f>
        <v/>
      </c>
      <c r="G195" s="4" t="str">
        <f>IFERROR(__xludf.DUMMYFUNCTION("""COMPUTED_VALUE"""),"")</f>
        <v/>
      </c>
      <c r="H195" s="4" t="str">
        <f>IFERROR(__xludf.DUMMYFUNCTION("""COMPUTED_VALUE"""),"")</f>
        <v/>
      </c>
      <c r="I195" s="4" t="str">
        <f>IFERROR(__xludf.DUMMYFUNCTION("""COMPUTED_VALUE"""),"")</f>
        <v/>
      </c>
      <c r="J195" s="4" t="str">
        <f>IFERROR(__xludf.DUMMYFUNCTION("""COMPUTED_VALUE"""),"")</f>
        <v/>
      </c>
      <c r="K195" s="4" t="str">
        <f>IFERROR(__xludf.DUMMYFUNCTION("""COMPUTED_VALUE"""),"")</f>
        <v/>
      </c>
      <c r="L195" s="4" t="str">
        <f>IFERROR(__xludf.DUMMYFUNCTION("""COMPUTED_VALUE"""),"")</f>
        <v/>
      </c>
      <c r="M195" s="4" t="str">
        <f>IFERROR(__xludf.DUMMYFUNCTION("""COMPUTED_VALUE"""),"")</f>
        <v/>
      </c>
      <c r="N195" s="4" t="str">
        <f>IFERROR(__xludf.DUMMYFUNCTION("""COMPUTED_VALUE"""),"")</f>
        <v/>
      </c>
      <c r="O195" s="4" t="str">
        <f>IFERROR(__xludf.DUMMYFUNCTION("""COMPUTED_VALUE"""),"")</f>
        <v/>
      </c>
      <c r="P195" s="4" t="str">
        <f>IFERROR(__xludf.DUMMYFUNCTION("""COMPUTED_VALUE"""),"")</f>
        <v/>
      </c>
      <c r="Q195" s="4" t="str">
        <f>IFERROR(__xludf.DUMMYFUNCTION("""COMPUTED_VALUE"""),"")</f>
        <v/>
      </c>
      <c r="R195" s="4" t="str">
        <f>IFERROR(__xludf.DUMMYFUNCTION("""COMPUTED_VALUE"""),"")</f>
        <v/>
      </c>
      <c r="S195" s="4" t="str">
        <f>IFERROR(__xludf.DUMMYFUNCTION("""COMPUTED_VALUE"""),"")</f>
        <v/>
      </c>
      <c r="T195" s="4" t="str">
        <f>IFERROR(__xludf.DUMMYFUNCTION("""COMPUTED_VALUE"""),"")</f>
        <v/>
      </c>
      <c r="U195" s="4" t="str">
        <f>IFERROR(__xludf.DUMMYFUNCTION("""COMPUTED_VALUE"""),"")</f>
        <v/>
      </c>
    </row>
    <row r="196">
      <c r="A196" s="4" t="str">
        <f>IFERROR(__xludf.DUMMYFUNCTION("""COMPUTED_VALUE"""),"")</f>
        <v/>
      </c>
      <c r="B196" s="4" t="str">
        <f>IFERROR(__xludf.DUMMYFUNCTION("""COMPUTED_VALUE"""),"")</f>
        <v/>
      </c>
      <c r="C196" s="4" t="str">
        <f>IFERROR(__xludf.DUMMYFUNCTION("""COMPUTED_VALUE"""),"")</f>
        <v/>
      </c>
      <c r="D196" s="4" t="str">
        <f>IFERROR(__xludf.DUMMYFUNCTION("""COMPUTED_VALUE"""),"")</f>
        <v/>
      </c>
      <c r="E196" s="4" t="str">
        <f>IFERROR(__xludf.DUMMYFUNCTION("""COMPUTED_VALUE"""),"")</f>
        <v/>
      </c>
      <c r="F196" s="4" t="str">
        <f>IFERROR(__xludf.DUMMYFUNCTION("""COMPUTED_VALUE"""),"")</f>
        <v/>
      </c>
      <c r="G196" s="4" t="str">
        <f>IFERROR(__xludf.DUMMYFUNCTION("""COMPUTED_VALUE"""),"")</f>
        <v/>
      </c>
      <c r="H196" s="4" t="str">
        <f>IFERROR(__xludf.DUMMYFUNCTION("""COMPUTED_VALUE"""),"")</f>
        <v/>
      </c>
      <c r="I196" s="4" t="str">
        <f>IFERROR(__xludf.DUMMYFUNCTION("""COMPUTED_VALUE"""),"")</f>
        <v/>
      </c>
      <c r="J196" s="4" t="str">
        <f>IFERROR(__xludf.DUMMYFUNCTION("""COMPUTED_VALUE"""),"")</f>
        <v/>
      </c>
      <c r="K196" s="4" t="str">
        <f>IFERROR(__xludf.DUMMYFUNCTION("""COMPUTED_VALUE"""),"")</f>
        <v/>
      </c>
      <c r="L196" s="4" t="str">
        <f>IFERROR(__xludf.DUMMYFUNCTION("""COMPUTED_VALUE"""),"")</f>
        <v/>
      </c>
      <c r="M196" s="4" t="str">
        <f>IFERROR(__xludf.DUMMYFUNCTION("""COMPUTED_VALUE"""),"")</f>
        <v/>
      </c>
      <c r="N196" s="4" t="str">
        <f>IFERROR(__xludf.DUMMYFUNCTION("""COMPUTED_VALUE"""),"")</f>
        <v/>
      </c>
      <c r="O196" s="4" t="str">
        <f>IFERROR(__xludf.DUMMYFUNCTION("""COMPUTED_VALUE"""),"")</f>
        <v/>
      </c>
      <c r="P196" s="4" t="str">
        <f>IFERROR(__xludf.DUMMYFUNCTION("""COMPUTED_VALUE"""),"")</f>
        <v/>
      </c>
      <c r="Q196" s="4" t="str">
        <f>IFERROR(__xludf.DUMMYFUNCTION("""COMPUTED_VALUE"""),"")</f>
        <v/>
      </c>
      <c r="R196" s="4" t="str">
        <f>IFERROR(__xludf.DUMMYFUNCTION("""COMPUTED_VALUE"""),"")</f>
        <v/>
      </c>
      <c r="S196" s="4" t="str">
        <f>IFERROR(__xludf.DUMMYFUNCTION("""COMPUTED_VALUE"""),"")</f>
        <v/>
      </c>
      <c r="T196" s="4" t="str">
        <f>IFERROR(__xludf.DUMMYFUNCTION("""COMPUTED_VALUE"""),"")</f>
        <v/>
      </c>
      <c r="U196" s="4" t="str">
        <f>IFERROR(__xludf.DUMMYFUNCTION("""COMPUTED_VALUE"""),"")</f>
        <v/>
      </c>
    </row>
    <row r="197">
      <c r="A197" s="4" t="str">
        <f>IFERROR(__xludf.DUMMYFUNCTION("""COMPUTED_VALUE"""),"")</f>
        <v/>
      </c>
      <c r="B197" s="4" t="str">
        <f>IFERROR(__xludf.DUMMYFUNCTION("""COMPUTED_VALUE"""),"")</f>
        <v/>
      </c>
      <c r="C197" s="4" t="str">
        <f>IFERROR(__xludf.DUMMYFUNCTION("""COMPUTED_VALUE"""),"")</f>
        <v/>
      </c>
      <c r="D197" s="4" t="str">
        <f>IFERROR(__xludf.DUMMYFUNCTION("""COMPUTED_VALUE"""),"")</f>
        <v/>
      </c>
      <c r="E197" s="4" t="str">
        <f>IFERROR(__xludf.DUMMYFUNCTION("""COMPUTED_VALUE"""),"")</f>
        <v/>
      </c>
      <c r="F197" s="4" t="str">
        <f>IFERROR(__xludf.DUMMYFUNCTION("""COMPUTED_VALUE"""),"")</f>
        <v/>
      </c>
      <c r="G197" s="4" t="str">
        <f>IFERROR(__xludf.DUMMYFUNCTION("""COMPUTED_VALUE"""),"")</f>
        <v/>
      </c>
      <c r="H197" s="4" t="str">
        <f>IFERROR(__xludf.DUMMYFUNCTION("""COMPUTED_VALUE"""),"")</f>
        <v/>
      </c>
      <c r="I197" s="4" t="str">
        <f>IFERROR(__xludf.DUMMYFUNCTION("""COMPUTED_VALUE"""),"")</f>
        <v/>
      </c>
      <c r="J197" s="4" t="str">
        <f>IFERROR(__xludf.DUMMYFUNCTION("""COMPUTED_VALUE"""),"")</f>
        <v/>
      </c>
      <c r="K197" s="4" t="str">
        <f>IFERROR(__xludf.DUMMYFUNCTION("""COMPUTED_VALUE"""),"")</f>
        <v/>
      </c>
      <c r="L197" s="4" t="str">
        <f>IFERROR(__xludf.DUMMYFUNCTION("""COMPUTED_VALUE"""),"")</f>
        <v/>
      </c>
      <c r="M197" s="4" t="str">
        <f>IFERROR(__xludf.DUMMYFUNCTION("""COMPUTED_VALUE"""),"")</f>
        <v/>
      </c>
      <c r="N197" s="4" t="str">
        <f>IFERROR(__xludf.DUMMYFUNCTION("""COMPUTED_VALUE"""),"")</f>
        <v/>
      </c>
      <c r="O197" s="4" t="str">
        <f>IFERROR(__xludf.DUMMYFUNCTION("""COMPUTED_VALUE"""),"")</f>
        <v/>
      </c>
      <c r="P197" s="4" t="str">
        <f>IFERROR(__xludf.DUMMYFUNCTION("""COMPUTED_VALUE"""),"")</f>
        <v/>
      </c>
      <c r="Q197" s="4" t="str">
        <f>IFERROR(__xludf.DUMMYFUNCTION("""COMPUTED_VALUE"""),"")</f>
        <v/>
      </c>
      <c r="R197" s="4" t="str">
        <f>IFERROR(__xludf.DUMMYFUNCTION("""COMPUTED_VALUE"""),"")</f>
        <v/>
      </c>
      <c r="S197" s="4" t="str">
        <f>IFERROR(__xludf.DUMMYFUNCTION("""COMPUTED_VALUE"""),"")</f>
        <v/>
      </c>
      <c r="T197" s="4" t="str">
        <f>IFERROR(__xludf.DUMMYFUNCTION("""COMPUTED_VALUE"""),"")</f>
        <v/>
      </c>
      <c r="U197" s="4" t="str">
        <f>IFERROR(__xludf.DUMMYFUNCTION("""COMPUTED_VALUE"""),"")</f>
        <v/>
      </c>
    </row>
    <row r="198">
      <c r="A198" s="4" t="str">
        <f>IFERROR(__xludf.DUMMYFUNCTION("""COMPUTED_VALUE"""),"")</f>
        <v/>
      </c>
      <c r="B198" s="4" t="str">
        <f>IFERROR(__xludf.DUMMYFUNCTION("""COMPUTED_VALUE"""),"")</f>
        <v/>
      </c>
      <c r="C198" s="4" t="str">
        <f>IFERROR(__xludf.DUMMYFUNCTION("""COMPUTED_VALUE"""),"")</f>
        <v/>
      </c>
      <c r="D198" s="4" t="str">
        <f>IFERROR(__xludf.DUMMYFUNCTION("""COMPUTED_VALUE"""),"")</f>
        <v/>
      </c>
      <c r="E198" s="4" t="str">
        <f>IFERROR(__xludf.DUMMYFUNCTION("""COMPUTED_VALUE"""),"")</f>
        <v/>
      </c>
      <c r="F198" s="4" t="str">
        <f>IFERROR(__xludf.DUMMYFUNCTION("""COMPUTED_VALUE"""),"")</f>
        <v/>
      </c>
      <c r="G198" s="4" t="str">
        <f>IFERROR(__xludf.DUMMYFUNCTION("""COMPUTED_VALUE"""),"")</f>
        <v/>
      </c>
      <c r="H198" s="4" t="str">
        <f>IFERROR(__xludf.DUMMYFUNCTION("""COMPUTED_VALUE"""),"")</f>
        <v/>
      </c>
      <c r="I198" s="4" t="str">
        <f>IFERROR(__xludf.DUMMYFUNCTION("""COMPUTED_VALUE"""),"")</f>
        <v/>
      </c>
      <c r="J198" s="4" t="str">
        <f>IFERROR(__xludf.DUMMYFUNCTION("""COMPUTED_VALUE"""),"")</f>
        <v/>
      </c>
      <c r="K198" s="4" t="str">
        <f>IFERROR(__xludf.DUMMYFUNCTION("""COMPUTED_VALUE"""),"")</f>
        <v/>
      </c>
      <c r="L198" s="4" t="str">
        <f>IFERROR(__xludf.DUMMYFUNCTION("""COMPUTED_VALUE"""),"")</f>
        <v/>
      </c>
      <c r="M198" s="4" t="str">
        <f>IFERROR(__xludf.DUMMYFUNCTION("""COMPUTED_VALUE"""),"")</f>
        <v/>
      </c>
      <c r="N198" s="4" t="str">
        <f>IFERROR(__xludf.DUMMYFUNCTION("""COMPUTED_VALUE"""),"")</f>
        <v/>
      </c>
      <c r="O198" s="4" t="str">
        <f>IFERROR(__xludf.DUMMYFUNCTION("""COMPUTED_VALUE"""),"")</f>
        <v/>
      </c>
      <c r="P198" s="4" t="str">
        <f>IFERROR(__xludf.DUMMYFUNCTION("""COMPUTED_VALUE"""),"")</f>
        <v/>
      </c>
      <c r="Q198" s="4" t="str">
        <f>IFERROR(__xludf.DUMMYFUNCTION("""COMPUTED_VALUE"""),"")</f>
        <v/>
      </c>
      <c r="R198" s="4" t="str">
        <f>IFERROR(__xludf.DUMMYFUNCTION("""COMPUTED_VALUE"""),"")</f>
        <v/>
      </c>
      <c r="S198" s="4" t="str">
        <f>IFERROR(__xludf.DUMMYFUNCTION("""COMPUTED_VALUE"""),"")</f>
        <v/>
      </c>
      <c r="T198" s="4" t="str">
        <f>IFERROR(__xludf.DUMMYFUNCTION("""COMPUTED_VALUE"""),"")</f>
        <v/>
      </c>
      <c r="U198" s="4" t="str">
        <f>IFERROR(__xludf.DUMMYFUNCTION("""COMPUTED_VALUE"""),"")</f>
        <v/>
      </c>
    </row>
    <row r="199">
      <c r="A199" s="4" t="str">
        <f>IFERROR(__xludf.DUMMYFUNCTION("""COMPUTED_VALUE"""),"")</f>
        <v/>
      </c>
      <c r="B199" s="4" t="str">
        <f>IFERROR(__xludf.DUMMYFUNCTION("""COMPUTED_VALUE"""),"")</f>
        <v/>
      </c>
      <c r="C199" s="4" t="str">
        <f>IFERROR(__xludf.DUMMYFUNCTION("""COMPUTED_VALUE"""),"")</f>
        <v/>
      </c>
      <c r="D199" s="4" t="str">
        <f>IFERROR(__xludf.DUMMYFUNCTION("""COMPUTED_VALUE"""),"")</f>
        <v/>
      </c>
      <c r="E199" s="4" t="str">
        <f>IFERROR(__xludf.DUMMYFUNCTION("""COMPUTED_VALUE"""),"")</f>
        <v/>
      </c>
      <c r="F199" s="4" t="str">
        <f>IFERROR(__xludf.DUMMYFUNCTION("""COMPUTED_VALUE"""),"")</f>
        <v/>
      </c>
      <c r="G199" s="4" t="str">
        <f>IFERROR(__xludf.DUMMYFUNCTION("""COMPUTED_VALUE"""),"")</f>
        <v/>
      </c>
      <c r="H199" s="4" t="str">
        <f>IFERROR(__xludf.DUMMYFUNCTION("""COMPUTED_VALUE"""),"")</f>
        <v/>
      </c>
      <c r="I199" s="4" t="str">
        <f>IFERROR(__xludf.DUMMYFUNCTION("""COMPUTED_VALUE"""),"")</f>
        <v/>
      </c>
      <c r="J199" s="4" t="str">
        <f>IFERROR(__xludf.DUMMYFUNCTION("""COMPUTED_VALUE"""),"")</f>
        <v/>
      </c>
      <c r="K199" s="4" t="str">
        <f>IFERROR(__xludf.DUMMYFUNCTION("""COMPUTED_VALUE"""),"")</f>
        <v/>
      </c>
      <c r="L199" s="4" t="str">
        <f>IFERROR(__xludf.DUMMYFUNCTION("""COMPUTED_VALUE"""),"")</f>
        <v/>
      </c>
      <c r="M199" s="4" t="str">
        <f>IFERROR(__xludf.DUMMYFUNCTION("""COMPUTED_VALUE"""),"")</f>
        <v/>
      </c>
      <c r="N199" s="4" t="str">
        <f>IFERROR(__xludf.DUMMYFUNCTION("""COMPUTED_VALUE"""),"")</f>
        <v/>
      </c>
      <c r="O199" s="4" t="str">
        <f>IFERROR(__xludf.DUMMYFUNCTION("""COMPUTED_VALUE"""),"")</f>
        <v/>
      </c>
      <c r="P199" s="4" t="str">
        <f>IFERROR(__xludf.DUMMYFUNCTION("""COMPUTED_VALUE"""),"")</f>
        <v/>
      </c>
      <c r="Q199" s="4" t="str">
        <f>IFERROR(__xludf.DUMMYFUNCTION("""COMPUTED_VALUE"""),"")</f>
        <v/>
      </c>
      <c r="R199" s="4" t="str">
        <f>IFERROR(__xludf.DUMMYFUNCTION("""COMPUTED_VALUE"""),"")</f>
        <v/>
      </c>
      <c r="S199" s="4" t="str">
        <f>IFERROR(__xludf.DUMMYFUNCTION("""COMPUTED_VALUE"""),"")</f>
        <v/>
      </c>
      <c r="T199" s="4" t="str">
        <f>IFERROR(__xludf.DUMMYFUNCTION("""COMPUTED_VALUE"""),"")</f>
        <v/>
      </c>
      <c r="U199" s="4" t="str">
        <f>IFERROR(__xludf.DUMMYFUNCTION("""COMPUTED_VALUE"""),"")</f>
        <v/>
      </c>
    </row>
    <row r="200">
      <c r="A200" s="4" t="str">
        <f>IFERROR(__xludf.DUMMYFUNCTION("""COMPUTED_VALUE"""),"")</f>
        <v/>
      </c>
      <c r="B200" s="4" t="str">
        <f>IFERROR(__xludf.DUMMYFUNCTION("""COMPUTED_VALUE"""),"")</f>
        <v/>
      </c>
      <c r="C200" s="4" t="str">
        <f>IFERROR(__xludf.DUMMYFUNCTION("""COMPUTED_VALUE"""),"")</f>
        <v/>
      </c>
      <c r="D200" s="4" t="str">
        <f>IFERROR(__xludf.DUMMYFUNCTION("""COMPUTED_VALUE"""),"")</f>
        <v/>
      </c>
      <c r="E200" s="4" t="str">
        <f>IFERROR(__xludf.DUMMYFUNCTION("""COMPUTED_VALUE"""),"")</f>
        <v/>
      </c>
      <c r="F200" s="4" t="str">
        <f>IFERROR(__xludf.DUMMYFUNCTION("""COMPUTED_VALUE"""),"")</f>
        <v/>
      </c>
      <c r="G200" s="4" t="str">
        <f>IFERROR(__xludf.DUMMYFUNCTION("""COMPUTED_VALUE"""),"")</f>
        <v/>
      </c>
      <c r="H200" s="4" t="str">
        <f>IFERROR(__xludf.DUMMYFUNCTION("""COMPUTED_VALUE"""),"")</f>
        <v/>
      </c>
      <c r="I200" s="4" t="str">
        <f>IFERROR(__xludf.DUMMYFUNCTION("""COMPUTED_VALUE"""),"")</f>
        <v/>
      </c>
      <c r="J200" s="4" t="str">
        <f>IFERROR(__xludf.DUMMYFUNCTION("""COMPUTED_VALUE"""),"")</f>
        <v/>
      </c>
      <c r="K200" s="4" t="str">
        <f>IFERROR(__xludf.DUMMYFUNCTION("""COMPUTED_VALUE"""),"")</f>
        <v/>
      </c>
      <c r="L200" s="4" t="str">
        <f>IFERROR(__xludf.DUMMYFUNCTION("""COMPUTED_VALUE"""),"")</f>
        <v/>
      </c>
      <c r="M200" s="4" t="str">
        <f>IFERROR(__xludf.DUMMYFUNCTION("""COMPUTED_VALUE"""),"")</f>
        <v/>
      </c>
      <c r="N200" s="4" t="str">
        <f>IFERROR(__xludf.DUMMYFUNCTION("""COMPUTED_VALUE"""),"")</f>
        <v/>
      </c>
      <c r="O200" s="4" t="str">
        <f>IFERROR(__xludf.DUMMYFUNCTION("""COMPUTED_VALUE"""),"")</f>
        <v/>
      </c>
      <c r="P200" s="4" t="str">
        <f>IFERROR(__xludf.DUMMYFUNCTION("""COMPUTED_VALUE"""),"")</f>
        <v/>
      </c>
      <c r="Q200" s="4" t="str">
        <f>IFERROR(__xludf.DUMMYFUNCTION("""COMPUTED_VALUE"""),"")</f>
        <v/>
      </c>
      <c r="R200" s="4" t="str">
        <f>IFERROR(__xludf.DUMMYFUNCTION("""COMPUTED_VALUE"""),"")</f>
        <v/>
      </c>
      <c r="S200" s="4" t="str">
        <f>IFERROR(__xludf.DUMMYFUNCTION("""COMPUTED_VALUE"""),"")</f>
        <v/>
      </c>
      <c r="T200" s="4" t="str">
        <f>IFERROR(__xludf.DUMMYFUNCTION("""COMPUTED_VALUE"""),"")</f>
        <v/>
      </c>
      <c r="U200" s="4" t="str">
        <f>IFERROR(__xludf.DUMMYFUNCTION("""COMPUTED_VALUE"""),"")</f>
        <v/>
      </c>
    </row>
    <row r="201">
      <c r="A201" s="4" t="str">
        <f>IFERROR(__xludf.DUMMYFUNCTION("""COMPUTED_VALUE"""),"")</f>
        <v/>
      </c>
      <c r="B201" s="4" t="str">
        <f>IFERROR(__xludf.DUMMYFUNCTION("""COMPUTED_VALUE"""),"")</f>
        <v/>
      </c>
      <c r="C201" s="4" t="str">
        <f>IFERROR(__xludf.DUMMYFUNCTION("""COMPUTED_VALUE"""),"")</f>
        <v/>
      </c>
      <c r="D201" s="4" t="str">
        <f>IFERROR(__xludf.DUMMYFUNCTION("""COMPUTED_VALUE"""),"")</f>
        <v/>
      </c>
      <c r="E201" s="4" t="str">
        <f>IFERROR(__xludf.DUMMYFUNCTION("""COMPUTED_VALUE"""),"")</f>
        <v/>
      </c>
      <c r="F201" s="4" t="str">
        <f>IFERROR(__xludf.DUMMYFUNCTION("""COMPUTED_VALUE"""),"")</f>
        <v/>
      </c>
      <c r="G201" s="4" t="str">
        <f>IFERROR(__xludf.DUMMYFUNCTION("""COMPUTED_VALUE"""),"")</f>
        <v/>
      </c>
      <c r="H201" s="4" t="str">
        <f>IFERROR(__xludf.DUMMYFUNCTION("""COMPUTED_VALUE"""),"")</f>
        <v/>
      </c>
      <c r="I201" s="4" t="str">
        <f>IFERROR(__xludf.DUMMYFUNCTION("""COMPUTED_VALUE"""),"")</f>
        <v/>
      </c>
      <c r="J201" s="4" t="str">
        <f>IFERROR(__xludf.DUMMYFUNCTION("""COMPUTED_VALUE"""),"")</f>
        <v/>
      </c>
      <c r="K201" s="4" t="str">
        <f>IFERROR(__xludf.DUMMYFUNCTION("""COMPUTED_VALUE"""),"")</f>
        <v/>
      </c>
      <c r="L201" s="4" t="str">
        <f>IFERROR(__xludf.DUMMYFUNCTION("""COMPUTED_VALUE"""),"")</f>
        <v/>
      </c>
      <c r="M201" s="4" t="str">
        <f>IFERROR(__xludf.DUMMYFUNCTION("""COMPUTED_VALUE"""),"")</f>
        <v/>
      </c>
      <c r="N201" s="4" t="str">
        <f>IFERROR(__xludf.DUMMYFUNCTION("""COMPUTED_VALUE"""),"")</f>
        <v/>
      </c>
      <c r="O201" s="4" t="str">
        <f>IFERROR(__xludf.DUMMYFUNCTION("""COMPUTED_VALUE"""),"")</f>
        <v/>
      </c>
      <c r="P201" s="4" t="str">
        <f>IFERROR(__xludf.DUMMYFUNCTION("""COMPUTED_VALUE"""),"")</f>
        <v/>
      </c>
      <c r="Q201" s="4" t="str">
        <f>IFERROR(__xludf.DUMMYFUNCTION("""COMPUTED_VALUE"""),"")</f>
        <v/>
      </c>
      <c r="R201" s="4" t="str">
        <f>IFERROR(__xludf.DUMMYFUNCTION("""COMPUTED_VALUE"""),"")</f>
        <v/>
      </c>
      <c r="S201" s="4" t="str">
        <f>IFERROR(__xludf.DUMMYFUNCTION("""COMPUTED_VALUE"""),"")</f>
        <v/>
      </c>
      <c r="T201" s="4" t="str">
        <f>IFERROR(__xludf.DUMMYFUNCTION("""COMPUTED_VALUE"""),"")</f>
        <v/>
      </c>
      <c r="U201" s="4" t="str">
        <f>IFERROR(__xludf.DUMMYFUNCTION("""COMPUTED_VALUE"""),"")</f>
        <v/>
      </c>
    </row>
    <row r="202">
      <c r="A202" s="4" t="str">
        <f>IFERROR(__xludf.DUMMYFUNCTION("""COMPUTED_VALUE"""),"")</f>
        <v/>
      </c>
      <c r="B202" s="4" t="str">
        <f>IFERROR(__xludf.DUMMYFUNCTION("""COMPUTED_VALUE"""),"")</f>
        <v/>
      </c>
      <c r="C202" s="4" t="str">
        <f>IFERROR(__xludf.DUMMYFUNCTION("""COMPUTED_VALUE"""),"")</f>
        <v/>
      </c>
      <c r="D202" s="4" t="str">
        <f>IFERROR(__xludf.DUMMYFUNCTION("""COMPUTED_VALUE"""),"")</f>
        <v/>
      </c>
      <c r="E202" s="4" t="str">
        <f>IFERROR(__xludf.DUMMYFUNCTION("""COMPUTED_VALUE"""),"")</f>
        <v/>
      </c>
      <c r="F202" s="4" t="str">
        <f>IFERROR(__xludf.DUMMYFUNCTION("""COMPUTED_VALUE"""),"")</f>
        <v/>
      </c>
      <c r="G202" s="4" t="str">
        <f>IFERROR(__xludf.DUMMYFUNCTION("""COMPUTED_VALUE"""),"")</f>
        <v/>
      </c>
      <c r="H202" s="4" t="str">
        <f>IFERROR(__xludf.DUMMYFUNCTION("""COMPUTED_VALUE"""),"")</f>
        <v/>
      </c>
      <c r="I202" s="4" t="str">
        <f>IFERROR(__xludf.DUMMYFUNCTION("""COMPUTED_VALUE"""),"")</f>
        <v/>
      </c>
      <c r="J202" s="4" t="str">
        <f>IFERROR(__xludf.DUMMYFUNCTION("""COMPUTED_VALUE"""),"")</f>
        <v/>
      </c>
      <c r="K202" s="4" t="str">
        <f>IFERROR(__xludf.DUMMYFUNCTION("""COMPUTED_VALUE"""),"")</f>
        <v/>
      </c>
      <c r="L202" s="4" t="str">
        <f>IFERROR(__xludf.DUMMYFUNCTION("""COMPUTED_VALUE"""),"")</f>
        <v/>
      </c>
      <c r="M202" s="4" t="str">
        <f>IFERROR(__xludf.DUMMYFUNCTION("""COMPUTED_VALUE"""),"")</f>
        <v/>
      </c>
      <c r="N202" s="4" t="str">
        <f>IFERROR(__xludf.DUMMYFUNCTION("""COMPUTED_VALUE"""),"")</f>
        <v/>
      </c>
      <c r="O202" s="4" t="str">
        <f>IFERROR(__xludf.DUMMYFUNCTION("""COMPUTED_VALUE"""),"")</f>
        <v/>
      </c>
      <c r="P202" s="4" t="str">
        <f>IFERROR(__xludf.DUMMYFUNCTION("""COMPUTED_VALUE"""),"")</f>
        <v/>
      </c>
      <c r="Q202" s="4" t="str">
        <f>IFERROR(__xludf.DUMMYFUNCTION("""COMPUTED_VALUE"""),"")</f>
        <v/>
      </c>
      <c r="R202" s="4" t="str">
        <f>IFERROR(__xludf.DUMMYFUNCTION("""COMPUTED_VALUE"""),"")</f>
        <v/>
      </c>
      <c r="S202" s="4" t="str">
        <f>IFERROR(__xludf.DUMMYFUNCTION("""COMPUTED_VALUE"""),"")</f>
        <v/>
      </c>
      <c r="T202" s="4" t="str">
        <f>IFERROR(__xludf.DUMMYFUNCTION("""COMPUTED_VALUE"""),"")</f>
        <v/>
      </c>
      <c r="U202" s="4" t="str">
        <f>IFERROR(__xludf.DUMMYFUNCTION("""COMPUTED_VALUE"""),"")</f>
        <v/>
      </c>
    </row>
    <row r="203">
      <c r="A203" s="4" t="str">
        <f>IFERROR(__xludf.DUMMYFUNCTION("""COMPUTED_VALUE"""),"")</f>
        <v/>
      </c>
      <c r="B203" s="4" t="str">
        <f>IFERROR(__xludf.DUMMYFUNCTION("""COMPUTED_VALUE"""),"")</f>
        <v/>
      </c>
      <c r="C203" s="4" t="str">
        <f>IFERROR(__xludf.DUMMYFUNCTION("""COMPUTED_VALUE"""),"")</f>
        <v/>
      </c>
      <c r="D203" s="4" t="str">
        <f>IFERROR(__xludf.DUMMYFUNCTION("""COMPUTED_VALUE"""),"")</f>
        <v/>
      </c>
      <c r="E203" s="4" t="str">
        <f>IFERROR(__xludf.DUMMYFUNCTION("""COMPUTED_VALUE"""),"")</f>
        <v/>
      </c>
      <c r="F203" s="4" t="str">
        <f>IFERROR(__xludf.DUMMYFUNCTION("""COMPUTED_VALUE"""),"")</f>
        <v/>
      </c>
      <c r="G203" s="4" t="str">
        <f>IFERROR(__xludf.DUMMYFUNCTION("""COMPUTED_VALUE"""),"")</f>
        <v/>
      </c>
      <c r="H203" s="4" t="str">
        <f>IFERROR(__xludf.DUMMYFUNCTION("""COMPUTED_VALUE"""),"")</f>
        <v/>
      </c>
      <c r="I203" s="4" t="str">
        <f>IFERROR(__xludf.DUMMYFUNCTION("""COMPUTED_VALUE"""),"")</f>
        <v/>
      </c>
      <c r="J203" s="4" t="str">
        <f>IFERROR(__xludf.DUMMYFUNCTION("""COMPUTED_VALUE"""),"")</f>
        <v/>
      </c>
      <c r="K203" s="4" t="str">
        <f>IFERROR(__xludf.DUMMYFUNCTION("""COMPUTED_VALUE"""),"")</f>
        <v/>
      </c>
      <c r="L203" s="4" t="str">
        <f>IFERROR(__xludf.DUMMYFUNCTION("""COMPUTED_VALUE"""),"")</f>
        <v/>
      </c>
      <c r="M203" s="4" t="str">
        <f>IFERROR(__xludf.DUMMYFUNCTION("""COMPUTED_VALUE"""),"")</f>
        <v/>
      </c>
      <c r="N203" s="4" t="str">
        <f>IFERROR(__xludf.DUMMYFUNCTION("""COMPUTED_VALUE"""),"")</f>
        <v/>
      </c>
      <c r="O203" s="4" t="str">
        <f>IFERROR(__xludf.DUMMYFUNCTION("""COMPUTED_VALUE"""),"")</f>
        <v/>
      </c>
      <c r="P203" s="4" t="str">
        <f>IFERROR(__xludf.DUMMYFUNCTION("""COMPUTED_VALUE"""),"")</f>
        <v/>
      </c>
      <c r="Q203" s="4" t="str">
        <f>IFERROR(__xludf.DUMMYFUNCTION("""COMPUTED_VALUE"""),"")</f>
        <v/>
      </c>
      <c r="R203" s="4" t="str">
        <f>IFERROR(__xludf.DUMMYFUNCTION("""COMPUTED_VALUE"""),"")</f>
        <v/>
      </c>
      <c r="S203" s="4" t="str">
        <f>IFERROR(__xludf.DUMMYFUNCTION("""COMPUTED_VALUE"""),"")</f>
        <v/>
      </c>
      <c r="T203" s="4" t="str">
        <f>IFERROR(__xludf.DUMMYFUNCTION("""COMPUTED_VALUE"""),"")</f>
        <v/>
      </c>
      <c r="U203" s="4" t="str">
        <f>IFERROR(__xludf.DUMMYFUNCTION("""COMPUTED_VALUE"""),"")</f>
        <v/>
      </c>
    </row>
    <row r="204">
      <c r="A204" s="4" t="str">
        <f>IFERROR(__xludf.DUMMYFUNCTION("""COMPUTED_VALUE"""),"")</f>
        <v/>
      </c>
      <c r="B204" s="4" t="str">
        <f>IFERROR(__xludf.DUMMYFUNCTION("""COMPUTED_VALUE"""),"")</f>
        <v/>
      </c>
      <c r="C204" s="4" t="str">
        <f>IFERROR(__xludf.DUMMYFUNCTION("""COMPUTED_VALUE"""),"")</f>
        <v/>
      </c>
      <c r="D204" s="4" t="str">
        <f>IFERROR(__xludf.DUMMYFUNCTION("""COMPUTED_VALUE"""),"")</f>
        <v/>
      </c>
      <c r="E204" s="4" t="str">
        <f>IFERROR(__xludf.DUMMYFUNCTION("""COMPUTED_VALUE"""),"")</f>
        <v/>
      </c>
      <c r="F204" s="4" t="str">
        <f>IFERROR(__xludf.DUMMYFUNCTION("""COMPUTED_VALUE"""),"")</f>
        <v/>
      </c>
      <c r="G204" s="4" t="str">
        <f>IFERROR(__xludf.DUMMYFUNCTION("""COMPUTED_VALUE"""),"")</f>
        <v/>
      </c>
      <c r="H204" s="4" t="str">
        <f>IFERROR(__xludf.DUMMYFUNCTION("""COMPUTED_VALUE"""),"")</f>
        <v/>
      </c>
      <c r="I204" s="4" t="str">
        <f>IFERROR(__xludf.DUMMYFUNCTION("""COMPUTED_VALUE"""),"")</f>
        <v/>
      </c>
      <c r="J204" s="4" t="str">
        <f>IFERROR(__xludf.DUMMYFUNCTION("""COMPUTED_VALUE"""),"")</f>
        <v/>
      </c>
      <c r="K204" s="4" t="str">
        <f>IFERROR(__xludf.DUMMYFUNCTION("""COMPUTED_VALUE"""),"")</f>
        <v/>
      </c>
      <c r="L204" s="4" t="str">
        <f>IFERROR(__xludf.DUMMYFUNCTION("""COMPUTED_VALUE"""),"")</f>
        <v/>
      </c>
      <c r="M204" s="4" t="str">
        <f>IFERROR(__xludf.DUMMYFUNCTION("""COMPUTED_VALUE"""),"")</f>
        <v/>
      </c>
      <c r="N204" s="4" t="str">
        <f>IFERROR(__xludf.DUMMYFUNCTION("""COMPUTED_VALUE"""),"")</f>
        <v/>
      </c>
      <c r="O204" s="4" t="str">
        <f>IFERROR(__xludf.DUMMYFUNCTION("""COMPUTED_VALUE"""),"")</f>
        <v/>
      </c>
      <c r="P204" s="4" t="str">
        <f>IFERROR(__xludf.DUMMYFUNCTION("""COMPUTED_VALUE"""),"")</f>
        <v/>
      </c>
      <c r="Q204" s="4" t="str">
        <f>IFERROR(__xludf.DUMMYFUNCTION("""COMPUTED_VALUE"""),"")</f>
        <v/>
      </c>
      <c r="R204" s="4" t="str">
        <f>IFERROR(__xludf.DUMMYFUNCTION("""COMPUTED_VALUE"""),"")</f>
        <v/>
      </c>
      <c r="S204" s="4" t="str">
        <f>IFERROR(__xludf.DUMMYFUNCTION("""COMPUTED_VALUE"""),"")</f>
        <v/>
      </c>
      <c r="T204" s="4" t="str">
        <f>IFERROR(__xludf.DUMMYFUNCTION("""COMPUTED_VALUE"""),"")</f>
        <v/>
      </c>
      <c r="U204" s="4" t="str">
        <f>IFERROR(__xludf.DUMMYFUNCTION("""COMPUTED_VALUE"""),"")</f>
        <v/>
      </c>
    </row>
    <row r="205">
      <c r="A205" s="4" t="str">
        <f>IFERROR(__xludf.DUMMYFUNCTION("""COMPUTED_VALUE"""),"")</f>
        <v/>
      </c>
      <c r="B205" s="4" t="str">
        <f>IFERROR(__xludf.DUMMYFUNCTION("""COMPUTED_VALUE"""),"")</f>
        <v/>
      </c>
      <c r="C205" s="4" t="str">
        <f>IFERROR(__xludf.DUMMYFUNCTION("""COMPUTED_VALUE"""),"")</f>
        <v/>
      </c>
      <c r="D205" s="4" t="str">
        <f>IFERROR(__xludf.DUMMYFUNCTION("""COMPUTED_VALUE"""),"")</f>
        <v/>
      </c>
      <c r="E205" s="4" t="str">
        <f>IFERROR(__xludf.DUMMYFUNCTION("""COMPUTED_VALUE"""),"")</f>
        <v/>
      </c>
      <c r="F205" s="4" t="str">
        <f>IFERROR(__xludf.DUMMYFUNCTION("""COMPUTED_VALUE"""),"")</f>
        <v/>
      </c>
      <c r="G205" s="4" t="str">
        <f>IFERROR(__xludf.DUMMYFUNCTION("""COMPUTED_VALUE"""),"")</f>
        <v/>
      </c>
      <c r="H205" s="4" t="str">
        <f>IFERROR(__xludf.DUMMYFUNCTION("""COMPUTED_VALUE"""),"")</f>
        <v/>
      </c>
      <c r="I205" s="4" t="str">
        <f>IFERROR(__xludf.DUMMYFUNCTION("""COMPUTED_VALUE"""),"")</f>
        <v/>
      </c>
      <c r="J205" s="4" t="str">
        <f>IFERROR(__xludf.DUMMYFUNCTION("""COMPUTED_VALUE"""),"")</f>
        <v/>
      </c>
      <c r="K205" s="4" t="str">
        <f>IFERROR(__xludf.DUMMYFUNCTION("""COMPUTED_VALUE"""),"")</f>
        <v/>
      </c>
      <c r="L205" s="4" t="str">
        <f>IFERROR(__xludf.DUMMYFUNCTION("""COMPUTED_VALUE"""),"")</f>
        <v/>
      </c>
      <c r="M205" s="4" t="str">
        <f>IFERROR(__xludf.DUMMYFUNCTION("""COMPUTED_VALUE"""),"")</f>
        <v/>
      </c>
      <c r="N205" s="4" t="str">
        <f>IFERROR(__xludf.DUMMYFUNCTION("""COMPUTED_VALUE"""),"")</f>
        <v/>
      </c>
      <c r="O205" s="4" t="str">
        <f>IFERROR(__xludf.DUMMYFUNCTION("""COMPUTED_VALUE"""),"")</f>
        <v/>
      </c>
      <c r="P205" s="4" t="str">
        <f>IFERROR(__xludf.DUMMYFUNCTION("""COMPUTED_VALUE"""),"")</f>
        <v/>
      </c>
      <c r="Q205" s="4" t="str">
        <f>IFERROR(__xludf.DUMMYFUNCTION("""COMPUTED_VALUE"""),"")</f>
        <v/>
      </c>
      <c r="R205" s="4" t="str">
        <f>IFERROR(__xludf.DUMMYFUNCTION("""COMPUTED_VALUE"""),"")</f>
        <v/>
      </c>
      <c r="S205" s="4" t="str">
        <f>IFERROR(__xludf.DUMMYFUNCTION("""COMPUTED_VALUE"""),"")</f>
        <v/>
      </c>
      <c r="T205" s="4" t="str">
        <f>IFERROR(__xludf.DUMMYFUNCTION("""COMPUTED_VALUE"""),"")</f>
        <v/>
      </c>
      <c r="U205" s="4" t="str">
        <f>IFERROR(__xludf.DUMMYFUNCTION("""COMPUTED_VALUE"""),"")</f>
        <v/>
      </c>
    </row>
    <row r="206">
      <c r="A206" s="4" t="str">
        <f>IFERROR(__xludf.DUMMYFUNCTION("""COMPUTED_VALUE"""),"")</f>
        <v/>
      </c>
      <c r="B206" s="4" t="str">
        <f>IFERROR(__xludf.DUMMYFUNCTION("""COMPUTED_VALUE"""),"")</f>
        <v/>
      </c>
      <c r="C206" s="4" t="str">
        <f>IFERROR(__xludf.DUMMYFUNCTION("""COMPUTED_VALUE"""),"")</f>
        <v/>
      </c>
      <c r="D206" s="4" t="str">
        <f>IFERROR(__xludf.DUMMYFUNCTION("""COMPUTED_VALUE"""),"")</f>
        <v/>
      </c>
      <c r="E206" s="4" t="str">
        <f>IFERROR(__xludf.DUMMYFUNCTION("""COMPUTED_VALUE"""),"")</f>
        <v/>
      </c>
      <c r="F206" s="4" t="str">
        <f>IFERROR(__xludf.DUMMYFUNCTION("""COMPUTED_VALUE"""),"")</f>
        <v/>
      </c>
      <c r="G206" s="4" t="str">
        <f>IFERROR(__xludf.DUMMYFUNCTION("""COMPUTED_VALUE"""),"")</f>
        <v/>
      </c>
      <c r="H206" s="4" t="str">
        <f>IFERROR(__xludf.DUMMYFUNCTION("""COMPUTED_VALUE"""),"")</f>
        <v/>
      </c>
      <c r="I206" s="4" t="str">
        <f>IFERROR(__xludf.DUMMYFUNCTION("""COMPUTED_VALUE"""),"")</f>
        <v/>
      </c>
      <c r="J206" s="4" t="str">
        <f>IFERROR(__xludf.DUMMYFUNCTION("""COMPUTED_VALUE"""),"")</f>
        <v/>
      </c>
      <c r="K206" s="4" t="str">
        <f>IFERROR(__xludf.DUMMYFUNCTION("""COMPUTED_VALUE"""),"")</f>
        <v/>
      </c>
      <c r="L206" s="4" t="str">
        <f>IFERROR(__xludf.DUMMYFUNCTION("""COMPUTED_VALUE"""),"")</f>
        <v/>
      </c>
      <c r="M206" s="4" t="str">
        <f>IFERROR(__xludf.DUMMYFUNCTION("""COMPUTED_VALUE"""),"")</f>
        <v/>
      </c>
      <c r="N206" s="4" t="str">
        <f>IFERROR(__xludf.DUMMYFUNCTION("""COMPUTED_VALUE"""),"")</f>
        <v/>
      </c>
      <c r="O206" s="4" t="str">
        <f>IFERROR(__xludf.DUMMYFUNCTION("""COMPUTED_VALUE"""),"")</f>
        <v/>
      </c>
      <c r="P206" s="4" t="str">
        <f>IFERROR(__xludf.DUMMYFUNCTION("""COMPUTED_VALUE"""),"")</f>
        <v/>
      </c>
      <c r="Q206" s="4" t="str">
        <f>IFERROR(__xludf.DUMMYFUNCTION("""COMPUTED_VALUE"""),"")</f>
        <v/>
      </c>
      <c r="R206" s="4" t="str">
        <f>IFERROR(__xludf.DUMMYFUNCTION("""COMPUTED_VALUE"""),"")</f>
        <v/>
      </c>
      <c r="S206" s="4" t="str">
        <f>IFERROR(__xludf.DUMMYFUNCTION("""COMPUTED_VALUE"""),"")</f>
        <v/>
      </c>
      <c r="T206" s="4" t="str">
        <f>IFERROR(__xludf.DUMMYFUNCTION("""COMPUTED_VALUE"""),"")</f>
        <v/>
      </c>
      <c r="U206" s="4" t="str">
        <f>IFERROR(__xludf.DUMMYFUNCTION("""COMPUTED_VALUE"""),"")</f>
        <v/>
      </c>
    </row>
    <row r="207">
      <c r="A207" s="4" t="str">
        <f>IFERROR(__xludf.DUMMYFUNCTION("""COMPUTED_VALUE"""),"")</f>
        <v/>
      </c>
      <c r="B207" s="4" t="str">
        <f>IFERROR(__xludf.DUMMYFUNCTION("""COMPUTED_VALUE"""),"")</f>
        <v/>
      </c>
      <c r="C207" s="4" t="str">
        <f>IFERROR(__xludf.DUMMYFUNCTION("""COMPUTED_VALUE"""),"")</f>
        <v/>
      </c>
      <c r="D207" s="4" t="str">
        <f>IFERROR(__xludf.DUMMYFUNCTION("""COMPUTED_VALUE"""),"")</f>
        <v/>
      </c>
      <c r="E207" s="4" t="str">
        <f>IFERROR(__xludf.DUMMYFUNCTION("""COMPUTED_VALUE"""),"")</f>
        <v/>
      </c>
      <c r="F207" s="4" t="str">
        <f>IFERROR(__xludf.DUMMYFUNCTION("""COMPUTED_VALUE"""),"")</f>
        <v/>
      </c>
      <c r="G207" s="4" t="str">
        <f>IFERROR(__xludf.DUMMYFUNCTION("""COMPUTED_VALUE"""),"")</f>
        <v/>
      </c>
      <c r="H207" s="4" t="str">
        <f>IFERROR(__xludf.DUMMYFUNCTION("""COMPUTED_VALUE"""),"")</f>
        <v/>
      </c>
      <c r="I207" s="4" t="str">
        <f>IFERROR(__xludf.DUMMYFUNCTION("""COMPUTED_VALUE"""),"")</f>
        <v/>
      </c>
      <c r="J207" s="4" t="str">
        <f>IFERROR(__xludf.DUMMYFUNCTION("""COMPUTED_VALUE"""),"")</f>
        <v/>
      </c>
      <c r="K207" s="4" t="str">
        <f>IFERROR(__xludf.DUMMYFUNCTION("""COMPUTED_VALUE"""),"")</f>
        <v/>
      </c>
      <c r="L207" s="4" t="str">
        <f>IFERROR(__xludf.DUMMYFUNCTION("""COMPUTED_VALUE"""),"")</f>
        <v/>
      </c>
      <c r="M207" s="4" t="str">
        <f>IFERROR(__xludf.DUMMYFUNCTION("""COMPUTED_VALUE"""),"")</f>
        <v/>
      </c>
      <c r="N207" s="4" t="str">
        <f>IFERROR(__xludf.DUMMYFUNCTION("""COMPUTED_VALUE"""),"")</f>
        <v/>
      </c>
      <c r="O207" s="4" t="str">
        <f>IFERROR(__xludf.DUMMYFUNCTION("""COMPUTED_VALUE"""),"")</f>
        <v/>
      </c>
      <c r="P207" s="4" t="str">
        <f>IFERROR(__xludf.DUMMYFUNCTION("""COMPUTED_VALUE"""),"")</f>
        <v/>
      </c>
      <c r="Q207" s="4" t="str">
        <f>IFERROR(__xludf.DUMMYFUNCTION("""COMPUTED_VALUE"""),"")</f>
        <v/>
      </c>
      <c r="R207" s="4" t="str">
        <f>IFERROR(__xludf.DUMMYFUNCTION("""COMPUTED_VALUE"""),"")</f>
        <v/>
      </c>
      <c r="S207" s="4" t="str">
        <f>IFERROR(__xludf.DUMMYFUNCTION("""COMPUTED_VALUE"""),"")</f>
        <v/>
      </c>
      <c r="T207" s="4" t="str">
        <f>IFERROR(__xludf.DUMMYFUNCTION("""COMPUTED_VALUE"""),"")</f>
        <v/>
      </c>
      <c r="U207" s="4" t="str">
        <f>IFERROR(__xludf.DUMMYFUNCTION("""COMPUTED_VALUE"""),"")</f>
        <v/>
      </c>
    </row>
    <row r="208">
      <c r="A208" s="4" t="str">
        <f>IFERROR(__xludf.DUMMYFUNCTION("""COMPUTED_VALUE"""),"")</f>
        <v/>
      </c>
      <c r="B208" s="4" t="str">
        <f>IFERROR(__xludf.DUMMYFUNCTION("""COMPUTED_VALUE"""),"")</f>
        <v/>
      </c>
      <c r="C208" s="4" t="str">
        <f>IFERROR(__xludf.DUMMYFUNCTION("""COMPUTED_VALUE"""),"")</f>
        <v/>
      </c>
      <c r="D208" s="4" t="str">
        <f>IFERROR(__xludf.DUMMYFUNCTION("""COMPUTED_VALUE"""),"")</f>
        <v/>
      </c>
      <c r="E208" s="4" t="str">
        <f>IFERROR(__xludf.DUMMYFUNCTION("""COMPUTED_VALUE"""),"")</f>
        <v/>
      </c>
      <c r="F208" s="4" t="str">
        <f>IFERROR(__xludf.DUMMYFUNCTION("""COMPUTED_VALUE"""),"")</f>
        <v/>
      </c>
      <c r="G208" s="4" t="str">
        <f>IFERROR(__xludf.DUMMYFUNCTION("""COMPUTED_VALUE"""),"")</f>
        <v/>
      </c>
      <c r="H208" s="4" t="str">
        <f>IFERROR(__xludf.DUMMYFUNCTION("""COMPUTED_VALUE"""),"")</f>
        <v/>
      </c>
      <c r="I208" s="4" t="str">
        <f>IFERROR(__xludf.DUMMYFUNCTION("""COMPUTED_VALUE"""),"")</f>
        <v/>
      </c>
      <c r="J208" s="4" t="str">
        <f>IFERROR(__xludf.DUMMYFUNCTION("""COMPUTED_VALUE"""),"")</f>
        <v/>
      </c>
      <c r="K208" s="4" t="str">
        <f>IFERROR(__xludf.DUMMYFUNCTION("""COMPUTED_VALUE"""),"")</f>
        <v/>
      </c>
      <c r="L208" s="4" t="str">
        <f>IFERROR(__xludf.DUMMYFUNCTION("""COMPUTED_VALUE"""),"")</f>
        <v/>
      </c>
      <c r="M208" s="4" t="str">
        <f>IFERROR(__xludf.DUMMYFUNCTION("""COMPUTED_VALUE"""),"")</f>
        <v/>
      </c>
      <c r="N208" s="4" t="str">
        <f>IFERROR(__xludf.DUMMYFUNCTION("""COMPUTED_VALUE"""),"")</f>
        <v/>
      </c>
      <c r="O208" s="4" t="str">
        <f>IFERROR(__xludf.DUMMYFUNCTION("""COMPUTED_VALUE"""),"")</f>
        <v/>
      </c>
      <c r="P208" s="4" t="str">
        <f>IFERROR(__xludf.DUMMYFUNCTION("""COMPUTED_VALUE"""),"")</f>
        <v/>
      </c>
      <c r="Q208" s="4" t="str">
        <f>IFERROR(__xludf.DUMMYFUNCTION("""COMPUTED_VALUE"""),"")</f>
        <v/>
      </c>
      <c r="R208" s="4" t="str">
        <f>IFERROR(__xludf.DUMMYFUNCTION("""COMPUTED_VALUE"""),"")</f>
        <v/>
      </c>
      <c r="S208" s="4" t="str">
        <f>IFERROR(__xludf.DUMMYFUNCTION("""COMPUTED_VALUE"""),"")</f>
        <v/>
      </c>
      <c r="T208" s="4" t="str">
        <f>IFERROR(__xludf.DUMMYFUNCTION("""COMPUTED_VALUE"""),"")</f>
        <v/>
      </c>
      <c r="U208" s="4" t="str">
        <f>IFERROR(__xludf.DUMMYFUNCTION("""COMPUTED_VALUE"""),"")</f>
        <v/>
      </c>
    </row>
    <row r="209">
      <c r="A209" s="4" t="str">
        <f>IFERROR(__xludf.DUMMYFUNCTION("""COMPUTED_VALUE"""),"")</f>
        <v/>
      </c>
      <c r="B209" s="4" t="str">
        <f>IFERROR(__xludf.DUMMYFUNCTION("""COMPUTED_VALUE"""),"")</f>
        <v/>
      </c>
      <c r="C209" s="4" t="str">
        <f>IFERROR(__xludf.DUMMYFUNCTION("""COMPUTED_VALUE"""),"")</f>
        <v/>
      </c>
      <c r="D209" s="4" t="str">
        <f>IFERROR(__xludf.DUMMYFUNCTION("""COMPUTED_VALUE"""),"")</f>
        <v/>
      </c>
      <c r="E209" s="4" t="str">
        <f>IFERROR(__xludf.DUMMYFUNCTION("""COMPUTED_VALUE"""),"")</f>
        <v/>
      </c>
      <c r="F209" s="4" t="str">
        <f>IFERROR(__xludf.DUMMYFUNCTION("""COMPUTED_VALUE"""),"")</f>
        <v/>
      </c>
      <c r="G209" s="4" t="str">
        <f>IFERROR(__xludf.DUMMYFUNCTION("""COMPUTED_VALUE"""),"")</f>
        <v/>
      </c>
      <c r="H209" s="4" t="str">
        <f>IFERROR(__xludf.DUMMYFUNCTION("""COMPUTED_VALUE"""),"")</f>
        <v/>
      </c>
      <c r="I209" s="4" t="str">
        <f>IFERROR(__xludf.DUMMYFUNCTION("""COMPUTED_VALUE"""),"")</f>
        <v/>
      </c>
      <c r="J209" s="4" t="str">
        <f>IFERROR(__xludf.DUMMYFUNCTION("""COMPUTED_VALUE"""),"")</f>
        <v/>
      </c>
      <c r="K209" s="4" t="str">
        <f>IFERROR(__xludf.DUMMYFUNCTION("""COMPUTED_VALUE"""),"")</f>
        <v/>
      </c>
      <c r="L209" s="4" t="str">
        <f>IFERROR(__xludf.DUMMYFUNCTION("""COMPUTED_VALUE"""),"")</f>
        <v/>
      </c>
      <c r="M209" s="4" t="str">
        <f>IFERROR(__xludf.DUMMYFUNCTION("""COMPUTED_VALUE"""),"")</f>
        <v/>
      </c>
      <c r="N209" s="4" t="str">
        <f>IFERROR(__xludf.DUMMYFUNCTION("""COMPUTED_VALUE"""),"")</f>
        <v/>
      </c>
      <c r="O209" s="4" t="str">
        <f>IFERROR(__xludf.DUMMYFUNCTION("""COMPUTED_VALUE"""),"")</f>
        <v/>
      </c>
      <c r="P209" s="4" t="str">
        <f>IFERROR(__xludf.DUMMYFUNCTION("""COMPUTED_VALUE"""),"")</f>
        <v/>
      </c>
      <c r="Q209" s="4" t="str">
        <f>IFERROR(__xludf.DUMMYFUNCTION("""COMPUTED_VALUE"""),"")</f>
        <v/>
      </c>
      <c r="R209" s="4" t="str">
        <f>IFERROR(__xludf.DUMMYFUNCTION("""COMPUTED_VALUE"""),"")</f>
        <v/>
      </c>
      <c r="S209" s="4" t="str">
        <f>IFERROR(__xludf.DUMMYFUNCTION("""COMPUTED_VALUE"""),"")</f>
        <v/>
      </c>
      <c r="T209" s="4" t="str">
        <f>IFERROR(__xludf.DUMMYFUNCTION("""COMPUTED_VALUE"""),"")</f>
        <v/>
      </c>
      <c r="U209" s="4" t="str">
        <f>IFERROR(__xludf.DUMMYFUNCTION("""COMPUTED_VALUE"""),"")</f>
        <v/>
      </c>
    </row>
    <row r="210">
      <c r="A210" s="4" t="str">
        <f>IFERROR(__xludf.DUMMYFUNCTION("""COMPUTED_VALUE"""),"")</f>
        <v/>
      </c>
      <c r="B210" s="4" t="str">
        <f>IFERROR(__xludf.DUMMYFUNCTION("""COMPUTED_VALUE"""),"")</f>
        <v/>
      </c>
      <c r="C210" s="4" t="str">
        <f>IFERROR(__xludf.DUMMYFUNCTION("""COMPUTED_VALUE"""),"")</f>
        <v/>
      </c>
      <c r="D210" s="4" t="str">
        <f>IFERROR(__xludf.DUMMYFUNCTION("""COMPUTED_VALUE"""),"")</f>
        <v/>
      </c>
      <c r="E210" s="4" t="str">
        <f>IFERROR(__xludf.DUMMYFUNCTION("""COMPUTED_VALUE"""),"")</f>
        <v/>
      </c>
      <c r="F210" s="4" t="str">
        <f>IFERROR(__xludf.DUMMYFUNCTION("""COMPUTED_VALUE"""),"")</f>
        <v/>
      </c>
      <c r="G210" s="4" t="str">
        <f>IFERROR(__xludf.DUMMYFUNCTION("""COMPUTED_VALUE"""),"")</f>
        <v/>
      </c>
      <c r="H210" s="4" t="str">
        <f>IFERROR(__xludf.DUMMYFUNCTION("""COMPUTED_VALUE"""),"")</f>
        <v/>
      </c>
      <c r="I210" s="4" t="str">
        <f>IFERROR(__xludf.DUMMYFUNCTION("""COMPUTED_VALUE"""),"")</f>
        <v/>
      </c>
      <c r="J210" s="4" t="str">
        <f>IFERROR(__xludf.DUMMYFUNCTION("""COMPUTED_VALUE"""),"")</f>
        <v/>
      </c>
      <c r="K210" s="4" t="str">
        <f>IFERROR(__xludf.DUMMYFUNCTION("""COMPUTED_VALUE"""),"")</f>
        <v/>
      </c>
      <c r="L210" s="4" t="str">
        <f>IFERROR(__xludf.DUMMYFUNCTION("""COMPUTED_VALUE"""),"")</f>
        <v/>
      </c>
      <c r="M210" s="4" t="str">
        <f>IFERROR(__xludf.DUMMYFUNCTION("""COMPUTED_VALUE"""),"")</f>
        <v/>
      </c>
      <c r="N210" s="4" t="str">
        <f>IFERROR(__xludf.DUMMYFUNCTION("""COMPUTED_VALUE"""),"")</f>
        <v/>
      </c>
      <c r="O210" s="4" t="str">
        <f>IFERROR(__xludf.DUMMYFUNCTION("""COMPUTED_VALUE"""),"")</f>
        <v/>
      </c>
      <c r="P210" s="4" t="str">
        <f>IFERROR(__xludf.DUMMYFUNCTION("""COMPUTED_VALUE"""),"")</f>
        <v/>
      </c>
      <c r="Q210" s="4" t="str">
        <f>IFERROR(__xludf.DUMMYFUNCTION("""COMPUTED_VALUE"""),"")</f>
        <v/>
      </c>
      <c r="R210" s="4" t="str">
        <f>IFERROR(__xludf.DUMMYFUNCTION("""COMPUTED_VALUE"""),"")</f>
        <v/>
      </c>
      <c r="S210" s="4" t="str">
        <f>IFERROR(__xludf.DUMMYFUNCTION("""COMPUTED_VALUE"""),"")</f>
        <v/>
      </c>
      <c r="T210" s="4" t="str">
        <f>IFERROR(__xludf.DUMMYFUNCTION("""COMPUTED_VALUE"""),"")</f>
        <v/>
      </c>
      <c r="U210" s="4" t="str">
        <f>IFERROR(__xludf.DUMMYFUNCTION("""COMPUTED_VALUE"""),"")</f>
        <v/>
      </c>
    </row>
    <row r="211">
      <c r="A211" s="4" t="str">
        <f>IFERROR(__xludf.DUMMYFUNCTION("""COMPUTED_VALUE"""),"")</f>
        <v/>
      </c>
      <c r="B211" s="4" t="str">
        <f>IFERROR(__xludf.DUMMYFUNCTION("""COMPUTED_VALUE"""),"")</f>
        <v/>
      </c>
      <c r="C211" s="4" t="str">
        <f>IFERROR(__xludf.DUMMYFUNCTION("""COMPUTED_VALUE"""),"")</f>
        <v/>
      </c>
      <c r="D211" s="4" t="str">
        <f>IFERROR(__xludf.DUMMYFUNCTION("""COMPUTED_VALUE"""),"")</f>
        <v/>
      </c>
      <c r="E211" s="4" t="str">
        <f>IFERROR(__xludf.DUMMYFUNCTION("""COMPUTED_VALUE"""),"")</f>
        <v/>
      </c>
      <c r="F211" s="4" t="str">
        <f>IFERROR(__xludf.DUMMYFUNCTION("""COMPUTED_VALUE"""),"")</f>
        <v/>
      </c>
      <c r="G211" s="4" t="str">
        <f>IFERROR(__xludf.DUMMYFUNCTION("""COMPUTED_VALUE"""),"")</f>
        <v/>
      </c>
      <c r="H211" s="4" t="str">
        <f>IFERROR(__xludf.DUMMYFUNCTION("""COMPUTED_VALUE"""),"")</f>
        <v/>
      </c>
      <c r="I211" s="4" t="str">
        <f>IFERROR(__xludf.DUMMYFUNCTION("""COMPUTED_VALUE"""),"")</f>
        <v/>
      </c>
      <c r="J211" s="4" t="str">
        <f>IFERROR(__xludf.DUMMYFUNCTION("""COMPUTED_VALUE"""),"")</f>
        <v/>
      </c>
      <c r="K211" s="4" t="str">
        <f>IFERROR(__xludf.DUMMYFUNCTION("""COMPUTED_VALUE"""),"")</f>
        <v/>
      </c>
      <c r="L211" s="4" t="str">
        <f>IFERROR(__xludf.DUMMYFUNCTION("""COMPUTED_VALUE"""),"")</f>
        <v/>
      </c>
      <c r="M211" s="4" t="str">
        <f>IFERROR(__xludf.DUMMYFUNCTION("""COMPUTED_VALUE"""),"")</f>
        <v/>
      </c>
      <c r="N211" s="4" t="str">
        <f>IFERROR(__xludf.DUMMYFUNCTION("""COMPUTED_VALUE"""),"")</f>
        <v/>
      </c>
      <c r="O211" s="4" t="str">
        <f>IFERROR(__xludf.DUMMYFUNCTION("""COMPUTED_VALUE"""),"")</f>
        <v/>
      </c>
      <c r="P211" s="4" t="str">
        <f>IFERROR(__xludf.DUMMYFUNCTION("""COMPUTED_VALUE"""),"")</f>
        <v/>
      </c>
      <c r="Q211" s="4" t="str">
        <f>IFERROR(__xludf.DUMMYFUNCTION("""COMPUTED_VALUE"""),"")</f>
        <v/>
      </c>
      <c r="R211" s="4" t="str">
        <f>IFERROR(__xludf.DUMMYFUNCTION("""COMPUTED_VALUE"""),"")</f>
        <v/>
      </c>
      <c r="S211" s="4" t="str">
        <f>IFERROR(__xludf.DUMMYFUNCTION("""COMPUTED_VALUE"""),"")</f>
        <v/>
      </c>
      <c r="T211" s="4" t="str">
        <f>IFERROR(__xludf.DUMMYFUNCTION("""COMPUTED_VALUE"""),"")</f>
        <v/>
      </c>
      <c r="U211" s="4" t="str">
        <f>IFERROR(__xludf.DUMMYFUNCTION("""COMPUTED_VALUE"""),"")</f>
        <v/>
      </c>
    </row>
    <row r="212">
      <c r="A212" s="4" t="str">
        <f>IFERROR(__xludf.DUMMYFUNCTION("""COMPUTED_VALUE"""),"")</f>
        <v/>
      </c>
      <c r="B212" s="4" t="str">
        <f>IFERROR(__xludf.DUMMYFUNCTION("""COMPUTED_VALUE"""),"")</f>
        <v/>
      </c>
      <c r="C212" s="4" t="str">
        <f>IFERROR(__xludf.DUMMYFUNCTION("""COMPUTED_VALUE"""),"")</f>
        <v/>
      </c>
      <c r="D212" s="4" t="str">
        <f>IFERROR(__xludf.DUMMYFUNCTION("""COMPUTED_VALUE"""),"")</f>
        <v/>
      </c>
      <c r="E212" s="4" t="str">
        <f>IFERROR(__xludf.DUMMYFUNCTION("""COMPUTED_VALUE"""),"")</f>
        <v/>
      </c>
      <c r="F212" s="4" t="str">
        <f>IFERROR(__xludf.DUMMYFUNCTION("""COMPUTED_VALUE"""),"")</f>
        <v/>
      </c>
      <c r="G212" s="4" t="str">
        <f>IFERROR(__xludf.DUMMYFUNCTION("""COMPUTED_VALUE"""),"")</f>
        <v/>
      </c>
      <c r="H212" s="4" t="str">
        <f>IFERROR(__xludf.DUMMYFUNCTION("""COMPUTED_VALUE"""),"")</f>
        <v/>
      </c>
      <c r="I212" s="4" t="str">
        <f>IFERROR(__xludf.DUMMYFUNCTION("""COMPUTED_VALUE"""),"")</f>
        <v/>
      </c>
      <c r="J212" s="4" t="str">
        <f>IFERROR(__xludf.DUMMYFUNCTION("""COMPUTED_VALUE"""),"")</f>
        <v/>
      </c>
      <c r="K212" s="4" t="str">
        <f>IFERROR(__xludf.DUMMYFUNCTION("""COMPUTED_VALUE"""),"")</f>
        <v/>
      </c>
      <c r="L212" s="4" t="str">
        <f>IFERROR(__xludf.DUMMYFUNCTION("""COMPUTED_VALUE"""),"")</f>
        <v/>
      </c>
      <c r="M212" s="4" t="str">
        <f>IFERROR(__xludf.DUMMYFUNCTION("""COMPUTED_VALUE"""),"")</f>
        <v/>
      </c>
      <c r="N212" s="4" t="str">
        <f>IFERROR(__xludf.DUMMYFUNCTION("""COMPUTED_VALUE"""),"")</f>
        <v/>
      </c>
      <c r="O212" s="4" t="str">
        <f>IFERROR(__xludf.DUMMYFUNCTION("""COMPUTED_VALUE"""),"")</f>
        <v/>
      </c>
      <c r="P212" s="4" t="str">
        <f>IFERROR(__xludf.DUMMYFUNCTION("""COMPUTED_VALUE"""),"")</f>
        <v/>
      </c>
      <c r="Q212" s="4" t="str">
        <f>IFERROR(__xludf.DUMMYFUNCTION("""COMPUTED_VALUE"""),"")</f>
        <v/>
      </c>
      <c r="R212" s="4" t="str">
        <f>IFERROR(__xludf.DUMMYFUNCTION("""COMPUTED_VALUE"""),"")</f>
        <v/>
      </c>
      <c r="S212" s="4" t="str">
        <f>IFERROR(__xludf.DUMMYFUNCTION("""COMPUTED_VALUE"""),"")</f>
        <v/>
      </c>
      <c r="T212" s="4" t="str">
        <f>IFERROR(__xludf.DUMMYFUNCTION("""COMPUTED_VALUE"""),"")</f>
        <v/>
      </c>
      <c r="U212" s="4" t="str">
        <f>IFERROR(__xludf.DUMMYFUNCTION("""COMPUTED_VALUE"""),"")</f>
        <v/>
      </c>
    </row>
    <row r="213">
      <c r="A213" s="4" t="str">
        <f>IFERROR(__xludf.DUMMYFUNCTION("""COMPUTED_VALUE"""),"")</f>
        <v/>
      </c>
      <c r="B213" s="4" t="str">
        <f>IFERROR(__xludf.DUMMYFUNCTION("""COMPUTED_VALUE"""),"")</f>
        <v/>
      </c>
      <c r="C213" s="4" t="str">
        <f>IFERROR(__xludf.DUMMYFUNCTION("""COMPUTED_VALUE"""),"")</f>
        <v/>
      </c>
      <c r="D213" s="4" t="str">
        <f>IFERROR(__xludf.DUMMYFUNCTION("""COMPUTED_VALUE"""),"")</f>
        <v/>
      </c>
      <c r="E213" s="4" t="str">
        <f>IFERROR(__xludf.DUMMYFUNCTION("""COMPUTED_VALUE"""),"")</f>
        <v/>
      </c>
      <c r="F213" s="4" t="str">
        <f>IFERROR(__xludf.DUMMYFUNCTION("""COMPUTED_VALUE"""),"")</f>
        <v/>
      </c>
      <c r="G213" s="4" t="str">
        <f>IFERROR(__xludf.DUMMYFUNCTION("""COMPUTED_VALUE"""),"")</f>
        <v/>
      </c>
      <c r="H213" s="4" t="str">
        <f>IFERROR(__xludf.DUMMYFUNCTION("""COMPUTED_VALUE"""),"")</f>
        <v/>
      </c>
      <c r="I213" s="4" t="str">
        <f>IFERROR(__xludf.DUMMYFUNCTION("""COMPUTED_VALUE"""),"")</f>
        <v/>
      </c>
      <c r="J213" s="4" t="str">
        <f>IFERROR(__xludf.DUMMYFUNCTION("""COMPUTED_VALUE"""),"")</f>
        <v/>
      </c>
      <c r="K213" s="4" t="str">
        <f>IFERROR(__xludf.DUMMYFUNCTION("""COMPUTED_VALUE"""),"")</f>
        <v/>
      </c>
      <c r="L213" s="4" t="str">
        <f>IFERROR(__xludf.DUMMYFUNCTION("""COMPUTED_VALUE"""),"")</f>
        <v/>
      </c>
      <c r="M213" s="4" t="str">
        <f>IFERROR(__xludf.DUMMYFUNCTION("""COMPUTED_VALUE"""),"")</f>
        <v/>
      </c>
      <c r="N213" s="4" t="str">
        <f>IFERROR(__xludf.DUMMYFUNCTION("""COMPUTED_VALUE"""),"")</f>
        <v/>
      </c>
      <c r="O213" s="4" t="str">
        <f>IFERROR(__xludf.DUMMYFUNCTION("""COMPUTED_VALUE"""),"")</f>
        <v/>
      </c>
      <c r="P213" s="4" t="str">
        <f>IFERROR(__xludf.DUMMYFUNCTION("""COMPUTED_VALUE"""),"")</f>
        <v/>
      </c>
      <c r="Q213" s="4" t="str">
        <f>IFERROR(__xludf.DUMMYFUNCTION("""COMPUTED_VALUE"""),"")</f>
        <v/>
      </c>
      <c r="R213" s="4" t="str">
        <f>IFERROR(__xludf.DUMMYFUNCTION("""COMPUTED_VALUE"""),"")</f>
        <v/>
      </c>
      <c r="S213" s="4" t="str">
        <f>IFERROR(__xludf.DUMMYFUNCTION("""COMPUTED_VALUE"""),"")</f>
        <v/>
      </c>
      <c r="T213" s="4" t="str">
        <f>IFERROR(__xludf.DUMMYFUNCTION("""COMPUTED_VALUE"""),"")</f>
        <v/>
      </c>
      <c r="U213" s="4" t="str">
        <f>IFERROR(__xludf.DUMMYFUNCTION("""COMPUTED_VALUE"""),"")</f>
        <v/>
      </c>
    </row>
  </sheetData>
  <hyperlinks>
    <hyperlink r:id="rId1" ref="U2"/>
    <hyperlink r:id="rId2" ref="I3"/>
    <hyperlink r:id="rId3" ref="U3"/>
    <hyperlink r:id="rId4" ref="I4"/>
    <hyperlink r:id="rId5" ref="U4"/>
    <hyperlink r:id="rId6" ref="I5"/>
    <hyperlink r:id="rId7" ref="U5"/>
    <hyperlink r:id="rId8" ref="I6"/>
    <hyperlink r:id="rId9" ref="U6"/>
    <hyperlink r:id="rId10" ref="I7"/>
    <hyperlink r:id="rId11" ref="U7"/>
    <hyperlink r:id="rId12" ref="I8"/>
    <hyperlink r:id="rId13" ref="U8"/>
    <hyperlink r:id="rId14" ref="I9"/>
    <hyperlink r:id="rId15" ref="U9"/>
    <hyperlink r:id="rId16" ref="I10"/>
    <hyperlink r:id="rId17" ref="U10"/>
    <hyperlink r:id="rId18" ref="I11"/>
    <hyperlink r:id="rId19" ref="U11"/>
    <hyperlink r:id="rId20" ref="I12"/>
    <hyperlink r:id="rId21" ref="U12"/>
    <hyperlink r:id="rId22" ref="U13"/>
    <hyperlink r:id="rId23" ref="I14"/>
    <hyperlink r:id="rId24" ref="U14"/>
    <hyperlink r:id="rId25" ref="U15"/>
    <hyperlink r:id="rId26" ref="I16"/>
    <hyperlink r:id="rId27" ref="U16"/>
    <hyperlink r:id="rId28" ref="U17"/>
    <hyperlink r:id="rId29" ref="I18"/>
    <hyperlink r:id="rId30" ref="L18"/>
    <hyperlink r:id="rId31" ref="U18"/>
    <hyperlink r:id="rId32" ref="I19"/>
    <hyperlink r:id="rId33" ref="U19"/>
    <hyperlink r:id="rId34" ref="I20"/>
    <hyperlink r:id="rId35" ref="U20"/>
    <hyperlink r:id="rId36" ref="I21"/>
    <hyperlink r:id="rId37" ref="U21"/>
    <hyperlink r:id="rId38" ref="U22"/>
    <hyperlink r:id="rId39" ref="I23"/>
    <hyperlink r:id="rId40" ref="U23"/>
    <hyperlink r:id="rId41" ref="I24"/>
    <hyperlink r:id="rId42" ref="U24"/>
    <hyperlink r:id="rId43" ref="I25"/>
    <hyperlink r:id="rId44" ref="U25"/>
    <hyperlink r:id="rId45" ref="I26"/>
    <hyperlink r:id="rId46" ref="U26"/>
    <hyperlink r:id="rId47" ref="I27"/>
    <hyperlink r:id="rId48" ref="U27"/>
    <hyperlink r:id="rId49" ref="U28"/>
    <hyperlink r:id="rId50" ref="U29"/>
    <hyperlink r:id="rId51" ref="I30"/>
    <hyperlink r:id="rId52" ref="U30"/>
    <hyperlink r:id="rId53" ref="I31"/>
    <hyperlink r:id="rId54" ref="U31"/>
    <hyperlink r:id="rId55" ref="U32"/>
    <hyperlink r:id="rId56" ref="U33"/>
    <hyperlink r:id="rId57" ref="I34"/>
    <hyperlink r:id="rId58" ref="U34"/>
    <hyperlink r:id="rId59" ref="I35"/>
    <hyperlink r:id="rId60" ref="U35"/>
    <hyperlink r:id="rId61" ref="I36"/>
    <hyperlink r:id="rId62" ref="U36"/>
    <hyperlink r:id="rId63" ref="I37"/>
    <hyperlink r:id="rId64" ref="U37"/>
    <hyperlink r:id="rId65" ref="I38"/>
    <hyperlink r:id="rId66" ref="U38"/>
    <hyperlink r:id="rId67" ref="U39"/>
    <hyperlink r:id="rId68" ref="I40"/>
    <hyperlink r:id="rId69" ref="U40"/>
    <hyperlink r:id="rId70" ref="I41"/>
    <hyperlink r:id="rId71" ref="U41"/>
    <hyperlink r:id="rId72" ref="I42"/>
    <hyperlink r:id="rId73" ref="U42"/>
    <hyperlink r:id="rId74" ref="U43"/>
    <hyperlink r:id="rId75" ref="I44"/>
    <hyperlink r:id="rId76" ref="U44"/>
    <hyperlink r:id="rId77" ref="U45"/>
    <hyperlink r:id="rId78" ref="I46"/>
    <hyperlink r:id="rId79" ref="U46"/>
    <hyperlink r:id="rId80" ref="I47"/>
    <hyperlink r:id="rId81" ref="U47"/>
    <hyperlink r:id="rId82" ref="I48"/>
    <hyperlink r:id="rId83" ref="U48"/>
    <hyperlink r:id="rId84" ref="I49"/>
    <hyperlink r:id="rId85" ref="U49"/>
    <hyperlink r:id="rId86" ref="I50"/>
    <hyperlink r:id="rId87" ref="U50"/>
    <hyperlink r:id="rId88" ref="U51"/>
    <hyperlink r:id="rId89" ref="U52"/>
    <hyperlink r:id="rId90" ref="I53"/>
    <hyperlink r:id="rId91" ref="U53"/>
    <hyperlink r:id="rId92" ref="I54"/>
    <hyperlink r:id="rId93" ref="U54"/>
    <hyperlink r:id="rId94" ref="I55"/>
    <hyperlink r:id="rId95" ref="U55"/>
    <hyperlink r:id="rId96" ref="I56"/>
    <hyperlink r:id="rId97" ref="U56"/>
    <hyperlink r:id="rId98" ref="U57"/>
    <hyperlink r:id="rId99" ref="I58"/>
    <hyperlink r:id="rId100" ref="U58"/>
    <hyperlink r:id="rId101" ref="I59"/>
    <hyperlink r:id="rId102" ref="U59"/>
    <hyperlink r:id="rId103" ref="I60"/>
    <hyperlink r:id="rId104" ref="U60"/>
    <hyperlink r:id="rId105" ref="I61"/>
    <hyperlink r:id="rId106" ref="U61"/>
    <hyperlink r:id="rId107" ref="I62"/>
    <hyperlink r:id="rId108" ref="U62"/>
    <hyperlink r:id="rId109" ref="I63"/>
    <hyperlink r:id="rId110" ref="U63"/>
    <hyperlink r:id="rId111" ref="U64"/>
    <hyperlink r:id="rId112" ref="I65"/>
    <hyperlink r:id="rId113" ref="U65"/>
    <hyperlink r:id="rId114" ref="I66"/>
    <hyperlink r:id="rId115" ref="U66"/>
    <hyperlink r:id="rId116" ref="I67"/>
    <hyperlink r:id="rId117" ref="U67"/>
    <hyperlink r:id="rId118" ref="I68"/>
    <hyperlink r:id="rId119" ref="U68"/>
    <hyperlink r:id="rId120" ref="I69"/>
    <hyperlink r:id="rId121" ref="U69"/>
    <hyperlink r:id="rId122" ref="I70"/>
    <hyperlink r:id="rId123" ref="U70"/>
    <hyperlink r:id="rId124" ref="I71"/>
    <hyperlink r:id="rId125" ref="U71"/>
    <hyperlink r:id="rId126" ref="I72"/>
    <hyperlink r:id="rId127" ref="U72"/>
    <hyperlink r:id="rId128" ref="I73"/>
    <hyperlink r:id="rId129" ref="U73"/>
    <hyperlink r:id="rId130" ref="I74"/>
    <hyperlink r:id="rId131" ref="U74"/>
    <hyperlink r:id="rId132" ref="U75"/>
    <hyperlink r:id="rId133" ref="I76"/>
    <hyperlink r:id="rId134" ref="U76"/>
    <hyperlink r:id="rId135" ref="I77"/>
    <hyperlink r:id="rId136" ref="U77"/>
    <hyperlink r:id="rId137" ref="I78"/>
    <hyperlink r:id="rId138" ref="U78"/>
    <hyperlink r:id="rId139" ref="I79"/>
    <hyperlink r:id="rId140" ref="U79"/>
    <hyperlink r:id="rId141" ref="D80"/>
    <hyperlink r:id="rId142" ref="U80"/>
    <hyperlink r:id="rId143" ref="U81"/>
    <hyperlink r:id="rId144" ref="I83"/>
    <hyperlink r:id="rId145" ref="U83"/>
    <hyperlink r:id="rId146" ref="I84"/>
    <hyperlink r:id="rId147" ref="U84"/>
    <hyperlink r:id="rId148" ref="I85"/>
    <hyperlink r:id="rId149" ref="U85"/>
    <hyperlink r:id="rId150" ref="I86"/>
    <hyperlink r:id="rId151" ref="U86"/>
    <hyperlink r:id="rId152" ref="I87"/>
    <hyperlink r:id="rId153" ref="U87"/>
    <hyperlink r:id="rId154" ref="I88"/>
    <hyperlink r:id="rId155" ref="U88"/>
    <hyperlink r:id="rId156" ref="U89"/>
    <hyperlink r:id="rId157" ref="U90"/>
    <hyperlink r:id="rId158" ref="I91"/>
    <hyperlink r:id="rId159" ref="U91"/>
    <hyperlink r:id="rId160" ref="I92"/>
    <hyperlink r:id="rId161" ref="U92"/>
    <hyperlink r:id="rId162" ref="U93"/>
    <hyperlink r:id="rId163" ref="U94"/>
    <hyperlink r:id="rId164" ref="U95"/>
    <hyperlink r:id="rId165" ref="I96"/>
    <hyperlink r:id="rId166" ref="U96"/>
    <hyperlink r:id="rId167" ref="I97"/>
    <hyperlink r:id="rId168" ref="U97"/>
    <hyperlink r:id="rId169" ref="I98"/>
    <hyperlink r:id="rId170" ref="U98"/>
    <hyperlink r:id="rId171" ref="I99"/>
    <hyperlink r:id="rId172" ref="U99"/>
    <hyperlink r:id="rId173" ref="U100"/>
    <hyperlink r:id="rId174" ref="I101"/>
    <hyperlink r:id="rId175" ref="U101"/>
  </hyperlinks>
  <drawing r:id="rId17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26.71"/>
  </cols>
  <sheetData>
    <row r="1">
      <c r="A1" s="387" t="s">
        <v>3147</v>
      </c>
      <c r="B1" s="387" t="s">
        <v>8862</v>
      </c>
      <c r="C1" s="387" t="s">
        <v>6823</v>
      </c>
      <c r="D1" s="387" t="s">
        <v>8863</v>
      </c>
      <c r="E1" s="387" t="s">
        <v>3071</v>
      </c>
    </row>
    <row r="2">
      <c r="A2" s="388" t="s">
        <v>6949</v>
      </c>
      <c r="B2" s="45" t="s">
        <v>8864</v>
      </c>
      <c r="C2" s="45" t="s">
        <v>6838</v>
      </c>
      <c r="D2" s="45" t="s">
        <v>3906</v>
      </c>
      <c r="E2" s="45" t="s">
        <v>8865</v>
      </c>
    </row>
    <row r="3">
      <c r="A3" s="388" t="s">
        <v>379</v>
      </c>
      <c r="B3" s="45" t="s">
        <v>8866</v>
      </c>
      <c r="C3" s="45" t="s">
        <v>6838</v>
      </c>
      <c r="D3" s="45" t="s">
        <v>3906</v>
      </c>
    </row>
    <row r="4">
      <c r="A4" s="45" t="s">
        <v>8867</v>
      </c>
      <c r="B4" s="389" t="s">
        <v>8868</v>
      </c>
      <c r="C4" s="45" t="s">
        <v>6838</v>
      </c>
      <c r="D4" s="45" t="s">
        <v>3906</v>
      </c>
    </row>
    <row r="5">
      <c r="A5" s="45" t="s">
        <v>8869</v>
      </c>
      <c r="B5" s="45" t="s">
        <v>8870</v>
      </c>
      <c r="C5" s="45" t="s">
        <v>6838</v>
      </c>
      <c r="D5" s="45" t="s">
        <v>3906</v>
      </c>
    </row>
    <row r="6">
      <c r="A6" s="45" t="s">
        <v>8871</v>
      </c>
      <c r="B6" s="45" t="s">
        <v>8872</v>
      </c>
      <c r="C6" s="45" t="s">
        <v>7070</v>
      </c>
      <c r="D6" s="45" t="s">
        <v>3906</v>
      </c>
    </row>
    <row r="7">
      <c r="A7" s="45" t="s">
        <v>141</v>
      </c>
      <c r="B7" s="45" t="s">
        <v>8873</v>
      </c>
      <c r="C7" s="45" t="s">
        <v>7070</v>
      </c>
      <c r="D7" s="45" t="s">
        <v>3906</v>
      </c>
    </row>
    <row r="8">
      <c r="A8" s="45" t="s">
        <v>326</v>
      </c>
      <c r="B8" s="45" t="s">
        <v>8874</v>
      </c>
      <c r="C8" s="45" t="s">
        <v>7070</v>
      </c>
      <c r="D8" s="45" t="s">
        <v>3906</v>
      </c>
    </row>
    <row r="9">
      <c r="A9" s="45" t="s">
        <v>1593</v>
      </c>
      <c r="B9" s="45" t="s">
        <v>8875</v>
      </c>
      <c r="C9" s="45" t="s">
        <v>7269</v>
      </c>
      <c r="D9" s="45" t="s">
        <v>3906</v>
      </c>
    </row>
    <row r="10">
      <c r="A10" s="388" t="s">
        <v>1643</v>
      </c>
      <c r="B10" s="45" t="s">
        <v>8876</v>
      </c>
      <c r="C10" s="45" t="s">
        <v>7269</v>
      </c>
      <c r="D10" s="45" t="s">
        <v>3906</v>
      </c>
    </row>
    <row r="11">
      <c r="A11" s="45" t="s">
        <v>8877</v>
      </c>
      <c r="B11" s="45" t="s">
        <v>8878</v>
      </c>
      <c r="C11" s="45" t="s">
        <v>6838</v>
      </c>
      <c r="D11" s="45" t="s">
        <v>3906</v>
      </c>
    </row>
    <row r="12">
      <c r="A12" s="45" t="s">
        <v>8879</v>
      </c>
      <c r="B12" s="45" t="s">
        <v>8880</v>
      </c>
      <c r="C12" s="45" t="s">
        <v>7070</v>
      </c>
      <c r="D12" s="45" t="s">
        <v>3906</v>
      </c>
    </row>
    <row r="13">
      <c r="A13" s="52" t="s">
        <v>886</v>
      </c>
      <c r="B13" s="45" t="s">
        <v>8881</v>
      </c>
      <c r="C13" s="45" t="s">
        <v>7269</v>
      </c>
      <c r="D13" s="45" t="s">
        <v>3906</v>
      </c>
    </row>
    <row r="14">
      <c r="A14" s="45" t="s">
        <v>8882</v>
      </c>
      <c r="B14" s="45" t="s">
        <v>8883</v>
      </c>
      <c r="C14" s="45" t="s">
        <v>7269</v>
      </c>
      <c r="D14" s="45" t="s">
        <v>3906</v>
      </c>
    </row>
    <row r="15">
      <c r="A15" s="52" t="s">
        <v>1022</v>
      </c>
      <c r="B15" s="45" t="s">
        <v>8884</v>
      </c>
      <c r="C15" s="45" t="s">
        <v>6838</v>
      </c>
      <c r="D15" s="45" t="s">
        <v>3906</v>
      </c>
    </row>
    <row r="16">
      <c r="A16" s="52" t="s">
        <v>1232</v>
      </c>
      <c r="B16" s="45" t="s">
        <v>8885</v>
      </c>
      <c r="C16" s="45" t="s">
        <v>7070</v>
      </c>
      <c r="D16" s="45" t="s">
        <v>3906</v>
      </c>
    </row>
    <row r="17">
      <c r="A17" s="45" t="s">
        <v>8886</v>
      </c>
      <c r="B17" s="45" t="s">
        <v>8887</v>
      </c>
      <c r="C17" s="45" t="s">
        <v>6838</v>
      </c>
      <c r="D17" s="45" t="s">
        <v>3906</v>
      </c>
    </row>
    <row r="18">
      <c r="A18" s="52" t="s">
        <v>1053</v>
      </c>
      <c r="B18" s="45" t="s">
        <v>8888</v>
      </c>
      <c r="C18" s="45" t="s">
        <v>6838</v>
      </c>
      <c r="D18" s="45" t="s">
        <v>3906</v>
      </c>
    </row>
    <row r="19">
      <c r="A19" s="52" t="s">
        <v>1133</v>
      </c>
      <c r="B19" s="45" t="s">
        <v>8889</v>
      </c>
      <c r="C19" s="45" t="s">
        <v>6838</v>
      </c>
      <c r="D19" s="45" t="s">
        <v>3906</v>
      </c>
    </row>
    <row r="20">
      <c r="A20" s="45" t="s">
        <v>634</v>
      </c>
      <c r="B20" s="45" t="s">
        <v>8890</v>
      </c>
      <c r="C20" s="45" t="s">
        <v>7070</v>
      </c>
      <c r="D20" s="45" t="s">
        <v>3906</v>
      </c>
    </row>
    <row r="21">
      <c r="A21" s="52" t="s">
        <v>395</v>
      </c>
      <c r="B21" s="45" t="s">
        <v>8891</v>
      </c>
      <c r="C21" s="45" t="s">
        <v>7269</v>
      </c>
      <c r="D21" s="45" t="s">
        <v>3906</v>
      </c>
    </row>
    <row r="22">
      <c r="A22" s="52" t="s">
        <v>4529</v>
      </c>
      <c r="B22" s="45" t="s">
        <v>8892</v>
      </c>
      <c r="C22" s="45" t="s">
        <v>7269</v>
      </c>
      <c r="D22" s="45" t="s">
        <v>3906</v>
      </c>
    </row>
    <row r="23">
      <c r="A23" s="45" t="s">
        <v>1475</v>
      </c>
      <c r="B23" s="45" t="s">
        <v>8893</v>
      </c>
      <c r="C23" s="45" t="s">
        <v>7269</v>
      </c>
      <c r="D23" s="45" t="s">
        <v>3906</v>
      </c>
    </row>
    <row r="24">
      <c r="A24" s="45" t="s">
        <v>8894</v>
      </c>
      <c r="B24" s="45" t="s">
        <v>8895</v>
      </c>
      <c r="C24" s="45" t="s">
        <v>6838</v>
      </c>
      <c r="D24" s="45" t="s">
        <v>3906</v>
      </c>
    </row>
    <row r="25">
      <c r="A25" s="52" t="s">
        <v>1222</v>
      </c>
      <c r="B25" s="45" t="s">
        <v>8896</v>
      </c>
      <c r="C25" s="45" t="s">
        <v>7070</v>
      </c>
      <c r="D25" s="45" t="s">
        <v>3906</v>
      </c>
    </row>
    <row r="26">
      <c r="C26" s="4"/>
      <c r="D26" s="4"/>
    </row>
    <row r="27">
      <c r="C27" s="4"/>
      <c r="D27" s="4"/>
    </row>
    <row r="28">
      <c r="C28" s="4"/>
      <c r="D28" s="4"/>
    </row>
    <row r="29">
      <c r="C29" s="4"/>
      <c r="D29" s="4"/>
    </row>
    <row r="30">
      <c r="C30" s="4"/>
      <c r="D30" s="4"/>
    </row>
    <row r="31">
      <c r="C31" s="4"/>
      <c r="D31" s="4"/>
    </row>
    <row r="32">
      <c r="C32" s="4"/>
      <c r="D32" s="4"/>
    </row>
    <row r="33">
      <c r="C33" s="4"/>
      <c r="D33" s="4"/>
    </row>
    <row r="34">
      <c r="C34" s="4"/>
      <c r="D34" s="4"/>
    </row>
    <row r="35">
      <c r="C35" s="4"/>
      <c r="D35" s="4"/>
    </row>
    <row r="36">
      <c r="C36" s="4"/>
      <c r="D36" s="4"/>
    </row>
    <row r="37">
      <c r="C37" s="4"/>
      <c r="D37" s="4"/>
    </row>
    <row r="38">
      <c r="C38" s="4"/>
      <c r="D38" s="4"/>
    </row>
    <row r="39">
      <c r="C39" s="4"/>
      <c r="D39" s="4"/>
    </row>
    <row r="40">
      <c r="C40" s="4"/>
      <c r="D40" s="4"/>
    </row>
    <row r="41">
      <c r="C41" s="4"/>
      <c r="D41" s="4"/>
    </row>
    <row r="42">
      <c r="C42" s="4"/>
      <c r="D42" s="4"/>
    </row>
    <row r="43">
      <c r="C43" s="4"/>
      <c r="D43" s="4"/>
    </row>
    <row r="44">
      <c r="C44" s="4"/>
      <c r="D44" s="4"/>
    </row>
    <row r="45">
      <c r="C45" s="4"/>
      <c r="D45" s="4"/>
    </row>
    <row r="46">
      <c r="C46" s="4"/>
      <c r="D46" s="4"/>
    </row>
    <row r="47">
      <c r="C47" s="4"/>
      <c r="D47" s="4"/>
    </row>
    <row r="48">
      <c r="C48" s="4"/>
      <c r="D48" s="4"/>
    </row>
    <row r="49">
      <c r="C49" s="4"/>
      <c r="D49" s="4"/>
    </row>
    <row r="50">
      <c r="C50" s="4"/>
      <c r="D50" s="4"/>
    </row>
    <row r="51">
      <c r="C51" s="4"/>
      <c r="D51" s="4"/>
    </row>
    <row r="52">
      <c r="C52" s="4"/>
      <c r="D52" s="4"/>
    </row>
    <row r="53">
      <c r="C53" s="4"/>
      <c r="D53" s="4"/>
    </row>
    <row r="54">
      <c r="C54" s="4"/>
      <c r="D54" s="4"/>
    </row>
    <row r="55">
      <c r="C55" s="4"/>
      <c r="D55" s="4"/>
    </row>
    <row r="56">
      <c r="C56" s="4"/>
      <c r="D56" s="4"/>
    </row>
    <row r="57">
      <c r="C57" s="4"/>
      <c r="D57" s="4"/>
    </row>
    <row r="58">
      <c r="C58" s="4"/>
      <c r="D58" s="4"/>
    </row>
    <row r="59">
      <c r="C59" s="4"/>
      <c r="D59" s="4"/>
    </row>
    <row r="60">
      <c r="C60" s="4"/>
      <c r="D60" s="4"/>
    </row>
    <row r="61">
      <c r="C61" s="4"/>
      <c r="D61" s="4"/>
    </row>
    <row r="62">
      <c r="C62" s="4"/>
      <c r="D62" s="4"/>
    </row>
    <row r="63">
      <c r="C63" s="4"/>
      <c r="D63" s="4"/>
    </row>
    <row r="64">
      <c r="C64" s="4"/>
      <c r="D64" s="4"/>
    </row>
    <row r="65">
      <c r="C65" s="4"/>
      <c r="D65" s="4"/>
    </row>
    <row r="66">
      <c r="C66" s="4"/>
      <c r="D66" s="4"/>
    </row>
    <row r="67">
      <c r="C67" s="4"/>
      <c r="D67" s="4"/>
    </row>
    <row r="68">
      <c r="C68" s="4"/>
      <c r="D68" s="4"/>
    </row>
    <row r="69">
      <c r="C69" s="4"/>
      <c r="D69" s="4"/>
    </row>
    <row r="70">
      <c r="C70" s="4"/>
      <c r="D70" s="4"/>
    </row>
    <row r="71">
      <c r="C71" s="4"/>
      <c r="D71" s="4"/>
    </row>
    <row r="72">
      <c r="C72" s="4"/>
      <c r="D72" s="4"/>
    </row>
    <row r="73">
      <c r="C73" s="4"/>
      <c r="D73" s="4"/>
    </row>
    <row r="74">
      <c r="C74" s="4"/>
      <c r="D74" s="4"/>
    </row>
    <row r="75">
      <c r="C75" s="4"/>
      <c r="D75" s="4"/>
    </row>
    <row r="76">
      <c r="C76" s="4"/>
      <c r="D76" s="4"/>
    </row>
    <row r="77">
      <c r="C77" s="4"/>
      <c r="D77" s="4"/>
    </row>
    <row r="78">
      <c r="C78" s="4"/>
      <c r="D78" s="4"/>
    </row>
    <row r="79">
      <c r="C79" s="4"/>
      <c r="D79" s="4"/>
    </row>
    <row r="80">
      <c r="C80" s="4"/>
      <c r="D80" s="4"/>
    </row>
    <row r="81">
      <c r="C81" s="4"/>
      <c r="D81" s="4"/>
    </row>
    <row r="82">
      <c r="C82" s="4"/>
      <c r="D82" s="4"/>
    </row>
    <row r="83">
      <c r="C83" s="4"/>
      <c r="D83" s="4"/>
    </row>
    <row r="84">
      <c r="C84" s="4"/>
      <c r="D84" s="4"/>
    </row>
    <row r="85">
      <c r="C85" s="4"/>
      <c r="D85" s="4"/>
    </row>
    <row r="86">
      <c r="C86" s="4"/>
      <c r="D86" s="4"/>
    </row>
    <row r="87">
      <c r="C87" s="4"/>
      <c r="D87" s="4"/>
    </row>
    <row r="88">
      <c r="C88" s="4"/>
      <c r="D88" s="4"/>
    </row>
    <row r="89">
      <c r="C89" s="4"/>
      <c r="D89" s="4"/>
    </row>
    <row r="90">
      <c r="C90" s="4"/>
      <c r="D90" s="4"/>
    </row>
    <row r="91">
      <c r="C91" s="4"/>
      <c r="D91" s="4"/>
    </row>
    <row r="92">
      <c r="C92" s="4"/>
      <c r="D92" s="4"/>
    </row>
    <row r="93">
      <c r="C93" s="4"/>
      <c r="D93" s="4"/>
    </row>
    <row r="94">
      <c r="C94" s="4"/>
      <c r="D94" s="4"/>
    </row>
    <row r="95">
      <c r="C95" s="4"/>
      <c r="D95" s="4"/>
    </row>
    <row r="96">
      <c r="C96" s="4"/>
      <c r="D96" s="4"/>
    </row>
    <row r="97">
      <c r="C97" s="4"/>
      <c r="D97" s="4"/>
    </row>
    <row r="98">
      <c r="C98" s="4"/>
      <c r="D98" s="4"/>
    </row>
    <row r="99">
      <c r="C99" s="4"/>
      <c r="D99" s="4"/>
    </row>
    <row r="100">
      <c r="C100" s="4"/>
      <c r="D100" s="4"/>
    </row>
    <row r="101">
      <c r="C101" s="4"/>
      <c r="D101" s="4"/>
    </row>
    <row r="102">
      <c r="C102" s="4"/>
      <c r="D102" s="4"/>
    </row>
    <row r="103">
      <c r="C103" s="4"/>
      <c r="D103" s="4"/>
    </row>
    <row r="104">
      <c r="C104" s="4"/>
      <c r="D104" s="4"/>
    </row>
    <row r="105">
      <c r="C105" s="4"/>
      <c r="D105" s="4"/>
    </row>
    <row r="106">
      <c r="C106" s="4"/>
      <c r="D106" s="4"/>
    </row>
    <row r="107">
      <c r="C107" s="4"/>
      <c r="D107" s="4"/>
    </row>
    <row r="108">
      <c r="C108" s="4"/>
      <c r="D108" s="4"/>
    </row>
    <row r="109">
      <c r="C109" s="4"/>
      <c r="D109" s="4"/>
    </row>
    <row r="110">
      <c r="C110" s="4"/>
      <c r="D110" s="4"/>
    </row>
    <row r="111">
      <c r="C111" s="4"/>
      <c r="D111" s="4"/>
    </row>
    <row r="112">
      <c r="C112" s="4"/>
      <c r="D112" s="4"/>
    </row>
    <row r="113">
      <c r="C113" s="4"/>
      <c r="D113" s="4"/>
    </row>
    <row r="114">
      <c r="C114" s="4"/>
      <c r="D114" s="4"/>
    </row>
    <row r="115">
      <c r="C115" s="4"/>
      <c r="D115" s="4"/>
    </row>
    <row r="116">
      <c r="C116" s="4"/>
      <c r="D116" s="4"/>
    </row>
    <row r="117">
      <c r="C117" s="4"/>
      <c r="D117" s="4"/>
    </row>
    <row r="118">
      <c r="C118" s="4"/>
      <c r="D118" s="4"/>
    </row>
    <row r="119">
      <c r="C119" s="4"/>
      <c r="D119" s="4"/>
    </row>
    <row r="120">
      <c r="C120" s="4"/>
      <c r="D120" s="4"/>
    </row>
    <row r="121">
      <c r="C121" s="4"/>
      <c r="D121" s="4"/>
    </row>
    <row r="122">
      <c r="C122" s="4"/>
      <c r="D122" s="4"/>
    </row>
    <row r="123">
      <c r="C123" s="4"/>
      <c r="D123" s="4"/>
    </row>
    <row r="124">
      <c r="C124" s="4"/>
      <c r="D124" s="4"/>
    </row>
    <row r="125">
      <c r="C125" s="4"/>
      <c r="D125" s="4"/>
    </row>
    <row r="126">
      <c r="C126" s="4"/>
      <c r="D126" s="4"/>
    </row>
    <row r="127">
      <c r="C127" s="4"/>
      <c r="D127" s="4"/>
    </row>
    <row r="128">
      <c r="C128" s="4"/>
      <c r="D128" s="4"/>
    </row>
    <row r="129">
      <c r="C129" s="4"/>
      <c r="D129" s="4"/>
    </row>
    <row r="130">
      <c r="C130" s="4"/>
      <c r="D130" s="4"/>
    </row>
    <row r="131">
      <c r="C131" s="4"/>
      <c r="D131" s="4"/>
    </row>
    <row r="132">
      <c r="C132" s="4"/>
      <c r="D132" s="4"/>
    </row>
    <row r="133">
      <c r="C133" s="4"/>
      <c r="D133" s="4"/>
    </row>
    <row r="134">
      <c r="C134" s="4"/>
      <c r="D134" s="4"/>
    </row>
    <row r="135">
      <c r="C135" s="4"/>
      <c r="D135" s="4"/>
    </row>
    <row r="136">
      <c r="C136" s="4"/>
      <c r="D136" s="4"/>
    </row>
    <row r="137">
      <c r="C137" s="4"/>
      <c r="D137" s="4"/>
    </row>
    <row r="138">
      <c r="C138" s="4"/>
      <c r="D138" s="4"/>
    </row>
    <row r="139">
      <c r="C139" s="4"/>
      <c r="D139" s="4"/>
    </row>
    <row r="140">
      <c r="C140" s="4"/>
      <c r="D140" s="4"/>
    </row>
    <row r="141">
      <c r="C141" s="4"/>
      <c r="D141" s="4"/>
    </row>
    <row r="142">
      <c r="C142" s="4"/>
      <c r="D142" s="4"/>
    </row>
    <row r="143">
      <c r="C143" s="4"/>
      <c r="D143" s="4"/>
    </row>
    <row r="144">
      <c r="C144" s="4"/>
      <c r="D144" s="4"/>
    </row>
    <row r="145">
      <c r="C145" s="4"/>
      <c r="D145" s="4"/>
    </row>
    <row r="146">
      <c r="C146" s="4"/>
      <c r="D146" s="4"/>
    </row>
    <row r="147">
      <c r="C147" s="4"/>
      <c r="D147" s="4"/>
    </row>
    <row r="148">
      <c r="C148" s="4"/>
      <c r="D148" s="4"/>
    </row>
    <row r="149">
      <c r="C149" s="4"/>
      <c r="D149" s="4"/>
    </row>
    <row r="150">
      <c r="C150" s="4"/>
      <c r="D150" s="4"/>
    </row>
    <row r="151">
      <c r="C151" s="4"/>
      <c r="D151" s="4"/>
    </row>
    <row r="152">
      <c r="C152" s="4"/>
      <c r="D152" s="4"/>
    </row>
    <row r="153">
      <c r="C153" s="4"/>
      <c r="D153" s="4"/>
    </row>
    <row r="154">
      <c r="C154" s="4"/>
      <c r="D154" s="4"/>
    </row>
    <row r="155">
      <c r="C155" s="4"/>
      <c r="D155" s="4"/>
    </row>
    <row r="156">
      <c r="C156" s="4"/>
      <c r="D156" s="4"/>
    </row>
    <row r="157">
      <c r="C157" s="4"/>
      <c r="D157" s="4"/>
    </row>
    <row r="158">
      <c r="C158" s="4"/>
      <c r="D158" s="4"/>
    </row>
    <row r="159">
      <c r="C159" s="4"/>
      <c r="D159" s="4"/>
    </row>
    <row r="160">
      <c r="C160" s="4"/>
      <c r="D160" s="4"/>
    </row>
    <row r="161">
      <c r="C161" s="4"/>
      <c r="D161" s="4"/>
    </row>
    <row r="162">
      <c r="C162" s="4"/>
      <c r="D162" s="4"/>
    </row>
    <row r="163">
      <c r="C163" s="4"/>
      <c r="D163" s="4"/>
    </row>
    <row r="164">
      <c r="C164" s="4"/>
      <c r="D164" s="4"/>
    </row>
    <row r="165">
      <c r="C165" s="4"/>
      <c r="D165" s="4"/>
    </row>
    <row r="166">
      <c r="C166" s="4"/>
      <c r="D166" s="4"/>
    </row>
    <row r="167">
      <c r="C167" s="4"/>
      <c r="D167" s="4"/>
    </row>
    <row r="168">
      <c r="C168" s="4"/>
      <c r="D168" s="4"/>
    </row>
    <row r="169">
      <c r="C169" s="4"/>
      <c r="D169" s="4"/>
    </row>
    <row r="170">
      <c r="C170" s="4"/>
      <c r="D170" s="4"/>
    </row>
    <row r="171">
      <c r="C171" s="4"/>
      <c r="D171" s="4"/>
    </row>
    <row r="172">
      <c r="C172" s="4"/>
      <c r="D172" s="4"/>
    </row>
    <row r="173">
      <c r="C173" s="4"/>
      <c r="D173" s="4"/>
    </row>
    <row r="174">
      <c r="C174" s="4"/>
      <c r="D174" s="4"/>
    </row>
    <row r="175">
      <c r="C175" s="4"/>
      <c r="D175" s="4"/>
    </row>
    <row r="176">
      <c r="C176" s="4"/>
      <c r="D176" s="4"/>
    </row>
    <row r="177">
      <c r="C177" s="4"/>
      <c r="D177" s="4"/>
    </row>
    <row r="178">
      <c r="C178" s="4"/>
      <c r="D178" s="4"/>
    </row>
    <row r="179">
      <c r="C179" s="4"/>
      <c r="D179" s="4"/>
    </row>
    <row r="180">
      <c r="C180" s="4"/>
      <c r="D180" s="4"/>
    </row>
    <row r="181">
      <c r="C181" s="4"/>
      <c r="D181" s="4"/>
    </row>
    <row r="182">
      <c r="C182" s="4"/>
      <c r="D182" s="4"/>
    </row>
    <row r="183">
      <c r="C183" s="4"/>
      <c r="D183" s="4"/>
    </row>
    <row r="184">
      <c r="C184" s="4"/>
      <c r="D184" s="4"/>
    </row>
    <row r="185">
      <c r="C185" s="4"/>
      <c r="D185" s="4"/>
    </row>
    <row r="186">
      <c r="C186" s="4"/>
      <c r="D186" s="4"/>
    </row>
    <row r="187">
      <c r="C187" s="4"/>
      <c r="D187" s="4"/>
    </row>
    <row r="188">
      <c r="C188" s="4"/>
      <c r="D188" s="4"/>
    </row>
    <row r="189">
      <c r="C189" s="4"/>
      <c r="D189" s="4"/>
    </row>
    <row r="190">
      <c r="C190" s="4"/>
      <c r="D190" s="4"/>
    </row>
    <row r="191">
      <c r="C191" s="4"/>
      <c r="D191" s="4"/>
    </row>
    <row r="192">
      <c r="C192" s="4"/>
      <c r="D192" s="4"/>
    </row>
    <row r="193">
      <c r="C193" s="4"/>
      <c r="D193" s="4"/>
    </row>
    <row r="194">
      <c r="C194" s="4"/>
      <c r="D194" s="4"/>
    </row>
    <row r="195">
      <c r="C195" s="4"/>
      <c r="D195" s="4"/>
    </row>
    <row r="196">
      <c r="C196" s="4"/>
      <c r="D196" s="4"/>
    </row>
    <row r="197">
      <c r="C197" s="4"/>
      <c r="D197" s="4"/>
    </row>
    <row r="198">
      <c r="C198" s="4"/>
      <c r="D198" s="4"/>
    </row>
    <row r="199">
      <c r="C199" s="4"/>
      <c r="D199" s="4"/>
    </row>
    <row r="200">
      <c r="C200" s="4"/>
      <c r="D200" s="4"/>
    </row>
    <row r="201">
      <c r="C201" s="4"/>
      <c r="D201" s="4"/>
    </row>
    <row r="202">
      <c r="C202" s="4"/>
      <c r="D202" s="4"/>
    </row>
    <row r="203">
      <c r="C203" s="4"/>
      <c r="D203" s="4"/>
    </row>
    <row r="204">
      <c r="C204" s="4"/>
      <c r="D204" s="4"/>
    </row>
    <row r="205">
      <c r="C205" s="4"/>
      <c r="D205" s="4"/>
    </row>
    <row r="206">
      <c r="C206" s="4"/>
      <c r="D206" s="4"/>
    </row>
    <row r="207">
      <c r="C207" s="4"/>
      <c r="D207" s="4"/>
    </row>
    <row r="208">
      <c r="C208" s="4"/>
      <c r="D208" s="4"/>
    </row>
    <row r="209">
      <c r="C209" s="4"/>
      <c r="D209" s="4"/>
    </row>
    <row r="210">
      <c r="C210" s="4"/>
      <c r="D210" s="4"/>
    </row>
    <row r="211">
      <c r="C211" s="4"/>
      <c r="D211" s="4"/>
    </row>
    <row r="212">
      <c r="C212" s="4"/>
      <c r="D212" s="4"/>
    </row>
    <row r="213">
      <c r="C213" s="4"/>
      <c r="D213" s="4"/>
    </row>
    <row r="214">
      <c r="C214" s="4"/>
      <c r="D214" s="4"/>
    </row>
    <row r="215">
      <c r="C215" s="4"/>
      <c r="D215" s="4"/>
    </row>
    <row r="216">
      <c r="C216" s="4"/>
      <c r="D216" s="4"/>
    </row>
    <row r="217">
      <c r="C217" s="4"/>
      <c r="D217" s="4"/>
    </row>
    <row r="218">
      <c r="C218" s="4"/>
      <c r="D218" s="4"/>
    </row>
    <row r="219">
      <c r="C219" s="4"/>
      <c r="D219" s="4"/>
    </row>
    <row r="220">
      <c r="C220" s="4"/>
      <c r="D220" s="4"/>
    </row>
    <row r="221">
      <c r="C221" s="4"/>
      <c r="D221" s="4"/>
    </row>
    <row r="222">
      <c r="C222" s="4"/>
      <c r="D222" s="4"/>
    </row>
    <row r="223">
      <c r="C223" s="4"/>
      <c r="D223" s="4"/>
    </row>
    <row r="224">
      <c r="C224" s="4"/>
      <c r="D224" s="4"/>
    </row>
    <row r="225">
      <c r="C225" s="4"/>
      <c r="D225" s="4"/>
    </row>
    <row r="226">
      <c r="C226" s="4"/>
      <c r="D226" s="4"/>
    </row>
    <row r="227">
      <c r="C227" s="4"/>
      <c r="D227" s="4"/>
    </row>
    <row r="228">
      <c r="C228" s="4"/>
      <c r="D228" s="4"/>
    </row>
    <row r="229">
      <c r="C229" s="4"/>
      <c r="D229" s="4"/>
    </row>
    <row r="230">
      <c r="C230" s="4"/>
      <c r="D230" s="4"/>
    </row>
    <row r="231">
      <c r="C231" s="4"/>
      <c r="D231" s="4"/>
    </row>
    <row r="232">
      <c r="C232" s="4"/>
      <c r="D232" s="4"/>
    </row>
    <row r="233">
      <c r="C233" s="4"/>
      <c r="D233" s="4"/>
    </row>
    <row r="234">
      <c r="C234" s="4"/>
      <c r="D234" s="4"/>
    </row>
    <row r="235">
      <c r="C235" s="4"/>
      <c r="D235" s="4"/>
    </row>
    <row r="236">
      <c r="C236" s="4"/>
      <c r="D236" s="4"/>
    </row>
    <row r="237">
      <c r="C237" s="4"/>
      <c r="D237" s="4"/>
    </row>
    <row r="238">
      <c r="C238" s="4"/>
      <c r="D238" s="4"/>
    </row>
    <row r="239">
      <c r="C239" s="4"/>
      <c r="D239" s="4"/>
    </row>
    <row r="240">
      <c r="C240" s="4"/>
      <c r="D240" s="4"/>
    </row>
    <row r="241">
      <c r="C241" s="4"/>
      <c r="D241" s="4"/>
    </row>
    <row r="242">
      <c r="C242" s="4"/>
      <c r="D242" s="4"/>
    </row>
    <row r="243">
      <c r="C243" s="4"/>
      <c r="D243" s="4"/>
    </row>
    <row r="244">
      <c r="C244" s="4"/>
      <c r="D244" s="4"/>
    </row>
    <row r="245">
      <c r="C245" s="4"/>
      <c r="D245" s="4"/>
    </row>
    <row r="246">
      <c r="C246" s="4"/>
      <c r="D246" s="4"/>
    </row>
    <row r="247">
      <c r="C247" s="4"/>
      <c r="D247" s="4"/>
    </row>
    <row r="248">
      <c r="C248" s="4"/>
      <c r="D248" s="4"/>
    </row>
    <row r="249">
      <c r="C249" s="4"/>
      <c r="D249" s="4"/>
    </row>
    <row r="250">
      <c r="C250" s="4"/>
      <c r="D250" s="4"/>
    </row>
    <row r="251">
      <c r="C251" s="4"/>
      <c r="D251" s="4"/>
    </row>
    <row r="252">
      <c r="C252" s="4"/>
      <c r="D252" s="4"/>
    </row>
    <row r="253">
      <c r="C253" s="4"/>
      <c r="D253" s="4"/>
    </row>
    <row r="254">
      <c r="C254" s="4"/>
      <c r="D254" s="4"/>
    </row>
    <row r="255">
      <c r="C255" s="4"/>
      <c r="D255" s="4"/>
    </row>
    <row r="256">
      <c r="C256" s="4"/>
      <c r="D256" s="4"/>
    </row>
    <row r="257">
      <c r="C257" s="4"/>
      <c r="D257" s="4"/>
    </row>
    <row r="258">
      <c r="C258" s="4"/>
      <c r="D258" s="4"/>
    </row>
    <row r="259">
      <c r="C259" s="4"/>
      <c r="D259" s="4"/>
    </row>
    <row r="260">
      <c r="C260" s="4"/>
      <c r="D260" s="4"/>
    </row>
    <row r="261">
      <c r="C261" s="4"/>
      <c r="D261" s="4"/>
    </row>
    <row r="262">
      <c r="C262" s="4"/>
      <c r="D262" s="4"/>
    </row>
    <row r="263">
      <c r="C263" s="4"/>
      <c r="D263" s="4"/>
    </row>
    <row r="264">
      <c r="C264" s="4"/>
      <c r="D264" s="4"/>
    </row>
    <row r="265">
      <c r="C265" s="4"/>
      <c r="D265" s="4"/>
    </row>
    <row r="266">
      <c r="C266" s="4"/>
      <c r="D266" s="4"/>
    </row>
    <row r="267">
      <c r="C267" s="4"/>
      <c r="D267" s="4"/>
    </row>
    <row r="268">
      <c r="C268" s="4"/>
      <c r="D268" s="4"/>
    </row>
    <row r="269">
      <c r="C269" s="4"/>
      <c r="D269" s="4"/>
    </row>
    <row r="270">
      <c r="C270" s="4"/>
      <c r="D270" s="4"/>
    </row>
    <row r="271">
      <c r="C271" s="4"/>
      <c r="D271" s="4"/>
    </row>
    <row r="272">
      <c r="C272" s="4"/>
      <c r="D272" s="4"/>
    </row>
    <row r="273">
      <c r="C273" s="4"/>
      <c r="D273" s="4"/>
    </row>
    <row r="274">
      <c r="C274" s="4"/>
      <c r="D274" s="4"/>
    </row>
    <row r="275">
      <c r="C275" s="4"/>
      <c r="D275" s="4"/>
    </row>
    <row r="276">
      <c r="C276" s="4"/>
      <c r="D276" s="4"/>
    </row>
    <row r="277">
      <c r="C277" s="4"/>
      <c r="D277" s="4"/>
    </row>
    <row r="278">
      <c r="C278" s="4"/>
      <c r="D278" s="4"/>
    </row>
    <row r="279">
      <c r="C279" s="4"/>
      <c r="D279" s="4"/>
    </row>
    <row r="280">
      <c r="C280" s="4"/>
      <c r="D280" s="4"/>
    </row>
    <row r="281">
      <c r="C281" s="4"/>
      <c r="D281" s="4"/>
    </row>
    <row r="282">
      <c r="C282" s="4"/>
      <c r="D282" s="4"/>
    </row>
    <row r="283">
      <c r="C283" s="4"/>
      <c r="D283" s="4"/>
    </row>
    <row r="284">
      <c r="C284" s="4"/>
      <c r="D284" s="4"/>
    </row>
    <row r="285">
      <c r="C285" s="4"/>
      <c r="D285" s="4"/>
    </row>
    <row r="286">
      <c r="C286" s="4"/>
      <c r="D286" s="4"/>
    </row>
    <row r="287">
      <c r="C287" s="4"/>
      <c r="D287" s="4"/>
    </row>
    <row r="288">
      <c r="C288" s="4"/>
      <c r="D288" s="4"/>
    </row>
    <row r="289">
      <c r="C289" s="4"/>
      <c r="D289" s="4"/>
    </row>
    <row r="290">
      <c r="C290" s="4"/>
      <c r="D290" s="4"/>
    </row>
    <row r="291">
      <c r="C291" s="4"/>
      <c r="D291" s="4"/>
    </row>
    <row r="292">
      <c r="C292" s="4"/>
      <c r="D292" s="4"/>
    </row>
    <row r="293">
      <c r="C293" s="4"/>
      <c r="D293" s="4"/>
    </row>
    <row r="294">
      <c r="C294" s="4"/>
      <c r="D294" s="4"/>
    </row>
    <row r="295">
      <c r="C295" s="4"/>
      <c r="D295" s="4"/>
    </row>
    <row r="296">
      <c r="C296" s="4"/>
      <c r="D296" s="4"/>
    </row>
    <row r="297">
      <c r="C297" s="4"/>
      <c r="D297" s="4"/>
    </row>
    <row r="298">
      <c r="C298" s="4"/>
      <c r="D298" s="4"/>
    </row>
    <row r="299">
      <c r="C299" s="4"/>
      <c r="D299" s="4"/>
    </row>
    <row r="300">
      <c r="C300" s="4"/>
      <c r="D300" s="4"/>
    </row>
    <row r="301">
      <c r="C301" s="4"/>
      <c r="D301" s="4"/>
    </row>
    <row r="302">
      <c r="C302" s="4"/>
      <c r="D302" s="4"/>
    </row>
    <row r="303">
      <c r="C303" s="4"/>
      <c r="D303" s="4"/>
    </row>
    <row r="304">
      <c r="C304" s="4"/>
      <c r="D304" s="4"/>
    </row>
    <row r="305">
      <c r="C305" s="4"/>
      <c r="D305" s="4"/>
    </row>
    <row r="306">
      <c r="C306" s="4"/>
      <c r="D306" s="4"/>
    </row>
    <row r="307">
      <c r="C307" s="4"/>
      <c r="D307" s="4"/>
    </row>
    <row r="308">
      <c r="C308" s="4"/>
      <c r="D308" s="4"/>
    </row>
    <row r="309">
      <c r="C309" s="4"/>
      <c r="D309" s="4"/>
    </row>
    <row r="310">
      <c r="C310" s="4"/>
      <c r="D310" s="4"/>
    </row>
    <row r="311">
      <c r="C311" s="4"/>
      <c r="D311" s="4"/>
    </row>
    <row r="312">
      <c r="C312" s="4"/>
      <c r="D312" s="4"/>
    </row>
    <row r="313">
      <c r="C313" s="4"/>
      <c r="D313" s="4"/>
    </row>
    <row r="314">
      <c r="C314" s="4"/>
      <c r="D314" s="4"/>
    </row>
    <row r="315">
      <c r="C315" s="4"/>
      <c r="D315" s="4"/>
    </row>
    <row r="316">
      <c r="C316" s="4"/>
      <c r="D316" s="4"/>
    </row>
    <row r="317">
      <c r="C317" s="4"/>
      <c r="D317" s="4"/>
    </row>
    <row r="318">
      <c r="C318" s="4"/>
      <c r="D318" s="4"/>
    </row>
    <row r="319">
      <c r="C319" s="4"/>
      <c r="D319" s="4"/>
    </row>
    <row r="320">
      <c r="C320" s="4"/>
      <c r="D320" s="4"/>
    </row>
    <row r="321">
      <c r="C321" s="4"/>
      <c r="D321" s="4"/>
    </row>
    <row r="322">
      <c r="C322" s="4"/>
      <c r="D322" s="4"/>
    </row>
    <row r="323">
      <c r="C323" s="4"/>
      <c r="D323" s="4"/>
    </row>
    <row r="324">
      <c r="C324" s="4"/>
      <c r="D324" s="4"/>
    </row>
    <row r="325">
      <c r="C325" s="4"/>
      <c r="D325" s="4"/>
    </row>
    <row r="326">
      <c r="C326" s="4"/>
      <c r="D326" s="4"/>
    </row>
    <row r="327">
      <c r="C327" s="4"/>
      <c r="D327" s="4"/>
    </row>
    <row r="328">
      <c r="C328" s="4"/>
      <c r="D328" s="4"/>
    </row>
    <row r="329">
      <c r="C329" s="4"/>
      <c r="D329" s="4"/>
    </row>
    <row r="330">
      <c r="C330" s="4"/>
      <c r="D330" s="4"/>
    </row>
    <row r="331">
      <c r="C331" s="4"/>
      <c r="D331" s="4"/>
    </row>
    <row r="332">
      <c r="C332" s="4"/>
      <c r="D332" s="4"/>
    </row>
    <row r="333">
      <c r="C333" s="4"/>
      <c r="D333" s="4"/>
    </row>
    <row r="334">
      <c r="C334" s="4"/>
      <c r="D334" s="4"/>
    </row>
    <row r="335">
      <c r="C335" s="4"/>
      <c r="D335" s="4"/>
    </row>
    <row r="336">
      <c r="C336" s="4"/>
      <c r="D336" s="4"/>
    </row>
    <row r="337">
      <c r="C337" s="4"/>
      <c r="D337" s="4"/>
    </row>
    <row r="338">
      <c r="C338" s="4"/>
      <c r="D338" s="4"/>
    </row>
    <row r="339">
      <c r="C339" s="4"/>
      <c r="D339" s="4"/>
    </row>
    <row r="340">
      <c r="C340" s="4"/>
      <c r="D340" s="4"/>
    </row>
    <row r="341">
      <c r="C341" s="4"/>
      <c r="D341" s="4"/>
    </row>
    <row r="342">
      <c r="C342" s="4"/>
      <c r="D342" s="4"/>
    </row>
    <row r="343">
      <c r="C343" s="4"/>
      <c r="D343" s="4"/>
    </row>
    <row r="344">
      <c r="C344" s="4"/>
      <c r="D344" s="4"/>
    </row>
    <row r="345">
      <c r="C345" s="4"/>
      <c r="D345" s="4"/>
    </row>
    <row r="346">
      <c r="C346" s="4"/>
      <c r="D346" s="4"/>
    </row>
    <row r="347">
      <c r="C347" s="4"/>
      <c r="D347" s="4"/>
    </row>
    <row r="348">
      <c r="C348" s="4"/>
      <c r="D348" s="4"/>
    </row>
    <row r="349">
      <c r="C349" s="4"/>
      <c r="D349" s="4"/>
    </row>
    <row r="350">
      <c r="C350" s="4"/>
      <c r="D350" s="4"/>
    </row>
    <row r="351">
      <c r="C351" s="4"/>
      <c r="D351" s="4"/>
    </row>
    <row r="352">
      <c r="C352" s="4"/>
      <c r="D352" s="4"/>
    </row>
    <row r="353">
      <c r="C353" s="4"/>
      <c r="D353" s="4"/>
    </row>
    <row r="354">
      <c r="C354" s="4"/>
      <c r="D354" s="4"/>
    </row>
    <row r="355">
      <c r="C355" s="4"/>
      <c r="D355" s="4"/>
    </row>
    <row r="356">
      <c r="C356" s="4"/>
      <c r="D356" s="4"/>
    </row>
    <row r="357">
      <c r="C357" s="4"/>
      <c r="D357" s="4"/>
    </row>
    <row r="358">
      <c r="C358" s="4"/>
      <c r="D358" s="4"/>
    </row>
    <row r="359">
      <c r="C359" s="4"/>
      <c r="D359" s="4"/>
    </row>
    <row r="360">
      <c r="C360" s="4"/>
      <c r="D360" s="4"/>
    </row>
    <row r="361">
      <c r="C361" s="4"/>
      <c r="D361" s="4"/>
    </row>
    <row r="362">
      <c r="C362" s="4"/>
      <c r="D362" s="4"/>
    </row>
    <row r="363">
      <c r="C363" s="4"/>
      <c r="D363" s="4"/>
    </row>
    <row r="364">
      <c r="C364" s="4"/>
      <c r="D364" s="4"/>
    </row>
    <row r="365">
      <c r="C365" s="4"/>
      <c r="D365" s="4"/>
    </row>
    <row r="366">
      <c r="C366" s="4"/>
      <c r="D366" s="4"/>
    </row>
    <row r="367">
      <c r="C367" s="4"/>
      <c r="D367" s="4"/>
    </row>
    <row r="368">
      <c r="C368" s="4"/>
      <c r="D368" s="4"/>
    </row>
    <row r="369">
      <c r="C369" s="4"/>
      <c r="D369" s="4"/>
    </row>
    <row r="370">
      <c r="C370" s="4"/>
      <c r="D370" s="4"/>
    </row>
    <row r="371">
      <c r="C371" s="4"/>
      <c r="D371" s="4"/>
    </row>
    <row r="372">
      <c r="C372" s="4"/>
      <c r="D372" s="4"/>
    </row>
    <row r="373">
      <c r="C373" s="4"/>
      <c r="D373" s="4"/>
    </row>
    <row r="374">
      <c r="C374" s="4"/>
      <c r="D374" s="4"/>
    </row>
    <row r="375">
      <c r="C375" s="4"/>
      <c r="D375" s="4"/>
    </row>
    <row r="376">
      <c r="C376" s="4"/>
      <c r="D376" s="4"/>
    </row>
    <row r="377">
      <c r="C377" s="4"/>
      <c r="D377" s="4"/>
    </row>
    <row r="378">
      <c r="C378" s="4"/>
      <c r="D378" s="4"/>
    </row>
    <row r="379">
      <c r="C379" s="4"/>
      <c r="D379" s="4"/>
    </row>
    <row r="380">
      <c r="C380" s="4"/>
      <c r="D380" s="4"/>
    </row>
    <row r="381">
      <c r="C381" s="4"/>
      <c r="D381" s="4"/>
    </row>
    <row r="382">
      <c r="C382" s="4"/>
      <c r="D382" s="4"/>
    </row>
    <row r="383">
      <c r="C383" s="4"/>
      <c r="D383" s="4"/>
    </row>
    <row r="384">
      <c r="C384" s="4"/>
      <c r="D384" s="4"/>
    </row>
    <row r="385">
      <c r="C385" s="4"/>
      <c r="D385" s="4"/>
    </row>
    <row r="386">
      <c r="C386" s="4"/>
      <c r="D386" s="4"/>
    </row>
    <row r="387">
      <c r="C387" s="4"/>
      <c r="D387" s="4"/>
    </row>
    <row r="388">
      <c r="C388" s="4"/>
      <c r="D388" s="4"/>
    </row>
    <row r="389">
      <c r="C389" s="4"/>
      <c r="D389" s="4"/>
    </row>
    <row r="390">
      <c r="C390" s="4"/>
      <c r="D390" s="4"/>
    </row>
    <row r="391">
      <c r="C391" s="4"/>
      <c r="D391" s="4"/>
    </row>
    <row r="392">
      <c r="C392" s="4"/>
      <c r="D392" s="4"/>
    </row>
    <row r="393">
      <c r="C393" s="4"/>
      <c r="D393" s="4"/>
    </row>
    <row r="394">
      <c r="C394" s="4"/>
      <c r="D394" s="4"/>
    </row>
    <row r="395">
      <c r="C395" s="4"/>
      <c r="D395" s="4"/>
    </row>
    <row r="396">
      <c r="C396" s="4"/>
      <c r="D396" s="4"/>
    </row>
    <row r="397">
      <c r="C397" s="4"/>
      <c r="D397" s="4"/>
    </row>
    <row r="398">
      <c r="C398" s="4"/>
      <c r="D398" s="4"/>
    </row>
    <row r="399">
      <c r="C399" s="4"/>
      <c r="D399" s="4"/>
    </row>
    <row r="400">
      <c r="C400" s="4"/>
      <c r="D400" s="4"/>
    </row>
    <row r="401">
      <c r="C401" s="4"/>
      <c r="D401" s="4"/>
    </row>
    <row r="402">
      <c r="C402" s="4"/>
      <c r="D402" s="4"/>
    </row>
    <row r="403">
      <c r="C403" s="4"/>
      <c r="D403" s="4"/>
    </row>
    <row r="404">
      <c r="C404" s="4"/>
      <c r="D404" s="4"/>
    </row>
    <row r="405">
      <c r="C405" s="4"/>
      <c r="D405" s="4"/>
    </row>
    <row r="406">
      <c r="C406" s="4"/>
      <c r="D406" s="4"/>
    </row>
    <row r="407">
      <c r="C407" s="4"/>
      <c r="D407" s="4"/>
    </row>
    <row r="408">
      <c r="C408" s="4"/>
      <c r="D408" s="4"/>
    </row>
    <row r="409">
      <c r="C409" s="4"/>
      <c r="D409" s="4"/>
    </row>
    <row r="410">
      <c r="C410" s="4"/>
      <c r="D410" s="4"/>
    </row>
    <row r="411">
      <c r="C411" s="4"/>
      <c r="D411" s="4"/>
    </row>
    <row r="412">
      <c r="C412" s="4"/>
      <c r="D412" s="4"/>
    </row>
    <row r="413">
      <c r="C413" s="4"/>
      <c r="D413" s="4"/>
    </row>
    <row r="414">
      <c r="C414" s="4"/>
      <c r="D414" s="4"/>
    </row>
    <row r="415">
      <c r="C415" s="4"/>
      <c r="D415" s="4"/>
    </row>
    <row r="416">
      <c r="C416" s="4"/>
      <c r="D416" s="4"/>
    </row>
    <row r="417">
      <c r="C417" s="4"/>
      <c r="D417" s="4"/>
    </row>
    <row r="418">
      <c r="C418" s="4"/>
      <c r="D418" s="4"/>
    </row>
    <row r="419">
      <c r="C419" s="4"/>
      <c r="D419" s="4"/>
    </row>
    <row r="420">
      <c r="C420" s="4"/>
      <c r="D420" s="4"/>
    </row>
    <row r="421">
      <c r="C421" s="4"/>
      <c r="D421" s="4"/>
    </row>
    <row r="422">
      <c r="C422" s="4"/>
      <c r="D422" s="4"/>
    </row>
    <row r="423">
      <c r="C423" s="4"/>
      <c r="D423" s="4"/>
    </row>
    <row r="424">
      <c r="C424" s="4"/>
      <c r="D424" s="4"/>
    </row>
    <row r="425">
      <c r="C425" s="4"/>
      <c r="D425" s="4"/>
    </row>
    <row r="426">
      <c r="C426" s="4"/>
      <c r="D426" s="4"/>
    </row>
    <row r="427">
      <c r="C427" s="4"/>
      <c r="D427" s="4"/>
    </row>
    <row r="428">
      <c r="C428" s="4"/>
      <c r="D428" s="4"/>
    </row>
    <row r="429">
      <c r="C429" s="4"/>
      <c r="D429" s="4"/>
    </row>
    <row r="430">
      <c r="C430" s="4"/>
      <c r="D430" s="4"/>
    </row>
    <row r="431">
      <c r="C431" s="4"/>
      <c r="D431" s="4"/>
    </row>
    <row r="432">
      <c r="C432" s="4"/>
      <c r="D432" s="4"/>
    </row>
    <row r="433">
      <c r="C433" s="4"/>
      <c r="D433" s="4"/>
    </row>
    <row r="434">
      <c r="C434" s="4"/>
      <c r="D434" s="4"/>
    </row>
    <row r="435">
      <c r="C435" s="4"/>
      <c r="D435" s="4"/>
    </row>
    <row r="436">
      <c r="C436" s="4"/>
      <c r="D436" s="4"/>
    </row>
    <row r="437">
      <c r="C437" s="4"/>
      <c r="D437" s="4"/>
    </row>
    <row r="438">
      <c r="C438" s="4"/>
      <c r="D438" s="4"/>
    </row>
    <row r="439">
      <c r="C439" s="4"/>
      <c r="D439" s="4"/>
    </row>
    <row r="440">
      <c r="C440" s="4"/>
      <c r="D440" s="4"/>
    </row>
    <row r="441">
      <c r="C441" s="4"/>
      <c r="D441" s="4"/>
    </row>
    <row r="442">
      <c r="C442" s="4"/>
      <c r="D442" s="4"/>
    </row>
    <row r="443">
      <c r="C443" s="4"/>
      <c r="D443" s="4"/>
    </row>
    <row r="444">
      <c r="C444" s="4"/>
      <c r="D444" s="4"/>
    </row>
    <row r="445">
      <c r="C445" s="4"/>
      <c r="D445" s="4"/>
    </row>
    <row r="446">
      <c r="C446" s="4"/>
      <c r="D446" s="4"/>
    </row>
    <row r="447">
      <c r="C447" s="4"/>
      <c r="D447" s="4"/>
    </row>
    <row r="448">
      <c r="C448" s="4"/>
      <c r="D448" s="4"/>
    </row>
    <row r="449">
      <c r="C449" s="4"/>
      <c r="D449" s="4"/>
    </row>
    <row r="450">
      <c r="C450" s="4"/>
      <c r="D450" s="4"/>
    </row>
    <row r="451">
      <c r="C451" s="4"/>
      <c r="D451" s="4"/>
    </row>
    <row r="452">
      <c r="C452" s="4"/>
      <c r="D452" s="4"/>
    </row>
    <row r="453">
      <c r="C453" s="4"/>
      <c r="D453" s="4"/>
    </row>
    <row r="454">
      <c r="C454" s="4"/>
      <c r="D454" s="4"/>
    </row>
    <row r="455">
      <c r="C455" s="4"/>
      <c r="D455" s="4"/>
    </row>
    <row r="456">
      <c r="C456" s="4"/>
      <c r="D456" s="4"/>
    </row>
    <row r="457">
      <c r="C457" s="4"/>
      <c r="D457" s="4"/>
    </row>
    <row r="458">
      <c r="C458" s="4"/>
      <c r="D458" s="4"/>
    </row>
    <row r="459">
      <c r="C459" s="4"/>
      <c r="D459" s="4"/>
    </row>
    <row r="460">
      <c r="C460" s="4"/>
      <c r="D460" s="4"/>
    </row>
    <row r="461">
      <c r="C461" s="4"/>
      <c r="D461" s="4"/>
    </row>
    <row r="462">
      <c r="C462" s="4"/>
      <c r="D462" s="4"/>
    </row>
    <row r="463">
      <c r="C463" s="4"/>
      <c r="D463" s="4"/>
    </row>
    <row r="464">
      <c r="C464" s="4"/>
      <c r="D464" s="4"/>
    </row>
    <row r="465">
      <c r="C465" s="4"/>
      <c r="D465" s="4"/>
    </row>
    <row r="466">
      <c r="C466" s="4"/>
      <c r="D466" s="4"/>
    </row>
    <row r="467">
      <c r="C467" s="4"/>
      <c r="D467" s="4"/>
    </row>
    <row r="468">
      <c r="C468" s="4"/>
      <c r="D468" s="4"/>
    </row>
    <row r="469">
      <c r="C469" s="4"/>
      <c r="D469" s="4"/>
    </row>
    <row r="470">
      <c r="C470" s="4"/>
      <c r="D470" s="4"/>
    </row>
    <row r="471">
      <c r="C471" s="4"/>
      <c r="D471" s="4"/>
    </row>
    <row r="472">
      <c r="C472" s="4"/>
      <c r="D472" s="4"/>
    </row>
    <row r="473">
      <c r="C473" s="4"/>
      <c r="D473" s="4"/>
    </row>
    <row r="474">
      <c r="C474" s="4"/>
      <c r="D474" s="4"/>
    </row>
    <row r="475">
      <c r="C475" s="4"/>
      <c r="D475" s="4"/>
    </row>
    <row r="476">
      <c r="C476" s="4"/>
      <c r="D476" s="4"/>
    </row>
    <row r="477">
      <c r="C477" s="4"/>
      <c r="D477" s="4"/>
    </row>
    <row r="478">
      <c r="C478" s="4"/>
      <c r="D478" s="4"/>
    </row>
    <row r="479">
      <c r="C479" s="4"/>
      <c r="D479" s="4"/>
    </row>
    <row r="480">
      <c r="C480" s="4"/>
      <c r="D480" s="4"/>
    </row>
    <row r="481">
      <c r="C481" s="4"/>
      <c r="D481" s="4"/>
    </row>
    <row r="482">
      <c r="C482" s="4"/>
      <c r="D482" s="4"/>
    </row>
    <row r="483">
      <c r="C483" s="4"/>
      <c r="D483" s="4"/>
    </row>
    <row r="484">
      <c r="C484" s="4"/>
      <c r="D484" s="4"/>
    </row>
    <row r="485">
      <c r="C485" s="4"/>
      <c r="D485" s="4"/>
    </row>
    <row r="486">
      <c r="C486" s="4"/>
      <c r="D486" s="4"/>
    </row>
    <row r="487">
      <c r="C487" s="4"/>
      <c r="D487" s="4"/>
    </row>
    <row r="488">
      <c r="C488" s="4"/>
      <c r="D488" s="4"/>
    </row>
    <row r="489">
      <c r="C489" s="4"/>
      <c r="D489" s="4"/>
    </row>
    <row r="490">
      <c r="C490" s="4"/>
      <c r="D490" s="4"/>
    </row>
    <row r="491">
      <c r="C491" s="4"/>
      <c r="D491" s="4"/>
    </row>
    <row r="492">
      <c r="C492" s="4"/>
      <c r="D492" s="4"/>
    </row>
    <row r="493">
      <c r="C493" s="4"/>
      <c r="D493" s="4"/>
    </row>
    <row r="494">
      <c r="C494" s="4"/>
      <c r="D494" s="4"/>
    </row>
    <row r="495">
      <c r="C495" s="4"/>
      <c r="D495" s="4"/>
    </row>
    <row r="496">
      <c r="C496" s="4"/>
      <c r="D496" s="4"/>
    </row>
    <row r="497">
      <c r="C497" s="4"/>
      <c r="D497" s="4"/>
    </row>
    <row r="498">
      <c r="C498" s="4"/>
      <c r="D498" s="4"/>
    </row>
    <row r="499">
      <c r="C499" s="4"/>
      <c r="D499" s="4"/>
    </row>
    <row r="500">
      <c r="C500" s="4"/>
      <c r="D500" s="4"/>
    </row>
    <row r="501">
      <c r="C501" s="4"/>
      <c r="D501" s="4"/>
    </row>
    <row r="502">
      <c r="C502" s="4"/>
      <c r="D502" s="4"/>
    </row>
    <row r="503">
      <c r="C503" s="4"/>
      <c r="D503" s="4"/>
    </row>
    <row r="504">
      <c r="C504" s="4"/>
      <c r="D504" s="4"/>
    </row>
    <row r="505">
      <c r="C505" s="4"/>
      <c r="D505" s="4"/>
    </row>
    <row r="506">
      <c r="C506" s="4"/>
      <c r="D506" s="4"/>
    </row>
    <row r="507">
      <c r="C507" s="4"/>
      <c r="D507" s="4"/>
    </row>
    <row r="508">
      <c r="C508" s="4"/>
      <c r="D508" s="4"/>
    </row>
    <row r="509">
      <c r="C509" s="4"/>
      <c r="D509" s="4"/>
    </row>
    <row r="510">
      <c r="C510" s="4"/>
      <c r="D510" s="4"/>
    </row>
    <row r="511">
      <c r="C511" s="4"/>
      <c r="D511" s="4"/>
    </row>
    <row r="512">
      <c r="C512" s="4"/>
      <c r="D512" s="4"/>
    </row>
    <row r="513">
      <c r="C513" s="4"/>
      <c r="D513" s="4"/>
    </row>
    <row r="514">
      <c r="C514" s="4"/>
      <c r="D514" s="4"/>
    </row>
    <row r="515">
      <c r="C515" s="4"/>
      <c r="D515" s="4"/>
    </row>
    <row r="516">
      <c r="C516" s="4"/>
      <c r="D516" s="4"/>
    </row>
    <row r="517">
      <c r="C517" s="4"/>
      <c r="D517" s="4"/>
    </row>
    <row r="518">
      <c r="C518" s="4"/>
      <c r="D518" s="4"/>
    </row>
    <row r="519">
      <c r="C519" s="4"/>
      <c r="D519" s="4"/>
    </row>
    <row r="520">
      <c r="C520" s="4"/>
      <c r="D520" s="4"/>
    </row>
    <row r="521">
      <c r="C521" s="4"/>
      <c r="D521" s="4"/>
    </row>
    <row r="522">
      <c r="C522" s="4"/>
      <c r="D522" s="4"/>
    </row>
    <row r="523">
      <c r="C523" s="4"/>
      <c r="D523" s="4"/>
    </row>
    <row r="524">
      <c r="C524" s="4"/>
      <c r="D524" s="4"/>
    </row>
    <row r="525">
      <c r="C525" s="4"/>
      <c r="D525" s="4"/>
    </row>
    <row r="526">
      <c r="C526" s="4"/>
      <c r="D526" s="4"/>
    </row>
    <row r="527">
      <c r="C527" s="4"/>
      <c r="D527" s="4"/>
    </row>
    <row r="528">
      <c r="C528" s="4"/>
      <c r="D528" s="4"/>
    </row>
    <row r="529">
      <c r="C529" s="4"/>
      <c r="D529" s="4"/>
    </row>
    <row r="530">
      <c r="C530" s="4"/>
      <c r="D530" s="4"/>
    </row>
    <row r="531">
      <c r="C531" s="4"/>
      <c r="D531" s="4"/>
    </row>
    <row r="532">
      <c r="C532" s="4"/>
      <c r="D532" s="4"/>
    </row>
    <row r="533">
      <c r="C533" s="4"/>
      <c r="D533" s="4"/>
    </row>
    <row r="534">
      <c r="C534" s="4"/>
      <c r="D534" s="4"/>
    </row>
    <row r="535">
      <c r="C535" s="4"/>
      <c r="D535" s="4"/>
    </row>
    <row r="536">
      <c r="C536" s="4"/>
      <c r="D536" s="4"/>
    </row>
    <row r="537">
      <c r="C537" s="4"/>
      <c r="D537" s="4"/>
    </row>
    <row r="538">
      <c r="C538" s="4"/>
      <c r="D538" s="4"/>
    </row>
    <row r="539">
      <c r="C539" s="4"/>
      <c r="D539" s="4"/>
    </row>
    <row r="540">
      <c r="C540" s="4"/>
      <c r="D540" s="4"/>
    </row>
    <row r="541">
      <c r="C541" s="4"/>
      <c r="D541" s="4"/>
    </row>
    <row r="542">
      <c r="C542" s="4"/>
      <c r="D542" s="4"/>
    </row>
    <row r="543">
      <c r="C543" s="4"/>
      <c r="D543" s="4"/>
    </row>
    <row r="544">
      <c r="C544" s="4"/>
      <c r="D544" s="4"/>
    </row>
    <row r="545">
      <c r="C545" s="4"/>
      <c r="D545" s="4"/>
    </row>
    <row r="546">
      <c r="C546" s="4"/>
      <c r="D546" s="4"/>
    </row>
    <row r="547">
      <c r="C547" s="4"/>
      <c r="D547" s="4"/>
    </row>
    <row r="548">
      <c r="C548" s="4"/>
      <c r="D548" s="4"/>
    </row>
    <row r="549">
      <c r="C549" s="4"/>
      <c r="D549" s="4"/>
    </row>
    <row r="550">
      <c r="C550" s="4"/>
      <c r="D550" s="4"/>
    </row>
    <row r="551">
      <c r="C551" s="4"/>
      <c r="D551" s="4"/>
    </row>
    <row r="552">
      <c r="C552" s="4"/>
      <c r="D552" s="4"/>
    </row>
    <row r="553">
      <c r="C553" s="4"/>
      <c r="D553" s="4"/>
    </row>
    <row r="554">
      <c r="C554" s="4"/>
      <c r="D554" s="4"/>
    </row>
    <row r="555">
      <c r="C555" s="4"/>
      <c r="D555" s="4"/>
    </row>
    <row r="556">
      <c r="C556" s="4"/>
      <c r="D556" s="4"/>
    </row>
    <row r="557">
      <c r="C557" s="4"/>
      <c r="D557" s="4"/>
    </row>
    <row r="558">
      <c r="C558" s="4"/>
      <c r="D558" s="4"/>
    </row>
    <row r="559">
      <c r="C559" s="4"/>
      <c r="D559" s="4"/>
    </row>
    <row r="560">
      <c r="C560" s="4"/>
      <c r="D560" s="4"/>
    </row>
    <row r="561">
      <c r="C561" s="4"/>
      <c r="D561" s="4"/>
    </row>
    <row r="562">
      <c r="C562" s="4"/>
      <c r="D562" s="4"/>
    </row>
    <row r="563">
      <c r="C563" s="4"/>
      <c r="D563" s="4"/>
    </row>
    <row r="564">
      <c r="C564" s="4"/>
      <c r="D564" s="4"/>
    </row>
    <row r="565">
      <c r="C565" s="4"/>
      <c r="D565" s="4"/>
    </row>
    <row r="566">
      <c r="C566" s="4"/>
      <c r="D566" s="4"/>
    </row>
    <row r="567">
      <c r="C567" s="4"/>
      <c r="D567" s="4"/>
    </row>
    <row r="568">
      <c r="C568" s="4"/>
      <c r="D568" s="4"/>
    </row>
    <row r="569">
      <c r="C569" s="4"/>
      <c r="D569" s="4"/>
    </row>
    <row r="570">
      <c r="C570" s="4"/>
      <c r="D570" s="4"/>
    </row>
    <row r="571">
      <c r="C571" s="4"/>
      <c r="D571" s="4"/>
    </row>
    <row r="572">
      <c r="C572" s="4"/>
      <c r="D572" s="4"/>
    </row>
    <row r="573">
      <c r="C573" s="4"/>
      <c r="D573" s="4"/>
    </row>
    <row r="574">
      <c r="C574" s="4"/>
      <c r="D574" s="4"/>
    </row>
    <row r="575">
      <c r="C575" s="4"/>
      <c r="D575" s="4"/>
    </row>
    <row r="576">
      <c r="C576" s="4"/>
      <c r="D576" s="4"/>
    </row>
    <row r="577">
      <c r="C577" s="4"/>
      <c r="D577" s="4"/>
    </row>
    <row r="578">
      <c r="C578" s="4"/>
      <c r="D578" s="4"/>
    </row>
    <row r="579">
      <c r="C579" s="4"/>
      <c r="D579" s="4"/>
    </row>
    <row r="580">
      <c r="C580" s="4"/>
      <c r="D580" s="4"/>
    </row>
    <row r="581">
      <c r="C581" s="4"/>
      <c r="D581" s="4"/>
    </row>
    <row r="582">
      <c r="C582" s="4"/>
      <c r="D582" s="4"/>
    </row>
    <row r="583">
      <c r="C583" s="4"/>
      <c r="D583" s="4"/>
    </row>
    <row r="584">
      <c r="C584" s="4"/>
      <c r="D584" s="4"/>
    </row>
    <row r="585">
      <c r="C585" s="4"/>
      <c r="D585" s="4"/>
    </row>
    <row r="586">
      <c r="C586" s="4"/>
      <c r="D586" s="4"/>
    </row>
    <row r="587">
      <c r="C587" s="4"/>
      <c r="D587" s="4"/>
    </row>
    <row r="588">
      <c r="C588" s="4"/>
      <c r="D588" s="4"/>
    </row>
    <row r="589">
      <c r="C589" s="4"/>
      <c r="D589" s="4"/>
    </row>
    <row r="590">
      <c r="C590" s="4"/>
      <c r="D590" s="4"/>
    </row>
    <row r="591">
      <c r="C591" s="4"/>
      <c r="D591" s="4"/>
    </row>
    <row r="592">
      <c r="C592" s="4"/>
      <c r="D592" s="4"/>
    </row>
    <row r="593">
      <c r="C593" s="4"/>
      <c r="D593" s="4"/>
    </row>
    <row r="594">
      <c r="C594" s="4"/>
      <c r="D594" s="4"/>
    </row>
    <row r="595">
      <c r="C595" s="4"/>
      <c r="D595" s="4"/>
    </row>
    <row r="596">
      <c r="C596" s="4"/>
      <c r="D596" s="4"/>
    </row>
    <row r="597">
      <c r="C597" s="4"/>
      <c r="D597" s="4"/>
    </row>
    <row r="598">
      <c r="C598" s="4"/>
      <c r="D598" s="4"/>
    </row>
    <row r="599">
      <c r="C599" s="4"/>
      <c r="D599" s="4"/>
    </row>
    <row r="600">
      <c r="C600" s="4"/>
      <c r="D600" s="4"/>
    </row>
    <row r="601">
      <c r="C601" s="4"/>
      <c r="D601" s="4"/>
    </row>
    <row r="602">
      <c r="C602" s="4"/>
      <c r="D602" s="4"/>
    </row>
    <row r="603">
      <c r="C603" s="4"/>
      <c r="D603" s="4"/>
    </row>
    <row r="604">
      <c r="C604" s="4"/>
      <c r="D604" s="4"/>
    </row>
    <row r="605">
      <c r="C605" s="4"/>
      <c r="D605" s="4"/>
    </row>
    <row r="606">
      <c r="C606" s="4"/>
      <c r="D606" s="4"/>
    </row>
    <row r="607">
      <c r="C607" s="4"/>
      <c r="D607" s="4"/>
    </row>
    <row r="608">
      <c r="C608" s="4"/>
      <c r="D608" s="4"/>
    </row>
    <row r="609">
      <c r="C609" s="4"/>
      <c r="D609" s="4"/>
    </row>
    <row r="610">
      <c r="C610" s="4"/>
      <c r="D610" s="4"/>
    </row>
    <row r="611">
      <c r="C611" s="4"/>
      <c r="D611" s="4"/>
    </row>
    <row r="612">
      <c r="C612" s="4"/>
      <c r="D612" s="4"/>
    </row>
    <row r="613">
      <c r="C613" s="4"/>
      <c r="D613" s="4"/>
    </row>
    <row r="614">
      <c r="C614" s="4"/>
      <c r="D614" s="4"/>
    </row>
    <row r="615">
      <c r="C615" s="4"/>
      <c r="D615" s="4"/>
    </row>
    <row r="616">
      <c r="C616" s="4"/>
      <c r="D616" s="4"/>
    </row>
    <row r="617">
      <c r="C617" s="4"/>
      <c r="D617" s="4"/>
    </row>
    <row r="618">
      <c r="C618" s="4"/>
      <c r="D618" s="4"/>
    </row>
    <row r="619">
      <c r="C619" s="4"/>
      <c r="D619" s="4"/>
    </row>
    <row r="620">
      <c r="C620" s="4"/>
      <c r="D620" s="4"/>
    </row>
    <row r="621">
      <c r="C621" s="4"/>
      <c r="D621" s="4"/>
    </row>
    <row r="622">
      <c r="C622" s="4"/>
      <c r="D622" s="4"/>
    </row>
    <row r="623">
      <c r="C623" s="4"/>
      <c r="D623" s="4"/>
    </row>
    <row r="624">
      <c r="C624" s="4"/>
      <c r="D624" s="4"/>
    </row>
    <row r="625">
      <c r="C625" s="4"/>
      <c r="D625" s="4"/>
    </row>
    <row r="626">
      <c r="C626" s="4"/>
      <c r="D626" s="4"/>
    </row>
    <row r="627">
      <c r="C627" s="4"/>
      <c r="D627" s="4"/>
    </row>
    <row r="628">
      <c r="C628" s="4"/>
      <c r="D628" s="4"/>
    </row>
    <row r="629">
      <c r="C629" s="4"/>
      <c r="D629" s="4"/>
    </row>
    <row r="630">
      <c r="C630" s="4"/>
      <c r="D630" s="4"/>
    </row>
    <row r="631">
      <c r="C631" s="4"/>
      <c r="D631" s="4"/>
    </row>
    <row r="632">
      <c r="C632" s="4"/>
      <c r="D632" s="4"/>
    </row>
    <row r="633">
      <c r="C633" s="4"/>
      <c r="D633" s="4"/>
    </row>
    <row r="634">
      <c r="C634" s="4"/>
      <c r="D634" s="4"/>
    </row>
    <row r="635">
      <c r="C635" s="4"/>
      <c r="D635" s="4"/>
    </row>
    <row r="636">
      <c r="C636" s="4"/>
      <c r="D636" s="4"/>
    </row>
    <row r="637">
      <c r="C637" s="4"/>
      <c r="D637" s="4"/>
    </row>
    <row r="638">
      <c r="C638" s="4"/>
      <c r="D638" s="4"/>
    </row>
    <row r="639">
      <c r="C639" s="4"/>
      <c r="D639" s="4"/>
    </row>
    <row r="640">
      <c r="C640" s="4"/>
      <c r="D640" s="4"/>
    </row>
    <row r="641">
      <c r="C641" s="4"/>
      <c r="D641" s="4"/>
    </row>
    <row r="642">
      <c r="C642" s="4"/>
      <c r="D642" s="4"/>
    </row>
    <row r="643">
      <c r="C643" s="4"/>
      <c r="D643" s="4"/>
    </row>
    <row r="644">
      <c r="C644" s="4"/>
      <c r="D644" s="4"/>
    </row>
    <row r="645">
      <c r="C645" s="4"/>
      <c r="D645" s="4"/>
    </row>
    <row r="646">
      <c r="C646" s="4"/>
      <c r="D646" s="4"/>
    </row>
    <row r="647">
      <c r="C647" s="4"/>
      <c r="D647" s="4"/>
    </row>
    <row r="648">
      <c r="C648" s="4"/>
      <c r="D648" s="4"/>
    </row>
    <row r="649">
      <c r="C649" s="4"/>
      <c r="D649" s="4"/>
    </row>
    <row r="650">
      <c r="C650" s="4"/>
      <c r="D650" s="4"/>
    </row>
    <row r="651">
      <c r="C651" s="4"/>
      <c r="D651" s="4"/>
    </row>
    <row r="652">
      <c r="C652" s="4"/>
      <c r="D652" s="4"/>
    </row>
    <row r="653">
      <c r="C653" s="4"/>
      <c r="D653" s="4"/>
    </row>
    <row r="654">
      <c r="C654" s="4"/>
      <c r="D654" s="4"/>
    </row>
    <row r="655">
      <c r="C655" s="4"/>
      <c r="D655" s="4"/>
    </row>
    <row r="656">
      <c r="C656" s="4"/>
      <c r="D656" s="4"/>
    </row>
    <row r="657">
      <c r="C657" s="4"/>
      <c r="D657" s="4"/>
    </row>
    <row r="658">
      <c r="C658" s="4"/>
      <c r="D658" s="4"/>
    </row>
    <row r="659">
      <c r="C659" s="4"/>
      <c r="D659" s="4"/>
    </row>
    <row r="660">
      <c r="C660" s="4"/>
      <c r="D660" s="4"/>
    </row>
    <row r="661">
      <c r="C661" s="4"/>
      <c r="D661" s="4"/>
    </row>
    <row r="662">
      <c r="C662" s="4"/>
      <c r="D662" s="4"/>
    </row>
    <row r="663">
      <c r="C663" s="4"/>
      <c r="D663" s="4"/>
    </row>
    <row r="664">
      <c r="C664" s="4"/>
      <c r="D664" s="4"/>
    </row>
    <row r="665">
      <c r="C665" s="4"/>
      <c r="D665" s="4"/>
    </row>
    <row r="666">
      <c r="C666" s="4"/>
      <c r="D666" s="4"/>
    </row>
    <row r="667">
      <c r="C667" s="4"/>
      <c r="D667" s="4"/>
    </row>
    <row r="668">
      <c r="C668" s="4"/>
      <c r="D668" s="4"/>
    </row>
    <row r="669">
      <c r="C669" s="4"/>
      <c r="D669" s="4"/>
    </row>
    <row r="670">
      <c r="C670" s="4"/>
      <c r="D670" s="4"/>
    </row>
    <row r="671">
      <c r="C671" s="4"/>
      <c r="D671" s="4"/>
    </row>
    <row r="672">
      <c r="C672" s="4"/>
      <c r="D672" s="4"/>
    </row>
    <row r="673">
      <c r="C673" s="4"/>
      <c r="D673" s="4"/>
    </row>
    <row r="674">
      <c r="C674" s="4"/>
      <c r="D674" s="4"/>
    </row>
    <row r="675">
      <c r="C675" s="4"/>
      <c r="D675" s="4"/>
    </row>
    <row r="676">
      <c r="C676" s="4"/>
      <c r="D676" s="4"/>
    </row>
    <row r="677">
      <c r="C677" s="4"/>
      <c r="D677" s="4"/>
    </row>
    <row r="678">
      <c r="C678" s="4"/>
      <c r="D678" s="4"/>
    </row>
    <row r="679">
      <c r="C679" s="4"/>
      <c r="D679" s="4"/>
    </row>
    <row r="680">
      <c r="C680" s="4"/>
      <c r="D680" s="4"/>
    </row>
    <row r="681">
      <c r="C681" s="4"/>
      <c r="D681" s="4"/>
    </row>
    <row r="682">
      <c r="C682" s="4"/>
      <c r="D682" s="4"/>
    </row>
    <row r="683">
      <c r="C683" s="4"/>
      <c r="D683" s="4"/>
    </row>
    <row r="684">
      <c r="C684" s="4"/>
      <c r="D684" s="4"/>
    </row>
    <row r="685">
      <c r="C685" s="4"/>
      <c r="D685" s="4"/>
    </row>
    <row r="686">
      <c r="C686" s="4"/>
      <c r="D686" s="4"/>
    </row>
    <row r="687">
      <c r="C687" s="4"/>
      <c r="D687" s="4"/>
    </row>
    <row r="688">
      <c r="C688" s="4"/>
      <c r="D688" s="4"/>
    </row>
    <row r="689">
      <c r="C689" s="4"/>
      <c r="D689" s="4"/>
    </row>
    <row r="690">
      <c r="C690" s="4"/>
      <c r="D690" s="4"/>
    </row>
    <row r="691">
      <c r="C691" s="4"/>
      <c r="D691" s="4"/>
    </row>
    <row r="692">
      <c r="C692" s="4"/>
      <c r="D692" s="4"/>
    </row>
    <row r="693">
      <c r="C693" s="4"/>
      <c r="D693" s="4"/>
    </row>
    <row r="694">
      <c r="C694" s="4"/>
      <c r="D694" s="4"/>
    </row>
    <row r="695">
      <c r="C695" s="4"/>
      <c r="D695" s="4"/>
    </row>
    <row r="696">
      <c r="C696" s="4"/>
      <c r="D696" s="4"/>
    </row>
    <row r="697">
      <c r="C697" s="4"/>
      <c r="D697" s="4"/>
    </row>
    <row r="698">
      <c r="C698" s="4"/>
      <c r="D698" s="4"/>
    </row>
    <row r="699">
      <c r="C699" s="4"/>
      <c r="D699" s="4"/>
    </row>
    <row r="700">
      <c r="C700" s="4"/>
      <c r="D700" s="4"/>
    </row>
    <row r="701">
      <c r="C701" s="4"/>
      <c r="D701" s="4"/>
    </row>
    <row r="702">
      <c r="C702" s="4"/>
      <c r="D702" s="4"/>
    </row>
    <row r="703">
      <c r="C703" s="4"/>
      <c r="D703" s="4"/>
    </row>
    <row r="704">
      <c r="C704" s="4"/>
      <c r="D704" s="4"/>
    </row>
    <row r="705">
      <c r="C705" s="4"/>
      <c r="D705" s="4"/>
    </row>
    <row r="706">
      <c r="C706" s="4"/>
      <c r="D706" s="4"/>
    </row>
    <row r="707">
      <c r="C707" s="4"/>
      <c r="D707" s="4"/>
    </row>
    <row r="708">
      <c r="C708" s="4"/>
      <c r="D708" s="4"/>
    </row>
    <row r="709">
      <c r="C709" s="4"/>
      <c r="D709" s="4"/>
    </row>
    <row r="710">
      <c r="C710" s="4"/>
      <c r="D710" s="4"/>
    </row>
    <row r="711">
      <c r="C711" s="4"/>
      <c r="D711" s="4"/>
    </row>
    <row r="712">
      <c r="C712" s="4"/>
      <c r="D712" s="4"/>
    </row>
    <row r="713">
      <c r="C713" s="4"/>
      <c r="D713" s="4"/>
    </row>
    <row r="714">
      <c r="C714" s="4"/>
      <c r="D714" s="4"/>
    </row>
    <row r="715">
      <c r="C715" s="4"/>
      <c r="D715" s="4"/>
    </row>
    <row r="716">
      <c r="C716" s="4"/>
      <c r="D716" s="4"/>
    </row>
    <row r="717">
      <c r="C717" s="4"/>
      <c r="D717" s="4"/>
    </row>
    <row r="718">
      <c r="C718" s="4"/>
      <c r="D718" s="4"/>
    </row>
    <row r="719">
      <c r="C719" s="4"/>
      <c r="D719" s="4"/>
    </row>
    <row r="720">
      <c r="C720" s="4"/>
      <c r="D720" s="4"/>
    </row>
    <row r="721">
      <c r="C721" s="4"/>
      <c r="D721" s="4"/>
    </row>
    <row r="722">
      <c r="C722" s="4"/>
      <c r="D722" s="4"/>
    </row>
    <row r="723">
      <c r="C723" s="4"/>
      <c r="D723" s="4"/>
    </row>
    <row r="724">
      <c r="C724" s="4"/>
      <c r="D724" s="4"/>
    </row>
    <row r="725">
      <c r="C725" s="4"/>
      <c r="D725" s="4"/>
    </row>
    <row r="726">
      <c r="C726" s="4"/>
      <c r="D726" s="4"/>
    </row>
    <row r="727">
      <c r="C727" s="4"/>
      <c r="D727" s="4"/>
    </row>
    <row r="728">
      <c r="C728" s="4"/>
      <c r="D728" s="4"/>
    </row>
    <row r="729">
      <c r="C729" s="4"/>
      <c r="D729" s="4"/>
    </row>
    <row r="730">
      <c r="C730" s="4"/>
      <c r="D730" s="4"/>
    </row>
    <row r="731">
      <c r="C731" s="4"/>
      <c r="D731" s="4"/>
    </row>
    <row r="732">
      <c r="C732" s="4"/>
      <c r="D732" s="4"/>
    </row>
    <row r="733">
      <c r="C733" s="4"/>
      <c r="D733" s="4"/>
    </row>
    <row r="734">
      <c r="C734" s="4"/>
      <c r="D734" s="4"/>
    </row>
    <row r="735">
      <c r="C735" s="4"/>
      <c r="D735" s="4"/>
    </row>
    <row r="736">
      <c r="C736" s="4"/>
      <c r="D736" s="4"/>
    </row>
    <row r="737">
      <c r="C737" s="4"/>
      <c r="D737" s="4"/>
    </row>
    <row r="738">
      <c r="C738" s="4"/>
      <c r="D738" s="4"/>
    </row>
    <row r="739">
      <c r="C739" s="4"/>
      <c r="D739" s="4"/>
    </row>
    <row r="740">
      <c r="C740" s="4"/>
      <c r="D740" s="4"/>
    </row>
    <row r="741">
      <c r="C741" s="4"/>
      <c r="D741" s="4"/>
    </row>
    <row r="742">
      <c r="C742" s="4"/>
      <c r="D742" s="4"/>
    </row>
    <row r="743">
      <c r="C743" s="4"/>
      <c r="D743" s="4"/>
    </row>
    <row r="744">
      <c r="C744" s="4"/>
      <c r="D744" s="4"/>
    </row>
    <row r="745">
      <c r="C745" s="4"/>
      <c r="D745" s="4"/>
    </row>
    <row r="746">
      <c r="C746" s="4"/>
      <c r="D746" s="4"/>
    </row>
    <row r="747">
      <c r="C747" s="4"/>
      <c r="D747" s="4"/>
    </row>
    <row r="748">
      <c r="C748" s="4"/>
      <c r="D748" s="4"/>
    </row>
    <row r="749">
      <c r="C749" s="4"/>
      <c r="D749" s="4"/>
    </row>
    <row r="750">
      <c r="C750" s="4"/>
      <c r="D750" s="4"/>
    </row>
    <row r="751">
      <c r="C751" s="4"/>
      <c r="D751" s="4"/>
    </row>
    <row r="752">
      <c r="C752" s="4"/>
      <c r="D752" s="4"/>
    </row>
    <row r="753">
      <c r="C753" s="4"/>
      <c r="D753" s="4"/>
    </row>
    <row r="754">
      <c r="C754" s="4"/>
      <c r="D754" s="4"/>
    </row>
    <row r="755">
      <c r="C755" s="4"/>
      <c r="D755" s="4"/>
    </row>
    <row r="756">
      <c r="C756" s="4"/>
      <c r="D756" s="4"/>
    </row>
    <row r="757">
      <c r="C757" s="4"/>
      <c r="D757" s="4"/>
    </row>
    <row r="758">
      <c r="C758" s="4"/>
      <c r="D758" s="4"/>
    </row>
    <row r="759">
      <c r="C759" s="4"/>
      <c r="D759" s="4"/>
    </row>
    <row r="760">
      <c r="C760" s="4"/>
      <c r="D760" s="4"/>
    </row>
    <row r="761">
      <c r="C761" s="4"/>
      <c r="D761" s="4"/>
    </row>
    <row r="762">
      <c r="C762" s="4"/>
      <c r="D762" s="4"/>
    </row>
    <row r="763">
      <c r="C763" s="4"/>
      <c r="D763" s="4"/>
    </row>
    <row r="764">
      <c r="C764" s="4"/>
      <c r="D764" s="4"/>
    </row>
    <row r="765">
      <c r="C765" s="4"/>
      <c r="D765" s="4"/>
    </row>
    <row r="766">
      <c r="C766" s="4"/>
      <c r="D766" s="4"/>
    </row>
    <row r="767">
      <c r="C767" s="4"/>
      <c r="D767" s="4"/>
    </row>
    <row r="768">
      <c r="C768" s="4"/>
      <c r="D768" s="4"/>
    </row>
    <row r="769">
      <c r="C769" s="4"/>
      <c r="D769" s="4"/>
    </row>
    <row r="770">
      <c r="C770" s="4"/>
      <c r="D770" s="4"/>
    </row>
    <row r="771">
      <c r="C771" s="4"/>
      <c r="D771" s="4"/>
    </row>
    <row r="772">
      <c r="C772" s="4"/>
      <c r="D772" s="4"/>
    </row>
    <row r="773">
      <c r="C773" s="4"/>
      <c r="D773" s="4"/>
    </row>
    <row r="774">
      <c r="C774" s="4"/>
      <c r="D774" s="4"/>
    </row>
    <row r="775">
      <c r="C775" s="4"/>
      <c r="D775" s="4"/>
    </row>
    <row r="776">
      <c r="C776" s="4"/>
      <c r="D776" s="4"/>
    </row>
    <row r="777">
      <c r="C777" s="4"/>
      <c r="D777" s="4"/>
    </row>
    <row r="778">
      <c r="C778" s="4"/>
      <c r="D778" s="4"/>
    </row>
    <row r="779">
      <c r="C779" s="4"/>
      <c r="D779" s="4"/>
    </row>
    <row r="780">
      <c r="C780" s="4"/>
      <c r="D780" s="4"/>
    </row>
    <row r="781">
      <c r="C781" s="4"/>
      <c r="D781" s="4"/>
    </row>
    <row r="782">
      <c r="C782" s="4"/>
      <c r="D782" s="4"/>
    </row>
    <row r="783">
      <c r="C783" s="4"/>
      <c r="D783" s="4"/>
    </row>
    <row r="784">
      <c r="C784" s="4"/>
      <c r="D784" s="4"/>
    </row>
    <row r="785">
      <c r="C785" s="4"/>
      <c r="D785" s="4"/>
    </row>
    <row r="786">
      <c r="C786" s="4"/>
      <c r="D786" s="4"/>
    </row>
    <row r="787">
      <c r="C787" s="4"/>
      <c r="D787" s="4"/>
    </row>
    <row r="788">
      <c r="C788" s="4"/>
      <c r="D788" s="4"/>
    </row>
    <row r="789">
      <c r="C789" s="4"/>
      <c r="D789" s="4"/>
    </row>
    <row r="790">
      <c r="C790" s="4"/>
      <c r="D790" s="4"/>
    </row>
    <row r="791">
      <c r="C791" s="4"/>
      <c r="D791" s="4"/>
    </row>
    <row r="792">
      <c r="C792" s="4"/>
      <c r="D792" s="4"/>
    </row>
    <row r="793">
      <c r="C793" s="4"/>
      <c r="D793" s="4"/>
    </row>
    <row r="794">
      <c r="C794" s="4"/>
      <c r="D794" s="4"/>
    </row>
    <row r="795">
      <c r="C795" s="4"/>
      <c r="D795" s="4"/>
    </row>
    <row r="796">
      <c r="C796" s="4"/>
      <c r="D796" s="4"/>
    </row>
    <row r="797">
      <c r="C797" s="4"/>
      <c r="D797" s="4"/>
    </row>
    <row r="798">
      <c r="C798" s="4"/>
      <c r="D798" s="4"/>
    </row>
    <row r="799">
      <c r="C799" s="4"/>
      <c r="D799" s="4"/>
    </row>
    <row r="800">
      <c r="C800" s="4"/>
      <c r="D800" s="4"/>
    </row>
    <row r="801">
      <c r="C801" s="4"/>
      <c r="D801" s="4"/>
    </row>
    <row r="802">
      <c r="C802" s="4"/>
      <c r="D802" s="4"/>
    </row>
    <row r="803">
      <c r="C803" s="4"/>
      <c r="D803" s="4"/>
    </row>
    <row r="804">
      <c r="C804" s="4"/>
      <c r="D804" s="4"/>
    </row>
    <row r="805">
      <c r="C805" s="4"/>
      <c r="D805" s="4"/>
    </row>
    <row r="806">
      <c r="C806" s="4"/>
      <c r="D806" s="4"/>
    </row>
    <row r="807">
      <c r="C807" s="4"/>
      <c r="D807" s="4"/>
    </row>
    <row r="808">
      <c r="C808" s="4"/>
      <c r="D808" s="4"/>
    </row>
    <row r="809">
      <c r="C809" s="4"/>
      <c r="D809" s="4"/>
    </row>
    <row r="810">
      <c r="C810" s="4"/>
      <c r="D810" s="4"/>
    </row>
    <row r="811">
      <c r="C811" s="4"/>
      <c r="D811" s="4"/>
    </row>
    <row r="812">
      <c r="C812" s="4"/>
      <c r="D812" s="4"/>
    </row>
    <row r="813">
      <c r="C813" s="4"/>
      <c r="D813" s="4"/>
    </row>
    <row r="814">
      <c r="C814" s="4"/>
      <c r="D814" s="4"/>
    </row>
    <row r="815">
      <c r="C815" s="4"/>
      <c r="D815" s="4"/>
    </row>
    <row r="816">
      <c r="C816" s="4"/>
      <c r="D816" s="4"/>
    </row>
    <row r="817">
      <c r="C817" s="4"/>
      <c r="D817" s="4"/>
    </row>
    <row r="818">
      <c r="C818" s="4"/>
      <c r="D818" s="4"/>
    </row>
    <row r="819">
      <c r="C819" s="4"/>
      <c r="D819" s="4"/>
    </row>
    <row r="820">
      <c r="C820" s="4"/>
      <c r="D820" s="4"/>
    </row>
    <row r="821">
      <c r="C821" s="4"/>
      <c r="D821" s="4"/>
    </row>
    <row r="822">
      <c r="C822" s="4"/>
      <c r="D822" s="4"/>
    </row>
    <row r="823">
      <c r="C823" s="4"/>
      <c r="D823" s="4"/>
    </row>
    <row r="824">
      <c r="C824" s="4"/>
      <c r="D824" s="4"/>
    </row>
    <row r="825">
      <c r="C825" s="4"/>
      <c r="D825" s="4"/>
    </row>
    <row r="826">
      <c r="C826" s="4"/>
      <c r="D826" s="4"/>
    </row>
    <row r="827">
      <c r="C827" s="4"/>
      <c r="D827" s="4"/>
    </row>
    <row r="828">
      <c r="C828" s="4"/>
      <c r="D828" s="4"/>
    </row>
    <row r="829">
      <c r="C829" s="4"/>
      <c r="D829" s="4"/>
    </row>
    <row r="830">
      <c r="C830" s="4"/>
      <c r="D830" s="4"/>
    </row>
    <row r="831">
      <c r="C831" s="4"/>
      <c r="D831" s="4"/>
    </row>
    <row r="832">
      <c r="C832" s="4"/>
      <c r="D832" s="4"/>
    </row>
    <row r="833">
      <c r="C833" s="4"/>
      <c r="D833" s="4"/>
    </row>
    <row r="834">
      <c r="C834" s="4"/>
      <c r="D834" s="4"/>
    </row>
    <row r="835">
      <c r="C835" s="4"/>
      <c r="D835" s="4"/>
    </row>
    <row r="836">
      <c r="C836" s="4"/>
      <c r="D836" s="4"/>
    </row>
    <row r="837">
      <c r="C837" s="4"/>
      <c r="D837" s="4"/>
    </row>
    <row r="838">
      <c r="C838" s="4"/>
      <c r="D838" s="4"/>
    </row>
    <row r="839">
      <c r="C839" s="4"/>
      <c r="D839" s="4"/>
    </row>
    <row r="840">
      <c r="C840" s="4"/>
      <c r="D840" s="4"/>
    </row>
    <row r="841">
      <c r="C841" s="4"/>
      <c r="D841" s="4"/>
    </row>
    <row r="842">
      <c r="C842" s="4"/>
      <c r="D842" s="4"/>
    </row>
    <row r="843">
      <c r="C843" s="4"/>
      <c r="D843" s="4"/>
    </row>
    <row r="844">
      <c r="C844" s="4"/>
      <c r="D844" s="4"/>
    </row>
    <row r="845">
      <c r="C845" s="4"/>
      <c r="D845" s="4"/>
    </row>
    <row r="846">
      <c r="C846" s="4"/>
      <c r="D846" s="4"/>
    </row>
    <row r="847">
      <c r="C847" s="4"/>
      <c r="D847" s="4"/>
    </row>
    <row r="848">
      <c r="C848" s="4"/>
      <c r="D848" s="4"/>
    </row>
    <row r="849">
      <c r="C849" s="4"/>
      <c r="D849" s="4"/>
    </row>
    <row r="850">
      <c r="C850" s="4"/>
      <c r="D850" s="4"/>
    </row>
    <row r="851">
      <c r="C851" s="4"/>
      <c r="D851" s="4"/>
    </row>
    <row r="852">
      <c r="C852" s="4"/>
      <c r="D852" s="4"/>
    </row>
    <row r="853">
      <c r="C853" s="4"/>
      <c r="D853" s="4"/>
    </row>
    <row r="854">
      <c r="C854" s="4"/>
      <c r="D854" s="4"/>
    </row>
    <row r="855">
      <c r="C855" s="4"/>
      <c r="D855" s="4"/>
    </row>
    <row r="856">
      <c r="C856" s="4"/>
      <c r="D856" s="4"/>
    </row>
    <row r="857">
      <c r="C857" s="4"/>
      <c r="D857" s="4"/>
    </row>
    <row r="858">
      <c r="C858" s="4"/>
      <c r="D858" s="4"/>
    </row>
    <row r="859">
      <c r="C859" s="4"/>
      <c r="D859" s="4"/>
    </row>
    <row r="860">
      <c r="C860" s="4"/>
      <c r="D860" s="4"/>
    </row>
    <row r="861">
      <c r="C861" s="4"/>
      <c r="D861" s="4"/>
    </row>
    <row r="862">
      <c r="C862" s="4"/>
      <c r="D862" s="4"/>
    </row>
    <row r="863">
      <c r="C863" s="4"/>
      <c r="D863" s="4"/>
    </row>
    <row r="864">
      <c r="C864" s="4"/>
      <c r="D864" s="4"/>
    </row>
    <row r="865">
      <c r="C865" s="4"/>
      <c r="D865" s="4"/>
    </row>
    <row r="866">
      <c r="C866" s="4"/>
      <c r="D866" s="4"/>
    </row>
    <row r="867">
      <c r="C867" s="4"/>
      <c r="D867" s="4"/>
    </row>
    <row r="868">
      <c r="C868" s="4"/>
      <c r="D868" s="4"/>
    </row>
    <row r="869">
      <c r="C869" s="4"/>
      <c r="D869" s="4"/>
    </row>
    <row r="870">
      <c r="C870" s="4"/>
      <c r="D870" s="4"/>
    </row>
    <row r="871">
      <c r="C871" s="4"/>
      <c r="D871" s="4"/>
    </row>
    <row r="872">
      <c r="C872" s="4"/>
      <c r="D872" s="4"/>
    </row>
    <row r="873">
      <c r="C873" s="4"/>
      <c r="D873" s="4"/>
    </row>
    <row r="874">
      <c r="C874" s="4"/>
      <c r="D874" s="4"/>
    </row>
    <row r="875">
      <c r="C875" s="4"/>
      <c r="D875" s="4"/>
    </row>
    <row r="876">
      <c r="C876" s="4"/>
      <c r="D876" s="4"/>
    </row>
    <row r="877">
      <c r="C877" s="4"/>
      <c r="D877" s="4"/>
    </row>
    <row r="878">
      <c r="C878" s="4"/>
      <c r="D878" s="4"/>
    </row>
    <row r="879">
      <c r="C879" s="4"/>
      <c r="D879" s="4"/>
    </row>
    <row r="880">
      <c r="C880" s="4"/>
      <c r="D880" s="4"/>
    </row>
    <row r="881">
      <c r="C881" s="4"/>
      <c r="D881" s="4"/>
    </row>
    <row r="882">
      <c r="C882" s="4"/>
      <c r="D882" s="4"/>
    </row>
    <row r="883">
      <c r="C883" s="4"/>
      <c r="D883" s="4"/>
    </row>
    <row r="884">
      <c r="C884" s="4"/>
      <c r="D884" s="4"/>
    </row>
    <row r="885">
      <c r="C885" s="4"/>
      <c r="D885" s="4"/>
    </row>
    <row r="886">
      <c r="C886" s="4"/>
      <c r="D886" s="4"/>
    </row>
    <row r="887">
      <c r="C887" s="4"/>
      <c r="D887" s="4"/>
    </row>
    <row r="888">
      <c r="C888" s="4"/>
      <c r="D888" s="4"/>
    </row>
    <row r="889">
      <c r="C889" s="4"/>
      <c r="D889" s="4"/>
    </row>
    <row r="890">
      <c r="C890" s="4"/>
      <c r="D890" s="4"/>
    </row>
    <row r="891">
      <c r="C891" s="4"/>
      <c r="D891" s="4"/>
    </row>
    <row r="892">
      <c r="C892" s="4"/>
      <c r="D892" s="4"/>
    </row>
    <row r="893">
      <c r="C893" s="4"/>
      <c r="D893" s="4"/>
    </row>
    <row r="894">
      <c r="C894" s="4"/>
      <c r="D894" s="4"/>
    </row>
    <row r="895">
      <c r="C895" s="4"/>
      <c r="D895" s="4"/>
    </row>
    <row r="896">
      <c r="C896" s="4"/>
      <c r="D896" s="4"/>
    </row>
    <row r="897">
      <c r="C897" s="4"/>
      <c r="D897" s="4"/>
    </row>
    <row r="898">
      <c r="C898" s="4"/>
      <c r="D898" s="4"/>
    </row>
    <row r="899">
      <c r="C899" s="4"/>
      <c r="D899" s="4"/>
    </row>
    <row r="900">
      <c r="C900" s="4"/>
      <c r="D900" s="4"/>
    </row>
    <row r="901">
      <c r="C901" s="4"/>
      <c r="D901" s="4"/>
    </row>
    <row r="902">
      <c r="C902" s="4"/>
      <c r="D902" s="4"/>
    </row>
    <row r="903">
      <c r="C903" s="4"/>
      <c r="D903" s="4"/>
    </row>
    <row r="904">
      <c r="C904" s="4"/>
      <c r="D904" s="4"/>
    </row>
    <row r="905">
      <c r="C905" s="4"/>
      <c r="D905" s="4"/>
    </row>
    <row r="906">
      <c r="C906" s="4"/>
      <c r="D906" s="4"/>
    </row>
    <row r="907">
      <c r="C907" s="4"/>
      <c r="D907" s="4"/>
    </row>
    <row r="908">
      <c r="C908" s="4"/>
      <c r="D908" s="4"/>
    </row>
    <row r="909">
      <c r="C909" s="4"/>
      <c r="D909" s="4"/>
    </row>
    <row r="910">
      <c r="C910" s="4"/>
      <c r="D910" s="4"/>
    </row>
    <row r="911">
      <c r="C911" s="4"/>
      <c r="D911" s="4"/>
    </row>
    <row r="912">
      <c r="C912" s="4"/>
      <c r="D912" s="4"/>
    </row>
    <row r="913">
      <c r="C913" s="4"/>
      <c r="D913" s="4"/>
    </row>
    <row r="914">
      <c r="C914" s="4"/>
      <c r="D914" s="4"/>
    </row>
    <row r="915">
      <c r="C915" s="4"/>
      <c r="D915" s="4"/>
    </row>
    <row r="916">
      <c r="C916" s="4"/>
      <c r="D916" s="4"/>
    </row>
    <row r="917">
      <c r="C917" s="4"/>
      <c r="D917" s="4"/>
    </row>
    <row r="918">
      <c r="C918" s="4"/>
      <c r="D918" s="4"/>
    </row>
    <row r="919">
      <c r="C919" s="4"/>
      <c r="D919" s="4"/>
    </row>
    <row r="920">
      <c r="C920" s="4"/>
      <c r="D920" s="4"/>
    </row>
    <row r="921">
      <c r="C921" s="4"/>
      <c r="D921" s="4"/>
    </row>
    <row r="922">
      <c r="C922" s="4"/>
      <c r="D922" s="4"/>
    </row>
    <row r="923">
      <c r="C923" s="4"/>
      <c r="D923" s="4"/>
    </row>
    <row r="924">
      <c r="C924" s="4"/>
      <c r="D924" s="4"/>
    </row>
    <row r="925">
      <c r="C925" s="4"/>
      <c r="D925" s="4"/>
    </row>
    <row r="926">
      <c r="C926" s="4"/>
      <c r="D926" s="4"/>
    </row>
    <row r="927">
      <c r="C927" s="4"/>
      <c r="D927" s="4"/>
    </row>
    <row r="928">
      <c r="C928" s="4"/>
      <c r="D928" s="4"/>
    </row>
    <row r="929">
      <c r="C929" s="4"/>
      <c r="D929" s="4"/>
    </row>
    <row r="930">
      <c r="C930" s="4"/>
      <c r="D930" s="4"/>
    </row>
    <row r="931">
      <c r="C931" s="4"/>
      <c r="D931" s="4"/>
    </row>
    <row r="932">
      <c r="C932" s="4"/>
      <c r="D932" s="4"/>
    </row>
    <row r="933">
      <c r="C933" s="4"/>
      <c r="D933" s="4"/>
    </row>
    <row r="934">
      <c r="C934" s="4"/>
      <c r="D934" s="4"/>
    </row>
    <row r="935">
      <c r="C935" s="4"/>
      <c r="D935" s="4"/>
    </row>
    <row r="936">
      <c r="C936" s="4"/>
      <c r="D936" s="4"/>
    </row>
    <row r="937">
      <c r="C937" s="4"/>
      <c r="D937" s="4"/>
    </row>
    <row r="938">
      <c r="C938" s="4"/>
      <c r="D938" s="4"/>
    </row>
    <row r="939">
      <c r="C939" s="4"/>
      <c r="D939" s="4"/>
    </row>
    <row r="940">
      <c r="C940" s="4"/>
      <c r="D940" s="4"/>
    </row>
    <row r="941">
      <c r="C941" s="4"/>
      <c r="D941" s="4"/>
    </row>
    <row r="942">
      <c r="C942" s="4"/>
      <c r="D942" s="4"/>
    </row>
    <row r="943">
      <c r="C943" s="4"/>
      <c r="D943" s="4"/>
    </row>
    <row r="944">
      <c r="C944" s="4"/>
      <c r="D944" s="4"/>
    </row>
    <row r="945">
      <c r="C945" s="4"/>
      <c r="D945" s="4"/>
    </row>
    <row r="946">
      <c r="C946" s="4"/>
      <c r="D946" s="4"/>
    </row>
    <row r="947">
      <c r="C947" s="4"/>
      <c r="D947" s="4"/>
    </row>
    <row r="948">
      <c r="C948" s="4"/>
      <c r="D948" s="4"/>
    </row>
    <row r="949">
      <c r="C949" s="4"/>
      <c r="D949" s="4"/>
    </row>
    <row r="950">
      <c r="C950" s="4"/>
      <c r="D950" s="4"/>
    </row>
    <row r="951">
      <c r="C951" s="4"/>
      <c r="D951" s="4"/>
    </row>
    <row r="952">
      <c r="C952" s="4"/>
      <c r="D952" s="4"/>
    </row>
    <row r="953">
      <c r="C953" s="4"/>
      <c r="D953" s="4"/>
    </row>
    <row r="954">
      <c r="C954" s="4"/>
      <c r="D954" s="4"/>
    </row>
    <row r="955">
      <c r="C955" s="4"/>
      <c r="D955" s="4"/>
    </row>
    <row r="956">
      <c r="C956" s="4"/>
      <c r="D956" s="4"/>
    </row>
    <row r="957">
      <c r="C957" s="4"/>
      <c r="D957" s="4"/>
    </row>
    <row r="958">
      <c r="C958" s="4"/>
      <c r="D958" s="4"/>
    </row>
    <row r="959">
      <c r="C959" s="4"/>
      <c r="D959" s="4"/>
    </row>
    <row r="960">
      <c r="C960" s="4"/>
      <c r="D960" s="4"/>
    </row>
    <row r="961">
      <c r="C961" s="4"/>
      <c r="D961" s="4"/>
    </row>
    <row r="962">
      <c r="C962" s="4"/>
      <c r="D962" s="4"/>
    </row>
    <row r="963">
      <c r="C963" s="4"/>
      <c r="D963" s="4"/>
    </row>
    <row r="964">
      <c r="C964" s="4"/>
      <c r="D964" s="4"/>
    </row>
    <row r="965">
      <c r="C965" s="4"/>
      <c r="D965" s="4"/>
    </row>
    <row r="966">
      <c r="C966" s="4"/>
      <c r="D966" s="4"/>
    </row>
    <row r="967">
      <c r="C967" s="4"/>
      <c r="D967" s="4"/>
    </row>
    <row r="968">
      <c r="C968" s="4"/>
      <c r="D968" s="4"/>
    </row>
    <row r="969">
      <c r="C969" s="4"/>
      <c r="D969" s="4"/>
    </row>
    <row r="970">
      <c r="C970" s="4"/>
      <c r="D970" s="4"/>
    </row>
    <row r="971">
      <c r="C971" s="4"/>
      <c r="D971" s="4"/>
    </row>
    <row r="972">
      <c r="C972" s="4"/>
      <c r="D972" s="4"/>
    </row>
    <row r="973">
      <c r="C973" s="4"/>
      <c r="D973" s="4"/>
    </row>
    <row r="974">
      <c r="C974" s="4"/>
      <c r="D974" s="4"/>
    </row>
    <row r="975">
      <c r="C975" s="4"/>
      <c r="D975" s="4"/>
    </row>
    <row r="976">
      <c r="C976" s="4"/>
      <c r="D976" s="4"/>
    </row>
    <row r="977">
      <c r="C977" s="4"/>
      <c r="D977" s="4"/>
    </row>
    <row r="978">
      <c r="C978" s="4"/>
      <c r="D978" s="4"/>
    </row>
    <row r="979">
      <c r="C979" s="4"/>
      <c r="D979" s="4"/>
    </row>
    <row r="980">
      <c r="C980" s="4"/>
      <c r="D980" s="4"/>
    </row>
    <row r="981">
      <c r="C981" s="4"/>
      <c r="D981" s="4"/>
    </row>
    <row r="982">
      <c r="C982" s="4"/>
      <c r="D982" s="4"/>
    </row>
    <row r="983">
      <c r="C983" s="4"/>
      <c r="D983" s="4"/>
    </row>
    <row r="984">
      <c r="C984" s="4"/>
      <c r="D984" s="4"/>
    </row>
    <row r="985">
      <c r="C985" s="4"/>
      <c r="D985" s="4"/>
    </row>
    <row r="986">
      <c r="C986" s="4"/>
      <c r="D986" s="4"/>
    </row>
    <row r="987">
      <c r="C987" s="4"/>
      <c r="D987" s="4"/>
    </row>
    <row r="988">
      <c r="C988" s="4"/>
      <c r="D988" s="4"/>
    </row>
    <row r="989">
      <c r="C989" s="4"/>
      <c r="D989" s="4"/>
    </row>
    <row r="990">
      <c r="C990" s="4"/>
      <c r="D990" s="4"/>
    </row>
    <row r="991">
      <c r="C991" s="4"/>
      <c r="D991" s="4"/>
    </row>
    <row r="992">
      <c r="C992" s="4"/>
      <c r="D992" s="4"/>
    </row>
    <row r="993">
      <c r="C993" s="4"/>
      <c r="D993" s="4"/>
    </row>
    <row r="994">
      <c r="C994" s="4"/>
      <c r="D994" s="4"/>
    </row>
    <row r="995">
      <c r="C995" s="4"/>
      <c r="D995" s="4"/>
    </row>
    <row r="996">
      <c r="C996" s="4"/>
      <c r="D996" s="4"/>
    </row>
    <row r="997">
      <c r="C997" s="4"/>
      <c r="D997" s="4"/>
    </row>
    <row r="998">
      <c r="C998" s="4"/>
      <c r="D998" s="4"/>
    </row>
    <row r="999">
      <c r="C999" s="4"/>
      <c r="D999" s="4"/>
    </row>
    <row r="1000">
      <c r="C1000" s="4"/>
      <c r="D1000" s="4"/>
    </row>
    <row r="1001">
      <c r="C1001" s="4"/>
      <c r="D1001" s="4"/>
    </row>
  </sheetData>
  <conditionalFormatting sqref="A2 A16 A19 A21:A22 A25">
    <cfRule type="cellIs" dxfId="0" priority="1" operator="equal">
      <formula>"ID null"</formula>
    </cfRule>
  </conditionalFormatting>
  <dataValidations>
    <dataValidation type="list" allowBlank="1" sqref="C2:C1001">
      <formula1>"Day 1,Day 2,Day 3"</formula1>
    </dataValidation>
    <dataValidation type="list" allowBlank="1" sqref="D2:D1001">
      <formula1>"No,Yes"</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0"/>
    <col customWidth="1" min="3" max="3" width="19.43"/>
    <col customWidth="1" min="4" max="4" width="44.14"/>
    <col customWidth="1" min="5" max="5" width="27.43"/>
    <col customWidth="1" min="6" max="6" width="14.86"/>
    <col customWidth="1" min="7" max="7" width="27.14"/>
    <col customWidth="1" min="8" max="8" width="26.43"/>
    <col customWidth="1" min="9" max="9" width="26.0"/>
    <col customWidth="1" min="11" max="11" width="27.43"/>
    <col customWidth="1" min="16" max="16" width="29.0"/>
    <col customWidth="1" min="17" max="17" width="29.14"/>
    <col customWidth="1" min="18" max="18" width="30.43"/>
  </cols>
  <sheetData>
    <row r="1">
      <c r="A1" s="390" t="s">
        <v>3147</v>
      </c>
      <c r="B1" s="390" t="s">
        <v>11</v>
      </c>
      <c r="C1" s="391" t="s">
        <v>8897</v>
      </c>
      <c r="D1" s="390" t="s">
        <v>8898</v>
      </c>
      <c r="E1" s="390" t="s">
        <v>8899</v>
      </c>
      <c r="F1" s="392" t="s">
        <v>8900</v>
      </c>
      <c r="G1" s="390" t="s">
        <v>8901</v>
      </c>
      <c r="H1" s="390" t="s">
        <v>3071</v>
      </c>
      <c r="I1" s="393" t="s">
        <v>8902</v>
      </c>
      <c r="J1" s="393" t="s">
        <v>8903</v>
      </c>
      <c r="K1" s="394" t="s">
        <v>8904</v>
      </c>
      <c r="L1" s="395"/>
      <c r="M1" s="396" t="s">
        <v>8905</v>
      </c>
      <c r="P1" s="397" t="s">
        <v>8906</v>
      </c>
    </row>
    <row r="2">
      <c r="A2" s="398" t="s">
        <v>8907</v>
      </c>
      <c r="B2" s="398" t="s">
        <v>30</v>
      </c>
      <c r="C2" s="399" t="s">
        <v>8908</v>
      </c>
      <c r="D2" s="400" t="s">
        <v>8909</v>
      </c>
      <c r="E2" s="398" t="s">
        <v>8910</v>
      </c>
      <c r="F2" s="399">
        <v>3.0</v>
      </c>
      <c r="G2" s="401" t="s">
        <v>8911</v>
      </c>
      <c r="H2" s="56"/>
      <c r="I2" s="399"/>
      <c r="J2" s="398" t="str">
        <f>VLOOKUP(D2,'Pivot BSI'!W:AA,5,false)</f>
        <v>EMAIL_OPENED</v>
      </c>
      <c r="K2" s="399" t="s">
        <v>8912</v>
      </c>
      <c r="L2" s="398"/>
      <c r="M2" s="402" t="s">
        <v>8913</v>
      </c>
      <c r="P2" s="403" t="s">
        <v>513</v>
      </c>
      <c r="Q2" s="404" t="s">
        <v>8914</v>
      </c>
      <c r="R2" s="405" t="s">
        <v>8915</v>
      </c>
    </row>
    <row r="3">
      <c r="A3" s="398" t="s">
        <v>8907</v>
      </c>
      <c r="B3" s="398" t="s">
        <v>30</v>
      </c>
      <c r="C3" s="398" t="s">
        <v>8916</v>
      </c>
      <c r="D3" s="400" t="s">
        <v>8917</v>
      </c>
      <c r="E3" s="399" t="s">
        <v>8918</v>
      </c>
      <c r="F3" s="399">
        <v>9.0</v>
      </c>
      <c r="G3" s="401"/>
      <c r="H3" s="56"/>
      <c r="I3" s="399"/>
      <c r="J3" s="399" t="s">
        <v>8919</v>
      </c>
      <c r="K3" s="399" t="s">
        <v>8920</v>
      </c>
      <c r="L3" s="398"/>
      <c r="P3" s="406" t="s">
        <v>1000</v>
      </c>
      <c r="Q3" s="56"/>
      <c r="R3" s="403"/>
    </row>
    <row r="4">
      <c r="A4" s="398" t="s">
        <v>8907</v>
      </c>
      <c r="B4" s="398" t="s">
        <v>30</v>
      </c>
      <c r="C4" s="398" t="s">
        <v>8921</v>
      </c>
      <c r="D4" s="400" t="s">
        <v>8922</v>
      </c>
      <c r="E4" s="399" t="s">
        <v>8923</v>
      </c>
      <c r="F4" s="399">
        <v>14.0</v>
      </c>
      <c r="G4" s="401"/>
      <c r="H4" s="209" t="s">
        <v>8924</v>
      </c>
      <c r="I4" s="399" t="s">
        <v>8925</v>
      </c>
      <c r="J4" s="398" t="str">
        <f>VLOOKUP(D4,'Pivot BSI'!W:AA,5,false)</f>
        <v>EMAIL_OPENED</v>
      </c>
      <c r="K4" s="399"/>
      <c r="L4" s="398"/>
      <c r="P4" s="406" t="s">
        <v>1188</v>
      </c>
      <c r="Q4" s="407"/>
      <c r="R4" s="408"/>
    </row>
    <row r="5">
      <c r="A5" s="398" t="s">
        <v>8907</v>
      </c>
      <c r="B5" s="398" t="s">
        <v>30</v>
      </c>
      <c r="C5" s="399" t="s">
        <v>8926</v>
      </c>
      <c r="D5" s="400" t="s">
        <v>8927</v>
      </c>
      <c r="E5" s="398" t="s">
        <v>8928</v>
      </c>
      <c r="F5" s="399">
        <v>2.0</v>
      </c>
      <c r="G5" s="401"/>
      <c r="H5" s="209" t="s">
        <v>8924</v>
      </c>
      <c r="I5" s="399" t="s">
        <v>8925</v>
      </c>
      <c r="J5" s="398" t="str">
        <f>VLOOKUP(D5,'Pivot BSI'!W:AA,5,false)</f>
        <v/>
      </c>
      <c r="K5" s="398"/>
      <c r="L5" s="398"/>
      <c r="P5" s="406" t="s">
        <v>794</v>
      </c>
      <c r="Q5" s="407"/>
      <c r="R5" s="409"/>
    </row>
    <row r="6">
      <c r="A6" s="398" t="s">
        <v>8907</v>
      </c>
      <c r="B6" s="398" t="s">
        <v>30</v>
      </c>
      <c r="C6" s="398" t="s">
        <v>8929</v>
      </c>
      <c r="D6" s="400" t="s">
        <v>8930</v>
      </c>
      <c r="E6" s="399" t="s">
        <v>8931</v>
      </c>
      <c r="F6" s="399">
        <v>10.0</v>
      </c>
      <c r="G6" s="401"/>
      <c r="H6" s="398"/>
      <c r="I6" s="399" t="s">
        <v>8932</v>
      </c>
      <c r="J6" s="398" t="str">
        <f>VLOOKUP(D6,'Pivot BSI'!W:AA,5,false)</f>
        <v>RESPONDED</v>
      </c>
      <c r="K6" s="399"/>
      <c r="L6" s="398"/>
      <c r="P6" s="406" t="s">
        <v>494</v>
      </c>
      <c r="Q6" s="407"/>
      <c r="R6" s="403"/>
    </row>
    <row r="7">
      <c r="A7" s="398" t="s">
        <v>8907</v>
      </c>
      <c r="B7" s="398" t="s">
        <v>30</v>
      </c>
      <c r="C7" s="410" t="s">
        <v>8933</v>
      </c>
      <c r="D7" s="400" t="s">
        <v>8934</v>
      </c>
      <c r="E7" s="411" t="s">
        <v>8935</v>
      </c>
      <c r="F7" s="411">
        <v>13.0</v>
      </c>
      <c r="G7" s="401"/>
      <c r="H7" s="398"/>
      <c r="I7" s="399"/>
      <c r="J7" s="398" t="str">
        <f>VLOOKUP(D7,'Pivot BSI'!W:AA,5,false)</f>
        <v>EMAIL_SENT</v>
      </c>
      <c r="K7" s="411" t="s">
        <v>8912</v>
      </c>
      <c r="L7" s="398"/>
      <c r="P7" s="412" t="s">
        <v>1209</v>
      </c>
      <c r="Q7" s="56"/>
      <c r="R7" s="56"/>
    </row>
    <row r="8">
      <c r="A8" s="398" t="s">
        <v>8907</v>
      </c>
      <c r="B8" s="398" t="s">
        <v>30</v>
      </c>
      <c r="C8" s="399" t="s">
        <v>8794</v>
      </c>
      <c r="D8" s="400" t="s">
        <v>8936</v>
      </c>
      <c r="E8" s="413" t="s">
        <v>314</v>
      </c>
      <c r="F8" s="398"/>
      <c r="G8" s="401"/>
      <c r="H8" s="209" t="s">
        <v>8924</v>
      </c>
      <c r="I8" s="399" t="s">
        <v>8937</v>
      </c>
      <c r="J8" s="398" t="str">
        <f>VLOOKUP(D8,'Pivot BSI'!W:AA,5,false)</f>
        <v>#N/A</v>
      </c>
      <c r="K8" s="413"/>
      <c r="L8" s="398"/>
      <c r="P8" s="406" t="s">
        <v>1349</v>
      </c>
      <c r="Q8" s="414"/>
      <c r="R8" s="403"/>
    </row>
    <row r="9">
      <c r="A9" s="398" t="s">
        <v>8907</v>
      </c>
      <c r="B9" s="398" t="s">
        <v>30</v>
      </c>
      <c r="C9" s="399" t="s">
        <v>8938</v>
      </c>
      <c r="D9" s="400" t="s">
        <v>8939</v>
      </c>
      <c r="E9" s="399" t="s">
        <v>8940</v>
      </c>
      <c r="F9" s="399">
        <v>18.0</v>
      </c>
      <c r="G9" s="401"/>
      <c r="H9" s="209" t="s">
        <v>8924</v>
      </c>
      <c r="I9" s="399" t="s">
        <v>8925</v>
      </c>
      <c r="J9" s="398" t="str">
        <f>VLOOKUP(D9,'Pivot BSI'!W:AA,5,false)</f>
        <v>ERROR</v>
      </c>
      <c r="K9" s="399"/>
      <c r="L9" s="398"/>
      <c r="M9" s="56"/>
      <c r="N9" s="56"/>
      <c r="O9" s="56"/>
      <c r="P9" s="406" t="s">
        <v>8941</v>
      </c>
      <c r="Q9" s="415"/>
      <c r="R9" s="403"/>
    </row>
    <row r="10">
      <c r="A10" s="398" t="s">
        <v>8907</v>
      </c>
      <c r="B10" s="398" t="s">
        <v>30</v>
      </c>
      <c r="C10" s="398" t="s">
        <v>8942</v>
      </c>
      <c r="D10" s="400" t="s">
        <v>8943</v>
      </c>
      <c r="E10" s="398" t="s">
        <v>8944</v>
      </c>
      <c r="F10" s="399">
        <v>3.0</v>
      </c>
      <c r="G10" s="401"/>
      <c r="H10" s="398"/>
      <c r="I10" s="399"/>
      <c r="J10" s="398" t="str">
        <f>VLOOKUP(D10,'Pivot BSI'!W:AA,5,false)</f>
        <v>EMAIL_CLICKED</v>
      </c>
      <c r="K10" s="399" t="s">
        <v>8912</v>
      </c>
      <c r="L10" s="398"/>
      <c r="M10" s="398"/>
      <c r="N10" s="398"/>
      <c r="O10" s="398"/>
      <c r="P10" s="406" t="s">
        <v>8945</v>
      </c>
      <c r="Q10" s="415"/>
      <c r="R10" s="403"/>
    </row>
    <row r="11">
      <c r="A11" s="398" t="s">
        <v>8907</v>
      </c>
      <c r="B11" s="398" t="s">
        <v>30</v>
      </c>
      <c r="C11" s="398" t="s">
        <v>8946</v>
      </c>
      <c r="D11" s="400" t="s">
        <v>8947</v>
      </c>
      <c r="E11" s="398" t="s">
        <v>8948</v>
      </c>
      <c r="F11" s="399">
        <v>6.0</v>
      </c>
      <c r="G11" s="401"/>
      <c r="H11" s="398"/>
      <c r="I11" s="399"/>
      <c r="J11" s="398" t="str">
        <f>VLOOKUP(D11,'Pivot BSI'!W:AA,5,false)</f>
        <v>EMAIL_OPENED</v>
      </c>
      <c r="K11" s="399" t="s">
        <v>8912</v>
      </c>
      <c r="L11" s="398"/>
      <c r="M11" s="398"/>
      <c r="N11" s="398"/>
      <c r="O11" s="398"/>
      <c r="P11" s="406" t="s">
        <v>8949</v>
      </c>
      <c r="Q11" s="415"/>
      <c r="R11" s="403"/>
    </row>
    <row r="12">
      <c r="A12" s="398" t="s">
        <v>8907</v>
      </c>
      <c r="B12" s="398" t="s">
        <v>30</v>
      </c>
      <c r="C12" s="399" t="s">
        <v>8950</v>
      </c>
      <c r="D12" s="400" t="s">
        <v>8951</v>
      </c>
      <c r="E12" s="398" t="s">
        <v>8952</v>
      </c>
      <c r="F12" s="399">
        <v>3.0</v>
      </c>
      <c r="G12" s="398"/>
      <c r="H12" s="209" t="s">
        <v>8924</v>
      </c>
      <c r="I12" s="399" t="s">
        <v>8925</v>
      </c>
      <c r="J12" s="398" t="str">
        <f>VLOOKUP(D12,'Pivot BSI'!W:AA,5,false)</f>
        <v>#N/A</v>
      </c>
      <c r="K12" s="398"/>
      <c r="L12" s="398"/>
      <c r="M12" s="398"/>
      <c r="N12" s="398"/>
      <c r="O12" s="398"/>
      <c r="P12" s="406" t="s">
        <v>8953</v>
      </c>
      <c r="Q12" s="415"/>
      <c r="R12" s="403"/>
    </row>
    <row r="13">
      <c r="A13" s="399" t="s">
        <v>8907</v>
      </c>
      <c r="B13" s="399" t="s">
        <v>30</v>
      </c>
      <c r="C13" s="416" t="s">
        <v>8954</v>
      </c>
      <c r="D13" s="80" t="s">
        <v>8955</v>
      </c>
      <c r="E13" s="399" t="s">
        <v>8956</v>
      </c>
      <c r="F13" s="399">
        <v>10.0</v>
      </c>
      <c r="G13" s="398"/>
      <c r="H13" s="398"/>
      <c r="I13" s="399" t="s">
        <v>8925</v>
      </c>
      <c r="J13" s="399" t="s">
        <v>8957</v>
      </c>
      <c r="K13" s="399"/>
      <c r="L13" s="398"/>
      <c r="M13" s="398"/>
      <c r="N13" s="398"/>
      <c r="O13" s="398"/>
      <c r="P13" s="406" t="s">
        <v>486</v>
      </c>
      <c r="Q13" s="415"/>
      <c r="R13" s="403"/>
    </row>
    <row r="14">
      <c r="A14" s="398" t="s">
        <v>8958</v>
      </c>
      <c r="B14" s="398" t="s">
        <v>15</v>
      </c>
      <c r="C14" s="398" t="s">
        <v>8959</v>
      </c>
      <c r="D14" s="417" t="s">
        <v>8960</v>
      </c>
      <c r="E14" s="399" t="s">
        <v>8961</v>
      </c>
      <c r="F14" s="399">
        <v>20.0</v>
      </c>
      <c r="G14" s="401" t="s">
        <v>8962</v>
      </c>
      <c r="H14" s="398"/>
      <c r="I14" s="399"/>
      <c r="J14" s="398" t="str">
        <f>VLOOKUP(D14,'Pivot BSI'!W:AA,5,false)</f>
        <v>#N/A</v>
      </c>
      <c r="K14" s="399" t="s">
        <v>8912</v>
      </c>
      <c r="L14" s="398"/>
      <c r="M14" s="398"/>
      <c r="N14" s="398"/>
      <c r="O14" s="398"/>
      <c r="P14" s="406" t="s">
        <v>8963</v>
      </c>
      <c r="Q14" s="415"/>
      <c r="R14" s="403"/>
    </row>
    <row r="15">
      <c r="A15" s="398" t="s">
        <v>8958</v>
      </c>
      <c r="B15" s="398" t="s">
        <v>15</v>
      </c>
      <c r="C15" s="398" t="s">
        <v>8964</v>
      </c>
      <c r="D15" s="400" t="s">
        <v>8965</v>
      </c>
      <c r="E15" s="413"/>
      <c r="F15" s="398"/>
      <c r="G15" s="401"/>
      <c r="H15" s="398"/>
      <c r="I15" s="398"/>
      <c r="J15" s="398" t="str">
        <f>VLOOKUP(D15,'Pivot BSI'!W:AA,5,false)</f>
        <v>NO_RECIPIENT</v>
      </c>
      <c r="K15" s="413"/>
      <c r="L15" s="398"/>
      <c r="M15" s="398"/>
      <c r="N15" s="398"/>
      <c r="O15" s="398"/>
      <c r="P15" s="406" t="s">
        <v>8966</v>
      </c>
      <c r="Q15" s="415"/>
      <c r="R15" s="403"/>
    </row>
    <row r="16">
      <c r="A16" s="398" t="s">
        <v>8958</v>
      </c>
      <c r="B16" s="398" t="s">
        <v>15</v>
      </c>
      <c r="C16" s="398" t="s">
        <v>8967</v>
      </c>
      <c r="D16" s="418" t="s">
        <v>8968</v>
      </c>
      <c r="E16" s="413"/>
      <c r="F16" s="398"/>
      <c r="G16" s="401"/>
      <c r="H16" s="209" t="s">
        <v>8924</v>
      </c>
      <c r="I16" s="399" t="s">
        <v>8969</v>
      </c>
      <c r="J16" s="398" t="str">
        <f>VLOOKUP(D16,'Pivot BSI'!W:AA,5,false)</f>
        <v>#N/A</v>
      </c>
      <c r="K16" s="413"/>
      <c r="L16" s="398"/>
      <c r="M16" s="398"/>
      <c r="N16" s="398"/>
      <c r="O16" s="398"/>
      <c r="P16" s="406" t="s">
        <v>8970</v>
      </c>
      <c r="Q16" s="415"/>
      <c r="R16" s="403"/>
    </row>
    <row r="17">
      <c r="A17" s="398" t="s">
        <v>8958</v>
      </c>
      <c r="B17" s="398" t="s">
        <v>15</v>
      </c>
      <c r="C17" s="398" t="s">
        <v>8967</v>
      </c>
      <c r="D17" s="400" t="s">
        <v>8971</v>
      </c>
      <c r="E17" s="398" t="s">
        <v>8972</v>
      </c>
      <c r="F17" s="399">
        <v>10.0</v>
      </c>
      <c r="G17" s="401"/>
      <c r="H17" s="209" t="s">
        <v>8924</v>
      </c>
      <c r="I17" s="399" t="s">
        <v>8925</v>
      </c>
      <c r="J17" s="398" t="str">
        <f>VLOOKUP(D17,'Pivot BSI'!W:AA,5,false)</f>
        <v>#N/A</v>
      </c>
      <c r="K17" s="398"/>
      <c r="L17" s="398"/>
      <c r="M17" s="398"/>
      <c r="N17" s="398"/>
      <c r="O17" s="398"/>
      <c r="P17" s="406" t="s">
        <v>8973</v>
      </c>
      <c r="Q17" s="415"/>
      <c r="R17" s="403"/>
    </row>
    <row r="18">
      <c r="A18" s="398" t="s">
        <v>8958</v>
      </c>
      <c r="B18" s="398" t="s">
        <v>15</v>
      </c>
      <c r="C18" s="398" t="s">
        <v>8974</v>
      </c>
      <c r="D18" s="400" t="s">
        <v>8975</v>
      </c>
      <c r="E18" s="413"/>
      <c r="F18" s="398"/>
      <c r="G18" s="401"/>
      <c r="H18" s="398"/>
      <c r="I18" s="398"/>
      <c r="J18" s="398" t="str">
        <f>VLOOKUP(D18,'Pivot BSI'!W:AA,5,false)</f>
        <v>#N/A</v>
      </c>
      <c r="K18" s="413"/>
      <c r="L18" s="398"/>
      <c r="M18" s="398"/>
      <c r="N18" s="398"/>
      <c r="O18" s="398"/>
      <c r="P18" s="398"/>
      <c r="Q18" s="398"/>
      <c r="R18" s="398"/>
    </row>
    <row r="19">
      <c r="A19" s="398" t="s">
        <v>8958</v>
      </c>
      <c r="B19" s="398" t="s">
        <v>15</v>
      </c>
      <c r="C19" s="398" t="s">
        <v>8976</v>
      </c>
      <c r="D19" s="418" t="s">
        <v>8977</v>
      </c>
      <c r="E19" s="413"/>
      <c r="F19" s="398"/>
      <c r="G19" s="401"/>
      <c r="H19" s="398"/>
      <c r="I19" s="398"/>
      <c r="J19" s="398" t="str">
        <f>VLOOKUP(D19,'Pivot BSI'!W:AA,5,false)</f>
        <v>#N/A</v>
      </c>
      <c r="K19" s="413"/>
      <c r="L19" s="398"/>
      <c r="M19" s="398"/>
      <c r="N19" s="398"/>
      <c r="O19" s="398"/>
      <c r="P19" s="398"/>
      <c r="Q19" s="398"/>
      <c r="R19" s="398"/>
    </row>
    <row r="20">
      <c r="A20" s="398" t="s">
        <v>8958</v>
      </c>
      <c r="B20" s="398" t="s">
        <v>15</v>
      </c>
      <c r="C20" s="398" t="s">
        <v>8959</v>
      </c>
      <c r="D20" s="400" t="s">
        <v>8978</v>
      </c>
      <c r="E20" s="413"/>
      <c r="F20" s="398"/>
      <c r="G20" s="401"/>
      <c r="H20" s="398"/>
      <c r="I20" s="398"/>
      <c r="J20" s="398" t="str">
        <f>VLOOKUP(D20,'Pivot BSI'!W:AA,5,false)</f>
        <v>#N/A</v>
      </c>
      <c r="K20" s="413"/>
      <c r="L20" s="398"/>
      <c r="M20" s="398"/>
      <c r="N20" s="398"/>
      <c r="O20" s="398"/>
      <c r="P20" s="398"/>
      <c r="Q20" s="398"/>
      <c r="R20" s="398"/>
    </row>
    <row r="21">
      <c r="A21" s="398" t="s">
        <v>8958</v>
      </c>
      <c r="B21" s="398" t="s">
        <v>15</v>
      </c>
      <c r="C21" s="398" t="s">
        <v>8979</v>
      </c>
      <c r="D21" s="400" t="s">
        <v>8980</v>
      </c>
      <c r="E21" s="413"/>
      <c r="F21" s="398"/>
      <c r="G21" s="401"/>
      <c r="H21" s="209" t="s">
        <v>8924</v>
      </c>
      <c r="I21" s="399" t="s">
        <v>8969</v>
      </c>
      <c r="J21" s="398" t="str">
        <f>VLOOKUP(D21,'Pivot BSI'!W:AA,5,false)</f>
        <v>#N/A</v>
      </c>
      <c r="K21" s="413"/>
      <c r="L21" s="398"/>
      <c r="M21" s="398"/>
      <c r="N21" s="398"/>
      <c r="O21" s="398"/>
      <c r="P21" s="398"/>
      <c r="Q21" s="398"/>
      <c r="R21" s="398"/>
    </row>
    <row r="22">
      <c r="A22" s="398" t="s">
        <v>8958</v>
      </c>
      <c r="B22" s="398" t="s">
        <v>15</v>
      </c>
      <c r="C22" s="398" t="s">
        <v>8959</v>
      </c>
      <c r="D22" s="400" t="s">
        <v>8981</v>
      </c>
      <c r="E22" s="398" t="s">
        <v>8982</v>
      </c>
      <c r="F22" s="399">
        <v>8.0</v>
      </c>
      <c r="G22" s="401"/>
      <c r="H22" s="398"/>
      <c r="I22" s="399"/>
      <c r="J22" s="398" t="str">
        <f>VLOOKUP(D22,'Pivot BSI'!W:AA,5,false)</f>
        <v>#N/A</v>
      </c>
      <c r="K22" s="399" t="s">
        <v>8912</v>
      </c>
      <c r="L22" s="398"/>
      <c r="M22" s="398"/>
      <c r="N22" s="398"/>
      <c r="O22" s="398"/>
      <c r="P22" s="398"/>
      <c r="Q22" s="398"/>
      <c r="R22" s="398"/>
    </row>
    <row r="23">
      <c r="A23" s="398" t="s">
        <v>8958</v>
      </c>
      <c r="B23" s="398" t="s">
        <v>15</v>
      </c>
      <c r="C23" s="399" t="s">
        <v>8983</v>
      </c>
      <c r="D23" s="400" t="s">
        <v>8984</v>
      </c>
      <c r="E23" s="398" t="s">
        <v>8985</v>
      </c>
      <c r="F23" s="399">
        <v>6.0</v>
      </c>
      <c r="G23" s="401"/>
      <c r="H23" s="398"/>
      <c r="I23" s="399"/>
      <c r="J23" s="398" t="str">
        <f>VLOOKUP(D23,'Pivot BSI'!W:AA,5,false)</f>
        <v>#N/A</v>
      </c>
      <c r="K23" s="399" t="s">
        <v>8986</v>
      </c>
      <c r="L23" s="398"/>
      <c r="M23" s="398"/>
      <c r="N23" s="398"/>
      <c r="O23" s="398"/>
      <c r="P23" s="398"/>
      <c r="Q23" s="398"/>
      <c r="R23" s="398"/>
    </row>
    <row r="24">
      <c r="A24" s="398" t="s">
        <v>8958</v>
      </c>
      <c r="B24" s="398" t="s">
        <v>15</v>
      </c>
      <c r="C24" s="398" t="s">
        <v>8959</v>
      </c>
      <c r="D24" s="400" t="s">
        <v>8987</v>
      </c>
      <c r="E24" s="413"/>
      <c r="F24" s="398"/>
      <c r="G24" s="401"/>
      <c r="H24" s="398"/>
      <c r="I24" s="398"/>
      <c r="J24" s="398" t="str">
        <f>VLOOKUP(D24,'Pivot BSI'!W:AA,5,false)</f>
        <v>#N/A</v>
      </c>
      <c r="K24" s="413"/>
      <c r="L24" s="398"/>
      <c r="M24" s="398"/>
      <c r="N24" s="398"/>
      <c r="O24" s="398"/>
      <c r="P24" s="398"/>
      <c r="Q24" s="398"/>
      <c r="R24" s="398"/>
    </row>
    <row r="25">
      <c r="A25" s="398" t="s">
        <v>8958</v>
      </c>
      <c r="B25" s="398" t="s">
        <v>15</v>
      </c>
      <c r="C25" s="399" t="s">
        <v>8988</v>
      </c>
      <c r="D25" s="400" t="s">
        <v>8989</v>
      </c>
      <c r="E25" s="413"/>
      <c r="F25" s="398"/>
      <c r="G25" s="401"/>
      <c r="H25" s="398"/>
      <c r="I25" s="398"/>
      <c r="J25" s="398" t="str">
        <f>VLOOKUP(D25,'Pivot BSI'!W:AA,5,false)</f>
        <v>NO_RECIPIENT</v>
      </c>
      <c r="K25" s="413"/>
      <c r="L25" s="398"/>
      <c r="M25" s="398"/>
      <c r="N25" s="398"/>
      <c r="O25" s="398"/>
      <c r="P25" s="398"/>
      <c r="Q25" s="398"/>
      <c r="R25" s="398"/>
    </row>
    <row r="26">
      <c r="A26" s="398" t="s">
        <v>8958</v>
      </c>
      <c r="B26" s="398" t="s">
        <v>15</v>
      </c>
      <c r="C26" s="398" t="s">
        <v>8990</v>
      </c>
      <c r="D26" s="400" t="s">
        <v>8991</v>
      </c>
      <c r="E26" s="398" t="s">
        <v>8992</v>
      </c>
      <c r="F26" s="399">
        <v>6.0</v>
      </c>
      <c r="G26" s="401"/>
      <c r="H26" s="398"/>
      <c r="I26" s="399"/>
      <c r="J26" s="398" t="str">
        <f>VLOOKUP(D26,'Pivot BSI'!W:AA,5,false)</f>
        <v>EMAIL_SENT</v>
      </c>
      <c r="K26" s="399" t="s">
        <v>8912</v>
      </c>
      <c r="L26" s="398"/>
      <c r="M26" s="398"/>
      <c r="N26" s="398"/>
      <c r="O26" s="398"/>
      <c r="P26" s="398"/>
      <c r="Q26" s="398"/>
      <c r="R26" s="398"/>
    </row>
    <row r="27">
      <c r="A27" s="398" t="s">
        <v>8958</v>
      </c>
      <c r="B27" s="398" t="s">
        <v>15</v>
      </c>
      <c r="C27" s="398" t="s">
        <v>8993</v>
      </c>
      <c r="D27" s="400" t="s">
        <v>8994</v>
      </c>
      <c r="E27" s="398" t="s">
        <v>8995</v>
      </c>
      <c r="F27" s="399">
        <v>2.0</v>
      </c>
      <c r="G27" s="398"/>
      <c r="H27" s="398"/>
      <c r="I27" s="399" t="s">
        <v>8996</v>
      </c>
      <c r="J27" s="398" t="str">
        <f>VLOOKUP(D27,'Pivot BSI'!W:AA,5,false)</f>
        <v>EMAIL_SENT</v>
      </c>
      <c r="K27" s="399" t="s">
        <v>8912</v>
      </c>
      <c r="L27" s="398"/>
      <c r="M27" s="398"/>
      <c r="N27" s="398"/>
      <c r="O27" s="398"/>
      <c r="P27" s="398"/>
      <c r="Q27" s="398"/>
      <c r="R27" s="398"/>
    </row>
    <row r="28">
      <c r="A28" s="398" t="s">
        <v>8997</v>
      </c>
      <c r="B28" s="398" t="s">
        <v>23</v>
      </c>
      <c r="C28" s="399" t="s">
        <v>8998</v>
      </c>
      <c r="D28" s="400" t="s">
        <v>8999</v>
      </c>
      <c r="E28" s="399" t="s">
        <v>9000</v>
      </c>
      <c r="F28" s="398"/>
      <c r="G28" s="401" t="s">
        <v>9001</v>
      </c>
      <c r="H28" s="209" t="s">
        <v>8924</v>
      </c>
      <c r="I28" s="399" t="s">
        <v>8925</v>
      </c>
      <c r="J28" s="398" t="str">
        <f>VLOOKUP(D28,'Pivot BSI'!W:AA,5,false)</f>
        <v>#N/A</v>
      </c>
      <c r="K28" s="399"/>
      <c r="L28" s="398"/>
      <c r="M28" s="398"/>
      <c r="N28" s="398"/>
      <c r="O28" s="398"/>
      <c r="P28" s="398"/>
      <c r="Q28" s="398"/>
      <c r="R28" s="398"/>
    </row>
    <row r="29">
      <c r="A29" s="398" t="s">
        <v>8997</v>
      </c>
      <c r="B29" s="398" t="s">
        <v>23</v>
      </c>
      <c r="C29" s="398" t="s">
        <v>9002</v>
      </c>
      <c r="D29" s="400" t="s">
        <v>9003</v>
      </c>
      <c r="E29" s="398" t="s">
        <v>9004</v>
      </c>
      <c r="F29" s="398"/>
      <c r="G29" s="401"/>
      <c r="H29" s="398"/>
      <c r="I29" s="399" t="s">
        <v>9005</v>
      </c>
      <c r="J29" s="398" t="str">
        <f>VLOOKUP(D29,'Pivot BSI'!W:AA,5,false)</f>
        <v>#N/A</v>
      </c>
      <c r="K29" s="398"/>
      <c r="L29" s="398"/>
      <c r="M29" s="398"/>
      <c r="N29" s="398"/>
      <c r="O29" s="398"/>
      <c r="P29" s="398"/>
      <c r="Q29" s="398"/>
      <c r="R29" s="398"/>
    </row>
    <row r="30">
      <c r="A30" s="398" t="s">
        <v>8997</v>
      </c>
      <c r="B30" s="398" t="s">
        <v>23</v>
      </c>
      <c r="C30" s="399" t="s">
        <v>8998</v>
      </c>
      <c r="D30" s="400" t="s">
        <v>9006</v>
      </c>
      <c r="E30" s="399" t="s">
        <v>9007</v>
      </c>
      <c r="F30" s="399">
        <v>40.0</v>
      </c>
      <c r="G30" s="401"/>
      <c r="H30" s="209" t="s">
        <v>8924</v>
      </c>
      <c r="I30" s="399" t="s">
        <v>8925</v>
      </c>
      <c r="J30" s="398" t="str">
        <f>VLOOKUP(D30,'Pivot BSI'!W:AA,5,false)</f>
        <v>#N/A</v>
      </c>
      <c r="K30" s="399"/>
      <c r="L30" s="398"/>
      <c r="M30" s="398"/>
      <c r="N30" s="398"/>
      <c r="O30" s="398"/>
      <c r="P30" s="398"/>
      <c r="Q30" s="398"/>
      <c r="R30" s="398"/>
    </row>
    <row r="31">
      <c r="A31" s="398" t="s">
        <v>8997</v>
      </c>
      <c r="B31" s="398" t="s">
        <v>23</v>
      </c>
      <c r="C31" s="398" t="s">
        <v>8998</v>
      </c>
      <c r="D31" s="400" t="s">
        <v>9008</v>
      </c>
      <c r="E31" s="398" t="s">
        <v>9009</v>
      </c>
      <c r="F31" s="399">
        <v>5.0</v>
      </c>
      <c r="G31" s="401"/>
      <c r="H31" s="209" t="s">
        <v>8924</v>
      </c>
      <c r="I31" s="399" t="s">
        <v>8925</v>
      </c>
      <c r="J31" s="398" t="str">
        <f>VLOOKUP(D31,'Pivot BSI'!W:AA,5,false)</f>
        <v>#N/A</v>
      </c>
      <c r="K31" s="398"/>
      <c r="L31" s="398"/>
      <c r="M31" s="398"/>
      <c r="N31" s="398"/>
      <c r="O31" s="398"/>
      <c r="P31" s="398"/>
      <c r="Q31" s="398"/>
      <c r="R31" s="398"/>
    </row>
    <row r="32">
      <c r="A32" s="398" t="s">
        <v>8997</v>
      </c>
      <c r="B32" s="398" t="s">
        <v>23</v>
      </c>
      <c r="C32" s="398" t="s">
        <v>9010</v>
      </c>
      <c r="D32" s="400" t="s">
        <v>9011</v>
      </c>
      <c r="E32" s="398" t="s">
        <v>9012</v>
      </c>
      <c r="F32" s="399">
        <v>6.0</v>
      </c>
      <c r="G32" s="401"/>
      <c r="H32" s="398"/>
      <c r="I32" s="399"/>
      <c r="J32" s="398" t="str">
        <f>VLOOKUP(D32,'Pivot BSI'!W:AA,5,false)</f>
        <v>RESPONDED</v>
      </c>
      <c r="K32" s="399" t="s">
        <v>9013</v>
      </c>
      <c r="L32" s="398"/>
      <c r="M32" s="398"/>
      <c r="N32" s="398"/>
      <c r="O32" s="398"/>
      <c r="P32" s="398"/>
      <c r="Q32" s="398"/>
      <c r="R32" s="398"/>
    </row>
    <row r="33">
      <c r="A33" s="398" t="s">
        <v>8997</v>
      </c>
      <c r="B33" s="398" t="s">
        <v>23</v>
      </c>
      <c r="C33" s="398" t="s">
        <v>8979</v>
      </c>
      <c r="D33" s="400" t="s">
        <v>9014</v>
      </c>
      <c r="E33" s="413" t="s">
        <v>314</v>
      </c>
      <c r="F33" s="398"/>
      <c r="G33" s="401"/>
      <c r="H33" s="209" t="s">
        <v>8924</v>
      </c>
      <c r="I33" s="399" t="s">
        <v>8937</v>
      </c>
      <c r="J33" s="398" t="str">
        <f>VLOOKUP(D33,'Pivot BSI'!W:AA,5,false)</f>
        <v>#N/A</v>
      </c>
      <c r="K33" s="413"/>
      <c r="L33" s="398"/>
      <c r="M33" s="398"/>
      <c r="N33" s="398"/>
      <c r="O33" s="398"/>
      <c r="P33" s="398"/>
      <c r="Q33" s="398"/>
      <c r="R33" s="398"/>
    </row>
    <row r="34">
      <c r="A34" s="398" t="s">
        <v>8997</v>
      </c>
      <c r="B34" s="398" t="s">
        <v>23</v>
      </c>
      <c r="C34" s="398" t="s">
        <v>9010</v>
      </c>
      <c r="D34" s="400" t="s">
        <v>9015</v>
      </c>
      <c r="E34" s="413" t="s">
        <v>314</v>
      </c>
      <c r="F34" s="398"/>
      <c r="G34" s="401"/>
      <c r="H34" s="398"/>
      <c r="I34" s="399" t="s">
        <v>8937</v>
      </c>
      <c r="J34" s="398" t="str">
        <f>VLOOKUP(D34,'Pivot BSI'!W:AA,5,false)</f>
        <v>#N/A</v>
      </c>
      <c r="K34" s="413"/>
      <c r="L34" s="398"/>
      <c r="M34" s="398"/>
      <c r="N34" s="398"/>
      <c r="O34" s="398"/>
      <c r="P34" s="398"/>
      <c r="Q34" s="398"/>
      <c r="R34" s="398"/>
    </row>
    <row r="35">
      <c r="A35" s="398" t="s">
        <v>8997</v>
      </c>
      <c r="B35" s="398" t="s">
        <v>23</v>
      </c>
      <c r="C35" s="398" t="s">
        <v>9016</v>
      </c>
      <c r="D35" s="400" t="s">
        <v>9017</v>
      </c>
      <c r="E35" s="399" t="s">
        <v>9018</v>
      </c>
      <c r="F35" s="399">
        <v>6.0</v>
      </c>
      <c r="G35" s="401"/>
      <c r="H35" s="209" t="s">
        <v>8924</v>
      </c>
      <c r="I35" s="399" t="s">
        <v>8925</v>
      </c>
      <c r="J35" s="398" t="str">
        <f>VLOOKUP(D35,'Pivot BSI'!W:AA,5,false)</f>
        <v>ERROR</v>
      </c>
      <c r="K35" s="399"/>
      <c r="L35" s="398"/>
      <c r="M35" s="398"/>
      <c r="N35" s="398"/>
      <c r="O35" s="398"/>
      <c r="P35" s="398"/>
      <c r="Q35" s="398"/>
      <c r="R35" s="398"/>
    </row>
    <row r="36">
      <c r="A36" s="398" t="s">
        <v>8997</v>
      </c>
      <c r="B36" s="398" t="s">
        <v>23</v>
      </c>
      <c r="C36" s="399" t="s">
        <v>8998</v>
      </c>
      <c r="D36" s="400" t="s">
        <v>9019</v>
      </c>
      <c r="E36" s="413" t="s">
        <v>314</v>
      </c>
      <c r="F36" s="398"/>
      <c r="G36" s="398"/>
      <c r="H36" s="209" t="s">
        <v>8924</v>
      </c>
      <c r="I36" s="399" t="s">
        <v>8937</v>
      </c>
      <c r="J36" s="398" t="str">
        <f>VLOOKUP(D36,'Pivot BSI'!W:AA,5,false)</f>
        <v>#N/A</v>
      </c>
      <c r="K36" s="413"/>
      <c r="L36" s="398"/>
      <c r="M36" s="398"/>
      <c r="N36" s="398"/>
      <c r="O36" s="398"/>
      <c r="P36" s="398"/>
      <c r="Q36" s="398"/>
      <c r="R36" s="398"/>
    </row>
    <row r="37">
      <c r="A37" s="398" t="s">
        <v>8997</v>
      </c>
      <c r="B37" s="398" t="s">
        <v>23</v>
      </c>
      <c r="C37" s="398" t="s">
        <v>9020</v>
      </c>
      <c r="D37" s="400" t="s">
        <v>9021</v>
      </c>
      <c r="E37" s="398" t="s">
        <v>9022</v>
      </c>
      <c r="F37" s="399">
        <v>2.0</v>
      </c>
      <c r="G37" s="398"/>
      <c r="H37" s="398"/>
      <c r="I37" s="399"/>
      <c r="J37" s="398" t="str">
        <f>VLOOKUP(D37,'Pivot BSI'!W:AA,5,false)</f>
        <v>EMAIL_OPENED</v>
      </c>
      <c r="K37" s="399" t="s">
        <v>8912</v>
      </c>
      <c r="L37" s="398"/>
      <c r="M37" s="398"/>
      <c r="N37" s="398"/>
      <c r="O37" s="398"/>
      <c r="P37" s="398"/>
      <c r="Q37" s="398"/>
      <c r="R37" s="398"/>
    </row>
    <row r="38">
      <c r="A38" s="398" t="s">
        <v>8997</v>
      </c>
      <c r="B38" s="398" t="s">
        <v>23</v>
      </c>
      <c r="C38" s="399" t="s">
        <v>8950</v>
      </c>
      <c r="D38" s="400" t="s">
        <v>9023</v>
      </c>
      <c r="E38" s="398" t="s">
        <v>9024</v>
      </c>
      <c r="F38" s="399">
        <v>2.0</v>
      </c>
      <c r="G38" s="398"/>
      <c r="H38" s="209" t="s">
        <v>8924</v>
      </c>
      <c r="I38" s="399" t="s">
        <v>8925</v>
      </c>
      <c r="J38" s="398" t="str">
        <f>VLOOKUP(D38,'Pivot BSI'!W:AA,5,false)</f>
        <v>EMAIL_CLICKED</v>
      </c>
      <c r="K38" s="398"/>
      <c r="L38" s="398"/>
      <c r="M38" s="398"/>
      <c r="N38" s="398"/>
      <c r="O38" s="398"/>
      <c r="P38" s="398"/>
      <c r="Q38" s="398"/>
      <c r="R38" s="398"/>
    </row>
    <row r="39">
      <c r="A39" s="398" t="s">
        <v>8997</v>
      </c>
      <c r="B39" s="398" t="s">
        <v>23</v>
      </c>
      <c r="C39" s="399" t="s">
        <v>8950</v>
      </c>
      <c r="D39" s="419" t="s">
        <v>9025</v>
      </c>
      <c r="E39" s="398" t="s">
        <v>9026</v>
      </c>
      <c r="F39" s="399">
        <v>2.0</v>
      </c>
      <c r="G39" s="398"/>
      <c r="H39" s="209" t="s">
        <v>8924</v>
      </c>
      <c r="I39" s="399" t="s">
        <v>8925</v>
      </c>
      <c r="J39" s="398" t="str">
        <f>VLOOKUP(D39,'Pivot BSI'!W:AA,5,false)</f>
        <v>#N/A</v>
      </c>
      <c r="K39" s="398"/>
      <c r="L39" s="398"/>
      <c r="M39" s="398"/>
      <c r="N39" s="398"/>
      <c r="O39" s="398"/>
      <c r="P39" s="398"/>
      <c r="Q39" s="398"/>
      <c r="R39" s="398"/>
    </row>
    <row r="40">
      <c r="A40" s="398" t="s">
        <v>9027</v>
      </c>
      <c r="B40" s="399" t="s">
        <v>30</v>
      </c>
      <c r="C40" s="398" t="s">
        <v>9028</v>
      </c>
      <c r="D40" s="400" t="s">
        <v>9029</v>
      </c>
      <c r="E40" s="399" t="s">
        <v>9030</v>
      </c>
      <c r="F40" s="399">
        <v>21.0</v>
      </c>
      <c r="G40" s="401" t="s">
        <v>9031</v>
      </c>
      <c r="H40" s="209"/>
      <c r="I40" s="399"/>
      <c r="J40" s="398" t="str">
        <f>VLOOKUP(D40,'Pivot BSI'!W:AA,5,false)</f>
        <v>ERROR</v>
      </c>
      <c r="K40" s="399" t="s">
        <v>8986</v>
      </c>
      <c r="L40" s="398"/>
      <c r="M40" s="398"/>
      <c r="N40" s="398"/>
      <c r="O40" s="398"/>
      <c r="P40" s="398"/>
      <c r="Q40" s="398"/>
      <c r="R40" s="398"/>
    </row>
    <row r="41">
      <c r="A41" s="398" t="s">
        <v>9027</v>
      </c>
      <c r="B41" s="399" t="s">
        <v>30</v>
      </c>
      <c r="C41" s="399" t="s">
        <v>8983</v>
      </c>
      <c r="D41" s="400" t="s">
        <v>9032</v>
      </c>
      <c r="E41" s="399" t="s">
        <v>9033</v>
      </c>
      <c r="F41" s="399">
        <v>3.0</v>
      </c>
      <c r="G41" s="401"/>
      <c r="H41" s="398"/>
      <c r="I41" s="399"/>
      <c r="J41" s="398" t="str">
        <f>VLOOKUP(D41,'Pivot BSI'!W:AA,5,false)</f>
        <v>#N/A</v>
      </c>
      <c r="K41" s="399" t="s">
        <v>8986</v>
      </c>
      <c r="L41" s="398"/>
      <c r="M41" s="398"/>
      <c r="N41" s="398"/>
      <c r="O41" s="398"/>
      <c r="P41" s="398"/>
      <c r="Q41" s="398"/>
      <c r="R41" s="398"/>
    </row>
    <row r="42">
      <c r="A42" s="398" t="s">
        <v>9027</v>
      </c>
      <c r="B42" s="399" t="s">
        <v>30</v>
      </c>
      <c r="C42" s="398" t="s">
        <v>9034</v>
      </c>
      <c r="D42" s="400" t="s">
        <v>9035</v>
      </c>
      <c r="E42" s="399" t="s">
        <v>9036</v>
      </c>
      <c r="F42" s="399">
        <v>8.0</v>
      </c>
      <c r="G42" s="401"/>
      <c r="H42" s="209"/>
      <c r="I42" s="399" t="s">
        <v>8932</v>
      </c>
      <c r="J42" s="398" t="str">
        <f>VLOOKUP(D42,'Pivot BSI'!W:AA,5,false)</f>
        <v>EMAIL_SENT</v>
      </c>
      <c r="K42" s="399"/>
      <c r="L42" s="398"/>
      <c r="M42" s="398"/>
      <c r="N42" s="398"/>
      <c r="O42" s="398"/>
      <c r="P42" s="398"/>
      <c r="Q42" s="398"/>
      <c r="R42" s="398"/>
    </row>
    <row r="43">
      <c r="A43" s="398" t="s">
        <v>9027</v>
      </c>
      <c r="B43" s="399" t="s">
        <v>30</v>
      </c>
      <c r="C43" s="4" t="s">
        <v>9037</v>
      </c>
      <c r="D43" s="400" t="s">
        <v>9038</v>
      </c>
      <c r="E43" s="399" t="s">
        <v>9039</v>
      </c>
      <c r="F43" s="399">
        <v>4.0</v>
      </c>
      <c r="G43" s="401"/>
      <c r="H43" s="399" t="s">
        <v>9040</v>
      </c>
      <c r="I43" s="399" t="s">
        <v>8969</v>
      </c>
      <c r="J43" s="398" t="str">
        <f>VLOOKUP(D43,'Pivot BSI'!W:AA,5,false)</f>
        <v>RESPONDED</v>
      </c>
      <c r="K43" s="399"/>
      <c r="L43" s="398"/>
      <c r="M43" s="398"/>
      <c r="N43" s="398"/>
      <c r="O43" s="398"/>
      <c r="P43" s="398"/>
      <c r="Q43" s="398"/>
      <c r="R43" s="398"/>
    </row>
    <row r="44">
      <c r="A44" s="398" t="s">
        <v>9027</v>
      </c>
      <c r="B44" s="399" t="s">
        <v>30</v>
      </c>
      <c r="C44" s="398" t="s">
        <v>9041</v>
      </c>
      <c r="D44" s="400" t="s">
        <v>9042</v>
      </c>
      <c r="E44" s="399" t="s">
        <v>9043</v>
      </c>
      <c r="F44" s="399">
        <v>3.0</v>
      </c>
      <c r="G44" s="401"/>
      <c r="H44" s="420" t="s">
        <v>9044</v>
      </c>
      <c r="I44" s="399" t="s">
        <v>8932</v>
      </c>
      <c r="J44" s="399" t="s">
        <v>9045</v>
      </c>
      <c r="K44" s="399"/>
      <c r="L44" s="398"/>
      <c r="M44" s="398"/>
      <c r="N44" s="398"/>
      <c r="O44" s="398"/>
      <c r="P44" s="398"/>
      <c r="Q44" s="398"/>
      <c r="R44" s="398"/>
    </row>
    <row r="45">
      <c r="A45" s="398" t="s">
        <v>9027</v>
      </c>
      <c r="B45" s="399" t="s">
        <v>30</v>
      </c>
      <c r="C45" s="398" t="s">
        <v>9041</v>
      </c>
      <c r="D45" s="400" t="s">
        <v>9046</v>
      </c>
      <c r="E45" s="399" t="s">
        <v>9047</v>
      </c>
      <c r="F45" s="399">
        <v>7.0</v>
      </c>
      <c r="G45" s="401"/>
      <c r="H45" s="398"/>
      <c r="I45" s="399" t="s">
        <v>8932</v>
      </c>
      <c r="J45" s="399" t="s">
        <v>9045</v>
      </c>
      <c r="K45" s="399"/>
      <c r="L45" s="398"/>
      <c r="M45" s="398"/>
      <c r="N45" s="398"/>
      <c r="O45" s="398"/>
      <c r="P45" s="398"/>
      <c r="Q45" s="398"/>
      <c r="R45" s="398"/>
    </row>
    <row r="46">
      <c r="A46" s="398" t="s">
        <v>9027</v>
      </c>
      <c r="B46" s="399" t="s">
        <v>30</v>
      </c>
      <c r="C46" s="398" t="s">
        <v>9048</v>
      </c>
      <c r="D46" s="400" t="s">
        <v>9049</v>
      </c>
      <c r="E46" s="421" t="s">
        <v>314</v>
      </c>
      <c r="F46" s="399"/>
      <c r="G46" s="401"/>
      <c r="H46" s="398"/>
      <c r="I46" s="399" t="s">
        <v>8937</v>
      </c>
      <c r="J46" s="398" t="str">
        <f>VLOOKUP(D46,'Pivot BSI'!W:AA,5,false)</f>
        <v>#N/A</v>
      </c>
      <c r="K46" s="421"/>
      <c r="L46" s="398"/>
      <c r="M46" s="398"/>
      <c r="N46" s="398"/>
      <c r="O46" s="398"/>
      <c r="P46" s="398"/>
      <c r="Q46" s="398"/>
      <c r="R46" s="398"/>
    </row>
    <row r="47">
      <c r="A47" s="398" t="s">
        <v>9027</v>
      </c>
      <c r="B47" s="399" t="s">
        <v>30</v>
      </c>
      <c r="C47" s="398" t="s">
        <v>9041</v>
      </c>
      <c r="D47" s="400" t="s">
        <v>9050</v>
      </c>
      <c r="E47" s="399" t="s">
        <v>9051</v>
      </c>
      <c r="F47" s="399">
        <v>7.0</v>
      </c>
      <c r="G47" s="401"/>
      <c r="H47" s="398"/>
      <c r="I47" s="399" t="s">
        <v>8932</v>
      </c>
      <c r="J47" s="399" t="s">
        <v>9045</v>
      </c>
      <c r="K47" s="399"/>
      <c r="L47" s="398"/>
      <c r="M47" s="398"/>
      <c r="N47" s="398"/>
      <c r="O47" s="398"/>
      <c r="P47" s="398"/>
      <c r="Q47" s="398"/>
      <c r="R47" s="398"/>
    </row>
    <row r="48">
      <c r="A48" s="398" t="s">
        <v>9027</v>
      </c>
      <c r="B48" s="399" t="s">
        <v>30</v>
      </c>
      <c r="C48" s="398" t="s">
        <v>9041</v>
      </c>
      <c r="D48" s="400" t="s">
        <v>9052</v>
      </c>
      <c r="E48" s="399" t="s">
        <v>9053</v>
      </c>
      <c r="F48" s="399">
        <v>8.0</v>
      </c>
      <c r="G48" s="401"/>
      <c r="H48" s="398"/>
      <c r="I48" s="399" t="s">
        <v>8932</v>
      </c>
      <c r="J48" s="399" t="s">
        <v>9045</v>
      </c>
      <c r="K48" s="399"/>
      <c r="L48" s="398"/>
      <c r="M48" s="398"/>
      <c r="N48" s="398"/>
      <c r="O48" s="398"/>
      <c r="P48" s="398"/>
      <c r="Q48" s="398"/>
      <c r="R48" s="398"/>
    </row>
    <row r="49">
      <c r="A49" s="399" t="s">
        <v>9027</v>
      </c>
      <c r="B49" s="399" t="s">
        <v>30</v>
      </c>
      <c r="C49" s="399" t="s">
        <v>9041</v>
      </c>
      <c r="D49" s="80" t="s">
        <v>9054</v>
      </c>
      <c r="E49" s="399" t="s">
        <v>9055</v>
      </c>
      <c r="F49" s="399">
        <v>4.0</v>
      </c>
      <c r="G49" s="398"/>
      <c r="H49" s="398"/>
      <c r="I49" s="399" t="s">
        <v>8932</v>
      </c>
      <c r="J49" s="399" t="s">
        <v>9045</v>
      </c>
      <c r="K49" s="399"/>
      <c r="L49" s="398"/>
      <c r="M49" s="398"/>
      <c r="N49" s="398"/>
      <c r="O49" s="398"/>
      <c r="P49" s="398"/>
      <c r="Q49" s="398"/>
      <c r="R49" s="398"/>
    </row>
    <row r="50">
      <c r="A50" s="399" t="s">
        <v>9027</v>
      </c>
      <c r="B50" s="399" t="s">
        <v>30</v>
      </c>
      <c r="C50" s="399" t="s">
        <v>9041</v>
      </c>
      <c r="D50" s="80" t="s">
        <v>9056</v>
      </c>
      <c r="E50" s="399" t="s">
        <v>9057</v>
      </c>
      <c r="F50" s="399">
        <v>3.0</v>
      </c>
      <c r="G50" s="398"/>
      <c r="H50" s="398"/>
      <c r="I50" s="399" t="s">
        <v>8932</v>
      </c>
      <c r="J50" s="399" t="s">
        <v>9045</v>
      </c>
      <c r="K50" s="399"/>
      <c r="L50" s="398"/>
      <c r="M50" s="398"/>
      <c r="N50" s="398"/>
      <c r="O50" s="398"/>
      <c r="P50" s="398"/>
      <c r="Q50" s="398"/>
      <c r="R50" s="398"/>
    </row>
    <row r="51">
      <c r="A51" s="398" t="s">
        <v>9058</v>
      </c>
      <c r="B51" s="398" t="s">
        <v>30</v>
      </c>
      <c r="C51" s="398" t="s">
        <v>9059</v>
      </c>
      <c r="D51" s="400" t="s">
        <v>9060</v>
      </c>
      <c r="E51" s="399" t="s">
        <v>9061</v>
      </c>
      <c r="F51" s="399">
        <v>6.0</v>
      </c>
      <c r="G51" s="398"/>
      <c r="H51" s="398"/>
      <c r="I51" s="399"/>
      <c r="J51" s="398" t="str">
        <f>VLOOKUP(D51,'Pivot BSI'!W:AA,5,false)</f>
        <v>EMAIL_OPENED</v>
      </c>
      <c r="K51" s="399" t="s">
        <v>8912</v>
      </c>
      <c r="L51" s="398"/>
      <c r="M51" s="398"/>
      <c r="N51" s="398"/>
      <c r="O51" s="398"/>
      <c r="P51" s="398"/>
      <c r="Q51" s="398"/>
      <c r="R51" s="398"/>
    </row>
    <row r="52" ht="18.75" customHeight="1">
      <c r="A52" s="399" t="s">
        <v>9062</v>
      </c>
      <c r="B52" s="399" t="s">
        <v>23</v>
      </c>
      <c r="C52" s="398" t="s">
        <v>9063</v>
      </c>
      <c r="D52" s="400" t="s">
        <v>9064</v>
      </c>
      <c r="E52" s="399" t="s">
        <v>9065</v>
      </c>
      <c r="F52" s="399">
        <v>30.0</v>
      </c>
      <c r="G52" s="422" t="s">
        <v>9066</v>
      </c>
      <c r="H52" s="398"/>
      <c r="I52" s="399" t="s">
        <v>8925</v>
      </c>
      <c r="J52" s="399" t="s">
        <v>9045</v>
      </c>
      <c r="K52" s="399"/>
      <c r="L52" s="398"/>
      <c r="M52" s="398"/>
      <c r="N52" s="398"/>
      <c r="O52" s="398"/>
      <c r="P52" s="398"/>
      <c r="Q52" s="398"/>
      <c r="R52" s="398"/>
    </row>
    <row r="53">
      <c r="A53" s="399" t="s">
        <v>9062</v>
      </c>
      <c r="B53" s="399" t="s">
        <v>23</v>
      </c>
      <c r="C53" s="398" t="s">
        <v>9067</v>
      </c>
      <c r="D53" s="400" t="s">
        <v>9068</v>
      </c>
      <c r="E53" s="399" t="s">
        <v>9069</v>
      </c>
      <c r="F53" s="399">
        <v>10.0</v>
      </c>
      <c r="G53" s="398"/>
      <c r="H53" s="398"/>
      <c r="I53" s="399" t="s">
        <v>9005</v>
      </c>
      <c r="J53" s="398" t="str">
        <f>VLOOKUP(D53,'Pivot BSI'!W:AA,5,false)</f>
        <v>#N/A</v>
      </c>
      <c r="K53" s="399"/>
      <c r="L53" s="398"/>
      <c r="M53" s="398"/>
      <c r="N53" s="398"/>
      <c r="O53" s="398"/>
      <c r="P53" s="398"/>
      <c r="Q53" s="398"/>
      <c r="R53" s="398"/>
    </row>
    <row r="54">
      <c r="A54" s="399" t="s">
        <v>9062</v>
      </c>
      <c r="B54" s="399" t="s">
        <v>23</v>
      </c>
      <c r="C54" s="398" t="s">
        <v>9070</v>
      </c>
      <c r="D54" s="400" t="s">
        <v>9071</v>
      </c>
      <c r="E54" s="399" t="s">
        <v>9074</v>
      </c>
      <c r="F54" s="399">
        <v>7.0</v>
      </c>
      <c r="G54" s="398"/>
      <c r="H54" s="398"/>
      <c r="I54" s="399" t="s">
        <v>8937</v>
      </c>
      <c r="J54" s="398" t="str">
        <f>VLOOKUP(D54,'Pivot BSI'!W:AA,5,false)</f>
        <v>#N/A</v>
      </c>
      <c r="K54" s="399"/>
      <c r="L54" s="398"/>
      <c r="M54" s="398"/>
      <c r="N54" s="398"/>
      <c r="O54" s="398"/>
      <c r="P54" s="398"/>
      <c r="Q54" s="398"/>
      <c r="R54" s="398"/>
    </row>
    <row r="55">
      <c r="A55" s="399" t="s">
        <v>9062</v>
      </c>
      <c r="B55" s="399" t="s">
        <v>23</v>
      </c>
      <c r="C55" s="398" t="s">
        <v>9075</v>
      </c>
      <c r="D55" s="400" t="s">
        <v>9076</v>
      </c>
      <c r="E55" s="399" t="s">
        <v>9077</v>
      </c>
      <c r="F55" s="399">
        <v>9.0</v>
      </c>
      <c r="G55" s="398"/>
      <c r="H55" s="398"/>
      <c r="I55" s="399" t="s">
        <v>8937</v>
      </c>
      <c r="J55" s="398" t="str">
        <f>VLOOKUP(D55,'Pivot BSI'!W:AA,5,false)</f>
        <v>ERROR</v>
      </c>
      <c r="K55" s="399"/>
      <c r="L55" s="398"/>
      <c r="M55" s="398"/>
      <c r="N55" s="398"/>
      <c r="O55" s="398"/>
      <c r="P55" s="398"/>
      <c r="Q55" s="398"/>
      <c r="R55" s="398"/>
    </row>
    <row r="56">
      <c r="A56" s="399" t="s">
        <v>9062</v>
      </c>
      <c r="B56" s="399" t="s">
        <v>23</v>
      </c>
      <c r="C56" s="398" t="s">
        <v>9078</v>
      </c>
      <c r="D56" s="400" t="s">
        <v>9079</v>
      </c>
      <c r="E56" s="399" t="s">
        <v>9081</v>
      </c>
      <c r="F56" s="399">
        <v>6.0</v>
      </c>
      <c r="G56" s="398"/>
      <c r="H56" s="399" t="s">
        <v>9082</v>
      </c>
      <c r="I56" s="399" t="s">
        <v>8937</v>
      </c>
      <c r="J56" s="398" t="str">
        <f>VLOOKUP(D56,'Pivot BSI'!W:AA,5,false)</f>
        <v>ERROR</v>
      </c>
      <c r="K56" s="399"/>
      <c r="L56" s="398"/>
      <c r="M56" s="398"/>
      <c r="N56" s="398"/>
      <c r="O56" s="398"/>
      <c r="P56" s="398"/>
      <c r="Q56" s="398"/>
      <c r="R56" s="398"/>
    </row>
    <row r="57">
      <c r="A57" s="399" t="s">
        <v>9062</v>
      </c>
      <c r="B57" s="399" t="s">
        <v>23</v>
      </c>
      <c r="C57" s="398" t="s">
        <v>9086</v>
      </c>
      <c r="D57" s="400" t="s">
        <v>9087</v>
      </c>
      <c r="E57" s="399" t="s">
        <v>9090</v>
      </c>
      <c r="F57" s="399">
        <v>140.0</v>
      </c>
      <c r="G57" s="398"/>
      <c r="H57" s="399" t="s">
        <v>9092</v>
      </c>
      <c r="I57" s="399" t="s">
        <v>8969</v>
      </c>
      <c r="J57" s="398" t="str">
        <f>VLOOKUP(D57,'Pivot BSI'!W:AA,5,false)</f>
        <v>ERROR</v>
      </c>
      <c r="K57" s="399"/>
      <c r="L57" s="398"/>
      <c r="M57" s="398"/>
      <c r="N57" s="398"/>
      <c r="O57" s="398"/>
      <c r="P57" s="398"/>
      <c r="Q57" s="398"/>
      <c r="R57" s="398"/>
    </row>
    <row r="58">
      <c r="A58" s="399" t="s">
        <v>9062</v>
      </c>
      <c r="B58" s="399" t="s">
        <v>23</v>
      </c>
      <c r="C58" s="398" t="s">
        <v>9094</v>
      </c>
      <c r="D58" s="400" t="s">
        <v>9095</v>
      </c>
      <c r="E58" s="399" t="s">
        <v>9097</v>
      </c>
      <c r="F58" s="399">
        <v>8.0</v>
      </c>
      <c r="G58" s="398"/>
      <c r="H58" s="398"/>
      <c r="I58" s="399" t="s">
        <v>8937</v>
      </c>
      <c r="J58" s="398" t="str">
        <f>VLOOKUP(D58,'Pivot BSI'!W:AA,5,false)</f>
        <v>#N/A</v>
      </c>
      <c r="K58" s="399"/>
      <c r="L58" s="398"/>
      <c r="M58" s="398"/>
      <c r="N58" s="398"/>
      <c r="O58" s="398"/>
      <c r="P58" s="398"/>
      <c r="Q58" s="398"/>
      <c r="R58" s="398"/>
    </row>
    <row r="59">
      <c r="A59" s="209" t="s">
        <v>9062</v>
      </c>
      <c r="B59" s="399" t="s">
        <v>23</v>
      </c>
      <c r="C59" s="398" t="s">
        <v>9099</v>
      </c>
      <c r="D59" s="400" t="s">
        <v>9100</v>
      </c>
      <c r="E59" s="399" t="s">
        <v>9103</v>
      </c>
      <c r="F59" s="399">
        <v>9.0</v>
      </c>
      <c r="G59" s="398"/>
      <c r="H59" s="399" t="s">
        <v>9104</v>
      </c>
      <c r="I59" s="399" t="s">
        <v>8969</v>
      </c>
      <c r="J59" s="398" t="str">
        <f>VLOOKUP(D59,'Pivot BSI'!W:AA,5,false)</f>
        <v>#N/A</v>
      </c>
      <c r="K59" s="399"/>
      <c r="L59" s="398"/>
      <c r="M59" s="398"/>
      <c r="N59" s="398"/>
      <c r="O59" s="398"/>
      <c r="P59" s="398"/>
      <c r="Q59" s="398"/>
      <c r="R59" s="398"/>
    </row>
    <row r="60">
      <c r="A60" s="399" t="s">
        <v>9062</v>
      </c>
      <c r="B60" s="399" t="s">
        <v>23</v>
      </c>
      <c r="C60" s="399" t="s">
        <v>9105</v>
      </c>
      <c r="D60" s="438" t="s">
        <v>9106</v>
      </c>
      <c r="E60" s="399" t="s">
        <v>9108</v>
      </c>
      <c r="F60" s="399">
        <v>3.0</v>
      </c>
      <c r="G60" s="398"/>
      <c r="H60" s="398"/>
      <c r="I60" s="399" t="s">
        <v>9005</v>
      </c>
      <c r="J60" s="398" t="str">
        <f>VLOOKUP(D60,'Pivot BSI'!W:AA,5,false)</f>
        <v>BOUNCED</v>
      </c>
      <c r="K60" s="399"/>
      <c r="L60" s="398"/>
      <c r="M60" s="398"/>
      <c r="N60" s="398"/>
      <c r="O60" s="398"/>
      <c r="P60" s="398"/>
      <c r="Q60" s="398"/>
      <c r="R60" s="398"/>
    </row>
    <row r="61">
      <c r="A61" s="399"/>
      <c r="B61" s="398"/>
      <c r="C61" s="398"/>
      <c r="D61" s="398"/>
      <c r="E61" s="398"/>
      <c r="F61" s="398"/>
      <c r="G61" s="398"/>
      <c r="H61" s="398"/>
      <c r="I61" s="398"/>
      <c r="J61" s="398" t="str">
        <f>VLOOKUP(D61,'Pivot BSI'!W:AA,5,false)</f>
        <v>#N/A</v>
      </c>
      <c r="K61" s="398"/>
      <c r="L61" s="398"/>
      <c r="M61" s="398"/>
      <c r="N61" s="398"/>
      <c r="O61" s="398"/>
      <c r="P61" s="398"/>
      <c r="Q61" s="398"/>
      <c r="R61" s="398"/>
    </row>
    <row r="62">
      <c r="A62" s="398"/>
      <c r="B62" s="398"/>
      <c r="C62" s="398"/>
      <c r="D62" s="398"/>
      <c r="E62" s="398"/>
      <c r="F62" s="398"/>
      <c r="G62" s="398"/>
      <c r="H62" s="398"/>
      <c r="I62" s="398"/>
      <c r="J62" s="398" t="str">
        <f>VLOOKUP(D62,'Pivot BSI'!W:AA,5,false)</f>
        <v>#N/A</v>
      </c>
      <c r="K62" s="398"/>
      <c r="L62" s="398"/>
      <c r="M62" s="398"/>
      <c r="N62" s="398"/>
      <c r="O62" s="398"/>
      <c r="P62" s="398"/>
      <c r="Q62" s="398"/>
      <c r="R62" s="398"/>
    </row>
    <row r="63">
      <c r="A63" s="398" t="s">
        <v>9113</v>
      </c>
      <c r="B63" s="398" t="s">
        <v>30</v>
      </c>
      <c r="C63" s="398" t="s">
        <v>9114</v>
      </c>
      <c r="D63" s="400" t="s">
        <v>9115</v>
      </c>
      <c r="E63" s="421" t="s">
        <v>314</v>
      </c>
      <c r="F63" s="399"/>
      <c r="G63" s="439" t="s">
        <v>8914</v>
      </c>
      <c r="H63" s="398"/>
      <c r="I63" s="399"/>
      <c r="J63" s="398" t="str">
        <f>VLOOKUP(D63,'Pivot BSI'!W:AA,5,false)</f>
        <v>#N/A</v>
      </c>
      <c r="K63" s="421"/>
      <c r="L63" s="398"/>
      <c r="M63" s="398"/>
      <c r="N63" s="398"/>
      <c r="O63" s="398"/>
      <c r="P63" s="398"/>
      <c r="Q63" s="398"/>
      <c r="R63" s="398"/>
    </row>
    <row r="64">
      <c r="A64" s="398" t="s">
        <v>9113</v>
      </c>
      <c r="B64" s="398" t="s">
        <v>30</v>
      </c>
      <c r="C64" s="398" t="s">
        <v>9120</v>
      </c>
      <c r="D64" s="400" t="s">
        <v>9122</v>
      </c>
      <c r="E64" s="399" t="s">
        <v>9123</v>
      </c>
      <c r="F64" s="399">
        <v>8.0</v>
      </c>
      <c r="G64" s="439"/>
      <c r="H64" s="398"/>
      <c r="I64" s="399"/>
      <c r="J64" s="398" t="str">
        <f>VLOOKUP(D64,'Pivot BSI'!W:AA,5,false)</f>
        <v>EMAIL_CLICKED</v>
      </c>
      <c r="K64" s="399" t="s">
        <v>8912</v>
      </c>
      <c r="L64" s="398"/>
      <c r="M64" s="398"/>
      <c r="N64" s="398"/>
      <c r="O64" s="398"/>
      <c r="P64" s="398"/>
      <c r="Q64" s="398"/>
      <c r="R64" s="398"/>
    </row>
    <row r="65">
      <c r="A65" s="398" t="s">
        <v>9113</v>
      </c>
      <c r="B65" s="398" t="s">
        <v>30</v>
      </c>
      <c r="C65" s="399" t="s">
        <v>8967</v>
      </c>
      <c r="D65" s="400" t="s">
        <v>9125</v>
      </c>
      <c r="E65" s="399" t="s">
        <v>9127</v>
      </c>
      <c r="F65" s="399">
        <v>17.0</v>
      </c>
      <c r="G65" s="439"/>
      <c r="H65" s="209" t="s">
        <v>8924</v>
      </c>
      <c r="I65" s="399" t="s">
        <v>8925</v>
      </c>
      <c r="J65" s="398" t="str">
        <f>VLOOKUP(D65,'Pivot BSI'!W:AA,5,false)</f>
        <v>#N/A</v>
      </c>
      <c r="K65" s="399"/>
      <c r="L65" s="398"/>
      <c r="M65" s="398"/>
      <c r="N65" s="398"/>
      <c r="O65" s="398"/>
      <c r="P65" s="398"/>
      <c r="Q65" s="398"/>
      <c r="R65" s="398"/>
    </row>
    <row r="66">
      <c r="A66" s="398" t="s">
        <v>9113</v>
      </c>
      <c r="B66" s="398" t="s">
        <v>30</v>
      </c>
      <c r="C66" s="399" t="s">
        <v>8967</v>
      </c>
      <c r="D66" s="400" t="s">
        <v>9130</v>
      </c>
      <c r="E66" s="399" t="s">
        <v>9133</v>
      </c>
      <c r="F66" s="399">
        <v>13.0</v>
      </c>
      <c r="G66" s="439"/>
      <c r="H66" s="209" t="s">
        <v>8924</v>
      </c>
      <c r="I66" s="399" t="s">
        <v>8925</v>
      </c>
      <c r="J66" s="398" t="str">
        <f>VLOOKUP(D66,'Pivot BSI'!W:AA,5,false)</f>
        <v>#N/A</v>
      </c>
      <c r="K66" s="399"/>
      <c r="L66" s="398"/>
      <c r="M66" s="398"/>
      <c r="N66" s="398"/>
      <c r="O66" s="398"/>
      <c r="P66" s="398"/>
      <c r="Q66" s="398"/>
      <c r="R66" s="398"/>
    </row>
    <row r="67">
      <c r="A67" s="398" t="s">
        <v>9113</v>
      </c>
      <c r="B67" s="398" t="s">
        <v>30</v>
      </c>
      <c r="C67" s="398" t="s">
        <v>9135</v>
      </c>
      <c r="D67" s="400" t="s">
        <v>9137</v>
      </c>
      <c r="E67" s="399" t="s">
        <v>9140</v>
      </c>
      <c r="F67" s="399">
        <v>7.0</v>
      </c>
      <c r="G67" s="439"/>
      <c r="H67" s="398"/>
      <c r="I67" s="399"/>
      <c r="J67" s="398" t="str">
        <f>VLOOKUP(D67,'Pivot BSI'!W:AA,5,false)</f>
        <v>#N/A</v>
      </c>
      <c r="K67" s="399" t="s">
        <v>8986</v>
      </c>
      <c r="L67" s="398"/>
      <c r="M67" s="398"/>
      <c r="N67" s="398"/>
      <c r="O67" s="398"/>
      <c r="P67" s="398"/>
      <c r="Q67" s="398"/>
      <c r="R67" s="398"/>
    </row>
    <row r="68">
      <c r="A68" s="398" t="s">
        <v>9113</v>
      </c>
      <c r="B68" s="398" t="s">
        <v>30</v>
      </c>
      <c r="C68" s="398" t="s">
        <v>8967</v>
      </c>
      <c r="D68" s="400" t="s">
        <v>9141</v>
      </c>
      <c r="E68" s="399" t="s">
        <v>9143</v>
      </c>
      <c r="F68" s="399">
        <v>6.0</v>
      </c>
      <c r="G68" s="439"/>
      <c r="H68" s="209" t="s">
        <v>8924</v>
      </c>
      <c r="I68" s="399" t="s">
        <v>8925</v>
      </c>
      <c r="J68" s="398" t="str">
        <f>VLOOKUP(D68,'Pivot BSI'!W:AA,5,false)</f>
        <v>#N/A</v>
      </c>
      <c r="K68" s="399"/>
      <c r="L68" s="398"/>
      <c r="M68" s="398"/>
      <c r="N68" s="398"/>
      <c r="O68" s="398"/>
      <c r="P68" s="398"/>
      <c r="Q68" s="398"/>
      <c r="R68" s="398"/>
    </row>
    <row r="69">
      <c r="A69" s="398" t="s">
        <v>9113</v>
      </c>
      <c r="B69" s="398" t="s">
        <v>30</v>
      </c>
      <c r="C69" s="398" t="s">
        <v>9145</v>
      </c>
      <c r="D69" s="418" t="s">
        <v>9146</v>
      </c>
      <c r="E69" s="399" t="s">
        <v>9149</v>
      </c>
      <c r="F69" s="399">
        <v>9.0</v>
      </c>
      <c r="G69" s="439"/>
      <c r="H69" s="398"/>
      <c r="I69" s="399"/>
      <c r="J69" s="398" t="str">
        <f>VLOOKUP(D69,'Pivot BSI'!W:AA,5,false)</f>
        <v>EMAIL_OPENED</v>
      </c>
      <c r="K69" s="399" t="s">
        <v>8912</v>
      </c>
      <c r="L69" s="398"/>
      <c r="M69" s="398"/>
      <c r="N69" s="398"/>
      <c r="O69" s="398"/>
      <c r="P69" s="398"/>
      <c r="Q69" s="398"/>
      <c r="R69" s="398"/>
    </row>
    <row r="70">
      <c r="A70" s="399" t="s">
        <v>9113</v>
      </c>
      <c r="B70" s="399" t="s">
        <v>30</v>
      </c>
      <c r="C70" s="398" t="s">
        <v>9152</v>
      </c>
      <c r="D70" s="418" t="s">
        <v>9153</v>
      </c>
      <c r="E70" s="399" t="s">
        <v>9156</v>
      </c>
      <c r="F70" s="399">
        <v>3.0</v>
      </c>
      <c r="G70" s="439"/>
      <c r="H70" s="398"/>
      <c r="I70" s="399" t="s">
        <v>8937</v>
      </c>
      <c r="J70" s="398" t="str">
        <f>VLOOKUP(D70,'Pivot BSI'!W:AA,5,false)</f>
        <v>#N/A</v>
      </c>
      <c r="K70" s="399"/>
      <c r="L70" s="398"/>
      <c r="M70" s="398"/>
      <c r="N70" s="398"/>
      <c r="O70" s="398"/>
      <c r="P70" s="398"/>
      <c r="Q70" s="398"/>
      <c r="R70" s="398"/>
    </row>
    <row r="71">
      <c r="A71" s="399" t="s">
        <v>9113</v>
      </c>
      <c r="B71" s="399" t="s">
        <v>30</v>
      </c>
      <c r="C71" s="399" t="s">
        <v>9152</v>
      </c>
      <c r="D71" s="70" t="s">
        <v>9159</v>
      </c>
      <c r="E71" s="399" t="s">
        <v>9162</v>
      </c>
      <c r="F71" s="399">
        <v>2.0</v>
      </c>
      <c r="G71" s="398"/>
      <c r="H71" s="398"/>
      <c r="I71" s="399" t="s">
        <v>8937</v>
      </c>
      <c r="J71" s="398" t="str">
        <f>VLOOKUP(D71,'Pivot BSI'!W:AA,5,false)</f>
        <v>#N/A</v>
      </c>
      <c r="K71" s="399"/>
      <c r="L71" s="398"/>
      <c r="M71" s="398"/>
      <c r="N71" s="398"/>
      <c r="O71" s="398"/>
      <c r="P71" s="398"/>
      <c r="Q71" s="398"/>
      <c r="R71" s="398"/>
    </row>
    <row r="72">
      <c r="A72" s="399" t="s">
        <v>9113</v>
      </c>
      <c r="B72" s="399" t="s">
        <v>30</v>
      </c>
      <c r="C72" s="399" t="s">
        <v>9166</v>
      </c>
      <c r="D72" s="70" t="s">
        <v>9167</v>
      </c>
      <c r="E72" s="399" t="s">
        <v>9168</v>
      </c>
      <c r="F72" s="399">
        <v>7.0</v>
      </c>
      <c r="G72" s="398"/>
      <c r="H72" s="398"/>
      <c r="I72" s="399"/>
      <c r="J72" s="398" t="str">
        <f>VLOOKUP(D72,'Pivot BSI'!W:AA,5,false)</f>
        <v>EMAIL_OPENED</v>
      </c>
      <c r="K72" s="399" t="s">
        <v>8912</v>
      </c>
      <c r="L72" s="398"/>
      <c r="M72" s="398"/>
      <c r="N72" s="398"/>
      <c r="O72" s="398"/>
      <c r="P72" s="398"/>
      <c r="Q72" s="398"/>
      <c r="R72" s="398"/>
    </row>
    <row r="73">
      <c r="A73" s="399" t="s">
        <v>9113</v>
      </c>
      <c r="B73" s="399" t="s">
        <v>30</v>
      </c>
      <c r="C73" s="399" t="s">
        <v>9152</v>
      </c>
      <c r="D73" s="70" t="s">
        <v>9171</v>
      </c>
      <c r="E73" s="399" t="s">
        <v>9173</v>
      </c>
      <c r="F73" s="399">
        <v>3.0</v>
      </c>
      <c r="G73" s="398"/>
      <c r="H73" s="398"/>
      <c r="I73" s="399" t="s">
        <v>8937</v>
      </c>
      <c r="J73" s="398" t="str">
        <f>VLOOKUP(D73,'Pivot BSI'!W:AA,5,false)</f>
        <v>#N/A</v>
      </c>
      <c r="K73" s="399"/>
      <c r="L73" s="398"/>
      <c r="M73" s="398"/>
      <c r="N73" s="398"/>
      <c r="O73" s="398"/>
      <c r="P73" s="398"/>
      <c r="Q73" s="398"/>
      <c r="R73" s="398"/>
    </row>
    <row r="74">
      <c r="A74" s="399" t="s">
        <v>9113</v>
      </c>
      <c r="B74" s="399" t="s">
        <v>30</v>
      </c>
      <c r="C74" s="399" t="s">
        <v>9176</v>
      </c>
      <c r="D74" s="80" t="s">
        <v>9177</v>
      </c>
      <c r="E74" s="399" t="s">
        <v>9180</v>
      </c>
      <c r="F74" s="398"/>
      <c r="G74" s="398"/>
      <c r="H74" s="420" t="s">
        <v>9181</v>
      </c>
      <c r="I74" s="399" t="s">
        <v>8937</v>
      </c>
      <c r="J74" s="398" t="str">
        <f>VLOOKUP(D74,'Pivot BSI'!W:AA,5,false)</f>
        <v>#N/A</v>
      </c>
      <c r="K74" s="399"/>
      <c r="L74" s="398"/>
      <c r="M74" s="398"/>
      <c r="N74" s="398"/>
      <c r="O74" s="398"/>
      <c r="P74" s="398"/>
      <c r="Q74" s="398"/>
      <c r="R74" s="398"/>
    </row>
    <row r="75">
      <c r="A75" s="399" t="s">
        <v>9113</v>
      </c>
      <c r="B75" s="399" t="s">
        <v>30</v>
      </c>
      <c r="C75" s="399" t="s">
        <v>9176</v>
      </c>
      <c r="D75" s="80" t="s">
        <v>9183</v>
      </c>
      <c r="E75" s="399" t="s">
        <v>9185</v>
      </c>
      <c r="F75" s="398"/>
      <c r="G75" s="398"/>
      <c r="H75" s="420" t="s">
        <v>9181</v>
      </c>
      <c r="I75" s="399" t="s">
        <v>8937</v>
      </c>
      <c r="J75" s="398"/>
      <c r="K75" s="399"/>
      <c r="L75" s="398"/>
      <c r="M75" s="398"/>
      <c r="N75" s="398"/>
      <c r="O75" s="398"/>
      <c r="P75" s="398"/>
      <c r="Q75" s="398"/>
      <c r="R75" s="398"/>
    </row>
    <row r="76">
      <c r="A76" s="398" t="s">
        <v>9186</v>
      </c>
      <c r="B76" s="398" t="s">
        <v>15</v>
      </c>
      <c r="C76" s="398"/>
      <c r="D76" s="398"/>
      <c r="E76" s="413"/>
      <c r="F76" s="398"/>
      <c r="G76" s="398"/>
      <c r="H76" s="398"/>
      <c r="I76" s="398"/>
      <c r="J76" s="398" t="str">
        <f>VLOOKUP(D76,'Pivot BSI'!W:AA,5,false)</f>
        <v>#N/A</v>
      </c>
      <c r="K76" s="413"/>
      <c r="L76" s="398"/>
      <c r="M76" s="398"/>
      <c r="N76" s="398"/>
      <c r="O76" s="398"/>
      <c r="P76" s="398"/>
      <c r="Q76" s="398"/>
      <c r="R76" s="398"/>
    </row>
    <row r="77">
      <c r="A77" s="398" t="s">
        <v>9186</v>
      </c>
      <c r="B77" s="398" t="s">
        <v>15</v>
      </c>
      <c r="C77" s="398"/>
      <c r="D77" s="398"/>
      <c r="E77" s="413"/>
      <c r="F77" s="398"/>
      <c r="G77" s="398"/>
      <c r="H77" s="398"/>
      <c r="I77" s="398"/>
      <c r="J77" s="398" t="str">
        <f>VLOOKUP(D77,'Pivot BSI'!W:AA,5,false)</f>
        <v>#N/A</v>
      </c>
      <c r="K77" s="413"/>
      <c r="L77" s="398"/>
      <c r="M77" s="398"/>
      <c r="N77" s="398"/>
      <c r="O77" s="398"/>
      <c r="P77" s="398"/>
      <c r="Q77" s="398"/>
      <c r="R77" s="398"/>
    </row>
    <row r="78">
      <c r="A78" s="398" t="s">
        <v>9186</v>
      </c>
      <c r="B78" s="398" t="s">
        <v>15</v>
      </c>
      <c r="C78" s="398"/>
      <c r="D78" s="398"/>
      <c r="E78" s="413"/>
      <c r="F78" s="398"/>
      <c r="G78" s="398"/>
      <c r="H78" s="398"/>
      <c r="I78" s="398"/>
      <c r="J78" s="398" t="str">
        <f>VLOOKUP(D78,'Pivot BSI'!W:AA,5,false)</f>
        <v>#N/A</v>
      </c>
      <c r="K78" s="413"/>
      <c r="L78" s="398"/>
      <c r="M78" s="398"/>
      <c r="N78" s="398"/>
      <c r="O78" s="398"/>
      <c r="P78" s="398"/>
      <c r="Q78" s="398"/>
      <c r="R78" s="398"/>
    </row>
    <row r="79">
      <c r="A79" s="398" t="s">
        <v>9186</v>
      </c>
      <c r="B79" s="398" t="s">
        <v>15</v>
      </c>
      <c r="C79" s="398"/>
      <c r="D79" s="398"/>
      <c r="E79" s="413"/>
      <c r="F79" s="398"/>
      <c r="G79" s="398"/>
      <c r="H79" s="398"/>
      <c r="I79" s="398"/>
      <c r="J79" s="398" t="str">
        <f>VLOOKUP(D79,'Pivot BSI'!W:AA,5,false)</f>
        <v>#N/A</v>
      </c>
      <c r="K79" s="413"/>
      <c r="L79" s="398"/>
      <c r="M79" s="398"/>
      <c r="N79" s="398"/>
      <c r="O79" s="398"/>
      <c r="P79" s="398"/>
      <c r="Q79" s="398"/>
      <c r="R79" s="398"/>
    </row>
    <row r="80">
      <c r="A80" s="398" t="s">
        <v>9186</v>
      </c>
      <c r="B80" s="398" t="s">
        <v>15</v>
      </c>
      <c r="C80" s="398"/>
      <c r="D80" s="398"/>
      <c r="E80" s="413"/>
      <c r="F80" s="398"/>
      <c r="G80" s="398"/>
      <c r="H80" s="398"/>
      <c r="I80" s="398"/>
      <c r="J80" s="398" t="str">
        <f>VLOOKUP(D80,'Pivot BSI'!W:AA,5,false)</f>
        <v>#N/A</v>
      </c>
      <c r="K80" s="413"/>
      <c r="L80" s="398"/>
      <c r="M80" s="398"/>
      <c r="N80" s="398"/>
      <c r="O80" s="398"/>
      <c r="P80" s="398"/>
      <c r="Q80" s="398"/>
      <c r="R80" s="398"/>
    </row>
    <row r="81">
      <c r="A81" s="398" t="s">
        <v>9186</v>
      </c>
      <c r="B81" s="398" t="s">
        <v>15</v>
      </c>
      <c r="C81" s="398"/>
      <c r="D81" s="398"/>
      <c r="E81" s="413"/>
      <c r="F81" s="398"/>
      <c r="G81" s="398"/>
      <c r="H81" s="398"/>
      <c r="I81" s="398"/>
      <c r="J81" s="398" t="str">
        <f>VLOOKUP(D81,'Pivot BSI'!W:AA,5,false)</f>
        <v>#N/A</v>
      </c>
      <c r="K81" s="413"/>
      <c r="L81" s="398"/>
      <c r="M81" s="398"/>
      <c r="N81" s="398"/>
      <c r="O81" s="398"/>
      <c r="P81" s="398"/>
      <c r="Q81" s="398"/>
      <c r="R81" s="398"/>
    </row>
    <row r="82">
      <c r="A82" s="398" t="s">
        <v>9186</v>
      </c>
      <c r="B82" s="398" t="s">
        <v>15</v>
      </c>
      <c r="C82" s="398"/>
      <c r="D82" s="398"/>
      <c r="E82" s="413"/>
      <c r="F82" s="398"/>
      <c r="G82" s="398"/>
      <c r="H82" s="398"/>
      <c r="I82" s="398"/>
      <c r="J82" s="398" t="str">
        <f>VLOOKUP(D82,'Pivot BSI'!W:AA,5,false)</f>
        <v>#N/A</v>
      </c>
      <c r="K82" s="413"/>
      <c r="L82" s="398"/>
      <c r="M82" s="398"/>
      <c r="N82" s="398"/>
      <c r="O82" s="398"/>
      <c r="P82" s="398"/>
      <c r="Q82" s="398"/>
      <c r="R82" s="398"/>
    </row>
    <row r="83">
      <c r="A83" s="398" t="s">
        <v>9186</v>
      </c>
      <c r="B83" s="398" t="s">
        <v>15</v>
      </c>
      <c r="C83" s="398"/>
      <c r="D83" s="398"/>
      <c r="E83" s="413"/>
      <c r="F83" s="398"/>
      <c r="G83" s="398"/>
      <c r="H83" s="398"/>
      <c r="I83" s="398"/>
      <c r="J83" s="398" t="str">
        <f>VLOOKUP(D83,'Pivot BSI'!W:AA,5,false)</f>
        <v>#N/A</v>
      </c>
      <c r="K83" s="413"/>
      <c r="L83" s="398"/>
      <c r="M83" s="398"/>
      <c r="N83" s="398"/>
      <c r="O83" s="398"/>
      <c r="P83" s="398"/>
      <c r="Q83" s="398"/>
      <c r="R83" s="398"/>
    </row>
    <row r="84">
      <c r="A84" s="398" t="s">
        <v>9186</v>
      </c>
      <c r="B84" s="398" t="s">
        <v>15</v>
      </c>
      <c r="C84" s="398"/>
      <c r="D84" s="398"/>
      <c r="E84" s="413"/>
      <c r="F84" s="398"/>
      <c r="G84" s="398"/>
      <c r="H84" s="398"/>
      <c r="I84" s="398"/>
      <c r="J84" s="398" t="str">
        <f>VLOOKUP(D84,'Pivot BSI'!W:AA,5,false)</f>
        <v>#N/A</v>
      </c>
      <c r="K84" s="413"/>
      <c r="L84" s="398"/>
      <c r="M84" s="398"/>
      <c r="N84" s="398"/>
      <c r="O84" s="398"/>
      <c r="P84" s="398"/>
      <c r="Q84" s="398"/>
      <c r="R84" s="398"/>
    </row>
    <row r="85">
      <c r="A85" s="398" t="s">
        <v>9186</v>
      </c>
      <c r="B85" s="398" t="s">
        <v>15</v>
      </c>
      <c r="C85" s="398"/>
      <c r="D85" s="398"/>
      <c r="E85" s="413"/>
      <c r="F85" s="398"/>
      <c r="G85" s="398"/>
      <c r="H85" s="398"/>
      <c r="I85" s="398"/>
      <c r="J85" s="398" t="str">
        <f>VLOOKUP(D85,'Pivot BSI'!W:AA,5,false)</f>
        <v>#N/A</v>
      </c>
      <c r="K85" s="413"/>
      <c r="L85" s="398"/>
      <c r="M85" s="398"/>
      <c r="N85" s="398"/>
      <c r="O85" s="398"/>
      <c r="P85" s="398"/>
      <c r="Q85" s="398"/>
      <c r="R85" s="398"/>
    </row>
    <row r="86">
      <c r="A86" s="398" t="s">
        <v>9186</v>
      </c>
      <c r="B86" s="398" t="s">
        <v>15</v>
      </c>
      <c r="C86" s="398"/>
      <c r="D86" s="398"/>
      <c r="E86" s="413"/>
      <c r="F86" s="398"/>
      <c r="G86" s="398"/>
      <c r="H86" s="398"/>
      <c r="I86" s="398"/>
      <c r="J86" s="398" t="str">
        <f>VLOOKUP(D86,'Pivot BSI'!W:AA,5,false)</f>
        <v>#N/A</v>
      </c>
      <c r="K86" s="413"/>
      <c r="L86" s="398"/>
      <c r="M86" s="398"/>
      <c r="N86" s="398"/>
      <c r="O86" s="398"/>
      <c r="P86" s="398"/>
      <c r="Q86" s="398"/>
      <c r="R86" s="398"/>
    </row>
    <row r="87">
      <c r="A87" s="399" t="s">
        <v>9202</v>
      </c>
      <c r="B87" s="399" t="s">
        <v>23</v>
      </c>
      <c r="C87" s="399" t="s">
        <v>9203</v>
      </c>
      <c r="D87" s="438" t="s">
        <v>9205</v>
      </c>
      <c r="E87" s="399" t="s">
        <v>9207</v>
      </c>
      <c r="F87" s="399">
        <v>8.0</v>
      </c>
      <c r="G87" s="398"/>
      <c r="H87" s="399" t="s">
        <v>9208</v>
      </c>
      <c r="I87" s="399" t="s">
        <v>9005</v>
      </c>
      <c r="J87" s="398" t="str">
        <f>VLOOKUP(D87,'Pivot BSI'!W:AA,5,false)</f>
        <v>#N/A</v>
      </c>
      <c r="K87" s="399"/>
      <c r="L87" s="398"/>
      <c r="M87" s="398"/>
      <c r="N87" s="398"/>
      <c r="O87" s="398"/>
      <c r="P87" s="398"/>
      <c r="Q87" s="398"/>
      <c r="R87" s="398"/>
    </row>
    <row r="88">
      <c r="A88" s="399" t="s">
        <v>9202</v>
      </c>
      <c r="B88" s="399" t="s">
        <v>23</v>
      </c>
      <c r="C88" s="399" t="s">
        <v>9210</v>
      </c>
      <c r="D88" s="438" t="s">
        <v>9212</v>
      </c>
      <c r="E88" s="399" t="s">
        <v>9213</v>
      </c>
      <c r="F88" s="399">
        <v>3.0</v>
      </c>
      <c r="G88" s="398"/>
      <c r="H88" s="399" t="s">
        <v>9208</v>
      </c>
      <c r="I88" s="399" t="s">
        <v>9005</v>
      </c>
      <c r="J88" s="398" t="str">
        <f>VLOOKUP(D88,'Pivot BSI'!W:AA,5,false)</f>
        <v>#N/A</v>
      </c>
      <c r="K88" s="399"/>
      <c r="L88" s="398"/>
      <c r="M88" s="398"/>
      <c r="N88" s="398"/>
      <c r="O88" s="398"/>
      <c r="P88" s="398"/>
      <c r="Q88" s="398"/>
      <c r="R88" s="398"/>
    </row>
    <row r="89">
      <c r="A89" s="449" t="s">
        <v>9215</v>
      </c>
      <c r="B89" s="399" t="s">
        <v>23</v>
      </c>
      <c r="C89" s="399" t="s">
        <v>9217</v>
      </c>
      <c r="D89" s="438" t="s">
        <v>9218</v>
      </c>
      <c r="E89" s="399" t="s">
        <v>9219</v>
      </c>
      <c r="F89" s="399">
        <v>3.0</v>
      </c>
      <c r="G89" s="398"/>
      <c r="H89" s="398"/>
      <c r="I89" s="399"/>
      <c r="J89" s="398" t="str">
        <f>VLOOKUP(D89,'Pivot BSI'!W:AA,5,false)</f>
        <v>#N/A</v>
      </c>
      <c r="K89" s="399" t="s">
        <v>9013</v>
      </c>
      <c r="L89" s="398"/>
      <c r="M89" s="398"/>
      <c r="N89" s="398"/>
      <c r="O89" s="398"/>
      <c r="P89" s="398"/>
      <c r="Q89" s="398"/>
      <c r="R89" s="398"/>
    </row>
    <row r="90">
      <c r="A90" s="399" t="s">
        <v>9215</v>
      </c>
      <c r="B90" s="399" t="s">
        <v>23</v>
      </c>
      <c r="C90" s="399" t="s">
        <v>9217</v>
      </c>
      <c r="D90" s="454" t="s">
        <v>9220</v>
      </c>
      <c r="E90" s="399" t="s">
        <v>9223</v>
      </c>
      <c r="F90" s="399">
        <v>2.0</v>
      </c>
      <c r="G90" s="398"/>
      <c r="H90" s="398"/>
      <c r="I90" s="399"/>
      <c r="J90" s="398" t="str">
        <f>VLOOKUP(D90,'Pivot BSI'!W:AA,5,false)</f>
        <v>#N/A</v>
      </c>
      <c r="K90" s="399" t="s">
        <v>9013</v>
      </c>
      <c r="L90" s="398"/>
      <c r="M90" s="398"/>
      <c r="N90" s="398"/>
      <c r="O90" s="398"/>
      <c r="P90" s="398"/>
      <c r="Q90" s="398"/>
      <c r="R90" s="398"/>
    </row>
    <row r="91">
      <c r="A91" s="399" t="s">
        <v>9215</v>
      </c>
      <c r="B91" s="399" t="s">
        <v>23</v>
      </c>
      <c r="C91" s="399" t="s">
        <v>9226</v>
      </c>
      <c r="D91" s="438" t="s">
        <v>9227</v>
      </c>
      <c r="E91" s="399" t="s">
        <v>9229</v>
      </c>
      <c r="F91" s="399">
        <v>3.0</v>
      </c>
      <c r="G91" s="398"/>
      <c r="H91" s="398"/>
      <c r="I91" s="399" t="s">
        <v>8925</v>
      </c>
      <c r="J91" s="399" t="s">
        <v>9045</v>
      </c>
      <c r="K91" s="399"/>
      <c r="L91" s="398"/>
      <c r="M91" s="398"/>
      <c r="N91" s="398"/>
      <c r="O91" s="398"/>
      <c r="P91" s="398"/>
      <c r="Q91" s="398"/>
      <c r="R91" s="398"/>
    </row>
    <row r="92">
      <c r="A92" s="399" t="s">
        <v>9215</v>
      </c>
      <c r="B92" s="449" t="s">
        <v>23</v>
      </c>
      <c r="C92" s="399" t="s">
        <v>9226</v>
      </c>
      <c r="D92" s="438" t="s">
        <v>9230</v>
      </c>
      <c r="E92" s="399" t="s">
        <v>9231</v>
      </c>
      <c r="F92" s="399">
        <v>5.0</v>
      </c>
      <c r="G92" s="398"/>
      <c r="H92" s="398"/>
      <c r="I92" s="399" t="s">
        <v>8925</v>
      </c>
      <c r="J92" s="399" t="s">
        <v>9045</v>
      </c>
      <c r="K92" s="399"/>
      <c r="L92" s="398"/>
      <c r="M92" s="398"/>
      <c r="N92" s="398"/>
      <c r="O92" s="398"/>
      <c r="P92" s="398"/>
      <c r="Q92" s="398"/>
      <c r="R92" s="398"/>
    </row>
    <row r="93">
      <c r="A93" s="399" t="s">
        <v>9215</v>
      </c>
      <c r="B93" s="399" t="s">
        <v>23</v>
      </c>
      <c r="C93" s="399" t="s">
        <v>9232</v>
      </c>
      <c r="D93" s="438" t="s">
        <v>9233</v>
      </c>
      <c r="E93" s="399" t="s">
        <v>9235</v>
      </c>
      <c r="F93" s="399">
        <v>2.0</v>
      </c>
      <c r="G93" s="398"/>
      <c r="H93" s="398"/>
      <c r="I93" s="399"/>
      <c r="J93" s="398" t="str">
        <f>VLOOKUP(D93,'Pivot BSI'!W:AA,5,false)</f>
        <v>EMAIL_CLICKED</v>
      </c>
      <c r="K93" s="399" t="s">
        <v>8912</v>
      </c>
      <c r="L93" s="398"/>
      <c r="M93" s="398"/>
      <c r="N93" s="398"/>
      <c r="O93" s="398"/>
      <c r="P93" s="398"/>
      <c r="Q93" s="398"/>
      <c r="R93" s="398"/>
    </row>
    <row r="94">
      <c r="A94" s="399" t="s">
        <v>9215</v>
      </c>
      <c r="B94" s="399" t="s">
        <v>23</v>
      </c>
      <c r="C94" s="45" t="s">
        <v>9237</v>
      </c>
      <c r="D94" s="438" t="s">
        <v>9239</v>
      </c>
      <c r="E94" s="399" t="s">
        <v>9241</v>
      </c>
      <c r="F94" s="399">
        <v>5.0</v>
      </c>
      <c r="G94" s="398"/>
      <c r="H94" s="209" t="s">
        <v>8924</v>
      </c>
      <c r="I94" s="399" t="s">
        <v>8925</v>
      </c>
      <c r="J94" s="398" t="str">
        <f>VLOOKUP(D94,'Pivot BSI'!W:AA,5,false)</f>
        <v>#N/A</v>
      </c>
      <c r="K94" s="399"/>
      <c r="L94" s="398"/>
      <c r="M94" s="398"/>
      <c r="N94" s="398"/>
      <c r="O94" s="398"/>
      <c r="P94" s="398"/>
      <c r="Q94" s="398"/>
      <c r="R94" s="398"/>
    </row>
    <row r="95">
      <c r="A95" s="399" t="s">
        <v>9215</v>
      </c>
      <c r="B95" s="399" t="s">
        <v>23</v>
      </c>
      <c r="C95" s="45" t="s">
        <v>9237</v>
      </c>
      <c r="D95" s="438" t="s">
        <v>9244</v>
      </c>
      <c r="E95" s="399" t="s">
        <v>9246</v>
      </c>
      <c r="F95" s="399">
        <v>3.0</v>
      </c>
      <c r="G95" s="398"/>
      <c r="H95" s="209" t="s">
        <v>8924</v>
      </c>
      <c r="I95" s="399" t="s">
        <v>8925</v>
      </c>
      <c r="J95" s="398" t="str">
        <f>VLOOKUP(D95,'Pivot BSI'!W:AA,5,false)</f>
        <v>#N/A</v>
      </c>
      <c r="K95" s="399"/>
      <c r="L95" s="398"/>
      <c r="M95" s="398"/>
      <c r="N95" s="398"/>
      <c r="O95" s="398"/>
      <c r="P95" s="398"/>
      <c r="Q95" s="398"/>
      <c r="R95" s="398"/>
    </row>
    <row r="96">
      <c r="A96" s="399" t="s">
        <v>9215</v>
      </c>
      <c r="B96" s="399" t="s">
        <v>23</v>
      </c>
      <c r="C96" s="421" t="s">
        <v>9248</v>
      </c>
      <c r="D96" s="438" t="s">
        <v>9249</v>
      </c>
      <c r="E96" s="399" t="s">
        <v>9253</v>
      </c>
      <c r="F96" s="399">
        <v>10.0</v>
      </c>
      <c r="G96" s="398"/>
      <c r="H96" s="461" t="s">
        <v>9254</v>
      </c>
      <c r="I96" s="399" t="s">
        <v>8969</v>
      </c>
      <c r="J96" s="398" t="str">
        <f>VLOOKUP(D96,'Pivot BSI'!W:AA,5,false)</f>
        <v>RESPONDED</v>
      </c>
      <c r="K96" s="399"/>
      <c r="L96" s="398"/>
      <c r="M96" s="398"/>
      <c r="N96" s="398"/>
      <c r="O96" s="398"/>
      <c r="P96" s="398"/>
      <c r="Q96" s="398"/>
      <c r="R96" s="398"/>
    </row>
    <row r="97">
      <c r="A97" s="399" t="s">
        <v>9215</v>
      </c>
      <c r="B97" s="399" t="s">
        <v>23</v>
      </c>
      <c r="C97" s="399" t="s">
        <v>9259</v>
      </c>
      <c r="D97" s="438" t="s">
        <v>9249</v>
      </c>
      <c r="E97" s="399" t="s">
        <v>9260</v>
      </c>
      <c r="F97" s="399">
        <v>4.0</v>
      </c>
      <c r="G97" s="398"/>
      <c r="H97" s="464" t="s">
        <v>9261</v>
      </c>
      <c r="I97" s="399" t="s">
        <v>8932</v>
      </c>
      <c r="J97" s="398" t="s">
        <v>9264</v>
      </c>
      <c r="K97" s="399"/>
      <c r="L97" s="398"/>
      <c r="M97" s="398"/>
      <c r="N97" s="398"/>
      <c r="O97" s="398"/>
      <c r="P97" s="398"/>
      <c r="Q97" s="398"/>
      <c r="R97" s="398"/>
    </row>
    <row r="98">
      <c r="A98" s="399" t="s">
        <v>9215</v>
      </c>
      <c r="B98" s="399" t="s">
        <v>23</v>
      </c>
      <c r="C98" s="399" t="s">
        <v>9266</v>
      </c>
      <c r="D98" s="438" t="s">
        <v>9249</v>
      </c>
      <c r="E98" s="399" t="s">
        <v>9271</v>
      </c>
      <c r="F98" s="399">
        <v>2.0</v>
      </c>
      <c r="G98" s="398"/>
      <c r="H98" s="398"/>
      <c r="I98" s="399"/>
      <c r="J98" s="398" t="s">
        <v>9264</v>
      </c>
      <c r="K98" s="399"/>
      <c r="L98" s="398"/>
      <c r="M98" s="398"/>
      <c r="N98" s="398"/>
      <c r="O98" s="398"/>
      <c r="P98" s="398"/>
      <c r="Q98" s="398"/>
      <c r="R98" s="398"/>
    </row>
    <row r="99">
      <c r="A99" s="399" t="s">
        <v>9215</v>
      </c>
      <c r="B99" s="399" t="s">
        <v>23</v>
      </c>
      <c r="C99" s="399" t="s">
        <v>8967</v>
      </c>
      <c r="D99" s="438" t="s">
        <v>9273</v>
      </c>
      <c r="E99" s="399" t="s">
        <v>9277</v>
      </c>
      <c r="F99" s="399">
        <v>2.0</v>
      </c>
      <c r="G99" s="438" t="s">
        <v>9279</v>
      </c>
      <c r="H99" s="209"/>
      <c r="I99" s="399" t="s">
        <v>8925</v>
      </c>
      <c r="J99" s="398" t="str">
        <f>VLOOKUP(D99,'Pivot BSI'!W:AA,5,false)</f>
        <v>#N/A</v>
      </c>
      <c r="K99" s="399"/>
      <c r="L99" s="398"/>
      <c r="M99" s="398"/>
      <c r="N99" s="398"/>
      <c r="O99" s="398"/>
      <c r="P99" s="398"/>
      <c r="Q99" s="398"/>
      <c r="R99" s="398"/>
    </row>
    <row r="100" ht="17.25" customHeight="1">
      <c r="A100" s="399" t="s">
        <v>9215</v>
      </c>
      <c r="B100" s="449" t="s">
        <v>23</v>
      </c>
      <c r="C100" s="399" t="s">
        <v>8926</v>
      </c>
      <c r="D100" s="438" t="s">
        <v>9284</v>
      </c>
      <c r="E100" s="399" t="s">
        <v>9287</v>
      </c>
      <c r="F100" s="399">
        <v>6.0</v>
      </c>
      <c r="G100" s="398"/>
      <c r="H100" s="209"/>
      <c r="I100" s="399" t="s">
        <v>8925</v>
      </c>
      <c r="J100" s="398" t="str">
        <f>VLOOKUP(D100,'Pivot BSI'!W:AA,5,false)</f>
        <v/>
      </c>
      <c r="K100" s="399"/>
      <c r="L100" s="398"/>
      <c r="M100" s="398"/>
      <c r="N100" s="398"/>
      <c r="O100" s="398"/>
      <c r="P100" s="398"/>
      <c r="Q100" s="398"/>
      <c r="R100" s="398"/>
    </row>
    <row r="101">
      <c r="A101" s="399" t="s">
        <v>9215</v>
      </c>
      <c r="B101" s="399" t="s">
        <v>23</v>
      </c>
      <c r="C101" s="399" t="s">
        <v>9290</v>
      </c>
      <c r="D101" s="438" t="s">
        <v>9291</v>
      </c>
      <c r="E101" s="399" t="s">
        <v>9295</v>
      </c>
      <c r="F101" s="399">
        <v>8.0</v>
      </c>
      <c r="G101" s="398"/>
      <c r="H101" s="398"/>
      <c r="I101" s="399" t="s">
        <v>8996</v>
      </c>
      <c r="J101" s="398" t="str">
        <f>VLOOKUP(D101,'Pivot BSI'!W:AA,5,false)</f>
        <v>RESPONDED</v>
      </c>
      <c r="K101" s="399"/>
      <c r="L101" s="398"/>
      <c r="M101" s="398"/>
      <c r="N101" s="398"/>
      <c r="O101" s="398"/>
      <c r="P101" s="398"/>
      <c r="Q101" s="398"/>
      <c r="R101" s="398"/>
    </row>
    <row r="102">
      <c r="A102" s="399" t="s">
        <v>9215</v>
      </c>
      <c r="B102" s="399" t="s">
        <v>23</v>
      </c>
      <c r="C102" s="399" t="s">
        <v>9298</v>
      </c>
      <c r="D102" s="438" t="s">
        <v>9299</v>
      </c>
      <c r="E102" s="399" t="s">
        <v>9287</v>
      </c>
      <c r="F102" s="399">
        <v>6.0</v>
      </c>
      <c r="G102" s="398"/>
      <c r="H102" s="209"/>
      <c r="I102" s="399" t="s">
        <v>8925</v>
      </c>
      <c r="J102" s="398" t="str">
        <f>VLOOKUP(D102,'Pivot BSI'!W:AA,5,false)</f>
        <v>EMAIL_CLICKED</v>
      </c>
      <c r="K102" s="399"/>
      <c r="L102" s="398"/>
      <c r="M102" s="398"/>
      <c r="N102" s="398"/>
      <c r="O102" s="398"/>
      <c r="P102" s="398"/>
      <c r="Q102" s="398"/>
      <c r="R102" s="398"/>
    </row>
    <row r="103">
      <c r="A103" s="399" t="s">
        <v>9215</v>
      </c>
      <c r="B103" s="399" t="s">
        <v>23</v>
      </c>
      <c r="C103" s="399" t="s">
        <v>9304</v>
      </c>
      <c r="D103" s="438" t="s">
        <v>9305</v>
      </c>
      <c r="E103" s="399" t="s">
        <v>9308</v>
      </c>
      <c r="F103" s="399">
        <v>7.0</v>
      </c>
      <c r="G103" s="398"/>
      <c r="H103" s="209"/>
      <c r="I103" s="399" t="s">
        <v>8969</v>
      </c>
      <c r="J103" s="398" t="str">
        <f>VLOOKUP(D103,'Pivot BSI'!W:AA,5,false)</f>
        <v>#N/A</v>
      </c>
      <c r="K103" s="399"/>
      <c r="L103" s="398"/>
      <c r="M103" s="398"/>
      <c r="N103" s="398"/>
      <c r="O103" s="398"/>
      <c r="P103" s="398"/>
      <c r="Q103" s="398"/>
      <c r="R103" s="398"/>
    </row>
    <row r="104">
      <c r="A104" s="399" t="s">
        <v>9215</v>
      </c>
      <c r="B104" s="399" t="s">
        <v>23</v>
      </c>
      <c r="C104" s="399" t="s">
        <v>9310</v>
      </c>
      <c r="D104" s="438" t="s">
        <v>9311</v>
      </c>
      <c r="E104" s="399" t="s">
        <v>9313</v>
      </c>
      <c r="F104" s="399">
        <v>6.0</v>
      </c>
      <c r="G104" s="398"/>
      <c r="H104" s="398"/>
      <c r="I104" s="399"/>
      <c r="J104" s="398" t="str">
        <f>VLOOKUP(D104,'Pivot BSI'!W:AA,5,false)</f>
        <v>EMAIL_CLICKED</v>
      </c>
      <c r="K104" s="399"/>
      <c r="L104" s="398"/>
      <c r="M104" s="398"/>
      <c r="N104" s="398"/>
      <c r="O104" s="398"/>
      <c r="P104" s="398"/>
      <c r="Q104" s="398"/>
      <c r="R104" s="398"/>
    </row>
    <row r="105" ht="14.25" customHeight="1">
      <c r="A105" s="399" t="s">
        <v>9215</v>
      </c>
      <c r="B105" s="399" t="s">
        <v>23</v>
      </c>
      <c r="C105" s="399" t="s">
        <v>9315</v>
      </c>
      <c r="D105" s="438" t="s">
        <v>9316</v>
      </c>
      <c r="E105" s="399" t="s">
        <v>9318</v>
      </c>
      <c r="F105" s="399">
        <v>4.0</v>
      </c>
      <c r="G105" s="398"/>
      <c r="H105" s="209"/>
      <c r="I105" s="399" t="s">
        <v>8925</v>
      </c>
      <c r="J105" s="398" t="str">
        <f>VLOOKUP(D105,'Pivot BSI'!W:AA,5,false)</f>
        <v>#N/A</v>
      </c>
      <c r="K105" s="399"/>
      <c r="L105" s="398"/>
      <c r="M105" s="398"/>
      <c r="N105" s="398"/>
      <c r="O105" s="398"/>
      <c r="P105" s="398"/>
      <c r="Q105" s="398"/>
      <c r="R105" s="398"/>
    </row>
    <row r="106">
      <c r="A106" s="399" t="s">
        <v>9215</v>
      </c>
      <c r="B106" s="399" t="s">
        <v>23</v>
      </c>
      <c r="C106" s="399" t="s">
        <v>9321</v>
      </c>
      <c r="D106" s="438" t="s">
        <v>9322</v>
      </c>
      <c r="E106" s="399" t="s">
        <v>9324</v>
      </c>
      <c r="F106" s="399">
        <v>16.0</v>
      </c>
      <c r="G106" s="398"/>
      <c r="H106" s="398"/>
      <c r="I106" s="399"/>
      <c r="J106" s="398" t="str">
        <f>VLOOKUP(D106,'Pivot BSI'!W:AA,5,false)</f>
        <v>#N/A</v>
      </c>
      <c r="K106" s="399"/>
      <c r="L106" s="398"/>
      <c r="M106" s="398"/>
      <c r="N106" s="398"/>
      <c r="O106" s="398"/>
      <c r="P106" s="398"/>
      <c r="Q106" s="398"/>
      <c r="R106" s="398"/>
    </row>
    <row r="107" ht="17.25" customHeight="1">
      <c r="A107" s="399" t="s">
        <v>9215</v>
      </c>
      <c r="B107" s="399" t="s">
        <v>23</v>
      </c>
      <c r="C107" s="399" t="s">
        <v>9315</v>
      </c>
      <c r="D107" s="438" t="s">
        <v>9328</v>
      </c>
      <c r="E107" s="399" t="s">
        <v>9330</v>
      </c>
      <c r="F107" s="399">
        <v>3.0</v>
      </c>
      <c r="G107" s="398"/>
      <c r="H107" s="209"/>
      <c r="I107" s="399" t="s">
        <v>8925</v>
      </c>
      <c r="J107" s="398" t="str">
        <f>VLOOKUP(D107,'Pivot BSI'!W:AA,5,false)</f>
        <v>#N/A</v>
      </c>
      <c r="K107" s="399"/>
      <c r="L107" s="398"/>
      <c r="M107" s="398"/>
      <c r="N107" s="398"/>
      <c r="O107" s="398"/>
      <c r="P107" s="398"/>
      <c r="Q107" s="398"/>
      <c r="R107" s="398"/>
    </row>
    <row r="108">
      <c r="A108" s="399" t="s">
        <v>9215</v>
      </c>
      <c r="B108" s="399" t="s">
        <v>23</v>
      </c>
      <c r="C108" s="399" t="s">
        <v>9304</v>
      </c>
      <c r="D108" s="438" t="s">
        <v>9332</v>
      </c>
      <c r="E108" s="399" t="s">
        <v>9335</v>
      </c>
      <c r="F108" s="399">
        <v>16.0</v>
      </c>
      <c r="G108" s="398"/>
      <c r="H108" s="209"/>
      <c r="I108" s="399" t="s">
        <v>8969</v>
      </c>
      <c r="J108" s="398" t="str">
        <f>VLOOKUP(D108,'Pivot BSI'!W:AA,5,false)</f>
        <v>EMAIL_SENT</v>
      </c>
      <c r="K108" s="399"/>
      <c r="L108" s="398"/>
      <c r="M108" s="398"/>
      <c r="N108" s="398"/>
      <c r="O108" s="398"/>
      <c r="P108" s="398"/>
      <c r="Q108" s="398"/>
      <c r="R108" s="398"/>
    </row>
    <row r="109">
      <c r="A109" s="399" t="s">
        <v>9215</v>
      </c>
      <c r="B109" s="399" t="s">
        <v>23</v>
      </c>
      <c r="C109" s="399" t="s">
        <v>9338</v>
      </c>
      <c r="D109" s="438" t="s">
        <v>9339</v>
      </c>
      <c r="E109" s="399" t="s">
        <v>9341</v>
      </c>
      <c r="F109" s="399">
        <v>4.0</v>
      </c>
      <c r="G109" s="398"/>
      <c r="H109" s="398"/>
      <c r="I109" s="399"/>
      <c r="J109" s="398" t="str">
        <f>VLOOKUP(D109,'Pivot BSI'!W:AA,5,false)</f>
        <v>#N/A</v>
      </c>
      <c r="K109" s="399"/>
      <c r="L109" s="398"/>
      <c r="M109" s="398"/>
      <c r="N109" s="398"/>
      <c r="O109" s="398"/>
      <c r="P109" s="398"/>
      <c r="Q109" s="398"/>
      <c r="R109" s="398"/>
    </row>
    <row r="110">
      <c r="A110" s="398"/>
      <c r="B110" s="398"/>
      <c r="C110" s="398"/>
      <c r="D110" s="398"/>
      <c r="E110" s="398"/>
      <c r="F110" s="398"/>
      <c r="G110" s="398"/>
      <c r="H110" s="398"/>
      <c r="I110" s="398"/>
      <c r="J110" s="398" t="str">
        <f>VLOOKUP(D110,'Pivot BSI'!W:AA,5,false)</f>
        <v>#N/A</v>
      </c>
      <c r="K110" s="398"/>
      <c r="L110" s="398"/>
      <c r="M110" s="398"/>
      <c r="N110" s="398"/>
      <c r="O110" s="398"/>
      <c r="P110" s="398"/>
      <c r="Q110" s="398"/>
      <c r="R110" s="398"/>
    </row>
    <row r="111">
      <c r="A111" s="399" t="s">
        <v>9347</v>
      </c>
      <c r="B111" s="399" t="s">
        <v>30</v>
      </c>
      <c r="C111" s="399" t="s">
        <v>8967</v>
      </c>
      <c r="D111" s="70" t="s">
        <v>9348</v>
      </c>
      <c r="E111" s="421" t="s">
        <v>314</v>
      </c>
      <c r="F111" s="399"/>
      <c r="G111" s="70" t="s">
        <v>9352</v>
      </c>
      <c r="H111" s="209"/>
      <c r="I111" s="399" t="s">
        <v>8969</v>
      </c>
      <c r="J111" s="398" t="str">
        <f>VLOOKUP(D111,'Pivot BSI'!W:AA,5,false)</f>
        <v>#N/A</v>
      </c>
      <c r="K111" s="421"/>
      <c r="L111" s="398"/>
      <c r="M111" s="398"/>
      <c r="N111" s="398"/>
      <c r="O111" s="398"/>
      <c r="P111" s="398"/>
      <c r="Q111" s="398"/>
      <c r="R111" s="398"/>
    </row>
    <row r="112">
      <c r="A112" s="399" t="s">
        <v>9347</v>
      </c>
      <c r="B112" s="399" t="s">
        <v>30</v>
      </c>
      <c r="C112" s="399" t="s">
        <v>9356</v>
      </c>
      <c r="D112" s="70" t="s">
        <v>9357</v>
      </c>
      <c r="E112" s="399" t="s">
        <v>9358</v>
      </c>
      <c r="F112" s="399">
        <v>10.0</v>
      </c>
      <c r="G112" s="398"/>
      <c r="H112" s="209"/>
      <c r="I112" s="399" t="s">
        <v>8925</v>
      </c>
      <c r="J112" s="398" t="str">
        <f>VLOOKUP(D112,'Pivot BSI'!W:AA,5,false)</f>
        <v>#N/A</v>
      </c>
      <c r="K112" s="399"/>
      <c r="L112" s="398"/>
      <c r="M112" s="398"/>
      <c r="N112" s="398"/>
      <c r="O112" s="398"/>
      <c r="P112" s="398"/>
      <c r="Q112" s="398"/>
      <c r="R112" s="398"/>
    </row>
    <row r="113">
      <c r="A113" s="399" t="s">
        <v>9347</v>
      </c>
      <c r="B113" s="399" t="s">
        <v>30</v>
      </c>
      <c r="C113" s="399" t="s">
        <v>9359</v>
      </c>
      <c r="D113" s="70" t="s">
        <v>9360</v>
      </c>
      <c r="E113" s="421" t="s">
        <v>314</v>
      </c>
      <c r="F113" s="399"/>
      <c r="G113" s="398"/>
      <c r="H113" s="398"/>
      <c r="I113" s="399" t="s">
        <v>8937</v>
      </c>
      <c r="J113" s="398" t="str">
        <f>VLOOKUP(D113,'Pivot BSI'!W:AA,5,false)</f>
        <v>NO_RECIPIENT</v>
      </c>
      <c r="K113" s="421"/>
      <c r="L113" s="398"/>
      <c r="M113" s="398"/>
      <c r="N113" s="398"/>
      <c r="O113" s="398"/>
      <c r="P113" s="398"/>
      <c r="Q113" s="398"/>
      <c r="R113" s="398"/>
    </row>
    <row r="114">
      <c r="A114" s="399" t="s">
        <v>9347</v>
      </c>
      <c r="B114" s="399" t="s">
        <v>30</v>
      </c>
      <c r="C114" s="399" t="s">
        <v>9028</v>
      </c>
      <c r="D114" s="70" t="s">
        <v>9361</v>
      </c>
      <c r="E114" s="399" t="s">
        <v>9362</v>
      </c>
      <c r="F114" s="399">
        <v>8.0</v>
      </c>
      <c r="G114" s="398"/>
      <c r="H114" s="209"/>
      <c r="I114" s="399" t="s">
        <v>8925</v>
      </c>
      <c r="J114" s="398" t="str">
        <f>VLOOKUP(D114,'Pivot BSI'!W:AA,5,false)</f>
        <v>NO_RECIPIENT</v>
      </c>
      <c r="K114" s="399"/>
      <c r="L114" s="398"/>
      <c r="M114" s="398"/>
      <c r="N114" s="398"/>
      <c r="O114" s="398"/>
      <c r="P114" s="398"/>
      <c r="Q114" s="398"/>
      <c r="R114" s="398"/>
    </row>
    <row r="115">
      <c r="A115" s="399" t="s">
        <v>9347</v>
      </c>
      <c r="B115" s="399" t="s">
        <v>30</v>
      </c>
      <c r="C115" s="399" t="s">
        <v>9363</v>
      </c>
      <c r="D115" s="70" t="s">
        <v>9364</v>
      </c>
      <c r="E115" s="399" t="s">
        <v>9365</v>
      </c>
      <c r="F115" s="399">
        <v>5.0</v>
      </c>
      <c r="G115" s="398"/>
      <c r="H115" s="398"/>
      <c r="I115" s="399"/>
      <c r="J115" s="398" t="str">
        <f>VLOOKUP(D115,'Pivot BSI'!W:AA,5,false)</f>
        <v>EMAIL_OPENED</v>
      </c>
      <c r="K115" s="399"/>
      <c r="L115" s="398"/>
      <c r="M115" s="398"/>
      <c r="N115" s="398"/>
      <c r="O115" s="398"/>
      <c r="P115" s="398"/>
      <c r="Q115" s="398"/>
      <c r="R115" s="398"/>
    </row>
    <row r="116">
      <c r="A116" s="399" t="s">
        <v>9347</v>
      </c>
      <c r="B116" s="399" t="s">
        <v>30</v>
      </c>
      <c r="C116" s="399" t="s">
        <v>9366</v>
      </c>
      <c r="D116" s="70" t="s">
        <v>9367</v>
      </c>
      <c r="E116" s="399" t="s">
        <v>9368</v>
      </c>
      <c r="F116" s="399">
        <v>6.0</v>
      </c>
      <c r="G116" s="398"/>
      <c r="H116" s="398"/>
      <c r="I116" s="399" t="s">
        <v>8925</v>
      </c>
      <c r="J116" s="399" t="s">
        <v>9045</v>
      </c>
      <c r="K116" s="399"/>
      <c r="L116" s="398"/>
      <c r="M116" s="398"/>
      <c r="N116" s="398"/>
      <c r="O116" s="398"/>
      <c r="P116" s="398"/>
      <c r="Q116" s="398"/>
      <c r="R116" s="398"/>
    </row>
    <row r="117">
      <c r="A117" s="399" t="s">
        <v>9347</v>
      </c>
      <c r="B117" s="399" t="s">
        <v>30</v>
      </c>
      <c r="C117" s="399" t="s">
        <v>9369</v>
      </c>
      <c r="D117" s="70" t="s">
        <v>9370</v>
      </c>
      <c r="E117" s="421" t="s">
        <v>314</v>
      </c>
      <c r="F117" s="399"/>
      <c r="G117" s="398"/>
      <c r="H117" s="398"/>
      <c r="I117" s="399" t="s">
        <v>8937</v>
      </c>
      <c r="J117" s="398" t="str">
        <f>VLOOKUP(D117,'Pivot BSI'!W:AA,5,false)</f>
        <v>#N/A</v>
      </c>
      <c r="K117" s="421"/>
      <c r="L117" s="398"/>
      <c r="M117" s="398"/>
      <c r="N117" s="398"/>
      <c r="O117" s="398"/>
      <c r="P117" s="398"/>
      <c r="Q117" s="398"/>
      <c r="R117" s="398"/>
    </row>
    <row r="118">
      <c r="A118" s="399" t="s">
        <v>9347</v>
      </c>
      <c r="B118" s="399" t="s">
        <v>30</v>
      </c>
      <c r="C118" s="399" t="s">
        <v>9372</v>
      </c>
      <c r="D118" s="70" t="s">
        <v>9373</v>
      </c>
      <c r="E118" s="399" t="s">
        <v>9374</v>
      </c>
      <c r="F118" s="399">
        <v>21.0</v>
      </c>
      <c r="G118" s="398"/>
      <c r="H118" s="398"/>
      <c r="I118" s="399"/>
      <c r="J118" s="398" t="str">
        <f>VLOOKUP(D118,'Pivot BSI'!W:AA,5,false)</f>
        <v>BOUNCED</v>
      </c>
      <c r="K118" s="399"/>
      <c r="L118" s="398"/>
      <c r="M118" s="398"/>
      <c r="N118" s="398"/>
      <c r="O118" s="398"/>
      <c r="P118" s="398"/>
      <c r="Q118" s="398"/>
      <c r="R118" s="398"/>
    </row>
    <row r="119">
      <c r="A119" s="399" t="s">
        <v>9347</v>
      </c>
      <c r="B119" s="399" t="s">
        <v>30</v>
      </c>
      <c r="C119" s="399" t="s">
        <v>8950</v>
      </c>
      <c r="D119" s="70" t="s">
        <v>9375</v>
      </c>
      <c r="E119" s="399" t="s">
        <v>9376</v>
      </c>
      <c r="F119" s="399">
        <v>6.0</v>
      </c>
      <c r="G119" s="398"/>
      <c r="H119" s="209"/>
      <c r="I119" s="399" t="s">
        <v>8925</v>
      </c>
      <c r="J119" s="398" t="str">
        <f>VLOOKUP(D119,'Pivot BSI'!W:AA,5,false)</f>
        <v>#N/A</v>
      </c>
      <c r="K119" s="399"/>
      <c r="L119" s="398"/>
      <c r="M119" s="398"/>
      <c r="N119" s="398"/>
      <c r="O119" s="398"/>
      <c r="P119" s="398"/>
      <c r="Q119" s="398"/>
      <c r="R119" s="398"/>
    </row>
    <row r="120">
      <c r="A120" s="399" t="s">
        <v>9347</v>
      </c>
      <c r="B120" s="399" t="s">
        <v>30</v>
      </c>
      <c r="C120" s="399" t="s">
        <v>9377</v>
      </c>
      <c r="D120" s="70" t="s">
        <v>9378</v>
      </c>
      <c r="E120" s="421" t="s">
        <v>314</v>
      </c>
      <c r="F120" s="399"/>
      <c r="G120" s="398"/>
      <c r="H120" s="209"/>
      <c r="I120" s="399" t="s">
        <v>8937</v>
      </c>
      <c r="J120" s="398" t="str">
        <f>VLOOKUP(D120,'Pivot BSI'!W:AA,5,false)</f>
        <v>#N/A</v>
      </c>
      <c r="K120" s="421"/>
      <c r="L120" s="398"/>
      <c r="M120" s="398"/>
      <c r="N120" s="398"/>
      <c r="O120" s="398"/>
      <c r="P120" s="398"/>
      <c r="Q120" s="398"/>
      <c r="R120" s="398"/>
    </row>
    <row r="121">
      <c r="A121" s="399" t="s">
        <v>9347</v>
      </c>
      <c r="B121" s="399" t="s">
        <v>30</v>
      </c>
      <c r="C121" s="399" t="s">
        <v>9366</v>
      </c>
      <c r="D121" s="70" t="s">
        <v>9379</v>
      </c>
      <c r="E121" s="399" t="s">
        <v>9380</v>
      </c>
      <c r="F121" s="399">
        <v>2.0</v>
      </c>
      <c r="G121" s="398"/>
      <c r="H121" s="398"/>
      <c r="I121" s="399" t="s">
        <v>8925</v>
      </c>
      <c r="J121" s="399" t="s">
        <v>9045</v>
      </c>
      <c r="K121" s="399"/>
      <c r="L121" s="398"/>
      <c r="M121" s="398"/>
      <c r="N121" s="398"/>
      <c r="O121" s="398"/>
      <c r="P121" s="398"/>
      <c r="Q121" s="398"/>
      <c r="R121" s="398"/>
    </row>
    <row r="122">
      <c r="A122" s="399" t="s">
        <v>9347</v>
      </c>
      <c r="B122" s="399" t="s">
        <v>30</v>
      </c>
      <c r="C122" s="399" t="s">
        <v>9366</v>
      </c>
      <c r="D122" s="70" t="s">
        <v>9381</v>
      </c>
      <c r="E122" s="399" t="s">
        <v>9382</v>
      </c>
      <c r="F122" s="399">
        <v>2.0</v>
      </c>
      <c r="G122" s="398"/>
      <c r="H122" s="398"/>
      <c r="I122" s="399" t="s">
        <v>8925</v>
      </c>
      <c r="J122" s="399" t="s">
        <v>9045</v>
      </c>
      <c r="K122" s="399"/>
      <c r="L122" s="398"/>
      <c r="M122" s="398"/>
      <c r="N122" s="398"/>
      <c r="O122" s="398"/>
      <c r="P122" s="398"/>
      <c r="Q122" s="398"/>
      <c r="R122" s="398"/>
    </row>
    <row r="123">
      <c r="A123" s="399" t="s">
        <v>9347</v>
      </c>
      <c r="B123" s="399" t="s">
        <v>30</v>
      </c>
      <c r="C123" s="399" t="s">
        <v>9366</v>
      </c>
      <c r="D123" s="70" t="s">
        <v>9383</v>
      </c>
      <c r="E123" s="399" t="s">
        <v>9384</v>
      </c>
      <c r="F123" s="399">
        <v>4.0</v>
      </c>
      <c r="G123" s="398"/>
      <c r="H123" s="398"/>
      <c r="I123" s="399" t="s">
        <v>8925</v>
      </c>
      <c r="J123" s="399" t="s">
        <v>9045</v>
      </c>
      <c r="K123" s="399"/>
      <c r="L123" s="398"/>
      <c r="M123" s="398"/>
      <c r="N123" s="398"/>
      <c r="O123" s="398"/>
      <c r="P123" s="398"/>
      <c r="Q123" s="398"/>
      <c r="R123" s="398"/>
    </row>
    <row r="124">
      <c r="A124" s="399" t="s">
        <v>9347</v>
      </c>
      <c r="B124" s="399" t="s">
        <v>30</v>
      </c>
      <c r="C124" s="399" t="s">
        <v>9366</v>
      </c>
      <c r="D124" s="70" t="s">
        <v>9385</v>
      </c>
      <c r="E124" s="399" t="s">
        <v>9386</v>
      </c>
      <c r="F124" s="399">
        <v>4.0</v>
      </c>
      <c r="G124" s="398"/>
      <c r="H124" s="398"/>
      <c r="I124" s="399" t="s">
        <v>8925</v>
      </c>
      <c r="J124" s="399" t="s">
        <v>9045</v>
      </c>
      <c r="K124" s="399"/>
      <c r="L124" s="398"/>
      <c r="M124" s="398"/>
      <c r="N124" s="398"/>
      <c r="O124" s="398"/>
      <c r="P124" s="398"/>
      <c r="Q124" s="398"/>
      <c r="R124" s="398"/>
    </row>
    <row r="125">
      <c r="A125" s="399" t="s">
        <v>9347</v>
      </c>
      <c r="B125" s="399" t="s">
        <v>30</v>
      </c>
      <c r="C125" s="399" t="s">
        <v>9366</v>
      </c>
      <c r="D125" s="70" t="s">
        <v>9387</v>
      </c>
      <c r="E125" s="399" t="s">
        <v>9388</v>
      </c>
      <c r="F125" s="399">
        <v>37.0</v>
      </c>
      <c r="G125" s="398"/>
      <c r="H125" s="398"/>
      <c r="I125" s="399" t="s">
        <v>8925</v>
      </c>
      <c r="J125" s="399" t="s">
        <v>9045</v>
      </c>
      <c r="K125" s="399"/>
      <c r="L125" s="398"/>
      <c r="M125" s="398"/>
      <c r="N125" s="398"/>
      <c r="O125" s="398"/>
      <c r="P125" s="398"/>
      <c r="Q125" s="398"/>
      <c r="R125" s="398"/>
    </row>
    <row r="126">
      <c r="A126" s="399" t="s">
        <v>9347</v>
      </c>
      <c r="B126" s="399" t="s">
        <v>30</v>
      </c>
      <c r="C126" s="399" t="s">
        <v>9152</v>
      </c>
      <c r="D126" s="70" t="s">
        <v>9389</v>
      </c>
      <c r="E126" s="399" t="s">
        <v>9390</v>
      </c>
      <c r="F126" s="399">
        <v>9.0</v>
      </c>
      <c r="G126" s="398"/>
      <c r="H126" s="398"/>
      <c r="I126" s="399" t="s">
        <v>8937</v>
      </c>
      <c r="J126" s="398" t="str">
        <f>VLOOKUP(D126,'Pivot BSI'!W:AA,5,false)</f>
        <v>#N/A</v>
      </c>
      <c r="K126" s="399"/>
      <c r="L126" s="398"/>
      <c r="M126" s="398"/>
      <c r="N126" s="398"/>
      <c r="O126" s="398"/>
      <c r="P126" s="398"/>
      <c r="Q126" s="398"/>
      <c r="R126" s="398"/>
    </row>
    <row r="127">
      <c r="A127" s="399" t="s">
        <v>9392</v>
      </c>
      <c r="B127" s="399" t="s">
        <v>30</v>
      </c>
      <c r="C127" s="399" t="s">
        <v>8967</v>
      </c>
      <c r="D127" s="70" t="s">
        <v>9393</v>
      </c>
      <c r="E127" s="399" t="s">
        <v>9394</v>
      </c>
      <c r="F127" s="399"/>
      <c r="G127" s="70" t="s">
        <v>9395</v>
      </c>
      <c r="H127" s="209"/>
      <c r="I127" s="399" t="s">
        <v>8925</v>
      </c>
      <c r="J127" s="398" t="str">
        <f>VLOOKUP(D127,'Pivot BSI'!W:AA,5,false)</f>
        <v>#N/A</v>
      </c>
      <c r="K127" s="399"/>
      <c r="L127" s="398"/>
      <c r="M127" s="398"/>
      <c r="N127" s="398"/>
      <c r="O127" s="398"/>
      <c r="P127" s="398"/>
      <c r="Q127" s="398"/>
      <c r="R127" s="398"/>
    </row>
    <row r="128">
      <c r="A128" s="399" t="s">
        <v>9392</v>
      </c>
      <c r="B128" s="399" t="s">
        <v>30</v>
      </c>
      <c r="C128" s="399" t="s">
        <v>9396</v>
      </c>
      <c r="D128" s="70" t="s">
        <v>9397</v>
      </c>
      <c r="E128" s="421" t="s">
        <v>314</v>
      </c>
      <c r="F128" s="399"/>
      <c r="G128" s="398"/>
      <c r="H128" s="398"/>
      <c r="I128" s="399" t="s">
        <v>8937</v>
      </c>
      <c r="J128" s="398" t="str">
        <f>VLOOKUP(D128,'Pivot BSI'!W:AA,5,false)</f>
        <v>#N/A</v>
      </c>
      <c r="K128" s="421"/>
      <c r="L128" s="398"/>
      <c r="M128" s="398"/>
      <c r="N128" s="398"/>
      <c r="O128" s="398"/>
      <c r="P128" s="398"/>
      <c r="Q128" s="398"/>
      <c r="R128" s="398"/>
    </row>
    <row r="129">
      <c r="A129" s="399" t="s">
        <v>9392</v>
      </c>
      <c r="B129" s="399" t="s">
        <v>30</v>
      </c>
      <c r="C129" s="399" t="s">
        <v>9400</v>
      </c>
      <c r="D129" s="70" t="s">
        <v>9401</v>
      </c>
      <c r="E129" s="399" t="s">
        <v>9403</v>
      </c>
      <c r="F129" s="399">
        <v>15.0</v>
      </c>
      <c r="G129" s="398"/>
      <c r="H129" s="398"/>
      <c r="I129" s="399"/>
      <c r="J129" s="398" t="str">
        <f>VLOOKUP(D129,'Pivot BSI'!W:AA,5,false)</f>
        <v>#N/A</v>
      </c>
      <c r="K129" s="399"/>
      <c r="L129" s="398"/>
      <c r="M129" s="398"/>
      <c r="N129" s="398"/>
      <c r="O129" s="398"/>
      <c r="P129" s="398"/>
      <c r="Q129" s="398"/>
      <c r="R129" s="398"/>
    </row>
    <row r="130">
      <c r="A130" s="399" t="s">
        <v>9392</v>
      </c>
      <c r="B130" s="399" t="s">
        <v>30</v>
      </c>
      <c r="C130" s="399" t="s">
        <v>9400</v>
      </c>
      <c r="D130" s="70" t="s">
        <v>9405</v>
      </c>
      <c r="E130" s="399" t="s">
        <v>9408</v>
      </c>
      <c r="F130" s="399">
        <v>3.0</v>
      </c>
      <c r="G130" s="398"/>
      <c r="H130" s="398"/>
      <c r="I130" s="399"/>
      <c r="J130" s="398" t="str">
        <f>VLOOKUP(D130,'Pivot BSI'!W:AA,5,false)</f>
        <v>#N/A</v>
      </c>
      <c r="K130" s="399"/>
      <c r="L130" s="398"/>
      <c r="M130" s="398"/>
      <c r="N130" s="398"/>
      <c r="O130" s="398"/>
      <c r="P130" s="398"/>
      <c r="Q130" s="398"/>
      <c r="R130" s="398"/>
    </row>
    <row r="131">
      <c r="A131" s="399" t="s">
        <v>9392</v>
      </c>
      <c r="B131" s="399" t="s">
        <v>30</v>
      </c>
      <c r="C131" s="399" t="s">
        <v>8967</v>
      </c>
      <c r="D131" s="70" t="s">
        <v>9410</v>
      </c>
      <c r="E131" s="421" t="s">
        <v>314</v>
      </c>
      <c r="F131" s="399"/>
      <c r="G131" s="398"/>
      <c r="H131" s="209"/>
      <c r="I131" s="399" t="s">
        <v>8969</v>
      </c>
      <c r="J131" s="398" t="str">
        <f>VLOOKUP(D131,'Pivot BSI'!W:AA,5,false)</f>
        <v>#N/A</v>
      </c>
      <c r="K131" s="421"/>
      <c r="L131" s="398"/>
      <c r="M131" s="398"/>
      <c r="N131" s="398"/>
      <c r="O131" s="398"/>
      <c r="P131" s="398"/>
      <c r="Q131" s="398"/>
      <c r="R131" s="398"/>
    </row>
    <row r="132">
      <c r="A132" s="399" t="s">
        <v>9392</v>
      </c>
      <c r="B132" s="399" t="s">
        <v>30</v>
      </c>
      <c r="C132" s="399" t="s">
        <v>9356</v>
      </c>
      <c r="D132" s="70" t="s">
        <v>9412</v>
      </c>
      <c r="E132" s="421" t="s">
        <v>314</v>
      </c>
      <c r="F132" s="399"/>
      <c r="G132" s="398"/>
      <c r="H132" s="209"/>
      <c r="I132" s="399" t="s">
        <v>8937</v>
      </c>
      <c r="J132" s="398" t="str">
        <f>VLOOKUP(D132,'Pivot BSI'!W:AA,5,false)</f>
        <v>#N/A</v>
      </c>
      <c r="K132" s="421"/>
      <c r="L132" s="398"/>
      <c r="M132" s="398"/>
      <c r="N132" s="398"/>
      <c r="O132" s="398"/>
      <c r="P132" s="398"/>
      <c r="Q132" s="398"/>
      <c r="R132" s="398"/>
    </row>
    <row r="133">
      <c r="A133" s="399" t="s">
        <v>9392</v>
      </c>
      <c r="B133" s="399" t="s">
        <v>30</v>
      </c>
      <c r="C133" s="399" t="s">
        <v>9416</v>
      </c>
      <c r="D133" s="70" t="s">
        <v>9417</v>
      </c>
      <c r="E133" s="421" t="s">
        <v>314</v>
      </c>
      <c r="F133" s="399"/>
      <c r="G133" s="398"/>
      <c r="H133" s="398"/>
      <c r="I133" s="399" t="s">
        <v>8937</v>
      </c>
      <c r="J133" s="398" t="str">
        <f>VLOOKUP(D133,'Pivot BSI'!W:AA,5,false)</f>
        <v>NO_RECIPIENT</v>
      </c>
      <c r="K133" s="421"/>
      <c r="L133" s="398"/>
      <c r="M133" s="398"/>
      <c r="N133" s="398"/>
      <c r="O133" s="398"/>
      <c r="P133" s="398"/>
      <c r="Q133" s="398"/>
      <c r="R133" s="398"/>
    </row>
    <row r="134">
      <c r="A134" s="399" t="s">
        <v>9392</v>
      </c>
      <c r="B134" s="399" t="s">
        <v>30</v>
      </c>
      <c r="C134" s="399" t="s">
        <v>9421</v>
      </c>
      <c r="D134" s="70" t="s">
        <v>9422</v>
      </c>
      <c r="E134" s="421" t="s">
        <v>314</v>
      </c>
      <c r="F134" s="399"/>
      <c r="G134" s="398"/>
      <c r="H134" s="398"/>
      <c r="I134" s="399" t="s">
        <v>8937</v>
      </c>
      <c r="J134" s="398" t="str">
        <f>VLOOKUP(D134,'Pivot BSI'!W:AA,5,false)</f>
        <v>#N/A</v>
      </c>
      <c r="K134" s="421"/>
      <c r="L134" s="398"/>
      <c r="M134" s="398"/>
      <c r="N134" s="398"/>
      <c r="O134" s="398"/>
      <c r="P134" s="398"/>
      <c r="Q134" s="398"/>
      <c r="R134" s="398"/>
    </row>
    <row r="135">
      <c r="A135" s="399" t="s">
        <v>9392</v>
      </c>
      <c r="B135" s="399" t="s">
        <v>30</v>
      </c>
      <c r="C135" s="399" t="s">
        <v>9425</v>
      </c>
      <c r="D135" s="70" t="s">
        <v>9426</v>
      </c>
      <c r="E135" s="399" t="s">
        <v>9429</v>
      </c>
      <c r="F135" s="399">
        <v>37.0</v>
      </c>
      <c r="G135" s="398"/>
      <c r="H135" s="398"/>
      <c r="I135" s="399" t="s">
        <v>8932</v>
      </c>
      <c r="J135" s="399" t="s">
        <v>9045</v>
      </c>
      <c r="K135" s="399"/>
      <c r="L135" s="398"/>
      <c r="M135" s="398"/>
      <c r="N135" s="398"/>
      <c r="O135" s="398"/>
      <c r="P135" s="398"/>
      <c r="Q135" s="398"/>
      <c r="R135" s="398"/>
    </row>
    <row r="136">
      <c r="A136" s="399" t="s">
        <v>9392</v>
      </c>
      <c r="B136" s="399" t="s">
        <v>30</v>
      </c>
      <c r="C136" s="399" t="s">
        <v>9152</v>
      </c>
      <c r="D136" s="80" t="s">
        <v>9431</v>
      </c>
      <c r="E136" s="421" t="s">
        <v>314</v>
      </c>
      <c r="F136" s="399"/>
      <c r="G136" s="398"/>
      <c r="H136" s="398"/>
      <c r="I136" s="399" t="s">
        <v>8937</v>
      </c>
      <c r="J136" s="398" t="str">
        <f>VLOOKUP(D136,'Pivot BSI'!W:AA,5,false)</f>
        <v>#N/A</v>
      </c>
      <c r="K136" s="421"/>
      <c r="L136" s="398"/>
      <c r="M136" s="398"/>
      <c r="N136" s="398"/>
      <c r="O136" s="398"/>
      <c r="P136" s="398"/>
      <c r="Q136" s="398"/>
      <c r="R136" s="398"/>
    </row>
    <row r="137">
      <c r="A137" s="399" t="s">
        <v>9392</v>
      </c>
      <c r="B137" s="399" t="s">
        <v>30</v>
      </c>
      <c r="C137" s="399" t="s">
        <v>9152</v>
      </c>
      <c r="D137" s="80" t="s">
        <v>9434</v>
      </c>
      <c r="E137" s="399" t="s">
        <v>9435</v>
      </c>
      <c r="F137" s="399"/>
      <c r="G137" s="398"/>
      <c r="H137" s="398"/>
      <c r="I137" s="399" t="s">
        <v>8937</v>
      </c>
      <c r="J137" s="398" t="str">
        <f>VLOOKUP(D137,'Pivot BSI'!W:AA,5,false)</f>
        <v>#N/A</v>
      </c>
      <c r="K137" s="399"/>
      <c r="L137" s="398"/>
      <c r="M137" s="398"/>
      <c r="N137" s="398"/>
      <c r="O137" s="398"/>
      <c r="P137" s="398"/>
      <c r="Q137" s="398"/>
      <c r="R137" s="398"/>
    </row>
    <row r="138">
      <c r="A138" s="399" t="s">
        <v>9392</v>
      </c>
      <c r="B138" s="399" t="s">
        <v>30</v>
      </c>
      <c r="C138" s="399" t="s">
        <v>9152</v>
      </c>
      <c r="D138" s="80" t="s">
        <v>9437</v>
      </c>
      <c r="E138" s="399" t="s">
        <v>9438</v>
      </c>
      <c r="F138" s="399"/>
      <c r="G138" s="398"/>
      <c r="H138" s="398"/>
      <c r="I138" s="399" t="s">
        <v>8937</v>
      </c>
      <c r="J138" s="398" t="str">
        <f>VLOOKUP(D138,'Pivot BSI'!W:AA,5,false)</f>
        <v>#N/A</v>
      </c>
      <c r="K138" s="399"/>
      <c r="L138" s="398"/>
      <c r="M138" s="398"/>
      <c r="N138" s="398"/>
      <c r="O138" s="398"/>
      <c r="P138" s="398"/>
      <c r="Q138" s="398"/>
      <c r="R138" s="398"/>
    </row>
    <row r="139">
      <c r="A139" s="399" t="s">
        <v>9392</v>
      </c>
      <c r="B139" s="399" t="s">
        <v>30</v>
      </c>
      <c r="C139" s="399" t="s">
        <v>9152</v>
      </c>
      <c r="D139" s="80" t="s">
        <v>9439</v>
      </c>
      <c r="E139" s="421" t="s">
        <v>314</v>
      </c>
      <c r="F139" s="399"/>
      <c r="G139" s="398"/>
      <c r="H139" s="398"/>
      <c r="I139" s="399" t="s">
        <v>8937</v>
      </c>
      <c r="J139" s="398" t="str">
        <f>VLOOKUP(D139,'Pivot BSI'!W:AA,5,false)</f>
        <v>#N/A</v>
      </c>
      <c r="K139" s="421"/>
      <c r="L139" s="398"/>
      <c r="M139" s="398"/>
      <c r="N139" s="398"/>
      <c r="O139" s="398"/>
      <c r="P139" s="398"/>
      <c r="Q139" s="398"/>
      <c r="R139" s="398"/>
    </row>
    <row r="140">
      <c r="A140" s="399" t="s">
        <v>9392</v>
      </c>
      <c r="B140" s="399" t="s">
        <v>30</v>
      </c>
      <c r="C140" s="399" t="s">
        <v>9152</v>
      </c>
      <c r="D140" s="80" t="s">
        <v>9440</v>
      </c>
      <c r="E140" s="421" t="s">
        <v>314</v>
      </c>
      <c r="F140" s="399"/>
      <c r="G140" s="398"/>
      <c r="H140" s="398"/>
      <c r="I140" s="399" t="s">
        <v>8937</v>
      </c>
      <c r="J140" s="398" t="str">
        <f>VLOOKUP(D140,'Pivot BSI'!W:AA,5,false)</f>
        <v>#N/A</v>
      </c>
      <c r="K140" s="421"/>
      <c r="L140" s="398"/>
      <c r="M140" s="398"/>
      <c r="N140" s="398"/>
      <c r="O140" s="398"/>
      <c r="P140" s="398"/>
      <c r="Q140" s="398"/>
      <c r="R140" s="398"/>
    </row>
    <row r="141">
      <c r="A141" s="399" t="s">
        <v>9392</v>
      </c>
      <c r="B141" s="399" t="s">
        <v>30</v>
      </c>
      <c r="C141" s="399" t="s">
        <v>9338</v>
      </c>
      <c r="D141" s="80" t="s">
        <v>9441</v>
      </c>
      <c r="E141" s="399" t="s">
        <v>9442</v>
      </c>
      <c r="F141" s="399">
        <v>6.0</v>
      </c>
      <c r="G141" s="398"/>
      <c r="H141" s="398"/>
      <c r="I141" s="399"/>
      <c r="J141" s="398" t="str">
        <f>VLOOKUP(D141,'Pivot BSI'!W:AA,5,false)</f>
        <v>#N/A</v>
      </c>
      <c r="K141" s="399"/>
      <c r="L141" s="398"/>
      <c r="M141" s="398"/>
      <c r="N141" s="398"/>
      <c r="O141" s="398"/>
      <c r="P141" s="398"/>
      <c r="Q141" s="398"/>
      <c r="R141" s="398"/>
    </row>
    <row r="142">
      <c r="A142" s="399" t="s">
        <v>8973</v>
      </c>
      <c r="B142" s="399" t="s">
        <v>20</v>
      </c>
      <c r="C142" s="399" t="s">
        <v>9443</v>
      </c>
      <c r="D142" s="472" t="s">
        <v>9444</v>
      </c>
      <c r="E142" s="421" t="s">
        <v>314</v>
      </c>
      <c r="F142" s="399"/>
      <c r="G142" s="77" t="s">
        <v>9445</v>
      </c>
      <c r="H142" s="398"/>
      <c r="I142" s="399" t="s">
        <v>8937</v>
      </c>
      <c r="J142" s="398" t="str">
        <f>VLOOKUP(D142,'Pivot BSI'!W:AA,5,false)</f>
        <v>#N/A</v>
      </c>
      <c r="K142" s="421"/>
      <c r="L142" s="398"/>
      <c r="M142" s="398"/>
      <c r="N142" s="398"/>
      <c r="O142" s="398"/>
      <c r="P142" s="398"/>
      <c r="Q142" s="398"/>
      <c r="R142" s="398"/>
    </row>
    <row r="143">
      <c r="A143" s="399" t="s">
        <v>8973</v>
      </c>
      <c r="B143" s="399" t="s">
        <v>20</v>
      </c>
      <c r="C143" s="399" t="s">
        <v>9446</v>
      </c>
      <c r="D143" s="473" t="s">
        <v>9447</v>
      </c>
      <c r="E143" s="421" t="s">
        <v>314</v>
      </c>
      <c r="F143" s="399"/>
      <c r="G143" s="398"/>
      <c r="H143" s="398"/>
      <c r="I143" s="399" t="s">
        <v>8937</v>
      </c>
      <c r="J143" s="399" t="s">
        <v>9045</v>
      </c>
      <c r="K143" s="421"/>
      <c r="L143" s="398"/>
      <c r="M143" s="398"/>
      <c r="N143" s="398"/>
      <c r="O143" s="398"/>
      <c r="P143" s="398"/>
      <c r="Q143" s="398"/>
      <c r="R143" s="398"/>
    </row>
    <row r="144">
      <c r="A144" s="399" t="s">
        <v>8973</v>
      </c>
      <c r="B144" s="399" t="s">
        <v>20</v>
      </c>
      <c r="C144" s="399" t="s">
        <v>9446</v>
      </c>
      <c r="D144" s="473" t="s">
        <v>9448</v>
      </c>
      <c r="E144" s="421" t="s">
        <v>314</v>
      </c>
      <c r="F144" s="399"/>
      <c r="G144" s="398"/>
      <c r="H144" s="398"/>
      <c r="I144" s="399" t="s">
        <v>8937</v>
      </c>
      <c r="J144" s="399" t="s">
        <v>9045</v>
      </c>
      <c r="K144" s="421"/>
      <c r="L144" s="398"/>
      <c r="M144" s="398"/>
      <c r="N144" s="398"/>
      <c r="O144" s="398"/>
      <c r="P144" s="398"/>
      <c r="Q144" s="398"/>
      <c r="R144" s="398"/>
    </row>
    <row r="145">
      <c r="A145" s="399" t="s">
        <v>8973</v>
      </c>
      <c r="B145" s="399" t="s">
        <v>20</v>
      </c>
      <c r="C145" s="399" t="s">
        <v>9446</v>
      </c>
      <c r="D145" s="473" t="s">
        <v>9449</v>
      </c>
      <c r="E145" s="421" t="s">
        <v>314</v>
      </c>
      <c r="F145" s="399"/>
      <c r="G145" s="398"/>
      <c r="H145" s="398"/>
      <c r="I145" s="399" t="s">
        <v>8937</v>
      </c>
      <c r="J145" s="399" t="s">
        <v>9045</v>
      </c>
      <c r="K145" s="421"/>
      <c r="L145" s="398"/>
      <c r="M145" s="398"/>
      <c r="N145" s="398"/>
      <c r="O145" s="398"/>
      <c r="P145" s="398"/>
      <c r="Q145" s="398"/>
      <c r="R145" s="398"/>
    </row>
    <row r="146">
      <c r="A146" s="399" t="s">
        <v>8973</v>
      </c>
      <c r="B146" s="399" t="s">
        <v>20</v>
      </c>
      <c r="C146" s="399" t="s">
        <v>9446</v>
      </c>
      <c r="D146" s="473" t="s">
        <v>9450</v>
      </c>
      <c r="E146" s="399" t="s">
        <v>9451</v>
      </c>
      <c r="F146" s="399">
        <v>4.0</v>
      </c>
      <c r="G146" s="398"/>
      <c r="H146" s="398"/>
      <c r="I146" s="399" t="s">
        <v>8925</v>
      </c>
      <c r="J146" s="399" t="s">
        <v>9045</v>
      </c>
      <c r="K146" s="399"/>
      <c r="L146" s="398"/>
      <c r="M146" s="398"/>
      <c r="N146" s="398"/>
      <c r="O146" s="398"/>
      <c r="P146" s="398"/>
      <c r="Q146" s="398"/>
      <c r="R146" s="398"/>
    </row>
    <row r="147">
      <c r="A147" s="399" t="s">
        <v>8973</v>
      </c>
      <c r="B147" s="399" t="s">
        <v>20</v>
      </c>
      <c r="C147" s="399" t="s">
        <v>9446</v>
      </c>
      <c r="D147" s="473" t="s">
        <v>9452</v>
      </c>
      <c r="E147" s="421" t="s">
        <v>314</v>
      </c>
      <c r="F147" s="399"/>
      <c r="G147" s="398"/>
      <c r="H147" s="398"/>
      <c r="I147" s="399" t="s">
        <v>8937</v>
      </c>
      <c r="J147" s="399" t="s">
        <v>9045</v>
      </c>
      <c r="K147" s="421"/>
      <c r="L147" s="398"/>
      <c r="M147" s="398"/>
      <c r="N147" s="398"/>
      <c r="O147" s="398"/>
      <c r="P147" s="398"/>
      <c r="Q147" s="398"/>
      <c r="R147" s="398"/>
    </row>
    <row r="148">
      <c r="A148" s="399" t="s">
        <v>8973</v>
      </c>
      <c r="B148" s="399" t="s">
        <v>20</v>
      </c>
      <c r="C148" s="399" t="s">
        <v>9446</v>
      </c>
      <c r="D148" s="473" t="s">
        <v>9453</v>
      </c>
      <c r="E148" s="475" t="s">
        <v>9454</v>
      </c>
      <c r="F148" s="476">
        <v>2.0</v>
      </c>
      <c r="G148" s="398"/>
      <c r="H148" s="398"/>
      <c r="I148" s="399" t="s">
        <v>8925</v>
      </c>
      <c r="J148" s="399" t="s">
        <v>9045</v>
      </c>
      <c r="K148" s="475"/>
      <c r="L148" s="398"/>
      <c r="M148" s="398"/>
      <c r="N148" s="398"/>
      <c r="O148" s="398"/>
      <c r="P148" s="398"/>
      <c r="Q148" s="398"/>
      <c r="R148" s="398"/>
    </row>
    <row r="149">
      <c r="A149" s="399" t="s">
        <v>8973</v>
      </c>
      <c r="B149" s="399" t="s">
        <v>20</v>
      </c>
      <c r="C149" s="399" t="s">
        <v>9446</v>
      </c>
      <c r="D149" s="473" t="s">
        <v>9455</v>
      </c>
      <c r="E149" s="399" t="s">
        <v>9456</v>
      </c>
      <c r="F149" s="399">
        <v>8.0</v>
      </c>
      <c r="G149" s="398"/>
      <c r="H149" s="398"/>
      <c r="I149" s="399" t="s">
        <v>8925</v>
      </c>
      <c r="J149" s="399" t="s">
        <v>9045</v>
      </c>
      <c r="K149" s="399"/>
      <c r="L149" s="398"/>
      <c r="M149" s="398"/>
      <c r="N149" s="398"/>
      <c r="O149" s="398"/>
      <c r="P149" s="398"/>
      <c r="Q149" s="398"/>
      <c r="R149" s="398"/>
    </row>
    <row r="150">
      <c r="A150" s="399" t="s">
        <v>8973</v>
      </c>
      <c r="B150" s="399" t="s">
        <v>20</v>
      </c>
      <c r="C150" s="209" t="s">
        <v>9457</v>
      </c>
      <c r="D150" s="477" t="s">
        <v>9458</v>
      </c>
      <c r="E150" s="421" t="s">
        <v>314</v>
      </c>
      <c r="F150" s="399"/>
      <c r="G150" s="398"/>
      <c r="H150" s="398"/>
      <c r="I150" s="399" t="s">
        <v>8937</v>
      </c>
      <c r="J150" s="398" t="str">
        <f>VLOOKUP(D150,'Pivot BSI'!W:AA,5,false)</f>
        <v>NO_RECIPIENT</v>
      </c>
      <c r="K150" s="421"/>
      <c r="L150" s="398"/>
      <c r="M150" s="398"/>
      <c r="N150" s="398"/>
      <c r="O150" s="398"/>
      <c r="P150" s="398"/>
      <c r="Q150" s="398"/>
      <c r="R150" s="398"/>
    </row>
    <row r="151">
      <c r="A151" s="399" t="s">
        <v>8973</v>
      </c>
      <c r="B151" s="399" t="s">
        <v>20</v>
      </c>
      <c r="C151" s="45" t="s">
        <v>8950</v>
      </c>
      <c r="D151" s="478" t="s">
        <v>9460</v>
      </c>
      <c r="E151" s="475" t="s">
        <v>9461</v>
      </c>
      <c r="F151" s="476">
        <v>3.0</v>
      </c>
      <c r="G151" s="398"/>
      <c r="H151" s="209"/>
      <c r="I151" s="399" t="s">
        <v>8925</v>
      </c>
      <c r="J151" s="398" t="str">
        <f>VLOOKUP(D151,'Pivot BSI'!W:AA,5,false)</f>
        <v>EMAIL_SENT</v>
      </c>
      <c r="K151" s="475"/>
      <c r="L151" s="398"/>
      <c r="M151" s="398"/>
      <c r="N151" s="398"/>
      <c r="O151" s="398"/>
      <c r="P151" s="398"/>
      <c r="Q151" s="398"/>
      <c r="R151" s="398"/>
    </row>
    <row r="152">
      <c r="A152" s="399" t="s">
        <v>8973</v>
      </c>
      <c r="B152" s="399" t="s">
        <v>20</v>
      </c>
      <c r="C152" s="479" t="s">
        <v>9462</v>
      </c>
      <c r="D152" s="477" t="s">
        <v>9463</v>
      </c>
      <c r="E152" s="475" t="s">
        <v>9464</v>
      </c>
      <c r="F152" s="476">
        <v>7.0</v>
      </c>
      <c r="G152" s="398"/>
      <c r="H152" s="398"/>
      <c r="I152" s="475"/>
      <c r="J152" s="398" t="str">
        <f>VLOOKUP(D152,'Pivot BSI'!W:AA,5,false)</f>
        <v>#N/A</v>
      </c>
      <c r="K152" s="475"/>
      <c r="L152" s="398"/>
      <c r="M152" s="398"/>
      <c r="N152" s="398"/>
      <c r="O152" s="398"/>
      <c r="P152" s="398"/>
      <c r="Q152" s="398"/>
      <c r="R152" s="398"/>
    </row>
    <row r="153">
      <c r="A153" s="399" t="s">
        <v>8973</v>
      </c>
      <c r="B153" s="399" t="s">
        <v>20</v>
      </c>
      <c r="C153" s="480" t="s">
        <v>8950</v>
      </c>
      <c r="D153" s="70" t="s">
        <v>9465</v>
      </c>
      <c r="E153" s="475" t="s">
        <v>9466</v>
      </c>
      <c r="F153" s="476">
        <v>6.0</v>
      </c>
      <c r="G153" s="398"/>
      <c r="H153" s="209"/>
      <c r="I153" s="399" t="s">
        <v>8925</v>
      </c>
      <c r="J153" s="398" t="str">
        <f>VLOOKUP(D153,'Pivot BSI'!W:AA,5,false)</f>
        <v>EMAIL_CLICKED</v>
      </c>
      <c r="K153" s="475"/>
      <c r="L153" s="398"/>
      <c r="M153" s="398"/>
      <c r="N153" s="398"/>
      <c r="O153" s="398"/>
      <c r="P153" s="398"/>
      <c r="Q153" s="398"/>
      <c r="R153" s="398"/>
    </row>
    <row r="154">
      <c r="A154" s="399" t="s">
        <v>8973</v>
      </c>
      <c r="B154" s="399" t="s">
        <v>20</v>
      </c>
      <c r="C154" s="399" t="s">
        <v>9467</v>
      </c>
      <c r="D154" s="70" t="s">
        <v>9468</v>
      </c>
      <c r="E154" s="475" t="s">
        <v>9469</v>
      </c>
      <c r="F154" s="476">
        <v>5.0</v>
      </c>
      <c r="G154" s="398"/>
      <c r="H154" s="398"/>
      <c r="I154" s="399" t="s">
        <v>8925</v>
      </c>
      <c r="J154" s="399" t="s">
        <v>9045</v>
      </c>
      <c r="K154" s="475"/>
      <c r="L154" s="398"/>
      <c r="M154" s="398"/>
      <c r="N154" s="398"/>
      <c r="O154" s="398"/>
      <c r="P154" s="398"/>
      <c r="Q154" s="398"/>
      <c r="R154" s="398"/>
    </row>
    <row r="155">
      <c r="A155" s="399" t="s">
        <v>8973</v>
      </c>
      <c r="B155" s="399" t="s">
        <v>20</v>
      </c>
      <c r="C155" s="399" t="s">
        <v>9467</v>
      </c>
      <c r="D155" s="70" t="s">
        <v>9470</v>
      </c>
      <c r="E155" s="449" t="s">
        <v>9471</v>
      </c>
      <c r="F155" s="481">
        <v>3.0</v>
      </c>
      <c r="G155" s="398"/>
      <c r="H155" s="398"/>
      <c r="I155" s="399" t="s">
        <v>8925</v>
      </c>
      <c r="J155" s="399" t="s">
        <v>9045</v>
      </c>
      <c r="K155" s="449"/>
      <c r="L155" s="398"/>
      <c r="M155" s="398"/>
      <c r="N155" s="398"/>
      <c r="O155" s="398"/>
      <c r="P155" s="398"/>
      <c r="Q155" s="398"/>
      <c r="R155" s="398"/>
    </row>
    <row r="156">
      <c r="A156" s="399" t="s">
        <v>9472</v>
      </c>
      <c r="B156" s="399" t="s">
        <v>32</v>
      </c>
      <c r="C156" s="399" t="s">
        <v>9473</v>
      </c>
      <c r="D156" s="482" t="s">
        <v>9474</v>
      </c>
      <c r="E156" s="139" t="s">
        <v>9475</v>
      </c>
      <c r="F156" s="139"/>
      <c r="G156" s="70" t="s">
        <v>9476</v>
      </c>
      <c r="H156" s="398"/>
      <c r="I156" s="475"/>
      <c r="J156" s="398" t="str">
        <f>VLOOKUP(D156,'Pivot BSI'!W:AA,5,false)</f>
        <v>EMAIL_OPENED</v>
      </c>
      <c r="K156" s="139"/>
      <c r="L156" s="398"/>
      <c r="M156" s="398"/>
      <c r="N156" s="398"/>
      <c r="O156" s="398"/>
      <c r="P156" s="398"/>
      <c r="Q156" s="398"/>
      <c r="R156" s="398"/>
    </row>
    <row r="157">
      <c r="A157" s="399" t="s">
        <v>9472</v>
      </c>
      <c r="B157" s="399" t="s">
        <v>32</v>
      </c>
      <c r="C157" s="399" t="s">
        <v>9477</v>
      </c>
      <c r="D157" s="482" t="s">
        <v>9478</v>
      </c>
      <c r="E157" s="399" t="s">
        <v>9479</v>
      </c>
      <c r="F157" s="399"/>
      <c r="G157" s="398"/>
      <c r="H157" s="398"/>
      <c r="I157" s="475"/>
      <c r="J157" s="398" t="str">
        <f>VLOOKUP(D157,'Pivot BSI'!W:AA,5,false)</f>
        <v>#N/A</v>
      </c>
      <c r="K157" s="399"/>
      <c r="L157" s="398"/>
      <c r="M157" s="398"/>
      <c r="N157" s="398"/>
      <c r="O157" s="398"/>
      <c r="P157" s="398"/>
      <c r="Q157" s="398"/>
      <c r="R157" s="398"/>
    </row>
    <row r="158">
      <c r="A158" s="399" t="s">
        <v>9472</v>
      </c>
      <c r="B158" s="399" t="s">
        <v>32</v>
      </c>
      <c r="C158" s="399" t="s">
        <v>8938</v>
      </c>
      <c r="D158" s="482" t="s">
        <v>9480</v>
      </c>
      <c r="E158" s="399" t="s">
        <v>9481</v>
      </c>
      <c r="F158" s="399"/>
      <c r="G158" s="398"/>
      <c r="H158" s="209"/>
      <c r="I158" s="399" t="s">
        <v>8925</v>
      </c>
      <c r="J158" s="398" t="str">
        <f>VLOOKUP(D158,'Pivot BSI'!W:AA,5,false)</f>
        <v>NO_RECIPIENT</v>
      </c>
      <c r="K158" s="399"/>
      <c r="L158" s="398"/>
      <c r="M158" s="398"/>
      <c r="N158" s="398"/>
      <c r="O158" s="398"/>
      <c r="P158" s="398"/>
      <c r="Q158" s="398"/>
      <c r="R158" s="398"/>
    </row>
    <row r="159">
      <c r="A159" s="399" t="s">
        <v>9472</v>
      </c>
      <c r="B159" s="399" t="s">
        <v>32</v>
      </c>
      <c r="C159" s="399" t="s">
        <v>9135</v>
      </c>
      <c r="D159" s="482" t="s">
        <v>9482</v>
      </c>
      <c r="E159" s="399" t="s">
        <v>9483</v>
      </c>
      <c r="F159" s="399"/>
      <c r="G159" s="398"/>
      <c r="H159" s="70" t="s">
        <v>9476</v>
      </c>
      <c r="I159" s="475"/>
      <c r="J159" s="398" t="str">
        <f>VLOOKUP(D159,'Pivot BSI'!W:AA,5,false)</f>
        <v>#N/A</v>
      </c>
      <c r="K159" s="399"/>
      <c r="L159" s="398"/>
      <c r="M159" s="398"/>
      <c r="N159" s="398"/>
      <c r="O159" s="398"/>
      <c r="P159" s="398"/>
      <c r="Q159" s="398"/>
      <c r="R159" s="398"/>
    </row>
    <row r="160">
      <c r="A160" s="399" t="s">
        <v>9472</v>
      </c>
      <c r="B160" s="399" t="s">
        <v>32</v>
      </c>
      <c r="C160" s="399" t="s">
        <v>9135</v>
      </c>
      <c r="D160" s="482" t="s">
        <v>9484</v>
      </c>
      <c r="E160" s="399" t="s">
        <v>9485</v>
      </c>
      <c r="F160" s="399"/>
      <c r="G160" s="398"/>
      <c r="H160" s="398"/>
      <c r="I160" s="475"/>
      <c r="J160" s="398" t="str">
        <f>VLOOKUP(D160,'Pivot BSI'!W:AA,5,false)</f>
        <v>#N/A</v>
      </c>
      <c r="K160" s="399"/>
      <c r="L160" s="398"/>
      <c r="M160" s="398"/>
      <c r="N160" s="398"/>
      <c r="O160" s="398"/>
      <c r="P160" s="398"/>
      <c r="Q160" s="398"/>
      <c r="R160" s="398"/>
    </row>
    <row r="161">
      <c r="A161" s="399" t="s">
        <v>9472</v>
      </c>
      <c r="B161" s="399" t="s">
        <v>32</v>
      </c>
      <c r="C161" s="399" t="s">
        <v>9048</v>
      </c>
      <c r="D161" s="482" t="s">
        <v>9486</v>
      </c>
      <c r="E161" s="139" t="s">
        <v>9487</v>
      </c>
      <c r="F161" s="139">
        <v>39.0</v>
      </c>
      <c r="G161" s="398"/>
      <c r="H161" s="398"/>
      <c r="I161" s="475"/>
      <c r="J161" s="398" t="str">
        <f>VLOOKUP(D161,'Pivot BSI'!W:AA,5,false)</f>
        <v>EMAIL_CLICKED</v>
      </c>
      <c r="K161" s="139"/>
      <c r="L161" s="398"/>
      <c r="M161" s="398"/>
      <c r="N161" s="398"/>
      <c r="O161" s="398"/>
      <c r="P161" s="398"/>
      <c r="Q161" s="398"/>
      <c r="R161" s="398"/>
    </row>
    <row r="162">
      <c r="A162" s="483" t="s">
        <v>9488</v>
      </c>
      <c r="B162" s="399" t="s">
        <v>17</v>
      </c>
      <c r="C162" s="399" t="s">
        <v>9321</v>
      </c>
      <c r="D162" s="70" t="s">
        <v>9489</v>
      </c>
      <c r="E162" s="399" t="s">
        <v>9490</v>
      </c>
      <c r="F162" s="399">
        <v>4.0</v>
      </c>
      <c r="G162" s="80" t="s">
        <v>9491</v>
      </c>
      <c r="H162" s="398"/>
      <c r="I162" s="399" t="s">
        <v>8937</v>
      </c>
      <c r="J162" s="398" t="str">
        <f>VLOOKUP(D162,'Pivot BSI'!W:AA,5,false)</f>
        <v>#N/A</v>
      </c>
      <c r="K162" s="399"/>
      <c r="L162" s="398"/>
      <c r="M162" s="398"/>
      <c r="N162" s="398"/>
      <c r="O162" s="398"/>
      <c r="P162" s="398"/>
      <c r="Q162" s="398"/>
      <c r="R162" s="398"/>
    </row>
    <row r="163">
      <c r="A163" s="406" t="s">
        <v>9488</v>
      </c>
      <c r="B163" s="399" t="s">
        <v>17</v>
      </c>
      <c r="C163" s="209" t="s">
        <v>9321</v>
      </c>
      <c r="D163" s="70" t="s">
        <v>9492</v>
      </c>
      <c r="E163" s="484" t="s">
        <v>9493</v>
      </c>
      <c r="F163" s="56"/>
      <c r="G163" s="398"/>
      <c r="H163" s="398"/>
      <c r="I163" s="399" t="s">
        <v>8937</v>
      </c>
      <c r="J163" s="398" t="str">
        <f>VLOOKUP(D163,'Pivot BSI'!W:AA,5,false)</f>
        <v>NO_RECIPIENT</v>
      </c>
      <c r="K163" s="484"/>
      <c r="L163" s="398"/>
      <c r="M163" s="398"/>
      <c r="N163" s="398"/>
      <c r="O163" s="398"/>
      <c r="P163" s="398"/>
      <c r="Q163" s="398"/>
      <c r="R163" s="398"/>
    </row>
    <row r="164">
      <c r="A164" s="406" t="s">
        <v>9488</v>
      </c>
      <c r="B164" s="399" t="s">
        <v>17</v>
      </c>
      <c r="C164" s="399" t="s">
        <v>9494</v>
      </c>
      <c r="D164" s="70" t="s">
        <v>9495</v>
      </c>
      <c r="E164" s="421" t="s">
        <v>9493</v>
      </c>
      <c r="F164" s="398"/>
      <c r="G164" s="398"/>
      <c r="H164" s="398"/>
      <c r="I164" s="399" t="s">
        <v>8937</v>
      </c>
      <c r="J164" s="398" t="str">
        <f>VLOOKUP(D164,'Pivot BSI'!W:AA,5,false)</f>
        <v>NO_RECIPIENT</v>
      </c>
      <c r="K164" s="421"/>
      <c r="L164" s="398"/>
      <c r="M164" s="398"/>
      <c r="N164" s="398"/>
      <c r="O164" s="398"/>
      <c r="P164" s="398"/>
      <c r="Q164" s="398"/>
      <c r="R164" s="398"/>
    </row>
    <row r="165">
      <c r="A165" s="485" t="s">
        <v>9488</v>
      </c>
      <c r="B165" s="486" t="s">
        <v>17</v>
      </c>
      <c r="C165" s="486" t="s">
        <v>9496</v>
      </c>
      <c r="D165" s="487" t="s">
        <v>9497</v>
      </c>
      <c r="E165" s="486" t="s">
        <v>9498</v>
      </c>
      <c r="F165" s="486">
        <v>7.0</v>
      </c>
      <c r="G165" s="488"/>
      <c r="H165" s="209"/>
      <c r="I165" s="399" t="s">
        <v>8925</v>
      </c>
      <c r="J165" s="398" t="str">
        <f>VLOOKUP(D165,'Pivot BSI'!W:AA,5,false)</f>
        <v>#N/A</v>
      </c>
      <c r="K165" s="486"/>
      <c r="L165" s="488"/>
      <c r="M165" s="488"/>
      <c r="N165" s="488"/>
      <c r="O165" s="488"/>
      <c r="P165" s="488"/>
      <c r="Q165" s="488"/>
      <c r="R165" s="488"/>
    </row>
    <row r="166">
      <c r="A166" s="406" t="s">
        <v>9488</v>
      </c>
      <c r="B166" s="399" t="s">
        <v>17</v>
      </c>
      <c r="C166" s="399" t="s">
        <v>9499</v>
      </c>
      <c r="D166" s="70" t="s">
        <v>9500</v>
      </c>
      <c r="E166" s="421" t="s">
        <v>9493</v>
      </c>
      <c r="F166" s="398"/>
      <c r="G166" s="398"/>
      <c r="H166" s="398"/>
      <c r="I166" s="399" t="s">
        <v>8937</v>
      </c>
      <c r="J166" s="399" t="s">
        <v>9045</v>
      </c>
      <c r="K166" s="421"/>
      <c r="L166" s="398"/>
      <c r="M166" s="398"/>
      <c r="N166" s="398"/>
      <c r="O166" s="398"/>
      <c r="P166" s="398"/>
      <c r="Q166" s="398"/>
      <c r="R166" s="398"/>
    </row>
    <row r="167">
      <c r="A167" s="406" t="s">
        <v>9488</v>
      </c>
      <c r="B167" s="399" t="s">
        <v>17</v>
      </c>
      <c r="C167" s="399" t="s">
        <v>9499</v>
      </c>
      <c r="D167" s="70" t="s">
        <v>9501</v>
      </c>
      <c r="E167" s="421" t="s">
        <v>9493</v>
      </c>
      <c r="F167" s="398"/>
      <c r="G167" s="398"/>
      <c r="H167" s="398"/>
      <c r="I167" s="399" t="s">
        <v>8937</v>
      </c>
      <c r="J167" s="399" t="s">
        <v>9045</v>
      </c>
      <c r="K167" s="421"/>
      <c r="L167" s="398"/>
      <c r="M167" s="398"/>
      <c r="N167" s="398"/>
      <c r="O167" s="398"/>
      <c r="P167" s="398"/>
      <c r="Q167" s="398"/>
      <c r="R167" s="398"/>
    </row>
    <row r="168">
      <c r="A168" s="406" t="s">
        <v>9488</v>
      </c>
      <c r="B168" s="399" t="s">
        <v>17</v>
      </c>
      <c r="C168" s="399" t="s">
        <v>9499</v>
      </c>
      <c r="D168" s="70" t="s">
        <v>9502</v>
      </c>
      <c r="E168" s="399" t="s">
        <v>9503</v>
      </c>
      <c r="F168" s="399">
        <v>19.0</v>
      </c>
      <c r="G168" s="398"/>
      <c r="H168" s="399" t="s">
        <v>9504</v>
      </c>
      <c r="I168" s="399" t="s">
        <v>8925</v>
      </c>
      <c r="J168" s="399" t="s">
        <v>9045</v>
      </c>
      <c r="K168" s="399"/>
      <c r="L168" s="398"/>
      <c r="M168" s="398"/>
      <c r="N168" s="398"/>
      <c r="O168" s="398"/>
      <c r="P168" s="398"/>
      <c r="Q168" s="398"/>
      <c r="R168" s="398"/>
    </row>
    <row r="169">
      <c r="A169" s="406" t="s">
        <v>9488</v>
      </c>
      <c r="B169" s="399" t="s">
        <v>17</v>
      </c>
      <c r="C169" s="399" t="s">
        <v>9499</v>
      </c>
      <c r="D169" s="70" t="s">
        <v>9505</v>
      </c>
      <c r="E169" s="421" t="s">
        <v>9493</v>
      </c>
      <c r="F169" s="398"/>
      <c r="G169" s="398"/>
      <c r="H169" s="398"/>
      <c r="I169" s="399" t="s">
        <v>8937</v>
      </c>
      <c r="J169" s="399" t="s">
        <v>9045</v>
      </c>
      <c r="K169" s="421"/>
      <c r="L169" s="398"/>
      <c r="M169" s="398"/>
      <c r="N169" s="398"/>
      <c r="O169" s="398"/>
      <c r="P169" s="398"/>
      <c r="Q169" s="398"/>
      <c r="R169" s="398"/>
    </row>
    <row r="170">
      <c r="A170" s="406" t="s">
        <v>9488</v>
      </c>
      <c r="B170" s="399" t="s">
        <v>17</v>
      </c>
      <c r="C170" s="399" t="s">
        <v>9496</v>
      </c>
      <c r="D170" s="70" t="s">
        <v>9506</v>
      </c>
      <c r="E170" s="399" t="s">
        <v>9507</v>
      </c>
      <c r="F170" s="399">
        <v>7.0</v>
      </c>
      <c r="G170" s="398"/>
      <c r="H170" s="209"/>
      <c r="I170" s="399" t="s">
        <v>8925</v>
      </c>
      <c r="J170" s="398" t="str">
        <f>VLOOKUP(D170,'Pivot BSI'!W:AA,5,false)</f>
        <v>#N/A</v>
      </c>
      <c r="K170" s="399"/>
      <c r="L170" s="398"/>
      <c r="M170" s="398"/>
      <c r="N170" s="398"/>
      <c r="O170" s="398"/>
      <c r="P170" s="398"/>
      <c r="Q170" s="398"/>
      <c r="R170" s="398"/>
    </row>
    <row r="171">
      <c r="A171" s="406" t="s">
        <v>9488</v>
      </c>
      <c r="B171" s="399" t="s">
        <v>17</v>
      </c>
      <c r="C171" s="399" t="s">
        <v>9496</v>
      </c>
      <c r="D171" s="70" t="s">
        <v>9508</v>
      </c>
      <c r="E171" s="421" t="s">
        <v>9493</v>
      </c>
      <c r="F171" s="398"/>
      <c r="G171" s="398"/>
      <c r="H171" s="209"/>
      <c r="I171" s="399" t="s">
        <v>8937</v>
      </c>
      <c r="J171" s="398" t="str">
        <f>VLOOKUP(D171,'Pivot BSI'!W:AA,5,false)</f>
        <v>#N/A</v>
      </c>
      <c r="K171" s="421"/>
      <c r="L171" s="398"/>
      <c r="M171" s="398"/>
      <c r="N171" s="398"/>
      <c r="O171" s="398"/>
      <c r="P171" s="398"/>
      <c r="Q171" s="398"/>
      <c r="R171" s="398"/>
    </row>
    <row r="172">
      <c r="A172" s="406" t="s">
        <v>9488</v>
      </c>
      <c r="B172" s="399" t="s">
        <v>17</v>
      </c>
      <c r="C172" s="399" t="s">
        <v>9496</v>
      </c>
      <c r="D172" s="70" t="s">
        <v>9509</v>
      </c>
      <c r="E172" s="399" t="s">
        <v>9510</v>
      </c>
      <c r="F172" s="399">
        <v>6.0</v>
      </c>
      <c r="G172" s="398"/>
      <c r="H172" s="209"/>
      <c r="I172" s="399" t="s">
        <v>8925</v>
      </c>
      <c r="J172" s="398" t="str">
        <f>VLOOKUP(D172,'Pivot BSI'!W:AA,5,false)</f>
        <v>#N/A</v>
      </c>
      <c r="K172" s="399"/>
      <c r="L172" s="398"/>
      <c r="M172" s="398"/>
      <c r="N172" s="398"/>
      <c r="O172" s="398"/>
      <c r="P172" s="398"/>
      <c r="Q172" s="398"/>
      <c r="R172" s="398"/>
    </row>
    <row r="173">
      <c r="A173" s="406" t="s">
        <v>9488</v>
      </c>
      <c r="B173" s="399" t="s">
        <v>17</v>
      </c>
      <c r="C173" s="399" t="s">
        <v>9496</v>
      </c>
      <c r="D173" s="70" t="s">
        <v>9511</v>
      </c>
      <c r="E173" s="421" t="s">
        <v>9493</v>
      </c>
      <c r="F173" s="398"/>
      <c r="G173" s="398"/>
      <c r="H173" s="209"/>
      <c r="I173" s="399" t="s">
        <v>8937</v>
      </c>
      <c r="J173" s="398" t="str">
        <f>VLOOKUP(D173,'Pivot BSI'!W:AA,5,false)</f>
        <v>#N/A</v>
      </c>
      <c r="K173" s="421"/>
      <c r="L173" s="398"/>
      <c r="M173" s="398"/>
      <c r="N173" s="398"/>
      <c r="O173" s="398"/>
      <c r="P173" s="398"/>
      <c r="Q173" s="398"/>
      <c r="R173" s="398"/>
    </row>
    <row r="174">
      <c r="A174" s="406" t="s">
        <v>9488</v>
      </c>
      <c r="B174" s="399" t="s">
        <v>17</v>
      </c>
      <c r="C174" s="399" t="s">
        <v>9496</v>
      </c>
      <c r="D174" s="70" t="s">
        <v>9512</v>
      </c>
      <c r="E174" s="399" t="s">
        <v>9513</v>
      </c>
      <c r="F174" s="399">
        <v>12.0</v>
      </c>
      <c r="G174" s="398"/>
      <c r="H174" s="209"/>
      <c r="I174" s="399" t="s">
        <v>8925</v>
      </c>
      <c r="J174" s="398" t="str">
        <f>VLOOKUP(D174,'Pivot BSI'!W:AA,5,false)</f>
        <v>#N/A</v>
      </c>
      <c r="K174" s="399"/>
      <c r="L174" s="398"/>
      <c r="M174" s="398"/>
      <c r="N174" s="398"/>
      <c r="O174" s="398"/>
      <c r="P174" s="398"/>
      <c r="Q174" s="398"/>
      <c r="R174" s="398"/>
    </row>
    <row r="175">
      <c r="A175" s="406" t="s">
        <v>9488</v>
      </c>
      <c r="B175" s="399" t="s">
        <v>17</v>
      </c>
      <c r="C175" s="399" t="s">
        <v>9099</v>
      </c>
      <c r="D175" s="70" t="s">
        <v>9514</v>
      </c>
      <c r="E175" s="399" t="s">
        <v>9515</v>
      </c>
      <c r="F175" s="399">
        <v>3.0</v>
      </c>
      <c r="G175" s="398"/>
      <c r="H175" s="209"/>
      <c r="I175" s="399" t="s">
        <v>8925</v>
      </c>
      <c r="J175" s="398" t="str">
        <f>VLOOKUP(D175,'Pivot BSI'!W:AA,5,false)</f>
        <v>RESPONDED</v>
      </c>
      <c r="K175" s="399"/>
      <c r="L175" s="398"/>
      <c r="M175" s="398"/>
      <c r="N175" s="398"/>
      <c r="O175" s="398"/>
      <c r="P175" s="398"/>
      <c r="Q175" s="398"/>
      <c r="R175" s="398"/>
    </row>
    <row r="176">
      <c r="A176" s="406" t="s">
        <v>9488</v>
      </c>
      <c r="B176" s="399" t="s">
        <v>17</v>
      </c>
      <c r="C176" s="399" t="s">
        <v>9516</v>
      </c>
      <c r="D176" s="70" t="s">
        <v>9517</v>
      </c>
      <c r="E176" s="399" t="s">
        <v>9518</v>
      </c>
      <c r="F176" s="399">
        <v>6.0</v>
      </c>
      <c r="G176" s="398"/>
      <c r="H176" s="209"/>
      <c r="I176" s="399" t="s">
        <v>8925</v>
      </c>
      <c r="J176" s="398" t="str">
        <f>VLOOKUP(D176,'Pivot BSI'!W:AA,5,false)</f>
        <v>EMAIL_SENT</v>
      </c>
      <c r="K176" s="399"/>
      <c r="L176" s="398"/>
      <c r="M176" s="398"/>
      <c r="N176" s="398"/>
      <c r="O176" s="398"/>
      <c r="P176" s="398"/>
      <c r="Q176" s="398"/>
      <c r="R176" s="398"/>
    </row>
    <row r="177">
      <c r="A177" s="406" t="s">
        <v>9488</v>
      </c>
      <c r="B177" s="399" t="s">
        <v>17</v>
      </c>
      <c r="C177" s="399" t="s">
        <v>9499</v>
      </c>
      <c r="D177" s="70" t="s">
        <v>9519</v>
      </c>
      <c r="E177" s="399" t="s">
        <v>9520</v>
      </c>
      <c r="F177" s="399">
        <v>3.0</v>
      </c>
      <c r="G177" s="398"/>
      <c r="H177" s="398"/>
      <c r="I177" s="399" t="s">
        <v>8925</v>
      </c>
      <c r="J177" s="399" t="s">
        <v>9045</v>
      </c>
      <c r="K177" s="399"/>
      <c r="L177" s="398"/>
      <c r="M177" s="398"/>
      <c r="N177" s="398"/>
      <c r="O177" s="398"/>
      <c r="P177" s="398"/>
      <c r="Q177" s="398"/>
      <c r="R177" s="398"/>
    </row>
    <row r="178">
      <c r="A178" s="406" t="s">
        <v>9488</v>
      </c>
      <c r="B178" s="399" t="s">
        <v>17</v>
      </c>
      <c r="C178" s="399" t="s">
        <v>8967</v>
      </c>
      <c r="D178" s="70" t="s">
        <v>9521</v>
      </c>
      <c r="E178" s="421" t="s">
        <v>9493</v>
      </c>
      <c r="F178" s="398"/>
      <c r="G178" s="398"/>
      <c r="H178" s="209"/>
      <c r="I178" s="399" t="s">
        <v>8969</v>
      </c>
      <c r="J178" s="398" t="str">
        <f>VLOOKUP(D178,'Pivot BSI'!W:AA,5,false)</f>
        <v>#N/A</v>
      </c>
      <c r="K178" s="421"/>
      <c r="L178" s="398"/>
      <c r="M178" s="398"/>
      <c r="N178" s="398"/>
      <c r="O178" s="398"/>
      <c r="P178" s="398"/>
      <c r="Q178" s="398"/>
      <c r="R178" s="398"/>
    </row>
    <row r="179">
      <c r="A179" s="406" t="s">
        <v>9488</v>
      </c>
      <c r="B179" s="399" t="s">
        <v>17</v>
      </c>
      <c r="C179" s="399" t="s">
        <v>8967</v>
      </c>
      <c r="D179" s="70" t="s">
        <v>9522</v>
      </c>
      <c r="E179" s="421" t="s">
        <v>9493</v>
      </c>
      <c r="F179" s="398"/>
      <c r="G179" s="398"/>
      <c r="H179" s="209"/>
      <c r="I179" s="399" t="s">
        <v>8969</v>
      </c>
      <c r="J179" s="398" t="str">
        <f>VLOOKUP(D179,'Pivot BSI'!W:AA,5,false)</f>
        <v>#N/A</v>
      </c>
      <c r="K179" s="421"/>
      <c r="L179" s="398"/>
      <c r="M179" s="398"/>
      <c r="N179" s="398"/>
      <c r="O179" s="398"/>
      <c r="P179" s="398"/>
      <c r="Q179" s="398"/>
      <c r="R179" s="398"/>
    </row>
    <row r="180">
      <c r="A180" s="406" t="s">
        <v>9488</v>
      </c>
      <c r="B180" s="399" t="s">
        <v>17</v>
      </c>
      <c r="C180" s="399" t="s">
        <v>9496</v>
      </c>
      <c r="D180" s="70" t="s">
        <v>9523</v>
      </c>
      <c r="E180" s="399" t="s">
        <v>9524</v>
      </c>
      <c r="F180" s="399">
        <v>23.0</v>
      </c>
      <c r="G180" s="398"/>
      <c r="H180" s="209"/>
      <c r="I180" s="399" t="s">
        <v>8925</v>
      </c>
      <c r="J180" s="398" t="str">
        <f>VLOOKUP(D180,'Pivot BSI'!W:AA,5,false)</f>
        <v>#N/A</v>
      </c>
      <c r="K180" s="399"/>
      <c r="L180" s="398"/>
      <c r="M180" s="398"/>
      <c r="N180" s="398"/>
      <c r="O180" s="398"/>
      <c r="P180" s="398"/>
      <c r="Q180" s="398"/>
      <c r="R180" s="398"/>
    </row>
    <row r="181">
      <c r="A181" s="489" t="s">
        <v>9525</v>
      </c>
      <c r="B181" s="489" t="s">
        <v>25</v>
      </c>
      <c r="C181" s="489" t="s">
        <v>9526</v>
      </c>
      <c r="D181" s="490" t="s">
        <v>9527</v>
      </c>
      <c r="E181" s="489" t="s">
        <v>9528</v>
      </c>
      <c r="F181" s="489">
        <v>17.0</v>
      </c>
      <c r="G181" s="398"/>
      <c r="H181" s="398"/>
      <c r="I181" s="399" t="s">
        <v>8925</v>
      </c>
      <c r="J181" s="399" t="s">
        <v>9045</v>
      </c>
      <c r="K181" s="489"/>
      <c r="L181" s="398"/>
      <c r="M181" s="398"/>
      <c r="N181" s="398"/>
      <c r="O181" s="398"/>
      <c r="P181" s="398"/>
      <c r="Q181" s="398"/>
      <c r="R181" s="398"/>
    </row>
    <row r="182">
      <c r="A182" s="489" t="s">
        <v>9525</v>
      </c>
      <c r="B182" s="489" t="s">
        <v>25</v>
      </c>
      <c r="C182" s="489" t="s">
        <v>9526</v>
      </c>
      <c r="D182" s="490" t="s">
        <v>9529</v>
      </c>
      <c r="E182" s="489" t="s">
        <v>9530</v>
      </c>
      <c r="F182" s="489">
        <v>7.0</v>
      </c>
      <c r="G182" s="398"/>
      <c r="H182" s="398"/>
      <c r="I182" s="399" t="s">
        <v>8925</v>
      </c>
      <c r="J182" s="399" t="s">
        <v>9045</v>
      </c>
      <c r="K182" s="489"/>
      <c r="L182" s="398"/>
      <c r="M182" s="398"/>
      <c r="N182" s="398"/>
      <c r="O182" s="398"/>
      <c r="P182" s="398"/>
      <c r="Q182" s="398"/>
      <c r="R182" s="398"/>
    </row>
    <row r="183">
      <c r="A183" s="489" t="s">
        <v>9525</v>
      </c>
      <c r="B183" s="489" t="s">
        <v>25</v>
      </c>
      <c r="C183" s="489" t="s">
        <v>9526</v>
      </c>
      <c r="D183" s="490" t="s">
        <v>9531</v>
      </c>
      <c r="E183" s="489" t="s">
        <v>9532</v>
      </c>
      <c r="F183" s="489">
        <v>13.0</v>
      </c>
      <c r="G183" s="398"/>
      <c r="H183" s="398"/>
      <c r="I183" s="399" t="s">
        <v>8925</v>
      </c>
      <c r="J183" s="399" t="s">
        <v>9045</v>
      </c>
      <c r="K183" s="489"/>
      <c r="L183" s="398"/>
      <c r="M183" s="398"/>
      <c r="N183" s="398"/>
      <c r="O183" s="398"/>
      <c r="P183" s="398"/>
      <c r="Q183" s="398"/>
      <c r="R183" s="398"/>
    </row>
    <row r="184">
      <c r="A184" s="489" t="s">
        <v>9525</v>
      </c>
      <c r="B184" s="489" t="s">
        <v>25</v>
      </c>
      <c r="C184" s="489" t="s">
        <v>9526</v>
      </c>
      <c r="D184" s="490" t="s">
        <v>9533</v>
      </c>
      <c r="E184" s="489" t="s">
        <v>9534</v>
      </c>
      <c r="F184" s="489">
        <v>18.0</v>
      </c>
      <c r="G184" s="398"/>
      <c r="H184" s="398"/>
      <c r="I184" s="399" t="s">
        <v>8925</v>
      </c>
      <c r="J184" s="399" t="s">
        <v>9045</v>
      </c>
      <c r="K184" s="489"/>
      <c r="L184" s="398"/>
      <c r="M184" s="398"/>
      <c r="N184" s="398"/>
      <c r="O184" s="398"/>
      <c r="P184" s="398"/>
      <c r="Q184" s="398"/>
      <c r="R184" s="398"/>
    </row>
    <row r="185">
      <c r="A185" s="489" t="s">
        <v>9525</v>
      </c>
      <c r="B185" s="489" t="s">
        <v>25</v>
      </c>
      <c r="C185" s="489" t="s">
        <v>9535</v>
      </c>
      <c r="D185" s="490" t="s">
        <v>9536</v>
      </c>
      <c r="E185" s="489" t="s">
        <v>9537</v>
      </c>
      <c r="F185" s="489">
        <v>4.0</v>
      </c>
      <c r="G185" s="398"/>
      <c r="H185" s="398"/>
      <c r="I185" s="475"/>
      <c r="J185" s="398" t="str">
        <f>VLOOKUP(D185,'Pivot BSI'!W:AA,5,false)</f>
        <v>#N/A</v>
      </c>
      <c r="K185" s="489"/>
      <c r="L185" s="398"/>
      <c r="M185" s="398"/>
      <c r="N185" s="398"/>
      <c r="O185" s="398"/>
      <c r="P185" s="398"/>
      <c r="Q185" s="398"/>
      <c r="R185" s="398"/>
    </row>
    <row r="186">
      <c r="A186" s="398" t="s">
        <v>9538</v>
      </c>
      <c r="B186" s="398" t="s">
        <v>28</v>
      </c>
      <c r="C186" s="399" t="s">
        <v>9539</v>
      </c>
      <c r="D186" s="491" t="s">
        <v>9540</v>
      </c>
      <c r="E186" s="399" t="s">
        <v>9541</v>
      </c>
      <c r="F186" s="399">
        <v>10.0</v>
      </c>
      <c r="G186" s="80" t="s">
        <v>9542</v>
      </c>
      <c r="H186" s="398"/>
      <c r="I186" s="399" t="s">
        <v>8925</v>
      </c>
      <c r="J186" s="399" t="s">
        <v>9045</v>
      </c>
      <c r="K186" s="399"/>
      <c r="L186" s="398"/>
      <c r="M186" s="398"/>
      <c r="N186" s="398"/>
      <c r="O186" s="398"/>
      <c r="P186" s="398"/>
      <c r="Q186" s="398"/>
      <c r="R186" s="398"/>
    </row>
    <row r="187">
      <c r="A187" s="398" t="s">
        <v>9543</v>
      </c>
      <c r="B187" s="398" t="s">
        <v>28</v>
      </c>
      <c r="C187" s="398" t="s">
        <v>9544</v>
      </c>
      <c r="D187" s="491" t="s">
        <v>9545</v>
      </c>
      <c r="E187" s="475" t="s">
        <v>9546</v>
      </c>
      <c r="F187" s="476">
        <v>12.0</v>
      </c>
      <c r="G187" s="398"/>
      <c r="H187" s="398"/>
      <c r="I187" s="475"/>
      <c r="J187" s="398" t="str">
        <f>VLOOKUP(D187,'Pivot BSI'!W:AA,5,false)</f>
        <v>#N/A</v>
      </c>
      <c r="K187" s="475"/>
      <c r="L187" s="398"/>
      <c r="M187" s="398"/>
      <c r="N187" s="398"/>
      <c r="O187" s="398"/>
      <c r="P187" s="398"/>
      <c r="Q187" s="398"/>
      <c r="R187" s="398"/>
    </row>
    <row r="188">
      <c r="A188" s="398" t="s">
        <v>9543</v>
      </c>
      <c r="B188" s="398" t="s">
        <v>9547</v>
      </c>
      <c r="C188" s="492" t="s">
        <v>9548</v>
      </c>
      <c r="D188" s="491" t="s">
        <v>9549</v>
      </c>
      <c r="E188" s="398" t="s">
        <v>9550</v>
      </c>
      <c r="F188" s="399">
        <v>6.0</v>
      </c>
      <c r="G188" s="398"/>
      <c r="H188" s="398"/>
      <c r="I188" s="475" t="s">
        <v>8932</v>
      </c>
      <c r="J188" s="398" t="str">
        <f>VLOOKUP(D188,'Pivot BSI'!W:AA,5,false)</f>
        <v>RESPONDED</v>
      </c>
      <c r="K188" s="398"/>
      <c r="L188" s="398"/>
      <c r="M188" s="398"/>
      <c r="N188" s="398"/>
      <c r="O188" s="398"/>
      <c r="P188" s="398"/>
      <c r="Q188" s="398"/>
      <c r="R188" s="398"/>
    </row>
    <row r="189">
      <c r="A189" s="398" t="s">
        <v>9543</v>
      </c>
      <c r="B189" s="398" t="s">
        <v>9547</v>
      </c>
      <c r="C189" s="398" t="s">
        <v>9551</v>
      </c>
      <c r="D189" s="491" t="s">
        <v>9552</v>
      </c>
      <c r="E189" s="398" t="s">
        <v>9553</v>
      </c>
      <c r="F189" s="399">
        <v>4.0</v>
      </c>
      <c r="G189" s="398"/>
      <c r="H189" s="209"/>
      <c r="I189" s="399" t="s">
        <v>8925</v>
      </c>
      <c r="J189" s="398" t="str">
        <f>VLOOKUP(D189,'Pivot BSI'!W:AA,5,false)</f>
        <v>ERROR</v>
      </c>
      <c r="K189" s="398"/>
      <c r="L189" s="398"/>
      <c r="M189" s="398"/>
      <c r="N189" s="398"/>
      <c r="O189" s="398"/>
      <c r="P189" s="398"/>
      <c r="Q189" s="398"/>
      <c r="R189" s="398"/>
    </row>
    <row r="190">
      <c r="A190" s="398" t="s">
        <v>9543</v>
      </c>
      <c r="B190" s="398" t="s">
        <v>9547</v>
      </c>
      <c r="C190" s="398" t="s">
        <v>9554</v>
      </c>
      <c r="D190" s="491" t="s">
        <v>9555</v>
      </c>
      <c r="E190" s="399" t="s">
        <v>9556</v>
      </c>
      <c r="F190" s="399">
        <v>32.0</v>
      </c>
      <c r="G190" s="398"/>
      <c r="H190" s="398"/>
      <c r="I190" s="475"/>
      <c r="J190" s="398" t="str">
        <f>VLOOKUP(D190,'Pivot BSI'!W:AA,5,false)</f>
        <v>EMAIL_OPENED</v>
      </c>
      <c r="K190" s="399"/>
      <c r="L190" s="398"/>
      <c r="M190" s="398"/>
      <c r="N190" s="398"/>
      <c r="O190" s="398"/>
      <c r="P190" s="398"/>
      <c r="Q190" s="398"/>
      <c r="R190" s="398"/>
    </row>
    <row r="191">
      <c r="A191" s="398" t="s">
        <v>9543</v>
      </c>
      <c r="B191" s="398" t="s">
        <v>9547</v>
      </c>
      <c r="C191" s="399" t="s">
        <v>9539</v>
      </c>
      <c r="D191" s="491" t="s">
        <v>9557</v>
      </c>
      <c r="E191" s="398" t="s">
        <v>9558</v>
      </c>
      <c r="F191" s="399">
        <v>4.0</v>
      </c>
      <c r="G191" s="398"/>
      <c r="H191" s="398"/>
      <c r="I191" s="399" t="s">
        <v>8925</v>
      </c>
      <c r="J191" s="399" t="s">
        <v>9045</v>
      </c>
      <c r="K191" s="398"/>
      <c r="L191" s="398"/>
      <c r="M191" s="398"/>
      <c r="N191" s="398"/>
      <c r="O191" s="398"/>
      <c r="P191" s="398"/>
      <c r="Q191" s="398"/>
      <c r="R191" s="398"/>
    </row>
    <row r="192">
      <c r="A192" s="398" t="s">
        <v>9543</v>
      </c>
      <c r="B192" s="398" t="s">
        <v>9559</v>
      </c>
      <c r="C192" s="399" t="s">
        <v>9539</v>
      </c>
      <c r="D192" s="491" t="s">
        <v>9540</v>
      </c>
      <c r="E192" s="413"/>
      <c r="F192" s="398"/>
      <c r="G192" s="398"/>
      <c r="H192" s="398"/>
      <c r="I192" s="398"/>
      <c r="J192" s="398" t="str">
        <f>VLOOKUP(D192,'Pivot BSI'!W:AA,5,false)</f>
        <v>#N/A</v>
      </c>
      <c r="K192" s="413"/>
      <c r="L192" s="398"/>
      <c r="M192" s="398"/>
      <c r="N192" s="398"/>
      <c r="O192" s="398"/>
      <c r="P192" s="398"/>
      <c r="Q192" s="398"/>
      <c r="R192" s="398"/>
    </row>
    <row r="193">
      <c r="A193" s="398" t="s">
        <v>9543</v>
      </c>
      <c r="B193" s="398" t="s">
        <v>9547</v>
      </c>
      <c r="C193" s="493" t="s">
        <v>9560</v>
      </c>
      <c r="D193" s="491" t="s">
        <v>9561</v>
      </c>
      <c r="E193" s="398" t="s">
        <v>9562</v>
      </c>
      <c r="F193" s="399">
        <v>5.0</v>
      </c>
      <c r="G193" s="398"/>
      <c r="H193" s="398"/>
      <c r="I193" s="475"/>
      <c r="J193" s="398" t="str">
        <f>VLOOKUP(D193,'Pivot BSI'!W:AA,5,false)</f>
        <v>EMAIL_OPENED</v>
      </c>
      <c r="K193" s="398"/>
      <c r="L193" s="398"/>
      <c r="M193" s="398"/>
      <c r="N193" s="398"/>
      <c r="O193" s="398"/>
      <c r="P193" s="398"/>
      <c r="Q193" s="398"/>
      <c r="R193" s="398"/>
    </row>
    <row r="194">
      <c r="A194" s="398" t="s">
        <v>9543</v>
      </c>
      <c r="B194" s="398" t="s">
        <v>9559</v>
      </c>
      <c r="C194" s="398" t="s">
        <v>9563</v>
      </c>
      <c r="D194" s="491" t="s">
        <v>9564</v>
      </c>
      <c r="E194" s="398" t="s">
        <v>9565</v>
      </c>
      <c r="F194" s="399">
        <v>2.0</v>
      </c>
      <c r="G194" s="398"/>
      <c r="H194" s="398"/>
      <c r="I194" s="475"/>
      <c r="J194" s="398" t="str">
        <f>VLOOKUP(D194,'Pivot BSI'!W:AA,5,false)</f>
        <v>ERROR</v>
      </c>
      <c r="K194" s="398"/>
      <c r="L194" s="398"/>
      <c r="M194" s="398"/>
      <c r="N194" s="398"/>
      <c r="O194" s="398"/>
      <c r="P194" s="398"/>
      <c r="Q194" s="398"/>
      <c r="R194" s="398"/>
    </row>
    <row r="195">
      <c r="A195" s="398" t="s">
        <v>9543</v>
      </c>
      <c r="B195" s="398" t="s">
        <v>9547</v>
      </c>
      <c r="C195" s="399" t="s">
        <v>9544</v>
      </c>
      <c r="D195" s="494" t="s">
        <v>9566</v>
      </c>
      <c r="E195" s="495"/>
      <c r="F195" s="398"/>
      <c r="G195" s="438"/>
      <c r="H195" s="398"/>
      <c r="I195" s="398"/>
      <c r="J195" s="398" t="str">
        <f>VLOOKUP(D195,'Pivot BSI'!W:AA,5,false)</f>
        <v>NO_RECIPIENT</v>
      </c>
      <c r="K195" s="495"/>
      <c r="L195" s="398"/>
      <c r="M195" s="398"/>
      <c r="N195" s="398"/>
      <c r="O195" s="398"/>
      <c r="P195" s="398"/>
      <c r="Q195" s="398"/>
      <c r="R195" s="398"/>
    </row>
    <row r="196">
      <c r="A196" s="398" t="s">
        <v>9543</v>
      </c>
      <c r="B196" s="398" t="s">
        <v>9547</v>
      </c>
      <c r="C196" s="399" t="s">
        <v>9539</v>
      </c>
      <c r="D196" s="491" t="s">
        <v>9567</v>
      </c>
      <c r="E196" s="399" t="s">
        <v>9568</v>
      </c>
      <c r="F196" s="399">
        <v>16.0</v>
      </c>
      <c r="G196" s="398"/>
      <c r="H196" s="398"/>
      <c r="I196" s="399" t="s">
        <v>8925</v>
      </c>
      <c r="J196" s="399" t="s">
        <v>9045</v>
      </c>
      <c r="K196" s="399"/>
      <c r="L196" s="398"/>
      <c r="M196" s="398"/>
      <c r="N196" s="398"/>
      <c r="O196" s="398"/>
      <c r="P196" s="398"/>
      <c r="Q196" s="398"/>
      <c r="R196" s="398"/>
    </row>
    <row r="197">
      <c r="A197" s="399" t="s">
        <v>9543</v>
      </c>
      <c r="B197" s="399" t="s">
        <v>9559</v>
      </c>
      <c r="C197" s="399" t="s">
        <v>9539</v>
      </c>
      <c r="D197" s="80" t="s">
        <v>9569</v>
      </c>
      <c r="E197" s="399" t="s">
        <v>9570</v>
      </c>
      <c r="F197" s="399">
        <v>8.0</v>
      </c>
      <c r="G197" s="398"/>
      <c r="H197" s="398"/>
      <c r="I197" s="399" t="s">
        <v>8925</v>
      </c>
      <c r="J197" s="399" t="s">
        <v>9045</v>
      </c>
      <c r="K197" s="399"/>
      <c r="L197" s="398"/>
      <c r="M197" s="398"/>
      <c r="N197" s="398"/>
      <c r="O197" s="398"/>
      <c r="P197" s="398"/>
      <c r="Q197" s="398"/>
      <c r="R197" s="398"/>
    </row>
    <row r="198">
      <c r="A198" s="399" t="s">
        <v>9543</v>
      </c>
      <c r="B198" s="399" t="s">
        <v>9559</v>
      </c>
      <c r="C198" s="399"/>
      <c r="E198" s="496"/>
      <c r="F198" s="476"/>
      <c r="G198" s="398"/>
      <c r="H198" s="398"/>
      <c r="I198" s="398"/>
      <c r="J198" s="398" t="str">
        <f>VLOOKUP(D198,'Pivot BSI'!W:AA,5,false)</f>
        <v>#N/A</v>
      </c>
      <c r="K198" s="496"/>
      <c r="L198" s="398"/>
      <c r="M198" s="398"/>
      <c r="N198" s="398"/>
      <c r="O198" s="398"/>
      <c r="P198" s="398"/>
      <c r="Q198" s="398"/>
      <c r="R198" s="398"/>
    </row>
    <row r="199">
      <c r="A199" s="399"/>
      <c r="B199" s="399"/>
      <c r="C199" s="497"/>
      <c r="E199" s="399"/>
      <c r="F199" s="399"/>
      <c r="G199" s="398"/>
      <c r="H199" s="398"/>
      <c r="I199" s="398"/>
      <c r="J199" s="398" t="str">
        <f>VLOOKUP(D199,'Pivot BSI'!W:AA,5,false)</f>
        <v>#N/A</v>
      </c>
      <c r="K199" s="399"/>
      <c r="L199" s="398"/>
      <c r="M199" s="398"/>
      <c r="N199" s="398"/>
      <c r="O199" s="398"/>
      <c r="P199" s="398"/>
      <c r="Q199" s="398"/>
      <c r="R199" s="398"/>
    </row>
    <row r="200">
      <c r="A200" s="399"/>
      <c r="B200" s="399"/>
      <c r="C200" s="399"/>
      <c r="E200" s="399"/>
      <c r="F200" s="399"/>
      <c r="G200" s="398"/>
      <c r="H200" s="398"/>
      <c r="I200" s="398"/>
      <c r="J200" s="398" t="str">
        <f>VLOOKUP(D200,'Pivot BSI'!W:AA,5,false)</f>
        <v>#N/A</v>
      </c>
      <c r="K200" s="399"/>
      <c r="L200" s="398"/>
      <c r="M200" s="398"/>
      <c r="N200" s="398"/>
      <c r="O200" s="398"/>
      <c r="P200" s="398"/>
      <c r="Q200" s="398"/>
      <c r="R200" s="398"/>
    </row>
    <row r="201">
      <c r="A201" s="399"/>
      <c r="B201" s="399"/>
      <c r="C201" s="399"/>
      <c r="E201" s="399"/>
      <c r="F201" s="399"/>
      <c r="G201" s="398"/>
      <c r="H201" s="398"/>
      <c r="I201" s="398"/>
      <c r="J201" s="398" t="str">
        <f>VLOOKUP(D201,'Pivot BSI'!W:AA,5,false)</f>
        <v>#N/A</v>
      </c>
      <c r="K201" s="399"/>
      <c r="L201" s="398"/>
      <c r="M201" s="398"/>
      <c r="N201" s="398"/>
      <c r="O201" s="398"/>
      <c r="P201" s="398"/>
      <c r="Q201" s="398"/>
      <c r="R201" s="398"/>
    </row>
    <row r="202">
      <c r="A202" s="399"/>
      <c r="B202" s="399"/>
      <c r="C202" s="399"/>
      <c r="E202" s="399"/>
      <c r="F202" s="399"/>
      <c r="G202" s="398"/>
      <c r="H202" s="398"/>
      <c r="I202" s="398"/>
      <c r="J202" s="398" t="str">
        <f>VLOOKUP(D202,'Pivot BSI'!W:AA,5,false)</f>
        <v>#N/A</v>
      </c>
      <c r="K202" s="399"/>
      <c r="L202" s="398"/>
      <c r="M202" s="398"/>
      <c r="N202" s="398"/>
      <c r="O202" s="398"/>
      <c r="P202" s="398"/>
      <c r="Q202" s="398"/>
      <c r="R202" s="398"/>
    </row>
    <row r="203">
      <c r="A203" s="399"/>
      <c r="B203" s="399"/>
      <c r="C203" s="399"/>
      <c r="E203" s="398"/>
      <c r="F203" s="398"/>
      <c r="G203" s="398"/>
      <c r="H203" s="398"/>
      <c r="I203" s="398"/>
      <c r="J203" s="398" t="str">
        <f>VLOOKUP(D203,'Pivot BSI'!W:AA,5,false)</f>
        <v>#N/A</v>
      </c>
      <c r="K203" s="398"/>
      <c r="L203" s="398"/>
      <c r="M203" s="398"/>
      <c r="N203" s="398"/>
      <c r="O203" s="398"/>
      <c r="P203" s="398"/>
      <c r="Q203" s="398"/>
      <c r="R203" s="398"/>
    </row>
    <row r="204">
      <c r="A204" s="399"/>
      <c r="B204" s="399"/>
      <c r="C204" s="497"/>
      <c r="E204" s="399"/>
      <c r="F204" s="399"/>
      <c r="G204" s="398"/>
      <c r="H204" s="398"/>
      <c r="I204" s="398"/>
      <c r="J204" s="398" t="str">
        <f>VLOOKUP(D204,'Pivot BSI'!W:AA,5,false)</f>
        <v>#N/A</v>
      </c>
      <c r="K204" s="399"/>
      <c r="L204" s="398"/>
      <c r="M204" s="398"/>
      <c r="N204" s="398"/>
      <c r="O204" s="398"/>
      <c r="P204" s="398"/>
      <c r="Q204" s="398"/>
      <c r="R204" s="398"/>
    </row>
    <row r="205">
      <c r="A205" s="399"/>
      <c r="B205" s="399"/>
      <c r="C205" s="399"/>
      <c r="E205" s="399"/>
      <c r="F205" s="399"/>
      <c r="G205" s="398"/>
      <c r="H205" s="398"/>
      <c r="I205" s="398"/>
      <c r="J205" s="398" t="str">
        <f>VLOOKUP(D205,'Pivot BSI'!W:AA,5,false)</f>
        <v>#N/A</v>
      </c>
      <c r="K205" s="399"/>
      <c r="L205" s="398"/>
      <c r="M205" s="398"/>
      <c r="N205" s="398"/>
      <c r="O205" s="398"/>
      <c r="P205" s="398"/>
      <c r="Q205" s="398"/>
      <c r="R205" s="398"/>
    </row>
    <row r="206">
      <c r="A206" s="399"/>
      <c r="B206" s="399"/>
      <c r="C206" s="399"/>
      <c r="E206" s="398"/>
      <c r="F206" s="398"/>
      <c r="G206" s="398"/>
      <c r="H206" s="398"/>
      <c r="I206" s="398"/>
      <c r="J206" s="398" t="str">
        <f>VLOOKUP(D206,'Pivot BSI'!W:AA,5,false)</f>
        <v>#N/A</v>
      </c>
      <c r="K206" s="398"/>
      <c r="L206" s="398"/>
      <c r="M206" s="398"/>
      <c r="N206" s="398"/>
      <c r="O206" s="398"/>
      <c r="P206" s="398"/>
      <c r="Q206" s="398"/>
      <c r="R206" s="398"/>
    </row>
    <row r="207">
      <c r="A207" s="399"/>
      <c r="B207" s="399"/>
      <c r="C207" s="399"/>
      <c r="E207" s="399"/>
      <c r="F207" s="399"/>
      <c r="G207" s="398"/>
      <c r="H207" s="398"/>
      <c r="I207" s="398"/>
      <c r="J207" s="398" t="str">
        <f>VLOOKUP(D207,'Pivot BSI'!W:AA,5,false)</f>
        <v>#N/A</v>
      </c>
      <c r="K207" s="399"/>
      <c r="L207" s="398"/>
      <c r="M207" s="398"/>
      <c r="N207" s="398"/>
      <c r="O207" s="398"/>
      <c r="P207" s="398"/>
      <c r="Q207" s="398"/>
      <c r="R207" s="398"/>
    </row>
    <row r="208">
      <c r="A208" s="398"/>
      <c r="B208" s="398"/>
      <c r="C208" s="398"/>
      <c r="D208" s="398"/>
      <c r="E208" s="398"/>
      <c r="F208" s="398"/>
      <c r="G208" s="398"/>
      <c r="H208" s="398"/>
      <c r="I208" s="398"/>
      <c r="J208" s="398" t="str">
        <f>VLOOKUP(D208,'Pivot BSI'!W:AA,5,false)</f>
        <v>#N/A</v>
      </c>
      <c r="K208" s="398"/>
      <c r="L208" s="398"/>
      <c r="M208" s="398"/>
      <c r="N208" s="398"/>
      <c r="O208" s="398"/>
      <c r="P208" s="398"/>
      <c r="Q208" s="398"/>
      <c r="R208" s="398"/>
    </row>
    <row r="209">
      <c r="A209" s="398"/>
      <c r="B209" s="398"/>
      <c r="C209" s="398"/>
      <c r="D209" s="398"/>
      <c r="E209" s="398"/>
      <c r="F209" s="398"/>
      <c r="G209" s="398"/>
      <c r="H209" s="398"/>
      <c r="I209" s="398"/>
      <c r="J209" s="398" t="str">
        <f>VLOOKUP(D209,'Pivot BSI'!W:AA,5,false)</f>
        <v>#N/A</v>
      </c>
      <c r="K209" s="398"/>
      <c r="L209" s="398"/>
      <c r="M209" s="398"/>
      <c r="N209" s="398"/>
      <c r="O209" s="398"/>
      <c r="P209" s="398"/>
      <c r="Q209" s="398"/>
      <c r="R209" s="398"/>
    </row>
    <row r="210">
      <c r="A210" s="398"/>
      <c r="B210" s="398"/>
      <c r="C210" s="398"/>
      <c r="D210" s="398"/>
      <c r="E210" s="398"/>
      <c r="F210" s="398"/>
      <c r="G210" s="398"/>
      <c r="H210" s="398"/>
      <c r="I210" s="398"/>
      <c r="J210" s="398" t="str">
        <f>VLOOKUP(D210,'Pivot BSI'!W:AA,5,false)</f>
        <v>#N/A</v>
      </c>
      <c r="K210" s="398"/>
      <c r="L210" s="398"/>
      <c r="M210" s="398"/>
      <c r="N210" s="398"/>
      <c r="O210" s="398"/>
      <c r="P210" s="398"/>
      <c r="Q210" s="398"/>
      <c r="R210" s="398"/>
    </row>
    <row r="211">
      <c r="A211" s="399" t="s">
        <v>9459</v>
      </c>
      <c r="B211" s="399" t="s">
        <v>20</v>
      </c>
      <c r="C211" s="399" t="s">
        <v>8950</v>
      </c>
      <c r="D211" s="80" t="s">
        <v>9571</v>
      </c>
      <c r="E211" s="421" t="s">
        <v>7163</v>
      </c>
      <c r="F211" s="398"/>
      <c r="G211" s="438" t="s">
        <v>9572</v>
      </c>
      <c r="H211" s="209"/>
      <c r="I211" s="399" t="s">
        <v>8969</v>
      </c>
      <c r="J211" s="398" t="str">
        <f>VLOOKUP(D211,'Pivot BSI'!W:AA,5,false)</f>
        <v>#N/A</v>
      </c>
      <c r="K211" s="421"/>
      <c r="L211" s="398"/>
      <c r="M211" s="398"/>
      <c r="N211" s="398"/>
      <c r="O211" s="398"/>
      <c r="P211" s="398"/>
      <c r="Q211" s="398"/>
      <c r="R211" s="398"/>
    </row>
    <row r="212">
      <c r="A212" s="399" t="s">
        <v>9459</v>
      </c>
      <c r="B212" s="399" t="s">
        <v>20</v>
      </c>
      <c r="C212" s="399" t="s">
        <v>9573</v>
      </c>
      <c r="D212" s="80" t="s">
        <v>9574</v>
      </c>
      <c r="E212" s="421" t="s">
        <v>7163</v>
      </c>
      <c r="F212" s="398"/>
      <c r="G212" s="398"/>
      <c r="H212" s="398"/>
      <c r="I212" s="398"/>
      <c r="J212" s="398" t="str">
        <f>VLOOKUP(D212,'Pivot BSI'!W:AA,5,false)</f>
        <v>BOUNCED</v>
      </c>
      <c r="K212" s="421"/>
      <c r="L212" s="398"/>
      <c r="M212" s="398"/>
      <c r="N212" s="398"/>
      <c r="O212" s="398"/>
      <c r="P212" s="398"/>
      <c r="Q212" s="398"/>
      <c r="R212" s="398"/>
    </row>
    <row r="213">
      <c r="A213" s="399" t="s">
        <v>9459</v>
      </c>
      <c r="B213" s="399" t="s">
        <v>20</v>
      </c>
      <c r="C213" s="399" t="s">
        <v>9575</v>
      </c>
      <c r="D213" s="80" t="s">
        <v>9576</v>
      </c>
      <c r="E213" s="399" t="s">
        <v>9577</v>
      </c>
      <c r="F213" s="399">
        <v>4.0</v>
      </c>
      <c r="G213" s="398"/>
      <c r="H213" s="398"/>
      <c r="I213" s="399" t="s">
        <v>8925</v>
      </c>
      <c r="J213" s="399" t="s">
        <v>9045</v>
      </c>
      <c r="K213" s="399"/>
      <c r="L213" s="398"/>
      <c r="M213" s="398"/>
      <c r="N213" s="398"/>
      <c r="O213" s="398"/>
      <c r="P213" s="398"/>
      <c r="Q213" s="398"/>
      <c r="R213" s="398"/>
    </row>
    <row r="214">
      <c r="A214" s="399" t="s">
        <v>9459</v>
      </c>
      <c r="B214" s="399" t="s">
        <v>20</v>
      </c>
      <c r="C214" s="399" t="s">
        <v>9575</v>
      </c>
      <c r="D214" s="80" t="s">
        <v>9578</v>
      </c>
      <c r="E214" s="399" t="s">
        <v>9579</v>
      </c>
      <c r="F214" s="399">
        <v>13.0</v>
      </c>
      <c r="G214" s="398"/>
      <c r="H214" s="398"/>
      <c r="I214" s="399" t="s">
        <v>8925</v>
      </c>
      <c r="J214" s="399" t="s">
        <v>9045</v>
      </c>
      <c r="K214" s="399"/>
      <c r="L214" s="398"/>
      <c r="M214" s="398"/>
      <c r="N214" s="398"/>
      <c r="O214" s="398"/>
      <c r="P214" s="398"/>
      <c r="Q214" s="398"/>
      <c r="R214" s="398"/>
    </row>
    <row r="215">
      <c r="A215" s="399" t="s">
        <v>9459</v>
      </c>
      <c r="B215" s="399" t="s">
        <v>20</v>
      </c>
      <c r="C215" s="399" t="s">
        <v>9575</v>
      </c>
      <c r="D215" s="80" t="s">
        <v>9580</v>
      </c>
      <c r="E215" s="421" t="s">
        <v>7163</v>
      </c>
      <c r="F215" s="398"/>
      <c r="G215" s="398"/>
      <c r="H215" s="398"/>
      <c r="I215" s="398"/>
      <c r="J215" s="399" t="s">
        <v>9045</v>
      </c>
      <c r="K215" s="421"/>
      <c r="L215" s="398"/>
      <c r="M215" s="398"/>
      <c r="N215" s="398"/>
      <c r="O215" s="398"/>
      <c r="P215" s="398"/>
      <c r="Q215" s="398"/>
      <c r="R215" s="398"/>
    </row>
    <row r="216">
      <c r="A216" s="399" t="s">
        <v>9459</v>
      </c>
      <c r="B216" s="399" t="s">
        <v>20</v>
      </c>
      <c r="C216" s="399" t="s">
        <v>9575</v>
      </c>
      <c r="D216" s="80" t="s">
        <v>9581</v>
      </c>
      <c r="E216" s="475" t="s">
        <v>9582</v>
      </c>
      <c r="F216" s="399">
        <v>12.0</v>
      </c>
      <c r="G216" s="398"/>
      <c r="H216" s="398"/>
      <c r="I216" s="399" t="s">
        <v>8925</v>
      </c>
      <c r="J216" s="399" t="s">
        <v>9045</v>
      </c>
      <c r="K216" s="475"/>
      <c r="L216" s="398"/>
      <c r="M216" s="398"/>
      <c r="N216" s="398"/>
      <c r="O216" s="398"/>
      <c r="P216" s="398"/>
      <c r="Q216" s="398"/>
      <c r="R216" s="398"/>
    </row>
    <row r="217">
      <c r="A217" s="399" t="s">
        <v>9459</v>
      </c>
      <c r="B217" s="399" t="s">
        <v>20</v>
      </c>
      <c r="C217" s="399" t="s">
        <v>9583</v>
      </c>
      <c r="D217" s="80" t="s">
        <v>9584</v>
      </c>
      <c r="E217" s="421" t="s">
        <v>7163</v>
      </c>
      <c r="F217" s="398"/>
      <c r="G217" s="398"/>
      <c r="H217" s="398"/>
      <c r="I217" s="398"/>
      <c r="J217" s="399" t="s">
        <v>9045</v>
      </c>
      <c r="K217" s="421"/>
      <c r="L217" s="398"/>
      <c r="M217" s="398"/>
      <c r="N217" s="398"/>
      <c r="O217" s="398"/>
      <c r="P217" s="398"/>
      <c r="Q217" s="398"/>
      <c r="R217" s="398"/>
    </row>
    <row r="218">
      <c r="A218" s="399" t="s">
        <v>9459</v>
      </c>
      <c r="B218" s="399" t="s">
        <v>20</v>
      </c>
      <c r="C218" s="399" t="s">
        <v>9583</v>
      </c>
      <c r="D218" s="80" t="s">
        <v>9585</v>
      </c>
      <c r="E218" s="475" t="s">
        <v>9586</v>
      </c>
      <c r="F218" s="399">
        <v>2.0</v>
      </c>
      <c r="G218" s="398"/>
      <c r="H218" s="398"/>
      <c r="I218" s="399" t="s">
        <v>8925</v>
      </c>
      <c r="J218" s="399" t="s">
        <v>9045</v>
      </c>
      <c r="K218" s="475"/>
      <c r="L218" s="398"/>
      <c r="M218" s="398"/>
      <c r="N218" s="398"/>
      <c r="O218" s="398"/>
      <c r="P218" s="398"/>
      <c r="Q218" s="398"/>
      <c r="R218" s="398"/>
    </row>
    <row r="219">
      <c r="A219" s="399" t="s">
        <v>9459</v>
      </c>
      <c r="B219" s="399" t="s">
        <v>20</v>
      </c>
      <c r="C219" s="399" t="s">
        <v>9583</v>
      </c>
      <c r="D219" s="80" t="s">
        <v>9584</v>
      </c>
      <c r="E219" s="498" t="s">
        <v>7163</v>
      </c>
      <c r="F219" s="398"/>
      <c r="G219" s="398"/>
      <c r="H219" s="398"/>
      <c r="I219" s="398"/>
      <c r="J219" s="399" t="s">
        <v>9045</v>
      </c>
      <c r="K219" s="498"/>
      <c r="L219" s="398"/>
      <c r="M219" s="398"/>
      <c r="N219" s="398"/>
      <c r="O219" s="398"/>
      <c r="P219" s="398"/>
      <c r="Q219" s="398"/>
      <c r="R219" s="398"/>
    </row>
    <row r="220">
      <c r="A220" s="399" t="s">
        <v>9459</v>
      </c>
      <c r="B220" s="399" t="s">
        <v>20</v>
      </c>
      <c r="C220" s="399" t="s">
        <v>9587</v>
      </c>
      <c r="D220" s="80" t="s">
        <v>9588</v>
      </c>
      <c r="E220" s="498" t="s">
        <v>9589</v>
      </c>
      <c r="F220" s="399">
        <v>45.0</v>
      </c>
      <c r="G220" s="398"/>
      <c r="H220" s="398"/>
      <c r="I220" s="475"/>
      <c r="J220" s="398" t="str">
        <f>VLOOKUP(D220,'Pivot BSI'!W:AA,5,false)</f>
        <v/>
      </c>
      <c r="K220" s="498"/>
      <c r="L220" s="398"/>
      <c r="M220" s="398"/>
      <c r="N220" s="398"/>
      <c r="O220" s="398"/>
      <c r="P220" s="398"/>
      <c r="Q220" s="398"/>
      <c r="R220" s="398"/>
    </row>
    <row r="221">
      <c r="A221" s="398"/>
      <c r="B221" s="398"/>
      <c r="C221" s="399"/>
      <c r="D221" s="499" t="s">
        <v>9590</v>
      </c>
      <c r="E221" s="398"/>
      <c r="F221" s="398"/>
      <c r="G221" s="398"/>
      <c r="H221" s="398"/>
      <c r="I221" s="398"/>
      <c r="J221" s="398" t="str">
        <f>VLOOKUP(D221,'Pivot BSI'!W:AA,5,false)</f>
        <v>#N/A</v>
      </c>
      <c r="K221" s="398"/>
      <c r="L221" s="398"/>
      <c r="M221" s="398"/>
      <c r="N221" s="398"/>
      <c r="O221" s="398"/>
      <c r="P221" s="398"/>
      <c r="Q221" s="398"/>
      <c r="R221" s="398"/>
    </row>
    <row r="222">
      <c r="A222" s="398"/>
      <c r="B222" s="398"/>
      <c r="C222" s="398"/>
      <c r="E222" s="398"/>
      <c r="F222" s="398"/>
      <c r="G222" s="398"/>
      <c r="H222" s="398"/>
      <c r="I222" s="398"/>
      <c r="J222" s="398" t="str">
        <f>VLOOKUP(D222,'Pivot BSI'!W:AA,5,false)</f>
        <v>#N/A</v>
      </c>
      <c r="K222" s="398"/>
      <c r="L222" s="398"/>
      <c r="M222" s="398"/>
      <c r="N222" s="398"/>
      <c r="O222" s="398"/>
      <c r="P222" s="398"/>
      <c r="Q222" s="398"/>
      <c r="R222" s="398"/>
    </row>
    <row r="223">
      <c r="A223" s="398"/>
      <c r="B223" s="398"/>
      <c r="C223" s="398"/>
      <c r="D223" s="398"/>
      <c r="E223" s="398"/>
      <c r="F223" s="398"/>
      <c r="G223" s="398"/>
      <c r="H223" s="398"/>
      <c r="I223" s="398"/>
      <c r="J223" s="398" t="str">
        <f>VLOOKUP(D223,'Pivot BSI'!W:AA,5,false)</f>
        <v>#N/A</v>
      </c>
      <c r="K223" s="398"/>
      <c r="L223" s="398"/>
      <c r="M223" s="398"/>
      <c r="N223" s="398"/>
      <c r="O223" s="398"/>
      <c r="P223" s="398"/>
      <c r="Q223" s="398"/>
      <c r="R223" s="398"/>
    </row>
    <row r="224">
      <c r="A224" s="399" t="s">
        <v>9591</v>
      </c>
      <c r="B224" s="399" t="s">
        <v>32</v>
      </c>
      <c r="C224" s="399" t="s">
        <v>9592</v>
      </c>
      <c r="D224" s="500" t="s">
        <v>9593</v>
      </c>
      <c r="E224" s="399" t="s">
        <v>9594</v>
      </c>
      <c r="F224" s="399">
        <v>11.0</v>
      </c>
      <c r="G224" s="398"/>
      <c r="H224" s="398"/>
      <c r="I224" s="398"/>
      <c r="J224" s="398" t="str">
        <f>VLOOKUP(D224,'Pivot BSI'!W:AA,5,false)</f>
        <v>#N/A</v>
      </c>
      <c r="K224" s="399"/>
      <c r="L224" s="398"/>
      <c r="M224" s="398"/>
      <c r="N224" s="398"/>
      <c r="O224" s="398"/>
      <c r="P224" s="398"/>
      <c r="Q224" s="398"/>
      <c r="R224" s="398"/>
    </row>
    <row r="225">
      <c r="A225" s="399" t="s">
        <v>9591</v>
      </c>
      <c r="B225" s="399" t="s">
        <v>32</v>
      </c>
      <c r="C225" s="399" t="s">
        <v>9595</v>
      </c>
      <c r="D225" s="500" t="s">
        <v>9596</v>
      </c>
      <c r="E225" s="501"/>
      <c r="F225" s="139"/>
      <c r="G225" s="398"/>
      <c r="H225" s="398"/>
      <c r="I225" s="398"/>
      <c r="J225" s="398" t="str">
        <f>VLOOKUP(D225,'Pivot BSI'!W:AA,5,false)</f>
        <v>NO_RECIPIENT</v>
      </c>
      <c r="K225" s="501"/>
      <c r="L225" s="398"/>
      <c r="M225" s="398"/>
      <c r="N225" s="398"/>
      <c r="O225" s="398"/>
      <c r="P225" s="398"/>
      <c r="Q225" s="398"/>
      <c r="R225" s="398"/>
    </row>
    <row r="226">
      <c r="A226" s="399" t="s">
        <v>9591</v>
      </c>
      <c r="B226" s="399" t="s">
        <v>32</v>
      </c>
      <c r="C226" s="399" t="s">
        <v>9597</v>
      </c>
      <c r="D226" s="500" t="s">
        <v>9598</v>
      </c>
      <c r="E226" s="399" t="s">
        <v>9599</v>
      </c>
      <c r="F226" s="399">
        <v>27.0</v>
      </c>
      <c r="G226" s="398"/>
      <c r="H226" s="398"/>
      <c r="I226" s="399" t="s">
        <v>8925</v>
      </c>
      <c r="J226" s="399" t="s">
        <v>9045</v>
      </c>
      <c r="K226" s="399"/>
      <c r="L226" s="398"/>
      <c r="M226" s="398"/>
      <c r="N226" s="398"/>
      <c r="O226" s="398"/>
      <c r="P226" s="398"/>
      <c r="Q226" s="398"/>
      <c r="R226" s="398"/>
    </row>
    <row r="227">
      <c r="A227" s="399" t="s">
        <v>9591</v>
      </c>
      <c r="B227" s="399" t="s">
        <v>32</v>
      </c>
      <c r="C227" s="399" t="s">
        <v>9600</v>
      </c>
      <c r="D227" s="500" t="s">
        <v>9601</v>
      </c>
      <c r="E227" s="502" t="s">
        <v>9602</v>
      </c>
      <c r="F227" s="399">
        <v>47.0</v>
      </c>
      <c r="G227" s="398"/>
      <c r="H227" s="398"/>
      <c r="I227" s="475"/>
      <c r="J227" s="398" t="str">
        <f>VLOOKUP(D227,'Pivot BSI'!W:AA,5,false)</f>
        <v>RESPONDED</v>
      </c>
      <c r="K227" s="502"/>
      <c r="L227" s="398"/>
      <c r="M227" s="398"/>
      <c r="N227" s="398"/>
      <c r="O227" s="398"/>
      <c r="P227" s="398"/>
      <c r="Q227" s="398"/>
      <c r="R227" s="398"/>
    </row>
    <row r="228">
      <c r="A228" s="399" t="s">
        <v>9591</v>
      </c>
      <c r="B228" s="399" t="s">
        <v>32</v>
      </c>
      <c r="C228" s="399" t="s">
        <v>9356</v>
      </c>
      <c r="D228" s="500" t="s">
        <v>9603</v>
      </c>
      <c r="E228" s="421"/>
      <c r="F228" s="399"/>
      <c r="G228" s="454" t="s">
        <v>9604</v>
      </c>
      <c r="H228" s="209"/>
      <c r="I228" s="398"/>
      <c r="J228" s="398" t="str">
        <f>VLOOKUP(D228,'Pivot BSI'!W:AA,5,false)</f>
        <v>#N/A</v>
      </c>
      <c r="K228" s="421"/>
      <c r="L228" s="398"/>
      <c r="M228" s="398"/>
      <c r="N228" s="398"/>
      <c r="O228" s="398"/>
      <c r="P228" s="398"/>
      <c r="Q228" s="398"/>
      <c r="R228" s="398"/>
    </row>
    <row r="229">
      <c r="A229" s="399" t="s">
        <v>9591</v>
      </c>
      <c r="B229" s="399" t="s">
        <v>32</v>
      </c>
      <c r="C229" s="399" t="s">
        <v>9597</v>
      </c>
      <c r="D229" s="500" t="s">
        <v>9605</v>
      </c>
      <c r="E229" s="421"/>
      <c r="F229" s="399"/>
      <c r="G229" s="398"/>
      <c r="H229" s="398"/>
      <c r="I229" s="398"/>
      <c r="J229" s="398" t="str">
        <f>VLOOKUP(D229,'Pivot BSI'!W:AA,5,false)</f>
        <v>#N/A</v>
      </c>
      <c r="K229" s="421"/>
      <c r="L229" s="398"/>
      <c r="M229" s="398"/>
      <c r="N229" s="398"/>
      <c r="O229" s="398"/>
      <c r="P229" s="398"/>
      <c r="Q229" s="398"/>
      <c r="R229" s="398"/>
    </row>
    <row r="230">
      <c r="A230" s="399" t="s">
        <v>9591</v>
      </c>
      <c r="B230" s="399" t="s">
        <v>32</v>
      </c>
      <c r="C230" s="399" t="s">
        <v>9356</v>
      </c>
      <c r="D230" s="500" t="s">
        <v>9606</v>
      </c>
      <c r="E230" s="139" t="s">
        <v>9607</v>
      </c>
      <c r="F230" s="139">
        <v>42.0</v>
      </c>
      <c r="G230" s="398"/>
      <c r="H230" s="209"/>
      <c r="I230" s="399" t="s">
        <v>8925</v>
      </c>
      <c r="J230" s="398" t="str">
        <f>VLOOKUP(D230,'Pivot BSI'!W:AA,5,false)</f>
        <v>#N/A</v>
      </c>
      <c r="K230" s="139"/>
      <c r="L230" s="398"/>
      <c r="M230" s="398"/>
      <c r="N230" s="398"/>
      <c r="O230" s="398"/>
      <c r="P230" s="398"/>
      <c r="Q230" s="398"/>
      <c r="R230" s="398"/>
    </row>
    <row r="231">
      <c r="A231" s="398"/>
      <c r="B231" s="398"/>
      <c r="C231" s="398"/>
      <c r="D231" s="398"/>
      <c r="E231" s="398"/>
      <c r="F231" s="398"/>
      <c r="G231" s="398"/>
      <c r="H231" s="398"/>
      <c r="I231" s="398"/>
      <c r="J231" s="398" t="str">
        <f>VLOOKUP(D231,'Pivot BSI'!W:AA,5,false)</f>
        <v>#N/A</v>
      </c>
      <c r="K231" s="398"/>
      <c r="L231" s="398"/>
      <c r="M231" s="398"/>
      <c r="N231" s="398"/>
      <c r="O231" s="398"/>
      <c r="P231" s="398"/>
      <c r="Q231" s="398"/>
      <c r="R231" s="398"/>
    </row>
    <row r="232">
      <c r="A232" s="398"/>
      <c r="B232" s="398"/>
      <c r="C232" s="398"/>
      <c r="D232" s="398"/>
      <c r="E232" s="398"/>
      <c r="F232" s="398"/>
      <c r="G232" s="398"/>
      <c r="H232" s="398"/>
      <c r="I232" s="398"/>
      <c r="J232" s="398" t="str">
        <f>VLOOKUP(D232,'Pivot BSI'!W:AA,5,false)</f>
        <v>#N/A</v>
      </c>
      <c r="K232" s="398"/>
      <c r="L232" s="398"/>
      <c r="M232" s="398"/>
      <c r="N232" s="398"/>
      <c r="O232" s="398"/>
      <c r="P232" s="398"/>
      <c r="Q232" s="398"/>
      <c r="R232" s="398"/>
    </row>
    <row r="233">
      <c r="A233" s="399" t="s">
        <v>9525</v>
      </c>
      <c r="B233" s="399" t="s">
        <v>23</v>
      </c>
      <c r="C233" s="399" t="s">
        <v>9608</v>
      </c>
      <c r="D233" s="454" t="s">
        <v>9609</v>
      </c>
      <c r="E233" s="399" t="s">
        <v>9610</v>
      </c>
      <c r="F233" s="399">
        <v>5.0</v>
      </c>
      <c r="G233" s="398"/>
      <c r="H233" s="398"/>
      <c r="I233" s="475"/>
      <c r="J233" s="398" t="str">
        <f>VLOOKUP(D233,'Pivot BSI'!W:AA,5,false)</f>
        <v>#N/A</v>
      </c>
      <c r="K233" s="399"/>
      <c r="L233" s="398"/>
      <c r="M233" s="398"/>
      <c r="N233" s="398"/>
      <c r="O233" s="398"/>
      <c r="P233" s="398"/>
      <c r="Q233" s="398"/>
      <c r="R233" s="398"/>
    </row>
    <row r="234">
      <c r="A234" s="399" t="s">
        <v>9525</v>
      </c>
      <c r="B234" s="399" t="s">
        <v>23</v>
      </c>
      <c r="C234" s="399" t="s">
        <v>9611</v>
      </c>
      <c r="D234" s="454" t="s">
        <v>9612</v>
      </c>
      <c r="E234" s="399" t="s">
        <v>9613</v>
      </c>
      <c r="F234" s="399">
        <v>2.0</v>
      </c>
      <c r="G234" s="398"/>
      <c r="H234" s="398"/>
      <c r="I234" s="475"/>
      <c r="J234" s="398" t="str">
        <f>VLOOKUP(D234,'Pivot BSI'!W:AA,5,false)</f>
        <v>#N/A</v>
      </c>
      <c r="K234" s="399"/>
      <c r="L234" s="398"/>
      <c r="M234" s="398"/>
      <c r="N234" s="398"/>
      <c r="O234" s="398"/>
      <c r="P234" s="398"/>
      <c r="Q234" s="398"/>
      <c r="R234" s="398"/>
    </row>
    <row r="235">
      <c r="A235" s="168" t="s">
        <v>9525</v>
      </c>
      <c r="B235" s="399" t="s">
        <v>23</v>
      </c>
      <c r="C235" s="399" t="s">
        <v>9614</v>
      </c>
      <c r="D235" s="438" t="s">
        <v>9615</v>
      </c>
      <c r="E235" s="399" t="s">
        <v>9616</v>
      </c>
      <c r="F235" s="399">
        <v>4.0</v>
      </c>
      <c r="G235" s="398"/>
      <c r="H235" s="398"/>
      <c r="I235" s="475"/>
      <c r="J235" s="398" t="str">
        <f>VLOOKUP(D235,'Pivot BSI'!W:AA,5,false)</f>
        <v>#N/A</v>
      </c>
      <c r="K235" s="399"/>
      <c r="L235" s="398"/>
      <c r="M235" s="398"/>
      <c r="N235" s="398"/>
      <c r="O235" s="398"/>
      <c r="P235" s="398"/>
      <c r="Q235" s="398"/>
      <c r="R235" s="398"/>
    </row>
    <row r="236">
      <c r="A236" s="399" t="s">
        <v>9525</v>
      </c>
      <c r="B236" s="399" t="s">
        <v>23</v>
      </c>
      <c r="C236" s="399" t="s">
        <v>9617</v>
      </c>
      <c r="D236" s="454" t="s">
        <v>9618</v>
      </c>
      <c r="E236" s="399" t="s">
        <v>9619</v>
      </c>
      <c r="F236" s="399">
        <v>5.0</v>
      </c>
      <c r="G236" s="398"/>
      <c r="H236" s="398"/>
      <c r="I236" s="475"/>
      <c r="J236" s="398" t="str">
        <f>VLOOKUP(D236,'Pivot BSI'!W:AA,5,false)</f>
        <v>EMAIL_SENT</v>
      </c>
      <c r="K236" s="399"/>
      <c r="L236" s="398"/>
      <c r="M236" s="398"/>
      <c r="N236" s="398"/>
      <c r="O236" s="398"/>
      <c r="P236" s="398"/>
      <c r="Q236" s="398"/>
      <c r="R236" s="398"/>
    </row>
    <row r="237">
      <c r="A237" s="399" t="s">
        <v>9525</v>
      </c>
      <c r="B237" s="399" t="s">
        <v>23</v>
      </c>
      <c r="C237" s="2" t="s">
        <v>9620</v>
      </c>
      <c r="D237" s="454" t="s">
        <v>9621</v>
      </c>
      <c r="E237" s="399" t="s">
        <v>9622</v>
      </c>
      <c r="F237" s="399">
        <v>5.0</v>
      </c>
      <c r="G237" s="398"/>
      <c r="H237" s="399" t="s">
        <v>9623</v>
      </c>
      <c r="I237" s="475"/>
      <c r="J237" s="398" t="str">
        <f>VLOOKUP(D237,'Pivot BSI'!W:AA,5,false)</f>
        <v>EMAIL_SENT</v>
      </c>
      <c r="K237" s="399"/>
      <c r="L237" s="398"/>
      <c r="M237" s="398"/>
      <c r="N237" s="398"/>
      <c r="O237" s="398"/>
      <c r="P237" s="398"/>
      <c r="Q237" s="398"/>
      <c r="R237" s="398"/>
    </row>
    <row r="238">
      <c r="A238" s="399" t="s">
        <v>9525</v>
      </c>
      <c r="B238" s="399" t="s">
        <v>23</v>
      </c>
      <c r="C238" s="399" t="s">
        <v>9624</v>
      </c>
      <c r="D238" s="438" t="s">
        <v>9625</v>
      </c>
      <c r="E238" s="399" t="s">
        <v>9626</v>
      </c>
      <c r="F238" s="399">
        <v>4.0</v>
      </c>
      <c r="G238" s="398"/>
      <c r="H238" s="399" t="s">
        <v>9623</v>
      </c>
      <c r="I238" s="475"/>
      <c r="J238" s="398" t="str">
        <f>VLOOKUP(D238,'Pivot BSI'!W:AA,5,false)</f>
        <v>EMAIL_SENT</v>
      </c>
      <c r="K238" s="399"/>
      <c r="L238" s="398"/>
      <c r="M238" s="398"/>
      <c r="N238" s="398"/>
      <c r="O238" s="398"/>
      <c r="P238" s="398"/>
      <c r="Q238" s="398"/>
      <c r="R238" s="398"/>
    </row>
    <row r="239">
      <c r="A239" s="399" t="s">
        <v>9525</v>
      </c>
      <c r="B239" s="399" t="s">
        <v>23</v>
      </c>
      <c r="C239" s="399" t="s">
        <v>9627</v>
      </c>
      <c r="D239" s="454" t="s">
        <v>9628</v>
      </c>
      <c r="E239" s="399" t="s">
        <v>9629</v>
      </c>
      <c r="F239" s="399">
        <v>4.0</v>
      </c>
      <c r="G239" s="398"/>
      <c r="H239" s="398"/>
      <c r="I239" s="475"/>
      <c r="J239" s="398" t="str">
        <f>VLOOKUP(D239,'Pivot BSI'!W:AA,5,false)</f>
        <v>ERROR</v>
      </c>
      <c r="K239" s="399"/>
      <c r="L239" s="398"/>
      <c r="M239" s="398"/>
      <c r="N239" s="398"/>
      <c r="O239" s="398"/>
      <c r="P239" s="398"/>
      <c r="Q239" s="398"/>
      <c r="R239" s="398"/>
    </row>
    <row r="240">
      <c r="A240" s="399" t="s">
        <v>9525</v>
      </c>
      <c r="B240" s="399" t="s">
        <v>23</v>
      </c>
      <c r="C240" s="2" t="s">
        <v>9630</v>
      </c>
      <c r="D240" s="454" t="s">
        <v>9631</v>
      </c>
      <c r="E240" s="399" t="s">
        <v>9632</v>
      </c>
      <c r="F240" s="399">
        <v>4.0</v>
      </c>
      <c r="G240" s="398"/>
      <c r="H240" s="398"/>
      <c r="I240" s="475"/>
      <c r="J240" s="398" t="str">
        <f>VLOOKUP(D240,'Pivot BSI'!W:AA,5,false)</f>
        <v>EMAIL_SENT</v>
      </c>
      <c r="K240" s="399"/>
      <c r="L240" s="398"/>
      <c r="M240" s="398"/>
      <c r="N240" s="398"/>
      <c r="O240" s="398"/>
      <c r="P240" s="398"/>
      <c r="Q240" s="398"/>
      <c r="R240" s="398"/>
    </row>
    <row r="241">
      <c r="A241" s="399" t="s">
        <v>9525</v>
      </c>
      <c r="B241" s="399" t="s">
        <v>23</v>
      </c>
      <c r="C241" s="399" t="s">
        <v>9611</v>
      </c>
      <c r="D241" s="503" t="s">
        <v>9633</v>
      </c>
      <c r="E241" s="399" t="s">
        <v>9634</v>
      </c>
      <c r="F241" s="399">
        <v>2.0</v>
      </c>
      <c r="G241" s="398"/>
      <c r="H241" s="398"/>
      <c r="I241" s="475"/>
      <c r="J241" s="398" t="str">
        <f>VLOOKUP(D241,'Pivot BSI'!W:AA,5,false)</f>
        <v>#N/A</v>
      </c>
      <c r="K241" s="399"/>
      <c r="L241" s="398"/>
      <c r="M241" s="398"/>
      <c r="N241" s="398"/>
      <c r="O241" s="398"/>
      <c r="P241" s="398"/>
      <c r="Q241" s="398"/>
      <c r="R241" s="398"/>
    </row>
    <row r="242">
      <c r="A242" s="399" t="s">
        <v>9525</v>
      </c>
      <c r="B242" s="399" t="s">
        <v>23</v>
      </c>
      <c r="C242" s="399" t="s">
        <v>9635</v>
      </c>
      <c r="D242" s="454" t="s">
        <v>9636</v>
      </c>
      <c r="E242" s="399" t="s">
        <v>9637</v>
      </c>
      <c r="F242" s="399">
        <v>4.0</v>
      </c>
      <c r="G242" s="398"/>
      <c r="H242" s="398"/>
      <c r="I242" s="475"/>
      <c r="J242" s="398" t="str">
        <f>VLOOKUP(D242,'Pivot BSI'!W:AA,5,false)</f>
        <v/>
      </c>
      <c r="K242" s="399"/>
      <c r="L242" s="398"/>
      <c r="M242" s="398"/>
      <c r="N242" s="398"/>
      <c r="O242" s="398"/>
      <c r="P242" s="398"/>
      <c r="Q242" s="398"/>
      <c r="R242" s="398"/>
    </row>
    <row r="243">
      <c r="A243" s="399" t="s">
        <v>9525</v>
      </c>
      <c r="B243" s="399" t="s">
        <v>23</v>
      </c>
      <c r="C243" s="2" t="s">
        <v>9638</v>
      </c>
      <c r="D243" s="454" t="s">
        <v>9639</v>
      </c>
      <c r="E243" s="399" t="s">
        <v>9640</v>
      </c>
      <c r="F243" s="399">
        <v>2.0</v>
      </c>
      <c r="G243" s="398"/>
      <c r="H243" s="398"/>
      <c r="I243" s="475"/>
      <c r="J243" s="398" t="str">
        <f>VLOOKUP(D243,'Pivot BSI'!W:AA,5,false)</f>
        <v>EMAIL_OPENED</v>
      </c>
      <c r="K243" s="399"/>
      <c r="L243" s="398"/>
      <c r="M243" s="398"/>
      <c r="N243" s="398"/>
      <c r="O243" s="398"/>
      <c r="P243" s="398"/>
      <c r="Q243" s="398"/>
      <c r="R243" s="398"/>
    </row>
    <row r="244">
      <c r="A244" s="399" t="s">
        <v>9525</v>
      </c>
      <c r="B244" s="399" t="s">
        <v>23</v>
      </c>
      <c r="C244" s="2" t="s">
        <v>9641</v>
      </c>
      <c r="D244" s="454" t="s">
        <v>9642</v>
      </c>
      <c r="E244" s="399" t="s">
        <v>9643</v>
      </c>
      <c r="F244" s="399">
        <v>2.0</v>
      </c>
      <c r="G244" s="454" t="s">
        <v>9644</v>
      </c>
      <c r="H244" s="398"/>
      <c r="I244" s="475"/>
      <c r="J244" s="398" t="str">
        <f>VLOOKUP(D244,'Pivot BSI'!W:AA,5,false)</f>
        <v>EMAIL_SENT</v>
      </c>
      <c r="K244" s="399"/>
      <c r="L244" s="398"/>
      <c r="M244" s="398"/>
      <c r="N244" s="398"/>
      <c r="O244" s="398"/>
      <c r="P244" s="398"/>
      <c r="Q244" s="398"/>
      <c r="R244" s="398"/>
    </row>
    <row r="245">
      <c r="A245" s="399" t="s">
        <v>9525</v>
      </c>
      <c r="B245" s="399" t="s">
        <v>23</v>
      </c>
      <c r="C245" s="399" t="s">
        <v>9645</v>
      </c>
      <c r="D245" s="454" t="s">
        <v>9646</v>
      </c>
      <c r="E245" s="399" t="s">
        <v>9647</v>
      </c>
      <c r="F245" s="399">
        <v>5.0</v>
      </c>
      <c r="G245" s="398"/>
      <c r="H245" s="398"/>
      <c r="I245" s="475"/>
      <c r="J245" s="398" t="str">
        <f>VLOOKUP(D245,'Pivot BSI'!W:AA,5,false)</f>
        <v>#N/A</v>
      </c>
      <c r="K245" s="399"/>
      <c r="L245" s="398"/>
      <c r="M245" s="398"/>
      <c r="N245" s="398"/>
      <c r="O245" s="398"/>
      <c r="P245" s="398"/>
      <c r="Q245" s="398"/>
      <c r="R245" s="398"/>
    </row>
    <row r="246">
      <c r="A246" s="399" t="s">
        <v>9525</v>
      </c>
      <c r="B246" s="399" t="s">
        <v>23</v>
      </c>
      <c r="C246" s="399" t="s">
        <v>9648</v>
      </c>
      <c r="D246" s="454" t="s">
        <v>9649</v>
      </c>
      <c r="E246" s="399" t="s">
        <v>9650</v>
      </c>
      <c r="F246" s="399">
        <v>3.0</v>
      </c>
      <c r="G246" s="398"/>
      <c r="H246" s="398"/>
      <c r="I246" s="475"/>
      <c r="J246" s="398" t="str">
        <f>VLOOKUP(D246,'Pivot BSI'!W:AA,5,false)</f>
        <v>RESPONDED</v>
      </c>
      <c r="K246" s="399"/>
      <c r="L246" s="398"/>
      <c r="M246" s="398"/>
      <c r="N246" s="398"/>
      <c r="O246" s="398"/>
      <c r="P246" s="398"/>
      <c r="Q246" s="398"/>
      <c r="R246" s="398"/>
    </row>
    <row r="247">
      <c r="A247" s="399" t="s">
        <v>9525</v>
      </c>
      <c r="B247" s="399" t="s">
        <v>23</v>
      </c>
      <c r="C247" s="399" t="s">
        <v>8950</v>
      </c>
      <c r="D247" s="454" t="s">
        <v>9651</v>
      </c>
      <c r="E247" s="399" t="s">
        <v>9652</v>
      </c>
      <c r="F247" s="399">
        <v>4.0</v>
      </c>
      <c r="G247" s="398"/>
      <c r="H247" s="399"/>
      <c r="I247" s="399" t="s">
        <v>8925</v>
      </c>
      <c r="J247" s="398" t="str">
        <f>VLOOKUP(D247,'Pivot BSI'!W:AA,5,false)</f>
        <v>#N/A</v>
      </c>
      <c r="K247" s="399"/>
      <c r="L247" s="398"/>
      <c r="M247" s="398"/>
      <c r="N247" s="398"/>
      <c r="O247" s="398"/>
      <c r="P247" s="398"/>
      <c r="Q247" s="398"/>
      <c r="R247" s="398"/>
    </row>
    <row r="248">
      <c r="A248" s="399" t="s">
        <v>9525</v>
      </c>
      <c r="B248" s="399" t="s">
        <v>23</v>
      </c>
      <c r="C248" s="399" t="s">
        <v>9653</v>
      </c>
      <c r="D248" s="454" t="s">
        <v>9654</v>
      </c>
      <c r="E248" s="399" t="s">
        <v>9655</v>
      </c>
      <c r="F248" s="399">
        <v>3.0</v>
      </c>
      <c r="G248" s="398"/>
      <c r="H248" s="398"/>
      <c r="I248" s="475" t="s">
        <v>8932</v>
      </c>
      <c r="J248" s="398" t="str">
        <f>VLOOKUP(D248,'Pivot BSI'!W:AA,5,false)</f>
        <v>RESPONDED</v>
      </c>
      <c r="K248" s="399"/>
      <c r="L248" s="398"/>
      <c r="M248" s="398"/>
      <c r="N248" s="398"/>
      <c r="O248" s="398"/>
      <c r="P248" s="398"/>
      <c r="Q248" s="398"/>
      <c r="R248" s="398"/>
    </row>
    <row r="249">
      <c r="A249" s="399" t="s">
        <v>9525</v>
      </c>
      <c r="B249" s="399" t="s">
        <v>23</v>
      </c>
      <c r="C249" s="399" t="s">
        <v>9656</v>
      </c>
      <c r="D249" s="454" t="s">
        <v>9657</v>
      </c>
      <c r="E249" s="399" t="s">
        <v>9658</v>
      </c>
      <c r="F249" s="399">
        <v>3.0</v>
      </c>
      <c r="G249" s="398"/>
      <c r="H249" s="398"/>
      <c r="I249" s="475"/>
      <c r="J249" s="398" t="str">
        <f>VLOOKUP(D249,'Pivot BSI'!W:AA,5,false)</f>
        <v>EMAIL_OPENED</v>
      </c>
      <c r="K249" s="399"/>
      <c r="L249" s="398"/>
      <c r="M249" s="398"/>
      <c r="N249" s="398"/>
      <c r="O249" s="398"/>
      <c r="P249" s="398"/>
      <c r="Q249" s="398"/>
      <c r="R249" s="398"/>
    </row>
    <row r="250">
      <c r="A250" s="399" t="s">
        <v>9525</v>
      </c>
      <c r="B250" s="168" t="s">
        <v>23</v>
      </c>
      <c r="C250" s="399" t="s">
        <v>8967</v>
      </c>
      <c r="D250" s="454" t="s">
        <v>9659</v>
      </c>
      <c r="E250" s="399" t="s">
        <v>9660</v>
      </c>
      <c r="F250" s="399">
        <v>2.0</v>
      </c>
      <c r="G250" s="398"/>
      <c r="H250" s="209"/>
      <c r="I250" s="399" t="s">
        <v>8925</v>
      </c>
      <c r="J250" s="398" t="str">
        <f>VLOOKUP(D250,'Pivot BSI'!W:AA,5,false)</f>
        <v>#N/A</v>
      </c>
      <c r="K250" s="399"/>
      <c r="L250" s="398"/>
      <c r="M250" s="398"/>
      <c r="N250" s="398"/>
      <c r="O250" s="398"/>
      <c r="P250" s="398"/>
      <c r="Q250" s="398"/>
      <c r="R250" s="398"/>
    </row>
    <row r="251">
      <c r="A251" s="399" t="s">
        <v>9525</v>
      </c>
      <c r="B251" s="399" t="s">
        <v>23</v>
      </c>
      <c r="C251" s="399" t="s">
        <v>9661</v>
      </c>
      <c r="D251" s="454" t="s">
        <v>9662</v>
      </c>
      <c r="E251" s="399" t="s">
        <v>9663</v>
      </c>
      <c r="F251" s="399">
        <v>35.0</v>
      </c>
      <c r="G251" s="398"/>
      <c r="H251" s="398"/>
      <c r="I251" s="475" t="s">
        <v>9005</v>
      </c>
      <c r="J251" s="398" t="str">
        <f>VLOOKUP(D251,'Pivot BSI'!W:AA,5,false)</f>
        <v>#N/A</v>
      </c>
      <c r="K251" s="399"/>
      <c r="L251" s="398"/>
      <c r="M251" s="398"/>
      <c r="N251" s="398"/>
      <c r="O251" s="398"/>
      <c r="P251" s="398"/>
      <c r="Q251" s="398"/>
      <c r="R251" s="398"/>
    </row>
    <row r="252">
      <c r="A252" s="399" t="s">
        <v>9525</v>
      </c>
      <c r="B252" s="399" t="s">
        <v>23</v>
      </c>
      <c r="C252" s="399" t="s">
        <v>9664</v>
      </c>
      <c r="D252" s="438" t="s">
        <v>9665</v>
      </c>
      <c r="E252" s="421" t="s">
        <v>9666</v>
      </c>
      <c r="F252" s="398"/>
      <c r="G252" s="398"/>
      <c r="H252" s="398"/>
      <c r="I252" s="398"/>
      <c r="J252" s="398" t="str">
        <f>VLOOKUP(D252,'Pivot BSI'!W:AA,5,false)</f>
        <v>EMAIL_SENT</v>
      </c>
      <c r="K252" s="421"/>
      <c r="L252" s="398"/>
      <c r="M252" s="398"/>
      <c r="N252" s="398"/>
      <c r="O252" s="398"/>
      <c r="P252" s="398"/>
      <c r="Q252" s="398"/>
      <c r="R252" s="398"/>
    </row>
    <row r="253">
      <c r="A253" s="399" t="s">
        <v>9525</v>
      </c>
      <c r="B253" s="399" t="s">
        <v>23</v>
      </c>
      <c r="C253" s="399" t="s">
        <v>9667</v>
      </c>
      <c r="D253" s="454" t="s">
        <v>9668</v>
      </c>
      <c r="E253" s="399" t="s">
        <v>9669</v>
      </c>
      <c r="F253" s="399">
        <v>2.0</v>
      </c>
      <c r="G253" s="398"/>
      <c r="H253" s="398"/>
      <c r="I253" s="475"/>
      <c r="J253" s="398" t="str">
        <f>VLOOKUP(D253,'Pivot BSI'!W:AA,5,false)</f>
        <v/>
      </c>
      <c r="K253" s="399"/>
      <c r="L253" s="398"/>
      <c r="M253" s="398"/>
      <c r="N253" s="398"/>
      <c r="O253" s="398"/>
      <c r="P253" s="398"/>
      <c r="Q253" s="398"/>
      <c r="R253" s="398"/>
    </row>
    <row r="254">
      <c r="A254" s="399" t="s">
        <v>9525</v>
      </c>
      <c r="B254" s="399" t="s">
        <v>23</v>
      </c>
      <c r="C254" s="399" t="s">
        <v>9670</v>
      </c>
      <c r="D254" s="438" t="s">
        <v>9671</v>
      </c>
      <c r="E254" s="399" t="s">
        <v>9672</v>
      </c>
      <c r="F254" s="399">
        <v>5.0</v>
      </c>
      <c r="G254" s="398"/>
      <c r="H254" s="398"/>
      <c r="I254" s="475" t="s">
        <v>8932</v>
      </c>
      <c r="J254" s="398" t="str">
        <f>VLOOKUP(D254,'Pivot BSI'!W:AA,5,false)</f>
        <v>RESPONDED</v>
      </c>
      <c r="K254" s="399"/>
      <c r="L254" s="398"/>
      <c r="M254" s="398"/>
      <c r="N254" s="398"/>
      <c r="O254" s="398"/>
      <c r="P254" s="398"/>
      <c r="Q254" s="398"/>
      <c r="R254" s="398"/>
    </row>
    <row r="255">
      <c r="A255" s="399" t="s">
        <v>9525</v>
      </c>
      <c r="B255" s="399" t="s">
        <v>23</v>
      </c>
      <c r="C255" s="399" t="s">
        <v>9673</v>
      </c>
      <c r="D255" s="438" t="s">
        <v>9674</v>
      </c>
      <c r="E255" s="399" t="s">
        <v>9675</v>
      </c>
      <c r="F255" s="399">
        <v>4.0</v>
      </c>
      <c r="G255" s="398"/>
      <c r="H255" s="398"/>
      <c r="I255" s="475"/>
      <c r="J255" s="398" t="str">
        <f>VLOOKUP(D255,'Pivot BSI'!W:AA,5,false)</f>
        <v>#N/A</v>
      </c>
      <c r="K255" s="399"/>
      <c r="L255" s="398"/>
      <c r="M255" s="398"/>
      <c r="N255" s="398"/>
      <c r="O255" s="398"/>
      <c r="P255" s="398"/>
      <c r="Q255" s="398"/>
      <c r="R255" s="398"/>
    </row>
    <row r="256">
      <c r="A256" s="399" t="s">
        <v>9525</v>
      </c>
      <c r="B256" s="399" t="s">
        <v>23</v>
      </c>
      <c r="C256" s="399" t="s">
        <v>9676</v>
      </c>
      <c r="D256" s="454" t="s">
        <v>9677</v>
      </c>
      <c r="E256" s="399" t="s">
        <v>9678</v>
      </c>
      <c r="F256" s="399">
        <v>3.0</v>
      </c>
      <c r="G256" s="398"/>
      <c r="H256" s="398"/>
      <c r="I256" s="475"/>
      <c r="J256" s="398" t="str">
        <f>VLOOKUP(D256,'Pivot BSI'!W:AA,5,false)</f>
        <v/>
      </c>
      <c r="K256" s="399"/>
      <c r="L256" s="398"/>
      <c r="M256" s="398"/>
      <c r="N256" s="398"/>
      <c r="O256" s="398"/>
      <c r="P256" s="398"/>
      <c r="Q256" s="398"/>
      <c r="R256" s="398"/>
    </row>
    <row r="257">
      <c r="A257" s="399" t="s">
        <v>9525</v>
      </c>
      <c r="B257" s="168" t="s">
        <v>23</v>
      </c>
      <c r="C257" s="399" t="s">
        <v>8983</v>
      </c>
      <c r="D257" s="454" t="s">
        <v>9679</v>
      </c>
      <c r="E257" s="399" t="s">
        <v>9680</v>
      </c>
      <c r="F257" s="399">
        <v>7.0</v>
      </c>
      <c r="G257" s="398"/>
      <c r="H257" s="398"/>
      <c r="I257" s="475"/>
      <c r="J257" s="398" t="str">
        <f>VLOOKUP(D257,'Pivot BSI'!W:AA,5,false)</f>
        <v>#N/A</v>
      </c>
      <c r="K257" s="399" t="s">
        <v>8986</v>
      </c>
      <c r="L257" s="398"/>
      <c r="M257" s="398"/>
      <c r="N257" s="398"/>
      <c r="O257" s="398"/>
      <c r="P257" s="398"/>
      <c r="Q257" s="398"/>
      <c r="R257" s="398"/>
    </row>
    <row r="258">
      <c r="A258" s="399" t="s">
        <v>9525</v>
      </c>
      <c r="B258" s="399" t="s">
        <v>23</v>
      </c>
      <c r="C258" s="399" t="s">
        <v>8950</v>
      </c>
      <c r="D258" s="438" t="s">
        <v>9681</v>
      </c>
      <c r="E258" s="399" t="s">
        <v>9682</v>
      </c>
      <c r="F258" s="399">
        <v>8.0</v>
      </c>
      <c r="G258" s="398"/>
      <c r="H258" s="209"/>
      <c r="I258" s="399" t="s">
        <v>8925</v>
      </c>
      <c r="J258" s="398" t="str">
        <f>VLOOKUP(D258,'Pivot BSI'!W:AA,5,false)</f>
        <v>EMAIL_SENT</v>
      </c>
      <c r="K258" s="399"/>
      <c r="L258" s="398"/>
      <c r="M258" s="398"/>
      <c r="N258" s="398"/>
      <c r="O258" s="398"/>
      <c r="P258" s="398"/>
      <c r="Q258" s="398"/>
      <c r="R258" s="398"/>
    </row>
    <row r="259">
      <c r="A259" s="399" t="s">
        <v>9525</v>
      </c>
      <c r="B259" s="399" t="s">
        <v>23</v>
      </c>
      <c r="C259" s="399" t="s">
        <v>9028</v>
      </c>
      <c r="D259" s="454" t="s">
        <v>9683</v>
      </c>
      <c r="E259" s="399" t="s">
        <v>9684</v>
      </c>
      <c r="F259" s="399">
        <v>13.0</v>
      </c>
      <c r="G259" s="398"/>
      <c r="H259" s="398"/>
      <c r="I259" s="475"/>
      <c r="J259" s="398" t="str">
        <f>VLOOKUP(D259,'Pivot BSI'!W:AA,5,false)</f>
        <v>NO_RECIPIENT</v>
      </c>
      <c r="K259" s="399" t="s">
        <v>8986</v>
      </c>
      <c r="L259" s="398"/>
      <c r="M259" s="398"/>
      <c r="N259" s="398"/>
      <c r="O259" s="398"/>
      <c r="P259" s="398"/>
      <c r="Q259" s="398"/>
      <c r="R259" s="398"/>
    </row>
    <row r="260">
      <c r="A260" s="399" t="s">
        <v>9525</v>
      </c>
      <c r="B260" s="399" t="s">
        <v>23</v>
      </c>
      <c r="C260" s="399" t="s">
        <v>9685</v>
      </c>
      <c r="D260" s="454" t="s">
        <v>9686</v>
      </c>
      <c r="E260" s="399" t="s">
        <v>9687</v>
      </c>
      <c r="F260" s="399">
        <v>3.0</v>
      </c>
      <c r="G260" s="398"/>
      <c r="H260" s="398"/>
      <c r="I260" s="475"/>
      <c r="J260" s="398" t="str">
        <f>VLOOKUP(D260,'Pivot BSI'!W:AA,5,false)</f>
        <v>EMAIL_OPENED</v>
      </c>
      <c r="K260" s="399" t="s">
        <v>8912</v>
      </c>
      <c r="L260" s="398"/>
      <c r="M260" s="398"/>
      <c r="N260" s="398"/>
      <c r="O260" s="398"/>
      <c r="P260" s="398"/>
      <c r="Q260" s="398"/>
      <c r="R260" s="398"/>
    </row>
    <row r="261">
      <c r="A261" s="168" t="s">
        <v>9525</v>
      </c>
      <c r="B261" s="399" t="s">
        <v>23</v>
      </c>
      <c r="C261" s="399" t="s">
        <v>9688</v>
      </c>
      <c r="D261" s="454" t="s">
        <v>9689</v>
      </c>
      <c r="E261" s="399" t="s">
        <v>9690</v>
      </c>
      <c r="F261" s="399">
        <v>7.0</v>
      </c>
      <c r="G261" s="398"/>
      <c r="H261" s="398"/>
      <c r="I261" s="475"/>
      <c r="J261" s="398" t="str">
        <f>VLOOKUP(D261,'Pivot BSI'!W:AA,5,false)</f>
        <v>EMAIL_OPENED</v>
      </c>
      <c r="K261" s="399" t="s">
        <v>8912</v>
      </c>
      <c r="L261" s="398"/>
      <c r="M261" s="398"/>
      <c r="N261" s="398"/>
      <c r="O261" s="398"/>
      <c r="P261" s="398"/>
      <c r="Q261" s="398"/>
      <c r="R261" s="398"/>
    </row>
    <row r="262">
      <c r="A262" s="399" t="s">
        <v>9525</v>
      </c>
      <c r="B262" s="399" t="s">
        <v>23</v>
      </c>
      <c r="C262" s="2" t="s">
        <v>9691</v>
      </c>
      <c r="D262" s="438" t="s">
        <v>9692</v>
      </c>
      <c r="E262" s="399" t="s">
        <v>9693</v>
      </c>
      <c r="F262" s="399">
        <v>2.0</v>
      </c>
      <c r="G262" s="398"/>
      <c r="H262" s="398"/>
      <c r="I262" s="475"/>
      <c r="J262" s="398" t="str">
        <f>VLOOKUP(D262,'Pivot BSI'!W:AA,5,false)</f>
        <v>EMAIL_SENT</v>
      </c>
      <c r="K262" s="399" t="s">
        <v>8912</v>
      </c>
      <c r="L262" s="398"/>
      <c r="M262" s="398"/>
      <c r="N262" s="398"/>
      <c r="O262" s="398"/>
      <c r="P262" s="398"/>
      <c r="Q262" s="398"/>
      <c r="R262" s="398"/>
    </row>
    <row r="263">
      <c r="A263" s="399" t="s">
        <v>9525</v>
      </c>
      <c r="B263" s="399" t="s">
        <v>23</v>
      </c>
      <c r="C263" s="399" t="s">
        <v>9617</v>
      </c>
      <c r="D263" s="454" t="s">
        <v>9694</v>
      </c>
      <c r="E263" s="399" t="s">
        <v>9695</v>
      </c>
      <c r="F263" s="399">
        <v>2.0</v>
      </c>
      <c r="G263" s="398"/>
      <c r="H263" s="398"/>
      <c r="I263" s="475"/>
      <c r="J263" s="398" t="str">
        <f>VLOOKUP(D263,'Pivot BSI'!W:AA,5,false)</f>
        <v>#N/A</v>
      </c>
      <c r="K263" s="399" t="s">
        <v>8912</v>
      </c>
      <c r="L263" s="398"/>
      <c r="M263" s="398"/>
      <c r="N263" s="398"/>
      <c r="O263" s="398"/>
      <c r="P263" s="398"/>
      <c r="Q263" s="398"/>
      <c r="R263" s="398"/>
    </row>
    <row r="264">
      <c r="A264" s="45" t="s">
        <v>9525</v>
      </c>
      <c r="B264" s="168" t="s">
        <v>23</v>
      </c>
      <c r="C264" s="399" t="s">
        <v>9696</v>
      </c>
      <c r="D264" s="454" t="s">
        <v>9697</v>
      </c>
      <c r="E264" s="399" t="s">
        <v>9698</v>
      </c>
      <c r="F264" s="399">
        <v>2.0</v>
      </c>
      <c r="G264" s="398"/>
      <c r="H264" s="398"/>
      <c r="I264" s="475"/>
      <c r="J264" s="398" t="str">
        <f>VLOOKUP(D264,'Pivot BSI'!W:AA,5,false)</f>
        <v>EMAIL_OPENED</v>
      </c>
      <c r="K264" s="399" t="s">
        <v>8912</v>
      </c>
      <c r="L264" s="398"/>
      <c r="M264" s="398"/>
      <c r="N264" s="398"/>
      <c r="O264" s="398"/>
      <c r="P264" s="398"/>
      <c r="Q264" s="398"/>
      <c r="R264" s="398"/>
    </row>
    <row r="265">
      <c r="A265" s="398"/>
      <c r="B265" s="398"/>
      <c r="C265" s="398"/>
      <c r="D265" s="398"/>
      <c r="E265" s="398"/>
      <c r="F265" s="398"/>
      <c r="G265" s="398"/>
      <c r="H265" s="398"/>
      <c r="I265" s="398"/>
      <c r="J265" s="398"/>
      <c r="K265" s="398"/>
      <c r="L265" s="398"/>
      <c r="M265" s="398"/>
      <c r="N265" s="398"/>
      <c r="O265" s="398"/>
      <c r="P265" s="398"/>
      <c r="Q265" s="398"/>
      <c r="R265" s="398"/>
    </row>
    <row r="266">
      <c r="A266" s="504" t="s">
        <v>9699</v>
      </c>
      <c r="B266" s="505"/>
      <c r="C266" s="504" t="s">
        <v>9699</v>
      </c>
      <c r="D266" s="506" t="s">
        <v>9700</v>
      </c>
      <c r="E266" s="507" t="s">
        <v>9701</v>
      </c>
      <c r="F266" s="507">
        <v>1.0</v>
      </c>
      <c r="G266" s="505"/>
      <c r="H266" s="505"/>
      <c r="I266" s="505"/>
      <c r="J266" s="398" t="str">
        <f>VLOOKUP(D266,'Pivot BSI'!W:AA,5,false)</f>
        <v>#N/A</v>
      </c>
      <c r="K266" s="507"/>
      <c r="L266" s="505"/>
      <c r="M266" s="505"/>
      <c r="N266" s="398"/>
      <c r="O266" s="398"/>
      <c r="P266" s="398"/>
      <c r="Q266" s="398"/>
      <c r="R266" s="398"/>
    </row>
    <row r="267">
      <c r="A267" s="507" t="s">
        <v>457</v>
      </c>
      <c r="B267" s="507" t="s">
        <v>457</v>
      </c>
      <c r="C267" s="507" t="s">
        <v>457</v>
      </c>
      <c r="D267" s="507" t="s">
        <v>9702</v>
      </c>
      <c r="E267" s="508">
        <v>0.0</v>
      </c>
      <c r="F267" s="507">
        <v>0.0</v>
      </c>
      <c r="G267" s="507" t="s">
        <v>457</v>
      </c>
      <c r="H267" s="507" t="s">
        <v>457</v>
      </c>
      <c r="I267" s="505"/>
      <c r="J267" s="398" t="str">
        <f>VLOOKUP(D267,'Pivot BSI'!W:AA,5,false)</f>
        <v/>
      </c>
      <c r="K267" s="508"/>
      <c r="L267" s="505"/>
      <c r="M267" s="505"/>
      <c r="N267" s="398"/>
      <c r="O267" s="398"/>
      <c r="P267" s="398"/>
      <c r="Q267" s="398"/>
      <c r="R267" s="398"/>
    </row>
    <row r="268">
      <c r="A268" s="398"/>
      <c r="B268" s="398"/>
      <c r="C268" s="398"/>
      <c r="D268" s="398"/>
      <c r="E268" s="398"/>
      <c r="F268" s="398"/>
      <c r="G268" s="398"/>
      <c r="H268" s="398"/>
      <c r="I268" s="398"/>
      <c r="J268" s="398" t="str">
        <f>VLOOKUP(D268,'Pivot BSI'!W:AA,5,false)</f>
        <v>#N/A</v>
      </c>
      <c r="K268" s="398"/>
      <c r="L268" s="398"/>
      <c r="M268" s="398"/>
      <c r="N268" s="398"/>
      <c r="O268" s="398"/>
      <c r="P268" s="398"/>
      <c r="Q268" s="398"/>
      <c r="R268" s="398"/>
    </row>
    <row r="269">
      <c r="A269" s="398"/>
      <c r="B269" s="398"/>
      <c r="C269" s="398"/>
      <c r="D269" s="398"/>
      <c r="E269" s="398"/>
      <c r="F269" s="398"/>
      <c r="G269" s="398"/>
      <c r="H269" s="398"/>
      <c r="I269" s="398"/>
      <c r="J269" s="398" t="str">
        <f>VLOOKUP(D269,'Pivot BSI'!W:AA,5,false)</f>
        <v>#N/A</v>
      </c>
      <c r="K269" s="398"/>
      <c r="L269" s="398"/>
      <c r="M269" s="398"/>
      <c r="N269" s="398"/>
      <c r="O269" s="398"/>
      <c r="P269" s="398"/>
      <c r="Q269" s="398"/>
      <c r="R269" s="398"/>
    </row>
    <row r="270">
      <c r="A270" s="398"/>
      <c r="B270" s="398"/>
      <c r="C270" s="398"/>
      <c r="D270" s="398"/>
      <c r="E270" s="398"/>
      <c r="F270" s="398"/>
      <c r="G270" s="398"/>
      <c r="H270" s="398"/>
      <c r="I270" s="398"/>
      <c r="J270" s="398" t="str">
        <f>VLOOKUP(D270,'Pivot BSI'!W:AA,5,false)</f>
        <v>#N/A</v>
      </c>
      <c r="K270" s="398"/>
      <c r="L270" s="398"/>
      <c r="M270" s="398"/>
      <c r="N270" s="398"/>
      <c r="O270" s="398"/>
      <c r="P270" s="398"/>
      <c r="Q270" s="398"/>
      <c r="R270" s="398"/>
    </row>
    <row r="271">
      <c r="A271" s="398"/>
      <c r="B271" s="398"/>
      <c r="C271" s="398"/>
      <c r="D271" s="398"/>
      <c r="E271" s="398"/>
      <c r="F271" s="398"/>
      <c r="G271" s="398"/>
      <c r="H271" s="398"/>
      <c r="I271" s="398"/>
      <c r="J271" s="398" t="str">
        <f>VLOOKUP(D271,'Pivot BSI'!W:AA,5,false)</f>
        <v>#N/A</v>
      </c>
      <c r="K271" s="398"/>
      <c r="L271" s="398"/>
      <c r="M271" s="398"/>
      <c r="N271" s="398"/>
      <c r="O271" s="398"/>
      <c r="P271" s="398"/>
      <c r="Q271" s="398"/>
      <c r="R271" s="398"/>
    </row>
    <row r="272">
      <c r="A272" s="398"/>
      <c r="B272" s="398"/>
      <c r="C272" s="398"/>
      <c r="D272" s="398"/>
      <c r="E272" s="398"/>
      <c r="F272" s="398"/>
      <c r="G272" s="398"/>
      <c r="H272" s="398"/>
      <c r="I272" s="398"/>
      <c r="J272" s="398" t="str">
        <f>VLOOKUP(D272,'Pivot BSI'!W:AA,5,false)</f>
        <v>#N/A</v>
      </c>
      <c r="K272" s="398"/>
      <c r="L272" s="398"/>
      <c r="M272" s="398"/>
      <c r="N272" s="398"/>
      <c r="O272" s="398"/>
      <c r="P272" s="398"/>
      <c r="Q272" s="398"/>
      <c r="R272" s="398"/>
    </row>
    <row r="273">
      <c r="A273" s="398"/>
      <c r="B273" s="398"/>
      <c r="C273" s="398"/>
      <c r="D273" s="398"/>
      <c r="E273" s="398"/>
      <c r="F273" s="398"/>
      <c r="G273" s="398"/>
      <c r="H273" s="398"/>
      <c r="I273" s="398"/>
      <c r="J273" s="398" t="str">
        <f>VLOOKUP(D273,'Pivot BSI'!W:AA,5,false)</f>
        <v>#N/A</v>
      </c>
      <c r="K273" s="398"/>
      <c r="L273" s="398"/>
      <c r="M273" s="398"/>
      <c r="N273" s="398"/>
      <c r="O273" s="398"/>
      <c r="P273" s="398"/>
      <c r="Q273" s="398"/>
      <c r="R273" s="398"/>
    </row>
    <row r="274">
      <c r="A274" s="398"/>
      <c r="B274" s="398"/>
      <c r="C274" s="398"/>
      <c r="D274" s="398"/>
      <c r="E274" s="398"/>
      <c r="F274" s="398"/>
      <c r="G274" s="398"/>
      <c r="H274" s="398"/>
      <c r="I274" s="398"/>
      <c r="J274" s="398" t="str">
        <f>VLOOKUP(D274,'Pivot BSI'!W:AA,5,false)</f>
        <v>#N/A</v>
      </c>
      <c r="K274" s="398"/>
      <c r="L274" s="398"/>
      <c r="M274" s="398"/>
      <c r="N274" s="398"/>
      <c r="O274" s="398"/>
      <c r="P274" s="398"/>
      <c r="Q274" s="398"/>
      <c r="R274" s="398"/>
    </row>
    <row r="275">
      <c r="A275" s="398"/>
      <c r="B275" s="398"/>
      <c r="C275" s="398"/>
      <c r="D275" s="398"/>
      <c r="E275" s="398"/>
      <c r="F275" s="398"/>
      <c r="G275" s="398"/>
      <c r="H275" s="398"/>
      <c r="I275" s="398"/>
      <c r="J275" s="398" t="str">
        <f>VLOOKUP(D275,'Pivot BSI'!W:AA,5,false)</f>
        <v>#N/A</v>
      </c>
      <c r="K275" s="398"/>
      <c r="L275" s="398"/>
      <c r="M275" s="398"/>
      <c r="N275" s="398"/>
      <c r="O275" s="398"/>
      <c r="P275" s="398"/>
      <c r="Q275" s="398"/>
      <c r="R275" s="398"/>
    </row>
    <row r="276">
      <c r="A276" s="398"/>
      <c r="B276" s="398"/>
      <c r="C276" s="398"/>
      <c r="D276" s="398"/>
      <c r="E276" s="398"/>
      <c r="F276" s="398"/>
      <c r="G276" s="398"/>
      <c r="H276" s="398"/>
      <c r="I276" s="398"/>
      <c r="J276" s="398" t="str">
        <f>VLOOKUP(D276,'Pivot BSI'!W:AA,5,false)</f>
        <v>#N/A</v>
      </c>
      <c r="K276" s="398"/>
      <c r="L276" s="398"/>
      <c r="M276" s="398"/>
      <c r="N276" s="398"/>
      <c r="O276" s="398"/>
      <c r="P276" s="398"/>
      <c r="Q276" s="398"/>
      <c r="R276" s="398"/>
    </row>
    <row r="277">
      <c r="A277" s="398"/>
      <c r="B277" s="398"/>
      <c r="C277" s="398"/>
      <c r="D277" s="398"/>
      <c r="E277" s="398"/>
      <c r="F277" s="398"/>
      <c r="G277" s="398"/>
      <c r="H277" s="398"/>
      <c r="I277" s="398"/>
      <c r="J277" s="398" t="str">
        <f>VLOOKUP(D277,'Pivot BSI'!W:AA,5,false)</f>
        <v>#N/A</v>
      </c>
      <c r="K277" s="398"/>
      <c r="L277" s="398"/>
      <c r="M277" s="398"/>
      <c r="N277" s="398"/>
      <c r="O277" s="398"/>
      <c r="P277" s="398"/>
      <c r="Q277" s="398"/>
      <c r="R277" s="398"/>
    </row>
    <row r="278">
      <c r="A278" s="398"/>
      <c r="B278" s="398"/>
      <c r="C278" s="398"/>
      <c r="D278" s="398"/>
      <c r="E278" s="398"/>
      <c r="F278" s="398"/>
      <c r="G278" s="398"/>
      <c r="H278" s="398"/>
      <c r="I278" s="398"/>
      <c r="J278" s="398" t="str">
        <f>VLOOKUP(D278,'Pivot BSI'!W:AA,5,false)</f>
        <v>#N/A</v>
      </c>
      <c r="K278" s="398"/>
      <c r="L278" s="398"/>
      <c r="M278" s="398"/>
      <c r="N278" s="398"/>
      <c r="O278" s="398"/>
      <c r="P278" s="398"/>
      <c r="Q278" s="398"/>
      <c r="R278" s="398"/>
    </row>
    <row r="279">
      <c r="A279" s="398"/>
      <c r="B279" s="398"/>
      <c r="C279" s="398"/>
      <c r="D279" s="398"/>
      <c r="E279" s="398"/>
      <c r="F279" s="398"/>
      <c r="G279" s="398"/>
      <c r="H279" s="398"/>
      <c r="I279" s="398"/>
      <c r="J279" s="398" t="str">
        <f>VLOOKUP(D279,'Pivot BSI'!W:AA,5,false)</f>
        <v>#N/A</v>
      </c>
      <c r="K279" s="398"/>
      <c r="L279" s="398"/>
      <c r="M279" s="398"/>
      <c r="N279" s="398"/>
      <c r="O279" s="398"/>
      <c r="P279" s="398"/>
      <c r="Q279" s="398"/>
      <c r="R279" s="398"/>
    </row>
    <row r="280">
      <c r="A280" s="398"/>
      <c r="B280" s="398"/>
      <c r="C280" s="398"/>
      <c r="D280" s="398"/>
      <c r="E280" s="398"/>
      <c r="F280" s="398"/>
      <c r="G280" s="398"/>
      <c r="H280" s="398"/>
      <c r="I280" s="398"/>
      <c r="J280" s="398" t="str">
        <f>VLOOKUP(D280,'Pivot BSI'!W:AA,5,false)</f>
        <v>#N/A</v>
      </c>
      <c r="K280" s="398"/>
      <c r="L280" s="398"/>
      <c r="M280" s="398"/>
      <c r="N280" s="398"/>
      <c r="O280" s="398"/>
      <c r="P280" s="398"/>
      <c r="Q280" s="398"/>
      <c r="R280" s="398"/>
    </row>
    <row r="281">
      <c r="A281" s="398"/>
      <c r="B281" s="398"/>
      <c r="C281" s="398"/>
      <c r="D281" s="398"/>
      <c r="E281" s="398"/>
      <c r="F281" s="398"/>
      <c r="G281" s="398"/>
      <c r="H281" s="398"/>
      <c r="I281" s="398"/>
      <c r="J281" s="398" t="str">
        <f>VLOOKUP(D281,'Pivot BSI'!W:AA,5,false)</f>
        <v>#N/A</v>
      </c>
      <c r="K281" s="398"/>
      <c r="L281" s="398"/>
      <c r="M281" s="398"/>
      <c r="N281" s="398"/>
      <c r="O281" s="398"/>
      <c r="P281" s="398"/>
      <c r="Q281" s="398"/>
      <c r="R281" s="398"/>
    </row>
    <row r="282">
      <c r="A282" s="398"/>
      <c r="B282" s="398"/>
      <c r="C282" s="398"/>
      <c r="D282" s="398"/>
      <c r="E282" s="398"/>
      <c r="F282" s="398"/>
      <c r="G282" s="398"/>
      <c r="H282" s="398"/>
      <c r="I282" s="398"/>
      <c r="J282" s="398" t="str">
        <f>VLOOKUP(D282,'Pivot BSI'!W:AA,5,false)</f>
        <v>#N/A</v>
      </c>
      <c r="K282" s="398"/>
      <c r="L282" s="398"/>
      <c r="M282" s="398"/>
      <c r="N282" s="398"/>
      <c r="O282" s="398"/>
      <c r="P282" s="398"/>
      <c r="Q282" s="398"/>
      <c r="R282" s="398"/>
    </row>
    <row r="283">
      <c r="A283" s="398"/>
      <c r="B283" s="398"/>
      <c r="C283" s="398"/>
      <c r="D283" s="398"/>
      <c r="E283" s="398"/>
      <c r="F283" s="398"/>
      <c r="G283" s="398"/>
      <c r="H283" s="398"/>
      <c r="I283" s="398"/>
      <c r="J283" s="398" t="str">
        <f>VLOOKUP(D283,'Pivot BSI'!W:AA,5,false)</f>
        <v>#N/A</v>
      </c>
      <c r="K283" s="398"/>
      <c r="L283" s="398"/>
      <c r="M283" s="398"/>
      <c r="N283" s="398"/>
      <c r="O283" s="398"/>
      <c r="P283" s="398"/>
      <c r="Q283" s="398"/>
      <c r="R283" s="398"/>
    </row>
    <row r="284">
      <c r="A284" s="398"/>
      <c r="B284" s="398"/>
      <c r="C284" s="398"/>
      <c r="D284" s="398"/>
      <c r="E284" s="398"/>
      <c r="F284" s="398"/>
      <c r="G284" s="398"/>
      <c r="H284" s="398"/>
      <c r="I284" s="398"/>
      <c r="J284" s="398" t="str">
        <f>VLOOKUP(D284,'Pivot BSI'!W:AA,5,false)</f>
        <v>#N/A</v>
      </c>
      <c r="K284" s="398"/>
      <c r="L284" s="398"/>
      <c r="M284" s="398"/>
      <c r="N284" s="398"/>
      <c r="O284" s="398"/>
      <c r="P284" s="398"/>
      <c r="Q284" s="398"/>
      <c r="R284" s="398"/>
    </row>
    <row r="285">
      <c r="A285" s="398"/>
      <c r="B285" s="398"/>
      <c r="C285" s="398"/>
      <c r="D285" s="398"/>
      <c r="E285" s="398"/>
      <c r="F285" s="398"/>
      <c r="G285" s="398"/>
      <c r="H285" s="398"/>
      <c r="I285" s="398"/>
      <c r="J285" s="398" t="str">
        <f>VLOOKUP(D285,'Pivot BSI'!W:AA,5,false)</f>
        <v>#N/A</v>
      </c>
      <c r="K285" s="398"/>
      <c r="L285" s="398"/>
      <c r="M285" s="398"/>
      <c r="N285" s="398"/>
      <c r="O285" s="398"/>
      <c r="P285" s="398"/>
      <c r="Q285" s="398"/>
      <c r="R285" s="398"/>
    </row>
    <row r="286">
      <c r="A286" s="398"/>
      <c r="B286" s="398"/>
      <c r="C286" s="398"/>
      <c r="D286" s="398"/>
      <c r="E286" s="398"/>
      <c r="F286" s="398"/>
      <c r="G286" s="398"/>
      <c r="H286" s="398"/>
      <c r="I286" s="398"/>
      <c r="J286" s="398" t="str">
        <f>VLOOKUP(D286,'Pivot BSI'!W:AA,5,false)</f>
        <v>#N/A</v>
      </c>
      <c r="K286" s="398"/>
      <c r="L286" s="398"/>
      <c r="M286" s="398"/>
      <c r="N286" s="398"/>
      <c r="O286" s="398"/>
      <c r="P286" s="398"/>
      <c r="Q286" s="398"/>
      <c r="R286" s="398"/>
    </row>
    <row r="287">
      <c r="A287" s="398"/>
      <c r="B287" s="398"/>
      <c r="C287" s="398"/>
      <c r="D287" s="398"/>
      <c r="E287" s="398"/>
      <c r="F287" s="398"/>
      <c r="G287" s="398"/>
      <c r="H287" s="398"/>
      <c r="I287" s="398"/>
      <c r="J287" s="398" t="str">
        <f>VLOOKUP(D287,'Pivot BSI'!W:AA,5,false)</f>
        <v>#N/A</v>
      </c>
      <c r="K287" s="398"/>
      <c r="L287" s="398"/>
      <c r="M287" s="398"/>
      <c r="N287" s="398"/>
      <c r="O287" s="398"/>
      <c r="P287" s="398"/>
      <c r="Q287" s="398"/>
      <c r="R287" s="398"/>
    </row>
    <row r="288">
      <c r="A288" s="398"/>
      <c r="B288" s="398"/>
      <c r="C288" s="398"/>
      <c r="D288" s="398"/>
      <c r="E288" s="398"/>
      <c r="F288" s="398"/>
      <c r="G288" s="398"/>
      <c r="H288" s="398"/>
      <c r="I288" s="398"/>
      <c r="J288" s="398" t="str">
        <f>VLOOKUP(D288,'Pivot BSI'!W:AA,5,false)</f>
        <v>#N/A</v>
      </c>
      <c r="K288" s="398"/>
      <c r="L288" s="398"/>
      <c r="M288" s="398"/>
      <c r="N288" s="398"/>
      <c r="O288" s="398"/>
      <c r="P288" s="398"/>
      <c r="Q288" s="398"/>
      <c r="R288" s="398"/>
    </row>
    <row r="289">
      <c r="A289" s="398"/>
      <c r="B289" s="398"/>
      <c r="C289" s="398"/>
      <c r="D289" s="398"/>
      <c r="E289" s="398"/>
      <c r="F289" s="398"/>
      <c r="G289" s="398"/>
      <c r="H289" s="398"/>
      <c r="I289" s="398"/>
      <c r="J289" s="398" t="str">
        <f>VLOOKUP(D289,'Pivot BSI'!W:AA,5,false)</f>
        <v>#N/A</v>
      </c>
      <c r="K289" s="398"/>
      <c r="L289" s="398"/>
      <c r="M289" s="398"/>
      <c r="N289" s="398"/>
      <c r="O289" s="398"/>
      <c r="P289" s="398"/>
      <c r="Q289" s="398"/>
      <c r="R289" s="398"/>
    </row>
    <row r="290">
      <c r="A290" s="398"/>
      <c r="B290" s="398"/>
      <c r="C290" s="398"/>
      <c r="D290" s="398"/>
      <c r="E290" s="398"/>
      <c r="F290" s="398"/>
      <c r="G290" s="398"/>
      <c r="H290" s="398"/>
      <c r="I290" s="398"/>
      <c r="J290" s="398" t="str">
        <f>VLOOKUP(D290,'Pivot BSI'!W:AA,5,false)</f>
        <v>#N/A</v>
      </c>
      <c r="K290" s="398"/>
      <c r="L290" s="398"/>
      <c r="M290" s="398"/>
      <c r="N290" s="398"/>
      <c r="O290" s="398"/>
      <c r="P290" s="398"/>
      <c r="Q290" s="398"/>
      <c r="R290" s="398"/>
    </row>
    <row r="291">
      <c r="A291" s="398"/>
      <c r="B291" s="398"/>
      <c r="C291" s="398"/>
      <c r="D291" s="398"/>
      <c r="E291" s="398"/>
      <c r="F291" s="398"/>
      <c r="G291" s="398"/>
      <c r="H291" s="398"/>
      <c r="I291" s="398"/>
      <c r="J291" s="398" t="str">
        <f>VLOOKUP(D291,'Pivot BSI'!W:AA,5,false)</f>
        <v>#N/A</v>
      </c>
      <c r="K291" s="398"/>
      <c r="L291" s="398"/>
      <c r="M291" s="398"/>
      <c r="N291" s="398"/>
      <c r="O291" s="398"/>
      <c r="P291" s="398"/>
      <c r="Q291" s="398"/>
      <c r="R291" s="398"/>
    </row>
    <row r="292">
      <c r="A292" s="398"/>
      <c r="B292" s="398"/>
      <c r="C292" s="398"/>
      <c r="D292" s="398"/>
      <c r="E292" s="398"/>
      <c r="F292" s="398"/>
      <c r="G292" s="398"/>
      <c r="H292" s="398"/>
      <c r="I292" s="398"/>
      <c r="J292" s="398" t="str">
        <f>VLOOKUP(D292,'Pivot BSI'!W:AA,5,false)</f>
        <v>#N/A</v>
      </c>
      <c r="K292" s="398"/>
      <c r="L292" s="398"/>
      <c r="M292" s="398"/>
      <c r="N292" s="398"/>
      <c r="O292" s="398"/>
      <c r="P292" s="398"/>
      <c r="Q292" s="398"/>
      <c r="R292" s="398"/>
    </row>
    <row r="293">
      <c r="A293" s="398"/>
      <c r="B293" s="398"/>
      <c r="C293" s="398"/>
      <c r="D293" s="398"/>
      <c r="E293" s="398"/>
      <c r="F293" s="398"/>
      <c r="G293" s="398"/>
      <c r="H293" s="398"/>
      <c r="I293" s="398"/>
      <c r="J293" s="398" t="str">
        <f>VLOOKUP(D293,'Pivot BSI'!W:AA,5,false)</f>
        <v>#N/A</v>
      </c>
      <c r="K293" s="398"/>
      <c r="L293" s="398"/>
      <c r="M293" s="398"/>
      <c r="N293" s="398"/>
      <c r="O293" s="398"/>
      <c r="P293" s="398"/>
      <c r="Q293" s="398"/>
      <c r="R293" s="398"/>
    </row>
    <row r="294">
      <c r="A294" s="398"/>
      <c r="B294" s="398"/>
      <c r="C294" s="398"/>
      <c r="D294" s="398"/>
      <c r="E294" s="398"/>
      <c r="F294" s="398"/>
      <c r="G294" s="398"/>
      <c r="H294" s="398"/>
      <c r="I294" s="398"/>
      <c r="J294" s="398" t="str">
        <f>VLOOKUP(D294,'Pivot BSI'!W:AA,5,false)</f>
        <v>#N/A</v>
      </c>
      <c r="K294" s="398"/>
      <c r="L294" s="398"/>
      <c r="M294" s="398"/>
      <c r="N294" s="398"/>
      <c r="O294" s="398"/>
      <c r="P294" s="398"/>
      <c r="Q294" s="398"/>
      <c r="R294" s="398"/>
    </row>
    <row r="295">
      <c r="A295" s="398"/>
      <c r="B295" s="398"/>
      <c r="C295" s="398"/>
      <c r="D295" s="398"/>
      <c r="E295" s="398"/>
      <c r="F295" s="398"/>
      <c r="G295" s="398"/>
      <c r="H295" s="398"/>
      <c r="I295" s="398"/>
      <c r="J295" s="398" t="str">
        <f>VLOOKUP(D295,'Pivot BSI'!W:AA,5,false)</f>
        <v>#N/A</v>
      </c>
      <c r="K295" s="398"/>
      <c r="L295" s="398"/>
      <c r="M295" s="398"/>
      <c r="N295" s="398"/>
      <c r="O295" s="398"/>
      <c r="P295" s="398"/>
      <c r="Q295" s="398"/>
      <c r="R295" s="398"/>
    </row>
    <row r="296">
      <c r="A296" s="398"/>
      <c r="B296" s="398"/>
      <c r="C296" s="398"/>
      <c r="D296" s="398"/>
      <c r="E296" s="398"/>
      <c r="F296" s="398"/>
      <c r="G296" s="398"/>
      <c r="H296" s="398"/>
      <c r="I296" s="398"/>
      <c r="J296" s="398" t="str">
        <f>VLOOKUP(D296,'Pivot BSI'!W:AA,5,false)</f>
        <v>#N/A</v>
      </c>
      <c r="K296" s="398"/>
      <c r="L296" s="398"/>
      <c r="M296" s="398"/>
      <c r="N296" s="398"/>
      <c r="O296" s="398"/>
      <c r="P296" s="398"/>
      <c r="Q296" s="398"/>
      <c r="R296" s="398"/>
    </row>
    <row r="297">
      <c r="A297" s="398"/>
      <c r="B297" s="398"/>
      <c r="C297" s="398"/>
      <c r="D297" s="398"/>
      <c r="E297" s="398"/>
      <c r="F297" s="398"/>
      <c r="G297" s="398"/>
      <c r="H297" s="398"/>
      <c r="I297" s="398"/>
      <c r="J297" s="398" t="str">
        <f>VLOOKUP(D297,'Pivot BSI'!W:AA,5,false)</f>
        <v>#N/A</v>
      </c>
      <c r="K297" s="398"/>
      <c r="L297" s="398"/>
      <c r="M297" s="398"/>
      <c r="N297" s="398"/>
      <c r="O297" s="398"/>
      <c r="P297" s="398"/>
      <c r="Q297" s="398"/>
      <c r="R297" s="398"/>
    </row>
    <row r="298">
      <c r="A298" s="398"/>
      <c r="B298" s="398"/>
      <c r="C298" s="398"/>
      <c r="D298" s="398"/>
      <c r="E298" s="398"/>
      <c r="F298" s="398"/>
      <c r="G298" s="398"/>
      <c r="H298" s="398"/>
      <c r="I298" s="398"/>
      <c r="J298" s="398" t="str">
        <f>VLOOKUP(D298,'Pivot BSI'!W:AA,5,false)</f>
        <v>#N/A</v>
      </c>
      <c r="K298" s="398"/>
      <c r="L298" s="398"/>
      <c r="M298" s="398"/>
      <c r="N298" s="398"/>
      <c r="O298" s="398"/>
      <c r="P298" s="398"/>
      <c r="Q298" s="398"/>
      <c r="R298" s="398"/>
    </row>
    <row r="299">
      <c r="A299" s="398"/>
      <c r="B299" s="398"/>
      <c r="C299" s="398"/>
      <c r="D299" s="398"/>
      <c r="E299" s="398"/>
      <c r="F299" s="398"/>
      <c r="G299" s="398"/>
      <c r="H299" s="398"/>
      <c r="I299" s="398"/>
      <c r="J299" s="398" t="str">
        <f>VLOOKUP(D299,'Pivot BSI'!W:AA,5,false)</f>
        <v>#N/A</v>
      </c>
      <c r="K299" s="398"/>
      <c r="L299" s="398"/>
      <c r="M299" s="398"/>
      <c r="N299" s="398"/>
      <c r="O299" s="398"/>
      <c r="P299" s="398"/>
      <c r="Q299" s="398"/>
      <c r="R299" s="398"/>
    </row>
  </sheetData>
  <customSheetViews>
    <customSheetView guid="{8D113797-9D77-4A3D-B4D1-5DF7B4876B1F}" filter="1" showAutoFilter="1">
      <autoFilter ref="$A$1:$I$299">
        <filterColumn colId="0">
          <filters>
            <filter val="kristine Belson"/>
            <filter val="Vinod Kholsa"/>
            <filter val="Melissa Selcher"/>
            <filter val="Neal Mohan"/>
            <filter val="Greg Peters"/>
            <filter val="David Wallerstein"/>
            <filter val="JK MAIL MERGE TEST"/>
            <filter val="Kristine Belson"/>
          </filters>
        </filterColumn>
      </autoFilter>
    </customSheetView>
    <customSheetView guid="{A2E9C1FB-CDE0-4DE5-9212-4A024891FC0C}" filter="1" showAutoFilter="1">
      <autoFilter ref="$A$1:$I$299">
        <filterColumn colId="0">
          <filters>
            <filter val="kristine Belson"/>
            <filter val="Vinod Kholsa"/>
            <filter val="Melissa Selcher"/>
            <filter val="Neal Mohan"/>
            <filter val="Greg Peters"/>
            <filter val="JK MAIL MERGE TEST"/>
            <filter val="Kristine Belson"/>
            <filter val="Margaret Atwood"/>
          </filters>
        </filterColumn>
      </autoFilter>
    </customSheetView>
    <customSheetView guid="{19145F1F-8DCB-46CA-838E-FDC21771F5C1}" filter="1" showAutoFilter="1">
      <autoFilter ref="$A$1:$I$299">
        <filterColumn colId="0">
          <filters>
            <filter val="kristine Belson"/>
            <filter val="Vinod Kholsa"/>
            <filter val="Melissa Selcher"/>
            <filter val="Neal Mohan"/>
            <filter val="Greg Peters"/>
            <filter val="JK MAIL MERGE TEST"/>
            <filter val="Kristine Belson"/>
            <filter val="Brad Smith"/>
          </filters>
        </filterColumn>
      </autoFilter>
    </customSheetView>
    <customSheetView guid="{EF058250-EC1E-4E2C-9C98-31BD536D00B5}" filter="1" showAutoFilter="1">
      <autoFilter ref="$A$1:$I$299">
        <filterColumn colId="0">
          <filters>
            <filter val="kristine Belson"/>
            <filter val="Vinod Kholsa"/>
            <filter val="Melissa Selcher"/>
            <filter val="Neal Mohan"/>
            <filter val="Dan Doctoroff"/>
            <filter val="Greg Peters"/>
            <filter val="JK MAIL MERGE TEST"/>
            <filter val="Kristine Belson"/>
          </filters>
        </filterColumn>
      </autoFilter>
    </customSheetView>
    <customSheetView guid="{D746B264-1817-4354-B104-F41798F5003A}" filter="1" showAutoFilter="1">
      <autoFilter ref="$A$1:$I$299">
        <filterColumn colId="0">
          <filters>
            <filter val="kristine Belson"/>
            <filter val="Vinod Kholsa"/>
            <filter val="Melissa Selcher"/>
            <filter val="Neal Mohan"/>
            <filter val="Christopher Wylie"/>
            <filter val="Greg Peters"/>
            <filter val="JK MAIL MERGE TEST"/>
            <filter val="Kristine Belson"/>
          </filters>
        </filterColumn>
      </autoFilter>
    </customSheetView>
    <customSheetView guid="{DC12FB68-6651-4DDD-AFD5-F942E315AD72}" filter="1" showAutoFilter="1">
      <autoFilter ref="$A$1:$I$299">
        <filterColumn colId="0">
          <filters>
            <filter val="kristine Belson"/>
            <filter val="Vinod Kholsa"/>
            <filter val="Melissa Selcher"/>
            <filter val="Neal Mohan"/>
            <filter val="Greg Peters"/>
            <filter val="JK MAIL MERGE TEST"/>
            <filter val="Kristine Belson"/>
          </filters>
        </filterColumn>
      </autoFilter>
    </customSheetView>
    <customSheetView guid="{5A1DE5EF-9297-495C-947D-2CFDE4752B68}" filter="1" showAutoFilter="1">
      <autoFilter ref="$A$1:$I$299">
        <filterColumn colId="0">
          <filters>
            <filter val="kristine Belson"/>
            <filter val="Vinod Kholsa"/>
            <filter val="Melissa Selcher"/>
            <filter val="Neal Mohan"/>
            <filter val="David Eun"/>
            <filter val="Greg Peters"/>
            <filter val="JK MAIL MERGE TEST"/>
            <filter val="Kristine Belson"/>
          </filters>
        </filterColumn>
      </autoFilter>
    </customSheetView>
    <customSheetView guid="{CE109CCC-FA72-4D8D-99BF-0A6EBA2347E0}" filter="1" showAutoFilter="1">
      <autoFilter ref="$A$1:$I$299">
        <filterColumn colId="0">
          <filters>
            <filter val="kristine Belson"/>
            <filter val="Vinod Kholsa"/>
            <filter val="Melissa Selcher"/>
            <filter val="Neal Mohan"/>
            <filter val="Greg Peters"/>
            <filter val="JK MAIL MERGE TEST"/>
            <filter val="Kristine Belson"/>
            <filter val="David Fischer"/>
          </filters>
        </filterColumn>
      </autoFilter>
    </customSheetView>
    <customSheetView guid="{0990F4BF-948F-4C42-B5A0-8562A7A0D3B3}" filter="1" showAutoFilter="1">
      <autoFilter ref="$A$1:$L$299">
        <filterColumn colId="0">
          <filters>
            <filter val="kristine Belson"/>
            <filter val="Vinod Kholsa"/>
            <filter val="Marc Raibert"/>
            <filter val="Melissa Selcher"/>
            <filter val="Paris Hilton"/>
            <filter val="Neal Mohan"/>
            <filter val="Shay Mitchell"/>
            <filter val="Christopher Wylie"/>
            <filter val="Dan Doctoroff"/>
            <filter val="David Eun"/>
            <filter val="Greg Peters"/>
            <filter val="David Wallerstein"/>
            <filter val="JK MAIL MERGE TEST"/>
            <filter val="Johanna Faries"/>
            <filter val="Kristine Belson"/>
            <filter val="Shaq O'Neal"/>
            <filter val="David Fischer"/>
            <filter val="Margaret Atwood"/>
            <filter val="Nikolaj coster-waldau"/>
            <filter val="Brad Smith"/>
          </filters>
        </filterColumn>
        <filterColumn colId="4">
          <filters>
            <filter val="00:00:04:13-00:00:12:13"/>
            <filter val="00:31 - 00:33"/>
            <filter val="00:01:00 - 00:10:00"/>
            <filter val="n/a"/>
            <filter val="00:31 - 00:32"/>
            <filter val="00:00"/>
            <filter val="00:00:01:18-00:00:03:17"/>
            <filter val="00:25 - 00:28"/>
            <filter val="04:46-04:50&#10;04:51-04:54&#10;05:26-05:30&#10;07:48-07:55"/>
            <filter val="00:00:38:20-00:00:56:21, &#10;00:01:02:10-00:01:07:11, &#10;00:01:13:09-00:01:23:11"/>
            <filter val="00:00:12:03-00:00:14:15, &#10;00:00:41:05-00:00:43:23, &#10;00:00:52:00-00:00:55:19"/>
            <filter val="01:35 - 01:37"/>
            <filter val="0:02 - 0:05"/>
            <filter val="0:00 - 0:03"/>
            <filter val="00:02 - 00:03, 00:21 - 00:22, 00:33 - 00:35, 00:53 - 00:54"/>
            <filter val="00:00:07:21 - 00:00:11:12, &#10;00:00:28:14 - 00:00:36:07, &#10;00:01:23:15 - 00:01:45:28, &#10;00:02:15:27 - 00:02:18:28,"/>
            <filter val="00:00:29:24-00:00:35:12"/>
            <filter val="00:00:46:04-00:01:03:14, &#10;00:03:27:16-00:03:36:24"/>
            <filter val="00:02:03-00:03:21"/>
            <filter val="00:18 - 00:19, 01:42 - 01:47"/>
            <filter val="00:15:00 - 00:45:00"/>
            <filter val="02:09 - 02:14, 01:49 - 01:52"/>
            <filter val="00:06:35:18 - 00:06:44:14, &#10;00:07:45:07 - 00:07:48:27,"/>
            <filter val="1:28 - 1:35"/>
            <filter val="00:00:01:00-00:00:02:13"/>
            <filter val="00:00:15:07 - 00:00:18:12,"/>
            <filter val="01:59 - 02:00, &#10;02:12 - 02:13"/>
            <filter val="00:00:18:12-00:00:24:24"/>
            <filter val="00:17 - 00:18, &#10;00:27 - 00:28,"/>
            <filter val="00:02:00 - 00:12:00"/>
            <filter val="00:01:52:00-00:01:56:04, 00:02:02:05-00:02:04:04"/>
            <filter val="00:01 - 00:02"/>
            <filter val="00:07:08:00 - 00:07:12:08, 00:07:03:06 - 00:07:12:09"/>
            <filter val="00:00:30:04 - 00:07:37:21"/>
            <filter val="00:01 - 00:06"/>
            <filter val="00:00:00:00-00:00:03:02"/>
            <filter val="00:02:18:17 - 00:02:21:19"/>
            <filter val="01:01 - 01:04,"/>
            <filter val="00:00:03:15 - 00:00:15:06,  00:00:48:26 - 00:00:56:00, 00:03:06:23 - 00:03:13:03, 00:06:20:13 - 00:06:23:10, 00:19:36:09 - 00:19:40:27, 00:20:34:01 - 00:20:41:11,"/>
            <filter val="01:04 - 01:05, &#10;02:53 - 02:54"/>
            <filter val="00:00 - 00:35"/>
            <filter val="00:02:52:10 - 00:03:01:19,&#10; 00:00:42:04 -00:00:48:11,&#10; 00:00:51:14 - 00:00:53:18"/>
            <filter val="00:26 - 00:29"/>
            <filter val="00:00:01:12 - 00:00:02:21,"/>
            <filter val="03:19 - 03:21"/>
            <filter val="00:00:00:00 - 00:00:07:10, &#10;00:00:13:12 - 00:00:24:29, &#10;00:01:38:18 - 00:01:54:06,"/>
            <filter val="00:26 - 00:27"/>
            <filter val="00:26 - 00:28"/>
            <filter val="00:02:52:08- 00:02:55:15"/>
            <filter val="00:34 - 00:36"/>
            <filter val="00:23 - 00:30, 00:33 - 00:38,"/>
            <filter val="00:00:45:10-00:00:47:21, &#10;00:00:50:22-00:00:54:00, &#10;00:04:53:08-00:04:59:09, &#10;00:13:57:18-00:14:06:18"/>
            <filter val="00:10:00 - 00:16:00, &#10;00:48:00 - 00:51:00"/>
            <filter val="00:00:53:24-00:00:56:03"/>
            <filter val="00:00:14:08 - 00:00:20:01"/>
            <filter val="00:00:18:15-00:00:20:10"/>
            <filter val="03:54:18-03:58:17"/>
            <filter val="01:01 - 01:04"/>
            <filter val="00:00:00:22-00:00:06:08, &#10;00:00:14:05-00:00:18:19, &#10;00:02:11:08-00:02:13:06, &#10;00:03:31:15-00:03:33:12"/>
            <filter val="00:00:11:13-00:00:17:18, &#10;00:01:00:01-00:01:02:20"/>
            <filter val="00:00:16:14-00:00:19:17, &#10;00:00:39:05-00:00:41:24"/>
            <filter val="00:46 - 00:47"/>
            <filter val="00:08:11-00:14:02, &#10;03:14:13-03:16:01"/>
            <filter val="00:02 - 00:04, &#10;01:27 - 01:28"/>
            <filter val="2:17 - 2:21, &#10;5:11 - 5:13, &#10;6:49 - 6:50, &#10;6:55 - 6:58, &#10;7:05 - 7:08, &#10;7:23 -7:25, &#10;7:31 -7:35,"/>
            <filter val="00:00:26:04 - 00:00:28:04, &#10;00:01:12:21 - 00:01:18:01, &#10;00:00:33:05 - 00:00:34:07,"/>
            <filter val="00:00:00 - 00:03:00"/>
            <filter val="08:36 - 08:37, &#10;09:35 - 09:36"/>
            <filter val="00:54 - 00:57"/>
            <filter val="00:00:17 - 00:06:21&#10;00:17:23 - 00:23:03"/>
            <filter val="00:12:28:15 - 00:12:29:11, &#10;00:01:09:18 - 00:01:21:14"/>
            <filter val="00:00 - 00:02, &#10;4:42 - 4:47"/>
            <filter val="00:02 - 00:03"/>
            <filter val="00:23:18:17-00:23:28:09,"/>
            <filter val="00:10 - 00:11"/>
            <filter val="00:00:20 - 00:00:25"/>
            <filter val="00:00:00 - 00:00:03, &#10;00:00:08 - 00:00:10, &#10;00:00:11 - 00:00:14"/>
            <filter val="00:02 - 00:06"/>
            <filter val="00:00:21:33 - 00:00:27:20"/>
            <filter val="00:00 - 00:02, &#10;00:13 - 00:15, &#10;00:18 - 00:20, &#10;01:17 - 01:19, &#10;08:42 - 08:44, &#10;21:50 - 21:56"/>
            <filter val="Audio used throughout (40 second)&#10;Video and audio used for 3 seconds"/>
            <filter val="00:02-00:04&#10;00:06-00:07&#10;00:31-00:33&#10;00:35-00:42"/>
            <filter val="00:14 - 00:15"/>
            <filter val="02:54:18-02:55:07"/>
            <filter val="00:00:03 - 00:00:10 (Audio only), 00:00:14 - 00:00:16"/>
            <filter val="00:00:58:22-00:01:07:13, &#10;00:02:24:23-00:02:29:00"/>
            <filter val="00:05:22:07-00:05:27:09"/>
            <filter val="00:15:00 - 00:23:00"/>
            <filter val="00:00-10:00"/>
            <filter val="00:00:25:07-00:00:29:08, &#10;00:18:04:19-00:18:19:11"/>
            <filter val="00:06:19 - 00:08:03"/>
            <filter val="00:00:35:14-00:00:39:11"/>
            <filter val="00:00:06:21-00:00:10:07, &#10;00:00:44:15-00:00:48:23, &#10;00:03:26:21-00:03:30:20"/>
            <filter val="00:01:21:13-00:01:23:18, &#10;00:00:25:11-00:00:28:18, &#10;00:01:38:12-00:01:41:05"/>
            <filter val="02:20 - 02:26, &#10;02:55 - 03:05"/>
            <filter val="04:33:16-04:39:03"/>
            <filter val="05:30 - 05:33"/>
            <filter val="00:00:40:13 - 00:00:46:21"/>
            <filter val="00:00:35:23 - 00:00:44:05,&#10; 00:02:25:18 - 00:02:48:22"/>
            <filter val="00:10:00 - 02:30:00"/>
            <filter val="00:00:20:00 - 00:00:22:13,"/>
            <filter val="00:01:00 - 00:08:00"/>
            <filter val="00:05-00:14&#10;00:26-00:30&#10;00:45-00:49"/>
            <filter val="00:00:03:11 - 00:00:13:21"/>
            <filter val="0:00 - 0:12, &#10;1:30 - 1:34, &#10;1:55 - 1:58, &#10;2:01 - 2:03, &#10;2:42 - 2:44"/>
            <filter val="00:09:07-00:09:21"/>
            <filter val="00:02:58:03 - 00:03:08:13, 00:04:22:08 - 00:04:44:07,"/>
            <filter val="00:00:00-00:00:20, &#10;04:05:00-04:05:20,"/>
            <filter val="00:00:18:09-00:00:20:12"/>
            <filter val="00:00 - 00:07"/>
            <filter val="00:00:07- 00:00:08, &#10;00:00:16 - 00:00:18"/>
            <filter val="00:00:05 - 00:00:07"/>
            <filter val="00:00 - 00:05"/>
            <filter val="03:22-03:26"/>
            <filter val="00:46:03-00:46:18, &#10;00:04:19-00:06:19, &#10;00:34:09-00:35:13, &#10;04:14:03-04:15:14, &#10;03:44:09-03:45:23, &#10;00:47:03-00:48:04, &#10;02:41:16-02:42:05, &#10;00:26:07-00:27:05, &#10;03:18:21-03:20:18"/>
            <filter val="00:00 - 00:06"/>
            <filter val="00:53 - 00:57"/>
            <filter val="00:00 - 00:04"/>
            <filter val="00:00:18:06-00:00:20:15"/>
            <filter val="00:27 - 00:28"/>
            <filter val="00:01:50:21 - 00:01:53:16, &#10;00:04:42:14 - 00:04:43:05, &#10;00:04:45:21 - 00:04:47:00, &#10;00:04:47:12 - 00:04:48:08, &#10;00:00:26:16 - 00:00:32:02, &#10;00:00:06:15 - 00:00:09:00, &#10;00:00:47:04 - 00:00:48:17,"/>
            <filter val="00:00:57:23 - 00:01:01:00, &#10;00:00:33:16 - 00:00:39:02, &#10;00:01:06:12 - 00:01:16:18"/>
            <filter val="00:00:00:00 - 00:00:13:02, &#10;00:00:18:20 - 00:00:22:00, &#10;00:30:05:06 - 00:30:21:08, &#10;00:31:12:04 - 00:31:21:21,"/>
            <filter val="02:38 - 02:40, &#10;02:28 - 02:29, &#10;03:05 - 03:06, &#10;05:05 - 05:06,&#10;15:36 - 15:37,  &#10;16:08 - 16:09,"/>
            <filter val="00:00:00:00 - 00:00:29:17, &#10;00:00:37:00 - 00:00:51:21,"/>
            <filter val="00:00:19:12 - 00:00:25:11"/>
            <filter val="01:49 - 01:50, &#10;01:59 - 02:00"/>
            <filter val="01:59 - 02:00"/>
            <filter val="00:00:02:12-00:00:03:10"/>
            <filter val="00:02:36:03-00:02:39:07, &#10;00:02:45:24-00:02:50:19,"/>
            <filter val="00:00:38:16-00:00:42:14"/>
            <filter val="01:38 - 01:43"/>
            <filter val="00:13 - 00:14"/>
            <filter val="00:06:01:12-00:06:05:06, &#10;00:14:33:00-00:14:42:08, &#10;00:16:13:13-00:16:15:17"/>
            <filter val="00:00:11:12 - 00:00:16:00,"/>
            <filter val="0:32 - 0:49"/>
            <filter val="00:00:10 - 00:00:16 (Audio only)"/>
            <filter val="00:00:05:19-00:00:09:04"/>
            <filter val="00:00:04:00 - 00:00:05:27"/>
            <filter val="00:00:00:00 - 00:00:13:25,"/>
            <filter val="0:20 - 0:26"/>
            <filter val="00:14:16 - 00:17:23&#10;00:23:03 - 00:33:12"/>
            <filter val="00:00:40:03 - 00:00:41:18"/>
            <filter val="00:16-00:18&#10;00:23-00:26&#10;00:30-00:32"/>
            <filter val="00:20 - 00:22, &#10;00:56 - 00:58"/>
            <filter val="00:24 - 00:29"/>
            <filter val="00:00:06:13 - 00:00:09:29"/>
            <filter val="00:00:26:14-00:00:31:19, &#10;00:00:54:06-00:00:56:16"/>
            <filter val="00:00:00:00-00:00:09:23"/>
            <filter val="00:31:40:19-00:31:45:11"/>
            <filter val="00:00:20 - 00:00:23 (Audio only)"/>
            <filter val="00:00:00:00-00:00:04:14,"/>
            <filter val="00:12:00:22 - 00:12:11:10, &#10;00:17:09:29 - 00:17:37:16,"/>
            <filter val="01:17 - 01:20"/>
            <filter val="00:01:40:14 - 00:01:50:19"/>
            <filter val="00:00:45:05-00:00:50:10, &#10;00:16:05:05-00:16:09:06, &#10;00:16:38:20-00:17:06:16"/>
            <filter val="00:01:56:04 - 00:01:59:03, &#10;00:00:17:11 - 00:00:19:02, &#10;00:00:14:10 - 00:00:18:09,"/>
            <filter val="N/a"/>
            <filter val="00:00:17 - 00:00:20"/>
            <filter val="00:00:18:22 - 00:00:25:19, &#10;00:00:36:20 - 00:00:39:14, &#10;00:01:07:16 - 00:01:08:22, &#10;00:00:58:14 - 00:00:59:19, &#10;00:00:29:03 - 00:00:31:12"/>
            <filter val="00:01:00 - 00:07:00"/>
            <filter val="00:00:29:03-00:00:33:05,&#10; 00:03:00:07-00:03:06:15, &#10;00:02:51:13-00:02:56:24, &#10;00:00:30:00-00:00:41:00"/>
            <filter val="00:00:57:13-00:00:59:20"/>
            <filter val="00:52 - 00:53"/>
            <filter val="00:00:05:03-00:00:08:16"/>
            <filter val="01:22 - 01:24"/>
            <filter val="00:01:44:07-00:01:49:23, &#10;00:01:15:16-00:01:17:18"/>
            <filter val="00:10:23 - 0:14:13"/>
            <filter val="00:40 - 00:42, &#10;00:46 - 00:47, &#10;00:54 - 00:55,"/>
            <filter val="00:00 - 00:10,"/>
            <filter val="00:00:00:00 -00:00:12:22"/>
            <filter val="02:35 - 06:18"/>
            <filter val="00:00:01:06-00:00:13:22"/>
            <filter val="00:00:00:00 -00:00:06:12, &#10;00:02:22:01- 00:02:26:05"/>
            <filter val="00:12 - 00:16"/>
            <filter val="0:26 - 0:27, &#10;2:54 - 2:59,"/>
            <filter val="00:19 - 00:21"/>
            <filter val="00:00:49:10-00:00:51:18"/>
            <filter val="00:00:01:20-00:00:08:05"/>
            <filter val="00:04 - 00:06"/>
            <filter val="00:04 - 00:08"/>
            <filter val="00:00:05:20-00:00:09:01, &#10;00:00:36:06-00:00:39:13"/>
          </filters>
        </filterColumn>
        <filterColumn colId="8">
          <filters>
            <filter val="Requesting from Speakers/Media"/>
            <filter val="Approved"/>
          </filters>
        </filterColumn>
      </autoFilter>
    </customSheetView>
  </customSheetViews>
  <mergeCells count="3">
    <mergeCell ref="M1:O1"/>
    <mergeCell ref="P1:R1"/>
    <mergeCell ref="M2:O8"/>
  </mergeCells>
  <conditionalFormatting sqref="I2:I266">
    <cfRule type="cellIs" dxfId="20" priority="1" operator="equal">
      <formula>"Approved"</formula>
    </cfRule>
  </conditionalFormatting>
  <conditionalFormatting sqref="I2:I266">
    <cfRule type="cellIs" dxfId="23" priority="2" operator="equal">
      <formula>"Requesting from Speakers/Media"</formula>
    </cfRule>
  </conditionalFormatting>
  <conditionalFormatting sqref="I2:I266">
    <cfRule type="cellIs" dxfId="24" priority="3" operator="equal">
      <formula>"Un-reachable"</formula>
    </cfRule>
  </conditionalFormatting>
  <conditionalFormatting sqref="I2:I266">
    <cfRule type="cellIs" dxfId="25" priority="4" operator="equal">
      <formula>"rejected"</formula>
    </cfRule>
  </conditionalFormatting>
  <conditionalFormatting sqref="I2:I266">
    <cfRule type="cellIs" dxfId="4" priority="5" operator="equal">
      <formula>"licensing fee required"</formula>
    </cfRule>
  </conditionalFormatting>
  <conditionalFormatting sqref="I2:I266">
    <cfRule type="cellIs" dxfId="26" priority="6" operator="equal">
      <formula>"Not required"</formula>
    </cfRule>
  </conditionalFormatting>
  <dataValidations>
    <dataValidation type="list" allowBlank="1" sqref="C178">
      <formula1>"Rejected,Approved,Not required,Licensing fee required,No reply/ contact"</formula1>
    </dataValidation>
    <dataValidation type="list" allowBlank="1" sqref="D42">
      <formula1>"Rejected,Approved,Not required,Licensing fee required,Un-reachable,Requesting from Speakers / Media"</formula1>
    </dataValidation>
    <dataValidation type="list" allowBlank="1" sqref="I2:I299">
      <formula1>"Rejected,Approved,Not required,Licensing fee required,Un-reachable,Requesting from Speakers/Media"</formula1>
    </dataValidation>
    <dataValidation type="list" allowBlank="1" sqref="C53">
      <formula1>"Rejected,Approved,Not required,Licensing fee required,Un-reachable"</formula1>
    </dataValidation>
  </dataValidations>
  <hyperlinks>
    <hyperlink r:id="rId1" ref="D2"/>
    <hyperlink r:id="rId2" ref="G2"/>
    <hyperlink r:id="rId3" ref="Q2"/>
    <hyperlink r:id="rId4" ref="D3"/>
    <hyperlink r:id="rId5" ref="D4"/>
    <hyperlink r:id="rId6" ref="D5"/>
    <hyperlink r:id="rId7" ref="D6"/>
    <hyperlink r:id="rId8" ref="C7"/>
    <hyperlink r:id="rId9" ref="D7"/>
    <hyperlink r:id="rId10" ref="D8"/>
    <hyperlink r:id="rId11" ref="D9"/>
    <hyperlink r:id="rId12" ref="D10"/>
    <hyperlink r:id="rId13" ref="D11"/>
    <hyperlink r:id="rId14" ref="D12"/>
    <hyperlink r:id="rId15" ref="D13"/>
    <hyperlink r:id="rId16" ref="D14"/>
    <hyperlink r:id="rId17" ref="G14"/>
    <hyperlink r:id="rId18" ref="D15"/>
    <hyperlink r:id="rId19" ref="D16"/>
    <hyperlink r:id="rId20" ref="D17"/>
    <hyperlink r:id="rId21" ref="D18"/>
    <hyperlink r:id="rId22" ref="D19"/>
    <hyperlink r:id="rId23" ref="D20"/>
    <hyperlink r:id="rId24" ref="D21"/>
    <hyperlink r:id="rId25" ref="D22"/>
    <hyperlink r:id="rId26" ref="D23"/>
    <hyperlink r:id="rId27" ref="D24"/>
    <hyperlink r:id="rId28" ref="D25"/>
    <hyperlink r:id="rId29" ref="D26"/>
    <hyperlink r:id="rId30" ref="D27"/>
    <hyperlink r:id="rId31" ref="D28"/>
    <hyperlink r:id="rId32" ref="G28"/>
    <hyperlink r:id="rId33" ref="D29"/>
    <hyperlink r:id="rId34" ref="D30"/>
    <hyperlink r:id="rId35" ref="D31"/>
    <hyperlink r:id="rId36" ref="D32"/>
    <hyperlink r:id="rId37" ref="D33"/>
    <hyperlink r:id="rId38" ref="D34"/>
    <hyperlink r:id="rId39" ref="D35"/>
    <hyperlink r:id="rId40" ref="D36"/>
    <hyperlink r:id="rId41" ref="D37"/>
    <hyperlink r:id="rId42" ref="D38"/>
    <hyperlink r:id="rId43" ref="D39"/>
    <hyperlink r:id="rId44" ref="D40"/>
    <hyperlink r:id="rId45" ref="G40"/>
    <hyperlink r:id="rId46" ref="D41"/>
    <hyperlink r:id="rId47" ref="D42"/>
    <hyperlink r:id="rId48" ref="D43"/>
    <hyperlink r:id="rId49" ref="D44"/>
    <hyperlink r:id="rId50" ref="D45"/>
    <hyperlink r:id="rId51" ref="D46"/>
    <hyperlink r:id="rId52" ref="D47"/>
    <hyperlink r:id="rId53" ref="D48"/>
    <hyperlink r:id="rId54" ref="D49"/>
    <hyperlink r:id="rId55" ref="D50"/>
    <hyperlink r:id="rId56" ref="D51"/>
    <hyperlink r:id="rId57" ref="D52"/>
    <hyperlink r:id="rId58" ref="G52"/>
    <hyperlink r:id="rId59" ref="D53"/>
    <hyperlink r:id="rId60" ref="D54"/>
    <hyperlink r:id="rId61" ref="D55"/>
    <hyperlink r:id="rId62" ref="D56"/>
    <hyperlink r:id="rId63" ref="D57"/>
    <hyperlink r:id="rId64" ref="D58"/>
    <hyperlink r:id="rId65" ref="D59"/>
    <hyperlink r:id="rId66" ref="D60"/>
    <hyperlink r:id="rId67" ref="D63"/>
    <hyperlink r:id="rId68" ref="G63"/>
    <hyperlink r:id="rId69" ref="D64"/>
    <hyperlink r:id="rId70" ref="D65"/>
    <hyperlink r:id="rId71" ref="D66"/>
    <hyperlink r:id="rId72" ref="D67"/>
    <hyperlink r:id="rId73" ref="D68"/>
    <hyperlink r:id="rId74" ref="D69"/>
    <hyperlink r:id="rId75" ref="D70"/>
    <hyperlink r:id="rId76" ref="D71"/>
    <hyperlink r:id="rId77" ref="D72"/>
    <hyperlink r:id="rId78" ref="D73"/>
    <hyperlink r:id="rId79" ref="D74"/>
    <hyperlink r:id="rId80" ref="D75"/>
    <hyperlink r:id="rId81" ref="D87"/>
    <hyperlink r:id="rId82" ref="D88"/>
    <hyperlink r:id="rId83" ref="D89"/>
    <hyperlink r:id="rId84" ref="D90"/>
    <hyperlink r:id="rId85" ref="D91"/>
    <hyperlink r:id="rId86" ref="D92"/>
    <hyperlink r:id="rId87" ref="D93"/>
    <hyperlink r:id="rId88" ref="D94"/>
    <hyperlink r:id="rId89" ref="D95"/>
    <hyperlink r:id="rId90" ref="D96"/>
    <hyperlink r:id="rId91" ref="H96"/>
    <hyperlink r:id="rId92" ref="D97"/>
    <hyperlink r:id="rId93" ref="D98"/>
    <hyperlink r:id="rId94" ref="D99"/>
    <hyperlink r:id="rId95" ref="G99"/>
    <hyperlink r:id="rId96" ref="D100"/>
    <hyperlink r:id="rId97" ref="D101"/>
    <hyperlink r:id="rId98" ref="D102"/>
    <hyperlink r:id="rId99" ref="D103"/>
    <hyperlink r:id="rId100" ref="D104"/>
    <hyperlink r:id="rId101" ref="D105"/>
    <hyperlink r:id="rId102" ref="D106"/>
    <hyperlink r:id="rId103" ref="D107"/>
    <hyperlink r:id="rId104" ref="D108"/>
    <hyperlink r:id="rId105" ref="D109"/>
    <hyperlink r:id="rId106" ref="D111"/>
    <hyperlink r:id="rId107" ref="G111"/>
    <hyperlink r:id="rId108" ref="D112"/>
    <hyperlink r:id="rId109" ref="D113"/>
    <hyperlink r:id="rId110" ref="D114"/>
    <hyperlink r:id="rId111" ref="D115"/>
    <hyperlink r:id="rId112" ref="D116"/>
    <hyperlink r:id="rId113" ref="D117"/>
    <hyperlink r:id="rId114" ref="D118"/>
    <hyperlink r:id="rId115" ref="D119"/>
    <hyperlink r:id="rId116" ref="D120"/>
    <hyperlink r:id="rId117" ref="D121"/>
    <hyperlink r:id="rId118" ref="D122"/>
    <hyperlink r:id="rId119" ref="D123"/>
    <hyperlink r:id="rId120" ref="D124"/>
    <hyperlink r:id="rId121" ref="D125"/>
    <hyperlink r:id="rId122" ref="D126"/>
    <hyperlink r:id="rId123" ref="D127"/>
    <hyperlink r:id="rId124" ref="G127"/>
    <hyperlink r:id="rId125" ref="D128"/>
    <hyperlink r:id="rId126" ref="D129"/>
    <hyperlink r:id="rId127" ref="D130"/>
    <hyperlink r:id="rId128" ref="D131"/>
    <hyperlink r:id="rId129" ref="D132"/>
    <hyperlink r:id="rId130" ref="D133"/>
    <hyperlink r:id="rId131" ref="D134"/>
    <hyperlink r:id="rId132" ref="D135"/>
    <hyperlink r:id="rId133" ref="D136"/>
    <hyperlink r:id="rId134" ref="D137"/>
    <hyperlink r:id="rId135" ref="D138"/>
    <hyperlink r:id="rId136" ref="D139"/>
    <hyperlink r:id="rId137" ref="D140"/>
    <hyperlink r:id="rId138" ref="D141"/>
    <hyperlink r:id="rId139" ref="D142"/>
    <hyperlink r:id="rId140" ref="G142"/>
    <hyperlink r:id="rId141" ref="D143"/>
    <hyperlink r:id="rId142" ref="D144"/>
    <hyperlink r:id="rId143" ref="D145"/>
    <hyperlink r:id="rId144" ref="D146"/>
    <hyperlink r:id="rId145" ref="D147"/>
    <hyperlink r:id="rId146" ref="D148"/>
    <hyperlink r:id="rId147" ref="D149"/>
    <hyperlink r:id="rId148" ref="D150"/>
    <hyperlink r:id="rId149" ref="D151"/>
    <hyperlink r:id="rId150" ref="D152"/>
    <hyperlink r:id="rId151" ref="D153"/>
    <hyperlink r:id="rId152" ref="D154"/>
    <hyperlink r:id="rId153" ref="D155"/>
    <hyperlink r:id="rId154" ref="D156"/>
    <hyperlink r:id="rId155" ref="G156"/>
    <hyperlink r:id="rId156" ref="D157"/>
    <hyperlink r:id="rId157" ref="D158"/>
    <hyperlink r:id="rId158" ref="D159"/>
    <hyperlink r:id="rId159" ref="H159"/>
    <hyperlink r:id="rId160" ref="D160"/>
    <hyperlink r:id="rId161" ref="D161"/>
    <hyperlink r:id="rId162" ref="D162"/>
    <hyperlink r:id="rId163" ref="G162"/>
    <hyperlink r:id="rId164" ref="D163"/>
    <hyperlink r:id="rId165" ref="D164"/>
    <hyperlink r:id="rId166" ref="D165"/>
    <hyperlink r:id="rId167" ref="D166"/>
    <hyperlink r:id="rId168" ref="D167"/>
    <hyperlink r:id="rId169" ref="D168"/>
    <hyperlink r:id="rId170" ref="D169"/>
    <hyperlink r:id="rId171" ref="D170"/>
    <hyperlink r:id="rId172" ref="D171"/>
    <hyperlink r:id="rId173" ref="D172"/>
    <hyperlink r:id="rId174" ref="D173"/>
    <hyperlink r:id="rId175" ref="D174"/>
    <hyperlink r:id="rId176" ref="D175"/>
    <hyperlink r:id="rId177" ref="D176"/>
    <hyperlink r:id="rId178" ref="D177"/>
    <hyperlink r:id="rId179" ref="D178"/>
    <hyperlink r:id="rId180" ref="D179"/>
    <hyperlink r:id="rId181" ref="D180"/>
    <hyperlink r:id="rId182" ref="D181"/>
    <hyperlink r:id="rId183" ref="D182"/>
    <hyperlink r:id="rId184" ref="D183"/>
    <hyperlink r:id="rId185" ref="D184"/>
    <hyperlink r:id="rId186" ref="D185"/>
    <hyperlink r:id="rId187" ref="D186"/>
    <hyperlink r:id="rId188" ref="G186"/>
    <hyperlink r:id="rId189" ref="D187"/>
    <hyperlink r:id="rId190" ref="C188"/>
    <hyperlink r:id="rId191" ref="D188"/>
    <hyperlink r:id="rId192" ref="D189"/>
    <hyperlink r:id="rId193" ref="D190"/>
    <hyperlink r:id="rId194" ref="D191"/>
    <hyperlink r:id="rId195" ref="D192"/>
    <hyperlink r:id="rId196" ref="C193"/>
    <hyperlink r:id="rId197" ref="D193"/>
    <hyperlink r:id="rId198" ref="D194"/>
    <hyperlink r:id="rId199" ref="D195"/>
    <hyperlink r:id="rId200" ref="D196"/>
    <hyperlink r:id="rId201" ref="D197"/>
    <hyperlink r:id="rId202" ref="D211"/>
    <hyperlink r:id="rId203" ref="G211"/>
    <hyperlink r:id="rId204" ref="D212"/>
    <hyperlink r:id="rId205" ref="D213"/>
    <hyperlink r:id="rId206" ref="D214"/>
    <hyperlink r:id="rId207" ref="D215"/>
    <hyperlink r:id="rId208" ref="D216"/>
    <hyperlink r:id="rId209" ref="D217"/>
    <hyperlink r:id="rId210" ref="D218"/>
    <hyperlink r:id="rId211" ref="D219"/>
    <hyperlink r:id="rId212" ref="D220"/>
    <hyperlink r:id="rId213" ref="D224"/>
    <hyperlink r:id="rId214" ref="D225"/>
    <hyperlink r:id="rId215" ref="D226"/>
    <hyperlink r:id="rId216" ref="D227"/>
    <hyperlink r:id="rId217" ref="D228"/>
    <hyperlink r:id="rId218" ref="G228"/>
    <hyperlink r:id="rId219" ref="D229"/>
    <hyperlink r:id="rId220" ref="D230"/>
    <hyperlink r:id="rId221" ref="D233"/>
    <hyperlink r:id="rId222" ref="D234"/>
    <hyperlink r:id="rId223" ref="D235"/>
    <hyperlink r:id="rId224" ref="D236"/>
    <hyperlink r:id="rId225" ref="D237"/>
    <hyperlink r:id="rId226" ref="D238"/>
    <hyperlink r:id="rId227" ref="D239"/>
    <hyperlink r:id="rId228" ref="D240"/>
    <hyperlink r:id="rId229" ref="D241"/>
    <hyperlink r:id="rId230" ref="D242"/>
    <hyperlink r:id="rId231" ref="D243"/>
    <hyperlink r:id="rId232" ref="D244"/>
    <hyperlink r:id="rId233" ref="G244"/>
    <hyperlink r:id="rId234" ref="D245"/>
    <hyperlink r:id="rId235" ref="D246"/>
    <hyperlink r:id="rId236" ref="D247"/>
    <hyperlink r:id="rId237" ref="D248"/>
    <hyperlink r:id="rId238" ref="D249"/>
    <hyperlink r:id="rId239" ref="D250"/>
    <hyperlink r:id="rId240" ref="D251"/>
    <hyperlink r:id="rId241" ref="D252"/>
    <hyperlink r:id="rId242" ref="D253"/>
    <hyperlink r:id="rId243" ref="D254"/>
    <hyperlink r:id="rId244" ref="D255"/>
    <hyperlink r:id="rId245" ref="D256"/>
    <hyperlink r:id="rId246" ref="D257"/>
    <hyperlink r:id="rId247" ref="D258"/>
    <hyperlink r:id="rId248" ref="D259"/>
    <hyperlink r:id="rId249" ref="D260"/>
    <hyperlink r:id="rId250" ref="D261"/>
    <hyperlink r:id="rId251" ref="D262"/>
    <hyperlink r:id="rId252" ref="D263"/>
    <hyperlink r:id="rId253" ref="D264"/>
    <hyperlink r:id="rId254" ref="D266"/>
  </hyperlinks>
  <drawing r:id="rId255"/>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0"/>
    <col customWidth="1" min="2" max="2" width="35.43"/>
    <col customWidth="1" min="3" max="3" width="51.86"/>
  </cols>
  <sheetData>
    <row r="1" ht="45.0" customHeight="1">
      <c r="A1" s="423" t="s">
        <v>9072</v>
      </c>
      <c r="D1" s="424" t="s">
        <v>9073</v>
      </c>
      <c r="E1" s="425"/>
      <c r="F1" s="396" t="s">
        <v>8905</v>
      </c>
      <c r="I1" s="426"/>
      <c r="J1" s="403"/>
      <c r="K1" s="403"/>
      <c r="L1" s="403"/>
      <c r="M1" s="403"/>
      <c r="N1" s="403"/>
      <c r="O1" s="403"/>
      <c r="P1" s="403"/>
      <c r="Q1" s="403"/>
      <c r="R1" s="403"/>
      <c r="S1" s="403"/>
      <c r="T1" s="403"/>
      <c r="U1" s="403"/>
      <c r="V1" s="403"/>
      <c r="W1" s="403"/>
      <c r="X1" s="403"/>
      <c r="Y1" s="403"/>
      <c r="Z1" s="403"/>
      <c r="AA1" s="403"/>
    </row>
    <row r="2" ht="21.0" customHeight="1">
      <c r="A2" s="427" t="s">
        <v>9066</v>
      </c>
      <c r="D2" s="203" t="s">
        <v>23</v>
      </c>
      <c r="E2" s="403"/>
      <c r="F2" s="402" t="s">
        <v>8913</v>
      </c>
      <c r="I2" s="426"/>
      <c r="J2" s="403"/>
      <c r="K2" s="403"/>
      <c r="L2" s="403"/>
      <c r="M2" s="403"/>
      <c r="N2" s="403"/>
      <c r="O2" s="403"/>
      <c r="P2" s="403"/>
      <c r="Q2" s="403"/>
      <c r="R2" s="403"/>
      <c r="S2" s="403"/>
      <c r="T2" s="403"/>
      <c r="U2" s="403"/>
      <c r="V2" s="403"/>
      <c r="W2" s="403"/>
      <c r="X2" s="403"/>
      <c r="Y2" s="403"/>
      <c r="Z2" s="403"/>
      <c r="AA2" s="403"/>
    </row>
    <row r="3" ht="40.5" customHeight="1">
      <c r="A3" s="428" t="s">
        <v>9080</v>
      </c>
      <c r="D3" s="403"/>
      <c r="E3" s="403"/>
      <c r="I3" s="426"/>
      <c r="J3" s="403"/>
      <c r="K3" s="403"/>
      <c r="L3" s="403"/>
      <c r="M3" s="403"/>
      <c r="N3" s="403"/>
      <c r="O3" s="403"/>
      <c r="P3" s="403"/>
      <c r="Q3" s="403"/>
      <c r="R3" s="403"/>
      <c r="S3" s="403"/>
      <c r="T3" s="403"/>
      <c r="U3" s="403"/>
      <c r="V3" s="403"/>
      <c r="W3" s="403"/>
      <c r="X3" s="403"/>
      <c r="Y3" s="403"/>
      <c r="Z3" s="403"/>
      <c r="AA3" s="403"/>
    </row>
    <row r="4">
      <c r="A4" s="429" t="s">
        <v>9083</v>
      </c>
      <c r="B4" s="430" t="s">
        <v>9084</v>
      </c>
      <c r="C4" s="431" t="s">
        <v>9085</v>
      </c>
      <c r="D4" s="403"/>
      <c r="E4" s="403"/>
      <c r="I4" s="426"/>
      <c r="J4" s="403"/>
      <c r="K4" s="403"/>
      <c r="L4" s="403"/>
      <c r="M4" s="403"/>
      <c r="N4" s="403"/>
      <c r="O4" s="403"/>
      <c r="P4" s="403"/>
      <c r="Q4" s="403"/>
      <c r="R4" s="403"/>
      <c r="S4" s="403"/>
      <c r="T4" s="403"/>
      <c r="U4" s="403"/>
      <c r="V4" s="403"/>
      <c r="W4" s="403"/>
      <c r="X4" s="403"/>
      <c r="Y4" s="403"/>
      <c r="Z4" s="403"/>
      <c r="AA4" s="403"/>
    </row>
    <row r="5">
      <c r="A5" s="432" t="s">
        <v>9088</v>
      </c>
      <c r="B5" s="433" t="s">
        <v>9089</v>
      </c>
      <c r="C5" s="434" t="s">
        <v>9091</v>
      </c>
      <c r="D5" s="403"/>
      <c r="E5" s="403"/>
      <c r="I5" s="426"/>
      <c r="J5" s="403"/>
      <c r="K5" s="403"/>
      <c r="L5" s="403"/>
      <c r="M5" s="403"/>
      <c r="N5" s="403"/>
      <c r="O5" s="403"/>
      <c r="P5" s="403"/>
      <c r="Q5" s="403"/>
      <c r="R5" s="403"/>
      <c r="S5" s="403"/>
      <c r="T5" s="403"/>
      <c r="U5" s="403"/>
      <c r="V5" s="403"/>
      <c r="W5" s="403"/>
      <c r="X5" s="403"/>
      <c r="Y5" s="403"/>
      <c r="Z5" s="403"/>
      <c r="AA5" s="403"/>
    </row>
    <row r="6">
      <c r="A6" s="432" t="s">
        <v>9093</v>
      </c>
      <c r="B6" s="433" t="s">
        <v>9089</v>
      </c>
      <c r="C6" s="434" t="s">
        <v>9096</v>
      </c>
      <c r="D6" s="403"/>
      <c r="E6" s="403"/>
      <c r="F6" s="403"/>
      <c r="G6" s="435"/>
      <c r="H6" s="435"/>
      <c r="I6" s="435"/>
      <c r="J6" s="403"/>
      <c r="K6" s="403"/>
      <c r="L6" s="403"/>
      <c r="M6" s="403"/>
      <c r="N6" s="403"/>
      <c r="O6" s="403"/>
      <c r="P6" s="403"/>
      <c r="Q6" s="403"/>
      <c r="R6" s="403"/>
      <c r="S6" s="403"/>
      <c r="T6" s="403"/>
      <c r="U6" s="403"/>
      <c r="V6" s="403"/>
      <c r="W6" s="403"/>
      <c r="X6" s="403"/>
      <c r="Y6" s="403"/>
      <c r="Z6" s="403"/>
      <c r="AA6" s="403"/>
    </row>
    <row r="7">
      <c r="A7" s="432" t="s">
        <v>9098</v>
      </c>
      <c r="B7" s="433" t="s">
        <v>9101</v>
      </c>
      <c r="C7" s="436" t="s">
        <v>9102</v>
      </c>
      <c r="D7" s="403"/>
      <c r="E7" s="403"/>
      <c r="F7" s="403"/>
      <c r="G7" s="435"/>
      <c r="H7" s="435"/>
      <c r="I7" s="435"/>
      <c r="J7" s="403"/>
      <c r="K7" s="403"/>
      <c r="L7" s="403"/>
      <c r="M7" s="403"/>
      <c r="N7" s="403"/>
      <c r="O7" s="403"/>
      <c r="P7" s="403"/>
      <c r="Q7" s="403"/>
      <c r="R7" s="403"/>
      <c r="S7" s="403"/>
      <c r="T7" s="403"/>
      <c r="U7" s="403"/>
      <c r="V7" s="403"/>
      <c r="W7" s="403"/>
      <c r="X7" s="403"/>
      <c r="Y7" s="403"/>
      <c r="Z7" s="403"/>
      <c r="AA7" s="403"/>
    </row>
    <row r="8">
      <c r="A8" s="432" t="s">
        <v>9088</v>
      </c>
      <c r="B8" s="437">
        <v>0.32013888888888886</v>
      </c>
      <c r="C8" s="436" t="s">
        <v>9107</v>
      </c>
      <c r="D8" s="403"/>
      <c r="E8" s="403"/>
      <c r="F8" s="403"/>
      <c r="G8" s="435"/>
      <c r="H8" s="435"/>
      <c r="I8" s="435"/>
      <c r="J8" s="403"/>
      <c r="K8" s="403"/>
      <c r="L8" s="403"/>
      <c r="M8" s="403"/>
      <c r="N8" s="403"/>
      <c r="O8" s="403"/>
      <c r="P8" s="403"/>
      <c r="Q8" s="403"/>
      <c r="R8" s="403"/>
      <c r="S8" s="403"/>
      <c r="T8" s="403"/>
      <c r="U8" s="403"/>
      <c r="V8" s="403"/>
      <c r="W8" s="403"/>
      <c r="X8" s="403"/>
      <c r="Y8" s="403"/>
      <c r="Z8" s="403"/>
      <c r="AA8" s="403"/>
    </row>
    <row r="9">
      <c r="A9" s="432" t="s">
        <v>9098</v>
      </c>
      <c r="B9" s="437">
        <v>0.05138888888888889</v>
      </c>
      <c r="C9" s="434" t="s">
        <v>9109</v>
      </c>
      <c r="D9" s="403"/>
      <c r="E9" s="403"/>
      <c r="F9" s="403"/>
      <c r="G9" s="435"/>
      <c r="H9" s="435"/>
      <c r="I9" s="435"/>
      <c r="J9" s="403"/>
      <c r="K9" s="403"/>
      <c r="L9" s="403"/>
      <c r="M9" s="403"/>
      <c r="N9" s="403"/>
      <c r="O9" s="403"/>
      <c r="P9" s="403"/>
      <c r="Q9" s="403"/>
      <c r="R9" s="403"/>
      <c r="S9" s="403"/>
      <c r="T9" s="403"/>
      <c r="U9" s="403"/>
      <c r="V9" s="403"/>
      <c r="W9" s="403"/>
      <c r="X9" s="403"/>
      <c r="Y9" s="403"/>
      <c r="Z9" s="403"/>
      <c r="AA9" s="403"/>
    </row>
    <row r="10">
      <c r="A10" s="432" t="s">
        <v>9088</v>
      </c>
      <c r="B10" s="433" t="s">
        <v>9110</v>
      </c>
      <c r="C10" s="434" t="s">
        <v>9111</v>
      </c>
      <c r="D10" s="403"/>
      <c r="E10" s="403"/>
      <c r="F10" s="403"/>
      <c r="G10" s="435"/>
      <c r="H10" s="435"/>
      <c r="I10" s="435"/>
      <c r="J10" s="403"/>
      <c r="K10" s="403"/>
      <c r="L10" s="403"/>
      <c r="M10" s="403"/>
      <c r="N10" s="403"/>
      <c r="O10" s="403"/>
      <c r="P10" s="403"/>
      <c r="Q10" s="403"/>
      <c r="R10" s="403"/>
      <c r="S10" s="403"/>
      <c r="T10" s="403"/>
      <c r="U10" s="403"/>
      <c r="V10" s="403"/>
      <c r="W10" s="403"/>
      <c r="X10" s="403"/>
      <c r="Y10" s="403"/>
      <c r="Z10" s="403"/>
      <c r="AA10" s="403"/>
    </row>
    <row r="11">
      <c r="A11" s="432" t="s">
        <v>9112</v>
      </c>
      <c r="B11" s="437">
        <v>0.2361111111111111</v>
      </c>
      <c r="C11" s="434" t="s">
        <v>9116</v>
      </c>
      <c r="D11" s="403"/>
      <c r="E11" s="403"/>
      <c r="F11" s="403"/>
      <c r="G11" s="435"/>
      <c r="H11" s="435"/>
      <c r="I11" s="435"/>
      <c r="J11" s="403"/>
      <c r="K11" s="403"/>
      <c r="L11" s="403"/>
      <c r="M11" s="403"/>
      <c r="N11" s="403"/>
      <c r="O11" s="403"/>
      <c r="P11" s="403"/>
      <c r="Q11" s="403"/>
      <c r="R11" s="403"/>
      <c r="S11" s="403"/>
      <c r="T11" s="403"/>
      <c r="U11" s="403"/>
      <c r="V11" s="403"/>
      <c r="W11" s="403"/>
      <c r="X11" s="403"/>
      <c r="Y11" s="403"/>
      <c r="Z11" s="403"/>
      <c r="AA11" s="403"/>
    </row>
    <row r="12">
      <c r="A12" s="432" t="s">
        <v>9112</v>
      </c>
      <c r="B12" s="437">
        <v>0.25763888888888886</v>
      </c>
      <c r="C12" s="434" t="s">
        <v>9117</v>
      </c>
      <c r="D12" s="403"/>
      <c r="E12" s="403"/>
      <c r="F12" s="403"/>
      <c r="G12" s="435"/>
      <c r="H12" s="435"/>
      <c r="I12" s="435"/>
      <c r="J12" s="403"/>
      <c r="K12" s="403"/>
      <c r="L12" s="403"/>
      <c r="M12" s="403"/>
      <c r="N12" s="403"/>
      <c r="O12" s="403"/>
      <c r="P12" s="403"/>
      <c r="Q12" s="403"/>
      <c r="R12" s="403"/>
      <c r="S12" s="403"/>
      <c r="T12" s="403"/>
      <c r="U12" s="403"/>
      <c r="V12" s="403"/>
      <c r="W12" s="403"/>
      <c r="X12" s="403"/>
      <c r="Y12" s="403"/>
      <c r="Z12" s="403"/>
      <c r="AA12" s="403"/>
    </row>
    <row r="13">
      <c r="A13" s="432" t="s">
        <v>9118</v>
      </c>
      <c r="B13" s="437">
        <v>0.6902777777777778</v>
      </c>
      <c r="C13" s="436" t="s">
        <v>9119</v>
      </c>
      <c r="D13" s="403"/>
      <c r="E13" s="403"/>
      <c r="F13" s="403"/>
      <c r="G13" s="435"/>
      <c r="H13" s="435"/>
      <c r="I13" s="435"/>
      <c r="J13" s="403"/>
      <c r="K13" s="403"/>
      <c r="L13" s="403"/>
      <c r="M13" s="403"/>
      <c r="N13" s="403"/>
      <c r="O13" s="403"/>
      <c r="P13" s="403"/>
      <c r="Q13" s="403"/>
      <c r="R13" s="403"/>
      <c r="S13" s="403"/>
      <c r="T13" s="403"/>
      <c r="U13" s="403"/>
      <c r="V13" s="403"/>
      <c r="W13" s="403"/>
      <c r="X13" s="403"/>
      <c r="Y13" s="403"/>
      <c r="Z13" s="403"/>
      <c r="AA13" s="403"/>
    </row>
    <row r="14">
      <c r="A14" s="429" t="s">
        <v>9121</v>
      </c>
      <c r="B14" s="440"/>
      <c r="C14" s="441"/>
      <c r="D14" s="403"/>
      <c r="E14" s="403"/>
      <c r="F14" s="403"/>
      <c r="G14" s="435"/>
      <c r="H14" s="435"/>
      <c r="I14" s="435"/>
      <c r="J14" s="403"/>
      <c r="K14" s="403"/>
      <c r="L14" s="403"/>
      <c r="M14" s="403"/>
      <c r="N14" s="403"/>
      <c r="O14" s="403"/>
      <c r="P14" s="403"/>
      <c r="Q14" s="403"/>
      <c r="R14" s="403"/>
      <c r="S14" s="403"/>
      <c r="T14" s="403"/>
      <c r="U14" s="403"/>
      <c r="V14" s="403"/>
      <c r="W14" s="403"/>
      <c r="X14" s="403"/>
      <c r="Y14" s="403"/>
      <c r="Z14" s="403"/>
      <c r="AA14" s="403"/>
    </row>
    <row r="15">
      <c r="A15" s="432" t="s">
        <v>9124</v>
      </c>
      <c r="B15" s="433">
        <v>33.08</v>
      </c>
      <c r="C15" s="436" t="s">
        <v>9126</v>
      </c>
      <c r="D15" s="403"/>
      <c r="E15" s="403"/>
      <c r="F15" s="403"/>
      <c r="G15" s="435"/>
      <c r="H15" s="435"/>
      <c r="I15" s="435"/>
      <c r="J15" s="403"/>
      <c r="K15" s="403"/>
      <c r="L15" s="403"/>
      <c r="M15" s="403"/>
      <c r="N15" s="403"/>
      <c r="O15" s="403"/>
      <c r="P15" s="403"/>
      <c r="Q15" s="403"/>
      <c r="R15" s="403"/>
      <c r="S15" s="403"/>
      <c r="T15" s="403"/>
      <c r="U15" s="403"/>
      <c r="V15" s="403"/>
      <c r="W15" s="403"/>
      <c r="X15" s="403"/>
      <c r="Y15" s="403"/>
      <c r="Z15" s="403"/>
      <c r="AA15" s="403"/>
    </row>
    <row r="16">
      <c r="A16" s="432" t="s">
        <v>9128</v>
      </c>
      <c r="B16" s="437">
        <v>0.008333333333333333</v>
      </c>
      <c r="C16" s="436" t="s">
        <v>9129</v>
      </c>
      <c r="D16" s="403"/>
      <c r="E16" s="403"/>
      <c r="F16" s="403"/>
      <c r="G16" s="435"/>
      <c r="H16" s="435"/>
      <c r="I16" s="435"/>
      <c r="J16" s="403"/>
      <c r="K16" s="403"/>
      <c r="L16" s="403"/>
      <c r="M16" s="403"/>
      <c r="N16" s="403"/>
      <c r="O16" s="403"/>
      <c r="P16" s="403"/>
      <c r="Q16" s="403"/>
      <c r="R16" s="403"/>
      <c r="S16" s="403"/>
      <c r="T16" s="403"/>
      <c r="U16" s="403"/>
      <c r="V16" s="403"/>
      <c r="W16" s="403"/>
      <c r="X16" s="403"/>
      <c r="Y16" s="403"/>
      <c r="Z16" s="403"/>
      <c r="AA16" s="403"/>
    </row>
    <row r="17">
      <c r="A17" s="432" t="s">
        <v>9131</v>
      </c>
      <c r="B17" s="437">
        <v>0.0020833333333333333</v>
      </c>
      <c r="C17" s="436" t="s">
        <v>9132</v>
      </c>
      <c r="D17" s="403"/>
      <c r="E17" s="403"/>
      <c r="F17" s="403"/>
      <c r="G17" s="435"/>
      <c r="H17" s="435"/>
      <c r="I17" s="435"/>
      <c r="J17" s="403"/>
      <c r="K17" s="403"/>
      <c r="L17" s="403"/>
      <c r="M17" s="403"/>
      <c r="N17" s="403"/>
      <c r="O17" s="403"/>
      <c r="P17" s="403"/>
      <c r="Q17" s="403"/>
      <c r="R17" s="403"/>
      <c r="S17" s="403"/>
      <c r="T17" s="403"/>
      <c r="U17" s="403"/>
      <c r="V17" s="403"/>
      <c r="W17" s="403"/>
      <c r="X17" s="403"/>
      <c r="Y17" s="403"/>
      <c r="Z17" s="403"/>
      <c r="AA17" s="403"/>
    </row>
    <row r="18">
      <c r="A18" s="432" t="s">
        <v>9134</v>
      </c>
      <c r="B18" s="433"/>
      <c r="C18" s="436" t="s">
        <v>9136</v>
      </c>
      <c r="D18" s="403"/>
      <c r="E18" s="403"/>
      <c r="F18" s="403"/>
      <c r="G18" s="435"/>
      <c r="H18" s="435"/>
      <c r="I18" s="435"/>
      <c r="J18" s="403"/>
      <c r="K18" s="403"/>
      <c r="L18" s="403"/>
      <c r="M18" s="403"/>
      <c r="N18" s="403"/>
      <c r="O18" s="403"/>
      <c r="P18" s="403"/>
      <c r="Q18" s="403"/>
      <c r="R18" s="403"/>
      <c r="S18" s="403"/>
      <c r="T18" s="403"/>
      <c r="U18" s="403"/>
      <c r="V18" s="403"/>
      <c r="W18" s="403"/>
      <c r="X18" s="403"/>
      <c r="Y18" s="403"/>
      <c r="Z18" s="403"/>
      <c r="AA18" s="403"/>
    </row>
    <row r="19">
      <c r="A19" s="432" t="s">
        <v>9138</v>
      </c>
      <c r="B19" s="433"/>
      <c r="C19" s="436" t="s">
        <v>9139</v>
      </c>
      <c r="D19" s="403"/>
      <c r="E19" s="403"/>
      <c r="F19" s="403"/>
      <c r="G19" s="435"/>
      <c r="H19" s="435"/>
      <c r="I19" s="435"/>
      <c r="J19" s="403"/>
      <c r="K19" s="403"/>
      <c r="L19" s="403"/>
      <c r="M19" s="403"/>
      <c r="N19" s="403"/>
      <c r="O19" s="403"/>
      <c r="P19" s="403"/>
      <c r="Q19" s="403"/>
      <c r="R19" s="403"/>
      <c r="S19" s="403"/>
      <c r="T19" s="403"/>
      <c r="U19" s="403"/>
      <c r="V19" s="403"/>
      <c r="W19" s="403"/>
      <c r="X19" s="403"/>
      <c r="Y19" s="403"/>
      <c r="Z19" s="403"/>
      <c r="AA19" s="403"/>
    </row>
    <row r="20" ht="78.0" customHeight="1">
      <c r="A20" s="403"/>
      <c r="B20" s="407"/>
      <c r="C20" s="403"/>
      <c r="D20" s="403"/>
      <c r="E20" s="403"/>
      <c r="F20" s="403"/>
      <c r="G20" s="435"/>
      <c r="H20" s="435"/>
      <c r="I20" s="435"/>
      <c r="J20" s="403"/>
      <c r="K20" s="403"/>
      <c r="L20" s="403"/>
      <c r="M20" s="403"/>
      <c r="N20" s="403"/>
      <c r="O20" s="403"/>
      <c r="P20" s="403"/>
      <c r="Q20" s="403"/>
      <c r="R20" s="403"/>
      <c r="S20" s="403"/>
      <c r="T20" s="403"/>
      <c r="U20" s="403"/>
      <c r="V20" s="403"/>
      <c r="W20" s="403"/>
      <c r="X20" s="403"/>
      <c r="Y20" s="403"/>
      <c r="Z20" s="403"/>
      <c r="AA20" s="403"/>
    </row>
    <row r="21" ht="41.25" customHeight="1">
      <c r="A21" s="423" t="s">
        <v>665</v>
      </c>
      <c r="D21" s="424" t="s">
        <v>9073</v>
      </c>
      <c r="E21" s="403"/>
      <c r="F21" s="403"/>
      <c r="G21" s="435"/>
      <c r="H21" s="435"/>
      <c r="I21" s="435"/>
      <c r="J21" s="403"/>
      <c r="K21" s="403"/>
      <c r="L21" s="403"/>
      <c r="M21" s="403"/>
      <c r="N21" s="403"/>
      <c r="O21" s="403"/>
      <c r="P21" s="403"/>
      <c r="Q21" s="403"/>
      <c r="R21" s="403"/>
      <c r="S21" s="403"/>
      <c r="T21" s="403"/>
      <c r="U21" s="403"/>
      <c r="V21" s="403"/>
      <c r="W21" s="403"/>
      <c r="X21" s="403"/>
      <c r="Y21" s="403"/>
      <c r="Z21" s="403"/>
      <c r="AA21" s="403"/>
    </row>
    <row r="22" ht="21.0" customHeight="1">
      <c r="A22" s="427" t="s">
        <v>9142</v>
      </c>
      <c r="D22" s="203" t="s">
        <v>15</v>
      </c>
      <c r="E22" s="403"/>
      <c r="F22" s="403"/>
      <c r="G22" s="435"/>
      <c r="H22" s="435"/>
      <c r="I22" s="435"/>
      <c r="J22" s="403"/>
      <c r="K22" s="403"/>
      <c r="L22" s="403"/>
      <c r="M22" s="403"/>
      <c r="N22" s="403"/>
      <c r="O22" s="403"/>
      <c r="P22" s="403"/>
      <c r="Q22" s="403"/>
      <c r="R22" s="403"/>
      <c r="S22" s="403"/>
      <c r="T22" s="403"/>
      <c r="U22" s="403"/>
      <c r="V22" s="403"/>
      <c r="W22" s="403"/>
      <c r="X22" s="403"/>
      <c r="Y22" s="403"/>
      <c r="Z22" s="403"/>
      <c r="AA22" s="403"/>
    </row>
    <row r="23" ht="27.0" customHeight="1">
      <c r="A23" s="428" t="s">
        <v>9144</v>
      </c>
      <c r="D23" s="403"/>
      <c r="E23" s="403"/>
      <c r="F23" s="403"/>
      <c r="G23" s="435"/>
      <c r="H23" s="435"/>
      <c r="I23" s="435"/>
      <c r="J23" s="403"/>
      <c r="K23" s="403"/>
      <c r="L23" s="403"/>
      <c r="M23" s="403"/>
      <c r="N23" s="403"/>
      <c r="O23" s="403"/>
      <c r="P23" s="403"/>
      <c r="Q23" s="403"/>
      <c r="R23" s="403"/>
      <c r="S23" s="403"/>
      <c r="T23" s="403"/>
      <c r="U23" s="403"/>
      <c r="V23" s="403"/>
      <c r="W23" s="403"/>
      <c r="X23" s="403"/>
      <c r="Y23" s="403"/>
      <c r="Z23" s="403"/>
      <c r="AA23" s="403"/>
    </row>
    <row r="24">
      <c r="A24" s="429" t="s">
        <v>9083</v>
      </c>
      <c r="B24" s="430" t="s">
        <v>9084</v>
      </c>
      <c r="C24" s="431" t="s">
        <v>9085</v>
      </c>
      <c r="D24" s="403"/>
      <c r="E24" s="403"/>
      <c r="F24" s="403"/>
      <c r="G24" s="435"/>
      <c r="H24" s="435"/>
      <c r="I24" s="435"/>
      <c r="J24" s="403"/>
      <c r="K24" s="403"/>
      <c r="L24" s="403"/>
      <c r="M24" s="403"/>
      <c r="N24" s="403"/>
      <c r="O24" s="403"/>
      <c r="P24" s="403"/>
      <c r="Q24" s="403"/>
      <c r="R24" s="403"/>
      <c r="S24" s="403"/>
      <c r="T24" s="403"/>
      <c r="U24" s="403"/>
      <c r="V24" s="403"/>
      <c r="W24" s="403"/>
      <c r="X24" s="403"/>
      <c r="Y24" s="403"/>
      <c r="Z24" s="403"/>
      <c r="AA24" s="403"/>
    </row>
    <row r="25">
      <c r="A25" s="432" t="s">
        <v>9147</v>
      </c>
      <c r="B25" s="442" t="s">
        <v>9148</v>
      </c>
      <c r="C25" s="436" t="s">
        <v>9150</v>
      </c>
      <c r="D25" s="403"/>
      <c r="E25" s="403"/>
      <c r="F25" s="403"/>
      <c r="G25" s="435"/>
      <c r="H25" s="435"/>
      <c r="I25" s="435"/>
      <c r="J25" s="403"/>
      <c r="K25" s="403"/>
      <c r="L25" s="403"/>
      <c r="M25" s="403"/>
      <c r="N25" s="403"/>
      <c r="O25" s="403"/>
      <c r="P25" s="403"/>
      <c r="Q25" s="403"/>
      <c r="R25" s="403"/>
      <c r="S25" s="403"/>
      <c r="T25" s="403"/>
      <c r="U25" s="403"/>
      <c r="V25" s="403"/>
      <c r="W25" s="403"/>
      <c r="X25" s="403"/>
      <c r="Y25" s="403"/>
      <c r="Z25" s="403"/>
      <c r="AA25" s="403"/>
    </row>
    <row r="26">
      <c r="A26" s="432" t="s">
        <v>9151</v>
      </c>
      <c r="B26" s="442" t="s">
        <v>9154</v>
      </c>
      <c r="C26" s="436" t="s">
        <v>9155</v>
      </c>
      <c r="D26" s="403"/>
      <c r="E26" s="403"/>
      <c r="F26" s="403"/>
      <c r="G26" s="435"/>
      <c r="H26" s="435"/>
      <c r="I26" s="435"/>
      <c r="J26" s="403"/>
      <c r="K26" s="403"/>
      <c r="L26" s="403"/>
      <c r="M26" s="403"/>
      <c r="N26" s="403"/>
      <c r="O26" s="403"/>
      <c r="P26" s="403"/>
      <c r="Q26" s="403"/>
      <c r="R26" s="403"/>
      <c r="S26" s="403"/>
      <c r="T26" s="403"/>
      <c r="U26" s="403"/>
      <c r="V26" s="403"/>
      <c r="W26" s="403"/>
      <c r="X26" s="403"/>
      <c r="Y26" s="403"/>
      <c r="Z26" s="403"/>
      <c r="AA26" s="403"/>
    </row>
    <row r="27">
      <c r="A27" s="432" t="s">
        <v>9147</v>
      </c>
      <c r="B27" s="442">
        <v>8.56</v>
      </c>
      <c r="C27" s="436" t="s">
        <v>9157</v>
      </c>
      <c r="D27" s="403"/>
      <c r="E27" s="403"/>
      <c r="F27" s="403"/>
      <c r="G27" s="403"/>
      <c r="H27" s="403"/>
      <c r="I27" s="403"/>
      <c r="J27" s="403"/>
      <c r="K27" s="403"/>
      <c r="L27" s="403"/>
      <c r="M27" s="403"/>
      <c r="N27" s="403"/>
      <c r="O27" s="403"/>
      <c r="P27" s="403"/>
      <c r="Q27" s="403"/>
      <c r="R27" s="403"/>
      <c r="S27" s="403"/>
      <c r="T27" s="403"/>
      <c r="U27" s="403"/>
      <c r="V27" s="403"/>
      <c r="W27" s="403"/>
      <c r="X27" s="403"/>
      <c r="Y27" s="403"/>
      <c r="Z27" s="403"/>
      <c r="AA27" s="403"/>
    </row>
    <row r="28">
      <c r="A28" s="432" t="s">
        <v>9158</v>
      </c>
      <c r="B28" s="442" t="s">
        <v>9160</v>
      </c>
      <c r="C28" s="434" t="s">
        <v>9161</v>
      </c>
      <c r="D28" s="403"/>
      <c r="E28" s="403"/>
      <c r="F28" s="403"/>
      <c r="G28" s="403"/>
      <c r="H28" s="403"/>
      <c r="I28" s="403"/>
      <c r="J28" s="403"/>
      <c r="K28" s="403"/>
      <c r="L28" s="403"/>
      <c r="M28" s="403"/>
      <c r="N28" s="403"/>
      <c r="O28" s="403"/>
      <c r="P28" s="403"/>
      <c r="Q28" s="403"/>
      <c r="R28" s="403"/>
      <c r="S28" s="403"/>
      <c r="T28" s="403"/>
      <c r="U28" s="403"/>
      <c r="V28" s="403"/>
      <c r="W28" s="403"/>
      <c r="X28" s="403"/>
      <c r="Y28" s="403"/>
      <c r="Z28" s="403"/>
      <c r="AA28" s="403"/>
    </row>
    <row r="29">
      <c r="A29" s="432" t="s">
        <v>9163</v>
      </c>
      <c r="B29" s="442" t="s">
        <v>9164</v>
      </c>
      <c r="C29" s="436" t="s">
        <v>9165</v>
      </c>
      <c r="D29" s="403"/>
      <c r="E29" s="403"/>
      <c r="F29" s="403"/>
      <c r="G29" s="403"/>
      <c r="H29" s="403"/>
      <c r="I29" s="403"/>
      <c r="J29" s="403"/>
      <c r="K29" s="403"/>
      <c r="L29" s="403"/>
      <c r="M29" s="403"/>
      <c r="N29" s="403"/>
      <c r="O29" s="403"/>
      <c r="P29" s="403"/>
      <c r="Q29" s="403"/>
      <c r="R29" s="403"/>
      <c r="S29" s="403"/>
      <c r="T29" s="403"/>
      <c r="U29" s="403"/>
      <c r="V29" s="403"/>
      <c r="W29" s="403"/>
      <c r="X29" s="403"/>
      <c r="Y29" s="403"/>
      <c r="Z29" s="403"/>
      <c r="AA29" s="403"/>
    </row>
    <row r="30">
      <c r="A30" s="432" t="s">
        <v>9163</v>
      </c>
      <c r="B30" s="442" t="s">
        <v>9169</v>
      </c>
      <c r="C30" s="436" t="s">
        <v>9170</v>
      </c>
      <c r="D30" s="403"/>
      <c r="E30" s="403"/>
      <c r="F30" s="403"/>
      <c r="G30" s="403"/>
      <c r="H30" s="403"/>
      <c r="I30" s="403"/>
      <c r="J30" s="403"/>
      <c r="K30" s="403"/>
      <c r="L30" s="403"/>
      <c r="M30" s="403"/>
      <c r="N30" s="403"/>
      <c r="O30" s="403"/>
      <c r="P30" s="403"/>
      <c r="Q30" s="403"/>
      <c r="R30" s="403"/>
      <c r="S30" s="403"/>
      <c r="T30" s="403"/>
      <c r="U30" s="403"/>
      <c r="V30" s="403"/>
      <c r="W30" s="403"/>
      <c r="X30" s="403"/>
      <c r="Y30" s="403"/>
      <c r="Z30" s="403"/>
      <c r="AA30" s="403"/>
    </row>
    <row r="31">
      <c r="A31" s="436"/>
      <c r="B31" s="442"/>
      <c r="C31" s="436"/>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row>
    <row r="32">
      <c r="A32" s="432" t="s">
        <v>9158</v>
      </c>
      <c r="B32" s="442" t="s">
        <v>9172</v>
      </c>
      <c r="C32" s="434" t="s">
        <v>9174</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row>
    <row r="33">
      <c r="A33" s="436"/>
      <c r="B33" s="442"/>
      <c r="C33" s="436"/>
      <c r="D33" s="403"/>
      <c r="E33" s="403"/>
      <c r="F33" s="403"/>
      <c r="G33" s="403"/>
      <c r="H33" s="403"/>
      <c r="I33" s="403"/>
      <c r="J33" s="403"/>
      <c r="K33" s="403"/>
      <c r="L33" s="403"/>
      <c r="M33" s="403"/>
      <c r="N33" s="403"/>
      <c r="O33" s="403"/>
      <c r="P33" s="403"/>
      <c r="Q33" s="403"/>
      <c r="R33" s="403"/>
      <c r="S33" s="403"/>
      <c r="T33" s="403"/>
      <c r="U33" s="403"/>
      <c r="V33" s="403"/>
      <c r="W33" s="403"/>
      <c r="X33" s="403"/>
      <c r="Y33" s="403"/>
      <c r="Z33" s="403"/>
      <c r="AA33" s="403"/>
    </row>
    <row r="34">
      <c r="A34" s="432" t="s">
        <v>9175</v>
      </c>
      <c r="B34" s="442" t="s">
        <v>9178</v>
      </c>
      <c r="C34" s="436"/>
      <c r="D34" s="403"/>
      <c r="E34" s="403"/>
      <c r="F34" s="403"/>
      <c r="G34" s="403"/>
      <c r="H34" s="403"/>
      <c r="I34" s="403"/>
      <c r="J34" s="403"/>
      <c r="K34" s="403"/>
      <c r="L34" s="403"/>
      <c r="M34" s="403"/>
      <c r="N34" s="403"/>
      <c r="O34" s="403"/>
      <c r="P34" s="403"/>
      <c r="Q34" s="403"/>
      <c r="R34" s="403"/>
      <c r="S34" s="403"/>
      <c r="T34" s="403"/>
      <c r="U34" s="403"/>
      <c r="V34" s="403"/>
      <c r="W34" s="403"/>
      <c r="X34" s="403"/>
      <c r="Y34" s="403"/>
      <c r="Z34" s="403"/>
      <c r="AA34" s="403"/>
    </row>
    <row r="35">
      <c r="A35" s="432" t="s">
        <v>9179</v>
      </c>
      <c r="B35" s="442" t="s">
        <v>9182</v>
      </c>
      <c r="C35" s="436"/>
      <c r="D35" s="403"/>
      <c r="E35" s="403"/>
      <c r="F35" s="403"/>
      <c r="G35" s="403"/>
      <c r="H35" s="403"/>
      <c r="I35" s="403"/>
      <c r="J35" s="403"/>
      <c r="K35" s="403"/>
      <c r="L35" s="403"/>
      <c r="M35" s="403"/>
      <c r="N35" s="403"/>
      <c r="O35" s="403"/>
      <c r="P35" s="403"/>
      <c r="Q35" s="403"/>
      <c r="R35" s="403"/>
      <c r="S35" s="403"/>
      <c r="T35" s="403"/>
      <c r="U35" s="403"/>
      <c r="V35" s="403"/>
      <c r="W35" s="403"/>
      <c r="X35" s="403"/>
      <c r="Y35" s="403"/>
      <c r="Z35" s="403"/>
      <c r="AA35" s="403"/>
    </row>
    <row r="36" ht="66.0" customHeight="1">
      <c r="A36" s="403"/>
      <c r="B36" s="415"/>
      <c r="C36" s="403"/>
      <c r="D36" s="403"/>
      <c r="E36" s="403"/>
      <c r="F36" s="403"/>
      <c r="G36" s="403"/>
      <c r="H36" s="403"/>
      <c r="I36" s="403"/>
      <c r="J36" s="403"/>
      <c r="K36" s="403"/>
      <c r="L36" s="403"/>
      <c r="M36" s="403"/>
      <c r="N36" s="403"/>
      <c r="O36" s="403"/>
      <c r="P36" s="403"/>
      <c r="Q36" s="403"/>
      <c r="R36" s="403"/>
      <c r="S36" s="403"/>
      <c r="T36" s="403"/>
      <c r="U36" s="403"/>
      <c r="V36" s="403"/>
      <c r="W36" s="403"/>
      <c r="X36" s="403"/>
      <c r="Y36" s="403"/>
      <c r="Z36" s="403"/>
      <c r="AA36" s="403"/>
    </row>
    <row r="37" ht="39.75" customHeight="1">
      <c r="A37" s="423" t="s">
        <v>575</v>
      </c>
      <c r="D37" s="424" t="s">
        <v>9073</v>
      </c>
      <c r="E37" s="403"/>
      <c r="F37" s="403"/>
      <c r="G37" s="403"/>
      <c r="H37" s="403"/>
      <c r="I37" s="403"/>
      <c r="J37" s="403"/>
      <c r="K37" s="403"/>
      <c r="L37" s="403"/>
      <c r="M37" s="403"/>
      <c r="N37" s="403"/>
      <c r="O37" s="403"/>
      <c r="P37" s="403"/>
      <c r="Q37" s="403"/>
      <c r="R37" s="403"/>
      <c r="S37" s="403"/>
      <c r="T37" s="403"/>
      <c r="U37" s="403"/>
      <c r="V37" s="403"/>
      <c r="W37" s="403"/>
      <c r="X37" s="403"/>
      <c r="Y37" s="403"/>
      <c r="Z37" s="403"/>
      <c r="AA37" s="403"/>
    </row>
    <row r="38">
      <c r="A38" s="443" t="s">
        <v>9184</v>
      </c>
      <c r="D38" s="203" t="s">
        <v>30</v>
      </c>
      <c r="E38" s="403"/>
      <c r="F38" s="403"/>
      <c r="G38" s="403"/>
      <c r="H38" s="403"/>
      <c r="I38" s="403"/>
      <c r="J38" s="403"/>
      <c r="K38" s="403"/>
      <c r="L38" s="403"/>
      <c r="M38" s="403"/>
      <c r="N38" s="403"/>
      <c r="O38" s="403"/>
      <c r="P38" s="403"/>
      <c r="Q38" s="403"/>
      <c r="R38" s="403"/>
      <c r="S38" s="403"/>
      <c r="T38" s="403"/>
      <c r="U38" s="403"/>
      <c r="V38" s="403"/>
      <c r="W38" s="403"/>
      <c r="X38" s="403"/>
      <c r="Y38" s="403"/>
      <c r="Z38" s="403"/>
      <c r="AA38" s="403"/>
    </row>
    <row r="39">
      <c r="A39" s="444" t="s">
        <v>9187</v>
      </c>
      <c r="D39" s="403"/>
      <c r="E39" s="403"/>
      <c r="F39" s="403"/>
      <c r="G39" s="403"/>
      <c r="H39" s="403"/>
      <c r="I39" s="403"/>
      <c r="J39" s="403"/>
      <c r="K39" s="403"/>
      <c r="L39" s="403"/>
      <c r="M39" s="403"/>
      <c r="N39" s="403"/>
      <c r="O39" s="403"/>
      <c r="P39" s="403"/>
      <c r="Q39" s="403"/>
      <c r="R39" s="403"/>
      <c r="S39" s="403"/>
      <c r="T39" s="403"/>
      <c r="U39" s="403"/>
      <c r="V39" s="403"/>
      <c r="W39" s="403"/>
      <c r="X39" s="403"/>
      <c r="Y39" s="403"/>
      <c r="Z39" s="403"/>
      <c r="AA39" s="403"/>
    </row>
    <row r="40">
      <c r="A40" s="429" t="s">
        <v>9083</v>
      </c>
      <c r="B40" s="430" t="s">
        <v>9084</v>
      </c>
      <c r="C40" s="431" t="s">
        <v>9085</v>
      </c>
      <c r="D40" s="403"/>
      <c r="E40" s="403"/>
      <c r="F40" s="403"/>
      <c r="G40" s="403"/>
      <c r="H40" s="403"/>
      <c r="I40" s="403"/>
      <c r="J40" s="403"/>
      <c r="K40" s="403"/>
      <c r="L40" s="403"/>
      <c r="M40" s="403"/>
      <c r="N40" s="403"/>
      <c r="O40" s="403"/>
      <c r="P40" s="403"/>
      <c r="Q40" s="403"/>
      <c r="R40" s="403"/>
      <c r="S40" s="403"/>
      <c r="T40" s="403"/>
      <c r="U40" s="403"/>
      <c r="V40" s="403"/>
      <c r="W40" s="403"/>
      <c r="X40" s="403"/>
      <c r="Y40" s="403"/>
      <c r="Z40" s="403"/>
      <c r="AA40" s="403"/>
    </row>
    <row r="41">
      <c r="A41" s="432" t="s">
        <v>9188</v>
      </c>
      <c r="B41" s="433"/>
      <c r="C41" s="426" t="s">
        <v>9189</v>
      </c>
      <c r="D41" s="403"/>
      <c r="E41" s="403"/>
      <c r="F41" s="403"/>
      <c r="G41" s="403"/>
      <c r="H41" s="403"/>
      <c r="I41" s="403"/>
      <c r="J41" s="403"/>
      <c r="K41" s="403"/>
      <c r="L41" s="403"/>
      <c r="M41" s="403"/>
      <c r="N41" s="403"/>
      <c r="O41" s="403"/>
      <c r="P41" s="403"/>
      <c r="Q41" s="403"/>
      <c r="R41" s="403"/>
      <c r="S41" s="403"/>
      <c r="T41" s="403"/>
      <c r="U41" s="403"/>
      <c r="V41" s="403"/>
      <c r="W41" s="403"/>
      <c r="X41" s="403"/>
      <c r="Y41" s="403"/>
      <c r="Z41" s="403"/>
      <c r="AA41" s="403"/>
    </row>
    <row r="42">
      <c r="A42" s="432" t="s">
        <v>9190</v>
      </c>
      <c r="B42" s="445">
        <v>2.0</v>
      </c>
      <c r="C42" s="426" t="s">
        <v>9191</v>
      </c>
      <c r="D42" s="403"/>
      <c r="E42" s="403"/>
      <c r="F42" s="403"/>
      <c r="G42" s="403"/>
      <c r="H42" s="403"/>
      <c r="I42" s="403"/>
      <c r="J42" s="403"/>
      <c r="K42" s="403"/>
      <c r="L42" s="403"/>
      <c r="M42" s="403"/>
      <c r="N42" s="403"/>
      <c r="O42" s="403"/>
      <c r="P42" s="403"/>
      <c r="Q42" s="403"/>
      <c r="R42" s="403"/>
      <c r="S42" s="403"/>
      <c r="T42" s="403"/>
      <c r="U42" s="403"/>
      <c r="V42" s="403"/>
      <c r="W42" s="403"/>
      <c r="X42" s="403"/>
      <c r="Y42" s="403"/>
      <c r="Z42" s="403"/>
      <c r="AA42" s="403"/>
    </row>
    <row r="43">
      <c r="A43" s="436"/>
      <c r="B43" s="433"/>
      <c r="C43" s="426" t="s">
        <v>9192</v>
      </c>
      <c r="D43" s="403"/>
      <c r="E43" s="403"/>
      <c r="F43" s="403"/>
      <c r="G43" s="403"/>
      <c r="H43" s="403"/>
      <c r="I43" s="403"/>
      <c r="J43" s="403"/>
      <c r="K43" s="403"/>
      <c r="L43" s="403"/>
      <c r="M43" s="403"/>
      <c r="N43" s="403"/>
      <c r="O43" s="403"/>
      <c r="P43" s="403"/>
      <c r="Q43" s="403"/>
      <c r="R43" s="403"/>
      <c r="S43" s="403"/>
      <c r="T43" s="403"/>
      <c r="U43" s="403"/>
      <c r="V43" s="403"/>
      <c r="W43" s="403"/>
      <c r="X43" s="403"/>
      <c r="Y43" s="403"/>
      <c r="Z43" s="403"/>
      <c r="AA43" s="403"/>
    </row>
    <row r="44">
      <c r="A44" s="432" t="s">
        <v>9193</v>
      </c>
      <c r="B44" s="437">
        <v>4.22</v>
      </c>
      <c r="C44" s="426" t="s">
        <v>9194</v>
      </c>
      <c r="D44" s="403"/>
      <c r="E44" s="403"/>
      <c r="F44" s="403"/>
      <c r="G44" s="403"/>
      <c r="H44" s="403"/>
      <c r="I44" s="403"/>
      <c r="J44" s="403"/>
      <c r="K44" s="403"/>
      <c r="L44" s="403"/>
      <c r="M44" s="403"/>
      <c r="N44" s="403"/>
      <c r="O44" s="403"/>
      <c r="P44" s="403"/>
      <c r="Q44" s="403"/>
      <c r="R44" s="403"/>
      <c r="S44" s="403"/>
      <c r="T44" s="403"/>
      <c r="U44" s="403"/>
      <c r="V44" s="403"/>
      <c r="W44" s="403"/>
      <c r="X44" s="403"/>
      <c r="Y44" s="403"/>
      <c r="Z44" s="403"/>
      <c r="AA44" s="403"/>
    </row>
    <row r="45">
      <c r="A45" s="436"/>
      <c r="B45" s="437">
        <v>11.26</v>
      </c>
      <c r="C45" s="426" t="s">
        <v>9195</v>
      </c>
      <c r="D45" s="403"/>
      <c r="E45" s="403"/>
      <c r="F45" s="403"/>
      <c r="G45" s="403"/>
      <c r="H45" s="403"/>
      <c r="I45" s="403"/>
      <c r="J45" s="403"/>
      <c r="K45" s="403"/>
      <c r="L45" s="403"/>
      <c r="M45" s="403"/>
      <c r="N45" s="403"/>
      <c r="O45" s="403"/>
      <c r="P45" s="403"/>
      <c r="Q45" s="403"/>
      <c r="R45" s="403"/>
      <c r="S45" s="403"/>
      <c r="T45" s="403"/>
      <c r="U45" s="403"/>
      <c r="V45" s="403"/>
      <c r="W45" s="403"/>
      <c r="X45" s="403"/>
      <c r="Y45" s="403"/>
      <c r="Z45" s="403"/>
      <c r="AA45" s="403"/>
    </row>
    <row r="46">
      <c r="A46" s="432" t="s">
        <v>9196</v>
      </c>
      <c r="B46" s="433" t="s">
        <v>9197</v>
      </c>
      <c r="C46" s="426"/>
      <c r="D46" s="403"/>
      <c r="E46" s="403"/>
      <c r="F46" s="403"/>
      <c r="G46" s="403"/>
      <c r="H46" s="403"/>
      <c r="I46" s="403"/>
      <c r="J46" s="403"/>
      <c r="K46" s="403"/>
      <c r="L46" s="403"/>
      <c r="M46" s="403"/>
      <c r="N46" s="403"/>
      <c r="O46" s="403"/>
      <c r="P46" s="403"/>
      <c r="Q46" s="403"/>
      <c r="R46" s="403"/>
      <c r="S46" s="403"/>
      <c r="T46" s="403"/>
      <c r="U46" s="403"/>
      <c r="V46" s="403"/>
      <c r="W46" s="403"/>
      <c r="X46" s="403"/>
      <c r="Y46" s="403"/>
      <c r="Z46" s="403"/>
      <c r="AA46" s="403"/>
    </row>
    <row r="47">
      <c r="A47" s="432" t="s">
        <v>9198</v>
      </c>
      <c r="B47" s="437">
        <v>14.2</v>
      </c>
      <c r="C47" s="426" t="s">
        <v>9199</v>
      </c>
      <c r="D47" s="403"/>
      <c r="E47" s="403"/>
      <c r="F47" s="403"/>
      <c r="G47" s="403"/>
      <c r="H47" s="403"/>
      <c r="I47" s="403"/>
      <c r="J47" s="403"/>
      <c r="K47" s="403"/>
      <c r="L47" s="403"/>
      <c r="M47" s="403"/>
      <c r="N47" s="403"/>
      <c r="O47" s="403"/>
      <c r="P47" s="403"/>
      <c r="Q47" s="403"/>
      <c r="R47" s="403"/>
      <c r="S47" s="403"/>
      <c r="T47" s="403"/>
      <c r="U47" s="403"/>
      <c r="V47" s="403"/>
      <c r="W47" s="403"/>
      <c r="X47" s="403"/>
      <c r="Y47" s="403"/>
      <c r="Z47" s="403"/>
      <c r="AA47" s="403"/>
    </row>
    <row r="48">
      <c r="A48" s="436"/>
      <c r="B48" s="446">
        <v>16.4</v>
      </c>
      <c r="C48" s="426" t="s">
        <v>9200</v>
      </c>
      <c r="D48" s="403"/>
      <c r="E48" s="403"/>
      <c r="F48" s="403"/>
      <c r="G48" s="403"/>
      <c r="H48" s="403"/>
      <c r="I48" s="403"/>
      <c r="J48" s="403"/>
      <c r="K48" s="403"/>
      <c r="L48" s="403"/>
      <c r="M48" s="403"/>
      <c r="N48" s="403"/>
      <c r="O48" s="403"/>
      <c r="P48" s="403"/>
      <c r="Q48" s="403"/>
      <c r="R48" s="403"/>
      <c r="S48" s="403"/>
      <c r="T48" s="403"/>
      <c r="U48" s="403"/>
      <c r="V48" s="403"/>
      <c r="W48" s="403"/>
      <c r="X48" s="403"/>
      <c r="Y48" s="403"/>
      <c r="Z48" s="403"/>
      <c r="AA48" s="403"/>
    </row>
    <row r="49">
      <c r="A49" s="432" t="s">
        <v>9201</v>
      </c>
      <c r="B49" s="437">
        <v>44.26</v>
      </c>
      <c r="C49" s="426" t="s">
        <v>9204</v>
      </c>
      <c r="D49" s="403"/>
      <c r="E49" s="403"/>
      <c r="F49" s="403"/>
      <c r="G49" s="403"/>
      <c r="H49" s="403"/>
      <c r="I49" s="403"/>
      <c r="J49" s="403"/>
      <c r="K49" s="403"/>
      <c r="L49" s="403"/>
      <c r="M49" s="403"/>
      <c r="N49" s="403"/>
      <c r="O49" s="403"/>
      <c r="P49" s="403"/>
      <c r="Q49" s="403"/>
      <c r="R49" s="403"/>
      <c r="S49" s="403"/>
      <c r="T49" s="403"/>
      <c r="U49" s="403"/>
      <c r="V49" s="403"/>
      <c r="W49" s="403"/>
      <c r="X49" s="403"/>
      <c r="Y49" s="403"/>
      <c r="Z49" s="403"/>
      <c r="AA49" s="403"/>
    </row>
    <row r="50">
      <c r="A50" s="432" t="s">
        <v>9206</v>
      </c>
      <c r="B50" s="433">
        <v>14.12</v>
      </c>
      <c r="C50" s="426"/>
      <c r="D50" s="403"/>
      <c r="E50" s="403"/>
      <c r="F50" s="403"/>
      <c r="G50" s="403"/>
      <c r="H50" s="403"/>
      <c r="I50" s="403"/>
      <c r="J50" s="403"/>
      <c r="K50" s="403"/>
      <c r="L50" s="403"/>
      <c r="M50" s="403"/>
      <c r="N50" s="403"/>
      <c r="O50" s="403"/>
      <c r="P50" s="403"/>
      <c r="Q50" s="403"/>
      <c r="R50" s="403"/>
      <c r="S50" s="403"/>
      <c r="T50" s="403"/>
      <c r="U50" s="403"/>
      <c r="V50" s="403"/>
      <c r="W50" s="403"/>
      <c r="X50" s="403"/>
      <c r="Y50" s="403"/>
      <c r="Z50" s="403"/>
      <c r="AA50" s="403"/>
    </row>
    <row r="51" ht="57.0" customHeight="1">
      <c r="A51" s="432"/>
      <c r="B51" s="433"/>
      <c r="C51" s="436"/>
      <c r="D51" s="403"/>
      <c r="E51" s="403"/>
      <c r="F51" s="403"/>
      <c r="G51" s="403"/>
      <c r="H51" s="403"/>
      <c r="I51" s="403"/>
      <c r="J51" s="403"/>
      <c r="K51" s="403"/>
      <c r="L51" s="403"/>
      <c r="M51" s="403"/>
      <c r="N51" s="403"/>
      <c r="O51" s="403"/>
      <c r="P51" s="403"/>
      <c r="Q51" s="403"/>
      <c r="R51" s="403"/>
      <c r="S51" s="403"/>
      <c r="T51" s="403"/>
      <c r="U51" s="403"/>
      <c r="V51" s="403"/>
      <c r="W51" s="403"/>
      <c r="X51" s="403"/>
      <c r="Y51" s="403"/>
      <c r="Z51" s="403"/>
      <c r="AA51" s="403"/>
    </row>
    <row r="52" ht="33.0" customHeight="1">
      <c r="A52" s="423" t="s">
        <v>9209</v>
      </c>
      <c r="D52" s="424" t="s">
        <v>9073</v>
      </c>
      <c r="E52" s="403"/>
      <c r="F52" s="403"/>
      <c r="G52" s="403"/>
      <c r="H52" s="403"/>
      <c r="I52" s="403"/>
      <c r="J52" s="403"/>
      <c r="K52" s="403"/>
      <c r="L52" s="403"/>
      <c r="M52" s="403"/>
      <c r="N52" s="403"/>
      <c r="O52" s="403"/>
      <c r="P52" s="403"/>
      <c r="Q52" s="403"/>
      <c r="R52" s="403"/>
      <c r="S52" s="403"/>
      <c r="T52" s="403"/>
      <c r="U52" s="403"/>
      <c r="V52" s="403"/>
      <c r="W52" s="403"/>
      <c r="X52" s="403"/>
      <c r="Y52" s="403"/>
      <c r="Z52" s="403"/>
      <c r="AA52" s="403"/>
    </row>
    <row r="53">
      <c r="A53" s="443" t="s">
        <v>9211</v>
      </c>
      <c r="D53" s="447"/>
      <c r="E53" s="403"/>
      <c r="F53" s="403"/>
      <c r="G53" s="403"/>
      <c r="H53" s="403"/>
      <c r="I53" s="403"/>
      <c r="J53" s="403"/>
      <c r="K53" s="403"/>
      <c r="L53" s="403"/>
      <c r="M53" s="403"/>
      <c r="N53" s="403"/>
      <c r="O53" s="403"/>
      <c r="P53" s="403"/>
      <c r="Q53" s="403"/>
      <c r="R53" s="403"/>
      <c r="S53" s="403"/>
      <c r="T53" s="403"/>
      <c r="U53" s="403"/>
      <c r="V53" s="403"/>
      <c r="W53" s="403"/>
      <c r="X53" s="403"/>
      <c r="Y53" s="403"/>
      <c r="Z53" s="403"/>
      <c r="AA53" s="403"/>
    </row>
    <row r="54">
      <c r="A54" s="428" t="s">
        <v>9214</v>
      </c>
      <c r="D54" s="403"/>
      <c r="E54" s="403"/>
      <c r="F54" s="403"/>
      <c r="G54" s="403"/>
      <c r="H54" s="403"/>
      <c r="I54" s="403"/>
      <c r="J54" s="403"/>
      <c r="K54" s="403"/>
      <c r="L54" s="403"/>
      <c r="M54" s="403"/>
      <c r="N54" s="403"/>
      <c r="O54" s="403"/>
      <c r="P54" s="403"/>
      <c r="Q54" s="403"/>
      <c r="R54" s="403"/>
      <c r="S54" s="403"/>
      <c r="T54" s="403"/>
      <c r="U54" s="403"/>
      <c r="V54" s="403"/>
      <c r="W54" s="403"/>
      <c r="X54" s="403"/>
      <c r="Y54" s="403"/>
      <c r="Z54" s="403"/>
      <c r="AA54" s="403"/>
    </row>
    <row r="55">
      <c r="A55" s="429" t="s">
        <v>9083</v>
      </c>
      <c r="B55" s="448" t="s">
        <v>9084</v>
      </c>
      <c r="C55" s="431" t="s">
        <v>9085</v>
      </c>
      <c r="D55" s="403"/>
      <c r="E55" s="403"/>
      <c r="F55" s="403"/>
      <c r="G55" s="403"/>
      <c r="H55" s="426"/>
      <c r="I55" s="403"/>
      <c r="J55" s="403"/>
      <c r="K55" s="403"/>
      <c r="L55" s="403"/>
      <c r="M55" s="403"/>
      <c r="N55" s="403"/>
      <c r="O55" s="403"/>
      <c r="P55" s="403"/>
      <c r="Q55" s="403"/>
      <c r="R55" s="403"/>
      <c r="S55" s="403"/>
      <c r="T55" s="403"/>
      <c r="U55" s="403"/>
      <c r="V55" s="403"/>
      <c r="W55" s="403"/>
      <c r="X55" s="403"/>
      <c r="Y55" s="403"/>
      <c r="Z55" s="403"/>
      <c r="AA55" s="403"/>
    </row>
    <row r="56">
      <c r="A56" s="450" t="s">
        <v>9216</v>
      </c>
      <c r="D56" s="436"/>
      <c r="E56" s="436"/>
      <c r="F56" s="436"/>
      <c r="G56" s="436"/>
      <c r="H56" s="436"/>
      <c r="I56" s="436"/>
      <c r="J56" s="436"/>
      <c r="K56" s="436"/>
      <c r="L56" s="436"/>
      <c r="M56" s="436"/>
      <c r="N56" s="436"/>
      <c r="O56" s="436"/>
      <c r="P56" s="436"/>
      <c r="Q56" s="436"/>
      <c r="R56" s="436"/>
      <c r="S56" s="436"/>
      <c r="T56" s="436"/>
      <c r="U56" s="436"/>
      <c r="V56" s="436"/>
      <c r="W56" s="436"/>
      <c r="X56" s="436"/>
      <c r="Y56" s="436"/>
      <c r="Z56" s="436"/>
      <c r="AA56" s="436"/>
    </row>
    <row r="57">
      <c r="A57" s="451" t="s">
        <v>8898</v>
      </c>
      <c r="B57" s="452" t="s">
        <v>9221</v>
      </c>
      <c r="C57" s="453" t="s">
        <v>9222</v>
      </c>
      <c r="D57" s="436"/>
      <c r="E57" s="436"/>
      <c r="F57" s="436"/>
      <c r="G57" s="436"/>
      <c r="H57" s="436"/>
      <c r="I57" s="436"/>
      <c r="J57" s="436"/>
      <c r="K57" s="436"/>
      <c r="L57" s="436"/>
      <c r="M57" s="436"/>
      <c r="N57" s="436"/>
      <c r="O57" s="436"/>
      <c r="P57" s="436"/>
      <c r="Q57" s="436"/>
      <c r="R57" s="436"/>
      <c r="S57" s="436"/>
      <c r="T57" s="436"/>
      <c r="U57" s="436"/>
      <c r="V57" s="436"/>
      <c r="W57" s="436"/>
      <c r="X57" s="436"/>
      <c r="Y57" s="436"/>
      <c r="Z57" s="436"/>
      <c r="AA57" s="436"/>
    </row>
    <row r="58">
      <c r="A58" s="432" t="s">
        <v>9224</v>
      </c>
      <c r="B58" s="433"/>
      <c r="C58" s="455" t="s">
        <v>9225</v>
      </c>
      <c r="D58" s="436"/>
      <c r="E58" s="436"/>
      <c r="F58" s="436"/>
      <c r="G58" s="436"/>
      <c r="H58" s="436"/>
      <c r="I58" s="436"/>
      <c r="J58" s="436"/>
      <c r="K58" s="436"/>
      <c r="L58" s="436"/>
      <c r="M58" s="436"/>
      <c r="N58" s="436"/>
      <c r="O58" s="436"/>
      <c r="P58" s="436"/>
      <c r="Q58" s="436"/>
      <c r="R58" s="436"/>
      <c r="S58" s="436"/>
      <c r="T58" s="436"/>
      <c r="U58" s="436"/>
      <c r="V58" s="436"/>
      <c r="W58" s="436"/>
      <c r="X58" s="436"/>
      <c r="Y58" s="436"/>
      <c r="Z58" s="436"/>
      <c r="AA58" s="436"/>
    </row>
    <row r="59">
      <c r="A59" s="456" t="s">
        <v>9228</v>
      </c>
      <c r="B59" s="437"/>
      <c r="C59" s="457"/>
      <c r="D59" s="436"/>
      <c r="E59" s="436"/>
      <c r="F59" s="436"/>
      <c r="G59" s="436"/>
      <c r="H59" s="436"/>
      <c r="I59" s="436"/>
      <c r="J59" s="436"/>
      <c r="K59" s="436"/>
      <c r="L59" s="436"/>
      <c r="M59" s="436"/>
      <c r="N59" s="436"/>
      <c r="O59" s="436"/>
      <c r="P59" s="436"/>
      <c r="Q59" s="436"/>
      <c r="R59" s="436"/>
      <c r="S59" s="436"/>
      <c r="T59" s="436"/>
      <c r="U59" s="436"/>
      <c r="V59" s="436"/>
      <c r="W59" s="436"/>
      <c r="X59" s="436"/>
      <c r="Y59" s="436"/>
      <c r="Z59" s="436"/>
      <c r="AA59" s="436"/>
    </row>
    <row r="60">
      <c r="A60" s="458" t="s">
        <v>9234</v>
      </c>
      <c r="B60" s="459" t="s">
        <v>9236</v>
      </c>
      <c r="C60" s="455" t="s">
        <v>9238</v>
      </c>
      <c r="D60" s="436"/>
      <c r="E60" s="436"/>
      <c r="F60" s="436"/>
      <c r="G60" s="436"/>
      <c r="H60" s="436"/>
      <c r="I60" s="436"/>
      <c r="J60" s="436"/>
      <c r="K60" s="436"/>
      <c r="L60" s="436"/>
      <c r="M60" s="436"/>
      <c r="N60" s="436"/>
      <c r="O60" s="436"/>
      <c r="P60" s="436"/>
      <c r="Q60" s="436"/>
      <c r="R60" s="436"/>
      <c r="S60" s="436"/>
      <c r="T60" s="436"/>
      <c r="U60" s="436"/>
      <c r="V60" s="436"/>
      <c r="W60" s="436"/>
      <c r="X60" s="436"/>
      <c r="Y60" s="436"/>
      <c r="Z60" s="436"/>
      <c r="AA60" s="436"/>
    </row>
    <row r="61">
      <c r="A61" s="432" t="s">
        <v>9240</v>
      </c>
      <c r="B61" s="460" t="s">
        <v>9242</v>
      </c>
      <c r="C61" s="455" t="s">
        <v>9243</v>
      </c>
      <c r="D61" s="436"/>
      <c r="E61" s="436"/>
      <c r="F61" s="436"/>
      <c r="G61" s="436"/>
      <c r="H61" s="436"/>
      <c r="I61" s="436"/>
      <c r="J61" s="436"/>
      <c r="K61" s="436"/>
      <c r="L61" s="436"/>
      <c r="M61" s="436"/>
      <c r="N61" s="436"/>
      <c r="O61" s="436"/>
      <c r="P61" s="436"/>
      <c r="Q61" s="436"/>
      <c r="R61" s="436"/>
      <c r="S61" s="436"/>
      <c r="T61" s="436"/>
      <c r="U61" s="436"/>
      <c r="V61" s="436"/>
      <c r="W61" s="436"/>
      <c r="X61" s="436"/>
      <c r="Y61" s="436"/>
      <c r="Z61" s="436"/>
      <c r="AA61" s="436"/>
    </row>
    <row r="62">
      <c r="A62" s="456" t="s">
        <v>9245</v>
      </c>
      <c r="B62" s="437"/>
      <c r="C62" s="436"/>
      <c r="D62" s="436"/>
      <c r="E62" s="436"/>
      <c r="F62" s="436"/>
      <c r="G62" s="436"/>
      <c r="H62" s="436"/>
      <c r="I62" s="436"/>
      <c r="J62" s="436"/>
      <c r="K62" s="436"/>
      <c r="L62" s="436"/>
      <c r="M62" s="436"/>
      <c r="N62" s="436"/>
      <c r="O62" s="436"/>
      <c r="P62" s="436"/>
      <c r="Q62" s="436"/>
      <c r="R62" s="436"/>
      <c r="S62" s="436"/>
      <c r="T62" s="436"/>
      <c r="U62" s="436"/>
      <c r="V62" s="436"/>
      <c r="W62" s="436"/>
      <c r="X62" s="436"/>
      <c r="Y62" s="436"/>
      <c r="Z62" s="436"/>
      <c r="AA62" s="436"/>
    </row>
    <row r="63">
      <c r="A63" s="432" t="s">
        <v>9247</v>
      </c>
      <c r="B63" s="437" t="s">
        <v>9250</v>
      </c>
      <c r="C63" s="455" t="s">
        <v>9251</v>
      </c>
      <c r="D63" s="436"/>
      <c r="E63" s="436"/>
      <c r="F63" s="436"/>
      <c r="G63" s="436"/>
      <c r="H63" s="436"/>
      <c r="I63" s="436"/>
      <c r="J63" s="436"/>
      <c r="K63" s="436"/>
      <c r="L63" s="436"/>
      <c r="M63" s="436"/>
      <c r="N63" s="436"/>
      <c r="O63" s="436"/>
      <c r="P63" s="436"/>
      <c r="Q63" s="436"/>
      <c r="R63" s="436"/>
      <c r="S63" s="436"/>
      <c r="T63" s="436"/>
      <c r="U63" s="436"/>
      <c r="V63" s="436"/>
      <c r="W63" s="436"/>
      <c r="X63" s="436"/>
      <c r="Y63" s="436"/>
      <c r="Z63" s="436"/>
      <c r="AA63" s="436"/>
    </row>
    <row r="64">
      <c r="A64" s="432" t="s">
        <v>9252</v>
      </c>
      <c r="B64" s="459" t="s">
        <v>9255</v>
      </c>
      <c r="C64" s="455" t="s">
        <v>9256</v>
      </c>
      <c r="D64" s="436"/>
      <c r="E64" s="436"/>
      <c r="F64" s="436"/>
      <c r="G64" s="436"/>
      <c r="H64" s="436"/>
      <c r="I64" s="436"/>
      <c r="J64" s="436"/>
      <c r="K64" s="436"/>
      <c r="L64" s="436"/>
      <c r="M64" s="436"/>
      <c r="N64" s="436"/>
      <c r="O64" s="436"/>
      <c r="P64" s="436"/>
      <c r="Q64" s="436"/>
      <c r="R64" s="436"/>
      <c r="S64" s="436"/>
      <c r="T64" s="436"/>
      <c r="U64" s="436"/>
      <c r="V64" s="436"/>
      <c r="W64" s="436"/>
      <c r="X64" s="436"/>
      <c r="Y64" s="436"/>
      <c r="Z64" s="436"/>
      <c r="AA64" s="436"/>
    </row>
    <row r="65">
      <c r="A65" s="462" t="s">
        <v>9257</v>
      </c>
      <c r="B65" s="433"/>
      <c r="C65" s="457"/>
      <c r="D65" s="436"/>
      <c r="E65" s="436"/>
      <c r="F65" s="436"/>
      <c r="G65" s="436"/>
      <c r="H65" s="436"/>
      <c r="I65" s="436"/>
      <c r="J65" s="436"/>
      <c r="K65" s="436"/>
      <c r="L65" s="436"/>
      <c r="M65" s="436"/>
      <c r="N65" s="436"/>
      <c r="O65" s="436"/>
      <c r="P65" s="436"/>
      <c r="Q65" s="436"/>
      <c r="R65" s="436"/>
      <c r="S65" s="436"/>
      <c r="T65" s="436"/>
      <c r="U65" s="436"/>
      <c r="V65" s="436"/>
      <c r="W65" s="436"/>
      <c r="X65" s="436"/>
      <c r="Y65" s="436"/>
      <c r="Z65" s="436"/>
      <c r="AA65" s="436"/>
    </row>
    <row r="66">
      <c r="A66" s="463" t="s">
        <v>9258</v>
      </c>
      <c r="B66" s="442" t="s">
        <v>9262</v>
      </c>
      <c r="C66" s="436" t="s">
        <v>9263</v>
      </c>
      <c r="D66" s="436"/>
      <c r="E66" s="436"/>
      <c r="F66" s="436"/>
      <c r="G66" s="436"/>
      <c r="H66" s="436"/>
      <c r="I66" s="436"/>
      <c r="J66" s="436"/>
      <c r="K66" s="436"/>
      <c r="L66" s="436"/>
      <c r="M66" s="436"/>
      <c r="N66" s="436"/>
      <c r="O66" s="436"/>
      <c r="P66" s="436"/>
      <c r="Q66" s="436"/>
      <c r="R66" s="436"/>
      <c r="S66" s="436"/>
      <c r="T66" s="436"/>
      <c r="U66" s="436"/>
      <c r="V66" s="436"/>
      <c r="W66" s="436"/>
      <c r="X66" s="436"/>
      <c r="Y66" s="436"/>
      <c r="Z66" s="436"/>
      <c r="AA66" s="436"/>
    </row>
    <row r="67">
      <c r="B67" s="442"/>
      <c r="C67" s="436" t="s">
        <v>9265</v>
      </c>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row>
    <row r="68">
      <c r="B68" s="442" t="s">
        <v>9267</v>
      </c>
      <c r="C68" s="455" t="s">
        <v>9268</v>
      </c>
      <c r="D68" s="436"/>
      <c r="E68" s="436"/>
      <c r="F68" s="436"/>
      <c r="G68" s="436"/>
      <c r="H68" s="436"/>
      <c r="I68" s="436"/>
      <c r="J68" s="436"/>
      <c r="K68" s="436"/>
      <c r="L68" s="436"/>
      <c r="M68" s="436"/>
      <c r="N68" s="436"/>
      <c r="O68" s="436"/>
      <c r="P68" s="436"/>
      <c r="Q68" s="436"/>
      <c r="R68" s="436"/>
      <c r="S68" s="436"/>
      <c r="T68" s="436"/>
      <c r="U68" s="436"/>
      <c r="V68" s="436"/>
      <c r="W68" s="436"/>
      <c r="X68" s="436"/>
      <c r="Y68" s="436"/>
      <c r="Z68" s="436"/>
      <c r="AA68" s="436"/>
    </row>
    <row r="69">
      <c r="B69" s="442"/>
      <c r="C69" s="455" t="s">
        <v>9269</v>
      </c>
      <c r="D69" s="436"/>
      <c r="E69" s="436"/>
      <c r="F69" s="436"/>
      <c r="G69" s="436"/>
      <c r="H69" s="436"/>
      <c r="I69" s="436"/>
      <c r="J69" s="436"/>
      <c r="K69" s="436"/>
      <c r="L69" s="436"/>
      <c r="M69" s="436"/>
      <c r="N69" s="436"/>
      <c r="O69" s="436"/>
      <c r="P69" s="436"/>
      <c r="Q69" s="436"/>
      <c r="R69" s="436"/>
      <c r="S69" s="436"/>
      <c r="T69" s="436"/>
      <c r="U69" s="436"/>
      <c r="V69" s="436"/>
      <c r="W69" s="436"/>
      <c r="X69" s="436"/>
      <c r="Y69" s="436"/>
      <c r="Z69" s="436"/>
      <c r="AA69" s="436"/>
    </row>
    <row r="70">
      <c r="A70" s="453" t="s">
        <v>9270</v>
      </c>
      <c r="B70" s="442"/>
      <c r="C70" s="457"/>
      <c r="D70" s="436"/>
      <c r="E70" s="436"/>
      <c r="F70" s="436"/>
      <c r="G70" s="436"/>
      <c r="H70" s="436"/>
      <c r="I70" s="436"/>
      <c r="J70" s="436"/>
      <c r="K70" s="436"/>
      <c r="L70" s="436"/>
      <c r="M70" s="436"/>
      <c r="N70" s="436"/>
      <c r="O70" s="436"/>
      <c r="P70" s="436"/>
      <c r="Q70" s="436"/>
      <c r="R70" s="436"/>
      <c r="S70" s="436"/>
      <c r="T70" s="436"/>
      <c r="U70" s="436"/>
      <c r="V70" s="436"/>
      <c r="W70" s="436"/>
      <c r="X70" s="436"/>
      <c r="Y70" s="436"/>
      <c r="Z70" s="436"/>
      <c r="AA70" s="436"/>
    </row>
    <row r="71">
      <c r="A71" s="432" t="s">
        <v>9272</v>
      </c>
      <c r="B71" s="442" t="s">
        <v>9274</v>
      </c>
      <c r="C71" s="455" t="s">
        <v>9275</v>
      </c>
      <c r="D71" s="436"/>
      <c r="E71" s="436"/>
      <c r="F71" s="436"/>
      <c r="G71" s="436"/>
      <c r="H71" s="436"/>
      <c r="I71" s="436"/>
      <c r="J71" s="436"/>
      <c r="K71" s="436"/>
      <c r="L71" s="436"/>
      <c r="M71" s="436"/>
      <c r="N71" s="436"/>
      <c r="O71" s="436"/>
      <c r="P71" s="436"/>
      <c r="Q71" s="436"/>
      <c r="R71" s="436"/>
      <c r="S71" s="436"/>
      <c r="T71" s="436"/>
      <c r="U71" s="436"/>
      <c r="V71" s="436"/>
      <c r="W71" s="436"/>
      <c r="X71" s="436"/>
      <c r="Y71" s="436"/>
      <c r="Z71" s="436"/>
      <c r="AA71" s="436"/>
    </row>
    <row r="72">
      <c r="A72" s="453" t="s">
        <v>9276</v>
      </c>
      <c r="B72" s="442"/>
      <c r="C72" s="436"/>
      <c r="D72" s="436"/>
      <c r="E72" s="436"/>
      <c r="F72" s="436"/>
      <c r="G72" s="436"/>
      <c r="H72" s="436"/>
      <c r="I72" s="436"/>
      <c r="J72" s="436"/>
      <c r="K72" s="436"/>
      <c r="L72" s="436"/>
      <c r="M72" s="436"/>
      <c r="N72" s="436"/>
      <c r="O72" s="436"/>
      <c r="P72" s="436"/>
      <c r="Q72" s="436"/>
      <c r="R72" s="436"/>
      <c r="S72" s="436"/>
      <c r="T72" s="436"/>
      <c r="U72" s="436"/>
      <c r="V72" s="436"/>
      <c r="W72" s="436"/>
      <c r="X72" s="436"/>
      <c r="Y72" s="436"/>
      <c r="Z72" s="436"/>
      <c r="AA72" s="436"/>
    </row>
    <row r="73">
      <c r="A73" s="432" t="s">
        <v>9278</v>
      </c>
      <c r="B73" s="442" t="s">
        <v>9280</v>
      </c>
      <c r="C73" s="56" t="s">
        <v>9281</v>
      </c>
      <c r="D73" s="56"/>
      <c r="E73" s="56"/>
      <c r="F73" s="56"/>
      <c r="G73" s="56"/>
      <c r="H73" s="56"/>
      <c r="I73" s="56"/>
      <c r="J73" s="56"/>
      <c r="K73" s="56"/>
      <c r="L73" s="56"/>
      <c r="M73" s="56"/>
      <c r="N73" s="56"/>
      <c r="O73" s="56"/>
      <c r="P73" s="56"/>
      <c r="Q73" s="56"/>
      <c r="R73" s="56"/>
      <c r="S73" s="56"/>
      <c r="T73" s="56"/>
      <c r="U73" s="56"/>
      <c r="V73" s="56"/>
      <c r="W73" s="56"/>
      <c r="X73" s="56"/>
      <c r="Y73" s="56"/>
      <c r="Z73" s="436"/>
      <c r="AA73" s="436"/>
    </row>
    <row r="74">
      <c r="A74" s="432" t="s">
        <v>9282</v>
      </c>
      <c r="B74" s="465" t="s">
        <v>9283</v>
      </c>
      <c r="C74" s="56" t="s">
        <v>9285</v>
      </c>
      <c r="D74" s="56"/>
      <c r="E74" s="56"/>
      <c r="F74" s="56"/>
      <c r="G74" s="56"/>
      <c r="H74" s="56"/>
      <c r="I74" s="56"/>
      <c r="J74" s="56"/>
      <c r="K74" s="56"/>
      <c r="L74" s="56"/>
      <c r="M74" s="56"/>
      <c r="N74" s="56"/>
      <c r="O74" s="56"/>
      <c r="P74" s="56"/>
      <c r="Q74" s="56"/>
      <c r="R74" s="56"/>
      <c r="S74" s="56"/>
      <c r="T74" s="56"/>
      <c r="U74" s="56"/>
      <c r="V74" s="56"/>
      <c r="W74" s="56"/>
      <c r="X74" s="56"/>
      <c r="Y74" s="56"/>
      <c r="Z74" s="436"/>
      <c r="AA74" s="436"/>
    </row>
    <row r="75">
      <c r="A75" s="432" t="s">
        <v>9286</v>
      </c>
      <c r="B75" s="442">
        <v>28.0</v>
      </c>
      <c r="C75" s="56" t="s">
        <v>9288</v>
      </c>
      <c r="D75" s="56"/>
      <c r="E75" s="56"/>
      <c r="F75" s="56"/>
      <c r="G75" s="56"/>
      <c r="H75" s="56"/>
      <c r="I75" s="56"/>
      <c r="J75" s="56"/>
      <c r="K75" s="56"/>
      <c r="L75" s="56"/>
      <c r="M75" s="56"/>
      <c r="N75" s="56"/>
      <c r="O75" s="56"/>
      <c r="P75" s="56"/>
      <c r="Q75" s="56"/>
      <c r="R75" s="56"/>
      <c r="S75" s="56"/>
      <c r="T75" s="56"/>
      <c r="U75" s="56"/>
      <c r="V75" s="56"/>
      <c r="W75" s="56"/>
      <c r="X75" s="56"/>
      <c r="Y75" s="56"/>
      <c r="Z75" s="436"/>
      <c r="AA75" s="436"/>
    </row>
    <row r="76">
      <c r="A76" s="432" t="s">
        <v>9289</v>
      </c>
      <c r="B76" s="442">
        <v>1.23</v>
      </c>
      <c r="C76" s="56" t="s">
        <v>9292</v>
      </c>
      <c r="D76" s="56"/>
      <c r="E76" s="56"/>
      <c r="F76" s="56"/>
      <c r="G76" s="56"/>
      <c r="H76" s="56"/>
      <c r="I76" s="56"/>
      <c r="J76" s="56"/>
      <c r="K76" s="56"/>
      <c r="L76" s="56"/>
      <c r="M76" s="56"/>
      <c r="N76" s="56"/>
      <c r="O76" s="56"/>
      <c r="P76" s="56"/>
      <c r="Q76" s="56"/>
      <c r="R76" s="56"/>
      <c r="S76" s="56"/>
      <c r="T76" s="56"/>
      <c r="U76" s="56"/>
      <c r="V76" s="56"/>
      <c r="W76" s="56"/>
      <c r="X76" s="56"/>
      <c r="Y76" s="56"/>
      <c r="Z76" s="436"/>
      <c r="AA76" s="436"/>
    </row>
    <row r="77">
      <c r="A77" s="436"/>
      <c r="B77" s="442"/>
      <c r="C77" s="56" t="s">
        <v>9293</v>
      </c>
      <c r="D77" s="56"/>
      <c r="E77" s="56"/>
      <c r="F77" s="56"/>
      <c r="G77" s="56"/>
      <c r="H77" s="56"/>
      <c r="I77" s="56"/>
      <c r="J77" s="56"/>
      <c r="K77" s="56"/>
      <c r="L77" s="56"/>
      <c r="M77" s="56"/>
      <c r="N77" s="56"/>
      <c r="O77" s="56"/>
      <c r="P77" s="56"/>
      <c r="Q77" s="56"/>
      <c r="R77" s="56"/>
      <c r="S77" s="56"/>
      <c r="T77" s="56"/>
      <c r="U77" s="56"/>
      <c r="V77" s="56"/>
      <c r="W77" s="56"/>
      <c r="X77" s="56"/>
      <c r="Y77" s="56"/>
      <c r="Z77" s="436"/>
      <c r="AA77" s="436"/>
    </row>
    <row r="78">
      <c r="A78" s="432" t="s">
        <v>9294</v>
      </c>
      <c r="B78" s="442">
        <v>6.25</v>
      </c>
      <c r="C78" s="56" t="s">
        <v>9296</v>
      </c>
      <c r="D78" s="56"/>
      <c r="E78" s="56"/>
      <c r="F78" s="56"/>
      <c r="G78" s="56"/>
      <c r="H78" s="56"/>
      <c r="I78" s="56"/>
      <c r="J78" s="56"/>
      <c r="K78" s="56"/>
      <c r="L78" s="56"/>
      <c r="M78" s="56"/>
      <c r="N78" s="56"/>
      <c r="O78" s="56"/>
      <c r="P78" s="56"/>
      <c r="Q78" s="56"/>
      <c r="R78" s="56"/>
      <c r="S78" s="56"/>
      <c r="T78" s="56"/>
      <c r="U78" s="56"/>
      <c r="V78" s="56"/>
      <c r="W78" s="56"/>
      <c r="X78" s="56"/>
      <c r="Y78" s="56"/>
      <c r="Z78" s="436"/>
      <c r="AA78" s="436"/>
    </row>
    <row r="79">
      <c r="A79" s="432" t="s">
        <v>9297</v>
      </c>
      <c r="B79" s="442">
        <v>2.4</v>
      </c>
      <c r="C79" s="56" t="s">
        <v>9300</v>
      </c>
      <c r="D79" s="56"/>
      <c r="E79" s="56"/>
      <c r="F79" s="56"/>
      <c r="G79" s="56"/>
      <c r="H79" s="56"/>
      <c r="I79" s="56"/>
      <c r="J79" s="56"/>
      <c r="K79" s="56"/>
      <c r="L79" s="56"/>
      <c r="M79" s="56"/>
      <c r="N79" s="56"/>
      <c r="O79" s="56"/>
      <c r="P79" s="56"/>
      <c r="Q79" s="56"/>
      <c r="R79" s="56"/>
      <c r="S79" s="56"/>
      <c r="T79" s="56"/>
      <c r="U79" s="56"/>
      <c r="V79" s="56"/>
      <c r="W79" s="56"/>
      <c r="X79" s="56"/>
      <c r="Y79" s="56"/>
      <c r="Z79" s="436"/>
      <c r="AA79" s="436"/>
    </row>
    <row r="80">
      <c r="A80" s="432" t="s">
        <v>9301</v>
      </c>
      <c r="B80" s="442">
        <v>18.13</v>
      </c>
      <c r="C80" s="56" t="s">
        <v>9302</v>
      </c>
      <c r="D80" s="56"/>
      <c r="E80" s="56"/>
      <c r="F80" s="56"/>
      <c r="G80" s="56"/>
      <c r="H80" s="56"/>
      <c r="I80" s="56"/>
      <c r="J80" s="56"/>
      <c r="K80" s="56"/>
      <c r="L80" s="56"/>
      <c r="M80" s="56"/>
      <c r="N80" s="56"/>
      <c r="O80" s="56"/>
      <c r="P80" s="56"/>
      <c r="Q80" s="56"/>
      <c r="R80" s="56"/>
      <c r="S80" s="56"/>
      <c r="T80" s="56"/>
      <c r="U80" s="56"/>
      <c r="V80" s="56"/>
      <c r="W80" s="56"/>
      <c r="X80" s="56"/>
      <c r="Y80" s="56"/>
      <c r="Z80" s="436"/>
      <c r="AA80" s="436"/>
    </row>
    <row r="81">
      <c r="A81" s="432" t="s">
        <v>9303</v>
      </c>
      <c r="B81" s="442">
        <v>5.3</v>
      </c>
      <c r="C81" s="56" t="s">
        <v>9306</v>
      </c>
      <c r="D81" s="56"/>
      <c r="E81" s="56"/>
      <c r="F81" s="56"/>
      <c r="G81" s="56"/>
      <c r="H81" s="56"/>
      <c r="I81" s="56"/>
      <c r="J81" s="56"/>
      <c r="K81" s="56"/>
      <c r="L81" s="56"/>
      <c r="M81" s="56"/>
      <c r="N81" s="56"/>
      <c r="O81" s="56"/>
      <c r="P81" s="56"/>
      <c r="Q81" s="56"/>
      <c r="R81" s="56"/>
      <c r="S81" s="56"/>
      <c r="T81" s="56"/>
      <c r="U81" s="56"/>
      <c r="V81" s="56"/>
      <c r="W81" s="56"/>
      <c r="X81" s="56"/>
      <c r="Y81" s="56"/>
      <c r="Z81" s="436"/>
      <c r="AA81" s="436"/>
    </row>
    <row r="82">
      <c r="A82" s="466" t="s">
        <v>9307</v>
      </c>
      <c r="D82" s="436"/>
      <c r="E82" s="436"/>
      <c r="F82" s="436"/>
      <c r="G82" s="436"/>
      <c r="H82" s="436"/>
      <c r="I82" s="436"/>
      <c r="J82" s="436"/>
      <c r="K82" s="436"/>
      <c r="L82" s="436"/>
      <c r="M82" s="436"/>
      <c r="N82" s="436"/>
      <c r="O82" s="436"/>
      <c r="P82" s="436"/>
      <c r="Q82" s="436"/>
      <c r="R82" s="436"/>
      <c r="S82" s="436"/>
      <c r="T82" s="436"/>
      <c r="U82" s="436"/>
      <c r="V82" s="436"/>
      <c r="W82" s="436"/>
      <c r="X82" s="436"/>
      <c r="Y82" s="436"/>
      <c r="Z82" s="436"/>
      <c r="AA82" s="436"/>
    </row>
    <row r="83">
      <c r="A83" s="467" t="s">
        <v>9309</v>
      </c>
      <c r="B83" s="442"/>
      <c r="C83" s="56"/>
      <c r="D83" s="56"/>
      <c r="E83" s="56"/>
      <c r="F83" s="56"/>
      <c r="G83" s="56"/>
      <c r="H83" s="56"/>
      <c r="I83" s="56"/>
      <c r="J83" s="56"/>
      <c r="K83" s="56"/>
      <c r="L83" s="56"/>
      <c r="M83" s="56"/>
      <c r="N83" s="56"/>
      <c r="O83" s="56"/>
      <c r="P83" s="56"/>
      <c r="Q83" s="56"/>
      <c r="R83" s="56"/>
      <c r="S83" s="56"/>
      <c r="T83" s="56"/>
      <c r="U83" s="56"/>
      <c r="V83" s="56"/>
      <c r="W83" s="56"/>
      <c r="X83" s="436"/>
      <c r="Y83" s="436"/>
      <c r="Z83" s="436"/>
      <c r="AA83" s="436"/>
    </row>
    <row r="84">
      <c r="A84" s="432" t="s">
        <v>9312</v>
      </c>
      <c r="B84" s="442"/>
      <c r="C84" s="56" t="s">
        <v>9314</v>
      </c>
      <c r="D84" s="56"/>
      <c r="E84" s="56"/>
      <c r="F84" s="56"/>
      <c r="G84" s="56"/>
      <c r="H84" s="56"/>
      <c r="I84" s="56"/>
      <c r="J84" s="56"/>
      <c r="K84" s="56"/>
      <c r="L84" s="56"/>
      <c r="M84" s="56"/>
      <c r="N84" s="56"/>
      <c r="O84" s="56"/>
      <c r="P84" s="56"/>
      <c r="Q84" s="56"/>
      <c r="R84" s="56"/>
      <c r="S84" s="56"/>
      <c r="T84" s="56"/>
      <c r="U84" s="56"/>
      <c r="V84" s="56"/>
      <c r="W84" s="56"/>
      <c r="X84" s="436"/>
      <c r="Y84" s="436"/>
      <c r="Z84" s="436"/>
      <c r="AA84" s="436"/>
    </row>
    <row r="85">
      <c r="A85" s="436"/>
      <c r="B85" s="442"/>
      <c r="C85" s="56"/>
      <c r="D85" s="56"/>
      <c r="E85" s="56"/>
      <c r="F85" s="56"/>
      <c r="G85" s="56"/>
      <c r="H85" s="56"/>
      <c r="I85" s="56"/>
      <c r="J85" s="56"/>
      <c r="K85" s="56"/>
      <c r="L85" s="56"/>
      <c r="M85" s="56"/>
      <c r="N85" s="56"/>
      <c r="O85" s="56"/>
      <c r="P85" s="56"/>
      <c r="Q85" s="56"/>
      <c r="R85" s="56"/>
      <c r="S85" s="56"/>
      <c r="T85" s="56"/>
      <c r="U85" s="56"/>
      <c r="V85" s="56"/>
      <c r="W85" s="56"/>
      <c r="X85" s="436"/>
      <c r="Y85" s="436"/>
      <c r="Z85" s="436"/>
      <c r="AA85" s="436"/>
    </row>
    <row r="86">
      <c r="A86" s="467" t="s">
        <v>9317</v>
      </c>
      <c r="B86" s="442"/>
      <c r="C86" s="56"/>
      <c r="D86" s="56"/>
      <c r="E86" s="56"/>
      <c r="F86" s="56"/>
      <c r="G86" s="56"/>
      <c r="H86" s="56"/>
      <c r="I86" s="56"/>
      <c r="J86" s="56"/>
      <c r="K86" s="56"/>
      <c r="L86" s="56"/>
      <c r="M86" s="56"/>
      <c r="N86" s="56"/>
      <c r="O86" s="56"/>
      <c r="P86" s="56"/>
      <c r="Q86" s="56"/>
      <c r="R86" s="56"/>
      <c r="S86" s="56"/>
      <c r="T86" s="56"/>
      <c r="U86" s="56"/>
      <c r="V86" s="56"/>
      <c r="W86" s="56"/>
      <c r="X86" s="436"/>
      <c r="Y86" s="436"/>
      <c r="Z86" s="436"/>
      <c r="AA86" s="436"/>
    </row>
    <row r="87">
      <c r="A87" s="432" t="s">
        <v>9319</v>
      </c>
      <c r="B87" s="442" t="s">
        <v>9320</v>
      </c>
      <c r="C87" s="56"/>
      <c r="D87" s="56"/>
      <c r="E87" s="56"/>
      <c r="F87" s="56"/>
      <c r="G87" s="56"/>
      <c r="H87" s="56"/>
      <c r="I87" s="56"/>
      <c r="J87" s="56"/>
      <c r="K87" s="56"/>
      <c r="L87" s="56"/>
      <c r="M87" s="56"/>
      <c r="N87" s="56"/>
      <c r="O87" s="56"/>
      <c r="P87" s="56"/>
      <c r="Q87" s="56"/>
      <c r="R87" s="56"/>
      <c r="S87" s="56"/>
      <c r="T87" s="56"/>
      <c r="U87" s="56"/>
      <c r="V87" s="56"/>
      <c r="W87" s="56"/>
      <c r="X87" s="436"/>
      <c r="Y87" s="436"/>
      <c r="Z87" s="436"/>
      <c r="AA87" s="436"/>
    </row>
    <row r="88">
      <c r="A88" s="432" t="s">
        <v>9323</v>
      </c>
      <c r="B88" s="442" t="s">
        <v>9325</v>
      </c>
      <c r="C88" s="56" t="s">
        <v>9326</v>
      </c>
      <c r="D88" s="56"/>
      <c r="E88" s="56"/>
      <c r="F88" s="56"/>
      <c r="G88" s="56"/>
      <c r="H88" s="56"/>
      <c r="I88" s="56"/>
      <c r="J88" s="56"/>
      <c r="K88" s="56"/>
      <c r="L88" s="56"/>
      <c r="M88" s="56"/>
      <c r="N88" s="56"/>
      <c r="O88" s="56"/>
      <c r="P88" s="56"/>
      <c r="Q88" s="56"/>
      <c r="R88" s="56"/>
      <c r="S88" s="56"/>
      <c r="T88" s="56"/>
      <c r="U88" s="56"/>
      <c r="V88" s="56"/>
      <c r="W88" s="56"/>
      <c r="X88" s="436"/>
      <c r="Y88" s="436"/>
      <c r="Z88" s="436"/>
      <c r="AA88" s="436"/>
    </row>
    <row r="89">
      <c r="A89" s="432" t="s">
        <v>9327</v>
      </c>
      <c r="B89" s="442">
        <v>0.26</v>
      </c>
      <c r="C89" s="56" t="s">
        <v>9329</v>
      </c>
      <c r="D89" s="56"/>
      <c r="E89" s="56"/>
      <c r="F89" s="56"/>
      <c r="G89" s="56"/>
      <c r="H89" s="56"/>
      <c r="I89" s="56"/>
      <c r="J89" s="56"/>
      <c r="K89" s="56"/>
      <c r="L89" s="56"/>
      <c r="M89" s="56"/>
      <c r="N89" s="56"/>
      <c r="O89" s="56"/>
      <c r="P89" s="56"/>
      <c r="Q89" s="56"/>
      <c r="R89" s="56"/>
      <c r="S89" s="56"/>
      <c r="T89" s="56"/>
      <c r="U89" s="56"/>
      <c r="V89" s="56"/>
      <c r="W89" s="56"/>
      <c r="X89" s="436"/>
      <c r="Y89" s="436"/>
      <c r="Z89" s="436"/>
      <c r="AA89" s="436"/>
    </row>
    <row r="90">
      <c r="A90" s="432" t="s">
        <v>9331</v>
      </c>
      <c r="B90" s="442">
        <v>0.4</v>
      </c>
      <c r="C90" s="56" t="s">
        <v>9333</v>
      </c>
      <c r="D90" s="56"/>
      <c r="E90" s="56"/>
      <c r="F90" s="56"/>
      <c r="G90" s="56"/>
      <c r="H90" s="56"/>
      <c r="I90" s="56"/>
      <c r="J90" s="56"/>
      <c r="K90" s="56"/>
      <c r="L90" s="56"/>
      <c r="M90" s="56"/>
      <c r="N90" s="56"/>
      <c r="O90" s="56"/>
      <c r="P90" s="56"/>
      <c r="Q90" s="56"/>
      <c r="R90" s="56"/>
      <c r="S90" s="56"/>
      <c r="T90" s="56"/>
      <c r="U90" s="56"/>
      <c r="V90" s="56"/>
      <c r="W90" s="56"/>
      <c r="X90" s="436"/>
      <c r="Y90" s="436"/>
      <c r="Z90" s="436"/>
      <c r="AA90" s="436"/>
    </row>
    <row r="91">
      <c r="A91" s="432" t="s">
        <v>9334</v>
      </c>
      <c r="B91" s="442"/>
      <c r="C91" s="56" t="s">
        <v>9336</v>
      </c>
      <c r="D91" s="56"/>
      <c r="E91" s="56"/>
      <c r="F91" s="56"/>
      <c r="G91" s="56"/>
      <c r="H91" s="56"/>
      <c r="I91" s="56"/>
      <c r="J91" s="56"/>
      <c r="K91" s="56"/>
      <c r="L91" s="56"/>
      <c r="M91" s="56"/>
      <c r="N91" s="56"/>
      <c r="O91" s="56"/>
      <c r="P91" s="56"/>
      <c r="Q91" s="56"/>
      <c r="R91" s="56"/>
      <c r="S91" s="56"/>
      <c r="T91" s="56"/>
      <c r="U91" s="56"/>
      <c r="V91" s="56"/>
      <c r="W91" s="56"/>
      <c r="X91" s="436"/>
      <c r="Y91" s="436"/>
      <c r="Z91" s="436"/>
      <c r="AA91" s="436"/>
    </row>
    <row r="92">
      <c r="A92" s="468" t="s">
        <v>9337</v>
      </c>
      <c r="B92" s="442"/>
      <c r="C92" s="56"/>
      <c r="D92" s="56"/>
      <c r="E92" s="56"/>
      <c r="F92" s="56"/>
      <c r="G92" s="56"/>
      <c r="H92" s="56"/>
      <c r="I92" s="56"/>
      <c r="J92" s="56"/>
      <c r="K92" s="56"/>
      <c r="L92" s="56"/>
      <c r="M92" s="56"/>
      <c r="N92" s="56"/>
      <c r="O92" s="56"/>
      <c r="P92" s="56"/>
      <c r="Q92" s="56"/>
      <c r="R92" s="56"/>
      <c r="S92" s="56"/>
      <c r="T92" s="56"/>
      <c r="U92" s="56"/>
      <c r="V92" s="56"/>
      <c r="W92" s="56"/>
      <c r="X92" s="436"/>
      <c r="Y92" s="436"/>
      <c r="Z92" s="436"/>
      <c r="AA92" s="436"/>
    </row>
    <row r="93">
      <c r="A93" s="432" t="s">
        <v>9340</v>
      </c>
      <c r="B93" s="442" t="s">
        <v>9342</v>
      </c>
      <c r="C93" s="56" t="s">
        <v>9343</v>
      </c>
      <c r="D93" s="56"/>
      <c r="E93" s="56"/>
      <c r="F93" s="56"/>
      <c r="G93" s="56"/>
      <c r="H93" s="56"/>
      <c r="I93" s="56"/>
      <c r="J93" s="56"/>
      <c r="K93" s="56"/>
      <c r="L93" s="56"/>
      <c r="M93" s="56"/>
      <c r="N93" s="56"/>
      <c r="O93" s="56"/>
      <c r="P93" s="56"/>
      <c r="Q93" s="56"/>
      <c r="R93" s="56"/>
      <c r="S93" s="56"/>
      <c r="T93" s="56"/>
      <c r="U93" s="56"/>
      <c r="V93" s="56"/>
      <c r="W93" s="56"/>
      <c r="X93" s="436"/>
      <c r="Y93" s="436"/>
      <c r="Z93" s="436"/>
      <c r="AA93" s="436"/>
    </row>
    <row r="94">
      <c r="A94" s="432" t="s">
        <v>9344</v>
      </c>
      <c r="B94" s="442" t="s">
        <v>9320</v>
      </c>
      <c r="C94" s="56" t="s">
        <v>9345</v>
      </c>
      <c r="D94" s="56"/>
      <c r="E94" s="56"/>
      <c r="F94" s="56"/>
      <c r="G94" s="56"/>
      <c r="H94" s="56"/>
      <c r="I94" s="56"/>
      <c r="J94" s="56"/>
      <c r="K94" s="56"/>
      <c r="L94" s="56"/>
      <c r="M94" s="56"/>
      <c r="N94" s="56"/>
      <c r="O94" s="56"/>
      <c r="P94" s="56"/>
      <c r="Q94" s="56"/>
      <c r="R94" s="56"/>
      <c r="S94" s="56"/>
      <c r="T94" s="56"/>
      <c r="U94" s="56"/>
      <c r="V94" s="56"/>
      <c r="W94" s="56"/>
      <c r="X94" s="436"/>
      <c r="Y94" s="436"/>
      <c r="Z94" s="436"/>
      <c r="AA94" s="436"/>
    </row>
    <row r="95">
      <c r="A95" s="432" t="s">
        <v>9346</v>
      </c>
      <c r="B95" s="442" t="s">
        <v>9349</v>
      </c>
      <c r="C95" s="56" t="s">
        <v>9350</v>
      </c>
      <c r="D95" s="56"/>
      <c r="E95" s="56"/>
      <c r="F95" s="56"/>
      <c r="G95" s="56"/>
      <c r="H95" s="56"/>
      <c r="I95" s="56"/>
      <c r="J95" s="56"/>
      <c r="K95" s="56"/>
      <c r="L95" s="56"/>
      <c r="M95" s="56"/>
      <c r="N95" s="56"/>
      <c r="O95" s="56"/>
      <c r="P95" s="56"/>
      <c r="Q95" s="56"/>
      <c r="R95" s="56"/>
      <c r="S95" s="56"/>
      <c r="T95" s="56"/>
      <c r="U95" s="56"/>
      <c r="V95" s="56"/>
      <c r="W95" s="56"/>
      <c r="X95" s="436"/>
      <c r="Y95" s="436"/>
      <c r="Z95" s="436"/>
      <c r="AA95" s="436"/>
    </row>
    <row r="96">
      <c r="A96" s="432" t="s">
        <v>9351</v>
      </c>
      <c r="B96" s="442"/>
      <c r="C96" s="56" t="s">
        <v>9353</v>
      </c>
      <c r="D96" s="56"/>
      <c r="E96" s="56"/>
      <c r="F96" s="56"/>
      <c r="G96" s="56"/>
      <c r="H96" s="56"/>
      <c r="I96" s="56"/>
      <c r="J96" s="56"/>
      <c r="K96" s="56"/>
      <c r="L96" s="56"/>
      <c r="M96" s="56"/>
      <c r="N96" s="56"/>
      <c r="O96" s="56"/>
      <c r="P96" s="56"/>
      <c r="Q96" s="56"/>
      <c r="R96" s="56"/>
      <c r="S96" s="56"/>
      <c r="T96" s="56"/>
      <c r="U96" s="56"/>
      <c r="V96" s="56"/>
      <c r="W96" s="56"/>
      <c r="X96" s="436"/>
      <c r="Y96" s="436"/>
      <c r="Z96" s="436"/>
      <c r="AA96" s="436"/>
    </row>
    <row r="97">
      <c r="A97" s="403"/>
      <c r="B97" s="415"/>
      <c r="C97" s="56"/>
      <c r="D97" s="56"/>
      <c r="E97" s="56"/>
      <c r="F97" s="56"/>
      <c r="G97" s="56"/>
      <c r="H97" s="56"/>
      <c r="I97" s="56"/>
      <c r="J97" s="56"/>
      <c r="K97" s="56"/>
      <c r="L97" s="56"/>
      <c r="M97" s="56"/>
      <c r="N97" s="56"/>
      <c r="O97" s="56"/>
      <c r="P97" s="56"/>
      <c r="Q97" s="56"/>
      <c r="R97" s="56"/>
      <c r="S97" s="56"/>
      <c r="T97" s="56"/>
      <c r="U97" s="56"/>
      <c r="V97" s="56"/>
      <c r="W97" s="56"/>
      <c r="X97" s="403"/>
      <c r="Y97" s="403"/>
      <c r="Z97" s="403"/>
      <c r="AA97" s="403"/>
    </row>
    <row r="98" ht="32.25" customHeight="1">
      <c r="A98" s="423" t="s">
        <v>9354</v>
      </c>
      <c r="D98" s="424" t="s">
        <v>9073</v>
      </c>
      <c r="E98" s="56"/>
      <c r="F98" s="56"/>
      <c r="G98" s="56"/>
      <c r="H98" s="56"/>
      <c r="I98" s="56"/>
      <c r="J98" s="56"/>
      <c r="K98" s="56"/>
      <c r="L98" s="56"/>
      <c r="M98" s="56"/>
      <c r="N98" s="56"/>
      <c r="O98" s="56"/>
      <c r="P98" s="56"/>
      <c r="Q98" s="56"/>
      <c r="R98" s="56"/>
      <c r="S98" s="56"/>
      <c r="T98" s="56"/>
      <c r="U98" s="56"/>
      <c r="V98" s="56"/>
      <c r="W98" s="56"/>
      <c r="X98" s="403"/>
      <c r="Y98" s="403"/>
      <c r="Z98" s="403"/>
      <c r="AA98" s="403"/>
    </row>
    <row r="99">
      <c r="A99" s="443" t="s">
        <v>9355</v>
      </c>
      <c r="D99" s="203" t="s">
        <v>23</v>
      </c>
      <c r="E99" s="56"/>
      <c r="F99" s="56"/>
      <c r="G99" s="56"/>
      <c r="H99" s="56"/>
      <c r="I99" s="56"/>
      <c r="J99" s="56"/>
      <c r="K99" s="56"/>
      <c r="L99" s="56"/>
      <c r="M99" s="56"/>
      <c r="N99" s="56"/>
      <c r="O99" s="56"/>
      <c r="P99" s="56"/>
      <c r="Q99" s="56"/>
      <c r="R99" s="56"/>
      <c r="S99" s="56"/>
      <c r="T99" s="56"/>
      <c r="U99" s="56"/>
      <c r="V99" s="56"/>
      <c r="W99" s="56"/>
      <c r="X99" s="403"/>
      <c r="Y99" s="403"/>
      <c r="Z99" s="403"/>
      <c r="AA99" s="403"/>
    </row>
    <row r="100">
      <c r="A100" s="428"/>
      <c r="D100" s="56"/>
      <c r="E100" s="56"/>
      <c r="F100" s="56"/>
      <c r="G100" s="56"/>
      <c r="H100" s="56"/>
      <c r="I100" s="56"/>
      <c r="J100" s="56"/>
      <c r="K100" s="56"/>
      <c r="L100" s="56"/>
      <c r="M100" s="56"/>
      <c r="N100" s="56"/>
      <c r="O100" s="56"/>
      <c r="P100" s="56"/>
      <c r="Q100" s="56"/>
      <c r="R100" s="56"/>
      <c r="S100" s="56"/>
      <c r="T100" s="56"/>
      <c r="U100" s="56"/>
      <c r="V100" s="56"/>
      <c r="W100" s="56"/>
      <c r="X100" s="403"/>
      <c r="Y100" s="403"/>
      <c r="Z100" s="403"/>
      <c r="AA100" s="403"/>
    </row>
    <row r="101">
      <c r="A101" s="429" t="s">
        <v>9083</v>
      </c>
      <c r="B101" s="430" t="s">
        <v>9084</v>
      </c>
      <c r="C101" s="431" t="s">
        <v>9085</v>
      </c>
      <c r="D101" s="403"/>
      <c r="E101" s="403"/>
      <c r="F101" s="403"/>
      <c r="G101" s="403"/>
      <c r="H101" s="403"/>
      <c r="I101" s="403"/>
      <c r="J101" s="403"/>
      <c r="K101" s="403"/>
      <c r="L101" s="403"/>
      <c r="M101" s="403"/>
      <c r="N101" s="403"/>
      <c r="O101" s="403"/>
      <c r="P101" s="403"/>
      <c r="Q101" s="403"/>
      <c r="R101" s="403"/>
      <c r="S101" s="403"/>
      <c r="T101" s="403"/>
      <c r="U101" s="403"/>
      <c r="V101" s="403"/>
      <c r="W101" s="403"/>
      <c r="X101" s="403"/>
      <c r="Y101" s="403"/>
      <c r="Z101" s="403"/>
      <c r="AA101" s="403"/>
    </row>
    <row r="102">
      <c r="A102" s="400" t="s">
        <v>8999</v>
      </c>
      <c r="B102" s="442"/>
      <c r="C102" s="436"/>
      <c r="D102" s="403"/>
      <c r="E102" s="403"/>
      <c r="F102" s="403"/>
      <c r="G102" s="403"/>
      <c r="H102" s="403"/>
      <c r="I102" s="403"/>
      <c r="J102" s="403"/>
      <c r="K102" s="403"/>
      <c r="L102" s="403"/>
      <c r="M102" s="403"/>
      <c r="N102" s="403"/>
      <c r="O102" s="403"/>
      <c r="P102" s="403"/>
      <c r="Q102" s="403"/>
      <c r="R102" s="403"/>
      <c r="S102" s="403"/>
      <c r="T102" s="403"/>
      <c r="U102" s="403"/>
      <c r="V102" s="403"/>
      <c r="W102" s="403"/>
      <c r="X102" s="403"/>
      <c r="Y102" s="403"/>
      <c r="Z102" s="403"/>
      <c r="AA102" s="403"/>
    </row>
    <row r="103">
      <c r="A103" s="400" t="s">
        <v>9003</v>
      </c>
      <c r="B103" s="442"/>
      <c r="C103" s="436"/>
      <c r="D103" s="403"/>
      <c r="E103" s="403"/>
      <c r="F103" s="403"/>
      <c r="G103" s="403"/>
      <c r="H103" s="403"/>
      <c r="I103" s="403"/>
      <c r="J103" s="403"/>
      <c r="K103" s="403"/>
      <c r="L103" s="403"/>
      <c r="M103" s="403"/>
      <c r="N103" s="403"/>
      <c r="O103" s="403"/>
      <c r="P103" s="403"/>
      <c r="Q103" s="403"/>
      <c r="R103" s="403"/>
      <c r="S103" s="403"/>
      <c r="T103" s="403"/>
      <c r="U103" s="403"/>
      <c r="V103" s="403"/>
      <c r="W103" s="403"/>
      <c r="X103" s="403"/>
      <c r="Y103" s="403"/>
      <c r="Z103" s="403"/>
      <c r="AA103" s="403"/>
    </row>
    <row r="104">
      <c r="A104" s="400" t="s">
        <v>9006</v>
      </c>
      <c r="B104" s="442"/>
      <c r="C104" s="436"/>
      <c r="D104" s="403"/>
      <c r="E104" s="403"/>
      <c r="F104" s="403"/>
      <c r="G104" s="403"/>
      <c r="H104" s="403"/>
      <c r="I104" s="403"/>
      <c r="J104" s="403"/>
      <c r="K104" s="403"/>
      <c r="L104" s="403"/>
      <c r="M104" s="403"/>
      <c r="N104" s="403"/>
      <c r="O104" s="403"/>
      <c r="P104" s="403"/>
      <c r="Q104" s="403"/>
      <c r="R104" s="403"/>
      <c r="S104" s="403"/>
      <c r="T104" s="403"/>
      <c r="U104" s="403"/>
      <c r="V104" s="403"/>
      <c r="W104" s="403"/>
      <c r="X104" s="403"/>
      <c r="Y104" s="403"/>
      <c r="Z104" s="403"/>
      <c r="AA104" s="403"/>
    </row>
    <row r="105">
      <c r="A105" s="400" t="s">
        <v>9008</v>
      </c>
      <c r="B105" s="442"/>
      <c r="C105" s="436"/>
      <c r="D105" s="403"/>
      <c r="E105" s="403"/>
      <c r="F105" s="403"/>
      <c r="G105" s="403"/>
      <c r="H105" s="403"/>
      <c r="I105" s="403"/>
      <c r="J105" s="403"/>
      <c r="K105" s="403"/>
      <c r="L105" s="403"/>
      <c r="M105" s="403"/>
      <c r="N105" s="403"/>
      <c r="O105" s="403"/>
      <c r="P105" s="403"/>
      <c r="Q105" s="403"/>
      <c r="R105" s="403"/>
      <c r="S105" s="403"/>
      <c r="T105" s="403"/>
      <c r="U105" s="403"/>
      <c r="V105" s="403"/>
      <c r="W105" s="403"/>
      <c r="X105" s="403"/>
      <c r="Y105" s="403"/>
      <c r="Z105" s="403"/>
      <c r="AA105" s="403"/>
    </row>
    <row r="106">
      <c r="A106" s="400" t="s">
        <v>9011</v>
      </c>
      <c r="B106" s="442"/>
      <c r="C106" s="436"/>
      <c r="D106" s="403"/>
      <c r="E106" s="403"/>
      <c r="F106" s="403"/>
      <c r="G106" s="403"/>
      <c r="H106" s="403"/>
      <c r="I106" s="403"/>
      <c r="J106" s="403"/>
      <c r="K106" s="403"/>
      <c r="L106" s="403"/>
      <c r="M106" s="403"/>
      <c r="N106" s="403"/>
      <c r="O106" s="403"/>
      <c r="P106" s="403"/>
      <c r="Q106" s="403"/>
      <c r="R106" s="403"/>
      <c r="S106" s="403"/>
      <c r="T106" s="403"/>
      <c r="U106" s="403"/>
      <c r="V106" s="403"/>
      <c r="W106" s="403"/>
      <c r="X106" s="403"/>
      <c r="Y106" s="403"/>
      <c r="Z106" s="403"/>
      <c r="AA106" s="403"/>
    </row>
    <row r="107">
      <c r="A107" s="400" t="s">
        <v>9014</v>
      </c>
      <c r="B107" s="442"/>
      <c r="C107" s="436"/>
      <c r="D107" s="403"/>
      <c r="E107" s="403"/>
      <c r="F107" s="403"/>
      <c r="G107" s="403"/>
      <c r="H107" s="403"/>
      <c r="I107" s="403"/>
      <c r="J107" s="403"/>
      <c r="K107" s="403"/>
      <c r="L107" s="403"/>
      <c r="M107" s="403"/>
      <c r="N107" s="403"/>
      <c r="O107" s="403"/>
      <c r="P107" s="403"/>
      <c r="Q107" s="403"/>
      <c r="R107" s="403"/>
      <c r="S107" s="403"/>
      <c r="T107" s="403"/>
      <c r="U107" s="403"/>
      <c r="V107" s="403"/>
      <c r="W107" s="403"/>
      <c r="X107" s="403"/>
      <c r="Y107" s="403"/>
      <c r="Z107" s="403"/>
      <c r="AA107" s="403"/>
    </row>
    <row r="108">
      <c r="A108" s="400" t="s">
        <v>9015</v>
      </c>
      <c r="B108" s="442"/>
      <c r="C108" s="436"/>
      <c r="D108" s="403"/>
      <c r="E108" s="403"/>
      <c r="F108" s="403"/>
      <c r="G108" s="403"/>
      <c r="H108" s="403"/>
      <c r="I108" s="403"/>
      <c r="J108" s="403"/>
      <c r="K108" s="403"/>
      <c r="L108" s="403"/>
      <c r="M108" s="403"/>
      <c r="N108" s="403"/>
      <c r="O108" s="403"/>
      <c r="P108" s="403"/>
      <c r="Q108" s="403"/>
      <c r="R108" s="403"/>
      <c r="S108" s="403"/>
      <c r="T108" s="403"/>
      <c r="U108" s="403"/>
      <c r="V108" s="403"/>
      <c r="W108" s="403"/>
      <c r="X108" s="403"/>
      <c r="Y108" s="403"/>
      <c r="Z108" s="403"/>
      <c r="AA108" s="403"/>
    </row>
    <row r="109">
      <c r="A109" s="400" t="s">
        <v>9017</v>
      </c>
      <c r="B109" s="442"/>
      <c r="C109" s="436"/>
      <c r="D109" s="403"/>
      <c r="E109" s="403"/>
      <c r="F109" s="403"/>
      <c r="G109" s="403"/>
      <c r="H109" s="403"/>
      <c r="I109" s="403"/>
      <c r="J109" s="403"/>
      <c r="K109" s="403"/>
      <c r="L109" s="403"/>
      <c r="M109" s="403"/>
      <c r="N109" s="403"/>
      <c r="O109" s="403"/>
      <c r="P109" s="403"/>
      <c r="Q109" s="403"/>
      <c r="R109" s="403"/>
      <c r="S109" s="403"/>
      <c r="T109" s="403"/>
      <c r="U109" s="403"/>
      <c r="V109" s="403"/>
      <c r="W109" s="403"/>
      <c r="X109" s="403"/>
      <c r="Y109" s="403"/>
      <c r="Z109" s="403"/>
      <c r="AA109" s="403"/>
    </row>
    <row r="110">
      <c r="A110" s="436"/>
      <c r="B110" s="442"/>
      <c r="C110" s="436"/>
      <c r="D110" s="403"/>
      <c r="E110" s="403"/>
      <c r="F110" s="403"/>
      <c r="G110" s="403"/>
      <c r="H110" s="403"/>
      <c r="I110" s="403"/>
      <c r="J110" s="403"/>
      <c r="K110" s="403"/>
      <c r="L110" s="403"/>
      <c r="M110" s="403"/>
      <c r="N110" s="403"/>
      <c r="O110" s="403"/>
      <c r="P110" s="403"/>
      <c r="Q110" s="403"/>
      <c r="R110" s="403"/>
      <c r="S110" s="403"/>
      <c r="T110" s="403"/>
      <c r="U110" s="403"/>
      <c r="V110" s="403"/>
      <c r="W110" s="403"/>
      <c r="X110" s="403"/>
      <c r="Y110" s="403"/>
      <c r="Z110" s="403"/>
      <c r="AA110" s="403"/>
    </row>
    <row r="111">
      <c r="A111" s="432"/>
      <c r="B111" s="442"/>
      <c r="C111" s="436"/>
      <c r="D111" s="403"/>
      <c r="E111" s="403"/>
      <c r="F111" s="403"/>
      <c r="G111" s="403"/>
      <c r="H111" s="403"/>
      <c r="I111" s="403"/>
      <c r="J111" s="403"/>
      <c r="K111" s="403"/>
      <c r="L111" s="403"/>
      <c r="M111" s="403"/>
      <c r="N111" s="403"/>
      <c r="O111" s="403"/>
      <c r="P111" s="403"/>
      <c r="Q111" s="403"/>
      <c r="R111" s="403"/>
      <c r="S111" s="403"/>
      <c r="T111" s="403"/>
      <c r="U111" s="403"/>
      <c r="V111" s="403"/>
      <c r="W111" s="403"/>
      <c r="X111" s="403"/>
      <c r="Y111" s="403"/>
      <c r="Z111" s="403"/>
      <c r="AA111" s="403"/>
    </row>
    <row r="112">
      <c r="A112" s="432"/>
      <c r="B112" s="442"/>
      <c r="C112" s="436"/>
      <c r="D112" s="403"/>
      <c r="E112" s="403"/>
      <c r="F112" s="403"/>
      <c r="G112" s="403"/>
      <c r="H112" s="403"/>
      <c r="I112" s="403"/>
      <c r="J112" s="403"/>
      <c r="K112" s="403"/>
      <c r="L112" s="403"/>
      <c r="M112" s="403"/>
      <c r="N112" s="403"/>
      <c r="O112" s="403"/>
      <c r="P112" s="403"/>
      <c r="Q112" s="403"/>
      <c r="R112" s="403"/>
      <c r="S112" s="403"/>
      <c r="T112" s="403"/>
      <c r="U112" s="403"/>
      <c r="V112" s="403"/>
      <c r="W112" s="403"/>
      <c r="X112" s="403"/>
      <c r="Y112" s="403"/>
      <c r="Z112" s="403"/>
      <c r="AA112" s="403"/>
    </row>
    <row r="113" ht="48.75" customHeight="1">
      <c r="A113" s="423" t="s">
        <v>5717</v>
      </c>
      <c r="D113" s="424" t="s">
        <v>9073</v>
      </c>
      <c r="E113" s="403"/>
      <c r="F113" s="403"/>
      <c r="G113" s="403"/>
      <c r="H113" s="403"/>
      <c r="I113" s="403"/>
      <c r="J113" s="403"/>
      <c r="K113" s="403"/>
      <c r="L113" s="403"/>
      <c r="M113" s="403"/>
      <c r="N113" s="403"/>
      <c r="O113" s="403"/>
      <c r="P113" s="403"/>
      <c r="Q113" s="403"/>
      <c r="R113" s="403"/>
      <c r="S113" s="403"/>
      <c r="T113" s="403"/>
      <c r="U113" s="403"/>
      <c r="V113" s="403"/>
      <c r="W113" s="403"/>
      <c r="X113" s="403"/>
      <c r="Y113" s="403"/>
      <c r="Z113" s="403"/>
      <c r="AA113" s="403"/>
    </row>
    <row r="114">
      <c r="A114" s="443" t="s">
        <v>9371</v>
      </c>
      <c r="D114" s="203" t="s">
        <v>15</v>
      </c>
      <c r="E114" s="403"/>
      <c r="F114" s="403"/>
      <c r="G114" s="403"/>
      <c r="H114" s="403"/>
      <c r="I114" s="403"/>
      <c r="J114" s="403"/>
      <c r="K114" s="403"/>
      <c r="L114" s="403"/>
      <c r="M114" s="403"/>
      <c r="N114" s="403"/>
      <c r="O114" s="403"/>
      <c r="P114" s="403"/>
      <c r="Q114" s="403"/>
      <c r="R114" s="403"/>
      <c r="S114" s="403"/>
      <c r="T114" s="403"/>
      <c r="U114" s="403"/>
      <c r="V114" s="403"/>
      <c r="W114" s="403"/>
      <c r="X114" s="403"/>
      <c r="Y114" s="403"/>
      <c r="Z114" s="403"/>
      <c r="AA114" s="403"/>
    </row>
    <row r="115">
      <c r="A115" s="428"/>
      <c r="D115" s="403"/>
      <c r="E115" s="403"/>
      <c r="F115" s="403"/>
      <c r="G115" s="403"/>
      <c r="H115" s="403"/>
      <c r="I115" s="403"/>
      <c r="J115" s="403"/>
      <c r="K115" s="403"/>
      <c r="L115" s="403"/>
      <c r="M115" s="403"/>
      <c r="N115" s="403"/>
      <c r="O115" s="403"/>
      <c r="P115" s="403"/>
      <c r="Q115" s="403"/>
      <c r="R115" s="403"/>
      <c r="S115" s="403"/>
      <c r="T115" s="403"/>
      <c r="U115" s="403"/>
      <c r="V115" s="403"/>
      <c r="W115" s="403"/>
      <c r="X115" s="403"/>
      <c r="Y115" s="403"/>
      <c r="Z115" s="403"/>
      <c r="AA115" s="403"/>
    </row>
    <row r="116">
      <c r="A116" s="429" t="s">
        <v>9083</v>
      </c>
      <c r="B116" s="430" t="s">
        <v>9084</v>
      </c>
      <c r="C116" s="431" t="s">
        <v>9085</v>
      </c>
      <c r="D116" s="403"/>
      <c r="E116" s="403"/>
      <c r="F116" s="403"/>
      <c r="G116" s="403"/>
      <c r="H116" s="403"/>
      <c r="I116" s="403"/>
      <c r="J116" s="403"/>
      <c r="K116" s="403"/>
      <c r="L116" s="403"/>
      <c r="M116" s="403"/>
      <c r="N116" s="403"/>
      <c r="O116" s="403"/>
      <c r="P116" s="403"/>
      <c r="Q116" s="403"/>
      <c r="R116" s="403"/>
      <c r="S116" s="403"/>
      <c r="T116" s="403"/>
      <c r="U116" s="403"/>
      <c r="V116" s="403"/>
      <c r="W116" s="403"/>
      <c r="X116" s="403"/>
      <c r="Y116" s="403"/>
      <c r="Z116" s="403"/>
      <c r="AA116" s="403"/>
    </row>
    <row r="117">
      <c r="A117" s="417" t="s">
        <v>8960</v>
      </c>
      <c r="B117" s="442"/>
      <c r="C117" s="436"/>
      <c r="D117" s="403"/>
      <c r="E117" s="403"/>
      <c r="F117" s="403"/>
      <c r="G117" s="403"/>
      <c r="H117" s="403"/>
      <c r="I117" s="403"/>
      <c r="J117" s="403"/>
      <c r="K117" s="403"/>
      <c r="L117" s="403"/>
      <c r="M117" s="403"/>
      <c r="N117" s="403"/>
      <c r="O117" s="403"/>
      <c r="P117" s="403"/>
      <c r="Q117" s="403"/>
      <c r="R117" s="403"/>
      <c r="S117" s="403"/>
      <c r="T117" s="403"/>
      <c r="U117" s="403"/>
      <c r="V117" s="403"/>
      <c r="W117" s="403"/>
      <c r="X117" s="403"/>
      <c r="Y117" s="403"/>
      <c r="Z117" s="403"/>
      <c r="AA117" s="403"/>
    </row>
    <row r="118">
      <c r="A118" s="400" t="s">
        <v>8965</v>
      </c>
      <c r="B118" s="442"/>
      <c r="C118" s="436"/>
      <c r="D118" s="403"/>
      <c r="E118" s="403"/>
      <c r="F118" s="403"/>
      <c r="G118" s="403"/>
      <c r="H118" s="403"/>
      <c r="I118" s="403"/>
      <c r="J118" s="403"/>
      <c r="K118" s="403"/>
      <c r="L118" s="403"/>
      <c r="M118" s="403"/>
      <c r="N118" s="403"/>
      <c r="O118" s="403"/>
      <c r="P118" s="403"/>
      <c r="Q118" s="403"/>
      <c r="R118" s="403"/>
      <c r="S118" s="403"/>
      <c r="T118" s="403"/>
      <c r="U118" s="403"/>
      <c r="V118" s="403"/>
      <c r="W118" s="403"/>
      <c r="X118" s="403"/>
      <c r="Y118" s="403"/>
      <c r="Z118" s="403"/>
      <c r="AA118" s="403"/>
    </row>
    <row r="119">
      <c r="A119" s="418" t="s">
        <v>8968</v>
      </c>
      <c r="B119" s="442"/>
      <c r="C119" s="436"/>
      <c r="D119" s="403"/>
      <c r="E119" s="403"/>
      <c r="F119" s="403"/>
      <c r="G119" s="403"/>
      <c r="H119" s="403"/>
      <c r="I119" s="403"/>
      <c r="J119" s="403"/>
      <c r="K119" s="403"/>
      <c r="L119" s="403"/>
      <c r="M119" s="403"/>
      <c r="N119" s="403"/>
      <c r="O119" s="403"/>
      <c r="P119" s="403"/>
      <c r="Q119" s="403"/>
      <c r="R119" s="403"/>
      <c r="S119" s="403"/>
      <c r="T119" s="403"/>
      <c r="U119" s="403"/>
      <c r="V119" s="403"/>
      <c r="W119" s="403"/>
      <c r="X119" s="403"/>
      <c r="Y119" s="403"/>
      <c r="Z119" s="403"/>
      <c r="AA119" s="403"/>
    </row>
    <row r="120">
      <c r="A120" s="400" t="s">
        <v>8975</v>
      </c>
      <c r="B120" s="442"/>
      <c r="C120" s="436"/>
      <c r="D120" s="403"/>
      <c r="E120" s="403"/>
      <c r="F120" s="403"/>
      <c r="G120" s="403"/>
      <c r="H120" s="403"/>
      <c r="I120" s="403"/>
      <c r="J120" s="403"/>
      <c r="K120" s="403"/>
      <c r="L120" s="403"/>
      <c r="M120" s="403"/>
      <c r="N120" s="403"/>
      <c r="O120" s="403"/>
      <c r="P120" s="403"/>
      <c r="Q120" s="403"/>
      <c r="R120" s="403"/>
      <c r="S120" s="403"/>
      <c r="T120" s="403"/>
      <c r="U120" s="403"/>
      <c r="V120" s="403"/>
      <c r="W120" s="403"/>
      <c r="X120" s="403"/>
      <c r="Y120" s="403"/>
      <c r="Z120" s="403"/>
      <c r="AA120" s="403"/>
    </row>
    <row r="121">
      <c r="A121" s="418" t="s">
        <v>8977</v>
      </c>
      <c r="B121" s="442"/>
      <c r="C121" s="436"/>
      <c r="D121" s="403"/>
      <c r="E121" s="403"/>
      <c r="F121" s="403"/>
      <c r="G121" s="403"/>
      <c r="H121" s="403"/>
      <c r="I121" s="403"/>
      <c r="J121" s="403"/>
      <c r="K121" s="403"/>
      <c r="L121" s="403"/>
      <c r="M121" s="403"/>
      <c r="N121" s="403"/>
      <c r="O121" s="403"/>
      <c r="P121" s="403"/>
      <c r="Q121" s="403"/>
      <c r="R121" s="403"/>
      <c r="S121" s="403"/>
      <c r="T121" s="403"/>
      <c r="U121" s="403"/>
      <c r="V121" s="403"/>
      <c r="W121" s="403"/>
      <c r="X121" s="403"/>
      <c r="Y121" s="403"/>
      <c r="Z121" s="403"/>
      <c r="AA121" s="403"/>
    </row>
    <row r="122">
      <c r="A122" s="400" t="s">
        <v>8978</v>
      </c>
      <c r="B122" s="442"/>
      <c r="C122" s="436"/>
      <c r="D122" s="403"/>
      <c r="E122" s="403"/>
      <c r="F122" s="403"/>
      <c r="G122" s="403"/>
      <c r="H122" s="403"/>
      <c r="I122" s="403"/>
      <c r="J122" s="403"/>
      <c r="K122" s="403"/>
      <c r="L122" s="403"/>
      <c r="M122" s="403"/>
      <c r="N122" s="403"/>
      <c r="O122" s="403"/>
      <c r="P122" s="403"/>
      <c r="Q122" s="403"/>
      <c r="R122" s="403"/>
      <c r="S122" s="403"/>
      <c r="T122" s="403"/>
      <c r="U122" s="403"/>
      <c r="V122" s="403"/>
      <c r="W122" s="403"/>
      <c r="X122" s="403"/>
      <c r="Y122" s="403"/>
      <c r="Z122" s="403"/>
      <c r="AA122" s="403"/>
    </row>
    <row r="123">
      <c r="A123" s="400" t="s">
        <v>8980</v>
      </c>
      <c r="B123" s="442"/>
      <c r="C123" s="436"/>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row>
    <row r="124">
      <c r="A124" s="400" t="s">
        <v>8981</v>
      </c>
      <c r="B124" s="442"/>
      <c r="C124" s="436"/>
      <c r="D124" s="403"/>
      <c r="E124" s="403"/>
      <c r="F124" s="403"/>
      <c r="G124" s="403"/>
      <c r="H124" s="403"/>
      <c r="I124" s="403"/>
      <c r="J124" s="403"/>
      <c r="K124" s="403"/>
      <c r="L124" s="403"/>
      <c r="M124" s="403"/>
      <c r="N124" s="403"/>
      <c r="O124" s="403"/>
      <c r="P124" s="403"/>
      <c r="Q124" s="403"/>
      <c r="R124" s="403"/>
      <c r="S124" s="403"/>
      <c r="T124" s="403"/>
      <c r="U124" s="403"/>
      <c r="V124" s="403"/>
      <c r="W124" s="403"/>
      <c r="X124" s="403"/>
      <c r="Y124" s="403"/>
      <c r="Z124" s="403"/>
      <c r="AA124" s="403"/>
    </row>
    <row r="125">
      <c r="A125" s="400" t="s">
        <v>8984</v>
      </c>
      <c r="B125" s="415"/>
      <c r="C125" s="403"/>
      <c r="D125" s="403"/>
      <c r="E125" s="403"/>
      <c r="F125" s="403"/>
      <c r="G125" s="403"/>
      <c r="H125" s="403"/>
      <c r="I125" s="403"/>
      <c r="J125" s="403"/>
      <c r="K125" s="403"/>
      <c r="L125" s="403"/>
      <c r="M125" s="403"/>
      <c r="N125" s="403"/>
      <c r="O125" s="403"/>
      <c r="P125" s="403"/>
      <c r="Q125" s="403"/>
      <c r="R125" s="403"/>
      <c r="S125" s="403"/>
      <c r="T125" s="403"/>
      <c r="U125" s="403"/>
      <c r="V125" s="403"/>
      <c r="W125" s="403"/>
      <c r="X125" s="403"/>
      <c r="Y125" s="403"/>
      <c r="Z125" s="403"/>
      <c r="AA125" s="403"/>
    </row>
    <row r="126">
      <c r="A126" s="400" t="s">
        <v>8987</v>
      </c>
      <c r="B126" s="415"/>
      <c r="C126" s="403"/>
      <c r="D126" s="403"/>
      <c r="E126" s="403"/>
      <c r="F126" s="403"/>
      <c r="G126" s="403"/>
      <c r="H126" s="403"/>
      <c r="I126" s="403"/>
      <c r="J126" s="403"/>
      <c r="K126" s="403"/>
      <c r="L126" s="403"/>
      <c r="M126" s="403"/>
      <c r="N126" s="403"/>
      <c r="O126" s="403"/>
      <c r="P126" s="403"/>
      <c r="Q126" s="403"/>
      <c r="R126" s="403"/>
      <c r="S126" s="403"/>
      <c r="T126" s="403"/>
      <c r="U126" s="403"/>
      <c r="V126" s="403"/>
      <c r="W126" s="403"/>
      <c r="X126" s="403"/>
      <c r="Y126" s="403"/>
      <c r="Z126" s="403"/>
      <c r="AA126" s="403"/>
    </row>
    <row r="127">
      <c r="A127" s="400" t="s">
        <v>9391</v>
      </c>
      <c r="B127" s="415"/>
      <c r="C127" s="403"/>
      <c r="D127" s="403"/>
      <c r="E127" s="403"/>
      <c r="F127" s="403"/>
      <c r="G127" s="403"/>
      <c r="H127" s="403"/>
      <c r="I127" s="403"/>
      <c r="J127" s="403"/>
      <c r="K127" s="403"/>
      <c r="L127" s="403"/>
      <c r="M127" s="403"/>
      <c r="N127" s="403"/>
      <c r="O127" s="403"/>
      <c r="P127" s="403"/>
      <c r="Q127" s="403"/>
      <c r="R127" s="403"/>
      <c r="S127" s="403"/>
      <c r="T127" s="403"/>
      <c r="U127" s="403"/>
      <c r="V127" s="403"/>
      <c r="W127" s="403"/>
      <c r="X127" s="403"/>
      <c r="Y127" s="403"/>
      <c r="Z127" s="403"/>
      <c r="AA127" s="403"/>
    </row>
    <row r="128">
      <c r="A128" s="400" t="s">
        <v>8989</v>
      </c>
      <c r="B128" s="415"/>
      <c r="C128" s="403"/>
      <c r="D128" s="403"/>
      <c r="E128" s="403"/>
      <c r="F128" s="403"/>
      <c r="G128" s="403"/>
      <c r="H128" s="403"/>
      <c r="I128" s="403"/>
      <c r="J128" s="403"/>
      <c r="K128" s="403"/>
      <c r="L128" s="403"/>
      <c r="M128" s="403"/>
      <c r="N128" s="403"/>
      <c r="O128" s="403"/>
      <c r="P128" s="403"/>
      <c r="Q128" s="403"/>
      <c r="R128" s="403"/>
      <c r="S128" s="403"/>
      <c r="T128" s="403"/>
      <c r="U128" s="403"/>
      <c r="V128" s="403"/>
      <c r="W128" s="403"/>
      <c r="X128" s="403"/>
      <c r="Y128" s="403"/>
      <c r="Z128" s="403"/>
      <c r="AA128" s="403"/>
    </row>
    <row r="129">
      <c r="A129" s="400" t="s">
        <v>8991</v>
      </c>
      <c r="B129" s="415"/>
      <c r="C129" s="403"/>
      <c r="D129" s="403"/>
      <c r="E129" s="403"/>
      <c r="F129" s="403"/>
      <c r="G129" s="403"/>
      <c r="H129" s="403"/>
      <c r="I129" s="403"/>
      <c r="J129" s="403"/>
      <c r="K129" s="403"/>
      <c r="L129" s="403"/>
      <c r="M129" s="403"/>
      <c r="N129" s="403"/>
      <c r="O129" s="403"/>
      <c r="P129" s="403"/>
      <c r="Q129" s="403"/>
      <c r="R129" s="403"/>
      <c r="S129" s="403"/>
      <c r="T129" s="403"/>
      <c r="U129" s="403"/>
      <c r="V129" s="403"/>
      <c r="W129" s="403"/>
      <c r="X129" s="403"/>
      <c r="Y129" s="403"/>
      <c r="Z129" s="403"/>
      <c r="AA129" s="403"/>
    </row>
    <row r="130">
      <c r="A130" s="403"/>
      <c r="B130" s="415"/>
      <c r="C130" s="403"/>
      <c r="D130" s="403"/>
      <c r="E130" s="403"/>
      <c r="F130" s="403"/>
      <c r="G130" s="403"/>
      <c r="H130" s="403"/>
      <c r="I130" s="403"/>
      <c r="J130" s="403"/>
      <c r="K130" s="403"/>
      <c r="L130" s="403"/>
      <c r="M130" s="403"/>
      <c r="N130" s="403"/>
      <c r="O130" s="403"/>
      <c r="P130" s="403"/>
      <c r="Q130" s="403"/>
      <c r="R130" s="403"/>
      <c r="S130" s="403"/>
      <c r="T130" s="403"/>
      <c r="U130" s="403"/>
      <c r="V130" s="403"/>
      <c r="W130" s="403"/>
      <c r="X130" s="403"/>
      <c r="Y130" s="403"/>
      <c r="Z130" s="403"/>
      <c r="AA130" s="403"/>
    </row>
    <row r="131">
      <c r="A131" s="403"/>
      <c r="B131" s="407"/>
      <c r="C131" s="408"/>
      <c r="D131" s="403"/>
      <c r="E131" s="403"/>
      <c r="F131" s="403"/>
      <c r="G131" s="403"/>
      <c r="H131" s="403"/>
      <c r="I131" s="403"/>
      <c r="J131" s="403"/>
      <c r="K131" s="403"/>
      <c r="L131" s="403"/>
      <c r="M131" s="403"/>
      <c r="N131" s="403"/>
      <c r="O131" s="403"/>
      <c r="P131" s="403"/>
      <c r="Q131" s="403"/>
      <c r="R131" s="403"/>
      <c r="S131" s="403"/>
      <c r="T131" s="403"/>
      <c r="U131" s="403"/>
      <c r="V131" s="403"/>
      <c r="W131" s="403"/>
      <c r="X131" s="403"/>
      <c r="Y131" s="403"/>
      <c r="Z131" s="403"/>
      <c r="AA131" s="403"/>
    </row>
    <row r="132">
      <c r="A132" s="403"/>
      <c r="B132" s="407"/>
      <c r="C132" s="405"/>
      <c r="D132" s="403"/>
      <c r="E132" s="403"/>
      <c r="F132" s="403"/>
      <c r="G132" s="403"/>
      <c r="H132" s="403"/>
      <c r="I132" s="403"/>
      <c r="J132" s="403"/>
      <c r="K132" s="403"/>
      <c r="L132" s="403"/>
      <c r="M132" s="403"/>
      <c r="N132" s="403"/>
      <c r="O132" s="403"/>
      <c r="P132" s="403"/>
      <c r="Q132" s="403"/>
      <c r="R132" s="403"/>
      <c r="S132" s="403"/>
      <c r="T132" s="403"/>
      <c r="U132" s="403"/>
      <c r="V132" s="403"/>
      <c r="W132" s="403"/>
      <c r="X132" s="403"/>
      <c r="Y132" s="403"/>
      <c r="Z132" s="403"/>
      <c r="AA132" s="403"/>
    </row>
    <row r="133" ht="32.25" customHeight="1">
      <c r="A133" s="423" t="s">
        <v>9398</v>
      </c>
      <c r="D133" s="424" t="s">
        <v>9073</v>
      </c>
      <c r="E133" s="56"/>
      <c r="F133" s="403"/>
      <c r="G133" s="403"/>
      <c r="H133" s="403"/>
      <c r="I133" s="403"/>
      <c r="J133" s="403"/>
      <c r="K133" s="403"/>
      <c r="L133" s="403"/>
      <c r="M133" s="403"/>
      <c r="N133" s="403"/>
      <c r="O133" s="403"/>
      <c r="P133" s="403"/>
      <c r="Q133" s="403"/>
      <c r="R133" s="403"/>
      <c r="S133" s="403"/>
      <c r="T133" s="403"/>
      <c r="U133" s="403"/>
      <c r="V133" s="403"/>
      <c r="W133" s="403"/>
      <c r="X133" s="403"/>
      <c r="Y133" s="403"/>
      <c r="Z133" s="403"/>
      <c r="AA133" s="403"/>
    </row>
    <row r="134">
      <c r="A134" s="443" t="s">
        <v>9399</v>
      </c>
      <c r="D134" s="447"/>
      <c r="E134" s="56"/>
      <c r="F134" s="403"/>
      <c r="G134" s="403"/>
      <c r="H134" s="403"/>
      <c r="I134" s="403"/>
      <c r="J134" s="403"/>
      <c r="K134" s="403"/>
      <c r="L134" s="403"/>
      <c r="M134" s="403"/>
      <c r="N134" s="403"/>
      <c r="O134" s="403"/>
      <c r="P134" s="403"/>
      <c r="Q134" s="403"/>
      <c r="R134" s="403"/>
      <c r="S134" s="403"/>
      <c r="T134" s="403"/>
      <c r="U134" s="403"/>
      <c r="V134" s="403"/>
      <c r="W134" s="403"/>
      <c r="X134" s="403"/>
      <c r="Y134" s="403"/>
      <c r="Z134" s="403"/>
      <c r="AA134" s="403"/>
    </row>
    <row r="135">
      <c r="A135" s="428" t="s">
        <v>9402</v>
      </c>
      <c r="D135" s="56"/>
      <c r="E135" s="56"/>
      <c r="F135" s="403"/>
      <c r="G135" s="403"/>
      <c r="H135" s="403"/>
      <c r="I135" s="403"/>
      <c r="J135" s="403"/>
      <c r="K135" s="403"/>
      <c r="L135" s="403"/>
      <c r="M135" s="403"/>
      <c r="N135" s="403"/>
      <c r="O135" s="403"/>
      <c r="P135" s="403"/>
      <c r="Q135" s="403"/>
      <c r="R135" s="403"/>
      <c r="S135" s="403"/>
      <c r="T135" s="403"/>
      <c r="U135" s="403"/>
      <c r="V135" s="403"/>
      <c r="W135" s="403"/>
      <c r="X135" s="403"/>
      <c r="Y135" s="403"/>
      <c r="Z135" s="403"/>
      <c r="AA135" s="403"/>
    </row>
    <row r="136">
      <c r="A136" s="429" t="s">
        <v>9083</v>
      </c>
      <c r="B136" s="430" t="s">
        <v>9084</v>
      </c>
      <c r="C136" s="431" t="s">
        <v>9085</v>
      </c>
      <c r="D136" s="56"/>
      <c r="E136" s="56"/>
      <c r="F136" s="403"/>
      <c r="G136" s="403"/>
      <c r="H136" s="403"/>
      <c r="I136" s="403"/>
      <c r="J136" s="403"/>
      <c r="K136" s="403"/>
      <c r="L136" s="403"/>
      <c r="M136" s="403"/>
      <c r="N136" s="403"/>
      <c r="O136" s="403"/>
      <c r="P136" s="403"/>
      <c r="Q136" s="403"/>
      <c r="R136" s="403"/>
      <c r="S136" s="403"/>
      <c r="T136" s="403"/>
      <c r="U136" s="403"/>
      <c r="V136" s="403"/>
      <c r="W136" s="403"/>
      <c r="X136" s="403"/>
      <c r="Y136" s="403"/>
      <c r="Z136" s="403"/>
      <c r="AA136" s="403"/>
    </row>
    <row r="137">
      <c r="A137" s="400" t="s">
        <v>9404</v>
      </c>
      <c r="B137" s="398" t="s">
        <v>9089</v>
      </c>
      <c r="C137" s="398" t="s">
        <v>9406</v>
      </c>
      <c r="D137" s="56"/>
      <c r="E137" s="56"/>
      <c r="F137" s="403"/>
      <c r="G137" s="403"/>
      <c r="H137" s="403"/>
      <c r="I137" s="403"/>
      <c r="J137" s="403"/>
      <c r="K137" s="403"/>
      <c r="L137" s="403"/>
      <c r="M137" s="403"/>
      <c r="N137" s="403"/>
      <c r="O137" s="403"/>
      <c r="P137" s="403"/>
      <c r="Q137" s="403"/>
      <c r="R137" s="403"/>
      <c r="S137" s="403"/>
      <c r="T137" s="403"/>
      <c r="U137" s="403"/>
      <c r="V137" s="403"/>
      <c r="W137" s="403"/>
      <c r="X137" s="403"/>
      <c r="Y137" s="403"/>
      <c r="Z137" s="403"/>
      <c r="AA137" s="403"/>
    </row>
    <row r="138">
      <c r="A138" s="400" t="s">
        <v>9407</v>
      </c>
      <c r="B138" s="469">
        <v>0.027083333333333334</v>
      </c>
      <c r="C138" s="470" t="s">
        <v>9409</v>
      </c>
      <c r="D138" s="56"/>
      <c r="E138" s="56"/>
      <c r="F138" s="403"/>
      <c r="G138" s="403"/>
      <c r="H138" s="403"/>
      <c r="I138" s="403"/>
      <c r="J138" s="403"/>
      <c r="K138" s="403"/>
      <c r="L138" s="403"/>
      <c r="M138" s="403"/>
      <c r="N138" s="403"/>
      <c r="O138" s="403"/>
      <c r="P138" s="403"/>
      <c r="Q138" s="403"/>
      <c r="R138" s="403"/>
      <c r="S138" s="403"/>
      <c r="T138" s="403"/>
      <c r="U138" s="403"/>
      <c r="V138" s="403"/>
      <c r="W138" s="403"/>
      <c r="X138" s="403"/>
      <c r="Y138" s="403"/>
      <c r="Z138" s="403"/>
      <c r="AA138" s="403"/>
    </row>
    <row r="139">
      <c r="A139" s="400" t="s">
        <v>9407</v>
      </c>
      <c r="B139" s="469">
        <v>0.05416666666666667</v>
      </c>
      <c r="C139" s="470" t="s">
        <v>9411</v>
      </c>
      <c r="D139" s="56"/>
      <c r="E139" s="56"/>
      <c r="F139" s="403"/>
      <c r="G139" s="403"/>
      <c r="H139" s="403"/>
      <c r="I139" s="403"/>
      <c r="J139" s="403"/>
      <c r="K139" s="403"/>
      <c r="L139" s="403"/>
      <c r="M139" s="403"/>
      <c r="N139" s="403"/>
      <c r="O139" s="403"/>
      <c r="P139" s="403"/>
      <c r="Q139" s="403"/>
      <c r="R139" s="403"/>
      <c r="S139" s="403"/>
      <c r="T139" s="403"/>
      <c r="U139" s="403"/>
      <c r="V139" s="403"/>
      <c r="W139" s="403"/>
      <c r="X139" s="403"/>
      <c r="Y139" s="403"/>
      <c r="Z139" s="403"/>
      <c r="AA139" s="403"/>
    </row>
    <row r="140">
      <c r="A140" s="400" t="s">
        <v>9413</v>
      </c>
      <c r="B140" s="398" t="s">
        <v>9089</v>
      </c>
      <c r="C140" s="398" t="s">
        <v>9414</v>
      </c>
      <c r="D140" s="56"/>
      <c r="E140" s="56"/>
      <c r="F140" s="403"/>
      <c r="G140" s="403"/>
      <c r="H140" s="403"/>
      <c r="I140" s="403"/>
      <c r="J140" s="403"/>
      <c r="K140" s="403"/>
      <c r="L140" s="403"/>
      <c r="M140" s="403"/>
      <c r="N140" s="403"/>
      <c r="O140" s="403"/>
      <c r="P140" s="403"/>
      <c r="Q140" s="403"/>
      <c r="R140" s="403"/>
      <c r="S140" s="403"/>
      <c r="T140" s="403"/>
      <c r="U140" s="403"/>
      <c r="V140" s="403"/>
      <c r="W140" s="403"/>
      <c r="X140" s="403"/>
      <c r="Y140" s="403"/>
      <c r="Z140" s="403"/>
      <c r="AA140" s="403"/>
    </row>
    <row r="141">
      <c r="A141" s="400" t="s">
        <v>9415</v>
      </c>
      <c r="B141" s="398" t="s">
        <v>9089</v>
      </c>
      <c r="C141" s="398" t="s">
        <v>9418</v>
      </c>
      <c r="D141" s="56"/>
      <c r="E141" s="56"/>
      <c r="F141" s="403"/>
      <c r="G141" s="403"/>
      <c r="H141" s="403"/>
      <c r="I141" s="403"/>
      <c r="J141" s="403"/>
      <c r="K141" s="403"/>
      <c r="L141" s="403"/>
      <c r="M141" s="403"/>
      <c r="N141" s="403"/>
      <c r="O141" s="403"/>
      <c r="P141" s="403"/>
      <c r="Q141" s="403"/>
      <c r="R141" s="403"/>
      <c r="S141" s="403"/>
      <c r="T141" s="403"/>
      <c r="U141" s="403"/>
      <c r="V141" s="403"/>
      <c r="W141" s="403"/>
      <c r="X141" s="403"/>
      <c r="Y141" s="403"/>
      <c r="Z141" s="403"/>
      <c r="AA141" s="403"/>
    </row>
    <row r="142">
      <c r="A142" s="400" t="s">
        <v>9419</v>
      </c>
      <c r="B142" s="398" t="s">
        <v>9089</v>
      </c>
      <c r="C142" s="398" t="s">
        <v>9420</v>
      </c>
      <c r="D142" s="56"/>
      <c r="E142" s="56"/>
      <c r="F142" s="403"/>
      <c r="G142" s="403"/>
      <c r="H142" s="403"/>
      <c r="I142" s="403"/>
      <c r="J142" s="403"/>
      <c r="K142" s="403"/>
      <c r="L142" s="403"/>
      <c r="M142" s="403"/>
      <c r="N142" s="403"/>
      <c r="O142" s="403"/>
      <c r="P142" s="403"/>
      <c r="Q142" s="403"/>
      <c r="R142" s="403"/>
      <c r="S142" s="403"/>
      <c r="T142" s="403"/>
      <c r="U142" s="403"/>
      <c r="V142" s="403"/>
      <c r="W142" s="403"/>
      <c r="X142" s="403"/>
      <c r="Y142" s="403"/>
      <c r="Z142" s="403"/>
      <c r="AA142" s="403"/>
    </row>
    <row r="143">
      <c r="A143" s="398"/>
      <c r="B143" s="398" t="s">
        <v>9089</v>
      </c>
      <c r="C143" s="398"/>
      <c r="D143" s="56"/>
      <c r="E143" s="56"/>
      <c r="F143" s="403"/>
      <c r="G143" s="403"/>
      <c r="H143" s="403"/>
      <c r="I143" s="403"/>
      <c r="J143" s="403"/>
      <c r="K143" s="403"/>
      <c r="L143" s="403"/>
      <c r="M143" s="403"/>
      <c r="N143" s="403"/>
      <c r="O143" s="403"/>
      <c r="P143" s="403"/>
      <c r="Q143" s="403"/>
      <c r="R143" s="403"/>
      <c r="S143" s="403"/>
      <c r="T143" s="403"/>
      <c r="U143" s="403"/>
      <c r="V143" s="403"/>
      <c r="W143" s="403"/>
      <c r="X143" s="403"/>
      <c r="Y143" s="403"/>
      <c r="Z143" s="403"/>
      <c r="AA143" s="403"/>
    </row>
    <row r="144">
      <c r="A144" s="400" t="s">
        <v>9423</v>
      </c>
      <c r="B144" s="398" t="s">
        <v>9089</v>
      </c>
      <c r="C144" s="398" t="s">
        <v>9424</v>
      </c>
      <c r="D144" s="56"/>
      <c r="E144" s="56"/>
      <c r="F144" s="403"/>
      <c r="G144" s="403"/>
      <c r="H144" s="403"/>
      <c r="I144" s="403"/>
      <c r="J144" s="403"/>
      <c r="K144" s="403"/>
      <c r="L144" s="403"/>
      <c r="M144" s="403"/>
      <c r="N144" s="403"/>
      <c r="O144" s="403"/>
      <c r="P144" s="403"/>
      <c r="Q144" s="403"/>
      <c r="R144" s="403"/>
      <c r="S144" s="403"/>
      <c r="T144" s="403"/>
      <c r="U144" s="403"/>
      <c r="V144" s="403"/>
      <c r="W144" s="403"/>
      <c r="X144" s="403"/>
      <c r="Y144" s="403"/>
      <c r="Z144" s="403"/>
      <c r="AA144" s="403"/>
    </row>
    <row r="145">
      <c r="A145" s="400" t="s">
        <v>9244</v>
      </c>
      <c r="B145" s="398" t="s">
        <v>9089</v>
      </c>
      <c r="C145" s="398" t="s">
        <v>9427</v>
      </c>
      <c r="D145" s="56"/>
      <c r="E145" s="56"/>
      <c r="F145" s="403"/>
      <c r="G145" s="403"/>
      <c r="H145" s="403"/>
      <c r="I145" s="403"/>
      <c r="J145" s="403"/>
      <c r="K145" s="403"/>
      <c r="L145" s="403"/>
      <c r="M145" s="403"/>
      <c r="N145" s="403"/>
      <c r="O145" s="403"/>
      <c r="P145" s="403"/>
      <c r="Q145" s="403"/>
      <c r="R145" s="403"/>
      <c r="S145" s="403"/>
      <c r="T145" s="403"/>
      <c r="U145" s="403"/>
      <c r="V145" s="403"/>
      <c r="W145" s="403"/>
      <c r="X145" s="403"/>
      <c r="Y145" s="403"/>
      <c r="Z145" s="403"/>
      <c r="AA145" s="403"/>
    </row>
    <row r="146">
      <c r="A146" s="400" t="s">
        <v>9428</v>
      </c>
      <c r="B146" s="398" t="s">
        <v>9089</v>
      </c>
      <c r="C146" s="398" t="s">
        <v>9430</v>
      </c>
      <c r="D146" s="403"/>
      <c r="E146" s="403"/>
      <c r="F146" s="403"/>
      <c r="G146" s="403"/>
      <c r="H146" s="403"/>
      <c r="I146" s="403"/>
      <c r="J146" s="403"/>
      <c r="K146" s="403"/>
      <c r="L146" s="403"/>
      <c r="M146" s="403"/>
      <c r="N146" s="403"/>
      <c r="O146" s="403"/>
      <c r="P146" s="403"/>
      <c r="Q146" s="403"/>
      <c r="R146" s="403"/>
      <c r="S146" s="403"/>
      <c r="T146" s="403"/>
      <c r="U146" s="403"/>
      <c r="V146" s="403"/>
      <c r="W146" s="403"/>
      <c r="X146" s="403"/>
      <c r="Y146" s="403"/>
      <c r="Z146" s="403"/>
      <c r="AA146" s="403"/>
    </row>
    <row r="147">
      <c r="A147" s="471" t="s">
        <v>9121</v>
      </c>
      <c r="B147" s="398"/>
      <c r="C147" s="398"/>
      <c r="D147" s="403"/>
      <c r="E147" s="403"/>
      <c r="F147" s="403"/>
      <c r="G147" s="403"/>
      <c r="H147" s="403"/>
      <c r="I147" s="403"/>
      <c r="J147" s="403"/>
      <c r="K147" s="403"/>
      <c r="L147" s="403"/>
      <c r="M147" s="403"/>
      <c r="N147" s="403"/>
      <c r="O147" s="403"/>
      <c r="P147" s="403"/>
      <c r="Q147" s="403"/>
      <c r="R147" s="403"/>
      <c r="S147" s="403"/>
      <c r="T147" s="403"/>
      <c r="U147" s="403"/>
      <c r="V147" s="403"/>
      <c r="W147" s="403"/>
      <c r="X147" s="403"/>
      <c r="Y147" s="403"/>
      <c r="Z147" s="403"/>
      <c r="AA147" s="403"/>
    </row>
    <row r="148">
      <c r="A148" s="400" t="s">
        <v>9432</v>
      </c>
      <c r="B148" s="398"/>
      <c r="C148" s="398" t="s">
        <v>9433</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row>
    <row r="149">
      <c r="A149" s="403"/>
      <c r="B149" s="415"/>
      <c r="C149" s="403"/>
      <c r="D149" s="403"/>
      <c r="E149" s="403"/>
      <c r="F149" s="403"/>
      <c r="G149" s="403"/>
      <c r="H149" s="403"/>
      <c r="I149" s="403"/>
      <c r="J149" s="403"/>
      <c r="K149" s="403"/>
      <c r="L149" s="403"/>
      <c r="M149" s="403"/>
      <c r="N149" s="403"/>
      <c r="O149" s="403"/>
      <c r="P149" s="403"/>
      <c r="Q149" s="403"/>
      <c r="R149" s="403"/>
      <c r="S149" s="403"/>
      <c r="T149" s="403"/>
      <c r="U149" s="403"/>
      <c r="V149" s="403"/>
      <c r="W149" s="403"/>
      <c r="X149" s="403"/>
      <c r="Y149" s="403"/>
      <c r="Z149" s="403"/>
      <c r="AA149" s="403"/>
    </row>
    <row r="150">
      <c r="A150" s="403"/>
      <c r="B150" s="415"/>
      <c r="C150" s="403"/>
      <c r="D150" s="403"/>
      <c r="E150" s="403"/>
      <c r="F150" s="403"/>
      <c r="G150" s="403"/>
      <c r="H150" s="403"/>
      <c r="I150" s="403"/>
      <c r="J150" s="403"/>
      <c r="K150" s="403"/>
      <c r="L150" s="403"/>
      <c r="M150" s="403"/>
      <c r="N150" s="403"/>
      <c r="O150" s="403"/>
      <c r="P150" s="403"/>
      <c r="Q150" s="403"/>
      <c r="R150" s="403"/>
      <c r="S150" s="403"/>
      <c r="T150" s="403"/>
      <c r="U150" s="403"/>
      <c r="V150" s="403"/>
      <c r="W150" s="403"/>
      <c r="X150" s="403"/>
      <c r="Y150" s="403"/>
      <c r="Z150" s="403"/>
      <c r="AA150" s="403"/>
    </row>
    <row r="151">
      <c r="A151" s="403"/>
      <c r="B151" s="415"/>
      <c r="C151" s="403"/>
      <c r="D151" s="403"/>
      <c r="E151" s="403"/>
      <c r="F151" s="403"/>
      <c r="G151" s="403"/>
      <c r="H151" s="403"/>
      <c r="I151" s="403"/>
      <c r="J151" s="403"/>
      <c r="K151" s="403"/>
      <c r="L151" s="403"/>
      <c r="M151" s="403"/>
      <c r="N151" s="403"/>
      <c r="O151" s="403"/>
      <c r="P151" s="403"/>
      <c r="Q151" s="403"/>
      <c r="R151" s="403"/>
      <c r="S151" s="403"/>
      <c r="T151" s="403"/>
      <c r="U151" s="403"/>
      <c r="V151" s="403"/>
      <c r="W151" s="403"/>
      <c r="X151" s="403"/>
      <c r="Y151" s="403"/>
      <c r="Z151" s="403"/>
      <c r="AA151" s="403"/>
    </row>
    <row r="152" ht="35.25" customHeight="1">
      <c r="A152" s="423" t="s">
        <v>9436</v>
      </c>
      <c r="D152" s="424" t="s">
        <v>9073</v>
      </c>
      <c r="E152" s="403"/>
      <c r="F152" s="403"/>
      <c r="G152" s="403"/>
      <c r="H152" s="403"/>
      <c r="I152" s="403"/>
      <c r="J152" s="403"/>
      <c r="K152" s="403"/>
      <c r="L152" s="403"/>
      <c r="M152" s="403"/>
      <c r="N152" s="403"/>
      <c r="O152" s="403"/>
      <c r="P152" s="403"/>
      <c r="Q152" s="403"/>
      <c r="R152" s="403"/>
      <c r="S152" s="403"/>
      <c r="T152" s="403"/>
      <c r="U152" s="403"/>
      <c r="V152" s="403"/>
      <c r="W152" s="403"/>
      <c r="X152" s="403"/>
      <c r="Y152" s="403"/>
      <c r="Z152" s="403"/>
      <c r="AA152" s="403"/>
    </row>
    <row r="153">
      <c r="A153" s="443" t="s">
        <v>8911</v>
      </c>
      <c r="D153" s="203" t="s">
        <v>30</v>
      </c>
      <c r="E153" s="403"/>
      <c r="F153" s="403"/>
      <c r="G153" s="403"/>
      <c r="H153" s="403"/>
      <c r="I153" s="403"/>
      <c r="J153" s="403"/>
      <c r="K153" s="403"/>
      <c r="L153" s="403"/>
      <c r="M153" s="403"/>
      <c r="N153" s="403"/>
      <c r="O153" s="403"/>
      <c r="P153" s="403"/>
      <c r="Q153" s="403"/>
      <c r="R153" s="403"/>
      <c r="S153" s="403"/>
      <c r="T153" s="403"/>
      <c r="U153" s="403"/>
      <c r="V153" s="403"/>
      <c r="W153" s="403"/>
      <c r="X153" s="403"/>
      <c r="Y153" s="403"/>
      <c r="Z153" s="403"/>
      <c r="AA153" s="403"/>
    </row>
    <row r="154">
      <c r="A154" s="428"/>
      <c r="D154" s="403"/>
      <c r="E154" s="403"/>
      <c r="F154" s="403"/>
      <c r="G154" s="403"/>
      <c r="H154" s="403"/>
      <c r="I154" s="403"/>
      <c r="J154" s="403"/>
      <c r="K154" s="403"/>
      <c r="L154" s="403"/>
      <c r="M154" s="403"/>
      <c r="N154" s="403"/>
      <c r="O154" s="403"/>
      <c r="P154" s="403"/>
      <c r="Q154" s="403"/>
      <c r="R154" s="403"/>
      <c r="S154" s="403"/>
      <c r="T154" s="403"/>
      <c r="U154" s="403"/>
      <c r="V154" s="403"/>
      <c r="W154" s="403"/>
      <c r="X154" s="403"/>
      <c r="Y154" s="403"/>
      <c r="Z154" s="403"/>
      <c r="AA154" s="403"/>
    </row>
    <row r="155">
      <c r="A155" s="429" t="s">
        <v>9083</v>
      </c>
      <c r="B155" s="430" t="s">
        <v>9084</v>
      </c>
      <c r="C155" s="431" t="s">
        <v>9085</v>
      </c>
      <c r="D155" s="403"/>
      <c r="E155" s="403"/>
      <c r="F155" s="403"/>
      <c r="G155" s="403"/>
      <c r="H155" s="403"/>
      <c r="I155" s="403"/>
      <c r="J155" s="403"/>
      <c r="K155" s="403"/>
      <c r="L155" s="403"/>
      <c r="M155" s="403"/>
      <c r="N155" s="403"/>
      <c r="O155" s="403"/>
      <c r="P155" s="403"/>
      <c r="Q155" s="403"/>
      <c r="R155" s="403"/>
      <c r="S155" s="403"/>
      <c r="T155" s="403"/>
      <c r="U155" s="403"/>
      <c r="V155" s="403"/>
      <c r="W155" s="403"/>
      <c r="X155" s="403"/>
      <c r="Y155" s="403"/>
      <c r="Z155" s="403"/>
      <c r="AA155" s="403"/>
    </row>
    <row r="156">
      <c r="A156" s="418" t="s">
        <v>8909</v>
      </c>
      <c r="B156" s="442"/>
      <c r="C156" s="436"/>
      <c r="D156" s="403"/>
      <c r="E156" s="403"/>
      <c r="F156" s="403"/>
      <c r="G156" s="403"/>
      <c r="H156" s="403"/>
      <c r="I156" s="403"/>
      <c r="J156" s="403"/>
      <c r="K156" s="403"/>
      <c r="L156" s="403"/>
      <c r="M156" s="403"/>
      <c r="N156" s="403"/>
      <c r="O156" s="403"/>
      <c r="P156" s="403"/>
      <c r="Q156" s="403"/>
      <c r="R156" s="403"/>
      <c r="S156" s="403"/>
      <c r="T156" s="403"/>
      <c r="U156" s="403"/>
      <c r="V156" s="403"/>
      <c r="W156" s="403"/>
      <c r="X156" s="403"/>
      <c r="Y156" s="403"/>
      <c r="Z156" s="403"/>
      <c r="AA156" s="403"/>
    </row>
    <row r="157">
      <c r="A157" s="400" t="s">
        <v>8917</v>
      </c>
      <c r="B157" s="442"/>
      <c r="C157" s="436"/>
      <c r="D157" s="403"/>
      <c r="E157" s="403"/>
      <c r="F157" s="403"/>
      <c r="G157" s="403"/>
      <c r="H157" s="403"/>
      <c r="I157" s="403"/>
      <c r="J157" s="403"/>
      <c r="K157" s="403"/>
      <c r="L157" s="403"/>
      <c r="M157" s="403"/>
      <c r="N157" s="403"/>
      <c r="O157" s="403"/>
      <c r="P157" s="403"/>
      <c r="Q157" s="403"/>
      <c r="R157" s="403"/>
      <c r="S157" s="403"/>
      <c r="T157" s="403"/>
      <c r="U157" s="403"/>
      <c r="V157" s="403"/>
      <c r="W157" s="403"/>
      <c r="X157" s="403"/>
      <c r="Y157" s="403"/>
      <c r="Z157" s="403"/>
      <c r="AA157" s="403"/>
    </row>
    <row r="158">
      <c r="A158" s="400" t="s">
        <v>8922</v>
      </c>
      <c r="B158" s="442"/>
      <c r="C158" s="436"/>
      <c r="D158" s="403"/>
      <c r="E158" s="403"/>
      <c r="F158" s="403"/>
      <c r="G158" s="403"/>
      <c r="H158" s="403"/>
      <c r="I158" s="403"/>
      <c r="J158" s="403"/>
      <c r="K158" s="403"/>
      <c r="L158" s="403"/>
      <c r="M158" s="403"/>
      <c r="N158" s="403"/>
      <c r="O158" s="403"/>
      <c r="P158" s="403"/>
      <c r="Q158" s="403"/>
      <c r="R158" s="403"/>
      <c r="S158" s="403"/>
      <c r="T158" s="403"/>
      <c r="U158" s="403"/>
      <c r="V158" s="403"/>
      <c r="W158" s="403"/>
      <c r="X158" s="403"/>
      <c r="Y158" s="403"/>
      <c r="Z158" s="403"/>
      <c r="AA158" s="403"/>
    </row>
    <row r="159">
      <c r="A159" s="400" t="s">
        <v>8927</v>
      </c>
      <c r="B159" s="442"/>
      <c r="C159" s="436"/>
      <c r="D159" s="403"/>
      <c r="E159" s="403"/>
      <c r="F159" s="403"/>
      <c r="G159" s="403"/>
      <c r="H159" s="403"/>
      <c r="I159" s="403"/>
      <c r="J159" s="403"/>
      <c r="K159" s="403"/>
      <c r="L159" s="403"/>
      <c r="M159" s="403"/>
      <c r="N159" s="403"/>
      <c r="O159" s="403"/>
      <c r="P159" s="403"/>
      <c r="Q159" s="403"/>
      <c r="R159" s="403"/>
      <c r="S159" s="403"/>
      <c r="T159" s="403"/>
      <c r="U159" s="403"/>
      <c r="V159" s="403"/>
      <c r="W159" s="403"/>
      <c r="X159" s="403"/>
      <c r="Y159" s="403"/>
      <c r="Z159" s="403"/>
      <c r="AA159" s="403"/>
    </row>
    <row r="160">
      <c r="A160" s="400" t="s">
        <v>8930</v>
      </c>
      <c r="B160" s="442"/>
      <c r="C160" s="436"/>
      <c r="D160" s="403"/>
      <c r="E160" s="403"/>
      <c r="F160" s="403"/>
      <c r="G160" s="403"/>
      <c r="H160" s="403"/>
      <c r="I160" s="403"/>
      <c r="J160" s="403"/>
      <c r="K160" s="403"/>
      <c r="L160" s="403"/>
      <c r="M160" s="403"/>
      <c r="N160" s="403"/>
      <c r="O160" s="403"/>
      <c r="P160" s="403"/>
      <c r="Q160" s="403"/>
      <c r="R160" s="403"/>
      <c r="S160" s="403"/>
      <c r="T160" s="403"/>
      <c r="U160" s="403"/>
      <c r="V160" s="403"/>
      <c r="W160" s="403"/>
      <c r="X160" s="403"/>
      <c r="Y160" s="403"/>
      <c r="Z160" s="403"/>
      <c r="AA160" s="403"/>
    </row>
    <row r="161">
      <c r="A161" s="400" t="s">
        <v>8934</v>
      </c>
      <c r="B161" s="442"/>
      <c r="C161" s="436"/>
      <c r="D161" s="403"/>
      <c r="E161" s="403"/>
      <c r="F161" s="403"/>
      <c r="G161" s="403"/>
      <c r="H161" s="403"/>
      <c r="I161" s="403"/>
      <c r="J161" s="403"/>
      <c r="K161" s="403"/>
      <c r="L161" s="403"/>
      <c r="M161" s="403"/>
      <c r="N161" s="403"/>
      <c r="O161" s="403"/>
      <c r="P161" s="403"/>
      <c r="Q161" s="403"/>
      <c r="R161" s="403"/>
      <c r="S161" s="403"/>
      <c r="T161" s="403"/>
      <c r="U161" s="403"/>
      <c r="V161" s="403"/>
      <c r="W161" s="403"/>
      <c r="X161" s="403"/>
      <c r="Y161" s="403"/>
      <c r="Z161" s="403"/>
      <c r="AA161" s="403"/>
    </row>
    <row r="162">
      <c r="A162" s="400" t="s">
        <v>8936</v>
      </c>
      <c r="B162" s="442"/>
      <c r="C162" s="436"/>
      <c r="D162" s="403"/>
      <c r="E162" s="403"/>
      <c r="F162" s="403"/>
      <c r="G162" s="403"/>
      <c r="H162" s="403"/>
      <c r="I162" s="403"/>
      <c r="J162" s="403"/>
      <c r="K162" s="403"/>
      <c r="L162" s="403"/>
      <c r="M162" s="403"/>
      <c r="N162" s="403"/>
      <c r="O162" s="403"/>
      <c r="P162" s="403"/>
      <c r="Q162" s="403"/>
      <c r="R162" s="403"/>
      <c r="S162" s="403"/>
      <c r="T162" s="403"/>
      <c r="U162" s="403"/>
      <c r="V162" s="403"/>
      <c r="W162" s="403"/>
      <c r="X162" s="403"/>
      <c r="Y162" s="403"/>
      <c r="Z162" s="403"/>
      <c r="AA162" s="403"/>
    </row>
    <row r="163">
      <c r="A163" s="400" t="s">
        <v>8939</v>
      </c>
      <c r="B163" s="442"/>
      <c r="C163" s="436"/>
      <c r="D163" s="403"/>
      <c r="E163" s="403"/>
      <c r="F163" s="403"/>
      <c r="G163" s="403"/>
      <c r="H163" s="403"/>
      <c r="I163" s="403"/>
      <c r="J163" s="403"/>
      <c r="K163" s="403"/>
      <c r="L163" s="403"/>
      <c r="M163" s="403"/>
      <c r="N163" s="403"/>
      <c r="O163" s="403"/>
      <c r="P163" s="403"/>
      <c r="Q163" s="403"/>
      <c r="R163" s="403"/>
      <c r="S163" s="403"/>
      <c r="T163" s="403"/>
      <c r="U163" s="403"/>
      <c r="V163" s="403"/>
      <c r="W163" s="403"/>
      <c r="X163" s="403"/>
      <c r="Y163" s="403"/>
      <c r="Z163" s="403"/>
      <c r="AA163" s="403"/>
    </row>
    <row r="164">
      <c r="A164" s="400" t="s">
        <v>8943</v>
      </c>
      <c r="B164" s="415"/>
      <c r="C164" s="403"/>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c r="A165" s="400" t="s">
        <v>8947</v>
      </c>
      <c r="B165" s="415"/>
      <c r="C165" s="403"/>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c r="A166" s="400" t="s">
        <v>8951</v>
      </c>
      <c r="B166" s="415"/>
      <c r="C166" s="403"/>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c r="A167" s="400"/>
      <c r="B167" s="415"/>
      <c r="C167" s="403"/>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c r="A168" s="400"/>
      <c r="B168" s="415"/>
      <c r="C168" s="403"/>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c r="A171" s="403"/>
      <c r="B171" s="474"/>
      <c r="C171" s="408"/>
      <c r="D171" s="403"/>
      <c r="E171" s="403"/>
      <c r="F171" s="403"/>
      <c r="G171" s="403"/>
      <c r="H171" s="403"/>
      <c r="I171" s="403"/>
      <c r="J171" s="403"/>
      <c r="K171" s="403"/>
      <c r="L171" s="403"/>
      <c r="M171" s="403"/>
      <c r="N171" s="403"/>
      <c r="O171" s="403"/>
      <c r="P171" s="403"/>
      <c r="Q171" s="403"/>
      <c r="R171" s="403"/>
      <c r="S171" s="403"/>
      <c r="T171" s="403"/>
      <c r="U171" s="403"/>
      <c r="V171" s="403"/>
      <c r="W171" s="403"/>
      <c r="X171" s="403"/>
      <c r="Y171" s="403"/>
      <c r="Z171" s="403"/>
      <c r="AA171" s="403"/>
    </row>
    <row r="172">
      <c r="A172" s="403"/>
      <c r="B172" s="407"/>
      <c r="C172" s="408"/>
      <c r="D172" s="403"/>
      <c r="E172" s="403"/>
      <c r="F172" s="403"/>
      <c r="G172" s="403"/>
      <c r="H172" s="403"/>
      <c r="I172" s="403"/>
      <c r="J172" s="403"/>
      <c r="K172" s="403"/>
      <c r="L172" s="403"/>
      <c r="M172" s="403"/>
      <c r="N172" s="403"/>
      <c r="O172" s="403"/>
      <c r="P172" s="403"/>
      <c r="Q172" s="403"/>
      <c r="R172" s="403"/>
      <c r="S172" s="403"/>
      <c r="T172" s="403"/>
      <c r="U172" s="403"/>
      <c r="V172" s="403"/>
      <c r="W172" s="403"/>
      <c r="X172" s="403"/>
      <c r="Y172" s="403"/>
      <c r="Z172" s="403"/>
      <c r="AA172" s="403"/>
    </row>
    <row r="173">
      <c r="A173" s="403"/>
      <c r="B173" s="407"/>
      <c r="C173" s="403"/>
      <c r="D173" s="403"/>
      <c r="E173" s="403"/>
      <c r="F173" s="403"/>
      <c r="G173" s="403"/>
      <c r="H173" s="403"/>
      <c r="I173" s="403"/>
      <c r="J173" s="403"/>
      <c r="K173" s="403"/>
      <c r="L173" s="403"/>
      <c r="M173" s="403"/>
      <c r="N173" s="403"/>
      <c r="O173" s="403"/>
      <c r="P173" s="403"/>
      <c r="Q173" s="403"/>
      <c r="R173" s="403"/>
      <c r="S173" s="403"/>
      <c r="T173" s="403"/>
      <c r="U173" s="403"/>
      <c r="V173" s="403"/>
      <c r="W173" s="403"/>
      <c r="X173" s="403"/>
      <c r="Y173" s="403"/>
      <c r="Z173" s="403"/>
      <c r="AA173" s="403"/>
    </row>
    <row r="174">
      <c r="A174" s="403"/>
      <c r="B174" s="415"/>
      <c r="C174" s="403"/>
      <c r="D174" s="403"/>
      <c r="E174" s="403"/>
      <c r="F174" s="403"/>
      <c r="G174" s="403"/>
      <c r="H174" s="403"/>
      <c r="I174" s="403"/>
      <c r="J174" s="403"/>
      <c r="K174" s="403"/>
      <c r="L174" s="403"/>
      <c r="M174" s="403"/>
      <c r="N174" s="403"/>
      <c r="O174" s="403"/>
      <c r="P174" s="403"/>
      <c r="Q174" s="403"/>
      <c r="R174" s="403"/>
      <c r="S174" s="403"/>
      <c r="T174" s="403"/>
      <c r="U174" s="403"/>
      <c r="V174" s="403"/>
      <c r="W174" s="403"/>
      <c r="X174" s="403"/>
      <c r="Y174" s="403"/>
      <c r="Z174" s="403"/>
      <c r="AA174" s="403"/>
    </row>
    <row r="175">
      <c r="A175" s="403"/>
      <c r="B175" s="415"/>
      <c r="C175" s="403"/>
      <c r="D175" s="403"/>
      <c r="E175" s="403"/>
      <c r="F175" s="403"/>
      <c r="G175" s="403"/>
      <c r="H175" s="403"/>
      <c r="I175" s="403"/>
      <c r="J175" s="403"/>
      <c r="K175" s="403"/>
      <c r="L175" s="403"/>
      <c r="M175" s="403"/>
      <c r="N175" s="403"/>
      <c r="O175" s="403"/>
      <c r="P175" s="403"/>
      <c r="Q175" s="403"/>
      <c r="R175" s="403"/>
      <c r="S175" s="403"/>
      <c r="T175" s="403"/>
      <c r="U175" s="403"/>
      <c r="V175" s="403"/>
      <c r="W175" s="403"/>
      <c r="X175" s="403"/>
      <c r="Y175" s="403"/>
      <c r="Z175" s="403"/>
      <c r="AA175" s="403"/>
    </row>
    <row r="176">
      <c r="A176" s="403"/>
      <c r="B176" s="415"/>
      <c r="C176" s="403"/>
      <c r="D176" s="403"/>
      <c r="E176" s="403"/>
      <c r="F176" s="403"/>
      <c r="G176" s="403"/>
      <c r="H176" s="403"/>
      <c r="I176" s="403"/>
      <c r="J176" s="403"/>
      <c r="K176" s="403"/>
      <c r="L176" s="403"/>
      <c r="M176" s="403"/>
      <c r="N176" s="403"/>
      <c r="O176" s="403"/>
      <c r="P176" s="403"/>
      <c r="Q176" s="403"/>
      <c r="R176" s="403"/>
      <c r="S176" s="403"/>
      <c r="T176" s="403"/>
      <c r="U176" s="403"/>
      <c r="V176" s="403"/>
      <c r="W176" s="403"/>
      <c r="X176" s="403"/>
      <c r="Y176" s="403"/>
      <c r="Z176" s="403"/>
      <c r="AA176" s="403"/>
    </row>
    <row r="177">
      <c r="A177" s="403"/>
      <c r="B177" s="415"/>
      <c r="C177" s="403"/>
      <c r="D177" s="403"/>
      <c r="E177" s="403"/>
      <c r="F177" s="403"/>
      <c r="G177" s="403"/>
      <c r="H177" s="403"/>
      <c r="I177" s="403"/>
      <c r="J177" s="403"/>
      <c r="K177" s="403"/>
      <c r="L177" s="403"/>
      <c r="M177" s="403"/>
      <c r="N177" s="403"/>
      <c r="O177" s="403"/>
      <c r="P177" s="403"/>
      <c r="Q177" s="403"/>
      <c r="R177" s="403"/>
      <c r="S177" s="403"/>
      <c r="T177" s="403"/>
      <c r="U177" s="403"/>
      <c r="V177" s="403"/>
      <c r="W177" s="403"/>
      <c r="X177" s="403"/>
      <c r="Y177" s="403"/>
      <c r="Z177" s="403"/>
      <c r="AA177" s="403"/>
    </row>
    <row r="178">
      <c r="A178" s="403"/>
      <c r="B178" s="415"/>
      <c r="C178" s="403"/>
      <c r="D178" s="403"/>
      <c r="E178" s="403"/>
      <c r="F178" s="403"/>
      <c r="G178" s="403"/>
      <c r="H178" s="403"/>
      <c r="I178" s="403"/>
      <c r="J178" s="403"/>
      <c r="K178" s="403"/>
      <c r="L178" s="403"/>
      <c r="M178" s="403"/>
      <c r="N178" s="403"/>
      <c r="O178" s="403"/>
      <c r="P178" s="403"/>
      <c r="Q178" s="403"/>
      <c r="R178" s="403"/>
      <c r="S178" s="403"/>
      <c r="T178" s="403"/>
      <c r="U178" s="403"/>
      <c r="V178" s="403"/>
      <c r="W178" s="403"/>
      <c r="X178" s="403"/>
      <c r="Y178" s="403"/>
      <c r="Z178" s="403"/>
      <c r="AA178" s="403"/>
    </row>
    <row r="179">
      <c r="A179" s="403"/>
      <c r="B179" s="415"/>
      <c r="C179" s="403"/>
      <c r="D179" s="403"/>
      <c r="E179" s="403"/>
      <c r="F179" s="403"/>
      <c r="G179" s="403"/>
      <c r="H179" s="403"/>
      <c r="I179" s="403"/>
      <c r="J179" s="403"/>
      <c r="K179" s="403"/>
      <c r="L179" s="403"/>
      <c r="M179" s="403"/>
      <c r="N179" s="403"/>
      <c r="O179" s="403"/>
      <c r="P179" s="403"/>
      <c r="Q179" s="403"/>
      <c r="R179" s="403"/>
      <c r="S179" s="403"/>
      <c r="T179" s="403"/>
      <c r="U179" s="403"/>
      <c r="V179" s="403"/>
      <c r="W179" s="403"/>
      <c r="X179" s="403"/>
      <c r="Y179" s="403"/>
      <c r="Z179" s="403"/>
      <c r="AA179" s="403"/>
    </row>
    <row r="180">
      <c r="A180" s="397" t="s">
        <v>8906</v>
      </c>
      <c r="D180" s="403"/>
      <c r="E180" s="403"/>
      <c r="F180" s="403"/>
      <c r="G180" s="403"/>
      <c r="H180" s="403"/>
      <c r="I180" s="403"/>
      <c r="J180" s="403"/>
      <c r="K180" s="403"/>
      <c r="L180" s="403"/>
      <c r="M180" s="403"/>
      <c r="N180" s="403"/>
      <c r="O180" s="403"/>
      <c r="P180" s="403"/>
      <c r="Q180" s="403"/>
      <c r="R180" s="403"/>
      <c r="S180" s="403"/>
      <c r="T180" s="403"/>
      <c r="U180" s="403"/>
      <c r="V180" s="403"/>
      <c r="W180" s="403"/>
      <c r="X180" s="403"/>
      <c r="Y180" s="403"/>
      <c r="Z180" s="403"/>
      <c r="AA180" s="403"/>
    </row>
    <row r="181">
      <c r="A181" s="403" t="s">
        <v>513</v>
      </c>
      <c r="B181" s="404" t="s">
        <v>8914</v>
      </c>
      <c r="C181" s="405" t="s">
        <v>8915</v>
      </c>
      <c r="D181" s="403"/>
      <c r="E181" s="403"/>
      <c r="F181" s="403"/>
      <c r="G181" s="403"/>
      <c r="H181" s="403"/>
      <c r="I181" s="403"/>
      <c r="J181" s="403"/>
      <c r="K181" s="403"/>
      <c r="L181" s="403"/>
      <c r="M181" s="403"/>
      <c r="N181" s="403"/>
      <c r="O181" s="403"/>
      <c r="P181" s="403"/>
      <c r="Q181" s="403"/>
      <c r="R181" s="403"/>
      <c r="S181" s="403"/>
      <c r="T181" s="403"/>
      <c r="U181" s="403"/>
      <c r="V181" s="403"/>
      <c r="W181" s="403"/>
      <c r="X181" s="403"/>
      <c r="Y181" s="403"/>
      <c r="Z181" s="403"/>
      <c r="AA181" s="403"/>
    </row>
    <row r="182">
      <c r="A182" s="406" t="s">
        <v>1000</v>
      </c>
      <c r="C182" s="403"/>
      <c r="D182" s="403"/>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row>
    <row r="183">
      <c r="A183" s="406" t="s">
        <v>1188</v>
      </c>
      <c r="B183" s="407"/>
      <c r="C183" s="408"/>
      <c r="D183" s="403"/>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c r="AA183" s="403"/>
    </row>
    <row r="184">
      <c r="A184" s="406" t="s">
        <v>794</v>
      </c>
      <c r="B184" s="407"/>
      <c r="C184" s="409"/>
      <c r="D184" s="403"/>
      <c r="E184" s="403"/>
      <c r="F184" s="403"/>
      <c r="G184" s="403"/>
      <c r="H184" s="403"/>
      <c r="I184" s="403"/>
      <c r="J184" s="403"/>
      <c r="K184" s="403"/>
      <c r="L184" s="403"/>
      <c r="M184" s="403"/>
      <c r="N184" s="403"/>
      <c r="O184" s="403"/>
      <c r="P184" s="403"/>
      <c r="Q184" s="403"/>
      <c r="R184" s="403"/>
      <c r="S184" s="403"/>
      <c r="T184" s="403"/>
      <c r="U184" s="403"/>
      <c r="V184" s="403"/>
      <c r="W184" s="403"/>
      <c r="X184" s="403"/>
      <c r="Y184" s="403"/>
      <c r="Z184" s="403"/>
      <c r="AA184" s="403"/>
    </row>
    <row r="185">
      <c r="A185" s="406" t="s">
        <v>494</v>
      </c>
      <c r="B185" s="407"/>
      <c r="C185" s="403"/>
      <c r="D185" s="403"/>
      <c r="E185" s="403"/>
      <c r="F185" s="403"/>
      <c r="G185" s="403"/>
      <c r="H185" s="403"/>
      <c r="I185" s="403"/>
      <c r="J185" s="403"/>
      <c r="K185" s="403"/>
      <c r="L185" s="403"/>
      <c r="M185" s="403"/>
      <c r="N185" s="403"/>
      <c r="O185" s="403"/>
      <c r="P185" s="403"/>
      <c r="Q185" s="403"/>
      <c r="R185" s="403"/>
      <c r="S185" s="403"/>
      <c r="T185" s="403"/>
      <c r="U185" s="403"/>
      <c r="V185" s="403"/>
      <c r="W185" s="403"/>
      <c r="X185" s="403"/>
      <c r="Y185" s="403"/>
      <c r="Z185" s="403"/>
      <c r="AA185" s="403"/>
    </row>
    <row r="186">
      <c r="A186" s="412" t="s">
        <v>1209</v>
      </c>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c r="A187" s="406" t="s">
        <v>1349</v>
      </c>
      <c r="B187" s="414"/>
      <c r="C187" s="403"/>
      <c r="D187" s="403"/>
      <c r="E187" s="403"/>
      <c r="F187" s="403"/>
      <c r="G187" s="403"/>
      <c r="H187" s="403"/>
      <c r="I187" s="403"/>
      <c r="J187" s="403"/>
      <c r="K187" s="403"/>
      <c r="L187" s="403"/>
      <c r="M187" s="403"/>
      <c r="N187" s="403"/>
      <c r="O187" s="403"/>
      <c r="P187" s="403"/>
      <c r="Q187" s="403"/>
      <c r="R187" s="403"/>
      <c r="S187" s="403"/>
      <c r="T187" s="403"/>
      <c r="U187" s="403"/>
      <c r="V187" s="403"/>
      <c r="W187" s="403"/>
      <c r="X187" s="403"/>
      <c r="Y187" s="403"/>
      <c r="Z187" s="403"/>
      <c r="AA187" s="403"/>
    </row>
    <row r="188">
      <c r="A188" s="406" t="s">
        <v>8941</v>
      </c>
      <c r="B188" s="415"/>
      <c r="C188" s="403"/>
      <c r="D188" s="403"/>
      <c r="E188" s="403"/>
      <c r="F188" s="403"/>
      <c r="G188" s="403"/>
      <c r="H188" s="403"/>
      <c r="I188" s="403"/>
      <c r="J188" s="403"/>
      <c r="K188" s="403"/>
      <c r="L188" s="403"/>
      <c r="M188" s="403"/>
      <c r="N188" s="403"/>
      <c r="O188" s="403"/>
      <c r="P188" s="403"/>
      <c r="Q188" s="403"/>
      <c r="R188" s="403"/>
      <c r="S188" s="403"/>
      <c r="T188" s="403"/>
      <c r="U188" s="403"/>
      <c r="V188" s="403"/>
      <c r="W188" s="403"/>
      <c r="X188" s="403"/>
      <c r="Y188" s="403"/>
      <c r="Z188" s="403"/>
      <c r="AA188" s="403"/>
    </row>
    <row r="189">
      <c r="A189" s="406" t="s">
        <v>8945</v>
      </c>
      <c r="B189" s="415"/>
      <c r="C189" s="403"/>
      <c r="D189" s="403"/>
      <c r="E189" s="403"/>
      <c r="F189" s="403"/>
      <c r="G189" s="403"/>
      <c r="H189" s="403"/>
      <c r="I189" s="403"/>
      <c r="J189" s="403"/>
      <c r="K189" s="403"/>
      <c r="L189" s="403"/>
      <c r="M189" s="403"/>
      <c r="N189" s="403"/>
      <c r="O189" s="403"/>
      <c r="P189" s="403"/>
      <c r="Q189" s="403"/>
      <c r="R189" s="403"/>
      <c r="S189" s="403"/>
      <c r="T189" s="403"/>
      <c r="U189" s="403"/>
      <c r="V189" s="403"/>
      <c r="W189" s="403"/>
      <c r="X189" s="403"/>
      <c r="Y189" s="403"/>
      <c r="Z189" s="403"/>
      <c r="AA189" s="403"/>
    </row>
    <row r="190">
      <c r="A190" s="406" t="s">
        <v>8949</v>
      </c>
      <c r="B190" s="415"/>
      <c r="C190" s="403"/>
      <c r="D190" s="403"/>
      <c r="E190" s="403"/>
      <c r="F190" s="403"/>
      <c r="G190" s="403"/>
      <c r="H190" s="403"/>
      <c r="I190" s="403"/>
      <c r="J190" s="403"/>
      <c r="K190" s="403"/>
      <c r="L190" s="403"/>
      <c r="M190" s="403"/>
      <c r="N190" s="403"/>
      <c r="O190" s="403"/>
      <c r="P190" s="403"/>
      <c r="Q190" s="403"/>
      <c r="R190" s="403"/>
      <c r="S190" s="403"/>
      <c r="T190" s="403"/>
      <c r="U190" s="403"/>
      <c r="V190" s="403"/>
      <c r="W190" s="403"/>
      <c r="X190" s="403"/>
      <c r="Y190" s="403"/>
      <c r="Z190" s="403"/>
      <c r="AA190" s="403"/>
    </row>
    <row r="191">
      <c r="A191" s="406" t="s">
        <v>8953</v>
      </c>
      <c r="B191" s="415"/>
      <c r="C191" s="403"/>
      <c r="D191" s="403"/>
      <c r="E191" s="403"/>
      <c r="F191" s="403"/>
      <c r="G191" s="403"/>
      <c r="H191" s="403"/>
      <c r="I191" s="403"/>
      <c r="J191" s="403"/>
      <c r="K191" s="403"/>
      <c r="L191" s="403"/>
      <c r="M191" s="403"/>
      <c r="N191" s="403"/>
      <c r="O191" s="403"/>
      <c r="P191" s="403"/>
      <c r="Q191" s="403"/>
      <c r="R191" s="403"/>
      <c r="S191" s="403"/>
      <c r="T191" s="403"/>
      <c r="U191" s="403"/>
      <c r="V191" s="403"/>
      <c r="W191" s="403"/>
      <c r="X191" s="403"/>
      <c r="Y191" s="403"/>
      <c r="Z191" s="403"/>
      <c r="AA191" s="403"/>
    </row>
    <row r="192">
      <c r="A192" s="406" t="s">
        <v>486</v>
      </c>
      <c r="B192" s="415"/>
      <c r="C192" s="403"/>
      <c r="D192" s="403"/>
      <c r="E192" s="403"/>
      <c r="F192" s="403"/>
      <c r="G192" s="403"/>
      <c r="H192" s="403"/>
      <c r="I192" s="403"/>
      <c r="J192" s="403"/>
      <c r="K192" s="403"/>
      <c r="L192" s="403"/>
      <c r="M192" s="403"/>
      <c r="N192" s="403"/>
      <c r="O192" s="403"/>
      <c r="P192" s="403"/>
      <c r="Q192" s="403"/>
      <c r="R192" s="403"/>
      <c r="S192" s="403"/>
      <c r="T192" s="403"/>
      <c r="U192" s="403"/>
      <c r="V192" s="403"/>
      <c r="W192" s="403"/>
      <c r="X192" s="403"/>
      <c r="Y192" s="403"/>
      <c r="Z192" s="403"/>
      <c r="AA192" s="403"/>
    </row>
    <row r="193">
      <c r="A193" s="406" t="s">
        <v>9459</v>
      </c>
      <c r="B193" s="415"/>
      <c r="C193" s="403"/>
      <c r="D193" s="403"/>
      <c r="E193" s="403"/>
      <c r="F193" s="403"/>
      <c r="G193" s="403"/>
      <c r="H193" s="403"/>
      <c r="I193" s="403"/>
      <c r="J193" s="403"/>
      <c r="K193" s="403"/>
      <c r="L193" s="403"/>
      <c r="M193" s="403"/>
      <c r="N193" s="403"/>
      <c r="O193" s="403"/>
      <c r="P193" s="403"/>
      <c r="Q193" s="403"/>
      <c r="R193" s="403"/>
      <c r="S193" s="403"/>
      <c r="T193" s="403"/>
      <c r="U193" s="403"/>
      <c r="V193" s="403"/>
      <c r="W193" s="403"/>
      <c r="X193" s="403"/>
      <c r="Y193" s="403"/>
      <c r="Z193" s="403"/>
      <c r="AA193" s="403"/>
    </row>
    <row r="194">
      <c r="A194" s="406" t="s">
        <v>8963</v>
      </c>
      <c r="B194" s="415"/>
      <c r="C194" s="403"/>
      <c r="D194" s="403"/>
      <c r="E194" s="403"/>
      <c r="F194" s="403"/>
      <c r="G194" s="403"/>
      <c r="H194" s="403"/>
      <c r="I194" s="403"/>
      <c r="J194" s="403"/>
      <c r="K194" s="403"/>
      <c r="L194" s="403"/>
      <c r="M194" s="403"/>
      <c r="N194" s="403"/>
      <c r="O194" s="403"/>
      <c r="P194" s="403"/>
      <c r="Q194" s="403"/>
      <c r="R194" s="403"/>
      <c r="S194" s="403"/>
      <c r="T194" s="403"/>
      <c r="U194" s="403"/>
      <c r="V194" s="403"/>
      <c r="W194" s="403"/>
      <c r="X194" s="403"/>
      <c r="Y194" s="403"/>
      <c r="Z194" s="403"/>
      <c r="AA194" s="403"/>
    </row>
    <row r="195">
      <c r="A195" s="406" t="s">
        <v>8966</v>
      </c>
      <c r="B195" s="415"/>
      <c r="C195" s="403"/>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row>
    <row r="196">
      <c r="A196" s="406" t="s">
        <v>8970</v>
      </c>
      <c r="B196" s="415"/>
      <c r="C196" s="403"/>
      <c r="D196" s="40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row>
    <row r="197">
      <c r="A197" s="406" t="s">
        <v>8973</v>
      </c>
      <c r="B197" s="415"/>
      <c r="C197" s="403"/>
      <c r="D197" s="403"/>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c r="AA197" s="403"/>
    </row>
    <row r="198">
      <c r="B198" s="415"/>
      <c r="C198" s="403"/>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row>
    <row r="199">
      <c r="B199" s="415"/>
      <c r="C199" s="403"/>
      <c r="D199" s="40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c r="AA199" s="403"/>
    </row>
    <row r="200">
      <c r="B200" s="415"/>
      <c r="C200" s="403"/>
      <c r="D200" s="403"/>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row>
    <row r="201">
      <c r="B201" s="415"/>
      <c r="C201" s="403"/>
      <c r="D201" s="403"/>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c r="AA201" s="403"/>
    </row>
    <row r="202">
      <c r="B202" s="415"/>
      <c r="C202" s="403"/>
      <c r="D202" s="403"/>
      <c r="E202" s="403"/>
      <c r="F202" s="403"/>
      <c r="G202" s="403"/>
      <c r="H202" s="403"/>
      <c r="I202" s="403"/>
      <c r="J202" s="403"/>
      <c r="K202" s="403"/>
      <c r="L202" s="403"/>
      <c r="M202" s="403"/>
      <c r="N202" s="403"/>
      <c r="O202" s="403"/>
      <c r="P202" s="403"/>
      <c r="Q202" s="403"/>
      <c r="R202" s="403"/>
      <c r="S202" s="403"/>
      <c r="T202" s="403"/>
      <c r="U202" s="403"/>
      <c r="V202" s="403"/>
      <c r="W202" s="403"/>
      <c r="X202" s="403"/>
      <c r="Y202" s="403"/>
      <c r="Z202" s="403"/>
      <c r="AA202" s="403"/>
    </row>
    <row r="203">
      <c r="A203" s="403"/>
      <c r="B203" s="415"/>
      <c r="C203" s="403"/>
      <c r="D203" s="403"/>
      <c r="E203" s="403"/>
      <c r="F203" s="403"/>
      <c r="G203" s="403"/>
      <c r="H203" s="403"/>
      <c r="I203" s="403"/>
      <c r="J203" s="403"/>
      <c r="K203" s="403"/>
      <c r="L203" s="403"/>
      <c r="M203" s="403"/>
      <c r="N203" s="403"/>
      <c r="O203" s="403"/>
      <c r="P203" s="403"/>
      <c r="Q203" s="403"/>
      <c r="R203" s="403"/>
      <c r="S203" s="403"/>
      <c r="T203" s="403"/>
      <c r="U203" s="403"/>
      <c r="V203" s="403"/>
      <c r="W203" s="403"/>
      <c r="X203" s="403"/>
      <c r="Y203" s="403"/>
      <c r="Z203" s="403"/>
      <c r="AA203" s="403"/>
    </row>
    <row r="204">
      <c r="A204" s="403"/>
      <c r="B204" s="415"/>
      <c r="C204" s="403"/>
      <c r="D204" s="403"/>
      <c r="E204" s="403"/>
      <c r="F204" s="403"/>
      <c r="G204" s="403"/>
      <c r="H204" s="403"/>
      <c r="I204" s="403"/>
      <c r="J204" s="403"/>
      <c r="K204" s="403"/>
      <c r="L204" s="403"/>
      <c r="M204" s="403"/>
      <c r="N204" s="403"/>
      <c r="O204" s="403"/>
      <c r="P204" s="403"/>
      <c r="Q204" s="403"/>
      <c r="R204" s="403"/>
      <c r="S204" s="403"/>
      <c r="T204" s="403"/>
      <c r="U204" s="403"/>
      <c r="V204" s="403"/>
      <c r="W204" s="403"/>
      <c r="X204" s="403"/>
      <c r="Y204" s="403"/>
      <c r="Z204" s="403"/>
      <c r="AA204" s="403"/>
    </row>
    <row r="205">
      <c r="A205" s="403"/>
      <c r="B205" s="415"/>
      <c r="C205" s="403"/>
      <c r="D205" s="403"/>
      <c r="E205" s="403"/>
      <c r="F205" s="403"/>
      <c r="G205" s="403"/>
      <c r="H205" s="403"/>
      <c r="I205" s="403"/>
      <c r="J205" s="403"/>
      <c r="K205" s="403"/>
      <c r="L205" s="403"/>
      <c r="M205" s="403"/>
      <c r="N205" s="403"/>
      <c r="O205" s="403"/>
      <c r="P205" s="403"/>
      <c r="Q205" s="403"/>
      <c r="R205" s="403"/>
      <c r="S205" s="403"/>
      <c r="T205" s="403"/>
      <c r="U205" s="403"/>
      <c r="V205" s="403"/>
      <c r="W205" s="403"/>
      <c r="X205" s="403"/>
      <c r="Y205" s="403"/>
      <c r="Z205" s="403"/>
      <c r="AA205" s="403"/>
    </row>
    <row r="206">
      <c r="A206" s="403"/>
      <c r="B206" s="415"/>
      <c r="C206" s="403"/>
      <c r="D206" s="403"/>
      <c r="E206" s="403"/>
      <c r="F206" s="403"/>
      <c r="G206" s="403"/>
      <c r="H206" s="403"/>
      <c r="I206" s="403"/>
      <c r="J206" s="403"/>
      <c r="K206" s="403"/>
      <c r="L206" s="403"/>
      <c r="M206" s="403"/>
      <c r="N206" s="403"/>
      <c r="O206" s="403"/>
      <c r="P206" s="403"/>
      <c r="Q206" s="403"/>
      <c r="R206" s="403"/>
      <c r="S206" s="403"/>
      <c r="T206" s="403"/>
      <c r="U206" s="403"/>
      <c r="V206" s="403"/>
      <c r="W206" s="403"/>
      <c r="X206" s="403"/>
      <c r="Y206" s="403"/>
      <c r="Z206" s="403"/>
      <c r="AA206" s="403"/>
    </row>
    <row r="207">
      <c r="A207" s="403"/>
      <c r="B207" s="415"/>
      <c r="C207" s="403"/>
      <c r="D207" s="403"/>
      <c r="E207" s="403"/>
      <c r="F207" s="403"/>
      <c r="G207" s="403"/>
      <c r="H207" s="403"/>
      <c r="I207" s="403"/>
      <c r="J207" s="403"/>
      <c r="K207" s="403"/>
      <c r="L207" s="403"/>
      <c r="M207" s="403"/>
      <c r="N207" s="403"/>
      <c r="O207" s="403"/>
      <c r="P207" s="403"/>
      <c r="Q207" s="403"/>
      <c r="R207" s="403"/>
      <c r="S207" s="403"/>
      <c r="T207" s="403"/>
      <c r="U207" s="403"/>
      <c r="V207" s="403"/>
      <c r="W207" s="403"/>
      <c r="X207" s="403"/>
      <c r="Y207" s="403"/>
      <c r="Z207" s="403"/>
      <c r="AA207" s="403"/>
    </row>
    <row r="208">
      <c r="A208" s="403"/>
      <c r="B208" s="415"/>
      <c r="C208" s="403"/>
      <c r="D208" s="403"/>
      <c r="E208" s="403"/>
      <c r="F208" s="403"/>
      <c r="G208" s="403"/>
      <c r="H208" s="403"/>
      <c r="I208" s="403"/>
      <c r="J208" s="403"/>
      <c r="K208" s="403"/>
      <c r="L208" s="403"/>
      <c r="M208" s="403"/>
      <c r="N208" s="403"/>
      <c r="O208" s="403"/>
      <c r="P208" s="403"/>
      <c r="Q208" s="403"/>
      <c r="R208" s="403"/>
      <c r="S208" s="403"/>
      <c r="T208" s="403"/>
      <c r="U208" s="403"/>
      <c r="V208" s="403"/>
      <c r="W208" s="403"/>
      <c r="X208" s="403"/>
      <c r="Y208" s="403"/>
      <c r="Z208" s="403"/>
      <c r="AA208" s="403"/>
    </row>
    <row r="209">
      <c r="A209" s="403"/>
      <c r="B209" s="415"/>
      <c r="C209" s="403"/>
      <c r="D209" s="403"/>
      <c r="E209" s="403"/>
      <c r="F209" s="403"/>
      <c r="G209" s="403"/>
      <c r="H209" s="403"/>
      <c r="I209" s="403"/>
      <c r="J209" s="403"/>
      <c r="K209" s="403"/>
      <c r="L209" s="403"/>
      <c r="M209" s="403"/>
      <c r="N209" s="403"/>
      <c r="O209" s="403"/>
      <c r="P209" s="403"/>
      <c r="Q209" s="403"/>
      <c r="R209" s="403"/>
      <c r="S209" s="403"/>
      <c r="T209" s="403"/>
      <c r="U209" s="403"/>
      <c r="V209" s="403"/>
      <c r="W209" s="403"/>
      <c r="X209" s="403"/>
      <c r="Y209" s="403"/>
      <c r="Z209" s="403"/>
      <c r="AA209" s="403"/>
    </row>
    <row r="210">
      <c r="A210" s="403"/>
      <c r="B210" s="415"/>
      <c r="C210" s="403"/>
      <c r="D210" s="403"/>
      <c r="E210" s="403"/>
      <c r="F210" s="403"/>
      <c r="G210" s="403"/>
      <c r="H210" s="403"/>
      <c r="I210" s="403"/>
      <c r="J210" s="403"/>
      <c r="K210" s="403"/>
      <c r="L210" s="403"/>
      <c r="M210" s="403"/>
      <c r="N210" s="403"/>
      <c r="O210" s="403"/>
      <c r="P210" s="403"/>
      <c r="Q210" s="403"/>
      <c r="R210" s="403"/>
      <c r="S210" s="403"/>
      <c r="T210" s="403"/>
      <c r="U210" s="403"/>
      <c r="V210" s="403"/>
      <c r="W210" s="403"/>
      <c r="X210" s="403"/>
      <c r="Y210" s="403"/>
      <c r="Z210" s="403"/>
      <c r="AA210" s="403"/>
    </row>
    <row r="211">
      <c r="A211" s="403"/>
      <c r="B211" s="415"/>
      <c r="C211" s="403"/>
      <c r="D211" s="403"/>
      <c r="E211" s="403"/>
      <c r="F211" s="403"/>
      <c r="G211" s="403"/>
      <c r="H211" s="403"/>
      <c r="I211" s="403"/>
      <c r="J211" s="403"/>
      <c r="K211" s="403"/>
      <c r="L211" s="403"/>
      <c r="M211" s="403"/>
      <c r="N211" s="403"/>
      <c r="O211" s="403"/>
      <c r="P211" s="403"/>
      <c r="Q211" s="403"/>
      <c r="R211" s="403"/>
      <c r="S211" s="403"/>
      <c r="T211" s="403"/>
      <c r="U211" s="403"/>
      <c r="V211" s="403"/>
      <c r="W211" s="403"/>
      <c r="X211" s="403"/>
      <c r="Y211" s="403"/>
      <c r="Z211" s="403"/>
      <c r="AA211" s="403"/>
    </row>
    <row r="212">
      <c r="A212" s="403"/>
      <c r="B212" s="415"/>
      <c r="C212" s="403"/>
      <c r="D212" s="403"/>
      <c r="E212" s="403"/>
      <c r="F212" s="403"/>
      <c r="G212" s="403"/>
      <c r="H212" s="403"/>
      <c r="I212" s="403"/>
      <c r="J212" s="403"/>
      <c r="K212" s="403"/>
      <c r="L212" s="403"/>
      <c r="M212" s="403"/>
      <c r="N212" s="403"/>
      <c r="O212" s="403"/>
      <c r="P212" s="403"/>
      <c r="Q212" s="403"/>
      <c r="R212" s="403"/>
      <c r="S212" s="403"/>
      <c r="T212" s="403"/>
      <c r="U212" s="403"/>
      <c r="V212" s="403"/>
      <c r="W212" s="403"/>
      <c r="X212" s="403"/>
      <c r="Y212" s="403"/>
      <c r="Z212" s="403"/>
      <c r="AA212" s="403"/>
    </row>
    <row r="213">
      <c r="A213" s="403"/>
      <c r="B213" s="415"/>
      <c r="C213" s="403"/>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row>
    <row r="214">
      <c r="A214" s="403"/>
      <c r="B214" s="415"/>
      <c r="C214" s="403"/>
      <c r="D214" s="40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c r="AA214" s="403"/>
    </row>
    <row r="215">
      <c r="A215" s="403"/>
      <c r="B215" s="415"/>
      <c r="C215" s="403"/>
      <c r="D215" s="403"/>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row>
    <row r="216">
      <c r="A216" s="403"/>
      <c r="B216" s="415"/>
      <c r="C216" s="403"/>
      <c r="D216" s="403"/>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c r="AA216" s="403"/>
    </row>
    <row r="217">
      <c r="A217" s="403"/>
      <c r="B217" s="415"/>
      <c r="C217" s="403"/>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row>
    <row r="218">
      <c r="A218" s="403"/>
      <c r="B218" s="415"/>
      <c r="C218" s="403"/>
      <c r="D218" s="40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c r="AA218" s="403"/>
    </row>
    <row r="219">
      <c r="A219" s="403"/>
      <c r="B219" s="415"/>
      <c r="C219" s="403"/>
      <c r="D219" s="403"/>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row>
    <row r="220">
      <c r="A220" s="403"/>
      <c r="B220" s="415"/>
      <c r="C220" s="403"/>
      <c r="D220" s="403"/>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c r="AA220" s="403"/>
    </row>
    <row r="221">
      <c r="A221" s="403"/>
      <c r="B221" s="415"/>
      <c r="C221" s="403"/>
      <c r="D221" s="40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c r="AA221" s="403"/>
    </row>
    <row r="222">
      <c r="A222" s="403"/>
      <c r="B222" s="415"/>
      <c r="C222" s="403"/>
      <c r="D222" s="403"/>
      <c r="E222" s="403"/>
      <c r="F222" s="403"/>
      <c r="G222" s="403"/>
      <c r="H222" s="403"/>
      <c r="I222" s="403"/>
      <c r="J222" s="403"/>
      <c r="K222" s="403"/>
      <c r="L222" s="403"/>
      <c r="M222" s="403"/>
      <c r="N222" s="403"/>
      <c r="O222" s="403"/>
      <c r="P222" s="403"/>
      <c r="Q222" s="403"/>
      <c r="R222" s="403"/>
      <c r="S222" s="403"/>
      <c r="T222" s="403"/>
      <c r="U222" s="403"/>
      <c r="V222" s="403"/>
      <c r="W222" s="403"/>
      <c r="X222" s="403"/>
      <c r="Y222" s="403"/>
      <c r="Z222" s="403"/>
      <c r="AA222" s="403"/>
    </row>
    <row r="223">
      <c r="A223" s="403"/>
      <c r="B223" s="415"/>
      <c r="C223" s="403"/>
      <c r="D223" s="403"/>
      <c r="E223" s="403"/>
      <c r="F223" s="403"/>
      <c r="G223" s="403"/>
      <c r="H223" s="403"/>
      <c r="I223" s="403"/>
      <c r="J223" s="403"/>
      <c r="K223" s="403"/>
      <c r="L223" s="403"/>
      <c r="M223" s="403"/>
      <c r="N223" s="403"/>
      <c r="O223" s="403"/>
      <c r="P223" s="403"/>
      <c r="Q223" s="403"/>
      <c r="R223" s="403"/>
      <c r="S223" s="403"/>
      <c r="T223" s="403"/>
      <c r="U223" s="403"/>
      <c r="V223" s="403"/>
      <c r="W223" s="403"/>
      <c r="X223" s="403"/>
      <c r="Y223" s="403"/>
      <c r="Z223" s="403"/>
      <c r="AA223" s="403"/>
    </row>
    <row r="224">
      <c r="A224" s="403"/>
      <c r="B224" s="415"/>
      <c r="C224" s="403"/>
      <c r="D224" s="403"/>
      <c r="E224" s="403"/>
      <c r="F224" s="403"/>
      <c r="G224" s="403"/>
      <c r="H224" s="403"/>
      <c r="I224" s="403"/>
      <c r="J224" s="403"/>
      <c r="K224" s="403"/>
      <c r="L224" s="403"/>
      <c r="M224" s="403"/>
      <c r="N224" s="403"/>
      <c r="O224" s="403"/>
      <c r="P224" s="403"/>
      <c r="Q224" s="403"/>
      <c r="R224" s="403"/>
      <c r="S224" s="403"/>
      <c r="T224" s="403"/>
      <c r="U224" s="403"/>
      <c r="V224" s="403"/>
      <c r="W224" s="403"/>
      <c r="X224" s="403"/>
      <c r="Y224" s="403"/>
      <c r="Z224" s="403"/>
      <c r="AA224" s="403"/>
    </row>
    <row r="225">
      <c r="A225" s="403"/>
      <c r="B225" s="415"/>
      <c r="C225" s="403"/>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row>
    <row r="226">
      <c r="A226" s="403"/>
      <c r="B226" s="415"/>
      <c r="C226" s="403"/>
      <c r="D226" s="40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c r="AA226" s="403"/>
    </row>
    <row r="227">
      <c r="A227" s="403"/>
      <c r="B227" s="415"/>
      <c r="C227" s="403"/>
      <c r="D227" s="403"/>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row>
    <row r="228">
      <c r="A228" s="403"/>
      <c r="B228" s="415"/>
      <c r="C228" s="403"/>
      <c r="D228" s="403"/>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c r="AA228" s="403"/>
    </row>
    <row r="229">
      <c r="A229" s="403"/>
      <c r="B229" s="415"/>
      <c r="C229" s="403"/>
      <c r="D229" s="403"/>
      <c r="E229" s="403"/>
      <c r="F229" s="403"/>
      <c r="G229" s="403"/>
      <c r="H229" s="403"/>
      <c r="I229" s="403"/>
      <c r="J229" s="403"/>
      <c r="K229" s="403"/>
      <c r="L229" s="403"/>
      <c r="M229" s="403"/>
      <c r="N229" s="403"/>
      <c r="O229" s="403"/>
      <c r="P229" s="403"/>
      <c r="Q229" s="403"/>
      <c r="R229" s="403"/>
      <c r="S229" s="403"/>
      <c r="T229" s="403"/>
      <c r="U229" s="403"/>
      <c r="V229" s="403"/>
      <c r="W229" s="403"/>
      <c r="X229" s="403"/>
      <c r="Y229" s="403"/>
      <c r="Z229" s="403"/>
      <c r="AA229" s="403"/>
    </row>
    <row r="230">
      <c r="A230" s="403"/>
      <c r="B230" s="415"/>
      <c r="C230" s="403"/>
      <c r="D230" s="403"/>
      <c r="E230" s="403"/>
      <c r="F230" s="403"/>
      <c r="G230" s="403"/>
      <c r="H230" s="403"/>
      <c r="I230" s="403"/>
      <c r="J230" s="403"/>
      <c r="K230" s="403"/>
      <c r="L230" s="403"/>
      <c r="M230" s="403"/>
      <c r="N230" s="403"/>
      <c r="O230" s="403"/>
      <c r="P230" s="403"/>
      <c r="Q230" s="403"/>
      <c r="R230" s="403"/>
      <c r="S230" s="403"/>
      <c r="T230" s="403"/>
      <c r="U230" s="403"/>
      <c r="V230" s="403"/>
      <c r="W230" s="403"/>
      <c r="X230" s="403"/>
      <c r="Y230" s="403"/>
      <c r="Z230" s="403"/>
      <c r="AA230" s="403"/>
    </row>
    <row r="231">
      <c r="A231" s="403"/>
      <c r="B231" s="415"/>
      <c r="C231" s="403"/>
      <c r="D231" s="403"/>
      <c r="E231" s="403"/>
      <c r="F231" s="403"/>
      <c r="G231" s="403"/>
      <c r="H231" s="403"/>
      <c r="I231" s="403"/>
      <c r="J231" s="403"/>
      <c r="K231" s="403"/>
      <c r="L231" s="403"/>
      <c r="M231" s="403"/>
      <c r="N231" s="403"/>
      <c r="O231" s="403"/>
      <c r="P231" s="403"/>
      <c r="Q231" s="403"/>
      <c r="R231" s="403"/>
      <c r="S231" s="403"/>
      <c r="T231" s="403"/>
      <c r="U231" s="403"/>
      <c r="V231" s="403"/>
      <c r="W231" s="403"/>
      <c r="X231" s="403"/>
      <c r="Y231" s="403"/>
      <c r="Z231" s="403"/>
      <c r="AA231" s="403"/>
    </row>
    <row r="232">
      <c r="A232" s="403"/>
      <c r="B232" s="415"/>
      <c r="C232" s="403"/>
      <c r="D232" s="40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c r="AA232" s="403"/>
    </row>
    <row r="233">
      <c r="A233" s="403"/>
      <c r="B233" s="415"/>
      <c r="C233" s="403"/>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row>
    <row r="234">
      <c r="A234" s="403"/>
      <c r="B234" s="415"/>
      <c r="C234" s="403"/>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row>
    <row r="235">
      <c r="A235" s="403"/>
      <c r="B235" s="415"/>
      <c r="C235" s="403"/>
      <c r="D235" s="40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c r="AA235" s="403"/>
    </row>
    <row r="236">
      <c r="A236" s="403"/>
      <c r="B236" s="415"/>
      <c r="C236" s="403"/>
      <c r="D236" s="40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c r="AA236" s="403"/>
    </row>
    <row r="237">
      <c r="A237" s="403"/>
      <c r="B237" s="415"/>
      <c r="C237" s="403"/>
      <c r="D237" s="40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c r="AA237" s="403"/>
    </row>
    <row r="238">
      <c r="A238" s="403"/>
      <c r="B238" s="415"/>
      <c r="C238" s="403"/>
      <c r="D238" s="40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c r="AA238" s="403"/>
    </row>
    <row r="239">
      <c r="A239" s="403"/>
      <c r="B239" s="415"/>
      <c r="C239" s="403"/>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row>
    <row r="240">
      <c r="A240" s="403"/>
      <c r="B240" s="415"/>
      <c r="C240" s="403"/>
      <c r="D240" s="40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c r="AA240" s="403"/>
    </row>
    <row r="241">
      <c r="A241" s="403"/>
      <c r="B241" s="415"/>
      <c r="C241" s="403"/>
      <c r="D241" s="40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c r="AA241" s="403"/>
    </row>
    <row r="242">
      <c r="A242" s="403"/>
      <c r="B242" s="415"/>
      <c r="C242" s="403"/>
      <c r="D242" s="40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c r="AA242" s="403"/>
    </row>
    <row r="243">
      <c r="A243" s="403"/>
      <c r="B243" s="415"/>
      <c r="C243" s="403"/>
      <c r="D243" s="40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c r="AA243" s="403"/>
    </row>
    <row r="244">
      <c r="A244" s="403"/>
      <c r="B244" s="415"/>
      <c r="C244" s="403"/>
      <c r="D244" s="40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c r="AA244" s="403"/>
    </row>
    <row r="245">
      <c r="A245" s="403"/>
      <c r="B245" s="415"/>
      <c r="C245" s="403"/>
      <c r="D245" s="40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c r="AA245" s="403"/>
    </row>
    <row r="246">
      <c r="A246" s="403"/>
      <c r="B246" s="415"/>
      <c r="C246" s="403"/>
      <c r="D246" s="40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c r="AA246" s="403"/>
    </row>
    <row r="247">
      <c r="A247" s="403"/>
      <c r="B247" s="415"/>
      <c r="C247" s="403"/>
      <c r="D247" s="40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c r="AA247" s="403"/>
    </row>
    <row r="248">
      <c r="A248" s="403"/>
      <c r="B248" s="415"/>
      <c r="C248" s="403"/>
      <c r="D248" s="40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c r="AA248" s="403"/>
    </row>
    <row r="249">
      <c r="A249" s="403"/>
      <c r="B249" s="415"/>
      <c r="C249" s="403"/>
      <c r="D249" s="40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c r="AA249" s="403"/>
    </row>
    <row r="250">
      <c r="A250" s="403"/>
      <c r="B250" s="415"/>
      <c r="C250" s="403"/>
      <c r="D250" s="40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c r="AA250" s="403"/>
    </row>
    <row r="251">
      <c r="A251" s="403"/>
      <c r="B251" s="415"/>
      <c r="C251" s="403"/>
      <c r="D251" s="40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c r="AA251" s="403"/>
    </row>
    <row r="252">
      <c r="A252" s="403"/>
      <c r="B252" s="415"/>
      <c r="C252" s="403"/>
      <c r="D252" s="40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c r="AA252" s="403"/>
    </row>
    <row r="253">
      <c r="A253" s="403"/>
      <c r="B253" s="415"/>
      <c r="C253" s="403"/>
      <c r="D253" s="40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c r="AA253" s="403"/>
    </row>
    <row r="254">
      <c r="A254" s="403"/>
      <c r="B254" s="415"/>
      <c r="C254" s="403"/>
      <c r="D254" s="40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c r="AA254" s="403"/>
    </row>
    <row r="255">
      <c r="A255" s="403"/>
      <c r="B255" s="415"/>
      <c r="C255" s="403"/>
      <c r="D255" s="40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c r="AA255" s="403"/>
    </row>
    <row r="256">
      <c r="A256" s="403"/>
      <c r="B256" s="415"/>
      <c r="C256" s="403"/>
      <c r="D256" s="40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c r="AA256" s="403"/>
    </row>
    <row r="257">
      <c r="A257" s="403"/>
      <c r="B257" s="415"/>
      <c r="C257" s="403"/>
      <c r="D257" s="40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c r="AA257" s="403"/>
    </row>
    <row r="258">
      <c r="A258" s="403"/>
      <c r="B258" s="415"/>
      <c r="C258" s="403"/>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row>
    <row r="259">
      <c r="A259" s="403"/>
      <c r="B259" s="415"/>
      <c r="C259" s="403"/>
      <c r="D259" s="40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c r="AA259" s="403"/>
    </row>
    <row r="260">
      <c r="A260" s="403"/>
      <c r="B260" s="415"/>
      <c r="C260" s="403"/>
      <c r="D260" s="40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row>
    <row r="261">
      <c r="A261" s="403"/>
      <c r="B261" s="415"/>
      <c r="C261" s="403"/>
      <c r="D261" s="40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c r="AA261" s="403"/>
    </row>
    <row r="262">
      <c r="A262" s="403"/>
      <c r="B262" s="415"/>
      <c r="C262" s="403"/>
      <c r="D262" s="40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c r="AA262" s="403"/>
    </row>
    <row r="263">
      <c r="A263" s="403"/>
      <c r="B263" s="415"/>
      <c r="C263" s="403"/>
      <c r="D263" s="40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c r="AA263" s="403"/>
    </row>
    <row r="264">
      <c r="A264" s="403"/>
      <c r="B264" s="415"/>
      <c r="C264" s="403"/>
      <c r="D264" s="40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c r="AA264" s="403"/>
    </row>
    <row r="265">
      <c r="A265" s="403"/>
      <c r="B265" s="415"/>
      <c r="C265" s="403"/>
      <c r="D265" s="40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c r="AA265" s="403"/>
    </row>
    <row r="266">
      <c r="A266" s="403"/>
      <c r="B266" s="415"/>
      <c r="C266" s="403"/>
      <c r="D266" s="40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c r="AA266" s="403"/>
    </row>
    <row r="267">
      <c r="A267" s="403"/>
      <c r="B267" s="415"/>
      <c r="C267" s="403"/>
      <c r="D267" s="40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c r="AA267" s="403"/>
    </row>
    <row r="268">
      <c r="A268" s="403"/>
      <c r="B268" s="415"/>
      <c r="C268" s="403"/>
      <c r="D268" s="40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c r="AA268" s="403"/>
    </row>
    <row r="269">
      <c r="A269" s="403"/>
      <c r="B269" s="415"/>
      <c r="C269" s="403"/>
      <c r="D269" s="40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c r="AA269" s="403"/>
    </row>
    <row r="270">
      <c r="A270" s="403"/>
      <c r="B270" s="415"/>
      <c r="C270" s="403"/>
      <c r="D270" s="40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c r="AA270" s="403"/>
    </row>
    <row r="271">
      <c r="A271" s="403"/>
      <c r="B271" s="415"/>
      <c r="C271" s="403"/>
      <c r="D271" s="40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c r="AA271" s="403"/>
    </row>
    <row r="272">
      <c r="A272" s="403"/>
      <c r="B272" s="415"/>
      <c r="C272" s="403"/>
      <c r="D272" s="40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c r="AA272" s="403"/>
    </row>
    <row r="273">
      <c r="A273" s="403"/>
      <c r="B273" s="415"/>
      <c r="C273" s="403"/>
      <c r="D273" s="40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c r="AA273" s="403"/>
    </row>
    <row r="274">
      <c r="A274" s="403"/>
      <c r="B274" s="415"/>
      <c r="C274" s="403"/>
      <c r="D274" s="40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c r="AA274" s="403"/>
    </row>
    <row r="275">
      <c r="A275" s="403"/>
      <c r="B275" s="415"/>
      <c r="C275" s="403"/>
      <c r="D275" s="40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c r="AA275" s="403"/>
    </row>
    <row r="276">
      <c r="A276" s="403"/>
      <c r="B276" s="415"/>
      <c r="C276" s="403"/>
      <c r="D276" s="40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c r="AA276" s="403"/>
    </row>
    <row r="277">
      <c r="A277" s="403"/>
      <c r="B277" s="415"/>
      <c r="C277" s="403"/>
      <c r="D277" s="40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c r="AA277" s="403"/>
    </row>
    <row r="278">
      <c r="A278" s="403"/>
      <c r="B278" s="415"/>
      <c r="C278" s="403"/>
      <c r="D278" s="40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c r="AA278" s="403"/>
    </row>
    <row r="279">
      <c r="A279" s="403"/>
      <c r="B279" s="415"/>
      <c r="C279" s="403"/>
      <c r="D279" s="40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c r="AA279" s="403"/>
    </row>
    <row r="280">
      <c r="A280" s="403"/>
      <c r="B280" s="415"/>
      <c r="C280" s="403"/>
      <c r="D280" s="40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c r="AA280" s="403"/>
    </row>
    <row r="281">
      <c r="A281" s="403"/>
      <c r="B281" s="415"/>
      <c r="C281" s="403"/>
      <c r="D281" s="40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c r="AA281" s="403"/>
    </row>
    <row r="282">
      <c r="A282" s="403"/>
      <c r="B282" s="415"/>
      <c r="C282" s="403"/>
      <c r="D282" s="40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c r="AA282" s="403"/>
    </row>
    <row r="283">
      <c r="A283" s="403"/>
      <c r="B283" s="415"/>
      <c r="C283" s="403"/>
      <c r="D283" s="40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c r="AA283" s="403"/>
    </row>
    <row r="284">
      <c r="A284" s="403"/>
      <c r="B284" s="415"/>
      <c r="C284" s="403"/>
      <c r="D284" s="40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c r="AA284" s="403"/>
    </row>
    <row r="285">
      <c r="A285" s="403"/>
      <c r="B285" s="415"/>
      <c r="C285" s="403"/>
      <c r="D285" s="40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c r="AA285" s="403"/>
    </row>
    <row r="286">
      <c r="A286" s="403"/>
      <c r="B286" s="415"/>
      <c r="C286" s="403"/>
      <c r="D286" s="40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c r="AA286" s="403"/>
    </row>
    <row r="287">
      <c r="A287" s="403"/>
      <c r="B287" s="415"/>
      <c r="C287" s="403"/>
      <c r="D287" s="40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c r="AA287" s="403"/>
    </row>
    <row r="288">
      <c r="A288" s="403"/>
      <c r="B288" s="415"/>
      <c r="C288" s="403"/>
      <c r="D288" s="40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c r="AA288" s="403"/>
    </row>
    <row r="289">
      <c r="A289" s="403"/>
      <c r="B289" s="415"/>
      <c r="C289" s="403"/>
      <c r="D289" s="40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c r="AA289" s="403"/>
    </row>
    <row r="290">
      <c r="A290" s="403"/>
      <c r="B290" s="415"/>
      <c r="C290" s="403"/>
      <c r="D290" s="40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c r="AA290" s="403"/>
    </row>
    <row r="291">
      <c r="A291" s="403"/>
      <c r="B291" s="415"/>
      <c r="C291" s="403"/>
      <c r="D291" s="40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c r="AA291" s="403"/>
    </row>
    <row r="292">
      <c r="A292" s="403"/>
      <c r="B292" s="415"/>
      <c r="C292" s="403"/>
      <c r="D292" s="40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c r="AA292" s="403"/>
    </row>
    <row r="293">
      <c r="A293" s="403"/>
      <c r="B293" s="415"/>
      <c r="C293" s="403"/>
      <c r="D293" s="40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c r="AA293" s="403"/>
    </row>
    <row r="294">
      <c r="A294" s="403"/>
      <c r="B294" s="415"/>
      <c r="C294" s="403"/>
      <c r="D294" s="40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c r="AA294" s="403"/>
    </row>
    <row r="295">
      <c r="A295" s="403"/>
      <c r="B295" s="415"/>
      <c r="C295" s="403"/>
      <c r="D295" s="40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c r="AA295" s="403"/>
    </row>
    <row r="296">
      <c r="A296" s="403"/>
      <c r="B296" s="415"/>
      <c r="C296" s="403"/>
      <c r="D296" s="40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c r="AA296" s="403"/>
    </row>
    <row r="297">
      <c r="A297" s="403"/>
      <c r="B297" s="415"/>
      <c r="C297" s="403"/>
      <c r="D297" s="40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c r="AA297" s="403"/>
    </row>
    <row r="298">
      <c r="A298" s="403"/>
      <c r="B298" s="415"/>
      <c r="C298" s="403"/>
      <c r="D298" s="40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c r="AA298" s="403"/>
    </row>
    <row r="299">
      <c r="A299" s="403"/>
      <c r="B299" s="415"/>
      <c r="C299" s="403"/>
      <c r="D299" s="40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c r="AA299" s="403"/>
    </row>
    <row r="300">
      <c r="A300" s="403"/>
      <c r="B300" s="415"/>
      <c r="C300" s="403"/>
      <c r="D300" s="40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c r="AA300" s="403"/>
    </row>
    <row r="301">
      <c r="A301" s="403"/>
      <c r="B301" s="415"/>
      <c r="C301" s="403"/>
      <c r="D301" s="40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c r="AA301" s="403"/>
    </row>
    <row r="302">
      <c r="A302" s="403"/>
      <c r="B302" s="415"/>
      <c r="C302" s="403"/>
      <c r="D302" s="40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c r="AA302" s="403"/>
    </row>
    <row r="303">
      <c r="A303" s="403"/>
      <c r="B303" s="415"/>
      <c r="C303" s="403"/>
      <c r="D303" s="40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c r="AA303" s="403"/>
    </row>
    <row r="304">
      <c r="A304" s="403"/>
      <c r="B304" s="415"/>
      <c r="C304" s="403"/>
      <c r="D304" s="40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c r="AA304" s="403"/>
    </row>
    <row r="305">
      <c r="A305" s="403"/>
      <c r="B305" s="415"/>
      <c r="C305" s="403"/>
      <c r="D305" s="40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c r="AA305" s="403"/>
    </row>
    <row r="306">
      <c r="A306" s="403"/>
      <c r="B306" s="415"/>
      <c r="C306" s="403"/>
      <c r="D306" s="40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c r="AA306" s="403"/>
    </row>
    <row r="307">
      <c r="A307" s="403"/>
      <c r="B307" s="415"/>
      <c r="C307" s="403"/>
      <c r="D307" s="40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c r="AA307" s="403"/>
    </row>
    <row r="308">
      <c r="A308" s="403"/>
      <c r="B308" s="415"/>
      <c r="C308" s="403"/>
      <c r="D308" s="40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c r="AA308" s="403"/>
    </row>
    <row r="309">
      <c r="A309" s="403"/>
      <c r="B309" s="415"/>
      <c r="C309" s="403"/>
      <c r="D309" s="40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c r="AA309" s="403"/>
    </row>
    <row r="310">
      <c r="A310" s="403"/>
      <c r="B310" s="415"/>
      <c r="C310" s="403"/>
      <c r="D310" s="40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c r="AA310" s="403"/>
    </row>
    <row r="311">
      <c r="A311" s="403"/>
      <c r="B311" s="415"/>
      <c r="C311" s="403"/>
      <c r="D311" s="40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c r="AA311" s="403"/>
    </row>
    <row r="312">
      <c r="A312" s="403"/>
      <c r="B312" s="415"/>
      <c r="C312" s="403"/>
      <c r="D312" s="40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c r="AA312" s="403"/>
    </row>
    <row r="313">
      <c r="A313" s="403"/>
      <c r="B313" s="415"/>
      <c r="C313" s="403"/>
      <c r="D313" s="40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c r="AA313" s="403"/>
    </row>
    <row r="314">
      <c r="A314" s="403"/>
      <c r="B314" s="415"/>
      <c r="C314" s="403"/>
      <c r="D314" s="40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c r="AA314" s="403"/>
    </row>
    <row r="315">
      <c r="A315" s="403"/>
      <c r="B315" s="415"/>
      <c r="C315" s="403"/>
      <c r="D315" s="40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c r="AA315" s="403"/>
    </row>
    <row r="316">
      <c r="A316" s="403"/>
      <c r="B316" s="415"/>
      <c r="C316" s="403"/>
      <c r="D316" s="40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c r="AA316" s="403"/>
    </row>
    <row r="317">
      <c r="A317" s="403"/>
      <c r="B317" s="415"/>
      <c r="C317" s="403"/>
      <c r="D317" s="40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c r="AA317" s="403"/>
    </row>
    <row r="318">
      <c r="A318" s="403"/>
      <c r="B318" s="415"/>
      <c r="C318" s="403"/>
      <c r="D318" s="40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c r="AA318" s="403"/>
    </row>
    <row r="319">
      <c r="A319" s="403"/>
      <c r="B319" s="415"/>
      <c r="C319" s="403"/>
      <c r="D319" s="40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c r="AA319" s="403"/>
    </row>
    <row r="320">
      <c r="A320" s="403"/>
      <c r="B320" s="415"/>
      <c r="C320" s="403"/>
      <c r="D320" s="40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c r="AA320" s="403"/>
    </row>
    <row r="321">
      <c r="A321" s="403"/>
      <c r="B321" s="415"/>
      <c r="C321" s="403"/>
      <c r="D321" s="40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c r="AA321" s="403"/>
    </row>
    <row r="322">
      <c r="A322" s="403"/>
      <c r="B322" s="415"/>
      <c r="C322" s="403"/>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row>
    <row r="323">
      <c r="A323" s="403"/>
      <c r="B323" s="415"/>
      <c r="C323" s="403"/>
      <c r="D323" s="40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c r="AA323" s="403"/>
    </row>
    <row r="324">
      <c r="A324" s="403"/>
      <c r="B324" s="415"/>
      <c r="C324" s="403"/>
      <c r="D324" s="40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c r="AA324" s="403"/>
    </row>
    <row r="325">
      <c r="A325" s="403"/>
      <c r="B325" s="415"/>
      <c r="C325" s="403"/>
      <c r="D325" s="40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c r="AA325" s="403"/>
    </row>
    <row r="326">
      <c r="A326" s="403"/>
      <c r="B326" s="415"/>
      <c r="C326" s="403"/>
      <c r="D326" s="40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c r="AA326" s="403"/>
    </row>
    <row r="327">
      <c r="A327" s="403"/>
      <c r="B327" s="415"/>
      <c r="C327" s="403"/>
      <c r="D327" s="40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c r="AA327" s="403"/>
    </row>
    <row r="328">
      <c r="A328" s="403"/>
      <c r="B328" s="415"/>
      <c r="C328" s="403"/>
      <c r="D328" s="40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c r="AA328" s="403"/>
    </row>
    <row r="329">
      <c r="A329" s="403"/>
      <c r="B329" s="415"/>
      <c r="C329" s="403"/>
      <c r="D329" s="40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c r="AA329" s="403"/>
    </row>
    <row r="330">
      <c r="A330" s="403"/>
      <c r="B330" s="415"/>
      <c r="C330" s="403"/>
      <c r="D330" s="40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c r="AA330" s="403"/>
    </row>
    <row r="331">
      <c r="A331" s="403"/>
      <c r="B331" s="415"/>
      <c r="C331" s="403"/>
      <c r="D331" s="40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c r="AA331" s="403"/>
    </row>
    <row r="332">
      <c r="A332" s="403"/>
      <c r="B332" s="415"/>
      <c r="C332" s="403"/>
      <c r="D332" s="40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c r="AA332" s="403"/>
    </row>
    <row r="333">
      <c r="A333" s="403"/>
      <c r="B333" s="415"/>
      <c r="C333" s="403"/>
      <c r="D333" s="40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c r="AA333" s="403"/>
    </row>
    <row r="334">
      <c r="A334" s="403"/>
      <c r="B334" s="415"/>
      <c r="C334" s="403"/>
      <c r="D334" s="40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c r="AA334" s="403"/>
    </row>
    <row r="335">
      <c r="A335" s="403"/>
      <c r="B335" s="415"/>
      <c r="C335" s="403"/>
      <c r="D335" s="40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c r="AA335" s="403"/>
    </row>
    <row r="336">
      <c r="A336" s="403"/>
      <c r="B336" s="415"/>
      <c r="C336" s="403"/>
      <c r="D336" s="40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c r="AA336" s="403"/>
    </row>
    <row r="337">
      <c r="A337" s="403"/>
      <c r="B337" s="415"/>
      <c r="C337" s="403"/>
      <c r="D337" s="40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c r="AA337" s="403"/>
    </row>
    <row r="338">
      <c r="A338" s="403"/>
      <c r="B338" s="415"/>
      <c r="C338" s="403"/>
      <c r="D338" s="40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c r="AA338" s="403"/>
    </row>
    <row r="339">
      <c r="A339" s="403"/>
      <c r="B339" s="415"/>
      <c r="C339" s="403"/>
      <c r="D339" s="40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c r="AA339" s="403"/>
    </row>
    <row r="340">
      <c r="A340" s="403"/>
      <c r="B340" s="415"/>
      <c r="C340" s="403"/>
      <c r="D340" s="40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c r="AA340" s="403"/>
    </row>
    <row r="341">
      <c r="A341" s="403"/>
      <c r="B341" s="415"/>
      <c r="C341" s="403"/>
      <c r="D341" s="40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c r="AA341" s="403"/>
    </row>
    <row r="342">
      <c r="A342" s="403"/>
      <c r="B342" s="415"/>
      <c r="C342" s="403"/>
      <c r="D342" s="40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c r="AA342" s="403"/>
    </row>
    <row r="343">
      <c r="A343" s="403"/>
      <c r="B343" s="415"/>
      <c r="C343" s="403"/>
      <c r="D343" s="40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c r="AA343" s="403"/>
    </row>
    <row r="344">
      <c r="A344" s="403"/>
      <c r="B344" s="415"/>
      <c r="C344" s="403"/>
      <c r="D344" s="40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c r="AA344" s="403"/>
    </row>
    <row r="345">
      <c r="A345" s="403"/>
      <c r="B345" s="415"/>
      <c r="C345" s="403"/>
      <c r="D345" s="40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c r="AA345" s="403"/>
    </row>
    <row r="346">
      <c r="A346" s="403"/>
      <c r="B346" s="415"/>
      <c r="C346" s="403"/>
      <c r="D346" s="40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c r="AA346" s="403"/>
    </row>
    <row r="347">
      <c r="A347" s="403"/>
      <c r="B347" s="415"/>
      <c r="C347" s="403"/>
      <c r="D347" s="40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c r="AA347" s="403"/>
    </row>
    <row r="348">
      <c r="A348" s="403"/>
      <c r="B348" s="415"/>
      <c r="C348" s="403"/>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row>
    <row r="349">
      <c r="A349" s="403"/>
      <c r="B349" s="415"/>
      <c r="C349" s="403"/>
      <c r="D349" s="40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c r="AA349" s="403"/>
    </row>
    <row r="350">
      <c r="A350" s="403"/>
      <c r="B350" s="415"/>
      <c r="C350" s="403"/>
      <c r="D350" s="40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c r="AA350" s="403"/>
    </row>
    <row r="351">
      <c r="A351" s="403"/>
      <c r="B351" s="415"/>
      <c r="C351" s="403"/>
      <c r="D351" s="40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c r="AA351" s="403"/>
    </row>
    <row r="352">
      <c r="A352" s="403"/>
      <c r="B352" s="415"/>
      <c r="C352" s="403"/>
      <c r="D352" s="40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c r="AA352" s="403"/>
    </row>
    <row r="353">
      <c r="A353" s="403"/>
      <c r="B353" s="415"/>
      <c r="C353" s="403"/>
      <c r="D353" s="40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c r="AA353" s="403"/>
    </row>
    <row r="354">
      <c r="A354" s="403"/>
      <c r="B354" s="415"/>
      <c r="C354" s="403"/>
      <c r="D354" s="40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c r="AA354" s="403"/>
    </row>
    <row r="355">
      <c r="A355" s="403"/>
      <c r="B355" s="415"/>
      <c r="C355" s="403"/>
      <c r="D355" s="40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c r="AA355" s="403"/>
    </row>
    <row r="356">
      <c r="A356" s="403"/>
      <c r="B356" s="415"/>
      <c r="C356" s="403"/>
      <c r="D356" s="40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c r="AA356" s="403"/>
    </row>
    <row r="357">
      <c r="A357" s="403"/>
      <c r="B357" s="415"/>
      <c r="C357" s="403"/>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row>
    <row r="358">
      <c r="A358" s="403"/>
      <c r="B358" s="415"/>
      <c r="C358" s="403"/>
      <c r="D358" s="40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c r="AA358" s="403"/>
    </row>
    <row r="359">
      <c r="A359" s="403"/>
      <c r="B359" s="415"/>
      <c r="C359" s="403"/>
      <c r="D359" s="40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c r="AA359" s="403"/>
    </row>
    <row r="360">
      <c r="A360" s="403"/>
      <c r="B360" s="415"/>
      <c r="C360" s="403"/>
      <c r="D360" s="40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c r="AA360" s="403"/>
    </row>
    <row r="361">
      <c r="A361" s="403"/>
      <c r="B361" s="415"/>
      <c r="C361" s="403"/>
      <c r="D361" s="40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c r="AA361" s="403"/>
    </row>
    <row r="362">
      <c r="A362" s="403"/>
      <c r="B362" s="415"/>
      <c r="C362" s="403"/>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row>
    <row r="363">
      <c r="A363" s="403"/>
      <c r="B363" s="415"/>
      <c r="C363" s="403"/>
      <c r="D363" s="40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c r="AA363" s="403"/>
    </row>
    <row r="364">
      <c r="A364" s="403"/>
      <c r="B364" s="415"/>
      <c r="C364" s="403"/>
      <c r="D364" s="40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c r="AA364" s="403"/>
    </row>
    <row r="365">
      <c r="A365" s="403"/>
      <c r="B365" s="415"/>
      <c r="C365" s="403"/>
      <c r="D365" s="40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c r="AA365" s="403"/>
    </row>
    <row r="366">
      <c r="A366" s="403"/>
      <c r="B366" s="415"/>
      <c r="C366" s="403"/>
      <c r="D366" s="40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c r="AA366" s="403"/>
    </row>
    <row r="367">
      <c r="A367" s="403"/>
      <c r="B367" s="415"/>
      <c r="C367" s="403"/>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row>
    <row r="368">
      <c r="A368" s="403"/>
      <c r="B368" s="415"/>
      <c r="C368" s="403"/>
      <c r="D368" s="40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c r="AA368" s="403"/>
    </row>
    <row r="369">
      <c r="A369" s="403"/>
      <c r="B369" s="415"/>
      <c r="C369" s="403"/>
      <c r="D369" s="40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row>
    <row r="370">
      <c r="A370" s="403"/>
      <c r="B370" s="415"/>
      <c r="C370" s="403"/>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row>
    <row r="371">
      <c r="A371" s="403"/>
      <c r="B371" s="415"/>
      <c r="C371" s="403"/>
      <c r="D371" s="40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c r="AA371" s="403"/>
    </row>
    <row r="372">
      <c r="A372" s="403"/>
      <c r="B372" s="415"/>
      <c r="C372" s="403"/>
      <c r="D372" s="40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c r="AA372" s="403"/>
    </row>
    <row r="373">
      <c r="A373" s="403"/>
      <c r="B373" s="415"/>
      <c r="C373" s="403"/>
      <c r="D373" s="40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c r="AA373" s="403"/>
    </row>
    <row r="374">
      <c r="A374" s="403"/>
      <c r="B374" s="415"/>
      <c r="C374" s="403"/>
      <c r="D374" s="40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c r="AA374" s="403"/>
    </row>
    <row r="375">
      <c r="A375" s="403"/>
      <c r="B375" s="415"/>
      <c r="C375" s="403"/>
      <c r="D375" s="40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c r="AA375" s="403"/>
    </row>
    <row r="376">
      <c r="A376" s="403"/>
      <c r="B376" s="415"/>
      <c r="C376" s="403"/>
      <c r="D376" s="40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c r="AA376" s="403"/>
    </row>
    <row r="377">
      <c r="A377" s="403"/>
      <c r="B377" s="415"/>
      <c r="C377" s="403"/>
      <c r="D377" s="40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c r="AA377" s="403"/>
    </row>
    <row r="378">
      <c r="A378" s="403"/>
      <c r="B378" s="415"/>
      <c r="C378" s="403"/>
      <c r="D378" s="40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c r="AA378" s="403"/>
    </row>
    <row r="379">
      <c r="A379" s="403"/>
      <c r="B379" s="415"/>
      <c r="C379" s="403"/>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row>
    <row r="380">
      <c r="A380" s="403"/>
      <c r="B380" s="415"/>
      <c r="C380" s="403"/>
      <c r="D380" s="40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c r="AA380" s="403"/>
    </row>
    <row r="381">
      <c r="A381" s="403"/>
      <c r="B381" s="415"/>
      <c r="C381" s="403"/>
      <c r="D381" s="40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c r="AA381" s="403"/>
    </row>
    <row r="382">
      <c r="A382" s="403"/>
      <c r="B382" s="415"/>
      <c r="C382" s="403"/>
      <c r="D382" s="40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c r="AA382" s="403"/>
    </row>
    <row r="383">
      <c r="A383" s="403"/>
      <c r="B383" s="415"/>
      <c r="C383" s="403"/>
      <c r="D383" s="40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c r="AA383" s="403"/>
    </row>
    <row r="384">
      <c r="A384" s="403"/>
      <c r="B384" s="415"/>
      <c r="C384" s="403"/>
      <c r="D384" s="40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c r="AA384" s="403"/>
    </row>
    <row r="385">
      <c r="A385" s="403"/>
      <c r="B385" s="415"/>
      <c r="C385" s="403"/>
      <c r="D385" s="40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c r="AA385" s="403"/>
    </row>
    <row r="386">
      <c r="A386" s="403"/>
      <c r="B386" s="415"/>
      <c r="C386" s="403"/>
      <c r="D386" s="40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c r="AA386" s="403"/>
    </row>
    <row r="387">
      <c r="A387" s="403"/>
      <c r="B387" s="415"/>
      <c r="C387" s="403"/>
      <c r="D387" s="40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c r="AA387" s="403"/>
    </row>
    <row r="388">
      <c r="A388" s="403"/>
      <c r="B388" s="415"/>
      <c r="C388" s="403"/>
      <c r="D388" s="40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c r="AA388" s="403"/>
    </row>
    <row r="389">
      <c r="A389" s="403"/>
      <c r="B389" s="415"/>
      <c r="C389" s="403"/>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row>
    <row r="390">
      <c r="A390" s="403"/>
      <c r="B390" s="415"/>
      <c r="C390" s="403"/>
      <c r="D390" s="40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c r="AA390" s="403"/>
    </row>
    <row r="391">
      <c r="A391" s="403"/>
      <c r="B391" s="415"/>
      <c r="C391" s="403"/>
      <c r="D391" s="40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c r="AA391" s="403"/>
    </row>
    <row r="392">
      <c r="A392" s="403"/>
      <c r="B392" s="415"/>
      <c r="C392" s="403"/>
      <c r="D392" s="40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c r="AA392" s="403"/>
    </row>
    <row r="393">
      <c r="A393" s="403"/>
      <c r="B393" s="415"/>
      <c r="C393" s="403"/>
      <c r="D393" s="40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c r="AA393" s="403"/>
    </row>
    <row r="394">
      <c r="A394" s="403"/>
      <c r="B394" s="415"/>
      <c r="C394" s="403"/>
      <c r="D394" s="40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c r="AA394" s="403"/>
    </row>
    <row r="395">
      <c r="A395" s="403"/>
      <c r="B395" s="415"/>
      <c r="C395" s="403"/>
      <c r="D395" s="40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c r="AA395" s="403"/>
    </row>
    <row r="396">
      <c r="A396" s="403"/>
      <c r="B396" s="415"/>
      <c r="C396" s="403"/>
      <c r="D396" s="40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c r="AA396" s="403"/>
    </row>
    <row r="397">
      <c r="A397" s="403"/>
      <c r="B397" s="415"/>
      <c r="C397" s="403"/>
      <c r="D397" s="40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c r="AA397" s="403"/>
    </row>
    <row r="398">
      <c r="A398" s="403"/>
      <c r="B398" s="415"/>
      <c r="C398" s="403"/>
      <c r="D398" s="40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c r="AA398" s="403"/>
    </row>
    <row r="399">
      <c r="A399" s="403"/>
      <c r="B399" s="415"/>
      <c r="C399" s="403"/>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row>
    <row r="400">
      <c r="A400" s="403"/>
      <c r="B400" s="415"/>
      <c r="C400" s="403"/>
      <c r="D400" s="40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c r="AA400" s="403"/>
    </row>
    <row r="401">
      <c r="A401" s="403"/>
      <c r="B401" s="415"/>
      <c r="C401" s="403"/>
      <c r="D401" s="40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c r="AA401" s="403"/>
    </row>
    <row r="402">
      <c r="A402" s="403"/>
      <c r="B402" s="415"/>
      <c r="C402" s="403"/>
      <c r="D402" s="40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c r="AA402" s="403"/>
    </row>
    <row r="403">
      <c r="A403" s="403"/>
      <c r="B403" s="415"/>
      <c r="C403" s="403"/>
      <c r="D403" s="40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c r="AA403" s="403"/>
    </row>
    <row r="404">
      <c r="A404" s="403"/>
      <c r="B404" s="415"/>
      <c r="C404" s="403"/>
      <c r="D404" s="40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c r="AA404" s="403"/>
    </row>
    <row r="405">
      <c r="A405" s="403"/>
      <c r="B405" s="415"/>
      <c r="C405" s="403"/>
      <c r="D405" s="40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c r="AA405" s="403"/>
    </row>
    <row r="406">
      <c r="A406" s="403"/>
      <c r="B406" s="415"/>
      <c r="C406" s="403"/>
      <c r="D406" s="40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c r="AA406" s="403"/>
    </row>
    <row r="407">
      <c r="A407" s="403"/>
      <c r="B407" s="415"/>
      <c r="C407" s="403"/>
      <c r="D407" s="40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c r="AA407" s="403"/>
    </row>
    <row r="408">
      <c r="A408" s="403"/>
      <c r="B408" s="415"/>
      <c r="C408" s="403"/>
      <c r="D408" s="40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c r="AA408" s="403"/>
    </row>
    <row r="409">
      <c r="A409" s="403"/>
      <c r="B409" s="415"/>
      <c r="C409" s="403"/>
      <c r="D409" s="40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c r="AA409" s="403"/>
    </row>
    <row r="410">
      <c r="A410" s="403"/>
      <c r="B410" s="415"/>
      <c r="C410" s="403"/>
      <c r="D410" s="40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c r="AA410" s="403"/>
    </row>
    <row r="411">
      <c r="A411" s="403"/>
      <c r="B411" s="415"/>
      <c r="C411" s="403"/>
      <c r="D411" s="40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c r="AA411" s="403"/>
    </row>
    <row r="412">
      <c r="A412" s="403"/>
      <c r="B412" s="415"/>
      <c r="C412" s="403"/>
      <c r="D412" s="40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c r="AA412" s="403"/>
    </row>
    <row r="413">
      <c r="A413" s="403"/>
      <c r="B413" s="415"/>
      <c r="C413" s="403"/>
      <c r="D413" s="40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c r="AA413" s="403"/>
    </row>
    <row r="414">
      <c r="A414" s="403"/>
      <c r="B414" s="415"/>
      <c r="C414" s="403"/>
      <c r="D414" s="40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c r="AA414" s="403"/>
    </row>
    <row r="415">
      <c r="A415" s="403"/>
      <c r="B415" s="415"/>
      <c r="C415" s="403"/>
      <c r="D415" s="40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c r="AA415" s="403"/>
    </row>
    <row r="416">
      <c r="A416" s="403"/>
      <c r="B416" s="415"/>
      <c r="C416" s="403"/>
      <c r="D416" s="40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c r="AA416" s="403"/>
    </row>
    <row r="417">
      <c r="A417" s="403"/>
      <c r="B417" s="415"/>
      <c r="C417" s="403"/>
      <c r="D417" s="40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c r="AA417" s="403"/>
    </row>
    <row r="418">
      <c r="A418" s="403"/>
      <c r="B418" s="415"/>
      <c r="C418" s="403"/>
      <c r="D418" s="40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c r="AA418" s="403"/>
    </row>
    <row r="419">
      <c r="A419" s="403"/>
      <c r="B419" s="415"/>
      <c r="C419" s="403"/>
      <c r="D419" s="40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c r="AA419" s="403"/>
    </row>
    <row r="420">
      <c r="A420" s="403"/>
      <c r="B420" s="415"/>
      <c r="C420" s="403"/>
      <c r="D420" s="40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c r="AA420" s="403"/>
    </row>
    <row r="421">
      <c r="A421" s="403"/>
      <c r="B421" s="415"/>
      <c r="C421" s="403"/>
      <c r="D421" s="40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c r="AA421" s="403"/>
    </row>
    <row r="422">
      <c r="A422" s="403"/>
      <c r="B422" s="415"/>
      <c r="C422" s="403"/>
      <c r="D422" s="40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c r="AA422" s="403"/>
    </row>
    <row r="423">
      <c r="A423" s="403"/>
      <c r="B423" s="415"/>
      <c r="C423" s="403"/>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row>
    <row r="424">
      <c r="A424" s="403"/>
      <c r="B424" s="415"/>
      <c r="C424" s="403"/>
      <c r="D424" s="40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c r="AA424" s="403"/>
    </row>
    <row r="425">
      <c r="A425" s="403"/>
      <c r="B425" s="415"/>
      <c r="C425" s="403"/>
      <c r="D425" s="40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row>
    <row r="426">
      <c r="A426" s="403"/>
      <c r="B426" s="415"/>
      <c r="C426" s="403"/>
      <c r="D426" s="40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c r="AA426" s="403"/>
    </row>
    <row r="427">
      <c r="A427" s="403"/>
      <c r="B427" s="415"/>
      <c r="C427" s="403"/>
      <c r="D427" s="40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c r="AA427" s="403"/>
    </row>
    <row r="428">
      <c r="A428" s="403"/>
      <c r="B428" s="415"/>
      <c r="C428" s="403"/>
      <c r="D428" s="40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c r="AA428" s="403"/>
    </row>
    <row r="429">
      <c r="A429" s="403"/>
      <c r="B429" s="415"/>
      <c r="C429" s="403"/>
      <c r="D429" s="40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c r="AA429" s="403"/>
    </row>
    <row r="430">
      <c r="A430" s="403"/>
      <c r="B430" s="415"/>
      <c r="C430" s="403"/>
      <c r="D430" s="40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c r="AA430" s="403"/>
    </row>
    <row r="431">
      <c r="A431" s="403"/>
      <c r="B431" s="415"/>
      <c r="C431" s="403"/>
      <c r="D431" s="40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c r="AA431" s="403"/>
    </row>
    <row r="432">
      <c r="A432" s="403"/>
      <c r="B432" s="415"/>
      <c r="C432" s="403"/>
      <c r="D432" s="40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c r="AA432" s="403"/>
    </row>
    <row r="433">
      <c r="A433" s="403"/>
      <c r="B433" s="415"/>
      <c r="C433" s="403"/>
      <c r="D433" s="40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c r="AA433" s="403"/>
    </row>
    <row r="434">
      <c r="A434" s="403"/>
      <c r="B434" s="415"/>
      <c r="C434" s="403"/>
      <c r="D434" s="40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c r="AA434" s="403"/>
    </row>
    <row r="435">
      <c r="A435" s="403"/>
      <c r="B435" s="415"/>
      <c r="C435" s="403"/>
      <c r="D435" s="40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c r="AA435" s="403"/>
    </row>
    <row r="436">
      <c r="A436" s="403"/>
      <c r="B436" s="415"/>
      <c r="C436" s="403"/>
      <c r="D436" s="40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c r="AA436" s="403"/>
    </row>
    <row r="437">
      <c r="A437" s="403"/>
      <c r="B437" s="415"/>
      <c r="C437" s="403"/>
      <c r="D437" s="40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c r="AA437" s="403"/>
    </row>
    <row r="438">
      <c r="A438" s="403"/>
      <c r="B438" s="415"/>
      <c r="C438" s="403"/>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row>
    <row r="439">
      <c r="A439" s="403"/>
      <c r="B439" s="415"/>
      <c r="C439" s="403"/>
      <c r="D439" s="40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c r="AA439" s="403"/>
    </row>
    <row r="440">
      <c r="A440" s="403"/>
      <c r="B440" s="415"/>
      <c r="C440" s="403"/>
      <c r="D440" s="40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row>
    <row r="441">
      <c r="A441" s="403"/>
      <c r="B441" s="415"/>
      <c r="C441" s="403"/>
      <c r="D441" s="40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c r="AA441" s="403"/>
    </row>
    <row r="442">
      <c r="A442" s="403"/>
      <c r="B442" s="415"/>
      <c r="C442" s="403"/>
      <c r="D442" s="40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c r="AA442" s="403"/>
    </row>
    <row r="443">
      <c r="A443" s="403"/>
      <c r="B443" s="415"/>
      <c r="C443" s="403"/>
      <c r="D443" s="40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c r="AA443" s="403"/>
    </row>
    <row r="444">
      <c r="A444" s="403"/>
      <c r="B444" s="415"/>
      <c r="C444" s="403"/>
      <c r="D444" s="40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c r="AA444" s="403"/>
    </row>
    <row r="445">
      <c r="A445" s="403"/>
      <c r="B445" s="415"/>
      <c r="C445" s="403"/>
      <c r="D445" s="40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c r="AA445" s="403"/>
    </row>
    <row r="446">
      <c r="A446" s="403"/>
      <c r="B446" s="415"/>
      <c r="C446" s="403"/>
      <c r="D446" s="40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c r="AA446" s="403"/>
    </row>
    <row r="447">
      <c r="A447" s="403"/>
      <c r="B447" s="415"/>
      <c r="C447" s="403"/>
      <c r="D447" s="40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c r="AA447" s="403"/>
    </row>
    <row r="448">
      <c r="A448" s="403"/>
      <c r="B448" s="415"/>
      <c r="C448" s="403"/>
      <c r="D448" s="40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c r="AA448" s="403"/>
    </row>
    <row r="449">
      <c r="A449" s="403"/>
      <c r="B449" s="415"/>
      <c r="C449" s="403"/>
      <c r="D449" s="40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c r="AA449" s="403"/>
    </row>
    <row r="450">
      <c r="A450" s="403"/>
      <c r="B450" s="415"/>
      <c r="C450" s="403"/>
      <c r="D450" s="40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c r="AA450" s="403"/>
    </row>
    <row r="451">
      <c r="A451" s="403"/>
      <c r="B451" s="415"/>
      <c r="C451" s="403"/>
      <c r="D451" s="40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c r="AA451" s="403"/>
    </row>
    <row r="452">
      <c r="A452" s="403"/>
      <c r="B452" s="415"/>
      <c r="C452" s="403"/>
      <c r="D452" s="40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c r="AA452" s="403"/>
    </row>
    <row r="453">
      <c r="A453" s="403"/>
      <c r="B453" s="415"/>
      <c r="C453" s="403"/>
      <c r="D453" s="40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c r="AA453" s="403"/>
    </row>
    <row r="454">
      <c r="A454" s="403"/>
      <c r="B454" s="415"/>
      <c r="C454" s="403"/>
      <c r="D454" s="40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c r="AA454" s="403"/>
    </row>
    <row r="455">
      <c r="A455" s="403"/>
      <c r="B455" s="415"/>
      <c r="C455" s="403"/>
      <c r="D455" s="40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c r="AA455" s="403"/>
    </row>
    <row r="456">
      <c r="A456" s="403"/>
      <c r="B456" s="415"/>
      <c r="C456" s="403"/>
      <c r="D456" s="40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c r="AA456" s="403"/>
    </row>
    <row r="457">
      <c r="A457" s="403"/>
      <c r="B457" s="415"/>
      <c r="C457" s="403"/>
      <c r="D457" s="40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c r="AA457" s="403"/>
    </row>
    <row r="458">
      <c r="A458" s="403"/>
      <c r="B458" s="415"/>
      <c r="C458" s="403"/>
      <c r="D458" s="40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c r="AA458" s="403"/>
    </row>
    <row r="459">
      <c r="A459" s="403"/>
      <c r="B459" s="415"/>
      <c r="C459" s="403"/>
      <c r="D459" s="40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c r="AA459" s="403"/>
    </row>
    <row r="460">
      <c r="A460" s="403"/>
      <c r="B460" s="415"/>
      <c r="C460" s="403"/>
      <c r="D460" s="40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c r="AA460" s="403"/>
    </row>
    <row r="461">
      <c r="A461" s="403"/>
      <c r="B461" s="415"/>
      <c r="C461" s="403"/>
      <c r="D461" s="40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c r="AA461" s="403"/>
    </row>
    <row r="462">
      <c r="A462" s="403"/>
      <c r="B462" s="415"/>
      <c r="C462" s="403"/>
      <c r="D462" s="40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c r="AA462" s="403"/>
    </row>
    <row r="463">
      <c r="A463" s="403"/>
      <c r="B463" s="415"/>
      <c r="C463" s="403"/>
      <c r="D463" s="40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c r="AA463" s="403"/>
    </row>
    <row r="464">
      <c r="A464" s="403"/>
      <c r="B464" s="415"/>
      <c r="C464" s="403"/>
      <c r="D464" s="40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c r="AA464" s="403"/>
    </row>
    <row r="465">
      <c r="A465" s="403"/>
      <c r="B465" s="415"/>
      <c r="C465" s="403"/>
      <c r="D465" s="40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c r="AA465" s="403"/>
    </row>
    <row r="466">
      <c r="A466" s="403"/>
      <c r="B466" s="415"/>
      <c r="C466" s="403"/>
      <c r="D466" s="40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c r="AA466" s="403"/>
    </row>
    <row r="467">
      <c r="A467" s="403"/>
      <c r="B467" s="415"/>
      <c r="C467" s="403"/>
      <c r="D467" s="40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c r="AA467" s="403"/>
    </row>
    <row r="468">
      <c r="A468" s="403"/>
      <c r="B468" s="415"/>
      <c r="C468" s="403"/>
      <c r="D468" s="40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c r="AA468" s="403"/>
    </row>
    <row r="469">
      <c r="A469" s="403"/>
      <c r="B469" s="415"/>
      <c r="C469" s="403"/>
      <c r="D469" s="40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c r="AA469" s="403"/>
    </row>
    <row r="470">
      <c r="A470" s="403"/>
      <c r="B470" s="415"/>
      <c r="C470" s="403"/>
      <c r="D470" s="40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c r="AA470" s="403"/>
    </row>
    <row r="471">
      <c r="A471" s="403"/>
      <c r="B471" s="415"/>
      <c r="C471" s="403"/>
      <c r="D471" s="40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c r="AA471" s="403"/>
    </row>
    <row r="472">
      <c r="A472" s="403"/>
      <c r="B472" s="415"/>
      <c r="C472" s="403"/>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row>
    <row r="473">
      <c r="A473" s="403"/>
      <c r="B473" s="415"/>
      <c r="C473" s="403"/>
      <c r="D473" s="40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c r="AA473" s="403"/>
    </row>
    <row r="474">
      <c r="A474" s="403"/>
      <c r="B474" s="415"/>
      <c r="C474" s="403"/>
      <c r="D474" s="40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c r="AA474" s="403"/>
    </row>
    <row r="475">
      <c r="A475" s="403"/>
      <c r="B475" s="415"/>
      <c r="C475" s="403"/>
      <c r="D475" s="40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c r="AA475" s="403"/>
    </row>
    <row r="476">
      <c r="A476" s="403"/>
      <c r="B476" s="415"/>
      <c r="C476" s="403"/>
      <c r="D476" s="40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c r="AA476" s="403"/>
    </row>
    <row r="477">
      <c r="A477" s="403"/>
      <c r="B477" s="415"/>
      <c r="C477" s="403"/>
      <c r="D477" s="40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c r="AA477" s="403"/>
    </row>
    <row r="478">
      <c r="A478" s="403"/>
      <c r="B478" s="415"/>
      <c r="C478" s="403"/>
      <c r="D478" s="40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c r="AA478" s="403"/>
    </row>
    <row r="479">
      <c r="A479" s="403"/>
      <c r="B479" s="415"/>
      <c r="C479" s="403"/>
      <c r="D479" s="40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c r="AA479" s="403"/>
    </row>
    <row r="480">
      <c r="A480" s="403"/>
      <c r="B480" s="415"/>
      <c r="C480" s="403"/>
      <c r="D480" s="40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c r="AA480" s="403"/>
    </row>
    <row r="481">
      <c r="A481" s="403"/>
      <c r="B481" s="415"/>
      <c r="C481" s="403"/>
      <c r="D481" s="40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c r="AA481" s="403"/>
    </row>
    <row r="482">
      <c r="A482" s="403"/>
      <c r="B482" s="415"/>
      <c r="C482" s="403"/>
      <c r="D482" s="40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c r="AA482" s="403"/>
    </row>
    <row r="483">
      <c r="A483" s="403"/>
      <c r="B483" s="415"/>
      <c r="C483" s="403"/>
      <c r="D483" s="40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c r="AA483" s="403"/>
    </row>
    <row r="484">
      <c r="A484" s="403"/>
      <c r="B484" s="415"/>
      <c r="C484" s="403"/>
      <c r="D484" s="40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c r="AA484" s="403"/>
    </row>
    <row r="485">
      <c r="A485" s="403"/>
      <c r="B485" s="415"/>
      <c r="C485" s="403"/>
      <c r="D485" s="40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c r="AA485" s="403"/>
    </row>
    <row r="486">
      <c r="A486" s="403"/>
      <c r="B486" s="415"/>
      <c r="C486" s="403"/>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row>
    <row r="487">
      <c r="A487" s="403"/>
      <c r="B487" s="415"/>
      <c r="C487" s="403"/>
      <c r="D487" s="40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c r="AA487" s="403"/>
    </row>
    <row r="488">
      <c r="A488" s="403"/>
      <c r="B488" s="415"/>
      <c r="C488" s="403"/>
      <c r="D488" s="40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c r="AA488" s="403"/>
    </row>
    <row r="489">
      <c r="A489" s="403"/>
      <c r="B489" s="415"/>
      <c r="C489" s="403"/>
      <c r="D489" s="40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c r="AA489" s="403"/>
    </row>
    <row r="490">
      <c r="A490" s="403"/>
      <c r="B490" s="415"/>
      <c r="C490" s="403"/>
      <c r="D490" s="40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c r="AA490" s="403"/>
    </row>
    <row r="491">
      <c r="A491" s="403"/>
      <c r="B491" s="415"/>
      <c r="C491" s="403"/>
      <c r="D491" s="40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c r="AA491" s="403"/>
    </row>
    <row r="492">
      <c r="A492" s="403"/>
      <c r="B492" s="415"/>
      <c r="C492" s="403"/>
      <c r="D492" s="40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c r="AA492" s="403"/>
    </row>
    <row r="493">
      <c r="A493" s="403"/>
      <c r="B493" s="415"/>
      <c r="C493" s="403"/>
      <c r="D493" s="40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c r="AA493" s="403"/>
    </row>
    <row r="494">
      <c r="A494" s="403"/>
      <c r="B494" s="415"/>
      <c r="C494" s="403"/>
      <c r="D494" s="40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c r="AA494" s="403"/>
    </row>
    <row r="495">
      <c r="A495" s="403"/>
      <c r="B495" s="415"/>
      <c r="C495" s="403"/>
      <c r="D495" s="40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c r="AA495" s="403"/>
    </row>
    <row r="496">
      <c r="A496" s="403"/>
      <c r="B496" s="415"/>
      <c r="C496" s="403"/>
      <c r="D496" s="40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c r="AA496" s="403"/>
    </row>
    <row r="497">
      <c r="A497" s="403"/>
      <c r="B497" s="415"/>
      <c r="C497" s="403"/>
      <c r="D497" s="40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c r="AA497" s="403"/>
    </row>
    <row r="498">
      <c r="A498" s="403"/>
      <c r="B498" s="415"/>
      <c r="C498" s="403"/>
      <c r="D498" s="40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c r="AA498" s="403"/>
    </row>
    <row r="499">
      <c r="A499" s="403"/>
      <c r="B499" s="415"/>
      <c r="C499" s="403"/>
      <c r="D499" s="40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c r="AA499" s="403"/>
    </row>
    <row r="500">
      <c r="A500" s="403"/>
      <c r="B500" s="415"/>
      <c r="C500" s="403"/>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row>
    <row r="501">
      <c r="A501" s="403"/>
      <c r="B501" s="415"/>
      <c r="C501" s="403"/>
      <c r="D501" s="40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c r="AA501" s="403"/>
    </row>
    <row r="502">
      <c r="A502" s="403"/>
      <c r="B502" s="415"/>
      <c r="C502" s="403"/>
      <c r="D502" s="40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c r="AA502" s="403"/>
    </row>
    <row r="503">
      <c r="A503" s="403"/>
      <c r="B503" s="415"/>
      <c r="C503" s="403"/>
      <c r="D503" s="40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c r="AA503" s="403"/>
    </row>
    <row r="504">
      <c r="A504" s="403"/>
      <c r="B504" s="415"/>
      <c r="C504" s="403"/>
      <c r="D504" s="40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c r="AA504" s="403"/>
    </row>
    <row r="505">
      <c r="A505" s="403"/>
      <c r="B505" s="415"/>
      <c r="C505" s="403"/>
      <c r="D505" s="40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c r="AA505" s="403"/>
    </row>
    <row r="506">
      <c r="A506" s="403"/>
      <c r="B506" s="415"/>
      <c r="C506" s="403"/>
      <c r="D506" s="40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c r="AA506" s="403"/>
    </row>
    <row r="507">
      <c r="A507" s="403"/>
      <c r="B507" s="415"/>
      <c r="C507" s="403"/>
      <c r="D507" s="40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c r="AA507" s="403"/>
    </row>
    <row r="508">
      <c r="A508" s="403"/>
      <c r="B508" s="415"/>
      <c r="C508" s="403"/>
      <c r="D508" s="40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c r="AA508" s="403"/>
    </row>
    <row r="509">
      <c r="A509" s="403"/>
      <c r="B509" s="415"/>
      <c r="C509" s="403"/>
      <c r="D509" s="40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c r="AA509" s="403"/>
    </row>
    <row r="510">
      <c r="A510" s="403"/>
      <c r="B510" s="415"/>
      <c r="C510" s="403"/>
      <c r="D510" s="40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c r="AA510" s="403"/>
    </row>
    <row r="511">
      <c r="A511" s="403"/>
      <c r="B511" s="415"/>
      <c r="C511" s="403"/>
      <c r="D511" s="40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c r="AA511" s="403"/>
    </row>
    <row r="512">
      <c r="A512" s="403"/>
      <c r="B512" s="415"/>
      <c r="C512" s="403"/>
      <c r="D512" s="40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c r="AA512" s="403"/>
    </row>
    <row r="513">
      <c r="A513" s="403"/>
      <c r="B513" s="415"/>
      <c r="C513" s="403"/>
      <c r="D513" s="40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c r="AA513" s="403"/>
    </row>
    <row r="514">
      <c r="A514" s="403"/>
      <c r="B514" s="415"/>
      <c r="C514" s="403"/>
      <c r="D514" s="40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c r="AA514" s="403"/>
    </row>
    <row r="515">
      <c r="A515" s="403"/>
      <c r="B515" s="415"/>
      <c r="C515" s="403"/>
      <c r="D515" s="40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c r="AA515" s="403"/>
    </row>
    <row r="516">
      <c r="A516" s="403"/>
      <c r="B516" s="415"/>
      <c r="C516" s="403"/>
      <c r="D516" s="40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c r="AA516" s="403"/>
    </row>
    <row r="517">
      <c r="A517" s="403"/>
      <c r="B517" s="415"/>
      <c r="C517" s="403"/>
      <c r="D517" s="40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c r="AA517" s="403"/>
    </row>
    <row r="518">
      <c r="A518" s="403"/>
      <c r="B518" s="415"/>
      <c r="C518" s="403"/>
      <c r="D518" s="40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c r="AA518" s="403"/>
    </row>
    <row r="519">
      <c r="A519" s="403"/>
      <c r="B519" s="415"/>
      <c r="C519" s="403"/>
      <c r="D519" s="40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c r="AA519" s="403"/>
    </row>
    <row r="520">
      <c r="A520" s="403"/>
      <c r="B520" s="415"/>
      <c r="C520" s="403"/>
      <c r="D520" s="40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c r="AA520" s="403"/>
    </row>
    <row r="521">
      <c r="A521" s="403"/>
      <c r="B521" s="415"/>
      <c r="C521" s="403"/>
      <c r="D521" s="40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c r="AA521" s="403"/>
    </row>
    <row r="522">
      <c r="A522" s="403"/>
      <c r="B522" s="415"/>
      <c r="C522" s="403"/>
      <c r="D522" s="40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c r="AA522" s="403"/>
    </row>
    <row r="523">
      <c r="A523" s="403"/>
      <c r="B523" s="415"/>
      <c r="C523" s="403"/>
      <c r="D523" s="40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c r="AA523" s="403"/>
    </row>
    <row r="524">
      <c r="A524" s="403"/>
      <c r="B524" s="415"/>
      <c r="C524" s="403"/>
      <c r="D524" s="40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c r="AA524" s="403"/>
    </row>
    <row r="525">
      <c r="A525" s="403"/>
      <c r="B525" s="415"/>
      <c r="C525" s="403"/>
      <c r="D525" s="40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c r="AA525" s="403"/>
    </row>
    <row r="526">
      <c r="A526" s="403"/>
      <c r="B526" s="415"/>
      <c r="C526" s="403"/>
      <c r="D526" s="40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c r="AA526" s="403"/>
    </row>
    <row r="527">
      <c r="A527" s="403"/>
      <c r="B527" s="415"/>
      <c r="C527" s="403"/>
      <c r="D527" s="40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c r="AA527" s="403"/>
    </row>
    <row r="528">
      <c r="A528" s="403"/>
      <c r="B528" s="415"/>
      <c r="C528" s="403"/>
      <c r="D528" s="40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c r="AA528" s="403"/>
    </row>
    <row r="529">
      <c r="A529" s="403"/>
      <c r="B529" s="415"/>
      <c r="C529" s="403"/>
      <c r="D529" s="40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c r="AA529" s="403"/>
    </row>
    <row r="530">
      <c r="A530" s="403"/>
      <c r="B530" s="415"/>
      <c r="C530" s="403"/>
      <c r="D530" s="40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c r="AA530" s="403"/>
    </row>
    <row r="531">
      <c r="A531" s="403"/>
      <c r="B531" s="415"/>
      <c r="C531" s="403"/>
      <c r="D531" s="40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c r="AA531" s="403"/>
    </row>
    <row r="532">
      <c r="A532" s="403"/>
      <c r="B532" s="415"/>
      <c r="C532" s="403"/>
      <c r="D532" s="40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c r="AA532" s="403"/>
    </row>
    <row r="533">
      <c r="A533" s="403"/>
      <c r="B533" s="415"/>
      <c r="C533" s="403"/>
      <c r="D533" s="40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c r="AA533" s="403"/>
    </row>
    <row r="534">
      <c r="A534" s="403"/>
      <c r="B534" s="415"/>
      <c r="C534" s="403"/>
      <c r="D534" s="40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c r="AA534" s="403"/>
    </row>
    <row r="535">
      <c r="A535" s="403"/>
      <c r="B535" s="415"/>
      <c r="C535" s="403"/>
      <c r="D535" s="40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c r="AA535" s="403"/>
    </row>
    <row r="536">
      <c r="A536" s="403"/>
      <c r="B536" s="415"/>
      <c r="C536" s="403"/>
      <c r="D536" s="40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c r="AA536" s="403"/>
    </row>
    <row r="537">
      <c r="A537" s="403"/>
      <c r="B537" s="415"/>
      <c r="C537" s="403"/>
      <c r="D537" s="40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c r="AA537" s="403"/>
    </row>
    <row r="538">
      <c r="A538" s="403"/>
      <c r="B538" s="415"/>
      <c r="C538" s="403"/>
      <c r="D538" s="40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c r="AA538" s="403"/>
    </row>
    <row r="539">
      <c r="A539" s="403"/>
      <c r="B539" s="415"/>
      <c r="C539" s="403"/>
      <c r="D539" s="40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c r="AA539" s="403"/>
    </row>
    <row r="540">
      <c r="A540" s="403"/>
      <c r="B540" s="415"/>
      <c r="C540" s="403"/>
      <c r="D540" s="40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c r="AA540" s="403"/>
    </row>
    <row r="541">
      <c r="A541" s="403"/>
      <c r="B541" s="415"/>
      <c r="C541" s="403"/>
      <c r="D541" s="40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c r="AA541" s="403"/>
    </row>
    <row r="542">
      <c r="A542" s="403"/>
      <c r="B542" s="415"/>
      <c r="C542" s="403"/>
      <c r="D542" s="40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c r="AA542" s="403"/>
    </row>
    <row r="543">
      <c r="A543" s="403"/>
      <c r="B543" s="415"/>
      <c r="C543" s="403"/>
      <c r="D543" s="40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c r="AA543" s="403"/>
    </row>
    <row r="544">
      <c r="A544" s="403"/>
      <c r="B544" s="415"/>
      <c r="C544" s="403"/>
      <c r="D544" s="40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c r="AA544" s="403"/>
    </row>
    <row r="545">
      <c r="A545" s="403"/>
      <c r="B545" s="415"/>
      <c r="C545" s="403"/>
      <c r="D545" s="40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c r="AA545" s="403"/>
    </row>
    <row r="546">
      <c r="A546" s="403"/>
      <c r="B546" s="415"/>
      <c r="C546" s="403"/>
      <c r="D546" s="40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c r="AA546" s="403"/>
    </row>
    <row r="547">
      <c r="A547" s="403"/>
      <c r="B547" s="415"/>
      <c r="C547" s="403"/>
      <c r="D547" s="40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c r="AA547" s="403"/>
    </row>
    <row r="548">
      <c r="A548" s="403"/>
      <c r="B548" s="415"/>
      <c r="C548" s="403"/>
      <c r="D548" s="40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c r="AA548" s="403"/>
    </row>
    <row r="549">
      <c r="A549" s="403"/>
      <c r="B549" s="415"/>
      <c r="C549" s="403"/>
      <c r="D549" s="40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c r="AA549" s="403"/>
    </row>
    <row r="550">
      <c r="A550" s="403"/>
      <c r="B550" s="415"/>
      <c r="C550" s="403"/>
      <c r="D550" s="40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c r="AA550" s="403"/>
    </row>
    <row r="551">
      <c r="A551" s="403"/>
      <c r="B551" s="415"/>
      <c r="C551" s="403"/>
      <c r="D551" s="40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c r="AA551" s="403"/>
    </row>
    <row r="552">
      <c r="A552" s="403"/>
      <c r="B552" s="415"/>
      <c r="C552" s="403"/>
      <c r="D552" s="40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c r="AA552" s="403"/>
    </row>
    <row r="553">
      <c r="A553" s="403"/>
      <c r="B553" s="415"/>
      <c r="C553" s="403"/>
      <c r="D553" s="40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c r="AA553" s="403"/>
    </row>
    <row r="554">
      <c r="A554" s="403"/>
      <c r="B554" s="415"/>
      <c r="C554" s="403"/>
      <c r="D554" s="40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c r="AA554" s="403"/>
    </row>
    <row r="555">
      <c r="A555" s="403"/>
      <c r="B555" s="415"/>
      <c r="C555" s="403"/>
      <c r="D555" s="40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c r="AA555" s="403"/>
    </row>
    <row r="556">
      <c r="A556" s="403"/>
      <c r="B556" s="415"/>
      <c r="C556" s="403"/>
      <c r="D556" s="40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c r="AA556" s="403"/>
    </row>
    <row r="557">
      <c r="A557" s="403"/>
      <c r="B557" s="415"/>
      <c r="C557" s="403"/>
      <c r="D557" s="40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c r="AA557" s="403"/>
    </row>
    <row r="558">
      <c r="A558" s="403"/>
      <c r="B558" s="415"/>
      <c r="C558" s="403"/>
      <c r="D558" s="40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c r="AA558" s="403"/>
    </row>
    <row r="559">
      <c r="A559" s="403"/>
      <c r="B559" s="415"/>
      <c r="C559" s="403"/>
      <c r="D559" s="40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c r="AA559" s="403"/>
    </row>
    <row r="560">
      <c r="A560" s="403"/>
      <c r="B560" s="415"/>
      <c r="C560" s="403"/>
      <c r="D560" s="40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c r="AA560" s="403"/>
    </row>
    <row r="561">
      <c r="A561" s="403"/>
      <c r="B561" s="415"/>
      <c r="C561" s="403"/>
      <c r="D561" s="40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c r="AA561" s="403"/>
    </row>
    <row r="562">
      <c r="A562" s="403"/>
      <c r="B562" s="415"/>
      <c r="C562" s="403"/>
      <c r="D562" s="40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c r="AA562" s="403"/>
    </row>
    <row r="563">
      <c r="A563" s="403"/>
      <c r="B563" s="415"/>
      <c r="C563" s="403"/>
      <c r="D563" s="40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c r="AA563" s="403"/>
    </row>
    <row r="564">
      <c r="A564" s="403"/>
      <c r="B564" s="415"/>
      <c r="C564" s="403"/>
      <c r="D564" s="40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c r="AA564" s="403"/>
    </row>
    <row r="565">
      <c r="A565" s="403"/>
      <c r="B565" s="415"/>
      <c r="C565" s="403"/>
      <c r="D565" s="40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c r="AA565" s="403"/>
    </row>
    <row r="566">
      <c r="A566" s="403"/>
      <c r="B566" s="415"/>
      <c r="C566" s="403"/>
      <c r="D566" s="40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c r="AA566" s="403"/>
    </row>
    <row r="567">
      <c r="A567" s="403"/>
      <c r="B567" s="415"/>
      <c r="C567" s="403"/>
      <c r="D567" s="40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c r="AA567" s="403"/>
    </row>
    <row r="568">
      <c r="A568" s="403"/>
      <c r="B568" s="415"/>
      <c r="C568" s="403"/>
      <c r="D568" s="40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c r="AA568" s="403"/>
    </row>
    <row r="569">
      <c r="A569" s="403"/>
      <c r="B569" s="415"/>
      <c r="C569" s="403"/>
      <c r="D569" s="40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c r="AA569" s="403"/>
    </row>
    <row r="570">
      <c r="A570" s="403"/>
      <c r="B570" s="415"/>
      <c r="C570" s="403"/>
      <c r="D570" s="40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c r="AA570" s="403"/>
    </row>
    <row r="571">
      <c r="A571" s="403"/>
      <c r="B571" s="415"/>
      <c r="C571" s="403"/>
      <c r="D571" s="40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c r="AA571" s="403"/>
    </row>
    <row r="572">
      <c r="A572" s="403"/>
      <c r="B572" s="415"/>
      <c r="C572" s="403"/>
      <c r="D572" s="40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c r="AA572" s="403"/>
    </row>
    <row r="573">
      <c r="A573" s="403"/>
      <c r="B573" s="415"/>
      <c r="C573" s="403"/>
      <c r="D573" s="40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c r="AA573" s="403"/>
    </row>
    <row r="574">
      <c r="A574" s="403"/>
      <c r="B574" s="415"/>
      <c r="C574" s="403"/>
      <c r="D574" s="40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c r="AA574" s="403"/>
    </row>
    <row r="575">
      <c r="A575" s="403"/>
      <c r="B575" s="415"/>
      <c r="C575" s="403"/>
      <c r="D575" s="40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c r="AA575" s="403"/>
    </row>
    <row r="576">
      <c r="A576" s="403"/>
      <c r="B576" s="415"/>
      <c r="C576" s="403"/>
      <c r="D576" s="40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c r="AA576" s="403"/>
    </row>
    <row r="577">
      <c r="A577" s="403"/>
      <c r="B577" s="415"/>
      <c r="C577" s="403"/>
      <c r="D577" s="40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c r="AA577" s="403"/>
    </row>
    <row r="578">
      <c r="A578" s="403"/>
      <c r="B578" s="415"/>
      <c r="C578" s="403"/>
      <c r="D578" s="40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c r="AA578" s="403"/>
    </row>
    <row r="579">
      <c r="A579" s="403"/>
      <c r="B579" s="415"/>
      <c r="C579" s="403"/>
      <c r="D579" s="40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c r="AA579" s="403"/>
    </row>
    <row r="580">
      <c r="A580" s="403"/>
      <c r="B580" s="415"/>
      <c r="C580" s="403"/>
      <c r="D580" s="40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c r="AA580" s="403"/>
    </row>
    <row r="581">
      <c r="A581" s="403"/>
      <c r="B581" s="415"/>
      <c r="C581" s="403"/>
      <c r="D581" s="40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c r="AA581" s="403"/>
    </row>
    <row r="582">
      <c r="A582" s="403"/>
      <c r="B582" s="415"/>
      <c r="C582" s="403"/>
      <c r="D582" s="40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c r="AA582" s="403"/>
    </row>
    <row r="583">
      <c r="A583" s="403"/>
      <c r="B583" s="415"/>
      <c r="C583" s="403"/>
      <c r="D583" s="40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c r="AA583" s="403"/>
    </row>
    <row r="584">
      <c r="A584" s="403"/>
      <c r="B584" s="415"/>
      <c r="C584" s="403"/>
      <c r="D584" s="40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c r="AA584" s="403"/>
    </row>
    <row r="585">
      <c r="A585" s="403"/>
      <c r="B585" s="415"/>
      <c r="C585" s="403"/>
      <c r="D585" s="40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c r="AA585" s="403"/>
    </row>
    <row r="586">
      <c r="A586" s="403"/>
      <c r="B586" s="415"/>
      <c r="C586" s="403"/>
      <c r="D586" s="40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c r="AA586" s="403"/>
    </row>
    <row r="587">
      <c r="A587" s="403"/>
      <c r="B587" s="415"/>
      <c r="C587" s="403"/>
      <c r="D587" s="40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c r="AA587" s="403"/>
    </row>
    <row r="588">
      <c r="A588" s="403"/>
      <c r="B588" s="415"/>
      <c r="C588" s="403"/>
      <c r="D588" s="40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c r="AA588" s="403"/>
    </row>
    <row r="589">
      <c r="A589" s="403"/>
      <c r="B589" s="415"/>
      <c r="C589" s="403"/>
      <c r="D589" s="40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c r="AA589" s="403"/>
    </row>
    <row r="590">
      <c r="A590" s="403"/>
      <c r="B590" s="415"/>
      <c r="C590" s="403"/>
      <c r="D590" s="40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c r="AA590" s="403"/>
    </row>
    <row r="591">
      <c r="A591" s="403"/>
      <c r="B591" s="415"/>
      <c r="C591" s="403"/>
      <c r="D591" s="40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c r="AA591" s="403"/>
    </row>
    <row r="592">
      <c r="A592" s="403"/>
      <c r="B592" s="415"/>
      <c r="C592" s="403"/>
      <c r="D592" s="40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c r="AA592" s="403"/>
    </row>
    <row r="593">
      <c r="A593" s="403"/>
      <c r="B593" s="415"/>
      <c r="C593" s="403"/>
      <c r="D593" s="40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c r="AA593" s="403"/>
    </row>
    <row r="594">
      <c r="A594" s="403"/>
      <c r="B594" s="415"/>
      <c r="C594" s="403"/>
      <c r="D594" s="40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c r="AA594" s="403"/>
    </row>
    <row r="595">
      <c r="A595" s="403"/>
      <c r="B595" s="415"/>
      <c r="C595" s="403"/>
      <c r="D595" s="40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c r="AA595" s="403"/>
    </row>
    <row r="596">
      <c r="A596" s="403"/>
      <c r="B596" s="415"/>
      <c r="C596" s="403"/>
      <c r="D596" s="40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c r="AA596" s="403"/>
    </row>
    <row r="597">
      <c r="A597" s="403"/>
      <c r="B597" s="415"/>
      <c r="C597" s="403"/>
      <c r="D597" s="40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c r="AA597" s="403"/>
    </row>
    <row r="598">
      <c r="A598" s="403"/>
      <c r="B598" s="415"/>
      <c r="C598" s="403"/>
      <c r="D598" s="40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c r="AA598" s="403"/>
    </row>
    <row r="599">
      <c r="A599" s="403"/>
      <c r="B599" s="415"/>
      <c r="C599" s="403"/>
      <c r="D599" s="40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c r="AA599" s="403"/>
    </row>
    <row r="600">
      <c r="A600" s="403"/>
      <c r="B600" s="415"/>
      <c r="C600" s="403"/>
      <c r="D600" s="40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c r="AA600" s="403"/>
    </row>
    <row r="601">
      <c r="A601" s="403"/>
      <c r="B601" s="415"/>
      <c r="C601" s="403"/>
      <c r="D601" s="40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c r="AA601" s="403"/>
    </row>
    <row r="602">
      <c r="A602" s="403"/>
      <c r="B602" s="415"/>
      <c r="C602" s="403"/>
      <c r="D602" s="40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c r="AA602" s="403"/>
    </row>
    <row r="603">
      <c r="A603" s="403"/>
      <c r="B603" s="415"/>
      <c r="C603" s="403"/>
      <c r="D603" s="40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c r="AA603" s="403"/>
    </row>
    <row r="604">
      <c r="A604" s="403"/>
      <c r="B604" s="415"/>
      <c r="C604" s="403"/>
      <c r="D604" s="40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c r="AA604" s="403"/>
    </row>
    <row r="605">
      <c r="A605" s="403"/>
      <c r="B605" s="415"/>
      <c r="C605" s="403"/>
      <c r="D605" s="40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c r="AA605" s="403"/>
    </row>
    <row r="606">
      <c r="A606" s="403"/>
      <c r="B606" s="415"/>
      <c r="C606" s="403"/>
      <c r="D606" s="40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c r="AA606" s="403"/>
    </row>
    <row r="607">
      <c r="A607" s="403"/>
      <c r="B607" s="415"/>
      <c r="C607" s="403"/>
      <c r="D607" s="40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c r="AA607" s="403"/>
    </row>
    <row r="608">
      <c r="A608" s="403"/>
      <c r="B608" s="415"/>
      <c r="C608" s="403"/>
      <c r="D608" s="40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c r="AA608" s="403"/>
    </row>
    <row r="609">
      <c r="A609" s="403"/>
      <c r="B609" s="415"/>
      <c r="C609" s="403"/>
      <c r="D609" s="40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c r="AA609" s="403"/>
    </row>
    <row r="610">
      <c r="A610" s="403"/>
      <c r="B610" s="415"/>
      <c r="C610" s="403"/>
      <c r="D610" s="40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c r="AA610" s="403"/>
    </row>
    <row r="611">
      <c r="A611" s="403"/>
      <c r="B611" s="415"/>
      <c r="C611" s="403"/>
      <c r="D611" s="40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c r="AA611" s="403"/>
    </row>
    <row r="612">
      <c r="A612" s="403"/>
      <c r="B612" s="415"/>
      <c r="C612" s="403"/>
      <c r="D612" s="40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c r="AA612" s="403"/>
    </row>
    <row r="613">
      <c r="A613" s="403"/>
      <c r="B613" s="415"/>
      <c r="C613" s="403"/>
      <c r="D613" s="40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c r="AA613" s="403"/>
    </row>
    <row r="614">
      <c r="A614" s="403"/>
      <c r="B614" s="415"/>
      <c r="C614" s="403"/>
      <c r="D614" s="40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c r="AA614" s="403"/>
    </row>
    <row r="615">
      <c r="A615" s="403"/>
      <c r="B615" s="415"/>
      <c r="C615" s="403"/>
      <c r="D615" s="40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c r="AA615" s="403"/>
    </row>
    <row r="616">
      <c r="A616" s="403"/>
      <c r="B616" s="415"/>
      <c r="C616" s="403"/>
      <c r="D616" s="40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c r="AA616" s="403"/>
    </row>
    <row r="617">
      <c r="A617" s="403"/>
      <c r="B617" s="415"/>
      <c r="C617" s="403"/>
      <c r="D617" s="40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c r="AA617" s="403"/>
    </row>
    <row r="618">
      <c r="A618" s="403"/>
      <c r="B618" s="415"/>
      <c r="C618" s="403"/>
      <c r="D618" s="40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c r="AA618" s="403"/>
    </row>
    <row r="619">
      <c r="A619" s="403"/>
      <c r="B619" s="415"/>
      <c r="C619" s="403"/>
      <c r="D619" s="40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c r="AA619" s="403"/>
    </row>
    <row r="620">
      <c r="A620" s="403"/>
      <c r="B620" s="415"/>
      <c r="C620" s="403"/>
      <c r="D620" s="40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c r="AA620" s="403"/>
    </row>
    <row r="621">
      <c r="A621" s="403"/>
      <c r="B621" s="415"/>
      <c r="C621" s="403"/>
      <c r="D621" s="40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c r="AA621" s="403"/>
    </row>
    <row r="622">
      <c r="A622" s="403"/>
      <c r="B622" s="415"/>
      <c r="C622" s="403"/>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row>
    <row r="623">
      <c r="A623" s="403"/>
      <c r="B623" s="415"/>
      <c r="C623" s="403"/>
      <c r="D623" s="40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c r="AA623" s="403"/>
    </row>
    <row r="624">
      <c r="A624" s="403"/>
      <c r="B624" s="415"/>
      <c r="C624" s="403"/>
      <c r="D624" s="40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c r="AA624" s="403"/>
    </row>
    <row r="625">
      <c r="A625" s="403"/>
      <c r="B625" s="415"/>
      <c r="C625" s="403"/>
      <c r="D625" s="40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c r="AA625" s="403"/>
    </row>
    <row r="626">
      <c r="A626" s="403"/>
      <c r="B626" s="415"/>
      <c r="C626" s="403"/>
      <c r="D626" s="40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c r="AA626" s="403"/>
    </row>
    <row r="627">
      <c r="A627" s="403"/>
      <c r="B627" s="415"/>
      <c r="C627" s="403"/>
      <c r="D627" s="40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c r="AA627" s="403"/>
    </row>
    <row r="628">
      <c r="A628" s="403"/>
      <c r="B628" s="415"/>
      <c r="C628" s="403"/>
      <c r="D628" s="40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c r="AA628" s="403"/>
    </row>
    <row r="629">
      <c r="A629" s="403"/>
      <c r="B629" s="415"/>
      <c r="C629" s="403"/>
      <c r="D629" s="40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c r="AA629" s="403"/>
    </row>
    <row r="630">
      <c r="A630" s="403"/>
      <c r="B630" s="415"/>
      <c r="C630" s="403"/>
      <c r="D630" s="40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c r="AA630" s="403"/>
    </row>
    <row r="631">
      <c r="A631" s="403"/>
      <c r="B631" s="415"/>
      <c r="C631" s="403"/>
      <c r="D631" s="40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c r="AA631" s="403"/>
    </row>
    <row r="632">
      <c r="A632" s="403"/>
      <c r="B632" s="415"/>
      <c r="C632" s="403"/>
      <c r="D632" s="40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c r="AA632" s="403"/>
    </row>
    <row r="633">
      <c r="A633" s="403"/>
      <c r="B633" s="415"/>
      <c r="C633" s="403"/>
      <c r="D633" s="40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c r="AA633" s="403"/>
    </row>
    <row r="634">
      <c r="A634" s="403"/>
      <c r="B634" s="415"/>
      <c r="C634" s="403"/>
      <c r="D634" s="40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c r="AA634" s="403"/>
    </row>
    <row r="635">
      <c r="A635" s="403"/>
      <c r="B635" s="415"/>
      <c r="C635" s="403"/>
      <c r="D635" s="40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c r="AA635" s="403"/>
    </row>
    <row r="636">
      <c r="A636" s="403"/>
      <c r="B636" s="415"/>
      <c r="C636" s="403"/>
      <c r="D636" s="40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c r="AA636" s="403"/>
    </row>
    <row r="637">
      <c r="A637" s="403"/>
      <c r="B637" s="415"/>
      <c r="C637" s="403"/>
      <c r="D637" s="40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c r="AA637" s="403"/>
    </row>
    <row r="638">
      <c r="A638" s="403"/>
      <c r="B638" s="415"/>
      <c r="C638" s="403"/>
      <c r="D638" s="40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c r="AA638" s="403"/>
    </row>
    <row r="639">
      <c r="A639" s="403"/>
      <c r="B639" s="415"/>
      <c r="C639" s="403"/>
      <c r="D639" s="40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c r="AA639" s="403"/>
    </row>
    <row r="640">
      <c r="A640" s="403"/>
      <c r="B640" s="415"/>
      <c r="C640" s="403"/>
      <c r="D640" s="40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c r="AA640" s="403"/>
    </row>
    <row r="641">
      <c r="A641" s="403"/>
      <c r="B641" s="415"/>
      <c r="C641" s="403"/>
      <c r="D641" s="40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c r="AA641" s="403"/>
    </row>
    <row r="642">
      <c r="A642" s="403"/>
      <c r="B642" s="415"/>
      <c r="C642" s="403"/>
      <c r="D642" s="40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c r="AA642" s="403"/>
    </row>
    <row r="643">
      <c r="A643" s="403"/>
      <c r="B643" s="415"/>
      <c r="C643" s="403"/>
      <c r="D643" s="40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c r="AA643" s="403"/>
    </row>
    <row r="644">
      <c r="A644" s="403"/>
      <c r="B644" s="415"/>
      <c r="C644" s="403"/>
      <c r="D644" s="40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c r="AA644" s="403"/>
    </row>
    <row r="645">
      <c r="A645" s="403"/>
      <c r="B645" s="415"/>
      <c r="C645" s="403"/>
      <c r="D645" s="40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c r="AA645" s="403"/>
    </row>
    <row r="646">
      <c r="A646" s="403"/>
      <c r="B646" s="415"/>
      <c r="C646" s="403"/>
      <c r="D646" s="40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c r="AA646" s="403"/>
    </row>
    <row r="647">
      <c r="A647" s="403"/>
      <c r="B647" s="415"/>
      <c r="C647" s="403"/>
      <c r="D647" s="40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c r="AA647" s="403"/>
    </row>
    <row r="648">
      <c r="A648" s="403"/>
      <c r="B648" s="415"/>
      <c r="C648" s="403"/>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row>
    <row r="649">
      <c r="A649" s="403"/>
      <c r="B649" s="415"/>
      <c r="C649" s="403"/>
      <c r="D649" s="40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c r="AA649" s="403"/>
    </row>
    <row r="650">
      <c r="A650" s="403"/>
      <c r="B650" s="415"/>
      <c r="C650" s="403"/>
      <c r="D650" s="40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c r="AA650" s="403"/>
    </row>
    <row r="651">
      <c r="A651" s="403"/>
      <c r="B651" s="415"/>
      <c r="C651" s="403"/>
      <c r="D651" s="40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c r="AA651" s="403"/>
    </row>
    <row r="652">
      <c r="A652" s="403"/>
      <c r="B652" s="415"/>
      <c r="C652" s="403"/>
      <c r="D652" s="40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c r="AA652" s="403"/>
    </row>
    <row r="653">
      <c r="A653" s="403"/>
      <c r="B653" s="415"/>
      <c r="C653" s="403"/>
      <c r="D653" s="40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c r="AA653" s="403"/>
    </row>
    <row r="654">
      <c r="A654" s="403"/>
      <c r="B654" s="415"/>
      <c r="C654" s="403"/>
      <c r="D654" s="40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c r="AA654" s="403"/>
    </row>
    <row r="655">
      <c r="A655" s="403"/>
      <c r="B655" s="415"/>
      <c r="C655" s="403"/>
      <c r="D655" s="40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c r="AA655" s="403"/>
    </row>
    <row r="656">
      <c r="A656" s="403"/>
      <c r="B656" s="415"/>
      <c r="C656" s="403"/>
      <c r="D656" s="40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c r="AA656" s="403"/>
    </row>
    <row r="657">
      <c r="A657" s="403"/>
      <c r="B657" s="415"/>
      <c r="C657" s="403"/>
      <c r="D657" s="40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c r="AA657" s="403"/>
    </row>
    <row r="658">
      <c r="A658" s="403"/>
      <c r="B658" s="415"/>
      <c r="C658" s="403"/>
      <c r="D658" s="40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c r="AA658" s="403"/>
    </row>
    <row r="659">
      <c r="A659" s="403"/>
      <c r="B659" s="415"/>
      <c r="C659" s="403"/>
      <c r="D659" s="40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c r="AA659" s="403"/>
    </row>
    <row r="660">
      <c r="A660" s="403"/>
      <c r="B660" s="415"/>
      <c r="C660" s="403"/>
      <c r="D660" s="40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c r="AA660" s="403"/>
    </row>
    <row r="661">
      <c r="A661" s="403"/>
      <c r="B661" s="415"/>
      <c r="C661" s="403"/>
      <c r="D661" s="40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c r="AA661" s="403"/>
    </row>
    <row r="662">
      <c r="A662" s="403"/>
      <c r="B662" s="415"/>
      <c r="C662" s="403"/>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row>
    <row r="663">
      <c r="A663" s="403"/>
      <c r="B663" s="415"/>
      <c r="C663" s="403"/>
      <c r="D663" s="40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c r="AA663" s="403"/>
    </row>
    <row r="664">
      <c r="A664" s="403"/>
      <c r="B664" s="415"/>
      <c r="C664" s="403"/>
      <c r="D664" s="40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c r="AA664" s="403"/>
    </row>
    <row r="665">
      <c r="A665" s="403"/>
      <c r="B665" s="415"/>
      <c r="C665" s="403"/>
      <c r="D665" s="40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c r="AA665" s="403"/>
    </row>
    <row r="666">
      <c r="A666" s="403"/>
      <c r="B666" s="415"/>
      <c r="C666" s="403"/>
      <c r="D666" s="40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c r="AA666" s="403"/>
    </row>
    <row r="667">
      <c r="A667" s="403"/>
      <c r="B667" s="415"/>
      <c r="C667" s="403"/>
      <c r="D667" s="40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c r="AA667" s="403"/>
    </row>
    <row r="668">
      <c r="A668" s="403"/>
      <c r="B668" s="415"/>
      <c r="C668" s="403"/>
      <c r="D668" s="40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c r="AA668" s="403"/>
    </row>
    <row r="669">
      <c r="A669" s="403"/>
      <c r="B669" s="415"/>
      <c r="C669" s="403"/>
      <c r="D669" s="40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c r="AA669" s="403"/>
    </row>
    <row r="670">
      <c r="A670" s="403"/>
      <c r="B670" s="415"/>
      <c r="C670" s="403"/>
      <c r="D670" s="40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c r="AA670" s="403"/>
    </row>
    <row r="671">
      <c r="A671" s="403"/>
      <c r="B671" s="415"/>
      <c r="C671" s="403"/>
      <c r="D671" s="40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c r="AA671" s="403"/>
    </row>
    <row r="672">
      <c r="A672" s="403"/>
      <c r="B672" s="415"/>
      <c r="C672" s="403"/>
      <c r="D672" s="40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c r="AA672" s="403"/>
    </row>
    <row r="673">
      <c r="A673" s="403"/>
      <c r="B673" s="415"/>
      <c r="C673" s="403"/>
      <c r="D673" s="40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c r="AA673" s="403"/>
    </row>
    <row r="674">
      <c r="A674" s="403"/>
      <c r="B674" s="415"/>
      <c r="C674" s="403"/>
      <c r="D674" s="40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c r="AA674" s="403"/>
    </row>
    <row r="675">
      <c r="A675" s="403"/>
      <c r="B675" s="415"/>
      <c r="C675" s="403"/>
      <c r="D675" s="40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c r="AA675" s="403"/>
    </row>
    <row r="676">
      <c r="A676" s="403"/>
      <c r="B676" s="415"/>
      <c r="C676" s="403"/>
      <c r="D676" s="40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c r="AA676" s="403"/>
    </row>
    <row r="677">
      <c r="A677" s="403"/>
      <c r="B677" s="415"/>
      <c r="C677" s="403"/>
      <c r="D677" s="40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c r="AA677" s="403"/>
    </row>
    <row r="678">
      <c r="A678" s="403"/>
      <c r="B678" s="415"/>
      <c r="C678" s="403"/>
      <c r="D678" s="40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c r="AA678" s="403"/>
    </row>
    <row r="679">
      <c r="A679" s="403"/>
      <c r="B679" s="415"/>
      <c r="C679" s="403"/>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row>
    <row r="680">
      <c r="A680" s="403"/>
      <c r="B680" s="415"/>
      <c r="C680" s="403"/>
      <c r="D680" s="40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c r="AA680" s="403"/>
    </row>
    <row r="681">
      <c r="A681" s="403"/>
      <c r="B681" s="415"/>
      <c r="C681" s="403"/>
      <c r="D681" s="40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row>
    <row r="682">
      <c r="A682" s="403"/>
      <c r="B682" s="415"/>
      <c r="C682" s="403"/>
      <c r="D682" s="40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c r="AA682" s="403"/>
    </row>
    <row r="683">
      <c r="A683" s="403"/>
      <c r="B683" s="415"/>
      <c r="C683" s="403"/>
      <c r="D683" s="40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c r="AA683" s="403"/>
    </row>
    <row r="684">
      <c r="A684" s="403"/>
      <c r="B684" s="415"/>
      <c r="C684" s="403"/>
      <c r="D684" s="40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c r="AA684" s="403"/>
    </row>
    <row r="685">
      <c r="A685" s="403"/>
      <c r="B685" s="415"/>
      <c r="C685" s="403"/>
      <c r="D685" s="40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c r="AA685" s="403"/>
    </row>
    <row r="686">
      <c r="A686" s="403"/>
      <c r="B686" s="415"/>
      <c r="C686" s="403"/>
      <c r="D686" s="40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c r="AA686" s="403"/>
    </row>
    <row r="687">
      <c r="A687" s="403"/>
      <c r="B687" s="415"/>
      <c r="C687" s="403"/>
      <c r="D687" s="40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c r="AA687" s="403"/>
    </row>
    <row r="688">
      <c r="A688" s="403"/>
      <c r="B688" s="415"/>
      <c r="C688" s="403"/>
      <c r="D688" s="40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c r="AA688" s="403"/>
    </row>
    <row r="689">
      <c r="A689" s="403"/>
      <c r="B689" s="415"/>
      <c r="C689" s="403"/>
      <c r="D689" s="40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c r="AA689" s="403"/>
    </row>
    <row r="690">
      <c r="A690" s="403"/>
      <c r="B690" s="415"/>
      <c r="C690" s="403"/>
      <c r="D690" s="40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c r="AA690" s="403"/>
    </row>
    <row r="691">
      <c r="A691" s="403"/>
      <c r="B691" s="415"/>
      <c r="C691" s="403"/>
      <c r="D691" s="40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c r="AA691" s="403"/>
    </row>
    <row r="692">
      <c r="A692" s="403"/>
      <c r="B692" s="415"/>
      <c r="C692" s="403"/>
      <c r="D692" s="40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c r="AA692" s="403"/>
    </row>
    <row r="693">
      <c r="A693" s="403"/>
      <c r="B693" s="415"/>
      <c r="C693" s="403"/>
      <c r="D693" s="40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c r="AA693" s="403"/>
    </row>
    <row r="694">
      <c r="A694" s="403"/>
      <c r="B694" s="415"/>
      <c r="C694" s="403"/>
      <c r="D694" s="40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c r="AA694" s="403"/>
    </row>
    <row r="695">
      <c r="A695" s="403"/>
      <c r="B695" s="415"/>
      <c r="C695" s="403"/>
      <c r="D695" s="40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c r="AA695" s="403"/>
    </row>
    <row r="696">
      <c r="A696" s="403"/>
      <c r="B696" s="415"/>
      <c r="C696" s="403"/>
      <c r="D696" s="40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c r="AA696" s="403"/>
    </row>
    <row r="697">
      <c r="A697" s="403"/>
      <c r="B697" s="415"/>
      <c r="C697" s="403"/>
      <c r="D697" s="40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c r="AA697" s="403"/>
    </row>
    <row r="698">
      <c r="A698" s="403"/>
      <c r="B698" s="415"/>
      <c r="C698" s="403"/>
      <c r="D698" s="40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c r="AA698" s="403"/>
    </row>
    <row r="699">
      <c r="A699" s="403"/>
      <c r="B699" s="415"/>
      <c r="C699" s="403"/>
      <c r="D699" s="40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c r="AA699" s="403"/>
    </row>
    <row r="700">
      <c r="A700" s="403"/>
      <c r="B700" s="415"/>
      <c r="C700" s="403"/>
      <c r="D700" s="40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c r="AA700" s="403"/>
    </row>
    <row r="701">
      <c r="A701" s="403"/>
      <c r="B701" s="415"/>
      <c r="C701" s="403"/>
      <c r="D701" s="40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c r="AA701" s="403"/>
    </row>
    <row r="702">
      <c r="A702" s="403"/>
      <c r="B702" s="415"/>
      <c r="C702" s="403"/>
      <c r="D702" s="40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c r="AA702" s="403"/>
    </row>
    <row r="703">
      <c r="A703" s="403"/>
      <c r="B703" s="415"/>
      <c r="C703" s="403"/>
      <c r="D703" s="40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c r="AA703" s="403"/>
    </row>
    <row r="704">
      <c r="A704" s="403"/>
      <c r="B704" s="415"/>
      <c r="C704" s="403"/>
      <c r="D704" s="40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c r="AA704" s="403"/>
    </row>
    <row r="705">
      <c r="A705" s="403"/>
      <c r="B705" s="415"/>
      <c r="C705" s="403"/>
      <c r="D705" s="40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c r="AA705" s="403"/>
    </row>
    <row r="706">
      <c r="A706" s="403"/>
      <c r="B706" s="415"/>
      <c r="C706" s="403"/>
      <c r="D706" s="40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c r="AA706" s="403"/>
    </row>
    <row r="707">
      <c r="A707" s="403"/>
      <c r="B707" s="415"/>
      <c r="C707" s="403"/>
      <c r="D707" s="40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c r="AA707" s="403"/>
    </row>
    <row r="708">
      <c r="A708" s="403"/>
      <c r="B708" s="415"/>
      <c r="C708" s="403"/>
      <c r="D708" s="40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c r="AA708" s="403"/>
    </row>
    <row r="709">
      <c r="A709" s="403"/>
      <c r="B709" s="415"/>
      <c r="C709" s="403"/>
      <c r="D709" s="40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c r="AA709" s="403"/>
    </row>
    <row r="710">
      <c r="A710" s="403"/>
      <c r="B710" s="415"/>
      <c r="C710" s="403"/>
      <c r="D710" s="40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c r="AA710" s="403"/>
    </row>
    <row r="711">
      <c r="A711" s="403"/>
      <c r="B711" s="415"/>
      <c r="C711" s="403"/>
      <c r="D711" s="40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c r="AA711" s="403"/>
    </row>
    <row r="712">
      <c r="A712" s="403"/>
      <c r="B712" s="415"/>
      <c r="C712" s="403"/>
      <c r="D712" s="40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c r="AA712" s="403"/>
    </row>
    <row r="713">
      <c r="A713" s="403"/>
      <c r="B713" s="415"/>
      <c r="C713" s="403"/>
      <c r="D713" s="40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c r="AA713" s="403"/>
    </row>
    <row r="714">
      <c r="A714" s="403"/>
      <c r="B714" s="415"/>
      <c r="C714" s="403"/>
      <c r="D714" s="40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c r="AA714" s="403"/>
    </row>
    <row r="715">
      <c r="A715" s="403"/>
      <c r="B715" s="415"/>
      <c r="C715" s="403"/>
      <c r="D715" s="40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c r="AA715" s="403"/>
    </row>
    <row r="716">
      <c r="A716" s="403"/>
      <c r="B716" s="415"/>
      <c r="C716" s="403"/>
      <c r="D716" s="40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c r="AA716" s="403"/>
    </row>
    <row r="717">
      <c r="A717" s="403"/>
      <c r="B717" s="415"/>
      <c r="C717" s="403"/>
      <c r="D717" s="40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c r="AA717" s="403"/>
    </row>
    <row r="718">
      <c r="A718" s="403"/>
      <c r="B718" s="415"/>
      <c r="C718" s="403"/>
      <c r="D718" s="40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c r="AA718" s="403"/>
    </row>
    <row r="719">
      <c r="A719" s="403"/>
      <c r="B719" s="415"/>
      <c r="C719" s="403"/>
      <c r="D719" s="40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c r="AA719" s="403"/>
    </row>
    <row r="720">
      <c r="A720" s="403"/>
      <c r="B720" s="415"/>
      <c r="C720" s="403"/>
      <c r="D720" s="40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c r="AA720" s="403"/>
    </row>
    <row r="721">
      <c r="A721" s="403"/>
      <c r="B721" s="415"/>
      <c r="C721" s="403"/>
      <c r="D721" s="40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c r="AA721" s="403"/>
    </row>
    <row r="722">
      <c r="A722" s="403"/>
      <c r="B722" s="415"/>
      <c r="C722" s="403"/>
      <c r="D722" s="40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c r="AA722" s="403"/>
    </row>
    <row r="723">
      <c r="A723" s="403"/>
      <c r="B723" s="415"/>
      <c r="C723" s="403"/>
      <c r="D723" s="40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c r="AA723" s="403"/>
    </row>
    <row r="724">
      <c r="A724" s="403"/>
      <c r="B724" s="415"/>
      <c r="C724" s="403"/>
      <c r="D724" s="40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c r="AA724" s="403"/>
    </row>
    <row r="725">
      <c r="A725" s="403"/>
      <c r="B725" s="415"/>
      <c r="C725" s="403"/>
      <c r="D725" s="40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c r="AA725" s="403"/>
    </row>
    <row r="726">
      <c r="A726" s="403"/>
      <c r="B726" s="415"/>
      <c r="C726" s="403"/>
      <c r="D726" s="40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c r="AA726" s="403"/>
    </row>
    <row r="727">
      <c r="A727" s="403"/>
      <c r="B727" s="415"/>
      <c r="C727" s="403"/>
      <c r="D727" s="40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c r="AA727" s="403"/>
    </row>
    <row r="728">
      <c r="A728" s="403"/>
      <c r="B728" s="415"/>
      <c r="C728" s="403"/>
      <c r="D728" s="40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c r="AA728" s="403"/>
    </row>
    <row r="729">
      <c r="A729" s="403"/>
      <c r="B729" s="415"/>
      <c r="C729" s="403"/>
      <c r="D729" s="40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c r="AA729" s="403"/>
    </row>
    <row r="730">
      <c r="A730" s="403"/>
      <c r="B730" s="415"/>
      <c r="C730" s="403"/>
      <c r="D730" s="40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c r="AA730" s="403"/>
    </row>
    <row r="731">
      <c r="A731" s="403"/>
      <c r="B731" s="415"/>
      <c r="C731" s="403"/>
      <c r="D731" s="40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c r="AA731" s="403"/>
    </row>
    <row r="732">
      <c r="A732" s="403"/>
      <c r="B732" s="415"/>
      <c r="C732" s="403"/>
      <c r="D732" s="40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c r="AA732" s="403"/>
    </row>
    <row r="733">
      <c r="A733" s="403"/>
      <c r="B733" s="415"/>
      <c r="C733" s="403"/>
      <c r="D733" s="40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c r="AA733" s="403"/>
    </row>
    <row r="734">
      <c r="A734" s="403"/>
      <c r="B734" s="415"/>
      <c r="C734" s="403"/>
      <c r="D734" s="40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c r="AA734" s="403"/>
    </row>
    <row r="735">
      <c r="A735" s="403"/>
      <c r="B735" s="415"/>
      <c r="C735" s="403"/>
      <c r="D735" s="40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c r="AA735" s="403"/>
    </row>
    <row r="736">
      <c r="A736" s="403"/>
      <c r="B736" s="415"/>
      <c r="C736" s="403"/>
      <c r="D736" s="40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c r="AA736" s="403"/>
    </row>
    <row r="737">
      <c r="A737" s="403"/>
      <c r="B737" s="415"/>
      <c r="C737" s="403"/>
      <c r="D737" s="40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c r="AA737" s="403"/>
    </row>
    <row r="738">
      <c r="A738" s="403"/>
      <c r="B738" s="415"/>
      <c r="C738" s="403"/>
      <c r="D738" s="40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c r="AA738" s="403"/>
    </row>
    <row r="739">
      <c r="A739" s="403"/>
      <c r="B739" s="415"/>
      <c r="C739" s="403"/>
      <c r="D739" s="40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c r="AA739" s="403"/>
    </row>
    <row r="740">
      <c r="A740" s="403"/>
      <c r="B740" s="415"/>
      <c r="C740" s="403"/>
      <c r="D740" s="40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c r="AA740" s="403"/>
    </row>
    <row r="741">
      <c r="A741" s="403"/>
      <c r="B741" s="415"/>
      <c r="C741" s="403"/>
      <c r="D741" s="40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c r="AA741" s="403"/>
    </row>
    <row r="742">
      <c r="A742" s="403"/>
      <c r="B742" s="415"/>
      <c r="C742" s="403"/>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row>
    <row r="743">
      <c r="A743" s="403"/>
      <c r="B743" s="415"/>
      <c r="C743" s="403"/>
      <c r="D743" s="40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c r="AA743" s="403"/>
    </row>
    <row r="744">
      <c r="A744" s="403"/>
      <c r="B744" s="415"/>
      <c r="C744" s="403"/>
      <c r="D744" s="40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c r="AA744" s="403"/>
    </row>
    <row r="745">
      <c r="A745" s="403"/>
      <c r="B745" s="415"/>
      <c r="C745" s="403"/>
      <c r="D745" s="40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c r="AA745" s="403"/>
    </row>
    <row r="746">
      <c r="A746" s="403"/>
      <c r="B746" s="415"/>
      <c r="C746" s="403"/>
      <c r="D746" s="40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c r="AA746" s="403"/>
    </row>
    <row r="747">
      <c r="A747" s="403"/>
      <c r="B747" s="415"/>
      <c r="C747" s="403"/>
      <c r="D747" s="40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c r="AA747" s="403"/>
    </row>
    <row r="748">
      <c r="A748" s="403"/>
      <c r="B748" s="415"/>
      <c r="C748" s="403"/>
      <c r="D748" s="40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c r="AA748" s="403"/>
    </row>
    <row r="749">
      <c r="A749" s="403"/>
      <c r="B749" s="415"/>
      <c r="C749" s="403"/>
      <c r="D749" s="40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c r="AA749" s="403"/>
    </row>
    <row r="750">
      <c r="A750" s="403"/>
      <c r="B750" s="415"/>
      <c r="C750" s="403"/>
      <c r="D750" s="40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c r="AA750" s="403"/>
    </row>
    <row r="751">
      <c r="A751" s="403"/>
      <c r="B751" s="415"/>
      <c r="C751" s="403"/>
      <c r="D751" s="40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c r="AA751" s="403"/>
    </row>
    <row r="752">
      <c r="A752" s="403"/>
      <c r="B752" s="415"/>
      <c r="C752" s="403"/>
      <c r="D752" s="40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c r="AA752" s="403"/>
    </row>
    <row r="753">
      <c r="A753" s="403"/>
      <c r="B753" s="415"/>
      <c r="C753" s="403"/>
      <c r="D753" s="40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c r="AA753" s="403"/>
    </row>
    <row r="754">
      <c r="A754" s="403"/>
      <c r="B754" s="415"/>
      <c r="C754" s="403"/>
      <c r="D754" s="40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c r="AA754" s="403"/>
    </row>
    <row r="755">
      <c r="A755" s="403"/>
      <c r="B755" s="415"/>
      <c r="C755" s="403"/>
      <c r="D755" s="40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c r="AA755" s="403"/>
    </row>
    <row r="756">
      <c r="A756" s="403"/>
      <c r="B756" s="415"/>
      <c r="C756" s="403"/>
      <c r="D756" s="40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c r="AA756" s="403"/>
    </row>
    <row r="757">
      <c r="A757" s="403"/>
      <c r="B757" s="415"/>
      <c r="C757" s="403"/>
      <c r="D757" s="40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c r="AA757" s="403"/>
    </row>
    <row r="758">
      <c r="A758" s="403"/>
      <c r="B758" s="415"/>
      <c r="C758" s="403"/>
      <c r="D758" s="40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c r="AA758" s="403"/>
    </row>
    <row r="759">
      <c r="A759" s="403"/>
      <c r="B759" s="415"/>
      <c r="C759" s="403"/>
      <c r="D759" s="40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c r="AA759" s="403"/>
    </row>
    <row r="760">
      <c r="A760" s="403"/>
      <c r="B760" s="415"/>
      <c r="C760" s="403"/>
      <c r="D760" s="40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c r="AA760" s="403"/>
    </row>
    <row r="761">
      <c r="A761" s="403"/>
      <c r="B761" s="415"/>
      <c r="C761" s="403"/>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row>
    <row r="762">
      <c r="A762" s="403"/>
      <c r="B762" s="415"/>
      <c r="C762" s="403"/>
      <c r="D762" s="40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c r="AA762" s="403"/>
    </row>
    <row r="763">
      <c r="A763" s="403"/>
      <c r="B763" s="415"/>
      <c r="C763" s="403"/>
      <c r="D763" s="40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c r="AA763" s="403"/>
    </row>
    <row r="764">
      <c r="A764" s="403"/>
      <c r="B764" s="415"/>
      <c r="C764" s="403"/>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row>
    <row r="765">
      <c r="A765" s="403"/>
      <c r="B765" s="415"/>
      <c r="C765" s="403"/>
      <c r="D765" s="40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c r="AA765" s="403"/>
    </row>
    <row r="766">
      <c r="A766" s="403"/>
      <c r="B766" s="415"/>
      <c r="C766" s="403"/>
      <c r="D766" s="40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c r="AA766" s="403"/>
    </row>
    <row r="767">
      <c r="A767" s="403"/>
      <c r="B767" s="415"/>
      <c r="C767" s="403"/>
      <c r="D767" s="40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c r="AA767" s="403"/>
    </row>
    <row r="768">
      <c r="A768" s="403"/>
      <c r="B768" s="415"/>
      <c r="C768" s="403"/>
      <c r="D768" s="40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c r="AA768" s="403"/>
    </row>
    <row r="769">
      <c r="A769" s="403"/>
      <c r="B769" s="415"/>
      <c r="C769" s="403"/>
      <c r="D769" s="40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c r="AA769" s="403"/>
    </row>
    <row r="770">
      <c r="A770" s="403"/>
      <c r="B770" s="415"/>
      <c r="C770" s="403"/>
      <c r="D770" s="40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c r="AA770" s="403"/>
    </row>
    <row r="771">
      <c r="A771" s="403"/>
      <c r="B771" s="415"/>
      <c r="C771" s="403"/>
      <c r="D771" s="40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c r="AA771" s="403"/>
    </row>
    <row r="772">
      <c r="A772" s="403"/>
      <c r="B772" s="415"/>
      <c r="C772" s="403"/>
      <c r="D772" s="40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c r="AA772" s="403"/>
    </row>
    <row r="773">
      <c r="A773" s="403"/>
      <c r="B773" s="415"/>
      <c r="C773" s="403"/>
      <c r="D773" s="40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c r="AA773" s="403"/>
    </row>
    <row r="774">
      <c r="A774" s="403"/>
      <c r="B774" s="415"/>
      <c r="C774" s="403"/>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row>
    <row r="775">
      <c r="A775" s="403"/>
      <c r="B775" s="415"/>
      <c r="C775" s="403"/>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row>
    <row r="776">
      <c r="A776" s="403"/>
      <c r="B776" s="415"/>
      <c r="C776" s="403"/>
      <c r="D776" s="40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c r="AA776" s="403"/>
    </row>
    <row r="777">
      <c r="A777" s="403"/>
      <c r="B777" s="415"/>
      <c r="C777" s="403"/>
      <c r="D777" s="40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c r="AA777" s="403"/>
    </row>
    <row r="778">
      <c r="A778" s="403"/>
      <c r="B778" s="415"/>
      <c r="C778" s="403"/>
      <c r="D778" s="40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c r="AA778" s="403"/>
    </row>
    <row r="779">
      <c r="A779" s="403"/>
      <c r="B779" s="415"/>
      <c r="C779" s="403"/>
      <c r="D779" s="40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c r="AA779" s="403"/>
    </row>
    <row r="780">
      <c r="A780" s="403"/>
      <c r="B780" s="415"/>
      <c r="C780" s="403"/>
      <c r="D780" s="40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c r="AA780" s="403"/>
    </row>
    <row r="781">
      <c r="A781" s="403"/>
      <c r="B781" s="415"/>
      <c r="C781" s="403"/>
      <c r="D781" s="40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c r="AA781" s="403"/>
    </row>
    <row r="782">
      <c r="A782" s="403"/>
      <c r="B782" s="415"/>
      <c r="C782" s="403"/>
      <c r="D782" s="40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c r="AA782" s="403"/>
    </row>
    <row r="783">
      <c r="A783" s="403"/>
      <c r="B783" s="415"/>
      <c r="C783" s="403"/>
      <c r="D783" s="40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c r="AA783" s="403"/>
    </row>
    <row r="784">
      <c r="A784" s="403"/>
      <c r="B784" s="415"/>
      <c r="C784" s="403"/>
      <c r="D784" s="40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c r="AA784" s="403"/>
    </row>
    <row r="785">
      <c r="A785" s="403"/>
      <c r="B785" s="415"/>
      <c r="C785" s="403"/>
      <c r="D785" s="40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c r="AA785" s="403"/>
    </row>
    <row r="786">
      <c r="A786" s="403"/>
      <c r="B786" s="415"/>
      <c r="C786" s="403"/>
      <c r="D786" s="40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c r="AA786" s="403"/>
    </row>
    <row r="787">
      <c r="A787" s="403"/>
      <c r="B787" s="415"/>
      <c r="C787" s="403"/>
      <c r="D787" s="40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c r="AA787" s="403"/>
    </row>
    <row r="788">
      <c r="A788" s="403"/>
      <c r="B788" s="415"/>
      <c r="C788" s="403"/>
      <c r="D788" s="40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c r="AA788" s="403"/>
    </row>
    <row r="789">
      <c r="A789" s="403"/>
      <c r="B789" s="415"/>
      <c r="C789" s="403"/>
      <c r="D789" s="40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c r="AA789" s="403"/>
    </row>
    <row r="790">
      <c r="A790" s="403"/>
      <c r="B790" s="415"/>
      <c r="C790" s="403"/>
      <c r="D790" s="40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c r="AA790" s="403"/>
    </row>
    <row r="791">
      <c r="A791" s="403"/>
      <c r="B791" s="415"/>
      <c r="C791" s="403"/>
      <c r="D791" s="40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c r="AA791" s="403"/>
    </row>
    <row r="792">
      <c r="A792" s="403"/>
      <c r="B792" s="415"/>
      <c r="C792" s="403"/>
      <c r="D792" s="40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c r="AA792" s="403"/>
    </row>
    <row r="793">
      <c r="A793" s="403"/>
      <c r="B793" s="415"/>
      <c r="C793" s="403"/>
      <c r="D793" s="40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c r="AA793" s="403"/>
    </row>
    <row r="794">
      <c r="A794" s="403"/>
      <c r="B794" s="415"/>
      <c r="C794" s="403"/>
      <c r="D794" s="40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row>
    <row r="795">
      <c r="A795" s="403"/>
      <c r="B795" s="415"/>
      <c r="C795" s="403"/>
      <c r="D795" s="40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c r="AA795" s="403"/>
    </row>
    <row r="796">
      <c r="A796" s="403"/>
      <c r="B796" s="415"/>
      <c r="C796" s="403"/>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row>
    <row r="797">
      <c r="A797" s="403"/>
      <c r="B797" s="415"/>
      <c r="C797" s="403"/>
      <c r="D797" s="40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c r="AA797" s="403"/>
    </row>
    <row r="798">
      <c r="A798" s="403"/>
      <c r="B798" s="415"/>
      <c r="C798" s="403"/>
      <c r="D798" s="40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row>
    <row r="799">
      <c r="A799" s="403"/>
      <c r="B799" s="415"/>
      <c r="C799" s="403"/>
      <c r="D799" s="40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c r="AA799" s="403"/>
    </row>
    <row r="800">
      <c r="A800" s="403"/>
      <c r="B800" s="415"/>
      <c r="C800" s="403"/>
      <c r="D800" s="40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c r="AA800" s="403"/>
    </row>
    <row r="801">
      <c r="A801" s="403"/>
      <c r="B801" s="415"/>
      <c r="C801" s="403"/>
      <c r="D801" s="40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c r="AA801" s="403"/>
    </row>
    <row r="802">
      <c r="A802" s="403"/>
      <c r="B802" s="415"/>
      <c r="C802" s="403"/>
      <c r="D802" s="40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c r="AA802" s="403"/>
    </row>
    <row r="803">
      <c r="A803" s="403"/>
      <c r="B803" s="415"/>
      <c r="C803" s="403"/>
      <c r="D803" s="40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c r="AA803" s="403"/>
    </row>
    <row r="804">
      <c r="A804" s="403"/>
      <c r="B804" s="415"/>
      <c r="C804" s="403"/>
      <c r="D804" s="40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c r="AA804" s="403"/>
    </row>
    <row r="805">
      <c r="A805" s="403"/>
      <c r="B805" s="415"/>
      <c r="C805" s="403"/>
      <c r="D805" s="40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c r="AA805" s="403"/>
    </row>
    <row r="806">
      <c r="A806" s="403"/>
      <c r="B806" s="415"/>
      <c r="C806" s="403"/>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row>
    <row r="807">
      <c r="A807" s="403"/>
      <c r="B807" s="415"/>
      <c r="C807" s="403"/>
      <c r="D807" s="40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c r="AA807" s="403"/>
    </row>
    <row r="808">
      <c r="A808" s="403"/>
      <c r="B808" s="415"/>
      <c r="C808" s="403"/>
      <c r="D808" s="40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c r="AA808" s="403"/>
    </row>
    <row r="809">
      <c r="A809" s="403"/>
      <c r="B809" s="415"/>
      <c r="C809" s="403"/>
      <c r="D809" s="40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c r="AA809" s="403"/>
    </row>
    <row r="810">
      <c r="A810" s="403"/>
      <c r="B810" s="415"/>
      <c r="C810" s="403"/>
      <c r="D810" s="40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c r="AA810" s="403"/>
    </row>
    <row r="811">
      <c r="A811" s="403"/>
      <c r="B811" s="415"/>
      <c r="C811" s="403"/>
      <c r="D811" s="40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c r="AA811" s="403"/>
    </row>
    <row r="812">
      <c r="A812" s="403"/>
      <c r="B812" s="415"/>
      <c r="C812" s="403"/>
      <c r="D812" s="40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c r="AA812" s="403"/>
    </row>
    <row r="813">
      <c r="A813" s="403"/>
      <c r="B813" s="415"/>
      <c r="C813" s="403"/>
      <c r="D813" s="40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c r="AA813" s="403"/>
    </row>
    <row r="814">
      <c r="A814" s="403"/>
      <c r="B814" s="415"/>
      <c r="C814" s="403"/>
      <c r="D814" s="40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c r="AA814" s="403"/>
    </row>
    <row r="815">
      <c r="A815" s="403"/>
      <c r="B815" s="415"/>
      <c r="C815" s="403"/>
      <c r="D815" s="40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c r="AA815" s="403"/>
    </row>
    <row r="816">
      <c r="A816" s="403"/>
      <c r="B816" s="415"/>
      <c r="C816" s="403"/>
      <c r="D816" s="40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c r="AA816" s="403"/>
    </row>
    <row r="817">
      <c r="A817" s="403"/>
      <c r="B817" s="415"/>
      <c r="C817" s="403"/>
      <c r="D817" s="40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c r="AA817" s="403"/>
    </row>
    <row r="818">
      <c r="A818" s="403"/>
      <c r="B818" s="415"/>
      <c r="C818" s="403"/>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row>
    <row r="819">
      <c r="A819" s="403"/>
      <c r="B819" s="415"/>
      <c r="C819" s="403"/>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row>
    <row r="820">
      <c r="A820" s="403"/>
      <c r="B820" s="415"/>
      <c r="C820" s="403"/>
      <c r="D820" s="40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c r="AA820" s="403"/>
    </row>
    <row r="821">
      <c r="A821" s="403"/>
      <c r="B821" s="415"/>
      <c r="C821" s="403"/>
      <c r="D821" s="40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c r="AA821" s="403"/>
    </row>
    <row r="822">
      <c r="A822" s="403"/>
      <c r="B822" s="415"/>
      <c r="C822" s="403"/>
      <c r="D822" s="40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c r="AA822" s="403"/>
    </row>
    <row r="823">
      <c r="A823" s="403"/>
      <c r="B823" s="415"/>
      <c r="C823" s="403"/>
      <c r="D823" s="40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c r="AA823" s="403"/>
    </row>
    <row r="824">
      <c r="A824" s="403"/>
      <c r="B824" s="415"/>
      <c r="C824" s="403"/>
      <c r="D824" s="40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c r="AA824" s="403"/>
    </row>
    <row r="825">
      <c r="A825" s="403"/>
      <c r="B825" s="415"/>
      <c r="C825" s="403"/>
      <c r="D825" s="40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c r="AA825" s="403"/>
    </row>
    <row r="826">
      <c r="A826" s="403"/>
      <c r="B826" s="415"/>
      <c r="C826" s="403"/>
      <c r="D826" s="40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c r="AA826" s="403"/>
    </row>
    <row r="827">
      <c r="A827" s="403"/>
      <c r="B827" s="415"/>
      <c r="C827" s="403"/>
      <c r="D827" s="40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c r="AA827" s="403"/>
    </row>
    <row r="828">
      <c r="A828" s="403"/>
      <c r="B828" s="415"/>
      <c r="C828" s="403"/>
      <c r="D828" s="40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c r="AA828" s="403"/>
    </row>
    <row r="829">
      <c r="A829" s="403"/>
      <c r="B829" s="415"/>
      <c r="C829" s="403"/>
      <c r="D829" s="40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c r="AA829" s="403"/>
    </row>
    <row r="830">
      <c r="A830" s="403"/>
      <c r="B830" s="415"/>
      <c r="C830" s="403"/>
      <c r="D830" s="40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c r="AA830" s="403"/>
    </row>
    <row r="831">
      <c r="A831" s="403"/>
      <c r="B831" s="415"/>
      <c r="C831" s="403"/>
      <c r="D831" s="40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c r="AA831" s="403"/>
    </row>
    <row r="832">
      <c r="A832" s="403"/>
      <c r="B832" s="415"/>
      <c r="C832" s="403"/>
      <c r="D832" s="40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c r="AA832" s="403"/>
    </row>
    <row r="833">
      <c r="A833" s="403"/>
      <c r="B833" s="415"/>
      <c r="C833" s="403"/>
      <c r="D833" s="40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c r="AA833" s="403"/>
    </row>
    <row r="834">
      <c r="A834" s="403"/>
      <c r="B834" s="415"/>
      <c r="C834" s="403"/>
      <c r="D834" s="40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c r="AA834" s="403"/>
    </row>
    <row r="835">
      <c r="A835" s="403"/>
      <c r="B835" s="415"/>
      <c r="C835" s="403"/>
      <c r="D835" s="40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c r="AA835" s="403"/>
    </row>
    <row r="836">
      <c r="A836" s="403"/>
      <c r="B836" s="415"/>
      <c r="C836" s="403"/>
      <c r="D836" s="40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c r="AA836" s="403"/>
    </row>
    <row r="837">
      <c r="A837" s="403"/>
      <c r="B837" s="415"/>
      <c r="C837" s="403"/>
      <c r="D837" s="40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c r="AA837" s="403"/>
    </row>
    <row r="838">
      <c r="A838" s="403"/>
      <c r="B838" s="415"/>
      <c r="C838" s="403"/>
      <c r="D838" s="40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c r="AA838" s="403"/>
    </row>
    <row r="839">
      <c r="A839" s="403"/>
      <c r="B839" s="415"/>
      <c r="C839" s="403"/>
      <c r="D839" s="40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c r="AA839" s="403"/>
    </row>
    <row r="840">
      <c r="A840" s="403"/>
      <c r="B840" s="415"/>
      <c r="C840" s="403"/>
      <c r="D840" s="40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c r="AA840" s="403"/>
    </row>
    <row r="841">
      <c r="A841" s="403"/>
      <c r="B841" s="415"/>
      <c r="C841" s="403"/>
      <c r="D841" s="40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c r="AA841" s="403"/>
    </row>
    <row r="842">
      <c r="A842" s="403"/>
      <c r="B842" s="415"/>
      <c r="C842" s="403"/>
      <c r="D842" s="40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c r="AA842" s="403"/>
    </row>
    <row r="843">
      <c r="A843" s="403"/>
      <c r="B843" s="415"/>
      <c r="C843" s="403"/>
      <c r="D843" s="40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c r="AA843" s="403"/>
    </row>
    <row r="844">
      <c r="A844" s="403"/>
      <c r="B844" s="415"/>
      <c r="C844" s="403"/>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row>
    <row r="845">
      <c r="A845" s="403"/>
      <c r="B845" s="415"/>
      <c r="C845" s="403"/>
      <c r="D845" s="40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c r="AA845" s="403"/>
    </row>
    <row r="846">
      <c r="A846" s="403"/>
      <c r="B846" s="415"/>
      <c r="C846" s="403"/>
      <c r="D846" s="40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c r="AA846" s="403"/>
    </row>
    <row r="847">
      <c r="A847" s="403"/>
      <c r="B847" s="415"/>
      <c r="C847" s="403"/>
      <c r="D847" s="40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c r="AA847" s="403"/>
    </row>
    <row r="848">
      <c r="A848" s="403"/>
      <c r="B848" s="415"/>
      <c r="C848" s="403"/>
      <c r="D848" s="40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c r="AA848" s="403"/>
    </row>
    <row r="849">
      <c r="A849" s="403"/>
      <c r="B849" s="415"/>
      <c r="C849" s="403"/>
      <c r="D849" s="40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c r="AA849" s="403"/>
    </row>
    <row r="850">
      <c r="A850" s="403"/>
      <c r="B850" s="415"/>
      <c r="C850" s="403"/>
      <c r="D850" s="40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c r="AA850" s="403"/>
    </row>
    <row r="851">
      <c r="A851" s="403"/>
      <c r="B851" s="415"/>
      <c r="C851" s="403"/>
      <c r="D851" s="40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c r="AA851" s="403"/>
    </row>
    <row r="852">
      <c r="A852" s="403"/>
      <c r="B852" s="415"/>
      <c r="C852" s="403"/>
      <c r="D852" s="40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c r="AA852" s="403"/>
    </row>
    <row r="853">
      <c r="A853" s="403"/>
      <c r="B853" s="415"/>
      <c r="C853" s="403"/>
      <c r="D853" s="40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c r="AA853" s="403"/>
    </row>
    <row r="854">
      <c r="A854" s="403"/>
      <c r="B854" s="415"/>
      <c r="C854" s="403"/>
      <c r="D854" s="40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c r="AA854" s="403"/>
    </row>
    <row r="855">
      <c r="A855" s="403"/>
      <c r="B855" s="415"/>
      <c r="C855" s="403"/>
      <c r="D855" s="40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c r="AA855" s="403"/>
    </row>
    <row r="856">
      <c r="A856" s="403"/>
      <c r="B856" s="415"/>
      <c r="C856" s="403"/>
      <c r="D856" s="40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c r="AA856" s="403"/>
    </row>
    <row r="857">
      <c r="A857" s="403"/>
      <c r="B857" s="415"/>
      <c r="C857" s="403"/>
      <c r="D857" s="40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c r="AA857" s="403"/>
    </row>
    <row r="858">
      <c r="A858" s="403"/>
      <c r="B858" s="415"/>
      <c r="C858" s="403"/>
      <c r="D858" s="40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c r="AA858" s="403"/>
    </row>
    <row r="859">
      <c r="A859" s="403"/>
      <c r="B859" s="415"/>
      <c r="C859" s="403"/>
      <c r="D859" s="40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c r="AA859" s="403"/>
    </row>
    <row r="860">
      <c r="A860" s="403"/>
      <c r="B860" s="415"/>
      <c r="C860" s="403"/>
      <c r="D860" s="40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c r="AA860" s="403"/>
    </row>
    <row r="861">
      <c r="A861" s="403"/>
      <c r="B861" s="415"/>
      <c r="C861" s="403"/>
      <c r="D861" s="40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c r="AA861" s="403"/>
    </row>
    <row r="862">
      <c r="A862" s="403"/>
      <c r="B862" s="415"/>
      <c r="C862" s="403"/>
      <c r="D862" s="40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c r="AA862" s="403"/>
    </row>
    <row r="863">
      <c r="A863" s="403"/>
      <c r="B863" s="415"/>
      <c r="C863" s="403"/>
      <c r="D863" s="40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c r="AA863" s="403"/>
    </row>
    <row r="864">
      <c r="A864" s="403"/>
      <c r="B864" s="415"/>
      <c r="C864" s="403"/>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row>
    <row r="865">
      <c r="A865" s="403"/>
      <c r="B865" s="415"/>
      <c r="C865" s="403"/>
      <c r="D865" s="40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c r="AA865" s="403"/>
    </row>
    <row r="866">
      <c r="A866" s="403"/>
      <c r="B866" s="415"/>
      <c r="C866" s="403"/>
      <c r="D866" s="40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c r="AA866" s="403"/>
    </row>
    <row r="867">
      <c r="A867" s="403"/>
      <c r="B867" s="415"/>
      <c r="C867" s="403"/>
      <c r="D867" s="40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c r="AA867" s="403"/>
    </row>
    <row r="868">
      <c r="A868" s="403"/>
      <c r="B868" s="415"/>
      <c r="C868" s="403"/>
      <c r="D868" s="40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c r="AA868" s="403"/>
    </row>
    <row r="869">
      <c r="A869" s="403"/>
      <c r="B869" s="415"/>
      <c r="C869" s="403"/>
      <c r="D869" s="40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c r="AA869" s="403"/>
    </row>
    <row r="870">
      <c r="A870" s="403"/>
      <c r="B870" s="415"/>
      <c r="C870" s="403"/>
      <c r="D870" s="40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c r="AA870" s="403"/>
    </row>
    <row r="871">
      <c r="A871" s="403"/>
      <c r="B871" s="415"/>
      <c r="C871" s="403"/>
      <c r="D871" s="40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c r="AA871" s="403"/>
    </row>
    <row r="872">
      <c r="A872" s="403"/>
      <c r="B872" s="415"/>
      <c r="C872" s="403"/>
      <c r="D872" s="40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c r="AA872" s="403"/>
    </row>
    <row r="873">
      <c r="A873" s="403"/>
      <c r="B873" s="415"/>
      <c r="C873" s="403"/>
      <c r="D873" s="40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c r="AA873" s="403"/>
    </row>
    <row r="874">
      <c r="A874" s="403"/>
      <c r="B874" s="415"/>
      <c r="C874" s="403"/>
      <c r="D874" s="40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c r="AA874" s="403"/>
    </row>
    <row r="875">
      <c r="A875" s="403"/>
      <c r="B875" s="415"/>
      <c r="C875" s="403"/>
      <c r="D875" s="40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c r="AA875" s="403"/>
    </row>
    <row r="876">
      <c r="A876" s="403"/>
      <c r="B876" s="415"/>
      <c r="C876" s="403"/>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row>
    <row r="877">
      <c r="A877" s="403"/>
      <c r="B877" s="415"/>
      <c r="C877" s="403"/>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row>
    <row r="878">
      <c r="A878" s="403"/>
      <c r="B878" s="415"/>
      <c r="C878" s="403"/>
      <c r="D878" s="40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c r="AA878" s="403"/>
    </row>
    <row r="879">
      <c r="A879" s="403"/>
      <c r="B879" s="415"/>
      <c r="C879" s="403"/>
      <c r="D879" s="40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c r="AA879" s="403"/>
    </row>
    <row r="880">
      <c r="A880" s="403"/>
      <c r="B880" s="415"/>
      <c r="C880" s="403"/>
      <c r="D880" s="40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c r="AA880" s="403"/>
    </row>
    <row r="881">
      <c r="A881" s="403"/>
      <c r="B881" s="415"/>
      <c r="C881" s="403"/>
      <c r="D881" s="40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c r="AA881" s="403"/>
    </row>
    <row r="882">
      <c r="A882" s="403"/>
      <c r="B882" s="415"/>
      <c r="C882" s="403"/>
      <c r="D882" s="40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c r="AA882" s="403"/>
    </row>
    <row r="883">
      <c r="A883" s="403"/>
      <c r="B883" s="415"/>
      <c r="C883" s="403"/>
      <c r="D883" s="40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c r="AA883" s="403"/>
    </row>
    <row r="884">
      <c r="A884" s="403"/>
      <c r="B884" s="415"/>
      <c r="C884" s="403"/>
      <c r="D884" s="40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c r="AA884" s="403"/>
    </row>
    <row r="885">
      <c r="A885" s="403"/>
      <c r="B885" s="415"/>
      <c r="C885" s="403"/>
      <c r="D885" s="40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c r="AA885" s="403"/>
    </row>
    <row r="886">
      <c r="A886" s="403"/>
      <c r="B886" s="415"/>
      <c r="C886" s="403"/>
      <c r="D886" s="40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c r="AA886" s="403"/>
    </row>
    <row r="887">
      <c r="A887" s="403"/>
      <c r="B887" s="415"/>
      <c r="C887" s="403"/>
      <c r="D887" s="40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c r="AA887" s="403"/>
    </row>
    <row r="888">
      <c r="A888" s="403"/>
      <c r="B888" s="415"/>
      <c r="C888" s="403"/>
      <c r="D888" s="40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c r="AA888" s="403"/>
    </row>
    <row r="889">
      <c r="A889" s="403"/>
      <c r="B889" s="415"/>
      <c r="C889" s="403"/>
      <c r="D889" s="40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c r="AA889" s="403"/>
    </row>
    <row r="890">
      <c r="A890" s="403"/>
      <c r="B890" s="415"/>
      <c r="C890" s="403"/>
      <c r="D890" s="40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c r="AA890" s="403"/>
    </row>
    <row r="891">
      <c r="A891" s="403"/>
      <c r="B891" s="415"/>
      <c r="C891" s="403"/>
      <c r="D891" s="40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c r="AA891" s="403"/>
    </row>
    <row r="892">
      <c r="A892" s="403"/>
      <c r="B892" s="415"/>
      <c r="C892" s="403"/>
      <c r="D892" s="40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c r="AA892" s="403"/>
    </row>
    <row r="893">
      <c r="A893" s="403"/>
      <c r="B893" s="415"/>
      <c r="C893" s="403"/>
      <c r="D893" s="40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c r="AA893" s="403"/>
    </row>
    <row r="894">
      <c r="A894" s="403"/>
      <c r="B894" s="415"/>
      <c r="C894" s="403"/>
      <c r="D894" s="40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c r="AA894" s="403"/>
    </row>
    <row r="895">
      <c r="A895" s="403"/>
      <c r="B895" s="415"/>
      <c r="C895" s="403"/>
      <c r="D895" s="40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c r="AA895" s="403"/>
    </row>
    <row r="896">
      <c r="A896" s="403"/>
      <c r="B896" s="415"/>
      <c r="C896" s="403"/>
      <c r="D896" s="40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c r="AA896" s="403"/>
    </row>
    <row r="897">
      <c r="A897" s="403"/>
      <c r="B897" s="415"/>
      <c r="C897" s="403"/>
      <c r="D897" s="40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c r="AA897" s="403"/>
    </row>
    <row r="898">
      <c r="A898" s="403"/>
      <c r="B898" s="415"/>
      <c r="C898" s="403"/>
      <c r="D898" s="40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c r="AA898" s="403"/>
    </row>
    <row r="899">
      <c r="A899" s="403"/>
      <c r="B899" s="415"/>
      <c r="C899" s="403"/>
      <c r="D899" s="40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c r="AA899" s="403"/>
    </row>
    <row r="900">
      <c r="A900" s="403"/>
      <c r="B900" s="415"/>
      <c r="C900" s="403"/>
      <c r="D900" s="40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c r="AA900" s="403"/>
    </row>
    <row r="901">
      <c r="A901" s="403"/>
      <c r="B901" s="415"/>
      <c r="C901" s="403"/>
      <c r="D901" s="40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c r="AA901" s="403"/>
    </row>
    <row r="902">
      <c r="A902" s="403"/>
      <c r="B902" s="415"/>
      <c r="C902" s="403"/>
      <c r="D902" s="40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c r="AA902" s="403"/>
    </row>
    <row r="903">
      <c r="A903" s="403"/>
      <c r="B903" s="415"/>
      <c r="C903" s="403"/>
      <c r="D903" s="40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c r="AA903" s="403"/>
    </row>
    <row r="904">
      <c r="A904" s="403"/>
      <c r="B904" s="415"/>
      <c r="C904" s="403"/>
      <c r="D904" s="40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c r="AA904" s="403"/>
    </row>
    <row r="905">
      <c r="A905" s="403"/>
      <c r="B905" s="415"/>
      <c r="C905" s="403"/>
      <c r="D905" s="40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c r="AA905" s="403"/>
    </row>
    <row r="906">
      <c r="A906" s="403"/>
      <c r="B906" s="415"/>
      <c r="C906" s="403"/>
      <c r="D906" s="40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c r="AA906" s="403"/>
    </row>
    <row r="907">
      <c r="A907" s="403"/>
      <c r="B907" s="415"/>
      <c r="C907" s="403"/>
      <c r="D907" s="40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c r="AA907" s="403"/>
    </row>
    <row r="908">
      <c r="A908" s="403"/>
      <c r="B908" s="415"/>
      <c r="C908" s="403"/>
      <c r="D908" s="40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c r="AA908" s="403"/>
    </row>
    <row r="909">
      <c r="A909" s="403"/>
      <c r="B909" s="415"/>
      <c r="C909" s="403"/>
      <c r="D909" s="40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c r="AA909" s="403"/>
    </row>
    <row r="910">
      <c r="A910" s="403"/>
      <c r="B910" s="415"/>
      <c r="C910" s="403"/>
      <c r="D910" s="40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c r="AA910" s="403"/>
    </row>
    <row r="911">
      <c r="A911" s="403"/>
      <c r="B911" s="415"/>
      <c r="C911" s="403"/>
      <c r="D911" s="40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c r="AA911" s="403"/>
    </row>
    <row r="912">
      <c r="A912" s="403"/>
      <c r="B912" s="415"/>
      <c r="C912" s="403"/>
      <c r="D912" s="40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c r="AA912" s="403"/>
    </row>
    <row r="913">
      <c r="A913" s="403"/>
      <c r="B913" s="415"/>
      <c r="C913" s="403"/>
      <c r="D913" s="40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c r="AA913" s="403"/>
    </row>
    <row r="914">
      <c r="A914" s="403"/>
      <c r="B914" s="415"/>
      <c r="C914" s="403"/>
      <c r="D914" s="40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c r="AA914" s="403"/>
    </row>
    <row r="915">
      <c r="A915" s="403"/>
      <c r="B915" s="415"/>
      <c r="C915" s="403"/>
      <c r="D915" s="40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c r="AA915" s="403"/>
    </row>
    <row r="916">
      <c r="A916" s="403"/>
      <c r="B916" s="415"/>
      <c r="C916" s="403"/>
      <c r="D916" s="40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c r="AA916" s="403"/>
    </row>
    <row r="917">
      <c r="A917" s="403"/>
      <c r="B917" s="415"/>
      <c r="C917" s="403"/>
      <c r="D917" s="40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c r="AA917" s="403"/>
    </row>
    <row r="918">
      <c r="A918" s="403"/>
      <c r="B918" s="415"/>
      <c r="C918" s="403"/>
      <c r="D918" s="40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c r="AA918" s="403"/>
    </row>
    <row r="919">
      <c r="A919" s="403"/>
      <c r="B919" s="415"/>
      <c r="C919" s="403"/>
      <c r="D919" s="40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c r="AA919" s="403"/>
    </row>
    <row r="920">
      <c r="A920" s="403"/>
      <c r="B920" s="415"/>
      <c r="C920" s="403"/>
      <c r="D920" s="40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c r="AA920" s="403"/>
    </row>
    <row r="921">
      <c r="A921" s="403"/>
      <c r="B921" s="415"/>
      <c r="C921" s="403"/>
      <c r="D921" s="40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c r="AA921" s="403"/>
    </row>
    <row r="922">
      <c r="A922" s="403"/>
      <c r="B922" s="415"/>
      <c r="C922" s="403"/>
      <c r="D922" s="40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c r="AA922" s="403"/>
    </row>
    <row r="923">
      <c r="A923" s="403"/>
      <c r="B923" s="415"/>
      <c r="C923" s="403"/>
      <c r="D923" s="40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c r="AA923" s="403"/>
    </row>
    <row r="924">
      <c r="A924" s="403"/>
      <c r="B924" s="415"/>
      <c r="C924" s="403"/>
      <c r="D924" s="40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c r="AA924" s="403"/>
    </row>
    <row r="925">
      <c r="A925" s="403"/>
      <c r="B925" s="415"/>
      <c r="C925" s="403"/>
      <c r="D925" s="40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c r="AA925" s="403"/>
    </row>
    <row r="926">
      <c r="A926" s="403"/>
      <c r="B926" s="415"/>
      <c r="C926" s="403"/>
      <c r="D926" s="40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c r="AA926" s="403"/>
    </row>
    <row r="927">
      <c r="A927" s="403"/>
      <c r="B927" s="415"/>
      <c r="C927" s="403"/>
      <c r="D927" s="40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c r="AA927" s="403"/>
    </row>
    <row r="928">
      <c r="A928" s="403"/>
      <c r="B928" s="415"/>
      <c r="C928" s="403"/>
      <c r="D928" s="40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c r="AA928" s="403"/>
    </row>
    <row r="929">
      <c r="A929" s="403"/>
      <c r="B929" s="415"/>
      <c r="C929" s="403"/>
      <c r="D929" s="40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c r="AA929" s="403"/>
    </row>
    <row r="930">
      <c r="A930" s="403"/>
      <c r="B930" s="415"/>
      <c r="C930" s="403"/>
      <c r="D930" s="40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c r="AA930" s="403"/>
    </row>
    <row r="931">
      <c r="A931" s="403"/>
      <c r="B931" s="415"/>
      <c r="C931" s="403"/>
      <c r="D931" s="40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c r="AA931" s="403"/>
    </row>
    <row r="932">
      <c r="A932" s="403"/>
      <c r="B932" s="415"/>
      <c r="C932" s="403"/>
      <c r="D932" s="40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c r="AA932" s="403"/>
    </row>
    <row r="933">
      <c r="A933" s="403"/>
      <c r="B933" s="415"/>
      <c r="C933" s="403"/>
      <c r="D933" s="40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c r="AA933" s="403"/>
    </row>
    <row r="934">
      <c r="A934" s="403"/>
      <c r="B934" s="415"/>
      <c r="C934" s="403"/>
      <c r="D934" s="40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c r="AA934" s="403"/>
    </row>
    <row r="935">
      <c r="A935" s="403"/>
      <c r="B935" s="415"/>
      <c r="C935" s="403"/>
      <c r="D935" s="40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c r="AA935" s="403"/>
    </row>
    <row r="936">
      <c r="A936" s="403"/>
      <c r="B936" s="415"/>
      <c r="C936" s="403"/>
      <c r="D936" s="40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c r="AA936" s="403"/>
    </row>
    <row r="937">
      <c r="A937" s="403"/>
      <c r="B937" s="415"/>
      <c r="C937" s="403"/>
      <c r="D937" s="40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c r="AA937" s="403"/>
    </row>
    <row r="938">
      <c r="A938" s="403"/>
      <c r="B938" s="415"/>
      <c r="C938" s="403"/>
      <c r="D938" s="40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c r="AA938" s="403"/>
    </row>
    <row r="939">
      <c r="A939" s="403"/>
      <c r="B939" s="415"/>
      <c r="C939" s="403"/>
      <c r="D939" s="40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c r="AA939" s="403"/>
    </row>
    <row r="940">
      <c r="A940" s="403"/>
      <c r="B940" s="415"/>
      <c r="C940" s="403"/>
      <c r="D940" s="40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c r="AA940" s="403"/>
    </row>
    <row r="941">
      <c r="A941" s="403"/>
      <c r="B941" s="415"/>
      <c r="C941" s="403"/>
      <c r="D941" s="40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c r="AA941" s="403"/>
    </row>
    <row r="942">
      <c r="A942" s="403"/>
      <c r="B942" s="415"/>
      <c r="C942" s="403"/>
      <c r="D942" s="40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c r="AA942" s="403"/>
    </row>
    <row r="943">
      <c r="A943" s="403"/>
      <c r="B943" s="415"/>
      <c r="C943" s="403"/>
      <c r="D943" s="40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c r="AA943" s="403"/>
    </row>
    <row r="944">
      <c r="A944" s="403"/>
      <c r="B944" s="415"/>
      <c r="C944" s="403"/>
      <c r="D944" s="40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c r="AA944" s="403"/>
    </row>
    <row r="945">
      <c r="A945" s="403"/>
      <c r="B945" s="415"/>
      <c r="C945" s="403"/>
      <c r="D945" s="40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c r="AA945" s="403"/>
    </row>
    <row r="946">
      <c r="A946" s="403"/>
      <c r="B946" s="415"/>
      <c r="C946" s="403"/>
      <c r="D946" s="40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c r="AA946" s="403"/>
    </row>
    <row r="947">
      <c r="A947" s="403"/>
      <c r="B947" s="415"/>
      <c r="C947" s="403"/>
      <c r="D947" s="40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c r="AA947" s="403"/>
    </row>
    <row r="948">
      <c r="A948" s="403"/>
      <c r="B948" s="415"/>
      <c r="C948" s="403"/>
      <c r="D948" s="40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c r="AA948" s="403"/>
    </row>
    <row r="949">
      <c r="A949" s="403"/>
      <c r="B949" s="415"/>
      <c r="C949" s="403"/>
      <c r="D949" s="40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c r="AA949" s="403"/>
    </row>
    <row r="950">
      <c r="A950" s="403"/>
      <c r="B950" s="415"/>
      <c r="C950" s="403"/>
      <c r="D950" s="40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c r="AA950" s="403"/>
    </row>
    <row r="951">
      <c r="A951" s="403"/>
      <c r="B951" s="415"/>
      <c r="C951" s="403"/>
      <c r="D951" s="40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c r="AA951" s="403"/>
    </row>
    <row r="952">
      <c r="A952" s="403"/>
      <c r="B952" s="415"/>
      <c r="C952" s="403"/>
      <c r="D952" s="40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c r="AA952" s="403"/>
    </row>
    <row r="953">
      <c r="A953" s="403"/>
      <c r="B953" s="415"/>
      <c r="C953" s="403"/>
      <c r="D953" s="40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c r="AA953" s="403"/>
    </row>
    <row r="954">
      <c r="A954" s="403"/>
      <c r="B954" s="415"/>
      <c r="C954" s="403"/>
      <c r="D954" s="40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c r="AA954" s="403"/>
    </row>
    <row r="955">
      <c r="A955" s="403"/>
      <c r="B955" s="415"/>
      <c r="C955" s="403"/>
      <c r="D955" s="40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c r="AA955" s="403"/>
    </row>
    <row r="956">
      <c r="A956" s="403"/>
      <c r="B956" s="415"/>
      <c r="C956" s="403"/>
      <c r="D956" s="40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c r="AA956" s="403"/>
    </row>
    <row r="957">
      <c r="A957" s="403"/>
      <c r="B957" s="415"/>
      <c r="C957" s="403"/>
      <c r="D957" s="40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c r="AA957" s="403"/>
    </row>
    <row r="958">
      <c r="A958" s="403"/>
      <c r="B958" s="415"/>
      <c r="C958" s="403"/>
      <c r="D958" s="40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c r="AA958" s="403"/>
    </row>
    <row r="959">
      <c r="A959" s="403"/>
      <c r="B959" s="415"/>
      <c r="C959" s="403"/>
      <c r="D959" s="40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c r="AA959" s="403"/>
    </row>
    <row r="960">
      <c r="A960" s="403"/>
      <c r="B960" s="415"/>
      <c r="C960" s="403"/>
      <c r="D960" s="40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c r="AA960" s="403"/>
    </row>
    <row r="961">
      <c r="A961" s="403"/>
      <c r="B961" s="415"/>
      <c r="C961" s="403"/>
      <c r="D961" s="40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c r="AA961" s="403"/>
    </row>
    <row r="962">
      <c r="A962" s="403"/>
      <c r="B962" s="415"/>
      <c r="C962" s="403"/>
      <c r="D962" s="40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c r="AA962" s="403"/>
    </row>
    <row r="963">
      <c r="A963" s="403"/>
      <c r="B963" s="415"/>
      <c r="C963" s="403"/>
      <c r="D963" s="40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c r="AA963" s="403"/>
    </row>
    <row r="964">
      <c r="A964" s="403"/>
      <c r="B964" s="415"/>
      <c r="C964" s="403"/>
      <c r="D964" s="40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c r="AA964" s="403"/>
    </row>
    <row r="965">
      <c r="A965" s="403"/>
      <c r="B965" s="415"/>
      <c r="C965" s="403"/>
      <c r="D965" s="40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c r="AA965" s="403"/>
    </row>
    <row r="966">
      <c r="A966" s="403"/>
      <c r="B966" s="415"/>
      <c r="C966" s="403"/>
      <c r="D966" s="40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c r="AA966" s="403"/>
    </row>
    <row r="967">
      <c r="A967" s="403"/>
      <c r="B967" s="415"/>
      <c r="C967" s="403"/>
      <c r="D967" s="40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c r="AA967" s="403"/>
    </row>
    <row r="968">
      <c r="A968" s="403"/>
      <c r="B968" s="415"/>
      <c r="C968" s="403"/>
      <c r="D968" s="40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c r="AA968" s="403"/>
    </row>
    <row r="969">
      <c r="A969" s="403"/>
      <c r="B969" s="415"/>
      <c r="C969" s="403"/>
      <c r="D969" s="40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c r="AA969" s="403"/>
    </row>
    <row r="970">
      <c r="A970" s="403"/>
      <c r="B970" s="415"/>
      <c r="C970" s="403"/>
      <c r="D970" s="40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c r="AA970" s="403"/>
    </row>
    <row r="971">
      <c r="A971" s="403"/>
      <c r="B971" s="415"/>
      <c r="C971" s="403"/>
      <c r="D971" s="40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c r="AA971" s="403"/>
    </row>
    <row r="972">
      <c r="A972" s="403"/>
      <c r="B972" s="415"/>
      <c r="C972" s="403"/>
      <c r="D972" s="40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c r="AA972" s="403"/>
    </row>
    <row r="973">
      <c r="A973" s="403"/>
      <c r="B973" s="415"/>
      <c r="C973" s="403"/>
      <c r="D973" s="40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c r="AA973" s="403"/>
    </row>
    <row r="974">
      <c r="A974" s="403"/>
      <c r="B974" s="415"/>
      <c r="C974" s="403"/>
      <c r="D974" s="40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c r="AA974" s="403"/>
    </row>
    <row r="975">
      <c r="A975" s="403"/>
      <c r="B975" s="415"/>
      <c r="C975" s="403"/>
      <c r="D975" s="40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c r="AA975" s="403"/>
    </row>
    <row r="976">
      <c r="A976" s="403"/>
      <c r="B976" s="415"/>
      <c r="C976" s="403"/>
      <c r="D976" s="40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c r="AA976" s="403"/>
    </row>
    <row r="977">
      <c r="A977" s="403"/>
      <c r="B977" s="415"/>
      <c r="C977" s="403"/>
      <c r="D977" s="40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c r="AA977" s="403"/>
    </row>
    <row r="978">
      <c r="A978" s="403"/>
      <c r="B978" s="415"/>
      <c r="C978" s="403"/>
      <c r="D978" s="40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c r="AA978" s="403"/>
    </row>
    <row r="979">
      <c r="A979" s="403"/>
      <c r="B979" s="415"/>
      <c r="C979" s="403"/>
      <c r="D979" s="40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c r="AA979" s="403"/>
    </row>
    <row r="980">
      <c r="A980" s="403"/>
      <c r="B980" s="415"/>
      <c r="C980" s="403"/>
      <c r="D980" s="40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c r="AA980" s="403"/>
    </row>
    <row r="981">
      <c r="A981" s="403"/>
      <c r="B981" s="415"/>
      <c r="C981" s="403"/>
      <c r="D981" s="40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c r="AA981" s="403"/>
    </row>
    <row r="982">
      <c r="A982" s="403"/>
      <c r="B982" s="415"/>
      <c r="C982" s="403"/>
      <c r="D982" s="40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c r="AA982" s="403"/>
    </row>
    <row r="983">
      <c r="A983" s="403"/>
      <c r="B983" s="415"/>
      <c r="C983" s="403"/>
      <c r="D983" s="40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c r="AA983" s="403"/>
    </row>
    <row r="984">
      <c r="A984" s="403"/>
      <c r="B984" s="415"/>
      <c r="C984" s="403"/>
      <c r="D984" s="40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c r="AA984" s="403"/>
    </row>
    <row r="985">
      <c r="A985" s="403"/>
      <c r="B985" s="415"/>
      <c r="C985" s="403"/>
      <c r="D985" s="40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c r="AA985" s="403"/>
    </row>
    <row r="986">
      <c r="A986" s="403"/>
      <c r="B986" s="415"/>
      <c r="C986" s="403"/>
      <c r="D986" s="40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c r="AA986" s="403"/>
    </row>
    <row r="987">
      <c r="A987" s="403"/>
      <c r="B987" s="415"/>
      <c r="C987" s="403"/>
      <c r="D987" s="40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c r="AA987" s="403"/>
    </row>
    <row r="988">
      <c r="A988" s="403"/>
      <c r="B988" s="415"/>
      <c r="C988" s="403"/>
      <c r="D988" s="40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c r="AA988" s="403"/>
    </row>
    <row r="989">
      <c r="A989" s="403"/>
      <c r="B989" s="415"/>
      <c r="C989" s="403"/>
      <c r="D989" s="40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c r="AA989" s="403"/>
    </row>
    <row r="990">
      <c r="A990" s="403"/>
      <c r="B990" s="415"/>
      <c r="C990" s="403"/>
      <c r="D990" s="40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c r="AA990" s="403"/>
    </row>
    <row r="991">
      <c r="A991" s="403"/>
      <c r="B991" s="415"/>
      <c r="C991" s="403"/>
      <c r="D991" s="40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c r="AA991" s="403"/>
    </row>
    <row r="992">
      <c r="A992" s="403"/>
      <c r="B992" s="415"/>
      <c r="C992" s="403"/>
      <c r="D992" s="40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c r="AA992" s="403"/>
    </row>
    <row r="993">
      <c r="A993" s="403"/>
      <c r="B993" s="415"/>
      <c r="C993" s="403"/>
      <c r="D993" s="40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c r="AA993" s="403"/>
    </row>
    <row r="994">
      <c r="A994" s="403"/>
      <c r="B994" s="415"/>
      <c r="C994" s="403"/>
      <c r="D994" s="40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c r="AA994" s="403"/>
    </row>
    <row r="995">
      <c r="A995" s="403"/>
      <c r="B995" s="415"/>
      <c r="C995" s="403"/>
      <c r="D995" s="40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c r="AA995" s="403"/>
    </row>
    <row r="996">
      <c r="A996" s="403"/>
      <c r="B996" s="415"/>
      <c r="C996" s="403"/>
      <c r="D996" s="40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c r="AA996" s="403"/>
    </row>
    <row r="997">
      <c r="A997" s="403"/>
      <c r="B997" s="415"/>
      <c r="C997" s="403"/>
      <c r="D997" s="40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c r="AA997" s="403"/>
    </row>
    <row r="998">
      <c r="A998" s="403"/>
      <c r="B998" s="415"/>
      <c r="C998" s="403"/>
      <c r="D998" s="40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c r="AA998" s="403"/>
    </row>
    <row r="999">
      <c r="A999" s="403"/>
      <c r="B999" s="415"/>
      <c r="C999" s="403"/>
      <c r="D999" s="40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c r="AA999" s="403"/>
    </row>
    <row r="1000">
      <c r="A1000" s="403"/>
      <c r="B1000" s="415"/>
      <c r="C1000" s="403"/>
      <c r="D1000" s="40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c r="AA1000" s="403"/>
    </row>
    <row r="1001">
      <c r="A1001" s="403"/>
      <c r="B1001" s="415"/>
      <c r="C1001" s="403"/>
      <c r="D1001" s="403"/>
      <c r="E1001" s="403"/>
      <c r="F1001" s="403"/>
      <c r="G1001" s="403"/>
      <c r="H1001" s="403"/>
      <c r="I1001" s="403"/>
      <c r="J1001" s="403"/>
      <c r="K1001" s="403"/>
      <c r="L1001" s="403"/>
      <c r="M1001" s="403"/>
      <c r="N1001" s="403"/>
      <c r="O1001" s="403"/>
      <c r="P1001" s="403"/>
      <c r="Q1001" s="403"/>
      <c r="R1001" s="403"/>
      <c r="S1001" s="403"/>
      <c r="T1001" s="403"/>
      <c r="U1001" s="403"/>
      <c r="V1001" s="403"/>
      <c r="W1001" s="403"/>
      <c r="X1001" s="403"/>
      <c r="Y1001" s="403"/>
      <c r="Z1001" s="403"/>
      <c r="AA1001" s="403"/>
    </row>
    <row r="1002">
      <c r="A1002" s="403"/>
      <c r="B1002" s="415"/>
      <c r="C1002" s="403"/>
      <c r="D1002" s="403"/>
      <c r="E1002" s="403"/>
      <c r="F1002" s="403"/>
      <c r="G1002" s="403"/>
      <c r="H1002" s="403"/>
      <c r="I1002" s="403"/>
      <c r="J1002" s="403"/>
      <c r="K1002" s="403"/>
      <c r="L1002" s="403"/>
      <c r="M1002" s="403"/>
      <c r="N1002" s="403"/>
      <c r="O1002" s="403"/>
      <c r="P1002" s="403"/>
      <c r="Q1002" s="403"/>
      <c r="R1002" s="403"/>
      <c r="S1002" s="403"/>
      <c r="T1002" s="403"/>
      <c r="U1002" s="403"/>
      <c r="V1002" s="403"/>
      <c r="W1002" s="403"/>
      <c r="X1002" s="403"/>
      <c r="Y1002" s="403"/>
      <c r="Z1002" s="403"/>
      <c r="AA1002" s="403"/>
    </row>
    <row r="1003">
      <c r="A1003" s="403"/>
      <c r="B1003" s="415"/>
      <c r="C1003" s="403"/>
      <c r="D1003" s="403"/>
      <c r="E1003" s="403"/>
      <c r="F1003" s="403"/>
      <c r="G1003" s="403"/>
      <c r="H1003" s="403"/>
      <c r="I1003" s="403"/>
      <c r="J1003" s="403"/>
      <c r="K1003" s="403"/>
      <c r="L1003" s="403"/>
      <c r="M1003" s="403"/>
      <c r="N1003" s="403"/>
      <c r="O1003" s="403"/>
      <c r="P1003" s="403"/>
      <c r="Q1003" s="403"/>
      <c r="R1003" s="403"/>
      <c r="S1003" s="403"/>
      <c r="T1003" s="403"/>
      <c r="U1003" s="403"/>
      <c r="V1003" s="403"/>
      <c r="W1003" s="403"/>
      <c r="X1003" s="403"/>
      <c r="Y1003" s="403"/>
      <c r="Z1003" s="403"/>
      <c r="AA1003" s="403"/>
    </row>
    <row r="1004">
      <c r="A1004" s="403"/>
      <c r="B1004" s="415"/>
      <c r="C1004" s="403"/>
      <c r="D1004" s="403"/>
      <c r="E1004" s="403"/>
      <c r="F1004" s="403"/>
      <c r="G1004" s="403"/>
      <c r="H1004" s="403"/>
      <c r="I1004" s="403"/>
      <c r="J1004" s="403"/>
      <c r="K1004" s="403"/>
      <c r="L1004" s="403"/>
      <c r="M1004" s="403"/>
      <c r="N1004" s="403"/>
      <c r="O1004" s="403"/>
      <c r="P1004" s="403"/>
      <c r="Q1004" s="403"/>
      <c r="R1004" s="403"/>
      <c r="S1004" s="403"/>
      <c r="T1004" s="403"/>
      <c r="U1004" s="403"/>
      <c r="V1004" s="403"/>
      <c r="W1004" s="403"/>
      <c r="X1004" s="403"/>
      <c r="Y1004" s="403"/>
      <c r="Z1004" s="403"/>
      <c r="AA1004" s="403"/>
    </row>
    <row r="1005">
      <c r="A1005" s="403"/>
      <c r="B1005" s="415"/>
      <c r="C1005" s="403"/>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row>
    <row r="1006">
      <c r="A1006" s="403"/>
      <c r="B1006" s="415"/>
      <c r="C1006" s="403"/>
      <c r="D1006" s="403"/>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row>
    <row r="1007">
      <c r="A1007" s="403"/>
      <c r="B1007" s="415"/>
      <c r="C1007" s="403"/>
      <c r="D1007" s="403"/>
      <c r="E1007" s="403"/>
      <c r="F1007" s="403"/>
      <c r="G1007" s="403"/>
      <c r="H1007" s="403"/>
      <c r="I1007" s="403"/>
      <c r="J1007" s="403"/>
      <c r="K1007" s="403"/>
      <c r="L1007" s="403"/>
      <c r="M1007" s="403"/>
      <c r="N1007" s="403"/>
      <c r="O1007" s="403"/>
      <c r="P1007" s="403"/>
      <c r="Q1007" s="403"/>
      <c r="R1007" s="403"/>
      <c r="S1007" s="403"/>
      <c r="T1007" s="403"/>
      <c r="U1007" s="403"/>
      <c r="V1007" s="403"/>
      <c r="W1007" s="403"/>
      <c r="X1007" s="403"/>
      <c r="Y1007" s="403"/>
      <c r="Z1007" s="403"/>
      <c r="AA1007" s="403"/>
    </row>
    <row r="1008">
      <c r="A1008" s="403"/>
      <c r="B1008" s="415"/>
      <c r="C1008" s="403"/>
      <c r="D1008" s="403"/>
      <c r="E1008" s="403"/>
      <c r="F1008" s="403"/>
      <c r="G1008" s="403"/>
      <c r="H1008" s="403"/>
      <c r="I1008" s="403"/>
      <c r="J1008" s="403"/>
      <c r="K1008" s="403"/>
      <c r="L1008" s="403"/>
      <c r="M1008" s="403"/>
      <c r="N1008" s="403"/>
      <c r="O1008" s="403"/>
      <c r="P1008" s="403"/>
      <c r="Q1008" s="403"/>
      <c r="R1008" s="403"/>
      <c r="S1008" s="403"/>
      <c r="T1008" s="403"/>
      <c r="U1008" s="403"/>
      <c r="V1008" s="403"/>
      <c r="W1008" s="403"/>
      <c r="X1008" s="403"/>
      <c r="Y1008" s="403"/>
      <c r="Z1008" s="403"/>
      <c r="AA1008" s="403"/>
    </row>
    <row r="1009">
      <c r="A1009" s="403"/>
      <c r="B1009" s="415"/>
      <c r="C1009" s="403"/>
      <c r="D1009" s="403"/>
      <c r="E1009" s="403"/>
      <c r="F1009" s="403"/>
      <c r="G1009" s="403"/>
      <c r="H1009" s="403"/>
      <c r="I1009" s="403"/>
      <c r="J1009" s="403"/>
      <c r="K1009" s="403"/>
      <c r="L1009" s="403"/>
      <c r="M1009" s="403"/>
      <c r="N1009" s="403"/>
      <c r="O1009" s="403"/>
      <c r="P1009" s="403"/>
      <c r="Q1009" s="403"/>
      <c r="R1009" s="403"/>
      <c r="S1009" s="403"/>
      <c r="T1009" s="403"/>
      <c r="U1009" s="403"/>
      <c r="V1009" s="403"/>
      <c r="W1009" s="403"/>
      <c r="X1009" s="403"/>
      <c r="Y1009" s="403"/>
      <c r="Z1009" s="403"/>
      <c r="AA1009" s="403"/>
    </row>
    <row r="1010">
      <c r="A1010" s="403"/>
      <c r="B1010" s="415"/>
      <c r="C1010" s="403"/>
      <c r="D1010" s="403"/>
      <c r="E1010" s="403"/>
      <c r="F1010" s="403"/>
      <c r="G1010" s="403"/>
      <c r="H1010" s="403"/>
      <c r="I1010" s="403"/>
      <c r="J1010" s="403"/>
      <c r="K1010" s="403"/>
      <c r="L1010" s="403"/>
      <c r="M1010" s="403"/>
      <c r="N1010" s="403"/>
      <c r="O1010" s="403"/>
      <c r="P1010" s="403"/>
      <c r="Q1010" s="403"/>
      <c r="R1010" s="403"/>
      <c r="S1010" s="403"/>
      <c r="T1010" s="403"/>
      <c r="U1010" s="403"/>
      <c r="V1010" s="403"/>
      <c r="W1010" s="403"/>
      <c r="X1010" s="403"/>
      <c r="Y1010" s="403"/>
      <c r="Z1010" s="403"/>
      <c r="AA1010" s="403"/>
    </row>
    <row r="1011">
      <c r="A1011" s="403"/>
      <c r="B1011" s="415"/>
      <c r="C1011" s="403"/>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row>
  </sheetData>
  <mergeCells count="30">
    <mergeCell ref="A1:C1"/>
    <mergeCell ref="F1:H1"/>
    <mergeCell ref="A2:C2"/>
    <mergeCell ref="F2:H5"/>
    <mergeCell ref="A3:C3"/>
    <mergeCell ref="A21:C21"/>
    <mergeCell ref="A22:C22"/>
    <mergeCell ref="A23:C23"/>
    <mergeCell ref="A37:C37"/>
    <mergeCell ref="A38:C38"/>
    <mergeCell ref="A39:C39"/>
    <mergeCell ref="A52:C52"/>
    <mergeCell ref="A53:C53"/>
    <mergeCell ref="A54:C54"/>
    <mergeCell ref="A56:C56"/>
    <mergeCell ref="A66:A69"/>
    <mergeCell ref="A82:C82"/>
    <mergeCell ref="A98:C98"/>
    <mergeCell ref="A99:C99"/>
    <mergeCell ref="A100:C100"/>
    <mergeCell ref="A113:C113"/>
    <mergeCell ref="A154:C154"/>
    <mergeCell ref="A180:C180"/>
    <mergeCell ref="A114:C114"/>
    <mergeCell ref="A115:C115"/>
    <mergeCell ref="A133:C133"/>
    <mergeCell ref="A134:C134"/>
    <mergeCell ref="A135:C135"/>
    <mergeCell ref="A152:C152"/>
    <mergeCell ref="A153:C153"/>
  </mergeCells>
  <dataValidations>
    <dataValidation type="list" allowBlank="1" sqref="D2 D22 D38 D53 D99 D114 D134 D153">
      <formula1>Lists!$B$2:$B1011</formula1>
    </dataValidation>
  </dataValidations>
  <hyperlinks>
    <hyperlink r:id="rId1" ref="A2"/>
    <hyperlink r:id="rId2" ref="A5"/>
    <hyperlink r:id="rId3" ref="A6"/>
    <hyperlink r:id="rId4" ref="A7"/>
    <hyperlink r:id="rId5" ref="A8"/>
    <hyperlink r:id="rId6" ref="A9"/>
    <hyperlink r:id="rId7" ref="A10"/>
    <hyperlink r:id="rId8" ref="A11"/>
    <hyperlink r:id="rId9" ref="A12"/>
    <hyperlink r:id="rId10" ref="A13"/>
    <hyperlink r:id="rId11" ref="A15"/>
    <hyperlink r:id="rId12" ref="A16"/>
    <hyperlink r:id="rId13" ref="A17"/>
    <hyperlink r:id="rId14" ref="A18"/>
    <hyperlink r:id="rId15" ref="A19"/>
    <hyperlink r:id="rId16" ref="A22"/>
    <hyperlink r:id="rId17" ref="A25"/>
    <hyperlink r:id="rId18" ref="A26"/>
    <hyperlink r:id="rId19" ref="A27"/>
    <hyperlink r:id="rId20" ref="A28"/>
    <hyperlink r:id="rId21" ref="A29"/>
    <hyperlink r:id="rId22" ref="A30"/>
    <hyperlink r:id="rId23" ref="A32"/>
    <hyperlink r:id="rId24" ref="A34"/>
    <hyperlink r:id="rId25" ref="A35"/>
    <hyperlink r:id="rId26" ref="A38"/>
    <hyperlink r:id="rId27" ref="A41"/>
    <hyperlink r:id="rId28" ref="A42"/>
    <hyperlink r:id="rId29" ref="A44"/>
    <hyperlink r:id="rId30" ref="A46"/>
    <hyperlink r:id="rId31" ref="A47"/>
    <hyperlink r:id="rId32" ref="A49"/>
    <hyperlink r:id="rId33" ref="A50"/>
    <hyperlink r:id="rId34" ref="A53"/>
    <hyperlink r:id="rId35" ref="A56"/>
    <hyperlink r:id="rId36" ref="A57"/>
    <hyperlink r:id="rId37" ref="A58"/>
    <hyperlink r:id="rId38" ref="A59"/>
    <hyperlink r:id="rId39" ref="A60"/>
    <hyperlink r:id="rId40" ref="A61"/>
    <hyperlink r:id="rId41" ref="A62"/>
    <hyperlink r:id="rId42" ref="A63"/>
    <hyperlink r:id="rId43" ref="A64"/>
    <hyperlink r:id="rId44" ref="A65"/>
    <hyperlink r:id="rId45" ref="A66"/>
    <hyperlink r:id="rId46" ref="A71"/>
    <hyperlink r:id="rId47" ref="A73"/>
    <hyperlink r:id="rId48" ref="A74"/>
    <hyperlink r:id="rId49" ref="A75"/>
    <hyperlink r:id="rId50" ref="A76"/>
    <hyperlink r:id="rId51" ref="A78"/>
    <hyperlink r:id="rId52" ref="A79"/>
    <hyperlink r:id="rId53" ref="A80"/>
    <hyperlink r:id="rId54" ref="A81"/>
    <hyperlink r:id="rId55" ref="A84"/>
    <hyperlink r:id="rId56" ref="A87"/>
    <hyperlink r:id="rId57" ref="A88"/>
    <hyperlink r:id="rId58" ref="A89"/>
    <hyperlink r:id="rId59" ref="A90"/>
    <hyperlink r:id="rId60" ref="A91"/>
    <hyperlink r:id="rId61" ref="A93"/>
    <hyperlink r:id="rId62" ref="A94"/>
    <hyperlink r:id="rId63" ref="A95"/>
    <hyperlink r:id="rId64" ref="A96"/>
    <hyperlink r:id="rId65" ref="A99"/>
    <hyperlink r:id="rId66" ref="A102"/>
    <hyperlink r:id="rId67" ref="A103"/>
    <hyperlink r:id="rId68" ref="A104"/>
    <hyperlink r:id="rId69" ref="A105"/>
    <hyperlink r:id="rId70" ref="A106"/>
    <hyperlink r:id="rId71" ref="A107"/>
    <hyperlink r:id="rId72" ref="A108"/>
    <hyperlink r:id="rId73" ref="A109"/>
    <hyperlink r:id="rId74" ref="A114"/>
    <hyperlink r:id="rId75" ref="A117"/>
    <hyperlink r:id="rId76" ref="A118"/>
    <hyperlink r:id="rId77" ref="A119"/>
    <hyperlink r:id="rId78" ref="A120"/>
    <hyperlink r:id="rId79" ref="A121"/>
    <hyperlink r:id="rId80" ref="A122"/>
    <hyperlink r:id="rId81" ref="A123"/>
    <hyperlink r:id="rId82" ref="A124"/>
    <hyperlink r:id="rId83" ref="A125"/>
    <hyperlink r:id="rId84" ref="A126"/>
    <hyperlink r:id="rId85" ref="A127"/>
    <hyperlink r:id="rId86" ref="A128"/>
    <hyperlink r:id="rId87" ref="A129"/>
    <hyperlink r:id="rId88" ref="A134"/>
    <hyperlink r:id="rId89" ref="A137"/>
    <hyperlink r:id="rId90" ref="A138"/>
    <hyperlink r:id="rId91" ref="A139"/>
    <hyperlink r:id="rId92" ref="A140"/>
    <hyperlink r:id="rId93" ref="A141"/>
    <hyperlink r:id="rId94" ref="A142"/>
    <hyperlink r:id="rId95" ref="A144"/>
    <hyperlink r:id="rId96" ref="A145"/>
    <hyperlink r:id="rId97" ref="A146"/>
    <hyperlink r:id="rId98" ref="A148"/>
    <hyperlink r:id="rId99" ref="A153"/>
    <hyperlink r:id="rId100" ref="A156"/>
    <hyperlink r:id="rId101" ref="A157"/>
    <hyperlink r:id="rId102" ref="A158"/>
    <hyperlink r:id="rId103" ref="A159"/>
    <hyperlink r:id="rId104" ref="A160"/>
    <hyperlink r:id="rId105" ref="A161"/>
    <hyperlink r:id="rId106" ref="A162"/>
    <hyperlink r:id="rId107" ref="A163"/>
    <hyperlink r:id="rId108" ref="A164"/>
    <hyperlink r:id="rId109" ref="A165"/>
    <hyperlink r:id="rId110" ref="A166"/>
    <hyperlink r:id="rId111" ref="B181"/>
  </hyperlinks>
  <drawing r:id="rId11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7.14"/>
    <col customWidth="1" min="2" max="3" width="8.57"/>
    <col customWidth="1" min="4" max="4" width="2.71"/>
    <col customWidth="1" min="5" max="5" width="4.71"/>
    <col customWidth="1" min="6" max="6" width="17.29"/>
    <col customWidth="1" min="7" max="7" width="17.71"/>
    <col customWidth="1" min="8" max="8" width="27.71"/>
    <col customWidth="1" min="9" max="9" width="14.57"/>
    <col customWidth="1" min="10" max="10" width="36.86"/>
    <col customWidth="1" min="11" max="11" width="2.71"/>
    <col customWidth="1" min="12" max="12" width="35.43"/>
    <col customWidth="1" min="13" max="13" width="18.86"/>
    <col customWidth="1" min="16" max="16" width="3.0"/>
    <col customWidth="1" min="17" max="17" width="16.43"/>
    <col customWidth="1" min="18" max="18" width="2.71"/>
    <col customWidth="1" min="19" max="19" width="18.29"/>
    <col customWidth="1" min="20" max="20" width="9.57"/>
    <col customWidth="1" min="21" max="21" width="25.29"/>
    <col customWidth="1" min="24" max="24" width="25.86"/>
    <col customWidth="1" min="25" max="25" width="9.57"/>
    <col customWidth="1" min="29" max="29" width="2.71"/>
    <col customWidth="1" min="30" max="30" width="8.14"/>
    <col customWidth="1" min="34" max="34" width="57.14"/>
  </cols>
  <sheetData>
    <row r="1">
      <c r="A1" s="509" t="s">
        <v>9703</v>
      </c>
      <c r="B1" s="509" t="s">
        <v>9704</v>
      </c>
      <c r="C1" s="509" t="s">
        <v>9705</v>
      </c>
      <c r="D1" s="510" t="s">
        <v>9706</v>
      </c>
      <c r="E1" s="509" t="s">
        <v>9707</v>
      </c>
      <c r="F1" s="509" t="s">
        <v>9708</v>
      </c>
      <c r="G1" s="509" t="s">
        <v>9709</v>
      </c>
      <c r="H1" s="509" t="s">
        <v>9710</v>
      </c>
      <c r="I1" s="509" t="s">
        <v>9711</v>
      </c>
      <c r="J1" s="511" t="s">
        <v>9712</v>
      </c>
      <c r="K1" s="510" t="s">
        <v>9713</v>
      </c>
      <c r="L1" s="512" t="s">
        <v>9714</v>
      </c>
      <c r="M1" s="512" t="s">
        <v>9715</v>
      </c>
      <c r="N1" s="512" t="s">
        <v>9716</v>
      </c>
      <c r="O1" s="512" t="s">
        <v>9717</v>
      </c>
      <c r="P1" s="513" t="s">
        <v>9718</v>
      </c>
      <c r="Q1" s="513" t="s">
        <v>9719</v>
      </c>
      <c r="R1" s="510" t="s">
        <v>9720</v>
      </c>
      <c r="S1" s="514" t="s">
        <v>9721</v>
      </c>
      <c r="T1" s="514" t="s">
        <v>9722</v>
      </c>
      <c r="U1" s="514" t="s">
        <v>9723</v>
      </c>
      <c r="V1" s="514" t="s">
        <v>9724</v>
      </c>
      <c r="W1" s="515" t="s">
        <v>8898</v>
      </c>
      <c r="X1" s="514" t="s">
        <v>9725</v>
      </c>
      <c r="Y1" s="514" t="s">
        <v>9726</v>
      </c>
      <c r="Z1" s="514" t="s">
        <v>9727</v>
      </c>
      <c r="AA1" s="514" t="s">
        <v>9728</v>
      </c>
      <c r="AB1" s="514" t="s">
        <v>9729</v>
      </c>
      <c r="AC1" s="510" t="s">
        <v>9730</v>
      </c>
      <c r="AD1" s="516" t="s">
        <v>9731</v>
      </c>
      <c r="AE1" s="516" t="s">
        <v>9732</v>
      </c>
      <c r="AF1" s="516" t="s">
        <v>9733</v>
      </c>
      <c r="AG1" s="517" t="s">
        <v>9734</v>
      </c>
      <c r="AH1" s="517" t="s">
        <v>9735</v>
      </c>
    </row>
    <row r="2">
      <c r="A2" s="518" t="s">
        <v>9736</v>
      </c>
      <c r="B2" s="519"/>
      <c r="C2" s="519"/>
      <c r="D2" s="520"/>
      <c r="E2" s="521" t="s">
        <v>9737</v>
      </c>
      <c r="F2" s="514"/>
      <c r="G2" s="514"/>
      <c r="H2" s="514"/>
      <c r="I2" s="514"/>
      <c r="J2" s="522"/>
      <c r="K2" s="520"/>
      <c r="L2" s="514" t="s">
        <v>9738</v>
      </c>
      <c r="M2" s="514"/>
      <c r="N2" s="514"/>
      <c r="O2" s="514"/>
      <c r="P2" s="523"/>
      <c r="Q2" s="524" t="s">
        <v>9739</v>
      </c>
      <c r="R2" s="520"/>
      <c r="S2" s="525" t="s">
        <v>9034</v>
      </c>
      <c r="T2" s="526" t="s">
        <v>9723</v>
      </c>
      <c r="U2" s="526" t="s">
        <v>9740</v>
      </c>
      <c r="V2" s="526"/>
      <c r="W2" s="527" t="s">
        <v>9035</v>
      </c>
      <c r="X2" s="526" t="s">
        <v>9036</v>
      </c>
      <c r="Y2" s="528">
        <v>8.0</v>
      </c>
      <c r="Z2" s="529" t="s">
        <v>9741</v>
      </c>
      <c r="AA2" s="530" t="s">
        <v>9742</v>
      </c>
      <c r="AB2" s="530" t="str">
        <f t="shared" ref="AB2:AB34" si="1">AA2</f>
        <v>EMAIL_SENT</v>
      </c>
      <c r="AC2" s="520"/>
      <c r="AD2" s="531" t="s">
        <v>9743</v>
      </c>
      <c r="AE2" s="532" t="s">
        <v>9744</v>
      </c>
      <c r="AF2" s="533" t="s">
        <v>9743</v>
      </c>
      <c r="AG2" s="531" t="s">
        <v>9743</v>
      </c>
      <c r="AH2" s="534" t="s">
        <v>9745</v>
      </c>
    </row>
    <row r="3">
      <c r="A3" s="535"/>
      <c r="B3" s="535" t="s">
        <v>9746</v>
      </c>
      <c r="C3" s="535" t="s">
        <v>9747</v>
      </c>
      <c r="D3" s="520"/>
      <c r="E3" s="536" t="s">
        <v>9748</v>
      </c>
      <c r="F3" s="537" t="s">
        <v>8897</v>
      </c>
      <c r="G3" s="536" t="s">
        <v>9749</v>
      </c>
      <c r="H3" s="536" t="s">
        <v>9750</v>
      </c>
      <c r="I3" s="536" t="s">
        <v>9751</v>
      </c>
      <c r="J3" s="538" t="s">
        <v>9752</v>
      </c>
      <c r="K3" s="520"/>
      <c r="P3" s="523"/>
      <c r="Q3" s="566" t="s">
        <v>9805</v>
      </c>
      <c r="R3" s="520"/>
      <c r="S3" s="525" t="s">
        <v>9554</v>
      </c>
      <c r="T3" s="526" t="s">
        <v>9723</v>
      </c>
      <c r="U3" s="567" t="s">
        <v>9806</v>
      </c>
      <c r="V3" s="526" t="s">
        <v>9807</v>
      </c>
      <c r="W3" s="527" t="s">
        <v>9555</v>
      </c>
      <c r="X3" s="526" t="s">
        <v>9556</v>
      </c>
      <c r="Y3" s="528">
        <v>32.0</v>
      </c>
      <c r="Z3" s="529" t="s">
        <v>9741</v>
      </c>
      <c r="AA3" s="568" t="s">
        <v>9808</v>
      </c>
      <c r="AB3" s="530" t="str">
        <f t="shared" si="1"/>
        <v>EMAIL_OPENED</v>
      </c>
      <c r="AC3" s="520"/>
      <c r="AD3" s="569" t="s">
        <v>9809</v>
      </c>
      <c r="AE3" s="570" t="s">
        <v>9810</v>
      </c>
      <c r="AF3" s="571" t="s">
        <v>9725</v>
      </c>
      <c r="AG3" s="572" t="s">
        <v>9726</v>
      </c>
      <c r="AH3" s="573" t="s">
        <v>9811</v>
      </c>
    </row>
    <row r="4" ht="34.5" customHeight="1">
      <c r="A4" s="574" t="s">
        <v>9812</v>
      </c>
      <c r="B4" s="575">
        <v>95.0</v>
      </c>
      <c r="C4" s="575">
        <v>112.0</v>
      </c>
      <c r="D4" s="520"/>
      <c r="E4" s="576" t="s">
        <v>9813</v>
      </c>
      <c r="F4" s="577" t="s">
        <v>9611</v>
      </c>
      <c r="G4" s="578" t="s">
        <v>9814</v>
      </c>
      <c r="H4" s="576" t="s">
        <v>9815</v>
      </c>
      <c r="I4" s="576" t="s">
        <v>9723</v>
      </c>
      <c r="J4" s="579" t="s">
        <v>9816</v>
      </c>
      <c r="K4" s="580"/>
      <c r="P4" s="523"/>
      <c r="Q4" s="566" t="s">
        <v>9818</v>
      </c>
      <c r="R4" s="582"/>
      <c r="S4" s="525" t="s">
        <v>9548</v>
      </c>
      <c r="T4" s="526" t="s">
        <v>9723</v>
      </c>
      <c r="U4" s="526" t="s">
        <v>9819</v>
      </c>
      <c r="V4" s="526" t="s">
        <v>9820</v>
      </c>
      <c r="W4" s="527" t="s">
        <v>9549</v>
      </c>
      <c r="X4" s="526" t="s">
        <v>9550</v>
      </c>
      <c r="Y4" s="528">
        <v>6.0</v>
      </c>
      <c r="Z4" s="529" t="s">
        <v>9741</v>
      </c>
      <c r="AA4" s="583" t="s">
        <v>9264</v>
      </c>
      <c r="AB4" s="530" t="str">
        <f t="shared" si="1"/>
        <v>RESPONDED</v>
      </c>
      <c r="AC4" s="582"/>
      <c r="AD4" s="584">
        <v>1.0</v>
      </c>
      <c r="AE4" s="585" t="s">
        <v>8960</v>
      </c>
      <c r="AF4" s="586" t="str">
        <f>VLOOKUP($AE4,'Bespoke Speaker Intros'!$D:$E,2,False)</f>
        <v>00:00:57:23 - 00:01:01:00, 
00:00:33:16 - 00:00:39:02, 
00:01:06:12 - 00:01:16:18</v>
      </c>
      <c r="AG4" s="587">
        <f>VLOOKUP($AE4,'Bespoke Speaker Intros'!$D:$F,3,false)</f>
        <v>20</v>
      </c>
      <c r="AH4" s="588" t="str">
        <f>CONCATENATE("Link ",AD4,":
",AE4,
"
Timecode:
",AF4,"
Link ",AD5,":
",AE5,
"
Timecode:
",AF5,"
Link ",AD6,":
",AE6,
"
Timecode:
",AF6,"
Link ",AD7,":
",AE7,
"
Timecode:
",AF7,"
Link ",AD8,":
",AE8,
"
Timecode:
",AF8,"
Link ",AD9,":
",AE9,
"
Timecode:
",AF9,"
Link ",AD10,":
",AE10,
"
Timecode:
",AF10,"
Link ",AD11,":
",AE11,
"
Timecode:
",AF11,"
Link ",AD12,":
",AE1,
"
Timecode:
",AF12,"
Link ",AD13,":
",AE13,
"
Timecode:
",AF13)</f>
        <v>Link 1:
https://www.youtube.com/watch?v=6laUW5j_YZw
Timecode:
00:00:57:23 - 00:01:01:00, 
00:00:33:16 - 00:00:39:02, 
00:01:06:12 - 00:01:16:18
Link 2:
https://www.youtube.com/watch?v=V4H_37qbx1E
Timecode:
00:07:08:00 - 00:07:12:08, 00:07:03:06 - 00:07:12:09
Link 3:
No Link
Timecode:
0
Link 4:
No Link
Timecode:
0
Link 5:
No Link
Timecode:
0
Link 6:
No Link
Timecode:
0
Link 7:
No Link
Timecode:
0
Link 8:
No Link
Timecode:
0
Link 9:
Column AD
Timecode:
0
Link 10:
No Link
Timecode:
0</v>
      </c>
    </row>
    <row r="5">
      <c r="A5" s="574" t="s">
        <v>9821</v>
      </c>
      <c r="B5" s="575">
        <v>144.0</v>
      </c>
      <c r="C5" s="575">
        <v>169.0</v>
      </c>
      <c r="D5" s="589"/>
      <c r="E5" s="576" t="s">
        <v>9813</v>
      </c>
      <c r="F5" s="577" t="s">
        <v>9822</v>
      </c>
      <c r="G5" s="578" t="s">
        <v>9818</v>
      </c>
      <c r="H5" s="576" t="s">
        <v>9823</v>
      </c>
      <c r="I5" s="576"/>
      <c r="J5" s="590" t="s">
        <v>9824</v>
      </c>
      <c r="K5" s="591"/>
      <c r="P5" s="592"/>
      <c r="Q5" s="566" t="s">
        <v>9814</v>
      </c>
      <c r="R5" s="593"/>
      <c r="S5" s="525" t="s">
        <v>8908</v>
      </c>
      <c r="T5" s="526" t="s">
        <v>9723</v>
      </c>
      <c r="U5" s="526" t="s">
        <v>9825</v>
      </c>
      <c r="V5" s="526" t="s">
        <v>8908</v>
      </c>
      <c r="W5" s="527" t="s">
        <v>8909</v>
      </c>
      <c r="X5" s="526" t="s">
        <v>8910</v>
      </c>
      <c r="Y5" s="528">
        <v>3.0</v>
      </c>
      <c r="Z5" s="529" t="s">
        <v>9741</v>
      </c>
      <c r="AA5" s="594" t="s">
        <v>9808</v>
      </c>
      <c r="AB5" s="530" t="str">
        <f t="shared" si="1"/>
        <v>EMAIL_OPENED</v>
      </c>
      <c r="AC5" s="593"/>
      <c r="AD5" s="595">
        <v>2.0</v>
      </c>
      <c r="AE5" s="585" t="s">
        <v>8981</v>
      </c>
      <c r="AF5" s="596" t="str">
        <f>VLOOKUP($AE5,'Bespoke Speaker Intros'!$D:$E,2,False)</f>
        <v>00:07:08:00 - 00:07:12:08, 00:07:03:06 - 00:07:12:09</v>
      </c>
      <c r="AG5" s="597">
        <f>VLOOKUP($AE5,'Bespoke Speaker Intros'!$D:$F,3,false)</f>
        <v>8</v>
      </c>
      <c r="AH5" s="588"/>
    </row>
    <row r="6">
      <c r="A6" s="574" t="s">
        <v>9826</v>
      </c>
      <c r="B6" s="575">
        <v>32.0</v>
      </c>
      <c r="C6" s="575">
        <v>44.0</v>
      </c>
      <c r="D6" s="589"/>
      <c r="E6" s="576" t="s">
        <v>9813</v>
      </c>
      <c r="F6" s="598" t="s">
        <v>9034</v>
      </c>
      <c r="G6" s="578" t="s">
        <v>9805</v>
      </c>
      <c r="H6" s="576"/>
      <c r="I6" s="576" t="s">
        <v>9723</v>
      </c>
      <c r="J6" s="579" t="s">
        <v>9740</v>
      </c>
      <c r="K6" s="591"/>
      <c r="P6" s="592"/>
      <c r="Q6" s="566" t="s">
        <v>9828</v>
      </c>
      <c r="R6" s="593"/>
      <c r="S6" s="525" t="s">
        <v>9105</v>
      </c>
      <c r="T6" s="526" t="s">
        <v>9723</v>
      </c>
      <c r="U6" s="526" t="s">
        <v>9829</v>
      </c>
      <c r="V6" s="526"/>
      <c r="W6" s="527" t="s">
        <v>9106</v>
      </c>
      <c r="X6" s="526" t="s">
        <v>9108</v>
      </c>
      <c r="Y6" s="528">
        <v>3.0</v>
      </c>
      <c r="Z6" s="529" t="s">
        <v>9741</v>
      </c>
      <c r="AA6" s="599" t="s">
        <v>9830</v>
      </c>
      <c r="AB6" s="530" t="str">
        <f t="shared" si="1"/>
        <v>BOUNCED</v>
      </c>
      <c r="AC6" s="593"/>
      <c r="AD6" s="600">
        <v>3.0</v>
      </c>
      <c r="AE6" s="601" t="s">
        <v>9831</v>
      </c>
      <c r="AF6" s="602">
        <f>VLOOKUP($AE6,'Bespoke Speaker Intros'!$D:$E,2,False)</f>
        <v>0</v>
      </c>
      <c r="AG6" s="597">
        <f>VLOOKUP($AE6,'Bespoke Speaker Intros'!$D:$F,3,false)</f>
        <v>0</v>
      </c>
      <c r="AH6" s="588"/>
    </row>
    <row r="7" ht="24.0" customHeight="1">
      <c r="A7" s="535" t="s">
        <v>9832</v>
      </c>
      <c r="B7" s="575">
        <v>176.0</v>
      </c>
      <c r="C7" s="603">
        <f>C5+C6</f>
        <v>213</v>
      </c>
      <c r="D7" s="589"/>
      <c r="E7" s="576" t="s">
        <v>9813</v>
      </c>
      <c r="F7" s="577" t="s">
        <v>9554</v>
      </c>
      <c r="G7" s="578" t="s">
        <v>9805</v>
      </c>
      <c r="H7" s="576" t="s">
        <v>9807</v>
      </c>
      <c r="I7" s="576" t="s">
        <v>9723</v>
      </c>
      <c r="J7" s="604" t="s">
        <v>9806</v>
      </c>
      <c r="K7" s="591"/>
      <c r="P7" s="592"/>
      <c r="R7" s="593"/>
      <c r="S7" s="525" t="s">
        <v>8921</v>
      </c>
      <c r="T7" s="526" t="s">
        <v>9723</v>
      </c>
      <c r="U7" s="526" t="s">
        <v>9833</v>
      </c>
      <c r="V7" s="526"/>
      <c r="W7" s="527" t="s">
        <v>8922</v>
      </c>
      <c r="X7" s="526" t="s">
        <v>8923</v>
      </c>
      <c r="Y7" s="528">
        <v>14.0</v>
      </c>
      <c r="Z7" s="529" t="s">
        <v>9741</v>
      </c>
      <c r="AA7" s="594" t="s">
        <v>9808</v>
      </c>
      <c r="AB7" s="530" t="str">
        <f t="shared" si="1"/>
        <v>EMAIL_OPENED</v>
      </c>
      <c r="AC7" s="593"/>
      <c r="AD7" s="600">
        <v>4.0</v>
      </c>
      <c r="AE7" s="601" t="s">
        <v>9831</v>
      </c>
      <c r="AF7" s="602">
        <f>VLOOKUP($AE7,'Bespoke Speaker Intros'!$D:$E,2,False)</f>
        <v>0</v>
      </c>
      <c r="AG7" s="597">
        <f>VLOOKUP($AE7,'Bespoke Speaker Intros'!$D:$F,3,false)</f>
        <v>0</v>
      </c>
      <c r="AH7" s="588"/>
    </row>
    <row r="8" ht="19.5" customHeight="1">
      <c r="A8" s="564" t="s">
        <v>8897</v>
      </c>
      <c r="B8" s="605" t="s">
        <v>9834</v>
      </c>
      <c r="C8" s="605" t="s">
        <v>9835</v>
      </c>
      <c r="D8" s="589"/>
      <c r="E8" s="576" t="s">
        <v>9813</v>
      </c>
      <c r="F8" s="577" t="s">
        <v>9595</v>
      </c>
      <c r="G8" s="578" t="s">
        <v>9805</v>
      </c>
      <c r="H8" s="576"/>
      <c r="I8" s="576" t="s">
        <v>9723</v>
      </c>
      <c r="J8" s="579" t="s">
        <v>9836</v>
      </c>
      <c r="K8" s="591"/>
      <c r="P8" s="592"/>
      <c r="R8" s="593"/>
      <c r="S8" s="525" t="s">
        <v>8993</v>
      </c>
      <c r="T8" s="526" t="s">
        <v>9723</v>
      </c>
      <c r="U8" s="526" t="s">
        <v>9838</v>
      </c>
      <c r="V8" s="526" t="s">
        <v>9839</v>
      </c>
      <c r="W8" s="527" t="s">
        <v>8994</v>
      </c>
      <c r="X8" s="526" t="s">
        <v>8995</v>
      </c>
      <c r="Y8" s="528">
        <v>2.0</v>
      </c>
      <c r="Z8" s="529" t="s">
        <v>9741</v>
      </c>
      <c r="AA8" s="606" t="s">
        <v>9742</v>
      </c>
      <c r="AB8" s="530" t="str">
        <f t="shared" si="1"/>
        <v>EMAIL_SENT</v>
      </c>
      <c r="AC8" s="593"/>
      <c r="AD8" s="600">
        <v>5.0</v>
      </c>
      <c r="AE8" s="601" t="s">
        <v>9831</v>
      </c>
      <c r="AF8" s="602">
        <f>VLOOKUP($AE8,'Bespoke Speaker Intros'!$D:$E,2,False)</f>
        <v>0</v>
      </c>
      <c r="AG8" s="597">
        <f>VLOOKUP($AE8,'Bespoke Speaker Intros'!$D:$F,3,false)</f>
        <v>0</v>
      </c>
      <c r="AH8" s="588"/>
    </row>
    <row r="9">
      <c r="A9" s="607"/>
      <c r="B9" s="608">
        <v>0.0</v>
      </c>
      <c r="C9" s="608">
        <v>0.0</v>
      </c>
      <c r="D9" s="589"/>
      <c r="E9" s="576" t="s">
        <v>9813</v>
      </c>
      <c r="F9" s="577" t="s">
        <v>9356</v>
      </c>
      <c r="G9" s="578" t="s">
        <v>9805</v>
      </c>
      <c r="H9" s="576"/>
      <c r="I9" s="576" t="s">
        <v>9723</v>
      </c>
      <c r="J9" s="579" t="s">
        <v>9840</v>
      </c>
      <c r="K9" s="591"/>
      <c r="P9" s="592"/>
      <c r="R9" s="593"/>
      <c r="S9" s="525" t="s">
        <v>8929</v>
      </c>
      <c r="T9" s="526" t="s">
        <v>9723</v>
      </c>
      <c r="U9" s="526" t="s">
        <v>9841</v>
      </c>
      <c r="V9" s="526"/>
      <c r="W9" s="527" t="s">
        <v>8930</v>
      </c>
      <c r="X9" s="526" t="s">
        <v>8931</v>
      </c>
      <c r="Y9" s="528">
        <v>10.0</v>
      </c>
      <c r="Z9" s="529" t="s">
        <v>9741</v>
      </c>
      <c r="AA9" s="609" t="s">
        <v>9264</v>
      </c>
      <c r="AB9" s="530" t="str">
        <f t="shared" si="1"/>
        <v>RESPONDED</v>
      </c>
      <c r="AC9" s="591"/>
      <c r="AD9" s="600">
        <v>6.0</v>
      </c>
      <c r="AE9" s="601" t="s">
        <v>9831</v>
      </c>
      <c r="AF9" s="602">
        <f>VLOOKUP($AE9,'Bespoke Speaker Intros'!$D:$E,2,False)</f>
        <v>0</v>
      </c>
      <c r="AG9" s="597">
        <f>VLOOKUP($AE9,'Bespoke Speaker Intros'!$D:$F,3,false)</f>
        <v>0</v>
      </c>
      <c r="AH9" s="588"/>
    </row>
    <row r="10" ht="31.5" customHeight="1">
      <c r="A10" s="607" t="s">
        <v>457</v>
      </c>
      <c r="B10" s="608">
        <v>1.0</v>
      </c>
      <c r="C10" s="608">
        <v>1.0</v>
      </c>
      <c r="D10" s="589"/>
      <c r="E10" s="576" t="s">
        <v>9813</v>
      </c>
      <c r="F10" s="598" t="s">
        <v>9041</v>
      </c>
      <c r="G10" s="578" t="s">
        <v>9805</v>
      </c>
      <c r="H10" s="610" t="s">
        <v>9842</v>
      </c>
      <c r="I10" s="576" t="s">
        <v>8920</v>
      </c>
      <c r="J10" s="610" t="s">
        <v>9842</v>
      </c>
      <c r="K10" s="591"/>
      <c r="P10" s="592"/>
      <c r="R10" s="593"/>
      <c r="S10" s="525" t="s">
        <v>8933</v>
      </c>
      <c r="T10" s="526" t="s">
        <v>9723</v>
      </c>
      <c r="U10" s="526" t="s">
        <v>9844</v>
      </c>
      <c r="V10" s="526"/>
      <c r="W10" s="527" t="s">
        <v>8934</v>
      </c>
      <c r="X10" s="526" t="s">
        <v>8935</v>
      </c>
      <c r="Y10" s="528">
        <v>13.0</v>
      </c>
      <c r="Z10" s="529" t="s">
        <v>9741</v>
      </c>
      <c r="AA10" s="606" t="s">
        <v>9742</v>
      </c>
      <c r="AB10" s="530" t="str">
        <f t="shared" si="1"/>
        <v>EMAIL_SENT</v>
      </c>
      <c r="AC10" s="591"/>
      <c r="AD10" s="600">
        <v>7.0</v>
      </c>
      <c r="AE10" s="601" t="s">
        <v>9831</v>
      </c>
      <c r="AF10" s="602">
        <f>VLOOKUP($AE10,'Bespoke Speaker Intros'!$D:$E,2,False)</f>
        <v>0</v>
      </c>
      <c r="AG10" s="597">
        <f>VLOOKUP($AE10,'Bespoke Speaker Intros'!$D:$F,3,false)</f>
        <v>0</v>
      </c>
      <c r="AH10" s="611" t="s">
        <v>9845</v>
      </c>
    </row>
    <row r="11" ht="31.5" customHeight="1">
      <c r="A11" s="607" t="s">
        <v>8926</v>
      </c>
      <c r="B11" s="608">
        <v>1.0</v>
      </c>
      <c r="C11" s="608">
        <v>2.0</v>
      </c>
      <c r="D11" s="589"/>
      <c r="E11" s="576" t="s">
        <v>9813</v>
      </c>
      <c r="F11" s="577" t="s">
        <v>9548</v>
      </c>
      <c r="G11" s="578" t="s">
        <v>9818</v>
      </c>
      <c r="H11" s="576" t="s">
        <v>9820</v>
      </c>
      <c r="I11" s="576" t="s">
        <v>9723</v>
      </c>
      <c r="J11" s="579" t="s">
        <v>9819</v>
      </c>
      <c r="K11" s="591"/>
      <c r="P11" s="592"/>
      <c r="R11" s="593"/>
      <c r="S11" s="525" t="s">
        <v>9048</v>
      </c>
      <c r="T11" s="526" t="s">
        <v>9723</v>
      </c>
      <c r="U11" s="526" t="s">
        <v>9846</v>
      </c>
      <c r="V11" s="526"/>
      <c r="W11" s="527" t="s">
        <v>9486</v>
      </c>
      <c r="X11" s="526" t="s">
        <v>9487</v>
      </c>
      <c r="Y11" s="528">
        <v>39.0</v>
      </c>
      <c r="Z11" s="529" t="s">
        <v>9741</v>
      </c>
      <c r="AA11" s="609" t="s">
        <v>9847</v>
      </c>
      <c r="AB11" s="530" t="str">
        <f t="shared" si="1"/>
        <v>EMAIL_CLICKED</v>
      </c>
      <c r="AC11" s="591"/>
      <c r="AD11" s="600">
        <v>8.0</v>
      </c>
      <c r="AE11" s="601" t="s">
        <v>9831</v>
      </c>
      <c r="AF11" s="602">
        <f>VLOOKUP($AE11,'Bespoke Speaker Intros'!$D:$E,2,False)</f>
        <v>0</v>
      </c>
      <c r="AG11" s="597">
        <f>VLOOKUP($AE11,'Bespoke Speaker Intros'!$D:$F,3,false)</f>
        <v>0</v>
      </c>
      <c r="AH11" s="611"/>
    </row>
    <row r="12">
      <c r="A12" s="607" t="s">
        <v>9034</v>
      </c>
      <c r="B12" s="608">
        <v>1.0</v>
      </c>
      <c r="C12" s="608">
        <v>1.0</v>
      </c>
      <c r="D12" s="589"/>
      <c r="E12" s="576" t="s">
        <v>9813</v>
      </c>
      <c r="F12" s="577" t="s">
        <v>8908</v>
      </c>
      <c r="G12" s="578" t="s">
        <v>9848</v>
      </c>
      <c r="H12" s="576" t="s">
        <v>8908</v>
      </c>
      <c r="I12" s="576" t="s">
        <v>9723</v>
      </c>
      <c r="J12" s="579" t="s">
        <v>9825</v>
      </c>
      <c r="K12" s="591"/>
      <c r="P12" s="592"/>
      <c r="R12" s="593"/>
      <c r="S12" s="525" t="s">
        <v>9363</v>
      </c>
      <c r="T12" s="526" t="s">
        <v>9723</v>
      </c>
      <c r="U12" s="526" t="s">
        <v>9849</v>
      </c>
      <c r="V12" s="526"/>
      <c r="W12" s="527" t="s">
        <v>9364</v>
      </c>
      <c r="X12" s="526" t="s">
        <v>9365</v>
      </c>
      <c r="Y12" s="528">
        <v>5.0</v>
      </c>
      <c r="Z12" s="529" t="s">
        <v>9741</v>
      </c>
      <c r="AA12" s="594" t="s">
        <v>9808</v>
      </c>
      <c r="AB12" s="530" t="str">
        <f t="shared" si="1"/>
        <v>EMAIL_OPENED</v>
      </c>
      <c r="AC12" s="591"/>
      <c r="AD12" s="600">
        <v>9.0</v>
      </c>
      <c r="AE12" s="601" t="s">
        <v>9831</v>
      </c>
      <c r="AF12" s="602">
        <f>VLOOKUP($AE12,'Bespoke Speaker Intros'!$D:$E,2,False)</f>
        <v>0</v>
      </c>
      <c r="AG12" s="597">
        <f>VLOOKUP($AE12,'Bespoke Speaker Intros'!$D:$F,3,false)</f>
        <v>0</v>
      </c>
      <c r="AH12" s="611"/>
    </row>
    <row r="13">
      <c r="A13" s="607" t="s">
        <v>9554</v>
      </c>
      <c r="B13" s="608">
        <v>1.0</v>
      </c>
      <c r="C13" s="608">
        <v>1.0</v>
      </c>
      <c r="D13" s="589"/>
      <c r="E13" s="576" t="s">
        <v>9813</v>
      </c>
      <c r="F13" s="598" t="s">
        <v>9105</v>
      </c>
      <c r="G13" s="578" t="s">
        <v>9805</v>
      </c>
      <c r="H13" s="576"/>
      <c r="I13" s="576" t="s">
        <v>9723</v>
      </c>
      <c r="J13" s="579" t="s">
        <v>9829</v>
      </c>
      <c r="K13" s="591"/>
      <c r="P13" s="592"/>
      <c r="R13" s="593"/>
      <c r="S13" s="525" t="s">
        <v>9099</v>
      </c>
      <c r="T13" s="526" t="s">
        <v>9723</v>
      </c>
      <c r="U13" s="526" t="s">
        <v>9851</v>
      </c>
      <c r="V13" s="526"/>
      <c r="W13" s="527" t="s">
        <v>9514</v>
      </c>
      <c r="X13" s="526" t="s">
        <v>9515</v>
      </c>
      <c r="Y13" s="528">
        <v>3.0</v>
      </c>
      <c r="Z13" s="529" t="s">
        <v>9741</v>
      </c>
      <c r="AA13" s="609" t="s">
        <v>9264</v>
      </c>
      <c r="AB13" s="530" t="str">
        <f t="shared" si="1"/>
        <v>RESPONDED</v>
      </c>
      <c r="AC13" s="591"/>
      <c r="AD13" s="600">
        <v>10.0</v>
      </c>
      <c r="AE13" s="601" t="s">
        <v>9831</v>
      </c>
      <c r="AF13" s="602">
        <f>VLOOKUP($AE13,'Bespoke Speaker Intros'!$D:$E,2,False)</f>
        <v>0</v>
      </c>
      <c r="AG13" s="597">
        <f>VLOOKUP($AE13,'Bespoke Speaker Intros'!$D:$F,3,false)</f>
        <v>0</v>
      </c>
      <c r="AH13" s="611"/>
    </row>
    <row r="14">
      <c r="A14" s="607" t="s">
        <v>9608</v>
      </c>
      <c r="B14" s="608">
        <v>2.0</v>
      </c>
      <c r="C14" s="608">
        <v>2.0</v>
      </c>
      <c r="D14" s="589"/>
      <c r="E14" s="576" t="s">
        <v>9813</v>
      </c>
      <c r="F14" s="598" t="s">
        <v>9369</v>
      </c>
      <c r="G14" s="578" t="s">
        <v>9805</v>
      </c>
      <c r="H14" s="576"/>
      <c r="I14" s="576" t="s">
        <v>9723</v>
      </c>
      <c r="J14" s="579" t="s">
        <v>9852</v>
      </c>
      <c r="K14" s="591"/>
      <c r="P14" s="592"/>
      <c r="R14" s="593"/>
      <c r="S14" s="525" t="s">
        <v>9853</v>
      </c>
      <c r="T14" s="526" t="s">
        <v>9723</v>
      </c>
      <c r="U14" s="526" t="s">
        <v>9854</v>
      </c>
      <c r="V14" s="526" t="s">
        <v>9855</v>
      </c>
      <c r="W14" s="527" t="s">
        <v>9023</v>
      </c>
      <c r="X14" s="526" t="s">
        <v>9024</v>
      </c>
      <c r="Y14" s="528">
        <v>2.0</v>
      </c>
      <c r="Z14" s="529" t="s">
        <v>9741</v>
      </c>
      <c r="AA14" s="609" t="s">
        <v>9847</v>
      </c>
      <c r="AB14" s="530" t="str">
        <f t="shared" si="1"/>
        <v>EMAIL_CLICKED</v>
      </c>
      <c r="AC14" s="591"/>
      <c r="AE14" s="612" t="s">
        <v>9856</v>
      </c>
      <c r="AF14" s="613" t="s">
        <v>9857</v>
      </c>
      <c r="AG14" s="614">
        <f>SUM(AG4:AG13)</f>
        <v>28</v>
      </c>
      <c r="AH14" s="611"/>
    </row>
    <row r="15">
      <c r="A15" s="607" t="s">
        <v>8988</v>
      </c>
      <c r="B15" s="608">
        <v>1.0</v>
      </c>
      <c r="C15" s="608">
        <v>1.0</v>
      </c>
      <c r="D15" s="589"/>
      <c r="E15" s="576" t="s">
        <v>9813</v>
      </c>
      <c r="F15" s="577" t="s">
        <v>9443</v>
      </c>
      <c r="G15" s="578" t="s">
        <v>9848</v>
      </c>
      <c r="H15" s="576" t="s">
        <v>9858</v>
      </c>
      <c r="I15" s="576" t="s">
        <v>9723</v>
      </c>
      <c r="J15" s="579" t="s">
        <v>9859</v>
      </c>
      <c r="K15" s="591"/>
      <c r="P15" s="592"/>
      <c r="R15" s="593"/>
      <c r="S15" s="525" t="s">
        <v>9861</v>
      </c>
      <c r="T15" s="526" t="s">
        <v>9723</v>
      </c>
      <c r="U15" s="526" t="s">
        <v>9824</v>
      </c>
      <c r="V15" s="526" t="s">
        <v>9862</v>
      </c>
      <c r="W15" s="615" t="e">
        <v>#N/A</v>
      </c>
      <c r="X15" s="616" t="e">
        <v>#N/A</v>
      </c>
      <c r="Y15" s="616" t="e">
        <v>#N/A</v>
      </c>
      <c r="Z15" s="529" t="s">
        <v>9741</v>
      </c>
      <c r="AA15" s="609" t="s">
        <v>9264</v>
      </c>
      <c r="AB15" s="530" t="str">
        <f t="shared" si="1"/>
        <v>RESPONDED</v>
      </c>
      <c r="AC15" s="591"/>
      <c r="AE15" s="617"/>
      <c r="AF15" s="618"/>
      <c r="AG15" s="581"/>
      <c r="AH15" s="611"/>
    </row>
    <row r="16">
      <c r="A16" s="607" t="s">
        <v>9248</v>
      </c>
      <c r="B16" s="608">
        <v>1.0</v>
      </c>
      <c r="C16" s="608">
        <v>1.0</v>
      </c>
      <c r="D16" s="589"/>
      <c r="E16" s="576" t="s">
        <v>9813</v>
      </c>
      <c r="F16" s="598" t="s">
        <v>8921</v>
      </c>
      <c r="G16" s="578" t="s">
        <v>9805</v>
      </c>
      <c r="H16" s="576"/>
      <c r="I16" s="576" t="s">
        <v>9723</v>
      </c>
      <c r="J16" s="579" t="s">
        <v>9833</v>
      </c>
      <c r="K16" s="591"/>
      <c r="P16" s="592"/>
      <c r="R16" s="593"/>
      <c r="S16" s="527" t="s">
        <v>9863</v>
      </c>
      <c r="T16" s="526" t="s">
        <v>9723</v>
      </c>
      <c r="U16" s="526" t="s">
        <v>9854</v>
      </c>
      <c r="V16" s="526" t="s">
        <v>9855</v>
      </c>
      <c r="W16" s="527" t="s">
        <v>9465</v>
      </c>
      <c r="X16" s="526" t="s">
        <v>9466</v>
      </c>
      <c r="Y16" s="528">
        <v>6.0</v>
      </c>
      <c r="Z16" s="529" t="s">
        <v>9741</v>
      </c>
      <c r="AA16" s="609" t="s">
        <v>9847</v>
      </c>
      <c r="AB16" s="530" t="str">
        <f t="shared" si="1"/>
        <v>EMAIL_CLICKED</v>
      </c>
      <c r="AC16" s="591"/>
      <c r="AE16" s="617"/>
      <c r="AF16" s="618"/>
      <c r="AG16" s="581"/>
      <c r="AH16" s="611"/>
    </row>
    <row r="17">
      <c r="A17" s="607" t="s">
        <v>9587</v>
      </c>
      <c r="B17" s="608">
        <v>1.0</v>
      </c>
      <c r="C17" s="608">
        <v>1.0</v>
      </c>
      <c r="D17" s="589"/>
      <c r="E17" s="576" t="s">
        <v>9813</v>
      </c>
      <c r="F17" s="577" t="s">
        <v>8938</v>
      </c>
      <c r="G17" s="578" t="s">
        <v>9805</v>
      </c>
      <c r="H17" s="576" t="s">
        <v>9864</v>
      </c>
      <c r="I17" s="576" t="s">
        <v>8920</v>
      </c>
      <c r="J17" s="619" t="s">
        <v>9865</v>
      </c>
      <c r="K17" s="591"/>
      <c r="P17" s="592"/>
      <c r="R17" s="593"/>
      <c r="S17" s="620" t="s">
        <v>8990</v>
      </c>
      <c r="T17" s="526" t="s">
        <v>9723</v>
      </c>
      <c r="U17" s="526" t="s">
        <v>9867</v>
      </c>
      <c r="V17" s="526" t="s">
        <v>9868</v>
      </c>
      <c r="W17" s="527" t="s">
        <v>8991</v>
      </c>
      <c r="X17" s="526" t="s">
        <v>8992</v>
      </c>
      <c r="Y17" s="528">
        <v>6.0</v>
      </c>
      <c r="Z17" s="529" t="s">
        <v>9741</v>
      </c>
      <c r="AA17" s="606" t="s">
        <v>9742</v>
      </c>
      <c r="AB17" s="530" t="str">
        <f t="shared" si="1"/>
        <v>EMAIL_SENT</v>
      </c>
      <c r="AC17" s="591"/>
      <c r="AE17" s="617"/>
      <c r="AF17" s="621"/>
      <c r="AG17" s="581"/>
      <c r="AH17" s="611"/>
    </row>
    <row r="18">
      <c r="A18" s="607" t="s">
        <v>9315</v>
      </c>
      <c r="B18" s="608">
        <v>1.0</v>
      </c>
      <c r="C18" s="608">
        <v>2.0</v>
      </c>
      <c r="D18" s="589"/>
      <c r="E18" s="576" t="s">
        <v>9813</v>
      </c>
      <c r="F18" s="598" t="s">
        <v>9145</v>
      </c>
      <c r="G18" s="578" t="s">
        <v>9805</v>
      </c>
      <c r="H18" s="622"/>
      <c r="I18" s="576" t="s">
        <v>9723</v>
      </c>
      <c r="J18" s="579" t="s">
        <v>9869</v>
      </c>
      <c r="K18" s="591"/>
      <c r="P18" s="592"/>
      <c r="R18" s="593"/>
      <c r="S18" s="525" t="s">
        <v>9624</v>
      </c>
      <c r="T18" s="526" t="s">
        <v>9723</v>
      </c>
      <c r="U18" s="526" t="s">
        <v>9870</v>
      </c>
      <c r="V18" s="526"/>
      <c r="W18" s="527" t="s">
        <v>9625</v>
      </c>
      <c r="X18" s="526" t="s">
        <v>9626</v>
      </c>
      <c r="Y18" s="528">
        <v>4.0</v>
      </c>
      <c r="Z18" s="529" t="s">
        <v>9741</v>
      </c>
      <c r="AA18" s="606" t="s">
        <v>9742</v>
      </c>
      <c r="AB18" s="530" t="str">
        <f t="shared" si="1"/>
        <v>EMAIL_SENT</v>
      </c>
      <c r="AC18" s="591"/>
      <c r="AE18" s="617"/>
      <c r="AF18" s="618"/>
      <c r="AG18" s="581"/>
      <c r="AH18" s="611"/>
    </row>
    <row r="19">
      <c r="A19" s="607" t="s">
        <v>9595</v>
      </c>
      <c r="B19" s="608">
        <v>1.0</v>
      </c>
      <c r="C19" s="608">
        <v>1.0</v>
      </c>
      <c r="D19" s="589"/>
      <c r="E19" s="576" t="s">
        <v>9813</v>
      </c>
      <c r="F19" s="598" t="s">
        <v>8967</v>
      </c>
      <c r="G19" s="578" t="s">
        <v>9805</v>
      </c>
      <c r="H19" s="622"/>
      <c r="I19" s="576" t="s">
        <v>9723</v>
      </c>
      <c r="J19" s="579" t="s">
        <v>9871</v>
      </c>
      <c r="K19" s="591"/>
      <c r="P19" s="592"/>
      <c r="R19" s="593"/>
      <c r="S19" s="525" t="s">
        <v>9685</v>
      </c>
      <c r="T19" s="526" t="s">
        <v>9723</v>
      </c>
      <c r="U19" s="526" t="s">
        <v>9872</v>
      </c>
      <c r="V19" s="526"/>
      <c r="W19" s="527" t="s">
        <v>9686</v>
      </c>
      <c r="X19" s="526" t="s">
        <v>9687</v>
      </c>
      <c r="Y19" s="528">
        <v>3.0</v>
      </c>
      <c r="Z19" s="529" t="s">
        <v>9741</v>
      </c>
      <c r="AA19" s="594" t="s">
        <v>9808</v>
      </c>
      <c r="AB19" s="530" t="str">
        <f t="shared" si="1"/>
        <v>EMAIL_OPENED</v>
      </c>
      <c r="AC19" s="591"/>
      <c r="AE19" s="623"/>
      <c r="AF19" s="618"/>
      <c r="AH19" s="611"/>
    </row>
    <row r="20">
      <c r="A20" s="607" t="s">
        <v>9356</v>
      </c>
      <c r="B20" s="608">
        <v>1.0</v>
      </c>
      <c r="C20" s="608">
        <v>4.0</v>
      </c>
      <c r="D20" s="589"/>
      <c r="E20" s="576" t="s">
        <v>9813</v>
      </c>
      <c r="F20" s="577" t="s">
        <v>9496</v>
      </c>
      <c r="G20" s="578" t="s">
        <v>9805</v>
      </c>
      <c r="H20" s="622"/>
      <c r="I20" s="576" t="s">
        <v>9723</v>
      </c>
      <c r="J20" s="579" t="s">
        <v>9873</v>
      </c>
      <c r="K20" s="591"/>
      <c r="P20" s="592"/>
      <c r="R20" s="593"/>
      <c r="S20" s="525" t="s">
        <v>9656</v>
      </c>
      <c r="T20" s="526" t="s">
        <v>9723</v>
      </c>
      <c r="U20" s="526" t="s">
        <v>9875</v>
      </c>
      <c r="V20" s="526" t="s">
        <v>9876</v>
      </c>
      <c r="W20" s="527" t="s">
        <v>9657</v>
      </c>
      <c r="X20" s="526" t="s">
        <v>9658</v>
      </c>
      <c r="Y20" s="528">
        <v>3.0</v>
      </c>
      <c r="Z20" s="529" t="s">
        <v>9741</v>
      </c>
      <c r="AA20" s="594" t="s">
        <v>9808</v>
      </c>
      <c r="AB20" s="530" t="str">
        <f t="shared" si="1"/>
        <v>EMAIL_OPENED</v>
      </c>
      <c r="AC20" s="591"/>
      <c r="AE20" s="617"/>
      <c r="AF20" s="618"/>
      <c r="AG20" s="581"/>
      <c r="AH20" s="611"/>
    </row>
    <row r="21">
      <c r="A21" s="607" t="s">
        <v>9648</v>
      </c>
      <c r="B21" s="608">
        <v>1.0</v>
      </c>
      <c r="C21" s="608">
        <v>1.0</v>
      </c>
      <c r="D21" s="589"/>
      <c r="E21" s="576" t="s">
        <v>9813</v>
      </c>
      <c r="F21" s="598" t="s">
        <v>8964</v>
      </c>
      <c r="G21" s="578" t="s">
        <v>9805</v>
      </c>
      <c r="H21" s="622"/>
      <c r="I21" s="576" t="s">
        <v>8920</v>
      </c>
      <c r="J21" s="604" t="s">
        <v>9877</v>
      </c>
      <c r="K21" s="591"/>
      <c r="P21" s="592"/>
      <c r="R21" s="593"/>
      <c r="S21" s="525" t="s">
        <v>9670</v>
      </c>
      <c r="T21" s="526" t="s">
        <v>9723</v>
      </c>
      <c r="U21" s="526" t="s">
        <v>9878</v>
      </c>
      <c r="V21" s="526"/>
      <c r="W21" s="527" t="s">
        <v>9671</v>
      </c>
      <c r="X21" s="526" t="s">
        <v>9672</v>
      </c>
      <c r="Y21" s="528">
        <v>5.0</v>
      </c>
      <c r="Z21" s="529" t="s">
        <v>9741</v>
      </c>
      <c r="AA21" s="609" t="s">
        <v>9264</v>
      </c>
      <c r="AB21" s="530" t="str">
        <f t="shared" si="1"/>
        <v>RESPONDED</v>
      </c>
      <c r="AC21" s="591"/>
      <c r="AE21" s="617"/>
      <c r="AF21" s="618"/>
      <c r="AG21" s="581"/>
    </row>
    <row r="22">
      <c r="A22" s="607" t="s">
        <v>9041</v>
      </c>
      <c r="B22" s="608">
        <v>1.0</v>
      </c>
      <c r="C22" s="608">
        <v>6.0</v>
      </c>
      <c r="D22" s="589"/>
      <c r="E22" s="576" t="s">
        <v>9813</v>
      </c>
      <c r="F22" s="598" t="s">
        <v>9372</v>
      </c>
      <c r="G22" s="578" t="s">
        <v>9805</v>
      </c>
      <c r="H22" s="622"/>
      <c r="I22" s="576" t="s">
        <v>9723</v>
      </c>
      <c r="J22" s="579" t="s">
        <v>9879</v>
      </c>
      <c r="K22" s="591"/>
      <c r="P22" s="592"/>
      <c r="R22" s="593"/>
      <c r="S22" s="624" t="s">
        <v>9298</v>
      </c>
      <c r="T22" s="526" t="s">
        <v>9723</v>
      </c>
      <c r="U22" s="526" t="s">
        <v>9881</v>
      </c>
      <c r="V22" s="526"/>
      <c r="W22" s="527" t="s">
        <v>9299</v>
      </c>
      <c r="X22" s="526" t="s">
        <v>9287</v>
      </c>
      <c r="Y22" s="528">
        <v>6.0</v>
      </c>
      <c r="Z22" s="529" t="s">
        <v>9741</v>
      </c>
      <c r="AA22" s="609" t="s">
        <v>9847</v>
      </c>
      <c r="AB22" s="530" t="str">
        <f t="shared" si="1"/>
        <v>EMAIL_CLICKED</v>
      </c>
      <c r="AC22" s="591"/>
      <c r="AE22" s="617"/>
      <c r="AF22" s="618"/>
      <c r="AG22" s="581"/>
    </row>
    <row r="23">
      <c r="A23" s="625" t="s">
        <v>9548</v>
      </c>
      <c r="B23" s="608">
        <v>1.0</v>
      </c>
      <c r="C23" s="608">
        <v>1.0</v>
      </c>
      <c r="D23" s="589"/>
      <c r="E23" s="576" t="s">
        <v>9813</v>
      </c>
      <c r="F23" s="598" t="s">
        <v>9086</v>
      </c>
      <c r="G23" s="578" t="s">
        <v>9805</v>
      </c>
      <c r="H23" s="622"/>
      <c r="I23" s="576" t="s">
        <v>8920</v>
      </c>
      <c r="J23" s="70" t="s">
        <v>9882</v>
      </c>
      <c r="K23" s="591"/>
      <c r="P23" s="592"/>
      <c r="R23" s="593"/>
      <c r="S23" s="525" t="s">
        <v>9356</v>
      </c>
      <c r="T23" s="526" t="s">
        <v>9723</v>
      </c>
      <c r="U23" s="526" t="s">
        <v>9840</v>
      </c>
      <c r="V23" s="526"/>
      <c r="W23" s="626" t="s">
        <v>9883</v>
      </c>
      <c r="X23" s="526"/>
      <c r="Y23" s="627">
        <v>45.0</v>
      </c>
      <c r="Z23" s="628" t="s">
        <v>9741</v>
      </c>
      <c r="AA23" s="606" t="s">
        <v>9742</v>
      </c>
      <c r="AB23" s="530" t="str">
        <f t="shared" si="1"/>
        <v>EMAIL_SENT</v>
      </c>
      <c r="AC23" s="591"/>
      <c r="AE23" s="617"/>
      <c r="AF23" s="618"/>
      <c r="AG23" s="581"/>
    </row>
    <row r="24" ht="24.75" customHeight="1">
      <c r="A24" s="607" t="s">
        <v>9691</v>
      </c>
      <c r="B24" s="608">
        <v>1.0</v>
      </c>
      <c r="C24" s="608">
        <v>1.0</v>
      </c>
      <c r="D24" s="589"/>
      <c r="E24" s="576" t="s">
        <v>9813</v>
      </c>
      <c r="F24" s="598" t="s">
        <v>9078</v>
      </c>
      <c r="G24" s="578" t="s">
        <v>9805</v>
      </c>
      <c r="H24" s="622"/>
      <c r="I24" s="622"/>
      <c r="J24" s="579" t="s">
        <v>9884</v>
      </c>
      <c r="K24" s="591"/>
      <c r="P24" s="592"/>
      <c r="R24" s="593"/>
      <c r="S24" s="525" t="s">
        <v>9226</v>
      </c>
      <c r="T24" s="526" t="s">
        <v>9723</v>
      </c>
      <c r="U24" s="526" t="s">
        <v>9885</v>
      </c>
      <c r="V24" s="526"/>
      <c r="W24" s="629" t="s">
        <v>9886</v>
      </c>
      <c r="X24" s="526"/>
      <c r="Y24" s="627">
        <v>8.0</v>
      </c>
      <c r="Z24" s="628" t="s">
        <v>9741</v>
      </c>
      <c r="AA24" s="594" t="s">
        <v>9808</v>
      </c>
      <c r="AB24" s="530" t="str">
        <f t="shared" si="1"/>
        <v>EMAIL_OPENED</v>
      </c>
      <c r="AC24" s="591"/>
      <c r="AE24" s="617"/>
      <c r="AF24" s="618"/>
      <c r="AG24" s="581"/>
    </row>
    <row r="25" ht="24.75" customHeight="1">
      <c r="A25" s="607" t="s">
        <v>9226</v>
      </c>
      <c r="B25" s="608">
        <v>1.0</v>
      </c>
      <c r="C25" s="608">
        <v>2.0</v>
      </c>
      <c r="D25" s="589"/>
      <c r="E25" s="576" t="s">
        <v>9813</v>
      </c>
      <c r="F25" s="577" t="s">
        <v>9477</v>
      </c>
      <c r="G25" s="578" t="s">
        <v>9805</v>
      </c>
      <c r="H25" s="622"/>
      <c r="I25" s="576" t="s">
        <v>9723</v>
      </c>
      <c r="J25" s="630" t="s">
        <v>9887</v>
      </c>
      <c r="K25" s="591"/>
      <c r="P25" s="592"/>
      <c r="R25" s="593"/>
      <c r="S25" s="525" t="s">
        <v>9366</v>
      </c>
      <c r="T25" s="526" t="s">
        <v>9723</v>
      </c>
      <c r="U25" s="526" t="s">
        <v>9888</v>
      </c>
      <c r="V25" s="526"/>
      <c r="W25" s="631" t="s">
        <v>9889</v>
      </c>
      <c r="X25" s="526"/>
      <c r="Y25" s="528">
        <v>51.0</v>
      </c>
      <c r="Z25" s="628" t="s">
        <v>9741</v>
      </c>
      <c r="AA25" s="609" t="s">
        <v>9264</v>
      </c>
      <c r="AB25" s="530" t="str">
        <f t="shared" si="1"/>
        <v>RESPONDED</v>
      </c>
      <c r="AC25" s="591"/>
      <c r="AE25" s="632"/>
      <c r="AF25" s="618"/>
      <c r="AG25" s="633"/>
    </row>
    <row r="26" ht="24.75" customHeight="1">
      <c r="A26" s="607" t="s">
        <v>9105</v>
      </c>
      <c r="B26" s="608">
        <v>1.0</v>
      </c>
      <c r="C26" s="608">
        <v>1.0</v>
      </c>
      <c r="D26" s="589"/>
      <c r="E26" s="576" t="s">
        <v>9813</v>
      </c>
      <c r="F26" s="577" t="s">
        <v>8988</v>
      </c>
      <c r="G26" s="578" t="s">
        <v>9818</v>
      </c>
      <c r="H26" s="576" t="s">
        <v>9890</v>
      </c>
      <c r="I26" s="576" t="s">
        <v>9723</v>
      </c>
      <c r="J26" s="579" t="s">
        <v>9891</v>
      </c>
      <c r="K26" s="591"/>
      <c r="P26" s="592"/>
      <c r="R26" s="593"/>
      <c r="S26" s="525" t="s">
        <v>9691</v>
      </c>
      <c r="T26" s="526" t="s">
        <v>9723</v>
      </c>
      <c r="U26" s="526" t="s">
        <v>9892</v>
      </c>
      <c r="V26" s="526" t="s">
        <v>9691</v>
      </c>
      <c r="W26" s="527" t="s">
        <v>9692</v>
      </c>
      <c r="X26" s="526" t="s">
        <v>9693</v>
      </c>
      <c r="Y26" s="528">
        <v>2.0</v>
      </c>
      <c r="Z26" s="628" t="s">
        <v>9741</v>
      </c>
      <c r="AA26" s="606" t="s">
        <v>9742</v>
      </c>
      <c r="AB26" s="530" t="str">
        <f t="shared" si="1"/>
        <v>EMAIL_SENT</v>
      </c>
      <c r="AC26" s="591"/>
      <c r="AE26" s="617"/>
      <c r="AF26" s="618"/>
      <c r="AG26" s="581"/>
    </row>
    <row r="27">
      <c r="A27" s="607" t="s">
        <v>9369</v>
      </c>
      <c r="B27" s="608">
        <v>1.0</v>
      </c>
      <c r="C27" s="608">
        <v>1.0</v>
      </c>
      <c r="D27" s="589"/>
      <c r="E27" s="576" t="s">
        <v>9813</v>
      </c>
      <c r="F27" s="598" t="s">
        <v>9400</v>
      </c>
      <c r="G27" s="578" t="s">
        <v>9805</v>
      </c>
      <c r="H27" s="622"/>
      <c r="I27" s="576" t="s">
        <v>9723</v>
      </c>
      <c r="J27" s="579" t="s">
        <v>9893</v>
      </c>
      <c r="K27" s="591"/>
      <c r="P27" s="592"/>
      <c r="R27" s="593"/>
      <c r="S27" s="624" t="s">
        <v>9855</v>
      </c>
      <c r="T27" s="526" t="s">
        <v>9723</v>
      </c>
      <c r="U27" s="526" t="s">
        <v>9854</v>
      </c>
      <c r="V27" s="526" t="s">
        <v>9855</v>
      </c>
      <c r="W27" s="527" t="s">
        <v>9460</v>
      </c>
      <c r="X27" s="526" t="s">
        <v>9461</v>
      </c>
      <c r="Y27" s="528">
        <v>3.0</v>
      </c>
      <c r="Z27" s="628" t="s">
        <v>9741</v>
      </c>
      <c r="AA27" s="606" t="s">
        <v>9742</v>
      </c>
      <c r="AB27" s="530" t="str">
        <f t="shared" si="1"/>
        <v>EMAIL_SENT</v>
      </c>
      <c r="AC27" s="591"/>
      <c r="AE27" s="617"/>
      <c r="AF27" s="618"/>
      <c r="AG27" s="581"/>
    </row>
    <row r="28">
      <c r="A28" s="607" t="s">
        <v>8794</v>
      </c>
      <c r="B28" s="608">
        <v>1.0</v>
      </c>
      <c r="C28" s="608">
        <v>1.0</v>
      </c>
      <c r="D28" s="589"/>
      <c r="E28" s="576" t="s">
        <v>9895</v>
      </c>
      <c r="F28" s="577" t="s">
        <v>9600</v>
      </c>
      <c r="G28" s="578" t="s">
        <v>9818</v>
      </c>
      <c r="H28" s="634" t="s">
        <v>9896</v>
      </c>
      <c r="I28" s="622"/>
      <c r="J28" s="576" t="s">
        <v>9897</v>
      </c>
      <c r="K28" s="591"/>
      <c r="P28" s="592"/>
      <c r="R28" s="593"/>
      <c r="S28" s="624" t="s">
        <v>9037</v>
      </c>
      <c r="T28" s="526" t="s">
        <v>9723</v>
      </c>
      <c r="U28" s="526" t="s">
        <v>9898</v>
      </c>
      <c r="V28" s="526" t="s">
        <v>9037</v>
      </c>
      <c r="W28" s="527" t="s">
        <v>9038</v>
      </c>
      <c r="X28" s="526" t="s">
        <v>9039</v>
      </c>
      <c r="Y28" s="528">
        <v>4.0</v>
      </c>
      <c r="Z28" s="628" t="s">
        <v>9741</v>
      </c>
      <c r="AA28" s="609" t="s">
        <v>9264</v>
      </c>
      <c r="AB28" s="530" t="str">
        <f t="shared" si="1"/>
        <v>RESPONDED</v>
      </c>
      <c r="AC28" s="591"/>
      <c r="AE28" s="617"/>
      <c r="AF28" s="621"/>
      <c r="AG28" s="581"/>
    </row>
    <row r="29">
      <c r="A29" s="607" t="s">
        <v>8921</v>
      </c>
      <c r="B29" s="608">
        <v>1.0</v>
      </c>
      <c r="C29" s="608">
        <v>1.0</v>
      </c>
      <c r="D29" s="589"/>
      <c r="E29" s="576" t="s">
        <v>9895</v>
      </c>
      <c r="F29" s="598" t="s">
        <v>9899</v>
      </c>
      <c r="G29" s="578" t="s">
        <v>9805</v>
      </c>
      <c r="H29" s="622"/>
      <c r="I29" s="576" t="s">
        <v>9723</v>
      </c>
      <c r="J29" s="579" t="s">
        <v>9900</v>
      </c>
      <c r="K29" s="591"/>
      <c r="P29" s="592"/>
      <c r="R29" s="593"/>
      <c r="S29" s="624" t="s">
        <v>9620</v>
      </c>
      <c r="T29" s="526" t="s">
        <v>9723</v>
      </c>
      <c r="U29" s="526" t="s">
        <v>9902</v>
      </c>
      <c r="V29" s="526" t="s">
        <v>9620</v>
      </c>
      <c r="W29" s="527" t="s">
        <v>9621</v>
      </c>
      <c r="X29" s="526" t="s">
        <v>9622</v>
      </c>
      <c r="Y29" s="528">
        <v>5.0</v>
      </c>
      <c r="Z29" s="628" t="s">
        <v>9741</v>
      </c>
      <c r="AA29" s="606" t="s">
        <v>9742</v>
      </c>
      <c r="AB29" s="530" t="str">
        <f t="shared" si="1"/>
        <v>EMAIL_SENT</v>
      </c>
      <c r="AC29" s="591"/>
      <c r="AE29" s="617"/>
      <c r="AF29" s="635"/>
      <c r="AG29" s="581"/>
    </row>
    <row r="30">
      <c r="A30" s="607" t="s">
        <v>8938</v>
      </c>
      <c r="B30" s="608">
        <v>1.0</v>
      </c>
      <c r="C30" s="608">
        <v>2.0</v>
      </c>
      <c r="D30" s="589"/>
      <c r="E30" s="576" t="s">
        <v>9895</v>
      </c>
      <c r="F30" s="598" t="s">
        <v>9166</v>
      </c>
      <c r="G30" s="578" t="s">
        <v>9805</v>
      </c>
      <c r="H30" s="622"/>
      <c r="I30" s="576" t="s">
        <v>9723</v>
      </c>
      <c r="J30" s="579" t="s">
        <v>9903</v>
      </c>
      <c r="K30" s="591"/>
      <c r="P30" s="592"/>
      <c r="R30" s="593"/>
      <c r="S30" s="624" t="s">
        <v>9641</v>
      </c>
      <c r="T30" s="526" t="s">
        <v>9723</v>
      </c>
      <c r="U30" s="526" t="s">
        <v>9904</v>
      </c>
      <c r="V30" s="526" t="s">
        <v>9641</v>
      </c>
      <c r="W30" s="527" t="s">
        <v>9642</v>
      </c>
      <c r="X30" s="526" t="s">
        <v>9643</v>
      </c>
      <c r="Y30" s="528">
        <v>2.0</v>
      </c>
      <c r="Z30" s="628" t="s">
        <v>9741</v>
      </c>
      <c r="AA30" s="606" t="s">
        <v>9742</v>
      </c>
      <c r="AB30" s="530" t="str">
        <f t="shared" si="1"/>
        <v>EMAIL_SENT</v>
      </c>
      <c r="AC30" s="591"/>
      <c r="AE30" s="617"/>
      <c r="AF30" s="635"/>
      <c r="AG30" s="581"/>
    </row>
    <row r="31">
      <c r="A31" s="607" t="s">
        <v>9145</v>
      </c>
      <c r="B31" s="608">
        <v>1.0</v>
      </c>
      <c r="C31" s="608">
        <v>1.0</v>
      </c>
      <c r="D31" s="589"/>
      <c r="E31" s="576" t="s">
        <v>9895</v>
      </c>
      <c r="F31" s="598" t="s">
        <v>9457</v>
      </c>
      <c r="G31" s="578" t="s">
        <v>9805</v>
      </c>
      <c r="H31" s="622"/>
      <c r="I31" s="576" t="s">
        <v>9723</v>
      </c>
      <c r="J31" s="579" t="s">
        <v>9905</v>
      </c>
      <c r="K31" s="591"/>
      <c r="P31" s="592"/>
      <c r="R31" s="593"/>
      <c r="S31" s="525" t="s">
        <v>9304</v>
      </c>
      <c r="T31" s="526" t="s">
        <v>9723</v>
      </c>
      <c r="U31" s="526" t="s">
        <v>9906</v>
      </c>
      <c r="V31" s="526"/>
      <c r="W31" s="527" t="s">
        <v>9332</v>
      </c>
      <c r="X31" s="526" t="s">
        <v>9335</v>
      </c>
      <c r="Y31" s="528">
        <v>16.0</v>
      </c>
      <c r="Z31" s="628" t="s">
        <v>9741</v>
      </c>
      <c r="AA31" s="606" t="s">
        <v>9742</v>
      </c>
      <c r="AB31" s="530" t="str">
        <f t="shared" si="1"/>
        <v>EMAIL_SENT</v>
      </c>
      <c r="AC31" s="591"/>
      <c r="AE31" s="617"/>
      <c r="AF31" s="635"/>
      <c r="AG31" s="581"/>
    </row>
    <row r="32">
      <c r="A32" s="607" t="s">
        <v>9573</v>
      </c>
      <c r="B32" s="608">
        <v>1.0</v>
      </c>
      <c r="C32" s="608">
        <v>1.0</v>
      </c>
      <c r="D32" s="589"/>
      <c r="E32" s="576" t="s">
        <v>9895</v>
      </c>
      <c r="F32" s="598" t="s">
        <v>9516</v>
      </c>
      <c r="G32" s="578" t="s">
        <v>9805</v>
      </c>
      <c r="H32" s="622"/>
      <c r="I32" s="576" t="s">
        <v>9723</v>
      </c>
      <c r="J32" s="579" t="s">
        <v>9907</v>
      </c>
      <c r="K32" s="591"/>
      <c r="P32" s="592"/>
      <c r="R32" s="593"/>
      <c r="S32" s="525" t="s">
        <v>9617</v>
      </c>
      <c r="T32" s="526" t="s">
        <v>9723</v>
      </c>
      <c r="U32" s="526" t="s">
        <v>9908</v>
      </c>
      <c r="V32" s="526" t="s">
        <v>9617</v>
      </c>
      <c r="W32" s="527" t="s">
        <v>9618</v>
      </c>
      <c r="X32" s="526" t="s">
        <v>9619</v>
      </c>
      <c r="Y32" s="528">
        <v>5.0</v>
      </c>
      <c r="Z32" s="628" t="s">
        <v>9741</v>
      </c>
      <c r="AA32" s="606" t="s">
        <v>9742</v>
      </c>
      <c r="AB32" s="530" t="str">
        <f t="shared" si="1"/>
        <v>EMAIL_SENT</v>
      </c>
      <c r="AC32" s="591"/>
      <c r="AE32" s="617"/>
      <c r="AF32" s="635"/>
      <c r="AG32" s="581"/>
    </row>
    <row r="33">
      <c r="A33" s="607" t="s">
        <v>9290</v>
      </c>
      <c r="B33" s="608">
        <v>1.0</v>
      </c>
      <c r="C33" s="608">
        <v>1.0</v>
      </c>
      <c r="D33" s="589"/>
      <c r="E33" s="576" t="s">
        <v>9895</v>
      </c>
      <c r="F33" s="598" t="s">
        <v>8916</v>
      </c>
      <c r="G33" s="578" t="s">
        <v>9805</v>
      </c>
      <c r="H33" s="622"/>
      <c r="I33" s="576" t="s">
        <v>8920</v>
      </c>
      <c r="J33" s="604" t="s">
        <v>9909</v>
      </c>
      <c r="K33" s="591"/>
      <c r="P33" s="592"/>
      <c r="R33" s="593"/>
      <c r="S33" s="525" t="s">
        <v>9648</v>
      </c>
      <c r="T33" s="526" t="s">
        <v>9723</v>
      </c>
      <c r="U33" s="526" t="s">
        <v>9910</v>
      </c>
      <c r="V33" s="526" t="s">
        <v>9648</v>
      </c>
      <c r="W33" s="527" t="s">
        <v>9649</v>
      </c>
      <c r="X33" s="526" t="s">
        <v>9650</v>
      </c>
      <c r="Y33" s="528">
        <v>3.0</v>
      </c>
      <c r="Z33" s="628" t="s">
        <v>9741</v>
      </c>
      <c r="AA33" s="609" t="s">
        <v>9264</v>
      </c>
      <c r="AB33" s="530" t="str">
        <f t="shared" si="1"/>
        <v>RESPONDED</v>
      </c>
      <c r="AC33" s="591"/>
      <c r="AE33" s="617"/>
      <c r="AF33" s="618"/>
      <c r="AG33" s="581"/>
    </row>
    <row r="34">
      <c r="A34" s="607" t="s">
        <v>8967</v>
      </c>
      <c r="B34" s="608">
        <v>1.0</v>
      </c>
      <c r="C34" s="608">
        <v>12.0</v>
      </c>
      <c r="D34" s="589"/>
      <c r="E34" s="576" t="s">
        <v>9895</v>
      </c>
      <c r="F34" s="598" t="s">
        <v>9094</v>
      </c>
      <c r="G34" s="578" t="s">
        <v>9828</v>
      </c>
      <c r="H34" s="622"/>
      <c r="I34" s="576" t="s">
        <v>9723</v>
      </c>
      <c r="J34" s="636"/>
      <c r="K34" s="591"/>
      <c r="P34" s="592"/>
      <c r="R34" s="593"/>
      <c r="S34" s="525" t="s">
        <v>9630</v>
      </c>
      <c r="T34" s="526" t="s">
        <v>9723</v>
      </c>
      <c r="U34" s="526" t="s">
        <v>9911</v>
      </c>
      <c r="V34" s="526" t="s">
        <v>9630</v>
      </c>
      <c r="W34" s="527" t="s">
        <v>9631</v>
      </c>
      <c r="X34" s="526" t="s">
        <v>9632</v>
      </c>
      <c r="Y34" s="528">
        <v>4.0</v>
      </c>
      <c r="Z34" s="628" t="s">
        <v>9741</v>
      </c>
      <c r="AA34" s="606" t="s">
        <v>9742</v>
      </c>
      <c r="AB34" s="530" t="str">
        <f t="shared" si="1"/>
        <v>EMAIL_SENT</v>
      </c>
      <c r="AC34" s="591"/>
      <c r="AE34" s="617"/>
      <c r="AF34" s="618"/>
      <c r="AG34" s="581"/>
    </row>
    <row r="35">
      <c r="A35" s="607" t="s">
        <v>9496</v>
      </c>
      <c r="B35" s="608">
        <v>1.0</v>
      </c>
      <c r="C35" s="608">
        <v>7.0</v>
      </c>
      <c r="D35" s="589"/>
      <c r="E35" s="576" t="s">
        <v>9895</v>
      </c>
      <c r="F35" s="598" t="s">
        <v>9473</v>
      </c>
      <c r="G35" s="578" t="s">
        <v>9805</v>
      </c>
      <c r="H35" s="622"/>
      <c r="I35" s="576" t="s">
        <v>9723</v>
      </c>
      <c r="J35" s="579" t="s">
        <v>9912</v>
      </c>
      <c r="K35" s="591"/>
      <c r="P35" s="592"/>
      <c r="R35" s="593"/>
      <c r="S35" s="525" t="s">
        <v>9041</v>
      </c>
      <c r="T35" s="526" t="s">
        <v>8920</v>
      </c>
      <c r="U35" s="567" t="s">
        <v>9842</v>
      </c>
      <c r="V35" s="567" t="s">
        <v>9842</v>
      </c>
      <c r="W35" s="637" t="s">
        <v>9042</v>
      </c>
      <c r="X35" s="526" t="s">
        <v>9043</v>
      </c>
      <c r="Y35" s="528">
        <v>3.0</v>
      </c>
      <c r="Z35" s="529" t="s">
        <v>9913</v>
      </c>
      <c r="AA35" s="638" t="s">
        <v>9914</v>
      </c>
      <c r="AB35" s="639" t="s">
        <v>9915</v>
      </c>
      <c r="AC35" s="591"/>
      <c r="AE35" s="617"/>
      <c r="AF35" s="618"/>
      <c r="AG35" s="581"/>
    </row>
    <row r="36">
      <c r="A36" s="607" t="s">
        <v>8964</v>
      </c>
      <c r="B36" s="608">
        <v>1.0</v>
      </c>
      <c r="C36" s="608">
        <v>1.0</v>
      </c>
      <c r="D36" s="589"/>
      <c r="E36" s="576" t="s">
        <v>9895</v>
      </c>
      <c r="F36" s="598" t="s">
        <v>9416</v>
      </c>
      <c r="G36" s="640"/>
      <c r="H36" s="622"/>
      <c r="I36" s="622"/>
      <c r="J36" s="636"/>
      <c r="K36" s="591"/>
      <c r="P36" s="592"/>
      <c r="R36" s="593"/>
      <c r="S36" s="525" t="s">
        <v>9477</v>
      </c>
      <c r="T36" s="526" t="s">
        <v>9723</v>
      </c>
      <c r="U36" s="567" t="s">
        <v>9887</v>
      </c>
      <c r="V36" s="526"/>
      <c r="W36" s="637" t="s">
        <v>9050</v>
      </c>
      <c r="X36" s="526" t="s">
        <v>9051</v>
      </c>
      <c r="Y36" s="528">
        <v>7.0</v>
      </c>
      <c r="Z36" s="529" t="s">
        <v>9913</v>
      </c>
      <c r="AA36" s="609" t="s">
        <v>9847</v>
      </c>
      <c r="AB36" s="530" t="str">
        <f>AA36</f>
        <v>EMAIL_CLICKED</v>
      </c>
      <c r="AC36" s="591"/>
      <c r="AE36" s="617"/>
      <c r="AF36" s="618"/>
      <c r="AG36" s="581"/>
    </row>
    <row r="37">
      <c r="A37" s="607" t="s">
        <v>9611</v>
      </c>
      <c r="B37" s="608">
        <v>1.0</v>
      </c>
      <c r="C37" s="608">
        <v>2.0</v>
      </c>
      <c r="D37" s="589"/>
      <c r="E37" s="576" t="s">
        <v>9895</v>
      </c>
      <c r="F37" s="598" t="s">
        <v>9010</v>
      </c>
      <c r="G37" s="578" t="s">
        <v>9805</v>
      </c>
      <c r="H37" s="622"/>
      <c r="I37" s="576" t="s">
        <v>9723</v>
      </c>
      <c r="J37" s="579" t="s">
        <v>9917</v>
      </c>
      <c r="K37" s="591"/>
      <c r="P37" s="592"/>
      <c r="R37" s="593"/>
      <c r="S37" s="525" t="s">
        <v>457</v>
      </c>
      <c r="T37" s="526"/>
      <c r="U37" s="526"/>
      <c r="V37" s="526"/>
      <c r="W37" s="641" t="s">
        <v>9054</v>
      </c>
      <c r="X37" s="526" t="s">
        <v>9055</v>
      </c>
      <c r="Y37" s="528">
        <v>4.0</v>
      </c>
      <c r="Z37" s="529" t="s">
        <v>9913</v>
      </c>
      <c r="AA37" s="642" t="s">
        <v>9918</v>
      </c>
      <c r="AB37" s="639" t="s">
        <v>9915</v>
      </c>
      <c r="AC37" s="591"/>
      <c r="AE37" s="617"/>
      <c r="AF37" s="618"/>
      <c r="AG37" s="581"/>
    </row>
    <row r="38">
      <c r="A38" s="607" t="s">
        <v>9372</v>
      </c>
      <c r="B38" s="608">
        <v>1.0</v>
      </c>
      <c r="C38" s="608">
        <v>1.0</v>
      </c>
      <c r="D38" s="589"/>
      <c r="E38" s="576" t="s">
        <v>9895</v>
      </c>
      <c r="F38" s="598" t="s">
        <v>9359</v>
      </c>
      <c r="G38" s="578" t="s">
        <v>9805</v>
      </c>
      <c r="H38" s="622"/>
      <c r="I38" s="576" t="s">
        <v>9723</v>
      </c>
      <c r="J38" s="630" t="s">
        <v>9919</v>
      </c>
      <c r="K38" s="591"/>
      <c r="P38" s="592"/>
      <c r="R38" s="593"/>
      <c r="S38" s="525" t="s">
        <v>457</v>
      </c>
      <c r="T38" s="526"/>
      <c r="U38" s="526"/>
      <c r="V38" s="526"/>
      <c r="W38" s="637" t="s">
        <v>9056</v>
      </c>
      <c r="X38" s="526" t="s">
        <v>9057</v>
      </c>
      <c r="Y38" s="528">
        <v>3.0</v>
      </c>
      <c r="Z38" s="529" t="s">
        <v>9913</v>
      </c>
      <c r="AA38" s="642" t="s">
        <v>9918</v>
      </c>
      <c r="AB38" s="639" t="s">
        <v>9915</v>
      </c>
      <c r="AC38" s="591"/>
      <c r="AE38" s="617"/>
      <c r="AF38" s="618"/>
      <c r="AG38" s="581"/>
    </row>
    <row r="39">
      <c r="A39" s="607" t="s">
        <v>9037</v>
      </c>
      <c r="B39" s="608">
        <v>1.0</v>
      </c>
      <c r="C39" s="608">
        <v>1.0</v>
      </c>
      <c r="D39" s="589"/>
      <c r="E39" s="576" t="s">
        <v>9895</v>
      </c>
      <c r="F39" s="598" t="s">
        <v>9120</v>
      </c>
      <c r="G39" s="640"/>
      <c r="H39" s="622"/>
      <c r="I39" s="576" t="s">
        <v>9723</v>
      </c>
      <c r="J39" s="579" t="s">
        <v>9921</v>
      </c>
      <c r="K39" s="591"/>
      <c r="P39" s="592"/>
      <c r="R39" s="593"/>
      <c r="S39" s="525" t="s">
        <v>457</v>
      </c>
      <c r="T39" s="526"/>
      <c r="U39" s="526"/>
      <c r="V39" s="526"/>
      <c r="W39" s="637" t="s">
        <v>9052</v>
      </c>
      <c r="X39" s="526" t="s">
        <v>9053</v>
      </c>
      <c r="Y39" s="528">
        <v>8.0</v>
      </c>
      <c r="Z39" s="529" t="s">
        <v>9913</v>
      </c>
      <c r="AA39" s="642" t="s">
        <v>9918</v>
      </c>
      <c r="AB39" s="639" t="s">
        <v>9915</v>
      </c>
      <c r="AC39" s="591"/>
      <c r="AE39" s="617"/>
      <c r="AF39" s="618"/>
      <c r="AG39" s="581"/>
    </row>
    <row r="40">
      <c r="A40" s="607" t="s">
        <v>9086</v>
      </c>
      <c r="B40" s="608">
        <v>1.0</v>
      </c>
      <c r="C40" s="608">
        <v>1.0</v>
      </c>
      <c r="D40" s="589"/>
      <c r="E40" s="576" t="s">
        <v>9895</v>
      </c>
      <c r="F40" s="598" t="s">
        <v>9020</v>
      </c>
      <c r="G40" s="640"/>
      <c r="H40" s="622"/>
      <c r="I40" s="576" t="s">
        <v>9723</v>
      </c>
      <c r="J40" s="643" t="s">
        <v>9922</v>
      </c>
      <c r="K40" s="591"/>
      <c r="P40" s="592"/>
      <c r="R40" s="593"/>
      <c r="S40" s="525" t="s">
        <v>457</v>
      </c>
      <c r="T40" s="526"/>
      <c r="U40" s="526"/>
      <c r="V40" s="526"/>
      <c r="W40" s="637" t="s">
        <v>9046</v>
      </c>
      <c r="X40" s="526" t="s">
        <v>9047</v>
      </c>
      <c r="Y40" s="528">
        <v>7.0</v>
      </c>
      <c r="Z40" s="529" t="s">
        <v>9913</v>
      </c>
      <c r="AA40" s="642" t="s">
        <v>9918</v>
      </c>
      <c r="AB40" s="639" t="s">
        <v>9915</v>
      </c>
      <c r="AC40" s="591"/>
      <c r="AE40" s="617"/>
      <c r="AF40" s="618"/>
      <c r="AG40" s="581"/>
    </row>
    <row r="41">
      <c r="A41" s="607" t="s">
        <v>9078</v>
      </c>
      <c r="B41" s="608">
        <v>1.0</v>
      </c>
      <c r="C41" s="608">
        <v>1.0</v>
      </c>
      <c r="D41" s="589"/>
      <c r="E41" s="576" t="s">
        <v>9895</v>
      </c>
      <c r="F41" s="577" t="s">
        <v>9597</v>
      </c>
      <c r="G41" s="640"/>
      <c r="H41" s="576" t="s">
        <v>9924</v>
      </c>
      <c r="I41" s="622"/>
      <c r="J41" s="636"/>
      <c r="K41" s="591"/>
      <c r="P41" s="592"/>
      <c r="R41" s="593"/>
      <c r="S41" s="525" t="s">
        <v>8938</v>
      </c>
      <c r="T41" s="526" t="s">
        <v>8920</v>
      </c>
      <c r="U41" s="567" t="s">
        <v>9865</v>
      </c>
      <c r="V41" s="526" t="s">
        <v>9864</v>
      </c>
      <c r="W41" s="637" t="s">
        <v>8939</v>
      </c>
      <c r="X41" s="526" t="s">
        <v>8940</v>
      </c>
      <c r="Y41" s="528">
        <v>18.0</v>
      </c>
      <c r="Z41" s="529" t="s">
        <v>9913</v>
      </c>
      <c r="AA41" s="638" t="s">
        <v>9914</v>
      </c>
      <c r="AB41" s="639" t="s">
        <v>9925</v>
      </c>
      <c r="AC41" s="591"/>
      <c r="AE41" s="617"/>
      <c r="AF41" s="618"/>
      <c r="AG41" s="581"/>
    </row>
    <row r="42">
      <c r="A42" s="607" t="s">
        <v>9477</v>
      </c>
      <c r="B42" s="608">
        <v>1.0</v>
      </c>
      <c r="C42" s="608">
        <v>1.0</v>
      </c>
      <c r="D42" s="589"/>
      <c r="E42" s="576" t="s">
        <v>9895</v>
      </c>
      <c r="F42" s="577" t="s">
        <v>9551</v>
      </c>
      <c r="G42" s="640"/>
      <c r="H42" s="622"/>
      <c r="I42" s="576" t="s">
        <v>8920</v>
      </c>
      <c r="J42" s="604" t="s">
        <v>9926</v>
      </c>
      <c r="K42" s="591"/>
      <c r="P42" s="592"/>
      <c r="R42" s="593"/>
      <c r="S42" s="525" t="s">
        <v>457</v>
      </c>
      <c r="T42" s="526"/>
      <c r="U42" s="526"/>
      <c r="V42" s="526"/>
      <c r="W42" s="637" t="s">
        <v>9480</v>
      </c>
      <c r="X42" s="526" t="s">
        <v>9481</v>
      </c>
      <c r="Y42" s="526"/>
      <c r="Z42" s="529" t="s">
        <v>9913</v>
      </c>
      <c r="AA42" s="642" t="s">
        <v>9918</v>
      </c>
      <c r="AB42" s="530" t="str">
        <f>AA42</f>
        <v>NO_RECIPIENT</v>
      </c>
      <c r="AC42" s="591"/>
      <c r="AE42" s="617"/>
      <c r="AF42" s="618"/>
      <c r="AG42" s="581"/>
    </row>
    <row r="43">
      <c r="A43" s="607" t="s">
        <v>9667</v>
      </c>
      <c r="B43" s="608">
        <v>1.0</v>
      </c>
      <c r="C43" s="608">
        <v>1.0</v>
      </c>
      <c r="D43" s="589"/>
      <c r="E43" s="576" t="s">
        <v>9895</v>
      </c>
      <c r="F43" s="577" t="s">
        <v>8950</v>
      </c>
      <c r="G43" s="640"/>
      <c r="H43" s="622"/>
      <c r="I43" s="622"/>
      <c r="J43" s="579" t="s">
        <v>9854</v>
      </c>
      <c r="K43" s="591"/>
      <c r="P43" s="592"/>
      <c r="R43" s="593"/>
      <c r="S43" s="525" t="s">
        <v>9928</v>
      </c>
      <c r="T43" s="616" t="e">
        <v>#N/A</v>
      </c>
      <c r="U43" s="616" t="e">
        <v>#N/A</v>
      </c>
      <c r="V43" s="616" t="e">
        <v>#N/A</v>
      </c>
      <c r="W43" s="637" t="s">
        <v>9502</v>
      </c>
      <c r="X43" s="526" t="s">
        <v>9503</v>
      </c>
      <c r="Y43" s="528">
        <v>19.0</v>
      </c>
      <c r="Z43" s="529" t="s">
        <v>9913</v>
      </c>
      <c r="AA43" s="638" t="s">
        <v>9914</v>
      </c>
      <c r="AB43" s="639" t="s">
        <v>9915</v>
      </c>
      <c r="AC43" s="591"/>
      <c r="AE43" s="617"/>
      <c r="AF43" s="618"/>
      <c r="AG43" s="581"/>
    </row>
    <row r="44">
      <c r="A44" s="607" t="s">
        <v>9400</v>
      </c>
      <c r="B44" s="608">
        <v>1.0</v>
      </c>
      <c r="C44" s="608">
        <v>2.0</v>
      </c>
      <c r="D44" s="589"/>
      <c r="E44" s="576" t="s">
        <v>9895</v>
      </c>
      <c r="F44" s="577" t="s">
        <v>9560</v>
      </c>
      <c r="G44" s="640"/>
      <c r="H44" s="622"/>
      <c r="I44" s="622"/>
      <c r="J44" s="579" t="s">
        <v>9929</v>
      </c>
      <c r="K44" s="591"/>
      <c r="P44" s="592"/>
      <c r="R44" s="593"/>
      <c r="S44" s="525" t="s">
        <v>457</v>
      </c>
      <c r="T44" s="526"/>
      <c r="U44" s="526"/>
      <c r="V44" s="526"/>
      <c r="W44" s="637" t="s">
        <v>9505</v>
      </c>
      <c r="X44" s="526" t="s">
        <v>9493</v>
      </c>
      <c r="Y44" s="526"/>
      <c r="Z44" s="529" t="s">
        <v>9913</v>
      </c>
      <c r="AA44" s="642" t="s">
        <v>9918</v>
      </c>
      <c r="AB44" s="530" t="str">
        <f t="shared" ref="AB44:AB45" si="2">AA44</f>
        <v>NO_RECIPIENT</v>
      </c>
      <c r="AC44" s="591"/>
      <c r="AE44" s="617"/>
      <c r="AF44" s="618"/>
      <c r="AG44" s="581"/>
    </row>
    <row r="45">
      <c r="A45" s="607" t="s">
        <v>9688</v>
      </c>
      <c r="B45" s="608">
        <v>1.0</v>
      </c>
      <c r="C45" s="608">
        <v>1.0</v>
      </c>
      <c r="D45" s="589"/>
      <c r="E45" s="576" t="s">
        <v>9895</v>
      </c>
      <c r="F45" s="577" t="s">
        <v>9526</v>
      </c>
      <c r="G45" s="578" t="s">
        <v>9805</v>
      </c>
      <c r="H45" s="576" t="s">
        <v>9924</v>
      </c>
      <c r="I45" s="622"/>
      <c r="J45" s="636"/>
      <c r="K45" s="591"/>
      <c r="P45" s="592"/>
      <c r="R45" s="593"/>
      <c r="S45" s="525" t="s">
        <v>457</v>
      </c>
      <c r="T45" s="526"/>
      <c r="U45" s="526"/>
      <c r="V45" s="526"/>
      <c r="W45" s="637" t="s">
        <v>9519</v>
      </c>
      <c r="X45" s="526" t="s">
        <v>9520</v>
      </c>
      <c r="Y45" s="528">
        <v>3.0</v>
      </c>
      <c r="Z45" s="529" t="s">
        <v>9913</v>
      </c>
      <c r="AA45" s="642" t="s">
        <v>9918</v>
      </c>
      <c r="AB45" s="530" t="str">
        <f t="shared" si="2"/>
        <v>NO_RECIPIENT</v>
      </c>
      <c r="AC45" s="591"/>
      <c r="AE45" s="617"/>
      <c r="AF45" s="618"/>
      <c r="AG45" s="581"/>
    </row>
    <row r="46">
      <c r="A46" s="607" t="s">
        <v>9217</v>
      </c>
      <c r="B46" s="608">
        <v>1.0</v>
      </c>
      <c r="C46" s="608">
        <v>2.0</v>
      </c>
      <c r="D46" s="589"/>
      <c r="E46" s="576" t="s">
        <v>9895</v>
      </c>
      <c r="F46" s="577" t="s">
        <v>9535</v>
      </c>
      <c r="G46" s="640"/>
      <c r="H46" s="622"/>
      <c r="I46" s="622"/>
      <c r="J46" s="636"/>
      <c r="K46" s="591"/>
      <c r="P46" s="592"/>
      <c r="R46" s="593"/>
      <c r="S46" s="525" t="s">
        <v>9028</v>
      </c>
      <c r="T46" s="526" t="s">
        <v>8920</v>
      </c>
      <c r="U46" s="567" t="s">
        <v>9931</v>
      </c>
      <c r="V46" s="526" t="s">
        <v>9028</v>
      </c>
      <c r="W46" s="637" t="s">
        <v>9029</v>
      </c>
      <c r="X46" s="526" t="s">
        <v>9030</v>
      </c>
      <c r="Y46" s="528">
        <v>21.0</v>
      </c>
      <c r="Z46" s="529" t="s">
        <v>9913</v>
      </c>
      <c r="AA46" s="638" t="s">
        <v>9914</v>
      </c>
      <c r="AB46" s="639" t="s">
        <v>9925</v>
      </c>
      <c r="AC46" s="591"/>
      <c r="AE46" s="617"/>
      <c r="AF46" s="618"/>
      <c r="AG46" s="581"/>
    </row>
    <row r="47">
      <c r="A47" s="607" t="s">
        <v>9653</v>
      </c>
      <c r="B47" s="608">
        <v>1.0</v>
      </c>
      <c r="C47" s="608">
        <v>1.0</v>
      </c>
      <c r="D47" s="589"/>
      <c r="E47" s="576" t="s">
        <v>9932</v>
      </c>
      <c r="F47" s="598" t="s">
        <v>8993</v>
      </c>
      <c r="G47" s="578" t="s">
        <v>9805</v>
      </c>
      <c r="H47" s="576" t="s">
        <v>9839</v>
      </c>
      <c r="I47" s="576" t="s">
        <v>9723</v>
      </c>
      <c r="J47" s="579" t="s">
        <v>9838</v>
      </c>
      <c r="K47" s="591"/>
      <c r="P47" s="592"/>
      <c r="R47" s="593"/>
      <c r="S47" s="525" t="s">
        <v>457</v>
      </c>
      <c r="T47" s="526"/>
      <c r="U47" s="526"/>
      <c r="V47" s="526"/>
      <c r="W47" s="637" t="s">
        <v>9683</v>
      </c>
      <c r="X47" s="526" t="s">
        <v>9684</v>
      </c>
      <c r="Y47" s="528">
        <v>13.0</v>
      </c>
      <c r="Z47" s="529" t="s">
        <v>9913</v>
      </c>
      <c r="AA47" s="642" t="s">
        <v>9918</v>
      </c>
      <c r="AB47" s="530" t="str">
        <f t="shared" ref="AB47:AB48" si="3">AA47</f>
        <v>NO_RECIPIENT</v>
      </c>
      <c r="AC47" s="591"/>
      <c r="AE47" s="617"/>
      <c r="AF47" s="618"/>
      <c r="AG47" s="581"/>
    </row>
    <row r="48">
      <c r="A48" s="607" t="s">
        <v>9600</v>
      </c>
      <c r="B48" s="608">
        <v>1.0</v>
      </c>
      <c r="C48" s="608">
        <v>1.0</v>
      </c>
      <c r="D48" s="589"/>
      <c r="E48" s="576" t="s">
        <v>9932</v>
      </c>
      <c r="F48" s="598" t="s">
        <v>8976</v>
      </c>
      <c r="G48" s="578" t="s">
        <v>9805</v>
      </c>
      <c r="H48" s="576"/>
      <c r="I48" s="576" t="s">
        <v>9723</v>
      </c>
      <c r="J48" s="579" t="s">
        <v>9934</v>
      </c>
      <c r="K48" s="591"/>
      <c r="P48" s="592"/>
      <c r="R48" s="593"/>
      <c r="S48" s="525" t="s">
        <v>457</v>
      </c>
      <c r="T48" s="526"/>
      <c r="U48" s="526"/>
      <c r="V48" s="526"/>
      <c r="W48" s="637" t="s">
        <v>9361</v>
      </c>
      <c r="X48" s="526" t="s">
        <v>9362</v>
      </c>
      <c r="Y48" s="528">
        <v>8.0</v>
      </c>
      <c r="Z48" s="529" t="s">
        <v>9913</v>
      </c>
      <c r="AA48" s="642" t="s">
        <v>9918</v>
      </c>
      <c r="AB48" s="530" t="str">
        <f t="shared" si="3"/>
        <v>NO_RECIPIENT</v>
      </c>
      <c r="AC48" s="591"/>
      <c r="AE48" s="617"/>
      <c r="AF48" s="618"/>
      <c r="AG48" s="581"/>
    </row>
    <row r="49">
      <c r="A49" s="607" t="s">
        <v>9166</v>
      </c>
      <c r="B49" s="608">
        <v>1.0</v>
      </c>
      <c r="C49" s="608">
        <v>1.0</v>
      </c>
      <c r="D49" s="589"/>
      <c r="E49" s="576" t="s">
        <v>9932</v>
      </c>
      <c r="F49" s="598" t="s">
        <v>8929</v>
      </c>
      <c r="G49" s="578" t="s">
        <v>9805</v>
      </c>
      <c r="H49" s="576"/>
      <c r="I49" s="576" t="s">
        <v>9723</v>
      </c>
      <c r="J49" s="644" t="s">
        <v>9841</v>
      </c>
      <c r="K49" s="591"/>
      <c r="P49" s="592"/>
      <c r="R49" s="593"/>
      <c r="S49" s="525" t="s">
        <v>9425</v>
      </c>
      <c r="T49" s="526" t="s">
        <v>8920</v>
      </c>
      <c r="U49" s="567" t="s">
        <v>9936</v>
      </c>
      <c r="V49" s="526" t="s">
        <v>9937</v>
      </c>
      <c r="W49" s="637" t="s">
        <v>9426</v>
      </c>
      <c r="X49" s="526" t="s">
        <v>9429</v>
      </c>
      <c r="Y49" s="528">
        <v>37.0</v>
      </c>
      <c r="Z49" s="529" t="s">
        <v>9913</v>
      </c>
      <c r="AA49" s="638" t="s">
        <v>9914</v>
      </c>
      <c r="AB49" s="639" t="s">
        <v>9925</v>
      </c>
      <c r="AC49" s="591"/>
      <c r="AE49" s="617"/>
      <c r="AF49" s="618"/>
      <c r="AG49" s="581"/>
    </row>
    <row r="50">
      <c r="A50" s="607" t="s">
        <v>9457</v>
      </c>
      <c r="B50" s="608">
        <v>1.0</v>
      </c>
      <c r="C50" s="608">
        <v>1.0</v>
      </c>
      <c r="D50" s="589"/>
      <c r="E50" s="576" t="s">
        <v>9932</v>
      </c>
      <c r="F50" s="598" t="s">
        <v>9366</v>
      </c>
      <c r="G50" s="578" t="s">
        <v>9805</v>
      </c>
      <c r="H50" s="576"/>
      <c r="I50" s="576" t="s">
        <v>9723</v>
      </c>
      <c r="J50" s="579" t="s">
        <v>9888</v>
      </c>
      <c r="K50" s="591"/>
      <c r="P50" s="592"/>
      <c r="R50" s="593"/>
      <c r="S50" s="525" t="s">
        <v>9016</v>
      </c>
      <c r="T50" s="526" t="s">
        <v>8920</v>
      </c>
      <c r="U50" s="567" t="s">
        <v>9938</v>
      </c>
      <c r="V50" s="526" t="s">
        <v>9939</v>
      </c>
      <c r="W50" s="491" t="s">
        <v>9017</v>
      </c>
      <c r="X50" s="526" t="s">
        <v>9018</v>
      </c>
      <c r="Y50" s="528">
        <v>6.0</v>
      </c>
      <c r="Z50" s="529" t="s">
        <v>9913</v>
      </c>
      <c r="AA50" s="638" t="s">
        <v>9914</v>
      </c>
      <c r="AB50" s="639" t="s">
        <v>9925</v>
      </c>
      <c r="AC50" s="591"/>
      <c r="AE50" s="617"/>
      <c r="AF50" s="618"/>
      <c r="AG50" s="581"/>
    </row>
    <row r="51">
      <c r="A51" s="607" t="s">
        <v>9516</v>
      </c>
      <c r="B51" s="608">
        <v>1.0</v>
      </c>
      <c r="C51" s="608">
        <v>1.0</v>
      </c>
      <c r="D51" s="589"/>
      <c r="E51" s="576" t="s">
        <v>9932</v>
      </c>
      <c r="F51" s="598" t="s">
        <v>8979</v>
      </c>
      <c r="G51" s="578" t="s">
        <v>9805</v>
      </c>
      <c r="H51" s="576"/>
      <c r="I51" s="576" t="s">
        <v>9723</v>
      </c>
      <c r="J51" s="579" t="s">
        <v>9940</v>
      </c>
      <c r="K51" s="591"/>
      <c r="P51" s="592"/>
      <c r="R51" s="593"/>
      <c r="S51" s="525" t="s">
        <v>9611</v>
      </c>
      <c r="T51" s="526" t="s">
        <v>9723</v>
      </c>
      <c r="U51" s="526" t="s">
        <v>9816</v>
      </c>
      <c r="V51" s="526" t="s">
        <v>9815</v>
      </c>
      <c r="W51" s="645" t="s">
        <v>9941</v>
      </c>
      <c r="X51" s="526"/>
      <c r="Y51" s="627">
        <v>4.0</v>
      </c>
      <c r="Z51" s="529" t="s">
        <v>9741</v>
      </c>
      <c r="AA51" s="646" t="s">
        <v>9264</v>
      </c>
      <c r="AB51" s="530" t="str">
        <f t="shared" ref="AB51:AB54" si="4">AA51</f>
        <v>RESPONDED</v>
      </c>
      <c r="AC51" s="591"/>
      <c r="AE51" s="617"/>
      <c r="AF51" s="618"/>
      <c r="AG51" s="581"/>
    </row>
    <row r="52" ht="32.25" customHeight="1">
      <c r="A52" s="607" t="s">
        <v>8916</v>
      </c>
      <c r="B52" s="608">
        <v>1.0</v>
      </c>
      <c r="C52" s="608">
        <v>1.0</v>
      </c>
      <c r="D52" s="589"/>
      <c r="E52" s="576" t="s">
        <v>9932</v>
      </c>
      <c r="F52" s="647" t="s">
        <v>8933</v>
      </c>
      <c r="G52" s="578" t="s">
        <v>9805</v>
      </c>
      <c r="H52" s="576"/>
      <c r="I52" s="576" t="s">
        <v>9723</v>
      </c>
      <c r="J52" s="619" t="s">
        <v>9844</v>
      </c>
      <c r="K52" s="591"/>
      <c r="P52" s="592"/>
      <c r="R52" s="593"/>
      <c r="S52" s="525" t="s">
        <v>8967</v>
      </c>
      <c r="T52" s="526" t="s">
        <v>9723</v>
      </c>
      <c r="U52" s="526" t="s">
        <v>9871</v>
      </c>
      <c r="V52" s="526"/>
      <c r="W52" s="648" t="s">
        <v>9943</v>
      </c>
      <c r="X52" s="526"/>
      <c r="Y52" s="627">
        <v>35.0</v>
      </c>
      <c r="Z52" s="529" t="s">
        <v>9741</v>
      </c>
      <c r="AA52" s="609" t="s">
        <v>9264</v>
      </c>
      <c r="AB52" s="530" t="str">
        <f t="shared" si="4"/>
        <v>RESPONDED</v>
      </c>
      <c r="AC52" s="591"/>
      <c r="AE52" s="617"/>
      <c r="AF52" s="618"/>
      <c r="AG52" s="581"/>
    </row>
    <row r="53" ht="18.0" customHeight="1">
      <c r="A53" s="607" t="s">
        <v>9094</v>
      </c>
      <c r="B53" s="608">
        <v>1.0</v>
      </c>
      <c r="C53" s="608">
        <v>1.0</v>
      </c>
      <c r="D53" s="589"/>
      <c r="E53" s="576" t="s">
        <v>9932</v>
      </c>
      <c r="F53" s="649" t="s">
        <v>8998</v>
      </c>
      <c r="G53" s="578" t="s">
        <v>9805</v>
      </c>
      <c r="H53" s="45" t="s">
        <v>9944</v>
      </c>
      <c r="I53" s="576" t="s">
        <v>9723</v>
      </c>
      <c r="J53" s="579" t="s">
        <v>9945</v>
      </c>
      <c r="K53" s="591"/>
      <c r="P53" s="592"/>
      <c r="R53" s="593"/>
      <c r="S53" s="525" t="s">
        <v>9315</v>
      </c>
      <c r="T53" s="526" t="s">
        <v>9723</v>
      </c>
      <c r="U53" s="526" t="s">
        <v>9946</v>
      </c>
      <c r="V53" s="526"/>
      <c r="W53" s="650" t="s">
        <v>9947</v>
      </c>
      <c r="X53" s="526"/>
      <c r="Y53" s="627">
        <v>7.0</v>
      </c>
      <c r="Z53" s="529" t="s">
        <v>9741</v>
      </c>
      <c r="AA53" s="594" t="s">
        <v>9808</v>
      </c>
      <c r="AB53" s="530" t="str">
        <f t="shared" si="4"/>
        <v>EMAIL_OPENED</v>
      </c>
      <c r="AC53" s="591"/>
      <c r="AE53" s="617"/>
      <c r="AF53" s="618"/>
      <c r="AG53" s="581"/>
    </row>
    <row r="54" ht="18.0" customHeight="1">
      <c r="A54" s="607" t="s">
        <v>9473</v>
      </c>
      <c r="B54" s="608">
        <v>1.0</v>
      </c>
      <c r="C54" s="608">
        <v>1.0</v>
      </c>
      <c r="D54" s="589"/>
      <c r="E54" s="576" t="s">
        <v>9932</v>
      </c>
      <c r="F54" s="598" t="s">
        <v>9948</v>
      </c>
      <c r="G54" s="578" t="s">
        <v>9805</v>
      </c>
      <c r="H54" s="622"/>
      <c r="I54" s="576" t="s">
        <v>9723</v>
      </c>
      <c r="J54" s="644" t="s">
        <v>9949</v>
      </c>
      <c r="K54" s="591"/>
      <c r="P54" s="592"/>
      <c r="R54" s="593"/>
      <c r="S54" s="525" t="s">
        <v>9496</v>
      </c>
      <c r="T54" s="526" t="s">
        <v>9723</v>
      </c>
      <c r="U54" s="526" t="s">
        <v>9873</v>
      </c>
      <c r="V54" s="526"/>
      <c r="W54" s="629" t="s">
        <v>9951</v>
      </c>
      <c r="X54" s="526"/>
      <c r="Y54" s="627">
        <v>55.0</v>
      </c>
      <c r="Z54" s="529" t="s">
        <v>9741</v>
      </c>
      <c r="AA54" s="609" t="s">
        <v>9264</v>
      </c>
      <c r="AB54" s="530" t="str">
        <f t="shared" si="4"/>
        <v>RESPONDED</v>
      </c>
      <c r="AC54" s="591"/>
      <c r="AE54" s="617"/>
      <c r="AF54" s="618"/>
      <c r="AG54" s="581"/>
    </row>
    <row r="55" ht="18.0" customHeight="1">
      <c r="A55" s="607" t="s">
        <v>9416</v>
      </c>
      <c r="B55" s="608">
        <v>1.0</v>
      </c>
      <c r="C55" s="608">
        <v>1.0</v>
      </c>
      <c r="D55" s="589"/>
      <c r="E55" s="576" t="s">
        <v>9932</v>
      </c>
      <c r="F55" s="598" t="s">
        <v>9494</v>
      </c>
      <c r="G55" s="578" t="s">
        <v>9805</v>
      </c>
      <c r="H55" s="622"/>
      <c r="I55" s="651" t="s">
        <v>9723</v>
      </c>
      <c r="J55" s="652" t="s">
        <v>9952</v>
      </c>
      <c r="K55" s="591"/>
      <c r="P55" s="592"/>
      <c r="R55" s="593"/>
      <c r="S55" s="525" t="s">
        <v>9086</v>
      </c>
      <c r="T55" s="526" t="s">
        <v>8920</v>
      </c>
      <c r="U55" s="567" t="s">
        <v>9882</v>
      </c>
      <c r="V55" s="526"/>
      <c r="W55" s="527" t="s">
        <v>9087</v>
      </c>
      <c r="X55" s="526" t="s">
        <v>9090</v>
      </c>
      <c r="Y55" s="528">
        <v>140.0</v>
      </c>
      <c r="Z55" s="653"/>
      <c r="AA55" s="638" t="s">
        <v>9914</v>
      </c>
      <c r="AB55" s="639" t="s">
        <v>9925</v>
      </c>
      <c r="AC55" s="591"/>
      <c r="AE55" s="617"/>
      <c r="AF55" s="618"/>
      <c r="AG55" s="581"/>
    </row>
    <row r="56" ht="18.0" customHeight="1">
      <c r="A56" s="607" t="s">
        <v>9641</v>
      </c>
      <c r="B56" s="608">
        <v>1.0</v>
      </c>
      <c r="C56" s="608">
        <v>1.0</v>
      </c>
      <c r="D56" s="589"/>
      <c r="E56" s="576" t="s">
        <v>9932</v>
      </c>
      <c r="F56" s="577" t="s">
        <v>9499</v>
      </c>
      <c r="G56" s="578" t="s">
        <v>9805</v>
      </c>
      <c r="H56" s="576"/>
      <c r="I56" s="654" t="s">
        <v>8920</v>
      </c>
      <c r="J56" s="655" t="s">
        <v>9953</v>
      </c>
      <c r="K56" s="591"/>
      <c r="P56" s="592"/>
      <c r="R56" s="593"/>
      <c r="S56" s="525" t="s">
        <v>9078</v>
      </c>
      <c r="T56" s="526"/>
      <c r="U56" s="526" t="s">
        <v>9884</v>
      </c>
      <c r="V56" s="526"/>
      <c r="W56" s="527" t="s">
        <v>9079</v>
      </c>
      <c r="X56" s="526" t="s">
        <v>9081</v>
      </c>
      <c r="Y56" s="528">
        <v>6.0</v>
      </c>
      <c r="Z56" s="653"/>
      <c r="AA56" s="638" t="s">
        <v>9914</v>
      </c>
      <c r="AB56" s="639" t="s">
        <v>9955</v>
      </c>
      <c r="AC56" s="591"/>
      <c r="AE56" s="617"/>
      <c r="AF56" s="618"/>
      <c r="AG56" s="581"/>
    </row>
    <row r="57">
      <c r="A57" s="607" t="s">
        <v>9237</v>
      </c>
      <c r="B57" s="608">
        <v>1.0</v>
      </c>
      <c r="C57" s="608">
        <v>2.0</v>
      </c>
      <c r="D57" s="589"/>
      <c r="E57" s="576" t="s">
        <v>9932</v>
      </c>
      <c r="F57" s="598" t="s">
        <v>9135</v>
      </c>
      <c r="G57" s="578" t="s">
        <v>9805</v>
      </c>
      <c r="H57" s="622"/>
      <c r="I57" s="576" t="s">
        <v>8920</v>
      </c>
      <c r="J57" s="656" t="s">
        <v>9956</v>
      </c>
      <c r="K57" s="591"/>
      <c r="P57" s="592"/>
      <c r="R57" s="593"/>
      <c r="S57" s="525" t="s">
        <v>9563</v>
      </c>
      <c r="T57" s="526" t="s">
        <v>8920</v>
      </c>
      <c r="U57" s="567" t="s">
        <v>9957</v>
      </c>
      <c r="V57" s="526" t="s">
        <v>9958</v>
      </c>
      <c r="W57" s="637" t="s">
        <v>9564</v>
      </c>
      <c r="X57" s="526" t="s">
        <v>9565</v>
      </c>
      <c r="Y57" s="528">
        <v>2.0</v>
      </c>
      <c r="Z57" s="653"/>
      <c r="AA57" s="638" t="s">
        <v>9914</v>
      </c>
      <c r="AB57" s="639" t="s">
        <v>9925</v>
      </c>
      <c r="AC57" s="591"/>
      <c r="AE57" s="617"/>
      <c r="AF57" s="618"/>
      <c r="AG57" s="581"/>
    </row>
    <row r="58">
      <c r="A58" s="607" t="s">
        <v>9664</v>
      </c>
      <c r="B58" s="608">
        <v>1.0</v>
      </c>
      <c r="C58" s="608">
        <v>1.0</v>
      </c>
      <c r="D58" s="589"/>
      <c r="E58" s="576" t="s">
        <v>9932</v>
      </c>
      <c r="F58" s="598" t="s">
        <v>9070</v>
      </c>
      <c r="G58" s="578" t="s">
        <v>9828</v>
      </c>
      <c r="H58" s="622"/>
      <c r="I58" s="622"/>
      <c r="J58" s="579" t="s">
        <v>9959</v>
      </c>
      <c r="K58" s="591"/>
      <c r="P58" s="592"/>
      <c r="R58" s="593"/>
      <c r="S58" s="525" t="s">
        <v>8983</v>
      </c>
      <c r="T58" s="526"/>
      <c r="U58" s="526"/>
      <c r="V58" s="526"/>
      <c r="W58" s="657"/>
      <c r="X58" s="526"/>
      <c r="Y58" s="526"/>
      <c r="Z58" s="529"/>
      <c r="AA58" s="642" t="s">
        <v>9918</v>
      </c>
      <c r="AB58" s="639" t="s">
        <v>9925</v>
      </c>
      <c r="AC58" s="591"/>
      <c r="AE58" s="617"/>
      <c r="AF58" s="618"/>
      <c r="AG58" s="581"/>
    </row>
    <row r="59">
      <c r="A59" s="607" t="s">
        <v>8983</v>
      </c>
      <c r="B59" s="608">
        <v>1.0</v>
      </c>
      <c r="C59" s="608">
        <v>3.0</v>
      </c>
      <c r="D59" s="589"/>
      <c r="E59" s="576" t="s">
        <v>9932</v>
      </c>
      <c r="F59" s="598" t="s">
        <v>9002</v>
      </c>
      <c r="G59" s="640"/>
      <c r="H59" s="622"/>
      <c r="I59" s="622"/>
      <c r="J59" s="579" t="s">
        <v>9961</v>
      </c>
      <c r="K59" s="591"/>
      <c r="P59" s="592"/>
      <c r="R59" s="593"/>
      <c r="S59" s="525" t="s">
        <v>9259</v>
      </c>
      <c r="T59" s="526" t="s">
        <v>9723</v>
      </c>
      <c r="U59" s="526" t="s">
        <v>9962</v>
      </c>
      <c r="V59" s="526"/>
      <c r="W59" s="527" t="s">
        <v>9249</v>
      </c>
      <c r="X59" s="526" t="s">
        <v>9963</v>
      </c>
      <c r="Y59" s="528">
        <v>15.0</v>
      </c>
      <c r="Z59" s="529" t="s">
        <v>9964</v>
      </c>
      <c r="AA59" s="646" t="s">
        <v>9264</v>
      </c>
      <c r="AB59" s="530" t="str">
        <f t="shared" ref="AB59:AB71" si="5">AA59</f>
        <v>RESPONDED</v>
      </c>
      <c r="AC59" s="591"/>
      <c r="AE59" s="617"/>
      <c r="AF59" s="618"/>
      <c r="AG59" s="581"/>
    </row>
    <row r="60">
      <c r="A60" s="607" t="s">
        <v>9010</v>
      </c>
      <c r="B60" s="608">
        <v>1.0</v>
      </c>
      <c r="C60" s="608">
        <v>2.0</v>
      </c>
      <c r="D60" s="589"/>
      <c r="E60" s="576" t="s">
        <v>9932</v>
      </c>
      <c r="F60" s="598" t="s">
        <v>8974</v>
      </c>
      <c r="G60" s="578" t="s">
        <v>9818</v>
      </c>
      <c r="H60" s="622"/>
      <c r="I60" s="576" t="s">
        <v>9723</v>
      </c>
      <c r="J60" s="579" t="s">
        <v>9965</v>
      </c>
      <c r="K60" s="591"/>
      <c r="P60" s="592"/>
      <c r="R60" s="593"/>
      <c r="S60" s="525" t="s">
        <v>9232</v>
      </c>
      <c r="T60" s="526" t="s">
        <v>9723</v>
      </c>
      <c r="U60" s="526" t="s">
        <v>9966</v>
      </c>
      <c r="V60" s="526"/>
      <c r="W60" s="527" t="s">
        <v>9233</v>
      </c>
      <c r="X60" s="526" t="s">
        <v>9235</v>
      </c>
      <c r="Y60" s="528">
        <v>2.0</v>
      </c>
      <c r="Z60" s="529" t="s">
        <v>9964</v>
      </c>
      <c r="AA60" s="646" t="s">
        <v>9847</v>
      </c>
      <c r="AB60" s="530" t="str">
        <f t="shared" si="5"/>
        <v>EMAIL_CLICKED</v>
      </c>
      <c r="AC60" s="591"/>
      <c r="AE60" s="617"/>
      <c r="AF60" s="618"/>
      <c r="AG60" s="581"/>
    </row>
    <row r="61">
      <c r="A61" s="607" t="s">
        <v>9617</v>
      </c>
      <c r="B61" s="608">
        <v>1.0</v>
      </c>
      <c r="C61" s="608">
        <v>2.0</v>
      </c>
      <c r="D61" s="589"/>
      <c r="E61" s="576" t="s">
        <v>9932</v>
      </c>
      <c r="F61" s="658" t="s">
        <v>9446</v>
      </c>
      <c r="G61" s="578" t="s">
        <v>9805</v>
      </c>
      <c r="H61" s="576" t="s">
        <v>9924</v>
      </c>
      <c r="I61" s="576" t="s">
        <v>9723</v>
      </c>
      <c r="J61" s="619" t="s">
        <v>9967</v>
      </c>
      <c r="K61" s="591"/>
      <c r="P61" s="592"/>
      <c r="R61" s="593"/>
      <c r="S61" s="525" t="s">
        <v>9310</v>
      </c>
      <c r="T61" s="526" t="s">
        <v>9723</v>
      </c>
      <c r="U61" s="526" t="s">
        <v>9968</v>
      </c>
      <c r="V61" s="526"/>
      <c r="W61" s="527" t="s">
        <v>9311</v>
      </c>
      <c r="X61" s="526" t="s">
        <v>9313</v>
      </c>
      <c r="Y61" s="528">
        <v>6.0</v>
      </c>
      <c r="Z61" s="529" t="s">
        <v>9964</v>
      </c>
      <c r="AA61" s="646" t="s">
        <v>9847</v>
      </c>
      <c r="AB61" s="530" t="str">
        <f t="shared" si="5"/>
        <v>EMAIL_CLICKED</v>
      </c>
      <c r="AC61" s="591"/>
      <c r="AE61" s="617"/>
      <c r="AF61" s="618"/>
      <c r="AG61" s="581"/>
    </row>
    <row r="62">
      <c r="A62" s="607" t="s">
        <v>9310</v>
      </c>
      <c r="B62" s="608">
        <v>1.0</v>
      </c>
      <c r="C62" s="608">
        <v>1.0</v>
      </c>
      <c r="D62" s="589"/>
      <c r="E62" s="576" t="s">
        <v>9932</v>
      </c>
      <c r="F62" s="658" t="s">
        <v>9467</v>
      </c>
      <c r="G62" s="640"/>
      <c r="H62" s="576" t="s">
        <v>9924</v>
      </c>
      <c r="I62" s="622"/>
      <c r="J62" s="579" t="s">
        <v>9969</v>
      </c>
      <c r="K62" s="591"/>
      <c r="P62" s="592"/>
      <c r="R62" s="593"/>
      <c r="S62" s="525" t="s">
        <v>9638</v>
      </c>
      <c r="T62" s="526" t="s">
        <v>9723</v>
      </c>
      <c r="U62" s="526" t="s">
        <v>9970</v>
      </c>
      <c r="V62" s="526" t="s">
        <v>9638</v>
      </c>
      <c r="W62" s="527" t="s">
        <v>9639</v>
      </c>
      <c r="X62" s="526" t="s">
        <v>9640</v>
      </c>
      <c r="Y62" s="528">
        <v>2.0</v>
      </c>
      <c r="Z62" s="529" t="s">
        <v>9964</v>
      </c>
      <c r="AA62" s="659" t="s">
        <v>9808</v>
      </c>
      <c r="AB62" s="530" t="str">
        <f t="shared" si="5"/>
        <v>EMAIL_OPENED</v>
      </c>
      <c r="AC62" s="591"/>
      <c r="AE62" s="617"/>
      <c r="AF62" s="618"/>
      <c r="AG62" s="581"/>
    </row>
    <row r="63">
      <c r="A63" s="607" t="s">
        <v>9359</v>
      </c>
      <c r="B63" s="608">
        <v>1.0</v>
      </c>
      <c r="C63" s="608">
        <v>1.0</v>
      </c>
      <c r="D63" s="589"/>
      <c r="E63" s="576" t="s">
        <v>9932</v>
      </c>
      <c r="F63" s="598" t="s">
        <v>9377</v>
      </c>
      <c r="G63" s="578" t="s">
        <v>9805</v>
      </c>
      <c r="H63" s="622"/>
      <c r="I63" s="576" t="s">
        <v>9723</v>
      </c>
      <c r="J63" s="660" t="s">
        <v>9982</v>
      </c>
      <c r="K63" s="591"/>
      <c r="P63" s="592"/>
      <c r="R63" s="593"/>
      <c r="S63" s="525" t="s">
        <v>9145</v>
      </c>
      <c r="T63" s="526" t="s">
        <v>9723</v>
      </c>
      <c r="U63" s="526" t="s">
        <v>9869</v>
      </c>
      <c r="V63" s="526"/>
      <c r="W63" s="527" t="s">
        <v>9146</v>
      </c>
      <c r="X63" s="526" t="s">
        <v>9149</v>
      </c>
      <c r="Y63" s="528">
        <v>9.0</v>
      </c>
      <c r="Z63" s="529" t="s">
        <v>9964</v>
      </c>
      <c r="AA63" s="594" t="s">
        <v>9808</v>
      </c>
      <c r="AB63" s="530" t="str">
        <f t="shared" si="5"/>
        <v>EMAIL_OPENED</v>
      </c>
      <c r="AC63" s="591"/>
      <c r="AE63" s="617"/>
      <c r="AF63" s="618"/>
      <c r="AG63" s="581"/>
    </row>
    <row r="64">
      <c r="A64" s="607" t="s">
        <v>9635</v>
      </c>
      <c r="B64" s="608">
        <v>1.0</v>
      </c>
      <c r="C64" s="608">
        <v>1.0</v>
      </c>
      <c r="D64" s="589"/>
      <c r="E64" s="576" t="s">
        <v>9932</v>
      </c>
      <c r="F64" s="598" t="s">
        <v>9152</v>
      </c>
      <c r="G64" s="578" t="s">
        <v>9828</v>
      </c>
      <c r="H64" s="622"/>
      <c r="I64" s="622"/>
      <c r="J64" s="579" t="s">
        <v>9884</v>
      </c>
      <c r="K64" s="591"/>
      <c r="P64" s="592"/>
      <c r="R64" s="593"/>
      <c r="S64" s="525" t="s">
        <v>9059</v>
      </c>
      <c r="T64" s="526" t="s">
        <v>9723</v>
      </c>
      <c r="U64" s="526" t="s">
        <v>9997</v>
      </c>
      <c r="V64" s="526"/>
      <c r="W64" s="527" t="s">
        <v>9060</v>
      </c>
      <c r="X64" s="526" t="s">
        <v>9061</v>
      </c>
      <c r="Y64" s="528">
        <v>6.0</v>
      </c>
      <c r="Z64" s="529" t="s">
        <v>9964</v>
      </c>
      <c r="AA64" s="594" t="s">
        <v>9808</v>
      </c>
      <c r="AB64" s="530" t="str">
        <f t="shared" si="5"/>
        <v>EMAIL_OPENED</v>
      </c>
      <c r="AC64" s="591"/>
      <c r="AE64" s="617"/>
      <c r="AF64" s="618"/>
      <c r="AG64" s="581"/>
    </row>
    <row r="65">
      <c r="A65" s="607" t="s">
        <v>9120</v>
      </c>
      <c r="B65" s="608">
        <v>1.0</v>
      </c>
      <c r="C65" s="608">
        <v>1.0</v>
      </c>
      <c r="D65" s="589"/>
      <c r="E65" s="576" t="s">
        <v>9932</v>
      </c>
      <c r="F65" s="598" t="s">
        <v>9998</v>
      </c>
      <c r="G65" s="578" t="s">
        <v>9818</v>
      </c>
      <c r="H65" s="622"/>
      <c r="I65" s="576" t="s">
        <v>8920</v>
      </c>
      <c r="J65" s="619" t="s">
        <v>9999</v>
      </c>
      <c r="K65" s="591"/>
      <c r="P65" s="592"/>
      <c r="R65" s="593"/>
      <c r="S65" s="525" t="s">
        <v>10001</v>
      </c>
      <c r="T65" s="526" t="s">
        <v>9723</v>
      </c>
      <c r="U65" s="526" t="s">
        <v>10006</v>
      </c>
      <c r="V65" s="526" t="s">
        <v>8950</v>
      </c>
      <c r="W65" s="527" t="s">
        <v>9681</v>
      </c>
      <c r="X65" s="526" t="s">
        <v>9682</v>
      </c>
      <c r="Y65" s="528">
        <v>8.0</v>
      </c>
      <c r="Z65" s="529" t="s">
        <v>9964</v>
      </c>
      <c r="AA65" s="606" t="s">
        <v>9742</v>
      </c>
      <c r="AB65" s="530" t="str">
        <f t="shared" si="5"/>
        <v>EMAIL_SENT</v>
      </c>
      <c r="AC65" s="591"/>
      <c r="AE65" s="617"/>
      <c r="AF65" s="618"/>
      <c r="AG65" s="581"/>
    </row>
    <row r="66">
      <c r="A66" s="607" t="s">
        <v>9232</v>
      </c>
      <c r="B66" s="608">
        <v>1.0</v>
      </c>
      <c r="C66" s="608">
        <v>1.0</v>
      </c>
      <c r="D66" s="589"/>
      <c r="E66" s="576" t="s">
        <v>9932</v>
      </c>
      <c r="F66" s="598" t="s">
        <v>9059</v>
      </c>
      <c r="G66" s="578" t="s">
        <v>9805</v>
      </c>
      <c r="H66" s="622"/>
      <c r="I66" s="576" t="s">
        <v>9723</v>
      </c>
      <c r="J66" s="579" t="s">
        <v>9997</v>
      </c>
      <c r="K66" s="591"/>
      <c r="P66" s="592"/>
      <c r="R66" s="593"/>
      <c r="S66" s="525" t="s">
        <v>9372</v>
      </c>
      <c r="T66" s="526" t="s">
        <v>9723</v>
      </c>
      <c r="U66" s="526" t="s">
        <v>9879</v>
      </c>
      <c r="V66" s="526"/>
      <c r="W66" s="527" t="s">
        <v>9373</v>
      </c>
      <c r="X66" s="526" t="s">
        <v>9374</v>
      </c>
      <c r="Y66" s="528">
        <v>21.0</v>
      </c>
      <c r="Z66" s="529" t="s">
        <v>9964</v>
      </c>
      <c r="AA66" s="659" t="s">
        <v>9830</v>
      </c>
      <c r="AB66" s="530" t="str">
        <f t="shared" si="5"/>
        <v>BOUNCED</v>
      </c>
      <c r="AC66" s="591"/>
      <c r="AE66" s="617"/>
      <c r="AF66" s="618"/>
      <c r="AG66" s="581"/>
    </row>
    <row r="67">
      <c r="A67" s="607" t="s">
        <v>9020</v>
      </c>
      <c r="B67" s="608">
        <v>1.0</v>
      </c>
      <c r="C67" s="608">
        <v>1.0</v>
      </c>
      <c r="D67" s="589"/>
      <c r="E67" s="576" t="s">
        <v>9932</v>
      </c>
      <c r="F67" s="577" t="s">
        <v>10021</v>
      </c>
      <c r="G67" s="578" t="s">
        <v>9805</v>
      </c>
      <c r="H67" s="622"/>
      <c r="I67" s="576" t="s">
        <v>9723</v>
      </c>
      <c r="J67" s="579" t="s">
        <v>10022</v>
      </c>
      <c r="K67" s="663"/>
      <c r="P67" s="592"/>
      <c r="R67" s="593"/>
      <c r="S67" s="525" t="s">
        <v>9034</v>
      </c>
      <c r="T67" s="526" t="s">
        <v>9723</v>
      </c>
      <c r="U67" s="526" t="s">
        <v>9740</v>
      </c>
      <c r="V67" s="526"/>
      <c r="W67" s="527" t="s">
        <v>9035</v>
      </c>
      <c r="X67" s="526" t="s">
        <v>9036</v>
      </c>
      <c r="Y67" s="528">
        <v>8.0</v>
      </c>
      <c r="Z67" s="529" t="s">
        <v>9964</v>
      </c>
      <c r="AA67" s="659" t="s">
        <v>9264</v>
      </c>
      <c r="AB67" s="530" t="str">
        <f t="shared" si="5"/>
        <v>RESPONDED</v>
      </c>
      <c r="AC67" s="591"/>
      <c r="AE67" s="617"/>
      <c r="AF67" s="618"/>
      <c r="AG67" s="581"/>
    </row>
    <row r="68">
      <c r="A68" s="607" t="s">
        <v>9645</v>
      </c>
      <c r="B68" s="608">
        <v>1.0</v>
      </c>
      <c r="C68" s="608">
        <v>1.0</v>
      </c>
      <c r="D68" s="589"/>
      <c r="E68" s="576" t="s">
        <v>9932</v>
      </c>
      <c r="F68" s="598" t="s">
        <v>9063</v>
      </c>
      <c r="G68" s="578" t="s">
        <v>9805</v>
      </c>
      <c r="H68" s="622"/>
      <c r="I68" s="576" t="s">
        <v>9723</v>
      </c>
      <c r="J68" s="579" t="s">
        <v>10023</v>
      </c>
      <c r="K68" s="591"/>
      <c r="P68" s="592"/>
      <c r="R68" s="593"/>
      <c r="S68" s="525" t="s">
        <v>9290</v>
      </c>
      <c r="T68" s="526" t="s">
        <v>9723</v>
      </c>
      <c r="U68" s="526" t="s">
        <v>10024</v>
      </c>
      <c r="V68" s="526"/>
      <c r="W68" s="527" t="s">
        <v>9291</v>
      </c>
      <c r="X68" s="526" t="s">
        <v>9295</v>
      </c>
      <c r="Y68" s="528">
        <v>8.0</v>
      </c>
      <c r="Z68" s="529" t="s">
        <v>9964</v>
      </c>
      <c r="AA68" s="664" t="s">
        <v>9264</v>
      </c>
      <c r="AB68" s="530" t="str">
        <f t="shared" si="5"/>
        <v>RESPONDED</v>
      </c>
      <c r="AC68" s="591"/>
      <c r="AE68" s="617"/>
      <c r="AF68" s="618"/>
      <c r="AG68" s="581"/>
    </row>
    <row r="69">
      <c r="A69" s="607" t="s">
        <v>9699</v>
      </c>
      <c r="B69" s="608">
        <v>1.0</v>
      </c>
      <c r="C69" s="608">
        <v>1.0</v>
      </c>
      <c r="D69" s="589"/>
      <c r="E69" s="576" t="s">
        <v>9932</v>
      </c>
      <c r="F69" s="598" t="s">
        <v>9075</v>
      </c>
      <c r="G69" s="578" t="s">
        <v>9828</v>
      </c>
      <c r="H69" s="622"/>
      <c r="I69" s="622"/>
      <c r="J69" s="579" t="s">
        <v>10025</v>
      </c>
      <c r="K69" s="591"/>
      <c r="P69" s="592"/>
      <c r="R69" s="593"/>
      <c r="S69" s="525" t="s">
        <v>8942</v>
      </c>
      <c r="T69" s="526" t="s">
        <v>9723</v>
      </c>
      <c r="U69" s="567" t="s">
        <v>10026</v>
      </c>
      <c r="V69" s="526" t="s">
        <v>10027</v>
      </c>
      <c r="W69" s="527" t="s">
        <v>8943</v>
      </c>
      <c r="X69" s="526" t="s">
        <v>8944</v>
      </c>
      <c r="Y69" s="528">
        <v>3.0</v>
      </c>
      <c r="Z69" s="529" t="s">
        <v>9964</v>
      </c>
      <c r="AA69" s="609" t="s">
        <v>9847</v>
      </c>
      <c r="AB69" s="530" t="str">
        <f t="shared" si="5"/>
        <v>EMAIL_CLICKED</v>
      </c>
      <c r="AC69" s="591"/>
      <c r="AE69" s="617"/>
      <c r="AF69" s="618"/>
      <c r="AG69" s="581"/>
    </row>
    <row r="70">
      <c r="A70" s="607" t="s">
        <v>9696</v>
      </c>
      <c r="B70" s="608">
        <v>1.0</v>
      </c>
      <c r="C70" s="608">
        <v>1.0</v>
      </c>
      <c r="D70" s="589"/>
      <c r="E70" s="576" t="s">
        <v>9932</v>
      </c>
      <c r="F70" s="598" t="s">
        <v>9048</v>
      </c>
      <c r="G70" s="578" t="s">
        <v>9805</v>
      </c>
      <c r="H70" s="576"/>
      <c r="I70" s="576" t="s">
        <v>9723</v>
      </c>
      <c r="J70" s="579" t="s">
        <v>9846</v>
      </c>
      <c r="K70" s="591"/>
      <c r="P70" s="592"/>
      <c r="R70" s="593"/>
      <c r="S70" s="525" t="s">
        <v>8946</v>
      </c>
      <c r="T70" s="526" t="s">
        <v>9723</v>
      </c>
      <c r="U70" s="567" t="s">
        <v>10028</v>
      </c>
      <c r="V70" s="526" t="s">
        <v>10029</v>
      </c>
      <c r="W70" s="527" t="s">
        <v>8947</v>
      </c>
      <c r="X70" s="526" t="s">
        <v>8948</v>
      </c>
      <c r="Y70" s="528">
        <v>6.0</v>
      </c>
      <c r="Z70" s="529" t="s">
        <v>9964</v>
      </c>
      <c r="AA70" s="659" t="s">
        <v>9808</v>
      </c>
      <c r="AB70" s="530" t="str">
        <f t="shared" si="5"/>
        <v>EMAIL_OPENED</v>
      </c>
      <c r="AC70" s="591"/>
      <c r="AE70" s="617"/>
      <c r="AF70" s="618"/>
      <c r="AG70" s="581"/>
    </row>
    <row r="71">
      <c r="A71" s="607" t="s">
        <v>9597</v>
      </c>
      <c r="B71" s="608">
        <v>1.0</v>
      </c>
      <c r="C71" s="608">
        <v>2.0</v>
      </c>
      <c r="D71" s="589"/>
      <c r="E71" s="576" t="s">
        <v>10030</v>
      </c>
      <c r="F71" s="598" t="s">
        <v>9028</v>
      </c>
      <c r="G71" s="578" t="s">
        <v>9805</v>
      </c>
      <c r="H71" s="576" t="s">
        <v>9028</v>
      </c>
      <c r="I71" s="665" t="s">
        <v>8920</v>
      </c>
      <c r="J71" s="619" t="s">
        <v>9931</v>
      </c>
      <c r="K71" s="591"/>
      <c r="P71" s="592"/>
      <c r="R71" s="593"/>
      <c r="S71" s="525" t="s">
        <v>9400</v>
      </c>
      <c r="T71" s="526" t="s">
        <v>9723</v>
      </c>
      <c r="U71" s="526" t="s">
        <v>9893</v>
      </c>
      <c r="V71" s="526"/>
      <c r="W71" s="666" t="s">
        <v>10032</v>
      </c>
      <c r="X71" s="616" t="e">
        <v>#N/A</v>
      </c>
      <c r="Y71" s="627">
        <v>18.0</v>
      </c>
      <c r="Z71" s="529" t="s">
        <v>10033</v>
      </c>
      <c r="AA71" s="594" t="s">
        <v>9808</v>
      </c>
      <c r="AB71" s="530" t="str">
        <f t="shared" si="5"/>
        <v>EMAIL_OPENED</v>
      </c>
      <c r="AC71" s="591"/>
      <c r="AE71" s="617"/>
      <c r="AF71" s="618"/>
      <c r="AG71" s="581"/>
    </row>
    <row r="72">
      <c r="A72" s="607" t="s">
        <v>9551</v>
      </c>
      <c r="B72" s="608">
        <v>1.0</v>
      </c>
      <c r="C72" s="608">
        <v>1.0</v>
      </c>
      <c r="D72" s="589"/>
      <c r="E72" s="576" t="s">
        <v>10030</v>
      </c>
      <c r="F72" s="598" t="s">
        <v>9425</v>
      </c>
      <c r="G72" s="578" t="s">
        <v>9805</v>
      </c>
      <c r="H72" s="576" t="s">
        <v>9937</v>
      </c>
      <c r="I72" s="654" t="s">
        <v>8920</v>
      </c>
      <c r="J72" s="656" t="s">
        <v>9936</v>
      </c>
      <c r="K72" s="591"/>
      <c r="P72" s="592"/>
      <c r="R72" s="593"/>
      <c r="S72" s="598" t="s">
        <v>9094</v>
      </c>
      <c r="T72" s="667"/>
      <c r="U72" s="667"/>
      <c r="V72" s="667"/>
      <c r="W72" s="668"/>
      <c r="X72" s="667"/>
      <c r="Y72" s="667"/>
      <c r="Z72" s="669"/>
      <c r="AA72" s="665" t="s">
        <v>9918</v>
      </c>
      <c r="AB72" s="639" t="s">
        <v>9915</v>
      </c>
      <c r="AC72" s="591"/>
      <c r="AE72" s="617"/>
      <c r="AF72" s="618"/>
      <c r="AG72" s="581"/>
    </row>
    <row r="73">
      <c r="A73" s="607" t="s">
        <v>9298</v>
      </c>
      <c r="B73" s="608">
        <v>1.0</v>
      </c>
      <c r="C73" s="608">
        <v>1.0</v>
      </c>
      <c r="D73" s="589"/>
      <c r="E73" s="576" t="s">
        <v>10030</v>
      </c>
      <c r="F73" s="598" t="s">
        <v>9067</v>
      </c>
      <c r="G73" s="578" t="s">
        <v>9805</v>
      </c>
      <c r="H73" s="576" t="s">
        <v>10034</v>
      </c>
      <c r="I73" s="622"/>
      <c r="J73" s="636"/>
      <c r="K73" s="591"/>
      <c r="P73" s="592"/>
      <c r="R73" s="593"/>
      <c r="S73" s="669" t="s">
        <v>9499</v>
      </c>
      <c r="T73" s="667"/>
      <c r="U73" s="667"/>
      <c r="V73" s="667"/>
      <c r="W73" s="668"/>
      <c r="X73" s="667"/>
      <c r="Y73" s="667"/>
      <c r="Z73" s="669" t="s">
        <v>7339</v>
      </c>
      <c r="AA73" s="665" t="s">
        <v>9918</v>
      </c>
      <c r="AB73" s="639" t="s">
        <v>9915</v>
      </c>
      <c r="AC73" s="591"/>
      <c r="AE73" s="617"/>
      <c r="AF73" s="618"/>
      <c r="AG73" s="581"/>
    </row>
    <row r="74">
      <c r="A74" s="607" t="s">
        <v>9210</v>
      </c>
      <c r="B74" s="608">
        <v>1.0</v>
      </c>
      <c r="C74" s="608">
        <v>1.0</v>
      </c>
      <c r="D74" s="589"/>
      <c r="E74" s="576" t="s">
        <v>10030</v>
      </c>
      <c r="F74" s="598" t="s">
        <v>9363</v>
      </c>
      <c r="G74" s="578" t="s">
        <v>9805</v>
      </c>
      <c r="H74" s="576"/>
      <c r="I74" s="576" t="s">
        <v>9723</v>
      </c>
      <c r="J74" s="579" t="s">
        <v>9849</v>
      </c>
      <c r="K74" s="591"/>
      <c r="P74" s="592"/>
      <c r="R74" s="593"/>
      <c r="S74" s="669" t="s">
        <v>9366</v>
      </c>
      <c r="T74" s="667"/>
      <c r="U74" s="667"/>
      <c r="V74" s="667"/>
      <c r="W74" s="668"/>
      <c r="X74" s="667"/>
      <c r="Y74" s="667"/>
      <c r="Z74" s="669" t="s">
        <v>7339</v>
      </c>
      <c r="AA74" s="665" t="s">
        <v>9918</v>
      </c>
      <c r="AB74" s="639" t="s">
        <v>9915</v>
      </c>
      <c r="AC74" s="591"/>
      <c r="AE74" s="617"/>
      <c r="AF74" s="618"/>
      <c r="AG74" s="581"/>
    </row>
    <row r="75">
      <c r="A75" s="625" t="s">
        <v>9560</v>
      </c>
      <c r="B75" s="608">
        <v>1.0</v>
      </c>
      <c r="C75" s="608">
        <v>1.0</v>
      </c>
      <c r="D75" s="589"/>
      <c r="E75" s="576" t="s">
        <v>10030</v>
      </c>
      <c r="F75" s="598" t="s">
        <v>9114</v>
      </c>
      <c r="G75" s="578" t="s">
        <v>9805</v>
      </c>
      <c r="H75" s="576"/>
      <c r="I75" s="576" t="s">
        <v>9723</v>
      </c>
      <c r="J75" s="579" t="s">
        <v>10035</v>
      </c>
      <c r="K75" s="591"/>
      <c r="P75" s="592"/>
      <c r="R75" s="593"/>
      <c r="S75" s="669" t="s">
        <v>9425</v>
      </c>
      <c r="T75" s="667"/>
      <c r="U75" s="667"/>
      <c r="V75" s="667"/>
      <c r="W75" s="668"/>
      <c r="X75" s="667"/>
      <c r="Y75" s="667"/>
      <c r="Z75" s="669" t="s">
        <v>7339</v>
      </c>
      <c r="AA75" s="665" t="s">
        <v>9918</v>
      </c>
      <c r="AB75" s="639" t="s">
        <v>9915</v>
      </c>
      <c r="AC75" s="591"/>
      <c r="AE75" s="617"/>
      <c r="AF75" s="618"/>
      <c r="AG75" s="581"/>
    </row>
    <row r="76">
      <c r="A76" s="607" t="s">
        <v>9526</v>
      </c>
      <c r="B76" s="608">
        <v>1.0</v>
      </c>
      <c r="C76" s="608">
        <v>4.0</v>
      </c>
      <c r="D76" s="589"/>
      <c r="E76" s="576" t="s">
        <v>10030</v>
      </c>
      <c r="F76" s="598" t="s">
        <v>9099</v>
      </c>
      <c r="G76" s="578" t="s">
        <v>9805</v>
      </c>
      <c r="H76" s="576"/>
      <c r="I76" s="576" t="s">
        <v>9723</v>
      </c>
      <c r="J76" s="579" t="s">
        <v>9851</v>
      </c>
      <c r="K76" s="591"/>
      <c r="P76" s="592"/>
      <c r="R76" s="593"/>
      <c r="S76" s="669" t="s">
        <v>9226</v>
      </c>
      <c r="T76" s="667"/>
      <c r="U76" s="667"/>
      <c r="V76" s="667"/>
      <c r="W76" s="668"/>
      <c r="X76" s="667"/>
      <c r="Y76" s="667"/>
      <c r="Z76" s="669" t="s">
        <v>7339</v>
      </c>
      <c r="AA76" s="665" t="s">
        <v>9918</v>
      </c>
      <c r="AB76" s="639" t="s">
        <v>9915</v>
      </c>
      <c r="AC76" s="591"/>
      <c r="AE76" s="617"/>
      <c r="AF76" s="618"/>
      <c r="AG76" s="581"/>
    </row>
    <row r="77">
      <c r="A77" s="607" t="s">
        <v>8954</v>
      </c>
      <c r="B77" s="608">
        <v>1.0</v>
      </c>
      <c r="C77" s="608">
        <v>1.0</v>
      </c>
      <c r="D77" s="589"/>
      <c r="E77" s="576" t="s">
        <v>10030</v>
      </c>
      <c r="F77" s="598" t="s">
        <v>9853</v>
      </c>
      <c r="G77" s="578" t="s">
        <v>9805</v>
      </c>
      <c r="H77" s="576" t="s">
        <v>9855</v>
      </c>
      <c r="I77" s="576" t="s">
        <v>9723</v>
      </c>
      <c r="J77" s="579" t="s">
        <v>9854</v>
      </c>
      <c r="K77" s="591"/>
      <c r="P77" s="592"/>
      <c r="R77" s="593"/>
      <c r="S77" s="669" t="s">
        <v>9041</v>
      </c>
      <c r="T77" s="667"/>
      <c r="U77" s="667"/>
      <c r="V77" s="667"/>
      <c r="W77" s="668"/>
      <c r="X77" s="667"/>
      <c r="Y77" s="667"/>
      <c r="Z77" s="669" t="s">
        <v>7339</v>
      </c>
      <c r="AA77" s="665" t="s">
        <v>9918</v>
      </c>
      <c r="AB77" s="639" t="s">
        <v>9915</v>
      </c>
      <c r="AC77" s="591"/>
      <c r="AE77" s="617"/>
      <c r="AF77" s="618"/>
      <c r="AG77" s="581"/>
    </row>
    <row r="78">
      <c r="A78" s="607" t="s">
        <v>9535</v>
      </c>
      <c r="B78" s="608">
        <v>1.0</v>
      </c>
      <c r="C78" s="608">
        <v>1.0</v>
      </c>
      <c r="D78" s="589"/>
      <c r="E78" s="576" t="s">
        <v>10030</v>
      </c>
      <c r="F78" s="577" t="s">
        <v>9499</v>
      </c>
      <c r="G78" s="578" t="s">
        <v>9805</v>
      </c>
      <c r="H78" s="576" t="s">
        <v>10036</v>
      </c>
      <c r="I78" s="654" t="s">
        <v>8920</v>
      </c>
      <c r="J78" s="656" t="s">
        <v>9953</v>
      </c>
      <c r="K78" s="591"/>
      <c r="P78" s="592"/>
      <c r="R78" s="593"/>
      <c r="S78" s="669" t="s">
        <v>9526</v>
      </c>
      <c r="T78" s="667"/>
      <c r="U78" s="667"/>
      <c r="V78" s="667"/>
      <c r="W78" s="668"/>
      <c r="X78" s="667"/>
      <c r="Y78" s="667"/>
      <c r="Z78" s="669" t="s">
        <v>7339</v>
      </c>
      <c r="AA78" s="665" t="s">
        <v>9918</v>
      </c>
      <c r="AB78" s="639" t="s">
        <v>9915</v>
      </c>
      <c r="AC78" s="591"/>
      <c r="AE78" s="617"/>
      <c r="AF78" s="618"/>
      <c r="AG78" s="581"/>
    </row>
    <row r="79">
      <c r="A79" s="607" t="s">
        <v>8993</v>
      </c>
      <c r="B79" s="608">
        <v>1.0</v>
      </c>
      <c r="C79" s="608">
        <v>1.0</v>
      </c>
      <c r="D79" s="589"/>
      <c r="E79" s="576" t="s">
        <v>10030</v>
      </c>
      <c r="F79" s="598" t="s">
        <v>10037</v>
      </c>
      <c r="G79" s="578" t="s">
        <v>9805</v>
      </c>
      <c r="H79" s="576" t="s">
        <v>9862</v>
      </c>
      <c r="I79" s="576" t="s">
        <v>9723</v>
      </c>
      <c r="J79" s="579" t="s">
        <v>9824</v>
      </c>
      <c r="K79" s="591"/>
      <c r="P79" s="592"/>
      <c r="R79" s="593"/>
      <c r="S79" s="669" t="s">
        <v>9446</v>
      </c>
      <c r="T79" s="667"/>
      <c r="U79" s="667"/>
      <c r="V79" s="667"/>
      <c r="W79" s="668"/>
      <c r="X79" s="667"/>
      <c r="Y79" s="667"/>
      <c r="Z79" s="669" t="s">
        <v>7339</v>
      </c>
      <c r="AA79" s="665" t="s">
        <v>9918</v>
      </c>
      <c r="AB79" s="639" t="s">
        <v>9915</v>
      </c>
      <c r="AC79" s="591"/>
      <c r="AE79" s="617"/>
      <c r="AF79" s="618"/>
      <c r="AG79" s="581"/>
    </row>
    <row r="80">
      <c r="A80" s="607" t="s">
        <v>8976</v>
      </c>
      <c r="B80" s="608">
        <v>1.0</v>
      </c>
      <c r="C80" s="608">
        <v>1.0</v>
      </c>
      <c r="D80" s="589"/>
      <c r="E80" s="576" t="s">
        <v>10030</v>
      </c>
      <c r="F80" s="598" t="s">
        <v>9421</v>
      </c>
      <c r="G80" s="578" t="s">
        <v>9805</v>
      </c>
      <c r="H80" s="576" t="s">
        <v>10039</v>
      </c>
      <c r="I80" s="576" t="s">
        <v>9723</v>
      </c>
      <c r="J80" s="579" t="s">
        <v>10040</v>
      </c>
      <c r="K80" s="591"/>
      <c r="P80" s="592"/>
      <c r="R80" s="593"/>
      <c r="S80" s="669" t="s">
        <v>9467</v>
      </c>
      <c r="T80" s="667"/>
      <c r="U80" s="667"/>
      <c r="V80" s="667"/>
      <c r="W80" s="668"/>
      <c r="X80" s="667"/>
      <c r="Y80" s="667"/>
      <c r="Z80" s="669" t="s">
        <v>7339</v>
      </c>
      <c r="AA80" s="665" t="s">
        <v>9918</v>
      </c>
      <c r="AB80" s="639" t="s">
        <v>9915</v>
      </c>
      <c r="AC80" s="591"/>
      <c r="AE80" s="617"/>
      <c r="AF80" s="618"/>
      <c r="AG80" s="581"/>
    </row>
    <row r="81">
      <c r="A81" s="607" t="s">
        <v>8929</v>
      </c>
      <c r="B81" s="608">
        <v>1.0</v>
      </c>
      <c r="C81" s="608">
        <v>1.0</v>
      </c>
      <c r="D81" s="589"/>
      <c r="E81" s="576" t="s">
        <v>10030</v>
      </c>
      <c r="F81" s="647" t="s">
        <v>9863</v>
      </c>
      <c r="G81" s="578" t="s">
        <v>9805</v>
      </c>
      <c r="H81" s="576" t="s">
        <v>9855</v>
      </c>
      <c r="I81" s="576" t="s">
        <v>9723</v>
      </c>
      <c r="J81" s="579" t="s">
        <v>9854</v>
      </c>
      <c r="K81" s="591"/>
      <c r="P81" s="592"/>
      <c r="R81" s="593"/>
      <c r="S81" s="669" t="s">
        <v>9583</v>
      </c>
      <c r="T81" s="667"/>
      <c r="U81" s="667"/>
      <c r="V81" s="667"/>
      <c r="W81" s="668"/>
      <c r="X81" s="667"/>
      <c r="Y81" s="667"/>
      <c r="Z81" s="669" t="s">
        <v>7339</v>
      </c>
      <c r="AA81" s="665" t="s">
        <v>9918</v>
      </c>
      <c r="AB81" s="639" t="s">
        <v>9915</v>
      </c>
      <c r="AC81" s="591"/>
      <c r="AE81" s="617"/>
      <c r="AF81" s="618"/>
      <c r="AG81" s="581"/>
    </row>
    <row r="82">
      <c r="A82" s="607" t="s">
        <v>9630</v>
      </c>
      <c r="B82" s="608">
        <v>1.0</v>
      </c>
      <c r="C82" s="608">
        <v>1.0</v>
      </c>
      <c r="D82" s="589"/>
      <c r="E82" s="576" t="s">
        <v>10030</v>
      </c>
      <c r="F82" s="649" t="s">
        <v>8990</v>
      </c>
      <c r="G82" s="578" t="s">
        <v>9805</v>
      </c>
      <c r="H82" s="576" t="s">
        <v>9868</v>
      </c>
      <c r="I82" s="576" t="s">
        <v>9723</v>
      </c>
      <c r="J82" s="579" t="s">
        <v>9867</v>
      </c>
      <c r="K82" s="591"/>
      <c r="P82" s="592"/>
      <c r="R82" s="593"/>
      <c r="S82" s="669" t="s">
        <v>9575</v>
      </c>
      <c r="T82" s="667"/>
      <c r="U82" s="667"/>
      <c r="V82" s="667"/>
      <c r="W82" s="668"/>
      <c r="X82" s="667"/>
      <c r="Y82" s="667"/>
      <c r="Z82" s="669" t="s">
        <v>7339</v>
      </c>
      <c r="AA82" s="665" t="s">
        <v>9918</v>
      </c>
      <c r="AB82" s="639" t="s">
        <v>9915</v>
      </c>
      <c r="AC82" s="591"/>
      <c r="AE82" s="617"/>
      <c r="AF82" s="618"/>
      <c r="AG82" s="581"/>
    </row>
    <row r="83">
      <c r="A83" s="607" t="s">
        <v>9366</v>
      </c>
      <c r="B83" s="608">
        <v>1.0</v>
      </c>
      <c r="C83" s="608">
        <v>6.0</v>
      </c>
      <c r="D83" s="589"/>
      <c r="E83" s="576" t="s">
        <v>10030</v>
      </c>
      <c r="F83" s="577" t="s">
        <v>9544</v>
      </c>
      <c r="G83" s="578" t="s">
        <v>9805</v>
      </c>
      <c r="H83" s="576" t="s">
        <v>9544</v>
      </c>
      <c r="I83" s="576" t="s">
        <v>9723</v>
      </c>
      <c r="J83" s="644" t="s">
        <v>10042</v>
      </c>
      <c r="K83" s="591"/>
      <c r="P83" s="592"/>
      <c r="R83" s="593"/>
      <c r="S83" s="669" t="s">
        <v>9063</v>
      </c>
      <c r="T83" s="667"/>
      <c r="U83" s="667"/>
      <c r="V83" s="667"/>
      <c r="W83" s="668"/>
      <c r="X83" s="667"/>
      <c r="Y83" s="667"/>
      <c r="Z83" s="669" t="s">
        <v>7339</v>
      </c>
      <c r="AA83" s="665" t="s">
        <v>9918</v>
      </c>
      <c r="AB83" s="639" t="s">
        <v>9915</v>
      </c>
      <c r="AC83" s="591"/>
      <c r="AE83" s="617"/>
      <c r="AF83" s="618"/>
      <c r="AG83" s="581"/>
    </row>
    <row r="84">
      <c r="A84" s="607" t="s">
        <v>9670</v>
      </c>
      <c r="B84" s="608">
        <v>1.0</v>
      </c>
      <c r="C84" s="608">
        <v>1.0</v>
      </c>
      <c r="D84" s="589"/>
      <c r="E84" s="576" t="s">
        <v>10030</v>
      </c>
      <c r="F84" s="598" t="s">
        <v>8959</v>
      </c>
      <c r="G84" s="578" t="s">
        <v>9805</v>
      </c>
      <c r="H84" s="622"/>
      <c r="I84" s="675" t="s">
        <v>9723</v>
      </c>
      <c r="J84" s="676" t="s">
        <v>10045</v>
      </c>
      <c r="K84" s="591"/>
      <c r="P84" s="592"/>
      <c r="R84" s="593"/>
      <c r="S84" s="669" t="s">
        <v>10021</v>
      </c>
      <c r="T84" s="667"/>
      <c r="U84" s="667"/>
      <c r="V84" s="667"/>
      <c r="W84" s="668"/>
      <c r="X84" s="667"/>
      <c r="Y84" s="667"/>
      <c r="Z84" s="669" t="s">
        <v>7339</v>
      </c>
      <c r="AA84" s="665" t="s">
        <v>9918</v>
      </c>
      <c r="AB84" s="639" t="s">
        <v>9915</v>
      </c>
      <c r="AC84" s="591"/>
      <c r="AE84" s="617"/>
      <c r="AF84" s="618"/>
      <c r="AG84" s="581"/>
    </row>
    <row r="85" ht="19.5" customHeight="1">
      <c r="A85" s="607" t="s">
        <v>8979</v>
      </c>
      <c r="B85" s="608">
        <v>1.0</v>
      </c>
      <c r="C85" s="608">
        <v>2.0</v>
      </c>
      <c r="D85" s="589"/>
      <c r="E85" s="576" t="s">
        <v>10030</v>
      </c>
      <c r="F85" s="598" t="s">
        <v>9016</v>
      </c>
      <c r="G85" s="578" t="s">
        <v>9818</v>
      </c>
      <c r="H85" s="576" t="s">
        <v>9939</v>
      </c>
      <c r="I85" s="576" t="s">
        <v>8920</v>
      </c>
      <c r="J85" s="619" t="s">
        <v>9938</v>
      </c>
      <c r="K85" s="591"/>
      <c r="P85" s="592"/>
      <c r="R85" s="593"/>
      <c r="S85" s="669" t="s">
        <v>9597</v>
      </c>
      <c r="T85" s="667"/>
      <c r="U85" s="667"/>
      <c r="V85" s="667"/>
      <c r="W85" s="668"/>
      <c r="X85" s="667"/>
      <c r="Y85" s="667"/>
      <c r="Z85" s="669" t="s">
        <v>7339</v>
      </c>
      <c r="AA85" s="665" t="s">
        <v>9918</v>
      </c>
      <c r="AB85" s="639" t="s">
        <v>9915</v>
      </c>
      <c r="AC85" s="591"/>
      <c r="AE85" s="617"/>
      <c r="AF85" s="618"/>
      <c r="AG85" s="581"/>
    </row>
    <row r="86">
      <c r="A86" s="625" t="s">
        <v>8933</v>
      </c>
      <c r="B86" s="608">
        <v>1.0</v>
      </c>
      <c r="C86" s="608">
        <v>1.0</v>
      </c>
      <c r="D86" s="589"/>
      <c r="E86" s="576" t="s">
        <v>10030</v>
      </c>
      <c r="F86" s="577" t="s">
        <v>8950</v>
      </c>
      <c r="G86" s="578" t="s">
        <v>9805</v>
      </c>
      <c r="H86" s="576" t="s">
        <v>9855</v>
      </c>
      <c r="I86" s="576" t="s">
        <v>9723</v>
      </c>
      <c r="J86" s="579" t="s">
        <v>10062</v>
      </c>
      <c r="K86" s="591"/>
      <c r="P86" s="592"/>
      <c r="R86" s="593"/>
      <c r="S86" s="525" t="s">
        <v>8950</v>
      </c>
      <c r="T86" s="681"/>
      <c r="U86" s="681"/>
      <c r="V86" s="681"/>
      <c r="W86" s="682"/>
      <c r="X86" s="681"/>
      <c r="Y86" s="681"/>
      <c r="Z86" s="525"/>
      <c r="AA86" s="665" t="s">
        <v>9918</v>
      </c>
      <c r="AB86" s="530" t="str">
        <f t="shared" ref="AB86:AB109" si="6">AA86</f>
        <v>NO_RECIPIENT</v>
      </c>
      <c r="AC86" s="591"/>
      <c r="AE86" s="617"/>
      <c r="AF86" s="618"/>
      <c r="AG86" s="581"/>
    </row>
    <row r="87">
      <c r="A87" s="607" t="s">
        <v>8998</v>
      </c>
      <c r="B87" s="608">
        <v>1.0</v>
      </c>
      <c r="C87" s="608">
        <v>4.0</v>
      </c>
      <c r="D87" s="589"/>
      <c r="E87" s="576" t="s">
        <v>10030</v>
      </c>
      <c r="F87" s="598" t="s">
        <v>9321</v>
      </c>
      <c r="G87" s="578" t="s">
        <v>9805</v>
      </c>
      <c r="H87" s="622"/>
      <c r="I87" s="622"/>
      <c r="J87" s="636"/>
      <c r="K87" s="591"/>
      <c r="P87" s="592"/>
      <c r="R87" s="593"/>
      <c r="S87" s="525" t="s">
        <v>8979</v>
      </c>
      <c r="T87" s="681"/>
      <c r="U87" s="681"/>
      <c r="V87" s="681"/>
      <c r="W87" s="682"/>
      <c r="X87" s="681"/>
      <c r="Y87" s="681"/>
      <c r="Z87" s="525"/>
      <c r="AA87" s="665" t="s">
        <v>9918</v>
      </c>
      <c r="AB87" s="530" t="str">
        <f t="shared" si="6"/>
        <v>NO_RECIPIENT</v>
      </c>
      <c r="AC87" s="591"/>
      <c r="AE87" s="617"/>
      <c r="AF87" s="618"/>
      <c r="AG87" s="581"/>
    </row>
    <row r="88">
      <c r="A88" s="607" t="s">
        <v>8950</v>
      </c>
      <c r="B88" s="608">
        <v>1.0</v>
      </c>
      <c r="C88" s="608">
        <v>9.0</v>
      </c>
      <c r="D88" s="589"/>
      <c r="E88" s="576" t="s">
        <v>10030</v>
      </c>
      <c r="F88" s="577" t="s">
        <v>9037</v>
      </c>
      <c r="G88" s="578" t="s">
        <v>9848</v>
      </c>
      <c r="H88" s="576" t="s">
        <v>9037</v>
      </c>
      <c r="I88" s="576" t="s">
        <v>9723</v>
      </c>
      <c r="J88" s="579" t="s">
        <v>9898</v>
      </c>
      <c r="K88" s="591"/>
      <c r="P88" s="592"/>
      <c r="R88" s="593"/>
      <c r="S88" s="525" t="s">
        <v>8950</v>
      </c>
      <c r="T88" s="681"/>
      <c r="U88" s="681"/>
      <c r="V88" s="681"/>
      <c r="W88" s="682"/>
      <c r="X88" s="681"/>
      <c r="Y88" s="681"/>
      <c r="Z88" s="525"/>
      <c r="AA88" s="665" t="s">
        <v>9918</v>
      </c>
      <c r="AB88" s="530" t="str">
        <f t="shared" si="6"/>
        <v>NO_RECIPIENT</v>
      </c>
      <c r="AC88" s="591"/>
      <c r="AE88" s="617"/>
      <c r="AF88" s="618"/>
      <c r="AG88" s="581"/>
    </row>
    <row r="89" ht="26.25" customHeight="1">
      <c r="A89" s="607" t="s">
        <v>9494</v>
      </c>
      <c r="B89" s="608">
        <v>1.0</v>
      </c>
      <c r="C89" s="608">
        <v>1.0</v>
      </c>
      <c r="D89" s="589"/>
      <c r="E89" s="576" t="s">
        <v>10030</v>
      </c>
      <c r="F89" s="577" t="s">
        <v>9563</v>
      </c>
      <c r="G89" s="578" t="s">
        <v>9818</v>
      </c>
      <c r="H89" s="576" t="s">
        <v>9958</v>
      </c>
      <c r="I89" s="576" t="s">
        <v>8920</v>
      </c>
      <c r="J89" s="80" t="s">
        <v>9957</v>
      </c>
      <c r="K89" s="591"/>
      <c r="P89" s="592"/>
      <c r="R89" s="593"/>
      <c r="S89" s="525" t="s">
        <v>9600</v>
      </c>
      <c r="T89" s="681" t="str">
        <f t="shared" ref="T89:T116" si="7">VLOOKUP(S89,F:J,4,FALSE)</f>
        <v/>
      </c>
      <c r="U89" s="681" t="str">
        <f t="shared" ref="U89:U91" si="8">VLOOKUP($S89,$F$4:$O$201,5,false)</f>
        <v>gsbmediarelations@stanford.edu,
corporatevalley@gmail.com,
media-relations@andrew.cmu.edu,
ford@startupgrind.com</v>
      </c>
      <c r="V89" s="681" t="str">
        <f t="shared" ref="V89:V116" si="9">VLOOKUP($S89,$F$4:$O$201,3,false)</f>
        <v>GSB
https://www.iit-bayarea.org/contact-us
corperate valley
Carnigie Mellon University
https://mitpress.mit.edu/contact-us/confirmation?token=2uQAMGDr1Dy2J4z3ZHFiCkh6VQKim6abxwBaWyHZGAc</v>
      </c>
      <c r="W89" s="690" t="str">
        <f t="shared" ref="W89:W108" si="10">VLOOKUP($S89,$L:$O,2,False)</f>
        <v>https://www.youtube.com/watch?v=MsGgZp_PAzM</v>
      </c>
      <c r="X89" s="681" t="str">
        <f>VLOOKUP($W89,'Bespoke Speaker Intros'!$D:$E,2,False)</f>
        <v>00:00:03:15 - 00:00:15:06,  00:00:48:26 - 00:00:56:00, 00:03:06:23 - 00:03:13:03, 00:06:20:13 - 00:06:23:10, 00:19:36:09 - 00:19:40:27, 00:20:34:01 - 00:20:41:11, </v>
      </c>
      <c r="Y89" s="681">
        <f>VLOOKUP($W89,'Bespoke Speaker Intros'!$D:$F,3,false)</f>
        <v>47</v>
      </c>
      <c r="Z89" s="525" t="s">
        <v>10084</v>
      </c>
      <c r="AA89" s="665" t="s">
        <v>9264</v>
      </c>
      <c r="AB89" s="530" t="str">
        <f t="shared" si="6"/>
        <v>RESPONDED</v>
      </c>
      <c r="AC89" s="591"/>
      <c r="AE89" s="617"/>
      <c r="AF89" s="618"/>
      <c r="AG89" s="581"/>
    </row>
    <row r="90">
      <c r="A90" s="607" t="s">
        <v>9259</v>
      </c>
      <c r="B90" s="608">
        <v>1.0</v>
      </c>
      <c r="C90" s="608">
        <v>1.0</v>
      </c>
      <c r="D90" s="589"/>
      <c r="E90" s="576" t="s">
        <v>10030</v>
      </c>
      <c r="F90" s="598" t="s">
        <v>9462</v>
      </c>
      <c r="G90" s="578" t="s">
        <v>9805</v>
      </c>
      <c r="H90" s="576" t="s">
        <v>10085</v>
      </c>
      <c r="I90" s="576" t="s">
        <v>8920</v>
      </c>
      <c r="J90" s="111" t="s">
        <v>10086</v>
      </c>
      <c r="K90" s="591"/>
      <c r="P90" s="592"/>
      <c r="R90" s="593"/>
      <c r="S90" s="525" t="s">
        <v>9899</v>
      </c>
      <c r="T90" s="681" t="str">
        <f t="shared" si="7"/>
        <v>Email</v>
      </c>
      <c r="U90" s="681" t="str">
        <f t="shared" si="8"/>
        <v>appsupport@eentertainment.com</v>
      </c>
      <c r="V90" s="681" t="str">
        <f t="shared" si="9"/>
        <v/>
      </c>
      <c r="W90" s="682" t="str">
        <f t="shared" si="10"/>
        <v>#N/A</v>
      </c>
      <c r="X90" s="681" t="str">
        <f>VLOOKUP($W90,'Bespoke Speaker Intros'!$D:$E,2,False)</f>
        <v>#N/A</v>
      </c>
      <c r="Y90" s="681" t="str">
        <f>VLOOKUP($W90,'Bespoke Speaker Intros'!$D:$F,3,false)</f>
        <v>#N/A</v>
      </c>
      <c r="Z90" s="525" t="s">
        <v>10084</v>
      </c>
      <c r="AA90" s="665" t="s">
        <v>9742</v>
      </c>
      <c r="AB90" s="530" t="str">
        <f t="shared" si="6"/>
        <v>EMAIL_SENT</v>
      </c>
      <c r="AC90" s="591"/>
      <c r="AE90" s="617"/>
      <c r="AF90" s="618"/>
      <c r="AG90" s="581"/>
    </row>
    <row r="91">
      <c r="A91" s="607" t="s">
        <v>9499</v>
      </c>
      <c r="B91" s="608">
        <v>1.0</v>
      </c>
      <c r="C91" s="608">
        <v>5.0</v>
      </c>
      <c r="D91" s="589"/>
      <c r="E91" s="576" t="s">
        <v>10030</v>
      </c>
      <c r="F91" s="598" t="s">
        <v>8946</v>
      </c>
      <c r="G91" s="578" t="s">
        <v>9805</v>
      </c>
      <c r="H91" s="576" t="s">
        <v>10029</v>
      </c>
      <c r="I91" s="576" t="s">
        <v>9723</v>
      </c>
      <c r="J91" s="691" t="s">
        <v>10028</v>
      </c>
      <c r="K91" s="591"/>
      <c r="P91" s="592"/>
      <c r="R91" s="593"/>
      <c r="S91" s="525" t="s">
        <v>9166</v>
      </c>
      <c r="T91" s="681" t="str">
        <f t="shared" si="7"/>
        <v>Email</v>
      </c>
      <c r="U91" s="681" t="str">
        <f t="shared" si="8"/>
        <v>press@fb.com</v>
      </c>
      <c r="V91" s="681" t="str">
        <f t="shared" si="9"/>
        <v/>
      </c>
      <c r="W91" s="690" t="str">
        <f t="shared" si="10"/>
        <v>https://www.youtube.com/watch?v=Tbds365RQvE</v>
      </c>
      <c r="X91" s="681" t="str">
        <f>VLOOKUP($W91,'Bespoke Speaker Intros'!$D:$E,2,False)</f>
        <v>00:00:26:14-00:00:31:19, 
00:00:54:06-00:00:56:16</v>
      </c>
      <c r="Y91" s="681">
        <f>VLOOKUP($W91,'Bespoke Speaker Intros'!$D:$F,3,false)</f>
        <v>7</v>
      </c>
      <c r="Z91" s="525" t="s">
        <v>10084</v>
      </c>
      <c r="AA91" s="665" t="s">
        <v>9808</v>
      </c>
      <c r="AB91" s="530" t="str">
        <f t="shared" si="6"/>
        <v>EMAIL_OPENED</v>
      </c>
      <c r="AC91" s="591"/>
      <c r="AE91" s="617"/>
      <c r="AF91" s="618"/>
      <c r="AG91" s="581"/>
    </row>
    <row r="92">
      <c r="A92" s="607" t="s">
        <v>9624</v>
      </c>
      <c r="B92" s="608">
        <v>1.0</v>
      </c>
      <c r="C92" s="608">
        <v>1.0</v>
      </c>
      <c r="D92" s="589"/>
      <c r="E92" s="576" t="s">
        <v>10030</v>
      </c>
      <c r="F92" s="598" t="s">
        <v>8942</v>
      </c>
      <c r="G92" s="578" t="s">
        <v>9805</v>
      </c>
      <c r="H92" s="576" t="s">
        <v>10027</v>
      </c>
      <c r="I92" s="576" t="s">
        <v>9723</v>
      </c>
      <c r="J92" s="692" t="s">
        <v>10026</v>
      </c>
      <c r="K92" s="591"/>
      <c r="P92" s="592"/>
      <c r="R92" s="593"/>
      <c r="S92" s="693" t="s">
        <v>9457</v>
      </c>
      <c r="T92" s="681" t="str">
        <f t="shared" si="7"/>
        <v>Email</v>
      </c>
      <c r="U92" s="681"/>
      <c r="V92" s="681" t="str">
        <f t="shared" si="9"/>
        <v/>
      </c>
      <c r="W92" s="690" t="str">
        <f t="shared" si="10"/>
        <v>https://youtu.be/HA2PFGyCoes</v>
      </c>
      <c r="X92" s="681" t="str">
        <f>VLOOKUP($W92,'Bespoke Speaker Intros'!$D:$E,2,False)</f>
        <v>N/A</v>
      </c>
      <c r="Y92" s="681" t="str">
        <f>VLOOKUP($W92,'Bespoke Speaker Intros'!$D:$F,3,false)</f>
        <v/>
      </c>
      <c r="Z92" s="525" t="s">
        <v>10084</v>
      </c>
      <c r="AA92" s="665" t="s">
        <v>9918</v>
      </c>
      <c r="AB92" s="530" t="str">
        <f t="shared" si="6"/>
        <v>NO_RECIPIENT</v>
      </c>
      <c r="AC92" s="591"/>
      <c r="AE92" s="617"/>
      <c r="AF92" s="618"/>
      <c r="AG92" s="581"/>
    </row>
    <row r="93">
      <c r="A93" s="607" t="s">
        <v>9135</v>
      </c>
      <c r="B93" s="608">
        <v>1.0</v>
      </c>
      <c r="C93" s="608">
        <v>3.0</v>
      </c>
      <c r="D93" s="589"/>
      <c r="E93" s="576" t="s">
        <v>10030</v>
      </c>
      <c r="F93" s="598" t="s">
        <v>9396</v>
      </c>
      <c r="G93" s="578" t="s">
        <v>9805</v>
      </c>
      <c r="H93" s="576" t="s">
        <v>9396</v>
      </c>
      <c r="I93" s="576" t="s">
        <v>9723</v>
      </c>
      <c r="J93" s="694" t="s">
        <v>10089</v>
      </c>
      <c r="K93" s="591"/>
      <c r="P93" s="592"/>
      <c r="R93" s="593"/>
      <c r="S93" s="693" t="s">
        <v>9516</v>
      </c>
      <c r="T93" s="681" t="str">
        <f t="shared" si="7"/>
        <v>Email</v>
      </c>
      <c r="U93" s="681" t="str">
        <f t="shared" ref="U93:U97" si="11">VLOOKUP($S93,$F$4:$O$201,5,false)</f>
        <v>contactus@foxbusiness.com</v>
      </c>
      <c r="V93" s="681" t="str">
        <f t="shared" si="9"/>
        <v/>
      </c>
      <c r="W93" s="690" t="str">
        <f t="shared" si="10"/>
        <v>https://www.youtube.com/watch?v=KeQFTe6WpHs</v>
      </c>
      <c r="X93" s="681" t="str">
        <f>VLOOKUP($W93,'Bespoke Speaker Intros'!$D:$E,2,False)</f>
        <v>0:20 - 0:26</v>
      </c>
      <c r="Y93" s="681">
        <f>VLOOKUP($W93,'Bespoke Speaker Intros'!$D:$F,3,false)</f>
        <v>6</v>
      </c>
      <c r="Z93" s="525" t="s">
        <v>10084</v>
      </c>
      <c r="AA93" s="665" t="s">
        <v>9742</v>
      </c>
      <c r="AB93" s="530" t="str">
        <f t="shared" si="6"/>
        <v>EMAIL_SENT</v>
      </c>
      <c r="AC93" s="591"/>
      <c r="AE93" s="617"/>
      <c r="AF93" s="618"/>
      <c r="AG93" s="581"/>
    </row>
    <row r="94">
      <c r="A94" s="607" t="s">
        <v>9614</v>
      </c>
      <c r="B94" s="608">
        <v>1.0</v>
      </c>
      <c r="C94" s="608">
        <v>1.0</v>
      </c>
      <c r="D94" s="589"/>
      <c r="E94" s="576" t="s">
        <v>10030</v>
      </c>
      <c r="F94" s="577" t="s">
        <v>9691</v>
      </c>
      <c r="G94" s="578" t="s">
        <v>9814</v>
      </c>
      <c r="H94" s="576" t="s">
        <v>9691</v>
      </c>
      <c r="I94" s="576" t="s">
        <v>9723</v>
      </c>
      <c r="J94" s="579" t="s">
        <v>9892</v>
      </c>
      <c r="K94" s="591"/>
      <c r="P94" s="592"/>
      <c r="R94" s="593"/>
      <c r="S94" s="525" t="s">
        <v>8916</v>
      </c>
      <c r="T94" s="681" t="str">
        <f t="shared" si="7"/>
        <v>Online form</v>
      </c>
      <c r="U94" s="695" t="str">
        <f t="shared" si="11"/>
        <v>https://www.francemediasmonde.com/en/contact?brand=f24</v>
      </c>
      <c r="V94" s="681" t="str">
        <f t="shared" si="9"/>
        <v/>
      </c>
      <c r="W94" s="690" t="str">
        <f t="shared" si="10"/>
        <v>https://www.youtube.com/watch?v=oiAFAYE_HLo</v>
      </c>
      <c r="X94" s="681" t="str">
        <f>VLOOKUP($W94,'Bespoke Speaker Intros'!$D:$E,2,False)</f>
        <v>00:01:56:04 - 00:01:59:03, 
00:00:17:11 - 00:00:19:02, 
00:00:14:10 - 00:00:18:09,</v>
      </c>
      <c r="Y94" s="681">
        <f>VLOOKUP($W94,'Bespoke Speaker Intros'!$D:$F,3,false)</f>
        <v>9</v>
      </c>
      <c r="Z94" s="525" t="s">
        <v>10084</v>
      </c>
      <c r="AA94" s="665" t="s">
        <v>9914</v>
      </c>
      <c r="AB94" s="530" t="str">
        <f t="shared" si="6"/>
        <v>ERROR</v>
      </c>
      <c r="AC94" s="591"/>
      <c r="AE94" s="617"/>
      <c r="AF94" s="618"/>
      <c r="AG94" s="581"/>
    </row>
    <row r="95">
      <c r="A95" s="607" t="s">
        <v>9070</v>
      </c>
      <c r="B95" s="608">
        <v>1.0</v>
      </c>
      <c r="C95" s="608">
        <v>1.0</v>
      </c>
      <c r="D95" s="589"/>
      <c r="E95" s="576" t="s">
        <v>10030</v>
      </c>
      <c r="F95" s="577" t="s">
        <v>9624</v>
      </c>
      <c r="G95" s="578" t="s">
        <v>9805</v>
      </c>
      <c r="H95" s="576"/>
      <c r="I95" s="576" t="s">
        <v>9723</v>
      </c>
      <c r="J95" s="579" t="s">
        <v>9870</v>
      </c>
      <c r="K95" s="591"/>
      <c r="P95" s="592"/>
      <c r="R95" s="593"/>
      <c r="S95" s="525" t="s">
        <v>9473</v>
      </c>
      <c r="T95" s="681" t="str">
        <f t="shared" si="7"/>
        <v>Email</v>
      </c>
      <c r="U95" s="681" t="str">
        <f t="shared" si="11"/>
        <v>help@ft.com</v>
      </c>
      <c r="V95" s="681" t="str">
        <f t="shared" si="9"/>
        <v/>
      </c>
      <c r="W95" s="690" t="str">
        <f t="shared" si="10"/>
        <v>https://www.youtube.com/watch?v=DUJwyzW4HNI</v>
      </c>
      <c r="X95" s="681" t="str">
        <f>VLOOKUP($W95,'Bespoke Speaker Intros'!$D:$E,2,False)</f>
        <v>00:00:00:00 - 00:00:07:10, 
00:00:13:12 - 00:00:24:29, 
00:01:38:18 - 00:01:54:06, </v>
      </c>
      <c r="Y95" s="681" t="str">
        <f>VLOOKUP($W95,'Bespoke Speaker Intros'!$D:$F,3,false)</f>
        <v/>
      </c>
      <c r="Z95" s="525" t="s">
        <v>10084</v>
      </c>
      <c r="AA95" s="665" t="s">
        <v>9808</v>
      </c>
      <c r="AB95" s="530" t="str">
        <f t="shared" si="6"/>
        <v>EMAIL_OPENED</v>
      </c>
      <c r="AC95" s="591"/>
      <c r="AE95" s="617"/>
      <c r="AF95" s="618"/>
      <c r="AG95" s="581"/>
    </row>
    <row r="96">
      <c r="A96" s="607" t="s">
        <v>9002</v>
      </c>
      <c r="B96" s="608">
        <v>1.0</v>
      </c>
      <c r="C96" s="608">
        <v>1.0</v>
      </c>
      <c r="D96" s="589"/>
      <c r="E96" s="576" t="s">
        <v>10030</v>
      </c>
      <c r="F96" s="577" t="s">
        <v>9620</v>
      </c>
      <c r="G96" s="578" t="s">
        <v>9814</v>
      </c>
      <c r="H96" s="576" t="s">
        <v>9620</v>
      </c>
      <c r="I96" s="576" t="s">
        <v>9723</v>
      </c>
      <c r="J96" s="579" t="s">
        <v>9902</v>
      </c>
      <c r="K96" s="591"/>
      <c r="P96" s="592"/>
      <c r="R96" s="593"/>
      <c r="S96" s="525" t="s">
        <v>9416</v>
      </c>
      <c r="T96" s="681" t="str">
        <f t="shared" si="7"/>
        <v/>
      </c>
      <c r="U96" s="681" t="str">
        <f t="shared" si="11"/>
        <v/>
      </c>
      <c r="V96" s="681" t="str">
        <f t="shared" si="9"/>
        <v/>
      </c>
      <c r="W96" s="690" t="str">
        <f t="shared" si="10"/>
        <v>https://www.youtube.com/watch?v=mnM3YLcIJLg</v>
      </c>
      <c r="X96" s="681" t="str">
        <f>VLOOKUP($W96,'Bespoke Speaker Intros'!$D:$E,2,False)</f>
        <v>N/A</v>
      </c>
      <c r="Y96" s="681" t="str">
        <f>VLOOKUP($W96,'Bespoke Speaker Intros'!$D:$F,3,false)</f>
        <v/>
      </c>
      <c r="Z96" s="525" t="s">
        <v>10084</v>
      </c>
      <c r="AA96" s="665" t="s">
        <v>9918</v>
      </c>
      <c r="AB96" s="530" t="str">
        <f t="shared" si="6"/>
        <v>NO_RECIPIENT</v>
      </c>
      <c r="AC96" s="591"/>
      <c r="AE96" s="617"/>
      <c r="AF96" s="618"/>
      <c r="AG96" s="581"/>
    </row>
    <row r="97">
      <c r="A97" s="607" t="s">
        <v>8974</v>
      </c>
      <c r="B97" s="608">
        <v>1.0</v>
      </c>
      <c r="C97" s="608">
        <v>1.0</v>
      </c>
      <c r="D97" s="589"/>
      <c r="E97" s="576" t="s">
        <v>10030</v>
      </c>
      <c r="F97" s="577" t="s">
        <v>9259</v>
      </c>
      <c r="G97" s="578" t="s">
        <v>9805</v>
      </c>
      <c r="H97" s="576"/>
      <c r="I97" s="576" t="s">
        <v>9723</v>
      </c>
      <c r="J97" s="579" t="s">
        <v>9962</v>
      </c>
      <c r="K97" s="591"/>
      <c r="P97" s="592"/>
      <c r="R97" s="593"/>
      <c r="S97" s="525" t="s">
        <v>9010</v>
      </c>
      <c r="T97" s="681" t="str">
        <f t="shared" si="7"/>
        <v>Email</v>
      </c>
      <c r="U97" s="681" t="str">
        <f t="shared" si="11"/>
        <v>adudley@grahambensinger.com</v>
      </c>
      <c r="V97" s="681" t="str">
        <f t="shared" si="9"/>
        <v/>
      </c>
      <c r="W97" s="690" t="str">
        <f t="shared" si="10"/>
        <v>https://www.youtube.com/watch?v=RCEdz_poAAM</v>
      </c>
      <c r="X97" s="681" t="str">
        <f>VLOOKUP($W97,'Bespoke Speaker Intros'!$D:$E,2,False)</f>
        <v>04:33:16-04:39:03</v>
      </c>
      <c r="Y97" s="681">
        <f>VLOOKUP($W97,'Bespoke Speaker Intros'!$D:$F,3,false)</f>
        <v>6</v>
      </c>
      <c r="Z97" s="525" t="s">
        <v>10084</v>
      </c>
      <c r="AA97" s="665" t="s">
        <v>9264</v>
      </c>
      <c r="AB97" s="530" t="str">
        <f t="shared" si="6"/>
        <v>RESPONDED</v>
      </c>
      <c r="AC97" s="591"/>
      <c r="AE97" s="617"/>
      <c r="AF97" s="618"/>
      <c r="AG97" s="581"/>
    </row>
    <row r="98">
      <c r="A98" s="607" t="s">
        <v>9446</v>
      </c>
      <c r="B98" s="608">
        <v>1.0</v>
      </c>
      <c r="C98" s="608">
        <v>7.0</v>
      </c>
      <c r="D98" s="589"/>
      <c r="E98" s="576" t="s">
        <v>10030</v>
      </c>
      <c r="F98" s="577" t="s">
        <v>9641</v>
      </c>
      <c r="G98" s="578" t="s">
        <v>9814</v>
      </c>
      <c r="H98" s="576" t="s">
        <v>9641</v>
      </c>
      <c r="I98" s="576" t="s">
        <v>9723</v>
      </c>
      <c r="J98" s="579" t="s">
        <v>9904</v>
      </c>
      <c r="K98" s="591"/>
      <c r="P98" s="592"/>
      <c r="R98" s="593"/>
      <c r="S98" s="525" t="s">
        <v>9359</v>
      </c>
      <c r="T98" s="681" t="str">
        <f t="shared" si="7"/>
        <v>Email</v>
      </c>
      <c r="U98" s="681"/>
      <c r="V98" s="681" t="str">
        <f t="shared" si="9"/>
        <v/>
      </c>
      <c r="W98" s="690" t="str">
        <f t="shared" si="10"/>
        <v>https://www.youtube.com/watch?v=wzVoToSe9A0</v>
      </c>
      <c r="X98" s="681" t="str">
        <f>VLOOKUP($W98,'Bespoke Speaker Intros'!$D:$E,2,False)</f>
        <v>N/A</v>
      </c>
      <c r="Y98" s="681" t="str">
        <f>VLOOKUP($W98,'Bespoke Speaker Intros'!$D:$F,3,false)</f>
        <v/>
      </c>
      <c r="Z98" s="525" t="s">
        <v>10084</v>
      </c>
      <c r="AA98" s="665" t="s">
        <v>9918</v>
      </c>
      <c r="AB98" s="530" t="str">
        <f t="shared" si="6"/>
        <v>NO_RECIPIENT</v>
      </c>
      <c r="AC98" s="591"/>
      <c r="AE98" s="617"/>
      <c r="AF98" s="618"/>
      <c r="AG98" s="581"/>
    </row>
    <row r="99">
      <c r="A99" s="607" t="s">
        <v>9467</v>
      </c>
      <c r="B99" s="608">
        <v>1.0</v>
      </c>
      <c r="C99" s="608">
        <v>2.0</v>
      </c>
      <c r="D99" s="591"/>
      <c r="E99" s="576" t="s">
        <v>10092</v>
      </c>
      <c r="F99" s="577" t="s">
        <v>9685</v>
      </c>
      <c r="G99" s="578" t="s">
        <v>9805</v>
      </c>
      <c r="H99" s="576"/>
      <c r="I99" s="576" t="s">
        <v>9723</v>
      </c>
      <c r="J99" s="579" t="s">
        <v>9872</v>
      </c>
      <c r="K99" s="591"/>
      <c r="P99" s="592"/>
      <c r="R99" s="593"/>
      <c r="S99" s="525" t="s">
        <v>9120</v>
      </c>
      <c r="T99" s="681" t="str">
        <f t="shared" si="7"/>
        <v>Email</v>
      </c>
      <c r="U99" s="681" t="str">
        <f t="shared" ref="U99:U110" si="12">VLOOKUP($S99,$F$4:$O$201,5,false)</f>
        <v>marketing@iab.com</v>
      </c>
      <c r="V99" s="681" t="str">
        <f t="shared" si="9"/>
        <v/>
      </c>
      <c r="W99" s="690" t="str">
        <f t="shared" si="10"/>
        <v>https://www.youtube.com/watch?v=DkY9p09XwuE</v>
      </c>
      <c r="X99" s="681" t="str">
        <f>VLOOKUP($W99,'Bespoke Speaker Intros'!$D:$E,2,False)</f>
        <v>00:00:58:22-00:01:07:13, 
00:02:24:23-00:02:29:00</v>
      </c>
      <c r="Y99" s="681">
        <f>VLOOKUP($W99,'Bespoke Speaker Intros'!$D:$F,3,false)</f>
        <v>8</v>
      </c>
      <c r="Z99" s="525" t="s">
        <v>10084</v>
      </c>
      <c r="AA99" s="665" t="s">
        <v>9847</v>
      </c>
      <c r="AB99" s="530" t="str">
        <f t="shared" si="6"/>
        <v>EMAIL_CLICKED</v>
      </c>
      <c r="AC99" s="591"/>
      <c r="AE99" s="617"/>
      <c r="AF99" s="618"/>
      <c r="AG99" s="581"/>
    </row>
    <row r="100">
      <c r="A100" s="607" t="s">
        <v>9377</v>
      </c>
      <c r="B100" s="608">
        <v>1.0</v>
      </c>
      <c r="C100" s="608">
        <v>1.0</v>
      </c>
      <c r="D100" s="589"/>
      <c r="E100" s="576" t="s">
        <v>10092</v>
      </c>
      <c r="F100" s="577" t="s">
        <v>9304</v>
      </c>
      <c r="G100" s="578" t="s">
        <v>9805</v>
      </c>
      <c r="H100" s="622"/>
      <c r="I100" s="576" t="s">
        <v>9723</v>
      </c>
      <c r="J100" s="579" t="s">
        <v>9906</v>
      </c>
      <c r="K100" s="591"/>
      <c r="P100" s="592"/>
      <c r="R100" s="593"/>
      <c r="S100" s="525" t="s">
        <v>9020</v>
      </c>
      <c r="T100" s="681" t="str">
        <f t="shared" si="7"/>
        <v>Email</v>
      </c>
      <c r="U100" s="695" t="str">
        <f t="shared" si="12"/>
        <v>jcpnews@jcp.com</v>
      </c>
      <c r="V100" s="681" t="str">
        <f t="shared" si="9"/>
        <v/>
      </c>
      <c r="W100" s="690" t="str">
        <f t="shared" si="10"/>
        <v>https://www.youtube.com/watch?v=PsYo1hoAQvE</v>
      </c>
      <c r="X100" s="681" t="str">
        <f>VLOOKUP($W100,'Bespoke Speaker Intros'!$D:$E,2,False)</f>
        <v>00:02:03-00:03:21</v>
      </c>
      <c r="Y100" s="681">
        <f>VLOOKUP($W100,'Bespoke Speaker Intros'!$D:$F,3,false)</f>
        <v>2</v>
      </c>
      <c r="Z100" s="525" t="s">
        <v>10084</v>
      </c>
      <c r="AA100" s="665" t="s">
        <v>9808</v>
      </c>
      <c r="AB100" s="530" t="str">
        <f t="shared" si="6"/>
        <v>EMAIL_OPENED</v>
      </c>
      <c r="AC100" s="591"/>
      <c r="AE100" s="617"/>
      <c r="AF100" s="618"/>
      <c r="AG100" s="581"/>
    </row>
    <row r="101">
      <c r="A101" s="607" t="s">
        <v>9152</v>
      </c>
      <c r="B101" s="608">
        <v>1.0</v>
      </c>
      <c r="C101" s="608">
        <v>9.0</v>
      </c>
      <c r="D101" s="589"/>
      <c r="E101" s="576" t="s">
        <v>10092</v>
      </c>
      <c r="F101" s="577" t="s">
        <v>9656</v>
      </c>
      <c r="G101" s="578" t="s">
        <v>9805</v>
      </c>
      <c r="H101" s="576" t="s">
        <v>9876</v>
      </c>
      <c r="I101" s="576" t="s">
        <v>9723</v>
      </c>
      <c r="J101" s="579" t="s">
        <v>9875</v>
      </c>
      <c r="K101" s="591"/>
      <c r="P101" s="592"/>
      <c r="R101" s="593"/>
      <c r="S101" s="525" t="s">
        <v>9551</v>
      </c>
      <c r="T101" s="681" t="str">
        <f t="shared" si="7"/>
        <v>Online form</v>
      </c>
      <c r="U101" s="695" t="str">
        <f t="shared" si="12"/>
        <v>https://scripps.com/contact/</v>
      </c>
      <c r="V101" s="681" t="str">
        <f t="shared" si="9"/>
        <v/>
      </c>
      <c r="W101" s="690" t="str">
        <f t="shared" si="10"/>
        <v>https://www.youtube.com/watch?v=0l35FGR_n9k</v>
      </c>
      <c r="X101" s="681" t="str">
        <f>VLOOKUP($W101,'Bespoke Speaker Intros'!$D:$E,2,False)</f>
        <v>00:00:06:13 - 00:00:09:29</v>
      </c>
      <c r="Y101" s="681">
        <f>VLOOKUP($W101,'Bespoke Speaker Intros'!$D:$F,3,false)</f>
        <v>4</v>
      </c>
      <c r="Z101" s="525" t="s">
        <v>10084</v>
      </c>
      <c r="AA101" s="665" t="s">
        <v>9914</v>
      </c>
      <c r="AB101" s="530" t="str">
        <f t="shared" si="6"/>
        <v>ERROR</v>
      </c>
      <c r="AC101" s="591"/>
      <c r="AE101" s="617"/>
      <c r="AF101" s="618"/>
      <c r="AG101" s="581"/>
    </row>
    <row r="102">
      <c r="A102" s="607" t="s">
        <v>9266</v>
      </c>
      <c r="B102" s="608">
        <v>1.0</v>
      </c>
      <c r="C102" s="608">
        <v>1.0</v>
      </c>
      <c r="D102" s="589"/>
      <c r="E102" s="576" t="s">
        <v>10092</v>
      </c>
      <c r="F102" s="577" t="s">
        <v>9670</v>
      </c>
      <c r="G102" s="578" t="s">
        <v>9805</v>
      </c>
      <c r="H102" s="622"/>
      <c r="I102" s="576" t="s">
        <v>9723</v>
      </c>
      <c r="J102" s="579" t="s">
        <v>9878</v>
      </c>
      <c r="K102" s="591"/>
      <c r="P102" s="592"/>
      <c r="R102" s="593"/>
      <c r="S102" s="525" t="s">
        <v>9696</v>
      </c>
      <c r="T102" s="681" t="str">
        <f t="shared" si="7"/>
        <v>Email</v>
      </c>
      <c r="U102" s="695" t="str">
        <f t="shared" si="12"/>
        <v>info.europe@kellogg.com</v>
      </c>
      <c r="V102" s="681" t="str">
        <f t="shared" si="9"/>
        <v>Kelloggs Newsroom</v>
      </c>
      <c r="W102" s="690" t="str">
        <f t="shared" si="10"/>
        <v>https://www.youtube.com/watch?v=BbPGx02ZWrw </v>
      </c>
      <c r="X102" s="681" t="str">
        <f>VLOOKUP($W102,'Bespoke Speaker Intros'!$D:$E,2,False)</f>
        <v>00:26 - 00:27</v>
      </c>
      <c r="Y102" s="681">
        <f>VLOOKUP($W102,'Bespoke Speaker Intros'!$D:$F,3,false)</f>
        <v>2</v>
      </c>
      <c r="Z102" s="525" t="s">
        <v>10084</v>
      </c>
      <c r="AA102" s="665" t="s">
        <v>9808</v>
      </c>
      <c r="AB102" s="530" t="str">
        <f t="shared" si="6"/>
        <v>EMAIL_OPENED</v>
      </c>
      <c r="AC102" s="591"/>
      <c r="AE102" s="617"/>
      <c r="AF102" s="618"/>
      <c r="AG102" s="581"/>
    </row>
    <row r="103">
      <c r="A103" s="607" t="s">
        <v>9338</v>
      </c>
      <c r="B103" s="608">
        <v>1.0</v>
      </c>
      <c r="C103" s="608">
        <v>2.0</v>
      </c>
      <c r="D103" s="589"/>
      <c r="E103" s="576" t="s">
        <v>10092</v>
      </c>
      <c r="F103" s="577" t="s">
        <v>9617</v>
      </c>
      <c r="G103" s="578" t="s">
        <v>9848</v>
      </c>
      <c r="H103" s="576" t="s">
        <v>9617</v>
      </c>
      <c r="I103" s="576" t="s">
        <v>9723</v>
      </c>
      <c r="J103" s="579" t="s">
        <v>9908</v>
      </c>
      <c r="K103" s="591"/>
      <c r="P103" s="592"/>
      <c r="R103" s="593"/>
      <c r="S103" s="525" t="s">
        <v>10095</v>
      </c>
      <c r="T103" s="681" t="str">
        <f t="shared" si="7"/>
        <v>Email</v>
      </c>
      <c r="U103" s="681" t="str">
        <f t="shared" si="12"/>
        <v>copyright@wmg.com</v>
      </c>
      <c r="V103" s="681" t="str">
        <f t="shared" si="9"/>
        <v>Warner</v>
      </c>
      <c r="W103" s="682" t="str">
        <f t="shared" si="10"/>
        <v>#N/A</v>
      </c>
      <c r="X103" s="681" t="str">
        <f>VLOOKUP($W103,'Bespoke Speaker Intros'!$D:$E,2,False)</f>
        <v>#N/A</v>
      </c>
      <c r="Y103" s="681" t="str">
        <f>VLOOKUP($W103,'Bespoke Speaker Intros'!$D:$F,3,false)</f>
        <v>#N/A</v>
      </c>
      <c r="Z103" s="525" t="s">
        <v>10084</v>
      </c>
      <c r="AA103" s="665" t="s">
        <v>9808</v>
      </c>
      <c r="AB103" s="530" t="str">
        <f t="shared" si="6"/>
        <v>EMAIL_OPENED</v>
      </c>
      <c r="AC103" s="591"/>
      <c r="AE103" s="617"/>
      <c r="AF103" s="618"/>
      <c r="AG103" s="581"/>
    </row>
    <row r="104">
      <c r="A104" s="607" t="s">
        <v>9620</v>
      </c>
      <c r="B104" s="608">
        <v>1.0</v>
      </c>
      <c r="C104" s="608">
        <v>1.0</v>
      </c>
      <c r="D104" s="589"/>
      <c r="E104" s="576" t="s">
        <v>10092</v>
      </c>
      <c r="F104" s="577" t="s">
        <v>10001</v>
      </c>
      <c r="G104" s="578" t="s">
        <v>9805</v>
      </c>
      <c r="H104" s="576" t="s">
        <v>8950</v>
      </c>
      <c r="I104" s="576" t="s">
        <v>9723</v>
      </c>
      <c r="J104" s="579" t="s">
        <v>10006</v>
      </c>
      <c r="K104" s="591"/>
      <c r="P104" s="592"/>
      <c r="R104" s="593"/>
      <c r="S104" s="525" t="s">
        <v>9653</v>
      </c>
      <c r="T104" s="681" t="str">
        <f t="shared" si="7"/>
        <v>Email</v>
      </c>
      <c r="U104" s="681" t="str">
        <f t="shared" si="12"/>
        <v>eq@equalman.com</v>
      </c>
      <c r="V104" s="681" t="str">
        <f t="shared" si="9"/>
        <v>Equalman Website</v>
      </c>
      <c r="W104" s="690" t="str">
        <f t="shared" si="10"/>
        <v>https://www.youtube.com/watch?v=jottDMuLesU </v>
      </c>
      <c r="X104" s="681" t="str">
        <f>VLOOKUP($W104,'Bespoke Speaker Intros'!$D:$E,2,False)</f>
        <v>00:31 - 00:33</v>
      </c>
      <c r="Y104" s="681">
        <f>VLOOKUP($W104,'Bespoke Speaker Intros'!$D:$F,3,false)</f>
        <v>3</v>
      </c>
      <c r="Z104" s="525" t="s">
        <v>10084</v>
      </c>
      <c r="AA104" s="665" t="s">
        <v>9264</v>
      </c>
      <c r="AB104" s="530" t="str">
        <f t="shared" si="6"/>
        <v>RESPONDED</v>
      </c>
      <c r="AC104" s="591"/>
      <c r="AE104" s="617"/>
      <c r="AF104" s="618"/>
      <c r="AG104" s="581"/>
    </row>
    <row r="105" ht="19.5" customHeight="1">
      <c r="A105" s="607" t="s">
        <v>9059</v>
      </c>
      <c r="B105" s="608">
        <v>1.0</v>
      </c>
      <c r="C105" s="608">
        <v>1.0</v>
      </c>
      <c r="D105" s="589"/>
      <c r="E105" s="576" t="s">
        <v>10092</v>
      </c>
      <c r="F105" s="577" t="s">
        <v>9661</v>
      </c>
      <c r="G105" s="578" t="s">
        <v>9805</v>
      </c>
      <c r="H105" s="622"/>
      <c r="I105" s="576"/>
      <c r="J105" s="579" t="s">
        <v>314</v>
      </c>
      <c r="K105" s="591"/>
      <c r="P105" s="592"/>
      <c r="R105" s="593"/>
      <c r="S105" s="525" t="s">
        <v>10097</v>
      </c>
      <c r="T105" s="681" t="str">
        <f t="shared" si="7"/>
        <v>Email</v>
      </c>
      <c r="U105" s="681" t="str">
        <f t="shared" si="12"/>
        <v>roni.lubliner@nbcuni.com</v>
      </c>
      <c r="V105" s="681" t="str">
        <f t="shared" si="9"/>
        <v>Universal</v>
      </c>
      <c r="W105" s="682" t="str">
        <f t="shared" si="10"/>
        <v>#N/A</v>
      </c>
      <c r="X105" s="681" t="str">
        <f>VLOOKUP($W105,'Bespoke Speaker Intros'!$D:$E,2,False)</f>
        <v>#N/A</v>
      </c>
      <c r="Y105" s="681" t="str">
        <f>VLOOKUP($W105,'Bespoke Speaker Intros'!$D:$F,3,false)</f>
        <v>#N/A</v>
      </c>
      <c r="Z105" s="525" t="s">
        <v>10084</v>
      </c>
      <c r="AA105" s="665" t="s">
        <v>9264</v>
      </c>
      <c r="AB105" s="530" t="str">
        <f t="shared" si="6"/>
        <v>RESPONDED</v>
      </c>
      <c r="AC105" s="591"/>
      <c r="AE105" s="617"/>
      <c r="AF105" s="618"/>
      <c r="AG105" s="581"/>
    </row>
    <row r="106">
      <c r="A106" s="607" t="s">
        <v>9685</v>
      </c>
      <c r="B106" s="608">
        <v>1.0</v>
      </c>
      <c r="C106" s="608">
        <v>1.0</v>
      </c>
      <c r="D106" s="589"/>
      <c r="E106" s="576" t="s">
        <v>10092</v>
      </c>
      <c r="F106" s="577" t="s">
        <v>9608</v>
      </c>
      <c r="G106" s="578" t="s">
        <v>9848</v>
      </c>
      <c r="H106" s="576" t="s">
        <v>9608</v>
      </c>
      <c r="I106" s="576" t="s">
        <v>8920</v>
      </c>
      <c r="J106" s="604" t="s">
        <v>10098</v>
      </c>
      <c r="K106" s="591"/>
      <c r="P106" s="592"/>
      <c r="R106" s="593"/>
      <c r="S106" s="525" t="s">
        <v>9664</v>
      </c>
      <c r="T106" s="681" t="str">
        <f t="shared" si="7"/>
        <v>Email</v>
      </c>
      <c r="U106" s="681" t="str">
        <f t="shared" si="12"/>
        <v>contact@globalstats.net</v>
      </c>
      <c r="V106" s="681" t="str">
        <f t="shared" si="9"/>
        <v>Global Stats</v>
      </c>
      <c r="W106" s="690" t="str">
        <f t="shared" si="10"/>
        <v>https://www.youtube.com/watch?v=pPj-TT8K5vA</v>
      </c>
      <c r="X106" s="681" t="str">
        <f>VLOOKUP($W106,'Bespoke Speaker Intros'!$D:$E,2,False)</f>
        <v>02:35 - 06:18</v>
      </c>
      <c r="Y106" s="681" t="str">
        <f>VLOOKUP($W106,'Bespoke Speaker Intros'!$D:$F,3,false)</f>
        <v/>
      </c>
      <c r="Z106" s="525" t="s">
        <v>10084</v>
      </c>
      <c r="AA106" s="665" t="s">
        <v>9742</v>
      </c>
      <c r="AB106" s="530" t="str">
        <f t="shared" si="6"/>
        <v>EMAIL_SENT</v>
      </c>
      <c r="AC106" s="591"/>
      <c r="AE106" s="617"/>
      <c r="AF106" s="618"/>
      <c r="AG106" s="581"/>
    </row>
    <row r="107">
      <c r="A107" s="607" t="s">
        <v>9583</v>
      </c>
      <c r="B107" s="608">
        <v>1.0</v>
      </c>
      <c r="C107" s="608">
        <v>3.0</v>
      </c>
      <c r="D107" s="589"/>
      <c r="E107" s="576" t="s">
        <v>10092</v>
      </c>
      <c r="F107" s="577" t="s">
        <v>9298</v>
      </c>
      <c r="G107" s="578" t="s">
        <v>9805</v>
      </c>
      <c r="H107" s="576"/>
      <c r="I107" s="576" t="s">
        <v>9723</v>
      </c>
      <c r="J107" s="579" t="s">
        <v>9881</v>
      </c>
      <c r="K107" s="591"/>
      <c r="P107" s="592"/>
      <c r="R107" s="593"/>
      <c r="S107" s="525" t="s">
        <v>9688</v>
      </c>
      <c r="T107" s="681" t="str">
        <f t="shared" si="7"/>
        <v>Email</v>
      </c>
      <c r="U107" s="681" t="str">
        <f t="shared" si="12"/>
        <v>Pandora@bulletpr.co.uk</v>
      </c>
      <c r="V107" s="681" t="str">
        <f t="shared" si="9"/>
        <v>DitchTheLabel</v>
      </c>
      <c r="W107" s="690" t="str">
        <f t="shared" si="10"/>
        <v>https://www.youtube.com/watch?v=0EFHbruKEmw </v>
      </c>
      <c r="X107" s="681" t="str">
        <f>VLOOKUP($W107,'Bespoke Speaker Intros'!$D:$E,2,False)</f>
        <v>00:18 - 00:19, 01:42 - 01:47</v>
      </c>
      <c r="Y107" s="681">
        <f>VLOOKUP($W107,'Bespoke Speaker Intros'!$D:$F,3,false)</f>
        <v>7</v>
      </c>
      <c r="Z107" s="525" t="s">
        <v>10084</v>
      </c>
      <c r="AA107" s="665" t="s">
        <v>9808</v>
      </c>
      <c r="AB107" s="530" t="str">
        <f t="shared" si="6"/>
        <v>EMAIL_OPENED</v>
      </c>
      <c r="AC107" s="591"/>
      <c r="AE107" s="617"/>
      <c r="AF107" s="618"/>
      <c r="AG107" s="581"/>
    </row>
    <row r="108">
      <c r="A108" s="607" t="s">
        <v>9575</v>
      </c>
      <c r="B108" s="608">
        <v>1.0</v>
      </c>
      <c r="C108" s="608">
        <v>4.0</v>
      </c>
      <c r="D108" s="589"/>
      <c r="E108" s="576" t="s">
        <v>10092</v>
      </c>
      <c r="F108" s="577" t="s">
        <v>9648</v>
      </c>
      <c r="G108" s="578" t="s">
        <v>9848</v>
      </c>
      <c r="H108" s="576" t="s">
        <v>9648</v>
      </c>
      <c r="I108" s="576" t="s">
        <v>9723</v>
      </c>
      <c r="J108" s="579" t="s">
        <v>9910</v>
      </c>
      <c r="K108" s="591"/>
      <c r="P108" s="592"/>
      <c r="R108" s="593"/>
      <c r="S108" s="525" t="s">
        <v>9573</v>
      </c>
      <c r="T108" s="681" t="str">
        <f t="shared" si="7"/>
        <v>Email</v>
      </c>
      <c r="U108" s="681" t="str">
        <f t="shared" si="12"/>
        <v>Press@ClevverTV.com </v>
      </c>
      <c r="V108" s="681" t="str">
        <f t="shared" si="9"/>
        <v/>
      </c>
      <c r="W108" s="690" t="str">
        <f t="shared" si="10"/>
        <v>https://www.youtube.com/watch?v=PACo1W9A99g</v>
      </c>
      <c r="X108" s="681" t="str">
        <f>VLOOKUP($W108,'Bespoke Speaker Intros'!$D:$E,2,False)</f>
        <v>n/a</v>
      </c>
      <c r="Y108" s="681" t="str">
        <f>VLOOKUP($W108,'Bespoke Speaker Intros'!$D:$F,3,false)</f>
        <v/>
      </c>
      <c r="Z108" s="525" t="s">
        <v>10084</v>
      </c>
      <c r="AA108" s="665" t="s">
        <v>9830</v>
      </c>
      <c r="AB108" s="530" t="str">
        <f t="shared" si="6"/>
        <v>BOUNCED</v>
      </c>
      <c r="AC108" s="591"/>
      <c r="AE108" s="617"/>
      <c r="AF108" s="618"/>
      <c r="AG108" s="581"/>
    </row>
    <row r="109">
      <c r="A109" s="607" t="s">
        <v>9304</v>
      </c>
      <c r="B109" s="608">
        <v>1.0</v>
      </c>
      <c r="C109" s="608">
        <v>2.0</v>
      </c>
      <c r="D109" s="589"/>
      <c r="E109" s="576" t="s">
        <v>10092</v>
      </c>
      <c r="F109" s="577" t="s">
        <v>9673</v>
      </c>
      <c r="G109" s="578" t="s">
        <v>9805</v>
      </c>
      <c r="H109" s="622"/>
      <c r="I109" s="576"/>
      <c r="J109" s="579" t="s">
        <v>314</v>
      </c>
      <c r="K109" s="591"/>
      <c r="P109" s="592"/>
      <c r="R109" s="593"/>
      <c r="S109" s="525" t="s">
        <v>9217</v>
      </c>
      <c r="T109" s="681" t="str">
        <f t="shared" si="7"/>
        <v>Email</v>
      </c>
      <c r="U109" s="681" t="str">
        <f t="shared" si="12"/>
        <v>permissionrequests@ea.com.</v>
      </c>
      <c r="V109" s="681" t="str">
        <f t="shared" si="9"/>
        <v>EA sports</v>
      </c>
      <c r="W109" s="696" t="s">
        <v>10101</v>
      </c>
      <c r="X109" s="681"/>
      <c r="Y109" s="612">
        <v>5.0</v>
      </c>
      <c r="Z109" s="525" t="s">
        <v>10084</v>
      </c>
      <c r="AA109" s="665" t="s">
        <v>9264</v>
      </c>
      <c r="AB109" s="530" t="str">
        <f t="shared" si="6"/>
        <v>RESPONDED</v>
      </c>
      <c r="AC109" s="591"/>
      <c r="AE109" s="617"/>
      <c r="AF109" s="618"/>
      <c r="AG109" s="581"/>
    </row>
    <row r="110">
      <c r="A110" s="607" t="s">
        <v>9592</v>
      </c>
      <c r="B110" s="608">
        <v>1.0</v>
      </c>
      <c r="C110" s="608">
        <v>1.0</v>
      </c>
      <c r="D110" s="589"/>
      <c r="E110" s="576" t="s">
        <v>10092</v>
      </c>
      <c r="F110" s="577" t="s">
        <v>9638</v>
      </c>
      <c r="G110" s="578" t="s">
        <v>9848</v>
      </c>
      <c r="H110" s="576" t="s">
        <v>9638</v>
      </c>
      <c r="I110" s="576" t="s">
        <v>9723</v>
      </c>
      <c r="J110" s="579" t="s">
        <v>9970</v>
      </c>
      <c r="K110" s="591"/>
      <c r="P110" s="592"/>
      <c r="R110" s="593"/>
      <c r="S110" s="525" t="s">
        <v>9608</v>
      </c>
      <c r="T110" s="681" t="str">
        <f t="shared" si="7"/>
        <v>Online form</v>
      </c>
      <c r="U110" s="695" t="str">
        <f t="shared" si="12"/>
        <v>https://www.apple.com/legal/contact/rights-permissions.html</v>
      </c>
      <c r="V110" s="681" t="str">
        <f t="shared" si="9"/>
        <v>Apple</v>
      </c>
      <c r="W110" s="690" t="str">
        <f>VLOOKUP($S110,$L:$O,2,False)</f>
        <v>https://www.youtube.com/watch?v=MnrJzXM7a6o </v>
      </c>
      <c r="X110" s="681" t="str">
        <f>VLOOKUP($W110,'Bespoke Speaker Intros'!$D:$E,2,False)</f>
        <v>00:12 - 00:16</v>
      </c>
      <c r="Y110" s="681">
        <f>VLOOKUP($W110,'Bespoke Speaker Intros'!$D:$F,3,false)</f>
        <v>4</v>
      </c>
      <c r="Z110" s="525" t="s">
        <v>10084</v>
      </c>
      <c r="AA110" s="665" t="s">
        <v>9914</v>
      </c>
      <c r="AB110" s="639" t="s">
        <v>9925</v>
      </c>
      <c r="AC110" s="591"/>
      <c r="AE110" s="617"/>
      <c r="AF110" s="618"/>
      <c r="AG110" s="581"/>
    </row>
    <row r="111">
      <c r="A111" s="607" t="s">
        <v>9638</v>
      </c>
      <c r="B111" s="608">
        <v>1.0</v>
      </c>
      <c r="C111" s="608">
        <v>1.0</v>
      </c>
      <c r="D111" s="589"/>
      <c r="E111" s="576" t="s">
        <v>10092</v>
      </c>
      <c r="F111" s="577" t="s">
        <v>9315</v>
      </c>
      <c r="G111" s="578" t="s">
        <v>9805</v>
      </c>
      <c r="H111" s="622"/>
      <c r="I111" s="576" t="s">
        <v>9723</v>
      </c>
      <c r="J111" s="579" t="s">
        <v>9946</v>
      </c>
      <c r="K111" s="591"/>
      <c r="P111" s="592"/>
      <c r="R111" s="593"/>
      <c r="S111" s="525" t="s">
        <v>9369</v>
      </c>
      <c r="T111" s="681" t="str">
        <f t="shared" si="7"/>
        <v>Email</v>
      </c>
      <c r="U111" s="681"/>
      <c r="V111" s="681" t="str">
        <f t="shared" si="9"/>
        <v/>
      </c>
      <c r="W111" s="682"/>
      <c r="X111" s="681" t="str">
        <f>VLOOKUP($W111,'Bespoke Speaker Intros'!$D:$E,2,False)</f>
        <v>#N/A</v>
      </c>
      <c r="Y111" s="681" t="str">
        <f>VLOOKUP($W111,'Bespoke Speaker Intros'!$D:$F,3,false)</f>
        <v>#N/A</v>
      </c>
      <c r="Z111" s="697"/>
      <c r="AA111" s="665" t="s">
        <v>9918</v>
      </c>
      <c r="AB111" s="639" t="s">
        <v>10103</v>
      </c>
      <c r="AC111" s="591"/>
      <c r="AE111" s="617"/>
      <c r="AF111" s="618"/>
      <c r="AG111" s="581"/>
    </row>
    <row r="112">
      <c r="A112" s="607" t="s">
        <v>9656</v>
      </c>
      <c r="B112" s="608">
        <v>1.0</v>
      </c>
      <c r="C112" s="608">
        <v>1.0</v>
      </c>
      <c r="D112" s="589"/>
      <c r="E112" s="576" t="s">
        <v>10092</v>
      </c>
      <c r="F112" s="577" t="s">
        <v>9630</v>
      </c>
      <c r="G112" s="578" t="s">
        <v>9848</v>
      </c>
      <c r="H112" s="576" t="s">
        <v>9630</v>
      </c>
      <c r="I112" s="576" t="s">
        <v>9723</v>
      </c>
      <c r="J112" s="579" t="s">
        <v>9911</v>
      </c>
      <c r="K112" s="591"/>
      <c r="P112" s="592"/>
      <c r="R112" s="593"/>
      <c r="S112" s="598" t="s">
        <v>9070</v>
      </c>
      <c r="T112" s="681" t="str">
        <f t="shared" si="7"/>
        <v/>
      </c>
      <c r="U112" s="681" t="str">
        <f>VLOOKUP($S112,$F$4:$O$201,5,false)</f>
        <v>Not needed</v>
      </c>
      <c r="V112" s="681" t="str">
        <f t="shared" si="9"/>
        <v/>
      </c>
      <c r="W112" s="682"/>
      <c r="X112" s="681" t="str">
        <f>VLOOKUP($W112,'Bespoke Speaker Intros'!$D:$E,2,False)</f>
        <v>#N/A</v>
      </c>
      <c r="Y112" s="681" t="str">
        <f>VLOOKUP($W112,'Bespoke Speaker Intros'!$D:$F,3,false)</f>
        <v>#N/A</v>
      </c>
      <c r="Z112" s="697"/>
      <c r="AA112" s="665" t="s">
        <v>9914</v>
      </c>
      <c r="AB112" s="639" t="s">
        <v>10103</v>
      </c>
      <c r="AC112" s="591"/>
      <c r="AE112" s="617"/>
      <c r="AF112" s="618"/>
      <c r="AG112" s="581"/>
    </row>
    <row r="113">
      <c r="A113" s="607" t="s">
        <v>9539</v>
      </c>
      <c r="B113" s="608">
        <v>1.0</v>
      </c>
      <c r="C113" s="608">
        <v>5.0</v>
      </c>
      <c r="D113" s="589"/>
      <c r="E113" s="576" t="s">
        <v>10092</v>
      </c>
      <c r="F113" s="577" t="s">
        <v>9226</v>
      </c>
      <c r="G113" s="578" t="s">
        <v>9805</v>
      </c>
      <c r="H113" s="576"/>
      <c r="I113" s="576" t="s">
        <v>9723</v>
      </c>
      <c r="J113" s="579" t="s">
        <v>9885</v>
      </c>
      <c r="K113" s="591"/>
      <c r="P113" s="592"/>
      <c r="R113" s="593"/>
      <c r="S113" s="577" t="s">
        <v>8988</v>
      </c>
      <c r="T113" s="681" t="str">
        <f t="shared" si="7"/>
        <v>Email</v>
      </c>
      <c r="U113" s="681"/>
      <c r="V113" s="681" t="str">
        <f t="shared" si="9"/>
        <v>Arctic Imagination</v>
      </c>
      <c r="W113" s="690" t="str">
        <f t="shared" ref="W113:W114" si="13">VLOOKUP($S113,$L:$O,2,False)</f>
        <v>https://www.youtube.com/watch?v=HwgvlzBb6II</v>
      </c>
      <c r="X113" s="681" t="str">
        <f>VLOOKUP($W113,'Bespoke Speaker Intros'!$D:$E,2,False)</f>
        <v/>
      </c>
      <c r="Y113" s="681" t="str">
        <f>VLOOKUP($W113,'Bespoke Speaker Intros'!$D:$F,3,false)</f>
        <v/>
      </c>
      <c r="Z113" s="697"/>
      <c r="AA113" s="665" t="s">
        <v>9918</v>
      </c>
      <c r="AB113" s="639" t="s">
        <v>10103</v>
      </c>
      <c r="AC113" s="591"/>
      <c r="AE113" s="617"/>
      <c r="AF113" s="618"/>
      <c r="AG113" s="581"/>
    </row>
    <row r="114">
      <c r="A114" s="607" t="s">
        <v>9063</v>
      </c>
      <c r="B114" s="608">
        <v>1.0</v>
      </c>
      <c r="C114" s="608">
        <v>1.0</v>
      </c>
      <c r="D114" s="589"/>
      <c r="E114" s="576"/>
      <c r="F114" s="577" t="s">
        <v>9290</v>
      </c>
      <c r="G114" s="578" t="s">
        <v>9805</v>
      </c>
      <c r="H114" s="576"/>
      <c r="I114" s="576" t="s">
        <v>9723</v>
      </c>
      <c r="J114" s="579" t="s">
        <v>10024</v>
      </c>
      <c r="K114" s="591"/>
      <c r="P114" s="592"/>
      <c r="R114" s="593"/>
      <c r="S114" s="577" t="s">
        <v>9544</v>
      </c>
      <c r="T114" s="681" t="str">
        <f t="shared" si="7"/>
        <v>Email</v>
      </c>
      <c r="U114" s="681"/>
      <c r="V114" s="681" t="str">
        <f t="shared" si="9"/>
        <v>Variety</v>
      </c>
      <c r="W114" s="690" t="str">
        <f t="shared" si="13"/>
        <v>https://variety.com/2019/film/features/sony-pictures-animation-kristine-belson-1203143201/</v>
      </c>
      <c r="X114" s="681" t="str">
        <f>VLOOKUP($W114,'Bespoke Speaker Intros'!$D:$E,2,False)</f>
        <v/>
      </c>
      <c r="Y114" s="681" t="str">
        <f>VLOOKUP($W114,'Bespoke Speaker Intros'!$D:$F,3,false)</f>
        <v/>
      </c>
      <c r="Z114" s="697"/>
      <c r="AA114" s="665" t="s">
        <v>9918</v>
      </c>
      <c r="AB114" s="530" t="str">
        <f t="shared" ref="AB114:AB115" si="14">AA114</f>
        <v>NO_RECIPIENT</v>
      </c>
      <c r="AC114" s="591"/>
      <c r="AE114" s="617"/>
      <c r="AF114" s="618"/>
      <c r="AG114" s="581"/>
    </row>
    <row r="115">
      <c r="A115" s="607" t="s">
        <v>9676</v>
      </c>
      <c r="B115" s="608">
        <v>1.0</v>
      </c>
      <c r="C115" s="608">
        <v>1.0</v>
      </c>
      <c r="D115" s="589"/>
      <c r="E115" s="576"/>
      <c r="F115" s="577" t="s">
        <v>9645</v>
      </c>
      <c r="G115" s="578"/>
      <c r="H115" s="576"/>
      <c r="I115" s="576"/>
      <c r="J115" s="579"/>
      <c r="K115" s="591"/>
      <c r="P115" s="592"/>
      <c r="R115" s="593"/>
      <c r="S115" s="598" t="s">
        <v>8959</v>
      </c>
      <c r="T115" s="681" t="str">
        <f t="shared" si="7"/>
        <v>Email</v>
      </c>
      <c r="U115" s="681" t="str">
        <f>VLOOKUP($S115,$F$4:$O$201,5,false)</f>
        <v>UNDP-newsroom@undp.org</v>
      </c>
      <c r="V115" s="681" t="str">
        <f t="shared" si="9"/>
        <v/>
      </c>
      <c r="W115" s="696" t="s">
        <v>10106</v>
      </c>
      <c r="X115" s="681"/>
      <c r="Y115" s="681"/>
      <c r="Z115" s="697"/>
      <c r="AA115" s="665" t="s">
        <v>9808</v>
      </c>
      <c r="AB115" s="530" t="str">
        <f t="shared" si="14"/>
        <v>EMAIL_OPENED</v>
      </c>
      <c r="AC115" s="591"/>
      <c r="AE115" s="617"/>
      <c r="AF115" s="618"/>
      <c r="AG115" s="581"/>
    </row>
    <row r="116">
      <c r="A116" s="607" t="s">
        <v>9075</v>
      </c>
      <c r="B116" s="608">
        <v>1.0</v>
      </c>
      <c r="C116" s="608">
        <v>1.0</v>
      </c>
      <c r="D116" s="589"/>
      <c r="E116" s="576"/>
      <c r="F116" s="577" t="s">
        <v>9583</v>
      </c>
      <c r="G116" s="578"/>
      <c r="H116" s="576" t="s">
        <v>9924</v>
      </c>
      <c r="I116" s="576"/>
      <c r="J116" s="579"/>
      <c r="K116" s="591"/>
      <c r="P116" s="592"/>
      <c r="R116" s="593"/>
      <c r="S116" s="525" t="s">
        <v>9494</v>
      </c>
      <c r="T116" s="681" t="str">
        <f t="shared" si="7"/>
        <v>Email</v>
      </c>
      <c r="U116" s="681"/>
      <c r="V116" s="681" t="str">
        <f t="shared" si="9"/>
        <v/>
      </c>
      <c r="W116" s="690" t="str">
        <f>VLOOKUP($S116,$L:$O,2,False)</f>
        <v>https://www.youtube.com/watch?v=xW9wAPT96A8</v>
      </c>
      <c r="X116" s="681" t="str">
        <f>VLOOKUP($W116,'Bespoke Speaker Intros'!$D:$E,2,False)</f>
        <v>N/a</v>
      </c>
      <c r="Y116" s="681" t="str">
        <f>VLOOKUP($W116,'Bespoke Speaker Intros'!$D:$F,3,false)</f>
        <v/>
      </c>
      <c r="Z116" s="697"/>
      <c r="AA116" s="665" t="s">
        <v>9918</v>
      </c>
      <c r="AB116" s="639" t="s">
        <v>10103</v>
      </c>
      <c r="AC116" s="591"/>
      <c r="AE116" s="617"/>
      <c r="AF116" s="618"/>
      <c r="AG116" s="581"/>
    </row>
    <row r="117">
      <c r="A117" s="607" t="s">
        <v>9048</v>
      </c>
      <c r="B117" s="608">
        <v>1.0</v>
      </c>
      <c r="C117" s="608">
        <v>2.0</v>
      </c>
      <c r="D117" s="589"/>
      <c r="E117" s="576"/>
      <c r="F117" s="577" t="s">
        <v>9575</v>
      </c>
      <c r="G117" s="578"/>
      <c r="H117" s="576" t="s">
        <v>9924</v>
      </c>
      <c r="I117" s="576"/>
      <c r="J117" s="579"/>
      <c r="K117" s="591"/>
      <c r="P117" s="592"/>
      <c r="R117" s="593"/>
      <c r="S117" s="525" t="s">
        <v>8998</v>
      </c>
      <c r="T117" s="681" t="s">
        <v>9723</v>
      </c>
      <c r="U117" s="681" t="s">
        <v>9945</v>
      </c>
      <c r="V117" s="681" t="s">
        <v>9944</v>
      </c>
      <c r="W117" s="698" t="s">
        <v>10108</v>
      </c>
      <c r="X117" s="681"/>
      <c r="Y117" s="699">
        <v>45.0</v>
      </c>
      <c r="Z117" s="700" t="s">
        <v>9964</v>
      </c>
      <c r="AA117" s="665" t="s">
        <v>9742</v>
      </c>
      <c r="AB117" s="530" t="str">
        <f>AA117</f>
        <v>EMAIL_SENT</v>
      </c>
      <c r="AC117" s="591"/>
      <c r="AE117" s="617"/>
      <c r="AF117" s="618"/>
      <c r="AG117" s="581"/>
    </row>
    <row r="118">
      <c r="A118" s="607" t="s">
        <v>9028</v>
      </c>
      <c r="B118" s="608">
        <v>1.0</v>
      </c>
      <c r="C118" s="608">
        <v>3.0</v>
      </c>
      <c r="D118" s="589"/>
      <c r="E118" s="576"/>
      <c r="F118" s="577" t="s">
        <v>9592</v>
      </c>
      <c r="G118" s="578"/>
      <c r="H118" s="576"/>
      <c r="I118" s="576"/>
      <c r="J118" s="579"/>
      <c r="K118" s="591"/>
      <c r="P118" s="592"/>
      <c r="R118" s="593"/>
      <c r="S118" s="525" t="s">
        <v>8964</v>
      </c>
      <c r="T118" s="681" t="str">
        <f t="shared" ref="T118:T127" si="15">VLOOKUP(S118,F:J,4,FALSE)</f>
        <v>Online form</v>
      </c>
      <c r="U118" s="681"/>
      <c r="V118" s="681" t="str">
        <f t="shared" ref="V118:V127" si="16">VLOOKUP($S118,$F$4:$O$201,3,false)</f>
        <v/>
      </c>
      <c r="W118" s="690" t="str">
        <f t="shared" ref="W118:W126" si="17">VLOOKUP($S118,$L:$O,2,False)</f>
        <v>https://www.youtube.com/watch?v=-OtAu9190HE</v>
      </c>
      <c r="X118" s="681" t="str">
        <f>VLOOKUP($W118,'Bespoke Speaker Intros'!$D:$E,2,False)</f>
        <v/>
      </c>
      <c r="Y118" s="681" t="str">
        <f>VLOOKUP($W118,'Bespoke Speaker Intros'!$D:$F,3,false)</f>
        <v/>
      </c>
      <c r="Z118" s="697"/>
      <c r="AA118" s="665" t="s">
        <v>9918</v>
      </c>
      <c r="AB118" s="639" t="s">
        <v>10103</v>
      </c>
      <c r="AC118" s="591"/>
      <c r="AE118" s="617"/>
      <c r="AF118" s="618"/>
      <c r="AG118" s="581"/>
    </row>
    <row r="119">
      <c r="A119" s="607" t="s">
        <v>9425</v>
      </c>
      <c r="B119" s="608">
        <v>1.0</v>
      </c>
      <c r="C119" s="608">
        <v>1.0</v>
      </c>
      <c r="D119" s="589"/>
      <c r="E119" s="576"/>
      <c r="F119" s="577" t="s">
        <v>9176</v>
      </c>
      <c r="G119" s="578"/>
      <c r="H119" s="576"/>
      <c r="I119" s="576"/>
      <c r="J119" s="579"/>
      <c r="K119" s="591"/>
      <c r="P119" s="592"/>
      <c r="R119" s="593"/>
      <c r="S119" s="525" t="s">
        <v>9560</v>
      </c>
      <c r="T119" s="681" t="str">
        <f t="shared" si="15"/>
        <v/>
      </c>
      <c r="U119" s="681" t="str">
        <f>VLOOKUP($S119,$F$4:$O$201,5,false)</f>
        <v>lesfemmessaniment@gmail.com</v>
      </c>
      <c r="V119" s="681" t="str">
        <f t="shared" si="16"/>
        <v/>
      </c>
      <c r="W119" s="690" t="str">
        <f t="shared" si="17"/>
        <v>https://www.youtube.com/watch?v=sWfE1q0Xrr0&amp;t=2477s</v>
      </c>
      <c r="X119" s="681" t="str">
        <f>VLOOKUP($W119,'Bespoke Speaker Intros'!$D:$E,2,False)</f>
        <v>00:31:40:19-00:31:45:11</v>
      </c>
      <c r="Y119" s="681">
        <f>VLOOKUP($W119,'Bespoke Speaker Intros'!$D:$F,3,false)</f>
        <v>5</v>
      </c>
      <c r="Z119" s="697"/>
      <c r="AA119" s="665" t="s">
        <v>9808</v>
      </c>
      <c r="AB119" s="530"/>
      <c r="AC119" s="591"/>
      <c r="AE119" s="617"/>
      <c r="AF119" s="618"/>
      <c r="AG119" s="581"/>
    </row>
    <row r="120">
      <c r="A120" s="607" t="s">
        <v>9067</v>
      </c>
      <c r="B120" s="608">
        <v>1.0</v>
      </c>
      <c r="C120" s="608">
        <v>1.0</v>
      </c>
      <c r="D120" s="589"/>
      <c r="E120" s="576"/>
      <c r="F120" s="577" t="s">
        <v>9203</v>
      </c>
      <c r="G120" s="578"/>
      <c r="H120" s="576"/>
      <c r="I120" s="576"/>
      <c r="J120" s="579"/>
      <c r="K120" s="591"/>
      <c r="P120" s="592"/>
      <c r="R120" s="593"/>
      <c r="S120" s="525" t="s">
        <v>9595</v>
      </c>
      <c r="T120" s="681" t="str">
        <f t="shared" si="15"/>
        <v>Email</v>
      </c>
      <c r="U120" s="681"/>
      <c r="V120" s="681" t="str">
        <f t="shared" si="16"/>
        <v/>
      </c>
      <c r="W120" s="690" t="str">
        <f t="shared" si="17"/>
        <v>https://www.youtube.com/watch?v=0RwsnsZHVbA</v>
      </c>
      <c r="X120" s="681" t="str">
        <f>VLOOKUP($W120,'Bespoke Speaker Intros'!$D:$E,2,False)</f>
        <v/>
      </c>
      <c r="Y120" s="681" t="str">
        <f>VLOOKUP($W120,'Bespoke Speaker Intros'!$D:$F,3,false)</f>
        <v/>
      </c>
      <c r="Z120" s="697"/>
      <c r="AA120" s="665" t="s">
        <v>9918</v>
      </c>
      <c r="AB120" s="639" t="s">
        <v>10103</v>
      </c>
      <c r="AC120" s="591"/>
      <c r="AE120" s="617"/>
      <c r="AF120" s="618"/>
      <c r="AG120" s="581"/>
    </row>
    <row r="121">
      <c r="A121" s="607" t="s">
        <v>9363</v>
      </c>
      <c r="B121" s="608">
        <v>1.0</v>
      </c>
      <c r="C121" s="608">
        <v>1.0</v>
      </c>
      <c r="D121" s="589"/>
      <c r="E121" s="576"/>
      <c r="F121" s="577" t="s">
        <v>8983</v>
      </c>
      <c r="G121" s="578"/>
      <c r="H121" s="576"/>
      <c r="I121" s="576" t="s">
        <v>8920</v>
      </c>
      <c r="J121" s="579"/>
      <c r="K121" s="591"/>
      <c r="P121" s="592"/>
      <c r="R121" s="593"/>
      <c r="S121" s="525" t="s">
        <v>9321</v>
      </c>
      <c r="T121" s="681" t="str">
        <f t="shared" si="15"/>
        <v/>
      </c>
      <c r="U121" s="681" t="str">
        <f t="shared" ref="U121:U122" si="18">VLOOKUP($S121,$F$4:$O$201,5,false)</f>
        <v/>
      </c>
      <c r="V121" s="681" t="str">
        <f t="shared" si="16"/>
        <v/>
      </c>
      <c r="W121" s="690" t="str">
        <f t="shared" si="17"/>
        <v>https://www.facebook.com/WebSummitHQ/videos/greg-peters-chief-product-officer-at-netflix-live-at-web-summit/295193107992534/</v>
      </c>
      <c r="X121" s="681" t="str">
        <f>VLOOKUP($W121,'Bespoke Speaker Intros'!$D:$E,2,False)</f>
        <v>N/a</v>
      </c>
      <c r="Y121" s="681" t="str">
        <f>VLOOKUP($W121,'Bespoke Speaker Intros'!$D:$F,3,false)</f>
        <v/>
      </c>
      <c r="Z121" s="697"/>
      <c r="AA121" s="665" t="s">
        <v>9918</v>
      </c>
      <c r="AB121" s="639" t="s">
        <v>10103</v>
      </c>
      <c r="AC121" s="591"/>
      <c r="AE121" s="617"/>
      <c r="AF121" s="618"/>
      <c r="AG121" s="581"/>
    </row>
    <row r="122">
      <c r="A122" s="607" t="s">
        <v>9114</v>
      </c>
      <c r="B122" s="608">
        <v>1.0</v>
      </c>
      <c r="C122" s="608">
        <v>1.0</v>
      </c>
      <c r="D122" s="589"/>
      <c r="E122" s="576"/>
      <c r="F122" s="577" t="s">
        <v>9310</v>
      </c>
      <c r="G122" s="578" t="s">
        <v>9805</v>
      </c>
      <c r="H122" s="576"/>
      <c r="I122" s="576" t="s">
        <v>9723</v>
      </c>
      <c r="J122" s="579" t="s">
        <v>9968</v>
      </c>
      <c r="K122" s="591"/>
      <c r="P122" s="592"/>
      <c r="R122" s="593"/>
      <c r="S122" s="598" t="s">
        <v>9075</v>
      </c>
      <c r="T122" s="681" t="str">
        <f t="shared" si="15"/>
        <v/>
      </c>
      <c r="U122" s="681" t="str">
        <f t="shared" si="18"/>
        <v>I am pretty sure this is royality free</v>
      </c>
      <c r="V122" s="681" t="str">
        <f t="shared" si="16"/>
        <v/>
      </c>
      <c r="W122" s="690" t="str">
        <f t="shared" si="17"/>
        <v>https://www.youtube.com/watch?v=3hqRsIix5CQ</v>
      </c>
      <c r="X122" s="681" t="str">
        <f>VLOOKUP($W122,'Bespoke Speaker Intros'!$D:$E,2,False)</f>
        <v>00:01:00 - 00:10:00</v>
      </c>
      <c r="Y122" s="681">
        <f>VLOOKUP($W122,'Bespoke Speaker Intros'!$D:$F,3,false)</f>
        <v>9</v>
      </c>
      <c r="Z122" s="697"/>
      <c r="AA122" s="665" t="s">
        <v>9914</v>
      </c>
      <c r="AB122" s="639" t="s">
        <v>9955</v>
      </c>
      <c r="AC122" s="591"/>
      <c r="AE122" s="617"/>
      <c r="AF122" s="618"/>
      <c r="AG122" s="581"/>
    </row>
    <row r="123">
      <c r="A123" s="607" t="s">
        <v>9099</v>
      </c>
      <c r="B123" s="608">
        <v>1.0</v>
      </c>
      <c r="C123" s="608">
        <v>2.0</v>
      </c>
      <c r="D123" s="589"/>
      <c r="E123" s="576"/>
      <c r="F123" s="577" t="s">
        <v>9635</v>
      </c>
      <c r="G123" s="578" t="s">
        <v>9805</v>
      </c>
      <c r="H123" s="576"/>
      <c r="I123" s="576" t="s">
        <v>8920</v>
      </c>
      <c r="J123" s="656" t="s">
        <v>10112</v>
      </c>
      <c r="K123" s="591"/>
      <c r="P123" s="592"/>
      <c r="R123" s="593"/>
      <c r="S123" s="525" t="s">
        <v>10113</v>
      </c>
      <c r="T123" s="681" t="str">
        <f t="shared" si="15"/>
        <v>Email</v>
      </c>
      <c r="U123" s="681"/>
      <c r="V123" s="681" t="str">
        <f t="shared" si="16"/>
        <v/>
      </c>
      <c r="W123" s="682" t="str">
        <f t="shared" si="17"/>
        <v>#N/A</v>
      </c>
      <c r="X123" s="681" t="str">
        <f>VLOOKUP($W123,'Bespoke Speaker Intros'!$D:$E,2,False)</f>
        <v>#N/A</v>
      </c>
      <c r="Y123" s="681" t="str">
        <f>VLOOKUP($W123,'Bespoke Speaker Intros'!$D:$F,3,false)</f>
        <v>#N/A</v>
      </c>
      <c r="Z123" s="697"/>
      <c r="AA123" s="665" t="s">
        <v>9918</v>
      </c>
      <c r="AB123" s="530"/>
      <c r="AC123" s="591"/>
      <c r="AE123" s="617"/>
      <c r="AF123" s="618"/>
      <c r="AG123" s="581"/>
    </row>
    <row r="124">
      <c r="A124" s="607" t="s">
        <v>9421</v>
      </c>
      <c r="B124" s="608">
        <v>1.0</v>
      </c>
      <c r="C124" s="608">
        <v>1.0</v>
      </c>
      <c r="D124" s="589"/>
      <c r="E124" s="576"/>
      <c r="F124" s="577" t="s">
        <v>9232</v>
      </c>
      <c r="G124" s="578" t="s">
        <v>9805</v>
      </c>
      <c r="H124" s="576"/>
      <c r="I124" s="576" t="s">
        <v>9723</v>
      </c>
      <c r="J124" s="579" t="s">
        <v>9966</v>
      </c>
      <c r="K124" s="591"/>
      <c r="P124" s="592"/>
      <c r="R124" s="593"/>
      <c r="S124" s="525" t="s">
        <v>9614</v>
      </c>
      <c r="T124" s="681" t="str">
        <f t="shared" si="15"/>
        <v/>
      </c>
      <c r="U124" s="681" t="str">
        <f t="shared" ref="U124:U127" si="19">VLOOKUP($S124,$F$4:$O$201,5,false)</f>
        <v>media.relations@nike.com</v>
      </c>
      <c r="V124" s="681" t="str">
        <f t="shared" si="16"/>
        <v/>
      </c>
      <c r="W124" s="682" t="str">
        <f t="shared" si="17"/>
        <v>#N/A</v>
      </c>
      <c r="X124" s="681" t="str">
        <f>VLOOKUP($W124,'Bespoke Speaker Intros'!$D:$E,2,False)</f>
        <v>#N/A</v>
      </c>
      <c r="Y124" s="681" t="str">
        <f>VLOOKUP($W124,'Bespoke Speaker Intros'!$D:$F,3,false)</f>
        <v>#N/A</v>
      </c>
      <c r="Z124" s="697"/>
      <c r="AA124" s="665" t="s">
        <v>9808</v>
      </c>
      <c r="AB124" s="530"/>
      <c r="AC124" s="591"/>
      <c r="AE124" s="617"/>
      <c r="AF124" s="618"/>
      <c r="AG124" s="581"/>
    </row>
    <row r="125">
      <c r="A125" s="607" t="s">
        <v>9661</v>
      </c>
      <c r="B125" s="608">
        <v>1.0</v>
      </c>
      <c r="C125" s="608">
        <v>1.0</v>
      </c>
      <c r="D125" s="589"/>
      <c r="E125" s="576"/>
      <c r="F125" s="577" t="s">
        <v>9676</v>
      </c>
      <c r="G125" s="578" t="s">
        <v>9805</v>
      </c>
      <c r="H125" s="576" t="s">
        <v>10115</v>
      </c>
      <c r="I125" s="576" t="s">
        <v>9723</v>
      </c>
      <c r="J125" s="701" t="s">
        <v>10116</v>
      </c>
      <c r="K125" s="591"/>
      <c r="P125" s="592"/>
      <c r="R125" s="593"/>
      <c r="S125" s="525" t="s">
        <v>9587</v>
      </c>
      <c r="T125" s="681" t="str">
        <f t="shared" si="15"/>
        <v>Email</v>
      </c>
      <c r="U125" s="681" t="str">
        <f t="shared" si="19"/>
        <v>press@ashleygraham.com</v>
      </c>
      <c r="V125" s="681" t="str">
        <f t="shared" si="16"/>
        <v/>
      </c>
      <c r="W125" s="690" t="str">
        <f t="shared" si="17"/>
        <v>https://www.youtube.com/watch?v=YrJ192FahEg</v>
      </c>
      <c r="X125" s="681" t="str">
        <f>VLOOKUP($W125,'Bespoke Speaker Intros'!$D:$E,2,False)</f>
        <v>Audio used throughout (40 second)
Video and audio used for 3 seconds</v>
      </c>
      <c r="Y125" s="681">
        <f>VLOOKUP($W125,'Bespoke Speaker Intros'!$D:$F,3,false)</f>
        <v>45</v>
      </c>
      <c r="Z125" s="697"/>
      <c r="AA125" s="665"/>
      <c r="AB125" s="530"/>
      <c r="AC125" s="591"/>
      <c r="AE125" s="617"/>
      <c r="AF125" s="618"/>
      <c r="AG125" s="581"/>
    </row>
    <row r="126">
      <c r="A126" s="607" t="s">
        <v>8990</v>
      </c>
      <c r="B126" s="608">
        <v>1.0</v>
      </c>
      <c r="C126" s="608">
        <v>1.0</v>
      </c>
      <c r="D126" s="589"/>
      <c r="E126" s="576"/>
      <c r="F126" s="577" t="s">
        <v>10095</v>
      </c>
      <c r="G126" s="578" t="s">
        <v>9818</v>
      </c>
      <c r="H126" s="576" t="s">
        <v>10117</v>
      </c>
      <c r="I126" s="576" t="s">
        <v>9723</v>
      </c>
      <c r="J126" s="579" t="s">
        <v>10118</v>
      </c>
      <c r="K126" s="591"/>
      <c r="P126" s="592"/>
      <c r="R126" s="593"/>
      <c r="S126" s="525" t="s">
        <v>9667</v>
      </c>
      <c r="T126" s="681" t="str">
        <f t="shared" si="15"/>
        <v>Email</v>
      </c>
      <c r="U126" s="695" t="str">
        <f t="shared" si="19"/>
        <v>communications@uea.ac.uk</v>
      </c>
      <c r="V126" s="681" t="str">
        <f t="shared" si="16"/>
        <v/>
      </c>
      <c r="W126" s="690" t="str">
        <f t="shared" si="17"/>
        <v>https://www.youtube.com/watch?v=Uppg_2nGo54 </v>
      </c>
      <c r="X126" s="681" t="str">
        <f>VLOOKUP($W126,'Bespoke Speaker Intros'!$D:$E,2,False)</f>
        <v>00:01 - 00:02</v>
      </c>
      <c r="Y126" s="681">
        <f>VLOOKUP($W126,'Bespoke Speaker Intros'!$D:$F,3,false)</f>
        <v>2</v>
      </c>
      <c r="Z126" s="697"/>
      <c r="AA126" s="665"/>
      <c r="AB126" s="530"/>
      <c r="AC126" s="591"/>
      <c r="AE126" s="617"/>
      <c r="AF126" s="618"/>
      <c r="AG126" s="581"/>
    </row>
    <row r="127">
      <c r="A127" s="607" t="s">
        <v>8959</v>
      </c>
      <c r="B127" s="608">
        <v>1.0</v>
      </c>
      <c r="C127" s="608">
        <v>4.0</v>
      </c>
      <c r="D127" s="589"/>
      <c r="E127" s="576"/>
      <c r="F127" s="702" t="s">
        <v>9696</v>
      </c>
      <c r="G127" s="578" t="s">
        <v>9805</v>
      </c>
      <c r="H127" s="576" t="s">
        <v>10120</v>
      </c>
      <c r="I127" s="576" t="s">
        <v>9723</v>
      </c>
      <c r="J127" s="703" t="s">
        <v>10121</v>
      </c>
      <c r="K127" s="591"/>
      <c r="P127" s="592"/>
      <c r="R127" s="593"/>
      <c r="S127" s="525" t="s">
        <v>9676</v>
      </c>
      <c r="T127" s="681" t="str">
        <f t="shared" si="15"/>
        <v>Email</v>
      </c>
      <c r="U127" s="681" t="str">
        <f t="shared" si="19"/>
        <v>licensing@storyful.com</v>
      </c>
      <c r="V127" s="681" t="str">
        <f t="shared" si="16"/>
        <v>Storyful</v>
      </c>
      <c r="W127" s="454" t="s">
        <v>9677</v>
      </c>
      <c r="X127" s="681" t="str">
        <f>VLOOKUP($W127,'Bespoke Speaker Intros'!$D:$E,2,False)</f>
        <v>03:19 - 03:21</v>
      </c>
      <c r="Y127" s="681">
        <f>VLOOKUP($W127,'Bespoke Speaker Intros'!$D:$F,3,false)</f>
        <v>3</v>
      </c>
      <c r="Z127" s="697"/>
      <c r="AA127" s="665"/>
      <c r="AB127" s="530"/>
      <c r="AC127" s="591"/>
      <c r="AE127" s="617"/>
      <c r="AF127" s="618"/>
      <c r="AG127" s="581"/>
    </row>
    <row r="128">
      <c r="A128" s="607" t="s">
        <v>9443</v>
      </c>
      <c r="B128" s="608">
        <v>1.0</v>
      </c>
      <c r="C128" s="608">
        <v>1.0</v>
      </c>
      <c r="D128" s="589"/>
      <c r="E128" s="576"/>
      <c r="F128" s="577" t="s">
        <v>9210</v>
      </c>
      <c r="G128" s="578"/>
      <c r="H128" s="576"/>
      <c r="I128" s="576"/>
      <c r="J128" s="704"/>
      <c r="K128" s="591"/>
      <c r="P128" s="592"/>
      <c r="R128" s="593"/>
      <c r="S128" s="577" t="s">
        <v>9635</v>
      </c>
      <c r="T128" s="681" t="s">
        <v>8920</v>
      </c>
      <c r="U128" s="681" t="s">
        <v>10112</v>
      </c>
      <c r="V128" s="681"/>
      <c r="W128" s="682" t="s">
        <v>9636</v>
      </c>
      <c r="X128" s="681" t="s">
        <v>9637</v>
      </c>
      <c r="Y128" s="681">
        <f>VLOOKUP($W128,'Bespoke Speaker Intros'!$D:$F,3,false)</f>
        <v>4</v>
      </c>
      <c r="Z128" s="697"/>
      <c r="AA128" s="665"/>
      <c r="AB128" s="530"/>
      <c r="AC128" s="591"/>
      <c r="AE128" s="617"/>
      <c r="AF128" s="618"/>
      <c r="AG128" s="581"/>
    </row>
    <row r="129">
      <c r="A129" s="607" t="s">
        <v>9544</v>
      </c>
      <c r="B129" s="608">
        <v>1.0</v>
      </c>
      <c r="C129" s="608">
        <v>2.0</v>
      </c>
      <c r="D129" s="589"/>
      <c r="E129" s="576"/>
      <c r="F129" s="702" t="s">
        <v>9217</v>
      </c>
      <c r="G129" s="578" t="s">
        <v>9805</v>
      </c>
      <c r="H129" s="576" t="s">
        <v>10122</v>
      </c>
      <c r="I129" s="576" t="s">
        <v>9723</v>
      </c>
      <c r="J129" s="579" t="s">
        <v>10123</v>
      </c>
      <c r="K129" s="591"/>
      <c r="P129" s="592"/>
      <c r="R129" s="593"/>
      <c r="S129" s="525" t="s">
        <v>457</v>
      </c>
      <c r="T129" s="681" t="str">
        <f t="shared" ref="T129:T413" si="20">VLOOKUP(S129,F:J,4,FALSE)</f>
        <v/>
      </c>
      <c r="U129" s="681" t="str">
        <f t="shared" ref="U129:U314" si="21">VLOOKUP($S129,$F$4:$O$201,5,false)</f>
        <v/>
      </c>
      <c r="V129" s="681" t="str">
        <f t="shared" ref="V129:V314" si="22">VLOOKUP($S129,$F$4:$O$201,3,false)</f>
        <v/>
      </c>
      <c r="W129" s="682" t="str">
        <f t="shared" ref="W129:W314" si="23">VLOOKUP($S129,$L:$O,2,False)</f>
        <v>NO LINK</v>
      </c>
      <c r="X129" s="705">
        <f>VLOOKUP($W129,'Bespoke Speaker Intros'!$D:$E,2,False)</f>
        <v>0</v>
      </c>
      <c r="Y129" s="681">
        <f>VLOOKUP($W129,'Bespoke Speaker Intros'!$D:$F,3,false)</f>
        <v>0</v>
      </c>
      <c r="Z129" s="697"/>
      <c r="AA129" s="665"/>
      <c r="AB129" s="530"/>
      <c r="AC129" s="591"/>
      <c r="AE129" s="617"/>
      <c r="AF129" s="618"/>
      <c r="AG129" s="581"/>
    </row>
    <row r="130">
      <c r="A130" s="607" t="s">
        <v>8908</v>
      </c>
      <c r="B130" s="608">
        <v>1.0</v>
      </c>
      <c r="C130" s="608">
        <v>1.0</v>
      </c>
      <c r="D130" s="589"/>
      <c r="E130" s="576"/>
      <c r="F130" s="702" t="s">
        <v>9653</v>
      </c>
      <c r="G130" s="578" t="s">
        <v>9805</v>
      </c>
      <c r="H130" s="576" t="s">
        <v>10124</v>
      </c>
      <c r="I130" s="576" t="s">
        <v>9723</v>
      </c>
      <c r="J130" s="579" t="s">
        <v>10125</v>
      </c>
      <c r="K130" s="591"/>
      <c r="P130" s="592"/>
      <c r="R130" s="593"/>
      <c r="S130" s="525" t="s">
        <v>457</v>
      </c>
      <c r="T130" s="681" t="str">
        <f t="shared" si="20"/>
        <v/>
      </c>
      <c r="U130" s="681" t="str">
        <f t="shared" si="21"/>
        <v/>
      </c>
      <c r="V130" s="681" t="str">
        <f t="shared" si="22"/>
        <v/>
      </c>
      <c r="W130" s="682" t="str">
        <f t="shared" si="23"/>
        <v>NO LINK</v>
      </c>
      <c r="X130" s="705">
        <f>VLOOKUP($W130,'Bespoke Speaker Intros'!$D:$E,2,False)</f>
        <v>0</v>
      </c>
      <c r="Y130" s="681">
        <f>VLOOKUP($W130,'Bespoke Speaker Intros'!$D:$F,3,false)</f>
        <v>0</v>
      </c>
      <c r="Z130" s="697"/>
      <c r="AA130" s="665"/>
      <c r="AB130" s="530"/>
      <c r="AC130" s="591"/>
      <c r="AE130" s="617"/>
      <c r="AF130" s="618"/>
      <c r="AG130" s="581"/>
    </row>
    <row r="131">
      <c r="A131" s="607" t="s">
        <v>9176</v>
      </c>
      <c r="B131" s="608">
        <v>1.0</v>
      </c>
      <c r="C131" s="608">
        <v>2.0</v>
      </c>
      <c r="D131" s="589"/>
      <c r="E131" s="576"/>
      <c r="F131" s="702" t="s">
        <v>10097</v>
      </c>
      <c r="G131" s="578" t="s">
        <v>9818</v>
      </c>
      <c r="H131" s="576" t="s">
        <v>10127</v>
      </c>
      <c r="I131" s="576" t="s">
        <v>9723</v>
      </c>
      <c r="J131" s="579" t="s">
        <v>10128</v>
      </c>
      <c r="K131" s="591"/>
      <c r="P131" s="592"/>
      <c r="R131" s="593"/>
      <c r="S131" s="525" t="s">
        <v>457</v>
      </c>
      <c r="T131" s="681" t="str">
        <f t="shared" si="20"/>
        <v/>
      </c>
      <c r="U131" s="681" t="str">
        <f t="shared" si="21"/>
        <v/>
      </c>
      <c r="V131" s="681" t="str">
        <f t="shared" si="22"/>
        <v/>
      </c>
      <c r="W131" s="682" t="str">
        <f t="shared" si="23"/>
        <v>NO LINK</v>
      </c>
      <c r="X131" s="705">
        <f>VLOOKUP($W131,'Bespoke Speaker Intros'!$D:$E,2,False)</f>
        <v>0</v>
      </c>
      <c r="Y131" s="681">
        <f>VLOOKUP($W131,'Bespoke Speaker Intros'!$D:$F,3,false)</f>
        <v>0</v>
      </c>
      <c r="Z131" s="697"/>
      <c r="AA131" s="665"/>
      <c r="AB131" s="530"/>
      <c r="AC131" s="591"/>
      <c r="AE131" s="617"/>
      <c r="AF131" s="618"/>
      <c r="AG131" s="581"/>
    </row>
    <row r="132">
      <c r="A132" s="607" t="s">
        <v>9673</v>
      </c>
      <c r="B132" s="608">
        <v>1.0</v>
      </c>
      <c r="C132" s="608">
        <v>1.0</v>
      </c>
      <c r="D132" s="589"/>
      <c r="E132" s="576"/>
      <c r="F132" s="702" t="s">
        <v>9664</v>
      </c>
      <c r="G132" s="578" t="s">
        <v>9805</v>
      </c>
      <c r="H132" s="576" t="s">
        <v>9664</v>
      </c>
      <c r="I132" s="576" t="s">
        <v>9723</v>
      </c>
      <c r="J132" s="579" t="s">
        <v>10129</v>
      </c>
      <c r="K132" s="591"/>
      <c r="P132" s="592"/>
      <c r="R132" s="593"/>
      <c r="S132" s="525" t="s">
        <v>457</v>
      </c>
      <c r="T132" s="681" t="str">
        <f t="shared" si="20"/>
        <v/>
      </c>
      <c r="U132" s="681" t="str">
        <f t="shared" si="21"/>
        <v/>
      </c>
      <c r="V132" s="681" t="str">
        <f t="shared" si="22"/>
        <v/>
      </c>
      <c r="W132" s="682" t="str">
        <f t="shared" si="23"/>
        <v>NO LINK</v>
      </c>
      <c r="X132" s="705">
        <f>VLOOKUP($W132,'Bespoke Speaker Intros'!$D:$E,2,False)</f>
        <v>0</v>
      </c>
      <c r="Y132" s="681">
        <f>VLOOKUP($W132,'Bespoke Speaker Intros'!$D:$F,3,false)</f>
        <v>0</v>
      </c>
      <c r="Z132" s="697"/>
      <c r="AA132" s="665"/>
      <c r="AB132" s="530"/>
      <c r="AC132" s="591"/>
      <c r="AE132" s="617"/>
      <c r="AF132" s="618"/>
      <c r="AG132" s="581"/>
    </row>
    <row r="133">
      <c r="A133" s="607" t="s">
        <v>9016</v>
      </c>
      <c r="B133" s="608">
        <v>1.0</v>
      </c>
      <c r="C133" s="608">
        <v>1.0</v>
      </c>
      <c r="D133" s="589"/>
      <c r="E133" s="576"/>
      <c r="F133" s="702" t="s">
        <v>9688</v>
      </c>
      <c r="G133" s="578" t="s">
        <v>9818</v>
      </c>
      <c r="H133" s="576" t="s">
        <v>10130</v>
      </c>
      <c r="I133" s="576" t="s">
        <v>9723</v>
      </c>
      <c r="J133" s="579" t="s">
        <v>10131</v>
      </c>
      <c r="K133" s="591"/>
      <c r="P133" s="592"/>
      <c r="R133" s="593"/>
      <c r="S133" s="525" t="s">
        <v>457</v>
      </c>
      <c r="T133" s="681" t="str">
        <f t="shared" si="20"/>
        <v/>
      </c>
      <c r="U133" s="681" t="str">
        <f t="shared" si="21"/>
        <v/>
      </c>
      <c r="V133" s="681" t="str">
        <f t="shared" si="22"/>
        <v/>
      </c>
      <c r="W133" s="682" t="str">
        <f t="shared" si="23"/>
        <v>NO LINK</v>
      </c>
      <c r="X133" s="705">
        <f>VLOOKUP($W133,'Bespoke Speaker Intros'!$D:$E,2,False)</f>
        <v>0</v>
      </c>
      <c r="Y133" s="681">
        <f>VLOOKUP($W133,'Bespoke Speaker Intros'!$D:$F,3,false)</f>
        <v>0</v>
      </c>
      <c r="Z133" s="697"/>
      <c r="AA133" s="665"/>
      <c r="AB133" s="530"/>
      <c r="AC133" s="591"/>
      <c r="AE133" s="617"/>
      <c r="AF133" s="618"/>
      <c r="AG133" s="581"/>
    </row>
    <row r="134">
      <c r="A134" s="607" t="s">
        <v>9321</v>
      </c>
      <c r="B134" s="608">
        <v>1.0</v>
      </c>
      <c r="C134" s="608">
        <v>3.0</v>
      </c>
      <c r="D134" s="589"/>
      <c r="E134" s="576"/>
      <c r="F134" s="577" t="s">
        <v>9614</v>
      </c>
      <c r="G134" s="578" t="s">
        <v>9805</v>
      </c>
      <c r="H134" s="576"/>
      <c r="I134" s="576"/>
      <c r="J134" s="579" t="s">
        <v>10133</v>
      </c>
      <c r="K134" s="591"/>
      <c r="P134" s="592"/>
      <c r="R134" s="593"/>
      <c r="S134" s="525" t="s">
        <v>457</v>
      </c>
      <c r="T134" s="681" t="str">
        <f t="shared" si="20"/>
        <v/>
      </c>
      <c r="U134" s="681" t="str">
        <f t="shared" si="21"/>
        <v/>
      </c>
      <c r="V134" s="681" t="str">
        <f t="shared" si="22"/>
        <v/>
      </c>
      <c r="W134" s="682" t="str">
        <f t="shared" si="23"/>
        <v>NO LINK</v>
      </c>
      <c r="X134" s="705">
        <f>VLOOKUP($W134,'Bespoke Speaker Intros'!$D:$E,2,False)</f>
        <v>0</v>
      </c>
      <c r="Y134" s="681">
        <f>VLOOKUP($W134,'Bespoke Speaker Intros'!$D:$F,3,false)</f>
        <v>0</v>
      </c>
      <c r="Z134" s="697"/>
      <c r="AA134" s="665"/>
      <c r="AB134" s="530"/>
      <c r="AC134" s="591"/>
      <c r="AE134" s="617"/>
      <c r="AF134" s="618"/>
      <c r="AG134" s="581"/>
    </row>
    <row r="135">
      <c r="A135" s="607" t="s">
        <v>9563</v>
      </c>
      <c r="B135" s="608">
        <v>1.0</v>
      </c>
      <c r="C135" s="608">
        <v>1.0</v>
      </c>
      <c r="D135" s="589"/>
      <c r="E135" s="576"/>
      <c r="F135" s="702" t="s">
        <v>9573</v>
      </c>
      <c r="G135" s="578" t="s">
        <v>9805</v>
      </c>
      <c r="H135" s="576"/>
      <c r="I135" s="576" t="s">
        <v>9723</v>
      </c>
      <c r="J135" s="579" t="s">
        <v>10134</v>
      </c>
      <c r="K135" s="591"/>
      <c r="P135" s="592"/>
      <c r="R135" s="593"/>
      <c r="S135" s="525" t="s">
        <v>457</v>
      </c>
      <c r="T135" s="681" t="str">
        <f t="shared" si="20"/>
        <v/>
      </c>
      <c r="U135" s="681" t="str">
        <f t="shared" si="21"/>
        <v/>
      </c>
      <c r="V135" s="681" t="str">
        <f t="shared" si="22"/>
        <v/>
      </c>
      <c r="W135" s="682" t="str">
        <f t="shared" si="23"/>
        <v>NO LINK</v>
      </c>
      <c r="X135" s="705">
        <f>VLOOKUP($W135,'Bespoke Speaker Intros'!$D:$E,2,False)</f>
        <v>0</v>
      </c>
      <c r="Y135" s="681">
        <f>VLOOKUP($W135,'Bespoke Speaker Intros'!$D:$F,3,false)</f>
        <v>0</v>
      </c>
      <c r="Z135" s="697"/>
      <c r="AA135" s="665"/>
      <c r="AB135" s="530"/>
      <c r="AC135" s="591"/>
      <c r="AE135" s="617"/>
      <c r="AF135" s="618"/>
      <c r="AG135" s="581"/>
    </row>
    <row r="136">
      <c r="A136" s="607" t="s">
        <v>9462</v>
      </c>
      <c r="B136" s="608">
        <v>1.0</v>
      </c>
      <c r="C136" s="608">
        <v>1.0</v>
      </c>
      <c r="D136" s="589"/>
      <c r="E136" s="576"/>
      <c r="F136" s="577" t="s">
        <v>9587</v>
      </c>
      <c r="G136" s="578" t="s">
        <v>9805</v>
      </c>
      <c r="H136" s="576"/>
      <c r="I136" s="576" t="s">
        <v>9723</v>
      </c>
      <c r="J136" s="579" t="s">
        <v>10135</v>
      </c>
      <c r="K136" s="591"/>
      <c r="P136" s="592"/>
      <c r="R136" s="593"/>
      <c r="S136" s="525" t="s">
        <v>457</v>
      </c>
      <c r="T136" s="681" t="str">
        <f t="shared" si="20"/>
        <v/>
      </c>
      <c r="U136" s="681" t="str">
        <f t="shared" si="21"/>
        <v/>
      </c>
      <c r="V136" s="681" t="str">
        <f t="shared" si="22"/>
        <v/>
      </c>
      <c r="W136" s="682" t="str">
        <f t="shared" si="23"/>
        <v>NO LINK</v>
      </c>
      <c r="X136" s="705">
        <f>VLOOKUP($W136,'Bespoke Speaker Intros'!$D:$E,2,False)</f>
        <v>0</v>
      </c>
      <c r="Y136" s="681">
        <f>VLOOKUP($W136,'Bespoke Speaker Intros'!$D:$F,3,false)</f>
        <v>0</v>
      </c>
      <c r="Z136" s="697"/>
      <c r="AA136" s="665"/>
      <c r="AB136" s="530"/>
      <c r="AC136" s="591"/>
      <c r="AE136" s="617"/>
      <c r="AF136" s="618"/>
      <c r="AG136" s="581"/>
    </row>
    <row r="137">
      <c r="A137" s="607" t="s">
        <v>8946</v>
      </c>
      <c r="B137" s="608">
        <v>1.0</v>
      </c>
      <c r="C137" s="608">
        <v>1.0</v>
      </c>
      <c r="D137" s="589"/>
      <c r="E137" s="576"/>
      <c r="F137" s="525" t="s">
        <v>457</v>
      </c>
      <c r="G137" s="578"/>
      <c r="H137" s="576"/>
      <c r="I137" s="576"/>
      <c r="J137" s="579"/>
      <c r="K137" s="591"/>
      <c r="P137" s="592"/>
      <c r="R137" s="593"/>
      <c r="S137" s="525" t="s">
        <v>457</v>
      </c>
      <c r="T137" s="681" t="str">
        <f t="shared" si="20"/>
        <v/>
      </c>
      <c r="U137" s="681" t="str">
        <f t="shared" si="21"/>
        <v/>
      </c>
      <c r="V137" s="681" t="str">
        <f t="shared" si="22"/>
        <v/>
      </c>
      <c r="W137" s="682" t="str">
        <f t="shared" si="23"/>
        <v>NO LINK</v>
      </c>
      <c r="X137" s="705">
        <f>VLOOKUP($W137,'Bespoke Speaker Intros'!$D:$E,2,False)</f>
        <v>0</v>
      </c>
      <c r="Y137" s="681">
        <f>VLOOKUP($W137,'Bespoke Speaker Intros'!$D:$F,3,false)</f>
        <v>0</v>
      </c>
      <c r="Z137" s="697"/>
      <c r="AA137" s="665"/>
      <c r="AB137" s="530"/>
      <c r="AC137" s="591"/>
      <c r="AE137" s="617"/>
      <c r="AF137" s="618"/>
      <c r="AG137" s="581"/>
    </row>
    <row r="138">
      <c r="A138" s="607" t="s">
        <v>8942</v>
      </c>
      <c r="B138" s="608">
        <v>1.0</v>
      </c>
      <c r="C138" s="608">
        <v>1.0</v>
      </c>
      <c r="D138" s="589"/>
      <c r="E138" s="576"/>
      <c r="F138" s="577" t="s">
        <v>9266</v>
      </c>
      <c r="G138" s="578" t="s">
        <v>9805</v>
      </c>
      <c r="H138" s="576"/>
      <c r="I138" s="576" t="s">
        <v>9723</v>
      </c>
      <c r="J138" s="706" t="s">
        <v>10137</v>
      </c>
      <c r="K138" s="591"/>
      <c r="P138" s="592"/>
      <c r="R138" s="593"/>
      <c r="S138" s="525" t="s">
        <v>457</v>
      </c>
      <c r="T138" s="681" t="str">
        <f t="shared" si="20"/>
        <v/>
      </c>
      <c r="U138" s="681" t="str">
        <f t="shared" si="21"/>
        <v/>
      </c>
      <c r="V138" s="681" t="str">
        <f t="shared" si="22"/>
        <v/>
      </c>
      <c r="W138" s="682" t="str">
        <f t="shared" si="23"/>
        <v>NO LINK</v>
      </c>
      <c r="X138" s="705">
        <f>VLOOKUP($W138,'Bespoke Speaker Intros'!$D:$E,2,False)</f>
        <v>0</v>
      </c>
      <c r="Y138" s="681">
        <f>VLOOKUP($W138,'Bespoke Speaker Intros'!$D:$F,3,false)</f>
        <v>0</v>
      </c>
      <c r="Z138" s="697"/>
      <c r="AA138" s="665"/>
      <c r="AB138" s="530"/>
      <c r="AC138" s="591"/>
      <c r="AE138" s="617"/>
      <c r="AF138" s="618"/>
      <c r="AG138" s="581"/>
    </row>
    <row r="139">
      <c r="A139" s="607" t="s">
        <v>9203</v>
      </c>
      <c r="B139" s="608">
        <v>1.0</v>
      </c>
      <c r="C139" s="608">
        <v>1.0</v>
      </c>
      <c r="D139" s="589"/>
      <c r="E139" s="576"/>
      <c r="F139" s="577" t="s">
        <v>9667</v>
      </c>
      <c r="G139" s="578" t="s">
        <v>9805</v>
      </c>
      <c r="H139" s="576"/>
      <c r="I139" s="576" t="s">
        <v>9723</v>
      </c>
      <c r="J139" s="707" t="s">
        <v>10139</v>
      </c>
      <c r="K139" s="591"/>
      <c r="P139" s="592"/>
      <c r="R139" s="593"/>
      <c r="S139" s="525" t="s">
        <v>457</v>
      </c>
      <c r="T139" s="681" t="str">
        <f t="shared" si="20"/>
        <v/>
      </c>
      <c r="U139" s="681" t="str">
        <f t="shared" si="21"/>
        <v/>
      </c>
      <c r="V139" s="681" t="str">
        <f t="shared" si="22"/>
        <v/>
      </c>
      <c r="W139" s="682" t="str">
        <f t="shared" si="23"/>
        <v>NO LINK</v>
      </c>
      <c r="X139" s="705">
        <f>VLOOKUP($W139,'Bespoke Speaker Intros'!$D:$E,2,False)</f>
        <v>0</v>
      </c>
      <c r="Y139" s="681">
        <f>VLOOKUP($W139,'Bespoke Speaker Intros'!$D:$F,3,false)</f>
        <v>0</v>
      </c>
      <c r="Z139" s="697"/>
      <c r="AA139" s="665"/>
      <c r="AB139" s="530"/>
      <c r="AC139" s="591"/>
      <c r="AE139" s="617"/>
      <c r="AF139" s="618"/>
      <c r="AG139" s="581"/>
    </row>
    <row r="140">
      <c r="A140" s="607" t="s">
        <v>9396</v>
      </c>
      <c r="B140" s="608">
        <v>1.0</v>
      </c>
      <c r="C140" s="608">
        <v>1.0</v>
      </c>
      <c r="D140" s="589"/>
      <c r="E140" s="576"/>
      <c r="F140" s="702"/>
      <c r="G140" s="578"/>
      <c r="H140" s="576"/>
      <c r="I140" s="576"/>
      <c r="J140" s="579"/>
      <c r="K140" s="591"/>
      <c r="P140" s="592"/>
      <c r="R140" s="593"/>
      <c r="S140" s="525" t="s">
        <v>457</v>
      </c>
      <c r="T140" s="681" t="str">
        <f t="shared" si="20"/>
        <v/>
      </c>
      <c r="U140" s="681" t="str">
        <f t="shared" si="21"/>
        <v/>
      </c>
      <c r="V140" s="681" t="str">
        <f t="shared" si="22"/>
        <v/>
      </c>
      <c r="W140" s="682" t="str">
        <f t="shared" si="23"/>
        <v>NO LINK</v>
      </c>
      <c r="X140" s="705">
        <f>VLOOKUP($W140,'Bespoke Speaker Intros'!$D:$E,2,False)</f>
        <v>0</v>
      </c>
      <c r="Y140" s="681">
        <f>VLOOKUP($W140,'Bespoke Speaker Intros'!$D:$F,3,false)</f>
        <v>0</v>
      </c>
      <c r="Z140" s="697"/>
      <c r="AA140" s="665"/>
      <c r="AB140" s="530"/>
      <c r="AC140" s="591"/>
      <c r="AE140" s="617"/>
      <c r="AF140" s="618"/>
      <c r="AG140" s="581"/>
    </row>
    <row r="141">
      <c r="A141" s="607" t="s">
        <v>10141</v>
      </c>
      <c r="B141" s="608">
        <v>132.0</v>
      </c>
      <c r="C141" s="608">
        <v>233.0</v>
      </c>
      <c r="D141" s="589"/>
      <c r="E141" s="576"/>
      <c r="F141" s="702"/>
      <c r="G141" s="578"/>
      <c r="H141" s="576"/>
      <c r="I141" s="576"/>
      <c r="J141" s="579"/>
      <c r="K141" s="591"/>
      <c r="P141" s="592"/>
      <c r="R141" s="593"/>
      <c r="S141" s="525" t="s">
        <v>457</v>
      </c>
      <c r="T141" s="681" t="str">
        <f t="shared" si="20"/>
        <v/>
      </c>
      <c r="U141" s="681" t="str">
        <f t="shared" si="21"/>
        <v/>
      </c>
      <c r="V141" s="681" t="str">
        <f t="shared" si="22"/>
        <v/>
      </c>
      <c r="W141" s="682" t="str">
        <f t="shared" si="23"/>
        <v>NO LINK</v>
      </c>
      <c r="X141" s="705">
        <f>VLOOKUP($W141,'Bespoke Speaker Intros'!$D:$E,2,False)</f>
        <v>0</v>
      </c>
      <c r="Y141" s="681">
        <f>VLOOKUP($W141,'Bespoke Speaker Intros'!$D:$F,3,false)</f>
        <v>0</v>
      </c>
      <c r="Z141" s="697"/>
      <c r="AA141" s="665"/>
      <c r="AB141" s="530"/>
      <c r="AC141" s="591"/>
      <c r="AE141" s="617"/>
      <c r="AF141" s="618"/>
      <c r="AG141" s="581"/>
    </row>
    <row r="142">
      <c r="A142" s="607"/>
      <c r="B142" s="608"/>
      <c r="C142" s="608"/>
      <c r="D142" s="589"/>
      <c r="E142" s="576"/>
      <c r="F142" s="702"/>
      <c r="G142" s="578"/>
      <c r="H142" s="576"/>
      <c r="I142" s="576"/>
      <c r="J142" s="579"/>
      <c r="K142" s="591"/>
      <c r="P142" s="592"/>
      <c r="R142" s="593"/>
      <c r="S142" s="525" t="s">
        <v>457</v>
      </c>
      <c r="T142" s="681" t="str">
        <f t="shared" si="20"/>
        <v/>
      </c>
      <c r="U142" s="681" t="str">
        <f t="shared" si="21"/>
        <v/>
      </c>
      <c r="V142" s="681" t="str">
        <f t="shared" si="22"/>
        <v/>
      </c>
      <c r="W142" s="682" t="str">
        <f t="shared" si="23"/>
        <v>NO LINK</v>
      </c>
      <c r="X142" s="705">
        <f>VLOOKUP($W142,'Bespoke Speaker Intros'!$D:$E,2,False)</f>
        <v>0</v>
      </c>
      <c r="Y142" s="681">
        <f>VLOOKUP($W142,'Bespoke Speaker Intros'!$D:$F,3,false)</f>
        <v>0</v>
      </c>
      <c r="Z142" s="697"/>
      <c r="AA142" s="665"/>
      <c r="AB142" s="530"/>
      <c r="AC142" s="591"/>
      <c r="AE142" s="617"/>
      <c r="AF142" s="618"/>
      <c r="AG142" s="581"/>
    </row>
    <row r="143">
      <c r="A143" s="607"/>
      <c r="B143" s="608"/>
      <c r="C143" s="608"/>
      <c r="D143" s="589"/>
      <c r="E143" s="576"/>
      <c r="F143" s="702"/>
      <c r="G143" s="578"/>
      <c r="H143" s="576"/>
      <c r="I143" s="576"/>
      <c r="J143" s="579"/>
      <c r="K143" s="591"/>
      <c r="P143" s="592"/>
      <c r="R143" s="593"/>
      <c r="S143" s="525" t="s">
        <v>457</v>
      </c>
      <c r="T143" s="681" t="str">
        <f t="shared" si="20"/>
        <v/>
      </c>
      <c r="U143" s="681" t="str">
        <f t="shared" si="21"/>
        <v/>
      </c>
      <c r="V143" s="681" t="str">
        <f t="shared" si="22"/>
        <v/>
      </c>
      <c r="W143" s="682" t="str">
        <f t="shared" si="23"/>
        <v>NO LINK</v>
      </c>
      <c r="X143" s="705">
        <f>VLOOKUP($W143,'Bespoke Speaker Intros'!$D:$E,2,False)</f>
        <v>0</v>
      </c>
      <c r="Y143" s="681">
        <f>VLOOKUP($W143,'Bespoke Speaker Intros'!$D:$F,3,false)</f>
        <v>0</v>
      </c>
      <c r="Z143" s="697"/>
      <c r="AA143" s="665"/>
      <c r="AB143" s="530"/>
      <c r="AC143" s="591"/>
      <c r="AE143" s="617"/>
      <c r="AF143" s="618"/>
      <c r="AG143" s="581"/>
    </row>
    <row r="144">
      <c r="A144" s="607"/>
      <c r="B144" s="608"/>
      <c r="C144" s="608"/>
      <c r="D144" s="589"/>
      <c r="E144" s="576"/>
      <c r="F144" s="702"/>
      <c r="G144" s="578"/>
      <c r="H144" s="576"/>
      <c r="I144" s="576"/>
      <c r="J144" s="579"/>
      <c r="K144" s="591"/>
      <c r="P144" s="592"/>
      <c r="R144" s="593"/>
      <c r="S144" s="525" t="s">
        <v>457</v>
      </c>
      <c r="T144" s="681" t="str">
        <f t="shared" si="20"/>
        <v/>
      </c>
      <c r="U144" s="681" t="str">
        <f t="shared" si="21"/>
        <v/>
      </c>
      <c r="V144" s="681" t="str">
        <f t="shared" si="22"/>
        <v/>
      </c>
      <c r="W144" s="682" t="str">
        <f t="shared" si="23"/>
        <v>NO LINK</v>
      </c>
      <c r="X144" s="705">
        <f>VLOOKUP($W144,'Bespoke Speaker Intros'!$D:$E,2,False)</f>
        <v>0</v>
      </c>
      <c r="Y144" s="681">
        <f>VLOOKUP($W144,'Bespoke Speaker Intros'!$D:$F,3,false)</f>
        <v>0</v>
      </c>
      <c r="Z144" s="697"/>
      <c r="AA144" s="665"/>
      <c r="AB144" s="530"/>
      <c r="AC144" s="591"/>
      <c r="AE144" s="617"/>
      <c r="AF144" s="618"/>
      <c r="AG144" s="581"/>
    </row>
    <row r="145">
      <c r="A145" s="607"/>
      <c r="B145" s="608"/>
      <c r="C145" s="608"/>
      <c r="D145" s="589"/>
      <c r="E145" s="576"/>
      <c r="F145" s="702"/>
      <c r="G145" s="578"/>
      <c r="H145" s="576"/>
      <c r="I145" s="576"/>
      <c r="J145" s="579"/>
      <c r="K145" s="591"/>
      <c r="P145" s="592"/>
      <c r="R145" s="593"/>
      <c r="S145" s="525" t="s">
        <v>457</v>
      </c>
      <c r="T145" s="681" t="str">
        <f t="shared" si="20"/>
        <v/>
      </c>
      <c r="U145" s="681" t="str">
        <f t="shared" si="21"/>
        <v/>
      </c>
      <c r="V145" s="681" t="str">
        <f t="shared" si="22"/>
        <v/>
      </c>
      <c r="W145" s="682" t="str">
        <f t="shared" si="23"/>
        <v>NO LINK</v>
      </c>
      <c r="X145" s="705">
        <f>VLOOKUP($W145,'Bespoke Speaker Intros'!$D:$E,2,False)</f>
        <v>0</v>
      </c>
      <c r="Y145" s="681">
        <f>VLOOKUP($W145,'Bespoke Speaker Intros'!$D:$F,3,false)</f>
        <v>0</v>
      </c>
      <c r="Z145" s="697"/>
      <c r="AA145" s="665"/>
      <c r="AB145" s="530"/>
      <c r="AC145" s="591"/>
      <c r="AE145" s="617"/>
      <c r="AF145" s="618"/>
      <c r="AG145" s="581"/>
    </row>
    <row r="146">
      <c r="A146" s="607"/>
      <c r="B146" s="608"/>
      <c r="C146" s="608"/>
      <c r="D146" s="589"/>
      <c r="E146" s="576"/>
      <c r="F146" s="702"/>
      <c r="G146" s="578"/>
      <c r="H146" s="576"/>
      <c r="I146" s="576"/>
      <c r="J146" s="579"/>
      <c r="K146" s="591"/>
      <c r="P146" s="592"/>
      <c r="R146" s="593"/>
      <c r="S146" s="525" t="s">
        <v>457</v>
      </c>
      <c r="T146" s="681" t="str">
        <f t="shared" si="20"/>
        <v/>
      </c>
      <c r="U146" s="681" t="str">
        <f t="shared" si="21"/>
        <v/>
      </c>
      <c r="V146" s="681" t="str">
        <f t="shared" si="22"/>
        <v/>
      </c>
      <c r="W146" s="682" t="str">
        <f t="shared" si="23"/>
        <v>NO LINK</v>
      </c>
      <c r="X146" s="705">
        <f>VLOOKUP($W146,'Bespoke Speaker Intros'!$D:$E,2,False)</f>
        <v>0</v>
      </c>
      <c r="Y146" s="681">
        <f>VLOOKUP($W146,'Bespoke Speaker Intros'!$D:$F,3,false)</f>
        <v>0</v>
      </c>
      <c r="Z146" s="697"/>
      <c r="AA146" s="665"/>
      <c r="AB146" s="530"/>
      <c r="AC146" s="591"/>
      <c r="AE146" s="617"/>
      <c r="AF146" s="618"/>
      <c r="AG146" s="581"/>
    </row>
    <row r="147">
      <c r="A147" s="607"/>
      <c r="B147" s="608"/>
      <c r="C147" s="608"/>
      <c r="D147" s="589"/>
      <c r="E147" s="576"/>
      <c r="F147" s="702"/>
      <c r="G147" s="578"/>
      <c r="H147" s="576"/>
      <c r="I147" s="576"/>
      <c r="J147" s="579"/>
      <c r="K147" s="591"/>
      <c r="P147" s="592"/>
      <c r="R147" s="593"/>
      <c r="S147" s="525" t="s">
        <v>457</v>
      </c>
      <c r="T147" s="681" t="str">
        <f t="shared" si="20"/>
        <v/>
      </c>
      <c r="U147" s="681" t="str">
        <f t="shared" si="21"/>
        <v/>
      </c>
      <c r="V147" s="681" t="str">
        <f t="shared" si="22"/>
        <v/>
      </c>
      <c r="W147" s="682" t="str">
        <f t="shared" si="23"/>
        <v>NO LINK</v>
      </c>
      <c r="X147" s="705">
        <f>VLOOKUP($W147,'Bespoke Speaker Intros'!$D:$E,2,False)</f>
        <v>0</v>
      </c>
      <c r="Y147" s="681">
        <f>VLOOKUP($W147,'Bespoke Speaker Intros'!$D:$F,3,false)</f>
        <v>0</v>
      </c>
      <c r="Z147" s="697"/>
      <c r="AA147" s="665"/>
      <c r="AB147" s="530"/>
      <c r="AC147" s="591"/>
      <c r="AE147" s="617"/>
      <c r="AF147" s="618"/>
      <c r="AG147" s="581"/>
    </row>
    <row r="148">
      <c r="A148" s="607"/>
      <c r="B148" s="608"/>
      <c r="C148" s="608"/>
      <c r="D148" s="589"/>
      <c r="E148" s="576"/>
      <c r="F148" s="702"/>
      <c r="G148" s="578"/>
      <c r="H148" s="576"/>
      <c r="I148" s="576"/>
      <c r="J148" s="579"/>
      <c r="K148" s="591"/>
      <c r="P148" s="592"/>
      <c r="R148" s="593"/>
      <c r="S148" s="525" t="s">
        <v>457</v>
      </c>
      <c r="T148" s="681" t="str">
        <f t="shared" si="20"/>
        <v/>
      </c>
      <c r="U148" s="681" t="str">
        <f t="shared" si="21"/>
        <v/>
      </c>
      <c r="V148" s="681" t="str">
        <f t="shared" si="22"/>
        <v/>
      </c>
      <c r="W148" s="682" t="str">
        <f t="shared" si="23"/>
        <v>NO LINK</v>
      </c>
      <c r="X148" s="705">
        <f>VLOOKUP($W148,'Bespoke Speaker Intros'!$D:$E,2,False)</f>
        <v>0</v>
      </c>
      <c r="Y148" s="681">
        <f>VLOOKUP($W148,'Bespoke Speaker Intros'!$D:$F,3,false)</f>
        <v>0</v>
      </c>
      <c r="Z148" s="697"/>
      <c r="AA148" s="665"/>
      <c r="AB148" s="530"/>
      <c r="AC148" s="591"/>
      <c r="AE148" s="617"/>
      <c r="AF148" s="618"/>
      <c r="AG148" s="581"/>
    </row>
    <row r="149">
      <c r="A149" s="607"/>
      <c r="B149" s="608"/>
      <c r="C149" s="608"/>
      <c r="D149" s="589"/>
      <c r="E149" s="576"/>
      <c r="F149" s="702"/>
      <c r="G149" s="578"/>
      <c r="H149" s="576"/>
      <c r="I149" s="576"/>
      <c r="J149" s="579"/>
      <c r="K149" s="591"/>
      <c r="P149" s="592"/>
      <c r="R149" s="593"/>
      <c r="S149" s="525" t="s">
        <v>457</v>
      </c>
      <c r="T149" s="681" t="str">
        <f t="shared" si="20"/>
        <v/>
      </c>
      <c r="U149" s="681" t="str">
        <f t="shared" si="21"/>
        <v/>
      </c>
      <c r="V149" s="681" t="str">
        <f t="shared" si="22"/>
        <v/>
      </c>
      <c r="W149" s="682" t="str">
        <f t="shared" si="23"/>
        <v>NO LINK</v>
      </c>
      <c r="X149" s="705">
        <f>VLOOKUP($W149,'Bespoke Speaker Intros'!$D:$E,2,False)</f>
        <v>0</v>
      </c>
      <c r="Y149" s="681">
        <f>VLOOKUP($W149,'Bespoke Speaker Intros'!$D:$F,3,false)</f>
        <v>0</v>
      </c>
      <c r="Z149" s="697"/>
      <c r="AA149" s="665"/>
      <c r="AB149" s="530"/>
      <c r="AC149" s="591"/>
      <c r="AE149" s="617"/>
      <c r="AF149" s="618"/>
      <c r="AG149" s="581"/>
    </row>
    <row r="150">
      <c r="A150" s="607"/>
      <c r="B150" s="608"/>
      <c r="C150" s="608"/>
      <c r="D150" s="589"/>
      <c r="E150" s="576"/>
      <c r="F150" s="702"/>
      <c r="G150" s="578"/>
      <c r="H150" s="576"/>
      <c r="I150" s="576"/>
      <c r="J150" s="579"/>
      <c r="K150" s="591"/>
      <c r="P150" s="592"/>
      <c r="R150" s="593"/>
      <c r="S150" s="525" t="s">
        <v>457</v>
      </c>
      <c r="T150" s="681" t="str">
        <f t="shared" si="20"/>
        <v/>
      </c>
      <c r="U150" s="681" t="str">
        <f t="shared" si="21"/>
        <v/>
      </c>
      <c r="V150" s="681" t="str">
        <f t="shared" si="22"/>
        <v/>
      </c>
      <c r="W150" s="682" t="str">
        <f t="shared" si="23"/>
        <v>NO LINK</v>
      </c>
      <c r="X150" s="705">
        <f>VLOOKUP($W150,'Bespoke Speaker Intros'!$D:$E,2,False)</f>
        <v>0</v>
      </c>
      <c r="Y150" s="681">
        <f>VLOOKUP($W150,'Bespoke Speaker Intros'!$D:$F,3,false)</f>
        <v>0</v>
      </c>
      <c r="Z150" s="697"/>
      <c r="AA150" s="665"/>
      <c r="AB150" s="530"/>
      <c r="AC150" s="591"/>
      <c r="AE150" s="617"/>
      <c r="AF150" s="618"/>
      <c r="AG150" s="581"/>
    </row>
    <row r="151">
      <c r="A151" s="607"/>
      <c r="B151" s="608"/>
      <c r="C151" s="608"/>
      <c r="D151" s="589"/>
      <c r="E151" s="576"/>
      <c r="F151" s="702"/>
      <c r="G151" s="578"/>
      <c r="H151" s="576"/>
      <c r="I151" s="576"/>
      <c r="J151" s="579"/>
      <c r="K151" s="591"/>
      <c r="P151" s="592"/>
      <c r="R151" s="593"/>
      <c r="S151" s="525" t="s">
        <v>457</v>
      </c>
      <c r="T151" s="681" t="str">
        <f t="shared" si="20"/>
        <v/>
      </c>
      <c r="U151" s="681" t="str">
        <f t="shared" si="21"/>
        <v/>
      </c>
      <c r="V151" s="681" t="str">
        <f t="shared" si="22"/>
        <v/>
      </c>
      <c r="W151" s="682" t="str">
        <f t="shared" si="23"/>
        <v>NO LINK</v>
      </c>
      <c r="X151" s="705">
        <f>VLOOKUP($W151,'Bespoke Speaker Intros'!$D:$E,2,False)</f>
        <v>0</v>
      </c>
      <c r="Y151" s="681">
        <f>VLOOKUP($W151,'Bespoke Speaker Intros'!$D:$F,3,false)</f>
        <v>0</v>
      </c>
      <c r="Z151" s="697"/>
      <c r="AA151" s="665"/>
      <c r="AB151" s="530"/>
      <c r="AC151" s="591"/>
      <c r="AE151" s="617"/>
      <c r="AF151" s="618"/>
      <c r="AG151" s="581"/>
    </row>
    <row r="152">
      <c r="A152" s="607"/>
      <c r="B152" s="608"/>
      <c r="C152" s="608"/>
      <c r="D152" s="589"/>
      <c r="E152" s="576"/>
      <c r="F152" s="702"/>
      <c r="G152" s="578"/>
      <c r="H152" s="576"/>
      <c r="I152" s="576"/>
      <c r="J152" s="579"/>
      <c r="K152" s="591"/>
      <c r="P152" s="592"/>
      <c r="R152" s="593"/>
      <c r="S152" s="525" t="s">
        <v>457</v>
      </c>
      <c r="T152" s="681" t="str">
        <f t="shared" si="20"/>
        <v/>
      </c>
      <c r="U152" s="681" t="str">
        <f t="shared" si="21"/>
        <v/>
      </c>
      <c r="V152" s="681" t="str">
        <f t="shared" si="22"/>
        <v/>
      </c>
      <c r="W152" s="682" t="str">
        <f t="shared" si="23"/>
        <v>NO LINK</v>
      </c>
      <c r="X152" s="705">
        <f>VLOOKUP($W152,'Bespoke Speaker Intros'!$D:$E,2,False)</f>
        <v>0</v>
      </c>
      <c r="Y152" s="681">
        <f>VLOOKUP($W152,'Bespoke Speaker Intros'!$D:$F,3,false)</f>
        <v>0</v>
      </c>
      <c r="Z152" s="697"/>
      <c r="AA152" s="665"/>
      <c r="AB152" s="530"/>
      <c r="AC152" s="591"/>
      <c r="AE152" s="617"/>
      <c r="AF152" s="618"/>
      <c r="AG152" s="581"/>
    </row>
    <row r="153">
      <c r="A153" s="607"/>
      <c r="B153" s="608"/>
      <c r="C153" s="608"/>
      <c r="D153" s="589"/>
      <c r="E153" s="576"/>
      <c r="F153" s="702"/>
      <c r="G153" s="578"/>
      <c r="H153" s="576"/>
      <c r="I153" s="576"/>
      <c r="J153" s="579"/>
      <c r="K153" s="591"/>
      <c r="P153" s="592"/>
      <c r="R153" s="593"/>
      <c r="S153" s="525" t="s">
        <v>457</v>
      </c>
      <c r="T153" s="681" t="str">
        <f t="shared" si="20"/>
        <v/>
      </c>
      <c r="U153" s="681" t="str">
        <f t="shared" si="21"/>
        <v/>
      </c>
      <c r="V153" s="681" t="str">
        <f t="shared" si="22"/>
        <v/>
      </c>
      <c r="W153" s="682" t="str">
        <f t="shared" si="23"/>
        <v>NO LINK</v>
      </c>
      <c r="X153" s="705">
        <f>VLOOKUP($W153,'Bespoke Speaker Intros'!$D:$E,2,False)</f>
        <v>0</v>
      </c>
      <c r="Y153" s="681">
        <f>VLOOKUP($W153,'Bespoke Speaker Intros'!$D:$F,3,false)</f>
        <v>0</v>
      </c>
      <c r="Z153" s="697"/>
      <c r="AA153" s="665"/>
      <c r="AB153" s="530"/>
      <c r="AC153" s="591"/>
      <c r="AE153" s="617"/>
      <c r="AF153" s="618"/>
      <c r="AG153" s="581"/>
    </row>
    <row r="154">
      <c r="A154" s="607"/>
      <c r="B154" s="608"/>
      <c r="C154" s="608"/>
      <c r="D154" s="589"/>
      <c r="E154" s="576"/>
      <c r="F154" s="702"/>
      <c r="G154" s="578"/>
      <c r="H154" s="576"/>
      <c r="I154" s="576"/>
      <c r="J154" s="579"/>
      <c r="K154" s="591"/>
      <c r="P154" s="592"/>
      <c r="R154" s="593"/>
      <c r="S154" s="525" t="s">
        <v>457</v>
      </c>
      <c r="T154" s="681" t="str">
        <f t="shared" si="20"/>
        <v/>
      </c>
      <c r="U154" s="681" t="str">
        <f t="shared" si="21"/>
        <v/>
      </c>
      <c r="V154" s="681" t="str">
        <f t="shared" si="22"/>
        <v/>
      </c>
      <c r="W154" s="682" t="str">
        <f t="shared" si="23"/>
        <v>NO LINK</v>
      </c>
      <c r="X154" s="705">
        <f>VLOOKUP($W154,'Bespoke Speaker Intros'!$D:$E,2,False)</f>
        <v>0</v>
      </c>
      <c r="Y154" s="681">
        <f>VLOOKUP($W154,'Bespoke Speaker Intros'!$D:$F,3,false)</f>
        <v>0</v>
      </c>
      <c r="Z154" s="697"/>
      <c r="AA154" s="665"/>
      <c r="AB154" s="530"/>
      <c r="AC154" s="591"/>
      <c r="AE154" s="617"/>
      <c r="AF154" s="618"/>
      <c r="AG154" s="581"/>
    </row>
    <row r="155">
      <c r="A155" s="607"/>
      <c r="B155" s="608"/>
      <c r="C155" s="608"/>
      <c r="D155" s="589"/>
      <c r="E155" s="576"/>
      <c r="F155" s="702"/>
      <c r="G155" s="578"/>
      <c r="H155" s="576"/>
      <c r="I155" s="576"/>
      <c r="J155" s="579"/>
      <c r="K155" s="591"/>
      <c r="P155" s="592"/>
      <c r="R155" s="593"/>
      <c r="S155" s="525" t="s">
        <v>457</v>
      </c>
      <c r="T155" s="681" t="str">
        <f t="shared" si="20"/>
        <v/>
      </c>
      <c r="U155" s="681" t="str">
        <f t="shared" si="21"/>
        <v/>
      </c>
      <c r="V155" s="681" t="str">
        <f t="shared" si="22"/>
        <v/>
      </c>
      <c r="W155" s="682" t="str">
        <f t="shared" si="23"/>
        <v>NO LINK</v>
      </c>
      <c r="X155" s="705">
        <f>VLOOKUP($W155,'Bespoke Speaker Intros'!$D:$E,2,False)</f>
        <v>0</v>
      </c>
      <c r="Y155" s="681">
        <f>VLOOKUP($W155,'Bespoke Speaker Intros'!$D:$F,3,false)</f>
        <v>0</v>
      </c>
      <c r="Z155" s="697"/>
      <c r="AA155" s="665"/>
      <c r="AB155" s="530"/>
      <c r="AC155" s="591"/>
      <c r="AE155" s="617"/>
      <c r="AF155" s="618"/>
      <c r="AG155" s="581"/>
    </row>
    <row r="156">
      <c r="A156" s="607"/>
      <c r="B156" s="608"/>
      <c r="C156" s="608"/>
      <c r="D156" s="589"/>
      <c r="E156" s="576"/>
      <c r="F156" s="702"/>
      <c r="G156" s="578"/>
      <c r="H156" s="576"/>
      <c r="I156" s="576"/>
      <c r="J156" s="579"/>
      <c r="K156" s="591"/>
      <c r="P156" s="592"/>
      <c r="R156" s="593"/>
      <c r="S156" s="525" t="s">
        <v>457</v>
      </c>
      <c r="T156" s="681" t="str">
        <f t="shared" si="20"/>
        <v/>
      </c>
      <c r="U156" s="681" t="str">
        <f t="shared" si="21"/>
        <v/>
      </c>
      <c r="V156" s="681" t="str">
        <f t="shared" si="22"/>
        <v/>
      </c>
      <c r="W156" s="682" t="str">
        <f t="shared" si="23"/>
        <v>NO LINK</v>
      </c>
      <c r="X156" s="705">
        <f>VLOOKUP($W156,'Bespoke Speaker Intros'!$D:$E,2,False)</f>
        <v>0</v>
      </c>
      <c r="Y156" s="681">
        <f>VLOOKUP($W156,'Bespoke Speaker Intros'!$D:$F,3,false)</f>
        <v>0</v>
      </c>
      <c r="Z156" s="697"/>
      <c r="AA156" s="665"/>
      <c r="AB156" s="530"/>
      <c r="AC156" s="591"/>
      <c r="AE156" s="617"/>
      <c r="AF156" s="618"/>
      <c r="AG156" s="581"/>
    </row>
    <row r="157">
      <c r="A157" s="607"/>
      <c r="B157" s="608"/>
      <c r="C157" s="608"/>
      <c r="D157" s="589"/>
      <c r="E157" s="576"/>
      <c r="F157" s="702"/>
      <c r="G157" s="578"/>
      <c r="H157" s="576"/>
      <c r="I157" s="576"/>
      <c r="J157" s="579"/>
      <c r="K157" s="591"/>
      <c r="P157" s="592"/>
      <c r="R157" s="593"/>
      <c r="S157" s="525" t="s">
        <v>457</v>
      </c>
      <c r="T157" s="681" t="str">
        <f t="shared" si="20"/>
        <v/>
      </c>
      <c r="U157" s="681" t="str">
        <f t="shared" si="21"/>
        <v/>
      </c>
      <c r="V157" s="681" t="str">
        <f t="shared" si="22"/>
        <v/>
      </c>
      <c r="W157" s="682" t="str">
        <f t="shared" si="23"/>
        <v>NO LINK</v>
      </c>
      <c r="X157" s="705">
        <f>VLOOKUP($W157,'Bespoke Speaker Intros'!$D:$E,2,False)</f>
        <v>0</v>
      </c>
      <c r="Y157" s="681">
        <f>VLOOKUP($W157,'Bespoke Speaker Intros'!$D:$F,3,false)</f>
        <v>0</v>
      </c>
      <c r="Z157" s="697"/>
      <c r="AA157" s="665"/>
      <c r="AB157" s="530"/>
      <c r="AC157" s="591"/>
      <c r="AE157" s="617"/>
      <c r="AF157" s="618"/>
      <c r="AG157" s="581"/>
    </row>
    <row r="158">
      <c r="A158" s="607"/>
      <c r="B158" s="608"/>
      <c r="C158" s="608"/>
      <c r="D158" s="589"/>
      <c r="E158" s="576"/>
      <c r="F158" s="702"/>
      <c r="G158" s="578"/>
      <c r="H158" s="576"/>
      <c r="I158" s="576"/>
      <c r="J158" s="579"/>
      <c r="K158" s="591"/>
      <c r="P158" s="592"/>
      <c r="R158" s="593"/>
      <c r="S158" s="525" t="s">
        <v>457</v>
      </c>
      <c r="T158" s="681" t="str">
        <f t="shared" si="20"/>
        <v/>
      </c>
      <c r="U158" s="681" t="str">
        <f t="shared" si="21"/>
        <v/>
      </c>
      <c r="V158" s="681" t="str">
        <f t="shared" si="22"/>
        <v/>
      </c>
      <c r="W158" s="682" t="str">
        <f t="shared" si="23"/>
        <v>NO LINK</v>
      </c>
      <c r="X158" s="705">
        <f>VLOOKUP($W158,'Bespoke Speaker Intros'!$D:$E,2,False)</f>
        <v>0</v>
      </c>
      <c r="Y158" s="681">
        <f>VLOOKUP($W158,'Bespoke Speaker Intros'!$D:$F,3,false)</f>
        <v>0</v>
      </c>
      <c r="Z158" s="697"/>
      <c r="AA158" s="665"/>
      <c r="AB158" s="530"/>
      <c r="AC158" s="591"/>
      <c r="AE158" s="617"/>
      <c r="AF158" s="618"/>
      <c r="AG158" s="581"/>
    </row>
    <row r="159">
      <c r="A159" s="607"/>
      <c r="B159" s="608"/>
      <c r="C159" s="608"/>
      <c r="D159" s="589"/>
      <c r="E159" s="576"/>
      <c r="F159" s="702"/>
      <c r="G159" s="578"/>
      <c r="H159" s="576"/>
      <c r="I159" s="576"/>
      <c r="J159" s="579"/>
      <c r="K159" s="591"/>
      <c r="P159" s="592"/>
      <c r="R159" s="593"/>
      <c r="S159" s="525" t="s">
        <v>457</v>
      </c>
      <c r="T159" s="681" t="str">
        <f t="shared" si="20"/>
        <v/>
      </c>
      <c r="U159" s="681" t="str">
        <f t="shared" si="21"/>
        <v/>
      </c>
      <c r="V159" s="681" t="str">
        <f t="shared" si="22"/>
        <v/>
      </c>
      <c r="W159" s="682" t="str">
        <f t="shared" si="23"/>
        <v>NO LINK</v>
      </c>
      <c r="X159" s="705">
        <f>VLOOKUP($W159,'Bespoke Speaker Intros'!$D:$E,2,False)</f>
        <v>0</v>
      </c>
      <c r="Y159" s="681">
        <f>VLOOKUP($W159,'Bespoke Speaker Intros'!$D:$F,3,false)</f>
        <v>0</v>
      </c>
      <c r="Z159" s="697"/>
      <c r="AA159" s="665"/>
      <c r="AB159" s="530"/>
      <c r="AC159" s="591"/>
      <c r="AE159" s="617"/>
      <c r="AF159" s="618"/>
      <c r="AG159" s="581"/>
    </row>
    <row r="160">
      <c r="A160" s="607"/>
      <c r="B160" s="608"/>
      <c r="C160" s="608"/>
      <c r="D160" s="589"/>
      <c r="E160" s="576"/>
      <c r="F160" s="702"/>
      <c r="G160" s="578"/>
      <c r="H160" s="576"/>
      <c r="I160" s="576"/>
      <c r="J160" s="579"/>
      <c r="K160" s="591"/>
      <c r="P160" s="592"/>
      <c r="R160" s="593"/>
      <c r="S160" s="525" t="s">
        <v>457</v>
      </c>
      <c r="T160" s="681" t="str">
        <f t="shared" si="20"/>
        <v/>
      </c>
      <c r="U160" s="681" t="str">
        <f t="shared" si="21"/>
        <v/>
      </c>
      <c r="V160" s="681" t="str">
        <f t="shared" si="22"/>
        <v/>
      </c>
      <c r="W160" s="682" t="str">
        <f t="shared" si="23"/>
        <v>NO LINK</v>
      </c>
      <c r="X160" s="705">
        <f>VLOOKUP($W160,'Bespoke Speaker Intros'!$D:$E,2,False)</f>
        <v>0</v>
      </c>
      <c r="Y160" s="681">
        <f>VLOOKUP($W160,'Bespoke Speaker Intros'!$D:$F,3,false)</f>
        <v>0</v>
      </c>
      <c r="Z160" s="697"/>
      <c r="AA160" s="665"/>
      <c r="AB160" s="530"/>
      <c r="AC160" s="591"/>
      <c r="AE160" s="617"/>
      <c r="AF160" s="618"/>
      <c r="AG160" s="581"/>
    </row>
    <row r="161">
      <c r="A161" s="607"/>
      <c r="B161" s="608"/>
      <c r="C161" s="608"/>
      <c r="D161" s="589"/>
      <c r="E161" s="576"/>
      <c r="F161" s="702"/>
      <c r="G161" s="578"/>
      <c r="H161" s="576"/>
      <c r="I161" s="576"/>
      <c r="J161" s="579"/>
      <c r="K161" s="591"/>
      <c r="P161" s="592"/>
      <c r="R161" s="593"/>
      <c r="S161" s="525" t="s">
        <v>457</v>
      </c>
      <c r="T161" s="681" t="str">
        <f t="shared" si="20"/>
        <v/>
      </c>
      <c r="U161" s="681" t="str">
        <f t="shared" si="21"/>
        <v/>
      </c>
      <c r="V161" s="681" t="str">
        <f t="shared" si="22"/>
        <v/>
      </c>
      <c r="W161" s="682" t="str">
        <f t="shared" si="23"/>
        <v>NO LINK</v>
      </c>
      <c r="X161" s="705">
        <f>VLOOKUP($W161,'Bespoke Speaker Intros'!$D:$E,2,False)</f>
        <v>0</v>
      </c>
      <c r="Y161" s="681">
        <f>VLOOKUP($W161,'Bespoke Speaker Intros'!$D:$F,3,false)</f>
        <v>0</v>
      </c>
      <c r="Z161" s="697"/>
      <c r="AA161" s="665"/>
      <c r="AB161" s="530"/>
      <c r="AC161" s="591"/>
      <c r="AE161" s="617"/>
      <c r="AF161" s="618"/>
      <c r="AG161" s="581"/>
    </row>
    <row r="162">
      <c r="A162" s="607"/>
      <c r="B162" s="608"/>
      <c r="C162" s="608"/>
      <c r="D162" s="589"/>
      <c r="E162" s="576"/>
      <c r="F162" s="702"/>
      <c r="G162" s="578"/>
      <c r="H162" s="576"/>
      <c r="I162" s="576"/>
      <c r="J162" s="579"/>
      <c r="K162" s="591"/>
      <c r="P162" s="592"/>
      <c r="R162" s="593"/>
      <c r="S162" s="525" t="s">
        <v>457</v>
      </c>
      <c r="T162" s="681" t="str">
        <f t="shared" si="20"/>
        <v/>
      </c>
      <c r="U162" s="681" t="str">
        <f t="shared" si="21"/>
        <v/>
      </c>
      <c r="V162" s="681" t="str">
        <f t="shared" si="22"/>
        <v/>
      </c>
      <c r="W162" s="682" t="str">
        <f t="shared" si="23"/>
        <v>NO LINK</v>
      </c>
      <c r="X162" s="705">
        <f>VLOOKUP($W162,'Bespoke Speaker Intros'!$D:$E,2,False)</f>
        <v>0</v>
      </c>
      <c r="Y162" s="681">
        <f>VLOOKUP($W162,'Bespoke Speaker Intros'!$D:$F,3,false)</f>
        <v>0</v>
      </c>
      <c r="Z162" s="697"/>
      <c r="AA162" s="665"/>
      <c r="AB162" s="530"/>
      <c r="AC162" s="591"/>
      <c r="AE162" s="617"/>
      <c r="AF162" s="618"/>
      <c r="AG162" s="581"/>
    </row>
    <row r="163">
      <c r="A163" s="607"/>
      <c r="B163" s="608"/>
      <c r="C163" s="608"/>
      <c r="D163" s="589"/>
      <c r="E163" s="576"/>
      <c r="F163" s="702"/>
      <c r="G163" s="578"/>
      <c r="H163" s="576"/>
      <c r="I163" s="576"/>
      <c r="J163" s="579"/>
      <c r="K163" s="591"/>
      <c r="P163" s="592"/>
      <c r="R163" s="593"/>
      <c r="S163" s="525" t="s">
        <v>457</v>
      </c>
      <c r="T163" s="681" t="str">
        <f t="shared" si="20"/>
        <v/>
      </c>
      <c r="U163" s="681" t="str">
        <f t="shared" si="21"/>
        <v/>
      </c>
      <c r="V163" s="681" t="str">
        <f t="shared" si="22"/>
        <v/>
      </c>
      <c r="W163" s="682" t="str">
        <f t="shared" si="23"/>
        <v>NO LINK</v>
      </c>
      <c r="X163" s="705">
        <f>VLOOKUP($W163,'Bespoke Speaker Intros'!$D:$E,2,False)</f>
        <v>0</v>
      </c>
      <c r="Y163" s="681">
        <f>VLOOKUP($W163,'Bespoke Speaker Intros'!$D:$F,3,false)</f>
        <v>0</v>
      </c>
      <c r="Z163" s="697"/>
      <c r="AA163" s="665"/>
      <c r="AB163" s="530"/>
      <c r="AC163" s="591"/>
      <c r="AE163" s="617"/>
      <c r="AF163" s="618"/>
      <c r="AG163" s="581"/>
    </row>
    <row r="164">
      <c r="A164" s="607"/>
      <c r="B164" s="608"/>
      <c r="C164" s="608"/>
      <c r="D164" s="589"/>
      <c r="E164" s="576"/>
      <c r="F164" s="702"/>
      <c r="G164" s="578"/>
      <c r="H164" s="576"/>
      <c r="I164" s="576"/>
      <c r="J164" s="579"/>
      <c r="K164" s="591"/>
      <c r="P164" s="592"/>
      <c r="R164" s="593"/>
      <c r="S164" s="525" t="s">
        <v>457</v>
      </c>
      <c r="T164" s="681" t="str">
        <f t="shared" si="20"/>
        <v/>
      </c>
      <c r="U164" s="681" t="str">
        <f t="shared" si="21"/>
        <v/>
      </c>
      <c r="V164" s="681" t="str">
        <f t="shared" si="22"/>
        <v/>
      </c>
      <c r="W164" s="682" t="str">
        <f t="shared" si="23"/>
        <v>NO LINK</v>
      </c>
      <c r="X164" s="705">
        <f>VLOOKUP($W164,'Bespoke Speaker Intros'!$D:$E,2,False)</f>
        <v>0</v>
      </c>
      <c r="Y164" s="681">
        <f>VLOOKUP($W164,'Bespoke Speaker Intros'!$D:$F,3,false)</f>
        <v>0</v>
      </c>
      <c r="Z164" s="697"/>
      <c r="AA164" s="665"/>
      <c r="AB164" s="530"/>
      <c r="AC164" s="591"/>
      <c r="AE164" s="617"/>
      <c r="AF164" s="618"/>
      <c r="AG164" s="581"/>
    </row>
    <row r="165">
      <c r="A165" s="607"/>
      <c r="B165" s="608"/>
      <c r="C165" s="608"/>
      <c r="D165" s="589"/>
      <c r="E165" s="576"/>
      <c r="F165" s="702"/>
      <c r="G165" s="578"/>
      <c r="H165" s="576"/>
      <c r="I165" s="576"/>
      <c r="J165" s="579"/>
      <c r="K165" s="591"/>
      <c r="P165" s="592"/>
      <c r="R165" s="593"/>
      <c r="S165" s="525" t="s">
        <v>457</v>
      </c>
      <c r="T165" s="681" t="str">
        <f t="shared" si="20"/>
        <v/>
      </c>
      <c r="U165" s="681" t="str">
        <f t="shared" si="21"/>
        <v/>
      </c>
      <c r="V165" s="681" t="str">
        <f t="shared" si="22"/>
        <v/>
      </c>
      <c r="W165" s="682" t="str">
        <f t="shared" si="23"/>
        <v>NO LINK</v>
      </c>
      <c r="X165" s="705">
        <f>VLOOKUP($W165,'Bespoke Speaker Intros'!$D:$E,2,False)</f>
        <v>0</v>
      </c>
      <c r="Y165" s="681">
        <f>VLOOKUP($W165,'Bespoke Speaker Intros'!$D:$F,3,false)</f>
        <v>0</v>
      </c>
      <c r="Z165" s="697"/>
      <c r="AA165" s="665"/>
      <c r="AB165" s="530"/>
      <c r="AC165" s="591"/>
      <c r="AE165" s="617"/>
      <c r="AF165" s="618"/>
      <c r="AG165" s="581"/>
    </row>
    <row r="166">
      <c r="A166" s="607"/>
      <c r="B166" s="608"/>
      <c r="C166" s="608"/>
      <c r="D166" s="589"/>
      <c r="E166" s="576"/>
      <c r="F166" s="702"/>
      <c r="G166" s="578"/>
      <c r="H166" s="576"/>
      <c r="I166" s="576"/>
      <c r="J166" s="579"/>
      <c r="K166" s="591"/>
      <c r="P166" s="592"/>
      <c r="R166" s="593"/>
      <c r="S166" s="525" t="s">
        <v>457</v>
      </c>
      <c r="T166" s="681" t="str">
        <f t="shared" si="20"/>
        <v/>
      </c>
      <c r="U166" s="681" t="str">
        <f t="shared" si="21"/>
        <v/>
      </c>
      <c r="V166" s="681" t="str">
        <f t="shared" si="22"/>
        <v/>
      </c>
      <c r="W166" s="682" t="str">
        <f t="shared" si="23"/>
        <v>NO LINK</v>
      </c>
      <c r="X166" s="705">
        <f>VLOOKUP($W166,'Bespoke Speaker Intros'!$D:$E,2,False)</f>
        <v>0</v>
      </c>
      <c r="Y166" s="681">
        <f>VLOOKUP($W166,'Bespoke Speaker Intros'!$D:$F,3,false)</f>
        <v>0</v>
      </c>
      <c r="Z166" s="697"/>
      <c r="AA166" s="665"/>
      <c r="AB166" s="530"/>
      <c r="AC166" s="591"/>
      <c r="AE166" s="617"/>
      <c r="AF166" s="618"/>
      <c r="AG166" s="581"/>
    </row>
    <row r="167">
      <c r="A167" s="607"/>
      <c r="B167" s="608"/>
      <c r="C167" s="608"/>
      <c r="D167" s="589"/>
      <c r="E167" s="576"/>
      <c r="F167" s="702"/>
      <c r="G167" s="578"/>
      <c r="H167" s="576"/>
      <c r="I167" s="576"/>
      <c r="J167" s="579"/>
      <c r="K167" s="591"/>
      <c r="P167" s="592"/>
      <c r="R167" s="593"/>
      <c r="S167" s="525" t="s">
        <v>457</v>
      </c>
      <c r="T167" s="681" t="str">
        <f t="shared" si="20"/>
        <v/>
      </c>
      <c r="U167" s="681" t="str">
        <f t="shared" si="21"/>
        <v/>
      </c>
      <c r="V167" s="681" t="str">
        <f t="shared" si="22"/>
        <v/>
      </c>
      <c r="W167" s="682" t="str">
        <f t="shared" si="23"/>
        <v>NO LINK</v>
      </c>
      <c r="X167" s="705">
        <f>VLOOKUP($W167,'Bespoke Speaker Intros'!$D:$E,2,False)</f>
        <v>0</v>
      </c>
      <c r="Y167" s="681">
        <f>VLOOKUP($W167,'Bespoke Speaker Intros'!$D:$F,3,false)</f>
        <v>0</v>
      </c>
      <c r="Z167" s="697"/>
      <c r="AA167" s="665"/>
      <c r="AB167" s="530"/>
      <c r="AC167" s="591"/>
      <c r="AE167" s="617"/>
      <c r="AF167" s="618"/>
      <c r="AG167" s="581"/>
    </row>
    <row r="168">
      <c r="A168" s="607"/>
      <c r="B168" s="608"/>
      <c r="C168" s="608"/>
      <c r="D168" s="589"/>
      <c r="E168" s="576"/>
      <c r="F168" s="702"/>
      <c r="G168" s="578"/>
      <c r="H168" s="576"/>
      <c r="I168" s="576"/>
      <c r="J168" s="579"/>
      <c r="K168" s="591"/>
      <c r="P168" s="592"/>
      <c r="R168" s="593"/>
      <c r="S168" s="525" t="s">
        <v>457</v>
      </c>
      <c r="T168" s="681" t="str">
        <f t="shared" si="20"/>
        <v/>
      </c>
      <c r="U168" s="681" t="str">
        <f t="shared" si="21"/>
        <v/>
      </c>
      <c r="V168" s="681" t="str">
        <f t="shared" si="22"/>
        <v/>
      </c>
      <c r="W168" s="682" t="str">
        <f t="shared" si="23"/>
        <v>NO LINK</v>
      </c>
      <c r="X168" s="705">
        <f>VLOOKUP($W168,'Bespoke Speaker Intros'!$D:$E,2,False)</f>
        <v>0</v>
      </c>
      <c r="Y168" s="681">
        <f>VLOOKUP($W168,'Bespoke Speaker Intros'!$D:$F,3,false)</f>
        <v>0</v>
      </c>
      <c r="Z168" s="697"/>
      <c r="AA168" s="665"/>
      <c r="AB168" s="665"/>
      <c r="AC168" s="591"/>
      <c r="AE168" s="617"/>
      <c r="AF168" s="618"/>
      <c r="AG168" s="581"/>
    </row>
    <row r="169">
      <c r="A169" s="607"/>
      <c r="B169" s="608"/>
      <c r="C169" s="608"/>
      <c r="D169" s="589"/>
      <c r="E169" s="576"/>
      <c r="F169" s="702"/>
      <c r="G169" s="578"/>
      <c r="H169" s="576"/>
      <c r="I169" s="576"/>
      <c r="J169" s="579"/>
      <c r="K169" s="591"/>
      <c r="P169" s="592"/>
      <c r="R169" s="593"/>
      <c r="S169" s="525" t="s">
        <v>457</v>
      </c>
      <c r="T169" s="681" t="str">
        <f t="shared" si="20"/>
        <v/>
      </c>
      <c r="U169" s="681" t="str">
        <f t="shared" si="21"/>
        <v/>
      </c>
      <c r="V169" s="681" t="str">
        <f t="shared" si="22"/>
        <v/>
      </c>
      <c r="W169" s="682" t="str">
        <f t="shared" si="23"/>
        <v>NO LINK</v>
      </c>
      <c r="X169" s="705">
        <f>VLOOKUP($W169,'Bespoke Speaker Intros'!$D:$E,2,False)</f>
        <v>0</v>
      </c>
      <c r="Y169" s="681">
        <f>VLOOKUP($W169,'Bespoke Speaker Intros'!$D:$F,3,false)</f>
        <v>0</v>
      </c>
      <c r="Z169" s="697"/>
      <c r="AA169" s="665"/>
      <c r="AB169" s="665"/>
      <c r="AC169" s="591"/>
      <c r="AE169" s="617"/>
      <c r="AF169" s="618"/>
      <c r="AG169" s="581"/>
    </row>
    <row r="170">
      <c r="A170" s="607"/>
      <c r="B170" s="608"/>
      <c r="C170" s="608"/>
      <c r="D170" s="589"/>
      <c r="E170" s="576"/>
      <c r="F170" s="702"/>
      <c r="G170" s="578"/>
      <c r="H170" s="576"/>
      <c r="I170" s="576"/>
      <c r="J170" s="579"/>
      <c r="K170" s="591"/>
      <c r="P170" s="592"/>
      <c r="R170" s="593"/>
      <c r="S170" s="525" t="s">
        <v>457</v>
      </c>
      <c r="T170" s="681" t="str">
        <f t="shared" si="20"/>
        <v/>
      </c>
      <c r="U170" s="681" t="str">
        <f t="shared" si="21"/>
        <v/>
      </c>
      <c r="V170" s="681" t="str">
        <f t="shared" si="22"/>
        <v/>
      </c>
      <c r="W170" s="682" t="str">
        <f t="shared" si="23"/>
        <v>NO LINK</v>
      </c>
      <c r="X170" s="705">
        <f>VLOOKUP($W170,'Bespoke Speaker Intros'!$D:$E,2,False)</f>
        <v>0</v>
      </c>
      <c r="Y170" s="681">
        <f>VLOOKUP($W170,'Bespoke Speaker Intros'!$D:$F,3,false)</f>
        <v>0</v>
      </c>
      <c r="Z170" s="697"/>
      <c r="AA170" s="665"/>
      <c r="AB170" s="665"/>
      <c r="AC170" s="591"/>
      <c r="AE170" s="617"/>
      <c r="AF170" s="618"/>
      <c r="AG170" s="581"/>
    </row>
    <row r="171">
      <c r="A171" s="607"/>
      <c r="B171" s="608"/>
      <c r="C171" s="608"/>
      <c r="D171" s="589"/>
      <c r="E171" s="576"/>
      <c r="F171" s="702"/>
      <c r="G171" s="578"/>
      <c r="H171" s="576"/>
      <c r="I171" s="576"/>
      <c r="J171" s="579"/>
      <c r="K171" s="591"/>
      <c r="P171" s="592"/>
      <c r="R171" s="593"/>
      <c r="S171" s="525" t="s">
        <v>457</v>
      </c>
      <c r="T171" s="681" t="str">
        <f t="shared" si="20"/>
        <v/>
      </c>
      <c r="U171" s="681" t="str">
        <f t="shared" si="21"/>
        <v/>
      </c>
      <c r="V171" s="681" t="str">
        <f t="shared" si="22"/>
        <v/>
      </c>
      <c r="W171" s="682" t="str">
        <f t="shared" si="23"/>
        <v>NO LINK</v>
      </c>
      <c r="X171" s="705">
        <f>VLOOKUP($W171,'Bespoke Speaker Intros'!$D:$E,2,False)</f>
        <v>0</v>
      </c>
      <c r="Y171" s="681">
        <f>VLOOKUP($W171,'Bespoke Speaker Intros'!$D:$F,3,false)</f>
        <v>0</v>
      </c>
      <c r="Z171" s="697"/>
      <c r="AA171" s="665"/>
      <c r="AB171" s="665"/>
      <c r="AC171" s="591"/>
      <c r="AE171" s="617"/>
      <c r="AF171" s="618"/>
      <c r="AG171" s="581"/>
    </row>
    <row r="172">
      <c r="A172" s="607"/>
      <c r="B172" s="608"/>
      <c r="C172" s="608"/>
      <c r="D172" s="589"/>
      <c r="E172" s="576"/>
      <c r="F172" s="702"/>
      <c r="G172" s="578"/>
      <c r="H172" s="576"/>
      <c r="I172" s="576"/>
      <c r="J172" s="579"/>
      <c r="K172" s="591"/>
      <c r="P172" s="592"/>
      <c r="R172" s="593"/>
      <c r="S172" s="525" t="s">
        <v>457</v>
      </c>
      <c r="T172" s="681" t="str">
        <f t="shared" si="20"/>
        <v/>
      </c>
      <c r="U172" s="681" t="str">
        <f t="shared" si="21"/>
        <v/>
      </c>
      <c r="V172" s="681" t="str">
        <f t="shared" si="22"/>
        <v/>
      </c>
      <c r="W172" s="682" t="str">
        <f t="shared" si="23"/>
        <v>NO LINK</v>
      </c>
      <c r="X172" s="705">
        <f>VLOOKUP($W172,'Bespoke Speaker Intros'!$D:$E,2,False)</f>
        <v>0</v>
      </c>
      <c r="Y172" s="681">
        <f>VLOOKUP($W172,'Bespoke Speaker Intros'!$D:$F,3,false)</f>
        <v>0</v>
      </c>
      <c r="Z172" s="697"/>
      <c r="AA172" s="665"/>
      <c r="AB172" s="665"/>
      <c r="AC172" s="591"/>
      <c r="AE172" s="617"/>
      <c r="AF172" s="618"/>
      <c r="AG172" s="581"/>
    </row>
    <row r="173">
      <c r="A173" s="607"/>
      <c r="B173" s="608"/>
      <c r="C173" s="608"/>
      <c r="D173" s="589"/>
      <c r="E173" s="576"/>
      <c r="F173" s="702"/>
      <c r="G173" s="578"/>
      <c r="H173" s="576"/>
      <c r="I173" s="576"/>
      <c r="J173" s="579"/>
      <c r="K173" s="591"/>
      <c r="P173" s="592"/>
      <c r="R173" s="593"/>
      <c r="S173" s="525" t="s">
        <v>457</v>
      </c>
      <c r="T173" s="681" t="str">
        <f t="shared" si="20"/>
        <v/>
      </c>
      <c r="U173" s="681" t="str">
        <f t="shared" si="21"/>
        <v/>
      </c>
      <c r="V173" s="681" t="str">
        <f t="shared" si="22"/>
        <v/>
      </c>
      <c r="W173" s="682" t="str">
        <f t="shared" si="23"/>
        <v>NO LINK</v>
      </c>
      <c r="X173" s="705">
        <f>VLOOKUP($W173,'Bespoke Speaker Intros'!$D:$E,2,False)</f>
        <v>0</v>
      </c>
      <c r="Y173" s="681">
        <f>VLOOKUP($W173,'Bespoke Speaker Intros'!$D:$F,3,false)</f>
        <v>0</v>
      </c>
      <c r="Z173" s="697"/>
      <c r="AA173" s="665"/>
      <c r="AB173" s="665"/>
      <c r="AC173" s="591"/>
      <c r="AE173" s="617"/>
      <c r="AF173" s="618"/>
      <c r="AG173" s="581"/>
    </row>
    <row r="174">
      <c r="A174" s="607"/>
      <c r="B174" s="608"/>
      <c r="C174" s="608"/>
      <c r="D174" s="589"/>
      <c r="E174" s="576"/>
      <c r="F174" s="702"/>
      <c r="G174" s="578"/>
      <c r="H174" s="576"/>
      <c r="I174" s="576"/>
      <c r="J174" s="579"/>
      <c r="K174" s="591"/>
      <c r="P174" s="592"/>
      <c r="R174" s="593"/>
      <c r="S174" s="525" t="s">
        <v>457</v>
      </c>
      <c r="T174" s="681" t="str">
        <f t="shared" si="20"/>
        <v/>
      </c>
      <c r="U174" s="681" t="str">
        <f t="shared" si="21"/>
        <v/>
      </c>
      <c r="V174" s="681" t="str">
        <f t="shared" si="22"/>
        <v/>
      </c>
      <c r="W174" s="682" t="str">
        <f t="shared" si="23"/>
        <v>NO LINK</v>
      </c>
      <c r="X174" s="705">
        <f>VLOOKUP($W174,'Bespoke Speaker Intros'!$D:$E,2,False)</f>
        <v>0</v>
      </c>
      <c r="Y174" s="681">
        <f>VLOOKUP($W174,'Bespoke Speaker Intros'!$D:$F,3,false)</f>
        <v>0</v>
      </c>
      <c r="Z174" s="697"/>
      <c r="AA174" s="665"/>
      <c r="AB174" s="665"/>
      <c r="AC174" s="591"/>
      <c r="AE174" s="617"/>
      <c r="AF174" s="618"/>
      <c r="AG174" s="581"/>
    </row>
    <row r="175">
      <c r="A175" s="607"/>
      <c r="B175" s="608"/>
      <c r="C175" s="608"/>
      <c r="D175" s="589"/>
      <c r="E175" s="576"/>
      <c r="F175" s="702"/>
      <c r="G175" s="578"/>
      <c r="H175" s="576"/>
      <c r="I175" s="576"/>
      <c r="J175" s="579"/>
      <c r="K175" s="591"/>
      <c r="P175" s="592"/>
      <c r="R175" s="593"/>
      <c r="S175" s="525" t="s">
        <v>457</v>
      </c>
      <c r="T175" s="681" t="str">
        <f t="shared" si="20"/>
        <v/>
      </c>
      <c r="U175" s="681" t="str">
        <f t="shared" si="21"/>
        <v/>
      </c>
      <c r="V175" s="681" t="str">
        <f t="shared" si="22"/>
        <v/>
      </c>
      <c r="W175" s="682" t="str">
        <f t="shared" si="23"/>
        <v>NO LINK</v>
      </c>
      <c r="X175" s="705">
        <f>VLOOKUP($W175,'Bespoke Speaker Intros'!$D:$E,2,False)</f>
        <v>0</v>
      </c>
      <c r="Y175" s="681">
        <f>VLOOKUP($W175,'Bespoke Speaker Intros'!$D:$F,3,false)</f>
        <v>0</v>
      </c>
      <c r="Z175" s="697"/>
      <c r="AA175" s="665"/>
      <c r="AB175" s="665"/>
      <c r="AC175" s="591"/>
      <c r="AE175" s="617"/>
      <c r="AF175" s="618"/>
      <c r="AG175" s="581"/>
    </row>
    <row r="176">
      <c r="A176" s="607"/>
      <c r="B176" s="608"/>
      <c r="C176" s="608"/>
      <c r="D176" s="589"/>
      <c r="E176" s="576"/>
      <c r="F176" s="702"/>
      <c r="G176" s="578"/>
      <c r="H176" s="576"/>
      <c r="I176" s="576"/>
      <c r="J176" s="579"/>
      <c r="K176" s="591"/>
      <c r="P176" s="592"/>
      <c r="R176" s="593"/>
      <c r="S176" s="525" t="s">
        <v>457</v>
      </c>
      <c r="T176" s="681" t="str">
        <f t="shared" si="20"/>
        <v/>
      </c>
      <c r="U176" s="681" t="str">
        <f t="shared" si="21"/>
        <v/>
      </c>
      <c r="V176" s="681" t="str">
        <f t="shared" si="22"/>
        <v/>
      </c>
      <c r="W176" s="682" t="str">
        <f t="shared" si="23"/>
        <v>NO LINK</v>
      </c>
      <c r="X176" s="705">
        <f>VLOOKUP($W176,'Bespoke Speaker Intros'!$D:$E,2,False)</f>
        <v>0</v>
      </c>
      <c r="Y176" s="681">
        <f>VLOOKUP($W176,'Bespoke Speaker Intros'!$D:$F,3,false)</f>
        <v>0</v>
      </c>
      <c r="Z176" s="697"/>
      <c r="AA176" s="665"/>
      <c r="AB176" s="665"/>
      <c r="AC176" s="591"/>
      <c r="AE176" s="617"/>
      <c r="AF176" s="618"/>
      <c r="AG176" s="581"/>
    </row>
    <row r="177">
      <c r="A177" s="607"/>
      <c r="B177" s="608"/>
      <c r="C177" s="608"/>
      <c r="D177" s="589"/>
      <c r="E177" s="576"/>
      <c r="F177" s="702"/>
      <c r="G177" s="578"/>
      <c r="H177" s="576"/>
      <c r="I177" s="576"/>
      <c r="J177" s="579"/>
      <c r="K177" s="591"/>
      <c r="P177" s="592"/>
      <c r="R177" s="593"/>
      <c r="S177" s="525" t="s">
        <v>457</v>
      </c>
      <c r="T177" s="681" t="str">
        <f t="shared" si="20"/>
        <v/>
      </c>
      <c r="U177" s="681" t="str">
        <f t="shared" si="21"/>
        <v/>
      </c>
      <c r="V177" s="681" t="str">
        <f t="shared" si="22"/>
        <v/>
      </c>
      <c r="W177" s="682" t="str">
        <f t="shared" si="23"/>
        <v>NO LINK</v>
      </c>
      <c r="X177" s="705">
        <f>VLOOKUP($W177,'Bespoke Speaker Intros'!$D:$E,2,False)</f>
        <v>0</v>
      </c>
      <c r="Y177" s="681">
        <f>VLOOKUP($W177,'Bespoke Speaker Intros'!$D:$F,3,false)</f>
        <v>0</v>
      </c>
      <c r="Z177" s="697"/>
      <c r="AA177" s="665"/>
      <c r="AB177" s="665"/>
      <c r="AC177" s="591"/>
      <c r="AE177" s="617"/>
      <c r="AF177" s="618"/>
      <c r="AG177" s="581"/>
    </row>
    <row r="178">
      <c r="A178" s="607"/>
      <c r="B178" s="608"/>
      <c r="C178" s="608"/>
      <c r="D178" s="589"/>
      <c r="E178" s="576"/>
      <c r="F178" s="702"/>
      <c r="G178" s="578"/>
      <c r="H178" s="576"/>
      <c r="I178" s="576"/>
      <c r="J178" s="579"/>
      <c r="K178" s="591"/>
      <c r="P178" s="592"/>
      <c r="R178" s="593"/>
      <c r="S178" s="525" t="s">
        <v>457</v>
      </c>
      <c r="T178" s="681" t="str">
        <f t="shared" si="20"/>
        <v/>
      </c>
      <c r="U178" s="681" t="str">
        <f t="shared" si="21"/>
        <v/>
      </c>
      <c r="V178" s="681" t="str">
        <f t="shared" si="22"/>
        <v/>
      </c>
      <c r="W178" s="682" t="str">
        <f t="shared" si="23"/>
        <v>NO LINK</v>
      </c>
      <c r="X178" s="705">
        <f>VLOOKUP($W178,'Bespoke Speaker Intros'!$D:$E,2,False)</f>
        <v>0</v>
      </c>
      <c r="Y178" s="681">
        <f>VLOOKUP($W178,'Bespoke Speaker Intros'!$D:$F,3,false)</f>
        <v>0</v>
      </c>
      <c r="Z178" s="697"/>
      <c r="AA178" s="665"/>
      <c r="AB178" s="665"/>
      <c r="AC178" s="591"/>
      <c r="AE178" s="617"/>
      <c r="AF178" s="618"/>
      <c r="AG178" s="581"/>
    </row>
    <row r="179">
      <c r="A179" s="607"/>
      <c r="B179" s="608"/>
      <c r="C179" s="608"/>
      <c r="D179" s="589"/>
      <c r="E179" s="576"/>
      <c r="F179" s="702"/>
      <c r="G179" s="578"/>
      <c r="H179" s="576"/>
      <c r="I179" s="576"/>
      <c r="J179" s="579"/>
      <c r="K179" s="591"/>
      <c r="P179" s="592"/>
      <c r="R179" s="593"/>
      <c r="S179" s="525" t="s">
        <v>457</v>
      </c>
      <c r="T179" s="681" t="str">
        <f t="shared" si="20"/>
        <v/>
      </c>
      <c r="U179" s="681" t="str">
        <f t="shared" si="21"/>
        <v/>
      </c>
      <c r="V179" s="681" t="str">
        <f t="shared" si="22"/>
        <v/>
      </c>
      <c r="W179" s="682" t="str">
        <f t="shared" si="23"/>
        <v>NO LINK</v>
      </c>
      <c r="X179" s="705">
        <f>VLOOKUP($W179,'Bespoke Speaker Intros'!$D:$E,2,False)</f>
        <v>0</v>
      </c>
      <c r="Y179" s="681">
        <f>VLOOKUP($W179,'Bespoke Speaker Intros'!$D:$F,3,false)</f>
        <v>0</v>
      </c>
      <c r="Z179" s="697"/>
      <c r="AA179" s="665"/>
      <c r="AB179" s="665"/>
      <c r="AC179" s="591"/>
      <c r="AE179" s="617"/>
      <c r="AF179" s="618"/>
      <c r="AG179" s="581"/>
    </row>
    <row r="180">
      <c r="A180" s="607"/>
      <c r="B180" s="608"/>
      <c r="C180" s="608"/>
      <c r="D180" s="589"/>
      <c r="E180" s="576"/>
      <c r="F180" s="702"/>
      <c r="G180" s="578"/>
      <c r="H180" s="576"/>
      <c r="I180" s="576"/>
      <c r="J180" s="579"/>
      <c r="K180" s="591"/>
      <c r="P180" s="592"/>
      <c r="R180" s="593"/>
      <c r="S180" s="525" t="s">
        <v>457</v>
      </c>
      <c r="T180" s="681" t="str">
        <f t="shared" si="20"/>
        <v/>
      </c>
      <c r="U180" s="681" t="str">
        <f t="shared" si="21"/>
        <v/>
      </c>
      <c r="V180" s="681" t="str">
        <f t="shared" si="22"/>
        <v/>
      </c>
      <c r="W180" s="682" t="str">
        <f t="shared" si="23"/>
        <v>NO LINK</v>
      </c>
      <c r="X180" s="705">
        <f>VLOOKUP($W180,'Bespoke Speaker Intros'!$D:$E,2,False)</f>
        <v>0</v>
      </c>
      <c r="Y180" s="681">
        <f>VLOOKUP($W180,'Bespoke Speaker Intros'!$D:$F,3,false)</f>
        <v>0</v>
      </c>
      <c r="Z180" s="697"/>
      <c r="AA180" s="665"/>
      <c r="AB180" s="665"/>
      <c r="AC180" s="591"/>
      <c r="AE180" s="617"/>
      <c r="AF180" s="618"/>
      <c r="AG180" s="581"/>
    </row>
    <row r="181">
      <c r="A181" s="607"/>
      <c r="B181" s="608"/>
      <c r="C181" s="608"/>
      <c r="D181" s="589"/>
      <c r="E181" s="576"/>
      <c r="F181" s="702"/>
      <c r="G181" s="578"/>
      <c r="H181" s="576"/>
      <c r="I181" s="576"/>
      <c r="J181" s="579"/>
      <c r="K181" s="591"/>
      <c r="P181" s="592"/>
      <c r="R181" s="593"/>
      <c r="S181" s="525" t="s">
        <v>457</v>
      </c>
      <c r="T181" s="681" t="str">
        <f t="shared" si="20"/>
        <v/>
      </c>
      <c r="U181" s="681" t="str">
        <f t="shared" si="21"/>
        <v/>
      </c>
      <c r="V181" s="681" t="str">
        <f t="shared" si="22"/>
        <v/>
      </c>
      <c r="W181" s="682" t="str">
        <f t="shared" si="23"/>
        <v>NO LINK</v>
      </c>
      <c r="X181" s="705">
        <f>VLOOKUP($W181,'Bespoke Speaker Intros'!$D:$E,2,False)</f>
        <v>0</v>
      </c>
      <c r="Y181" s="681">
        <f>VLOOKUP($W181,'Bespoke Speaker Intros'!$D:$F,3,false)</f>
        <v>0</v>
      </c>
      <c r="Z181" s="697"/>
      <c r="AA181" s="665"/>
      <c r="AB181" s="665"/>
      <c r="AC181" s="591"/>
      <c r="AE181" s="617"/>
      <c r="AF181" s="618"/>
      <c r="AG181" s="581"/>
    </row>
    <row r="182">
      <c r="A182" s="607"/>
      <c r="B182" s="608"/>
      <c r="C182" s="608"/>
      <c r="D182" s="589"/>
      <c r="E182" s="576"/>
      <c r="F182" s="702"/>
      <c r="G182" s="578"/>
      <c r="H182" s="576"/>
      <c r="I182" s="576"/>
      <c r="J182" s="579"/>
      <c r="K182" s="591"/>
      <c r="P182" s="592"/>
      <c r="R182" s="593"/>
      <c r="S182" s="525" t="s">
        <v>457</v>
      </c>
      <c r="T182" s="681" t="str">
        <f t="shared" si="20"/>
        <v/>
      </c>
      <c r="U182" s="681" t="str">
        <f t="shared" si="21"/>
        <v/>
      </c>
      <c r="V182" s="681" t="str">
        <f t="shared" si="22"/>
        <v/>
      </c>
      <c r="W182" s="682" t="str">
        <f t="shared" si="23"/>
        <v>NO LINK</v>
      </c>
      <c r="X182" s="705">
        <f>VLOOKUP($W182,'Bespoke Speaker Intros'!$D:$E,2,False)</f>
        <v>0</v>
      </c>
      <c r="Y182" s="681">
        <f>VLOOKUP($W182,'Bespoke Speaker Intros'!$D:$F,3,false)</f>
        <v>0</v>
      </c>
      <c r="Z182" s="697"/>
      <c r="AA182" s="665"/>
      <c r="AB182" s="665"/>
      <c r="AC182" s="591"/>
      <c r="AE182" s="617"/>
      <c r="AF182" s="618"/>
      <c r="AG182" s="581"/>
    </row>
    <row r="183">
      <c r="A183" s="607"/>
      <c r="B183" s="608"/>
      <c r="C183" s="608"/>
      <c r="D183" s="589"/>
      <c r="E183" s="576"/>
      <c r="F183" s="702"/>
      <c r="G183" s="578"/>
      <c r="H183" s="576"/>
      <c r="I183" s="576"/>
      <c r="J183" s="579"/>
      <c r="K183" s="591"/>
      <c r="P183" s="592"/>
      <c r="R183" s="593"/>
      <c r="S183" s="525" t="s">
        <v>457</v>
      </c>
      <c r="T183" s="681" t="str">
        <f t="shared" si="20"/>
        <v/>
      </c>
      <c r="U183" s="681" t="str">
        <f t="shared" si="21"/>
        <v/>
      </c>
      <c r="V183" s="681" t="str">
        <f t="shared" si="22"/>
        <v/>
      </c>
      <c r="W183" s="682" t="str">
        <f t="shared" si="23"/>
        <v>NO LINK</v>
      </c>
      <c r="X183" s="705">
        <f>VLOOKUP($W183,'Bespoke Speaker Intros'!$D:$E,2,False)</f>
        <v>0</v>
      </c>
      <c r="Y183" s="681">
        <f>VLOOKUP($W183,'Bespoke Speaker Intros'!$D:$F,3,false)</f>
        <v>0</v>
      </c>
      <c r="Z183" s="697"/>
      <c r="AA183" s="665"/>
      <c r="AB183" s="665"/>
      <c r="AC183" s="591"/>
      <c r="AE183" s="617"/>
      <c r="AF183" s="618"/>
      <c r="AG183" s="581"/>
    </row>
    <row r="184">
      <c r="A184" s="607"/>
      <c r="B184" s="608"/>
      <c r="C184" s="608"/>
      <c r="D184" s="589"/>
      <c r="E184" s="576"/>
      <c r="F184" s="581"/>
      <c r="G184" s="581"/>
      <c r="H184" s="581"/>
      <c r="I184" s="581"/>
      <c r="J184" s="708"/>
      <c r="K184" s="591"/>
      <c r="P184" s="592"/>
      <c r="R184" s="593"/>
      <c r="S184" s="525" t="s">
        <v>457</v>
      </c>
      <c r="T184" s="681" t="str">
        <f t="shared" si="20"/>
        <v/>
      </c>
      <c r="U184" s="681" t="str">
        <f t="shared" si="21"/>
        <v/>
      </c>
      <c r="V184" s="681" t="str">
        <f t="shared" si="22"/>
        <v/>
      </c>
      <c r="W184" s="682" t="str">
        <f t="shared" si="23"/>
        <v>NO LINK</v>
      </c>
      <c r="X184" s="705">
        <f>VLOOKUP($W184,'Bespoke Speaker Intros'!$D:$E,2,False)</f>
        <v>0</v>
      </c>
      <c r="Y184" s="681">
        <f>VLOOKUP($W184,'Bespoke Speaker Intros'!$D:$F,3,false)</f>
        <v>0</v>
      </c>
      <c r="Z184" s="697"/>
      <c r="AA184" s="665"/>
      <c r="AB184" s="665"/>
      <c r="AC184" s="591"/>
      <c r="AE184" s="617"/>
      <c r="AF184" s="618"/>
      <c r="AG184" s="581"/>
    </row>
    <row r="185">
      <c r="A185" s="607"/>
      <c r="B185" s="608"/>
      <c r="C185" s="608"/>
      <c r="D185" s="589"/>
      <c r="E185" s="581"/>
      <c r="F185" s="581"/>
      <c r="G185" s="581"/>
      <c r="H185" s="581"/>
      <c r="I185" s="581"/>
      <c r="J185" s="708"/>
      <c r="K185" s="591"/>
      <c r="P185" s="592"/>
      <c r="R185" s="593"/>
      <c r="S185" s="525" t="s">
        <v>457</v>
      </c>
      <c r="T185" s="681" t="str">
        <f t="shared" si="20"/>
        <v/>
      </c>
      <c r="U185" s="681" t="str">
        <f t="shared" si="21"/>
        <v/>
      </c>
      <c r="V185" s="681" t="str">
        <f t="shared" si="22"/>
        <v/>
      </c>
      <c r="W185" s="682" t="str">
        <f t="shared" si="23"/>
        <v>NO LINK</v>
      </c>
      <c r="X185" s="705">
        <f>VLOOKUP($W185,'Bespoke Speaker Intros'!$D:$E,2,False)</f>
        <v>0</v>
      </c>
      <c r="Y185" s="681">
        <f>VLOOKUP($W185,'Bespoke Speaker Intros'!$D:$F,3,false)</f>
        <v>0</v>
      </c>
      <c r="Z185" s="697"/>
      <c r="AA185" s="665"/>
      <c r="AB185" s="665"/>
      <c r="AC185" s="591"/>
      <c r="AE185" s="617"/>
      <c r="AF185" s="618"/>
      <c r="AG185" s="581"/>
    </row>
    <row r="186">
      <c r="A186" s="607"/>
      <c r="B186" s="608"/>
      <c r="C186" s="608"/>
      <c r="D186" s="589"/>
      <c r="E186" s="581"/>
      <c r="F186" s="581"/>
      <c r="G186" s="581"/>
      <c r="H186" s="581"/>
      <c r="I186" s="581"/>
      <c r="J186" s="708"/>
      <c r="K186" s="591"/>
      <c r="P186" s="592"/>
      <c r="R186" s="593"/>
      <c r="S186" s="525" t="s">
        <v>457</v>
      </c>
      <c r="T186" s="681" t="str">
        <f t="shared" si="20"/>
        <v/>
      </c>
      <c r="U186" s="681" t="str">
        <f t="shared" si="21"/>
        <v/>
      </c>
      <c r="V186" s="681" t="str">
        <f t="shared" si="22"/>
        <v/>
      </c>
      <c r="W186" s="682" t="str">
        <f t="shared" si="23"/>
        <v>NO LINK</v>
      </c>
      <c r="X186" s="705">
        <f>VLOOKUP($W186,'Bespoke Speaker Intros'!$D:$E,2,False)</f>
        <v>0</v>
      </c>
      <c r="Y186" s="681">
        <f>VLOOKUP($W186,'Bespoke Speaker Intros'!$D:$F,3,false)</f>
        <v>0</v>
      </c>
      <c r="Z186" s="697"/>
      <c r="AA186" s="665"/>
      <c r="AB186" s="665"/>
      <c r="AC186" s="591"/>
      <c r="AE186" s="617"/>
      <c r="AF186" s="618"/>
      <c r="AG186" s="581"/>
    </row>
    <row r="187">
      <c r="A187" s="607"/>
      <c r="B187" s="608"/>
      <c r="C187" s="608"/>
      <c r="D187" s="589"/>
      <c r="E187" s="581"/>
      <c r="F187" s="581"/>
      <c r="G187" s="581"/>
      <c r="H187" s="581"/>
      <c r="I187" s="581"/>
      <c r="J187" s="708"/>
      <c r="K187" s="591"/>
      <c r="P187" s="592"/>
      <c r="R187" s="593"/>
      <c r="S187" s="525" t="s">
        <v>457</v>
      </c>
      <c r="T187" s="681" t="str">
        <f t="shared" si="20"/>
        <v/>
      </c>
      <c r="U187" s="681" t="str">
        <f t="shared" si="21"/>
        <v/>
      </c>
      <c r="V187" s="681" t="str">
        <f t="shared" si="22"/>
        <v/>
      </c>
      <c r="W187" s="682" t="str">
        <f t="shared" si="23"/>
        <v>NO LINK</v>
      </c>
      <c r="X187" s="705">
        <f>VLOOKUP($W187,'Bespoke Speaker Intros'!$D:$E,2,False)</f>
        <v>0</v>
      </c>
      <c r="Y187" s="681">
        <f>VLOOKUP($W187,'Bespoke Speaker Intros'!$D:$F,3,false)</f>
        <v>0</v>
      </c>
      <c r="Z187" s="697"/>
      <c r="AA187" s="665"/>
      <c r="AB187" s="665"/>
      <c r="AC187" s="591"/>
      <c r="AE187" s="617"/>
      <c r="AF187" s="618"/>
      <c r="AG187" s="581"/>
    </row>
    <row r="188">
      <c r="A188" s="607"/>
      <c r="B188" s="608"/>
      <c r="C188" s="608"/>
      <c r="D188" s="589"/>
      <c r="E188" s="581"/>
      <c r="F188" s="581"/>
      <c r="G188" s="581"/>
      <c r="H188" s="581"/>
      <c r="I188" s="581"/>
      <c r="J188" s="708"/>
      <c r="K188" s="591"/>
      <c r="P188" s="592"/>
      <c r="R188" s="593"/>
      <c r="S188" s="525" t="s">
        <v>457</v>
      </c>
      <c r="T188" s="681" t="str">
        <f t="shared" si="20"/>
        <v/>
      </c>
      <c r="U188" s="681" t="str">
        <f t="shared" si="21"/>
        <v/>
      </c>
      <c r="V188" s="681" t="str">
        <f t="shared" si="22"/>
        <v/>
      </c>
      <c r="W188" s="682" t="str">
        <f t="shared" si="23"/>
        <v>NO LINK</v>
      </c>
      <c r="X188" s="705">
        <f>VLOOKUP($W188,'Bespoke Speaker Intros'!$D:$E,2,False)</f>
        <v>0</v>
      </c>
      <c r="Y188" s="681">
        <f>VLOOKUP($W188,'Bespoke Speaker Intros'!$D:$F,3,false)</f>
        <v>0</v>
      </c>
      <c r="Z188" s="697"/>
      <c r="AA188" s="665"/>
      <c r="AB188" s="665"/>
      <c r="AC188" s="591"/>
      <c r="AE188" s="617"/>
      <c r="AF188" s="618"/>
      <c r="AG188" s="581"/>
    </row>
    <row r="189">
      <c r="A189" s="607"/>
      <c r="B189" s="608"/>
      <c r="C189" s="608"/>
      <c r="D189" s="589"/>
      <c r="E189" s="581"/>
      <c r="F189" s="581"/>
      <c r="G189" s="581"/>
      <c r="H189" s="581"/>
      <c r="I189" s="581"/>
      <c r="J189" s="708"/>
      <c r="K189" s="591"/>
      <c r="P189" s="592"/>
      <c r="R189" s="593"/>
      <c r="S189" s="525" t="s">
        <v>457</v>
      </c>
      <c r="T189" s="681" t="str">
        <f t="shared" si="20"/>
        <v/>
      </c>
      <c r="U189" s="681" t="str">
        <f t="shared" si="21"/>
        <v/>
      </c>
      <c r="V189" s="681" t="str">
        <f t="shared" si="22"/>
        <v/>
      </c>
      <c r="W189" s="682" t="str">
        <f t="shared" si="23"/>
        <v>NO LINK</v>
      </c>
      <c r="X189" s="705">
        <f>VLOOKUP($W189,'Bespoke Speaker Intros'!$D:$E,2,False)</f>
        <v>0</v>
      </c>
      <c r="Y189" s="681">
        <f>VLOOKUP($W189,'Bespoke Speaker Intros'!$D:$F,3,false)</f>
        <v>0</v>
      </c>
      <c r="Z189" s="697"/>
      <c r="AA189" s="665"/>
      <c r="AB189" s="665"/>
      <c r="AC189" s="591"/>
      <c r="AE189" s="617"/>
      <c r="AF189" s="618"/>
      <c r="AG189" s="581"/>
    </row>
    <row r="190">
      <c r="A190" s="607"/>
      <c r="B190" s="608"/>
      <c r="C190" s="608"/>
      <c r="D190" s="589"/>
      <c r="E190" s="581"/>
      <c r="F190" s="581"/>
      <c r="G190" s="581"/>
      <c r="H190" s="581"/>
      <c r="I190" s="581"/>
      <c r="J190" s="708"/>
      <c r="K190" s="591"/>
      <c r="P190" s="592"/>
      <c r="R190" s="593"/>
      <c r="S190" s="525" t="s">
        <v>457</v>
      </c>
      <c r="T190" s="681" t="str">
        <f t="shared" si="20"/>
        <v/>
      </c>
      <c r="U190" s="681" t="str">
        <f t="shared" si="21"/>
        <v/>
      </c>
      <c r="V190" s="681" t="str">
        <f t="shared" si="22"/>
        <v/>
      </c>
      <c r="W190" s="682" t="str">
        <f t="shared" si="23"/>
        <v>NO LINK</v>
      </c>
      <c r="X190" s="705">
        <f>VLOOKUP($W190,'Bespoke Speaker Intros'!$D:$E,2,False)</f>
        <v>0</v>
      </c>
      <c r="Y190" s="681">
        <f>VLOOKUP($W190,'Bespoke Speaker Intros'!$D:$F,3,false)</f>
        <v>0</v>
      </c>
      <c r="Z190" s="697"/>
      <c r="AA190" s="665"/>
      <c r="AB190" s="665"/>
      <c r="AC190" s="591"/>
      <c r="AE190" s="617"/>
      <c r="AF190" s="618"/>
      <c r="AG190" s="581"/>
    </row>
    <row r="191">
      <c r="A191" s="607"/>
      <c r="B191" s="608"/>
      <c r="C191" s="608"/>
      <c r="D191" s="589"/>
      <c r="E191" s="581"/>
      <c r="F191" s="581"/>
      <c r="G191" s="581"/>
      <c r="H191" s="581"/>
      <c r="I191" s="581"/>
      <c r="J191" s="708"/>
      <c r="K191" s="591"/>
      <c r="P191" s="592"/>
      <c r="R191" s="593"/>
      <c r="S191" s="525" t="s">
        <v>457</v>
      </c>
      <c r="T191" s="681" t="str">
        <f t="shared" si="20"/>
        <v/>
      </c>
      <c r="U191" s="681" t="str">
        <f t="shared" si="21"/>
        <v/>
      </c>
      <c r="V191" s="681" t="str">
        <f t="shared" si="22"/>
        <v/>
      </c>
      <c r="W191" s="682" t="str">
        <f t="shared" si="23"/>
        <v>NO LINK</v>
      </c>
      <c r="X191" s="705">
        <f>VLOOKUP($W191,'Bespoke Speaker Intros'!$D:$E,2,False)</f>
        <v>0</v>
      </c>
      <c r="Y191" s="681">
        <f>VLOOKUP($W191,'Bespoke Speaker Intros'!$D:$F,3,false)</f>
        <v>0</v>
      </c>
      <c r="Z191" s="697"/>
      <c r="AA191" s="665"/>
      <c r="AB191" s="665"/>
      <c r="AC191" s="591"/>
      <c r="AE191" s="617"/>
      <c r="AF191" s="618"/>
      <c r="AG191" s="581"/>
    </row>
    <row r="192">
      <c r="A192" s="607"/>
      <c r="B192" s="608"/>
      <c r="C192" s="608"/>
      <c r="D192" s="589"/>
      <c r="E192" s="581"/>
      <c r="F192" s="581"/>
      <c r="G192" s="581"/>
      <c r="H192" s="581"/>
      <c r="I192" s="581"/>
      <c r="J192" s="708"/>
      <c r="K192" s="591"/>
      <c r="P192" s="592"/>
      <c r="R192" s="593"/>
      <c r="S192" s="525" t="s">
        <v>457</v>
      </c>
      <c r="T192" s="681" t="str">
        <f t="shared" si="20"/>
        <v/>
      </c>
      <c r="U192" s="681" t="str">
        <f t="shared" si="21"/>
        <v/>
      </c>
      <c r="V192" s="681" t="str">
        <f t="shared" si="22"/>
        <v/>
      </c>
      <c r="W192" s="682" t="str">
        <f t="shared" si="23"/>
        <v>NO LINK</v>
      </c>
      <c r="X192" s="705">
        <f>VLOOKUP($W192,'Bespoke Speaker Intros'!$D:$E,2,False)</f>
        <v>0</v>
      </c>
      <c r="Y192" s="681">
        <f>VLOOKUP($W192,'Bespoke Speaker Intros'!$D:$F,3,false)</f>
        <v>0</v>
      </c>
      <c r="Z192" s="697"/>
      <c r="AA192" s="665"/>
      <c r="AB192" s="665"/>
      <c r="AC192" s="591"/>
      <c r="AE192" s="617"/>
      <c r="AF192" s="618"/>
      <c r="AG192" s="581"/>
    </row>
    <row r="193">
      <c r="A193" s="607"/>
      <c r="B193" s="608"/>
      <c r="C193" s="608"/>
      <c r="D193" s="589"/>
      <c r="E193" s="581"/>
      <c r="F193" s="581"/>
      <c r="G193" s="581"/>
      <c r="H193" s="581"/>
      <c r="I193" s="581"/>
      <c r="J193" s="708"/>
      <c r="K193" s="591"/>
      <c r="P193" s="592"/>
      <c r="R193" s="593"/>
      <c r="S193" s="525" t="s">
        <v>457</v>
      </c>
      <c r="T193" s="681" t="str">
        <f t="shared" si="20"/>
        <v/>
      </c>
      <c r="U193" s="681" t="str">
        <f t="shared" si="21"/>
        <v/>
      </c>
      <c r="V193" s="681" t="str">
        <f t="shared" si="22"/>
        <v/>
      </c>
      <c r="W193" s="682" t="str">
        <f t="shared" si="23"/>
        <v>NO LINK</v>
      </c>
      <c r="X193" s="705">
        <f>VLOOKUP($W193,'Bespoke Speaker Intros'!$D:$E,2,False)</f>
        <v>0</v>
      </c>
      <c r="Y193" s="681">
        <f>VLOOKUP($W193,'Bespoke Speaker Intros'!$D:$F,3,false)</f>
        <v>0</v>
      </c>
      <c r="Z193" s="697"/>
      <c r="AA193" s="665"/>
      <c r="AB193" s="665"/>
      <c r="AC193" s="591"/>
      <c r="AE193" s="617"/>
      <c r="AF193" s="618"/>
      <c r="AG193" s="581"/>
    </row>
    <row r="194">
      <c r="A194" s="607"/>
      <c r="B194" s="608"/>
      <c r="C194" s="608"/>
      <c r="D194" s="589"/>
      <c r="E194" s="581"/>
      <c r="F194" s="581"/>
      <c r="G194" s="581"/>
      <c r="H194" s="581"/>
      <c r="I194" s="581"/>
      <c r="J194" s="708"/>
      <c r="K194" s="591"/>
      <c r="P194" s="592"/>
      <c r="R194" s="593"/>
      <c r="S194" s="525" t="s">
        <v>457</v>
      </c>
      <c r="T194" s="681" t="str">
        <f t="shared" si="20"/>
        <v/>
      </c>
      <c r="U194" s="681" t="str">
        <f t="shared" si="21"/>
        <v/>
      </c>
      <c r="V194" s="681" t="str">
        <f t="shared" si="22"/>
        <v/>
      </c>
      <c r="W194" s="682" t="str">
        <f t="shared" si="23"/>
        <v>NO LINK</v>
      </c>
      <c r="X194" s="705">
        <f>VLOOKUP($W194,'Bespoke Speaker Intros'!$D:$E,2,False)</f>
        <v>0</v>
      </c>
      <c r="Y194" s="681">
        <f>VLOOKUP($W194,'Bespoke Speaker Intros'!$D:$F,3,false)</f>
        <v>0</v>
      </c>
      <c r="Z194" s="697"/>
      <c r="AA194" s="665"/>
      <c r="AB194" s="665"/>
      <c r="AC194" s="591"/>
      <c r="AE194" s="617"/>
      <c r="AF194" s="618"/>
      <c r="AG194" s="581"/>
    </row>
    <row r="195">
      <c r="A195" s="607"/>
      <c r="B195" s="608"/>
      <c r="C195" s="608"/>
      <c r="D195" s="589"/>
      <c r="E195" s="581"/>
      <c r="F195" s="581"/>
      <c r="G195" s="581"/>
      <c r="H195" s="581"/>
      <c r="I195" s="581"/>
      <c r="J195" s="708"/>
      <c r="K195" s="591"/>
      <c r="P195" s="592"/>
      <c r="R195" s="593"/>
      <c r="S195" s="525" t="s">
        <v>457</v>
      </c>
      <c r="T195" s="681" t="str">
        <f t="shared" si="20"/>
        <v/>
      </c>
      <c r="U195" s="681" t="str">
        <f t="shared" si="21"/>
        <v/>
      </c>
      <c r="V195" s="681" t="str">
        <f t="shared" si="22"/>
        <v/>
      </c>
      <c r="W195" s="682" t="str">
        <f t="shared" si="23"/>
        <v>NO LINK</v>
      </c>
      <c r="X195" s="705">
        <f>VLOOKUP($W195,'Bespoke Speaker Intros'!$D:$E,2,False)</f>
        <v>0</v>
      </c>
      <c r="Y195" s="681">
        <f>VLOOKUP($W195,'Bespoke Speaker Intros'!$D:$F,3,false)</f>
        <v>0</v>
      </c>
      <c r="Z195" s="697"/>
      <c r="AA195" s="665"/>
      <c r="AB195" s="665"/>
      <c r="AC195" s="591"/>
      <c r="AE195" s="617"/>
      <c r="AF195" s="618"/>
      <c r="AG195" s="581"/>
    </row>
    <row r="196">
      <c r="A196" s="607"/>
      <c r="B196" s="608"/>
      <c r="C196" s="608"/>
      <c r="D196" s="589"/>
      <c r="E196" s="581"/>
      <c r="F196" s="581"/>
      <c r="G196" s="581"/>
      <c r="H196" s="581"/>
      <c r="I196" s="581"/>
      <c r="J196" s="708"/>
      <c r="K196" s="591"/>
      <c r="P196" s="592"/>
      <c r="R196" s="593"/>
      <c r="S196" s="525" t="s">
        <v>457</v>
      </c>
      <c r="T196" s="681" t="str">
        <f t="shared" si="20"/>
        <v/>
      </c>
      <c r="U196" s="681" t="str">
        <f t="shared" si="21"/>
        <v/>
      </c>
      <c r="V196" s="681" t="str">
        <f t="shared" si="22"/>
        <v/>
      </c>
      <c r="W196" s="682" t="str">
        <f t="shared" si="23"/>
        <v>NO LINK</v>
      </c>
      <c r="X196" s="705">
        <f>VLOOKUP($W196,'Bespoke Speaker Intros'!$D:$E,2,False)</f>
        <v>0</v>
      </c>
      <c r="Y196" s="681">
        <f>VLOOKUP($W196,'Bespoke Speaker Intros'!$D:$F,3,false)</f>
        <v>0</v>
      </c>
      <c r="Z196" s="697"/>
      <c r="AA196" s="665"/>
      <c r="AB196" s="665"/>
      <c r="AC196" s="591"/>
      <c r="AE196" s="617"/>
      <c r="AF196" s="618"/>
      <c r="AG196" s="581"/>
    </row>
    <row r="197">
      <c r="A197" s="607"/>
      <c r="B197" s="608"/>
      <c r="C197" s="608"/>
      <c r="D197" s="589"/>
      <c r="E197" s="581"/>
      <c r="F197" s="581"/>
      <c r="G197" s="581"/>
      <c r="H197" s="581"/>
      <c r="I197" s="581"/>
      <c r="J197" s="708"/>
      <c r="K197" s="591"/>
      <c r="P197" s="592"/>
      <c r="R197" s="593"/>
      <c r="S197" s="525" t="s">
        <v>457</v>
      </c>
      <c r="T197" s="681" t="str">
        <f t="shared" si="20"/>
        <v/>
      </c>
      <c r="U197" s="681" t="str">
        <f t="shared" si="21"/>
        <v/>
      </c>
      <c r="V197" s="681" t="str">
        <f t="shared" si="22"/>
        <v/>
      </c>
      <c r="W197" s="682" t="str">
        <f t="shared" si="23"/>
        <v>NO LINK</v>
      </c>
      <c r="X197" s="705">
        <f>VLOOKUP($W197,'Bespoke Speaker Intros'!$D:$E,2,False)</f>
        <v>0</v>
      </c>
      <c r="Y197" s="681">
        <f>VLOOKUP($W197,'Bespoke Speaker Intros'!$D:$F,3,false)</f>
        <v>0</v>
      </c>
      <c r="Z197" s="697"/>
      <c r="AA197" s="665"/>
      <c r="AB197" s="665"/>
      <c r="AC197" s="591"/>
      <c r="AE197" s="617"/>
      <c r="AF197" s="618"/>
      <c r="AG197" s="581"/>
    </row>
    <row r="198">
      <c r="A198" s="607"/>
      <c r="B198" s="608"/>
      <c r="C198" s="608"/>
      <c r="D198" s="589"/>
      <c r="E198" s="581"/>
      <c r="F198" s="581"/>
      <c r="G198" s="581"/>
      <c r="H198" s="581"/>
      <c r="I198" s="581"/>
      <c r="J198" s="708"/>
      <c r="K198" s="591"/>
      <c r="P198" s="592"/>
      <c r="R198" s="593"/>
      <c r="S198" s="525" t="s">
        <v>457</v>
      </c>
      <c r="T198" s="681" t="str">
        <f t="shared" si="20"/>
        <v/>
      </c>
      <c r="U198" s="681" t="str">
        <f t="shared" si="21"/>
        <v/>
      </c>
      <c r="V198" s="681" t="str">
        <f t="shared" si="22"/>
        <v/>
      </c>
      <c r="W198" s="682" t="str">
        <f t="shared" si="23"/>
        <v>NO LINK</v>
      </c>
      <c r="X198" s="705">
        <f>VLOOKUP($W198,'Bespoke Speaker Intros'!$D:$E,2,False)</f>
        <v>0</v>
      </c>
      <c r="Y198" s="681">
        <f>VLOOKUP($W198,'Bespoke Speaker Intros'!$D:$F,3,false)</f>
        <v>0</v>
      </c>
      <c r="Z198" s="697"/>
      <c r="AA198" s="665"/>
      <c r="AB198" s="665"/>
      <c r="AC198" s="591"/>
      <c r="AE198" s="617"/>
      <c r="AF198" s="618"/>
      <c r="AG198" s="581"/>
    </row>
    <row r="199">
      <c r="A199" s="607"/>
      <c r="B199" s="608"/>
      <c r="C199" s="608"/>
      <c r="D199" s="589"/>
      <c r="E199" s="581"/>
      <c r="F199" s="581"/>
      <c r="G199" s="581"/>
      <c r="H199" s="581"/>
      <c r="I199" s="581"/>
      <c r="J199" s="708"/>
      <c r="K199" s="591"/>
      <c r="P199" s="592"/>
      <c r="R199" s="593"/>
      <c r="S199" s="525" t="s">
        <v>457</v>
      </c>
      <c r="T199" s="681" t="str">
        <f t="shared" si="20"/>
        <v/>
      </c>
      <c r="U199" s="681" t="str">
        <f t="shared" si="21"/>
        <v/>
      </c>
      <c r="V199" s="681" t="str">
        <f t="shared" si="22"/>
        <v/>
      </c>
      <c r="W199" s="682" t="str">
        <f t="shared" si="23"/>
        <v>NO LINK</v>
      </c>
      <c r="X199" s="705">
        <f>VLOOKUP($W199,'Bespoke Speaker Intros'!$D:$E,2,False)</f>
        <v>0</v>
      </c>
      <c r="Y199" s="681">
        <f>VLOOKUP($W199,'Bespoke Speaker Intros'!$D:$F,3,false)</f>
        <v>0</v>
      </c>
      <c r="Z199" s="697"/>
      <c r="AA199" s="665"/>
      <c r="AB199" s="665"/>
      <c r="AC199" s="591"/>
      <c r="AE199" s="617"/>
      <c r="AF199" s="618"/>
      <c r="AG199" s="581"/>
    </row>
    <row r="200">
      <c r="A200" s="607"/>
      <c r="B200" s="608"/>
      <c r="C200" s="608"/>
      <c r="D200" s="589"/>
      <c r="E200" s="581"/>
      <c r="F200" s="581"/>
      <c r="G200" s="581"/>
      <c r="H200" s="581"/>
      <c r="I200" s="581"/>
      <c r="J200" s="708"/>
      <c r="K200" s="591"/>
      <c r="P200" s="592"/>
      <c r="R200" s="593"/>
      <c r="S200" s="525" t="s">
        <v>457</v>
      </c>
      <c r="T200" s="681" t="str">
        <f t="shared" si="20"/>
        <v/>
      </c>
      <c r="U200" s="681" t="str">
        <f t="shared" si="21"/>
        <v/>
      </c>
      <c r="V200" s="681" t="str">
        <f t="shared" si="22"/>
        <v/>
      </c>
      <c r="W200" s="682" t="str">
        <f t="shared" si="23"/>
        <v>NO LINK</v>
      </c>
      <c r="X200" s="705">
        <f>VLOOKUP($W200,'Bespoke Speaker Intros'!$D:$E,2,False)</f>
        <v>0</v>
      </c>
      <c r="Y200" s="681">
        <f>VLOOKUP($W200,'Bespoke Speaker Intros'!$D:$F,3,false)</f>
        <v>0</v>
      </c>
      <c r="Z200" s="697"/>
      <c r="AA200" s="665"/>
      <c r="AB200" s="665"/>
      <c r="AC200" s="591"/>
      <c r="AE200" s="617"/>
      <c r="AF200" s="618"/>
      <c r="AG200" s="581"/>
    </row>
    <row r="201">
      <c r="A201" s="607"/>
      <c r="B201" s="608"/>
      <c r="C201" s="608"/>
      <c r="D201" s="589"/>
      <c r="E201" s="581"/>
      <c r="F201" s="581"/>
      <c r="G201" s="581"/>
      <c r="H201" s="581"/>
      <c r="I201" s="581"/>
      <c r="J201" s="708"/>
      <c r="K201" s="591"/>
      <c r="P201" s="592"/>
      <c r="R201" s="593"/>
      <c r="S201" s="525" t="s">
        <v>457</v>
      </c>
      <c r="T201" s="681" t="str">
        <f t="shared" si="20"/>
        <v/>
      </c>
      <c r="U201" s="681" t="str">
        <f t="shared" si="21"/>
        <v/>
      </c>
      <c r="V201" s="681" t="str">
        <f t="shared" si="22"/>
        <v/>
      </c>
      <c r="W201" s="682" t="str">
        <f t="shared" si="23"/>
        <v>NO LINK</v>
      </c>
      <c r="X201" s="705">
        <f>VLOOKUP($W201,'Bespoke Speaker Intros'!$D:$E,2,False)</f>
        <v>0</v>
      </c>
      <c r="Y201" s="681">
        <f>VLOOKUP($W201,'Bespoke Speaker Intros'!$D:$F,3,false)</f>
        <v>0</v>
      </c>
      <c r="Z201" s="697"/>
      <c r="AA201" s="665"/>
      <c r="AB201" s="665"/>
      <c r="AC201" s="591"/>
      <c r="AE201" s="617"/>
      <c r="AF201" s="618"/>
      <c r="AG201" s="581"/>
    </row>
    <row r="202">
      <c r="A202" s="607"/>
      <c r="B202" s="608"/>
      <c r="C202" s="608"/>
      <c r="D202" s="589"/>
      <c r="E202" s="581"/>
      <c r="F202" s="581"/>
      <c r="G202" s="581"/>
      <c r="H202" s="581"/>
      <c r="I202" s="581"/>
      <c r="J202" s="708"/>
      <c r="K202" s="591"/>
      <c r="P202" s="592"/>
      <c r="R202" s="593"/>
      <c r="S202" s="525" t="s">
        <v>457</v>
      </c>
      <c r="T202" s="681" t="str">
        <f t="shared" si="20"/>
        <v/>
      </c>
      <c r="U202" s="681" t="str">
        <f t="shared" si="21"/>
        <v/>
      </c>
      <c r="V202" s="681" t="str">
        <f t="shared" si="22"/>
        <v/>
      </c>
      <c r="W202" s="682" t="str">
        <f t="shared" si="23"/>
        <v>NO LINK</v>
      </c>
      <c r="X202" s="705">
        <f>VLOOKUP($W202,'Bespoke Speaker Intros'!$D:$E,2,False)</f>
        <v>0</v>
      </c>
      <c r="Y202" s="681">
        <f>VLOOKUP($W202,'Bespoke Speaker Intros'!$D:$F,3,false)</f>
        <v>0</v>
      </c>
      <c r="Z202" s="697"/>
      <c r="AA202" s="665"/>
      <c r="AB202" s="665"/>
      <c r="AC202" s="591"/>
      <c r="AE202" s="617"/>
      <c r="AF202" s="618"/>
      <c r="AG202" s="581"/>
    </row>
    <row r="203">
      <c r="A203" s="607"/>
      <c r="B203" s="608"/>
      <c r="C203" s="608"/>
      <c r="D203" s="589"/>
      <c r="E203" s="581"/>
      <c r="F203" s="581"/>
      <c r="G203" s="581"/>
      <c r="H203" s="581"/>
      <c r="I203" s="581"/>
      <c r="J203" s="708"/>
      <c r="K203" s="591"/>
      <c r="P203" s="592"/>
      <c r="R203" s="593"/>
      <c r="S203" s="525" t="s">
        <v>457</v>
      </c>
      <c r="T203" s="681" t="str">
        <f t="shared" si="20"/>
        <v/>
      </c>
      <c r="U203" s="681" t="str">
        <f t="shared" si="21"/>
        <v/>
      </c>
      <c r="V203" s="681" t="str">
        <f t="shared" si="22"/>
        <v/>
      </c>
      <c r="W203" s="682" t="str">
        <f t="shared" si="23"/>
        <v>NO LINK</v>
      </c>
      <c r="X203" s="705">
        <f>VLOOKUP($W203,'Bespoke Speaker Intros'!$D:$E,2,False)</f>
        <v>0</v>
      </c>
      <c r="Y203" s="681">
        <f>VLOOKUP($W203,'Bespoke Speaker Intros'!$D:$F,3,false)</f>
        <v>0</v>
      </c>
      <c r="Z203" s="697"/>
      <c r="AA203" s="665"/>
      <c r="AB203" s="665"/>
      <c r="AC203" s="591"/>
      <c r="AE203" s="617"/>
      <c r="AF203" s="618"/>
      <c r="AG203" s="581"/>
    </row>
    <row r="204">
      <c r="A204" s="607"/>
      <c r="B204" s="608"/>
      <c r="C204" s="608"/>
      <c r="D204" s="589"/>
      <c r="E204" s="581"/>
      <c r="F204" s="581"/>
      <c r="G204" s="581"/>
      <c r="H204" s="581"/>
      <c r="I204" s="581"/>
      <c r="J204" s="708"/>
      <c r="K204" s="591"/>
      <c r="P204" s="592"/>
      <c r="R204" s="593"/>
      <c r="S204" s="525" t="s">
        <v>457</v>
      </c>
      <c r="T204" s="681" t="str">
        <f t="shared" si="20"/>
        <v/>
      </c>
      <c r="U204" s="681" t="str">
        <f t="shared" si="21"/>
        <v/>
      </c>
      <c r="V204" s="681" t="str">
        <f t="shared" si="22"/>
        <v/>
      </c>
      <c r="W204" s="682" t="str">
        <f t="shared" si="23"/>
        <v>NO LINK</v>
      </c>
      <c r="X204" s="705">
        <f>VLOOKUP($W204,'Bespoke Speaker Intros'!$D:$E,2,False)</f>
        <v>0</v>
      </c>
      <c r="Y204" s="681">
        <f>VLOOKUP($W204,'Bespoke Speaker Intros'!$D:$F,3,false)</f>
        <v>0</v>
      </c>
      <c r="Z204" s="697"/>
      <c r="AA204" s="665"/>
      <c r="AB204" s="665"/>
      <c r="AC204" s="591"/>
      <c r="AE204" s="617"/>
      <c r="AF204" s="618"/>
      <c r="AG204" s="581"/>
    </row>
    <row r="205">
      <c r="A205" s="607"/>
      <c r="B205" s="608"/>
      <c r="C205" s="608"/>
      <c r="D205" s="589"/>
      <c r="E205" s="581"/>
      <c r="F205" s="581"/>
      <c r="G205" s="581"/>
      <c r="H205" s="581"/>
      <c r="I205" s="581"/>
      <c r="J205" s="708"/>
      <c r="K205" s="591"/>
      <c r="P205" s="592"/>
      <c r="R205" s="593"/>
      <c r="S205" s="525" t="s">
        <v>457</v>
      </c>
      <c r="T205" s="681" t="str">
        <f t="shared" si="20"/>
        <v/>
      </c>
      <c r="U205" s="681" t="str">
        <f t="shared" si="21"/>
        <v/>
      </c>
      <c r="V205" s="681" t="str">
        <f t="shared" si="22"/>
        <v/>
      </c>
      <c r="W205" s="682" t="str">
        <f t="shared" si="23"/>
        <v>NO LINK</v>
      </c>
      <c r="X205" s="705">
        <f>VLOOKUP($W205,'Bespoke Speaker Intros'!$D:$E,2,False)</f>
        <v>0</v>
      </c>
      <c r="Y205" s="681">
        <f>VLOOKUP($W205,'Bespoke Speaker Intros'!$D:$F,3,false)</f>
        <v>0</v>
      </c>
      <c r="Z205" s="697"/>
      <c r="AA205" s="665"/>
      <c r="AB205" s="665"/>
      <c r="AC205" s="591"/>
      <c r="AE205" s="617"/>
      <c r="AF205" s="618"/>
      <c r="AG205" s="581"/>
    </row>
    <row r="206">
      <c r="A206" s="607"/>
      <c r="B206" s="608"/>
      <c r="C206" s="608"/>
      <c r="D206" s="589"/>
      <c r="E206" s="581"/>
      <c r="F206" s="581"/>
      <c r="G206" s="581"/>
      <c r="H206" s="581"/>
      <c r="I206" s="581"/>
      <c r="J206" s="708"/>
      <c r="K206" s="591"/>
      <c r="P206" s="592"/>
      <c r="R206" s="593"/>
      <c r="S206" s="525" t="s">
        <v>457</v>
      </c>
      <c r="T206" s="681" t="str">
        <f t="shared" si="20"/>
        <v/>
      </c>
      <c r="U206" s="681" t="str">
        <f t="shared" si="21"/>
        <v/>
      </c>
      <c r="V206" s="681" t="str">
        <f t="shared" si="22"/>
        <v/>
      </c>
      <c r="W206" s="682" t="str">
        <f t="shared" si="23"/>
        <v>NO LINK</v>
      </c>
      <c r="X206" s="705">
        <f>VLOOKUP($W206,'Bespoke Speaker Intros'!$D:$E,2,False)</f>
        <v>0</v>
      </c>
      <c r="Y206" s="681">
        <f>VLOOKUP($W206,'Bespoke Speaker Intros'!$D:$F,3,false)</f>
        <v>0</v>
      </c>
      <c r="Z206" s="697"/>
      <c r="AA206" s="665"/>
      <c r="AB206" s="665"/>
      <c r="AC206" s="591"/>
      <c r="AE206" s="617"/>
      <c r="AF206" s="618"/>
      <c r="AG206" s="581"/>
    </row>
    <row r="207">
      <c r="A207" s="607"/>
      <c r="B207" s="608"/>
      <c r="C207" s="608"/>
      <c r="D207" s="589"/>
      <c r="E207" s="581"/>
      <c r="F207" s="581"/>
      <c r="G207" s="581"/>
      <c r="H207" s="581"/>
      <c r="I207" s="581"/>
      <c r="J207" s="708"/>
      <c r="K207" s="591"/>
      <c r="P207" s="592"/>
      <c r="R207" s="593"/>
      <c r="S207" s="525" t="s">
        <v>457</v>
      </c>
      <c r="T207" s="681" t="str">
        <f t="shared" si="20"/>
        <v/>
      </c>
      <c r="U207" s="681" t="str">
        <f t="shared" si="21"/>
        <v/>
      </c>
      <c r="V207" s="681" t="str">
        <f t="shared" si="22"/>
        <v/>
      </c>
      <c r="W207" s="682" t="str">
        <f t="shared" si="23"/>
        <v>NO LINK</v>
      </c>
      <c r="X207" s="705">
        <f>VLOOKUP($W207,'Bespoke Speaker Intros'!$D:$E,2,False)</f>
        <v>0</v>
      </c>
      <c r="Y207" s="681">
        <f>VLOOKUP($W207,'Bespoke Speaker Intros'!$D:$F,3,false)</f>
        <v>0</v>
      </c>
      <c r="Z207" s="697"/>
      <c r="AA207" s="665"/>
      <c r="AB207" s="665"/>
      <c r="AC207" s="591"/>
      <c r="AE207" s="617"/>
      <c r="AF207" s="618"/>
      <c r="AG207" s="581"/>
    </row>
    <row r="208">
      <c r="A208" s="607"/>
      <c r="B208" s="608"/>
      <c r="C208" s="608"/>
      <c r="D208" s="589"/>
      <c r="E208" s="581"/>
      <c r="F208" s="581"/>
      <c r="G208" s="581"/>
      <c r="H208" s="581"/>
      <c r="I208" s="581"/>
      <c r="J208" s="708"/>
      <c r="K208" s="591"/>
      <c r="P208" s="592"/>
      <c r="R208" s="593"/>
      <c r="S208" s="525" t="s">
        <v>457</v>
      </c>
      <c r="T208" s="681" t="str">
        <f t="shared" si="20"/>
        <v/>
      </c>
      <c r="U208" s="681" t="str">
        <f t="shared" si="21"/>
        <v/>
      </c>
      <c r="V208" s="681" t="str">
        <f t="shared" si="22"/>
        <v/>
      </c>
      <c r="W208" s="682" t="str">
        <f t="shared" si="23"/>
        <v>NO LINK</v>
      </c>
      <c r="X208" s="705">
        <f>VLOOKUP($W208,'Bespoke Speaker Intros'!$D:$E,2,False)</f>
        <v>0</v>
      </c>
      <c r="Y208" s="681">
        <f>VLOOKUP($W208,'Bespoke Speaker Intros'!$D:$F,3,false)</f>
        <v>0</v>
      </c>
      <c r="Z208" s="697"/>
      <c r="AA208" s="665"/>
      <c r="AB208" s="665"/>
      <c r="AC208" s="591"/>
      <c r="AE208" s="617"/>
      <c r="AF208" s="618"/>
      <c r="AG208" s="581"/>
    </row>
    <row r="209">
      <c r="A209" s="607"/>
      <c r="B209" s="608"/>
      <c r="C209" s="608"/>
      <c r="D209" s="589"/>
      <c r="E209" s="581"/>
      <c r="F209" s="581"/>
      <c r="G209" s="581"/>
      <c r="H209" s="581"/>
      <c r="I209" s="581"/>
      <c r="J209" s="708"/>
      <c r="K209" s="591"/>
      <c r="P209" s="592"/>
      <c r="R209" s="593"/>
      <c r="S209" s="525" t="s">
        <v>457</v>
      </c>
      <c r="T209" s="681" t="str">
        <f t="shared" si="20"/>
        <v/>
      </c>
      <c r="U209" s="681" t="str">
        <f t="shared" si="21"/>
        <v/>
      </c>
      <c r="V209" s="681" t="str">
        <f t="shared" si="22"/>
        <v/>
      </c>
      <c r="W209" s="682" t="str">
        <f t="shared" si="23"/>
        <v>NO LINK</v>
      </c>
      <c r="X209" s="705">
        <f>VLOOKUP($W209,'Bespoke Speaker Intros'!$D:$E,2,False)</f>
        <v>0</v>
      </c>
      <c r="Y209" s="681">
        <f>VLOOKUP($W209,'Bespoke Speaker Intros'!$D:$F,3,false)</f>
        <v>0</v>
      </c>
      <c r="Z209" s="697"/>
      <c r="AA209" s="665"/>
      <c r="AB209" s="665"/>
      <c r="AC209" s="591"/>
      <c r="AE209" s="617"/>
      <c r="AF209" s="618"/>
      <c r="AG209" s="581"/>
    </row>
    <row r="210">
      <c r="A210" s="607"/>
      <c r="B210" s="608"/>
      <c r="C210" s="608"/>
      <c r="D210" s="589"/>
      <c r="E210" s="581"/>
      <c r="F210" s="581"/>
      <c r="G210" s="581"/>
      <c r="H210" s="581"/>
      <c r="I210" s="581"/>
      <c r="J210" s="708"/>
      <c r="K210" s="591"/>
      <c r="P210" s="592"/>
      <c r="R210" s="593"/>
      <c r="S210" s="525" t="s">
        <v>457</v>
      </c>
      <c r="T210" s="681" t="str">
        <f t="shared" si="20"/>
        <v/>
      </c>
      <c r="U210" s="681" t="str">
        <f t="shared" si="21"/>
        <v/>
      </c>
      <c r="V210" s="681" t="str">
        <f t="shared" si="22"/>
        <v/>
      </c>
      <c r="W210" s="682" t="str">
        <f t="shared" si="23"/>
        <v>NO LINK</v>
      </c>
      <c r="X210" s="705">
        <f>VLOOKUP($W210,'Bespoke Speaker Intros'!$D:$E,2,False)</f>
        <v>0</v>
      </c>
      <c r="Y210" s="681">
        <f>VLOOKUP($W210,'Bespoke Speaker Intros'!$D:$F,3,false)</f>
        <v>0</v>
      </c>
      <c r="Z210" s="697"/>
      <c r="AA210" s="665"/>
      <c r="AB210" s="665"/>
      <c r="AC210" s="591"/>
      <c r="AE210" s="617"/>
      <c r="AF210" s="618"/>
      <c r="AG210" s="581"/>
    </row>
    <row r="211">
      <c r="A211" s="607"/>
      <c r="B211" s="608"/>
      <c r="C211" s="608"/>
      <c r="D211" s="589"/>
      <c r="E211" s="581"/>
      <c r="F211" s="581"/>
      <c r="G211" s="581"/>
      <c r="H211" s="581"/>
      <c r="I211" s="581"/>
      <c r="J211" s="708"/>
      <c r="K211" s="591"/>
      <c r="P211" s="592"/>
      <c r="R211" s="593"/>
      <c r="S211" s="525" t="s">
        <v>457</v>
      </c>
      <c r="T211" s="681" t="str">
        <f t="shared" si="20"/>
        <v/>
      </c>
      <c r="U211" s="681" t="str">
        <f t="shared" si="21"/>
        <v/>
      </c>
      <c r="V211" s="681" t="str">
        <f t="shared" si="22"/>
        <v/>
      </c>
      <c r="W211" s="682" t="str">
        <f t="shared" si="23"/>
        <v>NO LINK</v>
      </c>
      <c r="X211" s="705">
        <f>VLOOKUP($W211,'Bespoke Speaker Intros'!$D:$E,2,False)</f>
        <v>0</v>
      </c>
      <c r="Y211" s="681">
        <f>VLOOKUP($W211,'Bespoke Speaker Intros'!$D:$F,3,false)</f>
        <v>0</v>
      </c>
      <c r="Z211" s="697"/>
      <c r="AA211" s="665"/>
      <c r="AB211" s="665"/>
      <c r="AC211" s="591"/>
      <c r="AE211" s="617"/>
      <c r="AF211" s="618"/>
      <c r="AG211" s="581"/>
    </row>
    <row r="212">
      <c r="A212" s="607"/>
      <c r="B212" s="608"/>
      <c r="C212" s="608"/>
      <c r="D212" s="589"/>
      <c r="E212" s="581"/>
      <c r="F212" s="581"/>
      <c r="G212" s="581"/>
      <c r="H212" s="581"/>
      <c r="I212" s="581"/>
      <c r="J212" s="708"/>
      <c r="K212" s="591"/>
      <c r="P212" s="592"/>
      <c r="R212" s="593"/>
      <c r="S212" s="525" t="s">
        <v>457</v>
      </c>
      <c r="T212" s="681" t="str">
        <f t="shared" si="20"/>
        <v/>
      </c>
      <c r="U212" s="681" t="str">
        <f t="shared" si="21"/>
        <v/>
      </c>
      <c r="V212" s="681" t="str">
        <f t="shared" si="22"/>
        <v/>
      </c>
      <c r="W212" s="682" t="str">
        <f t="shared" si="23"/>
        <v>NO LINK</v>
      </c>
      <c r="X212" s="705">
        <f>VLOOKUP($W212,'Bespoke Speaker Intros'!$D:$E,2,False)</f>
        <v>0</v>
      </c>
      <c r="Y212" s="681">
        <f>VLOOKUP($W212,'Bespoke Speaker Intros'!$D:$F,3,false)</f>
        <v>0</v>
      </c>
      <c r="Z212" s="697"/>
      <c r="AA212" s="665"/>
      <c r="AB212" s="665"/>
      <c r="AC212" s="591"/>
      <c r="AE212" s="617"/>
      <c r="AF212" s="618"/>
      <c r="AG212" s="581"/>
    </row>
    <row r="213">
      <c r="A213" s="607"/>
      <c r="B213" s="608"/>
      <c r="C213" s="608"/>
      <c r="D213" s="589"/>
      <c r="E213" s="581"/>
      <c r="F213" s="581"/>
      <c r="G213" s="581"/>
      <c r="H213" s="581"/>
      <c r="I213" s="581"/>
      <c r="J213" s="708"/>
      <c r="K213" s="591"/>
      <c r="P213" s="592"/>
      <c r="R213" s="593"/>
      <c r="S213" s="525" t="s">
        <v>457</v>
      </c>
      <c r="T213" s="681" t="str">
        <f t="shared" si="20"/>
        <v/>
      </c>
      <c r="U213" s="681" t="str">
        <f t="shared" si="21"/>
        <v/>
      </c>
      <c r="V213" s="681" t="str">
        <f t="shared" si="22"/>
        <v/>
      </c>
      <c r="W213" s="682" t="str">
        <f t="shared" si="23"/>
        <v>NO LINK</v>
      </c>
      <c r="X213" s="705">
        <f>VLOOKUP($W213,'Bespoke Speaker Intros'!$D:$E,2,False)</f>
        <v>0</v>
      </c>
      <c r="Y213" s="681">
        <f>VLOOKUP($W213,'Bespoke Speaker Intros'!$D:$F,3,false)</f>
        <v>0</v>
      </c>
      <c r="Z213" s="697"/>
      <c r="AA213" s="665"/>
      <c r="AB213" s="665"/>
      <c r="AC213" s="591"/>
      <c r="AE213" s="617"/>
      <c r="AF213" s="618"/>
      <c r="AG213" s="581"/>
    </row>
    <row r="214">
      <c r="A214" s="607"/>
      <c r="B214" s="608"/>
      <c r="C214" s="608"/>
      <c r="D214" s="589"/>
      <c r="E214" s="581"/>
      <c r="F214" s="581"/>
      <c r="G214" s="581"/>
      <c r="H214" s="581"/>
      <c r="I214" s="581"/>
      <c r="J214" s="708"/>
      <c r="K214" s="591"/>
      <c r="P214" s="592"/>
      <c r="R214" s="593"/>
      <c r="S214" s="525" t="s">
        <v>457</v>
      </c>
      <c r="T214" s="681" t="str">
        <f t="shared" si="20"/>
        <v/>
      </c>
      <c r="U214" s="681" t="str">
        <f t="shared" si="21"/>
        <v/>
      </c>
      <c r="V214" s="681" t="str">
        <f t="shared" si="22"/>
        <v/>
      </c>
      <c r="W214" s="682" t="str">
        <f t="shared" si="23"/>
        <v>NO LINK</v>
      </c>
      <c r="X214" s="705">
        <f>VLOOKUP($W214,'Bespoke Speaker Intros'!$D:$E,2,False)</f>
        <v>0</v>
      </c>
      <c r="Y214" s="681">
        <f>VLOOKUP($W214,'Bespoke Speaker Intros'!$D:$F,3,false)</f>
        <v>0</v>
      </c>
      <c r="Z214" s="697"/>
      <c r="AA214" s="665"/>
      <c r="AB214" s="665"/>
      <c r="AC214" s="591"/>
      <c r="AE214" s="617"/>
      <c r="AF214" s="618"/>
      <c r="AG214" s="581"/>
    </row>
    <row r="215">
      <c r="A215" s="607"/>
      <c r="B215" s="608"/>
      <c r="C215" s="608"/>
      <c r="D215" s="589"/>
      <c r="E215" s="581"/>
      <c r="F215" s="581"/>
      <c r="G215" s="581"/>
      <c r="H215" s="581"/>
      <c r="I215" s="581"/>
      <c r="J215" s="708"/>
      <c r="K215" s="591"/>
      <c r="P215" s="592"/>
      <c r="R215" s="593"/>
      <c r="S215" s="525" t="s">
        <v>457</v>
      </c>
      <c r="T215" s="681" t="str">
        <f t="shared" si="20"/>
        <v/>
      </c>
      <c r="U215" s="681" t="str">
        <f t="shared" si="21"/>
        <v/>
      </c>
      <c r="V215" s="681" t="str">
        <f t="shared" si="22"/>
        <v/>
      </c>
      <c r="W215" s="682" t="str">
        <f t="shared" si="23"/>
        <v>NO LINK</v>
      </c>
      <c r="X215" s="705">
        <f>VLOOKUP($W215,'Bespoke Speaker Intros'!$D:$E,2,False)</f>
        <v>0</v>
      </c>
      <c r="Y215" s="681">
        <f>VLOOKUP($W215,'Bespoke Speaker Intros'!$D:$F,3,false)</f>
        <v>0</v>
      </c>
      <c r="Z215" s="697"/>
      <c r="AA215" s="665"/>
      <c r="AB215" s="665"/>
      <c r="AC215" s="591"/>
      <c r="AE215" s="617"/>
      <c r="AF215" s="618"/>
      <c r="AG215" s="581"/>
    </row>
    <row r="216">
      <c r="A216" s="607"/>
      <c r="B216" s="608"/>
      <c r="C216" s="608"/>
      <c r="D216" s="589"/>
      <c r="E216" s="581"/>
      <c r="F216" s="581"/>
      <c r="G216" s="581"/>
      <c r="H216" s="581"/>
      <c r="I216" s="581"/>
      <c r="J216" s="708"/>
      <c r="K216" s="591"/>
      <c r="P216" s="592"/>
      <c r="R216" s="593"/>
      <c r="S216" s="525" t="s">
        <v>457</v>
      </c>
      <c r="T216" s="681" t="str">
        <f t="shared" si="20"/>
        <v/>
      </c>
      <c r="U216" s="681" t="str">
        <f t="shared" si="21"/>
        <v/>
      </c>
      <c r="V216" s="681" t="str">
        <f t="shared" si="22"/>
        <v/>
      </c>
      <c r="W216" s="682" t="str">
        <f t="shared" si="23"/>
        <v>NO LINK</v>
      </c>
      <c r="X216" s="705">
        <f>VLOOKUP($W216,'Bespoke Speaker Intros'!$D:$E,2,False)</f>
        <v>0</v>
      </c>
      <c r="Y216" s="681">
        <f>VLOOKUP($W216,'Bespoke Speaker Intros'!$D:$F,3,false)</f>
        <v>0</v>
      </c>
      <c r="Z216" s="697"/>
      <c r="AA216" s="665"/>
      <c r="AB216" s="665"/>
      <c r="AC216" s="591"/>
      <c r="AE216" s="617"/>
      <c r="AF216" s="618"/>
      <c r="AG216" s="581"/>
    </row>
    <row r="217">
      <c r="A217" s="607"/>
      <c r="B217" s="608"/>
      <c r="C217" s="608"/>
      <c r="D217" s="589"/>
      <c r="E217" s="581"/>
      <c r="F217" s="581"/>
      <c r="G217" s="581"/>
      <c r="H217" s="581"/>
      <c r="I217" s="581"/>
      <c r="J217" s="708"/>
      <c r="K217" s="591"/>
      <c r="P217" s="592"/>
      <c r="R217" s="593"/>
      <c r="S217" s="525" t="s">
        <v>457</v>
      </c>
      <c r="T217" s="681" t="str">
        <f t="shared" si="20"/>
        <v/>
      </c>
      <c r="U217" s="681" t="str">
        <f t="shared" si="21"/>
        <v/>
      </c>
      <c r="V217" s="681" t="str">
        <f t="shared" si="22"/>
        <v/>
      </c>
      <c r="W217" s="682" t="str">
        <f t="shared" si="23"/>
        <v>NO LINK</v>
      </c>
      <c r="X217" s="705">
        <f>VLOOKUP($W217,'Bespoke Speaker Intros'!$D:$E,2,False)</f>
        <v>0</v>
      </c>
      <c r="Y217" s="681">
        <f>VLOOKUP($W217,'Bespoke Speaker Intros'!$D:$F,3,false)</f>
        <v>0</v>
      </c>
      <c r="Z217" s="697"/>
      <c r="AA217" s="665"/>
      <c r="AB217" s="665"/>
      <c r="AC217" s="591"/>
      <c r="AE217" s="617"/>
      <c r="AF217" s="618"/>
      <c r="AG217" s="581"/>
    </row>
    <row r="218">
      <c r="A218" s="607"/>
      <c r="B218" s="608"/>
      <c r="C218" s="608"/>
      <c r="D218" s="589"/>
      <c r="E218" s="581"/>
      <c r="F218" s="581"/>
      <c r="G218" s="581"/>
      <c r="H218" s="581"/>
      <c r="I218" s="581"/>
      <c r="J218" s="708"/>
      <c r="K218" s="591"/>
      <c r="P218" s="592"/>
      <c r="R218" s="593"/>
      <c r="S218" s="525" t="s">
        <v>457</v>
      </c>
      <c r="T218" s="681" t="str">
        <f t="shared" si="20"/>
        <v/>
      </c>
      <c r="U218" s="681" t="str">
        <f t="shared" si="21"/>
        <v/>
      </c>
      <c r="V218" s="681" t="str">
        <f t="shared" si="22"/>
        <v/>
      </c>
      <c r="W218" s="682" t="str">
        <f t="shared" si="23"/>
        <v>NO LINK</v>
      </c>
      <c r="X218" s="705">
        <f>VLOOKUP($W218,'Bespoke Speaker Intros'!$D:$E,2,False)</f>
        <v>0</v>
      </c>
      <c r="Y218" s="681">
        <f>VLOOKUP($W218,'Bespoke Speaker Intros'!$D:$F,3,false)</f>
        <v>0</v>
      </c>
      <c r="Z218" s="697"/>
      <c r="AA218" s="665"/>
      <c r="AB218" s="665"/>
      <c r="AC218" s="591"/>
      <c r="AE218" s="617"/>
      <c r="AF218" s="618"/>
      <c r="AG218" s="581"/>
    </row>
    <row r="219">
      <c r="A219" s="607"/>
      <c r="B219" s="608"/>
      <c r="C219" s="608"/>
      <c r="D219" s="589"/>
      <c r="E219" s="581"/>
      <c r="F219" s="581"/>
      <c r="G219" s="581"/>
      <c r="H219" s="581"/>
      <c r="I219" s="581"/>
      <c r="J219" s="708"/>
      <c r="K219" s="591"/>
      <c r="P219" s="592"/>
      <c r="R219" s="593"/>
      <c r="S219" s="525" t="s">
        <v>457</v>
      </c>
      <c r="T219" s="681" t="str">
        <f t="shared" si="20"/>
        <v/>
      </c>
      <c r="U219" s="681" t="str">
        <f t="shared" si="21"/>
        <v/>
      </c>
      <c r="V219" s="681" t="str">
        <f t="shared" si="22"/>
        <v/>
      </c>
      <c r="W219" s="682" t="str">
        <f t="shared" si="23"/>
        <v>NO LINK</v>
      </c>
      <c r="X219" s="705">
        <f>VLOOKUP($W219,'Bespoke Speaker Intros'!$D:$E,2,False)</f>
        <v>0</v>
      </c>
      <c r="Y219" s="681">
        <f>VLOOKUP($W219,'Bespoke Speaker Intros'!$D:$F,3,false)</f>
        <v>0</v>
      </c>
      <c r="Z219" s="697"/>
      <c r="AA219" s="665"/>
      <c r="AB219" s="665"/>
      <c r="AC219" s="591"/>
      <c r="AE219" s="617"/>
      <c r="AF219" s="618"/>
      <c r="AG219" s="581"/>
    </row>
    <row r="220">
      <c r="A220" s="607"/>
      <c r="B220" s="608"/>
      <c r="C220" s="608"/>
      <c r="D220" s="589"/>
      <c r="E220" s="581"/>
      <c r="F220" s="581"/>
      <c r="G220" s="581"/>
      <c r="H220" s="581"/>
      <c r="I220" s="581"/>
      <c r="J220" s="708"/>
      <c r="K220" s="591"/>
      <c r="P220" s="592"/>
      <c r="R220" s="593"/>
      <c r="S220" s="525" t="s">
        <v>457</v>
      </c>
      <c r="T220" s="681" t="str">
        <f t="shared" si="20"/>
        <v/>
      </c>
      <c r="U220" s="681" t="str">
        <f t="shared" si="21"/>
        <v/>
      </c>
      <c r="V220" s="681" t="str">
        <f t="shared" si="22"/>
        <v/>
      </c>
      <c r="W220" s="682" t="str">
        <f t="shared" si="23"/>
        <v>NO LINK</v>
      </c>
      <c r="X220" s="705">
        <f>VLOOKUP($W220,'Bespoke Speaker Intros'!$D:$E,2,False)</f>
        <v>0</v>
      </c>
      <c r="Y220" s="681">
        <f>VLOOKUP($W220,'Bespoke Speaker Intros'!$D:$F,3,false)</f>
        <v>0</v>
      </c>
      <c r="Z220" s="697"/>
      <c r="AA220" s="665"/>
      <c r="AB220" s="665"/>
      <c r="AC220" s="591"/>
      <c r="AE220" s="617"/>
      <c r="AF220" s="618"/>
      <c r="AG220" s="581"/>
    </row>
    <row r="221">
      <c r="A221" s="607"/>
      <c r="B221" s="608"/>
      <c r="C221" s="608"/>
      <c r="D221" s="589"/>
      <c r="E221" s="581"/>
      <c r="F221" s="581"/>
      <c r="G221" s="581"/>
      <c r="H221" s="581"/>
      <c r="I221" s="581"/>
      <c r="J221" s="708"/>
      <c r="K221" s="591"/>
      <c r="P221" s="592"/>
      <c r="R221" s="593"/>
      <c r="S221" s="525" t="s">
        <v>457</v>
      </c>
      <c r="T221" s="681" t="str">
        <f t="shared" si="20"/>
        <v/>
      </c>
      <c r="U221" s="681" t="str">
        <f t="shared" si="21"/>
        <v/>
      </c>
      <c r="V221" s="681" t="str">
        <f t="shared" si="22"/>
        <v/>
      </c>
      <c r="W221" s="682" t="str">
        <f t="shared" si="23"/>
        <v>NO LINK</v>
      </c>
      <c r="X221" s="705">
        <f>VLOOKUP($W221,'Bespoke Speaker Intros'!$D:$E,2,False)</f>
        <v>0</v>
      </c>
      <c r="Y221" s="681">
        <f>VLOOKUP($W221,'Bespoke Speaker Intros'!$D:$F,3,false)</f>
        <v>0</v>
      </c>
      <c r="Z221" s="697"/>
      <c r="AA221" s="665"/>
      <c r="AB221" s="665"/>
      <c r="AC221" s="591"/>
      <c r="AE221" s="617"/>
      <c r="AF221" s="618"/>
      <c r="AG221" s="581"/>
    </row>
    <row r="222">
      <c r="A222" s="607"/>
      <c r="B222" s="608"/>
      <c r="C222" s="608"/>
      <c r="D222" s="589"/>
      <c r="E222" s="581"/>
      <c r="F222" s="581"/>
      <c r="G222" s="581"/>
      <c r="H222" s="581"/>
      <c r="I222" s="581"/>
      <c r="J222" s="708"/>
      <c r="K222" s="591"/>
      <c r="P222" s="592"/>
      <c r="R222" s="593"/>
      <c r="S222" s="525" t="s">
        <v>457</v>
      </c>
      <c r="T222" s="681" t="str">
        <f t="shared" si="20"/>
        <v/>
      </c>
      <c r="U222" s="681" t="str">
        <f t="shared" si="21"/>
        <v/>
      </c>
      <c r="V222" s="681" t="str">
        <f t="shared" si="22"/>
        <v/>
      </c>
      <c r="W222" s="682" t="str">
        <f t="shared" si="23"/>
        <v>NO LINK</v>
      </c>
      <c r="X222" s="705">
        <f>VLOOKUP($W222,'Bespoke Speaker Intros'!$D:$E,2,False)</f>
        <v>0</v>
      </c>
      <c r="Y222" s="681">
        <f>VLOOKUP($W222,'Bespoke Speaker Intros'!$D:$F,3,false)</f>
        <v>0</v>
      </c>
      <c r="Z222" s="697"/>
      <c r="AA222" s="665"/>
      <c r="AB222" s="665"/>
      <c r="AC222" s="591"/>
      <c r="AE222" s="617"/>
      <c r="AF222" s="618"/>
      <c r="AG222" s="581"/>
    </row>
    <row r="223">
      <c r="A223" s="607"/>
      <c r="B223" s="608"/>
      <c r="C223" s="608"/>
      <c r="D223" s="589"/>
      <c r="E223" s="581"/>
      <c r="F223" s="581"/>
      <c r="G223" s="581"/>
      <c r="H223" s="581"/>
      <c r="I223" s="581"/>
      <c r="J223" s="708"/>
      <c r="K223" s="591"/>
      <c r="P223" s="592"/>
      <c r="R223" s="593"/>
      <c r="S223" s="525" t="s">
        <v>457</v>
      </c>
      <c r="T223" s="681" t="str">
        <f t="shared" si="20"/>
        <v/>
      </c>
      <c r="U223" s="681" t="str">
        <f t="shared" si="21"/>
        <v/>
      </c>
      <c r="V223" s="681" t="str">
        <f t="shared" si="22"/>
        <v/>
      </c>
      <c r="W223" s="682" t="str">
        <f t="shared" si="23"/>
        <v>NO LINK</v>
      </c>
      <c r="X223" s="705">
        <f>VLOOKUP($W223,'Bespoke Speaker Intros'!$D:$E,2,False)</f>
        <v>0</v>
      </c>
      <c r="Y223" s="681">
        <f>VLOOKUP($W223,'Bespoke Speaker Intros'!$D:$F,3,false)</f>
        <v>0</v>
      </c>
      <c r="Z223" s="697"/>
      <c r="AA223" s="665"/>
      <c r="AB223" s="665"/>
      <c r="AC223" s="591"/>
      <c r="AE223" s="617"/>
      <c r="AF223" s="618"/>
      <c r="AG223" s="581"/>
    </row>
    <row r="224">
      <c r="A224" s="607"/>
      <c r="B224" s="608"/>
      <c r="C224" s="608"/>
      <c r="D224" s="589"/>
      <c r="E224" s="581"/>
      <c r="F224" s="581"/>
      <c r="G224" s="581"/>
      <c r="H224" s="581"/>
      <c r="I224" s="581"/>
      <c r="J224" s="708"/>
      <c r="K224" s="591"/>
      <c r="P224" s="592"/>
      <c r="R224" s="593"/>
      <c r="S224" s="525" t="s">
        <v>457</v>
      </c>
      <c r="T224" s="681" t="str">
        <f t="shared" si="20"/>
        <v/>
      </c>
      <c r="U224" s="681" t="str">
        <f t="shared" si="21"/>
        <v/>
      </c>
      <c r="V224" s="681" t="str">
        <f t="shared" si="22"/>
        <v/>
      </c>
      <c r="W224" s="682" t="str">
        <f t="shared" si="23"/>
        <v>NO LINK</v>
      </c>
      <c r="X224" s="705">
        <f>VLOOKUP($W224,'Bespoke Speaker Intros'!$D:$E,2,False)</f>
        <v>0</v>
      </c>
      <c r="Y224" s="681">
        <f>VLOOKUP($W224,'Bespoke Speaker Intros'!$D:$F,3,false)</f>
        <v>0</v>
      </c>
      <c r="Z224" s="697"/>
      <c r="AA224" s="665"/>
      <c r="AB224" s="665"/>
      <c r="AC224" s="591"/>
      <c r="AE224" s="617"/>
      <c r="AF224" s="618"/>
      <c r="AG224" s="581"/>
    </row>
    <row r="225">
      <c r="A225" s="607"/>
      <c r="B225" s="608"/>
      <c r="C225" s="608"/>
      <c r="D225" s="589"/>
      <c r="E225" s="581"/>
      <c r="F225" s="581"/>
      <c r="G225" s="581"/>
      <c r="H225" s="581"/>
      <c r="I225" s="581"/>
      <c r="J225" s="708"/>
      <c r="K225" s="591"/>
      <c r="P225" s="592"/>
      <c r="R225" s="593"/>
      <c r="S225" s="525" t="s">
        <v>457</v>
      </c>
      <c r="T225" s="681" t="str">
        <f t="shared" si="20"/>
        <v/>
      </c>
      <c r="U225" s="681" t="str">
        <f t="shared" si="21"/>
        <v/>
      </c>
      <c r="V225" s="681" t="str">
        <f t="shared" si="22"/>
        <v/>
      </c>
      <c r="W225" s="682" t="str">
        <f t="shared" si="23"/>
        <v>NO LINK</v>
      </c>
      <c r="X225" s="705">
        <f>VLOOKUP($W225,'Bespoke Speaker Intros'!$D:$E,2,False)</f>
        <v>0</v>
      </c>
      <c r="Y225" s="681">
        <f>VLOOKUP($W225,'Bespoke Speaker Intros'!$D:$F,3,false)</f>
        <v>0</v>
      </c>
      <c r="Z225" s="697"/>
      <c r="AA225" s="665"/>
      <c r="AB225" s="665"/>
      <c r="AC225" s="591"/>
      <c r="AE225" s="617"/>
      <c r="AF225" s="618"/>
      <c r="AG225" s="581"/>
    </row>
    <row r="226">
      <c r="A226" s="607"/>
      <c r="B226" s="608"/>
      <c r="C226" s="608"/>
      <c r="D226" s="589"/>
      <c r="E226" s="581"/>
      <c r="F226" s="581"/>
      <c r="G226" s="581"/>
      <c r="H226" s="581"/>
      <c r="I226" s="581"/>
      <c r="J226" s="708"/>
      <c r="K226" s="591"/>
      <c r="P226" s="592"/>
      <c r="R226" s="593"/>
      <c r="S226" s="525" t="s">
        <v>457</v>
      </c>
      <c r="T226" s="681" t="str">
        <f t="shared" si="20"/>
        <v/>
      </c>
      <c r="U226" s="681" t="str">
        <f t="shared" si="21"/>
        <v/>
      </c>
      <c r="V226" s="681" t="str">
        <f t="shared" si="22"/>
        <v/>
      </c>
      <c r="W226" s="682" t="str">
        <f t="shared" si="23"/>
        <v>NO LINK</v>
      </c>
      <c r="X226" s="705">
        <f>VLOOKUP($W226,'Bespoke Speaker Intros'!$D:$E,2,False)</f>
        <v>0</v>
      </c>
      <c r="Y226" s="681">
        <f>VLOOKUP($W226,'Bespoke Speaker Intros'!$D:$F,3,false)</f>
        <v>0</v>
      </c>
      <c r="Z226" s="697"/>
      <c r="AA226" s="665"/>
      <c r="AB226" s="665"/>
      <c r="AC226" s="591"/>
      <c r="AE226" s="617"/>
      <c r="AF226" s="618"/>
      <c r="AG226" s="581"/>
    </row>
    <row r="227">
      <c r="A227" s="607"/>
      <c r="B227" s="608"/>
      <c r="C227" s="608"/>
      <c r="D227" s="589"/>
      <c r="E227" s="581"/>
      <c r="F227" s="581"/>
      <c r="G227" s="581"/>
      <c r="H227" s="581"/>
      <c r="I227" s="581"/>
      <c r="J227" s="708"/>
      <c r="K227" s="591"/>
      <c r="P227" s="592"/>
      <c r="R227" s="593"/>
      <c r="S227" s="525" t="s">
        <v>457</v>
      </c>
      <c r="T227" s="681" t="str">
        <f t="shared" si="20"/>
        <v/>
      </c>
      <c r="U227" s="681" t="str">
        <f t="shared" si="21"/>
        <v/>
      </c>
      <c r="V227" s="681" t="str">
        <f t="shared" si="22"/>
        <v/>
      </c>
      <c r="W227" s="682" t="str">
        <f t="shared" si="23"/>
        <v>NO LINK</v>
      </c>
      <c r="X227" s="705">
        <f>VLOOKUP($W227,'Bespoke Speaker Intros'!$D:$E,2,False)</f>
        <v>0</v>
      </c>
      <c r="Y227" s="681">
        <f>VLOOKUP($W227,'Bespoke Speaker Intros'!$D:$F,3,false)</f>
        <v>0</v>
      </c>
      <c r="Z227" s="697"/>
      <c r="AA227" s="665"/>
      <c r="AB227" s="665"/>
      <c r="AC227" s="591"/>
      <c r="AE227" s="617"/>
      <c r="AF227" s="618"/>
      <c r="AG227" s="581"/>
    </row>
    <row r="228">
      <c r="A228" s="607"/>
      <c r="B228" s="608"/>
      <c r="C228" s="608"/>
      <c r="D228" s="589"/>
      <c r="E228" s="581"/>
      <c r="F228" s="581"/>
      <c r="G228" s="581"/>
      <c r="H228" s="581"/>
      <c r="I228" s="581"/>
      <c r="J228" s="708"/>
      <c r="K228" s="591"/>
      <c r="P228" s="592"/>
      <c r="R228" s="593"/>
      <c r="S228" s="525" t="s">
        <v>457</v>
      </c>
      <c r="T228" s="681" t="str">
        <f t="shared" si="20"/>
        <v/>
      </c>
      <c r="U228" s="681" t="str">
        <f t="shared" si="21"/>
        <v/>
      </c>
      <c r="V228" s="681" t="str">
        <f t="shared" si="22"/>
        <v/>
      </c>
      <c r="W228" s="682" t="str">
        <f t="shared" si="23"/>
        <v>NO LINK</v>
      </c>
      <c r="X228" s="705">
        <f>VLOOKUP($W228,'Bespoke Speaker Intros'!$D:$E,2,False)</f>
        <v>0</v>
      </c>
      <c r="Y228" s="681">
        <f>VLOOKUP($W228,'Bespoke Speaker Intros'!$D:$F,3,false)</f>
        <v>0</v>
      </c>
      <c r="Z228" s="697"/>
      <c r="AA228" s="665"/>
      <c r="AB228" s="665"/>
      <c r="AC228" s="591"/>
      <c r="AE228" s="617"/>
      <c r="AF228" s="618"/>
      <c r="AG228" s="581"/>
    </row>
    <row r="229">
      <c r="A229" s="607"/>
      <c r="B229" s="608"/>
      <c r="C229" s="608"/>
      <c r="D229" s="589"/>
      <c r="E229" s="581"/>
      <c r="F229" s="581"/>
      <c r="G229" s="581"/>
      <c r="H229" s="581"/>
      <c r="I229" s="581"/>
      <c r="J229" s="708"/>
      <c r="K229" s="591"/>
      <c r="P229" s="592"/>
      <c r="R229" s="593"/>
      <c r="S229" s="525" t="s">
        <v>457</v>
      </c>
      <c r="T229" s="681" t="str">
        <f t="shared" si="20"/>
        <v/>
      </c>
      <c r="U229" s="681" t="str">
        <f t="shared" si="21"/>
        <v/>
      </c>
      <c r="V229" s="681" t="str">
        <f t="shared" si="22"/>
        <v/>
      </c>
      <c r="W229" s="682" t="str">
        <f t="shared" si="23"/>
        <v>NO LINK</v>
      </c>
      <c r="X229" s="705">
        <f>VLOOKUP($W229,'Bespoke Speaker Intros'!$D:$E,2,False)</f>
        <v>0</v>
      </c>
      <c r="Y229" s="681">
        <f>VLOOKUP($W229,'Bespoke Speaker Intros'!$D:$F,3,false)</f>
        <v>0</v>
      </c>
      <c r="Z229" s="697"/>
      <c r="AA229" s="665"/>
      <c r="AB229" s="665"/>
      <c r="AC229" s="591"/>
      <c r="AE229" s="617"/>
      <c r="AF229" s="618"/>
      <c r="AG229" s="581"/>
    </row>
    <row r="230">
      <c r="A230" s="607"/>
      <c r="B230" s="608"/>
      <c r="C230" s="608"/>
      <c r="D230" s="589"/>
      <c r="E230" s="581"/>
      <c r="F230" s="581"/>
      <c r="G230" s="581"/>
      <c r="H230" s="581"/>
      <c r="I230" s="581"/>
      <c r="J230" s="708"/>
      <c r="K230" s="591"/>
      <c r="P230" s="592"/>
      <c r="R230" s="593"/>
      <c r="S230" s="525" t="s">
        <v>457</v>
      </c>
      <c r="T230" s="681" t="str">
        <f t="shared" si="20"/>
        <v/>
      </c>
      <c r="U230" s="681" t="str">
        <f t="shared" si="21"/>
        <v/>
      </c>
      <c r="V230" s="681" t="str">
        <f t="shared" si="22"/>
        <v/>
      </c>
      <c r="W230" s="682" t="str">
        <f t="shared" si="23"/>
        <v>NO LINK</v>
      </c>
      <c r="X230" s="705">
        <f>VLOOKUP($W230,'Bespoke Speaker Intros'!$D:$E,2,False)</f>
        <v>0</v>
      </c>
      <c r="Y230" s="681">
        <f>VLOOKUP($W230,'Bespoke Speaker Intros'!$D:$F,3,false)</f>
        <v>0</v>
      </c>
      <c r="Z230" s="697"/>
      <c r="AA230" s="665"/>
      <c r="AB230" s="665"/>
      <c r="AC230" s="591"/>
      <c r="AE230" s="617"/>
      <c r="AF230" s="618"/>
      <c r="AG230" s="581"/>
    </row>
    <row r="231">
      <c r="A231" s="607"/>
      <c r="B231" s="608"/>
      <c r="C231" s="608"/>
      <c r="D231" s="589"/>
      <c r="E231" s="581"/>
      <c r="F231" s="581"/>
      <c r="G231" s="581"/>
      <c r="H231" s="581"/>
      <c r="I231" s="581"/>
      <c r="J231" s="708"/>
      <c r="K231" s="591"/>
      <c r="P231" s="592"/>
      <c r="R231" s="593"/>
      <c r="S231" s="525" t="s">
        <v>457</v>
      </c>
      <c r="T231" s="681" t="str">
        <f t="shared" si="20"/>
        <v/>
      </c>
      <c r="U231" s="681" t="str">
        <f t="shared" si="21"/>
        <v/>
      </c>
      <c r="V231" s="681" t="str">
        <f t="shared" si="22"/>
        <v/>
      </c>
      <c r="W231" s="682" t="str">
        <f t="shared" si="23"/>
        <v>NO LINK</v>
      </c>
      <c r="X231" s="705">
        <f>VLOOKUP($W231,'Bespoke Speaker Intros'!$D:$E,2,False)</f>
        <v>0</v>
      </c>
      <c r="Y231" s="681">
        <f>VLOOKUP($W231,'Bespoke Speaker Intros'!$D:$F,3,false)</f>
        <v>0</v>
      </c>
      <c r="Z231" s="697"/>
      <c r="AA231" s="665"/>
      <c r="AB231" s="665"/>
      <c r="AC231" s="591"/>
      <c r="AE231" s="617"/>
      <c r="AF231" s="618"/>
      <c r="AG231" s="581"/>
    </row>
    <row r="232">
      <c r="A232" s="607"/>
      <c r="B232" s="608"/>
      <c r="C232" s="608"/>
      <c r="D232" s="589"/>
      <c r="E232" s="581"/>
      <c r="F232" s="581"/>
      <c r="G232" s="581"/>
      <c r="H232" s="581"/>
      <c r="I232" s="581"/>
      <c r="J232" s="708"/>
      <c r="K232" s="591"/>
      <c r="P232" s="592"/>
      <c r="R232" s="593"/>
      <c r="S232" s="525" t="s">
        <v>457</v>
      </c>
      <c r="T232" s="681" t="str">
        <f t="shared" si="20"/>
        <v/>
      </c>
      <c r="U232" s="681" t="str">
        <f t="shared" si="21"/>
        <v/>
      </c>
      <c r="V232" s="681" t="str">
        <f t="shared" si="22"/>
        <v/>
      </c>
      <c r="W232" s="682" t="str">
        <f t="shared" si="23"/>
        <v>NO LINK</v>
      </c>
      <c r="X232" s="705">
        <f>VLOOKUP($W232,'Bespoke Speaker Intros'!$D:$E,2,False)</f>
        <v>0</v>
      </c>
      <c r="Y232" s="681">
        <f>VLOOKUP($W232,'Bespoke Speaker Intros'!$D:$F,3,false)</f>
        <v>0</v>
      </c>
      <c r="Z232" s="697"/>
      <c r="AA232" s="665"/>
      <c r="AB232" s="665"/>
      <c r="AC232" s="591"/>
      <c r="AE232" s="617"/>
      <c r="AF232" s="618"/>
      <c r="AG232" s="581"/>
    </row>
    <row r="233">
      <c r="A233" s="607"/>
      <c r="B233" s="608"/>
      <c r="C233" s="608"/>
      <c r="D233" s="589"/>
      <c r="E233" s="581"/>
      <c r="F233" s="581"/>
      <c r="G233" s="581"/>
      <c r="H233" s="581"/>
      <c r="I233" s="581"/>
      <c r="J233" s="708"/>
      <c r="K233" s="591"/>
      <c r="P233" s="592"/>
      <c r="R233" s="593"/>
      <c r="S233" s="525" t="s">
        <v>457</v>
      </c>
      <c r="T233" s="681" t="str">
        <f t="shared" si="20"/>
        <v/>
      </c>
      <c r="U233" s="681" t="str">
        <f t="shared" si="21"/>
        <v/>
      </c>
      <c r="V233" s="681" t="str">
        <f t="shared" si="22"/>
        <v/>
      </c>
      <c r="W233" s="682" t="str">
        <f t="shared" si="23"/>
        <v>NO LINK</v>
      </c>
      <c r="X233" s="705">
        <f>VLOOKUP($W233,'Bespoke Speaker Intros'!$D:$E,2,False)</f>
        <v>0</v>
      </c>
      <c r="Y233" s="681">
        <f>VLOOKUP($W233,'Bespoke Speaker Intros'!$D:$F,3,false)</f>
        <v>0</v>
      </c>
      <c r="Z233" s="697"/>
      <c r="AA233" s="665"/>
      <c r="AB233" s="665"/>
      <c r="AC233" s="591"/>
      <c r="AE233" s="617"/>
      <c r="AF233" s="618"/>
      <c r="AG233" s="581"/>
    </row>
    <row r="234">
      <c r="A234" s="607"/>
      <c r="B234" s="608"/>
      <c r="C234" s="608"/>
      <c r="D234" s="589"/>
      <c r="E234" s="581"/>
      <c r="F234" s="581"/>
      <c r="G234" s="581"/>
      <c r="H234" s="581"/>
      <c r="I234" s="581"/>
      <c r="J234" s="708"/>
      <c r="K234" s="591"/>
      <c r="P234" s="592"/>
      <c r="R234" s="593"/>
      <c r="S234" s="525" t="s">
        <v>457</v>
      </c>
      <c r="T234" s="681" t="str">
        <f t="shared" si="20"/>
        <v/>
      </c>
      <c r="U234" s="681" t="str">
        <f t="shared" si="21"/>
        <v/>
      </c>
      <c r="V234" s="681" t="str">
        <f t="shared" si="22"/>
        <v/>
      </c>
      <c r="W234" s="682" t="str">
        <f t="shared" si="23"/>
        <v>NO LINK</v>
      </c>
      <c r="X234" s="705">
        <f>VLOOKUP($W234,'Bespoke Speaker Intros'!$D:$E,2,False)</f>
        <v>0</v>
      </c>
      <c r="Y234" s="681">
        <f>VLOOKUP($W234,'Bespoke Speaker Intros'!$D:$F,3,false)</f>
        <v>0</v>
      </c>
      <c r="Z234" s="697"/>
      <c r="AA234" s="665"/>
      <c r="AB234" s="665"/>
      <c r="AC234" s="591"/>
      <c r="AE234" s="617"/>
      <c r="AF234" s="618"/>
      <c r="AG234" s="581"/>
    </row>
    <row r="235">
      <c r="A235" s="607"/>
      <c r="B235" s="608"/>
      <c r="C235" s="608"/>
      <c r="D235" s="589"/>
      <c r="E235" s="581"/>
      <c r="F235" s="581"/>
      <c r="G235" s="581"/>
      <c r="H235" s="581"/>
      <c r="I235" s="581"/>
      <c r="J235" s="708"/>
      <c r="K235" s="591"/>
      <c r="P235" s="592"/>
      <c r="R235" s="593"/>
      <c r="S235" s="525" t="s">
        <v>457</v>
      </c>
      <c r="T235" s="681" t="str">
        <f t="shared" si="20"/>
        <v/>
      </c>
      <c r="U235" s="681" t="str">
        <f t="shared" si="21"/>
        <v/>
      </c>
      <c r="V235" s="681" t="str">
        <f t="shared" si="22"/>
        <v/>
      </c>
      <c r="W235" s="682" t="str">
        <f t="shared" si="23"/>
        <v>NO LINK</v>
      </c>
      <c r="X235" s="705">
        <f>VLOOKUP($W235,'Bespoke Speaker Intros'!$D:$E,2,False)</f>
        <v>0</v>
      </c>
      <c r="Y235" s="681">
        <f>VLOOKUP($W235,'Bespoke Speaker Intros'!$D:$F,3,false)</f>
        <v>0</v>
      </c>
      <c r="Z235" s="697"/>
      <c r="AA235" s="665"/>
      <c r="AB235" s="665"/>
      <c r="AC235" s="591"/>
      <c r="AE235" s="617"/>
      <c r="AF235" s="618"/>
      <c r="AG235" s="581"/>
    </row>
    <row r="236">
      <c r="A236" s="607"/>
      <c r="B236" s="608"/>
      <c r="C236" s="608"/>
      <c r="D236" s="589"/>
      <c r="E236" s="581"/>
      <c r="F236" s="581"/>
      <c r="G236" s="581"/>
      <c r="H236" s="581"/>
      <c r="I236" s="581"/>
      <c r="J236" s="708"/>
      <c r="K236" s="591"/>
      <c r="P236" s="592"/>
      <c r="R236" s="593"/>
      <c r="S236" s="525" t="s">
        <v>457</v>
      </c>
      <c r="T236" s="681" t="str">
        <f t="shared" si="20"/>
        <v/>
      </c>
      <c r="U236" s="681" t="str">
        <f t="shared" si="21"/>
        <v/>
      </c>
      <c r="V236" s="681" t="str">
        <f t="shared" si="22"/>
        <v/>
      </c>
      <c r="W236" s="682" t="str">
        <f t="shared" si="23"/>
        <v>NO LINK</v>
      </c>
      <c r="X236" s="705">
        <f>VLOOKUP($W236,'Bespoke Speaker Intros'!$D:$E,2,False)</f>
        <v>0</v>
      </c>
      <c r="Y236" s="681">
        <f>VLOOKUP($W236,'Bespoke Speaker Intros'!$D:$F,3,false)</f>
        <v>0</v>
      </c>
      <c r="Z236" s="697"/>
      <c r="AA236" s="665"/>
      <c r="AB236" s="665"/>
      <c r="AC236" s="591"/>
      <c r="AE236" s="617"/>
      <c r="AF236" s="618"/>
      <c r="AG236" s="581"/>
    </row>
    <row r="237">
      <c r="A237" s="607"/>
      <c r="B237" s="608"/>
      <c r="C237" s="608"/>
      <c r="D237" s="589"/>
      <c r="E237" s="581"/>
      <c r="F237" s="581"/>
      <c r="G237" s="581"/>
      <c r="H237" s="581"/>
      <c r="I237" s="581"/>
      <c r="J237" s="708"/>
      <c r="K237" s="591"/>
      <c r="P237" s="592"/>
      <c r="R237" s="593"/>
      <c r="S237" s="525" t="s">
        <v>457</v>
      </c>
      <c r="T237" s="681" t="str">
        <f t="shared" si="20"/>
        <v/>
      </c>
      <c r="U237" s="681" t="str">
        <f t="shared" si="21"/>
        <v/>
      </c>
      <c r="V237" s="681" t="str">
        <f t="shared" si="22"/>
        <v/>
      </c>
      <c r="W237" s="682" t="str">
        <f t="shared" si="23"/>
        <v>NO LINK</v>
      </c>
      <c r="X237" s="705">
        <f>VLOOKUP($W237,'Bespoke Speaker Intros'!$D:$E,2,False)</f>
        <v>0</v>
      </c>
      <c r="Y237" s="681">
        <f>VLOOKUP($W237,'Bespoke Speaker Intros'!$D:$F,3,false)</f>
        <v>0</v>
      </c>
      <c r="Z237" s="697"/>
      <c r="AA237" s="665"/>
      <c r="AB237" s="665"/>
      <c r="AC237" s="591"/>
      <c r="AE237" s="617"/>
      <c r="AF237" s="618"/>
      <c r="AG237" s="581"/>
    </row>
    <row r="238">
      <c r="A238" s="607"/>
      <c r="B238" s="608"/>
      <c r="C238" s="608"/>
      <c r="D238" s="589"/>
      <c r="E238" s="581"/>
      <c r="F238" s="581"/>
      <c r="G238" s="581"/>
      <c r="H238" s="581"/>
      <c r="I238" s="581"/>
      <c r="J238" s="708"/>
      <c r="K238" s="591"/>
      <c r="P238" s="592"/>
      <c r="R238" s="593"/>
      <c r="S238" s="525" t="s">
        <v>457</v>
      </c>
      <c r="T238" s="681" t="str">
        <f t="shared" si="20"/>
        <v/>
      </c>
      <c r="U238" s="681" t="str">
        <f t="shared" si="21"/>
        <v/>
      </c>
      <c r="V238" s="681" t="str">
        <f t="shared" si="22"/>
        <v/>
      </c>
      <c r="W238" s="682" t="str">
        <f t="shared" si="23"/>
        <v>NO LINK</v>
      </c>
      <c r="X238" s="705">
        <f>VLOOKUP($W238,'Bespoke Speaker Intros'!$D:$E,2,False)</f>
        <v>0</v>
      </c>
      <c r="Y238" s="681">
        <f>VLOOKUP($W238,'Bespoke Speaker Intros'!$D:$F,3,false)</f>
        <v>0</v>
      </c>
      <c r="Z238" s="697"/>
      <c r="AA238" s="665"/>
      <c r="AB238" s="665"/>
      <c r="AC238" s="591"/>
      <c r="AE238" s="617"/>
      <c r="AF238" s="618"/>
      <c r="AG238" s="581"/>
    </row>
    <row r="239">
      <c r="A239" s="607"/>
      <c r="B239" s="608"/>
      <c r="C239" s="608"/>
      <c r="D239" s="589"/>
      <c r="E239" s="581"/>
      <c r="F239" s="581"/>
      <c r="G239" s="581"/>
      <c r="H239" s="581"/>
      <c r="I239" s="581"/>
      <c r="J239" s="708"/>
      <c r="K239" s="591"/>
      <c r="P239" s="592"/>
      <c r="R239" s="593"/>
      <c r="S239" s="525" t="s">
        <v>457</v>
      </c>
      <c r="T239" s="681" t="str">
        <f t="shared" si="20"/>
        <v/>
      </c>
      <c r="U239" s="681" t="str">
        <f t="shared" si="21"/>
        <v/>
      </c>
      <c r="V239" s="681" t="str">
        <f t="shared" si="22"/>
        <v/>
      </c>
      <c r="W239" s="682" t="str">
        <f t="shared" si="23"/>
        <v>NO LINK</v>
      </c>
      <c r="X239" s="705">
        <f>VLOOKUP($W239,'Bespoke Speaker Intros'!$D:$E,2,False)</f>
        <v>0</v>
      </c>
      <c r="Y239" s="681">
        <f>VLOOKUP($W239,'Bespoke Speaker Intros'!$D:$F,3,false)</f>
        <v>0</v>
      </c>
      <c r="Z239" s="697"/>
      <c r="AA239" s="665"/>
      <c r="AB239" s="665"/>
      <c r="AC239" s="591"/>
      <c r="AE239" s="617"/>
      <c r="AF239" s="618"/>
      <c r="AG239" s="581"/>
    </row>
    <row r="240">
      <c r="A240" s="607"/>
      <c r="B240" s="608"/>
      <c r="C240" s="608"/>
      <c r="D240" s="589"/>
      <c r="E240" s="581"/>
      <c r="F240" s="581"/>
      <c r="G240" s="581"/>
      <c r="H240" s="581"/>
      <c r="I240" s="581"/>
      <c r="J240" s="708"/>
      <c r="K240" s="591"/>
      <c r="P240" s="592"/>
      <c r="R240" s="593"/>
      <c r="S240" s="525" t="s">
        <v>457</v>
      </c>
      <c r="T240" s="681" t="str">
        <f t="shared" si="20"/>
        <v/>
      </c>
      <c r="U240" s="681" t="str">
        <f t="shared" si="21"/>
        <v/>
      </c>
      <c r="V240" s="681" t="str">
        <f t="shared" si="22"/>
        <v/>
      </c>
      <c r="W240" s="682" t="str">
        <f t="shared" si="23"/>
        <v>NO LINK</v>
      </c>
      <c r="X240" s="705">
        <f>VLOOKUP($W240,'Bespoke Speaker Intros'!$D:$E,2,False)</f>
        <v>0</v>
      </c>
      <c r="Y240" s="681">
        <f>VLOOKUP($W240,'Bespoke Speaker Intros'!$D:$F,3,false)</f>
        <v>0</v>
      </c>
      <c r="Z240" s="697"/>
      <c r="AA240" s="665"/>
      <c r="AB240" s="665"/>
      <c r="AC240" s="591"/>
      <c r="AE240" s="617"/>
      <c r="AF240" s="618"/>
      <c r="AG240" s="581"/>
    </row>
    <row r="241">
      <c r="A241" s="607"/>
      <c r="B241" s="608"/>
      <c r="C241" s="608"/>
      <c r="D241" s="589"/>
      <c r="E241" s="581"/>
      <c r="F241" s="581"/>
      <c r="G241" s="581"/>
      <c r="H241" s="581"/>
      <c r="I241" s="581"/>
      <c r="J241" s="708"/>
      <c r="K241" s="591"/>
      <c r="P241" s="592"/>
      <c r="R241" s="593"/>
      <c r="S241" s="525" t="s">
        <v>457</v>
      </c>
      <c r="T241" s="681" t="str">
        <f t="shared" si="20"/>
        <v/>
      </c>
      <c r="U241" s="681" t="str">
        <f t="shared" si="21"/>
        <v/>
      </c>
      <c r="V241" s="681" t="str">
        <f t="shared" si="22"/>
        <v/>
      </c>
      <c r="W241" s="682" t="str">
        <f t="shared" si="23"/>
        <v>NO LINK</v>
      </c>
      <c r="X241" s="705">
        <f>VLOOKUP($W241,'Bespoke Speaker Intros'!$D:$E,2,False)</f>
        <v>0</v>
      </c>
      <c r="Y241" s="681">
        <f>VLOOKUP($W241,'Bespoke Speaker Intros'!$D:$F,3,false)</f>
        <v>0</v>
      </c>
      <c r="Z241" s="697"/>
      <c r="AA241" s="665"/>
      <c r="AB241" s="665"/>
      <c r="AC241" s="591"/>
      <c r="AE241" s="617"/>
      <c r="AF241" s="618"/>
      <c r="AG241" s="581"/>
    </row>
    <row r="242">
      <c r="A242" s="607"/>
      <c r="B242" s="608"/>
      <c r="C242" s="608"/>
      <c r="D242" s="589"/>
      <c r="E242" s="581"/>
      <c r="F242" s="581"/>
      <c r="G242" s="581"/>
      <c r="H242" s="581"/>
      <c r="I242" s="581"/>
      <c r="J242" s="708"/>
      <c r="K242" s="591"/>
      <c r="P242" s="592"/>
      <c r="R242" s="593"/>
      <c r="S242" s="525" t="s">
        <v>457</v>
      </c>
      <c r="T242" s="681" t="str">
        <f t="shared" si="20"/>
        <v/>
      </c>
      <c r="U242" s="681" t="str">
        <f t="shared" si="21"/>
        <v/>
      </c>
      <c r="V242" s="681" t="str">
        <f t="shared" si="22"/>
        <v/>
      </c>
      <c r="W242" s="682" t="str">
        <f t="shared" si="23"/>
        <v>NO LINK</v>
      </c>
      <c r="X242" s="705">
        <f>VLOOKUP($W242,'Bespoke Speaker Intros'!$D:$E,2,False)</f>
        <v>0</v>
      </c>
      <c r="Y242" s="681">
        <f>VLOOKUP($W242,'Bespoke Speaker Intros'!$D:$F,3,false)</f>
        <v>0</v>
      </c>
      <c r="Z242" s="697"/>
      <c r="AA242" s="665"/>
      <c r="AB242" s="665"/>
      <c r="AC242" s="591"/>
      <c r="AE242" s="617"/>
      <c r="AF242" s="618"/>
      <c r="AG242" s="581"/>
    </row>
    <row r="243">
      <c r="A243" s="607"/>
      <c r="B243" s="608"/>
      <c r="C243" s="608"/>
      <c r="D243" s="589"/>
      <c r="E243" s="581"/>
      <c r="F243" s="581"/>
      <c r="G243" s="581"/>
      <c r="H243" s="581"/>
      <c r="I243" s="581"/>
      <c r="J243" s="708"/>
      <c r="K243" s="591"/>
      <c r="P243" s="592"/>
      <c r="R243" s="593"/>
      <c r="S243" s="525" t="s">
        <v>457</v>
      </c>
      <c r="T243" s="681" t="str">
        <f t="shared" si="20"/>
        <v/>
      </c>
      <c r="U243" s="681" t="str">
        <f t="shared" si="21"/>
        <v/>
      </c>
      <c r="V243" s="681" t="str">
        <f t="shared" si="22"/>
        <v/>
      </c>
      <c r="W243" s="682" t="str">
        <f t="shared" si="23"/>
        <v>NO LINK</v>
      </c>
      <c r="X243" s="705">
        <f>VLOOKUP($W243,'Bespoke Speaker Intros'!$D:$E,2,False)</f>
        <v>0</v>
      </c>
      <c r="Y243" s="681">
        <f>VLOOKUP($W243,'Bespoke Speaker Intros'!$D:$F,3,false)</f>
        <v>0</v>
      </c>
      <c r="Z243" s="697"/>
      <c r="AA243" s="665"/>
      <c r="AB243" s="665"/>
      <c r="AC243" s="591"/>
      <c r="AE243" s="617"/>
      <c r="AF243" s="618"/>
      <c r="AG243" s="581"/>
    </row>
    <row r="244">
      <c r="A244" s="607"/>
      <c r="B244" s="608"/>
      <c r="C244" s="608"/>
      <c r="D244" s="589"/>
      <c r="E244" s="581"/>
      <c r="F244" s="581"/>
      <c r="G244" s="581"/>
      <c r="H244" s="581"/>
      <c r="I244" s="581"/>
      <c r="J244" s="708"/>
      <c r="K244" s="591"/>
      <c r="P244" s="592"/>
      <c r="R244" s="593"/>
      <c r="S244" s="525" t="s">
        <v>457</v>
      </c>
      <c r="T244" s="681" t="str">
        <f t="shared" si="20"/>
        <v/>
      </c>
      <c r="U244" s="681" t="str">
        <f t="shared" si="21"/>
        <v/>
      </c>
      <c r="V244" s="681" t="str">
        <f t="shared" si="22"/>
        <v/>
      </c>
      <c r="W244" s="682" t="str">
        <f t="shared" si="23"/>
        <v>NO LINK</v>
      </c>
      <c r="X244" s="705">
        <f>VLOOKUP($W244,'Bespoke Speaker Intros'!$D:$E,2,False)</f>
        <v>0</v>
      </c>
      <c r="Y244" s="681">
        <f>VLOOKUP($W244,'Bespoke Speaker Intros'!$D:$F,3,false)</f>
        <v>0</v>
      </c>
      <c r="Z244" s="697"/>
      <c r="AA244" s="665"/>
      <c r="AB244" s="665"/>
      <c r="AC244" s="591"/>
      <c r="AE244" s="617"/>
      <c r="AF244" s="618"/>
      <c r="AG244" s="581"/>
    </row>
    <row r="245">
      <c r="A245" s="607"/>
      <c r="B245" s="608"/>
      <c r="C245" s="608"/>
      <c r="D245" s="589"/>
      <c r="E245" s="581"/>
      <c r="F245" s="581"/>
      <c r="G245" s="581"/>
      <c r="H245" s="581"/>
      <c r="I245" s="581"/>
      <c r="J245" s="708"/>
      <c r="K245" s="591"/>
      <c r="P245" s="592"/>
      <c r="R245" s="593"/>
      <c r="S245" s="525" t="s">
        <v>457</v>
      </c>
      <c r="T245" s="681" t="str">
        <f t="shared" si="20"/>
        <v/>
      </c>
      <c r="U245" s="681" t="str">
        <f t="shared" si="21"/>
        <v/>
      </c>
      <c r="V245" s="681" t="str">
        <f t="shared" si="22"/>
        <v/>
      </c>
      <c r="W245" s="682" t="str">
        <f t="shared" si="23"/>
        <v>NO LINK</v>
      </c>
      <c r="X245" s="705">
        <f>VLOOKUP($W245,'Bespoke Speaker Intros'!$D:$E,2,False)</f>
        <v>0</v>
      </c>
      <c r="Y245" s="681">
        <f>VLOOKUP($W245,'Bespoke Speaker Intros'!$D:$F,3,false)</f>
        <v>0</v>
      </c>
      <c r="Z245" s="697"/>
      <c r="AA245" s="665"/>
      <c r="AB245" s="665"/>
      <c r="AC245" s="591"/>
      <c r="AE245" s="617"/>
      <c r="AF245" s="618"/>
      <c r="AG245" s="581"/>
    </row>
    <row r="246">
      <c r="A246" s="607"/>
      <c r="B246" s="608"/>
      <c r="C246" s="608"/>
      <c r="D246" s="589"/>
      <c r="E246" s="581"/>
      <c r="F246" s="581"/>
      <c r="G246" s="581"/>
      <c r="H246" s="581"/>
      <c r="I246" s="581"/>
      <c r="J246" s="708"/>
      <c r="K246" s="591"/>
      <c r="P246" s="592"/>
      <c r="R246" s="593"/>
      <c r="S246" s="525" t="s">
        <v>457</v>
      </c>
      <c r="T246" s="681" t="str">
        <f t="shared" si="20"/>
        <v/>
      </c>
      <c r="U246" s="681" t="str">
        <f t="shared" si="21"/>
        <v/>
      </c>
      <c r="V246" s="681" t="str">
        <f t="shared" si="22"/>
        <v/>
      </c>
      <c r="W246" s="682" t="str">
        <f t="shared" si="23"/>
        <v>NO LINK</v>
      </c>
      <c r="X246" s="705">
        <f>VLOOKUP($W246,'Bespoke Speaker Intros'!$D:$E,2,False)</f>
        <v>0</v>
      </c>
      <c r="Y246" s="681">
        <f>VLOOKUP($W246,'Bespoke Speaker Intros'!$D:$F,3,false)</f>
        <v>0</v>
      </c>
      <c r="Z246" s="697"/>
      <c r="AA246" s="665"/>
      <c r="AB246" s="665"/>
      <c r="AC246" s="591"/>
      <c r="AE246" s="617"/>
      <c r="AF246" s="618"/>
      <c r="AG246" s="581"/>
    </row>
    <row r="247">
      <c r="A247" s="607"/>
      <c r="B247" s="608"/>
      <c r="C247" s="608"/>
      <c r="D247" s="589"/>
      <c r="E247" s="581"/>
      <c r="F247" s="581"/>
      <c r="G247" s="581"/>
      <c r="H247" s="581"/>
      <c r="I247" s="581"/>
      <c r="J247" s="708"/>
      <c r="K247" s="591"/>
      <c r="P247" s="592"/>
      <c r="R247" s="593"/>
      <c r="S247" s="525" t="s">
        <v>457</v>
      </c>
      <c r="T247" s="681" t="str">
        <f t="shared" si="20"/>
        <v/>
      </c>
      <c r="U247" s="681" t="str">
        <f t="shared" si="21"/>
        <v/>
      </c>
      <c r="V247" s="681" t="str">
        <f t="shared" si="22"/>
        <v/>
      </c>
      <c r="W247" s="682" t="str">
        <f t="shared" si="23"/>
        <v>NO LINK</v>
      </c>
      <c r="X247" s="705">
        <f>VLOOKUP($W247,'Bespoke Speaker Intros'!$D:$E,2,False)</f>
        <v>0</v>
      </c>
      <c r="Y247" s="681">
        <f>VLOOKUP($W247,'Bespoke Speaker Intros'!$D:$F,3,false)</f>
        <v>0</v>
      </c>
      <c r="Z247" s="697"/>
      <c r="AA247" s="665"/>
      <c r="AB247" s="665"/>
      <c r="AC247" s="591"/>
      <c r="AE247" s="617"/>
      <c r="AF247" s="618"/>
      <c r="AG247" s="581"/>
    </row>
    <row r="248">
      <c r="A248" s="607"/>
      <c r="B248" s="608"/>
      <c r="C248" s="608"/>
      <c r="D248" s="589"/>
      <c r="E248" s="581"/>
      <c r="F248" s="581"/>
      <c r="G248" s="581"/>
      <c r="H248" s="581"/>
      <c r="I248" s="581"/>
      <c r="J248" s="708"/>
      <c r="K248" s="591"/>
      <c r="P248" s="592"/>
      <c r="R248" s="593"/>
      <c r="S248" s="525" t="s">
        <v>457</v>
      </c>
      <c r="T248" s="681" t="str">
        <f t="shared" si="20"/>
        <v/>
      </c>
      <c r="U248" s="681" t="str">
        <f t="shared" si="21"/>
        <v/>
      </c>
      <c r="V248" s="681" t="str">
        <f t="shared" si="22"/>
        <v/>
      </c>
      <c r="W248" s="682" t="str">
        <f t="shared" si="23"/>
        <v>NO LINK</v>
      </c>
      <c r="X248" s="705">
        <f>VLOOKUP($W248,'Bespoke Speaker Intros'!$D:$E,2,False)</f>
        <v>0</v>
      </c>
      <c r="Y248" s="681">
        <f>VLOOKUP($W248,'Bespoke Speaker Intros'!$D:$F,3,false)</f>
        <v>0</v>
      </c>
      <c r="Z248" s="697"/>
      <c r="AA248" s="665"/>
      <c r="AB248" s="665"/>
      <c r="AC248" s="591"/>
      <c r="AE248" s="617"/>
      <c r="AF248" s="618"/>
      <c r="AG248" s="581"/>
    </row>
    <row r="249">
      <c r="A249" s="607"/>
      <c r="B249" s="608"/>
      <c r="C249" s="608"/>
      <c r="D249" s="589"/>
      <c r="E249" s="581"/>
      <c r="F249" s="581"/>
      <c r="G249" s="581"/>
      <c r="H249" s="581"/>
      <c r="I249" s="581"/>
      <c r="J249" s="708"/>
      <c r="K249" s="591"/>
      <c r="P249" s="592"/>
      <c r="R249" s="593"/>
      <c r="S249" s="525" t="s">
        <v>457</v>
      </c>
      <c r="T249" s="681" t="str">
        <f t="shared" si="20"/>
        <v/>
      </c>
      <c r="U249" s="681" t="str">
        <f t="shared" si="21"/>
        <v/>
      </c>
      <c r="V249" s="681" t="str">
        <f t="shared" si="22"/>
        <v/>
      </c>
      <c r="W249" s="682" t="str">
        <f t="shared" si="23"/>
        <v>NO LINK</v>
      </c>
      <c r="X249" s="705">
        <f>VLOOKUP($W249,'Bespoke Speaker Intros'!$D:$E,2,False)</f>
        <v>0</v>
      </c>
      <c r="Y249" s="681">
        <f>VLOOKUP($W249,'Bespoke Speaker Intros'!$D:$F,3,false)</f>
        <v>0</v>
      </c>
      <c r="Z249" s="697"/>
      <c r="AA249" s="665"/>
      <c r="AB249" s="665"/>
      <c r="AC249" s="591"/>
      <c r="AE249" s="617"/>
      <c r="AF249" s="618"/>
      <c r="AG249" s="581"/>
    </row>
    <row r="250">
      <c r="A250" s="607"/>
      <c r="B250" s="608"/>
      <c r="C250" s="608"/>
      <c r="D250" s="589"/>
      <c r="E250" s="581"/>
      <c r="F250" s="581"/>
      <c r="G250" s="581"/>
      <c r="H250" s="581"/>
      <c r="I250" s="581"/>
      <c r="J250" s="708"/>
      <c r="K250" s="591"/>
      <c r="P250" s="592"/>
      <c r="R250" s="593"/>
      <c r="S250" s="525" t="s">
        <v>457</v>
      </c>
      <c r="T250" s="681" t="str">
        <f t="shared" si="20"/>
        <v/>
      </c>
      <c r="U250" s="681" t="str">
        <f t="shared" si="21"/>
        <v/>
      </c>
      <c r="V250" s="681" t="str">
        <f t="shared" si="22"/>
        <v/>
      </c>
      <c r="W250" s="682" t="str">
        <f t="shared" si="23"/>
        <v>NO LINK</v>
      </c>
      <c r="X250" s="705">
        <f>VLOOKUP($W250,'Bespoke Speaker Intros'!$D:$E,2,False)</f>
        <v>0</v>
      </c>
      <c r="Y250" s="681">
        <f>VLOOKUP($W250,'Bespoke Speaker Intros'!$D:$F,3,false)</f>
        <v>0</v>
      </c>
      <c r="Z250" s="697"/>
      <c r="AA250" s="665"/>
      <c r="AB250" s="665"/>
      <c r="AC250" s="591"/>
      <c r="AE250" s="617"/>
      <c r="AF250" s="618"/>
      <c r="AG250" s="581"/>
    </row>
    <row r="251">
      <c r="A251" s="607"/>
      <c r="B251" s="608"/>
      <c r="C251" s="608"/>
      <c r="D251" s="589"/>
      <c r="E251" s="581"/>
      <c r="F251" s="581"/>
      <c r="G251" s="581"/>
      <c r="H251" s="581"/>
      <c r="I251" s="581"/>
      <c r="J251" s="708"/>
      <c r="K251" s="591"/>
      <c r="P251" s="592"/>
      <c r="R251" s="593"/>
      <c r="S251" s="525" t="s">
        <v>457</v>
      </c>
      <c r="T251" s="681" t="str">
        <f t="shared" si="20"/>
        <v/>
      </c>
      <c r="U251" s="681" t="str">
        <f t="shared" si="21"/>
        <v/>
      </c>
      <c r="V251" s="681" t="str">
        <f t="shared" si="22"/>
        <v/>
      </c>
      <c r="W251" s="682" t="str">
        <f t="shared" si="23"/>
        <v>NO LINK</v>
      </c>
      <c r="X251" s="705">
        <f>VLOOKUP($W251,'Bespoke Speaker Intros'!$D:$E,2,False)</f>
        <v>0</v>
      </c>
      <c r="Y251" s="681">
        <f>VLOOKUP($W251,'Bespoke Speaker Intros'!$D:$F,3,false)</f>
        <v>0</v>
      </c>
      <c r="Z251" s="697"/>
      <c r="AA251" s="665"/>
      <c r="AB251" s="665"/>
      <c r="AC251" s="591"/>
      <c r="AE251" s="617"/>
      <c r="AF251" s="618"/>
      <c r="AG251" s="581"/>
    </row>
    <row r="252">
      <c r="A252" s="607"/>
      <c r="B252" s="608"/>
      <c r="C252" s="608"/>
      <c r="D252" s="589"/>
      <c r="E252" s="581"/>
      <c r="F252" s="581"/>
      <c r="G252" s="581"/>
      <c r="H252" s="581"/>
      <c r="I252" s="581"/>
      <c r="J252" s="708"/>
      <c r="K252" s="591"/>
      <c r="P252" s="592"/>
      <c r="R252" s="593"/>
      <c r="S252" s="525" t="s">
        <v>457</v>
      </c>
      <c r="T252" s="681" t="str">
        <f t="shared" si="20"/>
        <v/>
      </c>
      <c r="U252" s="681" t="str">
        <f t="shared" si="21"/>
        <v/>
      </c>
      <c r="V252" s="681" t="str">
        <f t="shared" si="22"/>
        <v/>
      </c>
      <c r="W252" s="682" t="str">
        <f t="shared" si="23"/>
        <v>NO LINK</v>
      </c>
      <c r="X252" s="705">
        <f>VLOOKUP($W252,'Bespoke Speaker Intros'!$D:$E,2,False)</f>
        <v>0</v>
      </c>
      <c r="Y252" s="681">
        <f>VLOOKUP($W252,'Bespoke Speaker Intros'!$D:$F,3,false)</f>
        <v>0</v>
      </c>
      <c r="Z252" s="697"/>
      <c r="AA252" s="665"/>
      <c r="AB252" s="665"/>
      <c r="AC252" s="591"/>
      <c r="AE252" s="617"/>
      <c r="AF252" s="618"/>
      <c r="AG252" s="581"/>
    </row>
    <row r="253">
      <c r="A253" s="607"/>
      <c r="B253" s="608"/>
      <c r="C253" s="608"/>
      <c r="D253" s="589"/>
      <c r="E253" s="581"/>
      <c r="F253" s="581"/>
      <c r="G253" s="581"/>
      <c r="H253" s="581"/>
      <c r="I253" s="581"/>
      <c r="J253" s="708"/>
      <c r="K253" s="591"/>
      <c r="P253" s="592"/>
      <c r="R253" s="593"/>
      <c r="S253" s="525" t="s">
        <v>457</v>
      </c>
      <c r="T253" s="681" t="str">
        <f t="shared" si="20"/>
        <v/>
      </c>
      <c r="U253" s="681" t="str">
        <f t="shared" si="21"/>
        <v/>
      </c>
      <c r="V253" s="681" t="str">
        <f t="shared" si="22"/>
        <v/>
      </c>
      <c r="W253" s="682" t="str">
        <f t="shared" si="23"/>
        <v>NO LINK</v>
      </c>
      <c r="X253" s="705">
        <f>VLOOKUP($W253,'Bespoke Speaker Intros'!$D:$E,2,False)</f>
        <v>0</v>
      </c>
      <c r="Y253" s="681">
        <f>VLOOKUP($W253,'Bespoke Speaker Intros'!$D:$F,3,false)</f>
        <v>0</v>
      </c>
      <c r="Z253" s="697"/>
      <c r="AA253" s="665"/>
      <c r="AB253" s="665"/>
      <c r="AC253" s="591"/>
      <c r="AE253" s="617"/>
      <c r="AF253" s="618"/>
      <c r="AG253" s="581"/>
    </row>
    <row r="254">
      <c r="A254" s="607"/>
      <c r="B254" s="608"/>
      <c r="C254" s="608"/>
      <c r="D254" s="589"/>
      <c r="E254" s="581"/>
      <c r="F254" s="581"/>
      <c r="G254" s="581"/>
      <c r="H254" s="581"/>
      <c r="I254" s="581"/>
      <c r="J254" s="708"/>
      <c r="K254" s="591"/>
      <c r="P254" s="592"/>
      <c r="R254" s="593"/>
      <c r="S254" s="525" t="s">
        <v>457</v>
      </c>
      <c r="T254" s="681" t="str">
        <f t="shared" si="20"/>
        <v/>
      </c>
      <c r="U254" s="681" t="str">
        <f t="shared" si="21"/>
        <v/>
      </c>
      <c r="V254" s="681" t="str">
        <f t="shared" si="22"/>
        <v/>
      </c>
      <c r="W254" s="682" t="str">
        <f t="shared" si="23"/>
        <v>NO LINK</v>
      </c>
      <c r="X254" s="705">
        <f>VLOOKUP($W254,'Bespoke Speaker Intros'!$D:$E,2,False)</f>
        <v>0</v>
      </c>
      <c r="Y254" s="681">
        <f>VLOOKUP($W254,'Bespoke Speaker Intros'!$D:$F,3,false)</f>
        <v>0</v>
      </c>
      <c r="Z254" s="697"/>
      <c r="AA254" s="665"/>
      <c r="AB254" s="665"/>
      <c r="AC254" s="591"/>
      <c r="AE254" s="617"/>
      <c r="AF254" s="618"/>
      <c r="AG254" s="581"/>
    </row>
    <row r="255">
      <c r="A255" s="607"/>
      <c r="B255" s="608"/>
      <c r="C255" s="608"/>
      <c r="D255" s="589"/>
      <c r="E255" s="581"/>
      <c r="F255" s="581"/>
      <c r="G255" s="581"/>
      <c r="H255" s="581"/>
      <c r="I255" s="581"/>
      <c r="J255" s="708"/>
      <c r="K255" s="591"/>
      <c r="P255" s="592"/>
      <c r="R255" s="593"/>
      <c r="S255" s="525" t="s">
        <v>457</v>
      </c>
      <c r="T255" s="681" t="str">
        <f t="shared" si="20"/>
        <v/>
      </c>
      <c r="U255" s="681" t="str">
        <f t="shared" si="21"/>
        <v/>
      </c>
      <c r="V255" s="681" t="str">
        <f t="shared" si="22"/>
        <v/>
      </c>
      <c r="W255" s="682" t="str">
        <f t="shared" si="23"/>
        <v>NO LINK</v>
      </c>
      <c r="X255" s="705">
        <f>VLOOKUP($W255,'Bespoke Speaker Intros'!$D:$E,2,False)</f>
        <v>0</v>
      </c>
      <c r="Y255" s="681">
        <f>VLOOKUP($W255,'Bespoke Speaker Intros'!$D:$F,3,false)</f>
        <v>0</v>
      </c>
      <c r="Z255" s="697"/>
      <c r="AA255" s="665"/>
      <c r="AB255" s="665"/>
      <c r="AC255" s="591"/>
      <c r="AE255" s="617"/>
      <c r="AF255" s="618"/>
      <c r="AG255" s="581"/>
    </row>
    <row r="256">
      <c r="A256" s="607"/>
      <c r="B256" s="608"/>
      <c r="C256" s="608"/>
      <c r="D256" s="589"/>
      <c r="E256" s="581"/>
      <c r="F256" s="581"/>
      <c r="G256" s="581"/>
      <c r="H256" s="581"/>
      <c r="I256" s="581"/>
      <c r="J256" s="708"/>
      <c r="K256" s="591"/>
      <c r="P256" s="592"/>
      <c r="R256" s="593"/>
      <c r="S256" s="525" t="s">
        <v>457</v>
      </c>
      <c r="T256" s="681" t="str">
        <f t="shared" si="20"/>
        <v/>
      </c>
      <c r="U256" s="681" t="str">
        <f t="shared" si="21"/>
        <v/>
      </c>
      <c r="V256" s="681" t="str">
        <f t="shared" si="22"/>
        <v/>
      </c>
      <c r="W256" s="682" t="str">
        <f t="shared" si="23"/>
        <v>NO LINK</v>
      </c>
      <c r="X256" s="705">
        <f>VLOOKUP($W256,'Bespoke Speaker Intros'!$D:$E,2,False)</f>
        <v>0</v>
      </c>
      <c r="Y256" s="681">
        <f>VLOOKUP($W256,'Bespoke Speaker Intros'!$D:$F,3,false)</f>
        <v>0</v>
      </c>
      <c r="Z256" s="697"/>
      <c r="AA256" s="665"/>
      <c r="AB256" s="665"/>
      <c r="AC256" s="591"/>
      <c r="AE256" s="617"/>
      <c r="AF256" s="618"/>
      <c r="AG256" s="581"/>
    </row>
    <row r="257">
      <c r="A257" s="607"/>
      <c r="B257" s="608"/>
      <c r="C257" s="608"/>
      <c r="D257" s="589"/>
      <c r="E257" s="581"/>
      <c r="F257" s="581"/>
      <c r="G257" s="581"/>
      <c r="H257" s="581"/>
      <c r="I257" s="581"/>
      <c r="J257" s="708"/>
      <c r="K257" s="591"/>
      <c r="P257" s="592"/>
      <c r="R257" s="593"/>
      <c r="S257" s="525" t="s">
        <v>457</v>
      </c>
      <c r="T257" s="681" t="str">
        <f t="shared" si="20"/>
        <v/>
      </c>
      <c r="U257" s="681" t="str">
        <f t="shared" si="21"/>
        <v/>
      </c>
      <c r="V257" s="681" t="str">
        <f t="shared" si="22"/>
        <v/>
      </c>
      <c r="W257" s="682" t="str">
        <f t="shared" si="23"/>
        <v>NO LINK</v>
      </c>
      <c r="X257" s="705">
        <f>VLOOKUP($W257,'Bespoke Speaker Intros'!$D:$E,2,False)</f>
        <v>0</v>
      </c>
      <c r="Y257" s="681">
        <f>VLOOKUP($W257,'Bespoke Speaker Intros'!$D:$F,3,false)</f>
        <v>0</v>
      </c>
      <c r="Z257" s="697"/>
      <c r="AA257" s="665"/>
      <c r="AB257" s="665"/>
      <c r="AC257" s="591"/>
      <c r="AE257" s="617"/>
      <c r="AF257" s="618"/>
      <c r="AG257" s="581"/>
    </row>
    <row r="258">
      <c r="A258" s="607"/>
      <c r="B258" s="608"/>
      <c r="C258" s="608"/>
      <c r="D258" s="589"/>
      <c r="E258" s="581"/>
      <c r="F258" s="581"/>
      <c r="G258" s="581"/>
      <c r="H258" s="581"/>
      <c r="I258" s="581"/>
      <c r="J258" s="708"/>
      <c r="K258" s="591"/>
      <c r="P258" s="592"/>
      <c r="R258" s="593"/>
      <c r="S258" s="525" t="s">
        <v>457</v>
      </c>
      <c r="T258" s="681" t="str">
        <f t="shared" si="20"/>
        <v/>
      </c>
      <c r="U258" s="681" t="str">
        <f t="shared" si="21"/>
        <v/>
      </c>
      <c r="V258" s="681" t="str">
        <f t="shared" si="22"/>
        <v/>
      </c>
      <c r="W258" s="682" t="str">
        <f t="shared" si="23"/>
        <v>NO LINK</v>
      </c>
      <c r="X258" s="705">
        <f>VLOOKUP($W258,'Bespoke Speaker Intros'!$D:$E,2,False)</f>
        <v>0</v>
      </c>
      <c r="Y258" s="681">
        <f>VLOOKUP($W258,'Bespoke Speaker Intros'!$D:$F,3,false)</f>
        <v>0</v>
      </c>
      <c r="Z258" s="697"/>
      <c r="AA258" s="665"/>
      <c r="AB258" s="665"/>
      <c r="AC258" s="591"/>
      <c r="AE258" s="617"/>
      <c r="AF258" s="618"/>
      <c r="AG258" s="581"/>
    </row>
    <row r="259">
      <c r="A259" s="607"/>
      <c r="B259" s="608"/>
      <c r="C259" s="608"/>
      <c r="D259" s="589"/>
      <c r="E259" s="581"/>
      <c r="F259" s="581"/>
      <c r="G259" s="581"/>
      <c r="H259" s="581"/>
      <c r="I259" s="581"/>
      <c r="J259" s="708"/>
      <c r="K259" s="591"/>
      <c r="P259" s="592"/>
      <c r="R259" s="593"/>
      <c r="S259" s="525" t="s">
        <v>457</v>
      </c>
      <c r="T259" s="681" t="str">
        <f t="shared" si="20"/>
        <v/>
      </c>
      <c r="U259" s="681" t="str">
        <f t="shared" si="21"/>
        <v/>
      </c>
      <c r="V259" s="681" t="str">
        <f t="shared" si="22"/>
        <v/>
      </c>
      <c r="W259" s="682" t="str">
        <f t="shared" si="23"/>
        <v>NO LINK</v>
      </c>
      <c r="X259" s="705">
        <f>VLOOKUP($W259,'Bespoke Speaker Intros'!$D:$E,2,False)</f>
        <v>0</v>
      </c>
      <c r="Y259" s="681">
        <f>VLOOKUP($W259,'Bespoke Speaker Intros'!$D:$F,3,false)</f>
        <v>0</v>
      </c>
      <c r="Z259" s="697"/>
      <c r="AA259" s="665"/>
      <c r="AB259" s="665"/>
      <c r="AC259" s="591"/>
      <c r="AE259" s="617"/>
      <c r="AF259" s="618"/>
      <c r="AG259" s="581"/>
    </row>
    <row r="260">
      <c r="A260" s="607"/>
      <c r="B260" s="608"/>
      <c r="C260" s="608"/>
      <c r="D260" s="589"/>
      <c r="E260" s="581"/>
      <c r="F260" s="581"/>
      <c r="G260" s="581"/>
      <c r="H260" s="581"/>
      <c r="I260" s="581"/>
      <c r="J260" s="708"/>
      <c r="K260" s="591"/>
      <c r="P260" s="592"/>
      <c r="R260" s="593"/>
      <c r="S260" s="525" t="s">
        <v>457</v>
      </c>
      <c r="T260" s="681" t="str">
        <f t="shared" si="20"/>
        <v/>
      </c>
      <c r="U260" s="681" t="str">
        <f t="shared" si="21"/>
        <v/>
      </c>
      <c r="V260" s="681" t="str">
        <f t="shared" si="22"/>
        <v/>
      </c>
      <c r="W260" s="682" t="str">
        <f t="shared" si="23"/>
        <v>NO LINK</v>
      </c>
      <c r="X260" s="705">
        <f>VLOOKUP($W260,'Bespoke Speaker Intros'!$D:$E,2,False)</f>
        <v>0</v>
      </c>
      <c r="Y260" s="681">
        <f>VLOOKUP($W260,'Bespoke Speaker Intros'!$D:$F,3,false)</f>
        <v>0</v>
      </c>
      <c r="Z260" s="697"/>
      <c r="AA260" s="665"/>
      <c r="AB260" s="665"/>
      <c r="AC260" s="591"/>
      <c r="AE260" s="617"/>
      <c r="AF260" s="618"/>
      <c r="AG260" s="581"/>
    </row>
    <row r="261">
      <c r="A261" s="607"/>
      <c r="B261" s="608"/>
      <c r="C261" s="608"/>
      <c r="D261" s="589"/>
      <c r="E261" s="581"/>
      <c r="F261" s="581"/>
      <c r="G261" s="581"/>
      <c r="H261" s="581"/>
      <c r="I261" s="581"/>
      <c r="J261" s="708"/>
      <c r="K261" s="591"/>
      <c r="P261" s="592"/>
      <c r="R261" s="593"/>
      <c r="S261" s="525" t="s">
        <v>457</v>
      </c>
      <c r="T261" s="681" t="str">
        <f t="shared" si="20"/>
        <v/>
      </c>
      <c r="U261" s="681" t="str">
        <f t="shared" si="21"/>
        <v/>
      </c>
      <c r="V261" s="681" t="str">
        <f t="shared" si="22"/>
        <v/>
      </c>
      <c r="W261" s="682" t="str">
        <f t="shared" si="23"/>
        <v>NO LINK</v>
      </c>
      <c r="X261" s="705">
        <f>VLOOKUP($W261,'Bespoke Speaker Intros'!$D:$E,2,False)</f>
        <v>0</v>
      </c>
      <c r="Y261" s="681">
        <f>VLOOKUP($W261,'Bespoke Speaker Intros'!$D:$F,3,false)</f>
        <v>0</v>
      </c>
      <c r="Z261" s="697"/>
      <c r="AA261" s="665"/>
      <c r="AB261" s="665"/>
      <c r="AC261" s="591"/>
      <c r="AE261" s="617"/>
      <c r="AF261" s="618"/>
      <c r="AG261" s="581"/>
    </row>
    <row r="262">
      <c r="A262" s="607"/>
      <c r="B262" s="608"/>
      <c r="C262" s="608"/>
      <c r="D262" s="589"/>
      <c r="E262" s="581"/>
      <c r="F262" s="581"/>
      <c r="G262" s="581"/>
      <c r="H262" s="581"/>
      <c r="I262" s="581"/>
      <c r="J262" s="708"/>
      <c r="K262" s="591"/>
      <c r="P262" s="592"/>
      <c r="R262" s="593"/>
      <c r="S262" s="525" t="s">
        <v>457</v>
      </c>
      <c r="T262" s="681" t="str">
        <f t="shared" si="20"/>
        <v/>
      </c>
      <c r="U262" s="681" t="str">
        <f t="shared" si="21"/>
        <v/>
      </c>
      <c r="V262" s="681" t="str">
        <f t="shared" si="22"/>
        <v/>
      </c>
      <c r="W262" s="682" t="str">
        <f t="shared" si="23"/>
        <v>NO LINK</v>
      </c>
      <c r="X262" s="705">
        <f>VLOOKUP($W262,'Bespoke Speaker Intros'!$D:$E,2,False)</f>
        <v>0</v>
      </c>
      <c r="Y262" s="681">
        <f>VLOOKUP($W262,'Bespoke Speaker Intros'!$D:$F,3,false)</f>
        <v>0</v>
      </c>
      <c r="Z262" s="697"/>
      <c r="AA262" s="665"/>
      <c r="AB262" s="665"/>
      <c r="AC262" s="591"/>
      <c r="AE262" s="617"/>
      <c r="AF262" s="618"/>
      <c r="AG262" s="581"/>
    </row>
    <row r="263">
      <c r="A263" s="607"/>
      <c r="B263" s="608"/>
      <c r="C263" s="608"/>
      <c r="D263" s="589"/>
      <c r="E263" s="581"/>
      <c r="F263" s="581"/>
      <c r="G263" s="581"/>
      <c r="H263" s="581"/>
      <c r="I263" s="581"/>
      <c r="J263" s="708"/>
      <c r="K263" s="591"/>
      <c r="P263" s="592"/>
      <c r="R263" s="593"/>
      <c r="S263" s="525" t="s">
        <v>457</v>
      </c>
      <c r="T263" s="681" t="str">
        <f t="shared" si="20"/>
        <v/>
      </c>
      <c r="U263" s="681" t="str">
        <f t="shared" si="21"/>
        <v/>
      </c>
      <c r="V263" s="681" t="str">
        <f t="shared" si="22"/>
        <v/>
      </c>
      <c r="W263" s="682" t="str">
        <f t="shared" si="23"/>
        <v>NO LINK</v>
      </c>
      <c r="X263" s="705">
        <f>VLOOKUP($W263,'Bespoke Speaker Intros'!$D:$E,2,False)</f>
        <v>0</v>
      </c>
      <c r="Y263" s="681">
        <f>VLOOKUP($W263,'Bespoke Speaker Intros'!$D:$F,3,false)</f>
        <v>0</v>
      </c>
      <c r="Z263" s="697"/>
      <c r="AA263" s="665"/>
      <c r="AB263" s="665"/>
      <c r="AC263" s="591"/>
      <c r="AE263" s="617"/>
      <c r="AF263" s="618"/>
      <c r="AG263" s="581"/>
    </row>
    <row r="264">
      <c r="A264" s="607"/>
      <c r="B264" s="608"/>
      <c r="C264" s="608"/>
      <c r="D264" s="589"/>
      <c r="E264" s="581"/>
      <c r="F264" s="581"/>
      <c r="G264" s="581"/>
      <c r="H264" s="581"/>
      <c r="I264" s="581"/>
      <c r="J264" s="708"/>
      <c r="K264" s="591"/>
      <c r="P264" s="592"/>
      <c r="R264" s="593"/>
      <c r="S264" s="525" t="s">
        <v>457</v>
      </c>
      <c r="T264" s="681" t="str">
        <f t="shared" si="20"/>
        <v/>
      </c>
      <c r="U264" s="681" t="str">
        <f t="shared" si="21"/>
        <v/>
      </c>
      <c r="V264" s="681" t="str">
        <f t="shared" si="22"/>
        <v/>
      </c>
      <c r="W264" s="682" t="str">
        <f t="shared" si="23"/>
        <v>NO LINK</v>
      </c>
      <c r="X264" s="705">
        <f>VLOOKUP($W264,'Bespoke Speaker Intros'!$D:$E,2,False)</f>
        <v>0</v>
      </c>
      <c r="Y264" s="681">
        <f>VLOOKUP($W264,'Bespoke Speaker Intros'!$D:$F,3,false)</f>
        <v>0</v>
      </c>
      <c r="Z264" s="697"/>
      <c r="AA264" s="665"/>
      <c r="AB264" s="665"/>
      <c r="AC264" s="591"/>
      <c r="AE264" s="617"/>
      <c r="AF264" s="618"/>
      <c r="AG264" s="581"/>
    </row>
    <row r="265">
      <c r="A265" s="607"/>
      <c r="B265" s="608"/>
      <c r="C265" s="608"/>
      <c r="D265" s="589"/>
      <c r="E265" s="581"/>
      <c r="F265" s="581"/>
      <c r="G265" s="581"/>
      <c r="H265" s="581"/>
      <c r="I265" s="581"/>
      <c r="J265" s="708"/>
      <c r="K265" s="591"/>
      <c r="P265" s="592"/>
      <c r="R265" s="593"/>
      <c r="S265" s="525" t="s">
        <v>457</v>
      </c>
      <c r="T265" s="681" t="str">
        <f t="shared" si="20"/>
        <v/>
      </c>
      <c r="U265" s="681" t="str">
        <f t="shared" si="21"/>
        <v/>
      </c>
      <c r="V265" s="681" t="str">
        <f t="shared" si="22"/>
        <v/>
      </c>
      <c r="W265" s="682" t="str">
        <f t="shared" si="23"/>
        <v>NO LINK</v>
      </c>
      <c r="X265" s="705">
        <f>VLOOKUP($W265,'Bespoke Speaker Intros'!$D:$E,2,False)</f>
        <v>0</v>
      </c>
      <c r="Y265" s="681">
        <f>VLOOKUP($W265,'Bespoke Speaker Intros'!$D:$F,3,false)</f>
        <v>0</v>
      </c>
      <c r="Z265" s="697"/>
      <c r="AA265" s="665"/>
      <c r="AB265" s="665"/>
      <c r="AC265" s="591"/>
      <c r="AE265" s="617"/>
      <c r="AF265" s="618"/>
      <c r="AG265" s="581"/>
    </row>
    <row r="266">
      <c r="A266" s="607"/>
      <c r="B266" s="608"/>
      <c r="C266" s="608"/>
      <c r="D266" s="589"/>
      <c r="E266" s="581"/>
      <c r="F266" s="581"/>
      <c r="G266" s="581"/>
      <c r="H266" s="581"/>
      <c r="I266" s="581"/>
      <c r="J266" s="708"/>
      <c r="K266" s="591"/>
      <c r="P266" s="592"/>
      <c r="R266" s="593"/>
      <c r="S266" s="525" t="s">
        <v>457</v>
      </c>
      <c r="T266" s="681" t="str">
        <f t="shared" si="20"/>
        <v/>
      </c>
      <c r="U266" s="681" t="str">
        <f t="shared" si="21"/>
        <v/>
      </c>
      <c r="V266" s="681" t="str">
        <f t="shared" si="22"/>
        <v/>
      </c>
      <c r="W266" s="682" t="str">
        <f t="shared" si="23"/>
        <v>NO LINK</v>
      </c>
      <c r="X266" s="705">
        <f>VLOOKUP($W266,'Bespoke Speaker Intros'!$D:$E,2,False)</f>
        <v>0</v>
      </c>
      <c r="Y266" s="681">
        <f>VLOOKUP($W266,'Bespoke Speaker Intros'!$D:$F,3,false)</f>
        <v>0</v>
      </c>
      <c r="Z266" s="697"/>
      <c r="AA266" s="665"/>
      <c r="AB266" s="665"/>
      <c r="AC266" s="591"/>
      <c r="AE266" s="617"/>
      <c r="AF266" s="618"/>
      <c r="AG266" s="581"/>
    </row>
    <row r="267">
      <c r="A267" s="607"/>
      <c r="B267" s="608"/>
      <c r="C267" s="608"/>
      <c r="D267" s="589"/>
      <c r="E267" s="581"/>
      <c r="F267" s="581"/>
      <c r="G267" s="581"/>
      <c r="H267" s="581"/>
      <c r="I267" s="581"/>
      <c r="J267" s="708"/>
      <c r="K267" s="591"/>
      <c r="P267" s="592"/>
      <c r="R267" s="593"/>
      <c r="S267" s="525" t="s">
        <v>457</v>
      </c>
      <c r="T267" s="681" t="str">
        <f t="shared" si="20"/>
        <v/>
      </c>
      <c r="U267" s="681" t="str">
        <f t="shared" si="21"/>
        <v/>
      </c>
      <c r="V267" s="681" t="str">
        <f t="shared" si="22"/>
        <v/>
      </c>
      <c r="W267" s="682" t="str">
        <f t="shared" si="23"/>
        <v>NO LINK</v>
      </c>
      <c r="X267" s="705">
        <f>VLOOKUP($W267,'Bespoke Speaker Intros'!$D:$E,2,False)</f>
        <v>0</v>
      </c>
      <c r="Y267" s="681">
        <f>VLOOKUP($W267,'Bespoke Speaker Intros'!$D:$F,3,false)</f>
        <v>0</v>
      </c>
      <c r="Z267" s="697"/>
      <c r="AA267" s="665"/>
      <c r="AB267" s="665"/>
      <c r="AC267" s="591"/>
      <c r="AE267" s="617"/>
      <c r="AF267" s="618"/>
      <c r="AG267" s="581"/>
    </row>
    <row r="268">
      <c r="A268" s="607"/>
      <c r="B268" s="608"/>
      <c r="C268" s="608"/>
      <c r="D268" s="589"/>
      <c r="E268" s="581"/>
      <c r="F268" s="581"/>
      <c r="G268" s="581"/>
      <c r="H268" s="581"/>
      <c r="I268" s="581"/>
      <c r="J268" s="708"/>
      <c r="K268" s="591"/>
      <c r="P268" s="592"/>
      <c r="R268" s="593"/>
      <c r="S268" s="525" t="s">
        <v>457</v>
      </c>
      <c r="T268" s="681" t="str">
        <f t="shared" si="20"/>
        <v/>
      </c>
      <c r="U268" s="681" t="str">
        <f t="shared" si="21"/>
        <v/>
      </c>
      <c r="V268" s="681" t="str">
        <f t="shared" si="22"/>
        <v/>
      </c>
      <c r="W268" s="682" t="str">
        <f t="shared" si="23"/>
        <v>NO LINK</v>
      </c>
      <c r="X268" s="705">
        <f>VLOOKUP($W268,'Bespoke Speaker Intros'!$D:$E,2,False)</f>
        <v>0</v>
      </c>
      <c r="Y268" s="681">
        <f>VLOOKUP($W268,'Bespoke Speaker Intros'!$D:$F,3,false)</f>
        <v>0</v>
      </c>
      <c r="Z268" s="697"/>
      <c r="AA268" s="665"/>
      <c r="AB268" s="665"/>
      <c r="AC268" s="591"/>
      <c r="AE268" s="617"/>
      <c r="AF268" s="618"/>
      <c r="AG268" s="581"/>
    </row>
    <row r="269">
      <c r="A269" s="607"/>
      <c r="B269" s="608"/>
      <c r="C269" s="608"/>
      <c r="D269" s="589"/>
      <c r="E269" s="581"/>
      <c r="F269" s="581"/>
      <c r="G269" s="581"/>
      <c r="H269" s="581"/>
      <c r="I269" s="581"/>
      <c r="J269" s="708"/>
      <c r="K269" s="591"/>
      <c r="P269" s="592"/>
      <c r="R269" s="593"/>
      <c r="S269" s="525" t="s">
        <v>457</v>
      </c>
      <c r="T269" s="681" t="str">
        <f t="shared" si="20"/>
        <v/>
      </c>
      <c r="U269" s="681" t="str">
        <f t="shared" si="21"/>
        <v/>
      </c>
      <c r="V269" s="681" t="str">
        <f t="shared" si="22"/>
        <v/>
      </c>
      <c r="W269" s="682" t="str">
        <f t="shared" si="23"/>
        <v>NO LINK</v>
      </c>
      <c r="X269" s="705">
        <f>VLOOKUP($W269,'Bespoke Speaker Intros'!$D:$E,2,False)</f>
        <v>0</v>
      </c>
      <c r="Y269" s="681">
        <f>VLOOKUP($W269,'Bespoke Speaker Intros'!$D:$F,3,false)</f>
        <v>0</v>
      </c>
      <c r="Z269" s="697"/>
      <c r="AA269" s="665"/>
      <c r="AB269" s="665"/>
      <c r="AC269" s="591"/>
      <c r="AE269" s="617"/>
      <c r="AF269" s="618"/>
      <c r="AG269" s="581"/>
    </row>
    <row r="270">
      <c r="A270" s="607"/>
      <c r="B270" s="608"/>
      <c r="C270" s="608"/>
      <c r="D270" s="589"/>
      <c r="E270" s="581"/>
      <c r="F270" s="581"/>
      <c r="G270" s="581"/>
      <c r="H270" s="581"/>
      <c r="I270" s="581"/>
      <c r="J270" s="708"/>
      <c r="K270" s="591"/>
      <c r="P270" s="592"/>
      <c r="R270" s="593"/>
      <c r="S270" s="525" t="s">
        <v>457</v>
      </c>
      <c r="T270" s="681" t="str">
        <f t="shared" si="20"/>
        <v/>
      </c>
      <c r="U270" s="681" t="str">
        <f t="shared" si="21"/>
        <v/>
      </c>
      <c r="V270" s="681" t="str">
        <f t="shared" si="22"/>
        <v/>
      </c>
      <c r="W270" s="682" t="str">
        <f t="shared" si="23"/>
        <v>NO LINK</v>
      </c>
      <c r="X270" s="705">
        <f>VLOOKUP($W270,'Bespoke Speaker Intros'!$D:$E,2,False)</f>
        <v>0</v>
      </c>
      <c r="Y270" s="681">
        <f>VLOOKUP($W270,'Bespoke Speaker Intros'!$D:$F,3,false)</f>
        <v>0</v>
      </c>
      <c r="Z270" s="697"/>
      <c r="AA270" s="665"/>
      <c r="AB270" s="665"/>
      <c r="AC270" s="591"/>
      <c r="AE270" s="617"/>
      <c r="AF270" s="618"/>
      <c r="AG270" s="581"/>
    </row>
    <row r="271">
      <c r="A271" s="607"/>
      <c r="B271" s="608"/>
      <c r="C271" s="608"/>
      <c r="D271" s="589"/>
      <c r="E271" s="581"/>
      <c r="F271" s="581"/>
      <c r="G271" s="581"/>
      <c r="H271" s="581"/>
      <c r="I271" s="581"/>
      <c r="J271" s="708"/>
      <c r="K271" s="591"/>
      <c r="P271" s="592"/>
      <c r="R271" s="593"/>
      <c r="S271" s="525" t="s">
        <v>457</v>
      </c>
      <c r="T271" s="681" t="str">
        <f t="shared" si="20"/>
        <v/>
      </c>
      <c r="U271" s="681" t="str">
        <f t="shared" si="21"/>
        <v/>
      </c>
      <c r="V271" s="681" t="str">
        <f t="shared" si="22"/>
        <v/>
      </c>
      <c r="W271" s="682" t="str">
        <f t="shared" si="23"/>
        <v>NO LINK</v>
      </c>
      <c r="X271" s="705">
        <f>VLOOKUP($W271,'Bespoke Speaker Intros'!$D:$E,2,False)</f>
        <v>0</v>
      </c>
      <c r="Y271" s="681">
        <f>VLOOKUP($W271,'Bespoke Speaker Intros'!$D:$F,3,false)</f>
        <v>0</v>
      </c>
      <c r="Z271" s="697"/>
      <c r="AA271" s="665"/>
      <c r="AB271" s="665"/>
      <c r="AC271" s="591"/>
      <c r="AE271" s="617"/>
      <c r="AF271" s="618"/>
      <c r="AG271" s="581"/>
    </row>
    <row r="272">
      <c r="A272" s="607"/>
      <c r="B272" s="608"/>
      <c r="C272" s="608"/>
      <c r="D272" s="589"/>
      <c r="E272" s="581"/>
      <c r="F272" s="581"/>
      <c r="G272" s="581"/>
      <c r="H272" s="581"/>
      <c r="I272" s="581"/>
      <c r="J272" s="708"/>
      <c r="K272" s="591"/>
      <c r="P272" s="592"/>
      <c r="R272" s="593"/>
      <c r="S272" s="525" t="s">
        <v>457</v>
      </c>
      <c r="T272" s="681" t="str">
        <f t="shared" si="20"/>
        <v/>
      </c>
      <c r="U272" s="681" t="str">
        <f t="shared" si="21"/>
        <v/>
      </c>
      <c r="V272" s="681" t="str">
        <f t="shared" si="22"/>
        <v/>
      </c>
      <c r="W272" s="682" t="str">
        <f t="shared" si="23"/>
        <v>NO LINK</v>
      </c>
      <c r="X272" s="705">
        <f>VLOOKUP($W272,'Bespoke Speaker Intros'!$D:$E,2,False)</f>
        <v>0</v>
      </c>
      <c r="Y272" s="681">
        <f>VLOOKUP($W272,'Bespoke Speaker Intros'!$D:$F,3,false)</f>
        <v>0</v>
      </c>
      <c r="Z272" s="697"/>
      <c r="AA272" s="665"/>
      <c r="AB272" s="665"/>
      <c r="AC272" s="591"/>
      <c r="AE272" s="617"/>
      <c r="AF272" s="618"/>
      <c r="AG272" s="581"/>
    </row>
    <row r="273">
      <c r="A273" s="607"/>
      <c r="B273" s="608"/>
      <c r="C273" s="608"/>
      <c r="D273" s="589"/>
      <c r="E273" s="581"/>
      <c r="F273" s="581"/>
      <c r="G273" s="581"/>
      <c r="H273" s="581"/>
      <c r="I273" s="581"/>
      <c r="J273" s="708"/>
      <c r="K273" s="591"/>
      <c r="P273" s="592"/>
      <c r="R273" s="593"/>
      <c r="S273" s="525" t="s">
        <v>457</v>
      </c>
      <c r="T273" s="681" t="str">
        <f t="shared" si="20"/>
        <v/>
      </c>
      <c r="U273" s="681" t="str">
        <f t="shared" si="21"/>
        <v/>
      </c>
      <c r="V273" s="681" t="str">
        <f t="shared" si="22"/>
        <v/>
      </c>
      <c r="W273" s="682" t="str">
        <f t="shared" si="23"/>
        <v>NO LINK</v>
      </c>
      <c r="X273" s="705">
        <f>VLOOKUP($W273,'Bespoke Speaker Intros'!$D:$E,2,False)</f>
        <v>0</v>
      </c>
      <c r="Y273" s="681">
        <f>VLOOKUP($W273,'Bespoke Speaker Intros'!$D:$F,3,false)</f>
        <v>0</v>
      </c>
      <c r="Z273" s="697"/>
      <c r="AA273" s="665"/>
      <c r="AB273" s="665"/>
      <c r="AC273" s="591"/>
      <c r="AE273" s="617"/>
      <c r="AF273" s="618"/>
      <c r="AG273" s="581"/>
    </row>
    <row r="274">
      <c r="A274" s="607"/>
      <c r="B274" s="608"/>
      <c r="C274" s="608"/>
      <c r="D274" s="589"/>
      <c r="E274" s="581"/>
      <c r="F274" s="581"/>
      <c r="G274" s="581"/>
      <c r="H274" s="581"/>
      <c r="I274" s="581"/>
      <c r="J274" s="708"/>
      <c r="K274" s="591"/>
      <c r="P274" s="592"/>
      <c r="R274" s="593"/>
      <c r="S274" s="525" t="s">
        <v>457</v>
      </c>
      <c r="T274" s="681" t="str">
        <f t="shared" si="20"/>
        <v/>
      </c>
      <c r="U274" s="681" t="str">
        <f t="shared" si="21"/>
        <v/>
      </c>
      <c r="V274" s="681" t="str">
        <f t="shared" si="22"/>
        <v/>
      </c>
      <c r="W274" s="682" t="str">
        <f t="shared" si="23"/>
        <v>NO LINK</v>
      </c>
      <c r="X274" s="705">
        <f>VLOOKUP($W274,'Bespoke Speaker Intros'!$D:$E,2,False)</f>
        <v>0</v>
      </c>
      <c r="Y274" s="681">
        <f>VLOOKUP($W274,'Bespoke Speaker Intros'!$D:$F,3,false)</f>
        <v>0</v>
      </c>
      <c r="Z274" s="697"/>
      <c r="AA274" s="665"/>
      <c r="AB274" s="665"/>
      <c r="AC274" s="591"/>
      <c r="AE274" s="617"/>
      <c r="AF274" s="618"/>
      <c r="AG274" s="581"/>
    </row>
    <row r="275">
      <c r="A275" s="607"/>
      <c r="B275" s="608"/>
      <c r="C275" s="608"/>
      <c r="D275" s="589"/>
      <c r="E275" s="581"/>
      <c r="F275" s="581"/>
      <c r="G275" s="581"/>
      <c r="H275" s="581"/>
      <c r="I275" s="581"/>
      <c r="J275" s="708"/>
      <c r="K275" s="591"/>
      <c r="P275" s="592"/>
      <c r="R275" s="593"/>
      <c r="S275" s="525" t="s">
        <v>457</v>
      </c>
      <c r="T275" s="681" t="str">
        <f t="shared" si="20"/>
        <v/>
      </c>
      <c r="U275" s="681" t="str">
        <f t="shared" si="21"/>
        <v/>
      </c>
      <c r="V275" s="681" t="str">
        <f t="shared" si="22"/>
        <v/>
      </c>
      <c r="W275" s="682" t="str">
        <f t="shared" si="23"/>
        <v>NO LINK</v>
      </c>
      <c r="X275" s="705">
        <f>VLOOKUP($W275,'Bespoke Speaker Intros'!$D:$E,2,False)</f>
        <v>0</v>
      </c>
      <c r="Y275" s="681">
        <f>VLOOKUP($W275,'Bespoke Speaker Intros'!$D:$F,3,false)</f>
        <v>0</v>
      </c>
      <c r="Z275" s="697"/>
      <c r="AA275" s="665"/>
      <c r="AB275" s="665"/>
      <c r="AC275" s="591"/>
      <c r="AE275" s="617"/>
      <c r="AF275" s="618"/>
      <c r="AG275" s="581"/>
    </row>
    <row r="276">
      <c r="A276" s="607"/>
      <c r="B276" s="608"/>
      <c r="C276" s="608"/>
      <c r="D276" s="589"/>
      <c r="E276" s="581"/>
      <c r="F276" s="581"/>
      <c r="G276" s="581"/>
      <c r="H276" s="581"/>
      <c r="I276" s="581"/>
      <c r="J276" s="708"/>
      <c r="K276" s="591"/>
      <c r="P276" s="592"/>
      <c r="R276" s="593"/>
      <c r="S276" s="525" t="s">
        <v>457</v>
      </c>
      <c r="T276" s="681" t="str">
        <f t="shared" si="20"/>
        <v/>
      </c>
      <c r="U276" s="681" t="str">
        <f t="shared" si="21"/>
        <v/>
      </c>
      <c r="V276" s="681" t="str">
        <f t="shared" si="22"/>
        <v/>
      </c>
      <c r="W276" s="682" t="str">
        <f t="shared" si="23"/>
        <v>NO LINK</v>
      </c>
      <c r="X276" s="705">
        <f>VLOOKUP($W276,'Bespoke Speaker Intros'!$D:$E,2,False)</f>
        <v>0</v>
      </c>
      <c r="Y276" s="681">
        <f>VLOOKUP($W276,'Bespoke Speaker Intros'!$D:$F,3,false)</f>
        <v>0</v>
      </c>
      <c r="Z276" s="697"/>
      <c r="AA276" s="665"/>
      <c r="AB276" s="665"/>
      <c r="AC276" s="591"/>
      <c r="AE276" s="617"/>
      <c r="AF276" s="618"/>
      <c r="AG276" s="581"/>
    </row>
    <row r="277">
      <c r="A277" s="607"/>
      <c r="B277" s="608"/>
      <c r="C277" s="608"/>
      <c r="D277" s="589"/>
      <c r="E277" s="581"/>
      <c r="F277" s="581"/>
      <c r="G277" s="581"/>
      <c r="H277" s="581"/>
      <c r="I277" s="581"/>
      <c r="J277" s="708"/>
      <c r="K277" s="591"/>
      <c r="P277" s="592"/>
      <c r="R277" s="593"/>
      <c r="S277" s="525" t="s">
        <v>457</v>
      </c>
      <c r="T277" s="681" t="str">
        <f t="shared" si="20"/>
        <v/>
      </c>
      <c r="U277" s="681" t="str">
        <f t="shared" si="21"/>
        <v/>
      </c>
      <c r="V277" s="681" t="str">
        <f t="shared" si="22"/>
        <v/>
      </c>
      <c r="W277" s="682" t="str">
        <f t="shared" si="23"/>
        <v>NO LINK</v>
      </c>
      <c r="X277" s="705">
        <f>VLOOKUP($W277,'Bespoke Speaker Intros'!$D:$E,2,False)</f>
        <v>0</v>
      </c>
      <c r="Y277" s="681">
        <f>VLOOKUP($W277,'Bespoke Speaker Intros'!$D:$F,3,false)</f>
        <v>0</v>
      </c>
      <c r="Z277" s="697"/>
      <c r="AA277" s="665"/>
      <c r="AB277" s="665"/>
      <c r="AC277" s="591"/>
      <c r="AE277" s="617"/>
      <c r="AF277" s="618"/>
      <c r="AG277" s="581"/>
    </row>
    <row r="278">
      <c r="A278" s="607"/>
      <c r="B278" s="608"/>
      <c r="C278" s="608"/>
      <c r="D278" s="589"/>
      <c r="E278" s="581"/>
      <c r="F278" s="581"/>
      <c r="G278" s="581"/>
      <c r="H278" s="581"/>
      <c r="I278" s="581"/>
      <c r="J278" s="708"/>
      <c r="K278" s="591"/>
      <c r="P278" s="592"/>
      <c r="R278" s="593"/>
      <c r="S278" s="525" t="s">
        <v>457</v>
      </c>
      <c r="T278" s="681" t="str">
        <f t="shared" si="20"/>
        <v/>
      </c>
      <c r="U278" s="681" t="str">
        <f t="shared" si="21"/>
        <v/>
      </c>
      <c r="V278" s="681" t="str">
        <f t="shared" si="22"/>
        <v/>
      </c>
      <c r="W278" s="682" t="str">
        <f t="shared" si="23"/>
        <v>NO LINK</v>
      </c>
      <c r="X278" s="705">
        <f>VLOOKUP($W278,'Bespoke Speaker Intros'!$D:$E,2,False)</f>
        <v>0</v>
      </c>
      <c r="Y278" s="681">
        <f>VLOOKUP($W278,'Bespoke Speaker Intros'!$D:$F,3,false)</f>
        <v>0</v>
      </c>
      <c r="Z278" s="697"/>
      <c r="AA278" s="665"/>
      <c r="AB278" s="665"/>
      <c r="AC278" s="591"/>
      <c r="AE278" s="617"/>
      <c r="AF278" s="618"/>
      <c r="AG278" s="581"/>
    </row>
    <row r="279">
      <c r="A279" s="607"/>
      <c r="B279" s="608"/>
      <c r="C279" s="608"/>
      <c r="D279" s="589"/>
      <c r="E279" s="581"/>
      <c r="F279" s="581"/>
      <c r="G279" s="581"/>
      <c r="H279" s="581"/>
      <c r="I279" s="581"/>
      <c r="J279" s="708"/>
      <c r="K279" s="591"/>
      <c r="P279" s="592"/>
      <c r="R279" s="593"/>
      <c r="S279" s="525" t="s">
        <v>457</v>
      </c>
      <c r="T279" s="681" t="str">
        <f t="shared" si="20"/>
        <v/>
      </c>
      <c r="U279" s="681" t="str">
        <f t="shared" si="21"/>
        <v/>
      </c>
      <c r="V279" s="681" t="str">
        <f t="shared" si="22"/>
        <v/>
      </c>
      <c r="W279" s="682" t="str">
        <f t="shared" si="23"/>
        <v>NO LINK</v>
      </c>
      <c r="X279" s="705">
        <f>VLOOKUP($W279,'Bespoke Speaker Intros'!$D:$E,2,False)</f>
        <v>0</v>
      </c>
      <c r="Y279" s="681">
        <f>VLOOKUP($W279,'Bespoke Speaker Intros'!$D:$F,3,false)</f>
        <v>0</v>
      </c>
      <c r="Z279" s="697"/>
      <c r="AA279" s="665"/>
      <c r="AB279" s="665"/>
      <c r="AC279" s="591"/>
      <c r="AE279" s="617"/>
      <c r="AF279" s="618"/>
      <c r="AG279" s="581"/>
    </row>
    <row r="280">
      <c r="A280" s="607"/>
      <c r="B280" s="608"/>
      <c r="C280" s="608"/>
      <c r="D280" s="589"/>
      <c r="E280" s="581"/>
      <c r="F280" s="581"/>
      <c r="G280" s="581"/>
      <c r="H280" s="581"/>
      <c r="I280" s="581"/>
      <c r="J280" s="708"/>
      <c r="K280" s="591"/>
      <c r="P280" s="592"/>
      <c r="R280" s="593"/>
      <c r="S280" s="525" t="s">
        <v>457</v>
      </c>
      <c r="T280" s="681" t="str">
        <f t="shared" si="20"/>
        <v/>
      </c>
      <c r="U280" s="681" t="str">
        <f t="shared" si="21"/>
        <v/>
      </c>
      <c r="V280" s="681" t="str">
        <f t="shared" si="22"/>
        <v/>
      </c>
      <c r="W280" s="682" t="str">
        <f t="shared" si="23"/>
        <v>NO LINK</v>
      </c>
      <c r="X280" s="705">
        <f>VLOOKUP($W280,'Bespoke Speaker Intros'!$D:$E,2,False)</f>
        <v>0</v>
      </c>
      <c r="Y280" s="681">
        <f>VLOOKUP($W280,'Bespoke Speaker Intros'!$D:$F,3,false)</f>
        <v>0</v>
      </c>
      <c r="Z280" s="697"/>
      <c r="AA280" s="665"/>
      <c r="AB280" s="665"/>
      <c r="AC280" s="591"/>
      <c r="AE280" s="617"/>
      <c r="AF280" s="618"/>
      <c r="AG280" s="581"/>
    </row>
    <row r="281">
      <c r="A281" s="607"/>
      <c r="B281" s="608"/>
      <c r="C281" s="608"/>
      <c r="D281" s="589"/>
      <c r="E281" s="581"/>
      <c r="F281" s="581"/>
      <c r="G281" s="581"/>
      <c r="H281" s="581"/>
      <c r="I281" s="581"/>
      <c r="J281" s="708"/>
      <c r="K281" s="591"/>
      <c r="P281" s="592"/>
      <c r="R281" s="593"/>
      <c r="S281" s="525" t="s">
        <v>457</v>
      </c>
      <c r="T281" s="681" t="str">
        <f t="shared" si="20"/>
        <v/>
      </c>
      <c r="U281" s="681" t="str">
        <f t="shared" si="21"/>
        <v/>
      </c>
      <c r="V281" s="681" t="str">
        <f t="shared" si="22"/>
        <v/>
      </c>
      <c r="W281" s="682" t="str">
        <f t="shared" si="23"/>
        <v>NO LINK</v>
      </c>
      <c r="X281" s="705">
        <f>VLOOKUP($W281,'Bespoke Speaker Intros'!$D:$E,2,False)</f>
        <v>0</v>
      </c>
      <c r="Y281" s="681">
        <f>VLOOKUP($W281,'Bespoke Speaker Intros'!$D:$F,3,false)</f>
        <v>0</v>
      </c>
      <c r="Z281" s="697"/>
      <c r="AA281" s="665"/>
      <c r="AB281" s="665"/>
      <c r="AC281" s="591"/>
      <c r="AE281" s="617"/>
      <c r="AF281" s="618"/>
      <c r="AG281" s="581"/>
    </row>
    <row r="282">
      <c r="A282" s="607"/>
      <c r="B282" s="608"/>
      <c r="C282" s="608"/>
      <c r="D282" s="589"/>
      <c r="E282" s="581"/>
      <c r="F282" s="581"/>
      <c r="G282" s="581"/>
      <c r="H282" s="581"/>
      <c r="I282" s="581"/>
      <c r="J282" s="708"/>
      <c r="K282" s="591"/>
      <c r="P282" s="592"/>
      <c r="R282" s="593"/>
      <c r="S282" s="525" t="s">
        <v>457</v>
      </c>
      <c r="T282" s="681" t="str">
        <f t="shared" si="20"/>
        <v/>
      </c>
      <c r="U282" s="681" t="str">
        <f t="shared" si="21"/>
        <v/>
      </c>
      <c r="V282" s="681" t="str">
        <f t="shared" si="22"/>
        <v/>
      </c>
      <c r="W282" s="682" t="str">
        <f t="shared" si="23"/>
        <v>NO LINK</v>
      </c>
      <c r="X282" s="705">
        <f>VLOOKUP($W282,'Bespoke Speaker Intros'!$D:$E,2,False)</f>
        <v>0</v>
      </c>
      <c r="Y282" s="681">
        <f>VLOOKUP($W282,'Bespoke Speaker Intros'!$D:$F,3,false)</f>
        <v>0</v>
      </c>
      <c r="Z282" s="697"/>
      <c r="AA282" s="665"/>
      <c r="AB282" s="665"/>
      <c r="AC282" s="591"/>
      <c r="AE282" s="617"/>
      <c r="AF282" s="618"/>
      <c r="AG282" s="581"/>
    </row>
    <row r="283">
      <c r="A283" s="607"/>
      <c r="B283" s="608"/>
      <c r="C283" s="608"/>
      <c r="D283" s="589"/>
      <c r="E283" s="581"/>
      <c r="F283" s="581"/>
      <c r="G283" s="581"/>
      <c r="H283" s="581"/>
      <c r="I283" s="581"/>
      <c r="J283" s="708"/>
      <c r="K283" s="591"/>
      <c r="P283" s="592"/>
      <c r="R283" s="593"/>
      <c r="S283" s="525" t="s">
        <v>457</v>
      </c>
      <c r="T283" s="681" t="str">
        <f t="shared" si="20"/>
        <v/>
      </c>
      <c r="U283" s="681" t="str">
        <f t="shared" si="21"/>
        <v/>
      </c>
      <c r="V283" s="681" t="str">
        <f t="shared" si="22"/>
        <v/>
      </c>
      <c r="W283" s="682" t="str">
        <f t="shared" si="23"/>
        <v>NO LINK</v>
      </c>
      <c r="X283" s="705">
        <f>VLOOKUP($W283,'Bespoke Speaker Intros'!$D:$E,2,False)</f>
        <v>0</v>
      </c>
      <c r="Y283" s="681">
        <f>VLOOKUP($W283,'Bespoke Speaker Intros'!$D:$F,3,false)</f>
        <v>0</v>
      </c>
      <c r="Z283" s="697"/>
      <c r="AA283" s="665"/>
      <c r="AB283" s="665"/>
      <c r="AC283" s="591"/>
      <c r="AE283" s="617"/>
      <c r="AF283" s="618"/>
      <c r="AG283" s="581"/>
    </row>
    <row r="284">
      <c r="A284" s="607"/>
      <c r="B284" s="608"/>
      <c r="C284" s="608"/>
      <c r="D284" s="589"/>
      <c r="E284" s="581"/>
      <c r="F284" s="581"/>
      <c r="G284" s="581"/>
      <c r="H284" s="581"/>
      <c r="I284" s="581"/>
      <c r="J284" s="708"/>
      <c r="K284" s="591"/>
      <c r="P284" s="592"/>
      <c r="R284" s="593"/>
      <c r="S284" s="525" t="s">
        <v>457</v>
      </c>
      <c r="T284" s="681" t="str">
        <f t="shared" si="20"/>
        <v/>
      </c>
      <c r="U284" s="681" t="str">
        <f t="shared" si="21"/>
        <v/>
      </c>
      <c r="V284" s="681" t="str">
        <f t="shared" si="22"/>
        <v/>
      </c>
      <c r="W284" s="682" t="str">
        <f t="shared" si="23"/>
        <v>NO LINK</v>
      </c>
      <c r="X284" s="705">
        <f>VLOOKUP($W284,'Bespoke Speaker Intros'!$D:$E,2,False)</f>
        <v>0</v>
      </c>
      <c r="Y284" s="681">
        <f>VLOOKUP($W284,'Bespoke Speaker Intros'!$D:$F,3,false)</f>
        <v>0</v>
      </c>
      <c r="Z284" s="697"/>
      <c r="AA284" s="665"/>
      <c r="AB284" s="665"/>
      <c r="AC284" s="591"/>
      <c r="AE284" s="617"/>
      <c r="AF284" s="618"/>
      <c r="AG284" s="581"/>
    </row>
    <row r="285">
      <c r="A285" s="607"/>
      <c r="B285" s="608"/>
      <c r="C285" s="608"/>
      <c r="D285" s="589"/>
      <c r="E285" s="581"/>
      <c r="F285" s="581"/>
      <c r="G285" s="581"/>
      <c r="H285" s="581"/>
      <c r="I285" s="581"/>
      <c r="J285" s="708"/>
      <c r="K285" s="591"/>
      <c r="P285" s="592"/>
      <c r="R285" s="593"/>
      <c r="S285" s="525" t="s">
        <v>457</v>
      </c>
      <c r="T285" s="681" t="str">
        <f t="shared" si="20"/>
        <v/>
      </c>
      <c r="U285" s="681" t="str">
        <f t="shared" si="21"/>
        <v/>
      </c>
      <c r="V285" s="681" t="str">
        <f t="shared" si="22"/>
        <v/>
      </c>
      <c r="W285" s="682" t="str">
        <f t="shared" si="23"/>
        <v>NO LINK</v>
      </c>
      <c r="X285" s="705">
        <f>VLOOKUP($W285,'Bespoke Speaker Intros'!$D:$E,2,False)</f>
        <v>0</v>
      </c>
      <c r="Y285" s="681">
        <f>VLOOKUP($W285,'Bespoke Speaker Intros'!$D:$F,3,false)</f>
        <v>0</v>
      </c>
      <c r="Z285" s="697"/>
      <c r="AA285" s="665"/>
      <c r="AB285" s="665"/>
      <c r="AC285" s="591"/>
      <c r="AE285" s="617"/>
      <c r="AF285" s="618"/>
      <c r="AG285" s="581"/>
    </row>
    <row r="286">
      <c r="A286" s="607"/>
      <c r="B286" s="608"/>
      <c r="C286" s="608"/>
      <c r="D286" s="589"/>
      <c r="E286" s="581"/>
      <c r="F286" s="581"/>
      <c r="G286" s="581"/>
      <c r="H286" s="581"/>
      <c r="I286" s="581"/>
      <c r="J286" s="708"/>
      <c r="K286" s="591"/>
      <c r="P286" s="592"/>
      <c r="R286" s="593"/>
      <c r="S286" s="525" t="s">
        <v>457</v>
      </c>
      <c r="T286" s="681" t="str">
        <f t="shared" si="20"/>
        <v/>
      </c>
      <c r="U286" s="681" t="str">
        <f t="shared" si="21"/>
        <v/>
      </c>
      <c r="V286" s="681" t="str">
        <f t="shared" si="22"/>
        <v/>
      </c>
      <c r="W286" s="682" t="str">
        <f t="shared" si="23"/>
        <v>NO LINK</v>
      </c>
      <c r="X286" s="705">
        <f>VLOOKUP($W286,'Bespoke Speaker Intros'!$D:$E,2,False)</f>
        <v>0</v>
      </c>
      <c r="Y286" s="681">
        <f>VLOOKUP($W286,'Bespoke Speaker Intros'!$D:$F,3,false)</f>
        <v>0</v>
      </c>
      <c r="Z286" s="697"/>
      <c r="AA286" s="665"/>
      <c r="AB286" s="665"/>
      <c r="AC286" s="591"/>
      <c r="AE286" s="617"/>
      <c r="AF286" s="618"/>
      <c r="AG286" s="581"/>
    </row>
    <row r="287">
      <c r="A287" s="607"/>
      <c r="B287" s="608"/>
      <c r="C287" s="608"/>
      <c r="D287" s="589"/>
      <c r="E287" s="581"/>
      <c r="F287" s="581"/>
      <c r="G287" s="581"/>
      <c r="H287" s="581"/>
      <c r="I287" s="581"/>
      <c r="J287" s="708"/>
      <c r="K287" s="591"/>
      <c r="P287" s="592"/>
      <c r="R287" s="593"/>
      <c r="S287" s="525" t="s">
        <v>457</v>
      </c>
      <c r="T287" s="681" t="str">
        <f t="shared" si="20"/>
        <v/>
      </c>
      <c r="U287" s="681" t="str">
        <f t="shared" si="21"/>
        <v/>
      </c>
      <c r="V287" s="681" t="str">
        <f t="shared" si="22"/>
        <v/>
      </c>
      <c r="W287" s="682" t="str">
        <f t="shared" si="23"/>
        <v>NO LINK</v>
      </c>
      <c r="X287" s="705">
        <f>VLOOKUP($W287,'Bespoke Speaker Intros'!$D:$E,2,False)</f>
        <v>0</v>
      </c>
      <c r="Y287" s="681">
        <f>VLOOKUP($W287,'Bespoke Speaker Intros'!$D:$F,3,false)</f>
        <v>0</v>
      </c>
      <c r="Z287" s="697"/>
      <c r="AA287" s="665"/>
      <c r="AB287" s="665"/>
      <c r="AC287" s="591"/>
      <c r="AE287" s="617"/>
      <c r="AF287" s="618"/>
      <c r="AG287" s="581"/>
    </row>
    <row r="288">
      <c r="A288" s="607"/>
      <c r="B288" s="608"/>
      <c r="C288" s="608"/>
      <c r="D288" s="589"/>
      <c r="E288" s="581"/>
      <c r="F288" s="581"/>
      <c r="G288" s="581"/>
      <c r="H288" s="581"/>
      <c r="I288" s="581"/>
      <c r="J288" s="708"/>
      <c r="K288" s="591"/>
      <c r="P288" s="592"/>
      <c r="R288" s="593"/>
      <c r="S288" s="525" t="s">
        <v>457</v>
      </c>
      <c r="T288" s="681" t="str">
        <f t="shared" si="20"/>
        <v/>
      </c>
      <c r="U288" s="681" t="str">
        <f t="shared" si="21"/>
        <v/>
      </c>
      <c r="V288" s="681" t="str">
        <f t="shared" si="22"/>
        <v/>
      </c>
      <c r="W288" s="682" t="str">
        <f t="shared" si="23"/>
        <v>NO LINK</v>
      </c>
      <c r="X288" s="705">
        <f>VLOOKUP($W288,'Bespoke Speaker Intros'!$D:$E,2,False)</f>
        <v>0</v>
      </c>
      <c r="Y288" s="681">
        <f>VLOOKUP($W288,'Bespoke Speaker Intros'!$D:$F,3,false)</f>
        <v>0</v>
      </c>
      <c r="Z288" s="697"/>
      <c r="AA288" s="665"/>
      <c r="AB288" s="665"/>
      <c r="AC288" s="591"/>
      <c r="AE288" s="617"/>
      <c r="AF288" s="618"/>
      <c r="AG288" s="581"/>
    </row>
    <row r="289">
      <c r="A289" s="607"/>
      <c r="B289" s="608"/>
      <c r="C289" s="608"/>
      <c r="D289" s="589"/>
      <c r="E289" s="581"/>
      <c r="F289" s="581"/>
      <c r="G289" s="581"/>
      <c r="H289" s="581"/>
      <c r="I289" s="581"/>
      <c r="J289" s="708"/>
      <c r="K289" s="591"/>
      <c r="P289" s="592"/>
      <c r="R289" s="593"/>
      <c r="S289" s="525" t="s">
        <v>457</v>
      </c>
      <c r="T289" s="681" t="str">
        <f t="shared" si="20"/>
        <v/>
      </c>
      <c r="U289" s="681" t="str">
        <f t="shared" si="21"/>
        <v/>
      </c>
      <c r="V289" s="681" t="str">
        <f t="shared" si="22"/>
        <v/>
      </c>
      <c r="W289" s="682" t="str">
        <f t="shared" si="23"/>
        <v>NO LINK</v>
      </c>
      <c r="X289" s="705">
        <f>VLOOKUP($W289,'Bespoke Speaker Intros'!$D:$E,2,False)</f>
        <v>0</v>
      </c>
      <c r="Y289" s="681">
        <f>VLOOKUP($W289,'Bespoke Speaker Intros'!$D:$F,3,false)</f>
        <v>0</v>
      </c>
      <c r="Z289" s="697"/>
      <c r="AA289" s="665"/>
      <c r="AB289" s="665"/>
      <c r="AC289" s="591"/>
      <c r="AE289" s="617"/>
      <c r="AF289" s="618"/>
      <c r="AG289" s="581"/>
    </row>
    <row r="290">
      <c r="A290" s="607"/>
      <c r="B290" s="608"/>
      <c r="C290" s="608"/>
      <c r="D290" s="589"/>
      <c r="E290" s="581"/>
      <c r="F290" s="581"/>
      <c r="G290" s="581"/>
      <c r="H290" s="581"/>
      <c r="I290" s="581"/>
      <c r="J290" s="708"/>
      <c r="K290" s="591"/>
      <c r="P290" s="592"/>
      <c r="R290" s="593"/>
      <c r="S290" s="525" t="s">
        <v>457</v>
      </c>
      <c r="T290" s="681" t="str">
        <f t="shared" si="20"/>
        <v/>
      </c>
      <c r="U290" s="681" t="str">
        <f t="shared" si="21"/>
        <v/>
      </c>
      <c r="V290" s="681" t="str">
        <f t="shared" si="22"/>
        <v/>
      </c>
      <c r="W290" s="682" t="str">
        <f t="shared" si="23"/>
        <v>NO LINK</v>
      </c>
      <c r="X290" s="705">
        <f>VLOOKUP($W290,'Bespoke Speaker Intros'!$D:$E,2,False)</f>
        <v>0</v>
      </c>
      <c r="Y290" s="681">
        <f>VLOOKUP($W290,'Bespoke Speaker Intros'!$D:$F,3,false)</f>
        <v>0</v>
      </c>
      <c r="Z290" s="697"/>
      <c r="AA290" s="665"/>
      <c r="AB290" s="665"/>
      <c r="AC290" s="591"/>
      <c r="AE290" s="617"/>
      <c r="AF290" s="618"/>
      <c r="AG290" s="581"/>
    </row>
    <row r="291">
      <c r="A291" s="607"/>
      <c r="B291" s="608"/>
      <c r="C291" s="608"/>
      <c r="D291" s="589"/>
      <c r="E291" s="581"/>
      <c r="F291" s="581"/>
      <c r="G291" s="581"/>
      <c r="H291" s="581"/>
      <c r="I291" s="581"/>
      <c r="J291" s="708"/>
      <c r="K291" s="591"/>
      <c r="P291" s="592"/>
      <c r="R291" s="593"/>
      <c r="S291" s="525" t="s">
        <v>457</v>
      </c>
      <c r="T291" s="681" t="str">
        <f t="shared" si="20"/>
        <v/>
      </c>
      <c r="U291" s="681" t="str">
        <f t="shared" si="21"/>
        <v/>
      </c>
      <c r="V291" s="681" t="str">
        <f t="shared" si="22"/>
        <v/>
      </c>
      <c r="W291" s="682" t="str">
        <f t="shared" si="23"/>
        <v>NO LINK</v>
      </c>
      <c r="X291" s="705">
        <f>VLOOKUP($W291,'Bespoke Speaker Intros'!$D:$E,2,False)</f>
        <v>0</v>
      </c>
      <c r="Y291" s="681">
        <f>VLOOKUP($W291,'Bespoke Speaker Intros'!$D:$F,3,false)</f>
        <v>0</v>
      </c>
      <c r="Z291" s="697"/>
      <c r="AA291" s="665"/>
      <c r="AB291" s="665"/>
      <c r="AC291" s="591"/>
      <c r="AE291" s="617"/>
      <c r="AF291" s="618"/>
      <c r="AG291" s="581"/>
    </row>
    <row r="292">
      <c r="A292" s="607"/>
      <c r="B292" s="608"/>
      <c r="C292" s="608"/>
      <c r="D292" s="589"/>
      <c r="E292" s="581"/>
      <c r="F292" s="581"/>
      <c r="G292" s="581"/>
      <c r="H292" s="581"/>
      <c r="I292" s="581"/>
      <c r="J292" s="708"/>
      <c r="K292" s="591"/>
      <c r="P292" s="592"/>
      <c r="R292" s="593"/>
      <c r="S292" s="525" t="s">
        <v>457</v>
      </c>
      <c r="T292" s="681" t="str">
        <f t="shared" si="20"/>
        <v/>
      </c>
      <c r="U292" s="681" t="str">
        <f t="shared" si="21"/>
        <v/>
      </c>
      <c r="V292" s="681" t="str">
        <f t="shared" si="22"/>
        <v/>
      </c>
      <c r="W292" s="682" t="str">
        <f t="shared" si="23"/>
        <v>NO LINK</v>
      </c>
      <c r="X292" s="705">
        <f>VLOOKUP($W292,'Bespoke Speaker Intros'!$D:$E,2,False)</f>
        <v>0</v>
      </c>
      <c r="Y292" s="681">
        <f>VLOOKUP($W292,'Bespoke Speaker Intros'!$D:$F,3,false)</f>
        <v>0</v>
      </c>
      <c r="Z292" s="697"/>
      <c r="AA292" s="665"/>
      <c r="AB292" s="665"/>
      <c r="AC292" s="591"/>
      <c r="AE292" s="617"/>
      <c r="AF292" s="618"/>
      <c r="AG292" s="581"/>
    </row>
    <row r="293">
      <c r="A293" s="607"/>
      <c r="B293" s="608"/>
      <c r="C293" s="608"/>
      <c r="D293" s="589"/>
      <c r="E293" s="581"/>
      <c r="F293" s="581"/>
      <c r="G293" s="581"/>
      <c r="H293" s="581"/>
      <c r="I293" s="581"/>
      <c r="J293" s="708"/>
      <c r="K293" s="591"/>
      <c r="P293" s="592"/>
      <c r="R293" s="593"/>
      <c r="S293" s="525" t="s">
        <v>457</v>
      </c>
      <c r="T293" s="681" t="str">
        <f t="shared" si="20"/>
        <v/>
      </c>
      <c r="U293" s="681" t="str">
        <f t="shared" si="21"/>
        <v/>
      </c>
      <c r="V293" s="681" t="str">
        <f t="shared" si="22"/>
        <v/>
      </c>
      <c r="W293" s="682" t="str">
        <f t="shared" si="23"/>
        <v>NO LINK</v>
      </c>
      <c r="X293" s="705">
        <f>VLOOKUP($W293,'Bespoke Speaker Intros'!$D:$E,2,False)</f>
        <v>0</v>
      </c>
      <c r="Y293" s="681">
        <f>VLOOKUP($W293,'Bespoke Speaker Intros'!$D:$F,3,false)</f>
        <v>0</v>
      </c>
      <c r="Z293" s="697"/>
      <c r="AA293" s="665"/>
      <c r="AB293" s="665"/>
      <c r="AC293" s="591"/>
      <c r="AE293" s="617"/>
      <c r="AF293" s="618"/>
      <c r="AG293" s="581"/>
    </row>
    <row r="294">
      <c r="A294" s="607"/>
      <c r="B294" s="608"/>
      <c r="C294" s="608"/>
      <c r="D294" s="589"/>
      <c r="E294" s="581"/>
      <c r="F294" s="581"/>
      <c r="G294" s="581"/>
      <c r="H294" s="581"/>
      <c r="I294" s="581"/>
      <c r="J294" s="708"/>
      <c r="K294" s="591"/>
      <c r="P294" s="592"/>
      <c r="R294" s="593"/>
      <c r="S294" s="525" t="s">
        <v>457</v>
      </c>
      <c r="T294" s="681" t="str">
        <f t="shared" si="20"/>
        <v/>
      </c>
      <c r="U294" s="681" t="str">
        <f t="shared" si="21"/>
        <v/>
      </c>
      <c r="V294" s="681" t="str">
        <f t="shared" si="22"/>
        <v/>
      </c>
      <c r="W294" s="682" t="str">
        <f t="shared" si="23"/>
        <v>NO LINK</v>
      </c>
      <c r="X294" s="705">
        <f>VLOOKUP($W294,'Bespoke Speaker Intros'!$D:$E,2,False)</f>
        <v>0</v>
      </c>
      <c r="Y294" s="681">
        <f>VLOOKUP($W294,'Bespoke Speaker Intros'!$D:$F,3,false)</f>
        <v>0</v>
      </c>
      <c r="Z294" s="697"/>
      <c r="AA294" s="665"/>
      <c r="AB294" s="665"/>
      <c r="AC294" s="591"/>
      <c r="AE294" s="617"/>
      <c r="AF294" s="618"/>
      <c r="AG294" s="581"/>
    </row>
    <row r="295">
      <c r="A295" s="607"/>
      <c r="B295" s="608"/>
      <c r="C295" s="608"/>
      <c r="D295" s="589"/>
      <c r="E295" s="581"/>
      <c r="F295" s="581"/>
      <c r="G295" s="581"/>
      <c r="H295" s="581"/>
      <c r="I295" s="581"/>
      <c r="J295" s="708"/>
      <c r="K295" s="591"/>
      <c r="P295" s="592"/>
      <c r="R295" s="593"/>
      <c r="S295" s="525" t="s">
        <v>457</v>
      </c>
      <c r="T295" s="681" t="str">
        <f t="shared" si="20"/>
        <v/>
      </c>
      <c r="U295" s="681" t="str">
        <f t="shared" si="21"/>
        <v/>
      </c>
      <c r="V295" s="681" t="str">
        <f t="shared" si="22"/>
        <v/>
      </c>
      <c r="W295" s="682" t="str">
        <f t="shared" si="23"/>
        <v>NO LINK</v>
      </c>
      <c r="X295" s="705">
        <f>VLOOKUP($W295,'Bespoke Speaker Intros'!$D:$E,2,False)</f>
        <v>0</v>
      </c>
      <c r="Y295" s="681">
        <f>VLOOKUP($W295,'Bespoke Speaker Intros'!$D:$F,3,false)</f>
        <v>0</v>
      </c>
      <c r="Z295" s="697"/>
      <c r="AA295" s="665"/>
      <c r="AB295" s="665"/>
      <c r="AC295" s="591"/>
      <c r="AE295" s="617"/>
      <c r="AF295" s="618"/>
      <c r="AG295" s="581"/>
    </row>
    <row r="296">
      <c r="A296" s="607"/>
      <c r="B296" s="608"/>
      <c r="C296" s="608"/>
      <c r="D296" s="589"/>
      <c r="E296" s="581"/>
      <c r="F296" s="581"/>
      <c r="G296" s="581"/>
      <c r="H296" s="581"/>
      <c r="I296" s="581"/>
      <c r="J296" s="708"/>
      <c r="K296" s="591"/>
      <c r="P296" s="592"/>
      <c r="R296" s="593"/>
      <c r="S296" s="525" t="s">
        <v>457</v>
      </c>
      <c r="T296" s="681" t="str">
        <f t="shared" si="20"/>
        <v/>
      </c>
      <c r="U296" s="681" t="str">
        <f t="shared" si="21"/>
        <v/>
      </c>
      <c r="V296" s="681" t="str">
        <f t="shared" si="22"/>
        <v/>
      </c>
      <c r="W296" s="682" t="str">
        <f t="shared" si="23"/>
        <v>NO LINK</v>
      </c>
      <c r="X296" s="705">
        <f>VLOOKUP($W296,'Bespoke Speaker Intros'!$D:$E,2,False)</f>
        <v>0</v>
      </c>
      <c r="Y296" s="681">
        <f>VLOOKUP($W296,'Bespoke Speaker Intros'!$D:$F,3,false)</f>
        <v>0</v>
      </c>
      <c r="Z296" s="697"/>
      <c r="AA296" s="665"/>
      <c r="AB296" s="665"/>
      <c r="AC296" s="591"/>
      <c r="AE296" s="617"/>
      <c r="AF296" s="618"/>
      <c r="AG296" s="581"/>
    </row>
    <row r="297">
      <c r="A297" s="607"/>
      <c r="B297" s="608"/>
      <c r="C297" s="608"/>
      <c r="D297" s="589"/>
      <c r="E297" s="581"/>
      <c r="F297" s="581"/>
      <c r="G297" s="581"/>
      <c r="H297" s="581"/>
      <c r="I297" s="581"/>
      <c r="J297" s="708"/>
      <c r="K297" s="591"/>
      <c r="P297" s="592"/>
      <c r="R297" s="593"/>
      <c r="S297" s="525" t="s">
        <v>457</v>
      </c>
      <c r="T297" s="681" t="str">
        <f t="shared" si="20"/>
        <v/>
      </c>
      <c r="U297" s="681" t="str">
        <f t="shared" si="21"/>
        <v/>
      </c>
      <c r="V297" s="681" t="str">
        <f t="shared" si="22"/>
        <v/>
      </c>
      <c r="W297" s="682" t="str">
        <f t="shared" si="23"/>
        <v>NO LINK</v>
      </c>
      <c r="X297" s="705">
        <f>VLOOKUP($W297,'Bespoke Speaker Intros'!$D:$E,2,False)</f>
        <v>0</v>
      </c>
      <c r="Y297" s="681">
        <f>VLOOKUP($W297,'Bespoke Speaker Intros'!$D:$F,3,false)</f>
        <v>0</v>
      </c>
      <c r="Z297" s="697"/>
      <c r="AA297" s="665"/>
      <c r="AB297" s="665"/>
      <c r="AC297" s="591"/>
      <c r="AE297" s="617"/>
      <c r="AF297" s="618"/>
      <c r="AG297" s="581"/>
    </row>
    <row r="298">
      <c r="A298" s="607"/>
      <c r="B298" s="608"/>
      <c r="C298" s="608"/>
      <c r="D298" s="589"/>
      <c r="E298" s="581"/>
      <c r="F298" s="581"/>
      <c r="G298" s="581"/>
      <c r="H298" s="581"/>
      <c r="I298" s="581"/>
      <c r="J298" s="708"/>
      <c r="K298" s="591"/>
      <c r="P298" s="592"/>
      <c r="R298" s="593"/>
      <c r="S298" s="525" t="s">
        <v>457</v>
      </c>
      <c r="T298" s="681" t="str">
        <f t="shared" si="20"/>
        <v/>
      </c>
      <c r="U298" s="681" t="str">
        <f t="shared" si="21"/>
        <v/>
      </c>
      <c r="V298" s="681" t="str">
        <f t="shared" si="22"/>
        <v/>
      </c>
      <c r="W298" s="682" t="str">
        <f t="shared" si="23"/>
        <v>NO LINK</v>
      </c>
      <c r="X298" s="705">
        <f>VLOOKUP($W298,'Bespoke Speaker Intros'!$D:$E,2,False)</f>
        <v>0</v>
      </c>
      <c r="Y298" s="681">
        <f>VLOOKUP($W298,'Bespoke Speaker Intros'!$D:$F,3,false)</f>
        <v>0</v>
      </c>
      <c r="Z298" s="697"/>
      <c r="AA298" s="665"/>
      <c r="AB298" s="665"/>
      <c r="AC298" s="591"/>
      <c r="AE298" s="617"/>
      <c r="AF298" s="618"/>
      <c r="AG298" s="581"/>
    </row>
    <row r="299">
      <c r="A299" s="607"/>
      <c r="B299" s="608"/>
      <c r="C299" s="608"/>
      <c r="D299" s="589"/>
      <c r="E299" s="581"/>
      <c r="F299" s="581"/>
      <c r="G299" s="581"/>
      <c r="H299" s="581"/>
      <c r="I299" s="581"/>
      <c r="J299" s="708"/>
      <c r="K299" s="591"/>
      <c r="P299" s="592"/>
      <c r="R299" s="593"/>
      <c r="S299" s="525" t="s">
        <v>457</v>
      </c>
      <c r="T299" s="681" t="str">
        <f t="shared" si="20"/>
        <v/>
      </c>
      <c r="U299" s="681" t="str">
        <f t="shared" si="21"/>
        <v/>
      </c>
      <c r="V299" s="681" t="str">
        <f t="shared" si="22"/>
        <v/>
      </c>
      <c r="W299" s="682" t="str">
        <f t="shared" si="23"/>
        <v>NO LINK</v>
      </c>
      <c r="X299" s="705">
        <f>VLOOKUP($W299,'Bespoke Speaker Intros'!$D:$E,2,False)</f>
        <v>0</v>
      </c>
      <c r="Y299" s="681">
        <f>VLOOKUP($W299,'Bespoke Speaker Intros'!$D:$F,3,false)</f>
        <v>0</v>
      </c>
      <c r="Z299" s="697"/>
      <c r="AA299" s="665"/>
      <c r="AB299" s="665"/>
      <c r="AC299" s="591"/>
      <c r="AE299" s="617"/>
      <c r="AF299" s="618"/>
      <c r="AG299" s="581"/>
    </row>
    <row r="300">
      <c r="A300" s="607"/>
      <c r="B300" s="608"/>
      <c r="C300" s="608"/>
      <c r="D300" s="589"/>
      <c r="E300" s="581"/>
      <c r="F300" s="581"/>
      <c r="G300" s="581"/>
      <c r="H300" s="581"/>
      <c r="I300" s="581"/>
      <c r="J300" s="708"/>
      <c r="K300" s="591"/>
      <c r="P300" s="592"/>
      <c r="R300" s="593"/>
      <c r="S300" s="525" t="s">
        <v>457</v>
      </c>
      <c r="T300" s="681" t="str">
        <f t="shared" si="20"/>
        <v/>
      </c>
      <c r="U300" s="681" t="str">
        <f t="shared" si="21"/>
        <v/>
      </c>
      <c r="V300" s="681" t="str">
        <f t="shared" si="22"/>
        <v/>
      </c>
      <c r="W300" s="682" t="str">
        <f t="shared" si="23"/>
        <v>NO LINK</v>
      </c>
      <c r="X300" s="705">
        <f>VLOOKUP($W300,'Bespoke Speaker Intros'!$D:$E,2,False)</f>
        <v>0</v>
      </c>
      <c r="Y300" s="681">
        <f>VLOOKUP($W300,'Bespoke Speaker Intros'!$D:$F,3,false)</f>
        <v>0</v>
      </c>
      <c r="Z300" s="697"/>
      <c r="AA300" s="665"/>
      <c r="AB300" s="665"/>
      <c r="AC300" s="591"/>
      <c r="AE300" s="617"/>
      <c r="AF300" s="618"/>
      <c r="AG300" s="581"/>
    </row>
    <row r="301">
      <c r="A301" s="607"/>
      <c r="B301" s="608"/>
      <c r="C301" s="608"/>
      <c r="D301" s="589"/>
      <c r="E301" s="581"/>
      <c r="F301" s="581"/>
      <c r="G301" s="581"/>
      <c r="H301" s="581"/>
      <c r="I301" s="581"/>
      <c r="J301" s="708"/>
      <c r="K301" s="591"/>
      <c r="P301" s="592"/>
      <c r="R301" s="593"/>
      <c r="S301" s="525" t="s">
        <v>457</v>
      </c>
      <c r="T301" s="681" t="str">
        <f t="shared" si="20"/>
        <v/>
      </c>
      <c r="U301" s="681" t="str">
        <f t="shared" si="21"/>
        <v/>
      </c>
      <c r="V301" s="681" t="str">
        <f t="shared" si="22"/>
        <v/>
      </c>
      <c r="W301" s="682" t="str">
        <f t="shared" si="23"/>
        <v>NO LINK</v>
      </c>
      <c r="X301" s="705">
        <f>VLOOKUP($W301,'Bespoke Speaker Intros'!$D:$E,2,False)</f>
        <v>0</v>
      </c>
      <c r="Y301" s="681">
        <f>VLOOKUP($W301,'Bespoke Speaker Intros'!$D:$F,3,false)</f>
        <v>0</v>
      </c>
      <c r="Z301" s="697"/>
      <c r="AA301" s="665"/>
      <c r="AB301" s="665"/>
      <c r="AC301" s="591"/>
      <c r="AE301" s="617"/>
      <c r="AF301" s="618"/>
      <c r="AG301" s="581"/>
    </row>
    <row r="302">
      <c r="A302" s="607"/>
      <c r="B302" s="608"/>
      <c r="C302" s="608"/>
      <c r="D302" s="589"/>
      <c r="E302" s="581"/>
      <c r="F302" s="581"/>
      <c r="G302" s="581"/>
      <c r="H302" s="581"/>
      <c r="I302" s="581"/>
      <c r="J302" s="708"/>
      <c r="K302" s="591"/>
      <c r="P302" s="592"/>
      <c r="R302" s="593"/>
      <c r="S302" s="525" t="s">
        <v>457</v>
      </c>
      <c r="T302" s="681" t="str">
        <f t="shared" si="20"/>
        <v/>
      </c>
      <c r="U302" s="681" t="str">
        <f t="shared" si="21"/>
        <v/>
      </c>
      <c r="V302" s="681" t="str">
        <f t="shared" si="22"/>
        <v/>
      </c>
      <c r="W302" s="682" t="str">
        <f t="shared" si="23"/>
        <v>NO LINK</v>
      </c>
      <c r="X302" s="705">
        <f>VLOOKUP($W302,'Bespoke Speaker Intros'!$D:$E,2,False)</f>
        <v>0</v>
      </c>
      <c r="Y302" s="681">
        <f>VLOOKUP($W302,'Bespoke Speaker Intros'!$D:$F,3,false)</f>
        <v>0</v>
      </c>
      <c r="Z302" s="697"/>
      <c r="AA302" s="665"/>
      <c r="AB302" s="665"/>
      <c r="AC302" s="591"/>
      <c r="AE302" s="617"/>
      <c r="AF302" s="618"/>
      <c r="AG302" s="581"/>
    </row>
    <row r="303">
      <c r="A303" s="607"/>
      <c r="B303" s="608"/>
      <c r="C303" s="608"/>
      <c r="D303" s="589"/>
      <c r="E303" s="581"/>
      <c r="F303" s="581"/>
      <c r="G303" s="581"/>
      <c r="H303" s="581"/>
      <c r="I303" s="581"/>
      <c r="J303" s="708"/>
      <c r="K303" s="591"/>
      <c r="P303" s="592"/>
      <c r="R303" s="593"/>
      <c r="S303" s="525" t="s">
        <v>457</v>
      </c>
      <c r="T303" s="681" t="str">
        <f t="shared" si="20"/>
        <v/>
      </c>
      <c r="U303" s="681" t="str">
        <f t="shared" si="21"/>
        <v/>
      </c>
      <c r="V303" s="681" t="str">
        <f t="shared" si="22"/>
        <v/>
      </c>
      <c r="W303" s="682" t="str">
        <f t="shared" si="23"/>
        <v>NO LINK</v>
      </c>
      <c r="X303" s="705">
        <f>VLOOKUP($W303,'Bespoke Speaker Intros'!$D:$E,2,False)</f>
        <v>0</v>
      </c>
      <c r="Y303" s="681">
        <f>VLOOKUP($W303,'Bespoke Speaker Intros'!$D:$F,3,false)</f>
        <v>0</v>
      </c>
      <c r="Z303" s="697"/>
      <c r="AA303" s="665"/>
      <c r="AB303" s="665"/>
      <c r="AC303" s="591"/>
      <c r="AE303" s="617"/>
      <c r="AF303" s="618"/>
      <c r="AG303" s="581"/>
    </row>
    <row r="304">
      <c r="A304" s="607"/>
      <c r="B304" s="608"/>
      <c r="C304" s="608"/>
      <c r="D304" s="589"/>
      <c r="E304" s="581"/>
      <c r="F304" s="581"/>
      <c r="G304" s="581"/>
      <c r="H304" s="581"/>
      <c r="I304" s="581"/>
      <c r="J304" s="708"/>
      <c r="K304" s="591"/>
      <c r="P304" s="592"/>
      <c r="R304" s="593"/>
      <c r="S304" s="525" t="s">
        <v>457</v>
      </c>
      <c r="T304" s="681" t="str">
        <f t="shared" si="20"/>
        <v/>
      </c>
      <c r="U304" s="681" t="str">
        <f t="shared" si="21"/>
        <v/>
      </c>
      <c r="V304" s="681" t="str">
        <f t="shared" si="22"/>
        <v/>
      </c>
      <c r="W304" s="682" t="str">
        <f t="shared" si="23"/>
        <v>NO LINK</v>
      </c>
      <c r="X304" s="705">
        <f>VLOOKUP($W304,'Bespoke Speaker Intros'!$D:$E,2,False)</f>
        <v>0</v>
      </c>
      <c r="Y304" s="681">
        <f>VLOOKUP($W304,'Bespoke Speaker Intros'!$D:$F,3,false)</f>
        <v>0</v>
      </c>
      <c r="Z304" s="697"/>
      <c r="AA304" s="665"/>
      <c r="AB304" s="665"/>
      <c r="AC304" s="591"/>
      <c r="AE304" s="617"/>
      <c r="AF304" s="618"/>
      <c r="AG304" s="581"/>
    </row>
    <row r="305">
      <c r="A305" s="607"/>
      <c r="B305" s="608"/>
      <c r="C305" s="608"/>
      <c r="D305" s="589"/>
      <c r="E305" s="581"/>
      <c r="F305" s="581"/>
      <c r="G305" s="581"/>
      <c r="H305" s="581"/>
      <c r="I305" s="581"/>
      <c r="J305" s="708"/>
      <c r="K305" s="591"/>
      <c r="P305" s="592"/>
      <c r="R305" s="593"/>
      <c r="S305" s="525" t="s">
        <v>457</v>
      </c>
      <c r="T305" s="681" t="str">
        <f t="shared" si="20"/>
        <v/>
      </c>
      <c r="U305" s="681" t="str">
        <f t="shared" si="21"/>
        <v/>
      </c>
      <c r="V305" s="681" t="str">
        <f t="shared" si="22"/>
        <v/>
      </c>
      <c r="W305" s="682" t="str">
        <f t="shared" si="23"/>
        <v>NO LINK</v>
      </c>
      <c r="X305" s="705">
        <f>VLOOKUP($W305,'Bespoke Speaker Intros'!$D:$E,2,False)</f>
        <v>0</v>
      </c>
      <c r="Y305" s="681">
        <f>VLOOKUP($W305,'Bespoke Speaker Intros'!$D:$F,3,false)</f>
        <v>0</v>
      </c>
      <c r="Z305" s="697"/>
      <c r="AA305" s="665"/>
      <c r="AB305" s="665"/>
      <c r="AC305" s="591"/>
      <c r="AE305" s="617"/>
      <c r="AF305" s="618"/>
      <c r="AG305" s="581"/>
    </row>
    <row r="306">
      <c r="A306" s="607"/>
      <c r="B306" s="608"/>
      <c r="C306" s="608"/>
      <c r="D306" s="589"/>
      <c r="E306" s="581"/>
      <c r="F306" s="581"/>
      <c r="G306" s="581"/>
      <c r="H306" s="581"/>
      <c r="I306" s="581"/>
      <c r="J306" s="708"/>
      <c r="K306" s="591"/>
      <c r="P306" s="592"/>
      <c r="R306" s="593"/>
      <c r="S306" s="525" t="s">
        <v>457</v>
      </c>
      <c r="T306" s="681" t="str">
        <f t="shared" si="20"/>
        <v/>
      </c>
      <c r="U306" s="681" t="str">
        <f t="shared" si="21"/>
        <v/>
      </c>
      <c r="V306" s="681" t="str">
        <f t="shared" si="22"/>
        <v/>
      </c>
      <c r="W306" s="682" t="str">
        <f t="shared" si="23"/>
        <v>NO LINK</v>
      </c>
      <c r="X306" s="705">
        <f>VLOOKUP($W306,'Bespoke Speaker Intros'!$D:$E,2,False)</f>
        <v>0</v>
      </c>
      <c r="Y306" s="681">
        <f>VLOOKUP($W306,'Bespoke Speaker Intros'!$D:$F,3,false)</f>
        <v>0</v>
      </c>
      <c r="Z306" s="697"/>
      <c r="AA306" s="665"/>
      <c r="AB306" s="665"/>
      <c r="AC306" s="591"/>
      <c r="AE306" s="617"/>
      <c r="AF306" s="618"/>
      <c r="AG306" s="581"/>
    </row>
    <row r="307">
      <c r="A307" s="607"/>
      <c r="B307" s="608"/>
      <c r="C307" s="608"/>
      <c r="D307" s="589"/>
      <c r="E307" s="581"/>
      <c r="F307" s="581"/>
      <c r="G307" s="581"/>
      <c r="H307" s="581"/>
      <c r="I307" s="581"/>
      <c r="J307" s="708"/>
      <c r="K307" s="591"/>
      <c r="P307" s="592"/>
      <c r="R307" s="593"/>
      <c r="S307" s="525" t="s">
        <v>457</v>
      </c>
      <c r="T307" s="681" t="str">
        <f t="shared" si="20"/>
        <v/>
      </c>
      <c r="U307" s="681" t="str">
        <f t="shared" si="21"/>
        <v/>
      </c>
      <c r="V307" s="681" t="str">
        <f t="shared" si="22"/>
        <v/>
      </c>
      <c r="W307" s="682" t="str">
        <f t="shared" si="23"/>
        <v>NO LINK</v>
      </c>
      <c r="X307" s="705">
        <f>VLOOKUP($W307,'Bespoke Speaker Intros'!$D:$E,2,False)</f>
        <v>0</v>
      </c>
      <c r="Y307" s="681">
        <f>VLOOKUP($W307,'Bespoke Speaker Intros'!$D:$F,3,false)</f>
        <v>0</v>
      </c>
      <c r="Z307" s="697"/>
      <c r="AA307" s="665"/>
      <c r="AB307" s="665"/>
      <c r="AC307" s="591"/>
      <c r="AE307" s="617"/>
      <c r="AF307" s="618"/>
      <c r="AG307" s="581"/>
    </row>
    <row r="308">
      <c r="A308" s="607"/>
      <c r="B308" s="608"/>
      <c r="C308" s="608"/>
      <c r="D308" s="589"/>
      <c r="E308" s="581"/>
      <c r="F308" s="581"/>
      <c r="G308" s="581"/>
      <c r="H308" s="581"/>
      <c r="I308" s="581"/>
      <c r="J308" s="708"/>
      <c r="K308" s="591"/>
      <c r="P308" s="592"/>
      <c r="R308" s="593"/>
      <c r="S308" s="525" t="s">
        <v>457</v>
      </c>
      <c r="T308" s="681" t="str">
        <f t="shared" si="20"/>
        <v/>
      </c>
      <c r="U308" s="681" t="str">
        <f t="shared" si="21"/>
        <v/>
      </c>
      <c r="V308" s="681" t="str">
        <f t="shared" si="22"/>
        <v/>
      </c>
      <c r="W308" s="682" t="str">
        <f t="shared" si="23"/>
        <v>NO LINK</v>
      </c>
      <c r="X308" s="705">
        <f>VLOOKUP($W308,'Bespoke Speaker Intros'!$D:$E,2,False)</f>
        <v>0</v>
      </c>
      <c r="Y308" s="681">
        <f>VLOOKUP($W308,'Bespoke Speaker Intros'!$D:$F,3,false)</f>
        <v>0</v>
      </c>
      <c r="Z308" s="697"/>
      <c r="AA308" s="665"/>
      <c r="AB308" s="665"/>
      <c r="AC308" s="591"/>
      <c r="AE308" s="617"/>
      <c r="AF308" s="618"/>
      <c r="AG308" s="581"/>
    </row>
    <row r="309">
      <c r="A309" s="607"/>
      <c r="B309" s="608"/>
      <c r="C309" s="608"/>
      <c r="D309" s="589"/>
      <c r="E309" s="581"/>
      <c r="F309" s="581"/>
      <c r="G309" s="581"/>
      <c r="H309" s="581"/>
      <c r="I309" s="581"/>
      <c r="J309" s="708"/>
      <c r="K309" s="591"/>
      <c r="P309" s="592"/>
      <c r="R309" s="593"/>
      <c r="S309" s="525" t="s">
        <v>457</v>
      </c>
      <c r="T309" s="681" t="str">
        <f t="shared" si="20"/>
        <v/>
      </c>
      <c r="U309" s="681" t="str">
        <f t="shared" si="21"/>
        <v/>
      </c>
      <c r="V309" s="681" t="str">
        <f t="shared" si="22"/>
        <v/>
      </c>
      <c r="W309" s="682" t="str">
        <f t="shared" si="23"/>
        <v>NO LINK</v>
      </c>
      <c r="X309" s="705">
        <f>VLOOKUP($W309,'Bespoke Speaker Intros'!$D:$E,2,False)</f>
        <v>0</v>
      </c>
      <c r="Y309" s="681">
        <f>VLOOKUP($W309,'Bespoke Speaker Intros'!$D:$F,3,false)</f>
        <v>0</v>
      </c>
      <c r="Z309" s="697"/>
      <c r="AA309" s="665"/>
      <c r="AB309" s="665"/>
      <c r="AC309" s="591"/>
      <c r="AE309" s="617"/>
      <c r="AF309" s="618"/>
      <c r="AG309" s="581"/>
    </row>
    <row r="310">
      <c r="A310" s="607"/>
      <c r="B310" s="608"/>
      <c r="C310" s="608"/>
      <c r="D310" s="589"/>
      <c r="E310" s="581"/>
      <c r="F310" s="581"/>
      <c r="G310" s="581"/>
      <c r="H310" s="581"/>
      <c r="I310" s="581"/>
      <c r="J310" s="708"/>
      <c r="K310" s="591"/>
      <c r="P310" s="592"/>
      <c r="R310" s="593"/>
      <c r="S310" s="525" t="s">
        <v>457</v>
      </c>
      <c r="T310" s="681" t="str">
        <f t="shared" si="20"/>
        <v/>
      </c>
      <c r="U310" s="681" t="str">
        <f t="shared" si="21"/>
        <v/>
      </c>
      <c r="V310" s="681" t="str">
        <f t="shared" si="22"/>
        <v/>
      </c>
      <c r="W310" s="682" t="str">
        <f t="shared" si="23"/>
        <v>NO LINK</v>
      </c>
      <c r="X310" s="705">
        <f>VLOOKUP($W310,'Bespoke Speaker Intros'!$D:$E,2,False)</f>
        <v>0</v>
      </c>
      <c r="Y310" s="681">
        <f>VLOOKUP($W310,'Bespoke Speaker Intros'!$D:$F,3,false)</f>
        <v>0</v>
      </c>
      <c r="Z310" s="697"/>
      <c r="AA310" s="665"/>
      <c r="AB310" s="665"/>
      <c r="AC310" s="591"/>
      <c r="AE310" s="617"/>
      <c r="AF310" s="618"/>
      <c r="AG310" s="581"/>
    </row>
    <row r="311">
      <c r="A311" s="607"/>
      <c r="B311" s="608"/>
      <c r="C311" s="608"/>
      <c r="D311" s="589"/>
      <c r="E311" s="581"/>
      <c r="F311" s="581"/>
      <c r="G311" s="581"/>
      <c r="H311" s="581"/>
      <c r="I311" s="581"/>
      <c r="J311" s="708"/>
      <c r="K311" s="591"/>
      <c r="P311" s="592"/>
      <c r="R311" s="593"/>
      <c r="S311" s="525" t="s">
        <v>457</v>
      </c>
      <c r="T311" s="681" t="str">
        <f t="shared" si="20"/>
        <v/>
      </c>
      <c r="U311" s="681" t="str">
        <f t="shared" si="21"/>
        <v/>
      </c>
      <c r="V311" s="681" t="str">
        <f t="shared" si="22"/>
        <v/>
      </c>
      <c r="W311" s="682" t="str">
        <f t="shared" si="23"/>
        <v>NO LINK</v>
      </c>
      <c r="X311" s="705">
        <f>VLOOKUP($W311,'Bespoke Speaker Intros'!$D:$E,2,False)</f>
        <v>0</v>
      </c>
      <c r="Y311" s="681">
        <f>VLOOKUP($W311,'Bespoke Speaker Intros'!$D:$F,3,false)</f>
        <v>0</v>
      </c>
      <c r="Z311" s="697"/>
      <c r="AA311" s="665"/>
      <c r="AB311" s="665"/>
      <c r="AC311" s="591"/>
      <c r="AE311" s="617"/>
      <c r="AF311" s="618"/>
      <c r="AG311" s="581"/>
    </row>
    <row r="312">
      <c r="A312" s="607"/>
      <c r="B312" s="608"/>
      <c r="C312" s="608"/>
      <c r="D312" s="589"/>
      <c r="E312" s="581"/>
      <c r="F312" s="581"/>
      <c r="G312" s="581"/>
      <c r="H312" s="581"/>
      <c r="I312" s="581"/>
      <c r="J312" s="708"/>
      <c r="K312" s="591"/>
      <c r="P312" s="592"/>
      <c r="R312" s="593"/>
      <c r="S312" s="525" t="s">
        <v>457</v>
      </c>
      <c r="T312" s="681" t="str">
        <f t="shared" si="20"/>
        <v/>
      </c>
      <c r="U312" s="681" t="str">
        <f t="shared" si="21"/>
        <v/>
      </c>
      <c r="V312" s="681" t="str">
        <f t="shared" si="22"/>
        <v/>
      </c>
      <c r="W312" s="682" t="str">
        <f t="shared" si="23"/>
        <v>NO LINK</v>
      </c>
      <c r="X312" s="705">
        <f>VLOOKUP($W312,'Bespoke Speaker Intros'!$D:$E,2,False)</f>
        <v>0</v>
      </c>
      <c r="Y312" s="681">
        <f>VLOOKUP($W312,'Bespoke Speaker Intros'!$D:$F,3,false)</f>
        <v>0</v>
      </c>
      <c r="Z312" s="697"/>
      <c r="AA312" s="665"/>
      <c r="AB312" s="665"/>
      <c r="AC312" s="591"/>
      <c r="AE312" s="617"/>
      <c r="AF312" s="618"/>
      <c r="AG312" s="581"/>
    </row>
    <row r="313">
      <c r="A313" s="607"/>
      <c r="B313" s="608"/>
      <c r="C313" s="608"/>
      <c r="D313" s="589"/>
      <c r="E313" s="581"/>
      <c r="F313" s="581"/>
      <c r="G313" s="581"/>
      <c r="H313" s="581"/>
      <c r="I313" s="581"/>
      <c r="J313" s="708"/>
      <c r="K313" s="591"/>
      <c r="P313" s="592"/>
      <c r="R313" s="593"/>
      <c r="S313" s="525" t="s">
        <v>457</v>
      </c>
      <c r="T313" s="681" t="str">
        <f t="shared" si="20"/>
        <v/>
      </c>
      <c r="U313" s="681" t="str">
        <f t="shared" si="21"/>
        <v/>
      </c>
      <c r="V313" s="681" t="str">
        <f t="shared" si="22"/>
        <v/>
      </c>
      <c r="W313" s="682" t="str">
        <f t="shared" si="23"/>
        <v>NO LINK</v>
      </c>
      <c r="X313" s="705">
        <f>VLOOKUP($W313,'Bespoke Speaker Intros'!$D:$E,2,False)</f>
        <v>0</v>
      </c>
      <c r="Y313" s="681">
        <f>VLOOKUP($W313,'Bespoke Speaker Intros'!$D:$F,3,false)</f>
        <v>0</v>
      </c>
      <c r="Z313" s="697"/>
      <c r="AA313" s="665"/>
      <c r="AB313" s="665"/>
      <c r="AC313" s="591"/>
      <c r="AE313" s="617"/>
      <c r="AF313" s="618"/>
      <c r="AG313" s="581"/>
    </row>
    <row r="314">
      <c r="A314" s="607"/>
      <c r="B314" s="608"/>
      <c r="C314" s="608"/>
      <c r="D314" s="589"/>
      <c r="E314" s="581"/>
      <c r="F314" s="581"/>
      <c r="G314" s="581"/>
      <c r="H314" s="581"/>
      <c r="I314" s="581"/>
      <c r="J314" s="708"/>
      <c r="K314" s="591"/>
      <c r="P314" s="592"/>
      <c r="R314" s="593"/>
      <c r="S314" s="525" t="s">
        <v>10037</v>
      </c>
      <c r="T314" s="681" t="str">
        <f t="shared" si="20"/>
        <v>Email</v>
      </c>
      <c r="U314" s="681" t="str">
        <f t="shared" si="21"/>
        <v>photo.request@disney.com
lisa.a.gagliardi@abc.com</v>
      </c>
      <c r="V314" s="681" t="str">
        <f t="shared" si="22"/>
        <v>ABC TV</v>
      </c>
      <c r="W314" s="682" t="str">
        <f t="shared" si="23"/>
        <v>#N/A</v>
      </c>
      <c r="X314" s="681" t="str">
        <f>VLOOKUP($W314,'Bespoke Speaker Intros'!$D:$E,2,False)</f>
        <v>#N/A</v>
      </c>
      <c r="Y314" s="681" t="str">
        <f>VLOOKUP($W314,'Bespoke Speaker Intros'!$D:$F,3,false)</f>
        <v>#N/A</v>
      </c>
      <c r="Z314" s="697"/>
      <c r="AA314" s="665"/>
      <c r="AB314" s="665"/>
      <c r="AC314" s="591"/>
      <c r="AE314" s="617"/>
      <c r="AF314" s="618"/>
      <c r="AG314" s="581"/>
    </row>
    <row r="315">
      <c r="A315" s="607"/>
      <c r="B315" s="608"/>
      <c r="C315" s="608"/>
      <c r="D315" s="589"/>
      <c r="E315" s="581"/>
      <c r="F315" s="581"/>
      <c r="G315" s="581"/>
      <c r="H315" s="581"/>
      <c r="I315" s="581"/>
      <c r="J315" s="708"/>
      <c r="K315" s="591"/>
      <c r="P315" s="592"/>
      <c r="R315" s="593"/>
      <c r="S315" s="525" t="s">
        <v>457</v>
      </c>
      <c r="T315" s="681" t="str">
        <f t="shared" si="20"/>
        <v/>
      </c>
      <c r="U315" s="585" t="s">
        <v>8927</v>
      </c>
      <c r="V315" s="585" t="s">
        <v>8927</v>
      </c>
      <c r="W315" s="585" t="s">
        <v>8927</v>
      </c>
      <c r="X315" s="681" t="str">
        <f>VLOOKUP($W315,'Bespoke Speaker Intros'!$D:$E,2,False)</f>
        <v>00:00:01:12 - 00:00:02:21, </v>
      </c>
      <c r="Y315" s="681">
        <f>VLOOKUP($W315,'Bespoke Speaker Intros'!$D:$F,3,false)</f>
        <v>2</v>
      </c>
      <c r="Z315" s="697"/>
      <c r="AA315" s="665"/>
      <c r="AB315" s="665"/>
      <c r="AC315" s="591"/>
      <c r="AE315" s="617"/>
      <c r="AF315" s="618"/>
      <c r="AG315" s="581"/>
    </row>
    <row r="316">
      <c r="A316" s="607"/>
      <c r="B316" s="608"/>
      <c r="C316" s="608"/>
      <c r="D316" s="589"/>
      <c r="E316" s="581"/>
      <c r="F316" s="581"/>
      <c r="G316" s="581"/>
      <c r="H316" s="581"/>
      <c r="I316" s="581"/>
      <c r="J316" s="708"/>
      <c r="K316" s="591"/>
      <c r="P316" s="592"/>
      <c r="R316" s="593"/>
      <c r="S316" s="525" t="s">
        <v>457</v>
      </c>
      <c r="T316" s="681" t="str">
        <f t="shared" si="20"/>
        <v/>
      </c>
      <c r="U316" s="681" t="str">
        <f t="shared" ref="U316:U413" si="24">VLOOKUP($S316,$F$4:$O$201,5,false)</f>
        <v/>
      </c>
      <c r="V316" s="681" t="str">
        <f t="shared" ref="V316:V413" si="25">VLOOKUP($S316,$F$4:$O$201,3,false)</f>
        <v/>
      </c>
      <c r="W316" s="585" t="s">
        <v>9284</v>
      </c>
      <c r="X316" s="681" t="str">
        <f>VLOOKUP($W316,'Bespoke Speaker Intros'!$D:$E,2,False)</f>
        <v>00:00 - 00:05</v>
      </c>
      <c r="Y316" s="681">
        <f>VLOOKUP($W316,'Bespoke Speaker Intros'!$D:$F,3,false)</f>
        <v>6</v>
      </c>
      <c r="Z316" s="697"/>
      <c r="AA316" s="665"/>
      <c r="AB316" s="665"/>
      <c r="AC316" s="591"/>
      <c r="AE316" s="617"/>
      <c r="AF316" s="618"/>
      <c r="AG316" s="581"/>
    </row>
    <row r="317">
      <c r="A317" s="607"/>
      <c r="B317" s="608"/>
      <c r="C317" s="608"/>
      <c r="D317" s="589"/>
      <c r="E317" s="581"/>
      <c r="F317" s="581"/>
      <c r="G317" s="581"/>
      <c r="H317" s="581"/>
      <c r="I317" s="581"/>
      <c r="J317" s="708"/>
      <c r="K317" s="591"/>
      <c r="P317" s="592"/>
      <c r="R317" s="593"/>
      <c r="S317" s="525" t="s">
        <v>457</v>
      </c>
      <c r="T317" s="681" t="str">
        <f t="shared" si="20"/>
        <v/>
      </c>
      <c r="U317" s="681" t="str">
        <f t="shared" si="24"/>
        <v/>
      </c>
      <c r="V317" s="681" t="str">
        <f t="shared" si="25"/>
        <v/>
      </c>
      <c r="W317" s="682" t="str">
        <f t="shared" ref="W317:W413" si="26">VLOOKUP($S317,$L:$O,2,False)</f>
        <v>NO LINK</v>
      </c>
      <c r="X317" s="705">
        <f>VLOOKUP($W317,'Bespoke Speaker Intros'!$D:$E,2,False)</f>
        <v>0</v>
      </c>
      <c r="Y317" s="681">
        <f>VLOOKUP($W317,'Bespoke Speaker Intros'!$D:$F,3,false)</f>
        <v>0</v>
      </c>
      <c r="Z317" s="697"/>
      <c r="AA317" s="665"/>
      <c r="AB317" s="665"/>
      <c r="AC317" s="591"/>
      <c r="AE317" s="617"/>
      <c r="AF317" s="618"/>
      <c r="AG317" s="581"/>
    </row>
    <row r="318">
      <c r="A318" s="607"/>
      <c r="B318" s="608"/>
      <c r="C318" s="608"/>
      <c r="D318" s="589"/>
      <c r="E318" s="581"/>
      <c r="F318" s="581"/>
      <c r="G318" s="581"/>
      <c r="H318" s="581"/>
      <c r="I318" s="581"/>
      <c r="J318" s="708"/>
      <c r="K318" s="591"/>
      <c r="P318" s="592"/>
      <c r="R318" s="593"/>
      <c r="S318" s="525" t="s">
        <v>457</v>
      </c>
      <c r="T318" s="681" t="str">
        <f t="shared" si="20"/>
        <v/>
      </c>
      <c r="U318" s="681" t="str">
        <f t="shared" si="24"/>
        <v/>
      </c>
      <c r="V318" s="681" t="str">
        <f t="shared" si="25"/>
        <v/>
      </c>
      <c r="W318" s="682" t="str">
        <f t="shared" si="26"/>
        <v>NO LINK</v>
      </c>
      <c r="X318" s="705">
        <f>VLOOKUP($W318,'Bespoke Speaker Intros'!$D:$E,2,False)</f>
        <v>0</v>
      </c>
      <c r="Y318" s="681">
        <f>VLOOKUP($W318,'Bespoke Speaker Intros'!$D:$F,3,false)</f>
        <v>0</v>
      </c>
      <c r="Z318" s="697"/>
      <c r="AA318" s="665"/>
      <c r="AB318" s="665"/>
      <c r="AC318" s="591"/>
      <c r="AE318" s="617"/>
      <c r="AF318" s="618"/>
      <c r="AG318" s="581"/>
    </row>
    <row r="319">
      <c r="A319" s="607"/>
      <c r="B319" s="608"/>
      <c r="C319" s="608"/>
      <c r="D319" s="589"/>
      <c r="E319" s="581"/>
      <c r="F319" s="581"/>
      <c r="G319" s="581"/>
      <c r="H319" s="581"/>
      <c r="I319" s="581"/>
      <c r="J319" s="708"/>
      <c r="K319" s="591"/>
      <c r="P319" s="592"/>
      <c r="R319" s="593"/>
      <c r="S319" s="525" t="s">
        <v>457</v>
      </c>
      <c r="T319" s="681" t="str">
        <f t="shared" si="20"/>
        <v/>
      </c>
      <c r="U319" s="681" t="str">
        <f t="shared" si="24"/>
        <v/>
      </c>
      <c r="V319" s="681" t="str">
        <f t="shared" si="25"/>
        <v/>
      </c>
      <c r="W319" s="682" t="str">
        <f t="shared" si="26"/>
        <v>NO LINK</v>
      </c>
      <c r="X319" s="705">
        <f>VLOOKUP($W319,'Bespoke Speaker Intros'!$D:$E,2,False)</f>
        <v>0</v>
      </c>
      <c r="Y319" s="681">
        <f>VLOOKUP($W319,'Bespoke Speaker Intros'!$D:$F,3,false)</f>
        <v>0</v>
      </c>
      <c r="Z319" s="697"/>
      <c r="AA319" s="665"/>
      <c r="AB319" s="665"/>
      <c r="AC319" s="591"/>
      <c r="AE319" s="617"/>
      <c r="AF319" s="618"/>
      <c r="AG319" s="581"/>
    </row>
    <row r="320">
      <c r="A320" s="607"/>
      <c r="B320" s="608"/>
      <c r="C320" s="608"/>
      <c r="D320" s="589"/>
      <c r="E320" s="581"/>
      <c r="F320" s="581"/>
      <c r="G320" s="581"/>
      <c r="H320" s="581"/>
      <c r="I320" s="581"/>
      <c r="J320" s="708"/>
      <c r="K320" s="591"/>
      <c r="P320" s="592"/>
      <c r="R320" s="593"/>
      <c r="S320" s="525" t="s">
        <v>457</v>
      </c>
      <c r="T320" s="681" t="str">
        <f t="shared" si="20"/>
        <v/>
      </c>
      <c r="U320" s="681" t="str">
        <f t="shared" si="24"/>
        <v/>
      </c>
      <c r="V320" s="681" t="str">
        <f t="shared" si="25"/>
        <v/>
      </c>
      <c r="W320" s="682" t="str">
        <f t="shared" si="26"/>
        <v>NO LINK</v>
      </c>
      <c r="X320" s="705">
        <f>VLOOKUP($W320,'Bespoke Speaker Intros'!$D:$E,2,False)</f>
        <v>0</v>
      </c>
      <c r="Y320" s="681">
        <f>VLOOKUP($W320,'Bespoke Speaker Intros'!$D:$F,3,false)</f>
        <v>0</v>
      </c>
      <c r="Z320" s="697"/>
      <c r="AA320" s="665"/>
      <c r="AB320" s="665"/>
      <c r="AC320" s="591"/>
      <c r="AE320" s="617"/>
      <c r="AF320" s="618"/>
      <c r="AG320" s="581"/>
    </row>
    <row r="321">
      <c r="A321" s="607"/>
      <c r="B321" s="608"/>
      <c r="C321" s="608"/>
      <c r="D321" s="589"/>
      <c r="E321" s="581"/>
      <c r="F321" s="581"/>
      <c r="G321" s="581"/>
      <c r="H321" s="581"/>
      <c r="I321" s="581"/>
      <c r="J321" s="708"/>
      <c r="K321" s="591"/>
      <c r="P321" s="592"/>
      <c r="R321" s="593"/>
      <c r="S321" s="525" t="s">
        <v>457</v>
      </c>
      <c r="T321" s="681" t="str">
        <f t="shared" si="20"/>
        <v/>
      </c>
      <c r="U321" s="681" t="str">
        <f t="shared" si="24"/>
        <v/>
      </c>
      <c r="V321" s="681" t="str">
        <f t="shared" si="25"/>
        <v/>
      </c>
      <c r="W321" s="682" t="str">
        <f t="shared" si="26"/>
        <v>NO LINK</v>
      </c>
      <c r="X321" s="705">
        <f>VLOOKUP($W321,'Bespoke Speaker Intros'!$D:$E,2,False)</f>
        <v>0</v>
      </c>
      <c r="Y321" s="681">
        <f>VLOOKUP($W321,'Bespoke Speaker Intros'!$D:$F,3,false)</f>
        <v>0</v>
      </c>
      <c r="Z321" s="697"/>
      <c r="AA321" s="665"/>
      <c r="AB321" s="665"/>
      <c r="AC321" s="591"/>
      <c r="AE321" s="617"/>
      <c r="AF321" s="618"/>
      <c r="AG321" s="581"/>
    </row>
    <row r="322">
      <c r="A322" s="607"/>
      <c r="B322" s="608"/>
      <c r="C322" s="608"/>
      <c r="D322" s="589"/>
      <c r="E322" s="581"/>
      <c r="F322" s="581"/>
      <c r="G322" s="581"/>
      <c r="H322" s="581"/>
      <c r="I322" s="581"/>
      <c r="J322" s="708"/>
      <c r="K322" s="591"/>
      <c r="P322" s="592"/>
      <c r="R322" s="593"/>
      <c r="S322" s="525" t="s">
        <v>457</v>
      </c>
      <c r="T322" s="681" t="str">
        <f t="shared" si="20"/>
        <v/>
      </c>
      <c r="U322" s="681" t="str">
        <f t="shared" si="24"/>
        <v/>
      </c>
      <c r="V322" s="681" t="str">
        <f t="shared" si="25"/>
        <v/>
      </c>
      <c r="W322" s="682" t="str">
        <f t="shared" si="26"/>
        <v>NO LINK</v>
      </c>
      <c r="X322" s="705">
        <f>VLOOKUP($W322,'Bespoke Speaker Intros'!$D:$E,2,False)</f>
        <v>0</v>
      </c>
      <c r="Y322" s="681">
        <f>VLOOKUP($W322,'Bespoke Speaker Intros'!$D:$F,3,false)</f>
        <v>0</v>
      </c>
      <c r="Z322" s="697"/>
      <c r="AA322" s="665"/>
      <c r="AB322" s="665"/>
      <c r="AC322" s="591"/>
      <c r="AE322" s="617"/>
      <c r="AF322" s="618"/>
      <c r="AG322" s="581"/>
    </row>
    <row r="323">
      <c r="A323" s="607"/>
      <c r="B323" s="608"/>
      <c r="C323" s="608"/>
      <c r="D323" s="589"/>
      <c r="E323" s="581"/>
      <c r="F323" s="581"/>
      <c r="G323" s="581"/>
      <c r="H323" s="581"/>
      <c r="I323" s="581"/>
      <c r="J323" s="708"/>
      <c r="K323" s="591"/>
      <c r="P323" s="592"/>
      <c r="R323" s="593"/>
      <c r="S323" s="525" t="s">
        <v>457</v>
      </c>
      <c r="T323" s="681" t="str">
        <f t="shared" si="20"/>
        <v/>
      </c>
      <c r="U323" s="681" t="str">
        <f t="shared" si="24"/>
        <v/>
      </c>
      <c r="V323" s="681" t="str">
        <f t="shared" si="25"/>
        <v/>
      </c>
      <c r="W323" s="682" t="str">
        <f t="shared" si="26"/>
        <v>NO LINK</v>
      </c>
      <c r="X323" s="705">
        <f>VLOOKUP($W323,'Bespoke Speaker Intros'!$D:$E,2,False)</f>
        <v>0</v>
      </c>
      <c r="Y323" s="681">
        <f>VLOOKUP($W323,'Bespoke Speaker Intros'!$D:$F,3,false)</f>
        <v>0</v>
      </c>
      <c r="Z323" s="697"/>
      <c r="AA323" s="665"/>
      <c r="AB323" s="665"/>
      <c r="AC323" s="591"/>
      <c r="AE323" s="617"/>
      <c r="AF323" s="618"/>
      <c r="AG323" s="581"/>
    </row>
    <row r="324">
      <c r="A324" s="607"/>
      <c r="B324" s="608"/>
      <c r="C324" s="608"/>
      <c r="D324" s="589"/>
      <c r="E324" s="581"/>
      <c r="F324" s="581"/>
      <c r="G324" s="581"/>
      <c r="H324" s="581"/>
      <c r="I324" s="581"/>
      <c r="J324" s="708"/>
      <c r="K324" s="591"/>
      <c r="P324" s="592"/>
      <c r="R324" s="593"/>
      <c r="S324" s="525" t="s">
        <v>457</v>
      </c>
      <c r="T324" s="681" t="str">
        <f t="shared" si="20"/>
        <v/>
      </c>
      <c r="U324" s="681" t="str">
        <f t="shared" si="24"/>
        <v/>
      </c>
      <c r="V324" s="681" t="str">
        <f t="shared" si="25"/>
        <v/>
      </c>
      <c r="W324" s="682" t="str">
        <f t="shared" si="26"/>
        <v>NO LINK</v>
      </c>
      <c r="X324" s="705">
        <f>VLOOKUP($W324,'Bespoke Speaker Intros'!$D:$E,2,False)</f>
        <v>0</v>
      </c>
      <c r="Y324" s="681">
        <f>VLOOKUP($W324,'Bespoke Speaker Intros'!$D:$F,3,false)</f>
        <v>0</v>
      </c>
      <c r="Z324" s="697"/>
      <c r="AA324" s="665"/>
      <c r="AB324" s="665"/>
      <c r="AC324" s="591"/>
      <c r="AE324" s="617"/>
      <c r="AF324" s="618"/>
      <c r="AG324" s="581"/>
    </row>
    <row r="325">
      <c r="A325" s="607"/>
      <c r="B325" s="608"/>
      <c r="C325" s="608"/>
      <c r="D325" s="589"/>
      <c r="E325" s="581"/>
      <c r="F325" s="581"/>
      <c r="G325" s="581"/>
      <c r="H325" s="581"/>
      <c r="I325" s="581"/>
      <c r="J325" s="708"/>
      <c r="K325" s="591"/>
      <c r="P325" s="592"/>
      <c r="R325" s="593"/>
      <c r="S325" s="525" t="s">
        <v>457</v>
      </c>
      <c r="T325" s="681" t="str">
        <f t="shared" si="20"/>
        <v/>
      </c>
      <c r="U325" s="681" t="str">
        <f t="shared" si="24"/>
        <v/>
      </c>
      <c r="V325" s="681" t="str">
        <f t="shared" si="25"/>
        <v/>
      </c>
      <c r="W325" s="682" t="str">
        <f t="shared" si="26"/>
        <v>NO LINK</v>
      </c>
      <c r="X325" s="705">
        <f>VLOOKUP($W325,'Bespoke Speaker Intros'!$D:$E,2,False)</f>
        <v>0</v>
      </c>
      <c r="Y325" s="681">
        <f>VLOOKUP($W325,'Bespoke Speaker Intros'!$D:$F,3,false)</f>
        <v>0</v>
      </c>
      <c r="Z325" s="697"/>
      <c r="AA325" s="665"/>
      <c r="AB325" s="665"/>
      <c r="AC325" s="591"/>
      <c r="AE325" s="617"/>
      <c r="AF325" s="618"/>
      <c r="AG325" s="581"/>
    </row>
    <row r="326">
      <c r="A326" s="607"/>
      <c r="B326" s="608"/>
      <c r="C326" s="608"/>
      <c r="D326" s="589"/>
      <c r="E326" s="581"/>
      <c r="F326" s="581"/>
      <c r="G326" s="581"/>
      <c r="H326" s="581"/>
      <c r="I326" s="581"/>
      <c r="J326" s="708"/>
      <c r="K326" s="591"/>
      <c r="P326" s="592"/>
      <c r="R326" s="593"/>
      <c r="S326" s="525" t="s">
        <v>457</v>
      </c>
      <c r="T326" s="681" t="str">
        <f t="shared" si="20"/>
        <v/>
      </c>
      <c r="U326" s="681" t="str">
        <f t="shared" si="24"/>
        <v/>
      </c>
      <c r="V326" s="681" t="str">
        <f t="shared" si="25"/>
        <v/>
      </c>
      <c r="W326" s="682" t="str">
        <f t="shared" si="26"/>
        <v>NO LINK</v>
      </c>
      <c r="X326" s="705">
        <f>VLOOKUP($W326,'Bespoke Speaker Intros'!$D:$E,2,False)</f>
        <v>0</v>
      </c>
      <c r="Y326" s="681">
        <f>VLOOKUP($W326,'Bespoke Speaker Intros'!$D:$F,3,false)</f>
        <v>0</v>
      </c>
      <c r="Z326" s="697"/>
      <c r="AA326" s="665"/>
      <c r="AB326" s="665"/>
      <c r="AC326" s="591"/>
      <c r="AE326" s="617"/>
      <c r="AF326" s="618"/>
      <c r="AG326" s="581"/>
    </row>
    <row r="327">
      <c r="A327" s="607"/>
      <c r="B327" s="608"/>
      <c r="C327" s="608"/>
      <c r="D327" s="589"/>
      <c r="E327" s="581"/>
      <c r="F327" s="581"/>
      <c r="G327" s="581"/>
      <c r="H327" s="581"/>
      <c r="I327" s="581"/>
      <c r="J327" s="708"/>
      <c r="K327" s="591"/>
      <c r="P327" s="592"/>
      <c r="R327" s="593"/>
      <c r="S327" s="525" t="s">
        <v>457</v>
      </c>
      <c r="T327" s="681" t="str">
        <f t="shared" si="20"/>
        <v/>
      </c>
      <c r="U327" s="681" t="str">
        <f t="shared" si="24"/>
        <v/>
      </c>
      <c r="V327" s="681" t="str">
        <f t="shared" si="25"/>
        <v/>
      </c>
      <c r="W327" s="682" t="str">
        <f t="shared" si="26"/>
        <v>NO LINK</v>
      </c>
      <c r="X327" s="705">
        <f>VLOOKUP($W327,'Bespoke Speaker Intros'!$D:$E,2,False)</f>
        <v>0</v>
      </c>
      <c r="Y327" s="681">
        <f>VLOOKUP($W327,'Bespoke Speaker Intros'!$D:$F,3,false)</f>
        <v>0</v>
      </c>
      <c r="Z327" s="697"/>
      <c r="AA327" s="665"/>
      <c r="AB327" s="665"/>
      <c r="AC327" s="591"/>
      <c r="AE327" s="617"/>
      <c r="AF327" s="618"/>
      <c r="AG327" s="581"/>
    </row>
    <row r="328">
      <c r="A328" s="607"/>
      <c r="B328" s="608"/>
      <c r="C328" s="608"/>
      <c r="D328" s="589"/>
      <c r="E328" s="581"/>
      <c r="F328" s="581"/>
      <c r="G328" s="581"/>
      <c r="H328" s="581"/>
      <c r="I328" s="581"/>
      <c r="J328" s="708"/>
      <c r="K328" s="591"/>
      <c r="P328" s="592"/>
      <c r="R328" s="593"/>
      <c r="S328" s="525" t="s">
        <v>457</v>
      </c>
      <c r="T328" s="681" t="str">
        <f t="shared" si="20"/>
        <v/>
      </c>
      <c r="U328" s="681" t="str">
        <f t="shared" si="24"/>
        <v/>
      </c>
      <c r="V328" s="681" t="str">
        <f t="shared" si="25"/>
        <v/>
      </c>
      <c r="W328" s="682" t="str">
        <f t="shared" si="26"/>
        <v>NO LINK</v>
      </c>
      <c r="X328" s="705">
        <f>VLOOKUP($W328,'Bespoke Speaker Intros'!$D:$E,2,False)</f>
        <v>0</v>
      </c>
      <c r="Y328" s="681">
        <f>VLOOKUP($W328,'Bespoke Speaker Intros'!$D:$F,3,false)</f>
        <v>0</v>
      </c>
      <c r="Z328" s="697"/>
      <c r="AA328" s="665"/>
      <c r="AB328" s="665"/>
      <c r="AC328" s="591"/>
      <c r="AE328" s="617"/>
      <c r="AF328" s="618"/>
      <c r="AG328" s="581"/>
    </row>
    <row r="329">
      <c r="A329" s="607"/>
      <c r="B329" s="608"/>
      <c r="C329" s="608"/>
      <c r="D329" s="589"/>
      <c r="E329" s="581"/>
      <c r="F329" s="581"/>
      <c r="G329" s="581"/>
      <c r="H329" s="581"/>
      <c r="I329" s="581"/>
      <c r="J329" s="708"/>
      <c r="K329" s="591"/>
      <c r="P329" s="592"/>
      <c r="R329" s="593"/>
      <c r="S329" s="525" t="s">
        <v>457</v>
      </c>
      <c r="T329" s="681" t="str">
        <f t="shared" si="20"/>
        <v/>
      </c>
      <c r="U329" s="681" t="str">
        <f t="shared" si="24"/>
        <v/>
      </c>
      <c r="V329" s="681" t="str">
        <f t="shared" si="25"/>
        <v/>
      </c>
      <c r="W329" s="682" t="str">
        <f t="shared" si="26"/>
        <v>NO LINK</v>
      </c>
      <c r="X329" s="705">
        <f>VLOOKUP($W329,'Bespoke Speaker Intros'!$D:$E,2,False)</f>
        <v>0</v>
      </c>
      <c r="Y329" s="681">
        <f>VLOOKUP($W329,'Bespoke Speaker Intros'!$D:$F,3,false)</f>
        <v>0</v>
      </c>
      <c r="Z329" s="697"/>
      <c r="AA329" s="665"/>
      <c r="AB329" s="665"/>
      <c r="AC329" s="591"/>
      <c r="AE329" s="617"/>
      <c r="AF329" s="618"/>
      <c r="AG329" s="581"/>
    </row>
    <row r="330">
      <c r="A330" s="607"/>
      <c r="B330" s="608"/>
      <c r="C330" s="608"/>
      <c r="D330" s="589"/>
      <c r="E330" s="581"/>
      <c r="F330" s="581"/>
      <c r="G330" s="581"/>
      <c r="H330" s="581"/>
      <c r="I330" s="581"/>
      <c r="J330" s="708"/>
      <c r="K330" s="591"/>
      <c r="P330" s="592"/>
      <c r="R330" s="593"/>
      <c r="S330" s="525" t="s">
        <v>457</v>
      </c>
      <c r="T330" s="681" t="str">
        <f t="shared" si="20"/>
        <v/>
      </c>
      <c r="U330" s="681" t="str">
        <f t="shared" si="24"/>
        <v/>
      </c>
      <c r="V330" s="681" t="str">
        <f t="shared" si="25"/>
        <v/>
      </c>
      <c r="W330" s="682" t="str">
        <f t="shared" si="26"/>
        <v>NO LINK</v>
      </c>
      <c r="X330" s="705">
        <f>VLOOKUP($W330,'Bespoke Speaker Intros'!$D:$E,2,False)</f>
        <v>0</v>
      </c>
      <c r="Y330" s="681">
        <f>VLOOKUP($W330,'Bespoke Speaker Intros'!$D:$F,3,false)</f>
        <v>0</v>
      </c>
      <c r="Z330" s="697"/>
      <c r="AA330" s="665"/>
      <c r="AB330" s="665"/>
      <c r="AC330" s="591"/>
      <c r="AE330" s="617"/>
      <c r="AF330" s="618"/>
      <c r="AG330" s="581"/>
    </row>
    <row r="331">
      <c r="A331" s="607"/>
      <c r="B331" s="608"/>
      <c r="C331" s="608"/>
      <c r="D331" s="589"/>
      <c r="E331" s="581"/>
      <c r="F331" s="581"/>
      <c r="G331" s="581"/>
      <c r="H331" s="581"/>
      <c r="I331" s="581"/>
      <c r="J331" s="708"/>
      <c r="K331" s="591"/>
      <c r="P331" s="592"/>
      <c r="R331" s="593"/>
      <c r="S331" s="525" t="s">
        <v>457</v>
      </c>
      <c r="T331" s="681" t="str">
        <f t="shared" si="20"/>
        <v/>
      </c>
      <c r="U331" s="681" t="str">
        <f t="shared" si="24"/>
        <v/>
      </c>
      <c r="V331" s="681" t="str">
        <f t="shared" si="25"/>
        <v/>
      </c>
      <c r="W331" s="682" t="str">
        <f t="shared" si="26"/>
        <v>NO LINK</v>
      </c>
      <c r="X331" s="705">
        <f>VLOOKUP($W331,'Bespoke Speaker Intros'!$D:$E,2,False)</f>
        <v>0</v>
      </c>
      <c r="Y331" s="681">
        <f>VLOOKUP($W331,'Bespoke Speaker Intros'!$D:$F,3,false)</f>
        <v>0</v>
      </c>
      <c r="Z331" s="697"/>
      <c r="AA331" s="665"/>
      <c r="AB331" s="665"/>
      <c r="AC331" s="591"/>
      <c r="AE331" s="617"/>
      <c r="AF331" s="618"/>
      <c r="AG331" s="581"/>
    </row>
    <row r="332">
      <c r="A332" s="607"/>
      <c r="B332" s="608"/>
      <c r="C332" s="608"/>
      <c r="D332" s="589"/>
      <c r="E332" s="581"/>
      <c r="F332" s="581"/>
      <c r="G332" s="581"/>
      <c r="H332" s="581"/>
      <c r="I332" s="581"/>
      <c r="J332" s="708"/>
      <c r="K332" s="591"/>
      <c r="P332" s="592"/>
      <c r="R332" s="593"/>
      <c r="S332" s="525" t="s">
        <v>457</v>
      </c>
      <c r="T332" s="681" t="str">
        <f t="shared" si="20"/>
        <v/>
      </c>
      <c r="U332" s="681" t="str">
        <f t="shared" si="24"/>
        <v/>
      </c>
      <c r="V332" s="681" t="str">
        <f t="shared" si="25"/>
        <v/>
      </c>
      <c r="W332" s="682" t="str">
        <f t="shared" si="26"/>
        <v>NO LINK</v>
      </c>
      <c r="X332" s="705">
        <f>VLOOKUP($W332,'Bespoke Speaker Intros'!$D:$E,2,False)</f>
        <v>0</v>
      </c>
      <c r="Y332" s="681">
        <f>VLOOKUP($W332,'Bespoke Speaker Intros'!$D:$F,3,false)</f>
        <v>0</v>
      </c>
      <c r="Z332" s="697"/>
      <c r="AA332" s="665"/>
      <c r="AB332" s="665"/>
      <c r="AC332" s="591"/>
      <c r="AE332" s="617"/>
      <c r="AF332" s="618"/>
      <c r="AG332" s="581"/>
    </row>
    <row r="333">
      <c r="A333" s="607"/>
      <c r="B333" s="608"/>
      <c r="C333" s="608"/>
      <c r="D333" s="589"/>
      <c r="E333" s="581"/>
      <c r="F333" s="581"/>
      <c r="G333" s="581"/>
      <c r="H333" s="581"/>
      <c r="I333" s="581"/>
      <c r="J333" s="708"/>
      <c r="K333" s="591"/>
      <c r="P333" s="592"/>
      <c r="R333" s="593"/>
      <c r="S333" s="525" t="s">
        <v>457</v>
      </c>
      <c r="T333" s="681" t="str">
        <f t="shared" si="20"/>
        <v/>
      </c>
      <c r="U333" s="681" t="str">
        <f t="shared" si="24"/>
        <v/>
      </c>
      <c r="V333" s="681" t="str">
        <f t="shared" si="25"/>
        <v/>
      </c>
      <c r="W333" s="682" t="str">
        <f t="shared" si="26"/>
        <v>NO LINK</v>
      </c>
      <c r="X333" s="705">
        <f>VLOOKUP($W333,'Bespoke Speaker Intros'!$D:$E,2,False)</f>
        <v>0</v>
      </c>
      <c r="Y333" s="681">
        <f>VLOOKUP($W333,'Bespoke Speaker Intros'!$D:$F,3,false)</f>
        <v>0</v>
      </c>
      <c r="Z333" s="697"/>
      <c r="AA333" s="665"/>
      <c r="AB333" s="665"/>
      <c r="AC333" s="591"/>
      <c r="AE333" s="617"/>
      <c r="AF333" s="618"/>
      <c r="AG333" s="581"/>
    </row>
    <row r="334">
      <c r="A334" s="607"/>
      <c r="B334" s="608"/>
      <c r="C334" s="608"/>
      <c r="D334" s="589"/>
      <c r="E334" s="581"/>
      <c r="F334" s="581"/>
      <c r="G334" s="581"/>
      <c r="H334" s="581"/>
      <c r="I334" s="581"/>
      <c r="J334" s="708"/>
      <c r="K334" s="591"/>
      <c r="P334" s="592"/>
      <c r="R334" s="593"/>
      <c r="S334" s="525" t="s">
        <v>457</v>
      </c>
      <c r="T334" s="681" t="str">
        <f t="shared" si="20"/>
        <v/>
      </c>
      <c r="U334" s="681" t="str">
        <f t="shared" si="24"/>
        <v/>
      </c>
      <c r="V334" s="681" t="str">
        <f t="shared" si="25"/>
        <v/>
      </c>
      <c r="W334" s="682" t="str">
        <f t="shared" si="26"/>
        <v>NO LINK</v>
      </c>
      <c r="X334" s="705">
        <f>VLOOKUP($W334,'Bespoke Speaker Intros'!$D:$E,2,False)</f>
        <v>0</v>
      </c>
      <c r="Y334" s="681">
        <f>VLOOKUP($W334,'Bespoke Speaker Intros'!$D:$F,3,false)</f>
        <v>0</v>
      </c>
      <c r="Z334" s="697"/>
      <c r="AA334" s="665"/>
      <c r="AB334" s="665"/>
      <c r="AC334" s="591"/>
      <c r="AE334" s="617"/>
      <c r="AF334" s="618"/>
      <c r="AG334" s="581"/>
    </row>
    <row r="335">
      <c r="A335" s="607"/>
      <c r="B335" s="608"/>
      <c r="C335" s="608"/>
      <c r="D335" s="589"/>
      <c r="E335" s="581"/>
      <c r="F335" s="581"/>
      <c r="G335" s="581"/>
      <c r="H335" s="581"/>
      <c r="I335" s="581"/>
      <c r="J335" s="708"/>
      <c r="K335" s="591"/>
      <c r="P335" s="592"/>
      <c r="R335" s="593"/>
      <c r="S335" s="525" t="s">
        <v>457</v>
      </c>
      <c r="T335" s="681" t="str">
        <f t="shared" si="20"/>
        <v/>
      </c>
      <c r="U335" s="681" t="str">
        <f t="shared" si="24"/>
        <v/>
      </c>
      <c r="V335" s="681" t="str">
        <f t="shared" si="25"/>
        <v/>
      </c>
      <c r="W335" s="682" t="str">
        <f t="shared" si="26"/>
        <v>NO LINK</v>
      </c>
      <c r="X335" s="705">
        <f>VLOOKUP($W335,'Bespoke Speaker Intros'!$D:$E,2,False)</f>
        <v>0</v>
      </c>
      <c r="Y335" s="681">
        <f>VLOOKUP($W335,'Bespoke Speaker Intros'!$D:$F,3,false)</f>
        <v>0</v>
      </c>
      <c r="Z335" s="697"/>
      <c r="AA335" s="665"/>
      <c r="AB335" s="665"/>
      <c r="AC335" s="591"/>
      <c r="AE335" s="617"/>
      <c r="AF335" s="618"/>
      <c r="AG335" s="581"/>
    </row>
    <row r="336">
      <c r="A336" s="607"/>
      <c r="B336" s="608"/>
      <c r="C336" s="608"/>
      <c r="D336" s="589"/>
      <c r="E336" s="581"/>
      <c r="F336" s="581"/>
      <c r="G336" s="581"/>
      <c r="H336" s="581"/>
      <c r="I336" s="581"/>
      <c r="J336" s="708"/>
      <c r="K336" s="591"/>
      <c r="P336" s="592"/>
      <c r="R336" s="593"/>
      <c r="S336" s="525" t="s">
        <v>457</v>
      </c>
      <c r="T336" s="681" t="str">
        <f t="shared" si="20"/>
        <v/>
      </c>
      <c r="U336" s="681" t="str">
        <f t="shared" si="24"/>
        <v/>
      </c>
      <c r="V336" s="681" t="str">
        <f t="shared" si="25"/>
        <v/>
      </c>
      <c r="W336" s="682" t="str">
        <f t="shared" si="26"/>
        <v>NO LINK</v>
      </c>
      <c r="X336" s="705">
        <f>VLOOKUP($W336,'Bespoke Speaker Intros'!$D:$E,2,False)</f>
        <v>0</v>
      </c>
      <c r="Y336" s="681">
        <f>VLOOKUP($W336,'Bespoke Speaker Intros'!$D:$F,3,false)</f>
        <v>0</v>
      </c>
      <c r="Z336" s="697"/>
      <c r="AA336" s="665"/>
      <c r="AB336" s="665"/>
      <c r="AC336" s="591"/>
      <c r="AE336" s="617"/>
      <c r="AF336" s="618"/>
      <c r="AG336" s="581"/>
    </row>
    <row r="337">
      <c r="A337" s="607"/>
      <c r="B337" s="608"/>
      <c r="C337" s="608"/>
      <c r="D337" s="589"/>
      <c r="E337" s="581"/>
      <c r="F337" s="581"/>
      <c r="G337" s="581"/>
      <c r="H337" s="581"/>
      <c r="I337" s="581"/>
      <c r="J337" s="708"/>
      <c r="K337" s="591"/>
      <c r="P337" s="592"/>
      <c r="R337" s="593"/>
      <c r="S337" s="525" t="s">
        <v>457</v>
      </c>
      <c r="T337" s="681" t="str">
        <f t="shared" si="20"/>
        <v/>
      </c>
      <c r="U337" s="681" t="str">
        <f t="shared" si="24"/>
        <v/>
      </c>
      <c r="V337" s="681" t="str">
        <f t="shared" si="25"/>
        <v/>
      </c>
      <c r="W337" s="682" t="str">
        <f t="shared" si="26"/>
        <v>NO LINK</v>
      </c>
      <c r="X337" s="705">
        <f>VLOOKUP($W337,'Bespoke Speaker Intros'!$D:$E,2,False)</f>
        <v>0</v>
      </c>
      <c r="Y337" s="681">
        <f>VLOOKUP($W337,'Bespoke Speaker Intros'!$D:$F,3,false)</f>
        <v>0</v>
      </c>
      <c r="Z337" s="697"/>
      <c r="AA337" s="665"/>
      <c r="AB337" s="665"/>
      <c r="AC337" s="591"/>
      <c r="AE337" s="617"/>
      <c r="AF337" s="618"/>
      <c r="AG337" s="581"/>
    </row>
    <row r="338">
      <c r="A338" s="607"/>
      <c r="B338" s="608"/>
      <c r="C338" s="608"/>
      <c r="D338" s="589"/>
      <c r="E338" s="581"/>
      <c r="F338" s="581"/>
      <c r="G338" s="581"/>
      <c r="H338" s="581"/>
      <c r="I338" s="581"/>
      <c r="J338" s="708"/>
      <c r="K338" s="591"/>
      <c r="P338" s="592"/>
      <c r="R338" s="593"/>
      <c r="S338" s="525" t="s">
        <v>457</v>
      </c>
      <c r="T338" s="681" t="str">
        <f t="shared" si="20"/>
        <v/>
      </c>
      <c r="U338" s="681" t="str">
        <f t="shared" si="24"/>
        <v/>
      </c>
      <c r="V338" s="681" t="str">
        <f t="shared" si="25"/>
        <v/>
      </c>
      <c r="W338" s="682" t="str">
        <f t="shared" si="26"/>
        <v>NO LINK</v>
      </c>
      <c r="X338" s="705">
        <f>VLOOKUP($W338,'Bespoke Speaker Intros'!$D:$E,2,False)</f>
        <v>0</v>
      </c>
      <c r="Y338" s="681">
        <f>VLOOKUP($W338,'Bespoke Speaker Intros'!$D:$F,3,false)</f>
        <v>0</v>
      </c>
      <c r="Z338" s="697"/>
      <c r="AA338" s="665"/>
      <c r="AB338" s="665"/>
      <c r="AC338" s="591"/>
      <c r="AE338" s="617"/>
      <c r="AF338" s="618"/>
      <c r="AG338" s="581"/>
    </row>
    <row r="339">
      <c r="A339" s="607"/>
      <c r="B339" s="608"/>
      <c r="C339" s="608"/>
      <c r="D339" s="589"/>
      <c r="E339" s="581"/>
      <c r="F339" s="581"/>
      <c r="G339" s="581"/>
      <c r="H339" s="581"/>
      <c r="I339" s="581"/>
      <c r="J339" s="708"/>
      <c r="K339" s="591"/>
      <c r="P339" s="592"/>
      <c r="R339" s="593"/>
      <c r="S339" s="525" t="s">
        <v>457</v>
      </c>
      <c r="T339" s="681" t="str">
        <f t="shared" si="20"/>
        <v/>
      </c>
      <c r="U339" s="681" t="str">
        <f t="shared" si="24"/>
        <v/>
      </c>
      <c r="V339" s="681" t="str">
        <f t="shared" si="25"/>
        <v/>
      </c>
      <c r="W339" s="682" t="str">
        <f t="shared" si="26"/>
        <v>NO LINK</v>
      </c>
      <c r="X339" s="705">
        <f>VLOOKUP($W339,'Bespoke Speaker Intros'!$D:$E,2,False)</f>
        <v>0</v>
      </c>
      <c r="Y339" s="681">
        <f>VLOOKUP($W339,'Bespoke Speaker Intros'!$D:$F,3,false)</f>
        <v>0</v>
      </c>
      <c r="Z339" s="697"/>
      <c r="AA339" s="665"/>
      <c r="AB339" s="665"/>
      <c r="AC339" s="591"/>
      <c r="AE339" s="617"/>
      <c r="AF339" s="618"/>
      <c r="AG339" s="581"/>
    </row>
    <row r="340">
      <c r="A340" s="607"/>
      <c r="B340" s="608"/>
      <c r="C340" s="608"/>
      <c r="D340" s="589"/>
      <c r="E340" s="581"/>
      <c r="F340" s="581"/>
      <c r="G340" s="581"/>
      <c r="H340" s="581"/>
      <c r="I340" s="581"/>
      <c r="J340" s="708"/>
      <c r="K340" s="591"/>
      <c r="P340" s="592"/>
      <c r="R340" s="593"/>
      <c r="S340" s="525" t="s">
        <v>457</v>
      </c>
      <c r="T340" s="681" t="str">
        <f t="shared" si="20"/>
        <v/>
      </c>
      <c r="U340" s="681" t="str">
        <f t="shared" si="24"/>
        <v/>
      </c>
      <c r="V340" s="681" t="str">
        <f t="shared" si="25"/>
        <v/>
      </c>
      <c r="W340" s="682" t="str">
        <f t="shared" si="26"/>
        <v>NO LINK</v>
      </c>
      <c r="X340" s="705">
        <f>VLOOKUP($W340,'Bespoke Speaker Intros'!$D:$E,2,False)</f>
        <v>0</v>
      </c>
      <c r="Y340" s="681">
        <f>VLOOKUP($W340,'Bespoke Speaker Intros'!$D:$F,3,false)</f>
        <v>0</v>
      </c>
      <c r="Z340" s="697"/>
      <c r="AA340" s="665"/>
      <c r="AB340" s="665"/>
      <c r="AC340" s="591"/>
      <c r="AE340" s="617"/>
      <c r="AF340" s="618"/>
      <c r="AG340" s="581"/>
    </row>
    <row r="341">
      <c r="A341" s="607"/>
      <c r="B341" s="608"/>
      <c r="C341" s="608"/>
      <c r="D341" s="589"/>
      <c r="E341" s="581"/>
      <c r="F341" s="581"/>
      <c r="G341" s="581"/>
      <c r="H341" s="581"/>
      <c r="I341" s="581"/>
      <c r="J341" s="708"/>
      <c r="K341" s="591"/>
      <c r="P341" s="592"/>
      <c r="R341" s="593"/>
      <c r="S341" s="525" t="s">
        <v>457</v>
      </c>
      <c r="T341" s="681" t="str">
        <f t="shared" si="20"/>
        <v/>
      </c>
      <c r="U341" s="681" t="str">
        <f t="shared" si="24"/>
        <v/>
      </c>
      <c r="V341" s="681" t="str">
        <f t="shared" si="25"/>
        <v/>
      </c>
      <c r="W341" s="682" t="str">
        <f t="shared" si="26"/>
        <v>NO LINK</v>
      </c>
      <c r="X341" s="705">
        <f>VLOOKUP($W341,'Bespoke Speaker Intros'!$D:$E,2,False)</f>
        <v>0</v>
      </c>
      <c r="Y341" s="681">
        <f>VLOOKUP($W341,'Bespoke Speaker Intros'!$D:$F,3,false)</f>
        <v>0</v>
      </c>
      <c r="Z341" s="697"/>
      <c r="AA341" s="665"/>
      <c r="AB341" s="665"/>
      <c r="AC341" s="591"/>
      <c r="AE341" s="617"/>
      <c r="AF341" s="618"/>
      <c r="AG341" s="581"/>
    </row>
    <row r="342">
      <c r="A342" s="607"/>
      <c r="B342" s="608"/>
      <c r="C342" s="608"/>
      <c r="D342" s="589"/>
      <c r="E342" s="581"/>
      <c r="F342" s="581"/>
      <c r="G342" s="581"/>
      <c r="H342" s="581"/>
      <c r="I342" s="581"/>
      <c r="J342" s="708"/>
      <c r="K342" s="591"/>
      <c r="P342" s="592"/>
      <c r="R342" s="593"/>
      <c r="S342" s="525" t="s">
        <v>457</v>
      </c>
      <c r="T342" s="681" t="str">
        <f t="shared" si="20"/>
        <v/>
      </c>
      <c r="U342" s="681" t="str">
        <f t="shared" si="24"/>
        <v/>
      </c>
      <c r="V342" s="681" t="str">
        <f t="shared" si="25"/>
        <v/>
      </c>
      <c r="W342" s="682" t="str">
        <f t="shared" si="26"/>
        <v>NO LINK</v>
      </c>
      <c r="X342" s="705">
        <f>VLOOKUP($W342,'Bespoke Speaker Intros'!$D:$E,2,False)</f>
        <v>0</v>
      </c>
      <c r="Y342" s="681">
        <f>VLOOKUP($W342,'Bespoke Speaker Intros'!$D:$F,3,false)</f>
        <v>0</v>
      </c>
      <c r="Z342" s="697"/>
      <c r="AA342" s="665"/>
      <c r="AB342" s="665"/>
      <c r="AC342" s="591"/>
      <c r="AE342" s="617"/>
      <c r="AF342" s="618"/>
      <c r="AG342" s="581"/>
    </row>
    <row r="343">
      <c r="A343" s="607"/>
      <c r="B343" s="608"/>
      <c r="C343" s="608"/>
      <c r="D343" s="589"/>
      <c r="E343" s="581"/>
      <c r="F343" s="581"/>
      <c r="G343" s="581"/>
      <c r="H343" s="581"/>
      <c r="I343" s="581"/>
      <c r="J343" s="708"/>
      <c r="K343" s="591"/>
      <c r="P343" s="592"/>
      <c r="R343" s="593"/>
      <c r="S343" s="525" t="s">
        <v>457</v>
      </c>
      <c r="T343" s="681" t="str">
        <f t="shared" si="20"/>
        <v/>
      </c>
      <c r="U343" s="681" t="str">
        <f t="shared" si="24"/>
        <v/>
      </c>
      <c r="V343" s="681" t="str">
        <f t="shared" si="25"/>
        <v/>
      </c>
      <c r="W343" s="682" t="str">
        <f t="shared" si="26"/>
        <v>NO LINK</v>
      </c>
      <c r="X343" s="705">
        <f>VLOOKUP($W343,'Bespoke Speaker Intros'!$D:$E,2,False)</f>
        <v>0</v>
      </c>
      <c r="Y343" s="681">
        <f>VLOOKUP($W343,'Bespoke Speaker Intros'!$D:$F,3,false)</f>
        <v>0</v>
      </c>
      <c r="Z343" s="697"/>
      <c r="AA343" s="665"/>
      <c r="AB343" s="665"/>
      <c r="AC343" s="591"/>
      <c r="AE343" s="617"/>
      <c r="AF343" s="618"/>
      <c r="AG343" s="581"/>
    </row>
    <row r="344">
      <c r="A344" s="607"/>
      <c r="B344" s="608"/>
      <c r="C344" s="608"/>
      <c r="D344" s="589"/>
      <c r="E344" s="581"/>
      <c r="F344" s="581"/>
      <c r="G344" s="581"/>
      <c r="H344" s="581"/>
      <c r="I344" s="581"/>
      <c r="J344" s="708"/>
      <c r="K344" s="591"/>
      <c r="P344" s="592"/>
      <c r="R344" s="593"/>
      <c r="S344" s="525" t="s">
        <v>457</v>
      </c>
      <c r="T344" s="681" t="str">
        <f t="shared" si="20"/>
        <v/>
      </c>
      <c r="U344" s="681" t="str">
        <f t="shared" si="24"/>
        <v/>
      </c>
      <c r="V344" s="681" t="str">
        <f t="shared" si="25"/>
        <v/>
      </c>
      <c r="W344" s="682" t="str">
        <f t="shared" si="26"/>
        <v>NO LINK</v>
      </c>
      <c r="X344" s="705">
        <f>VLOOKUP($W344,'Bespoke Speaker Intros'!$D:$E,2,False)</f>
        <v>0</v>
      </c>
      <c r="Y344" s="681">
        <f>VLOOKUP($W344,'Bespoke Speaker Intros'!$D:$F,3,false)</f>
        <v>0</v>
      </c>
      <c r="Z344" s="697"/>
      <c r="AA344" s="665"/>
      <c r="AB344" s="665"/>
      <c r="AC344" s="591"/>
      <c r="AE344" s="617"/>
      <c r="AF344" s="618"/>
      <c r="AG344" s="581"/>
    </row>
    <row r="345">
      <c r="A345" s="607"/>
      <c r="B345" s="608"/>
      <c r="C345" s="608"/>
      <c r="D345" s="589"/>
      <c r="E345" s="581"/>
      <c r="F345" s="581"/>
      <c r="G345" s="581"/>
      <c r="H345" s="581"/>
      <c r="I345" s="581"/>
      <c r="J345" s="708"/>
      <c r="K345" s="591"/>
      <c r="P345" s="592"/>
      <c r="R345" s="593"/>
      <c r="S345" s="525" t="s">
        <v>457</v>
      </c>
      <c r="T345" s="681" t="str">
        <f t="shared" si="20"/>
        <v/>
      </c>
      <c r="U345" s="681" t="str">
        <f t="shared" si="24"/>
        <v/>
      </c>
      <c r="V345" s="681" t="str">
        <f t="shared" si="25"/>
        <v/>
      </c>
      <c r="W345" s="682" t="str">
        <f t="shared" si="26"/>
        <v>NO LINK</v>
      </c>
      <c r="X345" s="705">
        <f>VLOOKUP($W345,'Bespoke Speaker Intros'!$D:$E,2,False)</f>
        <v>0</v>
      </c>
      <c r="Y345" s="681">
        <f>VLOOKUP($W345,'Bespoke Speaker Intros'!$D:$F,3,false)</f>
        <v>0</v>
      </c>
      <c r="Z345" s="697"/>
      <c r="AA345" s="665"/>
      <c r="AB345" s="665"/>
      <c r="AC345" s="591"/>
      <c r="AE345" s="617"/>
      <c r="AF345" s="618"/>
      <c r="AG345" s="581"/>
    </row>
    <row r="346">
      <c r="A346" s="607"/>
      <c r="B346" s="608"/>
      <c r="C346" s="608"/>
      <c r="D346" s="589"/>
      <c r="E346" s="581"/>
      <c r="F346" s="581"/>
      <c r="G346" s="581"/>
      <c r="H346" s="581"/>
      <c r="I346" s="581"/>
      <c r="J346" s="708"/>
      <c r="K346" s="591"/>
      <c r="P346" s="592"/>
      <c r="R346" s="593"/>
      <c r="S346" s="525" t="s">
        <v>457</v>
      </c>
      <c r="T346" s="681" t="str">
        <f t="shared" si="20"/>
        <v/>
      </c>
      <c r="U346" s="681" t="str">
        <f t="shared" si="24"/>
        <v/>
      </c>
      <c r="V346" s="681" t="str">
        <f t="shared" si="25"/>
        <v/>
      </c>
      <c r="W346" s="682" t="str">
        <f t="shared" si="26"/>
        <v>NO LINK</v>
      </c>
      <c r="X346" s="705">
        <f>VLOOKUP($W346,'Bespoke Speaker Intros'!$D:$E,2,False)</f>
        <v>0</v>
      </c>
      <c r="Y346" s="681">
        <f>VLOOKUP($W346,'Bespoke Speaker Intros'!$D:$F,3,false)</f>
        <v>0</v>
      </c>
      <c r="Z346" s="697"/>
      <c r="AA346" s="665"/>
      <c r="AB346" s="665"/>
      <c r="AC346" s="591"/>
      <c r="AE346" s="617"/>
      <c r="AF346" s="618"/>
      <c r="AG346" s="581"/>
    </row>
    <row r="347">
      <c r="A347" s="607"/>
      <c r="B347" s="608"/>
      <c r="C347" s="608"/>
      <c r="D347" s="589"/>
      <c r="E347" s="581"/>
      <c r="F347" s="581"/>
      <c r="G347" s="581"/>
      <c r="H347" s="581"/>
      <c r="I347" s="581"/>
      <c r="J347" s="708"/>
      <c r="K347" s="591"/>
      <c r="P347" s="592"/>
      <c r="R347" s="593"/>
      <c r="S347" s="525" t="s">
        <v>457</v>
      </c>
      <c r="T347" s="681" t="str">
        <f t="shared" si="20"/>
        <v/>
      </c>
      <c r="U347" s="681" t="str">
        <f t="shared" si="24"/>
        <v/>
      </c>
      <c r="V347" s="681" t="str">
        <f t="shared" si="25"/>
        <v/>
      </c>
      <c r="W347" s="682" t="str">
        <f t="shared" si="26"/>
        <v>NO LINK</v>
      </c>
      <c r="X347" s="705">
        <f>VLOOKUP($W347,'Bespoke Speaker Intros'!$D:$E,2,False)</f>
        <v>0</v>
      </c>
      <c r="Y347" s="681">
        <f>VLOOKUP($W347,'Bespoke Speaker Intros'!$D:$F,3,false)</f>
        <v>0</v>
      </c>
      <c r="Z347" s="697"/>
      <c r="AA347" s="665"/>
      <c r="AB347" s="665"/>
      <c r="AC347" s="591"/>
      <c r="AE347" s="617"/>
      <c r="AF347" s="618"/>
      <c r="AG347" s="581"/>
    </row>
    <row r="348">
      <c r="A348" s="607"/>
      <c r="B348" s="608"/>
      <c r="C348" s="608"/>
      <c r="D348" s="589"/>
      <c r="E348" s="581"/>
      <c r="F348" s="581"/>
      <c r="G348" s="581"/>
      <c r="H348" s="581"/>
      <c r="I348" s="581"/>
      <c r="J348" s="708"/>
      <c r="K348" s="591"/>
      <c r="P348" s="592"/>
      <c r="R348" s="593"/>
      <c r="S348" s="525" t="s">
        <v>457</v>
      </c>
      <c r="T348" s="681" t="str">
        <f t="shared" si="20"/>
        <v/>
      </c>
      <c r="U348" s="681" t="str">
        <f t="shared" si="24"/>
        <v/>
      </c>
      <c r="V348" s="681" t="str">
        <f t="shared" si="25"/>
        <v/>
      </c>
      <c r="W348" s="682" t="str">
        <f t="shared" si="26"/>
        <v>NO LINK</v>
      </c>
      <c r="X348" s="705">
        <f>VLOOKUP($W348,'Bespoke Speaker Intros'!$D:$E,2,False)</f>
        <v>0</v>
      </c>
      <c r="Y348" s="681">
        <f>VLOOKUP($W348,'Bespoke Speaker Intros'!$D:$F,3,false)</f>
        <v>0</v>
      </c>
      <c r="Z348" s="697"/>
      <c r="AA348" s="665"/>
      <c r="AB348" s="665"/>
      <c r="AC348" s="591"/>
      <c r="AE348" s="617"/>
      <c r="AF348" s="618"/>
      <c r="AG348" s="581"/>
    </row>
    <row r="349">
      <c r="A349" s="607"/>
      <c r="B349" s="608"/>
      <c r="C349" s="608"/>
      <c r="D349" s="589"/>
      <c r="E349" s="581"/>
      <c r="F349" s="581"/>
      <c r="G349" s="581"/>
      <c r="H349" s="581"/>
      <c r="I349" s="581"/>
      <c r="J349" s="708"/>
      <c r="K349" s="591"/>
      <c r="L349" s="581"/>
      <c r="M349" s="581"/>
      <c r="N349" s="581"/>
      <c r="P349" s="592"/>
      <c r="R349" s="593"/>
      <c r="S349" s="525" t="s">
        <v>457</v>
      </c>
      <c r="T349" s="681" t="str">
        <f t="shared" si="20"/>
        <v/>
      </c>
      <c r="U349" s="681" t="str">
        <f t="shared" si="24"/>
        <v/>
      </c>
      <c r="V349" s="681" t="str">
        <f t="shared" si="25"/>
        <v/>
      </c>
      <c r="W349" s="682" t="str">
        <f t="shared" si="26"/>
        <v>NO LINK</v>
      </c>
      <c r="X349" s="705">
        <f>VLOOKUP($W349,'Bespoke Speaker Intros'!$D:$E,2,False)</f>
        <v>0</v>
      </c>
      <c r="Y349" s="681">
        <f>VLOOKUP($W349,'Bespoke Speaker Intros'!$D:$F,3,false)</f>
        <v>0</v>
      </c>
      <c r="Z349" s="697"/>
      <c r="AA349" s="665"/>
      <c r="AB349" s="665"/>
      <c r="AC349" s="591"/>
      <c r="AE349" s="617"/>
      <c r="AF349" s="618"/>
      <c r="AG349" s="581"/>
    </row>
    <row r="350">
      <c r="A350" s="607"/>
      <c r="B350" s="608"/>
      <c r="C350" s="608"/>
      <c r="D350" s="589"/>
      <c r="E350" s="581"/>
      <c r="F350" s="581"/>
      <c r="G350" s="581"/>
      <c r="H350" s="581"/>
      <c r="I350" s="581"/>
      <c r="J350" s="708"/>
      <c r="K350" s="591"/>
      <c r="L350" s="581"/>
      <c r="M350" s="581"/>
      <c r="N350" s="581"/>
      <c r="P350" s="592"/>
      <c r="R350" s="593"/>
      <c r="S350" s="525" t="s">
        <v>457</v>
      </c>
      <c r="T350" s="681" t="str">
        <f t="shared" si="20"/>
        <v/>
      </c>
      <c r="U350" s="681" t="str">
        <f t="shared" si="24"/>
        <v/>
      </c>
      <c r="V350" s="681" t="str">
        <f t="shared" si="25"/>
        <v/>
      </c>
      <c r="W350" s="682" t="str">
        <f t="shared" si="26"/>
        <v>NO LINK</v>
      </c>
      <c r="X350" s="705">
        <f>VLOOKUP($W350,'Bespoke Speaker Intros'!$D:$E,2,False)</f>
        <v>0</v>
      </c>
      <c r="Y350" s="681">
        <f>VLOOKUP($W350,'Bespoke Speaker Intros'!$D:$F,3,false)</f>
        <v>0</v>
      </c>
      <c r="Z350" s="697"/>
      <c r="AA350" s="665"/>
      <c r="AB350" s="665"/>
      <c r="AC350" s="591"/>
      <c r="AE350" s="617"/>
      <c r="AF350" s="618"/>
      <c r="AG350" s="581"/>
    </row>
    <row r="351">
      <c r="A351" s="607"/>
      <c r="B351" s="608"/>
      <c r="C351" s="608"/>
      <c r="D351" s="589"/>
      <c r="E351" s="581"/>
      <c r="F351" s="581"/>
      <c r="G351" s="581"/>
      <c r="H351" s="581"/>
      <c r="I351" s="581"/>
      <c r="J351" s="708"/>
      <c r="K351" s="591"/>
      <c r="L351" s="581"/>
      <c r="M351" s="581"/>
      <c r="N351" s="581"/>
      <c r="P351" s="592"/>
      <c r="R351" s="593"/>
      <c r="S351" s="525" t="s">
        <v>457</v>
      </c>
      <c r="T351" s="681" t="str">
        <f t="shared" si="20"/>
        <v/>
      </c>
      <c r="U351" s="681" t="str">
        <f t="shared" si="24"/>
        <v/>
      </c>
      <c r="V351" s="681" t="str">
        <f t="shared" si="25"/>
        <v/>
      </c>
      <c r="W351" s="682" t="str">
        <f t="shared" si="26"/>
        <v>NO LINK</v>
      </c>
      <c r="X351" s="705">
        <f>VLOOKUP($W351,'Bespoke Speaker Intros'!$D:$E,2,False)</f>
        <v>0</v>
      </c>
      <c r="Y351" s="681">
        <f>VLOOKUP($W351,'Bespoke Speaker Intros'!$D:$F,3,false)</f>
        <v>0</v>
      </c>
      <c r="Z351" s="697"/>
      <c r="AA351" s="665"/>
      <c r="AB351" s="665"/>
      <c r="AC351" s="591"/>
      <c r="AE351" s="617"/>
      <c r="AF351" s="618"/>
      <c r="AG351" s="581"/>
    </row>
    <row r="352">
      <c r="A352" s="607"/>
      <c r="B352" s="608"/>
      <c r="C352" s="608"/>
      <c r="D352" s="589"/>
      <c r="E352" s="581"/>
      <c r="F352" s="581"/>
      <c r="G352" s="581"/>
      <c r="H352" s="581"/>
      <c r="I352" s="581"/>
      <c r="J352" s="708"/>
      <c r="K352" s="591"/>
      <c r="L352" s="581"/>
      <c r="M352" s="581"/>
      <c r="N352" s="581"/>
      <c r="P352" s="592"/>
      <c r="R352" s="593"/>
      <c r="S352" s="525" t="s">
        <v>457</v>
      </c>
      <c r="T352" s="681" t="str">
        <f t="shared" si="20"/>
        <v/>
      </c>
      <c r="U352" s="681" t="str">
        <f t="shared" si="24"/>
        <v/>
      </c>
      <c r="V352" s="681" t="str">
        <f t="shared" si="25"/>
        <v/>
      </c>
      <c r="W352" s="682" t="str">
        <f t="shared" si="26"/>
        <v>NO LINK</v>
      </c>
      <c r="X352" s="705">
        <f>VLOOKUP($W352,'Bespoke Speaker Intros'!$D:$E,2,False)</f>
        <v>0</v>
      </c>
      <c r="Y352" s="681">
        <f>VLOOKUP($W352,'Bespoke Speaker Intros'!$D:$F,3,false)</f>
        <v>0</v>
      </c>
      <c r="Z352" s="697"/>
      <c r="AA352" s="665"/>
      <c r="AB352" s="665"/>
      <c r="AC352" s="591"/>
      <c r="AE352" s="617"/>
      <c r="AF352" s="618"/>
      <c r="AG352" s="581"/>
    </row>
    <row r="353">
      <c r="A353" s="607"/>
      <c r="B353" s="608"/>
      <c r="C353" s="608"/>
      <c r="D353" s="589"/>
      <c r="E353" s="581"/>
      <c r="F353" s="581"/>
      <c r="G353" s="581"/>
      <c r="H353" s="581"/>
      <c r="I353" s="581"/>
      <c r="J353" s="708"/>
      <c r="K353" s="591"/>
      <c r="L353" s="581"/>
      <c r="M353" s="581"/>
      <c r="N353" s="581"/>
      <c r="P353" s="592"/>
      <c r="R353" s="593"/>
      <c r="S353" s="525" t="s">
        <v>457</v>
      </c>
      <c r="T353" s="681" t="str">
        <f t="shared" si="20"/>
        <v/>
      </c>
      <c r="U353" s="681" t="str">
        <f t="shared" si="24"/>
        <v/>
      </c>
      <c r="V353" s="681" t="str">
        <f t="shared" si="25"/>
        <v/>
      </c>
      <c r="W353" s="682" t="str">
        <f t="shared" si="26"/>
        <v>NO LINK</v>
      </c>
      <c r="X353" s="705">
        <f>VLOOKUP($W353,'Bespoke Speaker Intros'!$D:$E,2,False)</f>
        <v>0</v>
      </c>
      <c r="Y353" s="681">
        <f>VLOOKUP($W353,'Bespoke Speaker Intros'!$D:$F,3,false)</f>
        <v>0</v>
      </c>
      <c r="Z353" s="697"/>
      <c r="AA353" s="665"/>
      <c r="AB353" s="665"/>
      <c r="AC353" s="591"/>
      <c r="AE353" s="617"/>
      <c r="AF353" s="618"/>
      <c r="AG353" s="581"/>
    </row>
    <row r="354">
      <c r="A354" s="607"/>
      <c r="B354" s="608"/>
      <c r="C354" s="608"/>
      <c r="D354" s="589"/>
      <c r="E354" s="581"/>
      <c r="F354" s="581"/>
      <c r="G354" s="581"/>
      <c r="H354" s="581"/>
      <c r="I354" s="581"/>
      <c r="J354" s="708"/>
      <c r="K354" s="591"/>
      <c r="L354" s="581"/>
      <c r="M354" s="581"/>
      <c r="N354" s="581"/>
      <c r="P354" s="592"/>
      <c r="R354" s="593"/>
      <c r="S354" s="525" t="s">
        <v>457</v>
      </c>
      <c r="T354" s="681" t="str">
        <f t="shared" si="20"/>
        <v/>
      </c>
      <c r="U354" s="681" t="str">
        <f t="shared" si="24"/>
        <v/>
      </c>
      <c r="V354" s="681" t="str">
        <f t="shared" si="25"/>
        <v/>
      </c>
      <c r="W354" s="682" t="str">
        <f t="shared" si="26"/>
        <v>NO LINK</v>
      </c>
      <c r="X354" s="705">
        <f>VLOOKUP($W354,'Bespoke Speaker Intros'!$D:$E,2,False)</f>
        <v>0</v>
      </c>
      <c r="Y354" s="681">
        <f>VLOOKUP($W354,'Bespoke Speaker Intros'!$D:$F,3,false)</f>
        <v>0</v>
      </c>
      <c r="Z354" s="697"/>
      <c r="AA354" s="665"/>
      <c r="AB354" s="665"/>
      <c r="AC354" s="591"/>
      <c r="AE354" s="617"/>
      <c r="AF354" s="618"/>
      <c r="AG354" s="581"/>
    </row>
    <row r="355">
      <c r="A355" s="607"/>
      <c r="B355" s="608"/>
      <c r="C355" s="608"/>
      <c r="D355" s="589"/>
      <c r="E355" s="581"/>
      <c r="F355" s="581"/>
      <c r="G355" s="581"/>
      <c r="H355" s="581"/>
      <c r="I355" s="581"/>
      <c r="J355" s="708"/>
      <c r="K355" s="591"/>
      <c r="L355" s="581"/>
      <c r="M355" s="581"/>
      <c r="N355" s="581"/>
      <c r="P355" s="592"/>
      <c r="R355" s="593"/>
      <c r="S355" s="525" t="s">
        <v>457</v>
      </c>
      <c r="T355" s="681" t="str">
        <f t="shared" si="20"/>
        <v/>
      </c>
      <c r="U355" s="681" t="str">
        <f t="shared" si="24"/>
        <v/>
      </c>
      <c r="V355" s="681" t="str">
        <f t="shared" si="25"/>
        <v/>
      </c>
      <c r="W355" s="682" t="str">
        <f t="shared" si="26"/>
        <v>NO LINK</v>
      </c>
      <c r="X355" s="705">
        <f>VLOOKUP($W355,'Bespoke Speaker Intros'!$D:$E,2,False)</f>
        <v>0</v>
      </c>
      <c r="Y355" s="681">
        <f>VLOOKUP($W355,'Bespoke Speaker Intros'!$D:$F,3,false)</f>
        <v>0</v>
      </c>
      <c r="Z355" s="697"/>
      <c r="AA355" s="665"/>
      <c r="AB355" s="665"/>
      <c r="AC355" s="591"/>
      <c r="AE355" s="617"/>
      <c r="AF355" s="618"/>
      <c r="AG355" s="581"/>
    </row>
    <row r="356">
      <c r="A356" s="607"/>
      <c r="B356" s="608"/>
      <c r="C356" s="608"/>
      <c r="D356" s="589"/>
      <c r="E356" s="581"/>
      <c r="F356" s="581"/>
      <c r="G356" s="581"/>
      <c r="H356" s="581"/>
      <c r="I356" s="581"/>
      <c r="J356" s="708"/>
      <c r="K356" s="591"/>
      <c r="L356" s="581"/>
      <c r="M356" s="581"/>
      <c r="N356" s="581"/>
      <c r="P356" s="592"/>
      <c r="R356" s="593"/>
      <c r="S356" s="525" t="s">
        <v>457</v>
      </c>
      <c r="T356" s="681" t="str">
        <f t="shared" si="20"/>
        <v/>
      </c>
      <c r="U356" s="681" t="str">
        <f t="shared" si="24"/>
        <v/>
      </c>
      <c r="V356" s="681" t="str">
        <f t="shared" si="25"/>
        <v/>
      </c>
      <c r="W356" s="682" t="str">
        <f t="shared" si="26"/>
        <v>NO LINK</v>
      </c>
      <c r="X356" s="705">
        <f>VLOOKUP($W356,'Bespoke Speaker Intros'!$D:$E,2,False)</f>
        <v>0</v>
      </c>
      <c r="Y356" s="681">
        <f>VLOOKUP($W356,'Bespoke Speaker Intros'!$D:$F,3,false)</f>
        <v>0</v>
      </c>
      <c r="Z356" s="697"/>
      <c r="AA356" s="665"/>
      <c r="AB356" s="665"/>
      <c r="AC356" s="591"/>
      <c r="AE356" s="617"/>
      <c r="AF356" s="618"/>
      <c r="AG356" s="581"/>
    </row>
    <row r="357">
      <c r="A357" s="607"/>
      <c r="B357" s="608"/>
      <c r="C357" s="608"/>
      <c r="D357" s="589"/>
      <c r="E357" s="581"/>
      <c r="F357" s="581"/>
      <c r="G357" s="581"/>
      <c r="H357" s="581"/>
      <c r="I357" s="581"/>
      <c r="J357" s="708"/>
      <c r="K357" s="591"/>
      <c r="L357" s="581"/>
      <c r="M357" s="581"/>
      <c r="N357" s="581"/>
      <c r="P357" s="592"/>
      <c r="R357" s="593"/>
      <c r="S357" s="525" t="s">
        <v>457</v>
      </c>
      <c r="T357" s="681" t="str">
        <f t="shared" si="20"/>
        <v/>
      </c>
      <c r="U357" s="681" t="str">
        <f t="shared" si="24"/>
        <v/>
      </c>
      <c r="V357" s="681" t="str">
        <f t="shared" si="25"/>
        <v/>
      </c>
      <c r="W357" s="682" t="str">
        <f t="shared" si="26"/>
        <v>NO LINK</v>
      </c>
      <c r="X357" s="705">
        <f>VLOOKUP($W357,'Bespoke Speaker Intros'!$D:$E,2,False)</f>
        <v>0</v>
      </c>
      <c r="Y357" s="681">
        <f>VLOOKUP($W357,'Bespoke Speaker Intros'!$D:$F,3,false)</f>
        <v>0</v>
      </c>
      <c r="Z357" s="697"/>
      <c r="AA357" s="665"/>
      <c r="AB357" s="665"/>
      <c r="AC357" s="591"/>
      <c r="AE357" s="617"/>
      <c r="AF357" s="618"/>
      <c r="AG357" s="581"/>
    </row>
    <row r="358">
      <c r="A358" s="607"/>
      <c r="B358" s="608"/>
      <c r="C358" s="608"/>
      <c r="D358" s="589"/>
      <c r="E358" s="581"/>
      <c r="F358" s="581"/>
      <c r="G358" s="581"/>
      <c r="H358" s="581"/>
      <c r="I358" s="581"/>
      <c r="J358" s="708"/>
      <c r="K358" s="591"/>
      <c r="L358" s="581"/>
      <c r="M358" s="581"/>
      <c r="N358" s="581"/>
      <c r="P358" s="592"/>
      <c r="R358" s="593"/>
      <c r="S358" s="525" t="s">
        <v>457</v>
      </c>
      <c r="T358" s="681" t="str">
        <f t="shared" si="20"/>
        <v/>
      </c>
      <c r="U358" s="681" t="str">
        <f t="shared" si="24"/>
        <v/>
      </c>
      <c r="V358" s="681" t="str">
        <f t="shared" si="25"/>
        <v/>
      </c>
      <c r="W358" s="682" t="str">
        <f t="shared" si="26"/>
        <v>NO LINK</v>
      </c>
      <c r="X358" s="705">
        <f>VLOOKUP($W358,'Bespoke Speaker Intros'!$D:$E,2,False)</f>
        <v>0</v>
      </c>
      <c r="Y358" s="681">
        <f>VLOOKUP($W358,'Bespoke Speaker Intros'!$D:$F,3,false)</f>
        <v>0</v>
      </c>
      <c r="Z358" s="697"/>
      <c r="AA358" s="665"/>
      <c r="AB358" s="665"/>
      <c r="AC358" s="591"/>
      <c r="AE358" s="617"/>
      <c r="AF358" s="618"/>
      <c r="AG358" s="581"/>
    </row>
    <row r="359">
      <c r="A359" s="607"/>
      <c r="B359" s="608"/>
      <c r="C359" s="608"/>
      <c r="D359" s="589"/>
      <c r="E359" s="581"/>
      <c r="F359" s="581"/>
      <c r="G359" s="581"/>
      <c r="H359" s="581"/>
      <c r="I359" s="581"/>
      <c r="J359" s="708"/>
      <c r="K359" s="591"/>
      <c r="L359" s="581"/>
      <c r="M359" s="581"/>
      <c r="N359" s="581"/>
      <c r="P359" s="592"/>
      <c r="R359" s="593"/>
      <c r="S359" s="525" t="s">
        <v>457</v>
      </c>
      <c r="T359" s="681" t="str">
        <f t="shared" si="20"/>
        <v/>
      </c>
      <c r="U359" s="681" t="str">
        <f t="shared" si="24"/>
        <v/>
      </c>
      <c r="V359" s="681" t="str">
        <f t="shared" si="25"/>
        <v/>
      </c>
      <c r="W359" s="682" t="str">
        <f t="shared" si="26"/>
        <v>NO LINK</v>
      </c>
      <c r="X359" s="705">
        <f>VLOOKUP($W359,'Bespoke Speaker Intros'!$D:$E,2,False)</f>
        <v>0</v>
      </c>
      <c r="Y359" s="681">
        <f>VLOOKUP($W359,'Bespoke Speaker Intros'!$D:$F,3,false)</f>
        <v>0</v>
      </c>
      <c r="Z359" s="697"/>
      <c r="AA359" s="665"/>
      <c r="AB359" s="665"/>
      <c r="AC359" s="591"/>
      <c r="AE359" s="617"/>
      <c r="AF359" s="618"/>
      <c r="AG359" s="581"/>
    </row>
    <row r="360">
      <c r="A360" s="607"/>
      <c r="B360" s="608"/>
      <c r="C360" s="608"/>
      <c r="D360" s="589"/>
      <c r="E360" s="581"/>
      <c r="F360" s="581"/>
      <c r="G360" s="581"/>
      <c r="H360" s="581"/>
      <c r="I360" s="581"/>
      <c r="J360" s="708"/>
      <c r="K360" s="591"/>
      <c r="L360" s="581"/>
      <c r="M360" s="581"/>
      <c r="N360" s="581"/>
      <c r="P360" s="592"/>
      <c r="R360" s="593"/>
      <c r="S360" s="525" t="s">
        <v>457</v>
      </c>
      <c r="T360" s="681" t="str">
        <f t="shared" si="20"/>
        <v/>
      </c>
      <c r="U360" s="681" t="str">
        <f t="shared" si="24"/>
        <v/>
      </c>
      <c r="V360" s="681" t="str">
        <f t="shared" si="25"/>
        <v/>
      </c>
      <c r="W360" s="682" t="str">
        <f t="shared" si="26"/>
        <v>NO LINK</v>
      </c>
      <c r="X360" s="705">
        <f>VLOOKUP($W360,'Bespoke Speaker Intros'!$D:$E,2,False)</f>
        <v>0</v>
      </c>
      <c r="Y360" s="681">
        <f>VLOOKUP($W360,'Bespoke Speaker Intros'!$D:$F,3,false)</f>
        <v>0</v>
      </c>
      <c r="Z360" s="697"/>
      <c r="AA360" s="665"/>
      <c r="AB360" s="665"/>
      <c r="AC360" s="591"/>
      <c r="AE360" s="617"/>
      <c r="AF360" s="618"/>
      <c r="AG360" s="581"/>
    </row>
    <row r="361">
      <c r="A361" s="607"/>
      <c r="B361" s="608"/>
      <c r="C361" s="608"/>
      <c r="D361" s="589"/>
      <c r="E361" s="581"/>
      <c r="F361" s="581"/>
      <c r="G361" s="581"/>
      <c r="H361" s="581"/>
      <c r="I361" s="581"/>
      <c r="J361" s="708"/>
      <c r="K361" s="591"/>
      <c r="L361" s="581"/>
      <c r="M361" s="581"/>
      <c r="N361" s="581"/>
      <c r="P361" s="592"/>
      <c r="R361" s="593"/>
      <c r="S361" s="525" t="s">
        <v>457</v>
      </c>
      <c r="T361" s="681" t="str">
        <f t="shared" si="20"/>
        <v/>
      </c>
      <c r="U361" s="681" t="str">
        <f t="shared" si="24"/>
        <v/>
      </c>
      <c r="V361" s="681" t="str">
        <f t="shared" si="25"/>
        <v/>
      </c>
      <c r="W361" s="682" t="str">
        <f t="shared" si="26"/>
        <v>NO LINK</v>
      </c>
      <c r="X361" s="705">
        <f>VLOOKUP($W361,'Bespoke Speaker Intros'!$D:$E,2,False)</f>
        <v>0</v>
      </c>
      <c r="Y361" s="681">
        <f>VLOOKUP($W361,'Bespoke Speaker Intros'!$D:$F,3,false)</f>
        <v>0</v>
      </c>
      <c r="Z361" s="697"/>
      <c r="AA361" s="665"/>
      <c r="AB361" s="665"/>
      <c r="AC361" s="591"/>
      <c r="AE361" s="617"/>
      <c r="AF361" s="618"/>
      <c r="AG361" s="581"/>
    </row>
    <row r="362">
      <c r="A362" s="607"/>
      <c r="B362" s="608"/>
      <c r="C362" s="608"/>
      <c r="D362" s="589"/>
      <c r="E362" s="581"/>
      <c r="F362" s="581"/>
      <c r="G362" s="581"/>
      <c r="H362" s="581"/>
      <c r="I362" s="581"/>
      <c r="J362" s="708"/>
      <c r="K362" s="591"/>
      <c r="L362" s="581"/>
      <c r="M362" s="581"/>
      <c r="N362" s="581"/>
      <c r="P362" s="592"/>
      <c r="R362" s="593"/>
      <c r="S362" s="525" t="s">
        <v>457</v>
      </c>
      <c r="T362" s="681" t="str">
        <f t="shared" si="20"/>
        <v/>
      </c>
      <c r="U362" s="681" t="str">
        <f t="shared" si="24"/>
        <v/>
      </c>
      <c r="V362" s="681" t="str">
        <f t="shared" si="25"/>
        <v/>
      </c>
      <c r="W362" s="682" t="str">
        <f t="shared" si="26"/>
        <v>NO LINK</v>
      </c>
      <c r="X362" s="705">
        <f>VLOOKUP($W362,'Bespoke Speaker Intros'!$D:$E,2,False)</f>
        <v>0</v>
      </c>
      <c r="Y362" s="681">
        <f>VLOOKUP($W362,'Bespoke Speaker Intros'!$D:$F,3,false)</f>
        <v>0</v>
      </c>
      <c r="Z362" s="697"/>
      <c r="AA362" s="665"/>
      <c r="AB362" s="665"/>
      <c r="AC362" s="591"/>
      <c r="AE362" s="617"/>
      <c r="AF362" s="618"/>
      <c r="AG362" s="581"/>
    </row>
    <row r="363">
      <c r="A363" s="607"/>
      <c r="B363" s="608"/>
      <c r="C363" s="608"/>
      <c r="D363" s="589"/>
      <c r="E363" s="581"/>
      <c r="F363" s="581"/>
      <c r="G363" s="581"/>
      <c r="H363" s="581"/>
      <c r="I363" s="581"/>
      <c r="J363" s="708"/>
      <c r="K363" s="591"/>
      <c r="L363" s="581"/>
      <c r="M363" s="581"/>
      <c r="N363" s="581"/>
      <c r="P363" s="592"/>
      <c r="R363" s="593"/>
      <c r="S363" s="525" t="s">
        <v>457</v>
      </c>
      <c r="T363" s="681" t="str">
        <f t="shared" si="20"/>
        <v/>
      </c>
      <c r="U363" s="681" t="str">
        <f t="shared" si="24"/>
        <v/>
      </c>
      <c r="V363" s="681" t="str">
        <f t="shared" si="25"/>
        <v/>
      </c>
      <c r="W363" s="682" t="str">
        <f t="shared" si="26"/>
        <v>NO LINK</v>
      </c>
      <c r="X363" s="705">
        <f>VLOOKUP($W363,'Bespoke Speaker Intros'!$D:$E,2,False)</f>
        <v>0</v>
      </c>
      <c r="Y363" s="681">
        <f>VLOOKUP($W363,'Bespoke Speaker Intros'!$D:$F,3,false)</f>
        <v>0</v>
      </c>
      <c r="Z363" s="697"/>
      <c r="AA363" s="665"/>
      <c r="AB363" s="665"/>
      <c r="AC363" s="591"/>
      <c r="AE363" s="617"/>
      <c r="AF363" s="618"/>
      <c r="AG363" s="581"/>
    </row>
    <row r="364">
      <c r="A364" s="607"/>
      <c r="B364" s="608"/>
      <c r="C364" s="608"/>
      <c r="D364" s="589"/>
      <c r="E364" s="581"/>
      <c r="F364" s="581"/>
      <c r="G364" s="581"/>
      <c r="H364" s="581"/>
      <c r="I364" s="581"/>
      <c r="J364" s="708"/>
      <c r="K364" s="591"/>
      <c r="L364" s="581"/>
      <c r="M364" s="581"/>
      <c r="N364" s="581"/>
      <c r="P364" s="592"/>
      <c r="R364" s="593"/>
      <c r="S364" s="525" t="s">
        <v>457</v>
      </c>
      <c r="T364" s="681" t="str">
        <f t="shared" si="20"/>
        <v/>
      </c>
      <c r="U364" s="681" t="str">
        <f t="shared" si="24"/>
        <v/>
      </c>
      <c r="V364" s="681" t="str">
        <f t="shared" si="25"/>
        <v/>
      </c>
      <c r="W364" s="682" t="str">
        <f t="shared" si="26"/>
        <v>NO LINK</v>
      </c>
      <c r="X364" s="705">
        <f>VLOOKUP($W364,'Bespoke Speaker Intros'!$D:$E,2,False)</f>
        <v>0</v>
      </c>
      <c r="Y364" s="681">
        <f>VLOOKUP($W364,'Bespoke Speaker Intros'!$D:$F,3,false)</f>
        <v>0</v>
      </c>
      <c r="Z364" s="697"/>
      <c r="AA364" s="665"/>
      <c r="AB364" s="665"/>
      <c r="AC364" s="591"/>
      <c r="AE364" s="617"/>
      <c r="AF364" s="618"/>
      <c r="AG364" s="581"/>
    </row>
    <row r="365">
      <c r="A365" s="607"/>
      <c r="B365" s="608"/>
      <c r="C365" s="608"/>
      <c r="D365" s="589"/>
      <c r="E365" s="581"/>
      <c r="F365" s="581"/>
      <c r="G365" s="581"/>
      <c r="H365" s="581"/>
      <c r="I365" s="581"/>
      <c r="J365" s="708"/>
      <c r="K365" s="591"/>
      <c r="L365" s="581"/>
      <c r="M365" s="581"/>
      <c r="N365" s="581"/>
      <c r="P365" s="592"/>
      <c r="R365" s="593"/>
      <c r="S365" s="525" t="s">
        <v>457</v>
      </c>
      <c r="T365" s="681" t="str">
        <f t="shared" si="20"/>
        <v/>
      </c>
      <c r="U365" s="681" t="str">
        <f t="shared" si="24"/>
        <v/>
      </c>
      <c r="V365" s="681" t="str">
        <f t="shared" si="25"/>
        <v/>
      </c>
      <c r="W365" s="682" t="str">
        <f t="shared" si="26"/>
        <v>NO LINK</v>
      </c>
      <c r="X365" s="705">
        <f>VLOOKUP($W365,'Bespoke Speaker Intros'!$D:$E,2,False)</f>
        <v>0</v>
      </c>
      <c r="Y365" s="681">
        <f>VLOOKUP($W365,'Bespoke Speaker Intros'!$D:$F,3,false)</f>
        <v>0</v>
      </c>
      <c r="Z365" s="697"/>
      <c r="AA365" s="665"/>
      <c r="AB365" s="665"/>
      <c r="AC365" s="591"/>
      <c r="AE365" s="617"/>
      <c r="AF365" s="618"/>
      <c r="AG365" s="581"/>
    </row>
    <row r="366">
      <c r="A366" s="607"/>
      <c r="B366" s="608"/>
      <c r="C366" s="608"/>
      <c r="D366" s="589"/>
      <c r="E366" s="581"/>
      <c r="F366" s="581"/>
      <c r="G366" s="581"/>
      <c r="H366" s="581"/>
      <c r="I366" s="581"/>
      <c r="J366" s="708"/>
      <c r="K366" s="591"/>
      <c r="L366" s="581"/>
      <c r="M366" s="581"/>
      <c r="N366" s="581"/>
      <c r="P366" s="592"/>
      <c r="R366" s="593"/>
      <c r="S366" s="525" t="s">
        <v>457</v>
      </c>
      <c r="T366" s="681" t="str">
        <f t="shared" si="20"/>
        <v/>
      </c>
      <c r="U366" s="681" t="str">
        <f t="shared" si="24"/>
        <v/>
      </c>
      <c r="V366" s="681" t="str">
        <f t="shared" si="25"/>
        <v/>
      </c>
      <c r="W366" s="682" t="str">
        <f t="shared" si="26"/>
        <v>NO LINK</v>
      </c>
      <c r="X366" s="705">
        <f>VLOOKUP($W366,'Bespoke Speaker Intros'!$D:$E,2,False)</f>
        <v>0</v>
      </c>
      <c r="Y366" s="681">
        <f>VLOOKUP($W366,'Bespoke Speaker Intros'!$D:$F,3,false)</f>
        <v>0</v>
      </c>
      <c r="Z366" s="697"/>
      <c r="AA366" s="665"/>
      <c r="AB366" s="665"/>
      <c r="AC366" s="591"/>
      <c r="AE366" s="617"/>
      <c r="AF366" s="618"/>
      <c r="AG366" s="581"/>
    </row>
    <row r="367">
      <c r="A367" s="607"/>
      <c r="B367" s="608"/>
      <c r="C367" s="608"/>
      <c r="D367" s="589"/>
      <c r="E367" s="581"/>
      <c r="F367" s="581"/>
      <c r="G367" s="581"/>
      <c r="H367" s="581"/>
      <c r="I367" s="581"/>
      <c r="J367" s="708"/>
      <c r="K367" s="591"/>
      <c r="L367" s="581"/>
      <c r="M367" s="581"/>
      <c r="N367" s="581"/>
      <c r="P367" s="592"/>
      <c r="R367" s="593"/>
      <c r="S367" s="525" t="s">
        <v>457</v>
      </c>
      <c r="T367" s="681" t="str">
        <f t="shared" si="20"/>
        <v/>
      </c>
      <c r="U367" s="681" t="str">
        <f t="shared" si="24"/>
        <v/>
      </c>
      <c r="V367" s="681" t="str">
        <f t="shared" si="25"/>
        <v/>
      </c>
      <c r="W367" s="682" t="str">
        <f t="shared" si="26"/>
        <v>NO LINK</v>
      </c>
      <c r="X367" s="705">
        <f>VLOOKUP($W367,'Bespoke Speaker Intros'!$D:$E,2,False)</f>
        <v>0</v>
      </c>
      <c r="Y367" s="681">
        <f>VLOOKUP($W367,'Bespoke Speaker Intros'!$D:$F,3,false)</f>
        <v>0</v>
      </c>
      <c r="Z367" s="697"/>
      <c r="AA367" s="665"/>
      <c r="AB367" s="665"/>
      <c r="AC367" s="591"/>
      <c r="AE367" s="617"/>
      <c r="AF367" s="618"/>
      <c r="AG367" s="581"/>
    </row>
    <row r="368">
      <c r="A368" s="607"/>
      <c r="B368" s="608"/>
      <c r="C368" s="608"/>
      <c r="D368" s="589"/>
      <c r="E368" s="581"/>
      <c r="F368" s="581"/>
      <c r="G368" s="581"/>
      <c r="H368" s="581"/>
      <c r="I368" s="581"/>
      <c r="J368" s="708"/>
      <c r="K368" s="591"/>
      <c r="L368" s="581"/>
      <c r="M368" s="581"/>
      <c r="N368" s="581"/>
      <c r="P368" s="592"/>
      <c r="R368" s="593"/>
      <c r="S368" s="525" t="s">
        <v>457</v>
      </c>
      <c r="T368" s="681" t="str">
        <f t="shared" si="20"/>
        <v/>
      </c>
      <c r="U368" s="681" t="str">
        <f t="shared" si="24"/>
        <v/>
      </c>
      <c r="V368" s="681" t="str">
        <f t="shared" si="25"/>
        <v/>
      </c>
      <c r="W368" s="682" t="str">
        <f t="shared" si="26"/>
        <v>NO LINK</v>
      </c>
      <c r="X368" s="705">
        <f>VLOOKUP($W368,'Bespoke Speaker Intros'!$D:$E,2,False)</f>
        <v>0</v>
      </c>
      <c r="Y368" s="681">
        <f>VLOOKUP($W368,'Bespoke Speaker Intros'!$D:$F,3,false)</f>
        <v>0</v>
      </c>
      <c r="Z368" s="697"/>
      <c r="AA368" s="665"/>
      <c r="AB368" s="665"/>
      <c r="AC368" s="591"/>
      <c r="AE368" s="617"/>
      <c r="AF368" s="618"/>
      <c r="AG368" s="581"/>
    </row>
    <row r="369">
      <c r="A369" s="607"/>
      <c r="B369" s="608"/>
      <c r="C369" s="608"/>
      <c r="D369" s="589"/>
      <c r="E369" s="581"/>
      <c r="F369" s="581"/>
      <c r="G369" s="581"/>
      <c r="H369" s="581"/>
      <c r="I369" s="581"/>
      <c r="J369" s="708"/>
      <c r="K369" s="591"/>
      <c r="L369" s="581"/>
      <c r="M369" s="581"/>
      <c r="N369" s="581"/>
      <c r="P369" s="592"/>
      <c r="R369" s="593"/>
      <c r="S369" s="525" t="s">
        <v>457</v>
      </c>
      <c r="T369" s="681" t="str">
        <f t="shared" si="20"/>
        <v/>
      </c>
      <c r="U369" s="681" t="str">
        <f t="shared" si="24"/>
        <v/>
      </c>
      <c r="V369" s="681" t="str">
        <f t="shared" si="25"/>
        <v/>
      </c>
      <c r="W369" s="682" t="str">
        <f t="shared" si="26"/>
        <v>NO LINK</v>
      </c>
      <c r="X369" s="705">
        <f>VLOOKUP($W369,'Bespoke Speaker Intros'!$D:$E,2,False)</f>
        <v>0</v>
      </c>
      <c r="Y369" s="681">
        <f>VLOOKUP($W369,'Bespoke Speaker Intros'!$D:$F,3,false)</f>
        <v>0</v>
      </c>
      <c r="Z369" s="697"/>
      <c r="AA369" s="665"/>
      <c r="AB369" s="665"/>
      <c r="AC369" s="591"/>
      <c r="AE369" s="617"/>
      <c r="AF369" s="618"/>
      <c r="AG369" s="581"/>
    </row>
    <row r="370">
      <c r="A370" s="607"/>
      <c r="B370" s="608"/>
      <c r="C370" s="608"/>
      <c r="D370" s="589"/>
      <c r="E370" s="581"/>
      <c r="F370" s="581"/>
      <c r="G370" s="581"/>
      <c r="H370" s="581"/>
      <c r="I370" s="581"/>
      <c r="J370" s="708"/>
      <c r="K370" s="591"/>
      <c r="L370" s="581"/>
      <c r="M370" s="581"/>
      <c r="N370" s="581"/>
      <c r="P370" s="592"/>
      <c r="R370" s="593"/>
      <c r="S370" s="525" t="s">
        <v>457</v>
      </c>
      <c r="T370" s="681" t="str">
        <f t="shared" si="20"/>
        <v/>
      </c>
      <c r="U370" s="681" t="str">
        <f t="shared" si="24"/>
        <v/>
      </c>
      <c r="V370" s="681" t="str">
        <f t="shared" si="25"/>
        <v/>
      </c>
      <c r="W370" s="682" t="str">
        <f t="shared" si="26"/>
        <v>NO LINK</v>
      </c>
      <c r="X370" s="705">
        <f>VLOOKUP($W370,'Bespoke Speaker Intros'!$D:$E,2,False)</f>
        <v>0</v>
      </c>
      <c r="Y370" s="681">
        <f>VLOOKUP($W370,'Bespoke Speaker Intros'!$D:$F,3,false)</f>
        <v>0</v>
      </c>
      <c r="Z370" s="697"/>
      <c r="AA370" s="665"/>
      <c r="AB370" s="665"/>
      <c r="AC370" s="591"/>
      <c r="AE370" s="617"/>
      <c r="AF370" s="618"/>
      <c r="AG370" s="581"/>
    </row>
    <row r="371">
      <c r="A371" s="607"/>
      <c r="B371" s="608"/>
      <c r="C371" s="608"/>
      <c r="D371" s="589"/>
      <c r="E371" s="581"/>
      <c r="F371" s="581"/>
      <c r="G371" s="581"/>
      <c r="H371" s="581"/>
      <c r="I371" s="581"/>
      <c r="J371" s="708"/>
      <c r="K371" s="591"/>
      <c r="L371" s="581"/>
      <c r="M371" s="581"/>
      <c r="N371" s="581"/>
      <c r="P371" s="592"/>
      <c r="R371" s="593"/>
      <c r="S371" s="525" t="s">
        <v>457</v>
      </c>
      <c r="T371" s="681" t="str">
        <f t="shared" si="20"/>
        <v/>
      </c>
      <c r="U371" s="681" t="str">
        <f t="shared" si="24"/>
        <v/>
      </c>
      <c r="V371" s="681" t="str">
        <f t="shared" si="25"/>
        <v/>
      </c>
      <c r="W371" s="682" t="str">
        <f t="shared" si="26"/>
        <v>NO LINK</v>
      </c>
      <c r="X371" s="705">
        <f>VLOOKUP($W371,'Bespoke Speaker Intros'!$D:$E,2,False)</f>
        <v>0</v>
      </c>
      <c r="Y371" s="681">
        <f>VLOOKUP($W371,'Bespoke Speaker Intros'!$D:$F,3,false)</f>
        <v>0</v>
      </c>
      <c r="Z371" s="697"/>
      <c r="AA371" s="665"/>
      <c r="AB371" s="665"/>
      <c r="AC371" s="591"/>
      <c r="AE371" s="617"/>
      <c r="AF371" s="618"/>
      <c r="AG371" s="581"/>
    </row>
    <row r="372">
      <c r="A372" s="607"/>
      <c r="B372" s="608"/>
      <c r="C372" s="608"/>
      <c r="D372" s="589"/>
      <c r="E372" s="581"/>
      <c r="F372" s="581"/>
      <c r="G372" s="581"/>
      <c r="H372" s="581"/>
      <c r="I372" s="581"/>
      <c r="J372" s="708"/>
      <c r="K372" s="591"/>
      <c r="L372" s="581"/>
      <c r="M372" s="581"/>
      <c r="N372" s="581"/>
      <c r="P372" s="592"/>
      <c r="R372" s="593"/>
      <c r="S372" s="525" t="s">
        <v>457</v>
      </c>
      <c r="T372" s="681" t="str">
        <f t="shared" si="20"/>
        <v/>
      </c>
      <c r="U372" s="681" t="str">
        <f t="shared" si="24"/>
        <v/>
      </c>
      <c r="V372" s="681" t="str">
        <f t="shared" si="25"/>
        <v/>
      </c>
      <c r="W372" s="682" t="str">
        <f t="shared" si="26"/>
        <v>NO LINK</v>
      </c>
      <c r="X372" s="705">
        <f>VLOOKUP($W372,'Bespoke Speaker Intros'!$D:$E,2,False)</f>
        <v>0</v>
      </c>
      <c r="Y372" s="681">
        <f>VLOOKUP($W372,'Bespoke Speaker Intros'!$D:$F,3,false)</f>
        <v>0</v>
      </c>
      <c r="Z372" s="697"/>
      <c r="AA372" s="665"/>
      <c r="AB372" s="665"/>
      <c r="AC372" s="591"/>
      <c r="AE372" s="617"/>
      <c r="AF372" s="618"/>
      <c r="AG372" s="581"/>
    </row>
    <row r="373">
      <c r="A373" s="607"/>
      <c r="B373" s="608"/>
      <c r="C373" s="608"/>
      <c r="D373" s="589"/>
      <c r="E373" s="581"/>
      <c r="F373" s="581"/>
      <c r="G373" s="581"/>
      <c r="H373" s="581"/>
      <c r="I373" s="581"/>
      <c r="J373" s="708"/>
      <c r="K373" s="591"/>
      <c r="L373" s="581"/>
      <c r="M373" s="581"/>
      <c r="N373" s="581"/>
      <c r="P373" s="592"/>
      <c r="R373" s="593"/>
      <c r="S373" s="525" t="s">
        <v>457</v>
      </c>
      <c r="T373" s="681" t="str">
        <f t="shared" si="20"/>
        <v/>
      </c>
      <c r="U373" s="681" t="str">
        <f t="shared" si="24"/>
        <v/>
      </c>
      <c r="V373" s="681" t="str">
        <f t="shared" si="25"/>
        <v/>
      </c>
      <c r="W373" s="682" t="str">
        <f t="shared" si="26"/>
        <v>NO LINK</v>
      </c>
      <c r="X373" s="705">
        <f>VLOOKUP($W373,'Bespoke Speaker Intros'!$D:$E,2,False)</f>
        <v>0</v>
      </c>
      <c r="Y373" s="681">
        <f>VLOOKUP($W373,'Bespoke Speaker Intros'!$D:$F,3,false)</f>
        <v>0</v>
      </c>
      <c r="Z373" s="697"/>
      <c r="AA373" s="665"/>
      <c r="AB373" s="665"/>
      <c r="AC373" s="591"/>
      <c r="AE373" s="617"/>
      <c r="AF373" s="618"/>
      <c r="AG373" s="581"/>
    </row>
    <row r="374">
      <c r="A374" s="607"/>
      <c r="B374" s="608"/>
      <c r="C374" s="608"/>
      <c r="D374" s="589"/>
      <c r="E374" s="581"/>
      <c r="F374" s="581"/>
      <c r="G374" s="581"/>
      <c r="H374" s="581"/>
      <c r="I374" s="581"/>
      <c r="J374" s="708"/>
      <c r="K374" s="591"/>
      <c r="L374" s="581"/>
      <c r="M374" s="581"/>
      <c r="N374" s="581"/>
      <c r="P374" s="592"/>
      <c r="R374" s="593"/>
      <c r="S374" s="525" t="s">
        <v>457</v>
      </c>
      <c r="T374" s="681" t="str">
        <f t="shared" si="20"/>
        <v/>
      </c>
      <c r="U374" s="681" t="str">
        <f t="shared" si="24"/>
        <v/>
      </c>
      <c r="V374" s="681" t="str">
        <f t="shared" si="25"/>
        <v/>
      </c>
      <c r="W374" s="682" t="str">
        <f t="shared" si="26"/>
        <v>NO LINK</v>
      </c>
      <c r="X374" s="705">
        <f>VLOOKUP($W374,'Bespoke Speaker Intros'!$D:$E,2,False)</f>
        <v>0</v>
      </c>
      <c r="Y374" s="681">
        <f>VLOOKUP($W374,'Bespoke Speaker Intros'!$D:$F,3,false)</f>
        <v>0</v>
      </c>
      <c r="Z374" s="697"/>
      <c r="AA374" s="665"/>
      <c r="AB374" s="665"/>
      <c r="AC374" s="591"/>
      <c r="AE374" s="617"/>
      <c r="AF374" s="618"/>
      <c r="AG374" s="581"/>
    </row>
    <row r="375">
      <c r="A375" s="607"/>
      <c r="B375" s="608"/>
      <c r="C375" s="608"/>
      <c r="D375" s="589"/>
      <c r="E375" s="581"/>
      <c r="F375" s="581"/>
      <c r="G375" s="581"/>
      <c r="H375" s="581"/>
      <c r="I375" s="581"/>
      <c r="J375" s="708"/>
      <c r="K375" s="591"/>
      <c r="L375" s="581"/>
      <c r="M375" s="581"/>
      <c r="N375" s="581"/>
      <c r="P375" s="592"/>
      <c r="R375" s="593"/>
      <c r="S375" s="525" t="s">
        <v>457</v>
      </c>
      <c r="T375" s="681" t="str">
        <f t="shared" si="20"/>
        <v/>
      </c>
      <c r="U375" s="681" t="str">
        <f t="shared" si="24"/>
        <v/>
      </c>
      <c r="V375" s="681" t="str">
        <f t="shared" si="25"/>
        <v/>
      </c>
      <c r="W375" s="682" t="str">
        <f t="shared" si="26"/>
        <v>NO LINK</v>
      </c>
      <c r="X375" s="705">
        <f>VLOOKUP($W375,'Bespoke Speaker Intros'!$D:$E,2,False)</f>
        <v>0</v>
      </c>
      <c r="Y375" s="681">
        <f>VLOOKUP($W375,'Bespoke Speaker Intros'!$D:$F,3,false)</f>
        <v>0</v>
      </c>
      <c r="Z375" s="697"/>
      <c r="AA375" s="665"/>
      <c r="AB375" s="665"/>
      <c r="AC375" s="591"/>
      <c r="AE375" s="617"/>
      <c r="AF375" s="618"/>
      <c r="AG375" s="581"/>
    </row>
    <row r="376">
      <c r="A376" s="607"/>
      <c r="B376" s="608"/>
      <c r="C376" s="608"/>
      <c r="D376" s="589"/>
      <c r="E376" s="581"/>
      <c r="F376" s="581"/>
      <c r="G376" s="581"/>
      <c r="H376" s="581"/>
      <c r="I376" s="581"/>
      <c r="J376" s="708"/>
      <c r="K376" s="591"/>
      <c r="L376" s="581"/>
      <c r="M376" s="581"/>
      <c r="N376" s="581"/>
      <c r="P376" s="592"/>
      <c r="R376" s="593"/>
      <c r="S376" s="525" t="s">
        <v>457</v>
      </c>
      <c r="T376" s="681" t="str">
        <f t="shared" si="20"/>
        <v/>
      </c>
      <c r="U376" s="681" t="str">
        <f t="shared" si="24"/>
        <v/>
      </c>
      <c r="V376" s="681" t="str">
        <f t="shared" si="25"/>
        <v/>
      </c>
      <c r="W376" s="682" t="str">
        <f t="shared" si="26"/>
        <v>NO LINK</v>
      </c>
      <c r="X376" s="705">
        <f>VLOOKUP($W376,'Bespoke Speaker Intros'!$D:$E,2,False)</f>
        <v>0</v>
      </c>
      <c r="Y376" s="681">
        <f>VLOOKUP($W376,'Bespoke Speaker Intros'!$D:$F,3,false)</f>
        <v>0</v>
      </c>
      <c r="Z376" s="697"/>
      <c r="AA376" s="665"/>
      <c r="AB376" s="665"/>
      <c r="AC376" s="591"/>
      <c r="AE376" s="617"/>
      <c r="AF376" s="618"/>
      <c r="AG376" s="581"/>
    </row>
    <row r="377">
      <c r="A377" s="607"/>
      <c r="B377" s="608"/>
      <c r="C377" s="608"/>
      <c r="D377" s="589"/>
      <c r="E377" s="581"/>
      <c r="F377" s="581"/>
      <c r="G377" s="581"/>
      <c r="H377" s="581"/>
      <c r="I377" s="581"/>
      <c r="J377" s="708"/>
      <c r="K377" s="591"/>
      <c r="L377" s="581"/>
      <c r="M377" s="581"/>
      <c r="N377" s="581"/>
      <c r="P377" s="592"/>
      <c r="R377" s="593"/>
      <c r="S377" s="525" t="s">
        <v>457</v>
      </c>
      <c r="T377" s="681" t="str">
        <f t="shared" si="20"/>
        <v/>
      </c>
      <c r="U377" s="681" t="str">
        <f t="shared" si="24"/>
        <v/>
      </c>
      <c r="V377" s="681" t="str">
        <f t="shared" si="25"/>
        <v/>
      </c>
      <c r="W377" s="682" t="str">
        <f t="shared" si="26"/>
        <v>NO LINK</v>
      </c>
      <c r="X377" s="705">
        <f>VLOOKUP($W377,'Bespoke Speaker Intros'!$D:$E,2,False)</f>
        <v>0</v>
      </c>
      <c r="Y377" s="681">
        <f>VLOOKUP($W377,'Bespoke Speaker Intros'!$D:$F,3,false)</f>
        <v>0</v>
      </c>
      <c r="Z377" s="697"/>
      <c r="AA377" s="665"/>
      <c r="AB377" s="665"/>
      <c r="AC377" s="591"/>
      <c r="AE377" s="617"/>
      <c r="AF377" s="618"/>
      <c r="AG377" s="581"/>
    </row>
    <row r="378">
      <c r="A378" s="607"/>
      <c r="B378" s="608"/>
      <c r="C378" s="608"/>
      <c r="D378" s="589"/>
      <c r="E378" s="581"/>
      <c r="F378" s="581"/>
      <c r="G378" s="581"/>
      <c r="H378" s="581"/>
      <c r="I378" s="581"/>
      <c r="J378" s="708"/>
      <c r="K378" s="591"/>
      <c r="L378" s="581"/>
      <c r="M378" s="581"/>
      <c r="N378" s="581"/>
      <c r="P378" s="592"/>
      <c r="R378" s="593"/>
      <c r="S378" s="525" t="s">
        <v>457</v>
      </c>
      <c r="T378" s="681" t="str">
        <f t="shared" si="20"/>
        <v/>
      </c>
      <c r="U378" s="681" t="str">
        <f t="shared" si="24"/>
        <v/>
      </c>
      <c r="V378" s="681" t="str">
        <f t="shared" si="25"/>
        <v/>
      </c>
      <c r="W378" s="682" t="str">
        <f t="shared" si="26"/>
        <v>NO LINK</v>
      </c>
      <c r="X378" s="705">
        <f>VLOOKUP($W378,'Bespoke Speaker Intros'!$D:$E,2,False)</f>
        <v>0</v>
      </c>
      <c r="Y378" s="681">
        <f>VLOOKUP($W378,'Bespoke Speaker Intros'!$D:$F,3,false)</f>
        <v>0</v>
      </c>
      <c r="Z378" s="697"/>
      <c r="AA378" s="665"/>
      <c r="AB378" s="665"/>
      <c r="AC378" s="591"/>
      <c r="AE378" s="617"/>
      <c r="AF378" s="618"/>
      <c r="AG378" s="581"/>
    </row>
    <row r="379">
      <c r="A379" s="607"/>
      <c r="B379" s="608"/>
      <c r="C379" s="608"/>
      <c r="D379" s="589"/>
      <c r="E379" s="581"/>
      <c r="F379" s="581"/>
      <c r="G379" s="581"/>
      <c r="H379" s="581"/>
      <c r="I379" s="581"/>
      <c r="J379" s="708"/>
      <c r="K379" s="591"/>
      <c r="L379" s="581"/>
      <c r="M379" s="581"/>
      <c r="N379" s="581"/>
      <c r="P379" s="592"/>
      <c r="R379" s="593"/>
      <c r="S379" s="525" t="s">
        <v>457</v>
      </c>
      <c r="T379" s="681" t="str">
        <f t="shared" si="20"/>
        <v/>
      </c>
      <c r="U379" s="681" t="str">
        <f t="shared" si="24"/>
        <v/>
      </c>
      <c r="V379" s="681" t="str">
        <f t="shared" si="25"/>
        <v/>
      </c>
      <c r="W379" s="682" t="str">
        <f t="shared" si="26"/>
        <v>NO LINK</v>
      </c>
      <c r="X379" s="705">
        <f>VLOOKUP($W379,'Bespoke Speaker Intros'!$D:$E,2,False)</f>
        <v>0</v>
      </c>
      <c r="Y379" s="681">
        <f>VLOOKUP($W379,'Bespoke Speaker Intros'!$D:$F,3,false)</f>
        <v>0</v>
      </c>
      <c r="Z379" s="697"/>
      <c r="AA379" s="665"/>
      <c r="AB379" s="665"/>
      <c r="AC379" s="591"/>
      <c r="AE379" s="617"/>
      <c r="AF379" s="618"/>
      <c r="AG379" s="581"/>
    </row>
    <row r="380">
      <c r="A380" s="607"/>
      <c r="B380" s="608"/>
      <c r="C380" s="608"/>
      <c r="D380" s="589"/>
      <c r="E380" s="581"/>
      <c r="F380" s="581"/>
      <c r="G380" s="581"/>
      <c r="H380" s="581"/>
      <c r="I380" s="581"/>
      <c r="J380" s="708"/>
      <c r="K380" s="591"/>
      <c r="L380" s="581"/>
      <c r="M380" s="581"/>
      <c r="N380" s="581"/>
      <c r="P380" s="592"/>
      <c r="R380" s="593"/>
      <c r="S380" s="525" t="s">
        <v>457</v>
      </c>
      <c r="T380" s="681" t="str">
        <f t="shared" si="20"/>
        <v/>
      </c>
      <c r="U380" s="681" t="str">
        <f t="shared" si="24"/>
        <v/>
      </c>
      <c r="V380" s="681" t="str">
        <f t="shared" si="25"/>
        <v/>
      </c>
      <c r="W380" s="682" t="str">
        <f t="shared" si="26"/>
        <v>NO LINK</v>
      </c>
      <c r="X380" s="705">
        <f>VLOOKUP($W380,'Bespoke Speaker Intros'!$D:$E,2,False)</f>
        <v>0</v>
      </c>
      <c r="Y380" s="681">
        <f>VLOOKUP($W380,'Bespoke Speaker Intros'!$D:$F,3,false)</f>
        <v>0</v>
      </c>
      <c r="Z380" s="697"/>
      <c r="AA380" s="665"/>
      <c r="AB380" s="665"/>
      <c r="AC380" s="591"/>
      <c r="AE380" s="617"/>
      <c r="AF380" s="618"/>
      <c r="AG380" s="581"/>
    </row>
    <row r="381">
      <c r="A381" s="607"/>
      <c r="B381" s="608"/>
      <c r="C381" s="608"/>
      <c r="D381" s="589"/>
      <c r="E381" s="581"/>
      <c r="F381" s="581"/>
      <c r="G381" s="581"/>
      <c r="H381" s="581"/>
      <c r="I381" s="581"/>
      <c r="J381" s="708"/>
      <c r="K381" s="591"/>
      <c r="L381" s="581"/>
      <c r="M381" s="581"/>
      <c r="N381" s="581"/>
      <c r="P381" s="592"/>
      <c r="R381" s="593"/>
      <c r="S381" s="525" t="s">
        <v>457</v>
      </c>
      <c r="T381" s="681" t="str">
        <f t="shared" si="20"/>
        <v/>
      </c>
      <c r="U381" s="681" t="str">
        <f t="shared" si="24"/>
        <v/>
      </c>
      <c r="V381" s="681" t="str">
        <f t="shared" si="25"/>
        <v/>
      </c>
      <c r="W381" s="682" t="str">
        <f t="shared" si="26"/>
        <v>NO LINK</v>
      </c>
      <c r="X381" s="705">
        <f>VLOOKUP($W381,'Bespoke Speaker Intros'!$D:$E,2,False)</f>
        <v>0</v>
      </c>
      <c r="Y381" s="681">
        <f>VLOOKUP($W381,'Bespoke Speaker Intros'!$D:$F,3,false)</f>
        <v>0</v>
      </c>
      <c r="Z381" s="697"/>
      <c r="AA381" s="665"/>
      <c r="AB381" s="665"/>
      <c r="AC381" s="591"/>
      <c r="AE381" s="617"/>
      <c r="AF381" s="618"/>
      <c r="AG381" s="581"/>
    </row>
    <row r="382">
      <c r="A382" s="607"/>
      <c r="B382" s="608"/>
      <c r="C382" s="608"/>
      <c r="D382" s="589"/>
      <c r="E382" s="581"/>
      <c r="F382" s="581"/>
      <c r="G382" s="581"/>
      <c r="H382" s="581"/>
      <c r="I382" s="581"/>
      <c r="J382" s="708"/>
      <c r="K382" s="591"/>
      <c r="L382" s="581"/>
      <c r="M382" s="581"/>
      <c r="N382" s="581"/>
      <c r="P382" s="592"/>
      <c r="R382" s="593"/>
      <c r="S382" s="525" t="s">
        <v>457</v>
      </c>
      <c r="T382" s="681" t="str">
        <f t="shared" si="20"/>
        <v/>
      </c>
      <c r="U382" s="681" t="str">
        <f t="shared" si="24"/>
        <v/>
      </c>
      <c r="V382" s="681" t="str">
        <f t="shared" si="25"/>
        <v/>
      </c>
      <c r="W382" s="682" t="str">
        <f t="shared" si="26"/>
        <v>NO LINK</v>
      </c>
      <c r="X382" s="705">
        <f>VLOOKUP($W382,'Bespoke Speaker Intros'!$D:$E,2,False)</f>
        <v>0</v>
      </c>
      <c r="Y382" s="681">
        <f>VLOOKUP($W382,'Bespoke Speaker Intros'!$D:$F,3,false)</f>
        <v>0</v>
      </c>
      <c r="Z382" s="697"/>
      <c r="AA382" s="665"/>
      <c r="AB382" s="665"/>
      <c r="AC382" s="591"/>
      <c r="AE382" s="617"/>
      <c r="AF382" s="618"/>
      <c r="AG382" s="581"/>
    </row>
    <row r="383">
      <c r="A383" s="607"/>
      <c r="B383" s="608"/>
      <c r="C383" s="608"/>
      <c r="D383" s="589"/>
      <c r="E383" s="581"/>
      <c r="F383" s="581"/>
      <c r="G383" s="581"/>
      <c r="H383" s="581"/>
      <c r="I383" s="581"/>
      <c r="J383" s="708"/>
      <c r="K383" s="591"/>
      <c r="L383" s="581"/>
      <c r="M383" s="581"/>
      <c r="N383" s="581"/>
      <c r="P383" s="592"/>
      <c r="R383" s="593"/>
      <c r="S383" s="525" t="s">
        <v>457</v>
      </c>
      <c r="T383" s="681" t="str">
        <f t="shared" si="20"/>
        <v/>
      </c>
      <c r="U383" s="681" t="str">
        <f t="shared" si="24"/>
        <v/>
      </c>
      <c r="V383" s="681" t="str">
        <f t="shared" si="25"/>
        <v/>
      </c>
      <c r="W383" s="682" t="str">
        <f t="shared" si="26"/>
        <v>NO LINK</v>
      </c>
      <c r="X383" s="705">
        <f>VLOOKUP($W383,'Bespoke Speaker Intros'!$D:$E,2,False)</f>
        <v>0</v>
      </c>
      <c r="Y383" s="681">
        <f>VLOOKUP($W383,'Bespoke Speaker Intros'!$D:$F,3,false)</f>
        <v>0</v>
      </c>
      <c r="Z383" s="697"/>
      <c r="AA383" s="665"/>
      <c r="AB383" s="665"/>
      <c r="AC383" s="591"/>
      <c r="AE383" s="617"/>
      <c r="AF383" s="618"/>
      <c r="AG383" s="581"/>
    </row>
    <row r="384">
      <c r="A384" s="607"/>
      <c r="B384" s="608"/>
      <c r="C384" s="608"/>
      <c r="D384" s="589"/>
      <c r="E384" s="581"/>
      <c r="F384" s="581"/>
      <c r="G384" s="581"/>
      <c r="H384" s="581"/>
      <c r="I384" s="581"/>
      <c r="J384" s="708"/>
      <c r="K384" s="591"/>
      <c r="L384" s="581"/>
      <c r="M384" s="581"/>
      <c r="N384" s="581"/>
      <c r="P384" s="592"/>
      <c r="R384" s="593"/>
      <c r="S384" s="525" t="s">
        <v>457</v>
      </c>
      <c r="T384" s="681" t="str">
        <f t="shared" si="20"/>
        <v/>
      </c>
      <c r="U384" s="681" t="str">
        <f t="shared" si="24"/>
        <v/>
      </c>
      <c r="V384" s="681" t="str">
        <f t="shared" si="25"/>
        <v/>
      </c>
      <c r="W384" s="682" t="str">
        <f t="shared" si="26"/>
        <v>NO LINK</v>
      </c>
      <c r="X384" s="705">
        <f>VLOOKUP($W384,'Bespoke Speaker Intros'!$D:$E,2,False)</f>
        <v>0</v>
      </c>
      <c r="Y384" s="681">
        <f>VLOOKUP($W384,'Bespoke Speaker Intros'!$D:$F,3,false)</f>
        <v>0</v>
      </c>
      <c r="Z384" s="697"/>
      <c r="AA384" s="665"/>
      <c r="AB384" s="665"/>
      <c r="AC384" s="591"/>
      <c r="AE384" s="617"/>
      <c r="AF384" s="618"/>
      <c r="AG384" s="581"/>
    </row>
    <row r="385">
      <c r="A385" s="607"/>
      <c r="B385" s="608"/>
      <c r="C385" s="608"/>
      <c r="D385" s="589"/>
      <c r="E385" s="581"/>
      <c r="F385" s="581"/>
      <c r="G385" s="581"/>
      <c r="H385" s="581"/>
      <c r="I385" s="581"/>
      <c r="J385" s="708"/>
      <c r="K385" s="591"/>
      <c r="L385" s="581"/>
      <c r="M385" s="581"/>
      <c r="N385" s="581"/>
      <c r="P385" s="592"/>
      <c r="R385" s="593"/>
      <c r="S385" s="525" t="s">
        <v>457</v>
      </c>
      <c r="T385" s="681" t="str">
        <f t="shared" si="20"/>
        <v/>
      </c>
      <c r="U385" s="681" t="str">
        <f t="shared" si="24"/>
        <v/>
      </c>
      <c r="V385" s="681" t="str">
        <f t="shared" si="25"/>
        <v/>
      </c>
      <c r="W385" s="682" t="str">
        <f t="shared" si="26"/>
        <v>NO LINK</v>
      </c>
      <c r="X385" s="705">
        <f>VLOOKUP($W385,'Bespoke Speaker Intros'!$D:$E,2,False)</f>
        <v>0</v>
      </c>
      <c r="Y385" s="681">
        <f>VLOOKUP($W385,'Bespoke Speaker Intros'!$D:$F,3,false)</f>
        <v>0</v>
      </c>
      <c r="Z385" s="697"/>
      <c r="AA385" s="665"/>
      <c r="AB385" s="665"/>
      <c r="AC385" s="591"/>
      <c r="AE385" s="617"/>
      <c r="AF385" s="618"/>
      <c r="AG385" s="581"/>
    </row>
    <row r="386">
      <c r="A386" s="607"/>
      <c r="B386" s="608"/>
      <c r="C386" s="608"/>
      <c r="D386" s="589"/>
      <c r="E386" s="581"/>
      <c r="F386" s="581"/>
      <c r="G386" s="581"/>
      <c r="H386" s="581"/>
      <c r="I386" s="581"/>
      <c r="J386" s="708"/>
      <c r="K386" s="591"/>
      <c r="L386" s="581"/>
      <c r="M386" s="581"/>
      <c r="N386" s="581"/>
      <c r="P386" s="592"/>
      <c r="R386" s="593"/>
      <c r="S386" s="525" t="s">
        <v>457</v>
      </c>
      <c r="T386" s="681" t="str">
        <f t="shared" si="20"/>
        <v/>
      </c>
      <c r="U386" s="681" t="str">
        <f t="shared" si="24"/>
        <v/>
      </c>
      <c r="V386" s="681" t="str">
        <f t="shared" si="25"/>
        <v/>
      </c>
      <c r="W386" s="682" t="str">
        <f t="shared" si="26"/>
        <v>NO LINK</v>
      </c>
      <c r="X386" s="705">
        <f>VLOOKUP($W386,'Bespoke Speaker Intros'!$D:$E,2,False)</f>
        <v>0</v>
      </c>
      <c r="Y386" s="681">
        <f>VLOOKUP($W386,'Bespoke Speaker Intros'!$D:$F,3,false)</f>
        <v>0</v>
      </c>
      <c r="Z386" s="697"/>
      <c r="AA386" s="665"/>
      <c r="AB386" s="665"/>
      <c r="AC386" s="591"/>
      <c r="AE386" s="617"/>
      <c r="AF386" s="618"/>
      <c r="AG386" s="581"/>
    </row>
    <row r="387">
      <c r="A387" s="607"/>
      <c r="B387" s="608"/>
      <c r="C387" s="608"/>
      <c r="D387" s="589"/>
      <c r="E387" s="581"/>
      <c r="F387" s="581"/>
      <c r="G387" s="581"/>
      <c r="H387" s="581"/>
      <c r="I387" s="581"/>
      <c r="J387" s="708"/>
      <c r="K387" s="591"/>
      <c r="L387" s="581"/>
      <c r="M387" s="581"/>
      <c r="N387" s="581"/>
      <c r="P387" s="592"/>
      <c r="R387" s="593"/>
      <c r="S387" s="525" t="s">
        <v>457</v>
      </c>
      <c r="T387" s="681" t="str">
        <f t="shared" si="20"/>
        <v/>
      </c>
      <c r="U387" s="681" t="str">
        <f t="shared" si="24"/>
        <v/>
      </c>
      <c r="V387" s="681" t="str">
        <f t="shared" si="25"/>
        <v/>
      </c>
      <c r="W387" s="682" t="str">
        <f t="shared" si="26"/>
        <v>NO LINK</v>
      </c>
      <c r="X387" s="705">
        <f>VLOOKUP($W387,'Bespoke Speaker Intros'!$D:$E,2,False)</f>
        <v>0</v>
      </c>
      <c r="Y387" s="681">
        <f>VLOOKUP($W387,'Bespoke Speaker Intros'!$D:$F,3,false)</f>
        <v>0</v>
      </c>
      <c r="Z387" s="697"/>
      <c r="AA387" s="665"/>
      <c r="AB387" s="665"/>
      <c r="AC387" s="591"/>
      <c r="AE387" s="617"/>
      <c r="AF387" s="618"/>
      <c r="AG387" s="581"/>
    </row>
    <row r="388">
      <c r="A388" s="607"/>
      <c r="B388" s="608"/>
      <c r="C388" s="608"/>
      <c r="D388" s="589"/>
      <c r="E388" s="581"/>
      <c r="F388" s="581"/>
      <c r="G388" s="581"/>
      <c r="H388" s="581"/>
      <c r="I388" s="581"/>
      <c r="J388" s="708"/>
      <c r="K388" s="591"/>
      <c r="L388" s="581"/>
      <c r="M388" s="581"/>
      <c r="N388" s="581"/>
      <c r="P388" s="592"/>
      <c r="R388" s="593"/>
      <c r="S388" s="525" t="s">
        <v>457</v>
      </c>
      <c r="T388" s="681" t="str">
        <f t="shared" si="20"/>
        <v/>
      </c>
      <c r="U388" s="681" t="str">
        <f t="shared" si="24"/>
        <v/>
      </c>
      <c r="V388" s="681" t="str">
        <f t="shared" si="25"/>
        <v/>
      </c>
      <c r="W388" s="682" t="str">
        <f t="shared" si="26"/>
        <v>NO LINK</v>
      </c>
      <c r="X388" s="705">
        <f>VLOOKUP($W388,'Bespoke Speaker Intros'!$D:$E,2,False)</f>
        <v>0</v>
      </c>
      <c r="Y388" s="681">
        <f>VLOOKUP($W388,'Bespoke Speaker Intros'!$D:$F,3,false)</f>
        <v>0</v>
      </c>
      <c r="Z388" s="697"/>
      <c r="AA388" s="665"/>
      <c r="AB388" s="665"/>
      <c r="AC388" s="591"/>
      <c r="AE388" s="617"/>
      <c r="AF388" s="618"/>
      <c r="AG388" s="581"/>
    </row>
    <row r="389">
      <c r="A389" s="607"/>
      <c r="B389" s="608"/>
      <c r="C389" s="608"/>
      <c r="D389" s="589"/>
      <c r="E389" s="581"/>
      <c r="F389" s="581"/>
      <c r="G389" s="581"/>
      <c r="H389" s="581"/>
      <c r="I389" s="581"/>
      <c r="J389" s="708"/>
      <c r="K389" s="591"/>
      <c r="L389" s="581"/>
      <c r="M389" s="581"/>
      <c r="N389" s="581"/>
      <c r="P389" s="592"/>
      <c r="R389" s="593"/>
      <c r="S389" s="525" t="s">
        <v>457</v>
      </c>
      <c r="T389" s="681" t="str">
        <f t="shared" si="20"/>
        <v/>
      </c>
      <c r="U389" s="681" t="str">
        <f t="shared" si="24"/>
        <v/>
      </c>
      <c r="V389" s="681" t="str">
        <f t="shared" si="25"/>
        <v/>
      </c>
      <c r="W389" s="682" t="str">
        <f t="shared" si="26"/>
        <v>NO LINK</v>
      </c>
      <c r="X389" s="705">
        <f>VLOOKUP($W389,'Bespoke Speaker Intros'!$D:$E,2,False)</f>
        <v>0</v>
      </c>
      <c r="Y389" s="681">
        <f>VLOOKUP($W389,'Bespoke Speaker Intros'!$D:$F,3,false)</f>
        <v>0</v>
      </c>
      <c r="Z389" s="697"/>
      <c r="AA389" s="665"/>
      <c r="AB389" s="665"/>
      <c r="AC389" s="591"/>
      <c r="AE389" s="617"/>
      <c r="AF389" s="618"/>
      <c r="AG389" s="581"/>
    </row>
    <row r="390">
      <c r="A390" s="607"/>
      <c r="B390" s="608"/>
      <c r="C390" s="608"/>
      <c r="D390" s="589"/>
      <c r="E390" s="581"/>
      <c r="F390" s="581"/>
      <c r="G390" s="581"/>
      <c r="H390" s="581"/>
      <c r="I390" s="581"/>
      <c r="J390" s="708"/>
      <c r="K390" s="591"/>
      <c r="L390" s="581"/>
      <c r="M390" s="581"/>
      <c r="N390" s="581"/>
      <c r="P390" s="592"/>
      <c r="R390" s="593"/>
      <c r="S390" s="525" t="s">
        <v>457</v>
      </c>
      <c r="T390" s="681" t="str">
        <f t="shared" si="20"/>
        <v/>
      </c>
      <c r="U390" s="681" t="str">
        <f t="shared" si="24"/>
        <v/>
      </c>
      <c r="V390" s="681" t="str">
        <f t="shared" si="25"/>
        <v/>
      </c>
      <c r="W390" s="682" t="str">
        <f t="shared" si="26"/>
        <v>NO LINK</v>
      </c>
      <c r="X390" s="705">
        <f>VLOOKUP($W390,'Bespoke Speaker Intros'!$D:$E,2,False)</f>
        <v>0</v>
      </c>
      <c r="Y390" s="681">
        <f>VLOOKUP($W390,'Bespoke Speaker Intros'!$D:$F,3,false)</f>
        <v>0</v>
      </c>
      <c r="Z390" s="697"/>
      <c r="AA390" s="665"/>
      <c r="AB390" s="665"/>
      <c r="AC390" s="591"/>
      <c r="AE390" s="617"/>
      <c r="AF390" s="618"/>
      <c r="AG390" s="581"/>
    </row>
    <row r="391">
      <c r="A391" s="607"/>
      <c r="B391" s="608"/>
      <c r="C391" s="608"/>
      <c r="D391" s="589"/>
      <c r="E391" s="581"/>
      <c r="F391" s="581"/>
      <c r="G391" s="581"/>
      <c r="H391" s="581"/>
      <c r="I391" s="581"/>
      <c r="J391" s="708"/>
      <c r="K391" s="591"/>
      <c r="L391" s="581"/>
      <c r="M391" s="581"/>
      <c r="N391" s="581"/>
      <c r="P391" s="592"/>
      <c r="R391" s="593"/>
      <c r="S391" s="525" t="s">
        <v>457</v>
      </c>
      <c r="T391" s="681" t="str">
        <f t="shared" si="20"/>
        <v/>
      </c>
      <c r="U391" s="681" t="str">
        <f t="shared" si="24"/>
        <v/>
      </c>
      <c r="V391" s="681" t="str">
        <f t="shared" si="25"/>
        <v/>
      </c>
      <c r="W391" s="682" t="str">
        <f t="shared" si="26"/>
        <v>NO LINK</v>
      </c>
      <c r="X391" s="705">
        <f>VLOOKUP($W391,'Bespoke Speaker Intros'!$D:$E,2,False)</f>
        <v>0</v>
      </c>
      <c r="Y391" s="681">
        <f>VLOOKUP($W391,'Bespoke Speaker Intros'!$D:$F,3,false)</f>
        <v>0</v>
      </c>
      <c r="Z391" s="697"/>
      <c r="AA391" s="665"/>
      <c r="AB391" s="665"/>
      <c r="AC391" s="591"/>
      <c r="AE391" s="617"/>
      <c r="AF391" s="618"/>
      <c r="AG391" s="581"/>
    </row>
    <row r="392">
      <c r="A392" s="607"/>
      <c r="B392" s="608"/>
      <c r="C392" s="608"/>
      <c r="D392" s="589"/>
      <c r="E392" s="581"/>
      <c r="F392" s="581"/>
      <c r="G392" s="581"/>
      <c r="H392" s="581"/>
      <c r="I392" s="581"/>
      <c r="J392" s="708"/>
      <c r="K392" s="591"/>
      <c r="L392" s="581"/>
      <c r="M392" s="581"/>
      <c r="N392" s="581"/>
      <c r="P392" s="592"/>
      <c r="R392" s="593"/>
      <c r="S392" s="525" t="s">
        <v>457</v>
      </c>
      <c r="T392" s="681" t="str">
        <f t="shared" si="20"/>
        <v/>
      </c>
      <c r="U392" s="681" t="str">
        <f t="shared" si="24"/>
        <v/>
      </c>
      <c r="V392" s="681" t="str">
        <f t="shared" si="25"/>
        <v/>
      </c>
      <c r="W392" s="682" t="str">
        <f t="shared" si="26"/>
        <v>NO LINK</v>
      </c>
      <c r="X392" s="705">
        <f>VLOOKUP($W392,'Bespoke Speaker Intros'!$D:$E,2,False)</f>
        <v>0</v>
      </c>
      <c r="Y392" s="681">
        <f>VLOOKUP($W392,'Bespoke Speaker Intros'!$D:$F,3,false)</f>
        <v>0</v>
      </c>
      <c r="Z392" s="697"/>
      <c r="AA392" s="665"/>
      <c r="AB392" s="665"/>
      <c r="AC392" s="591"/>
      <c r="AE392" s="617"/>
      <c r="AF392" s="618"/>
      <c r="AG392" s="581"/>
    </row>
    <row r="393">
      <c r="A393" s="607"/>
      <c r="B393" s="608"/>
      <c r="C393" s="608"/>
      <c r="D393" s="589"/>
      <c r="E393" s="581"/>
      <c r="F393" s="581"/>
      <c r="G393" s="581"/>
      <c r="H393" s="581"/>
      <c r="I393" s="581"/>
      <c r="J393" s="708"/>
      <c r="K393" s="591"/>
      <c r="L393" s="581"/>
      <c r="M393" s="581"/>
      <c r="N393" s="581"/>
      <c r="P393" s="592"/>
      <c r="R393" s="593"/>
      <c r="S393" s="525" t="s">
        <v>457</v>
      </c>
      <c r="T393" s="681" t="str">
        <f t="shared" si="20"/>
        <v/>
      </c>
      <c r="U393" s="681" t="str">
        <f t="shared" si="24"/>
        <v/>
      </c>
      <c r="V393" s="681" t="str">
        <f t="shared" si="25"/>
        <v/>
      </c>
      <c r="W393" s="682" t="str">
        <f t="shared" si="26"/>
        <v>NO LINK</v>
      </c>
      <c r="X393" s="705">
        <f>VLOOKUP($W393,'Bespoke Speaker Intros'!$D:$E,2,False)</f>
        <v>0</v>
      </c>
      <c r="Y393" s="681">
        <f>VLOOKUP($W393,'Bespoke Speaker Intros'!$D:$F,3,false)</f>
        <v>0</v>
      </c>
      <c r="Z393" s="697"/>
      <c r="AA393" s="665"/>
      <c r="AB393" s="665"/>
      <c r="AC393" s="591"/>
      <c r="AE393" s="617"/>
      <c r="AF393" s="618"/>
      <c r="AG393" s="581"/>
    </row>
    <row r="394">
      <c r="A394" s="607"/>
      <c r="B394" s="608"/>
      <c r="C394" s="608"/>
      <c r="D394" s="589"/>
      <c r="E394" s="581"/>
      <c r="F394" s="581"/>
      <c r="G394" s="581"/>
      <c r="H394" s="581"/>
      <c r="I394" s="581"/>
      <c r="J394" s="708"/>
      <c r="K394" s="591"/>
      <c r="L394" s="581"/>
      <c r="M394" s="581"/>
      <c r="N394" s="581"/>
      <c r="P394" s="592"/>
      <c r="R394" s="593"/>
      <c r="S394" s="525" t="s">
        <v>457</v>
      </c>
      <c r="T394" s="681" t="str">
        <f t="shared" si="20"/>
        <v/>
      </c>
      <c r="U394" s="681" t="str">
        <f t="shared" si="24"/>
        <v/>
      </c>
      <c r="V394" s="681" t="str">
        <f t="shared" si="25"/>
        <v/>
      </c>
      <c r="W394" s="682" t="str">
        <f t="shared" si="26"/>
        <v>NO LINK</v>
      </c>
      <c r="X394" s="705">
        <f>VLOOKUP($W394,'Bespoke Speaker Intros'!$D:$E,2,False)</f>
        <v>0</v>
      </c>
      <c r="Y394" s="681">
        <f>VLOOKUP($W394,'Bespoke Speaker Intros'!$D:$F,3,false)</f>
        <v>0</v>
      </c>
      <c r="Z394" s="697"/>
      <c r="AA394" s="665"/>
      <c r="AB394" s="665"/>
      <c r="AC394" s="591"/>
      <c r="AE394" s="617"/>
      <c r="AF394" s="618"/>
      <c r="AG394" s="581"/>
    </row>
    <row r="395">
      <c r="A395" s="607"/>
      <c r="B395" s="608"/>
      <c r="C395" s="608"/>
      <c r="D395" s="589"/>
      <c r="E395" s="581"/>
      <c r="F395" s="581"/>
      <c r="G395" s="581"/>
      <c r="H395" s="581"/>
      <c r="I395" s="581"/>
      <c r="J395" s="708"/>
      <c r="K395" s="591"/>
      <c r="L395" s="581"/>
      <c r="M395" s="581"/>
      <c r="N395" s="581"/>
      <c r="P395" s="592"/>
      <c r="R395" s="593"/>
      <c r="S395" s="525" t="s">
        <v>457</v>
      </c>
      <c r="T395" s="681" t="str">
        <f t="shared" si="20"/>
        <v/>
      </c>
      <c r="U395" s="681" t="str">
        <f t="shared" si="24"/>
        <v/>
      </c>
      <c r="V395" s="681" t="str">
        <f t="shared" si="25"/>
        <v/>
      </c>
      <c r="W395" s="682" t="str">
        <f t="shared" si="26"/>
        <v>NO LINK</v>
      </c>
      <c r="X395" s="705">
        <f>VLOOKUP($W395,'Bespoke Speaker Intros'!$D:$E,2,False)</f>
        <v>0</v>
      </c>
      <c r="Y395" s="681">
        <f>VLOOKUP($W395,'Bespoke Speaker Intros'!$D:$F,3,false)</f>
        <v>0</v>
      </c>
      <c r="Z395" s="697"/>
      <c r="AA395" s="665"/>
      <c r="AB395" s="665"/>
      <c r="AC395" s="591"/>
      <c r="AE395" s="617"/>
      <c r="AF395" s="618"/>
      <c r="AG395" s="581"/>
    </row>
    <row r="396">
      <c r="A396" s="607"/>
      <c r="B396" s="608"/>
      <c r="C396" s="608"/>
      <c r="D396" s="589"/>
      <c r="E396" s="581"/>
      <c r="F396" s="581"/>
      <c r="G396" s="581"/>
      <c r="H396" s="581"/>
      <c r="I396" s="581"/>
      <c r="J396" s="708"/>
      <c r="K396" s="591"/>
      <c r="L396" s="581"/>
      <c r="M396" s="581"/>
      <c r="N396" s="581"/>
      <c r="P396" s="592"/>
      <c r="R396" s="593"/>
      <c r="S396" s="525" t="s">
        <v>457</v>
      </c>
      <c r="T396" s="681" t="str">
        <f t="shared" si="20"/>
        <v/>
      </c>
      <c r="U396" s="681" t="str">
        <f t="shared" si="24"/>
        <v/>
      </c>
      <c r="V396" s="681" t="str">
        <f t="shared" si="25"/>
        <v/>
      </c>
      <c r="W396" s="682" t="str">
        <f t="shared" si="26"/>
        <v>NO LINK</v>
      </c>
      <c r="X396" s="705">
        <f>VLOOKUP($W396,'Bespoke Speaker Intros'!$D:$E,2,False)</f>
        <v>0</v>
      </c>
      <c r="Y396" s="681">
        <f>VLOOKUP($W396,'Bespoke Speaker Intros'!$D:$F,3,false)</f>
        <v>0</v>
      </c>
      <c r="Z396" s="697"/>
      <c r="AA396" s="665"/>
      <c r="AB396" s="665"/>
      <c r="AC396" s="591"/>
      <c r="AE396" s="617"/>
      <c r="AF396" s="618"/>
      <c r="AG396" s="581"/>
    </row>
    <row r="397">
      <c r="A397" s="607"/>
      <c r="B397" s="608"/>
      <c r="C397" s="608"/>
      <c r="D397" s="589"/>
      <c r="E397" s="581"/>
      <c r="F397" s="581"/>
      <c r="G397" s="581"/>
      <c r="H397" s="581"/>
      <c r="I397" s="581"/>
      <c r="J397" s="708"/>
      <c r="K397" s="591"/>
      <c r="L397" s="581"/>
      <c r="M397" s="581"/>
      <c r="N397" s="581"/>
      <c r="P397" s="592"/>
      <c r="R397" s="593"/>
      <c r="S397" s="525" t="s">
        <v>457</v>
      </c>
      <c r="T397" s="681" t="str">
        <f t="shared" si="20"/>
        <v/>
      </c>
      <c r="U397" s="681" t="str">
        <f t="shared" si="24"/>
        <v/>
      </c>
      <c r="V397" s="681" t="str">
        <f t="shared" si="25"/>
        <v/>
      </c>
      <c r="W397" s="682" t="str">
        <f t="shared" si="26"/>
        <v>NO LINK</v>
      </c>
      <c r="X397" s="705">
        <f>VLOOKUP($W397,'Bespoke Speaker Intros'!$D:$E,2,False)</f>
        <v>0</v>
      </c>
      <c r="Y397" s="681">
        <f>VLOOKUP($W397,'Bespoke Speaker Intros'!$D:$F,3,false)</f>
        <v>0</v>
      </c>
      <c r="Z397" s="697"/>
      <c r="AA397" s="665"/>
      <c r="AB397" s="665"/>
      <c r="AC397" s="591"/>
      <c r="AE397" s="617"/>
      <c r="AF397" s="618"/>
      <c r="AG397" s="581"/>
    </row>
    <row r="398">
      <c r="A398" s="607"/>
      <c r="B398" s="608"/>
      <c r="C398" s="608"/>
      <c r="D398" s="589"/>
      <c r="E398" s="581"/>
      <c r="F398" s="581"/>
      <c r="G398" s="581"/>
      <c r="H398" s="581"/>
      <c r="I398" s="581"/>
      <c r="J398" s="708"/>
      <c r="K398" s="591"/>
      <c r="L398" s="581"/>
      <c r="M398" s="581"/>
      <c r="N398" s="581"/>
      <c r="P398" s="592"/>
      <c r="R398" s="593"/>
      <c r="S398" s="525" t="s">
        <v>457</v>
      </c>
      <c r="T398" s="681" t="str">
        <f t="shared" si="20"/>
        <v/>
      </c>
      <c r="U398" s="681" t="str">
        <f t="shared" si="24"/>
        <v/>
      </c>
      <c r="V398" s="681" t="str">
        <f t="shared" si="25"/>
        <v/>
      </c>
      <c r="W398" s="682" t="str">
        <f t="shared" si="26"/>
        <v>NO LINK</v>
      </c>
      <c r="X398" s="705">
        <f>VLOOKUP($W398,'Bespoke Speaker Intros'!$D:$E,2,False)</f>
        <v>0</v>
      </c>
      <c r="Y398" s="681">
        <f>VLOOKUP($W398,'Bespoke Speaker Intros'!$D:$F,3,false)</f>
        <v>0</v>
      </c>
      <c r="Z398" s="697"/>
      <c r="AA398" s="665"/>
      <c r="AB398" s="665"/>
      <c r="AC398" s="591"/>
      <c r="AE398" s="617"/>
      <c r="AF398" s="618"/>
      <c r="AG398" s="581"/>
    </row>
    <row r="399">
      <c r="A399" s="607"/>
      <c r="B399" s="608"/>
      <c r="C399" s="608"/>
      <c r="D399" s="589"/>
      <c r="E399" s="581"/>
      <c r="F399" s="581"/>
      <c r="G399" s="581"/>
      <c r="H399" s="581"/>
      <c r="I399" s="581"/>
      <c r="J399" s="708"/>
      <c r="K399" s="591"/>
      <c r="L399" s="581"/>
      <c r="M399" s="581"/>
      <c r="N399" s="581"/>
      <c r="P399" s="592"/>
      <c r="R399" s="593"/>
      <c r="S399" s="525" t="s">
        <v>457</v>
      </c>
      <c r="T399" s="681" t="str">
        <f t="shared" si="20"/>
        <v/>
      </c>
      <c r="U399" s="681" t="str">
        <f t="shared" si="24"/>
        <v/>
      </c>
      <c r="V399" s="681" t="str">
        <f t="shared" si="25"/>
        <v/>
      </c>
      <c r="W399" s="682" t="str">
        <f t="shared" si="26"/>
        <v>NO LINK</v>
      </c>
      <c r="X399" s="705">
        <f>VLOOKUP($W399,'Bespoke Speaker Intros'!$D:$E,2,False)</f>
        <v>0</v>
      </c>
      <c r="Y399" s="681">
        <f>VLOOKUP($W399,'Bespoke Speaker Intros'!$D:$F,3,false)</f>
        <v>0</v>
      </c>
      <c r="Z399" s="697"/>
      <c r="AA399" s="665"/>
      <c r="AB399" s="665"/>
      <c r="AC399" s="591"/>
      <c r="AE399" s="617"/>
      <c r="AF399" s="618"/>
      <c r="AG399" s="581"/>
    </row>
    <row r="400">
      <c r="A400" s="607"/>
      <c r="B400" s="608"/>
      <c r="C400" s="608"/>
      <c r="D400" s="589"/>
      <c r="E400" s="581"/>
      <c r="F400" s="581"/>
      <c r="G400" s="581"/>
      <c r="H400" s="581"/>
      <c r="I400" s="581"/>
      <c r="J400" s="708"/>
      <c r="K400" s="591"/>
      <c r="L400" s="581"/>
      <c r="M400" s="581"/>
      <c r="N400" s="581"/>
      <c r="P400" s="592"/>
      <c r="R400" s="593"/>
      <c r="S400" s="525" t="s">
        <v>457</v>
      </c>
      <c r="T400" s="681" t="str">
        <f t="shared" si="20"/>
        <v/>
      </c>
      <c r="U400" s="681" t="str">
        <f t="shared" si="24"/>
        <v/>
      </c>
      <c r="V400" s="681" t="str">
        <f t="shared" si="25"/>
        <v/>
      </c>
      <c r="W400" s="682" t="str">
        <f t="shared" si="26"/>
        <v>NO LINK</v>
      </c>
      <c r="X400" s="705">
        <f>VLOOKUP($W400,'Bespoke Speaker Intros'!$D:$E,2,False)</f>
        <v>0</v>
      </c>
      <c r="Y400" s="681">
        <f>VLOOKUP($W400,'Bespoke Speaker Intros'!$D:$F,3,false)</f>
        <v>0</v>
      </c>
      <c r="Z400" s="697"/>
      <c r="AA400" s="665"/>
      <c r="AB400" s="665"/>
      <c r="AC400" s="591"/>
      <c r="AE400" s="617"/>
      <c r="AF400" s="618"/>
      <c r="AG400" s="581"/>
    </row>
    <row r="401">
      <c r="A401" s="607"/>
      <c r="B401" s="608"/>
      <c r="C401" s="608"/>
      <c r="D401" s="589"/>
      <c r="E401" s="581"/>
      <c r="F401" s="581"/>
      <c r="G401" s="581"/>
      <c r="H401" s="581"/>
      <c r="I401" s="581"/>
      <c r="J401" s="708"/>
      <c r="K401" s="591"/>
      <c r="L401" s="581"/>
      <c r="M401" s="581"/>
      <c r="N401" s="581"/>
      <c r="P401" s="592"/>
      <c r="R401" s="593"/>
      <c r="S401" s="525" t="s">
        <v>457</v>
      </c>
      <c r="T401" s="681" t="str">
        <f t="shared" si="20"/>
        <v/>
      </c>
      <c r="U401" s="681" t="str">
        <f t="shared" si="24"/>
        <v/>
      </c>
      <c r="V401" s="681" t="str">
        <f t="shared" si="25"/>
        <v/>
      </c>
      <c r="W401" s="682" t="str">
        <f t="shared" si="26"/>
        <v>NO LINK</v>
      </c>
      <c r="X401" s="705">
        <f>VLOOKUP($W401,'Bespoke Speaker Intros'!$D:$E,2,False)</f>
        <v>0</v>
      </c>
      <c r="Y401" s="681">
        <f>VLOOKUP($W401,'Bespoke Speaker Intros'!$D:$F,3,false)</f>
        <v>0</v>
      </c>
      <c r="Z401" s="697"/>
      <c r="AA401" s="665"/>
      <c r="AB401" s="665"/>
      <c r="AC401" s="591"/>
      <c r="AE401" s="617"/>
      <c r="AF401" s="618"/>
      <c r="AG401" s="581"/>
    </row>
    <row r="402">
      <c r="A402" s="607"/>
      <c r="B402" s="608"/>
      <c r="C402" s="608"/>
      <c r="D402" s="589"/>
      <c r="E402" s="581"/>
      <c r="F402" s="581"/>
      <c r="G402" s="581"/>
      <c r="H402" s="581"/>
      <c r="I402" s="581"/>
      <c r="J402" s="708"/>
      <c r="K402" s="591"/>
      <c r="L402" s="581"/>
      <c r="M402" s="581"/>
      <c r="N402" s="581"/>
      <c r="P402" s="592"/>
      <c r="R402" s="593"/>
      <c r="S402" s="525" t="s">
        <v>457</v>
      </c>
      <c r="T402" s="681" t="str">
        <f t="shared" si="20"/>
        <v/>
      </c>
      <c r="U402" s="681" t="str">
        <f t="shared" si="24"/>
        <v/>
      </c>
      <c r="V402" s="681" t="str">
        <f t="shared" si="25"/>
        <v/>
      </c>
      <c r="W402" s="682" t="str">
        <f t="shared" si="26"/>
        <v>NO LINK</v>
      </c>
      <c r="X402" s="705">
        <f>VLOOKUP($W402,'Bespoke Speaker Intros'!$D:$E,2,False)</f>
        <v>0</v>
      </c>
      <c r="Y402" s="681">
        <f>VLOOKUP($W402,'Bespoke Speaker Intros'!$D:$F,3,false)</f>
        <v>0</v>
      </c>
      <c r="Z402" s="697"/>
      <c r="AA402" s="665"/>
      <c r="AB402" s="665"/>
      <c r="AC402" s="591"/>
      <c r="AE402" s="617"/>
      <c r="AF402" s="618"/>
      <c r="AG402" s="581"/>
    </row>
    <row r="403">
      <c r="A403" s="607"/>
      <c r="B403" s="608"/>
      <c r="C403" s="608"/>
      <c r="D403" s="589"/>
      <c r="E403" s="581"/>
      <c r="F403" s="581"/>
      <c r="G403" s="581"/>
      <c r="H403" s="581"/>
      <c r="I403" s="581"/>
      <c r="J403" s="708"/>
      <c r="K403" s="591"/>
      <c r="L403" s="581"/>
      <c r="M403" s="581"/>
      <c r="N403" s="581"/>
      <c r="P403" s="592"/>
      <c r="R403" s="593"/>
      <c r="S403" s="525" t="s">
        <v>457</v>
      </c>
      <c r="T403" s="681" t="str">
        <f t="shared" si="20"/>
        <v/>
      </c>
      <c r="U403" s="681" t="str">
        <f t="shared" si="24"/>
        <v/>
      </c>
      <c r="V403" s="681" t="str">
        <f t="shared" si="25"/>
        <v/>
      </c>
      <c r="W403" s="682" t="str">
        <f t="shared" si="26"/>
        <v>NO LINK</v>
      </c>
      <c r="X403" s="705">
        <f>VLOOKUP($W403,'Bespoke Speaker Intros'!$D:$E,2,False)</f>
        <v>0</v>
      </c>
      <c r="Y403" s="681">
        <f>VLOOKUP($W403,'Bespoke Speaker Intros'!$D:$F,3,false)</f>
        <v>0</v>
      </c>
      <c r="Z403" s="697"/>
      <c r="AA403" s="665"/>
      <c r="AB403" s="665"/>
      <c r="AC403" s="591"/>
      <c r="AE403" s="617"/>
      <c r="AF403" s="618"/>
      <c r="AG403" s="581"/>
    </row>
    <row r="404">
      <c r="A404" s="607"/>
      <c r="B404" s="608"/>
      <c r="C404" s="608"/>
      <c r="D404" s="589"/>
      <c r="E404" s="581"/>
      <c r="F404" s="581"/>
      <c r="G404" s="581"/>
      <c r="H404" s="581"/>
      <c r="I404" s="581"/>
      <c r="J404" s="708"/>
      <c r="K404" s="591"/>
      <c r="L404" s="581"/>
      <c r="M404" s="581"/>
      <c r="N404" s="581"/>
      <c r="P404" s="592"/>
      <c r="R404" s="593"/>
      <c r="S404" s="525" t="s">
        <v>457</v>
      </c>
      <c r="T404" s="681" t="str">
        <f t="shared" si="20"/>
        <v/>
      </c>
      <c r="U404" s="681" t="str">
        <f t="shared" si="24"/>
        <v/>
      </c>
      <c r="V404" s="681" t="str">
        <f t="shared" si="25"/>
        <v/>
      </c>
      <c r="W404" s="682" t="str">
        <f t="shared" si="26"/>
        <v>NO LINK</v>
      </c>
      <c r="X404" s="705">
        <f>VLOOKUP($W404,'Bespoke Speaker Intros'!$D:$E,2,False)</f>
        <v>0</v>
      </c>
      <c r="Y404" s="681">
        <f>VLOOKUP($W404,'Bespoke Speaker Intros'!$D:$F,3,false)</f>
        <v>0</v>
      </c>
      <c r="Z404" s="697"/>
      <c r="AA404" s="665"/>
      <c r="AB404" s="665"/>
      <c r="AC404" s="591"/>
      <c r="AE404" s="617"/>
      <c r="AF404" s="618"/>
      <c r="AG404" s="581"/>
    </row>
    <row r="405">
      <c r="A405" s="607"/>
      <c r="B405" s="608"/>
      <c r="C405" s="608"/>
      <c r="D405" s="589"/>
      <c r="E405" s="581"/>
      <c r="F405" s="581"/>
      <c r="G405" s="581"/>
      <c r="H405" s="581"/>
      <c r="I405" s="581"/>
      <c r="J405" s="708"/>
      <c r="K405" s="591"/>
      <c r="L405" s="581"/>
      <c r="M405" s="581"/>
      <c r="N405" s="581"/>
      <c r="P405" s="592"/>
      <c r="R405" s="593"/>
      <c r="S405" s="525" t="s">
        <v>457</v>
      </c>
      <c r="T405" s="681" t="str">
        <f t="shared" si="20"/>
        <v/>
      </c>
      <c r="U405" s="681" t="str">
        <f t="shared" si="24"/>
        <v/>
      </c>
      <c r="V405" s="681" t="str">
        <f t="shared" si="25"/>
        <v/>
      </c>
      <c r="W405" s="682" t="str">
        <f t="shared" si="26"/>
        <v>NO LINK</v>
      </c>
      <c r="X405" s="705">
        <f>VLOOKUP($W405,'Bespoke Speaker Intros'!$D:$E,2,False)</f>
        <v>0</v>
      </c>
      <c r="Y405" s="681">
        <f>VLOOKUP($W405,'Bespoke Speaker Intros'!$D:$F,3,false)</f>
        <v>0</v>
      </c>
      <c r="Z405" s="697"/>
      <c r="AA405" s="665"/>
      <c r="AB405" s="665"/>
      <c r="AC405" s="591"/>
      <c r="AE405" s="617"/>
      <c r="AF405" s="618"/>
      <c r="AG405" s="581"/>
    </row>
    <row r="406">
      <c r="A406" s="607"/>
      <c r="B406" s="608"/>
      <c r="C406" s="608"/>
      <c r="D406" s="589"/>
      <c r="E406" s="581"/>
      <c r="F406" s="581"/>
      <c r="G406" s="581"/>
      <c r="H406" s="581"/>
      <c r="I406" s="581"/>
      <c r="J406" s="708"/>
      <c r="K406" s="591"/>
      <c r="L406" s="581"/>
      <c r="M406" s="581"/>
      <c r="N406" s="581"/>
      <c r="P406" s="592"/>
      <c r="R406" s="593"/>
      <c r="S406" s="525" t="s">
        <v>457</v>
      </c>
      <c r="T406" s="681" t="str">
        <f t="shared" si="20"/>
        <v/>
      </c>
      <c r="U406" s="681" t="str">
        <f t="shared" si="24"/>
        <v/>
      </c>
      <c r="V406" s="681" t="str">
        <f t="shared" si="25"/>
        <v/>
      </c>
      <c r="W406" s="682" t="str">
        <f t="shared" si="26"/>
        <v>NO LINK</v>
      </c>
      <c r="X406" s="705">
        <f>VLOOKUP($W406,'Bespoke Speaker Intros'!$D:$E,2,False)</f>
        <v>0</v>
      </c>
      <c r="Y406" s="681">
        <f>VLOOKUP($W406,'Bespoke Speaker Intros'!$D:$F,3,false)</f>
        <v>0</v>
      </c>
      <c r="Z406" s="697"/>
      <c r="AA406" s="665"/>
      <c r="AB406" s="665"/>
      <c r="AC406" s="591"/>
      <c r="AE406" s="617"/>
      <c r="AF406" s="618"/>
      <c r="AG406" s="581"/>
    </row>
    <row r="407">
      <c r="A407" s="607"/>
      <c r="B407" s="608"/>
      <c r="C407" s="608"/>
      <c r="D407" s="589"/>
      <c r="E407" s="581"/>
      <c r="F407" s="581"/>
      <c r="G407" s="581"/>
      <c r="H407" s="581"/>
      <c r="I407" s="581"/>
      <c r="J407" s="708"/>
      <c r="K407" s="591"/>
      <c r="L407" s="581"/>
      <c r="M407" s="581"/>
      <c r="N407" s="581"/>
      <c r="P407" s="592"/>
      <c r="R407" s="593"/>
      <c r="S407" s="525" t="s">
        <v>457</v>
      </c>
      <c r="T407" s="681" t="str">
        <f t="shared" si="20"/>
        <v/>
      </c>
      <c r="U407" s="681" t="str">
        <f t="shared" si="24"/>
        <v/>
      </c>
      <c r="V407" s="681" t="str">
        <f t="shared" si="25"/>
        <v/>
      </c>
      <c r="W407" s="682" t="str">
        <f t="shared" si="26"/>
        <v>NO LINK</v>
      </c>
      <c r="X407" s="705">
        <f>VLOOKUP($W407,'Bespoke Speaker Intros'!$D:$E,2,False)</f>
        <v>0</v>
      </c>
      <c r="Y407" s="681">
        <f>VLOOKUP($W407,'Bespoke Speaker Intros'!$D:$F,3,false)</f>
        <v>0</v>
      </c>
      <c r="Z407" s="697"/>
      <c r="AA407" s="665"/>
      <c r="AB407" s="665"/>
      <c r="AC407" s="591"/>
      <c r="AE407" s="617"/>
      <c r="AF407" s="618"/>
      <c r="AG407" s="581"/>
    </row>
    <row r="408">
      <c r="A408" s="607"/>
      <c r="B408" s="608"/>
      <c r="C408" s="608"/>
      <c r="D408" s="589"/>
      <c r="E408" s="581"/>
      <c r="F408" s="581"/>
      <c r="G408" s="581"/>
      <c r="H408" s="581"/>
      <c r="I408" s="581"/>
      <c r="J408" s="708"/>
      <c r="K408" s="591"/>
      <c r="L408" s="581"/>
      <c r="M408" s="581"/>
      <c r="N408" s="581"/>
      <c r="P408" s="592"/>
      <c r="R408" s="593"/>
      <c r="S408" s="525" t="s">
        <v>457</v>
      </c>
      <c r="T408" s="681" t="str">
        <f t="shared" si="20"/>
        <v/>
      </c>
      <c r="U408" s="681" t="str">
        <f t="shared" si="24"/>
        <v/>
      </c>
      <c r="V408" s="681" t="str">
        <f t="shared" si="25"/>
        <v/>
      </c>
      <c r="W408" s="682" t="str">
        <f t="shared" si="26"/>
        <v>NO LINK</v>
      </c>
      <c r="X408" s="705">
        <f>VLOOKUP($W408,'Bespoke Speaker Intros'!$D:$E,2,False)</f>
        <v>0</v>
      </c>
      <c r="Y408" s="681">
        <f>VLOOKUP($W408,'Bespoke Speaker Intros'!$D:$F,3,false)</f>
        <v>0</v>
      </c>
      <c r="Z408" s="697"/>
      <c r="AA408" s="665"/>
      <c r="AB408" s="665"/>
      <c r="AC408" s="591"/>
      <c r="AE408" s="617"/>
      <c r="AF408" s="618"/>
      <c r="AG408" s="581"/>
    </row>
    <row r="409">
      <c r="A409" s="607"/>
      <c r="B409" s="608"/>
      <c r="C409" s="608"/>
      <c r="D409" s="589"/>
      <c r="E409" s="581"/>
      <c r="F409" s="581"/>
      <c r="G409" s="581"/>
      <c r="H409" s="581"/>
      <c r="I409" s="581"/>
      <c r="J409" s="708"/>
      <c r="K409" s="591"/>
      <c r="L409" s="581"/>
      <c r="M409" s="581"/>
      <c r="N409" s="581"/>
      <c r="P409" s="592"/>
      <c r="R409" s="593"/>
      <c r="S409" s="525" t="s">
        <v>457</v>
      </c>
      <c r="T409" s="681" t="str">
        <f t="shared" si="20"/>
        <v/>
      </c>
      <c r="U409" s="681" t="str">
        <f t="shared" si="24"/>
        <v/>
      </c>
      <c r="V409" s="681" t="str">
        <f t="shared" si="25"/>
        <v/>
      </c>
      <c r="W409" s="682" t="str">
        <f t="shared" si="26"/>
        <v>NO LINK</v>
      </c>
      <c r="X409" s="705">
        <f>VLOOKUP($W409,'Bespoke Speaker Intros'!$D:$E,2,False)</f>
        <v>0</v>
      </c>
      <c r="Y409" s="681">
        <f>VLOOKUP($W409,'Bespoke Speaker Intros'!$D:$F,3,false)</f>
        <v>0</v>
      </c>
      <c r="Z409" s="697"/>
      <c r="AA409" s="665"/>
      <c r="AB409" s="665"/>
      <c r="AC409" s="591"/>
      <c r="AE409" s="617"/>
      <c r="AF409" s="618"/>
      <c r="AG409" s="581"/>
    </row>
    <row r="410">
      <c r="A410" s="607"/>
      <c r="B410" s="608"/>
      <c r="C410" s="608"/>
      <c r="D410" s="589"/>
      <c r="K410" s="591"/>
      <c r="L410" s="581"/>
      <c r="M410" s="581"/>
      <c r="N410" s="581"/>
      <c r="P410" s="592"/>
      <c r="R410" s="593"/>
      <c r="S410" s="525" t="s">
        <v>457</v>
      </c>
      <c r="T410" s="681" t="str">
        <f t="shared" si="20"/>
        <v/>
      </c>
      <c r="U410" s="681" t="str">
        <f t="shared" si="24"/>
        <v/>
      </c>
      <c r="V410" s="681" t="str">
        <f t="shared" si="25"/>
        <v/>
      </c>
      <c r="W410" s="682" t="str">
        <f t="shared" si="26"/>
        <v>NO LINK</v>
      </c>
      <c r="X410" s="705">
        <f>VLOOKUP($W410,'Bespoke Speaker Intros'!$D:$E,2,False)</f>
        <v>0</v>
      </c>
      <c r="Y410" s="681">
        <f>VLOOKUP($W410,'Bespoke Speaker Intros'!$D:$F,3,false)</f>
        <v>0</v>
      </c>
      <c r="Z410" s="697"/>
      <c r="AA410" s="665"/>
      <c r="AB410" s="665"/>
      <c r="AC410" s="591"/>
      <c r="AE410" s="617"/>
      <c r="AF410" s="618"/>
      <c r="AG410" s="581"/>
    </row>
    <row r="411">
      <c r="A411" s="607"/>
      <c r="B411" s="608"/>
      <c r="C411" s="608"/>
      <c r="D411" s="589"/>
      <c r="K411" s="591"/>
      <c r="L411" s="581"/>
      <c r="M411" s="581"/>
      <c r="N411" s="581"/>
      <c r="P411" s="592"/>
      <c r="R411" s="593"/>
      <c r="S411" s="525" t="s">
        <v>457</v>
      </c>
      <c r="T411" s="681" t="str">
        <f t="shared" si="20"/>
        <v/>
      </c>
      <c r="U411" s="681" t="str">
        <f t="shared" si="24"/>
        <v/>
      </c>
      <c r="V411" s="681" t="str">
        <f t="shared" si="25"/>
        <v/>
      </c>
      <c r="W411" s="682" t="str">
        <f t="shared" si="26"/>
        <v>NO LINK</v>
      </c>
      <c r="X411" s="705">
        <f>VLOOKUP($W411,'Bespoke Speaker Intros'!$D:$E,2,False)</f>
        <v>0</v>
      </c>
      <c r="Y411" s="681">
        <f>VLOOKUP($W411,'Bespoke Speaker Intros'!$D:$F,3,false)</f>
        <v>0</v>
      </c>
      <c r="Z411" s="697"/>
      <c r="AA411" s="665"/>
      <c r="AB411" s="665"/>
      <c r="AC411" s="591"/>
      <c r="AE411" s="617"/>
      <c r="AF411" s="618"/>
      <c r="AG411" s="581"/>
    </row>
    <row r="412">
      <c r="A412" s="607"/>
      <c r="B412" s="608"/>
      <c r="C412" s="608"/>
      <c r="D412" s="589"/>
      <c r="K412" s="591"/>
      <c r="L412" s="581"/>
      <c r="M412" s="581"/>
      <c r="N412" s="581"/>
      <c r="P412" s="592"/>
      <c r="R412" s="593"/>
      <c r="S412" s="525" t="s">
        <v>457</v>
      </c>
      <c r="T412" s="681" t="str">
        <f t="shared" si="20"/>
        <v/>
      </c>
      <c r="U412" s="681" t="str">
        <f t="shared" si="24"/>
        <v/>
      </c>
      <c r="V412" s="681" t="str">
        <f t="shared" si="25"/>
        <v/>
      </c>
      <c r="W412" s="682" t="str">
        <f t="shared" si="26"/>
        <v>NO LINK</v>
      </c>
      <c r="X412" s="705">
        <f>VLOOKUP($W412,'Bespoke Speaker Intros'!$D:$E,2,False)</f>
        <v>0</v>
      </c>
      <c r="Y412" s="681">
        <f>VLOOKUP($W412,'Bespoke Speaker Intros'!$D:$F,3,false)</f>
        <v>0</v>
      </c>
      <c r="Z412" s="697"/>
      <c r="AA412" s="665"/>
      <c r="AB412" s="665"/>
      <c r="AC412" s="591"/>
      <c r="AE412" s="617"/>
      <c r="AF412" s="618"/>
      <c r="AG412" s="581"/>
    </row>
    <row r="413">
      <c r="A413" s="607"/>
      <c r="B413" s="608"/>
      <c r="C413" s="608"/>
      <c r="D413" s="589"/>
      <c r="K413" s="591"/>
      <c r="L413" s="581"/>
      <c r="M413" s="581"/>
      <c r="N413" s="581"/>
      <c r="P413" s="592"/>
      <c r="R413" s="593"/>
      <c r="S413" s="525" t="s">
        <v>457</v>
      </c>
      <c r="T413" s="681" t="str">
        <f t="shared" si="20"/>
        <v/>
      </c>
      <c r="U413" s="681" t="str">
        <f t="shared" si="24"/>
        <v/>
      </c>
      <c r="V413" s="681" t="str">
        <f t="shared" si="25"/>
        <v/>
      </c>
      <c r="W413" s="682" t="str">
        <f t="shared" si="26"/>
        <v>NO LINK</v>
      </c>
      <c r="X413" s="705">
        <f>VLOOKUP($W413,'Bespoke Speaker Intros'!$D:$E,2,False)</f>
        <v>0</v>
      </c>
      <c r="Y413" s="681">
        <f>VLOOKUP($W413,'Bespoke Speaker Intros'!$D:$F,3,false)</f>
        <v>0</v>
      </c>
      <c r="Z413" s="697"/>
      <c r="AA413" s="665"/>
      <c r="AB413" s="665"/>
      <c r="AC413" s="591"/>
      <c r="AE413" s="617"/>
      <c r="AF413" s="618"/>
      <c r="AG413" s="581"/>
    </row>
    <row r="414">
      <c r="A414" s="607"/>
      <c r="B414" s="608"/>
      <c r="C414" s="608"/>
      <c r="D414" s="589"/>
      <c r="K414" s="591"/>
      <c r="L414" s="581"/>
      <c r="M414" s="581"/>
      <c r="N414" s="581"/>
      <c r="P414" s="592"/>
      <c r="R414" s="593"/>
      <c r="AA414" s="665"/>
      <c r="AB414" s="665"/>
      <c r="AC414" s="591"/>
      <c r="AE414" s="617"/>
      <c r="AF414" s="618"/>
      <c r="AG414" s="581"/>
    </row>
    <row r="415">
      <c r="A415" s="607"/>
      <c r="B415" s="608"/>
      <c r="C415" s="608"/>
      <c r="D415" s="589"/>
      <c r="K415" s="591"/>
      <c r="L415" s="581"/>
      <c r="M415" s="581"/>
      <c r="N415" s="581"/>
      <c r="P415" s="592"/>
      <c r="R415" s="593"/>
      <c r="AA415" s="665"/>
      <c r="AB415" s="665"/>
      <c r="AC415" s="591"/>
      <c r="AE415" s="617"/>
      <c r="AF415" s="618"/>
      <c r="AG415" s="581"/>
    </row>
    <row r="416">
      <c r="A416" s="607"/>
      <c r="B416" s="608"/>
      <c r="C416" s="608"/>
      <c r="D416" s="589"/>
      <c r="K416" s="591"/>
      <c r="L416" s="581"/>
      <c r="M416" s="581"/>
      <c r="N416" s="581"/>
      <c r="P416" s="592"/>
      <c r="R416" s="593"/>
      <c r="AA416" s="665"/>
      <c r="AB416" s="665"/>
      <c r="AC416" s="591"/>
      <c r="AE416" s="617"/>
      <c r="AF416" s="618"/>
      <c r="AG416" s="581"/>
    </row>
    <row r="417">
      <c r="A417" s="607"/>
      <c r="B417" s="608"/>
      <c r="C417" s="608"/>
      <c r="D417" s="589"/>
      <c r="K417" s="591"/>
      <c r="L417" s="581"/>
      <c r="M417" s="581"/>
      <c r="N417" s="581"/>
      <c r="P417" s="592"/>
      <c r="R417" s="593"/>
      <c r="AA417" s="665"/>
      <c r="AB417" s="665"/>
      <c r="AC417" s="591"/>
      <c r="AE417" s="617"/>
      <c r="AF417" s="618"/>
      <c r="AG417" s="581"/>
    </row>
    <row r="418">
      <c r="A418" s="607"/>
      <c r="B418" s="608"/>
      <c r="C418" s="608"/>
      <c r="D418" s="589"/>
      <c r="K418" s="591"/>
      <c r="L418" s="581"/>
      <c r="M418" s="581"/>
      <c r="N418" s="581"/>
      <c r="P418" s="592"/>
      <c r="R418" s="593"/>
      <c r="AC418" s="591"/>
      <c r="AE418" s="617"/>
      <c r="AF418" s="618"/>
      <c r="AG418" s="581"/>
    </row>
    <row r="419">
      <c r="A419" s="607"/>
      <c r="B419" s="608"/>
      <c r="C419" s="608"/>
      <c r="D419" s="589"/>
      <c r="K419" s="591"/>
      <c r="L419" s="581"/>
      <c r="M419" s="581"/>
      <c r="N419" s="581"/>
      <c r="P419" s="592"/>
      <c r="R419" s="593"/>
      <c r="AC419" s="591"/>
      <c r="AE419" s="617"/>
      <c r="AF419" s="618"/>
      <c r="AG419" s="581"/>
    </row>
    <row r="420">
      <c r="A420" s="607"/>
      <c r="B420" s="608"/>
      <c r="C420" s="608"/>
      <c r="D420" s="589"/>
      <c r="K420" s="591"/>
      <c r="L420" s="581"/>
      <c r="M420" s="581"/>
      <c r="N420" s="581"/>
      <c r="P420" s="592"/>
      <c r="R420" s="593"/>
      <c r="AC420" s="591"/>
      <c r="AE420" s="617"/>
      <c r="AF420" s="618"/>
      <c r="AG420" s="581"/>
    </row>
    <row r="421">
      <c r="A421" s="607"/>
      <c r="B421" s="608"/>
      <c r="C421" s="608"/>
      <c r="D421" s="589"/>
      <c r="K421" s="589"/>
      <c r="L421" s="581"/>
      <c r="M421" s="581"/>
      <c r="N421" s="581"/>
      <c r="P421" s="592"/>
      <c r="R421" s="589"/>
      <c r="AC421" s="589"/>
      <c r="AE421" s="617"/>
      <c r="AF421" s="618"/>
      <c r="AG421" s="581"/>
    </row>
    <row r="422">
      <c r="A422" s="607"/>
      <c r="B422" s="608"/>
      <c r="C422" s="608"/>
      <c r="D422" s="589"/>
      <c r="K422" s="589"/>
      <c r="L422" s="581"/>
      <c r="M422" s="581"/>
      <c r="N422" s="581"/>
      <c r="P422" s="592"/>
      <c r="R422" s="589"/>
      <c r="AC422" s="589"/>
      <c r="AE422" s="617"/>
      <c r="AF422" s="618"/>
      <c r="AG422" s="581"/>
    </row>
    <row r="423">
      <c r="A423" s="607"/>
      <c r="B423" s="608"/>
      <c r="C423" s="608"/>
      <c r="D423" s="589"/>
      <c r="K423" s="589"/>
      <c r="L423" s="581"/>
      <c r="M423" s="581"/>
      <c r="N423" s="581"/>
      <c r="P423" s="592"/>
      <c r="R423" s="589"/>
      <c r="AC423" s="589"/>
      <c r="AE423" s="617"/>
      <c r="AF423" s="618"/>
      <c r="AG423" s="581"/>
    </row>
    <row r="424">
      <c r="A424" s="607"/>
      <c r="B424" s="608"/>
      <c r="C424" s="608"/>
      <c r="D424" s="589"/>
      <c r="K424" s="589"/>
      <c r="L424" s="581"/>
      <c r="M424" s="581"/>
      <c r="N424" s="581"/>
      <c r="P424" s="592"/>
      <c r="R424" s="589"/>
      <c r="AC424" s="589"/>
      <c r="AE424" s="617"/>
      <c r="AF424" s="618"/>
      <c r="AG424" s="581"/>
    </row>
    <row r="425">
      <c r="A425" s="607"/>
      <c r="B425" s="608"/>
      <c r="C425" s="608"/>
      <c r="D425" s="589"/>
      <c r="K425" s="589"/>
      <c r="L425" s="581"/>
      <c r="M425" s="581"/>
      <c r="N425" s="581"/>
      <c r="P425" s="592"/>
      <c r="R425" s="589"/>
      <c r="AC425" s="589"/>
      <c r="AE425" s="617"/>
      <c r="AF425" s="618"/>
      <c r="AG425" s="581"/>
    </row>
    <row r="426">
      <c r="A426" s="607"/>
      <c r="B426" s="608"/>
      <c r="C426" s="608"/>
      <c r="D426" s="589"/>
      <c r="K426" s="589"/>
      <c r="L426" s="581"/>
      <c r="M426" s="581"/>
      <c r="N426" s="581"/>
      <c r="P426" s="592"/>
      <c r="R426" s="589"/>
      <c r="AC426" s="589"/>
      <c r="AE426" s="617"/>
      <c r="AF426" s="618"/>
      <c r="AG426" s="581"/>
    </row>
  </sheetData>
  <conditionalFormatting sqref="A9:A221">
    <cfRule type="expression" dxfId="11" priority="1" stopIfTrue="1">
      <formula>ISNa(Match(A9,F$4:F$400,0))</formula>
    </cfRule>
  </conditionalFormatting>
  <conditionalFormatting sqref="G4:G183">
    <cfRule type="cellIs" dxfId="11" priority="2" stopIfTrue="1" operator="equal">
      <formula>"Non direct source"</formula>
    </cfRule>
  </conditionalFormatting>
  <conditionalFormatting sqref="L4:O285 AE4:AE13 W25:W30 W43:W45 S205 W316">
    <cfRule type="cellIs" dxfId="20" priority="3" stopIfTrue="1" operator="greaterThan">
      <formula>1</formula>
    </cfRule>
  </conditionalFormatting>
  <conditionalFormatting sqref="F4:F409 S16:S17 S22 S72 S112:S115 S122 S128">
    <cfRule type="expression" dxfId="20" priority="4" stopIfTrue="1">
      <formula>(Match(F4,S$3:S$400,0))</formula>
    </cfRule>
  </conditionalFormatting>
  <conditionalFormatting sqref="G4:G409">
    <cfRule type="cellIs" dxfId="27" priority="5" stopIfTrue="1" operator="equal">
      <formula>"New source"</formula>
    </cfRule>
  </conditionalFormatting>
  <conditionalFormatting sqref="A1:AH413">
    <cfRule type="cellIs" dxfId="28" priority="6" stopIfTrue="1" operator="equal">
      <formula>"EMAIL_OPENED"</formula>
    </cfRule>
  </conditionalFormatting>
  <conditionalFormatting sqref="A1:AH413">
    <cfRule type="cellIs" dxfId="29" priority="7" stopIfTrue="1" operator="equal">
      <formula>"EMAIL_CLICKED"</formula>
    </cfRule>
  </conditionalFormatting>
  <conditionalFormatting sqref="A1:AH413">
    <cfRule type="cellIs" dxfId="29" priority="8" stopIfTrue="1" operator="equal">
      <formula>"RESPONDED"</formula>
    </cfRule>
  </conditionalFormatting>
  <conditionalFormatting sqref="A1:AH413">
    <cfRule type="cellIs" dxfId="18" priority="9" stopIfTrue="1" operator="equal">
      <formula>"EMAIL_NOT_SENT"</formula>
    </cfRule>
  </conditionalFormatting>
  <conditionalFormatting sqref="A1:AH413">
    <cfRule type="cellIs" dxfId="18" priority="10" stopIfTrue="1" operator="equal">
      <formula>"BOUNCED"</formula>
    </cfRule>
  </conditionalFormatting>
  <conditionalFormatting sqref="A1:AH413">
    <cfRule type="cellIs" dxfId="30" priority="11" stopIfTrue="1" operator="equal">
      <formula>"UNSUBSCRIBED"</formula>
    </cfRule>
  </conditionalFormatting>
  <conditionalFormatting sqref="A1:AH413">
    <cfRule type="cellIs" dxfId="18" priority="12" stopIfTrue="1" operator="equal">
      <formula>"ERROR"</formula>
    </cfRule>
  </conditionalFormatting>
  <conditionalFormatting sqref="A1:AH413">
    <cfRule type="cellIs" dxfId="31" priority="13" stopIfTrue="1" operator="equal">
      <formula>"NO_RECIPIENT"</formula>
    </cfRule>
  </conditionalFormatting>
  <dataValidations>
    <dataValidation type="list" allowBlank="1" sqref="S16:S17 S22 S72 S112:S115 S122 S128 F4:F136 F138:F183">
      <formula1>'Pivot BSI'!$A:$A</formula1>
    </dataValidation>
    <dataValidation type="list" allowBlank="1" sqref="W45 M241">
      <formula1>'Bespoke Speaker Intros'!$D:$D</formula1>
    </dataValidation>
    <dataValidation type="list" allowBlank="1" sqref="I4:I409">
      <formula1>"Email,Online form"</formula1>
    </dataValidation>
    <dataValidation type="list" allowBlank="1" sqref="G4:G183">
      <formula1>'Pivot BSI'!$Q$3:$Q$6</formula1>
    </dataValidation>
    <dataValidation type="list" allowBlank="1" sqref="S2:S15 S18:S21 S23:S71 S73:S111 S116:S121 S123:S127 F137 S129:S413">
      <formula1>'Pivot BSI'!$F$4:$F$175</formula1>
    </dataValidation>
  </dataValidations>
  <hyperlinks>
    <hyperlink r:id="rId3" ref="AE4"/>
    <hyperlink r:id="rId4" ref="AE5"/>
    <hyperlink r:id="rId5" ref="J7"/>
    <hyperlink r:id="rId6" ref="M7"/>
    <hyperlink r:id="rId7" ref="M9"/>
    <hyperlink r:id="rId8" ref="H10"/>
    <hyperlink r:id="rId9" ref="J10"/>
    <hyperlink r:id="rId10" ref="M11"/>
    <hyperlink r:id="rId11" ref="M12"/>
    <hyperlink r:id="rId12" ref="M14"/>
    <hyperlink r:id="rId13" ref="M16"/>
    <hyperlink r:id="rId14" ref="S16"/>
    <hyperlink r:id="rId15" ref="J17"/>
    <hyperlink r:id="rId16" ref="S17"/>
    <hyperlink r:id="rId17" ref="M18"/>
    <hyperlink r:id="rId18" ref="M19"/>
    <hyperlink r:id="rId19" ref="J21"/>
    <hyperlink r:id="rId20" ref="M21"/>
    <hyperlink r:id="rId21" ref="A23"/>
    <hyperlink r:id="rId22" ref="J23"/>
    <hyperlink r:id="rId23" ref="M23"/>
    <hyperlink r:id="rId24" ref="M24"/>
    <hyperlink r:id="rId25" ref="J25"/>
    <hyperlink r:id="rId26" ref="M25"/>
    <hyperlink r:id="rId27" ref="M26"/>
    <hyperlink r:id="rId28" ref="H28"/>
    <hyperlink r:id="rId29" ref="M28"/>
    <hyperlink r:id="rId30" ref="M30"/>
    <hyperlink r:id="rId31" ref="M31"/>
    <hyperlink r:id="rId32" ref="M32"/>
    <hyperlink r:id="rId33" ref="J33"/>
    <hyperlink r:id="rId34" ref="M33"/>
    <hyperlink r:id="rId35" ref="M34"/>
    <hyperlink r:id="rId36" ref="M35"/>
    <hyperlink r:id="rId37" ref="L37"/>
    <hyperlink r:id="rId38" ref="M37"/>
    <hyperlink r:id="rId39" ref="W37"/>
    <hyperlink r:id="rId40" ref="J38"/>
    <hyperlink r:id="rId41" ref="M39"/>
    <hyperlink r:id="rId42" ref="J40"/>
    <hyperlink r:id="rId43" ref="M41"/>
    <hyperlink r:id="rId44" ref="J42"/>
    <hyperlink r:id="rId45" ref="M42"/>
    <hyperlink r:id="rId46" ref="M44"/>
    <hyperlink r:id="rId47" ref="M46"/>
    <hyperlink r:id="rId48" ref="M48"/>
    <hyperlink r:id="rId49" ref="M50"/>
    <hyperlink r:id="rId50" ref="M51"/>
    <hyperlink r:id="rId51" ref="F52"/>
    <hyperlink r:id="rId52" ref="J52"/>
    <hyperlink r:id="rId53" ref="F53"/>
    <hyperlink r:id="rId54" ref="M53"/>
    <hyperlink r:id="rId55" ref="M55"/>
    <hyperlink r:id="rId56" ref="J56"/>
    <hyperlink r:id="rId57" ref="J57"/>
    <hyperlink r:id="rId58" ref="M57"/>
    <hyperlink r:id="rId59" ref="M59"/>
    <hyperlink r:id="rId60" ref="M60"/>
    <hyperlink r:id="rId61" ref="J61"/>
    <hyperlink r:id="rId62" ref="M61"/>
    <hyperlink r:id="rId63" ref="M62"/>
    <hyperlink r:id="rId64" ref="J63"/>
    <hyperlink r:id="rId65" ref="M63"/>
    <hyperlink r:id="rId66" ref="M64"/>
    <hyperlink r:id="rId67" ref="J65"/>
    <hyperlink r:id="rId68" ref="M65"/>
    <hyperlink r:id="rId69" ref="M66"/>
    <hyperlink r:id="rId70" ref="M67"/>
    <hyperlink r:id="rId71" ref="M68"/>
    <hyperlink r:id="rId72" ref="M69"/>
    <hyperlink r:id="rId73" ref="M70"/>
    <hyperlink r:id="rId74" ref="J71"/>
    <hyperlink r:id="rId75" ref="J72"/>
    <hyperlink r:id="rId76" ref="M72"/>
    <hyperlink r:id="rId77" ref="M73"/>
    <hyperlink r:id="rId78" ref="M74"/>
    <hyperlink r:id="rId79" ref="A75"/>
    <hyperlink r:id="rId80" ref="M75"/>
    <hyperlink r:id="rId81" ref="M76"/>
    <hyperlink r:id="rId82" ref="M77"/>
    <hyperlink r:id="rId83" ref="J78"/>
    <hyperlink r:id="rId84" ref="M78"/>
    <hyperlink r:id="rId85" ref="M80"/>
    <hyperlink r:id="rId86" ref="F81"/>
    <hyperlink r:id="rId87" ref="F82"/>
    <hyperlink r:id="rId88" ref="M82"/>
    <hyperlink r:id="rId89" ref="M83"/>
    <hyperlink r:id="rId90" ref="J85"/>
    <hyperlink r:id="rId91" ref="M85"/>
    <hyperlink r:id="rId92" ref="A86"/>
    <hyperlink r:id="rId93" ref="M87"/>
    <hyperlink r:id="rId94" ref="J89"/>
    <hyperlink r:id="rId95" ref="M89"/>
    <hyperlink r:id="rId96" ref="J90"/>
    <hyperlink r:id="rId97" ref="J91"/>
    <hyperlink r:id="rId98" ref="M91"/>
    <hyperlink r:id="rId99" ref="J92"/>
    <hyperlink r:id="rId100" ref="M93"/>
    <hyperlink r:id="rId101" ref="M95"/>
    <hyperlink r:id="rId102" ref="M97"/>
    <hyperlink r:id="rId103" ref="M98"/>
    <hyperlink r:id="rId104" ref="M100"/>
    <hyperlink r:id="rId105" ref="M102"/>
    <hyperlink r:id="rId106" ref="M103"/>
    <hyperlink r:id="rId107" ref="M105"/>
    <hyperlink r:id="rId108" ref="J106"/>
    <hyperlink r:id="rId109" ref="M107"/>
    <hyperlink r:id="rId110" ref="M109"/>
    <hyperlink r:id="rId111" ref="M111"/>
    <hyperlink r:id="rId112" ref="M113"/>
    <hyperlink r:id="rId113" ref="M115"/>
    <hyperlink r:id="rId114" ref="M117"/>
    <hyperlink r:id="rId115" ref="M119"/>
    <hyperlink r:id="rId116" ref="M121"/>
    <hyperlink r:id="rId117" ref="J123"/>
    <hyperlink r:id="rId118" ref="M123"/>
    <hyperlink r:id="rId119" ref="M125"/>
    <hyperlink r:id="rId120" ref="J127"/>
    <hyperlink r:id="rId121" ref="M127"/>
    <hyperlink r:id="rId122" ref="W127"/>
    <hyperlink r:id="rId123" ref="M128"/>
    <hyperlink r:id="rId124" ref="M129"/>
    <hyperlink r:id="rId125" ref="M131"/>
    <hyperlink r:id="rId126" ref="M132"/>
    <hyperlink r:id="rId127" ref="M134"/>
    <hyperlink r:id="rId128" ref="M135"/>
    <hyperlink r:id="rId129" ref="M137"/>
    <hyperlink r:id="rId130" ref="J138"/>
    <hyperlink r:id="rId131" ref="J139"/>
    <hyperlink r:id="rId132" ref="M139"/>
    <hyperlink r:id="rId133" ref="M141"/>
    <hyperlink r:id="rId134" ref="M143"/>
    <hyperlink r:id="rId135" ref="M145"/>
    <hyperlink r:id="rId136" ref="M147"/>
    <hyperlink r:id="rId137" ref="M149"/>
    <hyperlink r:id="rId138" ref="M151"/>
    <hyperlink r:id="rId139" ref="M153"/>
    <hyperlink r:id="rId140" ref="M155"/>
    <hyperlink r:id="rId141" ref="M156"/>
    <hyperlink r:id="rId142" ref="M158"/>
    <hyperlink r:id="rId143" ref="M160"/>
    <hyperlink r:id="rId144" ref="M162"/>
    <hyperlink r:id="rId145" ref="L164"/>
    <hyperlink r:id="rId146" ref="M164"/>
    <hyperlink r:id="rId147" ref="M166"/>
    <hyperlink r:id="rId148" ref="M167"/>
    <hyperlink r:id="rId149" ref="M168"/>
    <hyperlink r:id="rId150" ref="M169"/>
    <hyperlink r:id="rId151" ref="M171"/>
    <hyperlink r:id="rId152" ref="M173"/>
    <hyperlink r:id="rId153" ref="M175"/>
    <hyperlink r:id="rId154" ref="M177"/>
    <hyperlink r:id="rId155" ref="M179"/>
    <hyperlink r:id="rId156" ref="M181"/>
    <hyperlink r:id="rId157" ref="M183"/>
    <hyperlink r:id="rId158" ref="M184"/>
    <hyperlink r:id="rId159" ref="M185"/>
    <hyperlink r:id="rId160" ref="M186"/>
    <hyperlink r:id="rId161" ref="M187"/>
    <hyperlink r:id="rId162" ref="M188"/>
    <hyperlink r:id="rId163" ref="M190"/>
    <hyperlink r:id="rId164" ref="M192"/>
    <hyperlink r:id="rId165" ref="M193"/>
    <hyperlink r:id="rId166" ref="L195"/>
    <hyperlink r:id="rId167" ref="M195"/>
    <hyperlink r:id="rId168" ref="M197"/>
    <hyperlink r:id="rId169" ref="M198"/>
    <hyperlink r:id="rId170" ref="M199"/>
    <hyperlink r:id="rId171" ref="M200"/>
    <hyperlink r:id="rId172" ref="M202"/>
    <hyperlink r:id="rId173" ref="M203"/>
    <hyperlink r:id="rId174" ref="M204"/>
    <hyperlink r:id="rId175" ref="M205"/>
    <hyperlink r:id="rId176" ref="M206"/>
    <hyperlink r:id="rId177" ref="M207"/>
    <hyperlink r:id="rId178" ref="M208"/>
    <hyperlink r:id="rId179" ref="M209"/>
    <hyperlink r:id="rId180" ref="M210"/>
    <hyperlink r:id="rId181" ref="M212"/>
    <hyperlink r:id="rId182" ref="M214"/>
    <hyperlink r:id="rId183" ref="M216"/>
    <hyperlink r:id="rId184" ref="M217"/>
    <hyperlink r:id="rId185" ref="M218"/>
    <hyperlink r:id="rId186" ref="M219"/>
    <hyperlink r:id="rId187" ref="M220"/>
    <hyperlink r:id="rId188" ref="M222"/>
    <hyperlink r:id="rId189" ref="M224"/>
    <hyperlink r:id="rId190" ref="M225"/>
    <hyperlink r:id="rId191" ref="M226"/>
    <hyperlink r:id="rId192" ref="M228"/>
    <hyperlink r:id="rId193" ref="M230"/>
    <hyperlink r:id="rId194" ref="M232"/>
    <hyperlink r:id="rId195" ref="M234"/>
    <hyperlink r:id="rId196" ref="M235"/>
    <hyperlink r:id="rId197" ref="M236"/>
    <hyperlink r:id="rId198" ref="M237"/>
    <hyperlink r:id="rId199" ref="M238"/>
    <hyperlink r:id="rId200" ref="M239"/>
    <hyperlink r:id="rId201" ref="M240"/>
    <hyperlink r:id="rId202" ref="M242"/>
    <hyperlink r:id="rId203" ref="M243"/>
    <hyperlink r:id="rId204" ref="M245"/>
    <hyperlink r:id="rId205" ref="M247"/>
    <hyperlink r:id="rId206" ref="M248"/>
    <hyperlink r:id="rId207" ref="M249"/>
    <hyperlink r:id="rId208" ref="M250"/>
    <hyperlink r:id="rId209" ref="M251"/>
    <hyperlink r:id="rId210" ref="M252"/>
    <hyperlink r:id="rId211" ref="M253"/>
    <hyperlink r:id="rId212" ref="M254"/>
    <hyperlink r:id="rId213" ref="M255"/>
    <hyperlink r:id="rId214" ref="M257"/>
    <hyperlink r:id="rId215" ref="M259"/>
    <hyperlink r:id="rId216" ref="M261"/>
    <hyperlink r:id="rId217" ref="M263"/>
    <hyperlink r:id="rId218" ref="M264"/>
    <hyperlink r:id="rId219" ref="M266"/>
    <hyperlink r:id="rId220" ref="M267"/>
    <hyperlink r:id="rId221" ref="M268"/>
    <hyperlink r:id="rId222" ref="M269"/>
    <hyperlink r:id="rId223" ref="M271"/>
    <hyperlink r:id="rId224" ref="M272"/>
    <hyperlink r:id="rId225" ref="M274"/>
    <hyperlink r:id="rId226" ref="M276"/>
    <hyperlink r:id="rId227" ref="M278"/>
    <hyperlink r:id="rId228" ref="M280"/>
    <hyperlink r:id="rId229" ref="M281"/>
    <hyperlink r:id="rId230" ref="M282"/>
    <hyperlink r:id="rId231" ref="M283"/>
    <hyperlink r:id="rId232" ref="M285"/>
    <hyperlink r:id="rId233" ref="M287"/>
    <hyperlink r:id="rId234" ref="M289"/>
    <hyperlink r:id="rId235" ref="M290"/>
    <hyperlink r:id="rId236" ref="M292"/>
    <hyperlink r:id="rId237" ref="M293"/>
    <hyperlink r:id="rId238" ref="M294"/>
    <hyperlink r:id="rId239" ref="M296"/>
    <hyperlink r:id="rId240" ref="M298"/>
    <hyperlink r:id="rId241" ref="M300"/>
    <hyperlink r:id="rId242" ref="M302"/>
    <hyperlink r:id="rId243" ref="M304"/>
    <hyperlink r:id="rId244" ref="M305"/>
    <hyperlink r:id="rId245" ref="M307"/>
    <hyperlink r:id="rId246" ref="M309"/>
    <hyperlink r:id="rId247" ref="M311"/>
    <hyperlink r:id="rId248" ref="M313"/>
    <hyperlink r:id="rId249" ref="M314"/>
    <hyperlink r:id="rId250" ref="M315"/>
    <hyperlink r:id="rId251" ref="U315"/>
    <hyperlink r:id="rId252" ref="V315"/>
    <hyperlink r:id="rId253" ref="W315"/>
    <hyperlink r:id="rId254" ref="M316"/>
    <hyperlink r:id="rId255" ref="W316"/>
    <hyperlink r:id="rId256" ref="M318"/>
    <hyperlink r:id="rId257" ref="M320"/>
    <hyperlink r:id="rId258" ref="M321"/>
    <hyperlink r:id="rId259" ref="M323"/>
    <hyperlink r:id="rId260" ref="M325"/>
    <hyperlink r:id="rId261" ref="M326"/>
    <hyperlink r:id="rId262" ref="M328"/>
    <hyperlink r:id="rId263" ref="M330"/>
    <hyperlink r:id="rId264" ref="M332"/>
    <hyperlink r:id="rId265" ref="M333"/>
    <hyperlink r:id="rId266" ref="M334"/>
    <hyperlink r:id="rId267" ref="M336"/>
    <hyperlink r:id="rId268" ref="M338"/>
    <hyperlink r:id="rId269" ref="M340"/>
    <hyperlink r:id="rId270" ref="M342"/>
    <hyperlink r:id="rId271" ref="M344"/>
    <hyperlink r:id="rId272" ref="M346"/>
  </hyperlinks>
  <drawing r:id="rId273"/>
  <legacyDrawing r:id="rId274"/>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8.57"/>
    <col customWidth="1" min="4" max="4" width="7.29"/>
    <col customWidth="1" min="7" max="7" width="8.57"/>
    <col customWidth="1" min="8" max="8" width="7.29"/>
    <col customWidth="1" min="11" max="11" width="8.57"/>
    <col customWidth="1" min="12" max="12" width="7.29"/>
    <col customWidth="1" min="15" max="15" width="8.57"/>
    <col customWidth="1" min="16" max="16" width="7.29"/>
    <col customWidth="1" min="19" max="19" width="8.57"/>
    <col customWidth="1" min="20" max="20" width="7.29"/>
    <col customWidth="1" min="23" max="23" width="8.57"/>
    <col customWidth="1" min="24" max="24" width="7.29"/>
    <col customWidth="1" min="25" max="25" width="17.14"/>
    <col customWidth="1" min="27" max="27" width="8.57"/>
    <col customWidth="1" min="28" max="28" width="7.29"/>
    <col customWidth="1" min="29" max="29" width="7.43"/>
    <col customWidth="1" min="30" max="30" width="29.14"/>
    <col customWidth="1" min="31" max="32" width="33.57"/>
  </cols>
  <sheetData>
    <row r="1">
      <c r="A1" s="539" t="s">
        <v>9753</v>
      </c>
      <c r="E1" s="540" t="s">
        <v>9754</v>
      </c>
      <c r="I1" s="541" t="s">
        <v>9755</v>
      </c>
      <c r="M1" s="542" t="s">
        <v>9756</v>
      </c>
      <c r="Q1" s="543" t="s">
        <v>9757</v>
      </c>
      <c r="U1" s="186" t="s">
        <v>9758</v>
      </c>
      <c r="Y1" s="544" t="s">
        <v>9759</v>
      </c>
      <c r="AD1" s="545" t="s">
        <v>9760</v>
      </c>
      <c r="AE1" s="546" t="s">
        <v>9761</v>
      </c>
      <c r="AF1" s="546" t="s">
        <v>9762</v>
      </c>
    </row>
    <row r="2">
      <c r="A2" s="547" t="s">
        <v>9763</v>
      </c>
      <c r="B2" s="547" t="s">
        <v>9764</v>
      </c>
      <c r="C2" s="547" t="s">
        <v>9765</v>
      </c>
      <c r="D2" s="547" t="s">
        <v>31</v>
      </c>
      <c r="E2" s="548" t="s">
        <v>9763</v>
      </c>
      <c r="F2" s="548" t="s">
        <v>9764</v>
      </c>
      <c r="G2" s="548" t="s">
        <v>9765</v>
      </c>
      <c r="H2" s="548" t="s">
        <v>31</v>
      </c>
      <c r="I2" s="549" t="s">
        <v>9763</v>
      </c>
      <c r="J2" s="549" t="s">
        <v>9764</v>
      </c>
      <c r="K2" s="549" t="s">
        <v>9765</v>
      </c>
      <c r="L2" s="549" t="s">
        <v>31</v>
      </c>
      <c r="M2" s="549" t="s">
        <v>9763</v>
      </c>
      <c r="N2" s="549" t="s">
        <v>9764</v>
      </c>
      <c r="O2" s="549" t="s">
        <v>9765</v>
      </c>
      <c r="P2" s="549" t="s">
        <v>31</v>
      </c>
      <c r="Q2" s="550" t="s">
        <v>9763</v>
      </c>
      <c r="R2" s="550" t="s">
        <v>9764</v>
      </c>
      <c r="S2" s="550" t="s">
        <v>9765</v>
      </c>
      <c r="T2" s="550" t="s">
        <v>31</v>
      </c>
      <c r="U2" s="551" t="s">
        <v>9763</v>
      </c>
      <c r="V2" s="551" t="s">
        <v>9764</v>
      </c>
      <c r="W2" s="551" t="s">
        <v>9765</v>
      </c>
      <c r="X2" s="551" t="s">
        <v>31</v>
      </c>
      <c r="Y2" s="552" t="s">
        <v>9763</v>
      </c>
      <c r="Z2" s="552" t="s">
        <v>9764</v>
      </c>
      <c r="AA2" s="552" t="s">
        <v>9765</v>
      </c>
      <c r="AB2" s="552" t="s">
        <v>31</v>
      </c>
    </row>
    <row r="3">
      <c r="A3" s="45" t="s">
        <v>9766</v>
      </c>
      <c r="B3" s="45">
        <v>1.0</v>
      </c>
      <c r="C3" s="45">
        <v>200.0</v>
      </c>
      <c r="D3" s="4">
        <f t="shared" ref="D3:D11" si="1">MULTIPLY(B3, C3)</f>
        <v>200</v>
      </c>
      <c r="E3" s="45" t="s">
        <v>9767</v>
      </c>
      <c r="F3" s="45">
        <v>3.0</v>
      </c>
      <c r="G3" s="45">
        <v>36.0</v>
      </c>
      <c r="H3" s="4">
        <f t="shared" ref="H3:H5" si="2">MULTIPLY(F3, G3)</f>
        <v>108</v>
      </c>
      <c r="I3" s="45" t="s">
        <v>9767</v>
      </c>
      <c r="J3" s="45">
        <v>3.0</v>
      </c>
      <c r="K3" s="45">
        <v>36.0</v>
      </c>
      <c r="L3" s="4">
        <f t="shared" ref="L3:L5" si="3">MULTIPLY(J3, K3)</f>
        <v>108</v>
      </c>
      <c r="M3" s="45" t="s">
        <v>9768</v>
      </c>
      <c r="N3" s="45">
        <v>2.0</v>
      </c>
      <c r="O3" s="45">
        <v>144.0</v>
      </c>
      <c r="P3" s="4">
        <f t="shared" ref="P3:P7" si="4">MULTIPLY(N3, O3)</f>
        <v>288</v>
      </c>
      <c r="Q3" s="45" t="s">
        <v>9769</v>
      </c>
      <c r="R3" s="45">
        <v>2.0</v>
      </c>
      <c r="S3" s="45">
        <v>88.0</v>
      </c>
      <c r="T3" s="4">
        <f t="shared" ref="T3:T7" si="5">MULTIPLY(R3, S3)</f>
        <v>176</v>
      </c>
      <c r="U3" s="45" t="s">
        <v>506</v>
      </c>
      <c r="V3" s="45">
        <v>1.0</v>
      </c>
      <c r="W3" s="45">
        <v>50.0</v>
      </c>
      <c r="X3" s="4">
        <f t="shared" ref="X3:X9" si="6">MULTIPLY(V3, W3)</f>
        <v>50</v>
      </c>
      <c r="Y3" s="45" t="s">
        <v>1926</v>
      </c>
      <c r="Z3" s="45">
        <v>1.0</v>
      </c>
      <c r="AA3" s="45">
        <v>5.0</v>
      </c>
      <c r="AB3" s="4">
        <f t="shared" ref="AB3:AB19" si="7">MULTIPLY(Z3, AA3)</f>
        <v>5</v>
      </c>
      <c r="AD3" s="553">
        <f>SUM(D3:D50, H3:H50, L3:L50, P3:P50, T3:T50, X3:X50, AB3:AB50)</f>
        <v>2448</v>
      </c>
      <c r="AE3" s="553" t="str">
        <f>SUM('Channel 1'!Y2, 'Channel 2'!Y2, 'Channel 3'!Y2, 'Channel 4'!Y2, #REF!)</f>
        <v>#REF!</v>
      </c>
      <c r="AF3" s="553" t="str">
        <f>SUM(AE3, X3:X50, AB2:AB50) </f>
        <v>#REF!</v>
      </c>
    </row>
    <row r="4">
      <c r="A4" s="45" t="s">
        <v>9770</v>
      </c>
      <c r="B4" s="45">
        <v>1.0</v>
      </c>
      <c r="C4" s="45">
        <v>5.0</v>
      </c>
      <c r="D4" s="4">
        <f t="shared" si="1"/>
        <v>5</v>
      </c>
      <c r="E4" s="45" t="s">
        <v>9771</v>
      </c>
      <c r="F4" s="45">
        <v>3.0</v>
      </c>
      <c r="G4" s="45">
        <v>108.0</v>
      </c>
      <c r="H4" s="4">
        <f t="shared" si="2"/>
        <v>324</v>
      </c>
      <c r="I4" s="45" t="s">
        <v>9771</v>
      </c>
      <c r="J4" s="45">
        <v>3.0</v>
      </c>
      <c r="K4" s="45">
        <v>108.0</v>
      </c>
      <c r="L4" s="4">
        <f t="shared" si="3"/>
        <v>324</v>
      </c>
      <c r="M4" s="45" t="s">
        <v>9772</v>
      </c>
      <c r="N4" s="45">
        <v>1.0</v>
      </c>
      <c r="O4" s="45">
        <v>1.0</v>
      </c>
      <c r="P4" s="4">
        <f t="shared" si="4"/>
        <v>1</v>
      </c>
      <c r="T4" s="4">
        <f t="shared" si="5"/>
        <v>0</v>
      </c>
      <c r="U4" s="45" t="s">
        <v>9773</v>
      </c>
      <c r="V4" s="45">
        <v>3.0</v>
      </c>
      <c r="W4" s="45">
        <v>1.0</v>
      </c>
      <c r="X4" s="4">
        <f t="shared" si="6"/>
        <v>3</v>
      </c>
      <c r="Y4" s="45" t="s">
        <v>618</v>
      </c>
      <c r="Z4" s="45">
        <v>1.0</v>
      </c>
      <c r="AA4" s="45">
        <v>5.0</v>
      </c>
      <c r="AB4" s="4">
        <f t="shared" si="7"/>
        <v>5</v>
      </c>
    </row>
    <row r="5">
      <c r="A5" s="45" t="s">
        <v>9774</v>
      </c>
      <c r="B5" s="45">
        <v>1.0</v>
      </c>
      <c r="C5" s="45">
        <v>1.0</v>
      </c>
      <c r="D5" s="4">
        <f t="shared" si="1"/>
        <v>1</v>
      </c>
      <c r="E5" s="45" t="s">
        <v>9770</v>
      </c>
      <c r="F5" s="45">
        <v>1.0</v>
      </c>
      <c r="G5" s="45">
        <v>3.0</v>
      </c>
      <c r="H5" s="4">
        <f t="shared" si="2"/>
        <v>3</v>
      </c>
      <c r="I5" s="45" t="s">
        <v>9770</v>
      </c>
      <c r="J5" s="45">
        <v>1.0</v>
      </c>
      <c r="K5" s="45">
        <v>3.0</v>
      </c>
      <c r="L5" s="4">
        <f t="shared" si="3"/>
        <v>3</v>
      </c>
      <c r="M5" s="45" t="s">
        <v>9775</v>
      </c>
      <c r="N5" s="45">
        <v>1.0</v>
      </c>
      <c r="O5" s="45">
        <v>144.0</v>
      </c>
      <c r="P5" s="4">
        <f t="shared" si="4"/>
        <v>144</v>
      </c>
      <c r="T5" s="4">
        <f t="shared" si="5"/>
        <v>0</v>
      </c>
      <c r="U5" s="45" t="s">
        <v>9776</v>
      </c>
      <c r="V5" s="45">
        <v>3.0</v>
      </c>
      <c r="W5" s="45">
        <v>1.0</v>
      </c>
      <c r="X5" s="4">
        <f t="shared" si="6"/>
        <v>3</v>
      </c>
      <c r="Y5" s="45" t="s">
        <v>734</v>
      </c>
      <c r="Z5" s="45">
        <v>1.0</v>
      </c>
      <c r="AA5" s="45">
        <v>5.0</v>
      </c>
      <c r="AB5" s="4">
        <f t="shared" si="7"/>
        <v>5</v>
      </c>
      <c r="AE5" s="554" t="s">
        <v>9777</v>
      </c>
    </row>
    <row r="6">
      <c r="A6" s="45" t="s">
        <v>9770</v>
      </c>
      <c r="B6" s="45">
        <v>1.0</v>
      </c>
      <c r="C6" s="45">
        <v>5.0</v>
      </c>
      <c r="D6" s="4">
        <f t="shared" si="1"/>
        <v>5</v>
      </c>
      <c r="M6" s="45" t="s">
        <v>9778</v>
      </c>
      <c r="N6" s="45">
        <v>1.0</v>
      </c>
      <c r="O6" s="45">
        <v>5.0</v>
      </c>
      <c r="P6" s="4">
        <f t="shared" si="4"/>
        <v>5</v>
      </c>
      <c r="T6" s="4">
        <f t="shared" si="5"/>
        <v>0</v>
      </c>
      <c r="U6" s="45" t="s">
        <v>8845</v>
      </c>
      <c r="X6" s="4">
        <f t="shared" si="6"/>
        <v>0</v>
      </c>
      <c r="Y6" s="45" t="s">
        <v>791</v>
      </c>
      <c r="Z6" s="45">
        <v>1.0</v>
      </c>
      <c r="AA6" s="45">
        <v>5.0</v>
      </c>
      <c r="AB6" s="4">
        <f t="shared" si="7"/>
        <v>5</v>
      </c>
    </row>
    <row r="7">
      <c r="A7" s="45" t="s">
        <v>9779</v>
      </c>
      <c r="B7" s="45">
        <v>1.0</v>
      </c>
      <c r="C7" s="45">
        <v>6.0</v>
      </c>
      <c r="D7" s="4">
        <f t="shared" si="1"/>
        <v>6</v>
      </c>
      <c r="H7" s="4">
        <f>MULTIPLY(F7, G7)</f>
        <v>0</v>
      </c>
      <c r="L7" s="4">
        <f>MULTIPLY(J7, K7)</f>
        <v>0</v>
      </c>
      <c r="M7" s="45" t="s">
        <v>9779</v>
      </c>
      <c r="N7" s="45">
        <v>1.0</v>
      </c>
      <c r="O7" s="45">
        <v>6.0</v>
      </c>
      <c r="P7" s="4">
        <f t="shared" si="4"/>
        <v>6</v>
      </c>
      <c r="T7" s="4">
        <f t="shared" si="5"/>
        <v>0</v>
      </c>
      <c r="U7" s="45" t="s">
        <v>9780</v>
      </c>
      <c r="X7" s="4">
        <f t="shared" si="6"/>
        <v>0</v>
      </c>
      <c r="Y7" s="45" t="s">
        <v>884</v>
      </c>
      <c r="Z7" s="45">
        <v>1.0</v>
      </c>
      <c r="AA7" s="45">
        <v>5.0</v>
      </c>
      <c r="AB7" s="4">
        <f t="shared" si="7"/>
        <v>5</v>
      </c>
    </row>
    <row r="8">
      <c r="A8" s="45" t="s">
        <v>9781</v>
      </c>
      <c r="B8" s="45">
        <v>1.0</v>
      </c>
      <c r="C8" s="45">
        <v>6.0</v>
      </c>
      <c r="D8" s="4">
        <f t="shared" si="1"/>
        <v>6</v>
      </c>
      <c r="U8" s="45" t="s">
        <v>9782</v>
      </c>
      <c r="X8" s="4">
        <f t="shared" si="6"/>
        <v>0</v>
      </c>
      <c r="Y8" s="45" t="s">
        <v>9783</v>
      </c>
      <c r="Z8" s="45">
        <v>1.0</v>
      </c>
      <c r="AA8" s="45">
        <v>5.0</v>
      </c>
      <c r="AB8" s="4">
        <f t="shared" si="7"/>
        <v>5</v>
      </c>
    </row>
    <row r="9">
      <c r="A9" s="45" t="s">
        <v>9784</v>
      </c>
      <c r="B9" s="45">
        <v>1.0</v>
      </c>
      <c r="C9" s="45">
        <v>3.0</v>
      </c>
      <c r="D9" s="4">
        <f t="shared" si="1"/>
        <v>3</v>
      </c>
      <c r="U9" s="45" t="s">
        <v>9785</v>
      </c>
      <c r="V9" s="45">
        <v>1.0</v>
      </c>
      <c r="W9" s="45">
        <v>3.0</v>
      </c>
      <c r="X9" s="4">
        <f t="shared" si="6"/>
        <v>3</v>
      </c>
      <c r="Y9" s="45" t="s">
        <v>955</v>
      </c>
      <c r="Z9" s="45">
        <v>1.0</v>
      </c>
      <c r="AA9" s="45">
        <v>5.0</v>
      </c>
      <c r="AB9" s="4">
        <f t="shared" si="7"/>
        <v>5</v>
      </c>
      <c r="AE9" s="546" t="s">
        <v>9786</v>
      </c>
    </row>
    <row r="10">
      <c r="D10" s="4">
        <f t="shared" si="1"/>
        <v>0</v>
      </c>
      <c r="Y10" s="45" t="s">
        <v>9787</v>
      </c>
      <c r="Z10" s="45">
        <v>1.0</v>
      </c>
      <c r="AA10" s="45">
        <v>5.0</v>
      </c>
      <c r="AB10" s="4">
        <f t="shared" si="7"/>
        <v>5</v>
      </c>
    </row>
    <row r="11">
      <c r="D11" s="4">
        <f t="shared" si="1"/>
        <v>0</v>
      </c>
      <c r="Y11" s="45" t="s">
        <v>9788</v>
      </c>
      <c r="Z11" s="45">
        <v>1.0</v>
      </c>
      <c r="AA11" s="45">
        <v>1.0</v>
      </c>
      <c r="AB11" s="4">
        <f t="shared" si="7"/>
        <v>1</v>
      </c>
      <c r="AE11" s="553" t="str">
        <f>SUM(Surplus!X2, 0)</f>
        <v>#REF!</v>
      </c>
    </row>
    <row r="12">
      <c r="Y12" s="45" t="s">
        <v>9789</v>
      </c>
      <c r="Z12" s="45">
        <v>1.0</v>
      </c>
      <c r="AA12" s="45">
        <v>5.0</v>
      </c>
      <c r="AB12" s="4">
        <f t="shared" si="7"/>
        <v>5</v>
      </c>
    </row>
    <row r="13">
      <c r="Y13" s="45" t="s">
        <v>9790</v>
      </c>
      <c r="Z13" s="45">
        <v>1.0</v>
      </c>
      <c r="AA13" s="45">
        <v>5.0</v>
      </c>
      <c r="AB13" s="4">
        <f t="shared" si="7"/>
        <v>5</v>
      </c>
    </row>
    <row r="14">
      <c r="Y14" s="45" t="s">
        <v>9791</v>
      </c>
      <c r="Z14" s="45">
        <v>1.0</v>
      </c>
      <c r="AA14" s="45">
        <v>1.0</v>
      </c>
      <c r="AB14" s="4">
        <f t="shared" si="7"/>
        <v>1</v>
      </c>
    </row>
    <row r="15">
      <c r="Y15" s="45" t="s">
        <v>2102</v>
      </c>
      <c r="Z15" s="45">
        <v>1.0</v>
      </c>
      <c r="AA15" s="45">
        <v>5.0</v>
      </c>
      <c r="AB15" s="4">
        <f t="shared" si="7"/>
        <v>5</v>
      </c>
    </row>
    <row r="16">
      <c r="Y16" s="45" t="s">
        <v>9792</v>
      </c>
      <c r="Z16" s="45">
        <v>1.0</v>
      </c>
      <c r="AA16" s="45">
        <v>1.0</v>
      </c>
      <c r="AB16" s="4">
        <f t="shared" si="7"/>
        <v>1</v>
      </c>
    </row>
    <row r="17">
      <c r="Y17" s="45" t="s">
        <v>9793</v>
      </c>
      <c r="Z17" s="45">
        <v>1.0</v>
      </c>
      <c r="AA17" s="45">
        <v>600.0</v>
      </c>
      <c r="AB17" s="4">
        <f t="shared" si="7"/>
        <v>600</v>
      </c>
    </row>
    <row r="18">
      <c r="Y18" s="45" t="s">
        <v>9794</v>
      </c>
      <c r="Z18" s="45">
        <v>1.0</v>
      </c>
      <c r="AA18" s="45">
        <v>10.0</v>
      </c>
      <c r="AB18" s="4">
        <f t="shared" si="7"/>
        <v>10</v>
      </c>
    </row>
    <row r="19">
      <c r="Y19" s="45" t="s">
        <v>9795</v>
      </c>
      <c r="Z19" s="45">
        <v>1.0</v>
      </c>
      <c r="AA19" s="45">
        <v>5.0</v>
      </c>
      <c r="AB19" s="4">
        <f t="shared" si="7"/>
        <v>5</v>
      </c>
    </row>
  </sheetData>
  <mergeCells count="16">
    <mergeCell ref="A1:D1"/>
    <mergeCell ref="E1:H1"/>
    <mergeCell ref="I1:L1"/>
    <mergeCell ref="M1:P1"/>
    <mergeCell ref="Q1:T1"/>
    <mergeCell ref="U1:X1"/>
    <mergeCell ref="Y1:AB1"/>
    <mergeCell ref="AE9:AE10"/>
    <mergeCell ref="AE11:AE12"/>
    <mergeCell ref="AD1:AD2"/>
    <mergeCell ref="AE1:AE2"/>
    <mergeCell ref="AF1:AF2"/>
    <mergeCell ref="AD3:AD4"/>
    <mergeCell ref="AE3:AE4"/>
    <mergeCell ref="AF3:AF4"/>
    <mergeCell ref="AE5:AF7"/>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57"/>
  </cols>
  <sheetData>
    <row r="1">
      <c r="A1" s="42" t="s">
        <v>9763</v>
      </c>
      <c r="B1" s="42" t="s">
        <v>9084</v>
      </c>
      <c r="C1" s="555"/>
      <c r="D1" s="555"/>
      <c r="E1" s="555"/>
      <c r="F1" s="555"/>
      <c r="G1" s="555"/>
      <c r="H1" s="555"/>
      <c r="I1" s="555"/>
      <c r="J1" s="555"/>
      <c r="K1" s="555"/>
      <c r="L1" s="555"/>
      <c r="M1" s="555"/>
      <c r="N1" s="555"/>
      <c r="O1" s="555"/>
      <c r="P1" s="555"/>
      <c r="Q1" s="555"/>
      <c r="R1" s="555"/>
      <c r="S1" s="555"/>
      <c r="T1" s="555"/>
      <c r="U1" s="555"/>
      <c r="V1" s="555"/>
      <c r="W1" s="555"/>
      <c r="X1" s="555"/>
      <c r="Y1" s="555"/>
      <c r="Z1" s="555"/>
    </row>
    <row r="2">
      <c r="A2" s="556" t="s">
        <v>81</v>
      </c>
      <c r="B2" s="557">
        <v>0.020833333333333332</v>
      </c>
      <c r="C2" s="555"/>
      <c r="D2" s="555"/>
      <c r="E2" s="555"/>
      <c r="F2" s="555"/>
      <c r="G2" s="555"/>
      <c r="H2" s="555"/>
      <c r="I2" s="555"/>
      <c r="J2" s="555"/>
      <c r="K2" s="555"/>
      <c r="L2" s="555"/>
      <c r="M2" s="555"/>
      <c r="N2" s="555"/>
      <c r="O2" s="555"/>
      <c r="P2" s="555"/>
      <c r="Q2" s="555"/>
      <c r="R2" s="555"/>
      <c r="S2" s="555"/>
      <c r="T2" s="555"/>
      <c r="U2" s="555"/>
      <c r="V2" s="555"/>
      <c r="W2" s="555"/>
      <c r="X2" s="555"/>
      <c r="Y2" s="555"/>
      <c r="Z2" s="555"/>
    </row>
    <row r="3">
      <c r="A3" s="556" t="s">
        <v>85</v>
      </c>
      <c r="B3" s="557">
        <v>0.010416666666666666</v>
      </c>
      <c r="C3" s="555"/>
      <c r="D3" s="555"/>
      <c r="E3" s="555"/>
      <c r="F3" s="555"/>
      <c r="G3" s="555"/>
      <c r="H3" s="555"/>
      <c r="I3" s="555"/>
      <c r="J3" s="555"/>
      <c r="K3" s="555"/>
      <c r="L3" s="555"/>
      <c r="M3" s="555"/>
      <c r="N3" s="555"/>
      <c r="O3" s="555"/>
      <c r="P3" s="555"/>
      <c r="Q3" s="555"/>
      <c r="R3" s="555"/>
      <c r="S3" s="555"/>
      <c r="T3" s="555"/>
      <c r="U3" s="555"/>
      <c r="V3" s="555"/>
      <c r="W3" s="555"/>
      <c r="X3" s="555"/>
      <c r="Y3" s="555"/>
      <c r="Z3" s="555"/>
    </row>
    <row r="4">
      <c r="A4" s="556" t="s">
        <v>9796</v>
      </c>
      <c r="B4" s="557">
        <v>0.020833333333333332</v>
      </c>
      <c r="C4" s="555"/>
      <c r="D4" s="555"/>
      <c r="E4" s="555"/>
      <c r="F4" s="555"/>
      <c r="G4" s="555"/>
      <c r="H4" s="555"/>
      <c r="I4" s="555"/>
      <c r="J4" s="555"/>
      <c r="K4" s="555"/>
      <c r="L4" s="555"/>
      <c r="M4" s="555"/>
      <c r="N4" s="555"/>
      <c r="O4" s="555"/>
      <c r="P4" s="555"/>
      <c r="Q4" s="555"/>
      <c r="R4" s="555"/>
      <c r="S4" s="555"/>
      <c r="T4" s="555"/>
      <c r="U4" s="555"/>
      <c r="V4" s="555"/>
      <c r="W4" s="555"/>
      <c r="X4" s="555"/>
      <c r="Y4" s="555"/>
      <c r="Z4" s="555"/>
    </row>
    <row r="5">
      <c r="A5" s="556" t="s">
        <v>506</v>
      </c>
      <c r="B5" s="557">
        <v>0.020833333333333332</v>
      </c>
      <c r="C5" s="555"/>
      <c r="D5" s="555"/>
      <c r="E5" s="555"/>
      <c r="F5" s="555"/>
      <c r="G5" s="555"/>
      <c r="H5" s="555"/>
      <c r="I5" s="555"/>
      <c r="J5" s="555"/>
      <c r="K5" s="555"/>
      <c r="L5" s="555"/>
      <c r="M5" s="555"/>
      <c r="N5" s="555"/>
      <c r="O5" s="555"/>
      <c r="P5" s="555"/>
      <c r="Q5" s="555"/>
      <c r="R5" s="555"/>
      <c r="S5" s="555"/>
      <c r="T5" s="555"/>
      <c r="U5" s="555"/>
      <c r="V5" s="555"/>
      <c r="W5" s="555"/>
      <c r="X5" s="555"/>
      <c r="Y5" s="555"/>
      <c r="Z5" s="555"/>
    </row>
    <row r="6">
      <c r="A6" s="556" t="s">
        <v>103</v>
      </c>
      <c r="B6" s="557">
        <v>0.041666666666666664</v>
      </c>
      <c r="C6" s="555"/>
      <c r="D6" s="555"/>
      <c r="E6" s="555"/>
      <c r="F6" s="555"/>
      <c r="G6" s="555"/>
      <c r="H6" s="555"/>
      <c r="I6" s="555"/>
      <c r="J6" s="555"/>
      <c r="K6" s="555"/>
      <c r="L6" s="555"/>
      <c r="M6" s="555"/>
      <c r="N6" s="555"/>
      <c r="O6" s="555"/>
      <c r="P6" s="555"/>
      <c r="Q6" s="555"/>
      <c r="R6" s="555"/>
      <c r="S6" s="555"/>
      <c r="T6" s="555"/>
      <c r="U6" s="555"/>
      <c r="V6" s="555"/>
      <c r="W6" s="555"/>
      <c r="X6" s="555"/>
      <c r="Y6" s="555"/>
      <c r="Z6" s="555"/>
    </row>
    <row r="7">
      <c r="A7" s="558" t="s">
        <v>9797</v>
      </c>
      <c r="B7" s="559">
        <v>0.03125</v>
      </c>
      <c r="C7" s="555"/>
      <c r="D7" s="555"/>
      <c r="E7" s="555"/>
      <c r="F7" s="555"/>
      <c r="G7" s="555"/>
      <c r="H7" s="555"/>
      <c r="I7" s="555"/>
      <c r="J7" s="555"/>
      <c r="K7" s="555"/>
      <c r="L7" s="555"/>
      <c r="M7" s="555"/>
      <c r="N7" s="555"/>
      <c r="O7" s="555"/>
      <c r="P7" s="555"/>
      <c r="Q7" s="555"/>
      <c r="R7" s="555"/>
      <c r="S7" s="555"/>
      <c r="T7" s="555"/>
      <c r="U7" s="555"/>
      <c r="V7" s="555"/>
      <c r="W7" s="555"/>
      <c r="X7" s="555"/>
      <c r="Y7" s="555"/>
      <c r="Z7" s="555"/>
    </row>
    <row r="8">
      <c r="A8" s="560" t="s">
        <v>89</v>
      </c>
      <c r="B8" s="557">
        <v>0.020833333333333332</v>
      </c>
      <c r="C8" s="555"/>
      <c r="D8" s="555"/>
      <c r="E8" s="555"/>
      <c r="F8" s="555"/>
      <c r="G8" s="555"/>
      <c r="H8" s="555"/>
      <c r="I8" s="555"/>
      <c r="J8" s="555"/>
      <c r="K8" s="555"/>
      <c r="L8" s="555"/>
      <c r="M8" s="555"/>
      <c r="N8" s="555"/>
      <c r="O8" s="555"/>
      <c r="P8" s="555"/>
      <c r="Q8" s="555"/>
      <c r="R8" s="555"/>
      <c r="S8" s="555"/>
      <c r="T8" s="555"/>
      <c r="U8" s="555"/>
      <c r="V8" s="555"/>
      <c r="W8" s="555"/>
      <c r="X8" s="555"/>
      <c r="Y8" s="555"/>
      <c r="Z8" s="555"/>
    </row>
    <row r="9">
      <c r="A9" s="558" t="s">
        <v>87</v>
      </c>
      <c r="B9" s="559">
        <v>0.020833333333333332</v>
      </c>
      <c r="C9" s="555"/>
      <c r="D9" s="555"/>
      <c r="E9" s="555"/>
      <c r="F9" s="555"/>
      <c r="G9" s="555"/>
      <c r="H9" s="555"/>
      <c r="I9" s="555"/>
      <c r="J9" s="555"/>
      <c r="K9" s="555"/>
      <c r="L9" s="555"/>
      <c r="M9" s="555"/>
      <c r="N9" s="555"/>
      <c r="O9" s="555"/>
      <c r="P9" s="555"/>
      <c r="Q9" s="555"/>
      <c r="R9" s="555"/>
      <c r="S9" s="555"/>
      <c r="T9" s="555"/>
      <c r="U9" s="555"/>
      <c r="V9" s="555"/>
      <c r="W9" s="555"/>
      <c r="X9" s="555"/>
      <c r="Y9" s="555"/>
      <c r="Z9" s="555"/>
    </row>
    <row r="10">
      <c r="A10" s="560" t="s">
        <v>9798</v>
      </c>
      <c r="B10" s="16" t="s">
        <v>9799</v>
      </c>
      <c r="C10" s="555"/>
      <c r="D10" s="555"/>
      <c r="E10" s="555"/>
      <c r="F10" s="555"/>
      <c r="G10" s="555"/>
      <c r="H10" s="555"/>
      <c r="I10" s="555"/>
      <c r="J10" s="555"/>
      <c r="K10" s="555"/>
      <c r="L10" s="555"/>
      <c r="M10" s="555"/>
      <c r="N10" s="555"/>
      <c r="O10" s="555"/>
      <c r="P10" s="555"/>
      <c r="Q10" s="555"/>
      <c r="R10" s="555"/>
      <c r="S10" s="555"/>
      <c r="T10" s="555"/>
      <c r="U10" s="555"/>
      <c r="V10" s="555"/>
      <c r="W10" s="555"/>
      <c r="X10" s="555"/>
      <c r="Y10" s="555"/>
      <c r="Z10" s="555"/>
    </row>
    <row r="11">
      <c r="A11" s="560" t="s">
        <v>471</v>
      </c>
      <c r="B11" s="16" t="s">
        <v>9799</v>
      </c>
      <c r="C11" s="555"/>
      <c r="D11" s="555"/>
      <c r="E11" s="555"/>
      <c r="F11" s="555"/>
      <c r="G11" s="555"/>
      <c r="H11" s="555"/>
      <c r="I11" s="555"/>
      <c r="J11" s="555"/>
      <c r="K11" s="555"/>
      <c r="L11" s="555"/>
      <c r="M11" s="555"/>
      <c r="N11" s="555"/>
      <c r="O11" s="555"/>
      <c r="P11" s="555"/>
      <c r="Q11" s="555"/>
      <c r="R11" s="555"/>
      <c r="S11" s="555"/>
      <c r="T11" s="555"/>
      <c r="U11" s="555"/>
      <c r="V11" s="555"/>
      <c r="W11" s="555"/>
      <c r="X11" s="555"/>
      <c r="Y11" s="555"/>
      <c r="Z11" s="555"/>
    </row>
    <row r="12">
      <c r="A12" s="561" t="s">
        <v>511</v>
      </c>
      <c r="B12" s="562" t="s">
        <v>9800</v>
      </c>
      <c r="C12" s="555"/>
      <c r="D12" s="555"/>
      <c r="E12" s="555"/>
      <c r="F12" s="555"/>
      <c r="G12" s="555"/>
      <c r="H12" s="555"/>
      <c r="I12" s="555"/>
      <c r="J12" s="555"/>
      <c r="K12" s="555"/>
      <c r="L12" s="555"/>
      <c r="M12" s="555"/>
      <c r="N12" s="555"/>
      <c r="O12" s="555"/>
      <c r="P12" s="555"/>
      <c r="Q12" s="555"/>
      <c r="R12" s="555"/>
      <c r="S12" s="555"/>
      <c r="T12" s="555"/>
      <c r="U12" s="555"/>
      <c r="V12" s="555"/>
      <c r="W12" s="555"/>
      <c r="X12" s="555"/>
      <c r="Y12" s="555"/>
      <c r="Z12" s="555"/>
    </row>
    <row r="13">
      <c r="A13" s="561" t="s">
        <v>67</v>
      </c>
      <c r="B13" s="563">
        <v>0.0625</v>
      </c>
      <c r="C13" s="555"/>
      <c r="D13" s="555"/>
      <c r="E13" s="555"/>
      <c r="F13" s="555"/>
      <c r="G13" s="555"/>
      <c r="H13" s="555"/>
      <c r="I13" s="555"/>
      <c r="J13" s="555"/>
      <c r="K13" s="555"/>
      <c r="L13" s="555"/>
      <c r="M13" s="555"/>
      <c r="N13" s="555"/>
      <c r="O13" s="555"/>
      <c r="P13" s="555"/>
      <c r="Q13" s="555"/>
      <c r="R13" s="555"/>
      <c r="S13" s="555"/>
      <c r="T13" s="555"/>
      <c r="U13" s="555"/>
      <c r="V13" s="555"/>
      <c r="W13" s="555"/>
      <c r="X13" s="555"/>
      <c r="Y13" s="555"/>
      <c r="Z13" s="555"/>
    </row>
    <row r="14">
      <c r="A14" s="561" t="s">
        <v>9801</v>
      </c>
      <c r="B14" s="563">
        <v>0.125</v>
      </c>
      <c r="C14" s="555"/>
      <c r="D14" s="555"/>
      <c r="E14" s="555"/>
      <c r="F14" s="555"/>
      <c r="G14" s="555"/>
      <c r="H14" s="555"/>
      <c r="I14" s="555"/>
      <c r="J14" s="555"/>
      <c r="K14" s="555"/>
      <c r="L14" s="555"/>
      <c r="M14" s="555"/>
      <c r="N14" s="555"/>
      <c r="O14" s="555"/>
      <c r="P14" s="555"/>
      <c r="Q14" s="555"/>
      <c r="R14" s="555"/>
      <c r="S14" s="555"/>
      <c r="T14" s="555"/>
      <c r="U14" s="555"/>
      <c r="V14" s="555"/>
      <c r="W14" s="555"/>
      <c r="X14" s="555"/>
      <c r="Y14" s="555"/>
      <c r="Z14" s="555"/>
    </row>
    <row r="15">
      <c r="A15" s="561" t="s">
        <v>9802</v>
      </c>
      <c r="B15" s="563">
        <v>0.08333333333333333</v>
      </c>
      <c r="C15" s="555"/>
      <c r="D15" s="555"/>
      <c r="E15" s="555"/>
      <c r="F15" s="555"/>
      <c r="G15" s="555"/>
      <c r="H15" s="555"/>
      <c r="I15" s="555"/>
      <c r="J15" s="555"/>
      <c r="K15" s="555"/>
      <c r="L15" s="555"/>
      <c r="M15" s="555"/>
      <c r="N15" s="555"/>
      <c r="O15" s="555"/>
      <c r="P15" s="555"/>
      <c r="Q15" s="555"/>
      <c r="R15" s="555"/>
      <c r="S15" s="555"/>
      <c r="T15" s="555"/>
      <c r="U15" s="555"/>
      <c r="V15" s="555"/>
      <c r="W15" s="555"/>
      <c r="X15" s="555"/>
      <c r="Y15" s="555"/>
      <c r="Z15" s="555"/>
    </row>
    <row r="16">
      <c r="A16" s="555"/>
      <c r="B16" s="555"/>
      <c r="C16" s="555"/>
      <c r="D16" s="555"/>
      <c r="E16" s="555"/>
      <c r="F16" s="555"/>
      <c r="G16" s="555"/>
      <c r="H16" s="555"/>
      <c r="I16" s="555"/>
      <c r="J16" s="555"/>
      <c r="K16" s="555"/>
      <c r="L16" s="555"/>
      <c r="M16" s="555"/>
      <c r="N16" s="555"/>
      <c r="O16" s="555"/>
      <c r="P16" s="555"/>
      <c r="Q16" s="555"/>
      <c r="R16" s="555"/>
      <c r="S16" s="555"/>
      <c r="T16" s="555"/>
      <c r="U16" s="555"/>
      <c r="V16" s="555"/>
      <c r="W16" s="555"/>
      <c r="X16" s="555"/>
      <c r="Y16" s="555"/>
      <c r="Z16" s="555"/>
    </row>
    <row r="17">
      <c r="A17" s="555"/>
      <c r="B17" s="555"/>
      <c r="C17" s="555"/>
      <c r="D17" s="555"/>
      <c r="E17" s="555"/>
      <c r="F17" s="555"/>
      <c r="G17" s="555"/>
      <c r="H17" s="555"/>
      <c r="I17" s="555"/>
      <c r="J17" s="555"/>
      <c r="K17" s="555"/>
      <c r="L17" s="555"/>
      <c r="M17" s="555"/>
      <c r="N17" s="555"/>
      <c r="O17" s="555"/>
      <c r="P17" s="555"/>
      <c r="Q17" s="555"/>
      <c r="R17" s="555"/>
      <c r="S17" s="555"/>
      <c r="T17" s="555"/>
      <c r="U17" s="555"/>
      <c r="V17" s="555"/>
      <c r="W17" s="555"/>
      <c r="X17" s="555"/>
      <c r="Y17" s="555"/>
      <c r="Z17" s="555"/>
    </row>
    <row r="18">
      <c r="A18" s="555"/>
      <c r="B18" s="555"/>
      <c r="C18" s="555"/>
      <c r="D18" s="555"/>
      <c r="E18" s="555"/>
      <c r="F18" s="555"/>
      <c r="G18" s="555"/>
      <c r="H18" s="555"/>
      <c r="I18" s="555"/>
      <c r="J18" s="555"/>
      <c r="K18" s="555"/>
      <c r="L18" s="555"/>
      <c r="M18" s="555"/>
      <c r="N18" s="555"/>
      <c r="O18" s="555"/>
      <c r="P18" s="555"/>
      <c r="Q18" s="555"/>
      <c r="R18" s="555"/>
      <c r="S18" s="555"/>
      <c r="T18" s="555"/>
      <c r="U18" s="555"/>
      <c r="V18" s="555"/>
      <c r="W18" s="555"/>
      <c r="X18" s="555"/>
      <c r="Y18" s="555"/>
      <c r="Z18" s="555"/>
    </row>
    <row r="19">
      <c r="A19" s="555"/>
      <c r="B19" s="555"/>
      <c r="C19" s="555"/>
      <c r="D19" s="555"/>
      <c r="E19" s="555"/>
      <c r="F19" s="555"/>
      <c r="G19" s="555"/>
      <c r="H19" s="555"/>
      <c r="I19" s="555"/>
      <c r="J19" s="555"/>
      <c r="K19" s="555"/>
      <c r="L19" s="555"/>
      <c r="M19" s="555"/>
      <c r="N19" s="555"/>
      <c r="O19" s="555"/>
      <c r="P19" s="555"/>
      <c r="Q19" s="555"/>
      <c r="R19" s="555"/>
      <c r="S19" s="555"/>
      <c r="T19" s="555"/>
      <c r="U19" s="555"/>
      <c r="V19" s="555"/>
      <c r="W19" s="555"/>
      <c r="X19" s="555"/>
      <c r="Y19" s="555"/>
      <c r="Z19" s="555"/>
    </row>
    <row r="20">
      <c r="A20" s="555"/>
      <c r="B20" s="555"/>
      <c r="C20" s="555"/>
      <c r="D20" s="555"/>
      <c r="E20" s="555"/>
      <c r="F20" s="555"/>
      <c r="G20" s="555"/>
      <c r="H20" s="555"/>
      <c r="I20" s="555"/>
      <c r="J20" s="555"/>
      <c r="K20" s="555"/>
      <c r="L20" s="555"/>
      <c r="M20" s="555"/>
      <c r="N20" s="555"/>
      <c r="O20" s="555"/>
      <c r="P20" s="555"/>
      <c r="Q20" s="555"/>
      <c r="R20" s="555"/>
      <c r="S20" s="555"/>
      <c r="T20" s="555"/>
      <c r="U20" s="555"/>
      <c r="V20" s="555"/>
      <c r="W20" s="555"/>
      <c r="X20" s="555"/>
      <c r="Y20" s="555"/>
      <c r="Z20" s="555"/>
    </row>
    <row r="21">
      <c r="A21" s="555"/>
      <c r="B21" s="555"/>
      <c r="C21" s="555"/>
      <c r="D21" s="555"/>
      <c r="E21" s="555"/>
      <c r="F21" s="555"/>
      <c r="G21" s="555"/>
      <c r="H21" s="555"/>
      <c r="I21" s="555"/>
      <c r="J21" s="555"/>
      <c r="K21" s="555"/>
      <c r="L21" s="555"/>
      <c r="M21" s="555"/>
      <c r="N21" s="555"/>
      <c r="O21" s="555"/>
      <c r="P21" s="555"/>
      <c r="Q21" s="555"/>
      <c r="R21" s="555"/>
      <c r="S21" s="555"/>
      <c r="T21" s="555"/>
      <c r="U21" s="555"/>
      <c r="V21" s="555"/>
      <c r="W21" s="555"/>
      <c r="X21" s="555"/>
      <c r="Y21" s="555"/>
      <c r="Z21" s="555"/>
    </row>
    <row r="22">
      <c r="A22" s="555"/>
      <c r="B22" s="555"/>
      <c r="C22" s="555"/>
      <c r="D22" s="555"/>
      <c r="E22" s="555"/>
      <c r="F22" s="555"/>
      <c r="G22" s="555"/>
      <c r="H22" s="555"/>
      <c r="I22" s="555"/>
      <c r="J22" s="555"/>
      <c r="K22" s="555"/>
      <c r="L22" s="555"/>
      <c r="M22" s="555"/>
      <c r="N22" s="555"/>
      <c r="O22" s="555"/>
      <c r="P22" s="555"/>
      <c r="Q22" s="555"/>
      <c r="R22" s="555"/>
      <c r="S22" s="555"/>
      <c r="T22" s="555"/>
      <c r="U22" s="555"/>
      <c r="V22" s="555"/>
      <c r="W22" s="555"/>
      <c r="X22" s="555"/>
      <c r="Y22" s="555"/>
      <c r="Z22" s="555"/>
    </row>
    <row r="23">
      <c r="A23" s="555"/>
      <c r="B23" s="555"/>
      <c r="C23" s="555"/>
      <c r="D23" s="555"/>
      <c r="E23" s="555"/>
      <c r="F23" s="555"/>
      <c r="G23" s="555"/>
      <c r="H23" s="555"/>
      <c r="I23" s="555"/>
      <c r="J23" s="555"/>
      <c r="K23" s="555"/>
      <c r="L23" s="555"/>
      <c r="M23" s="555"/>
      <c r="N23" s="555"/>
      <c r="O23" s="555"/>
      <c r="P23" s="555"/>
      <c r="Q23" s="555"/>
      <c r="R23" s="555"/>
      <c r="S23" s="555"/>
      <c r="T23" s="555"/>
      <c r="U23" s="555"/>
      <c r="V23" s="555"/>
      <c r="W23" s="555"/>
      <c r="X23" s="555"/>
      <c r="Y23" s="555"/>
      <c r="Z23" s="555"/>
    </row>
    <row r="24">
      <c r="A24" s="555"/>
      <c r="B24" s="555"/>
      <c r="C24" s="555"/>
      <c r="D24" s="555"/>
      <c r="E24" s="555"/>
      <c r="F24" s="555"/>
      <c r="G24" s="555"/>
      <c r="H24" s="555"/>
      <c r="I24" s="555"/>
      <c r="J24" s="555"/>
      <c r="K24" s="555"/>
      <c r="L24" s="555"/>
      <c r="M24" s="555"/>
      <c r="N24" s="555"/>
      <c r="O24" s="555"/>
      <c r="P24" s="555"/>
      <c r="Q24" s="555"/>
      <c r="R24" s="555"/>
      <c r="S24" s="555"/>
      <c r="T24" s="555"/>
      <c r="U24" s="555"/>
      <c r="V24" s="555"/>
      <c r="W24" s="555"/>
      <c r="X24" s="555"/>
      <c r="Y24" s="555"/>
      <c r="Z24" s="555"/>
    </row>
    <row r="25">
      <c r="A25" s="555"/>
      <c r="B25" s="555"/>
      <c r="C25" s="555"/>
      <c r="D25" s="555"/>
      <c r="E25" s="555"/>
      <c r="F25" s="555"/>
      <c r="G25" s="555"/>
      <c r="H25" s="555"/>
      <c r="I25" s="555"/>
      <c r="J25" s="555"/>
      <c r="K25" s="555"/>
      <c r="L25" s="555"/>
      <c r="M25" s="555"/>
      <c r="N25" s="555"/>
      <c r="O25" s="555"/>
      <c r="P25" s="555"/>
      <c r="Q25" s="555"/>
      <c r="R25" s="555"/>
      <c r="S25" s="555"/>
      <c r="T25" s="555"/>
      <c r="U25" s="555"/>
      <c r="V25" s="555"/>
      <c r="W25" s="555"/>
      <c r="X25" s="555"/>
      <c r="Y25" s="555"/>
      <c r="Z25" s="555"/>
    </row>
    <row r="26">
      <c r="A26" s="555"/>
      <c r="B26" s="555"/>
      <c r="C26" s="555"/>
      <c r="D26" s="555"/>
      <c r="E26" s="555"/>
      <c r="F26" s="555"/>
      <c r="G26" s="555"/>
      <c r="H26" s="555"/>
      <c r="I26" s="555"/>
      <c r="J26" s="555"/>
      <c r="K26" s="555"/>
      <c r="L26" s="555"/>
      <c r="M26" s="555"/>
      <c r="N26" s="555"/>
      <c r="O26" s="555"/>
      <c r="P26" s="555"/>
      <c r="Q26" s="555"/>
      <c r="R26" s="555"/>
      <c r="S26" s="555"/>
      <c r="T26" s="555"/>
      <c r="U26" s="555"/>
      <c r="V26" s="555"/>
      <c r="W26" s="555"/>
      <c r="X26" s="555"/>
      <c r="Y26" s="555"/>
      <c r="Z26" s="555"/>
    </row>
    <row r="27">
      <c r="A27" s="555"/>
      <c r="B27" s="555"/>
      <c r="C27" s="555"/>
      <c r="D27" s="555"/>
      <c r="E27" s="555"/>
      <c r="F27" s="555"/>
      <c r="G27" s="555"/>
      <c r="H27" s="555"/>
      <c r="I27" s="555"/>
      <c r="J27" s="555"/>
      <c r="K27" s="555"/>
      <c r="L27" s="555"/>
      <c r="M27" s="555"/>
      <c r="N27" s="555"/>
      <c r="O27" s="555"/>
      <c r="P27" s="555"/>
      <c r="Q27" s="555"/>
      <c r="R27" s="555"/>
      <c r="S27" s="555"/>
      <c r="T27" s="555"/>
      <c r="U27" s="555"/>
      <c r="V27" s="555"/>
      <c r="W27" s="555"/>
      <c r="X27" s="555"/>
      <c r="Y27" s="555"/>
      <c r="Z27" s="555"/>
    </row>
    <row r="28">
      <c r="A28" s="555"/>
      <c r="B28" s="555"/>
      <c r="C28" s="555"/>
      <c r="D28" s="555"/>
      <c r="E28" s="555"/>
      <c r="F28" s="555"/>
      <c r="G28" s="555"/>
      <c r="H28" s="555"/>
      <c r="I28" s="555"/>
      <c r="J28" s="555"/>
      <c r="K28" s="555"/>
      <c r="L28" s="555"/>
      <c r="M28" s="555"/>
      <c r="N28" s="555"/>
      <c r="O28" s="555"/>
      <c r="P28" s="555"/>
      <c r="Q28" s="555"/>
      <c r="R28" s="555"/>
      <c r="S28" s="555"/>
      <c r="T28" s="555"/>
      <c r="U28" s="555"/>
      <c r="V28" s="555"/>
      <c r="W28" s="555"/>
      <c r="X28" s="555"/>
      <c r="Y28" s="555"/>
      <c r="Z28" s="555"/>
    </row>
    <row r="29">
      <c r="A29" s="555"/>
      <c r="B29" s="555"/>
      <c r="C29" s="555"/>
      <c r="D29" s="555"/>
      <c r="E29" s="555"/>
      <c r="F29" s="555"/>
      <c r="G29" s="555"/>
      <c r="H29" s="555"/>
      <c r="I29" s="555"/>
      <c r="J29" s="555"/>
      <c r="K29" s="555"/>
      <c r="L29" s="555"/>
      <c r="M29" s="555"/>
      <c r="N29" s="555"/>
      <c r="O29" s="555"/>
      <c r="P29" s="555"/>
      <c r="Q29" s="555"/>
      <c r="R29" s="555"/>
      <c r="S29" s="555"/>
      <c r="T29" s="555"/>
      <c r="U29" s="555"/>
      <c r="V29" s="555"/>
      <c r="W29" s="555"/>
      <c r="X29" s="555"/>
      <c r="Y29" s="555"/>
      <c r="Z29" s="555"/>
    </row>
    <row r="30">
      <c r="A30" s="555"/>
      <c r="B30" s="555"/>
      <c r="C30" s="555"/>
      <c r="D30" s="555"/>
      <c r="E30" s="555"/>
      <c r="F30" s="555"/>
      <c r="G30" s="555"/>
      <c r="H30" s="555"/>
      <c r="I30" s="555"/>
      <c r="J30" s="555"/>
      <c r="K30" s="555"/>
      <c r="L30" s="555"/>
      <c r="M30" s="555"/>
      <c r="N30" s="555"/>
      <c r="O30" s="555"/>
      <c r="P30" s="555"/>
      <c r="Q30" s="555"/>
      <c r="R30" s="555"/>
      <c r="S30" s="555"/>
      <c r="T30" s="555"/>
      <c r="U30" s="555"/>
      <c r="V30" s="555"/>
      <c r="W30" s="555"/>
      <c r="X30" s="555"/>
      <c r="Y30" s="555"/>
      <c r="Z30" s="555"/>
    </row>
    <row r="31">
      <c r="A31" s="555"/>
      <c r="B31" s="555"/>
      <c r="C31" s="555"/>
      <c r="D31" s="555"/>
      <c r="E31" s="555"/>
      <c r="F31" s="555"/>
      <c r="G31" s="555"/>
      <c r="H31" s="555"/>
      <c r="I31" s="555"/>
      <c r="J31" s="555"/>
      <c r="K31" s="555"/>
      <c r="L31" s="555"/>
      <c r="M31" s="555"/>
      <c r="N31" s="555"/>
      <c r="O31" s="555"/>
      <c r="P31" s="555"/>
      <c r="Q31" s="555"/>
      <c r="R31" s="555"/>
      <c r="S31" s="555"/>
      <c r="T31" s="555"/>
      <c r="U31" s="555"/>
      <c r="V31" s="555"/>
      <c r="W31" s="555"/>
      <c r="X31" s="555"/>
      <c r="Y31" s="555"/>
      <c r="Z31" s="555"/>
    </row>
    <row r="32">
      <c r="A32" s="555"/>
      <c r="B32" s="555"/>
      <c r="C32" s="555"/>
      <c r="D32" s="555"/>
      <c r="E32" s="555"/>
      <c r="F32" s="555"/>
      <c r="G32" s="555"/>
      <c r="H32" s="555"/>
      <c r="I32" s="555"/>
      <c r="J32" s="555"/>
      <c r="K32" s="555"/>
      <c r="L32" s="555"/>
      <c r="M32" s="555"/>
      <c r="N32" s="555"/>
      <c r="O32" s="555"/>
      <c r="P32" s="555"/>
      <c r="Q32" s="555"/>
      <c r="R32" s="555"/>
      <c r="S32" s="555"/>
      <c r="T32" s="555"/>
      <c r="U32" s="555"/>
      <c r="V32" s="555"/>
      <c r="W32" s="555"/>
      <c r="X32" s="555"/>
      <c r="Y32" s="555"/>
      <c r="Z32" s="555"/>
    </row>
    <row r="33">
      <c r="A33" s="555"/>
      <c r="B33" s="555"/>
      <c r="C33" s="555"/>
      <c r="D33" s="555"/>
      <c r="E33" s="555"/>
      <c r="F33" s="555"/>
      <c r="G33" s="555"/>
      <c r="H33" s="555"/>
      <c r="I33" s="555"/>
      <c r="J33" s="555"/>
      <c r="K33" s="555"/>
      <c r="L33" s="555"/>
      <c r="M33" s="555"/>
      <c r="N33" s="555"/>
      <c r="O33" s="555"/>
      <c r="P33" s="555"/>
      <c r="Q33" s="555"/>
      <c r="R33" s="555"/>
      <c r="S33" s="555"/>
      <c r="T33" s="555"/>
      <c r="U33" s="555"/>
      <c r="V33" s="555"/>
      <c r="W33" s="555"/>
      <c r="X33" s="555"/>
      <c r="Y33" s="555"/>
      <c r="Z33" s="555"/>
    </row>
    <row r="34">
      <c r="A34" s="555"/>
      <c r="B34" s="555"/>
      <c r="C34" s="555"/>
      <c r="D34" s="555"/>
      <c r="E34" s="555"/>
      <c r="F34" s="555"/>
      <c r="G34" s="555"/>
      <c r="H34" s="555"/>
      <c r="I34" s="555"/>
      <c r="J34" s="555"/>
      <c r="K34" s="555"/>
      <c r="L34" s="555"/>
      <c r="M34" s="555"/>
      <c r="N34" s="555"/>
      <c r="O34" s="555"/>
      <c r="P34" s="555"/>
      <c r="Q34" s="555"/>
      <c r="R34" s="555"/>
      <c r="S34" s="555"/>
      <c r="T34" s="555"/>
      <c r="U34" s="555"/>
      <c r="V34" s="555"/>
      <c r="W34" s="555"/>
      <c r="X34" s="555"/>
      <c r="Y34" s="555"/>
      <c r="Z34" s="555"/>
    </row>
    <row r="35">
      <c r="A35" s="555"/>
      <c r="B35" s="555"/>
      <c r="C35" s="555"/>
      <c r="D35" s="555"/>
      <c r="E35" s="555"/>
      <c r="F35" s="555"/>
      <c r="G35" s="555"/>
      <c r="H35" s="555"/>
      <c r="I35" s="555"/>
      <c r="J35" s="555"/>
      <c r="K35" s="555"/>
      <c r="L35" s="555"/>
      <c r="M35" s="555"/>
      <c r="N35" s="555"/>
      <c r="O35" s="555"/>
      <c r="P35" s="555"/>
      <c r="Q35" s="555"/>
      <c r="R35" s="555"/>
      <c r="S35" s="555"/>
      <c r="T35" s="555"/>
      <c r="U35" s="555"/>
      <c r="V35" s="555"/>
      <c r="W35" s="555"/>
      <c r="X35" s="555"/>
      <c r="Y35" s="555"/>
      <c r="Z35" s="555"/>
    </row>
    <row r="36">
      <c r="A36" s="555"/>
      <c r="B36" s="555"/>
      <c r="C36" s="555"/>
      <c r="D36" s="555"/>
      <c r="E36" s="555"/>
      <c r="F36" s="555"/>
      <c r="G36" s="555"/>
      <c r="H36" s="555"/>
      <c r="I36" s="555"/>
      <c r="J36" s="555"/>
      <c r="K36" s="555"/>
      <c r="L36" s="555"/>
      <c r="M36" s="555"/>
      <c r="N36" s="555"/>
      <c r="O36" s="555"/>
      <c r="P36" s="555"/>
      <c r="Q36" s="555"/>
      <c r="R36" s="555"/>
      <c r="S36" s="555"/>
      <c r="T36" s="555"/>
      <c r="U36" s="555"/>
      <c r="V36" s="555"/>
      <c r="W36" s="555"/>
      <c r="X36" s="555"/>
      <c r="Y36" s="555"/>
      <c r="Z36" s="555"/>
    </row>
    <row r="37">
      <c r="A37" s="555"/>
      <c r="B37" s="555"/>
      <c r="C37" s="555"/>
      <c r="D37" s="555"/>
      <c r="E37" s="555"/>
      <c r="F37" s="555"/>
      <c r="G37" s="555"/>
      <c r="H37" s="555"/>
      <c r="I37" s="555"/>
      <c r="J37" s="555"/>
      <c r="K37" s="555"/>
      <c r="L37" s="555"/>
      <c r="M37" s="555"/>
      <c r="N37" s="555"/>
      <c r="O37" s="555"/>
      <c r="P37" s="555"/>
      <c r="Q37" s="555"/>
      <c r="R37" s="555"/>
      <c r="S37" s="555"/>
      <c r="T37" s="555"/>
      <c r="U37" s="555"/>
      <c r="V37" s="555"/>
      <c r="W37" s="555"/>
      <c r="X37" s="555"/>
      <c r="Y37" s="555"/>
      <c r="Z37" s="555"/>
    </row>
    <row r="38">
      <c r="A38" s="555"/>
      <c r="B38" s="555"/>
      <c r="C38" s="555"/>
      <c r="D38" s="555"/>
      <c r="E38" s="555"/>
      <c r="F38" s="555"/>
      <c r="G38" s="555"/>
      <c r="H38" s="555"/>
      <c r="I38" s="555"/>
      <c r="J38" s="555"/>
      <c r="K38" s="555"/>
      <c r="L38" s="555"/>
      <c r="M38" s="555"/>
      <c r="N38" s="555"/>
      <c r="O38" s="555"/>
      <c r="P38" s="555"/>
      <c r="Q38" s="555"/>
      <c r="R38" s="555"/>
      <c r="S38" s="555"/>
      <c r="T38" s="555"/>
      <c r="U38" s="555"/>
      <c r="V38" s="555"/>
      <c r="W38" s="555"/>
      <c r="X38" s="555"/>
      <c r="Y38" s="555"/>
      <c r="Z38" s="555"/>
    </row>
    <row r="39">
      <c r="A39" s="555"/>
      <c r="B39" s="555"/>
      <c r="C39" s="555"/>
      <c r="D39" s="555"/>
      <c r="E39" s="555"/>
      <c r="F39" s="555"/>
      <c r="G39" s="555"/>
      <c r="H39" s="555"/>
      <c r="I39" s="555"/>
      <c r="J39" s="555"/>
      <c r="K39" s="555"/>
      <c r="L39" s="555"/>
      <c r="M39" s="555"/>
      <c r="N39" s="555"/>
      <c r="O39" s="555"/>
      <c r="P39" s="555"/>
      <c r="Q39" s="555"/>
      <c r="R39" s="555"/>
      <c r="S39" s="555"/>
      <c r="T39" s="555"/>
      <c r="U39" s="555"/>
      <c r="V39" s="555"/>
      <c r="W39" s="555"/>
      <c r="X39" s="555"/>
      <c r="Y39" s="555"/>
      <c r="Z39" s="555"/>
    </row>
    <row r="40">
      <c r="A40" s="555"/>
      <c r="B40" s="555"/>
      <c r="C40" s="555"/>
      <c r="D40" s="555"/>
      <c r="E40" s="555"/>
      <c r="F40" s="555"/>
      <c r="G40" s="555"/>
      <c r="H40" s="555"/>
      <c r="I40" s="555"/>
      <c r="J40" s="555"/>
      <c r="K40" s="555"/>
      <c r="L40" s="555"/>
      <c r="M40" s="555"/>
      <c r="N40" s="555"/>
      <c r="O40" s="555"/>
      <c r="P40" s="555"/>
      <c r="Q40" s="555"/>
      <c r="R40" s="555"/>
      <c r="S40" s="555"/>
      <c r="T40" s="555"/>
      <c r="U40" s="555"/>
      <c r="V40" s="555"/>
      <c r="W40" s="555"/>
      <c r="X40" s="555"/>
      <c r="Y40" s="555"/>
      <c r="Z40" s="555"/>
    </row>
    <row r="41">
      <c r="A41" s="555"/>
      <c r="B41" s="555"/>
      <c r="C41" s="555"/>
      <c r="D41" s="555"/>
      <c r="E41" s="555"/>
      <c r="F41" s="555"/>
      <c r="G41" s="555"/>
      <c r="H41" s="555"/>
      <c r="I41" s="555"/>
      <c r="J41" s="555"/>
      <c r="K41" s="555"/>
      <c r="L41" s="555"/>
      <c r="M41" s="555"/>
      <c r="N41" s="555"/>
      <c r="O41" s="555"/>
      <c r="P41" s="555"/>
      <c r="Q41" s="555"/>
      <c r="R41" s="555"/>
      <c r="S41" s="555"/>
      <c r="T41" s="555"/>
      <c r="U41" s="555"/>
      <c r="V41" s="555"/>
      <c r="W41" s="555"/>
      <c r="X41" s="555"/>
      <c r="Y41" s="555"/>
      <c r="Z41" s="555"/>
    </row>
    <row r="42">
      <c r="A42" s="555"/>
      <c r="B42" s="555"/>
      <c r="C42" s="555"/>
      <c r="D42" s="555"/>
      <c r="E42" s="555"/>
      <c r="F42" s="555"/>
      <c r="G42" s="555"/>
      <c r="H42" s="555"/>
      <c r="I42" s="555"/>
      <c r="J42" s="555"/>
      <c r="K42" s="555"/>
      <c r="L42" s="555"/>
      <c r="M42" s="555"/>
      <c r="N42" s="555"/>
      <c r="O42" s="555"/>
      <c r="P42" s="555"/>
      <c r="Q42" s="555"/>
      <c r="R42" s="555"/>
      <c r="S42" s="555"/>
      <c r="T42" s="555"/>
      <c r="U42" s="555"/>
      <c r="V42" s="555"/>
      <c r="W42" s="555"/>
      <c r="X42" s="555"/>
      <c r="Y42" s="555"/>
      <c r="Z42" s="555"/>
    </row>
    <row r="43">
      <c r="A43" s="555"/>
      <c r="B43" s="555"/>
      <c r="C43" s="555"/>
      <c r="D43" s="555"/>
      <c r="E43" s="555"/>
      <c r="F43" s="555"/>
      <c r="G43" s="555"/>
      <c r="H43" s="555"/>
      <c r="I43" s="555"/>
      <c r="J43" s="555"/>
      <c r="K43" s="555"/>
      <c r="L43" s="555"/>
      <c r="M43" s="555"/>
      <c r="N43" s="555"/>
      <c r="O43" s="555"/>
      <c r="P43" s="555"/>
      <c r="Q43" s="555"/>
      <c r="R43" s="555"/>
      <c r="S43" s="555"/>
      <c r="T43" s="555"/>
      <c r="U43" s="555"/>
      <c r="V43" s="555"/>
      <c r="W43" s="555"/>
      <c r="X43" s="555"/>
      <c r="Y43" s="555"/>
      <c r="Z43" s="555"/>
    </row>
    <row r="44">
      <c r="A44" s="555"/>
      <c r="B44" s="555"/>
      <c r="C44" s="555"/>
      <c r="D44" s="555"/>
      <c r="E44" s="555"/>
      <c r="F44" s="555"/>
      <c r="G44" s="555"/>
      <c r="H44" s="555"/>
      <c r="I44" s="555"/>
      <c r="J44" s="555"/>
      <c r="K44" s="555"/>
      <c r="L44" s="555"/>
      <c r="M44" s="555"/>
      <c r="N44" s="555"/>
      <c r="O44" s="555"/>
      <c r="P44" s="555"/>
      <c r="Q44" s="555"/>
      <c r="R44" s="555"/>
      <c r="S44" s="555"/>
      <c r="T44" s="555"/>
      <c r="U44" s="555"/>
      <c r="V44" s="555"/>
      <c r="W44" s="555"/>
      <c r="X44" s="555"/>
      <c r="Y44" s="555"/>
      <c r="Z44" s="555"/>
    </row>
    <row r="45">
      <c r="A45" s="555"/>
      <c r="B45" s="555"/>
      <c r="C45" s="555"/>
      <c r="D45" s="555"/>
      <c r="E45" s="555"/>
      <c r="F45" s="555"/>
      <c r="G45" s="555"/>
      <c r="H45" s="555"/>
      <c r="I45" s="555"/>
      <c r="J45" s="555"/>
      <c r="K45" s="555"/>
      <c r="L45" s="555"/>
      <c r="M45" s="555"/>
      <c r="N45" s="555"/>
      <c r="O45" s="555"/>
      <c r="P45" s="555"/>
      <c r="Q45" s="555"/>
      <c r="R45" s="555"/>
      <c r="S45" s="555"/>
      <c r="T45" s="555"/>
      <c r="U45" s="555"/>
      <c r="V45" s="555"/>
      <c r="W45" s="555"/>
      <c r="X45" s="555"/>
      <c r="Y45" s="555"/>
      <c r="Z45" s="555"/>
    </row>
    <row r="46">
      <c r="A46" s="555"/>
      <c r="B46" s="555"/>
      <c r="C46" s="555"/>
      <c r="D46" s="555"/>
      <c r="E46" s="555"/>
      <c r="F46" s="555"/>
      <c r="G46" s="555"/>
      <c r="H46" s="555"/>
      <c r="I46" s="555"/>
      <c r="J46" s="555"/>
      <c r="K46" s="555"/>
      <c r="L46" s="555"/>
      <c r="M46" s="555"/>
      <c r="N46" s="555"/>
      <c r="O46" s="555"/>
      <c r="P46" s="555"/>
      <c r="Q46" s="555"/>
      <c r="R46" s="555"/>
      <c r="S46" s="555"/>
      <c r="T46" s="555"/>
      <c r="U46" s="555"/>
      <c r="V46" s="555"/>
      <c r="W46" s="555"/>
      <c r="X46" s="555"/>
      <c r="Y46" s="555"/>
      <c r="Z46" s="555"/>
    </row>
    <row r="47">
      <c r="A47" s="555"/>
      <c r="B47" s="555"/>
      <c r="C47" s="555"/>
      <c r="D47" s="555"/>
      <c r="E47" s="555"/>
      <c r="F47" s="555"/>
      <c r="G47" s="555"/>
      <c r="H47" s="555"/>
      <c r="I47" s="555"/>
      <c r="J47" s="555"/>
      <c r="K47" s="555"/>
      <c r="L47" s="555"/>
      <c r="M47" s="555"/>
      <c r="N47" s="555"/>
      <c r="O47" s="555"/>
      <c r="P47" s="555"/>
      <c r="Q47" s="555"/>
      <c r="R47" s="555"/>
      <c r="S47" s="555"/>
      <c r="T47" s="555"/>
      <c r="U47" s="555"/>
      <c r="V47" s="555"/>
      <c r="W47" s="555"/>
      <c r="X47" s="555"/>
      <c r="Y47" s="555"/>
      <c r="Z47" s="555"/>
    </row>
    <row r="48">
      <c r="A48" s="555"/>
      <c r="B48" s="555"/>
      <c r="C48" s="555"/>
      <c r="D48" s="555"/>
      <c r="E48" s="555"/>
      <c r="F48" s="555"/>
      <c r="G48" s="555"/>
      <c r="H48" s="555"/>
      <c r="I48" s="555"/>
      <c r="J48" s="555"/>
      <c r="K48" s="555"/>
      <c r="L48" s="555"/>
      <c r="M48" s="555"/>
      <c r="N48" s="555"/>
      <c r="O48" s="555"/>
      <c r="P48" s="555"/>
      <c r="Q48" s="555"/>
      <c r="R48" s="555"/>
      <c r="S48" s="555"/>
      <c r="T48" s="555"/>
      <c r="U48" s="555"/>
      <c r="V48" s="555"/>
      <c r="W48" s="555"/>
      <c r="X48" s="555"/>
      <c r="Y48" s="555"/>
      <c r="Z48" s="555"/>
    </row>
    <row r="49">
      <c r="A49" s="555"/>
      <c r="B49" s="555"/>
      <c r="C49" s="555"/>
      <c r="D49" s="555"/>
      <c r="E49" s="555"/>
      <c r="F49" s="555"/>
      <c r="G49" s="555"/>
      <c r="H49" s="555"/>
      <c r="I49" s="555"/>
      <c r="J49" s="555"/>
      <c r="K49" s="555"/>
      <c r="L49" s="555"/>
      <c r="M49" s="555"/>
      <c r="N49" s="555"/>
      <c r="O49" s="555"/>
      <c r="P49" s="555"/>
      <c r="Q49" s="555"/>
      <c r="R49" s="555"/>
      <c r="S49" s="555"/>
      <c r="T49" s="555"/>
      <c r="U49" s="555"/>
      <c r="V49" s="555"/>
      <c r="W49" s="555"/>
      <c r="X49" s="555"/>
      <c r="Y49" s="555"/>
      <c r="Z49" s="555"/>
    </row>
    <row r="50">
      <c r="A50" s="555"/>
      <c r="B50" s="555"/>
      <c r="C50" s="555"/>
      <c r="D50" s="555"/>
      <c r="E50" s="555"/>
      <c r="F50" s="555"/>
      <c r="G50" s="555"/>
      <c r="H50" s="555"/>
      <c r="I50" s="555"/>
      <c r="J50" s="555"/>
      <c r="K50" s="555"/>
      <c r="L50" s="555"/>
      <c r="M50" s="555"/>
      <c r="N50" s="555"/>
      <c r="O50" s="555"/>
      <c r="P50" s="555"/>
      <c r="Q50" s="555"/>
      <c r="R50" s="555"/>
      <c r="S50" s="555"/>
      <c r="T50" s="555"/>
      <c r="U50" s="555"/>
      <c r="V50" s="555"/>
      <c r="W50" s="555"/>
      <c r="X50" s="555"/>
      <c r="Y50" s="555"/>
      <c r="Z50" s="555"/>
    </row>
    <row r="51">
      <c r="A51" s="555"/>
      <c r="B51" s="555"/>
      <c r="C51" s="555"/>
      <c r="D51" s="555"/>
      <c r="E51" s="555"/>
      <c r="F51" s="555"/>
      <c r="G51" s="555"/>
      <c r="H51" s="555"/>
      <c r="I51" s="555"/>
      <c r="J51" s="555"/>
      <c r="K51" s="555"/>
      <c r="L51" s="555"/>
      <c r="M51" s="555"/>
      <c r="N51" s="555"/>
      <c r="O51" s="555"/>
      <c r="P51" s="555"/>
      <c r="Q51" s="555"/>
      <c r="R51" s="555"/>
      <c r="S51" s="555"/>
      <c r="T51" s="555"/>
      <c r="U51" s="555"/>
      <c r="V51" s="555"/>
      <c r="W51" s="555"/>
      <c r="X51" s="555"/>
      <c r="Y51" s="555"/>
      <c r="Z51" s="555"/>
    </row>
    <row r="52">
      <c r="A52" s="555"/>
      <c r="B52" s="555"/>
      <c r="C52" s="555"/>
      <c r="D52" s="555"/>
      <c r="E52" s="555"/>
      <c r="F52" s="555"/>
      <c r="G52" s="555"/>
      <c r="H52" s="555"/>
      <c r="I52" s="555"/>
      <c r="J52" s="555"/>
      <c r="K52" s="555"/>
      <c r="L52" s="555"/>
      <c r="M52" s="555"/>
      <c r="N52" s="555"/>
      <c r="O52" s="555"/>
      <c r="P52" s="555"/>
      <c r="Q52" s="555"/>
      <c r="R52" s="555"/>
      <c r="S52" s="555"/>
      <c r="T52" s="555"/>
      <c r="U52" s="555"/>
      <c r="V52" s="555"/>
      <c r="W52" s="555"/>
      <c r="X52" s="555"/>
      <c r="Y52" s="555"/>
      <c r="Z52" s="555"/>
    </row>
    <row r="53">
      <c r="A53" s="555"/>
      <c r="B53" s="555"/>
      <c r="C53" s="555"/>
      <c r="D53" s="555"/>
      <c r="E53" s="555"/>
      <c r="F53" s="555"/>
      <c r="G53" s="555"/>
      <c r="H53" s="555"/>
      <c r="I53" s="555"/>
      <c r="J53" s="555"/>
      <c r="K53" s="555"/>
      <c r="L53" s="555"/>
      <c r="M53" s="555"/>
      <c r="N53" s="555"/>
      <c r="O53" s="555"/>
      <c r="P53" s="555"/>
      <c r="Q53" s="555"/>
      <c r="R53" s="555"/>
      <c r="S53" s="555"/>
      <c r="T53" s="555"/>
      <c r="U53" s="555"/>
      <c r="V53" s="555"/>
      <c r="W53" s="555"/>
      <c r="X53" s="555"/>
      <c r="Y53" s="555"/>
      <c r="Z53" s="555"/>
    </row>
    <row r="54">
      <c r="A54" s="555"/>
      <c r="B54" s="555"/>
      <c r="C54" s="555"/>
      <c r="D54" s="555"/>
      <c r="E54" s="555"/>
      <c r="F54" s="555"/>
      <c r="G54" s="555"/>
      <c r="H54" s="555"/>
      <c r="I54" s="555"/>
      <c r="J54" s="555"/>
      <c r="K54" s="555"/>
      <c r="L54" s="555"/>
      <c r="M54" s="555"/>
      <c r="N54" s="555"/>
      <c r="O54" s="555"/>
      <c r="P54" s="555"/>
      <c r="Q54" s="555"/>
      <c r="R54" s="555"/>
      <c r="S54" s="555"/>
      <c r="T54" s="555"/>
      <c r="U54" s="555"/>
      <c r="V54" s="555"/>
      <c r="W54" s="555"/>
      <c r="X54" s="555"/>
      <c r="Y54" s="555"/>
      <c r="Z54" s="555"/>
    </row>
    <row r="55">
      <c r="A55" s="555"/>
      <c r="B55" s="555"/>
      <c r="C55" s="555"/>
      <c r="D55" s="555"/>
      <c r="E55" s="555"/>
      <c r="F55" s="555"/>
      <c r="G55" s="555"/>
      <c r="H55" s="555"/>
      <c r="I55" s="555"/>
      <c r="J55" s="555"/>
      <c r="K55" s="555"/>
      <c r="L55" s="555"/>
      <c r="M55" s="555"/>
      <c r="N55" s="555"/>
      <c r="O55" s="555"/>
      <c r="P55" s="555"/>
      <c r="Q55" s="555"/>
      <c r="R55" s="555"/>
      <c r="S55" s="555"/>
      <c r="T55" s="555"/>
      <c r="U55" s="555"/>
      <c r="V55" s="555"/>
      <c r="W55" s="555"/>
      <c r="X55" s="555"/>
      <c r="Y55" s="555"/>
      <c r="Z55" s="555"/>
    </row>
    <row r="56">
      <c r="A56" s="555"/>
      <c r="B56" s="555"/>
      <c r="C56" s="555"/>
      <c r="D56" s="555"/>
      <c r="E56" s="555"/>
      <c r="F56" s="555"/>
      <c r="G56" s="555"/>
      <c r="H56" s="555"/>
      <c r="I56" s="555"/>
      <c r="J56" s="555"/>
      <c r="K56" s="555"/>
      <c r="L56" s="555"/>
      <c r="M56" s="555"/>
      <c r="N56" s="555"/>
      <c r="O56" s="555"/>
      <c r="P56" s="555"/>
      <c r="Q56" s="555"/>
      <c r="R56" s="555"/>
      <c r="S56" s="555"/>
      <c r="T56" s="555"/>
      <c r="U56" s="555"/>
      <c r="V56" s="555"/>
      <c r="W56" s="555"/>
      <c r="X56" s="555"/>
      <c r="Y56" s="555"/>
      <c r="Z56" s="555"/>
    </row>
    <row r="57">
      <c r="A57" s="555"/>
      <c r="B57" s="555"/>
      <c r="C57" s="555"/>
      <c r="D57" s="555"/>
      <c r="E57" s="555"/>
      <c r="F57" s="555"/>
      <c r="G57" s="555"/>
      <c r="H57" s="555"/>
      <c r="I57" s="555"/>
      <c r="J57" s="555"/>
      <c r="K57" s="555"/>
      <c r="L57" s="555"/>
      <c r="M57" s="555"/>
      <c r="N57" s="555"/>
      <c r="O57" s="555"/>
      <c r="P57" s="555"/>
      <c r="Q57" s="555"/>
      <c r="R57" s="555"/>
      <c r="S57" s="555"/>
      <c r="T57" s="555"/>
      <c r="U57" s="555"/>
      <c r="V57" s="555"/>
      <c r="W57" s="555"/>
      <c r="X57" s="555"/>
      <c r="Y57" s="555"/>
      <c r="Z57" s="555"/>
    </row>
    <row r="58">
      <c r="A58" s="555"/>
      <c r="B58" s="555"/>
      <c r="C58" s="555"/>
      <c r="D58" s="555"/>
      <c r="E58" s="555"/>
      <c r="F58" s="555"/>
      <c r="G58" s="555"/>
      <c r="H58" s="555"/>
      <c r="I58" s="555"/>
      <c r="J58" s="555"/>
      <c r="K58" s="555"/>
      <c r="L58" s="555"/>
      <c r="M58" s="555"/>
      <c r="N58" s="555"/>
      <c r="O58" s="555"/>
      <c r="P58" s="555"/>
      <c r="Q58" s="555"/>
      <c r="R58" s="555"/>
      <c r="S58" s="555"/>
      <c r="T58" s="555"/>
      <c r="U58" s="555"/>
      <c r="V58" s="555"/>
      <c r="W58" s="555"/>
      <c r="X58" s="555"/>
      <c r="Y58" s="555"/>
      <c r="Z58" s="555"/>
    </row>
    <row r="59">
      <c r="A59" s="555"/>
      <c r="B59" s="555"/>
      <c r="C59" s="555"/>
      <c r="D59" s="555"/>
      <c r="E59" s="555"/>
      <c r="F59" s="555"/>
      <c r="G59" s="555"/>
      <c r="H59" s="555"/>
      <c r="I59" s="555"/>
      <c r="J59" s="555"/>
      <c r="K59" s="555"/>
      <c r="L59" s="555"/>
      <c r="M59" s="555"/>
      <c r="N59" s="555"/>
      <c r="O59" s="555"/>
      <c r="P59" s="555"/>
      <c r="Q59" s="555"/>
      <c r="R59" s="555"/>
      <c r="S59" s="555"/>
      <c r="T59" s="555"/>
      <c r="U59" s="555"/>
      <c r="V59" s="555"/>
      <c r="W59" s="555"/>
      <c r="X59" s="555"/>
      <c r="Y59" s="555"/>
      <c r="Z59" s="555"/>
    </row>
    <row r="60">
      <c r="A60" s="555"/>
      <c r="B60" s="555"/>
      <c r="C60" s="555"/>
      <c r="D60" s="555"/>
      <c r="E60" s="555"/>
      <c r="F60" s="555"/>
      <c r="G60" s="555"/>
      <c r="H60" s="555"/>
      <c r="I60" s="555"/>
      <c r="J60" s="555"/>
      <c r="K60" s="555"/>
      <c r="L60" s="555"/>
      <c r="M60" s="555"/>
      <c r="N60" s="555"/>
      <c r="O60" s="555"/>
      <c r="P60" s="555"/>
      <c r="Q60" s="555"/>
      <c r="R60" s="555"/>
      <c r="S60" s="555"/>
      <c r="T60" s="555"/>
      <c r="U60" s="555"/>
      <c r="V60" s="555"/>
      <c r="W60" s="555"/>
      <c r="X60" s="555"/>
      <c r="Y60" s="555"/>
      <c r="Z60" s="555"/>
    </row>
    <row r="61">
      <c r="A61" s="555"/>
      <c r="B61" s="555"/>
      <c r="C61" s="555"/>
      <c r="D61" s="555"/>
      <c r="E61" s="555"/>
      <c r="F61" s="555"/>
      <c r="G61" s="555"/>
      <c r="H61" s="555"/>
      <c r="I61" s="555"/>
      <c r="J61" s="555"/>
      <c r="K61" s="555"/>
      <c r="L61" s="555"/>
      <c r="M61" s="555"/>
      <c r="N61" s="555"/>
      <c r="O61" s="555"/>
      <c r="P61" s="555"/>
      <c r="Q61" s="555"/>
      <c r="R61" s="555"/>
      <c r="S61" s="555"/>
      <c r="T61" s="555"/>
      <c r="U61" s="555"/>
      <c r="V61" s="555"/>
      <c r="W61" s="555"/>
      <c r="X61" s="555"/>
      <c r="Y61" s="555"/>
      <c r="Z61" s="555"/>
    </row>
    <row r="62">
      <c r="A62" s="555"/>
      <c r="B62" s="555"/>
      <c r="C62" s="555"/>
      <c r="D62" s="555"/>
      <c r="E62" s="555"/>
      <c r="F62" s="555"/>
      <c r="G62" s="555"/>
      <c r="H62" s="555"/>
      <c r="I62" s="555"/>
      <c r="J62" s="555"/>
      <c r="K62" s="555"/>
      <c r="L62" s="555"/>
      <c r="M62" s="555"/>
      <c r="N62" s="555"/>
      <c r="O62" s="555"/>
      <c r="P62" s="555"/>
      <c r="Q62" s="555"/>
      <c r="R62" s="555"/>
      <c r="S62" s="555"/>
      <c r="T62" s="555"/>
      <c r="U62" s="555"/>
      <c r="V62" s="555"/>
      <c r="W62" s="555"/>
      <c r="X62" s="555"/>
      <c r="Y62" s="555"/>
      <c r="Z62" s="555"/>
    </row>
    <row r="63">
      <c r="A63" s="555"/>
      <c r="B63" s="555"/>
      <c r="C63" s="555"/>
      <c r="D63" s="555"/>
      <c r="E63" s="555"/>
      <c r="F63" s="555"/>
      <c r="G63" s="555"/>
      <c r="H63" s="555"/>
      <c r="I63" s="555"/>
      <c r="J63" s="555"/>
      <c r="K63" s="555"/>
      <c r="L63" s="555"/>
      <c r="M63" s="555"/>
      <c r="N63" s="555"/>
      <c r="O63" s="555"/>
      <c r="P63" s="555"/>
      <c r="Q63" s="555"/>
      <c r="R63" s="555"/>
      <c r="S63" s="555"/>
      <c r="T63" s="555"/>
      <c r="U63" s="555"/>
      <c r="V63" s="555"/>
      <c r="W63" s="555"/>
      <c r="X63" s="555"/>
      <c r="Y63" s="555"/>
      <c r="Z63" s="555"/>
    </row>
    <row r="64">
      <c r="A64" s="555"/>
      <c r="B64" s="555"/>
      <c r="C64" s="555"/>
      <c r="D64" s="555"/>
      <c r="E64" s="555"/>
      <c r="F64" s="555"/>
      <c r="G64" s="555"/>
      <c r="H64" s="555"/>
      <c r="I64" s="555"/>
      <c r="J64" s="555"/>
      <c r="K64" s="555"/>
      <c r="L64" s="555"/>
      <c r="M64" s="555"/>
      <c r="N64" s="555"/>
      <c r="O64" s="555"/>
      <c r="P64" s="555"/>
      <c r="Q64" s="555"/>
      <c r="R64" s="555"/>
      <c r="S64" s="555"/>
      <c r="T64" s="555"/>
      <c r="U64" s="555"/>
      <c r="V64" s="555"/>
      <c r="W64" s="555"/>
      <c r="X64" s="555"/>
      <c r="Y64" s="555"/>
      <c r="Z64" s="555"/>
    </row>
    <row r="65">
      <c r="A65" s="555"/>
      <c r="B65" s="555"/>
      <c r="C65" s="555"/>
      <c r="D65" s="555"/>
      <c r="E65" s="555"/>
      <c r="F65" s="555"/>
      <c r="G65" s="555"/>
      <c r="H65" s="555"/>
      <c r="I65" s="555"/>
      <c r="J65" s="555"/>
      <c r="K65" s="555"/>
      <c r="L65" s="555"/>
      <c r="M65" s="555"/>
      <c r="N65" s="555"/>
      <c r="O65" s="555"/>
      <c r="P65" s="555"/>
      <c r="Q65" s="555"/>
      <c r="R65" s="555"/>
      <c r="S65" s="555"/>
      <c r="T65" s="555"/>
      <c r="U65" s="555"/>
      <c r="V65" s="555"/>
      <c r="W65" s="555"/>
      <c r="X65" s="555"/>
      <c r="Y65" s="555"/>
      <c r="Z65" s="555"/>
    </row>
    <row r="66">
      <c r="A66" s="555"/>
      <c r="B66" s="555"/>
      <c r="C66" s="555"/>
      <c r="D66" s="555"/>
      <c r="E66" s="555"/>
      <c r="F66" s="555"/>
      <c r="G66" s="555"/>
      <c r="H66" s="555"/>
      <c r="I66" s="555"/>
      <c r="J66" s="555"/>
      <c r="K66" s="555"/>
      <c r="L66" s="555"/>
      <c r="M66" s="555"/>
      <c r="N66" s="555"/>
      <c r="O66" s="555"/>
      <c r="P66" s="555"/>
      <c r="Q66" s="555"/>
      <c r="R66" s="555"/>
      <c r="S66" s="555"/>
      <c r="T66" s="555"/>
      <c r="U66" s="555"/>
      <c r="V66" s="555"/>
      <c r="W66" s="555"/>
      <c r="X66" s="555"/>
      <c r="Y66" s="555"/>
      <c r="Z66" s="555"/>
    </row>
    <row r="67">
      <c r="A67" s="555"/>
      <c r="B67" s="555"/>
      <c r="C67" s="555"/>
      <c r="D67" s="555"/>
      <c r="E67" s="555"/>
      <c r="F67" s="555"/>
      <c r="G67" s="555"/>
      <c r="H67" s="555"/>
      <c r="I67" s="555"/>
      <c r="J67" s="555"/>
      <c r="K67" s="555"/>
      <c r="L67" s="555"/>
      <c r="M67" s="555"/>
      <c r="N67" s="555"/>
      <c r="O67" s="555"/>
      <c r="P67" s="555"/>
      <c r="Q67" s="555"/>
      <c r="R67" s="555"/>
      <c r="S67" s="555"/>
      <c r="T67" s="555"/>
      <c r="U67" s="555"/>
      <c r="V67" s="555"/>
      <c r="W67" s="555"/>
      <c r="X67" s="555"/>
      <c r="Y67" s="555"/>
      <c r="Z67" s="555"/>
    </row>
    <row r="68">
      <c r="A68" s="555"/>
      <c r="B68" s="555"/>
      <c r="C68" s="555"/>
      <c r="D68" s="555"/>
      <c r="E68" s="555"/>
      <c r="F68" s="555"/>
      <c r="G68" s="555"/>
      <c r="H68" s="555"/>
      <c r="I68" s="555"/>
      <c r="J68" s="555"/>
      <c r="K68" s="555"/>
      <c r="L68" s="555"/>
      <c r="M68" s="555"/>
      <c r="N68" s="555"/>
      <c r="O68" s="555"/>
      <c r="P68" s="555"/>
      <c r="Q68" s="555"/>
      <c r="R68" s="555"/>
      <c r="S68" s="555"/>
      <c r="T68" s="555"/>
      <c r="U68" s="555"/>
      <c r="V68" s="555"/>
      <c r="W68" s="555"/>
      <c r="X68" s="555"/>
      <c r="Y68" s="555"/>
      <c r="Z68" s="555"/>
    </row>
    <row r="69">
      <c r="A69" s="555"/>
      <c r="B69" s="555"/>
      <c r="C69" s="555"/>
      <c r="D69" s="555"/>
      <c r="E69" s="555"/>
      <c r="F69" s="555"/>
      <c r="G69" s="555"/>
      <c r="H69" s="555"/>
      <c r="I69" s="555"/>
      <c r="J69" s="555"/>
      <c r="K69" s="555"/>
      <c r="L69" s="555"/>
      <c r="M69" s="555"/>
      <c r="N69" s="555"/>
      <c r="O69" s="555"/>
      <c r="P69" s="555"/>
      <c r="Q69" s="555"/>
      <c r="R69" s="555"/>
      <c r="S69" s="555"/>
      <c r="T69" s="555"/>
      <c r="U69" s="555"/>
      <c r="V69" s="555"/>
      <c r="W69" s="555"/>
      <c r="X69" s="555"/>
      <c r="Y69" s="555"/>
      <c r="Z69" s="555"/>
    </row>
    <row r="70">
      <c r="A70" s="555"/>
      <c r="B70" s="555"/>
      <c r="C70" s="555"/>
      <c r="D70" s="555"/>
      <c r="E70" s="555"/>
      <c r="F70" s="555"/>
      <c r="G70" s="555"/>
      <c r="H70" s="555"/>
      <c r="I70" s="555"/>
      <c r="J70" s="555"/>
      <c r="K70" s="555"/>
      <c r="L70" s="555"/>
      <c r="M70" s="555"/>
      <c r="N70" s="555"/>
      <c r="O70" s="555"/>
      <c r="P70" s="555"/>
      <c r="Q70" s="555"/>
      <c r="R70" s="555"/>
      <c r="S70" s="555"/>
      <c r="T70" s="555"/>
      <c r="U70" s="555"/>
      <c r="V70" s="555"/>
      <c r="W70" s="555"/>
      <c r="X70" s="555"/>
      <c r="Y70" s="555"/>
      <c r="Z70" s="555"/>
    </row>
    <row r="71">
      <c r="A71" s="555"/>
      <c r="B71" s="555"/>
      <c r="C71" s="555"/>
      <c r="D71" s="555"/>
      <c r="E71" s="555"/>
      <c r="F71" s="555"/>
      <c r="G71" s="555"/>
      <c r="H71" s="555"/>
      <c r="I71" s="555"/>
      <c r="J71" s="555"/>
      <c r="K71" s="555"/>
      <c r="L71" s="555"/>
      <c r="M71" s="555"/>
      <c r="N71" s="555"/>
      <c r="O71" s="555"/>
      <c r="P71" s="555"/>
      <c r="Q71" s="555"/>
      <c r="R71" s="555"/>
      <c r="S71" s="555"/>
      <c r="T71" s="555"/>
      <c r="U71" s="555"/>
      <c r="V71" s="555"/>
      <c r="W71" s="555"/>
      <c r="X71" s="555"/>
      <c r="Y71" s="555"/>
      <c r="Z71" s="555"/>
    </row>
    <row r="72">
      <c r="A72" s="555"/>
      <c r="B72" s="555"/>
      <c r="C72" s="555"/>
      <c r="D72" s="555"/>
      <c r="E72" s="555"/>
      <c r="F72" s="555"/>
      <c r="G72" s="555"/>
      <c r="H72" s="555"/>
      <c r="I72" s="555"/>
      <c r="J72" s="555"/>
      <c r="K72" s="555"/>
      <c r="L72" s="555"/>
      <c r="M72" s="555"/>
      <c r="N72" s="555"/>
      <c r="O72" s="555"/>
      <c r="P72" s="555"/>
      <c r="Q72" s="555"/>
      <c r="R72" s="555"/>
      <c r="S72" s="555"/>
      <c r="T72" s="555"/>
      <c r="U72" s="555"/>
      <c r="V72" s="555"/>
      <c r="W72" s="555"/>
      <c r="X72" s="555"/>
      <c r="Y72" s="555"/>
      <c r="Z72" s="555"/>
    </row>
    <row r="73">
      <c r="A73" s="555"/>
      <c r="B73" s="555"/>
      <c r="C73" s="555"/>
      <c r="D73" s="555"/>
      <c r="E73" s="555"/>
      <c r="F73" s="555"/>
      <c r="G73" s="555"/>
      <c r="H73" s="555"/>
      <c r="I73" s="555"/>
      <c r="J73" s="555"/>
      <c r="K73" s="555"/>
      <c r="L73" s="555"/>
      <c r="M73" s="555"/>
      <c r="N73" s="555"/>
      <c r="O73" s="555"/>
      <c r="P73" s="555"/>
      <c r="Q73" s="555"/>
      <c r="R73" s="555"/>
      <c r="S73" s="555"/>
      <c r="T73" s="555"/>
      <c r="U73" s="555"/>
      <c r="V73" s="555"/>
      <c r="W73" s="555"/>
      <c r="X73" s="555"/>
      <c r="Y73" s="555"/>
      <c r="Z73" s="555"/>
    </row>
    <row r="74">
      <c r="A74" s="555"/>
      <c r="B74" s="555"/>
      <c r="C74" s="555"/>
      <c r="D74" s="555"/>
      <c r="E74" s="555"/>
      <c r="F74" s="555"/>
      <c r="G74" s="555"/>
      <c r="H74" s="555"/>
      <c r="I74" s="555"/>
      <c r="J74" s="555"/>
      <c r="K74" s="555"/>
      <c r="L74" s="555"/>
      <c r="M74" s="555"/>
      <c r="N74" s="555"/>
      <c r="O74" s="555"/>
      <c r="P74" s="555"/>
      <c r="Q74" s="555"/>
      <c r="R74" s="555"/>
      <c r="S74" s="555"/>
      <c r="T74" s="555"/>
      <c r="U74" s="555"/>
      <c r="V74" s="555"/>
      <c r="W74" s="555"/>
      <c r="X74" s="555"/>
      <c r="Y74" s="555"/>
      <c r="Z74" s="555"/>
    </row>
    <row r="75">
      <c r="A75" s="555"/>
      <c r="B75" s="555"/>
      <c r="C75" s="555"/>
      <c r="D75" s="555"/>
      <c r="E75" s="555"/>
      <c r="F75" s="555"/>
      <c r="G75" s="555"/>
      <c r="H75" s="555"/>
      <c r="I75" s="555"/>
      <c r="J75" s="555"/>
      <c r="K75" s="555"/>
      <c r="L75" s="555"/>
      <c r="M75" s="555"/>
      <c r="N75" s="555"/>
      <c r="O75" s="555"/>
      <c r="P75" s="555"/>
      <c r="Q75" s="555"/>
      <c r="R75" s="555"/>
      <c r="S75" s="555"/>
      <c r="T75" s="555"/>
      <c r="U75" s="555"/>
      <c r="V75" s="555"/>
      <c r="W75" s="555"/>
      <c r="X75" s="555"/>
      <c r="Y75" s="555"/>
      <c r="Z75" s="555"/>
    </row>
    <row r="76">
      <c r="A76" s="555"/>
      <c r="B76" s="555"/>
      <c r="C76" s="555"/>
      <c r="D76" s="555"/>
      <c r="E76" s="555"/>
      <c r="F76" s="555"/>
      <c r="G76" s="555"/>
      <c r="H76" s="555"/>
      <c r="I76" s="555"/>
      <c r="J76" s="555"/>
      <c r="K76" s="555"/>
      <c r="L76" s="555"/>
      <c r="M76" s="555"/>
      <c r="N76" s="555"/>
      <c r="O76" s="555"/>
      <c r="P76" s="555"/>
      <c r="Q76" s="555"/>
      <c r="R76" s="555"/>
      <c r="S76" s="555"/>
      <c r="T76" s="555"/>
      <c r="U76" s="555"/>
      <c r="V76" s="555"/>
      <c r="W76" s="555"/>
      <c r="X76" s="555"/>
      <c r="Y76" s="555"/>
      <c r="Z76" s="555"/>
    </row>
    <row r="77">
      <c r="A77" s="555"/>
      <c r="B77" s="555"/>
      <c r="C77" s="555"/>
      <c r="D77" s="555"/>
      <c r="E77" s="555"/>
      <c r="F77" s="555"/>
      <c r="G77" s="555"/>
      <c r="H77" s="555"/>
      <c r="I77" s="555"/>
      <c r="J77" s="555"/>
      <c r="K77" s="555"/>
      <c r="L77" s="555"/>
      <c r="M77" s="555"/>
      <c r="N77" s="555"/>
      <c r="O77" s="555"/>
      <c r="P77" s="555"/>
      <c r="Q77" s="555"/>
      <c r="R77" s="555"/>
      <c r="S77" s="555"/>
      <c r="T77" s="555"/>
      <c r="U77" s="555"/>
      <c r="V77" s="555"/>
      <c r="W77" s="555"/>
      <c r="X77" s="555"/>
      <c r="Y77" s="555"/>
      <c r="Z77" s="555"/>
    </row>
    <row r="78">
      <c r="A78" s="555"/>
      <c r="B78" s="555"/>
      <c r="C78" s="555"/>
      <c r="D78" s="555"/>
      <c r="E78" s="555"/>
      <c r="F78" s="555"/>
      <c r="G78" s="555"/>
      <c r="H78" s="555"/>
      <c r="I78" s="555"/>
      <c r="J78" s="555"/>
      <c r="K78" s="555"/>
      <c r="L78" s="555"/>
      <c r="M78" s="555"/>
      <c r="N78" s="555"/>
      <c r="O78" s="555"/>
      <c r="P78" s="555"/>
      <c r="Q78" s="555"/>
      <c r="R78" s="555"/>
      <c r="S78" s="555"/>
      <c r="T78" s="555"/>
      <c r="U78" s="555"/>
      <c r="V78" s="555"/>
      <c r="W78" s="555"/>
      <c r="X78" s="555"/>
      <c r="Y78" s="555"/>
      <c r="Z78" s="555"/>
    </row>
    <row r="79">
      <c r="A79" s="555"/>
      <c r="B79" s="555"/>
      <c r="C79" s="555"/>
      <c r="D79" s="555"/>
      <c r="E79" s="555"/>
      <c r="F79" s="555"/>
      <c r="G79" s="555"/>
      <c r="H79" s="555"/>
      <c r="I79" s="555"/>
      <c r="J79" s="555"/>
      <c r="K79" s="555"/>
      <c r="L79" s="555"/>
      <c r="M79" s="555"/>
      <c r="N79" s="555"/>
      <c r="O79" s="555"/>
      <c r="P79" s="555"/>
      <c r="Q79" s="555"/>
      <c r="R79" s="555"/>
      <c r="S79" s="555"/>
      <c r="T79" s="555"/>
      <c r="U79" s="555"/>
      <c r="V79" s="555"/>
      <c r="W79" s="555"/>
      <c r="X79" s="555"/>
      <c r="Y79" s="555"/>
      <c r="Z79" s="555"/>
    </row>
    <row r="80">
      <c r="A80" s="555"/>
      <c r="B80" s="555"/>
      <c r="C80" s="555"/>
      <c r="D80" s="555"/>
      <c r="E80" s="555"/>
      <c r="F80" s="555"/>
      <c r="G80" s="555"/>
      <c r="H80" s="555"/>
      <c r="I80" s="555"/>
      <c r="J80" s="555"/>
      <c r="K80" s="555"/>
      <c r="L80" s="555"/>
      <c r="M80" s="555"/>
      <c r="N80" s="555"/>
      <c r="O80" s="555"/>
      <c r="P80" s="555"/>
      <c r="Q80" s="555"/>
      <c r="R80" s="555"/>
      <c r="S80" s="555"/>
      <c r="T80" s="555"/>
      <c r="U80" s="555"/>
      <c r="V80" s="555"/>
      <c r="W80" s="555"/>
      <c r="X80" s="555"/>
      <c r="Y80" s="555"/>
      <c r="Z80" s="555"/>
    </row>
    <row r="81">
      <c r="A81" s="555"/>
      <c r="B81" s="555"/>
      <c r="C81" s="555"/>
      <c r="D81" s="555"/>
      <c r="E81" s="555"/>
      <c r="F81" s="555"/>
      <c r="G81" s="555"/>
      <c r="H81" s="555"/>
      <c r="I81" s="555"/>
      <c r="J81" s="555"/>
      <c r="K81" s="555"/>
      <c r="L81" s="555"/>
      <c r="M81" s="555"/>
      <c r="N81" s="555"/>
      <c r="O81" s="555"/>
      <c r="P81" s="555"/>
      <c r="Q81" s="555"/>
      <c r="R81" s="555"/>
      <c r="S81" s="555"/>
      <c r="T81" s="555"/>
      <c r="U81" s="555"/>
      <c r="V81" s="555"/>
      <c r="W81" s="555"/>
      <c r="X81" s="555"/>
      <c r="Y81" s="555"/>
      <c r="Z81" s="555"/>
    </row>
    <row r="82">
      <c r="A82" s="555"/>
      <c r="B82" s="555"/>
      <c r="C82" s="555"/>
      <c r="D82" s="555"/>
      <c r="E82" s="555"/>
      <c r="F82" s="555"/>
      <c r="G82" s="555"/>
      <c r="H82" s="555"/>
      <c r="I82" s="555"/>
      <c r="J82" s="555"/>
      <c r="K82" s="555"/>
      <c r="L82" s="555"/>
      <c r="M82" s="555"/>
      <c r="N82" s="555"/>
      <c r="O82" s="555"/>
      <c r="P82" s="555"/>
      <c r="Q82" s="555"/>
      <c r="R82" s="555"/>
      <c r="S82" s="555"/>
      <c r="T82" s="555"/>
      <c r="U82" s="555"/>
      <c r="V82" s="555"/>
      <c r="W82" s="555"/>
      <c r="X82" s="555"/>
      <c r="Y82" s="555"/>
      <c r="Z82" s="555"/>
    </row>
    <row r="83">
      <c r="A83" s="555"/>
      <c r="B83" s="555"/>
      <c r="C83" s="555"/>
      <c r="D83" s="555"/>
      <c r="E83" s="555"/>
      <c r="F83" s="555"/>
      <c r="G83" s="555"/>
      <c r="H83" s="555"/>
      <c r="I83" s="555"/>
      <c r="J83" s="555"/>
      <c r="K83" s="555"/>
      <c r="L83" s="555"/>
      <c r="M83" s="555"/>
      <c r="N83" s="555"/>
      <c r="O83" s="555"/>
      <c r="P83" s="555"/>
      <c r="Q83" s="555"/>
      <c r="R83" s="555"/>
      <c r="S83" s="555"/>
      <c r="T83" s="555"/>
      <c r="U83" s="555"/>
      <c r="V83" s="555"/>
      <c r="W83" s="555"/>
      <c r="X83" s="555"/>
      <c r="Y83" s="555"/>
      <c r="Z83" s="555"/>
    </row>
    <row r="84">
      <c r="A84" s="555"/>
      <c r="B84" s="555"/>
      <c r="C84" s="555"/>
      <c r="D84" s="555"/>
      <c r="E84" s="555"/>
      <c r="F84" s="555"/>
      <c r="G84" s="555"/>
      <c r="H84" s="555"/>
      <c r="I84" s="555"/>
      <c r="J84" s="555"/>
      <c r="K84" s="555"/>
      <c r="L84" s="555"/>
      <c r="M84" s="555"/>
      <c r="N84" s="555"/>
      <c r="O84" s="555"/>
      <c r="P84" s="555"/>
      <c r="Q84" s="555"/>
      <c r="R84" s="555"/>
      <c r="S84" s="555"/>
      <c r="T84" s="555"/>
      <c r="U84" s="555"/>
      <c r="V84" s="555"/>
      <c r="W84" s="555"/>
      <c r="X84" s="555"/>
      <c r="Y84" s="555"/>
      <c r="Z84" s="555"/>
    </row>
    <row r="85">
      <c r="A85" s="555"/>
      <c r="B85" s="555"/>
      <c r="C85" s="555"/>
      <c r="D85" s="555"/>
      <c r="E85" s="555"/>
      <c r="F85" s="555"/>
      <c r="G85" s="555"/>
      <c r="H85" s="555"/>
      <c r="I85" s="555"/>
      <c r="J85" s="555"/>
      <c r="K85" s="555"/>
      <c r="L85" s="555"/>
      <c r="M85" s="555"/>
      <c r="N85" s="555"/>
      <c r="O85" s="555"/>
      <c r="P85" s="555"/>
      <c r="Q85" s="555"/>
      <c r="R85" s="555"/>
      <c r="S85" s="555"/>
      <c r="T85" s="555"/>
      <c r="U85" s="555"/>
      <c r="V85" s="555"/>
      <c r="W85" s="555"/>
      <c r="X85" s="555"/>
      <c r="Y85" s="555"/>
      <c r="Z85" s="555"/>
    </row>
    <row r="86">
      <c r="A86" s="555"/>
      <c r="B86" s="555"/>
      <c r="C86" s="555"/>
      <c r="D86" s="555"/>
      <c r="E86" s="555"/>
      <c r="F86" s="555"/>
      <c r="G86" s="555"/>
      <c r="H86" s="555"/>
      <c r="I86" s="555"/>
      <c r="J86" s="555"/>
      <c r="K86" s="555"/>
      <c r="L86" s="555"/>
      <c r="M86" s="555"/>
      <c r="N86" s="555"/>
      <c r="O86" s="555"/>
      <c r="P86" s="555"/>
      <c r="Q86" s="555"/>
      <c r="R86" s="555"/>
      <c r="S86" s="555"/>
      <c r="T86" s="555"/>
      <c r="U86" s="555"/>
      <c r="V86" s="555"/>
      <c r="W86" s="555"/>
      <c r="X86" s="555"/>
      <c r="Y86" s="555"/>
      <c r="Z86" s="555"/>
    </row>
    <row r="87">
      <c r="A87" s="555"/>
      <c r="B87" s="555"/>
      <c r="C87" s="555"/>
      <c r="D87" s="555"/>
      <c r="E87" s="555"/>
      <c r="F87" s="555"/>
      <c r="G87" s="555"/>
      <c r="H87" s="555"/>
      <c r="I87" s="555"/>
      <c r="J87" s="555"/>
      <c r="K87" s="555"/>
      <c r="L87" s="555"/>
      <c r="M87" s="555"/>
      <c r="N87" s="555"/>
      <c r="O87" s="555"/>
      <c r="P87" s="555"/>
      <c r="Q87" s="555"/>
      <c r="R87" s="555"/>
      <c r="S87" s="555"/>
      <c r="T87" s="555"/>
      <c r="U87" s="555"/>
      <c r="V87" s="555"/>
      <c r="W87" s="555"/>
      <c r="X87" s="555"/>
      <c r="Y87" s="555"/>
      <c r="Z87" s="555"/>
    </row>
    <row r="88">
      <c r="A88" s="555"/>
      <c r="B88" s="555"/>
      <c r="C88" s="555"/>
      <c r="D88" s="555"/>
      <c r="E88" s="555"/>
      <c r="F88" s="555"/>
      <c r="G88" s="555"/>
      <c r="H88" s="555"/>
      <c r="I88" s="555"/>
      <c r="J88" s="555"/>
      <c r="K88" s="555"/>
      <c r="L88" s="555"/>
      <c r="M88" s="555"/>
      <c r="N88" s="555"/>
      <c r="O88" s="555"/>
      <c r="P88" s="555"/>
      <c r="Q88" s="555"/>
      <c r="R88" s="555"/>
      <c r="S88" s="555"/>
      <c r="T88" s="555"/>
      <c r="U88" s="555"/>
      <c r="V88" s="555"/>
      <c r="W88" s="555"/>
      <c r="X88" s="555"/>
      <c r="Y88" s="555"/>
      <c r="Z88" s="555"/>
    </row>
    <row r="89">
      <c r="A89" s="555"/>
      <c r="B89" s="555"/>
      <c r="C89" s="555"/>
      <c r="D89" s="555"/>
      <c r="E89" s="555"/>
      <c r="F89" s="555"/>
      <c r="G89" s="555"/>
      <c r="H89" s="555"/>
      <c r="I89" s="555"/>
      <c r="J89" s="555"/>
      <c r="K89" s="555"/>
      <c r="L89" s="555"/>
      <c r="M89" s="555"/>
      <c r="N89" s="555"/>
      <c r="O89" s="555"/>
      <c r="P89" s="555"/>
      <c r="Q89" s="555"/>
      <c r="R89" s="555"/>
      <c r="S89" s="555"/>
      <c r="T89" s="555"/>
      <c r="U89" s="555"/>
      <c r="V89" s="555"/>
      <c r="W89" s="555"/>
      <c r="X89" s="555"/>
      <c r="Y89" s="555"/>
      <c r="Z89" s="555"/>
    </row>
    <row r="90">
      <c r="A90" s="555"/>
      <c r="B90" s="555"/>
      <c r="C90" s="555"/>
      <c r="D90" s="555"/>
      <c r="E90" s="555"/>
      <c r="F90" s="555"/>
      <c r="G90" s="555"/>
      <c r="H90" s="555"/>
      <c r="I90" s="555"/>
      <c r="J90" s="555"/>
      <c r="K90" s="555"/>
      <c r="L90" s="555"/>
      <c r="M90" s="555"/>
      <c r="N90" s="555"/>
      <c r="O90" s="555"/>
      <c r="P90" s="555"/>
      <c r="Q90" s="555"/>
      <c r="R90" s="555"/>
      <c r="S90" s="555"/>
      <c r="T90" s="555"/>
      <c r="U90" s="555"/>
      <c r="V90" s="555"/>
      <c r="W90" s="555"/>
      <c r="X90" s="555"/>
      <c r="Y90" s="555"/>
      <c r="Z90" s="555"/>
    </row>
    <row r="91">
      <c r="A91" s="555"/>
      <c r="B91" s="555"/>
      <c r="C91" s="555"/>
      <c r="D91" s="555"/>
      <c r="E91" s="555"/>
      <c r="F91" s="555"/>
      <c r="G91" s="555"/>
      <c r="H91" s="555"/>
      <c r="I91" s="555"/>
      <c r="J91" s="555"/>
      <c r="K91" s="555"/>
      <c r="L91" s="555"/>
      <c r="M91" s="555"/>
      <c r="N91" s="555"/>
      <c r="O91" s="555"/>
      <c r="P91" s="555"/>
      <c r="Q91" s="555"/>
      <c r="R91" s="555"/>
      <c r="S91" s="555"/>
      <c r="T91" s="555"/>
      <c r="U91" s="555"/>
      <c r="V91" s="555"/>
      <c r="W91" s="555"/>
      <c r="X91" s="555"/>
      <c r="Y91" s="555"/>
      <c r="Z91" s="555"/>
    </row>
    <row r="92">
      <c r="A92" s="555"/>
      <c r="B92" s="555"/>
      <c r="C92" s="555"/>
      <c r="D92" s="555"/>
      <c r="E92" s="555"/>
      <c r="F92" s="555"/>
      <c r="G92" s="555"/>
      <c r="H92" s="555"/>
      <c r="I92" s="555"/>
      <c r="J92" s="555"/>
      <c r="K92" s="555"/>
      <c r="L92" s="555"/>
      <c r="M92" s="555"/>
      <c r="N92" s="555"/>
      <c r="O92" s="555"/>
      <c r="P92" s="555"/>
      <c r="Q92" s="555"/>
      <c r="R92" s="555"/>
      <c r="S92" s="555"/>
      <c r="T92" s="555"/>
      <c r="U92" s="555"/>
      <c r="V92" s="555"/>
      <c r="W92" s="555"/>
      <c r="X92" s="555"/>
      <c r="Y92" s="555"/>
      <c r="Z92" s="555"/>
    </row>
    <row r="93">
      <c r="A93" s="555"/>
      <c r="B93" s="555"/>
      <c r="C93" s="555"/>
      <c r="D93" s="555"/>
      <c r="E93" s="555"/>
      <c r="F93" s="555"/>
      <c r="G93" s="555"/>
      <c r="H93" s="555"/>
      <c r="I93" s="555"/>
      <c r="J93" s="555"/>
      <c r="K93" s="555"/>
      <c r="L93" s="555"/>
      <c r="M93" s="555"/>
      <c r="N93" s="555"/>
      <c r="O93" s="555"/>
      <c r="P93" s="555"/>
      <c r="Q93" s="555"/>
      <c r="R93" s="555"/>
      <c r="S93" s="555"/>
      <c r="T93" s="555"/>
      <c r="U93" s="555"/>
      <c r="V93" s="555"/>
      <c r="W93" s="555"/>
      <c r="X93" s="555"/>
      <c r="Y93" s="555"/>
      <c r="Z93" s="555"/>
    </row>
    <row r="94">
      <c r="A94" s="555"/>
      <c r="B94" s="555"/>
      <c r="C94" s="555"/>
      <c r="D94" s="555"/>
      <c r="E94" s="555"/>
      <c r="F94" s="555"/>
      <c r="G94" s="555"/>
      <c r="H94" s="555"/>
      <c r="I94" s="555"/>
      <c r="J94" s="555"/>
      <c r="K94" s="555"/>
      <c r="L94" s="555"/>
      <c r="M94" s="555"/>
      <c r="N94" s="555"/>
      <c r="O94" s="555"/>
      <c r="P94" s="555"/>
      <c r="Q94" s="555"/>
      <c r="R94" s="555"/>
      <c r="S94" s="555"/>
      <c r="T94" s="555"/>
      <c r="U94" s="555"/>
      <c r="V94" s="555"/>
      <c r="W94" s="555"/>
      <c r="X94" s="555"/>
      <c r="Y94" s="555"/>
      <c r="Z94" s="555"/>
    </row>
    <row r="95">
      <c r="A95" s="555"/>
      <c r="B95" s="555"/>
      <c r="C95" s="555"/>
      <c r="D95" s="555"/>
      <c r="E95" s="555"/>
      <c r="F95" s="555"/>
      <c r="G95" s="555"/>
      <c r="H95" s="555"/>
      <c r="I95" s="555"/>
      <c r="J95" s="555"/>
      <c r="K95" s="555"/>
      <c r="L95" s="555"/>
      <c r="M95" s="555"/>
      <c r="N95" s="555"/>
      <c r="O95" s="555"/>
      <c r="P95" s="555"/>
      <c r="Q95" s="555"/>
      <c r="R95" s="555"/>
      <c r="S95" s="555"/>
      <c r="T95" s="555"/>
      <c r="U95" s="555"/>
      <c r="V95" s="555"/>
      <c r="W95" s="555"/>
      <c r="X95" s="555"/>
      <c r="Y95" s="555"/>
      <c r="Z95" s="555"/>
    </row>
    <row r="96">
      <c r="A96" s="555"/>
      <c r="B96" s="555"/>
      <c r="C96" s="555"/>
      <c r="D96" s="555"/>
      <c r="E96" s="555"/>
      <c r="F96" s="555"/>
      <c r="G96" s="555"/>
      <c r="H96" s="555"/>
      <c r="I96" s="555"/>
      <c r="J96" s="555"/>
      <c r="K96" s="555"/>
      <c r="L96" s="555"/>
      <c r="M96" s="555"/>
      <c r="N96" s="555"/>
      <c r="O96" s="555"/>
      <c r="P96" s="555"/>
      <c r="Q96" s="555"/>
      <c r="R96" s="555"/>
      <c r="S96" s="555"/>
      <c r="T96" s="555"/>
      <c r="U96" s="555"/>
      <c r="V96" s="555"/>
      <c r="W96" s="555"/>
      <c r="X96" s="555"/>
      <c r="Y96" s="555"/>
      <c r="Z96" s="555"/>
    </row>
    <row r="97">
      <c r="A97" s="555"/>
      <c r="B97" s="555"/>
      <c r="C97" s="555"/>
      <c r="D97" s="555"/>
      <c r="E97" s="555"/>
      <c r="F97" s="555"/>
      <c r="G97" s="555"/>
      <c r="H97" s="555"/>
      <c r="I97" s="555"/>
      <c r="J97" s="555"/>
      <c r="K97" s="555"/>
      <c r="L97" s="555"/>
      <c r="M97" s="555"/>
      <c r="N97" s="555"/>
      <c r="O97" s="555"/>
      <c r="P97" s="555"/>
      <c r="Q97" s="555"/>
      <c r="R97" s="555"/>
      <c r="S97" s="555"/>
      <c r="T97" s="555"/>
      <c r="U97" s="555"/>
      <c r="V97" s="555"/>
      <c r="W97" s="555"/>
      <c r="X97" s="555"/>
      <c r="Y97" s="555"/>
      <c r="Z97" s="555"/>
    </row>
    <row r="98">
      <c r="A98" s="555"/>
      <c r="B98" s="555"/>
      <c r="C98" s="555"/>
      <c r="D98" s="555"/>
      <c r="E98" s="555"/>
      <c r="F98" s="555"/>
      <c r="G98" s="555"/>
      <c r="H98" s="555"/>
      <c r="I98" s="555"/>
      <c r="J98" s="555"/>
      <c r="K98" s="555"/>
      <c r="L98" s="555"/>
      <c r="M98" s="555"/>
      <c r="N98" s="555"/>
      <c r="O98" s="555"/>
      <c r="P98" s="555"/>
      <c r="Q98" s="555"/>
      <c r="R98" s="555"/>
      <c r="S98" s="555"/>
      <c r="T98" s="555"/>
      <c r="U98" s="555"/>
      <c r="V98" s="555"/>
      <c r="W98" s="555"/>
      <c r="X98" s="555"/>
      <c r="Y98" s="555"/>
      <c r="Z98" s="555"/>
    </row>
    <row r="99">
      <c r="A99" s="555"/>
      <c r="B99" s="555"/>
      <c r="C99" s="555"/>
      <c r="D99" s="555"/>
      <c r="E99" s="555"/>
      <c r="F99" s="555"/>
      <c r="G99" s="555"/>
      <c r="H99" s="555"/>
      <c r="I99" s="555"/>
      <c r="J99" s="555"/>
      <c r="K99" s="555"/>
      <c r="L99" s="555"/>
      <c r="M99" s="555"/>
      <c r="N99" s="555"/>
      <c r="O99" s="555"/>
      <c r="P99" s="555"/>
      <c r="Q99" s="555"/>
      <c r="R99" s="555"/>
      <c r="S99" s="555"/>
      <c r="T99" s="555"/>
      <c r="U99" s="555"/>
      <c r="V99" s="555"/>
      <c r="W99" s="555"/>
      <c r="X99" s="555"/>
      <c r="Y99" s="555"/>
      <c r="Z99" s="555"/>
    </row>
    <row r="100">
      <c r="A100" s="555"/>
      <c r="B100" s="555"/>
      <c r="C100" s="555"/>
      <c r="D100" s="555"/>
      <c r="E100" s="555"/>
      <c r="F100" s="555"/>
      <c r="G100" s="555"/>
      <c r="H100" s="555"/>
      <c r="I100" s="555"/>
      <c r="J100" s="555"/>
      <c r="K100" s="555"/>
      <c r="L100" s="555"/>
      <c r="M100" s="555"/>
      <c r="N100" s="555"/>
      <c r="O100" s="555"/>
      <c r="P100" s="555"/>
      <c r="Q100" s="555"/>
      <c r="R100" s="555"/>
      <c r="S100" s="555"/>
      <c r="T100" s="555"/>
      <c r="U100" s="555"/>
      <c r="V100" s="555"/>
      <c r="W100" s="555"/>
      <c r="X100" s="555"/>
      <c r="Y100" s="555"/>
      <c r="Z100" s="555"/>
    </row>
    <row r="101">
      <c r="A101" s="555"/>
      <c r="B101" s="555"/>
      <c r="C101" s="555"/>
      <c r="D101" s="555"/>
      <c r="E101" s="555"/>
      <c r="F101" s="555"/>
      <c r="G101" s="555"/>
      <c r="H101" s="555"/>
      <c r="I101" s="555"/>
      <c r="J101" s="555"/>
      <c r="K101" s="555"/>
      <c r="L101" s="555"/>
      <c r="M101" s="555"/>
      <c r="N101" s="555"/>
      <c r="O101" s="555"/>
      <c r="P101" s="555"/>
      <c r="Q101" s="555"/>
      <c r="R101" s="555"/>
      <c r="S101" s="555"/>
      <c r="T101" s="555"/>
      <c r="U101" s="555"/>
      <c r="V101" s="555"/>
      <c r="W101" s="555"/>
      <c r="X101" s="555"/>
      <c r="Y101" s="555"/>
      <c r="Z101" s="555"/>
    </row>
    <row r="102">
      <c r="A102" s="555"/>
      <c r="B102" s="555"/>
      <c r="C102" s="555"/>
      <c r="D102" s="555"/>
      <c r="E102" s="555"/>
      <c r="F102" s="555"/>
      <c r="G102" s="555"/>
      <c r="H102" s="555"/>
      <c r="I102" s="555"/>
      <c r="J102" s="555"/>
      <c r="K102" s="555"/>
      <c r="L102" s="555"/>
      <c r="M102" s="555"/>
      <c r="N102" s="555"/>
      <c r="O102" s="555"/>
      <c r="P102" s="555"/>
      <c r="Q102" s="555"/>
      <c r="R102" s="555"/>
      <c r="S102" s="555"/>
      <c r="T102" s="555"/>
      <c r="U102" s="555"/>
      <c r="V102" s="555"/>
      <c r="W102" s="555"/>
      <c r="X102" s="555"/>
      <c r="Y102" s="555"/>
      <c r="Z102" s="555"/>
    </row>
    <row r="103">
      <c r="A103" s="555"/>
      <c r="B103" s="555"/>
      <c r="C103" s="555"/>
      <c r="D103" s="555"/>
      <c r="E103" s="555"/>
      <c r="F103" s="555"/>
      <c r="G103" s="555"/>
      <c r="H103" s="555"/>
      <c r="I103" s="555"/>
      <c r="J103" s="555"/>
      <c r="K103" s="555"/>
      <c r="L103" s="555"/>
      <c r="M103" s="555"/>
      <c r="N103" s="555"/>
      <c r="O103" s="555"/>
      <c r="P103" s="555"/>
      <c r="Q103" s="555"/>
      <c r="R103" s="555"/>
      <c r="S103" s="555"/>
      <c r="T103" s="555"/>
      <c r="U103" s="555"/>
      <c r="V103" s="555"/>
      <c r="W103" s="555"/>
      <c r="X103" s="555"/>
      <c r="Y103" s="555"/>
      <c r="Z103" s="555"/>
    </row>
    <row r="104">
      <c r="A104" s="555"/>
      <c r="B104" s="555"/>
      <c r="C104" s="555"/>
      <c r="D104" s="555"/>
      <c r="E104" s="555"/>
      <c r="F104" s="555"/>
      <c r="G104" s="555"/>
      <c r="H104" s="555"/>
      <c r="I104" s="555"/>
      <c r="J104" s="555"/>
      <c r="K104" s="555"/>
      <c r="L104" s="555"/>
      <c r="M104" s="555"/>
      <c r="N104" s="555"/>
      <c r="O104" s="555"/>
      <c r="P104" s="555"/>
      <c r="Q104" s="555"/>
      <c r="R104" s="555"/>
      <c r="S104" s="555"/>
      <c r="T104" s="555"/>
      <c r="U104" s="555"/>
      <c r="V104" s="555"/>
      <c r="W104" s="555"/>
      <c r="X104" s="555"/>
      <c r="Y104" s="555"/>
      <c r="Z104" s="555"/>
    </row>
    <row r="105">
      <c r="A105" s="555"/>
      <c r="B105" s="555"/>
      <c r="C105" s="555"/>
      <c r="D105" s="555"/>
      <c r="E105" s="555"/>
      <c r="F105" s="555"/>
      <c r="G105" s="555"/>
      <c r="H105" s="555"/>
      <c r="I105" s="555"/>
      <c r="J105" s="555"/>
      <c r="K105" s="555"/>
      <c r="L105" s="555"/>
      <c r="M105" s="555"/>
      <c r="N105" s="555"/>
      <c r="O105" s="555"/>
      <c r="P105" s="555"/>
      <c r="Q105" s="555"/>
      <c r="R105" s="555"/>
      <c r="S105" s="555"/>
      <c r="T105" s="555"/>
      <c r="U105" s="555"/>
      <c r="V105" s="555"/>
      <c r="W105" s="555"/>
      <c r="X105" s="555"/>
      <c r="Y105" s="555"/>
      <c r="Z105" s="555"/>
    </row>
    <row r="106">
      <c r="A106" s="555"/>
      <c r="B106" s="555"/>
      <c r="C106" s="555"/>
      <c r="D106" s="555"/>
      <c r="E106" s="555"/>
      <c r="F106" s="555"/>
      <c r="G106" s="555"/>
      <c r="H106" s="555"/>
      <c r="I106" s="555"/>
      <c r="J106" s="555"/>
      <c r="K106" s="555"/>
      <c r="L106" s="555"/>
      <c r="M106" s="555"/>
      <c r="N106" s="555"/>
      <c r="O106" s="555"/>
      <c r="P106" s="555"/>
      <c r="Q106" s="555"/>
      <c r="R106" s="555"/>
      <c r="S106" s="555"/>
      <c r="T106" s="555"/>
      <c r="U106" s="555"/>
      <c r="V106" s="555"/>
      <c r="W106" s="555"/>
      <c r="X106" s="555"/>
      <c r="Y106" s="555"/>
      <c r="Z106" s="555"/>
    </row>
    <row r="107">
      <c r="A107" s="555"/>
      <c r="B107" s="555"/>
      <c r="C107" s="555"/>
      <c r="D107" s="555"/>
      <c r="E107" s="555"/>
      <c r="F107" s="555"/>
      <c r="G107" s="555"/>
      <c r="H107" s="555"/>
      <c r="I107" s="555"/>
      <c r="J107" s="555"/>
      <c r="K107" s="555"/>
      <c r="L107" s="555"/>
      <c r="M107" s="555"/>
      <c r="N107" s="555"/>
      <c r="O107" s="555"/>
      <c r="P107" s="555"/>
      <c r="Q107" s="555"/>
      <c r="R107" s="555"/>
      <c r="S107" s="555"/>
      <c r="T107" s="555"/>
      <c r="U107" s="555"/>
      <c r="V107" s="555"/>
      <c r="W107" s="555"/>
      <c r="X107" s="555"/>
      <c r="Y107" s="555"/>
      <c r="Z107" s="555"/>
    </row>
    <row r="108">
      <c r="A108" s="555"/>
      <c r="B108" s="555"/>
      <c r="C108" s="555"/>
      <c r="D108" s="555"/>
      <c r="E108" s="555"/>
      <c r="F108" s="555"/>
      <c r="G108" s="555"/>
      <c r="H108" s="555"/>
      <c r="I108" s="555"/>
      <c r="J108" s="555"/>
      <c r="K108" s="555"/>
      <c r="L108" s="555"/>
      <c r="M108" s="555"/>
      <c r="N108" s="555"/>
      <c r="O108" s="555"/>
      <c r="P108" s="555"/>
      <c r="Q108" s="555"/>
      <c r="R108" s="555"/>
      <c r="S108" s="555"/>
      <c r="T108" s="555"/>
      <c r="U108" s="555"/>
      <c r="V108" s="555"/>
      <c r="W108" s="555"/>
      <c r="X108" s="555"/>
      <c r="Y108" s="555"/>
      <c r="Z108" s="555"/>
    </row>
    <row r="109">
      <c r="A109" s="555"/>
      <c r="B109" s="555"/>
      <c r="C109" s="555"/>
      <c r="D109" s="555"/>
      <c r="E109" s="555"/>
      <c r="F109" s="555"/>
      <c r="G109" s="555"/>
      <c r="H109" s="555"/>
      <c r="I109" s="555"/>
      <c r="J109" s="555"/>
      <c r="K109" s="555"/>
      <c r="L109" s="555"/>
      <c r="M109" s="555"/>
      <c r="N109" s="555"/>
      <c r="O109" s="555"/>
      <c r="P109" s="555"/>
      <c r="Q109" s="555"/>
      <c r="R109" s="555"/>
      <c r="S109" s="555"/>
      <c r="T109" s="555"/>
      <c r="U109" s="555"/>
      <c r="V109" s="555"/>
      <c r="W109" s="555"/>
      <c r="X109" s="555"/>
      <c r="Y109" s="555"/>
      <c r="Z109" s="555"/>
    </row>
    <row r="110">
      <c r="A110" s="555"/>
      <c r="B110" s="555"/>
      <c r="C110" s="555"/>
      <c r="D110" s="555"/>
      <c r="E110" s="555"/>
      <c r="F110" s="555"/>
      <c r="G110" s="555"/>
      <c r="H110" s="555"/>
      <c r="I110" s="555"/>
      <c r="J110" s="555"/>
      <c r="K110" s="555"/>
      <c r="L110" s="555"/>
      <c r="M110" s="555"/>
      <c r="N110" s="555"/>
      <c r="O110" s="555"/>
      <c r="P110" s="555"/>
      <c r="Q110" s="555"/>
      <c r="R110" s="555"/>
      <c r="S110" s="555"/>
      <c r="T110" s="555"/>
      <c r="U110" s="555"/>
      <c r="V110" s="555"/>
      <c r="W110" s="555"/>
      <c r="X110" s="555"/>
      <c r="Y110" s="555"/>
      <c r="Z110" s="555"/>
    </row>
    <row r="111">
      <c r="A111" s="555"/>
      <c r="B111" s="555"/>
      <c r="C111" s="555"/>
      <c r="D111" s="555"/>
      <c r="E111" s="555"/>
      <c r="F111" s="555"/>
      <c r="G111" s="555"/>
      <c r="H111" s="555"/>
      <c r="I111" s="555"/>
      <c r="J111" s="555"/>
      <c r="K111" s="555"/>
      <c r="L111" s="555"/>
      <c r="M111" s="555"/>
      <c r="N111" s="555"/>
      <c r="O111" s="555"/>
      <c r="P111" s="555"/>
      <c r="Q111" s="555"/>
      <c r="R111" s="555"/>
      <c r="S111" s="555"/>
      <c r="T111" s="555"/>
      <c r="U111" s="555"/>
      <c r="V111" s="555"/>
      <c r="W111" s="555"/>
      <c r="X111" s="555"/>
      <c r="Y111" s="555"/>
      <c r="Z111" s="555"/>
    </row>
    <row r="112">
      <c r="A112" s="555"/>
      <c r="B112" s="555"/>
      <c r="C112" s="555"/>
      <c r="D112" s="555"/>
      <c r="E112" s="555"/>
      <c r="F112" s="555"/>
      <c r="G112" s="555"/>
      <c r="H112" s="555"/>
      <c r="I112" s="555"/>
      <c r="J112" s="555"/>
      <c r="K112" s="555"/>
      <c r="L112" s="555"/>
      <c r="M112" s="555"/>
      <c r="N112" s="555"/>
      <c r="O112" s="555"/>
      <c r="P112" s="555"/>
      <c r="Q112" s="555"/>
      <c r="R112" s="555"/>
      <c r="S112" s="555"/>
      <c r="T112" s="555"/>
      <c r="U112" s="555"/>
      <c r="V112" s="555"/>
      <c r="W112" s="555"/>
      <c r="X112" s="555"/>
      <c r="Y112" s="555"/>
      <c r="Z112" s="555"/>
    </row>
    <row r="113">
      <c r="A113" s="555"/>
      <c r="B113" s="555"/>
      <c r="C113" s="555"/>
      <c r="D113" s="555"/>
      <c r="E113" s="555"/>
      <c r="F113" s="555"/>
      <c r="G113" s="555"/>
      <c r="H113" s="555"/>
      <c r="I113" s="555"/>
      <c r="J113" s="555"/>
      <c r="K113" s="555"/>
      <c r="L113" s="555"/>
      <c r="M113" s="555"/>
      <c r="N113" s="555"/>
      <c r="O113" s="555"/>
      <c r="P113" s="555"/>
      <c r="Q113" s="555"/>
      <c r="R113" s="555"/>
      <c r="S113" s="555"/>
      <c r="T113" s="555"/>
      <c r="U113" s="555"/>
      <c r="V113" s="555"/>
      <c r="W113" s="555"/>
      <c r="X113" s="555"/>
      <c r="Y113" s="555"/>
      <c r="Z113" s="555"/>
    </row>
    <row r="114">
      <c r="A114" s="555"/>
      <c r="B114" s="555"/>
      <c r="C114" s="555"/>
      <c r="D114" s="555"/>
      <c r="E114" s="555"/>
      <c r="F114" s="555"/>
      <c r="G114" s="555"/>
      <c r="H114" s="555"/>
      <c r="I114" s="555"/>
      <c r="J114" s="555"/>
      <c r="K114" s="555"/>
      <c r="L114" s="555"/>
      <c r="M114" s="555"/>
      <c r="N114" s="555"/>
      <c r="O114" s="555"/>
      <c r="P114" s="555"/>
      <c r="Q114" s="555"/>
      <c r="R114" s="555"/>
      <c r="S114" s="555"/>
      <c r="T114" s="555"/>
      <c r="U114" s="555"/>
      <c r="V114" s="555"/>
      <c r="W114" s="555"/>
      <c r="X114" s="555"/>
      <c r="Y114" s="555"/>
      <c r="Z114" s="555"/>
    </row>
    <row r="115">
      <c r="A115" s="555"/>
      <c r="B115" s="555"/>
      <c r="C115" s="555"/>
      <c r="D115" s="555"/>
      <c r="E115" s="555"/>
      <c r="F115" s="555"/>
      <c r="G115" s="555"/>
      <c r="H115" s="555"/>
      <c r="I115" s="555"/>
      <c r="J115" s="555"/>
      <c r="K115" s="555"/>
      <c r="L115" s="555"/>
      <c r="M115" s="555"/>
      <c r="N115" s="555"/>
      <c r="O115" s="555"/>
      <c r="P115" s="555"/>
      <c r="Q115" s="555"/>
      <c r="R115" s="555"/>
      <c r="S115" s="555"/>
      <c r="T115" s="555"/>
      <c r="U115" s="555"/>
      <c r="V115" s="555"/>
      <c r="W115" s="555"/>
      <c r="X115" s="555"/>
      <c r="Y115" s="555"/>
      <c r="Z115" s="555"/>
    </row>
    <row r="116">
      <c r="A116" s="555"/>
      <c r="B116" s="555"/>
      <c r="C116" s="555"/>
      <c r="D116" s="555"/>
      <c r="E116" s="555"/>
      <c r="F116" s="555"/>
      <c r="G116" s="555"/>
      <c r="H116" s="555"/>
      <c r="I116" s="555"/>
      <c r="J116" s="555"/>
      <c r="K116" s="555"/>
      <c r="L116" s="555"/>
      <c r="M116" s="555"/>
      <c r="N116" s="555"/>
      <c r="O116" s="555"/>
      <c r="P116" s="555"/>
      <c r="Q116" s="555"/>
      <c r="R116" s="555"/>
      <c r="S116" s="555"/>
      <c r="T116" s="555"/>
      <c r="U116" s="555"/>
      <c r="V116" s="555"/>
      <c r="W116" s="555"/>
      <c r="X116" s="555"/>
      <c r="Y116" s="555"/>
      <c r="Z116" s="555"/>
    </row>
    <row r="117">
      <c r="A117" s="555"/>
      <c r="B117" s="555"/>
      <c r="C117" s="555"/>
      <c r="D117" s="555"/>
      <c r="E117" s="555"/>
      <c r="F117" s="555"/>
      <c r="G117" s="555"/>
      <c r="H117" s="555"/>
      <c r="I117" s="555"/>
      <c r="J117" s="555"/>
      <c r="K117" s="555"/>
      <c r="L117" s="555"/>
      <c r="M117" s="555"/>
      <c r="N117" s="555"/>
      <c r="O117" s="555"/>
      <c r="P117" s="555"/>
      <c r="Q117" s="555"/>
      <c r="R117" s="555"/>
      <c r="S117" s="555"/>
      <c r="T117" s="555"/>
      <c r="U117" s="555"/>
      <c r="V117" s="555"/>
      <c r="W117" s="555"/>
      <c r="X117" s="555"/>
      <c r="Y117" s="555"/>
      <c r="Z117" s="555"/>
    </row>
    <row r="118">
      <c r="A118" s="555"/>
      <c r="B118" s="555"/>
      <c r="C118" s="555"/>
      <c r="D118" s="555"/>
      <c r="E118" s="555"/>
      <c r="F118" s="555"/>
      <c r="G118" s="555"/>
      <c r="H118" s="555"/>
      <c r="I118" s="555"/>
      <c r="J118" s="555"/>
      <c r="K118" s="555"/>
      <c r="L118" s="555"/>
      <c r="M118" s="555"/>
      <c r="N118" s="555"/>
      <c r="O118" s="555"/>
      <c r="P118" s="555"/>
      <c r="Q118" s="555"/>
      <c r="R118" s="555"/>
      <c r="S118" s="555"/>
      <c r="T118" s="555"/>
      <c r="U118" s="555"/>
      <c r="V118" s="555"/>
      <c r="W118" s="555"/>
      <c r="X118" s="555"/>
      <c r="Y118" s="555"/>
      <c r="Z118" s="555"/>
    </row>
    <row r="119">
      <c r="A119" s="555"/>
      <c r="B119" s="555"/>
      <c r="C119" s="555"/>
      <c r="D119" s="555"/>
      <c r="E119" s="555"/>
      <c r="F119" s="555"/>
      <c r="G119" s="555"/>
      <c r="H119" s="555"/>
      <c r="I119" s="555"/>
      <c r="J119" s="555"/>
      <c r="K119" s="555"/>
      <c r="L119" s="555"/>
      <c r="M119" s="555"/>
      <c r="N119" s="555"/>
      <c r="O119" s="555"/>
      <c r="P119" s="555"/>
      <c r="Q119" s="555"/>
      <c r="R119" s="555"/>
      <c r="S119" s="555"/>
      <c r="T119" s="555"/>
      <c r="U119" s="555"/>
      <c r="V119" s="555"/>
      <c r="W119" s="555"/>
      <c r="X119" s="555"/>
      <c r="Y119" s="555"/>
      <c r="Z119" s="555"/>
    </row>
    <row r="120">
      <c r="A120" s="555"/>
      <c r="B120" s="555"/>
      <c r="C120" s="555"/>
      <c r="D120" s="555"/>
      <c r="E120" s="555"/>
      <c r="F120" s="555"/>
      <c r="G120" s="555"/>
      <c r="H120" s="555"/>
      <c r="I120" s="555"/>
      <c r="J120" s="555"/>
      <c r="K120" s="555"/>
      <c r="L120" s="555"/>
      <c r="M120" s="555"/>
      <c r="N120" s="555"/>
      <c r="O120" s="555"/>
      <c r="P120" s="555"/>
      <c r="Q120" s="555"/>
      <c r="R120" s="555"/>
      <c r="S120" s="555"/>
      <c r="T120" s="555"/>
      <c r="U120" s="555"/>
      <c r="V120" s="555"/>
      <c r="W120" s="555"/>
      <c r="X120" s="555"/>
      <c r="Y120" s="555"/>
      <c r="Z120" s="555"/>
    </row>
    <row r="121">
      <c r="A121" s="555"/>
      <c r="B121" s="555"/>
      <c r="C121" s="555"/>
      <c r="D121" s="555"/>
      <c r="E121" s="555"/>
      <c r="F121" s="555"/>
      <c r="G121" s="555"/>
      <c r="H121" s="555"/>
      <c r="I121" s="555"/>
      <c r="J121" s="555"/>
      <c r="K121" s="555"/>
      <c r="L121" s="555"/>
      <c r="M121" s="555"/>
      <c r="N121" s="555"/>
      <c r="O121" s="555"/>
      <c r="P121" s="555"/>
      <c r="Q121" s="555"/>
      <c r="R121" s="555"/>
      <c r="S121" s="555"/>
      <c r="T121" s="555"/>
      <c r="U121" s="555"/>
      <c r="V121" s="555"/>
      <c r="W121" s="555"/>
      <c r="X121" s="555"/>
      <c r="Y121" s="555"/>
      <c r="Z121" s="555"/>
    </row>
    <row r="122">
      <c r="A122" s="555"/>
      <c r="B122" s="555"/>
      <c r="C122" s="555"/>
      <c r="D122" s="555"/>
      <c r="E122" s="555"/>
      <c r="F122" s="555"/>
      <c r="G122" s="555"/>
      <c r="H122" s="555"/>
      <c r="I122" s="555"/>
      <c r="J122" s="555"/>
      <c r="K122" s="555"/>
      <c r="L122" s="555"/>
      <c r="M122" s="555"/>
      <c r="N122" s="555"/>
      <c r="O122" s="555"/>
      <c r="P122" s="555"/>
      <c r="Q122" s="555"/>
      <c r="R122" s="555"/>
      <c r="S122" s="555"/>
      <c r="T122" s="555"/>
      <c r="U122" s="555"/>
      <c r="V122" s="555"/>
      <c r="W122" s="555"/>
      <c r="X122" s="555"/>
      <c r="Y122" s="555"/>
      <c r="Z122" s="555"/>
    </row>
    <row r="123">
      <c r="A123" s="555"/>
      <c r="B123" s="555"/>
      <c r="C123" s="555"/>
      <c r="D123" s="555"/>
      <c r="E123" s="555"/>
      <c r="F123" s="555"/>
      <c r="G123" s="555"/>
      <c r="H123" s="555"/>
      <c r="I123" s="555"/>
      <c r="J123" s="555"/>
      <c r="K123" s="555"/>
      <c r="L123" s="555"/>
      <c r="M123" s="555"/>
      <c r="N123" s="555"/>
      <c r="O123" s="555"/>
      <c r="P123" s="555"/>
      <c r="Q123" s="555"/>
      <c r="R123" s="555"/>
      <c r="S123" s="555"/>
      <c r="T123" s="555"/>
      <c r="U123" s="555"/>
      <c r="V123" s="555"/>
      <c r="W123" s="555"/>
      <c r="X123" s="555"/>
      <c r="Y123" s="555"/>
      <c r="Z123" s="555"/>
    </row>
    <row r="124">
      <c r="A124" s="555"/>
      <c r="B124" s="555"/>
      <c r="C124" s="555"/>
      <c r="D124" s="555"/>
      <c r="E124" s="555"/>
      <c r="F124" s="555"/>
      <c r="G124" s="555"/>
      <c r="H124" s="555"/>
      <c r="I124" s="555"/>
      <c r="J124" s="555"/>
      <c r="K124" s="555"/>
      <c r="L124" s="555"/>
      <c r="M124" s="555"/>
      <c r="N124" s="555"/>
      <c r="O124" s="555"/>
      <c r="P124" s="555"/>
      <c r="Q124" s="555"/>
      <c r="R124" s="555"/>
      <c r="S124" s="555"/>
      <c r="T124" s="555"/>
      <c r="U124" s="555"/>
      <c r="V124" s="555"/>
      <c r="W124" s="555"/>
      <c r="X124" s="555"/>
      <c r="Y124" s="555"/>
      <c r="Z124" s="555"/>
    </row>
    <row r="125">
      <c r="A125" s="555"/>
      <c r="B125" s="555"/>
      <c r="C125" s="555"/>
      <c r="D125" s="555"/>
      <c r="E125" s="555"/>
      <c r="F125" s="555"/>
      <c r="G125" s="555"/>
      <c r="H125" s="555"/>
      <c r="I125" s="555"/>
      <c r="J125" s="555"/>
      <c r="K125" s="555"/>
      <c r="L125" s="555"/>
      <c r="M125" s="555"/>
      <c r="N125" s="555"/>
      <c r="O125" s="555"/>
      <c r="P125" s="555"/>
      <c r="Q125" s="555"/>
      <c r="R125" s="555"/>
      <c r="S125" s="555"/>
      <c r="T125" s="555"/>
      <c r="U125" s="555"/>
      <c r="V125" s="555"/>
      <c r="W125" s="555"/>
      <c r="X125" s="555"/>
      <c r="Y125" s="555"/>
      <c r="Z125" s="555"/>
    </row>
    <row r="126">
      <c r="A126" s="555"/>
      <c r="B126" s="555"/>
      <c r="C126" s="555"/>
      <c r="D126" s="555"/>
      <c r="E126" s="555"/>
      <c r="F126" s="555"/>
      <c r="G126" s="555"/>
      <c r="H126" s="555"/>
      <c r="I126" s="555"/>
      <c r="J126" s="555"/>
      <c r="K126" s="555"/>
      <c r="L126" s="555"/>
      <c r="M126" s="555"/>
      <c r="N126" s="555"/>
      <c r="O126" s="555"/>
      <c r="P126" s="555"/>
      <c r="Q126" s="555"/>
      <c r="R126" s="555"/>
      <c r="S126" s="555"/>
      <c r="T126" s="555"/>
      <c r="U126" s="555"/>
      <c r="V126" s="555"/>
      <c r="W126" s="555"/>
      <c r="X126" s="555"/>
      <c r="Y126" s="555"/>
      <c r="Z126" s="555"/>
    </row>
    <row r="127">
      <c r="A127" s="555"/>
      <c r="B127" s="555"/>
      <c r="C127" s="555"/>
      <c r="D127" s="555"/>
      <c r="E127" s="555"/>
      <c r="F127" s="555"/>
      <c r="G127" s="555"/>
      <c r="H127" s="555"/>
      <c r="I127" s="555"/>
      <c r="J127" s="555"/>
      <c r="K127" s="555"/>
      <c r="L127" s="555"/>
      <c r="M127" s="555"/>
      <c r="N127" s="555"/>
      <c r="O127" s="555"/>
      <c r="P127" s="555"/>
      <c r="Q127" s="555"/>
      <c r="R127" s="555"/>
      <c r="S127" s="555"/>
      <c r="T127" s="555"/>
      <c r="U127" s="555"/>
      <c r="V127" s="555"/>
      <c r="W127" s="555"/>
      <c r="X127" s="555"/>
      <c r="Y127" s="555"/>
      <c r="Z127" s="555"/>
    </row>
    <row r="128">
      <c r="A128" s="555"/>
      <c r="B128" s="555"/>
      <c r="C128" s="555"/>
      <c r="D128" s="555"/>
      <c r="E128" s="555"/>
      <c r="F128" s="555"/>
      <c r="G128" s="555"/>
      <c r="H128" s="555"/>
      <c r="I128" s="555"/>
      <c r="J128" s="555"/>
      <c r="K128" s="555"/>
      <c r="L128" s="555"/>
      <c r="M128" s="555"/>
      <c r="N128" s="555"/>
      <c r="O128" s="555"/>
      <c r="P128" s="555"/>
      <c r="Q128" s="555"/>
      <c r="R128" s="555"/>
      <c r="S128" s="555"/>
      <c r="T128" s="555"/>
      <c r="U128" s="555"/>
      <c r="V128" s="555"/>
      <c r="W128" s="555"/>
      <c r="X128" s="555"/>
      <c r="Y128" s="555"/>
      <c r="Z128" s="555"/>
    </row>
    <row r="129">
      <c r="A129" s="555"/>
      <c r="B129" s="555"/>
      <c r="C129" s="555"/>
      <c r="D129" s="555"/>
      <c r="E129" s="555"/>
      <c r="F129" s="555"/>
      <c r="G129" s="555"/>
      <c r="H129" s="555"/>
      <c r="I129" s="555"/>
      <c r="J129" s="555"/>
      <c r="K129" s="555"/>
      <c r="L129" s="555"/>
      <c r="M129" s="555"/>
      <c r="N129" s="555"/>
      <c r="O129" s="555"/>
      <c r="P129" s="555"/>
      <c r="Q129" s="555"/>
      <c r="R129" s="555"/>
      <c r="S129" s="555"/>
      <c r="T129" s="555"/>
      <c r="U129" s="555"/>
      <c r="V129" s="555"/>
      <c r="W129" s="555"/>
      <c r="X129" s="555"/>
      <c r="Y129" s="555"/>
      <c r="Z129" s="555"/>
    </row>
    <row r="130">
      <c r="A130" s="555"/>
      <c r="B130" s="555"/>
      <c r="C130" s="555"/>
      <c r="D130" s="555"/>
      <c r="E130" s="555"/>
      <c r="F130" s="555"/>
      <c r="G130" s="555"/>
      <c r="H130" s="555"/>
      <c r="I130" s="555"/>
      <c r="J130" s="555"/>
      <c r="K130" s="555"/>
      <c r="L130" s="555"/>
      <c r="M130" s="555"/>
      <c r="N130" s="555"/>
      <c r="O130" s="555"/>
      <c r="P130" s="555"/>
      <c r="Q130" s="555"/>
      <c r="R130" s="555"/>
      <c r="S130" s="555"/>
      <c r="T130" s="555"/>
      <c r="U130" s="555"/>
      <c r="V130" s="555"/>
      <c r="W130" s="555"/>
      <c r="X130" s="555"/>
      <c r="Y130" s="555"/>
      <c r="Z130" s="555"/>
    </row>
    <row r="131">
      <c r="A131" s="555"/>
      <c r="B131" s="555"/>
      <c r="C131" s="555"/>
      <c r="D131" s="555"/>
      <c r="E131" s="555"/>
      <c r="F131" s="555"/>
      <c r="G131" s="555"/>
      <c r="H131" s="555"/>
      <c r="I131" s="555"/>
      <c r="J131" s="555"/>
      <c r="K131" s="555"/>
      <c r="L131" s="555"/>
      <c r="M131" s="555"/>
      <c r="N131" s="555"/>
      <c r="O131" s="555"/>
      <c r="P131" s="555"/>
      <c r="Q131" s="555"/>
      <c r="R131" s="555"/>
      <c r="S131" s="555"/>
      <c r="T131" s="555"/>
      <c r="U131" s="555"/>
      <c r="V131" s="555"/>
      <c r="W131" s="555"/>
      <c r="X131" s="555"/>
      <c r="Y131" s="555"/>
      <c r="Z131" s="555"/>
    </row>
    <row r="132">
      <c r="A132" s="555"/>
      <c r="B132" s="555"/>
      <c r="C132" s="555"/>
      <c r="D132" s="555"/>
      <c r="E132" s="555"/>
      <c r="F132" s="555"/>
      <c r="G132" s="555"/>
      <c r="H132" s="555"/>
      <c r="I132" s="555"/>
      <c r="J132" s="555"/>
      <c r="K132" s="555"/>
      <c r="L132" s="555"/>
      <c r="M132" s="555"/>
      <c r="N132" s="555"/>
      <c r="O132" s="555"/>
      <c r="P132" s="555"/>
      <c r="Q132" s="555"/>
      <c r="R132" s="555"/>
      <c r="S132" s="555"/>
      <c r="T132" s="555"/>
      <c r="U132" s="555"/>
      <c r="V132" s="555"/>
      <c r="W132" s="555"/>
      <c r="X132" s="555"/>
      <c r="Y132" s="555"/>
      <c r="Z132" s="555"/>
    </row>
    <row r="133">
      <c r="A133" s="555"/>
      <c r="B133" s="555"/>
      <c r="C133" s="555"/>
      <c r="D133" s="555"/>
      <c r="E133" s="555"/>
      <c r="F133" s="555"/>
      <c r="G133" s="555"/>
      <c r="H133" s="555"/>
      <c r="I133" s="555"/>
      <c r="J133" s="555"/>
      <c r="K133" s="555"/>
      <c r="L133" s="555"/>
      <c r="M133" s="555"/>
      <c r="N133" s="555"/>
      <c r="O133" s="555"/>
      <c r="P133" s="555"/>
      <c r="Q133" s="555"/>
      <c r="R133" s="555"/>
      <c r="S133" s="555"/>
      <c r="T133" s="555"/>
      <c r="U133" s="555"/>
      <c r="V133" s="555"/>
      <c r="W133" s="555"/>
      <c r="X133" s="555"/>
      <c r="Y133" s="555"/>
      <c r="Z133" s="555"/>
    </row>
    <row r="134">
      <c r="A134" s="555"/>
      <c r="B134" s="555"/>
      <c r="C134" s="555"/>
      <c r="D134" s="555"/>
      <c r="E134" s="555"/>
      <c r="F134" s="555"/>
      <c r="G134" s="555"/>
      <c r="H134" s="555"/>
      <c r="I134" s="555"/>
      <c r="J134" s="555"/>
      <c r="K134" s="555"/>
      <c r="L134" s="555"/>
      <c r="M134" s="555"/>
      <c r="N134" s="555"/>
      <c r="O134" s="555"/>
      <c r="P134" s="555"/>
      <c r="Q134" s="555"/>
      <c r="R134" s="555"/>
      <c r="S134" s="555"/>
      <c r="T134" s="555"/>
      <c r="U134" s="555"/>
      <c r="V134" s="555"/>
      <c r="W134" s="555"/>
      <c r="X134" s="555"/>
      <c r="Y134" s="555"/>
      <c r="Z134" s="555"/>
    </row>
    <row r="135">
      <c r="A135" s="555"/>
      <c r="B135" s="555"/>
      <c r="C135" s="555"/>
      <c r="D135" s="555"/>
      <c r="E135" s="555"/>
      <c r="F135" s="555"/>
      <c r="G135" s="555"/>
      <c r="H135" s="555"/>
      <c r="I135" s="555"/>
      <c r="J135" s="555"/>
      <c r="K135" s="555"/>
      <c r="L135" s="555"/>
      <c r="M135" s="555"/>
      <c r="N135" s="555"/>
      <c r="O135" s="555"/>
      <c r="P135" s="555"/>
      <c r="Q135" s="555"/>
      <c r="R135" s="555"/>
      <c r="S135" s="555"/>
      <c r="T135" s="555"/>
      <c r="U135" s="555"/>
      <c r="V135" s="555"/>
      <c r="W135" s="555"/>
      <c r="X135" s="555"/>
      <c r="Y135" s="555"/>
      <c r="Z135" s="555"/>
    </row>
    <row r="136">
      <c r="A136" s="555"/>
      <c r="B136" s="555"/>
      <c r="C136" s="555"/>
      <c r="D136" s="555"/>
      <c r="E136" s="555"/>
      <c r="F136" s="555"/>
      <c r="G136" s="555"/>
      <c r="H136" s="555"/>
      <c r="I136" s="555"/>
      <c r="J136" s="555"/>
      <c r="K136" s="555"/>
      <c r="L136" s="555"/>
      <c r="M136" s="555"/>
      <c r="N136" s="555"/>
      <c r="O136" s="555"/>
      <c r="P136" s="555"/>
      <c r="Q136" s="555"/>
      <c r="R136" s="555"/>
      <c r="S136" s="555"/>
      <c r="T136" s="555"/>
      <c r="U136" s="555"/>
      <c r="V136" s="555"/>
      <c r="W136" s="555"/>
      <c r="X136" s="555"/>
      <c r="Y136" s="555"/>
      <c r="Z136" s="555"/>
    </row>
    <row r="137">
      <c r="A137" s="555"/>
      <c r="B137" s="555"/>
      <c r="C137" s="555"/>
      <c r="D137" s="555"/>
      <c r="E137" s="555"/>
      <c r="F137" s="555"/>
      <c r="G137" s="555"/>
      <c r="H137" s="555"/>
      <c r="I137" s="555"/>
      <c r="J137" s="555"/>
      <c r="K137" s="555"/>
      <c r="L137" s="555"/>
      <c r="M137" s="555"/>
      <c r="N137" s="555"/>
      <c r="O137" s="555"/>
      <c r="P137" s="555"/>
      <c r="Q137" s="555"/>
      <c r="R137" s="555"/>
      <c r="S137" s="555"/>
      <c r="T137" s="555"/>
      <c r="U137" s="555"/>
      <c r="V137" s="555"/>
      <c r="W137" s="555"/>
      <c r="X137" s="555"/>
      <c r="Y137" s="555"/>
      <c r="Z137" s="555"/>
    </row>
    <row r="138">
      <c r="A138" s="555"/>
      <c r="B138" s="555"/>
      <c r="C138" s="555"/>
      <c r="D138" s="555"/>
      <c r="E138" s="555"/>
      <c r="F138" s="555"/>
      <c r="G138" s="555"/>
      <c r="H138" s="555"/>
      <c r="I138" s="555"/>
      <c r="J138" s="555"/>
      <c r="K138" s="555"/>
      <c r="L138" s="555"/>
      <c r="M138" s="555"/>
      <c r="N138" s="555"/>
      <c r="O138" s="555"/>
      <c r="P138" s="555"/>
      <c r="Q138" s="555"/>
      <c r="R138" s="555"/>
      <c r="S138" s="555"/>
      <c r="T138" s="555"/>
      <c r="U138" s="555"/>
      <c r="V138" s="555"/>
      <c r="W138" s="555"/>
      <c r="X138" s="555"/>
      <c r="Y138" s="555"/>
      <c r="Z138" s="555"/>
    </row>
    <row r="139">
      <c r="A139" s="555"/>
      <c r="B139" s="555"/>
      <c r="C139" s="555"/>
      <c r="D139" s="555"/>
      <c r="E139" s="555"/>
      <c r="F139" s="555"/>
      <c r="G139" s="555"/>
      <c r="H139" s="555"/>
      <c r="I139" s="555"/>
      <c r="J139" s="555"/>
      <c r="K139" s="555"/>
      <c r="L139" s="555"/>
      <c r="M139" s="555"/>
      <c r="N139" s="555"/>
      <c r="O139" s="555"/>
      <c r="P139" s="555"/>
      <c r="Q139" s="555"/>
      <c r="R139" s="555"/>
      <c r="S139" s="555"/>
      <c r="T139" s="555"/>
      <c r="U139" s="555"/>
      <c r="V139" s="555"/>
      <c r="W139" s="555"/>
      <c r="X139" s="555"/>
      <c r="Y139" s="555"/>
      <c r="Z139" s="555"/>
    </row>
    <row r="140">
      <c r="A140" s="555"/>
      <c r="B140" s="555"/>
      <c r="C140" s="555"/>
      <c r="D140" s="555"/>
      <c r="E140" s="555"/>
      <c r="F140" s="555"/>
      <c r="G140" s="555"/>
      <c r="H140" s="555"/>
      <c r="I140" s="555"/>
      <c r="J140" s="555"/>
      <c r="K140" s="555"/>
      <c r="L140" s="555"/>
      <c r="M140" s="555"/>
      <c r="N140" s="555"/>
      <c r="O140" s="555"/>
      <c r="P140" s="555"/>
      <c r="Q140" s="555"/>
      <c r="R140" s="555"/>
      <c r="S140" s="555"/>
      <c r="T140" s="555"/>
      <c r="U140" s="555"/>
      <c r="V140" s="555"/>
      <c r="W140" s="555"/>
      <c r="X140" s="555"/>
      <c r="Y140" s="555"/>
      <c r="Z140" s="555"/>
    </row>
    <row r="141">
      <c r="A141" s="555"/>
      <c r="B141" s="555"/>
      <c r="C141" s="555"/>
      <c r="D141" s="555"/>
      <c r="E141" s="555"/>
      <c r="F141" s="555"/>
      <c r="G141" s="555"/>
      <c r="H141" s="555"/>
      <c r="I141" s="555"/>
      <c r="J141" s="555"/>
      <c r="K141" s="555"/>
      <c r="L141" s="555"/>
      <c r="M141" s="555"/>
      <c r="N141" s="555"/>
      <c r="O141" s="555"/>
      <c r="P141" s="555"/>
      <c r="Q141" s="555"/>
      <c r="R141" s="555"/>
      <c r="S141" s="555"/>
      <c r="T141" s="555"/>
      <c r="U141" s="555"/>
      <c r="V141" s="555"/>
      <c r="W141" s="555"/>
      <c r="X141" s="555"/>
      <c r="Y141" s="555"/>
      <c r="Z141" s="555"/>
    </row>
    <row r="142">
      <c r="A142" s="555"/>
      <c r="B142" s="555"/>
      <c r="C142" s="555"/>
      <c r="D142" s="555"/>
      <c r="E142" s="555"/>
      <c r="F142" s="555"/>
      <c r="G142" s="555"/>
      <c r="H142" s="555"/>
      <c r="I142" s="555"/>
      <c r="J142" s="555"/>
      <c r="K142" s="555"/>
      <c r="L142" s="555"/>
      <c r="M142" s="555"/>
      <c r="N142" s="555"/>
      <c r="O142" s="555"/>
      <c r="P142" s="555"/>
      <c r="Q142" s="555"/>
      <c r="R142" s="555"/>
      <c r="S142" s="555"/>
      <c r="T142" s="555"/>
      <c r="U142" s="555"/>
      <c r="V142" s="555"/>
      <c r="W142" s="555"/>
      <c r="X142" s="555"/>
      <c r="Y142" s="555"/>
      <c r="Z142" s="555"/>
    </row>
    <row r="143">
      <c r="A143" s="555"/>
      <c r="B143" s="555"/>
      <c r="C143" s="555"/>
      <c r="D143" s="555"/>
      <c r="E143" s="555"/>
      <c r="F143" s="555"/>
      <c r="G143" s="555"/>
      <c r="H143" s="555"/>
      <c r="I143" s="555"/>
      <c r="J143" s="555"/>
      <c r="K143" s="555"/>
      <c r="L143" s="555"/>
      <c r="M143" s="555"/>
      <c r="N143" s="555"/>
      <c r="O143" s="555"/>
      <c r="P143" s="555"/>
      <c r="Q143" s="555"/>
      <c r="R143" s="555"/>
      <c r="S143" s="555"/>
      <c r="T143" s="555"/>
      <c r="U143" s="555"/>
      <c r="V143" s="555"/>
      <c r="W143" s="555"/>
      <c r="X143" s="555"/>
      <c r="Y143" s="555"/>
      <c r="Z143" s="555"/>
    </row>
    <row r="144">
      <c r="A144" s="555"/>
      <c r="B144" s="555"/>
      <c r="C144" s="555"/>
      <c r="D144" s="555"/>
      <c r="E144" s="555"/>
      <c r="F144" s="555"/>
      <c r="G144" s="555"/>
      <c r="H144" s="555"/>
      <c r="I144" s="555"/>
      <c r="J144" s="555"/>
      <c r="K144" s="555"/>
      <c r="L144" s="555"/>
      <c r="M144" s="555"/>
      <c r="N144" s="555"/>
      <c r="O144" s="555"/>
      <c r="P144" s="555"/>
      <c r="Q144" s="555"/>
      <c r="R144" s="555"/>
      <c r="S144" s="555"/>
      <c r="T144" s="555"/>
      <c r="U144" s="555"/>
      <c r="V144" s="555"/>
      <c r="W144" s="555"/>
      <c r="X144" s="555"/>
      <c r="Y144" s="555"/>
      <c r="Z144" s="555"/>
    </row>
    <row r="145">
      <c r="A145" s="555"/>
      <c r="B145" s="555"/>
      <c r="C145" s="555"/>
      <c r="D145" s="555"/>
      <c r="E145" s="555"/>
      <c r="F145" s="555"/>
      <c r="G145" s="555"/>
      <c r="H145" s="555"/>
      <c r="I145" s="555"/>
      <c r="J145" s="555"/>
      <c r="K145" s="555"/>
      <c r="L145" s="555"/>
      <c r="M145" s="555"/>
      <c r="N145" s="555"/>
      <c r="O145" s="555"/>
      <c r="P145" s="555"/>
      <c r="Q145" s="555"/>
      <c r="R145" s="555"/>
      <c r="S145" s="555"/>
      <c r="T145" s="555"/>
      <c r="U145" s="555"/>
      <c r="V145" s="555"/>
      <c r="W145" s="555"/>
      <c r="X145" s="555"/>
      <c r="Y145" s="555"/>
      <c r="Z145" s="555"/>
    </row>
    <row r="146">
      <c r="A146" s="555"/>
      <c r="B146" s="555"/>
      <c r="C146" s="555"/>
      <c r="D146" s="555"/>
      <c r="E146" s="555"/>
      <c r="F146" s="555"/>
      <c r="G146" s="555"/>
      <c r="H146" s="555"/>
      <c r="I146" s="555"/>
      <c r="J146" s="555"/>
      <c r="K146" s="555"/>
      <c r="L146" s="555"/>
      <c r="M146" s="555"/>
      <c r="N146" s="555"/>
      <c r="O146" s="555"/>
      <c r="P146" s="555"/>
      <c r="Q146" s="555"/>
      <c r="R146" s="555"/>
      <c r="S146" s="555"/>
      <c r="T146" s="555"/>
      <c r="U146" s="555"/>
      <c r="V146" s="555"/>
      <c r="W146" s="555"/>
      <c r="X146" s="555"/>
      <c r="Y146" s="555"/>
      <c r="Z146" s="555"/>
    </row>
    <row r="147">
      <c r="A147" s="555"/>
      <c r="B147" s="555"/>
      <c r="C147" s="555"/>
      <c r="D147" s="555"/>
      <c r="E147" s="555"/>
      <c r="F147" s="555"/>
      <c r="G147" s="555"/>
      <c r="H147" s="555"/>
      <c r="I147" s="555"/>
      <c r="J147" s="555"/>
      <c r="K147" s="555"/>
      <c r="L147" s="555"/>
      <c r="M147" s="555"/>
      <c r="N147" s="555"/>
      <c r="O147" s="555"/>
      <c r="P147" s="555"/>
      <c r="Q147" s="555"/>
      <c r="R147" s="555"/>
      <c r="S147" s="555"/>
      <c r="T147" s="555"/>
      <c r="U147" s="555"/>
      <c r="V147" s="555"/>
      <c r="W147" s="555"/>
      <c r="X147" s="555"/>
      <c r="Y147" s="555"/>
      <c r="Z147" s="555"/>
    </row>
    <row r="148">
      <c r="A148" s="555"/>
      <c r="B148" s="555"/>
      <c r="C148" s="555"/>
      <c r="D148" s="555"/>
      <c r="E148" s="555"/>
      <c r="F148" s="555"/>
      <c r="G148" s="555"/>
      <c r="H148" s="555"/>
      <c r="I148" s="555"/>
      <c r="J148" s="555"/>
      <c r="K148" s="555"/>
      <c r="L148" s="555"/>
      <c r="M148" s="555"/>
      <c r="N148" s="555"/>
      <c r="O148" s="555"/>
      <c r="P148" s="555"/>
      <c r="Q148" s="555"/>
      <c r="R148" s="555"/>
      <c r="S148" s="555"/>
      <c r="T148" s="555"/>
      <c r="U148" s="555"/>
      <c r="V148" s="555"/>
      <c r="W148" s="555"/>
      <c r="X148" s="555"/>
      <c r="Y148" s="555"/>
      <c r="Z148" s="555"/>
    </row>
    <row r="149">
      <c r="A149" s="555"/>
      <c r="B149" s="555"/>
      <c r="C149" s="555"/>
      <c r="D149" s="555"/>
      <c r="E149" s="555"/>
      <c r="F149" s="555"/>
      <c r="G149" s="555"/>
      <c r="H149" s="555"/>
      <c r="I149" s="555"/>
      <c r="J149" s="555"/>
      <c r="K149" s="555"/>
      <c r="L149" s="555"/>
      <c r="M149" s="555"/>
      <c r="N149" s="555"/>
      <c r="O149" s="555"/>
      <c r="P149" s="555"/>
      <c r="Q149" s="555"/>
      <c r="R149" s="555"/>
      <c r="S149" s="555"/>
      <c r="T149" s="555"/>
      <c r="U149" s="555"/>
      <c r="V149" s="555"/>
      <c r="W149" s="555"/>
      <c r="X149" s="555"/>
      <c r="Y149" s="555"/>
      <c r="Z149" s="555"/>
    </row>
    <row r="150">
      <c r="A150" s="555"/>
      <c r="B150" s="555"/>
      <c r="C150" s="555"/>
      <c r="D150" s="555"/>
      <c r="E150" s="555"/>
      <c r="F150" s="555"/>
      <c r="G150" s="555"/>
      <c r="H150" s="555"/>
      <c r="I150" s="555"/>
      <c r="J150" s="555"/>
      <c r="K150" s="555"/>
      <c r="L150" s="555"/>
      <c r="M150" s="555"/>
      <c r="N150" s="555"/>
      <c r="O150" s="555"/>
      <c r="P150" s="555"/>
      <c r="Q150" s="555"/>
      <c r="R150" s="555"/>
      <c r="S150" s="555"/>
      <c r="T150" s="555"/>
      <c r="U150" s="555"/>
      <c r="V150" s="555"/>
      <c r="W150" s="555"/>
      <c r="X150" s="555"/>
      <c r="Y150" s="555"/>
      <c r="Z150" s="555"/>
    </row>
    <row r="151">
      <c r="A151" s="555"/>
      <c r="B151" s="555"/>
      <c r="C151" s="555"/>
      <c r="D151" s="555"/>
      <c r="E151" s="555"/>
      <c r="F151" s="555"/>
      <c r="G151" s="555"/>
      <c r="H151" s="555"/>
      <c r="I151" s="555"/>
      <c r="J151" s="555"/>
      <c r="K151" s="555"/>
      <c r="L151" s="555"/>
      <c r="M151" s="555"/>
      <c r="N151" s="555"/>
      <c r="O151" s="555"/>
      <c r="P151" s="555"/>
      <c r="Q151" s="555"/>
      <c r="R151" s="555"/>
      <c r="S151" s="555"/>
      <c r="T151" s="555"/>
      <c r="U151" s="555"/>
      <c r="V151" s="555"/>
      <c r="W151" s="555"/>
      <c r="X151" s="555"/>
      <c r="Y151" s="555"/>
      <c r="Z151" s="555"/>
    </row>
    <row r="152">
      <c r="A152" s="555"/>
      <c r="B152" s="555"/>
      <c r="C152" s="555"/>
      <c r="D152" s="555"/>
      <c r="E152" s="555"/>
      <c r="F152" s="555"/>
      <c r="G152" s="555"/>
      <c r="H152" s="555"/>
      <c r="I152" s="555"/>
      <c r="J152" s="555"/>
      <c r="K152" s="555"/>
      <c r="L152" s="555"/>
      <c r="M152" s="555"/>
      <c r="N152" s="555"/>
      <c r="O152" s="555"/>
      <c r="P152" s="555"/>
      <c r="Q152" s="555"/>
      <c r="R152" s="555"/>
      <c r="S152" s="555"/>
      <c r="T152" s="555"/>
      <c r="U152" s="555"/>
      <c r="V152" s="555"/>
      <c r="W152" s="555"/>
      <c r="X152" s="555"/>
      <c r="Y152" s="555"/>
      <c r="Z152" s="555"/>
    </row>
    <row r="153">
      <c r="A153" s="555"/>
      <c r="B153" s="555"/>
      <c r="C153" s="555"/>
      <c r="D153" s="555"/>
      <c r="E153" s="555"/>
      <c r="F153" s="555"/>
      <c r="G153" s="555"/>
      <c r="H153" s="555"/>
      <c r="I153" s="555"/>
      <c r="J153" s="555"/>
      <c r="K153" s="555"/>
      <c r="L153" s="555"/>
      <c r="M153" s="555"/>
      <c r="N153" s="555"/>
      <c r="O153" s="555"/>
      <c r="P153" s="555"/>
      <c r="Q153" s="555"/>
      <c r="R153" s="555"/>
      <c r="S153" s="555"/>
      <c r="T153" s="555"/>
      <c r="U153" s="555"/>
      <c r="V153" s="555"/>
      <c r="W153" s="555"/>
      <c r="X153" s="555"/>
      <c r="Y153" s="555"/>
      <c r="Z153" s="555"/>
    </row>
    <row r="154">
      <c r="A154" s="555"/>
      <c r="B154" s="555"/>
      <c r="C154" s="555"/>
      <c r="D154" s="555"/>
      <c r="E154" s="555"/>
      <c r="F154" s="555"/>
      <c r="G154" s="555"/>
      <c r="H154" s="555"/>
      <c r="I154" s="555"/>
      <c r="J154" s="555"/>
      <c r="K154" s="555"/>
      <c r="L154" s="555"/>
      <c r="M154" s="555"/>
      <c r="N154" s="555"/>
      <c r="O154" s="555"/>
      <c r="P154" s="555"/>
      <c r="Q154" s="555"/>
      <c r="R154" s="555"/>
      <c r="S154" s="555"/>
      <c r="T154" s="555"/>
      <c r="U154" s="555"/>
      <c r="V154" s="555"/>
      <c r="W154" s="555"/>
      <c r="X154" s="555"/>
      <c r="Y154" s="555"/>
      <c r="Z154" s="555"/>
    </row>
    <row r="155">
      <c r="A155" s="555"/>
      <c r="B155" s="555"/>
      <c r="C155" s="555"/>
      <c r="D155" s="555"/>
      <c r="E155" s="555"/>
      <c r="F155" s="555"/>
      <c r="G155" s="555"/>
      <c r="H155" s="555"/>
      <c r="I155" s="555"/>
      <c r="J155" s="555"/>
      <c r="K155" s="555"/>
      <c r="L155" s="555"/>
      <c r="M155" s="555"/>
      <c r="N155" s="555"/>
      <c r="O155" s="555"/>
      <c r="P155" s="555"/>
      <c r="Q155" s="555"/>
      <c r="R155" s="555"/>
      <c r="S155" s="555"/>
      <c r="T155" s="555"/>
      <c r="U155" s="555"/>
      <c r="V155" s="555"/>
      <c r="W155" s="555"/>
      <c r="X155" s="555"/>
      <c r="Y155" s="555"/>
      <c r="Z155" s="555"/>
    </row>
    <row r="156">
      <c r="A156" s="555"/>
      <c r="B156" s="555"/>
      <c r="C156" s="555"/>
      <c r="D156" s="555"/>
      <c r="E156" s="555"/>
      <c r="F156" s="555"/>
      <c r="G156" s="555"/>
      <c r="H156" s="555"/>
      <c r="I156" s="555"/>
      <c r="J156" s="555"/>
      <c r="K156" s="555"/>
      <c r="L156" s="555"/>
      <c r="M156" s="555"/>
      <c r="N156" s="555"/>
      <c r="O156" s="555"/>
      <c r="P156" s="555"/>
      <c r="Q156" s="555"/>
      <c r="R156" s="555"/>
      <c r="S156" s="555"/>
      <c r="T156" s="555"/>
      <c r="U156" s="555"/>
      <c r="V156" s="555"/>
      <c r="W156" s="555"/>
      <c r="X156" s="555"/>
      <c r="Y156" s="555"/>
      <c r="Z156" s="555"/>
    </row>
    <row r="157">
      <c r="A157" s="555"/>
      <c r="B157" s="555"/>
      <c r="C157" s="555"/>
      <c r="D157" s="555"/>
      <c r="E157" s="555"/>
      <c r="F157" s="555"/>
      <c r="G157" s="555"/>
      <c r="H157" s="555"/>
      <c r="I157" s="555"/>
      <c r="J157" s="555"/>
      <c r="K157" s="555"/>
      <c r="L157" s="555"/>
      <c r="M157" s="555"/>
      <c r="N157" s="555"/>
      <c r="O157" s="555"/>
      <c r="P157" s="555"/>
      <c r="Q157" s="555"/>
      <c r="R157" s="555"/>
      <c r="S157" s="555"/>
      <c r="T157" s="555"/>
      <c r="U157" s="555"/>
      <c r="V157" s="555"/>
      <c r="W157" s="555"/>
      <c r="X157" s="555"/>
      <c r="Y157" s="555"/>
      <c r="Z157" s="555"/>
    </row>
    <row r="158">
      <c r="A158" s="555"/>
      <c r="B158" s="555"/>
      <c r="C158" s="555"/>
      <c r="D158" s="555"/>
      <c r="E158" s="555"/>
      <c r="F158" s="555"/>
      <c r="G158" s="555"/>
      <c r="H158" s="555"/>
      <c r="I158" s="555"/>
      <c r="J158" s="555"/>
      <c r="K158" s="555"/>
      <c r="L158" s="555"/>
      <c r="M158" s="555"/>
      <c r="N158" s="555"/>
      <c r="O158" s="555"/>
      <c r="P158" s="555"/>
      <c r="Q158" s="555"/>
      <c r="R158" s="555"/>
      <c r="S158" s="555"/>
      <c r="T158" s="555"/>
      <c r="U158" s="555"/>
      <c r="V158" s="555"/>
      <c r="W158" s="555"/>
      <c r="X158" s="555"/>
      <c r="Y158" s="555"/>
      <c r="Z158" s="555"/>
    </row>
    <row r="159">
      <c r="A159" s="555"/>
      <c r="B159" s="555"/>
      <c r="C159" s="555"/>
      <c r="D159" s="555"/>
      <c r="E159" s="555"/>
      <c r="F159" s="555"/>
      <c r="G159" s="555"/>
      <c r="H159" s="555"/>
      <c r="I159" s="555"/>
      <c r="J159" s="555"/>
      <c r="K159" s="555"/>
      <c r="L159" s="555"/>
      <c r="M159" s="555"/>
      <c r="N159" s="555"/>
      <c r="O159" s="555"/>
      <c r="P159" s="555"/>
      <c r="Q159" s="555"/>
      <c r="R159" s="555"/>
      <c r="S159" s="555"/>
      <c r="T159" s="555"/>
      <c r="U159" s="555"/>
      <c r="V159" s="555"/>
      <c r="W159" s="555"/>
      <c r="X159" s="555"/>
      <c r="Y159" s="555"/>
      <c r="Z159" s="555"/>
    </row>
    <row r="160">
      <c r="A160" s="555"/>
      <c r="B160" s="555"/>
      <c r="C160" s="555"/>
      <c r="D160" s="555"/>
      <c r="E160" s="555"/>
      <c r="F160" s="555"/>
      <c r="G160" s="555"/>
      <c r="H160" s="555"/>
      <c r="I160" s="555"/>
      <c r="J160" s="555"/>
      <c r="K160" s="555"/>
      <c r="L160" s="555"/>
      <c r="M160" s="555"/>
      <c r="N160" s="555"/>
      <c r="O160" s="555"/>
      <c r="P160" s="555"/>
      <c r="Q160" s="555"/>
      <c r="R160" s="555"/>
      <c r="S160" s="555"/>
      <c r="T160" s="555"/>
      <c r="U160" s="555"/>
      <c r="V160" s="555"/>
      <c r="W160" s="555"/>
      <c r="X160" s="555"/>
      <c r="Y160" s="555"/>
      <c r="Z160" s="555"/>
    </row>
    <row r="161">
      <c r="A161" s="555"/>
      <c r="B161" s="555"/>
      <c r="C161" s="555"/>
      <c r="D161" s="555"/>
      <c r="E161" s="555"/>
      <c r="F161" s="555"/>
      <c r="G161" s="555"/>
      <c r="H161" s="555"/>
      <c r="I161" s="555"/>
      <c r="J161" s="555"/>
      <c r="K161" s="555"/>
      <c r="L161" s="555"/>
      <c r="M161" s="555"/>
      <c r="N161" s="555"/>
      <c r="O161" s="555"/>
      <c r="P161" s="555"/>
      <c r="Q161" s="555"/>
      <c r="R161" s="555"/>
      <c r="S161" s="555"/>
      <c r="T161" s="555"/>
      <c r="U161" s="555"/>
      <c r="V161" s="555"/>
      <c r="W161" s="555"/>
      <c r="X161" s="555"/>
      <c r="Y161" s="555"/>
      <c r="Z161" s="555"/>
    </row>
    <row r="162">
      <c r="A162" s="555"/>
      <c r="B162" s="555"/>
      <c r="C162" s="555"/>
      <c r="D162" s="555"/>
      <c r="E162" s="555"/>
      <c r="F162" s="555"/>
      <c r="G162" s="555"/>
      <c r="H162" s="555"/>
      <c r="I162" s="555"/>
      <c r="J162" s="555"/>
      <c r="K162" s="555"/>
      <c r="L162" s="555"/>
      <c r="M162" s="555"/>
      <c r="N162" s="555"/>
      <c r="O162" s="555"/>
      <c r="P162" s="555"/>
      <c r="Q162" s="555"/>
      <c r="R162" s="555"/>
      <c r="S162" s="555"/>
      <c r="T162" s="555"/>
      <c r="U162" s="555"/>
      <c r="V162" s="555"/>
      <c r="W162" s="555"/>
      <c r="X162" s="555"/>
      <c r="Y162" s="555"/>
      <c r="Z162" s="555"/>
    </row>
    <row r="163">
      <c r="A163" s="555"/>
      <c r="B163" s="555"/>
      <c r="C163" s="555"/>
      <c r="D163" s="555"/>
      <c r="E163" s="555"/>
      <c r="F163" s="555"/>
      <c r="G163" s="555"/>
      <c r="H163" s="555"/>
      <c r="I163" s="555"/>
      <c r="J163" s="555"/>
      <c r="K163" s="555"/>
      <c r="L163" s="555"/>
      <c r="M163" s="555"/>
      <c r="N163" s="555"/>
      <c r="O163" s="555"/>
      <c r="P163" s="555"/>
      <c r="Q163" s="555"/>
      <c r="R163" s="555"/>
      <c r="S163" s="555"/>
      <c r="T163" s="555"/>
      <c r="U163" s="555"/>
      <c r="V163" s="555"/>
      <c r="W163" s="555"/>
      <c r="X163" s="555"/>
      <c r="Y163" s="555"/>
      <c r="Z163" s="555"/>
    </row>
    <row r="164">
      <c r="A164" s="555"/>
      <c r="B164" s="555"/>
      <c r="C164" s="555"/>
      <c r="D164" s="555"/>
      <c r="E164" s="555"/>
      <c r="F164" s="555"/>
      <c r="G164" s="555"/>
      <c r="H164" s="555"/>
      <c r="I164" s="555"/>
      <c r="J164" s="555"/>
      <c r="K164" s="555"/>
      <c r="L164" s="555"/>
      <c r="M164" s="555"/>
      <c r="N164" s="555"/>
      <c r="O164" s="555"/>
      <c r="P164" s="555"/>
      <c r="Q164" s="555"/>
      <c r="R164" s="555"/>
      <c r="S164" s="555"/>
      <c r="T164" s="555"/>
      <c r="U164" s="555"/>
      <c r="V164" s="555"/>
      <c r="W164" s="555"/>
      <c r="X164" s="555"/>
      <c r="Y164" s="555"/>
      <c r="Z164" s="555"/>
    </row>
    <row r="165">
      <c r="A165" s="555"/>
      <c r="B165" s="555"/>
      <c r="C165" s="555"/>
      <c r="D165" s="555"/>
      <c r="E165" s="555"/>
      <c r="F165" s="555"/>
      <c r="G165" s="555"/>
      <c r="H165" s="555"/>
      <c r="I165" s="555"/>
      <c r="J165" s="555"/>
      <c r="K165" s="555"/>
      <c r="L165" s="555"/>
      <c r="M165" s="555"/>
      <c r="N165" s="555"/>
      <c r="O165" s="555"/>
      <c r="P165" s="555"/>
      <c r="Q165" s="555"/>
      <c r="R165" s="555"/>
      <c r="S165" s="555"/>
      <c r="T165" s="555"/>
      <c r="U165" s="555"/>
      <c r="V165" s="555"/>
      <c r="W165" s="555"/>
      <c r="X165" s="555"/>
      <c r="Y165" s="555"/>
      <c r="Z165" s="555"/>
    </row>
    <row r="166">
      <c r="A166" s="555"/>
      <c r="B166" s="555"/>
      <c r="C166" s="555"/>
      <c r="D166" s="555"/>
      <c r="E166" s="555"/>
      <c r="F166" s="555"/>
      <c r="G166" s="555"/>
      <c r="H166" s="555"/>
      <c r="I166" s="555"/>
      <c r="J166" s="555"/>
      <c r="K166" s="555"/>
      <c r="L166" s="555"/>
      <c r="M166" s="555"/>
      <c r="N166" s="555"/>
      <c r="O166" s="555"/>
      <c r="P166" s="555"/>
      <c r="Q166" s="555"/>
      <c r="R166" s="555"/>
      <c r="S166" s="555"/>
      <c r="T166" s="555"/>
      <c r="U166" s="555"/>
      <c r="V166" s="555"/>
      <c r="W166" s="555"/>
      <c r="X166" s="555"/>
      <c r="Y166" s="555"/>
      <c r="Z166" s="555"/>
    </row>
    <row r="167">
      <c r="A167" s="555"/>
      <c r="B167" s="555"/>
      <c r="C167" s="555"/>
      <c r="D167" s="555"/>
      <c r="E167" s="555"/>
      <c r="F167" s="555"/>
      <c r="G167" s="555"/>
      <c r="H167" s="555"/>
      <c r="I167" s="555"/>
      <c r="J167" s="555"/>
      <c r="K167" s="555"/>
      <c r="L167" s="555"/>
      <c r="M167" s="555"/>
      <c r="N167" s="555"/>
      <c r="O167" s="555"/>
      <c r="P167" s="555"/>
      <c r="Q167" s="555"/>
      <c r="R167" s="555"/>
      <c r="S167" s="555"/>
      <c r="T167" s="555"/>
      <c r="U167" s="555"/>
      <c r="V167" s="555"/>
      <c r="W167" s="555"/>
      <c r="X167" s="555"/>
      <c r="Y167" s="555"/>
      <c r="Z167" s="555"/>
    </row>
    <row r="168">
      <c r="A168" s="555"/>
      <c r="B168" s="555"/>
      <c r="C168" s="555"/>
      <c r="D168" s="555"/>
      <c r="E168" s="555"/>
      <c r="F168" s="555"/>
      <c r="G168" s="555"/>
      <c r="H168" s="555"/>
      <c r="I168" s="555"/>
      <c r="J168" s="555"/>
      <c r="K168" s="555"/>
      <c r="L168" s="555"/>
      <c r="M168" s="555"/>
      <c r="N168" s="555"/>
      <c r="O168" s="555"/>
      <c r="P168" s="555"/>
      <c r="Q168" s="555"/>
      <c r="R168" s="555"/>
      <c r="S168" s="555"/>
      <c r="T168" s="555"/>
      <c r="U168" s="555"/>
      <c r="V168" s="555"/>
      <c r="W168" s="555"/>
      <c r="X168" s="555"/>
      <c r="Y168" s="555"/>
      <c r="Z168" s="555"/>
    </row>
    <row r="169">
      <c r="A169" s="555"/>
      <c r="B169" s="555"/>
      <c r="C169" s="555"/>
      <c r="D169" s="555"/>
      <c r="E169" s="555"/>
      <c r="F169" s="555"/>
      <c r="G169" s="555"/>
      <c r="H169" s="555"/>
      <c r="I169" s="555"/>
      <c r="J169" s="555"/>
      <c r="K169" s="555"/>
      <c r="L169" s="555"/>
      <c r="M169" s="555"/>
      <c r="N169" s="555"/>
      <c r="O169" s="555"/>
      <c r="P169" s="555"/>
      <c r="Q169" s="555"/>
      <c r="R169" s="555"/>
      <c r="S169" s="555"/>
      <c r="T169" s="555"/>
      <c r="U169" s="555"/>
      <c r="V169" s="555"/>
      <c r="W169" s="555"/>
      <c r="X169" s="555"/>
      <c r="Y169" s="555"/>
      <c r="Z169" s="555"/>
    </row>
    <row r="170">
      <c r="A170" s="555"/>
      <c r="B170" s="555"/>
      <c r="C170" s="555"/>
      <c r="D170" s="555"/>
      <c r="E170" s="555"/>
      <c r="F170" s="555"/>
      <c r="G170" s="555"/>
      <c r="H170" s="555"/>
      <c r="I170" s="555"/>
      <c r="J170" s="555"/>
      <c r="K170" s="555"/>
      <c r="L170" s="555"/>
      <c r="M170" s="555"/>
      <c r="N170" s="555"/>
      <c r="O170" s="555"/>
      <c r="P170" s="555"/>
      <c r="Q170" s="555"/>
      <c r="R170" s="555"/>
      <c r="S170" s="555"/>
      <c r="T170" s="555"/>
      <c r="U170" s="555"/>
      <c r="V170" s="555"/>
      <c r="W170" s="555"/>
      <c r="X170" s="555"/>
      <c r="Y170" s="555"/>
      <c r="Z170" s="555"/>
    </row>
    <row r="171">
      <c r="A171" s="555"/>
      <c r="B171" s="555"/>
      <c r="C171" s="555"/>
      <c r="D171" s="555"/>
      <c r="E171" s="555"/>
      <c r="F171" s="555"/>
      <c r="G171" s="555"/>
      <c r="H171" s="555"/>
      <c r="I171" s="555"/>
      <c r="J171" s="555"/>
      <c r="K171" s="555"/>
      <c r="L171" s="555"/>
      <c r="M171" s="555"/>
      <c r="N171" s="555"/>
      <c r="O171" s="555"/>
      <c r="P171" s="555"/>
      <c r="Q171" s="555"/>
      <c r="R171" s="555"/>
      <c r="S171" s="555"/>
      <c r="T171" s="555"/>
      <c r="U171" s="555"/>
      <c r="V171" s="555"/>
      <c r="W171" s="555"/>
      <c r="X171" s="555"/>
      <c r="Y171" s="555"/>
      <c r="Z171" s="555"/>
    </row>
    <row r="172">
      <c r="A172" s="555"/>
      <c r="B172" s="555"/>
      <c r="C172" s="555"/>
      <c r="D172" s="555"/>
      <c r="E172" s="555"/>
      <c r="F172" s="555"/>
      <c r="G172" s="555"/>
      <c r="H172" s="555"/>
      <c r="I172" s="555"/>
      <c r="J172" s="555"/>
      <c r="K172" s="555"/>
      <c r="L172" s="555"/>
      <c r="M172" s="555"/>
      <c r="N172" s="555"/>
      <c r="O172" s="555"/>
      <c r="P172" s="555"/>
      <c r="Q172" s="555"/>
      <c r="R172" s="555"/>
      <c r="S172" s="555"/>
      <c r="T172" s="555"/>
      <c r="U172" s="555"/>
      <c r="V172" s="555"/>
      <c r="W172" s="555"/>
      <c r="X172" s="555"/>
      <c r="Y172" s="555"/>
      <c r="Z172" s="555"/>
    </row>
    <row r="173">
      <c r="A173" s="555"/>
      <c r="B173" s="555"/>
      <c r="C173" s="555"/>
      <c r="D173" s="555"/>
      <c r="E173" s="555"/>
      <c r="F173" s="555"/>
      <c r="G173" s="555"/>
      <c r="H173" s="555"/>
      <c r="I173" s="555"/>
      <c r="J173" s="555"/>
      <c r="K173" s="555"/>
      <c r="L173" s="555"/>
      <c r="M173" s="555"/>
      <c r="N173" s="555"/>
      <c r="O173" s="555"/>
      <c r="P173" s="555"/>
      <c r="Q173" s="555"/>
      <c r="R173" s="555"/>
      <c r="S173" s="555"/>
      <c r="T173" s="555"/>
      <c r="U173" s="555"/>
      <c r="V173" s="555"/>
      <c r="W173" s="555"/>
      <c r="X173" s="555"/>
      <c r="Y173" s="555"/>
      <c r="Z173" s="555"/>
    </row>
    <row r="174">
      <c r="A174" s="555"/>
      <c r="B174" s="555"/>
      <c r="C174" s="555"/>
      <c r="D174" s="555"/>
      <c r="E174" s="555"/>
      <c r="F174" s="555"/>
      <c r="G174" s="555"/>
      <c r="H174" s="555"/>
      <c r="I174" s="555"/>
      <c r="J174" s="555"/>
      <c r="K174" s="555"/>
      <c r="L174" s="555"/>
      <c r="M174" s="555"/>
      <c r="N174" s="555"/>
      <c r="O174" s="555"/>
      <c r="P174" s="555"/>
      <c r="Q174" s="555"/>
      <c r="R174" s="555"/>
      <c r="S174" s="555"/>
      <c r="T174" s="555"/>
      <c r="U174" s="555"/>
      <c r="V174" s="555"/>
      <c r="W174" s="555"/>
      <c r="X174" s="555"/>
      <c r="Y174" s="555"/>
      <c r="Z174" s="555"/>
    </row>
    <row r="175">
      <c r="A175" s="555"/>
      <c r="B175" s="555"/>
      <c r="C175" s="555"/>
      <c r="D175" s="555"/>
      <c r="E175" s="555"/>
      <c r="F175" s="555"/>
      <c r="G175" s="555"/>
      <c r="H175" s="555"/>
      <c r="I175" s="555"/>
      <c r="J175" s="555"/>
      <c r="K175" s="555"/>
      <c r="L175" s="555"/>
      <c r="M175" s="555"/>
      <c r="N175" s="555"/>
      <c r="O175" s="555"/>
      <c r="P175" s="555"/>
      <c r="Q175" s="555"/>
      <c r="R175" s="555"/>
      <c r="S175" s="555"/>
      <c r="T175" s="555"/>
      <c r="U175" s="555"/>
      <c r="V175" s="555"/>
      <c r="W175" s="555"/>
      <c r="X175" s="555"/>
      <c r="Y175" s="555"/>
      <c r="Z175" s="555"/>
    </row>
    <row r="176">
      <c r="A176" s="555"/>
      <c r="B176" s="555"/>
      <c r="C176" s="555"/>
      <c r="D176" s="555"/>
      <c r="E176" s="555"/>
      <c r="F176" s="555"/>
      <c r="G176" s="555"/>
      <c r="H176" s="555"/>
      <c r="I176" s="555"/>
      <c r="J176" s="555"/>
      <c r="K176" s="555"/>
      <c r="L176" s="555"/>
      <c r="M176" s="555"/>
      <c r="N176" s="555"/>
      <c r="O176" s="555"/>
      <c r="P176" s="555"/>
      <c r="Q176" s="555"/>
      <c r="R176" s="555"/>
      <c r="S176" s="555"/>
      <c r="T176" s="555"/>
      <c r="U176" s="555"/>
      <c r="V176" s="555"/>
      <c r="W176" s="555"/>
      <c r="X176" s="555"/>
      <c r="Y176" s="555"/>
      <c r="Z176" s="555"/>
    </row>
    <row r="177">
      <c r="A177" s="555"/>
      <c r="B177" s="555"/>
      <c r="C177" s="555"/>
      <c r="D177" s="555"/>
      <c r="E177" s="555"/>
      <c r="F177" s="555"/>
      <c r="G177" s="555"/>
      <c r="H177" s="555"/>
      <c r="I177" s="555"/>
      <c r="J177" s="555"/>
      <c r="K177" s="555"/>
      <c r="L177" s="555"/>
      <c r="M177" s="555"/>
      <c r="N177" s="555"/>
      <c r="O177" s="555"/>
      <c r="P177" s="555"/>
      <c r="Q177" s="555"/>
      <c r="R177" s="555"/>
      <c r="S177" s="555"/>
      <c r="T177" s="555"/>
      <c r="U177" s="555"/>
      <c r="V177" s="555"/>
      <c r="W177" s="555"/>
      <c r="X177" s="555"/>
      <c r="Y177" s="555"/>
      <c r="Z177" s="555"/>
    </row>
    <row r="178">
      <c r="A178" s="555"/>
      <c r="B178" s="555"/>
      <c r="C178" s="555"/>
      <c r="D178" s="555"/>
      <c r="E178" s="555"/>
      <c r="F178" s="555"/>
      <c r="G178" s="555"/>
      <c r="H178" s="555"/>
      <c r="I178" s="555"/>
      <c r="J178" s="555"/>
      <c r="K178" s="555"/>
      <c r="L178" s="555"/>
      <c r="M178" s="555"/>
      <c r="N178" s="555"/>
      <c r="O178" s="555"/>
      <c r="P178" s="555"/>
      <c r="Q178" s="555"/>
      <c r="R178" s="555"/>
      <c r="S178" s="555"/>
      <c r="T178" s="555"/>
      <c r="U178" s="555"/>
      <c r="V178" s="555"/>
      <c r="W178" s="555"/>
      <c r="X178" s="555"/>
      <c r="Y178" s="555"/>
      <c r="Z178" s="555"/>
    </row>
    <row r="179">
      <c r="A179" s="555"/>
      <c r="B179" s="555"/>
      <c r="C179" s="555"/>
      <c r="D179" s="555"/>
      <c r="E179" s="555"/>
      <c r="F179" s="555"/>
      <c r="G179" s="555"/>
      <c r="H179" s="555"/>
      <c r="I179" s="555"/>
      <c r="J179" s="555"/>
      <c r="K179" s="555"/>
      <c r="L179" s="555"/>
      <c r="M179" s="555"/>
      <c r="N179" s="555"/>
      <c r="O179" s="555"/>
      <c r="P179" s="555"/>
      <c r="Q179" s="555"/>
      <c r="R179" s="555"/>
      <c r="S179" s="555"/>
      <c r="T179" s="555"/>
      <c r="U179" s="555"/>
      <c r="V179" s="555"/>
      <c r="W179" s="555"/>
      <c r="X179" s="555"/>
      <c r="Y179" s="555"/>
      <c r="Z179" s="555"/>
    </row>
    <row r="180">
      <c r="A180" s="555"/>
      <c r="B180" s="555"/>
      <c r="C180" s="555"/>
      <c r="D180" s="555"/>
      <c r="E180" s="555"/>
      <c r="F180" s="555"/>
      <c r="G180" s="555"/>
      <c r="H180" s="555"/>
      <c r="I180" s="555"/>
      <c r="J180" s="555"/>
      <c r="K180" s="555"/>
      <c r="L180" s="555"/>
      <c r="M180" s="555"/>
      <c r="N180" s="555"/>
      <c r="O180" s="555"/>
      <c r="P180" s="555"/>
      <c r="Q180" s="555"/>
      <c r="R180" s="555"/>
      <c r="S180" s="555"/>
      <c r="T180" s="555"/>
      <c r="U180" s="555"/>
      <c r="V180" s="555"/>
      <c r="W180" s="555"/>
      <c r="X180" s="555"/>
      <c r="Y180" s="555"/>
      <c r="Z180" s="555"/>
    </row>
    <row r="181">
      <c r="A181" s="555"/>
      <c r="B181" s="555"/>
      <c r="C181" s="555"/>
      <c r="D181" s="555"/>
      <c r="E181" s="555"/>
      <c r="F181" s="555"/>
      <c r="G181" s="555"/>
      <c r="H181" s="555"/>
      <c r="I181" s="555"/>
      <c r="J181" s="555"/>
      <c r="K181" s="555"/>
      <c r="L181" s="555"/>
      <c r="M181" s="555"/>
      <c r="N181" s="555"/>
      <c r="O181" s="555"/>
      <c r="P181" s="555"/>
      <c r="Q181" s="555"/>
      <c r="R181" s="555"/>
      <c r="S181" s="555"/>
      <c r="T181" s="555"/>
      <c r="U181" s="555"/>
      <c r="V181" s="555"/>
      <c r="W181" s="555"/>
      <c r="X181" s="555"/>
      <c r="Y181" s="555"/>
      <c r="Z181" s="555"/>
    </row>
    <row r="182">
      <c r="A182" s="555"/>
      <c r="B182" s="555"/>
      <c r="C182" s="555"/>
      <c r="D182" s="555"/>
      <c r="E182" s="555"/>
      <c r="F182" s="555"/>
      <c r="G182" s="555"/>
      <c r="H182" s="555"/>
      <c r="I182" s="555"/>
      <c r="J182" s="555"/>
      <c r="K182" s="555"/>
      <c r="L182" s="555"/>
      <c r="M182" s="555"/>
      <c r="N182" s="555"/>
      <c r="O182" s="555"/>
      <c r="P182" s="555"/>
      <c r="Q182" s="555"/>
      <c r="R182" s="555"/>
      <c r="S182" s="555"/>
      <c r="T182" s="555"/>
      <c r="U182" s="555"/>
      <c r="V182" s="555"/>
      <c r="W182" s="555"/>
      <c r="X182" s="555"/>
      <c r="Y182" s="555"/>
      <c r="Z182" s="555"/>
    </row>
    <row r="183">
      <c r="A183" s="555"/>
      <c r="B183" s="555"/>
      <c r="C183" s="555"/>
      <c r="D183" s="555"/>
      <c r="E183" s="555"/>
      <c r="F183" s="555"/>
      <c r="G183" s="555"/>
      <c r="H183" s="555"/>
      <c r="I183" s="555"/>
      <c r="J183" s="555"/>
      <c r="K183" s="555"/>
      <c r="L183" s="555"/>
      <c r="M183" s="555"/>
      <c r="N183" s="555"/>
      <c r="O183" s="555"/>
      <c r="P183" s="555"/>
      <c r="Q183" s="555"/>
      <c r="R183" s="555"/>
      <c r="S183" s="555"/>
      <c r="T183" s="555"/>
      <c r="U183" s="555"/>
      <c r="V183" s="555"/>
      <c r="W183" s="555"/>
      <c r="X183" s="555"/>
      <c r="Y183" s="555"/>
      <c r="Z183" s="555"/>
    </row>
    <row r="184">
      <c r="A184" s="555"/>
      <c r="B184" s="555"/>
      <c r="C184" s="555"/>
      <c r="D184" s="555"/>
      <c r="E184" s="555"/>
      <c r="F184" s="555"/>
      <c r="G184" s="555"/>
      <c r="H184" s="555"/>
      <c r="I184" s="555"/>
      <c r="J184" s="555"/>
      <c r="K184" s="555"/>
      <c r="L184" s="555"/>
      <c r="M184" s="555"/>
      <c r="N184" s="555"/>
      <c r="O184" s="555"/>
      <c r="P184" s="555"/>
      <c r="Q184" s="555"/>
      <c r="R184" s="555"/>
      <c r="S184" s="555"/>
      <c r="T184" s="555"/>
      <c r="U184" s="555"/>
      <c r="V184" s="555"/>
      <c r="W184" s="555"/>
      <c r="X184" s="555"/>
      <c r="Y184" s="555"/>
      <c r="Z184" s="555"/>
    </row>
    <row r="185">
      <c r="A185" s="555"/>
      <c r="B185" s="555"/>
      <c r="C185" s="555"/>
      <c r="D185" s="555"/>
      <c r="E185" s="555"/>
      <c r="F185" s="555"/>
      <c r="G185" s="555"/>
      <c r="H185" s="555"/>
      <c r="I185" s="555"/>
      <c r="J185" s="555"/>
      <c r="K185" s="555"/>
      <c r="L185" s="555"/>
      <c r="M185" s="555"/>
      <c r="N185" s="555"/>
      <c r="O185" s="555"/>
      <c r="P185" s="555"/>
      <c r="Q185" s="555"/>
      <c r="R185" s="555"/>
      <c r="S185" s="555"/>
      <c r="T185" s="555"/>
      <c r="U185" s="555"/>
      <c r="V185" s="555"/>
      <c r="W185" s="555"/>
      <c r="X185" s="555"/>
      <c r="Y185" s="555"/>
      <c r="Z185" s="555"/>
    </row>
    <row r="186">
      <c r="A186" s="555"/>
      <c r="B186" s="555"/>
      <c r="C186" s="555"/>
      <c r="D186" s="555"/>
      <c r="E186" s="555"/>
      <c r="F186" s="555"/>
      <c r="G186" s="555"/>
      <c r="H186" s="555"/>
      <c r="I186" s="555"/>
      <c r="J186" s="555"/>
      <c r="K186" s="555"/>
      <c r="L186" s="555"/>
      <c r="M186" s="555"/>
      <c r="N186" s="555"/>
      <c r="O186" s="555"/>
      <c r="P186" s="555"/>
      <c r="Q186" s="555"/>
      <c r="R186" s="555"/>
      <c r="S186" s="555"/>
      <c r="T186" s="555"/>
      <c r="U186" s="555"/>
      <c r="V186" s="555"/>
      <c r="W186" s="555"/>
      <c r="X186" s="555"/>
      <c r="Y186" s="555"/>
      <c r="Z186" s="555"/>
    </row>
    <row r="187">
      <c r="A187" s="555"/>
      <c r="B187" s="555"/>
      <c r="C187" s="555"/>
      <c r="D187" s="555"/>
      <c r="E187" s="555"/>
      <c r="F187" s="555"/>
      <c r="G187" s="555"/>
      <c r="H187" s="555"/>
      <c r="I187" s="555"/>
      <c r="J187" s="555"/>
      <c r="K187" s="555"/>
      <c r="L187" s="555"/>
      <c r="M187" s="555"/>
      <c r="N187" s="555"/>
      <c r="O187" s="555"/>
      <c r="P187" s="555"/>
      <c r="Q187" s="555"/>
      <c r="R187" s="555"/>
      <c r="S187" s="555"/>
      <c r="T187" s="555"/>
      <c r="U187" s="555"/>
      <c r="V187" s="555"/>
      <c r="W187" s="555"/>
      <c r="X187" s="555"/>
      <c r="Y187" s="555"/>
      <c r="Z187" s="555"/>
    </row>
    <row r="188">
      <c r="A188" s="555"/>
      <c r="B188" s="555"/>
      <c r="C188" s="555"/>
      <c r="D188" s="555"/>
      <c r="E188" s="555"/>
      <c r="F188" s="555"/>
      <c r="G188" s="555"/>
      <c r="H188" s="555"/>
      <c r="I188" s="555"/>
      <c r="J188" s="555"/>
      <c r="K188" s="555"/>
      <c r="L188" s="555"/>
      <c r="M188" s="555"/>
      <c r="N188" s="555"/>
      <c r="O188" s="555"/>
      <c r="P188" s="555"/>
      <c r="Q188" s="555"/>
      <c r="R188" s="555"/>
      <c r="S188" s="555"/>
      <c r="T188" s="555"/>
      <c r="U188" s="555"/>
      <c r="V188" s="555"/>
      <c r="W188" s="555"/>
      <c r="X188" s="555"/>
      <c r="Y188" s="555"/>
      <c r="Z188" s="555"/>
    </row>
    <row r="189">
      <c r="A189" s="555"/>
      <c r="B189" s="555"/>
      <c r="C189" s="555"/>
      <c r="D189" s="555"/>
      <c r="E189" s="555"/>
      <c r="F189" s="555"/>
      <c r="G189" s="555"/>
      <c r="H189" s="555"/>
      <c r="I189" s="555"/>
      <c r="J189" s="555"/>
      <c r="K189" s="555"/>
      <c r="L189" s="555"/>
      <c r="M189" s="555"/>
      <c r="N189" s="555"/>
      <c r="O189" s="555"/>
      <c r="P189" s="555"/>
      <c r="Q189" s="555"/>
      <c r="R189" s="555"/>
      <c r="S189" s="555"/>
      <c r="T189" s="555"/>
      <c r="U189" s="555"/>
      <c r="V189" s="555"/>
      <c r="W189" s="555"/>
      <c r="X189" s="555"/>
      <c r="Y189" s="555"/>
      <c r="Z189" s="555"/>
    </row>
    <row r="190">
      <c r="A190" s="555"/>
      <c r="B190" s="555"/>
      <c r="C190" s="555"/>
      <c r="D190" s="555"/>
      <c r="E190" s="555"/>
      <c r="F190" s="555"/>
      <c r="G190" s="555"/>
      <c r="H190" s="555"/>
      <c r="I190" s="555"/>
      <c r="J190" s="555"/>
      <c r="K190" s="555"/>
      <c r="L190" s="555"/>
      <c r="M190" s="555"/>
      <c r="N190" s="555"/>
      <c r="O190" s="555"/>
      <c r="P190" s="555"/>
      <c r="Q190" s="555"/>
      <c r="R190" s="555"/>
      <c r="S190" s="555"/>
      <c r="T190" s="555"/>
      <c r="U190" s="555"/>
      <c r="V190" s="555"/>
      <c r="W190" s="555"/>
      <c r="X190" s="555"/>
      <c r="Y190" s="555"/>
      <c r="Z190" s="555"/>
    </row>
    <row r="191">
      <c r="A191" s="555"/>
      <c r="B191" s="555"/>
      <c r="C191" s="555"/>
      <c r="D191" s="555"/>
      <c r="E191" s="555"/>
      <c r="F191" s="555"/>
      <c r="G191" s="555"/>
      <c r="H191" s="555"/>
      <c r="I191" s="555"/>
      <c r="J191" s="555"/>
      <c r="K191" s="555"/>
      <c r="L191" s="555"/>
      <c r="M191" s="555"/>
      <c r="N191" s="555"/>
      <c r="O191" s="555"/>
      <c r="P191" s="555"/>
      <c r="Q191" s="555"/>
      <c r="R191" s="555"/>
      <c r="S191" s="555"/>
      <c r="T191" s="555"/>
      <c r="U191" s="555"/>
      <c r="V191" s="555"/>
      <c r="W191" s="555"/>
      <c r="X191" s="555"/>
      <c r="Y191" s="555"/>
      <c r="Z191" s="555"/>
    </row>
    <row r="192">
      <c r="A192" s="555"/>
      <c r="B192" s="555"/>
      <c r="C192" s="555"/>
      <c r="D192" s="555"/>
      <c r="E192" s="555"/>
      <c r="F192" s="555"/>
      <c r="G192" s="555"/>
      <c r="H192" s="555"/>
      <c r="I192" s="555"/>
      <c r="J192" s="555"/>
      <c r="K192" s="555"/>
      <c r="L192" s="555"/>
      <c r="M192" s="555"/>
      <c r="N192" s="555"/>
      <c r="O192" s="555"/>
      <c r="P192" s="555"/>
      <c r="Q192" s="555"/>
      <c r="R192" s="555"/>
      <c r="S192" s="555"/>
      <c r="T192" s="555"/>
      <c r="U192" s="555"/>
      <c r="V192" s="555"/>
      <c r="W192" s="555"/>
      <c r="X192" s="555"/>
      <c r="Y192" s="555"/>
      <c r="Z192" s="555"/>
    </row>
    <row r="193">
      <c r="A193" s="555"/>
      <c r="B193" s="555"/>
      <c r="C193" s="555"/>
      <c r="D193" s="555"/>
      <c r="E193" s="555"/>
      <c r="F193" s="555"/>
      <c r="G193" s="555"/>
      <c r="H193" s="555"/>
      <c r="I193" s="555"/>
      <c r="J193" s="555"/>
      <c r="K193" s="555"/>
      <c r="L193" s="555"/>
      <c r="M193" s="555"/>
      <c r="N193" s="555"/>
      <c r="O193" s="555"/>
      <c r="P193" s="555"/>
      <c r="Q193" s="555"/>
      <c r="R193" s="555"/>
      <c r="S193" s="555"/>
      <c r="T193" s="555"/>
      <c r="U193" s="555"/>
      <c r="V193" s="555"/>
      <c r="W193" s="555"/>
      <c r="X193" s="555"/>
      <c r="Y193" s="555"/>
      <c r="Z193" s="555"/>
    </row>
    <row r="194">
      <c r="A194" s="555"/>
      <c r="B194" s="555"/>
      <c r="C194" s="555"/>
      <c r="D194" s="555"/>
      <c r="E194" s="555"/>
      <c r="F194" s="555"/>
      <c r="G194" s="555"/>
      <c r="H194" s="555"/>
      <c r="I194" s="555"/>
      <c r="J194" s="555"/>
      <c r="K194" s="555"/>
      <c r="L194" s="555"/>
      <c r="M194" s="555"/>
      <c r="N194" s="555"/>
      <c r="O194" s="555"/>
      <c r="P194" s="555"/>
      <c r="Q194" s="555"/>
      <c r="R194" s="555"/>
      <c r="S194" s="555"/>
      <c r="T194" s="555"/>
      <c r="U194" s="555"/>
      <c r="V194" s="555"/>
      <c r="W194" s="555"/>
      <c r="X194" s="555"/>
      <c r="Y194" s="555"/>
      <c r="Z194" s="555"/>
    </row>
    <row r="195">
      <c r="A195" s="555"/>
      <c r="B195" s="555"/>
      <c r="C195" s="555"/>
      <c r="D195" s="555"/>
      <c r="E195" s="555"/>
      <c r="F195" s="555"/>
      <c r="G195" s="555"/>
      <c r="H195" s="555"/>
      <c r="I195" s="555"/>
      <c r="J195" s="555"/>
      <c r="K195" s="555"/>
      <c r="L195" s="555"/>
      <c r="M195" s="555"/>
      <c r="N195" s="555"/>
      <c r="O195" s="555"/>
      <c r="P195" s="555"/>
      <c r="Q195" s="555"/>
      <c r="R195" s="555"/>
      <c r="S195" s="555"/>
      <c r="T195" s="555"/>
      <c r="U195" s="555"/>
      <c r="V195" s="555"/>
      <c r="W195" s="555"/>
      <c r="X195" s="555"/>
      <c r="Y195" s="555"/>
      <c r="Z195" s="555"/>
    </row>
    <row r="196">
      <c r="A196" s="555"/>
      <c r="B196" s="555"/>
      <c r="C196" s="555"/>
      <c r="D196" s="555"/>
      <c r="E196" s="555"/>
      <c r="F196" s="555"/>
      <c r="G196" s="555"/>
      <c r="H196" s="555"/>
      <c r="I196" s="555"/>
      <c r="J196" s="555"/>
      <c r="K196" s="555"/>
      <c r="L196" s="555"/>
      <c r="M196" s="555"/>
      <c r="N196" s="555"/>
      <c r="O196" s="555"/>
      <c r="P196" s="555"/>
      <c r="Q196" s="555"/>
      <c r="R196" s="555"/>
      <c r="S196" s="555"/>
      <c r="T196" s="555"/>
      <c r="U196" s="555"/>
      <c r="V196" s="555"/>
      <c r="W196" s="555"/>
      <c r="X196" s="555"/>
      <c r="Y196" s="555"/>
      <c r="Z196" s="555"/>
    </row>
    <row r="197">
      <c r="A197" s="555"/>
      <c r="B197" s="555"/>
      <c r="C197" s="555"/>
      <c r="D197" s="555"/>
      <c r="E197" s="555"/>
      <c r="F197" s="555"/>
      <c r="G197" s="555"/>
      <c r="H197" s="555"/>
      <c r="I197" s="555"/>
      <c r="J197" s="555"/>
      <c r="K197" s="555"/>
      <c r="L197" s="555"/>
      <c r="M197" s="555"/>
      <c r="N197" s="555"/>
      <c r="O197" s="555"/>
      <c r="P197" s="555"/>
      <c r="Q197" s="555"/>
      <c r="R197" s="555"/>
      <c r="S197" s="555"/>
      <c r="T197" s="555"/>
      <c r="U197" s="555"/>
      <c r="V197" s="555"/>
      <c r="W197" s="555"/>
      <c r="X197" s="555"/>
      <c r="Y197" s="555"/>
      <c r="Z197" s="555"/>
    </row>
    <row r="198">
      <c r="A198" s="555"/>
      <c r="B198" s="555"/>
      <c r="C198" s="555"/>
      <c r="D198" s="555"/>
      <c r="E198" s="555"/>
      <c r="F198" s="555"/>
      <c r="G198" s="555"/>
      <c r="H198" s="555"/>
      <c r="I198" s="555"/>
      <c r="J198" s="555"/>
      <c r="K198" s="555"/>
      <c r="L198" s="555"/>
      <c r="M198" s="555"/>
      <c r="N198" s="555"/>
      <c r="O198" s="555"/>
      <c r="P198" s="555"/>
      <c r="Q198" s="555"/>
      <c r="R198" s="555"/>
      <c r="S198" s="555"/>
      <c r="T198" s="555"/>
      <c r="U198" s="555"/>
      <c r="V198" s="555"/>
      <c r="W198" s="555"/>
      <c r="X198" s="555"/>
      <c r="Y198" s="555"/>
      <c r="Z198" s="555"/>
    </row>
    <row r="199">
      <c r="A199" s="555"/>
      <c r="B199" s="555"/>
      <c r="C199" s="555"/>
      <c r="D199" s="555"/>
      <c r="E199" s="555"/>
      <c r="F199" s="555"/>
      <c r="G199" s="555"/>
      <c r="H199" s="555"/>
      <c r="I199" s="555"/>
      <c r="J199" s="555"/>
      <c r="K199" s="555"/>
      <c r="L199" s="555"/>
      <c r="M199" s="555"/>
      <c r="N199" s="555"/>
      <c r="O199" s="555"/>
      <c r="P199" s="555"/>
      <c r="Q199" s="555"/>
      <c r="R199" s="555"/>
      <c r="S199" s="555"/>
      <c r="T199" s="555"/>
      <c r="U199" s="555"/>
      <c r="V199" s="555"/>
      <c r="W199" s="555"/>
      <c r="X199" s="555"/>
      <c r="Y199" s="555"/>
      <c r="Z199" s="555"/>
    </row>
    <row r="200">
      <c r="A200" s="555"/>
      <c r="B200" s="555"/>
      <c r="C200" s="555"/>
      <c r="D200" s="555"/>
      <c r="E200" s="555"/>
      <c r="F200" s="555"/>
      <c r="G200" s="555"/>
      <c r="H200" s="555"/>
      <c r="I200" s="555"/>
      <c r="J200" s="555"/>
      <c r="K200" s="555"/>
      <c r="L200" s="555"/>
      <c r="M200" s="555"/>
      <c r="N200" s="555"/>
      <c r="O200" s="555"/>
      <c r="P200" s="555"/>
      <c r="Q200" s="555"/>
      <c r="R200" s="555"/>
      <c r="S200" s="555"/>
      <c r="T200" s="555"/>
      <c r="U200" s="555"/>
      <c r="V200" s="555"/>
      <c r="W200" s="555"/>
      <c r="X200" s="555"/>
      <c r="Y200" s="555"/>
      <c r="Z200" s="555"/>
    </row>
    <row r="201">
      <c r="A201" s="555"/>
      <c r="B201" s="555"/>
      <c r="C201" s="555"/>
      <c r="D201" s="555"/>
      <c r="E201" s="555"/>
      <c r="F201" s="555"/>
      <c r="G201" s="555"/>
      <c r="H201" s="555"/>
      <c r="I201" s="555"/>
      <c r="J201" s="555"/>
      <c r="K201" s="555"/>
      <c r="L201" s="555"/>
      <c r="M201" s="555"/>
      <c r="N201" s="555"/>
      <c r="O201" s="555"/>
      <c r="P201" s="555"/>
      <c r="Q201" s="555"/>
      <c r="R201" s="555"/>
      <c r="S201" s="555"/>
      <c r="T201" s="555"/>
      <c r="U201" s="555"/>
      <c r="V201" s="555"/>
      <c r="W201" s="555"/>
      <c r="X201" s="555"/>
      <c r="Y201" s="555"/>
      <c r="Z201" s="555"/>
    </row>
    <row r="202">
      <c r="A202" s="555"/>
      <c r="B202" s="555"/>
      <c r="C202" s="555"/>
      <c r="D202" s="555"/>
      <c r="E202" s="555"/>
      <c r="F202" s="555"/>
      <c r="G202" s="555"/>
      <c r="H202" s="555"/>
      <c r="I202" s="555"/>
      <c r="J202" s="555"/>
      <c r="K202" s="555"/>
      <c r="L202" s="555"/>
      <c r="M202" s="555"/>
      <c r="N202" s="555"/>
      <c r="O202" s="555"/>
      <c r="P202" s="555"/>
      <c r="Q202" s="555"/>
      <c r="R202" s="555"/>
      <c r="S202" s="555"/>
      <c r="T202" s="555"/>
      <c r="U202" s="555"/>
      <c r="V202" s="555"/>
      <c r="W202" s="555"/>
      <c r="X202" s="555"/>
      <c r="Y202" s="555"/>
      <c r="Z202" s="555"/>
    </row>
    <row r="203">
      <c r="A203" s="555"/>
      <c r="B203" s="555"/>
      <c r="C203" s="555"/>
      <c r="D203" s="555"/>
      <c r="E203" s="555"/>
      <c r="F203" s="555"/>
      <c r="G203" s="555"/>
      <c r="H203" s="555"/>
      <c r="I203" s="555"/>
      <c r="J203" s="555"/>
      <c r="K203" s="555"/>
      <c r="L203" s="555"/>
      <c r="M203" s="555"/>
      <c r="N203" s="555"/>
      <c r="O203" s="555"/>
      <c r="P203" s="555"/>
      <c r="Q203" s="555"/>
      <c r="R203" s="555"/>
      <c r="S203" s="555"/>
      <c r="T203" s="555"/>
      <c r="U203" s="555"/>
      <c r="V203" s="555"/>
      <c r="W203" s="555"/>
      <c r="X203" s="555"/>
      <c r="Y203" s="555"/>
      <c r="Z203" s="555"/>
    </row>
    <row r="204">
      <c r="A204" s="555"/>
      <c r="B204" s="555"/>
      <c r="C204" s="555"/>
      <c r="D204" s="555"/>
      <c r="E204" s="555"/>
      <c r="F204" s="555"/>
      <c r="G204" s="555"/>
      <c r="H204" s="555"/>
      <c r="I204" s="555"/>
      <c r="J204" s="555"/>
      <c r="K204" s="555"/>
      <c r="L204" s="555"/>
      <c r="M204" s="555"/>
      <c r="N204" s="555"/>
      <c r="O204" s="555"/>
      <c r="P204" s="555"/>
      <c r="Q204" s="555"/>
      <c r="R204" s="555"/>
      <c r="S204" s="555"/>
      <c r="T204" s="555"/>
      <c r="U204" s="555"/>
      <c r="V204" s="555"/>
      <c r="W204" s="555"/>
      <c r="X204" s="555"/>
      <c r="Y204" s="555"/>
      <c r="Z204" s="555"/>
    </row>
    <row r="205">
      <c r="A205" s="555"/>
      <c r="B205" s="555"/>
      <c r="C205" s="555"/>
      <c r="D205" s="555"/>
      <c r="E205" s="555"/>
      <c r="F205" s="555"/>
      <c r="G205" s="555"/>
      <c r="H205" s="555"/>
      <c r="I205" s="555"/>
      <c r="J205" s="555"/>
      <c r="K205" s="555"/>
      <c r="L205" s="555"/>
      <c r="M205" s="555"/>
      <c r="N205" s="555"/>
      <c r="O205" s="555"/>
      <c r="P205" s="555"/>
      <c r="Q205" s="555"/>
      <c r="R205" s="555"/>
      <c r="S205" s="555"/>
      <c r="T205" s="555"/>
      <c r="U205" s="555"/>
      <c r="V205" s="555"/>
      <c r="W205" s="555"/>
      <c r="X205" s="555"/>
      <c r="Y205" s="555"/>
      <c r="Z205" s="555"/>
    </row>
    <row r="206">
      <c r="A206" s="555"/>
      <c r="B206" s="555"/>
      <c r="C206" s="555"/>
      <c r="D206" s="555"/>
      <c r="E206" s="555"/>
      <c r="F206" s="555"/>
      <c r="G206" s="555"/>
      <c r="H206" s="555"/>
      <c r="I206" s="555"/>
      <c r="J206" s="555"/>
      <c r="K206" s="555"/>
      <c r="L206" s="555"/>
      <c r="M206" s="555"/>
      <c r="N206" s="555"/>
      <c r="O206" s="555"/>
      <c r="P206" s="555"/>
      <c r="Q206" s="555"/>
      <c r="R206" s="555"/>
      <c r="S206" s="555"/>
      <c r="T206" s="555"/>
      <c r="U206" s="555"/>
      <c r="V206" s="555"/>
      <c r="W206" s="555"/>
      <c r="X206" s="555"/>
      <c r="Y206" s="555"/>
      <c r="Z206" s="555"/>
    </row>
    <row r="207">
      <c r="A207" s="555"/>
      <c r="B207" s="555"/>
      <c r="C207" s="555"/>
      <c r="D207" s="555"/>
      <c r="E207" s="555"/>
      <c r="F207" s="555"/>
      <c r="G207" s="555"/>
      <c r="H207" s="555"/>
      <c r="I207" s="555"/>
      <c r="J207" s="555"/>
      <c r="K207" s="555"/>
      <c r="L207" s="555"/>
      <c r="M207" s="555"/>
      <c r="N207" s="555"/>
      <c r="O207" s="555"/>
      <c r="P207" s="555"/>
      <c r="Q207" s="555"/>
      <c r="R207" s="555"/>
      <c r="S207" s="555"/>
      <c r="T207" s="555"/>
      <c r="U207" s="555"/>
      <c r="V207" s="555"/>
      <c r="W207" s="555"/>
      <c r="X207" s="555"/>
      <c r="Y207" s="555"/>
      <c r="Z207" s="555"/>
    </row>
    <row r="208">
      <c r="A208" s="555"/>
      <c r="B208" s="555"/>
      <c r="C208" s="555"/>
      <c r="D208" s="555"/>
      <c r="E208" s="555"/>
      <c r="F208" s="555"/>
      <c r="G208" s="555"/>
      <c r="H208" s="555"/>
      <c r="I208" s="555"/>
      <c r="J208" s="555"/>
      <c r="K208" s="555"/>
      <c r="L208" s="555"/>
      <c r="M208" s="555"/>
      <c r="N208" s="555"/>
      <c r="O208" s="555"/>
      <c r="P208" s="555"/>
      <c r="Q208" s="555"/>
      <c r="R208" s="555"/>
      <c r="S208" s="555"/>
      <c r="T208" s="555"/>
      <c r="U208" s="555"/>
      <c r="V208" s="555"/>
      <c r="W208" s="555"/>
      <c r="X208" s="555"/>
      <c r="Y208" s="555"/>
      <c r="Z208" s="555"/>
    </row>
    <row r="209">
      <c r="A209" s="555"/>
      <c r="B209" s="555"/>
      <c r="C209" s="555"/>
      <c r="D209" s="555"/>
      <c r="E209" s="555"/>
      <c r="F209" s="555"/>
      <c r="G209" s="555"/>
      <c r="H209" s="555"/>
      <c r="I209" s="555"/>
      <c r="J209" s="555"/>
      <c r="K209" s="555"/>
      <c r="L209" s="555"/>
      <c r="M209" s="555"/>
      <c r="N209" s="555"/>
      <c r="O209" s="555"/>
      <c r="P209" s="555"/>
      <c r="Q209" s="555"/>
      <c r="R209" s="555"/>
      <c r="S209" s="555"/>
      <c r="T209" s="555"/>
      <c r="U209" s="555"/>
      <c r="V209" s="555"/>
      <c r="W209" s="555"/>
      <c r="X209" s="555"/>
      <c r="Y209" s="555"/>
      <c r="Z209" s="555"/>
    </row>
    <row r="210">
      <c r="A210" s="555"/>
      <c r="B210" s="555"/>
      <c r="C210" s="555"/>
      <c r="D210" s="555"/>
      <c r="E210" s="555"/>
      <c r="F210" s="555"/>
      <c r="G210" s="555"/>
      <c r="H210" s="555"/>
      <c r="I210" s="555"/>
      <c r="J210" s="555"/>
      <c r="K210" s="555"/>
      <c r="L210" s="555"/>
      <c r="M210" s="555"/>
      <c r="N210" s="555"/>
      <c r="O210" s="555"/>
      <c r="P210" s="555"/>
      <c r="Q210" s="555"/>
      <c r="R210" s="555"/>
      <c r="S210" s="555"/>
      <c r="T210" s="555"/>
      <c r="U210" s="555"/>
      <c r="V210" s="555"/>
      <c r="W210" s="555"/>
      <c r="X210" s="555"/>
      <c r="Y210" s="555"/>
      <c r="Z210" s="555"/>
    </row>
    <row r="211">
      <c r="A211" s="555"/>
      <c r="B211" s="555"/>
      <c r="C211" s="555"/>
      <c r="D211" s="555"/>
      <c r="E211" s="555"/>
      <c r="F211" s="555"/>
      <c r="G211" s="555"/>
      <c r="H211" s="555"/>
      <c r="I211" s="555"/>
      <c r="J211" s="555"/>
      <c r="K211" s="555"/>
      <c r="L211" s="555"/>
      <c r="M211" s="555"/>
      <c r="N211" s="555"/>
      <c r="O211" s="555"/>
      <c r="P211" s="555"/>
      <c r="Q211" s="555"/>
      <c r="R211" s="555"/>
      <c r="S211" s="555"/>
      <c r="T211" s="555"/>
      <c r="U211" s="555"/>
      <c r="V211" s="555"/>
      <c r="W211" s="555"/>
      <c r="X211" s="555"/>
      <c r="Y211" s="555"/>
      <c r="Z211" s="555"/>
    </row>
    <row r="212">
      <c r="A212" s="555"/>
      <c r="B212" s="555"/>
      <c r="C212" s="555"/>
      <c r="D212" s="555"/>
      <c r="E212" s="555"/>
      <c r="F212" s="555"/>
      <c r="G212" s="555"/>
      <c r="H212" s="555"/>
      <c r="I212" s="555"/>
      <c r="J212" s="555"/>
      <c r="K212" s="555"/>
      <c r="L212" s="555"/>
      <c r="M212" s="555"/>
      <c r="N212" s="555"/>
      <c r="O212" s="555"/>
      <c r="P212" s="555"/>
      <c r="Q212" s="555"/>
      <c r="R212" s="555"/>
      <c r="S212" s="555"/>
      <c r="T212" s="555"/>
      <c r="U212" s="555"/>
      <c r="V212" s="555"/>
      <c r="W212" s="555"/>
      <c r="X212" s="555"/>
      <c r="Y212" s="555"/>
      <c r="Z212" s="555"/>
    </row>
    <row r="213">
      <c r="A213" s="555"/>
      <c r="B213" s="555"/>
      <c r="C213" s="555"/>
      <c r="D213" s="555"/>
      <c r="E213" s="555"/>
      <c r="F213" s="555"/>
      <c r="G213" s="555"/>
      <c r="H213" s="555"/>
      <c r="I213" s="555"/>
      <c r="J213" s="555"/>
      <c r="K213" s="555"/>
      <c r="L213" s="555"/>
      <c r="M213" s="555"/>
      <c r="N213" s="555"/>
      <c r="O213" s="555"/>
      <c r="P213" s="555"/>
      <c r="Q213" s="555"/>
      <c r="R213" s="555"/>
      <c r="S213" s="555"/>
      <c r="T213" s="555"/>
      <c r="U213" s="555"/>
      <c r="V213" s="555"/>
      <c r="W213" s="555"/>
      <c r="X213" s="555"/>
      <c r="Y213" s="555"/>
      <c r="Z213" s="555"/>
    </row>
    <row r="214">
      <c r="A214" s="555"/>
      <c r="B214" s="555"/>
      <c r="C214" s="555"/>
      <c r="D214" s="555"/>
      <c r="E214" s="555"/>
      <c r="F214" s="555"/>
      <c r="G214" s="555"/>
      <c r="H214" s="555"/>
      <c r="I214" s="555"/>
      <c r="J214" s="555"/>
      <c r="K214" s="555"/>
      <c r="L214" s="555"/>
      <c r="M214" s="555"/>
      <c r="N214" s="555"/>
      <c r="O214" s="555"/>
      <c r="P214" s="555"/>
      <c r="Q214" s="555"/>
      <c r="R214" s="555"/>
      <c r="S214" s="555"/>
      <c r="T214" s="555"/>
      <c r="U214" s="555"/>
      <c r="V214" s="555"/>
      <c r="W214" s="555"/>
      <c r="X214" s="555"/>
      <c r="Y214" s="555"/>
      <c r="Z214" s="555"/>
    </row>
    <row r="215">
      <c r="A215" s="555"/>
      <c r="B215" s="555"/>
      <c r="C215" s="555"/>
      <c r="D215" s="555"/>
      <c r="E215" s="555"/>
      <c r="F215" s="555"/>
      <c r="G215" s="555"/>
      <c r="H215" s="555"/>
      <c r="I215" s="555"/>
      <c r="J215" s="555"/>
      <c r="K215" s="555"/>
      <c r="L215" s="555"/>
      <c r="M215" s="555"/>
      <c r="N215" s="555"/>
      <c r="O215" s="555"/>
      <c r="P215" s="555"/>
      <c r="Q215" s="555"/>
      <c r="R215" s="555"/>
      <c r="S215" s="555"/>
      <c r="T215" s="555"/>
      <c r="U215" s="555"/>
      <c r="V215" s="555"/>
      <c r="W215" s="555"/>
      <c r="X215" s="555"/>
      <c r="Y215" s="555"/>
      <c r="Z215" s="555"/>
    </row>
    <row r="216">
      <c r="A216" s="555"/>
      <c r="B216" s="555"/>
      <c r="C216" s="555"/>
      <c r="D216" s="555"/>
      <c r="E216" s="555"/>
      <c r="F216" s="555"/>
      <c r="G216" s="555"/>
      <c r="H216" s="555"/>
      <c r="I216" s="555"/>
      <c r="J216" s="555"/>
      <c r="K216" s="555"/>
      <c r="L216" s="555"/>
      <c r="M216" s="555"/>
      <c r="N216" s="555"/>
      <c r="O216" s="555"/>
      <c r="P216" s="555"/>
      <c r="Q216" s="555"/>
      <c r="R216" s="555"/>
      <c r="S216" s="555"/>
      <c r="T216" s="555"/>
      <c r="U216" s="555"/>
      <c r="V216" s="555"/>
      <c r="W216" s="555"/>
      <c r="X216" s="555"/>
      <c r="Y216" s="555"/>
      <c r="Z216" s="555"/>
    </row>
    <row r="217">
      <c r="A217" s="555"/>
      <c r="B217" s="555"/>
      <c r="C217" s="555"/>
      <c r="D217" s="555"/>
      <c r="E217" s="555"/>
      <c r="F217" s="555"/>
      <c r="G217" s="555"/>
      <c r="H217" s="555"/>
      <c r="I217" s="555"/>
      <c r="J217" s="555"/>
      <c r="K217" s="555"/>
      <c r="L217" s="555"/>
      <c r="M217" s="555"/>
      <c r="N217" s="555"/>
      <c r="O217" s="555"/>
      <c r="P217" s="555"/>
      <c r="Q217" s="555"/>
      <c r="R217" s="555"/>
      <c r="S217" s="555"/>
      <c r="T217" s="555"/>
      <c r="U217" s="555"/>
      <c r="V217" s="555"/>
      <c r="W217" s="555"/>
      <c r="X217" s="555"/>
      <c r="Y217" s="555"/>
      <c r="Z217" s="555"/>
    </row>
    <row r="218">
      <c r="A218" s="555"/>
      <c r="B218" s="555"/>
      <c r="C218" s="555"/>
      <c r="D218" s="555"/>
      <c r="E218" s="555"/>
      <c r="F218" s="555"/>
      <c r="G218" s="555"/>
      <c r="H218" s="555"/>
      <c r="I218" s="555"/>
      <c r="J218" s="555"/>
      <c r="K218" s="555"/>
      <c r="L218" s="555"/>
      <c r="M218" s="555"/>
      <c r="N218" s="555"/>
      <c r="O218" s="555"/>
      <c r="P218" s="555"/>
      <c r="Q218" s="555"/>
      <c r="R218" s="555"/>
      <c r="S218" s="555"/>
      <c r="T218" s="555"/>
      <c r="U218" s="555"/>
      <c r="V218" s="555"/>
      <c r="W218" s="555"/>
      <c r="X218" s="555"/>
      <c r="Y218" s="555"/>
      <c r="Z218" s="555"/>
    </row>
    <row r="219">
      <c r="A219" s="555"/>
      <c r="B219" s="555"/>
      <c r="C219" s="555"/>
      <c r="D219" s="555"/>
      <c r="E219" s="555"/>
      <c r="F219" s="555"/>
      <c r="G219" s="555"/>
      <c r="H219" s="555"/>
      <c r="I219" s="555"/>
      <c r="J219" s="555"/>
      <c r="K219" s="555"/>
      <c r="L219" s="555"/>
      <c r="M219" s="555"/>
      <c r="N219" s="555"/>
      <c r="O219" s="555"/>
      <c r="P219" s="555"/>
      <c r="Q219" s="555"/>
      <c r="R219" s="555"/>
      <c r="S219" s="555"/>
      <c r="T219" s="555"/>
      <c r="U219" s="555"/>
      <c r="V219" s="555"/>
      <c r="W219" s="555"/>
      <c r="X219" s="555"/>
      <c r="Y219" s="555"/>
      <c r="Z219" s="555"/>
    </row>
    <row r="220">
      <c r="A220" s="555"/>
      <c r="B220" s="555"/>
      <c r="C220" s="555"/>
      <c r="D220" s="555"/>
      <c r="E220" s="555"/>
      <c r="F220" s="555"/>
      <c r="G220" s="555"/>
      <c r="H220" s="555"/>
      <c r="I220" s="555"/>
      <c r="J220" s="555"/>
      <c r="K220" s="555"/>
      <c r="L220" s="555"/>
      <c r="M220" s="555"/>
      <c r="N220" s="555"/>
      <c r="O220" s="555"/>
      <c r="P220" s="555"/>
      <c r="Q220" s="555"/>
      <c r="R220" s="555"/>
      <c r="S220" s="555"/>
      <c r="T220" s="555"/>
      <c r="U220" s="555"/>
      <c r="V220" s="555"/>
      <c r="W220" s="555"/>
      <c r="X220" s="555"/>
      <c r="Y220" s="555"/>
      <c r="Z220" s="555"/>
    </row>
    <row r="221">
      <c r="A221" s="555"/>
      <c r="B221" s="555"/>
      <c r="C221" s="555"/>
      <c r="D221" s="555"/>
      <c r="E221" s="555"/>
      <c r="F221" s="555"/>
      <c r="G221" s="555"/>
      <c r="H221" s="555"/>
      <c r="I221" s="555"/>
      <c r="J221" s="555"/>
      <c r="K221" s="555"/>
      <c r="L221" s="555"/>
      <c r="M221" s="555"/>
      <c r="N221" s="555"/>
      <c r="O221" s="555"/>
      <c r="P221" s="555"/>
      <c r="Q221" s="555"/>
      <c r="R221" s="555"/>
      <c r="S221" s="555"/>
      <c r="T221" s="555"/>
      <c r="U221" s="555"/>
      <c r="V221" s="555"/>
      <c r="W221" s="555"/>
      <c r="X221" s="555"/>
      <c r="Y221" s="555"/>
      <c r="Z221" s="555"/>
    </row>
    <row r="222">
      <c r="A222" s="555"/>
      <c r="B222" s="555"/>
      <c r="C222" s="555"/>
      <c r="D222" s="555"/>
      <c r="E222" s="555"/>
      <c r="F222" s="555"/>
      <c r="G222" s="555"/>
      <c r="H222" s="555"/>
      <c r="I222" s="555"/>
      <c r="J222" s="555"/>
      <c r="K222" s="555"/>
      <c r="L222" s="555"/>
      <c r="M222" s="555"/>
      <c r="N222" s="555"/>
      <c r="O222" s="555"/>
      <c r="P222" s="555"/>
      <c r="Q222" s="555"/>
      <c r="R222" s="555"/>
      <c r="S222" s="555"/>
      <c r="T222" s="555"/>
      <c r="U222" s="555"/>
      <c r="V222" s="555"/>
      <c r="W222" s="555"/>
      <c r="X222" s="555"/>
      <c r="Y222" s="555"/>
      <c r="Z222" s="555"/>
    </row>
    <row r="223">
      <c r="A223" s="555"/>
      <c r="B223" s="555"/>
      <c r="C223" s="555"/>
      <c r="D223" s="555"/>
      <c r="E223" s="555"/>
      <c r="F223" s="555"/>
      <c r="G223" s="555"/>
      <c r="H223" s="555"/>
      <c r="I223" s="555"/>
      <c r="J223" s="555"/>
      <c r="K223" s="555"/>
      <c r="L223" s="555"/>
      <c r="M223" s="555"/>
      <c r="N223" s="555"/>
      <c r="O223" s="555"/>
      <c r="P223" s="555"/>
      <c r="Q223" s="555"/>
      <c r="R223" s="555"/>
      <c r="S223" s="555"/>
      <c r="T223" s="555"/>
      <c r="U223" s="555"/>
      <c r="V223" s="555"/>
      <c r="W223" s="555"/>
      <c r="X223" s="555"/>
      <c r="Y223" s="555"/>
      <c r="Z223" s="555"/>
    </row>
    <row r="224">
      <c r="A224" s="555"/>
      <c r="B224" s="555"/>
      <c r="C224" s="555"/>
      <c r="D224" s="555"/>
      <c r="E224" s="555"/>
      <c r="F224" s="555"/>
      <c r="G224" s="555"/>
      <c r="H224" s="555"/>
      <c r="I224" s="555"/>
      <c r="J224" s="555"/>
      <c r="K224" s="555"/>
      <c r="L224" s="555"/>
      <c r="M224" s="555"/>
      <c r="N224" s="555"/>
      <c r="O224" s="555"/>
      <c r="P224" s="555"/>
      <c r="Q224" s="555"/>
      <c r="R224" s="555"/>
      <c r="S224" s="555"/>
      <c r="T224" s="555"/>
      <c r="U224" s="555"/>
      <c r="V224" s="555"/>
      <c r="W224" s="555"/>
      <c r="X224" s="555"/>
      <c r="Y224" s="555"/>
      <c r="Z224" s="555"/>
    </row>
    <row r="225">
      <c r="A225" s="555"/>
      <c r="B225" s="555"/>
      <c r="C225" s="555"/>
      <c r="D225" s="555"/>
      <c r="E225" s="555"/>
      <c r="F225" s="555"/>
      <c r="G225" s="555"/>
      <c r="H225" s="555"/>
      <c r="I225" s="555"/>
      <c r="J225" s="555"/>
      <c r="K225" s="555"/>
      <c r="L225" s="555"/>
      <c r="M225" s="555"/>
      <c r="N225" s="555"/>
      <c r="O225" s="555"/>
      <c r="P225" s="555"/>
      <c r="Q225" s="555"/>
      <c r="R225" s="555"/>
      <c r="S225" s="555"/>
      <c r="T225" s="555"/>
      <c r="U225" s="555"/>
      <c r="V225" s="555"/>
      <c r="W225" s="555"/>
      <c r="X225" s="555"/>
      <c r="Y225" s="555"/>
      <c r="Z225" s="555"/>
    </row>
    <row r="226">
      <c r="A226" s="555"/>
      <c r="B226" s="555"/>
      <c r="C226" s="555"/>
      <c r="D226" s="555"/>
      <c r="E226" s="555"/>
      <c r="F226" s="555"/>
      <c r="G226" s="555"/>
      <c r="H226" s="555"/>
      <c r="I226" s="555"/>
      <c r="J226" s="555"/>
      <c r="K226" s="555"/>
      <c r="L226" s="555"/>
      <c r="M226" s="555"/>
      <c r="N226" s="555"/>
      <c r="O226" s="555"/>
      <c r="P226" s="555"/>
      <c r="Q226" s="555"/>
      <c r="R226" s="555"/>
      <c r="S226" s="555"/>
      <c r="T226" s="555"/>
      <c r="U226" s="555"/>
      <c r="V226" s="555"/>
      <c r="W226" s="555"/>
      <c r="X226" s="555"/>
      <c r="Y226" s="555"/>
      <c r="Z226" s="555"/>
    </row>
    <row r="227">
      <c r="A227" s="555"/>
      <c r="B227" s="555"/>
      <c r="C227" s="555"/>
      <c r="D227" s="555"/>
      <c r="E227" s="555"/>
      <c r="F227" s="555"/>
      <c r="G227" s="555"/>
      <c r="H227" s="555"/>
      <c r="I227" s="555"/>
      <c r="J227" s="555"/>
      <c r="K227" s="555"/>
      <c r="L227" s="555"/>
      <c r="M227" s="555"/>
      <c r="N227" s="555"/>
      <c r="O227" s="555"/>
      <c r="P227" s="555"/>
      <c r="Q227" s="555"/>
      <c r="R227" s="555"/>
      <c r="S227" s="555"/>
      <c r="T227" s="555"/>
      <c r="U227" s="555"/>
      <c r="V227" s="555"/>
      <c r="W227" s="555"/>
      <c r="X227" s="555"/>
      <c r="Y227" s="555"/>
      <c r="Z227" s="555"/>
    </row>
    <row r="228">
      <c r="A228" s="555"/>
      <c r="B228" s="555"/>
      <c r="C228" s="555"/>
      <c r="D228" s="555"/>
      <c r="E228" s="555"/>
      <c r="F228" s="555"/>
      <c r="G228" s="555"/>
      <c r="H228" s="555"/>
      <c r="I228" s="555"/>
      <c r="J228" s="555"/>
      <c r="K228" s="555"/>
      <c r="L228" s="555"/>
      <c r="M228" s="555"/>
      <c r="N228" s="555"/>
      <c r="O228" s="555"/>
      <c r="P228" s="555"/>
      <c r="Q228" s="555"/>
      <c r="R228" s="555"/>
      <c r="S228" s="555"/>
      <c r="T228" s="555"/>
      <c r="U228" s="555"/>
      <c r="V228" s="555"/>
      <c r="W228" s="555"/>
      <c r="X228" s="555"/>
      <c r="Y228" s="555"/>
      <c r="Z228" s="555"/>
    </row>
    <row r="229">
      <c r="A229" s="555"/>
      <c r="B229" s="555"/>
      <c r="C229" s="555"/>
      <c r="D229" s="555"/>
      <c r="E229" s="555"/>
      <c r="F229" s="555"/>
      <c r="G229" s="555"/>
      <c r="H229" s="555"/>
      <c r="I229" s="555"/>
      <c r="J229" s="555"/>
      <c r="K229" s="555"/>
      <c r="L229" s="555"/>
      <c r="M229" s="555"/>
      <c r="N229" s="555"/>
      <c r="O229" s="555"/>
      <c r="P229" s="555"/>
      <c r="Q229" s="555"/>
      <c r="R229" s="555"/>
      <c r="S229" s="555"/>
      <c r="T229" s="555"/>
      <c r="U229" s="555"/>
      <c r="V229" s="555"/>
      <c r="W229" s="555"/>
      <c r="X229" s="555"/>
      <c r="Y229" s="555"/>
      <c r="Z229" s="555"/>
    </row>
    <row r="230">
      <c r="A230" s="555"/>
      <c r="B230" s="555"/>
      <c r="C230" s="555"/>
      <c r="D230" s="555"/>
      <c r="E230" s="555"/>
      <c r="F230" s="555"/>
      <c r="G230" s="555"/>
      <c r="H230" s="555"/>
      <c r="I230" s="555"/>
      <c r="J230" s="555"/>
      <c r="K230" s="555"/>
      <c r="L230" s="555"/>
      <c r="M230" s="555"/>
      <c r="N230" s="555"/>
      <c r="O230" s="555"/>
      <c r="P230" s="555"/>
      <c r="Q230" s="555"/>
      <c r="R230" s="555"/>
      <c r="S230" s="555"/>
      <c r="T230" s="555"/>
      <c r="U230" s="555"/>
      <c r="V230" s="555"/>
      <c r="W230" s="555"/>
      <c r="X230" s="555"/>
      <c r="Y230" s="555"/>
      <c r="Z230" s="555"/>
    </row>
    <row r="231">
      <c r="A231" s="555"/>
      <c r="B231" s="555"/>
      <c r="C231" s="555"/>
      <c r="D231" s="555"/>
      <c r="E231" s="555"/>
      <c r="F231" s="555"/>
      <c r="G231" s="555"/>
      <c r="H231" s="555"/>
      <c r="I231" s="555"/>
      <c r="J231" s="555"/>
      <c r="K231" s="555"/>
      <c r="L231" s="555"/>
      <c r="M231" s="555"/>
      <c r="N231" s="555"/>
      <c r="O231" s="555"/>
      <c r="P231" s="555"/>
      <c r="Q231" s="555"/>
      <c r="R231" s="555"/>
      <c r="S231" s="555"/>
      <c r="T231" s="555"/>
      <c r="U231" s="555"/>
      <c r="V231" s="555"/>
      <c r="W231" s="555"/>
      <c r="X231" s="555"/>
      <c r="Y231" s="555"/>
      <c r="Z231" s="555"/>
    </row>
    <row r="232">
      <c r="A232" s="555"/>
      <c r="B232" s="555"/>
      <c r="C232" s="555"/>
      <c r="D232" s="555"/>
      <c r="E232" s="555"/>
      <c r="F232" s="555"/>
      <c r="G232" s="555"/>
      <c r="H232" s="555"/>
      <c r="I232" s="555"/>
      <c r="J232" s="555"/>
      <c r="K232" s="555"/>
      <c r="L232" s="555"/>
      <c r="M232" s="555"/>
      <c r="N232" s="555"/>
      <c r="O232" s="555"/>
      <c r="P232" s="555"/>
      <c r="Q232" s="555"/>
      <c r="R232" s="555"/>
      <c r="S232" s="555"/>
      <c r="T232" s="555"/>
      <c r="U232" s="555"/>
      <c r="V232" s="555"/>
      <c r="W232" s="555"/>
      <c r="X232" s="555"/>
      <c r="Y232" s="555"/>
      <c r="Z232" s="555"/>
    </row>
    <row r="233">
      <c r="A233" s="555"/>
      <c r="B233" s="555"/>
      <c r="C233" s="555"/>
      <c r="D233" s="555"/>
      <c r="E233" s="555"/>
      <c r="F233" s="555"/>
      <c r="G233" s="555"/>
      <c r="H233" s="555"/>
      <c r="I233" s="555"/>
      <c r="J233" s="555"/>
      <c r="K233" s="555"/>
      <c r="L233" s="555"/>
      <c r="M233" s="555"/>
      <c r="N233" s="555"/>
      <c r="O233" s="555"/>
      <c r="P233" s="555"/>
      <c r="Q233" s="555"/>
      <c r="R233" s="555"/>
      <c r="S233" s="555"/>
      <c r="T233" s="555"/>
      <c r="U233" s="555"/>
      <c r="V233" s="555"/>
      <c r="W233" s="555"/>
      <c r="X233" s="555"/>
      <c r="Y233" s="555"/>
      <c r="Z233" s="555"/>
    </row>
    <row r="234">
      <c r="A234" s="555"/>
      <c r="B234" s="555"/>
      <c r="C234" s="555"/>
      <c r="D234" s="555"/>
      <c r="E234" s="555"/>
      <c r="F234" s="555"/>
      <c r="G234" s="555"/>
      <c r="H234" s="555"/>
      <c r="I234" s="555"/>
      <c r="J234" s="555"/>
      <c r="K234" s="555"/>
      <c r="L234" s="555"/>
      <c r="M234" s="555"/>
      <c r="N234" s="555"/>
      <c r="O234" s="555"/>
      <c r="P234" s="555"/>
      <c r="Q234" s="555"/>
      <c r="R234" s="555"/>
      <c r="S234" s="555"/>
      <c r="T234" s="555"/>
      <c r="U234" s="555"/>
      <c r="V234" s="555"/>
      <c r="W234" s="555"/>
      <c r="X234" s="555"/>
      <c r="Y234" s="555"/>
      <c r="Z234" s="555"/>
    </row>
    <row r="235">
      <c r="A235" s="555"/>
      <c r="B235" s="555"/>
      <c r="C235" s="555"/>
      <c r="D235" s="555"/>
      <c r="E235" s="555"/>
      <c r="F235" s="555"/>
      <c r="G235" s="555"/>
      <c r="H235" s="555"/>
      <c r="I235" s="555"/>
      <c r="J235" s="555"/>
      <c r="K235" s="555"/>
      <c r="L235" s="555"/>
      <c r="M235" s="555"/>
      <c r="N235" s="555"/>
      <c r="O235" s="555"/>
      <c r="P235" s="555"/>
      <c r="Q235" s="555"/>
      <c r="R235" s="555"/>
      <c r="S235" s="555"/>
      <c r="T235" s="555"/>
      <c r="U235" s="555"/>
      <c r="V235" s="555"/>
      <c r="W235" s="555"/>
      <c r="X235" s="555"/>
      <c r="Y235" s="555"/>
      <c r="Z235" s="555"/>
    </row>
    <row r="236">
      <c r="A236" s="555"/>
      <c r="B236" s="555"/>
      <c r="C236" s="555"/>
      <c r="D236" s="555"/>
      <c r="E236" s="555"/>
      <c r="F236" s="555"/>
      <c r="G236" s="555"/>
      <c r="H236" s="555"/>
      <c r="I236" s="555"/>
      <c r="J236" s="555"/>
      <c r="K236" s="555"/>
      <c r="L236" s="555"/>
      <c r="M236" s="555"/>
      <c r="N236" s="555"/>
      <c r="O236" s="555"/>
      <c r="P236" s="555"/>
      <c r="Q236" s="555"/>
      <c r="R236" s="555"/>
      <c r="S236" s="555"/>
      <c r="T236" s="555"/>
      <c r="U236" s="555"/>
      <c r="V236" s="555"/>
      <c r="W236" s="555"/>
      <c r="X236" s="555"/>
      <c r="Y236" s="555"/>
      <c r="Z236" s="555"/>
    </row>
    <row r="237">
      <c r="A237" s="555"/>
      <c r="B237" s="555"/>
      <c r="C237" s="555"/>
      <c r="D237" s="555"/>
      <c r="E237" s="555"/>
      <c r="F237" s="555"/>
      <c r="G237" s="555"/>
      <c r="H237" s="555"/>
      <c r="I237" s="555"/>
      <c r="J237" s="555"/>
      <c r="K237" s="555"/>
      <c r="L237" s="555"/>
      <c r="M237" s="555"/>
      <c r="N237" s="555"/>
      <c r="O237" s="555"/>
      <c r="P237" s="555"/>
      <c r="Q237" s="555"/>
      <c r="R237" s="555"/>
      <c r="S237" s="555"/>
      <c r="T237" s="555"/>
      <c r="U237" s="555"/>
      <c r="V237" s="555"/>
      <c r="W237" s="555"/>
      <c r="X237" s="555"/>
      <c r="Y237" s="555"/>
      <c r="Z237" s="555"/>
    </row>
    <row r="238">
      <c r="A238" s="555"/>
      <c r="B238" s="555"/>
      <c r="C238" s="555"/>
      <c r="D238" s="555"/>
      <c r="E238" s="555"/>
      <c r="F238" s="555"/>
      <c r="G238" s="555"/>
      <c r="H238" s="555"/>
      <c r="I238" s="555"/>
      <c r="J238" s="555"/>
      <c r="K238" s="555"/>
      <c r="L238" s="555"/>
      <c r="M238" s="555"/>
      <c r="N238" s="555"/>
      <c r="O238" s="555"/>
      <c r="P238" s="555"/>
      <c r="Q238" s="555"/>
      <c r="R238" s="555"/>
      <c r="S238" s="555"/>
      <c r="T238" s="555"/>
      <c r="U238" s="555"/>
      <c r="V238" s="555"/>
      <c r="W238" s="555"/>
      <c r="X238" s="555"/>
      <c r="Y238" s="555"/>
      <c r="Z238" s="555"/>
    </row>
    <row r="239">
      <c r="A239" s="555"/>
      <c r="B239" s="555"/>
      <c r="C239" s="555"/>
      <c r="D239" s="555"/>
      <c r="E239" s="555"/>
      <c r="F239" s="555"/>
      <c r="G239" s="555"/>
      <c r="H239" s="555"/>
      <c r="I239" s="555"/>
      <c r="J239" s="555"/>
      <c r="K239" s="555"/>
      <c r="L239" s="555"/>
      <c r="M239" s="555"/>
      <c r="N239" s="555"/>
      <c r="O239" s="555"/>
      <c r="P239" s="555"/>
      <c r="Q239" s="555"/>
      <c r="R239" s="555"/>
      <c r="S239" s="555"/>
      <c r="T239" s="555"/>
      <c r="U239" s="555"/>
      <c r="V239" s="555"/>
      <c r="W239" s="555"/>
      <c r="X239" s="555"/>
      <c r="Y239" s="555"/>
      <c r="Z239" s="555"/>
    </row>
    <row r="240">
      <c r="A240" s="555"/>
      <c r="B240" s="555"/>
      <c r="C240" s="555"/>
      <c r="D240" s="555"/>
      <c r="E240" s="555"/>
      <c r="F240" s="555"/>
      <c r="G240" s="555"/>
      <c r="H240" s="555"/>
      <c r="I240" s="555"/>
      <c r="J240" s="555"/>
      <c r="K240" s="555"/>
      <c r="L240" s="555"/>
      <c r="M240" s="555"/>
      <c r="N240" s="555"/>
      <c r="O240" s="555"/>
      <c r="P240" s="555"/>
      <c r="Q240" s="555"/>
      <c r="R240" s="555"/>
      <c r="S240" s="555"/>
      <c r="T240" s="555"/>
      <c r="U240" s="555"/>
      <c r="V240" s="555"/>
      <c r="W240" s="555"/>
      <c r="X240" s="555"/>
      <c r="Y240" s="555"/>
      <c r="Z240" s="555"/>
    </row>
    <row r="241">
      <c r="A241" s="555"/>
      <c r="B241" s="555"/>
      <c r="C241" s="555"/>
      <c r="D241" s="555"/>
      <c r="E241" s="555"/>
      <c r="F241" s="555"/>
      <c r="G241" s="555"/>
      <c r="H241" s="555"/>
      <c r="I241" s="555"/>
      <c r="J241" s="555"/>
      <c r="K241" s="555"/>
      <c r="L241" s="555"/>
      <c r="M241" s="555"/>
      <c r="N241" s="555"/>
      <c r="O241" s="555"/>
      <c r="P241" s="555"/>
      <c r="Q241" s="555"/>
      <c r="R241" s="555"/>
      <c r="S241" s="555"/>
      <c r="T241" s="555"/>
      <c r="U241" s="555"/>
      <c r="V241" s="555"/>
      <c r="W241" s="555"/>
      <c r="X241" s="555"/>
      <c r="Y241" s="555"/>
      <c r="Z241" s="555"/>
    </row>
    <row r="242">
      <c r="A242" s="555"/>
      <c r="B242" s="555"/>
      <c r="C242" s="555"/>
      <c r="D242" s="555"/>
      <c r="E242" s="555"/>
      <c r="F242" s="555"/>
      <c r="G242" s="555"/>
      <c r="H242" s="555"/>
      <c r="I242" s="555"/>
      <c r="J242" s="555"/>
      <c r="K242" s="555"/>
      <c r="L242" s="555"/>
      <c r="M242" s="555"/>
      <c r="N242" s="555"/>
      <c r="O242" s="555"/>
      <c r="P242" s="555"/>
      <c r="Q242" s="555"/>
      <c r="R242" s="555"/>
      <c r="S242" s="555"/>
      <c r="T242" s="555"/>
      <c r="U242" s="555"/>
      <c r="V242" s="555"/>
      <c r="W242" s="555"/>
      <c r="X242" s="555"/>
      <c r="Y242" s="555"/>
      <c r="Z242" s="555"/>
    </row>
    <row r="243">
      <c r="A243" s="555"/>
      <c r="B243" s="555"/>
      <c r="C243" s="555"/>
      <c r="D243" s="555"/>
      <c r="E243" s="555"/>
      <c r="F243" s="555"/>
      <c r="G243" s="555"/>
      <c r="H243" s="555"/>
      <c r="I243" s="555"/>
      <c r="J243" s="555"/>
      <c r="K243" s="555"/>
      <c r="L243" s="555"/>
      <c r="M243" s="555"/>
      <c r="N243" s="555"/>
      <c r="O243" s="555"/>
      <c r="P243" s="555"/>
      <c r="Q243" s="555"/>
      <c r="R243" s="555"/>
      <c r="S243" s="555"/>
      <c r="T243" s="555"/>
      <c r="U243" s="555"/>
      <c r="V243" s="555"/>
      <c r="W243" s="555"/>
      <c r="X243" s="555"/>
      <c r="Y243" s="555"/>
      <c r="Z243" s="555"/>
    </row>
    <row r="244">
      <c r="A244" s="555"/>
      <c r="B244" s="555"/>
      <c r="C244" s="555"/>
      <c r="D244" s="555"/>
      <c r="E244" s="555"/>
      <c r="F244" s="555"/>
      <c r="G244" s="555"/>
      <c r="H244" s="555"/>
      <c r="I244" s="555"/>
      <c r="J244" s="555"/>
      <c r="K244" s="555"/>
      <c r="L244" s="555"/>
      <c r="M244" s="555"/>
      <c r="N244" s="555"/>
      <c r="O244" s="555"/>
      <c r="P244" s="555"/>
      <c r="Q244" s="555"/>
      <c r="R244" s="555"/>
      <c r="S244" s="555"/>
      <c r="T244" s="555"/>
      <c r="U244" s="555"/>
      <c r="V244" s="555"/>
      <c r="W244" s="555"/>
      <c r="X244" s="555"/>
      <c r="Y244" s="555"/>
      <c r="Z244" s="555"/>
    </row>
    <row r="245">
      <c r="A245" s="555"/>
      <c r="B245" s="555"/>
      <c r="C245" s="555"/>
      <c r="D245" s="555"/>
      <c r="E245" s="555"/>
      <c r="F245" s="555"/>
      <c r="G245" s="555"/>
      <c r="H245" s="555"/>
      <c r="I245" s="555"/>
      <c r="J245" s="555"/>
      <c r="K245" s="555"/>
      <c r="L245" s="555"/>
      <c r="M245" s="555"/>
      <c r="N245" s="555"/>
      <c r="O245" s="555"/>
      <c r="P245" s="555"/>
      <c r="Q245" s="555"/>
      <c r="R245" s="555"/>
      <c r="S245" s="555"/>
      <c r="T245" s="555"/>
      <c r="U245" s="555"/>
      <c r="V245" s="555"/>
      <c r="W245" s="555"/>
      <c r="X245" s="555"/>
      <c r="Y245" s="555"/>
      <c r="Z245" s="555"/>
    </row>
    <row r="246">
      <c r="A246" s="555"/>
      <c r="B246" s="555"/>
      <c r="C246" s="555"/>
      <c r="D246" s="555"/>
      <c r="E246" s="555"/>
      <c r="F246" s="555"/>
      <c r="G246" s="555"/>
      <c r="H246" s="555"/>
      <c r="I246" s="555"/>
      <c r="J246" s="555"/>
      <c r="K246" s="555"/>
      <c r="L246" s="555"/>
      <c r="M246" s="555"/>
      <c r="N246" s="555"/>
      <c r="O246" s="555"/>
      <c r="P246" s="555"/>
      <c r="Q246" s="555"/>
      <c r="R246" s="555"/>
      <c r="S246" s="555"/>
      <c r="T246" s="555"/>
      <c r="U246" s="555"/>
      <c r="V246" s="555"/>
      <c r="W246" s="555"/>
      <c r="X246" s="555"/>
      <c r="Y246" s="555"/>
      <c r="Z246" s="555"/>
    </row>
    <row r="247">
      <c r="A247" s="555"/>
      <c r="B247" s="555"/>
      <c r="C247" s="555"/>
      <c r="D247" s="555"/>
      <c r="E247" s="555"/>
      <c r="F247" s="555"/>
      <c r="G247" s="555"/>
      <c r="H247" s="555"/>
      <c r="I247" s="555"/>
      <c r="J247" s="555"/>
      <c r="K247" s="555"/>
      <c r="L247" s="555"/>
      <c r="M247" s="555"/>
      <c r="N247" s="555"/>
      <c r="O247" s="555"/>
      <c r="P247" s="555"/>
      <c r="Q247" s="555"/>
      <c r="R247" s="555"/>
      <c r="S247" s="555"/>
      <c r="T247" s="555"/>
      <c r="U247" s="555"/>
      <c r="V247" s="555"/>
      <c r="W247" s="555"/>
      <c r="X247" s="555"/>
      <c r="Y247" s="555"/>
      <c r="Z247" s="555"/>
    </row>
    <row r="248">
      <c r="A248" s="555"/>
      <c r="B248" s="555"/>
      <c r="C248" s="555"/>
      <c r="D248" s="555"/>
      <c r="E248" s="555"/>
      <c r="F248" s="555"/>
      <c r="G248" s="555"/>
      <c r="H248" s="555"/>
      <c r="I248" s="555"/>
      <c r="J248" s="555"/>
      <c r="K248" s="555"/>
      <c r="L248" s="555"/>
      <c r="M248" s="555"/>
      <c r="N248" s="555"/>
      <c r="O248" s="555"/>
      <c r="P248" s="555"/>
      <c r="Q248" s="555"/>
      <c r="R248" s="555"/>
      <c r="S248" s="555"/>
      <c r="T248" s="555"/>
      <c r="U248" s="555"/>
      <c r="V248" s="555"/>
      <c r="W248" s="555"/>
      <c r="X248" s="555"/>
      <c r="Y248" s="555"/>
      <c r="Z248" s="555"/>
    </row>
    <row r="249">
      <c r="A249" s="555"/>
      <c r="B249" s="555"/>
      <c r="C249" s="555"/>
      <c r="D249" s="555"/>
      <c r="E249" s="555"/>
      <c r="F249" s="555"/>
      <c r="G249" s="555"/>
      <c r="H249" s="555"/>
      <c r="I249" s="555"/>
      <c r="J249" s="555"/>
      <c r="K249" s="555"/>
      <c r="L249" s="555"/>
      <c r="M249" s="555"/>
      <c r="N249" s="555"/>
      <c r="O249" s="555"/>
      <c r="P249" s="555"/>
      <c r="Q249" s="555"/>
      <c r="R249" s="555"/>
      <c r="S249" s="555"/>
      <c r="T249" s="555"/>
      <c r="U249" s="555"/>
      <c r="V249" s="555"/>
      <c r="W249" s="555"/>
      <c r="X249" s="555"/>
      <c r="Y249" s="555"/>
      <c r="Z249" s="555"/>
    </row>
    <row r="250">
      <c r="A250" s="555"/>
      <c r="B250" s="555"/>
      <c r="C250" s="555"/>
      <c r="D250" s="555"/>
      <c r="E250" s="555"/>
      <c r="F250" s="555"/>
      <c r="G250" s="555"/>
      <c r="H250" s="555"/>
      <c r="I250" s="555"/>
      <c r="J250" s="555"/>
      <c r="K250" s="555"/>
      <c r="L250" s="555"/>
      <c r="M250" s="555"/>
      <c r="N250" s="555"/>
      <c r="O250" s="555"/>
      <c r="P250" s="555"/>
      <c r="Q250" s="555"/>
      <c r="R250" s="555"/>
      <c r="S250" s="555"/>
      <c r="T250" s="555"/>
      <c r="U250" s="555"/>
      <c r="V250" s="555"/>
      <c r="W250" s="555"/>
      <c r="X250" s="555"/>
      <c r="Y250" s="555"/>
      <c r="Z250" s="555"/>
    </row>
    <row r="251">
      <c r="A251" s="555"/>
      <c r="B251" s="555"/>
      <c r="C251" s="555"/>
      <c r="D251" s="555"/>
      <c r="E251" s="555"/>
      <c r="F251" s="555"/>
      <c r="G251" s="555"/>
      <c r="H251" s="555"/>
      <c r="I251" s="555"/>
      <c r="J251" s="555"/>
      <c r="K251" s="555"/>
      <c r="L251" s="555"/>
      <c r="M251" s="555"/>
      <c r="N251" s="555"/>
      <c r="O251" s="555"/>
      <c r="P251" s="555"/>
      <c r="Q251" s="555"/>
      <c r="R251" s="555"/>
      <c r="S251" s="555"/>
      <c r="T251" s="555"/>
      <c r="U251" s="555"/>
      <c r="V251" s="555"/>
      <c r="W251" s="555"/>
      <c r="X251" s="555"/>
      <c r="Y251" s="555"/>
      <c r="Z251" s="555"/>
    </row>
    <row r="252">
      <c r="A252" s="555"/>
      <c r="B252" s="555"/>
      <c r="C252" s="555"/>
      <c r="D252" s="555"/>
      <c r="E252" s="555"/>
      <c r="F252" s="555"/>
      <c r="G252" s="555"/>
      <c r="H252" s="555"/>
      <c r="I252" s="555"/>
      <c r="J252" s="555"/>
      <c r="K252" s="555"/>
      <c r="L252" s="555"/>
      <c r="M252" s="555"/>
      <c r="N252" s="555"/>
      <c r="O252" s="555"/>
      <c r="P252" s="555"/>
      <c r="Q252" s="555"/>
      <c r="R252" s="555"/>
      <c r="S252" s="555"/>
      <c r="T252" s="555"/>
      <c r="U252" s="555"/>
      <c r="V252" s="555"/>
      <c r="W252" s="555"/>
      <c r="X252" s="555"/>
      <c r="Y252" s="555"/>
      <c r="Z252" s="555"/>
    </row>
    <row r="253">
      <c r="A253" s="555"/>
      <c r="B253" s="555"/>
      <c r="C253" s="555"/>
      <c r="D253" s="555"/>
      <c r="E253" s="555"/>
      <c r="F253" s="555"/>
      <c r="G253" s="555"/>
      <c r="H253" s="555"/>
      <c r="I253" s="555"/>
      <c r="J253" s="555"/>
      <c r="K253" s="555"/>
      <c r="L253" s="555"/>
      <c r="M253" s="555"/>
      <c r="N253" s="555"/>
      <c r="O253" s="555"/>
      <c r="P253" s="555"/>
      <c r="Q253" s="555"/>
      <c r="R253" s="555"/>
      <c r="S253" s="555"/>
      <c r="T253" s="555"/>
      <c r="U253" s="555"/>
      <c r="V253" s="555"/>
      <c r="W253" s="555"/>
      <c r="X253" s="555"/>
      <c r="Y253" s="555"/>
      <c r="Z253" s="555"/>
    </row>
    <row r="254">
      <c r="A254" s="555"/>
      <c r="B254" s="555"/>
      <c r="C254" s="555"/>
      <c r="D254" s="555"/>
      <c r="E254" s="555"/>
      <c r="F254" s="555"/>
      <c r="G254" s="555"/>
      <c r="H254" s="555"/>
      <c r="I254" s="555"/>
      <c r="J254" s="555"/>
      <c r="K254" s="555"/>
      <c r="L254" s="555"/>
      <c r="M254" s="555"/>
      <c r="N254" s="555"/>
      <c r="O254" s="555"/>
      <c r="P254" s="555"/>
      <c r="Q254" s="555"/>
      <c r="R254" s="555"/>
      <c r="S254" s="555"/>
      <c r="T254" s="555"/>
      <c r="U254" s="555"/>
      <c r="V254" s="555"/>
      <c r="W254" s="555"/>
      <c r="X254" s="555"/>
      <c r="Y254" s="555"/>
      <c r="Z254" s="555"/>
    </row>
    <row r="255">
      <c r="A255" s="555"/>
      <c r="B255" s="555"/>
      <c r="C255" s="555"/>
      <c r="D255" s="555"/>
      <c r="E255" s="555"/>
      <c r="F255" s="555"/>
      <c r="G255" s="555"/>
      <c r="H255" s="555"/>
      <c r="I255" s="555"/>
      <c r="J255" s="555"/>
      <c r="K255" s="555"/>
      <c r="L255" s="555"/>
      <c r="M255" s="555"/>
      <c r="N255" s="555"/>
      <c r="O255" s="555"/>
      <c r="P255" s="555"/>
      <c r="Q255" s="555"/>
      <c r="R255" s="555"/>
      <c r="S255" s="555"/>
      <c r="T255" s="555"/>
      <c r="U255" s="555"/>
      <c r="V255" s="555"/>
      <c r="W255" s="555"/>
      <c r="X255" s="555"/>
      <c r="Y255" s="555"/>
      <c r="Z255" s="555"/>
    </row>
    <row r="256">
      <c r="A256" s="555"/>
      <c r="B256" s="555"/>
      <c r="C256" s="555"/>
      <c r="D256" s="555"/>
      <c r="E256" s="555"/>
      <c r="F256" s="555"/>
      <c r="G256" s="555"/>
      <c r="H256" s="555"/>
      <c r="I256" s="555"/>
      <c r="J256" s="555"/>
      <c r="K256" s="555"/>
      <c r="L256" s="555"/>
      <c r="M256" s="555"/>
      <c r="N256" s="555"/>
      <c r="O256" s="555"/>
      <c r="P256" s="555"/>
      <c r="Q256" s="555"/>
      <c r="R256" s="555"/>
      <c r="S256" s="555"/>
      <c r="T256" s="555"/>
      <c r="U256" s="555"/>
      <c r="V256" s="555"/>
      <c r="W256" s="555"/>
      <c r="X256" s="555"/>
      <c r="Y256" s="555"/>
      <c r="Z256" s="555"/>
    </row>
    <row r="257">
      <c r="A257" s="555"/>
      <c r="B257" s="555"/>
      <c r="C257" s="555"/>
      <c r="D257" s="555"/>
      <c r="E257" s="555"/>
      <c r="F257" s="555"/>
      <c r="G257" s="555"/>
      <c r="H257" s="555"/>
      <c r="I257" s="555"/>
      <c r="J257" s="555"/>
      <c r="K257" s="555"/>
      <c r="L257" s="555"/>
      <c r="M257" s="555"/>
      <c r="N257" s="555"/>
      <c r="O257" s="555"/>
      <c r="P257" s="555"/>
      <c r="Q257" s="555"/>
      <c r="R257" s="555"/>
      <c r="S257" s="555"/>
      <c r="T257" s="555"/>
      <c r="U257" s="555"/>
      <c r="V257" s="555"/>
      <c r="W257" s="555"/>
      <c r="X257" s="555"/>
      <c r="Y257" s="555"/>
      <c r="Z257" s="555"/>
    </row>
    <row r="258">
      <c r="A258" s="555"/>
      <c r="B258" s="555"/>
      <c r="C258" s="555"/>
      <c r="D258" s="555"/>
      <c r="E258" s="555"/>
      <c r="F258" s="555"/>
      <c r="G258" s="555"/>
      <c r="H258" s="555"/>
      <c r="I258" s="555"/>
      <c r="J258" s="555"/>
      <c r="K258" s="555"/>
      <c r="L258" s="555"/>
      <c r="M258" s="555"/>
      <c r="N258" s="555"/>
      <c r="O258" s="555"/>
      <c r="P258" s="555"/>
      <c r="Q258" s="555"/>
      <c r="R258" s="555"/>
      <c r="S258" s="555"/>
      <c r="T258" s="555"/>
      <c r="U258" s="555"/>
      <c r="V258" s="555"/>
      <c r="W258" s="555"/>
      <c r="X258" s="555"/>
      <c r="Y258" s="555"/>
      <c r="Z258" s="555"/>
    </row>
    <row r="259">
      <c r="A259" s="555"/>
      <c r="B259" s="555"/>
      <c r="C259" s="555"/>
      <c r="D259" s="555"/>
      <c r="E259" s="555"/>
      <c r="F259" s="555"/>
      <c r="G259" s="555"/>
      <c r="H259" s="555"/>
      <c r="I259" s="555"/>
      <c r="J259" s="555"/>
      <c r="K259" s="555"/>
      <c r="L259" s="555"/>
      <c r="M259" s="555"/>
      <c r="N259" s="555"/>
      <c r="O259" s="555"/>
      <c r="P259" s="555"/>
      <c r="Q259" s="555"/>
      <c r="R259" s="555"/>
      <c r="S259" s="555"/>
      <c r="T259" s="555"/>
      <c r="U259" s="555"/>
      <c r="V259" s="555"/>
      <c r="W259" s="555"/>
      <c r="X259" s="555"/>
      <c r="Y259" s="555"/>
      <c r="Z259" s="555"/>
    </row>
    <row r="260">
      <c r="A260" s="555"/>
      <c r="B260" s="555"/>
      <c r="C260" s="555"/>
      <c r="D260" s="555"/>
      <c r="E260" s="555"/>
      <c r="F260" s="555"/>
      <c r="G260" s="555"/>
      <c r="H260" s="555"/>
      <c r="I260" s="555"/>
      <c r="J260" s="555"/>
      <c r="K260" s="555"/>
      <c r="L260" s="555"/>
      <c r="M260" s="555"/>
      <c r="N260" s="555"/>
      <c r="O260" s="555"/>
      <c r="P260" s="555"/>
      <c r="Q260" s="555"/>
      <c r="R260" s="555"/>
      <c r="S260" s="555"/>
      <c r="T260" s="555"/>
      <c r="U260" s="555"/>
      <c r="V260" s="555"/>
      <c r="W260" s="555"/>
      <c r="X260" s="555"/>
      <c r="Y260" s="555"/>
      <c r="Z260" s="555"/>
    </row>
    <row r="261">
      <c r="A261" s="555"/>
      <c r="B261" s="555"/>
      <c r="C261" s="555"/>
      <c r="D261" s="555"/>
      <c r="E261" s="555"/>
      <c r="F261" s="555"/>
      <c r="G261" s="555"/>
      <c r="H261" s="555"/>
      <c r="I261" s="555"/>
      <c r="J261" s="555"/>
      <c r="K261" s="555"/>
      <c r="L261" s="555"/>
      <c r="M261" s="555"/>
      <c r="N261" s="555"/>
      <c r="O261" s="555"/>
      <c r="P261" s="555"/>
      <c r="Q261" s="555"/>
      <c r="R261" s="555"/>
      <c r="S261" s="555"/>
      <c r="T261" s="555"/>
      <c r="U261" s="555"/>
      <c r="V261" s="555"/>
      <c r="W261" s="555"/>
      <c r="X261" s="555"/>
      <c r="Y261" s="555"/>
      <c r="Z261" s="555"/>
    </row>
    <row r="262">
      <c r="A262" s="555"/>
      <c r="B262" s="555"/>
      <c r="C262" s="555"/>
      <c r="D262" s="555"/>
      <c r="E262" s="555"/>
      <c r="F262" s="555"/>
      <c r="G262" s="555"/>
      <c r="H262" s="555"/>
      <c r="I262" s="555"/>
      <c r="J262" s="555"/>
      <c r="K262" s="555"/>
      <c r="L262" s="555"/>
      <c r="M262" s="555"/>
      <c r="N262" s="555"/>
      <c r="O262" s="555"/>
      <c r="P262" s="555"/>
      <c r="Q262" s="555"/>
      <c r="R262" s="555"/>
      <c r="S262" s="555"/>
      <c r="T262" s="555"/>
      <c r="U262" s="555"/>
      <c r="V262" s="555"/>
      <c r="W262" s="555"/>
      <c r="X262" s="555"/>
      <c r="Y262" s="555"/>
      <c r="Z262" s="555"/>
    </row>
    <row r="263">
      <c r="A263" s="555"/>
      <c r="B263" s="555"/>
      <c r="C263" s="555"/>
      <c r="D263" s="555"/>
      <c r="E263" s="555"/>
      <c r="F263" s="555"/>
      <c r="G263" s="555"/>
      <c r="H263" s="555"/>
      <c r="I263" s="555"/>
      <c r="J263" s="555"/>
      <c r="K263" s="555"/>
      <c r="L263" s="555"/>
      <c r="M263" s="555"/>
      <c r="N263" s="555"/>
      <c r="O263" s="555"/>
      <c r="P263" s="555"/>
      <c r="Q263" s="555"/>
      <c r="R263" s="555"/>
      <c r="S263" s="555"/>
      <c r="T263" s="555"/>
      <c r="U263" s="555"/>
      <c r="V263" s="555"/>
      <c r="W263" s="555"/>
      <c r="X263" s="555"/>
      <c r="Y263" s="555"/>
      <c r="Z263" s="555"/>
    </row>
    <row r="264">
      <c r="A264" s="555"/>
      <c r="B264" s="555"/>
      <c r="C264" s="555"/>
      <c r="D264" s="555"/>
      <c r="E264" s="555"/>
      <c r="F264" s="555"/>
      <c r="G264" s="555"/>
      <c r="H264" s="555"/>
      <c r="I264" s="555"/>
      <c r="J264" s="555"/>
      <c r="K264" s="555"/>
      <c r="L264" s="555"/>
      <c r="M264" s="555"/>
      <c r="N264" s="555"/>
      <c r="O264" s="555"/>
      <c r="P264" s="555"/>
      <c r="Q264" s="555"/>
      <c r="R264" s="555"/>
      <c r="S264" s="555"/>
      <c r="T264" s="555"/>
      <c r="U264" s="555"/>
      <c r="V264" s="555"/>
      <c r="W264" s="555"/>
      <c r="X264" s="555"/>
      <c r="Y264" s="555"/>
      <c r="Z264" s="555"/>
    </row>
    <row r="265">
      <c r="A265" s="555"/>
      <c r="B265" s="555"/>
      <c r="C265" s="555"/>
      <c r="D265" s="555"/>
      <c r="E265" s="555"/>
      <c r="F265" s="555"/>
      <c r="G265" s="555"/>
      <c r="H265" s="555"/>
      <c r="I265" s="555"/>
      <c r="J265" s="555"/>
      <c r="K265" s="555"/>
      <c r="L265" s="555"/>
      <c r="M265" s="555"/>
      <c r="N265" s="555"/>
      <c r="O265" s="555"/>
      <c r="P265" s="555"/>
      <c r="Q265" s="555"/>
      <c r="R265" s="555"/>
      <c r="S265" s="555"/>
      <c r="T265" s="555"/>
      <c r="U265" s="555"/>
      <c r="V265" s="555"/>
      <c r="W265" s="555"/>
      <c r="X265" s="555"/>
      <c r="Y265" s="555"/>
      <c r="Z265" s="555"/>
    </row>
    <row r="266">
      <c r="A266" s="555"/>
      <c r="B266" s="555"/>
      <c r="C266" s="555"/>
      <c r="D266" s="555"/>
      <c r="E266" s="555"/>
      <c r="F266" s="555"/>
      <c r="G266" s="555"/>
      <c r="H266" s="555"/>
      <c r="I266" s="555"/>
      <c r="J266" s="555"/>
      <c r="K266" s="555"/>
      <c r="L266" s="555"/>
      <c r="M266" s="555"/>
      <c r="N266" s="555"/>
      <c r="O266" s="555"/>
      <c r="P266" s="555"/>
      <c r="Q266" s="555"/>
      <c r="R266" s="555"/>
      <c r="S266" s="555"/>
      <c r="T266" s="555"/>
      <c r="U266" s="555"/>
      <c r="V266" s="555"/>
      <c r="W266" s="555"/>
      <c r="X266" s="555"/>
      <c r="Y266" s="555"/>
      <c r="Z266" s="555"/>
    </row>
    <row r="267">
      <c r="A267" s="555"/>
      <c r="B267" s="555"/>
      <c r="C267" s="555"/>
      <c r="D267" s="555"/>
      <c r="E267" s="555"/>
      <c r="F267" s="555"/>
      <c r="G267" s="555"/>
      <c r="H267" s="555"/>
      <c r="I267" s="555"/>
      <c r="J267" s="555"/>
      <c r="K267" s="555"/>
      <c r="L267" s="555"/>
      <c r="M267" s="555"/>
      <c r="N267" s="555"/>
      <c r="O267" s="555"/>
      <c r="P267" s="555"/>
      <c r="Q267" s="555"/>
      <c r="R267" s="555"/>
      <c r="S267" s="555"/>
      <c r="T267" s="555"/>
      <c r="U267" s="555"/>
      <c r="V267" s="555"/>
      <c r="W267" s="555"/>
      <c r="X267" s="555"/>
      <c r="Y267" s="555"/>
      <c r="Z267" s="555"/>
    </row>
    <row r="268">
      <c r="A268" s="555"/>
      <c r="B268" s="555"/>
      <c r="C268" s="555"/>
      <c r="D268" s="555"/>
      <c r="E268" s="555"/>
      <c r="F268" s="555"/>
      <c r="G268" s="555"/>
      <c r="H268" s="555"/>
      <c r="I268" s="555"/>
      <c r="J268" s="555"/>
      <c r="K268" s="555"/>
      <c r="L268" s="555"/>
      <c r="M268" s="555"/>
      <c r="N268" s="555"/>
      <c r="O268" s="555"/>
      <c r="P268" s="555"/>
      <c r="Q268" s="555"/>
      <c r="R268" s="555"/>
      <c r="S268" s="555"/>
      <c r="T268" s="555"/>
      <c r="U268" s="555"/>
      <c r="V268" s="555"/>
      <c r="W268" s="555"/>
      <c r="X268" s="555"/>
      <c r="Y268" s="555"/>
      <c r="Z268" s="555"/>
    </row>
    <row r="269">
      <c r="A269" s="555"/>
      <c r="B269" s="555"/>
      <c r="C269" s="555"/>
      <c r="D269" s="555"/>
      <c r="E269" s="555"/>
      <c r="F269" s="555"/>
      <c r="G269" s="555"/>
      <c r="H269" s="555"/>
      <c r="I269" s="555"/>
      <c r="J269" s="555"/>
      <c r="K269" s="555"/>
      <c r="L269" s="555"/>
      <c r="M269" s="555"/>
      <c r="N269" s="555"/>
      <c r="O269" s="555"/>
      <c r="P269" s="555"/>
      <c r="Q269" s="555"/>
      <c r="R269" s="555"/>
      <c r="S269" s="555"/>
      <c r="T269" s="555"/>
      <c r="U269" s="555"/>
      <c r="V269" s="555"/>
      <c r="W269" s="555"/>
      <c r="X269" s="555"/>
      <c r="Y269" s="555"/>
      <c r="Z269" s="555"/>
    </row>
    <row r="270">
      <c r="A270" s="555"/>
      <c r="B270" s="555"/>
      <c r="C270" s="555"/>
      <c r="D270" s="555"/>
      <c r="E270" s="555"/>
      <c r="F270" s="555"/>
      <c r="G270" s="555"/>
      <c r="H270" s="555"/>
      <c r="I270" s="555"/>
      <c r="J270" s="555"/>
      <c r="K270" s="555"/>
      <c r="L270" s="555"/>
      <c r="M270" s="555"/>
      <c r="N270" s="555"/>
      <c r="O270" s="555"/>
      <c r="P270" s="555"/>
      <c r="Q270" s="555"/>
      <c r="R270" s="555"/>
      <c r="S270" s="555"/>
      <c r="T270" s="555"/>
      <c r="U270" s="555"/>
      <c r="V270" s="555"/>
      <c r="W270" s="555"/>
      <c r="X270" s="555"/>
      <c r="Y270" s="555"/>
      <c r="Z270" s="555"/>
    </row>
    <row r="271">
      <c r="A271" s="555"/>
      <c r="B271" s="555"/>
      <c r="C271" s="555"/>
      <c r="D271" s="555"/>
      <c r="E271" s="555"/>
      <c r="F271" s="555"/>
      <c r="G271" s="555"/>
      <c r="H271" s="555"/>
      <c r="I271" s="555"/>
      <c r="J271" s="555"/>
      <c r="K271" s="555"/>
      <c r="L271" s="555"/>
      <c r="M271" s="555"/>
      <c r="N271" s="555"/>
      <c r="O271" s="555"/>
      <c r="P271" s="555"/>
      <c r="Q271" s="555"/>
      <c r="R271" s="555"/>
      <c r="S271" s="555"/>
      <c r="T271" s="555"/>
      <c r="U271" s="555"/>
      <c r="V271" s="555"/>
      <c r="W271" s="555"/>
      <c r="X271" s="555"/>
      <c r="Y271" s="555"/>
      <c r="Z271" s="555"/>
    </row>
    <row r="272">
      <c r="A272" s="555"/>
      <c r="B272" s="555"/>
      <c r="C272" s="555"/>
      <c r="D272" s="555"/>
      <c r="E272" s="555"/>
      <c r="F272" s="555"/>
      <c r="G272" s="555"/>
      <c r="H272" s="555"/>
      <c r="I272" s="555"/>
      <c r="J272" s="555"/>
      <c r="K272" s="555"/>
      <c r="L272" s="555"/>
      <c r="M272" s="555"/>
      <c r="N272" s="555"/>
      <c r="O272" s="555"/>
      <c r="P272" s="555"/>
      <c r="Q272" s="555"/>
      <c r="R272" s="555"/>
      <c r="S272" s="555"/>
      <c r="T272" s="555"/>
      <c r="U272" s="555"/>
      <c r="V272" s="555"/>
      <c r="W272" s="555"/>
      <c r="X272" s="555"/>
      <c r="Y272" s="555"/>
      <c r="Z272" s="555"/>
    </row>
    <row r="273">
      <c r="A273" s="555"/>
      <c r="B273" s="555"/>
      <c r="C273" s="555"/>
      <c r="D273" s="555"/>
      <c r="E273" s="555"/>
      <c r="F273" s="555"/>
      <c r="G273" s="555"/>
      <c r="H273" s="555"/>
      <c r="I273" s="555"/>
      <c r="J273" s="555"/>
      <c r="K273" s="555"/>
      <c r="L273" s="555"/>
      <c r="M273" s="555"/>
      <c r="N273" s="555"/>
      <c r="O273" s="555"/>
      <c r="P273" s="555"/>
      <c r="Q273" s="555"/>
      <c r="R273" s="555"/>
      <c r="S273" s="555"/>
      <c r="T273" s="555"/>
      <c r="U273" s="555"/>
      <c r="V273" s="555"/>
      <c r="W273" s="555"/>
      <c r="X273" s="555"/>
      <c r="Y273" s="555"/>
      <c r="Z273" s="555"/>
    </row>
    <row r="274">
      <c r="A274" s="555"/>
      <c r="B274" s="555"/>
      <c r="C274" s="555"/>
      <c r="D274" s="555"/>
      <c r="E274" s="555"/>
      <c r="F274" s="555"/>
      <c r="G274" s="555"/>
      <c r="H274" s="555"/>
      <c r="I274" s="555"/>
      <c r="J274" s="555"/>
      <c r="K274" s="555"/>
      <c r="L274" s="555"/>
      <c r="M274" s="555"/>
      <c r="N274" s="555"/>
      <c r="O274" s="555"/>
      <c r="P274" s="555"/>
      <c r="Q274" s="555"/>
      <c r="R274" s="555"/>
      <c r="S274" s="555"/>
      <c r="T274" s="555"/>
      <c r="U274" s="555"/>
      <c r="V274" s="555"/>
      <c r="W274" s="555"/>
      <c r="X274" s="555"/>
      <c r="Y274" s="555"/>
      <c r="Z274" s="555"/>
    </row>
    <row r="275">
      <c r="A275" s="555"/>
      <c r="B275" s="555"/>
      <c r="C275" s="555"/>
      <c r="D275" s="555"/>
      <c r="E275" s="555"/>
      <c r="F275" s="555"/>
      <c r="G275" s="555"/>
      <c r="H275" s="555"/>
      <c r="I275" s="555"/>
      <c r="J275" s="555"/>
      <c r="K275" s="555"/>
      <c r="L275" s="555"/>
      <c r="M275" s="555"/>
      <c r="N275" s="555"/>
      <c r="O275" s="555"/>
      <c r="P275" s="555"/>
      <c r="Q275" s="555"/>
      <c r="R275" s="555"/>
      <c r="S275" s="555"/>
      <c r="T275" s="555"/>
      <c r="U275" s="555"/>
      <c r="V275" s="555"/>
      <c r="W275" s="555"/>
      <c r="X275" s="555"/>
      <c r="Y275" s="555"/>
      <c r="Z275" s="555"/>
    </row>
    <row r="276">
      <c r="A276" s="555"/>
      <c r="B276" s="555"/>
      <c r="C276" s="555"/>
      <c r="D276" s="555"/>
      <c r="E276" s="555"/>
      <c r="F276" s="555"/>
      <c r="G276" s="555"/>
      <c r="H276" s="555"/>
      <c r="I276" s="555"/>
      <c r="J276" s="555"/>
      <c r="K276" s="555"/>
      <c r="L276" s="555"/>
      <c r="M276" s="555"/>
      <c r="N276" s="555"/>
      <c r="O276" s="555"/>
      <c r="P276" s="555"/>
      <c r="Q276" s="555"/>
      <c r="R276" s="555"/>
      <c r="S276" s="555"/>
      <c r="T276" s="555"/>
      <c r="U276" s="555"/>
      <c r="V276" s="555"/>
      <c r="W276" s="555"/>
      <c r="X276" s="555"/>
      <c r="Y276" s="555"/>
      <c r="Z276" s="555"/>
    </row>
    <row r="277">
      <c r="A277" s="555"/>
      <c r="B277" s="555"/>
      <c r="C277" s="555"/>
      <c r="D277" s="555"/>
      <c r="E277" s="555"/>
      <c r="F277" s="555"/>
      <c r="G277" s="555"/>
      <c r="H277" s="555"/>
      <c r="I277" s="555"/>
      <c r="J277" s="555"/>
      <c r="K277" s="555"/>
      <c r="L277" s="555"/>
      <c r="M277" s="555"/>
      <c r="N277" s="555"/>
      <c r="O277" s="555"/>
      <c r="P277" s="555"/>
      <c r="Q277" s="555"/>
      <c r="R277" s="555"/>
      <c r="S277" s="555"/>
      <c r="T277" s="555"/>
      <c r="U277" s="555"/>
      <c r="V277" s="555"/>
      <c r="W277" s="555"/>
      <c r="X277" s="555"/>
      <c r="Y277" s="555"/>
      <c r="Z277" s="555"/>
    </row>
    <row r="278">
      <c r="A278" s="555"/>
      <c r="B278" s="555"/>
      <c r="C278" s="555"/>
      <c r="D278" s="555"/>
      <c r="E278" s="555"/>
      <c r="F278" s="555"/>
      <c r="G278" s="555"/>
      <c r="H278" s="555"/>
      <c r="I278" s="555"/>
      <c r="J278" s="555"/>
      <c r="K278" s="555"/>
      <c r="L278" s="555"/>
      <c r="M278" s="555"/>
      <c r="N278" s="555"/>
      <c r="O278" s="555"/>
      <c r="P278" s="555"/>
      <c r="Q278" s="555"/>
      <c r="R278" s="555"/>
      <c r="S278" s="555"/>
      <c r="T278" s="555"/>
      <c r="U278" s="555"/>
      <c r="V278" s="555"/>
      <c r="W278" s="555"/>
      <c r="X278" s="555"/>
      <c r="Y278" s="555"/>
      <c r="Z278" s="555"/>
    </row>
    <row r="279">
      <c r="A279" s="555"/>
      <c r="B279" s="555"/>
      <c r="C279" s="555"/>
      <c r="D279" s="555"/>
      <c r="E279" s="555"/>
      <c r="F279" s="555"/>
      <c r="G279" s="555"/>
      <c r="H279" s="555"/>
      <c r="I279" s="555"/>
      <c r="J279" s="555"/>
      <c r="K279" s="555"/>
      <c r="L279" s="555"/>
      <c r="M279" s="555"/>
      <c r="N279" s="555"/>
      <c r="O279" s="555"/>
      <c r="P279" s="555"/>
      <c r="Q279" s="555"/>
      <c r="R279" s="555"/>
      <c r="S279" s="555"/>
      <c r="T279" s="555"/>
      <c r="U279" s="555"/>
      <c r="V279" s="555"/>
      <c r="W279" s="555"/>
      <c r="X279" s="555"/>
      <c r="Y279" s="555"/>
      <c r="Z279" s="555"/>
    </row>
    <row r="280">
      <c r="A280" s="555"/>
      <c r="B280" s="555"/>
      <c r="C280" s="555"/>
      <c r="D280" s="555"/>
      <c r="E280" s="555"/>
      <c r="F280" s="555"/>
      <c r="G280" s="555"/>
      <c r="H280" s="555"/>
      <c r="I280" s="555"/>
      <c r="J280" s="555"/>
      <c r="K280" s="555"/>
      <c r="L280" s="555"/>
      <c r="M280" s="555"/>
      <c r="N280" s="555"/>
      <c r="O280" s="555"/>
      <c r="P280" s="555"/>
      <c r="Q280" s="555"/>
      <c r="R280" s="555"/>
      <c r="S280" s="555"/>
      <c r="T280" s="555"/>
      <c r="U280" s="555"/>
      <c r="V280" s="555"/>
      <c r="W280" s="555"/>
      <c r="X280" s="555"/>
      <c r="Y280" s="555"/>
      <c r="Z280" s="555"/>
    </row>
    <row r="281">
      <c r="A281" s="555"/>
      <c r="B281" s="555"/>
      <c r="C281" s="555"/>
      <c r="D281" s="555"/>
      <c r="E281" s="555"/>
      <c r="F281" s="555"/>
      <c r="G281" s="555"/>
      <c r="H281" s="555"/>
      <c r="I281" s="555"/>
      <c r="J281" s="555"/>
      <c r="K281" s="555"/>
      <c r="L281" s="555"/>
      <c r="M281" s="555"/>
      <c r="N281" s="555"/>
      <c r="O281" s="555"/>
      <c r="P281" s="555"/>
      <c r="Q281" s="555"/>
      <c r="R281" s="555"/>
      <c r="S281" s="555"/>
      <c r="T281" s="555"/>
      <c r="U281" s="555"/>
      <c r="V281" s="555"/>
      <c r="W281" s="555"/>
      <c r="X281" s="555"/>
      <c r="Y281" s="555"/>
      <c r="Z281" s="555"/>
    </row>
    <row r="282">
      <c r="A282" s="555"/>
      <c r="B282" s="555"/>
      <c r="C282" s="555"/>
      <c r="D282" s="555"/>
      <c r="E282" s="555"/>
      <c r="F282" s="555"/>
      <c r="G282" s="555"/>
      <c r="H282" s="555"/>
      <c r="I282" s="555"/>
      <c r="J282" s="555"/>
      <c r="K282" s="555"/>
      <c r="L282" s="555"/>
      <c r="M282" s="555"/>
      <c r="N282" s="555"/>
      <c r="O282" s="555"/>
      <c r="P282" s="555"/>
      <c r="Q282" s="555"/>
      <c r="R282" s="555"/>
      <c r="S282" s="555"/>
      <c r="T282" s="555"/>
      <c r="U282" s="555"/>
      <c r="V282" s="555"/>
      <c r="W282" s="555"/>
      <c r="X282" s="555"/>
      <c r="Y282" s="555"/>
      <c r="Z282" s="555"/>
    </row>
    <row r="283">
      <c r="A283" s="555"/>
      <c r="B283" s="555"/>
      <c r="C283" s="555"/>
      <c r="D283" s="555"/>
      <c r="E283" s="555"/>
      <c r="F283" s="555"/>
      <c r="G283" s="555"/>
      <c r="H283" s="555"/>
      <c r="I283" s="555"/>
      <c r="J283" s="555"/>
      <c r="K283" s="555"/>
      <c r="L283" s="555"/>
      <c r="M283" s="555"/>
      <c r="N283" s="555"/>
      <c r="O283" s="555"/>
      <c r="P283" s="555"/>
      <c r="Q283" s="555"/>
      <c r="R283" s="555"/>
      <c r="S283" s="555"/>
      <c r="T283" s="555"/>
      <c r="U283" s="555"/>
      <c r="V283" s="555"/>
      <c r="W283" s="555"/>
      <c r="X283" s="555"/>
      <c r="Y283" s="555"/>
      <c r="Z283" s="555"/>
    </row>
    <row r="284">
      <c r="A284" s="555"/>
      <c r="B284" s="555"/>
      <c r="C284" s="555"/>
      <c r="D284" s="555"/>
      <c r="E284" s="555"/>
      <c r="F284" s="555"/>
      <c r="G284" s="555"/>
      <c r="H284" s="555"/>
      <c r="I284" s="555"/>
      <c r="J284" s="555"/>
      <c r="K284" s="555"/>
      <c r="L284" s="555"/>
      <c r="M284" s="555"/>
      <c r="N284" s="555"/>
      <c r="O284" s="555"/>
      <c r="P284" s="555"/>
      <c r="Q284" s="555"/>
      <c r="R284" s="555"/>
      <c r="S284" s="555"/>
      <c r="T284" s="555"/>
      <c r="U284" s="555"/>
      <c r="V284" s="555"/>
      <c r="W284" s="555"/>
      <c r="X284" s="555"/>
      <c r="Y284" s="555"/>
      <c r="Z284" s="555"/>
    </row>
    <row r="285">
      <c r="A285" s="555"/>
      <c r="B285" s="555"/>
      <c r="C285" s="555"/>
      <c r="D285" s="555"/>
      <c r="E285" s="555"/>
      <c r="F285" s="555"/>
      <c r="G285" s="555"/>
      <c r="H285" s="555"/>
      <c r="I285" s="555"/>
      <c r="J285" s="555"/>
      <c r="K285" s="555"/>
      <c r="L285" s="555"/>
      <c r="M285" s="555"/>
      <c r="N285" s="555"/>
      <c r="O285" s="555"/>
      <c r="P285" s="555"/>
      <c r="Q285" s="555"/>
      <c r="R285" s="555"/>
      <c r="S285" s="555"/>
      <c r="T285" s="555"/>
      <c r="U285" s="555"/>
      <c r="V285" s="555"/>
      <c r="W285" s="555"/>
      <c r="X285" s="555"/>
      <c r="Y285" s="555"/>
      <c r="Z285" s="555"/>
    </row>
    <row r="286">
      <c r="A286" s="555"/>
      <c r="B286" s="555"/>
      <c r="C286" s="555"/>
      <c r="D286" s="555"/>
      <c r="E286" s="555"/>
      <c r="F286" s="555"/>
      <c r="G286" s="555"/>
      <c r="H286" s="555"/>
      <c r="I286" s="555"/>
      <c r="J286" s="555"/>
      <c r="K286" s="555"/>
      <c r="L286" s="555"/>
      <c r="M286" s="555"/>
      <c r="N286" s="555"/>
      <c r="O286" s="555"/>
      <c r="P286" s="555"/>
      <c r="Q286" s="555"/>
      <c r="R286" s="555"/>
      <c r="S286" s="555"/>
      <c r="T286" s="555"/>
      <c r="U286" s="555"/>
      <c r="V286" s="555"/>
      <c r="W286" s="555"/>
      <c r="X286" s="555"/>
      <c r="Y286" s="555"/>
      <c r="Z286" s="555"/>
    </row>
    <row r="287">
      <c r="A287" s="555"/>
      <c r="B287" s="555"/>
      <c r="C287" s="555"/>
      <c r="D287" s="555"/>
      <c r="E287" s="555"/>
      <c r="F287" s="555"/>
      <c r="G287" s="555"/>
      <c r="H287" s="555"/>
      <c r="I287" s="555"/>
      <c r="J287" s="555"/>
      <c r="K287" s="555"/>
      <c r="L287" s="555"/>
      <c r="M287" s="555"/>
      <c r="N287" s="555"/>
      <c r="O287" s="555"/>
      <c r="P287" s="555"/>
      <c r="Q287" s="555"/>
      <c r="R287" s="555"/>
      <c r="S287" s="555"/>
      <c r="T287" s="555"/>
      <c r="U287" s="555"/>
      <c r="V287" s="555"/>
      <c r="W287" s="555"/>
      <c r="X287" s="555"/>
      <c r="Y287" s="555"/>
      <c r="Z287" s="555"/>
    </row>
    <row r="288">
      <c r="A288" s="555"/>
      <c r="B288" s="555"/>
      <c r="C288" s="555"/>
      <c r="D288" s="555"/>
      <c r="E288" s="555"/>
      <c r="F288" s="555"/>
      <c r="G288" s="555"/>
      <c r="H288" s="555"/>
      <c r="I288" s="555"/>
      <c r="J288" s="555"/>
      <c r="K288" s="555"/>
      <c r="L288" s="555"/>
      <c r="M288" s="555"/>
      <c r="N288" s="555"/>
      <c r="O288" s="555"/>
      <c r="P288" s="555"/>
      <c r="Q288" s="555"/>
      <c r="R288" s="555"/>
      <c r="S288" s="555"/>
      <c r="T288" s="555"/>
      <c r="U288" s="555"/>
      <c r="V288" s="555"/>
      <c r="W288" s="555"/>
      <c r="X288" s="555"/>
      <c r="Y288" s="555"/>
      <c r="Z288" s="555"/>
    </row>
    <row r="289">
      <c r="A289" s="555"/>
      <c r="B289" s="555"/>
      <c r="C289" s="555"/>
      <c r="D289" s="555"/>
      <c r="E289" s="555"/>
      <c r="F289" s="555"/>
      <c r="G289" s="555"/>
      <c r="H289" s="555"/>
      <c r="I289" s="555"/>
      <c r="J289" s="555"/>
      <c r="K289" s="555"/>
      <c r="L289" s="555"/>
      <c r="M289" s="555"/>
      <c r="N289" s="555"/>
      <c r="O289" s="555"/>
      <c r="P289" s="555"/>
      <c r="Q289" s="555"/>
      <c r="R289" s="555"/>
      <c r="S289" s="555"/>
      <c r="T289" s="555"/>
      <c r="U289" s="555"/>
      <c r="V289" s="555"/>
      <c r="W289" s="555"/>
      <c r="X289" s="555"/>
      <c r="Y289" s="555"/>
      <c r="Z289" s="555"/>
    </row>
    <row r="290">
      <c r="A290" s="555"/>
      <c r="B290" s="555"/>
      <c r="C290" s="555"/>
      <c r="D290" s="555"/>
      <c r="E290" s="555"/>
      <c r="F290" s="555"/>
      <c r="G290" s="555"/>
      <c r="H290" s="555"/>
      <c r="I290" s="555"/>
      <c r="J290" s="555"/>
      <c r="K290" s="555"/>
      <c r="L290" s="555"/>
      <c r="M290" s="555"/>
      <c r="N290" s="555"/>
      <c r="O290" s="555"/>
      <c r="P290" s="555"/>
      <c r="Q290" s="555"/>
      <c r="R290" s="555"/>
      <c r="S290" s="555"/>
      <c r="T290" s="555"/>
      <c r="U290" s="555"/>
      <c r="V290" s="555"/>
      <c r="W290" s="555"/>
      <c r="X290" s="555"/>
      <c r="Y290" s="555"/>
      <c r="Z290" s="555"/>
    </row>
    <row r="291">
      <c r="A291" s="555"/>
      <c r="B291" s="555"/>
      <c r="C291" s="555"/>
      <c r="D291" s="555"/>
      <c r="E291" s="555"/>
      <c r="F291" s="555"/>
      <c r="G291" s="555"/>
      <c r="H291" s="555"/>
      <c r="I291" s="555"/>
      <c r="J291" s="555"/>
      <c r="K291" s="555"/>
      <c r="L291" s="555"/>
      <c r="M291" s="555"/>
      <c r="N291" s="555"/>
      <c r="O291" s="555"/>
      <c r="P291" s="555"/>
      <c r="Q291" s="555"/>
      <c r="R291" s="555"/>
      <c r="S291" s="555"/>
      <c r="T291" s="555"/>
      <c r="U291" s="555"/>
      <c r="V291" s="555"/>
      <c r="W291" s="555"/>
      <c r="X291" s="555"/>
      <c r="Y291" s="555"/>
      <c r="Z291" s="555"/>
    </row>
    <row r="292">
      <c r="A292" s="555"/>
      <c r="B292" s="555"/>
      <c r="C292" s="555"/>
      <c r="D292" s="555"/>
      <c r="E292" s="555"/>
      <c r="F292" s="555"/>
      <c r="G292" s="555"/>
      <c r="H292" s="555"/>
      <c r="I292" s="555"/>
      <c r="J292" s="555"/>
      <c r="K292" s="555"/>
      <c r="L292" s="555"/>
      <c r="M292" s="555"/>
      <c r="N292" s="555"/>
      <c r="O292" s="555"/>
      <c r="P292" s="555"/>
      <c r="Q292" s="555"/>
      <c r="R292" s="555"/>
      <c r="S292" s="555"/>
      <c r="T292" s="555"/>
      <c r="U292" s="555"/>
      <c r="V292" s="555"/>
      <c r="W292" s="555"/>
      <c r="X292" s="555"/>
      <c r="Y292" s="555"/>
      <c r="Z292" s="555"/>
    </row>
    <row r="293">
      <c r="A293" s="555"/>
      <c r="B293" s="555"/>
      <c r="C293" s="555"/>
      <c r="D293" s="555"/>
      <c r="E293" s="555"/>
      <c r="F293" s="555"/>
      <c r="G293" s="555"/>
      <c r="H293" s="555"/>
      <c r="I293" s="555"/>
      <c r="J293" s="555"/>
      <c r="K293" s="555"/>
      <c r="L293" s="555"/>
      <c r="M293" s="555"/>
      <c r="N293" s="555"/>
      <c r="O293" s="555"/>
      <c r="P293" s="555"/>
      <c r="Q293" s="555"/>
      <c r="R293" s="555"/>
      <c r="S293" s="555"/>
      <c r="T293" s="555"/>
      <c r="U293" s="555"/>
      <c r="V293" s="555"/>
      <c r="W293" s="555"/>
      <c r="X293" s="555"/>
      <c r="Y293" s="555"/>
      <c r="Z293" s="555"/>
    </row>
    <row r="294">
      <c r="A294" s="555"/>
      <c r="B294" s="555"/>
      <c r="C294" s="555"/>
      <c r="D294" s="555"/>
      <c r="E294" s="555"/>
      <c r="F294" s="555"/>
      <c r="G294" s="555"/>
      <c r="H294" s="555"/>
      <c r="I294" s="555"/>
      <c r="J294" s="555"/>
      <c r="K294" s="555"/>
      <c r="L294" s="555"/>
      <c r="M294" s="555"/>
      <c r="N294" s="555"/>
      <c r="O294" s="555"/>
      <c r="P294" s="555"/>
      <c r="Q294" s="555"/>
      <c r="R294" s="555"/>
      <c r="S294" s="555"/>
      <c r="T294" s="555"/>
      <c r="U294" s="555"/>
      <c r="V294" s="555"/>
      <c r="W294" s="555"/>
      <c r="X294" s="555"/>
      <c r="Y294" s="555"/>
      <c r="Z294" s="555"/>
    </row>
    <row r="295">
      <c r="A295" s="555"/>
      <c r="B295" s="555"/>
      <c r="C295" s="555"/>
      <c r="D295" s="555"/>
      <c r="E295" s="555"/>
      <c r="F295" s="555"/>
      <c r="G295" s="555"/>
      <c r="H295" s="555"/>
      <c r="I295" s="555"/>
      <c r="J295" s="555"/>
      <c r="K295" s="555"/>
      <c r="L295" s="555"/>
      <c r="M295" s="555"/>
      <c r="N295" s="555"/>
      <c r="O295" s="555"/>
      <c r="P295" s="555"/>
      <c r="Q295" s="555"/>
      <c r="R295" s="555"/>
      <c r="S295" s="555"/>
      <c r="T295" s="555"/>
      <c r="U295" s="555"/>
      <c r="V295" s="555"/>
      <c r="W295" s="555"/>
      <c r="X295" s="555"/>
      <c r="Y295" s="555"/>
      <c r="Z295" s="555"/>
    </row>
    <row r="296">
      <c r="A296" s="555"/>
      <c r="B296" s="555"/>
      <c r="C296" s="555"/>
      <c r="D296" s="555"/>
      <c r="E296" s="555"/>
      <c r="F296" s="555"/>
      <c r="G296" s="555"/>
      <c r="H296" s="555"/>
      <c r="I296" s="555"/>
      <c r="J296" s="555"/>
      <c r="K296" s="555"/>
      <c r="L296" s="555"/>
      <c r="M296" s="555"/>
      <c r="N296" s="555"/>
      <c r="O296" s="555"/>
      <c r="P296" s="555"/>
      <c r="Q296" s="555"/>
      <c r="R296" s="555"/>
      <c r="S296" s="555"/>
      <c r="T296" s="555"/>
      <c r="U296" s="555"/>
      <c r="V296" s="555"/>
      <c r="W296" s="555"/>
      <c r="X296" s="555"/>
      <c r="Y296" s="555"/>
      <c r="Z296" s="555"/>
    </row>
    <row r="297">
      <c r="A297" s="555"/>
      <c r="B297" s="555"/>
      <c r="C297" s="555"/>
      <c r="D297" s="555"/>
      <c r="E297" s="555"/>
      <c r="F297" s="555"/>
      <c r="G297" s="555"/>
      <c r="H297" s="555"/>
      <c r="I297" s="555"/>
      <c r="J297" s="555"/>
      <c r="K297" s="555"/>
      <c r="L297" s="555"/>
      <c r="M297" s="555"/>
      <c r="N297" s="555"/>
      <c r="O297" s="555"/>
      <c r="P297" s="555"/>
      <c r="Q297" s="555"/>
      <c r="R297" s="555"/>
      <c r="S297" s="555"/>
      <c r="T297" s="555"/>
      <c r="U297" s="555"/>
      <c r="V297" s="555"/>
      <c r="W297" s="555"/>
      <c r="X297" s="555"/>
      <c r="Y297" s="555"/>
      <c r="Z297" s="555"/>
    </row>
    <row r="298">
      <c r="A298" s="555"/>
      <c r="B298" s="555"/>
      <c r="C298" s="555"/>
      <c r="D298" s="555"/>
      <c r="E298" s="555"/>
      <c r="F298" s="555"/>
      <c r="G298" s="555"/>
      <c r="H298" s="555"/>
      <c r="I298" s="555"/>
      <c r="J298" s="555"/>
      <c r="K298" s="555"/>
      <c r="L298" s="555"/>
      <c r="M298" s="555"/>
      <c r="N298" s="555"/>
      <c r="O298" s="555"/>
      <c r="P298" s="555"/>
      <c r="Q298" s="555"/>
      <c r="R298" s="555"/>
      <c r="S298" s="555"/>
      <c r="T298" s="555"/>
      <c r="U298" s="555"/>
      <c r="V298" s="555"/>
      <c r="W298" s="555"/>
      <c r="X298" s="555"/>
      <c r="Y298" s="555"/>
      <c r="Z298" s="555"/>
    </row>
    <row r="299">
      <c r="A299" s="555"/>
      <c r="B299" s="555"/>
      <c r="C299" s="555"/>
      <c r="D299" s="555"/>
      <c r="E299" s="555"/>
      <c r="F299" s="555"/>
      <c r="G299" s="555"/>
      <c r="H299" s="555"/>
      <c r="I299" s="555"/>
      <c r="J299" s="555"/>
      <c r="K299" s="555"/>
      <c r="L299" s="555"/>
      <c r="M299" s="555"/>
      <c r="N299" s="555"/>
      <c r="O299" s="555"/>
      <c r="P299" s="555"/>
      <c r="Q299" s="555"/>
      <c r="R299" s="555"/>
      <c r="S299" s="555"/>
      <c r="T299" s="555"/>
      <c r="U299" s="555"/>
      <c r="V299" s="555"/>
      <c r="W299" s="555"/>
      <c r="X299" s="555"/>
      <c r="Y299" s="555"/>
      <c r="Z299" s="555"/>
    </row>
    <row r="300">
      <c r="A300" s="555"/>
      <c r="B300" s="555"/>
      <c r="C300" s="555"/>
      <c r="D300" s="555"/>
      <c r="E300" s="555"/>
      <c r="F300" s="555"/>
      <c r="G300" s="555"/>
      <c r="H300" s="555"/>
      <c r="I300" s="555"/>
      <c r="J300" s="555"/>
      <c r="K300" s="555"/>
      <c r="L300" s="555"/>
      <c r="M300" s="555"/>
      <c r="N300" s="555"/>
      <c r="O300" s="555"/>
      <c r="P300" s="555"/>
      <c r="Q300" s="555"/>
      <c r="R300" s="555"/>
      <c r="S300" s="555"/>
      <c r="T300" s="555"/>
      <c r="U300" s="555"/>
      <c r="V300" s="555"/>
      <c r="W300" s="555"/>
      <c r="X300" s="555"/>
      <c r="Y300" s="555"/>
      <c r="Z300" s="555"/>
    </row>
    <row r="301">
      <c r="A301" s="555"/>
      <c r="B301" s="555"/>
      <c r="C301" s="555"/>
      <c r="D301" s="555"/>
      <c r="E301" s="555"/>
      <c r="F301" s="555"/>
      <c r="G301" s="555"/>
      <c r="H301" s="555"/>
      <c r="I301" s="555"/>
      <c r="J301" s="555"/>
      <c r="K301" s="555"/>
      <c r="L301" s="555"/>
      <c r="M301" s="555"/>
      <c r="N301" s="555"/>
      <c r="O301" s="555"/>
      <c r="P301" s="555"/>
      <c r="Q301" s="555"/>
      <c r="R301" s="555"/>
      <c r="S301" s="555"/>
      <c r="T301" s="555"/>
      <c r="U301" s="555"/>
      <c r="V301" s="555"/>
      <c r="W301" s="555"/>
      <c r="X301" s="555"/>
      <c r="Y301" s="555"/>
      <c r="Z301" s="555"/>
    </row>
    <row r="302">
      <c r="A302" s="555"/>
      <c r="B302" s="555"/>
      <c r="C302" s="555"/>
      <c r="D302" s="555"/>
      <c r="E302" s="555"/>
      <c r="F302" s="555"/>
      <c r="G302" s="555"/>
      <c r="H302" s="555"/>
      <c r="I302" s="555"/>
      <c r="J302" s="555"/>
      <c r="K302" s="555"/>
      <c r="L302" s="555"/>
      <c r="M302" s="555"/>
      <c r="N302" s="555"/>
      <c r="O302" s="555"/>
      <c r="P302" s="555"/>
      <c r="Q302" s="555"/>
      <c r="R302" s="555"/>
      <c r="S302" s="555"/>
      <c r="T302" s="555"/>
      <c r="U302" s="555"/>
      <c r="V302" s="555"/>
      <c r="W302" s="555"/>
      <c r="X302" s="555"/>
      <c r="Y302" s="555"/>
      <c r="Z302" s="555"/>
    </row>
    <row r="303">
      <c r="A303" s="555"/>
      <c r="B303" s="555"/>
      <c r="C303" s="555"/>
      <c r="D303" s="555"/>
      <c r="E303" s="555"/>
      <c r="F303" s="555"/>
      <c r="G303" s="555"/>
      <c r="H303" s="555"/>
      <c r="I303" s="555"/>
      <c r="J303" s="555"/>
      <c r="K303" s="555"/>
      <c r="L303" s="555"/>
      <c r="M303" s="555"/>
      <c r="N303" s="555"/>
      <c r="O303" s="555"/>
      <c r="P303" s="555"/>
      <c r="Q303" s="555"/>
      <c r="R303" s="555"/>
      <c r="S303" s="555"/>
      <c r="T303" s="555"/>
      <c r="U303" s="555"/>
      <c r="V303" s="555"/>
      <c r="W303" s="555"/>
      <c r="X303" s="555"/>
      <c r="Y303" s="555"/>
      <c r="Z303" s="555"/>
    </row>
    <row r="304">
      <c r="A304" s="555"/>
      <c r="B304" s="555"/>
      <c r="C304" s="555"/>
      <c r="D304" s="555"/>
      <c r="E304" s="555"/>
      <c r="F304" s="555"/>
      <c r="G304" s="555"/>
      <c r="H304" s="555"/>
      <c r="I304" s="555"/>
      <c r="J304" s="555"/>
      <c r="K304" s="555"/>
      <c r="L304" s="555"/>
      <c r="M304" s="555"/>
      <c r="N304" s="555"/>
      <c r="O304" s="555"/>
      <c r="P304" s="555"/>
      <c r="Q304" s="555"/>
      <c r="R304" s="555"/>
      <c r="S304" s="555"/>
      <c r="T304" s="555"/>
      <c r="U304" s="555"/>
      <c r="V304" s="555"/>
      <c r="W304" s="555"/>
      <c r="X304" s="555"/>
      <c r="Y304" s="555"/>
      <c r="Z304" s="555"/>
    </row>
    <row r="305">
      <c r="A305" s="555"/>
      <c r="B305" s="555"/>
      <c r="C305" s="555"/>
      <c r="D305" s="555"/>
      <c r="E305" s="555"/>
      <c r="F305" s="555"/>
      <c r="G305" s="555"/>
      <c r="H305" s="555"/>
      <c r="I305" s="555"/>
      <c r="J305" s="555"/>
      <c r="K305" s="555"/>
      <c r="L305" s="555"/>
      <c r="M305" s="555"/>
      <c r="N305" s="555"/>
      <c r="O305" s="555"/>
      <c r="P305" s="555"/>
      <c r="Q305" s="555"/>
      <c r="R305" s="555"/>
      <c r="S305" s="555"/>
      <c r="T305" s="555"/>
      <c r="U305" s="555"/>
      <c r="V305" s="555"/>
      <c r="W305" s="555"/>
      <c r="X305" s="555"/>
      <c r="Y305" s="555"/>
      <c r="Z305" s="555"/>
    </row>
    <row r="306">
      <c r="A306" s="555"/>
      <c r="B306" s="555"/>
      <c r="C306" s="555"/>
      <c r="D306" s="555"/>
      <c r="E306" s="555"/>
      <c r="F306" s="555"/>
      <c r="G306" s="555"/>
      <c r="H306" s="555"/>
      <c r="I306" s="555"/>
      <c r="J306" s="555"/>
      <c r="K306" s="555"/>
      <c r="L306" s="555"/>
      <c r="M306" s="555"/>
      <c r="N306" s="555"/>
      <c r="O306" s="555"/>
      <c r="P306" s="555"/>
      <c r="Q306" s="555"/>
      <c r="R306" s="555"/>
      <c r="S306" s="555"/>
      <c r="T306" s="555"/>
      <c r="U306" s="555"/>
      <c r="V306" s="555"/>
      <c r="W306" s="555"/>
      <c r="X306" s="555"/>
      <c r="Y306" s="555"/>
      <c r="Z306" s="555"/>
    </row>
    <row r="307">
      <c r="A307" s="555"/>
      <c r="B307" s="555"/>
      <c r="C307" s="555"/>
      <c r="D307" s="555"/>
      <c r="E307" s="555"/>
      <c r="F307" s="555"/>
      <c r="G307" s="555"/>
      <c r="H307" s="555"/>
      <c r="I307" s="555"/>
      <c r="J307" s="555"/>
      <c r="K307" s="555"/>
      <c r="L307" s="555"/>
      <c r="M307" s="555"/>
      <c r="N307" s="555"/>
      <c r="O307" s="555"/>
      <c r="P307" s="555"/>
      <c r="Q307" s="555"/>
      <c r="R307" s="555"/>
      <c r="S307" s="555"/>
      <c r="T307" s="555"/>
      <c r="U307" s="555"/>
      <c r="V307" s="555"/>
      <c r="W307" s="555"/>
      <c r="X307" s="555"/>
      <c r="Y307" s="555"/>
      <c r="Z307" s="555"/>
    </row>
    <row r="308">
      <c r="A308" s="555"/>
      <c r="B308" s="555"/>
      <c r="C308" s="555"/>
      <c r="D308" s="555"/>
      <c r="E308" s="555"/>
      <c r="F308" s="555"/>
      <c r="G308" s="555"/>
      <c r="H308" s="555"/>
      <c r="I308" s="555"/>
      <c r="J308" s="555"/>
      <c r="K308" s="555"/>
      <c r="L308" s="555"/>
      <c r="M308" s="555"/>
      <c r="N308" s="555"/>
      <c r="O308" s="555"/>
      <c r="P308" s="555"/>
      <c r="Q308" s="555"/>
      <c r="R308" s="555"/>
      <c r="S308" s="555"/>
      <c r="T308" s="555"/>
      <c r="U308" s="555"/>
      <c r="V308" s="555"/>
      <c r="W308" s="555"/>
      <c r="X308" s="555"/>
      <c r="Y308" s="555"/>
      <c r="Z308" s="555"/>
    </row>
    <row r="309">
      <c r="A309" s="555"/>
      <c r="B309" s="555"/>
      <c r="C309" s="555"/>
      <c r="D309" s="555"/>
      <c r="E309" s="555"/>
      <c r="F309" s="555"/>
      <c r="G309" s="555"/>
      <c r="H309" s="555"/>
      <c r="I309" s="555"/>
      <c r="J309" s="555"/>
      <c r="K309" s="555"/>
      <c r="L309" s="555"/>
      <c r="M309" s="555"/>
      <c r="N309" s="555"/>
      <c r="O309" s="555"/>
      <c r="P309" s="555"/>
      <c r="Q309" s="555"/>
      <c r="R309" s="555"/>
      <c r="S309" s="555"/>
      <c r="T309" s="555"/>
      <c r="U309" s="555"/>
      <c r="V309" s="555"/>
      <c r="W309" s="555"/>
      <c r="X309" s="555"/>
      <c r="Y309" s="555"/>
      <c r="Z309" s="555"/>
    </row>
    <row r="310">
      <c r="A310" s="555"/>
      <c r="B310" s="555"/>
      <c r="C310" s="555"/>
      <c r="D310" s="555"/>
      <c r="E310" s="555"/>
      <c r="F310" s="555"/>
      <c r="G310" s="555"/>
      <c r="H310" s="555"/>
      <c r="I310" s="555"/>
      <c r="J310" s="555"/>
      <c r="K310" s="555"/>
      <c r="L310" s="555"/>
      <c r="M310" s="555"/>
      <c r="N310" s="555"/>
      <c r="O310" s="555"/>
      <c r="P310" s="555"/>
      <c r="Q310" s="555"/>
      <c r="R310" s="555"/>
      <c r="S310" s="555"/>
      <c r="T310" s="555"/>
      <c r="U310" s="555"/>
      <c r="V310" s="555"/>
      <c r="W310" s="555"/>
      <c r="X310" s="555"/>
      <c r="Y310" s="555"/>
      <c r="Z310" s="555"/>
    </row>
    <row r="311">
      <c r="A311" s="555"/>
      <c r="B311" s="555"/>
      <c r="C311" s="555"/>
      <c r="D311" s="555"/>
      <c r="E311" s="555"/>
      <c r="F311" s="555"/>
      <c r="G311" s="555"/>
      <c r="H311" s="555"/>
      <c r="I311" s="555"/>
      <c r="J311" s="555"/>
      <c r="K311" s="555"/>
      <c r="L311" s="555"/>
      <c r="M311" s="555"/>
      <c r="N311" s="555"/>
      <c r="O311" s="555"/>
      <c r="P311" s="555"/>
      <c r="Q311" s="555"/>
      <c r="R311" s="555"/>
      <c r="S311" s="555"/>
      <c r="T311" s="555"/>
      <c r="U311" s="555"/>
      <c r="V311" s="555"/>
      <c r="W311" s="555"/>
      <c r="X311" s="555"/>
      <c r="Y311" s="555"/>
      <c r="Z311" s="555"/>
    </row>
    <row r="312">
      <c r="A312" s="555"/>
      <c r="B312" s="555"/>
      <c r="C312" s="555"/>
      <c r="D312" s="555"/>
      <c r="E312" s="555"/>
      <c r="F312" s="555"/>
      <c r="G312" s="555"/>
      <c r="H312" s="555"/>
      <c r="I312" s="555"/>
      <c r="J312" s="555"/>
      <c r="K312" s="555"/>
      <c r="L312" s="555"/>
      <c r="M312" s="555"/>
      <c r="N312" s="555"/>
      <c r="O312" s="555"/>
      <c r="P312" s="555"/>
      <c r="Q312" s="555"/>
      <c r="R312" s="555"/>
      <c r="S312" s="555"/>
      <c r="T312" s="555"/>
      <c r="U312" s="555"/>
      <c r="V312" s="555"/>
      <c r="W312" s="555"/>
      <c r="X312" s="555"/>
      <c r="Y312" s="555"/>
      <c r="Z312" s="555"/>
    </row>
    <row r="313">
      <c r="A313" s="555"/>
      <c r="B313" s="555"/>
      <c r="C313" s="555"/>
      <c r="D313" s="555"/>
      <c r="E313" s="555"/>
      <c r="F313" s="555"/>
      <c r="G313" s="555"/>
      <c r="H313" s="555"/>
      <c r="I313" s="555"/>
      <c r="J313" s="555"/>
      <c r="K313" s="555"/>
      <c r="L313" s="555"/>
      <c r="M313" s="555"/>
      <c r="N313" s="555"/>
      <c r="O313" s="555"/>
      <c r="P313" s="555"/>
      <c r="Q313" s="555"/>
      <c r="R313" s="555"/>
      <c r="S313" s="555"/>
      <c r="T313" s="555"/>
      <c r="U313" s="555"/>
      <c r="V313" s="555"/>
      <c r="W313" s="555"/>
      <c r="X313" s="555"/>
      <c r="Y313" s="555"/>
      <c r="Z313" s="555"/>
    </row>
    <row r="314">
      <c r="A314" s="555"/>
      <c r="B314" s="555"/>
      <c r="C314" s="555"/>
      <c r="D314" s="555"/>
      <c r="E314" s="555"/>
      <c r="F314" s="555"/>
      <c r="G314" s="555"/>
      <c r="H314" s="555"/>
      <c r="I314" s="555"/>
      <c r="J314" s="555"/>
      <c r="K314" s="555"/>
      <c r="L314" s="555"/>
      <c r="M314" s="555"/>
      <c r="N314" s="555"/>
      <c r="O314" s="555"/>
      <c r="P314" s="555"/>
      <c r="Q314" s="555"/>
      <c r="R314" s="555"/>
      <c r="S314" s="555"/>
      <c r="T314" s="555"/>
      <c r="U314" s="555"/>
      <c r="V314" s="555"/>
      <c r="W314" s="555"/>
      <c r="X314" s="555"/>
      <c r="Y314" s="555"/>
      <c r="Z314" s="555"/>
    </row>
    <row r="315">
      <c r="A315" s="555"/>
      <c r="B315" s="555"/>
      <c r="C315" s="555"/>
      <c r="D315" s="555"/>
      <c r="E315" s="555"/>
      <c r="F315" s="555"/>
      <c r="G315" s="555"/>
      <c r="H315" s="555"/>
      <c r="I315" s="555"/>
      <c r="J315" s="555"/>
      <c r="K315" s="555"/>
      <c r="L315" s="555"/>
      <c r="M315" s="555"/>
      <c r="N315" s="555"/>
      <c r="O315" s="555"/>
      <c r="P315" s="555"/>
      <c r="Q315" s="555"/>
      <c r="R315" s="555"/>
      <c r="S315" s="555"/>
      <c r="T315" s="555"/>
      <c r="U315" s="555"/>
      <c r="V315" s="555"/>
      <c r="W315" s="555"/>
      <c r="X315" s="555"/>
      <c r="Y315" s="555"/>
      <c r="Z315" s="555"/>
    </row>
    <row r="316">
      <c r="A316" s="555"/>
      <c r="B316" s="555"/>
      <c r="C316" s="555"/>
      <c r="D316" s="555"/>
      <c r="E316" s="555"/>
      <c r="F316" s="555"/>
      <c r="G316" s="555"/>
      <c r="H316" s="555"/>
      <c r="I316" s="555"/>
      <c r="J316" s="555"/>
      <c r="K316" s="555"/>
      <c r="L316" s="555"/>
      <c r="M316" s="555"/>
      <c r="N316" s="555"/>
      <c r="O316" s="555"/>
      <c r="P316" s="555"/>
      <c r="Q316" s="555"/>
      <c r="R316" s="555"/>
      <c r="S316" s="555"/>
      <c r="T316" s="555"/>
      <c r="U316" s="555"/>
      <c r="V316" s="555"/>
      <c r="W316" s="555"/>
      <c r="X316" s="555"/>
      <c r="Y316" s="555"/>
      <c r="Z316" s="555"/>
    </row>
    <row r="317">
      <c r="A317" s="555"/>
      <c r="B317" s="555"/>
      <c r="C317" s="555"/>
      <c r="D317" s="555"/>
      <c r="E317" s="555"/>
      <c r="F317" s="555"/>
      <c r="G317" s="555"/>
      <c r="H317" s="555"/>
      <c r="I317" s="555"/>
      <c r="J317" s="555"/>
      <c r="K317" s="555"/>
      <c r="L317" s="555"/>
      <c r="M317" s="555"/>
      <c r="N317" s="555"/>
      <c r="O317" s="555"/>
      <c r="P317" s="555"/>
      <c r="Q317" s="555"/>
      <c r="R317" s="555"/>
      <c r="S317" s="555"/>
      <c r="T317" s="555"/>
      <c r="U317" s="555"/>
      <c r="V317" s="555"/>
      <c r="W317" s="555"/>
      <c r="X317" s="555"/>
      <c r="Y317" s="555"/>
      <c r="Z317" s="555"/>
    </row>
    <row r="318">
      <c r="A318" s="555"/>
      <c r="B318" s="555"/>
      <c r="C318" s="555"/>
      <c r="D318" s="555"/>
      <c r="E318" s="555"/>
      <c r="F318" s="555"/>
      <c r="G318" s="555"/>
      <c r="H318" s="555"/>
      <c r="I318" s="555"/>
      <c r="J318" s="555"/>
      <c r="K318" s="555"/>
      <c r="L318" s="555"/>
      <c r="M318" s="555"/>
      <c r="N318" s="555"/>
      <c r="O318" s="555"/>
      <c r="P318" s="555"/>
      <c r="Q318" s="555"/>
      <c r="R318" s="555"/>
      <c r="S318" s="555"/>
      <c r="T318" s="555"/>
      <c r="U318" s="555"/>
      <c r="V318" s="555"/>
      <c r="W318" s="555"/>
      <c r="X318" s="555"/>
      <c r="Y318" s="555"/>
      <c r="Z318" s="555"/>
    </row>
    <row r="319">
      <c r="A319" s="555"/>
      <c r="B319" s="555"/>
      <c r="C319" s="555"/>
      <c r="D319" s="555"/>
      <c r="E319" s="555"/>
      <c r="F319" s="555"/>
      <c r="G319" s="555"/>
      <c r="H319" s="555"/>
      <c r="I319" s="555"/>
      <c r="J319" s="555"/>
      <c r="K319" s="555"/>
      <c r="L319" s="555"/>
      <c r="M319" s="555"/>
      <c r="N319" s="555"/>
      <c r="O319" s="555"/>
      <c r="P319" s="555"/>
      <c r="Q319" s="555"/>
      <c r="R319" s="555"/>
      <c r="S319" s="555"/>
      <c r="T319" s="555"/>
      <c r="U319" s="555"/>
      <c r="V319" s="555"/>
      <c r="W319" s="555"/>
      <c r="X319" s="555"/>
      <c r="Y319" s="555"/>
      <c r="Z319" s="555"/>
    </row>
    <row r="320">
      <c r="A320" s="555"/>
      <c r="B320" s="555"/>
      <c r="C320" s="555"/>
      <c r="D320" s="555"/>
      <c r="E320" s="555"/>
      <c r="F320" s="555"/>
      <c r="G320" s="555"/>
      <c r="H320" s="555"/>
      <c r="I320" s="555"/>
      <c r="J320" s="555"/>
      <c r="K320" s="555"/>
      <c r="L320" s="555"/>
      <c r="M320" s="555"/>
      <c r="N320" s="555"/>
      <c r="O320" s="555"/>
      <c r="P320" s="555"/>
      <c r="Q320" s="555"/>
      <c r="R320" s="555"/>
      <c r="S320" s="555"/>
      <c r="T320" s="555"/>
      <c r="U320" s="555"/>
      <c r="V320" s="555"/>
      <c r="W320" s="555"/>
      <c r="X320" s="555"/>
      <c r="Y320" s="555"/>
      <c r="Z320" s="555"/>
    </row>
    <row r="321">
      <c r="A321" s="555"/>
      <c r="B321" s="555"/>
      <c r="C321" s="555"/>
      <c r="D321" s="555"/>
      <c r="E321" s="555"/>
      <c r="F321" s="555"/>
      <c r="G321" s="555"/>
      <c r="H321" s="555"/>
      <c r="I321" s="555"/>
      <c r="J321" s="555"/>
      <c r="K321" s="555"/>
      <c r="L321" s="555"/>
      <c r="M321" s="555"/>
      <c r="N321" s="555"/>
      <c r="O321" s="555"/>
      <c r="P321" s="555"/>
      <c r="Q321" s="555"/>
      <c r="R321" s="555"/>
      <c r="S321" s="555"/>
      <c r="T321" s="555"/>
      <c r="U321" s="555"/>
      <c r="V321" s="555"/>
      <c r="W321" s="555"/>
      <c r="X321" s="555"/>
      <c r="Y321" s="555"/>
      <c r="Z321" s="555"/>
    </row>
    <row r="322">
      <c r="A322" s="555"/>
      <c r="B322" s="555"/>
      <c r="C322" s="555"/>
      <c r="D322" s="555"/>
      <c r="E322" s="555"/>
      <c r="F322" s="555"/>
      <c r="G322" s="555"/>
      <c r="H322" s="555"/>
      <c r="I322" s="555"/>
      <c r="J322" s="555"/>
      <c r="K322" s="555"/>
      <c r="L322" s="555"/>
      <c r="M322" s="555"/>
      <c r="N322" s="555"/>
      <c r="O322" s="555"/>
      <c r="P322" s="555"/>
      <c r="Q322" s="555"/>
      <c r="R322" s="555"/>
      <c r="S322" s="555"/>
      <c r="T322" s="555"/>
      <c r="U322" s="555"/>
      <c r="V322" s="555"/>
      <c r="W322" s="555"/>
      <c r="X322" s="555"/>
      <c r="Y322" s="555"/>
      <c r="Z322" s="555"/>
    </row>
    <row r="323">
      <c r="A323" s="555"/>
      <c r="B323" s="555"/>
      <c r="C323" s="555"/>
      <c r="D323" s="555"/>
      <c r="E323" s="555"/>
      <c r="F323" s="555"/>
      <c r="G323" s="555"/>
      <c r="H323" s="555"/>
      <c r="I323" s="555"/>
      <c r="J323" s="555"/>
      <c r="K323" s="555"/>
      <c r="L323" s="555"/>
      <c r="M323" s="555"/>
      <c r="N323" s="555"/>
      <c r="O323" s="555"/>
      <c r="P323" s="555"/>
      <c r="Q323" s="555"/>
      <c r="R323" s="555"/>
      <c r="S323" s="555"/>
      <c r="T323" s="555"/>
      <c r="U323" s="555"/>
      <c r="V323" s="555"/>
      <c r="W323" s="555"/>
      <c r="X323" s="555"/>
      <c r="Y323" s="555"/>
      <c r="Z323" s="555"/>
    </row>
    <row r="324">
      <c r="A324" s="555"/>
      <c r="B324" s="555"/>
      <c r="C324" s="555"/>
      <c r="D324" s="555"/>
      <c r="E324" s="555"/>
      <c r="F324" s="555"/>
      <c r="G324" s="555"/>
      <c r="H324" s="555"/>
      <c r="I324" s="555"/>
      <c r="J324" s="555"/>
      <c r="K324" s="555"/>
      <c r="L324" s="555"/>
      <c r="M324" s="555"/>
      <c r="N324" s="555"/>
      <c r="O324" s="555"/>
      <c r="P324" s="555"/>
      <c r="Q324" s="555"/>
      <c r="R324" s="555"/>
      <c r="S324" s="555"/>
      <c r="T324" s="555"/>
      <c r="U324" s="555"/>
      <c r="V324" s="555"/>
      <c r="W324" s="555"/>
      <c r="X324" s="555"/>
      <c r="Y324" s="555"/>
      <c r="Z324" s="555"/>
    </row>
    <row r="325">
      <c r="A325" s="555"/>
      <c r="B325" s="555"/>
      <c r="C325" s="555"/>
      <c r="D325" s="555"/>
      <c r="E325" s="555"/>
      <c r="F325" s="555"/>
      <c r="G325" s="555"/>
      <c r="H325" s="555"/>
      <c r="I325" s="555"/>
      <c r="J325" s="555"/>
      <c r="K325" s="555"/>
      <c r="L325" s="555"/>
      <c r="M325" s="555"/>
      <c r="N325" s="555"/>
      <c r="O325" s="555"/>
      <c r="P325" s="555"/>
      <c r="Q325" s="555"/>
      <c r="R325" s="555"/>
      <c r="S325" s="555"/>
      <c r="T325" s="555"/>
      <c r="U325" s="555"/>
      <c r="V325" s="555"/>
      <c r="W325" s="555"/>
      <c r="X325" s="555"/>
      <c r="Y325" s="555"/>
      <c r="Z325" s="555"/>
    </row>
    <row r="326">
      <c r="A326" s="555"/>
      <c r="B326" s="555"/>
      <c r="C326" s="555"/>
      <c r="D326" s="555"/>
      <c r="E326" s="555"/>
      <c r="F326" s="555"/>
      <c r="G326" s="555"/>
      <c r="H326" s="555"/>
      <c r="I326" s="555"/>
      <c r="J326" s="555"/>
      <c r="K326" s="555"/>
      <c r="L326" s="555"/>
      <c r="M326" s="555"/>
      <c r="N326" s="555"/>
      <c r="O326" s="555"/>
      <c r="P326" s="555"/>
      <c r="Q326" s="555"/>
      <c r="R326" s="555"/>
      <c r="S326" s="555"/>
      <c r="T326" s="555"/>
      <c r="U326" s="555"/>
      <c r="V326" s="555"/>
      <c r="W326" s="555"/>
      <c r="X326" s="555"/>
      <c r="Y326" s="555"/>
      <c r="Z326" s="555"/>
    </row>
    <row r="327">
      <c r="A327" s="555"/>
      <c r="B327" s="555"/>
      <c r="C327" s="555"/>
      <c r="D327" s="555"/>
      <c r="E327" s="555"/>
      <c r="F327" s="555"/>
      <c r="G327" s="555"/>
      <c r="H327" s="555"/>
      <c r="I327" s="555"/>
      <c r="J327" s="555"/>
      <c r="K327" s="555"/>
      <c r="L327" s="555"/>
      <c r="M327" s="555"/>
      <c r="N327" s="555"/>
      <c r="O327" s="555"/>
      <c r="P327" s="555"/>
      <c r="Q327" s="555"/>
      <c r="R327" s="555"/>
      <c r="S327" s="555"/>
      <c r="T327" s="555"/>
      <c r="U327" s="555"/>
      <c r="V327" s="555"/>
      <c r="W327" s="555"/>
      <c r="X327" s="555"/>
      <c r="Y327" s="555"/>
      <c r="Z327" s="555"/>
    </row>
    <row r="328">
      <c r="A328" s="555"/>
      <c r="B328" s="555"/>
      <c r="C328" s="555"/>
      <c r="D328" s="555"/>
      <c r="E328" s="555"/>
      <c r="F328" s="555"/>
      <c r="G328" s="555"/>
      <c r="H328" s="555"/>
      <c r="I328" s="555"/>
      <c r="J328" s="555"/>
      <c r="K328" s="555"/>
      <c r="L328" s="555"/>
      <c r="M328" s="555"/>
      <c r="N328" s="555"/>
      <c r="O328" s="555"/>
      <c r="P328" s="555"/>
      <c r="Q328" s="555"/>
      <c r="R328" s="555"/>
      <c r="S328" s="555"/>
      <c r="T328" s="555"/>
      <c r="U328" s="555"/>
      <c r="V328" s="555"/>
      <c r="W328" s="555"/>
      <c r="X328" s="555"/>
      <c r="Y328" s="555"/>
      <c r="Z328" s="555"/>
    </row>
    <row r="329">
      <c r="A329" s="555"/>
      <c r="B329" s="555"/>
      <c r="C329" s="555"/>
      <c r="D329" s="555"/>
      <c r="E329" s="555"/>
      <c r="F329" s="555"/>
      <c r="G329" s="555"/>
      <c r="H329" s="555"/>
      <c r="I329" s="555"/>
      <c r="J329" s="555"/>
      <c r="K329" s="555"/>
      <c r="L329" s="555"/>
      <c r="M329" s="555"/>
      <c r="N329" s="555"/>
      <c r="O329" s="555"/>
      <c r="P329" s="555"/>
      <c r="Q329" s="555"/>
      <c r="R329" s="555"/>
      <c r="S329" s="555"/>
      <c r="T329" s="555"/>
      <c r="U329" s="555"/>
      <c r="V329" s="555"/>
      <c r="W329" s="555"/>
      <c r="X329" s="555"/>
      <c r="Y329" s="555"/>
      <c r="Z329" s="555"/>
    </row>
    <row r="330">
      <c r="A330" s="555"/>
      <c r="B330" s="555"/>
      <c r="C330" s="555"/>
      <c r="D330" s="555"/>
      <c r="E330" s="555"/>
      <c r="F330" s="555"/>
      <c r="G330" s="555"/>
      <c r="H330" s="555"/>
      <c r="I330" s="555"/>
      <c r="J330" s="555"/>
      <c r="K330" s="555"/>
      <c r="L330" s="555"/>
      <c r="M330" s="555"/>
      <c r="N330" s="555"/>
      <c r="O330" s="555"/>
      <c r="P330" s="555"/>
      <c r="Q330" s="555"/>
      <c r="R330" s="555"/>
      <c r="S330" s="555"/>
      <c r="T330" s="555"/>
      <c r="U330" s="555"/>
      <c r="V330" s="555"/>
      <c r="W330" s="555"/>
      <c r="X330" s="555"/>
      <c r="Y330" s="555"/>
      <c r="Z330" s="555"/>
    </row>
    <row r="331">
      <c r="A331" s="555"/>
      <c r="B331" s="555"/>
      <c r="C331" s="555"/>
      <c r="D331" s="555"/>
      <c r="E331" s="555"/>
      <c r="F331" s="555"/>
      <c r="G331" s="555"/>
      <c r="H331" s="555"/>
      <c r="I331" s="555"/>
      <c r="J331" s="555"/>
      <c r="K331" s="555"/>
      <c r="L331" s="555"/>
      <c r="M331" s="555"/>
      <c r="N331" s="555"/>
      <c r="O331" s="555"/>
      <c r="P331" s="555"/>
      <c r="Q331" s="555"/>
      <c r="R331" s="555"/>
      <c r="S331" s="555"/>
      <c r="T331" s="555"/>
      <c r="U331" s="555"/>
      <c r="V331" s="555"/>
      <c r="W331" s="555"/>
      <c r="X331" s="555"/>
      <c r="Y331" s="555"/>
      <c r="Z331" s="555"/>
    </row>
    <row r="332">
      <c r="A332" s="555"/>
      <c r="B332" s="555"/>
      <c r="C332" s="555"/>
      <c r="D332" s="555"/>
      <c r="E332" s="555"/>
      <c r="F332" s="555"/>
      <c r="G332" s="555"/>
      <c r="H332" s="555"/>
      <c r="I332" s="555"/>
      <c r="J332" s="555"/>
      <c r="K332" s="555"/>
      <c r="L332" s="555"/>
      <c r="M332" s="555"/>
      <c r="N332" s="555"/>
      <c r="O332" s="555"/>
      <c r="P332" s="555"/>
      <c r="Q332" s="555"/>
      <c r="R332" s="555"/>
      <c r="S332" s="555"/>
      <c r="T332" s="555"/>
      <c r="U332" s="555"/>
      <c r="V332" s="555"/>
      <c r="W332" s="555"/>
      <c r="X332" s="555"/>
      <c r="Y332" s="555"/>
      <c r="Z332" s="555"/>
    </row>
    <row r="333">
      <c r="A333" s="555"/>
      <c r="B333" s="555"/>
      <c r="C333" s="555"/>
      <c r="D333" s="555"/>
      <c r="E333" s="555"/>
      <c r="F333" s="555"/>
      <c r="G333" s="555"/>
      <c r="H333" s="555"/>
      <c r="I333" s="555"/>
      <c r="J333" s="555"/>
      <c r="K333" s="555"/>
      <c r="L333" s="555"/>
      <c r="M333" s="555"/>
      <c r="N333" s="555"/>
      <c r="O333" s="555"/>
      <c r="P333" s="555"/>
      <c r="Q333" s="555"/>
      <c r="R333" s="555"/>
      <c r="S333" s="555"/>
      <c r="T333" s="555"/>
      <c r="U333" s="555"/>
      <c r="V333" s="555"/>
      <c r="W333" s="555"/>
      <c r="X333" s="555"/>
      <c r="Y333" s="555"/>
      <c r="Z333" s="555"/>
    </row>
    <row r="334">
      <c r="A334" s="555"/>
      <c r="B334" s="555"/>
      <c r="C334" s="555"/>
      <c r="D334" s="555"/>
      <c r="E334" s="555"/>
      <c r="F334" s="555"/>
      <c r="G334" s="555"/>
      <c r="H334" s="555"/>
      <c r="I334" s="555"/>
      <c r="J334" s="555"/>
      <c r="K334" s="555"/>
      <c r="L334" s="555"/>
      <c r="M334" s="555"/>
      <c r="N334" s="555"/>
      <c r="O334" s="555"/>
      <c r="P334" s="555"/>
      <c r="Q334" s="555"/>
      <c r="R334" s="555"/>
      <c r="S334" s="555"/>
      <c r="T334" s="555"/>
      <c r="U334" s="555"/>
      <c r="V334" s="555"/>
      <c r="W334" s="555"/>
      <c r="X334" s="555"/>
      <c r="Y334" s="555"/>
      <c r="Z334" s="555"/>
    </row>
    <row r="335">
      <c r="A335" s="555"/>
      <c r="B335" s="555"/>
      <c r="C335" s="555"/>
      <c r="D335" s="555"/>
      <c r="E335" s="555"/>
      <c r="F335" s="555"/>
      <c r="G335" s="555"/>
      <c r="H335" s="555"/>
      <c r="I335" s="555"/>
      <c r="J335" s="555"/>
      <c r="K335" s="555"/>
      <c r="L335" s="555"/>
      <c r="M335" s="555"/>
      <c r="N335" s="555"/>
      <c r="O335" s="555"/>
      <c r="P335" s="555"/>
      <c r="Q335" s="555"/>
      <c r="R335" s="555"/>
      <c r="S335" s="555"/>
      <c r="T335" s="555"/>
      <c r="U335" s="555"/>
      <c r="V335" s="555"/>
      <c r="W335" s="555"/>
      <c r="X335" s="555"/>
      <c r="Y335" s="555"/>
      <c r="Z335" s="555"/>
    </row>
    <row r="336">
      <c r="A336" s="555"/>
      <c r="B336" s="555"/>
      <c r="C336" s="555"/>
      <c r="D336" s="555"/>
      <c r="E336" s="555"/>
      <c r="F336" s="555"/>
      <c r="G336" s="555"/>
      <c r="H336" s="555"/>
      <c r="I336" s="555"/>
      <c r="J336" s="555"/>
      <c r="K336" s="555"/>
      <c r="L336" s="555"/>
      <c r="M336" s="555"/>
      <c r="N336" s="555"/>
      <c r="O336" s="555"/>
      <c r="P336" s="555"/>
      <c r="Q336" s="555"/>
      <c r="R336" s="555"/>
      <c r="S336" s="555"/>
      <c r="T336" s="555"/>
      <c r="U336" s="555"/>
      <c r="V336" s="555"/>
      <c r="W336" s="555"/>
      <c r="X336" s="555"/>
      <c r="Y336" s="555"/>
      <c r="Z336" s="555"/>
    </row>
    <row r="337">
      <c r="A337" s="555"/>
      <c r="B337" s="555"/>
      <c r="C337" s="555"/>
      <c r="D337" s="555"/>
      <c r="E337" s="555"/>
      <c r="F337" s="555"/>
      <c r="G337" s="555"/>
      <c r="H337" s="555"/>
      <c r="I337" s="555"/>
      <c r="J337" s="555"/>
      <c r="K337" s="555"/>
      <c r="L337" s="555"/>
      <c r="M337" s="555"/>
      <c r="N337" s="555"/>
      <c r="O337" s="555"/>
      <c r="P337" s="555"/>
      <c r="Q337" s="555"/>
      <c r="R337" s="555"/>
      <c r="S337" s="555"/>
      <c r="T337" s="555"/>
      <c r="U337" s="555"/>
      <c r="V337" s="555"/>
      <c r="W337" s="555"/>
      <c r="X337" s="555"/>
      <c r="Y337" s="555"/>
      <c r="Z337" s="555"/>
    </row>
    <row r="338">
      <c r="A338" s="555"/>
      <c r="B338" s="555"/>
      <c r="C338" s="555"/>
      <c r="D338" s="555"/>
      <c r="E338" s="555"/>
      <c r="F338" s="555"/>
      <c r="G338" s="555"/>
      <c r="H338" s="555"/>
      <c r="I338" s="555"/>
      <c r="J338" s="555"/>
      <c r="K338" s="555"/>
      <c r="L338" s="555"/>
      <c r="M338" s="555"/>
      <c r="N338" s="555"/>
      <c r="O338" s="555"/>
      <c r="P338" s="555"/>
      <c r="Q338" s="555"/>
      <c r="R338" s="555"/>
      <c r="S338" s="555"/>
      <c r="T338" s="555"/>
      <c r="U338" s="555"/>
      <c r="V338" s="555"/>
      <c r="W338" s="555"/>
      <c r="X338" s="555"/>
      <c r="Y338" s="555"/>
      <c r="Z338" s="555"/>
    </row>
    <row r="339">
      <c r="A339" s="555"/>
      <c r="B339" s="555"/>
      <c r="C339" s="555"/>
      <c r="D339" s="555"/>
      <c r="E339" s="555"/>
      <c r="F339" s="555"/>
      <c r="G339" s="555"/>
      <c r="H339" s="555"/>
      <c r="I339" s="555"/>
      <c r="J339" s="555"/>
      <c r="K339" s="555"/>
      <c r="L339" s="555"/>
      <c r="M339" s="555"/>
      <c r="N339" s="555"/>
      <c r="O339" s="555"/>
      <c r="P339" s="555"/>
      <c r="Q339" s="555"/>
      <c r="R339" s="555"/>
      <c r="S339" s="555"/>
      <c r="T339" s="555"/>
      <c r="U339" s="555"/>
      <c r="V339" s="555"/>
      <c r="W339" s="555"/>
      <c r="X339" s="555"/>
      <c r="Y339" s="555"/>
      <c r="Z339" s="555"/>
    </row>
    <row r="340">
      <c r="A340" s="555"/>
      <c r="B340" s="555"/>
      <c r="C340" s="555"/>
      <c r="D340" s="555"/>
      <c r="E340" s="555"/>
      <c r="F340" s="555"/>
      <c r="G340" s="555"/>
      <c r="H340" s="555"/>
      <c r="I340" s="555"/>
      <c r="J340" s="555"/>
      <c r="K340" s="555"/>
      <c r="L340" s="555"/>
      <c r="M340" s="555"/>
      <c r="N340" s="555"/>
      <c r="O340" s="555"/>
      <c r="P340" s="555"/>
      <c r="Q340" s="555"/>
      <c r="R340" s="555"/>
      <c r="S340" s="555"/>
      <c r="T340" s="555"/>
      <c r="U340" s="555"/>
      <c r="V340" s="555"/>
      <c r="W340" s="555"/>
      <c r="X340" s="555"/>
      <c r="Y340" s="555"/>
      <c r="Z340" s="555"/>
    </row>
    <row r="341">
      <c r="A341" s="555"/>
      <c r="B341" s="555"/>
      <c r="C341" s="555"/>
      <c r="D341" s="555"/>
      <c r="E341" s="555"/>
      <c r="F341" s="555"/>
      <c r="G341" s="555"/>
      <c r="H341" s="555"/>
      <c r="I341" s="555"/>
      <c r="J341" s="555"/>
      <c r="K341" s="555"/>
      <c r="L341" s="555"/>
      <c r="M341" s="555"/>
      <c r="N341" s="555"/>
      <c r="O341" s="555"/>
      <c r="P341" s="555"/>
      <c r="Q341" s="555"/>
      <c r="R341" s="555"/>
      <c r="S341" s="555"/>
      <c r="T341" s="555"/>
      <c r="U341" s="555"/>
      <c r="V341" s="555"/>
      <c r="W341" s="555"/>
      <c r="X341" s="555"/>
      <c r="Y341" s="555"/>
      <c r="Z341" s="555"/>
    </row>
    <row r="342">
      <c r="A342" s="555"/>
      <c r="B342" s="555"/>
      <c r="C342" s="555"/>
      <c r="D342" s="555"/>
      <c r="E342" s="555"/>
      <c r="F342" s="555"/>
      <c r="G342" s="555"/>
      <c r="H342" s="555"/>
      <c r="I342" s="555"/>
      <c r="J342" s="555"/>
      <c r="K342" s="555"/>
      <c r="L342" s="555"/>
      <c r="M342" s="555"/>
      <c r="N342" s="555"/>
      <c r="O342" s="555"/>
      <c r="P342" s="555"/>
      <c r="Q342" s="555"/>
      <c r="R342" s="555"/>
      <c r="S342" s="555"/>
      <c r="T342" s="555"/>
      <c r="U342" s="555"/>
      <c r="V342" s="555"/>
      <c r="W342" s="555"/>
      <c r="X342" s="555"/>
      <c r="Y342" s="555"/>
      <c r="Z342" s="555"/>
    </row>
    <row r="343">
      <c r="A343" s="555"/>
      <c r="B343" s="555"/>
      <c r="C343" s="555"/>
      <c r="D343" s="555"/>
      <c r="E343" s="555"/>
      <c r="F343" s="555"/>
      <c r="G343" s="555"/>
      <c r="H343" s="555"/>
      <c r="I343" s="555"/>
      <c r="J343" s="555"/>
      <c r="K343" s="555"/>
      <c r="L343" s="555"/>
      <c r="M343" s="555"/>
      <c r="N343" s="555"/>
      <c r="O343" s="555"/>
      <c r="P343" s="555"/>
      <c r="Q343" s="555"/>
      <c r="R343" s="555"/>
      <c r="S343" s="555"/>
      <c r="T343" s="555"/>
      <c r="U343" s="555"/>
      <c r="V343" s="555"/>
      <c r="W343" s="555"/>
      <c r="X343" s="555"/>
      <c r="Y343" s="555"/>
      <c r="Z343" s="555"/>
    </row>
    <row r="344">
      <c r="A344" s="555"/>
      <c r="B344" s="555"/>
      <c r="C344" s="555"/>
      <c r="D344" s="555"/>
      <c r="E344" s="555"/>
      <c r="F344" s="555"/>
      <c r="G344" s="555"/>
      <c r="H344" s="555"/>
      <c r="I344" s="555"/>
      <c r="J344" s="555"/>
      <c r="K344" s="555"/>
      <c r="L344" s="555"/>
      <c r="M344" s="555"/>
      <c r="N344" s="555"/>
      <c r="O344" s="555"/>
      <c r="P344" s="555"/>
      <c r="Q344" s="555"/>
      <c r="R344" s="555"/>
      <c r="S344" s="555"/>
      <c r="T344" s="555"/>
      <c r="U344" s="555"/>
      <c r="V344" s="555"/>
      <c r="W344" s="555"/>
      <c r="X344" s="555"/>
      <c r="Y344" s="555"/>
      <c r="Z344" s="555"/>
    </row>
    <row r="345">
      <c r="A345" s="555"/>
      <c r="B345" s="555"/>
      <c r="C345" s="555"/>
      <c r="D345" s="555"/>
      <c r="E345" s="555"/>
      <c r="F345" s="555"/>
      <c r="G345" s="555"/>
      <c r="H345" s="555"/>
      <c r="I345" s="555"/>
      <c r="J345" s="555"/>
      <c r="K345" s="555"/>
      <c r="L345" s="555"/>
      <c r="M345" s="555"/>
      <c r="N345" s="555"/>
      <c r="O345" s="555"/>
      <c r="P345" s="555"/>
      <c r="Q345" s="555"/>
      <c r="R345" s="555"/>
      <c r="S345" s="555"/>
      <c r="T345" s="555"/>
      <c r="U345" s="555"/>
      <c r="V345" s="555"/>
      <c r="W345" s="555"/>
      <c r="X345" s="555"/>
      <c r="Y345" s="555"/>
      <c r="Z345" s="555"/>
    </row>
    <row r="346">
      <c r="A346" s="555"/>
      <c r="B346" s="555"/>
      <c r="C346" s="555"/>
      <c r="D346" s="555"/>
      <c r="E346" s="555"/>
      <c r="F346" s="555"/>
      <c r="G346" s="555"/>
      <c r="H346" s="555"/>
      <c r="I346" s="555"/>
      <c r="J346" s="555"/>
      <c r="K346" s="555"/>
      <c r="L346" s="555"/>
      <c r="M346" s="555"/>
      <c r="N346" s="555"/>
      <c r="O346" s="555"/>
      <c r="P346" s="555"/>
      <c r="Q346" s="555"/>
      <c r="R346" s="555"/>
      <c r="S346" s="555"/>
      <c r="T346" s="555"/>
      <c r="U346" s="555"/>
      <c r="V346" s="555"/>
      <c r="W346" s="555"/>
      <c r="X346" s="555"/>
      <c r="Y346" s="555"/>
      <c r="Z346" s="555"/>
    </row>
    <row r="347">
      <c r="A347" s="555"/>
      <c r="B347" s="555"/>
      <c r="C347" s="555"/>
      <c r="D347" s="555"/>
      <c r="E347" s="555"/>
      <c r="F347" s="555"/>
      <c r="G347" s="555"/>
      <c r="H347" s="555"/>
      <c r="I347" s="555"/>
      <c r="J347" s="555"/>
      <c r="K347" s="555"/>
      <c r="L347" s="555"/>
      <c r="M347" s="555"/>
      <c r="N347" s="555"/>
      <c r="O347" s="555"/>
      <c r="P347" s="555"/>
      <c r="Q347" s="555"/>
      <c r="R347" s="555"/>
      <c r="S347" s="555"/>
      <c r="T347" s="555"/>
      <c r="U347" s="555"/>
      <c r="V347" s="555"/>
      <c r="W347" s="555"/>
      <c r="X347" s="555"/>
      <c r="Y347" s="555"/>
      <c r="Z347" s="555"/>
    </row>
    <row r="348">
      <c r="A348" s="555"/>
      <c r="B348" s="555"/>
      <c r="C348" s="555"/>
      <c r="D348" s="555"/>
      <c r="E348" s="555"/>
      <c r="F348" s="555"/>
      <c r="G348" s="555"/>
      <c r="H348" s="555"/>
      <c r="I348" s="555"/>
      <c r="J348" s="555"/>
      <c r="K348" s="555"/>
      <c r="L348" s="555"/>
      <c r="M348" s="555"/>
      <c r="N348" s="555"/>
      <c r="O348" s="555"/>
      <c r="P348" s="555"/>
      <c r="Q348" s="555"/>
      <c r="R348" s="555"/>
      <c r="S348" s="555"/>
      <c r="T348" s="555"/>
      <c r="U348" s="555"/>
      <c r="V348" s="555"/>
      <c r="W348" s="555"/>
      <c r="X348" s="555"/>
      <c r="Y348" s="555"/>
      <c r="Z348" s="555"/>
    </row>
    <row r="349">
      <c r="A349" s="555"/>
      <c r="B349" s="555"/>
      <c r="C349" s="555"/>
      <c r="D349" s="555"/>
      <c r="E349" s="555"/>
      <c r="F349" s="555"/>
      <c r="G349" s="555"/>
      <c r="H349" s="555"/>
      <c r="I349" s="555"/>
      <c r="J349" s="555"/>
      <c r="K349" s="555"/>
      <c r="L349" s="555"/>
      <c r="M349" s="555"/>
      <c r="N349" s="555"/>
      <c r="O349" s="555"/>
      <c r="P349" s="555"/>
      <c r="Q349" s="555"/>
      <c r="R349" s="555"/>
      <c r="S349" s="555"/>
      <c r="T349" s="555"/>
      <c r="U349" s="555"/>
      <c r="V349" s="555"/>
      <c r="W349" s="555"/>
      <c r="X349" s="555"/>
      <c r="Y349" s="555"/>
      <c r="Z349" s="555"/>
    </row>
    <row r="350">
      <c r="A350" s="555"/>
      <c r="B350" s="555"/>
      <c r="C350" s="555"/>
      <c r="D350" s="555"/>
      <c r="E350" s="555"/>
      <c r="F350" s="555"/>
      <c r="G350" s="555"/>
      <c r="H350" s="555"/>
      <c r="I350" s="555"/>
      <c r="J350" s="555"/>
      <c r="K350" s="555"/>
      <c r="L350" s="555"/>
      <c r="M350" s="555"/>
      <c r="N350" s="555"/>
      <c r="O350" s="555"/>
      <c r="P350" s="555"/>
      <c r="Q350" s="555"/>
      <c r="R350" s="555"/>
      <c r="S350" s="555"/>
      <c r="T350" s="555"/>
      <c r="U350" s="555"/>
      <c r="V350" s="555"/>
      <c r="W350" s="555"/>
      <c r="X350" s="555"/>
      <c r="Y350" s="555"/>
      <c r="Z350" s="555"/>
    </row>
    <row r="351">
      <c r="A351" s="555"/>
      <c r="B351" s="555"/>
      <c r="C351" s="555"/>
      <c r="D351" s="555"/>
      <c r="E351" s="555"/>
      <c r="F351" s="555"/>
      <c r="G351" s="555"/>
      <c r="H351" s="555"/>
      <c r="I351" s="555"/>
      <c r="J351" s="555"/>
      <c r="K351" s="555"/>
      <c r="L351" s="555"/>
      <c r="M351" s="555"/>
      <c r="N351" s="555"/>
      <c r="O351" s="555"/>
      <c r="P351" s="555"/>
      <c r="Q351" s="555"/>
      <c r="R351" s="555"/>
      <c r="S351" s="555"/>
      <c r="T351" s="555"/>
      <c r="U351" s="555"/>
      <c r="V351" s="555"/>
      <c r="W351" s="555"/>
      <c r="X351" s="555"/>
      <c r="Y351" s="555"/>
      <c r="Z351" s="555"/>
    </row>
    <row r="352">
      <c r="A352" s="555"/>
      <c r="B352" s="555"/>
      <c r="C352" s="555"/>
      <c r="D352" s="555"/>
      <c r="E352" s="555"/>
      <c r="F352" s="555"/>
      <c r="G352" s="555"/>
      <c r="H352" s="555"/>
      <c r="I352" s="555"/>
      <c r="J352" s="555"/>
      <c r="K352" s="555"/>
      <c r="L352" s="555"/>
      <c r="M352" s="555"/>
      <c r="N352" s="555"/>
      <c r="O352" s="555"/>
      <c r="P352" s="555"/>
      <c r="Q352" s="555"/>
      <c r="R352" s="555"/>
      <c r="S352" s="555"/>
      <c r="T352" s="555"/>
      <c r="U352" s="555"/>
      <c r="V352" s="555"/>
      <c r="W352" s="555"/>
      <c r="X352" s="555"/>
      <c r="Y352" s="555"/>
      <c r="Z352" s="555"/>
    </row>
    <row r="353">
      <c r="A353" s="555"/>
      <c r="B353" s="555"/>
      <c r="C353" s="555"/>
      <c r="D353" s="555"/>
      <c r="E353" s="555"/>
      <c r="F353" s="555"/>
      <c r="G353" s="555"/>
      <c r="H353" s="555"/>
      <c r="I353" s="555"/>
      <c r="J353" s="555"/>
      <c r="K353" s="555"/>
      <c r="L353" s="555"/>
      <c r="M353" s="555"/>
      <c r="N353" s="555"/>
      <c r="O353" s="555"/>
      <c r="P353" s="555"/>
      <c r="Q353" s="555"/>
      <c r="R353" s="555"/>
      <c r="S353" s="555"/>
      <c r="T353" s="555"/>
      <c r="U353" s="555"/>
      <c r="V353" s="555"/>
      <c r="W353" s="555"/>
      <c r="X353" s="555"/>
      <c r="Y353" s="555"/>
      <c r="Z353" s="555"/>
    </row>
    <row r="354">
      <c r="A354" s="555"/>
      <c r="B354" s="555"/>
      <c r="C354" s="555"/>
      <c r="D354" s="555"/>
      <c r="E354" s="555"/>
      <c r="F354" s="555"/>
      <c r="G354" s="555"/>
      <c r="H354" s="555"/>
      <c r="I354" s="555"/>
      <c r="J354" s="555"/>
      <c r="K354" s="555"/>
      <c r="L354" s="555"/>
      <c r="M354" s="555"/>
      <c r="N354" s="555"/>
      <c r="O354" s="555"/>
      <c r="P354" s="555"/>
      <c r="Q354" s="555"/>
      <c r="R354" s="555"/>
      <c r="S354" s="555"/>
      <c r="T354" s="555"/>
      <c r="U354" s="555"/>
      <c r="V354" s="555"/>
      <c r="W354" s="555"/>
      <c r="X354" s="555"/>
      <c r="Y354" s="555"/>
      <c r="Z354" s="555"/>
    </row>
    <row r="355">
      <c r="A355" s="555"/>
      <c r="B355" s="555"/>
      <c r="C355" s="555"/>
      <c r="D355" s="555"/>
      <c r="E355" s="555"/>
      <c r="F355" s="555"/>
      <c r="G355" s="555"/>
      <c r="H355" s="555"/>
      <c r="I355" s="555"/>
      <c r="J355" s="555"/>
      <c r="K355" s="555"/>
      <c r="L355" s="555"/>
      <c r="M355" s="555"/>
      <c r="N355" s="555"/>
      <c r="O355" s="555"/>
      <c r="P355" s="555"/>
      <c r="Q355" s="555"/>
      <c r="R355" s="555"/>
      <c r="S355" s="555"/>
      <c r="T355" s="555"/>
      <c r="U355" s="555"/>
      <c r="V355" s="555"/>
      <c r="W355" s="555"/>
      <c r="X355" s="555"/>
      <c r="Y355" s="555"/>
      <c r="Z355" s="555"/>
    </row>
    <row r="356">
      <c r="A356" s="555"/>
      <c r="B356" s="555"/>
      <c r="C356" s="555"/>
      <c r="D356" s="555"/>
      <c r="E356" s="555"/>
      <c r="F356" s="555"/>
      <c r="G356" s="555"/>
      <c r="H356" s="555"/>
      <c r="I356" s="555"/>
      <c r="J356" s="555"/>
      <c r="K356" s="555"/>
      <c r="L356" s="555"/>
      <c r="M356" s="555"/>
      <c r="N356" s="555"/>
      <c r="O356" s="555"/>
      <c r="P356" s="555"/>
      <c r="Q356" s="555"/>
      <c r="R356" s="555"/>
      <c r="S356" s="555"/>
      <c r="T356" s="555"/>
      <c r="U356" s="555"/>
      <c r="V356" s="555"/>
      <c r="W356" s="555"/>
      <c r="X356" s="555"/>
      <c r="Y356" s="555"/>
      <c r="Z356" s="555"/>
    </row>
    <row r="357">
      <c r="A357" s="555"/>
      <c r="B357" s="555"/>
      <c r="C357" s="555"/>
      <c r="D357" s="555"/>
      <c r="E357" s="555"/>
      <c r="F357" s="555"/>
      <c r="G357" s="555"/>
      <c r="H357" s="555"/>
      <c r="I357" s="555"/>
      <c r="J357" s="555"/>
      <c r="K357" s="555"/>
      <c r="L357" s="555"/>
      <c r="M357" s="555"/>
      <c r="N357" s="555"/>
      <c r="O357" s="555"/>
      <c r="P357" s="555"/>
      <c r="Q357" s="555"/>
      <c r="R357" s="555"/>
      <c r="S357" s="555"/>
      <c r="T357" s="555"/>
      <c r="U357" s="555"/>
      <c r="V357" s="555"/>
      <c r="W357" s="555"/>
      <c r="X357" s="555"/>
      <c r="Y357" s="555"/>
      <c r="Z357" s="555"/>
    </row>
    <row r="358">
      <c r="A358" s="555"/>
      <c r="B358" s="555"/>
      <c r="C358" s="555"/>
      <c r="D358" s="555"/>
      <c r="E358" s="555"/>
      <c r="F358" s="555"/>
      <c r="G358" s="555"/>
      <c r="H358" s="555"/>
      <c r="I358" s="555"/>
      <c r="J358" s="555"/>
      <c r="K358" s="555"/>
      <c r="L358" s="555"/>
      <c r="M358" s="555"/>
      <c r="N358" s="555"/>
      <c r="O358" s="555"/>
      <c r="P358" s="555"/>
      <c r="Q358" s="555"/>
      <c r="R358" s="555"/>
      <c r="S358" s="555"/>
      <c r="T358" s="555"/>
      <c r="U358" s="555"/>
      <c r="V358" s="555"/>
      <c r="W358" s="555"/>
      <c r="X358" s="555"/>
      <c r="Y358" s="555"/>
      <c r="Z358" s="555"/>
    </row>
    <row r="359">
      <c r="A359" s="555"/>
      <c r="B359" s="555"/>
      <c r="C359" s="555"/>
      <c r="D359" s="555"/>
      <c r="E359" s="555"/>
      <c r="F359" s="555"/>
      <c r="G359" s="555"/>
      <c r="H359" s="555"/>
      <c r="I359" s="555"/>
      <c r="J359" s="555"/>
      <c r="K359" s="555"/>
      <c r="L359" s="555"/>
      <c r="M359" s="555"/>
      <c r="N359" s="555"/>
      <c r="O359" s="555"/>
      <c r="P359" s="555"/>
      <c r="Q359" s="555"/>
      <c r="R359" s="555"/>
      <c r="S359" s="555"/>
      <c r="T359" s="555"/>
      <c r="U359" s="555"/>
      <c r="V359" s="555"/>
      <c r="W359" s="555"/>
      <c r="X359" s="555"/>
      <c r="Y359" s="555"/>
      <c r="Z359" s="555"/>
    </row>
    <row r="360">
      <c r="A360" s="555"/>
      <c r="B360" s="555"/>
      <c r="C360" s="555"/>
      <c r="D360" s="555"/>
      <c r="E360" s="555"/>
      <c r="F360" s="555"/>
      <c r="G360" s="555"/>
      <c r="H360" s="555"/>
      <c r="I360" s="555"/>
      <c r="J360" s="555"/>
      <c r="K360" s="555"/>
      <c r="L360" s="555"/>
      <c r="M360" s="555"/>
      <c r="N360" s="555"/>
      <c r="O360" s="555"/>
      <c r="P360" s="555"/>
      <c r="Q360" s="555"/>
      <c r="R360" s="555"/>
      <c r="S360" s="555"/>
      <c r="T360" s="555"/>
      <c r="U360" s="555"/>
      <c r="V360" s="555"/>
      <c r="W360" s="555"/>
      <c r="X360" s="555"/>
      <c r="Y360" s="555"/>
      <c r="Z360" s="555"/>
    </row>
    <row r="361">
      <c r="A361" s="555"/>
      <c r="B361" s="555"/>
      <c r="C361" s="555"/>
      <c r="D361" s="555"/>
      <c r="E361" s="555"/>
      <c r="F361" s="555"/>
      <c r="G361" s="555"/>
      <c r="H361" s="555"/>
      <c r="I361" s="555"/>
      <c r="J361" s="555"/>
      <c r="K361" s="555"/>
      <c r="L361" s="555"/>
      <c r="M361" s="555"/>
      <c r="N361" s="555"/>
      <c r="O361" s="555"/>
      <c r="P361" s="555"/>
      <c r="Q361" s="555"/>
      <c r="R361" s="555"/>
      <c r="S361" s="555"/>
      <c r="T361" s="555"/>
      <c r="U361" s="555"/>
      <c r="V361" s="555"/>
      <c r="W361" s="555"/>
      <c r="X361" s="555"/>
      <c r="Y361" s="555"/>
      <c r="Z361" s="555"/>
    </row>
    <row r="362">
      <c r="A362" s="555"/>
      <c r="B362" s="555"/>
      <c r="C362" s="555"/>
      <c r="D362" s="555"/>
      <c r="E362" s="555"/>
      <c r="F362" s="555"/>
      <c r="G362" s="555"/>
      <c r="H362" s="555"/>
      <c r="I362" s="555"/>
      <c r="J362" s="555"/>
      <c r="K362" s="555"/>
      <c r="L362" s="555"/>
      <c r="M362" s="555"/>
      <c r="N362" s="555"/>
      <c r="O362" s="555"/>
      <c r="P362" s="555"/>
      <c r="Q362" s="555"/>
      <c r="R362" s="555"/>
      <c r="S362" s="555"/>
      <c r="T362" s="555"/>
      <c r="U362" s="555"/>
      <c r="V362" s="555"/>
      <c r="W362" s="555"/>
      <c r="X362" s="555"/>
      <c r="Y362" s="555"/>
      <c r="Z362" s="555"/>
    </row>
    <row r="363">
      <c r="A363" s="555"/>
      <c r="B363" s="555"/>
      <c r="C363" s="555"/>
      <c r="D363" s="555"/>
      <c r="E363" s="555"/>
      <c r="F363" s="555"/>
      <c r="G363" s="555"/>
      <c r="H363" s="555"/>
      <c r="I363" s="555"/>
      <c r="J363" s="555"/>
      <c r="K363" s="555"/>
      <c r="L363" s="555"/>
      <c r="M363" s="555"/>
      <c r="N363" s="555"/>
      <c r="O363" s="555"/>
      <c r="P363" s="555"/>
      <c r="Q363" s="555"/>
      <c r="R363" s="555"/>
      <c r="S363" s="555"/>
      <c r="T363" s="555"/>
      <c r="U363" s="555"/>
      <c r="V363" s="555"/>
      <c r="W363" s="555"/>
      <c r="X363" s="555"/>
      <c r="Y363" s="555"/>
      <c r="Z363" s="555"/>
    </row>
    <row r="364">
      <c r="A364" s="555"/>
      <c r="B364" s="555"/>
      <c r="C364" s="555"/>
      <c r="D364" s="555"/>
      <c r="E364" s="555"/>
      <c r="F364" s="555"/>
      <c r="G364" s="555"/>
      <c r="H364" s="555"/>
      <c r="I364" s="555"/>
      <c r="J364" s="555"/>
      <c r="K364" s="555"/>
      <c r="L364" s="555"/>
      <c r="M364" s="555"/>
      <c r="N364" s="555"/>
      <c r="O364" s="555"/>
      <c r="P364" s="555"/>
      <c r="Q364" s="555"/>
      <c r="R364" s="555"/>
      <c r="S364" s="555"/>
      <c r="T364" s="555"/>
      <c r="U364" s="555"/>
      <c r="V364" s="555"/>
      <c r="W364" s="555"/>
      <c r="X364" s="555"/>
      <c r="Y364" s="555"/>
      <c r="Z364" s="555"/>
    </row>
    <row r="365">
      <c r="A365" s="555"/>
      <c r="B365" s="555"/>
      <c r="C365" s="555"/>
      <c r="D365" s="555"/>
      <c r="E365" s="555"/>
      <c r="F365" s="555"/>
      <c r="G365" s="555"/>
      <c r="H365" s="555"/>
      <c r="I365" s="555"/>
      <c r="J365" s="555"/>
      <c r="K365" s="555"/>
      <c r="L365" s="555"/>
      <c r="M365" s="555"/>
      <c r="N365" s="555"/>
      <c r="O365" s="555"/>
      <c r="P365" s="555"/>
      <c r="Q365" s="555"/>
      <c r="R365" s="555"/>
      <c r="S365" s="555"/>
      <c r="T365" s="555"/>
      <c r="U365" s="555"/>
      <c r="V365" s="555"/>
      <c r="W365" s="555"/>
      <c r="X365" s="555"/>
      <c r="Y365" s="555"/>
      <c r="Z365" s="555"/>
    </row>
    <row r="366">
      <c r="A366" s="555"/>
      <c r="B366" s="555"/>
      <c r="C366" s="555"/>
      <c r="D366" s="555"/>
      <c r="E366" s="555"/>
      <c r="F366" s="555"/>
      <c r="G366" s="555"/>
      <c r="H366" s="555"/>
      <c r="I366" s="555"/>
      <c r="J366" s="555"/>
      <c r="K366" s="555"/>
      <c r="L366" s="555"/>
      <c r="M366" s="555"/>
      <c r="N366" s="555"/>
      <c r="O366" s="555"/>
      <c r="P366" s="555"/>
      <c r="Q366" s="555"/>
      <c r="R366" s="555"/>
      <c r="S366" s="555"/>
      <c r="T366" s="555"/>
      <c r="U366" s="555"/>
      <c r="V366" s="555"/>
      <c r="W366" s="555"/>
      <c r="X366" s="555"/>
      <c r="Y366" s="555"/>
      <c r="Z366" s="555"/>
    </row>
    <row r="367">
      <c r="A367" s="555"/>
      <c r="B367" s="555"/>
      <c r="C367" s="555"/>
      <c r="D367" s="555"/>
      <c r="E367" s="555"/>
      <c r="F367" s="555"/>
      <c r="G367" s="555"/>
      <c r="H367" s="555"/>
      <c r="I367" s="555"/>
      <c r="J367" s="555"/>
      <c r="K367" s="555"/>
      <c r="L367" s="555"/>
      <c r="M367" s="555"/>
      <c r="N367" s="555"/>
      <c r="O367" s="555"/>
      <c r="P367" s="555"/>
      <c r="Q367" s="555"/>
      <c r="R367" s="555"/>
      <c r="S367" s="555"/>
      <c r="T367" s="555"/>
      <c r="U367" s="555"/>
      <c r="V367" s="555"/>
      <c r="W367" s="555"/>
      <c r="X367" s="555"/>
      <c r="Y367" s="555"/>
      <c r="Z367" s="555"/>
    </row>
    <row r="368">
      <c r="A368" s="555"/>
      <c r="B368" s="555"/>
      <c r="C368" s="555"/>
      <c r="D368" s="555"/>
      <c r="E368" s="555"/>
      <c r="F368" s="555"/>
      <c r="G368" s="555"/>
      <c r="H368" s="555"/>
      <c r="I368" s="555"/>
      <c r="J368" s="555"/>
      <c r="K368" s="555"/>
      <c r="L368" s="555"/>
      <c r="M368" s="555"/>
      <c r="N368" s="555"/>
      <c r="O368" s="555"/>
      <c r="P368" s="555"/>
      <c r="Q368" s="555"/>
      <c r="R368" s="555"/>
      <c r="S368" s="555"/>
      <c r="T368" s="555"/>
      <c r="U368" s="555"/>
      <c r="V368" s="555"/>
      <c r="W368" s="555"/>
      <c r="X368" s="555"/>
      <c r="Y368" s="555"/>
      <c r="Z368" s="555"/>
    </row>
    <row r="369">
      <c r="A369" s="555"/>
      <c r="B369" s="555"/>
      <c r="C369" s="555"/>
      <c r="D369" s="555"/>
      <c r="E369" s="555"/>
      <c r="F369" s="555"/>
      <c r="G369" s="555"/>
      <c r="H369" s="555"/>
      <c r="I369" s="555"/>
      <c r="J369" s="555"/>
      <c r="K369" s="555"/>
      <c r="L369" s="555"/>
      <c r="M369" s="555"/>
      <c r="N369" s="555"/>
      <c r="O369" s="555"/>
      <c r="P369" s="555"/>
      <c r="Q369" s="555"/>
      <c r="R369" s="555"/>
      <c r="S369" s="555"/>
      <c r="T369" s="555"/>
      <c r="U369" s="555"/>
      <c r="V369" s="555"/>
      <c r="W369" s="555"/>
      <c r="X369" s="555"/>
      <c r="Y369" s="555"/>
      <c r="Z369" s="555"/>
    </row>
    <row r="370">
      <c r="A370" s="555"/>
      <c r="B370" s="555"/>
      <c r="C370" s="555"/>
      <c r="D370" s="555"/>
      <c r="E370" s="555"/>
      <c r="F370" s="555"/>
      <c r="G370" s="555"/>
      <c r="H370" s="555"/>
      <c r="I370" s="555"/>
      <c r="J370" s="555"/>
      <c r="K370" s="555"/>
      <c r="L370" s="555"/>
      <c r="M370" s="555"/>
      <c r="N370" s="555"/>
      <c r="O370" s="555"/>
      <c r="P370" s="555"/>
      <c r="Q370" s="555"/>
      <c r="R370" s="555"/>
      <c r="S370" s="555"/>
      <c r="T370" s="555"/>
      <c r="U370" s="555"/>
      <c r="V370" s="555"/>
      <c r="W370" s="555"/>
      <c r="X370" s="555"/>
      <c r="Y370" s="555"/>
      <c r="Z370" s="555"/>
    </row>
    <row r="371">
      <c r="A371" s="555"/>
      <c r="B371" s="555"/>
      <c r="C371" s="555"/>
      <c r="D371" s="555"/>
      <c r="E371" s="555"/>
      <c r="F371" s="555"/>
      <c r="G371" s="555"/>
      <c r="H371" s="555"/>
      <c r="I371" s="555"/>
      <c r="J371" s="555"/>
      <c r="K371" s="555"/>
      <c r="L371" s="555"/>
      <c r="M371" s="555"/>
      <c r="N371" s="555"/>
      <c r="O371" s="555"/>
      <c r="P371" s="555"/>
      <c r="Q371" s="555"/>
      <c r="R371" s="555"/>
      <c r="S371" s="555"/>
      <c r="T371" s="555"/>
      <c r="U371" s="555"/>
      <c r="V371" s="555"/>
      <c r="W371" s="555"/>
      <c r="X371" s="555"/>
      <c r="Y371" s="555"/>
      <c r="Z371" s="555"/>
    </row>
    <row r="372">
      <c r="A372" s="555"/>
      <c r="B372" s="555"/>
      <c r="C372" s="555"/>
      <c r="D372" s="555"/>
      <c r="E372" s="555"/>
      <c r="F372" s="555"/>
      <c r="G372" s="555"/>
      <c r="H372" s="555"/>
      <c r="I372" s="555"/>
      <c r="J372" s="555"/>
      <c r="K372" s="555"/>
      <c r="L372" s="555"/>
      <c r="M372" s="555"/>
      <c r="N372" s="555"/>
      <c r="O372" s="555"/>
      <c r="P372" s="555"/>
      <c r="Q372" s="555"/>
      <c r="R372" s="555"/>
      <c r="S372" s="555"/>
      <c r="T372" s="555"/>
      <c r="U372" s="555"/>
      <c r="V372" s="555"/>
      <c r="W372" s="555"/>
      <c r="X372" s="555"/>
      <c r="Y372" s="555"/>
      <c r="Z372" s="555"/>
    </row>
    <row r="373">
      <c r="A373" s="555"/>
      <c r="B373" s="555"/>
      <c r="C373" s="555"/>
      <c r="D373" s="555"/>
      <c r="E373" s="555"/>
      <c r="F373" s="555"/>
      <c r="G373" s="555"/>
      <c r="H373" s="555"/>
      <c r="I373" s="555"/>
      <c r="J373" s="555"/>
      <c r="K373" s="555"/>
      <c r="L373" s="555"/>
      <c r="M373" s="555"/>
      <c r="N373" s="555"/>
      <c r="O373" s="555"/>
      <c r="P373" s="555"/>
      <c r="Q373" s="555"/>
      <c r="R373" s="555"/>
      <c r="S373" s="555"/>
      <c r="T373" s="555"/>
      <c r="U373" s="555"/>
      <c r="V373" s="555"/>
      <c r="W373" s="555"/>
      <c r="X373" s="555"/>
      <c r="Y373" s="555"/>
      <c r="Z373" s="555"/>
    </row>
    <row r="374">
      <c r="A374" s="555"/>
      <c r="B374" s="555"/>
      <c r="C374" s="555"/>
      <c r="D374" s="555"/>
      <c r="E374" s="555"/>
      <c r="F374" s="555"/>
      <c r="G374" s="555"/>
      <c r="H374" s="555"/>
      <c r="I374" s="555"/>
      <c r="J374" s="555"/>
      <c r="K374" s="555"/>
      <c r="L374" s="555"/>
      <c r="M374" s="555"/>
      <c r="N374" s="555"/>
      <c r="O374" s="555"/>
      <c r="P374" s="555"/>
      <c r="Q374" s="555"/>
      <c r="R374" s="555"/>
      <c r="S374" s="555"/>
      <c r="T374" s="555"/>
      <c r="U374" s="555"/>
      <c r="V374" s="555"/>
      <c r="W374" s="555"/>
      <c r="X374" s="555"/>
      <c r="Y374" s="555"/>
      <c r="Z374" s="555"/>
    </row>
    <row r="375">
      <c r="A375" s="555"/>
      <c r="B375" s="555"/>
      <c r="C375" s="555"/>
      <c r="D375" s="555"/>
      <c r="E375" s="555"/>
      <c r="F375" s="555"/>
      <c r="G375" s="555"/>
      <c r="H375" s="555"/>
      <c r="I375" s="555"/>
      <c r="J375" s="555"/>
      <c r="K375" s="555"/>
      <c r="L375" s="555"/>
      <c r="M375" s="555"/>
      <c r="N375" s="555"/>
      <c r="O375" s="555"/>
      <c r="P375" s="555"/>
      <c r="Q375" s="555"/>
      <c r="R375" s="555"/>
      <c r="S375" s="555"/>
      <c r="T375" s="555"/>
      <c r="U375" s="555"/>
      <c r="V375" s="555"/>
      <c r="W375" s="555"/>
      <c r="X375" s="555"/>
      <c r="Y375" s="555"/>
      <c r="Z375" s="555"/>
    </row>
    <row r="376">
      <c r="A376" s="555"/>
      <c r="B376" s="555"/>
      <c r="C376" s="555"/>
      <c r="D376" s="555"/>
      <c r="E376" s="555"/>
      <c r="F376" s="555"/>
      <c r="G376" s="555"/>
      <c r="H376" s="555"/>
      <c r="I376" s="555"/>
      <c r="J376" s="555"/>
      <c r="K376" s="555"/>
      <c r="L376" s="555"/>
      <c r="M376" s="555"/>
      <c r="N376" s="555"/>
      <c r="O376" s="555"/>
      <c r="P376" s="555"/>
      <c r="Q376" s="555"/>
      <c r="R376" s="555"/>
      <c r="S376" s="555"/>
      <c r="T376" s="555"/>
      <c r="U376" s="555"/>
      <c r="V376" s="555"/>
      <c r="W376" s="555"/>
      <c r="X376" s="555"/>
      <c r="Y376" s="555"/>
      <c r="Z376" s="555"/>
    </row>
    <row r="377">
      <c r="A377" s="555"/>
      <c r="B377" s="555"/>
      <c r="C377" s="555"/>
      <c r="D377" s="555"/>
      <c r="E377" s="555"/>
      <c r="F377" s="555"/>
      <c r="G377" s="555"/>
      <c r="H377" s="555"/>
      <c r="I377" s="555"/>
      <c r="J377" s="555"/>
      <c r="K377" s="555"/>
      <c r="L377" s="555"/>
      <c r="M377" s="555"/>
      <c r="N377" s="555"/>
      <c r="O377" s="555"/>
      <c r="P377" s="555"/>
      <c r="Q377" s="555"/>
      <c r="R377" s="555"/>
      <c r="S377" s="555"/>
      <c r="T377" s="555"/>
      <c r="U377" s="555"/>
      <c r="V377" s="555"/>
      <c r="W377" s="555"/>
      <c r="X377" s="555"/>
      <c r="Y377" s="555"/>
      <c r="Z377" s="555"/>
    </row>
    <row r="378">
      <c r="A378" s="555"/>
      <c r="B378" s="555"/>
      <c r="C378" s="555"/>
      <c r="D378" s="555"/>
      <c r="E378" s="555"/>
      <c r="F378" s="555"/>
      <c r="G378" s="555"/>
      <c r="H378" s="555"/>
      <c r="I378" s="555"/>
      <c r="J378" s="555"/>
      <c r="K378" s="555"/>
      <c r="L378" s="555"/>
      <c r="M378" s="555"/>
      <c r="N378" s="555"/>
      <c r="O378" s="555"/>
      <c r="P378" s="555"/>
      <c r="Q378" s="555"/>
      <c r="R378" s="555"/>
      <c r="S378" s="555"/>
      <c r="T378" s="555"/>
      <c r="U378" s="555"/>
      <c r="V378" s="555"/>
      <c r="W378" s="555"/>
      <c r="X378" s="555"/>
      <c r="Y378" s="555"/>
      <c r="Z378" s="555"/>
    </row>
    <row r="379">
      <c r="A379" s="555"/>
      <c r="B379" s="555"/>
      <c r="C379" s="555"/>
      <c r="D379" s="555"/>
      <c r="E379" s="555"/>
      <c r="F379" s="555"/>
      <c r="G379" s="555"/>
      <c r="H379" s="555"/>
      <c r="I379" s="555"/>
      <c r="J379" s="555"/>
      <c r="K379" s="555"/>
      <c r="L379" s="555"/>
      <c r="M379" s="555"/>
      <c r="N379" s="555"/>
      <c r="O379" s="555"/>
      <c r="P379" s="555"/>
      <c r="Q379" s="555"/>
      <c r="R379" s="555"/>
      <c r="S379" s="555"/>
      <c r="T379" s="555"/>
      <c r="U379" s="555"/>
      <c r="V379" s="555"/>
      <c r="W379" s="555"/>
      <c r="X379" s="555"/>
      <c r="Y379" s="555"/>
      <c r="Z379" s="555"/>
    </row>
    <row r="380">
      <c r="A380" s="555"/>
      <c r="B380" s="555"/>
      <c r="C380" s="555"/>
      <c r="D380" s="555"/>
      <c r="E380" s="555"/>
      <c r="F380" s="555"/>
      <c r="G380" s="555"/>
      <c r="H380" s="555"/>
      <c r="I380" s="555"/>
      <c r="J380" s="555"/>
      <c r="K380" s="555"/>
      <c r="L380" s="555"/>
      <c r="M380" s="555"/>
      <c r="N380" s="555"/>
      <c r="O380" s="555"/>
      <c r="P380" s="555"/>
      <c r="Q380" s="555"/>
      <c r="R380" s="555"/>
      <c r="S380" s="555"/>
      <c r="T380" s="555"/>
      <c r="U380" s="555"/>
      <c r="V380" s="555"/>
      <c r="W380" s="555"/>
      <c r="X380" s="555"/>
      <c r="Y380" s="555"/>
      <c r="Z380" s="555"/>
    </row>
    <row r="381">
      <c r="A381" s="555"/>
      <c r="B381" s="555"/>
      <c r="C381" s="555"/>
      <c r="D381" s="555"/>
      <c r="E381" s="555"/>
      <c r="F381" s="555"/>
      <c r="G381" s="555"/>
      <c r="H381" s="555"/>
      <c r="I381" s="555"/>
      <c r="J381" s="555"/>
      <c r="K381" s="555"/>
      <c r="L381" s="555"/>
      <c r="M381" s="555"/>
      <c r="N381" s="555"/>
      <c r="O381" s="555"/>
      <c r="P381" s="555"/>
      <c r="Q381" s="555"/>
      <c r="R381" s="555"/>
      <c r="S381" s="555"/>
      <c r="T381" s="555"/>
      <c r="U381" s="555"/>
      <c r="V381" s="555"/>
      <c r="W381" s="555"/>
      <c r="X381" s="555"/>
      <c r="Y381" s="555"/>
      <c r="Z381" s="555"/>
    </row>
    <row r="382">
      <c r="A382" s="555"/>
      <c r="B382" s="555"/>
      <c r="C382" s="555"/>
      <c r="D382" s="555"/>
      <c r="E382" s="555"/>
      <c r="F382" s="555"/>
      <c r="G382" s="555"/>
      <c r="H382" s="555"/>
      <c r="I382" s="555"/>
      <c r="J382" s="555"/>
      <c r="K382" s="555"/>
      <c r="L382" s="555"/>
      <c r="M382" s="555"/>
      <c r="N382" s="555"/>
      <c r="O382" s="555"/>
      <c r="P382" s="555"/>
      <c r="Q382" s="555"/>
      <c r="R382" s="555"/>
      <c r="S382" s="555"/>
      <c r="T382" s="555"/>
      <c r="U382" s="555"/>
      <c r="V382" s="555"/>
      <c r="W382" s="555"/>
      <c r="X382" s="555"/>
      <c r="Y382" s="555"/>
      <c r="Z382" s="555"/>
    </row>
    <row r="383">
      <c r="A383" s="555"/>
      <c r="B383" s="555"/>
      <c r="C383" s="555"/>
      <c r="D383" s="555"/>
      <c r="E383" s="555"/>
      <c r="F383" s="555"/>
      <c r="G383" s="555"/>
      <c r="H383" s="555"/>
      <c r="I383" s="555"/>
      <c r="J383" s="555"/>
      <c r="K383" s="555"/>
      <c r="L383" s="555"/>
      <c r="M383" s="555"/>
      <c r="N383" s="555"/>
      <c r="O383" s="555"/>
      <c r="P383" s="555"/>
      <c r="Q383" s="555"/>
      <c r="R383" s="555"/>
      <c r="S383" s="555"/>
      <c r="T383" s="555"/>
      <c r="U383" s="555"/>
      <c r="V383" s="555"/>
      <c r="W383" s="555"/>
      <c r="X383" s="555"/>
      <c r="Y383" s="555"/>
      <c r="Z383" s="555"/>
    </row>
    <row r="384">
      <c r="A384" s="555"/>
      <c r="B384" s="555"/>
      <c r="C384" s="555"/>
      <c r="D384" s="555"/>
      <c r="E384" s="555"/>
      <c r="F384" s="555"/>
      <c r="G384" s="555"/>
      <c r="H384" s="555"/>
      <c r="I384" s="555"/>
      <c r="J384" s="555"/>
      <c r="K384" s="555"/>
      <c r="L384" s="555"/>
      <c r="M384" s="555"/>
      <c r="N384" s="555"/>
      <c r="O384" s="555"/>
      <c r="P384" s="555"/>
      <c r="Q384" s="555"/>
      <c r="R384" s="555"/>
      <c r="S384" s="555"/>
      <c r="T384" s="555"/>
      <c r="U384" s="555"/>
      <c r="V384" s="555"/>
      <c r="W384" s="555"/>
      <c r="X384" s="555"/>
      <c r="Y384" s="555"/>
      <c r="Z384" s="555"/>
    </row>
    <row r="385">
      <c r="A385" s="555"/>
      <c r="B385" s="555"/>
      <c r="C385" s="555"/>
      <c r="D385" s="555"/>
      <c r="E385" s="555"/>
      <c r="F385" s="555"/>
      <c r="G385" s="555"/>
      <c r="H385" s="555"/>
      <c r="I385" s="555"/>
      <c r="J385" s="555"/>
      <c r="K385" s="555"/>
      <c r="L385" s="555"/>
      <c r="M385" s="555"/>
      <c r="N385" s="555"/>
      <c r="O385" s="555"/>
      <c r="P385" s="555"/>
      <c r="Q385" s="555"/>
      <c r="R385" s="555"/>
      <c r="S385" s="555"/>
      <c r="T385" s="555"/>
      <c r="U385" s="555"/>
      <c r="V385" s="555"/>
      <c r="W385" s="555"/>
      <c r="X385" s="555"/>
      <c r="Y385" s="555"/>
      <c r="Z385" s="555"/>
    </row>
    <row r="386">
      <c r="A386" s="555"/>
      <c r="B386" s="555"/>
      <c r="C386" s="555"/>
      <c r="D386" s="555"/>
      <c r="E386" s="555"/>
      <c r="F386" s="555"/>
      <c r="G386" s="555"/>
      <c r="H386" s="555"/>
      <c r="I386" s="555"/>
      <c r="J386" s="555"/>
      <c r="K386" s="555"/>
      <c r="L386" s="555"/>
      <c r="M386" s="555"/>
      <c r="N386" s="555"/>
      <c r="O386" s="555"/>
      <c r="P386" s="555"/>
      <c r="Q386" s="555"/>
      <c r="R386" s="555"/>
      <c r="S386" s="555"/>
      <c r="T386" s="555"/>
      <c r="U386" s="555"/>
      <c r="V386" s="555"/>
      <c r="W386" s="555"/>
      <c r="X386" s="555"/>
      <c r="Y386" s="555"/>
      <c r="Z386" s="555"/>
    </row>
    <row r="387">
      <c r="A387" s="555"/>
      <c r="B387" s="555"/>
      <c r="C387" s="555"/>
      <c r="D387" s="555"/>
      <c r="E387" s="555"/>
      <c r="F387" s="555"/>
      <c r="G387" s="555"/>
      <c r="H387" s="555"/>
      <c r="I387" s="555"/>
      <c r="J387" s="555"/>
      <c r="K387" s="555"/>
      <c r="L387" s="555"/>
      <c r="M387" s="555"/>
      <c r="N387" s="555"/>
      <c r="O387" s="555"/>
      <c r="P387" s="555"/>
      <c r="Q387" s="555"/>
      <c r="R387" s="555"/>
      <c r="S387" s="555"/>
      <c r="T387" s="555"/>
      <c r="U387" s="555"/>
      <c r="V387" s="555"/>
      <c r="W387" s="555"/>
      <c r="X387" s="555"/>
      <c r="Y387" s="555"/>
      <c r="Z387" s="555"/>
    </row>
    <row r="388">
      <c r="A388" s="555"/>
      <c r="B388" s="555"/>
      <c r="C388" s="555"/>
      <c r="D388" s="555"/>
      <c r="E388" s="555"/>
      <c r="F388" s="555"/>
      <c r="G388" s="555"/>
      <c r="H388" s="555"/>
      <c r="I388" s="555"/>
      <c r="J388" s="555"/>
      <c r="K388" s="555"/>
      <c r="L388" s="555"/>
      <c r="M388" s="555"/>
      <c r="N388" s="555"/>
      <c r="O388" s="555"/>
      <c r="P388" s="555"/>
      <c r="Q388" s="555"/>
      <c r="R388" s="555"/>
      <c r="S388" s="555"/>
      <c r="T388" s="555"/>
      <c r="U388" s="555"/>
      <c r="V388" s="555"/>
      <c r="W388" s="555"/>
      <c r="X388" s="555"/>
      <c r="Y388" s="555"/>
      <c r="Z388" s="555"/>
    </row>
    <row r="389">
      <c r="A389" s="555"/>
      <c r="B389" s="555"/>
      <c r="C389" s="555"/>
      <c r="D389" s="555"/>
      <c r="E389" s="555"/>
      <c r="F389" s="555"/>
      <c r="G389" s="555"/>
      <c r="H389" s="555"/>
      <c r="I389" s="555"/>
      <c r="J389" s="555"/>
      <c r="K389" s="555"/>
      <c r="L389" s="555"/>
      <c r="M389" s="555"/>
      <c r="N389" s="555"/>
      <c r="O389" s="555"/>
      <c r="P389" s="555"/>
      <c r="Q389" s="555"/>
      <c r="R389" s="555"/>
      <c r="S389" s="555"/>
      <c r="T389" s="555"/>
      <c r="U389" s="555"/>
      <c r="V389" s="555"/>
      <c r="W389" s="555"/>
      <c r="X389" s="555"/>
      <c r="Y389" s="555"/>
      <c r="Z389" s="555"/>
    </row>
    <row r="390">
      <c r="A390" s="555"/>
      <c r="B390" s="555"/>
      <c r="C390" s="555"/>
      <c r="D390" s="555"/>
      <c r="E390" s="555"/>
      <c r="F390" s="555"/>
      <c r="G390" s="555"/>
      <c r="H390" s="555"/>
      <c r="I390" s="555"/>
      <c r="J390" s="555"/>
      <c r="K390" s="555"/>
      <c r="L390" s="555"/>
      <c r="M390" s="555"/>
      <c r="N390" s="555"/>
      <c r="O390" s="555"/>
      <c r="P390" s="555"/>
      <c r="Q390" s="555"/>
      <c r="R390" s="555"/>
      <c r="S390" s="555"/>
      <c r="T390" s="555"/>
      <c r="U390" s="555"/>
      <c r="V390" s="555"/>
      <c r="W390" s="555"/>
      <c r="X390" s="555"/>
      <c r="Y390" s="555"/>
      <c r="Z390" s="555"/>
    </row>
    <row r="391">
      <c r="A391" s="555"/>
      <c r="B391" s="555"/>
      <c r="C391" s="555"/>
      <c r="D391" s="555"/>
      <c r="E391" s="555"/>
      <c r="F391" s="555"/>
      <c r="G391" s="555"/>
      <c r="H391" s="555"/>
      <c r="I391" s="555"/>
      <c r="J391" s="555"/>
      <c r="K391" s="555"/>
      <c r="L391" s="555"/>
      <c r="M391" s="555"/>
      <c r="N391" s="555"/>
      <c r="O391" s="555"/>
      <c r="P391" s="555"/>
      <c r="Q391" s="555"/>
      <c r="R391" s="555"/>
      <c r="S391" s="555"/>
      <c r="T391" s="555"/>
      <c r="U391" s="555"/>
      <c r="V391" s="555"/>
      <c r="W391" s="555"/>
      <c r="X391" s="555"/>
      <c r="Y391" s="555"/>
      <c r="Z391" s="555"/>
    </row>
    <row r="392">
      <c r="A392" s="555"/>
      <c r="B392" s="555"/>
      <c r="C392" s="555"/>
      <c r="D392" s="555"/>
      <c r="E392" s="555"/>
      <c r="F392" s="555"/>
      <c r="G392" s="555"/>
      <c r="H392" s="555"/>
      <c r="I392" s="555"/>
      <c r="J392" s="555"/>
      <c r="K392" s="555"/>
      <c r="L392" s="555"/>
      <c r="M392" s="555"/>
      <c r="N392" s="555"/>
      <c r="O392" s="555"/>
      <c r="P392" s="555"/>
      <c r="Q392" s="555"/>
      <c r="R392" s="555"/>
      <c r="S392" s="555"/>
      <c r="T392" s="555"/>
      <c r="U392" s="555"/>
      <c r="V392" s="555"/>
      <c r="W392" s="555"/>
      <c r="X392" s="555"/>
      <c r="Y392" s="555"/>
      <c r="Z392" s="555"/>
    </row>
    <row r="393">
      <c r="A393" s="555"/>
      <c r="B393" s="555"/>
      <c r="C393" s="555"/>
      <c r="D393" s="555"/>
      <c r="E393" s="555"/>
      <c r="F393" s="555"/>
      <c r="G393" s="555"/>
      <c r="H393" s="555"/>
      <c r="I393" s="555"/>
      <c r="J393" s="555"/>
      <c r="K393" s="555"/>
      <c r="L393" s="555"/>
      <c r="M393" s="555"/>
      <c r="N393" s="555"/>
      <c r="O393" s="555"/>
      <c r="P393" s="555"/>
      <c r="Q393" s="555"/>
      <c r="R393" s="555"/>
      <c r="S393" s="555"/>
      <c r="T393" s="555"/>
      <c r="U393" s="555"/>
      <c r="V393" s="555"/>
      <c r="W393" s="555"/>
      <c r="X393" s="555"/>
      <c r="Y393" s="555"/>
      <c r="Z393" s="555"/>
    </row>
    <row r="394">
      <c r="A394" s="555"/>
      <c r="B394" s="555"/>
      <c r="C394" s="555"/>
      <c r="D394" s="555"/>
      <c r="E394" s="555"/>
      <c r="F394" s="555"/>
      <c r="G394" s="555"/>
      <c r="H394" s="555"/>
      <c r="I394" s="555"/>
      <c r="J394" s="555"/>
      <c r="K394" s="555"/>
      <c r="L394" s="555"/>
      <c r="M394" s="555"/>
      <c r="N394" s="555"/>
      <c r="O394" s="555"/>
      <c r="P394" s="555"/>
      <c r="Q394" s="555"/>
      <c r="R394" s="555"/>
      <c r="S394" s="555"/>
      <c r="T394" s="555"/>
      <c r="U394" s="555"/>
      <c r="V394" s="555"/>
      <c r="W394" s="555"/>
      <c r="X394" s="555"/>
      <c r="Y394" s="555"/>
      <c r="Z394" s="555"/>
    </row>
    <row r="395">
      <c r="A395" s="555"/>
      <c r="B395" s="555"/>
      <c r="C395" s="555"/>
      <c r="D395" s="555"/>
      <c r="E395" s="555"/>
      <c r="F395" s="555"/>
      <c r="G395" s="555"/>
      <c r="H395" s="555"/>
      <c r="I395" s="555"/>
      <c r="J395" s="555"/>
      <c r="K395" s="555"/>
      <c r="L395" s="555"/>
      <c r="M395" s="555"/>
      <c r="N395" s="555"/>
      <c r="O395" s="555"/>
      <c r="P395" s="555"/>
      <c r="Q395" s="555"/>
      <c r="R395" s="555"/>
      <c r="S395" s="555"/>
      <c r="T395" s="555"/>
      <c r="U395" s="555"/>
      <c r="V395" s="555"/>
      <c r="W395" s="555"/>
      <c r="X395" s="555"/>
      <c r="Y395" s="555"/>
      <c r="Z395" s="555"/>
    </row>
    <row r="396">
      <c r="A396" s="555"/>
      <c r="B396" s="555"/>
      <c r="C396" s="555"/>
      <c r="D396" s="555"/>
      <c r="E396" s="555"/>
      <c r="F396" s="555"/>
      <c r="G396" s="555"/>
      <c r="H396" s="555"/>
      <c r="I396" s="555"/>
      <c r="J396" s="555"/>
      <c r="K396" s="555"/>
      <c r="L396" s="555"/>
      <c r="M396" s="555"/>
      <c r="N396" s="555"/>
      <c r="O396" s="555"/>
      <c r="P396" s="555"/>
      <c r="Q396" s="555"/>
      <c r="R396" s="555"/>
      <c r="S396" s="555"/>
      <c r="T396" s="555"/>
      <c r="U396" s="555"/>
      <c r="V396" s="555"/>
      <c r="W396" s="555"/>
      <c r="X396" s="555"/>
      <c r="Y396" s="555"/>
      <c r="Z396" s="555"/>
    </row>
    <row r="397">
      <c r="A397" s="555"/>
      <c r="B397" s="555"/>
      <c r="C397" s="555"/>
      <c r="D397" s="555"/>
      <c r="E397" s="555"/>
      <c r="F397" s="555"/>
      <c r="G397" s="555"/>
      <c r="H397" s="555"/>
      <c r="I397" s="555"/>
      <c r="J397" s="555"/>
      <c r="K397" s="555"/>
      <c r="L397" s="555"/>
      <c r="M397" s="555"/>
      <c r="N397" s="555"/>
      <c r="O397" s="555"/>
      <c r="P397" s="555"/>
      <c r="Q397" s="555"/>
      <c r="R397" s="555"/>
      <c r="S397" s="555"/>
      <c r="T397" s="555"/>
      <c r="U397" s="555"/>
      <c r="V397" s="555"/>
      <c r="W397" s="555"/>
      <c r="X397" s="555"/>
      <c r="Y397" s="555"/>
      <c r="Z397" s="555"/>
    </row>
    <row r="398">
      <c r="A398" s="555"/>
      <c r="B398" s="555"/>
      <c r="C398" s="555"/>
      <c r="D398" s="555"/>
      <c r="E398" s="555"/>
      <c r="F398" s="555"/>
      <c r="G398" s="555"/>
      <c r="H398" s="555"/>
      <c r="I398" s="555"/>
      <c r="J398" s="555"/>
      <c r="K398" s="555"/>
      <c r="L398" s="555"/>
      <c r="M398" s="555"/>
      <c r="N398" s="555"/>
      <c r="O398" s="555"/>
      <c r="P398" s="555"/>
      <c r="Q398" s="555"/>
      <c r="R398" s="555"/>
      <c r="S398" s="555"/>
      <c r="T398" s="555"/>
      <c r="U398" s="555"/>
      <c r="V398" s="555"/>
      <c r="W398" s="555"/>
      <c r="X398" s="555"/>
      <c r="Y398" s="555"/>
      <c r="Z398" s="555"/>
    </row>
    <row r="399">
      <c r="A399" s="555"/>
      <c r="B399" s="555"/>
      <c r="C399" s="555"/>
      <c r="D399" s="555"/>
      <c r="E399" s="555"/>
      <c r="F399" s="555"/>
      <c r="G399" s="555"/>
      <c r="H399" s="555"/>
      <c r="I399" s="555"/>
      <c r="J399" s="555"/>
      <c r="K399" s="555"/>
      <c r="L399" s="555"/>
      <c r="M399" s="555"/>
      <c r="N399" s="555"/>
      <c r="O399" s="555"/>
      <c r="P399" s="555"/>
      <c r="Q399" s="555"/>
      <c r="R399" s="555"/>
      <c r="S399" s="555"/>
      <c r="T399" s="555"/>
      <c r="U399" s="555"/>
      <c r="V399" s="555"/>
      <c r="W399" s="555"/>
      <c r="X399" s="555"/>
      <c r="Y399" s="555"/>
      <c r="Z399" s="555"/>
    </row>
    <row r="400">
      <c r="A400" s="555"/>
      <c r="B400" s="555"/>
      <c r="C400" s="555"/>
      <c r="D400" s="555"/>
      <c r="E400" s="555"/>
      <c r="F400" s="555"/>
      <c r="G400" s="555"/>
      <c r="H400" s="555"/>
      <c r="I400" s="555"/>
      <c r="J400" s="555"/>
      <c r="K400" s="555"/>
      <c r="L400" s="555"/>
      <c r="M400" s="555"/>
      <c r="N400" s="555"/>
      <c r="O400" s="555"/>
      <c r="P400" s="555"/>
      <c r="Q400" s="555"/>
      <c r="R400" s="555"/>
      <c r="S400" s="555"/>
      <c r="T400" s="555"/>
      <c r="U400" s="555"/>
      <c r="V400" s="555"/>
      <c r="W400" s="555"/>
      <c r="X400" s="555"/>
      <c r="Y400" s="555"/>
      <c r="Z400" s="555"/>
    </row>
    <row r="401">
      <c r="A401" s="555"/>
      <c r="B401" s="555"/>
      <c r="C401" s="555"/>
      <c r="D401" s="555"/>
      <c r="E401" s="555"/>
      <c r="F401" s="555"/>
      <c r="G401" s="555"/>
      <c r="H401" s="555"/>
      <c r="I401" s="555"/>
      <c r="J401" s="555"/>
      <c r="K401" s="555"/>
      <c r="L401" s="555"/>
      <c r="M401" s="555"/>
      <c r="N401" s="555"/>
      <c r="O401" s="555"/>
      <c r="P401" s="555"/>
      <c r="Q401" s="555"/>
      <c r="R401" s="555"/>
      <c r="S401" s="555"/>
      <c r="T401" s="555"/>
      <c r="U401" s="555"/>
      <c r="V401" s="555"/>
      <c r="W401" s="555"/>
      <c r="X401" s="555"/>
      <c r="Y401" s="555"/>
      <c r="Z401" s="555"/>
    </row>
    <row r="402">
      <c r="A402" s="555"/>
      <c r="B402" s="555"/>
      <c r="C402" s="555"/>
      <c r="D402" s="555"/>
      <c r="E402" s="555"/>
      <c r="F402" s="555"/>
      <c r="G402" s="555"/>
      <c r="H402" s="555"/>
      <c r="I402" s="555"/>
      <c r="J402" s="555"/>
      <c r="K402" s="555"/>
      <c r="L402" s="555"/>
      <c r="M402" s="555"/>
      <c r="N402" s="555"/>
      <c r="O402" s="555"/>
      <c r="P402" s="555"/>
      <c r="Q402" s="555"/>
      <c r="R402" s="555"/>
      <c r="S402" s="555"/>
      <c r="T402" s="555"/>
      <c r="U402" s="555"/>
      <c r="V402" s="555"/>
      <c r="W402" s="555"/>
      <c r="X402" s="555"/>
      <c r="Y402" s="555"/>
      <c r="Z402" s="555"/>
    </row>
    <row r="403">
      <c r="A403" s="555"/>
      <c r="B403" s="555"/>
      <c r="C403" s="555"/>
      <c r="D403" s="555"/>
      <c r="E403" s="555"/>
      <c r="F403" s="555"/>
      <c r="G403" s="555"/>
      <c r="H403" s="555"/>
      <c r="I403" s="555"/>
      <c r="J403" s="555"/>
      <c r="K403" s="555"/>
      <c r="L403" s="555"/>
      <c r="M403" s="555"/>
      <c r="N403" s="555"/>
      <c r="O403" s="555"/>
      <c r="P403" s="555"/>
      <c r="Q403" s="555"/>
      <c r="R403" s="555"/>
      <c r="S403" s="555"/>
      <c r="T403" s="555"/>
      <c r="U403" s="555"/>
      <c r="V403" s="555"/>
      <c r="W403" s="555"/>
      <c r="X403" s="555"/>
      <c r="Y403" s="555"/>
      <c r="Z403" s="555"/>
    </row>
    <row r="404">
      <c r="A404" s="555"/>
      <c r="B404" s="555"/>
      <c r="C404" s="555"/>
      <c r="D404" s="555"/>
      <c r="E404" s="555"/>
      <c r="F404" s="555"/>
      <c r="G404" s="555"/>
      <c r="H404" s="555"/>
      <c r="I404" s="555"/>
      <c r="J404" s="555"/>
      <c r="K404" s="555"/>
      <c r="L404" s="555"/>
      <c r="M404" s="555"/>
      <c r="N404" s="555"/>
      <c r="O404" s="555"/>
      <c r="P404" s="555"/>
      <c r="Q404" s="555"/>
      <c r="R404" s="555"/>
      <c r="S404" s="555"/>
      <c r="T404" s="555"/>
      <c r="U404" s="555"/>
      <c r="V404" s="555"/>
      <c r="W404" s="555"/>
      <c r="X404" s="555"/>
      <c r="Y404" s="555"/>
      <c r="Z404" s="555"/>
    </row>
    <row r="405">
      <c r="A405" s="555"/>
      <c r="B405" s="555"/>
      <c r="C405" s="555"/>
      <c r="D405" s="555"/>
      <c r="E405" s="555"/>
      <c r="F405" s="555"/>
      <c r="G405" s="555"/>
      <c r="H405" s="555"/>
      <c r="I405" s="555"/>
      <c r="J405" s="555"/>
      <c r="K405" s="555"/>
      <c r="L405" s="555"/>
      <c r="M405" s="555"/>
      <c r="N405" s="555"/>
      <c r="O405" s="555"/>
      <c r="P405" s="555"/>
      <c r="Q405" s="555"/>
      <c r="R405" s="555"/>
      <c r="S405" s="555"/>
      <c r="T405" s="555"/>
      <c r="U405" s="555"/>
      <c r="V405" s="555"/>
      <c r="W405" s="555"/>
      <c r="X405" s="555"/>
      <c r="Y405" s="555"/>
      <c r="Z405" s="555"/>
    </row>
    <row r="406">
      <c r="A406" s="555"/>
      <c r="B406" s="555"/>
      <c r="C406" s="555"/>
      <c r="D406" s="555"/>
      <c r="E406" s="555"/>
      <c r="F406" s="555"/>
      <c r="G406" s="555"/>
      <c r="H406" s="555"/>
      <c r="I406" s="555"/>
      <c r="J406" s="555"/>
      <c r="K406" s="555"/>
      <c r="L406" s="555"/>
      <c r="M406" s="555"/>
      <c r="N406" s="555"/>
      <c r="O406" s="555"/>
      <c r="P406" s="555"/>
      <c r="Q406" s="555"/>
      <c r="R406" s="555"/>
      <c r="S406" s="555"/>
      <c r="T406" s="555"/>
      <c r="U406" s="555"/>
      <c r="V406" s="555"/>
      <c r="W406" s="555"/>
      <c r="X406" s="555"/>
      <c r="Y406" s="555"/>
      <c r="Z406" s="555"/>
    </row>
    <row r="407">
      <c r="A407" s="555"/>
      <c r="B407" s="555"/>
      <c r="C407" s="555"/>
      <c r="D407" s="555"/>
      <c r="E407" s="555"/>
      <c r="F407" s="555"/>
      <c r="G407" s="555"/>
      <c r="H407" s="555"/>
      <c r="I407" s="555"/>
      <c r="J407" s="555"/>
      <c r="K407" s="555"/>
      <c r="L407" s="555"/>
      <c r="M407" s="555"/>
      <c r="N407" s="555"/>
      <c r="O407" s="555"/>
      <c r="P407" s="555"/>
      <c r="Q407" s="555"/>
      <c r="R407" s="555"/>
      <c r="S407" s="555"/>
      <c r="T407" s="555"/>
      <c r="U407" s="555"/>
      <c r="V407" s="555"/>
      <c r="W407" s="555"/>
      <c r="X407" s="555"/>
      <c r="Y407" s="555"/>
      <c r="Z407" s="555"/>
    </row>
    <row r="408">
      <c r="A408" s="555"/>
      <c r="B408" s="555"/>
      <c r="C408" s="555"/>
      <c r="D408" s="555"/>
      <c r="E408" s="555"/>
      <c r="F408" s="555"/>
      <c r="G408" s="555"/>
      <c r="H408" s="555"/>
      <c r="I408" s="555"/>
      <c r="J408" s="555"/>
      <c r="K408" s="555"/>
      <c r="L408" s="555"/>
      <c r="M408" s="555"/>
      <c r="N408" s="555"/>
      <c r="O408" s="555"/>
      <c r="P408" s="555"/>
      <c r="Q408" s="555"/>
      <c r="R408" s="555"/>
      <c r="S408" s="555"/>
      <c r="T408" s="555"/>
      <c r="U408" s="555"/>
      <c r="V408" s="555"/>
      <c r="W408" s="555"/>
      <c r="X408" s="555"/>
      <c r="Y408" s="555"/>
      <c r="Z408" s="555"/>
    </row>
    <row r="409">
      <c r="A409" s="555"/>
      <c r="B409" s="555"/>
      <c r="C409" s="555"/>
      <c r="D409" s="555"/>
      <c r="E409" s="555"/>
      <c r="F409" s="555"/>
      <c r="G409" s="555"/>
      <c r="H409" s="555"/>
      <c r="I409" s="555"/>
      <c r="J409" s="555"/>
      <c r="K409" s="555"/>
      <c r="L409" s="555"/>
      <c r="M409" s="555"/>
      <c r="N409" s="555"/>
      <c r="O409" s="555"/>
      <c r="P409" s="555"/>
      <c r="Q409" s="555"/>
      <c r="R409" s="555"/>
      <c r="S409" s="555"/>
      <c r="T409" s="555"/>
      <c r="U409" s="555"/>
      <c r="V409" s="555"/>
      <c r="W409" s="555"/>
      <c r="X409" s="555"/>
      <c r="Y409" s="555"/>
      <c r="Z409" s="555"/>
    </row>
    <row r="410">
      <c r="A410" s="555"/>
      <c r="B410" s="555"/>
      <c r="C410" s="555"/>
      <c r="D410" s="555"/>
      <c r="E410" s="555"/>
      <c r="F410" s="555"/>
      <c r="G410" s="555"/>
      <c r="H410" s="555"/>
      <c r="I410" s="555"/>
      <c r="J410" s="555"/>
      <c r="K410" s="555"/>
      <c r="L410" s="555"/>
      <c r="M410" s="555"/>
      <c r="N410" s="555"/>
      <c r="O410" s="555"/>
      <c r="P410" s="555"/>
      <c r="Q410" s="555"/>
      <c r="R410" s="555"/>
      <c r="S410" s="555"/>
      <c r="T410" s="555"/>
      <c r="U410" s="555"/>
      <c r="V410" s="555"/>
      <c r="W410" s="555"/>
      <c r="X410" s="555"/>
      <c r="Y410" s="555"/>
      <c r="Z410" s="555"/>
    </row>
    <row r="411">
      <c r="A411" s="555"/>
      <c r="B411" s="555"/>
      <c r="C411" s="555"/>
      <c r="D411" s="555"/>
      <c r="E411" s="555"/>
      <c r="F411" s="555"/>
      <c r="G411" s="555"/>
      <c r="H411" s="555"/>
      <c r="I411" s="555"/>
      <c r="J411" s="555"/>
      <c r="K411" s="555"/>
      <c r="L411" s="555"/>
      <c r="M411" s="555"/>
      <c r="N411" s="555"/>
      <c r="O411" s="555"/>
      <c r="P411" s="555"/>
      <c r="Q411" s="555"/>
      <c r="R411" s="555"/>
      <c r="S411" s="555"/>
      <c r="T411" s="555"/>
      <c r="U411" s="555"/>
      <c r="V411" s="555"/>
      <c r="W411" s="555"/>
      <c r="X411" s="555"/>
      <c r="Y411" s="555"/>
      <c r="Z411" s="555"/>
    </row>
    <row r="412">
      <c r="A412" s="555"/>
      <c r="B412" s="555"/>
      <c r="C412" s="555"/>
      <c r="D412" s="555"/>
      <c r="E412" s="555"/>
      <c r="F412" s="555"/>
      <c r="G412" s="555"/>
      <c r="H412" s="555"/>
      <c r="I412" s="555"/>
      <c r="J412" s="555"/>
      <c r="K412" s="555"/>
      <c r="L412" s="555"/>
      <c r="M412" s="555"/>
      <c r="N412" s="555"/>
      <c r="O412" s="555"/>
      <c r="P412" s="555"/>
      <c r="Q412" s="555"/>
      <c r="R412" s="555"/>
      <c r="S412" s="555"/>
      <c r="T412" s="555"/>
      <c r="U412" s="555"/>
      <c r="V412" s="555"/>
      <c r="W412" s="555"/>
      <c r="X412" s="555"/>
      <c r="Y412" s="555"/>
      <c r="Z412" s="555"/>
    </row>
    <row r="413">
      <c r="A413" s="555"/>
      <c r="B413" s="555"/>
      <c r="C413" s="555"/>
      <c r="D413" s="555"/>
      <c r="E413" s="555"/>
      <c r="F413" s="555"/>
      <c r="G413" s="555"/>
      <c r="H413" s="555"/>
      <c r="I413" s="555"/>
      <c r="J413" s="555"/>
      <c r="K413" s="555"/>
      <c r="L413" s="555"/>
      <c r="M413" s="555"/>
      <c r="N413" s="555"/>
      <c r="O413" s="555"/>
      <c r="P413" s="555"/>
      <c r="Q413" s="555"/>
      <c r="R413" s="555"/>
      <c r="S413" s="555"/>
      <c r="T413" s="555"/>
      <c r="U413" s="555"/>
      <c r="V413" s="555"/>
      <c r="W413" s="555"/>
      <c r="X413" s="555"/>
      <c r="Y413" s="555"/>
      <c r="Z413" s="555"/>
    </row>
    <row r="414">
      <c r="A414" s="555"/>
      <c r="B414" s="555"/>
      <c r="C414" s="555"/>
      <c r="D414" s="555"/>
      <c r="E414" s="555"/>
      <c r="F414" s="555"/>
      <c r="G414" s="555"/>
      <c r="H414" s="555"/>
      <c r="I414" s="555"/>
      <c r="J414" s="555"/>
      <c r="K414" s="555"/>
      <c r="L414" s="555"/>
      <c r="M414" s="555"/>
      <c r="N414" s="555"/>
      <c r="O414" s="555"/>
      <c r="P414" s="555"/>
      <c r="Q414" s="555"/>
      <c r="R414" s="555"/>
      <c r="S414" s="555"/>
      <c r="T414" s="555"/>
      <c r="U414" s="555"/>
      <c r="V414" s="555"/>
      <c r="W414" s="555"/>
      <c r="X414" s="555"/>
      <c r="Y414" s="555"/>
      <c r="Z414" s="555"/>
    </row>
    <row r="415">
      <c r="A415" s="555"/>
      <c r="B415" s="555"/>
      <c r="C415" s="555"/>
      <c r="D415" s="555"/>
      <c r="E415" s="555"/>
      <c r="F415" s="555"/>
      <c r="G415" s="555"/>
      <c r="H415" s="555"/>
      <c r="I415" s="555"/>
      <c r="J415" s="555"/>
      <c r="K415" s="555"/>
      <c r="L415" s="555"/>
      <c r="M415" s="555"/>
      <c r="N415" s="555"/>
      <c r="O415" s="555"/>
      <c r="P415" s="555"/>
      <c r="Q415" s="555"/>
      <c r="R415" s="555"/>
      <c r="S415" s="555"/>
      <c r="T415" s="555"/>
      <c r="U415" s="555"/>
      <c r="V415" s="555"/>
      <c r="W415" s="555"/>
      <c r="X415" s="555"/>
      <c r="Y415" s="555"/>
      <c r="Z415" s="555"/>
    </row>
    <row r="416">
      <c r="A416" s="555"/>
      <c r="B416" s="555"/>
      <c r="C416" s="555"/>
      <c r="D416" s="555"/>
      <c r="E416" s="555"/>
      <c r="F416" s="555"/>
      <c r="G416" s="555"/>
      <c r="H416" s="555"/>
      <c r="I416" s="555"/>
      <c r="J416" s="555"/>
      <c r="K416" s="555"/>
      <c r="L416" s="555"/>
      <c r="M416" s="555"/>
      <c r="N416" s="555"/>
      <c r="O416" s="555"/>
      <c r="P416" s="555"/>
      <c r="Q416" s="555"/>
      <c r="R416" s="555"/>
      <c r="S416" s="555"/>
      <c r="T416" s="555"/>
      <c r="U416" s="555"/>
      <c r="V416" s="555"/>
      <c r="W416" s="555"/>
      <c r="X416" s="555"/>
      <c r="Y416" s="555"/>
      <c r="Z416" s="555"/>
    </row>
    <row r="417">
      <c r="A417" s="555"/>
      <c r="B417" s="555"/>
      <c r="C417" s="555"/>
      <c r="D417" s="555"/>
      <c r="E417" s="555"/>
      <c r="F417" s="555"/>
      <c r="G417" s="555"/>
      <c r="H417" s="555"/>
      <c r="I417" s="555"/>
      <c r="J417" s="555"/>
      <c r="K417" s="555"/>
      <c r="L417" s="555"/>
      <c r="M417" s="555"/>
      <c r="N417" s="555"/>
      <c r="O417" s="555"/>
      <c r="P417" s="555"/>
      <c r="Q417" s="555"/>
      <c r="R417" s="555"/>
      <c r="S417" s="555"/>
      <c r="T417" s="555"/>
      <c r="U417" s="555"/>
      <c r="V417" s="555"/>
      <c r="W417" s="555"/>
      <c r="X417" s="555"/>
      <c r="Y417" s="555"/>
      <c r="Z417" s="555"/>
    </row>
    <row r="418">
      <c r="A418" s="555"/>
      <c r="B418" s="555"/>
      <c r="C418" s="555"/>
      <c r="D418" s="555"/>
      <c r="E418" s="555"/>
      <c r="F418" s="555"/>
      <c r="G418" s="555"/>
      <c r="H418" s="555"/>
      <c r="I418" s="555"/>
      <c r="J418" s="555"/>
      <c r="K418" s="555"/>
      <c r="L418" s="555"/>
      <c r="M418" s="555"/>
      <c r="N418" s="555"/>
      <c r="O418" s="555"/>
      <c r="P418" s="555"/>
      <c r="Q418" s="555"/>
      <c r="R418" s="555"/>
      <c r="S418" s="555"/>
      <c r="T418" s="555"/>
      <c r="U418" s="555"/>
      <c r="V418" s="555"/>
      <c r="W418" s="555"/>
      <c r="X418" s="555"/>
      <c r="Y418" s="555"/>
      <c r="Z418" s="555"/>
    </row>
    <row r="419">
      <c r="A419" s="555"/>
      <c r="B419" s="555"/>
      <c r="C419" s="555"/>
      <c r="D419" s="555"/>
      <c r="E419" s="555"/>
      <c r="F419" s="555"/>
      <c r="G419" s="555"/>
      <c r="H419" s="555"/>
      <c r="I419" s="555"/>
      <c r="J419" s="555"/>
      <c r="K419" s="555"/>
      <c r="L419" s="555"/>
      <c r="M419" s="555"/>
      <c r="N419" s="555"/>
      <c r="O419" s="555"/>
      <c r="P419" s="555"/>
      <c r="Q419" s="555"/>
      <c r="R419" s="555"/>
      <c r="S419" s="555"/>
      <c r="T419" s="555"/>
      <c r="U419" s="555"/>
      <c r="V419" s="555"/>
      <c r="W419" s="555"/>
      <c r="X419" s="555"/>
      <c r="Y419" s="555"/>
      <c r="Z419" s="555"/>
    </row>
    <row r="420">
      <c r="A420" s="555"/>
      <c r="B420" s="555"/>
      <c r="C420" s="555"/>
      <c r="D420" s="555"/>
      <c r="E420" s="555"/>
      <c r="F420" s="555"/>
      <c r="G420" s="555"/>
      <c r="H420" s="555"/>
      <c r="I420" s="555"/>
      <c r="J420" s="555"/>
      <c r="K420" s="555"/>
      <c r="L420" s="555"/>
      <c r="M420" s="555"/>
      <c r="N420" s="555"/>
      <c r="O420" s="555"/>
      <c r="P420" s="555"/>
      <c r="Q420" s="555"/>
      <c r="R420" s="555"/>
      <c r="S420" s="555"/>
      <c r="T420" s="555"/>
      <c r="U420" s="555"/>
      <c r="V420" s="555"/>
      <c r="W420" s="555"/>
      <c r="X420" s="555"/>
      <c r="Y420" s="555"/>
      <c r="Z420" s="555"/>
    </row>
    <row r="421">
      <c r="A421" s="555"/>
      <c r="B421" s="555"/>
      <c r="C421" s="555"/>
      <c r="D421" s="555"/>
      <c r="E421" s="555"/>
      <c r="F421" s="555"/>
      <c r="G421" s="555"/>
      <c r="H421" s="555"/>
      <c r="I421" s="555"/>
      <c r="J421" s="555"/>
      <c r="K421" s="555"/>
      <c r="L421" s="555"/>
      <c r="M421" s="555"/>
      <c r="N421" s="555"/>
      <c r="O421" s="555"/>
      <c r="P421" s="555"/>
      <c r="Q421" s="555"/>
      <c r="R421" s="555"/>
      <c r="S421" s="555"/>
      <c r="T421" s="555"/>
      <c r="U421" s="555"/>
      <c r="V421" s="555"/>
      <c r="W421" s="555"/>
      <c r="X421" s="555"/>
      <c r="Y421" s="555"/>
      <c r="Z421" s="555"/>
    </row>
    <row r="422">
      <c r="A422" s="555"/>
      <c r="B422" s="555"/>
      <c r="C422" s="555"/>
      <c r="D422" s="555"/>
      <c r="E422" s="555"/>
      <c r="F422" s="555"/>
      <c r="G422" s="555"/>
      <c r="H422" s="555"/>
      <c r="I422" s="555"/>
      <c r="J422" s="555"/>
      <c r="K422" s="555"/>
      <c r="L422" s="555"/>
      <c r="M422" s="555"/>
      <c r="N422" s="555"/>
      <c r="O422" s="555"/>
      <c r="P422" s="555"/>
      <c r="Q422" s="555"/>
      <c r="R422" s="555"/>
      <c r="S422" s="555"/>
      <c r="T422" s="555"/>
      <c r="U422" s="555"/>
      <c r="V422" s="555"/>
      <c r="W422" s="555"/>
      <c r="X422" s="555"/>
      <c r="Y422" s="555"/>
      <c r="Z422" s="555"/>
    </row>
    <row r="423">
      <c r="A423" s="555"/>
      <c r="B423" s="555"/>
      <c r="C423" s="555"/>
      <c r="D423" s="555"/>
      <c r="E423" s="555"/>
      <c r="F423" s="555"/>
      <c r="G423" s="555"/>
      <c r="H423" s="555"/>
      <c r="I423" s="555"/>
      <c r="J423" s="555"/>
      <c r="K423" s="555"/>
      <c r="L423" s="555"/>
      <c r="M423" s="555"/>
      <c r="N423" s="555"/>
      <c r="O423" s="555"/>
      <c r="P423" s="555"/>
      <c r="Q423" s="555"/>
      <c r="R423" s="555"/>
      <c r="S423" s="555"/>
      <c r="T423" s="555"/>
      <c r="U423" s="555"/>
      <c r="V423" s="555"/>
      <c r="W423" s="555"/>
      <c r="X423" s="555"/>
      <c r="Y423" s="555"/>
      <c r="Z423" s="555"/>
    </row>
    <row r="424">
      <c r="A424" s="555"/>
      <c r="B424" s="555"/>
      <c r="C424" s="555"/>
      <c r="D424" s="555"/>
      <c r="E424" s="555"/>
      <c r="F424" s="555"/>
      <c r="G424" s="555"/>
      <c r="H424" s="555"/>
      <c r="I424" s="555"/>
      <c r="J424" s="555"/>
      <c r="K424" s="555"/>
      <c r="L424" s="555"/>
      <c r="M424" s="555"/>
      <c r="N424" s="555"/>
      <c r="O424" s="555"/>
      <c r="P424" s="555"/>
      <c r="Q424" s="555"/>
      <c r="R424" s="555"/>
      <c r="S424" s="555"/>
      <c r="T424" s="555"/>
      <c r="U424" s="555"/>
      <c r="V424" s="555"/>
      <c r="W424" s="555"/>
      <c r="X424" s="555"/>
      <c r="Y424" s="555"/>
      <c r="Z424" s="555"/>
    </row>
    <row r="425">
      <c r="A425" s="555"/>
      <c r="B425" s="555"/>
      <c r="C425" s="555"/>
      <c r="D425" s="555"/>
      <c r="E425" s="555"/>
      <c r="F425" s="555"/>
      <c r="G425" s="555"/>
      <c r="H425" s="555"/>
      <c r="I425" s="555"/>
      <c r="J425" s="555"/>
      <c r="K425" s="555"/>
      <c r="L425" s="555"/>
      <c r="M425" s="555"/>
      <c r="N425" s="555"/>
      <c r="O425" s="555"/>
      <c r="P425" s="555"/>
      <c r="Q425" s="555"/>
      <c r="R425" s="555"/>
      <c r="S425" s="555"/>
      <c r="T425" s="555"/>
      <c r="U425" s="555"/>
      <c r="V425" s="555"/>
      <c r="W425" s="555"/>
      <c r="X425" s="555"/>
      <c r="Y425" s="555"/>
      <c r="Z425" s="555"/>
    </row>
    <row r="426">
      <c r="A426" s="555"/>
      <c r="B426" s="555"/>
      <c r="C426" s="555"/>
      <c r="D426" s="555"/>
      <c r="E426" s="555"/>
      <c r="F426" s="555"/>
      <c r="G426" s="555"/>
      <c r="H426" s="555"/>
      <c r="I426" s="555"/>
      <c r="J426" s="555"/>
      <c r="K426" s="555"/>
      <c r="L426" s="555"/>
      <c r="M426" s="555"/>
      <c r="N426" s="555"/>
      <c r="O426" s="555"/>
      <c r="P426" s="555"/>
      <c r="Q426" s="555"/>
      <c r="R426" s="555"/>
      <c r="S426" s="555"/>
      <c r="T426" s="555"/>
      <c r="U426" s="555"/>
      <c r="V426" s="555"/>
      <c r="W426" s="555"/>
      <c r="X426" s="555"/>
      <c r="Y426" s="555"/>
      <c r="Z426" s="555"/>
    </row>
    <row r="427">
      <c r="A427" s="555"/>
      <c r="B427" s="555"/>
      <c r="C427" s="555"/>
      <c r="D427" s="555"/>
      <c r="E427" s="555"/>
      <c r="F427" s="555"/>
      <c r="G427" s="555"/>
      <c r="H427" s="555"/>
      <c r="I427" s="555"/>
      <c r="J427" s="555"/>
      <c r="K427" s="555"/>
      <c r="L427" s="555"/>
      <c r="M427" s="555"/>
      <c r="N427" s="555"/>
      <c r="O427" s="555"/>
      <c r="P427" s="555"/>
      <c r="Q427" s="555"/>
      <c r="R427" s="555"/>
      <c r="S427" s="555"/>
      <c r="T427" s="555"/>
      <c r="U427" s="555"/>
      <c r="V427" s="555"/>
      <c r="W427" s="555"/>
      <c r="X427" s="555"/>
      <c r="Y427" s="555"/>
      <c r="Z427" s="555"/>
    </row>
    <row r="428">
      <c r="A428" s="555"/>
      <c r="B428" s="555"/>
      <c r="C428" s="555"/>
      <c r="D428" s="555"/>
      <c r="E428" s="555"/>
      <c r="F428" s="555"/>
      <c r="G428" s="555"/>
      <c r="H428" s="555"/>
      <c r="I428" s="555"/>
      <c r="J428" s="555"/>
      <c r="K428" s="555"/>
      <c r="L428" s="555"/>
      <c r="M428" s="555"/>
      <c r="N428" s="555"/>
      <c r="O428" s="555"/>
      <c r="P428" s="555"/>
      <c r="Q428" s="555"/>
      <c r="R428" s="555"/>
      <c r="S428" s="555"/>
      <c r="T428" s="555"/>
      <c r="U428" s="555"/>
      <c r="V428" s="555"/>
      <c r="W428" s="555"/>
      <c r="X428" s="555"/>
      <c r="Y428" s="555"/>
      <c r="Z428" s="555"/>
    </row>
    <row r="429">
      <c r="A429" s="555"/>
      <c r="B429" s="555"/>
      <c r="C429" s="555"/>
      <c r="D429" s="555"/>
      <c r="E429" s="555"/>
      <c r="F429" s="555"/>
      <c r="G429" s="555"/>
      <c r="H429" s="555"/>
      <c r="I429" s="555"/>
      <c r="J429" s="555"/>
      <c r="K429" s="555"/>
      <c r="L429" s="555"/>
      <c r="M429" s="555"/>
      <c r="N429" s="555"/>
      <c r="O429" s="555"/>
      <c r="P429" s="555"/>
      <c r="Q429" s="555"/>
      <c r="R429" s="555"/>
      <c r="S429" s="555"/>
      <c r="T429" s="555"/>
      <c r="U429" s="555"/>
      <c r="V429" s="555"/>
      <c r="W429" s="555"/>
      <c r="X429" s="555"/>
      <c r="Y429" s="555"/>
      <c r="Z429" s="555"/>
    </row>
    <row r="430">
      <c r="A430" s="555"/>
      <c r="B430" s="555"/>
      <c r="C430" s="555"/>
      <c r="D430" s="555"/>
      <c r="E430" s="555"/>
      <c r="F430" s="555"/>
      <c r="G430" s="555"/>
      <c r="H430" s="555"/>
      <c r="I430" s="555"/>
      <c r="J430" s="555"/>
      <c r="K430" s="555"/>
      <c r="L430" s="555"/>
      <c r="M430" s="555"/>
      <c r="N430" s="555"/>
      <c r="O430" s="555"/>
      <c r="P430" s="555"/>
      <c r="Q430" s="555"/>
      <c r="R430" s="555"/>
      <c r="S430" s="555"/>
      <c r="T430" s="555"/>
      <c r="U430" s="555"/>
      <c r="V430" s="555"/>
      <c r="W430" s="555"/>
      <c r="X430" s="555"/>
      <c r="Y430" s="555"/>
      <c r="Z430" s="555"/>
    </row>
    <row r="431">
      <c r="A431" s="555"/>
      <c r="B431" s="555"/>
      <c r="C431" s="555"/>
      <c r="D431" s="555"/>
      <c r="E431" s="555"/>
      <c r="F431" s="555"/>
      <c r="G431" s="555"/>
      <c r="H431" s="555"/>
      <c r="I431" s="555"/>
      <c r="J431" s="555"/>
      <c r="K431" s="555"/>
      <c r="L431" s="555"/>
      <c r="M431" s="555"/>
      <c r="N431" s="555"/>
      <c r="O431" s="555"/>
      <c r="P431" s="555"/>
      <c r="Q431" s="555"/>
      <c r="R431" s="555"/>
      <c r="S431" s="555"/>
      <c r="T431" s="555"/>
      <c r="U431" s="555"/>
      <c r="V431" s="555"/>
      <c r="W431" s="555"/>
      <c r="X431" s="555"/>
      <c r="Y431" s="555"/>
      <c r="Z431" s="555"/>
    </row>
    <row r="432">
      <c r="A432" s="555"/>
      <c r="B432" s="555"/>
      <c r="C432" s="555"/>
      <c r="D432" s="555"/>
      <c r="E432" s="555"/>
      <c r="F432" s="555"/>
      <c r="G432" s="555"/>
      <c r="H432" s="555"/>
      <c r="I432" s="555"/>
      <c r="J432" s="555"/>
      <c r="K432" s="555"/>
      <c r="L432" s="555"/>
      <c r="M432" s="555"/>
      <c r="N432" s="555"/>
      <c r="O432" s="555"/>
      <c r="P432" s="555"/>
      <c r="Q432" s="555"/>
      <c r="R432" s="555"/>
      <c r="S432" s="555"/>
      <c r="T432" s="555"/>
      <c r="U432" s="555"/>
      <c r="V432" s="555"/>
      <c r="W432" s="555"/>
      <c r="X432" s="555"/>
      <c r="Y432" s="555"/>
      <c r="Z432" s="555"/>
    </row>
    <row r="433">
      <c r="A433" s="555"/>
      <c r="B433" s="555"/>
      <c r="C433" s="555"/>
      <c r="D433" s="555"/>
      <c r="E433" s="555"/>
      <c r="F433" s="555"/>
      <c r="G433" s="555"/>
      <c r="H433" s="555"/>
      <c r="I433" s="555"/>
      <c r="J433" s="555"/>
      <c r="K433" s="555"/>
      <c r="L433" s="555"/>
      <c r="M433" s="555"/>
      <c r="N433" s="555"/>
      <c r="O433" s="555"/>
      <c r="P433" s="555"/>
      <c r="Q433" s="555"/>
      <c r="R433" s="555"/>
      <c r="S433" s="555"/>
      <c r="T433" s="555"/>
      <c r="U433" s="555"/>
      <c r="V433" s="555"/>
      <c r="W433" s="555"/>
      <c r="X433" s="555"/>
      <c r="Y433" s="555"/>
      <c r="Z433" s="555"/>
    </row>
    <row r="434">
      <c r="A434" s="555"/>
      <c r="B434" s="555"/>
      <c r="C434" s="555"/>
      <c r="D434" s="555"/>
      <c r="E434" s="555"/>
      <c r="F434" s="555"/>
      <c r="G434" s="555"/>
      <c r="H434" s="555"/>
      <c r="I434" s="555"/>
      <c r="J434" s="555"/>
      <c r="K434" s="555"/>
      <c r="L434" s="555"/>
      <c r="M434" s="555"/>
      <c r="N434" s="555"/>
      <c r="O434" s="555"/>
      <c r="P434" s="555"/>
      <c r="Q434" s="555"/>
      <c r="R434" s="555"/>
      <c r="S434" s="555"/>
      <c r="T434" s="555"/>
      <c r="U434" s="555"/>
      <c r="V434" s="555"/>
      <c r="W434" s="555"/>
      <c r="X434" s="555"/>
      <c r="Y434" s="555"/>
      <c r="Z434" s="555"/>
    </row>
    <row r="435">
      <c r="A435" s="555"/>
      <c r="B435" s="555"/>
      <c r="C435" s="555"/>
      <c r="D435" s="555"/>
      <c r="E435" s="555"/>
      <c r="F435" s="555"/>
      <c r="G435" s="555"/>
      <c r="H435" s="555"/>
      <c r="I435" s="555"/>
      <c r="J435" s="555"/>
      <c r="K435" s="555"/>
      <c r="L435" s="555"/>
      <c r="M435" s="555"/>
      <c r="N435" s="555"/>
      <c r="O435" s="555"/>
      <c r="P435" s="555"/>
      <c r="Q435" s="555"/>
      <c r="R435" s="555"/>
      <c r="S435" s="555"/>
      <c r="T435" s="555"/>
      <c r="U435" s="555"/>
      <c r="V435" s="555"/>
      <c r="W435" s="555"/>
      <c r="X435" s="555"/>
      <c r="Y435" s="555"/>
      <c r="Z435" s="555"/>
    </row>
    <row r="436">
      <c r="A436" s="555"/>
      <c r="B436" s="555"/>
      <c r="C436" s="555"/>
      <c r="D436" s="555"/>
      <c r="E436" s="555"/>
      <c r="F436" s="555"/>
      <c r="G436" s="555"/>
      <c r="H436" s="555"/>
      <c r="I436" s="555"/>
      <c r="J436" s="555"/>
      <c r="K436" s="555"/>
      <c r="L436" s="555"/>
      <c r="M436" s="555"/>
      <c r="N436" s="555"/>
      <c r="O436" s="555"/>
      <c r="P436" s="555"/>
      <c r="Q436" s="555"/>
      <c r="R436" s="555"/>
      <c r="S436" s="555"/>
      <c r="T436" s="555"/>
      <c r="U436" s="555"/>
      <c r="V436" s="555"/>
      <c r="W436" s="555"/>
      <c r="X436" s="555"/>
      <c r="Y436" s="555"/>
      <c r="Z436" s="555"/>
    </row>
    <row r="437">
      <c r="A437" s="555"/>
      <c r="B437" s="555"/>
      <c r="C437" s="555"/>
      <c r="D437" s="555"/>
      <c r="E437" s="555"/>
      <c r="F437" s="555"/>
      <c r="G437" s="555"/>
      <c r="H437" s="555"/>
      <c r="I437" s="555"/>
      <c r="J437" s="555"/>
      <c r="K437" s="555"/>
      <c r="L437" s="555"/>
      <c r="M437" s="555"/>
      <c r="N437" s="555"/>
      <c r="O437" s="555"/>
      <c r="P437" s="555"/>
      <c r="Q437" s="555"/>
      <c r="R437" s="555"/>
      <c r="S437" s="555"/>
      <c r="T437" s="555"/>
      <c r="U437" s="555"/>
      <c r="V437" s="555"/>
      <c r="W437" s="555"/>
      <c r="X437" s="555"/>
      <c r="Y437" s="555"/>
      <c r="Z437" s="555"/>
    </row>
    <row r="438">
      <c r="A438" s="555"/>
      <c r="B438" s="555"/>
      <c r="C438" s="555"/>
      <c r="D438" s="555"/>
      <c r="E438" s="555"/>
      <c r="F438" s="555"/>
      <c r="G438" s="555"/>
      <c r="H438" s="555"/>
      <c r="I438" s="555"/>
      <c r="J438" s="555"/>
      <c r="K438" s="555"/>
      <c r="L438" s="555"/>
      <c r="M438" s="555"/>
      <c r="N438" s="555"/>
      <c r="O438" s="555"/>
      <c r="P438" s="555"/>
      <c r="Q438" s="555"/>
      <c r="R438" s="555"/>
      <c r="S438" s="555"/>
      <c r="T438" s="555"/>
      <c r="U438" s="555"/>
      <c r="V438" s="555"/>
      <c r="W438" s="555"/>
      <c r="X438" s="555"/>
      <c r="Y438" s="555"/>
      <c r="Z438" s="555"/>
    </row>
    <row r="439">
      <c r="A439" s="555"/>
      <c r="B439" s="555"/>
      <c r="C439" s="555"/>
      <c r="D439" s="555"/>
      <c r="E439" s="555"/>
      <c r="F439" s="555"/>
      <c r="G439" s="555"/>
      <c r="H439" s="555"/>
      <c r="I439" s="555"/>
      <c r="J439" s="555"/>
      <c r="K439" s="555"/>
      <c r="L439" s="555"/>
      <c r="M439" s="555"/>
      <c r="N439" s="555"/>
      <c r="O439" s="555"/>
      <c r="P439" s="555"/>
      <c r="Q439" s="555"/>
      <c r="R439" s="555"/>
      <c r="S439" s="555"/>
      <c r="T439" s="555"/>
      <c r="U439" s="555"/>
      <c r="V439" s="555"/>
      <c r="W439" s="555"/>
      <c r="X439" s="555"/>
      <c r="Y439" s="555"/>
      <c r="Z439" s="555"/>
    </row>
    <row r="440">
      <c r="A440" s="555"/>
      <c r="B440" s="555"/>
      <c r="C440" s="555"/>
      <c r="D440" s="555"/>
      <c r="E440" s="555"/>
      <c r="F440" s="555"/>
      <c r="G440" s="555"/>
      <c r="H440" s="555"/>
      <c r="I440" s="555"/>
      <c r="J440" s="555"/>
      <c r="K440" s="555"/>
      <c r="L440" s="555"/>
      <c r="M440" s="555"/>
      <c r="N440" s="555"/>
      <c r="O440" s="555"/>
      <c r="P440" s="555"/>
      <c r="Q440" s="555"/>
      <c r="R440" s="555"/>
      <c r="S440" s="555"/>
      <c r="T440" s="555"/>
      <c r="U440" s="555"/>
      <c r="V440" s="555"/>
      <c r="W440" s="555"/>
      <c r="X440" s="555"/>
      <c r="Y440" s="555"/>
      <c r="Z440" s="555"/>
    </row>
    <row r="441">
      <c r="A441" s="555"/>
      <c r="B441" s="555"/>
      <c r="C441" s="555"/>
      <c r="D441" s="555"/>
      <c r="E441" s="555"/>
      <c r="F441" s="555"/>
      <c r="G441" s="555"/>
      <c r="H441" s="555"/>
      <c r="I441" s="555"/>
      <c r="J441" s="555"/>
      <c r="K441" s="555"/>
      <c r="L441" s="555"/>
      <c r="M441" s="555"/>
      <c r="N441" s="555"/>
      <c r="O441" s="555"/>
      <c r="P441" s="555"/>
      <c r="Q441" s="555"/>
      <c r="R441" s="555"/>
      <c r="S441" s="555"/>
      <c r="T441" s="555"/>
      <c r="U441" s="555"/>
      <c r="V441" s="555"/>
      <c r="W441" s="555"/>
      <c r="X441" s="555"/>
      <c r="Y441" s="555"/>
      <c r="Z441" s="555"/>
    </row>
    <row r="442">
      <c r="A442" s="555"/>
      <c r="B442" s="555"/>
      <c r="C442" s="555"/>
      <c r="D442" s="555"/>
      <c r="E442" s="555"/>
      <c r="F442" s="555"/>
      <c r="G442" s="555"/>
      <c r="H442" s="555"/>
      <c r="I442" s="555"/>
      <c r="J442" s="555"/>
      <c r="K442" s="555"/>
      <c r="L442" s="555"/>
      <c r="M442" s="555"/>
      <c r="N442" s="555"/>
      <c r="O442" s="555"/>
      <c r="P442" s="555"/>
      <c r="Q442" s="555"/>
      <c r="R442" s="555"/>
      <c r="S442" s="555"/>
      <c r="T442" s="555"/>
      <c r="U442" s="555"/>
      <c r="V442" s="555"/>
      <c r="W442" s="555"/>
      <c r="X442" s="555"/>
      <c r="Y442" s="555"/>
      <c r="Z442" s="555"/>
    </row>
    <row r="443">
      <c r="A443" s="555"/>
      <c r="B443" s="555"/>
      <c r="C443" s="555"/>
      <c r="D443" s="555"/>
      <c r="E443" s="555"/>
      <c r="F443" s="555"/>
      <c r="G443" s="555"/>
      <c r="H443" s="555"/>
      <c r="I443" s="555"/>
      <c r="J443" s="555"/>
      <c r="K443" s="555"/>
      <c r="L443" s="555"/>
      <c r="M443" s="555"/>
      <c r="N443" s="555"/>
      <c r="O443" s="555"/>
      <c r="P443" s="555"/>
      <c r="Q443" s="555"/>
      <c r="R443" s="555"/>
      <c r="S443" s="555"/>
      <c r="T443" s="555"/>
      <c r="U443" s="555"/>
      <c r="V443" s="555"/>
      <c r="W443" s="555"/>
      <c r="X443" s="555"/>
      <c r="Y443" s="555"/>
      <c r="Z443" s="555"/>
    </row>
    <row r="444">
      <c r="A444" s="555"/>
      <c r="B444" s="555"/>
      <c r="C444" s="555"/>
      <c r="D444" s="555"/>
      <c r="E444" s="555"/>
      <c r="F444" s="555"/>
      <c r="G444" s="555"/>
      <c r="H444" s="555"/>
      <c r="I444" s="555"/>
      <c r="J444" s="555"/>
      <c r="K444" s="555"/>
      <c r="L444" s="555"/>
      <c r="M444" s="555"/>
      <c r="N444" s="555"/>
      <c r="O444" s="555"/>
      <c r="P444" s="555"/>
      <c r="Q444" s="555"/>
      <c r="R444" s="555"/>
      <c r="S444" s="555"/>
      <c r="T444" s="555"/>
      <c r="U444" s="555"/>
      <c r="V444" s="555"/>
      <c r="W444" s="555"/>
      <c r="X444" s="555"/>
      <c r="Y444" s="555"/>
      <c r="Z444" s="555"/>
    </row>
    <row r="445">
      <c r="A445" s="555"/>
      <c r="B445" s="555"/>
      <c r="C445" s="555"/>
      <c r="D445" s="555"/>
      <c r="E445" s="555"/>
      <c r="F445" s="555"/>
      <c r="G445" s="555"/>
      <c r="H445" s="555"/>
      <c r="I445" s="555"/>
      <c r="J445" s="555"/>
      <c r="K445" s="555"/>
      <c r="L445" s="555"/>
      <c r="M445" s="555"/>
      <c r="N445" s="555"/>
      <c r="O445" s="555"/>
      <c r="P445" s="555"/>
      <c r="Q445" s="555"/>
      <c r="R445" s="555"/>
      <c r="S445" s="555"/>
      <c r="T445" s="555"/>
      <c r="U445" s="555"/>
      <c r="V445" s="555"/>
      <c r="W445" s="555"/>
      <c r="X445" s="555"/>
      <c r="Y445" s="555"/>
      <c r="Z445" s="555"/>
    </row>
    <row r="446">
      <c r="A446" s="555"/>
      <c r="B446" s="555"/>
      <c r="C446" s="555"/>
      <c r="D446" s="555"/>
      <c r="E446" s="555"/>
      <c r="F446" s="555"/>
      <c r="G446" s="555"/>
      <c r="H446" s="555"/>
      <c r="I446" s="555"/>
      <c r="J446" s="555"/>
      <c r="K446" s="555"/>
      <c r="L446" s="555"/>
      <c r="M446" s="555"/>
      <c r="N446" s="555"/>
      <c r="O446" s="555"/>
      <c r="P446" s="555"/>
      <c r="Q446" s="555"/>
      <c r="R446" s="555"/>
      <c r="S446" s="555"/>
      <c r="T446" s="555"/>
      <c r="U446" s="555"/>
      <c r="V446" s="555"/>
      <c r="W446" s="555"/>
      <c r="X446" s="555"/>
      <c r="Y446" s="555"/>
      <c r="Z446" s="555"/>
    </row>
    <row r="447">
      <c r="A447" s="555"/>
      <c r="B447" s="555"/>
      <c r="C447" s="555"/>
      <c r="D447" s="555"/>
      <c r="E447" s="555"/>
      <c r="F447" s="555"/>
      <c r="G447" s="555"/>
      <c r="H447" s="555"/>
      <c r="I447" s="555"/>
      <c r="J447" s="555"/>
      <c r="K447" s="555"/>
      <c r="L447" s="555"/>
      <c r="M447" s="555"/>
      <c r="N447" s="555"/>
      <c r="O447" s="555"/>
      <c r="P447" s="555"/>
      <c r="Q447" s="555"/>
      <c r="R447" s="555"/>
      <c r="S447" s="555"/>
      <c r="T447" s="555"/>
      <c r="U447" s="555"/>
      <c r="V447" s="555"/>
      <c r="W447" s="555"/>
      <c r="X447" s="555"/>
      <c r="Y447" s="555"/>
      <c r="Z447" s="555"/>
    </row>
    <row r="448">
      <c r="A448" s="555"/>
      <c r="B448" s="555"/>
      <c r="C448" s="555"/>
      <c r="D448" s="555"/>
      <c r="E448" s="555"/>
      <c r="F448" s="555"/>
      <c r="G448" s="555"/>
      <c r="H448" s="555"/>
      <c r="I448" s="555"/>
      <c r="J448" s="555"/>
      <c r="K448" s="555"/>
      <c r="L448" s="555"/>
      <c r="M448" s="555"/>
      <c r="N448" s="555"/>
      <c r="O448" s="555"/>
      <c r="P448" s="555"/>
      <c r="Q448" s="555"/>
      <c r="R448" s="555"/>
      <c r="S448" s="555"/>
      <c r="T448" s="555"/>
      <c r="U448" s="555"/>
      <c r="V448" s="555"/>
      <c r="W448" s="555"/>
      <c r="X448" s="555"/>
      <c r="Y448" s="555"/>
      <c r="Z448" s="555"/>
    </row>
    <row r="449">
      <c r="A449" s="555"/>
      <c r="B449" s="555"/>
      <c r="C449" s="555"/>
      <c r="D449" s="555"/>
      <c r="E449" s="555"/>
      <c r="F449" s="555"/>
      <c r="G449" s="555"/>
      <c r="H449" s="555"/>
      <c r="I449" s="555"/>
      <c r="J449" s="555"/>
      <c r="K449" s="555"/>
      <c r="L449" s="555"/>
      <c r="M449" s="555"/>
      <c r="N449" s="555"/>
      <c r="O449" s="555"/>
      <c r="P449" s="555"/>
      <c r="Q449" s="555"/>
      <c r="R449" s="555"/>
      <c r="S449" s="555"/>
      <c r="T449" s="555"/>
      <c r="U449" s="555"/>
      <c r="V449" s="555"/>
      <c r="W449" s="555"/>
      <c r="X449" s="555"/>
      <c r="Y449" s="555"/>
      <c r="Z449" s="555"/>
    </row>
    <row r="450">
      <c r="A450" s="555"/>
      <c r="B450" s="555"/>
      <c r="C450" s="555"/>
      <c r="D450" s="555"/>
      <c r="E450" s="555"/>
      <c r="F450" s="555"/>
      <c r="G450" s="555"/>
      <c r="H450" s="555"/>
      <c r="I450" s="555"/>
      <c r="J450" s="555"/>
      <c r="K450" s="555"/>
      <c r="L450" s="555"/>
      <c r="M450" s="555"/>
      <c r="N450" s="555"/>
      <c r="O450" s="555"/>
      <c r="P450" s="555"/>
      <c r="Q450" s="555"/>
      <c r="R450" s="555"/>
      <c r="S450" s="555"/>
      <c r="T450" s="555"/>
      <c r="U450" s="555"/>
      <c r="V450" s="555"/>
      <c r="W450" s="555"/>
      <c r="X450" s="555"/>
      <c r="Y450" s="555"/>
      <c r="Z450" s="555"/>
    </row>
    <row r="451">
      <c r="A451" s="555"/>
      <c r="B451" s="555"/>
      <c r="C451" s="555"/>
      <c r="D451" s="555"/>
      <c r="E451" s="555"/>
      <c r="F451" s="555"/>
      <c r="G451" s="555"/>
      <c r="H451" s="555"/>
      <c r="I451" s="555"/>
      <c r="J451" s="555"/>
      <c r="K451" s="555"/>
      <c r="L451" s="555"/>
      <c r="M451" s="555"/>
      <c r="N451" s="555"/>
      <c r="O451" s="555"/>
      <c r="P451" s="555"/>
      <c r="Q451" s="555"/>
      <c r="R451" s="555"/>
      <c r="S451" s="555"/>
      <c r="T451" s="555"/>
      <c r="U451" s="555"/>
      <c r="V451" s="555"/>
      <c r="W451" s="555"/>
      <c r="X451" s="555"/>
      <c r="Y451" s="555"/>
      <c r="Z451" s="555"/>
    </row>
    <row r="452">
      <c r="A452" s="555"/>
      <c r="B452" s="555"/>
      <c r="C452" s="555"/>
      <c r="D452" s="555"/>
      <c r="E452" s="555"/>
      <c r="F452" s="555"/>
      <c r="G452" s="555"/>
      <c r="H452" s="555"/>
      <c r="I452" s="555"/>
      <c r="J452" s="555"/>
      <c r="K452" s="555"/>
      <c r="L452" s="555"/>
      <c r="M452" s="555"/>
      <c r="N452" s="555"/>
      <c r="O452" s="555"/>
      <c r="P452" s="555"/>
      <c r="Q452" s="555"/>
      <c r="R452" s="555"/>
      <c r="S452" s="555"/>
      <c r="T452" s="555"/>
      <c r="U452" s="555"/>
      <c r="V452" s="555"/>
      <c r="W452" s="555"/>
      <c r="X452" s="555"/>
      <c r="Y452" s="555"/>
      <c r="Z452" s="555"/>
    </row>
    <row r="453">
      <c r="A453" s="555"/>
      <c r="B453" s="555"/>
      <c r="C453" s="555"/>
      <c r="D453" s="555"/>
      <c r="E453" s="555"/>
      <c r="F453" s="555"/>
      <c r="G453" s="555"/>
      <c r="H453" s="555"/>
      <c r="I453" s="555"/>
      <c r="J453" s="555"/>
      <c r="K453" s="555"/>
      <c r="L453" s="555"/>
      <c r="M453" s="555"/>
      <c r="N453" s="555"/>
      <c r="O453" s="555"/>
      <c r="P453" s="555"/>
      <c r="Q453" s="555"/>
      <c r="R453" s="555"/>
      <c r="S453" s="555"/>
      <c r="T453" s="555"/>
      <c r="U453" s="555"/>
      <c r="V453" s="555"/>
      <c r="W453" s="555"/>
      <c r="X453" s="555"/>
      <c r="Y453" s="555"/>
      <c r="Z453" s="555"/>
    </row>
    <row r="454">
      <c r="A454" s="555"/>
      <c r="B454" s="555"/>
      <c r="C454" s="555"/>
      <c r="D454" s="555"/>
      <c r="E454" s="555"/>
      <c r="F454" s="555"/>
      <c r="G454" s="555"/>
      <c r="H454" s="555"/>
      <c r="I454" s="555"/>
      <c r="J454" s="555"/>
      <c r="K454" s="555"/>
      <c r="L454" s="555"/>
      <c r="M454" s="555"/>
      <c r="N454" s="555"/>
      <c r="O454" s="555"/>
      <c r="P454" s="555"/>
      <c r="Q454" s="555"/>
      <c r="R454" s="555"/>
      <c r="S454" s="555"/>
      <c r="T454" s="555"/>
      <c r="U454" s="555"/>
      <c r="V454" s="555"/>
      <c r="W454" s="555"/>
      <c r="X454" s="555"/>
      <c r="Y454" s="555"/>
      <c r="Z454" s="555"/>
    </row>
    <row r="455">
      <c r="A455" s="555"/>
      <c r="B455" s="555"/>
      <c r="C455" s="555"/>
      <c r="D455" s="555"/>
      <c r="E455" s="555"/>
      <c r="F455" s="555"/>
      <c r="G455" s="555"/>
      <c r="H455" s="555"/>
      <c r="I455" s="555"/>
      <c r="J455" s="555"/>
      <c r="K455" s="555"/>
      <c r="L455" s="555"/>
      <c r="M455" s="555"/>
      <c r="N455" s="555"/>
      <c r="O455" s="555"/>
      <c r="P455" s="555"/>
      <c r="Q455" s="555"/>
      <c r="R455" s="555"/>
      <c r="S455" s="555"/>
      <c r="T455" s="555"/>
      <c r="U455" s="555"/>
      <c r="V455" s="555"/>
      <c r="W455" s="555"/>
      <c r="X455" s="555"/>
      <c r="Y455" s="555"/>
      <c r="Z455" s="555"/>
    </row>
    <row r="456">
      <c r="A456" s="555"/>
      <c r="B456" s="555"/>
      <c r="C456" s="555"/>
      <c r="D456" s="555"/>
      <c r="E456" s="555"/>
      <c r="F456" s="555"/>
      <c r="G456" s="555"/>
      <c r="H456" s="555"/>
      <c r="I456" s="555"/>
      <c r="J456" s="555"/>
      <c r="K456" s="555"/>
      <c r="L456" s="555"/>
      <c r="M456" s="555"/>
      <c r="N456" s="555"/>
      <c r="O456" s="555"/>
      <c r="P456" s="555"/>
      <c r="Q456" s="555"/>
      <c r="R456" s="555"/>
      <c r="S456" s="555"/>
      <c r="T456" s="555"/>
      <c r="U456" s="555"/>
      <c r="V456" s="555"/>
      <c r="W456" s="555"/>
      <c r="X456" s="555"/>
      <c r="Y456" s="555"/>
      <c r="Z456" s="555"/>
    </row>
    <row r="457">
      <c r="A457" s="555"/>
      <c r="B457" s="555"/>
      <c r="C457" s="555"/>
      <c r="D457" s="555"/>
      <c r="E457" s="555"/>
      <c r="F457" s="555"/>
      <c r="G457" s="555"/>
      <c r="H457" s="555"/>
      <c r="I457" s="555"/>
      <c r="J457" s="555"/>
      <c r="K457" s="555"/>
      <c r="L457" s="555"/>
      <c r="M457" s="555"/>
      <c r="N457" s="555"/>
      <c r="O457" s="555"/>
      <c r="P457" s="555"/>
      <c r="Q457" s="555"/>
      <c r="R457" s="555"/>
      <c r="S457" s="555"/>
      <c r="T457" s="555"/>
      <c r="U457" s="555"/>
      <c r="V457" s="555"/>
      <c r="W457" s="555"/>
      <c r="X457" s="555"/>
      <c r="Y457" s="555"/>
      <c r="Z457" s="555"/>
    </row>
    <row r="458">
      <c r="A458" s="555"/>
      <c r="B458" s="555"/>
      <c r="C458" s="555"/>
      <c r="D458" s="555"/>
      <c r="E458" s="555"/>
      <c r="F458" s="555"/>
      <c r="G458" s="555"/>
      <c r="H458" s="555"/>
      <c r="I458" s="555"/>
      <c r="J458" s="555"/>
      <c r="K458" s="555"/>
      <c r="L458" s="555"/>
      <c r="M458" s="555"/>
      <c r="N458" s="555"/>
      <c r="O458" s="555"/>
      <c r="P458" s="555"/>
      <c r="Q458" s="555"/>
      <c r="R458" s="555"/>
      <c r="S458" s="555"/>
      <c r="T458" s="555"/>
      <c r="U458" s="555"/>
      <c r="V458" s="555"/>
      <c r="W458" s="555"/>
      <c r="X458" s="555"/>
      <c r="Y458" s="555"/>
      <c r="Z458" s="555"/>
    </row>
    <row r="459">
      <c r="A459" s="555"/>
      <c r="B459" s="555"/>
      <c r="C459" s="555"/>
      <c r="D459" s="555"/>
      <c r="E459" s="555"/>
      <c r="F459" s="555"/>
      <c r="G459" s="555"/>
      <c r="H459" s="555"/>
      <c r="I459" s="555"/>
      <c r="J459" s="555"/>
      <c r="K459" s="555"/>
      <c r="L459" s="555"/>
      <c r="M459" s="555"/>
      <c r="N459" s="555"/>
      <c r="O459" s="555"/>
      <c r="P459" s="555"/>
      <c r="Q459" s="555"/>
      <c r="R459" s="555"/>
      <c r="S459" s="555"/>
      <c r="T459" s="555"/>
      <c r="U459" s="555"/>
      <c r="V459" s="555"/>
      <c r="W459" s="555"/>
      <c r="X459" s="555"/>
      <c r="Y459" s="555"/>
      <c r="Z459" s="555"/>
    </row>
    <row r="460">
      <c r="A460" s="555"/>
      <c r="B460" s="555"/>
      <c r="C460" s="555"/>
      <c r="D460" s="555"/>
      <c r="E460" s="555"/>
      <c r="F460" s="555"/>
      <c r="G460" s="555"/>
      <c r="H460" s="555"/>
      <c r="I460" s="555"/>
      <c r="J460" s="555"/>
      <c r="K460" s="555"/>
      <c r="L460" s="555"/>
      <c r="M460" s="555"/>
      <c r="N460" s="555"/>
      <c r="O460" s="555"/>
      <c r="P460" s="555"/>
      <c r="Q460" s="555"/>
      <c r="R460" s="555"/>
      <c r="S460" s="555"/>
      <c r="T460" s="555"/>
      <c r="U460" s="555"/>
      <c r="V460" s="555"/>
      <c r="W460" s="555"/>
      <c r="X460" s="555"/>
      <c r="Y460" s="555"/>
      <c r="Z460" s="555"/>
    </row>
    <row r="461">
      <c r="A461" s="555"/>
      <c r="B461" s="555"/>
      <c r="C461" s="555"/>
      <c r="D461" s="555"/>
      <c r="E461" s="555"/>
      <c r="F461" s="555"/>
      <c r="G461" s="555"/>
      <c r="H461" s="555"/>
      <c r="I461" s="555"/>
      <c r="J461" s="555"/>
      <c r="K461" s="555"/>
      <c r="L461" s="555"/>
      <c r="M461" s="555"/>
      <c r="N461" s="555"/>
      <c r="O461" s="555"/>
      <c r="P461" s="555"/>
      <c r="Q461" s="555"/>
      <c r="R461" s="555"/>
      <c r="S461" s="555"/>
      <c r="T461" s="555"/>
      <c r="U461" s="555"/>
      <c r="V461" s="555"/>
      <c r="W461" s="555"/>
      <c r="X461" s="555"/>
      <c r="Y461" s="555"/>
      <c r="Z461" s="555"/>
    </row>
    <row r="462">
      <c r="A462" s="555"/>
      <c r="B462" s="555"/>
      <c r="C462" s="555"/>
      <c r="D462" s="555"/>
      <c r="E462" s="555"/>
      <c r="F462" s="555"/>
      <c r="G462" s="555"/>
      <c r="H462" s="555"/>
      <c r="I462" s="555"/>
      <c r="J462" s="555"/>
      <c r="K462" s="555"/>
      <c r="L462" s="555"/>
      <c r="M462" s="555"/>
      <c r="N462" s="555"/>
      <c r="O462" s="555"/>
      <c r="P462" s="555"/>
      <c r="Q462" s="555"/>
      <c r="R462" s="555"/>
      <c r="S462" s="555"/>
      <c r="T462" s="555"/>
      <c r="U462" s="555"/>
      <c r="V462" s="555"/>
      <c r="W462" s="555"/>
      <c r="X462" s="555"/>
      <c r="Y462" s="555"/>
      <c r="Z462" s="555"/>
    </row>
    <row r="463">
      <c r="A463" s="555"/>
      <c r="B463" s="555"/>
      <c r="C463" s="555"/>
      <c r="D463" s="555"/>
      <c r="E463" s="555"/>
      <c r="F463" s="555"/>
      <c r="G463" s="555"/>
      <c r="H463" s="555"/>
      <c r="I463" s="555"/>
      <c r="J463" s="555"/>
      <c r="K463" s="555"/>
      <c r="L463" s="555"/>
      <c r="M463" s="555"/>
      <c r="N463" s="555"/>
      <c r="O463" s="555"/>
      <c r="P463" s="555"/>
      <c r="Q463" s="555"/>
      <c r="R463" s="555"/>
      <c r="S463" s="555"/>
      <c r="T463" s="555"/>
      <c r="U463" s="555"/>
      <c r="V463" s="555"/>
      <c r="W463" s="555"/>
      <c r="X463" s="555"/>
      <c r="Y463" s="555"/>
      <c r="Z463" s="555"/>
    </row>
    <row r="464">
      <c r="A464" s="555"/>
      <c r="B464" s="555"/>
      <c r="C464" s="555"/>
      <c r="D464" s="555"/>
      <c r="E464" s="555"/>
      <c r="F464" s="555"/>
      <c r="G464" s="555"/>
      <c r="H464" s="555"/>
      <c r="I464" s="555"/>
      <c r="J464" s="555"/>
      <c r="K464" s="555"/>
      <c r="L464" s="555"/>
      <c r="M464" s="555"/>
      <c r="N464" s="555"/>
      <c r="O464" s="555"/>
      <c r="P464" s="555"/>
      <c r="Q464" s="555"/>
      <c r="R464" s="555"/>
      <c r="S464" s="555"/>
      <c r="T464" s="555"/>
      <c r="U464" s="555"/>
      <c r="V464" s="555"/>
      <c r="W464" s="555"/>
      <c r="X464" s="555"/>
      <c r="Y464" s="555"/>
      <c r="Z464" s="555"/>
    </row>
    <row r="465">
      <c r="A465" s="555"/>
      <c r="B465" s="555"/>
      <c r="C465" s="555"/>
      <c r="D465" s="555"/>
      <c r="E465" s="555"/>
      <c r="F465" s="555"/>
      <c r="G465" s="555"/>
      <c r="H465" s="555"/>
      <c r="I465" s="555"/>
      <c r="J465" s="555"/>
      <c r="K465" s="555"/>
      <c r="L465" s="555"/>
      <c r="M465" s="555"/>
      <c r="N465" s="555"/>
      <c r="O465" s="555"/>
      <c r="P465" s="555"/>
      <c r="Q465" s="555"/>
      <c r="R465" s="555"/>
      <c r="S465" s="555"/>
      <c r="T465" s="555"/>
      <c r="U465" s="555"/>
      <c r="V465" s="555"/>
      <c r="W465" s="555"/>
      <c r="X465" s="555"/>
      <c r="Y465" s="555"/>
      <c r="Z465" s="555"/>
    </row>
    <row r="466">
      <c r="A466" s="555"/>
      <c r="B466" s="555"/>
      <c r="C466" s="555"/>
      <c r="D466" s="555"/>
      <c r="E466" s="555"/>
      <c r="F466" s="555"/>
      <c r="G466" s="555"/>
      <c r="H466" s="555"/>
      <c r="I466" s="555"/>
      <c r="J466" s="555"/>
      <c r="K466" s="555"/>
      <c r="L466" s="555"/>
      <c r="M466" s="555"/>
      <c r="N466" s="555"/>
      <c r="O466" s="555"/>
      <c r="P466" s="555"/>
      <c r="Q466" s="555"/>
      <c r="R466" s="555"/>
      <c r="S466" s="555"/>
      <c r="T466" s="555"/>
      <c r="U466" s="555"/>
      <c r="V466" s="555"/>
      <c r="W466" s="555"/>
      <c r="X466" s="555"/>
      <c r="Y466" s="555"/>
      <c r="Z466" s="555"/>
    </row>
    <row r="467">
      <c r="A467" s="555"/>
      <c r="B467" s="555"/>
      <c r="C467" s="555"/>
      <c r="D467" s="555"/>
      <c r="E467" s="555"/>
      <c r="F467" s="555"/>
      <c r="G467" s="555"/>
      <c r="H467" s="555"/>
      <c r="I467" s="555"/>
      <c r="J467" s="555"/>
      <c r="K467" s="555"/>
      <c r="L467" s="555"/>
      <c r="M467" s="555"/>
      <c r="N467" s="555"/>
      <c r="O467" s="555"/>
      <c r="P467" s="555"/>
      <c r="Q467" s="555"/>
      <c r="R467" s="555"/>
      <c r="S467" s="555"/>
      <c r="T467" s="555"/>
      <c r="U467" s="555"/>
      <c r="V467" s="555"/>
      <c r="W467" s="555"/>
      <c r="X467" s="555"/>
      <c r="Y467" s="555"/>
      <c r="Z467" s="555"/>
    </row>
    <row r="468">
      <c r="A468" s="555"/>
      <c r="B468" s="555"/>
      <c r="C468" s="555"/>
      <c r="D468" s="555"/>
      <c r="E468" s="555"/>
      <c r="F468" s="555"/>
      <c r="G468" s="555"/>
      <c r="H468" s="555"/>
      <c r="I468" s="555"/>
      <c r="J468" s="555"/>
      <c r="K468" s="555"/>
      <c r="L468" s="555"/>
      <c r="M468" s="555"/>
      <c r="N468" s="555"/>
      <c r="O468" s="555"/>
      <c r="P468" s="555"/>
      <c r="Q468" s="555"/>
      <c r="R468" s="555"/>
      <c r="S468" s="555"/>
      <c r="T468" s="555"/>
      <c r="U468" s="555"/>
      <c r="V468" s="555"/>
      <c r="W468" s="555"/>
      <c r="X468" s="555"/>
      <c r="Y468" s="555"/>
      <c r="Z468" s="555"/>
    </row>
    <row r="469">
      <c r="A469" s="555"/>
      <c r="B469" s="555"/>
      <c r="C469" s="555"/>
      <c r="D469" s="555"/>
      <c r="E469" s="555"/>
      <c r="F469" s="555"/>
      <c r="G469" s="555"/>
      <c r="H469" s="555"/>
      <c r="I469" s="555"/>
      <c r="J469" s="555"/>
      <c r="K469" s="555"/>
      <c r="L469" s="555"/>
      <c r="M469" s="555"/>
      <c r="N469" s="555"/>
      <c r="O469" s="555"/>
      <c r="P469" s="555"/>
      <c r="Q469" s="555"/>
      <c r="R469" s="555"/>
      <c r="S469" s="555"/>
      <c r="T469" s="555"/>
      <c r="U469" s="555"/>
      <c r="V469" s="555"/>
      <c r="W469" s="555"/>
      <c r="X469" s="555"/>
      <c r="Y469" s="555"/>
      <c r="Z469" s="555"/>
    </row>
    <row r="470">
      <c r="A470" s="555"/>
      <c r="B470" s="555"/>
      <c r="C470" s="555"/>
      <c r="D470" s="555"/>
      <c r="E470" s="555"/>
      <c r="F470" s="555"/>
      <c r="G470" s="555"/>
      <c r="H470" s="555"/>
      <c r="I470" s="555"/>
      <c r="J470" s="555"/>
      <c r="K470" s="555"/>
      <c r="L470" s="555"/>
      <c r="M470" s="555"/>
      <c r="N470" s="555"/>
      <c r="O470" s="555"/>
      <c r="P470" s="555"/>
      <c r="Q470" s="555"/>
      <c r="R470" s="555"/>
      <c r="S470" s="555"/>
      <c r="T470" s="555"/>
      <c r="U470" s="555"/>
      <c r="V470" s="555"/>
      <c r="W470" s="555"/>
      <c r="X470" s="555"/>
      <c r="Y470" s="555"/>
      <c r="Z470" s="555"/>
    </row>
    <row r="471">
      <c r="A471" s="555"/>
      <c r="B471" s="555"/>
      <c r="C471" s="555"/>
      <c r="D471" s="555"/>
      <c r="E471" s="555"/>
      <c r="F471" s="555"/>
      <c r="G471" s="555"/>
      <c r="H471" s="555"/>
      <c r="I471" s="555"/>
      <c r="J471" s="555"/>
      <c r="K471" s="555"/>
      <c r="L471" s="555"/>
      <c r="M471" s="555"/>
      <c r="N471" s="555"/>
      <c r="O471" s="555"/>
      <c r="P471" s="555"/>
      <c r="Q471" s="555"/>
      <c r="R471" s="555"/>
      <c r="S471" s="555"/>
      <c r="T471" s="555"/>
      <c r="U471" s="555"/>
      <c r="V471" s="555"/>
      <c r="W471" s="555"/>
      <c r="X471" s="555"/>
      <c r="Y471" s="555"/>
      <c r="Z471" s="555"/>
    </row>
    <row r="472">
      <c r="A472" s="555"/>
      <c r="B472" s="555"/>
      <c r="C472" s="555"/>
      <c r="D472" s="555"/>
      <c r="E472" s="555"/>
      <c r="F472" s="555"/>
      <c r="G472" s="555"/>
      <c r="H472" s="555"/>
      <c r="I472" s="555"/>
      <c r="J472" s="555"/>
      <c r="K472" s="555"/>
      <c r="L472" s="555"/>
      <c r="M472" s="555"/>
      <c r="N472" s="555"/>
      <c r="O472" s="555"/>
      <c r="P472" s="555"/>
      <c r="Q472" s="555"/>
      <c r="R472" s="555"/>
      <c r="S472" s="555"/>
      <c r="T472" s="555"/>
      <c r="U472" s="555"/>
      <c r="V472" s="555"/>
      <c r="W472" s="555"/>
      <c r="X472" s="555"/>
      <c r="Y472" s="555"/>
      <c r="Z472" s="555"/>
    </row>
    <row r="473">
      <c r="A473" s="555"/>
      <c r="B473" s="555"/>
      <c r="C473" s="555"/>
      <c r="D473" s="555"/>
      <c r="E473" s="555"/>
      <c r="F473" s="555"/>
      <c r="G473" s="555"/>
      <c r="H473" s="555"/>
      <c r="I473" s="555"/>
      <c r="J473" s="555"/>
      <c r="K473" s="555"/>
      <c r="L473" s="555"/>
      <c r="M473" s="555"/>
      <c r="N473" s="555"/>
      <c r="O473" s="555"/>
      <c r="P473" s="555"/>
      <c r="Q473" s="555"/>
      <c r="R473" s="555"/>
      <c r="S473" s="555"/>
      <c r="T473" s="555"/>
      <c r="U473" s="555"/>
      <c r="V473" s="555"/>
      <c r="W473" s="555"/>
      <c r="X473" s="555"/>
      <c r="Y473" s="555"/>
      <c r="Z473" s="555"/>
    </row>
    <row r="474">
      <c r="A474" s="555"/>
      <c r="B474" s="555"/>
      <c r="C474" s="555"/>
      <c r="D474" s="555"/>
      <c r="E474" s="555"/>
      <c r="F474" s="555"/>
      <c r="G474" s="555"/>
      <c r="H474" s="555"/>
      <c r="I474" s="555"/>
      <c r="J474" s="555"/>
      <c r="K474" s="555"/>
      <c r="L474" s="555"/>
      <c r="M474" s="555"/>
      <c r="N474" s="555"/>
      <c r="O474" s="555"/>
      <c r="P474" s="555"/>
      <c r="Q474" s="555"/>
      <c r="R474" s="555"/>
      <c r="S474" s="555"/>
      <c r="T474" s="555"/>
      <c r="U474" s="555"/>
      <c r="V474" s="555"/>
      <c r="W474" s="555"/>
      <c r="X474" s="555"/>
      <c r="Y474" s="555"/>
      <c r="Z474" s="555"/>
    </row>
    <row r="475">
      <c r="A475" s="555"/>
      <c r="B475" s="555"/>
      <c r="C475" s="555"/>
      <c r="D475" s="555"/>
      <c r="E475" s="555"/>
      <c r="F475" s="555"/>
      <c r="G475" s="555"/>
      <c r="H475" s="555"/>
      <c r="I475" s="555"/>
      <c r="J475" s="555"/>
      <c r="K475" s="555"/>
      <c r="L475" s="555"/>
      <c r="M475" s="555"/>
      <c r="N475" s="555"/>
      <c r="O475" s="555"/>
      <c r="P475" s="555"/>
      <c r="Q475" s="555"/>
      <c r="R475" s="555"/>
      <c r="S475" s="555"/>
      <c r="T475" s="555"/>
      <c r="U475" s="555"/>
      <c r="V475" s="555"/>
      <c r="W475" s="555"/>
      <c r="X475" s="555"/>
      <c r="Y475" s="555"/>
      <c r="Z475" s="555"/>
    </row>
    <row r="476">
      <c r="A476" s="555"/>
      <c r="B476" s="555"/>
      <c r="C476" s="555"/>
      <c r="D476" s="555"/>
      <c r="E476" s="555"/>
      <c r="F476" s="555"/>
      <c r="G476" s="555"/>
      <c r="H476" s="555"/>
      <c r="I476" s="555"/>
      <c r="J476" s="555"/>
      <c r="K476" s="555"/>
      <c r="L476" s="555"/>
      <c r="M476" s="555"/>
      <c r="N476" s="555"/>
      <c r="O476" s="555"/>
      <c r="P476" s="555"/>
      <c r="Q476" s="555"/>
      <c r="R476" s="555"/>
      <c r="S476" s="555"/>
      <c r="T476" s="555"/>
      <c r="U476" s="555"/>
      <c r="V476" s="555"/>
      <c r="W476" s="555"/>
      <c r="X476" s="555"/>
      <c r="Y476" s="555"/>
      <c r="Z476" s="555"/>
    </row>
    <row r="477">
      <c r="A477" s="555"/>
      <c r="B477" s="555"/>
      <c r="C477" s="555"/>
      <c r="D477" s="555"/>
      <c r="E477" s="555"/>
      <c r="F477" s="555"/>
      <c r="G477" s="555"/>
      <c r="H477" s="555"/>
      <c r="I477" s="555"/>
      <c r="J477" s="555"/>
      <c r="K477" s="555"/>
      <c r="L477" s="555"/>
      <c r="M477" s="555"/>
      <c r="N477" s="555"/>
      <c r="O477" s="555"/>
      <c r="P477" s="555"/>
      <c r="Q477" s="555"/>
      <c r="R477" s="555"/>
      <c r="S477" s="555"/>
      <c r="T477" s="555"/>
      <c r="U477" s="555"/>
      <c r="V477" s="555"/>
      <c r="W477" s="555"/>
      <c r="X477" s="555"/>
      <c r="Y477" s="555"/>
      <c r="Z477" s="555"/>
    </row>
    <row r="478">
      <c r="A478" s="555"/>
      <c r="B478" s="555"/>
      <c r="C478" s="555"/>
      <c r="D478" s="555"/>
      <c r="E478" s="555"/>
      <c r="F478" s="555"/>
      <c r="G478" s="555"/>
      <c r="H478" s="555"/>
      <c r="I478" s="555"/>
      <c r="J478" s="555"/>
      <c r="K478" s="555"/>
      <c r="L478" s="555"/>
      <c r="M478" s="555"/>
      <c r="N478" s="555"/>
      <c r="O478" s="555"/>
      <c r="P478" s="555"/>
      <c r="Q478" s="555"/>
      <c r="R478" s="555"/>
      <c r="S478" s="555"/>
      <c r="T478" s="555"/>
      <c r="U478" s="555"/>
      <c r="V478" s="555"/>
      <c r="W478" s="555"/>
      <c r="X478" s="555"/>
      <c r="Y478" s="555"/>
      <c r="Z478" s="555"/>
    </row>
    <row r="479">
      <c r="A479" s="555"/>
      <c r="B479" s="555"/>
      <c r="C479" s="555"/>
      <c r="D479" s="555"/>
      <c r="E479" s="555"/>
      <c r="F479" s="555"/>
      <c r="G479" s="555"/>
      <c r="H479" s="555"/>
      <c r="I479" s="555"/>
      <c r="J479" s="555"/>
      <c r="K479" s="555"/>
      <c r="L479" s="555"/>
      <c r="M479" s="555"/>
      <c r="N479" s="555"/>
      <c r="O479" s="555"/>
      <c r="P479" s="555"/>
      <c r="Q479" s="555"/>
      <c r="R479" s="555"/>
      <c r="S479" s="555"/>
      <c r="T479" s="555"/>
      <c r="U479" s="555"/>
      <c r="V479" s="555"/>
      <c r="W479" s="555"/>
      <c r="X479" s="555"/>
      <c r="Y479" s="555"/>
      <c r="Z479" s="555"/>
    </row>
    <row r="480">
      <c r="A480" s="555"/>
      <c r="B480" s="555"/>
      <c r="C480" s="555"/>
      <c r="D480" s="555"/>
      <c r="E480" s="555"/>
      <c r="F480" s="555"/>
      <c r="G480" s="555"/>
      <c r="H480" s="555"/>
      <c r="I480" s="555"/>
      <c r="J480" s="555"/>
      <c r="K480" s="555"/>
      <c r="L480" s="555"/>
      <c r="M480" s="555"/>
      <c r="N480" s="555"/>
      <c r="O480" s="555"/>
      <c r="P480" s="555"/>
      <c r="Q480" s="555"/>
      <c r="R480" s="555"/>
      <c r="S480" s="555"/>
      <c r="T480" s="555"/>
      <c r="U480" s="555"/>
      <c r="V480" s="555"/>
      <c r="W480" s="555"/>
      <c r="X480" s="555"/>
      <c r="Y480" s="555"/>
      <c r="Z480" s="555"/>
    </row>
    <row r="481">
      <c r="A481" s="555"/>
      <c r="B481" s="555"/>
      <c r="C481" s="555"/>
      <c r="D481" s="555"/>
      <c r="E481" s="555"/>
      <c r="F481" s="555"/>
      <c r="G481" s="555"/>
      <c r="H481" s="555"/>
      <c r="I481" s="555"/>
      <c r="J481" s="555"/>
      <c r="K481" s="555"/>
      <c r="L481" s="555"/>
      <c r="M481" s="555"/>
      <c r="N481" s="555"/>
      <c r="O481" s="555"/>
      <c r="P481" s="555"/>
      <c r="Q481" s="555"/>
      <c r="R481" s="555"/>
      <c r="S481" s="555"/>
      <c r="T481" s="555"/>
      <c r="U481" s="555"/>
      <c r="V481" s="555"/>
      <c r="W481" s="555"/>
      <c r="X481" s="555"/>
      <c r="Y481" s="555"/>
      <c r="Z481" s="555"/>
    </row>
    <row r="482">
      <c r="A482" s="555"/>
      <c r="B482" s="555"/>
      <c r="C482" s="555"/>
      <c r="D482" s="555"/>
      <c r="E482" s="555"/>
      <c r="F482" s="555"/>
      <c r="G482" s="555"/>
      <c r="H482" s="555"/>
      <c r="I482" s="555"/>
      <c r="J482" s="555"/>
      <c r="K482" s="555"/>
      <c r="L482" s="555"/>
      <c r="M482" s="555"/>
      <c r="N482" s="555"/>
      <c r="O482" s="555"/>
      <c r="P482" s="555"/>
      <c r="Q482" s="555"/>
      <c r="R482" s="555"/>
      <c r="S482" s="555"/>
      <c r="T482" s="555"/>
      <c r="U482" s="555"/>
      <c r="V482" s="555"/>
      <c r="W482" s="555"/>
      <c r="X482" s="555"/>
      <c r="Y482" s="555"/>
      <c r="Z482" s="555"/>
    </row>
    <row r="483">
      <c r="A483" s="555"/>
      <c r="B483" s="555"/>
      <c r="C483" s="555"/>
      <c r="D483" s="555"/>
      <c r="E483" s="555"/>
      <c r="F483" s="555"/>
      <c r="G483" s="555"/>
      <c r="H483" s="555"/>
      <c r="I483" s="555"/>
      <c r="J483" s="555"/>
      <c r="K483" s="555"/>
      <c r="L483" s="555"/>
      <c r="M483" s="555"/>
      <c r="N483" s="555"/>
      <c r="O483" s="555"/>
      <c r="P483" s="555"/>
      <c r="Q483" s="555"/>
      <c r="R483" s="555"/>
      <c r="S483" s="555"/>
      <c r="T483" s="555"/>
      <c r="U483" s="555"/>
      <c r="V483" s="555"/>
      <c r="W483" s="555"/>
      <c r="X483" s="555"/>
      <c r="Y483" s="555"/>
      <c r="Z483" s="555"/>
    </row>
    <row r="484">
      <c r="A484" s="555"/>
      <c r="B484" s="555"/>
      <c r="C484" s="555"/>
      <c r="D484" s="555"/>
      <c r="E484" s="555"/>
      <c r="F484" s="555"/>
      <c r="G484" s="555"/>
      <c r="H484" s="555"/>
      <c r="I484" s="555"/>
      <c r="J484" s="555"/>
      <c r="K484" s="555"/>
      <c r="L484" s="555"/>
      <c r="M484" s="555"/>
      <c r="N484" s="555"/>
      <c r="O484" s="555"/>
      <c r="P484" s="555"/>
      <c r="Q484" s="555"/>
      <c r="R484" s="555"/>
      <c r="S484" s="555"/>
      <c r="T484" s="555"/>
      <c r="U484" s="555"/>
      <c r="V484" s="555"/>
      <c r="W484" s="555"/>
      <c r="X484" s="555"/>
      <c r="Y484" s="555"/>
      <c r="Z484" s="555"/>
    </row>
    <row r="485">
      <c r="A485" s="555"/>
      <c r="B485" s="555"/>
      <c r="C485" s="555"/>
      <c r="D485" s="555"/>
      <c r="E485" s="555"/>
      <c r="F485" s="555"/>
      <c r="G485" s="555"/>
      <c r="H485" s="555"/>
      <c r="I485" s="555"/>
      <c r="J485" s="555"/>
      <c r="K485" s="555"/>
      <c r="L485" s="555"/>
      <c r="M485" s="555"/>
      <c r="N485" s="555"/>
      <c r="O485" s="555"/>
      <c r="P485" s="555"/>
      <c r="Q485" s="555"/>
      <c r="R485" s="555"/>
      <c r="S485" s="555"/>
      <c r="T485" s="555"/>
      <c r="U485" s="555"/>
      <c r="V485" s="555"/>
      <c r="W485" s="555"/>
      <c r="X485" s="555"/>
      <c r="Y485" s="555"/>
      <c r="Z485" s="555"/>
    </row>
    <row r="486">
      <c r="A486" s="555"/>
      <c r="B486" s="555"/>
      <c r="C486" s="555"/>
      <c r="D486" s="555"/>
      <c r="E486" s="555"/>
      <c r="F486" s="555"/>
      <c r="G486" s="555"/>
      <c r="H486" s="555"/>
      <c r="I486" s="555"/>
      <c r="J486" s="555"/>
      <c r="K486" s="555"/>
      <c r="L486" s="555"/>
      <c r="M486" s="555"/>
      <c r="N486" s="555"/>
      <c r="O486" s="555"/>
      <c r="P486" s="555"/>
      <c r="Q486" s="555"/>
      <c r="R486" s="555"/>
      <c r="S486" s="555"/>
      <c r="T486" s="555"/>
      <c r="U486" s="555"/>
      <c r="V486" s="555"/>
      <c r="W486" s="555"/>
      <c r="X486" s="555"/>
      <c r="Y486" s="555"/>
      <c r="Z486" s="555"/>
    </row>
    <row r="487">
      <c r="A487" s="555"/>
      <c r="B487" s="555"/>
      <c r="C487" s="555"/>
      <c r="D487" s="555"/>
      <c r="E487" s="555"/>
      <c r="F487" s="555"/>
      <c r="G487" s="555"/>
      <c r="H487" s="555"/>
      <c r="I487" s="555"/>
      <c r="J487" s="555"/>
      <c r="K487" s="555"/>
      <c r="L487" s="555"/>
      <c r="M487" s="555"/>
      <c r="N487" s="555"/>
      <c r="O487" s="555"/>
      <c r="P487" s="555"/>
      <c r="Q487" s="555"/>
      <c r="R487" s="555"/>
      <c r="S487" s="555"/>
      <c r="T487" s="555"/>
      <c r="U487" s="555"/>
      <c r="V487" s="555"/>
      <c r="W487" s="555"/>
      <c r="X487" s="555"/>
      <c r="Y487" s="555"/>
      <c r="Z487" s="555"/>
    </row>
    <row r="488">
      <c r="A488" s="555"/>
      <c r="B488" s="555"/>
      <c r="C488" s="555"/>
      <c r="D488" s="555"/>
      <c r="E488" s="555"/>
      <c r="F488" s="555"/>
      <c r="G488" s="555"/>
      <c r="H488" s="555"/>
      <c r="I488" s="555"/>
      <c r="J488" s="555"/>
      <c r="K488" s="555"/>
      <c r="L488" s="555"/>
      <c r="M488" s="555"/>
      <c r="N488" s="555"/>
      <c r="O488" s="555"/>
      <c r="P488" s="555"/>
      <c r="Q488" s="555"/>
      <c r="R488" s="555"/>
      <c r="S488" s="555"/>
      <c r="T488" s="555"/>
      <c r="U488" s="555"/>
      <c r="V488" s="555"/>
      <c r="W488" s="555"/>
      <c r="X488" s="555"/>
      <c r="Y488" s="555"/>
      <c r="Z488" s="555"/>
    </row>
    <row r="489">
      <c r="A489" s="555"/>
      <c r="B489" s="555"/>
      <c r="C489" s="555"/>
      <c r="D489" s="555"/>
      <c r="E489" s="555"/>
      <c r="F489" s="555"/>
      <c r="G489" s="555"/>
      <c r="H489" s="555"/>
      <c r="I489" s="555"/>
      <c r="J489" s="555"/>
      <c r="K489" s="555"/>
      <c r="L489" s="555"/>
      <c r="M489" s="555"/>
      <c r="N489" s="555"/>
      <c r="O489" s="555"/>
      <c r="P489" s="555"/>
      <c r="Q489" s="555"/>
      <c r="R489" s="555"/>
      <c r="S489" s="555"/>
      <c r="T489" s="555"/>
      <c r="U489" s="555"/>
      <c r="V489" s="555"/>
      <c r="W489" s="555"/>
      <c r="X489" s="555"/>
      <c r="Y489" s="555"/>
      <c r="Z489" s="555"/>
    </row>
    <row r="490">
      <c r="A490" s="555"/>
      <c r="B490" s="555"/>
      <c r="C490" s="555"/>
      <c r="D490" s="555"/>
      <c r="E490" s="555"/>
      <c r="F490" s="555"/>
      <c r="G490" s="555"/>
      <c r="H490" s="555"/>
      <c r="I490" s="555"/>
      <c r="J490" s="555"/>
      <c r="K490" s="555"/>
      <c r="L490" s="555"/>
      <c r="M490" s="555"/>
      <c r="N490" s="555"/>
      <c r="O490" s="555"/>
      <c r="P490" s="555"/>
      <c r="Q490" s="555"/>
      <c r="R490" s="555"/>
      <c r="S490" s="555"/>
      <c r="T490" s="555"/>
      <c r="U490" s="555"/>
      <c r="V490" s="555"/>
      <c r="W490" s="555"/>
      <c r="X490" s="555"/>
      <c r="Y490" s="555"/>
      <c r="Z490" s="555"/>
    </row>
    <row r="491">
      <c r="A491" s="555"/>
      <c r="B491" s="555"/>
      <c r="C491" s="555"/>
      <c r="D491" s="555"/>
      <c r="E491" s="555"/>
      <c r="F491" s="555"/>
      <c r="G491" s="555"/>
      <c r="H491" s="555"/>
      <c r="I491" s="555"/>
      <c r="J491" s="555"/>
      <c r="K491" s="555"/>
      <c r="L491" s="555"/>
      <c r="M491" s="555"/>
      <c r="N491" s="555"/>
      <c r="O491" s="555"/>
      <c r="P491" s="555"/>
      <c r="Q491" s="555"/>
      <c r="R491" s="555"/>
      <c r="S491" s="555"/>
      <c r="T491" s="555"/>
      <c r="U491" s="555"/>
      <c r="V491" s="555"/>
      <c r="W491" s="555"/>
      <c r="X491" s="555"/>
      <c r="Y491" s="555"/>
      <c r="Z491" s="555"/>
    </row>
    <row r="492">
      <c r="A492" s="555"/>
      <c r="B492" s="555"/>
      <c r="C492" s="555"/>
      <c r="D492" s="555"/>
      <c r="E492" s="555"/>
      <c r="F492" s="555"/>
      <c r="G492" s="555"/>
      <c r="H492" s="555"/>
      <c r="I492" s="555"/>
      <c r="J492" s="555"/>
      <c r="K492" s="555"/>
      <c r="L492" s="555"/>
      <c r="M492" s="555"/>
      <c r="N492" s="555"/>
      <c r="O492" s="555"/>
      <c r="P492" s="555"/>
      <c r="Q492" s="555"/>
      <c r="R492" s="555"/>
      <c r="S492" s="555"/>
      <c r="T492" s="555"/>
      <c r="U492" s="555"/>
      <c r="V492" s="555"/>
      <c r="W492" s="555"/>
      <c r="X492" s="555"/>
      <c r="Y492" s="555"/>
      <c r="Z492" s="555"/>
    </row>
    <row r="493">
      <c r="A493" s="555"/>
      <c r="B493" s="555"/>
      <c r="C493" s="555"/>
      <c r="D493" s="555"/>
      <c r="E493" s="555"/>
      <c r="F493" s="555"/>
      <c r="G493" s="555"/>
      <c r="H493" s="555"/>
      <c r="I493" s="555"/>
      <c r="J493" s="555"/>
      <c r="K493" s="555"/>
      <c r="L493" s="555"/>
      <c r="M493" s="555"/>
      <c r="N493" s="555"/>
      <c r="O493" s="555"/>
      <c r="P493" s="555"/>
      <c r="Q493" s="555"/>
      <c r="R493" s="555"/>
      <c r="S493" s="555"/>
      <c r="T493" s="555"/>
      <c r="U493" s="555"/>
      <c r="V493" s="555"/>
      <c r="W493" s="555"/>
      <c r="X493" s="555"/>
      <c r="Y493" s="555"/>
      <c r="Z493" s="555"/>
    </row>
    <row r="494">
      <c r="A494" s="555"/>
      <c r="B494" s="555"/>
      <c r="C494" s="555"/>
      <c r="D494" s="555"/>
      <c r="E494" s="555"/>
      <c r="F494" s="555"/>
      <c r="G494" s="555"/>
      <c r="H494" s="555"/>
      <c r="I494" s="555"/>
      <c r="J494" s="555"/>
      <c r="K494" s="555"/>
      <c r="L494" s="555"/>
      <c r="M494" s="555"/>
      <c r="N494" s="555"/>
      <c r="O494" s="555"/>
      <c r="P494" s="555"/>
      <c r="Q494" s="555"/>
      <c r="R494" s="555"/>
      <c r="S494" s="555"/>
      <c r="T494" s="555"/>
      <c r="U494" s="555"/>
      <c r="V494" s="555"/>
      <c r="W494" s="555"/>
      <c r="X494" s="555"/>
      <c r="Y494" s="555"/>
      <c r="Z494" s="555"/>
    </row>
    <row r="495">
      <c r="A495" s="555"/>
      <c r="B495" s="555"/>
      <c r="C495" s="555"/>
      <c r="D495" s="555"/>
      <c r="E495" s="555"/>
      <c r="F495" s="555"/>
      <c r="G495" s="555"/>
      <c r="H495" s="555"/>
      <c r="I495" s="555"/>
      <c r="J495" s="555"/>
      <c r="K495" s="555"/>
      <c r="L495" s="555"/>
      <c r="M495" s="555"/>
      <c r="N495" s="555"/>
      <c r="O495" s="555"/>
      <c r="P495" s="555"/>
      <c r="Q495" s="555"/>
      <c r="R495" s="555"/>
      <c r="S495" s="555"/>
      <c r="T495" s="555"/>
      <c r="U495" s="555"/>
      <c r="V495" s="555"/>
      <c r="W495" s="555"/>
      <c r="X495" s="555"/>
      <c r="Y495" s="555"/>
      <c r="Z495" s="555"/>
    </row>
    <row r="496">
      <c r="A496" s="555"/>
      <c r="B496" s="555"/>
      <c r="C496" s="555"/>
      <c r="D496" s="555"/>
      <c r="E496" s="555"/>
      <c r="F496" s="555"/>
      <c r="G496" s="555"/>
      <c r="H496" s="555"/>
      <c r="I496" s="555"/>
      <c r="J496" s="555"/>
      <c r="K496" s="555"/>
      <c r="L496" s="555"/>
      <c r="M496" s="555"/>
      <c r="N496" s="555"/>
      <c r="O496" s="555"/>
      <c r="P496" s="555"/>
      <c r="Q496" s="555"/>
      <c r="R496" s="555"/>
      <c r="S496" s="555"/>
      <c r="T496" s="555"/>
      <c r="U496" s="555"/>
      <c r="V496" s="555"/>
      <c r="W496" s="555"/>
      <c r="X496" s="555"/>
      <c r="Y496" s="555"/>
      <c r="Z496" s="555"/>
    </row>
    <row r="497">
      <c r="A497" s="555"/>
      <c r="B497" s="555"/>
      <c r="C497" s="555"/>
      <c r="D497" s="555"/>
      <c r="E497" s="555"/>
      <c r="F497" s="555"/>
      <c r="G497" s="555"/>
      <c r="H497" s="555"/>
      <c r="I497" s="555"/>
      <c r="J497" s="555"/>
      <c r="K497" s="555"/>
      <c r="L497" s="555"/>
      <c r="M497" s="555"/>
      <c r="N497" s="555"/>
      <c r="O497" s="555"/>
      <c r="P497" s="555"/>
      <c r="Q497" s="555"/>
      <c r="R497" s="555"/>
      <c r="S497" s="555"/>
      <c r="T497" s="555"/>
      <c r="U497" s="555"/>
      <c r="V497" s="555"/>
      <c r="W497" s="555"/>
      <c r="X497" s="555"/>
      <c r="Y497" s="555"/>
      <c r="Z497" s="555"/>
    </row>
    <row r="498">
      <c r="A498" s="555"/>
      <c r="B498" s="555"/>
      <c r="C498" s="555"/>
      <c r="D498" s="555"/>
      <c r="E498" s="555"/>
      <c r="F498" s="555"/>
      <c r="G498" s="555"/>
      <c r="H498" s="555"/>
      <c r="I498" s="555"/>
      <c r="J498" s="555"/>
      <c r="K498" s="555"/>
      <c r="L498" s="555"/>
      <c r="M498" s="555"/>
      <c r="N498" s="555"/>
      <c r="O498" s="555"/>
      <c r="P498" s="555"/>
      <c r="Q498" s="555"/>
      <c r="R498" s="555"/>
      <c r="S498" s="555"/>
      <c r="T498" s="555"/>
      <c r="U498" s="555"/>
      <c r="V498" s="555"/>
      <c r="W498" s="555"/>
      <c r="X498" s="555"/>
      <c r="Y498" s="555"/>
      <c r="Z498" s="555"/>
    </row>
    <row r="499">
      <c r="A499" s="555"/>
      <c r="B499" s="555"/>
      <c r="C499" s="555"/>
      <c r="D499" s="555"/>
      <c r="E499" s="555"/>
      <c r="F499" s="555"/>
      <c r="G499" s="555"/>
      <c r="H499" s="555"/>
      <c r="I499" s="555"/>
      <c r="J499" s="555"/>
      <c r="K499" s="555"/>
      <c r="L499" s="555"/>
      <c r="M499" s="555"/>
      <c r="N499" s="555"/>
      <c r="O499" s="555"/>
      <c r="P499" s="555"/>
      <c r="Q499" s="555"/>
      <c r="R499" s="555"/>
      <c r="S499" s="555"/>
      <c r="T499" s="555"/>
      <c r="U499" s="555"/>
      <c r="V499" s="555"/>
      <c r="W499" s="555"/>
      <c r="X499" s="555"/>
      <c r="Y499" s="555"/>
      <c r="Z499" s="555"/>
    </row>
    <row r="500">
      <c r="A500" s="555"/>
      <c r="B500" s="555"/>
      <c r="C500" s="555"/>
      <c r="D500" s="555"/>
      <c r="E500" s="555"/>
      <c r="F500" s="555"/>
      <c r="G500" s="555"/>
      <c r="H500" s="555"/>
      <c r="I500" s="555"/>
      <c r="J500" s="555"/>
      <c r="K500" s="555"/>
      <c r="L500" s="555"/>
      <c r="M500" s="555"/>
      <c r="N500" s="555"/>
      <c r="O500" s="555"/>
      <c r="P500" s="555"/>
      <c r="Q500" s="555"/>
      <c r="R500" s="555"/>
      <c r="S500" s="555"/>
      <c r="T500" s="555"/>
      <c r="U500" s="555"/>
      <c r="V500" s="555"/>
      <c r="W500" s="555"/>
      <c r="X500" s="555"/>
      <c r="Y500" s="555"/>
      <c r="Z500" s="555"/>
    </row>
    <row r="501">
      <c r="A501" s="555"/>
      <c r="B501" s="555"/>
      <c r="C501" s="555"/>
      <c r="D501" s="555"/>
      <c r="E501" s="555"/>
      <c r="F501" s="555"/>
      <c r="G501" s="555"/>
      <c r="H501" s="555"/>
      <c r="I501" s="555"/>
      <c r="J501" s="555"/>
      <c r="K501" s="555"/>
      <c r="L501" s="555"/>
      <c r="M501" s="555"/>
      <c r="N501" s="555"/>
      <c r="O501" s="555"/>
      <c r="P501" s="555"/>
      <c r="Q501" s="555"/>
      <c r="R501" s="555"/>
      <c r="S501" s="555"/>
      <c r="T501" s="555"/>
      <c r="U501" s="555"/>
      <c r="V501" s="555"/>
      <c r="W501" s="555"/>
      <c r="X501" s="555"/>
      <c r="Y501" s="555"/>
      <c r="Z501" s="555"/>
    </row>
    <row r="502">
      <c r="A502" s="555"/>
      <c r="B502" s="555"/>
      <c r="C502" s="555"/>
      <c r="D502" s="555"/>
      <c r="E502" s="555"/>
      <c r="F502" s="555"/>
      <c r="G502" s="555"/>
      <c r="H502" s="555"/>
      <c r="I502" s="555"/>
      <c r="J502" s="555"/>
      <c r="K502" s="555"/>
      <c r="L502" s="555"/>
      <c r="M502" s="555"/>
      <c r="N502" s="555"/>
      <c r="O502" s="555"/>
      <c r="P502" s="555"/>
      <c r="Q502" s="555"/>
      <c r="R502" s="555"/>
      <c r="S502" s="555"/>
      <c r="T502" s="555"/>
      <c r="U502" s="555"/>
      <c r="V502" s="555"/>
      <c r="W502" s="555"/>
      <c r="X502" s="555"/>
      <c r="Y502" s="555"/>
      <c r="Z502" s="555"/>
    </row>
    <row r="503">
      <c r="A503" s="555"/>
      <c r="B503" s="555"/>
      <c r="C503" s="555"/>
      <c r="D503" s="555"/>
      <c r="E503" s="555"/>
      <c r="F503" s="555"/>
      <c r="G503" s="555"/>
      <c r="H503" s="555"/>
      <c r="I503" s="555"/>
      <c r="J503" s="555"/>
      <c r="K503" s="555"/>
      <c r="L503" s="555"/>
      <c r="M503" s="555"/>
      <c r="N503" s="555"/>
      <c r="O503" s="555"/>
      <c r="P503" s="555"/>
      <c r="Q503" s="555"/>
      <c r="R503" s="555"/>
      <c r="S503" s="555"/>
      <c r="T503" s="555"/>
      <c r="U503" s="555"/>
      <c r="V503" s="555"/>
      <c r="W503" s="555"/>
      <c r="X503" s="555"/>
      <c r="Y503" s="555"/>
      <c r="Z503" s="555"/>
    </row>
    <row r="504">
      <c r="A504" s="555"/>
      <c r="B504" s="555"/>
      <c r="C504" s="555"/>
      <c r="D504" s="555"/>
      <c r="E504" s="555"/>
      <c r="F504" s="555"/>
      <c r="G504" s="555"/>
      <c r="H504" s="555"/>
      <c r="I504" s="555"/>
      <c r="J504" s="555"/>
      <c r="K504" s="555"/>
      <c r="L504" s="555"/>
      <c r="M504" s="555"/>
      <c r="N504" s="555"/>
      <c r="O504" s="555"/>
      <c r="P504" s="555"/>
      <c r="Q504" s="555"/>
      <c r="R504" s="555"/>
      <c r="S504" s="555"/>
      <c r="T504" s="555"/>
      <c r="U504" s="555"/>
      <c r="V504" s="555"/>
      <c r="W504" s="555"/>
      <c r="X504" s="555"/>
      <c r="Y504" s="555"/>
      <c r="Z504" s="555"/>
    </row>
    <row r="505">
      <c r="A505" s="555"/>
      <c r="B505" s="555"/>
      <c r="C505" s="555"/>
      <c r="D505" s="555"/>
      <c r="E505" s="555"/>
      <c r="F505" s="555"/>
      <c r="G505" s="555"/>
      <c r="H505" s="555"/>
      <c r="I505" s="555"/>
      <c r="J505" s="555"/>
      <c r="K505" s="555"/>
      <c r="L505" s="555"/>
      <c r="M505" s="555"/>
      <c r="N505" s="555"/>
      <c r="O505" s="555"/>
      <c r="P505" s="555"/>
      <c r="Q505" s="555"/>
      <c r="R505" s="555"/>
      <c r="S505" s="555"/>
      <c r="T505" s="555"/>
      <c r="U505" s="555"/>
      <c r="V505" s="555"/>
      <c r="W505" s="555"/>
      <c r="X505" s="555"/>
      <c r="Y505" s="555"/>
      <c r="Z505" s="555"/>
    </row>
    <row r="506">
      <c r="A506" s="555"/>
      <c r="B506" s="555"/>
      <c r="C506" s="555"/>
      <c r="D506" s="555"/>
      <c r="E506" s="555"/>
      <c r="F506" s="555"/>
      <c r="G506" s="555"/>
      <c r="H506" s="555"/>
      <c r="I506" s="555"/>
      <c r="J506" s="555"/>
      <c r="K506" s="555"/>
      <c r="L506" s="555"/>
      <c r="M506" s="555"/>
      <c r="N506" s="555"/>
      <c r="O506" s="555"/>
      <c r="P506" s="555"/>
      <c r="Q506" s="555"/>
      <c r="R506" s="555"/>
      <c r="S506" s="555"/>
      <c r="T506" s="555"/>
      <c r="U506" s="555"/>
      <c r="V506" s="555"/>
      <c r="W506" s="555"/>
      <c r="X506" s="555"/>
      <c r="Y506" s="555"/>
      <c r="Z506" s="555"/>
    </row>
    <row r="507">
      <c r="A507" s="555"/>
      <c r="B507" s="555"/>
      <c r="C507" s="555"/>
      <c r="D507" s="555"/>
      <c r="E507" s="555"/>
      <c r="F507" s="555"/>
      <c r="G507" s="555"/>
      <c r="H507" s="555"/>
      <c r="I507" s="555"/>
      <c r="J507" s="555"/>
      <c r="K507" s="555"/>
      <c r="L507" s="555"/>
      <c r="M507" s="555"/>
      <c r="N507" s="555"/>
      <c r="O507" s="555"/>
      <c r="P507" s="555"/>
      <c r="Q507" s="555"/>
      <c r="R507" s="555"/>
      <c r="S507" s="555"/>
      <c r="T507" s="555"/>
      <c r="U507" s="555"/>
      <c r="V507" s="555"/>
      <c r="W507" s="555"/>
      <c r="X507" s="555"/>
      <c r="Y507" s="555"/>
      <c r="Z507" s="555"/>
    </row>
    <row r="508">
      <c r="A508" s="555"/>
      <c r="B508" s="555"/>
      <c r="C508" s="555"/>
      <c r="D508" s="555"/>
      <c r="E508" s="555"/>
      <c r="F508" s="555"/>
      <c r="G508" s="555"/>
      <c r="H508" s="555"/>
      <c r="I508" s="555"/>
      <c r="J508" s="555"/>
      <c r="K508" s="555"/>
      <c r="L508" s="555"/>
      <c r="M508" s="555"/>
      <c r="N508" s="555"/>
      <c r="O508" s="555"/>
      <c r="P508" s="555"/>
      <c r="Q508" s="555"/>
      <c r="R508" s="555"/>
      <c r="S508" s="555"/>
      <c r="T508" s="555"/>
      <c r="U508" s="555"/>
      <c r="V508" s="555"/>
      <c r="W508" s="555"/>
      <c r="X508" s="555"/>
      <c r="Y508" s="555"/>
      <c r="Z508" s="555"/>
    </row>
    <row r="509">
      <c r="A509" s="555"/>
      <c r="B509" s="555"/>
      <c r="C509" s="555"/>
      <c r="D509" s="555"/>
      <c r="E509" s="555"/>
      <c r="F509" s="555"/>
      <c r="G509" s="555"/>
      <c r="H509" s="555"/>
      <c r="I509" s="555"/>
      <c r="J509" s="555"/>
      <c r="K509" s="555"/>
      <c r="L509" s="555"/>
      <c r="M509" s="555"/>
      <c r="N509" s="555"/>
      <c r="O509" s="555"/>
      <c r="P509" s="555"/>
      <c r="Q509" s="555"/>
      <c r="R509" s="555"/>
      <c r="S509" s="555"/>
      <c r="T509" s="555"/>
      <c r="U509" s="555"/>
      <c r="V509" s="555"/>
      <c r="W509" s="555"/>
      <c r="X509" s="555"/>
      <c r="Y509" s="555"/>
      <c r="Z509" s="555"/>
    </row>
    <row r="510">
      <c r="A510" s="555"/>
      <c r="B510" s="555"/>
      <c r="C510" s="555"/>
      <c r="D510" s="555"/>
      <c r="E510" s="555"/>
      <c r="F510" s="555"/>
      <c r="G510" s="555"/>
      <c r="H510" s="555"/>
      <c r="I510" s="555"/>
      <c r="J510" s="555"/>
      <c r="K510" s="555"/>
      <c r="L510" s="555"/>
      <c r="M510" s="555"/>
      <c r="N510" s="555"/>
      <c r="O510" s="555"/>
      <c r="P510" s="555"/>
      <c r="Q510" s="555"/>
      <c r="R510" s="555"/>
      <c r="S510" s="555"/>
      <c r="T510" s="555"/>
      <c r="U510" s="555"/>
      <c r="V510" s="555"/>
      <c r="W510" s="555"/>
      <c r="X510" s="555"/>
      <c r="Y510" s="555"/>
      <c r="Z510" s="555"/>
    </row>
    <row r="511">
      <c r="A511" s="555"/>
      <c r="B511" s="555"/>
      <c r="C511" s="555"/>
      <c r="D511" s="555"/>
      <c r="E511" s="555"/>
      <c r="F511" s="555"/>
      <c r="G511" s="555"/>
      <c r="H511" s="555"/>
      <c r="I511" s="555"/>
      <c r="J511" s="555"/>
      <c r="K511" s="555"/>
      <c r="L511" s="555"/>
      <c r="M511" s="555"/>
      <c r="N511" s="555"/>
      <c r="O511" s="555"/>
      <c r="P511" s="555"/>
      <c r="Q511" s="555"/>
      <c r="R511" s="555"/>
      <c r="S511" s="555"/>
      <c r="T511" s="555"/>
      <c r="U511" s="555"/>
      <c r="V511" s="555"/>
      <c r="W511" s="555"/>
      <c r="X511" s="555"/>
      <c r="Y511" s="555"/>
      <c r="Z511" s="555"/>
    </row>
    <row r="512">
      <c r="A512" s="555"/>
      <c r="B512" s="555"/>
      <c r="C512" s="555"/>
      <c r="D512" s="555"/>
      <c r="E512" s="555"/>
      <c r="F512" s="555"/>
      <c r="G512" s="555"/>
      <c r="H512" s="555"/>
      <c r="I512" s="555"/>
      <c r="J512" s="555"/>
      <c r="K512" s="555"/>
      <c r="L512" s="555"/>
      <c r="M512" s="555"/>
      <c r="N512" s="555"/>
      <c r="O512" s="555"/>
      <c r="P512" s="555"/>
      <c r="Q512" s="555"/>
      <c r="R512" s="555"/>
      <c r="S512" s="555"/>
      <c r="T512" s="555"/>
      <c r="U512" s="555"/>
      <c r="V512" s="555"/>
      <c r="W512" s="555"/>
      <c r="X512" s="555"/>
      <c r="Y512" s="555"/>
      <c r="Z512" s="555"/>
    </row>
    <row r="513">
      <c r="A513" s="555"/>
      <c r="B513" s="555"/>
      <c r="C513" s="555"/>
      <c r="D513" s="555"/>
      <c r="E513" s="555"/>
      <c r="F513" s="555"/>
      <c r="G513" s="555"/>
      <c r="H513" s="555"/>
      <c r="I513" s="555"/>
      <c r="J513" s="555"/>
      <c r="K513" s="555"/>
      <c r="L513" s="555"/>
      <c r="M513" s="555"/>
      <c r="N513" s="555"/>
      <c r="O513" s="555"/>
      <c r="P513" s="555"/>
      <c r="Q513" s="555"/>
      <c r="R513" s="555"/>
      <c r="S513" s="555"/>
      <c r="T513" s="555"/>
      <c r="U513" s="555"/>
      <c r="V513" s="555"/>
      <c r="W513" s="555"/>
      <c r="X513" s="555"/>
      <c r="Y513" s="555"/>
      <c r="Z513" s="555"/>
    </row>
    <row r="514">
      <c r="A514" s="555"/>
      <c r="B514" s="555"/>
      <c r="C514" s="555"/>
      <c r="D514" s="555"/>
      <c r="E514" s="555"/>
      <c r="F514" s="555"/>
      <c r="G514" s="555"/>
      <c r="H514" s="555"/>
      <c r="I514" s="555"/>
      <c r="J514" s="555"/>
      <c r="K514" s="555"/>
      <c r="L514" s="555"/>
      <c r="M514" s="555"/>
      <c r="N514" s="555"/>
      <c r="O514" s="555"/>
      <c r="P514" s="555"/>
      <c r="Q514" s="555"/>
      <c r="R514" s="555"/>
      <c r="S514" s="555"/>
      <c r="T514" s="555"/>
      <c r="U514" s="555"/>
      <c r="V514" s="555"/>
      <c r="W514" s="555"/>
      <c r="X514" s="555"/>
      <c r="Y514" s="555"/>
      <c r="Z514" s="555"/>
    </row>
    <row r="515">
      <c r="A515" s="555"/>
      <c r="B515" s="555"/>
      <c r="C515" s="555"/>
      <c r="D515" s="555"/>
      <c r="E515" s="555"/>
      <c r="F515" s="555"/>
      <c r="G515" s="555"/>
      <c r="H515" s="555"/>
      <c r="I515" s="555"/>
      <c r="J515" s="555"/>
      <c r="K515" s="555"/>
      <c r="L515" s="555"/>
      <c r="M515" s="555"/>
      <c r="N515" s="555"/>
      <c r="O515" s="555"/>
      <c r="P515" s="555"/>
      <c r="Q515" s="555"/>
      <c r="R515" s="555"/>
      <c r="S515" s="555"/>
      <c r="T515" s="555"/>
      <c r="U515" s="555"/>
      <c r="V515" s="555"/>
      <c r="W515" s="555"/>
      <c r="X515" s="555"/>
      <c r="Y515" s="555"/>
      <c r="Z515" s="555"/>
    </row>
    <row r="516">
      <c r="A516" s="555"/>
      <c r="B516" s="555"/>
      <c r="C516" s="555"/>
      <c r="D516" s="555"/>
      <c r="E516" s="555"/>
      <c r="F516" s="555"/>
      <c r="G516" s="555"/>
      <c r="H516" s="555"/>
      <c r="I516" s="555"/>
      <c r="J516" s="555"/>
      <c r="K516" s="555"/>
      <c r="L516" s="555"/>
      <c r="M516" s="555"/>
      <c r="N516" s="555"/>
      <c r="O516" s="555"/>
      <c r="P516" s="555"/>
      <c r="Q516" s="555"/>
      <c r="R516" s="555"/>
      <c r="S516" s="555"/>
      <c r="T516" s="555"/>
      <c r="U516" s="555"/>
      <c r="V516" s="555"/>
      <c r="W516" s="555"/>
      <c r="X516" s="555"/>
      <c r="Y516" s="555"/>
      <c r="Z516" s="555"/>
    </row>
    <row r="517">
      <c r="A517" s="555"/>
      <c r="B517" s="555"/>
      <c r="C517" s="555"/>
      <c r="D517" s="555"/>
      <c r="E517" s="555"/>
      <c r="F517" s="555"/>
      <c r="G517" s="555"/>
      <c r="H517" s="555"/>
      <c r="I517" s="555"/>
      <c r="J517" s="555"/>
      <c r="K517" s="555"/>
      <c r="L517" s="555"/>
      <c r="M517" s="555"/>
      <c r="N517" s="555"/>
      <c r="O517" s="555"/>
      <c r="P517" s="555"/>
      <c r="Q517" s="555"/>
      <c r="R517" s="555"/>
      <c r="S517" s="555"/>
      <c r="T517" s="555"/>
      <c r="U517" s="555"/>
      <c r="V517" s="555"/>
      <c r="W517" s="555"/>
      <c r="X517" s="555"/>
      <c r="Y517" s="555"/>
      <c r="Z517" s="555"/>
    </row>
    <row r="518">
      <c r="A518" s="555"/>
      <c r="B518" s="555"/>
      <c r="C518" s="555"/>
      <c r="D518" s="555"/>
      <c r="E518" s="555"/>
      <c r="F518" s="555"/>
      <c r="G518" s="555"/>
      <c r="H518" s="555"/>
      <c r="I518" s="555"/>
      <c r="J518" s="555"/>
      <c r="K518" s="555"/>
      <c r="L518" s="555"/>
      <c r="M518" s="555"/>
      <c r="N518" s="555"/>
      <c r="O518" s="555"/>
      <c r="P518" s="555"/>
      <c r="Q518" s="555"/>
      <c r="R518" s="555"/>
      <c r="S518" s="555"/>
      <c r="T518" s="555"/>
      <c r="U518" s="555"/>
      <c r="V518" s="555"/>
      <c r="W518" s="555"/>
      <c r="X518" s="555"/>
      <c r="Y518" s="555"/>
      <c r="Z518" s="555"/>
    </row>
    <row r="519">
      <c r="A519" s="555"/>
      <c r="B519" s="555"/>
      <c r="C519" s="555"/>
      <c r="D519" s="555"/>
      <c r="E519" s="555"/>
      <c r="F519" s="555"/>
      <c r="G519" s="555"/>
      <c r="H519" s="555"/>
      <c r="I519" s="555"/>
      <c r="J519" s="555"/>
      <c r="K519" s="555"/>
      <c r="L519" s="555"/>
      <c r="M519" s="555"/>
      <c r="N519" s="555"/>
      <c r="O519" s="555"/>
      <c r="P519" s="555"/>
      <c r="Q519" s="555"/>
      <c r="R519" s="555"/>
      <c r="S519" s="555"/>
      <c r="T519" s="555"/>
      <c r="U519" s="555"/>
      <c r="V519" s="555"/>
      <c r="W519" s="555"/>
      <c r="X519" s="555"/>
      <c r="Y519" s="555"/>
      <c r="Z519" s="555"/>
    </row>
    <row r="520">
      <c r="A520" s="555"/>
      <c r="B520" s="555"/>
      <c r="C520" s="555"/>
      <c r="D520" s="555"/>
      <c r="E520" s="555"/>
      <c r="F520" s="555"/>
      <c r="G520" s="555"/>
      <c r="H520" s="555"/>
      <c r="I520" s="555"/>
      <c r="J520" s="555"/>
      <c r="K520" s="555"/>
      <c r="L520" s="555"/>
      <c r="M520" s="555"/>
      <c r="N520" s="555"/>
      <c r="O520" s="555"/>
      <c r="P520" s="555"/>
      <c r="Q520" s="555"/>
      <c r="R520" s="555"/>
      <c r="S520" s="555"/>
      <c r="T520" s="555"/>
      <c r="U520" s="555"/>
      <c r="V520" s="555"/>
      <c r="W520" s="555"/>
      <c r="X520" s="555"/>
      <c r="Y520" s="555"/>
      <c r="Z520" s="555"/>
    </row>
    <row r="521">
      <c r="A521" s="555"/>
      <c r="B521" s="555"/>
      <c r="C521" s="555"/>
      <c r="D521" s="555"/>
      <c r="E521" s="555"/>
      <c r="F521" s="555"/>
      <c r="G521" s="555"/>
      <c r="H521" s="555"/>
      <c r="I521" s="555"/>
      <c r="J521" s="555"/>
      <c r="K521" s="555"/>
      <c r="L521" s="555"/>
      <c r="M521" s="555"/>
      <c r="N521" s="555"/>
      <c r="O521" s="555"/>
      <c r="P521" s="555"/>
      <c r="Q521" s="555"/>
      <c r="R521" s="555"/>
      <c r="S521" s="555"/>
      <c r="T521" s="555"/>
      <c r="U521" s="555"/>
      <c r="V521" s="555"/>
      <c r="W521" s="555"/>
      <c r="X521" s="555"/>
      <c r="Y521" s="555"/>
      <c r="Z521" s="555"/>
    </row>
    <row r="522">
      <c r="A522" s="555"/>
      <c r="B522" s="555"/>
      <c r="C522" s="555"/>
      <c r="D522" s="555"/>
      <c r="E522" s="555"/>
      <c r="F522" s="555"/>
      <c r="G522" s="555"/>
      <c r="H522" s="555"/>
      <c r="I522" s="555"/>
      <c r="J522" s="555"/>
      <c r="K522" s="555"/>
      <c r="L522" s="555"/>
      <c r="M522" s="555"/>
      <c r="N522" s="555"/>
      <c r="O522" s="555"/>
      <c r="P522" s="555"/>
      <c r="Q522" s="555"/>
      <c r="R522" s="555"/>
      <c r="S522" s="555"/>
      <c r="T522" s="555"/>
      <c r="U522" s="555"/>
      <c r="V522" s="555"/>
      <c r="W522" s="555"/>
      <c r="X522" s="555"/>
      <c r="Y522" s="555"/>
      <c r="Z522" s="555"/>
    </row>
    <row r="523">
      <c r="A523" s="555"/>
      <c r="B523" s="555"/>
      <c r="C523" s="555"/>
      <c r="D523" s="555"/>
      <c r="E523" s="555"/>
      <c r="F523" s="555"/>
      <c r="G523" s="555"/>
      <c r="H523" s="555"/>
      <c r="I523" s="555"/>
      <c r="J523" s="555"/>
      <c r="K523" s="555"/>
      <c r="L523" s="555"/>
      <c r="M523" s="555"/>
      <c r="N523" s="555"/>
      <c r="O523" s="555"/>
      <c r="P523" s="555"/>
      <c r="Q523" s="555"/>
      <c r="R523" s="555"/>
      <c r="S523" s="555"/>
      <c r="T523" s="555"/>
      <c r="U523" s="555"/>
      <c r="V523" s="555"/>
      <c r="W523" s="555"/>
      <c r="X523" s="555"/>
      <c r="Y523" s="555"/>
      <c r="Z523" s="555"/>
    </row>
    <row r="524">
      <c r="A524" s="555"/>
      <c r="B524" s="555"/>
      <c r="C524" s="555"/>
      <c r="D524" s="555"/>
      <c r="E524" s="555"/>
      <c r="F524" s="555"/>
      <c r="G524" s="555"/>
      <c r="H524" s="555"/>
      <c r="I524" s="555"/>
      <c r="J524" s="555"/>
      <c r="K524" s="555"/>
      <c r="L524" s="555"/>
      <c r="M524" s="555"/>
      <c r="N524" s="555"/>
      <c r="O524" s="555"/>
      <c r="P524" s="555"/>
      <c r="Q524" s="555"/>
      <c r="R524" s="555"/>
      <c r="S524" s="555"/>
      <c r="T524" s="555"/>
      <c r="U524" s="555"/>
      <c r="V524" s="555"/>
      <c r="W524" s="555"/>
      <c r="X524" s="555"/>
      <c r="Y524" s="555"/>
      <c r="Z524" s="555"/>
    </row>
    <row r="525">
      <c r="A525" s="555"/>
      <c r="B525" s="555"/>
      <c r="C525" s="555"/>
      <c r="D525" s="555"/>
      <c r="E525" s="555"/>
      <c r="F525" s="555"/>
      <c r="G525" s="555"/>
      <c r="H525" s="555"/>
      <c r="I525" s="555"/>
      <c r="J525" s="555"/>
      <c r="K525" s="555"/>
      <c r="L525" s="555"/>
      <c r="M525" s="555"/>
      <c r="N525" s="555"/>
      <c r="O525" s="555"/>
      <c r="P525" s="555"/>
      <c r="Q525" s="555"/>
      <c r="R525" s="555"/>
      <c r="S525" s="555"/>
      <c r="T525" s="555"/>
      <c r="U525" s="555"/>
      <c r="V525" s="555"/>
      <c r="W525" s="555"/>
      <c r="X525" s="555"/>
      <c r="Y525" s="555"/>
      <c r="Z525" s="555"/>
    </row>
    <row r="526">
      <c r="A526" s="555"/>
      <c r="B526" s="555"/>
      <c r="C526" s="555"/>
      <c r="D526" s="555"/>
      <c r="E526" s="555"/>
      <c r="F526" s="555"/>
      <c r="G526" s="555"/>
      <c r="H526" s="555"/>
      <c r="I526" s="555"/>
      <c r="J526" s="555"/>
      <c r="K526" s="555"/>
      <c r="L526" s="555"/>
      <c r="M526" s="555"/>
      <c r="N526" s="555"/>
      <c r="O526" s="555"/>
      <c r="P526" s="555"/>
      <c r="Q526" s="555"/>
      <c r="R526" s="555"/>
      <c r="S526" s="555"/>
      <c r="T526" s="555"/>
      <c r="U526" s="555"/>
      <c r="V526" s="555"/>
      <c r="W526" s="555"/>
      <c r="X526" s="555"/>
      <c r="Y526" s="555"/>
      <c r="Z526" s="555"/>
    </row>
    <row r="527">
      <c r="A527" s="555"/>
      <c r="B527" s="555"/>
      <c r="C527" s="555"/>
      <c r="D527" s="555"/>
      <c r="E527" s="555"/>
      <c r="F527" s="555"/>
      <c r="G527" s="555"/>
      <c r="H527" s="555"/>
      <c r="I527" s="555"/>
      <c r="J527" s="555"/>
      <c r="K527" s="555"/>
      <c r="L527" s="555"/>
      <c r="M527" s="555"/>
      <c r="N527" s="555"/>
      <c r="O527" s="555"/>
      <c r="P527" s="555"/>
      <c r="Q527" s="555"/>
      <c r="R527" s="555"/>
      <c r="S527" s="555"/>
      <c r="T527" s="555"/>
      <c r="U527" s="555"/>
      <c r="V527" s="555"/>
      <c r="W527" s="555"/>
      <c r="X527" s="555"/>
      <c r="Y527" s="555"/>
      <c r="Z527" s="555"/>
    </row>
    <row r="528">
      <c r="A528" s="555"/>
      <c r="B528" s="555"/>
      <c r="C528" s="555"/>
      <c r="D528" s="555"/>
      <c r="E528" s="555"/>
      <c r="F528" s="555"/>
      <c r="G528" s="555"/>
      <c r="H528" s="555"/>
      <c r="I528" s="555"/>
      <c r="J528" s="555"/>
      <c r="K528" s="555"/>
      <c r="L528" s="555"/>
      <c r="M528" s="555"/>
      <c r="N528" s="555"/>
      <c r="O528" s="555"/>
      <c r="P528" s="555"/>
      <c r="Q528" s="555"/>
      <c r="R528" s="555"/>
      <c r="S528" s="555"/>
      <c r="T528" s="555"/>
      <c r="U528" s="555"/>
      <c r="V528" s="555"/>
      <c r="W528" s="555"/>
      <c r="X528" s="555"/>
      <c r="Y528" s="555"/>
      <c r="Z528" s="555"/>
    </row>
    <row r="529">
      <c r="A529" s="555"/>
      <c r="B529" s="555"/>
      <c r="C529" s="555"/>
      <c r="D529" s="555"/>
      <c r="E529" s="555"/>
      <c r="F529" s="555"/>
      <c r="G529" s="555"/>
      <c r="H529" s="555"/>
      <c r="I529" s="555"/>
      <c r="J529" s="555"/>
      <c r="K529" s="555"/>
      <c r="L529" s="555"/>
      <c r="M529" s="555"/>
      <c r="N529" s="555"/>
      <c r="O529" s="555"/>
      <c r="P529" s="555"/>
      <c r="Q529" s="555"/>
      <c r="R529" s="555"/>
      <c r="S529" s="555"/>
      <c r="T529" s="555"/>
      <c r="U529" s="555"/>
      <c r="V529" s="555"/>
      <c r="W529" s="555"/>
      <c r="X529" s="555"/>
      <c r="Y529" s="555"/>
      <c r="Z529" s="555"/>
    </row>
    <row r="530">
      <c r="A530" s="555"/>
      <c r="B530" s="555"/>
      <c r="C530" s="555"/>
      <c r="D530" s="555"/>
      <c r="E530" s="555"/>
      <c r="F530" s="555"/>
      <c r="G530" s="555"/>
      <c r="H530" s="555"/>
      <c r="I530" s="555"/>
      <c r="J530" s="555"/>
      <c r="K530" s="555"/>
      <c r="L530" s="555"/>
      <c r="M530" s="555"/>
      <c r="N530" s="555"/>
      <c r="O530" s="555"/>
      <c r="P530" s="555"/>
      <c r="Q530" s="555"/>
      <c r="R530" s="555"/>
      <c r="S530" s="555"/>
      <c r="T530" s="555"/>
      <c r="U530" s="555"/>
      <c r="V530" s="555"/>
      <c r="W530" s="555"/>
      <c r="X530" s="555"/>
      <c r="Y530" s="555"/>
      <c r="Z530" s="555"/>
    </row>
    <row r="531">
      <c r="A531" s="555"/>
      <c r="B531" s="555"/>
      <c r="C531" s="555"/>
      <c r="D531" s="555"/>
      <c r="E531" s="555"/>
      <c r="F531" s="555"/>
      <c r="G531" s="555"/>
      <c r="H531" s="555"/>
      <c r="I531" s="555"/>
      <c r="J531" s="555"/>
      <c r="K531" s="555"/>
      <c r="L531" s="555"/>
      <c r="M531" s="555"/>
      <c r="N531" s="555"/>
      <c r="O531" s="555"/>
      <c r="P531" s="555"/>
      <c r="Q531" s="555"/>
      <c r="R531" s="555"/>
      <c r="S531" s="555"/>
      <c r="T531" s="555"/>
      <c r="U531" s="555"/>
      <c r="V531" s="555"/>
      <c r="W531" s="555"/>
      <c r="X531" s="555"/>
      <c r="Y531" s="555"/>
      <c r="Z531" s="555"/>
    </row>
    <row r="532">
      <c r="A532" s="555"/>
      <c r="B532" s="555"/>
      <c r="C532" s="555"/>
      <c r="D532" s="555"/>
      <c r="E532" s="555"/>
      <c r="F532" s="555"/>
      <c r="G532" s="555"/>
      <c r="H532" s="555"/>
      <c r="I532" s="555"/>
      <c r="J532" s="555"/>
      <c r="K532" s="555"/>
      <c r="L532" s="555"/>
      <c r="M532" s="555"/>
      <c r="N532" s="555"/>
      <c r="O532" s="555"/>
      <c r="P532" s="555"/>
      <c r="Q532" s="555"/>
      <c r="R532" s="555"/>
      <c r="S532" s="555"/>
      <c r="T532" s="555"/>
      <c r="U532" s="555"/>
      <c r="V532" s="555"/>
      <c r="W532" s="555"/>
      <c r="X532" s="555"/>
      <c r="Y532" s="555"/>
      <c r="Z532" s="555"/>
    </row>
    <row r="533">
      <c r="A533" s="555"/>
      <c r="B533" s="555"/>
      <c r="C533" s="555"/>
      <c r="D533" s="555"/>
      <c r="E533" s="555"/>
      <c r="F533" s="555"/>
      <c r="G533" s="555"/>
      <c r="H533" s="555"/>
      <c r="I533" s="555"/>
      <c r="J533" s="555"/>
      <c r="K533" s="555"/>
      <c r="L533" s="555"/>
      <c r="M533" s="555"/>
      <c r="N533" s="555"/>
      <c r="O533" s="555"/>
      <c r="P533" s="555"/>
      <c r="Q533" s="555"/>
      <c r="R533" s="555"/>
      <c r="S533" s="555"/>
      <c r="T533" s="555"/>
      <c r="U533" s="555"/>
      <c r="V533" s="555"/>
      <c r="W533" s="555"/>
      <c r="X533" s="555"/>
      <c r="Y533" s="555"/>
      <c r="Z533" s="555"/>
    </row>
    <row r="534">
      <c r="A534" s="555"/>
      <c r="B534" s="555"/>
      <c r="C534" s="555"/>
      <c r="D534" s="555"/>
      <c r="E534" s="555"/>
      <c r="F534" s="555"/>
      <c r="G534" s="555"/>
      <c r="H534" s="555"/>
      <c r="I534" s="555"/>
      <c r="J534" s="555"/>
      <c r="K534" s="555"/>
      <c r="L534" s="555"/>
      <c r="M534" s="555"/>
      <c r="N534" s="555"/>
      <c r="O534" s="555"/>
      <c r="P534" s="555"/>
      <c r="Q534" s="555"/>
      <c r="R534" s="555"/>
      <c r="S534" s="555"/>
      <c r="T534" s="555"/>
      <c r="U534" s="555"/>
      <c r="V534" s="555"/>
      <c r="W534" s="555"/>
      <c r="X534" s="555"/>
      <c r="Y534" s="555"/>
      <c r="Z534" s="555"/>
    </row>
    <row r="535">
      <c r="A535" s="555"/>
      <c r="B535" s="555"/>
      <c r="C535" s="555"/>
      <c r="D535" s="555"/>
      <c r="E535" s="555"/>
      <c r="F535" s="555"/>
      <c r="G535" s="555"/>
      <c r="H535" s="555"/>
      <c r="I535" s="555"/>
      <c r="J535" s="555"/>
      <c r="K535" s="555"/>
      <c r="L535" s="555"/>
      <c r="M535" s="555"/>
      <c r="N535" s="555"/>
      <c r="O535" s="555"/>
      <c r="P535" s="555"/>
      <c r="Q535" s="555"/>
      <c r="R535" s="555"/>
      <c r="S535" s="555"/>
      <c r="T535" s="555"/>
      <c r="U535" s="555"/>
      <c r="V535" s="555"/>
      <c r="W535" s="555"/>
      <c r="X535" s="555"/>
      <c r="Y535" s="555"/>
      <c r="Z535" s="555"/>
    </row>
    <row r="536">
      <c r="A536" s="555"/>
      <c r="B536" s="555"/>
      <c r="C536" s="555"/>
      <c r="D536" s="555"/>
      <c r="E536" s="555"/>
      <c r="F536" s="555"/>
      <c r="G536" s="555"/>
      <c r="H536" s="555"/>
      <c r="I536" s="555"/>
      <c r="J536" s="555"/>
      <c r="K536" s="555"/>
      <c r="L536" s="555"/>
      <c r="M536" s="555"/>
      <c r="N536" s="555"/>
      <c r="O536" s="555"/>
      <c r="P536" s="555"/>
      <c r="Q536" s="555"/>
      <c r="R536" s="555"/>
      <c r="S536" s="555"/>
      <c r="T536" s="555"/>
      <c r="U536" s="555"/>
      <c r="V536" s="555"/>
      <c r="W536" s="555"/>
      <c r="X536" s="555"/>
      <c r="Y536" s="555"/>
      <c r="Z536" s="555"/>
    </row>
    <row r="537">
      <c r="A537" s="555"/>
      <c r="B537" s="555"/>
      <c r="C537" s="555"/>
      <c r="D537" s="555"/>
      <c r="E537" s="555"/>
      <c r="F537" s="555"/>
      <c r="G537" s="555"/>
      <c r="H537" s="555"/>
      <c r="I537" s="555"/>
      <c r="J537" s="555"/>
      <c r="K537" s="555"/>
      <c r="L537" s="555"/>
      <c r="M537" s="555"/>
      <c r="N537" s="555"/>
      <c r="O537" s="555"/>
      <c r="P537" s="555"/>
      <c r="Q537" s="555"/>
      <c r="R537" s="555"/>
      <c r="S537" s="555"/>
      <c r="T537" s="555"/>
      <c r="U537" s="555"/>
      <c r="V537" s="555"/>
      <c r="W537" s="555"/>
      <c r="X537" s="555"/>
      <c r="Y537" s="555"/>
      <c r="Z537" s="555"/>
    </row>
    <row r="538">
      <c r="A538" s="555"/>
      <c r="B538" s="555"/>
      <c r="C538" s="555"/>
      <c r="D538" s="555"/>
      <c r="E538" s="555"/>
      <c r="F538" s="555"/>
      <c r="G538" s="555"/>
      <c r="H538" s="555"/>
      <c r="I538" s="555"/>
      <c r="J538" s="555"/>
      <c r="K538" s="555"/>
      <c r="L538" s="555"/>
      <c r="M538" s="555"/>
      <c r="N538" s="555"/>
      <c r="O538" s="555"/>
      <c r="P538" s="555"/>
      <c r="Q538" s="555"/>
      <c r="R538" s="555"/>
      <c r="S538" s="555"/>
      <c r="T538" s="555"/>
      <c r="U538" s="555"/>
      <c r="V538" s="555"/>
      <c r="W538" s="555"/>
      <c r="X538" s="555"/>
      <c r="Y538" s="555"/>
      <c r="Z538" s="555"/>
    </row>
    <row r="539">
      <c r="A539" s="555"/>
      <c r="B539" s="555"/>
      <c r="C539" s="555"/>
      <c r="D539" s="555"/>
      <c r="E539" s="555"/>
      <c r="F539" s="555"/>
      <c r="G539" s="555"/>
      <c r="H539" s="555"/>
      <c r="I539" s="555"/>
      <c r="J539" s="555"/>
      <c r="K539" s="555"/>
      <c r="L539" s="555"/>
      <c r="M539" s="555"/>
      <c r="N539" s="555"/>
      <c r="O539" s="555"/>
      <c r="P539" s="555"/>
      <c r="Q539" s="555"/>
      <c r="R539" s="555"/>
      <c r="S539" s="555"/>
      <c r="T539" s="555"/>
      <c r="U539" s="555"/>
      <c r="V539" s="555"/>
      <c r="W539" s="555"/>
      <c r="X539" s="555"/>
      <c r="Y539" s="555"/>
      <c r="Z539" s="555"/>
    </row>
    <row r="540">
      <c r="A540" s="555"/>
      <c r="B540" s="555"/>
      <c r="C540" s="555"/>
      <c r="D540" s="555"/>
      <c r="E540" s="555"/>
      <c r="F540" s="555"/>
      <c r="G540" s="555"/>
      <c r="H540" s="555"/>
      <c r="I540" s="555"/>
      <c r="J540" s="555"/>
      <c r="K540" s="555"/>
      <c r="L540" s="555"/>
      <c r="M540" s="555"/>
      <c r="N540" s="555"/>
      <c r="O540" s="555"/>
      <c r="P540" s="555"/>
      <c r="Q540" s="555"/>
      <c r="R540" s="555"/>
      <c r="S540" s="555"/>
      <c r="T540" s="555"/>
      <c r="U540" s="555"/>
      <c r="V540" s="555"/>
      <c r="W540" s="555"/>
      <c r="X540" s="555"/>
      <c r="Y540" s="555"/>
      <c r="Z540" s="555"/>
    </row>
    <row r="541">
      <c r="A541" s="555"/>
      <c r="B541" s="555"/>
      <c r="C541" s="555"/>
      <c r="D541" s="555"/>
      <c r="E541" s="555"/>
      <c r="F541" s="555"/>
      <c r="G541" s="555"/>
      <c r="H541" s="555"/>
      <c r="I541" s="555"/>
      <c r="J541" s="555"/>
      <c r="K541" s="555"/>
      <c r="L541" s="555"/>
      <c r="M541" s="555"/>
      <c r="N541" s="555"/>
      <c r="O541" s="555"/>
      <c r="P541" s="555"/>
      <c r="Q541" s="555"/>
      <c r="R541" s="555"/>
      <c r="S541" s="555"/>
      <c r="T541" s="555"/>
      <c r="U541" s="555"/>
      <c r="V541" s="555"/>
      <c r="W541" s="555"/>
      <c r="X541" s="555"/>
      <c r="Y541" s="555"/>
      <c r="Z541" s="555"/>
    </row>
    <row r="542">
      <c r="A542" s="555"/>
      <c r="B542" s="555"/>
      <c r="C542" s="555"/>
      <c r="D542" s="555"/>
      <c r="E542" s="555"/>
      <c r="F542" s="555"/>
      <c r="G542" s="555"/>
      <c r="H542" s="555"/>
      <c r="I542" s="555"/>
      <c r="J542" s="555"/>
      <c r="K542" s="555"/>
      <c r="L542" s="555"/>
      <c r="M542" s="555"/>
      <c r="N542" s="555"/>
      <c r="O542" s="555"/>
      <c r="P542" s="555"/>
      <c r="Q542" s="555"/>
      <c r="R542" s="555"/>
      <c r="S542" s="555"/>
      <c r="T542" s="555"/>
      <c r="U542" s="555"/>
      <c r="V542" s="555"/>
      <c r="W542" s="555"/>
      <c r="X542" s="555"/>
      <c r="Y542" s="555"/>
      <c r="Z542" s="555"/>
    </row>
    <row r="543">
      <c r="A543" s="555"/>
      <c r="B543" s="555"/>
      <c r="C543" s="555"/>
      <c r="D543" s="555"/>
      <c r="E543" s="555"/>
      <c r="F543" s="555"/>
      <c r="G543" s="555"/>
      <c r="H543" s="555"/>
      <c r="I543" s="555"/>
      <c r="J543" s="555"/>
      <c r="K543" s="555"/>
      <c r="L543" s="555"/>
      <c r="M543" s="555"/>
      <c r="N543" s="555"/>
      <c r="O543" s="555"/>
      <c r="P543" s="555"/>
      <c r="Q543" s="555"/>
      <c r="R543" s="555"/>
      <c r="S543" s="555"/>
      <c r="T543" s="555"/>
      <c r="U543" s="555"/>
      <c r="V543" s="555"/>
      <c r="W543" s="555"/>
      <c r="X543" s="555"/>
      <c r="Y543" s="555"/>
      <c r="Z543" s="555"/>
    </row>
    <row r="544">
      <c r="A544" s="555"/>
      <c r="B544" s="555"/>
      <c r="C544" s="555"/>
      <c r="D544" s="555"/>
      <c r="E544" s="555"/>
      <c r="F544" s="555"/>
      <c r="G544" s="555"/>
      <c r="H544" s="555"/>
      <c r="I544" s="555"/>
      <c r="J544" s="555"/>
      <c r="K544" s="555"/>
      <c r="L544" s="555"/>
      <c r="M544" s="555"/>
      <c r="N544" s="555"/>
      <c r="O544" s="555"/>
      <c r="P544" s="555"/>
      <c r="Q544" s="555"/>
      <c r="R544" s="555"/>
      <c r="S544" s="555"/>
      <c r="T544" s="555"/>
      <c r="U544" s="555"/>
      <c r="V544" s="555"/>
      <c r="W544" s="555"/>
      <c r="X544" s="555"/>
      <c r="Y544" s="555"/>
      <c r="Z544" s="555"/>
    </row>
    <row r="545">
      <c r="A545" s="555"/>
      <c r="B545" s="555"/>
      <c r="C545" s="555"/>
      <c r="D545" s="555"/>
      <c r="E545" s="555"/>
      <c r="F545" s="555"/>
      <c r="G545" s="555"/>
      <c r="H545" s="555"/>
      <c r="I545" s="555"/>
      <c r="J545" s="555"/>
      <c r="K545" s="555"/>
      <c r="L545" s="555"/>
      <c r="M545" s="555"/>
      <c r="N545" s="555"/>
      <c r="O545" s="555"/>
      <c r="P545" s="555"/>
      <c r="Q545" s="555"/>
      <c r="R545" s="555"/>
      <c r="S545" s="555"/>
      <c r="T545" s="555"/>
      <c r="U545" s="555"/>
      <c r="V545" s="555"/>
      <c r="W545" s="555"/>
      <c r="X545" s="555"/>
      <c r="Y545" s="555"/>
      <c r="Z545" s="555"/>
    </row>
    <row r="546">
      <c r="A546" s="555"/>
      <c r="B546" s="555"/>
      <c r="C546" s="555"/>
      <c r="D546" s="555"/>
      <c r="E546" s="555"/>
      <c r="F546" s="555"/>
      <c r="G546" s="555"/>
      <c r="H546" s="555"/>
      <c r="I546" s="555"/>
      <c r="J546" s="555"/>
      <c r="K546" s="555"/>
      <c r="L546" s="555"/>
      <c r="M546" s="555"/>
      <c r="N546" s="555"/>
      <c r="O546" s="555"/>
      <c r="P546" s="555"/>
      <c r="Q546" s="555"/>
      <c r="R546" s="555"/>
      <c r="S546" s="555"/>
      <c r="T546" s="555"/>
      <c r="U546" s="555"/>
      <c r="V546" s="555"/>
      <c r="W546" s="555"/>
      <c r="X546" s="555"/>
      <c r="Y546" s="555"/>
      <c r="Z546" s="555"/>
    </row>
    <row r="547">
      <c r="A547" s="555"/>
      <c r="B547" s="555"/>
      <c r="C547" s="555"/>
      <c r="D547" s="555"/>
      <c r="E547" s="555"/>
      <c r="F547" s="555"/>
      <c r="G547" s="555"/>
      <c r="H547" s="555"/>
      <c r="I547" s="555"/>
      <c r="J547" s="555"/>
      <c r="K547" s="555"/>
      <c r="L547" s="555"/>
      <c r="M547" s="555"/>
      <c r="N547" s="555"/>
      <c r="O547" s="555"/>
      <c r="P547" s="555"/>
      <c r="Q547" s="555"/>
      <c r="R547" s="555"/>
      <c r="S547" s="555"/>
      <c r="T547" s="555"/>
      <c r="U547" s="555"/>
      <c r="V547" s="555"/>
      <c r="W547" s="555"/>
      <c r="X547" s="555"/>
      <c r="Y547" s="555"/>
      <c r="Z547" s="555"/>
    </row>
    <row r="548">
      <c r="A548" s="555"/>
      <c r="B548" s="555"/>
      <c r="C548" s="555"/>
      <c r="D548" s="555"/>
      <c r="E548" s="555"/>
      <c r="F548" s="555"/>
      <c r="G548" s="555"/>
      <c r="H548" s="555"/>
      <c r="I548" s="555"/>
      <c r="J548" s="555"/>
      <c r="K548" s="555"/>
      <c r="L548" s="555"/>
      <c r="M548" s="555"/>
      <c r="N548" s="555"/>
      <c r="O548" s="555"/>
      <c r="P548" s="555"/>
      <c r="Q548" s="555"/>
      <c r="R548" s="555"/>
      <c r="S548" s="555"/>
      <c r="T548" s="555"/>
      <c r="U548" s="555"/>
      <c r="V548" s="555"/>
      <c r="W548" s="555"/>
      <c r="X548" s="555"/>
      <c r="Y548" s="555"/>
      <c r="Z548" s="555"/>
    </row>
    <row r="549">
      <c r="A549" s="555"/>
      <c r="B549" s="555"/>
      <c r="C549" s="555"/>
      <c r="D549" s="555"/>
      <c r="E549" s="555"/>
      <c r="F549" s="555"/>
      <c r="G549" s="555"/>
      <c r="H549" s="555"/>
      <c r="I549" s="555"/>
      <c r="J549" s="555"/>
      <c r="K549" s="555"/>
      <c r="L549" s="555"/>
      <c r="M549" s="555"/>
      <c r="N549" s="555"/>
      <c r="O549" s="555"/>
      <c r="P549" s="555"/>
      <c r="Q549" s="555"/>
      <c r="R549" s="555"/>
      <c r="S549" s="555"/>
      <c r="T549" s="555"/>
      <c r="U549" s="555"/>
      <c r="V549" s="555"/>
      <c r="W549" s="555"/>
      <c r="X549" s="555"/>
      <c r="Y549" s="555"/>
      <c r="Z549" s="555"/>
    </row>
    <row r="550">
      <c r="A550" s="555"/>
      <c r="B550" s="555"/>
      <c r="C550" s="555"/>
      <c r="D550" s="555"/>
      <c r="E550" s="555"/>
      <c r="F550" s="555"/>
      <c r="G550" s="555"/>
      <c r="H550" s="555"/>
      <c r="I550" s="555"/>
      <c r="J550" s="555"/>
      <c r="K550" s="555"/>
      <c r="L550" s="555"/>
      <c r="M550" s="555"/>
      <c r="N550" s="555"/>
      <c r="O550" s="555"/>
      <c r="P550" s="555"/>
      <c r="Q550" s="555"/>
      <c r="R550" s="555"/>
      <c r="S550" s="555"/>
      <c r="T550" s="555"/>
      <c r="U550" s="555"/>
      <c r="V550" s="555"/>
      <c r="W550" s="555"/>
      <c r="X550" s="555"/>
      <c r="Y550" s="555"/>
      <c r="Z550" s="555"/>
    </row>
    <row r="551">
      <c r="A551" s="555"/>
      <c r="B551" s="555"/>
      <c r="C551" s="555"/>
      <c r="D551" s="555"/>
      <c r="E551" s="555"/>
      <c r="F551" s="555"/>
      <c r="G551" s="555"/>
      <c r="H551" s="555"/>
      <c r="I551" s="555"/>
      <c r="J551" s="555"/>
      <c r="K551" s="555"/>
      <c r="L551" s="555"/>
      <c r="M551" s="555"/>
      <c r="N551" s="555"/>
      <c r="O551" s="555"/>
      <c r="P551" s="555"/>
      <c r="Q551" s="555"/>
      <c r="R551" s="555"/>
      <c r="S551" s="555"/>
      <c r="T551" s="555"/>
      <c r="U551" s="555"/>
      <c r="V551" s="555"/>
      <c r="W551" s="555"/>
      <c r="X551" s="555"/>
      <c r="Y551" s="555"/>
      <c r="Z551" s="555"/>
    </row>
    <row r="552">
      <c r="A552" s="555"/>
      <c r="B552" s="555"/>
      <c r="C552" s="555"/>
      <c r="D552" s="555"/>
      <c r="E552" s="555"/>
      <c r="F552" s="555"/>
      <c r="G552" s="555"/>
      <c r="H552" s="555"/>
      <c r="I552" s="555"/>
      <c r="J552" s="555"/>
      <c r="K552" s="555"/>
      <c r="L552" s="555"/>
      <c r="M552" s="555"/>
      <c r="N552" s="555"/>
      <c r="O552" s="555"/>
      <c r="P552" s="555"/>
      <c r="Q552" s="555"/>
      <c r="R552" s="555"/>
      <c r="S552" s="555"/>
      <c r="T552" s="555"/>
      <c r="U552" s="555"/>
      <c r="V552" s="555"/>
      <c r="W552" s="555"/>
      <c r="X552" s="555"/>
      <c r="Y552" s="555"/>
      <c r="Z552" s="555"/>
    </row>
    <row r="553">
      <c r="A553" s="555"/>
      <c r="B553" s="555"/>
      <c r="C553" s="555"/>
      <c r="D553" s="555"/>
      <c r="E553" s="555"/>
      <c r="F553" s="555"/>
      <c r="G553" s="555"/>
      <c r="H553" s="555"/>
      <c r="I553" s="555"/>
      <c r="J553" s="555"/>
      <c r="K553" s="555"/>
      <c r="L553" s="555"/>
      <c r="M553" s="555"/>
      <c r="N553" s="555"/>
      <c r="O553" s="555"/>
      <c r="P553" s="555"/>
      <c r="Q553" s="555"/>
      <c r="R553" s="555"/>
      <c r="S553" s="555"/>
      <c r="T553" s="555"/>
      <c r="U553" s="555"/>
      <c r="V553" s="555"/>
      <c r="W553" s="555"/>
      <c r="X553" s="555"/>
      <c r="Y553" s="555"/>
      <c r="Z553" s="555"/>
    </row>
    <row r="554">
      <c r="A554" s="555"/>
      <c r="B554" s="555"/>
      <c r="C554" s="555"/>
      <c r="D554" s="555"/>
      <c r="E554" s="555"/>
      <c r="F554" s="555"/>
      <c r="G554" s="555"/>
      <c r="H554" s="555"/>
      <c r="I554" s="555"/>
      <c r="J554" s="555"/>
      <c r="K554" s="555"/>
      <c r="L554" s="555"/>
      <c r="M554" s="555"/>
      <c r="N554" s="555"/>
      <c r="O554" s="555"/>
      <c r="P554" s="555"/>
      <c r="Q554" s="555"/>
      <c r="R554" s="555"/>
      <c r="S554" s="555"/>
      <c r="T554" s="555"/>
      <c r="U554" s="555"/>
      <c r="V554" s="555"/>
      <c r="W554" s="555"/>
      <c r="X554" s="555"/>
      <c r="Y554" s="555"/>
      <c r="Z554" s="555"/>
    </row>
    <row r="555">
      <c r="A555" s="555"/>
      <c r="B555" s="555"/>
      <c r="C555" s="555"/>
      <c r="D555" s="555"/>
      <c r="E555" s="555"/>
      <c r="F555" s="555"/>
      <c r="G555" s="555"/>
      <c r="H555" s="555"/>
      <c r="I555" s="555"/>
      <c r="J555" s="555"/>
      <c r="K555" s="555"/>
      <c r="L555" s="555"/>
      <c r="M555" s="555"/>
      <c r="N555" s="555"/>
      <c r="O555" s="555"/>
      <c r="P555" s="555"/>
      <c r="Q555" s="555"/>
      <c r="R555" s="555"/>
      <c r="S555" s="555"/>
      <c r="T555" s="555"/>
      <c r="U555" s="555"/>
      <c r="V555" s="555"/>
      <c r="W555" s="555"/>
      <c r="X555" s="555"/>
      <c r="Y555" s="555"/>
      <c r="Z555" s="555"/>
    </row>
    <row r="556">
      <c r="A556" s="555"/>
      <c r="B556" s="555"/>
      <c r="C556" s="555"/>
      <c r="D556" s="555"/>
      <c r="E556" s="555"/>
      <c r="F556" s="555"/>
      <c r="G556" s="555"/>
      <c r="H556" s="555"/>
      <c r="I556" s="555"/>
      <c r="J556" s="555"/>
      <c r="K556" s="555"/>
      <c r="L556" s="555"/>
      <c r="M556" s="555"/>
      <c r="N556" s="555"/>
      <c r="O556" s="555"/>
      <c r="P556" s="555"/>
      <c r="Q556" s="555"/>
      <c r="R556" s="555"/>
      <c r="S556" s="555"/>
      <c r="T556" s="555"/>
      <c r="U556" s="555"/>
      <c r="V556" s="555"/>
      <c r="W556" s="555"/>
      <c r="X556" s="555"/>
      <c r="Y556" s="555"/>
      <c r="Z556" s="555"/>
    </row>
    <row r="557">
      <c r="A557" s="555"/>
      <c r="B557" s="555"/>
      <c r="C557" s="555"/>
      <c r="D557" s="555"/>
      <c r="E557" s="555"/>
      <c r="F557" s="555"/>
      <c r="G557" s="555"/>
      <c r="H557" s="555"/>
      <c r="I557" s="555"/>
      <c r="J557" s="555"/>
      <c r="K557" s="555"/>
      <c r="L557" s="555"/>
      <c r="M557" s="555"/>
      <c r="N557" s="555"/>
      <c r="O557" s="555"/>
      <c r="P557" s="555"/>
      <c r="Q557" s="555"/>
      <c r="R557" s="555"/>
      <c r="S557" s="555"/>
      <c r="T557" s="555"/>
      <c r="U557" s="555"/>
      <c r="V557" s="555"/>
      <c r="W557" s="555"/>
      <c r="X557" s="555"/>
      <c r="Y557" s="555"/>
      <c r="Z557" s="555"/>
    </row>
    <row r="558">
      <c r="A558" s="555"/>
      <c r="B558" s="555"/>
      <c r="C558" s="555"/>
      <c r="D558" s="555"/>
      <c r="E558" s="555"/>
      <c r="F558" s="555"/>
      <c r="G558" s="555"/>
      <c r="H558" s="555"/>
      <c r="I558" s="555"/>
      <c r="J558" s="555"/>
      <c r="K558" s="555"/>
      <c r="L558" s="555"/>
      <c r="M558" s="555"/>
      <c r="N558" s="555"/>
      <c r="O558" s="555"/>
      <c r="P558" s="555"/>
      <c r="Q558" s="555"/>
      <c r="R558" s="555"/>
      <c r="S558" s="555"/>
      <c r="T558" s="555"/>
      <c r="U558" s="555"/>
      <c r="V558" s="555"/>
      <c r="W558" s="555"/>
      <c r="X558" s="555"/>
      <c r="Y558" s="555"/>
      <c r="Z558" s="555"/>
    </row>
    <row r="559">
      <c r="A559" s="555"/>
      <c r="B559" s="555"/>
      <c r="C559" s="555"/>
      <c r="D559" s="555"/>
      <c r="E559" s="555"/>
      <c r="F559" s="555"/>
      <c r="G559" s="555"/>
      <c r="H559" s="555"/>
      <c r="I559" s="555"/>
      <c r="J559" s="555"/>
      <c r="K559" s="555"/>
      <c r="L559" s="555"/>
      <c r="M559" s="555"/>
      <c r="N559" s="555"/>
      <c r="O559" s="555"/>
      <c r="P559" s="555"/>
      <c r="Q559" s="555"/>
      <c r="R559" s="555"/>
      <c r="S559" s="555"/>
      <c r="T559" s="555"/>
      <c r="U559" s="555"/>
      <c r="V559" s="555"/>
      <c r="W559" s="555"/>
      <c r="X559" s="555"/>
      <c r="Y559" s="555"/>
      <c r="Z559" s="555"/>
    </row>
    <row r="560">
      <c r="A560" s="555"/>
      <c r="B560" s="555"/>
      <c r="C560" s="555"/>
      <c r="D560" s="555"/>
      <c r="E560" s="555"/>
      <c r="F560" s="555"/>
      <c r="G560" s="555"/>
      <c r="H560" s="555"/>
      <c r="I560" s="555"/>
      <c r="J560" s="555"/>
      <c r="K560" s="555"/>
      <c r="L560" s="555"/>
      <c r="M560" s="555"/>
      <c r="N560" s="555"/>
      <c r="O560" s="555"/>
      <c r="P560" s="555"/>
      <c r="Q560" s="555"/>
      <c r="R560" s="555"/>
      <c r="S560" s="555"/>
      <c r="T560" s="555"/>
      <c r="U560" s="555"/>
      <c r="V560" s="555"/>
      <c r="W560" s="555"/>
      <c r="X560" s="555"/>
      <c r="Y560" s="555"/>
      <c r="Z560" s="555"/>
    </row>
    <row r="561">
      <c r="A561" s="555"/>
      <c r="B561" s="555"/>
      <c r="C561" s="555"/>
      <c r="D561" s="555"/>
      <c r="E561" s="555"/>
      <c r="F561" s="555"/>
      <c r="G561" s="555"/>
      <c r="H561" s="555"/>
      <c r="I561" s="555"/>
      <c r="J561" s="555"/>
      <c r="K561" s="555"/>
      <c r="L561" s="555"/>
      <c r="M561" s="555"/>
      <c r="N561" s="555"/>
      <c r="O561" s="555"/>
      <c r="P561" s="555"/>
      <c r="Q561" s="555"/>
      <c r="R561" s="555"/>
      <c r="S561" s="555"/>
      <c r="T561" s="555"/>
      <c r="U561" s="555"/>
      <c r="V561" s="555"/>
      <c r="W561" s="555"/>
      <c r="X561" s="555"/>
      <c r="Y561" s="555"/>
      <c r="Z561" s="555"/>
    </row>
    <row r="562">
      <c r="A562" s="555"/>
      <c r="B562" s="555"/>
      <c r="C562" s="555"/>
      <c r="D562" s="555"/>
      <c r="E562" s="555"/>
      <c r="F562" s="555"/>
      <c r="G562" s="555"/>
      <c r="H562" s="555"/>
      <c r="I562" s="555"/>
      <c r="J562" s="555"/>
      <c r="K562" s="555"/>
      <c r="L562" s="555"/>
      <c r="M562" s="555"/>
      <c r="N562" s="555"/>
      <c r="O562" s="555"/>
      <c r="P562" s="555"/>
      <c r="Q562" s="555"/>
      <c r="R562" s="555"/>
      <c r="S562" s="555"/>
      <c r="T562" s="555"/>
      <c r="U562" s="555"/>
      <c r="V562" s="555"/>
      <c r="W562" s="555"/>
      <c r="X562" s="555"/>
      <c r="Y562" s="555"/>
      <c r="Z562" s="555"/>
    </row>
    <row r="563">
      <c r="A563" s="555"/>
      <c r="B563" s="555"/>
      <c r="C563" s="555"/>
      <c r="D563" s="555"/>
      <c r="E563" s="555"/>
      <c r="F563" s="555"/>
      <c r="G563" s="555"/>
      <c r="H563" s="555"/>
      <c r="I563" s="555"/>
      <c r="J563" s="555"/>
      <c r="K563" s="555"/>
      <c r="L563" s="555"/>
      <c r="M563" s="555"/>
      <c r="N563" s="555"/>
      <c r="O563" s="555"/>
      <c r="P563" s="555"/>
      <c r="Q563" s="555"/>
      <c r="R563" s="555"/>
      <c r="S563" s="555"/>
      <c r="T563" s="555"/>
      <c r="U563" s="555"/>
      <c r="V563" s="555"/>
      <c r="W563" s="555"/>
      <c r="X563" s="555"/>
      <c r="Y563" s="555"/>
      <c r="Z563" s="555"/>
    </row>
    <row r="564">
      <c r="A564" s="555"/>
      <c r="B564" s="555"/>
      <c r="C564" s="555"/>
      <c r="D564" s="555"/>
      <c r="E564" s="555"/>
      <c r="F564" s="555"/>
      <c r="G564" s="555"/>
      <c r="H564" s="555"/>
      <c r="I564" s="555"/>
      <c r="J564" s="555"/>
      <c r="K564" s="555"/>
      <c r="L564" s="555"/>
      <c r="M564" s="555"/>
      <c r="N564" s="555"/>
      <c r="O564" s="555"/>
      <c r="P564" s="555"/>
      <c r="Q564" s="555"/>
      <c r="R564" s="555"/>
      <c r="S564" s="555"/>
      <c r="T564" s="555"/>
      <c r="U564" s="555"/>
      <c r="V564" s="555"/>
      <c r="W564" s="555"/>
      <c r="X564" s="555"/>
      <c r="Y564" s="555"/>
      <c r="Z564" s="555"/>
    </row>
    <row r="565">
      <c r="A565" s="555"/>
      <c r="B565" s="555"/>
      <c r="C565" s="555"/>
      <c r="D565" s="555"/>
      <c r="E565" s="555"/>
      <c r="F565" s="555"/>
      <c r="G565" s="555"/>
      <c r="H565" s="555"/>
      <c r="I565" s="555"/>
      <c r="J565" s="555"/>
      <c r="K565" s="555"/>
      <c r="L565" s="555"/>
      <c r="M565" s="555"/>
      <c r="N565" s="555"/>
      <c r="O565" s="555"/>
      <c r="P565" s="555"/>
      <c r="Q565" s="555"/>
      <c r="R565" s="555"/>
      <c r="S565" s="555"/>
      <c r="T565" s="555"/>
      <c r="U565" s="555"/>
      <c r="V565" s="555"/>
      <c r="W565" s="555"/>
      <c r="X565" s="555"/>
      <c r="Y565" s="555"/>
      <c r="Z565" s="555"/>
    </row>
    <row r="566">
      <c r="A566" s="555"/>
      <c r="B566" s="555"/>
      <c r="C566" s="555"/>
      <c r="D566" s="555"/>
      <c r="E566" s="555"/>
      <c r="F566" s="555"/>
      <c r="G566" s="555"/>
      <c r="H566" s="555"/>
      <c r="I566" s="555"/>
      <c r="J566" s="555"/>
      <c r="K566" s="555"/>
      <c r="L566" s="555"/>
      <c r="M566" s="555"/>
      <c r="N566" s="555"/>
      <c r="O566" s="555"/>
      <c r="P566" s="555"/>
      <c r="Q566" s="555"/>
      <c r="R566" s="555"/>
      <c r="S566" s="555"/>
      <c r="T566" s="555"/>
      <c r="U566" s="555"/>
      <c r="V566" s="555"/>
      <c r="W566" s="555"/>
      <c r="X566" s="555"/>
      <c r="Y566" s="555"/>
      <c r="Z566" s="555"/>
    </row>
    <row r="567">
      <c r="A567" s="555"/>
      <c r="B567" s="555"/>
      <c r="C567" s="555"/>
      <c r="D567" s="555"/>
      <c r="E567" s="555"/>
      <c r="F567" s="555"/>
      <c r="G567" s="555"/>
      <c r="H567" s="555"/>
      <c r="I567" s="555"/>
      <c r="J567" s="555"/>
      <c r="K567" s="555"/>
      <c r="L567" s="555"/>
      <c r="M567" s="555"/>
      <c r="N567" s="555"/>
      <c r="O567" s="555"/>
      <c r="P567" s="555"/>
      <c r="Q567" s="555"/>
      <c r="R567" s="555"/>
      <c r="S567" s="555"/>
      <c r="T567" s="555"/>
      <c r="U567" s="555"/>
      <c r="V567" s="555"/>
      <c r="W567" s="555"/>
      <c r="X567" s="555"/>
      <c r="Y567" s="555"/>
      <c r="Z567" s="555"/>
    </row>
    <row r="568">
      <c r="A568" s="555"/>
      <c r="B568" s="555"/>
      <c r="C568" s="555"/>
      <c r="D568" s="555"/>
      <c r="E568" s="555"/>
      <c r="F568" s="555"/>
      <c r="G568" s="555"/>
      <c r="H568" s="555"/>
      <c r="I568" s="555"/>
      <c r="J568" s="555"/>
      <c r="K568" s="555"/>
      <c r="L568" s="555"/>
      <c r="M568" s="555"/>
      <c r="N568" s="555"/>
      <c r="O568" s="555"/>
      <c r="P568" s="555"/>
      <c r="Q568" s="555"/>
      <c r="R568" s="555"/>
      <c r="S568" s="555"/>
      <c r="T568" s="555"/>
      <c r="U568" s="555"/>
      <c r="V568" s="555"/>
      <c r="W568" s="555"/>
      <c r="X568" s="555"/>
      <c r="Y568" s="555"/>
      <c r="Z568" s="555"/>
    </row>
    <row r="569">
      <c r="A569" s="555"/>
      <c r="B569" s="555"/>
      <c r="C569" s="555"/>
      <c r="D569" s="555"/>
      <c r="E569" s="555"/>
      <c r="F569" s="555"/>
      <c r="G569" s="555"/>
      <c r="H569" s="555"/>
      <c r="I569" s="555"/>
      <c r="J569" s="555"/>
      <c r="K569" s="555"/>
      <c r="L569" s="555"/>
      <c r="M569" s="555"/>
      <c r="N569" s="555"/>
      <c r="O569" s="555"/>
      <c r="P569" s="555"/>
      <c r="Q569" s="555"/>
      <c r="R569" s="555"/>
      <c r="S569" s="555"/>
      <c r="T569" s="555"/>
      <c r="U569" s="555"/>
      <c r="V569" s="555"/>
      <c r="W569" s="555"/>
      <c r="X569" s="555"/>
      <c r="Y569" s="555"/>
      <c r="Z569" s="555"/>
    </row>
    <row r="570">
      <c r="A570" s="555"/>
      <c r="B570" s="555"/>
      <c r="C570" s="555"/>
      <c r="D570" s="555"/>
      <c r="E570" s="555"/>
      <c r="F570" s="555"/>
      <c r="G570" s="555"/>
      <c r="H570" s="555"/>
      <c r="I570" s="555"/>
      <c r="J570" s="555"/>
      <c r="K570" s="555"/>
      <c r="L570" s="555"/>
      <c r="M570" s="555"/>
      <c r="N570" s="555"/>
      <c r="O570" s="555"/>
      <c r="P570" s="555"/>
      <c r="Q570" s="555"/>
      <c r="R570" s="555"/>
      <c r="S570" s="555"/>
      <c r="T570" s="555"/>
      <c r="U570" s="555"/>
      <c r="V570" s="555"/>
      <c r="W570" s="555"/>
      <c r="X570" s="555"/>
      <c r="Y570" s="555"/>
      <c r="Z570" s="555"/>
    </row>
    <row r="571">
      <c r="A571" s="555"/>
      <c r="B571" s="555"/>
      <c r="C571" s="555"/>
      <c r="D571" s="555"/>
      <c r="E571" s="555"/>
      <c r="F571" s="555"/>
      <c r="G571" s="555"/>
      <c r="H571" s="555"/>
      <c r="I571" s="555"/>
      <c r="J571" s="555"/>
      <c r="K571" s="555"/>
      <c r="L571" s="555"/>
      <c r="M571" s="555"/>
      <c r="N571" s="555"/>
      <c r="O571" s="555"/>
      <c r="P571" s="555"/>
      <c r="Q571" s="555"/>
      <c r="R571" s="555"/>
      <c r="S571" s="555"/>
      <c r="T571" s="555"/>
      <c r="U571" s="555"/>
      <c r="V571" s="555"/>
      <c r="W571" s="555"/>
      <c r="X571" s="555"/>
      <c r="Y571" s="555"/>
      <c r="Z571" s="555"/>
    </row>
    <row r="572">
      <c r="A572" s="555"/>
      <c r="B572" s="555"/>
      <c r="C572" s="555"/>
      <c r="D572" s="555"/>
      <c r="E572" s="555"/>
      <c r="F572" s="555"/>
      <c r="G572" s="555"/>
      <c r="H572" s="555"/>
      <c r="I572" s="555"/>
      <c r="J572" s="555"/>
      <c r="K572" s="555"/>
      <c r="L572" s="555"/>
      <c r="M572" s="555"/>
      <c r="N572" s="555"/>
      <c r="O572" s="555"/>
      <c r="P572" s="555"/>
      <c r="Q572" s="555"/>
      <c r="R572" s="555"/>
      <c r="S572" s="555"/>
      <c r="T572" s="555"/>
      <c r="U572" s="555"/>
      <c r="V572" s="555"/>
      <c r="W572" s="555"/>
      <c r="X572" s="555"/>
      <c r="Y572" s="555"/>
      <c r="Z572" s="555"/>
    </row>
    <row r="573">
      <c r="A573" s="555"/>
      <c r="B573" s="555"/>
      <c r="C573" s="555"/>
      <c r="D573" s="555"/>
      <c r="E573" s="555"/>
      <c r="F573" s="555"/>
      <c r="G573" s="555"/>
      <c r="H573" s="555"/>
      <c r="I573" s="555"/>
      <c r="J573" s="555"/>
      <c r="K573" s="555"/>
      <c r="L573" s="555"/>
      <c r="M573" s="555"/>
      <c r="N573" s="555"/>
      <c r="O573" s="555"/>
      <c r="P573" s="555"/>
      <c r="Q573" s="555"/>
      <c r="R573" s="555"/>
      <c r="S573" s="555"/>
      <c r="T573" s="555"/>
      <c r="U573" s="555"/>
      <c r="V573" s="555"/>
      <c r="W573" s="555"/>
      <c r="X573" s="555"/>
      <c r="Y573" s="555"/>
      <c r="Z573" s="555"/>
    </row>
    <row r="574">
      <c r="A574" s="555"/>
      <c r="B574" s="555"/>
      <c r="C574" s="555"/>
      <c r="D574" s="555"/>
      <c r="E574" s="555"/>
      <c r="F574" s="555"/>
      <c r="G574" s="555"/>
      <c r="H574" s="555"/>
      <c r="I574" s="555"/>
      <c r="J574" s="555"/>
      <c r="K574" s="555"/>
      <c r="L574" s="555"/>
      <c r="M574" s="555"/>
      <c r="N574" s="555"/>
      <c r="O574" s="555"/>
      <c r="P574" s="555"/>
      <c r="Q574" s="555"/>
      <c r="R574" s="555"/>
      <c r="S574" s="555"/>
      <c r="T574" s="555"/>
      <c r="U574" s="555"/>
      <c r="V574" s="555"/>
      <c r="W574" s="555"/>
      <c r="X574" s="555"/>
      <c r="Y574" s="555"/>
      <c r="Z574" s="555"/>
    </row>
    <row r="575">
      <c r="A575" s="555"/>
      <c r="B575" s="555"/>
      <c r="C575" s="555"/>
      <c r="D575" s="555"/>
      <c r="E575" s="555"/>
      <c r="F575" s="555"/>
      <c r="G575" s="555"/>
      <c r="H575" s="555"/>
      <c r="I575" s="555"/>
      <c r="J575" s="555"/>
      <c r="K575" s="555"/>
      <c r="L575" s="555"/>
      <c r="M575" s="555"/>
      <c r="N575" s="555"/>
      <c r="O575" s="555"/>
      <c r="P575" s="555"/>
      <c r="Q575" s="555"/>
      <c r="R575" s="555"/>
      <c r="S575" s="555"/>
      <c r="T575" s="555"/>
      <c r="U575" s="555"/>
      <c r="V575" s="555"/>
      <c r="W575" s="555"/>
      <c r="X575" s="555"/>
      <c r="Y575" s="555"/>
      <c r="Z575" s="555"/>
    </row>
    <row r="576">
      <c r="A576" s="555"/>
      <c r="B576" s="555"/>
      <c r="C576" s="555"/>
      <c r="D576" s="555"/>
      <c r="E576" s="555"/>
      <c r="F576" s="555"/>
      <c r="G576" s="555"/>
      <c r="H576" s="555"/>
      <c r="I576" s="555"/>
      <c r="J576" s="555"/>
      <c r="K576" s="555"/>
      <c r="L576" s="555"/>
      <c r="M576" s="555"/>
      <c r="N576" s="555"/>
      <c r="O576" s="555"/>
      <c r="P576" s="555"/>
      <c r="Q576" s="555"/>
      <c r="R576" s="555"/>
      <c r="S576" s="555"/>
      <c r="T576" s="555"/>
      <c r="U576" s="555"/>
      <c r="V576" s="555"/>
      <c r="W576" s="555"/>
      <c r="X576" s="555"/>
      <c r="Y576" s="555"/>
      <c r="Z576" s="555"/>
    </row>
    <row r="577">
      <c r="A577" s="555"/>
      <c r="B577" s="555"/>
      <c r="C577" s="555"/>
      <c r="D577" s="555"/>
      <c r="E577" s="555"/>
      <c r="F577" s="555"/>
      <c r="G577" s="555"/>
      <c r="H577" s="555"/>
      <c r="I577" s="555"/>
      <c r="J577" s="555"/>
      <c r="K577" s="555"/>
      <c r="L577" s="555"/>
      <c r="M577" s="555"/>
      <c r="N577" s="555"/>
      <c r="O577" s="555"/>
      <c r="P577" s="555"/>
      <c r="Q577" s="555"/>
      <c r="R577" s="555"/>
      <c r="S577" s="555"/>
      <c r="T577" s="555"/>
      <c r="U577" s="555"/>
      <c r="V577" s="555"/>
      <c r="W577" s="555"/>
      <c r="X577" s="555"/>
      <c r="Y577" s="555"/>
      <c r="Z577" s="555"/>
    </row>
    <row r="578">
      <c r="A578" s="555"/>
      <c r="B578" s="555"/>
      <c r="C578" s="555"/>
      <c r="D578" s="555"/>
      <c r="E578" s="555"/>
      <c r="F578" s="555"/>
      <c r="G578" s="555"/>
      <c r="H578" s="555"/>
      <c r="I578" s="555"/>
      <c r="J578" s="555"/>
      <c r="K578" s="555"/>
      <c r="L578" s="555"/>
      <c r="M578" s="555"/>
      <c r="N578" s="555"/>
      <c r="O578" s="555"/>
      <c r="P578" s="555"/>
      <c r="Q578" s="555"/>
      <c r="R578" s="555"/>
      <c r="S578" s="555"/>
      <c r="T578" s="555"/>
      <c r="U578" s="555"/>
      <c r="V578" s="555"/>
      <c r="W578" s="555"/>
      <c r="X578" s="555"/>
      <c r="Y578" s="555"/>
      <c r="Z578" s="555"/>
    </row>
    <row r="579">
      <c r="A579" s="555"/>
      <c r="B579" s="555"/>
      <c r="C579" s="555"/>
      <c r="D579" s="555"/>
      <c r="E579" s="555"/>
      <c r="F579" s="555"/>
      <c r="G579" s="555"/>
      <c r="H579" s="555"/>
      <c r="I579" s="555"/>
      <c r="J579" s="555"/>
      <c r="K579" s="555"/>
      <c r="L579" s="555"/>
      <c r="M579" s="555"/>
      <c r="N579" s="555"/>
      <c r="O579" s="555"/>
      <c r="P579" s="555"/>
      <c r="Q579" s="555"/>
      <c r="R579" s="555"/>
      <c r="S579" s="555"/>
      <c r="T579" s="555"/>
      <c r="U579" s="555"/>
      <c r="V579" s="555"/>
      <c r="W579" s="555"/>
      <c r="X579" s="555"/>
      <c r="Y579" s="555"/>
      <c r="Z579" s="555"/>
    </row>
    <row r="580">
      <c r="A580" s="555"/>
      <c r="B580" s="555"/>
      <c r="C580" s="555"/>
      <c r="D580" s="555"/>
      <c r="E580" s="555"/>
      <c r="F580" s="555"/>
      <c r="G580" s="555"/>
      <c r="H580" s="555"/>
      <c r="I580" s="555"/>
      <c r="J580" s="555"/>
      <c r="K580" s="555"/>
      <c r="L580" s="555"/>
      <c r="M580" s="555"/>
      <c r="N580" s="555"/>
      <c r="O580" s="555"/>
      <c r="P580" s="555"/>
      <c r="Q580" s="555"/>
      <c r="R580" s="555"/>
      <c r="S580" s="555"/>
      <c r="T580" s="555"/>
      <c r="U580" s="555"/>
      <c r="V580" s="555"/>
      <c r="W580" s="555"/>
      <c r="X580" s="555"/>
      <c r="Y580" s="555"/>
      <c r="Z580" s="555"/>
    </row>
    <row r="581">
      <c r="A581" s="555"/>
      <c r="B581" s="555"/>
      <c r="C581" s="555"/>
      <c r="D581" s="555"/>
      <c r="E581" s="555"/>
      <c r="F581" s="555"/>
      <c r="G581" s="555"/>
      <c r="H581" s="555"/>
      <c r="I581" s="555"/>
      <c r="J581" s="555"/>
      <c r="K581" s="555"/>
      <c r="L581" s="555"/>
      <c r="M581" s="555"/>
      <c r="N581" s="555"/>
      <c r="O581" s="555"/>
      <c r="P581" s="555"/>
      <c r="Q581" s="555"/>
      <c r="R581" s="555"/>
      <c r="S581" s="555"/>
      <c r="T581" s="555"/>
      <c r="U581" s="555"/>
      <c r="V581" s="555"/>
      <c r="W581" s="555"/>
      <c r="X581" s="555"/>
      <c r="Y581" s="555"/>
      <c r="Z581" s="555"/>
    </row>
    <row r="582">
      <c r="A582" s="555"/>
      <c r="B582" s="555"/>
      <c r="C582" s="555"/>
      <c r="D582" s="555"/>
      <c r="E582" s="555"/>
      <c r="F582" s="555"/>
      <c r="G582" s="555"/>
      <c r="H582" s="555"/>
      <c r="I582" s="555"/>
      <c r="J582" s="555"/>
      <c r="K582" s="555"/>
      <c r="L582" s="555"/>
      <c r="M582" s="555"/>
      <c r="N582" s="555"/>
      <c r="O582" s="555"/>
      <c r="P582" s="555"/>
      <c r="Q582" s="555"/>
      <c r="R582" s="555"/>
      <c r="S582" s="555"/>
      <c r="T582" s="555"/>
      <c r="U582" s="555"/>
      <c r="V582" s="555"/>
      <c r="W582" s="555"/>
      <c r="X582" s="555"/>
      <c r="Y582" s="555"/>
      <c r="Z582" s="555"/>
    </row>
    <row r="583">
      <c r="A583" s="555"/>
      <c r="B583" s="555"/>
      <c r="C583" s="555"/>
      <c r="D583" s="555"/>
      <c r="E583" s="555"/>
      <c r="F583" s="555"/>
      <c r="G583" s="555"/>
      <c r="H583" s="555"/>
      <c r="I583" s="555"/>
      <c r="J583" s="555"/>
      <c r="K583" s="555"/>
      <c r="L583" s="555"/>
      <c r="M583" s="555"/>
      <c r="N583" s="555"/>
      <c r="O583" s="555"/>
      <c r="P583" s="555"/>
      <c r="Q583" s="555"/>
      <c r="R583" s="555"/>
      <c r="S583" s="555"/>
      <c r="T583" s="555"/>
      <c r="U583" s="555"/>
      <c r="V583" s="555"/>
      <c r="W583" s="555"/>
      <c r="X583" s="555"/>
      <c r="Y583" s="555"/>
      <c r="Z583" s="555"/>
    </row>
    <row r="584">
      <c r="A584" s="555"/>
      <c r="B584" s="555"/>
      <c r="C584" s="555"/>
      <c r="D584" s="555"/>
      <c r="E584" s="555"/>
      <c r="F584" s="555"/>
      <c r="G584" s="555"/>
      <c r="H584" s="555"/>
      <c r="I584" s="555"/>
      <c r="J584" s="555"/>
      <c r="K584" s="555"/>
      <c r="L584" s="555"/>
      <c r="M584" s="555"/>
      <c r="N584" s="555"/>
      <c r="O584" s="555"/>
      <c r="P584" s="555"/>
      <c r="Q584" s="555"/>
      <c r="R584" s="555"/>
      <c r="S584" s="555"/>
      <c r="T584" s="555"/>
      <c r="U584" s="555"/>
      <c r="V584" s="555"/>
      <c r="W584" s="555"/>
      <c r="X584" s="555"/>
      <c r="Y584" s="555"/>
      <c r="Z584" s="555"/>
    </row>
    <row r="585">
      <c r="A585" s="555"/>
      <c r="B585" s="555"/>
      <c r="C585" s="555"/>
      <c r="D585" s="555"/>
      <c r="E585" s="555"/>
      <c r="F585" s="555"/>
      <c r="G585" s="555"/>
      <c r="H585" s="555"/>
      <c r="I585" s="555"/>
      <c r="J585" s="555"/>
      <c r="K585" s="555"/>
      <c r="L585" s="555"/>
      <c r="M585" s="555"/>
      <c r="N585" s="555"/>
      <c r="O585" s="555"/>
      <c r="P585" s="555"/>
      <c r="Q585" s="555"/>
      <c r="R585" s="555"/>
      <c r="S585" s="555"/>
      <c r="T585" s="555"/>
      <c r="U585" s="555"/>
      <c r="V585" s="555"/>
      <c r="W585" s="555"/>
      <c r="X585" s="555"/>
      <c r="Y585" s="555"/>
      <c r="Z585" s="555"/>
    </row>
    <row r="586">
      <c r="A586" s="555"/>
      <c r="B586" s="555"/>
      <c r="C586" s="555"/>
      <c r="D586" s="555"/>
      <c r="E586" s="555"/>
      <c r="F586" s="555"/>
      <c r="G586" s="555"/>
      <c r="H586" s="555"/>
      <c r="I586" s="555"/>
      <c r="J586" s="555"/>
      <c r="K586" s="555"/>
      <c r="L586" s="555"/>
      <c r="M586" s="555"/>
      <c r="N586" s="555"/>
      <c r="O586" s="555"/>
      <c r="P586" s="555"/>
      <c r="Q586" s="555"/>
      <c r="R586" s="555"/>
      <c r="S586" s="555"/>
      <c r="T586" s="555"/>
      <c r="U586" s="555"/>
      <c r="V586" s="555"/>
      <c r="W586" s="555"/>
      <c r="X586" s="555"/>
      <c r="Y586" s="555"/>
      <c r="Z586" s="555"/>
    </row>
    <row r="587">
      <c r="A587" s="555"/>
      <c r="B587" s="555"/>
      <c r="C587" s="555"/>
      <c r="D587" s="555"/>
      <c r="E587" s="555"/>
      <c r="F587" s="555"/>
      <c r="G587" s="555"/>
      <c r="H587" s="555"/>
      <c r="I587" s="555"/>
      <c r="J587" s="555"/>
      <c r="K587" s="555"/>
      <c r="L587" s="555"/>
      <c r="M587" s="555"/>
      <c r="N587" s="555"/>
      <c r="O587" s="555"/>
      <c r="P587" s="555"/>
      <c r="Q587" s="555"/>
      <c r="R587" s="555"/>
      <c r="S587" s="555"/>
      <c r="T587" s="555"/>
      <c r="U587" s="555"/>
      <c r="V587" s="555"/>
      <c r="W587" s="555"/>
      <c r="X587" s="555"/>
      <c r="Y587" s="555"/>
      <c r="Z587" s="555"/>
    </row>
    <row r="588">
      <c r="A588" s="555"/>
      <c r="B588" s="555"/>
      <c r="C588" s="555"/>
      <c r="D588" s="555"/>
      <c r="E588" s="555"/>
      <c r="F588" s="555"/>
      <c r="G588" s="555"/>
      <c r="H588" s="555"/>
      <c r="I588" s="555"/>
      <c r="J588" s="555"/>
      <c r="K588" s="555"/>
      <c r="L588" s="555"/>
      <c r="M588" s="555"/>
      <c r="N588" s="555"/>
      <c r="O588" s="555"/>
      <c r="P588" s="555"/>
      <c r="Q588" s="555"/>
      <c r="R588" s="555"/>
      <c r="S588" s="555"/>
      <c r="T588" s="555"/>
      <c r="U588" s="555"/>
      <c r="V588" s="555"/>
      <c r="W588" s="555"/>
      <c r="X588" s="555"/>
      <c r="Y588" s="555"/>
      <c r="Z588" s="555"/>
    </row>
    <row r="589">
      <c r="A589" s="555"/>
      <c r="B589" s="555"/>
      <c r="C589" s="555"/>
      <c r="D589" s="555"/>
      <c r="E589" s="555"/>
      <c r="F589" s="555"/>
      <c r="G589" s="555"/>
      <c r="H589" s="555"/>
      <c r="I589" s="555"/>
      <c r="J589" s="555"/>
      <c r="K589" s="555"/>
      <c r="L589" s="555"/>
      <c r="M589" s="555"/>
      <c r="N589" s="555"/>
      <c r="O589" s="555"/>
      <c r="P589" s="555"/>
      <c r="Q589" s="555"/>
      <c r="R589" s="555"/>
      <c r="S589" s="555"/>
      <c r="T589" s="555"/>
      <c r="U589" s="555"/>
      <c r="V589" s="555"/>
      <c r="W589" s="555"/>
      <c r="X589" s="555"/>
      <c r="Y589" s="555"/>
      <c r="Z589" s="555"/>
    </row>
    <row r="590">
      <c r="A590" s="555"/>
      <c r="B590" s="555"/>
      <c r="C590" s="555"/>
      <c r="D590" s="555"/>
      <c r="E590" s="555"/>
      <c r="F590" s="555"/>
      <c r="G590" s="555"/>
      <c r="H590" s="555"/>
      <c r="I590" s="555"/>
      <c r="J590" s="555"/>
      <c r="K590" s="555"/>
      <c r="L590" s="555"/>
      <c r="M590" s="555"/>
      <c r="N590" s="555"/>
      <c r="O590" s="555"/>
      <c r="P590" s="555"/>
      <c r="Q590" s="555"/>
      <c r="R590" s="555"/>
      <c r="S590" s="555"/>
      <c r="T590" s="555"/>
      <c r="U590" s="555"/>
      <c r="V590" s="555"/>
      <c r="W590" s="555"/>
      <c r="X590" s="555"/>
      <c r="Y590" s="555"/>
      <c r="Z590" s="555"/>
    </row>
    <row r="591">
      <c r="A591" s="555"/>
      <c r="B591" s="555"/>
      <c r="C591" s="555"/>
      <c r="D591" s="555"/>
      <c r="E591" s="555"/>
      <c r="F591" s="555"/>
      <c r="G591" s="555"/>
      <c r="H591" s="555"/>
      <c r="I591" s="555"/>
      <c r="J591" s="555"/>
      <c r="K591" s="555"/>
      <c r="L591" s="555"/>
      <c r="M591" s="555"/>
      <c r="N591" s="555"/>
      <c r="O591" s="555"/>
      <c r="P591" s="555"/>
      <c r="Q591" s="555"/>
      <c r="R591" s="555"/>
      <c r="S591" s="555"/>
      <c r="T591" s="555"/>
      <c r="U591" s="555"/>
      <c r="V591" s="555"/>
      <c r="W591" s="555"/>
      <c r="X591" s="555"/>
      <c r="Y591" s="555"/>
      <c r="Z591" s="555"/>
    </row>
    <row r="592">
      <c r="A592" s="555"/>
      <c r="B592" s="555"/>
      <c r="C592" s="555"/>
      <c r="D592" s="555"/>
      <c r="E592" s="555"/>
      <c r="F592" s="555"/>
      <c r="G592" s="555"/>
      <c r="H592" s="555"/>
      <c r="I592" s="555"/>
      <c r="J592" s="555"/>
      <c r="K592" s="555"/>
      <c r="L592" s="555"/>
      <c r="M592" s="555"/>
      <c r="N592" s="555"/>
      <c r="O592" s="555"/>
      <c r="P592" s="555"/>
      <c r="Q592" s="555"/>
      <c r="R592" s="555"/>
      <c r="S592" s="555"/>
      <c r="T592" s="555"/>
      <c r="U592" s="555"/>
      <c r="V592" s="555"/>
      <c r="W592" s="555"/>
      <c r="X592" s="555"/>
      <c r="Y592" s="555"/>
      <c r="Z592" s="555"/>
    </row>
    <row r="593">
      <c r="A593" s="555"/>
      <c r="B593" s="555"/>
      <c r="C593" s="555"/>
      <c r="D593" s="555"/>
      <c r="E593" s="555"/>
      <c r="F593" s="555"/>
      <c r="G593" s="555"/>
      <c r="H593" s="555"/>
      <c r="I593" s="555"/>
      <c r="J593" s="555"/>
      <c r="K593" s="555"/>
      <c r="L593" s="555"/>
      <c r="M593" s="555"/>
      <c r="N593" s="555"/>
      <c r="O593" s="555"/>
      <c r="P593" s="555"/>
      <c r="Q593" s="555"/>
      <c r="R593" s="555"/>
      <c r="S593" s="555"/>
      <c r="T593" s="555"/>
      <c r="U593" s="555"/>
      <c r="V593" s="555"/>
      <c r="W593" s="555"/>
      <c r="X593" s="555"/>
      <c r="Y593" s="555"/>
      <c r="Z593" s="555"/>
    </row>
    <row r="594">
      <c r="A594" s="555"/>
      <c r="B594" s="555"/>
      <c r="C594" s="555"/>
      <c r="D594" s="555"/>
      <c r="E594" s="555"/>
      <c r="F594" s="555"/>
      <c r="G594" s="555"/>
      <c r="H594" s="555"/>
      <c r="I594" s="555"/>
      <c r="J594" s="555"/>
      <c r="K594" s="555"/>
      <c r="L594" s="555"/>
      <c r="M594" s="555"/>
      <c r="N594" s="555"/>
      <c r="O594" s="555"/>
      <c r="P594" s="555"/>
      <c r="Q594" s="555"/>
      <c r="R594" s="555"/>
      <c r="S594" s="555"/>
      <c r="T594" s="555"/>
      <c r="U594" s="555"/>
      <c r="V594" s="555"/>
      <c r="W594" s="555"/>
      <c r="X594" s="555"/>
      <c r="Y594" s="555"/>
      <c r="Z594" s="555"/>
    </row>
    <row r="595">
      <c r="A595" s="555"/>
      <c r="B595" s="555"/>
      <c r="C595" s="555"/>
      <c r="D595" s="555"/>
      <c r="E595" s="555"/>
      <c r="F595" s="555"/>
      <c r="G595" s="555"/>
      <c r="H595" s="555"/>
      <c r="I595" s="555"/>
      <c r="J595" s="555"/>
      <c r="K595" s="555"/>
      <c r="L595" s="555"/>
      <c r="M595" s="555"/>
      <c r="N595" s="555"/>
      <c r="O595" s="555"/>
      <c r="P595" s="555"/>
      <c r="Q595" s="555"/>
      <c r="R595" s="555"/>
      <c r="S595" s="555"/>
      <c r="T595" s="555"/>
      <c r="U595" s="555"/>
      <c r="V595" s="555"/>
      <c r="W595" s="555"/>
      <c r="X595" s="555"/>
      <c r="Y595" s="555"/>
      <c r="Z595" s="555"/>
    </row>
    <row r="596">
      <c r="A596" s="555"/>
      <c r="B596" s="555"/>
      <c r="C596" s="555"/>
      <c r="D596" s="555"/>
      <c r="E596" s="555"/>
      <c r="F596" s="555"/>
      <c r="G596" s="555"/>
      <c r="H596" s="555"/>
      <c r="I596" s="555"/>
      <c r="J596" s="555"/>
      <c r="K596" s="555"/>
      <c r="L596" s="555"/>
      <c r="M596" s="555"/>
      <c r="N596" s="555"/>
      <c r="O596" s="555"/>
      <c r="P596" s="555"/>
      <c r="Q596" s="555"/>
      <c r="R596" s="555"/>
      <c r="S596" s="555"/>
      <c r="T596" s="555"/>
      <c r="U596" s="555"/>
      <c r="V596" s="555"/>
      <c r="W596" s="555"/>
      <c r="X596" s="555"/>
      <c r="Y596" s="555"/>
      <c r="Z596" s="555"/>
    </row>
    <row r="597">
      <c r="A597" s="555"/>
      <c r="B597" s="555"/>
      <c r="C597" s="555"/>
      <c r="D597" s="555"/>
      <c r="E597" s="555"/>
      <c r="F597" s="555"/>
      <c r="G597" s="555"/>
      <c r="H597" s="555"/>
      <c r="I597" s="555"/>
      <c r="J597" s="555"/>
      <c r="K597" s="555"/>
      <c r="L597" s="555"/>
      <c r="M597" s="555"/>
      <c r="N597" s="555"/>
      <c r="O597" s="555"/>
      <c r="P597" s="555"/>
      <c r="Q597" s="555"/>
      <c r="R597" s="555"/>
      <c r="S597" s="555"/>
      <c r="T597" s="555"/>
      <c r="U597" s="555"/>
      <c r="V597" s="555"/>
      <c r="W597" s="555"/>
      <c r="X597" s="555"/>
      <c r="Y597" s="555"/>
      <c r="Z597" s="555"/>
    </row>
    <row r="598">
      <c r="A598" s="555"/>
      <c r="B598" s="555"/>
      <c r="C598" s="555"/>
      <c r="D598" s="555"/>
      <c r="E598" s="555"/>
      <c r="F598" s="555"/>
      <c r="G598" s="555"/>
      <c r="H598" s="555"/>
      <c r="I598" s="555"/>
      <c r="J598" s="555"/>
      <c r="K598" s="555"/>
      <c r="L598" s="555"/>
      <c r="M598" s="555"/>
      <c r="N598" s="555"/>
      <c r="O598" s="555"/>
      <c r="P598" s="555"/>
      <c r="Q598" s="555"/>
      <c r="R598" s="555"/>
      <c r="S598" s="555"/>
      <c r="T598" s="555"/>
      <c r="U598" s="555"/>
      <c r="V598" s="555"/>
      <c r="W598" s="555"/>
      <c r="X598" s="555"/>
      <c r="Y598" s="555"/>
      <c r="Z598" s="555"/>
    </row>
    <row r="599">
      <c r="A599" s="555"/>
      <c r="B599" s="555"/>
      <c r="C599" s="555"/>
      <c r="D599" s="555"/>
      <c r="E599" s="555"/>
      <c r="F599" s="555"/>
      <c r="G599" s="555"/>
      <c r="H599" s="555"/>
      <c r="I599" s="555"/>
      <c r="J599" s="555"/>
      <c r="K599" s="555"/>
      <c r="L599" s="555"/>
      <c r="M599" s="555"/>
      <c r="N599" s="555"/>
      <c r="O599" s="555"/>
      <c r="P599" s="555"/>
      <c r="Q599" s="555"/>
      <c r="R599" s="555"/>
      <c r="S599" s="555"/>
      <c r="T599" s="555"/>
      <c r="U599" s="555"/>
      <c r="V599" s="555"/>
      <c r="W599" s="555"/>
      <c r="X599" s="555"/>
      <c r="Y599" s="555"/>
      <c r="Z599" s="555"/>
    </row>
    <row r="600">
      <c r="A600" s="555"/>
      <c r="B600" s="555"/>
      <c r="C600" s="555"/>
      <c r="D600" s="555"/>
      <c r="E600" s="555"/>
      <c r="F600" s="555"/>
      <c r="G600" s="555"/>
      <c r="H600" s="555"/>
      <c r="I600" s="555"/>
      <c r="J600" s="555"/>
      <c r="K600" s="555"/>
      <c r="L600" s="555"/>
      <c r="M600" s="555"/>
      <c r="N600" s="555"/>
      <c r="O600" s="555"/>
      <c r="P600" s="555"/>
      <c r="Q600" s="555"/>
      <c r="R600" s="555"/>
      <c r="S600" s="555"/>
      <c r="T600" s="555"/>
      <c r="U600" s="555"/>
      <c r="V600" s="555"/>
      <c r="W600" s="555"/>
      <c r="X600" s="555"/>
      <c r="Y600" s="555"/>
      <c r="Z600" s="555"/>
    </row>
    <row r="601">
      <c r="A601" s="555"/>
      <c r="B601" s="555"/>
      <c r="C601" s="555"/>
      <c r="D601" s="555"/>
      <c r="E601" s="555"/>
      <c r="F601" s="555"/>
      <c r="G601" s="555"/>
      <c r="H601" s="555"/>
      <c r="I601" s="555"/>
      <c r="J601" s="555"/>
      <c r="K601" s="555"/>
      <c r="L601" s="555"/>
      <c r="M601" s="555"/>
      <c r="N601" s="555"/>
      <c r="O601" s="555"/>
      <c r="P601" s="555"/>
      <c r="Q601" s="555"/>
      <c r="R601" s="555"/>
      <c r="S601" s="555"/>
      <c r="T601" s="555"/>
      <c r="U601" s="555"/>
      <c r="V601" s="555"/>
      <c r="W601" s="555"/>
      <c r="X601" s="555"/>
      <c r="Y601" s="555"/>
      <c r="Z601" s="555"/>
    </row>
    <row r="602">
      <c r="A602" s="555"/>
      <c r="B602" s="555"/>
      <c r="C602" s="555"/>
      <c r="D602" s="555"/>
      <c r="E602" s="555"/>
      <c r="F602" s="555"/>
      <c r="G602" s="555"/>
      <c r="H602" s="555"/>
      <c r="I602" s="555"/>
      <c r="J602" s="555"/>
      <c r="K602" s="555"/>
      <c r="L602" s="555"/>
      <c r="M602" s="555"/>
      <c r="N602" s="555"/>
      <c r="O602" s="555"/>
      <c r="P602" s="555"/>
      <c r="Q602" s="555"/>
      <c r="R602" s="555"/>
      <c r="S602" s="555"/>
      <c r="T602" s="555"/>
      <c r="U602" s="555"/>
      <c r="V602" s="555"/>
      <c r="W602" s="555"/>
      <c r="X602" s="555"/>
      <c r="Y602" s="555"/>
      <c r="Z602" s="555"/>
    </row>
    <row r="603">
      <c r="A603" s="555"/>
      <c r="B603" s="555"/>
      <c r="C603" s="555"/>
      <c r="D603" s="555"/>
      <c r="E603" s="555"/>
      <c r="F603" s="555"/>
      <c r="G603" s="555"/>
      <c r="H603" s="555"/>
      <c r="I603" s="555"/>
      <c r="J603" s="555"/>
      <c r="K603" s="555"/>
      <c r="L603" s="555"/>
      <c r="M603" s="555"/>
      <c r="N603" s="555"/>
      <c r="O603" s="555"/>
      <c r="P603" s="555"/>
      <c r="Q603" s="555"/>
      <c r="R603" s="555"/>
      <c r="S603" s="555"/>
      <c r="T603" s="555"/>
      <c r="U603" s="555"/>
      <c r="V603" s="555"/>
      <c r="W603" s="555"/>
      <c r="X603" s="555"/>
      <c r="Y603" s="555"/>
      <c r="Z603" s="555"/>
    </row>
    <row r="604">
      <c r="A604" s="555"/>
      <c r="B604" s="555"/>
      <c r="C604" s="555"/>
      <c r="D604" s="555"/>
      <c r="E604" s="555"/>
      <c r="F604" s="555"/>
      <c r="G604" s="555"/>
      <c r="H604" s="555"/>
      <c r="I604" s="555"/>
      <c r="J604" s="555"/>
      <c r="K604" s="555"/>
      <c r="L604" s="555"/>
      <c r="M604" s="555"/>
      <c r="N604" s="555"/>
      <c r="O604" s="555"/>
      <c r="P604" s="555"/>
      <c r="Q604" s="555"/>
      <c r="R604" s="555"/>
      <c r="S604" s="555"/>
      <c r="T604" s="555"/>
      <c r="U604" s="555"/>
      <c r="V604" s="555"/>
      <c r="W604" s="555"/>
      <c r="X604" s="555"/>
      <c r="Y604" s="555"/>
      <c r="Z604" s="555"/>
    </row>
    <row r="605">
      <c r="A605" s="555"/>
      <c r="B605" s="555"/>
      <c r="C605" s="555"/>
      <c r="D605" s="555"/>
      <c r="E605" s="555"/>
      <c r="F605" s="555"/>
      <c r="G605" s="555"/>
      <c r="H605" s="555"/>
      <c r="I605" s="555"/>
      <c r="J605" s="555"/>
      <c r="K605" s="555"/>
      <c r="L605" s="555"/>
      <c r="M605" s="555"/>
      <c r="N605" s="555"/>
      <c r="O605" s="555"/>
      <c r="P605" s="555"/>
      <c r="Q605" s="555"/>
      <c r="R605" s="555"/>
      <c r="S605" s="555"/>
      <c r="T605" s="555"/>
      <c r="U605" s="555"/>
      <c r="V605" s="555"/>
      <c r="W605" s="555"/>
      <c r="X605" s="555"/>
      <c r="Y605" s="555"/>
      <c r="Z605" s="555"/>
    </row>
    <row r="606">
      <c r="A606" s="555"/>
      <c r="B606" s="555"/>
      <c r="C606" s="555"/>
      <c r="D606" s="555"/>
      <c r="E606" s="555"/>
      <c r="F606" s="555"/>
      <c r="G606" s="555"/>
      <c r="H606" s="555"/>
      <c r="I606" s="555"/>
      <c r="J606" s="555"/>
      <c r="K606" s="555"/>
      <c r="L606" s="555"/>
      <c r="M606" s="555"/>
      <c r="N606" s="555"/>
      <c r="O606" s="555"/>
      <c r="P606" s="555"/>
      <c r="Q606" s="555"/>
      <c r="R606" s="555"/>
      <c r="S606" s="555"/>
      <c r="T606" s="555"/>
      <c r="U606" s="555"/>
      <c r="V606" s="555"/>
      <c r="W606" s="555"/>
      <c r="X606" s="555"/>
      <c r="Y606" s="555"/>
      <c r="Z606" s="555"/>
    </row>
    <row r="607">
      <c r="A607" s="555"/>
      <c r="B607" s="555"/>
      <c r="C607" s="555"/>
      <c r="D607" s="555"/>
      <c r="E607" s="555"/>
      <c r="F607" s="555"/>
      <c r="G607" s="555"/>
      <c r="H607" s="555"/>
      <c r="I607" s="555"/>
      <c r="J607" s="555"/>
      <c r="K607" s="555"/>
      <c r="L607" s="555"/>
      <c r="M607" s="555"/>
      <c r="N607" s="555"/>
      <c r="O607" s="555"/>
      <c r="P607" s="555"/>
      <c r="Q607" s="555"/>
      <c r="R607" s="555"/>
      <c r="S607" s="555"/>
      <c r="T607" s="555"/>
      <c r="U607" s="555"/>
      <c r="V607" s="555"/>
      <c r="W607" s="555"/>
      <c r="X607" s="555"/>
      <c r="Y607" s="555"/>
      <c r="Z607" s="555"/>
    </row>
    <row r="608">
      <c r="A608" s="555"/>
      <c r="B608" s="555"/>
      <c r="C608" s="555"/>
      <c r="D608" s="555"/>
      <c r="E608" s="555"/>
      <c r="F608" s="555"/>
      <c r="G608" s="555"/>
      <c r="H608" s="555"/>
      <c r="I608" s="555"/>
      <c r="J608" s="555"/>
      <c r="K608" s="555"/>
      <c r="L608" s="555"/>
      <c r="M608" s="555"/>
      <c r="N608" s="555"/>
      <c r="O608" s="555"/>
      <c r="P608" s="555"/>
      <c r="Q608" s="555"/>
      <c r="R608" s="555"/>
      <c r="S608" s="555"/>
      <c r="T608" s="555"/>
      <c r="U608" s="555"/>
      <c r="V608" s="555"/>
      <c r="W608" s="555"/>
      <c r="X608" s="555"/>
      <c r="Y608" s="555"/>
      <c r="Z608" s="555"/>
    </row>
    <row r="609">
      <c r="A609" s="555"/>
      <c r="B609" s="555"/>
      <c r="C609" s="555"/>
      <c r="D609" s="555"/>
      <c r="E609" s="555"/>
      <c r="F609" s="555"/>
      <c r="G609" s="555"/>
      <c r="H609" s="555"/>
      <c r="I609" s="555"/>
      <c r="J609" s="555"/>
      <c r="K609" s="555"/>
      <c r="L609" s="555"/>
      <c r="M609" s="555"/>
      <c r="N609" s="555"/>
      <c r="O609" s="555"/>
      <c r="P609" s="555"/>
      <c r="Q609" s="555"/>
      <c r="R609" s="555"/>
      <c r="S609" s="555"/>
      <c r="T609" s="555"/>
      <c r="U609" s="555"/>
      <c r="V609" s="555"/>
      <c r="W609" s="555"/>
      <c r="X609" s="555"/>
      <c r="Y609" s="555"/>
      <c r="Z609" s="555"/>
    </row>
    <row r="610">
      <c r="A610" s="555"/>
      <c r="B610" s="555"/>
      <c r="C610" s="555"/>
      <c r="D610" s="555"/>
      <c r="E610" s="555"/>
      <c r="F610" s="555"/>
      <c r="G610" s="555"/>
      <c r="H610" s="555"/>
      <c r="I610" s="555"/>
      <c r="J610" s="555"/>
      <c r="K610" s="555"/>
      <c r="L610" s="555"/>
      <c r="M610" s="555"/>
      <c r="N610" s="555"/>
      <c r="O610" s="555"/>
      <c r="P610" s="555"/>
      <c r="Q610" s="555"/>
      <c r="R610" s="555"/>
      <c r="S610" s="555"/>
      <c r="T610" s="555"/>
      <c r="U610" s="555"/>
      <c r="V610" s="555"/>
      <c r="W610" s="555"/>
      <c r="X610" s="555"/>
      <c r="Y610" s="555"/>
      <c r="Z610" s="555"/>
    </row>
    <row r="611">
      <c r="A611" s="555"/>
      <c r="B611" s="555"/>
      <c r="C611" s="555"/>
      <c r="D611" s="555"/>
      <c r="E611" s="555"/>
      <c r="F611" s="555"/>
      <c r="G611" s="555"/>
      <c r="H611" s="555"/>
      <c r="I611" s="555"/>
      <c r="J611" s="555"/>
      <c r="K611" s="555"/>
      <c r="L611" s="555"/>
      <c r="M611" s="555"/>
      <c r="N611" s="555"/>
      <c r="O611" s="555"/>
      <c r="P611" s="555"/>
      <c r="Q611" s="555"/>
      <c r="R611" s="555"/>
      <c r="S611" s="555"/>
      <c r="T611" s="555"/>
      <c r="U611" s="555"/>
      <c r="V611" s="555"/>
      <c r="W611" s="555"/>
      <c r="X611" s="555"/>
      <c r="Y611" s="555"/>
      <c r="Z611" s="555"/>
    </row>
    <row r="612">
      <c r="A612" s="555"/>
      <c r="B612" s="555"/>
      <c r="C612" s="555"/>
      <c r="D612" s="555"/>
      <c r="E612" s="555"/>
      <c r="F612" s="555"/>
      <c r="G612" s="555"/>
      <c r="H612" s="555"/>
      <c r="I612" s="555"/>
      <c r="J612" s="555"/>
      <c r="K612" s="555"/>
      <c r="L612" s="555"/>
      <c r="M612" s="555"/>
      <c r="N612" s="555"/>
      <c r="O612" s="555"/>
      <c r="P612" s="555"/>
      <c r="Q612" s="555"/>
      <c r="R612" s="555"/>
      <c r="S612" s="555"/>
      <c r="T612" s="555"/>
      <c r="U612" s="555"/>
      <c r="V612" s="555"/>
      <c r="W612" s="555"/>
      <c r="X612" s="555"/>
      <c r="Y612" s="555"/>
      <c r="Z612" s="555"/>
    </row>
    <row r="613">
      <c r="A613" s="555"/>
      <c r="B613" s="555"/>
      <c r="C613" s="555"/>
      <c r="D613" s="555"/>
      <c r="E613" s="555"/>
      <c r="F613" s="555"/>
      <c r="G613" s="555"/>
      <c r="H613" s="555"/>
      <c r="I613" s="555"/>
      <c r="J613" s="555"/>
      <c r="K613" s="555"/>
      <c r="L613" s="555"/>
      <c r="M613" s="555"/>
      <c r="N613" s="555"/>
      <c r="O613" s="555"/>
      <c r="P613" s="555"/>
      <c r="Q613" s="555"/>
      <c r="R613" s="555"/>
      <c r="S613" s="555"/>
      <c r="T613" s="555"/>
      <c r="U613" s="555"/>
      <c r="V613" s="555"/>
      <c r="W613" s="555"/>
      <c r="X613" s="555"/>
      <c r="Y613" s="555"/>
      <c r="Z613" s="555"/>
    </row>
    <row r="614">
      <c r="A614" s="555"/>
      <c r="B614" s="555"/>
      <c r="C614" s="555"/>
      <c r="D614" s="555"/>
      <c r="E614" s="555"/>
      <c r="F614" s="555"/>
      <c r="G614" s="555"/>
      <c r="H614" s="555"/>
      <c r="I614" s="555"/>
      <c r="J614" s="555"/>
      <c r="K614" s="555"/>
      <c r="L614" s="555"/>
      <c r="M614" s="555"/>
      <c r="N614" s="555"/>
      <c r="O614" s="555"/>
      <c r="P614" s="555"/>
      <c r="Q614" s="555"/>
      <c r="R614" s="555"/>
      <c r="S614" s="555"/>
      <c r="T614" s="555"/>
      <c r="U614" s="555"/>
      <c r="V614" s="555"/>
      <c r="W614" s="555"/>
      <c r="X614" s="555"/>
      <c r="Y614" s="555"/>
      <c r="Z614" s="555"/>
    </row>
    <row r="615">
      <c r="A615" s="555"/>
      <c r="B615" s="555"/>
      <c r="C615" s="555"/>
      <c r="D615" s="555"/>
      <c r="E615" s="555"/>
      <c r="F615" s="555"/>
      <c r="G615" s="555"/>
      <c r="H615" s="555"/>
      <c r="I615" s="555"/>
      <c r="J615" s="555"/>
      <c r="K615" s="555"/>
      <c r="L615" s="555"/>
      <c r="M615" s="555"/>
      <c r="N615" s="555"/>
      <c r="O615" s="555"/>
      <c r="P615" s="555"/>
      <c r="Q615" s="555"/>
      <c r="R615" s="555"/>
      <c r="S615" s="555"/>
      <c r="T615" s="555"/>
      <c r="U615" s="555"/>
      <c r="V615" s="555"/>
      <c r="W615" s="555"/>
      <c r="X615" s="555"/>
      <c r="Y615" s="555"/>
      <c r="Z615" s="555"/>
    </row>
    <row r="616">
      <c r="A616" s="555"/>
      <c r="B616" s="555"/>
      <c r="C616" s="555"/>
      <c r="D616" s="555"/>
      <c r="E616" s="555"/>
      <c r="F616" s="555"/>
      <c r="G616" s="555"/>
      <c r="H616" s="555"/>
      <c r="I616" s="555"/>
      <c r="J616" s="555"/>
      <c r="K616" s="555"/>
      <c r="L616" s="555"/>
      <c r="M616" s="555"/>
      <c r="N616" s="555"/>
      <c r="O616" s="555"/>
      <c r="P616" s="555"/>
      <c r="Q616" s="555"/>
      <c r="R616" s="555"/>
      <c r="S616" s="555"/>
      <c r="T616" s="555"/>
      <c r="U616" s="555"/>
      <c r="V616" s="555"/>
      <c r="W616" s="555"/>
      <c r="X616" s="555"/>
      <c r="Y616" s="555"/>
      <c r="Z616" s="555"/>
    </row>
    <row r="617">
      <c r="A617" s="555"/>
      <c r="B617" s="555"/>
      <c r="C617" s="555"/>
      <c r="D617" s="555"/>
      <c r="E617" s="555"/>
      <c r="F617" s="555"/>
      <c r="G617" s="555"/>
      <c r="H617" s="555"/>
      <c r="I617" s="555"/>
      <c r="J617" s="555"/>
      <c r="K617" s="555"/>
      <c r="L617" s="555"/>
      <c r="M617" s="555"/>
      <c r="N617" s="555"/>
      <c r="O617" s="555"/>
      <c r="P617" s="555"/>
      <c r="Q617" s="555"/>
      <c r="R617" s="555"/>
      <c r="S617" s="555"/>
      <c r="T617" s="555"/>
      <c r="U617" s="555"/>
      <c r="V617" s="555"/>
      <c r="W617" s="555"/>
      <c r="X617" s="555"/>
      <c r="Y617" s="555"/>
      <c r="Z617" s="555"/>
    </row>
    <row r="618">
      <c r="A618" s="555"/>
      <c r="B618" s="555"/>
      <c r="C618" s="555"/>
      <c r="D618" s="555"/>
      <c r="E618" s="555"/>
      <c r="F618" s="555"/>
      <c r="G618" s="555"/>
      <c r="H618" s="555"/>
      <c r="I618" s="555"/>
      <c r="J618" s="555"/>
      <c r="K618" s="555"/>
      <c r="L618" s="555"/>
      <c r="M618" s="555"/>
      <c r="N618" s="555"/>
      <c r="O618" s="555"/>
      <c r="P618" s="555"/>
      <c r="Q618" s="555"/>
      <c r="R618" s="555"/>
      <c r="S618" s="555"/>
      <c r="T618" s="555"/>
      <c r="U618" s="555"/>
      <c r="V618" s="555"/>
      <c r="W618" s="555"/>
      <c r="X618" s="555"/>
      <c r="Y618" s="555"/>
      <c r="Z618" s="555"/>
    </row>
    <row r="619">
      <c r="A619" s="555"/>
      <c r="B619" s="555"/>
      <c r="C619" s="555"/>
      <c r="D619" s="555"/>
      <c r="E619" s="555"/>
      <c r="F619" s="555"/>
      <c r="G619" s="555"/>
      <c r="H619" s="555"/>
      <c r="I619" s="555"/>
      <c r="J619" s="555"/>
      <c r="K619" s="555"/>
      <c r="L619" s="555"/>
      <c r="M619" s="555"/>
      <c r="N619" s="555"/>
      <c r="O619" s="555"/>
      <c r="P619" s="555"/>
      <c r="Q619" s="555"/>
      <c r="R619" s="555"/>
      <c r="S619" s="555"/>
      <c r="T619" s="555"/>
      <c r="U619" s="555"/>
      <c r="V619" s="555"/>
      <c r="W619" s="555"/>
      <c r="X619" s="555"/>
      <c r="Y619" s="555"/>
      <c r="Z619" s="555"/>
    </row>
    <row r="620">
      <c r="A620" s="555"/>
      <c r="B620" s="555"/>
      <c r="C620" s="555"/>
      <c r="D620" s="555"/>
      <c r="E620" s="555"/>
      <c r="F620" s="555"/>
      <c r="G620" s="555"/>
      <c r="H620" s="555"/>
      <c r="I620" s="555"/>
      <c r="J620" s="555"/>
      <c r="K620" s="555"/>
      <c r="L620" s="555"/>
      <c r="M620" s="555"/>
      <c r="N620" s="555"/>
      <c r="O620" s="555"/>
      <c r="P620" s="555"/>
      <c r="Q620" s="555"/>
      <c r="R620" s="555"/>
      <c r="S620" s="555"/>
      <c r="T620" s="555"/>
      <c r="U620" s="555"/>
      <c r="V620" s="555"/>
      <c r="W620" s="555"/>
      <c r="X620" s="555"/>
      <c r="Y620" s="555"/>
      <c r="Z620" s="555"/>
    </row>
    <row r="621">
      <c r="A621" s="555"/>
      <c r="B621" s="555"/>
      <c r="C621" s="555"/>
      <c r="D621" s="555"/>
      <c r="E621" s="555"/>
      <c r="F621" s="555"/>
      <c r="G621" s="555"/>
      <c r="H621" s="555"/>
      <c r="I621" s="555"/>
      <c r="J621" s="555"/>
      <c r="K621" s="555"/>
      <c r="L621" s="555"/>
      <c r="M621" s="555"/>
      <c r="N621" s="555"/>
      <c r="O621" s="555"/>
      <c r="P621" s="555"/>
      <c r="Q621" s="555"/>
      <c r="R621" s="555"/>
      <c r="S621" s="555"/>
      <c r="T621" s="555"/>
      <c r="U621" s="555"/>
      <c r="V621" s="555"/>
      <c r="W621" s="555"/>
      <c r="X621" s="555"/>
      <c r="Y621" s="555"/>
      <c r="Z621" s="555"/>
    </row>
    <row r="622">
      <c r="A622" s="555"/>
      <c r="B622" s="555"/>
      <c r="C622" s="555"/>
      <c r="D622" s="555"/>
      <c r="E622" s="555"/>
      <c r="F622" s="555"/>
      <c r="G622" s="555"/>
      <c r="H622" s="555"/>
      <c r="I622" s="555"/>
      <c r="J622" s="555"/>
      <c r="K622" s="555"/>
      <c r="L622" s="555"/>
      <c r="M622" s="555"/>
      <c r="N622" s="555"/>
      <c r="O622" s="555"/>
      <c r="P622" s="555"/>
      <c r="Q622" s="555"/>
      <c r="R622" s="555"/>
      <c r="S622" s="555"/>
      <c r="T622" s="555"/>
      <c r="U622" s="555"/>
      <c r="V622" s="555"/>
      <c r="W622" s="555"/>
      <c r="X622" s="555"/>
      <c r="Y622" s="555"/>
      <c r="Z622" s="555"/>
    </row>
    <row r="623">
      <c r="A623" s="555"/>
      <c r="B623" s="555"/>
      <c r="C623" s="555"/>
      <c r="D623" s="555"/>
      <c r="E623" s="555"/>
      <c r="F623" s="555"/>
      <c r="G623" s="555"/>
      <c r="H623" s="555"/>
      <c r="I623" s="555"/>
      <c r="J623" s="555"/>
      <c r="K623" s="555"/>
      <c r="L623" s="555"/>
      <c r="M623" s="555"/>
      <c r="N623" s="555"/>
      <c r="O623" s="555"/>
      <c r="P623" s="555"/>
      <c r="Q623" s="555"/>
      <c r="R623" s="555"/>
      <c r="S623" s="555"/>
      <c r="T623" s="555"/>
      <c r="U623" s="555"/>
      <c r="V623" s="555"/>
      <c r="W623" s="555"/>
      <c r="X623" s="555"/>
      <c r="Y623" s="555"/>
      <c r="Z623" s="555"/>
    </row>
    <row r="624">
      <c r="A624" s="555"/>
      <c r="B624" s="555"/>
      <c r="C624" s="555"/>
      <c r="D624" s="555"/>
      <c r="E624" s="555"/>
      <c r="F624" s="555"/>
      <c r="G624" s="555"/>
      <c r="H624" s="555"/>
      <c r="I624" s="555"/>
      <c r="J624" s="555"/>
      <c r="K624" s="555"/>
      <c r="L624" s="555"/>
      <c r="M624" s="555"/>
      <c r="N624" s="555"/>
      <c r="O624" s="555"/>
      <c r="P624" s="555"/>
      <c r="Q624" s="555"/>
      <c r="R624" s="555"/>
      <c r="S624" s="555"/>
      <c r="T624" s="555"/>
      <c r="U624" s="555"/>
      <c r="V624" s="555"/>
      <c r="W624" s="555"/>
      <c r="X624" s="555"/>
      <c r="Y624" s="555"/>
      <c r="Z624" s="555"/>
    </row>
    <row r="625">
      <c r="A625" s="555"/>
      <c r="B625" s="555"/>
      <c r="C625" s="555"/>
      <c r="D625" s="555"/>
      <c r="E625" s="555"/>
      <c r="F625" s="555"/>
      <c r="G625" s="555"/>
      <c r="H625" s="555"/>
      <c r="I625" s="555"/>
      <c r="J625" s="555"/>
      <c r="K625" s="555"/>
      <c r="L625" s="555"/>
      <c r="M625" s="555"/>
      <c r="N625" s="555"/>
      <c r="O625" s="555"/>
      <c r="P625" s="555"/>
      <c r="Q625" s="555"/>
      <c r="R625" s="555"/>
      <c r="S625" s="555"/>
      <c r="T625" s="555"/>
      <c r="U625" s="555"/>
      <c r="V625" s="555"/>
      <c r="W625" s="555"/>
      <c r="X625" s="555"/>
      <c r="Y625" s="555"/>
      <c r="Z625" s="555"/>
    </row>
    <row r="626">
      <c r="A626" s="555"/>
      <c r="B626" s="555"/>
      <c r="C626" s="555"/>
      <c r="D626" s="555"/>
      <c r="E626" s="555"/>
      <c r="F626" s="555"/>
      <c r="G626" s="555"/>
      <c r="H626" s="555"/>
      <c r="I626" s="555"/>
      <c r="J626" s="555"/>
      <c r="K626" s="555"/>
      <c r="L626" s="555"/>
      <c r="M626" s="555"/>
      <c r="N626" s="555"/>
      <c r="O626" s="555"/>
      <c r="P626" s="555"/>
      <c r="Q626" s="555"/>
      <c r="R626" s="555"/>
      <c r="S626" s="555"/>
      <c r="T626" s="555"/>
      <c r="U626" s="555"/>
      <c r="V626" s="555"/>
      <c r="W626" s="555"/>
      <c r="X626" s="555"/>
      <c r="Y626" s="555"/>
      <c r="Z626" s="555"/>
    </row>
    <row r="627">
      <c r="A627" s="555"/>
      <c r="B627" s="555"/>
      <c r="C627" s="555"/>
      <c r="D627" s="555"/>
      <c r="E627" s="555"/>
      <c r="F627" s="555"/>
      <c r="G627" s="555"/>
      <c r="H627" s="555"/>
      <c r="I627" s="555"/>
      <c r="J627" s="555"/>
      <c r="K627" s="555"/>
      <c r="L627" s="555"/>
      <c r="M627" s="555"/>
      <c r="N627" s="555"/>
      <c r="O627" s="555"/>
      <c r="P627" s="555"/>
      <c r="Q627" s="555"/>
      <c r="R627" s="555"/>
      <c r="S627" s="555"/>
      <c r="T627" s="555"/>
      <c r="U627" s="555"/>
      <c r="V627" s="555"/>
      <c r="W627" s="555"/>
      <c r="X627" s="555"/>
      <c r="Y627" s="555"/>
      <c r="Z627" s="555"/>
    </row>
    <row r="628">
      <c r="A628" s="555"/>
      <c r="B628" s="555"/>
      <c r="C628" s="555"/>
      <c r="D628" s="555"/>
      <c r="E628" s="555"/>
      <c r="F628" s="555"/>
      <c r="G628" s="555"/>
      <c r="H628" s="555"/>
      <c r="I628" s="555"/>
      <c r="J628" s="555"/>
      <c r="K628" s="555"/>
      <c r="L628" s="555"/>
      <c r="M628" s="555"/>
      <c r="N628" s="555"/>
      <c r="O628" s="555"/>
      <c r="P628" s="555"/>
      <c r="Q628" s="555"/>
      <c r="R628" s="555"/>
      <c r="S628" s="555"/>
      <c r="T628" s="555"/>
      <c r="U628" s="555"/>
      <c r="V628" s="555"/>
      <c r="W628" s="555"/>
      <c r="X628" s="555"/>
      <c r="Y628" s="555"/>
      <c r="Z628" s="555"/>
    </row>
    <row r="629">
      <c r="A629" s="555"/>
      <c r="B629" s="555"/>
      <c r="C629" s="555"/>
      <c r="D629" s="555"/>
      <c r="E629" s="555"/>
      <c r="F629" s="555"/>
      <c r="G629" s="555"/>
      <c r="H629" s="555"/>
      <c r="I629" s="555"/>
      <c r="J629" s="555"/>
      <c r="K629" s="555"/>
      <c r="L629" s="555"/>
      <c r="M629" s="555"/>
      <c r="N629" s="555"/>
      <c r="O629" s="555"/>
      <c r="P629" s="555"/>
      <c r="Q629" s="555"/>
      <c r="R629" s="555"/>
      <c r="S629" s="555"/>
      <c r="T629" s="555"/>
      <c r="U629" s="555"/>
      <c r="V629" s="555"/>
      <c r="W629" s="555"/>
      <c r="X629" s="555"/>
      <c r="Y629" s="555"/>
      <c r="Z629" s="555"/>
    </row>
    <row r="630">
      <c r="A630" s="555"/>
      <c r="B630" s="555"/>
      <c r="C630" s="555"/>
      <c r="D630" s="555"/>
      <c r="E630" s="555"/>
      <c r="F630" s="555"/>
      <c r="G630" s="555"/>
      <c r="H630" s="555"/>
      <c r="I630" s="555"/>
      <c r="J630" s="555"/>
      <c r="K630" s="555"/>
      <c r="L630" s="555"/>
      <c r="M630" s="555"/>
      <c r="N630" s="555"/>
      <c r="O630" s="555"/>
      <c r="P630" s="555"/>
      <c r="Q630" s="555"/>
      <c r="R630" s="555"/>
      <c r="S630" s="555"/>
      <c r="T630" s="555"/>
      <c r="U630" s="555"/>
      <c r="V630" s="555"/>
      <c r="W630" s="555"/>
      <c r="X630" s="555"/>
      <c r="Y630" s="555"/>
      <c r="Z630" s="555"/>
    </row>
    <row r="631">
      <c r="A631" s="555"/>
      <c r="B631" s="555"/>
      <c r="C631" s="555"/>
      <c r="D631" s="555"/>
      <c r="E631" s="555"/>
      <c r="F631" s="555"/>
      <c r="G631" s="555"/>
      <c r="H631" s="555"/>
      <c r="I631" s="555"/>
      <c r="J631" s="555"/>
      <c r="K631" s="555"/>
      <c r="L631" s="555"/>
      <c r="M631" s="555"/>
      <c r="N631" s="555"/>
      <c r="O631" s="555"/>
      <c r="P631" s="555"/>
      <c r="Q631" s="555"/>
      <c r="R631" s="555"/>
      <c r="S631" s="555"/>
      <c r="T631" s="555"/>
      <c r="U631" s="555"/>
      <c r="V631" s="555"/>
      <c r="W631" s="555"/>
      <c r="X631" s="555"/>
      <c r="Y631" s="555"/>
      <c r="Z631" s="555"/>
    </row>
    <row r="632">
      <c r="A632" s="555"/>
      <c r="B632" s="555"/>
      <c r="C632" s="555"/>
      <c r="D632" s="555"/>
      <c r="E632" s="555"/>
      <c r="F632" s="555"/>
      <c r="G632" s="555"/>
      <c r="H632" s="555"/>
      <c r="I632" s="555"/>
      <c r="J632" s="555"/>
      <c r="K632" s="555"/>
      <c r="L632" s="555"/>
      <c r="M632" s="555"/>
      <c r="N632" s="555"/>
      <c r="O632" s="555"/>
      <c r="P632" s="555"/>
      <c r="Q632" s="555"/>
      <c r="R632" s="555"/>
      <c r="S632" s="555"/>
      <c r="T632" s="555"/>
      <c r="U632" s="555"/>
      <c r="V632" s="555"/>
      <c r="W632" s="555"/>
      <c r="X632" s="555"/>
      <c r="Y632" s="555"/>
      <c r="Z632" s="555"/>
    </row>
    <row r="633">
      <c r="A633" s="555"/>
      <c r="B633" s="555"/>
      <c r="C633" s="555"/>
      <c r="D633" s="555"/>
      <c r="E633" s="555"/>
      <c r="F633" s="555"/>
      <c r="G633" s="555"/>
      <c r="H633" s="555"/>
      <c r="I633" s="555"/>
      <c r="J633" s="555"/>
      <c r="K633" s="555"/>
      <c r="L633" s="555"/>
      <c r="M633" s="555"/>
      <c r="N633" s="555"/>
      <c r="O633" s="555"/>
      <c r="P633" s="555"/>
      <c r="Q633" s="555"/>
      <c r="R633" s="555"/>
      <c r="S633" s="555"/>
      <c r="T633" s="555"/>
      <c r="U633" s="555"/>
      <c r="V633" s="555"/>
      <c r="W633" s="555"/>
      <c r="X633" s="555"/>
      <c r="Y633" s="555"/>
      <c r="Z633" s="555"/>
    </row>
    <row r="634">
      <c r="A634" s="555"/>
      <c r="B634" s="555"/>
      <c r="C634" s="555"/>
      <c r="D634" s="555"/>
      <c r="E634" s="555"/>
      <c r="F634" s="555"/>
      <c r="G634" s="555"/>
      <c r="H634" s="555"/>
      <c r="I634" s="555"/>
      <c r="J634" s="555"/>
      <c r="K634" s="555"/>
      <c r="L634" s="555"/>
      <c r="M634" s="555"/>
      <c r="N634" s="555"/>
      <c r="O634" s="555"/>
      <c r="P634" s="555"/>
      <c r="Q634" s="555"/>
      <c r="R634" s="555"/>
      <c r="S634" s="555"/>
      <c r="T634" s="555"/>
      <c r="U634" s="555"/>
      <c r="V634" s="555"/>
      <c r="W634" s="555"/>
      <c r="X634" s="555"/>
      <c r="Y634" s="555"/>
      <c r="Z634" s="555"/>
    </row>
    <row r="635">
      <c r="A635" s="555"/>
      <c r="B635" s="555"/>
      <c r="C635" s="555"/>
      <c r="D635" s="555"/>
      <c r="E635" s="555"/>
      <c r="F635" s="555"/>
      <c r="G635" s="555"/>
      <c r="H635" s="555"/>
      <c r="I635" s="555"/>
      <c r="J635" s="555"/>
      <c r="K635" s="555"/>
      <c r="L635" s="555"/>
      <c r="M635" s="555"/>
      <c r="N635" s="555"/>
      <c r="O635" s="555"/>
      <c r="P635" s="555"/>
      <c r="Q635" s="555"/>
      <c r="R635" s="555"/>
      <c r="S635" s="555"/>
      <c r="T635" s="555"/>
      <c r="U635" s="555"/>
      <c r="V635" s="555"/>
      <c r="W635" s="555"/>
      <c r="X635" s="555"/>
      <c r="Y635" s="555"/>
      <c r="Z635" s="555"/>
    </row>
    <row r="636">
      <c r="A636" s="555"/>
      <c r="B636" s="555"/>
      <c r="C636" s="555"/>
      <c r="D636" s="555"/>
      <c r="E636" s="555"/>
      <c r="F636" s="555"/>
      <c r="G636" s="555"/>
      <c r="H636" s="555"/>
      <c r="I636" s="555"/>
      <c r="J636" s="555"/>
      <c r="K636" s="555"/>
      <c r="L636" s="555"/>
      <c r="M636" s="555"/>
      <c r="N636" s="555"/>
      <c r="O636" s="555"/>
      <c r="P636" s="555"/>
      <c r="Q636" s="555"/>
      <c r="R636" s="555"/>
      <c r="S636" s="555"/>
      <c r="T636" s="555"/>
      <c r="U636" s="555"/>
      <c r="V636" s="555"/>
      <c r="W636" s="555"/>
      <c r="X636" s="555"/>
      <c r="Y636" s="555"/>
      <c r="Z636" s="555"/>
    </row>
    <row r="637">
      <c r="A637" s="555"/>
      <c r="B637" s="555"/>
      <c r="C637" s="555"/>
      <c r="D637" s="555"/>
      <c r="E637" s="555"/>
      <c r="F637" s="555"/>
      <c r="G637" s="555"/>
      <c r="H637" s="555"/>
      <c r="I637" s="555"/>
      <c r="J637" s="555"/>
      <c r="K637" s="555"/>
      <c r="L637" s="555"/>
      <c r="M637" s="555"/>
      <c r="N637" s="555"/>
      <c r="O637" s="555"/>
      <c r="P637" s="555"/>
      <c r="Q637" s="555"/>
      <c r="R637" s="555"/>
      <c r="S637" s="555"/>
      <c r="T637" s="555"/>
      <c r="U637" s="555"/>
      <c r="V637" s="555"/>
      <c r="W637" s="555"/>
      <c r="X637" s="555"/>
      <c r="Y637" s="555"/>
      <c r="Z637" s="555"/>
    </row>
    <row r="638">
      <c r="A638" s="555"/>
      <c r="B638" s="555"/>
      <c r="C638" s="555"/>
      <c r="D638" s="555"/>
      <c r="E638" s="555"/>
      <c r="F638" s="555"/>
      <c r="G638" s="555"/>
      <c r="H638" s="555"/>
      <c r="I638" s="555"/>
      <c r="J638" s="555"/>
      <c r="K638" s="555"/>
      <c r="L638" s="555"/>
      <c r="M638" s="555"/>
      <c r="N638" s="555"/>
      <c r="O638" s="555"/>
      <c r="P638" s="555"/>
      <c r="Q638" s="555"/>
      <c r="R638" s="555"/>
      <c r="S638" s="555"/>
      <c r="T638" s="555"/>
      <c r="U638" s="555"/>
      <c r="V638" s="555"/>
      <c r="W638" s="555"/>
      <c r="X638" s="555"/>
      <c r="Y638" s="555"/>
      <c r="Z638" s="555"/>
    </row>
    <row r="639">
      <c r="A639" s="555"/>
      <c r="B639" s="555"/>
      <c r="C639" s="555"/>
      <c r="D639" s="555"/>
      <c r="E639" s="555"/>
      <c r="F639" s="555"/>
      <c r="G639" s="555"/>
      <c r="H639" s="555"/>
      <c r="I639" s="555"/>
      <c r="J639" s="555"/>
      <c r="K639" s="555"/>
      <c r="L639" s="555"/>
      <c r="M639" s="555"/>
      <c r="N639" s="555"/>
      <c r="O639" s="555"/>
      <c r="P639" s="555"/>
      <c r="Q639" s="555"/>
      <c r="R639" s="555"/>
      <c r="S639" s="555"/>
      <c r="T639" s="555"/>
      <c r="U639" s="555"/>
      <c r="V639" s="555"/>
      <c r="W639" s="555"/>
      <c r="X639" s="555"/>
      <c r="Y639" s="555"/>
      <c r="Z639" s="555"/>
    </row>
    <row r="640">
      <c r="A640" s="555"/>
      <c r="B640" s="555"/>
      <c r="C640" s="555"/>
      <c r="D640" s="555"/>
      <c r="E640" s="555"/>
      <c r="F640" s="555"/>
      <c r="G640" s="555"/>
      <c r="H640" s="555"/>
      <c r="I640" s="555"/>
      <c r="J640" s="555"/>
      <c r="K640" s="555"/>
      <c r="L640" s="555"/>
      <c r="M640" s="555"/>
      <c r="N640" s="555"/>
      <c r="O640" s="555"/>
      <c r="P640" s="555"/>
      <c r="Q640" s="555"/>
      <c r="R640" s="555"/>
      <c r="S640" s="555"/>
      <c r="T640" s="555"/>
      <c r="U640" s="555"/>
      <c r="V640" s="555"/>
      <c r="W640" s="555"/>
      <c r="X640" s="555"/>
      <c r="Y640" s="555"/>
      <c r="Z640" s="555"/>
    </row>
    <row r="641">
      <c r="A641" s="555"/>
      <c r="B641" s="555"/>
      <c r="C641" s="555"/>
      <c r="D641" s="555"/>
      <c r="E641" s="555"/>
      <c r="F641" s="555"/>
      <c r="G641" s="555"/>
      <c r="H641" s="555"/>
      <c r="I641" s="555"/>
      <c r="J641" s="555"/>
      <c r="K641" s="555"/>
      <c r="L641" s="555"/>
      <c r="M641" s="555"/>
      <c r="N641" s="555"/>
      <c r="O641" s="555"/>
      <c r="P641" s="555"/>
      <c r="Q641" s="555"/>
      <c r="R641" s="555"/>
      <c r="S641" s="555"/>
      <c r="T641" s="555"/>
      <c r="U641" s="555"/>
      <c r="V641" s="555"/>
      <c r="W641" s="555"/>
      <c r="X641" s="555"/>
      <c r="Y641" s="555"/>
      <c r="Z641" s="555"/>
    </row>
    <row r="642">
      <c r="A642" s="555"/>
      <c r="B642" s="555"/>
      <c r="C642" s="555"/>
      <c r="D642" s="555"/>
      <c r="E642" s="555"/>
      <c r="F642" s="555"/>
      <c r="G642" s="555"/>
      <c r="H642" s="555"/>
      <c r="I642" s="555"/>
      <c r="J642" s="555"/>
      <c r="K642" s="555"/>
      <c r="L642" s="555"/>
      <c r="M642" s="555"/>
      <c r="N642" s="555"/>
      <c r="O642" s="555"/>
      <c r="P642" s="555"/>
      <c r="Q642" s="555"/>
      <c r="R642" s="555"/>
      <c r="S642" s="555"/>
      <c r="T642" s="555"/>
      <c r="U642" s="555"/>
      <c r="V642" s="555"/>
      <c r="W642" s="555"/>
      <c r="X642" s="555"/>
      <c r="Y642" s="555"/>
      <c r="Z642" s="555"/>
    </row>
    <row r="643">
      <c r="A643" s="555"/>
      <c r="B643" s="555"/>
      <c r="C643" s="555"/>
      <c r="D643" s="555"/>
      <c r="E643" s="555"/>
      <c r="F643" s="555"/>
      <c r="G643" s="555"/>
      <c r="H643" s="555"/>
      <c r="I643" s="555"/>
      <c r="J643" s="555"/>
      <c r="K643" s="555"/>
      <c r="L643" s="555"/>
      <c r="M643" s="555"/>
      <c r="N643" s="555"/>
      <c r="O643" s="555"/>
      <c r="P643" s="555"/>
      <c r="Q643" s="555"/>
      <c r="R643" s="555"/>
      <c r="S643" s="555"/>
      <c r="T643" s="555"/>
      <c r="U643" s="555"/>
      <c r="V643" s="555"/>
      <c r="W643" s="555"/>
      <c r="X643" s="555"/>
      <c r="Y643" s="555"/>
      <c r="Z643" s="555"/>
    </row>
    <row r="644">
      <c r="A644" s="555"/>
      <c r="B644" s="555"/>
      <c r="C644" s="555"/>
      <c r="D644" s="555"/>
      <c r="E644" s="555"/>
      <c r="F644" s="555"/>
      <c r="G644" s="555"/>
      <c r="H644" s="555"/>
      <c r="I644" s="555"/>
      <c r="J644" s="555"/>
      <c r="K644" s="555"/>
      <c r="L644" s="555"/>
      <c r="M644" s="555"/>
      <c r="N644" s="555"/>
      <c r="O644" s="555"/>
      <c r="P644" s="555"/>
      <c r="Q644" s="555"/>
      <c r="R644" s="555"/>
      <c r="S644" s="555"/>
      <c r="T644" s="555"/>
      <c r="U644" s="555"/>
      <c r="V644" s="555"/>
      <c r="W644" s="555"/>
      <c r="X644" s="555"/>
      <c r="Y644" s="555"/>
      <c r="Z644" s="555"/>
    </row>
    <row r="645">
      <c r="A645" s="555"/>
      <c r="B645" s="555"/>
      <c r="C645" s="555"/>
      <c r="D645" s="555"/>
      <c r="E645" s="555"/>
      <c r="F645" s="555"/>
      <c r="G645" s="555"/>
      <c r="H645" s="555"/>
      <c r="I645" s="555"/>
      <c r="J645" s="555"/>
      <c r="K645" s="555"/>
      <c r="L645" s="555"/>
      <c r="M645" s="555"/>
      <c r="N645" s="555"/>
      <c r="O645" s="555"/>
      <c r="P645" s="555"/>
      <c r="Q645" s="555"/>
      <c r="R645" s="555"/>
      <c r="S645" s="555"/>
      <c r="T645" s="555"/>
      <c r="U645" s="555"/>
      <c r="V645" s="555"/>
      <c r="W645" s="555"/>
      <c r="X645" s="555"/>
      <c r="Y645" s="555"/>
      <c r="Z645" s="555"/>
    </row>
    <row r="646">
      <c r="A646" s="555"/>
      <c r="B646" s="555"/>
      <c r="C646" s="555"/>
      <c r="D646" s="555"/>
      <c r="E646" s="555"/>
      <c r="F646" s="555"/>
      <c r="G646" s="555"/>
      <c r="H646" s="555"/>
      <c r="I646" s="555"/>
      <c r="J646" s="555"/>
      <c r="K646" s="555"/>
      <c r="L646" s="555"/>
      <c r="M646" s="555"/>
      <c r="N646" s="555"/>
      <c r="O646" s="555"/>
      <c r="P646" s="555"/>
      <c r="Q646" s="555"/>
      <c r="R646" s="555"/>
      <c r="S646" s="555"/>
      <c r="T646" s="555"/>
      <c r="U646" s="555"/>
      <c r="V646" s="555"/>
      <c r="W646" s="555"/>
      <c r="X646" s="555"/>
      <c r="Y646" s="555"/>
      <c r="Z646" s="555"/>
    </row>
    <row r="647">
      <c r="A647" s="555"/>
      <c r="B647" s="555"/>
      <c r="C647" s="555"/>
      <c r="D647" s="555"/>
      <c r="E647" s="555"/>
      <c r="F647" s="555"/>
      <c r="G647" s="555"/>
      <c r="H647" s="555"/>
      <c r="I647" s="555"/>
      <c r="J647" s="555"/>
      <c r="K647" s="555"/>
      <c r="L647" s="555"/>
      <c r="M647" s="555"/>
      <c r="N647" s="555"/>
      <c r="O647" s="555"/>
      <c r="P647" s="555"/>
      <c r="Q647" s="555"/>
      <c r="R647" s="555"/>
      <c r="S647" s="555"/>
      <c r="T647" s="555"/>
      <c r="U647" s="555"/>
      <c r="V647" s="555"/>
      <c r="W647" s="555"/>
      <c r="X647" s="555"/>
      <c r="Y647" s="555"/>
      <c r="Z647" s="555"/>
    </row>
    <row r="648">
      <c r="A648" s="555"/>
      <c r="B648" s="555"/>
      <c r="C648" s="555"/>
      <c r="D648" s="555"/>
      <c r="E648" s="555"/>
      <c r="F648" s="555"/>
      <c r="G648" s="555"/>
      <c r="H648" s="555"/>
      <c r="I648" s="555"/>
      <c r="J648" s="555"/>
      <c r="K648" s="555"/>
      <c r="L648" s="555"/>
      <c r="M648" s="555"/>
      <c r="N648" s="555"/>
      <c r="O648" s="555"/>
      <c r="P648" s="555"/>
      <c r="Q648" s="555"/>
      <c r="R648" s="555"/>
      <c r="S648" s="555"/>
      <c r="T648" s="555"/>
      <c r="U648" s="555"/>
      <c r="V648" s="555"/>
      <c r="W648" s="555"/>
      <c r="X648" s="555"/>
      <c r="Y648" s="555"/>
      <c r="Z648" s="555"/>
    </row>
    <row r="649">
      <c r="A649" s="555"/>
      <c r="B649" s="555"/>
      <c r="C649" s="555"/>
      <c r="D649" s="555"/>
      <c r="E649" s="555"/>
      <c r="F649" s="555"/>
      <c r="G649" s="555"/>
      <c r="H649" s="555"/>
      <c r="I649" s="555"/>
      <c r="J649" s="555"/>
      <c r="K649" s="555"/>
      <c r="L649" s="555"/>
      <c r="M649" s="555"/>
      <c r="N649" s="555"/>
      <c r="O649" s="555"/>
      <c r="P649" s="555"/>
      <c r="Q649" s="555"/>
      <c r="R649" s="555"/>
      <c r="S649" s="555"/>
      <c r="T649" s="555"/>
      <c r="U649" s="555"/>
      <c r="V649" s="555"/>
      <c r="W649" s="555"/>
      <c r="X649" s="555"/>
      <c r="Y649" s="555"/>
      <c r="Z649" s="555"/>
    </row>
    <row r="650">
      <c r="A650" s="555"/>
      <c r="B650" s="555"/>
      <c r="C650" s="555"/>
      <c r="D650" s="555"/>
      <c r="E650" s="555"/>
      <c r="F650" s="555"/>
      <c r="G650" s="555"/>
      <c r="H650" s="555"/>
      <c r="I650" s="555"/>
      <c r="J650" s="555"/>
      <c r="K650" s="555"/>
      <c r="L650" s="555"/>
      <c r="M650" s="555"/>
      <c r="N650" s="555"/>
      <c r="O650" s="555"/>
      <c r="P650" s="555"/>
      <c r="Q650" s="555"/>
      <c r="R650" s="555"/>
      <c r="S650" s="555"/>
      <c r="T650" s="555"/>
      <c r="U650" s="555"/>
      <c r="V650" s="555"/>
      <c r="W650" s="555"/>
      <c r="X650" s="555"/>
      <c r="Y650" s="555"/>
      <c r="Z650" s="555"/>
    </row>
    <row r="651">
      <c r="A651" s="555"/>
      <c r="B651" s="555"/>
      <c r="C651" s="555"/>
      <c r="D651" s="555"/>
      <c r="E651" s="555"/>
      <c r="F651" s="555"/>
      <c r="G651" s="555"/>
      <c r="H651" s="555"/>
      <c r="I651" s="555"/>
      <c r="J651" s="555"/>
      <c r="K651" s="555"/>
      <c r="L651" s="555"/>
      <c r="M651" s="555"/>
      <c r="N651" s="555"/>
      <c r="O651" s="555"/>
      <c r="P651" s="555"/>
      <c r="Q651" s="555"/>
      <c r="R651" s="555"/>
      <c r="S651" s="555"/>
      <c r="T651" s="555"/>
      <c r="U651" s="555"/>
      <c r="V651" s="555"/>
      <c r="W651" s="555"/>
      <c r="X651" s="555"/>
      <c r="Y651" s="555"/>
      <c r="Z651" s="555"/>
    </row>
    <row r="652">
      <c r="A652" s="555"/>
      <c r="B652" s="555"/>
      <c r="C652" s="555"/>
      <c r="D652" s="555"/>
      <c r="E652" s="555"/>
      <c r="F652" s="555"/>
      <c r="G652" s="555"/>
      <c r="H652" s="555"/>
      <c r="I652" s="555"/>
      <c r="J652" s="555"/>
      <c r="K652" s="555"/>
      <c r="L652" s="555"/>
      <c r="M652" s="555"/>
      <c r="N652" s="555"/>
      <c r="O652" s="555"/>
      <c r="P652" s="555"/>
      <c r="Q652" s="555"/>
      <c r="R652" s="555"/>
      <c r="S652" s="555"/>
      <c r="T652" s="555"/>
      <c r="U652" s="555"/>
      <c r="V652" s="555"/>
      <c r="W652" s="555"/>
      <c r="X652" s="555"/>
      <c r="Y652" s="555"/>
      <c r="Z652" s="555"/>
    </row>
    <row r="653">
      <c r="A653" s="555"/>
      <c r="B653" s="555"/>
      <c r="C653" s="555"/>
      <c r="D653" s="555"/>
      <c r="E653" s="555"/>
      <c r="F653" s="555"/>
      <c r="G653" s="555"/>
      <c r="H653" s="555"/>
      <c r="I653" s="555"/>
      <c r="J653" s="555"/>
      <c r="K653" s="555"/>
      <c r="L653" s="555"/>
      <c r="M653" s="555"/>
      <c r="N653" s="555"/>
      <c r="O653" s="555"/>
      <c r="P653" s="555"/>
      <c r="Q653" s="555"/>
      <c r="R653" s="555"/>
      <c r="S653" s="555"/>
      <c r="T653" s="555"/>
      <c r="U653" s="555"/>
      <c r="V653" s="555"/>
      <c r="W653" s="555"/>
      <c r="X653" s="555"/>
      <c r="Y653" s="555"/>
      <c r="Z653" s="555"/>
    </row>
    <row r="654">
      <c r="A654" s="555"/>
      <c r="B654" s="555"/>
      <c r="C654" s="555"/>
      <c r="D654" s="555"/>
      <c r="E654" s="555"/>
      <c r="F654" s="555"/>
      <c r="G654" s="555"/>
      <c r="H654" s="555"/>
      <c r="I654" s="555"/>
      <c r="J654" s="555"/>
      <c r="K654" s="555"/>
      <c r="L654" s="555"/>
      <c r="M654" s="555"/>
      <c r="N654" s="555"/>
      <c r="O654" s="555"/>
      <c r="P654" s="555"/>
      <c r="Q654" s="555"/>
      <c r="R654" s="555"/>
      <c r="S654" s="555"/>
      <c r="T654" s="555"/>
      <c r="U654" s="555"/>
      <c r="V654" s="555"/>
      <c r="W654" s="555"/>
      <c r="X654" s="555"/>
      <c r="Y654" s="555"/>
      <c r="Z654" s="555"/>
    </row>
    <row r="655">
      <c r="A655" s="555"/>
      <c r="B655" s="555"/>
      <c r="C655" s="555"/>
      <c r="D655" s="555"/>
      <c r="E655" s="555"/>
      <c r="F655" s="555"/>
      <c r="G655" s="555"/>
      <c r="H655" s="555"/>
      <c r="I655" s="555"/>
      <c r="J655" s="555"/>
      <c r="K655" s="555"/>
      <c r="L655" s="555"/>
      <c r="M655" s="555"/>
      <c r="N655" s="555"/>
      <c r="O655" s="555"/>
      <c r="P655" s="555"/>
      <c r="Q655" s="555"/>
      <c r="R655" s="555"/>
      <c r="S655" s="555"/>
      <c r="T655" s="555"/>
      <c r="U655" s="555"/>
      <c r="V655" s="555"/>
      <c r="W655" s="555"/>
      <c r="X655" s="555"/>
      <c r="Y655" s="555"/>
      <c r="Z655" s="555"/>
    </row>
    <row r="656">
      <c r="A656" s="555"/>
      <c r="B656" s="555"/>
      <c r="C656" s="555"/>
      <c r="D656" s="555"/>
      <c r="E656" s="555"/>
      <c r="F656" s="555"/>
      <c r="G656" s="555"/>
      <c r="H656" s="555"/>
      <c r="I656" s="555"/>
      <c r="J656" s="555"/>
      <c r="K656" s="555"/>
      <c r="L656" s="555"/>
      <c r="M656" s="555"/>
      <c r="N656" s="555"/>
      <c r="O656" s="555"/>
      <c r="P656" s="555"/>
      <c r="Q656" s="555"/>
      <c r="R656" s="555"/>
      <c r="S656" s="555"/>
      <c r="T656" s="555"/>
      <c r="U656" s="555"/>
      <c r="V656" s="555"/>
      <c r="W656" s="555"/>
      <c r="X656" s="555"/>
      <c r="Y656" s="555"/>
      <c r="Z656" s="555"/>
    </row>
    <row r="657">
      <c r="A657" s="555"/>
      <c r="B657" s="555"/>
      <c r="C657" s="555"/>
      <c r="D657" s="555"/>
      <c r="E657" s="555"/>
      <c r="F657" s="555"/>
      <c r="G657" s="555"/>
      <c r="H657" s="555"/>
      <c r="I657" s="555"/>
      <c r="J657" s="555"/>
      <c r="K657" s="555"/>
      <c r="L657" s="555"/>
      <c r="M657" s="555"/>
      <c r="N657" s="555"/>
      <c r="O657" s="555"/>
      <c r="P657" s="555"/>
      <c r="Q657" s="555"/>
      <c r="R657" s="555"/>
      <c r="S657" s="555"/>
      <c r="T657" s="555"/>
      <c r="U657" s="555"/>
      <c r="V657" s="555"/>
      <c r="W657" s="555"/>
      <c r="X657" s="555"/>
      <c r="Y657" s="555"/>
      <c r="Z657" s="555"/>
    </row>
    <row r="658">
      <c r="A658" s="555"/>
      <c r="B658" s="555"/>
      <c r="C658" s="555"/>
      <c r="D658" s="555"/>
      <c r="E658" s="555"/>
      <c r="F658" s="555"/>
      <c r="G658" s="555"/>
      <c r="H658" s="555"/>
      <c r="I658" s="555"/>
      <c r="J658" s="555"/>
      <c r="K658" s="555"/>
      <c r="L658" s="555"/>
      <c r="M658" s="555"/>
      <c r="N658" s="555"/>
      <c r="O658" s="555"/>
      <c r="P658" s="555"/>
      <c r="Q658" s="555"/>
      <c r="R658" s="555"/>
      <c r="S658" s="555"/>
      <c r="T658" s="555"/>
      <c r="U658" s="555"/>
      <c r="V658" s="555"/>
      <c r="W658" s="555"/>
      <c r="X658" s="555"/>
      <c r="Y658" s="555"/>
      <c r="Z658" s="555"/>
    </row>
    <row r="659">
      <c r="A659" s="555"/>
      <c r="B659" s="555"/>
      <c r="C659" s="555"/>
      <c r="D659" s="555"/>
      <c r="E659" s="555"/>
      <c r="F659" s="555"/>
      <c r="G659" s="555"/>
      <c r="H659" s="555"/>
      <c r="I659" s="555"/>
      <c r="J659" s="555"/>
      <c r="K659" s="555"/>
      <c r="L659" s="555"/>
      <c r="M659" s="555"/>
      <c r="N659" s="555"/>
      <c r="O659" s="555"/>
      <c r="P659" s="555"/>
      <c r="Q659" s="555"/>
      <c r="R659" s="555"/>
      <c r="S659" s="555"/>
      <c r="T659" s="555"/>
      <c r="U659" s="555"/>
      <c r="V659" s="555"/>
      <c r="W659" s="555"/>
      <c r="X659" s="555"/>
      <c r="Y659" s="555"/>
      <c r="Z659" s="555"/>
    </row>
    <row r="660">
      <c r="A660" s="555"/>
      <c r="B660" s="555"/>
      <c r="C660" s="555"/>
      <c r="D660" s="555"/>
      <c r="E660" s="555"/>
      <c r="F660" s="555"/>
      <c r="G660" s="555"/>
      <c r="H660" s="555"/>
      <c r="I660" s="555"/>
      <c r="J660" s="555"/>
      <c r="K660" s="555"/>
      <c r="L660" s="555"/>
      <c r="M660" s="555"/>
      <c r="N660" s="555"/>
      <c r="O660" s="555"/>
      <c r="P660" s="555"/>
      <c r="Q660" s="555"/>
      <c r="R660" s="555"/>
      <c r="S660" s="555"/>
      <c r="T660" s="555"/>
      <c r="U660" s="555"/>
      <c r="V660" s="555"/>
      <c r="W660" s="555"/>
      <c r="X660" s="555"/>
      <c r="Y660" s="555"/>
      <c r="Z660" s="555"/>
    </row>
    <row r="661">
      <c r="A661" s="555"/>
      <c r="B661" s="555"/>
      <c r="C661" s="555"/>
      <c r="D661" s="555"/>
      <c r="E661" s="555"/>
      <c r="F661" s="555"/>
      <c r="G661" s="555"/>
      <c r="H661" s="555"/>
      <c r="I661" s="555"/>
      <c r="J661" s="555"/>
      <c r="K661" s="555"/>
      <c r="L661" s="555"/>
      <c r="M661" s="555"/>
      <c r="N661" s="555"/>
      <c r="O661" s="555"/>
      <c r="P661" s="555"/>
      <c r="Q661" s="555"/>
      <c r="R661" s="555"/>
      <c r="S661" s="555"/>
      <c r="T661" s="555"/>
      <c r="U661" s="555"/>
      <c r="V661" s="555"/>
      <c r="W661" s="555"/>
      <c r="X661" s="555"/>
      <c r="Y661" s="555"/>
      <c r="Z661" s="555"/>
    </row>
    <row r="662">
      <c r="A662" s="555"/>
      <c r="B662" s="555"/>
      <c r="C662" s="555"/>
      <c r="D662" s="555"/>
      <c r="E662" s="555"/>
      <c r="F662" s="555"/>
      <c r="G662" s="555"/>
      <c r="H662" s="555"/>
      <c r="I662" s="555"/>
      <c r="J662" s="555"/>
      <c r="K662" s="555"/>
      <c r="L662" s="555"/>
      <c r="M662" s="555"/>
      <c r="N662" s="555"/>
      <c r="O662" s="555"/>
      <c r="P662" s="555"/>
      <c r="Q662" s="555"/>
      <c r="R662" s="555"/>
      <c r="S662" s="555"/>
      <c r="T662" s="555"/>
      <c r="U662" s="555"/>
      <c r="V662" s="555"/>
      <c r="W662" s="555"/>
      <c r="X662" s="555"/>
      <c r="Y662" s="555"/>
      <c r="Z662" s="555"/>
    </row>
    <row r="663">
      <c r="A663" s="555"/>
      <c r="B663" s="555"/>
      <c r="C663" s="555"/>
      <c r="D663" s="555"/>
      <c r="E663" s="555"/>
      <c r="F663" s="555"/>
      <c r="G663" s="555"/>
      <c r="H663" s="555"/>
      <c r="I663" s="555"/>
      <c r="J663" s="555"/>
      <c r="K663" s="555"/>
      <c r="L663" s="555"/>
      <c r="M663" s="555"/>
      <c r="N663" s="555"/>
      <c r="O663" s="555"/>
      <c r="P663" s="555"/>
      <c r="Q663" s="555"/>
      <c r="R663" s="555"/>
      <c r="S663" s="555"/>
      <c r="T663" s="555"/>
      <c r="U663" s="555"/>
      <c r="V663" s="555"/>
      <c r="W663" s="555"/>
      <c r="X663" s="555"/>
      <c r="Y663" s="555"/>
      <c r="Z663" s="555"/>
    </row>
    <row r="664">
      <c r="A664" s="555"/>
      <c r="B664" s="555"/>
      <c r="C664" s="555"/>
      <c r="D664" s="555"/>
      <c r="E664" s="555"/>
      <c r="F664" s="555"/>
      <c r="G664" s="555"/>
      <c r="H664" s="555"/>
      <c r="I664" s="555"/>
      <c r="J664" s="555"/>
      <c r="K664" s="555"/>
      <c r="L664" s="555"/>
      <c r="M664" s="555"/>
      <c r="N664" s="555"/>
      <c r="O664" s="555"/>
      <c r="P664" s="555"/>
      <c r="Q664" s="555"/>
      <c r="R664" s="555"/>
      <c r="S664" s="555"/>
      <c r="T664" s="555"/>
      <c r="U664" s="555"/>
      <c r="V664" s="555"/>
      <c r="W664" s="555"/>
      <c r="X664" s="555"/>
      <c r="Y664" s="555"/>
      <c r="Z664" s="555"/>
    </row>
    <row r="665">
      <c r="A665" s="555"/>
      <c r="B665" s="555"/>
      <c r="C665" s="555"/>
      <c r="D665" s="555"/>
      <c r="E665" s="555"/>
      <c r="F665" s="555"/>
      <c r="G665" s="555"/>
      <c r="H665" s="555"/>
      <c r="I665" s="555"/>
      <c r="J665" s="555"/>
      <c r="K665" s="555"/>
      <c r="L665" s="555"/>
      <c r="M665" s="555"/>
      <c r="N665" s="555"/>
      <c r="O665" s="555"/>
      <c r="P665" s="555"/>
      <c r="Q665" s="555"/>
      <c r="R665" s="555"/>
      <c r="S665" s="555"/>
      <c r="T665" s="555"/>
      <c r="U665" s="555"/>
      <c r="V665" s="555"/>
      <c r="W665" s="555"/>
      <c r="X665" s="555"/>
      <c r="Y665" s="555"/>
      <c r="Z665" s="555"/>
    </row>
    <row r="666">
      <c r="A666" s="555"/>
      <c r="B666" s="555"/>
      <c r="C666" s="555"/>
      <c r="D666" s="555"/>
      <c r="E666" s="555"/>
      <c r="F666" s="555"/>
      <c r="G666" s="555"/>
      <c r="H666" s="555"/>
      <c r="I666" s="555"/>
      <c r="J666" s="555"/>
      <c r="K666" s="555"/>
      <c r="L666" s="555"/>
      <c r="M666" s="555"/>
      <c r="N666" s="555"/>
      <c r="O666" s="555"/>
      <c r="P666" s="555"/>
      <c r="Q666" s="555"/>
      <c r="R666" s="555"/>
      <c r="S666" s="555"/>
      <c r="T666" s="555"/>
      <c r="U666" s="555"/>
      <c r="V666" s="555"/>
      <c r="W666" s="555"/>
      <c r="X666" s="555"/>
      <c r="Y666" s="555"/>
      <c r="Z666" s="555"/>
    </row>
    <row r="667">
      <c r="A667" s="555"/>
      <c r="B667" s="555"/>
      <c r="C667" s="555"/>
      <c r="D667" s="555"/>
      <c r="E667" s="555"/>
      <c r="F667" s="555"/>
      <c r="G667" s="555"/>
      <c r="H667" s="555"/>
      <c r="I667" s="555"/>
      <c r="J667" s="555"/>
      <c r="K667" s="555"/>
      <c r="L667" s="555"/>
      <c r="M667" s="555"/>
      <c r="N667" s="555"/>
      <c r="O667" s="555"/>
      <c r="P667" s="555"/>
      <c r="Q667" s="555"/>
      <c r="R667" s="555"/>
      <c r="S667" s="555"/>
      <c r="T667" s="555"/>
      <c r="U667" s="555"/>
      <c r="V667" s="555"/>
      <c r="W667" s="555"/>
      <c r="X667" s="555"/>
      <c r="Y667" s="555"/>
      <c r="Z667" s="555"/>
    </row>
    <row r="668">
      <c r="A668" s="555"/>
      <c r="B668" s="555"/>
      <c r="C668" s="555"/>
      <c r="D668" s="555"/>
      <c r="E668" s="555"/>
      <c r="F668" s="555"/>
      <c r="G668" s="555"/>
      <c r="H668" s="555"/>
      <c r="I668" s="555"/>
      <c r="J668" s="555"/>
      <c r="K668" s="555"/>
      <c r="L668" s="555"/>
      <c r="M668" s="555"/>
      <c r="N668" s="555"/>
      <c r="O668" s="555"/>
      <c r="P668" s="555"/>
      <c r="Q668" s="555"/>
      <c r="R668" s="555"/>
      <c r="S668" s="555"/>
      <c r="T668" s="555"/>
      <c r="U668" s="555"/>
      <c r="V668" s="555"/>
      <c r="W668" s="555"/>
      <c r="X668" s="555"/>
      <c r="Y668" s="555"/>
      <c r="Z668" s="555"/>
    </row>
    <row r="669">
      <c r="A669" s="555"/>
      <c r="B669" s="555"/>
      <c r="C669" s="555"/>
      <c r="D669" s="555"/>
      <c r="E669" s="555"/>
      <c r="F669" s="555"/>
      <c r="G669" s="555"/>
      <c r="H669" s="555"/>
      <c r="I669" s="555"/>
      <c r="J669" s="555"/>
      <c r="K669" s="555"/>
      <c r="L669" s="555"/>
      <c r="M669" s="555"/>
      <c r="N669" s="555"/>
      <c r="O669" s="555"/>
      <c r="P669" s="555"/>
      <c r="Q669" s="555"/>
      <c r="R669" s="555"/>
      <c r="S669" s="555"/>
      <c r="T669" s="555"/>
      <c r="U669" s="555"/>
      <c r="V669" s="555"/>
      <c r="W669" s="555"/>
      <c r="X669" s="555"/>
      <c r="Y669" s="555"/>
      <c r="Z669" s="555"/>
    </row>
    <row r="670">
      <c r="A670" s="555"/>
      <c r="B670" s="555"/>
      <c r="C670" s="555"/>
      <c r="D670" s="555"/>
      <c r="E670" s="555"/>
      <c r="F670" s="555"/>
      <c r="G670" s="555"/>
      <c r="H670" s="555"/>
      <c r="I670" s="555"/>
      <c r="J670" s="555"/>
      <c r="K670" s="555"/>
      <c r="L670" s="555"/>
      <c r="M670" s="555"/>
      <c r="N670" s="555"/>
      <c r="O670" s="555"/>
      <c r="P670" s="555"/>
      <c r="Q670" s="555"/>
      <c r="R670" s="555"/>
      <c r="S670" s="555"/>
      <c r="T670" s="555"/>
      <c r="U670" s="555"/>
      <c r="V670" s="555"/>
      <c r="W670" s="555"/>
      <c r="X670" s="555"/>
      <c r="Y670" s="555"/>
      <c r="Z670" s="555"/>
    </row>
    <row r="671">
      <c r="A671" s="555"/>
      <c r="B671" s="555"/>
      <c r="C671" s="555"/>
      <c r="D671" s="555"/>
      <c r="E671" s="555"/>
      <c r="F671" s="555"/>
      <c r="G671" s="555"/>
      <c r="H671" s="555"/>
      <c r="I671" s="555"/>
      <c r="J671" s="555"/>
      <c r="K671" s="555"/>
      <c r="L671" s="555"/>
      <c r="M671" s="555"/>
      <c r="N671" s="555"/>
      <c r="O671" s="555"/>
      <c r="P671" s="555"/>
      <c r="Q671" s="555"/>
      <c r="R671" s="555"/>
      <c r="S671" s="555"/>
      <c r="T671" s="555"/>
      <c r="U671" s="555"/>
      <c r="V671" s="555"/>
      <c r="W671" s="555"/>
      <c r="X671" s="555"/>
      <c r="Y671" s="555"/>
      <c r="Z671" s="555"/>
    </row>
    <row r="672">
      <c r="A672" s="555"/>
      <c r="B672" s="555"/>
      <c r="C672" s="555"/>
      <c r="D672" s="555"/>
      <c r="E672" s="555"/>
      <c r="F672" s="555"/>
      <c r="G672" s="555"/>
      <c r="H672" s="555"/>
      <c r="I672" s="555"/>
      <c r="J672" s="555"/>
      <c r="K672" s="555"/>
      <c r="L672" s="555"/>
      <c r="M672" s="555"/>
      <c r="N672" s="555"/>
      <c r="O672" s="555"/>
      <c r="P672" s="555"/>
      <c r="Q672" s="555"/>
      <c r="R672" s="555"/>
      <c r="S672" s="555"/>
      <c r="T672" s="555"/>
      <c r="U672" s="555"/>
      <c r="V672" s="555"/>
      <c r="W672" s="555"/>
      <c r="X672" s="555"/>
      <c r="Y672" s="555"/>
      <c r="Z672" s="555"/>
    </row>
    <row r="673">
      <c r="A673" s="555"/>
      <c r="B673" s="555"/>
      <c r="C673" s="555"/>
      <c r="D673" s="555"/>
      <c r="E673" s="555"/>
      <c r="F673" s="555"/>
      <c r="G673" s="555"/>
      <c r="H673" s="555"/>
      <c r="I673" s="555"/>
      <c r="J673" s="555"/>
      <c r="K673" s="555"/>
      <c r="L673" s="555"/>
      <c r="M673" s="555"/>
      <c r="N673" s="555"/>
      <c r="O673" s="555"/>
      <c r="P673" s="555"/>
      <c r="Q673" s="555"/>
      <c r="R673" s="555"/>
      <c r="S673" s="555"/>
      <c r="T673" s="555"/>
      <c r="U673" s="555"/>
      <c r="V673" s="555"/>
      <c r="W673" s="555"/>
      <c r="X673" s="555"/>
      <c r="Y673" s="555"/>
      <c r="Z673" s="555"/>
    </row>
    <row r="674">
      <c r="A674" s="555"/>
      <c r="B674" s="555"/>
      <c r="C674" s="555"/>
      <c r="D674" s="555"/>
      <c r="E674" s="555"/>
      <c r="F674" s="555"/>
      <c r="G674" s="555"/>
      <c r="H674" s="555"/>
      <c r="I674" s="555"/>
      <c r="J674" s="555"/>
      <c r="K674" s="555"/>
      <c r="L674" s="555"/>
      <c r="M674" s="555"/>
      <c r="N674" s="555"/>
      <c r="O674" s="555"/>
      <c r="P674" s="555"/>
      <c r="Q674" s="555"/>
      <c r="R674" s="555"/>
      <c r="S674" s="555"/>
      <c r="T674" s="555"/>
      <c r="U674" s="555"/>
      <c r="V674" s="555"/>
      <c r="W674" s="555"/>
      <c r="X674" s="555"/>
      <c r="Y674" s="555"/>
      <c r="Z674" s="555"/>
    </row>
    <row r="675">
      <c r="A675" s="555"/>
      <c r="B675" s="555"/>
      <c r="C675" s="555"/>
      <c r="D675" s="555"/>
      <c r="E675" s="555"/>
      <c r="F675" s="555"/>
      <c r="G675" s="555"/>
      <c r="H675" s="555"/>
      <c r="I675" s="555"/>
      <c r="J675" s="555"/>
      <c r="K675" s="555"/>
      <c r="L675" s="555"/>
      <c r="M675" s="555"/>
      <c r="N675" s="555"/>
      <c r="O675" s="555"/>
      <c r="P675" s="555"/>
      <c r="Q675" s="555"/>
      <c r="R675" s="555"/>
      <c r="S675" s="555"/>
      <c r="T675" s="555"/>
      <c r="U675" s="555"/>
      <c r="V675" s="555"/>
      <c r="W675" s="555"/>
      <c r="X675" s="555"/>
      <c r="Y675" s="555"/>
      <c r="Z675" s="555"/>
    </row>
    <row r="676">
      <c r="A676" s="555"/>
      <c r="B676" s="555"/>
      <c r="C676" s="555"/>
      <c r="D676" s="555"/>
      <c r="E676" s="555"/>
      <c r="F676" s="555"/>
      <c r="G676" s="555"/>
      <c r="H676" s="555"/>
      <c r="I676" s="555"/>
      <c r="J676" s="555"/>
      <c r="K676" s="555"/>
      <c r="L676" s="555"/>
      <c r="M676" s="555"/>
      <c r="N676" s="555"/>
      <c r="O676" s="555"/>
      <c r="P676" s="555"/>
      <c r="Q676" s="555"/>
      <c r="R676" s="555"/>
      <c r="S676" s="555"/>
      <c r="T676" s="555"/>
      <c r="U676" s="555"/>
      <c r="V676" s="555"/>
      <c r="W676" s="555"/>
      <c r="X676" s="555"/>
      <c r="Y676" s="555"/>
      <c r="Z676" s="555"/>
    </row>
    <row r="677">
      <c r="A677" s="555"/>
      <c r="B677" s="555"/>
      <c r="C677" s="555"/>
      <c r="D677" s="555"/>
      <c r="E677" s="555"/>
      <c r="F677" s="555"/>
      <c r="G677" s="555"/>
      <c r="H677" s="555"/>
      <c r="I677" s="555"/>
      <c r="J677" s="555"/>
      <c r="K677" s="555"/>
      <c r="L677" s="555"/>
      <c r="M677" s="555"/>
      <c r="N677" s="555"/>
      <c r="O677" s="555"/>
      <c r="P677" s="555"/>
      <c r="Q677" s="555"/>
      <c r="R677" s="555"/>
      <c r="S677" s="555"/>
      <c r="T677" s="555"/>
      <c r="U677" s="555"/>
      <c r="V677" s="555"/>
      <c r="W677" s="555"/>
      <c r="X677" s="555"/>
      <c r="Y677" s="555"/>
      <c r="Z677" s="555"/>
    </row>
    <row r="678">
      <c r="A678" s="555"/>
      <c r="B678" s="555"/>
      <c r="C678" s="555"/>
      <c r="D678" s="555"/>
      <c r="E678" s="555"/>
      <c r="F678" s="555"/>
      <c r="G678" s="555"/>
      <c r="H678" s="555"/>
      <c r="I678" s="555"/>
      <c r="J678" s="555"/>
      <c r="K678" s="555"/>
      <c r="L678" s="555"/>
      <c r="M678" s="555"/>
      <c r="N678" s="555"/>
      <c r="O678" s="555"/>
      <c r="P678" s="555"/>
      <c r="Q678" s="555"/>
      <c r="R678" s="555"/>
      <c r="S678" s="555"/>
      <c r="T678" s="555"/>
      <c r="U678" s="555"/>
      <c r="V678" s="555"/>
      <c r="W678" s="555"/>
      <c r="X678" s="555"/>
      <c r="Y678" s="555"/>
      <c r="Z678" s="555"/>
    </row>
    <row r="679">
      <c r="A679" s="555"/>
      <c r="B679" s="555"/>
      <c r="C679" s="555"/>
      <c r="D679" s="555"/>
      <c r="E679" s="555"/>
      <c r="F679" s="555"/>
      <c r="G679" s="555"/>
      <c r="H679" s="555"/>
      <c r="I679" s="555"/>
      <c r="J679" s="555"/>
      <c r="K679" s="555"/>
      <c r="L679" s="555"/>
      <c r="M679" s="555"/>
      <c r="N679" s="555"/>
      <c r="O679" s="555"/>
      <c r="P679" s="555"/>
      <c r="Q679" s="555"/>
      <c r="R679" s="555"/>
      <c r="S679" s="555"/>
      <c r="T679" s="555"/>
      <c r="U679" s="555"/>
      <c r="V679" s="555"/>
      <c r="W679" s="555"/>
      <c r="X679" s="555"/>
      <c r="Y679" s="555"/>
      <c r="Z679" s="555"/>
    </row>
    <row r="680">
      <c r="A680" s="555"/>
      <c r="B680" s="555"/>
      <c r="C680" s="555"/>
      <c r="D680" s="555"/>
      <c r="E680" s="555"/>
      <c r="F680" s="555"/>
      <c r="G680" s="555"/>
      <c r="H680" s="555"/>
      <c r="I680" s="555"/>
      <c r="J680" s="555"/>
      <c r="K680" s="555"/>
      <c r="L680" s="555"/>
      <c r="M680" s="555"/>
      <c r="N680" s="555"/>
      <c r="O680" s="555"/>
      <c r="P680" s="555"/>
      <c r="Q680" s="555"/>
      <c r="R680" s="555"/>
      <c r="S680" s="555"/>
      <c r="T680" s="555"/>
      <c r="U680" s="555"/>
      <c r="V680" s="555"/>
      <c r="W680" s="555"/>
      <c r="X680" s="555"/>
      <c r="Y680" s="555"/>
      <c r="Z680" s="555"/>
    </row>
    <row r="681">
      <c r="A681" s="555"/>
      <c r="B681" s="555"/>
      <c r="C681" s="555"/>
      <c r="D681" s="555"/>
      <c r="E681" s="555"/>
      <c r="F681" s="555"/>
      <c r="G681" s="555"/>
      <c r="H681" s="555"/>
      <c r="I681" s="555"/>
      <c r="J681" s="555"/>
      <c r="K681" s="555"/>
      <c r="L681" s="555"/>
      <c r="M681" s="555"/>
      <c r="N681" s="555"/>
      <c r="O681" s="555"/>
      <c r="P681" s="555"/>
      <c r="Q681" s="555"/>
      <c r="R681" s="555"/>
      <c r="S681" s="555"/>
      <c r="T681" s="555"/>
      <c r="U681" s="555"/>
      <c r="V681" s="555"/>
      <c r="W681" s="555"/>
      <c r="X681" s="555"/>
      <c r="Y681" s="555"/>
      <c r="Z681" s="555"/>
    </row>
    <row r="682">
      <c r="A682" s="555"/>
      <c r="B682" s="555"/>
      <c r="C682" s="555"/>
      <c r="D682" s="555"/>
      <c r="E682" s="555"/>
      <c r="F682" s="555"/>
      <c r="G682" s="555"/>
      <c r="H682" s="555"/>
      <c r="I682" s="555"/>
      <c r="J682" s="555"/>
      <c r="K682" s="555"/>
      <c r="L682" s="555"/>
      <c r="M682" s="555"/>
      <c r="N682" s="555"/>
      <c r="O682" s="555"/>
      <c r="P682" s="555"/>
      <c r="Q682" s="555"/>
      <c r="R682" s="555"/>
      <c r="S682" s="555"/>
      <c r="T682" s="555"/>
      <c r="U682" s="555"/>
      <c r="V682" s="555"/>
      <c r="W682" s="555"/>
      <c r="X682" s="555"/>
      <c r="Y682" s="555"/>
      <c r="Z682" s="555"/>
    </row>
    <row r="683">
      <c r="A683" s="555"/>
      <c r="B683" s="555"/>
      <c r="C683" s="555"/>
      <c r="D683" s="555"/>
      <c r="E683" s="555"/>
      <c r="F683" s="555"/>
      <c r="G683" s="555"/>
      <c r="H683" s="555"/>
      <c r="I683" s="555"/>
      <c r="J683" s="555"/>
      <c r="K683" s="555"/>
      <c r="L683" s="555"/>
      <c r="M683" s="555"/>
      <c r="N683" s="555"/>
      <c r="O683" s="555"/>
      <c r="P683" s="555"/>
      <c r="Q683" s="555"/>
      <c r="R683" s="555"/>
      <c r="S683" s="555"/>
      <c r="T683" s="555"/>
      <c r="U683" s="555"/>
      <c r="V683" s="555"/>
      <c r="W683" s="555"/>
      <c r="X683" s="555"/>
      <c r="Y683" s="555"/>
      <c r="Z683" s="555"/>
    </row>
    <row r="684">
      <c r="A684" s="555"/>
      <c r="B684" s="555"/>
      <c r="C684" s="555"/>
      <c r="D684" s="555"/>
      <c r="E684" s="555"/>
      <c r="F684" s="555"/>
      <c r="G684" s="555"/>
      <c r="H684" s="555"/>
      <c r="I684" s="555"/>
      <c r="J684" s="555"/>
      <c r="K684" s="555"/>
      <c r="L684" s="555"/>
      <c r="M684" s="555"/>
      <c r="N684" s="555"/>
      <c r="O684" s="555"/>
      <c r="P684" s="555"/>
      <c r="Q684" s="555"/>
      <c r="R684" s="555"/>
      <c r="S684" s="555"/>
      <c r="T684" s="555"/>
      <c r="U684" s="555"/>
      <c r="V684" s="555"/>
      <c r="W684" s="555"/>
      <c r="X684" s="555"/>
      <c r="Y684" s="555"/>
      <c r="Z684" s="555"/>
    </row>
    <row r="685">
      <c r="A685" s="555"/>
      <c r="B685" s="555"/>
      <c r="C685" s="555"/>
      <c r="D685" s="555"/>
      <c r="E685" s="555"/>
      <c r="F685" s="555"/>
      <c r="G685" s="555"/>
      <c r="H685" s="555"/>
      <c r="I685" s="555"/>
      <c r="J685" s="555"/>
      <c r="K685" s="555"/>
      <c r="L685" s="555"/>
      <c r="M685" s="555"/>
      <c r="N685" s="555"/>
      <c r="O685" s="555"/>
      <c r="P685" s="555"/>
      <c r="Q685" s="555"/>
      <c r="R685" s="555"/>
      <c r="S685" s="555"/>
      <c r="T685" s="555"/>
      <c r="U685" s="555"/>
      <c r="V685" s="555"/>
      <c r="W685" s="555"/>
      <c r="X685" s="555"/>
      <c r="Y685" s="555"/>
      <c r="Z685" s="555"/>
    </row>
    <row r="686">
      <c r="A686" s="555"/>
      <c r="B686" s="555"/>
      <c r="C686" s="555"/>
      <c r="D686" s="555"/>
      <c r="E686" s="555"/>
      <c r="F686" s="555"/>
      <c r="G686" s="555"/>
      <c r="H686" s="555"/>
      <c r="I686" s="555"/>
      <c r="J686" s="555"/>
      <c r="K686" s="555"/>
      <c r="L686" s="555"/>
      <c r="M686" s="555"/>
      <c r="N686" s="555"/>
      <c r="O686" s="555"/>
      <c r="P686" s="555"/>
      <c r="Q686" s="555"/>
      <c r="R686" s="555"/>
      <c r="S686" s="555"/>
      <c r="T686" s="555"/>
      <c r="U686" s="555"/>
      <c r="V686" s="555"/>
      <c r="W686" s="555"/>
      <c r="X686" s="555"/>
      <c r="Y686" s="555"/>
      <c r="Z686" s="555"/>
    </row>
    <row r="687">
      <c r="A687" s="555"/>
      <c r="B687" s="555"/>
      <c r="C687" s="555"/>
      <c r="D687" s="555"/>
      <c r="E687" s="555"/>
      <c r="F687" s="555"/>
      <c r="G687" s="555"/>
      <c r="H687" s="555"/>
      <c r="I687" s="555"/>
      <c r="J687" s="555"/>
      <c r="K687" s="555"/>
      <c r="L687" s="555"/>
      <c r="M687" s="555"/>
      <c r="N687" s="555"/>
      <c r="O687" s="555"/>
      <c r="P687" s="555"/>
      <c r="Q687" s="555"/>
      <c r="R687" s="555"/>
      <c r="S687" s="555"/>
      <c r="T687" s="555"/>
      <c r="U687" s="555"/>
      <c r="V687" s="555"/>
      <c r="W687" s="555"/>
      <c r="X687" s="555"/>
      <c r="Y687" s="555"/>
      <c r="Z687" s="555"/>
    </row>
    <row r="688">
      <c r="A688" s="555"/>
      <c r="B688" s="555"/>
      <c r="C688" s="555"/>
      <c r="D688" s="555"/>
      <c r="E688" s="555"/>
      <c r="F688" s="555"/>
      <c r="G688" s="555"/>
      <c r="H688" s="555"/>
      <c r="I688" s="555"/>
      <c r="J688" s="555"/>
      <c r="K688" s="555"/>
      <c r="L688" s="555"/>
      <c r="M688" s="555"/>
      <c r="N688" s="555"/>
      <c r="O688" s="555"/>
      <c r="P688" s="555"/>
      <c r="Q688" s="555"/>
      <c r="R688" s="555"/>
      <c r="S688" s="555"/>
      <c r="T688" s="555"/>
      <c r="U688" s="555"/>
      <c r="V688" s="555"/>
      <c r="W688" s="555"/>
      <c r="X688" s="555"/>
      <c r="Y688" s="555"/>
      <c r="Z688" s="555"/>
    </row>
    <row r="689">
      <c r="A689" s="555"/>
      <c r="B689" s="555"/>
      <c r="C689" s="555"/>
      <c r="D689" s="555"/>
      <c r="E689" s="555"/>
      <c r="F689" s="555"/>
      <c r="G689" s="555"/>
      <c r="H689" s="555"/>
      <c r="I689" s="555"/>
      <c r="J689" s="555"/>
      <c r="K689" s="555"/>
      <c r="L689" s="555"/>
      <c r="M689" s="555"/>
      <c r="N689" s="555"/>
      <c r="O689" s="555"/>
      <c r="P689" s="555"/>
      <c r="Q689" s="555"/>
      <c r="R689" s="555"/>
      <c r="S689" s="555"/>
      <c r="T689" s="555"/>
      <c r="U689" s="555"/>
      <c r="V689" s="555"/>
      <c r="W689" s="555"/>
      <c r="X689" s="555"/>
      <c r="Y689" s="555"/>
      <c r="Z689" s="555"/>
    </row>
    <row r="690">
      <c r="A690" s="555"/>
      <c r="B690" s="555"/>
      <c r="C690" s="555"/>
      <c r="D690" s="555"/>
      <c r="E690" s="555"/>
      <c r="F690" s="555"/>
      <c r="G690" s="555"/>
      <c r="H690" s="555"/>
      <c r="I690" s="555"/>
      <c r="J690" s="555"/>
      <c r="K690" s="555"/>
      <c r="L690" s="555"/>
      <c r="M690" s="555"/>
      <c r="N690" s="555"/>
      <c r="O690" s="555"/>
      <c r="P690" s="555"/>
      <c r="Q690" s="555"/>
      <c r="R690" s="555"/>
      <c r="S690" s="555"/>
      <c r="T690" s="555"/>
      <c r="U690" s="555"/>
      <c r="V690" s="555"/>
      <c r="W690" s="555"/>
      <c r="X690" s="555"/>
      <c r="Y690" s="555"/>
      <c r="Z690" s="555"/>
    </row>
    <row r="691">
      <c r="A691" s="555"/>
      <c r="B691" s="555"/>
      <c r="C691" s="555"/>
      <c r="D691" s="555"/>
      <c r="E691" s="555"/>
      <c r="F691" s="555"/>
      <c r="G691" s="555"/>
      <c r="H691" s="555"/>
      <c r="I691" s="555"/>
      <c r="J691" s="555"/>
      <c r="K691" s="555"/>
      <c r="L691" s="555"/>
      <c r="M691" s="555"/>
      <c r="N691" s="555"/>
      <c r="O691" s="555"/>
      <c r="P691" s="555"/>
      <c r="Q691" s="555"/>
      <c r="R691" s="555"/>
      <c r="S691" s="555"/>
      <c r="T691" s="555"/>
      <c r="U691" s="555"/>
      <c r="V691" s="555"/>
      <c r="W691" s="555"/>
      <c r="X691" s="555"/>
      <c r="Y691" s="555"/>
      <c r="Z691" s="555"/>
    </row>
    <row r="692">
      <c r="A692" s="555"/>
      <c r="B692" s="555"/>
      <c r="C692" s="555"/>
      <c r="D692" s="555"/>
      <c r="E692" s="555"/>
      <c r="F692" s="555"/>
      <c r="G692" s="555"/>
      <c r="H692" s="555"/>
      <c r="I692" s="555"/>
      <c r="J692" s="555"/>
      <c r="K692" s="555"/>
      <c r="L692" s="555"/>
      <c r="M692" s="555"/>
      <c r="N692" s="555"/>
      <c r="O692" s="555"/>
      <c r="P692" s="555"/>
      <c r="Q692" s="555"/>
      <c r="R692" s="555"/>
      <c r="S692" s="555"/>
      <c r="T692" s="555"/>
      <c r="U692" s="555"/>
      <c r="V692" s="555"/>
      <c r="W692" s="555"/>
      <c r="X692" s="555"/>
      <c r="Y692" s="555"/>
      <c r="Z692" s="555"/>
    </row>
    <row r="693">
      <c r="A693" s="555"/>
      <c r="B693" s="555"/>
      <c r="C693" s="555"/>
      <c r="D693" s="555"/>
      <c r="E693" s="555"/>
      <c r="F693" s="555"/>
      <c r="G693" s="555"/>
      <c r="H693" s="555"/>
      <c r="I693" s="555"/>
      <c r="J693" s="555"/>
      <c r="K693" s="555"/>
      <c r="L693" s="555"/>
      <c r="M693" s="555"/>
      <c r="N693" s="555"/>
      <c r="O693" s="555"/>
      <c r="P693" s="555"/>
      <c r="Q693" s="555"/>
      <c r="R693" s="555"/>
      <c r="S693" s="555"/>
      <c r="T693" s="555"/>
      <c r="U693" s="555"/>
      <c r="V693" s="555"/>
      <c r="W693" s="555"/>
      <c r="X693" s="555"/>
      <c r="Y693" s="555"/>
      <c r="Z693" s="555"/>
    </row>
    <row r="694">
      <c r="A694" s="555"/>
      <c r="B694" s="555"/>
      <c r="C694" s="555"/>
      <c r="D694" s="555"/>
      <c r="E694" s="555"/>
      <c r="F694" s="555"/>
      <c r="G694" s="555"/>
      <c r="H694" s="555"/>
      <c r="I694" s="555"/>
      <c r="J694" s="555"/>
      <c r="K694" s="555"/>
      <c r="L694" s="555"/>
      <c r="M694" s="555"/>
      <c r="N694" s="555"/>
      <c r="O694" s="555"/>
      <c r="P694" s="555"/>
      <c r="Q694" s="555"/>
      <c r="R694" s="555"/>
      <c r="S694" s="555"/>
      <c r="T694" s="555"/>
      <c r="U694" s="555"/>
      <c r="V694" s="555"/>
      <c r="W694" s="555"/>
      <c r="X694" s="555"/>
      <c r="Y694" s="555"/>
      <c r="Z694" s="555"/>
    </row>
    <row r="695">
      <c r="A695" s="555"/>
      <c r="B695" s="555"/>
      <c r="C695" s="555"/>
      <c r="D695" s="555"/>
      <c r="E695" s="555"/>
      <c r="F695" s="555"/>
      <c r="G695" s="555"/>
      <c r="H695" s="555"/>
      <c r="I695" s="555"/>
      <c r="J695" s="555"/>
      <c r="K695" s="555"/>
      <c r="L695" s="555"/>
      <c r="M695" s="555"/>
      <c r="N695" s="555"/>
      <c r="O695" s="555"/>
      <c r="P695" s="555"/>
      <c r="Q695" s="555"/>
      <c r="R695" s="555"/>
      <c r="S695" s="555"/>
      <c r="T695" s="555"/>
      <c r="U695" s="555"/>
      <c r="V695" s="555"/>
      <c r="W695" s="555"/>
      <c r="X695" s="555"/>
      <c r="Y695" s="555"/>
      <c r="Z695" s="555"/>
    </row>
    <row r="696">
      <c r="A696" s="555"/>
      <c r="B696" s="555"/>
      <c r="C696" s="555"/>
      <c r="D696" s="555"/>
      <c r="E696" s="555"/>
      <c r="F696" s="555"/>
      <c r="G696" s="555"/>
      <c r="H696" s="555"/>
      <c r="I696" s="555"/>
      <c r="J696" s="555"/>
      <c r="K696" s="555"/>
      <c r="L696" s="555"/>
      <c r="M696" s="555"/>
      <c r="N696" s="555"/>
      <c r="O696" s="555"/>
      <c r="P696" s="555"/>
      <c r="Q696" s="555"/>
      <c r="R696" s="555"/>
      <c r="S696" s="555"/>
      <c r="T696" s="555"/>
      <c r="U696" s="555"/>
      <c r="V696" s="555"/>
      <c r="W696" s="555"/>
      <c r="X696" s="555"/>
      <c r="Y696" s="555"/>
      <c r="Z696" s="555"/>
    </row>
    <row r="697">
      <c r="A697" s="555"/>
      <c r="B697" s="555"/>
      <c r="C697" s="555"/>
      <c r="D697" s="555"/>
      <c r="E697" s="555"/>
      <c r="F697" s="555"/>
      <c r="G697" s="555"/>
      <c r="H697" s="555"/>
      <c r="I697" s="555"/>
      <c r="J697" s="555"/>
      <c r="K697" s="555"/>
      <c r="L697" s="555"/>
      <c r="M697" s="555"/>
      <c r="N697" s="555"/>
      <c r="O697" s="555"/>
      <c r="P697" s="555"/>
      <c r="Q697" s="555"/>
      <c r="R697" s="555"/>
      <c r="S697" s="555"/>
      <c r="T697" s="555"/>
      <c r="U697" s="555"/>
      <c r="V697" s="555"/>
      <c r="W697" s="555"/>
      <c r="X697" s="555"/>
      <c r="Y697" s="555"/>
      <c r="Z697" s="555"/>
    </row>
    <row r="698">
      <c r="A698" s="555"/>
      <c r="B698" s="555"/>
      <c r="C698" s="555"/>
      <c r="D698" s="555"/>
      <c r="E698" s="555"/>
      <c r="F698" s="555"/>
      <c r="G698" s="555"/>
      <c r="H698" s="555"/>
      <c r="I698" s="555"/>
      <c r="J698" s="555"/>
      <c r="K698" s="555"/>
      <c r="L698" s="555"/>
      <c r="M698" s="555"/>
      <c r="N698" s="555"/>
      <c r="O698" s="555"/>
      <c r="P698" s="555"/>
      <c r="Q698" s="555"/>
      <c r="R698" s="555"/>
      <c r="S698" s="555"/>
      <c r="T698" s="555"/>
      <c r="U698" s="555"/>
      <c r="V698" s="555"/>
      <c r="W698" s="555"/>
      <c r="X698" s="555"/>
      <c r="Y698" s="555"/>
      <c r="Z698" s="555"/>
    </row>
    <row r="699">
      <c r="A699" s="555"/>
      <c r="B699" s="555"/>
      <c r="C699" s="555"/>
      <c r="D699" s="555"/>
      <c r="E699" s="555"/>
      <c r="F699" s="555"/>
      <c r="G699" s="555"/>
      <c r="H699" s="555"/>
      <c r="I699" s="555"/>
      <c r="J699" s="555"/>
      <c r="K699" s="555"/>
      <c r="L699" s="555"/>
      <c r="M699" s="555"/>
      <c r="N699" s="555"/>
      <c r="O699" s="555"/>
      <c r="P699" s="555"/>
      <c r="Q699" s="555"/>
      <c r="R699" s="555"/>
      <c r="S699" s="555"/>
      <c r="T699" s="555"/>
      <c r="U699" s="555"/>
      <c r="V699" s="555"/>
      <c r="W699" s="555"/>
      <c r="X699" s="555"/>
      <c r="Y699" s="555"/>
      <c r="Z699" s="555"/>
    </row>
    <row r="700">
      <c r="A700" s="555"/>
      <c r="B700" s="555"/>
      <c r="C700" s="555"/>
      <c r="D700" s="555"/>
      <c r="E700" s="555"/>
      <c r="F700" s="555"/>
      <c r="G700" s="555"/>
      <c r="H700" s="555"/>
      <c r="I700" s="555"/>
      <c r="J700" s="555"/>
      <c r="K700" s="555"/>
      <c r="L700" s="555"/>
      <c r="M700" s="555"/>
      <c r="N700" s="555"/>
      <c r="O700" s="555"/>
      <c r="P700" s="555"/>
      <c r="Q700" s="555"/>
      <c r="R700" s="555"/>
      <c r="S700" s="555"/>
      <c r="T700" s="555"/>
      <c r="U700" s="555"/>
      <c r="V700" s="555"/>
      <c r="W700" s="555"/>
      <c r="X700" s="555"/>
      <c r="Y700" s="555"/>
      <c r="Z700" s="555"/>
    </row>
    <row r="701">
      <c r="A701" s="555"/>
      <c r="B701" s="555"/>
      <c r="C701" s="555"/>
      <c r="D701" s="555"/>
      <c r="E701" s="555"/>
      <c r="F701" s="555"/>
      <c r="G701" s="555"/>
      <c r="H701" s="555"/>
      <c r="I701" s="555"/>
      <c r="J701" s="555"/>
      <c r="K701" s="555"/>
      <c r="L701" s="555"/>
      <c r="M701" s="555"/>
      <c r="N701" s="555"/>
      <c r="O701" s="555"/>
      <c r="P701" s="555"/>
      <c r="Q701" s="555"/>
      <c r="R701" s="555"/>
      <c r="S701" s="555"/>
      <c r="T701" s="555"/>
      <c r="U701" s="555"/>
      <c r="V701" s="555"/>
      <c r="W701" s="555"/>
      <c r="X701" s="555"/>
      <c r="Y701" s="555"/>
      <c r="Z701" s="555"/>
    </row>
    <row r="702">
      <c r="A702" s="555"/>
      <c r="B702" s="555"/>
      <c r="C702" s="555"/>
      <c r="D702" s="555"/>
      <c r="E702" s="555"/>
      <c r="F702" s="555"/>
      <c r="G702" s="555"/>
      <c r="H702" s="555"/>
      <c r="I702" s="555"/>
      <c r="J702" s="555"/>
      <c r="K702" s="555"/>
      <c r="L702" s="555"/>
      <c r="M702" s="555"/>
      <c r="N702" s="555"/>
      <c r="O702" s="555"/>
      <c r="P702" s="555"/>
      <c r="Q702" s="555"/>
      <c r="R702" s="555"/>
      <c r="S702" s="555"/>
      <c r="T702" s="555"/>
      <c r="U702" s="555"/>
      <c r="V702" s="555"/>
      <c r="W702" s="555"/>
      <c r="X702" s="555"/>
      <c r="Y702" s="555"/>
      <c r="Z702" s="555"/>
    </row>
    <row r="703">
      <c r="A703" s="555"/>
      <c r="B703" s="555"/>
      <c r="C703" s="555"/>
      <c r="D703" s="555"/>
      <c r="E703" s="555"/>
      <c r="F703" s="555"/>
      <c r="G703" s="555"/>
      <c r="H703" s="555"/>
      <c r="I703" s="555"/>
      <c r="J703" s="555"/>
      <c r="K703" s="555"/>
      <c r="L703" s="555"/>
      <c r="M703" s="555"/>
      <c r="N703" s="555"/>
      <c r="O703" s="555"/>
      <c r="P703" s="555"/>
      <c r="Q703" s="555"/>
      <c r="R703" s="555"/>
      <c r="S703" s="555"/>
      <c r="T703" s="555"/>
      <c r="U703" s="555"/>
      <c r="V703" s="555"/>
      <c r="W703" s="555"/>
      <c r="X703" s="555"/>
      <c r="Y703" s="555"/>
      <c r="Z703" s="555"/>
    </row>
    <row r="704">
      <c r="A704" s="555"/>
      <c r="B704" s="555"/>
      <c r="C704" s="555"/>
      <c r="D704" s="555"/>
      <c r="E704" s="555"/>
      <c r="F704" s="555"/>
      <c r="G704" s="555"/>
      <c r="H704" s="555"/>
      <c r="I704" s="555"/>
      <c r="J704" s="555"/>
      <c r="K704" s="555"/>
      <c r="L704" s="555"/>
      <c r="M704" s="555"/>
      <c r="N704" s="555"/>
      <c r="O704" s="555"/>
      <c r="P704" s="555"/>
      <c r="Q704" s="555"/>
      <c r="R704" s="555"/>
      <c r="S704" s="555"/>
      <c r="T704" s="555"/>
      <c r="U704" s="555"/>
      <c r="V704" s="555"/>
      <c r="W704" s="555"/>
      <c r="X704" s="555"/>
      <c r="Y704" s="555"/>
      <c r="Z704" s="555"/>
    </row>
    <row r="705">
      <c r="A705" s="555"/>
      <c r="B705" s="555"/>
      <c r="C705" s="555"/>
      <c r="D705" s="555"/>
      <c r="E705" s="555"/>
      <c r="F705" s="555"/>
      <c r="G705" s="555"/>
      <c r="H705" s="555"/>
      <c r="I705" s="555"/>
      <c r="J705" s="555"/>
      <c r="K705" s="555"/>
      <c r="L705" s="555"/>
      <c r="M705" s="555"/>
      <c r="N705" s="555"/>
      <c r="O705" s="555"/>
      <c r="P705" s="555"/>
      <c r="Q705" s="555"/>
      <c r="R705" s="555"/>
      <c r="S705" s="555"/>
      <c r="T705" s="555"/>
      <c r="U705" s="555"/>
      <c r="V705" s="555"/>
      <c r="W705" s="555"/>
      <c r="X705" s="555"/>
      <c r="Y705" s="555"/>
      <c r="Z705" s="555"/>
    </row>
    <row r="706">
      <c r="A706" s="555"/>
      <c r="B706" s="555"/>
      <c r="C706" s="555"/>
      <c r="D706" s="555"/>
      <c r="E706" s="555"/>
      <c r="F706" s="555"/>
      <c r="G706" s="555"/>
      <c r="H706" s="555"/>
      <c r="I706" s="555"/>
      <c r="J706" s="555"/>
      <c r="K706" s="555"/>
      <c r="L706" s="555"/>
      <c r="M706" s="555"/>
      <c r="N706" s="555"/>
      <c r="O706" s="555"/>
      <c r="P706" s="555"/>
      <c r="Q706" s="555"/>
      <c r="R706" s="555"/>
      <c r="S706" s="555"/>
      <c r="T706" s="555"/>
      <c r="U706" s="555"/>
      <c r="V706" s="555"/>
      <c r="W706" s="555"/>
      <c r="X706" s="555"/>
      <c r="Y706" s="555"/>
      <c r="Z706" s="555"/>
    </row>
    <row r="707">
      <c r="A707" s="555"/>
      <c r="B707" s="555"/>
      <c r="C707" s="555"/>
      <c r="D707" s="555"/>
      <c r="E707" s="555"/>
      <c r="F707" s="555"/>
      <c r="G707" s="555"/>
      <c r="H707" s="555"/>
      <c r="I707" s="555"/>
      <c r="J707" s="555"/>
      <c r="K707" s="555"/>
      <c r="L707" s="555"/>
      <c r="M707" s="555"/>
      <c r="N707" s="555"/>
      <c r="O707" s="555"/>
      <c r="P707" s="555"/>
      <c r="Q707" s="555"/>
      <c r="R707" s="555"/>
      <c r="S707" s="555"/>
      <c r="T707" s="555"/>
      <c r="U707" s="555"/>
      <c r="V707" s="555"/>
      <c r="W707" s="555"/>
      <c r="X707" s="555"/>
      <c r="Y707" s="555"/>
      <c r="Z707" s="555"/>
    </row>
    <row r="708">
      <c r="A708" s="555"/>
      <c r="B708" s="555"/>
      <c r="C708" s="555"/>
      <c r="D708" s="555"/>
      <c r="E708" s="555"/>
      <c r="F708" s="555"/>
      <c r="G708" s="555"/>
      <c r="H708" s="555"/>
      <c r="I708" s="555"/>
      <c r="J708" s="555"/>
      <c r="K708" s="555"/>
      <c r="L708" s="555"/>
      <c r="M708" s="555"/>
      <c r="N708" s="555"/>
      <c r="O708" s="555"/>
      <c r="P708" s="555"/>
      <c r="Q708" s="555"/>
      <c r="R708" s="555"/>
      <c r="S708" s="555"/>
      <c r="T708" s="555"/>
      <c r="U708" s="555"/>
      <c r="V708" s="555"/>
      <c r="W708" s="555"/>
      <c r="X708" s="555"/>
      <c r="Y708" s="555"/>
      <c r="Z708" s="555"/>
    </row>
    <row r="709">
      <c r="A709" s="555"/>
      <c r="B709" s="555"/>
      <c r="C709" s="555"/>
      <c r="D709" s="555"/>
      <c r="E709" s="555"/>
      <c r="F709" s="555"/>
      <c r="G709" s="555"/>
      <c r="H709" s="555"/>
      <c r="I709" s="555"/>
      <c r="J709" s="555"/>
      <c r="K709" s="555"/>
      <c r="L709" s="555"/>
      <c r="M709" s="555"/>
      <c r="N709" s="555"/>
      <c r="O709" s="555"/>
      <c r="P709" s="555"/>
      <c r="Q709" s="555"/>
      <c r="R709" s="555"/>
      <c r="S709" s="555"/>
      <c r="T709" s="555"/>
      <c r="U709" s="555"/>
      <c r="V709" s="555"/>
      <c r="W709" s="555"/>
      <c r="X709" s="555"/>
      <c r="Y709" s="555"/>
      <c r="Z709" s="555"/>
    </row>
    <row r="710">
      <c r="A710" s="555"/>
      <c r="B710" s="555"/>
      <c r="C710" s="555"/>
      <c r="D710" s="555"/>
      <c r="E710" s="555"/>
      <c r="F710" s="555"/>
      <c r="G710" s="555"/>
      <c r="H710" s="555"/>
      <c r="I710" s="555"/>
      <c r="J710" s="555"/>
      <c r="K710" s="555"/>
      <c r="L710" s="555"/>
      <c r="M710" s="555"/>
      <c r="N710" s="555"/>
      <c r="O710" s="555"/>
      <c r="P710" s="555"/>
      <c r="Q710" s="555"/>
      <c r="R710" s="555"/>
      <c r="S710" s="555"/>
      <c r="T710" s="555"/>
      <c r="U710" s="555"/>
      <c r="V710" s="555"/>
      <c r="W710" s="555"/>
      <c r="X710" s="555"/>
      <c r="Y710" s="555"/>
      <c r="Z710" s="555"/>
    </row>
    <row r="711">
      <c r="A711" s="555"/>
      <c r="B711" s="555"/>
      <c r="C711" s="555"/>
      <c r="D711" s="555"/>
      <c r="E711" s="555"/>
      <c r="F711" s="555"/>
      <c r="G711" s="555"/>
      <c r="H711" s="555"/>
      <c r="I711" s="555"/>
      <c r="J711" s="555"/>
      <c r="K711" s="555"/>
      <c r="L711" s="555"/>
      <c r="M711" s="555"/>
      <c r="N711" s="555"/>
      <c r="O711" s="555"/>
      <c r="P711" s="555"/>
      <c r="Q711" s="555"/>
      <c r="R711" s="555"/>
      <c r="S711" s="555"/>
      <c r="T711" s="555"/>
      <c r="U711" s="555"/>
      <c r="V711" s="555"/>
      <c r="W711" s="555"/>
      <c r="X711" s="555"/>
      <c r="Y711" s="555"/>
      <c r="Z711" s="555"/>
    </row>
    <row r="712">
      <c r="A712" s="555"/>
      <c r="B712" s="555"/>
      <c r="C712" s="555"/>
      <c r="D712" s="555"/>
      <c r="E712" s="555"/>
      <c r="F712" s="555"/>
      <c r="G712" s="555"/>
      <c r="H712" s="555"/>
      <c r="I712" s="555"/>
      <c r="J712" s="555"/>
      <c r="K712" s="555"/>
      <c r="L712" s="555"/>
      <c r="M712" s="555"/>
      <c r="N712" s="555"/>
      <c r="O712" s="555"/>
      <c r="P712" s="555"/>
      <c r="Q712" s="555"/>
      <c r="R712" s="555"/>
      <c r="S712" s="555"/>
      <c r="T712" s="555"/>
      <c r="U712" s="555"/>
      <c r="V712" s="555"/>
      <c r="W712" s="555"/>
      <c r="X712" s="555"/>
      <c r="Y712" s="555"/>
      <c r="Z712" s="555"/>
    </row>
    <row r="713">
      <c r="A713" s="555"/>
      <c r="B713" s="555"/>
      <c r="C713" s="555"/>
      <c r="D713" s="555"/>
      <c r="E713" s="555"/>
      <c r="F713" s="555"/>
      <c r="G713" s="555"/>
      <c r="H713" s="555"/>
      <c r="I713" s="555"/>
      <c r="J713" s="555"/>
      <c r="K713" s="555"/>
      <c r="L713" s="555"/>
      <c r="M713" s="555"/>
      <c r="N713" s="555"/>
      <c r="O713" s="555"/>
      <c r="P713" s="555"/>
      <c r="Q713" s="555"/>
      <c r="R713" s="555"/>
      <c r="S713" s="555"/>
      <c r="T713" s="555"/>
      <c r="U713" s="555"/>
      <c r="V713" s="555"/>
      <c r="W713" s="555"/>
      <c r="X713" s="555"/>
      <c r="Y713" s="555"/>
      <c r="Z713" s="555"/>
    </row>
    <row r="714">
      <c r="A714" s="555"/>
      <c r="B714" s="555"/>
      <c r="C714" s="555"/>
      <c r="D714" s="555"/>
      <c r="E714" s="555"/>
      <c r="F714" s="555"/>
      <c r="G714" s="555"/>
      <c r="H714" s="555"/>
      <c r="I714" s="555"/>
      <c r="J714" s="555"/>
      <c r="K714" s="555"/>
      <c r="L714" s="555"/>
      <c r="M714" s="555"/>
      <c r="N714" s="555"/>
      <c r="O714" s="555"/>
      <c r="P714" s="555"/>
      <c r="Q714" s="555"/>
      <c r="R714" s="555"/>
      <c r="S714" s="555"/>
      <c r="T714" s="555"/>
      <c r="U714" s="555"/>
      <c r="V714" s="555"/>
      <c r="W714" s="555"/>
      <c r="X714" s="555"/>
      <c r="Y714" s="555"/>
      <c r="Z714" s="555"/>
    </row>
    <row r="715">
      <c r="A715" s="555"/>
      <c r="B715" s="555"/>
      <c r="C715" s="555"/>
      <c r="D715" s="555"/>
      <c r="E715" s="555"/>
      <c r="F715" s="555"/>
      <c r="G715" s="555"/>
      <c r="H715" s="555"/>
      <c r="I715" s="555"/>
      <c r="J715" s="555"/>
      <c r="K715" s="555"/>
      <c r="L715" s="555"/>
      <c r="M715" s="555"/>
      <c r="N715" s="555"/>
      <c r="O715" s="555"/>
      <c r="P715" s="555"/>
      <c r="Q715" s="555"/>
      <c r="R715" s="555"/>
      <c r="S715" s="555"/>
      <c r="T715" s="555"/>
      <c r="U715" s="555"/>
      <c r="V715" s="555"/>
      <c r="W715" s="555"/>
      <c r="X715" s="555"/>
      <c r="Y715" s="555"/>
      <c r="Z715" s="555"/>
    </row>
    <row r="716">
      <c r="A716" s="555"/>
      <c r="B716" s="555"/>
      <c r="C716" s="555"/>
      <c r="D716" s="555"/>
      <c r="E716" s="555"/>
      <c r="F716" s="555"/>
      <c r="G716" s="555"/>
      <c r="H716" s="555"/>
      <c r="I716" s="555"/>
      <c r="J716" s="555"/>
      <c r="K716" s="555"/>
      <c r="L716" s="555"/>
      <c r="M716" s="555"/>
      <c r="N716" s="555"/>
      <c r="O716" s="555"/>
      <c r="P716" s="555"/>
      <c r="Q716" s="555"/>
      <c r="R716" s="555"/>
      <c r="S716" s="555"/>
      <c r="T716" s="555"/>
      <c r="U716" s="555"/>
      <c r="V716" s="555"/>
      <c r="W716" s="555"/>
      <c r="X716" s="555"/>
      <c r="Y716" s="555"/>
      <c r="Z716" s="555"/>
    </row>
    <row r="717">
      <c r="A717" s="555"/>
      <c r="B717" s="555"/>
      <c r="C717" s="555"/>
      <c r="D717" s="555"/>
      <c r="E717" s="555"/>
      <c r="F717" s="555"/>
      <c r="G717" s="555"/>
      <c r="H717" s="555"/>
      <c r="I717" s="555"/>
      <c r="J717" s="555"/>
      <c r="K717" s="555"/>
      <c r="L717" s="555"/>
      <c r="M717" s="555"/>
      <c r="N717" s="555"/>
      <c r="O717" s="555"/>
      <c r="P717" s="555"/>
      <c r="Q717" s="555"/>
      <c r="R717" s="555"/>
      <c r="S717" s="555"/>
      <c r="T717" s="555"/>
      <c r="U717" s="555"/>
      <c r="V717" s="555"/>
      <c r="W717" s="555"/>
      <c r="X717" s="555"/>
      <c r="Y717" s="555"/>
      <c r="Z717" s="555"/>
    </row>
    <row r="718">
      <c r="A718" s="555"/>
      <c r="B718" s="555"/>
      <c r="C718" s="555"/>
      <c r="D718" s="555"/>
      <c r="E718" s="555"/>
      <c r="F718" s="555"/>
      <c r="G718" s="555"/>
      <c r="H718" s="555"/>
      <c r="I718" s="555"/>
      <c r="J718" s="555"/>
      <c r="K718" s="555"/>
      <c r="L718" s="555"/>
      <c r="M718" s="555"/>
      <c r="N718" s="555"/>
      <c r="O718" s="555"/>
      <c r="P718" s="555"/>
      <c r="Q718" s="555"/>
      <c r="R718" s="555"/>
      <c r="S718" s="555"/>
      <c r="T718" s="555"/>
      <c r="U718" s="555"/>
      <c r="V718" s="555"/>
      <c r="W718" s="555"/>
      <c r="X718" s="555"/>
      <c r="Y718" s="555"/>
      <c r="Z718" s="555"/>
    </row>
    <row r="719">
      <c r="A719" s="555"/>
      <c r="B719" s="555"/>
      <c r="C719" s="555"/>
      <c r="D719" s="555"/>
      <c r="E719" s="555"/>
      <c r="F719" s="555"/>
      <c r="G719" s="555"/>
      <c r="H719" s="555"/>
      <c r="I719" s="555"/>
      <c r="J719" s="555"/>
      <c r="K719" s="555"/>
      <c r="L719" s="555"/>
      <c r="M719" s="555"/>
      <c r="N719" s="555"/>
      <c r="O719" s="555"/>
      <c r="P719" s="555"/>
      <c r="Q719" s="555"/>
      <c r="R719" s="555"/>
      <c r="S719" s="555"/>
      <c r="T719" s="555"/>
      <c r="U719" s="555"/>
      <c r="V719" s="555"/>
      <c r="W719" s="555"/>
      <c r="X719" s="555"/>
      <c r="Y719" s="555"/>
      <c r="Z719" s="555"/>
    </row>
    <row r="720">
      <c r="A720" s="555"/>
      <c r="B720" s="555"/>
      <c r="C720" s="555"/>
      <c r="D720" s="555"/>
      <c r="E720" s="555"/>
      <c r="F720" s="555"/>
      <c r="G720" s="555"/>
      <c r="H720" s="555"/>
      <c r="I720" s="555"/>
      <c r="J720" s="555"/>
      <c r="K720" s="555"/>
      <c r="L720" s="555"/>
      <c r="M720" s="555"/>
      <c r="N720" s="555"/>
      <c r="O720" s="555"/>
      <c r="P720" s="555"/>
      <c r="Q720" s="555"/>
      <c r="R720" s="555"/>
      <c r="S720" s="555"/>
      <c r="T720" s="555"/>
      <c r="U720" s="555"/>
      <c r="V720" s="555"/>
      <c r="W720" s="555"/>
      <c r="X720" s="555"/>
      <c r="Y720" s="555"/>
      <c r="Z720" s="555"/>
    </row>
    <row r="721">
      <c r="A721" s="555"/>
      <c r="B721" s="555"/>
      <c r="C721" s="555"/>
      <c r="D721" s="555"/>
      <c r="E721" s="555"/>
      <c r="F721" s="555"/>
      <c r="G721" s="555"/>
      <c r="H721" s="555"/>
      <c r="I721" s="555"/>
      <c r="J721" s="555"/>
      <c r="K721" s="555"/>
      <c r="L721" s="555"/>
      <c r="M721" s="555"/>
      <c r="N721" s="555"/>
      <c r="O721" s="555"/>
      <c r="P721" s="555"/>
      <c r="Q721" s="555"/>
      <c r="R721" s="555"/>
      <c r="S721" s="555"/>
      <c r="T721" s="555"/>
      <c r="U721" s="555"/>
      <c r="V721" s="555"/>
      <c r="W721" s="555"/>
      <c r="X721" s="555"/>
      <c r="Y721" s="555"/>
      <c r="Z721" s="555"/>
    </row>
    <row r="722">
      <c r="A722" s="555"/>
      <c r="B722" s="555"/>
      <c r="C722" s="555"/>
      <c r="D722" s="555"/>
      <c r="E722" s="555"/>
      <c r="F722" s="555"/>
      <c r="G722" s="555"/>
      <c r="H722" s="555"/>
      <c r="I722" s="555"/>
      <c r="J722" s="555"/>
      <c r="K722" s="555"/>
      <c r="L722" s="555"/>
      <c r="M722" s="555"/>
      <c r="N722" s="555"/>
      <c r="O722" s="555"/>
      <c r="P722" s="555"/>
      <c r="Q722" s="555"/>
      <c r="R722" s="555"/>
      <c r="S722" s="555"/>
      <c r="T722" s="555"/>
      <c r="U722" s="555"/>
      <c r="V722" s="555"/>
      <c r="W722" s="555"/>
      <c r="X722" s="555"/>
      <c r="Y722" s="555"/>
      <c r="Z722" s="555"/>
    </row>
    <row r="723">
      <c r="A723" s="555"/>
      <c r="B723" s="555"/>
      <c r="C723" s="555"/>
      <c r="D723" s="555"/>
      <c r="E723" s="555"/>
      <c r="F723" s="555"/>
      <c r="G723" s="555"/>
      <c r="H723" s="555"/>
      <c r="I723" s="555"/>
      <c r="J723" s="555"/>
      <c r="K723" s="555"/>
      <c r="L723" s="555"/>
      <c r="M723" s="555"/>
      <c r="N723" s="555"/>
      <c r="O723" s="555"/>
      <c r="P723" s="555"/>
      <c r="Q723" s="555"/>
      <c r="R723" s="555"/>
      <c r="S723" s="555"/>
      <c r="T723" s="555"/>
      <c r="U723" s="555"/>
      <c r="V723" s="555"/>
      <c r="W723" s="555"/>
      <c r="X723" s="555"/>
      <c r="Y723" s="555"/>
      <c r="Z723" s="555"/>
    </row>
    <row r="724">
      <c r="A724" s="555"/>
      <c r="B724" s="555"/>
      <c r="C724" s="555"/>
      <c r="D724" s="555"/>
      <c r="E724" s="555"/>
      <c r="F724" s="555"/>
      <c r="G724" s="555"/>
      <c r="H724" s="555"/>
      <c r="I724" s="555"/>
      <c r="J724" s="555"/>
      <c r="K724" s="555"/>
      <c r="L724" s="555"/>
      <c r="M724" s="555"/>
      <c r="N724" s="555"/>
      <c r="O724" s="555"/>
      <c r="P724" s="555"/>
      <c r="Q724" s="555"/>
      <c r="R724" s="555"/>
      <c r="S724" s="555"/>
      <c r="T724" s="555"/>
      <c r="U724" s="555"/>
      <c r="V724" s="555"/>
      <c r="W724" s="555"/>
      <c r="X724" s="555"/>
      <c r="Y724" s="555"/>
      <c r="Z724" s="555"/>
    </row>
    <row r="725">
      <c r="A725" s="555"/>
      <c r="B725" s="555"/>
      <c r="C725" s="555"/>
      <c r="D725" s="555"/>
      <c r="E725" s="555"/>
      <c r="F725" s="555"/>
      <c r="G725" s="555"/>
      <c r="H725" s="555"/>
      <c r="I725" s="555"/>
      <c r="J725" s="555"/>
      <c r="K725" s="555"/>
      <c r="L725" s="555"/>
      <c r="M725" s="555"/>
      <c r="N725" s="555"/>
      <c r="O725" s="555"/>
      <c r="P725" s="555"/>
      <c r="Q725" s="555"/>
      <c r="R725" s="555"/>
      <c r="S725" s="555"/>
      <c r="T725" s="555"/>
      <c r="U725" s="555"/>
      <c r="V725" s="555"/>
      <c r="W725" s="555"/>
      <c r="X725" s="555"/>
      <c r="Y725" s="555"/>
      <c r="Z725" s="555"/>
    </row>
    <row r="726">
      <c r="A726" s="555"/>
      <c r="B726" s="555"/>
      <c r="C726" s="555"/>
      <c r="D726" s="555"/>
      <c r="E726" s="555"/>
      <c r="F726" s="555"/>
      <c r="G726" s="555"/>
      <c r="H726" s="555"/>
      <c r="I726" s="555"/>
      <c r="J726" s="555"/>
      <c r="K726" s="555"/>
      <c r="L726" s="555"/>
      <c r="M726" s="555"/>
      <c r="N726" s="555"/>
      <c r="O726" s="555"/>
      <c r="P726" s="555"/>
      <c r="Q726" s="555"/>
      <c r="R726" s="555"/>
      <c r="S726" s="555"/>
      <c r="T726" s="555"/>
      <c r="U726" s="555"/>
      <c r="V726" s="555"/>
      <c r="W726" s="555"/>
      <c r="X726" s="555"/>
      <c r="Y726" s="555"/>
      <c r="Z726" s="555"/>
    </row>
    <row r="727">
      <c r="A727" s="555"/>
      <c r="B727" s="555"/>
      <c r="C727" s="555"/>
      <c r="D727" s="555"/>
      <c r="E727" s="555"/>
      <c r="F727" s="555"/>
      <c r="G727" s="555"/>
      <c r="H727" s="555"/>
      <c r="I727" s="555"/>
      <c r="J727" s="555"/>
      <c r="K727" s="555"/>
      <c r="L727" s="555"/>
      <c r="M727" s="555"/>
      <c r="N727" s="555"/>
      <c r="O727" s="555"/>
      <c r="P727" s="555"/>
      <c r="Q727" s="555"/>
      <c r="R727" s="555"/>
      <c r="S727" s="555"/>
      <c r="T727" s="555"/>
      <c r="U727" s="555"/>
      <c r="V727" s="555"/>
      <c r="W727" s="555"/>
      <c r="X727" s="555"/>
      <c r="Y727" s="555"/>
      <c r="Z727" s="555"/>
    </row>
    <row r="728">
      <c r="A728" s="555"/>
      <c r="B728" s="555"/>
      <c r="C728" s="555"/>
      <c r="D728" s="555"/>
      <c r="E728" s="555"/>
      <c r="F728" s="555"/>
      <c r="G728" s="555"/>
      <c r="H728" s="555"/>
      <c r="I728" s="555"/>
      <c r="J728" s="555"/>
      <c r="K728" s="555"/>
      <c r="L728" s="555"/>
      <c r="M728" s="555"/>
      <c r="N728" s="555"/>
      <c r="O728" s="555"/>
      <c r="P728" s="555"/>
      <c r="Q728" s="555"/>
      <c r="R728" s="555"/>
      <c r="S728" s="555"/>
      <c r="T728" s="555"/>
      <c r="U728" s="555"/>
      <c r="V728" s="555"/>
      <c r="W728" s="555"/>
      <c r="X728" s="555"/>
      <c r="Y728" s="555"/>
      <c r="Z728" s="555"/>
    </row>
    <row r="729">
      <c r="A729" s="555"/>
      <c r="B729" s="555"/>
      <c r="C729" s="555"/>
      <c r="D729" s="555"/>
      <c r="E729" s="555"/>
      <c r="F729" s="555"/>
      <c r="G729" s="555"/>
      <c r="H729" s="555"/>
      <c r="I729" s="555"/>
      <c r="J729" s="555"/>
      <c r="K729" s="555"/>
      <c r="L729" s="555"/>
      <c r="M729" s="555"/>
      <c r="N729" s="555"/>
      <c r="O729" s="555"/>
      <c r="P729" s="555"/>
      <c r="Q729" s="555"/>
      <c r="R729" s="555"/>
      <c r="S729" s="555"/>
      <c r="T729" s="555"/>
      <c r="U729" s="555"/>
      <c r="V729" s="555"/>
      <c r="W729" s="555"/>
      <c r="X729" s="555"/>
      <c r="Y729" s="555"/>
      <c r="Z729" s="555"/>
    </row>
    <row r="730">
      <c r="A730" s="555"/>
      <c r="B730" s="555"/>
      <c r="C730" s="555"/>
      <c r="D730" s="555"/>
      <c r="E730" s="555"/>
      <c r="F730" s="555"/>
      <c r="G730" s="555"/>
      <c r="H730" s="555"/>
      <c r="I730" s="555"/>
      <c r="J730" s="555"/>
      <c r="K730" s="555"/>
      <c r="L730" s="555"/>
      <c r="M730" s="555"/>
      <c r="N730" s="555"/>
      <c r="O730" s="555"/>
      <c r="P730" s="555"/>
      <c r="Q730" s="555"/>
      <c r="R730" s="555"/>
      <c r="S730" s="555"/>
      <c r="T730" s="555"/>
      <c r="U730" s="555"/>
      <c r="V730" s="555"/>
      <c r="W730" s="555"/>
      <c r="X730" s="555"/>
      <c r="Y730" s="555"/>
      <c r="Z730" s="555"/>
    </row>
    <row r="731">
      <c r="A731" s="555"/>
      <c r="B731" s="555"/>
      <c r="C731" s="555"/>
      <c r="D731" s="555"/>
      <c r="E731" s="555"/>
      <c r="F731" s="555"/>
      <c r="G731" s="555"/>
      <c r="H731" s="555"/>
      <c r="I731" s="555"/>
      <c r="J731" s="555"/>
      <c r="K731" s="555"/>
      <c r="L731" s="555"/>
      <c r="M731" s="555"/>
      <c r="N731" s="555"/>
      <c r="O731" s="555"/>
      <c r="P731" s="555"/>
      <c r="Q731" s="555"/>
      <c r="R731" s="555"/>
      <c r="S731" s="555"/>
      <c r="T731" s="555"/>
      <c r="U731" s="555"/>
      <c r="V731" s="555"/>
      <c r="W731" s="555"/>
      <c r="X731" s="555"/>
      <c r="Y731" s="555"/>
      <c r="Z731" s="555"/>
    </row>
    <row r="732">
      <c r="A732" s="555"/>
      <c r="B732" s="555"/>
      <c r="C732" s="555"/>
      <c r="D732" s="555"/>
      <c r="E732" s="555"/>
      <c r="F732" s="555"/>
      <c r="G732" s="555"/>
      <c r="H732" s="555"/>
      <c r="I732" s="555"/>
      <c r="J732" s="555"/>
      <c r="K732" s="555"/>
      <c r="L732" s="555"/>
      <c r="M732" s="555"/>
      <c r="N732" s="555"/>
      <c r="O732" s="555"/>
      <c r="P732" s="555"/>
      <c r="Q732" s="555"/>
      <c r="R732" s="555"/>
      <c r="S732" s="555"/>
      <c r="T732" s="555"/>
      <c r="U732" s="555"/>
      <c r="V732" s="555"/>
      <c r="W732" s="555"/>
      <c r="X732" s="555"/>
      <c r="Y732" s="555"/>
      <c r="Z732" s="555"/>
    </row>
    <row r="733">
      <c r="A733" s="555"/>
      <c r="B733" s="555"/>
      <c r="C733" s="555"/>
      <c r="D733" s="555"/>
      <c r="E733" s="555"/>
      <c r="F733" s="555"/>
      <c r="G733" s="555"/>
      <c r="H733" s="555"/>
      <c r="I733" s="555"/>
      <c r="J733" s="555"/>
      <c r="K733" s="555"/>
      <c r="L733" s="555"/>
      <c r="M733" s="555"/>
      <c r="N733" s="555"/>
      <c r="O733" s="555"/>
      <c r="P733" s="555"/>
      <c r="Q733" s="555"/>
      <c r="R733" s="555"/>
      <c r="S733" s="555"/>
      <c r="T733" s="555"/>
      <c r="U733" s="555"/>
      <c r="V733" s="555"/>
      <c r="W733" s="555"/>
      <c r="X733" s="555"/>
      <c r="Y733" s="555"/>
      <c r="Z733" s="555"/>
    </row>
    <row r="734">
      <c r="A734" s="555"/>
      <c r="B734" s="555"/>
      <c r="C734" s="555"/>
      <c r="D734" s="555"/>
      <c r="E734" s="555"/>
      <c r="F734" s="555"/>
      <c r="G734" s="555"/>
      <c r="H734" s="555"/>
      <c r="I734" s="555"/>
      <c r="J734" s="555"/>
      <c r="K734" s="555"/>
      <c r="L734" s="555"/>
      <c r="M734" s="555"/>
      <c r="N734" s="555"/>
      <c r="O734" s="555"/>
      <c r="P734" s="555"/>
      <c r="Q734" s="555"/>
      <c r="R734" s="555"/>
      <c r="S734" s="555"/>
      <c r="T734" s="555"/>
      <c r="U734" s="555"/>
      <c r="V734" s="555"/>
      <c r="W734" s="555"/>
      <c r="X734" s="555"/>
      <c r="Y734" s="555"/>
      <c r="Z734" s="555"/>
    </row>
    <row r="735">
      <c r="A735" s="555"/>
      <c r="B735" s="555"/>
      <c r="C735" s="555"/>
      <c r="D735" s="555"/>
      <c r="E735" s="555"/>
      <c r="F735" s="555"/>
      <c r="G735" s="555"/>
      <c r="H735" s="555"/>
      <c r="I735" s="555"/>
      <c r="J735" s="555"/>
      <c r="K735" s="555"/>
      <c r="L735" s="555"/>
      <c r="M735" s="555"/>
      <c r="N735" s="555"/>
      <c r="O735" s="555"/>
      <c r="P735" s="555"/>
      <c r="Q735" s="555"/>
      <c r="R735" s="555"/>
      <c r="S735" s="555"/>
      <c r="T735" s="555"/>
      <c r="U735" s="555"/>
      <c r="V735" s="555"/>
      <c r="W735" s="555"/>
      <c r="X735" s="555"/>
      <c r="Y735" s="555"/>
      <c r="Z735" s="555"/>
    </row>
    <row r="736">
      <c r="A736" s="555"/>
      <c r="B736" s="555"/>
      <c r="C736" s="555"/>
      <c r="D736" s="555"/>
      <c r="E736" s="555"/>
      <c r="F736" s="555"/>
      <c r="G736" s="555"/>
      <c r="H736" s="555"/>
      <c r="I736" s="555"/>
      <c r="J736" s="555"/>
      <c r="K736" s="555"/>
      <c r="L736" s="555"/>
      <c r="M736" s="555"/>
      <c r="N736" s="555"/>
      <c r="O736" s="555"/>
      <c r="P736" s="555"/>
      <c r="Q736" s="555"/>
      <c r="R736" s="555"/>
      <c r="S736" s="555"/>
      <c r="T736" s="555"/>
      <c r="U736" s="555"/>
      <c r="V736" s="555"/>
      <c r="W736" s="555"/>
      <c r="X736" s="555"/>
      <c r="Y736" s="555"/>
      <c r="Z736" s="555"/>
    </row>
    <row r="737">
      <c r="A737" s="555"/>
      <c r="B737" s="555"/>
      <c r="C737" s="555"/>
      <c r="D737" s="555"/>
      <c r="E737" s="555"/>
      <c r="F737" s="555"/>
      <c r="G737" s="555"/>
      <c r="H737" s="555"/>
      <c r="I737" s="555"/>
      <c r="J737" s="555"/>
      <c r="K737" s="555"/>
      <c r="L737" s="555"/>
      <c r="M737" s="555"/>
      <c r="N737" s="555"/>
      <c r="O737" s="555"/>
      <c r="P737" s="555"/>
      <c r="Q737" s="555"/>
      <c r="R737" s="555"/>
      <c r="S737" s="555"/>
      <c r="T737" s="555"/>
      <c r="U737" s="555"/>
      <c r="V737" s="555"/>
      <c r="W737" s="555"/>
      <c r="X737" s="555"/>
      <c r="Y737" s="555"/>
      <c r="Z737" s="555"/>
    </row>
    <row r="738">
      <c r="A738" s="555"/>
      <c r="B738" s="555"/>
      <c r="C738" s="555"/>
      <c r="D738" s="555"/>
      <c r="E738" s="555"/>
      <c r="F738" s="555"/>
      <c r="G738" s="555"/>
      <c r="H738" s="555"/>
      <c r="I738" s="555"/>
      <c r="J738" s="555"/>
      <c r="K738" s="555"/>
      <c r="L738" s="555"/>
      <c r="M738" s="555"/>
      <c r="N738" s="555"/>
      <c r="O738" s="555"/>
      <c r="P738" s="555"/>
      <c r="Q738" s="555"/>
      <c r="R738" s="555"/>
      <c r="S738" s="555"/>
      <c r="T738" s="555"/>
      <c r="U738" s="555"/>
      <c r="V738" s="555"/>
      <c r="W738" s="555"/>
      <c r="X738" s="555"/>
      <c r="Y738" s="555"/>
      <c r="Z738" s="555"/>
    </row>
    <row r="739">
      <c r="A739" s="555"/>
      <c r="B739" s="555"/>
      <c r="C739" s="555"/>
      <c r="D739" s="555"/>
      <c r="E739" s="555"/>
      <c r="F739" s="555"/>
      <c r="G739" s="555"/>
      <c r="H739" s="555"/>
      <c r="I739" s="555"/>
      <c r="J739" s="555"/>
      <c r="K739" s="555"/>
      <c r="L739" s="555"/>
      <c r="M739" s="555"/>
      <c r="N739" s="555"/>
      <c r="O739" s="555"/>
      <c r="P739" s="555"/>
      <c r="Q739" s="555"/>
      <c r="R739" s="555"/>
      <c r="S739" s="555"/>
      <c r="T739" s="555"/>
      <c r="U739" s="555"/>
      <c r="V739" s="555"/>
      <c r="W739" s="555"/>
      <c r="X739" s="555"/>
      <c r="Y739" s="555"/>
      <c r="Z739" s="555"/>
    </row>
    <row r="740">
      <c r="A740" s="555"/>
      <c r="B740" s="555"/>
      <c r="C740" s="555"/>
      <c r="D740" s="555"/>
      <c r="E740" s="555"/>
      <c r="F740" s="555"/>
      <c r="G740" s="555"/>
      <c r="H740" s="555"/>
      <c r="I740" s="555"/>
      <c r="J740" s="555"/>
      <c r="K740" s="555"/>
      <c r="L740" s="555"/>
      <c r="M740" s="555"/>
      <c r="N740" s="555"/>
      <c r="O740" s="555"/>
      <c r="P740" s="555"/>
      <c r="Q740" s="555"/>
      <c r="R740" s="555"/>
      <c r="S740" s="555"/>
      <c r="T740" s="555"/>
      <c r="U740" s="555"/>
      <c r="V740" s="555"/>
      <c r="W740" s="555"/>
      <c r="X740" s="555"/>
      <c r="Y740" s="555"/>
      <c r="Z740" s="555"/>
    </row>
    <row r="741">
      <c r="A741" s="555"/>
      <c r="B741" s="555"/>
      <c r="C741" s="555"/>
      <c r="D741" s="555"/>
      <c r="E741" s="555"/>
      <c r="F741" s="555"/>
      <c r="G741" s="555"/>
      <c r="H741" s="555"/>
      <c r="I741" s="555"/>
      <c r="J741" s="555"/>
      <c r="K741" s="555"/>
      <c r="L741" s="555"/>
      <c r="M741" s="555"/>
      <c r="N741" s="555"/>
      <c r="O741" s="555"/>
      <c r="P741" s="555"/>
      <c r="Q741" s="555"/>
      <c r="R741" s="555"/>
      <c r="S741" s="555"/>
      <c r="T741" s="555"/>
      <c r="U741" s="555"/>
      <c r="V741" s="555"/>
      <c r="W741" s="555"/>
      <c r="X741" s="555"/>
      <c r="Y741" s="555"/>
      <c r="Z741" s="555"/>
    </row>
    <row r="742">
      <c r="A742" s="555"/>
      <c r="B742" s="555"/>
      <c r="C742" s="555"/>
      <c r="D742" s="555"/>
      <c r="E742" s="555"/>
      <c r="F742" s="555"/>
      <c r="G742" s="555"/>
      <c r="H742" s="555"/>
      <c r="I742" s="555"/>
      <c r="J742" s="555"/>
      <c r="K742" s="555"/>
      <c r="L742" s="555"/>
      <c r="M742" s="555"/>
      <c r="N742" s="555"/>
      <c r="O742" s="555"/>
      <c r="P742" s="555"/>
      <c r="Q742" s="555"/>
      <c r="R742" s="555"/>
      <c r="S742" s="555"/>
      <c r="T742" s="555"/>
      <c r="U742" s="555"/>
      <c r="V742" s="555"/>
      <c r="W742" s="555"/>
      <c r="X742" s="555"/>
      <c r="Y742" s="555"/>
      <c r="Z742" s="555"/>
    </row>
    <row r="743">
      <c r="A743" s="555"/>
      <c r="B743" s="555"/>
      <c r="C743" s="555"/>
      <c r="D743" s="555"/>
      <c r="E743" s="555"/>
      <c r="F743" s="555"/>
      <c r="G743" s="555"/>
      <c r="H743" s="555"/>
      <c r="I743" s="555"/>
      <c r="J743" s="555"/>
      <c r="K743" s="555"/>
      <c r="L743" s="555"/>
      <c r="M743" s="555"/>
      <c r="N743" s="555"/>
      <c r="O743" s="555"/>
      <c r="P743" s="555"/>
      <c r="Q743" s="555"/>
      <c r="R743" s="555"/>
      <c r="S743" s="555"/>
      <c r="T743" s="555"/>
      <c r="U743" s="555"/>
      <c r="V743" s="555"/>
      <c r="W743" s="555"/>
      <c r="X743" s="555"/>
      <c r="Y743" s="555"/>
      <c r="Z743" s="555"/>
    </row>
    <row r="744">
      <c r="A744" s="555"/>
      <c r="B744" s="555"/>
      <c r="C744" s="555"/>
      <c r="D744" s="555"/>
      <c r="E744" s="555"/>
      <c r="F744" s="555"/>
      <c r="G744" s="555"/>
      <c r="H744" s="555"/>
      <c r="I744" s="555"/>
      <c r="J744" s="555"/>
      <c r="K744" s="555"/>
      <c r="L744" s="555"/>
      <c r="M744" s="555"/>
      <c r="N744" s="555"/>
      <c r="O744" s="555"/>
      <c r="P744" s="555"/>
      <c r="Q744" s="555"/>
      <c r="R744" s="555"/>
      <c r="S744" s="555"/>
      <c r="T744" s="555"/>
      <c r="U744" s="555"/>
      <c r="V744" s="555"/>
      <c r="W744" s="555"/>
      <c r="X744" s="555"/>
      <c r="Y744" s="555"/>
      <c r="Z744" s="555"/>
    </row>
    <row r="745">
      <c r="A745" s="555"/>
      <c r="B745" s="555"/>
      <c r="C745" s="555"/>
      <c r="D745" s="555"/>
      <c r="E745" s="555"/>
      <c r="F745" s="555"/>
      <c r="G745" s="555"/>
      <c r="H745" s="555"/>
      <c r="I745" s="555"/>
      <c r="J745" s="555"/>
      <c r="K745" s="555"/>
      <c r="L745" s="555"/>
      <c r="M745" s="555"/>
      <c r="N745" s="555"/>
      <c r="O745" s="555"/>
      <c r="P745" s="555"/>
      <c r="Q745" s="555"/>
      <c r="R745" s="555"/>
      <c r="S745" s="555"/>
      <c r="T745" s="555"/>
      <c r="U745" s="555"/>
      <c r="V745" s="555"/>
      <c r="W745" s="555"/>
      <c r="X745" s="555"/>
      <c r="Y745" s="555"/>
      <c r="Z745" s="555"/>
    </row>
    <row r="746">
      <c r="A746" s="555"/>
      <c r="B746" s="555"/>
      <c r="C746" s="555"/>
      <c r="D746" s="555"/>
      <c r="E746" s="555"/>
      <c r="F746" s="555"/>
      <c r="G746" s="555"/>
      <c r="H746" s="555"/>
      <c r="I746" s="555"/>
      <c r="J746" s="555"/>
      <c r="K746" s="555"/>
      <c r="L746" s="555"/>
      <c r="M746" s="555"/>
      <c r="N746" s="555"/>
      <c r="O746" s="555"/>
      <c r="P746" s="555"/>
      <c r="Q746" s="555"/>
      <c r="R746" s="555"/>
      <c r="S746" s="555"/>
      <c r="T746" s="555"/>
      <c r="U746" s="555"/>
      <c r="V746" s="555"/>
      <c r="W746" s="555"/>
      <c r="X746" s="555"/>
      <c r="Y746" s="555"/>
      <c r="Z746" s="555"/>
    </row>
    <row r="747">
      <c r="A747" s="555"/>
      <c r="B747" s="555"/>
      <c r="C747" s="555"/>
      <c r="D747" s="555"/>
      <c r="E747" s="555"/>
      <c r="F747" s="555"/>
      <c r="G747" s="555"/>
      <c r="H747" s="555"/>
      <c r="I747" s="555"/>
      <c r="J747" s="555"/>
      <c r="K747" s="555"/>
      <c r="L747" s="555"/>
      <c r="M747" s="555"/>
      <c r="N747" s="555"/>
      <c r="O747" s="555"/>
      <c r="P747" s="555"/>
      <c r="Q747" s="555"/>
      <c r="R747" s="555"/>
      <c r="S747" s="555"/>
      <c r="T747" s="555"/>
      <c r="U747" s="555"/>
      <c r="V747" s="555"/>
      <c r="W747" s="555"/>
      <c r="X747" s="555"/>
      <c r="Y747" s="555"/>
      <c r="Z747" s="555"/>
    </row>
    <row r="748">
      <c r="A748" s="555"/>
      <c r="B748" s="555"/>
      <c r="C748" s="555"/>
      <c r="D748" s="555"/>
      <c r="E748" s="555"/>
      <c r="F748" s="555"/>
      <c r="G748" s="555"/>
      <c r="H748" s="555"/>
      <c r="I748" s="555"/>
      <c r="J748" s="555"/>
      <c r="K748" s="555"/>
      <c r="L748" s="555"/>
      <c r="M748" s="555"/>
      <c r="N748" s="555"/>
      <c r="O748" s="555"/>
      <c r="P748" s="555"/>
      <c r="Q748" s="555"/>
      <c r="R748" s="555"/>
      <c r="S748" s="555"/>
      <c r="T748" s="555"/>
      <c r="U748" s="555"/>
      <c r="V748" s="555"/>
      <c r="W748" s="555"/>
      <c r="X748" s="555"/>
      <c r="Y748" s="555"/>
      <c r="Z748" s="555"/>
    </row>
    <row r="749">
      <c r="A749" s="555"/>
      <c r="B749" s="555"/>
      <c r="C749" s="555"/>
      <c r="D749" s="555"/>
      <c r="E749" s="555"/>
      <c r="F749" s="555"/>
      <c r="G749" s="555"/>
      <c r="H749" s="555"/>
      <c r="I749" s="555"/>
      <c r="J749" s="555"/>
      <c r="K749" s="555"/>
      <c r="L749" s="555"/>
      <c r="M749" s="555"/>
      <c r="N749" s="555"/>
      <c r="O749" s="555"/>
      <c r="P749" s="555"/>
      <c r="Q749" s="555"/>
      <c r="R749" s="555"/>
      <c r="S749" s="555"/>
      <c r="T749" s="555"/>
      <c r="U749" s="555"/>
      <c r="V749" s="555"/>
      <c r="W749" s="555"/>
      <c r="X749" s="555"/>
      <c r="Y749" s="555"/>
      <c r="Z749" s="555"/>
    </row>
    <row r="750">
      <c r="A750" s="555"/>
      <c r="B750" s="555"/>
      <c r="C750" s="555"/>
      <c r="D750" s="555"/>
      <c r="E750" s="555"/>
      <c r="F750" s="555"/>
      <c r="G750" s="555"/>
      <c r="H750" s="555"/>
      <c r="I750" s="555"/>
      <c r="J750" s="555"/>
      <c r="K750" s="555"/>
      <c r="L750" s="555"/>
      <c r="M750" s="555"/>
      <c r="N750" s="555"/>
      <c r="O750" s="555"/>
      <c r="P750" s="555"/>
      <c r="Q750" s="555"/>
      <c r="R750" s="555"/>
      <c r="S750" s="555"/>
      <c r="T750" s="555"/>
      <c r="U750" s="555"/>
      <c r="V750" s="555"/>
      <c r="W750" s="555"/>
      <c r="X750" s="555"/>
      <c r="Y750" s="555"/>
      <c r="Z750" s="555"/>
    </row>
    <row r="751">
      <c r="A751" s="555"/>
      <c r="B751" s="555"/>
      <c r="C751" s="555"/>
      <c r="D751" s="555"/>
      <c r="E751" s="555"/>
      <c r="F751" s="555"/>
      <c r="G751" s="555"/>
      <c r="H751" s="555"/>
      <c r="I751" s="555"/>
      <c r="J751" s="555"/>
      <c r="K751" s="555"/>
      <c r="L751" s="555"/>
      <c r="M751" s="555"/>
      <c r="N751" s="555"/>
      <c r="O751" s="555"/>
      <c r="P751" s="555"/>
      <c r="Q751" s="555"/>
      <c r="R751" s="555"/>
      <c r="S751" s="555"/>
      <c r="T751" s="555"/>
      <c r="U751" s="555"/>
      <c r="V751" s="555"/>
      <c r="W751" s="555"/>
      <c r="X751" s="555"/>
      <c r="Y751" s="555"/>
      <c r="Z751" s="555"/>
    </row>
    <row r="752">
      <c r="A752" s="555"/>
      <c r="B752" s="555"/>
      <c r="C752" s="555"/>
      <c r="D752" s="555"/>
      <c r="E752" s="555"/>
      <c r="F752" s="555"/>
      <c r="G752" s="555"/>
      <c r="H752" s="555"/>
      <c r="I752" s="555"/>
      <c r="J752" s="555"/>
      <c r="K752" s="555"/>
      <c r="L752" s="555"/>
      <c r="M752" s="555"/>
      <c r="N752" s="555"/>
      <c r="O752" s="555"/>
      <c r="P752" s="555"/>
      <c r="Q752" s="555"/>
      <c r="R752" s="555"/>
      <c r="S752" s="555"/>
      <c r="T752" s="555"/>
      <c r="U752" s="555"/>
      <c r="V752" s="555"/>
      <c r="W752" s="555"/>
      <c r="X752" s="555"/>
      <c r="Y752" s="555"/>
      <c r="Z752" s="555"/>
    </row>
    <row r="753">
      <c r="A753" s="555"/>
      <c r="B753" s="555"/>
      <c r="C753" s="555"/>
      <c r="D753" s="555"/>
      <c r="E753" s="555"/>
      <c r="F753" s="555"/>
      <c r="G753" s="555"/>
      <c r="H753" s="555"/>
      <c r="I753" s="555"/>
      <c r="J753" s="555"/>
      <c r="K753" s="555"/>
      <c r="L753" s="555"/>
      <c r="M753" s="555"/>
      <c r="N753" s="555"/>
      <c r="O753" s="555"/>
      <c r="P753" s="555"/>
      <c r="Q753" s="555"/>
      <c r="R753" s="555"/>
      <c r="S753" s="555"/>
      <c r="T753" s="555"/>
      <c r="U753" s="555"/>
      <c r="V753" s="555"/>
      <c r="W753" s="555"/>
      <c r="X753" s="555"/>
      <c r="Y753" s="555"/>
      <c r="Z753" s="555"/>
    </row>
    <row r="754">
      <c r="A754" s="555"/>
      <c r="B754" s="555"/>
      <c r="C754" s="555"/>
      <c r="D754" s="555"/>
      <c r="E754" s="555"/>
      <c r="F754" s="555"/>
      <c r="G754" s="555"/>
      <c r="H754" s="555"/>
      <c r="I754" s="555"/>
      <c r="J754" s="555"/>
      <c r="K754" s="555"/>
      <c r="L754" s="555"/>
      <c r="M754" s="555"/>
      <c r="N754" s="555"/>
      <c r="O754" s="555"/>
      <c r="P754" s="555"/>
      <c r="Q754" s="555"/>
      <c r="R754" s="555"/>
      <c r="S754" s="555"/>
      <c r="T754" s="555"/>
      <c r="U754" s="555"/>
      <c r="V754" s="555"/>
      <c r="W754" s="555"/>
      <c r="X754" s="555"/>
      <c r="Y754" s="555"/>
      <c r="Z754" s="555"/>
    </row>
    <row r="755">
      <c r="A755" s="555"/>
      <c r="B755" s="555"/>
      <c r="C755" s="555"/>
      <c r="D755" s="555"/>
      <c r="E755" s="555"/>
      <c r="F755" s="555"/>
      <c r="G755" s="555"/>
      <c r="H755" s="555"/>
      <c r="I755" s="555"/>
      <c r="J755" s="555"/>
      <c r="K755" s="555"/>
      <c r="L755" s="555"/>
      <c r="M755" s="555"/>
      <c r="N755" s="555"/>
      <c r="O755" s="555"/>
      <c r="P755" s="555"/>
      <c r="Q755" s="555"/>
      <c r="R755" s="555"/>
      <c r="S755" s="555"/>
      <c r="T755" s="555"/>
      <c r="U755" s="555"/>
      <c r="V755" s="555"/>
      <c r="W755" s="555"/>
      <c r="X755" s="555"/>
      <c r="Y755" s="555"/>
      <c r="Z755" s="555"/>
    </row>
    <row r="756">
      <c r="A756" s="555"/>
      <c r="B756" s="555"/>
      <c r="C756" s="555"/>
      <c r="D756" s="555"/>
      <c r="E756" s="555"/>
      <c r="F756" s="555"/>
      <c r="G756" s="555"/>
      <c r="H756" s="555"/>
      <c r="I756" s="555"/>
      <c r="J756" s="555"/>
      <c r="K756" s="555"/>
      <c r="L756" s="555"/>
      <c r="M756" s="555"/>
      <c r="N756" s="555"/>
      <c r="O756" s="555"/>
      <c r="P756" s="555"/>
      <c r="Q756" s="555"/>
      <c r="R756" s="555"/>
      <c r="S756" s="555"/>
      <c r="T756" s="555"/>
      <c r="U756" s="555"/>
      <c r="V756" s="555"/>
      <c r="W756" s="555"/>
      <c r="X756" s="555"/>
      <c r="Y756" s="555"/>
      <c r="Z756" s="555"/>
    </row>
    <row r="757">
      <c r="A757" s="555"/>
      <c r="B757" s="555"/>
      <c r="C757" s="555"/>
      <c r="D757" s="555"/>
      <c r="E757" s="555"/>
      <c r="F757" s="555"/>
      <c r="G757" s="555"/>
      <c r="H757" s="555"/>
      <c r="I757" s="555"/>
      <c r="J757" s="555"/>
      <c r="K757" s="555"/>
      <c r="L757" s="555"/>
      <c r="M757" s="555"/>
      <c r="N757" s="555"/>
      <c r="O757" s="555"/>
      <c r="P757" s="555"/>
      <c r="Q757" s="555"/>
      <c r="R757" s="555"/>
      <c r="S757" s="555"/>
      <c r="T757" s="555"/>
      <c r="U757" s="555"/>
      <c r="V757" s="555"/>
      <c r="W757" s="555"/>
      <c r="X757" s="555"/>
      <c r="Y757" s="555"/>
      <c r="Z757" s="555"/>
    </row>
    <row r="758">
      <c r="A758" s="555"/>
      <c r="B758" s="555"/>
      <c r="C758" s="555"/>
      <c r="D758" s="555"/>
      <c r="E758" s="555"/>
      <c r="F758" s="555"/>
      <c r="G758" s="555"/>
      <c r="H758" s="555"/>
      <c r="I758" s="555"/>
      <c r="J758" s="555"/>
      <c r="K758" s="555"/>
      <c r="L758" s="555"/>
      <c r="M758" s="555"/>
      <c r="N758" s="555"/>
      <c r="O758" s="555"/>
      <c r="P758" s="555"/>
      <c r="Q758" s="555"/>
      <c r="R758" s="555"/>
      <c r="S758" s="555"/>
      <c r="T758" s="555"/>
      <c r="U758" s="555"/>
      <c r="V758" s="555"/>
      <c r="W758" s="555"/>
      <c r="X758" s="555"/>
      <c r="Y758" s="555"/>
      <c r="Z758" s="555"/>
    </row>
    <row r="759">
      <c r="A759" s="555"/>
      <c r="B759" s="555"/>
      <c r="C759" s="555"/>
      <c r="D759" s="555"/>
      <c r="E759" s="555"/>
      <c r="F759" s="555"/>
      <c r="G759" s="555"/>
      <c r="H759" s="555"/>
      <c r="I759" s="555"/>
      <c r="J759" s="555"/>
      <c r="K759" s="555"/>
      <c r="L759" s="555"/>
      <c r="M759" s="555"/>
      <c r="N759" s="555"/>
      <c r="O759" s="555"/>
      <c r="P759" s="555"/>
      <c r="Q759" s="555"/>
      <c r="R759" s="555"/>
      <c r="S759" s="555"/>
      <c r="T759" s="555"/>
      <c r="U759" s="555"/>
      <c r="V759" s="555"/>
      <c r="W759" s="555"/>
      <c r="X759" s="555"/>
      <c r="Y759" s="555"/>
      <c r="Z759" s="555"/>
    </row>
    <row r="760">
      <c r="A760" s="555"/>
      <c r="B760" s="555"/>
      <c r="C760" s="555"/>
      <c r="D760" s="555"/>
      <c r="E760" s="555"/>
      <c r="F760" s="555"/>
      <c r="G760" s="555"/>
      <c r="H760" s="555"/>
      <c r="I760" s="555"/>
      <c r="J760" s="555"/>
      <c r="K760" s="555"/>
      <c r="L760" s="555"/>
      <c r="M760" s="555"/>
      <c r="N760" s="555"/>
      <c r="O760" s="555"/>
      <c r="P760" s="555"/>
      <c r="Q760" s="555"/>
      <c r="R760" s="555"/>
      <c r="S760" s="555"/>
      <c r="T760" s="555"/>
      <c r="U760" s="555"/>
      <c r="V760" s="555"/>
      <c r="W760" s="555"/>
      <c r="X760" s="555"/>
      <c r="Y760" s="555"/>
      <c r="Z760" s="555"/>
    </row>
    <row r="761">
      <c r="A761" s="555"/>
      <c r="B761" s="555"/>
      <c r="C761" s="555"/>
      <c r="D761" s="555"/>
      <c r="E761" s="555"/>
      <c r="F761" s="555"/>
      <c r="G761" s="555"/>
      <c r="H761" s="555"/>
      <c r="I761" s="555"/>
      <c r="J761" s="555"/>
      <c r="K761" s="555"/>
      <c r="L761" s="555"/>
      <c r="M761" s="555"/>
      <c r="N761" s="555"/>
      <c r="O761" s="555"/>
      <c r="P761" s="555"/>
      <c r="Q761" s="555"/>
      <c r="R761" s="555"/>
      <c r="S761" s="555"/>
      <c r="T761" s="555"/>
      <c r="U761" s="555"/>
      <c r="V761" s="555"/>
      <c r="W761" s="555"/>
      <c r="X761" s="555"/>
      <c r="Y761" s="555"/>
      <c r="Z761" s="555"/>
    </row>
    <row r="762">
      <c r="A762" s="555"/>
      <c r="B762" s="555"/>
      <c r="C762" s="555"/>
      <c r="D762" s="555"/>
      <c r="E762" s="555"/>
      <c r="F762" s="555"/>
      <c r="G762" s="555"/>
      <c r="H762" s="555"/>
      <c r="I762" s="555"/>
      <c r="J762" s="555"/>
      <c r="K762" s="555"/>
      <c r="L762" s="555"/>
      <c r="M762" s="555"/>
      <c r="N762" s="555"/>
      <c r="O762" s="555"/>
      <c r="P762" s="555"/>
      <c r="Q762" s="555"/>
      <c r="R762" s="555"/>
      <c r="S762" s="555"/>
      <c r="T762" s="555"/>
      <c r="U762" s="555"/>
      <c r="V762" s="555"/>
      <c r="W762" s="555"/>
      <c r="X762" s="555"/>
      <c r="Y762" s="555"/>
      <c r="Z762" s="555"/>
    </row>
    <row r="763">
      <c r="A763" s="555"/>
      <c r="B763" s="555"/>
      <c r="C763" s="555"/>
      <c r="D763" s="555"/>
      <c r="E763" s="555"/>
      <c r="F763" s="555"/>
      <c r="G763" s="555"/>
      <c r="H763" s="555"/>
      <c r="I763" s="555"/>
      <c r="J763" s="555"/>
      <c r="K763" s="555"/>
      <c r="L763" s="555"/>
      <c r="M763" s="555"/>
      <c r="N763" s="555"/>
      <c r="O763" s="555"/>
      <c r="P763" s="555"/>
      <c r="Q763" s="555"/>
      <c r="R763" s="555"/>
      <c r="S763" s="555"/>
      <c r="T763" s="555"/>
      <c r="U763" s="555"/>
      <c r="V763" s="555"/>
      <c r="W763" s="555"/>
      <c r="X763" s="555"/>
      <c r="Y763" s="555"/>
      <c r="Z763" s="555"/>
    </row>
    <row r="764">
      <c r="A764" s="555"/>
      <c r="B764" s="555"/>
      <c r="C764" s="555"/>
      <c r="D764" s="555"/>
      <c r="E764" s="555"/>
      <c r="F764" s="555"/>
      <c r="G764" s="555"/>
      <c r="H764" s="555"/>
      <c r="I764" s="555"/>
      <c r="J764" s="555"/>
      <c r="K764" s="555"/>
      <c r="L764" s="555"/>
      <c r="M764" s="555"/>
      <c r="N764" s="555"/>
      <c r="O764" s="555"/>
      <c r="P764" s="555"/>
      <c r="Q764" s="555"/>
      <c r="R764" s="555"/>
      <c r="S764" s="555"/>
      <c r="T764" s="555"/>
      <c r="U764" s="555"/>
      <c r="V764" s="555"/>
      <c r="W764" s="555"/>
      <c r="X764" s="555"/>
      <c r="Y764" s="555"/>
      <c r="Z764" s="555"/>
    </row>
    <row r="765">
      <c r="A765" s="555"/>
      <c r="B765" s="555"/>
      <c r="C765" s="555"/>
      <c r="D765" s="555"/>
      <c r="E765" s="555"/>
      <c r="F765" s="555"/>
      <c r="G765" s="555"/>
      <c r="H765" s="555"/>
      <c r="I765" s="555"/>
      <c r="J765" s="555"/>
      <c r="K765" s="555"/>
      <c r="L765" s="555"/>
      <c r="M765" s="555"/>
      <c r="N765" s="555"/>
      <c r="O765" s="555"/>
      <c r="P765" s="555"/>
      <c r="Q765" s="555"/>
      <c r="R765" s="555"/>
      <c r="S765" s="555"/>
      <c r="T765" s="555"/>
      <c r="U765" s="555"/>
      <c r="V765" s="555"/>
      <c r="W765" s="555"/>
      <c r="X765" s="555"/>
      <c r="Y765" s="555"/>
      <c r="Z765" s="555"/>
    </row>
    <row r="766">
      <c r="A766" s="555"/>
      <c r="B766" s="555"/>
      <c r="C766" s="555"/>
      <c r="D766" s="555"/>
      <c r="E766" s="555"/>
      <c r="F766" s="555"/>
      <c r="G766" s="555"/>
      <c r="H766" s="555"/>
      <c r="I766" s="555"/>
      <c r="J766" s="555"/>
      <c r="K766" s="555"/>
      <c r="L766" s="555"/>
      <c r="M766" s="555"/>
      <c r="N766" s="555"/>
      <c r="O766" s="555"/>
      <c r="P766" s="555"/>
      <c r="Q766" s="555"/>
      <c r="R766" s="555"/>
      <c r="S766" s="555"/>
      <c r="T766" s="555"/>
      <c r="U766" s="555"/>
      <c r="V766" s="555"/>
      <c r="W766" s="555"/>
      <c r="X766" s="555"/>
      <c r="Y766" s="555"/>
      <c r="Z766" s="555"/>
    </row>
    <row r="767">
      <c r="A767" s="555"/>
      <c r="B767" s="555"/>
      <c r="C767" s="555"/>
      <c r="D767" s="555"/>
      <c r="E767" s="555"/>
      <c r="F767" s="555"/>
      <c r="G767" s="555"/>
      <c r="H767" s="555"/>
      <c r="I767" s="555"/>
      <c r="J767" s="555"/>
      <c r="K767" s="555"/>
      <c r="L767" s="555"/>
      <c r="M767" s="555"/>
      <c r="N767" s="555"/>
      <c r="O767" s="555"/>
      <c r="P767" s="555"/>
      <c r="Q767" s="555"/>
      <c r="R767" s="555"/>
      <c r="S767" s="555"/>
      <c r="T767" s="555"/>
      <c r="U767" s="555"/>
      <c r="V767" s="555"/>
      <c r="W767" s="555"/>
      <c r="X767" s="555"/>
      <c r="Y767" s="555"/>
      <c r="Z767" s="555"/>
    </row>
    <row r="768">
      <c r="A768" s="555"/>
      <c r="B768" s="555"/>
      <c r="C768" s="555"/>
      <c r="D768" s="555"/>
      <c r="E768" s="555"/>
      <c r="F768" s="555"/>
      <c r="G768" s="555"/>
      <c r="H768" s="555"/>
      <c r="I768" s="555"/>
      <c r="J768" s="555"/>
      <c r="K768" s="555"/>
      <c r="L768" s="555"/>
      <c r="M768" s="555"/>
      <c r="N768" s="555"/>
      <c r="O768" s="555"/>
      <c r="P768" s="555"/>
      <c r="Q768" s="555"/>
      <c r="R768" s="555"/>
      <c r="S768" s="555"/>
      <c r="T768" s="555"/>
      <c r="U768" s="555"/>
      <c r="V768" s="555"/>
      <c r="W768" s="555"/>
      <c r="X768" s="555"/>
      <c r="Y768" s="555"/>
      <c r="Z768" s="555"/>
    </row>
    <row r="769">
      <c r="A769" s="555"/>
      <c r="B769" s="555"/>
      <c r="C769" s="555"/>
      <c r="D769" s="555"/>
      <c r="E769" s="555"/>
      <c r="F769" s="555"/>
      <c r="G769" s="555"/>
      <c r="H769" s="555"/>
      <c r="I769" s="555"/>
      <c r="J769" s="555"/>
      <c r="K769" s="555"/>
      <c r="L769" s="555"/>
      <c r="M769" s="555"/>
      <c r="N769" s="555"/>
      <c r="O769" s="555"/>
      <c r="P769" s="555"/>
      <c r="Q769" s="555"/>
      <c r="R769" s="555"/>
      <c r="S769" s="555"/>
      <c r="T769" s="555"/>
      <c r="U769" s="555"/>
      <c r="V769" s="555"/>
      <c r="W769" s="555"/>
      <c r="X769" s="555"/>
      <c r="Y769" s="555"/>
      <c r="Z769" s="555"/>
    </row>
    <row r="770">
      <c r="A770" s="555"/>
      <c r="B770" s="555"/>
      <c r="C770" s="555"/>
      <c r="D770" s="555"/>
      <c r="E770" s="555"/>
      <c r="F770" s="555"/>
      <c r="G770" s="555"/>
      <c r="H770" s="555"/>
      <c r="I770" s="555"/>
      <c r="J770" s="555"/>
      <c r="K770" s="555"/>
      <c r="L770" s="555"/>
      <c r="M770" s="555"/>
      <c r="N770" s="555"/>
      <c r="O770" s="555"/>
      <c r="P770" s="555"/>
      <c r="Q770" s="555"/>
      <c r="R770" s="555"/>
      <c r="S770" s="555"/>
      <c r="T770" s="555"/>
      <c r="U770" s="555"/>
      <c r="V770" s="555"/>
      <c r="W770" s="555"/>
      <c r="X770" s="555"/>
      <c r="Y770" s="555"/>
      <c r="Z770" s="555"/>
    </row>
    <row r="771">
      <c r="A771" s="555"/>
      <c r="B771" s="555"/>
      <c r="C771" s="555"/>
      <c r="D771" s="555"/>
      <c r="E771" s="555"/>
      <c r="F771" s="555"/>
      <c r="G771" s="555"/>
      <c r="H771" s="555"/>
      <c r="I771" s="555"/>
      <c r="J771" s="555"/>
      <c r="K771" s="555"/>
      <c r="L771" s="555"/>
      <c r="M771" s="555"/>
      <c r="N771" s="555"/>
      <c r="O771" s="555"/>
      <c r="P771" s="555"/>
      <c r="Q771" s="555"/>
      <c r="R771" s="555"/>
      <c r="S771" s="555"/>
      <c r="T771" s="555"/>
      <c r="U771" s="555"/>
      <c r="V771" s="555"/>
      <c r="W771" s="555"/>
      <c r="X771" s="555"/>
      <c r="Y771" s="555"/>
      <c r="Z771" s="555"/>
    </row>
    <row r="772">
      <c r="A772" s="555"/>
      <c r="B772" s="555"/>
      <c r="C772" s="555"/>
      <c r="D772" s="555"/>
      <c r="E772" s="555"/>
      <c r="F772" s="555"/>
      <c r="G772" s="555"/>
      <c r="H772" s="555"/>
      <c r="I772" s="555"/>
      <c r="J772" s="555"/>
      <c r="K772" s="555"/>
      <c r="L772" s="555"/>
      <c r="M772" s="555"/>
      <c r="N772" s="555"/>
      <c r="O772" s="555"/>
      <c r="P772" s="555"/>
      <c r="Q772" s="555"/>
      <c r="R772" s="555"/>
      <c r="S772" s="555"/>
      <c r="T772" s="555"/>
      <c r="U772" s="555"/>
      <c r="V772" s="555"/>
      <c r="W772" s="555"/>
      <c r="X772" s="555"/>
      <c r="Y772" s="555"/>
      <c r="Z772" s="555"/>
    </row>
    <row r="773">
      <c r="A773" s="555"/>
      <c r="B773" s="555"/>
      <c r="C773" s="555"/>
      <c r="D773" s="555"/>
      <c r="E773" s="555"/>
      <c r="F773" s="555"/>
      <c r="G773" s="555"/>
      <c r="H773" s="555"/>
      <c r="I773" s="555"/>
      <c r="J773" s="555"/>
      <c r="K773" s="555"/>
      <c r="L773" s="555"/>
      <c r="M773" s="555"/>
      <c r="N773" s="555"/>
      <c r="O773" s="555"/>
      <c r="P773" s="555"/>
      <c r="Q773" s="555"/>
      <c r="R773" s="555"/>
      <c r="S773" s="555"/>
      <c r="T773" s="555"/>
      <c r="U773" s="555"/>
      <c r="V773" s="555"/>
      <c r="W773" s="555"/>
      <c r="X773" s="555"/>
      <c r="Y773" s="555"/>
      <c r="Z773" s="555"/>
    </row>
    <row r="774">
      <c r="A774" s="555"/>
      <c r="B774" s="555"/>
      <c r="C774" s="555"/>
      <c r="D774" s="555"/>
      <c r="E774" s="555"/>
      <c r="F774" s="555"/>
      <c r="G774" s="555"/>
      <c r="H774" s="555"/>
      <c r="I774" s="555"/>
      <c r="J774" s="555"/>
      <c r="K774" s="555"/>
      <c r="L774" s="555"/>
      <c r="M774" s="555"/>
      <c r="N774" s="555"/>
      <c r="O774" s="555"/>
      <c r="P774" s="555"/>
      <c r="Q774" s="555"/>
      <c r="R774" s="555"/>
      <c r="S774" s="555"/>
      <c r="T774" s="555"/>
      <c r="U774" s="555"/>
      <c r="V774" s="555"/>
      <c r="W774" s="555"/>
      <c r="X774" s="555"/>
      <c r="Y774" s="555"/>
      <c r="Z774" s="555"/>
    </row>
    <row r="775">
      <c r="A775" s="555"/>
      <c r="B775" s="555"/>
      <c r="C775" s="555"/>
      <c r="D775" s="555"/>
      <c r="E775" s="555"/>
      <c r="F775" s="555"/>
      <c r="G775" s="555"/>
      <c r="H775" s="555"/>
      <c r="I775" s="555"/>
      <c r="J775" s="555"/>
      <c r="K775" s="555"/>
      <c r="L775" s="555"/>
      <c r="M775" s="555"/>
      <c r="N775" s="555"/>
      <c r="O775" s="555"/>
      <c r="P775" s="555"/>
      <c r="Q775" s="555"/>
      <c r="R775" s="555"/>
      <c r="S775" s="555"/>
      <c r="T775" s="555"/>
      <c r="U775" s="555"/>
      <c r="V775" s="555"/>
      <c r="W775" s="555"/>
      <c r="X775" s="555"/>
      <c r="Y775" s="555"/>
      <c r="Z775" s="555"/>
    </row>
    <row r="776">
      <c r="A776" s="555"/>
      <c r="B776" s="555"/>
      <c r="C776" s="555"/>
      <c r="D776" s="555"/>
      <c r="E776" s="555"/>
      <c r="F776" s="555"/>
      <c r="G776" s="555"/>
      <c r="H776" s="555"/>
      <c r="I776" s="555"/>
      <c r="J776" s="555"/>
      <c r="K776" s="555"/>
      <c r="L776" s="555"/>
      <c r="M776" s="555"/>
      <c r="N776" s="555"/>
      <c r="O776" s="555"/>
      <c r="P776" s="555"/>
      <c r="Q776" s="555"/>
      <c r="R776" s="555"/>
      <c r="S776" s="555"/>
      <c r="T776" s="555"/>
      <c r="U776" s="555"/>
      <c r="V776" s="555"/>
      <c r="W776" s="555"/>
      <c r="X776" s="555"/>
      <c r="Y776" s="555"/>
      <c r="Z776" s="555"/>
    </row>
    <row r="777">
      <c r="A777" s="555"/>
      <c r="B777" s="555"/>
      <c r="C777" s="555"/>
      <c r="D777" s="555"/>
      <c r="E777" s="555"/>
      <c r="F777" s="555"/>
      <c r="G777" s="555"/>
      <c r="H777" s="555"/>
      <c r="I777" s="555"/>
      <c r="J777" s="555"/>
      <c r="K777" s="555"/>
      <c r="L777" s="555"/>
      <c r="M777" s="555"/>
      <c r="N777" s="555"/>
      <c r="O777" s="555"/>
      <c r="P777" s="555"/>
      <c r="Q777" s="555"/>
      <c r="R777" s="555"/>
      <c r="S777" s="555"/>
      <c r="T777" s="555"/>
      <c r="U777" s="555"/>
      <c r="V777" s="555"/>
      <c r="W777" s="555"/>
      <c r="X777" s="555"/>
      <c r="Y777" s="555"/>
      <c r="Z777" s="555"/>
    </row>
    <row r="778">
      <c r="A778" s="555"/>
      <c r="B778" s="555"/>
      <c r="C778" s="555"/>
      <c r="D778" s="555"/>
      <c r="E778" s="555"/>
      <c r="F778" s="555"/>
      <c r="G778" s="555"/>
      <c r="H778" s="555"/>
      <c r="I778" s="555"/>
      <c r="J778" s="555"/>
      <c r="K778" s="555"/>
      <c r="L778" s="555"/>
      <c r="M778" s="555"/>
      <c r="N778" s="555"/>
      <c r="O778" s="555"/>
      <c r="P778" s="555"/>
      <c r="Q778" s="555"/>
      <c r="R778" s="555"/>
      <c r="S778" s="555"/>
      <c r="T778" s="555"/>
      <c r="U778" s="555"/>
      <c r="V778" s="555"/>
      <c r="W778" s="555"/>
      <c r="X778" s="555"/>
      <c r="Y778" s="555"/>
      <c r="Z778" s="555"/>
    </row>
    <row r="779">
      <c r="A779" s="555"/>
      <c r="B779" s="555"/>
      <c r="C779" s="555"/>
      <c r="D779" s="555"/>
      <c r="E779" s="555"/>
      <c r="F779" s="555"/>
      <c r="G779" s="555"/>
      <c r="H779" s="555"/>
      <c r="I779" s="555"/>
      <c r="J779" s="555"/>
      <c r="K779" s="555"/>
      <c r="L779" s="555"/>
      <c r="M779" s="555"/>
      <c r="N779" s="555"/>
      <c r="O779" s="555"/>
      <c r="P779" s="555"/>
      <c r="Q779" s="555"/>
      <c r="R779" s="555"/>
      <c r="S779" s="555"/>
      <c r="T779" s="555"/>
      <c r="U779" s="555"/>
      <c r="V779" s="555"/>
      <c r="W779" s="555"/>
      <c r="X779" s="555"/>
      <c r="Y779" s="555"/>
      <c r="Z779" s="555"/>
    </row>
    <row r="780">
      <c r="A780" s="555"/>
      <c r="B780" s="555"/>
      <c r="C780" s="555"/>
      <c r="D780" s="555"/>
      <c r="E780" s="555"/>
      <c r="F780" s="555"/>
      <c r="G780" s="555"/>
      <c r="H780" s="555"/>
      <c r="I780" s="555"/>
      <c r="J780" s="555"/>
      <c r="K780" s="555"/>
      <c r="L780" s="555"/>
      <c r="M780" s="555"/>
      <c r="N780" s="555"/>
      <c r="O780" s="555"/>
      <c r="P780" s="555"/>
      <c r="Q780" s="555"/>
      <c r="R780" s="555"/>
      <c r="S780" s="555"/>
      <c r="T780" s="555"/>
      <c r="U780" s="555"/>
      <c r="V780" s="555"/>
      <c r="W780" s="555"/>
      <c r="X780" s="555"/>
      <c r="Y780" s="555"/>
      <c r="Z780" s="555"/>
    </row>
    <row r="781">
      <c r="A781" s="555"/>
      <c r="B781" s="555"/>
      <c r="C781" s="555"/>
      <c r="D781" s="555"/>
      <c r="E781" s="555"/>
      <c r="F781" s="555"/>
      <c r="G781" s="555"/>
      <c r="H781" s="555"/>
      <c r="I781" s="555"/>
      <c r="J781" s="555"/>
      <c r="K781" s="555"/>
      <c r="L781" s="555"/>
      <c r="M781" s="555"/>
      <c r="N781" s="555"/>
      <c r="O781" s="555"/>
      <c r="P781" s="555"/>
      <c r="Q781" s="555"/>
      <c r="R781" s="555"/>
      <c r="S781" s="555"/>
      <c r="T781" s="555"/>
      <c r="U781" s="555"/>
      <c r="V781" s="555"/>
      <c r="W781" s="555"/>
      <c r="X781" s="555"/>
      <c r="Y781" s="555"/>
      <c r="Z781" s="555"/>
    </row>
    <row r="782">
      <c r="A782" s="555"/>
      <c r="B782" s="555"/>
      <c r="C782" s="555"/>
      <c r="D782" s="555"/>
      <c r="E782" s="555"/>
      <c r="F782" s="555"/>
      <c r="G782" s="555"/>
      <c r="H782" s="555"/>
      <c r="I782" s="555"/>
      <c r="J782" s="555"/>
      <c r="K782" s="555"/>
      <c r="L782" s="555"/>
      <c r="M782" s="555"/>
      <c r="N782" s="555"/>
      <c r="O782" s="555"/>
      <c r="P782" s="555"/>
      <c r="Q782" s="555"/>
      <c r="R782" s="555"/>
      <c r="S782" s="555"/>
      <c r="T782" s="555"/>
      <c r="U782" s="555"/>
      <c r="V782" s="555"/>
      <c r="W782" s="555"/>
      <c r="X782" s="555"/>
      <c r="Y782" s="555"/>
      <c r="Z782" s="555"/>
    </row>
    <row r="783">
      <c r="A783" s="555"/>
      <c r="B783" s="555"/>
      <c r="C783" s="555"/>
      <c r="D783" s="555"/>
      <c r="E783" s="555"/>
      <c r="F783" s="555"/>
      <c r="G783" s="555"/>
      <c r="H783" s="555"/>
      <c r="I783" s="555"/>
      <c r="J783" s="555"/>
      <c r="K783" s="555"/>
      <c r="L783" s="555"/>
      <c r="M783" s="555"/>
      <c r="N783" s="555"/>
      <c r="O783" s="555"/>
      <c r="P783" s="555"/>
      <c r="Q783" s="555"/>
      <c r="R783" s="555"/>
      <c r="S783" s="555"/>
      <c r="T783" s="555"/>
      <c r="U783" s="555"/>
      <c r="V783" s="555"/>
      <c r="W783" s="555"/>
      <c r="X783" s="555"/>
      <c r="Y783" s="555"/>
      <c r="Z783" s="555"/>
    </row>
    <row r="784">
      <c r="A784" s="555"/>
      <c r="B784" s="555"/>
      <c r="C784" s="555"/>
      <c r="D784" s="555"/>
      <c r="E784" s="555"/>
      <c r="F784" s="555"/>
      <c r="G784" s="555"/>
      <c r="H784" s="555"/>
      <c r="I784" s="555"/>
      <c r="J784" s="555"/>
      <c r="K784" s="555"/>
      <c r="L784" s="555"/>
      <c r="M784" s="555"/>
      <c r="N784" s="555"/>
      <c r="O784" s="555"/>
      <c r="P784" s="555"/>
      <c r="Q784" s="555"/>
      <c r="R784" s="555"/>
      <c r="S784" s="555"/>
      <c r="T784" s="555"/>
      <c r="U784" s="555"/>
      <c r="V784" s="555"/>
      <c r="W784" s="555"/>
      <c r="X784" s="555"/>
      <c r="Y784" s="555"/>
      <c r="Z784" s="555"/>
    </row>
    <row r="785">
      <c r="A785" s="555"/>
      <c r="B785" s="555"/>
      <c r="C785" s="555"/>
      <c r="D785" s="555"/>
      <c r="E785" s="555"/>
      <c r="F785" s="555"/>
      <c r="G785" s="555"/>
      <c r="H785" s="555"/>
      <c r="I785" s="555"/>
      <c r="J785" s="555"/>
      <c r="K785" s="555"/>
      <c r="L785" s="555"/>
      <c r="M785" s="555"/>
      <c r="N785" s="555"/>
      <c r="O785" s="555"/>
      <c r="P785" s="555"/>
      <c r="Q785" s="555"/>
      <c r="R785" s="555"/>
      <c r="S785" s="555"/>
      <c r="T785" s="555"/>
      <c r="U785" s="555"/>
      <c r="V785" s="555"/>
      <c r="W785" s="555"/>
      <c r="X785" s="555"/>
      <c r="Y785" s="555"/>
      <c r="Z785" s="555"/>
    </row>
    <row r="786">
      <c r="A786" s="555"/>
      <c r="B786" s="555"/>
      <c r="C786" s="555"/>
      <c r="D786" s="555"/>
      <c r="E786" s="555"/>
      <c r="F786" s="555"/>
      <c r="G786" s="555"/>
      <c r="H786" s="555"/>
      <c r="I786" s="555"/>
      <c r="J786" s="555"/>
      <c r="K786" s="555"/>
      <c r="L786" s="555"/>
      <c r="M786" s="555"/>
      <c r="N786" s="555"/>
      <c r="O786" s="555"/>
      <c r="P786" s="555"/>
      <c r="Q786" s="555"/>
      <c r="R786" s="555"/>
      <c r="S786" s="555"/>
      <c r="T786" s="555"/>
      <c r="U786" s="555"/>
      <c r="V786" s="555"/>
      <c r="W786" s="555"/>
      <c r="X786" s="555"/>
      <c r="Y786" s="555"/>
      <c r="Z786" s="555"/>
    </row>
    <row r="787">
      <c r="A787" s="555"/>
      <c r="B787" s="555"/>
      <c r="C787" s="555"/>
      <c r="D787" s="555"/>
      <c r="E787" s="555"/>
      <c r="F787" s="555"/>
      <c r="G787" s="555"/>
      <c r="H787" s="555"/>
      <c r="I787" s="555"/>
      <c r="J787" s="555"/>
      <c r="K787" s="555"/>
      <c r="L787" s="555"/>
      <c r="M787" s="555"/>
      <c r="N787" s="555"/>
      <c r="O787" s="555"/>
      <c r="P787" s="555"/>
      <c r="Q787" s="555"/>
      <c r="R787" s="555"/>
      <c r="S787" s="555"/>
      <c r="T787" s="555"/>
      <c r="U787" s="555"/>
      <c r="V787" s="555"/>
      <c r="W787" s="555"/>
      <c r="X787" s="555"/>
      <c r="Y787" s="555"/>
      <c r="Z787" s="555"/>
    </row>
    <row r="788">
      <c r="A788" s="555"/>
      <c r="B788" s="555"/>
      <c r="C788" s="555"/>
      <c r="D788" s="555"/>
      <c r="E788" s="555"/>
      <c r="F788" s="555"/>
      <c r="G788" s="555"/>
      <c r="H788" s="555"/>
      <c r="I788" s="555"/>
      <c r="J788" s="555"/>
      <c r="K788" s="555"/>
      <c r="L788" s="555"/>
      <c r="M788" s="555"/>
      <c r="N788" s="555"/>
      <c r="O788" s="555"/>
      <c r="P788" s="555"/>
      <c r="Q788" s="555"/>
      <c r="R788" s="555"/>
      <c r="S788" s="555"/>
      <c r="T788" s="555"/>
      <c r="U788" s="555"/>
      <c r="V788" s="555"/>
      <c r="W788" s="555"/>
      <c r="X788" s="555"/>
      <c r="Y788" s="555"/>
      <c r="Z788" s="555"/>
    </row>
    <row r="789">
      <c r="A789" s="555"/>
      <c r="B789" s="555"/>
      <c r="C789" s="555"/>
      <c r="D789" s="555"/>
      <c r="E789" s="555"/>
      <c r="F789" s="555"/>
      <c r="G789" s="555"/>
      <c r="H789" s="555"/>
      <c r="I789" s="555"/>
      <c r="J789" s="555"/>
      <c r="K789" s="555"/>
      <c r="L789" s="555"/>
      <c r="M789" s="555"/>
      <c r="N789" s="555"/>
      <c r="O789" s="555"/>
      <c r="P789" s="555"/>
      <c r="Q789" s="555"/>
      <c r="R789" s="555"/>
      <c r="S789" s="555"/>
      <c r="T789" s="555"/>
      <c r="U789" s="555"/>
      <c r="V789" s="555"/>
      <c r="W789" s="555"/>
      <c r="X789" s="555"/>
      <c r="Y789" s="555"/>
      <c r="Z789" s="555"/>
    </row>
    <row r="790">
      <c r="A790" s="555"/>
      <c r="B790" s="555"/>
      <c r="C790" s="555"/>
      <c r="D790" s="555"/>
      <c r="E790" s="555"/>
      <c r="F790" s="555"/>
      <c r="G790" s="555"/>
      <c r="H790" s="555"/>
      <c r="I790" s="555"/>
      <c r="J790" s="555"/>
      <c r="K790" s="555"/>
      <c r="L790" s="555"/>
      <c r="M790" s="555"/>
      <c r="N790" s="555"/>
      <c r="O790" s="555"/>
      <c r="P790" s="555"/>
      <c r="Q790" s="555"/>
      <c r="R790" s="555"/>
      <c r="S790" s="555"/>
      <c r="T790" s="555"/>
      <c r="U790" s="555"/>
      <c r="V790" s="555"/>
      <c r="W790" s="555"/>
      <c r="X790" s="555"/>
      <c r="Y790" s="555"/>
      <c r="Z790" s="555"/>
    </row>
    <row r="791">
      <c r="A791" s="555"/>
      <c r="B791" s="555"/>
      <c r="C791" s="555"/>
      <c r="D791" s="555"/>
      <c r="E791" s="555"/>
      <c r="F791" s="555"/>
      <c r="G791" s="555"/>
      <c r="H791" s="555"/>
      <c r="I791" s="555"/>
      <c r="J791" s="555"/>
      <c r="K791" s="555"/>
      <c r="L791" s="555"/>
      <c r="M791" s="555"/>
      <c r="N791" s="555"/>
      <c r="O791" s="555"/>
      <c r="P791" s="555"/>
      <c r="Q791" s="555"/>
      <c r="R791" s="555"/>
      <c r="S791" s="555"/>
      <c r="T791" s="555"/>
      <c r="U791" s="555"/>
      <c r="V791" s="555"/>
      <c r="W791" s="555"/>
      <c r="X791" s="555"/>
      <c r="Y791" s="555"/>
      <c r="Z791" s="555"/>
    </row>
    <row r="792">
      <c r="A792" s="555"/>
      <c r="B792" s="555"/>
      <c r="C792" s="555"/>
      <c r="D792" s="555"/>
      <c r="E792" s="555"/>
      <c r="F792" s="555"/>
      <c r="G792" s="555"/>
      <c r="H792" s="555"/>
      <c r="I792" s="555"/>
      <c r="J792" s="555"/>
      <c r="K792" s="555"/>
      <c r="L792" s="555"/>
      <c r="M792" s="555"/>
      <c r="N792" s="555"/>
      <c r="O792" s="555"/>
      <c r="P792" s="555"/>
      <c r="Q792" s="555"/>
      <c r="R792" s="555"/>
      <c r="S792" s="555"/>
      <c r="T792" s="555"/>
      <c r="U792" s="555"/>
      <c r="V792" s="555"/>
      <c r="W792" s="555"/>
      <c r="X792" s="555"/>
      <c r="Y792" s="555"/>
      <c r="Z792" s="555"/>
    </row>
    <row r="793">
      <c r="A793" s="555"/>
      <c r="B793" s="555"/>
      <c r="C793" s="555"/>
      <c r="D793" s="555"/>
      <c r="E793" s="555"/>
      <c r="F793" s="555"/>
      <c r="G793" s="555"/>
      <c r="H793" s="555"/>
      <c r="I793" s="555"/>
      <c r="J793" s="555"/>
      <c r="K793" s="555"/>
      <c r="L793" s="555"/>
      <c r="M793" s="555"/>
      <c r="N793" s="555"/>
      <c r="O793" s="555"/>
      <c r="P793" s="555"/>
      <c r="Q793" s="555"/>
      <c r="R793" s="555"/>
      <c r="S793" s="555"/>
      <c r="T793" s="555"/>
      <c r="U793" s="555"/>
      <c r="V793" s="555"/>
      <c r="W793" s="555"/>
      <c r="X793" s="555"/>
      <c r="Y793" s="555"/>
      <c r="Z793" s="555"/>
    </row>
    <row r="794">
      <c r="A794" s="555"/>
      <c r="B794" s="555"/>
      <c r="C794" s="555"/>
      <c r="D794" s="555"/>
      <c r="E794" s="555"/>
      <c r="F794" s="555"/>
      <c r="G794" s="555"/>
      <c r="H794" s="555"/>
      <c r="I794" s="555"/>
      <c r="J794" s="555"/>
      <c r="K794" s="555"/>
      <c r="L794" s="555"/>
      <c r="M794" s="555"/>
      <c r="N794" s="555"/>
      <c r="O794" s="555"/>
      <c r="P794" s="555"/>
      <c r="Q794" s="555"/>
      <c r="R794" s="555"/>
      <c r="S794" s="555"/>
      <c r="T794" s="555"/>
      <c r="U794" s="555"/>
      <c r="V794" s="555"/>
      <c r="W794" s="555"/>
      <c r="X794" s="555"/>
      <c r="Y794" s="555"/>
      <c r="Z794" s="555"/>
    </row>
    <row r="795">
      <c r="A795" s="555"/>
      <c r="B795" s="555"/>
      <c r="C795" s="555"/>
      <c r="D795" s="555"/>
      <c r="E795" s="555"/>
      <c r="F795" s="555"/>
      <c r="G795" s="555"/>
      <c r="H795" s="555"/>
      <c r="I795" s="555"/>
      <c r="J795" s="555"/>
      <c r="K795" s="555"/>
      <c r="L795" s="555"/>
      <c r="M795" s="555"/>
      <c r="N795" s="555"/>
      <c r="O795" s="555"/>
      <c r="P795" s="555"/>
      <c r="Q795" s="555"/>
      <c r="R795" s="555"/>
      <c r="S795" s="555"/>
      <c r="T795" s="555"/>
      <c r="U795" s="555"/>
      <c r="V795" s="555"/>
      <c r="W795" s="555"/>
      <c r="X795" s="555"/>
      <c r="Y795" s="555"/>
      <c r="Z795" s="555"/>
    </row>
    <row r="796">
      <c r="A796" s="555"/>
      <c r="B796" s="555"/>
      <c r="C796" s="555"/>
      <c r="D796" s="555"/>
      <c r="E796" s="555"/>
      <c r="F796" s="555"/>
      <c r="G796" s="555"/>
      <c r="H796" s="555"/>
      <c r="I796" s="555"/>
      <c r="J796" s="555"/>
      <c r="K796" s="555"/>
      <c r="L796" s="555"/>
      <c r="M796" s="555"/>
      <c r="N796" s="555"/>
      <c r="O796" s="555"/>
      <c r="P796" s="555"/>
      <c r="Q796" s="555"/>
      <c r="R796" s="555"/>
      <c r="S796" s="555"/>
      <c r="T796" s="555"/>
      <c r="U796" s="555"/>
      <c r="V796" s="555"/>
      <c r="W796" s="555"/>
      <c r="X796" s="555"/>
      <c r="Y796" s="555"/>
      <c r="Z796" s="555"/>
    </row>
    <row r="797">
      <c r="A797" s="555"/>
      <c r="B797" s="555"/>
      <c r="C797" s="555"/>
      <c r="D797" s="555"/>
      <c r="E797" s="555"/>
      <c r="F797" s="555"/>
      <c r="G797" s="555"/>
      <c r="H797" s="555"/>
      <c r="I797" s="555"/>
      <c r="J797" s="555"/>
      <c r="K797" s="555"/>
      <c r="L797" s="555"/>
      <c r="M797" s="555"/>
      <c r="N797" s="555"/>
      <c r="O797" s="555"/>
      <c r="P797" s="555"/>
      <c r="Q797" s="555"/>
      <c r="R797" s="555"/>
      <c r="S797" s="555"/>
      <c r="T797" s="555"/>
      <c r="U797" s="555"/>
      <c r="V797" s="555"/>
      <c r="W797" s="555"/>
      <c r="X797" s="555"/>
      <c r="Y797" s="555"/>
      <c r="Z797" s="555"/>
    </row>
    <row r="798">
      <c r="A798" s="555"/>
      <c r="B798" s="555"/>
      <c r="C798" s="555"/>
      <c r="D798" s="555"/>
      <c r="E798" s="555"/>
      <c r="F798" s="555"/>
      <c r="G798" s="555"/>
      <c r="H798" s="555"/>
      <c r="I798" s="555"/>
      <c r="J798" s="555"/>
      <c r="K798" s="555"/>
      <c r="L798" s="555"/>
      <c r="M798" s="555"/>
      <c r="N798" s="555"/>
      <c r="O798" s="555"/>
      <c r="P798" s="555"/>
      <c r="Q798" s="555"/>
      <c r="R798" s="555"/>
      <c r="S798" s="555"/>
      <c r="T798" s="555"/>
      <c r="U798" s="555"/>
      <c r="V798" s="555"/>
      <c r="W798" s="555"/>
      <c r="X798" s="555"/>
      <c r="Y798" s="555"/>
      <c r="Z798" s="555"/>
    </row>
    <row r="799">
      <c r="A799" s="555"/>
      <c r="B799" s="555"/>
      <c r="C799" s="555"/>
      <c r="D799" s="555"/>
      <c r="E799" s="555"/>
      <c r="F799" s="555"/>
      <c r="G799" s="555"/>
      <c r="H799" s="555"/>
      <c r="I799" s="555"/>
      <c r="J799" s="555"/>
      <c r="K799" s="555"/>
      <c r="L799" s="555"/>
      <c r="M799" s="555"/>
      <c r="N799" s="555"/>
      <c r="O799" s="555"/>
      <c r="P799" s="555"/>
      <c r="Q799" s="555"/>
      <c r="R799" s="555"/>
      <c r="S799" s="555"/>
      <c r="T799" s="555"/>
      <c r="U799" s="555"/>
      <c r="V799" s="555"/>
      <c r="W799" s="555"/>
      <c r="X799" s="555"/>
      <c r="Y799" s="555"/>
      <c r="Z799" s="555"/>
    </row>
    <row r="800">
      <c r="A800" s="555"/>
      <c r="B800" s="555"/>
      <c r="C800" s="555"/>
      <c r="D800" s="555"/>
      <c r="E800" s="555"/>
      <c r="F800" s="555"/>
      <c r="G800" s="555"/>
      <c r="H800" s="555"/>
      <c r="I800" s="555"/>
      <c r="J800" s="555"/>
      <c r="K800" s="555"/>
      <c r="L800" s="555"/>
      <c r="M800" s="555"/>
      <c r="N800" s="555"/>
      <c r="O800" s="555"/>
      <c r="P800" s="555"/>
      <c r="Q800" s="555"/>
      <c r="R800" s="555"/>
      <c r="S800" s="555"/>
      <c r="T800" s="555"/>
      <c r="U800" s="555"/>
      <c r="V800" s="555"/>
      <c r="W800" s="555"/>
      <c r="X800" s="555"/>
      <c r="Y800" s="555"/>
      <c r="Z800" s="555"/>
    </row>
    <row r="801">
      <c r="A801" s="555"/>
      <c r="B801" s="555"/>
      <c r="C801" s="555"/>
      <c r="D801" s="555"/>
      <c r="E801" s="555"/>
      <c r="F801" s="555"/>
      <c r="G801" s="555"/>
      <c r="H801" s="555"/>
      <c r="I801" s="555"/>
      <c r="J801" s="555"/>
      <c r="K801" s="555"/>
      <c r="L801" s="555"/>
      <c r="M801" s="555"/>
      <c r="N801" s="555"/>
      <c r="O801" s="555"/>
      <c r="P801" s="555"/>
      <c r="Q801" s="555"/>
      <c r="R801" s="555"/>
      <c r="S801" s="555"/>
      <c r="T801" s="555"/>
      <c r="U801" s="555"/>
      <c r="V801" s="555"/>
      <c r="W801" s="555"/>
      <c r="X801" s="555"/>
      <c r="Y801" s="555"/>
      <c r="Z801" s="555"/>
    </row>
    <row r="802">
      <c r="A802" s="555"/>
      <c r="B802" s="555"/>
      <c r="C802" s="555"/>
      <c r="D802" s="555"/>
      <c r="E802" s="555"/>
      <c r="F802" s="555"/>
      <c r="G802" s="555"/>
      <c r="H802" s="555"/>
      <c r="I802" s="555"/>
      <c r="J802" s="555"/>
      <c r="K802" s="555"/>
      <c r="L802" s="555"/>
      <c r="M802" s="555"/>
      <c r="N802" s="555"/>
      <c r="O802" s="555"/>
      <c r="P802" s="555"/>
      <c r="Q802" s="555"/>
      <c r="R802" s="555"/>
      <c r="S802" s="555"/>
      <c r="T802" s="555"/>
      <c r="U802" s="555"/>
      <c r="V802" s="555"/>
      <c r="W802" s="555"/>
      <c r="X802" s="555"/>
      <c r="Y802" s="555"/>
      <c r="Z802" s="555"/>
    </row>
    <row r="803">
      <c r="A803" s="555"/>
      <c r="B803" s="555"/>
      <c r="C803" s="555"/>
      <c r="D803" s="555"/>
      <c r="E803" s="555"/>
      <c r="F803" s="555"/>
      <c r="G803" s="555"/>
      <c r="H803" s="555"/>
      <c r="I803" s="555"/>
      <c r="J803" s="555"/>
      <c r="K803" s="555"/>
      <c r="L803" s="555"/>
      <c r="M803" s="555"/>
      <c r="N803" s="555"/>
      <c r="O803" s="555"/>
      <c r="P803" s="555"/>
      <c r="Q803" s="555"/>
      <c r="R803" s="555"/>
      <c r="S803" s="555"/>
      <c r="T803" s="555"/>
      <c r="U803" s="555"/>
      <c r="V803" s="555"/>
      <c r="W803" s="555"/>
      <c r="X803" s="555"/>
      <c r="Y803" s="555"/>
      <c r="Z803" s="555"/>
    </row>
    <row r="804">
      <c r="A804" s="555"/>
      <c r="B804" s="555"/>
      <c r="C804" s="555"/>
      <c r="D804" s="555"/>
      <c r="E804" s="555"/>
      <c r="F804" s="555"/>
      <c r="G804" s="555"/>
      <c r="H804" s="555"/>
      <c r="I804" s="555"/>
      <c r="J804" s="555"/>
      <c r="K804" s="555"/>
      <c r="L804" s="555"/>
      <c r="M804" s="555"/>
      <c r="N804" s="555"/>
      <c r="O804" s="555"/>
      <c r="P804" s="555"/>
      <c r="Q804" s="555"/>
      <c r="R804" s="555"/>
      <c r="S804" s="555"/>
      <c r="T804" s="555"/>
      <c r="U804" s="555"/>
      <c r="V804" s="555"/>
      <c r="W804" s="555"/>
      <c r="X804" s="555"/>
      <c r="Y804" s="555"/>
      <c r="Z804" s="555"/>
    </row>
    <row r="805">
      <c r="A805" s="555"/>
      <c r="B805" s="555"/>
      <c r="C805" s="555"/>
      <c r="D805" s="555"/>
      <c r="E805" s="555"/>
      <c r="F805" s="555"/>
      <c r="G805" s="555"/>
      <c r="H805" s="555"/>
      <c r="I805" s="555"/>
      <c r="J805" s="555"/>
      <c r="K805" s="555"/>
      <c r="L805" s="555"/>
      <c r="M805" s="555"/>
      <c r="N805" s="555"/>
      <c r="O805" s="555"/>
      <c r="P805" s="555"/>
      <c r="Q805" s="555"/>
      <c r="R805" s="555"/>
      <c r="S805" s="555"/>
      <c r="T805" s="555"/>
      <c r="U805" s="555"/>
      <c r="V805" s="555"/>
      <c r="W805" s="555"/>
      <c r="X805" s="555"/>
      <c r="Y805" s="555"/>
      <c r="Z805" s="555"/>
    </row>
    <row r="806">
      <c r="A806" s="555"/>
      <c r="B806" s="555"/>
      <c r="C806" s="555"/>
      <c r="D806" s="555"/>
      <c r="E806" s="555"/>
      <c r="F806" s="555"/>
      <c r="G806" s="555"/>
      <c r="H806" s="555"/>
      <c r="I806" s="555"/>
      <c r="J806" s="555"/>
      <c r="K806" s="555"/>
      <c r="L806" s="555"/>
      <c r="M806" s="555"/>
      <c r="N806" s="555"/>
      <c r="O806" s="555"/>
      <c r="P806" s="555"/>
      <c r="Q806" s="555"/>
      <c r="R806" s="555"/>
      <c r="S806" s="555"/>
      <c r="T806" s="555"/>
      <c r="U806" s="555"/>
      <c r="V806" s="555"/>
      <c r="W806" s="555"/>
      <c r="X806" s="555"/>
      <c r="Y806" s="555"/>
      <c r="Z806" s="555"/>
    </row>
    <row r="807">
      <c r="A807" s="555"/>
      <c r="B807" s="555"/>
      <c r="C807" s="555"/>
      <c r="D807" s="555"/>
      <c r="E807" s="555"/>
      <c r="F807" s="555"/>
      <c r="G807" s="555"/>
      <c r="H807" s="555"/>
      <c r="I807" s="555"/>
      <c r="J807" s="555"/>
      <c r="K807" s="555"/>
      <c r="L807" s="555"/>
      <c r="M807" s="555"/>
      <c r="N807" s="555"/>
      <c r="O807" s="555"/>
      <c r="P807" s="555"/>
      <c r="Q807" s="555"/>
      <c r="R807" s="555"/>
      <c r="S807" s="555"/>
      <c r="T807" s="555"/>
      <c r="U807" s="555"/>
      <c r="V807" s="555"/>
      <c r="W807" s="555"/>
      <c r="X807" s="555"/>
      <c r="Y807" s="555"/>
      <c r="Z807" s="555"/>
    </row>
    <row r="808">
      <c r="A808" s="555"/>
      <c r="B808" s="555"/>
      <c r="C808" s="555"/>
      <c r="D808" s="555"/>
      <c r="E808" s="555"/>
      <c r="F808" s="555"/>
      <c r="G808" s="555"/>
      <c r="H808" s="555"/>
      <c r="I808" s="555"/>
      <c r="J808" s="555"/>
      <c r="K808" s="555"/>
      <c r="L808" s="555"/>
      <c r="M808" s="555"/>
      <c r="N808" s="555"/>
      <c r="O808" s="555"/>
      <c r="P808" s="555"/>
      <c r="Q808" s="555"/>
      <c r="R808" s="555"/>
      <c r="S808" s="555"/>
      <c r="T808" s="555"/>
      <c r="U808" s="555"/>
      <c r="V808" s="555"/>
      <c r="W808" s="555"/>
      <c r="X808" s="555"/>
      <c r="Y808" s="555"/>
      <c r="Z808" s="555"/>
    </row>
    <row r="809">
      <c r="A809" s="555"/>
      <c r="B809" s="555"/>
      <c r="C809" s="555"/>
      <c r="D809" s="555"/>
      <c r="E809" s="555"/>
      <c r="F809" s="555"/>
      <c r="G809" s="555"/>
      <c r="H809" s="555"/>
      <c r="I809" s="555"/>
      <c r="J809" s="555"/>
      <c r="K809" s="555"/>
      <c r="L809" s="555"/>
      <c r="M809" s="555"/>
      <c r="N809" s="555"/>
      <c r="O809" s="555"/>
      <c r="P809" s="555"/>
      <c r="Q809" s="555"/>
      <c r="R809" s="555"/>
      <c r="S809" s="555"/>
      <c r="T809" s="555"/>
      <c r="U809" s="555"/>
      <c r="V809" s="555"/>
      <c r="W809" s="555"/>
      <c r="X809" s="555"/>
      <c r="Y809" s="555"/>
      <c r="Z809" s="555"/>
    </row>
    <row r="810">
      <c r="A810" s="555"/>
      <c r="B810" s="555"/>
      <c r="C810" s="555"/>
      <c r="D810" s="555"/>
      <c r="E810" s="555"/>
      <c r="F810" s="555"/>
      <c r="G810" s="555"/>
      <c r="H810" s="555"/>
      <c r="I810" s="555"/>
      <c r="J810" s="555"/>
      <c r="K810" s="555"/>
      <c r="L810" s="555"/>
      <c r="M810" s="555"/>
      <c r="N810" s="555"/>
      <c r="O810" s="555"/>
      <c r="P810" s="555"/>
      <c r="Q810" s="555"/>
      <c r="R810" s="555"/>
      <c r="S810" s="555"/>
      <c r="T810" s="555"/>
      <c r="U810" s="555"/>
      <c r="V810" s="555"/>
      <c r="W810" s="555"/>
      <c r="X810" s="555"/>
      <c r="Y810" s="555"/>
      <c r="Z810" s="555"/>
    </row>
    <row r="811">
      <c r="A811" s="555"/>
      <c r="B811" s="555"/>
      <c r="C811" s="555"/>
      <c r="D811" s="555"/>
      <c r="E811" s="555"/>
      <c r="F811" s="555"/>
      <c r="G811" s="555"/>
      <c r="H811" s="555"/>
      <c r="I811" s="555"/>
      <c r="J811" s="555"/>
      <c r="K811" s="555"/>
      <c r="L811" s="555"/>
      <c r="M811" s="555"/>
      <c r="N811" s="555"/>
      <c r="O811" s="555"/>
      <c r="P811" s="555"/>
      <c r="Q811" s="555"/>
      <c r="R811" s="555"/>
      <c r="S811" s="555"/>
      <c r="T811" s="555"/>
      <c r="U811" s="555"/>
      <c r="V811" s="555"/>
      <c r="W811" s="555"/>
      <c r="X811" s="555"/>
      <c r="Y811" s="555"/>
      <c r="Z811" s="555"/>
    </row>
    <row r="812">
      <c r="A812" s="555"/>
      <c r="B812" s="555"/>
      <c r="C812" s="555"/>
      <c r="D812" s="555"/>
      <c r="E812" s="555"/>
      <c r="F812" s="555"/>
      <c r="G812" s="555"/>
      <c r="H812" s="555"/>
      <c r="I812" s="555"/>
      <c r="J812" s="555"/>
      <c r="K812" s="555"/>
      <c r="L812" s="555"/>
      <c r="M812" s="555"/>
      <c r="N812" s="555"/>
      <c r="O812" s="555"/>
      <c r="P812" s="555"/>
      <c r="Q812" s="555"/>
      <c r="R812" s="555"/>
      <c r="S812" s="555"/>
      <c r="T812" s="555"/>
      <c r="U812" s="555"/>
      <c r="V812" s="555"/>
      <c r="W812" s="555"/>
      <c r="X812" s="555"/>
      <c r="Y812" s="555"/>
      <c r="Z812" s="555"/>
    </row>
    <row r="813">
      <c r="A813" s="555"/>
      <c r="B813" s="555"/>
      <c r="C813" s="555"/>
      <c r="D813" s="555"/>
      <c r="E813" s="555"/>
      <c r="F813" s="555"/>
      <c r="G813" s="555"/>
      <c r="H813" s="555"/>
      <c r="I813" s="555"/>
      <c r="J813" s="555"/>
      <c r="K813" s="555"/>
      <c r="L813" s="555"/>
      <c r="M813" s="555"/>
      <c r="N813" s="555"/>
      <c r="O813" s="555"/>
      <c r="P813" s="555"/>
      <c r="Q813" s="555"/>
      <c r="R813" s="555"/>
      <c r="S813" s="555"/>
      <c r="T813" s="555"/>
      <c r="U813" s="555"/>
      <c r="V813" s="555"/>
      <c r="W813" s="555"/>
      <c r="X813" s="555"/>
      <c r="Y813" s="555"/>
      <c r="Z813" s="555"/>
    </row>
    <row r="814">
      <c r="A814" s="555"/>
      <c r="B814" s="555"/>
      <c r="C814" s="555"/>
      <c r="D814" s="555"/>
      <c r="E814" s="555"/>
      <c r="F814" s="555"/>
      <c r="G814" s="555"/>
      <c r="H814" s="555"/>
      <c r="I814" s="555"/>
      <c r="J814" s="555"/>
      <c r="K814" s="555"/>
      <c r="L814" s="555"/>
      <c r="M814" s="555"/>
      <c r="N814" s="555"/>
      <c r="O814" s="555"/>
      <c r="P814" s="555"/>
      <c r="Q814" s="555"/>
      <c r="R814" s="555"/>
      <c r="S814" s="555"/>
      <c r="T814" s="555"/>
      <c r="U814" s="555"/>
      <c r="V814" s="555"/>
      <c r="W814" s="555"/>
      <c r="X814" s="555"/>
      <c r="Y814" s="555"/>
      <c r="Z814" s="555"/>
    </row>
    <row r="815">
      <c r="A815" s="555"/>
      <c r="B815" s="555"/>
      <c r="C815" s="555"/>
      <c r="D815" s="555"/>
      <c r="E815" s="555"/>
      <c r="F815" s="555"/>
      <c r="G815" s="555"/>
      <c r="H815" s="555"/>
      <c r="I815" s="555"/>
      <c r="J815" s="555"/>
      <c r="K815" s="555"/>
      <c r="L815" s="555"/>
      <c r="M815" s="555"/>
      <c r="N815" s="555"/>
      <c r="O815" s="555"/>
      <c r="P815" s="555"/>
      <c r="Q815" s="555"/>
      <c r="R815" s="555"/>
      <c r="S815" s="555"/>
      <c r="T815" s="555"/>
      <c r="U815" s="555"/>
      <c r="V815" s="555"/>
      <c r="W815" s="555"/>
      <c r="X815" s="555"/>
      <c r="Y815" s="555"/>
      <c r="Z815" s="555"/>
    </row>
    <row r="816">
      <c r="A816" s="555"/>
      <c r="B816" s="555"/>
      <c r="C816" s="555"/>
      <c r="D816" s="555"/>
      <c r="E816" s="555"/>
      <c r="F816" s="555"/>
      <c r="G816" s="555"/>
      <c r="H816" s="555"/>
      <c r="I816" s="555"/>
      <c r="J816" s="555"/>
      <c r="K816" s="555"/>
      <c r="L816" s="555"/>
      <c r="M816" s="555"/>
      <c r="N816" s="555"/>
      <c r="O816" s="555"/>
      <c r="P816" s="555"/>
      <c r="Q816" s="555"/>
      <c r="R816" s="555"/>
      <c r="S816" s="555"/>
      <c r="T816" s="555"/>
      <c r="U816" s="555"/>
      <c r="V816" s="555"/>
      <c r="W816" s="555"/>
      <c r="X816" s="555"/>
      <c r="Y816" s="555"/>
      <c r="Z816" s="555"/>
    </row>
    <row r="817">
      <c r="A817" s="555"/>
      <c r="B817" s="555"/>
      <c r="C817" s="555"/>
      <c r="D817" s="555"/>
      <c r="E817" s="555"/>
      <c r="F817" s="555"/>
      <c r="G817" s="555"/>
      <c r="H817" s="555"/>
      <c r="I817" s="555"/>
      <c r="J817" s="555"/>
      <c r="K817" s="555"/>
      <c r="L817" s="555"/>
      <c r="M817" s="555"/>
      <c r="N817" s="555"/>
      <c r="O817" s="555"/>
      <c r="P817" s="555"/>
      <c r="Q817" s="555"/>
      <c r="R817" s="555"/>
      <c r="S817" s="555"/>
      <c r="T817" s="555"/>
      <c r="U817" s="555"/>
      <c r="V817" s="555"/>
      <c r="W817" s="555"/>
      <c r="X817" s="555"/>
      <c r="Y817" s="555"/>
      <c r="Z817" s="555"/>
    </row>
    <row r="818">
      <c r="A818" s="555"/>
      <c r="B818" s="555"/>
      <c r="C818" s="555"/>
      <c r="D818" s="555"/>
      <c r="E818" s="555"/>
      <c r="F818" s="555"/>
      <c r="G818" s="555"/>
      <c r="H818" s="555"/>
      <c r="I818" s="555"/>
      <c r="J818" s="555"/>
      <c r="K818" s="555"/>
      <c r="L818" s="555"/>
      <c r="M818" s="555"/>
      <c r="N818" s="555"/>
      <c r="O818" s="555"/>
      <c r="P818" s="555"/>
      <c r="Q818" s="555"/>
      <c r="R818" s="555"/>
      <c r="S818" s="555"/>
      <c r="T818" s="555"/>
      <c r="U818" s="555"/>
      <c r="V818" s="555"/>
      <c r="W818" s="555"/>
      <c r="X818" s="555"/>
      <c r="Y818" s="555"/>
      <c r="Z818" s="555"/>
    </row>
    <row r="819">
      <c r="A819" s="555"/>
      <c r="B819" s="555"/>
      <c r="C819" s="555"/>
      <c r="D819" s="555"/>
      <c r="E819" s="555"/>
      <c r="F819" s="555"/>
      <c r="G819" s="555"/>
      <c r="H819" s="555"/>
      <c r="I819" s="555"/>
      <c r="J819" s="555"/>
      <c r="K819" s="555"/>
      <c r="L819" s="555"/>
      <c r="M819" s="555"/>
      <c r="N819" s="555"/>
      <c r="O819" s="555"/>
      <c r="P819" s="555"/>
      <c r="Q819" s="555"/>
      <c r="R819" s="555"/>
      <c r="S819" s="555"/>
      <c r="T819" s="555"/>
      <c r="U819" s="555"/>
      <c r="V819" s="555"/>
      <c r="W819" s="555"/>
      <c r="X819" s="555"/>
      <c r="Y819" s="555"/>
      <c r="Z819" s="555"/>
    </row>
    <row r="820">
      <c r="A820" s="555"/>
      <c r="B820" s="555"/>
      <c r="C820" s="555"/>
      <c r="D820" s="555"/>
      <c r="E820" s="555"/>
      <c r="F820" s="555"/>
      <c r="G820" s="555"/>
      <c r="H820" s="555"/>
      <c r="I820" s="555"/>
      <c r="J820" s="555"/>
      <c r="K820" s="555"/>
      <c r="L820" s="555"/>
      <c r="M820" s="555"/>
      <c r="N820" s="555"/>
      <c r="O820" s="555"/>
      <c r="P820" s="555"/>
      <c r="Q820" s="555"/>
      <c r="R820" s="555"/>
      <c r="S820" s="555"/>
      <c r="T820" s="555"/>
      <c r="U820" s="555"/>
      <c r="V820" s="555"/>
      <c r="W820" s="555"/>
      <c r="X820" s="555"/>
      <c r="Y820" s="555"/>
      <c r="Z820" s="555"/>
    </row>
    <row r="821">
      <c r="A821" s="555"/>
      <c r="B821" s="555"/>
      <c r="C821" s="555"/>
      <c r="D821" s="555"/>
      <c r="E821" s="555"/>
      <c r="F821" s="555"/>
      <c r="G821" s="555"/>
      <c r="H821" s="555"/>
      <c r="I821" s="555"/>
      <c r="J821" s="555"/>
      <c r="K821" s="555"/>
      <c r="L821" s="555"/>
      <c r="M821" s="555"/>
      <c r="N821" s="555"/>
      <c r="O821" s="555"/>
      <c r="P821" s="555"/>
      <c r="Q821" s="555"/>
      <c r="R821" s="555"/>
      <c r="S821" s="555"/>
      <c r="T821" s="555"/>
      <c r="U821" s="555"/>
      <c r="V821" s="555"/>
      <c r="W821" s="555"/>
      <c r="X821" s="555"/>
      <c r="Y821" s="555"/>
      <c r="Z821" s="555"/>
    </row>
    <row r="822">
      <c r="A822" s="555"/>
      <c r="B822" s="555"/>
      <c r="C822" s="555"/>
      <c r="D822" s="555"/>
      <c r="E822" s="555"/>
      <c r="F822" s="555"/>
      <c r="G822" s="555"/>
      <c r="H822" s="555"/>
      <c r="I822" s="555"/>
      <c r="J822" s="555"/>
      <c r="K822" s="555"/>
      <c r="L822" s="555"/>
      <c r="M822" s="555"/>
      <c r="N822" s="555"/>
      <c r="O822" s="555"/>
      <c r="P822" s="555"/>
      <c r="Q822" s="555"/>
      <c r="R822" s="555"/>
      <c r="S822" s="555"/>
      <c r="T822" s="555"/>
      <c r="U822" s="555"/>
      <c r="V822" s="555"/>
      <c r="W822" s="555"/>
      <c r="X822" s="555"/>
      <c r="Y822" s="555"/>
      <c r="Z822" s="555"/>
    </row>
    <row r="823">
      <c r="A823" s="555"/>
      <c r="B823" s="555"/>
      <c r="C823" s="555"/>
      <c r="D823" s="555"/>
      <c r="E823" s="555"/>
      <c r="F823" s="555"/>
      <c r="G823" s="555"/>
      <c r="H823" s="555"/>
      <c r="I823" s="555"/>
      <c r="J823" s="555"/>
      <c r="K823" s="555"/>
      <c r="L823" s="555"/>
      <c r="M823" s="555"/>
      <c r="N823" s="555"/>
      <c r="O823" s="555"/>
      <c r="P823" s="555"/>
      <c r="Q823" s="555"/>
      <c r="R823" s="555"/>
      <c r="S823" s="555"/>
      <c r="T823" s="555"/>
      <c r="U823" s="555"/>
      <c r="V823" s="555"/>
      <c r="W823" s="555"/>
      <c r="X823" s="555"/>
      <c r="Y823" s="555"/>
      <c r="Z823" s="555"/>
    </row>
    <row r="824">
      <c r="A824" s="555"/>
      <c r="B824" s="555"/>
      <c r="C824" s="555"/>
      <c r="D824" s="555"/>
      <c r="E824" s="555"/>
      <c r="F824" s="555"/>
      <c r="G824" s="555"/>
      <c r="H824" s="555"/>
      <c r="I824" s="555"/>
      <c r="J824" s="555"/>
      <c r="K824" s="555"/>
      <c r="L824" s="555"/>
      <c r="M824" s="555"/>
      <c r="N824" s="555"/>
      <c r="O824" s="555"/>
      <c r="P824" s="555"/>
      <c r="Q824" s="555"/>
      <c r="R824" s="555"/>
      <c r="S824" s="555"/>
      <c r="T824" s="555"/>
      <c r="U824" s="555"/>
      <c r="V824" s="555"/>
      <c r="W824" s="555"/>
      <c r="X824" s="555"/>
      <c r="Y824" s="555"/>
      <c r="Z824" s="555"/>
    </row>
    <row r="825">
      <c r="A825" s="555"/>
      <c r="B825" s="555"/>
      <c r="C825" s="555"/>
      <c r="D825" s="555"/>
      <c r="E825" s="555"/>
      <c r="F825" s="555"/>
      <c r="G825" s="555"/>
      <c r="H825" s="555"/>
      <c r="I825" s="555"/>
      <c r="J825" s="555"/>
      <c r="K825" s="555"/>
      <c r="L825" s="555"/>
      <c r="M825" s="555"/>
      <c r="N825" s="555"/>
      <c r="O825" s="555"/>
      <c r="P825" s="555"/>
      <c r="Q825" s="555"/>
      <c r="R825" s="555"/>
      <c r="S825" s="555"/>
      <c r="T825" s="555"/>
      <c r="U825" s="555"/>
      <c r="V825" s="555"/>
      <c r="W825" s="555"/>
      <c r="X825" s="555"/>
      <c r="Y825" s="555"/>
      <c r="Z825" s="555"/>
    </row>
    <row r="826">
      <c r="A826" s="555"/>
      <c r="B826" s="555"/>
      <c r="C826" s="555"/>
      <c r="D826" s="555"/>
      <c r="E826" s="555"/>
      <c r="F826" s="555"/>
      <c r="G826" s="555"/>
      <c r="H826" s="555"/>
      <c r="I826" s="555"/>
      <c r="J826" s="555"/>
      <c r="K826" s="555"/>
      <c r="L826" s="555"/>
      <c r="M826" s="555"/>
      <c r="N826" s="555"/>
      <c r="O826" s="555"/>
      <c r="P826" s="555"/>
      <c r="Q826" s="555"/>
      <c r="R826" s="555"/>
      <c r="S826" s="555"/>
      <c r="T826" s="555"/>
      <c r="U826" s="555"/>
      <c r="V826" s="555"/>
      <c r="W826" s="555"/>
      <c r="X826" s="555"/>
      <c r="Y826" s="555"/>
      <c r="Z826" s="555"/>
    </row>
    <row r="827">
      <c r="A827" s="555"/>
      <c r="B827" s="555"/>
      <c r="C827" s="555"/>
      <c r="D827" s="555"/>
      <c r="E827" s="555"/>
      <c r="F827" s="555"/>
      <c r="G827" s="555"/>
      <c r="H827" s="555"/>
      <c r="I827" s="555"/>
      <c r="J827" s="555"/>
      <c r="K827" s="555"/>
      <c r="L827" s="555"/>
      <c r="M827" s="555"/>
      <c r="N827" s="555"/>
      <c r="O827" s="555"/>
      <c r="P827" s="555"/>
      <c r="Q827" s="555"/>
      <c r="R827" s="555"/>
      <c r="S827" s="555"/>
      <c r="T827" s="555"/>
      <c r="U827" s="555"/>
      <c r="V827" s="555"/>
      <c r="W827" s="555"/>
      <c r="X827" s="555"/>
      <c r="Y827" s="555"/>
      <c r="Z827" s="555"/>
    </row>
    <row r="828">
      <c r="A828" s="555"/>
      <c r="B828" s="555"/>
      <c r="C828" s="555"/>
      <c r="D828" s="555"/>
      <c r="E828" s="555"/>
      <c r="F828" s="555"/>
      <c r="G828" s="555"/>
      <c r="H828" s="555"/>
      <c r="I828" s="555"/>
      <c r="J828" s="555"/>
      <c r="K828" s="555"/>
      <c r="L828" s="555"/>
      <c r="M828" s="555"/>
      <c r="N828" s="555"/>
      <c r="O828" s="555"/>
      <c r="P828" s="555"/>
      <c r="Q828" s="555"/>
      <c r="R828" s="555"/>
      <c r="S828" s="555"/>
      <c r="T828" s="555"/>
      <c r="U828" s="555"/>
      <c r="V828" s="555"/>
      <c r="W828" s="555"/>
      <c r="X828" s="555"/>
      <c r="Y828" s="555"/>
      <c r="Z828" s="555"/>
    </row>
    <row r="829">
      <c r="A829" s="555"/>
      <c r="B829" s="555"/>
      <c r="C829" s="555"/>
      <c r="D829" s="555"/>
      <c r="E829" s="555"/>
      <c r="F829" s="555"/>
      <c r="G829" s="555"/>
      <c r="H829" s="555"/>
      <c r="I829" s="555"/>
      <c r="J829" s="555"/>
      <c r="K829" s="555"/>
      <c r="L829" s="555"/>
      <c r="M829" s="555"/>
      <c r="N829" s="555"/>
      <c r="O829" s="555"/>
      <c r="P829" s="555"/>
      <c r="Q829" s="555"/>
      <c r="R829" s="555"/>
      <c r="S829" s="555"/>
      <c r="T829" s="555"/>
      <c r="U829" s="555"/>
      <c r="V829" s="555"/>
      <c r="W829" s="555"/>
      <c r="X829" s="555"/>
      <c r="Y829" s="555"/>
      <c r="Z829" s="555"/>
    </row>
    <row r="830">
      <c r="A830" s="555"/>
      <c r="B830" s="555"/>
      <c r="C830" s="555"/>
      <c r="D830" s="555"/>
      <c r="E830" s="555"/>
      <c r="F830" s="555"/>
      <c r="G830" s="555"/>
      <c r="H830" s="555"/>
      <c r="I830" s="555"/>
      <c r="J830" s="555"/>
      <c r="K830" s="555"/>
      <c r="L830" s="555"/>
      <c r="M830" s="555"/>
      <c r="N830" s="555"/>
      <c r="O830" s="555"/>
      <c r="P830" s="555"/>
      <c r="Q830" s="555"/>
      <c r="R830" s="555"/>
      <c r="S830" s="555"/>
      <c r="T830" s="555"/>
      <c r="U830" s="555"/>
      <c r="V830" s="555"/>
      <c r="W830" s="555"/>
      <c r="X830" s="555"/>
      <c r="Y830" s="555"/>
      <c r="Z830" s="555"/>
    </row>
    <row r="831">
      <c r="A831" s="555"/>
      <c r="B831" s="555"/>
      <c r="C831" s="555"/>
      <c r="D831" s="555"/>
      <c r="E831" s="555"/>
      <c r="F831" s="555"/>
      <c r="G831" s="555"/>
      <c r="H831" s="555"/>
      <c r="I831" s="555"/>
      <c r="J831" s="555"/>
      <c r="K831" s="555"/>
      <c r="L831" s="555"/>
      <c r="M831" s="555"/>
      <c r="N831" s="555"/>
      <c r="O831" s="555"/>
      <c r="P831" s="555"/>
      <c r="Q831" s="555"/>
      <c r="R831" s="555"/>
      <c r="S831" s="555"/>
      <c r="T831" s="555"/>
      <c r="U831" s="555"/>
      <c r="V831" s="555"/>
      <c r="W831" s="555"/>
      <c r="X831" s="555"/>
      <c r="Y831" s="555"/>
      <c r="Z831" s="555"/>
    </row>
    <row r="832">
      <c r="A832" s="555"/>
      <c r="B832" s="555"/>
      <c r="C832" s="555"/>
      <c r="D832" s="555"/>
      <c r="E832" s="555"/>
      <c r="F832" s="555"/>
      <c r="G832" s="555"/>
      <c r="H832" s="555"/>
      <c r="I832" s="555"/>
      <c r="J832" s="555"/>
      <c r="K832" s="555"/>
      <c r="L832" s="555"/>
      <c r="M832" s="555"/>
      <c r="N832" s="555"/>
      <c r="O832" s="555"/>
      <c r="P832" s="555"/>
      <c r="Q832" s="555"/>
      <c r="R832" s="555"/>
      <c r="S832" s="555"/>
      <c r="T832" s="555"/>
      <c r="U832" s="555"/>
      <c r="V832" s="555"/>
      <c r="W832" s="555"/>
      <c r="X832" s="555"/>
      <c r="Y832" s="555"/>
      <c r="Z832" s="555"/>
    </row>
    <row r="833">
      <c r="A833" s="555"/>
      <c r="B833" s="555"/>
      <c r="C833" s="555"/>
      <c r="D833" s="555"/>
      <c r="E833" s="555"/>
      <c r="F833" s="555"/>
      <c r="G833" s="555"/>
      <c r="H833" s="555"/>
      <c r="I833" s="555"/>
      <c r="J833" s="555"/>
      <c r="K833" s="555"/>
      <c r="L833" s="555"/>
      <c r="M833" s="555"/>
      <c r="N833" s="555"/>
      <c r="O833" s="555"/>
      <c r="P833" s="555"/>
      <c r="Q833" s="555"/>
      <c r="R833" s="555"/>
      <c r="S833" s="555"/>
      <c r="T833" s="555"/>
      <c r="U833" s="555"/>
      <c r="V833" s="555"/>
      <c r="W833" s="555"/>
      <c r="X833" s="555"/>
      <c r="Y833" s="555"/>
      <c r="Z833" s="555"/>
    </row>
    <row r="834">
      <c r="A834" s="555"/>
      <c r="B834" s="555"/>
      <c r="C834" s="555"/>
      <c r="D834" s="555"/>
      <c r="E834" s="555"/>
      <c r="F834" s="555"/>
      <c r="G834" s="555"/>
      <c r="H834" s="555"/>
      <c r="I834" s="555"/>
      <c r="J834" s="555"/>
      <c r="K834" s="555"/>
      <c r="L834" s="555"/>
      <c r="M834" s="555"/>
      <c r="N834" s="555"/>
      <c r="O834" s="555"/>
      <c r="P834" s="555"/>
      <c r="Q834" s="555"/>
      <c r="R834" s="555"/>
      <c r="S834" s="555"/>
      <c r="T834" s="555"/>
      <c r="U834" s="555"/>
      <c r="V834" s="555"/>
      <c r="W834" s="555"/>
      <c r="X834" s="555"/>
      <c r="Y834" s="555"/>
      <c r="Z834" s="555"/>
    </row>
    <row r="835">
      <c r="A835" s="555"/>
      <c r="B835" s="555"/>
      <c r="C835" s="555"/>
      <c r="D835" s="555"/>
      <c r="E835" s="555"/>
      <c r="F835" s="555"/>
      <c r="G835" s="555"/>
      <c r="H835" s="555"/>
      <c r="I835" s="555"/>
      <c r="J835" s="555"/>
      <c r="K835" s="555"/>
      <c r="L835" s="555"/>
      <c r="M835" s="555"/>
      <c r="N835" s="555"/>
      <c r="O835" s="555"/>
      <c r="P835" s="555"/>
      <c r="Q835" s="555"/>
      <c r="R835" s="555"/>
      <c r="S835" s="555"/>
      <c r="T835" s="555"/>
      <c r="U835" s="555"/>
      <c r="V835" s="555"/>
      <c r="W835" s="555"/>
      <c r="X835" s="555"/>
      <c r="Y835" s="555"/>
      <c r="Z835" s="555"/>
    </row>
    <row r="836">
      <c r="A836" s="555"/>
      <c r="B836" s="555"/>
      <c r="C836" s="555"/>
      <c r="D836" s="555"/>
      <c r="E836" s="555"/>
      <c r="F836" s="555"/>
      <c r="G836" s="555"/>
      <c r="H836" s="555"/>
      <c r="I836" s="555"/>
      <c r="J836" s="555"/>
      <c r="K836" s="555"/>
      <c r="L836" s="555"/>
      <c r="M836" s="555"/>
      <c r="N836" s="555"/>
      <c r="O836" s="555"/>
      <c r="P836" s="555"/>
      <c r="Q836" s="555"/>
      <c r="R836" s="555"/>
      <c r="S836" s="555"/>
      <c r="T836" s="555"/>
      <c r="U836" s="555"/>
      <c r="V836" s="555"/>
      <c r="W836" s="555"/>
      <c r="X836" s="555"/>
      <c r="Y836" s="555"/>
      <c r="Z836" s="555"/>
    </row>
    <row r="837">
      <c r="A837" s="555"/>
      <c r="B837" s="555"/>
      <c r="C837" s="555"/>
      <c r="D837" s="555"/>
      <c r="E837" s="555"/>
      <c r="F837" s="555"/>
      <c r="G837" s="555"/>
      <c r="H837" s="555"/>
      <c r="I837" s="555"/>
      <c r="J837" s="555"/>
      <c r="K837" s="555"/>
      <c r="L837" s="555"/>
      <c r="M837" s="555"/>
      <c r="N837" s="555"/>
      <c r="O837" s="555"/>
      <c r="P837" s="555"/>
      <c r="Q837" s="555"/>
      <c r="R837" s="555"/>
      <c r="S837" s="555"/>
      <c r="T837" s="555"/>
      <c r="U837" s="555"/>
      <c r="V837" s="555"/>
      <c r="W837" s="555"/>
      <c r="X837" s="555"/>
      <c r="Y837" s="555"/>
      <c r="Z837" s="555"/>
    </row>
    <row r="838">
      <c r="A838" s="555"/>
      <c r="B838" s="555"/>
      <c r="C838" s="555"/>
      <c r="D838" s="555"/>
      <c r="E838" s="555"/>
      <c r="F838" s="555"/>
      <c r="G838" s="555"/>
      <c r="H838" s="555"/>
      <c r="I838" s="555"/>
      <c r="J838" s="555"/>
      <c r="K838" s="555"/>
      <c r="L838" s="555"/>
      <c r="M838" s="555"/>
      <c r="N838" s="555"/>
      <c r="O838" s="555"/>
      <c r="P838" s="555"/>
      <c r="Q838" s="555"/>
      <c r="R838" s="555"/>
      <c r="S838" s="555"/>
      <c r="T838" s="555"/>
      <c r="U838" s="555"/>
      <c r="V838" s="555"/>
      <c r="W838" s="555"/>
      <c r="X838" s="555"/>
      <c r="Y838" s="555"/>
      <c r="Z838" s="555"/>
    </row>
    <row r="839">
      <c r="A839" s="555"/>
      <c r="B839" s="555"/>
      <c r="C839" s="555"/>
      <c r="D839" s="555"/>
      <c r="E839" s="555"/>
      <c r="F839" s="555"/>
      <c r="G839" s="555"/>
      <c r="H839" s="555"/>
      <c r="I839" s="555"/>
      <c r="J839" s="555"/>
      <c r="K839" s="555"/>
      <c r="L839" s="555"/>
      <c r="M839" s="555"/>
      <c r="N839" s="555"/>
      <c r="O839" s="555"/>
      <c r="P839" s="555"/>
      <c r="Q839" s="555"/>
      <c r="R839" s="555"/>
      <c r="S839" s="555"/>
      <c r="T839" s="555"/>
      <c r="U839" s="555"/>
      <c r="V839" s="555"/>
      <c r="W839" s="555"/>
      <c r="X839" s="555"/>
      <c r="Y839" s="555"/>
      <c r="Z839" s="555"/>
    </row>
    <row r="840">
      <c r="A840" s="555"/>
      <c r="B840" s="555"/>
      <c r="C840" s="555"/>
      <c r="D840" s="555"/>
      <c r="E840" s="555"/>
      <c r="F840" s="555"/>
      <c r="G840" s="555"/>
      <c r="H840" s="555"/>
      <c r="I840" s="555"/>
      <c r="J840" s="555"/>
      <c r="K840" s="555"/>
      <c r="L840" s="555"/>
      <c r="M840" s="555"/>
      <c r="N840" s="555"/>
      <c r="O840" s="555"/>
      <c r="P840" s="555"/>
      <c r="Q840" s="555"/>
      <c r="R840" s="555"/>
      <c r="S840" s="555"/>
      <c r="T840" s="555"/>
      <c r="U840" s="555"/>
      <c r="V840" s="555"/>
      <c r="W840" s="555"/>
      <c r="X840" s="555"/>
      <c r="Y840" s="555"/>
      <c r="Z840" s="555"/>
    </row>
    <row r="841">
      <c r="A841" s="555"/>
      <c r="B841" s="555"/>
      <c r="C841" s="555"/>
      <c r="D841" s="555"/>
      <c r="E841" s="555"/>
      <c r="F841" s="555"/>
      <c r="G841" s="555"/>
      <c r="H841" s="555"/>
      <c r="I841" s="555"/>
      <c r="J841" s="555"/>
      <c r="K841" s="555"/>
      <c r="L841" s="555"/>
      <c r="M841" s="555"/>
      <c r="N841" s="555"/>
      <c r="O841" s="555"/>
      <c r="P841" s="555"/>
      <c r="Q841" s="555"/>
      <c r="R841" s="555"/>
      <c r="S841" s="555"/>
      <c r="T841" s="555"/>
      <c r="U841" s="555"/>
      <c r="V841" s="555"/>
      <c r="W841" s="555"/>
      <c r="X841" s="555"/>
      <c r="Y841" s="555"/>
      <c r="Z841" s="555"/>
    </row>
    <row r="842">
      <c r="A842" s="555"/>
      <c r="B842" s="555"/>
      <c r="C842" s="555"/>
      <c r="D842" s="555"/>
      <c r="E842" s="555"/>
      <c r="F842" s="555"/>
      <c r="G842" s="555"/>
      <c r="H842" s="555"/>
      <c r="I842" s="555"/>
      <c r="J842" s="555"/>
      <c r="K842" s="555"/>
      <c r="L842" s="555"/>
      <c r="M842" s="555"/>
      <c r="N842" s="555"/>
      <c r="O842" s="555"/>
      <c r="P842" s="555"/>
      <c r="Q842" s="555"/>
      <c r="R842" s="555"/>
      <c r="S842" s="555"/>
      <c r="T842" s="555"/>
      <c r="U842" s="555"/>
      <c r="V842" s="555"/>
      <c r="W842" s="555"/>
      <c r="X842" s="555"/>
      <c r="Y842" s="555"/>
      <c r="Z842" s="555"/>
    </row>
    <row r="843">
      <c r="A843" s="555"/>
      <c r="B843" s="555"/>
      <c r="C843" s="555"/>
      <c r="D843" s="555"/>
      <c r="E843" s="555"/>
      <c r="F843" s="555"/>
      <c r="G843" s="555"/>
      <c r="H843" s="555"/>
      <c r="I843" s="555"/>
      <c r="J843" s="555"/>
      <c r="K843" s="555"/>
      <c r="L843" s="555"/>
      <c r="M843" s="555"/>
      <c r="N843" s="555"/>
      <c r="O843" s="555"/>
      <c r="P843" s="555"/>
      <c r="Q843" s="555"/>
      <c r="R843" s="555"/>
      <c r="S843" s="555"/>
      <c r="T843" s="555"/>
      <c r="U843" s="555"/>
      <c r="V843" s="555"/>
      <c r="W843" s="555"/>
      <c r="X843" s="555"/>
      <c r="Y843" s="555"/>
      <c r="Z843" s="555"/>
    </row>
    <row r="844">
      <c r="A844" s="555"/>
      <c r="B844" s="555"/>
      <c r="C844" s="555"/>
      <c r="D844" s="555"/>
      <c r="E844" s="555"/>
      <c r="F844" s="555"/>
      <c r="G844" s="555"/>
      <c r="H844" s="555"/>
      <c r="I844" s="555"/>
      <c r="J844" s="555"/>
      <c r="K844" s="555"/>
      <c r="L844" s="555"/>
      <c r="M844" s="555"/>
      <c r="N844" s="555"/>
      <c r="O844" s="555"/>
      <c r="P844" s="555"/>
      <c r="Q844" s="555"/>
      <c r="R844" s="555"/>
      <c r="S844" s="555"/>
      <c r="T844" s="555"/>
      <c r="U844" s="555"/>
      <c r="V844" s="555"/>
      <c r="W844" s="555"/>
      <c r="X844" s="555"/>
      <c r="Y844" s="555"/>
      <c r="Z844" s="555"/>
    </row>
    <row r="845">
      <c r="A845" s="555"/>
      <c r="B845" s="555"/>
      <c r="C845" s="555"/>
      <c r="D845" s="555"/>
      <c r="E845" s="555"/>
      <c r="F845" s="555"/>
      <c r="G845" s="555"/>
      <c r="H845" s="555"/>
      <c r="I845" s="555"/>
      <c r="J845" s="555"/>
      <c r="K845" s="555"/>
      <c r="L845" s="555"/>
      <c r="M845" s="555"/>
      <c r="N845" s="555"/>
      <c r="O845" s="555"/>
      <c r="P845" s="555"/>
      <c r="Q845" s="555"/>
      <c r="R845" s="555"/>
      <c r="S845" s="555"/>
      <c r="T845" s="555"/>
      <c r="U845" s="555"/>
      <c r="V845" s="555"/>
      <c r="W845" s="555"/>
      <c r="X845" s="555"/>
      <c r="Y845" s="555"/>
      <c r="Z845" s="555"/>
    </row>
    <row r="846">
      <c r="A846" s="555"/>
      <c r="B846" s="555"/>
      <c r="C846" s="555"/>
      <c r="D846" s="555"/>
      <c r="E846" s="555"/>
      <c r="F846" s="555"/>
      <c r="G846" s="555"/>
      <c r="H846" s="555"/>
      <c r="I846" s="555"/>
      <c r="J846" s="555"/>
      <c r="K846" s="555"/>
      <c r="L846" s="555"/>
      <c r="M846" s="555"/>
      <c r="N846" s="555"/>
      <c r="O846" s="555"/>
      <c r="P846" s="555"/>
      <c r="Q846" s="555"/>
      <c r="R846" s="555"/>
      <c r="S846" s="555"/>
      <c r="T846" s="555"/>
      <c r="U846" s="555"/>
      <c r="V846" s="555"/>
      <c r="W846" s="555"/>
      <c r="X846" s="555"/>
      <c r="Y846" s="555"/>
      <c r="Z846" s="555"/>
    </row>
    <row r="847">
      <c r="A847" s="555"/>
      <c r="B847" s="555"/>
      <c r="C847" s="555"/>
      <c r="D847" s="555"/>
      <c r="E847" s="555"/>
      <c r="F847" s="555"/>
      <c r="G847" s="555"/>
      <c r="H847" s="555"/>
      <c r="I847" s="555"/>
      <c r="J847" s="555"/>
      <c r="K847" s="555"/>
      <c r="L847" s="555"/>
      <c r="M847" s="555"/>
      <c r="N847" s="555"/>
      <c r="O847" s="555"/>
      <c r="P847" s="555"/>
      <c r="Q847" s="555"/>
      <c r="R847" s="555"/>
      <c r="S847" s="555"/>
      <c r="T847" s="555"/>
      <c r="U847" s="555"/>
      <c r="V847" s="555"/>
      <c r="W847" s="555"/>
      <c r="X847" s="555"/>
      <c r="Y847" s="555"/>
      <c r="Z847" s="555"/>
    </row>
    <row r="848">
      <c r="A848" s="555"/>
      <c r="B848" s="555"/>
      <c r="C848" s="555"/>
      <c r="D848" s="555"/>
      <c r="E848" s="555"/>
      <c r="F848" s="555"/>
      <c r="G848" s="555"/>
      <c r="H848" s="555"/>
      <c r="I848" s="555"/>
      <c r="J848" s="555"/>
      <c r="K848" s="555"/>
      <c r="L848" s="555"/>
      <c r="M848" s="555"/>
      <c r="N848" s="555"/>
      <c r="O848" s="555"/>
      <c r="P848" s="555"/>
      <c r="Q848" s="555"/>
      <c r="R848" s="555"/>
      <c r="S848" s="555"/>
      <c r="T848" s="555"/>
      <c r="U848" s="555"/>
      <c r="V848" s="555"/>
      <c r="W848" s="555"/>
      <c r="X848" s="555"/>
      <c r="Y848" s="555"/>
      <c r="Z848" s="555"/>
    </row>
    <row r="849">
      <c r="A849" s="555"/>
      <c r="B849" s="555"/>
      <c r="C849" s="555"/>
      <c r="D849" s="555"/>
      <c r="E849" s="555"/>
      <c r="F849" s="555"/>
      <c r="G849" s="555"/>
      <c r="H849" s="555"/>
      <c r="I849" s="555"/>
      <c r="J849" s="555"/>
      <c r="K849" s="555"/>
      <c r="L849" s="555"/>
      <c r="M849" s="555"/>
      <c r="N849" s="555"/>
      <c r="O849" s="555"/>
      <c r="P849" s="555"/>
      <c r="Q849" s="555"/>
      <c r="R849" s="555"/>
      <c r="S849" s="555"/>
      <c r="T849" s="555"/>
      <c r="U849" s="555"/>
      <c r="V849" s="555"/>
      <c r="W849" s="555"/>
      <c r="X849" s="555"/>
      <c r="Y849" s="555"/>
      <c r="Z849" s="555"/>
    </row>
    <row r="850">
      <c r="A850" s="555"/>
      <c r="B850" s="555"/>
      <c r="C850" s="555"/>
      <c r="D850" s="555"/>
      <c r="E850" s="555"/>
      <c r="F850" s="555"/>
      <c r="G850" s="555"/>
      <c r="H850" s="555"/>
      <c r="I850" s="555"/>
      <c r="J850" s="555"/>
      <c r="K850" s="555"/>
      <c r="L850" s="555"/>
      <c r="M850" s="555"/>
      <c r="N850" s="555"/>
      <c r="O850" s="555"/>
      <c r="P850" s="555"/>
      <c r="Q850" s="555"/>
      <c r="R850" s="555"/>
      <c r="S850" s="555"/>
      <c r="T850" s="555"/>
      <c r="U850" s="555"/>
      <c r="V850" s="555"/>
      <c r="W850" s="555"/>
      <c r="X850" s="555"/>
      <c r="Y850" s="555"/>
      <c r="Z850" s="555"/>
    </row>
    <row r="851">
      <c r="A851" s="555"/>
      <c r="B851" s="555"/>
      <c r="C851" s="555"/>
      <c r="D851" s="555"/>
      <c r="E851" s="555"/>
      <c r="F851" s="555"/>
      <c r="G851" s="555"/>
      <c r="H851" s="555"/>
      <c r="I851" s="555"/>
      <c r="J851" s="555"/>
      <c r="K851" s="555"/>
      <c r="L851" s="555"/>
      <c r="M851" s="555"/>
      <c r="N851" s="555"/>
      <c r="O851" s="555"/>
      <c r="P851" s="555"/>
      <c r="Q851" s="555"/>
      <c r="R851" s="555"/>
      <c r="S851" s="555"/>
      <c r="T851" s="555"/>
      <c r="U851" s="555"/>
      <c r="V851" s="555"/>
      <c r="W851" s="555"/>
      <c r="X851" s="555"/>
      <c r="Y851" s="555"/>
      <c r="Z851" s="555"/>
    </row>
    <row r="852">
      <c r="A852" s="555"/>
      <c r="B852" s="555"/>
      <c r="C852" s="555"/>
      <c r="D852" s="555"/>
      <c r="E852" s="555"/>
      <c r="F852" s="555"/>
      <c r="G852" s="555"/>
      <c r="H852" s="555"/>
      <c r="I852" s="555"/>
      <c r="J852" s="555"/>
      <c r="K852" s="555"/>
      <c r="L852" s="555"/>
      <c r="M852" s="555"/>
      <c r="N852" s="555"/>
      <c r="O852" s="555"/>
      <c r="P852" s="555"/>
      <c r="Q852" s="555"/>
      <c r="R852" s="555"/>
      <c r="S852" s="555"/>
      <c r="T852" s="555"/>
      <c r="U852" s="555"/>
      <c r="V852" s="555"/>
      <c r="W852" s="555"/>
      <c r="X852" s="555"/>
      <c r="Y852" s="555"/>
      <c r="Z852" s="555"/>
    </row>
    <row r="853">
      <c r="A853" s="555"/>
      <c r="B853" s="555"/>
      <c r="C853" s="555"/>
      <c r="D853" s="555"/>
      <c r="E853" s="555"/>
      <c r="F853" s="555"/>
      <c r="G853" s="555"/>
      <c r="H853" s="555"/>
      <c r="I853" s="555"/>
      <c r="J853" s="555"/>
      <c r="K853" s="555"/>
      <c r="L853" s="555"/>
      <c r="M853" s="555"/>
      <c r="N853" s="555"/>
      <c r="O853" s="555"/>
      <c r="P853" s="555"/>
      <c r="Q853" s="555"/>
      <c r="R853" s="555"/>
      <c r="S853" s="555"/>
      <c r="T853" s="555"/>
      <c r="U853" s="555"/>
      <c r="V853" s="555"/>
      <c r="W853" s="555"/>
      <c r="X853" s="555"/>
      <c r="Y853" s="555"/>
      <c r="Z853" s="555"/>
    </row>
    <row r="854">
      <c r="A854" s="555"/>
      <c r="B854" s="555"/>
      <c r="C854" s="555"/>
      <c r="D854" s="555"/>
      <c r="E854" s="555"/>
      <c r="F854" s="555"/>
      <c r="G854" s="555"/>
      <c r="H854" s="555"/>
      <c r="I854" s="555"/>
      <c r="J854" s="555"/>
      <c r="K854" s="555"/>
      <c r="L854" s="555"/>
      <c r="M854" s="555"/>
      <c r="N854" s="555"/>
      <c r="O854" s="555"/>
      <c r="P854" s="555"/>
      <c r="Q854" s="555"/>
      <c r="R854" s="555"/>
      <c r="S854" s="555"/>
      <c r="T854" s="555"/>
      <c r="U854" s="555"/>
      <c r="V854" s="555"/>
      <c r="W854" s="555"/>
      <c r="X854" s="555"/>
      <c r="Y854" s="555"/>
      <c r="Z854" s="555"/>
    </row>
    <row r="855">
      <c r="A855" s="555"/>
      <c r="B855" s="555"/>
      <c r="C855" s="555"/>
      <c r="D855" s="555"/>
      <c r="E855" s="555"/>
      <c r="F855" s="555"/>
      <c r="G855" s="555"/>
      <c r="H855" s="555"/>
      <c r="I855" s="555"/>
      <c r="J855" s="555"/>
      <c r="K855" s="555"/>
      <c r="L855" s="555"/>
      <c r="M855" s="555"/>
      <c r="N855" s="555"/>
      <c r="O855" s="555"/>
      <c r="P855" s="555"/>
      <c r="Q855" s="555"/>
      <c r="R855" s="555"/>
      <c r="S855" s="555"/>
      <c r="T855" s="555"/>
      <c r="U855" s="555"/>
      <c r="V855" s="555"/>
      <c r="W855" s="555"/>
      <c r="X855" s="555"/>
      <c r="Y855" s="555"/>
      <c r="Z855" s="555"/>
    </row>
    <row r="856">
      <c r="A856" s="555"/>
      <c r="B856" s="555"/>
      <c r="C856" s="555"/>
      <c r="D856" s="555"/>
      <c r="E856" s="555"/>
      <c r="F856" s="555"/>
      <c r="G856" s="555"/>
      <c r="H856" s="555"/>
      <c r="I856" s="555"/>
      <c r="J856" s="555"/>
      <c r="K856" s="555"/>
      <c r="L856" s="555"/>
      <c r="M856" s="555"/>
      <c r="N856" s="555"/>
      <c r="O856" s="555"/>
      <c r="P856" s="555"/>
      <c r="Q856" s="555"/>
      <c r="R856" s="555"/>
      <c r="S856" s="555"/>
      <c r="T856" s="555"/>
      <c r="U856" s="555"/>
      <c r="V856" s="555"/>
      <c r="W856" s="555"/>
      <c r="X856" s="555"/>
      <c r="Y856" s="555"/>
      <c r="Z856" s="555"/>
    </row>
    <row r="857">
      <c r="A857" s="555"/>
      <c r="B857" s="555"/>
      <c r="C857" s="555"/>
      <c r="D857" s="555"/>
      <c r="E857" s="555"/>
      <c r="F857" s="555"/>
      <c r="G857" s="555"/>
      <c r="H857" s="555"/>
      <c r="I857" s="555"/>
      <c r="J857" s="555"/>
      <c r="K857" s="555"/>
      <c r="L857" s="555"/>
      <c r="M857" s="555"/>
      <c r="N857" s="555"/>
      <c r="O857" s="555"/>
      <c r="P857" s="555"/>
      <c r="Q857" s="555"/>
      <c r="R857" s="555"/>
      <c r="S857" s="555"/>
      <c r="T857" s="555"/>
      <c r="U857" s="555"/>
      <c r="V857" s="555"/>
      <c r="W857" s="555"/>
      <c r="X857" s="555"/>
      <c r="Y857" s="555"/>
      <c r="Z857" s="555"/>
    </row>
    <row r="858">
      <c r="A858" s="555"/>
      <c r="B858" s="555"/>
      <c r="C858" s="555"/>
      <c r="D858" s="555"/>
      <c r="E858" s="555"/>
      <c r="F858" s="555"/>
      <c r="G858" s="555"/>
      <c r="H858" s="555"/>
      <c r="I858" s="555"/>
      <c r="J858" s="555"/>
      <c r="K858" s="555"/>
      <c r="L858" s="555"/>
      <c r="M858" s="555"/>
      <c r="N858" s="555"/>
      <c r="O858" s="555"/>
      <c r="P858" s="555"/>
      <c r="Q858" s="555"/>
      <c r="R858" s="555"/>
      <c r="S858" s="555"/>
      <c r="T858" s="555"/>
      <c r="U858" s="555"/>
      <c r="V858" s="555"/>
      <c r="W858" s="555"/>
      <c r="X858" s="555"/>
      <c r="Y858" s="555"/>
      <c r="Z858" s="555"/>
    </row>
    <row r="859">
      <c r="A859" s="555"/>
      <c r="B859" s="555"/>
      <c r="C859" s="555"/>
      <c r="D859" s="555"/>
      <c r="E859" s="555"/>
      <c r="F859" s="555"/>
      <c r="G859" s="555"/>
      <c r="H859" s="555"/>
      <c r="I859" s="555"/>
      <c r="J859" s="555"/>
      <c r="K859" s="555"/>
      <c r="L859" s="555"/>
      <c r="M859" s="555"/>
      <c r="N859" s="555"/>
      <c r="O859" s="555"/>
      <c r="P859" s="555"/>
      <c r="Q859" s="555"/>
      <c r="R859" s="555"/>
      <c r="S859" s="555"/>
      <c r="T859" s="555"/>
      <c r="U859" s="555"/>
      <c r="V859" s="555"/>
      <c r="W859" s="555"/>
      <c r="X859" s="555"/>
      <c r="Y859" s="555"/>
      <c r="Z859" s="555"/>
    </row>
    <row r="860">
      <c r="A860" s="555"/>
      <c r="B860" s="555"/>
      <c r="C860" s="555"/>
      <c r="D860" s="555"/>
      <c r="E860" s="555"/>
      <c r="F860" s="555"/>
      <c r="G860" s="555"/>
      <c r="H860" s="555"/>
      <c r="I860" s="555"/>
      <c r="J860" s="555"/>
      <c r="K860" s="555"/>
      <c r="L860" s="555"/>
      <c r="M860" s="555"/>
      <c r="N860" s="555"/>
      <c r="O860" s="555"/>
      <c r="P860" s="555"/>
      <c r="Q860" s="555"/>
      <c r="R860" s="555"/>
      <c r="S860" s="555"/>
      <c r="T860" s="555"/>
      <c r="U860" s="555"/>
      <c r="V860" s="555"/>
      <c r="W860" s="555"/>
      <c r="X860" s="555"/>
      <c r="Y860" s="555"/>
      <c r="Z860" s="555"/>
    </row>
    <row r="861">
      <c r="A861" s="555"/>
      <c r="B861" s="555"/>
      <c r="C861" s="555"/>
      <c r="D861" s="555"/>
      <c r="E861" s="555"/>
      <c r="F861" s="555"/>
      <c r="G861" s="555"/>
      <c r="H861" s="555"/>
      <c r="I861" s="555"/>
      <c r="J861" s="555"/>
      <c r="K861" s="555"/>
      <c r="L861" s="555"/>
      <c r="M861" s="555"/>
      <c r="N861" s="555"/>
      <c r="O861" s="555"/>
      <c r="P861" s="555"/>
      <c r="Q861" s="555"/>
      <c r="R861" s="555"/>
      <c r="S861" s="555"/>
      <c r="T861" s="555"/>
      <c r="U861" s="555"/>
      <c r="V861" s="555"/>
      <c r="W861" s="555"/>
      <c r="X861" s="555"/>
      <c r="Y861" s="555"/>
      <c r="Z861" s="555"/>
    </row>
    <row r="862">
      <c r="A862" s="555"/>
      <c r="B862" s="555"/>
      <c r="C862" s="555"/>
      <c r="D862" s="555"/>
      <c r="E862" s="555"/>
      <c r="F862" s="555"/>
      <c r="G862" s="555"/>
      <c r="H862" s="555"/>
      <c r="I862" s="555"/>
      <c r="J862" s="555"/>
      <c r="K862" s="555"/>
      <c r="L862" s="555"/>
      <c r="M862" s="555"/>
      <c r="N862" s="555"/>
      <c r="O862" s="555"/>
      <c r="P862" s="555"/>
      <c r="Q862" s="555"/>
      <c r="R862" s="555"/>
      <c r="S862" s="555"/>
      <c r="T862" s="555"/>
      <c r="U862" s="555"/>
      <c r="V862" s="555"/>
      <c r="W862" s="555"/>
      <c r="X862" s="555"/>
      <c r="Y862" s="555"/>
      <c r="Z862" s="555"/>
    </row>
    <row r="863">
      <c r="A863" s="555"/>
      <c r="B863" s="555"/>
      <c r="C863" s="555"/>
      <c r="D863" s="555"/>
      <c r="E863" s="555"/>
      <c r="F863" s="555"/>
      <c r="G863" s="555"/>
      <c r="H863" s="555"/>
      <c r="I863" s="555"/>
      <c r="J863" s="555"/>
      <c r="K863" s="555"/>
      <c r="L863" s="555"/>
      <c r="M863" s="555"/>
      <c r="N863" s="555"/>
      <c r="O863" s="555"/>
      <c r="P863" s="555"/>
      <c r="Q863" s="555"/>
      <c r="R863" s="555"/>
      <c r="S863" s="555"/>
      <c r="T863" s="555"/>
      <c r="U863" s="555"/>
      <c r="V863" s="555"/>
      <c r="W863" s="555"/>
      <c r="X863" s="555"/>
      <c r="Y863" s="555"/>
      <c r="Z863" s="555"/>
    </row>
    <row r="864">
      <c r="A864" s="555"/>
      <c r="B864" s="555"/>
      <c r="C864" s="555"/>
      <c r="D864" s="555"/>
      <c r="E864" s="555"/>
      <c r="F864" s="555"/>
      <c r="G864" s="555"/>
      <c r="H864" s="555"/>
      <c r="I864" s="555"/>
      <c r="J864" s="555"/>
      <c r="K864" s="555"/>
      <c r="L864" s="555"/>
      <c r="M864" s="555"/>
      <c r="N864" s="555"/>
      <c r="O864" s="555"/>
      <c r="P864" s="555"/>
      <c r="Q864" s="555"/>
      <c r="R864" s="555"/>
      <c r="S864" s="555"/>
      <c r="T864" s="555"/>
      <c r="U864" s="555"/>
      <c r="V864" s="555"/>
      <c r="W864" s="555"/>
      <c r="X864" s="555"/>
      <c r="Y864" s="555"/>
      <c r="Z864" s="555"/>
    </row>
    <row r="865">
      <c r="A865" s="555"/>
      <c r="B865" s="555"/>
      <c r="C865" s="555"/>
      <c r="D865" s="555"/>
      <c r="E865" s="555"/>
      <c r="F865" s="555"/>
      <c r="G865" s="555"/>
      <c r="H865" s="555"/>
      <c r="I865" s="555"/>
      <c r="J865" s="555"/>
      <c r="K865" s="555"/>
      <c r="L865" s="555"/>
      <c r="M865" s="555"/>
      <c r="N865" s="555"/>
      <c r="O865" s="555"/>
      <c r="P865" s="555"/>
      <c r="Q865" s="555"/>
      <c r="R865" s="555"/>
      <c r="S865" s="555"/>
      <c r="T865" s="555"/>
      <c r="U865" s="555"/>
      <c r="V865" s="555"/>
      <c r="W865" s="555"/>
      <c r="X865" s="555"/>
      <c r="Y865" s="555"/>
      <c r="Z865" s="555"/>
    </row>
    <row r="866">
      <c r="A866" s="555"/>
      <c r="B866" s="555"/>
      <c r="C866" s="555"/>
      <c r="D866" s="555"/>
      <c r="E866" s="555"/>
      <c r="F866" s="555"/>
      <c r="G866" s="555"/>
      <c r="H866" s="555"/>
      <c r="I866" s="555"/>
      <c r="J866" s="555"/>
      <c r="K866" s="555"/>
      <c r="L866" s="555"/>
      <c r="M866" s="555"/>
      <c r="N866" s="555"/>
      <c r="O866" s="555"/>
      <c r="P866" s="555"/>
      <c r="Q866" s="555"/>
      <c r="R866" s="555"/>
      <c r="S866" s="555"/>
      <c r="T866" s="555"/>
      <c r="U866" s="555"/>
      <c r="V866" s="555"/>
      <c r="W866" s="555"/>
      <c r="X866" s="555"/>
      <c r="Y866" s="555"/>
      <c r="Z866" s="555"/>
    </row>
    <row r="867">
      <c r="A867" s="555"/>
      <c r="B867" s="555"/>
      <c r="C867" s="555"/>
      <c r="D867" s="555"/>
      <c r="E867" s="555"/>
      <c r="F867" s="555"/>
      <c r="G867" s="555"/>
      <c r="H867" s="555"/>
      <c r="I867" s="555"/>
      <c r="J867" s="555"/>
      <c r="K867" s="555"/>
      <c r="L867" s="555"/>
      <c r="M867" s="555"/>
      <c r="N867" s="555"/>
      <c r="O867" s="555"/>
      <c r="P867" s="555"/>
      <c r="Q867" s="555"/>
      <c r="R867" s="555"/>
      <c r="S867" s="555"/>
      <c r="T867" s="555"/>
      <c r="U867" s="555"/>
      <c r="V867" s="555"/>
      <c r="W867" s="555"/>
      <c r="X867" s="555"/>
      <c r="Y867" s="555"/>
      <c r="Z867" s="555"/>
    </row>
    <row r="868">
      <c r="A868" s="555"/>
      <c r="B868" s="555"/>
      <c r="C868" s="555"/>
      <c r="D868" s="555"/>
      <c r="E868" s="555"/>
      <c r="F868" s="555"/>
      <c r="G868" s="555"/>
      <c r="H868" s="555"/>
      <c r="I868" s="555"/>
      <c r="J868" s="555"/>
      <c r="K868" s="555"/>
      <c r="L868" s="555"/>
      <c r="M868" s="555"/>
      <c r="N868" s="555"/>
      <c r="O868" s="555"/>
      <c r="P868" s="555"/>
      <c r="Q868" s="555"/>
      <c r="R868" s="555"/>
      <c r="S868" s="555"/>
      <c r="T868" s="555"/>
      <c r="U868" s="555"/>
      <c r="V868" s="555"/>
      <c r="W868" s="555"/>
      <c r="X868" s="555"/>
      <c r="Y868" s="555"/>
      <c r="Z868" s="555"/>
    </row>
    <row r="869">
      <c r="A869" s="555"/>
      <c r="B869" s="555"/>
      <c r="C869" s="555"/>
      <c r="D869" s="555"/>
      <c r="E869" s="555"/>
      <c r="F869" s="555"/>
      <c r="G869" s="555"/>
      <c r="H869" s="555"/>
      <c r="I869" s="555"/>
      <c r="J869" s="555"/>
      <c r="K869" s="555"/>
      <c r="L869" s="555"/>
      <c r="M869" s="555"/>
      <c r="N869" s="555"/>
      <c r="O869" s="555"/>
      <c r="P869" s="555"/>
      <c r="Q869" s="555"/>
      <c r="R869" s="555"/>
      <c r="S869" s="555"/>
      <c r="T869" s="555"/>
      <c r="U869" s="555"/>
      <c r="V869" s="555"/>
      <c r="W869" s="555"/>
      <c r="X869" s="555"/>
      <c r="Y869" s="555"/>
      <c r="Z869" s="555"/>
    </row>
    <row r="870">
      <c r="A870" s="555"/>
      <c r="B870" s="555"/>
      <c r="C870" s="555"/>
      <c r="D870" s="555"/>
      <c r="E870" s="555"/>
      <c r="F870" s="555"/>
      <c r="G870" s="555"/>
      <c r="H870" s="555"/>
      <c r="I870" s="555"/>
      <c r="J870" s="555"/>
      <c r="K870" s="555"/>
      <c r="L870" s="555"/>
      <c r="M870" s="555"/>
      <c r="N870" s="555"/>
      <c r="O870" s="555"/>
      <c r="P870" s="555"/>
      <c r="Q870" s="555"/>
      <c r="R870" s="555"/>
      <c r="S870" s="555"/>
      <c r="T870" s="555"/>
      <c r="U870" s="555"/>
      <c r="V870" s="555"/>
      <c r="W870" s="555"/>
      <c r="X870" s="555"/>
      <c r="Y870" s="555"/>
      <c r="Z870" s="555"/>
    </row>
    <row r="871">
      <c r="A871" s="555"/>
      <c r="B871" s="555"/>
      <c r="C871" s="555"/>
      <c r="D871" s="555"/>
      <c r="E871" s="555"/>
      <c r="F871" s="555"/>
      <c r="G871" s="555"/>
      <c r="H871" s="555"/>
      <c r="I871" s="555"/>
      <c r="J871" s="555"/>
      <c r="K871" s="555"/>
      <c r="L871" s="555"/>
      <c r="M871" s="555"/>
      <c r="N871" s="555"/>
      <c r="O871" s="555"/>
      <c r="P871" s="555"/>
      <c r="Q871" s="555"/>
      <c r="R871" s="555"/>
      <c r="S871" s="555"/>
      <c r="T871" s="555"/>
      <c r="U871" s="555"/>
      <c r="V871" s="555"/>
      <c r="W871" s="555"/>
      <c r="X871" s="555"/>
      <c r="Y871" s="555"/>
      <c r="Z871" s="555"/>
    </row>
    <row r="872">
      <c r="A872" s="555"/>
      <c r="B872" s="555"/>
      <c r="C872" s="555"/>
      <c r="D872" s="555"/>
      <c r="E872" s="555"/>
      <c r="F872" s="555"/>
      <c r="G872" s="555"/>
      <c r="H872" s="555"/>
      <c r="I872" s="555"/>
      <c r="J872" s="555"/>
      <c r="K872" s="555"/>
      <c r="L872" s="555"/>
      <c r="M872" s="555"/>
      <c r="N872" s="555"/>
      <c r="O872" s="555"/>
      <c r="P872" s="555"/>
      <c r="Q872" s="555"/>
      <c r="R872" s="555"/>
      <c r="S872" s="555"/>
      <c r="T872" s="555"/>
      <c r="U872" s="555"/>
      <c r="V872" s="555"/>
      <c r="W872" s="555"/>
      <c r="X872" s="555"/>
      <c r="Y872" s="555"/>
      <c r="Z872" s="555"/>
    </row>
    <row r="873">
      <c r="A873" s="555"/>
      <c r="B873" s="555"/>
      <c r="C873" s="555"/>
      <c r="D873" s="555"/>
      <c r="E873" s="555"/>
      <c r="F873" s="555"/>
      <c r="G873" s="555"/>
      <c r="H873" s="555"/>
      <c r="I873" s="555"/>
      <c r="J873" s="555"/>
      <c r="K873" s="555"/>
      <c r="L873" s="555"/>
      <c r="M873" s="555"/>
      <c r="N873" s="555"/>
      <c r="O873" s="555"/>
      <c r="P873" s="555"/>
      <c r="Q873" s="555"/>
      <c r="R873" s="555"/>
      <c r="S873" s="555"/>
      <c r="T873" s="555"/>
      <c r="U873" s="555"/>
      <c r="V873" s="555"/>
      <c r="W873" s="555"/>
      <c r="X873" s="555"/>
      <c r="Y873" s="555"/>
      <c r="Z873" s="555"/>
    </row>
    <row r="874">
      <c r="A874" s="555"/>
      <c r="B874" s="555"/>
      <c r="C874" s="555"/>
      <c r="D874" s="555"/>
      <c r="E874" s="555"/>
      <c r="F874" s="555"/>
      <c r="G874" s="555"/>
      <c r="H874" s="555"/>
      <c r="I874" s="555"/>
      <c r="J874" s="555"/>
      <c r="K874" s="555"/>
      <c r="L874" s="555"/>
      <c r="M874" s="555"/>
      <c r="N874" s="555"/>
      <c r="O874" s="555"/>
      <c r="P874" s="555"/>
      <c r="Q874" s="555"/>
      <c r="R874" s="555"/>
      <c r="S874" s="555"/>
      <c r="T874" s="555"/>
      <c r="U874" s="555"/>
      <c r="V874" s="555"/>
      <c r="W874" s="555"/>
      <c r="X874" s="555"/>
      <c r="Y874" s="555"/>
      <c r="Z874" s="555"/>
    </row>
    <row r="875">
      <c r="A875" s="555"/>
      <c r="B875" s="555"/>
      <c r="C875" s="555"/>
      <c r="D875" s="555"/>
      <c r="E875" s="555"/>
      <c r="F875" s="555"/>
      <c r="G875" s="555"/>
      <c r="H875" s="555"/>
      <c r="I875" s="555"/>
      <c r="J875" s="555"/>
      <c r="K875" s="555"/>
      <c r="L875" s="555"/>
      <c r="M875" s="555"/>
      <c r="N875" s="555"/>
      <c r="O875" s="555"/>
      <c r="P875" s="555"/>
      <c r="Q875" s="555"/>
      <c r="R875" s="555"/>
      <c r="S875" s="555"/>
      <c r="T875" s="555"/>
      <c r="U875" s="555"/>
      <c r="V875" s="555"/>
      <c r="W875" s="555"/>
      <c r="X875" s="555"/>
      <c r="Y875" s="555"/>
      <c r="Z875" s="555"/>
    </row>
    <row r="876">
      <c r="A876" s="555"/>
      <c r="B876" s="555"/>
      <c r="C876" s="555"/>
      <c r="D876" s="555"/>
      <c r="E876" s="555"/>
      <c r="F876" s="555"/>
      <c r="G876" s="555"/>
      <c r="H876" s="555"/>
      <c r="I876" s="555"/>
      <c r="J876" s="555"/>
      <c r="K876" s="555"/>
      <c r="L876" s="555"/>
      <c r="M876" s="555"/>
      <c r="N876" s="555"/>
      <c r="O876" s="555"/>
      <c r="P876" s="555"/>
      <c r="Q876" s="555"/>
      <c r="R876" s="555"/>
      <c r="S876" s="555"/>
      <c r="T876" s="555"/>
      <c r="U876" s="555"/>
      <c r="V876" s="555"/>
      <c r="W876" s="555"/>
      <c r="X876" s="555"/>
      <c r="Y876" s="555"/>
      <c r="Z876" s="555"/>
    </row>
    <row r="877">
      <c r="A877" s="555"/>
      <c r="B877" s="555"/>
      <c r="C877" s="555"/>
      <c r="D877" s="555"/>
      <c r="E877" s="555"/>
      <c r="F877" s="555"/>
      <c r="G877" s="555"/>
      <c r="H877" s="555"/>
      <c r="I877" s="555"/>
      <c r="J877" s="555"/>
      <c r="K877" s="555"/>
      <c r="L877" s="555"/>
      <c r="M877" s="555"/>
      <c r="N877" s="555"/>
      <c r="O877" s="555"/>
      <c r="P877" s="555"/>
      <c r="Q877" s="555"/>
      <c r="R877" s="555"/>
      <c r="S877" s="555"/>
      <c r="T877" s="555"/>
      <c r="U877" s="555"/>
      <c r="V877" s="555"/>
      <c r="W877" s="555"/>
      <c r="X877" s="555"/>
      <c r="Y877" s="555"/>
      <c r="Z877" s="555"/>
    </row>
    <row r="878">
      <c r="A878" s="555"/>
      <c r="B878" s="555"/>
      <c r="C878" s="555"/>
      <c r="D878" s="555"/>
      <c r="E878" s="555"/>
      <c r="F878" s="555"/>
      <c r="G878" s="555"/>
      <c r="H878" s="555"/>
      <c r="I878" s="555"/>
      <c r="J878" s="555"/>
      <c r="K878" s="555"/>
      <c r="L878" s="555"/>
      <c r="M878" s="555"/>
      <c r="N878" s="555"/>
      <c r="O878" s="555"/>
      <c r="P878" s="555"/>
      <c r="Q878" s="555"/>
      <c r="R878" s="555"/>
      <c r="S878" s="555"/>
      <c r="T878" s="555"/>
      <c r="U878" s="555"/>
      <c r="V878" s="555"/>
      <c r="W878" s="555"/>
      <c r="X878" s="555"/>
      <c r="Y878" s="555"/>
      <c r="Z878" s="555"/>
    </row>
    <row r="879">
      <c r="A879" s="555"/>
      <c r="B879" s="555"/>
      <c r="C879" s="555"/>
      <c r="D879" s="555"/>
      <c r="E879" s="555"/>
      <c r="F879" s="555"/>
      <c r="G879" s="555"/>
      <c r="H879" s="555"/>
      <c r="I879" s="555"/>
      <c r="J879" s="555"/>
      <c r="K879" s="555"/>
      <c r="L879" s="555"/>
      <c r="M879" s="555"/>
      <c r="N879" s="555"/>
      <c r="O879" s="555"/>
      <c r="P879" s="555"/>
      <c r="Q879" s="555"/>
      <c r="R879" s="555"/>
      <c r="S879" s="555"/>
      <c r="T879" s="555"/>
      <c r="U879" s="555"/>
      <c r="V879" s="555"/>
      <c r="W879" s="555"/>
      <c r="X879" s="555"/>
      <c r="Y879" s="555"/>
      <c r="Z879" s="555"/>
    </row>
    <row r="880">
      <c r="A880" s="555"/>
      <c r="B880" s="555"/>
      <c r="C880" s="555"/>
      <c r="D880" s="555"/>
      <c r="E880" s="555"/>
      <c r="F880" s="555"/>
      <c r="G880" s="555"/>
      <c r="H880" s="555"/>
      <c r="I880" s="555"/>
      <c r="J880" s="555"/>
      <c r="K880" s="555"/>
      <c r="L880" s="555"/>
      <c r="M880" s="555"/>
      <c r="N880" s="555"/>
      <c r="O880" s="555"/>
      <c r="P880" s="555"/>
      <c r="Q880" s="555"/>
      <c r="R880" s="555"/>
      <c r="S880" s="555"/>
      <c r="T880" s="555"/>
      <c r="U880" s="555"/>
      <c r="V880" s="555"/>
      <c r="W880" s="555"/>
      <c r="X880" s="555"/>
      <c r="Y880" s="555"/>
      <c r="Z880" s="555"/>
    </row>
    <row r="881">
      <c r="A881" s="555"/>
      <c r="B881" s="555"/>
      <c r="C881" s="555"/>
      <c r="D881" s="555"/>
      <c r="E881" s="555"/>
      <c r="F881" s="555"/>
      <c r="G881" s="555"/>
      <c r="H881" s="555"/>
      <c r="I881" s="555"/>
      <c r="J881" s="555"/>
      <c r="K881" s="555"/>
      <c r="L881" s="555"/>
      <c r="M881" s="555"/>
      <c r="N881" s="555"/>
      <c r="O881" s="555"/>
      <c r="P881" s="555"/>
      <c r="Q881" s="555"/>
      <c r="R881" s="555"/>
      <c r="S881" s="555"/>
      <c r="T881" s="555"/>
      <c r="U881" s="555"/>
      <c r="V881" s="555"/>
      <c r="W881" s="555"/>
      <c r="X881" s="555"/>
      <c r="Y881" s="555"/>
      <c r="Z881" s="555"/>
    </row>
    <row r="882">
      <c r="A882" s="555"/>
      <c r="B882" s="555"/>
      <c r="C882" s="555"/>
      <c r="D882" s="555"/>
      <c r="E882" s="555"/>
      <c r="F882" s="555"/>
      <c r="G882" s="555"/>
      <c r="H882" s="555"/>
      <c r="I882" s="555"/>
      <c r="J882" s="555"/>
      <c r="K882" s="555"/>
      <c r="L882" s="555"/>
      <c r="M882" s="555"/>
      <c r="N882" s="555"/>
      <c r="O882" s="555"/>
      <c r="P882" s="555"/>
      <c r="Q882" s="555"/>
      <c r="R882" s="555"/>
      <c r="S882" s="555"/>
      <c r="T882" s="555"/>
      <c r="U882" s="555"/>
      <c r="V882" s="555"/>
      <c r="W882" s="555"/>
      <c r="X882" s="555"/>
      <c r="Y882" s="555"/>
      <c r="Z882" s="555"/>
    </row>
    <row r="883">
      <c r="A883" s="555"/>
      <c r="B883" s="555"/>
      <c r="C883" s="555"/>
      <c r="D883" s="555"/>
      <c r="E883" s="555"/>
      <c r="F883" s="555"/>
      <c r="G883" s="555"/>
      <c r="H883" s="555"/>
      <c r="I883" s="555"/>
      <c r="J883" s="555"/>
      <c r="K883" s="555"/>
      <c r="L883" s="555"/>
      <c r="M883" s="555"/>
      <c r="N883" s="555"/>
      <c r="O883" s="555"/>
      <c r="P883" s="555"/>
      <c r="Q883" s="555"/>
      <c r="R883" s="555"/>
      <c r="S883" s="555"/>
      <c r="T883" s="555"/>
      <c r="U883" s="555"/>
      <c r="V883" s="555"/>
      <c r="W883" s="555"/>
      <c r="X883" s="555"/>
      <c r="Y883" s="555"/>
      <c r="Z883" s="555"/>
    </row>
    <row r="884">
      <c r="A884" s="555"/>
      <c r="B884" s="555"/>
      <c r="C884" s="555"/>
      <c r="D884" s="555"/>
      <c r="E884" s="555"/>
      <c r="F884" s="555"/>
      <c r="G884" s="555"/>
      <c r="H884" s="555"/>
      <c r="I884" s="555"/>
      <c r="J884" s="555"/>
      <c r="K884" s="555"/>
      <c r="L884" s="555"/>
      <c r="M884" s="555"/>
      <c r="N884" s="555"/>
      <c r="O884" s="555"/>
      <c r="P884" s="555"/>
      <c r="Q884" s="555"/>
      <c r="R884" s="555"/>
      <c r="S884" s="555"/>
      <c r="T884" s="555"/>
      <c r="U884" s="555"/>
      <c r="V884" s="555"/>
      <c r="W884" s="555"/>
      <c r="X884" s="555"/>
      <c r="Y884" s="555"/>
      <c r="Z884" s="555"/>
    </row>
    <row r="885">
      <c r="A885" s="555"/>
      <c r="B885" s="555"/>
      <c r="C885" s="555"/>
      <c r="D885" s="555"/>
      <c r="E885" s="555"/>
      <c r="F885" s="555"/>
      <c r="G885" s="555"/>
      <c r="H885" s="555"/>
      <c r="I885" s="555"/>
      <c r="J885" s="555"/>
      <c r="K885" s="555"/>
      <c r="L885" s="555"/>
      <c r="M885" s="555"/>
      <c r="N885" s="555"/>
      <c r="O885" s="555"/>
      <c r="P885" s="555"/>
      <c r="Q885" s="555"/>
      <c r="R885" s="555"/>
      <c r="S885" s="555"/>
      <c r="T885" s="555"/>
      <c r="U885" s="555"/>
      <c r="V885" s="555"/>
      <c r="W885" s="555"/>
      <c r="X885" s="555"/>
      <c r="Y885" s="555"/>
      <c r="Z885" s="555"/>
    </row>
    <row r="886">
      <c r="A886" s="555"/>
      <c r="B886" s="555"/>
      <c r="C886" s="555"/>
      <c r="D886" s="555"/>
      <c r="E886" s="555"/>
      <c r="F886" s="555"/>
      <c r="G886" s="555"/>
      <c r="H886" s="555"/>
      <c r="I886" s="555"/>
      <c r="J886" s="555"/>
      <c r="K886" s="555"/>
      <c r="L886" s="555"/>
      <c r="M886" s="555"/>
      <c r="N886" s="555"/>
      <c r="O886" s="555"/>
      <c r="P886" s="555"/>
      <c r="Q886" s="555"/>
      <c r="R886" s="555"/>
      <c r="S886" s="555"/>
      <c r="T886" s="555"/>
      <c r="U886" s="555"/>
      <c r="V886" s="555"/>
      <c r="W886" s="555"/>
      <c r="X886" s="555"/>
      <c r="Y886" s="555"/>
      <c r="Z886" s="555"/>
    </row>
    <row r="887">
      <c r="A887" s="555"/>
      <c r="B887" s="555"/>
      <c r="C887" s="555"/>
      <c r="D887" s="555"/>
      <c r="E887" s="555"/>
      <c r="F887" s="555"/>
      <c r="G887" s="555"/>
      <c r="H887" s="555"/>
      <c r="I887" s="555"/>
      <c r="J887" s="555"/>
      <c r="K887" s="555"/>
      <c r="L887" s="555"/>
      <c r="M887" s="555"/>
      <c r="N887" s="555"/>
      <c r="O887" s="555"/>
      <c r="P887" s="555"/>
      <c r="Q887" s="555"/>
      <c r="R887" s="555"/>
      <c r="S887" s="555"/>
      <c r="T887" s="555"/>
      <c r="U887" s="555"/>
      <c r="V887" s="555"/>
      <c r="W887" s="555"/>
      <c r="X887" s="555"/>
      <c r="Y887" s="555"/>
      <c r="Z887" s="555"/>
    </row>
    <row r="888">
      <c r="A888" s="555"/>
      <c r="B888" s="555"/>
      <c r="C888" s="555"/>
      <c r="D888" s="555"/>
      <c r="E888" s="555"/>
      <c r="F888" s="555"/>
      <c r="G888" s="555"/>
      <c r="H888" s="555"/>
      <c r="I888" s="555"/>
      <c r="J888" s="555"/>
      <c r="K888" s="555"/>
      <c r="L888" s="555"/>
      <c r="M888" s="555"/>
      <c r="N888" s="555"/>
      <c r="O888" s="555"/>
      <c r="P888" s="555"/>
      <c r="Q888" s="555"/>
      <c r="R888" s="555"/>
      <c r="S888" s="555"/>
      <c r="T888" s="555"/>
      <c r="U888" s="555"/>
      <c r="V888" s="555"/>
      <c r="W888" s="555"/>
      <c r="X888" s="555"/>
      <c r="Y888" s="555"/>
      <c r="Z888" s="555"/>
    </row>
    <row r="889">
      <c r="A889" s="555"/>
      <c r="B889" s="555"/>
      <c r="C889" s="555"/>
      <c r="D889" s="555"/>
      <c r="E889" s="555"/>
      <c r="F889" s="555"/>
      <c r="G889" s="555"/>
      <c r="H889" s="555"/>
      <c r="I889" s="555"/>
      <c r="J889" s="555"/>
      <c r="K889" s="555"/>
      <c r="L889" s="555"/>
      <c r="M889" s="555"/>
      <c r="N889" s="555"/>
      <c r="O889" s="555"/>
      <c r="P889" s="555"/>
      <c r="Q889" s="555"/>
      <c r="R889" s="555"/>
      <c r="S889" s="555"/>
      <c r="T889" s="555"/>
      <c r="U889" s="555"/>
      <c r="V889" s="555"/>
      <c r="W889" s="555"/>
      <c r="X889" s="555"/>
      <c r="Y889" s="555"/>
      <c r="Z889" s="555"/>
    </row>
    <row r="890">
      <c r="A890" s="555"/>
      <c r="B890" s="555"/>
      <c r="C890" s="555"/>
      <c r="D890" s="555"/>
      <c r="E890" s="555"/>
      <c r="F890" s="555"/>
      <c r="G890" s="555"/>
      <c r="H890" s="555"/>
      <c r="I890" s="555"/>
      <c r="J890" s="555"/>
      <c r="K890" s="555"/>
      <c r="L890" s="555"/>
      <c r="M890" s="555"/>
      <c r="N890" s="555"/>
      <c r="O890" s="555"/>
      <c r="P890" s="555"/>
      <c r="Q890" s="555"/>
      <c r="R890" s="555"/>
      <c r="S890" s="555"/>
      <c r="T890" s="555"/>
      <c r="U890" s="555"/>
      <c r="V890" s="555"/>
      <c r="W890" s="555"/>
      <c r="X890" s="555"/>
      <c r="Y890" s="555"/>
      <c r="Z890" s="555"/>
    </row>
    <row r="891">
      <c r="A891" s="555"/>
      <c r="B891" s="555"/>
      <c r="C891" s="555"/>
      <c r="D891" s="555"/>
      <c r="E891" s="555"/>
      <c r="F891" s="555"/>
      <c r="G891" s="555"/>
      <c r="H891" s="555"/>
      <c r="I891" s="555"/>
      <c r="J891" s="555"/>
      <c r="K891" s="555"/>
      <c r="L891" s="555"/>
      <c r="M891" s="555"/>
      <c r="N891" s="555"/>
      <c r="O891" s="555"/>
      <c r="P891" s="555"/>
      <c r="Q891" s="555"/>
      <c r="R891" s="555"/>
      <c r="S891" s="555"/>
      <c r="T891" s="555"/>
      <c r="U891" s="555"/>
      <c r="V891" s="555"/>
      <c r="W891" s="555"/>
      <c r="X891" s="555"/>
      <c r="Y891" s="555"/>
      <c r="Z891" s="555"/>
    </row>
    <row r="892">
      <c r="A892" s="555"/>
      <c r="B892" s="555"/>
      <c r="C892" s="555"/>
      <c r="D892" s="555"/>
      <c r="E892" s="555"/>
      <c r="F892" s="555"/>
      <c r="G892" s="555"/>
      <c r="H892" s="555"/>
      <c r="I892" s="555"/>
      <c r="J892" s="555"/>
      <c r="K892" s="555"/>
      <c r="L892" s="555"/>
      <c r="M892" s="555"/>
      <c r="N892" s="555"/>
      <c r="O892" s="555"/>
      <c r="P892" s="555"/>
      <c r="Q892" s="555"/>
      <c r="R892" s="555"/>
      <c r="S892" s="555"/>
      <c r="T892" s="555"/>
      <c r="U892" s="555"/>
      <c r="V892" s="555"/>
      <c r="W892" s="555"/>
      <c r="X892" s="555"/>
      <c r="Y892" s="555"/>
      <c r="Z892" s="555"/>
    </row>
    <row r="893">
      <c r="A893" s="555"/>
      <c r="B893" s="555"/>
      <c r="C893" s="555"/>
      <c r="D893" s="555"/>
      <c r="E893" s="555"/>
      <c r="F893" s="555"/>
      <c r="G893" s="555"/>
      <c r="H893" s="555"/>
      <c r="I893" s="555"/>
      <c r="J893" s="555"/>
      <c r="K893" s="555"/>
      <c r="L893" s="555"/>
      <c r="M893" s="555"/>
      <c r="N893" s="555"/>
      <c r="O893" s="555"/>
      <c r="P893" s="555"/>
      <c r="Q893" s="555"/>
      <c r="R893" s="555"/>
      <c r="S893" s="555"/>
      <c r="T893" s="555"/>
      <c r="U893" s="555"/>
      <c r="V893" s="555"/>
      <c r="W893" s="555"/>
      <c r="X893" s="555"/>
      <c r="Y893" s="555"/>
      <c r="Z893" s="555"/>
    </row>
    <row r="894">
      <c r="A894" s="555"/>
      <c r="B894" s="555"/>
      <c r="C894" s="555"/>
      <c r="D894" s="555"/>
      <c r="E894" s="555"/>
      <c r="F894" s="555"/>
      <c r="G894" s="555"/>
      <c r="H894" s="555"/>
      <c r="I894" s="555"/>
      <c r="J894" s="555"/>
      <c r="K894" s="555"/>
      <c r="L894" s="555"/>
      <c r="M894" s="555"/>
      <c r="N894" s="555"/>
      <c r="O894" s="555"/>
      <c r="P894" s="555"/>
      <c r="Q894" s="555"/>
      <c r="R894" s="555"/>
      <c r="S894" s="555"/>
      <c r="T894" s="555"/>
      <c r="U894" s="555"/>
      <c r="V894" s="555"/>
      <c r="W894" s="555"/>
      <c r="X894" s="555"/>
      <c r="Y894" s="555"/>
      <c r="Z894" s="555"/>
    </row>
    <row r="895">
      <c r="A895" s="555"/>
      <c r="B895" s="555"/>
      <c r="C895" s="555"/>
      <c r="D895" s="555"/>
      <c r="E895" s="555"/>
      <c r="F895" s="555"/>
      <c r="G895" s="555"/>
      <c r="H895" s="555"/>
      <c r="I895" s="555"/>
      <c r="J895" s="555"/>
      <c r="K895" s="555"/>
      <c r="L895" s="555"/>
      <c r="M895" s="555"/>
      <c r="N895" s="555"/>
      <c r="O895" s="555"/>
      <c r="P895" s="555"/>
      <c r="Q895" s="555"/>
      <c r="R895" s="555"/>
      <c r="S895" s="555"/>
      <c r="T895" s="555"/>
      <c r="U895" s="555"/>
      <c r="V895" s="555"/>
      <c r="W895" s="555"/>
      <c r="X895" s="555"/>
      <c r="Y895" s="555"/>
      <c r="Z895" s="555"/>
    </row>
    <row r="896">
      <c r="A896" s="555"/>
      <c r="B896" s="555"/>
      <c r="C896" s="555"/>
      <c r="D896" s="555"/>
      <c r="E896" s="555"/>
      <c r="F896" s="555"/>
      <c r="G896" s="555"/>
      <c r="H896" s="555"/>
      <c r="I896" s="555"/>
      <c r="J896" s="555"/>
      <c r="K896" s="555"/>
      <c r="L896" s="555"/>
      <c r="M896" s="555"/>
      <c r="N896" s="555"/>
      <c r="O896" s="555"/>
      <c r="P896" s="555"/>
      <c r="Q896" s="555"/>
      <c r="R896" s="555"/>
      <c r="S896" s="555"/>
      <c r="T896" s="555"/>
      <c r="U896" s="555"/>
      <c r="V896" s="555"/>
      <c r="W896" s="555"/>
      <c r="X896" s="555"/>
      <c r="Y896" s="555"/>
      <c r="Z896" s="555"/>
    </row>
    <row r="897">
      <c r="A897" s="555"/>
      <c r="B897" s="555"/>
      <c r="C897" s="555"/>
      <c r="D897" s="555"/>
      <c r="E897" s="555"/>
      <c r="F897" s="555"/>
      <c r="G897" s="555"/>
      <c r="H897" s="555"/>
      <c r="I897" s="555"/>
      <c r="J897" s="555"/>
      <c r="K897" s="555"/>
      <c r="L897" s="555"/>
      <c r="M897" s="555"/>
      <c r="N897" s="555"/>
      <c r="O897" s="555"/>
      <c r="P897" s="555"/>
      <c r="Q897" s="555"/>
      <c r="R897" s="555"/>
      <c r="S897" s="555"/>
      <c r="T897" s="555"/>
      <c r="U897" s="555"/>
      <c r="V897" s="555"/>
      <c r="W897" s="555"/>
      <c r="X897" s="555"/>
      <c r="Y897" s="555"/>
      <c r="Z897" s="555"/>
    </row>
    <row r="898">
      <c r="A898" s="555"/>
      <c r="B898" s="555"/>
      <c r="C898" s="555"/>
      <c r="D898" s="555"/>
      <c r="E898" s="555"/>
      <c r="F898" s="555"/>
      <c r="G898" s="555"/>
      <c r="H898" s="555"/>
      <c r="I898" s="555"/>
      <c r="J898" s="555"/>
      <c r="K898" s="555"/>
      <c r="L898" s="555"/>
      <c r="M898" s="555"/>
      <c r="N898" s="555"/>
      <c r="O898" s="555"/>
      <c r="P898" s="555"/>
      <c r="Q898" s="555"/>
      <c r="R898" s="555"/>
      <c r="S898" s="555"/>
      <c r="T898" s="555"/>
      <c r="U898" s="555"/>
      <c r="V898" s="555"/>
      <c r="W898" s="555"/>
      <c r="X898" s="555"/>
      <c r="Y898" s="555"/>
      <c r="Z898" s="555"/>
    </row>
    <row r="899">
      <c r="A899" s="555"/>
      <c r="B899" s="555"/>
      <c r="C899" s="555"/>
      <c r="D899" s="555"/>
      <c r="E899" s="555"/>
      <c r="F899" s="555"/>
      <c r="G899" s="555"/>
      <c r="H899" s="555"/>
      <c r="I899" s="555"/>
      <c r="J899" s="555"/>
      <c r="K899" s="555"/>
      <c r="L899" s="555"/>
      <c r="M899" s="555"/>
      <c r="N899" s="555"/>
      <c r="O899" s="555"/>
      <c r="P899" s="555"/>
      <c r="Q899" s="555"/>
      <c r="R899" s="555"/>
      <c r="S899" s="555"/>
      <c r="T899" s="555"/>
      <c r="U899" s="555"/>
      <c r="V899" s="555"/>
      <c r="W899" s="555"/>
      <c r="X899" s="555"/>
      <c r="Y899" s="555"/>
      <c r="Z899" s="555"/>
    </row>
    <row r="900">
      <c r="A900" s="555"/>
      <c r="B900" s="555"/>
      <c r="C900" s="555"/>
      <c r="D900" s="555"/>
      <c r="E900" s="555"/>
      <c r="F900" s="555"/>
      <c r="G900" s="555"/>
      <c r="H900" s="555"/>
      <c r="I900" s="555"/>
      <c r="J900" s="555"/>
      <c r="K900" s="555"/>
      <c r="L900" s="555"/>
      <c r="M900" s="555"/>
      <c r="N900" s="555"/>
      <c r="O900" s="555"/>
      <c r="P900" s="555"/>
      <c r="Q900" s="555"/>
      <c r="R900" s="555"/>
      <c r="S900" s="555"/>
      <c r="T900" s="555"/>
      <c r="U900" s="555"/>
      <c r="V900" s="555"/>
      <c r="W900" s="555"/>
      <c r="X900" s="555"/>
      <c r="Y900" s="555"/>
      <c r="Z900" s="555"/>
    </row>
    <row r="901">
      <c r="A901" s="555"/>
      <c r="B901" s="555"/>
      <c r="C901" s="555"/>
      <c r="D901" s="555"/>
      <c r="E901" s="555"/>
      <c r="F901" s="555"/>
      <c r="G901" s="555"/>
      <c r="H901" s="555"/>
      <c r="I901" s="555"/>
      <c r="J901" s="555"/>
      <c r="K901" s="555"/>
      <c r="L901" s="555"/>
      <c r="M901" s="555"/>
      <c r="N901" s="555"/>
      <c r="O901" s="555"/>
      <c r="P901" s="555"/>
      <c r="Q901" s="555"/>
      <c r="R901" s="555"/>
      <c r="S901" s="555"/>
      <c r="T901" s="555"/>
      <c r="U901" s="555"/>
      <c r="V901" s="555"/>
      <c r="W901" s="555"/>
      <c r="X901" s="555"/>
      <c r="Y901" s="555"/>
      <c r="Z901" s="555"/>
    </row>
    <row r="902">
      <c r="A902" s="555"/>
      <c r="B902" s="555"/>
      <c r="C902" s="555"/>
      <c r="D902" s="555"/>
      <c r="E902" s="555"/>
      <c r="F902" s="555"/>
      <c r="G902" s="555"/>
      <c r="H902" s="555"/>
      <c r="I902" s="555"/>
      <c r="J902" s="555"/>
      <c r="K902" s="555"/>
      <c r="L902" s="555"/>
      <c r="M902" s="555"/>
      <c r="N902" s="555"/>
      <c r="O902" s="555"/>
      <c r="P902" s="555"/>
      <c r="Q902" s="555"/>
      <c r="R902" s="555"/>
      <c r="S902" s="555"/>
      <c r="T902" s="555"/>
      <c r="U902" s="555"/>
      <c r="V902" s="555"/>
      <c r="W902" s="555"/>
      <c r="X902" s="555"/>
      <c r="Y902" s="555"/>
      <c r="Z902" s="555"/>
    </row>
    <row r="903">
      <c r="A903" s="555"/>
      <c r="B903" s="555"/>
      <c r="C903" s="555"/>
      <c r="D903" s="555"/>
      <c r="E903" s="555"/>
      <c r="F903" s="555"/>
      <c r="G903" s="555"/>
      <c r="H903" s="555"/>
      <c r="I903" s="555"/>
      <c r="J903" s="555"/>
      <c r="K903" s="555"/>
      <c r="L903" s="555"/>
      <c r="M903" s="555"/>
      <c r="N903" s="555"/>
      <c r="O903" s="555"/>
      <c r="P903" s="555"/>
      <c r="Q903" s="555"/>
      <c r="R903" s="555"/>
      <c r="S903" s="555"/>
      <c r="T903" s="555"/>
      <c r="U903" s="555"/>
      <c r="V903" s="555"/>
      <c r="W903" s="555"/>
      <c r="X903" s="555"/>
      <c r="Y903" s="555"/>
      <c r="Z903" s="555"/>
    </row>
    <row r="904">
      <c r="A904" s="555"/>
      <c r="B904" s="555"/>
      <c r="C904" s="555"/>
      <c r="D904" s="555"/>
      <c r="E904" s="555"/>
      <c r="F904" s="555"/>
      <c r="G904" s="555"/>
      <c r="H904" s="555"/>
      <c r="I904" s="555"/>
      <c r="J904" s="555"/>
      <c r="K904" s="555"/>
      <c r="L904" s="555"/>
      <c r="M904" s="555"/>
      <c r="N904" s="555"/>
      <c r="O904" s="555"/>
      <c r="P904" s="555"/>
      <c r="Q904" s="555"/>
      <c r="R904" s="555"/>
      <c r="S904" s="555"/>
      <c r="T904" s="555"/>
      <c r="U904" s="555"/>
      <c r="V904" s="555"/>
      <c r="W904" s="555"/>
      <c r="X904" s="555"/>
      <c r="Y904" s="555"/>
      <c r="Z904" s="555"/>
    </row>
    <row r="905">
      <c r="A905" s="555"/>
      <c r="B905" s="555"/>
      <c r="C905" s="555"/>
      <c r="D905" s="555"/>
      <c r="E905" s="555"/>
      <c r="F905" s="555"/>
      <c r="G905" s="555"/>
      <c r="H905" s="555"/>
      <c r="I905" s="555"/>
      <c r="J905" s="555"/>
      <c r="K905" s="555"/>
      <c r="L905" s="555"/>
      <c r="M905" s="555"/>
      <c r="N905" s="555"/>
      <c r="O905" s="555"/>
      <c r="P905" s="555"/>
      <c r="Q905" s="555"/>
      <c r="R905" s="555"/>
      <c r="S905" s="555"/>
      <c r="T905" s="555"/>
      <c r="U905" s="555"/>
      <c r="V905" s="555"/>
      <c r="W905" s="555"/>
      <c r="X905" s="555"/>
      <c r="Y905" s="555"/>
      <c r="Z905" s="555"/>
    </row>
    <row r="906">
      <c r="A906" s="555"/>
      <c r="B906" s="555"/>
      <c r="C906" s="555"/>
      <c r="D906" s="555"/>
      <c r="E906" s="555"/>
      <c r="F906" s="555"/>
      <c r="G906" s="555"/>
      <c r="H906" s="555"/>
      <c r="I906" s="555"/>
      <c r="J906" s="555"/>
      <c r="K906" s="555"/>
      <c r="L906" s="555"/>
      <c r="M906" s="555"/>
      <c r="N906" s="555"/>
      <c r="O906" s="555"/>
      <c r="P906" s="555"/>
      <c r="Q906" s="555"/>
      <c r="R906" s="555"/>
      <c r="S906" s="555"/>
      <c r="T906" s="555"/>
      <c r="U906" s="555"/>
      <c r="V906" s="555"/>
      <c r="W906" s="555"/>
      <c r="X906" s="555"/>
      <c r="Y906" s="555"/>
      <c r="Z906" s="555"/>
    </row>
    <row r="907">
      <c r="A907" s="555"/>
      <c r="B907" s="555"/>
      <c r="C907" s="555"/>
      <c r="D907" s="555"/>
      <c r="E907" s="555"/>
      <c r="F907" s="555"/>
      <c r="G907" s="555"/>
      <c r="H907" s="555"/>
      <c r="I907" s="555"/>
      <c r="J907" s="555"/>
      <c r="K907" s="555"/>
      <c r="L907" s="555"/>
      <c r="M907" s="555"/>
      <c r="N907" s="555"/>
      <c r="O907" s="555"/>
      <c r="P907" s="555"/>
      <c r="Q907" s="555"/>
      <c r="R907" s="555"/>
      <c r="S907" s="555"/>
      <c r="T907" s="555"/>
      <c r="U907" s="555"/>
      <c r="V907" s="555"/>
      <c r="W907" s="555"/>
      <c r="X907" s="555"/>
      <c r="Y907" s="555"/>
      <c r="Z907" s="555"/>
    </row>
    <row r="908">
      <c r="A908" s="555"/>
      <c r="B908" s="555"/>
      <c r="C908" s="555"/>
      <c r="D908" s="555"/>
      <c r="E908" s="555"/>
      <c r="F908" s="555"/>
      <c r="G908" s="555"/>
      <c r="H908" s="555"/>
      <c r="I908" s="555"/>
      <c r="J908" s="555"/>
      <c r="K908" s="555"/>
      <c r="L908" s="555"/>
      <c r="M908" s="555"/>
      <c r="N908" s="555"/>
      <c r="O908" s="555"/>
      <c r="P908" s="555"/>
      <c r="Q908" s="555"/>
      <c r="R908" s="555"/>
      <c r="S908" s="555"/>
      <c r="T908" s="555"/>
      <c r="U908" s="555"/>
      <c r="V908" s="555"/>
      <c r="W908" s="555"/>
      <c r="X908" s="555"/>
      <c r="Y908" s="555"/>
      <c r="Z908" s="555"/>
    </row>
    <row r="909">
      <c r="A909" s="555"/>
      <c r="B909" s="555"/>
      <c r="C909" s="555"/>
      <c r="D909" s="555"/>
      <c r="E909" s="555"/>
      <c r="F909" s="555"/>
      <c r="G909" s="555"/>
      <c r="H909" s="555"/>
      <c r="I909" s="555"/>
      <c r="J909" s="555"/>
      <c r="K909" s="555"/>
      <c r="L909" s="555"/>
      <c r="M909" s="555"/>
      <c r="N909" s="555"/>
      <c r="O909" s="555"/>
      <c r="P909" s="555"/>
      <c r="Q909" s="555"/>
      <c r="R909" s="555"/>
      <c r="S909" s="555"/>
      <c r="T909" s="555"/>
      <c r="U909" s="555"/>
      <c r="V909" s="555"/>
      <c r="W909" s="555"/>
      <c r="X909" s="555"/>
      <c r="Y909" s="555"/>
      <c r="Z909" s="555"/>
    </row>
    <row r="910">
      <c r="A910" s="555"/>
      <c r="B910" s="555"/>
      <c r="C910" s="555"/>
      <c r="D910" s="555"/>
      <c r="E910" s="555"/>
      <c r="F910" s="555"/>
      <c r="G910" s="555"/>
      <c r="H910" s="555"/>
      <c r="I910" s="555"/>
      <c r="J910" s="555"/>
      <c r="K910" s="555"/>
      <c r="L910" s="555"/>
      <c r="M910" s="555"/>
      <c r="N910" s="555"/>
      <c r="O910" s="555"/>
      <c r="P910" s="555"/>
      <c r="Q910" s="555"/>
      <c r="R910" s="555"/>
      <c r="S910" s="555"/>
      <c r="T910" s="555"/>
      <c r="U910" s="555"/>
      <c r="V910" s="555"/>
      <c r="W910" s="555"/>
      <c r="X910" s="555"/>
      <c r="Y910" s="555"/>
      <c r="Z910" s="555"/>
    </row>
    <row r="911">
      <c r="A911" s="555"/>
      <c r="B911" s="555"/>
      <c r="C911" s="555"/>
      <c r="D911" s="555"/>
      <c r="E911" s="555"/>
      <c r="F911" s="555"/>
      <c r="G911" s="555"/>
      <c r="H911" s="555"/>
      <c r="I911" s="555"/>
      <c r="J911" s="555"/>
      <c r="K911" s="555"/>
      <c r="L911" s="555"/>
      <c r="M911" s="555"/>
      <c r="N911" s="555"/>
      <c r="O911" s="555"/>
      <c r="P911" s="555"/>
      <c r="Q911" s="555"/>
      <c r="R911" s="555"/>
      <c r="S911" s="555"/>
      <c r="T911" s="555"/>
      <c r="U911" s="555"/>
      <c r="V911" s="555"/>
      <c r="W911" s="555"/>
      <c r="X911" s="555"/>
      <c r="Y911" s="555"/>
      <c r="Z911" s="555"/>
    </row>
    <row r="912">
      <c r="A912" s="555"/>
      <c r="B912" s="555"/>
      <c r="C912" s="555"/>
      <c r="D912" s="555"/>
      <c r="E912" s="555"/>
      <c r="F912" s="555"/>
      <c r="G912" s="555"/>
      <c r="H912" s="555"/>
      <c r="I912" s="555"/>
      <c r="J912" s="555"/>
      <c r="K912" s="555"/>
      <c r="L912" s="555"/>
      <c r="M912" s="555"/>
      <c r="N912" s="555"/>
      <c r="O912" s="555"/>
      <c r="P912" s="555"/>
      <c r="Q912" s="555"/>
      <c r="R912" s="555"/>
      <c r="S912" s="555"/>
      <c r="T912" s="555"/>
      <c r="U912" s="555"/>
      <c r="V912" s="555"/>
      <c r="W912" s="555"/>
      <c r="X912" s="555"/>
      <c r="Y912" s="555"/>
      <c r="Z912" s="555"/>
    </row>
    <row r="913">
      <c r="A913" s="555"/>
      <c r="B913" s="555"/>
      <c r="C913" s="555"/>
      <c r="D913" s="555"/>
      <c r="E913" s="555"/>
      <c r="F913" s="555"/>
      <c r="G913" s="555"/>
      <c r="H913" s="555"/>
      <c r="I913" s="555"/>
      <c r="J913" s="555"/>
      <c r="K913" s="555"/>
      <c r="L913" s="555"/>
      <c r="M913" s="555"/>
      <c r="N913" s="555"/>
      <c r="O913" s="555"/>
      <c r="P913" s="555"/>
      <c r="Q913" s="555"/>
      <c r="R913" s="555"/>
      <c r="S913" s="555"/>
      <c r="T913" s="555"/>
      <c r="U913" s="555"/>
      <c r="V913" s="555"/>
      <c r="W913" s="555"/>
      <c r="X913" s="555"/>
      <c r="Y913" s="555"/>
      <c r="Z913" s="555"/>
    </row>
    <row r="914">
      <c r="A914" s="555"/>
      <c r="B914" s="555"/>
      <c r="C914" s="555"/>
      <c r="D914" s="555"/>
      <c r="E914" s="555"/>
      <c r="F914" s="555"/>
      <c r="G914" s="555"/>
      <c r="H914" s="555"/>
      <c r="I914" s="555"/>
      <c r="J914" s="555"/>
      <c r="K914" s="555"/>
      <c r="L914" s="555"/>
      <c r="M914" s="555"/>
      <c r="N914" s="555"/>
      <c r="O914" s="555"/>
      <c r="P914" s="555"/>
      <c r="Q914" s="555"/>
      <c r="R914" s="555"/>
      <c r="S914" s="555"/>
      <c r="T914" s="555"/>
      <c r="U914" s="555"/>
      <c r="V914" s="555"/>
      <c r="W914" s="555"/>
      <c r="X914" s="555"/>
      <c r="Y914" s="555"/>
      <c r="Z914" s="555"/>
    </row>
    <row r="915">
      <c r="A915" s="555"/>
      <c r="B915" s="555"/>
      <c r="C915" s="555"/>
      <c r="D915" s="555"/>
      <c r="E915" s="555"/>
      <c r="F915" s="555"/>
      <c r="G915" s="555"/>
      <c r="H915" s="555"/>
      <c r="I915" s="555"/>
      <c r="J915" s="555"/>
      <c r="K915" s="555"/>
      <c r="L915" s="555"/>
      <c r="M915" s="555"/>
      <c r="N915" s="555"/>
      <c r="O915" s="555"/>
      <c r="P915" s="555"/>
      <c r="Q915" s="555"/>
      <c r="R915" s="555"/>
      <c r="S915" s="555"/>
      <c r="T915" s="555"/>
      <c r="U915" s="555"/>
      <c r="V915" s="555"/>
      <c r="W915" s="555"/>
      <c r="X915" s="555"/>
      <c r="Y915" s="555"/>
      <c r="Z915" s="555"/>
    </row>
    <row r="916">
      <c r="A916" s="555"/>
      <c r="B916" s="555"/>
      <c r="C916" s="555"/>
      <c r="D916" s="555"/>
      <c r="E916" s="555"/>
      <c r="F916" s="555"/>
      <c r="G916" s="555"/>
      <c r="H916" s="555"/>
      <c r="I916" s="555"/>
      <c r="J916" s="555"/>
      <c r="K916" s="555"/>
      <c r="L916" s="555"/>
      <c r="M916" s="555"/>
      <c r="N916" s="555"/>
      <c r="O916" s="555"/>
      <c r="P916" s="555"/>
      <c r="Q916" s="555"/>
      <c r="R916" s="555"/>
      <c r="S916" s="555"/>
      <c r="T916" s="555"/>
      <c r="U916" s="555"/>
      <c r="V916" s="555"/>
      <c r="W916" s="555"/>
      <c r="X916" s="555"/>
      <c r="Y916" s="555"/>
      <c r="Z916" s="555"/>
    </row>
    <row r="917">
      <c r="A917" s="555"/>
      <c r="B917" s="555"/>
      <c r="C917" s="555"/>
      <c r="D917" s="555"/>
      <c r="E917" s="555"/>
      <c r="F917" s="555"/>
      <c r="G917" s="555"/>
      <c r="H917" s="555"/>
      <c r="I917" s="555"/>
      <c r="J917" s="555"/>
      <c r="K917" s="555"/>
      <c r="L917" s="555"/>
      <c r="M917" s="555"/>
      <c r="N917" s="555"/>
      <c r="O917" s="555"/>
      <c r="P917" s="555"/>
      <c r="Q917" s="555"/>
      <c r="R917" s="555"/>
      <c r="S917" s="555"/>
      <c r="T917" s="555"/>
      <c r="U917" s="555"/>
      <c r="V917" s="555"/>
      <c r="W917" s="555"/>
      <c r="X917" s="555"/>
      <c r="Y917" s="555"/>
      <c r="Z917" s="555"/>
    </row>
    <row r="918">
      <c r="A918" s="555"/>
      <c r="B918" s="555"/>
      <c r="C918" s="555"/>
      <c r="D918" s="555"/>
      <c r="E918" s="555"/>
      <c r="F918" s="555"/>
      <c r="G918" s="555"/>
      <c r="H918" s="555"/>
      <c r="I918" s="555"/>
      <c r="J918" s="555"/>
      <c r="K918" s="555"/>
      <c r="L918" s="555"/>
      <c r="M918" s="555"/>
      <c r="N918" s="555"/>
      <c r="O918" s="555"/>
      <c r="P918" s="555"/>
      <c r="Q918" s="555"/>
      <c r="R918" s="555"/>
      <c r="S918" s="555"/>
      <c r="T918" s="555"/>
      <c r="U918" s="555"/>
      <c r="V918" s="555"/>
      <c r="W918" s="555"/>
      <c r="X918" s="555"/>
      <c r="Y918" s="555"/>
      <c r="Z918" s="555"/>
    </row>
    <row r="919">
      <c r="A919" s="555"/>
      <c r="B919" s="555"/>
      <c r="C919" s="555"/>
      <c r="D919" s="555"/>
      <c r="E919" s="555"/>
      <c r="F919" s="555"/>
      <c r="G919" s="555"/>
      <c r="H919" s="555"/>
      <c r="I919" s="555"/>
      <c r="J919" s="555"/>
      <c r="K919" s="555"/>
      <c r="L919" s="555"/>
      <c r="M919" s="555"/>
      <c r="N919" s="555"/>
      <c r="O919" s="555"/>
      <c r="P919" s="555"/>
      <c r="Q919" s="555"/>
      <c r="R919" s="555"/>
      <c r="S919" s="555"/>
      <c r="T919" s="555"/>
      <c r="U919" s="555"/>
      <c r="V919" s="555"/>
      <c r="W919" s="555"/>
      <c r="X919" s="555"/>
      <c r="Y919" s="555"/>
      <c r="Z919" s="555"/>
    </row>
    <row r="920">
      <c r="A920" s="555"/>
      <c r="B920" s="555"/>
      <c r="C920" s="555"/>
      <c r="D920" s="555"/>
      <c r="E920" s="555"/>
      <c r="F920" s="555"/>
      <c r="G920" s="555"/>
      <c r="H920" s="555"/>
      <c r="I920" s="555"/>
      <c r="J920" s="555"/>
      <c r="K920" s="555"/>
      <c r="L920" s="555"/>
      <c r="M920" s="555"/>
      <c r="N920" s="555"/>
      <c r="O920" s="555"/>
      <c r="P920" s="555"/>
      <c r="Q920" s="555"/>
      <c r="R920" s="555"/>
      <c r="S920" s="555"/>
      <c r="T920" s="555"/>
      <c r="U920" s="555"/>
      <c r="V920" s="555"/>
      <c r="W920" s="555"/>
      <c r="X920" s="555"/>
      <c r="Y920" s="555"/>
      <c r="Z920" s="555"/>
    </row>
    <row r="921">
      <c r="A921" s="555"/>
      <c r="B921" s="555"/>
      <c r="C921" s="555"/>
      <c r="D921" s="555"/>
      <c r="E921" s="555"/>
      <c r="F921" s="555"/>
      <c r="G921" s="555"/>
      <c r="H921" s="555"/>
      <c r="I921" s="555"/>
      <c r="J921" s="555"/>
      <c r="K921" s="555"/>
      <c r="L921" s="555"/>
      <c r="M921" s="555"/>
      <c r="N921" s="555"/>
      <c r="O921" s="555"/>
      <c r="P921" s="555"/>
      <c r="Q921" s="555"/>
      <c r="R921" s="555"/>
      <c r="S921" s="555"/>
      <c r="T921" s="555"/>
      <c r="U921" s="555"/>
      <c r="V921" s="555"/>
      <c r="W921" s="555"/>
      <c r="X921" s="555"/>
      <c r="Y921" s="555"/>
      <c r="Z921" s="555"/>
    </row>
    <row r="922">
      <c r="A922" s="555"/>
      <c r="B922" s="555"/>
      <c r="C922" s="555"/>
      <c r="D922" s="555"/>
      <c r="E922" s="555"/>
      <c r="F922" s="555"/>
      <c r="G922" s="555"/>
      <c r="H922" s="555"/>
      <c r="I922" s="555"/>
      <c r="J922" s="555"/>
      <c r="K922" s="555"/>
      <c r="L922" s="555"/>
      <c r="M922" s="555"/>
      <c r="N922" s="555"/>
      <c r="O922" s="555"/>
      <c r="P922" s="555"/>
      <c r="Q922" s="555"/>
      <c r="R922" s="555"/>
      <c r="S922" s="555"/>
      <c r="T922" s="555"/>
      <c r="U922" s="555"/>
      <c r="V922" s="555"/>
      <c r="W922" s="555"/>
      <c r="X922" s="555"/>
      <c r="Y922" s="555"/>
      <c r="Z922" s="555"/>
    </row>
    <row r="923">
      <c r="A923" s="555"/>
      <c r="B923" s="555"/>
      <c r="C923" s="555"/>
      <c r="D923" s="555"/>
      <c r="E923" s="555"/>
      <c r="F923" s="555"/>
      <c r="G923" s="555"/>
      <c r="H923" s="555"/>
      <c r="I923" s="555"/>
      <c r="J923" s="555"/>
      <c r="K923" s="555"/>
      <c r="L923" s="555"/>
      <c r="M923" s="555"/>
      <c r="N923" s="555"/>
      <c r="O923" s="555"/>
      <c r="P923" s="555"/>
      <c r="Q923" s="555"/>
      <c r="R923" s="555"/>
      <c r="S923" s="555"/>
      <c r="T923" s="555"/>
      <c r="U923" s="555"/>
      <c r="V923" s="555"/>
      <c r="W923" s="555"/>
      <c r="X923" s="555"/>
      <c r="Y923" s="555"/>
      <c r="Z923" s="555"/>
    </row>
    <row r="924">
      <c r="A924" s="555"/>
      <c r="B924" s="555"/>
      <c r="C924" s="555"/>
      <c r="D924" s="555"/>
      <c r="E924" s="555"/>
      <c r="F924" s="555"/>
      <c r="G924" s="555"/>
      <c r="H924" s="555"/>
      <c r="I924" s="555"/>
      <c r="J924" s="555"/>
      <c r="K924" s="555"/>
      <c r="L924" s="555"/>
      <c r="M924" s="555"/>
      <c r="N924" s="555"/>
      <c r="O924" s="555"/>
      <c r="P924" s="555"/>
      <c r="Q924" s="555"/>
      <c r="R924" s="555"/>
      <c r="S924" s="555"/>
      <c r="T924" s="555"/>
      <c r="U924" s="555"/>
      <c r="V924" s="555"/>
      <c r="W924" s="555"/>
      <c r="X924" s="555"/>
      <c r="Y924" s="555"/>
      <c r="Z924" s="555"/>
    </row>
    <row r="925">
      <c r="A925" s="555"/>
      <c r="B925" s="555"/>
      <c r="C925" s="555"/>
      <c r="D925" s="555"/>
      <c r="E925" s="555"/>
      <c r="F925" s="555"/>
      <c r="G925" s="555"/>
      <c r="H925" s="555"/>
      <c r="I925" s="555"/>
      <c r="J925" s="555"/>
      <c r="K925" s="555"/>
      <c r="L925" s="555"/>
      <c r="M925" s="555"/>
      <c r="N925" s="555"/>
      <c r="O925" s="555"/>
      <c r="P925" s="555"/>
      <c r="Q925" s="555"/>
      <c r="R925" s="555"/>
      <c r="S925" s="555"/>
      <c r="T925" s="555"/>
      <c r="U925" s="555"/>
      <c r="V925" s="555"/>
      <c r="W925" s="555"/>
      <c r="X925" s="555"/>
      <c r="Y925" s="555"/>
      <c r="Z925" s="555"/>
    </row>
    <row r="926">
      <c r="A926" s="555"/>
      <c r="B926" s="555"/>
      <c r="C926" s="555"/>
      <c r="D926" s="555"/>
      <c r="E926" s="555"/>
      <c r="F926" s="555"/>
      <c r="G926" s="555"/>
      <c r="H926" s="555"/>
      <c r="I926" s="555"/>
      <c r="J926" s="555"/>
      <c r="K926" s="555"/>
      <c r="L926" s="555"/>
      <c r="M926" s="555"/>
      <c r="N926" s="555"/>
      <c r="O926" s="555"/>
      <c r="P926" s="555"/>
      <c r="Q926" s="555"/>
      <c r="R926" s="555"/>
      <c r="S926" s="555"/>
      <c r="T926" s="555"/>
      <c r="U926" s="555"/>
      <c r="V926" s="555"/>
      <c r="W926" s="555"/>
      <c r="X926" s="555"/>
      <c r="Y926" s="555"/>
      <c r="Z926" s="555"/>
    </row>
    <row r="927">
      <c r="A927" s="555"/>
      <c r="B927" s="555"/>
      <c r="C927" s="555"/>
      <c r="D927" s="555"/>
      <c r="E927" s="555"/>
      <c r="F927" s="555"/>
      <c r="G927" s="555"/>
      <c r="H927" s="555"/>
      <c r="I927" s="555"/>
      <c r="J927" s="555"/>
      <c r="K927" s="555"/>
      <c r="L927" s="555"/>
      <c r="M927" s="555"/>
      <c r="N927" s="555"/>
      <c r="O927" s="555"/>
      <c r="P927" s="555"/>
      <c r="Q927" s="555"/>
      <c r="R927" s="555"/>
      <c r="S927" s="555"/>
      <c r="T927" s="555"/>
      <c r="U927" s="555"/>
      <c r="V927" s="555"/>
      <c r="W927" s="555"/>
      <c r="X927" s="555"/>
      <c r="Y927" s="555"/>
      <c r="Z927" s="555"/>
    </row>
    <row r="928">
      <c r="A928" s="555"/>
      <c r="B928" s="555"/>
      <c r="C928" s="555"/>
      <c r="D928" s="555"/>
      <c r="E928" s="555"/>
      <c r="F928" s="555"/>
      <c r="G928" s="555"/>
      <c r="H928" s="555"/>
      <c r="I928" s="555"/>
      <c r="J928" s="555"/>
      <c r="K928" s="555"/>
      <c r="L928" s="555"/>
      <c r="M928" s="555"/>
      <c r="N928" s="555"/>
      <c r="O928" s="555"/>
      <c r="P928" s="555"/>
      <c r="Q928" s="555"/>
      <c r="R928" s="555"/>
      <c r="S928" s="555"/>
      <c r="T928" s="555"/>
      <c r="U928" s="555"/>
      <c r="V928" s="555"/>
      <c r="W928" s="555"/>
      <c r="X928" s="555"/>
      <c r="Y928" s="555"/>
      <c r="Z928" s="555"/>
    </row>
    <row r="929">
      <c r="A929" s="555"/>
      <c r="B929" s="555"/>
      <c r="C929" s="555"/>
      <c r="D929" s="555"/>
      <c r="E929" s="555"/>
      <c r="F929" s="555"/>
      <c r="G929" s="555"/>
      <c r="H929" s="555"/>
      <c r="I929" s="555"/>
      <c r="J929" s="555"/>
      <c r="K929" s="555"/>
      <c r="L929" s="555"/>
      <c r="M929" s="555"/>
      <c r="N929" s="555"/>
      <c r="O929" s="555"/>
      <c r="P929" s="555"/>
      <c r="Q929" s="555"/>
      <c r="R929" s="555"/>
      <c r="S929" s="555"/>
      <c r="T929" s="555"/>
      <c r="U929" s="555"/>
      <c r="V929" s="555"/>
      <c r="W929" s="555"/>
      <c r="X929" s="555"/>
      <c r="Y929" s="555"/>
      <c r="Z929" s="555"/>
    </row>
    <row r="930">
      <c r="A930" s="555"/>
      <c r="B930" s="555"/>
      <c r="C930" s="555"/>
      <c r="D930" s="555"/>
      <c r="E930" s="555"/>
      <c r="F930" s="555"/>
      <c r="G930" s="555"/>
      <c r="H930" s="555"/>
      <c r="I930" s="555"/>
      <c r="J930" s="555"/>
      <c r="K930" s="555"/>
      <c r="L930" s="555"/>
      <c r="M930" s="555"/>
      <c r="N930" s="555"/>
      <c r="O930" s="555"/>
      <c r="P930" s="555"/>
      <c r="Q930" s="555"/>
      <c r="R930" s="555"/>
      <c r="S930" s="555"/>
      <c r="T930" s="555"/>
      <c r="U930" s="555"/>
      <c r="V930" s="555"/>
      <c r="W930" s="555"/>
      <c r="X930" s="555"/>
      <c r="Y930" s="555"/>
      <c r="Z930" s="555"/>
    </row>
    <row r="931">
      <c r="A931" s="555"/>
      <c r="B931" s="555"/>
      <c r="C931" s="555"/>
      <c r="D931" s="555"/>
      <c r="E931" s="555"/>
      <c r="F931" s="555"/>
      <c r="G931" s="555"/>
      <c r="H931" s="555"/>
      <c r="I931" s="555"/>
      <c r="J931" s="555"/>
      <c r="K931" s="555"/>
      <c r="L931" s="555"/>
      <c r="M931" s="555"/>
      <c r="N931" s="555"/>
      <c r="O931" s="555"/>
      <c r="P931" s="555"/>
      <c r="Q931" s="555"/>
      <c r="R931" s="555"/>
      <c r="S931" s="555"/>
      <c r="T931" s="555"/>
      <c r="U931" s="555"/>
      <c r="V931" s="555"/>
      <c r="W931" s="555"/>
      <c r="X931" s="555"/>
      <c r="Y931" s="555"/>
      <c r="Z931" s="555"/>
    </row>
    <row r="932">
      <c r="A932" s="555"/>
      <c r="B932" s="555"/>
      <c r="C932" s="555"/>
      <c r="D932" s="555"/>
      <c r="E932" s="555"/>
      <c r="F932" s="555"/>
      <c r="G932" s="555"/>
      <c r="H932" s="555"/>
      <c r="I932" s="555"/>
      <c r="J932" s="555"/>
      <c r="K932" s="555"/>
      <c r="L932" s="555"/>
      <c r="M932" s="555"/>
      <c r="N932" s="555"/>
      <c r="O932" s="555"/>
      <c r="P932" s="555"/>
      <c r="Q932" s="555"/>
      <c r="R932" s="555"/>
      <c r="S932" s="555"/>
      <c r="T932" s="555"/>
      <c r="U932" s="555"/>
      <c r="V932" s="555"/>
      <c r="W932" s="555"/>
      <c r="X932" s="555"/>
      <c r="Y932" s="555"/>
      <c r="Z932" s="555"/>
    </row>
    <row r="933">
      <c r="A933" s="555"/>
      <c r="B933" s="555"/>
      <c r="C933" s="555"/>
      <c r="D933" s="555"/>
      <c r="E933" s="555"/>
      <c r="F933" s="555"/>
      <c r="G933" s="555"/>
      <c r="H933" s="555"/>
      <c r="I933" s="555"/>
      <c r="J933" s="555"/>
      <c r="K933" s="555"/>
      <c r="L933" s="555"/>
      <c r="M933" s="555"/>
      <c r="N933" s="555"/>
      <c r="O933" s="555"/>
      <c r="P933" s="555"/>
      <c r="Q933" s="555"/>
      <c r="R933" s="555"/>
      <c r="S933" s="555"/>
      <c r="T933" s="555"/>
      <c r="U933" s="555"/>
      <c r="V933" s="555"/>
      <c r="W933" s="555"/>
      <c r="X933" s="555"/>
      <c r="Y933" s="555"/>
      <c r="Z933" s="555"/>
    </row>
    <row r="934">
      <c r="A934" s="555"/>
      <c r="B934" s="555"/>
      <c r="C934" s="555"/>
      <c r="D934" s="555"/>
      <c r="E934" s="555"/>
      <c r="F934" s="555"/>
      <c r="G934" s="555"/>
      <c r="H934" s="555"/>
      <c r="I934" s="555"/>
      <c r="J934" s="555"/>
      <c r="K934" s="555"/>
      <c r="L934" s="555"/>
      <c r="M934" s="555"/>
      <c r="N934" s="555"/>
      <c r="O934" s="555"/>
      <c r="P934" s="555"/>
      <c r="Q934" s="555"/>
      <c r="R934" s="555"/>
      <c r="S934" s="555"/>
      <c r="T934" s="555"/>
      <c r="U934" s="555"/>
      <c r="V934" s="555"/>
      <c r="W934" s="555"/>
      <c r="X934" s="555"/>
      <c r="Y934" s="555"/>
      <c r="Z934" s="555"/>
    </row>
    <row r="935">
      <c r="A935" s="555"/>
      <c r="B935" s="555"/>
      <c r="C935" s="555"/>
      <c r="D935" s="555"/>
      <c r="E935" s="555"/>
      <c r="F935" s="555"/>
      <c r="G935" s="555"/>
      <c r="H935" s="555"/>
      <c r="I935" s="555"/>
      <c r="J935" s="555"/>
      <c r="K935" s="555"/>
      <c r="L935" s="555"/>
      <c r="M935" s="555"/>
      <c r="N935" s="555"/>
      <c r="O935" s="555"/>
      <c r="P935" s="555"/>
      <c r="Q935" s="555"/>
      <c r="R935" s="555"/>
      <c r="S935" s="555"/>
      <c r="T935" s="555"/>
      <c r="U935" s="555"/>
      <c r="V935" s="555"/>
      <c r="W935" s="555"/>
      <c r="X935" s="555"/>
      <c r="Y935" s="555"/>
      <c r="Z935" s="555"/>
    </row>
    <row r="936">
      <c r="A936" s="555"/>
      <c r="B936" s="555"/>
      <c r="C936" s="555"/>
      <c r="D936" s="555"/>
      <c r="E936" s="555"/>
      <c r="F936" s="555"/>
      <c r="G936" s="555"/>
      <c r="H936" s="555"/>
      <c r="I936" s="555"/>
      <c r="J936" s="555"/>
      <c r="K936" s="555"/>
      <c r="L936" s="555"/>
      <c r="M936" s="555"/>
      <c r="N936" s="555"/>
      <c r="O936" s="555"/>
      <c r="P936" s="555"/>
      <c r="Q936" s="555"/>
      <c r="R936" s="555"/>
      <c r="S936" s="555"/>
      <c r="T936" s="555"/>
      <c r="U936" s="555"/>
      <c r="V936" s="555"/>
      <c r="W936" s="555"/>
      <c r="X936" s="555"/>
      <c r="Y936" s="555"/>
      <c r="Z936" s="555"/>
    </row>
    <row r="937">
      <c r="A937" s="555"/>
      <c r="B937" s="555"/>
      <c r="C937" s="555"/>
      <c r="D937" s="555"/>
      <c r="E937" s="555"/>
      <c r="F937" s="555"/>
      <c r="G937" s="555"/>
      <c r="H937" s="555"/>
      <c r="I937" s="555"/>
      <c r="J937" s="555"/>
      <c r="K937" s="555"/>
      <c r="L937" s="555"/>
      <c r="M937" s="555"/>
      <c r="N937" s="555"/>
      <c r="O937" s="555"/>
      <c r="P937" s="555"/>
      <c r="Q937" s="555"/>
      <c r="R937" s="555"/>
      <c r="S937" s="555"/>
      <c r="T937" s="555"/>
      <c r="U937" s="555"/>
      <c r="V937" s="555"/>
      <c r="W937" s="555"/>
      <c r="X937" s="555"/>
      <c r="Y937" s="555"/>
      <c r="Z937" s="555"/>
    </row>
    <row r="938">
      <c r="A938" s="555"/>
      <c r="B938" s="555"/>
      <c r="C938" s="555"/>
      <c r="D938" s="555"/>
      <c r="E938" s="555"/>
      <c r="F938" s="555"/>
      <c r="G938" s="555"/>
      <c r="H938" s="555"/>
      <c r="I938" s="555"/>
      <c r="J938" s="555"/>
      <c r="K938" s="555"/>
      <c r="L938" s="555"/>
      <c r="M938" s="555"/>
      <c r="N938" s="555"/>
      <c r="O938" s="555"/>
      <c r="P938" s="555"/>
      <c r="Q938" s="555"/>
      <c r="R938" s="555"/>
      <c r="S938" s="555"/>
      <c r="T938" s="555"/>
      <c r="U938" s="555"/>
      <c r="V938" s="555"/>
      <c r="W938" s="555"/>
      <c r="X938" s="555"/>
      <c r="Y938" s="555"/>
      <c r="Z938" s="555"/>
    </row>
    <row r="939">
      <c r="A939" s="555"/>
      <c r="B939" s="555"/>
      <c r="C939" s="555"/>
      <c r="D939" s="555"/>
      <c r="E939" s="555"/>
      <c r="F939" s="555"/>
      <c r="G939" s="555"/>
      <c r="H939" s="555"/>
      <c r="I939" s="555"/>
      <c r="J939" s="555"/>
      <c r="K939" s="555"/>
      <c r="L939" s="555"/>
      <c r="M939" s="555"/>
      <c r="N939" s="555"/>
      <c r="O939" s="555"/>
      <c r="P939" s="555"/>
      <c r="Q939" s="555"/>
      <c r="R939" s="555"/>
      <c r="S939" s="555"/>
      <c r="T939" s="555"/>
      <c r="U939" s="555"/>
      <c r="V939" s="555"/>
      <c r="W939" s="555"/>
      <c r="X939" s="555"/>
      <c r="Y939" s="555"/>
      <c r="Z939" s="555"/>
    </row>
    <row r="940">
      <c r="A940" s="555"/>
      <c r="B940" s="555"/>
      <c r="C940" s="555"/>
      <c r="D940" s="555"/>
      <c r="E940" s="555"/>
      <c r="F940" s="555"/>
      <c r="G940" s="555"/>
      <c r="H940" s="555"/>
      <c r="I940" s="555"/>
      <c r="J940" s="555"/>
      <c r="K940" s="555"/>
      <c r="L940" s="555"/>
      <c r="M940" s="555"/>
      <c r="N940" s="555"/>
      <c r="O940" s="555"/>
      <c r="P940" s="555"/>
      <c r="Q940" s="555"/>
      <c r="R940" s="555"/>
      <c r="S940" s="555"/>
      <c r="T940" s="555"/>
      <c r="U940" s="555"/>
      <c r="V940" s="555"/>
      <c r="W940" s="555"/>
      <c r="X940" s="555"/>
      <c r="Y940" s="555"/>
      <c r="Z940" s="555"/>
    </row>
    <row r="941">
      <c r="A941" s="555"/>
      <c r="B941" s="555"/>
      <c r="C941" s="555"/>
      <c r="D941" s="555"/>
      <c r="E941" s="555"/>
      <c r="F941" s="555"/>
      <c r="G941" s="555"/>
      <c r="H941" s="555"/>
      <c r="I941" s="555"/>
      <c r="J941" s="555"/>
      <c r="K941" s="555"/>
      <c r="L941" s="555"/>
      <c r="M941" s="555"/>
      <c r="N941" s="555"/>
      <c r="O941" s="555"/>
      <c r="P941" s="555"/>
      <c r="Q941" s="555"/>
      <c r="R941" s="555"/>
      <c r="S941" s="555"/>
      <c r="T941" s="555"/>
      <c r="U941" s="555"/>
      <c r="V941" s="555"/>
      <c r="W941" s="555"/>
      <c r="X941" s="555"/>
      <c r="Y941" s="555"/>
      <c r="Z941" s="555"/>
    </row>
    <row r="942">
      <c r="A942" s="555"/>
      <c r="B942" s="555"/>
      <c r="C942" s="555"/>
      <c r="D942" s="555"/>
      <c r="E942" s="555"/>
      <c r="F942" s="555"/>
      <c r="G942" s="555"/>
      <c r="H942" s="555"/>
      <c r="I942" s="555"/>
      <c r="J942" s="555"/>
      <c r="K942" s="555"/>
      <c r="L942" s="555"/>
      <c r="M942" s="555"/>
      <c r="N942" s="555"/>
      <c r="O942" s="555"/>
      <c r="P942" s="555"/>
      <c r="Q942" s="555"/>
      <c r="R942" s="555"/>
      <c r="S942" s="555"/>
      <c r="T942" s="555"/>
      <c r="U942" s="555"/>
      <c r="V942" s="555"/>
      <c r="W942" s="555"/>
      <c r="X942" s="555"/>
      <c r="Y942" s="555"/>
      <c r="Z942" s="555"/>
    </row>
    <row r="943">
      <c r="A943" s="555"/>
      <c r="B943" s="555"/>
      <c r="C943" s="555"/>
      <c r="D943" s="555"/>
      <c r="E943" s="555"/>
      <c r="F943" s="555"/>
      <c r="G943" s="555"/>
      <c r="H943" s="555"/>
      <c r="I943" s="555"/>
      <c r="J943" s="555"/>
      <c r="K943" s="555"/>
      <c r="L943" s="555"/>
      <c r="M943" s="555"/>
      <c r="N943" s="555"/>
      <c r="O943" s="555"/>
      <c r="P943" s="555"/>
      <c r="Q943" s="555"/>
      <c r="R943" s="555"/>
      <c r="S943" s="555"/>
      <c r="T943" s="555"/>
      <c r="U943" s="555"/>
      <c r="V943" s="555"/>
      <c r="W943" s="555"/>
      <c r="X943" s="555"/>
      <c r="Y943" s="555"/>
      <c r="Z943" s="555"/>
    </row>
    <row r="944">
      <c r="A944" s="555"/>
      <c r="B944" s="555"/>
      <c r="C944" s="555"/>
      <c r="D944" s="555"/>
      <c r="E944" s="555"/>
      <c r="F944" s="555"/>
      <c r="G944" s="555"/>
      <c r="H944" s="555"/>
      <c r="I944" s="555"/>
      <c r="J944" s="555"/>
      <c r="K944" s="555"/>
      <c r="L944" s="555"/>
      <c r="M944" s="555"/>
      <c r="N944" s="555"/>
      <c r="O944" s="555"/>
      <c r="P944" s="555"/>
      <c r="Q944" s="555"/>
      <c r="R944" s="555"/>
      <c r="S944" s="555"/>
      <c r="T944" s="555"/>
      <c r="U944" s="555"/>
      <c r="V944" s="555"/>
      <c r="W944" s="555"/>
      <c r="X944" s="555"/>
      <c r="Y944" s="555"/>
      <c r="Z944" s="555"/>
    </row>
    <row r="945">
      <c r="A945" s="555"/>
      <c r="B945" s="555"/>
      <c r="C945" s="555"/>
      <c r="D945" s="555"/>
      <c r="E945" s="555"/>
      <c r="F945" s="555"/>
      <c r="G945" s="555"/>
      <c r="H945" s="555"/>
      <c r="I945" s="555"/>
      <c r="J945" s="555"/>
      <c r="K945" s="555"/>
      <c r="L945" s="555"/>
      <c r="M945" s="555"/>
      <c r="N945" s="555"/>
      <c r="O945" s="555"/>
      <c r="P945" s="555"/>
      <c r="Q945" s="555"/>
      <c r="R945" s="555"/>
      <c r="S945" s="555"/>
      <c r="T945" s="555"/>
      <c r="U945" s="555"/>
      <c r="V945" s="555"/>
      <c r="W945" s="555"/>
      <c r="X945" s="555"/>
      <c r="Y945" s="555"/>
      <c r="Z945" s="555"/>
    </row>
    <row r="946">
      <c r="A946" s="555"/>
      <c r="B946" s="555"/>
      <c r="C946" s="555"/>
      <c r="D946" s="555"/>
      <c r="E946" s="555"/>
      <c r="F946" s="555"/>
      <c r="G946" s="555"/>
      <c r="H946" s="555"/>
      <c r="I946" s="555"/>
      <c r="J946" s="555"/>
      <c r="K946" s="555"/>
      <c r="L946" s="555"/>
      <c r="M946" s="555"/>
      <c r="N946" s="555"/>
      <c r="O946" s="555"/>
      <c r="P946" s="555"/>
      <c r="Q946" s="555"/>
      <c r="R946" s="555"/>
      <c r="S946" s="555"/>
      <c r="T946" s="555"/>
      <c r="U946" s="555"/>
      <c r="V946" s="555"/>
      <c r="W946" s="555"/>
      <c r="X946" s="555"/>
      <c r="Y946" s="555"/>
      <c r="Z946" s="555"/>
    </row>
    <row r="947">
      <c r="A947" s="555"/>
      <c r="B947" s="555"/>
      <c r="C947" s="555"/>
      <c r="D947" s="555"/>
      <c r="E947" s="555"/>
      <c r="F947" s="555"/>
      <c r="G947" s="555"/>
      <c r="H947" s="555"/>
      <c r="I947" s="555"/>
      <c r="J947" s="555"/>
      <c r="K947" s="555"/>
      <c r="L947" s="555"/>
      <c r="M947" s="555"/>
      <c r="N947" s="555"/>
      <c r="O947" s="555"/>
      <c r="P947" s="555"/>
      <c r="Q947" s="555"/>
      <c r="R947" s="555"/>
      <c r="S947" s="555"/>
      <c r="T947" s="555"/>
      <c r="U947" s="555"/>
      <c r="V947" s="555"/>
      <c r="W947" s="555"/>
      <c r="X947" s="555"/>
      <c r="Y947" s="555"/>
      <c r="Z947" s="555"/>
    </row>
    <row r="948">
      <c r="A948" s="555"/>
      <c r="B948" s="555"/>
      <c r="C948" s="555"/>
      <c r="D948" s="555"/>
      <c r="E948" s="555"/>
      <c r="F948" s="555"/>
      <c r="G948" s="555"/>
      <c r="H948" s="555"/>
      <c r="I948" s="555"/>
      <c r="J948" s="555"/>
      <c r="K948" s="555"/>
      <c r="L948" s="555"/>
      <c r="M948" s="555"/>
      <c r="N948" s="555"/>
      <c r="O948" s="555"/>
      <c r="P948" s="555"/>
      <c r="Q948" s="555"/>
      <c r="R948" s="555"/>
      <c r="S948" s="555"/>
      <c r="T948" s="555"/>
      <c r="U948" s="555"/>
      <c r="V948" s="555"/>
      <c r="W948" s="555"/>
      <c r="X948" s="555"/>
      <c r="Y948" s="555"/>
      <c r="Z948" s="555"/>
    </row>
    <row r="949">
      <c r="A949" s="555"/>
      <c r="B949" s="555"/>
      <c r="C949" s="555"/>
      <c r="D949" s="555"/>
      <c r="E949" s="555"/>
      <c r="F949" s="555"/>
      <c r="G949" s="555"/>
      <c r="H949" s="555"/>
      <c r="I949" s="555"/>
      <c r="J949" s="555"/>
      <c r="K949" s="555"/>
      <c r="L949" s="555"/>
      <c r="M949" s="555"/>
      <c r="N949" s="555"/>
      <c r="O949" s="555"/>
      <c r="P949" s="555"/>
      <c r="Q949" s="555"/>
      <c r="R949" s="555"/>
      <c r="S949" s="555"/>
      <c r="T949" s="555"/>
      <c r="U949" s="555"/>
      <c r="V949" s="555"/>
      <c r="W949" s="555"/>
      <c r="X949" s="555"/>
      <c r="Y949" s="555"/>
      <c r="Z949" s="555"/>
    </row>
    <row r="950">
      <c r="A950" s="555"/>
      <c r="B950" s="555"/>
      <c r="C950" s="555"/>
      <c r="D950" s="555"/>
      <c r="E950" s="555"/>
      <c r="F950" s="555"/>
      <c r="G950" s="555"/>
      <c r="H950" s="555"/>
      <c r="I950" s="555"/>
      <c r="J950" s="555"/>
      <c r="K950" s="555"/>
      <c r="L950" s="555"/>
      <c r="M950" s="555"/>
      <c r="N950" s="555"/>
      <c r="O950" s="555"/>
      <c r="P950" s="555"/>
      <c r="Q950" s="555"/>
      <c r="R950" s="555"/>
      <c r="S950" s="555"/>
      <c r="T950" s="555"/>
      <c r="U950" s="555"/>
      <c r="V950" s="555"/>
      <c r="W950" s="555"/>
      <c r="X950" s="555"/>
      <c r="Y950" s="555"/>
      <c r="Z950" s="555"/>
    </row>
    <row r="951">
      <c r="A951" s="555"/>
      <c r="B951" s="555"/>
      <c r="C951" s="555"/>
      <c r="D951" s="555"/>
      <c r="E951" s="555"/>
      <c r="F951" s="555"/>
      <c r="G951" s="555"/>
      <c r="H951" s="555"/>
      <c r="I951" s="555"/>
      <c r="J951" s="555"/>
      <c r="K951" s="555"/>
      <c r="L951" s="555"/>
      <c r="M951" s="555"/>
      <c r="N951" s="555"/>
      <c r="O951" s="555"/>
      <c r="P951" s="555"/>
      <c r="Q951" s="555"/>
      <c r="R951" s="555"/>
      <c r="S951" s="555"/>
      <c r="T951" s="555"/>
      <c r="U951" s="555"/>
      <c r="V951" s="555"/>
      <c r="W951" s="555"/>
      <c r="X951" s="555"/>
      <c r="Y951" s="555"/>
      <c r="Z951" s="555"/>
    </row>
    <row r="952">
      <c r="A952" s="555"/>
      <c r="B952" s="555"/>
      <c r="C952" s="555"/>
      <c r="D952" s="555"/>
      <c r="E952" s="555"/>
      <c r="F952" s="555"/>
      <c r="G952" s="555"/>
      <c r="H952" s="555"/>
      <c r="I952" s="555"/>
      <c r="J952" s="555"/>
      <c r="K952" s="555"/>
      <c r="L952" s="555"/>
      <c r="M952" s="555"/>
      <c r="N952" s="555"/>
      <c r="O952" s="555"/>
      <c r="P952" s="555"/>
      <c r="Q952" s="555"/>
      <c r="R952" s="555"/>
      <c r="S952" s="555"/>
      <c r="T952" s="555"/>
      <c r="U952" s="555"/>
      <c r="V952" s="555"/>
      <c r="W952" s="555"/>
      <c r="X952" s="555"/>
      <c r="Y952" s="555"/>
      <c r="Z952" s="555"/>
    </row>
    <row r="953">
      <c r="A953" s="555"/>
      <c r="B953" s="555"/>
      <c r="C953" s="555"/>
      <c r="D953" s="555"/>
      <c r="E953" s="555"/>
      <c r="F953" s="555"/>
      <c r="G953" s="555"/>
      <c r="H953" s="555"/>
      <c r="I953" s="555"/>
      <c r="J953" s="555"/>
      <c r="K953" s="555"/>
      <c r="L953" s="555"/>
      <c r="M953" s="555"/>
      <c r="N953" s="555"/>
      <c r="O953" s="555"/>
      <c r="P953" s="555"/>
      <c r="Q953" s="555"/>
      <c r="R953" s="555"/>
      <c r="S953" s="555"/>
      <c r="T953" s="555"/>
      <c r="U953" s="555"/>
      <c r="V953" s="555"/>
      <c r="W953" s="555"/>
      <c r="X953" s="555"/>
      <c r="Y953" s="555"/>
      <c r="Z953" s="555"/>
    </row>
    <row r="954">
      <c r="A954" s="555"/>
      <c r="B954" s="555"/>
      <c r="C954" s="555"/>
      <c r="D954" s="555"/>
      <c r="E954" s="555"/>
      <c r="F954" s="555"/>
      <c r="G954" s="555"/>
      <c r="H954" s="555"/>
      <c r="I954" s="555"/>
      <c r="J954" s="555"/>
      <c r="K954" s="555"/>
      <c r="L954" s="555"/>
      <c r="M954" s="555"/>
      <c r="N954" s="555"/>
      <c r="O954" s="555"/>
      <c r="P954" s="555"/>
      <c r="Q954" s="555"/>
      <c r="R954" s="555"/>
      <c r="S954" s="555"/>
      <c r="T954" s="555"/>
      <c r="U954" s="555"/>
      <c r="V954" s="555"/>
      <c r="W954" s="555"/>
      <c r="X954" s="555"/>
      <c r="Y954" s="555"/>
      <c r="Z954" s="555"/>
    </row>
    <row r="955">
      <c r="A955" s="555"/>
      <c r="B955" s="555"/>
      <c r="C955" s="555"/>
      <c r="D955" s="555"/>
      <c r="E955" s="555"/>
      <c r="F955" s="555"/>
      <c r="G955" s="555"/>
      <c r="H955" s="555"/>
      <c r="I955" s="555"/>
      <c r="J955" s="555"/>
      <c r="K955" s="555"/>
      <c r="L955" s="555"/>
      <c r="M955" s="555"/>
      <c r="N955" s="555"/>
      <c r="O955" s="555"/>
      <c r="P955" s="555"/>
      <c r="Q955" s="555"/>
      <c r="R955" s="555"/>
      <c r="S955" s="555"/>
      <c r="T955" s="555"/>
      <c r="U955" s="555"/>
      <c r="V955" s="555"/>
      <c r="W955" s="555"/>
      <c r="X955" s="555"/>
      <c r="Y955" s="555"/>
      <c r="Z955" s="555"/>
    </row>
    <row r="956">
      <c r="A956" s="555"/>
      <c r="B956" s="555"/>
      <c r="C956" s="555"/>
      <c r="D956" s="555"/>
      <c r="E956" s="555"/>
      <c r="F956" s="555"/>
      <c r="G956" s="555"/>
      <c r="H956" s="555"/>
      <c r="I956" s="555"/>
      <c r="J956" s="555"/>
      <c r="K956" s="555"/>
      <c r="L956" s="555"/>
      <c r="M956" s="555"/>
      <c r="N956" s="555"/>
      <c r="O956" s="555"/>
      <c r="P956" s="555"/>
      <c r="Q956" s="555"/>
      <c r="R956" s="555"/>
      <c r="S956" s="555"/>
      <c r="T956" s="555"/>
      <c r="U956" s="555"/>
      <c r="V956" s="555"/>
      <c r="W956" s="555"/>
      <c r="X956" s="555"/>
      <c r="Y956" s="555"/>
      <c r="Z956" s="555"/>
    </row>
    <row r="957">
      <c r="A957" s="555"/>
      <c r="B957" s="555"/>
      <c r="C957" s="555"/>
      <c r="D957" s="555"/>
      <c r="E957" s="555"/>
      <c r="F957" s="555"/>
      <c r="G957" s="555"/>
      <c r="H957" s="555"/>
      <c r="I957" s="555"/>
      <c r="J957" s="555"/>
      <c r="K957" s="555"/>
      <c r="L957" s="555"/>
      <c r="M957" s="555"/>
      <c r="N957" s="555"/>
      <c r="O957" s="555"/>
      <c r="P957" s="555"/>
      <c r="Q957" s="555"/>
      <c r="R957" s="555"/>
      <c r="S957" s="555"/>
      <c r="T957" s="555"/>
      <c r="U957" s="555"/>
      <c r="V957" s="555"/>
      <c r="W957" s="555"/>
      <c r="X957" s="555"/>
      <c r="Y957" s="555"/>
      <c r="Z957" s="555"/>
    </row>
    <row r="958">
      <c r="A958" s="555"/>
      <c r="B958" s="555"/>
      <c r="C958" s="555"/>
      <c r="D958" s="555"/>
      <c r="E958" s="555"/>
      <c r="F958" s="555"/>
      <c r="G958" s="555"/>
      <c r="H958" s="555"/>
      <c r="I958" s="555"/>
      <c r="J958" s="555"/>
      <c r="K958" s="555"/>
      <c r="L958" s="555"/>
      <c r="M958" s="555"/>
      <c r="N958" s="555"/>
      <c r="O958" s="555"/>
      <c r="P958" s="555"/>
      <c r="Q958" s="555"/>
      <c r="R958" s="555"/>
      <c r="S958" s="555"/>
      <c r="T958" s="555"/>
      <c r="U958" s="555"/>
      <c r="V958" s="555"/>
      <c r="W958" s="555"/>
      <c r="X958" s="555"/>
      <c r="Y958" s="555"/>
      <c r="Z958" s="555"/>
    </row>
    <row r="959">
      <c r="A959" s="555"/>
      <c r="B959" s="555"/>
      <c r="C959" s="555"/>
      <c r="D959" s="555"/>
      <c r="E959" s="555"/>
      <c r="F959" s="555"/>
      <c r="G959" s="555"/>
      <c r="H959" s="555"/>
      <c r="I959" s="555"/>
      <c r="J959" s="555"/>
      <c r="K959" s="555"/>
      <c r="L959" s="555"/>
      <c r="M959" s="555"/>
      <c r="N959" s="555"/>
      <c r="O959" s="555"/>
      <c r="P959" s="555"/>
      <c r="Q959" s="555"/>
      <c r="R959" s="555"/>
      <c r="S959" s="555"/>
      <c r="T959" s="555"/>
      <c r="U959" s="555"/>
      <c r="V959" s="555"/>
      <c r="W959" s="555"/>
      <c r="X959" s="555"/>
      <c r="Y959" s="555"/>
      <c r="Z959" s="555"/>
    </row>
    <row r="960">
      <c r="A960" s="555"/>
      <c r="B960" s="555"/>
      <c r="C960" s="555"/>
      <c r="D960" s="555"/>
      <c r="E960" s="555"/>
      <c r="F960" s="555"/>
      <c r="G960" s="555"/>
      <c r="H960" s="555"/>
      <c r="I960" s="555"/>
      <c r="J960" s="555"/>
      <c r="K960" s="555"/>
      <c r="L960" s="555"/>
      <c r="M960" s="555"/>
      <c r="N960" s="555"/>
      <c r="O960" s="555"/>
      <c r="P960" s="555"/>
      <c r="Q960" s="555"/>
      <c r="R960" s="555"/>
      <c r="S960" s="555"/>
      <c r="T960" s="555"/>
      <c r="U960" s="555"/>
      <c r="V960" s="555"/>
      <c r="W960" s="555"/>
      <c r="X960" s="555"/>
      <c r="Y960" s="555"/>
      <c r="Z960" s="555"/>
    </row>
    <row r="961">
      <c r="A961" s="555"/>
      <c r="B961" s="555"/>
      <c r="C961" s="555"/>
      <c r="D961" s="555"/>
      <c r="E961" s="555"/>
      <c r="F961" s="555"/>
      <c r="G961" s="555"/>
      <c r="H961" s="555"/>
      <c r="I961" s="555"/>
      <c r="J961" s="555"/>
      <c r="K961" s="555"/>
      <c r="L961" s="555"/>
      <c r="M961" s="555"/>
      <c r="N961" s="555"/>
      <c r="O961" s="555"/>
      <c r="P961" s="555"/>
      <c r="Q961" s="555"/>
      <c r="R961" s="555"/>
      <c r="S961" s="555"/>
      <c r="T961" s="555"/>
      <c r="U961" s="555"/>
      <c r="V961" s="555"/>
      <c r="W961" s="555"/>
      <c r="X961" s="555"/>
      <c r="Y961" s="555"/>
      <c r="Z961" s="555"/>
    </row>
    <row r="962">
      <c r="A962" s="555"/>
      <c r="B962" s="555"/>
      <c r="C962" s="555"/>
      <c r="D962" s="555"/>
      <c r="E962" s="555"/>
      <c r="F962" s="555"/>
      <c r="G962" s="555"/>
      <c r="H962" s="555"/>
      <c r="I962" s="555"/>
      <c r="J962" s="555"/>
      <c r="K962" s="555"/>
      <c r="L962" s="555"/>
      <c r="M962" s="555"/>
      <c r="N962" s="555"/>
      <c r="O962" s="555"/>
      <c r="P962" s="555"/>
      <c r="Q962" s="555"/>
      <c r="R962" s="555"/>
      <c r="S962" s="555"/>
      <c r="T962" s="555"/>
      <c r="U962" s="555"/>
      <c r="V962" s="555"/>
      <c r="W962" s="555"/>
      <c r="X962" s="555"/>
      <c r="Y962" s="555"/>
      <c r="Z962" s="555"/>
    </row>
    <row r="963">
      <c r="A963" s="555"/>
      <c r="B963" s="555"/>
      <c r="C963" s="555"/>
      <c r="D963" s="555"/>
      <c r="E963" s="555"/>
      <c r="F963" s="555"/>
      <c r="G963" s="555"/>
      <c r="H963" s="555"/>
      <c r="I963" s="555"/>
      <c r="J963" s="555"/>
      <c r="K963" s="555"/>
      <c r="L963" s="555"/>
      <c r="M963" s="555"/>
      <c r="N963" s="555"/>
      <c r="O963" s="555"/>
      <c r="P963" s="555"/>
      <c r="Q963" s="555"/>
      <c r="R963" s="555"/>
      <c r="S963" s="555"/>
      <c r="T963" s="555"/>
      <c r="U963" s="555"/>
      <c r="V963" s="555"/>
      <c r="W963" s="555"/>
      <c r="X963" s="555"/>
      <c r="Y963" s="555"/>
      <c r="Z963" s="555"/>
    </row>
    <row r="964">
      <c r="A964" s="555"/>
      <c r="B964" s="555"/>
      <c r="C964" s="555"/>
      <c r="D964" s="555"/>
      <c r="E964" s="555"/>
      <c r="F964" s="555"/>
      <c r="G964" s="555"/>
      <c r="H964" s="555"/>
      <c r="I964" s="555"/>
      <c r="J964" s="555"/>
      <c r="K964" s="555"/>
      <c r="L964" s="555"/>
      <c r="M964" s="555"/>
      <c r="N964" s="555"/>
      <c r="O964" s="555"/>
      <c r="P964" s="555"/>
      <c r="Q964" s="555"/>
      <c r="R964" s="555"/>
      <c r="S964" s="555"/>
      <c r="T964" s="555"/>
      <c r="U964" s="555"/>
      <c r="V964" s="555"/>
      <c r="W964" s="555"/>
      <c r="X964" s="555"/>
      <c r="Y964" s="555"/>
      <c r="Z964" s="555"/>
    </row>
    <row r="965">
      <c r="A965" s="555"/>
      <c r="B965" s="555"/>
      <c r="C965" s="555"/>
      <c r="D965" s="555"/>
      <c r="E965" s="555"/>
      <c r="F965" s="555"/>
      <c r="G965" s="555"/>
      <c r="H965" s="555"/>
      <c r="I965" s="555"/>
      <c r="J965" s="555"/>
      <c r="K965" s="555"/>
      <c r="L965" s="555"/>
      <c r="M965" s="555"/>
      <c r="N965" s="555"/>
      <c r="O965" s="555"/>
      <c r="P965" s="555"/>
      <c r="Q965" s="555"/>
      <c r="R965" s="555"/>
      <c r="S965" s="555"/>
      <c r="T965" s="555"/>
      <c r="U965" s="555"/>
      <c r="V965" s="555"/>
      <c r="W965" s="555"/>
      <c r="X965" s="555"/>
      <c r="Y965" s="555"/>
      <c r="Z965" s="555"/>
    </row>
    <row r="966">
      <c r="A966" s="555"/>
      <c r="B966" s="555"/>
      <c r="C966" s="555"/>
      <c r="D966" s="555"/>
      <c r="E966" s="555"/>
      <c r="F966" s="555"/>
      <c r="G966" s="555"/>
      <c r="H966" s="555"/>
      <c r="I966" s="555"/>
      <c r="J966" s="555"/>
      <c r="K966" s="555"/>
      <c r="L966" s="555"/>
      <c r="M966" s="555"/>
      <c r="N966" s="555"/>
      <c r="O966" s="555"/>
      <c r="P966" s="555"/>
      <c r="Q966" s="555"/>
      <c r="R966" s="555"/>
      <c r="S966" s="555"/>
      <c r="T966" s="555"/>
      <c r="U966" s="555"/>
      <c r="V966" s="555"/>
      <c r="W966" s="555"/>
      <c r="X966" s="555"/>
      <c r="Y966" s="555"/>
      <c r="Z966" s="555"/>
    </row>
    <row r="967">
      <c r="A967" s="555"/>
      <c r="B967" s="555"/>
      <c r="C967" s="555"/>
      <c r="D967" s="555"/>
      <c r="E967" s="555"/>
      <c r="F967" s="555"/>
      <c r="G967" s="555"/>
      <c r="H967" s="555"/>
      <c r="I967" s="555"/>
      <c r="J967" s="555"/>
      <c r="K967" s="555"/>
      <c r="L967" s="555"/>
      <c r="M967" s="555"/>
      <c r="N967" s="555"/>
      <c r="O967" s="555"/>
      <c r="P967" s="555"/>
      <c r="Q967" s="555"/>
      <c r="R967" s="555"/>
      <c r="S967" s="555"/>
      <c r="T967" s="555"/>
      <c r="U967" s="555"/>
      <c r="V967" s="555"/>
      <c r="W967" s="555"/>
      <c r="X967" s="555"/>
      <c r="Y967" s="555"/>
      <c r="Z967" s="555"/>
    </row>
    <row r="968">
      <c r="A968" s="555"/>
      <c r="B968" s="555"/>
      <c r="C968" s="555"/>
      <c r="D968" s="555"/>
      <c r="E968" s="555"/>
      <c r="F968" s="555"/>
      <c r="G968" s="555"/>
      <c r="H968" s="555"/>
      <c r="I968" s="555"/>
      <c r="J968" s="555"/>
      <c r="K968" s="555"/>
      <c r="L968" s="555"/>
      <c r="M968" s="555"/>
      <c r="N968" s="555"/>
      <c r="O968" s="555"/>
      <c r="P968" s="555"/>
      <c r="Q968" s="555"/>
      <c r="R968" s="555"/>
      <c r="S968" s="555"/>
      <c r="T968" s="555"/>
      <c r="U968" s="555"/>
      <c r="V968" s="555"/>
      <c r="W968" s="555"/>
      <c r="X968" s="555"/>
      <c r="Y968" s="555"/>
      <c r="Z968" s="555"/>
    </row>
    <row r="969">
      <c r="A969" s="555"/>
      <c r="B969" s="555"/>
      <c r="C969" s="555"/>
      <c r="D969" s="555"/>
      <c r="E969" s="555"/>
      <c r="F969" s="555"/>
      <c r="G969" s="555"/>
      <c r="H969" s="555"/>
      <c r="I969" s="555"/>
      <c r="J969" s="555"/>
      <c r="K969" s="555"/>
      <c r="L969" s="555"/>
      <c r="M969" s="555"/>
      <c r="N969" s="555"/>
      <c r="O969" s="555"/>
      <c r="P969" s="555"/>
      <c r="Q969" s="555"/>
      <c r="R969" s="555"/>
      <c r="S969" s="555"/>
      <c r="T969" s="555"/>
      <c r="U969" s="555"/>
      <c r="V969" s="555"/>
      <c r="W969" s="555"/>
      <c r="X969" s="555"/>
      <c r="Y969" s="555"/>
      <c r="Z969" s="555"/>
    </row>
    <row r="970">
      <c r="A970" s="555"/>
      <c r="B970" s="555"/>
      <c r="C970" s="555"/>
      <c r="D970" s="555"/>
      <c r="E970" s="555"/>
      <c r="F970" s="555"/>
      <c r="G970" s="555"/>
      <c r="H970" s="555"/>
      <c r="I970" s="555"/>
      <c r="J970" s="555"/>
      <c r="K970" s="555"/>
      <c r="L970" s="555"/>
      <c r="M970" s="555"/>
      <c r="N970" s="555"/>
      <c r="O970" s="555"/>
      <c r="P970" s="555"/>
      <c r="Q970" s="555"/>
      <c r="R970" s="555"/>
      <c r="S970" s="555"/>
      <c r="T970" s="555"/>
      <c r="U970" s="555"/>
      <c r="V970" s="555"/>
      <c r="W970" s="555"/>
      <c r="X970" s="555"/>
      <c r="Y970" s="555"/>
      <c r="Z970" s="555"/>
    </row>
    <row r="971">
      <c r="A971" s="555"/>
      <c r="B971" s="555"/>
      <c r="C971" s="555"/>
      <c r="D971" s="555"/>
      <c r="E971" s="555"/>
      <c r="F971" s="555"/>
      <c r="G971" s="555"/>
      <c r="H971" s="555"/>
      <c r="I971" s="555"/>
      <c r="J971" s="555"/>
      <c r="K971" s="555"/>
      <c r="L971" s="555"/>
      <c r="M971" s="555"/>
      <c r="N971" s="555"/>
      <c r="O971" s="555"/>
      <c r="P971" s="555"/>
      <c r="Q971" s="555"/>
      <c r="R971" s="555"/>
      <c r="S971" s="555"/>
      <c r="T971" s="555"/>
      <c r="U971" s="555"/>
      <c r="V971" s="555"/>
      <c r="W971" s="555"/>
      <c r="X971" s="555"/>
      <c r="Y971" s="555"/>
      <c r="Z971" s="555"/>
    </row>
    <row r="972">
      <c r="A972" s="555"/>
      <c r="B972" s="555"/>
      <c r="C972" s="555"/>
      <c r="D972" s="555"/>
      <c r="E972" s="555"/>
      <c r="F972" s="555"/>
      <c r="G972" s="555"/>
      <c r="H972" s="555"/>
      <c r="I972" s="555"/>
      <c r="J972" s="555"/>
      <c r="K972" s="555"/>
      <c r="L972" s="555"/>
      <c r="M972" s="555"/>
      <c r="N972" s="555"/>
      <c r="O972" s="555"/>
      <c r="P972" s="555"/>
      <c r="Q972" s="555"/>
      <c r="R972" s="555"/>
      <c r="S972" s="555"/>
      <c r="T972" s="555"/>
      <c r="U972" s="555"/>
      <c r="V972" s="555"/>
      <c r="W972" s="555"/>
      <c r="X972" s="555"/>
      <c r="Y972" s="555"/>
      <c r="Z972" s="555"/>
    </row>
    <row r="973">
      <c r="A973" s="555"/>
      <c r="B973" s="555"/>
      <c r="C973" s="555"/>
      <c r="D973" s="555"/>
      <c r="E973" s="555"/>
      <c r="F973" s="555"/>
      <c r="G973" s="555"/>
      <c r="H973" s="555"/>
      <c r="I973" s="555"/>
      <c r="J973" s="555"/>
      <c r="K973" s="555"/>
      <c r="L973" s="555"/>
      <c r="M973" s="555"/>
      <c r="N973" s="555"/>
      <c r="O973" s="555"/>
      <c r="P973" s="555"/>
      <c r="Q973" s="555"/>
      <c r="R973" s="555"/>
      <c r="S973" s="555"/>
      <c r="T973" s="555"/>
      <c r="U973" s="555"/>
      <c r="V973" s="555"/>
      <c r="W973" s="555"/>
      <c r="X973" s="555"/>
      <c r="Y973" s="555"/>
      <c r="Z973" s="555"/>
    </row>
    <row r="974">
      <c r="A974" s="555"/>
      <c r="B974" s="555"/>
      <c r="C974" s="555"/>
      <c r="D974" s="555"/>
      <c r="E974" s="555"/>
      <c r="F974" s="555"/>
      <c r="G974" s="555"/>
      <c r="H974" s="555"/>
      <c r="I974" s="555"/>
      <c r="J974" s="555"/>
      <c r="K974" s="555"/>
      <c r="L974" s="555"/>
      <c r="M974" s="555"/>
      <c r="N974" s="555"/>
      <c r="O974" s="555"/>
      <c r="P974" s="555"/>
      <c r="Q974" s="555"/>
      <c r="R974" s="555"/>
      <c r="S974" s="555"/>
      <c r="T974" s="555"/>
      <c r="U974" s="555"/>
      <c r="V974" s="555"/>
      <c r="W974" s="555"/>
      <c r="X974" s="555"/>
      <c r="Y974" s="555"/>
      <c r="Z974" s="555"/>
    </row>
    <row r="975">
      <c r="A975" s="555"/>
      <c r="B975" s="555"/>
      <c r="C975" s="555"/>
      <c r="D975" s="555"/>
      <c r="E975" s="555"/>
      <c r="F975" s="555"/>
      <c r="G975" s="555"/>
      <c r="H975" s="555"/>
      <c r="I975" s="555"/>
      <c r="J975" s="555"/>
      <c r="K975" s="555"/>
      <c r="L975" s="555"/>
      <c r="M975" s="555"/>
      <c r="N975" s="555"/>
      <c r="O975" s="555"/>
      <c r="P975" s="555"/>
      <c r="Q975" s="555"/>
      <c r="R975" s="555"/>
      <c r="S975" s="555"/>
      <c r="T975" s="555"/>
      <c r="U975" s="555"/>
      <c r="V975" s="555"/>
      <c r="W975" s="555"/>
      <c r="X975" s="555"/>
      <c r="Y975" s="555"/>
      <c r="Z975" s="555"/>
    </row>
    <row r="976">
      <c r="A976" s="555"/>
      <c r="B976" s="555"/>
      <c r="C976" s="555"/>
      <c r="D976" s="555"/>
      <c r="E976" s="555"/>
      <c r="F976" s="555"/>
      <c r="G976" s="555"/>
      <c r="H976" s="555"/>
      <c r="I976" s="555"/>
      <c r="J976" s="555"/>
      <c r="K976" s="555"/>
      <c r="L976" s="555"/>
      <c r="M976" s="555"/>
      <c r="N976" s="555"/>
      <c r="O976" s="555"/>
      <c r="P976" s="555"/>
      <c r="Q976" s="555"/>
      <c r="R976" s="555"/>
      <c r="S976" s="555"/>
      <c r="T976" s="555"/>
      <c r="U976" s="555"/>
      <c r="V976" s="555"/>
      <c r="W976" s="555"/>
      <c r="X976" s="555"/>
      <c r="Y976" s="555"/>
      <c r="Z976" s="555"/>
    </row>
    <row r="977">
      <c r="A977" s="555"/>
      <c r="B977" s="555"/>
      <c r="C977" s="555"/>
      <c r="D977" s="555"/>
      <c r="E977" s="555"/>
      <c r="F977" s="555"/>
      <c r="G977" s="555"/>
      <c r="H977" s="555"/>
      <c r="I977" s="555"/>
      <c r="J977" s="555"/>
      <c r="K977" s="555"/>
      <c r="L977" s="555"/>
      <c r="M977" s="555"/>
      <c r="N977" s="555"/>
      <c r="O977" s="555"/>
      <c r="P977" s="555"/>
      <c r="Q977" s="555"/>
      <c r="R977" s="555"/>
      <c r="S977" s="555"/>
      <c r="T977" s="555"/>
      <c r="U977" s="555"/>
      <c r="V977" s="555"/>
      <c r="W977" s="555"/>
      <c r="X977" s="555"/>
      <c r="Y977" s="555"/>
      <c r="Z977" s="555"/>
    </row>
    <row r="978">
      <c r="A978" s="555"/>
      <c r="B978" s="555"/>
      <c r="C978" s="555"/>
      <c r="D978" s="555"/>
      <c r="E978" s="555"/>
      <c r="F978" s="555"/>
      <c r="G978" s="555"/>
      <c r="H978" s="555"/>
      <c r="I978" s="555"/>
      <c r="J978" s="555"/>
      <c r="K978" s="555"/>
      <c r="L978" s="555"/>
      <c r="M978" s="555"/>
      <c r="N978" s="555"/>
      <c r="O978" s="555"/>
      <c r="P978" s="555"/>
      <c r="Q978" s="555"/>
      <c r="R978" s="555"/>
      <c r="S978" s="555"/>
      <c r="T978" s="555"/>
      <c r="U978" s="555"/>
      <c r="V978" s="555"/>
      <c r="W978" s="555"/>
      <c r="X978" s="555"/>
      <c r="Y978" s="555"/>
      <c r="Z978" s="555"/>
    </row>
    <row r="979">
      <c r="A979" s="555"/>
      <c r="B979" s="555"/>
      <c r="C979" s="555"/>
      <c r="D979" s="555"/>
      <c r="E979" s="555"/>
      <c r="F979" s="555"/>
      <c r="G979" s="555"/>
      <c r="H979" s="555"/>
      <c r="I979" s="555"/>
      <c r="J979" s="555"/>
      <c r="K979" s="555"/>
      <c r="L979" s="555"/>
      <c r="M979" s="555"/>
      <c r="N979" s="555"/>
      <c r="O979" s="555"/>
      <c r="P979" s="555"/>
      <c r="Q979" s="555"/>
      <c r="R979" s="555"/>
      <c r="S979" s="555"/>
      <c r="T979" s="555"/>
      <c r="U979" s="555"/>
      <c r="V979" s="555"/>
      <c r="W979" s="555"/>
      <c r="X979" s="555"/>
      <c r="Y979" s="555"/>
      <c r="Z979" s="555"/>
    </row>
    <row r="980">
      <c r="A980" s="555"/>
      <c r="B980" s="555"/>
      <c r="C980" s="555"/>
      <c r="D980" s="555"/>
      <c r="E980" s="555"/>
      <c r="F980" s="555"/>
      <c r="G980" s="555"/>
      <c r="H980" s="555"/>
      <c r="I980" s="555"/>
      <c r="J980" s="555"/>
      <c r="K980" s="555"/>
      <c r="L980" s="555"/>
      <c r="M980" s="555"/>
      <c r="N980" s="555"/>
      <c r="O980" s="555"/>
      <c r="P980" s="555"/>
      <c r="Q980" s="555"/>
      <c r="R980" s="555"/>
      <c r="S980" s="555"/>
      <c r="T980" s="555"/>
      <c r="U980" s="555"/>
      <c r="V980" s="555"/>
      <c r="W980" s="555"/>
      <c r="X980" s="555"/>
      <c r="Y980" s="555"/>
      <c r="Z980" s="555"/>
    </row>
    <row r="981">
      <c r="A981" s="555"/>
      <c r="B981" s="555"/>
      <c r="C981" s="555"/>
      <c r="D981" s="555"/>
      <c r="E981" s="555"/>
      <c r="F981" s="555"/>
      <c r="G981" s="555"/>
      <c r="H981" s="555"/>
      <c r="I981" s="555"/>
      <c r="J981" s="555"/>
      <c r="K981" s="555"/>
      <c r="L981" s="555"/>
      <c r="M981" s="555"/>
      <c r="N981" s="555"/>
      <c r="O981" s="555"/>
      <c r="P981" s="555"/>
      <c r="Q981" s="555"/>
      <c r="R981" s="555"/>
      <c r="S981" s="555"/>
      <c r="T981" s="555"/>
      <c r="U981" s="555"/>
      <c r="V981" s="555"/>
      <c r="W981" s="555"/>
      <c r="X981" s="555"/>
      <c r="Y981" s="555"/>
      <c r="Z981" s="555"/>
    </row>
    <row r="982">
      <c r="A982" s="555"/>
      <c r="B982" s="555"/>
      <c r="C982" s="555"/>
      <c r="D982" s="555"/>
      <c r="E982" s="555"/>
      <c r="F982" s="555"/>
      <c r="G982" s="555"/>
      <c r="H982" s="555"/>
      <c r="I982" s="555"/>
      <c r="J982" s="555"/>
      <c r="K982" s="555"/>
      <c r="L982" s="555"/>
      <c r="M982" s="555"/>
      <c r="N982" s="555"/>
      <c r="O982" s="555"/>
      <c r="P982" s="555"/>
      <c r="Q982" s="555"/>
      <c r="R982" s="555"/>
      <c r="S982" s="555"/>
      <c r="T982" s="555"/>
      <c r="U982" s="555"/>
      <c r="V982" s="555"/>
      <c r="W982" s="555"/>
      <c r="X982" s="555"/>
      <c r="Y982" s="555"/>
      <c r="Z982" s="555"/>
    </row>
    <row r="983">
      <c r="A983" s="555"/>
      <c r="B983" s="555"/>
      <c r="C983" s="555"/>
      <c r="D983" s="555"/>
      <c r="E983" s="555"/>
      <c r="F983" s="555"/>
      <c r="G983" s="555"/>
      <c r="H983" s="555"/>
      <c r="I983" s="555"/>
      <c r="J983" s="555"/>
      <c r="K983" s="555"/>
      <c r="L983" s="555"/>
      <c r="M983" s="555"/>
      <c r="N983" s="555"/>
      <c r="O983" s="555"/>
      <c r="P983" s="555"/>
      <c r="Q983" s="555"/>
      <c r="R983" s="555"/>
      <c r="S983" s="555"/>
      <c r="T983" s="555"/>
      <c r="U983" s="555"/>
      <c r="V983" s="555"/>
      <c r="W983" s="555"/>
      <c r="X983" s="555"/>
      <c r="Y983" s="555"/>
      <c r="Z983" s="555"/>
    </row>
    <row r="984">
      <c r="A984" s="555"/>
      <c r="B984" s="555"/>
      <c r="C984" s="555"/>
      <c r="D984" s="555"/>
      <c r="E984" s="555"/>
      <c r="F984" s="555"/>
      <c r="G984" s="555"/>
      <c r="H984" s="555"/>
      <c r="I984" s="555"/>
      <c r="J984" s="555"/>
      <c r="K984" s="555"/>
      <c r="L984" s="555"/>
      <c r="M984" s="555"/>
      <c r="N984" s="555"/>
      <c r="O984" s="555"/>
      <c r="P984" s="555"/>
      <c r="Q984" s="555"/>
      <c r="R984" s="555"/>
      <c r="S984" s="555"/>
      <c r="T984" s="555"/>
      <c r="U984" s="555"/>
      <c r="V984" s="555"/>
      <c r="W984" s="555"/>
      <c r="X984" s="555"/>
      <c r="Y984" s="555"/>
      <c r="Z984" s="555"/>
    </row>
    <row r="985">
      <c r="A985" s="555"/>
      <c r="B985" s="555"/>
      <c r="C985" s="555"/>
      <c r="D985" s="555"/>
      <c r="E985" s="555"/>
      <c r="F985" s="555"/>
      <c r="G985" s="555"/>
      <c r="H985" s="555"/>
      <c r="I985" s="555"/>
      <c r="J985" s="555"/>
      <c r="K985" s="555"/>
      <c r="L985" s="555"/>
      <c r="M985" s="555"/>
      <c r="N985" s="555"/>
      <c r="O985" s="555"/>
      <c r="P985" s="555"/>
      <c r="Q985" s="555"/>
      <c r="R985" s="555"/>
      <c r="S985" s="555"/>
      <c r="T985" s="555"/>
      <c r="U985" s="555"/>
      <c r="V985" s="555"/>
      <c r="W985" s="555"/>
      <c r="X985" s="555"/>
      <c r="Y985" s="555"/>
      <c r="Z985" s="555"/>
    </row>
    <row r="986">
      <c r="A986" s="555"/>
      <c r="B986" s="555"/>
      <c r="C986" s="555"/>
      <c r="D986" s="555"/>
      <c r="E986" s="555"/>
      <c r="F986" s="555"/>
      <c r="G986" s="555"/>
      <c r="H986" s="555"/>
      <c r="I986" s="555"/>
      <c r="J986" s="555"/>
      <c r="K986" s="555"/>
      <c r="L986" s="555"/>
      <c r="M986" s="555"/>
      <c r="N986" s="555"/>
      <c r="O986" s="555"/>
      <c r="P986" s="555"/>
      <c r="Q986" s="555"/>
      <c r="R986" s="555"/>
      <c r="S986" s="555"/>
      <c r="T986" s="555"/>
      <c r="U986" s="555"/>
      <c r="V986" s="555"/>
      <c r="W986" s="555"/>
      <c r="X986" s="555"/>
      <c r="Y986" s="555"/>
      <c r="Z986" s="555"/>
    </row>
    <row r="987">
      <c r="A987" s="555"/>
      <c r="B987" s="555"/>
      <c r="C987" s="555"/>
      <c r="D987" s="555"/>
      <c r="E987" s="555"/>
      <c r="F987" s="555"/>
      <c r="G987" s="555"/>
      <c r="H987" s="555"/>
      <c r="I987" s="555"/>
      <c r="J987" s="555"/>
      <c r="K987" s="555"/>
      <c r="L987" s="555"/>
      <c r="M987" s="555"/>
      <c r="N987" s="555"/>
      <c r="O987" s="555"/>
      <c r="P987" s="555"/>
      <c r="Q987" s="555"/>
      <c r="R987" s="555"/>
      <c r="S987" s="555"/>
      <c r="T987" s="555"/>
      <c r="U987" s="555"/>
      <c r="V987" s="555"/>
      <c r="W987" s="555"/>
      <c r="X987" s="555"/>
      <c r="Y987" s="555"/>
      <c r="Z987" s="555"/>
    </row>
    <row r="988">
      <c r="A988" s="555"/>
      <c r="B988" s="555"/>
      <c r="C988" s="555"/>
      <c r="D988" s="555"/>
      <c r="E988" s="555"/>
      <c r="F988" s="555"/>
      <c r="G988" s="555"/>
      <c r="H988" s="555"/>
      <c r="I988" s="555"/>
      <c r="J988" s="555"/>
      <c r="K988" s="555"/>
      <c r="L988" s="555"/>
      <c r="M988" s="555"/>
      <c r="N988" s="555"/>
      <c r="O988" s="555"/>
      <c r="P988" s="555"/>
      <c r="Q988" s="555"/>
      <c r="R988" s="555"/>
      <c r="S988" s="555"/>
      <c r="T988" s="555"/>
      <c r="U988" s="555"/>
      <c r="V988" s="555"/>
      <c r="W988" s="555"/>
      <c r="X988" s="555"/>
      <c r="Y988" s="555"/>
      <c r="Z988" s="555"/>
    </row>
    <row r="989">
      <c r="A989" s="555"/>
      <c r="B989" s="555"/>
      <c r="C989" s="555"/>
      <c r="D989" s="555"/>
      <c r="E989" s="555"/>
      <c r="F989" s="555"/>
      <c r="G989" s="555"/>
      <c r="H989" s="555"/>
      <c r="I989" s="555"/>
      <c r="J989" s="555"/>
      <c r="K989" s="555"/>
      <c r="L989" s="555"/>
      <c r="M989" s="555"/>
      <c r="N989" s="555"/>
      <c r="O989" s="555"/>
      <c r="P989" s="555"/>
      <c r="Q989" s="555"/>
      <c r="R989" s="555"/>
      <c r="S989" s="555"/>
      <c r="T989" s="555"/>
      <c r="U989" s="555"/>
      <c r="V989" s="555"/>
      <c r="W989" s="555"/>
      <c r="X989" s="555"/>
      <c r="Y989" s="555"/>
      <c r="Z989" s="555"/>
    </row>
    <row r="990">
      <c r="A990" s="555"/>
      <c r="B990" s="555"/>
      <c r="C990" s="555"/>
      <c r="D990" s="555"/>
      <c r="E990" s="555"/>
      <c r="F990" s="555"/>
      <c r="G990" s="555"/>
      <c r="H990" s="555"/>
      <c r="I990" s="555"/>
      <c r="J990" s="555"/>
      <c r="K990" s="555"/>
      <c r="L990" s="555"/>
      <c r="M990" s="555"/>
      <c r="N990" s="555"/>
      <c r="O990" s="555"/>
      <c r="P990" s="555"/>
      <c r="Q990" s="555"/>
      <c r="R990" s="555"/>
      <c r="S990" s="555"/>
      <c r="T990" s="555"/>
      <c r="U990" s="555"/>
      <c r="V990" s="555"/>
      <c r="W990" s="555"/>
      <c r="X990" s="555"/>
      <c r="Y990" s="555"/>
      <c r="Z990" s="555"/>
    </row>
    <row r="991">
      <c r="A991" s="555"/>
      <c r="B991" s="555"/>
      <c r="C991" s="555"/>
      <c r="D991" s="555"/>
      <c r="E991" s="555"/>
      <c r="F991" s="555"/>
      <c r="G991" s="555"/>
      <c r="H991" s="555"/>
      <c r="I991" s="555"/>
      <c r="J991" s="555"/>
      <c r="K991" s="555"/>
      <c r="L991" s="555"/>
      <c r="M991" s="555"/>
      <c r="N991" s="555"/>
      <c r="O991" s="555"/>
      <c r="P991" s="555"/>
      <c r="Q991" s="555"/>
      <c r="R991" s="555"/>
      <c r="S991" s="555"/>
      <c r="T991" s="555"/>
      <c r="U991" s="555"/>
      <c r="V991" s="555"/>
      <c r="W991" s="555"/>
      <c r="X991" s="555"/>
      <c r="Y991" s="555"/>
      <c r="Z991" s="555"/>
    </row>
    <row r="992">
      <c r="A992" s="555"/>
      <c r="B992" s="555"/>
      <c r="C992" s="555"/>
      <c r="D992" s="555"/>
      <c r="E992" s="555"/>
      <c r="F992" s="555"/>
      <c r="G992" s="555"/>
      <c r="H992" s="555"/>
      <c r="I992" s="555"/>
      <c r="J992" s="555"/>
      <c r="K992" s="555"/>
      <c r="L992" s="555"/>
      <c r="M992" s="555"/>
      <c r="N992" s="555"/>
      <c r="O992" s="555"/>
      <c r="P992" s="555"/>
      <c r="Q992" s="555"/>
      <c r="R992" s="555"/>
      <c r="S992" s="555"/>
      <c r="T992" s="555"/>
      <c r="U992" s="555"/>
      <c r="V992" s="555"/>
      <c r="W992" s="555"/>
      <c r="X992" s="555"/>
      <c r="Y992" s="555"/>
      <c r="Z992" s="555"/>
    </row>
    <row r="993">
      <c r="A993" s="555"/>
      <c r="B993" s="555"/>
      <c r="C993" s="555"/>
      <c r="D993" s="555"/>
      <c r="E993" s="555"/>
      <c r="F993" s="555"/>
      <c r="G993" s="555"/>
      <c r="H993" s="555"/>
      <c r="I993" s="555"/>
      <c r="J993" s="555"/>
      <c r="K993" s="555"/>
      <c r="L993" s="555"/>
      <c r="M993" s="555"/>
      <c r="N993" s="555"/>
      <c r="O993" s="555"/>
      <c r="P993" s="555"/>
      <c r="Q993" s="555"/>
      <c r="R993" s="555"/>
      <c r="S993" s="555"/>
      <c r="T993" s="555"/>
      <c r="U993" s="555"/>
      <c r="V993" s="555"/>
      <c r="W993" s="555"/>
      <c r="X993" s="555"/>
      <c r="Y993" s="555"/>
      <c r="Z993" s="555"/>
    </row>
    <row r="994">
      <c r="A994" s="555"/>
      <c r="B994" s="555"/>
      <c r="C994" s="555"/>
      <c r="D994" s="555"/>
      <c r="E994" s="555"/>
      <c r="F994" s="555"/>
      <c r="G994" s="555"/>
      <c r="H994" s="555"/>
      <c r="I994" s="555"/>
      <c r="J994" s="555"/>
      <c r="K994" s="555"/>
      <c r="L994" s="555"/>
      <c r="M994" s="555"/>
      <c r="N994" s="555"/>
      <c r="O994" s="555"/>
      <c r="P994" s="555"/>
      <c r="Q994" s="555"/>
      <c r="R994" s="555"/>
      <c r="S994" s="555"/>
      <c r="T994" s="555"/>
      <c r="U994" s="555"/>
      <c r="V994" s="555"/>
      <c r="W994" s="555"/>
      <c r="X994" s="555"/>
      <c r="Y994" s="555"/>
      <c r="Z994" s="555"/>
    </row>
    <row r="995">
      <c r="A995" s="555"/>
      <c r="B995" s="555"/>
      <c r="C995" s="555"/>
      <c r="D995" s="555"/>
      <c r="E995" s="555"/>
      <c r="F995" s="555"/>
      <c r="G995" s="555"/>
      <c r="H995" s="555"/>
      <c r="I995" s="555"/>
      <c r="J995" s="555"/>
      <c r="K995" s="555"/>
      <c r="L995" s="555"/>
      <c r="M995" s="555"/>
      <c r="N995" s="555"/>
      <c r="O995" s="555"/>
      <c r="P995" s="555"/>
      <c r="Q995" s="555"/>
      <c r="R995" s="555"/>
      <c r="S995" s="555"/>
      <c r="T995" s="555"/>
      <c r="U995" s="555"/>
      <c r="V995" s="555"/>
      <c r="W995" s="555"/>
      <c r="X995" s="555"/>
      <c r="Y995" s="555"/>
      <c r="Z995" s="555"/>
    </row>
    <row r="996">
      <c r="A996" s="555"/>
      <c r="B996" s="555"/>
      <c r="C996" s="555"/>
      <c r="D996" s="555"/>
      <c r="E996" s="555"/>
      <c r="F996" s="555"/>
      <c r="G996" s="555"/>
      <c r="H996" s="555"/>
      <c r="I996" s="555"/>
      <c r="J996" s="555"/>
      <c r="K996" s="555"/>
      <c r="L996" s="555"/>
      <c r="M996" s="555"/>
      <c r="N996" s="555"/>
      <c r="O996" s="555"/>
      <c r="P996" s="555"/>
      <c r="Q996" s="555"/>
      <c r="R996" s="555"/>
      <c r="S996" s="555"/>
      <c r="T996" s="555"/>
      <c r="U996" s="555"/>
      <c r="V996" s="555"/>
      <c r="W996" s="555"/>
      <c r="X996" s="555"/>
      <c r="Y996" s="555"/>
      <c r="Z996" s="555"/>
    </row>
    <row r="997">
      <c r="A997" s="555"/>
      <c r="B997" s="555"/>
      <c r="C997" s="555"/>
      <c r="D997" s="555"/>
      <c r="E997" s="555"/>
      <c r="F997" s="555"/>
      <c r="G997" s="555"/>
      <c r="H997" s="555"/>
      <c r="I997" s="555"/>
      <c r="J997" s="555"/>
      <c r="K997" s="555"/>
      <c r="L997" s="555"/>
      <c r="M997" s="555"/>
      <c r="N997" s="555"/>
      <c r="O997" s="555"/>
      <c r="P997" s="555"/>
      <c r="Q997" s="555"/>
      <c r="R997" s="555"/>
      <c r="S997" s="555"/>
      <c r="T997" s="555"/>
      <c r="U997" s="555"/>
      <c r="V997" s="555"/>
      <c r="W997" s="555"/>
      <c r="X997" s="555"/>
      <c r="Y997" s="555"/>
      <c r="Z997" s="555"/>
    </row>
    <row r="998">
      <c r="A998" s="555"/>
      <c r="B998" s="555"/>
      <c r="C998" s="555"/>
      <c r="D998" s="555"/>
      <c r="E998" s="555"/>
      <c r="F998" s="555"/>
      <c r="G998" s="555"/>
      <c r="H998" s="555"/>
      <c r="I998" s="555"/>
      <c r="J998" s="555"/>
      <c r="K998" s="555"/>
      <c r="L998" s="555"/>
      <c r="M998" s="555"/>
      <c r="N998" s="555"/>
      <c r="O998" s="555"/>
      <c r="P998" s="555"/>
      <c r="Q998" s="555"/>
      <c r="R998" s="555"/>
      <c r="S998" s="555"/>
      <c r="T998" s="555"/>
      <c r="U998" s="555"/>
      <c r="V998" s="555"/>
      <c r="W998" s="555"/>
      <c r="X998" s="555"/>
      <c r="Y998" s="555"/>
      <c r="Z998" s="555"/>
    </row>
    <row r="999">
      <c r="A999" s="555"/>
      <c r="B999" s="555"/>
      <c r="C999" s="555"/>
      <c r="D999" s="555"/>
      <c r="E999" s="555"/>
      <c r="F999" s="555"/>
      <c r="G999" s="555"/>
      <c r="H999" s="555"/>
      <c r="I999" s="555"/>
      <c r="J999" s="555"/>
      <c r="K999" s="555"/>
      <c r="L999" s="555"/>
      <c r="M999" s="555"/>
      <c r="N999" s="555"/>
      <c r="O999" s="555"/>
      <c r="P999" s="555"/>
      <c r="Q999" s="555"/>
      <c r="R999" s="555"/>
      <c r="S999" s="555"/>
      <c r="T999" s="555"/>
      <c r="U999" s="555"/>
      <c r="V999" s="555"/>
      <c r="W999" s="555"/>
      <c r="X999" s="555"/>
      <c r="Y999" s="555"/>
      <c r="Z999" s="555"/>
    </row>
    <row r="1000">
      <c r="A1000" s="555"/>
      <c r="B1000" s="555"/>
      <c r="C1000" s="555"/>
      <c r="D1000" s="555"/>
      <c r="E1000" s="555"/>
      <c r="F1000" s="555"/>
      <c r="G1000" s="555"/>
      <c r="H1000" s="555"/>
      <c r="I1000" s="555"/>
      <c r="J1000" s="555"/>
      <c r="K1000" s="555"/>
      <c r="L1000" s="555"/>
      <c r="M1000" s="555"/>
      <c r="N1000" s="555"/>
      <c r="O1000" s="555"/>
      <c r="P1000" s="555"/>
      <c r="Q1000" s="555"/>
      <c r="R1000" s="555"/>
      <c r="S1000" s="555"/>
      <c r="T1000" s="555"/>
      <c r="U1000" s="555"/>
      <c r="V1000" s="555"/>
      <c r="W1000" s="555"/>
      <c r="X1000" s="555"/>
      <c r="Y1000" s="555"/>
      <c r="Z1000" s="555"/>
    </row>
    <row r="1001">
      <c r="A1001" s="555"/>
      <c r="B1001" s="555"/>
      <c r="C1001" s="555"/>
      <c r="D1001" s="555"/>
      <c r="E1001" s="555"/>
      <c r="F1001" s="555"/>
      <c r="G1001" s="555"/>
      <c r="H1001" s="555"/>
      <c r="I1001" s="555"/>
      <c r="J1001" s="555"/>
      <c r="K1001" s="555"/>
      <c r="L1001" s="555"/>
      <c r="M1001" s="555"/>
      <c r="N1001" s="555"/>
      <c r="O1001" s="555"/>
      <c r="P1001" s="555"/>
      <c r="Q1001" s="555"/>
      <c r="R1001" s="555"/>
      <c r="S1001" s="555"/>
      <c r="T1001" s="555"/>
      <c r="U1001" s="555"/>
      <c r="V1001" s="555"/>
      <c r="W1001" s="555"/>
      <c r="X1001" s="555"/>
      <c r="Y1001" s="555"/>
      <c r="Z1001" s="55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57"/>
    <col customWidth="1" min="4" max="4" width="23.57"/>
    <col customWidth="1" min="6" max="6" width="29.29"/>
  </cols>
  <sheetData>
    <row r="1">
      <c r="A1" s="387" t="s">
        <v>9971</v>
      </c>
      <c r="B1" s="387" t="s">
        <v>9972</v>
      </c>
      <c r="C1" s="387" t="s">
        <v>9973</v>
      </c>
      <c r="D1" s="387" t="s">
        <v>9974</v>
      </c>
      <c r="E1" s="387" t="s">
        <v>9975</v>
      </c>
      <c r="F1" s="387" t="s">
        <v>9976</v>
      </c>
    </row>
    <row r="2">
      <c r="A2" s="550" t="s">
        <v>1926</v>
      </c>
      <c r="B2" s="45" t="s">
        <v>9977</v>
      </c>
      <c r="C2" s="45" t="s">
        <v>151</v>
      </c>
      <c r="D2" s="45" t="s">
        <v>9978</v>
      </c>
      <c r="E2" s="45" t="s">
        <v>3906</v>
      </c>
    </row>
    <row r="3">
      <c r="A3" s="550" t="s">
        <v>618</v>
      </c>
      <c r="B3" s="45" t="s">
        <v>3871</v>
      </c>
      <c r="C3" s="45" t="s">
        <v>106</v>
      </c>
      <c r="D3" s="45" t="s">
        <v>9979</v>
      </c>
      <c r="E3" s="45" t="s">
        <v>2082</v>
      </c>
    </row>
    <row r="4">
      <c r="A4" s="550" t="s">
        <v>734</v>
      </c>
      <c r="B4" s="45" t="s">
        <v>2149</v>
      </c>
      <c r="C4" s="45" t="s">
        <v>441</v>
      </c>
      <c r="D4" s="45" t="s">
        <v>9980</v>
      </c>
    </row>
    <row r="5">
      <c r="A5" s="550" t="s">
        <v>791</v>
      </c>
      <c r="B5" s="45" t="s">
        <v>17</v>
      </c>
      <c r="C5" s="45" t="s">
        <v>195</v>
      </c>
      <c r="D5" s="45" t="s">
        <v>9981</v>
      </c>
    </row>
    <row r="6">
      <c r="A6" s="550" t="s">
        <v>884</v>
      </c>
      <c r="B6" s="45" t="s">
        <v>20</v>
      </c>
      <c r="C6" s="45" t="s">
        <v>164</v>
      </c>
    </row>
    <row r="7">
      <c r="A7" s="550" t="s">
        <v>9783</v>
      </c>
      <c r="B7" s="45" t="s">
        <v>23</v>
      </c>
      <c r="C7" s="45" t="s">
        <v>93</v>
      </c>
    </row>
    <row r="8">
      <c r="A8" s="550" t="s">
        <v>955</v>
      </c>
      <c r="B8" s="45" t="s">
        <v>25</v>
      </c>
      <c r="C8" s="45" t="s">
        <v>210</v>
      </c>
    </row>
    <row r="9">
      <c r="A9" s="550" t="s">
        <v>9787</v>
      </c>
      <c r="B9" s="45" t="s">
        <v>28</v>
      </c>
      <c r="C9" s="45" t="s">
        <v>394</v>
      </c>
    </row>
    <row r="10">
      <c r="A10" s="550" t="s">
        <v>9983</v>
      </c>
      <c r="B10" s="45" t="s">
        <v>30</v>
      </c>
      <c r="C10" s="45" t="s">
        <v>358</v>
      </c>
    </row>
    <row r="11">
      <c r="A11" s="550" t="s">
        <v>506</v>
      </c>
      <c r="B11" s="45" t="s">
        <v>15</v>
      </c>
      <c r="C11" s="45" t="s">
        <v>331</v>
      </c>
    </row>
    <row r="12">
      <c r="A12" s="550" t="s">
        <v>9984</v>
      </c>
      <c r="B12" s="45" t="s">
        <v>32</v>
      </c>
      <c r="C12" s="45" t="s">
        <v>140</v>
      </c>
    </row>
    <row r="13">
      <c r="A13" s="551" t="s">
        <v>9985</v>
      </c>
      <c r="B13" s="45" t="s">
        <v>4464</v>
      </c>
      <c r="C13" s="45" t="s">
        <v>129</v>
      </c>
    </row>
    <row r="14">
      <c r="A14" s="45" t="s">
        <v>9986</v>
      </c>
      <c r="C14" s="45" t="s">
        <v>120</v>
      </c>
    </row>
    <row r="15">
      <c r="A15" s="551" t="s">
        <v>9987</v>
      </c>
      <c r="C15" s="45" t="s">
        <v>189</v>
      </c>
    </row>
    <row r="16">
      <c r="A16" s="551" t="s">
        <v>9988</v>
      </c>
      <c r="C16" s="45" t="s">
        <v>737</v>
      </c>
    </row>
    <row r="17">
      <c r="A17" s="550" t="s">
        <v>2102</v>
      </c>
      <c r="C17" s="45" t="s">
        <v>481</v>
      </c>
    </row>
    <row r="18">
      <c r="A18" s="45" t="s">
        <v>9989</v>
      </c>
      <c r="C18" s="45" t="s">
        <v>398</v>
      </c>
    </row>
    <row r="19">
      <c r="A19" s="551" t="s">
        <v>9990</v>
      </c>
      <c r="C19" s="45" t="s">
        <v>446</v>
      </c>
    </row>
    <row r="20">
      <c r="A20" s="45" t="s">
        <v>9991</v>
      </c>
      <c r="C20" s="45" t="s">
        <v>275</v>
      </c>
    </row>
    <row r="21">
      <c r="A21" s="551" t="s">
        <v>9992</v>
      </c>
      <c r="C21" s="45" t="s">
        <v>146</v>
      </c>
    </row>
    <row r="22">
      <c r="A22" s="550" t="s">
        <v>8845</v>
      </c>
      <c r="C22" s="45" t="s">
        <v>1040</v>
      </c>
    </row>
    <row r="23">
      <c r="A23" s="551" t="s">
        <v>9993</v>
      </c>
      <c r="C23" s="45" t="s">
        <v>368</v>
      </c>
    </row>
    <row r="24">
      <c r="A24" s="550" t="s">
        <v>9994</v>
      </c>
      <c r="C24" s="45" t="s">
        <v>1017</v>
      </c>
    </row>
    <row r="25">
      <c r="A25" s="551" t="s">
        <v>9995</v>
      </c>
      <c r="C25" s="45" t="s">
        <v>280</v>
      </c>
    </row>
    <row r="26">
      <c r="C26" s="45" t="s">
        <v>299</v>
      </c>
    </row>
    <row r="27">
      <c r="C27" s="45" t="s">
        <v>9996</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38.14"/>
    <col customWidth="1" min="4" max="7" width="19.14"/>
    <col customWidth="1" min="8" max="8" width="15.0"/>
    <col customWidth="1" min="10" max="10" width="7.86"/>
    <col customWidth="1" min="11" max="11" width="8.0"/>
    <col customWidth="1" min="12" max="12" width="8.14"/>
    <col customWidth="1" min="13" max="13" width="8.29"/>
    <col customWidth="1" min="14" max="15" width="50.71"/>
    <col customWidth="1" min="16" max="17" width="22.14"/>
    <col customWidth="1" min="18" max="18" width="29.0"/>
    <col customWidth="1" min="19" max="19" width="37.43"/>
  </cols>
  <sheetData>
    <row r="1" ht="21.0" customHeight="1">
      <c r="A1" s="661"/>
      <c r="B1" s="661" t="s">
        <v>4034</v>
      </c>
      <c r="C1" s="662" t="s">
        <v>10000</v>
      </c>
      <c r="D1" s="662" t="s">
        <v>10002</v>
      </c>
      <c r="E1" s="662" t="s">
        <v>10003</v>
      </c>
      <c r="F1" s="662" t="s">
        <v>10004</v>
      </c>
      <c r="G1" s="662" t="s">
        <v>10005</v>
      </c>
      <c r="H1" s="661" t="s">
        <v>10007</v>
      </c>
      <c r="I1" s="662" t="s">
        <v>10008</v>
      </c>
      <c r="J1" s="661" t="s">
        <v>10009</v>
      </c>
      <c r="K1" s="661" t="s">
        <v>10010</v>
      </c>
      <c r="L1" s="661" t="s">
        <v>10011</v>
      </c>
      <c r="M1" s="661" t="s">
        <v>10012</v>
      </c>
      <c r="N1" s="662" t="s">
        <v>10013</v>
      </c>
      <c r="O1" s="662" t="s">
        <v>10014</v>
      </c>
      <c r="P1" s="662" t="s">
        <v>10015</v>
      </c>
      <c r="Q1" s="662" t="s">
        <v>10016</v>
      </c>
      <c r="R1" s="661" t="s">
        <v>10017</v>
      </c>
      <c r="S1" s="662" t="s">
        <v>10018</v>
      </c>
      <c r="T1" s="662" t="s">
        <v>10019</v>
      </c>
    </row>
    <row r="2">
      <c r="A2" s="52"/>
      <c r="B2" s="69" t="s">
        <v>10020</v>
      </c>
      <c r="C2" s="670" t="str">
        <f t="array" ref="C2:G992">IF(ISNA(VLOOKUP(A2:A992, Master!A2:AA992, {13,14,18,15,16},FALSE)),"",VLOOKUP(A2:A992, Master!A2:AA992, {13,14,18,15,16},FALSE))</f>
        <v/>
      </c>
      <c r="D2" s="56" t="s">
        <v>70</v>
      </c>
      <c r="E2" s="56" t="s">
        <v>70</v>
      </c>
      <c r="F2" s="56" t="s">
        <v>70</v>
      </c>
      <c r="G2" s="56" t="s">
        <v>70</v>
      </c>
      <c r="H2" s="209"/>
      <c r="I2" s="2" t="str">
        <f t="shared" ref="I2:I168" si="2">IFS(H2=1, "{{sp-one}}", H2=2, "{{sp-two}}", H2=3, "{{sp-three}}", H2=4, "{{sp-four}}")</f>
        <v>#N/A</v>
      </c>
      <c r="J2" s="209"/>
      <c r="K2" s="209"/>
      <c r="L2" s="56"/>
      <c r="M2" s="56"/>
      <c r="N2" s="56" t="str">
        <f t="shared" ref="N2:Q2" si="1">CONCATENATE("/", #REF!, "/", J2)</f>
        <v>#REF!</v>
      </c>
      <c r="O2" s="56" t="str">
        <f t="shared" si="1"/>
        <v>#REF!</v>
      </c>
      <c r="P2" s="56" t="str">
        <f t="shared" si="1"/>
        <v>#REF!</v>
      </c>
      <c r="Q2" s="56" t="str">
        <f t="shared" si="1"/>
        <v>#REF!</v>
      </c>
      <c r="R2" s="209"/>
      <c r="S2" s="56" t="str">
        <f>CONCATENATE("/", #REF!, "/", R2)</f>
        <v>#REF!</v>
      </c>
      <c r="T2" s="4" t="str">
        <f>C2</f>
        <v/>
      </c>
    </row>
    <row r="3">
      <c r="A3" s="671" t="s">
        <v>3947</v>
      </c>
      <c r="B3" s="672">
        <v>0.040671296296296296</v>
      </c>
      <c r="C3" s="673" t="s">
        <v>1579</v>
      </c>
      <c r="D3" s="673" t="s">
        <v>1134</v>
      </c>
      <c r="E3" s="673" t="s">
        <v>433</v>
      </c>
      <c r="F3" s="673"/>
      <c r="G3" s="673"/>
      <c r="H3" s="674">
        <v>2.0</v>
      </c>
      <c r="I3" s="161" t="str">
        <f t="shared" si="2"/>
        <v>{{sp-two}}</v>
      </c>
      <c r="J3" s="674" t="s">
        <v>10043</v>
      </c>
      <c r="K3" s="674" t="s">
        <v>10044</v>
      </c>
      <c r="L3" s="673"/>
      <c r="M3" s="673"/>
      <c r="N3" s="673" t="str">
        <f t="shared" ref="N3:N14" si="3">CONCATENATE("/", A3, "/", J3)</f>
        <v>/1140 - Channel/Mitchell Baker.png</v>
      </c>
      <c r="O3" s="673" t="str">
        <f t="shared" ref="O3:O14" si="4">CONCATENATE("/", A3, "/", K3)</f>
        <v>/1140 - Channel/Steve Clemons.png</v>
      </c>
      <c r="P3" s="673" t="str">
        <f t="shared" ref="P3:P14" si="5">CONCATENATE("/", A3, "/", L3)</f>
        <v>/1140 - Channel/</v>
      </c>
      <c r="Q3" s="673" t="str">
        <f t="shared" ref="Q3:Q14" si="6">CONCATENATE("/", A3, "/", M3)</f>
        <v>/1140 - Channel/</v>
      </c>
      <c r="R3" s="674" t="s">
        <v>10046</v>
      </c>
      <c r="S3" s="673" t="str">
        <f t="shared" ref="S3:S14" si="7">CONCATENATE("/", A3, "/", R3)</f>
        <v>/1140 - Channel/In depth Mitchell Baker.wav</v>
      </c>
      <c r="T3" s="674" t="s">
        <v>10047</v>
      </c>
      <c r="U3" s="671"/>
      <c r="V3" s="671"/>
      <c r="W3" s="671"/>
      <c r="X3" s="671"/>
      <c r="Y3" s="671"/>
      <c r="Z3" s="671"/>
      <c r="AA3" s="671"/>
      <c r="AB3" s="671"/>
      <c r="AC3" s="671"/>
      <c r="AD3" s="671"/>
      <c r="AE3" s="671"/>
      <c r="AF3" s="671"/>
    </row>
    <row r="4">
      <c r="A4" s="677" t="s">
        <v>3957</v>
      </c>
      <c r="B4" s="88">
        <v>0.029675925925925925</v>
      </c>
      <c r="C4" s="56" t="s">
        <v>1573</v>
      </c>
      <c r="D4" s="56" t="s">
        <v>236</v>
      </c>
      <c r="E4" s="56" t="s">
        <v>1574</v>
      </c>
      <c r="F4" s="56"/>
      <c r="G4" s="56"/>
      <c r="H4" s="209">
        <v>2.0</v>
      </c>
      <c r="I4" s="161" t="str">
        <f t="shared" si="2"/>
        <v>{{sp-two}}</v>
      </c>
      <c r="J4" s="209" t="s">
        <v>10049</v>
      </c>
      <c r="K4" s="209" t="s">
        <v>10050</v>
      </c>
      <c r="L4" s="209"/>
      <c r="M4" s="209"/>
      <c r="N4" s="673" t="str">
        <f t="shared" si="3"/>
        <v>/1143 - Channel/Sid Sijbrandij.jpeg</v>
      </c>
      <c r="O4" s="673" t="str">
        <f t="shared" si="4"/>
        <v>/1143 - Channel/Ron Miller.jpg</v>
      </c>
      <c r="P4" s="673" t="str">
        <f t="shared" si="5"/>
        <v>/1143 - Channel/</v>
      </c>
      <c r="Q4" s="673" t="str">
        <f t="shared" si="6"/>
        <v>/1143 - Channel/</v>
      </c>
      <c r="R4" s="209" t="s">
        <v>10051</v>
      </c>
      <c r="S4" s="673" t="str">
        <f t="shared" si="7"/>
        <v>/1143 - Channel/In Depth Sid Sijbrandij Final.wav</v>
      </c>
      <c r="T4" s="209" t="s">
        <v>10052</v>
      </c>
    </row>
    <row r="5">
      <c r="A5" s="677" t="s">
        <v>4134</v>
      </c>
      <c r="B5" s="88">
        <v>0.029074074074074075</v>
      </c>
      <c r="C5" s="56" t="s">
        <v>1525</v>
      </c>
      <c r="D5" s="56" t="s">
        <v>201</v>
      </c>
      <c r="E5" s="56" t="s">
        <v>752</v>
      </c>
      <c r="F5" s="56" t="s">
        <v>1526</v>
      </c>
      <c r="G5" s="56"/>
      <c r="H5" s="209">
        <v>3.0</v>
      </c>
      <c r="I5" s="161" t="str">
        <f t="shared" si="2"/>
        <v>{{sp-three}}</v>
      </c>
      <c r="J5" s="209" t="s">
        <v>10053</v>
      </c>
      <c r="K5" s="209" t="s">
        <v>10054</v>
      </c>
      <c r="L5" s="209" t="s">
        <v>10055</v>
      </c>
      <c r="M5" s="56"/>
      <c r="N5" s="673" t="str">
        <f t="shared" si="3"/>
        <v>/1191 - Channel/Stephanie Mehta.jpg</v>
      </c>
      <c r="O5" s="673" t="str">
        <f t="shared" si="4"/>
        <v>/1191 - Channel/Nicole Carroll.jpeg</v>
      </c>
      <c r="P5" s="673" t="str">
        <f t="shared" si="5"/>
        <v>/1191 - Channel/Betsy Reed.png</v>
      </c>
      <c r="Q5" s="673" t="str">
        <f t="shared" si="6"/>
        <v>/1191 - Channel/</v>
      </c>
      <c r="R5" s="209" t="s">
        <v>10056</v>
      </c>
      <c r="S5" s="673" t="str">
        <f t="shared" si="7"/>
        <v>/1191 - Channel/In depth_ Editors Roundtable - FINAL Edit.wav</v>
      </c>
      <c r="T5" s="209" t="s">
        <v>10057</v>
      </c>
    </row>
    <row r="6">
      <c r="A6" s="677" t="s">
        <v>3970</v>
      </c>
      <c r="B6" s="678">
        <v>0.02607638888888889</v>
      </c>
      <c r="C6" s="679" t="s">
        <v>1504</v>
      </c>
      <c r="D6" s="56" t="s">
        <v>1505</v>
      </c>
      <c r="E6" s="56" t="s">
        <v>110</v>
      </c>
      <c r="F6" s="56"/>
      <c r="G6" s="56"/>
      <c r="H6" s="209">
        <v>2.0</v>
      </c>
      <c r="I6" s="161" t="str">
        <f t="shared" si="2"/>
        <v>{{sp-two}}</v>
      </c>
      <c r="J6" s="209" t="s">
        <v>10058</v>
      </c>
      <c r="K6" s="209" t="s">
        <v>10059</v>
      </c>
      <c r="L6" s="56"/>
      <c r="M6" s="56"/>
      <c r="N6" s="673" t="str">
        <f t="shared" si="3"/>
        <v>/1146 - Channel/Gary Liu.jpg</v>
      </c>
      <c r="O6" s="673" t="str">
        <f t="shared" si="4"/>
        <v>/1146 - Channel/Peter Kafka.jpg</v>
      </c>
      <c r="P6" s="673" t="str">
        <f t="shared" si="5"/>
        <v>/1146 - Channel/</v>
      </c>
      <c r="Q6" s="673" t="str">
        <f t="shared" si="6"/>
        <v>/1146 - Channel/</v>
      </c>
      <c r="R6" s="209" t="s">
        <v>10060</v>
      </c>
      <c r="S6" s="673" t="str">
        <f t="shared" si="7"/>
        <v>/1146 - Channel/In depth Gary Liu - Final.wav</v>
      </c>
      <c r="T6" s="680" t="s">
        <v>10061</v>
      </c>
    </row>
    <row r="7">
      <c r="A7" s="677" t="s">
        <v>4069</v>
      </c>
      <c r="B7" s="88">
        <v>0.02428240740740741</v>
      </c>
      <c r="C7" s="56" t="s">
        <v>1625</v>
      </c>
      <c r="D7" s="56" t="s">
        <v>725</v>
      </c>
      <c r="E7" s="56" t="s">
        <v>520</v>
      </c>
      <c r="F7" s="56"/>
      <c r="G7" s="56"/>
      <c r="H7" s="209">
        <v>2.0</v>
      </c>
      <c r="I7" s="161" t="str">
        <f t="shared" si="2"/>
        <v>{{sp-two}}</v>
      </c>
      <c r="J7" s="209" t="s">
        <v>10064</v>
      </c>
      <c r="K7" s="209" t="s">
        <v>10065</v>
      </c>
      <c r="L7" s="56"/>
      <c r="M7" s="56"/>
      <c r="N7" s="673" t="str">
        <f t="shared" si="3"/>
        <v>/1179 - Channel/Molly Bloom.jpg</v>
      </c>
      <c r="O7" s="673" t="str">
        <f t="shared" si="4"/>
        <v>/1179 - Channel/Samantha Barry.jpg</v>
      </c>
      <c r="P7" s="673" t="str">
        <f t="shared" si="5"/>
        <v>/1179 - Channel/</v>
      </c>
      <c r="Q7" s="673" t="str">
        <f t="shared" si="6"/>
        <v>/1179 - Channel/</v>
      </c>
      <c r="R7" s="209" t="s">
        <v>10066</v>
      </c>
      <c r="S7" s="673" t="str">
        <f t="shared" si="7"/>
        <v>/1179 - Channel/In depth Molly Bloom.wav</v>
      </c>
      <c r="T7" s="209" t="s">
        <v>10067</v>
      </c>
    </row>
    <row r="8">
      <c r="A8" s="677" t="s">
        <v>4322</v>
      </c>
      <c r="B8" s="683">
        <v>0.021041666666666667</v>
      </c>
      <c r="C8" s="684" t="s">
        <v>1630</v>
      </c>
      <c r="D8" s="684" t="s">
        <v>845</v>
      </c>
      <c r="E8" s="684" t="s">
        <v>846</v>
      </c>
      <c r="F8" s="684"/>
      <c r="G8" s="684"/>
      <c r="H8" s="685">
        <v>2.0</v>
      </c>
      <c r="I8" s="161" t="str">
        <f t="shared" si="2"/>
        <v>{{sp-two}}</v>
      </c>
      <c r="J8" s="685" t="s">
        <v>10068</v>
      </c>
      <c r="K8" s="685" t="s">
        <v>10069</v>
      </c>
      <c r="L8" s="684"/>
      <c r="M8" s="684"/>
      <c r="N8" s="673" t="str">
        <f t="shared" si="3"/>
        <v>/1232 - Channel/Margaret Atwood.jpg</v>
      </c>
      <c r="O8" s="673" t="str">
        <f t="shared" si="4"/>
        <v>/1232 - Channel/David Remnick.jpg</v>
      </c>
      <c r="P8" s="673" t="str">
        <f t="shared" si="5"/>
        <v>/1232 - Channel/</v>
      </c>
      <c r="Q8" s="673" t="str">
        <f t="shared" si="6"/>
        <v>/1232 - Channel/</v>
      </c>
      <c r="R8" s="686" t="s">
        <v>10070</v>
      </c>
      <c r="S8" s="673" t="str">
        <f t="shared" si="7"/>
        <v>/1232 - Channel/In conversation with Margaret Atwood.wav</v>
      </c>
      <c r="T8" s="684" t="s">
        <v>1630</v>
      </c>
      <c r="U8" s="687"/>
      <c r="V8" s="687"/>
      <c r="W8" s="687"/>
      <c r="X8" s="687"/>
      <c r="Y8" s="687"/>
      <c r="Z8" s="687"/>
      <c r="AA8" s="687"/>
      <c r="AB8" s="687"/>
      <c r="AC8" s="687"/>
      <c r="AD8" s="687"/>
      <c r="AE8" s="687"/>
      <c r="AF8" s="687"/>
    </row>
    <row r="9">
      <c r="A9" s="677" t="s">
        <v>3868</v>
      </c>
      <c r="B9" s="88">
        <v>0.02048611111111111</v>
      </c>
      <c r="C9" s="56" t="s">
        <v>1559</v>
      </c>
      <c r="D9" s="56" t="s">
        <v>1160</v>
      </c>
      <c r="E9" s="56" t="s">
        <v>96</v>
      </c>
      <c r="F9" s="56"/>
      <c r="G9" s="56"/>
      <c r="H9" s="209">
        <v>2.0</v>
      </c>
      <c r="I9" s="161" t="str">
        <f t="shared" si="2"/>
        <v>{{sp-two}}</v>
      </c>
      <c r="J9" s="209" t="s">
        <v>10071</v>
      </c>
      <c r="K9" s="209" t="s">
        <v>10072</v>
      </c>
      <c r="L9" s="56"/>
      <c r="M9" s="56"/>
      <c r="N9" s="673" t="str">
        <f t="shared" si="3"/>
        <v>/1125 - Channel/Vinod Khosla.jpg</v>
      </c>
      <c r="O9" s="673" t="str">
        <f t="shared" si="4"/>
        <v>/1125 - Channel/Jessica Lessin.jpg</v>
      </c>
      <c r="P9" s="673" t="str">
        <f t="shared" si="5"/>
        <v>/1125 - Channel/</v>
      </c>
      <c r="Q9" s="673" t="str">
        <f t="shared" si="6"/>
        <v>/1125 - Channel/</v>
      </c>
      <c r="R9" s="209" t="s">
        <v>10073</v>
      </c>
      <c r="S9" s="673" t="str">
        <f t="shared" si="7"/>
        <v>/1125 - Channel/In depth Vinod Khosla - Final Edit.wav</v>
      </c>
      <c r="T9" s="209" t="s">
        <v>10074</v>
      </c>
    </row>
    <row r="10">
      <c r="A10" s="677" t="s">
        <v>4204</v>
      </c>
      <c r="B10" s="88">
        <v>0.017685185185185186</v>
      </c>
      <c r="C10" s="56" t="s">
        <v>1587</v>
      </c>
      <c r="D10" s="56" t="s">
        <v>278</v>
      </c>
      <c r="E10" s="56" t="s">
        <v>279</v>
      </c>
      <c r="F10" s="56"/>
      <c r="G10" s="56"/>
      <c r="H10" s="209">
        <v>2.0</v>
      </c>
      <c r="I10" s="161" t="str">
        <f t="shared" si="2"/>
        <v>{{sp-two}}</v>
      </c>
      <c r="J10" s="209" t="s">
        <v>10076</v>
      </c>
      <c r="K10" s="209" t="s">
        <v>10077</v>
      </c>
      <c r="L10" s="56"/>
      <c r="M10" s="56"/>
      <c r="N10" s="673" t="str">
        <f t="shared" si="3"/>
        <v>/1200 - Channel/Jeremy Zimmer.jpg</v>
      </c>
      <c r="O10" s="673" t="str">
        <f t="shared" si="4"/>
        <v>/1200 - Channel/Dylan Byers.jpg</v>
      </c>
      <c r="P10" s="673" t="str">
        <f t="shared" si="5"/>
        <v>/1200 - Channel/</v>
      </c>
      <c r="Q10" s="673" t="str">
        <f t="shared" si="6"/>
        <v>/1200 - Channel/</v>
      </c>
      <c r="R10" s="209" t="s">
        <v>10078</v>
      </c>
      <c r="S10" s="673" t="str">
        <f t="shared" si="7"/>
        <v>/1200 - Channel/In depth Jeremy Zimmer Wav.wav</v>
      </c>
      <c r="T10" s="209" t="s">
        <v>10079</v>
      </c>
    </row>
    <row r="11">
      <c r="A11" s="688" t="s">
        <v>3885</v>
      </c>
      <c r="B11" s="689">
        <v>0.017326388888888888</v>
      </c>
      <c r="C11" s="673" t="s">
        <v>1529</v>
      </c>
      <c r="D11" s="673" t="s">
        <v>579</v>
      </c>
      <c r="E11" s="673" t="s">
        <v>1530</v>
      </c>
      <c r="F11" s="673"/>
      <c r="G11" s="673"/>
      <c r="H11" s="674">
        <v>2.0</v>
      </c>
      <c r="I11" s="161" t="str">
        <f t="shared" si="2"/>
        <v>{{sp-two}}</v>
      </c>
      <c r="J11" s="674" t="s">
        <v>10080</v>
      </c>
      <c r="K11" s="674" t="s">
        <v>10081</v>
      </c>
      <c r="L11" s="673"/>
      <c r="M11" s="673"/>
      <c r="N11" s="673" t="str">
        <f t="shared" si="3"/>
        <v>/1128 - Channel/Rana el Kaliouby.jpg</v>
      </c>
      <c r="O11" s="673" t="str">
        <f t="shared" si="4"/>
        <v>/1128 - Channel/Khari Johnson.jpg</v>
      </c>
      <c r="P11" s="673" t="str">
        <f t="shared" si="5"/>
        <v>/1128 - Channel/</v>
      </c>
      <c r="Q11" s="673" t="str">
        <f t="shared" si="6"/>
        <v>/1128 - Channel/</v>
      </c>
      <c r="R11" s="674" t="s">
        <v>10082</v>
      </c>
      <c r="S11" s="673" t="str">
        <f t="shared" si="7"/>
        <v>/1128 - Channel/In Depth - Rana El Kaliouby - Final.wav</v>
      </c>
      <c r="T11" s="674" t="s">
        <v>10083</v>
      </c>
      <c r="U11" s="671"/>
      <c r="V11" s="671"/>
      <c r="W11" s="671"/>
      <c r="X11" s="671"/>
      <c r="Y11" s="671"/>
      <c r="Z11" s="671"/>
      <c r="AA11" s="671"/>
      <c r="AB11" s="671"/>
      <c r="AC11" s="671"/>
      <c r="AD11" s="671"/>
      <c r="AE11" s="671"/>
      <c r="AF11" s="671"/>
    </row>
    <row r="12">
      <c r="A12" s="52"/>
      <c r="B12" s="52"/>
      <c r="C12" s="56" t="s">
        <v>70</v>
      </c>
      <c r="D12" s="56" t="s">
        <v>70</v>
      </c>
      <c r="E12" s="56" t="s">
        <v>70</v>
      </c>
      <c r="F12" s="56" t="s">
        <v>70</v>
      </c>
      <c r="G12" s="56" t="s">
        <v>70</v>
      </c>
      <c r="H12" s="56"/>
      <c r="I12" s="161" t="str">
        <f t="shared" si="2"/>
        <v>#N/A</v>
      </c>
      <c r="J12" s="56"/>
      <c r="K12" s="56"/>
      <c r="L12" s="56"/>
      <c r="M12" s="56"/>
      <c r="N12" s="673" t="str">
        <f t="shared" si="3"/>
        <v>//</v>
      </c>
      <c r="O12" s="673" t="str">
        <f t="shared" si="4"/>
        <v>//</v>
      </c>
      <c r="P12" s="673" t="str">
        <f t="shared" si="5"/>
        <v>//</v>
      </c>
      <c r="Q12" s="673" t="str">
        <f t="shared" si="6"/>
        <v>//</v>
      </c>
      <c r="R12" s="56"/>
      <c r="S12" s="673" t="str">
        <f t="shared" si="7"/>
        <v>//</v>
      </c>
      <c r="T12" s="671" t="str">
        <f t="shared" ref="T12:T15" si="8">C12</f>
        <v/>
      </c>
    </row>
    <row r="13">
      <c r="A13" s="52"/>
      <c r="B13" s="56"/>
      <c r="C13" s="56" t="s">
        <v>70</v>
      </c>
      <c r="D13" s="56" t="s">
        <v>70</v>
      </c>
      <c r="E13" s="56" t="s">
        <v>70</v>
      </c>
      <c r="F13" s="56" t="s">
        <v>70</v>
      </c>
      <c r="G13" s="56" t="s">
        <v>70</v>
      </c>
      <c r="H13" s="56"/>
      <c r="I13" s="161" t="str">
        <f t="shared" si="2"/>
        <v>#N/A</v>
      </c>
      <c r="J13" s="56"/>
      <c r="K13" s="56"/>
      <c r="L13" s="56"/>
      <c r="M13" s="56"/>
      <c r="N13" s="673" t="str">
        <f t="shared" si="3"/>
        <v>//</v>
      </c>
      <c r="O13" s="673" t="str">
        <f t="shared" si="4"/>
        <v>//</v>
      </c>
      <c r="P13" s="673" t="str">
        <f t="shared" si="5"/>
        <v>//</v>
      </c>
      <c r="Q13" s="673" t="str">
        <f t="shared" si="6"/>
        <v>//</v>
      </c>
      <c r="R13" s="56"/>
      <c r="S13" s="673" t="str">
        <f t="shared" si="7"/>
        <v>//</v>
      </c>
      <c r="T13" s="671" t="str">
        <f t="shared" si="8"/>
        <v/>
      </c>
    </row>
    <row r="14">
      <c r="A14" s="56"/>
      <c r="B14" s="52"/>
      <c r="C14" s="56" t="s">
        <v>70</v>
      </c>
      <c r="D14" s="56" t="s">
        <v>70</v>
      </c>
      <c r="E14" s="56" t="s">
        <v>70</v>
      </c>
      <c r="F14" s="56" t="s">
        <v>70</v>
      </c>
      <c r="G14" s="56" t="s">
        <v>70</v>
      </c>
      <c r="H14" s="56"/>
      <c r="I14" s="161" t="str">
        <f t="shared" si="2"/>
        <v>#N/A</v>
      </c>
      <c r="J14" s="56"/>
      <c r="K14" s="56"/>
      <c r="L14" s="56"/>
      <c r="M14" s="56"/>
      <c r="N14" s="673" t="str">
        <f t="shared" si="3"/>
        <v>//</v>
      </c>
      <c r="O14" s="673" t="str">
        <f t="shared" si="4"/>
        <v>//</v>
      </c>
      <c r="P14" s="673" t="str">
        <f t="shared" si="5"/>
        <v>//</v>
      </c>
      <c r="Q14" s="673" t="str">
        <f t="shared" si="6"/>
        <v>//</v>
      </c>
      <c r="R14" s="56"/>
      <c r="S14" s="673" t="str">
        <f t="shared" si="7"/>
        <v>//</v>
      </c>
      <c r="T14" s="671" t="str">
        <f t="shared" si="8"/>
        <v/>
      </c>
    </row>
    <row r="15">
      <c r="A15" s="56"/>
      <c r="B15" s="52"/>
      <c r="C15" s="56" t="s">
        <v>70</v>
      </c>
      <c r="D15" s="56" t="s">
        <v>70</v>
      </c>
      <c r="E15" s="56" t="s">
        <v>70</v>
      </c>
      <c r="F15" s="56" t="s">
        <v>70</v>
      </c>
      <c r="G15" s="56" t="s">
        <v>70</v>
      </c>
      <c r="H15" s="56"/>
      <c r="I15" s="2" t="str">
        <f t="shared" si="2"/>
        <v>#N/A</v>
      </c>
      <c r="J15" s="56"/>
      <c r="K15" s="56"/>
      <c r="L15" s="56"/>
      <c r="M15" s="56"/>
      <c r="N15" s="56" t="str">
        <f t="shared" ref="N15:N88" si="9">CONCATENATE("/", A13, "/", J15)</f>
        <v>//</v>
      </c>
      <c r="O15" s="56" t="str">
        <f t="shared" ref="O15:O88" si="10">CONCATENATE("/", A13, "/", K15)</f>
        <v>//</v>
      </c>
      <c r="P15" s="56" t="str">
        <f t="shared" ref="P15:P88" si="11">CONCATENATE("/", A13, "/", L15)</f>
        <v>//</v>
      </c>
      <c r="Q15" s="56" t="str">
        <f t="shared" ref="Q15:Q88" si="12">CONCATENATE("/", A13, "/", M15)</f>
        <v>//</v>
      </c>
      <c r="R15" s="56"/>
      <c r="S15" s="56" t="str">
        <f t="shared" ref="S15:S88" si="13">CONCATENATE("/", A13, "/", R15)</f>
        <v>//</v>
      </c>
      <c r="T15" s="671" t="str">
        <f t="shared" si="8"/>
        <v/>
      </c>
    </row>
    <row r="16">
      <c r="A16" s="56"/>
      <c r="B16" s="56"/>
      <c r="C16" s="56" t="s">
        <v>70</v>
      </c>
      <c r="D16" s="56" t="s">
        <v>70</v>
      </c>
      <c r="E16" s="56" t="s">
        <v>70</v>
      </c>
      <c r="F16" s="56" t="s">
        <v>70</v>
      </c>
      <c r="G16" s="56" t="s">
        <v>70</v>
      </c>
      <c r="H16" s="56"/>
      <c r="I16" s="2" t="str">
        <f t="shared" si="2"/>
        <v>#N/A</v>
      </c>
      <c r="J16" s="56"/>
      <c r="K16" s="56"/>
      <c r="L16" s="56"/>
      <c r="M16" s="56"/>
      <c r="N16" s="56" t="str">
        <f t="shared" si="9"/>
        <v>//</v>
      </c>
      <c r="O16" s="56" t="str">
        <f t="shared" si="10"/>
        <v>//</v>
      </c>
      <c r="P16" s="56" t="str">
        <f t="shared" si="11"/>
        <v>//</v>
      </c>
      <c r="Q16" s="56" t="str">
        <f t="shared" si="12"/>
        <v>//</v>
      </c>
      <c r="R16" s="56"/>
      <c r="S16" s="56" t="str">
        <f t="shared" si="13"/>
        <v>//</v>
      </c>
    </row>
    <row r="17">
      <c r="A17" s="56"/>
      <c r="B17" s="56"/>
      <c r="C17" s="56" t="s">
        <v>70</v>
      </c>
      <c r="D17" s="56" t="s">
        <v>70</v>
      </c>
      <c r="E17" s="56" t="s">
        <v>70</v>
      </c>
      <c r="F17" s="56" t="s">
        <v>70</v>
      </c>
      <c r="G17" s="56" t="s">
        <v>70</v>
      </c>
      <c r="H17" s="56"/>
      <c r="I17" s="2" t="str">
        <f t="shared" si="2"/>
        <v>#N/A</v>
      </c>
      <c r="J17" s="56"/>
      <c r="K17" s="56"/>
      <c r="L17" s="56"/>
      <c r="M17" s="56"/>
      <c r="N17" s="56" t="str">
        <f t="shared" si="9"/>
        <v>//</v>
      </c>
      <c r="O17" s="56" t="str">
        <f t="shared" si="10"/>
        <v>//</v>
      </c>
      <c r="P17" s="56" t="str">
        <f t="shared" si="11"/>
        <v>//</v>
      </c>
      <c r="Q17" s="56" t="str">
        <f t="shared" si="12"/>
        <v>//</v>
      </c>
      <c r="R17" s="56"/>
      <c r="S17" s="56" t="str">
        <f t="shared" si="13"/>
        <v>//</v>
      </c>
    </row>
    <row r="18">
      <c r="A18" s="56"/>
      <c r="B18" s="56"/>
      <c r="C18" s="56" t="s">
        <v>70</v>
      </c>
      <c r="D18" s="56" t="s">
        <v>70</v>
      </c>
      <c r="E18" s="56" t="s">
        <v>70</v>
      </c>
      <c r="F18" s="56" t="s">
        <v>70</v>
      </c>
      <c r="G18" s="56" t="s">
        <v>70</v>
      </c>
      <c r="H18" s="56"/>
      <c r="I18" s="2" t="str">
        <f t="shared" si="2"/>
        <v>#N/A</v>
      </c>
      <c r="J18" s="56"/>
      <c r="K18" s="56"/>
      <c r="L18" s="56"/>
      <c r="M18" s="56"/>
      <c r="N18" s="56" t="str">
        <f t="shared" si="9"/>
        <v>//</v>
      </c>
      <c r="O18" s="56" t="str">
        <f t="shared" si="10"/>
        <v>//</v>
      </c>
      <c r="P18" s="56" t="str">
        <f t="shared" si="11"/>
        <v>//</v>
      </c>
      <c r="Q18" s="56" t="str">
        <f t="shared" si="12"/>
        <v>//</v>
      </c>
      <c r="R18" s="56"/>
      <c r="S18" s="56" t="str">
        <f t="shared" si="13"/>
        <v>//</v>
      </c>
    </row>
    <row r="19">
      <c r="A19" s="56"/>
      <c r="B19" s="56"/>
      <c r="C19" s="56" t="s">
        <v>70</v>
      </c>
      <c r="D19" s="56" t="s">
        <v>70</v>
      </c>
      <c r="E19" s="56" t="s">
        <v>70</v>
      </c>
      <c r="F19" s="56" t="s">
        <v>70</v>
      </c>
      <c r="G19" s="56" t="s">
        <v>70</v>
      </c>
      <c r="H19" s="56"/>
      <c r="I19" s="2" t="str">
        <f t="shared" si="2"/>
        <v>#N/A</v>
      </c>
      <c r="J19" s="56"/>
      <c r="K19" s="56"/>
      <c r="L19" s="56"/>
      <c r="M19" s="56"/>
      <c r="N19" s="56" t="str">
        <f t="shared" si="9"/>
        <v>//</v>
      </c>
      <c r="O19" s="56" t="str">
        <f t="shared" si="10"/>
        <v>//</v>
      </c>
      <c r="P19" s="56" t="str">
        <f t="shared" si="11"/>
        <v>//</v>
      </c>
      <c r="Q19" s="56" t="str">
        <f t="shared" si="12"/>
        <v>//</v>
      </c>
      <c r="R19" s="56"/>
      <c r="S19" s="56" t="str">
        <f t="shared" si="13"/>
        <v>//</v>
      </c>
    </row>
    <row r="20">
      <c r="A20" s="56"/>
      <c r="B20" s="56"/>
      <c r="C20" s="56" t="s">
        <v>70</v>
      </c>
      <c r="D20" s="56" t="s">
        <v>70</v>
      </c>
      <c r="E20" s="56" t="s">
        <v>70</v>
      </c>
      <c r="F20" s="56" t="s">
        <v>70</v>
      </c>
      <c r="G20" s="56" t="s">
        <v>70</v>
      </c>
      <c r="H20" s="56"/>
      <c r="I20" s="2" t="str">
        <f t="shared" si="2"/>
        <v>#N/A</v>
      </c>
      <c r="J20" s="56"/>
      <c r="K20" s="56"/>
      <c r="L20" s="56"/>
      <c r="M20" s="56"/>
      <c r="N20" s="56" t="str">
        <f t="shared" si="9"/>
        <v>//</v>
      </c>
      <c r="O20" s="56" t="str">
        <f t="shared" si="10"/>
        <v>//</v>
      </c>
      <c r="P20" s="56" t="str">
        <f t="shared" si="11"/>
        <v>//</v>
      </c>
      <c r="Q20" s="56" t="str">
        <f t="shared" si="12"/>
        <v>//</v>
      </c>
      <c r="R20" s="56"/>
      <c r="S20" s="56" t="str">
        <f t="shared" si="13"/>
        <v>//</v>
      </c>
    </row>
    <row r="21">
      <c r="A21" s="56"/>
      <c r="B21" s="56"/>
      <c r="C21" s="56" t="s">
        <v>70</v>
      </c>
      <c r="D21" s="56" t="s">
        <v>70</v>
      </c>
      <c r="E21" s="56" t="s">
        <v>70</v>
      </c>
      <c r="F21" s="56" t="s">
        <v>70</v>
      </c>
      <c r="G21" s="56" t="s">
        <v>70</v>
      </c>
      <c r="H21" s="56"/>
      <c r="I21" s="2" t="str">
        <f t="shared" si="2"/>
        <v>#N/A</v>
      </c>
      <c r="J21" s="56"/>
      <c r="K21" s="56"/>
      <c r="L21" s="56"/>
      <c r="M21" s="56"/>
      <c r="N21" s="56" t="str">
        <f t="shared" si="9"/>
        <v>//</v>
      </c>
      <c r="O21" s="56" t="str">
        <f t="shared" si="10"/>
        <v>//</v>
      </c>
      <c r="P21" s="56" t="str">
        <f t="shared" si="11"/>
        <v>//</v>
      </c>
      <c r="Q21" s="56" t="str">
        <f t="shared" si="12"/>
        <v>//</v>
      </c>
      <c r="R21" s="56"/>
      <c r="S21" s="56" t="str">
        <f t="shared" si="13"/>
        <v>//</v>
      </c>
    </row>
    <row r="22">
      <c r="A22" s="56"/>
      <c r="B22" s="56"/>
      <c r="C22" s="56" t="s">
        <v>70</v>
      </c>
      <c r="D22" s="56" t="s">
        <v>70</v>
      </c>
      <c r="E22" s="56" t="s">
        <v>70</v>
      </c>
      <c r="F22" s="56" t="s">
        <v>70</v>
      </c>
      <c r="G22" s="56" t="s">
        <v>70</v>
      </c>
      <c r="H22" s="56"/>
      <c r="I22" s="2" t="str">
        <f t="shared" si="2"/>
        <v>#N/A</v>
      </c>
      <c r="J22" s="56"/>
      <c r="K22" s="56"/>
      <c r="L22" s="56"/>
      <c r="M22" s="56"/>
      <c r="N22" s="56" t="str">
        <f t="shared" si="9"/>
        <v>//</v>
      </c>
      <c r="O22" s="56" t="str">
        <f t="shared" si="10"/>
        <v>//</v>
      </c>
      <c r="P22" s="56" t="str">
        <f t="shared" si="11"/>
        <v>//</v>
      </c>
      <c r="Q22" s="56" t="str">
        <f t="shared" si="12"/>
        <v>//</v>
      </c>
      <c r="R22" s="56"/>
      <c r="S22" s="56" t="str">
        <f t="shared" si="13"/>
        <v>//</v>
      </c>
    </row>
    <row r="23">
      <c r="A23" s="56"/>
      <c r="B23" s="56"/>
      <c r="C23" s="56" t="s">
        <v>70</v>
      </c>
      <c r="D23" s="56" t="s">
        <v>70</v>
      </c>
      <c r="E23" s="56" t="s">
        <v>70</v>
      </c>
      <c r="F23" s="56" t="s">
        <v>70</v>
      </c>
      <c r="G23" s="56" t="s">
        <v>70</v>
      </c>
      <c r="H23" s="56"/>
      <c r="I23" s="2" t="str">
        <f t="shared" si="2"/>
        <v>#N/A</v>
      </c>
      <c r="J23" s="56"/>
      <c r="K23" s="56"/>
      <c r="L23" s="56"/>
      <c r="M23" s="56"/>
      <c r="N23" s="56" t="str">
        <f t="shared" si="9"/>
        <v>//</v>
      </c>
      <c r="O23" s="56" t="str">
        <f t="shared" si="10"/>
        <v>//</v>
      </c>
      <c r="P23" s="56" t="str">
        <f t="shared" si="11"/>
        <v>//</v>
      </c>
      <c r="Q23" s="56" t="str">
        <f t="shared" si="12"/>
        <v>//</v>
      </c>
      <c r="R23" s="56"/>
      <c r="S23" s="56" t="str">
        <f t="shared" si="13"/>
        <v>//</v>
      </c>
    </row>
    <row r="24">
      <c r="A24" s="56"/>
      <c r="B24" s="56"/>
      <c r="C24" s="56" t="s">
        <v>70</v>
      </c>
      <c r="D24" s="56" t="s">
        <v>70</v>
      </c>
      <c r="E24" s="56" t="s">
        <v>70</v>
      </c>
      <c r="F24" s="56" t="s">
        <v>70</v>
      </c>
      <c r="G24" s="56" t="s">
        <v>70</v>
      </c>
      <c r="H24" s="56"/>
      <c r="I24" s="2" t="str">
        <f t="shared" si="2"/>
        <v>#N/A</v>
      </c>
      <c r="J24" s="56"/>
      <c r="K24" s="56"/>
      <c r="L24" s="56"/>
      <c r="M24" s="56"/>
      <c r="N24" s="56" t="str">
        <f t="shared" si="9"/>
        <v>//</v>
      </c>
      <c r="O24" s="56" t="str">
        <f t="shared" si="10"/>
        <v>//</v>
      </c>
      <c r="P24" s="56" t="str">
        <f t="shared" si="11"/>
        <v>//</v>
      </c>
      <c r="Q24" s="56" t="str">
        <f t="shared" si="12"/>
        <v>//</v>
      </c>
      <c r="R24" s="56"/>
      <c r="S24" s="56" t="str">
        <f t="shared" si="13"/>
        <v>//</v>
      </c>
    </row>
    <row r="25">
      <c r="A25" s="56"/>
      <c r="B25" s="56"/>
      <c r="C25" s="56" t="s">
        <v>70</v>
      </c>
      <c r="D25" s="56" t="s">
        <v>70</v>
      </c>
      <c r="E25" s="56" t="s">
        <v>70</v>
      </c>
      <c r="F25" s="56" t="s">
        <v>70</v>
      </c>
      <c r="G25" s="56" t="s">
        <v>70</v>
      </c>
      <c r="H25" s="56"/>
      <c r="I25" s="2" t="str">
        <f t="shared" si="2"/>
        <v>#N/A</v>
      </c>
      <c r="J25" s="56"/>
      <c r="K25" s="56"/>
      <c r="L25" s="56"/>
      <c r="M25" s="56"/>
      <c r="N25" s="56" t="str">
        <f t="shared" si="9"/>
        <v>//</v>
      </c>
      <c r="O25" s="56" t="str">
        <f t="shared" si="10"/>
        <v>//</v>
      </c>
      <c r="P25" s="56" t="str">
        <f t="shared" si="11"/>
        <v>//</v>
      </c>
      <c r="Q25" s="56" t="str">
        <f t="shared" si="12"/>
        <v>//</v>
      </c>
      <c r="R25" s="56"/>
      <c r="S25" s="56" t="str">
        <f t="shared" si="13"/>
        <v>//</v>
      </c>
    </row>
    <row r="26">
      <c r="A26" s="56"/>
      <c r="B26" s="56"/>
      <c r="C26" s="56" t="s">
        <v>70</v>
      </c>
      <c r="D26" s="56" t="s">
        <v>70</v>
      </c>
      <c r="E26" s="56" t="s">
        <v>70</v>
      </c>
      <c r="F26" s="56" t="s">
        <v>70</v>
      </c>
      <c r="G26" s="56" t="s">
        <v>70</v>
      </c>
      <c r="H26" s="56"/>
      <c r="I26" s="2" t="str">
        <f t="shared" si="2"/>
        <v>#N/A</v>
      </c>
      <c r="J26" s="56"/>
      <c r="K26" s="56"/>
      <c r="L26" s="56"/>
      <c r="M26" s="56"/>
      <c r="N26" s="56" t="str">
        <f t="shared" si="9"/>
        <v>//</v>
      </c>
      <c r="O26" s="56" t="str">
        <f t="shared" si="10"/>
        <v>//</v>
      </c>
      <c r="P26" s="56" t="str">
        <f t="shared" si="11"/>
        <v>//</v>
      </c>
      <c r="Q26" s="56" t="str">
        <f t="shared" si="12"/>
        <v>//</v>
      </c>
      <c r="R26" s="56"/>
      <c r="S26" s="56" t="str">
        <f t="shared" si="13"/>
        <v>//</v>
      </c>
    </row>
    <row r="27">
      <c r="A27" s="56"/>
      <c r="B27" s="56"/>
      <c r="C27" s="56" t="s">
        <v>70</v>
      </c>
      <c r="D27" s="56" t="s">
        <v>70</v>
      </c>
      <c r="E27" s="56" t="s">
        <v>70</v>
      </c>
      <c r="F27" s="56" t="s">
        <v>70</v>
      </c>
      <c r="G27" s="56" t="s">
        <v>70</v>
      </c>
      <c r="H27" s="56"/>
      <c r="I27" s="2" t="str">
        <f t="shared" si="2"/>
        <v>#N/A</v>
      </c>
      <c r="J27" s="56"/>
      <c r="K27" s="56"/>
      <c r="L27" s="56"/>
      <c r="M27" s="56"/>
      <c r="N27" s="56" t="str">
        <f t="shared" si="9"/>
        <v>//</v>
      </c>
      <c r="O27" s="56" t="str">
        <f t="shared" si="10"/>
        <v>//</v>
      </c>
      <c r="P27" s="56" t="str">
        <f t="shared" si="11"/>
        <v>//</v>
      </c>
      <c r="Q27" s="56" t="str">
        <f t="shared" si="12"/>
        <v>//</v>
      </c>
      <c r="R27" s="56"/>
      <c r="S27" s="56" t="str">
        <f t="shared" si="13"/>
        <v>//</v>
      </c>
    </row>
    <row r="28">
      <c r="A28" s="56"/>
      <c r="B28" s="56"/>
      <c r="C28" s="56" t="s">
        <v>70</v>
      </c>
      <c r="D28" s="56" t="s">
        <v>70</v>
      </c>
      <c r="E28" s="56" t="s">
        <v>70</v>
      </c>
      <c r="F28" s="56" t="s">
        <v>70</v>
      </c>
      <c r="G28" s="56" t="s">
        <v>70</v>
      </c>
      <c r="H28" s="56"/>
      <c r="I28" s="2" t="str">
        <f t="shared" si="2"/>
        <v>#N/A</v>
      </c>
      <c r="J28" s="56"/>
      <c r="K28" s="56"/>
      <c r="L28" s="56"/>
      <c r="M28" s="56"/>
      <c r="N28" s="56" t="str">
        <f t="shared" si="9"/>
        <v>//</v>
      </c>
      <c r="O28" s="56" t="str">
        <f t="shared" si="10"/>
        <v>//</v>
      </c>
      <c r="P28" s="56" t="str">
        <f t="shared" si="11"/>
        <v>//</v>
      </c>
      <c r="Q28" s="56" t="str">
        <f t="shared" si="12"/>
        <v>//</v>
      </c>
      <c r="R28" s="56"/>
      <c r="S28" s="56" t="str">
        <f t="shared" si="13"/>
        <v>//</v>
      </c>
    </row>
    <row r="29">
      <c r="A29" s="56"/>
      <c r="B29" s="56"/>
      <c r="C29" s="56" t="s">
        <v>70</v>
      </c>
      <c r="D29" s="56" t="s">
        <v>70</v>
      </c>
      <c r="E29" s="56" t="s">
        <v>70</v>
      </c>
      <c r="F29" s="56" t="s">
        <v>70</v>
      </c>
      <c r="G29" s="56" t="s">
        <v>70</v>
      </c>
      <c r="H29" s="56"/>
      <c r="I29" s="2" t="str">
        <f t="shared" si="2"/>
        <v>#N/A</v>
      </c>
      <c r="J29" s="56"/>
      <c r="K29" s="56"/>
      <c r="L29" s="56"/>
      <c r="M29" s="56"/>
      <c r="N29" s="56" t="str">
        <f t="shared" si="9"/>
        <v>//</v>
      </c>
      <c r="O29" s="56" t="str">
        <f t="shared" si="10"/>
        <v>//</v>
      </c>
      <c r="P29" s="56" t="str">
        <f t="shared" si="11"/>
        <v>//</v>
      </c>
      <c r="Q29" s="56" t="str">
        <f t="shared" si="12"/>
        <v>//</v>
      </c>
      <c r="R29" s="56"/>
      <c r="S29" s="56" t="str">
        <f t="shared" si="13"/>
        <v>//</v>
      </c>
    </row>
    <row r="30">
      <c r="A30" s="56"/>
      <c r="B30" s="56"/>
      <c r="C30" s="56" t="s">
        <v>70</v>
      </c>
      <c r="D30" s="56" t="s">
        <v>70</v>
      </c>
      <c r="E30" s="56" t="s">
        <v>70</v>
      </c>
      <c r="F30" s="56" t="s">
        <v>70</v>
      </c>
      <c r="G30" s="56" t="s">
        <v>70</v>
      </c>
      <c r="H30" s="56"/>
      <c r="I30" s="2" t="str">
        <f t="shared" si="2"/>
        <v>#N/A</v>
      </c>
      <c r="J30" s="56"/>
      <c r="K30" s="56"/>
      <c r="L30" s="56"/>
      <c r="M30" s="56"/>
      <c r="N30" s="56" t="str">
        <f t="shared" si="9"/>
        <v>//</v>
      </c>
      <c r="O30" s="56" t="str">
        <f t="shared" si="10"/>
        <v>//</v>
      </c>
      <c r="P30" s="56" t="str">
        <f t="shared" si="11"/>
        <v>//</v>
      </c>
      <c r="Q30" s="56" t="str">
        <f t="shared" si="12"/>
        <v>//</v>
      </c>
      <c r="R30" s="56"/>
      <c r="S30" s="56" t="str">
        <f t="shared" si="13"/>
        <v>//</v>
      </c>
    </row>
    <row r="31">
      <c r="A31" s="56"/>
      <c r="B31" s="56"/>
      <c r="C31" s="56" t="s">
        <v>70</v>
      </c>
      <c r="D31" s="56" t="s">
        <v>70</v>
      </c>
      <c r="E31" s="56" t="s">
        <v>70</v>
      </c>
      <c r="F31" s="56" t="s">
        <v>70</v>
      </c>
      <c r="G31" s="56" t="s">
        <v>70</v>
      </c>
      <c r="H31" s="56"/>
      <c r="I31" s="2" t="str">
        <f t="shared" si="2"/>
        <v>#N/A</v>
      </c>
      <c r="J31" s="56"/>
      <c r="K31" s="56"/>
      <c r="L31" s="56"/>
      <c r="M31" s="56"/>
      <c r="N31" s="56" t="str">
        <f t="shared" si="9"/>
        <v>//</v>
      </c>
      <c r="O31" s="56" t="str">
        <f t="shared" si="10"/>
        <v>//</v>
      </c>
      <c r="P31" s="56" t="str">
        <f t="shared" si="11"/>
        <v>//</v>
      </c>
      <c r="Q31" s="56" t="str">
        <f t="shared" si="12"/>
        <v>//</v>
      </c>
      <c r="R31" s="56"/>
      <c r="S31" s="56" t="str">
        <f t="shared" si="13"/>
        <v>//</v>
      </c>
    </row>
    <row r="32">
      <c r="A32" s="56"/>
      <c r="B32" s="56"/>
      <c r="C32" s="56" t="s">
        <v>70</v>
      </c>
      <c r="D32" s="56" t="s">
        <v>70</v>
      </c>
      <c r="E32" s="56" t="s">
        <v>70</v>
      </c>
      <c r="F32" s="56" t="s">
        <v>70</v>
      </c>
      <c r="G32" s="56" t="s">
        <v>70</v>
      </c>
      <c r="H32" s="56"/>
      <c r="I32" s="2" t="str">
        <f t="shared" si="2"/>
        <v>#N/A</v>
      </c>
      <c r="J32" s="56"/>
      <c r="K32" s="56"/>
      <c r="L32" s="56"/>
      <c r="M32" s="56"/>
      <c r="N32" s="56" t="str">
        <f t="shared" si="9"/>
        <v>//</v>
      </c>
      <c r="O32" s="56" t="str">
        <f t="shared" si="10"/>
        <v>//</v>
      </c>
      <c r="P32" s="56" t="str">
        <f t="shared" si="11"/>
        <v>//</v>
      </c>
      <c r="Q32" s="56" t="str">
        <f t="shared" si="12"/>
        <v>//</v>
      </c>
      <c r="R32" s="56"/>
      <c r="S32" s="56" t="str">
        <f t="shared" si="13"/>
        <v>//</v>
      </c>
    </row>
    <row r="33">
      <c r="A33" s="56"/>
      <c r="B33" s="56"/>
      <c r="C33" s="56" t="s">
        <v>70</v>
      </c>
      <c r="D33" s="56" t="s">
        <v>70</v>
      </c>
      <c r="E33" s="56" t="s">
        <v>70</v>
      </c>
      <c r="F33" s="56" t="s">
        <v>70</v>
      </c>
      <c r="G33" s="56" t="s">
        <v>70</v>
      </c>
      <c r="H33" s="56"/>
      <c r="I33" s="2" t="str">
        <f t="shared" si="2"/>
        <v>#N/A</v>
      </c>
      <c r="J33" s="56"/>
      <c r="K33" s="56"/>
      <c r="L33" s="56"/>
      <c r="M33" s="56"/>
      <c r="N33" s="56" t="str">
        <f t="shared" si="9"/>
        <v>//</v>
      </c>
      <c r="O33" s="56" t="str">
        <f t="shared" si="10"/>
        <v>//</v>
      </c>
      <c r="P33" s="56" t="str">
        <f t="shared" si="11"/>
        <v>//</v>
      </c>
      <c r="Q33" s="56" t="str">
        <f t="shared" si="12"/>
        <v>//</v>
      </c>
      <c r="R33" s="56"/>
      <c r="S33" s="56" t="str">
        <f t="shared" si="13"/>
        <v>//</v>
      </c>
    </row>
    <row r="34">
      <c r="A34" s="56"/>
      <c r="B34" s="56"/>
      <c r="C34" s="56" t="s">
        <v>70</v>
      </c>
      <c r="D34" s="56" t="s">
        <v>70</v>
      </c>
      <c r="E34" s="56" t="s">
        <v>70</v>
      </c>
      <c r="F34" s="56" t="s">
        <v>70</v>
      </c>
      <c r="G34" s="56" t="s">
        <v>70</v>
      </c>
      <c r="H34" s="56"/>
      <c r="I34" s="2" t="str">
        <f t="shared" si="2"/>
        <v>#N/A</v>
      </c>
      <c r="J34" s="56"/>
      <c r="K34" s="56"/>
      <c r="L34" s="56"/>
      <c r="M34" s="56"/>
      <c r="N34" s="56" t="str">
        <f t="shared" si="9"/>
        <v>//</v>
      </c>
      <c r="O34" s="56" t="str">
        <f t="shared" si="10"/>
        <v>//</v>
      </c>
      <c r="P34" s="56" t="str">
        <f t="shared" si="11"/>
        <v>//</v>
      </c>
      <c r="Q34" s="56" t="str">
        <f t="shared" si="12"/>
        <v>//</v>
      </c>
      <c r="R34" s="56"/>
      <c r="S34" s="56" t="str">
        <f t="shared" si="13"/>
        <v>//</v>
      </c>
    </row>
    <row r="35">
      <c r="A35" s="56"/>
      <c r="B35" s="56"/>
      <c r="C35" s="56" t="s">
        <v>70</v>
      </c>
      <c r="D35" s="56" t="s">
        <v>70</v>
      </c>
      <c r="E35" s="56" t="s">
        <v>70</v>
      </c>
      <c r="F35" s="56" t="s">
        <v>70</v>
      </c>
      <c r="G35" s="56" t="s">
        <v>70</v>
      </c>
      <c r="H35" s="56"/>
      <c r="I35" s="2" t="str">
        <f t="shared" si="2"/>
        <v>#N/A</v>
      </c>
      <c r="J35" s="56"/>
      <c r="K35" s="56"/>
      <c r="L35" s="56"/>
      <c r="M35" s="56"/>
      <c r="N35" s="56" t="str">
        <f t="shared" si="9"/>
        <v>//</v>
      </c>
      <c r="O35" s="56" t="str">
        <f t="shared" si="10"/>
        <v>//</v>
      </c>
      <c r="P35" s="56" t="str">
        <f t="shared" si="11"/>
        <v>//</v>
      </c>
      <c r="Q35" s="56" t="str">
        <f t="shared" si="12"/>
        <v>//</v>
      </c>
      <c r="R35" s="56"/>
      <c r="S35" s="56" t="str">
        <f t="shared" si="13"/>
        <v>//</v>
      </c>
    </row>
    <row r="36">
      <c r="A36" s="56"/>
      <c r="B36" s="56"/>
      <c r="C36" s="56" t="s">
        <v>70</v>
      </c>
      <c r="D36" s="56" t="s">
        <v>70</v>
      </c>
      <c r="E36" s="56" t="s">
        <v>70</v>
      </c>
      <c r="F36" s="56" t="s">
        <v>70</v>
      </c>
      <c r="G36" s="56" t="s">
        <v>70</v>
      </c>
      <c r="H36" s="56"/>
      <c r="I36" s="2" t="str">
        <f t="shared" si="2"/>
        <v>#N/A</v>
      </c>
      <c r="J36" s="56"/>
      <c r="K36" s="56"/>
      <c r="L36" s="56"/>
      <c r="M36" s="56"/>
      <c r="N36" s="56" t="str">
        <f t="shared" si="9"/>
        <v>//</v>
      </c>
      <c r="O36" s="56" t="str">
        <f t="shared" si="10"/>
        <v>//</v>
      </c>
      <c r="P36" s="56" t="str">
        <f t="shared" si="11"/>
        <v>//</v>
      </c>
      <c r="Q36" s="56" t="str">
        <f t="shared" si="12"/>
        <v>//</v>
      </c>
      <c r="R36" s="56"/>
      <c r="S36" s="56" t="str">
        <f t="shared" si="13"/>
        <v>//</v>
      </c>
    </row>
    <row r="37">
      <c r="A37" s="56"/>
      <c r="B37" s="56"/>
      <c r="C37" s="56" t="s">
        <v>70</v>
      </c>
      <c r="D37" s="56" t="s">
        <v>70</v>
      </c>
      <c r="E37" s="56" t="s">
        <v>70</v>
      </c>
      <c r="F37" s="56" t="s">
        <v>70</v>
      </c>
      <c r="G37" s="56" t="s">
        <v>70</v>
      </c>
      <c r="H37" s="56"/>
      <c r="I37" s="2" t="str">
        <f t="shared" si="2"/>
        <v>#N/A</v>
      </c>
      <c r="J37" s="56"/>
      <c r="K37" s="56"/>
      <c r="L37" s="56"/>
      <c r="M37" s="56"/>
      <c r="N37" s="56" t="str">
        <f t="shared" si="9"/>
        <v>//</v>
      </c>
      <c r="O37" s="56" t="str">
        <f t="shared" si="10"/>
        <v>//</v>
      </c>
      <c r="P37" s="56" t="str">
        <f t="shared" si="11"/>
        <v>//</v>
      </c>
      <c r="Q37" s="56" t="str">
        <f t="shared" si="12"/>
        <v>//</v>
      </c>
      <c r="R37" s="56"/>
      <c r="S37" s="56" t="str">
        <f t="shared" si="13"/>
        <v>//</v>
      </c>
    </row>
    <row r="38">
      <c r="A38" s="56"/>
      <c r="B38" s="56"/>
      <c r="C38" s="56" t="s">
        <v>70</v>
      </c>
      <c r="D38" s="56" t="s">
        <v>70</v>
      </c>
      <c r="E38" s="56" t="s">
        <v>70</v>
      </c>
      <c r="F38" s="56" t="s">
        <v>70</v>
      </c>
      <c r="G38" s="56" t="s">
        <v>70</v>
      </c>
      <c r="H38" s="56"/>
      <c r="I38" s="2" t="str">
        <f t="shared" si="2"/>
        <v>#N/A</v>
      </c>
      <c r="J38" s="56"/>
      <c r="K38" s="56"/>
      <c r="L38" s="56"/>
      <c r="M38" s="56"/>
      <c r="N38" s="56" t="str">
        <f t="shared" si="9"/>
        <v>//</v>
      </c>
      <c r="O38" s="56" t="str">
        <f t="shared" si="10"/>
        <v>//</v>
      </c>
      <c r="P38" s="56" t="str">
        <f t="shared" si="11"/>
        <v>//</v>
      </c>
      <c r="Q38" s="56" t="str">
        <f t="shared" si="12"/>
        <v>//</v>
      </c>
      <c r="R38" s="56"/>
      <c r="S38" s="56" t="str">
        <f t="shared" si="13"/>
        <v>//</v>
      </c>
    </row>
    <row r="39">
      <c r="A39" s="56"/>
      <c r="B39" s="56"/>
      <c r="C39" s="56" t="s">
        <v>70</v>
      </c>
      <c r="D39" s="56" t="s">
        <v>70</v>
      </c>
      <c r="E39" s="56" t="s">
        <v>70</v>
      </c>
      <c r="F39" s="56" t="s">
        <v>70</v>
      </c>
      <c r="G39" s="56" t="s">
        <v>70</v>
      </c>
      <c r="H39" s="56"/>
      <c r="I39" s="2" t="str">
        <f t="shared" si="2"/>
        <v>#N/A</v>
      </c>
      <c r="J39" s="56"/>
      <c r="K39" s="56"/>
      <c r="L39" s="56"/>
      <c r="M39" s="56"/>
      <c r="N39" s="56" t="str">
        <f t="shared" si="9"/>
        <v>//</v>
      </c>
      <c r="O39" s="56" t="str">
        <f t="shared" si="10"/>
        <v>//</v>
      </c>
      <c r="P39" s="56" t="str">
        <f t="shared" si="11"/>
        <v>//</v>
      </c>
      <c r="Q39" s="56" t="str">
        <f t="shared" si="12"/>
        <v>//</v>
      </c>
      <c r="R39" s="56"/>
      <c r="S39" s="56" t="str">
        <f t="shared" si="13"/>
        <v>//</v>
      </c>
    </row>
    <row r="40">
      <c r="A40" s="56"/>
      <c r="B40" s="56"/>
      <c r="C40" s="56" t="s">
        <v>70</v>
      </c>
      <c r="D40" s="56" t="s">
        <v>70</v>
      </c>
      <c r="E40" s="56" t="s">
        <v>70</v>
      </c>
      <c r="F40" s="56" t="s">
        <v>70</v>
      </c>
      <c r="G40" s="56" t="s">
        <v>70</v>
      </c>
      <c r="H40" s="56"/>
      <c r="I40" s="2" t="str">
        <f t="shared" si="2"/>
        <v>#N/A</v>
      </c>
      <c r="J40" s="56"/>
      <c r="K40" s="56"/>
      <c r="L40" s="56"/>
      <c r="M40" s="56"/>
      <c r="N40" s="56" t="str">
        <f t="shared" si="9"/>
        <v>//</v>
      </c>
      <c r="O40" s="56" t="str">
        <f t="shared" si="10"/>
        <v>//</v>
      </c>
      <c r="P40" s="56" t="str">
        <f t="shared" si="11"/>
        <v>//</v>
      </c>
      <c r="Q40" s="56" t="str">
        <f t="shared" si="12"/>
        <v>//</v>
      </c>
      <c r="R40" s="56"/>
      <c r="S40" s="56" t="str">
        <f t="shared" si="13"/>
        <v>//</v>
      </c>
    </row>
    <row r="41">
      <c r="A41" s="56"/>
      <c r="B41" s="56"/>
      <c r="C41" s="56" t="s">
        <v>70</v>
      </c>
      <c r="D41" s="56" t="s">
        <v>70</v>
      </c>
      <c r="E41" s="56" t="s">
        <v>70</v>
      </c>
      <c r="F41" s="56" t="s">
        <v>70</v>
      </c>
      <c r="G41" s="56" t="s">
        <v>70</v>
      </c>
      <c r="H41" s="56"/>
      <c r="I41" s="2" t="str">
        <f t="shared" si="2"/>
        <v>#N/A</v>
      </c>
      <c r="J41" s="56"/>
      <c r="K41" s="56"/>
      <c r="L41" s="56"/>
      <c r="M41" s="56"/>
      <c r="N41" s="56" t="str">
        <f t="shared" si="9"/>
        <v>//</v>
      </c>
      <c r="O41" s="56" t="str">
        <f t="shared" si="10"/>
        <v>//</v>
      </c>
      <c r="P41" s="56" t="str">
        <f t="shared" si="11"/>
        <v>//</v>
      </c>
      <c r="Q41" s="56" t="str">
        <f t="shared" si="12"/>
        <v>//</v>
      </c>
      <c r="R41" s="56"/>
      <c r="S41" s="56" t="str">
        <f t="shared" si="13"/>
        <v>//</v>
      </c>
    </row>
    <row r="42">
      <c r="A42" s="56"/>
      <c r="B42" s="56"/>
      <c r="C42" s="56" t="s">
        <v>70</v>
      </c>
      <c r="D42" s="56" t="s">
        <v>70</v>
      </c>
      <c r="E42" s="56" t="s">
        <v>70</v>
      </c>
      <c r="F42" s="56" t="s">
        <v>70</v>
      </c>
      <c r="G42" s="56" t="s">
        <v>70</v>
      </c>
      <c r="H42" s="56"/>
      <c r="I42" s="2" t="str">
        <f t="shared" si="2"/>
        <v>#N/A</v>
      </c>
      <c r="J42" s="56"/>
      <c r="K42" s="56"/>
      <c r="L42" s="56"/>
      <c r="M42" s="56"/>
      <c r="N42" s="56" t="str">
        <f t="shared" si="9"/>
        <v>//</v>
      </c>
      <c r="O42" s="56" t="str">
        <f t="shared" si="10"/>
        <v>//</v>
      </c>
      <c r="P42" s="56" t="str">
        <f t="shared" si="11"/>
        <v>//</v>
      </c>
      <c r="Q42" s="56" t="str">
        <f t="shared" si="12"/>
        <v>//</v>
      </c>
      <c r="R42" s="56"/>
      <c r="S42" s="56" t="str">
        <f t="shared" si="13"/>
        <v>//</v>
      </c>
    </row>
    <row r="43">
      <c r="A43" s="56"/>
      <c r="B43" s="56"/>
      <c r="C43" s="56" t="s">
        <v>70</v>
      </c>
      <c r="D43" s="56" t="s">
        <v>70</v>
      </c>
      <c r="E43" s="56" t="s">
        <v>70</v>
      </c>
      <c r="F43" s="56" t="s">
        <v>70</v>
      </c>
      <c r="G43" s="56" t="s">
        <v>70</v>
      </c>
      <c r="H43" s="56"/>
      <c r="I43" s="2" t="str">
        <f t="shared" si="2"/>
        <v>#N/A</v>
      </c>
      <c r="J43" s="56"/>
      <c r="K43" s="56"/>
      <c r="L43" s="56"/>
      <c r="M43" s="56"/>
      <c r="N43" s="56" t="str">
        <f t="shared" si="9"/>
        <v>//</v>
      </c>
      <c r="O43" s="56" t="str">
        <f t="shared" si="10"/>
        <v>//</v>
      </c>
      <c r="P43" s="56" t="str">
        <f t="shared" si="11"/>
        <v>//</v>
      </c>
      <c r="Q43" s="56" t="str">
        <f t="shared" si="12"/>
        <v>//</v>
      </c>
      <c r="R43" s="56"/>
      <c r="S43" s="56" t="str">
        <f t="shared" si="13"/>
        <v>//</v>
      </c>
    </row>
    <row r="44">
      <c r="A44" s="56"/>
      <c r="B44" s="56"/>
      <c r="C44" s="56" t="s">
        <v>70</v>
      </c>
      <c r="D44" s="56" t="s">
        <v>70</v>
      </c>
      <c r="E44" s="56" t="s">
        <v>70</v>
      </c>
      <c r="F44" s="56" t="s">
        <v>70</v>
      </c>
      <c r="G44" s="56" t="s">
        <v>70</v>
      </c>
      <c r="H44" s="56"/>
      <c r="I44" s="2" t="str">
        <f t="shared" si="2"/>
        <v>#N/A</v>
      </c>
      <c r="J44" s="56"/>
      <c r="K44" s="56"/>
      <c r="L44" s="56"/>
      <c r="M44" s="56"/>
      <c r="N44" s="56" t="str">
        <f t="shared" si="9"/>
        <v>//</v>
      </c>
      <c r="O44" s="56" t="str">
        <f t="shared" si="10"/>
        <v>//</v>
      </c>
      <c r="P44" s="56" t="str">
        <f t="shared" si="11"/>
        <v>//</v>
      </c>
      <c r="Q44" s="56" t="str">
        <f t="shared" si="12"/>
        <v>//</v>
      </c>
      <c r="R44" s="56"/>
      <c r="S44" s="56" t="str">
        <f t="shared" si="13"/>
        <v>//</v>
      </c>
    </row>
    <row r="45">
      <c r="A45" s="56"/>
      <c r="B45" s="56"/>
      <c r="C45" s="56" t="s">
        <v>70</v>
      </c>
      <c r="D45" s="56" t="s">
        <v>70</v>
      </c>
      <c r="E45" s="56" t="s">
        <v>70</v>
      </c>
      <c r="F45" s="56" t="s">
        <v>70</v>
      </c>
      <c r="G45" s="56" t="s">
        <v>70</v>
      </c>
      <c r="H45" s="56"/>
      <c r="I45" s="2" t="str">
        <f t="shared" si="2"/>
        <v>#N/A</v>
      </c>
      <c r="J45" s="56"/>
      <c r="K45" s="56"/>
      <c r="L45" s="56"/>
      <c r="M45" s="56"/>
      <c r="N45" s="56" t="str">
        <f t="shared" si="9"/>
        <v>//</v>
      </c>
      <c r="O45" s="56" t="str">
        <f t="shared" si="10"/>
        <v>//</v>
      </c>
      <c r="P45" s="56" t="str">
        <f t="shared" si="11"/>
        <v>//</v>
      </c>
      <c r="Q45" s="56" t="str">
        <f t="shared" si="12"/>
        <v>//</v>
      </c>
      <c r="R45" s="56"/>
      <c r="S45" s="56" t="str">
        <f t="shared" si="13"/>
        <v>//</v>
      </c>
    </row>
    <row r="46">
      <c r="A46" s="56"/>
      <c r="B46" s="56"/>
      <c r="C46" s="56" t="s">
        <v>70</v>
      </c>
      <c r="D46" s="56" t="s">
        <v>70</v>
      </c>
      <c r="E46" s="56" t="s">
        <v>70</v>
      </c>
      <c r="F46" s="56" t="s">
        <v>70</v>
      </c>
      <c r="G46" s="56" t="s">
        <v>70</v>
      </c>
      <c r="H46" s="56"/>
      <c r="I46" s="2" t="str">
        <f t="shared" si="2"/>
        <v>#N/A</v>
      </c>
      <c r="J46" s="56"/>
      <c r="K46" s="56"/>
      <c r="L46" s="56"/>
      <c r="M46" s="56"/>
      <c r="N46" s="56" t="str">
        <f t="shared" si="9"/>
        <v>//</v>
      </c>
      <c r="O46" s="56" t="str">
        <f t="shared" si="10"/>
        <v>//</v>
      </c>
      <c r="P46" s="56" t="str">
        <f t="shared" si="11"/>
        <v>//</v>
      </c>
      <c r="Q46" s="56" t="str">
        <f t="shared" si="12"/>
        <v>//</v>
      </c>
      <c r="R46" s="56"/>
      <c r="S46" s="56" t="str">
        <f t="shared" si="13"/>
        <v>//</v>
      </c>
    </row>
    <row r="47">
      <c r="A47" s="56"/>
      <c r="B47" s="56"/>
      <c r="C47" s="56" t="s">
        <v>70</v>
      </c>
      <c r="D47" s="56" t="s">
        <v>70</v>
      </c>
      <c r="E47" s="56" t="s">
        <v>70</v>
      </c>
      <c r="F47" s="56" t="s">
        <v>70</v>
      </c>
      <c r="G47" s="56" t="s">
        <v>70</v>
      </c>
      <c r="H47" s="56"/>
      <c r="I47" s="2" t="str">
        <f t="shared" si="2"/>
        <v>#N/A</v>
      </c>
      <c r="J47" s="56"/>
      <c r="K47" s="56"/>
      <c r="L47" s="56"/>
      <c r="M47" s="56"/>
      <c r="N47" s="56" t="str">
        <f t="shared" si="9"/>
        <v>//</v>
      </c>
      <c r="O47" s="56" t="str">
        <f t="shared" si="10"/>
        <v>//</v>
      </c>
      <c r="P47" s="56" t="str">
        <f t="shared" si="11"/>
        <v>//</v>
      </c>
      <c r="Q47" s="56" t="str">
        <f t="shared" si="12"/>
        <v>//</v>
      </c>
      <c r="R47" s="56"/>
      <c r="S47" s="56" t="str">
        <f t="shared" si="13"/>
        <v>//</v>
      </c>
    </row>
    <row r="48">
      <c r="A48" s="56"/>
      <c r="B48" s="56"/>
      <c r="C48" s="56" t="s">
        <v>70</v>
      </c>
      <c r="D48" s="56" t="s">
        <v>70</v>
      </c>
      <c r="E48" s="56" t="s">
        <v>70</v>
      </c>
      <c r="F48" s="56" t="s">
        <v>70</v>
      </c>
      <c r="G48" s="56" t="s">
        <v>70</v>
      </c>
      <c r="H48" s="56"/>
      <c r="I48" s="2" t="str">
        <f t="shared" si="2"/>
        <v>#N/A</v>
      </c>
      <c r="J48" s="56"/>
      <c r="K48" s="56"/>
      <c r="L48" s="56"/>
      <c r="M48" s="56"/>
      <c r="N48" s="56" t="str">
        <f t="shared" si="9"/>
        <v>//</v>
      </c>
      <c r="O48" s="56" t="str">
        <f t="shared" si="10"/>
        <v>//</v>
      </c>
      <c r="P48" s="56" t="str">
        <f t="shared" si="11"/>
        <v>//</v>
      </c>
      <c r="Q48" s="56" t="str">
        <f t="shared" si="12"/>
        <v>//</v>
      </c>
      <c r="R48" s="56"/>
      <c r="S48" s="56" t="str">
        <f t="shared" si="13"/>
        <v>//</v>
      </c>
    </row>
    <row r="49">
      <c r="A49" s="56"/>
      <c r="B49" s="56"/>
      <c r="C49" s="56" t="s">
        <v>70</v>
      </c>
      <c r="D49" s="56" t="s">
        <v>70</v>
      </c>
      <c r="E49" s="56" t="s">
        <v>70</v>
      </c>
      <c r="F49" s="56" t="s">
        <v>70</v>
      </c>
      <c r="G49" s="56" t="s">
        <v>70</v>
      </c>
      <c r="H49" s="56"/>
      <c r="I49" s="2" t="str">
        <f t="shared" si="2"/>
        <v>#N/A</v>
      </c>
      <c r="J49" s="56"/>
      <c r="K49" s="56"/>
      <c r="L49" s="56"/>
      <c r="M49" s="56"/>
      <c r="N49" s="56" t="str">
        <f t="shared" si="9"/>
        <v>//</v>
      </c>
      <c r="O49" s="56" t="str">
        <f t="shared" si="10"/>
        <v>//</v>
      </c>
      <c r="P49" s="56" t="str">
        <f t="shared" si="11"/>
        <v>//</v>
      </c>
      <c r="Q49" s="56" t="str">
        <f t="shared" si="12"/>
        <v>//</v>
      </c>
      <c r="R49" s="56"/>
      <c r="S49" s="56" t="str">
        <f t="shared" si="13"/>
        <v>//</v>
      </c>
    </row>
    <row r="50">
      <c r="A50" s="56"/>
      <c r="B50" s="56"/>
      <c r="C50" s="56" t="s">
        <v>70</v>
      </c>
      <c r="D50" s="56" t="s">
        <v>70</v>
      </c>
      <c r="E50" s="56" t="s">
        <v>70</v>
      </c>
      <c r="F50" s="56" t="s">
        <v>70</v>
      </c>
      <c r="G50" s="56" t="s">
        <v>70</v>
      </c>
      <c r="H50" s="56"/>
      <c r="I50" s="2" t="str">
        <f t="shared" si="2"/>
        <v>#N/A</v>
      </c>
      <c r="J50" s="56"/>
      <c r="K50" s="56"/>
      <c r="L50" s="56"/>
      <c r="M50" s="56"/>
      <c r="N50" s="56" t="str">
        <f t="shared" si="9"/>
        <v>//</v>
      </c>
      <c r="O50" s="56" t="str">
        <f t="shared" si="10"/>
        <v>//</v>
      </c>
      <c r="P50" s="56" t="str">
        <f t="shared" si="11"/>
        <v>//</v>
      </c>
      <c r="Q50" s="56" t="str">
        <f t="shared" si="12"/>
        <v>//</v>
      </c>
      <c r="R50" s="56"/>
      <c r="S50" s="56" t="str">
        <f t="shared" si="13"/>
        <v>//</v>
      </c>
    </row>
    <row r="51">
      <c r="A51" s="56"/>
      <c r="B51" s="56"/>
      <c r="C51" s="56" t="s">
        <v>70</v>
      </c>
      <c r="D51" s="56" t="s">
        <v>70</v>
      </c>
      <c r="E51" s="56" t="s">
        <v>70</v>
      </c>
      <c r="F51" s="56" t="s">
        <v>70</v>
      </c>
      <c r="G51" s="56" t="s">
        <v>70</v>
      </c>
      <c r="H51" s="56"/>
      <c r="I51" s="2" t="str">
        <f t="shared" si="2"/>
        <v>#N/A</v>
      </c>
      <c r="J51" s="56"/>
      <c r="K51" s="56"/>
      <c r="L51" s="56"/>
      <c r="M51" s="56"/>
      <c r="N51" s="56" t="str">
        <f t="shared" si="9"/>
        <v>//</v>
      </c>
      <c r="O51" s="56" t="str">
        <f t="shared" si="10"/>
        <v>//</v>
      </c>
      <c r="P51" s="56" t="str">
        <f t="shared" si="11"/>
        <v>//</v>
      </c>
      <c r="Q51" s="56" t="str">
        <f t="shared" si="12"/>
        <v>//</v>
      </c>
      <c r="R51" s="56"/>
      <c r="S51" s="56" t="str">
        <f t="shared" si="13"/>
        <v>//</v>
      </c>
    </row>
    <row r="52">
      <c r="A52" s="56"/>
      <c r="B52" s="56"/>
      <c r="C52" s="56" t="s">
        <v>70</v>
      </c>
      <c r="D52" s="56" t="s">
        <v>70</v>
      </c>
      <c r="E52" s="56" t="s">
        <v>70</v>
      </c>
      <c r="F52" s="56" t="s">
        <v>70</v>
      </c>
      <c r="G52" s="56" t="s">
        <v>70</v>
      </c>
      <c r="H52" s="56"/>
      <c r="I52" s="2" t="str">
        <f t="shared" si="2"/>
        <v>#N/A</v>
      </c>
      <c r="J52" s="56"/>
      <c r="K52" s="56"/>
      <c r="L52" s="56"/>
      <c r="M52" s="56"/>
      <c r="N52" s="56" t="str">
        <f t="shared" si="9"/>
        <v>//</v>
      </c>
      <c r="O52" s="56" t="str">
        <f t="shared" si="10"/>
        <v>//</v>
      </c>
      <c r="P52" s="56" t="str">
        <f t="shared" si="11"/>
        <v>//</v>
      </c>
      <c r="Q52" s="56" t="str">
        <f t="shared" si="12"/>
        <v>//</v>
      </c>
      <c r="R52" s="56"/>
      <c r="S52" s="56" t="str">
        <f t="shared" si="13"/>
        <v>//</v>
      </c>
    </row>
    <row r="53">
      <c r="A53" s="56"/>
      <c r="B53" s="56"/>
      <c r="C53" s="56" t="s">
        <v>70</v>
      </c>
      <c r="D53" s="56" t="s">
        <v>70</v>
      </c>
      <c r="E53" s="56" t="s">
        <v>70</v>
      </c>
      <c r="F53" s="56" t="s">
        <v>70</v>
      </c>
      <c r="G53" s="56" t="s">
        <v>70</v>
      </c>
      <c r="H53" s="56"/>
      <c r="I53" s="2" t="str">
        <f t="shared" si="2"/>
        <v>#N/A</v>
      </c>
      <c r="J53" s="56"/>
      <c r="K53" s="56"/>
      <c r="L53" s="56"/>
      <c r="M53" s="56"/>
      <c r="N53" s="56" t="str">
        <f t="shared" si="9"/>
        <v>//</v>
      </c>
      <c r="O53" s="56" t="str">
        <f t="shared" si="10"/>
        <v>//</v>
      </c>
      <c r="P53" s="56" t="str">
        <f t="shared" si="11"/>
        <v>//</v>
      </c>
      <c r="Q53" s="56" t="str">
        <f t="shared" si="12"/>
        <v>//</v>
      </c>
      <c r="R53" s="56"/>
      <c r="S53" s="56" t="str">
        <f t="shared" si="13"/>
        <v>//</v>
      </c>
    </row>
    <row r="54">
      <c r="A54" s="56"/>
      <c r="B54" s="56"/>
      <c r="C54" s="56" t="s">
        <v>70</v>
      </c>
      <c r="D54" s="56" t="s">
        <v>70</v>
      </c>
      <c r="E54" s="56" t="s">
        <v>70</v>
      </c>
      <c r="F54" s="56" t="s">
        <v>70</v>
      </c>
      <c r="G54" s="56" t="s">
        <v>70</v>
      </c>
      <c r="H54" s="56"/>
      <c r="I54" s="2" t="str">
        <f t="shared" si="2"/>
        <v>#N/A</v>
      </c>
      <c r="J54" s="56"/>
      <c r="K54" s="56"/>
      <c r="L54" s="56"/>
      <c r="M54" s="56"/>
      <c r="N54" s="56" t="str">
        <f t="shared" si="9"/>
        <v>//</v>
      </c>
      <c r="O54" s="56" t="str">
        <f t="shared" si="10"/>
        <v>//</v>
      </c>
      <c r="P54" s="56" t="str">
        <f t="shared" si="11"/>
        <v>//</v>
      </c>
      <c r="Q54" s="56" t="str">
        <f t="shared" si="12"/>
        <v>//</v>
      </c>
      <c r="R54" s="56"/>
      <c r="S54" s="56" t="str">
        <f t="shared" si="13"/>
        <v>//</v>
      </c>
    </row>
    <row r="55">
      <c r="A55" s="56"/>
      <c r="B55" s="56"/>
      <c r="C55" s="56" t="s">
        <v>70</v>
      </c>
      <c r="D55" s="56" t="s">
        <v>70</v>
      </c>
      <c r="E55" s="56" t="s">
        <v>70</v>
      </c>
      <c r="F55" s="56" t="s">
        <v>70</v>
      </c>
      <c r="G55" s="56" t="s">
        <v>70</v>
      </c>
      <c r="H55" s="56"/>
      <c r="I55" s="2" t="str">
        <f t="shared" si="2"/>
        <v>#N/A</v>
      </c>
      <c r="J55" s="56"/>
      <c r="K55" s="56"/>
      <c r="L55" s="56"/>
      <c r="M55" s="56"/>
      <c r="N55" s="56" t="str">
        <f t="shared" si="9"/>
        <v>//</v>
      </c>
      <c r="O55" s="56" t="str">
        <f t="shared" si="10"/>
        <v>//</v>
      </c>
      <c r="P55" s="56" t="str">
        <f t="shared" si="11"/>
        <v>//</v>
      </c>
      <c r="Q55" s="56" t="str">
        <f t="shared" si="12"/>
        <v>//</v>
      </c>
      <c r="R55" s="56"/>
      <c r="S55" s="56" t="str">
        <f t="shared" si="13"/>
        <v>//</v>
      </c>
    </row>
    <row r="56">
      <c r="A56" s="56"/>
      <c r="B56" s="56"/>
      <c r="C56" s="56" t="s">
        <v>70</v>
      </c>
      <c r="D56" s="56" t="s">
        <v>70</v>
      </c>
      <c r="E56" s="56" t="s">
        <v>70</v>
      </c>
      <c r="F56" s="56" t="s">
        <v>70</v>
      </c>
      <c r="G56" s="56" t="s">
        <v>70</v>
      </c>
      <c r="H56" s="56"/>
      <c r="I56" s="2" t="str">
        <f t="shared" si="2"/>
        <v>#N/A</v>
      </c>
      <c r="J56" s="56"/>
      <c r="K56" s="56"/>
      <c r="L56" s="56"/>
      <c r="M56" s="56"/>
      <c r="N56" s="56" t="str">
        <f t="shared" si="9"/>
        <v>//</v>
      </c>
      <c r="O56" s="56" t="str">
        <f t="shared" si="10"/>
        <v>//</v>
      </c>
      <c r="P56" s="56" t="str">
        <f t="shared" si="11"/>
        <v>//</v>
      </c>
      <c r="Q56" s="56" t="str">
        <f t="shared" si="12"/>
        <v>//</v>
      </c>
      <c r="R56" s="56"/>
      <c r="S56" s="56" t="str">
        <f t="shared" si="13"/>
        <v>//</v>
      </c>
    </row>
    <row r="57">
      <c r="A57" s="56"/>
      <c r="B57" s="56"/>
      <c r="C57" s="56" t="s">
        <v>70</v>
      </c>
      <c r="D57" s="56" t="s">
        <v>70</v>
      </c>
      <c r="E57" s="56" t="s">
        <v>70</v>
      </c>
      <c r="F57" s="56" t="s">
        <v>70</v>
      </c>
      <c r="G57" s="56" t="s">
        <v>70</v>
      </c>
      <c r="H57" s="56"/>
      <c r="I57" s="2" t="str">
        <f t="shared" si="2"/>
        <v>#N/A</v>
      </c>
      <c r="J57" s="56"/>
      <c r="K57" s="56"/>
      <c r="L57" s="56"/>
      <c r="M57" s="56"/>
      <c r="N57" s="56" t="str">
        <f t="shared" si="9"/>
        <v>//</v>
      </c>
      <c r="O57" s="56" t="str">
        <f t="shared" si="10"/>
        <v>//</v>
      </c>
      <c r="P57" s="56" t="str">
        <f t="shared" si="11"/>
        <v>//</v>
      </c>
      <c r="Q57" s="56" t="str">
        <f t="shared" si="12"/>
        <v>//</v>
      </c>
      <c r="R57" s="56"/>
      <c r="S57" s="56" t="str">
        <f t="shared" si="13"/>
        <v>//</v>
      </c>
    </row>
    <row r="58">
      <c r="A58" s="56"/>
      <c r="B58" s="56"/>
      <c r="C58" s="56" t="s">
        <v>70</v>
      </c>
      <c r="D58" s="56" t="s">
        <v>70</v>
      </c>
      <c r="E58" s="56" t="s">
        <v>70</v>
      </c>
      <c r="F58" s="56" t="s">
        <v>70</v>
      </c>
      <c r="G58" s="56" t="s">
        <v>70</v>
      </c>
      <c r="H58" s="56"/>
      <c r="I58" s="2" t="str">
        <f t="shared" si="2"/>
        <v>#N/A</v>
      </c>
      <c r="J58" s="56"/>
      <c r="K58" s="56"/>
      <c r="L58" s="56"/>
      <c r="M58" s="56"/>
      <c r="N58" s="56" t="str">
        <f t="shared" si="9"/>
        <v>//</v>
      </c>
      <c r="O58" s="56" t="str">
        <f t="shared" si="10"/>
        <v>//</v>
      </c>
      <c r="P58" s="56" t="str">
        <f t="shared" si="11"/>
        <v>//</v>
      </c>
      <c r="Q58" s="56" t="str">
        <f t="shared" si="12"/>
        <v>//</v>
      </c>
      <c r="R58" s="56"/>
      <c r="S58" s="56" t="str">
        <f t="shared" si="13"/>
        <v>//</v>
      </c>
    </row>
    <row r="59">
      <c r="A59" s="56"/>
      <c r="B59" s="56"/>
      <c r="C59" s="56" t="s">
        <v>70</v>
      </c>
      <c r="D59" s="56" t="s">
        <v>70</v>
      </c>
      <c r="E59" s="56" t="s">
        <v>70</v>
      </c>
      <c r="F59" s="56" t="s">
        <v>70</v>
      </c>
      <c r="G59" s="56" t="s">
        <v>70</v>
      </c>
      <c r="H59" s="56"/>
      <c r="I59" s="2" t="str">
        <f t="shared" si="2"/>
        <v>#N/A</v>
      </c>
      <c r="J59" s="56"/>
      <c r="K59" s="56"/>
      <c r="L59" s="56"/>
      <c r="M59" s="56"/>
      <c r="N59" s="56" t="str">
        <f t="shared" si="9"/>
        <v>//</v>
      </c>
      <c r="O59" s="56" t="str">
        <f t="shared" si="10"/>
        <v>//</v>
      </c>
      <c r="P59" s="56" t="str">
        <f t="shared" si="11"/>
        <v>//</v>
      </c>
      <c r="Q59" s="56" t="str">
        <f t="shared" si="12"/>
        <v>//</v>
      </c>
      <c r="R59" s="56"/>
      <c r="S59" s="56" t="str">
        <f t="shared" si="13"/>
        <v>//</v>
      </c>
    </row>
    <row r="60">
      <c r="A60" s="56"/>
      <c r="B60" s="56"/>
      <c r="C60" s="56" t="s">
        <v>70</v>
      </c>
      <c r="D60" s="56" t="s">
        <v>70</v>
      </c>
      <c r="E60" s="56" t="s">
        <v>70</v>
      </c>
      <c r="F60" s="56" t="s">
        <v>70</v>
      </c>
      <c r="G60" s="56" t="s">
        <v>70</v>
      </c>
      <c r="H60" s="56"/>
      <c r="I60" s="2" t="str">
        <f t="shared" si="2"/>
        <v>#N/A</v>
      </c>
      <c r="J60" s="56"/>
      <c r="K60" s="56"/>
      <c r="L60" s="56"/>
      <c r="M60" s="56"/>
      <c r="N60" s="56" t="str">
        <f t="shared" si="9"/>
        <v>//</v>
      </c>
      <c r="O60" s="56" t="str">
        <f t="shared" si="10"/>
        <v>//</v>
      </c>
      <c r="P60" s="56" t="str">
        <f t="shared" si="11"/>
        <v>//</v>
      </c>
      <c r="Q60" s="56" t="str">
        <f t="shared" si="12"/>
        <v>//</v>
      </c>
      <c r="R60" s="56"/>
      <c r="S60" s="56" t="str">
        <f t="shared" si="13"/>
        <v>//</v>
      </c>
    </row>
    <row r="61">
      <c r="A61" s="56"/>
      <c r="B61" s="56"/>
      <c r="C61" s="56" t="s">
        <v>70</v>
      </c>
      <c r="D61" s="56" t="s">
        <v>70</v>
      </c>
      <c r="E61" s="56" t="s">
        <v>70</v>
      </c>
      <c r="F61" s="56" t="s">
        <v>70</v>
      </c>
      <c r="G61" s="56" t="s">
        <v>70</v>
      </c>
      <c r="H61" s="56"/>
      <c r="I61" s="2" t="str">
        <f t="shared" si="2"/>
        <v>#N/A</v>
      </c>
      <c r="J61" s="56"/>
      <c r="K61" s="56"/>
      <c r="L61" s="56"/>
      <c r="M61" s="56"/>
      <c r="N61" s="56" t="str">
        <f t="shared" si="9"/>
        <v>//</v>
      </c>
      <c r="O61" s="56" t="str">
        <f t="shared" si="10"/>
        <v>//</v>
      </c>
      <c r="P61" s="56" t="str">
        <f t="shared" si="11"/>
        <v>//</v>
      </c>
      <c r="Q61" s="56" t="str">
        <f t="shared" si="12"/>
        <v>//</v>
      </c>
      <c r="R61" s="56"/>
      <c r="S61" s="56" t="str">
        <f t="shared" si="13"/>
        <v>//</v>
      </c>
    </row>
    <row r="62">
      <c r="A62" s="56"/>
      <c r="B62" s="56"/>
      <c r="C62" s="56" t="s">
        <v>70</v>
      </c>
      <c r="D62" s="56" t="s">
        <v>70</v>
      </c>
      <c r="E62" s="56" t="s">
        <v>70</v>
      </c>
      <c r="F62" s="56" t="s">
        <v>70</v>
      </c>
      <c r="G62" s="56" t="s">
        <v>70</v>
      </c>
      <c r="H62" s="56"/>
      <c r="I62" s="2" t="str">
        <f t="shared" si="2"/>
        <v>#N/A</v>
      </c>
      <c r="J62" s="56"/>
      <c r="K62" s="56"/>
      <c r="L62" s="56"/>
      <c r="M62" s="56"/>
      <c r="N62" s="56" t="str">
        <f t="shared" si="9"/>
        <v>//</v>
      </c>
      <c r="O62" s="56" t="str">
        <f t="shared" si="10"/>
        <v>//</v>
      </c>
      <c r="P62" s="56" t="str">
        <f t="shared" si="11"/>
        <v>//</v>
      </c>
      <c r="Q62" s="56" t="str">
        <f t="shared" si="12"/>
        <v>//</v>
      </c>
      <c r="R62" s="56"/>
      <c r="S62" s="56" t="str">
        <f t="shared" si="13"/>
        <v>//</v>
      </c>
    </row>
    <row r="63">
      <c r="A63" s="56"/>
      <c r="B63" s="56"/>
      <c r="C63" s="56" t="s">
        <v>70</v>
      </c>
      <c r="D63" s="56" t="s">
        <v>70</v>
      </c>
      <c r="E63" s="56" t="s">
        <v>70</v>
      </c>
      <c r="F63" s="56" t="s">
        <v>70</v>
      </c>
      <c r="G63" s="56" t="s">
        <v>70</v>
      </c>
      <c r="H63" s="56"/>
      <c r="I63" s="2" t="str">
        <f t="shared" si="2"/>
        <v>#N/A</v>
      </c>
      <c r="J63" s="56"/>
      <c r="K63" s="56"/>
      <c r="L63" s="56"/>
      <c r="M63" s="56"/>
      <c r="N63" s="56" t="str">
        <f t="shared" si="9"/>
        <v>//</v>
      </c>
      <c r="O63" s="56" t="str">
        <f t="shared" si="10"/>
        <v>//</v>
      </c>
      <c r="P63" s="56" t="str">
        <f t="shared" si="11"/>
        <v>//</v>
      </c>
      <c r="Q63" s="56" t="str">
        <f t="shared" si="12"/>
        <v>//</v>
      </c>
      <c r="R63" s="56"/>
      <c r="S63" s="56" t="str">
        <f t="shared" si="13"/>
        <v>//</v>
      </c>
    </row>
    <row r="64">
      <c r="A64" s="56"/>
      <c r="B64" s="56"/>
      <c r="C64" s="56" t="s">
        <v>70</v>
      </c>
      <c r="D64" s="56" t="s">
        <v>70</v>
      </c>
      <c r="E64" s="56" t="s">
        <v>70</v>
      </c>
      <c r="F64" s="56" t="s">
        <v>70</v>
      </c>
      <c r="G64" s="56" t="s">
        <v>70</v>
      </c>
      <c r="H64" s="56"/>
      <c r="I64" s="2" t="str">
        <f t="shared" si="2"/>
        <v>#N/A</v>
      </c>
      <c r="J64" s="56"/>
      <c r="K64" s="56"/>
      <c r="L64" s="56"/>
      <c r="M64" s="56"/>
      <c r="N64" s="56" t="str">
        <f t="shared" si="9"/>
        <v>//</v>
      </c>
      <c r="O64" s="56" t="str">
        <f t="shared" si="10"/>
        <v>//</v>
      </c>
      <c r="P64" s="56" t="str">
        <f t="shared" si="11"/>
        <v>//</v>
      </c>
      <c r="Q64" s="56" t="str">
        <f t="shared" si="12"/>
        <v>//</v>
      </c>
      <c r="R64" s="56"/>
      <c r="S64" s="56" t="str">
        <f t="shared" si="13"/>
        <v>//</v>
      </c>
    </row>
    <row r="65">
      <c r="A65" s="56"/>
      <c r="B65" s="56"/>
      <c r="C65" s="56" t="s">
        <v>70</v>
      </c>
      <c r="D65" s="56" t="s">
        <v>70</v>
      </c>
      <c r="E65" s="56" t="s">
        <v>70</v>
      </c>
      <c r="F65" s="56" t="s">
        <v>70</v>
      </c>
      <c r="G65" s="56" t="s">
        <v>70</v>
      </c>
      <c r="H65" s="56"/>
      <c r="I65" s="2" t="str">
        <f t="shared" si="2"/>
        <v>#N/A</v>
      </c>
      <c r="J65" s="56"/>
      <c r="K65" s="56"/>
      <c r="L65" s="56"/>
      <c r="M65" s="56"/>
      <c r="N65" s="56" t="str">
        <f t="shared" si="9"/>
        <v>//</v>
      </c>
      <c r="O65" s="56" t="str">
        <f t="shared" si="10"/>
        <v>//</v>
      </c>
      <c r="P65" s="56" t="str">
        <f t="shared" si="11"/>
        <v>//</v>
      </c>
      <c r="Q65" s="56" t="str">
        <f t="shared" si="12"/>
        <v>//</v>
      </c>
      <c r="R65" s="56"/>
      <c r="S65" s="56" t="str">
        <f t="shared" si="13"/>
        <v>//</v>
      </c>
    </row>
    <row r="66">
      <c r="A66" s="56"/>
      <c r="B66" s="56"/>
      <c r="C66" s="56" t="s">
        <v>70</v>
      </c>
      <c r="D66" s="56" t="s">
        <v>70</v>
      </c>
      <c r="E66" s="56" t="s">
        <v>70</v>
      </c>
      <c r="F66" s="56" t="s">
        <v>70</v>
      </c>
      <c r="G66" s="56" t="s">
        <v>70</v>
      </c>
      <c r="H66" s="56"/>
      <c r="I66" s="2" t="str">
        <f t="shared" si="2"/>
        <v>#N/A</v>
      </c>
      <c r="J66" s="56"/>
      <c r="K66" s="56"/>
      <c r="L66" s="56"/>
      <c r="M66" s="56"/>
      <c r="N66" s="56" t="str">
        <f t="shared" si="9"/>
        <v>//</v>
      </c>
      <c r="O66" s="56" t="str">
        <f t="shared" si="10"/>
        <v>//</v>
      </c>
      <c r="P66" s="56" t="str">
        <f t="shared" si="11"/>
        <v>//</v>
      </c>
      <c r="Q66" s="56" t="str">
        <f t="shared" si="12"/>
        <v>//</v>
      </c>
      <c r="R66" s="56"/>
      <c r="S66" s="56" t="str">
        <f t="shared" si="13"/>
        <v>//</v>
      </c>
    </row>
    <row r="67">
      <c r="A67" s="56"/>
      <c r="B67" s="56"/>
      <c r="C67" s="56" t="s">
        <v>70</v>
      </c>
      <c r="D67" s="56" t="s">
        <v>70</v>
      </c>
      <c r="E67" s="56" t="s">
        <v>70</v>
      </c>
      <c r="F67" s="56" t="s">
        <v>70</v>
      </c>
      <c r="G67" s="56" t="s">
        <v>70</v>
      </c>
      <c r="H67" s="56"/>
      <c r="I67" s="2" t="str">
        <f t="shared" si="2"/>
        <v>#N/A</v>
      </c>
      <c r="J67" s="56"/>
      <c r="K67" s="56"/>
      <c r="L67" s="56"/>
      <c r="M67" s="56"/>
      <c r="N67" s="56" t="str">
        <f t="shared" si="9"/>
        <v>//</v>
      </c>
      <c r="O67" s="56" t="str">
        <f t="shared" si="10"/>
        <v>//</v>
      </c>
      <c r="P67" s="56" t="str">
        <f t="shared" si="11"/>
        <v>//</v>
      </c>
      <c r="Q67" s="56" t="str">
        <f t="shared" si="12"/>
        <v>//</v>
      </c>
      <c r="R67" s="56"/>
      <c r="S67" s="56" t="str">
        <f t="shared" si="13"/>
        <v>//</v>
      </c>
    </row>
    <row r="68">
      <c r="A68" s="56"/>
      <c r="B68" s="56"/>
      <c r="C68" s="56" t="s">
        <v>70</v>
      </c>
      <c r="D68" s="56" t="s">
        <v>70</v>
      </c>
      <c r="E68" s="56" t="s">
        <v>70</v>
      </c>
      <c r="F68" s="56" t="s">
        <v>70</v>
      </c>
      <c r="G68" s="56" t="s">
        <v>70</v>
      </c>
      <c r="H68" s="56"/>
      <c r="I68" s="2" t="str">
        <f t="shared" si="2"/>
        <v>#N/A</v>
      </c>
      <c r="J68" s="56"/>
      <c r="K68" s="56"/>
      <c r="L68" s="56"/>
      <c r="M68" s="56"/>
      <c r="N68" s="56" t="str">
        <f t="shared" si="9"/>
        <v>//</v>
      </c>
      <c r="O68" s="56" t="str">
        <f t="shared" si="10"/>
        <v>//</v>
      </c>
      <c r="P68" s="56" t="str">
        <f t="shared" si="11"/>
        <v>//</v>
      </c>
      <c r="Q68" s="56" t="str">
        <f t="shared" si="12"/>
        <v>//</v>
      </c>
      <c r="R68" s="56"/>
      <c r="S68" s="56" t="str">
        <f t="shared" si="13"/>
        <v>//</v>
      </c>
    </row>
    <row r="69">
      <c r="A69" s="56"/>
      <c r="B69" s="56"/>
      <c r="C69" s="56" t="s">
        <v>70</v>
      </c>
      <c r="D69" s="56" t="s">
        <v>70</v>
      </c>
      <c r="E69" s="56" t="s">
        <v>70</v>
      </c>
      <c r="F69" s="56" t="s">
        <v>70</v>
      </c>
      <c r="G69" s="56" t="s">
        <v>70</v>
      </c>
      <c r="H69" s="56"/>
      <c r="I69" s="2" t="str">
        <f t="shared" si="2"/>
        <v>#N/A</v>
      </c>
      <c r="J69" s="56"/>
      <c r="K69" s="56"/>
      <c r="L69" s="56"/>
      <c r="M69" s="56"/>
      <c r="N69" s="56" t="str">
        <f t="shared" si="9"/>
        <v>//</v>
      </c>
      <c r="O69" s="56" t="str">
        <f t="shared" si="10"/>
        <v>//</v>
      </c>
      <c r="P69" s="56" t="str">
        <f t="shared" si="11"/>
        <v>//</v>
      </c>
      <c r="Q69" s="56" t="str">
        <f t="shared" si="12"/>
        <v>//</v>
      </c>
      <c r="R69" s="56"/>
      <c r="S69" s="56" t="str">
        <f t="shared" si="13"/>
        <v>//</v>
      </c>
    </row>
    <row r="70">
      <c r="A70" s="56"/>
      <c r="B70" s="56"/>
      <c r="C70" s="56" t="s">
        <v>70</v>
      </c>
      <c r="D70" s="56" t="s">
        <v>70</v>
      </c>
      <c r="E70" s="56" t="s">
        <v>70</v>
      </c>
      <c r="F70" s="56" t="s">
        <v>70</v>
      </c>
      <c r="G70" s="56" t="s">
        <v>70</v>
      </c>
      <c r="H70" s="56"/>
      <c r="I70" s="2" t="str">
        <f t="shared" si="2"/>
        <v>#N/A</v>
      </c>
      <c r="J70" s="56"/>
      <c r="K70" s="56"/>
      <c r="L70" s="56"/>
      <c r="M70" s="56"/>
      <c r="N70" s="56" t="str">
        <f t="shared" si="9"/>
        <v>//</v>
      </c>
      <c r="O70" s="56" t="str">
        <f t="shared" si="10"/>
        <v>//</v>
      </c>
      <c r="P70" s="56" t="str">
        <f t="shared" si="11"/>
        <v>//</v>
      </c>
      <c r="Q70" s="56" t="str">
        <f t="shared" si="12"/>
        <v>//</v>
      </c>
      <c r="R70" s="56"/>
      <c r="S70" s="56" t="str">
        <f t="shared" si="13"/>
        <v>//</v>
      </c>
    </row>
    <row r="71">
      <c r="A71" s="56"/>
      <c r="B71" s="56"/>
      <c r="C71" s="56" t="s">
        <v>70</v>
      </c>
      <c r="D71" s="56" t="s">
        <v>70</v>
      </c>
      <c r="E71" s="56" t="s">
        <v>70</v>
      </c>
      <c r="F71" s="56" t="s">
        <v>70</v>
      </c>
      <c r="G71" s="56" t="s">
        <v>70</v>
      </c>
      <c r="H71" s="56"/>
      <c r="I71" s="2" t="str">
        <f t="shared" si="2"/>
        <v>#N/A</v>
      </c>
      <c r="J71" s="56"/>
      <c r="K71" s="56"/>
      <c r="L71" s="56"/>
      <c r="M71" s="56"/>
      <c r="N71" s="56" t="str">
        <f t="shared" si="9"/>
        <v>//</v>
      </c>
      <c r="O71" s="56" t="str">
        <f t="shared" si="10"/>
        <v>//</v>
      </c>
      <c r="P71" s="56" t="str">
        <f t="shared" si="11"/>
        <v>//</v>
      </c>
      <c r="Q71" s="56" t="str">
        <f t="shared" si="12"/>
        <v>//</v>
      </c>
      <c r="R71" s="56"/>
      <c r="S71" s="56" t="str">
        <f t="shared" si="13"/>
        <v>//</v>
      </c>
    </row>
    <row r="72">
      <c r="A72" s="56"/>
      <c r="B72" s="56"/>
      <c r="C72" s="56" t="s">
        <v>70</v>
      </c>
      <c r="D72" s="56" t="s">
        <v>70</v>
      </c>
      <c r="E72" s="56" t="s">
        <v>70</v>
      </c>
      <c r="F72" s="56" t="s">
        <v>70</v>
      </c>
      <c r="G72" s="56" t="s">
        <v>70</v>
      </c>
      <c r="H72" s="56"/>
      <c r="I72" s="2" t="str">
        <f t="shared" si="2"/>
        <v>#N/A</v>
      </c>
      <c r="J72" s="56"/>
      <c r="K72" s="56"/>
      <c r="L72" s="56"/>
      <c r="M72" s="56"/>
      <c r="N72" s="56" t="str">
        <f t="shared" si="9"/>
        <v>//</v>
      </c>
      <c r="O72" s="56" t="str">
        <f t="shared" si="10"/>
        <v>//</v>
      </c>
      <c r="P72" s="56" t="str">
        <f t="shared" si="11"/>
        <v>//</v>
      </c>
      <c r="Q72" s="56" t="str">
        <f t="shared" si="12"/>
        <v>//</v>
      </c>
      <c r="R72" s="56"/>
      <c r="S72" s="56" t="str">
        <f t="shared" si="13"/>
        <v>//</v>
      </c>
    </row>
    <row r="73">
      <c r="A73" s="56"/>
      <c r="B73" s="56"/>
      <c r="C73" s="56" t="s">
        <v>70</v>
      </c>
      <c r="D73" s="56" t="s">
        <v>70</v>
      </c>
      <c r="E73" s="56" t="s">
        <v>70</v>
      </c>
      <c r="F73" s="56" t="s">
        <v>70</v>
      </c>
      <c r="G73" s="56" t="s">
        <v>70</v>
      </c>
      <c r="H73" s="56"/>
      <c r="I73" s="2" t="str">
        <f t="shared" si="2"/>
        <v>#N/A</v>
      </c>
      <c r="J73" s="56"/>
      <c r="K73" s="56"/>
      <c r="L73" s="56"/>
      <c r="M73" s="56"/>
      <c r="N73" s="56" t="str">
        <f t="shared" si="9"/>
        <v>//</v>
      </c>
      <c r="O73" s="56" t="str">
        <f t="shared" si="10"/>
        <v>//</v>
      </c>
      <c r="P73" s="56" t="str">
        <f t="shared" si="11"/>
        <v>//</v>
      </c>
      <c r="Q73" s="56" t="str">
        <f t="shared" si="12"/>
        <v>//</v>
      </c>
      <c r="R73" s="56"/>
      <c r="S73" s="56" t="str">
        <f t="shared" si="13"/>
        <v>//</v>
      </c>
    </row>
    <row r="74">
      <c r="A74" s="56"/>
      <c r="B74" s="56"/>
      <c r="C74" s="56" t="s">
        <v>70</v>
      </c>
      <c r="D74" s="56" t="s">
        <v>70</v>
      </c>
      <c r="E74" s="56" t="s">
        <v>70</v>
      </c>
      <c r="F74" s="56" t="s">
        <v>70</v>
      </c>
      <c r="G74" s="56" t="s">
        <v>70</v>
      </c>
      <c r="H74" s="56"/>
      <c r="I74" s="2" t="str">
        <f t="shared" si="2"/>
        <v>#N/A</v>
      </c>
      <c r="J74" s="56"/>
      <c r="K74" s="56"/>
      <c r="L74" s="56"/>
      <c r="M74" s="56"/>
      <c r="N74" s="56" t="str">
        <f t="shared" si="9"/>
        <v>//</v>
      </c>
      <c r="O74" s="56" t="str">
        <f t="shared" si="10"/>
        <v>//</v>
      </c>
      <c r="P74" s="56" t="str">
        <f t="shared" si="11"/>
        <v>//</v>
      </c>
      <c r="Q74" s="56" t="str">
        <f t="shared" si="12"/>
        <v>//</v>
      </c>
      <c r="R74" s="56"/>
      <c r="S74" s="56" t="str">
        <f t="shared" si="13"/>
        <v>//</v>
      </c>
    </row>
    <row r="75">
      <c r="A75" s="56"/>
      <c r="B75" s="56"/>
      <c r="C75" s="56" t="s">
        <v>70</v>
      </c>
      <c r="D75" s="56" t="s">
        <v>70</v>
      </c>
      <c r="E75" s="56" t="s">
        <v>70</v>
      </c>
      <c r="F75" s="56" t="s">
        <v>70</v>
      </c>
      <c r="G75" s="56" t="s">
        <v>70</v>
      </c>
      <c r="H75" s="56"/>
      <c r="I75" s="2" t="str">
        <f t="shared" si="2"/>
        <v>#N/A</v>
      </c>
      <c r="J75" s="56"/>
      <c r="K75" s="56"/>
      <c r="L75" s="56"/>
      <c r="M75" s="56"/>
      <c r="N75" s="56" t="str">
        <f t="shared" si="9"/>
        <v>//</v>
      </c>
      <c r="O75" s="56" t="str">
        <f t="shared" si="10"/>
        <v>//</v>
      </c>
      <c r="P75" s="56" t="str">
        <f t="shared" si="11"/>
        <v>//</v>
      </c>
      <c r="Q75" s="56" t="str">
        <f t="shared" si="12"/>
        <v>//</v>
      </c>
      <c r="R75" s="56"/>
      <c r="S75" s="56" t="str">
        <f t="shared" si="13"/>
        <v>//</v>
      </c>
    </row>
    <row r="76">
      <c r="A76" s="56"/>
      <c r="B76" s="56"/>
      <c r="C76" s="56" t="s">
        <v>70</v>
      </c>
      <c r="D76" s="56" t="s">
        <v>70</v>
      </c>
      <c r="E76" s="56" t="s">
        <v>70</v>
      </c>
      <c r="F76" s="56" t="s">
        <v>70</v>
      </c>
      <c r="G76" s="56" t="s">
        <v>70</v>
      </c>
      <c r="H76" s="56"/>
      <c r="I76" s="2" t="str">
        <f t="shared" si="2"/>
        <v>#N/A</v>
      </c>
      <c r="J76" s="56"/>
      <c r="K76" s="56"/>
      <c r="L76" s="56"/>
      <c r="M76" s="56"/>
      <c r="N76" s="56" t="str">
        <f t="shared" si="9"/>
        <v>//</v>
      </c>
      <c r="O76" s="56" t="str">
        <f t="shared" si="10"/>
        <v>//</v>
      </c>
      <c r="P76" s="56" t="str">
        <f t="shared" si="11"/>
        <v>//</v>
      </c>
      <c r="Q76" s="56" t="str">
        <f t="shared" si="12"/>
        <v>//</v>
      </c>
      <c r="R76" s="56"/>
      <c r="S76" s="56" t="str">
        <f t="shared" si="13"/>
        <v>//</v>
      </c>
    </row>
    <row r="77">
      <c r="A77" s="56"/>
      <c r="B77" s="56"/>
      <c r="C77" s="56" t="s">
        <v>70</v>
      </c>
      <c r="D77" s="56" t="s">
        <v>70</v>
      </c>
      <c r="E77" s="56" t="s">
        <v>70</v>
      </c>
      <c r="F77" s="56" t="s">
        <v>70</v>
      </c>
      <c r="G77" s="56" t="s">
        <v>70</v>
      </c>
      <c r="H77" s="56"/>
      <c r="I77" s="2" t="str">
        <f t="shared" si="2"/>
        <v>#N/A</v>
      </c>
      <c r="J77" s="56"/>
      <c r="K77" s="56"/>
      <c r="L77" s="56"/>
      <c r="M77" s="56"/>
      <c r="N77" s="56" t="str">
        <f t="shared" si="9"/>
        <v>//</v>
      </c>
      <c r="O77" s="56" t="str">
        <f t="shared" si="10"/>
        <v>//</v>
      </c>
      <c r="P77" s="56" t="str">
        <f t="shared" si="11"/>
        <v>//</v>
      </c>
      <c r="Q77" s="56" t="str">
        <f t="shared" si="12"/>
        <v>//</v>
      </c>
      <c r="R77" s="56"/>
      <c r="S77" s="56" t="str">
        <f t="shared" si="13"/>
        <v>//</v>
      </c>
    </row>
    <row r="78">
      <c r="A78" s="56"/>
      <c r="B78" s="56"/>
      <c r="C78" s="56" t="s">
        <v>70</v>
      </c>
      <c r="D78" s="56" t="s">
        <v>70</v>
      </c>
      <c r="E78" s="56" t="s">
        <v>70</v>
      </c>
      <c r="F78" s="56" t="s">
        <v>70</v>
      </c>
      <c r="G78" s="56" t="s">
        <v>70</v>
      </c>
      <c r="H78" s="56"/>
      <c r="I78" s="2" t="str">
        <f t="shared" si="2"/>
        <v>#N/A</v>
      </c>
      <c r="J78" s="56"/>
      <c r="K78" s="56"/>
      <c r="L78" s="56"/>
      <c r="M78" s="56"/>
      <c r="N78" s="56" t="str">
        <f t="shared" si="9"/>
        <v>//</v>
      </c>
      <c r="O78" s="56" t="str">
        <f t="shared" si="10"/>
        <v>//</v>
      </c>
      <c r="P78" s="56" t="str">
        <f t="shared" si="11"/>
        <v>//</v>
      </c>
      <c r="Q78" s="56" t="str">
        <f t="shared" si="12"/>
        <v>//</v>
      </c>
      <c r="R78" s="56"/>
      <c r="S78" s="56" t="str">
        <f t="shared" si="13"/>
        <v>//</v>
      </c>
    </row>
    <row r="79">
      <c r="A79" s="56"/>
      <c r="B79" s="56"/>
      <c r="C79" s="56" t="s">
        <v>70</v>
      </c>
      <c r="D79" s="56" t="s">
        <v>70</v>
      </c>
      <c r="E79" s="56" t="s">
        <v>70</v>
      </c>
      <c r="F79" s="56" t="s">
        <v>70</v>
      </c>
      <c r="G79" s="56" t="s">
        <v>70</v>
      </c>
      <c r="H79" s="56"/>
      <c r="I79" s="2" t="str">
        <f t="shared" si="2"/>
        <v>#N/A</v>
      </c>
      <c r="J79" s="56"/>
      <c r="K79" s="56"/>
      <c r="L79" s="56"/>
      <c r="M79" s="56"/>
      <c r="N79" s="56" t="str">
        <f t="shared" si="9"/>
        <v>//</v>
      </c>
      <c r="O79" s="56" t="str">
        <f t="shared" si="10"/>
        <v>//</v>
      </c>
      <c r="P79" s="56" t="str">
        <f t="shared" si="11"/>
        <v>//</v>
      </c>
      <c r="Q79" s="56" t="str">
        <f t="shared" si="12"/>
        <v>//</v>
      </c>
      <c r="R79" s="56"/>
      <c r="S79" s="56" t="str">
        <f t="shared" si="13"/>
        <v>//</v>
      </c>
    </row>
    <row r="80">
      <c r="A80" s="56"/>
      <c r="B80" s="56"/>
      <c r="C80" s="56" t="s">
        <v>70</v>
      </c>
      <c r="D80" s="56" t="s">
        <v>70</v>
      </c>
      <c r="E80" s="56" t="s">
        <v>70</v>
      </c>
      <c r="F80" s="56" t="s">
        <v>70</v>
      </c>
      <c r="G80" s="56" t="s">
        <v>70</v>
      </c>
      <c r="H80" s="56"/>
      <c r="I80" s="2" t="str">
        <f t="shared" si="2"/>
        <v>#N/A</v>
      </c>
      <c r="J80" s="56"/>
      <c r="K80" s="56"/>
      <c r="L80" s="56"/>
      <c r="M80" s="56"/>
      <c r="N80" s="56" t="str">
        <f t="shared" si="9"/>
        <v>//</v>
      </c>
      <c r="O80" s="56" t="str">
        <f t="shared" si="10"/>
        <v>//</v>
      </c>
      <c r="P80" s="56" t="str">
        <f t="shared" si="11"/>
        <v>//</v>
      </c>
      <c r="Q80" s="56" t="str">
        <f t="shared" si="12"/>
        <v>//</v>
      </c>
      <c r="R80" s="56"/>
      <c r="S80" s="56" t="str">
        <f t="shared" si="13"/>
        <v>//</v>
      </c>
    </row>
    <row r="81">
      <c r="A81" s="56"/>
      <c r="B81" s="56"/>
      <c r="C81" s="56" t="s">
        <v>70</v>
      </c>
      <c r="D81" s="56" t="s">
        <v>70</v>
      </c>
      <c r="E81" s="56" t="s">
        <v>70</v>
      </c>
      <c r="F81" s="56" t="s">
        <v>70</v>
      </c>
      <c r="G81" s="56" t="s">
        <v>70</v>
      </c>
      <c r="H81" s="56"/>
      <c r="I81" s="2" t="str">
        <f t="shared" si="2"/>
        <v>#N/A</v>
      </c>
      <c r="J81" s="56"/>
      <c r="K81" s="56"/>
      <c r="L81" s="56"/>
      <c r="M81" s="56"/>
      <c r="N81" s="56" t="str">
        <f t="shared" si="9"/>
        <v>//</v>
      </c>
      <c r="O81" s="56" t="str">
        <f t="shared" si="10"/>
        <v>//</v>
      </c>
      <c r="P81" s="56" t="str">
        <f t="shared" si="11"/>
        <v>//</v>
      </c>
      <c r="Q81" s="56" t="str">
        <f t="shared" si="12"/>
        <v>//</v>
      </c>
      <c r="R81" s="56"/>
      <c r="S81" s="56" t="str">
        <f t="shared" si="13"/>
        <v>//</v>
      </c>
    </row>
    <row r="82">
      <c r="A82" s="56"/>
      <c r="B82" s="56"/>
      <c r="C82" s="56" t="s">
        <v>70</v>
      </c>
      <c r="D82" s="56" t="s">
        <v>70</v>
      </c>
      <c r="E82" s="56" t="s">
        <v>70</v>
      </c>
      <c r="F82" s="56" t="s">
        <v>70</v>
      </c>
      <c r="G82" s="56" t="s">
        <v>70</v>
      </c>
      <c r="H82" s="56"/>
      <c r="I82" s="2" t="str">
        <f t="shared" si="2"/>
        <v>#N/A</v>
      </c>
      <c r="J82" s="56"/>
      <c r="K82" s="56"/>
      <c r="L82" s="56"/>
      <c r="M82" s="56"/>
      <c r="N82" s="56" t="str">
        <f t="shared" si="9"/>
        <v>//</v>
      </c>
      <c r="O82" s="56" t="str">
        <f t="shared" si="10"/>
        <v>//</v>
      </c>
      <c r="P82" s="56" t="str">
        <f t="shared" si="11"/>
        <v>//</v>
      </c>
      <c r="Q82" s="56" t="str">
        <f t="shared" si="12"/>
        <v>//</v>
      </c>
      <c r="R82" s="56"/>
      <c r="S82" s="56" t="str">
        <f t="shared" si="13"/>
        <v>//</v>
      </c>
    </row>
    <row r="83">
      <c r="A83" s="56"/>
      <c r="B83" s="56"/>
      <c r="C83" s="56" t="s">
        <v>70</v>
      </c>
      <c r="D83" s="56" t="s">
        <v>70</v>
      </c>
      <c r="E83" s="56" t="s">
        <v>70</v>
      </c>
      <c r="F83" s="56" t="s">
        <v>70</v>
      </c>
      <c r="G83" s="56" t="s">
        <v>70</v>
      </c>
      <c r="H83" s="56"/>
      <c r="I83" s="2" t="str">
        <f t="shared" si="2"/>
        <v>#N/A</v>
      </c>
      <c r="J83" s="56"/>
      <c r="K83" s="56"/>
      <c r="L83" s="56"/>
      <c r="M83" s="56"/>
      <c r="N83" s="56" t="str">
        <f t="shared" si="9"/>
        <v>//</v>
      </c>
      <c r="O83" s="56" t="str">
        <f t="shared" si="10"/>
        <v>//</v>
      </c>
      <c r="P83" s="56" t="str">
        <f t="shared" si="11"/>
        <v>//</v>
      </c>
      <c r="Q83" s="56" t="str">
        <f t="shared" si="12"/>
        <v>//</v>
      </c>
      <c r="R83" s="56"/>
      <c r="S83" s="56" t="str">
        <f t="shared" si="13"/>
        <v>//</v>
      </c>
    </row>
    <row r="84">
      <c r="A84" s="56"/>
      <c r="B84" s="56"/>
      <c r="C84" s="56" t="s">
        <v>70</v>
      </c>
      <c r="D84" s="56" t="s">
        <v>70</v>
      </c>
      <c r="E84" s="56" t="s">
        <v>70</v>
      </c>
      <c r="F84" s="56" t="s">
        <v>70</v>
      </c>
      <c r="G84" s="56" t="s">
        <v>70</v>
      </c>
      <c r="H84" s="56"/>
      <c r="I84" s="2" t="str">
        <f t="shared" si="2"/>
        <v>#N/A</v>
      </c>
      <c r="J84" s="56"/>
      <c r="K84" s="56"/>
      <c r="L84" s="56"/>
      <c r="M84" s="56"/>
      <c r="N84" s="56" t="str">
        <f t="shared" si="9"/>
        <v>//</v>
      </c>
      <c r="O84" s="56" t="str">
        <f t="shared" si="10"/>
        <v>//</v>
      </c>
      <c r="P84" s="56" t="str">
        <f t="shared" si="11"/>
        <v>//</v>
      </c>
      <c r="Q84" s="56" t="str">
        <f t="shared" si="12"/>
        <v>//</v>
      </c>
      <c r="R84" s="56"/>
      <c r="S84" s="56" t="str">
        <f t="shared" si="13"/>
        <v>//</v>
      </c>
    </row>
    <row r="85">
      <c r="A85" s="56"/>
      <c r="B85" s="56"/>
      <c r="C85" s="56" t="s">
        <v>70</v>
      </c>
      <c r="D85" s="56" t="s">
        <v>70</v>
      </c>
      <c r="E85" s="56" t="s">
        <v>70</v>
      </c>
      <c r="F85" s="56" t="s">
        <v>70</v>
      </c>
      <c r="G85" s="56" t="s">
        <v>70</v>
      </c>
      <c r="H85" s="56"/>
      <c r="I85" s="2" t="str">
        <f t="shared" si="2"/>
        <v>#N/A</v>
      </c>
      <c r="J85" s="56"/>
      <c r="K85" s="56"/>
      <c r="L85" s="56"/>
      <c r="M85" s="56"/>
      <c r="N85" s="56" t="str">
        <f t="shared" si="9"/>
        <v>//</v>
      </c>
      <c r="O85" s="56" t="str">
        <f t="shared" si="10"/>
        <v>//</v>
      </c>
      <c r="P85" s="56" t="str">
        <f t="shared" si="11"/>
        <v>//</v>
      </c>
      <c r="Q85" s="56" t="str">
        <f t="shared" si="12"/>
        <v>//</v>
      </c>
      <c r="R85" s="56"/>
      <c r="S85" s="56" t="str">
        <f t="shared" si="13"/>
        <v>//</v>
      </c>
    </row>
    <row r="86">
      <c r="A86" s="56"/>
      <c r="B86" s="56"/>
      <c r="C86" s="56" t="s">
        <v>70</v>
      </c>
      <c r="D86" s="56" t="s">
        <v>70</v>
      </c>
      <c r="E86" s="56" t="s">
        <v>70</v>
      </c>
      <c r="F86" s="56" t="s">
        <v>70</v>
      </c>
      <c r="G86" s="56" t="s">
        <v>70</v>
      </c>
      <c r="H86" s="56"/>
      <c r="I86" s="2" t="str">
        <f t="shared" si="2"/>
        <v>#N/A</v>
      </c>
      <c r="J86" s="56"/>
      <c r="K86" s="56"/>
      <c r="L86" s="56"/>
      <c r="M86" s="56"/>
      <c r="N86" s="56" t="str">
        <f t="shared" si="9"/>
        <v>//</v>
      </c>
      <c r="O86" s="56" t="str">
        <f t="shared" si="10"/>
        <v>//</v>
      </c>
      <c r="P86" s="56" t="str">
        <f t="shared" si="11"/>
        <v>//</v>
      </c>
      <c r="Q86" s="56" t="str">
        <f t="shared" si="12"/>
        <v>//</v>
      </c>
      <c r="R86" s="56"/>
      <c r="S86" s="56" t="str">
        <f t="shared" si="13"/>
        <v>//</v>
      </c>
    </row>
    <row r="87">
      <c r="B87" s="56"/>
      <c r="C87" s="56" t="s">
        <v>70</v>
      </c>
      <c r="D87" s="56" t="s">
        <v>70</v>
      </c>
      <c r="E87" s="56" t="s">
        <v>70</v>
      </c>
      <c r="F87" s="56" t="s">
        <v>70</v>
      </c>
      <c r="G87" s="56" t="s">
        <v>70</v>
      </c>
      <c r="H87" s="56"/>
      <c r="I87" s="2" t="str">
        <f t="shared" si="2"/>
        <v>#N/A</v>
      </c>
      <c r="J87" s="56"/>
      <c r="K87" s="56"/>
      <c r="L87" s="56"/>
      <c r="M87" s="56"/>
      <c r="N87" s="56" t="str">
        <f t="shared" si="9"/>
        <v>//</v>
      </c>
      <c r="O87" s="56" t="str">
        <f t="shared" si="10"/>
        <v>//</v>
      </c>
      <c r="P87" s="56" t="str">
        <f t="shared" si="11"/>
        <v>//</v>
      </c>
      <c r="Q87" s="56" t="str">
        <f t="shared" si="12"/>
        <v>//</v>
      </c>
      <c r="R87" s="56"/>
      <c r="S87" s="56" t="str">
        <f t="shared" si="13"/>
        <v>//</v>
      </c>
    </row>
    <row r="88">
      <c r="B88" s="56"/>
      <c r="C88" s="56" t="s">
        <v>70</v>
      </c>
      <c r="D88" s="56" t="s">
        <v>70</v>
      </c>
      <c r="E88" s="56" t="s">
        <v>70</v>
      </c>
      <c r="F88" s="56" t="s">
        <v>70</v>
      </c>
      <c r="G88" s="56" t="s">
        <v>70</v>
      </c>
      <c r="H88" s="56"/>
      <c r="I88" s="2" t="str">
        <f t="shared" si="2"/>
        <v>#N/A</v>
      </c>
      <c r="J88" s="56"/>
      <c r="K88" s="56"/>
      <c r="L88" s="56"/>
      <c r="M88" s="56"/>
      <c r="N88" s="56" t="str">
        <f t="shared" si="9"/>
        <v>//</v>
      </c>
      <c r="O88" s="56" t="str">
        <f t="shared" si="10"/>
        <v>//</v>
      </c>
      <c r="P88" s="56" t="str">
        <f t="shared" si="11"/>
        <v>//</v>
      </c>
      <c r="Q88" s="56" t="str">
        <f t="shared" si="12"/>
        <v>//</v>
      </c>
      <c r="R88" s="56"/>
      <c r="S88" s="56" t="str">
        <f t="shared" si="13"/>
        <v>//</v>
      </c>
    </row>
    <row r="89">
      <c r="C89" s="4" t="s">
        <v>70</v>
      </c>
      <c r="D89" s="56" t="s">
        <v>70</v>
      </c>
      <c r="E89" s="56" t="s">
        <v>70</v>
      </c>
      <c r="F89" s="56" t="s">
        <v>70</v>
      </c>
      <c r="G89" s="56" t="s">
        <v>70</v>
      </c>
      <c r="H89" s="4"/>
      <c r="I89" s="2" t="str">
        <f t="shared" si="2"/>
        <v>#N/A</v>
      </c>
    </row>
    <row r="90">
      <c r="C90" s="4" t="s">
        <v>70</v>
      </c>
      <c r="D90" s="56" t="s">
        <v>70</v>
      </c>
      <c r="E90" s="56" t="s">
        <v>70</v>
      </c>
      <c r="F90" s="56" t="s">
        <v>70</v>
      </c>
      <c r="G90" s="56" t="s">
        <v>70</v>
      </c>
      <c r="H90" s="4"/>
      <c r="I90" s="2" t="str">
        <f t="shared" si="2"/>
        <v>#N/A</v>
      </c>
    </row>
    <row r="91">
      <c r="C91" s="4" t="s">
        <v>70</v>
      </c>
      <c r="D91" s="56" t="s">
        <v>70</v>
      </c>
      <c r="E91" s="56" t="s">
        <v>70</v>
      </c>
      <c r="F91" s="56" t="s">
        <v>70</v>
      </c>
      <c r="G91" s="56" t="s">
        <v>70</v>
      </c>
      <c r="H91" s="4"/>
      <c r="I91" s="2" t="str">
        <f t="shared" si="2"/>
        <v>#N/A</v>
      </c>
    </row>
    <row r="92">
      <c r="C92" s="4" t="s">
        <v>70</v>
      </c>
      <c r="D92" s="56" t="s">
        <v>70</v>
      </c>
      <c r="E92" s="56" t="s">
        <v>70</v>
      </c>
      <c r="F92" s="56" t="s">
        <v>70</v>
      </c>
      <c r="G92" s="56" t="s">
        <v>70</v>
      </c>
      <c r="H92" s="4"/>
      <c r="I92" s="2" t="str">
        <f t="shared" si="2"/>
        <v>#N/A</v>
      </c>
    </row>
    <row r="93">
      <c r="C93" s="4" t="s">
        <v>70</v>
      </c>
      <c r="D93" s="56" t="s">
        <v>70</v>
      </c>
      <c r="E93" s="56" t="s">
        <v>70</v>
      </c>
      <c r="F93" s="56" t="s">
        <v>70</v>
      </c>
      <c r="G93" s="56" t="s">
        <v>70</v>
      </c>
      <c r="H93" s="4"/>
      <c r="I93" s="2" t="str">
        <f t="shared" si="2"/>
        <v>#N/A</v>
      </c>
    </row>
    <row r="94">
      <c r="C94" s="4" t="s">
        <v>70</v>
      </c>
      <c r="D94" s="56" t="s">
        <v>70</v>
      </c>
      <c r="E94" s="56" t="s">
        <v>70</v>
      </c>
      <c r="F94" s="56" t="s">
        <v>70</v>
      </c>
      <c r="G94" s="56" t="s">
        <v>70</v>
      </c>
      <c r="H94" s="4"/>
      <c r="I94" s="2" t="str">
        <f t="shared" si="2"/>
        <v>#N/A</v>
      </c>
    </row>
    <row r="95">
      <c r="C95" s="4" t="s">
        <v>70</v>
      </c>
      <c r="D95" s="56" t="s">
        <v>70</v>
      </c>
      <c r="E95" s="56" t="s">
        <v>70</v>
      </c>
      <c r="F95" s="56" t="s">
        <v>70</v>
      </c>
      <c r="G95" s="56" t="s">
        <v>70</v>
      </c>
      <c r="H95" s="4"/>
      <c r="I95" s="2" t="str">
        <f t="shared" si="2"/>
        <v>#N/A</v>
      </c>
    </row>
    <row r="96">
      <c r="C96" s="4" t="s">
        <v>70</v>
      </c>
      <c r="D96" s="56" t="s">
        <v>70</v>
      </c>
      <c r="E96" s="56" t="s">
        <v>70</v>
      </c>
      <c r="F96" s="56" t="s">
        <v>70</v>
      </c>
      <c r="G96" s="56" t="s">
        <v>70</v>
      </c>
      <c r="H96" s="4"/>
      <c r="I96" s="2" t="str">
        <f t="shared" si="2"/>
        <v>#N/A</v>
      </c>
    </row>
    <row r="97">
      <c r="C97" s="4" t="s">
        <v>70</v>
      </c>
      <c r="D97" s="56" t="s">
        <v>70</v>
      </c>
      <c r="E97" s="56" t="s">
        <v>70</v>
      </c>
      <c r="F97" s="56" t="s">
        <v>70</v>
      </c>
      <c r="G97" s="56" t="s">
        <v>70</v>
      </c>
      <c r="H97" s="4"/>
      <c r="I97" s="2" t="str">
        <f t="shared" si="2"/>
        <v>#N/A</v>
      </c>
    </row>
    <row r="98">
      <c r="C98" s="4" t="s">
        <v>70</v>
      </c>
      <c r="D98" s="56" t="s">
        <v>70</v>
      </c>
      <c r="E98" s="56" t="s">
        <v>70</v>
      </c>
      <c r="F98" s="56" t="s">
        <v>70</v>
      </c>
      <c r="G98" s="56" t="s">
        <v>70</v>
      </c>
      <c r="H98" s="4"/>
      <c r="I98" s="2" t="str">
        <f t="shared" si="2"/>
        <v>#N/A</v>
      </c>
    </row>
    <row r="99">
      <c r="C99" s="4" t="s">
        <v>70</v>
      </c>
      <c r="D99" s="56" t="s">
        <v>70</v>
      </c>
      <c r="E99" s="56" t="s">
        <v>70</v>
      </c>
      <c r="F99" s="56" t="s">
        <v>70</v>
      </c>
      <c r="G99" s="56" t="s">
        <v>70</v>
      </c>
      <c r="H99" s="4"/>
      <c r="I99" s="2" t="str">
        <f t="shared" si="2"/>
        <v>#N/A</v>
      </c>
    </row>
    <row r="100">
      <c r="C100" s="4" t="s">
        <v>70</v>
      </c>
      <c r="D100" s="56" t="s">
        <v>70</v>
      </c>
      <c r="E100" s="56" t="s">
        <v>70</v>
      </c>
      <c r="F100" s="56" t="s">
        <v>70</v>
      </c>
      <c r="G100" s="56" t="s">
        <v>70</v>
      </c>
      <c r="H100" s="4"/>
      <c r="I100" s="2" t="str">
        <f t="shared" si="2"/>
        <v>#N/A</v>
      </c>
    </row>
    <row r="101">
      <c r="C101" s="4" t="s">
        <v>70</v>
      </c>
      <c r="D101" s="56" t="s">
        <v>70</v>
      </c>
      <c r="E101" s="56" t="s">
        <v>70</v>
      </c>
      <c r="F101" s="56" t="s">
        <v>70</v>
      </c>
      <c r="G101" s="56" t="s">
        <v>70</v>
      </c>
      <c r="H101" s="4"/>
      <c r="I101" s="2" t="str">
        <f t="shared" si="2"/>
        <v>#N/A</v>
      </c>
    </row>
    <row r="102">
      <c r="C102" s="4" t="s">
        <v>70</v>
      </c>
      <c r="D102" s="56" t="s">
        <v>70</v>
      </c>
      <c r="E102" s="56" t="s">
        <v>70</v>
      </c>
      <c r="F102" s="56" t="s">
        <v>70</v>
      </c>
      <c r="G102" s="56" t="s">
        <v>70</v>
      </c>
      <c r="H102" s="4"/>
      <c r="I102" s="2" t="str">
        <f t="shared" si="2"/>
        <v>#N/A</v>
      </c>
    </row>
    <row r="103">
      <c r="C103" s="4" t="s">
        <v>70</v>
      </c>
      <c r="D103" s="56" t="s">
        <v>70</v>
      </c>
      <c r="E103" s="56" t="s">
        <v>70</v>
      </c>
      <c r="F103" s="56" t="s">
        <v>70</v>
      </c>
      <c r="G103" s="56" t="s">
        <v>70</v>
      </c>
      <c r="H103" s="4"/>
      <c r="I103" s="2" t="str">
        <f t="shared" si="2"/>
        <v>#N/A</v>
      </c>
    </row>
    <row r="104">
      <c r="C104" s="4" t="s">
        <v>70</v>
      </c>
      <c r="D104" s="56" t="s">
        <v>70</v>
      </c>
      <c r="E104" s="56" t="s">
        <v>70</v>
      </c>
      <c r="F104" s="56" t="s">
        <v>70</v>
      </c>
      <c r="G104" s="56" t="s">
        <v>70</v>
      </c>
      <c r="H104" s="4"/>
      <c r="I104" s="2" t="str">
        <f t="shared" si="2"/>
        <v>#N/A</v>
      </c>
    </row>
    <row r="105">
      <c r="C105" s="4" t="s">
        <v>70</v>
      </c>
      <c r="D105" s="56" t="s">
        <v>70</v>
      </c>
      <c r="E105" s="56" t="s">
        <v>70</v>
      </c>
      <c r="F105" s="56" t="s">
        <v>70</v>
      </c>
      <c r="G105" s="56" t="s">
        <v>70</v>
      </c>
      <c r="H105" s="4"/>
      <c r="I105" s="2" t="str">
        <f t="shared" si="2"/>
        <v>#N/A</v>
      </c>
    </row>
    <row r="106">
      <c r="C106" s="4" t="s">
        <v>70</v>
      </c>
      <c r="D106" s="56" t="s">
        <v>70</v>
      </c>
      <c r="E106" s="56" t="s">
        <v>70</v>
      </c>
      <c r="F106" s="56" t="s">
        <v>70</v>
      </c>
      <c r="G106" s="56" t="s">
        <v>70</v>
      </c>
      <c r="H106" s="4"/>
      <c r="I106" s="2" t="str">
        <f t="shared" si="2"/>
        <v>#N/A</v>
      </c>
    </row>
    <row r="107">
      <c r="C107" s="4" t="s">
        <v>70</v>
      </c>
      <c r="D107" s="56" t="s">
        <v>70</v>
      </c>
      <c r="E107" s="56" t="s">
        <v>70</v>
      </c>
      <c r="F107" s="56" t="s">
        <v>70</v>
      </c>
      <c r="G107" s="56" t="s">
        <v>70</v>
      </c>
      <c r="H107" s="4"/>
      <c r="I107" s="2" t="str">
        <f t="shared" si="2"/>
        <v>#N/A</v>
      </c>
    </row>
    <row r="108">
      <c r="C108" s="4" t="s">
        <v>70</v>
      </c>
      <c r="D108" s="56" t="s">
        <v>70</v>
      </c>
      <c r="E108" s="56" t="s">
        <v>70</v>
      </c>
      <c r="F108" s="56" t="s">
        <v>70</v>
      </c>
      <c r="G108" s="56" t="s">
        <v>70</v>
      </c>
      <c r="H108" s="4"/>
      <c r="I108" s="2" t="str">
        <f t="shared" si="2"/>
        <v>#N/A</v>
      </c>
    </row>
    <row r="109">
      <c r="C109" s="4" t="s">
        <v>70</v>
      </c>
      <c r="D109" s="56" t="s">
        <v>70</v>
      </c>
      <c r="E109" s="56" t="s">
        <v>70</v>
      </c>
      <c r="F109" s="56" t="s">
        <v>70</v>
      </c>
      <c r="G109" s="56" t="s">
        <v>70</v>
      </c>
      <c r="H109" s="4"/>
      <c r="I109" s="2" t="str">
        <f t="shared" si="2"/>
        <v>#N/A</v>
      </c>
    </row>
    <row r="110">
      <c r="C110" s="4" t="s">
        <v>70</v>
      </c>
      <c r="D110" s="56" t="s">
        <v>70</v>
      </c>
      <c r="E110" s="56" t="s">
        <v>70</v>
      </c>
      <c r="F110" s="56" t="s">
        <v>70</v>
      </c>
      <c r="G110" s="56" t="s">
        <v>70</v>
      </c>
      <c r="H110" s="4"/>
      <c r="I110" s="2" t="str">
        <f t="shared" si="2"/>
        <v>#N/A</v>
      </c>
    </row>
    <row r="111">
      <c r="C111" s="4" t="s">
        <v>70</v>
      </c>
      <c r="D111" s="56" t="s">
        <v>70</v>
      </c>
      <c r="E111" s="56" t="s">
        <v>70</v>
      </c>
      <c r="F111" s="56" t="s">
        <v>70</v>
      </c>
      <c r="G111" s="56" t="s">
        <v>70</v>
      </c>
      <c r="H111" s="4"/>
      <c r="I111" s="2" t="str">
        <f t="shared" si="2"/>
        <v>#N/A</v>
      </c>
    </row>
    <row r="112">
      <c r="C112" s="4" t="s">
        <v>70</v>
      </c>
      <c r="D112" s="56" t="s">
        <v>70</v>
      </c>
      <c r="E112" s="56" t="s">
        <v>70</v>
      </c>
      <c r="F112" s="56" t="s">
        <v>70</v>
      </c>
      <c r="G112" s="56" t="s">
        <v>70</v>
      </c>
      <c r="H112" s="4"/>
      <c r="I112" s="2" t="str">
        <f t="shared" si="2"/>
        <v>#N/A</v>
      </c>
    </row>
    <row r="113">
      <c r="C113" s="4" t="s">
        <v>70</v>
      </c>
      <c r="D113" s="56" t="s">
        <v>70</v>
      </c>
      <c r="E113" s="56" t="s">
        <v>70</v>
      </c>
      <c r="F113" s="56" t="s">
        <v>70</v>
      </c>
      <c r="G113" s="56" t="s">
        <v>70</v>
      </c>
      <c r="H113" s="4"/>
      <c r="I113" s="2" t="str">
        <f t="shared" si="2"/>
        <v>#N/A</v>
      </c>
    </row>
    <row r="114">
      <c r="C114" s="4" t="s">
        <v>70</v>
      </c>
      <c r="D114" s="56" t="s">
        <v>70</v>
      </c>
      <c r="E114" s="56" t="s">
        <v>70</v>
      </c>
      <c r="F114" s="56" t="s">
        <v>70</v>
      </c>
      <c r="G114" s="56" t="s">
        <v>70</v>
      </c>
      <c r="H114" s="4"/>
      <c r="I114" s="2" t="str">
        <f t="shared" si="2"/>
        <v>#N/A</v>
      </c>
    </row>
    <row r="115">
      <c r="C115" s="4" t="s">
        <v>70</v>
      </c>
      <c r="D115" s="56" t="s">
        <v>70</v>
      </c>
      <c r="E115" s="56" t="s">
        <v>70</v>
      </c>
      <c r="F115" s="56" t="s">
        <v>70</v>
      </c>
      <c r="G115" s="56" t="s">
        <v>70</v>
      </c>
      <c r="H115" s="4"/>
      <c r="I115" s="2" t="str">
        <f t="shared" si="2"/>
        <v>#N/A</v>
      </c>
    </row>
    <row r="116">
      <c r="C116" s="4" t="s">
        <v>70</v>
      </c>
      <c r="D116" s="56" t="s">
        <v>70</v>
      </c>
      <c r="E116" s="56" t="s">
        <v>70</v>
      </c>
      <c r="F116" s="56" t="s">
        <v>70</v>
      </c>
      <c r="G116" s="56" t="s">
        <v>70</v>
      </c>
      <c r="H116" s="4"/>
      <c r="I116" s="2" t="str">
        <f t="shared" si="2"/>
        <v>#N/A</v>
      </c>
    </row>
    <row r="117">
      <c r="C117" s="4" t="s">
        <v>70</v>
      </c>
      <c r="D117" s="56" t="s">
        <v>70</v>
      </c>
      <c r="E117" s="56" t="s">
        <v>70</v>
      </c>
      <c r="F117" s="56" t="s">
        <v>70</v>
      </c>
      <c r="G117" s="56" t="s">
        <v>70</v>
      </c>
      <c r="H117" s="4"/>
      <c r="I117" s="2" t="str">
        <f t="shared" si="2"/>
        <v>#N/A</v>
      </c>
    </row>
    <row r="118">
      <c r="C118" s="4" t="s">
        <v>70</v>
      </c>
      <c r="D118" s="56" t="s">
        <v>70</v>
      </c>
      <c r="E118" s="56" t="s">
        <v>70</v>
      </c>
      <c r="F118" s="56" t="s">
        <v>70</v>
      </c>
      <c r="G118" s="56" t="s">
        <v>70</v>
      </c>
      <c r="H118" s="4"/>
      <c r="I118" s="2" t="str">
        <f t="shared" si="2"/>
        <v>#N/A</v>
      </c>
    </row>
    <row r="119">
      <c r="C119" s="4" t="s">
        <v>70</v>
      </c>
      <c r="D119" s="56" t="s">
        <v>70</v>
      </c>
      <c r="E119" s="56" t="s">
        <v>70</v>
      </c>
      <c r="F119" s="56" t="s">
        <v>70</v>
      </c>
      <c r="G119" s="56" t="s">
        <v>70</v>
      </c>
      <c r="H119" s="4"/>
      <c r="I119" s="2" t="str">
        <f t="shared" si="2"/>
        <v>#N/A</v>
      </c>
    </row>
    <row r="120">
      <c r="C120" s="4" t="s">
        <v>70</v>
      </c>
      <c r="D120" s="56" t="s">
        <v>70</v>
      </c>
      <c r="E120" s="56" t="s">
        <v>70</v>
      </c>
      <c r="F120" s="56" t="s">
        <v>70</v>
      </c>
      <c r="G120" s="56" t="s">
        <v>70</v>
      </c>
      <c r="H120" s="4"/>
      <c r="I120" s="2" t="str">
        <f t="shared" si="2"/>
        <v>#N/A</v>
      </c>
    </row>
    <row r="121">
      <c r="C121" s="4" t="s">
        <v>70</v>
      </c>
      <c r="D121" s="56" t="s">
        <v>70</v>
      </c>
      <c r="E121" s="56" t="s">
        <v>70</v>
      </c>
      <c r="F121" s="56" t="s">
        <v>70</v>
      </c>
      <c r="G121" s="56" t="s">
        <v>70</v>
      </c>
      <c r="H121" s="4"/>
      <c r="I121" s="2" t="str">
        <f t="shared" si="2"/>
        <v>#N/A</v>
      </c>
    </row>
    <row r="122">
      <c r="C122" s="4" t="s">
        <v>70</v>
      </c>
      <c r="D122" s="56" t="s">
        <v>70</v>
      </c>
      <c r="E122" s="56" t="s">
        <v>70</v>
      </c>
      <c r="F122" s="56" t="s">
        <v>70</v>
      </c>
      <c r="G122" s="56" t="s">
        <v>70</v>
      </c>
      <c r="H122" s="4"/>
      <c r="I122" s="2" t="str">
        <f t="shared" si="2"/>
        <v>#N/A</v>
      </c>
    </row>
    <row r="123">
      <c r="C123" s="4" t="s">
        <v>70</v>
      </c>
      <c r="D123" s="56" t="s">
        <v>70</v>
      </c>
      <c r="E123" s="56" t="s">
        <v>70</v>
      </c>
      <c r="F123" s="56" t="s">
        <v>70</v>
      </c>
      <c r="G123" s="56" t="s">
        <v>70</v>
      </c>
      <c r="H123" s="4"/>
      <c r="I123" s="2" t="str">
        <f t="shared" si="2"/>
        <v>#N/A</v>
      </c>
    </row>
    <row r="124">
      <c r="C124" s="4" t="s">
        <v>70</v>
      </c>
      <c r="D124" s="56" t="s">
        <v>70</v>
      </c>
      <c r="E124" s="56" t="s">
        <v>70</v>
      </c>
      <c r="F124" s="56" t="s">
        <v>70</v>
      </c>
      <c r="G124" s="56" t="s">
        <v>70</v>
      </c>
      <c r="H124" s="4"/>
      <c r="I124" s="2" t="str">
        <f t="shared" si="2"/>
        <v>#N/A</v>
      </c>
    </row>
    <row r="125">
      <c r="C125" s="4" t="s">
        <v>70</v>
      </c>
      <c r="D125" s="56" t="s">
        <v>70</v>
      </c>
      <c r="E125" s="56" t="s">
        <v>70</v>
      </c>
      <c r="F125" s="56" t="s">
        <v>70</v>
      </c>
      <c r="G125" s="56" t="s">
        <v>70</v>
      </c>
      <c r="H125" s="4"/>
      <c r="I125" s="2" t="str">
        <f t="shared" si="2"/>
        <v>#N/A</v>
      </c>
    </row>
    <row r="126">
      <c r="C126" s="4" t="s">
        <v>70</v>
      </c>
      <c r="D126" s="56" t="s">
        <v>70</v>
      </c>
      <c r="E126" s="56" t="s">
        <v>70</v>
      </c>
      <c r="F126" s="56" t="s">
        <v>70</v>
      </c>
      <c r="G126" s="56" t="s">
        <v>70</v>
      </c>
      <c r="H126" s="4"/>
      <c r="I126" s="2" t="str">
        <f t="shared" si="2"/>
        <v>#N/A</v>
      </c>
    </row>
    <row r="127">
      <c r="C127" s="4" t="s">
        <v>70</v>
      </c>
      <c r="D127" s="56" t="s">
        <v>70</v>
      </c>
      <c r="E127" s="56" t="s">
        <v>70</v>
      </c>
      <c r="F127" s="56" t="s">
        <v>70</v>
      </c>
      <c r="G127" s="56" t="s">
        <v>70</v>
      </c>
      <c r="H127" s="4"/>
      <c r="I127" s="2" t="str">
        <f t="shared" si="2"/>
        <v>#N/A</v>
      </c>
    </row>
    <row r="128">
      <c r="C128" s="4" t="s">
        <v>70</v>
      </c>
      <c r="D128" s="56" t="s">
        <v>70</v>
      </c>
      <c r="E128" s="56" t="s">
        <v>70</v>
      </c>
      <c r="F128" s="56" t="s">
        <v>70</v>
      </c>
      <c r="G128" s="56" t="s">
        <v>70</v>
      </c>
      <c r="H128" s="4"/>
      <c r="I128" s="2" t="str">
        <f t="shared" si="2"/>
        <v>#N/A</v>
      </c>
    </row>
    <row r="129">
      <c r="C129" s="4" t="s">
        <v>70</v>
      </c>
      <c r="D129" s="56" t="s">
        <v>70</v>
      </c>
      <c r="E129" s="56" t="s">
        <v>70</v>
      </c>
      <c r="F129" s="56" t="s">
        <v>70</v>
      </c>
      <c r="G129" s="56" t="s">
        <v>70</v>
      </c>
      <c r="H129" s="4"/>
      <c r="I129" s="2" t="str">
        <f t="shared" si="2"/>
        <v>#N/A</v>
      </c>
    </row>
    <row r="130">
      <c r="C130" s="4" t="s">
        <v>70</v>
      </c>
      <c r="D130" s="56" t="s">
        <v>70</v>
      </c>
      <c r="E130" s="56" t="s">
        <v>70</v>
      </c>
      <c r="F130" s="56" t="s">
        <v>70</v>
      </c>
      <c r="G130" s="56" t="s">
        <v>70</v>
      </c>
      <c r="H130" s="4"/>
      <c r="I130" s="2" t="str">
        <f t="shared" si="2"/>
        <v>#N/A</v>
      </c>
    </row>
    <row r="131">
      <c r="C131" s="4" t="s">
        <v>70</v>
      </c>
      <c r="D131" s="56" t="s">
        <v>70</v>
      </c>
      <c r="E131" s="56" t="s">
        <v>70</v>
      </c>
      <c r="F131" s="56" t="s">
        <v>70</v>
      </c>
      <c r="G131" s="56" t="s">
        <v>70</v>
      </c>
      <c r="H131" s="4"/>
      <c r="I131" s="2" t="str">
        <f t="shared" si="2"/>
        <v>#N/A</v>
      </c>
    </row>
    <row r="132">
      <c r="C132" s="4" t="s">
        <v>70</v>
      </c>
      <c r="D132" s="56" t="s">
        <v>70</v>
      </c>
      <c r="E132" s="56" t="s">
        <v>70</v>
      </c>
      <c r="F132" s="56" t="s">
        <v>70</v>
      </c>
      <c r="G132" s="56" t="s">
        <v>70</v>
      </c>
      <c r="H132" s="4"/>
      <c r="I132" s="2" t="str">
        <f t="shared" si="2"/>
        <v>#N/A</v>
      </c>
    </row>
    <row r="133">
      <c r="C133" s="4" t="s">
        <v>70</v>
      </c>
      <c r="D133" s="56" t="s">
        <v>70</v>
      </c>
      <c r="E133" s="56" t="s">
        <v>70</v>
      </c>
      <c r="F133" s="56" t="s">
        <v>70</v>
      </c>
      <c r="G133" s="56" t="s">
        <v>70</v>
      </c>
      <c r="H133" s="4"/>
      <c r="I133" s="2" t="str">
        <f t="shared" si="2"/>
        <v>#N/A</v>
      </c>
    </row>
    <row r="134">
      <c r="C134" s="4" t="s">
        <v>70</v>
      </c>
      <c r="D134" s="56" t="s">
        <v>70</v>
      </c>
      <c r="E134" s="56" t="s">
        <v>70</v>
      </c>
      <c r="F134" s="56" t="s">
        <v>70</v>
      </c>
      <c r="G134" s="56" t="s">
        <v>70</v>
      </c>
      <c r="H134" s="4"/>
      <c r="I134" s="2" t="str">
        <f t="shared" si="2"/>
        <v>#N/A</v>
      </c>
    </row>
    <row r="135">
      <c r="C135" s="4" t="s">
        <v>70</v>
      </c>
      <c r="D135" s="56" t="s">
        <v>70</v>
      </c>
      <c r="E135" s="56" t="s">
        <v>70</v>
      </c>
      <c r="F135" s="56" t="s">
        <v>70</v>
      </c>
      <c r="G135" s="56" t="s">
        <v>70</v>
      </c>
      <c r="H135" s="4"/>
      <c r="I135" s="2" t="str">
        <f t="shared" si="2"/>
        <v>#N/A</v>
      </c>
    </row>
    <row r="136">
      <c r="C136" s="4" t="s">
        <v>70</v>
      </c>
      <c r="D136" s="56" t="s">
        <v>70</v>
      </c>
      <c r="E136" s="56" t="s">
        <v>70</v>
      </c>
      <c r="F136" s="56" t="s">
        <v>70</v>
      </c>
      <c r="G136" s="56" t="s">
        <v>70</v>
      </c>
      <c r="H136" s="4"/>
      <c r="I136" s="2" t="str">
        <f t="shared" si="2"/>
        <v>#N/A</v>
      </c>
    </row>
    <row r="137">
      <c r="C137" s="4" t="s">
        <v>70</v>
      </c>
      <c r="D137" s="56" t="s">
        <v>70</v>
      </c>
      <c r="E137" s="56" t="s">
        <v>70</v>
      </c>
      <c r="F137" s="56" t="s">
        <v>70</v>
      </c>
      <c r="G137" s="56" t="s">
        <v>70</v>
      </c>
      <c r="H137" s="4"/>
      <c r="I137" s="2" t="str">
        <f t="shared" si="2"/>
        <v>#N/A</v>
      </c>
    </row>
    <row r="138">
      <c r="C138" s="4" t="s">
        <v>70</v>
      </c>
      <c r="D138" s="56" t="s">
        <v>70</v>
      </c>
      <c r="E138" s="56" t="s">
        <v>70</v>
      </c>
      <c r="F138" s="56" t="s">
        <v>70</v>
      </c>
      <c r="G138" s="56" t="s">
        <v>70</v>
      </c>
      <c r="H138" s="4"/>
      <c r="I138" s="2" t="str">
        <f t="shared" si="2"/>
        <v>#N/A</v>
      </c>
    </row>
    <row r="139">
      <c r="C139" s="4" t="s">
        <v>70</v>
      </c>
      <c r="D139" s="56" t="s">
        <v>70</v>
      </c>
      <c r="E139" s="56" t="s">
        <v>70</v>
      </c>
      <c r="F139" s="56" t="s">
        <v>70</v>
      </c>
      <c r="G139" s="56" t="s">
        <v>70</v>
      </c>
      <c r="H139" s="4"/>
      <c r="I139" s="2" t="str">
        <f t="shared" si="2"/>
        <v>#N/A</v>
      </c>
    </row>
    <row r="140">
      <c r="C140" s="4" t="s">
        <v>70</v>
      </c>
      <c r="D140" s="56" t="s">
        <v>70</v>
      </c>
      <c r="E140" s="56" t="s">
        <v>70</v>
      </c>
      <c r="F140" s="56" t="s">
        <v>70</v>
      </c>
      <c r="G140" s="56" t="s">
        <v>70</v>
      </c>
      <c r="H140" s="4"/>
      <c r="I140" s="2" t="str">
        <f t="shared" si="2"/>
        <v>#N/A</v>
      </c>
    </row>
    <row r="141">
      <c r="C141" s="4" t="s">
        <v>70</v>
      </c>
      <c r="D141" s="56" t="s">
        <v>70</v>
      </c>
      <c r="E141" s="56" t="s">
        <v>70</v>
      </c>
      <c r="F141" s="56" t="s">
        <v>70</v>
      </c>
      <c r="G141" s="56" t="s">
        <v>70</v>
      </c>
      <c r="H141" s="4"/>
      <c r="I141" s="2" t="str">
        <f t="shared" si="2"/>
        <v>#N/A</v>
      </c>
    </row>
    <row r="142">
      <c r="C142" s="4" t="s">
        <v>70</v>
      </c>
      <c r="D142" s="56" t="s">
        <v>70</v>
      </c>
      <c r="E142" s="56" t="s">
        <v>70</v>
      </c>
      <c r="F142" s="56" t="s">
        <v>70</v>
      </c>
      <c r="G142" s="56" t="s">
        <v>70</v>
      </c>
      <c r="H142" s="4"/>
      <c r="I142" s="2" t="str">
        <f t="shared" si="2"/>
        <v>#N/A</v>
      </c>
    </row>
    <row r="143">
      <c r="C143" s="4" t="s">
        <v>70</v>
      </c>
      <c r="D143" s="56" t="s">
        <v>70</v>
      </c>
      <c r="E143" s="56" t="s">
        <v>70</v>
      </c>
      <c r="F143" s="56" t="s">
        <v>70</v>
      </c>
      <c r="G143" s="56" t="s">
        <v>70</v>
      </c>
      <c r="H143" s="4"/>
      <c r="I143" s="2" t="str">
        <f t="shared" si="2"/>
        <v>#N/A</v>
      </c>
    </row>
    <row r="144">
      <c r="C144" s="4" t="s">
        <v>70</v>
      </c>
      <c r="D144" s="56" t="s">
        <v>70</v>
      </c>
      <c r="E144" s="56" t="s">
        <v>70</v>
      </c>
      <c r="F144" s="56" t="s">
        <v>70</v>
      </c>
      <c r="G144" s="56" t="s">
        <v>70</v>
      </c>
      <c r="H144" s="4"/>
      <c r="I144" s="2" t="str">
        <f t="shared" si="2"/>
        <v>#N/A</v>
      </c>
    </row>
    <row r="145">
      <c r="C145" s="4" t="s">
        <v>70</v>
      </c>
      <c r="D145" s="56" t="s">
        <v>70</v>
      </c>
      <c r="E145" s="56" t="s">
        <v>70</v>
      </c>
      <c r="F145" s="56" t="s">
        <v>70</v>
      </c>
      <c r="G145" s="56" t="s">
        <v>70</v>
      </c>
      <c r="H145" s="4"/>
      <c r="I145" s="2" t="str">
        <f t="shared" si="2"/>
        <v>#N/A</v>
      </c>
    </row>
    <row r="146">
      <c r="C146" s="4" t="s">
        <v>70</v>
      </c>
      <c r="D146" s="56" t="s">
        <v>70</v>
      </c>
      <c r="E146" s="56" t="s">
        <v>70</v>
      </c>
      <c r="F146" s="56" t="s">
        <v>70</v>
      </c>
      <c r="G146" s="56" t="s">
        <v>70</v>
      </c>
      <c r="H146" s="4"/>
      <c r="I146" s="2" t="str">
        <f t="shared" si="2"/>
        <v>#N/A</v>
      </c>
    </row>
    <row r="147">
      <c r="C147" s="4" t="s">
        <v>70</v>
      </c>
      <c r="D147" s="56" t="s">
        <v>70</v>
      </c>
      <c r="E147" s="56" t="s">
        <v>70</v>
      </c>
      <c r="F147" s="56" t="s">
        <v>70</v>
      </c>
      <c r="G147" s="56" t="s">
        <v>70</v>
      </c>
      <c r="H147" s="4"/>
      <c r="I147" s="2" t="str">
        <f t="shared" si="2"/>
        <v>#N/A</v>
      </c>
    </row>
    <row r="148">
      <c r="C148" s="4" t="s">
        <v>70</v>
      </c>
      <c r="D148" s="56" t="s">
        <v>70</v>
      </c>
      <c r="E148" s="56" t="s">
        <v>70</v>
      </c>
      <c r="F148" s="56" t="s">
        <v>70</v>
      </c>
      <c r="G148" s="56" t="s">
        <v>70</v>
      </c>
      <c r="H148" s="4"/>
      <c r="I148" s="2" t="str">
        <f t="shared" si="2"/>
        <v>#N/A</v>
      </c>
    </row>
    <row r="149">
      <c r="C149" s="4" t="s">
        <v>70</v>
      </c>
      <c r="D149" s="56" t="s">
        <v>70</v>
      </c>
      <c r="E149" s="56" t="s">
        <v>70</v>
      </c>
      <c r="F149" s="56" t="s">
        <v>70</v>
      </c>
      <c r="G149" s="56" t="s">
        <v>70</v>
      </c>
      <c r="H149" s="4"/>
      <c r="I149" s="2" t="str">
        <f t="shared" si="2"/>
        <v>#N/A</v>
      </c>
    </row>
    <row r="150">
      <c r="C150" s="4" t="s">
        <v>70</v>
      </c>
      <c r="D150" s="56" t="s">
        <v>70</v>
      </c>
      <c r="E150" s="56" t="s">
        <v>70</v>
      </c>
      <c r="F150" s="56" t="s">
        <v>70</v>
      </c>
      <c r="G150" s="56" t="s">
        <v>70</v>
      </c>
      <c r="H150" s="4"/>
      <c r="I150" s="2" t="str">
        <f t="shared" si="2"/>
        <v>#N/A</v>
      </c>
    </row>
    <row r="151">
      <c r="C151" s="4" t="s">
        <v>70</v>
      </c>
      <c r="D151" s="56" t="s">
        <v>70</v>
      </c>
      <c r="E151" s="56" t="s">
        <v>70</v>
      </c>
      <c r="F151" s="56" t="s">
        <v>70</v>
      </c>
      <c r="G151" s="56" t="s">
        <v>70</v>
      </c>
      <c r="H151" s="4"/>
      <c r="I151" s="2" t="str">
        <f t="shared" si="2"/>
        <v>#N/A</v>
      </c>
    </row>
    <row r="152">
      <c r="C152" s="4" t="s">
        <v>70</v>
      </c>
      <c r="D152" s="56" t="s">
        <v>70</v>
      </c>
      <c r="E152" s="56" t="s">
        <v>70</v>
      </c>
      <c r="F152" s="56" t="s">
        <v>70</v>
      </c>
      <c r="G152" s="56" t="s">
        <v>70</v>
      </c>
      <c r="H152" s="4"/>
      <c r="I152" s="2" t="str">
        <f t="shared" si="2"/>
        <v>#N/A</v>
      </c>
    </row>
    <row r="153">
      <c r="C153" s="4" t="s">
        <v>70</v>
      </c>
      <c r="D153" s="56" t="s">
        <v>70</v>
      </c>
      <c r="E153" s="56" t="s">
        <v>70</v>
      </c>
      <c r="F153" s="56" t="s">
        <v>70</v>
      </c>
      <c r="G153" s="56" t="s">
        <v>70</v>
      </c>
      <c r="H153" s="4"/>
      <c r="I153" s="2" t="str">
        <f t="shared" si="2"/>
        <v>#N/A</v>
      </c>
    </row>
    <row r="154">
      <c r="C154" s="4" t="s">
        <v>70</v>
      </c>
      <c r="D154" s="56" t="s">
        <v>70</v>
      </c>
      <c r="E154" s="56" t="s">
        <v>70</v>
      </c>
      <c r="F154" s="56" t="s">
        <v>70</v>
      </c>
      <c r="G154" s="56" t="s">
        <v>70</v>
      </c>
      <c r="H154" s="4"/>
      <c r="I154" s="2" t="str">
        <f t="shared" si="2"/>
        <v>#N/A</v>
      </c>
    </row>
    <row r="155">
      <c r="C155" s="4" t="s">
        <v>70</v>
      </c>
      <c r="D155" s="56" t="s">
        <v>70</v>
      </c>
      <c r="E155" s="56" t="s">
        <v>70</v>
      </c>
      <c r="F155" s="56" t="s">
        <v>70</v>
      </c>
      <c r="G155" s="56" t="s">
        <v>70</v>
      </c>
      <c r="H155" s="4"/>
      <c r="I155" s="2" t="str">
        <f t="shared" si="2"/>
        <v>#N/A</v>
      </c>
    </row>
    <row r="156">
      <c r="C156" s="4" t="s">
        <v>70</v>
      </c>
      <c r="D156" s="56" t="s">
        <v>70</v>
      </c>
      <c r="E156" s="56" t="s">
        <v>70</v>
      </c>
      <c r="F156" s="56" t="s">
        <v>70</v>
      </c>
      <c r="G156" s="56" t="s">
        <v>70</v>
      </c>
      <c r="H156" s="4"/>
      <c r="I156" s="2" t="str">
        <f t="shared" si="2"/>
        <v>#N/A</v>
      </c>
    </row>
    <row r="157">
      <c r="C157" s="4" t="s">
        <v>70</v>
      </c>
      <c r="D157" s="56" t="s">
        <v>70</v>
      </c>
      <c r="E157" s="56" t="s">
        <v>70</v>
      </c>
      <c r="F157" s="56" t="s">
        <v>70</v>
      </c>
      <c r="G157" s="56" t="s">
        <v>70</v>
      </c>
      <c r="H157" s="4"/>
      <c r="I157" s="2" t="str">
        <f t="shared" si="2"/>
        <v>#N/A</v>
      </c>
    </row>
    <row r="158">
      <c r="C158" s="4" t="s">
        <v>70</v>
      </c>
      <c r="D158" s="56" t="s">
        <v>70</v>
      </c>
      <c r="E158" s="56" t="s">
        <v>70</v>
      </c>
      <c r="F158" s="56" t="s">
        <v>70</v>
      </c>
      <c r="G158" s="56" t="s">
        <v>70</v>
      </c>
      <c r="H158" s="4"/>
      <c r="I158" s="2" t="str">
        <f t="shared" si="2"/>
        <v>#N/A</v>
      </c>
    </row>
    <row r="159">
      <c r="C159" s="4" t="s">
        <v>70</v>
      </c>
      <c r="D159" s="56" t="s">
        <v>70</v>
      </c>
      <c r="E159" s="56" t="s">
        <v>70</v>
      </c>
      <c r="F159" s="56" t="s">
        <v>70</v>
      </c>
      <c r="G159" s="56" t="s">
        <v>70</v>
      </c>
      <c r="H159" s="4"/>
      <c r="I159" s="2" t="str">
        <f t="shared" si="2"/>
        <v>#N/A</v>
      </c>
    </row>
    <row r="160">
      <c r="C160" s="4" t="s">
        <v>70</v>
      </c>
      <c r="D160" s="56" t="s">
        <v>70</v>
      </c>
      <c r="E160" s="56" t="s">
        <v>70</v>
      </c>
      <c r="F160" s="56" t="s">
        <v>70</v>
      </c>
      <c r="G160" s="56" t="s">
        <v>70</v>
      </c>
      <c r="H160" s="4"/>
      <c r="I160" s="2" t="str">
        <f t="shared" si="2"/>
        <v>#N/A</v>
      </c>
    </row>
    <row r="161">
      <c r="C161" s="4" t="s">
        <v>70</v>
      </c>
      <c r="D161" s="56" t="s">
        <v>70</v>
      </c>
      <c r="E161" s="56" t="s">
        <v>70</v>
      </c>
      <c r="F161" s="56" t="s">
        <v>70</v>
      </c>
      <c r="G161" s="56" t="s">
        <v>70</v>
      </c>
      <c r="H161" s="4"/>
      <c r="I161" s="2" t="str">
        <f t="shared" si="2"/>
        <v>#N/A</v>
      </c>
    </row>
    <row r="162">
      <c r="C162" s="4" t="s">
        <v>70</v>
      </c>
      <c r="D162" s="56" t="s">
        <v>70</v>
      </c>
      <c r="E162" s="56" t="s">
        <v>70</v>
      </c>
      <c r="F162" s="56" t="s">
        <v>70</v>
      </c>
      <c r="G162" s="56" t="s">
        <v>70</v>
      </c>
      <c r="H162" s="4"/>
      <c r="I162" s="2" t="str">
        <f t="shared" si="2"/>
        <v>#N/A</v>
      </c>
    </row>
    <row r="163">
      <c r="C163" s="4" t="s">
        <v>70</v>
      </c>
      <c r="D163" s="56" t="s">
        <v>70</v>
      </c>
      <c r="E163" s="56" t="s">
        <v>70</v>
      </c>
      <c r="F163" s="56" t="s">
        <v>70</v>
      </c>
      <c r="G163" s="56" t="s">
        <v>70</v>
      </c>
      <c r="H163" s="4"/>
      <c r="I163" s="2" t="str">
        <f t="shared" si="2"/>
        <v>#N/A</v>
      </c>
    </row>
    <row r="164">
      <c r="C164" s="4" t="s">
        <v>70</v>
      </c>
      <c r="D164" s="56" t="s">
        <v>70</v>
      </c>
      <c r="E164" s="56" t="s">
        <v>70</v>
      </c>
      <c r="F164" s="56" t="s">
        <v>70</v>
      </c>
      <c r="G164" s="56" t="s">
        <v>70</v>
      </c>
      <c r="H164" s="4"/>
      <c r="I164" s="2" t="str">
        <f t="shared" si="2"/>
        <v>#N/A</v>
      </c>
    </row>
    <row r="165">
      <c r="C165" s="4" t="s">
        <v>70</v>
      </c>
      <c r="D165" s="56" t="s">
        <v>70</v>
      </c>
      <c r="E165" s="56" t="s">
        <v>70</v>
      </c>
      <c r="F165" s="56" t="s">
        <v>70</v>
      </c>
      <c r="G165" s="56" t="s">
        <v>70</v>
      </c>
      <c r="H165" s="4"/>
      <c r="I165" s="2" t="str">
        <f t="shared" si="2"/>
        <v>#N/A</v>
      </c>
    </row>
    <row r="166">
      <c r="C166" s="4" t="s">
        <v>70</v>
      </c>
      <c r="D166" s="56" t="s">
        <v>70</v>
      </c>
      <c r="E166" s="56" t="s">
        <v>70</v>
      </c>
      <c r="F166" s="56" t="s">
        <v>70</v>
      </c>
      <c r="G166" s="56" t="s">
        <v>70</v>
      </c>
      <c r="H166" s="4"/>
      <c r="I166" s="2" t="str">
        <f t="shared" si="2"/>
        <v>#N/A</v>
      </c>
    </row>
    <row r="167">
      <c r="C167" s="4" t="s">
        <v>70</v>
      </c>
      <c r="D167" s="56" t="s">
        <v>70</v>
      </c>
      <c r="E167" s="56" t="s">
        <v>70</v>
      </c>
      <c r="F167" s="56" t="s">
        <v>70</v>
      </c>
      <c r="G167" s="56" t="s">
        <v>70</v>
      </c>
      <c r="H167" s="4"/>
      <c r="I167" s="2" t="str">
        <f t="shared" si="2"/>
        <v>#N/A</v>
      </c>
    </row>
    <row r="168">
      <c r="C168" s="4" t="s">
        <v>70</v>
      </c>
      <c r="D168" s="56" t="s">
        <v>70</v>
      </c>
      <c r="E168" s="56" t="s">
        <v>70</v>
      </c>
      <c r="F168" s="56" t="s">
        <v>70</v>
      </c>
      <c r="G168" s="56" t="s">
        <v>70</v>
      </c>
      <c r="H168" s="4"/>
      <c r="I168" s="2" t="str">
        <f t="shared" si="2"/>
        <v>#N/A</v>
      </c>
    </row>
    <row r="169">
      <c r="C169" s="4" t="s">
        <v>70</v>
      </c>
      <c r="D169" s="56" t="s">
        <v>70</v>
      </c>
      <c r="E169" s="56" t="s">
        <v>70</v>
      </c>
      <c r="F169" s="56" t="s">
        <v>70</v>
      </c>
      <c r="G169" s="56" t="s">
        <v>70</v>
      </c>
      <c r="H169" s="4"/>
    </row>
    <row r="170">
      <c r="C170" s="4" t="s">
        <v>70</v>
      </c>
      <c r="D170" s="56" t="s">
        <v>70</v>
      </c>
      <c r="E170" s="56" t="s">
        <v>70</v>
      </c>
      <c r="F170" s="56" t="s">
        <v>70</v>
      </c>
      <c r="G170" s="56" t="s">
        <v>70</v>
      </c>
      <c r="H170" s="4"/>
    </row>
    <row r="171">
      <c r="C171" s="4" t="s">
        <v>70</v>
      </c>
      <c r="D171" s="56" t="s">
        <v>70</v>
      </c>
      <c r="E171" s="56" t="s">
        <v>70</v>
      </c>
      <c r="F171" s="56" t="s">
        <v>70</v>
      </c>
      <c r="G171" s="56" t="s">
        <v>70</v>
      </c>
      <c r="H171" s="4"/>
    </row>
    <row r="172">
      <c r="C172" s="4" t="s">
        <v>70</v>
      </c>
      <c r="D172" s="56" t="s">
        <v>70</v>
      </c>
      <c r="E172" s="56" t="s">
        <v>70</v>
      </c>
      <c r="F172" s="56" t="s">
        <v>70</v>
      </c>
      <c r="G172" s="56" t="s">
        <v>70</v>
      </c>
      <c r="H172" s="4"/>
    </row>
    <row r="173">
      <c r="C173" s="4" t="s">
        <v>70</v>
      </c>
      <c r="D173" s="56" t="s">
        <v>70</v>
      </c>
      <c r="E173" s="56" t="s">
        <v>70</v>
      </c>
      <c r="F173" s="56" t="s">
        <v>70</v>
      </c>
      <c r="G173" s="56" t="s">
        <v>70</v>
      </c>
      <c r="H173" s="4"/>
    </row>
    <row r="174">
      <c r="C174" s="4" t="s">
        <v>70</v>
      </c>
      <c r="D174" s="56" t="s">
        <v>70</v>
      </c>
      <c r="E174" s="56" t="s">
        <v>70</v>
      </c>
      <c r="F174" s="56" t="s">
        <v>70</v>
      </c>
      <c r="G174" s="56" t="s">
        <v>70</v>
      </c>
      <c r="H174" s="4"/>
    </row>
    <row r="175">
      <c r="C175" s="4" t="s">
        <v>70</v>
      </c>
      <c r="D175" s="56" t="s">
        <v>70</v>
      </c>
      <c r="E175" s="56" t="s">
        <v>70</v>
      </c>
      <c r="F175" s="56" t="s">
        <v>70</v>
      </c>
      <c r="G175" s="56" t="s">
        <v>70</v>
      </c>
      <c r="H175" s="4"/>
    </row>
    <row r="176">
      <c r="C176" s="4" t="s">
        <v>70</v>
      </c>
      <c r="D176" s="56" t="s">
        <v>70</v>
      </c>
      <c r="E176" s="56" t="s">
        <v>70</v>
      </c>
      <c r="F176" s="56" t="s">
        <v>70</v>
      </c>
      <c r="G176" s="56" t="s">
        <v>70</v>
      </c>
      <c r="H176" s="4"/>
    </row>
    <row r="177">
      <c r="C177" s="4" t="s">
        <v>70</v>
      </c>
      <c r="D177" s="56" t="s">
        <v>70</v>
      </c>
      <c r="E177" s="56" t="s">
        <v>70</v>
      </c>
      <c r="F177" s="56" t="s">
        <v>70</v>
      </c>
      <c r="G177" s="56" t="s">
        <v>70</v>
      </c>
      <c r="H177" s="4"/>
    </row>
    <row r="178">
      <c r="C178" s="4" t="s">
        <v>70</v>
      </c>
      <c r="D178" s="56" t="s">
        <v>70</v>
      </c>
      <c r="E178" s="56" t="s">
        <v>70</v>
      </c>
      <c r="F178" s="56" t="s">
        <v>70</v>
      </c>
      <c r="G178" s="56" t="s">
        <v>70</v>
      </c>
      <c r="H178" s="4"/>
    </row>
    <row r="179">
      <c r="C179" s="4" t="s">
        <v>70</v>
      </c>
      <c r="D179" s="56" t="s">
        <v>70</v>
      </c>
      <c r="E179" s="56" t="s">
        <v>70</v>
      </c>
      <c r="F179" s="56" t="s">
        <v>70</v>
      </c>
      <c r="G179" s="56" t="s">
        <v>70</v>
      </c>
      <c r="H179" s="4"/>
    </row>
    <row r="180">
      <c r="C180" s="4" t="s">
        <v>70</v>
      </c>
      <c r="D180" s="56" t="s">
        <v>70</v>
      </c>
      <c r="E180" s="56" t="s">
        <v>70</v>
      </c>
      <c r="F180" s="56" t="s">
        <v>70</v>
      </c>
      <c r="G180" s="56" t="s">
        <v>70</v>
      </c>
      <c r="H180" s="4"/>
    </row>
    <row r="181">
      <c r="C181" s="4" t="s">
        <v>70</v>
      </c>
      <c r="D181" s="56" t="s">
        <v>70</v>
      </c>
      <c r="E181" s="56" t="s">
        <v>70</v>
      </c>
      <c r="F181" s="56" t="s">
        <v>70</v>
      </c>
      <c r="G181" s="56" t="s">
        <v>70</v>
      </c>
      <c r="H181" s="4"/>
    </row>
    <row r="182">
      <c r="C182" s="4" t="s">
        <v>70</v>
      </c>
      <c r="D182" s="56" t="s">
        <v>70</v>
      </c>
      <c r="E182" s="56" t="s">
        <v>70</v>
      </c>
      <c r="F182" s="56" t="s">
        <v>70</v>
      </c>
      <c r="G182" s="56" t="s">
        <v>70</v>
      </c>
      <c r="H182" s="4"/>
    </row>
    <row r="183">
      <c r="C183" s="4" t="s">
        <v>70</v>
      </c>
      <c r="D183" s="56" t="s">
        <v>70</v>
      </c>
      <c r="E183" s="56" t="s">
        <v>70</v>
      </c>
      <c r="F183" s="56" t="s">
        <v>70</v>
      </c>
      <c r="G183" s="56" t="s">
        <v>70</v>
      </c>
      <c r="H183" s="4"/>
    </row>
    <row r="184">
      <c r="C184" s="4" t="s">
        <v>70</v>
      </c>
      <c r="D184" s="56" t="s">
        <v>70</v>
      </c>
      <c r="E184" s="56" t="s">
        <v>70</v>
      </c>
      <c r="F184" s="56" t="s">
        <v>70</v>
      </c>
      <c r="G184" s="56" t="s">
        <v>70</v>
      </c>
      <c r="H184" s="4"/>
    </row>
    <row r="185">
      <c r="C185" s="4" t="s">
        <v>70</v>
      </c>
      <c r="D185" s="56" t="s">
        <v>70</v>
      </c>
      <c r="E185" s="56" t="s">
        <v>70</v>
      </c>
      <c r="F185" s="56" t="s">
        <v>70</v>
      </c>
      <c r="G185" s="56" t="s">
        <v>70</v>
      </c>
      <c r="H185" s="4"/>
    </row>
    <row r="186">
      <c r="C186" s="4" t="s">
        <v>70</v>
      </c>
      <c r="D186" s="56" t="s">
        <v>70</v>
      </c>
      <c r="E186" s="56" t="s">
        <v>70</v>
      </c>
      <c r="F186" s="56" t="s">
        <v>70</v>
      </c>
      <c r="G186" s="56" t="s">
        <v>70</v>
      </c>
      <c r="H186" s="4"/>
    </row>
    <row r="187">
      <c r="C187" s="4" t="s">
        <v>70</v>
      </c>
      <c r="D187" s="56" t="s">
        <v>70</v>
      </c>
      <c r="E187" s="56" t="s">
        <v>70</v>
      </c>
      <c r="F187" s="56" t="s">
        <v>70</v>
      </c>
      <c r="G187" s="56" t="s">
        <v>70</v>
      </c>
      <c r="H187" s="4"/>
    </row>
    <row r="188">
      <c r="C188" s="4" t="s">
        <v>70</v>
      </c>
      <c r="D188" s="56" t="s">
        <v>70</v>
      </c>
      <c r="E188" s="56" t="s">
        <v>70</v>
      </c>
      <c r="F188" s="56" t="s">
        <v>70</v>
      </c>
      <c r="G188" s="56" t="s">
        <v>70</v>
      </c>
      <c r="H188" s="4"/>
    </row>
    <row r="189">
      <c r="C189" s="4" t="s">
        <v>70</v>
      </c>
      <c r="D189" s="56" t="s">
        <v>70</v>
      </c>
      <c r="E189" s="56" t="s">
        <v>70</v>
      </c>
      <c r="F189" s="56" t="s">
        <v>70</v>
      </c>
      <c r="G189" s="56" t="s">
        <v>70</v>
      </c>
      <c r="H189" s="4"/>
    </row>
    <row r="190">
      <c r="C190" s="4" t="s">
        <v>70</v>
      </c>
      <c r="D190" s="56" t="s">
        <v>70</v>
      </c>
      <c r="E190" s="56" t="s">
        <v>70</v>
      </c>
      <c r="F190" s="56" t="s">
        <v>70</v>
      </c>
      <c r="G190" s="56" t="s">
        <v>70</v>
      </c>
      <c r="H190" s="4"/>
    </row>
    <row r="191">
      <c r="C191" s="4" t="s">
        <v>70</v>
      </c>
      <c r="D191" s="56" t="s">
        <v>70</v>
      </c>
      <c r="E191" s="56" t="s">
        <v>70</v>
      </c>
      <c r="F191" s="56" t="s">
        <v>70</v>
      </c>
      <c r="G191" s="56" t="s">
        <v>70</v>
      </c>
      <c r="H191" s="4"/>
    </row>
    <row r="192">
      <c r="C192" s="4" t="s">
        <v>70</v>
      </c>
      <c r="D192" s="56" t="s">
        <v>70</v>
      </c>
      <c r="E192" s="56" t="s">
        <v>70</v>
      </c>
      <c r="F192" s="56" t="s">
        <v>70</v>
      </c>
      <c r="G192" s="56" t="s">
        <v>70</v>
      </c>
      <c r="H192" s="4"/>
    </row>
    <row r="193">
      <c r="C193" s="4" t="s">
        <v>70</v>
      </c>
      <c r="D193" s="56" t="s">
        <v>70</v>
      </c>
      <c r="E193" s="56" t="s">
        <v>70</v>
      </c>
      <c r="F193" s="56" t="s">
        <v>70</v>
      </c>
      <c r="G193" s="56" t="s">
        <v>70</v>
      </c>
      <c r="H193" s="4"/>
    </row>
    <row r="194">
      <c r="C194" s="4" t="s">
        <v>70</v>
      </c>
      <c r="D194" s="56" t="s">
        <v>70</v>
      </c>
      <c r="E194" s="56" t="s">
        <v>70</v>
      </c>
      <c r="F194" s="56" t="s">
        <v>70</v>
      </c>
      <c r="G194" s="56" t="s">
        <v>70</v>
      </c>
      <c r="H194" s="4"/>
    </row>
    <row r="195">
      <c r="C195" s="4" t="s">
        <v>70</v>
      </c>
      <c r="D195" s="56" t="s">
        <v>70</v>
      </c>
      <c r="E195" s="56" t="s">
        <v>70</v>
      </c>
      <c r="F195" s="56" t="s">
        <v>70</v>
      </c>
      <c r="G195" s="56" t="s">
        <v>70</v>
      </c>
      <c r="H195" s="4"/>
    </row>
    <row r="196">
      <c r="C196" s="4" t="s">
        <v>70</v>
      </c>
      <c r="D196" s="56" t="s">
        <v>70</v>
      </c>
      <c r="E196" s="56" t="s">
        <v>70</v>
      </c>
      <c r="F196" s="56" t="s">
        <v>70</v>
      </c>
      <c r="G196" s="56" t="s">
        <v>70</v>
      </c>
      <c r="H196" s="4"/>
    </row>
    <row r="197">
      <c r="C197" s="4" t="s">
        <v>70</v>
      </c>
      <c r="D197" s="56" t="s">
        <v>70</v>
      </c>
      <c r="E197" s="56" t="s">
        <v>70</v>
      </c>
      <c r="F197" s="56" t="s">
        <v>70</v>
      </c>
      <c r="G197" s="56" t="s">
        <v>70</v>
      </c>
      <c r="H197" s="4"/>
    </row>
    <row r="198">
      <c r="C198" s="4" t="s">
        <v>70</v>
      </c>
      <c r="D198" s="56" t="s">
        <v>70</v>
      </c>
      <c r="E198" s="56" t="s">
        <v>70</v>
      </c>
      <c r="F198" s="56" t="s">
        <v>70</v>
      </c>
      <c r="G198" s="56" t="s">
        <v>70</v>
      </c>
      <c r="H198" s="4"/>
    </row>
    <row r="199">
      <c r="C199" s="4" t="s">
        <v>70</v>
      </c>
      <c r="D199" s="56" t="s">
        <v>70</v>
      </c>
      <c r="E199" s="56" t="s">
        <v>70</v>
      </c>
      <c r="F199" s="56" t="s">
        <v>70</v>
      </c>
      <c r="G199" s="56" t="s">
        <v>70</v>
      </c>
      <c r="H199" s="4"/>
    </row>
    <row r="200">
      <c r="C200" s="4" t="s">
        <v>70</v>
      </c>
      <c r="D200" s="56" t="s">
        <v>70</v>
      </c>
      <c r="E200" s="56" t="s">
        <v>70</v>
      </c>
      <c r="F200" s="56" t="s">
        <v>70</v>
      </c>
      <c r="G200" s="56" t="s">
        <v>70</v>
      </c>
      <c r="H200" s="4"/>
    </row>
    <row r="201">
      <c r="C201" s="4" t="s">
        <v>70</v>
      </c>
      <c r="D201" s="56" t="s">
        <v>70</v>
      </c>
      <c r="E201" s="56" t="s">
        <v>70</v>
      </c>
      <c r="F201" s="56" t="s">
        <v>70</v>
      </c>
      <c r="G201" s="56" t="s">
        <v>70</v>
      </c>
      <c r="H201" s="4"/>
    </row>
    <row r="202">
      <c r="C202" s="4" t="s">
        <v>70</v>
      </c>
      <c r="D202" s="56" t="s">
        <v>70</v>
      </c>
      <c r="E202" s="56" t="s">
        <v>70</v>
      </c>
      <c r="F202" s="56" t="s">
        <v>70</v>
      </c>
      <c r="G202" s="56" t="s">
        <v>70</v>
      </c>
      <c r="H202" s="4"/>
    </row>
    <row r="203">
      <c r="C203" s="4" t="s">
        <v>70</v>
      </c>
      <c r="D203" s="56" t="s">
        <v>70</v>
      </c>
      <c r="E203" s="56" t="s">
        <v>70</v>
      </c>
      <c r="F203" s="56" t="s">
        <v>70</v>
      </c>
      <c r="G203" s="56" t="s">
        <v>70</v>
      </c>
      <c r="H203" s="4"/>
    </row>
    <row r="204">
      <c r="C204" s="4" t="s">
        <v>70</v>
      </c>
      <c r="D204" s="56" t="s">
        <v>70</v>
      </c>
      <c r="E204" s="56" t="s">
        <v>70</v>
      </c>
      <c r="F204" s="56" t="s">
        <v>70</v>
      </c>
      <c r="G204" s="56" t="s">
        <v>70</v>
      </c>
      <c r="H204" s="4"/>
    </row>
    <row r="205">
      <c r="C205" s="4" t="s">
        <v>70</v>
      </c>
      <c r="D205" s="56" t="s">
        <v>70</v>
      </c>
      <c r="E205" s="56" t="s">
        <v>70</v>
      </c>
      <c r="F205" s="56" t="s">
        <v>70</v>
      </c>
      <c r="G205" s="56" t="s">
        <v>70</v>
      </c>
      <c r="H205" s="4"/>
    </row>
    <row r="206">
      <c r="C206" s="4" t="s">
        <v>70</v>
      </c>
      <c r="D206" s="56" t="s">
        <v>70</v>
      </c>
      <c r="E206" s="56" t="s">
        <v>70</v>
      </c>
      <c r="F206" s="56" t="s">
        <v>70</v>
      </c>
      <c r="G206" s="56" t="s">
        <v>70</v>
      </c>
      <c r="H206" s="4"/>
    </row>
    <row r="207">
      <c r="C207" s="4" t="s">
        <v>70</v>
      </c>
      <c r="D207" s="56" t="s">
        <v>70</v>
      </c>
      <c r="E207" s="56" t="s">
        <v>70</v>
      </c>
      <c r="F207" s="56" t="s">
        <v>70</v>
      </c>
      <c r="G207" s="56" t="s">
        <v>70</v>
      </c>
      <c r="H207" s="4"/>
    </row>
    <row r="208">
      <c r="C208" s="4" t="s">
        <v>70</v>
      </c>
      <c r="D208" s="56" t="s">
        <v>70</v>
      </c>
      <c r="E208" s="56" t="s">
        <v>70</v>
      </c>
      <c r="F208" s="56" t="s">
        <v>70</v>
      </c>
      <c r="G208" s="56" t="s">
        <v>70</v>
      </c>
      <c r="H208" s="4"/>
    </row>
    <row r="209">
      <c r="C209" s="4" t="s">
        <v>70</v>
      </c>
      <c r="D209" s="56" t="s">
        <v>70</v>
      </c>
      <c r="E209" s="56" t="s">
        <v>70</v>
      </c>
      <c r="F209" s="56" t="s">
        <v>70</v>
      </c>
      <c r="G209" s="56" t="s">
        <v>70</v>
      </c>
      <c r="H209" s="4"/>
    </row>
    <row r="210">
      <c r="C210" s="4" t="s">
        <v>70</v>
      </c>
      <c r="D210" s="56" t="s">
        <v>70</v>
      </c>
      <c r="E210" s="56" t="s">
        <v>70</v>
      </c>
      <c r="F210" s="56" t="s">
        <v>70</v>
      </c>
      <c r="G210" s="56" t="s">
        <v>70</v>
      </c>
      <c r="H210" s="4"/>
    </row>
    <row r="211">
      <c r="C211" s="4" t="s">
        <v>70</v>
      </c>
      <c r="D211" s="56" t="s">
        <v>70</v>
      </c>
      <c r="E211" s="56" t="s">
        <v>70</v>
      </c>
      <c r="F211" s="56" t="s">
        <v>70</v>
      </c>
      <c r="G211" s="56" t="s">
        <v>70</v>
      </c>
      <c r="H211" s="4"/>
    </row>
    <row r="212">
      <c r="C212" s="4" t="s">
        <v>70</v>
      </c>
      <c r="D212" s="56" t="s">
        <v>70</v>
      </c>
      <c r="E212" s="56" t="s">
        <v>70</v>
      </c>
      <c r="F212" s="56" t="s">
        <v>70</v>
      </c>
      <c r="G212" s="56" t="s">
        <v>70</v>
      </c>
      <c r="H212" s="4"/>
    </row>
    <row r="213">
      <c r="C213" s="4" t="s">
        <v>70</v>
      </c>
      <c r="D213" s="56" t="s">
        <v>70</v>
      </c>
      <c r="E213" s="56" t="s">
        <v>70</v>
      </c>
      <c r="F213" s="56" t="s">
        <v>70</v>
      </c>
      <c r="G213" s="56" t="s">
        <v>70</v>
      </c>
      <c r="H213" s="4"/>
    </row>
    <row r="214">
      <c r="C214" s="4" t="s">
        <v>70</v>
      </c>
      <c r="D214" s="56" t="s">
        <v>70</v>
      </c>
      <c r="E214" s="56" t="s">
        <v>70</v>
      </c>
      <c r="F214" s="56" t="s">
        <v>70</v>
      </c>
      <c r="G214" s="56" t="s">
        <v>70</v>
      </c>
      <c r="H214" s="4"/>
    </row>
    <row r="215">
      <c r="C215" s="4" t="s">
        <v>70</v>
      </c>
      <c r="D215" s="56" t="s">
        <v>70</v>
      </c>
      <c r="E215" s="56" t="s">
        <v>70</v>
      </c>
      <c r="F215" s="56" t="s">
        <v>70</v>
      </c>
      <c r="G215" s="56" t="s">
        <v>70</v>
      </c>
      <c r="H215" s="4"/>
    </row>
    <row r="216">
      <c r="C216" s="4" t="s">
        <v>70</v>
      </c>
      <c r="D216" s="56" t="s">
        <v>70</v>
      </c>
      <c r="E216" s="56" t="s">
        <v>70</v>
      </c>
      <c r="F216" s="56" t="s">
        <v>70</v>
      </c>
      <c r="G216" s="56" t="s">
        <v>70</v>
      </c>
      <c r="H216" s="4"/>
    </row>
    <row r="217">
      <c r="C217" s="4" t="s">
        <v>70</v>
      </c>
      <c r="D217" s="56" t="s">
        <v>70</v>
      </c>
      <c r="E217" s="56" t="s">
        <v>70</v>
      </c>
      <c r="F217" s="56" t="s">
        <v>70</v>
      </c>
      <c r="G217" s="56" t="s">
        <v>70</v>
      </c>
      <c r="H217" s="4"/>
    </row>
    <row r="218">
      <c r="C218" s="4" t="s">
        <v>70</v>
      </c>
      <c r="D218" s="56" t="s">
        <v>70</v>
      </c>
      <c r="E218" s="56" t="s">
        <v>70</v>
      </c>
      <c r="F218" s="56" t="s">
        <v>70</v>
      </c>
      <c r="G218" s="56" t="s">
        <v>70</v>
      </c>
      <c r="H218" s="4"/>
    </row>
    <row r="219">
      <c r="C219" s="4" t="s">
        <v>70</v>
      </c>
      <c r="D219" s="56" t="s">
        <v>70</v>
      </c>
      <c r="E219" s="56" t="s">
        <v>70</v>
      </c>
      <c r="F219" s="56" t="s">
        <v>70</v>
      </c>
      <c r="G219" s="56" t="s">
        <v>70</v>
      </c>
      <c r="H219" s="4"/>
    </row>
    <row r="220">
      <c r="C220" s="4" t="s">
        <v>70</v>
      </c>
      <c r="D220" s="56" t="s">
        <v>70</v>
      </c>
      <c r="E220" s="56" t="s">
        <v>70</v>
      </c>
      <c r="F220" s="56" t="s">
        <v>70</v>
      </c>
      <c r="G220" s="56" t="s">
        <v>70</v>
      </c>
      <c r="H220" s="4"/>
    </row>
    <row r="221">
      <c r="C221" s="4" t="s">
        <v>70</v>
      </c>
      <c r="D221" s="56" t="s">
        <v>70</v>
      </c>
      <c r="E221" s="56" t="s">
        <v>70</v>
      </c>
      <c r="F221" s="56" t="s">
        <v>70</v>
      </c>
      <c r="G221" s="56" t="s">
        <v>70</v>
      </c>
      <c r="H221" s="4"/>
    </row>
    <row r="222">
      <c r="C222" s="4" t="s">
        <v>70</v>
      </c>
      <c r="D222" s="56" t="s">
        <v>70</v>
      </c>
      <c r="E222" s="56" t="s">
        <v>70</v>
      </c>
      <c r="F222" s="56" t="s">
        <v>70</v>
      </c>
      <c r="G222" s="56" t="s">
        <v>70</v>
      </c>
      <c r="H222" s="4"/>
    </row>
    <row r="223">
      <c r="C223" s="4" t="s">
        <v>70</v>
      </c>
      <c r="D223" s="56" t="s">
        <v>70</v>
      </c>
      <c r="E223" s="56" t="s">
        <v>70</v>
      </c>
      <c r="F223" s="56" t="s">
        <v>70</v>
      </c>
      <c r="G223" s="56" t="s">
        <v>70</v>
      </c>
      <c r="H223" s="4"/>
    </row>
    <row r="224">
      <c r="C224" s="4" t="s">
        <v>70</v>
      </c>
      <c r="D224" s="56" t="s">
        <v>70</v>
      </c>
      <c r="E224" s="56" t="s">
        <v>70</v>
      </c>
      <c r="F224" s="56" t="s">
        <v>70</v>
      </c>
      <c r="G224" s="56" t="s">
        <v>70</v>
      </c>
      <c r="H224" s="4"/>
    </row>
    <row r="225">
      <c r="C225" s="4" t="s">
        <v>70</v>
      </c>
      <c r="D225" s="56" t="s">
        <v>70</v>
      </c>
      <c r="E225" s="56" t="s">
        <v>70</v>
      </c>
      <c r="F225" s="56" t="s">
        <v>70</v>
      </c>
      <c r="G225" s="56" t="s">
        <v>70</v>
      </c>
      <c r="H225" s="4"/>
    </row>
    <row r="226">
      <c r="C226" s="4" t="s">
        <v>70</v>
      </c>
      <c r="D226" s="56" t="s">
        <v>70</v>
      </c>
      <c r="E226" s="56" t="s">
        <v>70</v>
      </c>
      <c r="F226" s="56" t="s">
        <v>70</v>
      </c>
      <c r="G226" s="56" t="s">
        <v>70</v>
      </c>
      <c r="H226" s="4"/>
    </row>
    <row r="227">
      <c r="C227" s="4" t="s">
        <v>70</v>
      </c>
      <c r="D227" s="56" t="s">
        <v>70</v>
      </c>
      <c r="E227" s="56" t="s">
        <v>70</v>
      </c>
      <c r="F227" s="56" t="s">
        <v>70</v>
      </c>
      <c r="G227" s="56" t="s">
        <v>70</v>
      </c>
      <c r="H227" s="4"/>
    </row>
    <row r="228">
      <c r="C228" s="4" t="s">
        <v>70</v>
      </c>
      <c r="D228" s="56" t="s">
        <v>70</v>
      </c>
      <c r="E228" s="56" t="s">
        <v>70</v>
      </c>
      <c r="F228" s="56" t="s">
        <v>70</v>
      </c>
      <c r="G228" s="56" t="s">
        <v>70</v>
      </c>
      <c r="H228" s="4"/>
    </row>
    <row r="229">
      <c r="C229" s="4" t="s">
        <v>70</v>
      </c>
      <c r="D229" s="56" t="s">
        <v>70</v>
      </c>
      <c r="E229" s="56" t="s">
        <v>70</v>
      </c>
      <c r="F229" s="56" t="s">
        <v>70</v>
      </c>
      <c r="G229" s="56" t="s">
        <v>70</v>
      </c>
      <c r="H229" s="4"/>
    </row>
    <row r="230">
      <c r="C230" s="4" t="s">
        <v>70</v>
      </c>
      <c r="D230" s="56" t="s">
        <v>70</v>
      </c>
      <c r="E230" s="56" t="s">
        <v>70</v>
      </c>
      <c r="F230" s="56" t="s">
        <v>70</v>
      </c>
      <c r="G230" s="56" t="s">
        <v>70</v>
      </c>
      <c r="H230" s="4"/>
    </row>
    <row r="231">
      <c r="C231" s="4" t="s">
        <v>70</v>
      </c>
      <c r="D231" s="56" t="s">
        <v>70</v>
      </c>
      <c r="E231" s="56" t="s">
        <v>70</v>
      </c>
      <c r="F231" s="56" t="s">
        <v>70</v>
      </c>
      <c r="G231" s="56" t="s">
        <v>70</v>
      </c>
      <c r="H231" s="4"/>
    </row>
    <row r="232">
      <c r="C232" s="4" t="s">
        <v>70</v>
      </c>
      <c r="D232" s="56" t="s">
        <v>70</v>
      </c>
      <c r="E232" s="56" t="s">
        <v>70</v>
      </c>
      <c r="F232" s="56" t="s">
        <v>70</v>
      </c>
      <c r="G232" s="56" t="s">
        <v>70</v>
      </c>
      <c r="H232" s="4"/>
    </row>
    <row r="233">
      <c r="C233" s="4" t="s">
        <v>70</v>
      </c>
      <c r="D233" s="56" t="s">
        <v>70</v>
      </c>
      <c r="E233" s="56" t="s">
        <v>70</v>
      </c>
      <c r="F233" s="56" t="s">
        <v>70</v>
      </c>
      <c r="G233" s="56" t="s">
        <v>70</v>
      </c>
      <c r="H233" s="4"/>
    </row>
    <row r="234">
      <c r="C234" s="4" t="s">
        <v>70</v>
      </c>
      <c r="D234" s="56" t="s">
        <v>70</v>
      </c>
      <c r="E234" s="56" t="s">
        <v>70</v>
      </c>
      <c r="F234" s="56" t="s">
        <v>70</v>
      </c>
      <c r="G234" s="56" t="s">
        <v>70</v>
      </c>
      <c r="H234" s="4"/>
    </row>
    <row r="235">
      <c r="C235" s="4" t="s">
        <v>70</v>
      </c>
      <c r="D235" s="56" t="s">
        <v>70</v>
      </c>
      <c r="E235" s="56" t="s">
        <v>70</v>
      </c>
      <c r="F235" s="56" t="s">
        <v>70</v>
      </c>
      <c r="G235" s="56" t="s">
        <v>70</v>
      </c>
      <c r="H235" s="4"/>
    </row>
    <row r="236">
      <c r="C236" s="4" t="s">
        <v>70</v>
      </c>
      <c r="D236" s="56" t="s">
        <v>70</v>
      </c>
      <c r="E236" s="56" t="s">
        <v>70</v>
      </c>
      <c r="F236" s="56" t="s">
        <v>70</v>
      </c>
      <c r="G236" s="56" t="s">
        <v>70</v>
      </c>
      <c r="H236" s="4"/>
    </row>
    <row r="237">
      <c r="C237" s="4" t="s">
        <v>70</v>
      </c>
      <c r="D237" s="56" t="s">
        <v>70</v>
      </c>
      <c r="E237" s="56" t="s">
        <v>70</v>
      </c>
      <c r="F237" s="56" t="s">
        <v>70</v>
      </c>
      <c r="G237" s="56" t="s">
        <v>70</v>
      </c>
      <c r="H237" s="4"/>
    </row>
    <row r="238">
      <c r="C238" s="4" t="s">
        <v>70</v>
      </c>
      <c r="D238" s="56" t="s">
        <v>70</v>
      </c>
      <c r="E238" s="56" t="s">
        <v>70</v>
      </c>
      <c r="F238" s="56" t="s">
        <v>70</v>
      </c>
      <c r="G238" s="56" t="s">
        <v>70</v>
      </c>
      <c r="H238" s="4"/>
    </row>
    <row r="239">
      <c r="C239" s="4" t="s">
        <v>70</v>
      </c>
      <c r="D239" s="56" t="s">
        <v>70</v>
      </c>
      <c r="E239" s="56" t="s">
        <v>70</v>
      </c>
      <c r="F239" s="56" t="s">
        <v>70</v>
      </c>
      <c r="G239" s="56" t="s">
        <v>70</v>
      </c>
      <c r="H239" s="4"/>
    </row>
    <row r="240">
      <c r="C240" s="4" t="s">
        <v>70</v>
      </c>
      <c r="D240" s="56" t="s">
        <v>70</v>
      </c>
      <c r="E240" s="56" t="s">
        <v>70</v>
      </c>
      <c r="F240" s="56" t="s">
        <v>70</v>
      </c>
      <c r="G240" s="56" t="s">
        <v>70</v>
      </c>
      <c r="H240" s="4"/>
    </row>
    <row r="241">
      <c r="C241" s="4" t="s">
        <v>70</v>
      </c>
      <c r="D241" s="56" t="s">
        <v>70</v>
      </c>
      <c r="E241" s="56" t="s">
        <v>70</v>
      </c>
      <c r="F241" s="56" t="s">
        <v>70</v>
      </c>
      <c r="G241" s="56" t="s">
        <v>70</v>
      </c>
      <c r="H241" s="4"/>
    </row>
    <row r="242">
      <c r="C242" s="4" t="s">
        <v>70</v>
      </c>
      <c r="D242" s="56" t="s">
        <v>70</v>
      </c>
      <c r="E242" s="56" t="s">
        <v>70</v>
      </c>
      <c r="F242" s="56" t="s">
        <v>70</v>
      </c>
      <c r="G242" s="56" t="s">
        <v>70</v>
      </c>
      <c r="H242" s="4"/>
    </row>
    <row r="243">
      <c r="C243" s="4" t="s">
        <v>70</v>
      </c>
      <c r="D243" s="56" t="s">
        <v>70</v>
      </c>
      <c r="E243" s="56" t="s">
        <v>70</v>
      </c>
      <c r="F243" s="56" t="s">
        <v>70</v>
      </c>
      <c r="G243" s="56" t="s">
        <v>70</v>
      </c>
      <c r="H243" s="4"/>
    </row>
    <row r="244">
      <c r="C244" s="4" t="s">
        <v>70</v>
      </c>
      <c r="D244" s="56" t="s">
        <v>70</v>
      </c>
      <c r="E244" s="56" t="s">
        <v>70</v>
      </c>
      <c r="F244" s="56" t="s">
        <v>70</v>
      </c>
      <c r="G244" s="56" t="s">
        <v>70</v>
      </c>
      <c r="H244" s="4"/>
    </row>
    <row r="245">
      <c r="C245" s="4" t="s">
        <v>70</v>
      </c>
      <c r="D245" s="56" t="s">
        <v>70</v>
      </c>
      <c r="E245" s="56" t="s">
        <v>70</v>
      </c>
      <c r="F245" s="56" t="s">
        <v>70</v>
      </c>
      <c r="G245" s="56" t="s">
        <v>70</v>
      </c>
      <c r="H245" s="4"/>
    </row>
    <row r="246">
      <c r="C246" s="4" t="s">
        <v>70</v>
      </c>
      <c r="D246" s="56" t="s">
        <v>70</v>
      </c>
      <c r="E246" s="56" t="s">
        <v>70</v>
      </c>
      <c r="F246" s="56" t="s">
        <v>70</v>
      </c>
      <c r="G246" s="56" t="s">
        <v>70</v>
      </c>
      <c r="H246" s="4"/>
    </row>
    <row r="247">
      <c r="C247" s="4" t="s">
        <v>70</v>
      </c>
      <c r="D247" s="56" t="s">
        <v>70</v>
      </c>
      <c r="E247" s="56" t="s">
        <v>70</v>
      </c>
      <c r="F247" s="56" t="s">
        <v>70</v>
      </c>
      <c r="G247" s="56" t="s">
        <v>70</v>
      </c>
      <c r="H247" s="4"/>
    </row>
    <row r="248">
      <c r="C248" s="4" t="s">
        <v>70</v>
      </c>
      <c r="D248" s="56" t="s">
        <v>70</v>
      </c>
      <c r="E248" s="56" t="s">
        <v>70</v>
      </c>
      <c r="F248" s="56" t="s">
        <v>70</v>
      </c>
      <c r="G248" s="56" t="s">
        <v>70</v>
      </c>
      <c r="H248" s="4"/>
    </row>
    <row r="249">
      <c r="C249" s="4" t="s">
        <v>70</v>
      </c>
      <c r="D249" s="56" t="s">
        <v>70</v>
      </c>
      <c r="E249" s="56" t="s">
        <v>70</v>
      </c>
      <c r="F249" s="56" t="s">
        <v>70</v>
      </c>
      <c r="G249" s="56" t="s">
        <v>70</v>
      </c>
      <c r="H249" s="4"/>
    </row>
    <row r="250">
      <c r="C250" s="4" t="s">
        <v>70</v>
      </c>
      <c r="D250" s="56" t="s">
        <v>70</v>
      </c>
      <c r="E250" s="56" t="s">
        <v>70</v>
      </c>
      <c r="F250" s="56" t="s">
        <v>70</v>
      </c>
      <c r="G250" s="56" t="s">
        <v>70</v>
      </c>
      <c r="H250" s="4"/>
    </row>
    <row r="251">
      <c r="C251" s="4" t="s">
        <v>70</v>
      </c>
      <c r="D251" s="56" t="s">
        <v>70</v>
      </c>
      <c r="E251" s="56" t="s">
        <v>70</v>
      </c>
      <c r="F251" s="56" t="s">
        <v>70</v>
      </c>
      <c r="G251" s="56" t="s">
        <v>70</v>
      </c>
      <c r="H251" s="4"/>
    </row>
    <row r="252">
      <c r="C252" s="4" t="s">
        <v>70</v>
      </c>
      <c r="D252" s="56" t="s">
        <v>70</v>
      </c>
      <c r="E252" s="56" t="s">
        <v>70</v>
      </c>
      <c r="F252" s="56" t="s">
        <v>70</v>
      </c>
      <c r="G252" s="56" t="s">
        <v>70</v>
      </c>
      <c r="H252" s="4"/>
    </row>
    <row r="253">
      <c r="C253" s="4" t="s">
        <v>70</v>
      </c>
      <c r="D253" s="56" t="s">
        <v>70</v>
      </c>
      <c r="E253" s="56" t="s">
        <v>70</v>
      </c>
      <c r="F253" s="56" t="s">
        <v>70</v>
      </c>
      <c r="G253" s="56" t="s">
        <v>70</v>
      </c>
      <c r="H253" s="4"/>
    </row>
    <row r="254">
      <c r="C254" s="4" t="s">
        <v>70</v>
      </c>
      <c r="D254" s="56" t="s">
        <v>70</v>
      </c>
      <c r="E254" s="56" t="s">
        <v>70</v>
      </c>
      <c r="F254" s="56" t="s">
        <v>70</v>
      </c>
      <c r="G254" s="56" t="s">
        <v>70</v>
      </c>
      <c r="H254" s="4"/>
    </row>
    <row r="255">
      <c r="C255" s="4" t="s">
        <v>70</v>
      </c>
      <c r="D255" s="56" t="s">
        <v>70</v>
      </c>
      <c r="E255" s="56" t="s">
        <v>70</v>
      </c>
      <c r="F255" s="56" t="s">
        <v>70</v>
      </c>
      <c r="G255" s="56" t="s">
        <v>70</v>
      </c>
      <c r="H255" s="4"/>
    </row>
    <row r="256">
      <c r="C256" s="4" t="s">
        <v>70</v>
      </c>
      <c r="D256" s="56" t="s">
        <v>70</v>
      </c>
      <c r="E256" s="56" t="s">
        <v>70</v>
      </c>
      <c r="F256" s="56" t="s">
        <v>70</v>
      </c>
      <c r="G256" s="56" t="s">
        <v>70</v>
      </c>
      <c r="H256" s="4"/>
    </row>
    <row r="257">
      <c r="C257" s="4" t="s">
        <v>70</v>
      </c>
      <c r="D257" s="56" t="s">
        <v>70</v>
      </c>
      <c r="E257" s="56" t="s">
        <v>70</v>
      </c>
      <c r="F257" s="56" t="s">
        <v>70</v>
      </c>
      <c r="G257" s="56" t="s">
        <v>70</v>
      </c>
      <c r="H257" s="4"/>
    </row>
    <row r="258">
      <c r="C258" s="4" t="s">
        <v>70</v>
      </c>
      <c r="D258" s="56" t="s">
        <v>70</v>
      </c>
      <c r="E258" s="56" t="s">
        <v>70</v>
      </c>
      <c r="F258" s="56" t="s">
        <v>70</v>
      </c>
      <c r="G258" s="56" t="s">
        <v>70</v>
      </c>
      <c r="H258" s="4"/>
    </row>
    <row r="259">
      <c r="C259" s="4" t="s">
        <v>70</v>
      </c>
      <c r="D259" s="56" t="s">
        <v>70</v>
      </c>
      <c r="E259" s="56" t="s">
        <v>70</v>
      </c>
      <c r="F259" s="56" t="s">
        <v>70</v>
      </c>
      <c r="G259" s="56" t="s">
        <v>70</v>
      </c>
      <c r="H259" s="4"/>
    </row>
    <row r="260">
      <c r="C260" s="4" t="s">
        <v>70</v>
      </c>
      <c r="D260" s="56" t="s">
        <v>70</v>
      </c>
      <c r="E260" s="56" t="s">
        <v>70</v>
      </c>
      <c r="F260" s="56" t="s">
        <v>70</v>
      </c>
      <c r="G260" s="56" t="s">
        <v>70</v>
      </c>
      <c r="H260" s="4"/>
    </row>
    <row r="261">
      <c r="C261" s="4" t="s">
        <v>70</v>
      </c>
      <c r="D261" s="56" t="s">
        <v>70</v>
      </c>
      <c r="E261" s="56" t="s">
        <v>70</v>
      </c>
      <c r="F261" s="56" t="s">
        <v>70</v>
      </c>
      <c r="G261" s="56" t="s">
        <v>70</v>
      </c>
      <c r="H261" s="4"/>
    </row>
    <row r="262">
      <c r="C262" s="4" t="s">
        <v>70</v>
      </c>
      <c r="D262" s="56" t="s">
        <v>70</v>
      </c>
      <c r="E262" s="56" t="s">
        <v>70</v>
      </c>
      <c r="F262" s="56" t="s">
        <v>70</v>
      </c>
      <c r="G262" s="56" t="s">
        <v>70</v>
      </c>
      <c r="H262" s="4"/>
    </row>
    <row r="263">
      <c r="C263" s="4" t="s">
        <v>70</v>
      </c>
      <c r="D263" s="56" t="s">
        <v>70</v>
      </c>
      <c r="E263" s="56" t="s">
        <v>70</v>
      </c>
      <c r="F263" s="56" t="s">
        <v>70</v>
      </c>
      <c r="G263" s="56" t="s">
        <v>70</v>
      </c>
      <c r="H263" s="4"/>
    </row>
    <row r="264">
      <c r="C264" s="4" t="s">
        <v>70</v>
      </c>
      <c r="D264" s="56" t="s">
        <v>70</v>
      </c>
      <c r="E264" s="56" t="s">
        <v>70</v>
      </c>
      <c r="F264" s="56" t="s">
        <v>70</v>
      </c>
      <c r="G264" s="56" t="s">
        <v>70</v>
      </c>
      <c r="H264" s="4"/>
    </row>
    <row r="265">
      <c r="C265" s="4" t="s">
        <v>70</v>
      </c>
      <c r="D265" s="56" t="s">
        <v>70</v>
      </c>
      <c r="E265" s="56" t="s">
        <v>70</v>
      </c>
      <c r="F265" s="56" t="s">
        <v>70</v>
      </c>
      <c r="G265" s="56" t="s">
        <v>70</v>
      </c>
      <c r="H265" s="4"/>
    </row>
    <row r="266">
      <c r="C266" s="4" t="s">
        <v>70</v>
      </c>
      <c r="D266" s="56" t="s">
        <v>70</v>
      </c>
      <c r="E266" s="56" t="s">
        <v>70</v>
      </c>
      <c r="F266" s="56" t="s">
        <v>70</v>
      </c>
      <c r="G266" s="56" t="s">
        <v>70</v>
      </c>
      <c r="H266" s="4"/>
    </row>
    <row r="267">
      <c r="C267" s="4" t="s">
        <v>70</v>
      </c>
      <c r="D267" s="56" t="s">
        <v>70</v>
      </c>
      <c r="E267" s="56" t="s">
        <v>70</v>
      </c>
      <c r="F267" s="56" t="s">
        <v>70</v>
      </c>
      <c r="G267" s="56" t="s">
        <v>70</v>
      </c>
      <c r="H267" s="4"/>
    </row>
    <row r="268">
      <c r="C268" s="4" t="s">
        <v>70</v>
      </c>
      <c r="D268" s="56" t="s">
        <v>70</v>
      </c>
      <c r="E268" s="56" t="s">
        <v>70</v>
      </c>
      <c r="F268" s="56" t="s">
        <v>70</v>
      </c>
      <c r="G268" s="56" t="s">
        <v>70</v>
      </c>
      <c r="H268" s="4"/>
    </row>
    <row r="269">
      <c r="C269" s="4" t="s">
        <v>70</v>
      </c>
      <c r="D269" s="56" t="s">
        <v>70</v>
      </c>
      <c r="E269" s="56" t="s">
        <v>70</v>
      </c>
      <c r="F269" s="56" t="s">
        <v>70</v>
      </c>
      <c r="G269" s="56" t="s">
        <v>70</v>
      </c>
      <c r="H269" s="4"/>
    </row>
    <row r="270">
      <c r="C270" s="4" t="s">
        <v>70</v>
      </c>
      <c r="D270" s="56" t="s">
        <v>70</v>
      </c>
      <c r="E270" s="56" t="s">
        <v>70</v>
      </c>
      <c r="F270" s="56" t="s">
        <v>70</v>
      </c>
      <c r="G270" s="56" t="s">
        <v>70</v>
      </c>
      <c r="H270" s="4"/>
    </row>
    <row r="271">
      <c r="C271" s="4" t="s">
        <v>70</v>
      </c>
      <c r="D271" s="56" t="s">
        <v>70</v>
      </c>
      <c r="E271" s="56" t="s">
        <v>70</v>
      </c>
      <c r="F271" s="56" t="s">
        <v>70</v>
      </c>
      <c r="G271" s="56" t="s">
        <v>70</v>
      </c>
      <c r="H271" s="4"/>
    </row>
    <row r="272">
      <c r="C272" s="4" t="s">
        <v>70</v>
      </c>
      <c r="D272" s="56" t="s">
        <v>70</v>
      </c>
      <c r="E272" s="56" t="s">
        <v>70</v>
      </c>
      <c r="F272" s="56" t="s">
        <v>70</v>
      </c>
      <c r="G272" s="56" t="s">
        <v>70</v>
      </c>
      <c r="H272" s="4"/>
    </row>
    <row r="273">
      <c r="C273" s="4" t="s">
        <v>70</v>
      </c>
      <c r="D273" s="56" t="s">
        <v>70</v>
      </c>
      <c r="E273" s="56" t="s">
        <v>70</v>
      </c>
      <c r="F273" s="56" t="s">
        <v>70</v>
      </c>
      <c r="G273" s="56" t="s">
        <v>70</v>
      </c>
      <c r="H273" s="4"/>
    </row>
    <row r="274">
      <c r="C274" s="4" t="s">
        <v>70</v>
      </c>
      <c r="D274" s="56" t="s">
        <v>70</v>
      </c>
      <c r="E274" s="56" t="s">
        <v>70</v>
      </c>
      <c r="F274" s="56" t="s">
        <v>70</v>
      </c>
      <c r="G274" s="56" t="s">
        <v>70</v>
      </c>
      <c r="H274" s="4"/>
    </row>
    <row r="275">
      <c r="C275" s="4" t="s">
        <v>70</v>
      </c>
      <c r="D275" s="56" t="s">
        <v>70</v>
      </c>
      <c r="E275" s="56" t="s">
        <v>70</v>
      </c>
      <c r="F275" s="56" t="s">
        <v>70</v>
      </c>
      <c r="G275" s="56" t="s">
        <v>70</v>
      </c>
      <c r="H275" s="4"/>
    </row>
    <row r="276">
      <c r="C276" s="4" t="s">
        <v>70</v>
      </c>
      <c r="D276" s="56" t="s">
        <v>70</v>
      </c>
      <c r="E276" s="56" t="s">
        <v>70</v>
      </c>
      <c r="F276" s="56" t="s">
        <v>70</v>
      </c>
      <c r="G276" s="56" t="s">
        <v>70</v>
      </c>
      <c r="H276" s="4"/>
    </row>
    <row r="277">
      <c r="C277" s="4" t="s">
        <v>70</v>
      </c>
      <c r="D277" s="56" t="s">
        <v>70</v>
      </c>
      <c r="E277" s="56" t="s">
        <v>70</v>
      </c>
      <c r="F277" s="56" t="s">
        <v>70</v>
      </c>
      <c r="G277" s="56" t="s">
        <v>70</v>
      </c>
      <c r="H277" s="4"/>
    </row>
    <row r="278">
      <c r="C278" s="4" t="s">
        <v>70</v>
      </c>
      <c r="D278" s="56" t="s">
        <v>70</v>
      </c>
      <c r="E278" s="56" t="s">
        <v>70</v>
      </c>
      <c r="F278" s="56" t="s">
        <v>70</v>
      </c>
      <c r="G278" s="56" t="s">
        <v>70</v>
      </c>
      <c r="H278" s="4"/>
    </row>
    <row r="279">
      <c r="C279" s="4" t="s">
        <v>70</v>
      </c>
      <c r="D279" s="56" t="s">
        <v>70</v>
      </c>
      <c r="E279" s="56" t="s">
        <v>70</v>
      </c>
      <c r="F279" s="56" t="s">
        <v>70</v>
      </c>
      <c r="G279" s="56" t="s">
        <v>70</v>
      </c>
      <c r="H279" s="4"/>
    </row>
    <row r="280">
      <c r="C280" s="4" t="s">
        <v>70</v>
      </c>
      <c r="D280" s="56" t="s">
        <v>70</v>
      </c>
      <c r="E280" s="56" t="s">
        <v>70</v>
      </c>
      <c r="F280" s="56" t="s">
        <v>70</v>
      </c>
      <c r="G280" s="56" t="s">
        <v>70</v>
      </c>
      <c r="H280" s="4"/>
    </row>
    <row r="281">
      <c r="C281" s="4" t="s">
        <v>70</v>
      </c>
      <c r="D281" s="56" t="s">
        <v>70</v>
      </c>
      <c r="E281" s="56" t="s">
        <v>70</v>
      </c>
      <c r="F281" s="56" t="s">
        <v>70</v>
      </c>
      <c r="G281" s="56" t="s">
        <v>70</v>
      </c>
      <c r="H281" s="4"/>
    </row>
    <row r="282">
      <c r="C282" s="4" t="s">
        <v>70</v>
      </c>
      <c r="D282" s="56" t="s">
        <v>70</v>
      </c>
      <c r="E282" s="56" t="s">
        <v>70</v>
      </c>
      <c r="F282" s="56" t="s">
        <v>70</v>
      </c>
      <c r="G282" s="56" t="s">
        <v>70</v>
      </c>
      <c r="H282" s="4"/>
    </row>
    <row r="283">
      <c r="C283" s="4" t="s">
        <v>70</v>
      </c>
      <c r="D283" s="56" t="s">
        <v>70</v>
      </c>
      <c r="E283" s="56" t="s">
        <v>70</v>
      </c>
      <c r="F283" s="56" t="s">
        <v>70</v>
      </c>
      <c r="G283" s="56" t="s">
        <v>70</v>
      </c>
      <c r="H283" s="4"/>
    </row>
    <row r="284">
      <c r="C284" s="4" t="s">
        <v>70</v>
      </c>
      <c r="D284" s="56" t="s">
        <v>70</v>
      </c>
      <c r="E284" s="56" t="s">
        <v>70</v>
      </c>
      <c r="F284" s="56" t="s">
        <v>70</v>
      </c>
      <c r="G284" s="56" t="s">
        <v>70</v>
      </c>
      <c r="H284" s="4"/>
    </row>
    <row r="285">
      <c r="C285" s="4" t="s">
        <v>70</v>
      </c>
      <c r="D285" s="56" t="s">
        <v>70</v>
      </c>
      <c r="E285" s="56" t="s">
        <v>70</v>
      </c>
      <c r="F285" s="56" t="s">
        <v>70</v>
      </c>
      <c r="G285" s="56" t="s">
        <v>70</v>
      </c>
      <c r="H285" s="4"/>
    </row>
    <row r="286">
      <c r="C286" s="4" t="s">
        <v>70</v>
      </c>
      <c r="D286" s="56" t="s">
        <v>70</v>
      </c>
      <c r="E286" s="56" t="s">
        <v>70</v>
      </c>
      <c r="F286" s="56" t="s">
        <v>70</v>
      </c>
      <c r="G286" s="56" t="s">
        <v>70</v>
      </c>
      <c r="H286" s="4"/>
    </row>
    <row r="287">
      <c r="C287" s="4" t="s">
        <v>70</v>
      </c>
      <c r="D287" s="56" t="s">
        <v>70</v>
      </c>
      <c r="E287" s="56" t="s">
        <v>70</v>
      </c>
      <c r="F287" s="56" t="s">
        <v>70</v>
      </c>
      <c r="G287" s="56" t="s">
        <v>70</v>
      </c>
      <c r="H287" s="4"/>
    </row>
    <row r="288">
      <c r="C288" s="4" t="s">
        <v>70</v>
      </c>
      <c r="D288" s="56" t="s">
        <v>70</v>
      </c>
      <c r="E288" s="56" t="s">
        <v>70</v>
      </c>
      <c r="F288" s="56" t="s">
        <v>70</v>
      </c>
      <c r="G288" s="56" t="s">
        <v>70</v>
      </c>
      <c r="H288" s="4"/>
    </row>
    <row r="289">
      <c r="C289" s="4" t="s">
        <v>70</v>
      </c>
      <c r="D289" s="56" t="s">
        <v>70</v>
      </c>
      <c r="E289" s="56" t="s">
        <v>70</v>
      </c>
      <c r="F289" s="56" t="s">
        <v>70</v>
      </c>
      <c r="G289" s="56" t="s">
        <v>70</v>
      </c>
      <c r="H289" s="4"/>
    </row>
    <row r="290">
      <c r="C290" s="4" t="s">
        <v>70</v>
      </c>
      <c r="D290" s="56" t="s">
        <v>70</v>
      </c>
      <c r="E290" s="56" t="s">
        <v>70</v>
      </c>
      <c r="F290" s="56" t="s">
        <v>70</v>
      </c>
      <c r="G290" s="56" t="s">
        <v>70</v>
      </c>
      <c r="H290" s="4"/>
    </row>
    <row r="291">
      <c r="C291" s="4" t="s">
        <v>70</v>
      </c>
      <c r="D291" s="56" t="s">
        <v>70</v>
      </c>
      <c r="E291" s="56" t="s">
        <v>70</v>
      </c>
      <c r="F291" s="56" t="s">
        <v>70</v>
      </c>
      <c r="G291" s="56" t="s">
        <v>70</v>
      </c>
      <c r="H291" s="4"/>
    </row>
    <row r="292">
      <c r="C292" s="4" t="s">
        <v>70</v>
      </c>
      <c r="D292" s="56" t="s">
        <v>70</v>
      </c>
      <c r="E292" s="56" t="s">
        <v>70</v>
      </c>
      <c r="F292" s="56" t="s">
        <v>70</v>
      </c>
      <c r="G292" s="56" t="s">
        <v>70</v>
      </c>
      <c r="H292" s="4"/>
    </row>
    <row r="293">
      <c r="C293" s="4" t="s">
        <v>70</v>
      </c>
      <c r="D293" s="56" t="s">
        <v>70</v>
      </c>
      <c r="E293" s="56" t="s">
        <v>70</v>
      </c>
      <c r="F293" s="56" t="s">
        <v>70</v>
      </c>
      <c r="G293" s="56" t="s">
        <v>70</v>
      </c>
      <c r="H293" s="4"/>
    </row>
    <row r="294">
      <c r="C294" s="4" t="s">
        <v>70</v>
      </c>
      <c r="D294" s="56" t="s">
        <v>70</v>
      </c>
      <c r="E294" s="56" t="s">
        <v>70</v>
      </c>
      <c r="F294" s="56" t="s">
        <v>70</v>
      </c>
      <c r="G294" s="56" t="s">
        <v>70</v>
      </c>
      <c r="H294" s="4"/>
    </row>
    <row r="295">
      <c r="C295" s="4" t="s">
        <v>70</v>
      </c>
      <c r="D295" s="56" t="s">
        <v>70</v>
      </c>
      <c r="E295" s="56" t="s">
        <v>70</v>
      </c>
      <c r="F295" s="56" t="s">
        <v>70</v>
      </c>
      <c r="G295" s="56" t="s">
        <v>70</v>
      </c>
      <c r="H295" s="4"/>
    </row>
    <row r="296">
      <c r="C296" s="4" t="s">
        <v>70</v>
      </c>
      <c r="D296" s="56" t="s">
        <v>70</v>
      </c>
      <c r="E296" s="56" t="s">
        <v>70</v>
      </c>
      <c r="F296" s="56" t="s">
        <v>70</v>
      </c>
      <c r="G296" s="56" t="s">
        <v>70</v>
      </c>
      <c r="H296" s="4"/>
    </row>
    <row r="297">
      <c r="C297" s="4" t="s">
        <v>70</v>
      </c>
      <c r="D297" s="56" t="s">
        <v>70</v>
      </c>
      <c r="E297" s="56" t="s">
        <v>70</v>
      </c>
      <c r="F297" s="56" t="s">
        <v>70</v>
      </c>
      <c r="G297" s="56" t="s">
        <v>70</v>
      </c>
      <c r="H297" s="4"/>
    </row>
    <row r="298">
      <c r="C298" s="4" t="s">
        <v>70</v>
      </c>
      <c r="D298" s="56" t="s">
        <v>70</v>
      </c>
      <c r="E298" s="56" t="s">
        <v>70</v>
      </c>
      <c r="F298" s="56" t="s">
        <v>70</v>
      </c>
      <c r="G298" s="56" t="s">
        <v>70</v>
      </c>
      <c r="H298" s="4"/>
    </row>
    <row r="299">
      <c r="C299" s="4" t="s">
        <v>70</v>
      </c>
      <c r="D299" s="56" t="s">
        <v>70</v>
      </c>
      <c r="E299" s="56" t="s">
        <v>70</v>
      </c>
      <c r="F299" s="56" t="s">
        <v>70</v>
      </c>
      <c r="G299" s="56" t="s">
        <v>70</v>
      </c>
      <c r="H299" s="4"/>
    </row>
    <row r="300">
      <c r="C300" s="4" t="s">
        <v>70</v>
      </c>
      <c r="D300" s="56" t="s">
        <v>70</v>
      </c>
      <c r="E300" s="56" t="s">
        <v>70</v>
      </c>
      <c r="F300" s="56" t="s">
        <v>70</v>
      </c>
      <c r="G300" s="56" t="s">
        <v>70</v>
      </c>
      <c r="H300" s="4"/>
    </row>
    <row r="301">
      <c r="C301" s="4" t="s">
        <v>70</v>
      </c>
      <c r="D301" s="56" t="s">
        <v>70</v>
      </c>
      <c r="E301" s="56" t="s">
        <v>70</v>
      </c>
      <c r="F301" s="56" t="s">
        <v>70</v>
      </c>
      <c r="G301" s="56" t="s">
        <v>70</v>
      </c>
      <c r="H301" s="4"/>
    </row>
    <row r="302">
      <c r="C302" s="4" t="s">
        <v>70</v>
      </c>
      <c r="D302" s="56" t="s">
        <v>70</v>
      </c>
      <c r="E302" s="56" t="s">
        <v>70</v>
      </c>
      <c r="F302" s="56" t="s">
        <v>70</v>
      </c>
      <c r="G302" s="56" t="s">
        <v>70</v>
      </c>
      <c r="H302" s="4"/>
    </row>
    <row r="303">
      <c r="C303" s="4" t="s">
        <v>70</v>
      </c>
      <c r="D303" s="56" t="s">
        <v>70</v>
      </c>
      <c r="E303" s="56" t="s">
        <v>70</v>
      </c>
      <c r="F303" s="56" t="s">
        <v>70</v>
      </c>
      <c r="G303" s="56" t="s">
        <v>70</v>
      </c>
      <c r="H303" s="4"/>
    </row>
    <row r="304">
      <c r="C304" s="4" t="s">
        <v>70</v>
      </c>
      <c r="D304" s="56" t="s">
        <v>70</v>
      </c>
      <c r="E304" s="56" t="s">
        <v>70</v>
      </c>
      <c r="F304" s="56" t="s">
        <v>70</v>
      </c>
      <c r="G304" s="56" t="s">
        <v>70</v>
      </c>
      <c r="H304" s="4"/>
    </row>
    <row r="305">
      <c r="C305" s="4" t="s">
        <v>70</v>
      </c>
      <c r="D305" s="56" t="s">
        <v>70</v>
      </c>
      <c r="E305" s="56" t="s">
        <v>70</v>
      </c>
      <c r="F305" s="56" t="s">
        <v>70</v>
      </c>
      <c r="G305" s="56" t="s">
        <v>70</v>
      </c>
      <c r="H305" s="4"/>
    </row>
    <row r="306">
      <c r="C306" s="4" t="s">
        <v>70</v>
      </c>
      <c r="D306" s="56" t="s">
        <v>70</v>
      </c>
      <c r="E306" s="56" t="s">
        <v>70</v>
      </c>
      <c r="F306" s="56" t="s">
        <v>70</v>
      </c>
      <c r="G306" s="56" t="s">
        <v>70</v>
      </c>
      <c r="H306" s="4"/>
    </row>
    <row r="307">
      <c r="C307" s="4" t="s">
        <v>70</v>
      </c>
      <c r="D307" s="56" t="s">
        <v>70</v>
      </c>
      <c r="E307" s="56" t="s">
        <v>70</v>
      </c>
      <c r="F307" s="56" t="s">
        <v>70</v>
      </c>
      <c r="G307" s="56" t="s">
        <v>70</v>
      </c>
      <c r="H307" s="4"/>
    </row>
    <row r="308">
      <c r="C308" s="4" t="s">
        <v>70</v>
      </c>
      <c r="D308" s="56" t="s">
        <v>70</v>
      </c>
      <c r="E308" s="56" t="s">
        <v>70</v>
      </c>
      <c r="F308" s="56" t="s">
        <v>70</v>
      </c>
      <c r="G308" s="56" t="s">
        <v>70</v>
      </c>
      <c r="H308" s="4"/>
    </row>
    <row r="309">
      <c r="C309" s="4" t="s">
        <v>70</v>
      </c>
      <c r="D309" s="56" t="s">
        <v>70</v>
      </c>
      <c r="E309" s="56" t="s">
        <v>70</v>
      </c>
      <c r="F309" s="56" t="s">
        <v>70</v>
      </c>
      <c r="G309" s="56" t="s">
        <v>70</v>
      </c>
      <c r="H309" s="4"/>
    </row>
    <row r="310">
      <c r="C310" s="4" t="s">
        <v>70</v>
      </c>
      <c r="D310" s="56" t="s">
        <v>70</v>
      </c>
      <c r="E310" s="56" t="s">
        <v>70</v>
      </c>
      <c r="F310" s="56" t="s">
        <v>70</v>
      </c>
      <c r="G310" s="56" t="s">
        <v>70</v>
      </c>
      <c r="H310" s="4"/>
    </row>
    <row r="311">
      <c r="C311" s="4" t="s">
        <v>70</v>
      </c>
      <c r="D311" s="56" t="s">
        <v>70</v>
      </c>
      <c r="E311" s="56" t="s">
        <v>70</v>
      </c>
      <c r="F311" s="56" t="s">
        <v>70</v>
      </c>
      <c r="G311" s="56" t="s">
        <v>70</v>
      </c>
      <c r="H311" s="4"/>
    </row>
    <row r="312">
      <c r="C312" s="4" t="s">
        <v>70</v>
      </c>
      <c r="D312" s="56" t="s">
        <v>70</v>
      </c>
      <c r="E312" s="56" t="s">
        <v>70</v>
      </c>
      <c r="F312" s="56" t="s">
        <v>70</v>
      </c>
      <c r="G312" s="56" t="s">
        <v>70</v>
      </c>
      <c r="H312" s="4"/>
    </row>
    <row r="313">
      <c r="C313" s="4" t="s">
        <v>70</v>
      </c>
      <c r="D313" s="56" t="s">
        <v>70</v>
      </c>
      <c r="E313" s="56" t="s">
        <v>70</v>
      </c>
      <c r="F313" s="56" t="s">
        <v>70</v>
      </c>
      <c r="G313" s="56" t="s">
        <v>70</v>
      </c>
      <c r="H313" s="4"/>
    </row>
    <row r="314">
      <c r="C314" s="4" t="s">
        <v>70</v>
      </c>
      <c r="D314" s="56" t="s">
        <v>70</v>
      </c>
      <c r="E314" s="56" t="s">
        <v>70</v>
      </c>
      <c r="F314" s="56" t="s">
        <v>70</v>
      </c>
      <c r="G314" s="56" t="s">
        <v>70</v>
      </c>
      <c r="H314" s="4"/>
    </row>
    <row r="315">
      <c r="C315" s="4" t="s">
        <v>70</v>
      </c>
      <c r="D315" s="56" t="s">
        <v>70</v>
      </c>
      <c r="E315" s="56" t="s">
        <v>70</v>
      </c>
      <c r="F315" s="56" t="s">
        <v>70</v>
      </c>
      <c r="G315" s="56" t="s">
        <v>70</v>
      </c>
      <c r="H315" s="4"/>
    </row>
    <row r="316">
      <c r="C316" s="4" t="s">
        <v>70</v>
      </c>
      <c r="D316" s="56" t="s">
        <v>70</v>
      </c>
      <c r="E316" s="56" t="s">
        <v>70</v>
      </c>
      <c r="F316" s="56" t="s">
        <v>70</v>
      </c>
      <c r="G316" s="56" t="s">
        <v>70</v>
      </c>
      <c r="H316" s="4"/>
    </row>
    <row r="317">
      <c r="C317" s="4" t="s">
        <v>70</v>
      </c>
      <c r="D317" s="56" t="s">
        <v>70</v>
      </c>
      <c r="E317" s="56" t="s">
        <v>70</v>
      </c>
      <c r="F317" s="56" t="s">
        <v>70</v>
      </c>
      <c r="G317" s="56" t="s">
        <v>70</v>
      </c>
      <c r="H317" s="4"/>
    </row>
    <row r="318">
      <c r="C318" s="4" t="s">
        <v>70</v>
      </c>
      <c r="D318" s="56" t="s">
        <v>70</v>
      </c>
      <c r="E318" s="56" t="s">
        <v>70</v>
      </c>
      <c r="F318" s="56" t="s">
        <v>70</v>
      </c>
      <c r="G318" s="56" t="s">
        <v>70</v>
      </c>
      <c r="H318" s="4"/>
    </row>
    <row r="319">
      <c r="C319" s="4" t="s">
        <v>70</v>
      </c>
      <c r="D319" s="56" t="s">
        <v>70</v>
      </c>
      <c r="E319" s="56" t="s">
        <v>70</v>
      </c>
      <c r="F319" s="56" t="s">
        <v>70</v>
      </c>
      <c r="G319" s="56" t="s">
        <v>70</v>
      </c>
      <c r="H319" s="4"/>
    </row>
    <row r="320">
      <c r="C320" s="4" t="s">
        <v>70</v>
      </c>
      <c r="D320" s="56" t="s">
        <v>70</v>
      </c>
      <c r="E320" s="56" t="s">
        <v>70</v>
      </c>
      <c r="F320" s="56" t="s">
        <v>70</v>
      </c>
      <c r="G320" s="56" t="s">
        <v>70</v>
      </c>
      <c r="H320" s="4"/>
    </row>
    <row r="321">
      <c r="C321" s="4" t="s">
        <v>70</v>
      </c>
      <c r="D321" s="56" t="s">
        <v>70</v>
      </c>
      <c r="E321" s="56" t="s">
        <v>70</v>
      </c>
      <c r="F321" s="56" t="s">
        <v>70</v>
      </c>
      <c r="G321" s="56" t="s">
        <v>70</v>
      </c>
      <c r="H321" s="4"/>
    </row>
    <row r="322">
      <c r="C322" s="4" t="s">
        <v>70</v>
      </c>
      <c r="D322" s="56" t="s">
        <v>70</v>
      </c>
      <c r="E322" s="56" t="s">
        <v>70</v>
      </c>
      <c r="F322" s="56" t="s">
        <v>70</v>
      </c>
      <c r="G322" s="56" t="s">
        <v>70</v>
      </c>
      <c r="H322" s="4"/>
    </row>
    <row r="323">
      <c r="C323" s="4" t="s">
        <v>70</v>
      </c>
      <c r="D323" s="56" t="s">
        <v>70</v>
      </c>
      <c r="E323" s="56" t="s">
        <v>70</v>
      </c>
      <c r="F323" s="56" t="s">
        <v>70</v>
      </c>
      <c r="G323" s="56" t="s">
        <v>70</v>
      </c>
      <c r="H323" s="4"/>
    </row>
    <row r="324">
      <c r="C324" s="4" t="s">
        <v>70</v>
      </c>
      <c r="D324" s="56" t="s">
        <v>70</v>
      </c>
      <c r="E324" s="56" t="s">
        <v>70</v>
      </c>
      <c r="F324" s="56" t="s">
        <v>70</v>
      </c>
      <c r="G324" s="56" t="s">
        <v>70</v>
      </c>
      <c r="H324" s="4"/>
    </row>
    <row r="325">
      <c r="C325" s="4" t="s">
        <v>70</v>
      </c>
      <c r="D325" s="56" t="s">
        <v>70</v>
      </c>
      <c r="E325" s="56" t="s">
        <v>70</v>
      </c>
      <c r="F325" s="56" t="s">
        <v>70</v>
      </c>
      <c r="G325" s="56" t="s">
        <v>70</v>
      </c>
      <c r="H325" s="4"/>
    </row>
    <row r="326">
      <c r="C326" s="4" t="s">
        <v>70</v>
      </c>
      <c r="D326" s="56" t="s">
        <v>70</v>
      </c>
      <c r="E326" s="56" t="s">
        <v>70</v>
      </c>
      <c r="F326" s="56" t="s">
        <v>70</v>
      </c>
      <c r="G326" s="56" t="s">
        <v>70</v>
      </c>
      <c r="H326" s="4"/>
    </row>
    <row r="327">
      <c r="C327" s="4" t="s">
        <v>70</v>
      </c>
      <c r="D327" s="56" t="s">
        <v>70</v>
      </c>
      <c r="E327" s="56" t="s">
        <v>70</v>
      </c>
      <c r="F327" s="56" t="s">
        <v>70</v>
      </c>
      <c r="G327" s="56" t="s">
        <v>70</v>
      </c>
      <c r="H327" s="4"/>
    </row>
    <row r="328">
      <c r="C328" s="4" t="s">
        <v>70</v>
      </c>
      <c r="D328" s="56" t="s">
        <v>70</v>
      </c>
      <c r="E328" s="56" t="s">
        <v>70</v>
      </c>
      <c r="F328" s="56" t="s">
        <v>70</v>
      </c>
      <c r="G328" s="56" t="s">
        <v>70</v>
      </c>
      <c r="H328" s="4"/>
    </row>
    <row r="329">
      <c r="C329" s="4" t="s">
        <v>70</v>
      </c>
      <c r="D329" s="56" t="s">
        <v>70</v>
      </c>
      <c r="E329" s="56" t="s">
        <v>70</v>
      </c>
      <c r="F329" s="56" t="s">
        <v>70</v>
      </c>
      <c r="G329" s="56" t="s">
        <v>70</v>
      </c>
      <c r="H329" s="4"/>
    </row>
    <row r="330">
      <c r="C330" s="4" t="s">
        <v>70</v>
      </c>
      <c r="D330" s="56" t="s">
        <v>70</v>
      </c>
      <c r="E330" s="56" t="s">
        <v>70</v>
      </c>
      <c r="F330" s="56" t="s">
        <v>70</v>
      </c>
      <c r="G330" s="56" t="s">
        <v>70</v>
      </c>
      <c r="H330" s="4"/>
    </row>
    <row r="331">
      <c r="C331" s="4" t="s">
        <v>70</v>
      </c>
      <c r="D331" s="56" t="s">
        <v>70</v>
      </c>
      <c r="E331" s="56" t="s">
        <v>70</v>
      </c>
      <c r="F331" s="56" t="s">
        <v>70</v>
      </c>
      <c r="G331" s="56" t="s">
        <v>70</v>
      </c>
      <c r="H331" s="4"/>
    </row>
    <row r="332">
      <c r="C332" s="4" t="s">
        <v>70</v>
      </c>
      <c r="D332" s="56" t="s">
        <v>70</v>
      </c>
      <c r="E332" s="56" t="s">
        <v>70</v>
      </c>
      <c r="F332" s="56" t="s">
        <v>70</v>
      </c>
      <c r="G332" s="56" t="s">
        <v>70</v>
      </c>
      <c r="H332" s="4"/>
    </row>
    <row r="333">
      <c r="C333" s="4" t="s">
        <v>70</v>
      </c>
      <c r="D333" s="56" t="s">
        <v>70</v>
      </c>
      <c r="E333" s="56" t="s">
        <v>70</v>
      </c>
      <c r="F333" s="56" t="s">
        <v>70</v>
      </c>
      <c r="G333" s="56" t="s">
        <v>70</v>
      </c>
      <c r="H333" s="4"/>
    </row>
    <row r="334">
      <c r="C334" s="4" t="s">
        <v>70</v>
      </c>
      <c r="D334" s="56" t="s">
        <v>70</v>
      </c>
      <c r="E334" s="56" t="s">
        <v>70</v>
      </c>
      <c r="F334" s="56" t="s">
        <v>70</v>
      </c>
      <c r="G334" s="56" t="s">
        <v>70</v>
      </c>
      <c r="H334" s="4"/>
    </row>
    <row r="335">
      <c r="C335" s="4" t="s">
        <v>70</v>
      </c>
      <c r="D335" s="56" t="s">
        <v>70</v>
      </c>
      <c r="E335" s="56" t="s">
        <v>70</v>
      </c>
      <c r="F335" s="56" t="s">
        <v>70</v>
      </c>
      <c r="G335" s="56" t="s">
        <v>70</v>
      </c>
      <c r="H335" s="4"/>
    </row>
    <row r="336">
      <c r="C336" s="4" t="s">
        <v>70</v>
      </c>
      <c r="D336" s="56" t="s">
        <v>70</v>
      </c>
      <c r="E336" s="56" t="s">
        <v>70</v>
      </c>
      <c r="F336" s="56" t="s">
        <v>70</v>
      </c>
      <c r="G336" s="56" t="s">
        <v>70</v>
      </c>
      <c r="H336" s="4"/>
    </row>
    <row r="337">
      <c r="C337" s="4" t="s">
        <v>70</v>
      </c>
      <c r="D337" s="56" t="s">
        <v>70</v>
      </c>
      <c r="E337" s="56" t="s">
        <v>70</v>
      </c>
      <c r="F337" s="56" t="s">
        <v>70</v>
      </c>
      <c r="G337" s="56" t="s">
        <v>70</v>
      </c>
      <c r="H337" s="4"/>
    </row>
    <row r="338">
      <c r="C338" s="4" t="s">
        <v>70</v>
      </c>
      <c r="D338" s="56" t="s">
        <v>70</v>
      </c>
      <c r="E338" s="56" t="s">
        <v>70</v>
      </c>
      <c r="F338" s="56" t="s">
        <v>70</v>
      </c>
      <c r="G338" s="56" t="s">
        <v>70</v>
      </c>
      <c r="H338" s="4"/>
    </row>
    <row r="339">
      <c r="C339" s="4" t="s">
        <v>70</v>
      </c>
      <c r="D339" s="56" t="s">
        <v>70</v>
      </c>
      <c r="E339" s="56" t="s">
        <v>70</v>
      </c>
      <c r="F339" s="56" t="s">
        <v>70</v>
      </c>
      <c r="G339" s="56" t="s">
        <v>70</v>
      </c>
      <c r="H339" s="4"/>
    </row>
    <row r="340">
      <c r="C340" s="4" t="s">
        <v>70</v>
      </c>
      <c r="D340" s="56" t="s">
        <v>70</v>
      </c>
      <c r="E340" s="56" t="s">
        <v>70</v>
      </c>
      <c r="F340" s="56" t="s">
        <v>70</v>
      </c>
      <c r="G340" s="56" t="s">
        <v>70</v>
      </c>
      <c r="H340" s="4"/>
    </row>
    <row r="341">
      <c r="C341" s="4" t="s">
        <v>70</v>
      </c>
      <c r="D341" s="56" t="s">
        <v>70</v>
      </c>
      <c r="E341" s="56" t="s">
        <v>70</v>
      </c>
      <c r="F341" s="56" t="s">
        <v>70</v>
      </c>
      <c r="G341" s="56" t="s">
        <v>70</v>
      </c>
      <c r="H341" s="4"/>
    </row>
    <row r="342">
      <c r="C342" s="4" t="s">
        <v>70</v>
      </c>
      <c r="D342" s="56" t="s">
        <v>70</v>
      </c>
      <c r="E342" s="56" t="s">
        <v>70</v>
      </c>
      <c r="F342" s="56" t="s">
        <v>70</v>
      </c>
      <c r="G342" s="56" t="s">
        <v>70</v>
      </c>
      <c r="H342" s="4"/>
    </row>
    <row r="343">
      <c r="C343" s="4" t="s">
        <v>70</v>
      </c>
      <c r="D343" s="56" t="s">
        <v>70</v>
      </c>
      <c r="E343" s="56" t="s">
        <v>70</v>
      </c>
      <c r="F343" s="56" t="s">
        <v>70</v>
      </c>
      <c r="G343" s="56" t="s">
        <v>70</v>
      </c>
      <c r="H343" s="4"/>
    </row>
    <row r="344">
      <c r="C344" s="4" t="s">
        <v>70</v>
      </c>
      <c r="D344" s="56" t="s">
        <v>70</v>
      </c>
      <c r="E344" s="56" t="s">
        <v>70</v>
      </c>
      <c r="F344" s="56" t="s">
        <v>70</v>
      </c>
      <c r="G344" s="56" t="s">
        <v>70</v>
      </c>
      <c r="H344" s="4"/>
    </row>
    <row r="345">
      <c r="C345" s="4" t="s">
        <v>70</v>
      </c>
      <c r="D345" s="56" t="s">
        <v>70</v>
      </c>
      <c r="E345" s="56" t="s">
        <v>70</v>
      </c>
      <c r="F345" s="56" t="s">
        <v>70</v>
      </c>
      <c r="G345" s="56" t="s">
        <v>70</v>
      </c>
      <c r="H345" s="4"/>
    </row>
    <row r="346">
      <c r="C346" s="4" t="s">
        <v>70</v>
      </c>
      <c r="D346" s="56" t="s">
        <v>70</v>
      </c>
      <c r="E346" s="56" t="s">
        <v>70</v>
      </c>
      <c r="F346" s="56" t="s">
        <v>70</v>
      </c>
      <c r="G346" s="56" t="s">
        <v>70</v>
      </c>
      <c r="H346" s="4"/>
    </row>
    <row r="347">
      <c r="C347" s="4" t="s">
        <v>70</v>
      </c>
      <c r="D347" s="56" t="s">
        <v>70</v>
      </c>
      <c r="E347" s="56" t="s">
        <v>70</v>
      </c>
      <c r="F347" s="56" t="s">
        <v>70</v>
      </c>
      <c r="G347" s="56" t="s">
        <v>70</v>
      </c>
      <c r="H347" s="4"/>
    </row>
    <row r="348">
      <c r="C348" s="4" t="s">
        <v>70</v>
      </c>
      <c r="D348" s="56" t="s">
        <v>70</v>
      </c>
      <c r="E348" s="56" t="s">
        <v>70</v>
      </c>
      <c r="F348" s="56" t="s">
        <v>70</v>
      </c>
      <c r="G348" s="56" t="s">
        <v>70</v>
      </c>
      <c r="H348" s="4"/>
    </row>
    <row r="349">
      <c r="C349" s="4" t="s">
        <v>70</v>
      </c>
      <c r="D349" s="56" t="s">
        <v>70</v>
      </c>
      <c r="E349" s="56" t="s">
        <v>70</v>
      </c>
      <c r="F349" s="56" t="s">
        <v>70</v>
      </c>
      <c r="G349" s="56" t="s">
        <v>70</v>
      </c>
      <c r="H349" s="4"/>
    </row>
    <row r="350">
      <c r="C350" s="4" t="s">
        <v>70</v>
      </c>
      <c r="D350" s="56" t="s">
        <v>70</v>
      </c>
      <c r="E350" s="56" t="s">
        <v>70</v>
      </c>
      <c r="F350" s="56" t="s">
        <v>70</v>
      </c>
      <c r="G350" s="56" t="s">
        <v>70</v>
      </c>
      <c r="H350" s="4"/>
    </row>
    <row r="351">
      <c r="C351" s="4" t="s">
        <v>70</v>
      </c>
      <c r="D351" s="56" t="s">
        <v>70</v>
      </c>
      <c r="E351" s="56" t="s">
        <v>70</v>
      </c>
      <c r="F351" s="56" t="s">
        <v>70</v>
      </c>
      <c r="G351" s="56" t="s">
        <v>70</v>
      </c>
      <c r="H351" s="4"/>
    </row>
    <row r="352">
      <c r="C352" s="4" t="s">
        <v>70</v>
      </c>
      <c r="D352" s="56" t="s">
        <v>70</v>
      </c>
      <c r="E352" s="56" t="s">
        <v>70</v>
      </c>
      <c r="F352" s="56" t="s">
        <v>70</v>
      </c>
      <c r="G352" s="56" t="s">
        <v>70</v>
      </c>
      <c r="H352" s="4"/>
    </row>
    <row r="353">
      <c r="C353" s="4" t="s">
        <v>70</v>
      </c>
      <c r="D353" s="56" t="s">
        <v>70</v>
      </c>
      <c r="E353" s="56" t="s">
        <v>70</v>
      </c>
      <c r="F353" s="56" t="s">
        <v>70</v>
      </c>
      <c r="G353" s="56" t="s">
        <v>70</v>
      </c>
      <c r="H353" s="4"/>
    </row>
    <row r="354">
      <c r="C354" s="4" t="s">
        <v>70</v>
      </c>
      <c r="D354" s="56" t="s">
        <v>70</v>
      </c>
      <c r="E354" s="56" t="s">
        <v>70</v>
      </c>
      <c r="F354" s="56" t="s">
        <v>70</v>
      </c>
      <c r="G354" s="56" t="s">
        <v>70</v>
      </c>
      <c r="H354" s="4"/>
    </row>
    <row r="355">
      <c r="C355" s="4" t="s">
        <v>70</v>
      </c>
      <c r="D355" s="56" t="s">
        <v>70</v>
      </c>
      <c r="E355" s="56" t="s">
        <v>70</v>
      </c>
      <c r="F355" s="56" t="s">
        <v>70</v>
      </c>
      <c r="G355" s="56" t="s">
        <v>70</v>
      </c>
      <c r="H355" s="4"/>
    </row>
    <row r="356">
      <c r="C356" s="4" t="s">
        <v>70</v>
      </c>
      <c r="D356" s="56" t="s">
        <v>70</v>
      </c>
      <c r="E356" s="56" t="s">
        <v>70</v>
      </c>
      <c r="F356" s="56" t="s">
        <v>70</v>
      </c>
      <c r="G356" s="56" t="s">
        <v>70</v>
      </c>
      <c r="H356" s="4"/>
    </row>
    <row r="357">
      <c r="C357" s="4" t="s">
        <v>70</v>
      </c>
      <c r="D357" s="56" t="s">
        <v>70</v>
      </c>
      <c r="E357" s="56" t="s">
        <v>70</v>
      </c>
      <c r="F357" s="56" t="s">
        <v>70</v>
      </c>
      <c r="G357" s="56" t="s">
        <v>70</v>
      </c>
      <c r="H357" s="4"/>
    </row>
    <row r="358">
      <c r="C358" s="4" t="s">
        <v>70</v>
      </c>
      <c r="D358" s="56" t="s">
        <v>70</v>
      </c>
      <c r="E358" s="56" t="s">
        <v>70</v>
      </c>
      <c r="F358" s="56" t="s">
        <v>70</v>
      </c>
      <c r="G358" s="56" t="s">
        <v>70</v>
      </c>
      <c r="H358" s="4"/>
    </row>
    <row r="359">
      <c r="C359" s="4" t="s">
        <v>70</v>
      </c>
      <c r="D359" s="56" t="s">
        <v>70</v>
      </c>
      <c r="E359" s="56" t="s">
        <v>70</v>
      </c>
      <c r="F359" s="56" t="s">
        <v>70</v>
      </c>
      <c r="G359" s="56" t="s">
        <v>70</v>
      </c>
      <c r="H359" s="4"/>
    </row>
    <row r="360">
      <c r="C360" s="4" t="s">
        <v>70</v>
      </c>
      <c r="D360" s="56" t="s">
        <v>70</v>
      </c>
      <c r="E360" s="56" t="s">
        <v>70</v>
      </c>
      <c r="F360" s="56" t="s">
        <v>70</v>
      </c>
      <c r="G360" s="56" t="s">
        <v>70</v>
      </c>
      <c r="H360" s="4"/>
    </row>
    <row r="361">
      <c r="C361" s="4" t="s">
        <v>70</v>
      </c>
      <c r="D361" s="56" t="s">
        <v>70</v>
      </c>
      <c r="E361" s="56" t="s">
        <v>70</v>
      </c>
      <c r="F361" s="56" t="s">
        <v>70</v>
      </c>
      <c r="G361" s="56" t="s">
        <v>70</v>
      </c>
      <c r="H361" s="4"/>
    </row>
    <row r="362">
      <c r="C362" s="4" t="s">
        <v>70</v>
      </c>
      <c r="D362" s="56" t="s">
        <v>70</v>
      </c>
      <c r="E362" s="56" t="s">
        <v>70</v>
      </c>
      <c r="F362" s="56" t="s">
        <v>70</v>
      </c>
      <c r="G362" s="56" t="s">
        <v>70</v>
      </c>
      <c r="H362" s="4"/>
    </row>
    <row r="363">
      <c r="C363" s="4" t="s">
        <v>70</v>
      </c>
      <c r="D363" s="56" t="s">
        <v>70</v>
      </c>
      <c r="E363" s="56" t="s">
        <v>70</v>
      </c>
      <c r="F363" s="56" t="s">
        <v>70</v>
      </c>
      <c r="G363" s="56" t="s">
        <v>70</v>
      </c>
      <c r="H363" s="4"/>
    </row>
    <row r="364">
      <c r="C364" s="4" t="s">
        <v>70</v>
      </c>
      <c r="D364" s="56" t="s">
        <v>70</v>
      </c>
      <c r="E364" s="56" t="s">
        <v>70</v>
      </c>
      <c r="F364" s="56" t="s">
        <v>70</v>
      </c>
      <c r="G364" s="56" t="s">
        <v>70</v>
      </c>
      <c r="H364" s="4"/>
    </row>
    <row r="365">
      <c r="C365" s="4" t="s">
        <v>70</v>
      </c>
      <c r="D365" s="56" t="s">
        <v>70</v>
      </c>
      <c r="E365" s="56" t="s">
        <v>70</v>
      </c>
      <c r="F365" s="56" t="s">
        <v>70</v>
      </c>
      <c r="G365" s="56" t="s">
        <v>70</v>
      </c>
      <c r="H365" s="4"/>
    </row>
    <row r="366">
      <c r="C366" s="4" t="s">
        <v>70</v>
      </c>
      <c r="D366" s="56" t="s">
        <v>70</v>
      </c>
      <c r="E366" s="56" t="s">
        <v>70</v>
      </c>
      <c r="F366" s="56" t="s">
        <v>70</v>
      </c>
      <c r="G366" s="56" t="s">
        <v>70</v>
      </c>
      <c r="H366" s="4"/>
    </row>
    <row r="367">
      <c r="C367" s="4" t="s">
        <v>70</v>
      </c>
      <c r="D367" s="56" t="s">
        <v>70</v>
      </c>
      <c r="E367" s="56" t="s">
        <v>70</v>
      </c>
      <c r="F367" s="56" t="s">
        <v>70</v>
      </c>
      <c r="G367" s="56" t="s">
        <v>70</v>
      </c>
      <c r="H367" s="4"/>
    </row>
    <row r="368">
      <c r="C368" s="4" t="s">
        <v>70</v>
      </c>
      <c r="D368" s="56" t="s">
        <v>70</v>
      </c>
      <c r="E368" s="56" t="s">
        <v>70</v>
      </c>
      <c r="F368" s="56" t="s">
        <v>70</v>
      </c>
      <c r="G368" s="56" t="s">
        <v>70</v>
      </c>
      <c r="H368" s="4"/>
    </row>
    <row r="369">
      <c r="C369" s="4" t="s">
        <v>70</v>
      </c>
      <c r="D369" s="56" t="s">
        <v>70</v>
      </c>
      <c r="E369" s="56" t="s">
        <v>70</v>
      </c>
      <c r="F369" s="56" t="s">
        <v>70</v>
      </c>
      <c r="G369" s="56" t="s">
        <v>70</v>
      </c>
      <c r="H369" s="4"/>
    </row>
    <row r="370">
      <c r="C370" s="4" t="s">
        <v>70</v>
      </c>
      <c r="D370" s="56" t="s">
        <v>70</v>
      </c>
      <c r="E370" s="56" t="s">
        <v>70</v>
      </c>
      <c r="F370" s="56" t="s">
        <v>70</v>
      </c>
      <c r="G370" s="56" t="s">
        <v>70</v>
      </c>
      <c r="H370" s="4"/>
    </row>
    <row r="371">
      <c r="C371" s="4" t="s">
        <v>70</v>
      </c>
      <c r="D371" s="56" t="s">
        <v>70</v>
      </c>
      <c r="E371" s="56" t="s">
        <v>70</v>
      </c>
      <c r="F371" s="56" t="s">
        <v>70</v>
      </c>
      <c r="G371" s="56" t="s">
        <v>70</v>
      </c>
      <c r="H371" s="4"/>
    </row>
    <row r="372">
      <c r="C372" s="4" t="s">
        <v>70</v>
      </c>
      <c r="D372" s="56" t="s">
        <v>70</v>
      </c>
      <c r="E372" s="56" t="s">
        <v>70</v>
      </c>
      <c r="F372" s="56" t="s">
        <v>70</v>
      </c>
      <c r="G372" s="56" t="s">
        <v>70</v>
      </c>
      <c r="H372" s="4"/>
    </row>
    <row r="373">
      <c r="C373" s="4" t="s">
        <v>70</v>
      </c>
      <c r="D373" s="56" t="s">
        <v>70</v>
      </c>
      <c r="E373" s="56" t="s">
        <v>70</v>
      </c>
      <c r="F373" s="56" t="s">
        <v>70</v>
      </c>
      <c r="G373" s="56" t="s">
        <v>70</v>
      </c>
      <c r="H373" s="4"/>
    </row>
    <row r="374">
      <c r="C374" s="4" t="s">
        <v>70</v>
      </c>
      <c r="D374" s="56" t="s">
        <v>70</v>
      </c>
      <c r="E374" s="56" t="s">
        <v>70</v>
      </c>
      <c r="F374" s="56" t="s">
        <v>70</v>
      </c>
      <c r="G374" s="56" t="s">
        <v>70</v>
      </c>
      <c r="H374" s="4"/>
    </row>
    <row r="375">
      <c r="C375" s="4" t="s">
        <v>70</v>
      </c>
      <c r="D375" s="56" t="s">
        <v>70</v>
      </c>
      <c r="E375" s="56" t="s">
        <v>70</v>
      </c>
      <c r="F375" s="56" t="s">
        <v>70</v>
      </c>
      <c r="G375" s="56" t="s">
        <v>70</v>
      </c>
      <c r="H375" s="4"/>
    </row>
    <row r="376">
      <c r="C376" s="4" t="s">
        <v>70</v>
      </c>
      <c r="D376" s="56" t="s">
        <v>70</v>
      </c>
      <c r="E376" s="56" t="s">
        <v>70</v>
      </c>
      <c r="F376" s="56" t="s">
        <v>70</v>
      </c>
      <c r="G376" s="56" t="s">
        <v>70</v>
      </c>
      <c r="H376" s="4"/>
    </row>
    <row r="377">
      <c r="C377" s="4" t="s">
        <v>70</v>
      </c>
      <c r="D377" s="56" t="s">
        <v>70</v>
      </c>
      <c r="E377" s="56" t="s">
        <v>70</v>
      </c>
      <c r="F377" s="56" t="s">
        <v>70</v>
      </c>
      <c r="G377" s="56" t="s">
        <v>70</v>
      </c>
      <c r="H377" s="4"/>
    </row>
    <row r="378">
      <c r="C378" s="4" t="s">
        <v>70</v>
      </c>
      <c r="D378" s="56" t="s">
        <v>70</v>
      </c>
      <c r="E378" s="56" t="s">
        <v>70</v>
      </c>
      <c r="F378" s="56" t="s">
        <v>70</v>
      </c>
      <c r="G378" s="56" t="s">
        <v>70</v>
      </c>
      <c r="H378" s="4"/>
    </row>
    <row r="379">
      <c r="C379" s="4" t="s">
        <v>70</v>
      </c>
      <c r="D379" s="56" t="s">
        <v>70</v>
      </c>
      <c r="E379" s="56" t="s">
        <v>70</v>
      </c>
      <c r="F379" s="56" t="s">
        <v>70</v>
      </c>
      <c r="G379" s="56" t="s">
        <v>70</v>
      </c>
      <c r="H379" s="4"/>
    </row>
    <row r="380">
      <c r="C380" s="4" t="s">
        <v>70</v>
      </c>
      <c r="D380" s="56" t="s">
        <v>70</v>
      </c>
      <c r="E380" s="56" t="s">
        <v>70</v>
      </c>
      <c r="F380" s="56" t="s">
        <v>70</v>
      </c>
      <c r="G380" s="56" t="s">
        <v>70</v>
      </c>
      <c r="H380" s="4"/>
    </row>
    <row r="381">
      <c r="C381" s="4" t="s">
        <v>70</v>
      </c>
      <c r="D381" s="56" t="s">
        <v>70</v>
      </c>
      <c r="E381" s="56" t="s">
        <v>70</v>
      </c>
      <c r="F381" s="56" t="s">
        <v>70</v>
      </c>
      <c r="G381" s="56" t="s">
        <v>70</v>
      </c>
      <c r="H381" s="4"/>
    </row>
    <row r="382">
      <c r="C382" s="4" t="s">
        <v>70</v>
      </c>
      <c r="D382" s="56" t="s">
        <v>70</v>
      </c>
      <c r="E382" s="56" t="s">
        <v>70</v>
      </c>
      <c r="F382" s="56" t="s">
        <v>70</v>
      </c>
      <c r="G382" s="56" t="s">
        <v>70</v>
      </c>
      <c r="H382" s="4"/>
    </row>
    <row r="383">
      <c r="C383" s="4" t="s">
        <v>70</v>
      </c>
      <c r="D383" s="56" t="s">
        <v>70</v>
      </c>
      <c r="E383" s="56" t="s">
        <v>70</v>
      </c>
      <c r="F383" s="56" t="s">
        <v>70</v>
      </c>
      <c r="G383" s="56" t="s">
        <v>70</v>
      </c>
      <c r="H383" s="4"/>
    </row>
    <row r="384">
      <c r="C384" s="4" t="s">
        <v>70</v>
      </c>
      <c r="D384" s="56" t="s">
        <v>70</v>
      </c>
      <c r="E384" s="56" t="s">
        <v>70</v>
      </c>
      <c r="F384" s="56" t="s">
        <v>70</v>
      </c>
      <c r="G384" s="56" t="s">
        <v>70</v>
      </c>
      <c r="H384" s="4"/>
    </row>
    <row r="385">
      <c r="C385" s="4" t="s">
        <v>70</v>
      </c>
      <c r="D385" s="56" t="s">
        <v>70</v>
      </c>
      <c r="E385" s="56" t="s">
        <v>70</v>
      </c>
      <c r="F385" s="56" t="s">
        <v>70</v>
      </c>
      <c r="G385" s="56" t="s">
        <v>70</v>
      </c>
      <c r="H385" s="4"/>
    </row>
    <row r="386">
      <c r="C386" s="4" t="s">
        <v>70</v>
      </c>
      <c r="D386" s="56" t="s">
        <v>70</v>
      </c>
      <c r="E386" s="56" t="s">
        <v>70</v>
      </c>
      <c r="F386" s="56" t="s">
        <v>70</v>
      </c>
      <c r="G386" s="56" t="s">
        <v>70</v>
      </c>
      <c r="H386" s="4"/>
    </row>
    <row r="387">
      <c r="C387" s="4" t="s">
        <v>70</v>
      </c>
      <c r="D387" s="56" t="s">
        <v>70</v>
      </c>
      <c r="E387" s="56" t="s">
        <v>70</v>
      </c>
      <c r="F387" s="56" t="s">
        <v>70</v>
      </c>
      <c r="G387" s="56" t="s">
        <v>70</v>
      </c>
      <c r="H387" s="4"/>
    </row>
    <row r="388">
      <c r="C388" s="4" t="s">
        <v>70</v>
      </c>
      <c r="D388" s="56" t="s">
        <v>70</v>
      </c>
      <c r="E388" s="56" t="s">
        <v>70</v>
      </c>
      <c r="F388" s="56" t="s">
        <v>70</v>
      </c>
      <c r="G388" s="56" t="s">
        <v>70</v>
      </c>
      <c r="H388" s="4"/>
    </row>
    <row r="389">
      <c r="C389" s="4" t="s">
        <v>70</v>
      </c>
      <c r="D389" s="56" t="s">
        <v>70</v>
      </c>
      <c r="E389" s="56" t="s">
        <v>70</v>
      </c>
      <c r="F389" s="56" t="s">
        <v>70</v>
      </c>
      <c r="G389" s="56" t="s">
        <v>70</v>
      </c>
      <c r="H389" s="4"/>
    </row>
    <row r="390">
      <c r="C390" s="4" t="s">
        <v>70</v>
      </c>
      <c r="D390" s="56" t="s">
        <v>70</v>
      </c>
      <c r="E390" s="56" t="s">
        <v>70</v>
      </c>
      <c r="F390" s="56" t="s">
        <v>70</v>
      </c>
      <c r="G390" s="56" t="s">
        <v>70</v>
      </c>
      <c r="H390" s="4"/>
    </row>
    <row r="391">
      <c r="C391" s="4" t="s">
        <v>70</v>
      </c>
      <c r="D391" s="56" t="s">
        <v>70</v>
      </c>
      <c r="E391" s="56" t="s">
        <v>70</v>
      </c>
      <c r="F391" s="56" t="s">
        <v>70</v>
      </c>
      <c r="G391" s="56" t="s">
        <v>70</v>
      </c>
      <c r="H391" s="4"/>
    </row>
    <row r="392">
      <c r="C392" s="4" t="s">
        <v>70</v>
      </c>
      <c r="D392" s="56" t="s">
        <v>70</v>
      </c>
      <c r="E392" s="56" t="s">
        <v>70</v>
      </c>
      <c r="F392" s="56" t="s">
        <v>70</v>
      </c>
      <c r="G392" s="56" t="s">
        <v>70</v>
      </c>
      <c r="H392" s="4"/>
    </row>
    <row r="393">
      <c r="C393" s="4" t="s">
        <v>70</v>
      </c>
      <c r="D393" s="56" t="s">
        <v>70</v>
      </c>
      <c r="E393" s="56" t="s">
        <v>70</v>
      </c>
      <c r="F393" s="56" t="s">
        <v>70</v>
      </c>
      <c r="G393" s="56" t="s">
        <v>70</v>
      </c>
      <c r="H393" s="4"/>
    </row>
    <row r="394">
      <c r="C394" s="4" t="s">
        <v>70</v>
      </c>
      <c r="D394" s="56" t="s">
        <v>70</v>
      </c>
      <c r="E394" s="56" t="s">
        <v>70</v>
      </c>
      <c r="F394" s="56" t="s">
        <v>70</v>
      </c>
      <c r="G394" s="56" t="s">
        <v>70</v>
      </c>
      <c r="H394" s="4"/>
    </row>
    <row r="395">
      <c r="C395" s="4" t="s">
        <v>70</v>
      </c>
      <c r="D395" s="56" t="s">
        <v>70</v>
      </c>
      <c r="E395" s="56" t="s">
        <v>70</v>
      </c>
      <c r="F395" s="56" t="s">
        <v>70</v>
      </c>
      <c r="G395" s="56" t="s">
        <v>70</v>
      </c>
      <c r="H395" s="4"/>
    </row>
    <row r="396">
      <c r="C396" s="4" t="s">
        <v>70</v>
      </c>
      <c r="D396" s="56" t="s">
        <v>70</v>
      </c>
      <c r="E396" s="56" t="s">
        <v>70</v>
      </c>
      <c r="F396" s="56" t="s">
        <v>70</v>
      </c>
      <c r="G396" s="56" t="s">
        <v>70</v>
      </c>
      <c r="H396" s="4"/>
    </row>
    <row r="397">
      <c r="C397" s="4" t="s">
        <v>70</v>
      </c>
      <c r="D397" s="56" t="s">
        <v>70</v>
      </c>
      <c r="E397" s="56" t="s">
        <v>70</v>
      </c>
      <c r="F397" s="56" t="s">
        <v>70</v>
      </c>
      <c r="G397" s="56" t="s">
        <v>70</v>
      </c>
      <c r="H397" s="4"/>
    </row>
    <row r="398">
      <c r="C398" s="4" t="s">
        <v>70</v>
      </c>
      <c r="D398" s="56" t="s">
        <v>70</v>
      </c>
      <c r="E398" s="56" t="s">
        <v>70</v>
      </c>
      <c r="F398" s="56" t="s">
        <v>70</v>
      </c>
      <c r="G398" s="56" t="s">
        <v>70</v>
      </c>
      <c r="H398" s="4"/>
    </row>
    <row r="399">
      <c r="C399" s="4" t="s">
        <v>70</v>
      </c>
      <c r="D399" s="56" t="s">
        <v>70</v>
      </c>
      <c r="E399" s="56" t="s">
        <v>70</v>
      </c>
      <c r="F399" s="56" t="s">
        <v>70</v>
      </c>
      <c r="G399" s="56" t="s">
        <v>70</v>
      </c>
      <c r="H399" s="4"/>
    </row>
    <row r="400">
      <c r="C400" s="4" t="s">
        <v>70</v>
      </c>
      <c r="D400" s="56" t="s">
        <v>70</v>
      </c>
      <c r="E400" s="56" t="s">
        <v>70</v>
      </c>
      <c r="F400" s="56" t="s">
        <v>70</v>
      </c>
      <c r="G400" s="56" t="s">
        <v>70</v>
      </c>
      <c r="H400" s="4"/>
    </row>
    <row r="401">
      <c r="C401" s="4" t="s">
        <v>70</v>
      </c>
      <c r="D401" s="56" t="s">
        <v>70</v>
      </c>
      <c r="E401" s="56" t="s">
        <v>70</v>
      </c>
      <c r="F401" s="56" t="s">
        <v>70</v>
      </c>
      <c r="G401" s="56" t="s">
        <v>70</v>
      </c>
      <c r="H401" s="4"/>
    </row>
    <row r="402">
      <c r="C402" s="4" t="s">
        <v>70</v>
      </c>
      <c r="D402" s="56" t="s">
        <v>70</v>
      </c>
      <c r="E402" s="56" t="s">
        <v>70</v>
      </c>
      <c r="F402" s="56" t="s">
        <v>70</v>
      </c>
      <c r="G402" s="56" t="s">
        <v>70</v>
      </c>
      <c r="H402" s="4"/>
    </row>
    <row r="403">
      <c r="C403" s="4" t="s">
        <v>70</v>
      </c>
      <c r="D403" s="56" t="s">
        <v>70</v>
      </c>
      <c r="E403" s="56" t="s">
        <v>70</v>
      </c>
      <c r="F403" s="56" t="s">
        <v>70</v>
      </c>
      <c r="G403" s="56" t="s">
        <v>70</v>
      </c>
      <c r="H403" s="4"/>
    </row>
    <row r="404">
      <c r="C404" s="4" t="s">
        <v>70</v>
      </c>
      <c r="D404" s="56" t="s">
        <v>70</v>
      </c>
      <c r="E404" s="56" t="s">
        <v>70</v>
      </c>
      <c r="F404" s="56" t="s">
        <v>70</v>
      </c>
      <c r="G404" s="56" t="s">
        <v>70</v>
      </c>
      <c r="H404" s="4"/>
    </row>
    <row r="405">
      <c r="C405" s="4" t="s">
        <v>70</v>
      </c>
      <c r="D405" s="56" t="s">
        <v>70</v>
      </c>
      <c r="E405" s="56" t="s">
        <v>70</v>
      </c>
      <c r="F405" s="56" t="s">
        <v>70</v>
      </c>
      <c r="G405" s="56" t="s">
        <v>70</v>
      </c>
      <c r="H405" s="4"/>
    </row>
    <row r="406">
      <c r="C406" s="4" t="s">
        <v>70</v>
      </c>
      <c r="D406" s="56" t="s">
        <v>70</v>
      </c>
      <c r="E406" s="56" t="s">
        <v>70</v>
      </c>
      <c r="F406" s="56" t="s">
        <v>70</v>
      </c>
      <c r="G406" s="56" t="s">
        <v>70</v>
      </c>
      <c r="H406" s="4"/>
    </row>
    <row r="407">
      <c r="C407" s="4" t="s">
        <v>70</v>
      </c>
      <c r="D407" s="56" t="s">
        <v>70</v>
      </c>
      <c r="E407" s="56" t="s">
        <v>70</v>
      </c>
      <c r="F407" s="56" t="s">
        <v>70</v>
      </c>
      <c r="G407" s="56" t="s">
        <v>70</v>
      </c>
      <c r="H407" s="4"/>
    </row>
    <row r="408">
      <c r="C408" s="4" t="s">
        <v>70</v>
      </c>
      <c r="D408" s="56" t="s">
        <v>70</v>
      </c>
      <c r="E408" s="56" t="s">
        <v>70</v>
      </c>
      <c r="F408" s="56" t="s">
        <v>70</v>
      </c>
      <c r="G408" s="56" t="s">
        <v>70</v>
      </c>
      <c r="H408" s="4"/>
    </row>
    <row r="409">
      <c r="C409" s="4" t="s">
        <v>70</v>
      </c>
      <c r="D409" s="56" t="s">
        <v>70</v>
      </c>
      <c r="E409" s="56" t="s">
        <v>70</v>
      </c>
      <c r="F409" s="56" t="s">
        <v>70</v>
      </c>
      <c r="G409" s="56" t="s">
        <v>70</v>
      </c>
      <c r="H409" s="4"/>
    </row>
    <row r="410">
      <c r="C410" s="4" t="s">
        <v>70</v>
      </c>
      <c r="D410" s="56" t="s">
        <v>70</v>
      </c>
      <c r="E410" s="56" t="s">
        <v>70</v>
      </c>
      <c r="F410" s="56" t="s">
        <v>70</v>
      </c>
      <c r="G410" s="56" t="s">
        <v>70</v>
      </c>
      <c r="H410" s="4"/>
    </row>
    <row r="411">
      <c r="C411" s="4" t="s">
        <v>70</v>
      </c>
      <c r="D411" s="56" t="s">
        <v>70</v>
      </c>
      <c r="E411" s="56" t="s">
        <v>70</v>
      </c>
      <c r="F411" s="56" t="s">
        <v>70</v>
      </c>
      <c r="G411" s="56" t="s">
        <v>70</v>
      </c>
      <c r="H411" s="4"/>
    </row>
    <row r="412">
      <c r="C412" s="4" t="s">
        <v>70</v>
      </c>
      <c r="D412" s="56" t="s">
        <v>70</v>
      </c>
      <c r="E412" s="56" t="s">
        <v>70</v>
      </c>
      <c r="F412" s="56" t="s">
        <v>70</v>
      </c>
      <c r="G412" s="56" t="s">
        <v>70</v>
      </c>
      <c r="H412" s="4"/>
    </row>
    <row r="413">
      <c r="C413" s="4" t="s">
        <v>70</v>
      </c>
      <c r="D413" s="56" t="s">
        <v>70</v>
      </c>
      <c r="E413" s="56" t="s">
        <v>70</v>
      </c>
      <c r="F413" s="56" t="s">
        <v>70</v>
      </c>
      <c r="G413" s="56" t="s">
        <v>70</v>
      </c>
      <c r="H413" s="4"/>
    </row>
    <row r="414">
      <c r="C414" s="4" t="s">
        <v>70</v>
      </c>
      <c r="D414" s="56" t="s">
        <v>70</v>
      </c>
      <c r="E414" s="56" t="s">
        <v>70</v>
      </c>
      <c r="F414" s="56" t="s">
        <v>70</v>
      </c>
      <c r="G414" s="56" t="s">
        <v>70</v>
      </c>
      <c r="H414" s="4"/>
    </row>
    <row r="415">
      <c r="C415" s="4" t="s">
        <v>70</v>
      </c>
      <c r="D415" s="56" t="s">
        <v>70</v>
      </c>
      <c r="E415" s="56" t="s">
        <v>70</v>
      </c>
      <c r="F415" s="56" t="s">
        <v>70</v>
      </c>
      <c r="G415" s="56" t="s">
        <v>70</v>
      </c>
      <c r="H415" s="4"/>
    </row>
    <row r="416">
      <c r="C416" s="4" t="s">
        <v>70</v>
      </c>
      <c r="D416" s="56" t="s">
        <v>70</v>
      </c>
      <c r="E416" s="56" t="s">
        <v>70</v>
      </c>
      <c r="F416" s="56" t="s">
        <v>70</v>
      </c>
      <c r="G416" s="56" t="s">
        <v>70</v>
      </c>
      <c r="H416" s="4"/>
    </row>
    <row r="417">
      <c r="C417" s="4" t="s">
        <v>70</v>
      </c>
      <c r="D417" s="56" t="s">
        <v>70</v>
      </c>
      <c r="E417" s="56" t="s">
        <v>70</v>
      </c>
      <c r="F417" s="56" t="s">
        <v>70</v>
      </c>
      <c r="G417" s="56" t="s">
        <v>70</v>
      </c>
      <c r="H417" s="4"/>
    </row>
    <row r="418">
      <c r="C418" s="4" t="s">
        <v>70</v>
      </c>
      <c r="D418" s="56" t="s">
        <v>70</v>
      </c>
      <c r="E418" s="56" t="s">
        <v>70</v>
      </c>
      <c r="F418" s="56" t="s">
        <v>70</v>
      </c>
      <c r="G418" s="56" t="s">
        <v>70</v>
      </c>
      <c r="H418" s="4"/>
    </row>
    <row r="419">
      <c r="C419" s="4" t="s">
        <v>70</v>
      </c>
      <c r="D419" s="56" t="s">
        <v>70</v>
      </c>
      <c r="E419" s="56" t="s">
        <v>70</v>
      </c>
      <c r="F419" s="56" t="s">
        <v>70</v>
      </c>
      <c r="G419" s="56" t="s">
        <v>70</v>
      </c>
      <c r="H419" s="4"/>
    </row>
    <row r="420">
      <c r="C420" s="4" t="s">
        <v>70</v>
      </c>
      <c r="D420" s="56" t="s">
        <v>70</v>
      </c>
      <c r="E420" s="56" t="s">
        <v>70</v>
      </c>
      <c r="F420" s="56" t="s">
        <v>70</v>
      </c>
      <c r="G420" s="56" t="s">
        <v>70</v>
      </c>
      <c r="H420" s="4"/>
    </row>
    <row r="421">
      <c r="C421" s="4" t="s">
        <v>70</v>
      </c>
      <c r="D421" s="56" t="s">
        <v>70</v>
      </c>
      <c r="E421" s="56" t="s">
        <v>70</v>
      </c>
      <c r="F421" s="56" t="s">
        <v>70</v>
      </c>
      <c r="G421" s="56" t="s">
        <v>70</v>
      </c>
      <c r="H421" s="4"/>
    </row>
    <row r="422">
      <c r="C422" s="4" t="s">
        <v>70</v>
      </c>
      <c r="D422" s="56" t="s">
        <v>70</v>
      </c>
      <c r="E422" s="56" t="s">
        <v>70</v>
      </c>
      <c r="F422" s="56" t="s">
        <v>70</v>
      </c>
      <c r="G422" s="56" t="s">
        <v>70</v>
      </c>
      <c r="H422" s="4"/>
    </row>
    <row r="423">
      <c r="C423" s="4" t="s">
        <v>70</v>
      </c>
      <c r="D423" s="56" t="s">
        <v>70</v>
      </c>
      <c r="E423" s="56" t="s">
        <v>70</v>
      </c>
      <c r="F423" s="56" t="s">
        <v>70</v>
      </c>
      <c r="G423" s="56" t="s">
        <v>70</v>
      </c>
      <c r="H423" s="4"/>
    </row>
    <row r="424">
      <c r="C424" s="4" t="s">
        <v>70</v>
      </c>
      <c r="D424" s="56" t="s">
        <v>70</v>
      </c>
      <c r="E424" s="56" t="s">
        <v>70</v>
      </c>
      <c r="F424" s="56" t="s">
        <v>70</v>
      </c>
      <c r="G424" s="56" t="s">
        <v>70</v>
      </c>
      <c r="H424" s="4"/>
    </row>
    <row r="425">
      <c r="C425" s="4" t="s">
        <v>70</v>
      </c>
      <c r="D425" s="56" t="s">
        <v>70</v>
      </c>
      <c r="E425" s="56" t="s">
        <v>70</v>
      </c>
      <c r="F425" s="56" t="s">
        <v>70</v>
      </c>
      <c r="G425" s="56" t="s">
        <v>70</v>
      </c>
      <c r="H425" s="4"/>
    </row>
    <row r="426">
      <c r="C426" s="4" t="s">
        <v>70</v>
      </c>
      <c r="D426" s="56" t="s">
        <v>70</v>
      </c>
      <c r="E426" s="56" t="s">
        <v>70</v>
      </c>
      <c r="F426" s="56" t="s">
        <v>70</v>
      </c>
      <c r="G426" s="56" t="s">
        <v>70</v>
      </c>
      <c r="H426" s="4"/>
    </row>
    <row r="427">
      <c r="C427" s="4" t="s">
        <v>70</v>
      </c>
      <c r="D427" s="56" t="s">
        <v>70</v>
      </c>
      <c r="E427" s="56" t="s">
        <v>70</v>
      </c>
      <c r="F427" s="56" t="s">
        <v>70</v>
      </c>
      <c r="G427" s="56" t="s">
        <v>70</v>
      </c>
      <c r="H427" s="4"/>
    </row>
    <row r="428">
      <c r="C428" s="4" t="s">
        <v>70</v>
      </c>
      <c r="D428" s="56" t="s">
        <v>70</v>
      </c>
      <c r="E428" s="56" t="s">
        <v>70</v>
      </c>
      <c r="F428" s="56" t="s">
        <v>70</v>
      </c>
      <c r="G428" s="56" t="s">
        <v>70</v>
      </c>
      <c r="H428" s="4"/>
    </row>
    <row r="429">
      <c r="C429" s="4" t="s">
        <v>70</v>
      </c>
      <c r="D429" s="56" t="s">
        <v>70</v>
      </c>
      <c r="E429" s="56" t="s">
        <v>70</v>
      </c>
      <c r="F429" s="56" t="s">
        <v>70</v>
      </c>
      <c r="G429" s="56" t="s">
        <v>70</v>
      </c>
      <c r="H429" s="4"/>
    </row>
    <row r="430">
      <c r="C430" s="4" t="s">
        <v>70</v>
      </c>
      <c r="D430" s="56" t="s">
        <v>70</v>
      </c>
      <c r="E430" s="56" t="s">
        <v>70</v>
      </c>
      <c r="F430" s="56" t="s">
        <v>70</v>
      </c>
      <c r="G430" s="56" t="s">
        <v>70</v>
      </c>
      <c r="H430" s="4"/>
    </row>
    <row r="431">
      <c r="C431" s="4" t="s">
        <v>70</v>
      </c>
      <c r="D431" s="56" t="s">
        <v>70</v>
      </c>
      <c r="E431" s="56" t="s">
        <v>70</v>
      </c>
      <c r="F431" s="56" t="s">
        <v>70</v>
      </c>
      <c r="G431" s="56" t="s">
        <v>70</v>
      </c>
      <c r="H431" s="4"/>
    </row>
    <row r="432">
      <c r="C432" s="4" t="s">
        <v>70</v>
      </c>
      <c r="D432" s="56" t="s">
        <v>70</v>
      </c>
      <c r="E432" s="56" t="s">
        <v>70</v>
      </c>
      <c r="F432" s="56" t="s">
        <v>70</v>
      </c>
      <c r="G432" s="56" t="s">
        <v>70</v>
      </c>
      <c r="H432" s="4"/>
    </row>
    <row r="433">
      <c r="C433" s="4" t="s">
        <v>70</v>
      </c>
      <c r="D433" s="56" t="s">
        <v>70</v>
      </c>
      <c r="E433" s="56" t="s">
        <v>70</v>
      </c>
      <c r="F433" s="56" t="s">
        <v>70</v>
      </c>
      <c r="G433" s="56" t="s">
        <v>70</v>
      </c>
      <c r="H433" s="4"/>
    </row>
    <row r="434">
      <c r="C434" s="4" t="s">
        <v>70</v>
      </c>
      <c r="D434" s="56" t="s">
        <v>70</v>
      </c>
      <c r="E434" s="56" t="s">
        <v>70</v>
      </c>
      <c r="F434" s="56" t="s">
        <v>70</v>
      </c>
      <c r="G434" s="56" t="s">
        <v>70</v>
      </c>
      <c r="H434" s="4"/>
    </row>
    <row r="435">
      <c r="C435" s="4" t="s">
        <v>70</v>
      </c>
      <c r="D435" s="56" t="s">
        <v>70</v>
      </c>
      <c r="E435" s="56" t="s">
        <v>70</v>
      </c>
      <c r="F435" s="56" t="s">
        <v>70</v>
      </c>
      <c r="G435" s="56" t="s">
        <v>70</v>
      </c>
      <c r="H435" s="4"/>
    </row>
    <row r="436">
      <c r="C436" s="4" t="s">
        <v>70</v>
      </c>
      <c r="D436" s="56" t="s">
        <v>70</v>
      </c>
      <c r="E436" s="56" t="s">
        <v>70</v>
      </c>
      <c r="F436" s="56" t="s">
        <v>70</v>
      </c>
      <c r="G436" s="56" t="s">
        <v>70</v>
      </c>
      <c r="H436" s="4"/>
    </row>
    <row r="437">
      <c r="C437" s="4" t="s">
        <v>70</v>
      </c>
      <c r="D437" s="56" t="s">
        <v>70</v>
      </c>
      <c r="E437" s="56" t="s">
        <v>70</v>
      </c>
      <c r="F437" s="56" t="s">
        <v>70</v>
      </c>
      <c r="G437" s="56" t="s">
        <v>70</v>
      </c>
      <c r="H437" s="4"/>
    </row>
    <row r="438">
      <c r="C438" s="4" t="s">
        <v>70</v>
      </c>
      <c r="D438" s="56" t="s">
        <v>70</v>
      </c>
      <c r="E438" s="56" t="s">
        <v>70</v>
      </c>
      <c r="F438" s="56" t="s">
        <v>70</v>
      </c>
      <c r="G438" s="56" t="s">
        <v>70</v>
      </c>
      <c r="H438" s="4"/>
    </row>
    <row r="439">
      <c r="C439" s="4" t="s">
        <v>70</v>
      </c>
      <c r="D439" s="56" t="s">
        <v>70</v>
      </c>
      <c r="E439" s="56" t="s">
        <v>70</v>
      </c>
      <c r="F439" s="56" t="s">
        <v>70</v>
      </c>
      <c r="G439" s="56" t="s">
        <v>70</v>
      </c>
      <c r="H439" s="4"/>
    </row>
    <row r="440">
      <c r="C440" s="4" t="s">
        <v>70</v>
      </c>
      <c r="D440" s="56" t="s">
        <v>70</v>
      </c>
      <c r="E440" s="56" t="s">
        <v>70</v>
      </c>
      <c r="F440" s="56" t="s">
        <v>70</v>
      </c>
      <c r="G440" s="56" t="s">
        <v>70</v>
      </c>
      <c r="H440" s="4"/>
    </row>
    <row r="441">
      <c r="C441" s="4" t="s">
        <v>70</v>
      </c>
      <c r="D441" s="56" t="s">
        <v>70</v>
      </c>
      <c r="E441" s="56" t="s">
        <v>70</v>
      </c>
      <c r="F441" s="56" t="s">
        <v>70</v>
      </c>
      <c r="G441" s="56" t="s">
        <v>70</v>
      </c>
      <c r="H441" s="4"/>
    </row>
    <row r="442">
      <c r="C442" s="4" t="s">
        <v>70</v>
      </c>
      <c r="D442" s="56" t="s">
        <v>70</v>
      </c>
      <c r="E442" s="56" t="s">
        <v>70</v>
      </c>
      <c r="F442" s="56" t="s">
        <v>70</v>
      </c>
      <c r="G442" s="56" t="s">
        <v>70</v>
      </c>
      <c r="H442" s="4"/>
    </row>
    <row r="443">
      <c r="C443" s="4" t="s">
        <v>70</v>
      </c>
      <c r="D443" s="56" t="s">
        <v>70</v>
      </c>
      <c r="E443" s="56" t="s">
        <v>70</v>
      </c>
      <c r="F443" s="56" t="s">
        <v>70</v>
      </c>
      <c r="G443" s="56" t="s">
        <v>70</v>
      </c>
      <c r="H443" s="4"/>
    </row>
    <row r="444">
      <c r="C444" s="4" t="s">
        <v>70</v>
      </c>
      <c r="D444" s="56" t="s">
        <v>70</v>
      </c>
      <c r="E444" s="56" t="s">
        <v>70</v>
      </c>
      <c r="F444" s="56" t="s">
        <v>70</v>
      </c>
      <c r="G444" s="56" t="s">
        <v>70</v>
      </c>
      <c r="H444" s="4"/>
    </row>
    <row r="445">
      <c r="C445" s="4" t="s">
        <v>70</v>
      </c>
      <c r="D445" s="56" t="s">
        <v>70</v>
      </c>
      <c r="E445" s="56" t="s">
        <v>70</v>
      </c>
      <c r="F445" s="56" t="s">
        <v>70</v>
      </c>
      <c r="G445" s="56" t="s">
        <v>70</v>
      </c>
      <c r="H445" s="4"/>
    </row>
    <row r="446">
      <c r="C446" s="4" t="s">
        <v>70</v>
      </c>
      <c r="D446" s="56" t="s">
        <v>70</v>
      </c>
      <c r="E446" s="56" t="s">
        <v>70</v>
      </c>
      <c r="F446" s="56" t="s">
        <v>70</v>
      </c>
      <c r="G446" s="56" t="s">
        <v>70</v>
      </c>
      <c r="H446" s="4"/>
    </row>
    <row r="447">
      <c r="C447" s="4" t="s">
        <v>70</v>
      </c>
      <c r="D447" s="56" t="s">
        <v>70</v>
      </c>
      <c r="E447" s="56" t="s">
        <v>70</v>
      </c>
      <c r="F447" s="56" t="s">
        <v>70</v>
      </c>
      <c r="G447" s="56" t="s">
        <v>70</v>
      </c>
      <c r="H447" s="4"/>
    </row>
    <row r="448">
      <c r="C448" s="4" t="s">
        <v>70</v>
      </c>
      <c r="D448" s="56" t="s">
        <v>70</v>
      </c>
      <c r="E448" s="56" t="s">
        <v>70</v>
      </c>
      <c r="F448" s="56" t="s">
        <v>70</v>
      </c>
      <c r="G448" s="56" t="s">
        <v>70</v>
      </c>
      <c r="H448" s="4"/>
    </row>
    <row r="449">
      <c r="C449" s="4" t="s">
        <v>70</v>
      </c>
      <c r="D449" s="56" t="s">
        <v>70</v>
      </c>
      <c r="E449" s="56" t="s">
        <v>70</v>
      </c>
      <c r="F449" s="56" t="s">
        <v>70</v>
      </c>
      <c r="G449" s="56" t="s">
        <v>70</v>
      </c>
      <c r="H449" s="4"/>
    </row>
    <row r="450">
      <c r="C450" s="4" t="s">
        <v>70</v>
      </c>
      <c r="D450" s="56" t="s">
        <v>70</v>
      </c>
      <c r="E450" s="56" t="s">
        <v>70</v>
      </c>
      <c r="F450" s="56" t="s">
        <v>70</v>
      </c>
      <c r="G450" s="56" t="s">
        <v>70</v>
      </c>
      <c r="H450" s="4"/>
    </row>
    <row r="451">
      <c r="C451" s="4" t="s">
        <v>70</v>
      </c>
      <c r="D451" s="56" t="s">
        <v>70</v>
      </c>
      <c r="E451" s="56" t="s">
        <v>70</v>
      </c>
      <c r="F451" s="56" t="s">
        <v>70</v>
      </c>
      <c r="G451" s="56" t="s">
        <v>70</v>
      </c>
      <c r="H451" s="4"/>
    </row>
    <row r="452">
      <c r="C452" s="4" t="s">
        <v>70</v>
      </c>
      <c r="D452" s="56" t="s">
        <v>70</v>
      </c>
      <c r="E452" s="56" t="s">
        <v>70</v>
      </c>
      <c r="F452" s="56" t="s">
        <v>70</v>
      </c>
      <c r="G452" s="56" t="s">
        <v>70</v>
      </c>
      <c r="H452" s="4"/>
    </row>
    <row r="453">
      <c r="C453" s="4" t="s">
        <v>70</v>
      </c>
      <c r="D453" s="56" t="s">
        <v>70</v>
      </c>
      <c r="E453" s="56" t="s">
        <v>70</v>
      </c>
      <c r="F453" s="56" t="s">
        <v>70</v>
      </c>
      <c r="G453" s="56" t="s">
        <v>70</v>
      </c>
      <c r="H453" s="4"/>
    </row>
    <row r="454">
      <c r="C454" s="4" t="s">
        <v>70</v>
      </c>
      <c r="D454" s="56" t="s">
        <v>70</v>
      </c>
      <c r="E454" s="56" t="s">
        <v>70</v>
      </c>
      <c r="F454" s="56" t="s">
        <v>70</v>
      </c>
      <c r="G454" s="56" t="s">
        <v>70</v>
      </c>
      <c r="H454" s="4"/>
    </row>
    <row r="455">
      <c r="C455" s="4" t="s">
        <v>70</v>
      </c>
      <c r="D455" s="56" t="s">
        <v>70</v>
      </c>
      <c r="E455" s="56" t="s">
        <v>70</v>
      </c>
      <c r="F455" s="56" t="s">
        <v>70</v>
      </c>
      <c r="G455" s="56" t="s">
        <v>70</v>
      </c>
      <c r="H455" s="4"/>
    </row>
    <row r="456">
      <c r="C456" s="4" t="s">
        <v>70</v>
      </c>
      <c r="D456" s="56" t="s">
        <v>70</v>
      </c>
      <c r="E456" s="56" t="s">
        <v>70</v>
      </c>
      <c r="F456" s="56" t="s">
        <v>70</v>
      </c>
      <c r="G456" s="56" t="s">
        <v>70</v>
      </c>
      <c r="H456" s="4"/>
    </row>
    <row r="457">
      <c r="C457" s="4" t="s">
        <v>70</v>
      </c>
      <c r="D457" s="56" t="s">
        <v>70</v>
      </c>
      <c r="E457" s="56" t="s">
        <v>70</v>
      </c>
      <c r="F457" s="56" t="s">
        <v>70</v>
      </c>
      <c r="G457" s="56" t="s">
        <v>70</v>
      </c>
      <c r="H457" s="4"/>
    </row>
    <row r="458">
      <c r="C458" s="4" t="s">
        <v>70</v>
      </c>
      <c r="D458" s="56" t="s">
        <v>70</v>
      </c>
      <c r="E458" s="56" t="s">
        <v>70</v>
      </c>
      <c r="F458" s="56" t="s">
        <v>70</v>
      </c>
      <c r="G458" s="56" t="s">
        <v>70</v>
      </c>
      <c r="H458" s="4"/>
    </row>
    <row r="459">
      <c r="C459" s="4" t="s">
        <v>70</v>
      </c>
      <c r="D459" s="56" t="s">
        <v>70</v>
      </c>
      <c r="E459" s="56" t="s">
        <v>70</v>
      </c>
      <c r="F459" s="56" t="s">
        <v>70</v>
      </c>
      <c r="G459" s="56" t="s">
        <v>70</v>
      </c>
      <c r="H459" s="4"/>
    </row>
    <row r="460">
      <c r="C460" s="4" t="s">
        <v>70</v>
      </c>
      <c r="D460" s="56" t="s">
        <v>70</v>
      </c>
      <c r="E460" s="56" t="s">
        <v>70</v>
      </c>
      <c r="F460" s="56" t="s">
        <v>70</v>
      </c>
      <c r="G460" s="56" t="s">
        <v>70</v>
      </c>
      <c r="H460" s="4"/>
    </row>
    <row r="461">
      <c r="C461" s="4" t="s">
        <v>70</v>
      </c>
      <c r="D461" s="56" t="s">
        <v>70</v>
      </c>
      <c r="E461" s="56" t="s">
        <v>70</v>
      </c>
      <c r="F461" s="56" t="s">
        <v>70</v>
      </c>
      <c r="G461" s="56" t="s">
        <v>70</v>
      </c>
      <c r="H461" s="4"/>
    </row>
    <row r="462">
      <c r="C462" s="4" t="s">
        <v>70</v>
      </c>
      <c r="D462" s="56" t="s">
        <v>70</v>
      </c>
      <c r="E462" s="56" t="s">
        <v>70</v>
      </c>
      <c r="F462" s="56" t="s">
        <v>70</v>
      </c>
      <c r="G462" s="56" t="s">
        <v>70</v>
      </c>
      <c r="H462" s="4"/>
    </row>
    <row r="463">
      <c r="C463" s="4" t="s">
        <v>70</v>
      </c>
      <c r="D463" s="56" t="s">
        <v>70</v>
      </c>
      <c r="E463" s="56" t="s">
        <v>70</v>
      </c>
      <c r="F463" s="56" t="s">
        <v>70</v>
      </c>
      <c r="G463" s="56" t="s">
        <v>70</v>
      </c>
      <c r="H463" s="4"/>
    </row>
    <row r="464">
      <c r="C464" s="4" t="s">
        <v>70</v>
      </c>
      <c r="D464" s="56" t="s">
        <v>70</v>
      </c>
      <c r="E464" s="56" t="s">
        <v>70</v>
      </c>
      <c r="F464" s="56" t="s">
        <v>70</v>
      </c>
      <c r="G464" s="56" t="s">
        <v>70</v>
      </c>
      <c r="H464" s="4"/>
    </row>
    <row r="465">
      <c r="C465" s="4" t="s">
        <v>70</v>
      </c>
      <c r="D465" s="56" t="s">
        <v>70</v>
      </c>
      <c r="E465" s="56" t="s">
        <v>70</v>
      </c>
      <c r="F465" s="56" t="s">
        <v>70</v>
      </c>
      <c r="G465" s="56" t="s">
        <v>70</v>
      </c>
      <c r="H465" s="4"/>
    </row>
    <row r="466">
      <c r="C466" s="4" t="s">
        <v>70</v>
      </c>
      <c r="D466" s="56" t="s">
        <v>70</v>
      </c>
      <c r="E466" s="56" t="s">
        <v>70</v>
      </c>
      <c r="F466" s="56" t="s">
        <v>70</v>
      </c>
      <c r="G466" s="56" t="s">
        <v>70</v>
      </c>
      <c r="H466" s="4"/>
    </row>
    <row r="467">
      <c r="C467" s="4" t="s">
        <v>70</v>
      </c>
      <c r="D467" s="56" t="s">
        <v>70</v>
      </c>
      <c r="E467" s="56" t="s">
        <v>70</v>
      </c>
      <c r="F467" s="56" t="s">
        <v>70</v>
      </c>
      <c r="G467" s="56" t="s">
        <v>70</v>
      </c>
      <c r="H467" s="4"/>
    </row>
    <row r="468">
      <c r="C468" s="4" t="s">
        <v>70</v>
      </c>
      <c r="D468" s="56" t="s">
        <v>70</v>
      </c>
      <c r="E468" s="56" t="s">
        <v>70</v>
      </c>
      <c r="F468" s="56" t="s">
        <v>70</v>
      </c>
      <c r="G468" s="56" t="s">
        <v>70</v>
      </c>
      <c r="H468" s="4"/>
    </row>
    <row r="469">
      <c r="C469" s="4" t="s">
        <v>70</v>
      </c>
      <c r="D469" s="56" t="s">
        <v>70</v>
      </c>
      <c r="E469" s="56" t="s">
        <v>70</v>
      </c>
      <c r="F469" s="56" t="s">
        <v>70</v>
      </c>
      <c r="G469" s="56" t="s">
        <v>70</v>
      </c>
      <c r="H469" s="4"/>
    </row>
    <row r="470">
      <c r="C470" s="4" t="s">
        <v>70</v>
      </c>
      <c r="D470" s="56" t="s">
        <v>70</v>
      </c>
      <c r="E470" s="56" t="s">
        <v>70</v>
      </c>
      <c r="F470" s="56" t="s">
        <v>70</v>
      </c>
      <c r="G470" s="56" t="s">
        <v>70</v>
      </c>
      <c r="H470" s="4"/>
    </row>
    <row r="471">
      <c r="C471" s="4" t="s">
        <v>70</v>
      </c>
      <c r="D471" s="56" t="s">
        <v>70</v>
      </c>
      <c r="E471" s="56" t="s">
        <v>70</v>
      </c>
      <c r="F471" s="56" t="s">
        <v>70</v>
      </c>
      <c r="G471" s="56" t="s">
        <v>70</v>
      </c>
      <c r="H471" s="4"/>
    </row>
    <row r="472">
      <c r="C472" s="4" t="s">
        <v>70</v>
      </c>
      <c r="D472" s="56" t="s">
        <v>70</v>
      </c>
      <c r="E472" s="56" t="s">
        <v>70</v>
      </c>
      <c r="F472" s="56" t="s">
        <v>70</v>
      </c>
      <c r="G472" s="56" t="s">
        <v>70</v>
      </c>
      <c r="H472" s="4"/>
    </row>
    <row r="473">
      <c r="C473" s="4" t="s">
        <v>70</v>
      </c>
      <c r="D473" s="56" t="s">
        <v>70</v>
      </c>
      <c r="E473" s="56" t="s">
        <v>70</v>
      </c>
      <c r="F473" s="56" t="s">
        <v>70</v>
      </c>
      <c r="G473" s="56" t="s">
        <v>70</v>
      </c>
      <c r="H473" s="4"/>
    </row>
    <row r="474">
      <c r="C474" s="4" t="s">
        <v>70</v>
      </c>
      <c r="D474" s="56" t="s">
        <v>70</v>
      </c>
      <c r="E474" s="56" t="s">
        <v>70</v>
      </c>
      <c r="F474" s="56" t="s">
        <v>70</v>
      </c>
      <c r="G474" s="56" t="s">
        <v>70</v>
      </c>
      <c r="H474" s="4"/>
    </row>
    <row r="475">
      <c r="C475" s="4" t="s">
        <v>70</v>
      </c>
      <c r="D475" s="56" t="s">
        <v>70</v>
      </c>
      <c r="E475" s="56" t="s">
        <v>70</v>
      </c>
      <c r="F475" s="56" t="s">
        <v>70</v>
      </c>
      <c r="G475" s="56" t="s">
        <v>70</v>
      </c>
      <c r="H475" s="4"/>
    </row>
    <row r="476">
      <c r="C476" s="4" t="s">
        <v>70</v>
      </c>
      <c r="D476" s="56" t="s">
        <v>70</v>
      </c>
      <c r="E476" s="56" t="s">
        <v>70</v>
      </c>
      <c r="F476" s="56" t="s">
        <v>70</v>
      </c>
      <c r="G476" s="56" t="s">
        <v>70</v>
      </c>
      <c r="H476" s="4"/>
    </row>
    <row r="477">
      <c r="C477" s="4" t="s">
        <v>70</v>
      </c>
      <c r="D477" s="56" t="s">
        <v>70</v>
      </c>
      <c r="E477" s="56" t="s">
        <v>70</v>
      </c>
      <c r="F477" s="56" t="s">
        <v>70</v>
      </c>
      <c r="G477" s="56" t="s">
        <v>70</v>
      </c>
      <c r="H477" s="4"/>
    </row>
    <row r="478">
      <c r="C478" s="4" t="s">
        <v>70</v>
      </c>
      <c r="D478" s="56" t="s">
        <v>70</v>
      </c>
      <c r="E478" s="56" t="s">
        <v>70</v>
      </c>
      <c r="F478" s="56" t="s">
        <v>70</v>
      </c>
      <c r="G478" s="56" t="s">
        <v>70</v>
      </c>
      <c r="H478" s="4"/>
    </row>
    <row r="479">
      <c r="C479" s="4" t="s">
        <v>70</v>
      </c>
      <c r="D479" s="56" t="s">
        <v>70</v>
      </c>
      <c r="E479" s="56" t="s">
        <v>70</v>
      </c>
      <c r="F479" s="56" t="s">
        <v>70</v>
      </c>
      <c r="G479" s="56" t="s">
        <v>70</v>
      </c>
      <c r="H479" s="4"/>
    </row>
    <row r="480">
      <c r="C480" s="4" t="s">
        <v>70</v>
      </c>
      <c r="D480" s="56" t="s">
        <v>70</v>
      </c>
      <c r="E480" s="56" t="s">
        <v>70</v>
      </c>
      <c r="F480" s="56" t="s">
        <v>70</v>
      </c>
      <c r="G480" s="56" t="s">
        <v>70</v>
      </c>
      <c r="H480" s="4"/>
    </row>
    <row r="481">
      <c r="C481" s="4" t="s">
        <v>70</v>
      </c>
      <c r="D481" s="56" t="s">
        <v>70</v>
      </c>
      <c r="E481" s="56" t="s">
        <v>70</v>
      </c>
      <c r="F481" s="56" t="s">
        <v>70</v>
      </c>
      <c r="G481" s="56" t="s">
        <v>70</v>
      </c>
      <c r="H481" s="4"/>
    </row>
    <row r="482">
      <c r="C482" s="4" t="s">
        <v>70</v>
      </c>
      <c r="D482" s="56" t="s">
        <v>70</v>
      </c>
      <c r="E482" s="56" t="s">
        <v>70</v>
      </c>
      <c r="F482" s="56" t="s">
        <v>70</v>
      </c>
      <c r="G482" s="56" t="s">
        <v>70</v>
      </c>
      <c r="H482" s="4"/>
    </row>
    <row r="483">
      <c r="C483" s="4" t="s">
        <v>70</v>
      </c>
      <c r="D483" s="56" t="s">
        <v>70</v>
      </c>
      <c r="E483" s="56" t="s">
        <v>70</v>
      </c>
      <c r="F483" s="56" t="s">
        <v>70</v>
      </c>
      <c r="G483" s="56" t="s">
        <v>70</v>
      </c>
      <c r="H483" s="4"/>
    </row>
    <row r="484">
      <c r="C484" s="4" t="s">
        <v>70</v>
      </c>
      <c r="D484" s="56" t="s">
        <v>70</v>
      </c>
      <c r="E484" s="56" t="s">
        <v>70</v>
      </c>
      <c r="F484" s="56" t="s">
        <v>70</v>
      </c>
      <c r="G484" s="56" t="s">
        <v>70</v>
      </c>
      <c r="H484" s="4"/>
    </row>
    <row r="485">
      <c r="C485" s="4" t="s">
        <v>70</v>
      </c>
      <c r="D485" s="56" t="s">
        <v>70</v>
      </c>
      <c r="E485" s="56" t="s">
        <v>70</v>
      </c>
      <c r="F485" s="56" t="s">
        <v>70</v>
      </c>
      <c r="G485" s="56" t="s">
        <v>70</v>
      </c>
      <c r="H485" s="4"/>
    </row>
    <row r="486">
      <c r="C486" s="4" t="s">
        <v>70</v>
      </c>
      <c r="D486" s="56" t="s">
        <v>70</v>
      </c>
      <c r="E486" s="56" t="s">
        <v>70</v>
      </c>
      <c r="F486" s="56" t="s">
        <v>70</v>
      </c>
      <c r="G486" s="56" t="s">
        <v>70</v>
      </c>
      <c r="H486" s="4"/>
    </row>
    <row r="487">
      <c r="C487" s="4" t="s">
        <v>70</v>
      </c>
      <c r="D487" s="56" t="s">
        <v>70</v>
      </c>
      <c r="E487" s="56" t="s">
        <v>70</v>
      </c>
      <c r="F487" s="56" t="s">
        <v>70</v>
      </c>
      <c r="G487" s="56" t="s">
        <v>70</v>
      </c>
      <c r="H487" s="4"/>
    </row>
    <row r="488">
      <c r="C488" s="4" t="s">
        <v>70</v>
      </c>
      <c r="D488" s="56" t="s">
        <v>70</v>
      </c>
      <c r="E488" s="56" t="s">
        <v>70</v>
      </c>
      <c r="F488" s="56" t="s">
        <v>70</v>
      </c>
      <c r="G488" s="56" t="s">
        <v>70</v>
      </c>
      <c r="H488" s="4"/>
    </row>
    <row r="489">
      <c r="C489" s="4" t="s">
        <v>70</v>
      </c>
      <c r="D489" s="56" t="s">
        <v>70</v>
      </c>
      <c r="E489" s="56" t="s">
        <v>70</v>
      </c>
      <c r="F489" s="56" t="s">
        <v>70</v>
      </c>
      <c r="G489" s="56" t="s">
        <v>70</v>
      </c>
      <c r="H489" s="4"/>
    </row>
    <row r="490">
      <c r="C490" s="4" t="s">
        <v>70</v>
      </c>
      <c r="D490" s="56" t="s">
        <v>70</v>
      </c>
      <c r="E490" s="56" t="s">
        <v>70</v>
      </c>
      <c r="F490" s="56" t="s">
        <v>70</v>
      </c>
      <c r="G490" s="56" t="s">
        <v>70</v>
      </c>
      <c r="H490" s="4"/>
    </row>
    <row r="491">
      <c r="C491" s="4" t="s">
        <v>70</v>
      </c>
      <c r="D491" s="56" t="s">
        <v>70</v>
      </c>
      <c r="E491" s="56" t="s">
        <v>70</v>
      </c>
      <c r="F491" s="56" t="s">
        <v>70</v>
      </c>
      <c r="G491" s="56" t="s">
        <v>70</v>
      </c>
      <c r="H491" s="4"/>
    </row>
    <row r="492">
      <c r="C492" s="4" t="s">
        <v>70</v>
      </c>
      <c r="D492" s="56" t="s">
        <v>70</v>
      </c>
      <c r="E492" s="56" t="s">
        <v>70</v>
      </c>
      <c r="F492" s="56" t="s">
        <v>70</v>
      </c>
      <c r="G492" s="56" t="s">
        <v>70</v>
      </c>
      <c r="H492" s="4"/>
    </row>
    <row r="493">
      <c r="C493" s="4" t="s">
        <v>70</v>
      </c>
      <c r="D493" s="56" t="s">
        <v>70</v>
      </c>
      <c r="E493" s="56" t="s">
        <v>70</v>
      </c>
      <c r="F493" s="56" t="s">
        <v>70</v>
      </c>
      <c r="G493" s="56" t="s">
        <v>70</v>
      </c>
      <c r="H493" s="4"/>
    </row>
    <row r="494">
      <c r="C494" s="4" t="s">
        <v>70</v>
      </c>
      <c r="D494" s="56" t="s">
        <v>70</v>
      </c>
      <c r="E494" s="56" t="s">
        <v>70</v>
      </c>
      <c r="F494" s="56" t="s">
        <v>70</v>
      </c>
      <c r="G494" s="56" t="s">
        <v>70</v>
      </c>
      <c r="H494" s="4"/>
    </row>
    <row r="495">
      <c r="C495" s="4" t="s">
        <v>70</v>
      </c>
      <c r="D495" s="56" t="s">
        <v>70</v>
      </c>
      <c r="E495" s="56" t="s">
        <v>70</v>
      </c>
      <c r="F495" s="56" t="s">
        <v>70</v>
      </c>
      <c r="G495" s="56" t="s">
        <v>70</v>
      </c>
      <c r="H495" s="4"/>
    </row>
    <row r="496">
      <c r="C496" s="4" t="s">
        <v>70</v>
      </c>
      <c r="D496" s="56" t="s">
        <v>70</v>
      </c>
      <c r="E496" s="56" t="s">
        <v>70</v>
      </c>
      <c r="F496" s="56" t="s">
        <v>70</v>
      </c>
      <c r="G496" s="56" t="s">
        <v>70</v>
      </c>
      <c r="H496" s="4"/>
    </row>
    <row r="497">
      <c r="C497" s="4" t="s">
        <v>70</v>
      </c>
      <c r="D497" s="56" t="s">
        <v>70</v>
      </c>
      <c r="E497" s="56" t="s">
        <v>70</v>
      </c>
      <c r="F497" s="56" t="s">
        <v>70</v>
      </c>
      <c r="G497" s="56" t="s">
        <v>70</v>
      </c>
      <c r="H497" s="4"/>
    </row>
    <row r="498">
      <c r="C498" s="4" t="s">
        <v>70</v>
      </c>
      <c r="D498" s="56" t="s">
        <v>70</v>
      </c>
      <c r="E498" s="56" t="s">
        <v>70</v>
      </c>
      <c r="F498" s="56" t="s">
        <v>70</v>
      </c>
      <c r="G498" s="56" t="s">
        <v>70</v>
      </c>
      <c r="H498" s="4"/>
    </row>
    <row r="499">
      <c r="C499" s="4" t="s">
        <v>70</v>
      </c>
      <c r="D499" s="56" t="s">
        <v>70</v>
      </c>
      <c r="E499" s="56" t="s">
        <v>70</v>
      </c>
      <c r="F499" s="56" t="s">
        <v>70</v>
      </c>
      <c r="G499" s="56" t="s">
        <v>70</v>
      </c>
      <c r="H499" s="4"/>
    </row>
    <row r="500">
      <c r="C500" s="4" t="s">
        <v>70</v>
      </c>
      <c r="D500" s="56" t="s">
        <v>70</v>
      </c>
      <c r="E500" s="56" t="s">
        <v>70</v>
      </c>
      <c r="F500" s="56" t="s">
        <v>70</v>
      </c>
      <c r="G500" s="56" t="s">
        <v>70</v>
      </c>
      <c r="H500" s="4"/>
    </row>
    <row r="501">
      <c r="C501" s="4" t="s">
        <v>70</v>
      </c>
      <c r="D501" s="56" t="s">
        <v>70</v>
      </c>
      <c r="E501" s="56" t="s">
        <v>70</v>
      </c>
      <c r="F501" s="56" t="s">
        <v>70</v>
      </c>
      <c r="G501" s="56" t="s">
        <v>70</v>
      </c>
      <c r="H501" s="4"/>
    </row>
    <row r="502">
      <c r="C502" s="4" t="s">
        <v>70</v>
      </c>
      <c r="D502" s="56" t="s">
        <v>70</v>
      </c>
      <c r="E502" s="56" t="s">
        <v>70</v>
      </c>
      <c r="F502" s="56" t="s">
        <v>70</v>
      </c>
      <c r="G502" s="56" t="s">
        <v>70</v>
      </c>
      <c r="H502" s="4"/>
    </row>
    <row r="503">
      <c r="C503" s="4" t="s">
        <v>70</v>
      </c>
      <c r="D503" s="56" t="s">
        <v>70</v>
      </c>
      <c r="E503" s="56" t="s">
        <v>70</v>
      </c>
      <c r="F503" s="56" t="s">
        <v>70</v>
      </c>
      <c r="G503" s="56" t="s">
        <v>70</v>
      </c>
      <c r="H503" s="4"/>
    </row>
    <row r="504">
      <c r="C504" s="4" t="s">
        <v>70</v>
      </c>
      <c r="D504" s="56" t="s">
        <v>70</v>
      </c>
      <c r="E504" s="56" t="s">
        <v>70</v>
      </c>
      <c r="F504" s="56" t="s">
        <v>70</v>
      </c>
      <c r="G504" s="56" t="s">
        <v>70</v>
      </c>
      <c r="H504" s="4"/>
    </row>
    <row r="505">
      <c r="C505" s="4" t="s">
        <v>70</v>
      </c>
      <c r="D505" s="56" t="s">
        <v>70</v>
      </c>
      <c r="E505" s="56" t="s">
        <v>70</v>
      </c>
      <c r="F505" s="56" t="s">
        <v>70</v>
      </c>
      <c r="G505" s="56" t="s">
        <v>70</v>
      </c>
      <c r="H505" s="4"/>
    </row>
    <row r="506">
      <c r="C506" s="4" t="s">
        <v>70</v>
      </c>
      <c r="D506" s="56" t="s">
        <v>70</v>
      </c>
      <c r="E506" s="56" t="s">
        <v>70</v>
      </c>
      <c r="F506" s="56" t="s">
        <v>70</v>
      </c>
      <c r="G506" s="56" t="s">
        <v>70</v>
      </c>
      <c r="H506" s="4"/>
    </row>
    <row r="507">
      <c r="C507" s="4" t="s">
        <v>70</v>
      </c>
      <c r="D507" s="56" t="s">
        <v>70</v>
      </c>
      <c r="E507" s="56" t="s">
        <v>70</v>
      </c>
      <c r="F507" s="56" t="s">
        <v>70</v>
      </c>
      <c r="G507" s="56" t="s">
        <v>70</v>
      </c>
      <c r="H507" s="4"/>
    </row>
    <row r="508">
      <c r="C508" s="4" t="s">
        <v>70</v>
      </c>
      <c r="D508" s="56" t="s">
        <v>70</v>
      </c>
      <c r="E508" s="56" t="s">
        <v>70</v>
      </c>
      <c r="F508" s="56" t="s">
        <v>70</v>
      </c>
      <c r="G508" s="56" t="s">
        <v>70</v>
      </c>
      <c r="H508" s="4"/>
    </row>
    <row r="509">
      <c r="C509" s="4" t="s">
        <v>70</v>
      </c>
      <c r="D509" s="56" t="s">
        <v>70</v>
      </c>
      <c r="E509" s="56" t="s">
        <v>70</v>
      </c>
      <c r="F509" s="56" t="s">
        <v>70</v>
      </c>
      <c r="G509" s="56" t="s">
        <v>70</v>
      </c>
      <c r="H509" s="4"/>
    </row>
    <row r="510">
      <c r="C510" s="4" t="s">
        <v>70</v>
      </c>
      <c r="D510" s="56" t="s">
        <v>70</v>
      </c>
      <c r="E510" s="56" t="s">
        <v>70</v>
      </c>
      <c r="F510" s="56" t="s">
        <v>70</v>
      </c>
      <c r="G510" s="56" t="s">
        <v>70</v>
      </c>
      <c r="H510" s="4"/>
    </row>
    <row r="511">
      <c r="C511" s="4" t="s">
        <v>70</v>
      </c>
      <c r="D511" s="56" t="s">
        <v>70</v>
      </c>
      <c r="E511" s="56" t="s">
        <v>70</v>
      </c>
      <c r="F511" s="56" t="s">
        <v>70</v>
      </c>
      <c r="G511" s="56" t="s">
        <v>70</v>
      </c>
      <c r="H511" s="4"/>
    </row>
    <row r="512">
      <c r="C512" s="4" t="s">
        <v>70</v>
      </c>
      <c r="D512" s="56" t="s">
        <v>70</v>
      </c>
      <c r="E512" s="56" t="s">
        <v>70</v>
      </c>
      <c r="F512" s="56" t="s">
        <v>70</v>
      </c>
      <c r="G512" s="56" t="s">
        <v>70</v>
      </c>
      <c r="H512" s="4"/>
    </row>
    <row r="513">
      <c r="C513" s="4" t="s">
        <v>70</v>
      </c>
      <c r="D513" s="56" t="s">
        <v>70</v>
      </c>
      <c r="E513" s="56" t="s">
        <v>70</v>
      </c>
      <c r="F513" s="56" t="s">
        <v>70</v>
      </c>
      <c r="G513" s="56" t="s">
        <v>70</v>
      </c>
      <c r="H513" s="4"/>
    </row>
    <row r="514">
      <c r="C514" s="4" t="s">
        <v>70</v>
      </c>
      <c r="D514" s="56" t="s">
        <v>70</v>
      </c>
      <c r="E514" s="56" t="s">
        <v>70</v>
      </c>
      <c r="F514" s="56" t="s">
        <v>70</v>
      </c>
      <c r="G514" s="56" t="s">
        <v>70</v>
      </c>
      <c r="H514" s="4"/>
    </row>
    <row r="515">
      <c r="C515" s="4" t="s">
        <v>70</v>
      </c>
      <c r="D515" s="56" t="s">
        <v>70</v>
      </c>
      <c r="E515" s="56" t="s">
        <v>70</v>
      </c>
      <c r="F515" s="56" t="s">
        <v>70</v>
      </c>
      <c r="G515" s="56" t="s">
        <v>70</v>
      </c>
      <c r="H515" s="4"/>
    </row>
    <row r="516">
      <c r="C516" s="4" t="s">
        <v>70</v>
      </c>
      <c r="D516" s="56" t="s">
        <v>70</v>
      </c>
      <c r="E516" s="56" t="s">
        <v>70</v>
      </c>
      <c r="F516" s="56" t="s">
        <v>70</v>
      </c>
      <c r="G516" s="56" t="s">
        <v>70</v>
      </c>
      <c r="H516" s="4"/>
    </row>
    <row r="517">
      <c r="C517" s="4" t="s">
        <v>70</v>
      </c>
      <c r="D517" s="56" t="s">
        <v>70</v>
      </c>
      <c r="E517" s="56" t="s">
        <v>70</v>
      </c>
      <c r="F517" s="56" t="s">
        <v>70</v>
      </c>
      <c r="G517" s="56" t="s">
        <v>70</v>
      </c>
      <c r="H517" s="4"/>
    </row>
    <row r="518">
      <c r="C518" s="4" t="s">
        <v>70</v>
      </c>
      <c r="D518" s="56" t="s">
        <v>70</v>
      </c>
      <c r="E518" s="56" t="s">
        <v>70</v>
      </c>
      <c r="F518" s="56" t="s">
        <v>70</v>
      </c>
      <c r="G518" s="56" t="s">
        <v>70</v>
      </c>
      <c r="H518" s="4"/>
    </row>
    <row r="519">
      <c r="C519" s="4" t="s">
        <v>70</v>
      </c>
      <c r="D519" s="56" t="s">
        <v>70</v>
      </c>
      <c r="E519" s="56" t="s">
        <v>70</v>
      </c>
      <c r="F519" s="56" t="s">
        <v>70</v>
      </c>
      <c r="G519" s="56" t="s">
        <v>70</v>
      </c>
      <c r="H519" s="4"/>
    </row>
    <row r="520">
      <c r="C520" s="4" t="s">
        <v>70</v>
      </c>
      <c r="D520" s="56" t="s">
        <v>70</v>
      </c>
      <c r="E520" s="56" t="s">
        <v>70</v>
      </c>
      <c r="F520" s="56" t="s">
        <v>70</v>
      </c>
      <c r="G520" s="56" t="s">
        <v>70</v>
      </c>
      <c r="H520" s="4"/>
    </row>
    <row r="521">
      <c r="C521" s="4" t="s">
        <v>70</v>
      </c>
      <c r="D521" s="56" t="s">
        <v>70</v>
      </c>
      <c r="E521" s="56" t="s">
        <v>70</v>
      </c>
      <c r="F521" s="56" t="s">
        <v>70</v>
      </c>
      <c r="G521" s="56" t="s">
        <v>70</v>
      </c>
      <c r="H521" s="4"/>
    </row>
    <row r="522">
      <c r="C522" s="4" t="s">
        <v>70</v>
      </c>
      <c r="D522" s="56" t="s">
        <v>70</v>
      </c>
      <c r="E522" s="56" t="s">
        <v>70</v>
      </c>
      <c r="F522" s="56" t="s">
        <v>70</v>
      </c>
      <c r="G522" s="56" t="s">
        <v>70</v>
      </c>
      <c r="H522" s="4"/>
    </row>
    <row r="523">
      <c r="C523" s="4" t="s">
        <v>70</v>
      </c>
      <c r="D523" s="56" t="s">
        <v>70</v>
      </c>
      <c r="E523" s="56" t="s">
        <v>70</v>
      </c>
      <c r="F523" s="56" t="s">
        <v>70</v>
      </c>
      <c r="G523" s="56" t="s">
        <v>70</v>
      </c>
      <c r="H523" s="4"/>
    </row>
    <row r="524">
      <c r="C524" s="4" t="s">
        <v>70</v>
      </c>
      <c r="D524" s="56" t="s">
        <v>70</v>
      </c>
      <c r="E524" s="56" t="s">
        <v>70</v>
      </c>
      <c r="F524" s="56" t="s">
        <v>70</v>
      </c>
      <c r="G524" s="56" t="s">
        <v>70</v>
      </c>
      <c r="H524" s="4"/>
    </row>
    <row r="525">
      <c r="C525" s="4" t="s">
        <v>70</v>
      </c>
      <c r="D525" s="56" t="s">
        <v>70</v>
      </c>
      <c r="E525" s="56" t="s">
        <v>70</v>
      </c>
      <c r="F525" s="56" t="s">
        <v>70</v>
      </c>
      <c r="G525" s="56" t="s">
        <v>70</v>
      </c>
      <c r="H525" s="4"/>
    </row>
    <row r="526">
      <c r="C526" s="4" t="s">
        <v>70</v>
      </c>
      <c r="D526" s="56" t="s">
        <v>70</v>
      </c>
      <c r="E526" s="56" t="s">
        <v>70</v>
      </c>
      <c r="F526" s="56" t="s">
        <v>70</v>
      </c>
      <c r="G526" s="56" t="s">
        <v>70</v>
      </c>
      <c r="H526" s="4"/>
    </row>
    <row r="527">
      <c r="C527" s="4" t="s">
        <v>70</v>
      </c>
      <c r="D527" s="56" t="s">
        <v>70</v>
      </c>
      <c r="E527" s="56" t="s">
        <v>70</v>
      </c>
      <c r="F527" s="56" t="s">
        <v>70</v>
      </c>
      <c r="G527" s="56" t="s">
        <v>70</v>
      </c>
      <c r="H527" s="4"/>
    </row>
    <row r="528">
      <c r="C528" s="4" t="s">
        <v>70</v>
      </c>
      <c r="D528" s="56" t="s">
        <v>70</v>
      </c>
      <c r="E528" s="56" t="s">
        <v>70</v>
      </c>
      <c r="F528" s="56" t="s">
        <v>70</v>
      </c>
      <c r="G528" s="56" t="s">
        <v>70</v>
      </c>
      <c r="H528" s="4"/>
    </row>
    <row r="529">
      <c r="C529" s="4" t="s">
        <v>70</v>
      </c>
      <c r="D529" s="56" t="s">
        <v>70</v>
      </c>
      <c r="E529" s="56" t="s">
        <v>70</v>
      </c>
      <c r="F529" s="56" t="s">
        <v>70</v>
      </c>
      <c r="G529" s="56" t="s">
        <v>70</v>
      </c>
      <c r="H529" s="4"/>
    </row>
    <row r="530">
      <c r="C530" s="4" t="s">
        <v>70</v>
      </c>
      <c r="D530" s="56" t="s">
        <v>70</v>
      </c>
      <c r="E530" s="56" t="s">
        <v>70</v>
      </c>
      <c r="F530" s="56" t="s">
        <v>70</v>
      </c>
      <c r="G530" s="56" t="s">
        <v>70</v>
      </c>
      <c r="H530" s="4"/>
    </row>
    <row r="531">
      <c r="C531" s="4" t="s">
        <v>70</v>
      </c>
      <c r="D531" s="56" t="s">
        <v>70</v>
      </c>
      <c r="E531" s="56" t="s">
        <v>70</v>
      </c>
      <c r="F531" s="56" t="s">
        <v>70</v>
      </c>
      <c r="G531" s="56" t="s">
        <v>70</v>
      </c>
      <c r="H531" s="4"/>
    </row>
    <row r="532">
      <c r="C532" s="4" t="s">
        <v>70</v>
      </c>
      <c r="D532" s="56" t="s">
        <v>70</v>
      </c>
      <c r="E532" s="56" t="s">
        <v>70</v>
      </c>
      <c r="F532" s="56" t="s">
        <v>70</v>
      </c>
      <c r="G532" s="56" t="s">
        <v>70</v>
      </c>
      <c r="H532" s="4"/>
    </row>
    <row r="533">
      <c r="C533" s="4" t="s">
        <v>70</v>
      </c>
      <c r="D533" s="56" t="s">
        <v>70</v>
      </c>
      <c r="E533" s="56" t="s">
        <v>70</v>
      </c>
      <c r="F533" s="56" t="s">
        <v>70</v>
      </c>
      <c r="G533" s="56" t="s">
        <v>70</v>
      </c>
      <c r="H533" s="4"/>
    </row>
    <row r="534">
      <c r="C534" s="4" t="s">
        <v>70</v>
      </c>
      <c r="D534" s="56" t="s">
        <v>70</v>
      </c>
      <c r="E534" s="56" t="s">
        <v>70</v>
      </c>
      <c r="F534" s="56" t="s">
        <v>70</v>
      </c>
      <c r="G534" s="56" t="s">
        <v>70</v>
      </c>
      <c r="H534" s="4"/>
    </row>
    <row r="535">
      <c r="C535" s="4" t="s">
        <v>70</v>
      </c>
      <c r="D535" s="56" t="s">
        <v>70</v>
      </c>
      <c r="E535" s="56" t="s">
        <v>70</v>
      </c>
      <c r="F535" s="56" t="s">
        <v>70</v>
      </c>
      <c r="G535" s="56" t="s">
        <v>70</v>
      </c>
      <c r="H535" s="4"/>
    </row>
    <row r="536">
      <c r="C536" s="4" t="s">
        <v>70</v>
      </c>
      <c r="D536" s="56" t="s">
        <v>70</v>
      </c>
      <c r="E536" s="56" t="s">
        <v>70</v>
      </c>
      <c r="F536" s="56" t="s">
        <v>70</v>
      </c>
      <c r="G536" s="56" t="s">
        <v>70</v>
      </c>
      <c r="H536" s="4"/>
    </row>
    <row r="537">
      <c r="C537" s="4" t="s">
        <v>70</v>
      </c>
      <c r="D537" s="56" t="s">
        <v>70</v>
      </c>
      <c r="E537" s="56" t="s">
        <v>70</v>
      </c>
      <c r="F537" s="56" t="s">
        <v>70</v>
      </c>
      <c r="G537" s="56" t="s">
        <v>70</v>
      </c>
      <c r="H537" s="4"/>
    </row>
    <row r="538">
      <c r="C538" s="4" t="s">
        <v>70</v>
      </c>
      <c r="D538" s="56" t="s">
        <v>70</v>
      </c>
      <c r="E538" s="56" t="s">
        <v>70</v>
      </c>
      <c r="F538" s="56" t="s">
        <v>70</v>
      </c>
      <c r="G538" s="56" t="s">
        <v>70</v>
      </c>
      <c r="H538" s="4"/>
    </row>
    <row r="539">
      <c r="C539" s="4" t="s">
        <v>70</v>
      </c>
      <c r="D539" s="56" t="s">
        <v>70</v>
      </c>
      <c r="E539" s="56" t="s">
        <v>70</v>
      </c>
      <c r="F539" s="56" t="s">
        <v>70</v>
      </c>
      <c r="G539" s="56" t="s">
        <v>70</v>
      </c>
      <c r="H539" s="4"/>
    </row>
    <row r="540">
      <c r="C540" s="4" t="s">
        <v>70</v>
      </c>
      <c r="D540" s="56" t="s">
        <v>70</v>
      </c>
      <c r="E540" s="56" t="s">
        <v>70</v>
      </c>
      <c r="F540" s="56" t="s">
        <v>70</v>
      </c>
      <c r="G540" s="56" t="s">
        <v>70</v>
      </c>
      <c r="H540" s="4"/>
    </row>
    <row r="541">
      <c r="C541" s="4" t="s">
        <v>70</v>
      </c>
      <c r="D541" s="56" t="s">
        <v>70</v>
      </c>
      <c r="E541" s="56" t="s">
        <v>70</v>
      </c>
      <c r="F541" s="56" t="s">
        <v>70</v>
      </c>
      <c r="G541" s="56" t="s">
        <v>70</v>
      </c>
      <c r="H541" s="4"/>
    </row>
    <row r="542">
      <c r="C542" s="4" t="s">
        <v>70</v>
      </c>
      <c r="D542" s="56" t="s">
        <v>70</v>
      </c>
      <c r="E542" s="56" t="s">
        <v>70</v>
      </c>
      <c r="F542" s="56" t="s">
        <v>70</v>
      </c>
      <c r="G542" s="56" t="s">
        <v>70</v>
      </c>
      <c r="H542" s="4"/>
    </row>
    <row r="543">
      <c r="C543" s="4" t="s">
        <v>70</v>
      </c>
      <c r="D543" s="56" t="s">
        <v>70</v>
      </c>
      <c r="E543" s="56" t="s">
        <v>70</v>
      </c>
      <c r="F543" s="56" t="s">
        <v>70</v>
      </c>
      <c r="G543" s="56" t="s">
        <v>70</v>
      </c>
      <c r="H543" s="4"/>
    </row>
    <row r="544">
      <c r="C544" s="4" t="s">
        <v>70</v>
      </c>
      <c r="D544" s="56" t="s">
        <v>70</v>
      </c>
      <c r="E544" s="56" t="s">
        <v>70</v>
      </c>
      <c r="F544" s="56" t="s">
        <v>70</v>
      </c>
      <c r="G544" s="56" t="s">
        <v>70</v>
      </c>
      <c r="H544" s="4"/>
    </row>
    <row r="545">
      <c r="C545" s="4" t="s">
        <v>70</v>
      </c>
      <c r="D545" s="56" t="s">
        <v>70</v>
      </c>
      <c r="E545" s="56" t="s">
        <v>70</v>
      </c>
      <c r="F545" s="56" t="s">
        <v>70</v>
      </c>
      <c r="G545" s="56" t="s">
        <v>70</v>
      </c>
      <c r="H545" s="4"/>
    </row>
    <row r="546">
      <c r="C546" s="4" t="s">
        <v>70</v>
      </c>
      <c r="D546" s="56" t="s">
        <v>70</v>
      </c>
      <c r="E546" s="56" t="s">
        <v>70</v>
      </c>
      <c r="F546" s="56" t="s">
        <v>70</v>
      </c>
      <c r="G546" s="56" t="s">
        <v>70</v>
      </c>
      <c r="H546" s="4"/>
    </row>
    <row r="547">
      <c r="C547" s="4" t="s">
        <v>70</v>
      </c>
      <c r="D547" s="56" t="s">
        <v>70</v>
      </c>
      <c r="E547" s="56" t="s">
        <v>70</v>
      </c>
      <c r="F547" s="56" t="s">
        <v>70</v>
      </c>
      <c r="G547" s="56" t="s">
        <v>70</v>
      </c>
      <c r="H547" s="4"/>
    </row>
    <row r="548">
      <c r="C548" s="4" t="s">
        <v>70</v>
      </c>
      <c r="D548" s="56" t="s">
        <v>70</v>
      </c>
      <c r="E548" s="56" t="s">
        <v>70</v>
      </c>
      <c r="F548" s="56" t="s">
        <v>70</v>
      </c>
      <c r="G548" s="56" t="s">
        <v>70</v>
      </c>
      <c r="H548" s="4"/>
    </row>
    <row r="549">
      <c r="C549" s="4" t="s">
        <v>70</v>
      </c>
      <c r="D549" s="56" t="s">
        <v>70</v>
      </c>
      <c r="E549" s="56" t="s">
        <v>70</v>
      </c>
      <c r="F549" s="56" t="s">
        <v>70</v>
      </c>
      <c r="G549" s="56" t="s">
        <v>70</v>
      </c>
      <c r="H549" s="4"/>
    </row>
    <row r="550">
      <c r="C550" s="4" t="s">
        <v>70</v>
      </c>
      <c r="D550" s="56" t="s">
        <v>70</v>
      </c>
      <c r="E550" s="56" t="s">
        <v>70</v>
      </c>
      <c r="F550" s="56" t="s">
        <v>70</v>
      </c>
      <c r="G550" s="56" t="s">
        <v>70</v>
      </c>
      <c r="H550" s="4"/>
    </row>
    <row r="551">
      <c r="C551" s="4" t="s">
        <v>70</v>
      </c>
      <c r="D551" s="56" t="s">
        <v>70</v>
      </c>
      <c r="E551" s="56" t="s">
        <v>70</v>
      </c>
      <c r="F551" s="56" t="s">
        <v>70</v>
      </c>
      <c r="G551" s="56" t="s">
        <v>70</v>
      </c>
      <c r="H551" s="4"/>
    </row>
    <row r="552">
      <c r="C552" s="4" t="s">
        <v>70</v>
      </c>
      <c r="D552" s="56" t="s">
        <v>70</v>
      </c>
      <c r="E552" s="56" t="s">
        <v>70</v>
      </c>
      <c r="F552" s="56" t="s">
        <v>70</v>
      </c>
      <c r="G552" s="56" t="s">
        <v>70</v>
      </c>
      <c r="H552" s="4"/>
    </row>
    <row r="553">
      <c r="C553" s="4" t="s">
        <v>70</v>
      </c>
      <c r="D553" s="56" t="s">
        <v>70</v>
      </c>
      <c r="E553" s="56" t="s">
        <v>70</v>
      </c>
      <c r="F553" s="56" t="s">
        <v>70</v>
      </c>
      <c r="G553" s="56" t="s">
        <v>70</v>
      </c>
      <c r="H553" s="4"/>
    </row>
    <row r="554">
      <c r="C554" s="4" t="s">
        <v>70</v>
      </c>
      <c r="D554" s="56" t="s">
        <v>70</v>
      </c>
      <c r="E554" s="56" t="s">
        <v>70</v>
      </c>
      <c r="F554" s="56" t="s">
        <v>70</v>
      </c>
      <c r="G554" s="56" t="s">
        <v>70</v>
      </c>
      <c r="H554" s="4"/>
    </row>
    <row r="555">
      <c r="C555" s="4" t="s">
        <v>70</v>
      </c>
      <c r="D555" s="56" t="s">
        <v>70</v>
      </c>
      <c r="E555" s="56" t="s">
        <v>70</v>
      </c>
      <c r="F555" s="56" t="s">
        <v>70</v>
      </c>
      <c r="G555" s="56" t="s">
        <v>70</v>
      </c>
      <c r="H555" s="4"/>
    </row>
    <row r="556">
      <c r="C556" s="4" t="s">
        <v>70</v>
      </c>
      <c r="D556" s="56" t="s">
        <v>70</v>
      </c>
      <c r="E556" s="56" t="s">
        <v>70</v>
      </c>
      <c r="F556" s="56" t="s">
        <v>70</v>
      </c>
      <c r="G556" s="56" t="s">
        <v>70</v>
      </c>
      <c r="H556" s="4"/>
    </row>
    <row r="557">
      <c r="C557" s="4" t="s">
        <v>70</v>
      </c>
      <c r="D557" s="56" t="s">
        <v>70</v>
      </c>
      <c r="E557" s="56" t="s">
        <v>70</v>
      </c>
      <c r="F557" s="56" t="s">
        <v>70</v>
      </c>
      <c r="G557" s="56" t="s">
        <v>70</v>
      </c>
      <c r="H557" s="4"/>
    </row>
    <row r="558">
      <c r="C558" s="4" t="s">
        <v>70</v>
      </c>
      <c r="D558" s="56" t="s">
        <v>70</v>
      </c>
      <c r="E558" s="56" t="s">
        <v>70</v>
      </c>
      <c r="F558" s="56" t="s">
        <v>70</v>
      </c>
      <c r="G558" s="56" t="s">
        <v>70</v>
      </c>
      <c r="H558" s="4"/>
    </row>
    <row r="559">
      <c r="C559" s="4" t="s">
        <v>70</v>
      </c>
      <c r="D559" s="56" t="s">
        <v>70</v>
      </c>
      <c r="E559" s="56" t="s">
        <v>70</v>
      </c>
      <c r="F559" s="56" t="s">
        <v>70</v>
      </c>
      <c r="G559" s="56" t="s">
        <v>70</v>
      </c>
      <c r="H559" s="4"/>
    </row>
    <row r="560">
      <c r="C560" s="4" t="s">
        <v>70</v>
      </c>
      <c r="D560" s="56" t="s">
        <v>70</v>
      </c>
      <c r="E560" s="56" t="s">
        <v>70</v>
      </c>
      <c r="F560" s="56" t="s">
        <v>70</v>
      </c>
      <c r="G560" s="56" t="s">
        <v>70</v>
      </c>
      <c r="H560" s="4"/>
    </row>
    <row r="561">
      <c r="C561" s="4" t="s">
        <v>70</v>
      </c>
      <c r="D561" s="56" t="s">
        <v>70</v>
      </c>
      <c r="E561" s="56" t="s">
        <v>70</v>
      </c>
      <c r="F561" s="56" t="s">
        <v>70</v>
      </c>
      <c r="G561" s="56" t="s">
        <v>70</v>
      </c>
      <c r="H561" s="4"/>
    </row>
    <row r="562">
      <c r="C562" s="4" t="s">
        <v>70</v>
      </c>
      <c r="D562" s="56" t="s">
        <v>70</v>
      </c>
      <c r="E562" s="56" t="s">
        <v>70</v>
      </c>
      <c r="F562" s="56" t="s">
        <v>70</v>
      </c>
      <c r="G562" s="56" t="s">
        <v>70</v>
      </c>
      <c r="H562" s="4"/>
    </row>
    <row r="563">
      <c r="C563" s="4" t="s">
        <v>70</v>
      </c>
      <c r="D563" s="56" t="s">
        <v>70</v>
      </c>
      <c r="E563" s="56" t="s">
        <v>70</v>
      </c>
      <c r="F563" s="56" t="s">
        <v>70</v>
      </c>
      <c r="G563" s="56" t="s">
        <v>70</v>
      </c>
      <c r="H563" s="4"/>
    </row>
    <row r="564">
      <c r="C564" s="4" t="s">
        <v>70</v>
      </c>
      <c r="D564" s="56" t="s">
        <v>70</v>
      </c>
      <c r="E564" s="56" t="s">
        <v>70</v>
      </c>
      <c r="F564" s="56" t="s">
        <v>70</v>
      </c>
      <c r="G564" s="56" t="s">
        <v>70</v>
      </c>
      <c r="H564" s="4"/>
    </row>
    <row r="565">
      <c r="C565" s="4" t="s">
        <v>70</v>
      </c>
      <c r="D565" s="56" t="s">
        <v>70</v>
      </c>
      <c r="E565" s="56" t="s">
        <v>70</v>
      </c>
      <c r="F565" s="56" t="s">
        <v>70</v>
      </c>
      <c r="G565" s="56" t="s">
        <v>70</v>
      </c>
      <c r="H565" s="4"/>
    </row>
    <row r="566">
      <c r="C566" s="4" t="s">
        <v>70</v>
      </c>
      <c r="D566" s="56" t="s">
        <v>70</v>
      </c>
      <c r="E566" s="56" t="s">
        <v>70</v>
      </c>
      <c r="F566" s="56" t="s">
        <v>70</v>
      </c>
      <c r="G566" s="56" t="s">
        <v>70</v>
      </c>
      <c r="H566" s="4"/>
    </row>
    <row r="567">
      <c r="C567" s="4" t="s">
        <v>70</v>
      </c>
      <c r="D567" s="56" t="s">
        <v>70</v>
      </c>
      <c r="E567" s="56" t="s">
        <v>70</v>
      </c>
      <c r="F567" s="56" t="s">
        <v>70</v>
      </c>
      <c r="G567" s="56" t="s">
        <v>70</v>
      </c>
      <c r="H567" s="4"/>
    </row>
    <row r="568">
      <c r="C568" s="4" t="s">
        <v>70</v>
      </c>
      <c r="D568" s="56" t="s">
        <v>70</v>
      </c>
      <c r="E568" s="56" t="s">
        <v>70</v>
      </c>
      <c r="F568" s="56" t="s">
        <v>70</v>
      </c>
      <c r="G568" s="56" t="s">
        <v>70</v>
      </c>
      <c r="H568" s="4"/>
    </row>
    <row r="569">
      <c r="C569" s="4" t="s">
        <v>70</v>
      </c>
      <c r="D569" s="56" t="s">
        <v>70</v>
      </c>
      <c r="E569" s="56" t="s">
        <v>70</v>
      </c>
      <c r="F569" s="56" t="s">
        <v>70</v>
      </c>
      <c r="G569" s="56" t="s">
        <v>70</v>
      </c>
      <c r="H569" s="4"/>
    </row>
    <row r="570">
      <c r="C570" s="4" t="s">
        <v>70</v>
      </c>
      <c r="D570" s="56" t="s">
        <v>70</v>
      </c>
      <c r="E570" s="56" t="s">
        <v>70</v>
      </c>
      <c r="F570" s="56" t="s">
        <v>70</v>
      </c>
      <c r="G570" s="56" t="s">
        <v>70</v>
      </c>
      <c r="H570" s="4"/>
    </row>
    <row r="571">
      <c r="C571" s="4" t="s">
        <v>70</v>
      </c>
      <c r="D571" s="56" t="s">
        <v>70</v>
      </c>
      <c r="E571" s="56" t="s">
        <v>70</v>
      </c>
      <c r="F571" s="56" t="s">
        <v>70</v>
      </c>
      <c r="G571" s="56" t="s">
        <v>70</v>
      </c>
      <c r="H571" s="4"/>
    </row>
    <row r="572">
      <c r="C572" s="4" t="s">
        <v>70</v>
      </c>
      <c r="D572" s="56" t="s">
        <v>70</v>
      </c>
      <c r="E572" s="56" t="s">
        <v>70</v>
      </c>
      <c r="F572" s="56" t="s">
        <v>70</v>
      </c>
      <c r="G572" s="56" t="s">
        <v>70</v>
      </c>
      <c r="H572" s="4"/>
    </row>
    <row r="573">
      <c r="C573" s="4" t="s">
        <v>70</v>
      </c>
      <c r="D573" s="56" t="s">
        <v>70</v>
      </c>
      <c r="E573" s="56" t="s">
        <v>70</v>
      </c>
      <c r="F573" s="56" t="s">
        <v>70</v>
      </c>
      <c r="G573" s="56" t="s">
        <v>70</v>
      </c>
      <c r="H573" s="4"/>
    </row>
    <row r="574">
      <c r="C574" s="4" t="s">
        <v>70</v>
      </c>
      <c r="D574" s="56" t="s">
        <v>70</v>
      </c>
      <c r="E574" s="56" t="s">
        <v>70</v>
      </c>
      <c r="F574" s="56" t="s">
        <v>70</v>
      </c>
      <c r="G574" s="56" t="s">
        <v>70</v>
      </c>
      <c r="H574" s="4"/>
    </row>
    <row r="575">
      <c r="C575" s="4" t="s">
        <v>70</v>
      </c>
      <c r="D575" s="56" t="s">
        <v>70</v>
      </c>
      <c r="E575" s="56" t="s">
        <v>70</v>
      </c>
      <c r="F575" s="56" t="s">
        <v>70</v>
      </c>
      <c r="G575" s="56" t="s">
        <v>70</v>
      </c>
      <c r="H575" s="4"/>
    </row>
    <row r="576">
      <c r="C576" s="4" t="s">
        <v>70</v>
      </c>
      <c r="D576" s="56" t="s">
        <v>70</v>
      </c>
      <c r="E576" s="56" t="s">
        <v>70</v>
      </c>
      <c r="F576" s="56" t="s">
        <v>70</v>
      </c>
      <c r="G576" s="56" t="s">
        <v>70</v>
      </c>
      <c r="H576" s="4"/>
    </row>
    <row r="577">
      <c r="C577" s="4" t="s">
        <v>70</v>
      </c>
      <c r="D577" s="56" t="s">
        <v>70</v>
      </c>
      <c r="E577" s="56" t="s">
        <v>70</v>
      </c>
      <c r="F577" s="56" t="s">
        <v>70</v>
      </c>
      <c r="G577" s="56" t="s">
        <v>70</v>
      </c>
      <c r="H577" s="4"/>
    </row>
    <row r="578">
      <c r="C578" s="4" t="s">
        <v>70</v>
      </c>
      <c r="D578" s="56" t="s">
        <v>70</v>
      </c>
      <c r="E578" s="56" t="s">
        <v>70</v>
      </c>
      <c r="F578" s="56" t="s">
        <v>70</v>
      </c>
      <c r="G578" s="56" t="s">
        <v>70</v>
      </c>
      <c r="H578" s="4"/>
    </row>
    <row r="579">
      <c r="C579" s="4" t="s">
        <v>70</v>
      </c>
      <c r="D579" s="56" t="s">
        <v>70</v>
      </c>
      <c r="E579" s="56" t="s">
        <v>70</v>
      </c>
      <c r="F579" s="56" t="s">
        <v>70</v>
      </c>
      <c r="G579" s="56" t="s">
        <v>70</v>
      </c>
      <c r="H579" s="4"/>
    </row>
    <row r="580">
      <c r="C580" s="4" t="s">
        <v>70</v>
      </c>
      <c r="D580" s="56" t="s">
        <v>70</v>
      </c>
      <c r="E580" s="56" t="s">
        <v>70</v>
      </c>
      <c r="F580" s="56" t="s">
        <v>70</v>
      </c>
      <c r="G580" s="56" t="s">
        <v>70</v>
      </c>
      <c r="H580" s="4"/>
    </row>
    <row r="581">
      <c r="C581" s="4" t="s">
        <v>70</v>
      </c>
      <c r="D581" s="56" t="s">
        <v>70</v>
      </c>
      <c r="E581" s="56" t="s">
        <v>70</v>
      </c>
      <c r="F581" s="56" t="s">
        <v>70</v>
      </c>
      <c r="G581" s="56" t="s">
        <v>70</v>
      </c>
      <c r="H581" s="4"/>
    </row>
    <row r="582">
      <c r="C582" s="4" t="s">
        <v>70</v>
      </c>
      <c r="D582" s="56" t="s">
        <v>70</v>
      </c>
      <c r="E582" s="56" t="s">
        <v>70</v>
      </c>
      <c r="F582" s="56" t="s">
        <v>70</v>
      </c>
      <c r="G582" s="56" t="s">
        <v>70</v>
      </c>
      <c r="H582" s="4"/>
    </row>
    <row r="583">
      <c r="C583" s="4" t="s">
        <v>70</v>
      </c>
      <c r="D583" s="56" t="s">
        <v>70</v>
      </c>
      <c r="E583" s="56" t="s">
        <v>70</v>
      </c>
      <c r="F583" s="56" t="s">
        <v>70</v>
      </c>
      <c r="G583" s="56" t="s">
        <v>70</v>
      </c>
      <c r="H583" s="4"/>
    </row>
    <row r="584">
      <c r="C584" s="4" t="s">
        <v>70</v>
      </c>
      <c r="D584" s="56" t="s">
        <v>70</v>
      </c>
      <c r="E584" s="56" t="s">
        <v>70</v>
      </c>
      <c r="F584" s="56" t="s">
        <v>70</v>
      </c>
      <c r="G584" s="56" t="s">
        <v>70</v>
      </c>
      <c r="H584" s="4"/>
    </row>
    <row r="585">
      <c r="C585" s="4" t="s">
        <v>70</v>
      </c>
      <c r="D585" s="56" t="s">
        <v>70</v>
      </c>
      <c r="E585" s="56" t="s">
        <v>70</v>
      </c>
      <c r="F585" s="56" t="s">
        <v>70</v>
      </c>
      <c r="G585" s="56" t="s">
        <v>70</v>
      </c>
      <c r="H585" s="4"/>
    </row>
    <row r="586">
      <c r="C586" s="4" t="s">
        <v>70</v>
      </c>
      <c r="D586" s="56" t="s">
        <v>70</v>
      </c>
      <c r="E586" s="56" t="s">
        <v>70</v>
      </c>
      <c r="F586" s="56" t="s">
        <v>70</v>
      </c>
      <c r="G586" s="56" t="s">
        <v>70</v>
      </c>
      <c r="H586" s="4"/>
    </row>
    <row r="587">
      <c r="C587" s="4" t="s">
        <v>70</v>
      </c>
      <c r="D587" s="56" t="s">
        <v>70</v>
      </c>
      <c r="E587" s="56" t="s">
        <v>70</v>
      </c>
      <c r="F587" s="56" t="s">
        <v>70</v>
      </c>
      <c r="G587" s="56" t="s">
        <v>70</v>
      </c>
      <c r="H587" s="4"/>
    </row>
    <row r="588">
      <c r="C588" s="4" t="s">
        <v>70</v>
      </c>
      <c r="D588" s="56" t="s">
        <v>70</v>
      </c>
      <c r="E588" s="56" t="s">
        <v>70</v>
      </c>
      <c r="F588" s="56" t="s">
        <v>70</v>
      </c>
      <c r="G588" s="56" t="s">
        <v>70</v>
      </c>
      <c r="H588" s="4"/>
    </row>
    <row r="589">
      <c r="C589" s="4" t="s">
        <v>70</v>
      </c>
      <c r="D589" s="56" t="s">
        <v>70</v>
      </c>
      <c r="E589" s="56" t="s">
        <v>70</v>
      </c>
      <c r="F589" s="56" t="s">
        <v>70</v>
      </c>
      <c r="G589" s="56" t="s">
        <v>70</v>
      </c>
      <c r="H589" s="4"/>
    </row>
    <row r="590">
      <c r="C590" s="4" t="s">
        <v>70</v>
      </c>
      <c r="D590" s="56" t="s">
        <v>70</v>
      </c>
      <c r="E590" s="56" t="s">
        <v>70</v>
      </c>
      <c r="F590" s="56" t="s">
        <v>70</v>
      </c>
      <c r="G590" s="56" t="s">
        <v>70</v>
      </c>
      <c r="H590" s="4"/>
    </row>
    <row r="591">
      <c r="C591" s="4" t="s">
        <v>70</v>
      </c>
      <c r="D591" s="56" t="s">
        <v>70</v>
      </c>
      <c r="E591" s="56" t="s">
        <v>70</v>
      </c>
      <c r="F591" s="56" t="s">
        <v>70</v>
      </c>
      <c r="G591" s="56" t="s">
        <v>70</v>
      </c>
      <c r="H591" s="4"/>
    </row>
    <row r="592">
      <c r="C592" s="4" t="s">
        <v>70</v>
      </c>
      <c r="D592" s="56" t="s">
        <v>70</v>
      </c>
      <c r="E592" s="56" t="s">
        <v>70</v>
      </c>
      <c r="F592" s="56" t="s">
        <v>70</v>
      </c>
      <c r="G592" s="56" t="s">
        <v>70</v>
      </c>
      <c r="H592" s="4"/>
    </row>
    <row r="593">
      <c r="C593" s="4" t="s">
        <v>70</v>
      </c>
      <c r="D593" s="56" t="s">
        <v>70</v>
      </c>
      <c r="E593" s="56" t="s">
        <v>70</v>
      </c>
      <c r="F593" s="56" t="s">
        <v>70</v>
      </c>
      <c r="G593" s="56" t="s">
        <v>70</v>
      </c>
      <c r="H593" s="4"/>
    </row>
    <row r="594">
      <c r="C594" s="4" t="s">
        <v>70</v>
      </c>
      <c r="D594" s="56" t="s">
        <v>70</v>
      </c>
      <c r="E594" s="56" t="s">
        <v>70</v>
      </c>
      <c r="F594" s="56" t="s">
        <v>70</v>
      </c>
      <c r="G594" s="56" t="s">
        <v>70</v>
      </c>
      <c r="H594" s="4"/>
    </row>
    <row r="595">
      <c r="C595" s="4" t="s">
        <v>70</v>
      </c>
      <c r="D595" s="56" t="s">
        <v>70</v>
      </c>
      <c r="E595" s="56" t="s">
        <v>70</v>
      </c>
      <c r="F595" s="56" t="s">
        <v>70</v>
      </c>
      <c r="G595" s="56" t="s">
        <v>70</v>
      </c>
      <c r="H595" s="4"/>
    </row>
    <row r="596">
      <c r="C596" s="4" t="s">
        <v>70</v>
      </c>
      <c r="D596" s="56" t="s">
        <v>70</v>
      </c>
      <c r="E596" s="56" t="s">
        <v>70</v>
      </c>
      <c r="F596" s="56" t="s">
        <v>70</v>
      </c>
      <c r="G596" s="56" t="s">
        <v>70</v>
      </c>
      <c r="H596" s="4"/>
    </row>
    <row r="597">
      <c r="C597" s="4" t="s">
        <v>70</v>
      </c>
      <c r="D597" s="56" t="s">
        <v>70</v>
      </c>
      <c r="E597" s="56" t="s">
        <v>70</v>
      </c>
      <c r="F597" s="56" t="s">
        <v>70</v>
      </c>
      <c r="G597" s="56" t="s">
        <v>70</v>
      </c>
      <c r="H597" s="4"/>
    </row>
    <row r="598">
      <c r="C598" s="4" t="s">
        <v>70</v>
      </c>
      <c r="D598" s="56" t="s">
        <v>70</v>
      </c>
      <c r="E598" s="56" t="s">
        <v>70</v>
      </c>
      <c r="F598" s="56" t="s">
        <v>70</v>
      </c>
      <c r="G598" s="56" t="s">
        <v>70</v>
      </c>
      <c r="H598" s="4"/>
    </row>
    <row r="599">
      <c r="C599" s="4" t="s">
        <v>70</v>
      </c>
      <c r="D599" s="56" t="s">
        <v>70</v>
      </c>
      <c r="E599" s="56" t="s">
        <v>70</v>
      </c>
      <c r="F599" s="56" t="s">
        <v>70</v>
      </c>
      <c r="G599" s="56" t="s">
        <v>70</v>
      </c>
      <c r="H599" s="4"/>
    </row>
    <row r="600">
      <c r="C600" s="4" t="s">
        <v>70</v>
      </c>
      <c r="D600" s="56" t="s">
        <v>70</v>
      </c>
      <c r="E600" s="56" t="s">
        <v>70</v>
      </c>
      <c r="F600" s="56" t="s">
        <v>70</v>
      </c>
      <c r="G600" s="56" t="s">
        <v>70</v>
      </c>
      <c r="H600" s="4"/>
    </row>
    <row r="601">
      <c r="C601" s="4" t="s">
        <v>70</v>
      </c>
      <c r="D601" s="56" t="s">
        <v>70</v>
      </c>
      <c r="E601" s="56" t="s">
        <v>70</v>
      </c>
      <c r="F601" s="56" t="s">
        <v>70</v>
      </c>
      <c r="G601" s="56" t="s">
        <v>70</v>
      </c>
      <c r="H601" s="4"/>
    </row>
    <row r="602">
      <c r="C602" s="4" t="s">
        <v>70</v>
      </c>
      <c r="D602" s="56" t="s">
        <v>70</v>
      </c>
      <c r="E602" s="56" t="s">
        <v>70</v>
      </c>
      <c r="F602" s="56" t="s">
        <v>70</v>
      </c>
      <c r="G602" s="56" t="s">
        <v>70</v>
      </c>
      <c r="H602" s="4"/>
    </row>
    <row r="603">
      <c r="C603" s="4" t="s">
        <v>70</v>
      </c>
      <c r="D603" s="56" t="s">
        <v>70</v>
      </c>
      <c r="E603" s="56" t="s">
        <v>70</v>
      </c>
      <c r="F603" s="56" t="s">
        <v>70</v>
      </c>
      <c r="G603" s="56" t="s">
        <v>70</v>
      </c>
      <c r="H603" s="4"/>
    </row>
    <row r="604">
      <c r="C604" s="4" t="s">
        <v>70</v>
      </c>
      <c r="D604" s="56" t="s">
        <v>70</v>
      </c>
      <c r="E604" s="56" t="s">
        <v>70</v>
      </c>
      <c r="F604" s="56" t="s">
        <v>70</v>
      </c>
      <c r="G604" s="56" t="s">
        <v>70</v>
      </c>
      <c r="H604" s="4"/>
    </row>
    <row r="605">
      <c r="C605" s="4" t="s">
        <v>70</v>
      </c>
      <c r="D605" s="56" t="s">
        <v>70</v>
      </c>
      <c r="E605" s="56" t="s">
        <v>70</v>
      </c>
      <c r="F605" s="56" t="s">
        <v>70</v>
      </c>
      <c r="G605" s="56" t="s">
        <v>70</v>
      </c>
      <c r="H605" s="4"/>
    </row>
    <row r="606">
      <c r="C606" s="4" t="s">
        <v>70</v>
      </c>
      <c r="D606" s="56" t="s">
        <v>70</v>
      </c>
      <c r="E606" s="56" t="s">
        <v>70</v>
      </c>
      <c r="F606" s="56" t="s">
        <v>70</v>
      </c>
      <c r="G606" s="56" t="s">
        <v>70</v>
      </c>
      <c r="H606" s="4"/>
    </row>
    <row r="607">
      <c r="C607" s="4" t="s">
        <v>70</v>
      </c>
      <c r="D607" s="56" t="s">
        <v>70</v>
      </c>
      <c r="E607" s="56" t="s">
        <v>70</v>
      </c>
      <c r="F607" s="56" t="s">
        <v>70</v>
      </c>
      <c r="G607" s="56" t="s">
        <v>70</v>
      </c>
      <c r="H607" s="4"/>
    </row>
    <row r="608">
      <c r="C608" s="4" t="s">
        <v>70</v>
      </c>
      <c r="D608" s="56" t="s">
        <v>70</v>
      </c>
      <c r="E608" s="56" t="s">
        <v>70</v>
      </c>
      <c r="F608" s="56" t="s">
        <v>70</v>
      </c>
      <c r="G608" s="56" t="s">
        <v>70</v>
      </c>
      <c r="H608" s="4"/>
    </row>
    <row r="609">
      <c r="C609" s="4" t="s">
        <v>70</v>
      </c>
      <c r="D609" s="56" t="s">
        <v>70</v>
      </c>
      <c r="E609" s="56" t="s">
        <v>70</v>
      </c>
      <c r="F609" s="56" t="s">
        <v>70</v>
      </c>
      <c r="G609" s="56" t="s">
        <v>70</v>
      </c>
      <c r="H609" s="4"/>
    </row>
    <row r="610">
      <c r="C610" s="4" t="s">
        <v>70</v>
      </c>
      <c r="D610" s="56" t="s">
        <v>70</v>
      </c>
      <c r="E610" s="56" t="s">
        <v>70</v>
      </c>
      <c r="F610" s="56" t="s">
        <v>70</v>
      </c>
      <c r="G610" s="56" t="s">
        <v>70</v>
      </c>
      <c r="H610" s="4"/>
    </row>
    <row r="611">
      <c r="C611" s="4" t="s">
        <v>70</v>
      </c>
      <c r="D611" s="56" t="s">
        <v>70</v>
      </c>
      <c r="E611" s="56" t="s">
        <v>70</v>
      </c>
      <c r="F611" s="56" t="s">
        <v>70</v>
      </c>
      <c r="G611" s="56" t="s">
        <v>70</v>
      </c>
      <c r="H611" s="4"/>
    </row>
    <row r="612">
      <c r="C612" s="4" t="s">
        <v>70</v>
      </c>
      <c r="D612" s="56" t="s">
        <v>70</v>
      </c>
      <c r="E612" s="56" t="s">
        <v>70</v>
      </c>
      <c r="F612" s="56" t="s">
        <v>70</v>
      </c>
      <c r="G612" s="56" t="s">
        <v>70</v>
      </c>
      <c r="H612" s="4"/>
    </row>
    <row r="613">
      <c r="C613" s="4" t="s">
        <v>70</v>
      </c>
      <c r="D613" s="56" t="s">
        <v>70</v>
      </c>
      <c r="E613" s="56" t="s">
        <v>70</v>
      </c>
      <c r="F613" s="56" t="s">
        <v>70</v>
      </c>
      <c r="G613" s="56" t="s">
        <v>70</v>
      </c>
      <c r="H613" s="4"/>
    </row>
    <row r="614">
      <c r="C614" s="4" t="s">
        <v>70</v>
      </c>
      <c r="D614" s="56" t="s">
        <v>70</v>
      </c>
      <c r="E614" s="56" t="s">
        <v>70</v>
      </c>
      <c r="F614" s="56" t="s">
        <v>70</v>
      </c>
      <c r="G614" s="56" t="s">
        <v>70</v>
      </c>
      <c r="H614" s="4"/>
    </row>
    <row r="615">
      <c r="C615" s="4" t="s">
        <v>70</v>
      </c>
      <c r="D615" s="56" t="s">
        <v>70</v>
      </c>
      <c r="E615" s="56" t="s">
        <v>70</v>
      </c>
      <c r="F615" s="56" t="s">
        <v>70</v>
      </c>
      <c r="G615" s="56" t="s">
        <v>70</v>
      </c>
      <c r="H615" s="4"/>
    </row>
    <row r="616">
      <c r="C616" s="4" t="s">
        <v>70</v>
      </c>
      <c r="D616" s="56" t="s">
        <v>70</v>
      </c>
      <c r="E616" s="56" t="s">
        <v>70</v>
      </c>
      <c r="F616" s="56" t="s">
        <v>70</v>
      </c>
      <c r="G616" s="56" t="s">
        <v>70</v>
      </c>
      <c r="H616" s="4"/>
    </row>
    <row r="617">
      <c r="C617" s="4" t="s">
        <v>70</v>
      </c>
      <c r="D617" s="56" t="s">
        <v>70</v>
      </c>
      <c r="E617" s="56" t="s">
        <v>70</v>
      </c>
      <c r="F617" s="56" t="s">
        <v>70</v>
      </c>
      <c r="G617" s="56" t="s">
        <v>70</v>
      </c>
      <c r="H617" s="4"/>
    </row>
    <row r="618">
      <c r="C618" s="4" t="s">
        <v>70</v>
      </c>
      <c r="D618" s="56" t="s">
        <v>70</v>
      </c>
      <c r="E618" s="56" t="s">
        <v>70</v>
      </c>
      <c r="F618" s="56" t="s">
        <v>70</v>
      </c>
      <c r="G618" s="56" t="s">
        <v>70</v>
      </c>
      <c r="H618" s="4"/>
    </row>
    <row r="619">
      <c r="C619" s="4" t="s">
        <v>70</v>
      </c>
      <c r="D619" s="56" t="s">
        <v>70</v>
      </c>
      <c r="E619" s="56" t="s">
        <v>70</v>
      </c>
      <c r="F619" s="56" t="s">
        <v>70</v>
      </c>
      <c r="G619" s="56" t="s">
        <v>70</v>
      </c>
      <c r="H619" s="4"/>
    </row>
    <row r="620">
      <c r="C620" s="4" t="s">
        <v>70</v>
      </c>
      <c r="D620" s="56" t="s">
        <v>70</v>
      </c>
      <c r="E620" s="56" t="s">
        <v>70</v>
      </c>
      <c r="F620" s="56" t="s">
        <v>70</v>
      </c>
      <c r="G620" s="56" t="s">
        <v>70</v>
      </c>
      <c r="H620" s="4"/>
    </row>
    <row r="621">
      <c r="C621" s="4" t="s">
        <v>70</v>
      </c>
      <c r="D621" s="56" t="s">
        <v>70</v>
      </c>
      <c r="E621" s="56" t="s">
        <v>70</v>
      </c>
      <c r="F621" s="56" t="s">
        <v>70</v>
      </c>
      <c r="G621" s="56" t="s">
        <v>70</v>
      </c>
      <c r="H621" s="4"/>
    </row>
    <row r="622">
      <c r="C622" s="4" t="s">
        <v>70</v>
      </c>
      <c r="D622" s="56" t="s">
        <v>70</v>
      </c>
      <c r="E622" s="56" t="s">
        <v>70</v>
      </c>
      <c r="F622" s="56" t="s">
        <v>70</v>
      </c>
      <c r="G622" s="56" t="s">
        <v>70</v>
      </c>
      <c r="H622" s="4"/>
    </row>
    <row r="623">
      <c r="C623" s="4" t="s">
        <v>70</v>
      </c>
      <c r="D623" s="56" t="s">
        <v>70</v>
      </c>
      <c r="E623" s="56" t="s">
        <v>70</v>
      </c>
      <c r="F623" s="56" t="s">
        <v>70</v>
      </c>
      <c r="G623" s="56" t="s">
        <v>70</v>
      </c>
      <c r="H623" s="4"/>
    </row>
    <row r="624">
      <c r="C624" s="4" t="s">
        <v>70</v>
      </c>
      <c r="D624" s="56" t="s">
        <v>70</v>
      </c>
      <c r="E624" s="56" t="s">
        <v>70</v>
      </c>
      <c r="F624" s="56" t="s">
        <v>70</v>
      </c>
      <c r="G624" s="56" t="s">
        <v>70</v>
      </c>
      <c r="H624" s="4"/>
    </row>
    <row r="625">
      <c r="C625" s="4" t="s">
        <v>70</v>
      </c>
      <c r="D625" s="56" t="s">
        <v>70</v>
      </c>
      <c r="E625" s="56" t="s">
        <v>70</v>
      </c>
      <c r="F625" s="56" t="s">
        <v>70</v>
      </c>
      <c r="G625" s="56" t="s">
        <v>70</v>
      </c>
      <c r="H625" s="4"/>
    </row>
    <row r="626">
      <c r="C626" s="4" t="s">
        <v>70</v>
      </c>
      <c r="D626" s="56" t="s">
        <v>70</v>
      </c>
      <c r="E626" s="56" t="s">
        <v>70</v>
      </c>
      <c r="F626" s="56" t="s">
        <v>70</v>
      </c>
      <c r="G626" s="56" t="s">
        <v>70</v>
      </c>
      <c r="H626" s="4"/>
    </row>
    <row r="627">
      <c r="C627" s="4" t="s">
        <v>70</v>
      </c>
      <c r="D627" s="56" t="s">
        <v>70</v>
      </c>
      <c r="E627" s="56" t="s">
        <v>70</v>
      </c>
      <c r="F627" s="56" t="s">
        <v>70</v>
      </c>
      <c r="G627" s="56" t="s">
        <v>70</v>
      </c>
      <c r="H627" s="4"/>
    </row>
    <row r="628">
      <c r="C628" s="4" t="s">
        <v>70</v>
      </c>
      <c r="D628" s="56" t="s">
        <v>70</v>
      </c>
      <c r="E628" s="56" t="s">
        <v>70</v>
      </c>
      <c r="F628" s="56" t="s">
        <v>70</v>
      </c>
      <c r="G628" s="56" t="s">
        <v>70</v>
      </c>
      <c r="H628" s="4"/>
    </row>
    <row r="629">
      <c r="C629" s="4" t="s">
        <v>70</v>
      </c>
      <c r="D629" s="56" t="s">
        <v>70</v>
      </c>
      <c r="E629" s="56" t="s">
        <v>70</v>
      </c>
      <c r="F629" s="56" t="s">
        <v>70</v>
      </c>
      <c r="G629" s="56" t="s">
        <v>70</v>
      </c>
      <c r="H629" s="4"/>
    </row>
    <row r="630">
      <c r="C630" s="4" t="s">
        <v>70</v>
      </c>
      <c r="D630" s="56" t="s">
        <v>70</v>
      </c>
      <c r="E630" s="56" t="s">
        <v>70</v>
      </c>
      <c r="F630" s="56" t="s">
        <v>70</v>
      </c>
      <c r="G630" s="56" t="s">
        <v>70</v>
      </c>
      <c r="H630" s="4"/>
    </row>
    <row r="631">
      <c r="C631" s="4" t="s">
        <v>70</v>
      </c>
      <c r="D631" s="56" t="s">
        <v>70</v>
      </c>
      <c r="E631" s="56" t="s">
        <v>70</v>
      </c>
      <c r="F631" s="56" t="s">
        <v>70</v>
      </c>
      <c r="G631" s="56" t="s">
        <v>70</v>
      </c>
      <c r="H631" s="4"/>
    </row>
    <row r="632">
      <c r="C632" s="4" t="s">
        <v>70</v>
      </c>
      <c r="D632" s="56" t="s">
        <v>70</v>
      </c>
      <c r="E632" s="56" t="s">
        <v>70</v>
      </c>
      <c r="F632" s="56" t="s">
        <v>70</v>
      </c>
      <c r="G632" s="56" t="s">
        <v>70</v>
      </c>
      <c r="H632" s="4"/>
    </row>
    <row r="633">
      <c r="C633" s="4" t="s">
        <v>70</v>
      </c>
      <c r="D633" s="56" t="s">
        <v>70</v>
      </c>
      <c r="E633" s="56" t="s">
        <v>70</v>
      </c>
      <c r="F633" s="56" t="s">
        <v>70</v>
      </c>
      <c r="G633" s="56" t="s">
        <v>70</v>
      </c>
      <c r="H633" s="4"/>
    </row>
    <row r="634">
      <c r="C634" s="4" t="s">
        <v>70</v>
      </c>
      <c r="D634" s="56" t="s">
        <v>70</v>
      </c>
      <c r="E634" s="56" t="s">
        <v>70</v>
      </c>
      <c r="F634" s="56" t="s">
        <v>70</v>
      </c>
      <c r="G634" s="56" t="s">
        <v>70</v>
      </c>
      <c r="H634" s="4"/>
    </row>
    <row r="635">
      <c r="C635" s="4" t="s">
        <v>70</v>
      </c>
      <c r="D635" s="56" t="s">
        <v>70</v>
      </c>
      <c r="E635" s="56" t="s">
        <v>70</v>
      </c>
      <c r="F635" s="56" t="s">
        <v>70</v>
      </c>
      <c r="G635" s="56" t="s">
        <v>70</v>
      </c>
      <c r="H635" s="4"/>
    </row>
    <row r="636">
      <c r="C636" s="4" t="s">
        <v>70</v>
      </c>
      <c r="D636" s="56" t="s">
        <v>70</v>
      </c>
      <c r="E636" s="56" t="s">
        <v>70</v>
      </c>
      <c r="F636" s="56" t="s">
        <v>70</v>
      </c>
      <c r="G636" s="56" t="s">
        <v>70</v>
      </c>
      <c r="H636" s="4"/>
    </row>
    <row r="637">
      <c r="C637" s="4" t="s">
        <v>70</v>
      </c>
      <c r="D637" s="56" t="s">
        <v>70</v>
      </c>
      <c r="E637" s="56" t="s">
        <v>70</v>
      </c>
      <c r="F637" s="56" t="s">
        <v>70</v>
      </c>
      <c r="G637" s="56" t="s">
        <v>70</v>
      </c>
      <c r="H637" s="4"/>
    </row>
    <row r="638">
      <c r="C638" s="4" t="s">
        <v>70</v>
      </c>
      <c r="D638" s="56" t="s">
        <v>70</v>
      </c>
      <c r="E638" s="56" t="s">
        <v>70</v>
      </c>
      <c r="F638" s="56" t="s">
        <v>70</v>
      </c>
      <c r="G638" s="56" t="s">
        <v>70</v>
      </c>
      <c r="H638" s="4"/>
    </row>
    <row r="639">
      <c r="C639" s="4" t="s">
        <v>70</v>
      </c>
      <c r="D639" s="56" t="s">
        <v>70</v>
      </c>
      <c r="E639" s="56" t="s">
        <v>70</v>
      </c>
      <c r="F639" s="56" t="s">
        <v>70</v>
      </c>
      <c r="G639" s="56" t="s">
        <v>70</v>
      </c>
      <c r="H639" s="4"/>
    </row>
    <row r="640">
      <c r="C640" s="4" t="s">
        <v>70</v>
      </c>
      <c r="D640" s="56" t="s">
        <v>70</v>
      </c>
      <c r="E640" s="56" t="s">
        <v>70</v>
      </c>
      <c r="F640" s="56" t="s">
        <v>70</v>
      </c>
      <c r="G640" s="56" t="s">
        <v>70</v>
      </c>
      <c r="H640" s="4"/>
    </row>
    <row r="641">
      <c r="C641" s="4" t="s">
        <v>70</v>
      </c>
      <c r="D641" s="56" t="s">
        <v>70</v>
      </c>
      <c r="E641" s="56" t="s">
        <v>70</v>
      </c>
      <c r="F641" s="56" t="s">
        <v>70</v>
      </c>
      <c r="G641" s="56" t="s">
        <v>70</v>
      </c>
      <c r="H641" s="4"/>
    </row>
    <row r="642">
      <c r="C642" s="4" t="s">
        <v>70</v>
      </c>
      <c r="D642" s="56" t="s">
        <v>70</v>
      </c>
      <c r="E642" s="56" t="s">
        <v>70</v>
      </c>
      <c r="F642" s="56" t="s">
        <v>70</v>
      </c>
      <c r="G642" s="56" t="s">
        <v>70</v>
      </c>
      <c r="H642" s="4"/>
    </row>
    <row r="643">
      <c r="C643" s="4" t="s">
        <v>70</v>
      </c>
      <c r="D643" s="56" t="s">
        <v>70</v>
      </c>
      <c r="E643" s="56" t="s">
        <v>70</v>
      </c>
      <c r="F643" s="56" t="s">
        <v>70</v>
      </c>
      <c r="G643" s="56" t="s">
        <v>70</v>
      </c>
      <c r="H643" s="4"/>
    </row>
    <row r="644">
      <c r="C644" s="4" t="s">
        <v>70</v>
      </c>
      <c r="D644" s="56" t="s">
        <v>70</v>
      </c>
      <c r="E644" s="56" t="s">
        <v>70</v>
      </c>
      <c r="F644" s="56" t="s">
        <v>70</v>
      </c>
      <c r="G644" s="56" t="s">
        <v>70</v>
      </c>
      <c r="H644" s="4"/>
    </row>
    <row r="645">
      <c r="C645" s="4" t="s">
        <v>70</v>
      </c>
      <c r="D645" s="56" t="s">
        <v>70</v>
      </c>
      <c r="E645" s="56" t="s">
        <v>70</v>
      </c>
      <c r="F645" s="56" t="s">
        <v>70</v>
      </c>
      <c r="G645" s="56" t="s">
        <v>70</v>
      </c>
      <c r="H645" s="4"/>
    </row>
    <row r="646">
      <c r="C646" s="4" t="s">
        <v>70</v>
      </c>
      <c r="D646" s="56" t="s">
        <v>70</v>
      </c>
      <c r="E646" s="56" t="s">
        <v>70</v>
      </c>
      <c r="F646" s="56" t="s">
        <v>70</v>
      </c>
      <c r="G646" s="56" t="s">
        <v>70</v>
      </c>
      <c r="H646" s="4"/>
    </row>
    <row r="647">
      <c r="C647" s="4" t="s">
        <v>70</v>
      </c>
      <c r="D647" s="56" t="s">
        <v>70</v>
      </c>
      <c r="E647" s="56" t="s">
        <v>70</v>
      </c>
      <c r="F647" s="56" t="s">
        <v>70</v>
      </c>
      <c r="G647" s="56" t="s">
        <v>70</v>
      </c>
      <c r="H647" s="4"/>
    </row>
    <row r="648">
      <c r="C648" s="4" t="s">
        <v>70</v>
      </c>
      <c r="D648" s="56" t="s">
        <v>70</v>
      </c>
      <c r="E648" s="56" t="s">
        <v>70</v>
      </c>
      <c r="F648" s="56" t="s">
        <v>70</v>
      </c>
      <c r="G648" s="56" t="s">
        <v>70</v>
      </c>
      <c r="H648" s="4"/>
    </row>
    <row r="649">
      <c r="C649" s="4" t="s">
        <v>70</v>
      </c>
      <c r="D649" s="56" t="s">
        <v>70</v>
      </c>
      <c r="E649" s="56" t="s">
        <v>70</v>
      </c>
      <c r="F649" s="56" t="s">
        <v>70</v>
      </c>
      <c r="G649" s="56" t="s">
        <v>70</v>
      </c>
      <c r="H649" s="4"/>
    </row>
    <row r="650">
      <c r="C650" s="4" t="s">
        <v>70</v>
      </c>
      <c r="D650" s="56" t="s">
        <v>70</v>
      </c>
      <c r="E650" s="56" t="s">
        <v>70</v>
      </c>
      <c r="F650" s="56" t="s">
        <v>70</v>
      </c>
      <c r="G650" s="56" t="s">
        <v>70</v>
      </c>
      <c r="H650" s="4"/>
    </row>
    <row r="651">
      <c r="C651" s="4" t="s">
        <v>70</v>
      </c>
      <c r="D651" s="56" t="s">
        <v>70</v>
      </c>
      <c r="E651" s="56" t="s">
        <v>70</v>
      </c>
      <c r="F651" s="56" t="s">
        <v>70</v>
      </c>
      <c r="G651" s="56" t="s">
        <v>70</v>
      </c>
      <c r="H651" s="4"/>
    </row>
    <row r="652">
      <c r="C652" s="4" t="s">
        <v>70</v>
      </c>
      <c r="D652" s="56" t="s">
        <v>70</v>
      </c>
      <c r="E652" s="56" t="s">
        <v>70</v>
      </c>
      <c r="F652" s="56" t="s">
        <v>70</v>
      </c>
      <c r="G652" s="56" t="s">
        <v>70</v>
      </c>
      <c r="H652" s="4"/>
    </row>
    <row r="653">
      <c r="C653" s="4" t="s">
        <v>70</v>
      </c>
      <c r="D653" s="56" t="s">
        <v>70</v>
      </c>
      <c r="E653" s="56" t="s">
        <v>70</v>
      </c>
      <c r="F653" s="56" t="s">
        <v>70</v>
      </c>
      <c r="G653" s="56" t="s">
        <v>70</v>
      </c>
      <c r="H653" s="4"/>
    </row>
    <row r="654">
      <c r="C654" s="4" t="s">
        <v>70</v>
      </c>
      <c r="D654" s="56" t="s">
        <v>70</v>
      </c>
      <c r="E654" s="56" t="s">
        <v>70</v>
      </c>
      <c r="F654" s="56" t="s">
        <v>70</v>
      </c>
      <c r="G654" s="56" t="s">
        <v>70</v>
      </c>
      <c r="H654" s="4"/>
    </row>
    <row r="655">
      <c r="C655" s="4" t="s">
        <v>70</v>
      </c>
      <c r="D655" s="56" t="s">
        <v>70</v>
      </c>
      <c r="E655" s="56" t="s">
        <v>70</v>
      </c>
      <c r="F655" s="56" t="s">
        <v>70</v>
      </c>
      <c r="G655" s="56" t="s">
        <v>70</v>
      </c>
      <c r="H655" s="4"/>
    </row>
    <row r="656">
      <c r="C656" s="4" t="s">
        <v>70</v>
      </c>
      <c r="D656" s="56" t="s">
        <v>70</v>
      </c>
      <c r="E656" s="56" t="s">
        <v>70</v>
      </c>
      <c r="F656" s="56" t="s">
        <v>70</v>
      </c>
      <c r="G656" s="56" t="s">
        <v>70</v>
      </c>
      <c r="H656" s="4"/>
    </row>
    <row r="657">
      <c r="C657" s="4" t="s">
        <v>70</v>
      </c>
      <c r="D657" s="56" t="s">
        <v>70</v>
      </c>
      <c r="E657" s="56" t="s">
        <v>70</v>
      </c>
      <c r="F657" s="56" t="s">
        <v>70</v>
      </c>
      <c r="G657" s="56" t="s">
        <v>70</v>
      </c>
      <c r="H657" s="4"/>
    </row>
    <row r="658">
      <c r="C658" s="4" t="s">
        <v>70</v>
      </c>
      <c r="D658" s="56" t="s">
        <v>70</v>
      </c>
      <c r="E658" s="56" t="s">
        <v>70</v>
      </c>
      <c r="F658" s="56" t="s">
        <v>70</v>
      </c>
      <c r="G658" s="56" t="s">
        <v>70</v>
      </c>
      <c r="H658" s="4"/>
    </row>
    <row r="659">
      <c r="C659" s="4" t="s">
        <v>70</v>
      </c>
      <c r="D659" s="56" t="s">
        <v>70</v>
      </c>
      <c r="E659" s="56" t="s">
        <v>70</v>
      </c>
      <c r="F659" s="56" t="s">
        <v>70</v>
      </c>
      <c r="G659" s="56" t="s">
        <v>70</v>
      </c>
      <c r="H659" s="4"/>
    </row>
    <row r="660">
      <c r="C660" s="4" t="s">
        <v>70</v>
      </c>
      <c r="D660" s="56" t="s">
        <v>70</v>
      </c>
      <c r="E660" s="56" t="s">
        <v>70</v>
      </c>
      <c r="F660" s="56" t="s">
        <v>70</v>
      </c>
      <c r="G660" s="56" t="s">
        <v>70</v>
      </c>
      <c r="H660" s="4"/>
    </row>
    <row r="661">
      <c r="C661" s="4" t="s">
        <v>70</v>
      </c>
      <c r="D661" s="56" t="s">
        <v>70</v>
      </c>
      <c r="E661" s="56" t="s">
        <v>70</v>
      </c>
      <c r="F661" s="56" t="s">
        <v>70</v>
      </c>
      <c r="G661" s="56" t="s">
        <v>70</v>
      </c>
      <c r="H661" s="4"/>
    </row>
    <row r="662">
      <c r="C662" s="4" t="s">
        <v>70</v>
      </c>
      <c r="D662" s="56" t="s">
        <v>70</v>
      </c>
      <c r="E662" s="56" t="s">
        <v>70</v>
      </c>
      <c r="F662" s="56" t="s">
        <v>70</v>
      </c>
      <c r="G662" s="56" t="s">
        <v>70</v>
      </c>
      <c r="H662" s="4"/>
    </row>
    <row r="663">
      <c r="C663" s="4" t="s">
        <v>70</v>
      </c>
      <c r="D663" s="56" t="s">
        <v>70</v>
      </c>
      <c r="E663" s="56" t="s">
        <v>70</v>
      </c>
      <c r="F663" s="56" t="s">
        <v>70</v>
      </c>
      <c r="G663" s="56" t="s">
        <v>70</v>
      </c>
      <c r="H663" s="4"/>
    </row>
    <row r="664">
      <c r="C664" s="4" t="s">
        <v>70</v>
      </c>
      <c r="D664" s="56" t="s">
        <v>70</v>
      </c>
      <c r="E664" s="56" t="s">
        <v>70</v>
      </c>
      <c r="F664" s="56" t="s">
        <v>70</v>
      </c>
      <c r="G664" s="56" t="s">
        <v>70</v>
      </c>
      <c r="H664" s="4"/>
    </row>
    <row r="665">
      <c r="C665" s="4" t="s">
        <v>70</v>
      </c>
      <c r="D665" s="56" t="s">
        <v>70</v>
      </c>
      <c r="E665" s="56" t="s">
        <v>70</v>
      </c>
      <c r="F665" s="56" t="s">
        <v>70</v>
      </c>
      <c r="G665" s="56" t="s">
        <v>70</v>
      </c>
      <c r="H665" s="4"/>
    </row>
    <row r="666">
      <c r="C666" s="4" t="s">
        <v>70</v>
      </c>
      <c r="D666" s="56" t="s">
        <v>70</v>
      </c>
      <c r="E666" s="56" t="s">
        <v>70</v>
      </c>
      <c r="F666" s="56" t="s">
        <v>70</v>
      </c>
      <c r="G666" s="56" t="s">
        <v>70</v>
      </c>
      <c r="H666" s="4"/>
    </row>
    <row r="667">
      <c r="C667" s="4" t="s">
        <v>70</v>
      </c>
      <c r="D667" s="56" t="s">
        <v>70</v>
      </c>
      <c r="E667" s="56" t="s">
        <v>70</v>
      </c>
      <c r="F667" s="56" t="s">
        <v>70</v>
      </c>
      <c r="G667" s="56" t="s">
        <v>70</v>
      </c>
      <c r="H667" s="4"/>
    </row>
    <row r="668">
      <c r="C668" s="4" t="s">
        <v>70</v>
      </c>
      <c r="D668" s="56" t="s">
        <v>70</v>
      </c>
      <c r="E668" s="56" t="s">
        <v>70</v>
      </c>
      <c r="F668" s="56" t="s">
        <v>70</v>
      </c>
      <c r="G668" s="56" t="s">
        <v>70</v>
      </c>
      <c r="H668" s="4"/>
    </row>
    <row r="669">
      <c r="C669" s="4" t="s">
        <v>70</v>
      </c>
      <c r="D669" s="56" t="s">
        <v>70</v>
      </c>
      <c r="E669" s="56" t="s">
        <v>70</v>
      </c>
      <c r="F669" s="56" t="s">
        <v>70</v>
      </c>
      <c r="G669" s="56" t="s">
        <v>70</v>
      </c>
      <c r="H669" s="4"/>
    </row>
    <row r="670">
      <c r="C670" s="4" t="s">
        <v>70</v>
      </c>
      <c r="D670" s="56" t="s">
        <v>70</v>
      </c>
      <c r="E670" s="56" t="s">
        <v>70</v>
      </c>
      <c r="F670" s="56" t="s">
        <v>70</v>
      </c>
      <c r="G670" s="56" t="s">
        <v>70</v>
      </c>
      <c r="H670" s="4"/>
    </row>
    <row r="671">
      <c r="C671" s="4" t="s">
        <v>70</v>
      </c>
      <c r="D671" s="56" t="s">
        <v>70</v>
      </c>
      <c r="E671" s="56" t="s">
        <v>70</v>
      </c>
      <c r="F671" s="56" t="s">
        <v>70</v>
      </c>
      <c r="G671" s="56" t="s">
        <v>70</v>
      </c>
      <c r="H671" s="4"/>
    </row>
    <row r="672">
      <c r="C672" s="4" t="s">
        <v>70</v>
      </c>
      <c r="D672" s="56" t="s">
        <v>70</v>
      </c>
      <c r="E672" s="56" t="s">
        <v>70</v>
      </c>
      <c r="F672" s="56" t="s">
        <v>70</v>
      </c>
      <c r="G672" s="56" t="s">
        <v>70</v>
      </c>
      <c r="H672" s="4"/>
    </row>
    <row r="673">
      <c r="C673" s="4" t="s">
        <v>70</v>
      </c>
      <c r="D673" s="56" t="s">
        <v>70</v>
      </c>
      <c r="E673" s="56" t="s">
        <v>70</v>
      </c>
      <c r="F673" s="56" t="s">
        <v>70</v>
      </c>
      <c r="G673" s="56" t="s">
        <v>70</v>
      </c>
      <c r="H673" s="4"/>
    </row>
    <row r="674">
      <c r="C674" s="4" t="s">
        <v>70</v>
      </c>
      <c r="D674" s="56" t="s">
        <v>70</v>
      </c>
      <c r="E674" s="56" t="s">
        <v>70</v>
      </c>
      <c r="F674" s="56" t="s">
        <v>70</v>
      </c>
      <c r="G674" s="56" t="s">
        <v>70</v>
      </c>
      <c r="H674" s="4"/>
    </row>
    <row r="675">
      <c r="C675" s="4" t="s">
        <v>70</v>
      </c>
      <c r="D675" s="56" t="s">
        <v>70</v>
      </c>
      <c r="E675" s="56" t="s">
        <v>70</v>
      </c>
      <c r="F675" s="56" t="s">
        <v>70</v>
      </c>
      <c r="G675" s="56" t="s">
        <v>70</v>
      </c>
      <c r="H675" s="4"/>
    </row>
    <row r="676">
      <c r="C676" s="4" t="s">
        <v>70</v>
      </c>
      <c r="D676" s="56" t="s">
        <v>70</v>
      </c>
      <c r="E676" s="56" t="s">
        <v>70</v>
      </c>
      <c r="F676" s="56" t="s">
        <v>70</v>
      </c>
      <c r="G676" s="56" t="s">
        <v>70</v>
      </c>
      <c r="H676" s="4"/>
    </row>
    <row r="677">
      <c r="C677" s="4" t="s">
        <v>70</v>
      </c>
      <c r="D677" s="56" t="s">
        <v>70</v>
      </c>
      <c r="E677" s="56" t="s">
        <v>70</v>
      </c>
      <c r="F677" s="56" t="s">
        <v>70</v>
      </c>
      <c r="G677" s="56" t="s">
        <v>70</v>
      </c>
      <c r="H677" s="4"/>
    </row>
    <row r="678">
      <c r="C678" s="4" t="s">
        <v>70</v>
      </c>
      <c r="D678" s="56" t="s">
        <v>70</v>
      </c>
      <c r="E678" s="56" t="s">
        <v>70</v>
      </c>
      <c r="F678" s="56" t="s">
        <v>70</v>
      </c>
      <c r="G678" s="56" t="s">
        <v>70</v>
      </c>
      <c r="H678" s="4"/>
    </row>
    <row r="679">
      <c r="C679" s="4" t="s">
        <v>70</v>
      </c>
      <c r="D679" s="56" t="s">
        <v>70</v>
      </c>
      <c r="E679" s="56" t="s">
        <v>70</v>
      </c>
      <c r="F679" s="56" t="s">
        <v>70</v>
      </c>
      <c r="G679" s="56" t="s">
        <v>70</v>
      </c>
      <c r="H679" s="4"/>
    </row>
    <row r="680">
      <c r="C680" s="4" t="s">
        <v>70</v>
      </c>
      <c r="D680" s="56" t="s">
        <v>70</v>
      </c>
      <c r="E680" s="56" t="s">
        <v>70</v>
      </c>
      <c r="F680" s="56" t="s">
        <v>70</v>
      </c>
      <c r="G680" s="56" t="s">
        <v>70</v>
      </c>
      <c r="H680" s="4"/>
    </row>
    <row r="681">
      <c r="C681" s="4" t="s">
        <v>70</v>
      </c>
      <c r="D681" s="56" t="s">
        <v>70</v>
      </c>
      <c r="E681" s="56" t="s">
        <v>70</v>
      </c>
      <c r="F681" s="56" t="s">
        <v>70</v>
      </c>
      <c r="G681" s="56" t="s">
        <v>70</v>
      </c>
      <c r="H681" s="4"/>
    </row>
    <row r="682">
      <c r="C682" s="4" t="s">
        <v>70</v>
      </c>
      <c r="D682" s="56" t="s">
        <v>70</v>
      </c>
      <c r="E682" s="56" t="s">
        <v>70</v>
      </c>
      <c r="F682" s="56" t="s">
        <v>70</v>
      </c>
      <c r="G682" s="56" t="s">
        <v>70</v>
      </c>
      <c r="H682" s="4"/>
    </row>
    <row r="683">
      <c r="C683" s="4" t="s">
        <v>70</v>
      </c>
      <c r="D683" s="56" t="s">
        <v>70</v>
      </c>
      <c r="E683" s="56" t="s">
        <v>70</v>
      </c>
      <c r="F683" s="56" t="s">
        <v>70</v>
      </c>
      <c r="G683" s="56" t="s">
        <v>70</v>
      </c>
      <c r="H683" s="4"/>
    </row>
    <row r="684">
      <c r="C684" s="4" t="s">
        <v>70</v>
      </c>
      <c r="D684" s="56" t="s">
        <v>70</v>
      </c>
      <c r="E684" s="56" t="s">
        <v>70</v>
      </c>
      <c r="F684" s="56" t="s">
        <v>70</v>
      </c>
      <c r="G684" s="56" t="s">
        <v>70</v>
      </c>
      <c r="H684" s="4"/>
    </row>
    <row r="685">
      <c r="C685" s="4" t="s">
        <v>70</v>
      </c>
      <c r="D685" s="56" t="s">
        <v>70</v>
      </c>
      <c r="E685" s="56" t="s">
        <v>70</v>
      </c>
      <c r="F685" s="56" t="s">
        <v>70</v>
      </c>
      <c r="G685" s="56" t="s">
        <v>70</v>
      </c>
      <c r="H685" s="4"/>
    </row>
    <row r="686">
      <c r="C686" s="4" t="s">
        <v>70</v>
      </c>
      <c r="D686" s="56" t="s">
        <v>70</v>
      </c>
      <c r="E686" s="56" t="s">
        <v>70</v>
      </c>
      <c r="F686" s="56" t="s">
        <v>70</v>
      </c>
      <c r="G686" s="56" t="s">
        <v>70</v>
      </c>
      <c r="H686" s="4"/>
    </row>
    <row r="687">
      <c r="C687" s="4" t="s">
        <v>70</v>
      </c>
      <c r="D687" s="56" t="s">
        <v>70</v>
      </c>
      <c r="E687" s="56" t="s">
        <v>70</v>
      </c>
      <c r="F687" s="56" t="s">
        <v>70</v>
      </c>
      <c r="G687" s="56" t="s">
        <v>70</v>
      </c>
      <c r="H687" s="4"/>
    </row>
    <row r="688">
      <c r="C688" s="4" t="s">
        <v>70</v>
      </c>
      <c r="D688" s="56" t="s">
        <v>70</v>
      </c>
      <c r="E688" s="56" t="s">
        <v>70</v>
      </c>
      <c r="F688" s="56" t="s">
        <v>70</v>
      </c>
      <c r="G688" s="56" t="s">
        <v>70</v>
      </c>
      <c r="H688" s="4"/>
    </row>
    <row r="689">
      <c r="C689" s="4" t="s">
        <v>70</v>
      </c>
      <c r="D689" s="56" t="s">
        <v>70</v>
      </c>
      <c r="E689" s="56" t="s">
        <v>70</v>
      </c>
      <c r="F689" s="56" t="s">
        <v>70</v>
      </c>
      <c r="G689" s="56" t="s">
        <v>70</v>
      </c>
      <c r="H689" s="4"/>
    </row>
    <row r="690">
      <c r="C690" s="4" t="s">
        <v>70</v>
      </c>
      <c r="D690" s="56" t="s">
        <v>70</v>
      </c>
      <c r="E690" s="56" t="s">
        <v>70</v>
      </c>
      <c r="F690" s="56" t="s">
        <v>70</v>
      </c>
      <c r="G690" s="56" t="s">
        <v>70</v>
      </c>
      <c r="H690" s="4"/>
    </row>
    <row r="691">
      <c r="C691" s="4" t="s">
        <v>70</v>
      </c>
      <c r="D691" s="56" t="s">
        <v>70</v>
      </c>
      <c r="E691" s="56" t="s">
        <v>70</v>
      </c>
      <c r="F691" s="56" t="s">
        <v>70</v>
      </c>
      <c r="G691" s="56" t="s">
        <v>70</v>
      </c>
      <c r="H691" s="4"/>
    </row>
    <row r="692">
      <c r="C692" s="4" t="s">
        <v>70</v>
      </c>
      <c r="D692" s="56" t="s">
        <v>70</v>
      </c>
      <c r="E692" s="56" t="s">
        <v>70</v>
      </c>
      <c r="F692" s="56" t="s">
        <v>70</v>
      </c>
      <c r="G692" s="56" t="s">
        <v>70</v>
      </c>
      <c r="H692" s="4"/>
    </row>
    <row r="693">
      <c r="C693" s="4" t="s">
        <v>70</v>
      </c>
      <c r="D693" s="56" t="s">
        <v>70</v>
      </c>
      <c r="E693" s="56" t="s">
        <v>70</v>
      </c>
      <c r="F693" s="56" t="s">
        <v>70</v>
      </c>
      <c r="G693" s="56" t="s">
        <v>70</v>
      </c>
      <c r="H693" s="4"/>
    </row>
    <row r="694">
      <c r="C694" s="4" t="s">
        <v>70</v>
      </c>
      <c r="D694" s="56" t="s">
        <v>70</v>
      </c>
      <c r="E694" s="56" t="s">
        <v>70</v>
      </c>
      <c r="F694" s="56" t="s">
        <v>70</v>
      </c>
      <c r="G694" s="56" t="s">
        <v>70</v>
      </c>
      <c r="H694" s="4"/>
    </row>
    <row r="695">
      <c r="C695" s="4" t="s">
        <v>70</v>
      </c>
      <c r="D695" s="56" t="s">
        <v>70</v>
      </c>
      <c r="E695" s="56" t="s">
        <v>70</v>
      </c>
      <c r="F695" s="56" t="s">
        <v>70</v>
      </c>
      <c r="G695" s="56" t="s">
        <v>70</v>
      </c>
      <c r="H695" s="4"/>
    </row>
    <row r="696">
      <c r="C696" s="4" t="s">
        <v>70</v>
      </c>
      <c r="D696" s="56" t="s">
        <v>70</v>
      </c>
      <c r="E696" s="56" t="s">
        <v>70</v>
      </c>
      <c r="F696" s="56" t="s">
        <v>70</v>
      </c>
      <c r="G696" s="56" t="s">
        <v>70</v>
      </c>
      <c r="H696" s="4"/>
    </row>
    <row r="697">
      <c r="C697" s="4" t="s">
        <v>70</v>
      </c>
      <c r="D697" s="56" t="s">
        <v>70</v>
      </c>
      <c r="E697" s="56" t="s">
        <v>70</v>
      </c>
      <c r="F697" s="56" t="s">
        <v>70</v>
      </c>
      <c r="G697" s="56" t="s">
        <v>70</v>
      </c>
      <c r="H697" s="4"/>
    </row>
    <row r="698">
      <c r="C698" s="4" t="s">
        <v>70</v>
      </c>
      <c r="D698" s="56" t="s">
        <v>70</v>
      </c>
      <c r="E698" s="56" t="s">
        <v>70</v>
      </c>
      <c r="F698" s="56" t="s">
        <v>70</v>
      </c>
      <c r="G698" s="56" t="s">
        <v>70</v>
      </c>
      <c r="H698" s="4"/>
    </row>
    <row r="699">
      <c r="C699" s="4" t="s">
        <v>70</v>
      </c>
      <c r="D699" s="56" t="s">
        <v>70</v>
      </c>
      <c r="E699" s="56" t="s">
        <v>70</v>
      </c>
      <c r="F699" s="56" t="s">
        <v>70</v>
      </c>
      <c r="G699" s="56" t="s">
        <v>70</v>
      </c>
      <c r="H699" s="4"/>
    </row>
    <row r="700">
      <c r="C700" s="4" t="s">
        <v>70</v>
      </c>
      <c r="D700" s="56" t="s">
        <v>70</v>
      </c>
      <c r="E700" s="56" t="s">
        <v>70</v>
      </c>
      <c r="F700" s="56" t="s">
        <v>70</v>
      </c>
      <c r="G700" s="56" t="s">
        <v>70</v>
      </c>
      <c r="H700" s="4"/>
    </row>
    <row r="701">
      <c r="C701" s="4" t="s">
        <v>70</v>
      </c>
      <c r="D701" s="56" t="s">
        <v>70</v>
      </c>
      <c r="E701" s="56" t="s">
        <v>70</v>
      </c>
      <c r="F701" s="56" t="s">
        <v>70</v>
      </c>
      <c r="G701" s="56" t="s">
        <v>70</v>
      </c>
      <c r="H701" s="4"/>
    </row>
    <row r="702">
      <c r="C702" s="4" t="s">
        <v>70</v>
      </c>
      <c r="D702" s="56" t="s">
        <v>70</v>
      </c>
      <c r="E702" s="56" t="s">
        <v>70</v>
      </c>
      <c r="F702" s="56" t="s">
        <v>70</v>
      </c>
      <c r="G702" s="56" t="s">
        <v>70</v>
      </c>
      <c r="H702" s="4"/>
    </row>
    <row r="703">
      <c r="C703" s="4" t="s">
        <v>70</v>
      </c>
      <c r="D703" s="56" t="s">
        <v>70</v>
      </c>
      <c r="E703" s="56" t="s">
        <v>70</v>
      </c>
      <c r="F703" s="56" t="s">
        <v>70</v>
      </c>
      <c r="G703" s="56" t="s">
        <v>70</v>
      </c>
      <c r="H703" s="4"/>
    </row>
    <row r="704">
      <c r="C704" s="4" t="s">
        <v>70</v>
      </c>
      <c r="D704" s="56" t="s">
        <v>70</v>
      </c>
      <c r="E704" s="56" t="s">
        <v>70</v>
      </c>
      <c r="F704" s="56" t="s">
        <v>70</v>
      </c>
      <c r="G704" s="56" t="s">
        <v>70</v>
      </c>
      <c r="H704" s="4"/>
    </row>
    <row r="705">
      <c r="C705" s="4" t="s">
        <v>70</v>
      </c>
      <c r="D705" s="56" t="s">
        <v>70</v>
      </c>
      <c r="E705" s="56" t="s">
        <v>70</v>
      </c>
      <c r="F705" s="56" t="s">
        <v>70</v>
      </c>
      <c r="G705" s="56" t="s">
        <v>70</v>
      </c>
      <c r="H705" s="4"/>
    </row>
    <row r="706">
      <c r="C706" s="4" t="s">
        <v>70</v>
      </c>
      <c r="D706" s="56" t="s">
        <v>70</v>
      </c>
      <c r="E706" s="56" t="s">
        <v>70</v>
      </c>
      <c r="F706" s="56" t="s">
        <v>70</v>
      </c>
      <c r="G706" s="56" t="s">
        <v>70</v>
      </c>
      <c r="H706" s="4"/>
    </row>
    <row r="707">
      <c r="C707" s="4" t="s">
        <v>70</v>
      </c>
      <c r="D707" s="56" t="s">
        <v>70</v>
      </c>
      <c r="E707" s="56" t="s">
        <v>70</v>
      </c>
      <c r="F707" s="56" t="s">
        <v>70</v>
      </c>
      <c r="G707" s="56" t="s">
        <v>70</v>
      </c>
      <c r="H707" s="4"/>
    </row>
    <row r="708">
      <c r="C708" s="4" t="s">
        <v>70</v>
      </c>
      <c r="D708" s="56" t="s">
        <v>70</v>
      </c>
      <c r="E708" s="56" t="s">
        <v>70</v>
      </c>
      <c r="F708" s="56" t="s">
        <v>70</v>
      </c>
      <c r="G708" s="56" t="s">
        <v>70</v>
      </c>
      <c r="H708" s="4"/>
    </row>
    <row r="709">
      <c r="C709" s="4" t="s">
        <v>70</v>
      </c>
      <c r="D709" s="56" t="s">
        <v>70</v>
      </c>
      <c r="E709" s="56" t="s">
        <v>70</v>
      </c>
      <c r="F709" s="56" t="s">
        <v>70</v>
      </c>
      <c r="G709" s="56" t="s">
        <v>70</v>
      </c>
      <c r="H709" s="4"/>
    </row>
    <row r="710">
      <c r="C710" s="4" t="s">
        <v>70</v>
      </c>
      <c r="D710" s="56" t="s">
        <v>70</v>
      </c>
      <c r="E710" s="56" t="s">
        <v>70</v>
      </c>
      <c r="F710" s="56" t="s">
        <v>70</v>
      </c>
      <c r="G710" s="56" t="s">
        <v>70</v>
      </c>
      <c r="H710" s="4"/>
    </row>
    <row r="711">
      <c r="C711" s="4" t="s">
        <v>70</v>
      </c>
      <c r="D711" s="56" t="s">
        <v>70</v>
      </c>
      <c r="E711" s="56" t="s">
        <v>70</v>
      </c>
      <c r="F711" s="56" t="s">
        <v>70</v>
      </c>
      <c r="G711" s="56" t="s">
        <v>70</v>
      </c>
      <c r="H711" s="4"/>
    </row>
    <row r="712">
      <c r="C712" s="4" t="s">
        <v>70</v>
      </c>
      <c r="D712" s="56" t="s">
        <v>70</v>
      </c>
      <c r="E712" s="56" t="s">
        <v>70</v>
      </c>
      <c r="F712" s="56" t="s">
        <v>70</v>
      </c>
      <c r="G712" s="56" t="s">
        <v>70</v>
      </c>
      <c r="H712" s="4"/>
    </row>
    <row r="713">
      <c r="C713" s="4" t="s">
        <v>70</v>
      </c>
      <c r="D713" s="56" t="s">
        <v>70</v>
      </c>
      <c r="E713" s="56" t="s">
        <v>70</v>
      </c>
      <c r="F713" s="56" t="s">
        <v>70</v>
      </c>
      <c r="G713" s="56" t="s">
        <v>70</v>
      </c>
      <c r="H713" s="4"/>
    </row>
    <row r="714">
      <c r="C714" s="4" t="s">
        <v>70</v>
      </c>
      <c r="D714" s="56" t="s">
        <v>70</v>
      </c>
      <c r="E714" s="56" t="s">
        <v>70</v>
      </c>
      <c r="F714" s="56" t="s">
        <v>70</v>
      </c>
      <c r="G714" s="56" t="s">
        <v>70</v>
      </c>
      <c r="H714" s="4"/>
    </row>
    <row r="715">
      <c r="C715" s="4" t="s">
        <v>70</v>
      </c>
      <c r="D715" s="56" t="s">
        <v>70</v>
      </c>
      <c r="E715" s="56" t="s">
        <v>70</v>
      </c>
      <c r="F715" s="56" t="s">
        <v>70</v>
      </c>
      <c r="G715" s="56" t="s">
        <v>70</v>
      </c>
      <c r="H715" s="4"/>
    </row>
    <row r="716">
      <c r="C716" s="4" t="s">
        <v>70</v>
      </c>
      <c r="D716" s="56" t="s">
        <v>70</v>
      </c>
      <c r="E716" s="56" t="s">
        <v>70</v>
      </c>
      <c r="F716" s="56" t="s">
        <v>70</v>
      </c>
      <c r="G716" s="56" t="s">
        <v>70</v>
      </c>
      <c r="H716" s="4"/>
    </row>
    <row r="717">
      <c r="C717" s="4" t="s">
        <v>70</v>
      </c>
      <c r="D717" s="56" t="s">
        <v>70</v>
      </c>
      <c r="E717" s="56" t="s">
        <v>70</v>
      </c>
      <c r="F717" s="56" t="s">
        <v>70</v>
      </c>
      <c r="G717" s="56" t="s">
        <v>70</v>
      </c>
      <c r="H717" s="4"/>
    </row>
    <row r="718">
      <c r="C718" s="4" t="s">
        <v>70</v>
      </c>
      <c r="D718" s="56" t="s">
        <v>70</v>
      </c>
      <c r="E718" s="56" t="s">
        <v>70</v>
      </c>
      <c r="F718" s="56" t="s">
        <v>70</v>
      </c>
      <c r="G718" s="56" t="s">
        <v>70</v>
      </c>
      <c r="H718" s="4"/>
    </row>
    <row r="719">
      <c r="C719" s="4" t="s">
        <v>70</v>
      </c>
      <c r="D719" s="56" t="s">
        <v>70</v>
      </c>
      <c r="E719" s="56" t="s">
        <v>70</v>
      </c>
      <c r="F719" s="56" t="s">
        <v>70</v>
      </c>
      <c r="G719" s="56" t="s">
        <v>70</v>
      </c>
      <c r="H719" s="4"/>
    </row>
    <row r="720">
      <c r="C720" s="4" t="s">
        <v>70</v>
      </c>
      <c r="D720" s="56" t="s">
        <v>70</v>
      </c>
      <c r="E720" s="56" t="s">
        <v>70</v>
      </c>
      <c r="F720" s="56" t="s">
        <v>70</v>
      </c>
      <c r="G720" s="56" t="s">
        <v>70</v>
      </c>
      <c r="H720" s="4"/>
    </row>
    <row r="721">
      <c r="C721" s="4" t="s">
        <v>70</v>
      </c>
      <c r="D721" s="56" t="s">
        <v>70</v>
      </c>
      <c r="E721" s="56" t="s">
        <v>70</v>
      </c>
      <c r="F721" s="56" t="s">
        <v>70</v>
      </c>
      <c r="G721" s="56" t="s">
        <v>70</v>
      </c>
      <c r="H721" s="4"/>
    </row>
    <row r="722">
      <c r="C722" s="4" t="s">
        <v>70</v>
      </c>
      <c r="D722" s="56" t="s">
        <v>70</v>
      </c>
      <c r="E722" s="56" t="s">
        <v>70</v>
      </c>
      <c r="F722" s="56" t="s">
        <v>70</v>
      </c>
      <c r="G722" s="56" t="s">
        <v>70</v>
      </c>
      <c r="H722" s="4"/>
    </row>
    <row r="723">
      <c r="C723" s="4" t="s">
        <v>70</v>
      </c>
      <c r="D723" s="56" t="s">
        <v>70</v>
      </c>
      <c r="E723" s="56" t="s">
        <v>70</v>
      </c>
      <c r="F723" s="56" t="s">
        <v>70</v>
      </c>
      <c r="G723" s="56" t="s">
        <v>70</v>
      </c>
      <c r="H723" s="4"/>
    </row>
    <row r="724">
      <c r="C724" s="4" t="s">
        <v>70</v>
      </c>
      <c r="D724" s="56" t="s">
        <v>70</v>
      </c>
      <c r="E724" s="56" t="s">
        <v>70</v>
      </c>
      <c r="F724" s="56" t="s">
        <v>70</v>
      </c>
      <c r="G724" s="56" t="s">
        <v>70</v>
      </c>
      <c r="H724" s="4"/>
    </row>
    <row r="725">
      <c r="C725" s="4" t="s">
        <v>70</v>
      </c>
      <c r="D725" s="56" t="s">
        <v>70</v>
      </c>
      <c r="E725" s="56" t="s">
        <v>70</v>
      </c>
      <c r="F725" s="56" t="s">
        <v>70</v>
      </c>
      <c r="G725" s="56" t="s">
        <v>70</v>
      </c>
      <c r="H725" s="4"/>
    </row>
    <row r="726">
      <c r="C726" s="4" t="s">
        <v>70</v>
      </c>
      <c r="D726" s="56" t="s">
        <v>70</v>
      </c>
      <c r="E726" s="56" t="s">
        <v>70</v>
      </c>
      <c r="F726" s="56" t="s">
        <v>70</v>
      </c>
      <c r="G726" s="56" t="s">
        <v>70</v>
      </c>
      <c r="H726" s="4"/>
    </row>
    <row r="727">
      <c r="C727" s="4" t="s">
        <v>70</v>
      </c>
      <c r="D727" s="56" t="s">
        <v>70</v>
      </c>
      <c r="E727" s="56" t="s">
        <v>70</v>
      </c>
      <c r="F727" s="56" t="s">
        <v>70</v>
      </c>
      <c r="G727" s="56" t="s">
        <v>70</v>
      </c>
      <c r="H727" s="4"/>
    </row>
    <row r="728">
      <c r="C728" s="4" t="s">
        <v>70</v>
      </c>
      <c r="D728" s="56" t="s">
        <v>70</v>
      </c>
      <c r="E728" s="56" t="s">
        <v>70</v>
      </c>
      <c r="F728" s="56" t="s">
        <v>70</v>
      </c>
      <c r="G728" s="56" t="s">
        <v>70</v>
      </c>
      <c r="H728" s="4"/>
    </row>
    <row r="729">
      <c r="C729" s="4" t="s">
        <v>70</v>
      </c>
      <c r="D729" s="56" t="s">
        <v>70</v>
      </c>
      <c r="E729" s="56" t="s">
        <v>70</v>
      </c>
      <c r="F729" s="56" t="s">
        <v>70</v>
      </c>
      <c r="G729" s="56" t="s">
        <v>70</v>
      </c>
      <c r="H729" s="4"/>
    </row>
    <row r="730">
      <c r="C730" s="4" t="s">
        <v>70</v>
      </c>
      <c r="D730" s="56" t="s">
        <v>70</v>
      </c>
      <c r="E730" s="56" t="s">
        <v>70</v>
      </c>
      <c r="F730" s="56" t="s">
        <v>70</v>
      </c>
      <c r="G730" s="56" t="s">
        <v>70</v>
      </c>
      <c r="H730" s="4"/>
    </row>
    <row r="731">
      <c r="C731" s="4" t="s">
        <v>70</v>
      </c>
      <c r="D731" s="56" t="s">
        <v>70</v>
      </c>
      <c r="E731" s="56" t="s">
        <v>70</v>
      </c>
      <c r="F731" s="56" t="s">
        <v>70</v>
      </c>
      <c r="G731" s="56" t="s">
        <v>70</v>
      </c>
      <c r="H731" s="4"/>
    </row>
    <row r="732">
      <c r="C732" s="4" t="s">
        <v>70</v>
      </c>
      <c r="D732" s="56" t="s">
        <v>70</v>
      </c>
      <c r="E732" s="56" t="s">
        <v>70</v>
      </c>
      <c r="F732" s="56" t="s">
        <v>70</v>
      </c>
      <c r="G732" s="56" t="s">
        <v>70</v>
      </c>
      <c r="H732" s="4"/>
    </row>
    <row r="733">
      <c r="C733" s="4" t="s">
        <v>70</v>
      </c>
      <c r="D733" s="56" t="s">
        <v>70</v>
      </c>
      <c r="E733" s="56" t="s">
        <v>70</v>
      </c>
      <c r="F733" s="56" t="s">
        <v>70</v>
      </c>
      <c r="G733" s="56" t="s">
        <v>70</v>
      </c>
      <c r="H733" s="4"/>
    </row>
    <row r="734">
      <c r="C734" s="4" t="s">
        <v>70</v>
      </c>
      <c r="D734" s="56" t="s">
        <v>70</v>
      </c>
      <c r="E734" s="56" t="s">
        <v>70</v>
      </c>
      <c r="F734" s="56" t="s">
        <v>70</v>
      </c>
      <c r="G734" s="56" t="s">
        <v>70</v>
      </c>
      <c r="H734" s="4"/>
    </row>
    <row r="735">
      <c r="C735" s="4" t="s">
        <v>70</v>
      </c>
      <c r="D735" s="56" t="s">
        <v>70</v>
      </c>
      <c r="E735" s="56" t="s">
        <v>70</v>
      </c>
      <c r="F735" s="56" t="s">
        <v>70</v>
      </c>
      <c r="G735" s="56" t="s">
        <v>70</v>
      </c>
      <c r="H735" s="4"/>
    </row>
    <row r="736">
      <c r="C736" s="4" t="s">
        <v>70</v>
      </c>
      <c r="D736" s="56" t="s">
        <v>70</v>
      </c>
      <c r="E736" s="56" t="s">
        <v>70</v>
      </c>
      <c r="F736" s="56" t="s">
        <v>70</v>
      </c>
      <c r="G736" s="56" t="s">
        <v>70</v>
      </c>
      <c r="H736" s="4"/>
    </row>
    <row r="737">
      <c r="C737" s="4" t="s">
        <v>70</v>
      </c>
      <c r="D737" s="56" t="s">
        <v>70</v>
      </c>
      <c r="E737" s="56" t="s">
        <v>70</v>
      </c>
      <c r="F737" s="56" t="s">
        <v>70</v>
      </c>
      <c r="G737" s="56" t="s">
        <v>70</v>
      </c>
      <c r="H737" s="4"/>
    </row>
    <row r="738">
      <c r="C738" s="4" t="s">
        <v>70</v>
      </c>
      <c r="D738" s="56" t="s">
        <v>70</v>
      </c>
      <c r="E738" s="56" t="s">
        <v>70</v>
      </c>
      <c r="F738" s="56" t="s">
        <v>70</v>
      </c>
      <c r="G738" s="56" t="s">
        <v>70</v>
      </c>
      <c r="H738" s="4"/>
    </row>
    <row r="739">
      <c r="C739" s="4" t="s">
        <v>70</v>
      </c>
      <c r="D739" s="56" t="s">
        <v>70</v>
      </c>
      <c r="E739" s="56" t="s">
        <v>70</v>
      </c>
      <c r="F739" s="56" t="s">
        <v>70</v>
      </c>
      <c r="G739" s="56" t="s">
        <v>70</v>
      </c>
      <c r="H739" s="4"/>
    </row>
    <row r="740">
      <c r="C740" s="4" t="s">
        <v>70</v>
      </c>
      <c r="D740" s="56" t="s">
        <v>70</v>
      </c>
      <c r="E740" s="56" t="s">
        <v>70</v>
      </c>
      <c r="F740" s="56" t="s">
        <v>70</v>
      </c>
      <c r="G740" s="56" t="s">
        <v>70</v>
      </c>
      <c r="H740" s="4"/>
    </row>
    <row r="741">
      <c r="C741" s="4" t="s">
        <v>70</v>
      </c>
      <c r="D741" s="56" t="s">
        <v>70</v>
      </c>
      <c r="E741" s="56" t="s">
        <v>70</v>
      </c>
      <c r="F741" s="56" t="s">
        <v>70</v>
      </c>
      <c r="G741" s="56" t="s">
        <v>70</v>
      </c>
      <c r="H741" s="4"/>
    </row>
    <row r="742">
      <c r="C742" s="4" t="s">
        <v>70</v>
      </c>
      <c r="D742" s="56" t="s">
        <v>70</v>
      </c>
      <c r="E742" s="56" t="s">
        <v>70</v>
      </c>
      <c r="F742" s="56" t="s">
        <v>70</v>
      </c>
      <c r="G742" s="56" t="s">
        <v>70</v>
      </c>
      <c r="H742" s="4"/>
    </row>
    <row r="743">
      <c r="C743" s="4" t="s">
        <v>70</v>
      </c>
      <c r="D743" s="56" t="s">
        <v>70</v>
      </c>
      <c r="E743" s="56" t="s">
        <v>70</v>
      </c>
      <c r="F743" s="56" t="s">
        <v>70</v>
      </c>
      <c r="G743" s="56" t="s">
        <v>70</v>
      </c>
      <c r="H743" s="4"/>
    </row>
    <row r="744">
      <c r="C744" s="4" t="s">
        <v>70</v>
      </c>
      <c r="D744" s="56" t="s">
        <v>70</v>
      </c>
      <c r="E744" s="56" t="s">
        <v>70</v>
      </c>
      <c r="F744" s="56" t="s">
        <v>70</v>
      </c>
      <c r="G744" s="56" t="s">
        <v>70</v>
      </c>
      <c r="H744" s="4"/>
    </row>
    <row r="745">
      <c r="C745" s="4" t="s">
        <v>70</v>
      </c>
      <c r="D745" s="56" t="s">
        <v>70</v>
      </c>
      <c r="E745" s="56" t="s">
        <v>70</v>
      </c>
      <c r="F745" s="56" t="s">
        <v>70</v>
      </c>
      <c r="G745" s="56" t="s">
        <v>70</v>
      </c>
      <c r="H745" s="4"/>
    </row>
    <row r="746">
      <c r="C746" s="4" t="s">
        <v>70</v>
      </c>
      <c r="D746" s="56" t="s">
        <v>70</v>
      </c>
      <c r="E746" s="56" t="s">
        <v>70</v>
      </c>
      <c r="F746" s="56" t="s">
        <v>70</v>
      </c>
      <c r="G746" s="56" t="s">
        <v>70</v>
      </c>
      <c r="H746" s="4"/>
    </row>
    <row r="747">
      <c r="C747" s="4" t="s">
        <v>70</v>
      </c>
      <c r="D747" s="56" t="s">
        <v>70</v>
      </c>
      <c r="E747" s="56" t="s">
        <v>70</v>
      </c>
      <c r="F747" s="56" t="s">
        <v>70</v>
      </c>
      <c r="G747" s="56" t="s">
        <v>70</v>
      </c>
      <c r="H747" s="4"/>
    </row>
    <row r="748">
      <c r="C748" s="4" t="s">
        <v>70</v>
      </c>
      <c r="D748" s="56" t="s">
        <v>70</v>
      </c>
      <c r="E748" s="56" t="s">
        <v>70</v>
      </c>
      <c r="F748" s="56" t="s">
        <v>70</v>
      </c>
      <c r="G748" s="56" t="s">
        <v>70</v>
      </c>
      <c r="H748" s="4"/>
    </row>
    <row r="749">
      <c r="C749" s="4" t="s">
        <v>70</v>
      </c>
      <c r="D749" s="56" t="s">
        <v>70</v>
      </c>
      <c r="E749" s="56" t="s">
        <v>70</v>
      </c>
      <c r="F749" s="56" t="s">
        <v>70</v>
      </c>
      <c r="G749" s="56" t="s">
        <v>70</v>
      </c>
      <c r="H749" s="4"/>
    </row>
    <row r="750">
      <c r="C750" s="4" t="s">
        <v>70</v>
      </c>
      <c r="D750" s="56" t="s">
        <v>70</v>
      </c>
      <c r="E750" s="56" t="s">
        <v>70</v>
      </c>
      <c r="F750" s="56" t="s">
        <v>70</v>
      </c>
      <c r="G750" s="56" t="s">
        <v>70</v>
      </c>
      <c r="H750" s="4"/>
    </row>
    <row r="751">
      <c r="C751" s="4" t="s">
        <v>70</v>
      </c>
      <c r="D751" s="56" t="s">
        <v>70</v>
      </c>
      <c r="E751" s="56" t="s">
        <v>70</v>
      </c>
      <c r="F751" s="56" t="s">
        <v>70</v>
      </c>
      <c r="G751" s="56" t="s">
        <v>70</v>
      </c>
      <c r="H751" s="4"/>
    </row>
    <row r="752">
      <c r="C752" s="4" t="s">
        <v>70</v>
      </c>
      <c r="D752" s="56" t="s">
        <v>70</v>
      </c>
      <c r="E752" s="56" t="s">
        <v>70</v>
      </c>
      <c r="F752" s="56" t="s">
        <v>70</v>
      </c>
      <c r="G752" s="56" t="s">
        <v>70</v>
      </c>
      <c r="H752" s="4"/>
    </row>
    <row r="753">
      <c r="C753" s="4" t="s">
        <v>70</v>
      </c>
      <c r="D753" s="56" t="s">
        <v>70</v>
      </c>
      <c r="E753" s="56" t="s">
        <v>70</v>
      </c>
      <c r="F753" s="56" t="s">
        <v>70</v>
      </c>
      <c r="G753" s="56" t="s">
        <v>70</v>
      </c>
      <c r="H753" s="4"/>
    </row>
    <row r="754">
      <c r="C754" s="4" t="s">
        <v>70</v>
      </c>
      <c r="D754" s="56" t="s">
        <v>70</v>
      </c>
      <c r="E754" s="56" t="s">
        <v>70</v>
      </c>
      <c r="F754" s="56" t="s">
        <v>70</v>
      </c>
      <c r="G754" s="56" t="s">
        <v>70</v>
      </c>
      <c r="H754" s="4"/>
    </row>
    <row r="755">
      <c r="C755" s="4" t="s">
        <v>70</v>
      </c>
      <c r="D755" s="56" t="s">
        <v>70</v>
      </c>
      <c r="E755" s="56" t="s">
        <v>70</v>
      </c>
      <c r="F755" s="56" t="s">
        <v>70</v>
      </c>
      <c r="G755" s="56" t="s">
        <v>70</v>
      </c>
      <c r="H755" s="4"/>
    </row>
    <row r="756">
      <c r="C756" s="4" t="s">
        <v>70</v>
      </c>
      <c r="D756" s="56" t="s">
        <v>70</v>
      </c>
      <c r="E756" s="56" t="s">
        <v>70</v>
      </c>
      <c r="F756" s="56" t="s">
        <v>70</v>
      </c>
      <c r="G756" s="56" t="s">
        <v>70</v>
      </c>
      <c r="H756" s="4"/>
    </row>
    <row r="757">
      <c r="C757" s="4" t="s">
        <v>70</v>
      </c>
      <c r="D757" s="56" t="s">
        <v>70</v>
      </c>
      <c r="E757" s="56" t="s">
        <v>70</v>
      </c>
      <c r="F757" s="56" t="s">
        <v>70</v>
      </c>
      <c r="G757" s="56" t="s">
        <v>70</v>
      </c>
      <c r="H757" s="4"/>
    </row>
    <row r="758">
      <c r="C758" s="4" t="s">
        <v>70</v>
      </c>
      <c r="D758" s="56" t="s">
        <v>70</v>
      </c>
      <c r="E758" s="56" t="s">
        <v>70</v>
      </c>
      <c r="F758" s="56" t="s">
        <v>70</v>
      </c>
      <c r="G758" s="56" t="s">
        <v>70</v>
      </c>
      <c r="H758" s="4"/>
    </row>
    <row r="759">
      <c r="C759" s="4" t="s">
        <v>70</v>
      </c>
      <c r="D759" s="56" t="s">
        <v>70</v>
      </c>
      <c r="E759" s="56" t="s">
        <v>70</v>
      </c>
      <c r="F759" s="56" t="s">
        <v>70</v>
      </c>
      <c r="G759" s="56" t="s">
        <v>70</v>
      </c>
      <c r="H759" s="4"/>
    </row>
    <row r="760">
      <c r="C760" s="4" t="s">
        <v>70</v>
      </c>
      <c r="D760" s="56" t="s">
        <v>70</v>
      </c>
      <c r="E760" s="56" t="s">
        <v>70</v>
      </c>
      <c r="F760" s="56" t="s">
        <v>70</v>
      </c>
      <c r="G760" s="56" t="s">
        <v>70</v>
      </c>
      <c r="H760" s="4"/>
    </row>
    <row r="761">
      <c r="C761" s="4" t="s">
        <v>70</v>
      </c>
      <c r="D761" s="56" t="s">
        <v>70</v>
      </c>
      <c r="E761" s="56" t="s">
        <v>70</v>
      </c>
      <c r="F761" s="56" t="s">
        <v>70</v>
      </c>
      <c r="G761" s="56" t="s">
        <v>70</v>
      </c>
      <c r="H761" s="4"/>
    </row>
    <row r="762">
      <c r="C762" s="4" t="s">
        <v>70</v>
      </c>
      <c r="D762" s="56" t="s">
        <v>70</v>
      </c>
      <c r="E762" s="56" t="s">
        <v>70</v>
      </c>
      <c r="F762" s="56" t="s">
        <v>70</v>
      </c>
      <c r="G762" s="56" t="s">
        <v>70</v>
      </c>
      <c r="H762" s="4"/>
    </row>
    <row r="763">
      <c r="C763" s="4" t="s">
        <v>70</v>
      </c>
      <c r="D763" s="56" t="s">
        <v>70</v>
      </c>
      <c r="E763" s="56" t="s">
        <v>70</v>
      </c>
      <c r="F763" s="56" t="s">
        <v>70</v>
      </c>
      <c r="G763" s="56" t="s">
        <v>70</v>
      </c>
      <c r="H763" s="4"/>
    </row>
    <row r="764">
      <c r="C764" s="4" t="s">
        <v>70</v>
      </c>
      <c r="D764" s="56" t="s">
        <v>70</v>
      </c>
      <c r="E764" s="56" t="s">
        <v>70</v>
      </c>
      <c r="F764" s="56" t="s">
        <v>70</v>
      </c>
      <c r="G764" s="56" t="s">
        <v>70</v>
      </c>
      <c r="H764" s="4"/>
    </row>
    <row r="765">
      <c r="C765" s="4" t="s">
        <v>70</v>
      </c>
      <c r="D765" s="56" t="s">
        <v>70</v>
      </c>
      <c r="E765" s="56" t="s">
        <v>70</v>
      </c>
      <c r="F765" s="56" t="s">
        <v>70</v>
      </c>
      <c r="G765" s="56" t="s">
        <v>70</v>
      </c>
      <c r="H765" s="4"/>
    </row>
    <row r="766">
      <c r="C766" s="4" t="s">
        <v>70</v>
      </c>
      <c r="D766" s="56" t="s">
        <v>70</v>
      </c>
      <c r="E766" s="56" t="s">
        <v>70</v>
      </c>
      <c r="F766" s="56" t="s">
        <v>70</v>
      </c>
      <c r="G766" s="56" t="s">
        <v>70</v>
      </c>
      <c r="H766" s="4"/>
    </row>
    <row r="767">
      <c r="C767" s="4" t="s">
        <v>70</v>
      </c>
      <c r="D767" s="56" t="s">
        <v>70</v>
      </c>
      <c r="E767" s="56" t="s">
        <v>70</v>
      </c>
      <c r="F767" s="56" t="s">
        <v>70</v>
      </c>
      <c r="G767" s="56" t="s">
        <v>70</v>
      </c>
      <c r="H767" s="4"/>
    </row>
    <row r="768">
      <c r="C768" s="4" t="s">
        <v>70</v>
      </c>
      <c r="D768" s="56" t="s">
        <v>70</v>
      </c>
      <c r="E768" s="56" t="s">
        <v>70</v>
      </c>
      <c r="F768" s="56" t="s">
        <v>70</v>
      </c>
      <c r="G768" s="56" t="s">
        <v>70</v>
      </c>
      <c r="H768" s="4"/>
    </row>
    <row r="769">
      <c r="C769" s="4" t="s">
        <v>70</v>
      </c>
      <c r="D769" s="56" t="s">
        <v>70</v>
      </c>
      <c r="E769" s="56" t="s">
        <v>70</v>
      </c>
      <c r="F769" s="56" t="s">
        <v>70</v>
      </c>
      <c r="G769" s="56" t="s">
        <v>70</v>
      </c>
      <c r="H769" s="4"/>
    </row>
    <row r="770">
      <c r="C770" s="4" t="s">
        <v>70</v>
      </c>
      <c r="D770" s="56" t="s">
        <v>70</v>
      </c>
      <c r="E770" s="56" t="s">
        <v>70</v>
      </c>
      <c r="F770" s="56" t="s">
        <v>70</v>
      </c>
      <c r="G770" s="56" t="s">
        <v>70</v>
      </c>
      <c r="H770" s="4"/>
    </row>
    <row r="771">
      <c r="C771" s="4" t="s">
        <v>70</v>
      </c>
      <c r="D771" s="56" t="s">
        <v>70</v>
      </c>
      <c r="E771" s="56" t="s">
        <v>70</v>
      </c>
      <c r="F771" s="56" t="s">
        <v>70</v>
      </c>
      <c r="G771" s="56" t="s">
        <v>70</v>
      </c>
      <c r="H771" s="4"/>
    </row>
    <row r="772">
      <c r="C772" s="4" t="s">
        <v>70</v>
      </c>
      <c r="D772" s="56" t="s">
        <v>70</v>
      </c>
      <c r="E772" s="56" t="s">
        <v>70</v>
      </c>
      <c r="F772" s="56" t="s">
        <v>70</v>
      </c>
      <c r="G772" s="56" t="s">
        <v>70</v>
      </c>
      <c r="H772" s="4"/>
    </row>
    <row r="773">
      <c r="C773" s="4" t="s">
        <v>70</v>
      </c>
      <c r="D773" s="56" t="s">
        <v>70</v>
      </c>
      <c r="E773" s="56" t="s">
        <v>70</v>
      </c>
      <c r="F773" s="56" t="s">
        <v>70</v>
      </c>
      <c r="G773" s="56" t="s">
        <v>70</v>
      </c>
      <c r="H773" s="4"/>
    </row>
    <row r="774">
      <c r="C774" s="4" t="s">
        <v>70</v>
      </c>
      <c r="D774" s="56" t="s">
        <v>70</v>
      </c>
      <c r="E774" s="56" t="s">
        <v>70</v>
      </c>
      <c r="F774" s="56" t="s">
        <v>70</v>
      </c>
      <c r="G774" s="56" t="s">
        <v>70</v>
      </c>
      <c r="H774" s="4"/>
    </row>
    <row r="775">
      <c r="C775" s="4" t="s">
        <v>70</v>
      </c>
      <c r="D775" s="56" t="s">
        <v>70</v>
      </c>
      <c r="E775" s="56" t="s">
        <v>70</v>
      </c>
      <c r="F775" s="56" t="s">
        <v>70</v>
      </c>
      <c r="G775" s="56" t="s">
        <v>70</v>
      </c>
      <c r="H775" s="4"/>
    </row>
    <row r="776">
      <c r="C776" s="4" t="s">
        <v>70</v>
      </c>
      <c r="D776" s="56" t="s">
        <v>70</v>
      </c>
      <c r="E776" s="56" t="s">
        <v>70</v>
      </c>
      <c r="F776" s="56" t="s">
        <v>70</v>
      </c>
      <c r="G776" s="56" t="s">
        <v>70</v>
      </c>
      <c r="H776" s="4"/>
    </row>
    <row r="777">
      <c r="C777" s="4" t="s">
        <v>70</v>
      </c>
      <c r="D777" s="56" t="s">
        <v>70</v>
      </c>
      <c r="E777" s="56" t="s">
        <v>70</v>
      </c>
      <c r="F777" s="56" t="s">
        <v>70</v>
      </c>
      <c r="G777" s="56" t="s">
        <v>70</v>
      </c>
      <c r="H777" s="4"/>
    </row>
    <row r="778">
      <c r="C778" s="4" t="s">
        <v>70</v>
      </c>
      <c r="D778" s="56" t="s">
        <v>70</v>
      </c>
      <c r="E778" s="56" t="s">
        <v>70</v>
      </c>
      <c r="F778" s="56" t="s">
        <v>70</v>
      </c>
      <c r="G778" s="56" t="s">
        <v>70</v>
      </c>
      <c r="H778" s="4"/>
    </row>
    <row r="779">
      <c r="C779" s="4" t="s">
        <v>70</v>
      </c>
      <c r="D779" s="56" t="s">
        <v>70</v>
      </c>
      <c r="E779" s="56" t="s">
        <v>70</v>
      </c>
      <c r="F779" s="56" t="s">
        <v>70</v>
      </c>
      <c r="G779" s="56" t="s">
        <v>70</v>
      </c>
      <c r="H779" s="4"/>
    </row>
    <row r="780">
      <c r="C780" s="4" t="s">
        <v>70</v>
      </c>
      <c r="D780" s="56" t="s">
        <v>70</v>
      </c>
      <c r="E780" s="56" t="s">
        <v>70</v>
      </c>
      <c r="F780" s="56" t="s">
        <v>70</v>
      </c>
      <c r="G780" s="56" t="s">
        <v>70</v>
      </c>
      <c r="H780" s="4"/>
    </row>
    <row r="781">
      <c r="C781" s="4" t="s">
        <v>70</v>
      </c>
      <c r="D781" s="56" t="s">
        <v>70</v>
      </c>
      <c r="E781" s="56" t="s">
        <v>70</v>
      </c>
      <c r="F781" s="56" t="s">
        <v>70</v>
      </c>
      <c r="G781" s="56" t="s">
        <v>70</v>
      </c>
      <c r="H781" s="4"/>
    </row>
    <row r="782">
      <c r="C782" s="4" t="s">
        <v>70</v>
      </c>
      <c r="D782" s="56" t="s">
        <v>70</v>
      </c>
      <c r="E782" s="56" t="s">
        <v>70</v>
      </c>
      <c r="F782" s="56" t="s">
        <v>70</v>
      </c>
      <c r="G782" s="56" t="s">
        <v>70</v>
      </c>
      <c r="H782" s="4"/>
    </row>
    <row r="783">
      <c r="C783" s="4" t="s">
        <v>70</v>
      </c>
      <c r="D783" s="56" t="s">
        <v>70</v>
      </c>
      <c r="E783" s="56" t="s">
        <v>70</v>
      </c>
      <c r="F783" s="56" t="s">
        <v>70</v>
      </c>
      <c r="G783" s="56" t="s">
        <v>70</v>
      </c>
      <c r="H783" s="4"/>
    </row>
    <row r="784">
      <c r="C784" s="4" t="s">
        <v>70</v>
      </c>
      <c r="D784" s="56" t="s">
        <v>70</v>
      </c>
      <c r="E784" s="56" t="s">
        <v>70</v>
      </c>
      <c r="F784" s="56" t="s">
        <v>70</v>
      </c>
      <c r="G784" s="56" t="s">
        <v>70</v>
      </c>
      <c r="H784" s="4"/>
    </row>
    <row r="785">
      <c r="C785" s="4" t="s">
        <v>70</v>
      </c>
      <c r="D785" s="56" t="s">
        <v>70</v>
      </c>
      <c r="E785" s="56" t="s">
        <v>70</v>
      </c>
      <c r="F785" s="56" t="s">
        <v>70</v>
      </c>
      <c r="G785" s="56" t="s">
        <v>70</v>
      </c>
      <c r="H785" s="4"/>
    </row>
    <row r="786">
      <c r="C786" s="4" t="s">
        <v>70</v>
      </c>
      <c r="D786" s="56" t="s">
        <v>70</v>
      </c>
      <c r="E786" s="56" t="s">
        <v>70</v>
      </c>
      <c r="F786" s="56" t="s">
        <v>70</v>
      </c>
      <c r="G786" s="56" t="s">
        <v>70</v>
      </c>
      <c r="H786" s="4"/>
    </row>
    <row r="787">
      <c r="C787" s="4" t="s">
        <v>70</v>
      </c>
      <c r="D787" s="56" t="s">
        <v>70</v>
      </c>
      <c r="E787" s="56" t="s">
        <v>70</v>
      </c>
      <c r="F787" s="56" t="s">
        <v>70</v>
      </c>
      <c r="G787" s="56" t="s">
        <v>70</v>
      </c>
      <c r="H787" s="4"/>
    </row>
    <row r="788">
      <c r="C788" s="4" t="s">
        <v>70</v>
      </c>
      <c r="D788" s="56" t="s">
        <v>70</v>
      </c>
      <c r="E788" s="56" t="s">
        <v>70</v>
      </c>
      <c r="F788" s="56" t="s">
        <v>70</v>
      </c>
      <c r="G788" s="56" t="s">
        <v>70</v>
      </c>
      <c r="H788" s="4"/>
    </row>
    <row r="789">
      <c r="C789" s="4" t="s">
        <v>70</v>
      </c>
      <c r="D789" s="56" t="s">
        <v>70</v>
      </c>
      <c r="E789" s="56" t="s">
        <v>70</v>
      </c>
      <c r="F789" s="56" t="s">
        <v>70</v>
      </c>
      <c r="G789" s="56" t="s">
        <v>70</v>
      </c>
      <c r="H789" s="4"/>
    </row>
    <row r="790">
      <c r="C790" s="4" t="s">
        <v>70</v>
      </c>
      <c r="D790" s="56" t="s">
        <v>70</v>
      </c>
      <c r="E790" s="56" t="s">
        <v>70</v>
      </c>
      <c r="F790" s="56" t="s">
        <v>70</v>
      </c>
      <c r="G790" s="56" t="s">
        <v>70</v>
      </c>
      <c r="H790" s="4"/>
    </row>
    <row r="791">
      <c r="C791" s="4" t="s">
        <v>70</v>
      </c>
      <c r="D791" s="56" t="s">
        <v>70</v>
      </c>
      <c r="E791" s="56" t="s">
        <v>70</v>
      </c>
      <c r="F791" s="56" t="s">
        <v>70</v>
      </c>
      <c r="G791" s="56" t="s">
        <v>70</v>
      </c>
      <c r="H791" s="4"/>
    </row>
    <row r="792">
      <c r="C792" s="4" t="s">
        <v>70</v>
      </c>
      <c r="D792" s="56" t="s">
        <v>70</v>
      </c>
      <c r="E792" s="56" t="s">
        <v>70</v>
      </c>
      <c r="F792" s="56" t="s">
        <v>70</v>
      </c>
      <c r="G792" s="56" t="s">
        <v>70</v>
      </c>
      <c r="H792" s="4"/>
    </row>
    <row r="793">
      <c r="C793" s="4" t="s">
        <v>70</v>
      </c>
      <c r="D793" s="56" t="s">
        <v>70</v>
      </c>
      <c r="E793" s="56" t="s">
        <v>70</v>
      </c>
      <c r="F793" s="56" t="s">
        <v>70</v>
      </c>
      <c r="G793" s="56" t="s">
        <v>70</v>
      </c>
      <c r="H793" s="4"/>
    </row>
    <row r="794">
      <c r="C794" s="4" t="s">
        <v>70</v>
      </c>
      <c r="D794" s="56" t="s">
        <v>70</v>
      </c>
      <c r="E794" s="56" t="s">
        <v>70</v>
      </c>
      <c r="F794" s="56" t="s">
        <v>70</v>
      </c>
      <c r="G794" s="56" t="s">
        <v>70</v>
      </c>
      <c r="H794" s="4"/>
    </row>
    <row r="795">
      <c r="C795" s="4" t="s">
        <v>70</v>
      </c>
      <c r="D795" s="56" t="s">
        <v>70</v>
      </c>
      <c r="E795" s="56" t="s">
        <v>70</v>
      </c>
      <c r="F795" s="56" t="s">
        <v>70</v>
      </c>
      <c r="G795" s="56" t="s">
        <v>70</v>
      </c>
      <c r="H795" s="4"/>
    </row>
    <row r="796">
      <c r="C796" s="4" t="s">
        <v>70</v>
      </c>
      <c r="D796" s="56" t="s">
        <v>70</v>
      </c>
      <c r="E796" s="56" t="s">
        <v>70</v>
      </c>
      <c r="F796" s="56" t="s">
        <v>70</v>
      </c>
      <c r="G796" s="56" t="s">
        <v>70</v>
      </c>
      <c r="H796" s="4"/>
    </row>
    <row r="797">
      <c r="C797" s="4" t="s">
        <v>70</v>
      </c>
      <c r="D797" s="56" t="s">
        <v>70</v>
      </c>
      <c r="E797" s="56" t="s">
        <v>70</v>
      </c>
      <c r="F797" s="56" t="s">
        <v>70</v>
      </c>
      <c r="G797" s="56" t="s">
        <v>70</v>
      </c>
      <c r="H797" s="4"/>
    </row>
    <row r="798">
      <c r="C798" s="4" t="s">
        <v>70</v>
      </c>
      <c r="D798" s="56" t="s">
        <v>70</v>
      </c>
      <c r="E798" s="56" t="s">
        <v>70</v>
      </c>
      <c r="F798" s="56" t="s">
        <v>70</v>
      </c>
      <c r="G798" s="56" t="s">
        <v>70</v>
      </c>
      <c r="H798" s="4"/>
    </row>
    <row r="799">
      <c r="C799" s="4" t="s">
        <v>70</v>
      </c>
      <c r="D799" s="56" t="s">
        <v>70</v>
      </c>
      <c r="E799" s="56" t="s">
        <v>70</v>
      </c>
      <c r="F799" s="56" t="s">
        <v>70</v>
      </c>
      <c r="G799" s="56" t="s">
        <v>70</v>
      </c>
      <c r="H799" s="4"/>
    </row>
    <row r="800">
      <c r="C800" s="4" t="s">
        <v>70</v>
      </c>
      <c r="D800" s="56" t="s">
        <v>70</v>
      </c>
      <c r="E800" s="56" t="s">
        <v>70</v>
      </c>
      <c r="F800" s="56" t="s">
        <v>70</v>
      </c>
      <c r="G800" s="56" t="s">
        <v>70</v>
      </c>
      <c r="H800" s="4"/>
    </row>
    <row r="801">
      <c r="C801" s="4" t="s">
        <v>70</v>
      </c>
      <c r="D801" s="56" t="s">
        <v>70</v>
      </c>
      <c r="E801" s="56" t="s">
        <v>70</v>
      </c>
      <c r="F801" s="56" t="s">
        <v>70</v>
      </c>
      <c r="G801" s="56" t="s">
        <v>70</v>
      </c>
      <c r="H801" s="4"/>
    </row>
    <row r="802">
      <c r="C802" s="4" t="s">
        <v>70</v>
      </c>
      <c r="D802" s="56" t="s">
        <v>70</v>
      </c>
      <c r="E802" s="56" t="s">
        <v>70</v>
      </c>
      <c r="F802" s="56" t="s">
        <v>70</v>
      </c>
      <c r="G802" s="56" t="s">
        <v>70</v>
      </c>
      <c r="H802" s="4"/>
    </row>
    <row r="803">
      <c r="C803" s="4" t="s">
        <v>70</v>
      </c>
      <c r="D803" s="56" t="s">
        <v>70</v>
      </c>
      <c r="E803" s="56" t="s">
        <v>70</v>
      </c>
      <c r="F803" s="56" t="s">
        <v>70</v>
      </c>
      <c r="G803" s="56" t="s">
        <v>70</v>
      </c>
      <c r="H803" s="4"/>
    </row>
    <row r="804">
      <c r="C804" s="4" t="s">
        <v>70</v>
      </c>
      <c r="D804" s="56" t="s">
        <v>70</v>
      </c>
      <c r="E804" s="56" t="s">
        <v>70</v>
      </c>
      <c r="F804" s="56" t="s">
        <v>70</v>
      </c>
      <c r="G804" s="56" t="s">
        <v>70</v>
      </c>
      <c r="H804" s="4"/>
    </row>
    <row r="805">
      <c r="C805" s="4" t="s">
        <v>70</v>
      </c>
      <c r="D805" s="56" t="s">
        <v>70</v>
      </c>
      <c r="E805" s="56" t="s">
        <v>70</v>
      </c>
      <c r="F805" s="56" t="s">
        <v>70</v>
      </c>
      <c r="G805" s="56" t="s">
        <v>70</v>
      </c>
      <c r="H805" s="4"/>
    </row>
    <row r="806">
      <c r="C806" s="4" t="s">
        <v>70</v>
      </c>
      <c r="D806" s="56" t="s">
        <v>70</v>
      </c>
      <c r="E806" s="56" t="s">
        <v>70</v>
      </c>
      <c r="F806" s="56" t="s">
        <v>70</v>
      </c>
      <c r="G806" s="56" t="s">
        <v>70</v>
      </c>
      <c r="H806" s="4"/>
    </row>
    <row r="807">
      <c r="C807" s="4" t="s">
        <v>70</v>
      </c>
      <c r="D807" s="56" t="s">
        <v>70</v>
      </c>
      <c r="E807" s="56" t="s">
        <v>70</v>
      </c>
      <c r="F807" s="56" t="s">
        <v>70</v>
      </c>
      <c r="G807" s="56" t="s">
        <v>70</v>
      </c>
      <c r="H807" s="4"/>
    </row>
    <row r="808">
      <c r="C808" s="4" t="s">
        <v>70</v>
      </c>
      <c r="D808" s="56" t="s">
        <v>70</v>
      </c>
      <c r="E808" s="56" t="s">
        <v>70</v>
      </c>
      <c r="F808" s="56" t="s">
        <v>70</v>
      </c>
      <c r="G808" s="56" t="s">
        <v>70</v>
      </c>
      <c r="H808" s="4"/>
    </row>
    <row r="809">
      <c r="C809" s="4" t="s">
        <v>70</v>
      </c>
      <c r="D809" s="56" t="s">
        <v>70</v>
      </c>
      <c r="E809" s="56" t="s">
        <v>70</v>
      </c>
      <c r="F809" s="56" t="s">
        <v>70</v>
      </c>
      <c r="G809" s="56" t="s">
        <v>70</v>
      </c>
      <c r="H809" s="4"/>
    </row>
    <row r="810">
      <c r="C810" s="4" t="s">
        <v>70</v>
      </c>
      <c r="D810" s="56" t="s">
        <v>70</v>
      </c>
      <c r="E810" s="56" t="s">
        <v>70</v>
      </c>
      <c r="F810" s="56" t="s">
        <v>70</v>
      </c>
      <c r="G810" s="56" t="s">
        <v>70</v>
      </c>
      <c r="H810" s="4"/>
    </row>
    <row r="811">
      <c r="C811" s="4" t="s">
        <v>70</v>
      </c>
      <c r="D811" s="56" t="s">
        <v>70</v>
      </c>
      <c r="E811" s="56" t="s">
        <v>70</v>
      </c>
      <c r="F811" s="56" t="s">
        <v>70</v>
      </c>
      <c r="G811" s="56" t="s">
        <v>70</v>
      </c>
      <c r="H811" s="4"/>
    </row>
    <row r="812">
      <c r="C812" s="4" t="s">
        <v>70</v>
      </c>
      <c r="D812" s="56" t="s">
        <v>70</v>
      </c>
      <c r="E812" s="56" t="s">
        <v>70</v>
      </c>
      <c r="F812" s="56" t="s">
        <v>70</v>
      </c>
      <c r="G812" s="56" t="s">
        <v>70</v>
      </c>
      <c r="H812" s="4"/>
    </row>
    <row r="813">
      <c r="C813" s="4" t="s">
        <v>70</v>
      </c>
      <c r="D813" s="56" t="s">
        <v>70</v>
      </c>
      <c r="E813" s="56" t="s">
        <v>70</v>
      </c>
      <c r="F813" s="56" t="s">
        <v>70</v>
      </c>
      <c r="G813" s="56" t="s">
        <v>70</v>
      </c>
      <c r="H813" s="4"/>
    </row>
    <row r="814">
      <c r="C814" s="4" t="s">
        <v>70</v>
      </c>
      <c r="D814" s="56" t="s">
        <v>70</v>
      </c>
      <c r="E814" s="56" t="s">
        <v>70</v>
      </c>
      <c r="F814" s="56" t="s">
        <v>70</v>
      </c>
      <c r="G814" s="56" t="s">
        <v>70</v>
      </c>
      <c r="H814" s="4"/>
    </row>
    <row r="815">
      <c r="C815" s="4" t="s">
        <v>70</v>
      </c>
      <c r="D815" s="56" t="s">
        <v>70</v>
      </c>
      <c r="E815" s="56" t="s">
        <v>70</v>
      </c>
      <c r="F815" s="56" t="s">
        <v>70</v>
      </c>
      <c r="G815" s="56" t="s">
        <v>70</v>
      </c>
      <c r="H815" s="4"/>
    </row>
    <row r="816">
      <c r="C816" s="4" t="s">
        <v>70</v>
      </c>
      <c r="D816" s="56" t="s">
        <v>70</v>
      </c>
      <c r="E816" s="56" t="s">
        <v>70</v>
      </c>
      <c r="F816" s="56" t="s">
        <v>70</v>
      </c>
      <c r="G816" s="56" t="s">
        <v>70</v>
      </c>
      <c r="H816" s="4"/>
    </row>
    <row r="817">
      <c r="C817" s="4" t="s">
        <v>70</v>
      </c>
      <c r="D817" s="56" t="s">
        <v>70</v>
      </c>
      <c r="E817" s="56" t="s">
        <v>70</v>
      </c>
      <c r="F817" s="56" t="s">
        <v>70</v>
      </c>
      <c r="G817" s="56" t="s">
        <v>70</v>
      </c>
      <c r="H817" s="4"/>
    </row>
    <row r="818">
      <c r="C818" s="4" t="s">
        <v>70</v>
      </c>
      <c r="D818" s="56" t="s">
        <v>70</v>
      </c>
      <c r="E818" s="56" t="s">
        <v>70</v>
      </c>
      <c r="F818" s="56" t="s">
        <v>70</v>
      </c>
      <c r="G818" s="56" t="s">
        <v>70</v>
      </c>
      <c r="H818" s="4"/>
    </row>
    <row r="819">
      <c r="C819" s="4" t="s">
        <v>70</v>
      </c>
      <c r="D819" s="56" t="s">
        <v>70</v>
      </c>
      <c r="E819" s="56" t="s">
        <v>70</v>
      </c>
      <c r="F819" s="56" t="s">
        <v>70</v>
      </c>
      <c r="G819" s="56" t="s">
        <v>70</v>
      </c>
      <c r="H819" s="4"/>
    </row>
    <row r="820">
      <c r="C820" s="4" t="s">
        <v>70</v>
      </c>
      <c r="D820" s="56" t="s">
        <v>70</v>
      </c>
      <c r="E820" s="56" t="s">
        <v>70</v>
      </c>
      <c r="F820" s="56" t="s">
        <v>70</v>
      </c>
      <c r="G820" s="56" t="s">
        <v>70</v>
      </c>
      <c r="H820" s="4"/>
    </row>
    <row r="821">
      <c r="C821" s="4" t="s">
        <v>70</v>
      </c>
      <c r="D821" s="56" t="s">
        <v>70</v>
      </c>
      <c r="E821" s="56" t="s">
        <v>70</v>
      </c>
      <c r="F821" s="56" t="s">
        <v>70</v>
      </c>
      <c r="G821" s="56" t="s">
        <v>70</v>
      </c>
      <c r="H821" s="4"/>
    </row>
    <row r="822">
      <c r="C822" s="4" t="s">
        <v>70</v>
      </c>
      <c r="D822" s="56" t="s">
        <v>70</v>
      </c>
      <c r="E822" s="56" t="s">
        <v>70</v>
      </c>
      <c r="F822" s="56" t="s">
        <v>70</v>
      </c>
      <c r="G822" s="56" t="s">
        <v>70</v>
      </c>
      <c r="H822" s="4"/>
    </row>
    <row r="823">
      <c r="C823" s="4" t="s">
        <v>70</v>
      </c>
      <c r="D823" s="56" t="s">
        <v>70</v>
      </c>
      <c r="E823" s="56" t="s">
        <v>70</v>
      </c>
      <c r="F823" s="56" t="s">
        <v>70</v>
      </c>
      <c r="G823" s="56" t="s">
        <v>70</v>
      </c>
      <c r="H823" s="4"/>
    </row>
    <row r="824">
      <c r="C824" s="4" t="s">
        <v>70</v>
      </c>
      <c r="D824" s="56" t="s">
        <v>70</v>
      </c>
      <c r="E824" s="56" t="s">
        <v>70</v>
      </c>
      <c r="F824" s="56" t="s">
        <v>70</v>
      </c>
      <c r="G824" s="56" t="s">
        <v>70</v>
      </c>
      <c r="H824" s="4"/>
    </row>
    <row r="825">
      <c r="C825" s="4" t="s">
        <v>70</v>
      </c>
      <c r="D825" s="56" t="s">
        <v>70</v>
      </c>
      <c r="E825" s="56" t="s">
        <v>70</v>
      </c>
      <c r="F825" s="56" t="s">
        <v>70</v>
      </c>
      <c r="G825" s="56" t="s">
        <v>70</v>
      </c>
      <c r="H825" s="4"/>
    </row>
    <row r="826">
      <c r="C826" s="4" t="s">
        <v>70</v>
      </c>
      <c r="D826" s="56" t="s">
        <v>70</v>
      </c>
      <c r="E826" s="56" t="s">
        <v>70</v>
      </c>
      <c r="F826" s="56" t="s">
        <v>70</v>
      </c>
      <c r="G826" s="56" t="s">
        <v>70</v>
      </c>
      <c r="H826" s="4"/>
    </row>
    <row r="827">
      <c r="C827" s="4" t="s">
        <v>70</v>
      </c>
      <c r="D827" s="56" t="s">
        <v>70</v>
      </c>
      <c r="E827" s="56" t="s">
        <v>70</v>
      </c>
      <c r="F827" s="56" t="s">
        <v>70</v>
      </c>
      <c r="G827" s="56" t="s">
        <v>70</v>
      </c>
      <c r="H827" s="4"/>
    </row>
    <row r="828">
      <c r="C828" s="4" t="s">
        <v>70</v>
      </c>
      <c r="D828" s="56" t="s">
        <v>70</v>
      </c>
      <c r="E828" s="56" t="s">
        <v>70</v>
      </c>
      <c r="F828" s="56" t="s">
        <v>70</v>
      </c>
      <c r="G828" s="56" t="s">
        <v>70</v>
      </c>
      <c r="H828" s="4"/>
    </row>
    <row r="829">
      <c r="C829" s="4" t="s">
        <v>70</v>
      </c>
      <c r="D829" s="56" t="s">
        <v>70</v>
      </c>
      <c r="E829" s="56" t="s">
        <v>70</v>
      </c>
      <c r="F829" s="56" t="s">
        <v>70</v>
      </c>
      <c r="G829" s="56" t="s">
        <v>70</v>
      </c>
      <c r="H829" s="4"/>
    </row>
    <row r="830">
      <c r="C830" s="4" t="s">
        <v>70</v>
      </c>
      <c r="D830" s="56" t="s">
        <v>70</v>
      </c>
      <c r="E830" s="56" t="s">
        <v>70</v>
      </c>
      <c r="F830" s="56" t="s">
        <v>70</v>
      </c>
      <c r="G830" s="56" t="s">
        <v>70</v>
      </c>
      <c r="H830" s="4"/>
    </row>
    <row r="831">
      <c r="C831" s="4" t="s">
        <v>70</v>
      </c>
      <c r="D831" s="56" t="s">
        <v>70</v>
      </c>
      <c r="E831" s="56" t="s">
        <v>70</v>
      </c>
      <c r="F831" s="56" t="s">
        <v>70</v>
      </c>
      <c r="G831" s="56" t="s">
        <v>70</v>
      </c>
      <c r="H831" s="4"/>
    </row>
    <row r="832">
      <c r="C832" s="4" t="s">
        <v>70</v>
      </c>
      <c r="D832" s="56" t="s">
        <v>70</v>
      </c>
      <c r="E832" s="56" t="s">
        <v>70</v>
      </c>
      <c r="F832" s="56" t="s">
        <v>70</v>
      </c>
      <c r="G832" s="56" t="s">
        <v>70</v>
      </c>
      <c r="H832" s="4"/>
    </row>
    <row r="833">
      <c r="C833" s="4" t="s">
        <v>70</v>
      </c>
      <c r="D833" s="56" t="s">
        <v>70</v>
      </c>
      <c r="E833" s="56" t="s">
        <v>70</v>
      </c>
      <c r="F833" s="56" t="s">
        <v>70</v>
      </c>
      <c r="G833" s="56" t="s">
        <v>70</v>
      </c>
      <c r="H833" s="4"/>
    </row>
    <row r="834">
      <c r="C834" s="4" t="s">
        <v>70</v>
      </c>
      <c r="D834" s="56" t="s">
        <v>70</v>
      </c>
      <c r="E834" s="56" t="s">
        <v>70</v>
      </c>
      <c r="F834" s="56" t="s">
        <v>70</v>
      </c>
      <c r="G834" s="56" t="s">
        <v>70</v>
      </c>
      <c r="H834" s="4"/>
    </row>
    <row r="835">
      <c r="C835" s="4" t="s">
        <v>70</v>
      </c>
      <c r="D835" s="56" t="s">
        <v>70</v>
      </c>
      <c r="E835" s="56" t="s">
        <v>70</v>
      </c>
      <c r="F835" s="56" t="s">
        <v>70</v>
      </c>
      <c r="G835" s="56" t="s">
        <v>70</v>
      </c>
      <c r="H835" s="4"/>
    </row>
    <row r="836">
      <c r="C836" s="4" t="s">
        <v>70</v>
      </c>
      <c r="D836" s="56" t="s">
        <v>70</v>
      </c>
      <c r="E836" s="56" t="s">
        <v>70</v>
      </c>
      <c r="F836" s="56" t="s">
        <v>70</v>
      </c>
      <c r="G836" s="56" t="s">
        <v>70</v>
      </c>
      <c r="H836" s="4"/>
    </row>
    <row r="837">
      <c r="C837" s="4" t="s">
        <v>70</v>
      </c>
      <c r="D837" s="56" t="s">
        <v>70</v>
      </c>
      <c r="E837" s="56" t="s">
        <v>70</v>
      </c>
      <c r="F837" s="56" t="s">
        <v>70</v>
      </c>
      <c r="G837" s="56" t="s">
        <v>70</v>
      </c>
      <c r="H837" s="4"/>
    </row>
    <row r="838">
      <c r="C838" s="4" t="s">
        <v>70</v>
      </c>
      <c r="D838" s="56" t="s">
        <v>70</v>
      </c>
      <c r="E838" s="56" t="s">
        <v>70</v>
      </c>
      <c r="F838" s="56" t="s">
        <v>70</v>
      </c>
      <c r="G838" s="56" t="s">
        <v>70</v>
      </c>
      <c r="H838" s="4"/>
    </row>
    <row r="839">
      <c r="C839" s="4" t="s">
        <v>70</v>
      </c>
      <c r="D839" s="56" t="s">
        <v>70</v>
      </c>
      <c r="E839" s="56" t="s">
        <v>70</v>
      </c>
      <c r="F839" s="56" t="s">
        <v>70</v>
      </c>
      <c r="G839" s="56" t="s">
        <v>70</v>
      </c>
      <c r="H839" s="4"/>
    </row>
    <row r="840">
      <c r="C840" s="4" t="s">
        <v>70</v>
      </c>
      <c r="D840" s="56" t="s">
        <v>70</v>
      </c>
      <c r="E840" s="56" t="s">
        <v>70</v>
      </c>
      <c r="F840" s="56" t="s">
        <v>70</v>
      </c>
      <c r="G840" s="56" t="s">
        <v>70</v>
      </c>
      <c r="H840" s="4"/>
    </row>
    <row r="841">
      <c r="C841" s="4" t="s">
        <v>70</v>
      </c>
      <c r="D841" s="56" t="s">
        <v>70</v>
      </c>
      <c r="E841" s="56" t="s">
        <v>70</v>
      </c>
      <c r="F841" s="56" t="s">
        <v>70</v>
      </c>
      <c r="G841" s="56" t="s">
        <v>70</v>
      </c>
      <c r="H841" s="4"/>
    </row>
    <row r="842">
      <c r="C842" s="4" t="s">
        <v>70</v>
      </c>
      <c r="D842" s="56" t="s">
        <v>70</v>
      </c>
      <c r="E842" s="56" t="s">
        <v>70</v>
      </c>
      <c r="F842" s="56" t="s">
        <v>70</v>
      </c>
      <c r="G842" s="56" t="s">
        <v>70</v>
      </c>
      <c r="H842" s="4"/>
    </row>
    <row r="843">
      <c r="C843" s="4" t="s">
        <v>70</v>
      </c>
      <c r="D843" s="56" t="s">
        <v>70</v>
      </c>
      <c r="E843" s="56" t="s">
        <v>70</v>
      </c>
      <c r="F843" s="56" t="s">
        <v>70</v>
      </c>
      <c r="G843" s="56" t="s">
        <v>70</v>
      </c>
      <c r="H843" s="4"/>
    </row>
    <row r="844">
      <c r="C844" s="4" t="s">
        <v>70</v>
      </c>
      <c r="D844" s="56" t="s">
        <v>70</v>
      </c>
      <c r="E844" s="56" t="s">
        <v>70</v>
      </c>
      <c r="F844" s="56" t="s">
        <v>70</v>
      </c>
      <c r="G844" s="56" t="s">
        <v>70</v>
      </c>
      <c r="H844" s="4"/>
    </row>
    <row r="845">
      <c r="C845" s="4" t="s">
        <v>70</v>
      </c>
      <c r="D845" s="56" t="s">
        <v>70</v>
      </c>
      <c r="E845" s="56" t="s">
        <v>70</v>
      </c>
      <c r="F845" s="56" t="s">
        <v>70</v>
      </c>
      <c r="G845" s="56" t="s">
        <v>70</v>
      </c>
      <c r="H845" s="4"/>
    </row>
    <row r="846">
      <c r="C846" s="4" t="s">
        <v>70</v>
      </c>
      <c r="D846" s="56" t="s">
        <v>70</v>
      </c>
      <c r="E846" s="56" t="s">
        <v>70</v>
      </c>
      <c r="F846" s="56" t="s">
        <v>70</v>
      </c>
      <c r="G846" s="56" t="s">
        <v>70</v>
      </c>
      <c r="H846" s="4"/>
    </row>
    <row r="847">
      <c r="C847" s="4" t="s">
        <v>70</v>
      </c>
      <c r="D847" s="56" t="s">
        <v>70</v>
      </c>
      <c r="E847" s="56" t="s">
        <v>70</v>
      </c>
      <c r="F847" s="56" t="s">
        <v>70</v>
      </c>
      <c r="G847" s="56" t="s">
        <v>70</v>
      </c>
      <c r="H847" s="4"/>
    </row>
    <row r="848">
      <c r="C848" s="4" t="s">
        <v>70</v>
      </c>
      <c r="D848" s="56" t="s">
        <v>70</v>
      </c>
      <c r="E848" s="56" t="s">
        <v>70</v>
      </c>
      <c r="F848" s="56" t="s">
        <v>70</v>
      </c>
      <c r="G848" s="56" t="s">
        <v>70</v>
      </c>
      <c r="H848" s="4"/>
    </row>
    <row r="849">
      <c r="C849" s="4" t="s">
        <v>70</v>
      </c>
      <c r="D849" s="56" t="s">
        <v>70</v>
      </c>
      <c r="E849" s="56" t="s">
        <v>70</v>
      </c>
      <c r="F849" s="56" t="s">
        <v>70</v>
      </c>
      <c r="G849" s="56" t="s">
        <v>70</v>
      </c>
      <c r="H849" s="4"/>
    </row>
    <row r="850">
      <c r="C850" s="4" t="s">
        <v>70</v>
      </c>
      <c r="D850" s="56" t="s">
        <v>70</v>
      </c>
      <c r="E850" s="56" t="s">
        <v>70</v>
      </c>
      <c r="F850" s="56" t="s">
        <v>70</v>
      </c>
      <c r="G850" s="56" t="s">
        <v>70</v>
      </c>
      <c r="H850" s="4"/>
    </row>
    <row r="851">
      <c r="C851" s="4" t="s">
        <v>70</v>
      </c>
      <c r="D851" s="56" t="s">
        <v>70</v>
      </c>
      <c r="E851" s="56" t="s">
        <v>70</v>
      </c>
      <c r="F851" s="56" t="s">
        <v>70</v>
      </c>
      <c r="G851" s="56" t="s">
        <v>70</v>
      </c>
      <c r="H851" s="4"/>
    </row>
    <row r="852">
      <c r="C852" s="4" t="s">
        <v>70</v>
      </c>
      <c r="D852" s="56" t="s">
        <v>70</v>
      </c>
      <c r="E852" s="56" t="s">
        <v>70</v>
      </c>
      <c r="F852" s="56" t="s">
        <v>70</v>
      </c>
      <c r="G852" s="56" t="s">
        <v>70</v>
      </c>
      <c r="H852" s="4"/>
    </row>
    <row r="853">
      <c r="C853" s="4" t="s">
        <v>70</v>
      </c>
      <c r="D853" s="56" t="s">
        <v>70</v>
      </c>
      <c r="E853" s="56" t="s">
        <v>70</v>
      </c>
      <c r="F853" s="56" t="s">
        <v>70</v>
      </c>
      <c r="G853" s="56" t="s">
        <v>70</v>
      </c>
      <c r="H853" s="4"/>
    </row>
    <row r="854">
      <c r="C854" s="4" t="s">
        <v>70</v>
      </c>
      <c r="D854" s="56" t="s">
        <v>70</v>
      </c>
      <c r="E854" s="56" t="s">
        <v>70</v>
      </c>
      <c r="F854" s="56" t="s">
        <v>70</v>
      </c>
      <c r="G854" s="56" t="s">
        <v>70</v>
      </c>
      <c r="H854" s="4"/>
    </row>
    <row r="855">
      <c r="C855" s="4" t="s">
        <v>70</v>
      </c>
      <c r="D855" s="56" t="s">
        <v>70</v>
      </c>
      <c r="E855" s="56" t="s">
        <v>70</v>
      </c>
      <c r="F855" s="56" t="s">
        <v>70</v>
      </c>
      <c r="G855" s="56" t="s">
        <v>70</v>
      </c>
      <c r="H855" s="4"/>
    </row>
    <row r="856">
      <c r="C856" s="4" t="s">
        <v>70</v>
      </c>
      <c r="D856" s="56" t="s">
        <v>70</v>
      </c>
      <c r="E856" s="56" t="s">
        <v>70</v>
      </c>
      <c r="F856" s="56" t="s">
        <v>70</v>
      </c>
      <c r="G856" s="56" t="s">
        <v>70</v>
      </c>
      <c r="H856" s="4"/>
    </row>
    <row r="857">
      <c r="C857" s="4" t="s">
        <v>70</v>
      </c>
      <c r="D857" s="56" t="s">
        <v>70</v>
      </c>
      <c r="E857" s="56" t="s">
        <v>70</v>
      </c>
      <c r="F857" s="56" t="s">
        <v>70</v>
      </c>
      <c r="G857" s="56" t="s">
        <v>70</v>
      </c>
      <c r="H857" s="4"/>
    </row>
    <row r="858">
      <c r="C858" s="4" t="s">
        <v>70</v>
      </c>
      <c r="D858" s="56" t="s">
        <v>70</v>
      </c>
      <c r="E858" s="56" t="s">
        <v>70</v>
      </c>
      <c r="F858" s="56" t="s">
        <v>70</v>
      </c>
      <c r="G858" s="56" t="s">
        <v>70</v>
      </c>
      <c r="H858" s="4"/>
    </row>
    <row r="859">
      <c r="C859" s="4" t="s">
        <v>70</v>
      </c>
      <c r="D859" s="56" t="s">
        <v>70</v>
      </c>
      <c r="E859" s="56" t="s">
        <v>70</v>
      </c>
      <c r="F859" s="56" t="s">
        <v>70</v>
      </c>
      <c r="G859" s="56" t="s">
        <v>70</v>
      </c>
      <c r="H859" s="4"/>
    </row>
    <row r="860">
      <c r="C860" s="4" t="s">
        <v>70</v>
      </c>
      <c r="D860" s="56" t="s">
        <v>70</v>
      </c>
      <c r="E860" s="56" t="s">
        <v>70</v>
      </c>
      <c r="F860" s="56" t="s">
        <v>70</v>
      </c>
      <c r="G860" s="56" t="s">
        <v>70</v>
      </c>
      <c r="H860" s="4"/>
    </row>
    <row r="861">
      <c r="C861" s="4" t="s">
        <v>70</v>
      </c>
      <c r="D861" s="56" t="s">
        <v>70</v>
      </c>
      <c r="E861" s="56" t="s">
        <v>70</v>
      </c>
      <c r="F861" s="56" t="s">
        <v>70</v>
      </c>
      <c r="G861" s="56" t="s">
        <v>70</v>
      </c>
      <c r="H861" s="4"/>
    </row>
    <row r="862">
      <c r="C862" s="4" t="s">
        <v>70</v>
      </c>
      <c r="D862" s="56" t="s">
        <v>70</v>
      </c>
      <c r="E862" s="56" t="s">
        <v>70</v>
      </c>
      <c r="F862" s="56" t="s">
        <v>70</v>
      </c>
      <c r="G862" s="56" t="s">
        <v>70</v>
      </c>
      <c r="H862" s="4"/>
    </row>
    <row r="863">
      <c r="C863" s="4" t="s">
        <v>70</v>
      </c>
      <c r="D863" s="56" t="s">
        <v>70</v>
      </c>
      <c r="E863" s="56" t="s">
        <v>70</v>
      </c>
      <c r="F863" s="56" t="s">
        <v>70</v>
      </c>
      <c r="G863" s="56" t="s">
        <v>70</v>
      </c>
      <c r="H863" s="4"/>
    </row>
    <row r="864">
      <c r="C864" s="4" t="s">
        <v>70</v>
      </c>
      <c r="D864" s="56" t="s">
        <v>70</v>
      </c>
      <c r="E864" s="56" t="s">
        <v>70</v>
      </c>
      <c r="F864" s="56" t="s">
        <v>70</v>
      </c>
      <c r="G864" s="56" t="s">
        <v>70</v>
      </c>
      <c r="H864" s="4"/>
    </row>
    <row r="865">
      <c r="C865" s="4" t="s">
        <v>70</v>
      </c>
      <c r="D865" s="56" t="s">
        <v>70</v>
      </c>
      <c r="E865" s="56" t="s">
        <v>70</v>
      </c>
      <c r="F865" s="56" t="s">
        <v>70</v>
      </c>
      <c r="G865" s="56" t="s">
        <v>70</v>
      </c>
      <c r="H865" s="4"/>
    </row>
    <row r="866">
      <c r="C866" s="4" t="s">
        <v>70</v>
      </c>
      <c r="D866" s="56" t="s">
        <v>70</v>
      </c>
      <c r="E866" s="56" t="s">
        <v>70</v>
      </c>
      <c r="F866" s="56" t="s">
        <v>70</v>
      </c>
      <c r="G866" s="56" t="s">
        <v>70</v>
      </c>
      <c r="H866" s="4"/>
    </row>
    <row r="867">
      <c r="C867" s="4" t="s">
        <v>70</v>
      </c>
      <c r="D867" s="56" t="s">
        <v>70</v>
      </c>
      <c r="E867" s="56" t="s">
        <v>70</v>
      </c>
      <c r="F867" s="56" t="s">
        <v>70</v>
      </c>
      <c r="G867" s="56" t="s">
        <v>70</v>
      </c>
      <c r="H867" s="4"/>
    </row>
    <row r="868">
      <c r="C868" s="4" t="s">
        <v>70</v>
      </c>
      <c r="D868" s="56" t="s">
        <v>70</v>
      </c>
      <c r="E868" s="56" t="s">
        <v>70</v>
      </c>
      <c r="F868" s="56" t="s">
        <v>70</v>
      </c>
      <c r="G868" s="56" t="s">
        <v>70</v>
      </c>
      <c r="H868" s="4"/>
    </row>
    <row r="869">
      <c r="C869" s="4" t="s">
        <v>70</v>
      </c>
      <c r="D869" s="56" t="s">
        <v>70</v>
      </c>
      <c r="E869" s="56" t="s">
        <v>70</v>
      </c>
      <c r="F869" s="56" t="s">
        <v>70</v>
      </c>
      <c r="G869" s="56" t="s">
        <v>70</v>
      </c>
      <c r="H869" s="4"/>
    </row>
    <row r="870">
      <c r="C870" s="4" t="s">
        <v>70</v>
      </c>
      <c r="D870" s="56" t="s">
        <v>70</v>
      </c>
      <c r="E870" s="56" t="s">
        <v>70</v>
      </c>
      <c r="F870" s="56" t="s">
        <v>70</v>
      </c>
      <c r="G870" s="56" t="s">
        <v>70</v>
      </c>
      <c r="H870" s="4"/>
    </row>
    <row r="871">
      <c r="C871" s="4" t="s">
        <v>70</v>
      </c>
      <c r="D871" s="56" t="s">
        <v>70</v>
      </c>
      <c r="E871" s="56" t="s">
        <v>70</v>
      </c>
      <c r="F871" s="56" t="s">
        <v>70</v>
      </c>
      <c r="G871" s="56" t="s">
        <v>70</v>
      </c>
      <c r="H871" s="4"/>
    </row>
    <row r="872">
      <c r="C872" s="4" t="s">
        <v>70</v>
      </c>
      <c r="D872" s="56" t="s">
        <v>70</v>
      </c>
      <c r="E872" s="56" t="s">
        <v>70</v>
      </c>
      <c r="F872" s="56" t="s">
        <v>70</v>
      </c>
      <c r="G872" s="56" t="s">
        <v>70</v>
      </c>
      <c r="H872" s="4"/>
    </row>
    <row r="873">
      <c r="C873" s="4" t="s">
        <v>70</v>
      </c>
      <c r="D873" s="56" t="s">
        <v>70</v>
      </c>
      <c r="E873" s="56" t="s">
        <v>70</v>
      </c>
      <c r="F873" s="56" t="s">
        <v>70</v>
      </c>
      <c r="G873" s="56" t="s">
        <v>70</v>
      </c>
      <c r="H873" s="4"/>
    </row>
    <row r="874">
      <c r="C874" s="4" t="s">
        <v>70</v>
      </c>
      <c r="D874" s="56" t="s">
        <v>70</v>
      </c>
      <c r="E874" s="56" t="s">
        <v>70</v>
      </c>
      <c r="F874" s="56" t="s">
        <v>70</v>
      </c>
      <c r="G874" s="56" t="s">
        <v>70</v>
      </c>
      <c r="H874" s="4"/>
    </row>
    <row r="875">
      <c r="C875" s="4" t="s">
        <v>70</v>
      </c>
      <c r="D875" s="56" t="s">
        <v>70</v>
      </c>
      <c r="E875" s="56" t="s">
        <v>70</v>
      </c>
      <c r="F875" s="56" t="s">
        <v>70</v>
      </c>
      <c r="G875" s="56" t="s">
        <v>70</v>
      </c>
      <c r="H875" s="4"/>
    </row>
    <row r="876">
      <c r="C876" s="4" t="s">
        <v>70</v>
      </c>
      <c r="D876" s="56" t="s">
        <v>70</v>
      </c>
      <c r="E876" s="56" t="s">
        <v>70</v>
      </c>
      <c r="F876" s="56" t="s">
        <v>70</v>
      </c>
      <c r="G876" s="56" t="s">
        <v>70</v>
      </c>
      <c r="H876" s="4"/>
    </row>
    <row r="877">
      <c r="C877" s="4" t="s">
        <v>70</v>
      </c>
      <c r="D877" s="56" t="s">
        <v>70</v>
      </c>
      <c r="E877" s="56" t="s">
        <v>70</v>
      </c>
      <c r="F877" s="56" t="s">
        <v>70</v>
      </c>
      <c r="G877" s="56" t="s">
        <v>70</v>
      </c>
      <c r="H877" s="4"/>
    </row>
    <row r="878">
      <c r="C878" s="4" t="s">
        <v>70</v>
      </c>
      <c r="D878" s="56" t="s">
        <v>70</v>
      </c>
      <c r="E878" s="56" t="s">
        <v>70</v>
      </c>
      <c r="F878" s="56" t="s">
        <v>70</v>
      </c>
      <c r="G878" s="56" t="s">
        <v>70</v>
      </c>
      <c r="H878" s="4"/>
    </row>
    <row r="879">
      <c r="C879" s="4" t="s">
        <v>70</v>
      </c>
      <c r="D879" s="56" t="s">
        <v>70</v>
      </c>
      <c r="E879" s="56" t="s">
        <v>70</v>
      </c>
      <c r="F879" s="56" t="s">
        <v>70</v>
      </c>
      <c r="G879" s="56" t="s">
        <v>70</v>
      </c>
      <c r="H879" s="4"/>
    </row>
    <row r="880">
      <c r="C880" s="4" t="s">
        <v>70</v>
      </c>
      <c r="D880" s="56" t="s">
        <v>70</v>
      </c>
      <c r="E880" s="56" t="s">
        <v>70</v>
      </c>
      <c r="F880" s="56" t="s">
        <v>70</v>
      </c>
      <c r="G880" s="56" t="s">
        <v>70</v>
      </c>
      <c r="H880" s="4"/>
    </row>
    <row r="881">
      <c r="C881" s="4" t="s">
        <v>70</v>
      </c>
      <c r="D881" s="56" t="s">
        <v>70</v>
      </c>
      <c r="E881" s="56" t="s">
        <v>70</v>
      </c>
      <c r="F881" s="56" t="s">
        <v>70</v>
      </c>
      <c r="G881" s="56" t="s">
        <v>70</v>
      </c>
      <c r="H881" s="4"/>
    </row>
    <row r="882">
      <c r="C882" s="4" t="s">
        <v>70</v>
      </c>
      <c r="D882" s="56" t="s">
        <v>70</v>
      </c>
      <c r="E882" s="56" t="s">
        <v>70</v>
      </c>
      <c r="F882" s="56" t="s">
        <v>70</v>
      </c>
      <c r="G882" s="56" t="s">
        <v>70</v>
      </c>
      <c r="H882" s="4"/>
    </row>
    <row r="883">
      <c r="C883" s="4" t="s">
        <v>70</v>
      </c>
      <c r="D883" s="56" t="s">
        <v>70</v>
      </c>
      <c r="E883" s="56" t="s">
        <v>70</v>
      </c>
      <c r="F883" s="56" t="s">
        <v>70</v>
      </c>
      <c r="G883" s="56" t="s">
        <v>70</v>
      </c>
      <c r="H883" s="4"/>
    </row>
    <row r="884">
      <c r="C884" s="4" t="s">
        <v>70</v>
      </c>
      <c r="D884" s="56" t="s">
        <v>70</v>
      </c>
      <c r="E884" s="56" t="s">
        <v>70</v>
      </c>
      <c r="F884" s="56" t="s">
        <v>70</v>
      </c>
      <c r="G884" s="56" t="s">
        <v>70</v>
      </c>
      <c r="H884" s="4"/>
    </row>
    <row r="885">
      <c r="C885" s="4" t="s">
        <v>70</v>
      </c>
      <c r="D885" s="56" t="s">
        <v>70</v>
      </c>
      <c r="E885" s="56" t="s">
        <v>70</v>
      </c>
      <c r="F885" s="56" t="s">
        <v>70</v>
      </c>
      <c r="G885" s="56" t="s">
        <v>70</v>
      </c>
      <c r="H885" s="4"/>
    </row>
    <row r="886">
      <c r="C886" s="4" t="s">
        <v>70</v>
      </c>
      <c r="D886" s="56" t="s">
        <v>70</v>
      </c>
      <c r="E886" s="56" t="s">
        <v>70</v>
      </c>
      <c r="F886" s="56" t="s">
        <v>70</v>
      </c>
      <c r="G886" s="56" t="s">
        <v>70</v>
      </c>
      <c r="H886" s="4"/>
    </row>
    <row r="887">
      <c r="C887" s="4" t="s">
        <v>70</v>
      </c>
      <c r="D887" s="56" t="s">
        <v>70</v>
      </c>
      <c r="E887" s="56" t="s">
        <v>70</v>
      </c>
      <c r="F887" s="56" t="s">
        <v>70</v>
      </c>
      <c r="G887" s="56" t="s">
        <v>70</v>
      </c>
      <c r="H887" s="4"/>
    </row>
    <row r="888">
      <c r="C888" s="4" t="s">
        <v>70</v>
      </c>
      <c r="D888" s="56" t="s">
        <v>70</v>
      </c>
      <c r="E888" s="56" t="s">
        <v>70</v>
      </c>
      <c r="F888" s="56" t="s">
        <v>70</v>
      </c>
      <c r="G888" s="56" t="s">
        <v>70</v>
      </c>
      <c r="H888" s="4"/>
    </row>
    <row r="889">
      <c r="C889" s="4" t="s">
        <v>70</v>
      </c>
      <c r="D889" s="56" t="s">
        <v>70</v>
      </c>
      <c r="E889" s="56" t="s">
        <v>70</v>
      </c>
      <c r="F889" s="56" t="s">
        <v>70</v>
      </c>
      <c r="G889" s="56" t="s">
        <v>70</v>
      </c>
      <c r="H889" s="4"/>
    </row>
    <row r="890">
      <c r="C890" s="4" t="s">
        <v>70</v>
      </c>
      <c r="D890" s="56" t="s">
        <v>70</v>
      </c>
      <c r="E890" s="56" t="s">
        <v>70</v>
      </c>
      <c r="F890" s="56" t="s">
        <v>70</v>
      </c>
      <c r="G890" s="56" t="s">
        <v>70</v>
      </c>
      <c r="H890" s="4"/>
    </row>
    <row r="891">
      <c r="C891" s="4" t="s">
        <v>70</v>
      </c>
      <c r="D891" s="56" t="s">
        <v>70</v>
      </c>
      <c r="E891" s="56" t="s">
        <v>70</v>
      </c>
      <c r="F891" s="56" t="s">
        <v>70</v>
      </c>
      <c r="G891" s="56" t="s">
        <v>70</v>
      </c>
      <c r="H891" s="4"/>
    </row>
    <row r="892">
      <c r="C892" s="4" t="s">
        <v>70</v>
      </c>
      <c r="D892" s="56" t="s">
        <v>70</v>
      </c>
      <c r="E892" s="56" t="s">
        <v>70</v>
      </c>
      <c r="F892" s="56" t="s">
        <v>70</v>
      </c>
      <c r="G892" s="56" t="s">
        <v>70</v>
      </c>
      <c r="H892" s="4"/>
    </row>
    <row r="893">
      <c r="C893" s="4" t="s">
        <v>70</v>
      </c>
      <c r="D893" s="56" t="s">
        <v>70</v>
      </c>
      <c r="E893" s="56" t="s">
        <v>70</v>
      </c>
      <c r="F893" s="56" t="s">
        <v>70</v>
      </c>
      <c r="G893" s="56" t="s">
        <v>70</v>
      </c>
      <c r="H893" s="4"/>
    </row>
    <row r="894">
      <c r="C894" s="4" t="s">
        <v>70</v>
      </c>
      <c r="D894" s="56" t="s">
        <v>70</v>
      </c>
      <c r="E894" s="56" t="s">
        <v>70</v>
      </c>
      <c r="F894" s="56" t="s">
        <v>70</v>
      </c>
      <c r="G894" s="56" t="s">
        <v>70</v>
      </c>
      <c r="H894" s="4"/>
    </row>
    <row r="895">
      <c r="C895" s="4" t="s">
        <v>70</v>
      </c>
      <c r="D895" s="56" t="s">
        <v>70</v>
      </c>
      <c r="E895" s="56" t="s">
        <v>70</v>
      </c>
      <c r="F895" s="56" t="s">
        <v>70</v>
      </c>
      <c r="G895" s="56" t="s">
        <v>70</v>
      </c>
      <c r="H895" s="4"/>
    </row>
    <row r="896">
      <c r="C896" s="4" t="s">
        <v>70</v>
      </c>
      <c r="D896" s="56" t="s">
        <v>70</v>
      </c>
      <c r="E896" s="56" t="s">
        <v>70</v>
      </c>
      <c r="F896" s="56" t="s">
        <v>70</v>
      </c>
      <c r="G896" s="56" t="s">
        <v>70</v>
      </c>
      <c r="H896" s="4"/>
    </row>
    <row r="897">
      <c r="C897" s="4" t="s">
        <v>70</v>
      </c>
      <c r="D897" s="56" t="s">
        <v>70</v>
      </c>
      <c r="E897" s="56" t="s">
        <v>70</v>
      </c>
      <c r="F897" s="56" t="s">
        <v>70</v>
      </c>
      <c r="G897" s="56" t="s">
        <v>70</v>
      </c>
      <c r="H897" s="4"/>
    </row>
    <row r="898">
      <c r="C898" s="4" t="s">
        <v>70</v>
      </c>
      <c r="D898" s="56" t="s">
        <v>70</v>
      </c>
      <c r="E898" s="56" t="s">
        <v>70</v>
      </c>
      <c r="F898" s="56" t="s">
        <v>70</v>
      </c>
      <c r="G898" s="56" t="s">
        <v>70</v>
      </c>
      <c r="H898" s="4"/>
    </row>
    <row r="899">
      <c r="C899" s="4" t="s">
        <v>70</v>
      </c>
      <c r="D899" s="56" t="s">
        <v>70</v>
      </c>
      <c r="E899" s="56" t="s">
        <v>70</v>
      </c>
      <c r="F899" s="56" t="s">
        <v>70</v>
      </c>
      <c r="G899" s="56" t="s">
        <v>70</v>
      </c>
      <c r="H899" s="4"/>
    </row>
    <row r="900">
      <c r="C900" s="4" t="s">
        <v>70</v>
      </c>
      <c r="D900" s="56" t="s">
        <v>70</v>
      </c>
      <c r="E900" s="56" t="s">
        <v>70</v>
      </c>
      <c r="F900" s="56" t="s">
        <v>70</v>
      </c>
      <c r="G900" s="56" t="s">
        <v>70</v>
      </c>
      <c r="H900" s="4"/>
    </row>
    <row r="901">
      <c r="C901" s="4" t="s">
        <v>70</v>
      </c>
      <c r="D901" s="56" t="s">
        <v>70</v>
      </c>
      <c r="E901" s="56" t="s">
        <v>70</v>
      </c>
      <c r="F901" s="56" t="s">
        <v>70</v>
      </c>
      <c r="G901" s="56" t="s">
        <v>70</v>
      </c>
      <c r="H901" s="4"/>
    </row>
    <row r="902">
      <c r="C902" s="4" t="s">
        <v>70</v>
      </c>
      <c r="D902" s="56" t="s">
        <v>70</v>
      </c>
      <c r="E902" s="56" t="s">
        <v>70</v>
      </c>
      <c r="F902" s="56" t="s">
        <v>70</v>
      </c>
      <c r="G902" s="56" t="s">
        <v>70</v>
      </c>
      <c r="H902" s="4"/>
    </row>
    <row r="903">
      <c r="C903" s="4" t="s">
        <v>70</v>
      </c>
      <c r="D903" s="56" t="s">
        <v>70</v>
      </c>
      <c r="E903" s="56" t="s">
        <v>70</v>
      </c>
      <c r="F903" s="56" t="s">
        <v>70</v>
      </c>
      <c r="G903" s="56" t="s">
        <v>70</v>
      </c>
      <c r="H903" s="4"/>
    </row>
    <row r="904">
      <c r="C904" s="4" t="s">
        <v>70</v>
      </c>
      <c r="D904" s="56" t="s">
        <v>70</v>
      </c>
      <c r="E904" s="56" t="s">
        <v>70</v>
      </c>
      <c r="F904" s="56" t="s">
        <v>70</v>
      </c>
      <c r="G904" s="56" t="s">
        <v>70</v>
      </c>
      <c r="H904" s="4"/>
    </row>
    <row r="905">
      <c r="C905" s="4" t="s">
        <v>70</v>
      </c>
      <c r="D905" s="56" t="s">
        <v>70</v>
      </c>
      <c r="E905" s="56" t="s">
        <v>70</v>
      </c>
      <c r="F905" s="56" t="s">
        <v>70</v>
      </c>
      <c r="G905" s="56" t="s">
        <v>70</v>
      </c>
      <c r="H905" s="4"/>
    </row>
    <row r="906">
      <c r="C906" s="4" t="s">
        <v>70</v>
      </c>
      <c r="D906" s="56" t="s">
        <v>70</v>
      </c>
      <c r="E906" s="56" t="s">
        <v>70</v>
      </c>
      <c r="F906" s="56" t="s">
        <v>70</v>
      </c>
      <c r="G906" s="56" t="s">
        <v>70</v>
      </c>
      <c r="H906" s="4"/>
    </row>
    <row r="907">
      <c r="C907" s="4" t="s">
        <v>70</v>
      </c>
      <c r="D907" s="56" t="s">
        <v>70</v>
      </c>
      <c r="E907" s="56" t="s">
        <v>70</v>
      </c>
      <c r="F907" s="56" t="s">
        <v>70</v>
      </c>
      <c r="G907" s="56" t="s">
        <v>70</v>
      </c>
      <c r="H907" s="4"/>
    </row>
    <row r="908">
      <c r="C908" s="4" t="s">
        <v>70</v>
      </c>
      <c r="D908" s="56" t="s">
        <v>70</v>
      </c>
      <c r="E908" s="56" t="s">
        <v>70</v>
      </c>
      <c r="F908" s="56" t="s">
        <v>70</v>
      </c>
      <c r="G908" s="56" t="s">
        <v>70</v>
      </c>
      <c r="H908" s="4"/>
    </row>
    <row r="909">
      <c r="C909" s="4" t="s">
        <v>70</v>
      </c>
      <c r="D909" s="56" t="s">
        <v>70</v>
      </c>
      <c r="E909" s="56" t="s">
        <v>70</v>
      </c>
      <c r="F909" s="56" t="s">
        <v>70</v>
      </c>
      <c r="G909" s="56" t="s">
        <v>70</v>
      </c>
      <c r="H909" s="4"/>
    </row>
    <row r="910">
      <c r="C910" s="4" t="s">
        <v>70</v>
      </c>
      <c r="D910" s="56" t="s">
        <v>70</v>
      </c>
      <c r="E910" s="56" t="s">
        <v>70</v>
      </c>
      <c r="F910" s="56" t="s">
        <v>70</v>
      </c>
      <c r="G910" s="56" t="s">
        <v>70</v>
      </c>
      <c r="H910" s="4"/>
    </row>
    <row r="911">
      <c r="C911" s="4" t="s">
        <v>70</v>
      </c>
      <c r="D911" s="56" t="s">
        <v>70</v>
      </c>
      <c r="E911" s="56" t="s">
        <v>70</v>
      </c>
      <c r="F911" s="56" t="s">
        <v>70</v>
      </c>
      <c r="G911" s="56" t="s">
        <v>70</v>
      </c>
      <c r="H911" s="4"/>
    </row>
    <row r="912">
      <c r="C912" s="4" t="s">
        <v>70</v>
      </c>
      <c r="D912" s="56" t="s">
        <v>70</v>
      </c>
      <c r="E912" s="56" t="s">
        <v>70</v>
      </c>
      <c r="F912" s="56" t="s">
        <v>70</v>
      </c>
      <c r="G912" s="56" t="s">
        <v>70</v>
      </c>
      <c r="H912" s="4"/>
    </row>
    <row r="913">
      <c r="C913" s="4" t="s">
        <v>70</v>
      </c>
      <c r="D913" s="56" t="s">
        <v>70</v>
      </c>
      <c r="E913" s="56" t="s">
        <v>70</v>
      </c>
      <c r="F913" s="56" t="s">
        <v>70</v>
      </c>
      <c r="G913" s="56" t="s">
        <v>70</v>
      </c>
      <c r="H913" s="4"/>
    </row>
    <row r="914">
      <c r="C914" s="4" t="s">
        <v>70</v>
      </c>
      <c r="D914" s="56" t="s">
        <v>70</v>
      </c>
      <c r="E914" s="56" t="s">
        <v>70</v>
      </c>
      <c r="F914" s="56" t="s">
        <v>70</v>
      </c>
      <c r="G914" s="56" t="s">
        <v>70</v>
      </c>
      <c r="H914" s="4"/>
    </row>
    <row r="915">
      <c r="C915" s="4" t="s">
        <v>70</v>
      </c>
      <c r="D915" s="56" t="s">
        <v>70</v>
      </c>
      <c r="E915" s="56" t="s">
        <v>70</v>
      </c>
      <c r="F915" s="56" t="s">
        <v>70</v>
      </c>
      <c r="G915" s="56" t="s">
        <v>70</v>
      </c>
      <c r="H915" s="4"/>
    </row>
    <row r="916">
      <c r="C916" s="4" t="s">
        <v>70</v>
      </c>
      <c r="D916" s="56" t="s">
        <v>70</v>
      </c>
      <c r="E916" s="56" t="s">
        <v>70</v>
      </c>
      <c r="F916" s="56" t="s">
        <v>70</v>
      </c>
      <c r="G916" s="56" t="s">
        <v>70</v>
      </c>
      <c r="H916" s="4"/>
    </row>
    <row r="917">
      <c r="C917" s="4" t="s">
        <v>70</v>
      </c>
      <c r="D917" s="56" t="s">
        <v>70</v>
      </c>
      <c r="E917" s="56" t="s">
        <v>70</v>
      </c>
      <c r="F917" s="56" t="s">
        <v>70</v>
      </c>
      <c r="G917" s="56" t="s">
        <v>70</v>
      </c>
      <c r="H917" s="4"/>
    </row>
    <row r="918">
      <c r="C918" s="4" t="s">
        <v>70</v>
      </c>
      <c r="D918" s="56" t="s">
        <v>70</v>
      </c>
      <c r="E918" s="56" t="s">
        <v>70</v>
      </c>
      <c r="F918" s="56" t="s">
        <v>70</v>
      </c>
      <c r="G918" s="56" t="s">
        <v>70</v>
      </c>
      <c r="H918" s="4"/>
    </row>
    <row r="919">
      <c r="C919" s="4" t="s">
        <v>70</v>
      </c>
      <c r="D919" s="56" t="s">
        <v>70</v>
      </c>
      <c r="E919" s="56" t="s">
        <v>70</v>
      </c>
      <c r="F919" s="56" t="s">
        <v>70</v>
      </c>
      <c r="G919" s="56" t="s">
        <v>70</v>
      </c>
      <c r="H919" s="4"/>
    </row>
    <row r="920">
      <c r="C920" s="4" t="s">
        <v>70</v>
      </c>
      <c r="D920" s="56" t="s">
        <v>70</v>
      </c>
      <c r="E920" s="56" t="s">
        <v>70</v>
      </c>
      <c r="F920" s="56" t="s">
        <v>70</v>
      </c>
      <c r="G920" s="56" t="s">
        <v>70</v>
      </c>
      <c r="H920" s="4"/>
    </row>
    <row r="921">
      <c r="C921" s="4" t="s">
        <v>70</v>
      </c>
      <c r="D921" s="56" t="s">
        <v>70</v>
      </c>
      <c r="E921" s="56" t="s">
        <v>70</v>
      </c>
      <c r="F921" s="56" t="s">
        <v>70</v>
      </c>
      <c r="G921" s="56" t="s">
        <v>70</v>
      </c>
      <c r="H921" s="4"/>
    </row>
    <row r="922">
      <c r="C922" s="4" t="s">
        <v>70</v>
      </c>
      <c r="D922" s="56" t="s">
        <v>70</v>
      </c>
      <c r="E922" s="56" t="s">
        <v>70</v>
      </c>
      <c r="F922" s="56" t="s">
        <v>70</v>
      </c>
      <c r="G922" s="56" t="s">
        <v>70</v>
      </c>
      <c r="H922" s="4"/>
    </row>
    <row r="923">
      <c r="C923" s="4" t="s">
        <v>70</v>
      </c>
      <c r="D923" s="56" t="s">
        <v>70</v>
      </c>
      <c r="E923" s="56" t="s">
        <v>70</v>
      </c>
      <c r="F923" s="56" t="s">
        <v>70</v>
      </c>
      <c r="G923" s="56" t="s">
        <v>70</v>
      </c>
      <c r="H923" s="4"/>
    </row>
    <row r="924">
      <c r="C924" s="4" t="s">
        <v>70</v>
      </c>
      <c r="D924" s="56" t="s">
        <v>70</v>
      </c>
      <c r="E924" s="56" t="s">
        <v>70</v>
      </c>
      <c r="F924" s="56" t="s">
        <v>70</v>
      </c>
      <c r="G924" s="56" t="s">
        <v>70</v>
      </c>
      <c r="H924" s="4"/>
    </row>
    <row r="925">
      <c r="C925" s="4" t="s">
        <v>70</v>
      </c>
      <c r="D925" s="56" t="s">
        <v>70</v>
      </c>
      <c r="E925" s="56" t="s">
        <v>70</v>
      </c>
      <c r="F925" s="56" t="s">
        <v>70</v>
      </c>
      <c r="G925" s="56" t="s">
        <v>70</v>
      </c>
      <c r="H925" s="4"/>
    </row>
    <row r="926">
      <c r="C926" s="4" t="s">
        <v>70</v>
      </c>
      <c r="D926" s="56" t="s">
        <v>70</v>
      </c>
      <c r="E926" s="56" t="s">
        <v>70</v>
      </c>
      <c r="F926" s="56" t="s">
        <v>70</v>
      </c>
      <c r="G926" s="56" t="s">
        <v>70</v>
      </c>
      <c r="H926" s="4"/>
    </row>
    <row r="927">
      <c r="C927" s="4" t="s">
        <v>70</v>
      </c>
      <c r="D927" s="56" t="s">
        <v>70</v>
      </c>
      <c r="E927" s="56" t="s">
        <v>70</v>
      </c>
      <c r="F927" s="56" t="s">
        <v>70</v>
      </c>
      <c r="G927" s="56" t="s">
        <v>70</v>
      </c>
      <c r="H927" s="4"/>
    </row>
    <row r="928">
      <c r="C928" s="4" t="s">
        <v>70</v>
      </c>
      <c r="D928" s="56" t="s">
        <v>70</v>
      </c>
      <c r="E928" s="56" t="s">
        <v>70</v>
      </c>
      <c r="F928" s="56" t="s">
        <v>70</v>
      </c>
      <c r="G928" s="56" t="s">
        <v>70</v>
      </c>
      <c r="H928" s="4"/>
    </row>
    <row r="929">
      <c r="C929" s="4" t="s">
        <v>70</v>
      </c>
      <c r="D929" s="56" t="s">
        <v>70</v>
      </c>
      <c r="E929" s="56" t="s">
        <v>70</v>
      </c>
      <c r="F929" s="56" t="s">
        <v>70</v>
      </c>
      <c r="G929" s="56" t="s">
        <v>70</v>
      </c>
      <c r="H929" s="4"/>
    </row>
    <row r="930">
      <c r="C930" s="4" t="s">
        <v>70</v>
      </c>
      <c r="D930" s="56" t="s">
        <v>70</v>
      </c>
      <c r="E930" s="56" t="s">
        <v>70</v>
      </c>
      <c r="F930" s="56" t="s">
        <v>70</v>
      </c>
      <c r="G930" s="56" t="s">
        <v>70</v>
      </c>
      <c r="H930" s="4"/>
    </row>
    <row r="931">
      <c r="C931" s="4" t="s">
        <v>70</v>
      </c>
      <c r="D931" s="56" t="s">
        <v>70</v>
      </c>
      <c r="E931" s="56" t="s">
        <v>70</v>
      </c>
      <c r="F931" s="56" t="s">
        <v>70</v>
      </c>
      <c r="G931" s="56" t="s">
        <v>70</v>
      </c>
      <c r="H931" s="4"/>
    </row>
    <row r="932">
      <c r="C932" s="4" t="s">
        <v>70</v>
      </c>
      <c r="D932" s="56" t="s">
        <v>70</v>
      </c>
      <c r="E932" s="56" t="s">
        <v>70</v>
      </c>
      <c r="F932" s="56" t="s">
        <v>70</v>
      </c>
      <c r="G932" s="56" t="s">
        <v>70</v>
      </c>
      <c r="H932" s="4"/>
    </row>
    <row r="933">
      <c r="C933" s="4" t="s">
        <v>70</v>
      </c>
      <c r="D933" s="56" t="s">
        <v>70</v>
      </c>
      <c r="E933" s="56" t="s">
        <v>70</v>
      </c>
      <c r="F933" s="56" t="s">
        <v>70</v>
      </c>
      <c r="G933" s="56" t="s">
        <v>70</v>
      </c>
      <c r="H933" s="4"/>
    </row>
    <row r="934">
      <c r="C934" s="4" t="s">
        <v>70</v>
      </c>
      <c r="D934" s="56" t="s">
        <v>70</v>
      </c>
      <c r="E934" s="56" t="s">
        <v>70</v>
      </c>
      <c r="F934" s="56" t="s">
        <v>70</v>
      </c>
      <c r="G934" s="56" t="s">
        <v>70</v>
      </c>
      <c r="H934" s="4"/>
    </row>
    <row r="935">
      <c r="C935" s="4" t="s">
        <v>70</v>
      </c>
      <c r="D935" s="56" t="s">
        <v>70</v>
      </c>
      <c r="E935" s="56" t="s">
        <v>70</v>
      </c>
      <c r="F935" s="56" t="s">
        <v>70</v>
      </c>
      <c r="G935" s="56" t="s">
        <v>70</v>
      </c>
      <c r="H935" s="4"/>
    </row>
    <row r="936">
      <c r="C936" s="4" t="s">
        <v>70</v>
      </c>
      <c r="D936" s="56" t="s">
        <v>70</v>
      </c>
      <c r="E936" s="56" t="s">
        <v>70</v>
      </c>
      <c r="F936" s="56" t="s">
        <v>70</v>
      </c>
      <c r="G936" s="56" t="s">
        <v>70</v>
      </c>
      <c r="H936" s="4"/>
    </row>
    <row r="937">
      <c r="C937" s="4" t="s">
        <v>70</v>
      </c>
      <c r="D937" s="56" t="s">
        <v>70</v>
      </c>
      <c r="E937" s="56" t="s">
        <v>70</v>
      </c>
      <c r="F937" s="56" t="s">
        <v>70</v>
      </c>
      <c r="G937" s="56" t="s">
        <v>70</v>
      </c>
      <c r="H937" s="4"/>
    </row>
    <row r="938">
      <c r="C938" s="4" t="s">
        <v>70</v>
      </c>
      <c r="D938" s="56" t="s">
        <v>70</v>
      </c>
      <c r="E938" s="56" t="s">
        <v>70</v>
      </c>
      <c r="F938" s="56" t="s">
        <v>70</v>
      </c>
      <c r="G938" s="56" t="s">
        <v>70</v>
      </c>
      <c r="H938" s="4"/>
    </row>
    <row r="939">
      <c r="C939" s="4" t="s">
        <v>70</v>
      </c>
      <c r="D939" s="56" t="s">
        <v>70</v>
      </c>
      <c r="E939" s="56" t="s">
        <v>70</v>
      </c>
      <c r="F939" s="56" t="s">
        <v>70</v>
      </c>
      <c r="G939" s="56" t="s">
        <v>70</v>
      </c>
      <c r="H939" s="4"/>
    </row>
    <row r="940">
      <c r="C940" s="4" t="s">
        <v>70</v>
      </c>
      <c r="D940" s="56" t="s">
        <v>70</v>
      </c>
      <c r="E940" s="56" t="s">
        <v>70</v>
      </c>
      <c r="F940" s="56" t="s">
        <v>70</v>
      </c>
      <c r="G940" s="56" t="s">
        <v>70</v>
      </c>
      <c r="H940" s="4"/>
    </row>
    <row r="941">
      <c r="C941" s="4" t="s">
        <v>70</v>
      </c>
      <c r="D941" s="56" t="s">
        <v>70</v>
      </c>
      <c r="E941" s="56" t="s">
        <v>70</v>
      </c>
      <c r="F941" s="56" t="s">
        <v>70</v>
      </c>
      <c r="G941" s="56" t="s">
        <v>70</v>
      </c>
      <c r="H941" s="4"/>
    </row>
    <row r="942">
      <c r="C942" s="4" t="s">
        <v>70</v>
      </c>
      <c r="D942" s="56" t="s">
        <v>70</v>
      </c>
      <c r="E942" s="56" t="s">
        <v>70</v>
      </c>
      <c r="F942" s="56" t="s">
        <v>70</v>
      </c>
      <c r="G942" s="56" t="s">
        <v>70</v>
      </c>
      <c r="H942" s="4"/>
    </row>
    <row r="943">
      <c r="C943" s="4" t="s">
        <v>70</v>
      </c>
      <c r="D943" s="56" t="s">
        <v>70</v>
      </c>
      <c r="E943" s="56" t="s">
        <v>70</v>
      </c>
      <c r="F943" s="56" t="s">
        <v>70</v>
      </c>
      <c r="G943" s="56" t="s">
        <v>70</v>
      </c>
      <c r="H943" s="4"/>
    </row>
    <row r="944">
      <c r="C944" s="4" t="s">
        <v>70</v>
      </c>
      <c r="D944" s="56" t="s">
        <v>70</v>
      </c>
      <c r="E944" s="56" t="s">
        <v>70</v>
      </c>
      <c r="F944" s="56" t="s">
        <v>70</v>
      </c>
      <c r="G944" s="56" t="s">
        <v>70</v>
      </c>
      <c r="H944" s="4"/>
    </row>
    <row r="945">
      <c r="C945" s="4" t="s">
        <v>70</v>
      </c>
      <c r="D945" s="56" t="s">
        <v>70</v>
      </c>
      <c r="E945" s="56" t="s">
        <v>70</v>
      </c>
      <c r="F945" s="56" t="s">
        <v>70</v>
      </c>
      <c r="G945" s="56" t="s">
        <v>70</v>
      </c>
      <c r="H945" s="4"/>
    </row>
    <row r="946">
      <c r="C946" s="4" t="s">
        <v>70</v>
      </c>
      <c r="D946" s="56" t="s">
        <v>70</v>
      </c>
      <c r="E946" s="56" t="s">
        <v>70</v>
      </c>
      <c r="F946" s="56" t="s">
        <v>70</v>
      </c>
      <c r="G946" s="56" t="s">
        <v>70</v>
      </c>
      <c r="H946" s="4"/>
    </row>
    <row r="947">
      <c r="C947" s="4" t="s">
        <v>70</v>
      </c>
      <c r="D947" s="56" t="s">
        <v>70</v>
      </c>
      <c r="E947" s="56" t="s">
        <v>70</v>
      </c>
      <c r="F947" s="56" t="s">
        <v>70</v>
      </c>
      <c r="G947" s="56" t="s">
        <v>70</v>
      </c>
      <c r="H947" s="4"/>
    </row>
    <row r="948">
      <c r="C948" s="4" t="s">
        <v>70</v>
      </c>
      <c r="D948" s="56" t="s">
        <v>70</v>
      </c>
      <c r="E948" s="56" t="s">
        <v>70</v>
      </c>
      <c r="F948" s="56" t="s">
        <v>70</v>
      </c>
      <c r="G948" s="56" t="s">
        <v>70</v>
      </c>
      <c r="H948" s="4"/>
    </row>
    <row r="949">
      <c r="C949" s="4" t="s">
        <v>70</v>
      </c>
      <c r="D949" s="56" t="s">
        <v>70</v>
      </c>
      <c r="E949" s="56" t="s">
        <v>70</v>
      </c>
      <c r="F949" s="56" t="s">
        <v>70</v>
      </c>
      <c r="G949" s="56" t="s">
        <v>70</v>
      </c>
      <c r="H949" s="4"/>
    </row>
    <row r="950">
      <c r="C950" s="4" t="s">
        <v>70</v>
      </c>
      <c r="D950" s="56" t="s">
        <v>70</v>
      </c>
      <c r="E950" s="56" t="s">
        <v>70</v>
      </c>
      <c r="F950" s="56" t="s">
        <v>70</v>
      </c>
      <c r="G950" s="56" t="s">
        <v>70</v>
      </c>
      <c r="H950" s="4"/>
    </row>
    <row r="951">
      <c r="C951" s="4" t="s">
        <v>70</v>
      </c>
      <c r="D951" s="56" t="s">
        <v>70</v>
      </c>
      <c r="E951" s="56" t="s">
        <v>70</v>
      </c>
      <c r="F951" s="56" t="s">
        <v>70</v>
      </c>
      <c r="G951" s="56" t="s">
        <v>70</v>
      </c>
      <c r="H951" s="4"/>
    </row>
    <row r="952">
      <c r="C952" s="4" t="s">
        <v>70</v>
      </c>
      <c r="D952" s="56" t="s">
        <v>70</v>
      </c>
      <c r="E952" s="56" t="s">
        <v>70</v>
      </c>
      <c r="F952" s="56" t="s">
        <v>70</v>
      </c>
      <c r="G952" s="56" t="s">
        <v>70</v>
      </c>
      <c r="H952" s="4"/>
    </row>
    <row r="953">
      <c r="C953" s="4" t="s">
        <v>70</v>
      </c>
      <c r="D953" s="56" t="s">
        <v>70</v>
      </c>
      <c r="E953" s="56" t="s">
        <v>70</v>
      </c>
      <c r="F953" s="56" t="s">
        <v>70</v>
      </c>
      <c r="G953" s="56" t="s">
        <v>70</v>
      </c>
      <c r="H953" s="4"/>
    </row>
    <row r="954">
      <c r="C954" s="4" t="s">
        <v>70</v>
      </c>
      <c r="D954" s="56" t="s">
        <v>70</v>
      </c>
      <c r="E954" s="56" t="s">
        <v>70</v>
      </c>
      <c r="F954" s="56" t="s">
        <v>70</v>
      </c>
      <c r="G954" s="56" t="s">
        <v>70</v>
      </c>
      <c r="H954" s="4"/>
    </row>
    <row r="955">
      <c r="C955" s="4" t="s">
        <v>70</v>
      </c>
      <c r="D955" s="56" t="s">
        <v>70</v>
      </c>
      <c r="E955" s="56" t="s">
        <v>70</v>
      </c>
      <c r="F955" s="56" t="s">
        <v>70</v>
      </c>
      <c r="G955" s="56" t="s">
        <v>70</v>
      </c>
      <c r="H955" s="4"/>
    </row>
    <row r="956">
      <c r="C956" s="4" t="s">
        <v>70</v>
      </c>
      <c r="D956" s="56" t="s">
        <v>70</v>
      </c>
      <c r="E956" s="56" t="s">
        <v>70</v>
      </c>
      <c r="F956" s="56" t="s">
        <v>70</v>
      </c>
      <c r="G956" s="56" t="s">
        <v>70</v>
      </c>
      <c r="H956" s="4"/>
    </row>
    <row r="957">
      <c r="C957" s="4" t="s">
        <v>70</v>
      </c>
      <c r="D957" s="56" t="s">
        <v>70</v>
      </c>
      <c r="E957" s="56" t="s">
        <v>70</v>
      </c>
      <c r="F957" s="56" t="s">
        <v>70</v>
      </c>
      <c r="G957" s="56" t="s">
        <v>70</v>
      </c>
      <c r="H957" s="4"/>
    </row>
    <row r="958">
      <c r="C958" s="4" t="s">
        <v>70</v>
      </c>
      <c r="D958" s="56" t="s">
        <v>70</v>
      </c>
      <c r="E958" s="56" t="s">
        <v>70</v>
      </c>
      <c r="F958" s="56" t="s">
        <v>70</v>
      </c>
      <c r="G958" s="56" t="s">
        <v>70</v>
      </c>
      <c r="H958" s="4"/>
    </row>
    <row r="959">
      <c r="C959" s="4" t="s">
        <v>70</v>
      </c>
      <c r="D959" s="56" t="s">
        <v>70</v>
      </c>
      <c r="E959" s="56" t="s">
        <v>70</v>
      </c>
      <c r="F959" s="56" t="s">
        <v>70</v>
      </c>
      <c r="G959" s="56" t="s">
        <v>70</v>
      </c>
      <c r="H959" s="4"/>
    </row>
    <row r="960">
      <c r="C960" s="4" t="s">
        <v>70</v>
      </c>
      <c r="D960" s="56" t="s">
        <v>70</v>
      </c>
      <c r="E960" s="56" t="s">
        <v>70</v>
      </c>
      <c r="F960" s="56" t="s">
        <v>70</v>
      </c>
      <c r="G960" s="56" t="s">
        <v>70</v>
      </c>
      <c r="H960" s="4"/>
    </row>
    <row r="961">
      <c r="C961" s="4" t="s">
        <v>70</v>
      </c>
      <c r="D961" s="56" t="s">
        <v>70</v>
      </c>
      <c r="E961" s="56" t="s">
        <v>70</v>
      </c>
      <c r="F961" s="56" t="s">
        <v>70</v>
      </c>
      <c r="G961" s="56" t="s">
        <v>70</v>
      </c>
      <c r="H961" s="4"/>
    </row>
    <row r="962">
      <c r="C962" s="4" t="s">
        <v>70</v>
      </c>
      <c r="D962" s="56" t="s">
        <v>70</v>
      </c>
      <c r="E962" s="56" t="s">
        <v>70</v>
      </c>
      <c r="F962" s="56" t="s">
        <v>70</v>
      </c>
      <c r="G962" s="56" t="s">
        <v>70</v>
      </c>
      <c r="H962" s="4"/>
    </row>
    <row r="963">
      <c r="C963" s="4" t="s">
        <v>70</v>
      </c>
      <c r="D963" s="56" t="s">
        <v>70</v>
      </c>
      <c r="E963" s="56" t="s">
        <v>70</v>
      </c>
      <c r="F963" s="56" t="s">
        <v>70</v>
      </c>
      <c r="G963" s="56" t="s">
        <v>70</v>
      </c>
      <c r="H963" s="4"/>
    </row>
    <row r="964">
      <c r="C964" s="4" t="s">
        <v>70</v>
      </c>
      <c r="D964" s="56" t="s">
        <v>70</v>
      </c>
      <c r="E964" s="56" t="s">
        <v>70</v>
      </c>
      <c r="F964" s="56" t="s">
        <v>70</v>
      </c>
      <c r="G964" s="56" t="s">
        <v>70</v>
      </c>
      <c r="H964" s="4"/>
    </row>
    <row r="965">
      <c r="C965" s="4" t="s">
        <v>70</v>
      </c>
      <c r="D965" s="56" t="s">
        <v>70</v>
      </c>
      <c r="E965" s="56" t="s">
        <v>70</v>
      </c>
      <c r="F965" s="56" t="s">
        <v>70</v>
      </c>
      <c r="G965" s="56" t="s">
        <v>70</v>
      </c>
      <c r="H965" s="4"/>
    </row>
    <row r="966">
      <c r="C966" s="4" t="s">
        <v>70</v>
      </c>
      <c r="D966" s="56" t="s">
        <v>70</v>
      </c>
      <c r="E966" s="56" t="s">
        <v>70</v>
      </c>
      <c r="F966" s="56" t="s">
        <v>70</v>
      </c>
      <c r="G966" s="56" t="s">
        <v>70</v>
      </c>
      <c r="H966" s="4"/>
    </row>
    <row r="967">
      <c r="C967" s="4" t="s">
        <v>70</v>
      </c>
      <c r="D967" s="56" t="s">
        <v>70</v>
      </c>
      <c r="E967" s="56" t="s">
        <v>70</v>
      </c>
      <c r="F967" s="56" t="s">
        <v>70</v>
      </c>
      <c r="G967" s="56" t="s">
        <v>70</v>
      </c>
      <c r="H967" s="4"/>
    </row>
    <row r="968">
      <c r="C968" s="4" t="s">
        <v>70</v>
      </c>
      <c r="D968" s="56" t="s">
        <v>70</v>
      </c>
      <c r="E968" s="56" t="s">
        <v>70</v>
      </c>
      <c r="F968" s="56" t="s">
        <v>70</v>
      </c>
      <c r="G968" s="56" t="s">
        <v>70</v>
      </c>
      <c r="H968" s="4"/>
    </row>
    <row r="969">
      <c r="C969" s="4" t="s">
        <v>70</v>
      </c>
      <c r="D969" s="56" t="s">
        <v>70</v>
      </c>
      <c r="E969" s="56" t="s">
        <v>70</v>
      </c>
      <c r="F969" s="56" t="s">
        <v>70</v>
      </c>
      <c r="G969" s="56" t="s">
        <v>70</v>
      </c>
      <c r="H969" s="4"/>
    </row>
    <row r="970">
      <c r="C970" s="4" t="s">
        <v>70</v>
      </c>
      <c r="D970" s="56" t="s">
        <v>70</v>
      </c>
      <c r="E970" s="56" t="s">
        <v>70</v>
      </c>
      <c r="F970" s="56" t="s">
        <v>70</v>
      </c>
      <c r="G970" s="56" t="s">
        <v>70</v>
      </c>
      <c r="H970" s="4"/>
    </row>
    <row r="971">
      <c r="C971" s="4" t="s">
        <v>70</v>
      </c>
      <c r="D971" s="56" t="s">
        <v>70</v>
      </c>
      <c r="E971" s="56" t="s">
        <v>70</v>
      </c>
      <c r="F971" s="56" t="s">
        <v>70</v>
      </c>
      <c r="G971" s="56" t="s">
        <v>70</v>
      </c>
      <c r="H971" s="4"/>
    </row>
    <row r="972">
      <c r="C972" s="4" t="s">
        <v>70</v>
      </c>
      <c r="D972" s="56" t="s">
        <v>70</v>
      </c>
      <c r="E972" s="56" t="s">
        <v>70</v>
      </c>
      <c r="F972" s="56" t="s">
        <v>70</v>
      </c>
      <c r="G972" s="56" t="s">
        <v>70</v>
      </c>
      <c r="H972" s="4"/>
    </row>
    <row r="973">
      <c r="C973" s="4" t="s">
        <v>70</v>
      </c>
      <c r="D973" s="56" t="s">
        <v>70</v>
      </c>
      <c r="E973" s="56" t="s">
        <v>70</v>
      </c>
      <c r="F973" s="56" t="s">
        <v>70</v>
      </c>
      <c r="G973" s="56" t="s">
        <v>70</v>
      </c>
      <c r="H973" s="4"/>
    </row>
    <row r="974">
      <c r="C974" s="4" t="s">
        <v>70</v>
      </c>
      <c r="D974" s="56" t="s">
        <v>70</v>
      </c>
      <c r="E974" s="56" t="s">
        <v>70</v>
      </c>
      <c r="F974" s="56" t="s">
        <v>70</v>
      </c>
      <c r="G974" s="56" t="s">
        <v>70</v>
      </c>
      <c r="H974" s="4"/>
    </row>
    <row r="975">
      <c r="C975" s="4" t="s">
        <v>70</v>
      </c>
      <c r="D975" s="56" t="s">
        <v>70</v>
      </c>
      <c r="E975" s="56" t="s">
        <v>70</v>
      </c>
      <c r="F975" s="56" t="s">
        <v>70</v>
      </c>
      <c r="G975" s="56" t="s">
        <v>70</v>
      </c>
      <c r="H975" s="4"/>
    </row>
    <row r="976">
      <c r="C976" s="4" t="s">
        <v>70</v>
      </c>
      <c r="D976" s="56" t="s">
        <v>70</v>
      </c>
      <c r="E976" s="56" t="s">
        <v>70</v>
      </c>
      <c r="F976" s="56" t="s">
        <v>70</v>
      </c>
      <c r="G976" s="56" t="s">
        <v>70</v>
      </c>
      <c r="H976" s="4"/>
    </row>
    <row r="977">
      <c r="C977" s="4" t="s">
        <v>70</v>
      </c>
      <c r="D977" s="56" t="s">
        <v>70</v>
      </c>
      <c r="E977" s="56" t="s">
        <v>70</v>
      </c>
      <c r="F977" s="56" t="s">
        <v>70</v>
      </c>
      <c r="G977" s="56" t="s">
        <v>70</v>
      </c>
      <c r="H977" s="4"/>
    </row>
    <row r="978">
      <c r="C978" s="4" t="s">
        <v>70</v>
      </c>
      <c r="D978" s="56" t="s">
        <v>70</v>
      </c>
      <c r="E978" s="56" t="s">
        <v>70</v>
      </c>
      <c r="F978" s="56" t="s">
        <v>70</v>
      </c>
      <c r="G978" s="56" t="s">
        <v>70</v>
      </c>
      <c r="H978" s="4"/>
    </row>
    <row r="979">
      <c r="C979" s="4" t="s">
        <v>70</v>
      </c>
      <c r="D979" s="56" t="s">
        <v>70</v>
      </c>
      <c r="E979" s="56" t="s">
        <v>70</v>
      </c>
      <c r="F979" s="56" t="s">
        <v>70</v>
      </c>
      <c r="G979" s="56" t="s">
        <v>70</v>
      </c>
      <c r="H979" s="4"/>
    </row>
    <row r="980">
      <c r="C980" s="4" t="s">
        <v>70</v>
      </c>
      <c r="D980" s="56" t="s">
        <v>70</v>
      </c>
      <c r="E980" s="56" t="s">
        <v>70</v>
      </c>
      <c r="F980" s="56" t="s">
        <v>70</v>
      </c>
      <c r="G980" s="56" t="s">
        <v>70</v>
      </c>
      <c r="H980" s="4"/>
    </row>
    <row r="981">
      <c r="C981" s="4" t="s">
        <v>70</v>
      </c>
      <c r="D981" s="56" t="s">
        <v>70</v>
      </c>
      <c r="E981" s="56" t="s">
        <v>70</v>
      </c>
      <c r="F981" s="56" t="s">
        <v>70</v>
      </c>
      <c r="G981" s="56" t="s">
        <v>70</v>
      </c>
      <c r="H981" s="4"/>
    </row>
    <row r="982">
      <c r="C982" s="4" t="s">
        <v>70</v>
      </c>
      <c r="D982" s="56" t="s">
        <v>70</v>
      </c>
      <c r="E982" s="56" t="s">
        <v>70</v>
      </c>
      <c r="F982" s="56" t="s">
        <v>70</v>
      </c>
      <c r="G982" s="56" t="s">
        <v>70</v>
      </c>
      <c r="H982" s="4"/>
    </row>
    <row r="983">
      <c r="C983" s="4" t="s">
        <v>70</v>
      </c>
      <c r="D983" s="56" t="s">
        <v>70</v>
      </c>
      <c r="E983" s="56" t="s">
        <v>70</v>
      </c>
      <c r="F983" s="56" t="s">
        <v>70</v>
      </c>
      <c r="G983" s="56" t="s">
        <v>70</v>
      </c>
      <c r="H983" s="4"/>
    </row>
    <row r="984">
      <c r="C984" s="4" t="s">
        <v>70</v>
      </c>
      <c r="D984" s="56" t="s">
        <v>70</v>
      </c>
      <c r="E984" s="56" t="s">
        <v>70</v>
      </c>
      <c r="F984" s="56" t="s">
        <v>70</v>
      </c>
      <c r="G984" s="56" t="s">
        <v>70</v>
      </c>
      <c r="H984" s="4"/>
    </row>
    <row r="985">
      <c r="C985" s="4" t="s">
        <v>70</v>
      </c>
      <c r="D985" s="56" t="s">
        <v>70</v>
      </c>
      <c r="E985" s="56" t="s">
        <v>70</v>
      </c>
      <c r="F985" s="56" t="s">
        <v>70</v>
      </c>
      <c r="G985" s="56" t="s">
        <v>70</v>
      </c>
      <c r="H985" s="4"/>
    </row>
    <row r="986">
      <c r="C986" s="4" t="s">
        <v>70</v>
      </c>
      <c r="D986" s="56" t="s">
        <v>70</v>
      </c>
      <c r="E986" s="56" t="s">
        <v>70</v>
      </c>
      <c r="F986" s="56" t="s">
        <v>70</v>
      </c>
      <c r="G986" s="56" t="s">
        <v>70</v>
      </c>
      <c r="H986" s="4"/>
    </row>
    <row r="987">
      <c r="C987" s="4" t="s">
        <v>70</v>
      </c>
      <c r="D987" s="56" t="s">
        <v>70</v>
      </c>
      <c r="E987" s="56" t="s">
        <v>70</v>
      </c>
      <c r="F987" s="56" t="s">
        <v>70</v>
      </c>
      <c r="G987" s="56" t="s">
        <v>70</v>
      </c>
      <c r="H987" s="4"/>
    </row>
    <row r="988">
      <c r="C988" s="4" t="s">
        <v>70</v>
      </c>
      <c r="D988" s="56" t="s">
        <v>70</v>
      </c>
      <c r="E988" s="56" t="s">
        <v>70</v>
      </c>
      <c r="F988" s="56" t="s">
        <v>70</v>
      </c>
      <c r="G988" s="56" t="s">
        <v>70</v>
      </c>
      <c r="H988" s="4"/>
    </row>
    <row r="989">
      <c r="C989" s="4" t="s">
        <v>70</v>
      </c>
      <c r="D989" s="56" t="s">
        <v>70</v>
      </c>
      <c r="E989" s="56" t="s">
        <v>70</v>
      </c>
      <c r="F989" s="56" t="s">
        <v>70</v>
      </c>
      <c r="G989" s="56" t="s">
        <v>70</v>
      </c>
      <c r="H989" s="4"/>
    </row>
    <row r="990">
      <c r="C990" s="4" t="s">
        <v>70</v>
      </c>
      <c r="D990" s="56" t="s">
        <v>70</v>
      </c>
      <c r="E990" s="56" t="s">
        <v>70</v>
      </c>
      <c r="F990" s="56" t="s">
        <v>70</v>
      </c>
      <c r="G990" s="56" t="s">
        <v>70</v>
      </c>
      <c r="H990" s="4"/>
    </row>
    <row r="991">
      <c r="C991" s="4" t="s">
        <v>70</v>
      </c>
      <c r="D991" s="56" t="s">
        <v>70</v>
      </c>
      <c r="E991" s="56" t="s">
        <v>70</v>
      </c>
      <c r="F991" s="56" t="s">
        <v>70</v>
      </c>
      <c r="G991" s="56" t="s">
        <v>70</v>
      </c>
      <c r="H991" s="4"/>
    </row>
    <row r="992">
      <c r="C992" s="4" t="s">
        <v>70</v>
      </c>
      <c r="D992" s="56" t="s">
        <v>70</v>
      </c>
      <c r="E992" s="56" t="s">
        <v>70</v>
      </c>
      <c r="F992" s="56" t="s">
        <v>70</v>
      </c>
      <c r="G992" s="56" t="s">
        <v>70</v>
      </c>
      <c r="H992" s="4"/>
    </row>
  </sheetData>
  <autoFilter ref="$A$1:$AF$168">
    <sortState ref="A1:AF168">
      <sortCondition descending="1" ref="B1:B168"/>
    </sortState>
  </autoFilter>
  <conditionalFormatting sqref="A1:A2 B1:B6 C1:T1 A5:A10 B8:B9 B11:B12 A12:A13 B14:B15">
    <cfRule type="cellIs" dxfId="0" priority="1" operator="equal">
      <formula>"ID null"</formula>
    </cfRule>
  </conditionalFormatting>
  <dataValidations>
    <dataValidation type="list" allowBlank="1" sqref="H2:H992">
      <formula1>"1,2,3,4"</formula1>
    </dataValidation>
  </dataValidations>
  <drawing r:id="rId1"/>
</worksheet>
</file>